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so\Downloads\"/>
    </mc:Choice>
  </mc:AlternateContent>
  <xr:revisionPtr revIDLastSave="0" documentId="13_ncr:1_{AB52B02E-038D-4444-A92F-6E58143415B1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VMR MSL39" sheetId="1" r:id="rId1"/>
    <sheet name="Version" sheetId="13" r:id="rId2"/>
    <sheet name="Column definitions" sheetId="2" r:id="rId3"/>
    <sheet name="Column Values" sheetId="10" r:id="rId4"/>
  </sheets>
  <definedNames>
    <definedName name="_xlnm._FilterDatabase" localSheetId="0" hidden="1">'VMR MSL39'!$A$1:$AA$16397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60" i="1"/>
  <c r="AA7861" i="1"/>
  <c r="AA7862" i="1"/>
  <c r="AA7863" i="1"/>
  <c r="AA7864" i="1"/>
  <c r="AA7865" i="1"/>
  <c r="AA7866" i="1"/>
  <c r="AA7867" i="1"/>
  <c r="AA7868" i="1"/>
  <c r="AA7871" i="1"/>
  <c r="AA7872" i="1"/>
  <c r="AA7873" i="1"/>
  <c r="AA7874" i="1"/>
  <c r="AA7880" i="1"/>
  <c r="AA7881" i="1"/>
  <c r="AA7882" i="1"/>
  <c r="AA7885" i="1"/>
  <c r="AA7886" i="1"/>
  <c r="AA7889" i="1"/>
  <c r="AA7890" i="1"/>
  <c r="AA7892" i="1"/>
  <c r="AA7893" i="1"/>
  <c r="AA7894" i="1"/>
  <c r="AA7895" i="1"/>
  <c r="AA7897" i="1"/>
  <c r="AA7898" i="1"/>
  <c r="AA7899" i="1"/>
  <c r="AA7903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1" i="1"/>
  <c r="AA7932" i="1"/>
  <c r="AA7933" i="1"/>
  <c r="AA7934" i="1"/>
  <c r="AA7935" i="1"/>
  <c r="AA7936" i="1"/>
  <c r="AA7937" i="1"/>
  <c r="AA7938" i="1"/>
  <c r="AA7942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7" i="1"/>
  <c r="AA8048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8" i="1"/>
  <c r="AA8329" i="1"/>
  <c r="AA8330" i="1"/>
  <c r="AA8331" i="1"/>
  <c r="AA8332" i="1"/>
  <c r="AA8333" i="1"/>
  <c r="AA8334" i="1"/>
  <c r="AA8335" i="1"/>
  <c r="AA8336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2" i="1"/>
  <c r="AA8483" i="1"/>
  <c r="AA8484" i="1"/>
  <c r="AA8485" i="1"/>
  <c r="AA8486" i="1"/>
  <c r="AA8487" i="1"/>
  <c r="AA8488" i="1"/>
  <c r="AA8490" i="1"/>
  <c r="AA8491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2" i="1"/>
  <c r="AA11253" i="1"/>
  <c r="AA11254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6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2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11945" i="1"/>
  <c r="AA11946" i="1"/>
  <c r="AA11947" i="1"/>
  <c r="AA11948" i="1"/>
  <c r="AA11949" i="1"/>
  <c r="AA11950" i="1"/>
  <c r="AA11951" i="1"/>
  <c r="AA11952" i="1"/>
  <c r="AA11953" i="1"/>
  <c r="AA11954" i="1"/>
  <c r="AA11955" i="1"/>
  <c r="AA11956" i="1"/>
  <c r="AA11957" i="1"/>
  <c r="AA11958" i="1"/>
  <c r="AA11959" i="1"/>
  <c r="AA11960" i="1"/>
  <c r="AA11961" i="1"/>
  <c r="AA11962" i="1"/>
  <c r="AA11963" i="1"/>
  <c r="AA11964" i="1"/>
  <c r="AA11965" i="1"/>
  <c r="AA11966" i="1"/>
  <c r="AA11967" i="1"/>
  <c r="AA11968" i="1"/>
  <c r="AA11969" i="1"/>
  <c r="AA11970" i="1"/>
  <c r="AA11971" i="1"/>
  <c r="AA11972" i="1"/>
  <c r="AA11973" i="1"/>
  <c r="AA11974" i="1"/>
  <c r="AA11975" i="1"/>
  <c r="AA11976" i="1"/>
  <c r="AA11977" i="1"/>
  <c r="AA11978" i="1"/>
  <c r="AA11979" i="1"/>
  <c r="AA11980" i="1"/>
  <c r="AA11981" i="1"/>
  <c r="AA11982" i="1"/>
  <c r="AA11983" i="1"/>
  <c r="AA11984" i="1"/>
  <c r="AA11985" i="1"/>
  <c r="AA11986" i="1"/>
  <c r="AA11987" i="1"/>
  <c r="AA11988" i="1"/>
  <c r="AA11989" i="1"/>
  <c r="AA11990" i="1"/>
  <c r="AA11991" i="1"/>
  <c r="AA11992" i="1"/>
  <c r="AA11993" i="1"/>
  <c r="AA11994" i="1"/>
  <c r="AA11995" i="1"/>
  <c r="AA11996" i="1"/>
  <c r="AA11997" i="1"/>
  <c r="AA11998" i="1"/>
  <c r="AA11999" i="1"/>
  <c r="AA12000" i="1"/>
  <c r="AA12001" i="1"/>
  <c r="AA12002" i="1"/>
  <c r="AA12003" i="1"/>
  <c r="AA12004" i="1"/>
  <c r="AA12005" i="1"/>
  <c r="AA12006" i="1"/>
  <c r="AA12007" i="1"/>
  <c r="AA12008" i="1"/>
  <c r="AA12009" i="1"/>
  <c r="AA12010" i="1"/>
  <c r="AA12011" i="1"/>
  <c r="AA12012" i="1"/>
  <c r="AA12013" i="1"/>
  <c r="AA12014" i="1"/>
  <c r="AA12015" i="1"/>
  <c r="AA12016" i="1"/>
  <c r="AA12017" i="1"/>
  <c r="AA12018" i="1"/>
  <c r="AA12019" i="1"/>
  <c r="AA12020" i="1"/>
  <c r="AA12021" i="1"/>
  <c r="AA12022" i="1"/>
  <c r="AA12023" i="1"/>
  <c r="AA12024" i="1"/>
  <c r="AA12025" i="1"/>
  <c r="AA12026" i="1"/>
  <c r="AA12027" i="1"/>
  <c r="AA12028" i="1"/>
  <c r="AA12029" i="1"/>
  <c r="AA12030" i="1"/>
  <c r="AA12031" i="1"/>
  <c r="AA12032" i="1"/>
  <c r="AA12033" i="1"/>
  <c r="AA12034" i="1"/>
  <c r="AA12035" i="1"/>
  <c r="AA12036" i="1"/>
  <c r="AA12037" i="1"/>
  <c r="AA12038" i="1"/>
  <c r="AA12039" i="1"/>
  <c r="AA12040" i="1"/>
  <c r="AA12041" i="1"/>
  <c r="AA12042" i="1"/>
  <c r="AA12043" i="1"/>
  <c r="AA12044" i="1"/>
  <c r="AA12045" i="1"/>
  <c r="AA12046" i="1"/>
  <c r="AA12047" i="1"/>
  <c r="AA12048" i="1"/>
  <c r="AA12049" i="1"/>
  <c r="AA12050" i="1"/>
  <c r="AA12051" i="1"/>
  <c r="AA12052" i="1"/>
  <c r="AA12053" i="1"/>
  <c r="AA12054" i="1"/>
  <c r="AA12055" i="1"/>
  <c r="AA12056" i="1"/>
  <c r="AA12057" i="1"/>
  <c r="AA12058" i="1"/>
  <c r="AA12059" i="1"/>
  <c r="AA12060" i="1"/>
  <c r="AA12061" i="1"/>
  <c r="AA12062" i="1"/>
  <c r="AA12063" i="1"/>
  <c r="AA12064" i="1"/>
  <c r="AA12065" i="1"/>
  <c r="AA12066" i="1"/>
  <c r="AA12067" i="1"/>
  <c r="AA12068" i="1"/>
  <c r="AA12069" i="1"/>
  <c r="AA12070" i="1"/>
  <c r="AA12071" i="1"/>
  <c r="AA12072" i="1"/>
  <c r="AA12073" i="1"/>
  <c r="AA12074" i="1"/>
  <c r="AA12075" i="1"/>
  <c r="AA12076" i="1"/>
  <c r="AA12077" i="1"/>
  <c r="AA12078" i="1"/>
  <c r="AA12079" i="1"/>
  <c r="AA12080" i="1"/>
  <c r="AA12081" i="1"/>
  <c r="AA12082" i="1"/>
  <c r="AA12083" i="1"/>
  <c r="AA12084" i="1"/>
  <c r="AA12085" i="1"/>
  <c r="AA12086" i="1"/>
  <c r="AA12087" i="1"/>
  <c r="AA12088" i="1"/>
  <c r="AA12089" i="1"/>
  <c r="AA12090" i="1"/>
  <c r="AA12091" i="1"/>
  <c r="AA12092" i="1"/>
  <c r="AA12093" i="1"/>
  <c r="AA12094" i="1"/>
  <c r="AA12095" i="1"/>
  <c r="AA12096" i="1"/>
  <c r="AA12097" i="1"/>
  <c r="AA12098" i="1"/>
  <c r="AA12099" i="1"/>
  <c r="AA12100" i="1"/>
  <c r="AA12101" i="1"/>
  <c r="AA12102" i="1"/>
  <c r="AA12103" i="1"/>
  <c r="AA12104" i="1"/>
  <c r="AA12105" i="1"/>
  <c r="AA12106" i="1"/>
  <c r="AA12107" i="1"/>
  <c r="AA12108" i="1"/>
  <c r="AA12109" i="1"/>
  <c r="AA12110" i="1"/>
  <c r="AA12111" i="1"/>
  <c r="AA12112" i="1"/>
  <c r="AA12113" i="1"/>
  <c r="AA12114" i="1"/>
  <c r="AA12115" i="1"/>
  <c r="AA12116" i="1"/>
  <c r="AA12117" i="1"/>
  <c r="AA12118" i="1"/>
  <c r="AA12119" i="1"/>
  <c r="AA12120" i="1"/>
  <c r="AA12121" i="1"/>
  <c r="AA12122" i="1"/>
  <c r="AA12123" i="1"/>
  <c r="AA12124" i="1"/>
  <c r="AA12125" i="1"/>
  <c r="AA12126" i="1"/>
  <c r="AA12127" i="1"/>
  <c r="AA12128" i="1"/>
  <c r="AA12129" i="1"/>
  <c r="AA12130" i="1"/>
  <c r="AA12131" i="1"/>
  <c r="AA12132" i="1"/>
  <c r="AA12133" i="1"/>
  <c r="AA12134" i="1"/>
  <c r="AA12135" i="1"/>
  <c r="AA12136" i="1"/>
  <c r="AA12137" i="1"/>
  <c r="AA12138" i="1"/>
  <c r="AA12139" i="1"/>
  <c r="AA12140" i="1"/>
  <c r="AA12141" i="1"/>
  <c r="AA12142" i="1"/>
  <c r="AA12143" i="1"/>
  <c r="AA12144" i="1"/>
  <c r="AA12145" i="1"/>
  <c r="AA12146" i="1"/>
  <c r="AA12147" i="1"/>
  <c r="AA12148" i="1"/>
  <c r="AA12149" i="1"/>
  <c r="AA12150" i="1"/>
  <c r="AA12151" i="1"/>
  <c r="AA12152" i="1"/>
  <c r="AA12153" i="1"/>
  <c r="AA12154" i="1"/>
  <c r="AA12155" i="1"/>
  <c r="AA12156" i="1"/>
  <c r="AA12157" i="1"/>
  <c r="AA12158" i="1"/>
  <c r="AA12159" i="1"/>
  <c r="AA12160" i="1"/>
  <c r="AA12161" i="1"/>
  <c r="AA12162" i="1"/>
  <c r="AA12163" i="1"/>
  <c r="AA12164" i="1"/>
  <c r="AA12165" i="1"/>
  <c r="AA12166" i="1"/>
  <c r="AA12167" i="1"/>
  <c r="AA12168" i="1"/>
  <c r="AA12169" i="1"/>
  <c r="AA12170" i="1"/>
  <c r="AA12171" i="1"/>
  <c r="AA12172" i="1"/>
  <c r="AA12173" i="1"/>
  <c r="AA12174" i="1"/>
  <c r="AA12175" i="1"/>
  <c r="AA12176" i="1"/>
  <c r="AA12177" i="1"/>
  <c r="AA12178" i="1"/>
  <c r="AA12179" i="1"/>
  <c r="AA12180" i="1"/>
  <c r="AA12181" i="1"/>
  <c r="AA12182" i="1"/>
  <c r="AA12183" i="1"/>
  <c r="AA12184" i="1"/>
  <c r="AA12185" i="1"/>
  <c r="AA12186" i="1"/>
  <c r="AA12187" i="1"/>
  <c r="AA12188" i="1"/>
  <c r="AA12189" i="1"/>
  <c r="AA12190" i="1"/>
  <c r="AA12191" i="1"/>
  <c r="AA12192" i="1"/>
  <c r="AA12193" i="1"/>
  <c r="AA12194" i="1"/>
  <c r="AA12195" i="1"/>
  <c r="AA12196" i="1"/>
  <c r="AA12197" i="1"/>
  <c r="AA12198" i="1"/>
  <c r="AA12199" i="1"/>
  <c r="AA12200" i="1"/>
  <c r="AA12201" i="1"/>
  <c r="AA12202" i="1"/>
  <c r="AA12203" i="1"/>
  <c r="AA12204" i="1"/>
  <c r="AA12205" i="1"/>
  <c r="AA12206" i="1"/>
  <c r="AA12207" i="1"/>
  <c r="AA12208" i="1"/>
  <c r="AA12209" i="1"/>
  <c r="AA12210" i="1"/>
  <c r="AA12211" i="1"/>
  <c r="AA12212" i="1"/>
  <c r="AA12213" i="1"/>
  <c r="AA12214" i="1"/>
  <c r="AA12215" i="1"/>
  <c r="AA12216" i="1"/>
  <c r="AA12217" i="1"/>
  <c r="AA12218" i="1"/>
  <c r="AA12219" i="1"/>
  <c r="AA12220" i="1"/>
  <c r="AA12221" i="1"/>
  <c r="AA12222" i="1"/>
  <c r="AA12223" i="1"/>
  <c r="AA12224" i="1"/>
  <c r="AA12225" i="1"/>
  <c r="AA12226" i="1"/>
  <c r="AA12227" i="1"/>
  <c r="AA12228" i="1"/>
  <c r="AA12229" i="1"/>
  <c r="AA12230" i="1"/>
  <c r="AA12231" i="1"/>
  <c r="AA12232" i="1"/>
  <c r="AA12233" i="1"/>
  <c r="AA12234" i="1"/>
  <c r="AA12235" i="1"/>
  <c r="AA12236" i="1"/>
  <c r="AA12237" i="1"/>
  <c r="AA12238" i="1"/>
  <c r="AA12239" i="1"/>
  <c r="AA12240" i="1"/>
  <c r="AA12241" i="1"/>
  <c r="AA12242" i="1"/>
  <c r="AA12243" i="1"/>
  <c r="AA12244" i="1"/>
  <c r="AA12245" i="1"/>
  <c r="AA12246" i="1"/>
  <c r="AA12247" i="1"/>
  <c r="AA12248" i="1"/>
  <c r="AA12249" i="1"/>
  <c r="AA12250" i="1"/>
  <c r="AA12251" i="1"/>
  <c r="AA12252" i="1"/>
  <c r="AA12253" i="1"/>
  <c r="AA12254" i="1"/>
  <c r="AA12255" i="1"/>
  <c r="AA12256" i="1"/>
  <c r="AA12257" i="1"/>
  <c r="AA12258" i="1"/>
  <c r="AA12259" i="1"/>
  <c r="AA12260" i="1"/>
  <c r="AA12261" i="1"/>
  <c r="AA12262" i="1"/>
  <c r="AA12263" i="1"/>
  <c r="AA12264" i="1"/>
  <c r="AA12265" i="1"/>
  <c r="AA12266" i="1"/>
  <c r="AA12267" i="1"/>
  <c r="AA12268" i="1"/>
  <c r="AA12269" i="1"/>
  <c r="AA12270" i="1"/>
  <c r="AA12271" i="1"/>
  <c r="AA12272" i="1"/>
  <c r="AA12273" i="1"/>
  <c r="AA12274" i="1"/>
  <c r="AA12275" i="1"/>
  <c r="AA12276" i="1"/>
  <c r="AA12277" i="1"/>
  <c r="AA12278" i="1"/>
  <c r="AA12279" i="1"/>
  <c r="AA12280" i="1"/>
  <c r="AA12281" i="1"/>
  <c r="AA12282" i="1"/>
  <c r="AA12283" i="1"/>
  <c r="AA12284" i="1"/>
  <c r="AA12285" i="1"/>
  <c r="AA12286" i="1"/>
  <c r="AA12287" i="1"/>
  <c r="AA12288" i="1"/>
  <c r="AA12289" i="1"/>
  <c r="AA12290" i="1"/>
  <c r="AA12291" i="1"/>
  <c r="AA12292" i="1"/>
  <c r="AA12293" i="1"/>
  <c r="AA12294" i="1"/>
  <c r="AA12295" i="1"/>
  <c r="AA12296" i="1"/>
  <c r="AA12297" i="1"/>
  <c r="AA12298" i="1"/>
  <c r="AA12299" i="1"/>
  <c r="AA12300" i="1"/>
  <c r="AA12301" i="1"/>
  <c r="AA12302" i="1"/>
  <c r="AA12303" i="1"/>
  <c r="AA12304" i="1"/>
  <c r="AA12305" i="1"/>
  <c r="AA12306" i="1"/>
  <c r="AA12307" i="1"/>
  <c r="AA12308" i="1"/>
  <c r="AA12309" i="1"/>
  <c r="AA12310" i="1"/>
  <c r="AA12311" i="1"/>
  <c r="AA12312" i="1"/>
  <c r="AA12313" i="1"/>
  <c r="AA12314" i="1"/>
  <c r="AA12315" i="1"/>
  <c r="AA12316" i="1"/>
  <c r="AA12317" i="1"/>
  <c r="AA12318" i="1"/>
  <c r="AA12319" i="1"/>
  <c r="AA12320" i="1"/>
  <c r="AA12321" i="1"/>
  <c r="AA12322" i="1"/>
  <c r="AA12323" i="1"/>
  <c r="AA12324" i="1"/>
  <c r="AA12325" i="1"/>
  <c r="AA12326" i="1"/>
  <c r="AA12327" i="1"/>
  <c r="AA12328" i="1"/>
  <c r="AA12329" i="1"/>
  <c r="AA12330" i="1"/>
  <c r="AA12331" i="1"/>
  <c r="AA12332" i="1"/>
  <c r="AA12333" i="1"/>
  <c r="AA12334" i="1"/>
  <c r="AA12335" i="1"/>
  <c r="AA12337" i="1"/>
  <c r="AA12338" i="1"/>
  <c r="AA12339" i="1"/>
  <c r="AA12340" i="1"/>
  <c r="AA12341" i="1"/>
  <c r="AA12342" i="1"/>
  <c r="AA12343" i="1"/>
  <c r="AA12345" i="1"/>
  <c r="AA12346" i="1"/>
  <c r="AA12347" i="1"/>
  <c r="AA12348" i="1"/>
  <c r="AA12349" i="1"/>
  <c r="AA12350" i="1"/>
  <c r="AA12351" i="1"/>
  <c r="AA12352" i="1"/>
  <c r="AA12353" i="1"/>
  <c r="AA12354" i="1"/>
  <c r="AA12355" i="1"/>
  <c r="AA12356" i="1"/>
  <c r="AA12357" i="1"/>
  <c r="AA12358" i="1"/>
  <c r="AA12359" i="1"/>
  <c r="AA12360" i="1"/>
  <c r="AA12361" i="1"/>
  <c r="AA12362" i="1"/>
  <c r="AA12363" i="1"/>
  <c r="AA12364" i="1"/>
  <c r="AA12365" i="1"/>
  <c r="AA12366" i="1"/>
  <c r="AA12367" i="1"/>
  <c r="AA12368" i="1"/>
  <c r="AA12369" i="1"/>
  <c r="AA12370" i="1"/>
  <c r="AA12371" i="1"/>
  <c r="AA12372" i="1"/>
  <c r="AA12374" i="1"/>
  <c r="AA12375" i="1"/>
  <c r="AA12376" i="1"/>
  <c r="AA12377" i="1"/>
  <c r="AA12378" i="1"/>
  <c r="AA12380" i="1"/>
  <c r="AA12381" i="1"/>
  <c r="AA12382" i="1"/>
  <c r="AA12383" i="1"/>
  <c r="AA12384" i="1"/>
  <c r="AA12385" i="1"/>
  <c r="AA12386" i="1"/>
  <c r="AA12387" i="1"/>
  <c r="AA12388" i="1"/>
  <c r="AA12389" i="1"/>
  <c r="AA12390" i="1"/>
  <c r="AA12391" i="1"/>
  <c r="AA12392" i="1"/>
  <c r="AA12393" i="1"/>
  <c r="AA12394" i="1"/>
  <c r="AA12395" i="1"/>
  <c r="AA12396" i="1"/>
  <c r="AA12397" i="1"/>
  <c r="AA12398" i="1"/>
  <c r="AA12399" i="1"/>
  <c r="AA12400" i="1"/>
  <c r="AA12401" i="1"/>
  <c r="AA12402" i="1"/>
  <c r="AA12403" i="1"/>
  <c r="AA12404" i="1"/>
  <c r="AA12405" i="1"/>
  <c r="AA12406" i="1"/>
  <c r="AA12407" i="1"/>
  <c r="AA12408" i="1"/>
  <c r="AA12409" i="1"/>
  <c r="AA12410" i="1"/>
  <c r="AA12411" i="1"/>
  <c r="AA12412" i="1"/>
  <c r="AA12413" i="1"/>
  <c r="AA12414" i="1"/>
  <c r="AA12415" i="1"/>
  <c r="AA12416" i="1"/>
  <c r="AA12417" i="1"/>
  <c r="AA12418" i="1"/>
  <c r="AA12419" i="1"/>
  <c r="AA12420" i="1"/>
  <c r="AA12421" i="1"/>
  <c r="AA12422" i="1"/>
  <c r="AA12423" i="1"/>
  <c r="AA12424" i="1"/>
  <c r="AA12425" i="1"/>
  <c r="AA12426" i="1"/>
  <c r="AA12427" i="1"/>
  <c r="AA12428" i="1"/>
  <c r="AA12429" i="1"/>
  <c r="AA12430" i="1"/>
  <c r="AA12431" i="1"/>
  <c r="AA12432" i="1"/>
  <c r="AA12433" i="1"/>
  <c r="AA12434" i="1"/>
  <c r="AA12435" i="1"/>
  <c r="AA12436" i="1"/>
  <c r="AA12437" i="1"/>
  <c r="AA12438" i="1"/>
  <c r="AA12439" i="1"/>
  <c r="AA12440" i="1"/>
  <c r="AA12441" i="1"/>
  <c r="AA12442" i="1"/>
  <c r="AA12443" i="1"/>
  <c r="AA12444" i="1"/>
  <c r="AA12445" i="1"/>
  <c r="AA12446" i="1"/>
  <c r="AA12447" i="1"/>
  <c r="AA12448" i="1"/>
  <c r="AA12449" i="1"/>
  <c r="AA12450" i="1"/>
  <c r="AA12451" i="1"/>
  <c r="AA12452" i="1"/>
  <c r="AA12453" i="1"/>
  <c r="AA12454" i="1"/>
  <c r="AA12455" i="1"/>
  <c r="AA12456" i="1"/>
  <c r="AA12457" i="1"/>
  <c r="AA12458" i="1"/>
  <c r="AA12459" i="1"/>
  <c r="AA12460" i="1"/>
  <c r="AA12461" i="1"/>
  <c r="AA12462" i="1"/>
  <c r="AA12463" i="1"/>
  <c r="AA12464" i="1"/>
  <c r="AA12465" i="1"/>
  <c r="AA12466" i="1"/>
  <c r="AA12467" i="1"/>
  <c r="AA12468" i="1"/>
  <c r="AA12469" i="1"/>
  <c r="AA12470" i="1"/>
  <c r="AA12471" i="1"/>
  <c r="AA12472" i="1"/>
  <c r="AA12473" i="1"/>
  <c r="AA12474" i="1"/>
  <c r="AA12475" i="1"/>
  <c r="AA12476" i="1"/>
  <c r="AA12477" i="1"/>
  <c r="AA12478" i="1"/>
  <c r="AA12479" i="1"/>
  <c r="AA12480" i="1"/>
  <c r="AA12481" i="1"/>
  <c r="AA12482" i="1"/>
  <c r="AA12483" i="1"/>
  <c r="AA12484" i="1"/>
  <c r="AA12485" i="1"/>
  <c r="AA12486" i="1"/>
  <c r="AA12487" i="1"/>
  <c r="AA12488" i="1"/>
  <c r="AA12489" i="1"/>
  <c r="AA12490" i="1"/>
  <c r="AA12491" i="1"/>
  <c r="AA12492" i="1"/>
  <c r="AA12493" i="1"/>
  <c r="AA12494" i="1"/>
  <c r="AA12495" i="1"/>
  <c r="AA12496" i="1"/>
  <c r="AA12497" i="1"/>
  <c r="AA12498" i="1"/>
  <c r="AA12499" i="1"/>
  <c r="AA12500" i="1"/>
  <c r="AA12501" i="1"/>
  <c r="AA12502" i="1"/>
  <c r="AA12503" i="1"/>
  <c r="AA12504" i="1"/>
  <c r="AA12505" i="1"/>
  <c r="AA12506" i="1"/>
  <c r="AA12507" i="1"/>
  <c r="AA12508" i="1"/>
  <c r="AA12509" i="1"/>
  <c r="AA12510" i="1"/>
  <c r="AA12511" i="1"/>
  <c r="AA12512" i="1"/>
  <c r="AA12513" i="1"/>
  <c r="AA12514" i="1"/>
  <c r="AA12515" i="1"/>
  <c r="AA12516" i="1"/>
  <c r="AA12517" i="1"/>
  <c r="AA12518" i="1"/>
  <c r="AA12519" i="1"/>
  <c r="AA12520" i="1"/>
  <c r="AA12521" i="1"/>
  <c r="AA12522" i="1"/>
  <c r="AA12523" i="1"/>
  <c r="AA12524" i="1"/>
  <c r="AA12525" i="1"/>
  <c r="AA12526" i="1"/>
  <c r="AA12527" i="1"/>
  <c r="AA12528" i="1"/>
  <c r="AA12529" i="1"/>
  <c r="AA12530" i="1"/>
  <c r="AA12531" i="1"/>
  <c r="AA12532" i="1"/>
  <c r="AA12533" i="1"/>
  <c r="AA12534" i="1"/>
  <c r="AA12535" i="1"/>
  <c r="AA12536" i="1"/>
  <c r="AA12537" i="1"/>
  <c r="AA12538" i="1"/>
  <c r="AA12539" i="1"/>
  <c r="AA12540" i="1"/>
  <c r="AA12541" i="1"/>
  <c r="AA12542" i="1"/>
  <c r="AA12543" i="1"/>
  <c r="AA12544" i="1"/>
  <c r="AA12545" i="1"/>
  <c r="AA12546" i="1"/>
  <c r="AA12547" i="1"/>
  <c r="AA12548" i="1"/>
  <c r="AA12549" i="1"/>
  <c r="AA12550" i="1"/>
  <c r="AA12551" i="1"/>
  <c r="AA12552" i="1"/>
  <c r="AA12553" i="1"/>
  <c r="AA12554" i="1"/>
  <c r="AA12555" i="1"/>
  <c r="AA12556" i="1"/>
  <c r="AA12557" i="1"/>
  <c r="AA12558" i="1"/>
  <c r="AA12559" i="1"/>
  <c r="AA12560" i="1"/>
  <c r="AA12561" i="1"/>
  <c r="AA12562" i="1"/>
  <c r="AA12563" i="1"/>
  <c r="AA12564" i="1"/>
  <c r="AA12565" i="1"/>
  <c r="AA12566" i="1"/>
  <c r="AA12567" i="1"/>
  <c r="AA12568" i="1"/>
  <c r="AA12569" i="1"/>
  <c r="AA12570" i="1"/>
  <c r="AA12571" i="1"/>
  <c r="AA12572" i="1"/>
  <c r="AA12573" i="1"/>
  <c r="AA12574" i="1"/>
  <c r="AA12575" i="1"/>
  <c r="AA12576" i="1"/>
  <c r="AA12577" i="1"/>
  <c r="AA12578" i="1"/>
  <c r="AA12579" i="1"/>
  <c r="AA12580" i="1"/>
  <c r="AA12581" i="1"/>
  <c r="AA12582" i="1"/>
  <c r="AA12583" i="1"/>
  <c r="AA12584" i="1"/>
  <c r="AA12585" i="1"/>
  <c r="AA12586" i="1"/>
  <c r="AA12587" i="1"/>
  <c r="AA12588" i="1"/>
  <c r="AA12589" i="1"/>
  <c r="AA12590" i="1"/>
  <c r="AA12591" i="1"/>
  <c r="AA12592" i="1"/>
  <c r="AA12593" i="1"/>
  <c r="AA12594" i="1"/>
  <c r="AA12595" i="1"/>
  <c r="AA12596" i="1"/>
  <c r="AA12597" i="1"/>
  <c r="AA12598" i="1"/>
  <c r="AA12599" i="1"/>
  <c r="AA12600" i="1"/>
  <c r="AA12601" i="1"/>
  <c r="AA12602" i="1"/>
  <c r="AA12603" i="1"/>
  <c r="AA12604" i="1"/>
  <c r="AA12605" i="1"/>
  <c r="AA12606" i="1"/>
  <c r="AA12607" i="1"/>
  <c r="AA12608" i="1"/>
  <c r="AA12609" i="1"/>
  <c r="AA12610" i="1"/>
  <c r="AA12611" i="1"/>
  <c r="AA12612" i="1"/>
  <c r="AA12613" i="1"/>
  <c r="AA12614" i="1"/>
  <c r="AA12615" i="1"/>
  <c r="AA12616" i="1"/>
  <c r="AA12617" i="1"/>
  <c r="AA12618" i="1"/>
  <c r="AA12619" i="1"/>
  <c r="AA12620" i="1"/>
  <c r="AA12621" i="1"/>
  <c r="AA12622" i="1"/>
  <c r="AA12623" i="1"/>
  <c r="AA12624" i="1"/>
  <c r="AA12625" i="1"/>
  <c r="AA12626" i="1"/>
  <c r="AA12627" i="1"/>
  <c r="AA12628" i="1"/>
  <c r="AA12629" i="1"/>
  <c r="AA12630" i="1"/>
  <c r="AA12631" i="1"/>
  <c r="AA12632" i="1"/>
  <c r="AA12633" i="1"/>
  <c r="AA12634" i="1"/>
  <c r="AA12635" i="1"/>
  <c r="AA12636" i="1"/>
  <c r="AA12637" i="1"/>
  <c r="AA12638" i="1"/>
  <c r="AA12639" i="1"/>
  <c r="AA12640" i="1"/>
  <c r="AA12641" i="1"/>
  <c r="AA12642" i="1"/>
  <c r="AA12643" i="1"/>
  <c r="AA12644" i="1"/>
  <c r="AA12645" i="1"/>
  <c r="AA12646" i="1"/>
  <c r="AA12647" i="1"/>
  <c r="AA12648" i="1"/>
  <c r="AA12649" i="1"/>
  <c r="AA12650" i="1"/>
  <c r="AA12651" i="1"/>
  <c r="AA12652" i="1"/>
  <c r="AA12653" i="1"/>
  <c r="AA12654" i="1"/>
  <c r="AA12655" i="1"/>
  <c r="AA12657" i="1"/>
  <c r="AA12658" i="1"/>
  <c r="AA12659" i="1"/>
  <c r="AA12660" i="1"/>
  <c r="AA12661" i="1"/>
  <c r="AA12662" i="1"/>
  <c r="AA12663" i="1"/>
  <c r="AA12664" i="1"/>
  <c r="AA12665" i="1"/>
  <c r="AA12666" i="1"/>
  <c r="AA12667" i="1"/>
  <c r="AA12668" i="1"/>
  <c r="AA12669" i="1"/>
  <c r="AA12670" i="1"/>
  <c r="AA12671" i="1"/>
  <c r="AA12672" i="1"/>
  <c r="AA12673" i="1"/>
  <c r="AA12674" i="1"/>
  <c r="AA12675" i="1"/>
  <c r="AA12676" i="1"/>
  <c r="AA12677" i="1"/>
  <c r="AA12678" i="1"/>
  <c r="AA12679" i="1"/>
  <c r="AA12680" i="1"/>
  <c r="AA12681" i="1"/>
  <c r="AA12682" i="1"/>
  <c r="AA12683" i="1"/>
  <c r="AA12685" i="1"/>
  <c r="AA12686" i="1"/>
  <c r="AA12687" i="1"/>
  <c r="AA12688" i="1"/>
  <c r="AA12689" i="1"/>
  <c r="AA12690" i="1"/>
  <c r="AA12691" i="1"/>
  <c r="AA12692" i="1"/>
  <c r="AA12693" i="1"/>
  <c r="AA12694" i="1"/>
  <c r="AA12695" i="1"/>
  <c r="AA12696" i="1"/>
  <c r="AA12697" i="1"/>
  <c r="AA12698" i="1"/>
  <c r="AA12699" i="1"/>
  <c r="AA12700" i="1"/>
  <c r="AA12701" i="1"/>
  <c r="AA12702" i="1"/>
  <c r="AA12703" i="1"/>
  <c r="AA12704" i="1"/>
  <c r="AA12705" i="1"/>
  <c r="AA12706" i="1"/>
  <c r="AA12707" i="1"/>
  <c r="AA12708" i="1"/>
  <c r="AA12709" i="1"/>
  <c r="AA12710" i="1"/>
  <c r="AA12711" i="1"/>
  <c r="AA12713" i="1"/>
  <c r="AA12715" i="1"/>
  <c r="AA12716" i="1"/>
  <c r="AA12717" i="1"/>
  <c r="AA12718" i="1"/>
  <c r="AA12719" i="1"/>
  <c r="AA12720" i="1"/>
  <c r="AA12721" i="1"/>
  <c r="AA12722" i="1"/>
  <c r="AA12723" i="1"/>
  <c r="AA12724" i="1"/>
  <c r="AA12725" i="1"/>
  <c r="AA12730" i="1"/>
  <c r="AA12731" i="1"/>
  <c r="AA12732" i="1"/>
  <c r="AA12733" i="1"/>
  <c r="AA12734" i="1"/>
  <c r="AA12735" i="1"/>
  <c r="AA12736" i="1"/>
  <c r="AA12737" i="1"/>
  <c r="AA12738" i="1"/>
  <c r="AA12739" i="1"/>
  <c r="AA12740" i="1"/>
  <c r="AA12741" i="1"/>
  <c r="AA12742" i="1"/>
  <c r="AA12743" i="1"/>
  <c r="AA12744" i="1"/>
  <c r="AA12745" i="1"/>
  <c r="AA12746" i="1"/>
  <c r="AA12747" i="1"/>
  <c r="AA12748" i="1"/>
  <c r="AA12749" i="1"/>
  <c r="AA12750" i="1"/>
  <c r="AA12751" i="1"/>
  <c r="AA12752" i="1"/>
  <c r="AA12753" i="1"/>
  <c r="AA12754" i="1"/>
  <c r="AA12755" i="1"/>
  <c r="AA12756" i="1"/>
  <c r="AA12757" i="1"/>
  <c r="AA12758" i="1"/>
  <c r="AA12759" i="1"/>
  <c r="AA12760" i="1"/>
  <c r="AA12761" i="1"/>
  <c r="AA12762" i="1"/>
  <c r="AA12763" i="1"/>
  <c r="AA12765" i="1"/>
  <c r="AA12766" i="1"/>
  <c r="AA12768" i="1"/>
  <c r="AA12769" i="1"/>
  <c r="AA12770" i="1"/>
  <c r="AA12771" i="1"/>
  <c r="AA12773" i="1"/>
  <c r="AA12774" i="1"/>
  <c r="AA12775" i="1"/>
  <c r="AA12777" i="1"/>
  <c r="AA12778" i="1"/>
  <c r="AA12779" i="1"/>
  <c r="AA12780" i="1"/>
  <c r="AA12781" i="1"/>
  <c r="AA12782" i="1"/>
  <c r="AA12784" i="1"/>
  <c r="AA12785" i="1"/>
  <c r="AA12786" i="1"/>
  <c r="AA12790" i="1"/>
  <c r="AA12791" i="1"/>
  <c r="AA12792" i="1"/>
  <c r="AA12793" i="1"/>
  <c r="AA12794" i="1"/>
  <c r="AA12795" i="1"/>
  <c r="AA12796" i="1"/>
  <c r="AA12798" i="1"/>
  <c r="AA12799" i="1"/>
  <c r="AA12800" i="1"/>
  <c r="AA12801" i="1"/>
  <c r="AA12802" i="1"/>
  <c r="AA12804" i="1"/>
  <c r="AA12805" i="1"/>
  <c r="AA12806" i="1"/>
  <c r="AA12807" i="1"/>
  <c r="AA12808" i="1"/>
  <c r="AA12809" i="1"/>
  <c r="AA12810" i="1"/>
  <c r="AA12811" i="1"/>
  <c r="AA12812" i="1"/>
  <c r="AA12813" i="1"/>
  <c r="AA12814" i="1"/>
  <c r="AA12815" i="1"/>
  <c r="AA12816" i="1"/>
  <c r="AA12817" i="1"/>
  <c r="AA12818" i="1"/>
  <c r="AA12819" i="1"/>
  <c r="AA12820" i="1"/>
  <c r="AA12822" i="1"/>
  <c r="AA12823" i="1"/>
  <c r="AA12824" i="1"/>
  <c r="AA12825" i="1"/>
  <c r="AA12829" i="1"/>
  <c r="AA12830" i="1"/>
  <c r="AA12831" i="1"/>
  <c r="AA12832" i="1"/>
  <c r="AA12833" i="1"/>
  <c r="AA12834" i="1"/>
  <c r="AA12835" i="1"/>
  <c r="AA12836" i="1"/>
  <c r="AA12838" i="1"/>
  <c r="AA12839" i="1"/>
  <c r="AA12840" i="1"/>
  <c r="AA12841" i="1"/>
  <c r="AA12842" i="1"/>
  <c r="AA12843" i="1"/>
  <c r="AA12844" i="1"/>
  <c r="AA12845" i="1"/>
  <c r="AA12846" i="1"/>
  <c r="AA12847" i="1"/>
  <c r="AA12849" i="1"/>
  <c r="AA12850" i="1"/>
  <c r="AA12851" i="1"/>
  <c r="AA12852" i="1"/>
  <c r="AA12853" i="1"/>
  <c r="AA12854" i="1"/>
  <c r="AA12855" i="1"/>
  <c r="AA12856" i="1"/>
  <c r="AA12857" i="1"/>
  <c r="AA12858" i="1"/>
  <c r="AA12859" i="1"/>
  <c r="AA12860" i="1"/>
  <c r="AA12861" i="1"/>
  <c r="AA12862" i="1"/>
  <c r="AA12863" i="1"/>
  <c r="AA12864" i="1"/>
  <c r="AA12865" i="1"/>
  <c r="AA12866" i="1"/>
  <c r="AA12867" i="1"/>
  <c r="AA12868" i="1"/>
  <c r="AA12869" i="1"/>
  <c r="AA12870" i="1"/>
  <c r="AA12871" i="1"/>
  <c r="AA12872" i="1"/>
  <c r="AA12873" i="1"/>
  <c r="AA12874" i="1"/>
  <c r="AA12875" i="1"/>
  <c r="AA12876" i="1"/>
  <c r="AA12877" i="1"/>
  <c r="AA12878" i="1"/>
  <c r="AA12879" i="1"/>
  <c r="AA12880" i="1"/>
  <c r="AA12881" i="1"/>
  <c r="AA12882" i="1"/>
  <c r="AA12883" i="1"/>
  <c r="AA12884" i="1"/>
  <c r="AA12885" i="1"/>
  <c r="AA12886" i="1"/>
  <c r="AA12887" i="1"/>
  <c r="AA12888" i="1"/>
  <c r="AA12889" i="1"/>
  <c r="AA12890" i="1"/>
  <c r="AA12891" i="1"/>
  <c r="AA12892" i="1"/>
  <c r="AA12893" i="1"/>
  <c r="AA12894" i="1"/>
  <c r="AA12895" i="1"/>
  <c r="AA12896" i="1"/>
  <c r="AA12897" i="1"/>
  <c r="AA12898" i="1"/>
  <c r="AA12899" i="1"/>
  <c r="AA12900" i="1"/>
  <c r="AA12901" i="1"/>
  <c r="AA12902" i="1"/>
  <c r="AA12903" i="1"/>
  <c r="AA12904" i="1"/>
  <c r="AA12905" i="1"/>
  <c r="AA12906" i="1"/>
  <c r="AA12907" i="1"/>
  <c r="AA12908" i="1"/>
  <c r="AA12909" i="1"/>
  <c r="AA12910" i="1"/>
  <c r="AA12911" i="1"/>
  <c r="AA12912" i="1"/>
  <c r="AA12913" i="1"/>
  <c r="AA12914" i="1"/>
  <c r="AA12915" i="1"/>
  <c r="AA12916" i="1"/>
  <c r="AA12917" i="1"/>
  <c r="AA12918" i="1"/>
  <c r="AA12919" i="1"/>
  <c r="AA12920" i="1"/>
  <c r="AA12921" i="1"/>
  <c r="AA12922" i="1"/>
  <c r="AA12923" i="1"/>
  <c r="AA12924" i="1"/>
  <c r="AA12925" i="1"/>
  <c r="AA12926" i="1"/>
  <c r="AA12927" i="1"/>
  <c r="AA12928" i="1"/>
  <c r="AA12929" i="1"/>
  <c r="AA12930" i="1"/>
  <c r="AA12931" i="1"/>
  <c r="AA12932" i="1"/>
  <c r="AA12933" i="1"/>
  <c r="AA12934" i="1"/>
  <c r="AA12935" i="1"/>
  <c r="AA12936" i="1"/>
  <c r="AA12937" i="1"/>
  <c r="AA12938" i="1"/>
  <c r="AA12939" i="1"/>
  <c r="AA12940" i="1"/>
  <c r="AA12941" i="1"/>
  <c r="AA12942" i="1"/>
  <c r="AA12943" i="1"/>
  <c r="AA12944" i="1"/>
  <c r="AA12945" i="1"/>
  <c r="AA12946" i="1"/>
  <c r="AA12947" i="1"/>
  <c r="AA12948" i="1"/>
  <c r="AA12949" i="1"/>
  <c r="AA12950" i="1"/>
  <c r="AA12951" i="1"/>
  <c r="AA12952" i="1"/>
  <c r="AA12953" i="1"/>
  <c r="AA12954" i="1"/>
  <c r="AA12955" i="1"/>
  <c r="AA12956" i="1"/>
  <c r="AA12957" i="1"/>
  <c r="AA12958" i="1"/>
  <c r="AA12959" i="1"/>
  <c r="AA12960" i="1"/>
  <c r="AA12961" i="1"/>
  <c r="AA12962" i="1"/>
  <c r="AA12963" i="1"/>
  <c r="AA12964" i="1"/>
  <c r="AA12965" i="1"/>
  <c r="AA12966" i="1"/>
  <c r="AA12967" i="1"/>
  <c r="AA12968" i="1"/>
  <c r="AA12969" i="1"/>
  <c r="AA12970" i="1"/>
  <c r="AA12971" i="1"/>
  <c r="AA12972" i="1"/>
  <c r="AA12973" i="1"/>
  <c r="AA12974" i="1"/>
  <c r="AA12975" i="1"/>
  <c r="AA12976" i="1"/>
  <c r="AA12977" i="1"/>
  <c r="AA12978" i="1"/>
  <c r="AA12979" i="1"/>
  <c r="AA12980" i="1"/>
  <c r="AA12981" i="1"/>
  <c r="AA12982" i="1"/>
  <c r="AA12983" i="1"/>
  <c r="AA12984" i="1"/>
  <c r="AA12985" i="1"/>
  <c r="AA12986" i="1"/>
  <c r="AA12987" i="1"/>
  <c r="AA12988" i="1"/>
  <c r="AA12989" i="1"/>
  <c r="AA12990" i="1"/>
  <c r="AA12991" i="1"/>
  <c r="AA12992" i="1"/>
  <c r="AA12993" i="1"/>
  <c r="AA12994" i="1"/>
  <c r="AA12995" i="1"/>
  <c r="AA12996" i="1"/>
  <c r="AA12997" i="1"/>
  <c r="AA12998" i="1"/>
  <c r="AA12999" i="1"/>
  <c r="AA13000" i="1"/>
  <c r="AA13001" i="1"/>
  <c r="AA13002" i="1"/>
  <c r="AA13003" i="1"/>
  <c r="AA13004" i="1"/>
  <c r="AA13005" i="1"/>
  <c r="AA13006" i="1"/>
  <c r="AA13007" i="1"/>
  <c r="AA13008" i="1"/>
  <c r="AA13009" i="1"/>
  <c r="AA13010" i="1"/>
  <c r="AA13011" i="1"/>
  <c r="AA13012" i="1"/>
  <c r="AA13013" i="1"/>
  <c r="AA13014" i="1"/>
  <c r="AA13015" i="1"/>
  <c r="AA13016" i="1"/>
  <c r="AA13017" i="1"/>
  <c r="AA13018" i="1"/>
  <c r="AA13019" i="1"/>
  <c r="AA13020" i="1"/>
  <c r="AA13021" i="1"/>
  <c r="AA13022" i="1"/>
  <c r="AA13023" i="1"/>
  <c r="AA13024" i="1"/>
  <c r="AA13025" i="1"/>
  <c r="AA13026" i="1"/>
  <c r="AA13027" i="1"/>
  <c r="AA13028" i="1"/>
  <c r="AA13029" i="1"/>
  <c r="AA13030" i="1"/>
  <c r="AA13031" i="1"/>
  <c r="AA13032" i="1"/>
  <c r="AA13033" i="1"/>
  <c r="AA13034" i="1"/>
  <c r="AA13035" i="1"/>
  <c r="AA13036" i="1"/>
  <c r="AA13037" i="1"/>
  <c r="AA13038" i="1"/>
  <c r="AA13039" i="1"/>
  <c r="AA13040" i="1"/>
  <c r="AA13041" i="1"/>
  <c r="AA13042" i="1"/>
  <c r="AA13043" i="1"/>
  <c r="AA13044" i="1"/>
  <c r="AA13045" i="1"/>
  <c r="AA13046" i="1"/>
  <c r="AA13047" i="1"/>
  <c r="AA13048" i="1"/>
  <c r="AA13049" i="1"/>
  <c r="AA13050" i="1"/>
  <c r="AA13051" i="1"/>
  <c r="AA13052" i="1"/>
  <c r="AA13053" i="1"/>
  <c r="AA13054" i="1"/>
  <c r="AA13055" i="1"/>
  <c r="AA13056" i="1"/>
  <c r="AA13057" i="1"/>
  <c r="AA13058" i="1"/>
  <c r="AA13059" i="1"/>
  <c r="AA13060" i="1"/>
  <c r="AA13061" i="1"/>
  <c r="AA13062" i="1"/>
  <c r="AA13063" i="1"/>
  <c r="AA13064" i="1"/>
  <c r="AA13065" i="1"/>
  <c r="AA13066" i="1"/>
  <c r="AA13067" i="1"/>
  <c r="AA13068" i="1"/>
  <c r="AA13069" i="1"/>
  <c r="AA13070" i="1"/>
  <c r="AA13071" i="1"/>
  <c r="AA13072" i="1"/>
  <c r="AA13073" i="1"/>
  <c r="AA13074" i="1"/>
  <c r="AA13075" i="1"/>
  <c r="AA13076" i="1"/>
  <c r="AA13077" i="1"/>
  <c r="AA13078" i="1"/>
  <c r="AA13079" i="1"/>
  <c r="AA13080" i="1"/>
  <c r="AA13081" i="1"/>
  <c r="AA13082" i="1"/>
  <c r="AA13083" i="1"/>
  <c r="AA13084" i="1"/>
  <c r="AA13085" i="1"/>
  <c r="AA13086" i="1"/>
  <c r="AA13087" i="1"/>
  <c r="AA13088" i="1"/>
  <c r="AA13089" i="1"/>
  <c r="AA13090" i="1"/>
  <c r="AA13091" i="1"/>
  <c r="AA13092" i="1"/>
  <c r="AA13093" i="1"/>
  <c r="AA13094" i="1"/>
  <c r="AA13095" i="1"/>
  <c r="AA13096" i="1"/>
  <c r="AA13097" i="1"/>
  <c r="AA13098" i="1"/>
  <c r="AA13099" i="1"/>
  <c r="AA13100" i="1"/>
  <c r="AA13101" i="1"/>
  <c r="AA13102" i="1"/>
  <c r="AA13103" i="1"/>
  <c r="AA13104" i="1"/>
  <c r="AA13105" i="1"/>
  <c r="AA13106" i="1"/>
  <c r="AA13107" i="1"/>
  <c r="AA13108" i="1"/>
  <c r="AA13109" i="1"/>
  <c r="AA13110" i="1"/>
  <c r="AA13111" i="1"/>
  <c r="AA13112" i="1"/>
  <c r="AA13113" i="1"/>
  <c r="AA13114" i="1"/>
  <c r="AA13115" i="1"/>
  <c r="AA13116" i="1"/>
  <c r="AA13117" i="1"/>
  <c r="AA13118" i="1"/>
  <c r="AA13119" i="1"/>
  <c r="AA13120" i="1"/>
  <c r="AA13121" i="1"/>
  <c r="AA13122" i="1"/>
  <c r="AA13123" i="1"/>
  <c r="AA13124" i="1"/>
  <c r="AA13125" i="1"/>
  <c r="AA13126" i="1"/>
  <c r="AA13127" i="1"/>
  <c r="AA13128" i="1"/>
  <c r="AA13129" i="1"/>
  <c r="AA13130" i="1"/>
  <c r="AA13131" i="1"/>
  <c r="AA13132" i="1"/>
  <c r="AA13133" i="1"/>
  <c r="AA13134" i="1"/>
  <c r="AA13135" i="1"/>
  <c r="AA13136" i="1"/>
  <c r="AA13137" i="1"/>
  <c r="AA13138" i="1"/>
  <c r="AA13139" i="1"/>
  <c r="AA13140" i="1"/>
  <c r="AA13141" i="1"/>
  <c r="AA13142" i="1"/>
  <c r="AA13143" i="1"/>
  <c r="AA13144" i="1"/>
  <c r="AA13145" i="1"/>
  <c r="AA13146" i="1"/>
  <c r="AA13147" i="1"/>
  <c r="AA13148" i="1"/>
  <c r="AA13149" i="1"/>
  <c r="AA13150" i="1"/>
  <c r="AA13151" i="1"/>
  <c r="AA13152" i="1"/>
  <c r="AA13153" i="1"/>
  <c r="AA13154" i="1"/>
  <c r="AA13155" i="1"/>
  <c r="AA13156" i="1"/>
  <c r="AA13157" i="1"/>
  <c r="AA13158" i="1"/>
  <c r="AA13159" i="1"/>
  <c r="AA13160" i="1"/>
  <c r="AA13161" i="1"/>
  <c r="AA13162" i="1"/>
  <c r="AA13163" i="1"/>
  <c r="AA13164" i="1"/>
  <c r="AA13165" i="1"/>
  <c r="AA13166" i="1"/>
  <c r="AA13167" i="1"/>
  <c r="AA13168" i="1"/>
  <c r="AA13169" i="1"/>
  <c r="AA13170" i="1"/>
  <c r="AA13171" i="1"/>
  <c r="AA13172" i="1"/>
  <c r="AA13173" i="1"/>
  <c r="AA13174" i="1"/>
  <c r="AA13175" i="1"/>
  <c r="AA13176" i="1"/>
  <c r="AA13177" i="1"/>
  <c r="AA13178" i="1"/>
  <c r="AA13179" i="1"/>
  <c r="AA13180" i="1"/>
  <c r="AA13181" i="1"/>
  <c r="AA13182" i="1"/>
  <c r="AA13183" i="1"/>
  <c r="AA13184" i="1"/>
  <c r="AA13185" i="1"/>
  <c r="AA13186" i="1"/>
  <c r="AA13187" i="1"/>
  <c r="AA13188" i="1"/>
  <c r="AA13189" i="1"/>
  <c r="AA13190" i="1"/>
  <c r="AA13191" i="1"/>
  <c r="AA13192" i="1"/>
  <c r="AA13193" i="1"/>
  <c r="AA13194" i="1"/>
  <c r="AA13195" i="1"/>
  <c r="AA13196" i="1"/>
  <c r="AA13197" i="1"/>
  <c r="AA13198" i="1"/>
  <c r="AA13199" i="1"/>
  <c r="AA13200" i="1"/>
  <c r="AA13201" i="1"/>
  <c r="AA13202" i="1"/>
  <c r="AA13203" i="1"/>
  <c r="AA13204" i="1"/>
  <c r="AA13205" i="1"/>
  <c r="AA13206" i="1"/>
  <c r="AA13207" i="1"/>
  <c r="AA13208" i="1"/>
  <c r="AA13209" i="1"/>
  <c r="AA13210" i="1"/>
  <c r="AA13211" i="1"/>
  <c r="AA13212" i="1"/>
  <c r="AA13213" i="1"/>
  <c r="AA13214" i="1"/>
  <c r="AA13215" i="1"/>
  <c r="AA13216" i="1"/>
  <c r="AA13217" i="1"/>
  <c r="AA13218" i="1"/>
  <c r="AA13219" i="1"/>
  <c r="AA13220" i="1"/>
  <c r="AA13221" i="1"/>
  <c r="AA13222" i="1"/>
  <c r="AA13223" i="1"/>
  <c r="AA13224" i="1"/>
  <c r="AA13225" i="1"/>
  <c r="AA13226" i="1"/>
  <c r="AA13227" i="1"/>
  <c r="AA13228" i="1"/>
  <c r="AA13229" i="1"/>
  <c r="AA13230" i="1"/>
  <c r="AA13231" i="1"/>
  <c r="AA13232" i="1"/>
  <c r="AA13233" i="1"/>
  <c r="AA13234" i="1"/>
  <c r="AA13235" i="1"/>
  <c r="AA13236" i="1"/>
  <c r="AA13237" i="1"/>
  <c r="AA13238" i="1"/>
  <c r="AA13239" i="1"/>
  <c r="AA13240" i="1"/>
  <c r="AA13241" i="1"/>
  <c r="AA13242" i="1"/>
  <c r="AA13243" i="1"/>
  <c r="AA13244" i="1"/>
  <c r="AA13245" i="1"/>
  <c r="AA13246" i="1"/>
  <c r="AA13247" i="1"/>
  <c r="AA13248" i="1"/>
  <c r="AA13249" i="1"/>
  <c r="AA13250" i="1"/>
  <c r="AA13251" i="1"/>
  <c r="AA13252" i="1"/>
  <c r="AA13253" i="1"/>
  <c r="AA13254" i="1"/>
  <c r="AA13255" i="1"/>
  <c r="AA13256" i="1"/>
  <c r="AA13257" i="1"/>
  <c r="AA13258" i="1"/>
  <c r="AA13259" i="1"/>
  <c r="AA13260" i="1"/>
  <c r="AA13261" i="1"/>
  <c r="AA13262" i="1"/>
  <c r="AA13263" i="1"/>
  <c r="AA13264" i="1"/>
  <c r="AA13265" i="1"/>
  <c r="AA13266" i="1"/>
  <c r="AA13267" i="1"/>
  <c r="AA13268" i="1"/>
  <c r="AA13269" i="1"/>
  <c r="AA13270" i="1"/>
  <c r="AA13271" i="1"/>
  <c r="AA13272" i="1"/>
  <c r="AA13273" i="1"/>
  <c r="AA13274" i="1"/>
  <c r="AA13275" i="1"/>
  <c r="AA13276" i="1"/>
  <c r="AA13277" i="1"/>
  <c r="AA13278" i="1"/>
  <c r="AA13279" i="1"/>
  <c r="AA13280" i="1"/>
  <c r="AA13281" i="1"/>
  <c r="AA13282" i="1"/>
  <c r="AA13283" i="1"/>
  <c r="AA13284" i="1"/>
  <c r="AA13285" i="1"/>
  <c r="AA13286" i="1"/>
  <c r="AA13287" i="1"/>
  <c r="AA13288" i="1"/>
  <c r="AA13289" i="1"/>
  <c r="AA13290" i="1"/>
  <c r="AA13291" i="1"/>
  <c r="AA13292" i="1"/>
  <c r="AA13293" i="1"/>
  <c r="AA13294" i="1"/>
  <c r="AA13295" i="1"/>
  <c r="AA13296" i="1"/>
  <c r="AA13297" i="1"/>
  <c r="AA13298" i="1"/>
  <c r="AA13299" i="1"/>
  <c r="AA13300" i="1"/>
  <c r="AA13301" i="1"/>
  <c r="AA13302" i="1"/>
  <c r="AA13303" i="1"/>
  <c r="AA13304" i="1"/>
  <c r="AA13305" i="1"/>
  <c r="AA13306" i="1"/>
  <c r="AA13307" i="1"/>
  <c r="AA13308" i="1"/>
  <c r="AA13309" i="1"/>
  <c r="AA13310" i="1"/>
  <c r="AA13311" i="1"/>
  <c r="AA13312" i="1"/>
  <c r="AA13313" i="1"/>
  <c r="AA13314" i="1"/>
  <c r="AA13315" i="1"/>
  <c r="AA13316" i="1"/>
  <c r="AA13317" i="1"/>
  <c r="AA13318" i="1"/>
  <c r="AA13319" i="1"/>
  <c r="AA13320" i="1"/>
  <c r="AA13321" i="1"/>
  <c r="AA13322" i="1"/>
  <c r="AA13323" i="1"/>
  <c r="AA13324" i="1"/>
  <c r="AA13325" i="1"/>
  <c r="AA13326" i="1"/>
  <c r="AA13327" i="1"/>
  <c r="AA13328" i="1"/>
  <c r="AA13329" i="1"/>
  <c r="AA13330" i="1"/>
  <c r="AA13331" i="1"/>
  <c r="AA13332" i="1"/>
  <c r="AA13333" i="1"/>
  <c r="AA13334" i="1"/>
  <c r="AA13335" i="1"/>
  <c r="AA13336" i="1"/>
  <c r="AA13337" i="1"/>
  <c r="AA13338" i="1"/>
  <c r="AA13339" i="1"/>
  <c r="AA13340" i="1"/>
  <c r="AA13341" i="1"/>
  <c r="AA13342" i="1"/>
  <c r="AA13343" i="1"/>
  <c r="AA13344" i="1"/>
  <c r="AA13345" i="1"/>
  <c r="AA13346" i="1"/>
  <c r="AA13347" i="1"/>
  <c r="AA13348" i="1"/>
  <c r="AA13349" i="1"/>
  <c r="AA13350" i="1"/>
  <c r="AA13351" i="1"/>
  <c r="AA13352" i="1"/>
  <c r="AA13353" i="1"/>
  <c r="AA13354" i="1"/>
  <c r="AA13355" i="1"/>
  <c r="AA13356" i="1"/>
  <c r="AA13357" i="1"/>
  <c r="AA13358" i="1"/>
  <c r="AA13359" i="1"/>
  <c r="AA13360" i="1"/>
  <c r="AA13361" i="1"/>
  <c r="AA13362" i="1"/>
  <c r="AA13363" i="1"/>
  <c r="AA13364" i="1"/>
  <c r="AA13365" i="1"/>
  <c r="AA13366" i="1"/>
  <c r="AA13367" i="1"/>
  <c r="AA13368" i="1"/>
  <c r="AA13369" i="1"/>
  <c r="AA13370" i="1"/>
  <c r="AA13371" i="1"/>
  <c r="AA13372" i="1"/>
  <c r="AA13373" i="1"/>
  <c r="AA13374" i="1"/>
  <c r="AA13375" i="1"/>
  <c r="AA13376" i="1"/>
  <c r="AA13377" i="1"/>
  <c r="AA13378" i="1"/>
  <c r="AA13379" i="1"/>
  <c r="AA13380" i="1"/>
  <c r="AA13381" i="1"/>
  <c r="AA13382" i="1"/>
  <c r="AA13383" i="1"/>
  <c r="AA13384" i="1"/>
  <c r="AA13385" i="1"/>
  <c r="AA13386" i="1"/>
  <c r="AA13387" i="1"/>
  <c r="AA13388" i="1"/>
  <c r="AA13389" i="1"/>
  <c r="AA13390" i="1"/>
  <c r="AA13391" i="1"/>
  <c r="AA13392" i="1"/>
  <c r="AA13393" i="1"/>
  <c r="AA13394" i="1"/>
  <c r="AA13395" i="1"/>
  <c r="AA13396" i="1"/>
  <c r="AA13397" i="1"/>
  <c r="AA13398" i="1"/>
  <c r="AA13399" i="1"/>
  <c r="AA13400" i="1"/>
  <c r="AA13401" i="1"/>
  <c r="AA13402" i="1"/>
  <c r="AA13403" i="1"/>
  <c r="AA13404" i="1"/>
  <c r="AA13405" i="1"/>
  <c r="AA13406" i="1"/>
  <c r="AA13407" i="1"/>
  <c r="AA13408" i="1"/>
  <c r="AA13409" i="1"/>
  <c r="AA13410" i="1"/>
  <c r="AA13411" i="1"/>
  <c r="AA13412" i="1"/>
  <c r="AA13413" i="1"/>
  <c r="AA13414" i="1"/>
  <c r="AA13415" i="1"/>
  <c r="AA13416" i="1"/>
  <c r="AA13417" i="1"/>
  <c r="AA13418" i="1"/>
  <c r="AA13419" i="1"/>
  <c r="AA13420" i="1"/>
  <c r="AA13421" i="1"/>
  <c r="AA13422" i="1"/>
  <c r="AA13423" i="1"/>
  <c r="AA13424" i="1"/>
  <c r="AA13425" i="1"/>
  <c r="AA13426" i="1"/>
  <c r="AA13427" i="1"/>
  <c r="AA13428" i="1"/>
  <c r="AA13429" i="1"/>
  <c r="AA13430" i="1"/>
  <c r="AA13431" i="1"/>
  <c r="AA13432" i="1"/>
  <c r="AA13433" i="1"/>
  <c r="AA13434" i="1"/>
  <c r="AA13435" i="1"/>
  <c r="AA13436" i="1"/>
  <c r="AA13437" i="1"/>
  <c r="AA13438" i="1"/>
  <c r="AA13439" i="1"/>
  <c r="AA13440" i="1"/>
  <c r="AA13441" i="1"/>
  <c r="AA13442" i="1"/>
  <c r="AA13443" i="1"/>
  <c r="AA13444" i="1"/>
  <c r="AA13445" i="1"/>
  <c r="AA13446" i="1"/>
  <c r="AA13447" i="1"/>
  <c r="AA13448" i="1"/>
  <c r="AA13449" i="1"/>
  <c r="AA13450" i="1"/>
  <c r="AA13451" i="1"/>
  <c r="AA13452" i="1"/>
  <c r="AA13453" i="1"/>
  <c r="AA13454" i="1"/>
  <c r="AA13455" i="1"/>
  <c r="AA13456" i="1"/>
  <c r="AA13457" i="1"/>
  <c r="AA13458" i="1"/>
  <c r="AA13459" i="1"/>
  <c r="AA13460" i="1"/>
  <c r="AA13461" i="1"/>
  <c r="AA13462" i="1"/>
  <c r="AA13463" i="1"/>
  <c r="AA13464" i="1"/>
  <c r="AA13465" i="1"/>
  <c r="AA13466" i="1"/>
  <c r="AA13467" i="1"/>
  <c r="AA13468" i="1"/>
  <c r="AA13469" i="1"/>
  <c r="AA13470" i="1"/>
  <c r="AA13471" i="1"/>
  <c r="AA13472" i="1"/>
  <c r="AA13473" i="1"/>
  <c r="AA13474" i="1"/>
  <c r="AA13475" i="1"/>
  <c r="AA13476" i="1"/>
  <c r="AA13477" i="1"/>
  <c r="AA13478" i="1"/>
  <c r="AA13479" i="1"/>
  <c r="AA13480" i="1"/>
  <c r="AA13481" i="1"/>
  <c r="AA13482" i="1"/>
  <c r="AA13483" i="1"/>
  <c r="AA13484" i="1"/>
  <c r="AA13485" i="1"/>
  <c r="AA13486" i="1"/>
  <c r="AA13487" i="1"/>
  <c r="AA13488" i="1"/>
  <c r="AA13489" i="1"/>
  <c r="AA13490" i="1"/>
  <c r="AA13491" i="1"/>
  <c r="AA13492" i="1"/>
  <c r="AA13493" i="1"/>
  <c r="AA13494" i="1"/>
  <c r="AA13495" i="1"/>
  <c r="AA13496" i="1"/>
  <c r="AA13497" i="1"/>
  <c r="AA13498" i="1"/>
  <c r="AA13499" i="1"/>
  <c r="AA13500" i="1"/>
  <c r="AA13501" i="1"/>
  <c r="AA13502" i="1"/>
  <c r="AA13503" i="1"/>
  <c r="AA13504" i="1"/>
  <c r="AA13505" i="1"/>
  <c r="AA13506" i="1"/>
  <c r="AA13507" i="1"/>
  <c r="AA13508" i="1"/>
  <c r="AA13509" i="1"/>
  <c r="AA13510" i="1"/>
  <c r="AA13511" i="1"/>
  <c r="AA13512" i="1"/>
  <c r="AA13513" i="1"/>
  <c r="AA13514" i="1"/>
  <c r="AA13515" i="1"/>
  <c r="AA13516" i="1"/>
  <c r="AA13517" i="1"/>
  <c r="AA13518" i="1"/>
  <c r="AA13519" i="1"/>
  <c r="AA13520" i="1"/>
  <c r="AA13521" i="1"/>
  <c r="AA13522" i="1"/>
  <c r="AA13523" i="1"/>
  <c r="AA13524" i="1"/>
  <c r="AA13525" i="1"/>
  <c r="AA13526" i="1"/>
  <c r="AA13527" i="1"/>
  <c r="AA13528" i="1"/>
  <c r="AA13529" i="1"/>
  <c r="AA13530" i="1"/>
  <c r="AA13531" i="1"/>
  <c r="AA13532" i="1"/>
  <c r="AA13533" i="1"/>
  <c r="AA13534" i="1"/>
  <c r="AA13535" i="1"/>
  <c r="AA13536" i="1"/>
  <c r="AA13537" i="1"/>
  <c r="AA13538" i="1"/>
  <c r="AA13539" i="1"/>
  <c r="AA13540" i="1"/>
  <c r="AA13541" i="1"/>
  <c r="AA13542" i="1"/>
  <c r="AA13543" i="1"/>
  <c r="AA13544" i="1"/>
  <c r="AA13545" i="1"/>
  <c r="AA13546" i="1"/>
  <c r="AA13547" i="1"/>
  <c r="AA13548" i="1"/>
  <c r="AA13549" i="1"/>
  <c r="AA13550" i="1"/>
  <c r="AA13551" i="1"/>
  <c r="AA13552" i="1"/>
  <c r="AA13553" i="1"/>
  <c r="AA13554" i="1"/>
  <c r="AA13555" i="1"/>
  <c r="AA13556" i="1"/>
  <c r="AA13557" i="1"/>
  <c r="AA13558" i="1"/>
  <c r="AA13559" i="1"/>
  <c r="AA13560" i="1"/>
  <c r="AA13561" i="1"/>
  <c r="AA13562" i="1"/>
  <c r="AA13563" i="1"/>
  <c r="AA13564" i="1"/>
  <c r="AA13565" i="1"/>
  <c r="AA13566" i="1"/>
  <c r="AA13567" i="1"/>
  <c r="AA13568" i="1"/>
  <c r="AA13569" i="1"/>
  <c r="AA13570" i="1"/>
  <c r="AA13571" i="1"/>
  <c r="AA13572" i="1"/>
  <c r="AA13573" i="1"/>
  <c r="AA13574" i="1"/>
  <c r="AA13575" i="1"/>
  <c r="AA13576" i="1"/>
  <c r="AA13577" i="1"/>
  <c r="AA13578" i="1"/>
  <c r="AA13579" i="1"/>
  <c r="AA13580" i="1"/>
  <c r="AA13581" i="1"/>
  <c r="AA13582" i="1"/>
  <c r="AA13583" i="1"/>
  <c r="AA13584" i="1"/>
  <c r="AA13585" i="1"/>
  <c r="AA13586" i="1"/>
  <c r="AA13587" i="1"/>
  <c r="AA13588" i="1"/>
  <c r="AA13589" i="1"/>
  <c r="AA13590" i="1"/>
  <c r="AA13591" i="1"/>
  <c r="AA13592" i="1"/>
  <c r="AA13593" i="1"/>
  <c r="AA13594" i="1"/>
  <c r="AA13595" i="1"/>
  <c r="AA13596" i="1"/>
  <c r="AA13597" i="1"/>
  <c r="AA13598" i="1"/>
  <c r="AA13599" i="1"/>
  <c r="AA13600" i="1"/>
  <c r="AA13601" i="1"/>
  <c r="AA13602" i="1"/>
  <c r="AA13603" i="1"/>
  <c r="AA13604" i="1"/>
  <c r="AA13605" i="1"/>
  <c r="AA13606" i="1"/>
  <c r="AA13607" i="1"/>
  <c r="AA13608" i="1"/>
  <c r="AA13609" i="1"/>
  <c r="AA13610" i="1"/>
  <c r="AA13611" i="1"/>
  <c r="AA13612" i="1"/>
  <c r="AA13613" i="1"/>
  <c r="AA13614" i="1"/>
  <c r="AA13615" i="1"/>
  <c r="AA13616" i="1"/>
  <c r="AA13617" i="1"/>
  <c r="AA13618" i="1"/>
  <c r="AA13619" i="1"/>
  <c r="AA13620" i="1"/>
  <c r="AA13621" i="1"/>
  <c r="AA13622" i="1"/>
  <c r="AA13623" i="1"/>
  <c r="AA13624" i="1"/>
  <c r="AA13625" i="1"/>
  <c r="AA13626" i="1"/>
  <c r="AA13627" i="1"/>
  <c r="AA13628" i="1"/>
  <c r="AA13629" i="1"/>
  <c r="AA13630" i="1"/>
  <c r="AA13631" i="1"/>
  <c r="AA13632" i="1"/>
  <c r="AA13633" i="1"/>
  <c r="AA13634" i="1"/>
  <c r="AA13635" i="1"/>
  <c r="AA13636" i="1"/>
  <c r="AA13637" i="1"/>
  <c r="AA13638" i="1"/>
  <c r="AA13639" i="1"/>
  <c r="AA13640" i="1"/>
  <c r="AA13641" i="1"/>
  <c r="AA13642" i="1"/>
  <c r="AA13643" i="1"/>
  <c r="AA13644" i="1"/>
  <c r="AA13645" i="1"/>
  <c r="AA13646" i="1"/>
  <c r="AA13647" i="1"/>
  <c r="AA13648" i="1"/>
  <c r="AA13649" i="1"/>
  <c r="AA13650" i="1"/>
  <c r="AA13651" i="1"/>
  <c r="AA13652" i="1"/>
  <c r="AA13653" i="1"/>
  <c r="AA13654" i="1"/>
  <c r="AA13655" i="1"/>
  <c r="AA13656" i="1"/>
  <c r="AA13657" i="1"/>
  <c r="AA13658" i="1"/>
  <c r="AA13659" i="1"/>
  <c r="AA13660" i="1"/>
  <c r="AA13661" i="1"/>
  <c r="AA13662" i="1"/>
  <c r="AA13663" i="1"/>
  <c r="AA13664" i="1"/>
  <c r="AA13665" i="1"/>
  <c r="AA13666" i="1"/>
  <c r="AA13667" i="1"/>
  <c r="AA13668" i="1"/>
  <c r="AA13669" i="1"/>
  <c r="AA13670" i="1"/>
  <c r="AA13671" i="1"/>
  <c r="AA13672" i="1"/>
  <c r="AA13673" i="1"/>
  <c r="AA13674" i="1"/>
  <c r="AA13675" i="1"/>
  <c r="AA13676" i="1"/>
  <c r="AA13677" i="1"/>
  <c r="AA13678" i="1"/>
  <c r="AA13679" i="1"/>
  <c r="AA13680" i="1"/>
  <c r="AA13681" i="1"/>
  <c r="AA13682" i="1"/>
  <c r="AA13683" i="1"/>
  <c r="AA13684" i="1"/>
  <c r="AA13685" i="1"/>
  <c r="AA13686" i="1"/>
  <c r="AA13687" i="1"/>
  <c r="AA13688" i="1"/>
  <c r="AA13689" i="1"/>
  <c r="AA13690" i="1"/>
  <c r="AA13691" i="1"/>
  <c r="AA13692" i="1"/>
  <c r="AA13693" i="1"/>
  <c r="AA13694" i="1"/>
  <c r="AA13695" i="1"/>
  <c r="AA13696" i="1"/>
  <c r="AA13697" i="1"/>
  <c r="AA13698" i="1"/>
  <c r="AA13699" i="1"/>
  <c r="AA13700" i="1"/>
  <c r="AA13701" i="1"/>
  <c r="AA13702" i="1"/>
  <c r="AA13703" i="1"/>
  <c r="AA13704" i="1"/>
  <c r="AA13705" i="1"/>
  <c r="AA13706" i="1"/>
  <c r="AA13707" i="1"/>
  <c r="AA13708" i="1"/>
  <c r="AA13709" i="1"/>
  <c r="AA13710" i="1"/>
  <c r="AA13711" i="1"/>
  <c r="AA13712" i="1"/>
  <c r="AA13713" i="1"/>
  <c r="AA13714" i="1"/>
  <c r="AA13715" i="1"/>
  <c r="AA13716" i="1"/>
  <c r="AA13717" i="1"/>
  <c r="AA13718" i="1"/>
  <c r="AA13719" i="1"/>
  <c r="AA13720" i="1"/>
  <c r="AA13721" i="1"/>
  <c r="AA13722" i="1"/>
  <c r="AA13723" i="1"/>
  <c r="AA13724" i="1"/>
  <c r="AA13725" i="1"/>
  <c r="AA13726" i="1"/>
  <c r="AA13727" i="1"/>
  <c r="AA13728" i="1"/>
  <c r="AA13729" i="1"/>
  <c r="AA13730" i="1"/>
  <c r="AA13731" i="1"/>
  <c r="AA13732" i="1"/>
  <c r="AA13733" i="1"/>
  <c r="AA13734" i="1"/>
  <c r="AA13735" i="1"/>
  <c r="AA13736" i="1"/>
  <c r="AA13737" i="1"/>
  <c r="AA13738" i="1"/>
  <c r="AA13739" i="1"/>
  <c r="AA13740" i="1"/>
  <c r="AA13741" i="1"/>
  <c r="AA13742" i="1"/>
  <c r="AA13743" i="1"/>
  <c r="AA13744" i="1"/>
  <c r="AA13745" i="1"/>
  <c r="AA13746" i="1"/>
  <c r="AA13747" i="1"/>
  <c r="AA13748" i="1"/>
  <c r="AA13749" i="1"/>
  <c r="AA13750" i="1"/>
  <c r="AA13751" i="1"/>
  <c r="AA13752" i="1"/>
  <c r="AA13753" i="1"/>
  <c r="AA13754" i="1"/>
  <c r="AA13755" i="1"/>
  <c r="AA13756" i="1"/>
  <c r="AA13757" i="1"/>
  <c r="AA13758" i="1"/>
  <c r="AA13759" i="1"/>
  <c r="AA13760" i="1"/>
  <c r="AA13761" i="1"/>
  <c r="AA13762" i="1"/>
  <c r="AA13763" i="1"/>
  <c r="AA13764" i="1"/>
  <c r="AA13765" i="1"/>
  <c r="AA13766" i="1"/>
  <c r="AA13767" i="1"/>
  <c r="AA13768" i="1"/>
  <c r="AA13769" i="1"/>
  <c r="AA13770" i="1"/>
  <c r="AA13771" i="1"/>
  <c r="AA13772" i="1"/>
  <c r="AA13773" i="1"/>
  <c r="AA13774" i="1"/>
  <c r="AA13775" i="1"/>
  <c r="AA13776" i="1"/>
  <c r="AA13777" i="1"/>
  <c r="AA13778" i="1"/>
  <c r="AA13779" i="1"/>
  <c r="AA13780" i="1"/>
  <c r="AA13781" i="1"/>
  <c r="AA13782" i="1"/>
  <c r="AA13783" i="1"/>
  <c r="AA13784" i="1"/>
  <c r="AA13785" i="1"/>
  <c r="AA13786" i="1"/>
  <c r="AA13787" i="1"/>
  <c r="AA13788" i="1"/>
  <c r="AA13789" i="1"/>
  <c r="AA13790" i="1"/>
  <c r="AA13791" i="1"/>
  <c r="AA13792" i="1"/>
  <c r="AA13793" i="1"/>
  <c r="AA13794" i="1"/>
  <c r="AA13795" i="1"/>
  <c r="AA13796" i="1"/>
  <c r="AA13797" i="1"/>
  <c r="AA13798" i="1"/>
  <c r="AA13799" i="1"/>
  <c r="AA13800" i="1"/>
  <c r="AA13801" i="1"/>
  <c r="AA13802" i="1"/>
  <c r="AA13803" i="1"/>
  <c r="AA13804" i="1"/>
  <c r="AA13805" i="1"/>
  <c r="AA13806" i="1"/>
  <c r="AA13807" i="1"/>
  <c r="AA13808" i="1"/>
  <c r="AA13809" i="1"/>
  <c r="AA13810" i="1"/>
  <c r="AA13811" i="1"/>
  <c r="AA13812" i="1"/>
  <c r="AA13813" i="1"/>
  <c r="AA13814" i="1"/>
  <c r="AA13815" i="1"/>
  <c r="AA13816" i="1"/>
  <c r="AA13817" i="1"/>
  <c r="AA13818" i="1"/>
  <c r="AA13819" i="1"/>
  <c r="AA13820" i="1"/>
  <c r="AA13821" i="1"/>
  <c r="AA13822" i="1"/>
  <c r="AA13823" i="1"/>
  <c r="AA13824" i="1"/>
  <c r="AA13825" i="1"/>
  <c r="AA13826" i="1"/>
  <c r="AA13827" i="1"/>
  <c r="AA13828" i="1"/>
  <c r="AA13829" i="1"/>
  <c r="AA13830" i="1"/>
  <c r="AA13831" i="1"/>
  <c r="AA13832" i="1"/>
  <c r="AA13833" i="1"/>
  <c r="AA13834" i="1"/>
  <c r="AA13835" i="1"/>
  <c r="AA13836" i="1"/>
  <c r="AA13837" i="1"/>
  <c r="AA13838" i="1"/>
  <c r="AA13839" i="1"/>
  <c r="AA13840" i="1"/>
  <c r="AA13841" i="1"/>
  <c r="AA13842" i="1"/>
  <c r="AA13843" i="1"/>
  <c r="AA13844" i="1"/>
  <c r="AA13845" i="1"/>
  <c r="AA13846" i="1"/>
  <c r="AA13847" i="1"/>
  <c r="AA13848" i="1"/>
  <c r="AA13849" i="1"/>
  <c r="AA13850" i="1"/>
  <c r="AA13851" i="1"/>
  <c r="AA13852" i="1"/>
  <c r="AA13853" i="1"/>
  <c r="AA13854" i="1"/>
  <c r="AA13855" i="1"/>
  <c r="AA13856" i="1"/>
  <c r="AA13857" i="1"/>
  <c r="AA13858" i="1"/>
  <c r="AA13859" i="1"/>
  <c r="AA13860" i="1"/>
  <c r="AA13861" i="1"/>
  <c r="AA13862" i="1"/>
  <c r="AA13863" i="1"/>
  <c r="AA13864" i="1"/>
  <c r="AA13865" i="1"/>
  <c r="AA13866" i="1"/>
  <c r="AA13867" i="1"/>
  <c r="AA13868" i="1"/>
  <c r="AA13869" i="1"/>
  <c r="AA13870" i="1"/>
  <c r="AA13871" i="1"/>
  <c r="AA13872" i="1"/>
  <c r="AA13873" i="1"/>
  <c r="AA13874" i="1"/>
  <c r="AA13875" i="1"/>
  <c r="AA13876" i="1"/>
  <c r="AA13877" i="1"/>
  <c r="AA13878" i="1"/>
  <c r="AA13879" i="1"/>
  <c r="AA13880" i="1"/>
  <c r="AA13881" i="1"/>
  <c r="AA13882" i="1"/>
  <c r="AA13883" i="1"/>
  <c r="AA13884" i="1"/>
  <c r="AA13885" i="1"/>
  <c r="AA13886" i="1"/>
  <c r="AA13887" i="1"/>
  <c r="AA13888" i="1"/>
  <c r="AA13889" i="1"/>
  <c r="AA13890" i="1"/>
  <c r="AA13891" i="1"/>
  <c r="AA13892" i="1"/>
  <c r="AA13893" i="1"/>
  <c r="AA13894" i="1"/>
  <c r="AA13895" i="1"/>
  <c r="AA13896" i="1"/>
  <c r="AA13897" i="1"/>
  <c r="AA13898" i="1"/>
  <c r="AA13899" i="1"/>
  <c r="AA13900" i="1"/>
  <c r="AA13901" i="1"/>
  <c r="AA13902" i="1"/>
  <c r="AA13903" i="1"/>
  <c r="AA13904" i="1"/>
  <c r="AA13905" i="1"/>
  <c r="AA13906" i="1"/>
  <c r="AA13907" i="1"/>
  <c r="AA13908" i="1"/>
  <c r="AA13909" i="1"/>
  <c r="AA13910" i="1"/>
  <c r="AA13911" i="1"/>
  <c r="AA13912" i="1"/>
  <c r="AA13913" i="1"/>
  <c r="AA13914" i="1"/>
  <c r="AA13915" i="1"/>
  <c r="AA13916" i="1"/>
  <c r="AA13917" i="1"/>
  <c r="AA13918" i="1"/>
  <c r="AA13919" i="1"/>
  <c r="AA13920" i="1"/>
  <c r="AA13921" i="1"/>
  <c r="AA13922" i="1"/>
  <c r="AA13923" i="1"/>
  <c r="AA13924" i="1"/>
  <c r="AA13925" i="1"/>
  <c r="AA13926" i="1"/>
  <c r="AA13927" i="1"/>
  <c r="AA13928" i="1"/>
  <c r="AA13929" i="1"/>
  <c r="AA13930" i="1"/>
  <c r="AA13931" i="1"/>
  <c r="AA13932" i="1"/>
  <c r="AA13933" i="1"/>
  <c r="AA13934" i="1"/>
  <c r="AA13935" i="1"/>
  <c r="AA13936" i="1"/>
  <c r="AA13937" i="1"/>
  <c r="AA13938" i="1"/>
  <c r="AA13939" i="1"/>
  <c r="AA13940" i="1"/>
  <c r="AA13941" i="1"/>
  <c r="AA13942" i="1"/>
  <c r="AA13943" i="1"/>
  <c r="AA13944" i="1"/>
  <c r="AA13945" i="1"/>
  <c r="AA13946" i="1"/>
  <c r="AA13947" i="1"/>
  <c r="AA13948" i="1"/>
  <c r="AA13949" i="1"/>
  <c r="AA13950" i="1"/>
  <c r="AA13951" i="1"/>
  <c r="AA13952" i="1"/>
  <c r="AA13953" i="1"/>
  <c r="AA13954" i="1"/>
  <c r="AA13955" i="1"/>
  <c r="AA13956" i="1"/>
  <c r="AA13957" i="1"/>
  <c r="AA13958" i="1"/>
  <c r="AA13959" i="1"/>
  <c r="AA13960" i="1"/>
  <c r="AA13961" i="1"/>
  <c r="AA13962" i="1"/>
  <c r="AA13963" i="1"/>
  <c r="AA13964" i="1"/>
  <c r="AA13965" i="1"/>
  <c r="AA13966" i="1"/>
  <c r="AA13967" i="1"/>
  <c r="AA13968" i="1"/>
  <c r="AA13969" i="1"/>
  <c r="AA13970" i="1"/>
  <c r="AA13971" i="1"/>
  <c r="AA13972" i="1"/>
  <c r="AA13973" i="1"/>
  <c r="AA13974" i="1"/>
  <c r="AA13975" i="1"/>
  <c r="AA13976" i="1"/>
  <c r="AA13977" i="1"/>
  <c r="AA13978" i="1"/>
  <c r="AA13979" i="1"/>
  <c r="AA13980" i="1"/>
  <c r="AA13981" i="1"/>
  <c r="AA13982" i="1"/>
  <c r="AA13983" i="1"/>
  <c r="AA13984" i="1"/>
  <c r="AA13985" i="1"/>
  <c r="AA13986" i="1"/>
  <c r="AA13987" i="1"/>
  <c r="AA13988" i="1"/>
  <c r="AA13989" i="1"/>
  <c r="AA13990" i="1"/>
  <c r="AA13991" i="1"/>
  <c r="AA13992" i="1"/>
  <c r="AA13993" i="1"/>
  <c r="AA13994" i="1"/>
  <c r="AA13995" i="1"/>
  <c r="AA13996" i="1"/>
  <c r="AA13997" i="1"/>
  <c r="AA13998" i="1"/>
  <c r="AA13999" i="1"/>
  <c r="AA14000" i="1"/>
  <c r="AA14001" i="1"/>
  <c r="AA14002" i="1"/>
  <c r="AA14003" i="1"/>
  <c r="AA14004" i="1"/>
  <c r="AA14005" i="1"/>
  <c r="AA14006" i="1"/>
  <c r="AA14007" i="1"/>
  <c r="AA14008" i="1"/>
  <c r="AA14009" i="1"/>
  <c r="AA14010" i="1"/>
  <c r="AA14011" i="1"/>
  <c r="AA14012" i="1"/>
  <c r="AA14013" i="1"/>
  <c r="AA14014" i="1"/>
  <c r="AA14015" i="1"/>
  <c r="AA14016" i="1"/>
  <c r="AA14017" i="1"/>
  <c r="AA14018" i="1"/>
  <c r="AA14019" i="1"/>
  <c r="AA14020" i="1"/>
  <c r="AA14021" i="1"/>
  <c r="AA14022" i="1"/>
  <c r="AA14023" i="1"/>
  <c r="AA14024" i="1"/>
  <c r="AA14025" i="1"/>
  <c r="AA14026" i="1"/>
  <c r="AA14027" i="1"/>
  <c r="AA14028" i="1"/>
  <c r="AA14029" i="1"/>
  <c r="AA14030" i="1"/>
  <c r="AA14031" i="1"/>
  <c r="AA14032" i="1"/>
  <c r="AA14033" i="1"/>
  <c r="AA14034" i="1"/>
  <c r="AA14035" i="1"/>
  <c r="AA14036" i="1"/>
  <c r="AA14037" i="1"/>
  <c r="AA14038" i="1"/>
  <c r="AA14039" i="1"/>
  <c r="AA14040" i="1"/>
  <c r="AA14041" i="1"/>
  <c r="AA14042" i="1"/>
  <c r="AA14043" i="1"/>
  <c r="AA14044" i="1"/>
  <c r="AA14045" i="1"/>
  <c r="AA14046" i="1"/>
  <c r="AA14047" i="1"/>
  <c r="AA14048" i="1"/>
  <c r="AA14049" i="1"/>
  <c r="AA14050" i="1"/>
  <c r="AA14051" i="1"/>
  <c r="AA14052" i="1"/>
  <c r="AA14053" i="1"/>
  <c r="AA14054" i="1"/>
  <c r="AA14055" i="1"/>
  <c r="AA14056" i="1"/>
  <c r="AA14057" i="1"/>
  <c r="AA14058" i="1"/>
  <c r="AA14059" i="1"/>
  <c r="AA14060" i="1"/>
  <c r="AA14061" i="1"/>
  <c r="AA14062" i="1"/>
  <c r="AA14063" i="1"/>
  <c r="AA14064" i="1"/>
  <c r="AA14065" i="1"/>
  <c r="AA14066" i="1"/>
  <c r="AA14067" i="1"/>
  <c r="AA14068" i="1"/>
  <c r="AA14069" i="1"/>
  <c r="AA14070" i="1"/>
  <c r="AA14071" i="1"/>
  <c r="AA14072" i="1"/>
  <c r="AA14073" i="1"/>
  <c r="AA14074" i="1"/>
  <c r="AA14075" i="1"/>
  <c r="AA14076" i="1"/>
  <c r="AA14077" i="1"/>
  <c r="AA14078" i="1"/>
  <c r="AA14079" i="1"/>
  <c r="AA14080" i="1"/>
  <c r="AA14081" i="1"/>
  <c r="AA14082" i="1"/>
  <c r="AA14083" i="1"/>
  <c r="AA14084" i="1"/>
  <c r="AA14085" i="1"/>
  <c r="AA14086" i="1"/>
  <c r="AA14087" i="1"/>
  <c r="AA14088" i="1"/>
  <c r="AA14089" i="1"/>
  <c r="AA14090" i="1"/>
  <c r="AA14091" i="1"/>
  <c r="AA14092" i="1"/>
  <c r="AA14093" i="1"/>
  <c r="AA14094" i="1"/>
  <c r="AA14095" i="1"/>
  <c r="AA14096" i="1"/>
  <c r="AA14097" i="1"/>
  <c r="AA14098" i="1"/>
  <c r="AA14099" i="1"/>
  <c r="AA14100" i="1"/>
  <c r="AA14101" i="1"/>
  <c r="AA14102" i="1"/>
  <c r="AA14103" i="1"/>
  <c r="AA14104" i="1"/>
  <c r="AA14105" i="1"/>
  <c r="AA14106" i="1"/>
  <c r="AA14107" i="1"/>
  <c r="AA14108" i="1"/>
  <c r="AA14109" i="1"/>
  <c r="AA14110" i="1"/>
  <c r="AA14111" i="1"/>
  <c r="AA14112" i="1"/>
  <c r="AA14113" i="1"/>
  <c r="AA14114" i="1"/>
  <c r="AA14115" i="1"/>
  <c r="AA14116" i="1"/>
  <c r="AA14117" i="1"/>
  <c r="AA14118" i="1"/>
  <c r="AA14119" i="1"/>
  <c r="AA14120" i="1"/>
  <c r="AA14121" i="1"/>
  <c r="AA14122" i="1"/>
  <c r="AA14123" i="1"/>
  <c r="AA14124" i="1"/>
  <c r="AA14125" i="1"/>
  <c r="AA14126" i="1"/>
  <c r="AA14127" i="1"/>
  <c r="AA14128" i="1"/>
  <c r="AA14129" i="1"/>
  <c r="AA14130" i="1"/>
  <c r="AA14131" i="1"/>
  <c r="AA14132" i="1"/>
  <c r="AA14133" i="1"/>
  <c r="AA14134" i="1"/>
  <c r="AA14135" i="1"/>
  <c r="AA14136" i="1"/>
  <c r="AA14137" i="1"/>
  <c r="AA14138" i="1"/>
  <c r="AA14139" i="1"/>
  <c r="AA14140" i="1"/>
  <c r="AA14141" i="1"/>
  <c r="AA14142" i="1"/>
  <c r="AA14143" i="1"/>
  <c r="AA14144" i="1"/>
  <c r="AA14145" i="1"/>
  <c r="AA14146" i="1"/>
  <c r="AA14147" i="1"/>
  <c r="AA14148" i="1"/>
  <c r="AA14149" i="1"/>
  <c r="AA14150" i="1"/>
  <c r="AA14151" i="1"/>
  <c r="AA14152" i="1"/>
  <c r="AA14153" i="1"/>
  <c r="AA14154" i="1"/>
  <c r="AA14155" i="1"/>
  <c r="AA14156" i="1"/>
  <c r="AA14157" i="1"/>
  <c r="AA14158" i="1"/>
  <c r="AA14159" i="1"/>
  <c r="AA14160" i="1"/>
  <c r="AA14161" i="1"/>
  <c r="AA14162" i="1"/>
  <c r="AA14163" i="1"/>
  <c r="AA14164" i="1"/>
  <c r="AA14165" i="1"/>
  <c r="AA14166" i="1"/>
  <c r="AA14167" i="1"/>
  <c r="AA14168" i="1"/>
  <c r="AA14169" i="1"/>
  <c r="AA14170" i="1"/>
  <c r="AA14171" i="1"/>
  <c r="AA14172" i="1"/>
  <c r="AA14173" i="1"/>
  <c r="AA14174" i="1"/>
  <c r="AA14175" i="1"/>
  <c r="AA14176" i="1"/>
  <c r="AA14177" i="1"/>
  <c r="AA14178" i="1"/>
  <c r="AA14179" i="1"/>
  <c r="AA14180" i="1"/>
  <c r="AA14181" i="1"/>
  <c r="AA14182" i="1"/>
  <c r="AA14183" i="1"/>
  <c r="AA14184" i="1"/>
  <c r="AA14185" i="1"/>
  <c r="AA14186" i="1"/>
  <c r="AA14187" i="1"/>
  <c r="AA14188" i="1"/>
  <c r="AA14189" i="1"/>
  <c r="AA14190" i="1"/>
  <c r="AA14191" i="1"/>
  <c r="AA14192" i="1"/>
  <c r="AA14193" i="1"/>
  <c r="AA14194" i="1"/>
  <c r="AA14195" i="1"/>
  <c r="AA14196" i="1"/>
  <c r="AA14197" i="1"/>
  <c r="AA14198" i="1"/>
  <c r="AA14199" i="1"/>
  <c r="AA14200" i="1"/>
  <c r="AA14201" i="1"/>
  <c r="AA14202" i="1"/>
  <c r="AA14203" i="1"/>
  <c r="AA14204" i="1"/>
  <c r="AA14205" i="1"/>
  <c r="AA14206" i="1"/>
  <c r="AA14207" i="1"/>
  <c r="AA14208" i="1"/>
  <c r="AA14209" i="1"/>
  <c r="AA14210" i="1"/>
  <c r="AA14211" i="1"/>
  <c r="AA14212" i="1"/>
  <c r="AA14213" i="1"/>
  <c r="AA14214" i="1"/>
  <c r="AA14215" i="1"/>
  <c r="AA14216" i="1"/>
  <c r="AA14217" i="1"/>
  <c r="AA14218" i="1"/>
  <c r="AA14219" i="1"/>
  <c r="AA14220" i="1"/>
  <c r="AA14221" i="1"/>
  <c r="AA14222" i="1"/>
  <c r="AA14223" i="1"/>
  <c r="AA14224" i="1"/>
  <c r="AA14225" i="1"/>
  <c r="AA14226" i="1"/>
  <c r="AA14227" i="1"/>
  <c r="AA14228" i="1"/>
  <c r="AA14229" i="1"/>
  <c r="AA14230" i="1"/>
  <c r="AA14231" i="1"/>
  <c r="AA14232" i="1"/>
  <c r="AA14233" i="1"/>
  <c r="AA14234" i="1"/>
  <c r="AA14235" i="1"/>
  <c r="AA14236" i="1"/>
  <c r="AA14237" i="1"/>
  <c r="AA14238" i="1"/>
  <c r="AA14239" i="1"/>
  <c r="AA14240" i="1"/>
  <c r="AA14241" i="1"/>
  <c r="AA14242" i="1"/>
  <c r="AA14243" i="1"/>
  <c r="AA14244" i="1"/>
  <c r="AA14245" i="1"/>
  <c r="AA14246" i="1"/>
  <c r="AA14247" i="1"/>
  <c r="AA14248" i="1"/>
  <c r="AA14249" i="1"/>
  <c r="AA14250" i="1"/>
  <c r="AA14251" i="1"/>
  <c r="AA14252" i="1"/>
  <c r="AA14253" i="1"/>
  <c r="AA14254" i="1"/>
  <c r="AA14255" i="1"/>
  <c r="AA14256" i="1"/>
  <c r="AA14257" i="1"/>
  <c r="AA14258" i="1"/>
  <c r="AA14259" i="1"/>
  <c r="AA14260" i="1"/>
  <c r="AA14261" i="1"/>
  <c r="AA14262" i="1"/>
  <c r="AA14263" i="1"/>
  <c r="AA14264" i="1"/>
  <c r="AA14265" i="1"/>
  <c r="AA14266" i="1"/>
  <c r="AA14267" i="1"/>
  <c r="AA14268" i="1"/>
  <c r="AA14269" i="1"/>
  <c r="AA14270" i="1"/>
  <c r="AA14271" i="1"/>
  <c r="AA14272" i="1"/>
  <c r="AA14273" i="1"/>
  <c r="AA14274" i="1"/>
  <c r="AA14275" i="1"/>
  <c r="AA14276" i="1"/>
  <c r="AA14277" i="1"/>
  <c r="AA14278" i="1"/>
  <c r="AA14279" i="1"/>
  <c r="AA14280" i="1"/>
  <c r="AA14281" i="1"/>
  <c r="AA14282" i="1"/>
  <c r="AA14283" i="1"/>
  <c r="AA14284" i="1"/>
  <c r="AA14285" i="1"/>
  <c r="AA14286" i="1"/>
  <c r="AA14287" i="1"/>
  <c r="AA14288" i="1"/>
  <c r="AA14289" i="1"/>
  <c r="AA14290" i="1"/>
  <c r="AA14291" i="1"/>
  <c r="AA14292" i="1"/>
  <c r="AA14293" i="1"/>
  <c r="AA14294" i="1"/>
  <c r="AA14295" i="1"/>
  <c r="AA14296" i="1"/>
  <c r="AA14297" i="1"/>
  <c r="AA14298" i="1"/>
  <c r="AA14299" i="1"/>
  <c r="AA14300" i="1"/>
  <c r="AA14301" i="1"/>
  <c r="AA14302" i="1"/>
  <c r="AA14303" i="1"/>
  <c r="AA14304" i="1"/>
  <c r="AA14305" i="1"/>
  <c r="AA14306" i="1"/>
  <c r="AA14307" i="1"/>
  <c r="AA14308" i="1"/>
  <c r="AA14309" i="1"/>
  <c r="AA14310" i="1"/>
  <c r="AA14311" i="1"/>
  <c r="AA14312" i="1"/>
  <c r="AA14313" i="1"/>
  <c r="AA14314" i="1"/>
  <c r="AA14315" i="1"/>
  <c r="AA14316" i="1"/>
  <c r="AA14317" i="1"/>
  <c r="AA14318" i="1"/>
  <c r="AA14319" i="1"/>
  <c r="AA14320" i="1"/>
  <c r="AA14321" i="1"/>
  <c r="AA14322" i="1"/>
  <c r="AA14323" i="1"/>
  <c r="AA14324" i="1"/>
  <c r="AA14325" i="1"/>
  <c r="AA14326" i="1"/>
  <c r="AA14327" i="1"/>
  <c r="AA14328" i="1"/>
  <c r="AA14329" i="1"/>
  <c r="AA14330" i="1"/>
  <c r="AA14331" i="1"/>
  <c r="AA14334" i="1"/>
  <c r="AA14336" i="1"/>
  <c r="AA14337" i="1"/>
  <c r="AA14338" i="1"/>
  <c r="AA14339" i="1"/>
  <c r="AA14340" i="1"/>
  <c r="AA14342" i="1"/>
  <c r="AA14344" i="1"/>
  <c r="AA14345" i="1"/>
  <c r="AA14346" i="1"/>
  <c r="AA14347" i="1"/>
  <c r="AA14348" i="1"/>
  <c r="AA14349" i="1"/>
  <c r="AA14350" i="1"/>
  <c r="AA14351" i="1"/>
  <c r="AA14352" i="1"/>
  <c r="AA14353" i="1"/>
  <c r="AA14354" i="1"/>
  <c r="AA14355" i="1"/>
  <c r="AA14356" i="1"/>
  <c r="AA14358" i="1"/>
  <c r="AA14359" i="1"/>
  <c r="AA14360" i="1"/>
  <c r="AA14362" i="1"/>
  <c r="AA14363" i="1"/>
  <c r="AA14364" i="1"/>
  <c r="AA14365" i="1"/>
  <c r="AA14366" i="1"/>
  <c r="AA14368" i="1"/>
  <c r="AA14369" i="1"/>
  <c r="AA14370" i="1"/>
  <c r="AA14371" i="1"/>
  <c r="AA14372" i="1"/>
  <c r="AA14373" i="1"/>
  <c r="AA14374" i="1"/>
  <c r="AA14376" i="1"/>
  <c r="AA14378" i="1"/>
  <c r="AA14379" i="1"/>
  <c r="AA14380" i="1"/>
  <c r="AA14381" i="1"/>
  <c r="AA14382" i="1"/>
  <c r="AA14383" i="1"/>
  <c r="AA14384" i="1"/>
  <c r="AA14386" i="1"/>
  <c r="AA14387" i="1"/>
  <c r="AA14388" i="1"/>
  <c r="AA14390" i="1"/>
  <c r="AA14391" i="1"/>
  <c r="AA14392" i="1"/>
  <c r="AA14393" i="1"/>
  <c r="AA14394" i="1"/>
  <c r="AA14395" i="1"/>
  <c r="AA14396" i="1"/>
  <c r="AA14397" i="1"/>
  <c r="AA14398" i="1"/>
  <c r="AA14399" i="1"/>
  <c r="AA14400" i="1"/>
  <c r="AA14401" i="1"/>
  <c r="AA14402" i="1"/>
  <c r="AA14403" i="1"/>
  <c r="AA14404" i="1"/>
  <c r="AA14405" i="1"/>
  <c r="AA14407" i="1"/>
  <c r="AA14408" i="1"/>
  <c r="AA14409" i="1"/>
  <c r="AA14410" i="1"/>
  <c r="AA14411" i="1"/>
  <c r="AA14412" i="1"/>
  <c r="AA14413" i="1"/>
  <c r="AA14414" i="1"/>
  <c r="AA14415" i="1"/>
  <c r="AA14416" i="1"/>
  <c r="AA14417" i="1"/>
  <c r="AA14418" i="1"/>
  <c r="AA14419" i="1"/>
  <c r="AA14420" i="1"/>
  <c r="AA14421" i="1"/>
  <c r="AA14422" i="1"/>
  <c r="AA14423" i="1"/>
  <c r="AA14424" i="1"/>
  <c r="AA14425" i="1"/>
  <c r="AA14426" i="1"/>
  <c r="AA14427" i="1"/>
  <c r="AA14428" i="1"/>
  <c r="AA14429" i="1"/>
  <c r="AA14430" i="1"/>
  <c r="AA14431" i="1"/>
  <c r="AA14432" i="1"/>
  <c r="AA14433" i="1"/>
  <c r="AA14434" i="1"/>
  <c r="AA14435" i="1"/>
  <c r="AA14436" i="1"/>
  <c r="AA14437" i="1"/>
  <c r="AA14438" i="1"/>
  <c r="AA14439" i="1"/>
  <c r="AA14440" i="1"/>
  <c r="AA14441" i="1"/>
  <c r="AA14442" i="1"/>
  <c r="AA14443" i="1"/>
  <c r="AA14444" i="1"/>
  <c r="AA14445" i="1"/>
  <c r="AA14446" i="1"/>
  <c r="AA14448" i="1"/>
  <c r="AA14449" i="1"/>
  <c r="AA14450" i="1"/>
  <c r="AA14451" i="1"/>
  <c r="AA14452" i="1"/>
  <c r="AA14453" i="1"/>
  <c r="AA14454" i="1"/>
  <c r="AA14455" i="1"/>
  <c r="AA14456" i="1"/>
  <c r="AA14457" i="1"/>
  <c r="AA14458" i="1"/>
  <c r="AA14459" i="1"/>
  <c r="AA14460" i="1"/>
  <c r="AA14461" i="1"/>
  <c r="AA14462" i="1"/>
  <c r="AA14463" i="1"/>
  <c r="AA14464" i="1"/>
  <c r="AA14465" i="1"/>
  <c r="AA14466" i="1"/>
  <c r="AA14467" i="1"/>
  <c r="AA14469" i="1"/>
  <c r="AA14470" i="1"/>
  <c r="AA14471" i="1"/>
  <c r="AA14472" i="1"/>
  <c r="AA14473" i="1"/>
  <c r="AA14474" i="1"/>
  <c r="AA14475" i="1"/>
  <c r="AA14476" i="1"/>
  <c r="AA14477" i="1"/>
  <c r="AA14478" i="1"/>
  <c r="AA14479" i="1"/>
  <c r="AA14480" i="1"/>
  <c r="AA14481" i="1"/>
  <c r="AA14482" i="1"/>
  <c r="AA14483" i="1"/>
  <c r="AA14484" i="1"/>
  <c r="AA14485" i="1"/>
  <c r="AA14486" i="1"/>
  <c r="AA14487" i="1"/>
  <c r="AA14488" i="1"/>
  <c r="AA14489" i="1"/>
  <c r="AA14490" i="1"/>
  <c r="AA14491" i="1"/>
  <c r="AA14492" i="1"/>
  <c r="AA14493" i="1"/>
  <c r="AA14494" i="1"/>
  <c r="AA14495" i="1"/>
  <c r="AA14496" i="1"/>
  <c r="AA14497" i="1"/>
  <c r="AA14498" i="1"/>
  <c r="AA14499" i="1"/>
  <c r="AA14500" i="1"/>
  <c r="AA14501" i="1"/>
  <c r="AA14502" i="1"/>
  <c r="AA14503" i="1"/>
  <c r="AA14504" i="1"/>
  <c r="AA14505" i="1"/>
  <c r="AA14506" i="1"/>
  <c r="AA14507" i="1"/>
  <c r="AA14508" i="1"/>
  <c r="AA14509" i="1"/>
  <c r="AA14510" i="1"/>
  <c r="AA14511" i="1"/>
  <c r="AA14512" i="1"/>
  <c r="AA14513" i="1"/>
  <c r="AA14514" i="1"/>
  <c r="AA14515" i="1"/>
  <c r="AA14516" i="1"/>
  <c r="AA14517" i="1"/>
  <c r="AA14518" i="1"/>
  <c r="AA14519" i="1"/>
  <c r="AA14520" i="1"/>
  <c r="AA14521" i="1"/>
  <c r="AA14522" i="1"/>
  <c r="AA14523" i="1"/>
  <c r="AA14524" i="1"/>
  <c r="AA14525" i="1"/>
  <c r="AA14526" i="1"/>
  <c r="AA14527" i="1"/>
  <c r="AA14528" i="1"/>
  <c r="AA14529" i="1"/>
  <c r="AA14530" i="1"/>
  <c r="AA14531" i="1"/>
  <c r="AA14532" i="1"/>
  <c r="AA14533" i="1"/>
  <c r="AA14534" i="1"/>
  <c r="AA14535" i="1"/>
  <c r="AA14536" i="1"/>
  <c r="AA14537" i="1"/>
  <c r="AA14538" i="1"/>
  <c r="AA14539" i="1"/>
  <c r="AA14540" i="1"/>
  <c r="AA14541" i="1"/>
  <c r="AA14542" i="1"/>
  <c r="AA14543" i="1"/>
  <c r="AA14544" i="1"/>
  <c r="AA14545" i="1"/>
  <c r="AA14546" i="1"/>
  <c r="AA14547" i="1"/>
  <c r="AA14548" i="1"/>
  <c r="AA14549" i="1"/>
  <c r="AA14550" i="1"/>
  <c r="AA14551" i="1"/>
  <c r="AA14553" i="1"/>
  <c r="AA14554" i="1"/>
  <c r="AA14555" i="1"/>
  <c r="AA14556" i="1"/>
  <c r="AA14557" i="1"/>
  <c r="AA14558" i="1"/>
  <c r="AA14559" i="1"/>
  <c r="AA14560" i="1"/>
  <c r="AA14561" i="1"/>
  <c r="AA14562" i="1"/>
  <c r="AA14563" i="1"/>
  <c r="AA14564" i="1"/>
  <c r="AA14565" i="1"/>
  <c r="AA14566" i="1"/>
  <c r="AA14567" i="1"/>
  <c r="AA14568" i="1"/>
  <c r="AA14569" i="1"/>
  <c r="AA14570" i="1"/>
  <c r="AA14571" i="1"/>
  <c r="AA14572" i="1"/>
  <c r="AA14573" i="1"/>
  <c r="AA14574" i="1"/>
  <c r="AA14575" i="1"/>
  <c r="AA14576" i="1"/>
  <c r="AA14577" i="1"/>
  <c r="AA14578" i="1"/>
  <c r="AA14579" i="1"/>
  <c r="AA14580" i="1"/>
  <c r="AA14581" i="1"/>
  <c r="AA14582" i="1"/>
  <c r="AA14583" i="1"/>
  <c r="AA14584" i="1"/>
  <c r="AA14585" i="1"/>
  <c r="AA14586" i="1"/>
  <c r="AA14587" i="1"/>
  <c r="AA14588" i="1"/>
  <c r="AA14589" i="1"/>
  <c r="AA14590" i="1"/>
  <c r="AA14591" i="1"/>
  <c r="AA14592" i="1"/>
  <c r="AA14593" i="1"/>
  <c r="AA14594" i="1"/>
  <c r="AA14595" i="1"/>
  <c r="AA14596" i="1"/>
  <c r="AA14597" i="1"/>
  <c r="AA14598" i="1"/>
  <c r="AA14599" i="1"/>
  <c r="AA14600" i="1"/>
  <c r="AA14601" i="1"/>
  <c r="AA14602" i="1"/>
  <c r="AA14603" i="1"/>
  <c r="AA14604" i="1"/>
  <c r="AA14605" i="1"/>
  <c r="AA14606" i="1"/>
  <c r="AA14607" i="1"/>
  <c r="AA14608" i="1"/>
  <c r="AA14609" i="1"/>
  <c r="AA14610" i="1"/>
  <c r="AA14611" i="1"/>
  <c r="AA14612" i="1"/>
  <c r="AA14613" i="1"/>
  <c r="AA14614" i="1"/>
  <c r="AA14615" i="1"/>
  <c r="AA14616" i="1"/>
  <c r="AA14617" i="1"/>
  <c r="AA14618" i="1"/>
  <c r="AA14619" i="1"/>
  <c r="AA14620" i="1"/>
  <c r="AA14621" i="1"/>
  <c r="AA14622" i="1"/>
  <c r="AA14623" i="1"/>
  <c r="AA14624" i="1"/>
  <c r="AA14625" i="1"/>
  <c r="AA14626" i="1"/>
  <c r="AA14627" i="1"/>
  <c r="AA14628" i="1"/>
  <c r="AA14629" i="1"/>
  <c r="AA14630" i="1"/>
  <c r="AA14631" i="1"/>
  <c r="AA14632" i="1"/>
  <c r="AA14633" i="1"/>
  <c r="AA14634" i="1"/>
  <c r="AA14635" i="1"/>
  <c r="AA14636" i="1"/>
  <c r="AA14637" i="1"/>
  <c r="AA14638" i="1"/>
  <c r="AA14639" i="1"/>
  <c r="AA14640" i="1"/>
  <c r="AA14641" i="1"/>
  <c r="AA14642" i="1"/>
  <c r="AA14643" i="1"/>
  <c r="AA14644" i="1"/>
  <c r="AA14645" i="1"/>
  <c r="AA14646" i="1"/>
  <c r="AA14647" i="1"/>
  <c r="AA14648" i="1"/>
  <c r="AA14649" i="1"/>
  <c r="AA14650" i="1"/>
  <c r="AA14651" i="1"/>
  <c r="AA14652" i="1"/>
  <c r="AA14653" i="1"/>
  <c r="AA14654" i="1"/>
  <c r="AA14655" i="1"/>
  <c r="AA14656" i="1"/>
  <c r="AA14657" i="1"/>
  <c r="AA14658" i="1"/>
  <c r="AA14659" i="1"/>
  <c r="AA14660" i="1"/>
  <c r="AA14661" i="1"/>
  <c r="AA14662" i="1"/>
  <c r="AA14663" i="1"/>
  <c r="AA14664" i="1"/>
  <c r="AA14665" i="1"/>
  <c r="AA14666" i="1"/>
  <c r="AA14667" i="1"/>
  <c r="AA14668" i="1"/>
  <c r="AA14669" i="1"/>
  <c r="AA14670" i="1"/>
  <c r="AA14671" i="1"/>
  <c r="AA14672" i="1"/>
  <c r="AA14673" i="1"/>
  <c r="AA14674" i="1"/>
  <c r="AA14675" i="1"/>
  <c r="AA14676" i="1"/>
  <c r="AA14677" i="1"/>
  <c r="AA14678" i="1"/>
  <c r="AA14679" i="1"/>
  <c r="AA14680" i="1"/>
  <c r="AA14681" i="1"/>
  <c r="AA14682" i="1"/>
  <c r="AA14683" i="1"/>
  <c r="AA14684" i="1"/>
  <c r="AA14685" i="1"/>
  <c r="AA14687" i="1"/>
  <c r="AA14688" i="1"/>
  <c r="AA14689" i="1"/>
  <c r="AA14690" i="1"/>
  <c r="AA14691" i="1"/>
  <c r="AA14692" i="1"/>
  <c r="AA14693" i="1"/>
  <c r="AA14694" i="1"/>
  <c r="AA14695" i="1"/>
  <c r="AA14696" i="1"/>
  <c r="AA14697" i="1"/>
  <c r="AA14698" i="1"/>
  <c r="AA14700" i="1"/>
  <c r="AA14701" i="1"/>
  <c r="AA14702" i="1"/>
  <c r="AA14703" i="1"/>
  <c r="AA14704" i="1"/>
  <c r="AA14705" i="1"/>
  <c r="AA14706" i="1"/>
  <c r="AA14707" i="1"/>
  <c r="AA14708" i="1"/>
  <c r="AA14709" i="1"/>
  <c r="AA14710" i="1"/>
  <c r="AA14711" i="1"/>
  <c r="AA14712" i="1"/>
  <c r="AA14713" i="1"/>
  <c r="AA14714" i="1"/>
  <c r="AA14715" i="1"/>
  <c r="AA14716" i="1"/>
  <c r="AA14717" i="1"/>
  <c r="AA14718" i="1"/>
  <c r="AA14719" i="1"/>
  <c r="AA14720" i="1"/>
  <c r="AA14721" i="1"/>
  <c r="AA14722" i="1"/>
  <c r="AA14723" i="1"/>
  <c r="AA14724" i="1"/>
  <c r="AA14725" i="1"/>
  <c r="AA14726" i="1"/>
  <c r="AA14727" i="1"/>
  <c r="AA14728" i="1"/>
  <c r="AA14729" i="1"/>
  <c r="AA14731" i="1"/>
  <c r="AA14732" i="1"/>
  <c r="AA14733" i="1"/>
  <c r="AA14734" i="1"/>
  <c r="AA14735" i="1"/>
  <c r="AA14736" i="1"/>
  <c r="AA14737" i="1"/>
  <c r="AA14738" i="1"/>
  <c r="AA14739" i="1"/>
  <c r="AA14740" i="1"/>
  <c r="AA14741" i="1"/>
  <c r="AA14742" i="1"/>
  <c r="AA14743" i="1"/>
  <c r="AA14744" i="1"/>
  <c r="AA14745" i="1"/>
  <c r="AA14746" i="1"/>
  <c r="AA14747" i="1"/>
  <c r="AA14748" i="1"/>
  <c r="AA14749" i="1"/>
  <c r="AA14750" i="1"/>
  <c r="AA14751" i="1"/>
  <c r="AA14752" i="1"/>
  <c r="AA14753" i="1"/>
  <c r="AA14754" i="1"/>
  <c r="AA14755" i="1"/>
  <c r="AA14756" i="1"/>
  <c r="AA14757" i="1"/>
  <c r="AA14759" i="1"/>
  <c r="AA14760" i="1"/>
  <c r="AA14761" i="1"/>
  <c r="AA14762" i="1"/>
  <c r="AA14763" i="1"/>
  <c r="AA14764" i="1"/>
  <c r="AA14765" i="1"/>
  <c r="AA14766" i="1"/>
  <c r="AA14767" i="1"/>
  <c r="AA14768" i="1"/>
  <c r="AA14769" i="1"/>
  <c r="AA14770" i="1"/>
  <c r="AA14771" i="1"/>
  <c r="AA14772" i="1"/>
  <c r="AA14773" i="1"/>
  <c r="AA14775" i="1"/>
  <c r="AA14776" i="1"/>
  <c r="AA14777" i="1"/>
  <c r="AA14778" i="1"/>
  <c r="AA14779" i="1"/>
  <c r="AA14780" i="1"/>
  <c r="AA14781" i="1"/>
  <c r="AA14782" i="1"/>
  <c r="AA14783" i="1"/>
  <c r="AA14784" i="1"/>
  <c r="AA14785" i="1"/>
  <c r="AA14786" i="1"/>
  <c r="AA14787" i="1"/>
  <c r="AA14788" i="1"/>
  <c r="AA14789" i="1"/>
  <c r="AA14790" i="1"/>
  <c r="AA14791" i="1"/>
  <c r="AA14792" i="1"/>
  <c r="AA14793" i="1"/>
  <c r="AA14794" i="1"/>
  <c r="AA14795" i="1"/>
  <c r="AA14796" i="1"/>
  <c r="AA14797" i="1"/>
  <c r="AA14798" i="1"/>
  <c r="AA14799" i="1"/>
  <c r="AA14800" i="1"/>
  <c r="AA14801" i="1"/>
  <c r="AA14802" i="1"/>
  <c r="AA14803" i="1"/>
  <c r="AA14804" i="1"/>
  <c r="AA14805" i="1"/>
  <c r="AA14806" i="1"/>
  <c r="AA14807" i="1"/>
  <c r="AA14808" i="1"/>
  <c r="AA14809" i="1"/>
  <c r="AA14810" i="1"/>
  <c r="AA14811" i="1"/>
  <c r="AA14812" i="1"/>
  <c r="AA14813" i="1"/>
  <c r="AA14814" i="1"/>
  <c r="AA14815" i="1"/>
  <c r="AA14816" i="1"/>
  <c r="AA14817" i="1"/>
  <c r="AA14819" i="1"/>
  <c r="AA14820" i="1"/>
  <c r="AA14821" i="1"/>
  <c r="AA14822" i="1"/>
  <c r="AA14823" i="1"/>
  <c r="AA14824" i="1"/>
  <c r="AA14825" i="1"/>
  <c r="AA14826" i="1"/>
  <c r="AA14827" i="1"/>
  <c r="AA14828" i="1"/>
  <c r="AA14829" i="1"/>
  <c r="AA14830" i="1"/>
  <c r="AA14831" i="1"/>
  <c r="AA14832" i="1"/>
  <c r="AA14833" i="1"/>
  <c r="AA14834" i="1"/>
  <c r="AA14835" i="1"/>
  <c r="AA14836" i="1"/>
  <c r="AA14837" i="1"/>
  <c r="AA14838" i="1"/>
  <c r="AA14839" i="1"/>
  <c r="AA14840" i="1"/>
  <c r="AA14841" i="1"/>
  <c r="AA14842" i="1"/>
  <c r="AA14843" i="1"/>
  <c r="AA14844" i="1"/>
  <c r="AA14845" i="1"/>
  <c r="AA14846" i="1"/>
  <c r="AA14847" i="1"/>
  <c r="AA14848" i="1"/>
  <c r="AA14849" i="1"/>
  <c r="AA14851" i="1"/>
  <c r="AA14852" i="1"/>
  <c r="AA14853" i="1"/>
  <c r="AA14854" i="1"/>
  <c r="AA14855" i="1"/>
  <c r="AA14856" i="1"/>
  <c r="AA14857" i="1"/>
  <c r="AA14858" i="1"/>
  <c r="AA14859" i="1"/>
  <c r="AA14860" i="1"/>
  <c r="AA14861" i="1"/>
  <c r="AA14862" i="1"/>
  <c r="AA14863" i="1"/>
  <c r="AA14864" i="1"/>
  <c r="AA14865" i="1"/>
  <c r="AA14866" i="1"/>
  <c r="AA14867" i="1"/>
  <c r="AA14868" i="1"/>
  <c r="AA14869" i="1"/>
  <c r="AA14870" i="1"/>
  <c r="AA14871" i="1"/>
  <c r="AA14872" i="1"/>
  <c r="AA14873" i="1"/>
  <c r="AA14874" i="1"/>
  <c r="AA14875" i="1"/>
  <c r="AA14876" i="1"/>
  <c r="AA14877" i="1"/>
  <c r="AA14878" i="1"/>
  <c r="AA14879" i="1"/>
  <c r="AA14880" i="1"/>
  <c r="AA14881" i="1"/>
  <c r="AA14882" i="1"/>
  <c r="AA14883" i="1"/>
  <c r="AA14884" i="1"/>
  <c r="AA14885" i="1"/>
  <c r="AA14886" i="1"/>
  <c r="AA14887" i="1"/>
  <c r="AA14888" i="1"/>
  <c r="AA14889" i="1"/>
  <c r="AA14890" i="1"/>
  <c r="AA14891" i="1"/>
  <c r="AA14892" i="1"/>
  <c r="AA14893" i="1"/>
  <c r="AA14894" i="1"/>
  <c r="AA14895" i="1"/>
  <c r="AA14896" i="1"/>
  <c r="AA14897" i="1"/>
  <c r="AA14898" i="1"/>
  <c r="AA14899" i="1"/>
  <c r="AA14900" i="1"/>
  <c r="AA14901" i="1"/>
  <c r="AA14902" i="1"/>
  <c r="AA14903" i="1"/>
  <c r="AA14904" i="1"/>
  <c r="AA14905" i="1"/>
  <c r="AA14906" i="1"/>
  <c r="AA14907" i="1"/>
  <c r="AA14908" i="1"/>
  <c r="AA14909" i="1"/>
  <c r="AA14910" i="1"/>
  <c r="AA14911" i="1"/>
  <c r="AA14912" i="1"/>
  <c r="AA14913" i="1"/>
  <c r="AA14914" i="1"/>
  <c r="AA14915" i="1"/>
  <c r="AA14916" i="1"/>
  <c r="AA14917" i="1"/>
  <c r="AA14918" i="1"/>
  <c r="AA14919" i="1"/>
  <c r="AA14920" i="1"/>
  <c r="AA14921" i="1"/>
  <c r="AA14922" i="1"/>
  <c r="AA14923" i="1"/>
  <c r="AA14924" i="1"/>
  <c r="AA14925" i="1"/>
  <c r="AA14926" i="1"/>
  <c r="AA14927" i="1"/>
  <c r="AA14928" i="1"/>
  <c r="AA14929" i="1"/>
  <c r="AA14930" i="1"/>
  <c r="AA14931" i="1"/>
  <c r="AA14932" i="1"/>
  <c r="AA14933" i="1"/>
  <c r="AA14934" i="1"/>
  <c r="AA14935" i="1"/>
  <c r="AA14936" i="1"/>
  <c r="AA14937" i="1"/>
  <c r="AA14938" i="1"/>
  <c r="AA14939" i="1"/>
  <c r="AA14940" i="1"/>
  <c r="AA14941" i="1"/>
  <c r="AA14942" i="1"/>
  <c r="AA14943" i="1"/>
  <c r="AA14944" i="1"/>
  <c r="AA14945" i="1"/>
  <c r="AA14946" i="1"/>
  <c r="AA14947" i="1"/>
  <c r="AA14948" i="1"/>
  <c r="AA14949" i="1"/>
  <c r="AA14950" i="1"/>
  <c r="AA14951" i="1"/>
  <c r="AA14952" i="1"/>
  <c r="AA14953" i="1"/>
  <c r="AA14954" i="1"/>
  <c r="AA14955" i="1"/>
  <c r="AA14956" i="1"/>
  <c r="AA14957" i="1"/>
  <c r="AA14958" i="1"/>
  <c r="AA14959" i="1"/>
  <c r="AA14960" i="1"/>
  <c r="AA14961" i="1"/>
  <c r="AA14962" i="1"/>
  <c r="AA14963" i="1"/>
  <c r="AA14964" i="1"/>
  <c r="AA14965" i="1"/>
  <c r="AA14966" i="1"/>
  <c r="AA14967" i="1"/>
  <c r="AA14968" i="1"/>
  <c r="AA14969" i="1"/>
  <c r="AA14970" i="1"/>
  <c r="AA14971" i="1"/>
  <c r="AA14972" i="1"/>
  <c r="AA14973" i="1"/>
  <c r="AA14974" i="1"/>
  <c r="AA14975" i="1"/>
  <c r="AA14976" i="1"/>
  <c r="AA14977" i="1"/>
  <c r="AA14978" i="1"/>
  <c r="AA14979" i="1"/>
  <c r="AA14980" i="1"/>
  <c r="AA14981" i="1"/>
  <c r="AA14982" i="1"/>
  <c r="AA14983" i="1"/>
  <c r="AA14984" i="1"/>
  <c r="AA14985" i="1"/>
  <c r="AA14986" i="1"/>
  <c r="AA14987" i="1"/>
  <c r="AA14988" i="1"/>
  <c r="AA14989" i="1"/>
  <c r="AA14990" i="1"/>
  <c r="AA14991" i="1"/>
  <c r="AA14992" i="1"/>
  <c r="AA14993" i="1"/>
  <c r="AA14994" i="1"/>
  <c r="AA14995" i="1"/>
  <c r="AA14996" i="1"/>
  <c r="AA14997" i="1"/>
  <c r="AA14998" i="1"/>
  <c r="AA14999" i="1"/>
  <c r="AA15000" i="1"/>
  <c r="AA15001" i="1"/>
  <c r="AA15002" i="1"/>
  <c r="AA15003" i="1"/>
  <c r="AA15004" i="1"/>
  <c r="AA15005" i="1"/>
  <c r="AA15006" i="1"/>
  <c r="AA15007" i="1"/>
  <c r="AA15008" i="1"/>
  <c r="AA15009" i="1"/>
  <c r="AA15010" i="1"/>
  <c r="AA15011" i="1"/>
  <c r="AA15012" i="1"/>
  <c r="AA15013" i="1"/>
  <c r="AA15014" i="1"/>
  <c r="AA15015" i="1"/>
  <c r="AA15016" i="1"/>
  <c r="AA15017" i="1"/>
  <c r="AA15018" i="1"/>
  <c r="AA15019" i="1"/>
  <c r="AA15020" i="1"/>
  <c r="AA15021" i="1"/>
  <c r="AA15022" i="1"/>
  <c r="AA15023" i="1"/>
  <c r="AA15024" i="1"/>
  <c r="AA15025" i="1"/>
  <c r="AA15026" i="1"/>
  <c r="AA15027" i="1"/>
  <c r="AA15028" i="1"/>
  <c r="AA15029" i="1"/>
  <c r="AA15030" i="1"/>
  <c r="AA15031" i="1"/>
  <c r="AA15032" i="1"/>
  <c r="AA15033" i="1"/>
  <c r="AA15034" i="1"/>
  <c r="AA15035" i="1"/>
  <c r="AA15036" i="1"/>
  <c r="AA15037" i="1"/>
  <c r="AA15038" i="1"/>
  <c r="AA15039" i="1"/>
  <c r="AA15040" i="1"/>
  <c r="AA15041" i="1"/>
  <c r="AA15042" i="1"/>
  <c r="AA15043" i="1"/>
  <c r="AA15044" i="1"/>
  <c r="AA15045" i="1"/>
  <c r="AA15046" i="1"/>
  <c r="AA15047" i="1"/>
  <c r="AA15048" i="1"/>
  <c r="AA15049" i="1"/>
  <c r="AA15050" i="1"/>
  <c r="AA15051" i="1"/>
  <c r="AA15052" i="1"/>
  <c r="AA15053" i="1"/>
  <c r="AA15054" i="1"/>
  <c r="AA15055" i="1"/>
  <c r="AA15056" i="1"/>
  <c r="AA15057" i="1"/>
  <c r="AA15059" i="1"/>
  <c r="AA15060" i="1"/>
  <c r="AA15061" i="1"/>
  <c r="AA15062" i="1"/>
  <c r="AA15063" i="1"/>
  <c r="AA15064" i="1"/>
  <c r="AA15065" i="1"/>
  <c r="AA15066" i="1"/>
  <c r="AA15067" i="1"/>
  <c r="AA15068" i="1"/>
  <c r="AA15069" i="1"/>
  <c r="AA15070" i="1"/>
  <c r="AA15071" i="1"/>
  <c r="AA15072" i="1"/>
  <c r="AA15073" i="1"/>
  <c r="AA15074" i="1"/>
  <c r="AA15075" i="1"/>
  <c r="AA15076" i="1"/>
  <c r="AA15077" i="1"/>
  <c r="AA15078" i="1"/>
  <c r="AA15079" i="1"/>
  <c r="AA15080" i="1"/>
  <c r="AA15081" i="1"/>
  <c r="AA15082" i="1"/>
  <c r="AA15083" i="1"/>
  <c r="AA15084" i="1"/>
  <c r="AA15085" i="1"/>
  <c r="AA15086" i="1"/>
  <c r="AA15087" i="1"/>
  <c r="AA15088" i="1"/>
  <c r="AA15089" i="1"/>
  <c r="AA15090" i="1"/>
  <c r="AA15091" i="1"/>
  <c r="AA15092" i="1"/>
  <c r="AA15093" i="1"/>
  <c r="AA15094" i="1"/>
  <c r="AA15095" i="1"/>
  <c r="AA15096" i="1"/>
  <c r="AA15097" i="1"/>
  <c r="AA15098" i="1"/>
  <c r="AA15099" i="1"/>
  <c r="AA15100" i="1"/>
  <c r="AA15101" i="1"/>
  <c r="AA15102" i="1"/>
  <c r="AA15103" i="1"/>
  <c r="AA15104" i="1"/>
  <c r="AA15105" i="1"/>
  <c r="AA15106" i="1"/>
  <c r="AA15107" i="1"/>
  <c r="AA15108" i="1"/>
  <c r="AA15109" i="1"/>
  <c r="AA15110" i="1"/>
  <c r="AA15111" i="1"/>
  <c r="AA15112" i="1"/>
  <c r="AA15113" i="1"/>
  <c r="AA15114" i="1"/>
  <c r="AA15115" i="1"/>
  <c r="AA15116" i="1"/>
  <c r="AA15117" i="1"/>
  <c r="AA15118" i="1"/>
  <c r="AA15119" i="1"/>
  <c r="AA15120" i="1"/>
  <c r="AA15121" i="1"/>
  <c r="AA15122" i="1"/>
  <c r="AA15123" i="1"/>
  <c r="AA15124" i="1"/>
  <c r="AA15125" i="1"/>
  <c r="AA15126" i="1"/>
  <c r="AA15127" i="1"/>
  <c r="AA15128" i="1"/>
  <c r="AA15129" i="1"/>
  <c r="AA15130" i="1"/>
  <c r="AA15131" i="1"/>
  <c r="AA15132" i="1"/>
  <c r="AA15133" i="1"/>
  <c r="AA15134" i="1"/>
  <c r="AA15135" i="1"/>
  <c r="AA15136" i="1"/>
  <c r="AA15137" i="1"/>
  <c r="AA15138" i="1"/>
  <c r="AA15139" i="1"/>
  <c r="AA15140" i="1"/>
  <c r="AA15141" i="1"/>
  <c r="AA15142" i="1"/>
  <c r="AA15143" i="1"/>
  <c r="AA15144" i="1"/>
  <c r="AA15145" i="1"/>
  <c r="AA15146" i="1"/>
  <c r="AA15147" i="1"/>
  <c r="AA15148" i="1"/>
  <c r="AA15149" i="1"/>
  <c r="AA15150" i="1"/>
  <c r="AA15151" i="1"/>
  <c r="AA15152" i="1"/>
  <c r="AA15153" i="1"/>
  <c r="AA15154" i="1"/>
  <c r="AA15155" i="1"/>
  <c r="AA15156" i="1"/>
  <c r="AA15157" i="1"/>
  <c r="AA15158" i="1"/>
  <c r="AA15159" i="1"/>
  <c r="AA15160" i="1"/>
  <c r="AA15161" i="1"/>
  <c r="AA15162" i="1"/>
  <c r="AA15163" i="1"/>
  <c r="AA15164" i="1"/>
  <c r="AA15165" i="1"/>
  <c r="AA15166" i="1"/>
  <c r="AA15167" i="1"/>
  <c r="AA15168" i="1"/>
  <c r="AA15169" i="1"/>
  <c r="AA15170" i="1"/>
  <c r="AA15171" i="1"/>
  <c r="AA15172" i="1"/>
  <c r="AA15173" i="1"/>
  <c r="AA15175" i="1"/>
  <c r="AA15176" i="1"/>
  <c r="AA15177" i="1"/>
  <c r="AA15178" i="1"/>
  <c r="AA15179" i="1"/>
  <c r="AA15180" i="1"/>
  <c r="AA15181" i="1"/>
  <c r="AA15182" i="1"/>
  <c r="AA15183" i="1"/>
  <c r="AA15184" i="1"/>
  <c r="AA15185" i="1"/>
  <c r="AA15186" i="1"/>
  <c r="AA15187" i="1"/>
  <c r="AA15188" i="1"/>
  <c r="AA15189" i="1"/>
  <c r="AA15190" i="1"/>
  <c r="AA15191" i="1"/>
  <c r="AA15192" i="1"/>
  <c r="AA15193" i="1"/>
  <c r="AA15194" i="1"/>
  <c r="AA15195" i="1"/>
  <c r="AA15196" i="1"/>
  <c r="AA15197" i="1"/>
  <c r="AA15198" i="1"/>
  <c r="AA15199" i="1"/>
  <c r="AA15200" i="1"/>
  <c r="AA15201" i="1"/>
  <c r="AA15202" i="1"/>
  <c r="AA15203" i="1"/>
  <c r="AA15204" i="1"/>
  <c r="AA15205" i="1"/>
  <c r="AA15206" i="1"/>
  <c r="AA15207" i="1"/>
  <c r="AA15208" i="1"/>
  <c r="AA15209" i="1"/>
  <c r="AA15210" i="1"/>
  <c r="AA15211" i="1"/>
  <c r="AA15212" i="1"/>
  <c r="AA15213" i="1"/>
  <c r="AA15214" i="1"/>
  <c r="AA15215" i="1"/>
  <c r="AA15216" i="1"/>
  <c r="AA15217" i="1"/>
  <c r="AA15218" i="1"/>
  <c r="AA15219" i="1"/>
  <c r="AA15220" i="1"/>
  <c r="AA15221" i="1"/>
  <c r="AA15222" i="1"/>
  <c r="AA15223" i="1"/>
  <c r="AA15224" i="1"/>
  <c r="AA15225" i="1"/>
  <c r="AA15226" i="1"/>
  <c r="AA15227" i="1"/>
  <c r="AA15228" i="1"/>
  <c r="AA15229" i="1"/>
  <c r="AA15230" i="1"/>
  <c r="AA15231" i="1"/>
  <c r="AA15232" i="1"/>
  <c r="AA15233" i="1"/>
  <c r="AA15234" i="1"/>
  <c r="AA15235" i="1"/>
  <c r="AA15236" i="1"/>
  <c r="AA15237" i="1"/>
  <c r="AA15238" i="1"/>
  <c r="AA15239" i="1"/>
  <c r="AA15240" i="1"/>
  <c r="AA15241" i="1"/>
  <c r="AA15242" i="1"/>
  <c r="AA15243" i="1"/>
  <c r="AA15244" i="1"/>
  <c r="AA15245" i="1"/>
  <c r="AA15246" i="1"/>
  <c r="AA15247" i="1"/>
  <c r="AA15248" i="1"/>
  <c r="AA15249" i="1"/>
  <c r="AA15250" i="1"/>
  <c r="AA15251" i="1"/>
  <c r="AA15252" i="1"/>
  <c r="AA15253" i="1"/>
  <c r="AA15254" i="1"/>
  <c r="AA15255" i="1"/>
  <c r="AA15256" i="1"/>
  <c r="AA15257" i="1"/>
  <c r="AA15258" i="1"/>
  <c r="AA15259" i="1"/>
  <c r="AA15260" i="1"/>
  <c r="AA15261" i="1"/>
  <c r="AA15262" i="1"/>
  <c r="AA15263" i="1"/>
  <c r="AA15264" i="1"/>
  <c r="AA15265" i="1"/>
  <c r="AA15266" i="1"/>
  <c r="AA15267" i="1"/>
  <c r="AA15268" i="1"/>
  <c r="AA15269" i="1"/>
  <c r="AA15270" i="1"/>
  <c r="AA15271" i="1"/>
  <c r="AA15272" i="1"/>
  <c r="AA15273" i="1"/>
  <c r="AA15274" i="1"/>
  <c r="AA15275" i="1"/>
  <c r="AA15276" i="1"/>
  <c r="AA15277" i="1"/>
  <c r="AA15278" i="1"/>
  <c r="AA15279" i="1"/>
  <c r="AA15280" i="1"/>
  <c r="AA15281" i="1"/>
  <c r="AA15282" i="1"/>
  <c r="AA15283" i="1"/>
  <c r="AA15284" i="1"/>
  <c r="AA15285" i="1"/>
  <c r="AA15286" i="1"/>
  <c r="AA15287" i="1"/>
  <c r="AA15288" i="1"/>
  <c r="AA15289" i="1"/>
  <c r="AA15290" i="1"/>
  <c r="AA15291" i="1"/>
  <c r="AA15292" i="1"/>
  <c r="AA15293" i="1"/>
  <c r="AA15294" i="1"/>
  <c r="AA15295" i="1"/>
  <c r="AA15296" i="1"/>
  <c r="AA15297" i="1"/>
  <c r="AA15298" i="1"/>
  <c r="AA15299" i="1"/>
  <c r="AA15300" i="1"/>
  <c r="AA15301" i="1"/>
  <c r="AA15302" i="1"/>
  <c r="AA15303" i="1"/>
  <c r="AA15304" i="1"/>
  <c r="AA15305" i="1"/>
  <c r="AA15306" i="1"/>
  <c r="AA15307" i="1"/>
  <c r="AA15308" i="1"/>
  <c r="AA15309" i="1"/>
  <c r="AA15310" i="1"/>
  <c r="AA15311" i="1"/>
  <c r="AA15312" i="1"/>
  <c r="AA15313" i="1"/>
  <c r="AA15314" i="1"/>
  <c r="AA15315" i="1"/>
  <c r="AA15316" i="1"/>
  <c r="AA15317" i="1"/>
  <c r="AA15318" i="1"/>
  <c r="AA15319" i="1"/>
  <c r="AA15320" i="1"/>
  <c r="AA15321" i="1"/>
  <c r="AA15322" i="1"/>
  <c r="AA15323" i="1"/>
  <c r="AA15324" i="1"/>
  <c r="AA15325" i="1"/>
  <c r="AA15326" i="1"/>
  <c r="AA15327" i="1"/>
  <c r="AA15328" i="1"/>
  <c r="AA15329" i="1"/>
  <c r="AA15330" i="1"/>
  <c r="AA15331" i="1"/>
  <c r="AA15332" i="1"/>
  <c r="AA15333" i="1"/>
  <c r="AA15334" i="1"/>
  <c r="AA15335" i="1"/>
  <c r="AA15336" i="1"/>
  <c r="AA15337" i="1"/>
  <c r="AA15338" i="1"/>
  <c r="AA15339" i="1"/>
  <c r="AA15340" i="1"/>
  <c r="AA15341" i="1"/>
  <c r="AA15342" i="1"/>
  <c r="AA15343" i="1"/>
  <c r="AA15344" i="1"/>
  <c r="AA15345" i="1"/>
  <c r="AA15346" i="1"/>
  <c r="AA15347" i="1"/>
  <c r="AA15348" i="1"/>
  <c r="AA15349" i="1"/>
  <c r="AA15350" i="1"/>
  <c r="AA15351" i="1"/>
  <c r="AA15352" i="1"/>
  <c r="AA15353" i="1"/>
  <c r="AA15354" i="1"/>
  <c r="AA15355" i="1"/>
  <c r="AA15356" i="1"/>
  <c r="AA15357" i="1"/>
  <c r="AA15358" i="1"/>
  <c r="AA15359" i="1"/>
  <c r="AA15360" i="1"/>
  <c r="AA15361" i="1"/>
  <c r="AA15362" i="1"/>
  <c r="AA15363" i="1"/>
  <c r="AA15364" i="1"/>
  <c r="AA15365" i="1"/>
  <c r="AA15366" i="1"/>
  <c r="AA15367" i="1"/>
  <c r="AA15368" i="1"/>
  <c r="AA15369" i="1"/>
  <c r="AA15370" i="1"/>
  <c r="AA15371" i="1"/>
  <c r="AA15372" i="1"/>
  <c r="AA15373" i="1"/>
  <c r="AA15374" i="1"/>
  <c r="AA15375" i="1"/>
  <c r="AA15376" i="1"/>
  <c r="AA15377" i="1"/>
  <c r="AA15378" i="1"/>
  <c r="AA15379" i="1"/>
  <c r="AA15380" i="1"/>
  <c r="AA15381" i="1"/>
  <c r="AA15382" i="1"/>
  <c r="AA15383" i="1"/>
  <c r="AA15384" i="1"/>
  <c r="AA15385" i="1"/>
  <c r="AA15386" i="1"/>
  <c r="AA15387" i="1"/>
  <c r="AA15388" i="1"/>
  <c r="AA15389" i="1"/>
  <c r="AA15390" i="1"/>
  <c r="AA15391" i="1"/>
  <c r="AA15392" i="1"/>
  <c r="AA15393" i="1"/>
  <c r="AA15394" i="1"/>
  <c r="AA15395" i="1"/>
  <c r="AA15396" i="1"/>
  <c r="AA15397" i="1"/>
  <c r="AA15398" i="1"/>
  <c r="AA15399" i="1"/>
  <c r="AA15400" i="1"/>
  <c r="AA15401" i="1"/>
  <c r="AA15402" i="1"/>
  <c r="AA15403" i="1"/>
  <c r="AA15404" i="1"/>
  <c r="AA15405" i="1"/>
  <c r="AA15406" i="1"/>
  <c r="AA15407" i="1"/>
  <c r="AA15408" i="1"/>
  <c r="AA15409" i="1"/>
  <c r="AA15410" i="1"/>
  <c r="AA15411" i="1"/>
  <c r="AA15412" i="1"/>
  <c r="AA15413" i="1"/>
  <c r="AA15414" i="1"/>
  <c r="AA15415" i="1"/>
  <c r="AA15416" i="1"/>
  <c r="AA15417" i="1"/>
  <c r="AA15418" i="1"/>
  <c r="AA15419" i="1"/>
  <c r="AA15420" i="1"/>
  <c r="AA15421" i="1"/>
  <c r="AA15422" i="1"/>
  <c r="AA15423" i="1"/>
  <c r="AA15424" i="1"/>
  <c r="AA15425" i="1"/>
  <c r="AA15426" i="1"/>
  <c r="AA15427" i="1"/>
  <c r="AA15428" i="1"/>
  <c r="AA15429" i="1"/>
  <c r="AA15430" i="1"/>
  <c r="AA15431" i="1"/>
  <c r="AA15432" i="1"/>
  <c r="AA15433" i="1"/>
  <c r="AA15434" i="1"/>
  <c r="AA15435" i="1"/>
  <c r="AA15436" i="1"/>
  <c r="AA15437" i="1"/>
  <c r="AA15438" i="1"/>
  <c r="AA15439" i="1"/>
  <c r="AA15440" i="1"/>
  <c r="AA15441" i="1"/>
  <c r="AA15442" i="1"/>
  <c r="AA15443" i="1"/>
  <c r="AA15444" i="1"/>
  <c r="AA15445" i="1"/>
  <c r="AA15446" i="1"/>
  <c r="AA15447" i="1"/>
  <c r="AA15448" i="1"/>
  <c r="AA15449" i="1"/>
  <c r="AA15450" i="1"/>
  <c r="AA15451" i="1"/>
  <c r="AA15452" i="1"/>
  <c r="AA15453" i="1"/>
  <c r="AA15454" i="1"/>
  <c r="AA15455" i="1"/>
  <c r="AA15456" i="1"/>
  <c r="AA15457" i="1"/>
  <c r="AA15458" i="1"/>
  <c r="AA15459" i="1"/>
  <c r="AA15460" i="1"/>
  <c r="AA15461" i="1"/>
  <c r="AA15462" i="1"/>
  <c r="AA15463" i="1"/>
  <c r="AA15464" i="1"/>
  <c r="AA15465" i="1"/>
  <c r="AA15466" i="1"/>
  <c r="AA15467" i="1"/>
  <c r="AA15468" i="1"/>
  <c r="AA15469" i="1"/>
  <c r="AA15470" i="1"/>
  <c r="AA15471" i="1"/>
  <c r="AA15472" i="1"/>
  <c r="AA15473" i="1"/>
  <c r="AA15474" i="1"/>
  <c r="AA15475" i="1"/>
  <c r="AA15476" i="1"/>
  <c r="AA15477" i="1"/>
  <c r="AA15478" i="1"/>
  <c r="AA15479" i="1"/>
  <c r="AA15480" i="1"/>
  <c r="AA15481" i="1"/>
  <c r="AA15482" i="1"/>
  <c r="AA15483" i="1"/>
  <c r="AA15484" i="1"/>
  <c r="AA15485" i="1"/>
  <c r="AA15486" i="1"/>
  <c r="AA15487" i="1"/>
  <c r="AA15488" i="1"/>
  <c r="AA15489" i="1"/>
  <c r="AA15490" i="1"/>
  <c r="AA15491" i="1"/>
  <c r="AA15492" i="1"/>
  <c r="AA15493" i="1"/>
  <c r="AA15494" i="1"/>
  <c r="AA15495" i="1"/>
  <c r="AA15496" i="1"/>
  <c r="AA15497" i="1"/>
  <c r="AA15498" i="1"/>
  <c r="AA15499" i="1"/>
  <c r="AA15500" i="1"/>
  <c r="AA15501" i="1"/>
  <c r="AA15502" i="1"/>
  <c r="AA15503" i="1"/>
  <c r="AA15504" i="1"/>
  <c r="AA15505" i="1"/>
  <c r="AA15506" i="1"/>
  <c r="AA15507" i="1"/>
  <c r="AA15508" i="1"/>
  <c r="AA15509" i="1"/>
  <c r="AA15510" i="1"/>
  <c r="AA15511" i="1"/>
  <c r="AA15512" i="1"/>
  <c r="AA15513" i="1"/>
  <c r="AA15514" i="1"/>
  <c r="AA15515" i="1"/>
  <c r="AA15516" i="1"/>
  <c r="AA15517" i="1"/>
  <c r="AA15518" i="1"/>
  <c r="AA15519" i="1"/>
  <c r="AA15520" i="1"/>
  <c r="AA15521" i="1"/>
  <c r="AA15522" i="1"/>
  <c r="AA15523" i="1"/>
  <c r="AA15524" i="1"/>
  <c r="AA15525" i="1"/>
  <c r="AA15526" i="1"/>
  <c r="AA15527" i="1"/>
  <c r="AA15528" i="1"/>
  <c r="AA15529" i="1"/>
  <c r="AA15530" i="1"/>
  <c r="AA15531" i="1"/>
  <c r="AA15532" i="1"/>
  <c r="AA15533" i="1"/>
  <c r="AA15534" i="1"/>
  <c r="AA15535" i="1"/>
  <c r="AA15536" i="1"/>
  <c r="AA15537" i="1"/>
  <c r="AA15538" i="1"/>
  <c r="AA15539" i="1"/>
  <c r="AA15540" i="1"/>
  <c r="AA15541" i="1"/>
  <c r="AA15542" i="1"/>
  <c r="AA15543" i="1"/>
  <c r="AA15544" i="1"/>
  <c r="AA15545" i="1"/>
  <c r="AA15546" i="1"/>
  <c r="AA15547" i="1"/>
  <c r="AA15548" i="1"/>
  <c r="AA15549" i="1"/>
  <c r="AA15550" i="1"/>
  <c r="AA15551" i="1"/>
  <c r="AA15552" i="1"/>
  <c r="AA15553" i="1"/>
  <c r="AA15554" i="1"/>
  <c r="AA15555" i="1"/>
  <c r="AA15556" i="1"/>
  <c r="AA15557" i="1"/>
  <c r="AA15558" i="1"/>
  <c r="AA15559" i="1"/>
  <c r="AA15560" i="1"/>
  <c r="AA15561" i="1"/>
  <c r="AA15562" i="1"/>
  <c r="AA15563" i="1"/>
  <c r="AA15564" i="1"/>
  <c r="AA15565" i="1"/>
  <c r="AA15566" i="1"/>
  <c r="AA15567" i="1"/>
  <c r="AA15568" i="1"/>
  <c r="AA15569" i="1"/>
  <c r="AA15570" i="1"/>
  <c r="AA15571" i="1"/>
  <c r="AA15572" i="1"/>
  <c r="AA15573" i="1"/>
  <c r="AA15574" i="1"/>
  <c r="AA15575" i="1"/>
  <c r="AA15576" i="1"/>
  <c r="AA15577" i="1"/>
  <c r="AA15578" i="1"/>
  <c r="AA15579" i="1"/>
  <c r="AA15580" i="1"/>
  <c r="AA15581" i="1"/>
  <c r="AA15582" i="1"/>
  <c r="AA15583" i="1"/>
  <c r="AA15584" i="1"/>
  <c r="AA15585" i="1"/>
  <c r="AA15586" i="1"/>
  <c r="AA15587" i="1"/>
  <c r="AA15588" i="1"/>
  <c r="AA15589" i="1"/>
  <c r="AA15590" i="1"/>
  <c r="AA15591" i="1"/>
  <c r="AA15592" i="1"/>
  <c r="AA15593" i="1"/>
  <c r="AA15594" i="1"/>
  <c r="AA15595" i="1"/>
  <c r="AA15596" i="1"/>
  <c r="AA15597" i="1"/>
  <c r="AA15598" i="1"/>
  <c r="AA15599" i="1"/>
  <c r="AA15600" i="1"/>
  <c r="AA15601" i="1"/>
  <c r="AA15602" i="1"/>
  <c r="AA15603" i="1"/>
  <c r="AA15604" i="1"/>
  <c r="AA15605" i="1"/>
  <c r="AA15606" i="1"/>
  <c r="AA15607" i="1"/>
  <c r="AA15608" i="1"/>
  <c r="AA15609" i="1"/>
  <c r="AA15610" i="1"/>
  <c r="AA15611" i="1"/>
  <c r="AA15612" i="1"/>
  <c r="AA15613" i="1"/>
  <c r="AA15614" i="1"/>
  <c r="AA15615" i="1"/>
  <c r="AA15616" i="1"/>
  <c r="AA15617" i="1"/>
  <c r="AA15618" i="1"/>
  <c r="AA15619" i="1"/>
  <c r="AA15620" i="1"/>
  <c r="AA15621" i="1"/>
  <c r="AA15622" i="1"/>
  <c r="AA15623" i="1"/>
  <c r="AA15624" i="1"/>
  <c r="AA15625" i="1"/>
  <c r="AA15626" i="1"/>
  <c r="AA15627" i="1"/>
  <c r="AA15628" i="1"/>
  <c r="AA15629" i="1"/>
  <c r="AA15630" i="1"/>
  <c r="AA15631" i="1"/>
  <c r="AA15632" i="1"/>
  <c r="AA15633" i="1"/>
  <c r="AA15634" i="1"/>
  <c r="AA15635" i="1"/>
  <c r="AA15636" i="1"/>
  <c r="AA15637" i="1"/>
  <c r="AA15638" i="1"/>
  <c r="AA15639" i="1"/>
  <c r="AA15640" i="1"/>
  <c r="AA15641" i="1"/>
  <c r="AA15642" i="1"/>
  <c r="AA15643" i="1"/>
  <c r="AA15644" i="1"/>
  <c r="AA15645" i="1"/>
  <c r="AA15646" i="1"/>
  <c r="AA15647" i="1"/>
  <c r="AA15648" i="1"/>
  <c r="AA15649" i="1"/>
  <c r="AA15650" i="1"/>
  <c r="AA15651" i="1"/>
  <c r="AA15652" i="1"/>
  <c r="AA15653" i="1"/>
  <c r="AA15654" i="1"/>
  <c r="AA15655" i="1"/>
  <c r="AA15656" i="1"/>
  <c r="AA15657" i="1"/>
  <c r="AA15658" i="1"/>
  <c r="AA15659" i="1"/>
  <c r="AA15660" i="1"/>
  <c r="AA15661" i="1"/>
  <c r="AA15662" i="1"/>
  <c r="AA15663" i="1"/>
  <c r="AA15664" i="1"/>
  <c r="AA15665" i="1"/>
  <c r="AA15666" i="1"/>
  <c r="AA15667" i="1"/>
  <c r="AA15668" i="1"/>
  <c r="AA15669" i="1"/>
  <c r="AA15670" i="1"/>
  <c r="AA15671" i="1"/>
  <c r="AA15672" i="1"/>
  <c r="AA15673" i="1"/>
  <c r="AA15674" i="1"/>
  <c r="AA15675" i="1"/>
  <c r="AA15676" i="1"/>
  <c r="AA15677" i="1"/>
  <c r="AA15678" i="1"/>
  <c r="AA15679" i="1"/>
  <c r="AA15680" i="1"/>
  <c r="AA15681" i="1"/>
  <c r="AA15682" i="1"/>
  <c r="AA15683" i="1"/>
  <c r="AA15684" i="1"/>
  <c r="AA15685" i="1"/>
  <c r="AA15686" i="1"/>
  <c r="AA15687" i="1"/>
  <c r="AA15688" i="1"/>
  <c r="AA15689" i="1"/>
  <c r="AA15690" i="1"/>
  <c r="AA15691" i="1"/>
  <c r="AA15692" i="1"/>
  <c r="AA15693" i="1"/>
  <c r="AA15694" i="1"/>
  <c r="AA15695" i="1"/>
  <c r="AA15696" i="1"/>
  <c r="AA15697" i="1"/>
  <c r="AA15698" i="1"/>
  <c r="AA15699" i="1"/>
  <c r="AA15700" i="1"/>
  <c r="AA15701" i="1"/>
  <c r="AA15702" i="1"/>
  <c r="AA15703" i="1"/>
  <c r="AA15704" i="1"/>
  <c r="AA15705" i="1"/>
  <c r="AA15706" i="1"/>
  <c r="AA15707" i="1"/>
  <c r="AA15708" i="1"/>
  <c r="AA15709" i="1"/>
  <c r="AA15710" i="1"/>
  <c r="AA15711" i="1"/>
  <c r="AA15712" i="1"/>
  <c r="AA15713" i="1"/>
  <c r="AA15714" i="1"/>
  <c r="AA15715" i="1"/>
  <c r="AA15716" i="1"/>
  <c r="AA15717" i="1"/>
  <c r="AA15718" i="1"/>
  <c r="AA15719" i="1"/>
  <c r="AA15720" i="1"/>
  <c r="AA15721" i="1"/>
  <c r="AA15722" i="1"/>
  <c r="AA15723" i="1"/>
  <c r="AA15724" i="1"/>
  <c r="AA15725" i="1"/>
  <c r="AA15726" i="1"/>
  <c r="AA15727" i="1"/>
  <c r="AA15728" i="1"/>
  <c r="AA15729" i="1"/>
  <c r="AA15730" i="1"/>
  <c r="AA15731" i="1"/>
  <c r="AA15732" i="1"/>
  <c r="AA15733" i="1"/>
  <c r="AA15734" i="1"/>
  <c r="AA15735" i="1"/>
  <c r="AA15736" i="1"/>
  <c r="AA15737" i="1"/>
  <c r="AA15738" i="1"/>
  <c r="AA15739" i="1"/>
  <c r="AA15740" i="1"/>
  <c r="AA15741" i="1"/>
  <c r="AA15742" i="1"/>
  <c r="AA15743" i="1"/>
  <c r="AA15744" i="1"/>
  <c r="AA15745" i="1"/>
  <c r="AA15746" i="1"/>
  <c r="AA15747" i="1"/>
  <c r="AA15748" i="1"/>
  <c r="AA15749" i="1"/>
  <c r="AA15750" i="1"/>
  <c r="AA15751" i="1"/>
  <c r="AA15752" i="1"/>
  <c r="AA15753" i="1"/>
  <c r="AA15754" i="1"/>
  <c r="AA15755" i="1"/>
  <c r="AA15756" i="1"/>
  <c r="AA15757" i="1"/>
  <c r="AA15758" i="1"/>
  <c r="AA15759" i="1"/>
  <c r="AA15760" i="1"/>
  <c r="AA15761" i="1"/>
  <c r="AA15762" i="1"/>
  <c r="AA15763" i="1"/>
  <c r="AA15764" i="1"/>
  <c r="AA15765" i="1"/>
  <c r="AA15766" i="1"/>
  <c r="AA15767" i="1"/>
  <c r="AA15768" i="1"/>
  <c r="AA15769" i="1"/>
  <c r="AA15770" i="1"/>
  <c r="AA15771" i="1"/>
  <c r="AA15772" i="1"/>
  <c r="AA15773" i="1"/>
  <c r="AA15774" i="1"/>
  <c r="AA15775" i="1"/>
  <c r="AA15776" i="1"/>
  <c r="AA15777" i="1"/>
  <c r="AA15778" i="1"/>
  <c r="AA15779" i="1"/>
  <c r="AA15780" i="1"/>
  <c r="AA15781" i="1"/>
  <c r="AA15782" i="1"/>
  <c r="AA15783" i="1"/>
  <c r="AA15784" i="1"/>
  <c r="AA15785" i="1"/>
  <c r="AA15786" i="1"/>
  <c r="AA15787" i="1"/>
  <c r="AA15788" i="1"/>
  <c r="AA15789" i="1"/>
  <c r="AA15790" i="1"/>
  <c r="AA15791" i="1"/>
  <c r="AA15792" i="1"/>
  <c r="AA15793" i="1"/>
  <c r="AA15794" i="1"/>
  <c r="AA15795" i="1"/>
  <c r="AA15796" i="1"/>
  <c r="AA15797" i="1"/>
  <c r="AA15798" i="1"/>
  <c r="AA15799" i="1"/>
  <c r="AA15800" i="1"/>
  <c r="AA15801" i="1"/>
  <c r="AA15802" i="1"/>
  <c r="AA15803" i="1"/>
  <c r="AA15804" i="1"/>
  <c r="AA15805" i="1"/>
  <c r="AA15806" i="1"/>
  <c r="AA15807" i="1"/>
  <c r="AA15808" i="1"/>
  <c r="AA15809" i="1"/>
  <c r="AA15810" i="1"/>
  <c r="AA15811" i="1"/>
  <c r="AA15812" i="1"/>
  <c r="AA15813" i="1"/>
  <c r="AA15814" i="1"/>
  <c r="AA15815" i="1"/>
  <c r="AA15816" i="1"/>
  <c r="AA15817" i="1"/>
  <c r="AA15818" i="1"/>
  <c r="AA15819" i="1"/>
  <c r="AA15820" i="1"/>
  <c r="AA15821" i="1"/>
  <c r="AA15822" i="1"/>
  <c r="AA15823" i="1"/>
  <c r="AA15824" i="1"/>
  <c r="AA15825" i="1"/>
  <c r="AA15826" i="1"/>
  <c r="AA15827" i="1"/>
  <c r="AA15828" i="1"/>
  <c r="AA15829" i="1"/>
  <c r="AA15830" i="1"/>
  <c r="AA15831" i="1"/>
  <c r="AA15832" i="1"/>
  <c r="AA15833" i="1"/>
  <c r="AA15834" i="1"/>
  <c r="AA15835" i="1"/>
  <c r="AA15836" i="1"/>
  <c r="AA15837" i="1"/>
  <c r="AA15838" i="1"/>
  <c r="AA15839" i="1"/>
  <c r="AA15840" i="1"/>
  <c r="AA15841" i="1"/>
  <c r="AA15842" i="1"/>
  <c r="AA15843" i="1"/>
  <c r="AA15844" i="1"/>
  <c r="AA15845" i="1"/>
  <c r="AA15846" i="1"/>
  <c r="AA15847" i="1"/>
  <c r="AA15848" i="1"/>
  <c r="AA15849" i="1"/>
  <c r="AA15850" i="1"/>
  <c r="AA15851" i="1"/>
  <c r="AA15852" i="1"/>
  <c r="AA15853" i="1"/>
  <c r="AA15854" i="1"/>
  <c r="AA15855" i="1"/>
  <c r="AA15856" i="1"/>
  <c r="AA15857" i="1"/>
  <c r="AA15858" i="1"/>
  <c r="AA15859" i="1"/>
  <c r="AA15860" i="1"/>
  <c r="AA15861" i="1"/>
  <c r="AA15862" i="1"/>
  <c r="AA15863" i="1"/>
  <c r="AA15864" i="1"/>
  <c r="AA15865" i="1"/>
  <c r="AA15866" i="1"/>
  <c r="AA15867" i="1"/>
  <c r="AA15868" i="1"/>
  <c r="AA15869" i="1"/>
  <c r="AA15870" i="1"/>
  <c r="AA15871" i="1"/>
  <c r="AA15872" i="1"/>
  <c r="AA15873" i="1"/>
  <c r="AA15874" i="1"/>
  <c r="AA15875" i="1"/>
  <c r="AA15876" i="1"/>
  <c r="AA15877" i="1"/>
  <c r="AA15878" i="1"/>
  <c r="AA15879" i="1"/>
  <c r="AA15880" i="1"/>
  <c r="AA15881" i="1"/>
  <c r="AA15882" i="1"/>
  <c r="AA15883" i="1"/>
  <c r="AA15884" i="1"/>
  <c r="AA15885" i="1"/>
  <c r="AA15886" i="1"/>
  <c r="AA15887" i="1"/>
  <c r="AA15888" i="1"/>
  <c r="AA15889" i="1"/>
  <c r="AA15890" i="1"/>
  <c r="AA15891" i="1"/>
  <c r="AA15892" i="1"/>
  <c r="AA15893" i="1"/>
  <c r="AA15894" i="1"/>
  <c r="AA15895" i="1"/>
  <c r="AA15896" i="1"/>
  <c r="AA15897" i="1"/>
  <c r="AA15898" i="1"/>
  <c r="AA15899" i="1"/>
  <c r="AA15900" i="1"/>
  <c r="AA15901" i="1"/>
  <c r="AA15902" i="1"/>
  <c r="AA15903" i="1"/>
  <c r="AA15904" i="1"/>
  <c r="AA15905" i="1"/>
  <c r="AA15906" i="1"/>
  <c r="AA15907" i="1"/>
  <c r="AA15908" i="1"/>
  <c r="AA15909" i="1"/>
  <c r="AA15910" i="1"/>
  <c r="AA15911" i="1"/>
  <c r="AA15912" i="1"/>
  <c r="AA15913" i="1"/>
  <c r="AA15914" i="1"/>
  <c r="AA15915" i="1"/>
  <c r="AA15916" i="1"/>
  <c r="AA15917" i="1"/>
  <c r="AA15918" i="1"/>
  <c r="AA15919" i="1"/>
  <c r="AA15920" i="1"/>
  <c r="AA15921" i="1"/>
  <c r="AA15922" i="1"/>
  <c r="AA15923" i="1"/>
  <c r="AA15924" i="1"/>
  <c r="AA15925" i="1"/>
  <c r="AA15926" i="1"/>
  <c r="AA15927" i="1"/>
  <c r="AA15928" i="1"/>
  <c r="AA15929" i="1"/>
  <c r="AA15930" i="1"/>
  <c r="AA15931" i="1"/>
  <c r="AA15932" i="1"/>
  <c r="AA15933" i="1"/>
  <c r="AA15934" i="1"/>
  <c r="AA15935" i="1"/>
  <c r="AA15936" i="1"/>
  <c r="AA15937" i="1"/>
  <c r="AA15938" i="1"/>
  <c r="AA15939" i="1"/>
  <c r="AA15940" i="1"/>
  <c r="AA15941" i="1"/>
  <c r="AA15942" i="1"/>
  <c r="AA15943" i="1"/>
  <c r="AA15944" i="1"/>
  <c r="AA15945" i="1"/>
  <c r="AA15946" i="1"/>
  <c r="AA15947" i="1"/>
  <c r="AA15948" i="1"/>
  <c r="AA15949" i="1"/>
  <c r="AA15950" i="1"/>
  <c r="AA15951" i="1"/>
  <c r="AA15952" i="1"/>
  <c r="AA15953" i="1"/>
  <c r="AA15954" i="1"/>
  <c r="AA15955" i="1"/>
  <c r="AA15956" i="1"/>
  <c r="AA15957" i="1"/>
  <c r="AA15958" i="1"/>
  <c r="AA15959" i="1"/>
  <c r="AA15960" i="1"/>
  <c r="AA15961" i="1"/>
  <c r="AA15962" i="1"/>
  <c r="AA15963" i="1"/>
  <c r="AA15964" i="1"/>
  <c r="AA15965" i="1"/>
  <c r="AA15966" i="1"/>
  <c r="AA15967" i="1"/>
  <c r="AA15968" i="1"/>
  <c r="AA15969" i="1"/>
  <c r="AA15970" i="1"/>
  <c r="AA15971" i="1"/>
  <c r="AA15972" i="1"/>
  <c r="AA15973" i="1"/>
  <c r="AA15974" i="1"/>
  <c r="AA15975" i="1"/>
  <c r="AA15976" i="1"/>
  <c r="AA15977" i="1"/>
  <c r="AA15978" i="1"/>
  <c r="AA15979" i="1"/>
  <c r="AA15980" i="1"/>
  <c r="AA15981" i="1"/>
  <c r="AA15982" i="1"/>
  <c r="AA15983" i="1"/>
  <c r="AA15984" i="1"/>
  <c r="AA15985" i="1"/>
  <c r="AA15986" i="1"/>
  <c r="AA15987" i="1"/>
  <c r="AA15988" i="1"/>
  <c r="AA15989" i="1"/>
  <c r="AA15990" i="1"/>
  <c r="AA15991" i="1"/>
  <c r="AA15992" i="1"/>
  <c r="AA15993" i="1"/>
  <c r="AA15994" i="1"/>
  <c r="AA15995" i="1"/>
  <c r="AA15996" i="1"/>
  <c r="AA15997" i="1"/>
  <c r="AA15998" i="1"/>
  <c r="AA15999" i="1"/>
  <c r="AA16000" i="1"/>
  <c r="AA16001" i="1"/>
  <c r="AA16002" i="1"/>
  <c r="AA16003" i="1"/>
  <c r="AA16004" i="1"/>
  <c r="AA16005" i="1"/>
  <c r="AA16006" i="1"/>
  <c r="AA16007" i="1"/>
  <c r="AA16008" i="1"/>
  <c r="AA16009" i="1"/>
  <c r="AA16010" i="1"/>
  <c r="AA16011" i="1"/>
  <c r="AA16012" i="1"/>
  <c r="AA16013" i="1"/>
  <c r="AA16014" i="1"/>
  <c r="AA16015" i="1"/>
  <c r="AA16016" i="1"/>
  <c r="AA16017" i="1"/>
  <c r="AA16018" i="1"/>
  <c r="AA16019" i="1"/>
  <c r="AA16020" i="1"/>
  <c r="AA16021" i="1"/>
  <c r="AA16022" i="1"/>
  <c r="AA16023" i="1"/>
  <c r="AA16024" i="1"/>
  <c r="AA16025" i="1"/>
  <c r="AA16026" i="1"/>
  <c r="AA16027" i="1"/>
  <c r="AA16028" i="1"/>
  <c r="AA16029" i="1"/>
  <c r="AA16030" i="1"/>
  <c r="AA16031" i="1"/>
  <c r="AA16032" i="1"/>
  <c r="AA16033" i="1"/>
  <c r="AA16034" i="1"/>
  <c r="AA16035" i="1"/>
  <c r="AA16036" i="1"/>
  <c r="AA16037" i="1"/>
  <c r="AA16038" i="1"/>
  <c r="AA16039" i="1"/>
  <c r="AA16040" i="1"/>
  <c r="AA16041" i="1"/>
  <c r="AA16042" i="1"/>
  <c r="AA16043" i="1"/>
  <c r="AA16044" i="1"/>
  <c r="AA16045" i="1"/>
  <c r="AA16046" i="1"/>
  <c r="AA16047" i="1"/>
  <c r="AA16048" i="1"/>
  <c r="AA16049" i="1"/>
  <c r="AA16050" i="1"/>
  <c r="AA16051" i="1"/>
  <c r="AA16052" i="1"/>
  <c r="AA16053" i="1"/>
  <c r="AA16054" i="1"/>
  <c r="AA16055" i="1"/>
  <c r="AA16056" i="1"/>
  <c r="AA16057" i="1"/>
  <c r="AA16058" i="1"/>
  <c r="AA16059" i="1"/>
  <c r="AA16060" i="1"/>
  <c r="AA16061" i="1"/>
  <c r="AA16062" i="1"/>
  <c r="AA16063" i="1"/>
  <c r="AA16064" i="1"/>
  <c r="AA16065" i="1"/>
  <c r="AA16066" i="1"/>
  <c r="AA16067" i="1"/>
  <c r="AA16068" i="1"/>
  <c r="AA16069" i="1"/>
  <c r="AA16070" i="1"/>
  <c r="AA16071" i="1"/>
  <c r="AA16072" i="1"/>
  <c r="AA16073" i="1"/>
  <c r="AA16074" i="1"/>
  <c r="AA16075" i="1"/>
  <c r="AA16076" i="1"/>
  <c r="AA16077" i="1"/>
  <c r="AA16078" i="1"/>
  <c r="AA16079" i="1"/>
  <c r="AA16080" i="1"/>
  <c r="AA16081" i="1"/>
  <c r="AA16082" i="1"/>
  <c r="AA16083" i="1"/>
  <c r="AA16084" i="1"/>
  <c r="AA16085" i="1"/>
  <c r="AA16086" i="1"/>
  <c r="AA16087" i="1"/>
  <c r="AA16088" i="1"/>
  <c r="AA16089" i="1"/>
  <c r="AA16090" i="1"/>
  <c r="AA16091" i="1"/>
  <c r="AA16092" i="1"/>
  <c r="AA16093" i="1"/>
  <c r="AA16094" i="1"/>
  <c r="AA16095" i="1"/>
  <c r="AA16096" i="1"/>
  <c r="AA16097" i="1"/>
  <c r="AA16098" i="1"/>
  <c r="AA16099" i="1"/>
  <c r="AA16100" i="1"/>
  <c r="AA16101" i="1"/>
  <c r="AA16102" i="1"/>
  <c r="AA16103" i="1"/>
  <c r="AA16104" i="1"/>
  <c r="AA16105" i="1"/>
  <c r="AA16106" i="1"/>
  <c r="AA16107" i="1"/>
  <c r="AA16108" i="1"/>
  <c r="AA16109" i="1"/>
  <c r="AA16110" i="1"/>
  <c r="AA16111" i="1"/>
  <c r="AA16112" i="1"/>
  <c r="AA16113" i="1"/>
  <c r="AA16114" i="1"/>
  <c r="AA16115" i="1"/>
  <c r="AA16116" i="1"/>
  <c r="AA16117" i="1"/>
  <c r="AA16118" i="1"/>
  <c r="AA16119" i="1"/>
  <c r="AA16120" i="1"/>
  <c r="AA16121" i="1"/>
  <c r="AA16122" i="1"/>
  <c r="AA16123" i="1"/>
  <c r="AA16124" i="1"/>
  <c r="AA16125" i="1"/>
  <c r="AA16126" i="1"/>
  <c r="AA16127" i="1"/>
  <c r="AA16128" i="1"/>
  <c r="AA16129" i="1"/>
  <c r="AA16130" i="1"/>
  <c r="AA16131" i="1"/>
  <c r="AA16132" i="1"/>
  <c r="AA16133" i="1"/>
  <c r="AA16134" i="1"/>
  <c r="AA16135" i="1"/>
  <c r="AA16136" i="1"/>
  <c r="AA16137" i="1"/>
  <c r="AA16138" i="1"/>
  <c r="AA16139" i="1"/>
  <c r="AA16140" i="1"/>
  <c r="AA16141" i="1"/>
  <c r="AA16142" i="1"/>
  <c r="AA16143" i="1"/>
  <c r="AA16144" i="1"/>
  <c r="AA16145" i="1"/>
  <c r="AA16146" i="1"/>
  <c r="AA16147" i="1"/>
  <c r="AA16148" i="1"/>
  <c r="AA16149" i="1"/>
  <c r="AA16150" i="1"/>
  <c r="AA16151" i="1"/>
  <c r="AA16152" i="1"/>
  <c r="AA16153" i="1"/>
  <c r="AA16154" i="1"/>
  <c r="AA16155" i="1"/>
  <c r="AA16156" i="1"/>
  <c r="AA16157" i="1"/>
  <c r="AA16158" i="1"/>
  <c r="AA16212" i="1"/>
  <c r="AA16213" i="1"/>
  <c r="AA16214" i="1"/>
  <c r="AA16215" i="1"/>
  <c r="AA16216" i="1"/>
  <c r="AA16217" i="1"/>
  <c r="AA16218" i="1"/>
  <c r="AA16219" i="1"/>
  <c r="AA16220" i="1"/>
  <c r="AA16221" i="1"/>
  <c r="AA16222" i="1"/>
  <c r="AA16223" i="1"/>
  <c r="AA16224" i="1"/>
  <c r="AA16225" i="1"/>
  <c r="AA16226" i="1"/>
  <c r="AA16227" i="1"/>
  <c r="AA16228" i="1"/>
  <c r="AA16229" i="1"/>
  <c r="AA16230" i="1"/>
  <c r="AA16231" i="1"/>
  <c r="AA16232" i="1"/>
  <c r="AA16233" i="1"/>
  <c r="AA16234" i="1"/>
  <c r="AA16235" i="1"/>
  <c r="AA16236" i="1"/>
  <c r="AA16237" i="1"/>
  <c r="AA16238" i="1"/>
  <c r="AA16239" i="1"/>
  <c r="AA16240" i="1"/>
  <c r="AA16241" i="1"/>
  <c r="AA16242" i="1"/>
  <c r="AA16243" i="1"/>
  <c r="AA16244" i="1"/>
  <c r="AA16245" i="1"/>
  <c r="AA16246" i="1"/>
  <c r="AA16247" i="1"/>
  <c r="AA16248" i="1"/>
  <c r="AA16249" i="1"/>
  <c r="AA16250" i="1"/>
  <c r="AA16251" i="1"/>
  <c r="AA16252" i="1"/>
  <c r="AA16253" i="1"/>
  <c r="AA16254" i="1"/>
  <c r="AA16255" i="1"/>
  <c r="AA16256" i="1"/>
  <c r="AA16257" i="1"/>
  <c r="AA16258" i="1"/>
  <c r="AA16259" i="1"/>
  <c r="AA16260" i="1"/>
  <c r="AA16261" i="1"/>
  <c r="AA16262" i="1"/>
  <c r="AA16263" i="1"/>
  <c r="AA16264" i="1"/>
  <c r="AA16265" i="1"/>
  <c r="AA16266" i="1"/>
  <c r="AA16267" i="1"/>
  <c r="AA16268" i="1"/>
  <c r="AA16269" i="1"/>
  <c r="AA16270" i="1"/>
  <c r="AA16271" i="1"/>
  <c r="AA16272" i="1"/>
  <c r="AA16273" i="1"/>
  <c r="AA16274" i="1"/>
  <c r="AA16275" i="1"/>
  <c r="AA16276" i="1"/>
  <c r="AA16277" i="1"/>
  <c r="AA16278" i="1"/>
  <c r="AA16279" i="1"/>
  <c r="AA16280" i="1"/>
  <c r="AA16281" i="1"/>
  <c r="AA16282" i="1"/>
  <c r="AA16283" i="1"/>
  <c r="AA16284" i="1"/>
  <c r="AA16285" i="1"/>
  <c r="AA16286" i="1"/>
  <c r="AA16287" i="1"/>
  <c r="AA16288" i="1"/>
  <c r="AA16289" i="1"/>
  <c r="AA16290" i="1"/>
  <c r="AA16291" i="1"/>
  <c r="AA16292" i="1"/>
  <c r="AA16293" i="1"/>
  <c r="AA16294" i="1"/>
  <c r="AA16295" i="1"/>
  <c r="AA16296" i="1"/>
  <c r="AA16297" i="1"/>
  <c r="AA16298" i="1"/>
  <c r="AA16299" i="1"/>
  <c r="AA16300" i="1"/>
  <c r="AA16301" i="1"/>
  <c r="AA16302" i="1"/>
  <c r="AA16303" i="1"/>
  <c r="AA16304" i="1"/>
  <c r="AA16305" i="1"/>
  <c r="AA16306" i="1"/>
  <c r="AA16307" i="1"/>
  <c r="AA16308" i="1"/>
  <c r="AA16309" i="1"/>
  <c r="AA16310" i="1"/>
  <c r="AA16311" i="1"/>
  <c r="AA16312" i="1"/>
  <c r="AA16313" i="1"/>
  <c r="AA16314" i="1"/>
  <c r="AA16315" i="1"/>
  <c r="AA16316" i="1"/>
  <c r="AA16317" i="1"/>
  <c r="AA16318" i="1"/>
  <c r="AA16319" i="1"/>
  <c r="AA16320" i="1"/>
  <c r="AA16321" i="1"/>
  <c r="AA16322" i="1"/>
  <c r="AA16323" i="1"/>
  <c r="AA16324" i="1"/>
  <c r="AA16325" i="1"/>
  <c r="AA16326" i="1"/>
  <c r="AA16327" i="1"/>
  <c r="AA16328" i="1"/>
  <c r="AA16329" i="1"/>
  <c r="AA16330" i="1"/>
  <c r="AA16331" i="1"/>
  <c r="AA16332" i="1"/>
  <c r="AA16333" i="1"/>
  <c r="AA16334" i="1"/>
  <c r="AA16335" i="1"/>
  <c r="AA16336" i="1"/>
  <c r="AA16337" i="1"/>
  <c r="AA16338" i="1"/>
  <c r="AA16339" i="1"/>
  <c r="AA16340" i="1"/>
  <c r="AA16341" i="1"/>
  <c r="AA16342" i="1"/>
  <c r="AA16343" i="1"/>
  <c r="AA16344" i="1"/>
  <c r="AA16345" i="1"/>
  <c r="AA16346" i="1"/>
  <c r="AA16347" i="1"/>
  <c r="AA16348" i="1"/>
  <c r="AA16349" i="1"/>
  <c r="AA16350" i="1"/>
  <c r="AA16351" i="1"/>
  <c r="AA16352" i="1"/>
  <c r="AA16353" i="1"/>
  <c r="AA16354" i="1"/>
  <c r="AA16355" i="1"/>
  <c r="AA16356" i="1"/>
  <c r="AA16357" i="1"/>
  <c r="AA16358" i="1"/>
  <c r="AA16359" i="1"/>
  <c r="AA16360" i="1"/>
  <c r="AA16361" i="1"/>
  <c r="AA16362" i="1"/>
  <c r="AA16363" i="1"/>
  <c r="AA16364" i="1"/>
  <c r="AA16365" i="1"/>
  <c r="AA16366" i="1"/>
  <c r="AA16367" i="1"/>
  <c r="AA16368" i="1"/>
  <c r="AA16369" i="1"/>
  <c r="AA16370" i="1"/>
  <c r="AA16371" i="1"/>
  <c r="AA16372" i="1"/>
  <c r="AA16373" i="1"/>
  <c r="AA16374" i="1"/>
  <c r="AA16375" i="1"/>
  <c r="AA16376" i="1"/>
  <c r="AA16377" i="1"/>
  <c r="AA16378" i="1"/>
  <c r="AA16379" i="1"/>
  <c r="AA16380" i="1"/>
  <c r="AA16381" i="1"/>
  <c r="AA16382" i="1"/>
  <c r="AA16383" i="1"/>
  <c r="AA16384" i="1"/>
  <c r="AA16385" i="1"/>
  <c r="AA16386" i="1"/>
  <c r="AA16387" i="1"/>
  <c r="AA16388" i="1"/>
  <c r="AA16389" i="1"/>
  <c r="AA16390" i="1"/>
  <c r="AA16391" i="1"/>
  <c r="AA16392" i="1"/>
  <c r="AA16393" i="1"/>
  <c r="E17" i="13" l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E11" i="13"/>
  <c r="E13" i="13"/>
  <c r="E7" i="13"/>
</calcChain>
</file>

<file path=xl/sharedStrings.xml><?xml version="1.0" encoding="utf-8"?>
<sst xmlns="http://schemas.openxmlformats.org/spreadsheetml/2006/main" count="225636" uniqueCount="51054">
  <si>
    <t>Isolate Sort</t>
  </si>
  <si>
    <t>Realm</t>
  </si>
  <si>
    <t>Subrealm</t>
  </si>
  <si>
    <t>Kingdom</t>
  </si>
  <si>
    <t>Subkingdom</t>
  </si>
  <si>
    <t>Phylum</t>
  </si>
  <si>
    <t>Subphylum</t>
  </si>
  <si>
    <t>Class</t>
  </si>
  <si>
    <t>Subclass</t>
  </si>
  <si>
    <t>Order</t>
  </si>
  <si>
    <t>Suborder</t>
  </si>
  <si>
    <t>Family</t>
  </si>
  <si>
    <t>Subfamily</t>
  </si>
  <si>
    <t>Genus</t>
  </si>
  <si>
    <t>Subgenus</t>
  </si>
  <si>
    <t>Species</t>
  </si>
  <si>
    <t>Exemplar or additional isolate</t>
  </si>
  <si>
    <t>Virus name(s)</t>
  </si>
  <si>
    <t>Virus name abbreviation(s)</t>
  </si>
  <si>
    <t>Virus isolate designation</t>
  </si>
  <si>
    <t>Virus GENBANK accession</t>
  </si>
  <si>
    <t>Genome coverage</t>
  </si>
  <si>
    <t>Host source</t>
  </si>
  <si>
    <t>Adnaviria</t>
  </si>
  <si>
    <t>Zilligvirae</t>
  </si>
  <si>
    <t>Taleaviricota</t>
  </si>
  <si>
    <t>Tokiviricetes</t>
  </si>
  <si>
    <t>Ligamenvirales</t>
  </si>
  <si>
    <t>Lipothrixviridae</t>
  </si>
  <si>
    <t>Alphalipothrixvirus</t>
  </si>
  <si>
    <t>E</t>
  </si>
  <si>
    <t>Sulfolobales Beppu filamentous virus 2</t>
  </si>
  <si>
    <t>SBFV2</t>
  </si>
  <si>
    <t>SBFV2 clone B</t>
  </si>
  <si>
    <t>MK064563</t>
  </si>
  <si>
    <t>Coding-complete genome</t>
  </si>
  <si>
    <t>dsDNA</t>
  </si>
  <si>
    <t>archaea</t>
  </si>
  <si>
    <t>Sulfolobus filamentous virus 1</t>
  </si>
  <si>
    <t>SFV1</t>
  </si>
  <si>
    <t>SFV1 isolate S48</t>
  </si>
  <si>
    <t>MH447526</t>
  </si>
  <si>
    <t>Complete genome</t>
  </si>
  <si>
    <t>Betalipothrixvirus</t>
  </si>
  <si>
    <t>Acidianus filamentous virus 3</t>
  </si>
  <si>
    <t>AFV3</t>
  </si>
  <si>
    <t>AM087120</t>
  </si>
  <si>
    <t>Acidianus filamentous virus 6</t>
  </si>
  <si>
    <t>AFV6</t>
  </si>
  <si>
    <t>AM087121</t>
  </si>
  <si>
    <t>Acidianus filamentous virus 7</t>
  </si>
  <si>
    <t>AFV7</t>
  </si>
  <si>
    <t>AM087122</t>
  </si>
  <si>
    <t>Acidianus filamentous virus 8</t>
  </si>
  <si>
    <t>AFV8</t>
  </si>
  <si>
    <t>AM087123</t>
  </si>
  <si>
    <t>Acidianus filamentous virus 9</t>
  </si>
  <si>
    <t>AFV9</t>
  </si>
  <si>
    <t>EU545650</t>
  </si>
  <si>
    <t>Sulfolobus islandicus filamentous virus</t>
  </si>
  <si>
    <t>SIFV</t>
  </si>
  <si>
    <t>AF440571</t>
  </si>
  <si>
    <t>Deltalipothrixvirus</t>
  </si>
  <si>
    <t>Acidianus filamentous virus 2</t>
  </si>
  <si>
    <t>AFV2</t>
  </si>
  <si>
    <t>AJ854042</t>
  </si>
  <si>
    <t>Sulfolobales Beppu filamentous virus 3</t>
  </si>
  <si>
    <t>SBFV3</t>
  </si>
  <si>
    <t>SBFV3 clone C</t>
  </si>
  <si>
    <t>MK064564</t>
  </si>
  <si>
    <t>Rudiviridae</t>
  </si>
  <si>
    <t>Azorudivirus</t>
  </si>
  <si>
    <t>Stygiolobus rod-shaped virus</t>
  </si>
  <si>
    <t>SRV</t>
  </si>
  <si>
    <t>FM164764</t>
  </si>
  <si>
    <t>Hoswirudivirus</t>
  </si>
  <si>
    <t>Acidianus rod-shaped virus 2</t>
  </si>
  <si>
    <t>ARV2</t>
  </si>
  <si>
    <t>KP282675</t>
  </si>
  <si>
    <t>Acidianus rod-shaped virus 3</t>
  </si>
  <si>
    <t>ARV3</t>
  </si>
  <si>
    <t>MN876842</t>
  </si>
  <si>
    <t>Metallosphaera rod-shaped virus 1</t>
  </si>
  <si>
    <t>MRV1</t>
  </si>
  <si>
    <t>MN876843</t>
  </si>
  <si>
    <t>Saccharolobus solfataricus rod-shaped virus 1</t>
  </si>
  <si>
    <t>SSRV1</t>
  </si>
  <si>
    <t>MN876841</t>
  </si>
  <si>
    <t>Icerudivirus</t>
  </si>
  <si>
    <t>Sulfolobus islandicus rod-shaped virus 1</t>
  </si>
  <si>
    <t>SIRV1</t>
  </si>
  <si>
    <t>AJ414696</t>
  </si>
  <si>
    <t>Sulfolobus islandicus rod-shaped virus 2</t>
  </si>
  <si>
    <t>SIRV2</t>
  </si>
  <si>
    <t>AJ344259</t>
  </si>
  <si>
    <t>Sulfolobus islandicus rod-shaped virus 3</t>
  </si>
  <si>
    <t>SIRV3</t>
  </si>
  <si>
    <t>KX712143</t>
  </si>
  <si>
    <t>Itarudivirus</t>
  </si>
  <si>
    <t>Acidianus rod-shaped virus 1</t>
  </si>
  <si>
    <t>ARV1</t>
  </si>
  <si>
    <t>AJ875026</t>
  </si>
  <si>
    <t>Japarudivirus</t>
  </si>
  <si>
    <t>Sulfolobales Beppu rod-shaped virus 1</t>
  </si>
  <si>
    <t>SBRV1</t>
  </si>
  <si>
    <t>MK064565</t>
  </si>
  <si>
    <t>Mexirudivirus</t>
  </si>
  <si>
    <t>Sulfolobales Mexican rod-shaped virus 1</t>
  </si>
  <si>
    <t>SMRV1</t>
  </si>
  <si>
    <t>JX944686</t>
  </si>
  <si>
    <t>Usarudivirus</t>
  </si>
  <si>
    <t>Sulfolobus islandicus rod-shaped virus 10</t>
  </si>
  <si>
    <t>SIRV10</t>
  </si>
  <si>
    <t>KY744230</t>
  </si>
  <si>
    <t>Sulfolobus islandicus rod-shaped virus 11</t>
  </si>
  <si>
    <t>SIRV11</t>
  </si>
  <si>
    <t>KY744234</t>
  </si>
  <si>
    <t>Sulfolobus islandicus rod-shaped virus 4</t>
  </si>
  <si>
    <t>SIRV4</t>
  </si>
  <si>
    <t>KY744231</t>
  </si>
  <si>
    <t>Sulfolobus islandicus rod-shaped virus 5</t>
  </si>
  <si>
    <t>SIRV5</t>
  </si>
  <si>
    <t>KY744233</t>
  </si>
  <si>
    <t>Sulfolobus islandicus rod-shaped virus 8</t>
  </si>
  <si>
    <t>SIRV8</t>
  </si>
  <si>
    <t>KY744229</t>
  </si>
  <si>
    <t>Sulfolobus islandicus rod-shaped virus 9</t>
  </si>
  <si>
    <t>SIRV9</t>
  </si>
  <si>
    <t>KY744228</t>
  </si>
  <si>
    <t>Ungulaviridae</t>
  </si>
  <si>
    <t>Captovirus</t>
  </si>
  <si>
    <t>Acidianus filamentous virus 1</t>
  </si>
  <si>
    <t>AFV1</t>
  </si>
  <si>
    <t>AJ567472</t>
  </si>
  <si>
    <t>Maximonvirales</t>
  </si>
  <si>
    <t>Ahmunviridae</t>
  </si>
  <si>
    <t>Yumkaaxvirus</t>
  </si>
  <si>
    <t>Methanophagales virus PBV300</t>
  </si>
  <si>
    <t>PBV300</t>
  </si>
  <si>
    <t>OP413840</t>
  </si>
  <si>
    <t>Primavirales</t>
  </si>
  <si>
    <t>Tristromaviridae</t>
  </si>
  <si>
    <t>Alphatristromavirus</t>
  </si>
  <si>
    <t>Pyrobaculum filamentous virus 1</t>
  </si>
  <si>
    <t>PFV1</t>
  </si>
  <si>
    <t>KU307456</t>
  </si>
  <si>
    <t>Pyrobaculum filamentous virus 2</t>
  </si>
  <si>
    <t>PFV2</t>
  </si>
  <si>
    <t>MN876844</t>
  </si>
  <si>
    <t>Betatristromavirus</t>
  </si>
  <si>
    <t>Thermoproteus tenax virus 1</t>
  </si>
  <si>
    <t>TTV1</t>
  </si>
  <si>
    <t>KRA1</t>
  </si>
  <si>
    <t>X14855</t>
  </si>
  <si>
    <t>Partial genome</t>
  </si>
  <si>
    <t>Duplodnaviria</t>
  </si>
  <si>
    <t>Heunggongvirae</t>
  </si>
  <si>
    <t>Peploviricota</t>
  </si>
  <si>
    <t>Herviviricetes</t>
  </si>
  <si>
    <t>Herpesvirales</t>
  </si>
  <si>
    <t>Alloherpesviridae</t>
  </si>
  <si>
    <t>Batravirus</t>
  </si>
  <si>
    <t>Lucké tumor herpesvirus; ranid herpesvirus 1</t>
  </si>
  <si>
    <t>LTHV; RaHV1</t>
  </si>
  <si>
    <t>McKinnell</t>
  </si>
  <si>
    <t>DQ665917</t>
  </si>
  <si>
    <t>vertebrates</t>
  </si>
  <si>
    <t>frog virus 4; ranid herpesvirus 2</t>
  </si>
  <si>
    <t>FV4; RaHV2</t>
  </si>
  <si>
    <t>Rafferty</t>
  </si>
  <si>
    <t>DQ665652</t>
  </si>
  <si>
    <t>ranid herpesvirus 3</t>
  </si>
  <si>
    <t>RaHV3</t>
  </si>
  <si>
    <t>FO1_2015</t>
  </si>
  <si>
    <t>KX832224</t>
  </si>
  <si>
    <t>Cyvirus</t>
  </si>
  <si>
    <t>Japanese eel herpesvirus; anguillid herpesvirus 1</t>
  </si>
  <si>
    <t>AngHV1</t>
  </si>
  <si>
    <t>FJ940765</t>
  </si>
  <si>
    <t>carp pox herpesvirus; cyprinid herpesvirus 1</t>
  </si>
  <si>
    <t>CyHV1</t>
  </si>
  <si>
    <t>NG-J1</t>
  </si>
  <si>
    <t>JQ815363</t>
  </si>
  <si>
    <t>goldfish hematopoietic necrosis virus; cyprinid herpesvirus 2</t>
  </si>
  <si>
    <t>CyHV2</t>
  </si>
  <si>
    <t>ST-J1</t>
  </si>
  <si>
    <t>JQ815364</t>
  </si>
  <si>
    <t>koi herpesvirus; cyprinid herpesvirus 3</t>
  </si>
  <si>
    <t>KHV; CyHV3</t>
  </si>
  <si>
    <t>KHV-U</t>
  </si>
  <si>
    <t>DQ657948</t>
  </si>
  <si>
    <t>Ictavirus</t>
  </si>
  <si>
    <t>white sturgeon herpesvirus 2; acipenserid herpesvirus 2</t>
  </si>
  <si>
    <t>AciHV2</t>
  </si>
  <si>
    <t>SRWSHV</t>
  </si>
  <si>
    <t>FJ815289</t>
  </si>
  <si>
    <t>channel catfish virus; ictalurid herpesvirus 1</t>
  </si>
  <si>
    <t>CCV; IcHV1</t>
  </si>
  <si>
    <t>Auburn 1</t>
  </si>
  <si>
    <t>M75136</t>
  </si>
  <si>
    <t>black bullhead herpesvirus; ictalurid herpesvirus 2</t>
  </si>
  <si>
    <t>IcHV2</t>
  </si>
  <si>
    <t>760/94</t>
  </si>
  <si>
    <t>MG271984</t>
  </si>
  <si>
    <t>Salmovirus</t>
  </si>
  <si>
    <t>herpesvirus salmonis; salmonid herpesvirus 1</t>
  </si>
  <si>
    <t>SalHV1</t>
  </si>
  <si>
    <t>Winthrop</t>
  </si>
  <si>
    <t>AF023673</t>
  </si>
  <si>
    <t>Oncorhyncus masou herpesvirus; salmonid herpesvirus 2</t>
  </si>
  <si>
    <t>SalHV2</t>
  </si>
  <si>
    <t>NeVTA</t>
  </si>
  <si>
    <t>EU349274</t>
  </si>
  <si>
    <t>epizootic epitheliotropic disease virus; salmonid herpesvirus 3</t>
  </si>
  <si>
    <t>SalHV3</t>
  </si>
  <si>
    <t>Wisconsin epidemic</t>
  </si>
  <si>
    <t>EU349277</t>
  </si>
  <si>
    <t>Malacoherpesviridae</t>
  </si>
  <si>
    <t>Aurivirus</t>
  </si>
  <si>
    <t>abalone herpesvirus; haliotid herpesvirus 1</t>
  </si>
  <si>
    <t>AbHV1; HaHV1</t>
  </si>
  <si>
    <t>Victoria/AUS/2009</t>
  </si>
  <si>
    <t>JX453331</t>
  </si>
  <si>
    <t>Ostreavirus</t>
  </si>
  <si>
    <t>oyster herpesvirus; ostreid herpesvirus 1</t>
  </si>
  <si>
    <t>OHV; OsHV1</t>
  </si>
  <si>
    <t>AY509253</t>
  </si>
  <si>
    <t>Orthoherpesviridae</t>
  </si>
  <si>
    <t>Alphaherpesvirinae</t>
  </si>
  <si>
    <t>Iltovirus</t>
  </si>
  <si>
    <t>cacatuid alphaherpesvirus 2</t>
  </si>
  <si>
    <t>CcAHV2</t>
  </si>
  <si>
    <t>CaHV2/Melbourne/2015</t>
  </si>
  <si>
    <t>MK360902</t>
  </si>
  <si>
    <t>gallid alphaherpesvirus 1; infectious laryngotracheitis virus</t>
  </si>
  <si>
    <t>GaAHV1; ILTV</t>
  </si>
  <si>
    <t>SA2</t>
  </si>
  <si>
    <t>JN596962</t>
  </si>
  <si>
    <t>psittacid alphaherpesvirus 1; Pacheco's disease virus</t>
  </si>
  <si>
    <t>PsAHV1; PDV</t>
  </si>
  <si>
    <t>97-0001</t>
  </si>
  <si>
    <t>AY372243</t>
  </si>
  <si>
    <t>psittacid alphaherpesvirus 5</t>
  </si>
  <si>
    <t>PsAHV5</t>
  </si>
  <si>
    <t>16-4047</t>
  </si>
  <si>
    <t>MK955929</t>
  </si>
  <si>
    <t>Mardivirus</t>
  </si>
  <si>
    <t>anatid alphaherpesvirus 1; duck enteritis virus</t>
  </si>
  <si>
    <t>AnAHV1; DEV</t>
  </si>
  <si>
    <t>JF999965</t>
  </si>
  <si>
    <t>columbid alphaherpesvirus 1; pigeon herpesvirus</t>
  </si>
  <si>
    <t>CoAHV1; PHV</t>
  </si>
  <si>
    <t>HLJ</t>
  </si>
  <si>
    <t>KX589235</t>
  </si>
  <si>
    <t>gallid alphaherpesvirus 2; Marek's disease virus</t>
  </si>
  <si>
    <t>GaAHV2; MDV</t>
  </si>
  <si>
    <t>Md5</t>
  </si>
  <si>
    <t>AF243438</t>
  </si>
  <si>
    <t>gallid alphaherpesvirus 3; gallid herpesvirus 3</t>
  </si>
  <si>
    <t>GaAHV3</t>
  </si>
  <si>
    <t>SB-1</t>
  </si>
  <si>
    <t>HQ840738</t>
  </si>
  <si>
    <t>meleagrid alphaherpesvirus 1; turkey herpesvirus</t>
  </si>
  <si>
    <t>MeAHV1; HVT</t>
  </si>
  <si>
    <t>FC-126 (Burmenester)</t>
  </si>
  <si>
    <t>AF291866</t>
  </si>
  <si>
    <t>spheniscid alphaherpesvirus 1</t>
  </si>
  <si>
    <t>SpAHV1</t>
  </si>
  <si>
    <t>lib01004</t>
  </si>
  <si>
    <t>LT608135</t>
  </si>
  <si>
    <t>Scutavirus</t>
  </si>
  <si>
    <t>chelonid alphaherpesvirus 5; fibropapilloma-associated turtle herpesvirus</t>
  </si>
  <si>
    <t>ChAHV5; FPTHV</t>
  </si>
  <si>
    <t>CH-651-60O9</t>
  </si>
  <si>
    <t>HQ878327</t>
  </si>
  <si>
    <t>testudinid alphaherpesvirus 3; testudinid herpesvirus 3</t>
  </si>
  <si>
    <t>TeAHV3; TeHV3</t>
  </si>
  <si>
    <t>KM924292</t>
  </si>
  <si>
    <t>Simplexvirus</t>
  </si>
  <si>
    <t>ateline alphaherpesvirus 1; herpesvirus ateles 1</t>
  </si>
  <si>
    <t>AtAHV1; HVA1</t>
  </si>
  <si>
    <t>Lennette</t>
  </si>
  <si>
    <t>KY385637</t>
  </si>
  <si>
    <t>bovine alphaherpesvirus 2; bovine mammillitis virus</t>
  </si>
  <si>
    <t>BoAHV2; BMV</t>
  </si>
  <si>
    <t>C1Z FZR</t>
  </si>
  <si>
    <t>MT862163</t>
  </si>
  <si>
    <t>cercopithecine alphaherpesvirus 2; simian agent 8</t>
  </si>
  <si>
    <t>CeAHV2; SA8</t>
  </si>
  <si>
    <t>B264</t>
  </si>
  <si>
    <t>AY714813</t>
  </si>
  <si>
    <t>HuAHV1; HSV1</t>
  </si>
  <si>
    <t>JN555585</t>
  </si>
  <si>
    <t>HuAHV2; HSV2</t>
  </si>
  <si>
    <t>HG52</t>
  </si>
  <si>
    <t>JN561323</t>
  </si>
  <si>
    <t>leporid alphaherpesvirus 4; leporid herpesvirus 4</t>
  </si>
  <si>
    <t>LeAHV4; LHV4</t>
  </si>
  <si>
    <t>LHV4012612</t>
  </si>
  <si>
    <t>JQ596859</t>
  </si>
  <si>
    <t>macacine alphaherpesvirus 1; B-virus</t>
  </si>
  <si>
    <t>McAHV1; BV</t>
  </si>
  <si>
    <t>E2490</t>
  </si>
  <si>
    <t>AF533768</t>
  </si>
  <si>
    <t>macacine alphaherpesvirus 2; lion-tailed macaque herpesvirus 1</t>
  </si>
  <si>
    <t>McAHV2</t>
  </si>
  <si>
    <t>KY628968</t>
  </si>
  <si>
    <t>macacine alphaherpesvirus 3; pig-tailed macaque herpesvirus 1</t>
  </si>
  <si>
    <t>McAHV3</t>
  </si>
  <si>
    <t>KQ</t>
  </si>
  <si>
    <t>KY628970</t>
  </si>
  <si>
    <t>macropodid alphaherpesvirus 1; Parma wallaby herpesvirus</t>
  </si>
  <si>
    <t>MaAHV1</t>
  </si>
  <si>
    <t>MaHV1.3076/08</t>
  </si>
  <si>
    <t>KT594769</t>
  </si>
  <si>
    <t>macropodid alphaherpesvirus 2; Dorcopsis wallaby herpesvirus</t>
  </si>
  <si>
    <t>MaAHV2</t>
  </si>
  <si>
    <t>V3077/08</t>
  </si>
  <si>
    <t>MT900475</t>
  </si>
  <si>
    <t>macropodid alphaherpesvirus 4</t>
  </si>
  <si>
    <t>MaAHV4</t>
  </si>
  <si>
    <t>V3116/09</t>
  </si>
  <si>
    <t>MT900474</t>
  </si>
  <si>
    <t>panine alphaherpesvirus 3; chimpanzee herpesvirus</t>
  </si>
  <si>
    <t>PnAHV3; ChHV</t>
  </si>
  <si>
    <t>JQ360576</t>
  </si>
  <si>
    <t>papiine alphaherpesvirus 2; herpesvirus papio 2</t>
  </si>
  <si>
    <t>PaAHV2; HPV2</t>
  </si>
  <si>
    <t>X313</t>
  </si>
  <si>
    <t>DQ149153</t>
  </si>
  <si>
    <t>pteropodid alphaherpesvirus 1; fruit bat alphaherpesvirus 1</t>
  </si>
  <si>
    <t>PtHAV1; FBAHV1</t>
  </si>
  <si>
    <t>AB825953</t>
  </si>
  <si>
    <t>pteropodid alphaherpesvirus 2; Pteropus lylei-associated alphaherpesvirus</t>
  </si>
  <si>
    <t>PtAHV2; PLAHV</t>
  </si>
  <si>
    <t>LC492974</t>
  </si>
  <si>
    <t>saimiriine alphaherpesvirus 1; herpesvirus saimiri 1</t>
  </si>
  <si>
    <t>SaAHV1; HVS1</t>
  </si>
  <si>
    <t>MV 5-4</t>
  </si>
  <si>
    <t>HM625781</t>
  </si>
  <si>
    <t>Varicellovirus</t>
  </si>
  <si>
    <t>bovine alphaherpesvirus 1; infectious bovine rhinotracheitis virus</t>
  </si>
  <si>
    <t>BoAHV1; IBRV</t>
  </si>
  <si>
    <t>Cooper/NVSL challenge 97-11</t>
  </si>
  <si>
    <t>JX898220</t>
  </si>
  <si>
    <t>bovine alphaherpesvirus 5; bovine encephalitis herpesvirus</t>
  </si>
  <si>
    <t>BoAHV5</t>
  </si>
  <si>
    <t>SV507/99</t>
  </si>
  <si>
    <t>AY261359</t>
  </si>
  <si>
    <t>bubaline alphaherpesvirus 1; water buffalo herpesvirus</t>
  </si>
  <si>
    <t>BuAHV1</t>
  </si>
  <si>
    <t>b6</t>
  </si>
  <si>
    <t>KU936049</t>
  </si>
  <si>
    <t>canid alphaherpesvirus 1; canine herpesvirus</t>
  </si>
  <si>
    <t>CaAHV1; CHV</t>
  </si>
  <si>
    <t>KT819633</t>
  </si>
  <si>
    <t>caprine alphaherpesvirus 1; goat herpesvirus</t>
  </si>
  <si>
    <t>CpAHV1</t>
  </si>
  <si>
    <t>E/CH</t>
  </si>
  <si>
    <t>MG989243</t>
  </si>
  <si>
    <t>cercopithecine alphaherpesvirus 9; simian varicella virus</t>
  </si>
  <si>
    <t>CeAHV9; SVV</t>
  </si>
  <si>
    <t>Delta</t>
  </si>
  <si>
    <t>AF275348</t>
  </si>
  <si>
    <t>cervid alphaherpesvirus 1; red deer herpesvirus</t>
  </si>
  <si>
    <t>CvAHV1</t>
  </si>
  <si>
    <t>Anlier</t>
  </si>
  <si>
    <t>MH036942</t>
  </si>
  <si>
    <t>cervid alphaherpesvirus 2; reindeer herpesvirus</t>
  </si>
  <si>
    <t>CvAHV2</t>
  </si>
  <si>
    <t>Norway</t>
  </si>
  <si>
    <t>MH036943</t>
  </si>
  <si>
    <t>cervid alphaherpesvirus 3; elk herpesvirus</t>
  </si>
  <si>
    <t>CvAHV3</t>
  </si>
  <si>
    <t>Canada</t>
  </si>
  <si>
    <t>MH036941</t>
  </si>
  <si>
    <t>equid alphaherpesvirus 1; equine abortion virus</t>
  </si>
  <si>
    <t>EqAHV1; EAV</t>
  </si>
  <si>
    <t>Ab4</t>
  </si>
  <si>
    <t>AY665713</t>
  </si>
  <si>
    <t>equid alphaherpesvirus 3; equine coital exanthema virus</t>
  </si>
  <si>
    <t>EqAHV3</t>
  </si>
  <si>
    <t>AR/2007/C3A</t>
  </si>
  <si>
    <t>KM051845</t>
  </si>
  <si>
    <t>equid alphaherpesvirus 4; equine rhinopneumonitis virus</t>
  </si>
  <si>
    <t>EqAHV4</t>
  </si>
  <si>
    <t>NS80567</t>
  </si>
  <si>
    <t>AF030027</t>
  </si>
  <si>
    <t>equid alphaherpesvirus 6; asinine herpesvirus 1</t>
  </si>
  <si>
    <t>EqAHV6; AsHV1</t>
  </si>
  <si>
    <t>AsHV/Bari/2011/740</t>
  </si>
  <si>
    <t>MT012704</t>
  </si>
  <si>
    <t>equid alphaherpesvirus 8; asinine herpesvirus 3</t>
  </si>
  <si>
    <t>EqAHV8</t>
  </si>
  <si>
    <t>EHV-8/IR/2003/19</t>
  </si>
  <si>
    <t>MF431611</t>
  </si>
  <si>
    <t>equid alphaherpesvirus 9; gazelle herpesvirus</t>
  </si>
  <si>
    <t>EqAHV9</t>
  </si>
  <si>
    <t>P19</t>
  </si>
  <si>
    <t>AP010838</t>
  </si>
  <si>
    <t>felid alphaherpesvirus 1; feline viral rhinotracheitis virus</t>
  </si>
  <si>
    <t>FeAHV1; FVRV</t>
  </si>
  <si>
    <t>C-27</t>
  </si>
  <si>
    <t>FJ478159</t>
  </si>
  <si>
    <t>human alphaherpesvirus 3; varicella-zoster virus</t>
  </si>
  <si>
    <t>HuAHV3; VZV</t>
  </si>
  <si>
    <t>Dumas</t>
  </si>
  <si>
    <t>X04370</t>
  </si>
  <si>
    <t>monodontid alphaherpesvirus 1; beluga whale alphaherpesvirus 1</t>
  </si>
  <si>
    <t>MoAHV1</t>
  </si>
  <si>
    <t>LN3131-1</t>
  </si>
  <si>
    <t>MF678601</t>
  </si>
  <si>
    <t>phocid alphaherpesvirus 1; harbour seal herpesvirus</t>
  </si>
  <si>
    <t>PcAHV1</t>
  </si>
  <si>
    <t>MH509440</t>
  </si>
  <si>
    <t>suid alphaherpesvirus 1; pseudorabies virus</t>
  </si>
  <si>
    <t>SuAHV1; PRV</t>
  </si>
  <si>
    <t>Kaplan</t>
  </si>
  <si>
    <t>JF797218</t>
  </si>
  <si>
    <t>Betaherpesvirinae</t>
  </si>
  <si>
    <t>Cytomegalovirus</t>
  </si>
  <si>
    <t>aotine betaherpesvirus 1; owl monkey cytomegalovirus</t>
  </si>
  <si>
    <t>AoBHV1; OMCMV</t>
  </si>
  <si>
    <t>S34E</t>
  </si>
  <si>
    <t>FJ483970</t>
  </si>
  <si>
    <t>cebine betaherpesvirus 1; capuchin monkey cytomegalovirus</t>
  </si>
  <si>
    <t>CbBHV1; CMCMV</t>
  </si>
  <si>
    <t>JQ264772</t>
  </si>
  <si>
    <t>cercopithecine betaherpesvirus 5; simian cytomegalovirus</t>
  </si>
  <si>
    <t>CeBHV5; SCMV</t>
  </si>
  <si>
    <t>FJ483968</t>
  </si>
  <si>
    <t>human betaherpesvirus 5; human cytomegalovirus</t>
  </si>
  <si>
    <t>HuBHV5; HCMV</t>
  </si>
  <si>
    <t>Merlin</t>
  </si>
  <si>
    <t>AY446894</t>
  </si>
  <si>
    <t>macacine betaherpesvirus 3; rhesus cytomegalovirus</t>
  </si>
  <si>
    <t>McBHV3; RhCMV</t>
  </si>
  <si>
    <t>68-1</t>
  </si>
  <si>
    <t>AY186194</t>
  </si>
  <si>
    <t>macacine betaherpesvirus 8; cynomolgus macaque cytomegalovirus</t>
  </si>
  <si>
    <t>McBHV8</t>
  </si>
  <si>
    <t>Ottawa</t>
  </si>
  <si>
    <t>JN227533</t>
  </si>
  <si>
    <t>mandrilline betaherpesvirus 1; drill monkey cytomegalovirus</t>
  </si>
  <si>
    <t>MdBHV1</t>
  </si>
  <si>
    <t>OCOM6-2</t>
  </si>
  <si>
    <t>KR297253</t>
  </si>
  <si>
    <t>panine betaherpesvirus 2; chimpanzee cytomegalovirus</t>
  </si>
  <si>
    <t>PnBHV2; CCMV</t>
  </si>
  <si>
    <t>Heberling</t>
  </si>
  <si>
    <t>AF480884</t>
  </si>
  <si>
    <t>papiine betaherpesvirus 3; olive baboon cytomegalovirus</t>
  </si>
  <si>
    <t>PaBHV3; BCMV</t>
  </si>
  <si>
    <t>OCOM4-37</t>
  </si>
  <si>
    <t>AC090446</t>
  </si>
  <si>
    <t>papiine betaherpesvirus 4; chacma baboon cytomegalovirus</t>
  </si>
  <si>
    <t>PaBHV4</t>
  </si>
  <si>
    <t>OCOM4-52</t>
  </si>
  <si>
    <t>KR351281</t>
  </si>
  <si>
    <t>saimiriine betaherpesvirus 4; squirrel monkey cytomegalovirus</t>
  </si>
  <si>
    <t>SaBHV4; SMCMV</t>
  </si>
  <si>
    <t>SqSHV</t>
  </si>
  <si>
    <t>FJ483967</t>
  </si>
  <si>
    <t>Muromegalovirus</t>
  </si>
  <si>
    <t>murid betaherpesvirus 1; murine cytomegalovirus</t>
  </si>
  <si>
    <t>MuBHV1; MCMV</t>
  </si>
  <si>
    <t>Smith</t>
  </si>
  <si>
    <t>GU305914</t>
  </si>
  <si>
    <t>murid betaherpesvirus 2; rat cytomegalovirus strain Maastricht</t>
  </si>
  <si>
    <t>MuBHV2; RCMV</t>
  </si>
  <si>
    <t>Maastricht</t>
  </si>
  <si>
    <t>AF232689</t>
  </si>
  <si>
    <t>murid betaherpesvirus 8; rat cytomegalovirus strain England</t>
  </si>
  <si>
    <t>MuBHV8; RCMVE</t>
  </si>
  <si>
    <t>England</t>
  </si>
  <si>
    <t>JX867617</t>
  </si>
  <si>
    <t>Proboscivirus</t>
  </si>
  <si>
    <t>elephantid betaherpesvirus 1; elephantid endotheliotropic herpesvirus 1</t>
  </si>
  <si>
    <t>ElBHV1; EEHV1</t>
  </si>
  <si>
    <t>Raman</t>
  </si>
  <si>
    <t>KC462165</t>
  </si>
  <si>
    <t>elephantid betaherpesvirus 3; elephant endotheliotropic herpesvirus 3A</t>
  </si>
  <si>
    <t>ElBHV3; EEHV3A</t>
  </si>
  <si>
    <t>Nyah NAP97</t>
  </si>
  <si>
    <t>MN373268</t>
  </si>
  <si>
    <t>elephantid betaherpesvirus 4; elephantid endotheliotropic herpesvirus 4</t>
  </si>
  <si>
    <t>ElBHV4; EEHV4</t>
  </si>
  <si>
    <t>NAP69</t>
  </si>
  <si>
    <t>KT832477</t>
  </si>
  <si>
    <t>elephantid betaherpesvirus 5; elephantid endotheliotropic herpesvirus 5</t>
  </si>
  <si>
    <t>ElBHV5; EEHV5</t>
  </si>
  <si>
    <t>Vijay</t>
  </si>
  <si>
    <t>KF921519</t>
  </si>
  <si>
    <t>Quwivirus</t>
  </si>
  <si>
    <t>caviid betaherpesvirus 2; guinea pig cytomegalovirus</t>
  </si>
  <si>
    <t>CdBHV2; GPCMV</t>
  </si>
  <si>
    <t>KC503762</t>
  </si>
  <si>
    <t>miniopterid betaherpesvirus 1; Miniopterus schreibersii herpesvirus</t>
  </si>
  <si>
    <t>MnBHV1; MsHV</t>
  </si>
  <si>
    <t>B7D8</t>
  </si>
  <si>
    <t>JQ805139</t>
  </si>
  <si>
    <t>tupaiid betaherpesvirus 1; tupaia herpesvirus</t>
  </si>
  <si>
    <t>TuBHV1; THV</t>
  </si>
  <si>
    <t>AF281817</t>
  </si>
  <si>
    <t>Roseolovirus</t>
  </si>
  <si>
    <t>human betaherpesvirus 6A; human herpesvirus 6A</t>
  </si>
  <si>
    <t>HuBHV6A; HHV6A</t>
  </si>
  <si>
    <t>U1102</t>
  </si>
  <si>
    <t>X83413</t>
  </si>
  <si>
    <t>human betaherpesvirus 6B; human herpesvirus 6B</t>
  </si>
  <si>
    <t>HuBHV6B; HHV6B</t>
  </si>
  <si>
    <t>Z29</t>
  </si>
  <si>
    <t>AF157706</t>
  </si>
  <si>
    <t>human betaherpesvirus 7; human herpesvirus 7</t>
  </si>
  <si>
    <t>HuBHV7; HHV7</t>
  </si>
  <si>
    <t>RK</t>
  </si>
  <si>
    <t>AF037218</t>
  </si>
  <si>
    <t>macacine betaherpesvirus 9; Macaca nemestrina herpesvirus 7</t>
  </si>
  <si>
    <t>McBHV9; MneHV7</t>
  </si>
  <si>
    <t>KU351741</t>
  </si>
  <si>
    <t>murid betaherpesvirus 3; mouse thymic virus</t>
  </si>
  <si>
    <t>MuBHV3; MTV</t>
  </si>
  <si>
    <t>YOK1</t>
  </si>
  <si>
    <t>KY355735</t>
  </si>
  <si>
    <t>suid betaherpesvirus 2; porcine cytomegalovirus</t>
  </si>
  <si>
    <t>SuBHV2; PCMV</t>
  </si>
  <si>
    <t>BJ09</t>
  </si>
  <si>
    <t>KF017583</t>
  </si>
  <si>
    <t>Gammaherpesvirinae</t>
  </si>
  <si>
    <t>Bossavirus</t>
  </si>
  <si>
    <t>delphinid gammaherpesvirus 1; common bottlenose dolphin gammaherpesvirus 1</t>
  </si>
  <si>
    <t>DeGHV1</t>
  </si>
  <si>
    <t>Sarasota</t>
  </si>
  <si>
    <t>KY965444</t>
  </si>
  <si>
    <t>Lymphocryptovirus</t>
  </si>
  <si>
    <t>callitrichine gammaherpesvirus 3; marmoset lymphosarcoma virus</t>
  </si>
  <si>
    <t>ClGHV3</t>
  </si>
  <si>
    <t>CJ0149</t>
  </si>
  <si>
    <t>AF319782</t>
  </si>
  <si>
    <t>gorilline gammaherpesvirus 1; herpesvirus gorilla</t>
  </si>
  <si>
    <t>GoGHV1</t>
  </si>
  <si>
    <t>Machi</t>
  </si>
  <si>
    <t>AJ581752</t>
  </si>
  <si>
    <t>human gammaherpesvirus 4; Epstein-Barr virus</t>
  </si>
  <si>
    <t>HuGHV4; EBV</t>
  </si>
  <si>
    <t>B95-8</t>
  </si>
  <si>
    <t>AJ507799</t>
  </si>
  <si>
    <t>macacine gammaherpesvirus 10; cynomolgus macaque lymphocryptovirus</t>
  </si>
  <si>
    <t>McGHV10</t>
  </si>
  <si>
    <t>pfe-lcl-E3</t>
  </si>
  <si>
    <t>KP676001</t>
  </si>
  <si>
    <t>macacine gammaherpesvirus 13; Macaca arctoides gammaherpesvirus 1</t>
  </si>
  <si>
    <t>McGHV13; MarcGHV1</t>
  </si>
  <si>
    <t>HVMA</t>
  </si>
  <si>
    <t>MG471437</t>
  </si>
  <si>
    <t>macacine gammaherpesvirus 4; rhesus lymphocryptovirus</t>
  </si>
  <si>
    <t>McGHV4; RLV</t>
  </si>
  <si>
    <t>LCL8664</t>
  </si>
  <si>
    <t>AY037858</t>
  </si>
  <si>
    <t>panine gammaherpesvirus 1; herpesvirus pan</t>
  </si>
  <si>
    <t>PnGHV1</t>
  </si>
  <si>
    <t>Austin</t>
  </si>
  <si>
    <t>AJ581751</t>
  </si>
  <si>
    <t>papiine gammaherpesvirus 1; herpesvirus papio</t>
  </si>
  <si>
    <t>PaGHV1</t>
  </si>
  <si>
    <t>594S</t>
  </si>
  <si>
    <t>AJ581750</t>
  </si>
  <si>
    <t>pongine gammaherpesvirus 2; herpesvirus pongo</t>
  </si>
  <si>
    <t>PoGHV2</t>
  </si>
  <si>
    <t>CP-81</t>
  </si>
  <si>
    <t>AJ581753</t>
  </si>
  <si>
    <t>Macavirus</t>
  </si>
  <si>
    <t>alcelaphine gammaherpesvirus 1; wildebeest-associated malignant catarrhal fever virus</t>
  </si>
  <si>
    <t>AlGHV1; MCFV</t>
  </si>
  <si>
    <t>C500</t>
  </si>
  <si>
    <t>AF005370</t>
  </si>
  <si>
    <t>alcelaphine gammaherpesvirus 2; hartebeest-associated malignant catarrhal fever virus</t>
  </si>
  <si>
    <t>AlGHV2</t>
  </si>
  <si>
    <t>topi-AlHV-2</t>
  </si>
  <si>
    <t>KF274499</t>
  </si>
  <si>
    <t>bovine gammaherpesvirus 6; bovine lymphotropic herpesvirus</t>
  </si>
  <si>
    <t>BoGHV6; BLV</t>
  </si>
  <si>
    <t>Pennsylvania 47</t>
  </si>
  <si>
    <t>KJ705001</t>
  </si>
  <si>
    <t>caprine gammaherpesvirus 2; caprine herpesvirus 2</t>
  </si>
  <si>
    <t>CpGHV2; CpHV2</t>
  </si>
  <si>
    <t>AF283477</t>
  </si>
  <si>
    <t>hippotragine gammaherpesvirus 1; roan antelope herpesvirus</t>
  </si>
  <si>
    <t>HiGHV1</t>
  </si>
  <si>
    <t>DQ083950</t>
  </si>
  <si>
    <t>ovine gammaherpesvirus 2; sheep-associated malignant catarrhal fever virus</t>
  </si>
  <si>
    <t>OvGHV2</t>
  </si>
  <si>
    <t>BJ1035</t>
  </si>
  <si>
    <t>AY839756</t>
  </si>
  <si>
    <t>suid gammaherpesvirus 3; porcine lymphotropic herpesvirus 1</t>
  </si>
  <si>
    <t>SuGHV3; PLVH1</t>
  </si>
  <si>
    <t>AF478169</t>
  </si>
  <si>
    <t>suid gammaherpesvirus 4; porcine lymphotropic herpesvirus 2</t>
  </si>
  <si>
    <t>SuGHV4; PLHV2</t>
  </si>
  <si>
    <t>AY170317</t>
  </si>
  <si>
    <t>suid gammaherpesvirus 5; porcine lymphotropic herpesvirus 3</t>
  </si>
  <si>
    <t>SuGHV5; PLHV3</t>
  </si>
  <si>
    <t>AY170316</t>
  </si>
  <si>
    <t>Manticavirus</t>
  </si>
  <si>
    <t>phascolarctid gammaherpesvirus 1</t>
  </si>
  <si>
    <t>PcGHV1</t>
  </si>
  <si>
    <t>36M/11</t>
  </si>
  <si>
    <t>MG452722</t>
  </si>
  <si>
    <t>vombatid gammaherpesvirus 1</t>
  </si>
  <si>
    <t>VoGHV1</t>
  </si>
  <si>
    <t>V3187/11</t>
  </si>
  <si>
    <t>MG452721</t>
  </si>
  <si>
    <t>Patagivirus</t>
  </si>
  <si>
    <t>vespertilionid gammaherpesvirus 3; Eptesicus fuscus gammaherpesvirus</t>
  </si>
  <si>
    <t>VeGHV3; EfHV</t>
  </si>
  <si>
    <t>MF385016</t>
  </si>
  <si>
    <t>Percavirus</t>
  </si>
  <si>
    <t>equid gammaherpesvirus 2; equine herpesvirus 2</t>
  </si>
  <si>
    <t>EqGHV2; EHV2</t>
  </si>
  <si>
    <t>86/67</t>
  </si>
  <si>
    <t>U20824</t>
  </si>
  <si>
    <t>equid gammaherpesvirus 5; equine herpesvirus 5</t>
  </si>
  <si>
    <t>EqGHV5; EHV5</t>
  </si>
  <si>
    <t>2-141/67</t>
  </si>
  <si>
    <t>KM924295</t>
  </si>
  <si>
    <t>felid gammaherpesvirus 1; Felis catus gammaherpesvirus 1</t>
  </si>
  <si>
    <t>FeGHV1; FcaGHV1</t>
  </si>
  <si>
    <t>KT595939</t>
  </si>
  <si>
    <t>mustelid gammaherpesvirus 1; badger herpesvirus</t>
  </si>
  <si>
    <t>MusGHV1; BadHV</t>
  </si>
  <si>
    <t>AF376034</t>
  </si>
  <si>
    <t>phocid gammaherpesvirus 3; harp seal herpesvirus</t>
  </si>
  <si>
    <t>PhGHV3; HaSHV</t>
  </si>
  <si>
    <t>FMV04-1493874</t>
  </si>
  <si>
    <t>KP136799</t>
  </si>
  <si>
    <t>rhinolophid gammaherpesvirus 1; Rhinolophus gammaherpesvirus 1</t>
  </si>
  <si>
    <t>RnGHV1; RGHV1</t>
  </si>
  <si>
    <t>BV1</t>
  </si>
  <si>
    <t>LC333428</t>
  </si>
  <si>
    <t>vespertilionid gammaherpesvirus 1; bat gammaherpesvirus 8</t>
  </si>
  <si>
    <t>VeGHV1</t>
  </si>
  <si>
    <t>My-HV8/Myotis velifer incautus/USA/FCGHV/2011</t>
  </si>
  <si>
    <t>KU220026</t>
  </si>
  <si>
    <t>Rhadinovirus</t>
  </si>
  <si>
    <t>ateline gammaherpesvirus 2; herpesvirus ateles strain 810</t>
  </si>
  <si>
    <t>AtGHV2</t>
  </si>
  <si>
    <t>M22036</t>
  </si>
  <si>
    <t>ateline gammaherpesvirus 3; herpesvirus ateles</t>
  </si>
  <si>
    <t>AtGHV3; HVA</t>
  </si>
  <si>
    <t>AF083424</t>
  </si>
  <si>
    <t>bovine gammaherpesvirus 4; bovine herpesvirus 4</t>
  </si>
  <si>
    <t>BoGHV4; BHV4</t>
  </si>
  <si>
    <t>66-p-347</t>
  </si>
  <si>
    <t>AF318573</t>
  </si>
  <si>
    <t>colobine gammaherpesvirus 1</t>
  </si>
  <si>
    <t>CnGHV1</t>
  </si>
  <si>
    <t>Hannover</t>
  </si>
  <si>
    <t>MH932584</t>
  </si>
  <si>
    <t>cricetid gammaherpesvirus 2; rodent herpesvirus Peru</t>
  </si>
  <si>
    <t>CrGHV2; RHVP</t>
  </si>
  <si>
    <t>Peru</t>
  </si>
  <si>
    <t>HQ221963</t>
  </si>
  <si>
    <t>human gammaherpesvirus 8; Kaposi's sarcoma-associated herpesvirus</t>
  </si>
  <si>
    <t>HuGHV8; KSHV</t>
  </si>
  <si>
    <t>GK18</t>
  </si>
  <si>
    <t>AF148805</t>
  </si>
  <si>
    <t>macacine gammaherpesvirus 11; Japanese macaque rhadinovirus</t>
  </si>
  <si>
    <t>McGHV11; JMRV</t>
  </si>
  <si>
    <t>AY528864</t>
  </si>
  <si>
    <t>macacine gammaherpesvirus 12; pig-tailed macaque rhadinovirus 2</t>
  </si>
  <si>
    <t>McGHV12; MneRV2</t>
  </si>
  <si>
    <t>J97167</t>
  </si>
  <si>
    <t>KP265674</t>
  </si>
  <si>
    <t>macacine gammaherpesvirus 5; rhesus rhadinovirus</t>
  </si>
  <si>
    <t>McGHV5; RRV</t>
  </si>
  <si>
    <t>AF083501</t>
  </si>
  <si>
    <t>macacine gammaherpesvirus 8; retroperitoneal fibromatosis-associated herpesvirus Macaca nemestrina</t>
  </si>
  <si>
    <t>McGHV8; RFHV</t>
  </si>
  <si>
    <t>RFHVMnM78114</t>
  </si>
  <si>
    <t>KF703446</t>
  </si>
  <si>
    <t>murid gammaherpesvirus 4; murine gammaherpesvirus 68</t>
  </si>
  <si>
    <t>MuGHV4; MHV68</t>
  </si>
  <si>
    <t>g2.4 (WUMS)</t>
  </si>
  <si>
    <t>U97553</t>
  </si>
  <si>
    <t>murid gammaherpesvirus 7; wood mouse herpesvirus</t>
  </si>
  <si>
    <t>MuGHV7; WMHV</t>
  </si>
  <si>
    <t>WM8</t>
  </si>
  <si>
    <t>GQ169129</t>
  </si>
  <si>
    <t>saimiriine gammaherpesvirus 2; herpesvirus saimiri</t>
  </si>
  <si>
    <t>SaGHV2; HVS</t>
  </si>
  <si>
    <t>A11</t>
  </si>
  <si>
    <t>X64346</t>
  </si>
  <si>
    <t>Uroviricota</t>
  </si>
  <si>
    <t>Caudoviricetes</t>
  </si>
  <si>
    <t>Abaiavirus</t>
  </si>
  <si>
    <t>Ochrobactrum phage POA1180</t>
  </si>
  <si>
    <t>KX669658</t>
  </si>
  <si>
    <t>bacteria</t>
  </si>
  <si>
    <t>Abbeymikolonvirus</t>
  </si>
  <si>
    <t>Streptomyces phage AbbeyMikolon</t>
  </si>
  <si>
    <t>MG593800</t>
  </si>
  <si>
    <t>Abouovirus</t>
  </si>
  <si>
    <t>Brevibacillus phage Abouo</t>
  </si>
  <si>
    <t>KC595517</t>
  </si>
  <si>
    <t>Brevibacillus phage Davies</t>
  </si>
  <si>
    <t>KC595518</t>
  </si>
  <si>
    <t>Adaiavirus</t>
  </si>
  <si>
    <t>Arthrobacter phage Adaia</t>
  </si>
  <si>
    <t>MH834594</t>
  </si>
  <si>
    <t>Agmunavirus</t>
  </si>
  <si>
    <t>Brevibacterium phage AGM1</t>
  </si>
  <si>
    <t>MN023176</t>
  </si>
  <si>
    <t>Agricanvirus</t>
  </si>
  <si>
    <t>Erwinia phage vB_EamM_Deimos-Minion</t>
  </si>
  <si>
    <t>KU886225</t>
  </si>
  <si>
    <t>Erwinia phage vB_EamM_Desertfox</t>
  </si>
  <si>
    <t>MG655268</t>
  </si>
  <si>
    <t>Erwinia phage Ea35-70</t>
  </si>
  <si>
    <t>KF806589</t>
  </si>
  <si>
    <t>Erwinia phage vB_EamM_RAY</t>
  </si>
  <si>
    <t>KU886224</t>
  </si>
  <si>
    <t>Erwinia phage vB_EamM_Simmy50</t>
  </si>
  <si>
    <t>KU886223</t>
  </si>
  <si>
    <t>Erwinia phage vB_EamM_Special G</t>
  </si>
  <si>
    <t>KU886222</t>
  </si>
  <si>
    <t>Aguilavirus</t>
  </si>
  <si>
    <t>Enterobacteria phage mEp043 c-1</t>
  </si>
  <si>
    <t>JQ182734</t>
  </si>
  <si>
    <t>Enterobacterial phage mEp213</t>
  </si>
  <si>
    <t>JQ182733</t>
  </si>
  <si>
    <t>Akiravirus</t>
  </si>
  <si>
    <t>Salmonella phage Akira</t>
  </si>
  <si>
    <t>MK599416</t>
  </si>
  <si>
    <t>Alachuavirus</t>
  </si>
  <si>
    <t>Xanthomonas phage Xp15</t>
  </si>
  <si>
    <t>AY986977</t>
  </si>
  <si>
    <t>Alcyoneusvirus</t>
  </si>
  <si>
    <t>Klebsiella phage K64-1</t>
  </si>
  <si>
    <t>AB897757</t>
  </si>
  <si>
    <t>Klebsiella phage vB_KleM_RaK2</t>
  </si>
  <si>
    <t>JQ513383</t>
  </si>
  <si>
    <t>Alegriavirus</t>
  </si>
  <si>
    <t>Escherichia phage 2B8</t>
  </si>
  <si>
    <t>LR595859</t>
  </si>
  <si>
    <t>Alexandravirus</t>
  </si>
  <si>
    <t>Dickeya phage vB_DsoM_AD1</t>
  </si>
  <si>
    <t>MH460463</t>
  </si>
  <si>
    <t>Erwinia phage vB_EamM_Alexandra</t>
  </si>
  <si>
    <t>MH248138</t>
  </si>
  <si>
    <t>Erwinia phage pEa_SNUABM_1</t>
  </si>
  <si>
    <t>MZ443776</t>
  </si>
  <si>
    <t>Erwinia phage pEa_SNUABM_16</t>
  </si>
  <si>
    <t>MZ443782</t>
  </si>
  <si>
    <t>Erwinia phage pEa_SNUABM_17</t>
  </si>
  <si>
    <t>MZ443777</t>
  </si>
  <si>
    <t>Erwinia phage pEa_SNUABM_2</t>
  </si>
  <si>
    <t>MZ443786</t>
  </si>
  <si>
    <t>Erwinia phage pEa_SNUABM_22</t>
  </si>
  <si>
    <t>MZ443785</t>
  </si>
  <si>
    <t>Erwinia phage pEa_SNUABM_3</t>
  </si>
  <si>
    <t>MZ443770</t>
  </si>
  <si>
    <t>Erwinia phage pEa_SNUABM_30</t>
  </si>
  <si>
    <t>MZ443778</t>
  </si>
  <si>
    <t>Erwinia phage pEa_SNUABM_32</t>
  </si>
  <si>
    <t>MZ443774</t>
  </si>
  <si>
    <t>Erwinia phage pEa_SNUABM_33</t>
  </si>
  <si>
    <t>MZ443779</t>
  </si>
  <si>
    <t>Erwinia phage pEa_SNUABM_35</t>
  </si>
  <si>
    <t>MZ443788</t>
  </si>
  <si>
    <t>Amigovirus</t>
  </si>
  <si>
    <t>Arthrobacter phage Amigo</t>
  </si>
  <si>
    <t>KU160638</t>
  </si>
  <si>
    <t>Arthrobacter phage Molivia</t>
  </si>
  <si>
    <t>MF185731</t>
  </si>
  <si>
    <t>Anamdongvirus</t>
  </si>
  <si>
    <t>Lactobacillus phage LBR48</t>
  </si>
  <si>
    <t>GU967410</t>
  </si>
  <si>
    <t>Anatolevirus</t>
  </si>
  <si>
    <t>Propionibacterium phage Anatole</t>
  </si>
  <si>
    <t>KX620748</t>
  </si>
  <si>
    <t>Propionibacterium phage B3</t>
  </si>
  <si>
    <t>KX620749</t>
  </si>
  <si>
    <t>Andrewvirus</t>
  </si>
  <si>
    <t>Arthrobacter phage Andrew</t>
  </si>
  <si>
    <t>MH834595</t>
  </si>
  <si>
    <t>Andromedavirus</t>
  </si>
  <si>
    <t>Bacillus phage Andromeda</t>
  </si>
  <si>
    <t>KC330684</t>
  </si>
  <si>
    <t>Bacillus phage Blastoid</t>
  </si>
  <si>
    <t>KF669648</t>
  </si>
  <si>
    <t>Bacillus phage Curly</t>
  </si>
  <si>
    <t>KC330679</t>
  </si>
  <si>
    <t>Bacillus phage Eoghan</t>
  </si>
  <si>
    <t>KC330680</t>
  </si>
  <si>
    <t>Bacillus phage Finn</t>
  </si>
  <si>
    <t>KC330683</t>
  </si>
  <si>
    <t>Bacillus phage Glittering</t>
  </si>
  <si>
    <t>KF669651</t>
  </si>
  <si>
    <t>Bacillus phage Riggi</t>
  </si>
  <si>
    <t>KF669659</t>
  </si>
  <si>
    <t>Bacillus phage Taylor</t>
  </si>
  <si>
    <t>KC330682</t>
  </si>
  <si>
    <t>Anjalivirus</t>
  </si>
  <si>
    <t>Arthobacter phage Anjali</t>
  </si>
  <si>
    <t>MK016490</t>
  </si>
  <si>
    <t>Arthobacter phage Mendel</t>
  </si>
  <si>
    <t>MK016500</t>
  </si>
  <si>
    <t>Anthonyvirus</t>
  </si>
  <si>
    <t>Mycobacterium phage Anthony</t>
  </si>
  <si>
    <t>MN234188</t>
  </si>
  <si>
    <t>Aokuangvirus</t>
  </si>
  <si>
    <t>Synechococcus phage S-CBWM1</t>
  </si>
  <si>
    <t>MG450654</t>
  </si>
  <si>
    <t>Appavirus</t>
  </si>
  <si>
    <t>Microbacterium phage Appa</t>
  </si>
  <si>
    <t>MH153799</t>
  </si>
  <si>
    <t>Apricotvirus</t>
  </si>
  <si>
    <t>Gordonia phage Apricot</t>
  </si>
  <si>
    <t>MH536812</t>
  </si>
  <si>
    <t>Arawnvirus</t>
  </si>
  <si>
    <t>Butyrivibrio phage Arawn</t>
  </si>
  <si>
    <t>MN882550</t>
  </si>
  <si>
    <t>Archimedesvirus</t>
  </si>
  <si>
    <t>Gordonia phage Archimedes</t>
  </si>
  <si>
    <t>MT771339</t>
  </si>
  <si>
    <t>Armstrongvirus</t>
  </si>
  <si>
    <t>Microbacterium phage Armstrong</t>
  </si>
  <si>
    <t>MH834596</t>
  </si>
  <si>
    <t>Arvduovirus</t>
  </si>
  <si>
    <t>Arthrobacter phage vB_ArS-ArV2</t>
  </si>
  <si>
    <t>KF692088</t>
  </si>
  <si>
    <t>Ashduovirus</t>
  </si>
  <si>
    <t>Lactobacillus phage A2</t>
  </si>
  <si>
    <t>AJ251789</t>
  </si>
  <si>
    <t>Asteriusvirus</t>
  </si>
  <si>
    <t>Escherichia phage 121Q</t>
  </si>
  <si>
    <t>KM507819</t>
  </si>
  <si>
    <t>Escherichia phage PBECO4</t>
  </si>
  <si>
    <t>KC295538</t>
  </si>
  <si>
    <t>Astrithrvirus</t>
  </si>
  <si>
    <t>Salmonella phage astrithr</t>
  </si>
  <si>
    <t>MT074429</t>
  </si>
  <si>
    <t>Atraxavirus</t>
  </si>
  <si>
    <t>Arthrobacter phage Atraxa</t>
  </si>
  <si>
    <t>MH834597</t>
  </si>
  <si>
    <t>Attisvirus</t>
  </si>
  <si>
    <t>Gordonia phage Attis</t>
  </si>
  <si>
    <t>KU963247</t>
  </si>
  <si>
    <t>Gordonia phage Bjanes7</t>
  </si>
  <si>
    <t>MG099941</t>
  </si>
  <si>
    <t>Gordonia phage Ebert</t>
  </si>
  <si>
    <t>MH271295</t>
  </si>
  <si>
    <t>Gordonia phage Lamberg</t>
  </si>
  <si>
    <t>MW055908</t>
  </si>
  <si>
    <t>Gordonia phage Matteo</t>
  </si>
  <si>
    <t>MT771342</t>
  </si>
  <si>
    <t>Gordonia phage Pickett</t>
  </si>
  <si>
    <t>OM203160</t>
  </si>
  <si>
    <t>Gordonia phage Sahara</t>
  </si>
  <si>
    <t>MZ171371</t>
  </si>
  <si>
    <t>Gordonia phage Vasanti</t>
  </si>
  <si>
    <t>MK359313</t>
  </si>
  <si>
    <t>Gordonia phage Yeet412</t>
  </si>
  <si>
    <t>MZ150788</t>
  </si>
  <si>
    <t>Attoomivirus</t>
  </si>
  <si>
    <t>Streptomyces phage Attoomi</t>
  </si>
  <si>
    <t>MG593801</t>
  </si>
  <si>
    <t>Audreyjarvisvirus</t>
  </si>
  <si>
    <t>Lactococcus phage AM1</t>
  </si>
  <si>
    <t>KY554768</t>
  </si>
  <si>
    <t>Lactococcus phage AM4</t>
  </si>
  <si>
    <t>KY554771</t>
  </si>
  <si>
    <t>Lactococcus phage 949</t>
  </si>
  <si>
    <t>HM029250</t>
  </si>
  <si>
    <t>Lactococcus phage phiL47</t>
  </si>
  <si>
    <t>KF926093</t>
  </si>
  <si>
    <t>Lactococcus phage LW81</t>
  </si>
  <si>
    <t>KY554777</t>
  </si>
  <si>
    <t>Lactococcus phage P1048</t>
  </si>
  <si>
    <t>MN552145</t>
  </si>
  <si>
    <t>Lactococcus phage WRP3</t>
  </si>
  <si>
    <t>KM677185</t>
  </si>
  <si>
    <t>Aurunvirus</t>
  </si>
  <si>
    <t>Cyanophage S-TIM5</t>
  </si>
  <si>
    <t>JQ245707</t>
  </si>
  <si>
    <t>Austintatiousvirus</t>
  </si>
  <si>
    <t>Streptomyces phage Austintatious</t>
  </si>
  <si>
    <t>MK305888</t>
  </si>
  <si>
    <t>Streptomyces phage Ididsumtinwong</t>
  </si>
  <si>
    <t>KY092479</t>
  </si>
  <si>
    <t>Streptomyces phage PapayaSalad</t>
  </si>
  <si>
    <t>KY092481</t>
  </si>
  <si>
    <t>Axeltriavirus</t>
  </si>
  <si>
    <t>Stenotrophomonas phage vB_SmaS-AXL_3</t>
  </si>
  <si>
    <t>AXL3</t>
  </si>
  <si>
    <t>MT536174</t>
  </si>
  <si>
    <t>Ayohtrevirus</t>
  </si>
  <si>
    <t>Arthrobacter phage Abba</t>
  </si>
  <si>
    <t>MT024868</t>
  </si>
  <si>
    <t>Backyardiganvirus</t>
  </si>
  <si>
    <t>Mycobacterium phage Arturo</t>
  </si>
  <si>
    <t>JX307702</t>
  </si>
  <si>
    <t>Mycobacterium phage Backyardigan</t>
  </si>
  <si>
    <t>JF704093</t>
  </si>
  <si>
    <t>Mycobacterium phage BellusTerra</t>
  </si>
  <si>
    <t>KF841475</t>
  </si>
  <si>
    <t>Mycobacterium phage Camperdownii</t>
  </si>
  <si>
    <t>KY204245</t>
  </si>
  <si>
    <t>Mycobacterium phage Cerulean</t>
  </si>
  <si>
    <t>MF919496</t>
  </si>
  <si>
    <t>Mycobacterium phage Cindaradix</t>
  </si>
  <si>
    <t>MF919498</t>
  </si>
  <si>
    <t>Mycobacterium phage Cintron</t>
  </si>
  <si>
    <t>MN813696</t>
  </si>
  <si>
    <t>Mycobacterium phage ICleared</t>
  </si>
  <si>
    <t>JQ896627</t>
  </si>
  <si>
    <t>Mycobacterium phage LeoAvram</t>
  </si>
  <si>
    <t>KY006473</t>
  </si>
  <si>
    <t>Mycobacterium phage LHTSCC</t>
  </si>
  <si>
    <t>JN699015</t>
  </si>
  <si>
    <t>Mycobacterium phage Miramae</t>
  </si>
  <si>
    <t>MK494117</t>
  </si>
  <si>
    <t>Mycobacterium phage Mundrea</t>
  </si>
  <si>
    <t>KX579975</t>
  </si>
  <si>
    <t>Mycobacterium phage Noelle</t>
  </si>
  <si>
    <t>MN813697</t>
  </si>
  <si>
    <t>Mycobacterium phage Peaches</t>
  </si>
  <si>
    <t>GQ303263</t>
  </si>
  <si>
    <t>Mycobacterium phage Stasia</t>
  </si>
  <si>
    <t>KX641260</t>
  </si>
  <si>
    <t>Mycobacterium phage Wizard007</t>
  </si>
  <si>
    <t>MH727563</t>
  </si>
  <si>
    <t>Badaztecvirus</t>
  </si>
  <si>
    <t>Bifidobacterium phage BadAargau2</t>
  </si>
  <si>
    <t>MT006240</t>
  </si>
  <si>
    <t>Bifidobacterium phage BadAztec1</t>
  </si>
  <si>
    <t>MT006233</t>
  </si>
  <si>
    <t>Baikalvirus</t>
  </si>
  <si>
    <t>Pseudomonas phage PaBG</t>
  </si>
  <si>
    <t>KF147891</t>
  </si>
  <si>
    <t>Baileybluvirus</t>
  </si>
  <si>
    <t>Arthrobacter phage BaileyBlu</t>
  </si>
  <si>
    <t>OL455900</t>
  </si>
  <si>
    <t>Bakolyvirus</t>
  </si>
  <si>
    <t>Ralstonia phage Bakoly</t>
  </si>
  <si>
    <t>Bakoly</t>
  </si>
  <si>
    <t>MT740729</t>
  </si>
  <si>
    <t>Ralstonia phage Simangalove</t>
  </si>
  <si>
    <t>Simangalove</t>
  </si>
  <si>
    <t>MT740747</t>
  </si>
  <si>
    <t>Bantamvirus</t>
  </si>
  <si>
    <t>Gordonia phage Bantam</t>
  </si>
  <si>
    <t>KX557272</t>
  </si>
  <si>
    <t>Barbavirus</t>
  </si>
  <si>
    <t>Barba18A</t>
  </si>
  <si>
    <t>MK719729</t>
  </si>
  <si>
    <t>Barba19A</t>
  </si>
  <si>
    <t>MK719730</t>
  </si>
  <si>
    <t>Barba21A</t>
  </si>
  <si>
    <t>MK719733</t>
  </si>
  <si>
    <t>Barba5S</t>
  </si>
  <si>
    <t>MK719710</t>
  </si>
  <si>
    <t>Barba8S</t>
  </si>
  <si>
    <t>MK719714</t>
  </si>
  <si>
    <t>Barnyardvirus</t>
  </si>
  <si>
    <t>Mycobacterium phage Barnyard</t>
  </si>
  <si>
    <t>AY129339</t>
  </si>
  <si>
    <t>Mycobacterium phage DrLupo</t>
  </si>
  <si>
    <t>MK279909</t>
  </si>
  <si>
    <t>Bcepfunavirus</t>
  </si>
  <si>
    <t>Burkholderia phage BcepF1</t>
  </si>
  <si>
    <t>EF153632</t>
  </si>
  <si>
    <t>Bcepmuvirus</t>
  </si>
  <si>
    <t>Burkholderia phage BcepMu</t>
  </si>
  <si>
    <t>AY539836</t>
  </si>
  <si>
    <t>Burkholderia phage phiE255</t>
  </si>
  <si>
    <t>CP000622</t>
  </si>
  <si>
    <t>Beceayunavirus</t>
  </si>
  <si>
    <t>Bacillus phage BceA1</t>
  </si>
  <si>
    <t>HE614282</t>
  </si>
  <si>
    <t>Becedseptimavirus</t>
  </si>
  <si>
    <t>Bacillus phage BCD7</t>
  </si>
  <si>
    <t>JN712910</t>
  </si>
  <si>
    <t>Beenievirus</t>
  </si>
  <si>
    <t>Gordonia phage Beenie</t>
  </si>
  <si>
    <t>MG845393</t>
  </si>
  <si>
    <t>Gordonia phage Clark</t>
  </si>
  <si>
    <t>MK801729</t>
  </si>
  <si>
    <t>Gordonia phage DobbysSock</t>
  </si>
  <si>
    <t>MN428048</t>
  </si>
  <si>
    <t>Gordonia phage Dolores</t>
  </si>
  <si>
    <t>MZ681517</t>
  </si>
  <si>
    <t>Gordonia phage Dorito</t>
  </si>
  <si>
    <t>MK279848</t>
  </si>
  <si>
    <t>Gordonia phage Easley</t>
  </si>
  <si>
    <t>MH155867</t>
  </si>
  <si>
    <t>Gordonia phage MichaelScott</t>
  </si>
  <si>
    <t>MT771346</t>
  </si>
  <si>
    <t>Gordonia phage Samman98</t>
  </si>
  <si>
    <t>MZ456039</t>
  </si>
  <si>
    <t>Gordonia phage Sekhmet</t>
  </si>
  <si>
    <t>MK937609</t>
  </si>
  <si>
    <t>Gordonia phage Suerte</t>
  </si>
  <si>
    <t>MN428057</t>
  </si>
  <si>
    <t>Beetrevirus</t>
  </si>
  <si>
    <t>Pseudomonas phage B3</t>
  </si>
  <si>
    <t>AF232233</t>
  </si>
  <si>
    <t>Pseudomonas phage JBD67</t>
  </si>
  <si>
    <t>JX495043</t>
  </si>
  <si>
    <t>Pseudomonas phage JD18</t>
  </si>
  <si>
    <t>JX495041</t>
  </si>
  <si>
    <t>Pseudomonas phage vB_PaeS_PM105</t>
  </si>
  <si>
    <t>LN898172</t>
  </si>
  <si>
    <t>Behunavirus</t>
  </si>
  <si>
    <t>Lactobacillus phage BH1</t>
  </si>
  <si>
    <t>MH983004</t>
  </si>
  <si>
    <t>Bendigovirus</t>
  </si>
  <si>
    <t>Gordonia phage GMA6</t>
  </si>
  <si>
    <t>KR063280</t>
  </si>
  <si>
    <t>Benedictvirus</t>
  </si>
  <si>
    <t>Mycobacterium phage Archetta</t>
  </si>
  <si>
    <t>MG099938</t>
  </si>
  <si>
    <t>Mycobacterium phage Benedict</t>
  </si>
  <si>
    <t>JN083852</t>
  </si>
  <si>
    <t>Mycobacterium phage Bluefalcon</t>
  </si>
  <si>
    <t>MN617844</t>
  </si>
  <si>
    <t>Mycobacterium phage Chadwick</t>
  </si>
  <si>
    <t>KT246486</t>
  </si>
  <si>
    <t>Mycobacterium phage Cuco</t>
  </si>
  <si>
    <t>JN408459</t>
  </si>
  <si>
    <t>Mycobacterium phage Jovo</t>
  </si>
  <si>
    <t>KF493882</t>
  </si>
  <si>
    <t>Mycobacterium phage LittleCherry</t>
  </si>
  <si>
    <t>KF017001</t>
  </si>
  <si>
    <t>Mycobacterium phage Naca</t>
  </si>
  <si>
    <t>MH020239</t>
  </si>
  <si>
    <t>Mycobacterium phage Scorpia</t>
  </si>
  <si>
    <t>MK494091</t>
  </si>
  <si>
    <t>Mycobacterium phage Swirley</t>
  </si>
  <si>
    <t>KM101118</t>
  </si>
  <si>
    <t>Mycobacterium phage Theia</t>
  </si>
  <si>
    <t>KT438501</t>
  </si>
  <si>
    <t>Mycobacterium phage Tiger</t>
  </si>
  <si>
    <t>JQ684677</t>
  </si>
  <si>
    <t>Mycobacterium phage UnionJack</t>
  </si>
  <si>
    <t>KT004677</t>
  </si>
  <si>
    <t>Mycobacterium phage Zolita</t>
  </si>
  <si>
    <t>MN096372</t>
  </si>
  <si>
    <t>Bernalvirus</t>
  </si>
  <si>
    <t>Mycobacterium phage Bernal13</t>
  </si>
  <si>
    <t>KJ510413</t>
  </si>
  <si>
    <t>Mycobacterium phage Mendokysei</t>
  </si>
  <si>
    <t>MG925349</t>
  </si>
  <si>
    <t>Betterkatzvirus</t>
  </si>
  <si>
    <t>Gordonia phage BetterKatz</t>
  </si>
  <si>
    <t>KU963261</t>
  </si>
  <si>
    <t>Bievrevirus</t>
  </si>
  <si>
    <t>Escherichia phage 4A7</t>
  </si>
  <si>
    <t>LR595864</t>
  </si>
  <si>
    <t>Bigmanorsvirus</t>
  </si>
  <si>
    <t>Burkholderia phage BgManors32</t>
  </si>
  <si>
    <t>OK665842</t>
  </si>
  <si>
    <t>Bingvirus</t>
  </si>
  <si>
    <t>Streptomyces phage Bing</t>
  </si>
  <si>
    <t>MG757154</t>
  </si>
  <si>
    <t>Bippervirus</t>
  </si>
  <si>
    <t>Mycobacterium phage Bipper</t>
  </si>
  <si>
    <t>KU728633</t>
  </si>
  <si>
    <t>Bjornvirus</t>
  </si>
  <si>
    <t>Pseudomonas phage Bjorn</t>
  </si>
  <si>
    <t>MG775259</t>
  </si>
  <si>
    <t>Bocovirus</t>
  </si>
  <si>
    <t>Shewanella phage X14</t>
  </si>
  <si>
    <t>X14</t>
  </si>
  <si>
    <t>MK796797</t>
  </si>
  <si>
    <t>Borockvirus</t>
  </si>
  <si>
    <t>Streptomyces phage BRock</t>
  </si>
  <si>
    <t>KX925554</t>
  </si>
  <si>
    <t>Bowservirus</t>
  </si>
  <si>
    <t>Gordonia phage Bowser</t>
  </si>
  <si>
    <t>KU998235</t>
  </si>
  <si>
    <t>Branisovskavirus</t>
  </si>
  <si>
    <t>Kosakonia phage Kc263</t>
  </si>
  <si>
    <t>MZ348422</t>
  </si>
  <si>
    <t>Bridgettevirus</t>
  </si>
  <si>
    <t>Arthrobacter phage Bridgette</t>
  </si>
  <si>
    <t>MH834603</t>
  </si>
  <si>
    <t>Arthrobacter phage Constance</t>
  </si>
  <si>
    <t>MH834605</t>
  </si>
  <si>
    <t>Arthrobacter phage Eileen</t>
  </si>
  <si>
    <t>MH834611</t>
  </si>
  <si>
    <t>Arthrobacter phage Judy</t>
  </si>
  <si>
    <t>MH834614</t>
  </si>
  <si>
    <t>Arthrobacter phage Peas</t>
  </si>
  <si>
    <t>MH834623</t>
  </si>
  <si>
    <t>Brigitvirus</t>
  </si>
  <si>
    <t>Faecalibacterium phage FP_Brigit</t>
  </si>
  <si>
    <t>MG711465</t>
  </si>
  <si>
    <t>Britbratvirus</t>
  </si>
  <si>
    <t>Gordonia phage BritBrat</t>
  </si>
  <si>
    <t>KU998233</t>
  </si>
  <si>
    <t>Brunovirus</t>
  </si>
  <si>
    <t>Salmonella phage SEN34</t>
  </si>
  <si>
    <t>KT630649</t>
  </si>
  <si>
    <t>Bruynoghevirus</t>
  </si>
  <si>
    <t>Pseudomonas phage vB_PaeP_C2-10_Ab22</t>
  </si>
  <si>
    <t>LN610578</t>
  </si>
  <si>
    <t>Pseudomonas phage PhiCHU</t>
  </si>
  <si>
    <t>KP233880</t>
  </si>
  <si>
    <t>Pseudomonas phage LUZ24</t>
  </si>
  <si>
    <t>AM910650</t>
  </si>
  <si>
    <t>Pseudomonas phage phiIBB-PAA2</t>
  </si>
  <si>
    <t>KF856712</t>
  </si>
  <si>
    <t>Pseudomonas phage PaP3</t>
  </si>
  <si>
    <t>AY078382</t>
  </si>
  <si>
    <t>Pseudomonas phage PaP4</t>
  </si>
  <si>
    <t>KC294142</t>
  </si>
  <si>
    <t>Pseudomonas phage TL</t>
  </si>
  <si>
    <t>HG518155</t>
  </si>
  <si>
    <t>Buchananvirus</t>
  </si>
  <si>
    <t>Escherichia phage vB_EcoS Sa179lw</t>
  </si>
  <si>
    <t>MH023293</t>
  </si>
  <si>
    <t>Burrovirus</t>
  </si>
  <si>
    <t>Microbacterium phage Araxxi</t>
  </si>
  <si>
    <t>MN062711</t>
  </si>
  <si>
    <t>Microbacterium phage Arete</t>
  </si>
  <si>
    <t>MT024863</t>
  </si>
  <si>
    <t>Microbacterium phage Burro</t>
  </si>
  <si>
    <t>MH825698</t>
  </si>
  <si>
    <t>Busanvirus</t>
  </si>
  <si>
    <t>Acidovorax phage ACP17</t>
  </si>
  <si>
    <t>KY979132</t>
  </si>
  <si>
    <t>Caminolopintovirus</t>
  </si>
  <si>
    <t>Salmonella phage vB_Se_STGO-35-1</t>
  </si>
  <si>
    <t>MW477799</t>
  </si>
  <si>
    <t>Camtrevirus</t>
  </si>
  <si>
    <t>Bacillus phage BtCS33</t>
  </si>
  <si>
    <t>JN191664</t>
  </si>
  <si>
    <t>Bacillus phage phiCM3</t>
  </si>
  <si>
    <t>KF296718</t>
  </si>
  <si>
    <t>Bacillus phage phIS3501</t>
  </si>
  <si>
    <t>JQ062992</t>
  </si>
  <si>
    <t>Cantarevirus</t>
  </si>
  <si>
    <t>Brevibacterium phage Cantare</t>
  </si>
  <si>
    <t>MK016493</t>
  </si>
  <si>
    <t>Capnelvirus</t>
  </si>
  <si>
    <t>Rhodobacter phage RcapNL</t>
  </si>
  <si>
    <t>JQ066768</t>
  </si>
  <si>
    <t>Carnodivirus</t>
  </si>
  <si>
    <t>Carnobacterium phage cd2</t>
  </si>
  <si>
    <t>cd2</t>
  </si>
  <si>
    <t>MZ398135</t>
  </si>
  <si>
    <t>Carnobacterium phage cd4</t>
  </si>
  <si>
    <t>cd4</t>
  </si>
  <si>
    <t>MZ399596</t>
  </si>
  <si>
    <t>Carpasinavirus</t>
  </si>
  <si>
    <t>Xanthomonas phage Carpasina</t>
  </si>
  <si>
    <t>MH059633</t>
  </si>
  <si>
    <t>Xanthomonas phage XcP1</t>
  </si>
  <si>
    <t>MH191395</t>
  </si>
  <si>
    <t>Carvajevirus</t>
  </si>
  <si>
    <t>vB_KpnS-Carvaje</t>
  </si>
  <si>
    <t>Carvaje</t>
  </si>
  <si>
    <t>OL604152</t>
  </si>
  <si>
    <t>Casadabanvirus</t>
  </si>
  <si>
    <t>Pseudomonas phage vB_PaeS_PAO1_Ab30</t>
  </si>
  <si>
    <t>LN610590</t>
  </si>
  <si>
    <t>Pseudomonas phage AIIMS-Pa-B1</t>
  </si>
  <si>
    <t>MW390886</t>
  </si>
  <si>
    <t>Pseudomonas phage D3112</t>
  </si>
  <si>
    <t>AY394005</t>
  </si>
  <si>
    <t>Pseudomonas phage DMS3</t>
  </si>
  <si>
    <t>DQ631426</t>
  </si>
  <si>
    <t>Pseudomonas phage F_ET309sp/Pa1651</t>
  </si>
  <si>
    <t>KM389459</t>
  </si>
  <si>
    <t>Pseudomonas phage F_HA0480sp/Pa1651</t>
  </si>
  <si>
    <t>JN808773</t>
  </si>
  <si>
    <t>Pseudomonas phage vB_PaeS_PAO1_HW12</t>
  </si>
  <si>
    <t>LT999987</t>
  </si>
  <si>
    <t>Pseudomonas phage JBD24</t>
  </si>
  <si>
    <t>JX434031</t>
  </si>
  <si>
    <t>Pseudomonas phage JBD26</t>
  </si>
  <si>
    <t>JN811560</t>
  </si>
  <si>
    <t>Pseudomonas phage JBD30</t>
  </si>
  <si>
    <t>JX434032</t>
  </si>
  <si>
    <t>Pseudomonas phage JBD5</t>
  </si>
  <si>
    <t>JX434030</t>
  </si>
  <si>
    <t>Pseudomonas phage JBD69</t>
  </si>
  <si>
    <t>KU199708</t>
  </si>
  <si>
    <t>Pseudomonas phage JD024</t>
  </si>
  <si>
    <t>KJ477077</t>
  </si>
  <si>
    <t>Pseudomonas phage LPB1</t>
  </si>
  <si>
    <t>HE584812</t>
  </si>
  <si>
    <t>Pseudomonas phage MP22</t>
  </si>
  <si>
    <t>DQ873690</t>
  </si>
  <si>
    <t>Pseudomonas phage MP29</t>
  </si>
  <si>
    <t>EU272036</t>
  </si>
  <si>
    <t>Pseudomonas phage MP38</t>
  </si>
  <si>
    <t>EU272037</t>
  </si>
  <si>
    <t>Pseudomonas phage MP42</t>
  </si>
  <si>
    <t>JQ762257</t>
  </si>
  <si>
    <t>Pseudomonas phage MP48</t>
  </si>
  <si>
    <t>KF475786</t>
  </si>
  <si>
    <t>Pseudomonas phage PA1/KOR/2010</t>
  </si>
  <si>
    <t>HM624080</t>
  </si>
  <si>
    <t>Pseudomonas phage vB_PaeS_PcyII-40_PfII40a</t>
  </si>
  <si>
    <t>LT608331</t>
  </si>
  <si>
    <t>Pseudomonas phage YMC12/01/R24</t>
  </si>
  <si>
    <t>MH643778</t>
  </si>
  <si>
    <t>Pseudomonas phage YMC12/01/R960</t>
  </si>
  <si>
    <t>MH643777</t>
  </si>
  <si>
    <t>Pseudomonas phage Spike</t>
  </si>
  <si>
    <t>MK144667</t>
  </si>
  <si>
    <t>Cbastvirus</t>
  </si>
  <si>
    <t>Cellulophaga phage phiST</t>
  </si>
  <si>
    <t>HQ634192</t>
  </si>
  <si>
    <t>Cecivirus</t>
  </si>
  <si>
    <t>Bacillus phage 250</t>
  </si>
  <si>
    <t>GU229986</t>
  </si>
  <si>
    <t>Bacillus phage IEBH</t>
  </si>
  <si>
    <t>EU874396</t>
  </si>
  <si>
    <t>Cedarrivervirus</t>
  </si>
  <si>
    <t>Shigella phage Sf11 SMD-2017</t>
  </si>
  <si>
    <t>MF158038</t>
  </si>
  <si>
    <t>Ceduovirus</t>
  </si>
  <si>
    <t>Lactococcus phage vB_LLc_bIBB14</t>
  </si>
  <si>
    <t>MH779519</t>
  </si>
  <si>
    <t>Lactococcus phage vB_Llc_bIBBA3</t>
  </si>
  <si>
    <t>MH779522</t>
  </si>
  <si>
    <t>Lactococcus phage vB_Llc_bIBBAm4</t>
  </si>
  <si>
    <t>MH779523</t>
  </si>
  <si>
    <t>Lactococcus phage vB_Llc_bIBBE1</t>
  </si>
  <si>
    <t>MH779525</t>
  </si>
  <si>
    <t>Lactococcus phage vB_Llc_bIBBL12</t>
  </si>
  <si>
    <t>MH779518</t>
  </si>
  <si>
    <t>Lactococcus phage vB_Llc_bIBBp6/4</t>
  </si>
  <si>
    <t>MH779527</t>
  </si>
  <si>
    <t>Lactococcus phage bIL67</t>
  </si>
  <si>
    <t>L33769</t>
  </si>
  <si>
    <t>Lactococcus phage vB_Llc_bIBB94p4</t>
  </si>
  <si>
    <t>MH779521</t>
  </si>
  <si>
    <t>Lactobacillus phage c2</t>
  </si>
  <si>
    <t>L48605</t>
  </si>
  <si>
    <t>Lactococcus phage CHPC1020</t>
  </si>
  <si>
    <t>MN689505</t>
  </si>
  <si>
    <t>Lactococcus phage CHPC116</t>
  </si>
  <si>
    <t>MN689507</t>
  </si>
  <si>
    <t>Lactococcus phage CHPC1170</t>
  </si>
  <si>
    <t>MN689508</t>
  </si>
  <si>
    <t>Lactococcus phage CHPC1182</t>
  </si>
  <si>
    <t>MN689510</t>
  </si>
  <si>
    <t>Lactococcus phage CHPC1183</t>
  </si>
  <si>
    <t>MN689511</t>
  </si>
  <si>
    <t>Lactococcus phage CHPC122</t>
  </si>
  <si>
    <t>MN689512</t>
  </si>
  <si>
    <t>Lactococcus phage CHPC1242</t>
  </si>
  <si>
    <t>MN689513</t>
  </si>
  <si>
    <t>Lactococcus phage CHPC966</t>
  </si>
  <si>
    <t>MN689526</t>
  </si>
  <si>
    <t>Lactococcus phage CHPC967</t>
  </si>
  <si>
    <t>MN689527</t>
  </si>
  <si>
    <t>Lactococcus phage CHPC972</t>
  </si>
  <si>
    <t>MN689528</t>
  </si>
  <si>
    <t>Lactococcus phage 05802</t>
  </si>
  <si>
    <t>MF443126</t>
  </si>
  <si>
    <t>Lactococcus phage 20R03M</t>
  </si>
  <si>
    <t>MK301442</t>
  </si>
  <si>
    <t>Lactococcus phage 37203</t>
  </si>
  <si>
    <t>MF443121</t>
  </si>
  <si>
    <t>Lactococcus phage 50102</t>
  </si>
  <si>
    <t>MF443125</t>
  </si>
  <si>
    <t>Lactococcus phage 50504</t>
  </si>
  <si>
    <t>MF443124</t>
  </si>
  <si>
    <t>Lactococcus phage 5171F</t>
  </si>
  <si>
    <t>MN689503</t>
  </si>
  <si>
    <t>Lactococcus phage 62402</t>
  </si>
  <si>
    <t>MF443119</t>
  </si>
  <si>
    <t>Lactococcus phage 62403</t>
  </si>
  <si>
    <t>MF443120</t>
  </si>
  <si>
    <t>Lactococcus phage 62606</t>
  </si>
  <si>
    <t>MF443123</t>
  </si>
  <si>
    <t>Lactococcus phage D4410</t>
  </si>
  <si>
    <t>KX373685</t>
  </si>
  <si>
    <t>Lactococcus phage D4412</t>
  </si>
  <si>
    <t>KX373686</t>
  </si>
  <si>
    <t>Lactococcus phage vB_LacS_15</t>
  </si>
  <si>
    <t>MN337887</t>
  </si>
  <si>
    <t>Lactococcus phage M5938</t>
  </si>
  <si>
    <t>KX373687</t>
  </si>
  <si>
    <t>Lactococcus phage PC_B1</t>
  </si>
  <si>
    <t>MN689531</t>
  </si>
  <si>
    <t>Lactococcus phage PC_S1</t>
  </si>
  <si>
    <t>MN689533</t>
  </si>
  <si>
    <t>Cequinquevirus</t>
  </si>
  <si>
    <t>Lactobacillus phage c5</t>
  </si>
  <si>
    <t>EU340421</t>
  </si>
  <si>
    <t>Lactobacillus phage Ld17</t>
  </si>
  <si>
    <t>KJ564037</t>
  </si>
  <si>
    <t>Lactobacillus phage Ld25A</t>
  </si>
  <si>
    <t>KJ564036</t>
  </si>
  <si>
    <t>Lactobacillus phage Ld3</t>
  </si>
  <si>
    <t>KJ564038</t>
  </si>
  <si>
    <t>Lactobacillus phage phiLdb</t>
  </si>
  <si>
    <t>KF188410</t>
  </si>
  <si>
    <t>Lactobacillus phage LL-Ku</t>
  </si>
  <si>
    <t>AY739900</t>
  </si>
  <si>
    <t>Certevirus</t>
  </si>
  <si>
    <t>Pantoea phage PdC23</t>
  </si>
  <si>
    <t>PdC23</t>
  </si>
  <si>
    <t>OL396571</t>
  </si>
  <si>
    <t>Chakrabartyvirus</t>
  </si>
  <si>
    <t>Pseudomonas phage pf16</t>
  </si>
  <si>
    <t>KU873925</t>
  </si>
  <si>
    <t>Chaoshanvirus</t>
  </si>
  <si>
    <t>Aeromonas phage ZPAH34</t>
  </si>
  <si>
    <t>OM810292</t>
  </si>
  <si>
    <t>Chenonavirus</t>
  </si>
  <si>
    <t>Mycobacterium phage Che9c</t>
  </si>
  <si>
    <t>AY129333</t>
  </si>
  <si>
    <t>Mycobacterium phage Sbash</t>
  </si>
  <si>
    <t>KP027201</t>
  </si>
  <si>
    <t>Chertseyvirus</t>
  </si>
  <si>
    <t>Lactococcus phage GE1</t>
  </si>
  <si>
    <t>KT339177</t>
  </si>
  <si>
    <t>Chiangmaivirus</t>
  </si>
  <si>
    <t>Ralstonia phage RSF1</t>
  </si>
  <si>
    <t>AP014927</t>
  </si>
  <si>
    <t>Ralstonia phage RSL2</t>
  </si>
  <si>
    <t>AP014693</t>
  </si>
  <si>
    <t>Chidieberevirus</t>
  </si>
  <si>
    <t>Gordonia phage Chidiebere</t>
  </si>
  <si>
    <t>MN586022</t>
  </si>
  <si>
    <t>Gordonia phage ChisanaKitsune</t>
  </si>
  <si>
    <t>MZ820089</t>
  </si>
  <si>
    <t>Chopinvirus</t>
  </si>
  <si>
    <t>Lactococcus phage KSY1</t>
  </si>
  <si>
    <t>DQ535032</t>
  </si>
  <si>
    <t>Cimandefvirus</t>
  </si>
  <si>
    <t>Ralstonia phage Cimandef</t>
  </si>
  <si>
    <t>Cimandef</t>
  </si>
  <si>
    <t>MT740730</t>
  </si>
  <si>
    <t>Ralstonia phage Eline</t>
  </si>
  <si>
    <t>Eline</t>
  </si>
  <si>
    <t>MT740736</t>
  </si>
  <si>
    <t>Ralstonia phage Gamede</t>
  </si>
  <si>
    <t>Gamede</t>
  </si>
  <si>
    <t>MT740738</t>
  </si>
  <si>
    <t>Ralstonia phage Gerry</t>
  </si>
  <si>
    <t>Gerry</t>
  </si>
  <si>
    <t>MT740739</t>
  </si>
  <si>
    <t>Ralstonia phage Heva</t>
  </si>
  <si>
    <t>Heva</t>
  </si>
  <si>
    <t>MT740742</t>
  </si>
  <si>
    <t>Cimpunavirus</t>
  </si>
  <si>
    <t>Clavibacter phage CMP1</t>
  </si>
  <si>
    <t>GQ241246</t>
  </si>
  <si>
    <t>Cinunavirus</t>
  </si>
  <si>
    <t>Clavibbacter phage CN1A</t>
  </si>
  <si>
    <t>KF669650</t>
  </si>
  <si>
    <t>Clawzvirus</t>
  </si>
  <si>
    <t>Gordonia phage Clawz</t>
  </si>
  <si>
    <t>MT498058</t>
  </si>
  <si>
    <t>Clownvirus</t>
  </si>
  <si>
    <t>Gordonia phage Clown</t>
  </si>
  <si>
    <t>MT771343</t>
  </si>
  <si>
    <t>Coatlandelriovirus</t>
  </si>
  <si>
    <t>Ralstonia phage phiRSP</t>
  </si>
  <si>
    <t>MH252365</t>
  </si>
  <si>
    <t>Cobrasixvirus</t>
  </si>
  <si>
    <t>Enterobacter phage vB_EclS_CobraSix</t>
  </si>
  <si>
    <t>OK499971</t>
  </si>
  <si>
    <t>Coetzeevirus</t>
  </si>
  <si>
    <t>Lactobacillus phage ATCC 8014-B1</t>
  </si>
  <si>
    <t>JX486087</t>
  </si>
  <si>
    <t>Pediococcus phage cIP1</t>
  </si>
  <si>
    <t>JN051154</t>
  </si>
  <si>
    <t>Lactobacillus phage phiJL-1</t>
  </si>
  <si>
    <t>AY236756</t>
  </si>
  <si>
    <t>Coeurvirus</t>
  </si>
  <si>
    <t>Gordonia phage Coeur</t>
  </si>
  <si>
    <t>MK801723</t>
  </si>
  <si>
    <t>Colneyvirus</t>
  </si>
  <si>
    <t>Clostridioides phage phiCD27</t>
  </si>
  <si>
    <t>EU719189</t>
  </si>
  <si>
    <t>Clostridium phage phiCD505</t>
  </si>
  <si>
    <t>LN681539</t>
  </si>
  <si>
    <t>Clostridium phage CDKM15</t>
  </si>
  <si>
    <t>KX228400</t>
  </si>
  <si>
    <t>Clostridium phage CDKM9</t>
  </si>
  <si>
    <t>KX228399</t>
  </si>
  <si>
    <t>Clostridium phage phiMMP02</t>
  </si>
  <si>
    <t>JX145341</t>
  </si>
  <si>
    <t>Colunavirus</t>
  </si>
  <si>
    <t>Lactobacillus phage CL1</t>
  </si>
  <si>
    <t>KR905066</t>
  </si>
  <si>
    <t>Lactobacillus phage CL2</t>
  </si>
  <si>
    <t>KR905067</t>
  </si>
  <si>
    <t>Lactobacillus phage iLp1308</t>
  </si>
  <si>
    <t>KR905070</t>
  </si>
  <si>
    <t>Coralvirus</t>
  </si>
  <si>
    <t>Arthrobacter phage Coral</t>
  </si>
  <si>
    <t>MH834606</t>
  </si>
  <si>
    <t>Arthrobacter phage Kepler</t>
  </si>
  <si>
    <t>MH834616</t>
  </si>
  <si>
    <t>Corndogvirus</t>
  </si>
  <si>
    <t>Mycobacterium phage Catdawg</t>
  </si>
  <si>
    <t>KF017002</t>
  </si>
  <si>
    <t>Mycobacterium phage Corndog</t>
  </si>
  <si>
    <t>AY129335</t>
  </si>
  <si>
    <t>Mycobacterium phage Firecracker</t>
  </si>
  <si>
    <t>JN698993</t>
  </si>
  <si>
    <t>Mycobacterium phage Ryadel</t>
  </si>
  <si>
    <t>MH590592</t>
  </si>
  <si>
    <t>Coventryvirus</t>
  </si>
  <si>
    <t>Staphylococcus phage SN8</t>
  </si>
  <si>
    <t>MF428481</t>
  </si>
  <si>
    <t>Staphylococcus phage SP120</t>
  </si>
  <si>
    <t>AP019560</t>
  </si>
  <si>
    <t>Staphylococcus phage SP197</t>
  </si>
  <si>
    <t>AP019561</t>
  </si>
  <si>
    <t>Staphylococcus phage SP276</t>
  </si>
  <si>
    <t>AP019562</t>
  </si>
  <si>
    <t>Staphylococcus phage phiSP44-1</t>
  </si>
  <si>
    <t>MK075003</t>
  </si>
  <si>
    <t>Staphylococcus phage SpT152</t>
  </si>
  <si>
    <t>KX827369</t>
  </si>
  <si>
    <t>Staphylococcus phage vB_SpsM_WIS42</t>
  </si>
  <si>
    <t>MN028536</t>
  </si>
  <si>
    <t>Craquatrovirus</t>
  </si>
  <si>
    <t>Providencia phage PSTCR4</t>
  </si>
  <si>
    <t>MW057856</t>
  </si>
  <si>
    <t>Providencia phage PSTCR7</t>
  </si>
  <si>
    <t>MW057861</t>
  </si>
  <si>
    <t>Cronusvirus</t>
  </si>
  <si>
    <t>Rhodobacter phage RcCronus</t>
  </si>
  <si>
    <t>KR935217</t>
  </si>
  <si>
    <t>Cukevirus</t>
  </si>
  <si>
    <t>Mycobacterium phage Cuke</t>
  </si>
  <si>
    <t>MG757156</t>
  </si>
  <si>
    <t>Daredevilvirus</t>
  </si>
  <si>
    <t>Gordonia phage DareDevil</t>
  </si>
  <si>
    <t>MH590603</t>
  </si>
  <si>
    <t>Decurrovirus</t>
  </si>
  <si>
    <t>Arthrobacter phage Decurro</t>
  </si>
  <si>
    <t>KT355471</t>
  </si>
  <si>
    <t>Delepquintavirus</t>
  </si>
  <si>
    <t>Stenotrophomonas phage vB_SmaS_DLP_5</t>
  </si>
  <si>
    <t>MG189906</t>
  </si>
  <si>
    <t>Delislevirus</t>
  </si>
  <si>
    <t>Mycoplasma phage P1</t>
  </si>
  <si>
    <t>AF246223</t>
  </si>
  <si>
    <t>Demosthenesvirus</t>
  </si>
  <si>
    <t>Gordonia phage Demosthenes</t>
  </si>
  <si>
    <t>KU998242</t>
  </si>
  <si>
    <t>Gordonia phage Katyusha</t>
  </si>
  <si>
    <t>KU963258</t>
  </si>
  <si>
    <t>Denisevirus</t>
  </si>
  <si>
    <t>Gordonia phage Denise</t>
  </si>
  <si>
    <t>MN428053</t>
  </si>
  <si>
    <t>Derbicusvirus</t>
  </si>
  <si>
    <t>Erwinia phage Derbicus</t>
  </si>
  <si>
    <t>MK514282</t>
  </si>
  <si>
    <t>Deseoctovirus</t>
  </si>
  <si>
    <t>Escherichia phage C1</t>
  </si>
  <si>
    <t>MH717097</t>
  </si>
  <si>
    <t>Shigella phage DS8</t>
  </si>
  <si>
    <t>MK759854</t>
  </si>
  <si>
    <t>Detrevirus</t>
  </si>
  <si>
    <t>Pseudomonas phage D3</t>
  </si>
  <si>
    <t>AF165214</t>
  </si>
  <si>
    <t>Pseudomonas phage PMG1</t>
  </si>
  <si>
    <t>HQ711985</t>
  </si>
  <si>
    <t>Deurplevirus</t>
  </si>
  <si>
    <t>Bacillus phage Deep-Purple</t>
  </si>
  <si>
    <t>MF176161</t>
  </si>
  <si>
    <t>Dexdertvirus</t>
  </si>
  <si>
    <t>Gordonia phage Dexdert</t>
  </si>
  <si>
    <t>MW314849</t>
  </si>
  <si>
    <t>Gordonia phage GTE6</t>
  </si>
  <si>
    <t>KR053200</t>
  </si>
  <si>
    <t>Gordonia phage Tiamoceli</t>
  </si>
  <si>
    <t>MK433264</t>
  </si>
  <si>
    <t>Dhillonvirus</t>
  </si>
  <si>
    <t>Escherichia phage EK99P-1</t>
  </si>
  <si>
    <t>KM233151</t>
  </si>
  <si>
    <t>Shigella phage EP23</t>
  </si>
  <si>
    <t>JN984867</t>
  </si>
  <si>
    <t>Escherichia phage HK578</t>
  </si>
  <si>
    <t>JQ086375</t>
  </si>
  <si>
    <t>Escherichia phage JL1</t>
  </si>
  <si>
    <t>JX865427</t>
  </si>
  <si>
    <t>Sodalis phage SO-1</t>
  </si>
  <si>
    <t>GQ502199</t>
  </si>
  <si>
    <t>Escherichia phage SSL-2009a</t>
  </si>
  <si>
    <t>FJ750948</t>
  </si>
  <si>
    <t>Escherichia phage YD-2008.s</t>
  </si>
  <si>
    <t>KM896878</t>
  </si>
  <si>
    <t>Dibbivirus</t>
  </si>
  <si>
    <t>Pantoea phage vB_PagM_AAM37</t>
  </si>
  <si>
    <t>MK798143</t>
  </si>
  <si>
    <t>Xanthomonas phage vB_XveM_DIBBI</t>
  </si>
  <si>
    <t>JN022534</t>
  </si>
  <si>
    <t>Pantoea phage vB_PagM_PSKM</t>
  </si>
  <si>
    <t>MK798144</t>
  </si>
  <si>
    <t>Dinavirus</t>
  </si>
  <si>
    <t>Ralstonia phage Dina</t>
  </si>
  <si>
    <t>Dina</t>
  </si>
  <si>
    <t>MT740734</t>
  </si>
  <si>
    <t>Dismasvirus</t>
  </si>
  <si>
    <t>Microbacterium phage Dismas</t>
  </si>
  <si>
    <t>MG670586</t>
  </si>
  <si>
    <t>Donellivirus</t>
  </si>
  <si>
    <t>Bacillus phage G</t>
  </si>
  <si>
    <t>JN638751</t>
  </si>
  <si>
    <t>Doucettevirus</t>
  </si>
  <si>
    <t>Propionibacterium phage B22</t>
  </si>
  <si>
    <t>KX620750</t>
  </si>
  <si>
    <t>Propionibacterium phage Doucette</t>
  </si>
  <si>
    <t>KX620751</t>
  </si>
  <si>
    <t>Propionibacterium phage E6</t>
  </si>
  <si>
    <t>KX620753</t>
  </si>
  <si>
    <t>Propionibacterium phage G4</t>
  </si>
  <si>
    <t>KX620754</t>
  </si>
  <si>
    <t>Dubuvirus</t>
  </si>
  <si>
    <t>Streptomyces phage Dubu</t>
  </si>
  <si>
    <t>MK937595</t>
  </si>
  <si>
    <t>Dybvigvirus</t>
  </si>
  <si>
    <t>Actinomyces phage Av-1</t>
  </si>
  <si>
    <t>DQ123818</t>
  </si>
  <si>
    <t>Eagleeyevirus</t>
  </si>
  <si>
    <t>Mycobacterium phage EagleEye</t>
  </si>
  <si>
    <t>KF861510</t>
  </si>
  <si>
    <t>Edenvirus</t>
  </si>
  <si>
    <t>Microbacterium phage Eden</t>
  </si>
  <si>
    <t>MH509447</t>
  </si>
  <si>
    <t>Efquatrovirus</t>
  </si>
  <si>
    <t>Enterococcus phage vB_EfaS_AL2</t>
  </si>
  <si>
    <t>MH203384</t>
  </si>
  <si>
    <t>Enterococcus phage vB_EfaS_AL3</t>
  </si>
  <si>
    <t>MH203383</t>
  </si>
  <si>
    <t>Enterococcus phage AUEF3</t>
  </si>
  <si>
    <t>KJ127304</t>
  </si>
  <si>
    <t>Enterococcus phage Ec-ZZ2</t>
  </si>
  <si>
    <t>KR131750</t>
  </si>
  <si>
    <t>Enterococcus phage IME_EF3</t>
  </si>
  <si>
    <t>KF728385</t>
  </si>
  <si>
    <t>Enterococcus phage IME-EF4</t>
  </si>
  <si>
    <t>KF733017</t>
  </si>
  <si>
    <t>Enterococcus phage EfaCPT1</t>
  </si>
  <si>
    <t>JX193904</t>
  </si>
  <si>
    <t>Enterococcus phage vB_EfaS_IME196</t>
  </si>
  <si>
    <t>KT932701</t>
  </si>
  <si>
    <t>Enterococcus phage LY0322</t>
  </si>
  <si>
    <t>MH193369</t>
  </si>
  <si>
    <t>Enterococcus phage PMBT2</t>
  </si>
  <si>
    <t>MG708276</t>
  </si>
  <si>
    <t>Enterococcus phage SANTOR1</t>
  </si>
  <si>
    <t>KX284704</t>
  </si>
  <si>
    <t>Enterococcus phage phiSHEF2</t>
  </si>
  <si>
    <t>MF678788</t>
  </si>
  <si>
    <t>Enterococcus phage phiSHEF4</t>
  </si>
  <si>
    <t>MF678789</t>
  </si>
  <si>
    <t>Enterococcus phage phiSHEF5</t>
  </si>
  <si>
    <t>MF678790</t>
  </si>
  <si>
    <t>Eiauvirus</t>
  </si>
  <si>
    <t>Edwardsiella phage eiAU</t>
  </si>
  <si>
    <t>KF772233</t>
  </si>
  <si>
    <t>Eisenstarkvirus</t>
  </si>
  <si>
    <t>Xanthomonas phage phiL7</t>
  </si>
  <si>
    <t>EU717894</t>
  </si>
  <si>
    <t>Elemovirus</t>
  </si>
  <si>
    <t>Flavobacterium phage vB_FspP_elemoA_7-9A</t>
  </si>
  <si>
    <t>elemoA_7-9A</t>
  </si>
  <si>
    <t>MT497017</t>
  </si>
  <si>
    <t>Flavobacterium phage vB_FspP_elemoB_14-3B</t>
  </si>
  <si>
    <t>elemoB_14-3B</t>
  </si>
  <si>
    <t>MT497068</t>
  </si>
  <si>
    <t>Flavobacterium phage vB_FspP_elemoC_14-1A</t>
  </si>
  <si>
    <t>elemoC_14-1A</t>
  </si>
  <si>
    <t>MT497067</t>
  </si>
  <si>
    <t>Flavobacterium phage vB_FspP_elemoD_13-5B</t>
  </si>
  <si>
    <t>elemoD_13-5B</t>
  </si>
  <si>
    <t>MT497091</t>
  </si>
  <si>
    <t>Flavobacterium phage vB_FspP_elemoE_6-9C</t>
  </si>
  <si>
    <t>elemoE_6-9C</t>
  </si>
  <si>
    <t>MT497072</t>
  </si>
  <si>
    <t>Flavobacterium phage vB_FspP_elemoF_6-3D</t>
  </si>
  <si>
    <t>elemoF_6-3D</t>
  </si>
  <si>
    <t>MT497071</t>
  </si>
  <si>
    <t>Elerivirus</t>
  </si>
  <si>
    <t>Microbacterium phage Eleri</t>
  </si>
  <si>
    <t>MG839027</t>
  </si>
  <si>
    <t>Elmenteitavirus</t>
  </si>
  <si>
    <t>Bacillus phage vB_BboS-125</t>
  </si>
  <si>
    <t>MH884509</t>
  </si>
  <si>
    <t>Elvirus</t>
  </si>
  <si>
    <t>Pseudomonas phage EL</t>
  </si>
  <si>
    <t>AJ697969</t>
  </si>
  <si>
    <t>Emalynvirus</t>
  </si>
  <si>
    <t>Gordonia phage Cozz</t>
  </si>
  <si>
    <t>KU998239</t>
  </si>
  <si>
    <t>Gordonia phage Emalyn</t>
  </si>
  <si>
    <t>KU963260</t>
  </si>
  <si>
    <t>Gordonia phage GTE2</t>
  </si>
  <si>
    <t>HQ403646</t>
  </si>
  <si>
    <t>Gordonia phage Troje</t>
  </si>
  <si>
    <t>MG770215</t>
  </si>
  <si>
    <t>Emdodecavirus</t>
  </si>
  <si>
    <t>Sinorhizobium phage phiM12</t>
  </si>
  <si>
    <t>KF381361</t>
  </si>
  <si>
    <t>Sinorhizobium phage phiM7</t>
  </si>
  <si>
    <t>KR052480</t>
  </si>
  <si>
    <t>Sinorhizobium phage phiN3</t>
  </si>
  <si>
    <t>KR052482</t>
  </si>
  <si>
    <t>Emperorvirus</t>
  </si>
  <si>
    <t>Gordonia phage Emperor</t>
  </si>
  <si>
    <t>MH271296</t>
  </si>
  <si>
    <t>Gordonia phage SallySpecial</t>
  </si>
  <si>
    <t>MG812496</t>
  </si>
  <si>
    <t>Eneladusvirus</t>
  </si>
  <si>
    <t>Serratia phage BF</t>
  </si>
  <si>
    <t>KY630187</t>
  </si>
  <si>
    <t>Yersinia phage fHe-Yen9-04</t>
  </si>
  <si>
    <t>LT960551</t>
  </si>
  <si>
    <t>Enfavirus</t>
  </si>
  <si>
    <t>Vibrio phage NF</t>
  </si>
  <si>
    <t>MN812722</t>
  </si>
  <si>
    <t>Enhodamvirus</t>
  </si>
  <si>
    <t>Vibrio phage phiVC8</t>
  </si>
  <si>
    <t>JF712866</t>
  </si>
  <si>
    <t>Vibrio phage VP2</t>
  </si>
  <si>
    <t>AY505112</t>
  </si>
  <si>
    <t>Vibrio phage VP5</t>
  </si>
  <si>
    <t>AY510084</t>
  </si>
  <si>
    <t>Eowynvirus</t>
  </si>
  <si>
    <t>Klebsiella phage vB_KvM-Eowyn</t>
  </si>
  <si>
    <t>LR881104</t>
  </si>
  <si>
    <t>Eponavirus</t>
  </si>
  <si>
    <t>Faecalibacterium phage FP_Epona</t>
  </si>
  <si>
    <t>MG711462</t>
  </si>
  <si>
    <t>Ericdabvirus</t>
  </si>
  <si>
    <t>Gordonia phage EricDab</t>
  </si>
  <si>
    <t>MK660712</t>
  </si>
  <si>
    <t>Erskinevirus</t>
  </si>
  <si>
    <t>Erwinia phage vB_EamM_Asesino</t>
  </si>
  <si>
    <t>KX397364</t>
  </si>
  <si>
    <t>Erwinia phage PhiEaH2</t>
  </si>
  <si>
    <t>JX316028</t>
  </si>
  <si>
    <t>Eurybiavirus</t>
  </si>
  <si>
    <t>Cyanophage MED4-213</t>
  </si>
  <si>
    <t>HQ634174</t>
  </si>
  <si>
    <t>Prochlorococcus phage P-HM1</t>
  </si>
  <si>
    <t>GU071101</t>
  </si>
  <si>
    <t>GU075905</t>
  </si>
  <si>
    <t>Eyrevirus</t>
  </si>
  <si>
    <t>Gordonia phage Eyre</t>
  </si>
  <si>
    <t>KX557277</t>
  </si>
  <si>
    <t>Fairfaxidumvirus</t>
  </si>
  <si>
    <t>Gordonia phage Fairfaxidum</t>
  </si>
  <si>
    <t>MK814757</t>
  </si>
  <si>
    <t>Gordonia phage Toast</t>
  </si>
  <si>
    <t>MN234161</t>
  </si>
  <si>
    <t>Gordonia phage William</t>
  </si>
  <si>
    <t>MK801721</t>
  </si>
  <si>
    <t>Fajavirus</t>
  </si>
  <si>
    <t>Arthrobacter phage Faja</t>
  </si>
  <si>
    <t>MH834612</t>
  </si>
  <si>
    <t>Farahnazvirus</t>
  </si>
  <si>
    <t>Microbacterium vB_MoxS-ISF9</t>
  </si>
  <si>
    <t>KJ173786</t>
  </si>
  <si>
    <t>Fattrevirus</t>
  </si>
  <si>
    <t>Lactobacillus phage PhiAT3</t>
  </si>
  <si>
    <t>AY605066</t>
  </si>
  <si>
    <t>Feofaniavirus</t>
  </si>
  <si>
    <t>Erwinia phage vB_EhrS_49</t>
  </si>
  <si>
    <t>MH443100</t>
  </si>
  <si>
    <t>Erwinia phage vB_EhrS_59</t>
  </si>
  <si>
    <t>MH443101</t>
  </si>
  <si>
    <t>Fernvirus</t>
  </si>
  <si>
    <t>Paenibacillus phage PN12</t>
  </si>
  <si>
    <t>MG727695</t>
  </si>
  <si>
    <t>Paenibacillus phage Diva</t>
  </si>
  <si>
    <t>KP296791</t>
  </si>
  <si>
    <t>Paenibacillus phage Eltigre</t>
  </si>
  <si>
    <t>MH454078</t>
  </si>
  <si>
    <t>Paenibacillus phage Fern</t>
  </si>
  <si>
    <t>KT361649</t>
  </si>
  <si>
    <t>Paenibacillus phage HB10c2</t>
  </si>
  <si>
    <t>KP202972</t>
  </si>
  <si>
    <t>Paenibacillus phage Jacopo</t>
  </si>
  <si>
    <t>MH454079</t>
  </si>
  <si>
    <t>Paenibacillus phage Kawika</t>
  </si>
  <si>
    <t>MH431936</t>
  </si>
  <si>
    <t>Paenibacillus phage Leyra</t>
  </si>
  <si>
    <t>MG727701</t>
  </si>
  <si>
    <t>Paenibacillus phage Likha</t>
  </si>
  <si>
    <t>MG727702</t>
  </si>
  <si>
    <t>Paenibacillus phage Lucielle</t>
  </si>
  <si>
    <t>MH431937</t>
  </si>
  <si>
    <t>Paenibacillus phage phiIBB_P123</t>
  </si>
  <si>
    <t>KF010834</t>
  </si>
  <si>
    <t>Paenibacillus phage Pagassa</t>
  </si>
  <si>
    <t>MG727699</t>
  </si>
  <si>
    <t>Paenibacillus phage PBL1c</t>
  </si>
  <si>
    <t>MG727698</t>
  </si>
  <si>
    <t>Paenibacillus phage Rani</t>
  </si>
  <si>
    <t>KP296793</t>
  </si>
  <si>
    <t>Paenibacillus phage Shelly</t>
  </si>
  <si>
    <t>KP296795</t>
  </si>
  <si>
    <t>Paenibacillus phage Sitara</t>
  </si>
  <si>
    <t>KP296796</t>
  </si>
  <si>
    <t>Paenibacillus phage Tadhana</t>
  </si>
  <si>
    <t>MG727700</t>
  </si>
  <si>
    <t>Paenibacillus phage Yyerffej</t>
  </si>
  <si>
    <t>MH431931</t>
  </si>
  <si>
    <t>Ferozepurvirus</t>
  </si>
  <si>
    <t>Aeromonas phage pAEv1810</t>
  </si>
  <si>
    <t>OL964756</t>
  </si>
  <si>
    <t>Aeromonas phage PS1</t>
  </si>
  <si>
    <t>MN032614</t>
  </si>
  <si>
    <t>Fibralongavirus</t>
  </si>
  <si>
    <t>Staphylococcus phage 2638A</t>
  </si>
  <si>
    <t>AY954954</t>
  </si>
  <si>
    <t>Staphylococcus phage vB_SpsS_QT1</t>
  </si>
  <si>
    <t>MK450538</t>
  </si>
  <si>
    <t>Ficleduovirus</t>
  </si>
  <si>
    <t>Flavobacterium phage FCL-2</t>
  </si>
  <si>
    <t>KM873719</t>
  </si>
  <si>
    <t>Flavobacterium phage FCV-1</t>
  </si>
  <si>
    <t>KY979235</t>
  </si>
  <si>
    <t>Finchvirus</t>
  </si>
  <si>
    <t>Rhodococcus phage Finch</t>
  </si>
  <si>
    <t>MG962366</t>
  </si>
  <si>
    <t>Fipvunavirus</t>
  </si>
  <si>
    <t>Flavobacterium phage Fpv1</t>
  </si>
  <si>
    <t>KU599877</t>
  </si>
  <si>
    <t>Flavobacterium phage Fpv4</t>
  </si>
  <si>
    <t>KT876724</t>
  </si>
  <si>
    <t>Firingavirus</t>
  </si>
  <si>
    <t>Ralstonia phage Firinga</t>
  </si>
  <si>
    <t>Firinga</t>
  </si>
  <si>
    <t>MT740737</t>
  </si>
  <si>
    <t>Ralstonia phage RSK1</t>
  </si>
  <si>
    <t>AB863625</t>
  </si>
  <si>
    <t>Flaumdravirus</t>
  </si>
  <si>
    <t>Pseudomonas phage vB_PsyM_KIL4</t>
  </si>
  <si>
    <t>KU130129</t>
  </si>
  <si>
    <t>Pseudomonas phage vB_PsyM_KIL1</t>
  </si>
  <si>
    <t>KU130126</t>
  </si>
  <si>
    <t>Forzavirus</t>
  </si>
  <si>
    <t>Gordonia phage Forza</t>
  </si>
  <si>
    <t>MK814760</t>
  </si>
  <si>
    <t>Fowlmouthvirus</t>
  </si>
  <si>
    <t>Mycobacterium phage Fowlmouth</t>
  </si>
  <si>
    <t>MH834613</t>
  </si>
  <si>
    <t>Foxquatrovirus</t>
  </si>
  <si>
    <t>Xanthomonas phage FoX4</t>
  </si>
  <si>
    <t>MT161385</t>
  </si>
  <si>
    <t>Foxunavirus</t>
  </si>
  <si>
    <t>Xanthomonas phage FoX1</t>
  </si>
  <si>
    <t>MT161381</t>
  </si>
  <si>
    <t>Xanthomonas phage FoX2</t>
  </si>
  <si>
    <t>MT161382</t>
  </si>
  <si>
    <t>Xanthomonas phage FoX3</t>
  </si>
  <si>
    <t>MT161383</t>
  </si>
  <si>
    <t>Xanthomonas phage FoX5</t>
  </si>
  <si>
    <t>MT161384</t>
  </si>
  <si>
    <t>Franklinbayvirus</t>
  </si>
  <si>
    <t>Colwellia phage 9A</t>
  </si>
  <si>
    <t>HQ317390</t>
  </si>
  <si>
    <t>Fremauxvirus</t>
  </si>
  <si>
    <t>Lactococcus phage CHPC971</t>
  </si>
  <si>
    <t>MK779875</t>
  </si>
  <si>
    <t>Lactococcus phage 1706</t>
  </si>
  <si>
    <t>EU081845</t>
  </si>
  <si>
    <t>Fromanvirus</t>
  </si>
  <si>
    <t>Mycobacterium phage Alma</t>
  </si>
  <si>
    <t>JN699005</t>
  </si>
  <si>
    <t>Mycobacterium phage Astro</t>
  </si>
  <si>
    <t>JX015524</t>
  </si>
  <si>
    <t>Mycobacterium phage Bethlehem</t>
  </si>
  <si>
    <t>AY500153</t>
  </si>
  <si>
    <t>Mycobacterium phage BillKnuckles</t>
  </si>
  <si>
    <t>JN699000</t>
  </si>
  <si>
    <t>Mycobacterium phage BPBiebs31</t>
  </si>
  <si>
    <t>JF957057</t>
  </si>
  <si>
    <t>Mycobacterium phage Bruns</t>
  </si>
  <si>
    <t>JN698998</t>
  </si>
  <si>
    <t>Mycobacterium phage Bxb1</t>
  </si>
  <si>
    <t>AF271693</t>
  </si>
  <si>
    <t>Mycobacterium phage Che12</t>
  </si>
  <si>
    <t>DQ398043</t>
  </si>
  <si>
    <t>Mycobacterium phage D29</t>
  </si>
  <si>
    <t>AF022214</t>
  </si>
  <si>
    <t>Mycobacterium phage Doom</t>
  </si>
  <si>
    <t>JN153085</t>
  </si>
  <si>
    <t>Mycobacterium phage Euphoria</t>
  </si>
  <si>
    <t>JN153086</t>
  </si>
  <si>
    <t>Mycobacterium phage George</t>
  </si>
  <si>
    <t>JF704107</t>
  </si>
  <si>
    <t>Mycobacterium phage Goose</t>
  </si>
  <si>
    <t>JX307704</t>
  </si>
  <si>
    <t>Mycobacterium phage Jasper</t>
  </si>
  <si>
    <t>EU744251</t>
  </si>
  <si>
    <t>Mycobacterium phage JC27</t>
  </si>
  <si>
    <t>JF937099</t>
  </si>
  <si>
    <t>Mycobacterium phage KBG</t>
  </si>
  <si>
    <t>EU744248</t>
  </si>
  <si>
    <t>Mycobacterium phage KSSJEB</t>
  </si>
  <si>
    <t>JF937110</t>
  </si>
  <si>
    <t>Mycobacterium phage Kugel</t>
  </si>
  <si>
    <t>JN699016</t>
  </si>
  <si>
    <t>Mycobacterium phage L5</t>
  </si>
  <si>
    <t>Z18946</t>
  </si>
  <si>
    <t>Mycobacterium phage Lesedi</t>
  </si>
  <si>
    <t>JF937100</t>
  </si>
  <si>
    <t>Mycobacterium phage Lockley</t>
  </si>
  <si>
    <t>EU744249</t>
  </si>
  <si>
    <t>Mycobacterium phage Marcell</t>
  </si>
  <si>
    <t>JX307705</t>
  </si>
  <si>
    <t>Mycobacterium phage MrGordon</t>
  </si>
  <si>
    <t>JN020140</t>
  </si>
  <si>
    <t>Mycobacterium phage Museum</t>
  </si>
  <si>
    <t>JF937103</t>
  </si>
  <si>
    <t>Mycobacterium phage Nepal</t>
  </si>
  <si>
    <t>JQ698665</t>
  </si>
  <si>
    <t>Mycobacterium phage PackMan</t>
  </si>
  <si>
    <t>JF704110</t>
  </si>
  <si>
    <t>Mycobacterium phage Perseus</t>
  </si>
  <si>
    <t>JN572689</t>
  </si>
  <si>
    <t>Mycobacterium phage Rebeuca</t>
  </si>
  <si>
    <t>JX411619</t>
  </si>
  <si>
    <t>Mycobacterium phage RedRock</t>
  </si>
  <si>
    <t>GU339467</t>
  </si>
  <si>
    <t>Mycobacterium phage RidgeCD</t>
  </si>
  <si>
    <t>JN398369</t>
  </si>
  <si>
    <t>Mycobacterium phage Saintus</t>
  </si>
  <si>
    <t>JN831654</t>
  </si>
  <si>
    <t>Mycobacterium phage SkiPole</t>
  </si>
  <si>
    <t>GU247132</t>
  </si>
  <si>
    <t>Mycobacterium phage Solon</t>
  </si>
  <si>
    <t>EU826470</t>
  </si>
  <si>
    <t>Mycobacterium phage Switzer</t>
  </si>
  <si>
    <t>JF937108</t>
  </si>
  <si>
    <t>Mycobacterium phage SWU1</t>
  </si>
  <si>
    <t>JF946695</t>
  </si>
  <si>
    <t>Mycobacterium phage Trixie</t>
  </si>
  <si>
    <t>JN408461</t>
  </si>
  <si>
    <t>Mycobacterium phage Twister</t>
  </si>
  <si>
    <t>JQ512844</t>
  </si>
  <si>
    <t>Mycobacterium phage U2</t>
  </si>
  <si>
    <t>AY500152</t>
  </si>
  <si>
    <t>Mycobacterium phage Violet</t>
  </si>
  <si>
    <t>JN687951</t>
  </si>
  <si>
    <t>Fukuivirus</t>
  </si>
  <si>
    <t>Microcystis phage LMM01</t>
  </si>
  <si>
    <t>AB231700</t>
  </si>
  <si>
    <t>Microcystis phage MaMV-DC</t>
  </si>
  <si>
    <t>KF356199</t>
  </si>
  <si>
    <t>Gaiavirus</t>
  </si>
  <si>
    <t>Mycobacterium phage Gaia</t>
  </si>
  <si>
    <t>KJ567043</t>
  </si>
  <si>
    <t>Galaxyvirus</t>
  </si>
  <si>
    <t>Arthrobacter phage Abidatro</t>
  </si>
  <si>
    <t>MF140397</t>
  </si>
  <si>
    <t>Arthrobacter phage Galaxy</t>
  </si>
  <si>
    <t>KU160644</t>
  </si>
  <si>
    <t>Galunavirus</t>
  </si>
  <si>
    <t>Gordonia phage GAL1</t>
  </si>
  <si>
    <t>KR053194</t>
  </si>
  <si>
    <t>Gamtrevirus</t>
  </si>
  <si>
    <t>Gordonia phage GMA3</t>
  </si>
  <si>
    <t>KR063279</t>
  </si>
  <si>
    <t>Gervaisevirus</t>
  </si>
  <si>
    <t>Ralstonia phage Claudette</t>
  </si>
  <si>
    <t>Claudette</t>
  </si>
  <si>
    <t>MT740731</t>
  </si>
  <si>
    <t>Ralstonia phage Gervaise</t>
  </si>
  <si>
    <t>Gervaise</t>
  </si>
  <si>
    <t>MT740740</t>
  </si>
  <si>
    <t>Ralstonia phage GP4</t>
  </si>
  <si>
    <t>MH638294</t>
  </si>
  <si>
    <t>Getseptimavirus</t>
  </si>
  <si>
    <t>Gordonia phage GMA7</t>
  </si>
  <si>
    <t>KR063278</t>
  </si>
  <si>
    <t>Gordonia phage GTE7</t>
  </si>
  <si>
    <t>JN035618</t>
  </si>
  <si>
    <t>Ghobesvirus</t>
  </si>
  <si>
    <t>Gordonia phage Ghobes</t>
  </si>
  <si>
    <t>KX557278</t>
  </si>
  <si>
    <t>Gilesvirus</t>
  </si>
  <si>
    <t>Mycobacterium phage Giles</t>
  </si>
  <si>
    <t>EU203571</t>
  </si>
  <si>
    <t>Gillianvirus</t>
  </si>
  <si>
    <t>Microbacterium phage OneinaGillian</t>
  </si>
  <si>
    <t>MH727556</t>
  </si>
  <si>
    <t>Gimaduovirus</t>
  </si>
  <si>
    <t>Gordonia phage GMA2</t>
  </si>
  <si>
    <t>KR063281</t>
  </si>
  <si>
    <t>Gladiatorvirus</t>
  </si>
  <si>
    <t>Mycobacterium phage Blinn1</t>
  </si>
  <si>
    <t>MN586039</t>
  </si>
  <si>
    <t>Mycobacterium phage CloudWang3</t>
  </si>
  <si>
    <t>KF560332</t>
  </si>
  <si>
    <t>Mycobacterium phage EricB</t>
  </si>
  <si>
    <t>JN049605</t>
  </si>
  <si>
    <t>Mycobacterium phage Gladiator</t>
  </si>
  <si>
    <t>JF704097</t>
  </si>
  <si>
    <t>Mycobacterium phage Hammer</t>
  </si>
  <si>
    <t>JF937094</t>
  </si>
  <si>
    <t>Mycobacterium phage Jeffabunny</t>
  </si>
  <si>
    <t>JN699019</t>
  </si>
  <si>
    <t>Mycobacterium phage JewelBug</t>
  </si>
  <si>
    <t>MK359352</t>
  </si>
  <si>
    <t>Mycobacterium phage Koko</t>
  </si>
  <si>
    <t>MG099945</t>
  </si>
  <si>
    <t>Mycobacterium phage Priamo</t>
  </si>
  <si>
    <t>MH155876</t>
  </si>
  <si>
    <t>Mycobacterium phage Zaka</t>
  </si>
  <si>
    <t>KF560334</t>
  </si>
  <si>
    <t>Glaedevirus</t>
  </si>
  <si>
    <t>Escherichia phage 2H10</t>
  </si>
  <si>
    <t>LR595862</t>
  </si>
  <si>
    <t>Godonkavirus</t>
  </si>
  <si>
    <t>Gordonia phage GodonK</t>
  </si>
  <si>
    <t>MK620899</t>
  </si>
  <si>
    <t>Gordonia phage Phendrix</t>
  </si>
  <si>
    <t>MN096369</t>
  </si>
  <si>
    <t>Gofduovirus</t>
  </si>
  <si>
    <t>Edwardsiella phage Edno5</t>
  </si>
  <si>
    <t>MH898687</t>
  </si>
  <si>
    <t>Edwardsiella phage GF-2</t>
  </si>
  <si>
    <t>AP014629</t>
  </si>
  <si>
    <t>Goodmanvirus</t>
  </si>
  <si>
    <t>Microbacterium phage Goodman</t>
  </si>
  <si>
    <t>MK016495</t>
  </si>
  <si>
    <t>Gordonvirus</t>
  </si>
  <si>
    <t>Arthrobacter phage CaptnMurica</t>
  </si>
  <si>
    <t>KU160641</t>
  </si>
  <si>
    <t>Arthrobacter phage Gordon</t>
  </si>
  <si>
    <t>KU160646</t>
  </si>
  <si>
    <t>Gordtnkvirus</t>
  </si>
  <si>
    <t>Gordonia phage GordTnk2</t>
  </si>
  <si>
    <t>KP790008</t>
  </si>
  <si>
    <t>Gorganvirus</t>
  </si>
  <si>
    <t>Proteus phage vB_PmiS-Isfahan</t>
  </si>
  <si>
    <t>KY742649</t>
  </si>
  <si>
    <t>Gorjumvirus</t>
  </si>
  <si>
    <t>Gordonia phage Jumbo</t>
  </si>
  <si>
    <t>KX557281</t>
  </si>
  <si>
    <t>Goslarvirus</t>
  </si>
  <si>
    <t>Escherichia phage vB_EcoM_Goslar</t>
  </si>
  <si>
    <t>MK327938</t>
  </si>
  <si>
    <t>Grutrevirus</t>
  </si>
  <si>
    <t>Gordonia phage GMA5</t>
  </si>
  <si>
    <t>KR053198</t>
  </si>
  <si>
    <t>Gordonia phage GRU3</t>
  </si>
  <si>
    <t>KR053197</t>
  </si>
  <si>
    <t>Gustavvirus</t>
  </si>
  <si>
    <t>Gordonia phage Gustav</t>
  </si>
  <si>
    <t>MG198784</t>
  </si>
  <si>
    <t>Gordonia phage Mahdia</t>
  </si>
  <si>
    <t>MG198783</t>
  </si>
  <si>
    <t>Halcyonevirus</t>
  </si>
  <si>
    <t>Paenibacillus phage C7Cdelta</t>
  </si>
  <si>
    <t>MH431938</t>
  </si>
  <si>
    <t>Paenibacillus phage Halcyone</t>
  </si>
  <si>
    <t>MH460827</t>
  </si>
  <si>
    <t>Paenibacillus phage Scottie</t>
  </si>
  <si>
    <t>MH460825</t>
  </si>
  <si>
    <t>Paenibacillus phage Tripp</t>
  </si>
  <si>
    <t>KT755656</t>
  </si>
  <si>
    <t>Paenibacillus phage Unity</t>
  </si>
  <si>
    <t>MH460824</t>
  </si>
  <si>
    <t>Hapunavirus</t>
  </si>
  <si>
    <t>Halomonas phage phiHAP-1</t>
  </si>
  <si>
    <t>EU399241</t>
  </si>
  <si>
    <t>Vibrio phage VP882</t>
  </si>
  <si>
    <t>EF057797</t>
  </si>
  <si>
    <t>Harrisonburgvirus</t>
  </si>
  <si>
    <t>Pseudomonas phage Persinger</t>
  </si>
  <si>
    <t>MT613935</t>
  </si>
  <si>
    <t>Hattifnattvirus</t>
  </si>
  <si>
    <t>vB_FspS_hattifnatt9-1</t>
  </si>
  <si>
    <t>MN812207</t>
  </si>
  <si>
    <t>Hedwigvirus</t>
  </si>
  <si>
    <t>Gordonia phage Hedwig</t>
  </si>
  <si>
    <t>KX557279</t>
  </si>
  <si>
    <t>Heilongjiangvirus</t>
  </si>
  <si>
    <t>Lactobacillus phage Lb</t>
  </si>
  <si>
    <t>MG020111</t>
  </si>
  <si>
    <t>Helsingorvirus</t>
  </si>
  <si>
    <t>Cellulophaga phage phi12:1</t>
  </si>
  <si>
    <t>KC821613</t>
  </si>
  <si>
    <t>Cellulophaga phage phi17:1</t>
  </si>
  <si>
    <t>KC821617</t>
  </si>
  <si>
    <t>Cellulophaga phage phi18:1</t>
  </si>
  <si>
    <t>KC821619</t>
  </si>
  <si>
    <t>Hestiavirus</t>
  </si>
  <si>
    <t>Arthrobacter phage Hestia</t>
  </si>
  <si>
    <t>MH910036</t>
  </si>
  <si>
    <t>Hiroshimavirus</t>
  </si>
  <si>
    <t>Pseudomonas phage PPpW-3</t>
  </si>
  <si>
    <t>AB775548</t>
  </si>
  <si>
    <t>Hiyaavirus</t>
  </si>
  <si>
    <t>Streptomyces phage Hiyaa</t>
  </si>
  <si>
    <t>MK279841</t>
  </si>
  <si>
    <t>Hnatkovirus</t>
  </si>
  <si>
    <t>Mycobacterium phage DS6A</t>
  </si>
  <si>
    <t>JN698994</t>
  </si>
  <si>
    <t>Hollowayvirus</t>
  </si>
  <si>
    <t>Pseudomonas phage F116</t>
  </si>
  <si>
    <t>AY625898</t>
  </si>
  <si>
    <t>Pseudomonas phage H66</t>
  </si>
  <si>
    <t>KC262634</t>
  </si>
  <si>
    <t>Holosalinivirus</t>
  </si>
  <si>
    <t>Salinibacter phage M1EM-1</t>
  </si>
  <si>
    <t>MF580955</t>
  </si>
  <si>
    <t>partial genome</t>
  </si>
  <si>
    <t>Salinibacter phage M8CR30-2</t>
  </si>
  <si>
    <t>MF580957</t>
  </si>
  <si>
    <t>Homburgvirus</t>
  </si>
  <si>
    <t>Listeria phage LP-110</t>
  </si>
  <si>
    <t>JX126919</t>
  </si>
  <si>
    <t>Listeria phage LP-114</t>
  </si>
  <si>
    <t>KJ094021</t>
  </si>
  <si>
    <t>Listeria phage LP-026</t>
  </si>
  <si>
    <t>KJ094020</t>
  </si>
  <si>
    <t>Listeria phage LP-037</t>
  </si>
  <si>
    <t>JX126920</t>
  </si>
  <si>
    <t>Listeria phage P70</t>
  </si>
  <si>
    <t>JX442241</t>
  </si>
  <si>
    <t>Howevirus</t>
  </si>
  <si>
    <t>Gordonia phage Howe</t>
  </si>
  <si>
    <t>KU252585</t>
  </si>
  <si>
    <t>Gordonia phage Mcklovin</t>
  </si>
  <si>
    <t>MN428055</t>
  </si>
  <si>
    <t>Hubeivirus</t>
  </si>
  <si>
    <t>Bacillus phage vB_BceS-MY192</t>
  </si>
  <si>
    <t>KT725776</t>
  </si>
  <si>
    <t>Bacillus phage PfEFR-4</t>
  </si>
  <si>
    <t>KX227757</t>
  </si>
  <si>
    <t>Hungariovirus</t>
  </si>
  <si>
    <t>Escherichia phage C130_2</t>
  </si>
  <si>
    <t>MH363708</t>
  </si>
  <si>
    <t>Iaduovirus</t>
  </si>
  <si>
    <t>Lactobacillus phage iA2</t>
  </si>
  <si>
    <t>KR905068</t>
  </si>
  <si>
    <t>Iapetusvirus</t>
  </si>
  <si>
    <t>Erwinia phage PhiEaH1</t>
  </si>
  <si>
    <t>KF623294</t>
  </si>
  <si>
    <t>Iggyvirus</t>
  </si>
  <si>
    <t>Pseudomonas phage Iggy</t>
  </si>
  <si>
    <t>MN029011</t>
  </si>
  <si>
    <t>Pseudomonas virus PBPA162</t>
  </si>
  <si>
    <t>MK816297</t>
  </si>
  <si>
    <t>Ikedavirus</t>
  </si>
  <si>
    <t>Corynebacterium phage phi673</t>
  </si>
  <si>
    <t>MG324353</t>
  </si>
  <si>
    <t>Corynebacterium phage phi674</t>
  </si>
  <si>
    <t>MG324354</t>
  </si>
  <si>
    <t>Ilzatvirus</t>
  </si>
  <si>
    <t>Microbacterium phage Hamlet</t>
  </si>
  <si>
    <t>MG839019</t>
  </si>
  <si>
    <t>Microbacterium phage Ilzat</t>
  </si>
  <si>
    <t>MG839029</t>
  </si>
  <si>
    <t>Microbacterium phage McGalleon</t>
  </si>
  <si>
    <t>MN062703</t>
  </si>
  <si>
    <t>Microbacterium phage MonChoix</t>
  </si>
  <si>
    <t>MK894437</t>
  </si>
  <si>
    <t>Microbacterium phage Teagan</t>
  </si>
  <si>
    <t>MH153811</t>
  </si>
  <si>
    <t>Immutovirus</t>
  </si>
  <si>
    <t>Flavobacterium phage vB_FspM_immuto_2-6A</t>
  </si>
  <si>
    <t>immuto_2-6A</t>
  </si>
  <si>
    <t>MW353175</t>
  </si>
  <si>
    <t>Incheonvirus</t>
  </si>
  <si>
    <t>Polaribacter phage P12002L</t>
  </si>
  <si>
    <t>KR136259</t>
  </si>
  <si>
    <t>Polaribacter phage P12002S</t>
  </si>
  <si>
    <t>KR136260</t>
  </si>
  <si>
    <t>Indlulamithivirus</t>
  </si>
  <si>
    <t>Mycobacterium phage Indlulamithi</t>
  </si>
  <si>
    <t>MN585993</t>
  </si>
  <si>
    <t>Inhavirus</t>
  </si>
  <si>
    <t>Nonlabens phage P12024S</t>
  </si>
  <si>
    <t>JQ823123</t>
  </si>
  <si>
    <t>JQ823122</t>
  </si>
  <si>
    <t>Iodovirus</t>
  </si>
  <si>
    <t>Iodobacter phage PhiPLPE</t>
  </si>
  <si>
    <t>EU876853</t>
  </si>
  <si>
    <t>Ionavirus</t>
  </si>
  <si>
    <t>Delftia phage PhiW-14</t>
  </si>
  <si>
    <t>GQ357915</t>
  </si>
  <si>
    <t>Isoldevirus</t>
  </si>
  <si>
    <t>Arthrobacter phage Isolde</t>
  </si>
  <si>
    <t>MH910037</t>
  </si>
  <si>
    <t>Ittyvirus</t>
  </si>
  <si>
    <t>Pseudomonas phage Itty13</t>
  </si>
  <si>
    <t>MW460249</t>
  </si>
  <si>
    <t>Jacevirus</t>
  </si>
  <si>
    <t>Gordonia phage Jace</t>
  </si>
  <si>
    <t>MH153804</t>
  </si>
  <si>
    <t>Jarrellvirus</t>
  </si>
  <si>
    <t>Bacillus phage BCASJ1c</t>
  </si>
  <si>
    <t>AY616446</t>
  </si>
  <si>
    <t>Jasminevirus</t>
  </si>
  <si>
    <t>Arthrobacter phage Adat</t>
  </si>
  <si>
    <t>MF668266</t>
  </si>
  <si>
    <t>Arthrobacter phage Jasmine</t>
  </si>
  <si>
    <t>KU160650</t>
  </si>
  <si>
    <t>Jedunavirus</t>
  </si>
  <si>
    <t>Klebsiella phage JD001</t>
  </si>
  <si>
    <t>JX866719</t>
  </si>
  <si>
    <t>Klebsiella phage vB_KpnM_KpV79</t>
  </si>
  <si>
    <t>MF663761</t>
  </si>
  <si>
    <t>Klebsiella phage vB_KpnM_KpV52</t>
  </si>
  <si>
    <t>KX237516</t>
  </si>
  <si>
    <t>Jenstvirus</t>
  </si>
  <si>
    <t>Brevibacillus phage Jenst</t>
  </si>
  <si>
    <t>KT151955</t>
  </si>
  <si>
    <t>Jimmervirus</t>
  </si>
  <si>
    <t>Brevibacillus phage Jimmer2</t>
  </si>
  <si>
    <t>KC595514</t>
  </si>
  <si>
    <t>Brevibacillus phage Osiris</t>
  </si>
  <si>
    <t>KT151956</t>
  </si>
  <si>
    <t>Jouyvirus</t>
  </si>
  <si>
    <t>Escherichia phage ev017</t>
  </si>
  <si>
    <t>LR597643</t>
  </si>
  <si>
    <t>Escherichia phage ev207</t>
  </si>
  <si>
    <t>LR597636</t>
  </si>
  <si>
    <t>Escherichia phage 1H12</t>
  </si>
  <si>
    <t>LR595850</t>
  </si>
  <si>
    <t>Juiceboxvirus</t>
  </si>
  <si>
    <t>Corynebacterium phage Juicebox</t>
  </si>
  <si>
    <t>MH727550</t>
  </si>
  <si>
    <t>Jujuvirus</t>
  </si>
  <si>
    <t>Gordonia phage Azula</t>
  </si>
  <si>
    <t>MT723935</t>
  </si>
  <si>
    <t>Gordonia phage Blino</t>
  </si>
  <si>
    <t>MW291016</t>
  </si>
  <si>
    <t>Gordonia phage Frokostdame</t>
  </si>
  <si>
    <t>MH536818</t>
  </si>
  <si>
    <t>Gordonia phage JuJu</t>
  </si>
  <si>
    <t>MN062704</t>
  </si>
  <si>
    <t>Gordonia phage Petra</t>
  </si>
  <si>
    <t>MH153808</t>
  </si>
  <si>
    <t>Gordonia phage Walrus</t>
  </si>
  <si>
    <t>MK501729</t>
  </si>
  <si>
    <t>Junavirus</t>
  </si>
  <si>
    <t>Lactobacillus phage J-1</t>
  </si>
  <si>
    <t>KC171646</t>
  </si>
  <si>
    <t>Lactobacillus phage LJ</t>
  </si>
  <si>
    <t>MF999224</t>
  </si>
  <si>
    <t>Lactobacillus phage PL-1</t>
  </si>
  <si>
    <t>KC171647</t>
  </si>
  <si>
    <t>Kafunavirus</t>
  </si>
  <si>
    <t>Edwardsiella phage KF-1</t>
  </si>
  <si>
    <t>AB757800</t>
  </si>
  <si>
    <t>Kairosalinivirus</t>
  </si>
  <si>
    <t>Salinibacter phage M31CR41-2</t>
  </si>
  <si>
    <t>MF580961</t>
  </si>
  <si>
    <t>Salinibacter phage SRUTV-1</t>
  </si>
  <si>
    <t>MF629150</t>
  </si>
  <si>
    <t>Kamchatkavirus</t>
  </si>
  <si>
    <t>Aeribacillus phage AP45</t>
  </si>
  <si>
    <t>KX965989</t>
  </si>
  <si>
    <t>Kelleziovirus</t>
  </si>
  <si>
    <t>Arthrobacter phage KellEzio</t>
  </si>
  <si>
    <t>KU647626</t>
  </si>
  <si>
    <t>Arthrobacter phage Kitkat</t>
  </si>
  <si>
    <t>KU647627</t>
  </si>
  <si>
    <t>Kelquatrovirus</t>
  </si>
  <si>
    <t>Burkholderia phage vB_BmuP_KL4</t>
  </si>
  <si>
    <t>MH128984</t>
  </si>
  <si>
    <t>Kenyattavirus</t>
  </si>
  <si>
    <t>Bacillus phage vB_BcoS-136</t>
  </si>
  <si>
    <t>MH884508</t>
  </si>
  <si>
    <t>Kilunavirus</t>
  </si>
  <si>
    <t>Burkholderia phage vB_BceS_KL1</t>
  </si>
  <si>
    <t>JF939047</t>
  </si>
  <si>
    <t>Kimonavirus</t>
  </si>
  <si>
    <t>Mycobacterium phage Kimona</t>
  </si>
  <si>
    <t>MF472895</t>
  </si>
  <si>
    <t>Klausavirus</t>
  </si>
  <si>
    <t>Arthrobacter phage vB_ArtM-ArV1</t>
  </si>
  <si>
    <t>KM879463</t>
  </si>
  <si>
    <t>Arthrobacter phage Colucci</t>
  </si>
  <si>
    <t>MF185718</t>
  </si>
  <si>
    <t>Arthrobacter phage DrYang</t>
  </si>
  <si>
    <t>MN703411</t>
  </si>
  <si>
    <t>Arthrobacter phage KBurrousTX</t>
  </si>
  <si>
    <t>MH744419</t>
  </si>
  <si>
    <t>Arthrobacter phage Lymara</t>
  </si>
  <si>
    <t>MN234234</t>
  </si>
  <si>
    <t>Arthrobacter phage PrincessTrina</t>
  </si>
  <si>
    <t>KU160660</t>
  </si>
  <si>
    <t>Kleczkowskavirus</t>
  </si>
  <si>
    <t>Rhizobium phage RHEph04</t>
  </si>
  <si>
    <t>JX483876</t>
  </si>
  <si>
    <t>Klementvirus</t>
  </si>
  <si>
    <t>Xanthomonas phage CP1</t>
  </si>
  <si>
    <t>AB720063</t>
  </si>
  <si>
    <t>Knuthellervirus</t>
  </si>
  <si>
    <t>Pseudomonas phage PMBT14</t>
  </si>
  <si>
    <t>MG596800</t>
  </si>
  <si>
    <t>Kochitakasuvirus</t>
  </si>
  <si>
    <t>Pseudomonas phage KPP25</t>
  </si>
  <si>
    <t>AB910393</t>
  </si>
  <si>
    <t>Pseudomonas phage PhiR18</t>
  </si>
  <si>
    <t>LC102729</t>
  </si>
  <si>
    <t>Kojivirus</t>
  </si>
  <si>
    <t>Microbacterium phage Golden</t>
  </si>
  <si>
    <t>MG925343</t>
  </si>
  <si>
    <t>Microbacterium phage Koji</t>
  </si>
  <si>
    <t>MG925345</t>
  </si>
  <si>
    <t>Konstantinevirus</t>
  </si>
  <si>
    <t>Mycobacterium phage Konstantine</t>
  </si>
  <si>
    <t>FJ174691</t>
  </si>
  <si>
    <t>Korravirus</t>
  </si>
  <si>
    <t>Arthrobacter phage Bennie</t>
  </si>
  <si>
    <t>KU160640</t>
  </si>
  <si>
    <t>Arthrobacter phage BigMack</t>
  </si>
  <si>
    <t>MK112529</t>
  </si>
  <si>
    <t>Arthrobacter phage DrRobert</t>
  </si>
  <si>
    <t>KU160643</t>
  </si>
  <si>
    <t>Arthrobacter phage Gisselle</t>
  </si>
  <si>
    <t>MT498050</t>
  </si>
  <si>
    <t>Arthrobacter phage Glenn</t>
  </si>
  <si>
    <t>KU160645</t>
  </si>
  <si>
    <t>Arthrobacter phage GreenHearts</t>
  </si>
  <si>
    <t>MK279854</t>
  </si>
  <si>
    <t>Arthrobacter phage Greenhouse</t>
  </si>
  <si>
    <t>KX688103</t>
  </si>
  <si>
    <t>Arthrobacter phage HunterDalle</t>
  </si>
  <si>
    <t>KU160648</t>
  </si>
  <si>
    <t>Arthrobacter phage Huntingdon</t>
  </si>
  <si>
    <t>MG210949</t>
  </si>
  <si>
    <t>Arthrobacter phage Joann</t>
  </si>
  <si>
    <t>KU160652</t>
  </si>
  <si>
    <t>Arthrobacter phage Kittykat</t>
  </si>
  <si>
    <t>MW314848</t>
  </si>
  <si>
    <t>Arthrobacter phage Korra</t>
  </si>
  <si>
    <t>KU160653</t>
  </si>
  <si>
    <t>Arthrobacter phage Litotes</t>
  </si>
  <si>
    <t>MK279863</t>
  </si>
  <si>
    <t>Arthrobacter phage MamaPearl</t>
  </si>
  <si>
    <t>MT498045</t>
  </si>
  <si>
    <t>Arthrobacter phage Nubia</t>
  </si>
  <si>
    <t>MF140424</t>
  </si>
  <si>
    <t>Arthrobacter phage Oxynfrius</t>
  </si>
  <si>
    <t>KX688102</t>
  </si>
  <si>
    <t>Arthrobacter phage Preamble</t>
  </si>
  <si>
    <t>KU160659</t>
  </si>
  <si>
    <t>Arthrobacter phage Pumancara</t>
  </si>
  <si>
    <t>KU160661</t>
  </si>
  <si>
    <t>Arthrobacter phage Sergei</t>
  </si>
  <si>
    <t>MH450131</t>
  </si>
  <si>
    <t>Arthrobacter phage Urla</t>
  </si>
  <si>
    <t>MG198779</t>
  </si>
  <si>
    <t>Arthrobacter phage Wawa</t>
  </si>
  <si>
    <t>MK279892</t>
  </si>
  <si>
    <t>Arthrobacter phage Wayne</t>
  </si>
  <si>
    <t>KU160672</t>
  </si>
  <si>
    <t>Kostyavirus</t>
  </si>
  <si>
    <t>Mycobacterium phage Bask21</t>
  </si>
  <si>
    <t>JF937091</t>
  </si>
  <si>
    <t>Mycobacterium phage CJW1</t>
  </si>
  <si>
    <t>AY129331</t>
  </si>
  <si>
    <t>Mycobacterium phage Eureka</t>
  </si>
  <si>
    <t>JN412590</t>
  </si>
  <si>
    <t>Mycobacterium phage Kostya</t>
  </si>
  <si>
    <t>EU816591</t>
  </si>
  <si>
    <t>Mycobacterium phage 244</t>
  </si>
  <si>
    <t>DQ398041</t>
  </si>
  <si>
    <t>Mycobacterium phage Porky</t>
  </si>
  <si>
    <t>EU816588</t>
  </si>
  <si>
    <t>Mycobacterium phage Pumpkin</t>
  </si>
  <si>
    <t>GQ303265</t>
  </si>
  <si>
    <t>Mycobacterium phage SirDuracell</t>
  </si>
  <si>
    <t>JF937106</t>
  </si>
  <si>
    <t>Mycobacterium phage Toto</t>
  </si>
  <si>
    <t>JN006061</t>
  </si>
  <si>
    <t>Kozyakovvirus</t>
  </si>
  <si>
    <t>Anabaena phage A-4L</t>
  </si>
  <si>
    <t>KF356198</t>
  </si>
  <si>
    <t>Krampusvirus</t>
  </si>
  <si>
    <t>Microbacterium phage Krampus</t>
  </si>
  <si>
    <t>MH271301</t>
  </si>
  <si>
    <t>Kroosvirus</t>
  </si>
  <si>
    <t>Gordonia phage Ashertheman</t>
  </si>
  <si>
    <t>MH651168</t>
  </si>
  <si>
    <t>Gordonia phage Bizzy</t>
  </si>
  <si>
    <t>MH976509</t>
  </si>
  <si>
    <t>Gordonia phage Gaea</t>
  </si>
  <si>
    <t>MH976511</t>
  </si>
  <si>
    <t>Gordonia phage JKSyngboy</t>
  </si>
  <si>
    <t>MT723937</t>
  </si>
  <si>
    <t>Gordonia phage Kroos</t>
  </si>
  <si>
    <t>MH976513</t>
  </si>
  <si>
    <t>Gordonia phage Ribeye</t>
  </si>
  <si>
    <t>MH450129</t>
  </si>
  <si>
    <t>Gordonia phage Tangerine</t>
  </si>
  <si>
    <t>MK967396</t>
  </si>
  <si>
    <t>Gordonia phage YorkOnyx</t>
  </si>
  <si>
    <t>MT723941</t>
  </si>
  <si>
    <t>Krylovvirus</t>
  </si>
  <si>
    <t>Pseudomonas phage tf</t>
  </si>
  <si>
    <t>HE611333</t>
  </si>
  <si>
    <t>Kryptosalinivirus</t>
  </si>
  <si>
    <t>Salinibacter phage M8CC-19</t>
  </si>
  <si>
    <t>MF580956</t>
  </si>
  <si>
    <t>Salinibacter phage M8CRM-1</t>
  </si>
  <si>
    <t>MF580959</t>
  </si>
  <si>
    <t>Kuleanavirus</t>
  </si>
  <si>
    <t>Arthrobacter phage Kuleana</t>
  </si>
  <si>
    <t>MN484600</t>
  </si>
  <si>
    <t>Kumottavirus</t>
  </si>
  <si>
    <t>Arthrobacter phage Kumotta</t>
  </si>
  <si>
    <t>MK977703</t>
  </si>
  <si>
    <t>Arthrobacter phage MargaretKali</t>
  </si>
  <si>
    <t>MH450123</t>
  </si>
  <si>
    <t>Kungbxnavirus</t>
  </si>
  <si>
    <t>Tenacibaculum phage pT24</t>
  </si>
  <si>
    <t>LC168164</t>
  </si>
  <si>
    <t>Kunmingvirus</t>
  </si>
  <si>
    <t>Aeromonas phage 2_D05</t>
  </si>
  <si>
    <t>MK804891</t>
  </si>
  <si>
    <t>Aeromonas phage 4_D05</t>
  </si>
  <si>
    <t>MK804892</t>
  </si>
  <si>
    <t>Kylevirus</t>
  </si>
  <si>
    <t>Panteoa phage Kyle</t>
  </si>
  <si>
    <t>MN038177</t>
  </si>
  <si>
    <t>Lacnuvirus</t>
  </si>
  <si>
    <t>Lactobacillus phage Lc-Nu</t>
  </si>
  <si>
    <t>AY131267</t>
  </si>
  <si>
    <t>Lacusarxvirus</t>
  </si>
  <si>
    <t>Sphingobium phage Lacusarx</t>
  </si>
  <si>
    <t>KY629563</t>
  </si>
  <si>
    <t>Lafunavirus</t>
  </si>
  <si>
    <t>Lactobacillus phage LF1</t>
  </si>
  <si>
    <t>HQ141410</t>
  </si>
  <si>
    <t>Lagaffevirus</t>
  </si>
  <si>
    <t>Faecalibacterium phage FP_Lagaffe</t>
  </si>
  <si>
    <t>MG711461</t>
  </si>
  <si>
    <t>Lahexavirus</t>
  </si>
  <si>
    <t>Aeromonas phage LAh_6</t>
  </si>
  <si>
    <t>MK838112</t>
  </si>
  <si>
    <t>Aeromonas phage LAh_8</t>
  </si>
  <si>
    <t>MK838114</t>
  </si>
  <si>
    <t>Aeromonas phage LAh_9</t>
  </si>
  <si>
    <t>MK838115</t>
  </si>
  <si>
    <t>Aeromonas phage 4_4572</t>
  </si>
  <si>
    <t>MK813943</t>
  </si>
  <si>
    <t>Lambdavirus</t>
  </si>
  <si>
    <t>Escherichia phage DE3</t>
  </si>
  <si>
    <t>EU078592</t>
  </si>
  <si>
    <t>Escherichia phage HK629</t>
  </si>
  <si>
    <t>JQ182735</t>
  </si>
  <si>
    <t>Escherichia phage HK630</t>
  </si>
  <si>
    <t>JQ086376</t>
  </si>
  <si>
    <t>Escherichia phage Lambda</t>
  </si>
  <si>
    <t>J02459</t>
  </si>
  <si>
    <t>Enterobacteria phage O276</t>
  </si>
  <si>
    <t>MH547045</t>
  </si>
  <si>
    <t>Lambovirus</t>
  </si>
  <si>
    <t>Gordonia phage Gibbin</t>
  </si>
  <si>
    <t>MN234190</t>
  </si>
  <si>
    <t>Gordonia phage Lambo</t>
  </si>
  <si>
    <t>MN234220</t>
  </si>
  <si>
    <t>Gordonia phage Ranch</t>
  </si>
  <si>
    <t>MN234207</t>
  </si>
  <si>
    <t>Gordonia phage Sadboi</t>
  </si>
  <si>
    <t>MN234232</t>
  </si>
  <si>
    <t>Gordonia phage Yikes</t>
  </si>
  <si>
    <t>MN586003</t>
  </si>
  <si>
    <t>Lanavirus</t>
  </si>
  <si>
    <t>Pseudomonas phage Lana</t>
  </si>
  <si>
    <t>MK473373</t>
  </si>
  <si>
    <t>Larmunavirus</t>
  </si>
  <si>
    <t>Lactobacillus phage Lrm1</t>
  </si>
  <si>
    <t>EU246945</t>
  </si>
  <si>
    <t>Laroyevirus</t>
  </si>
  <si>
    <t>Arthrobacter phage Laroye</t>
  </si>
  <si>
    <t>KU160654</t>
  </si>
  <si>
    <t>Arthrobacter phage LiSara</t>
  </si>
  <si>
    <t>MF140418</t>
  </si>
  <si>
    <t>Arthrobacter phage Salgado</t>
  </si>
  <si>
    <t>KU160664</t>
  </si>
  <si>
    <t>Arthrobacter phage Wheelbite</t>
  </si>
  <si>
    <t>MF140434</t>
  </si>
  <si>
    <t>Lastavirus</t>
  </si>
  <si>
    <t>Klebsiella phage LASTA</t>
  </si>
  <si>
    <t>MT251347</t>
  </si>
  <si>
    <t>Klebsiella phage SopranoGao</t>
  </si>
  <si>
    <t>MF612073</t>
  </si>
  <si>
    <t>Latrobevirus</t>
  </si>
  <si>
    <t>Fusobacterium phage FNU1</t>
  </si>
  <si>
    <t>MK554696</t>
  </si>
  <si>
    <t>Lederbergvirus</t>
  </si>
  <si>
    <t>Salmonella phage BTP1</t>
  </si>
  <si>
    <t>LT714109</t>
  </si>
  <si>
    <t>Enterobacteria phage HK620</t>
  </si>
  <si>
    <t>AF335538</t>
  </si>
  <si>
    <t>Salmonella phage P22</t>
  </si>
  <si>
    <t>BK000583</t>
  </si>
  <si>
    <t>Salmonella phage SE1Spa</t>
  </si>
  <si>
    <t>DQ003260</t>
  </si>
  <si>
    <t>Shigella phage Sf6</t>
  </si>
  <si>
    <t>AF547987</t>
  </si>
  <si>
    <t>Salmonella phage ST64T</t>
  </si>
  <si>
    <t>AY052766</t>
  </si>
  <si>
    <t>Leicestervirus</t>
  </si>
  <si>
    <t>Clostridium phage phiCD111</t>
  </si>
  <si>
    <t>LN681535</t>
  </si>
  <si>
    <t>Clostridium phage phiCD146</t>
  </si>
  <si>
    <t>LN681536</t>
  </si>
  <si>
    <t>Clostridium phage phiCD38-2</t>
  </si>
  <si>
    <t>HM568888</t>
  </si>
  <si>
    <t>Lentavirus</t>
  </si>
  <si>
    <t>Eggerthella phage PMBT5</t>
  </si>
  <si>
    <t>MH626557</t>
  </si>
  <si>
    <t>Leonardvirus</t>
  </si>
  <si>
    <t>Gordonia phage Ali17</t>
  </si>
  <si>
    <t>MH669000</t>
  </si>
  <si>
    <t>Gordonia phage EMoore</t>
  </si>
  <si>
    <t>MN586047</t>
  </si>
  <si>
    <t>Gordonia phage Leonard</t>
  </si>
  <si>
    <t>MN586026</t>
  </si>
  <si>
    <t>Gordonia phage MelBins</t>
  </si>
  <si>
    <t>MN586028</t>
  </si>
  <si>
    <t>Lessievirus</t>
  </si>
  <si>
    <t>Burkholderia phage Bcep22</t>
  </si>
  <si>
    <t>AY349011</t>
  </si>
  <si>
    <t>Burkholderia phage BcepIL02</t>
  </si>
  <si>
    <t>FJ937737</t>
  </si>
  <si>
    <t>Burkholderia phage BcepMigl</t>
  </si>
  <si>
    <t>JX104231</t>
  </si>
  <si>
    <t>Burkholderia phage DC1</t>
  </si>
  <si>
    <t>JN662425</t>
  </si>
  <si>
    <t>Lietduovirus</t>
  </si>
  <si>
    <t>Pantoea phage vB_PagM_LIET2</t>
  </si>
  <si>
    <t>MK388689</t>
  </si>
  <si>
    <t>Lightbulbvirus</t>
  </si>
  <si>
    <t>Cellulophaga phage phi17:2</t>
  </si>
  <si>
    <t>KC821609</t>
  </si>
  <si>
    <t>Cellulophaga phage phi4:1</t>
  </si>
  <si>
    <t>KC821632</t>
  </si>
  <si>
    <t>Lilbeanievirus</t>
  </si>
  <si>
    <t>Gordonia phage Lilbeanie</t>
  </si>
  <si>
    <t>MW314850</t>
  </si>
  <si>
    <t>Lillamyvirus</t>
  </si>
  <si>
    <t>vB_FspS_hemulen6-1</t>
  </si>
  <si>
    <t>MN812208</t>
  </si>
  <si>
    <t>vB_FspS_lillamy9-1</t>
  </si>
  <si>
    <t>MN812212</t>
  </si>
  <si>
    <t>vB_FspS_morran9-1</t>
  </si>
  <si>
    <t>MN812219</t>
  </si>
  <si>
    <t>vB_FspS_sniff9-1</t>
  </si>
  <si>
    <t>MN812229</t>
  </si>
  <si>
    <t>vB_FspS_snork6-1</t>
  </si>
  <si>
    <t>MN812231</t>
  </si>
  <si>
    <t>vB_FspS_stinky9-1</t>
  </si>
  <si>
    <t>MN812238</t>
  </si>
  <si>
    <t>Lilyvirus</t>
  </si>
  <si>
    <t>Bacteriophage Lily</t>
  </si>
  <si>
    <t>KP296792</t>
  </si>
  <si>
    <t>Llyrvirus</t>
  </si>
  <si>
    <t>Synechococcus phage S-SKS1</t>
  </si>
  <si>
    <t>HQ633071</t>
  </si>
  <si>
    <t>Lokivirus</t>
  </si>
  <si>
    <t>Acinetobacter phage IMEAB3</t>
  </si>
  <si>
    <t>KF811200</t>
  </si>
  <si>
    <t>Acinetobacter phage Loki</t>
  </si>
  <si>
    <t>LN890663</t>
  </si>
  <si>
    <t>Lomovskayavirus</t>
  </si>
  <si>
    <t>Streptomyces phage phiBT1</t>
  </si>
  <si>
    <t>AJ550940</t>
  </si>
  <si>
    <t>Streptomyces phage phi-C31</t>
  </si>
  <si>
    <t>AJ006589</t>
  </si>
  <si>
    <t>Loughboroughvirus</t>
  </si>
  <si>
    <t>Salmonella phage ZCSE2</t>
  </si>
  <si>
    <t>MK673511</t>
  </si>
  <si>
    <t>Lubbockvirus</t>
  </si>
  <si>
    <t>Clostridium phage phi CD119</t>
  </si>
  <si>
    <t>AY855346</t>
  </si>
  <si>
    <t>Clostridium phage phiCDHM19</t>
  </si>
  <si>
    <t>LK985322</t>
  </si>
  <si>
    <t>Luchadorvirus</t>
  </si>
  <si>
    <t>Mycobacterium phage Gail</t>
  </si>
  <si>
    <t>MT522004</t>
  </si>
  <si>
    <t>Mycobacterium phage Jeeves</t>
  </si>
  <si>
    <t>MN310541</t>
  </si>
  <si>
    <t>Mycobacterium phage Luchador</t>
  </si>
  <si>
    <t>KR080193</t>
  </si>
  <si>
    <t>Luckybarnesvirus</t>
  </si>
  <si>
    <t>Brevibacterium phage LuckyBarnes</t>
  </si>
  <si>
    <t>MF668275</t>
  </si>
  <si>
    <t>Luckytenvirus</t>
  </si>
  <si>
    <t>Gordonia phage Lucky10</t>
  </si>
  <si>
    <t>KU963256</t>
  </si>
  <si>
    <t>Ludhianavirus</t>
  </si>
  <si>
    <t>Aeromonas phage D3</t>
  </si>
  <si>
    <t>MN102098</t>
  </si>
  <si>
    <t>Aeromonas phage D6</t>
  </si>
  <si>
    <t>MN131137</t>
  </si>
  <si>
    <t>Aeromonas phage LAh10</t>
  </si>
  <si>
    <t>MK838116</t>
  </si>
  <si>
    <t>Lughvirus</t>
  </si>
  <si>
    <t>Faecalibacterium phage FP_Lugh</t>
  </si>
  <si>
    <t>MG711464</t>
  </si>
  <si>
    <t>Lwoffvirus</t>
  </si>
  <si>
    <t>Bacillus phage vB_BtS_BMBtp2</t>
  </si>
  <si>
    <t>JX887877</t>
  </si>
  <si>
    <t>Bacillus phage TP21-L</t>
  </si>
  <si>
    <t>EU887664</t>
  </si>
  <si>
    <t>Maaswegvirus</t>
  </si>
  <si>
    <t>Klebsiella phage vB_KpM_FBKp24</t>
  </si>
  <si>
    <t>MW394391</t>
  </si>
  <si>
    <t>Macdonaldcampvirus</t>
  </si>
  <si>
    <t>Salmonella phage vB_SenS_SB28</t>
  </si>
  <si>
    <t>MK947460</t>
  </si>
  <si>
    <t>Salmonella phage Vi II-E1</t>
  </si>
  <si>
    <t>AM491472</t>
  </si>
  <si>
    <t>Machinavirus</t>
  </si>
  <si>
    <t>Erwinia phage Machina</t>
  </si>
  <si>
    <t>KX397370</t>
  </si>
  <si>
    <t>Magadivirus</t>
  </si>
  <si>
    <t>Bacillus phage Mgbh1</t>
  </si>
  <si>
    <t>KU665491</t>
  </si>
  <si>
    <t>Magiavirus</t>
  </si>
  <si>
    <t>Burkholderia phage Magia</t>
  </si>
  <si>
    <t>MT701587</t>
  </si>
  <si>
    <t>Majavirus</t>
  </si>
  <si>
    <t>Arthrobacter phage Maja</t>
  </si>
  <si>
    <t>MK279899</t>
  </si>
  <si>
    <t>Manovirus</t>
  </si>
  <si>
    <t>Achromobacter phage Mano</t>
  </si>
  <si>
    <t>MT708550</t>
  </si>
  <si>
    <t>Mapvirus</t>
  </si>
  <si>
    <t>Mycobacterium phage FF47</t>
  </si>
  <si>
    <t>JX901189</t>
  </si>
  <si>
    <t>Mycobacterium phage Muddy</t>
  </si>
  <si>
    <t>KF024728</t>
  </si>
  <si>
    <t>Mardecavirus</t>
  </si>
  <si>
    <t>Vibrio phage vB_VpaS_ MAR10</t>
  </si>
  <si>
    <t>JX556418</t>
  </si>
  <si>
    <t>Vibrio phage SSP002</t>
  </si>
  <si>
    <t>JQ692107</t>
  </si>
  <si>
    <t>Mareflavirus</t>
  </si>
  <si>
    <t>Alteromonas phage ZP6</t>
  </si>
  <si>
    <t>ZP6</t>
  </si>
  <si>
    <t>MK203850</t>
  </si>
  <si>
    <t>Marfavirus</t>
  </si>
  <si>
    <t>Klebsiella phage vB_Kpn_F48</t>
  </si>
  <si>
    <t>MG746602</t>
  </si>
  <si>
    <t>Klebsiella phage Marfa</t>
  </si>
  <si>
    <t>MN044033</t>
  </si>
  <si>
    <t>Marienburgvirus</t>
  </si>
  <si>
    <t>Enterobacteria phage BP-4795</t>
  </si>
  <si>
    <t>AJ556162</t>
  </si>
  <si>
    <t>Escherichia phage JLK-2012</t>
  </si>
  <si>
    <t>JQ347801</t>
  </si>
  <si>
    <t>Marthavirus</t>
  </si>
  <si>
    <t>Arthrobacter phage BarretLemon</t>
  </si>
  <si>
    <t>KU647629</t>
  </si>
  <si>
    <t>Arthrobacter phage Beans</t>
  </si>
  <si>
    <t>MF324907</t>
  </si>
  <si>
    <t>Arthrobacter phage Brent</t>
  </si>
  <si>
    <t>KT365401</t>
  </si>
  <si>
    <t>Arthrobacter phage Jawnski</t>
  </si>
  <si>
    <t>KU160651</t>
  </si>
  <si>
    <t>Arthrobacter phage Martha</t>
  </si>
  <si>
    <t>KU160656</t>
  </si>
  <si>
    <t>Arthrobacter phage Piccoletto</t>
  </si>
  <si>
    <t>MF189177</t>
  </si>
  <si>
    <t>Arthrobacter phage Shade</t>
  </si>
  <si>
    <t>MF189178</t>
  </si>
  <si>
    <t>Arthrobacter phage Zartrosa</t>
  </si>
  <si>
    <t>MN183279</t>
  </si>
  <si>
    <t>Marvinvirus</t>
  </si>
  <si>
    <t>Mycobacterium phage Marvin</t>
  </si>
  <si>
    <t>JF704100</t>
  </si>
  <si>
    <t>Mycobacterium phage MosMoris</t>
  </si>
  <si>
    <t>KJ538721</t>
  </si>
  <si>
    <t>Maxrubnervirus</t>
  </si>
  <si>
    <t>Pseudomonas phage PMBT3</t>
  </si>
  <si>
    <t>MG596799</t>
  </si>
  <si>
    <t>Mcgonagallvirus</t>
  </si>
  <si>
    <t>Gordonia phage McGonagall</t>
  </si>
  <si>
    <t>KU998255</t>
  </si>
  <si>
    <t>Meadowvirus</t>
  </si>
  <si>
    <t>Erwinia phage AH04</t>
  </si>
  <si>
    <t>MZ501267</t>
  </si>
  <si>
    <t>Mementomorivirus</t>
  </si>
  <si>
    <t>Microbacterium phage MementoMori</t>
  </si>
  <si>
    <t>MH271303</t>
  </si>
  <si>
    <t>Menderavirus</t>
  </si>
  <si>
    <t>Stenotrophomonas phage IME-SM1</t>
  </si>
  <si>
    <t>KR560069</t>
  </si>
  <si>
    <t>Stenotrophomonas phage Mendera</t>
  </si>
  <si>
    <t>MN098328</t>
  </si>
  <si>
    <t>Stenotrophomonas phage Moby</t>
  </si>
  <si>
    <t>MN095772</t>
  </si>
  <si>
    <t>Stenotrophomonas maltophilia phage vB_SmaM_Ps15</t>
  </si>
  <si>
    <t>OL702939</t>
  </si>
  <si>
    <t>Metamorphoovirus</t>
  </si>
  <si>
    <t>Microbacterium phage Fireman</t>
  </si>
  <si>
    <t>MK524510</t>
  </si>
  <si>
    <t>Microbacterium phage Metamorphoo</t>
  </si>
  <si>
    <t>MH271304</t>
  </si>
  <si>
    <t>Microbacterium phage RobsFeet</t>
  </si>
  <si>
    <t>MH271312</t>
  </si>
  <si>
    <t>Metrivirus</t>
  </si>
  <si>
    <t>Acinetobacter phage vB_AbaM_ME3</t>
  </si>
  <si>
    <t>KU935715</t>
  </si>
  <si>
    <t>Miamivirus</t>
  </si>
  <si>
    <t>Klebsiella phage Miami</t>
  </si>
  <si>
    <t>MT701590</t>
  </si>
  <si>
    <t>Micavirus</t>
  </si>
  <si>
    <t>Burkholderia phage Mica</t>
  </si>
  <si>
    <t>MT701586</t>
  </si>
  <si>
    <t>Microwolfvirus</t>
  </si>
  <si>
    <t>Mycobacterium phage Bxz2</t>
  </si>
  <si>
    <t>AY129332</t>
  </si>
  <si>
    <t>Mycobacterium phage JHC117</t>
  </si>
  <si>
    <t>JF704098</t>
  </si>
  <si>
    <t>Mycobacterium phage Microwolf</t>
  </si>
  <si>
    <t>JF704101</t>
  </si>
  <si>
    <t>Mycobacterium phage Purple Haze</t>
  </si>
  <si>
    <t>KY965063</t>
  </si>
  <si>
    <t>Mycobacterium phage SoilDragon</t>
  </si>
  <si>
    <t>MN062718</t>
  </si>
  <si>
    <t>Mycobacterium phage Wonder</t>
  </si>
  <si>
    <t>HM755814</t>
  </si>
  <si>
    <t>Mycobacterium phage Zetzy</t>
  </si>
  <si>
    <t>MK279903</t>
  </si>
  <si>
    <t>Midgardsormrvirus</t>
  </si>
  <si>
    <t>Erwinia phage Midgardsormr38</t>
  </si>
  <si>
    <t>MN602881</t>
  </si>
  <si>
    <t>Mieseafarmvirus</t>
  </si>
  <si>
    <t>Ralstonia phage phiRSL1</t>
  </si>
  <si>
    <t>AB366653</t>
  </si>
  <si>
    <t>Miltoncavirus</t>
  </si>
  <si>
    <t>Pseudomonas phage PhiPA3</t>
  </si>
  <si>
    <t>HQ630627</t>
  </si>
  <si>
    <t>Mimasvirus</t>
  </si>
  <si>
    <t>Pectinobbacterium phage vB_PcaM_CBB</t>
  </si>
  <si>
    <t>KU574722</t>
  </si>
  <si>
    <t>Cronobacter phage vB_CsaM_GAP32</t>
  </si>
  <si>
    <t>JN882285</t>
  </si>
  <si>
    <t>Minunavirus</t>
  </si>
  <si>
    <t>Microbacterium phage Min1</t>
  </si>
  <si>
    <t>EF579802</t>
  </si>
  <si>
    <t>Moabitevirus</t>
  </si>
  <si>
    <t>Serratia phage Moabite</t>
  </si>
  <si>
    <t>MK994515</t>
  </si>
  <si>
    <t>Serratia phage vB_SmaM_ 2050HW</t>
  </si>
  <si>
    <t>MF285618</t>
  </si>
  <si>
    <t>Mohonavirus</t>
  </si>
  <si>
    <t>Vibrio phage ICP1</t>
  </si>
  <si>
    <t>HQ641347</t>
  </si>
  <si>
    <t>Mollymurvirus</t>
  </si>
  <si>
    <t>Gordonia phage Mollymur</t>
  </si>
  <si>
    <t>MK977705</t>
  </si>
  <si>
    <t>Montyvirus</t>
  </si>
  <si>
    <t>Gordonia phage Adgers</t>
  </si>
  <si>
    <t>MG757152</t>
  </si>
  <si>
    <t>Gordonia phage Beaver</t>
  </si>
  <si>
    <t>MK967390</t>
  </si>
  <si>
    <t>Gordonia phage Birksandsocks</t>
  </si>
  <si>
    <t>MG099940</t>
  </si>
  <si>
    <t>Gordonia phage Chelms</t>
  </si>
  <si>
    <t>MK801733</t>
  </si>
  <si>
    <t>Gordonia phage Flakey</t>
  </si>
  <si>
    <t>MG770211</t>
  </si>
  <si>
    <t>Gordonia phage Jellybones</t>
  </si>
  <si>
    <t>MN444874</t>
  </si>
  <si>
    <t>Gordonia phage John316</t>
  </si>
  <si>
    <t>MN945905</t>
  </si>
  <si>
    <t>Gordonia phage Monty</t>
  </si>
  <si>
    <t>KU998241</t>
  </si>
  <si>
    <t>Gordonia phage Sombrero</t>
  </si>
  <si>
    <t>MK359302</t>
  </si>
  <si>
    <t>Gordonia phage SteveFrench</t>
  </si>
  <si>
    <t>MG770214</t>
  </si>
  <si>
    <t>Moturavirus</t>
  </si>
  <si>
    <t>Achromobacter phage Motura</t>
  </si>
  <si>
    <t>MN094788</t>
  </si>
  <si>
    <t>Mudcatvirus</t>
  </si>
  <si>
    <t>Arthrobacter phage Arcadia</t>
  </si>
  <si>
    <t>MF189170</t>
  </si>
  <si>
    <t>Arthrobacter phage Cheesy</t>
  </si>
  <si>
    <t>MF324906</t>
  </si>
  <si>
    <t>Arthrobacter phage Circum</t>
  </si>
  <si>
    <t>KU160642</t>
  </si>
  <si>
    <t>Arthrobacter phage Correa</t>
  </si>
  <si>
    <t>MF189171</t>
  </si>
  <si>
    <t>Arthrobacter phage Dynamite</t>
  </si>
  <si>
    <t>MZ747520</t>
  </si>
  <si>
    <t>Arthrobacter phage Heisenberger</t>
  </si>
  <si>
    <t>MF189173</t>
  </si>
  <si>
    <t>Arthrobacter phage JEGGS</t>
  </si>
  <si>
    <t>MK967398</t>
  </si>
  <si>
    <t>Arthrobacter phage Kardesai</t>
  </si>
  <si>
    <t>MZ209300</t>
  </si>
  <si>
    <t>Arthrobacter phage KeaneyLin</t>
  </si>
  <si>
    <t>MH450120</t>
  </si>
  <si>
    <t>Arthrobacter phage Mudcat</t>
  </si>
  <si>
    <t>KU647628</t>
  </si>
  <si>
    <t>Arthrobacter phage Tribby</t>
  </si>
  <si>
    <t>MF189175</t>
  </si>
  <si>
    <t>Arthrobacter phage Xenomorph</t>
  </si>
  <si>
    <t>MK919473</t>
  </si>
  <si>
    <t>Mufasoctovirus</t>
  </si>
  <si>
    <t>Arthrobacter phage Mufasa8</t>
  </si>
  <si>
    <t>MN586027</t>
  </si>
  <si>
    <t>Muldoonvirus</t>
  </si>
  <si>
    <t>Serratia phage Muldoon</t>
  </si>
  <si>
    <t>MN095771</t>
  </si>
  <si>
    <t>Serratia phage PS2</t>
  </si>
  <si>
    <t>KJ025957</t>
  </si>
  <si>
    <t>Muminvirus</t>
  </si>
  <si>
    <t>vB_FspS_filifjonk9-1</t>
  </si>
  <si>
    <t>MN812206</t>
  </si>
  <si>
    <t>vB_FspS_mumin9-1</t>
  </si>
  <si>
    <t>MN812224</t>
  </si>
  <si>
    <t>vB_FspS_mymlan6-1</t>
  </si>
  <si>
    <t>MN812227</t>
  </si>
  <si>
    <t>vB_FspS_snusmum6-1</t>
  </si>
  <si>
    <t>MN812234</t>
  </si>
  <si>
    <t>vB_FspS_tooticki6-1</t>
  </si>
  <si>
    <t>MN812240</t>
  </si>
  <si>
    <t>Murrayvirus</t>
  </si>
  <si>
    <t>Enterobacteria phage IME_EC2</t>
  </si>
  <si>
    <t>KF591601</t>
  </si>
  <si>
    <t>Salmonella phage Lumpael</t>
  </si>
  <si>
    <t>MK125141</t>
  </si>
  <si>
    <t>Mushuvirus</t>
  </si>
  <si>
    <t>Faecalibacterium phage FP_Mushu</t>
  </si>
  <si>
    <t>MG711460</t>
  </si>
  <si>
    <t>Muvirus</t>
  </si>
  <si>
    <t>Escherichia phage Mu</t>
  </si>
  <si>
    <t>AF083977</t>
  </si>
  <si>
    <t>Shigella phage SfMu</t>
  </si>
  <si>
    <t>KP010268</t>
  </si>
  <si>
    <t>Mycoabscvirus</t>
  </si>
  <si>
    <t>Mycobacterium phage phiT46-1</t>
  </si>
  <si>
    <t>MW353181</t>
  </si>
  <si>
    <t>Myoalterovirus</t>
  </si>
  <si>
    <t>vB_AmeM_PT11-V22</t>
  </si>
  <si>
    <t>V22</t>
  </si>
  <si>
    <t>MN877442</t>
  </si>
  <si>
    <t>Myosmarvirus</t>
  </si>
  <si>
    <t>Serratia phage MTx</t>
  </si>
  <si>
    <t>MK618717</t>
  </si>
  <si>
    <t>Serratia phage MyoSmar</t>
  </si>
  <si>
    <t>MN062189</t>
  </si>
  <si>
    <t>Myradeevirus</t>
  </si>
  <si>
    <t>Mycobacterium phage MyraDee</t>
  </si>
  <si>
    <t>MF141539</t>
  </si>
  <si>
    <t>Myxoctovirus</t>
  </si>
  <si>
    <t>Myxococcus phage Mx8</t>
  </si>
  <si>
    <t>AF396866</t>
  </si>
  <si>
    <t>Naesvirus</t>
  </si>
  <si>
    <t>Burkholderia phage Bcep1</t>
  </si>
  <si>
    <t>AY369265</t>
  </si>
  <si>
    <t>Burkholderia phage Bcep43</t>
  </si>
  <si>
    <t>AY368235</t>
  </si>
  <si>
    <t>Burkholderia phage Bcep781</t>
  </si>
  <si>
    <t>AF543311</t>
  </si>
  <si>
    <t>Burkholderia phage BcepNY3</t>
  </si>
  <si>
    <t>EF602154</t>
  </si>
  <si>
    <t>Namazuvirus</t>
  </si>
  <si>
    <t>Ochrobactrum phage POI1126</t>
  </si>
  <si>
    <t>KY417925</t>
  </si>
  <si>
    <t>Nanhaivirus</t>
  </si>
  <si>
    <t>Dinoroseobacter phage vB_DshS-R5C</t>
  </si>
  <si>
    <t>KY606587</t>
  </si>
  <si>
    <t>Nankokuvirus</t>
  </si>
  <si>
    <t>Pseudomonas phage vB_PaeM_PAO1_Ab03</t>
  </si>
  <si>
    <t>LN610573</t>
  </si>
  <si>
    <t>Pseudomonas phage vB_PaeM_G1</t>
  </si>
  <si>
    <t>KY994101</t>
  </si>
  <si>
    <t>Pseudomonas phage KPP10</t>
  </si>
  <si>
    <t>AB472900</t>
  </si>
  <si>
    <t>Pseudomonas phage PAK_P3</t>
  </si>
  <si>
    <t>KC862299</t>
  </si>
  <si>
    <t>Pseudomonas phage vB_PaeM_PS24</t>
  </si>
  <si>
    <t>KM434186</t>
  </si>
  <si>
    <t>Neferthenavirus</t>
  </si>
  <si>
    <t>Microbacterium phage Neferthena</t>
  </si>
  <si>
    <t>MH697589</t>
  </si>
  <si>
    <t>Nesevirus</t>
  </si>
  <si>
    <t>Escherichia phage ev243</t>
  </si>
  <si>
    <t>LR597639</t>
  </si>
  <si>
    <t>Escherichia phage 2G7b</t>
  </si>
  <si>
    <t>LR595866</t>
  </si>
  <si>
    <t>Nevevirus</t>
  </si>
  <si>
    <t>Lactococcus phage P078</t>
  </si>
  <si>
    <t>KJ489010</t>
  </si>
  <si>
    <t>Lactococcus phage P092</t>
  </si>
  <si>
    <t>KJ489011</t>
  </si>
  <si>
    <t>Lactococcus phage P118</t>
  </si>
  <si>
    <t>KJ489012</t>
  </si>
  <si>
    <t>Lactococcus phage P162</t>
  </si>
  <si>
    <t>KJ489013</t>
  </si>
  <si>
    <t>Nickievirus</t>
  </si>
  <si>
    <t>Pseudomonas phage nickie</t>
  </si>
  <si>
    <t>MG018927</t>
  </si>
  <si>
    <t>Nimduovirus</t>
  </si>
  <si>
    <t>Klebsiella phage N1M2</t>
  </si>
  <si>
    <t>MN642089</t>
  </si>
  <si>
    <t>Nonanavirus</t>
  </si>
  <si>
    <t>Salmonella phage 9NA</t>
  </si>
  <si>
    <t>KJ802832</t>
  </si>
  <si>
    <t>Salmonella phage SP069</t>
  </si>
  <si>
    <t>KC139649</t>
  </si>
  <si>
    <t>Northamptonvirus</t>
  </si>
  <si>
    <t>Mycobacterium phage Jeon</t>
  </si>
  <si>
    <t>MH001450</t>
  </si>
  <si>
    <t>Mycobacterium phage Taptic</t>
  </si>
  <si>
    <t>KY130461</t>
  </si>
  <si>
    <t>Noxifervirus</t>
  </si>
  <si>
    <t>Pseudomonas phage Noxifer</t>
  </si>
  <si>
    <t>MF063068</t>
  </si>
  <si>
    <t>Nyceiraevirus</t>
  </si>
  <si>
    <t>Gordonia phage Nyceirae</t>
  </si>
  <si>
    <t>KX557282</t>
  </si>
  <si>
    <t>Nylescharonvirus</t>
  </si>
  <si>
    <t>Leptospira phage LE3</t>
  </si>
  <si>
    <t>MF974396</t>
  </si>
  <si>
    <t>Leptospira phage LE4</t>
  </si>
  <si>
    <t>MF974397</t>
  </si>
  <si>
    <t>Obolenskvirus</t>
  </si>
  <si>
    <t>Acinetobacter phage AB1</t>
  </si>
  <si>
    <t>HM368260</t>
  </si>
  <si>
    <t>Acinetobacter phage vB_AbaM-IME-AB2</t>
  </si>
  <si>
    <t>JX976549</t>
  </si>
  <si>
    <t>Acinetobacter phage YMC-13-01-C62</t>
  </si>
  <si>
    <t>KJ817802</t>
  </si>
  <si>
    <t>Acinetobacter phage AbP2</t>
  </si>
  <si>
    <t>MF346584</t>
  </si>
  <si>
    <t>Acinetobacter phage AP22</t>
  </si>
  <si>
    <t>HE806280</t>
  </si>
  <si>
    <t>Acinetobacter phage LZ35</t>
  </si>
  <si>
    <t>KU510289</t>
  </si>
  <si>
    <t>Acinetobacter phage WCHABP1</t>
  </si>
  <si>
    <t>KY829116</t>
  </si>
  <si>
    <t>Acinetobacter phage WCHABP12</t>
  </si>
  <si>
    <t>KY670595</t>
  </si>
  <si>
    <t>Oengusvirus</t>
  </si>
  <si>
    <t>Faecalibacterium phage FP_Oengus</t>
  </si>
  <si>
    <t>MG711463</t>
  </si>
  <si>
    <t>Omegavirus</t>
  </si>
  <si>
    <t>Mycobacterium phage Baka</t>
  </si>
  <si>
    <t>JF937090</t>
  </si>
  <si>
    <t>Mycobacterium phage Courthouse</t>
  </si>
  <si>
    <t>JN698997</t>
  </si>
  <si>
    <t>Mycobacterium phage LittleE</t>
  </si>
  <si>
    <t>JF937101</t>
  </si>
  <si>
    <t>Mycobacterium phage Omega</t>
  </si>
  <si>
    <t>AY129338</t>
  </si>
  <si>
    <t>Mycobacterium phage Optimus</t>
  </si>
  <si>
    <t>JF957059</t>
  </si>
  <si>
    <t>Mycobacterium phage Thibault</t>
  </si>
  <si>
    <t>JN201525</t>
  </si>
  <si>
    <t>Oneupvirus</t>
  </si>
  <si>
    <t>Gordonia phage BrutonGaster</t>
  </si>
  <si>
    <t>MK524501</t>
  </si>
  <si>
    <t>Gordonia phage OneUp</t>
  </si>
  <si>
    <t>KU998245</t>
  </si>
  <si>
    <t>Onyinyevirus</t>
  </si>
  <si>
    <t>Mycobacterium phage Onyinye</t>
  </si>
  <si>
    <t>MN813687</t>
  </si>
  <si>
    <t>Orchidvirus</t>
  </si>
  <si>
    <t>Gordonia phage Orchid</t>
  </si>
  <si>
    <t>KU998253</t>
  </si>
  <si>
    <t>Oshimavirus</t>
  </si>
  <si>
    <t>Thermus phage P23-45</t>
  </si>
  <si>
    <t>EU100883</t>
  </si>
  <si>
    <t>Thermus phage P74-26</t>
  </si>
  <si>
    <t>EU100884</t>
  </si>
  <si>
    <t>Otagovirus</t>
  </si>
  <si>
    <t>Pseudomonas phage phiPsa374</t>
  </si>
  <si>
    <t>KJ409772</t>
  </si>
  <si>
    <t>Pseudomonas phage VCM</t>
  </si>
  <si>
    <t>LN887844</t>
  </si>
  <si>
    <t>Paclarkvirus</t>
  </si>
  <si>
    <t>Streptococcus phage phiARI0468-4</t>
  </si>
  <si>
    <t>KT337358</t>
  </si>
  <si>
    <t>Streptococcus phage phiBHN167</t>
  </si>
  <si>
    <t>HF563658</t>
  </si>
  <si>
    <t>Streptococcus phage IPP14</t>
  </si>
  <si>
    <t>KY065455</t>
  </si>
  <si>
    <t>Streptococcus phage IPP39</t>
  </si>
  <si>
    <t>KY065479</t>
  </si>
  <si>
    <t>Streptococcus phage IPP48</t>
  </si>
  <si>
    <t>KY065487</t>
  </si>
  <si>
    <t>Streptococcus phage IPP52</t>
  </si>
  <si>
    <t>KY065490</t>
  </si>
  <si>
    <t>Streptococcus phage IPP54</t>
  </si>
  <si>
    <t>KY065492</t>
  </si>
  <si>
    <t>Streptococcus phage IPP55</t>
  </si>
  <si>
    <t>KY065493</t>
  </si>
  <si>
    <t>Streptococcus phage IPP65</t>
  </si>
  <si>
    <t>KY065501</t>
  </si>
  <si>
    <t>Streptococcus phage IPP66</t>
  </si>
  <si>
    <t>KY065502</t>
  </si>
  <si>
    <t>Streptococcus pneumonia bacteriophage MM1</t>
  </si>
  <si>
    <t>AJ302074</t>
  </si>
  <si>
    <t>Streptococcus phage SpGS-1</t>
  </si>
  <si>
    <t>KX550065</t>
  </si>
  <si>
    <t>Pagevirus</t>
  </si>
  <si>
    <t>Bacillus phage Page</t>
  </si>
  <si>
    <t>KF669655</t>
  </si>
  <si>
    <t>Bacillus phage Palmer</t>
  </si>
  <si>
    <t>KP411017</t>
  </si>
  <si>
    <t>Bacillus phage Pascal</t>
  </si>
  <si>
    <t>KM236247</t>
  </si>
  <si>
    <t>Bacillus phage Pony</t>
  </si>
  <si>
    <t>KF669660</t>
  </si>
  <si>
    <t>Bacillus phage Pookie</t>
  </si>
  <si>
    <t>KM236248</t>
  </si>
  <si>
    <t>Pahexavirus</t>
  </si>
  <si>
    <t>Propionibacterium phage ATCC29399B_C</t>
  </si>
  <si>
    <t>JX262225</t>
  </si>
  <si>
    <t>Propionibacterium phage ATCC29399B_T</t>
  </si>
  <si>
    <t>JX262224</t>
  </si>
  <si>
    <t>Propionibacterium phage Attacne</t>
  </si>
  <si>
    <t>KR337651</t>
  </si>
  <si>
    <t>Propionibacterium phage Keiki</t>
  </si>
  <si>
    <t>KR337649</t>
  </si>
  <si>
    <t>Propionibacterium phage Kubed</t>
  </si>
  <si>
    <t>KR337645</t>
  </si>
  <si>
    <t>Propionibacterium phage Lauchelly</t>
  </si>
  <si>
    <t>KR337650</t>
  </si>
  <si>
    <t>Propionibacterium phage MrAK</t>
  </si>
  <si>
    <t>KR337643</t>
  </si>
  <si>
    <t>Propionibacterium phage Ouroboros</t>
  </si>
  <si>
    <t>KR337654</t>
  </si>
  <si>
    <t>Propionibacterium phage P100_1</t>
  </si>
  <si>
    <t>JX262222</t>
  </si>
  <si>
    <t>Propionibacterium phage P100_A</t>
  </si>
  <si>
    <t>JX262221</t>
  </si>
  <si>
    <t>Propionibacterium phage P100D</t>
  </si>
  <si>
    <t>JX262220</t>
  </si>
  <si>
    <t>Propionibacterium phage P101A</t>
  </si>
  <si>
    <t>JX262217</t>
  </si>
  <si>
    <t>Propionibacterium phage P104A</t>
  </si>
  <si>
    <t>JX262218</t>
  </si>
  <si>
    <t>Propionibacterium phage P105</t>
  </si>
  <si>
    <t>JX262219</t>
  </si>
  <si>
    <t>Propionibacterium phage P1.1</t>
  </si>
  <si>
    <t>JX262223</t>
  </si>
  <si>
    <t>Propionibacterium phage P14.4</t>
  </si>
  <si>
    <t>JX262216</t>
  </si>
  <si>
    <t>Propionibacterium phage P9.1</t>
  </si>
  <si>
    <t>JX262215</t>
  </si>
  <si>
    <t>Propionibacterium phage PA6</t>
  </si>
  <si>
    <t>DQ431235</t>
  </si>
  <si>
    <t>Propionibacterium phage Pacnes 2012-15</t>
  </si>
  <si>
    <t>KJ722067</t>
  </si>
  <si>
    <t>Propionibacterium phage PAD20</t>
  </si>
  <si>
    <t>FJ706171</t>
  </si>
  <si>
    <t>Propionibacterium phage PAS50</t>
  </si>
  <si>
    <t>FJ706172</t>
  </si>
  <si>
    <t>Propionibacterium phage PHL009M11</t>
  </si>
  <si>
    <t>KJ578758</t>
  </si>
  <si>
    <t>Propionibacterium phage PHL025M00</t>
  </si>
  <si>
    <t>KJ578759</t>
  </si>
  <si>
    <t>Propionibacterium phage PHL037M02</t>
  </si>
  <si>
    <t>JX570706</t>
  </si>
  <si>
    <t>Propionibacterium phage PHL041M10</t>
  </si>
  <si>
    <t>KJ578761</t>
  </si>
  <si>
    <t>Propionibacterium phage PHL060L00</t>
  </si>
  <si>
    <t>JX570705</t>
  </si>
  <si>
    <t>Propionibacterium phage PHL067M01</t>
  </si>
  <si>
    <t>KJ578765</t>
  </si>
  <si>
    <t>Propionibacterium phage PHL070N00</t>
  </si>
  <si>
    <t>KJ578767</t>
  </si>
  <si>
    <t>Propionibacterium phage PHL071N05</t>
  </si>
  <si>
    <t>JX570710</t>
  </si>
  <si>
    <t>Propionibacterium phage PHL082M03</t>
  </si>
  <si>
    <t>KJ578770</t>
  </si>
  <si>
    <t>Propionibacterium phage PHL092M00</t>
  </si>
  <si>
    <t>KJ578773</t>
  </si>
  <si>
    <t>Propionibacterium phage PHL095N00</t>
  </si>
  <si>
    <t>KJ578774</t>
  </si>
  <si>
    <t>Propionibacterium phage PHL111M01</t>
  </si>
  <si>
    <t>JX570702</t>
  </si>
  <si>
    <t>Propionibacterium phage PHL112N00</t>
  </si>
  <si>
    <t>JX570714</t>
  </si>
  <si>
    <t>Propionibacterium phage PHL113M01</t>
  </si>
  <si>
    <t>JX570713</t>
  </si>
  <si>
    <t>Propionibacterium phage PHL114L00</t>
  </si>
  <si>
    <t>JX570712</t>
  </si>
  <si>
    <t>Propionibacterium phage PHL116M00</t>
  </si>
  <si>
    <t>KJ578776</t>
  </si>
  <si>
    <t>Propionibacterium phage PHL117M00</t>
  </si>
  <si>
    <t>KJ578778</t>
  </si>
  <si>
    <t>Propionibacterium phage PHL117M01</t>
  </si>
  <si>
    <t>KJ578779</t>
  </si>
  <si>
    <t>Propionibacterium phage PHL132N00</t>
  </si>
  <si>
    <t>KJ578780</t>
  </si>
  <si>
    <t>Propionibacterium phage PHL141N00</t>
  </si>
  <si>
    <t>KJ578781</t>
  </si>
  <si>
    <t>Propionibacterium phage PHL151M00</t>
  </si>
  <si>
    <t>KJ578783</t>
  </si>
  <si>
    <t>Propionibacterium phage PHL151N00</t>
  </si>
  <si>
    <t>KJ578784</t>
  </si>
  <si>
    <t>Propionibacterium phage PHL152M00</t>
  </si>
  <si>
    <t>KJ578785</t>
  </si>
  <si>
    <t>Propionibacterium phage PHL163M00</t>
  </si>
  <si>
    <t>KJ578786</t>
  </si>
  <si>
    <t>Propionibacterium phage PHL171M01</t>
  </si>
  <si>
    <t>KJ578787</t>
  </si>
  <si>
    <t>Propionibacterium phage PHL179M00</t>
  </si>
  <si>
    <t>KJ578788</t>
  </si>
  <si>
    <t>Propionibacterium phage PHL194M00</t>
  </si>
  <si>
    <t>KJ578789</t>
  </si>
  <si>
    <t>Propionibacterium phage PHL199M00</t>
  </si>
  <si>
    <t>KJ578790</t>
  </si>
  <si>
    <t>Propionibacterium phage PHL301M00</t>
  </si>
  <si>
    <t>KJ578791</t>
  </si>
  <si>
    <t>Propionibacterium phage PHL308M00</t>
  </si>
  <si>
    <t>KJ578792</t>
  </si>
  <si>
    <t>Propionibacterium phage Pirate</t>
  </si>
  <si>
    <t>KR337653</t>
  </si>
  <si>
    <t>Propionibacterium phage Procrass1</t>
  </si>
  <si>
    <t>KR337644</t>
  </si>
  <si>
    <t>Propionibacterium phage SKKY</t>
  </si>
  <si>
    <t>KR337648</t>
  </si>
  <si>
    <t>Propionibacterium phage Solid</t>
  </si>
  <si>
    <t>KR337647</t>
  </si>
  <si>
    <t>Propionibacterium phage Stormborn</t>
  </si>
  <si>
    <t>KR337652</t>
  </si>
  <si>
    <t>Propionibacterium phage Wizzo</t>
  </si>
  <si>
    <t>KR337646</t>
  </si>
  <si>
    <t>Pakpunavirus</t>
  </si>
  <si>
    <t>Pseudomonas phage vB_PaeM_C2-10_Ab02</t>
  </si>
  <si>
    <t>LN610572</t>
  </si>
  <si>
    <t>Pseudomonas phage vB_PaeM_C2-10_Ab1</t>
  </si>
  <si>
    <t>HE983845</t>
  </si>
  <si>
    <t>Pseudomonas phage JG004</t>
  </si>
  <si>
    <t>GU988610</t>
  </si>
  <si>
    <t>Pseudomonas phage vB_PaeM_MAG1</t>
  </si>
  <si>
    <t>KR052143</t>
  </si>
  <si>
    <t>Pseudomonas phage phiMK</t>
  </si>
  <si>
    <t>KU761955</t>
  </si>
  <si>
    <t>Pseudomonas phage PA10</t>
  </si>
  <si>
    <t>KY000083</t>
  </si>
  <si>
    <t>Pseudomonas phage PAK_P1</t>
  </si>
  <si>
    <t>KC862297</t>
  </si>
  <si>
    <t>Pseudomonas phage PAK_P2</t>
  </si>
  <si>
    <t>KC862298</t>
  </si>
  <si>
    <t>Pseudomonas phage PAK_P4</t>
  </si>
  <si>
    <t>KC862300</t>
  </si>
  <si>
    <t>Pseudomonas phage PaP1</t>
  </si>
  <si>
    <t>HQ832595</t>
  </si>
  <si>
    <t>Pseudomonas phage Zigelbrucke</t>
  </si>
  <si>
    <t>KY073228</t>
  </si>
  <si>
    <t>Pamexvirus</t>
  </si>
  <si>
    <t>Pseudomonas phage PaMx28</t>
  </si>
  <si>
    <t>JQ067089</t>
  </si>
  <si>
    <t>Pseudomonas phage PaMx74</t>
  </si>
  <si>
    <t>JQ067093</t>
  </si>
  <si>
    <t>Pankowvirus</t>
  </si>
  <si>
    <t>Stx2-converting phage 1717</t>
  </si>
  <si>
    <t>FJ188381</t>
  </si>
  <si>
    <t>Enterobacteria phage 2851</t>
  </si>
  <si>
    <t>FM180578</t>
  </si>
  <si>
    <t>Stx2-converting phage Stx2a_WGPS6</t>
  </si>
  <si>
    <t>AP012539</t>
  </si>
  <si>
    <t>Stx2-converting phage Stx2a_WGPS8</t>
  </si>
  <si>
    <t>AP012540</t>
  </si>
  <si>
    <t>Enterobacteria phage YYZ-2008</t>
  </si>
  <si>
    <t>FJ184280</t>
  </si>
  <si>
    <t>Papyrusvirus</t>
  </si>
  <si>
    <t>Mycobacterium phage Papyrus</t>
  </si>
  <si>
    <t>KF416342</t>
  </si>
  <si>
    <t>Mycobacterium phage Send513</t>
  </si>
  <si>
    <t>JF704112</t>
  </si>
  <si>
    <t>Parlovirus</t>
  </si>
  <si>
    <t>Serratia phage Parlo</t>
  </si>
  <si>
    <t>MK618715</t>
  </si>
  <si>
    <t>Patiencevirus</t>
  </si>
  <si>
    <t>Mycobacterium phage Patience</t>
  </si>
  <si>
    <t>JN412589</t>
  </si>
  <si>
    <t>Pavtokvirus</t>
  </si>
  <si>
    <t>Erwinia phage Pavtok</t>
  </si>
  <si>
    <t>MH426726</t>
  </si>
  <si>
    <t>Erwinia phage PEp14</t>
  </si>
  <si>
    <t>JN585957</t>
  </si>
  <si>
    <t>Pawinskivirus</t>
  </si>
  <si>
    <t>Pseudomonas phage vB_PaeM_PS119XW</t>
  </si>
  <si>
    <t>MN103543</t>
  </si>
  <si>
    <t>Pbunavirus</t>
  </si>
  <si>
    <t>Pseudomonas phage vB_PaeM_C1-14_Ab28</t>
  </si>
  <si>
    <t>LN610589</t>
  </si>
  <si>
    <t>Pseudomonas phage antinowhere</t>
  </si>
  <si>
    <t>MT119374</t>
  </si>
  <si>
    <t>Pseudomonas phage BrSP1</t>
  </si>
  <si>
    <t>MF623055</t>
  </si>
  <si>
    <t>Pseudomonas phage crassa</t>
  </si>
  <si>
    <t>MT119377</t>
  </si>
  <si>
    <t>Pseudomonas phage datas</t>
  </si>
  <si>
    <t>MT119378</t>
  </si>
  <si>
    <t>Pseudomonas phage DL60</t>
  </si>
  <si>
    <t>KR054030</t>
  </si>
  <si>
    <t>Pseudomonas phage vB_PaeM_CEB_DP1</t>
  </si>
  <si>
    <t>KR869157</t>
  </si>
  <si>
    <t>Pseudomonas phage vB_PaeM_E215</t>
  </si>
  <si>
    <t>MF490241</t>
  </si>
  <si>
    <t>Pseudomonas phage vB_PaeM_E217</t>
  </si>
  <si>
    <t>MF490240</t>
  </si>
  <si>
    <t>Pseudomonas phage Epa14</t>
  </si>
  <si>
    <t>MT118293</t>
  </si>
  <si>
    <t>Pseudomonas phage EPa61</t>
  </si>
  <si>
    <t>MK317959</t>
  </si>
  <si>
    <t>Pseudomonas phage Epa7</t>
  </si>
  <si>
    <t>MT118289</t>
  </si>
  <si>
    <t>Pseudomonas phage F8</t>
  </si>
  <si>
    <t>DQ163917</t>
  </si>
  <si>
    <t>Pseudomonas phage KPP12</t>
  </si>
  <si>
    <t>AB560486</t>
  </si>
  <si>
    <t>Pseudomonas phage phiKTN6</t>
  </si>
  <si>
    <t>KP340288</t>
  </si>
  <si>
    <t>Pseudomonas phage LBL3</t>
  </si>
  <si>
    <t>FM201281</t>
  </si>
  <si>
    <t>Pseudomonas phage LMA2</t>
  </si>
  <si>
    <t>FM201282</t>
  </si>
  <si>
    <t>Pseudomonas phage vB_PaeM_LS1</t>
  </si>
  <si>
    <t>MG897799</t>
  </si>
  <si>
    <t>Pseudomonas phage PA01</t>
  </si>
  <si>
    <t>AP019535</t>
  </si>
  <si>
    <t>Pseudomonas virus Pa193</t>
  </si>
  <si>
    <t>MK837009</t>
  </si>
  <si>
    <t>Pseudomonas phage PA5</t>
  </si>
  <si>
    <t>KY000082</t>
  </si>
  <si>
    <t>Pseudomonas phage PA8P1</t>
  </si>
  <si>
    <t>MN131142</t>
  </si>
  <si>
    <t>Pseudomonas phage PaGU11</t>
  </si>
  <si>
    <t>AP018815</t>
  </si>
  <si>
    <t>Pseudomonas phage PB1</t>
  </si>
  <si>
    <t>EU716414</t>
  </si>
  <si>
    <t>Pseudomonas phage vB_Pae_PS44</t>
  </si>
  <si>
    <t>KM434184</t>
  </si>
  <si>
    <t>Pseudomonas phage 14-1</t>
  </si>
  <si>
    <t>FM897211</t>
  </si>
  <si>
    <t>Pseudomonas phage R12</t>
  </si>
  <si>
    <t>LC472881</t>
  </si>
  <si>
    <t>Pseudomonas phage R26</t>
  </si>
  <si>
    <t>LC472882</t>
  </si>
  <si>
    <t>Pseudomonas phage vB_PaeM_SCUT-S1</t>
  </si>
  <si>
    <t>MK340760</t>
  </si>
  <si>
    <t>Pseudomonas phage SL1</t>
  </si>
  <si>
    <t>MF768470</t>
  </si>
  <si>
    <t>Pseudomonas phage SN</t>
  </si>
  <si>
    <t>FM887021</t>
  </si>
  <si>
    <t>Pseudomonas phage vB_PaeM_USP_1</t>
  </si>
  <si>
    <t>MT491204</t>
  </si>
  <si>
    <t>Pseudomonas phage DL68</t>
  </si>
  <si>
    <t>KR054033</t>
  </si>
  <si>
    <t>Pseudomonas phage JG024</t>
  </si>
  <si>
    <t>GU815091</t>
  </si>
  <si>
    <t>Pseudomonas phage NH-4</t>
  </si>
  <si>
    <t>JN254800</t>
  </si>
  <si>
    <t>Peatvirus</t>
  </si>
  <si>
    <t>Pectinobacterium phage PEAT2</t>
  </si>
  <si>
    <t>MG432137</t>
  </si>
  <si>
    <t>Pemunavirus</t>
  </si>
  <si>
    <t>Bacillus phage PM1</t>
  </si>
  <si>
    <t>AB711120</t>
  </si>
  <si>
    <t>Pepyhexavirus</t>
  </si>
  <si>
    <t>Rhodococcus phage ReqiPepy6</t>
  </si>
  <si>
    <t>GU580941</t>
  </si>
  <si>
    <t>Rhodococcus phage ReqiPoco6</t>
  </si>
  <si>
    <t>GU580942</t>
  </si>
  <si>
    <t>Perisivirus</t>
  </si>
  <si>
    <t>Brucella phage Pr</t>
  </si>
  <si>
    <t>JN939332</t>
  </si>
  <si>
    <t>Brucella phage Tb</t>
  </si>
  <si>
    <t>JN939331</t>
  </si>
  <si>
    <t>Persistencevirus</t>
  </si>
  <si>
    <t>Arthrobacter phage Persistence</t>
  </si>
  <si>
    <t>MW712719</t>
  </si>
  <si>
    <t>Petsuvirus</t>
  </si>
  <si>
    <t>Edwardsiella phage pEt-SU</t>
  </si>
  <si>
    <t>MK689364</t>
  </si>
  <si>
    <t>Phabiovirus</t>
  </si>
  <si>
    <t>Pseudomonas phage Phabio</t>
  </si>
  <si>
    <t>MF042360</t>
  </si>
  <si>
    <t>Phabquatrovirus</t>
  </si>
  <si>
    <t>Bordetella phage vB_BbrM_PHB04</t>
  </si>
  <si>
    <t>MF663786</t>
  </si>
  <si>
    <t>Pharaohvirus</t>
  </si>
  <si>
    <t>Mycobacterium phage Pharaoh</t>
  </si>
  <si>
    <t>MK524530</t>
  </si>
  <si>
    <t>Mycobacterium phage Steamy</t>
  </si>
  <si>
    <t>MH513984</t>
  </si>
  <si>
    <t>Phifelvirus</t>
  </si>
  <si>
    <t>Enterococcus phage phiFL1A</t>
  </si>
  <si>
    <t>GQ478081</t>
  </si>
  <si>
    <t>Enterococcus phage phiFL2A</t>
  </si>
  <si>
    <t>GQ478084</t>
  </si>
  <si>
    <t>Enterococcus phage phiFL3A</t>
  </si>
  <si>
    <t>GQ478086</t>
  </si>
  <si>
    <t>Phikzvirus</t>
  </si>
  <si>
    <t>Pseudomonas phage PA7</t>
  </si>
  <si>
    <t>JX233784</t>
  </si>
  <si>
    <t>Pseudomonas phage phiKZ</t>
  </si>
  <si>
    <t>AF399011</t>
  </si>
  <si>
    <t>Pseudomonas phage SL2</t>
  </si>
  <si>
    <t>MF805716</t>
  </si>
  <si>
    <t>Phleivirus</t>
  </si>
  <si>
    <t>Mycobacterium phage Phlei</t>
  </si>
  <si>
    <t>KT206225</t>
  </si>
  <si>
    <t>Phrappuccinovirus</t>
  </si>
  <si>
    <t>Mycobacterium phage Phrappuccino</t>
  </si>
  <si>
    <t>MK937592</t>
  </si>
  <si>
    <t>Picardvirus</t>
  </si>
  <si>
    <t>Streptomyces phage Picard</t>
  </si>
  <si>
    <t>KY092480</t>
  </si>
  <si>
    <t>Pikminvirus</t>
  </si>
  <si>
    <t>Microbacterium phage Pikmin</t>
  </si>
  <si>
    <t>MG944218</t>
  </si>
  <si>
    <t>Piorkowskivirus</t>
  </si>
  <si>
    <t>Streptococcus phage CHPC577</t>
  </si>
  <si>
    <t>KX879641</t>
  </si>
  <si>
    <t>Streptococcus phage CHPC926</t>
  </si>
  <si>
    <t>KX879642</t>
  </si>
  <si>
    <t>Streptococcus virus 9871</t>
  </si>
  <si>
    <t>KU678389</t>
  </si>
  <si>
    <t>Streptococcus virus 9872</t>
  </si>
  <si>
    <t>KU678390</t>
  </si>
  <si>
    <t>Streptococcus virus 9874</t>
  </si>
  <si>
    <t>KU678392</t>
  </si>
  <si>
    <t>Streptococcus phage SW16</t>
  </si>
  <si>
    <t>MH892350</t>
  </si>
  <si>
    <t>Streptococcus phage SW22</t>
  </si>
  <si>
    <t>MH892369</t>
  </si>
  <si>
    <t>Plaisancevirus</t>
  </si>
  <si>
    <t>Pseudomonas phage phiPMW</t>
  </si>
  <si>
    <t>KU862660</t>
  </si>
  <si>
    <t>Plateaulakevirus</t>
  </si>
  <si>
    <t>Aeromonas phage 2L372D</t>
  </si>
  <si>
    <t>MK804893</t>
  </si>
  <si>
    <t>Aeromonas phage 2L372X</t>
  </si>
  <si>
    <t>MK813938</t>
  </si>
  <si>
    <t>Aeromonas phage 4L372D</t>
  </si>
  <si>
    <t>MK813939</t>
  </si>
  <si>
    <t>Aeromonas phage 4L372XY</t>
  </si>
  <si>
    <t>MK813941</t>
  </si>
  <si>
    <t>Pleeduovirus</t>
  </si>
  <si>
    <t>Lactobacillus phage PLE2</t>
  </si>
  <si>
    <t>KU848187</t>
  </si>
  <si>
    <t>Pleetrevirus</t>
  </si>
  <si>
    <t>Lactobacillus phage iLp84</t>
  </si>
  <si>
    <t>KR905069</t>
  </si>
  <si>
    <t>Lactobacillus phage PLE3</t>
  </si>
  <si>
    <t>KU848186</t>
  </si>
  <si>
    <t>Polybotosvirus</t>
  </si>
  <si>
    <t>Agrobacterium phage Atu_ph07</t>
  </si>
  <si>
    <t>MF403008</t>
  </si>
  <si>
    <t>Ponsvirus</t>
  </si>
  <si>
    <t>Gordonia phage BigChungus</t>
  </si>
  <si>
    <t>MT776810</t>
  </si>
  <si>
    <t>Gordonia phage CherryonLim</t>
  </si>
  <si>
    <t>MN284906</t>
  </si>
  <si>
    <t>Gordonia phage Lauer</t>
  </si>
  <si>
    <t>MN586015</t>
  </si>
  <si>
    <t>Gordonia phage Mayweather</t>
  </si>
  <si>
    <t>MN062716</t>
  </si>
  <si>
    <t>Gordonia phage Pons</t>
  </si>
  <si>
    <t>OK040785</t>
  </si>
  <si>
    <t>Gordonia phage SheckWes</t>
  </si>
  <si>
    <t>MK967385</t>
  </si>
  <si>
    <t>Gordonia phage Vine</t>
  </si>
  <si>
    <t>MZ622167</t>
  </si>
  <si>
    <t>Popoffvirus</t>
  </si>
  <si>
    <t>Aeromonas phage vB_AsaM-56</t>
  </si>
  <si>
    <t>JQ177063</t>
  </si>
  <si>
    <t>Poushouvirus</t>
  </si>
  <si>
    <t>Corynebacterium phage Poushou</t>
  </si>
  <si>
    <t>MF197383</t>
  </si>
  <si>
    <t>Powerballvirus</t>
  </si>
  <si>
    <t>Gordonia phage Powerball</t>
  </si>
  <si>
    <t>MN234218</t>
  </si>
  <si>
    <t>Predatorvirus</t>
  </si>
  <si>
    <t>Mycobacterium phage Predator</t>
  </si>
  <si>
    <t>EU770222</t>
  </si>
  <si>
    <t>Psavirus</t>
  </si>
  <si>
    <t>Listeria phage LP-030-2</t>
  </si>
  <si>
    <t>JX120799</t>
  </si>
  <si>
    <t>Listeria phage PSA</t>
  </si>
  <si>
    <t>AJ312240</t>
  </si>
  <si>
    <t>Pukovnikvirus</t>
  </si>
  <si>
    <t>Mycobacterium phage Bactobuster</t>
  </si>
  <si>
    <t>KU568494</t>
  </si>
  <si>
    <t>Mycobacterium phage IronMan</t>
  </si>
  <si>
    <t>MK279857</t>
  </si>
  <si>
    <t>Mycobacterium phage Phaded</t>
  </si>
  <si>
    <t>MN703408</t>
  </si>
  <si>
    <t>Mycobacterium phage Pukovnik</t>
  </si>
  <si>
    <t>EU744250</t>
  </si>
  <si>
    <t>Pulverervirus</t>
  </si>
  <si>
    <t>Propionibacterium phage PFR1</t>
  </si>
  <si>
    <t>KU984979</t>
  </si>
  <si>
    <t>Punavirus</t>
  </si>
  <si>
    <t>Aeromonas phage 43</t>
  </si>
  <si>
    <t>No entry in Genbank</t>
  </si>
  <si>
    <t>Escherichia phage P1</t>
  </si>
  <si>
    <t>AF234172</t>
  </si>
  <si>
    <t>Escherichia phage RCS47</t>
  </si>
  <si>
    <t>FO818745</t>
  </si>
  <si>
    <t>Salmonella phage SJ46</t>
  </si>
  <si>
    <t>KU760857</t>
  </si>
  <si>
    <t>Puppervirus</t>
  </si>
  <si>
    <t>Gordonia phage Pupper</t>
  </si>
  <si>
    <t>MK977695</t>
  </si>
  <si>
    <t>Purivirus</t>
  </si>
  <si>
    <t>Pseudomonas phage UFJF_PfDIW6</t>
  </si>
  <si>
    <t>OM418631</t>
  </si>
  <si>
    <t>Qingdaovirus</t>
  </si>
  <si>
    <t>Pseudoalteromonas phage J2-1</t>
  </si>
  <si>
    <t>MF370964</t>
  </si>
  <si>
    <t>Questintvirus</t>
  </si>
  <si>
    <t>Lactococcus phage Q54</t>
  </si>
  <si>
    <t>DQ490056</t>
  </si>
  <si>
    <t>Quhwahvirus</t>
  </si>
  <si>
    <t>Microbacterium phage KaiHaiDragon</t>
  </si>
  <si>
    <t>MH590600</t>
  </si>
  <si>
    <t>Microbacterium phage Quhwah</t>
  </si>
  <si>
    <t>MH271321</t>
  </si>
  <si>
    <t>Microbacterium phage Paschalis</t>
  </si>
  <si>
    <t>MH155873</t>
  </si>
  <si>
    <t>Quivirus</t>
  </si>
  <si>
    <t>Arthrobacter phage Qui</t>
  </si>
  <si>
    <t>MN183282</t>
  </si>
  <si>
    <t>Radostvirus</t>
  </si>
  <si>
    <t>Escherichia phage ev099</t>
  </si>
  <si>
    <t>LR597635</t>
  </si>
  <si>
    <t>Rahariannevirus</t>
  </si>
  <si>
    <t>Ralstonia phage Raharianne</t>
  </si>
  <si>
    <t>Raharianne</t>
  </si>
  <si>
    <t>MT740745</t>
  </si>
  <si>
    <t>Raleighvirus</t>
  </si>
  <si>
    <t>Streptomyces phage Darolandstone</t>
  </si>
  <si>
    <t>MH825699</t>
  </si>
  <si>
    <t>Streptomyces phage Raleigh</t>
  </si>
  <si>
    <t>KY092484</t>
  </si>
  <si>
    <t>Rauchvirus</t>
  </si>
  <si>
    <t>Bordetella phage BPP-1</t>
  </si>
  <si>
    <t>AY029185</t>
  </si>
  <si>
    <t>Ravarandavirus</t>
  </si>
  <si>
    <t>Nodularia phage vB_NspS-kac65v151</t>
  </si>
  <si>
    <t>MK605242</t>
  </si>
  <si>
    <t>Nodularia phage vB_NspS-kac68v161</t>
  </si>
  <si>
    <t>MK605245</t>
  </si>
  <si>
    <t>Nodularia phage vB_NpeS-2AV2</t>
  </si>
  <si>
    <t>KU230356</t>
  </si>
  <si>
    <t>Ravinvirus</t>
  </si>
  <si>
    <t>Escherichia phage N15</t>
  </si>
  <si>
    <t>AF064539</t>
  </si>
  <si>
    <t>Refugevirus</t>
  </si>
  <si>
    <t>Mycobacterium phage DarthPhader</t>
  </si>
  <si>
    <t>KX657793</t>
  </si>
  <si>
    <t>Mycobacterium phage Refuge</t>
  </si>
  <si>
    <t>MK494113</t>
  </si>
  <si>
    <t>Rerduovirus</t>
  </si>
  <si>
    <t>Rhodococcus phage Hiro</t>
  </si>
  <si>
    <t>MF324898</t>
  </si>
  <si>
    <t>Rhodococcus phage PhailMary</t>
  </si>
  <si>
    <t>MW291027</t>
  </si>
  <si>
    <t>Rhodococcus phage RER2</t>
  </si>
  <si>
    <t>JN116827</t>
  </si>
  <si>
    <t>Rhodococcus phage RGL3</t>
  </si>
  <si>
    <t>JN116826</t>
  </si>
  <si>
    <t>Rhodococcus phage Takoda</t>
  </si>
  <si>
    <t>MH271315</t>
  </si>
  <si>
    <t>Richievirus</t>
  </si>
  <si>
    <t>Arthrobacter phage Auxilium</t>
  </si>
  <si>
    <t>MH834598</t>
  </si>
  <si>
    <t>Arthrobacter phage Richie</t>
  </si>
  <si>
    <t>MH834625</t>
  </si>
  <si>
    <t>Rigallicvirus</t>
  </si>
  <si>
    <t>Rhizobium phage vB_RglS_P106B</t>
  </si>
  <si>
    <t>KF977490</t>
  </si>
  <si>
    <t>Rimavirus</t>
  </si>
  <si>
    <t>Streptomyces phage DrGrey</t>
  </si>
  <si>
    <t>MF467948</t>
  </si>
  <si>
    <t>Streptomyces phage Rima</t>
  </si>
  <si>
    <t>KX670790</t>
  </si>
  <si>
    <t>Ripduovirus</t>
  </si>
  <si>
    <t>Ralstonia phage RP12</t>
  </si>
  <si>
    <t>AP017924</t>
  </si>
  <si>
    <t>Risingsunvirus</t>
  </si>
  <si>
    <t>Erwinia phage vB_EamM_RisingSun</t>
  </si>
  <si>
    <t>MF459646</t>
  </si>
  <si>
    <t>Rivsvirus</t>
  </si>
  <si>
    <t>Erwinia phage pEa_SNUABM_5</t>
  </si>
  <si>
    <t>MW366843</t>
  </si>
  <si>
    <t>Rockefellervirus</t>
  </si>
  <si>
    <t>Staphylococcus phage CNPH82</t>
  </si>
  <si>
    <t>DQ831957</t>
  </si>
  <si>
    <t>Staphylococcus phage CNPx</t>
  </si>
  <si>
    <t>KU598975</t>
  </si>
  <si>
    <t>Staphylococcus phage IME1348_01</t>
  </si>
  <si>
    <t>KY653120</t>
  </si>
  <si>
    <t>Staphylococcus phage vB_SepiS-phiIPLA5</t>
  </si>
  <si>
    <t>JN192400</t>
  </si>
  <si>
    <t>Staphylococcus phage vB_SepiS-phiIPLA7</t>
  </si>
  <si>
    <t>JN192401</t>
  </si>
  <si>
    <t>Staphylococcus phage PH15</t>
  </si>
  <si>
    <t>DQ834250</t>
  </si>
  <si>
    <t>Rockvillevirus</t>
  </si>
  <si>
    <t>Bacillus phage phi4J1</t>
  </si>
  <si>
    <t>KT970645</t>
  </si>
  <si>
    <t>Rogerhendrixvirus</t>
  </si>
  <si>
    <t>Microbacterium phage Hendrix</t>
  </si>
  <si>
    <t>MH183162</t>
  </si>
  <si>
    <t>Ronaldovirus</t>
  </si>
  <si>
    <t>Gordonia phage Fryberger</t>
  </si>
  <si>
    <t>MH479913</t>
  </si>
  <si>
    <t>Gordonia phage Ronaldo</t>
  </si>
  <si>
    <t>MH479925</t>
  </si>
  <si>
    <t>Rosariovirus</t>
  </si>
  <si>
    <t>Mycobacterium phage Weirdo19</t>
  </si>
  <si>
    <t>MN103533</t>
  </si>
  <si>
    <t>Rosemountvirus</t>
  </si>
  <si>
    <t>Salmonella phage birk</t>
  </si>
  <si>
    <t>MT074439</t>
  </si>
  <si>
    <t>Salmonella phage BP63</t>
  </si>
  <si>
    <t>KM366099</t>
  </si>
  <si>
    <t>Salmonella phage SE13</t>
  </si>
  <si>
    <t>MK770411</t>
  </si>
  <si>
    <t>Salmonella phage UPF_BP2</t>
  </si>
  <si>
    <t>KX826077</t>
  </si>
  <si>
    <t>Salmonella phage yarpen</t>
  </si>
  <si>
    <t>MT074436</t>
  </si>
  <si>
    <t>Roslyckyvirus</t>
  </si>
  <si>
    <t>Agrobacterium phage Atu_ph08</t>
  </si>
  <si>
    <t>MF403009</t>
  </si>
  <si>
    <t>Roufvirus</t>
  </si>
  <si>
    <t>Aeromonas phage pIS4-A</t>
  </si>
  <si>
    <t>JF974294</t>
  </si>
  <si>
    <t>Rowavirus</t>
  </si>
  <si>
    <t>Streptomyces phage Rowa</t>
  </si>
  <si>
    <t>MG593803</t>
  </si>
  <si>
    <t>Ruthyvirus</t>
  </si>
  <si>
    <t>Gordonia phage DumpsterDude</t>
  </si>
  <si>
    <t>MT024859</t>
  </si>
  <si>
    <t>Gordonia phage Ruthy</t>
  </si>
  <si>
    <t>MH536826</t>
  </si>
  <si>
    <t>Ryyoungvirus</t>
  </si>
  <si>
    <t>Burkholderia phage BcepC6B</t>
  </si>
  <si>
    <t>AY605181</t>
  </si>
  <si>
    <t>Saclayvirus</t>
  </si>
  <si>
    <t>Acinetobacter phage vB_AbaM_B09_Aci01-1</t>
  </si>
  <si>
    <t>MH800198</t>
  </si>
  <si>
    <t>Acinetobacter phage vB_AbaM_B09_Aci02-2</t>
  </si>
  <si>
    <t>MH800199</t>
  </si>
  <si>
    <t>Acinetobacter phage vB_AbaM_B09_Aci05</t>
  </si>
  <si>
    <t>MH746814</t>
  </si>
  <si>
    <t>Sagamiharavirus</t>
  </si>
  <si>
    <t>Mycobacterium phage PP</t>
  </si>
  <si>
    <t>AP018486</t>
  </si>
  <si>
    <t>Saintgironsvirus</t>
  </si>
  <si>
    <t>Leptospira phage LE1</t>
  </si>
  <si>
    <t>BX571876</t>
  </si>
  <si>
    <t>Salmondvirus</t>
  </si>
  <si>
    <t>Dickeya phage vB_DsoM_JA11</t>
  </si>
  <si>
    <t>MH389777</t>
  </si>
  <si>
    <t>Dickeya phage vB_DsoM_JA29</t>
  </si>
  <si>
    <t>MH460461</t>
  </si>
  <si>
    <t>Saltrevirus</t>
  </si>
  <si>
    <t>Salmonella phage 64795_sal3</t>
  </si>
  <si>
    <t>KX017520</t>
  </si>
  <si>
    <t>Samunavirus</t>
  </si>
  <si>
    <t>Pseudomonas phage SM1</t>
  </si>
  <si>
    <t>KU245542</t>
  </si>
  <si>
    <t>Samwavirus</t>
  </si>
  <si>
    <t>Corynebacterium phage Adelaide</t>
  </si>
  <si>
    <t>MK977715</t>
  </si>
  <si>
    <t>Corynebacterium phage Dina</t>
  </si>
  <si>
    <t>MK977706</t>
  </si>
  <si>
    <t>Corynebacterium phage SamW</t>
  </si>
  <si>
    <t>MH727560</t>
  </si>
  <si>
    <t>Corynebacterium phage StAB</t>
  </si>
  <si>
    <t>MK937613</t>
  </si>
  <si>
    <t>Corynebacterium phage Stiles</t>
  </si>
  <si>
    <t>MK977710</t>
  </si>
  <si>
    <t>Sandinevirus</t>
  </si>
  <si>
    <t>Lactococcus phage BK5-T</t>
  </si>
  <si>
    <t>AJ245616</t>
  </si>
  <si>
    <t>Sansavirus</t>
  </si>
  <si>
    <t>Caulobacter phage Sansa</t>
  </si>
  <si>
    <t>KT001913</t>
  </si>
  <si>
    <t>Santafevirus</t>
  </si>
  <si>
    <t>Mycobacterium phage 40AC</t>
  </si>
  <si>
    <t>KJ192196</t>
  </si>
  <si>
    <t>Saphexavirus</t>
  </si>
  <si>
    <t>Enterococcus phage BC611</t>
  </si>
  <si>
    <t>AB712291</t>
  </si>
  <si>
    <t>Enterococcus phage IME-EF1</t>
  </si>
  <si>
    <t>KF192053</t>
  </si>
  <si>
    <t>Enterococcus phage SAP6</t>
  </si>
  <si>
    <t>JF731128</t>
  </si>
  <si>
    <t>Streptococcus phage SP-QS1</t>
  </si>
  <si>
    <t>HE962497</t>
  </si>
  <si>
    <t>Enterococcus phage VD13</t>
  </si>
  <si>
    <t>KJ094032</t>
  </si>
  <si>
    <t>Sargevirus</t>
  </si>
  <si>
    <t>Arthrobacter phage Sarge</t>
  </si>
  <si>
    <t>OK040780</t>
  </si>
  <si>
    <t>Sarumanvirus</t>
  </si>
  <si>
    <t>Burkholderia phage BcepSaruman</t>
  </si>
  <si>
    <t>MK552140</t>
  </si>
  <si>
    <t>Burkholderia phage BcepSauron</t>
  </si>
  <si>
    <t>MK552141</t>
  </si>
  <si>
    <t>Sasdunavirus</t>
  </si>
  <si>
    <t>Streptomyces phage phiSASD1</t>
  </si>
  <si>
    <t>GQ379227</t>
  </si>
  <si>
    <t>Sashavirus</t>
  </si>
  <si>
    <t>Salmonella phage vB_SenS_Sasha</t>
  </si>
  <si>
    <t>KX987158</t>
  </si>
  <si>
    <t>Sasquatchvirus</t>
  </si>
  <si>
    <t>Erwinia phage vB_EamM_Y3</t>
  </si>
  <si>
    <t>KY984068</t>
  </si>
  <si>
    <t>Sasvirus</t>
  </si>
  <si>
    <t>Corynebacterium phage BFK20</t>
  </si>
  <si>
    <t>AJ278322</t>
  </si>
  <si>
    <t>Saundersvirus</t>
  </si>
  <si>
    <t>Geobacillus phage TP-84</t>
  </si>
  <si>
    <t>KY565347</t>
  </si>
  <si>
    <t>Sawaravirus</t>
  </si>
  <si>
    <t>Stx2-converting phage Stx2a_WGPS2</t>
  </si>
  <si>
    <t>AP012537</t>
  </si>
  <si>
    <t>Scappvirus</t>
  </si>
  <si>
    <t>Serratia phage Scapp</t>
  </si>
  <si>
    <t>MH553517</t>
  </si>
  <si>
    <t>Scapunavirus</t>
  </si>
  <si>
    <t>Streptomyces phage Scap1</t>
  </si>
  <si>
    <t>MF975637</t>
  </si>
  <si>
    <t>Schmidvirus</t>
  </si>
  <si>
    <t>Helicobacter phage KHP30</t>
  </si>
  <si>
    <t>AB647160</t>
  </si>
  <si>
    <t>Helicobacter phage KHP40</t>
  </si>
  <si>
    <t>AB731695</t>
  </si>
  <si>
    <t>Helicobacter phage 1961P</t>
  </si>
  <si>
    <t>JQ617284</t>
  </si>
  <si>
    <t>Schmittlotzvirus</t>
  </si>
  <si>
    <t>Agrobacterium phage 7-7-1</t>
  </si>
  <si>
    <t>JQ312117</t>
  </si>
  <si>
    <t>Schnabeltiervirus</t>
  </si>
  <si>
    <t>Gordonia phage Schnabeltier</t>
  </si>
  <si>
    <t>KU963252</t>
  </si>
  <si>
    <t>Schubertvirus</t>
  </si>
  <si>
    <t>Microbacterium phage Schubert</t>
  </si>
  <si>
    <t>MK308637</t>
  </si>
  <si>
    <t>Seahorsevirus</t>
  </si>
  <si>
    <t>Vibrio phage Seahorse</t>
  </si>
  <si>
    <t>MN512538</t>
  </si>
  <si>
    <t>Seamegvirus</t>
  </si>
  <si>
    <t>Arthrobacter phage Seahorse</t>
  </si>
  <si>
    <t>MH910041</t>
  </si>
  <si>
    <t>Segzyvirus</t>
  </si>
  <si>
    <t>Salmonella phage LPSTLL</t>
  </si>
  <si>
    <t>MN737551</t>
  </si>
  <si>
    <t>Salmonella phage Segz_1</t>
  </si>
  <si>
    <t>MH791402</t>
  </si>
  <si>
    <t>Sendosyvirus</t>
  </si>
  <si>
    <t>Hamiltonella phage APSE-1</t>
  </si>
  <si>
    <t>AF157835</t>
  </si>
  <si>
    <t>Bacteriophage APSE-2</t>
  </si>
  <si>
    <t>EU794049</t>
  </si>
  <si>
    <t>Seongbukvirus</t>
  </si>
  <si>
    <t>Leuconostoc phage phiMH1</t>
  </si>
  <si>
    <t>HM596271</t>
  </si>
  <si>
    <t>Seoulvirus</t>
  </si>
  <si>
    <t>Salmonella phage SPN3US</t>
  </si>
  <si>
    <t>JN641803</t>
  </si>
  <si>
    <t>Septimatrevirus</t>
  </si>
  <si>
    <t>Pseudomonas phage vB_PaeS_SCH_Ab26</t>
  </si>
  <si>
    <t>HG962376</t>
  </si>
  <si>
    <t>Pseudomonas phage vB_Pae-Kakheti25</t>
  </si>
  <si>
    <t>JQ307387</t>
  </si>
  <si>
    <t>Pseudomonas phage 73</t>
  </si>
  <si>
    <t>DQ163913</t>
  </si>
  <si>
    <t>Serwervirus</t>
  </si>
  <si>
    <t>Pseudomonas phage 201phi2-1</t>
  </si>
  <si>
    <t>EU197055</t>
  </si>
  <si>
    <t>Seussvirus</t>
  </si>
  <si>
    <t>Caulobacter phage Seuss</t>
  </si>
  <si>
    <t>KT001914</t>
  </si>
  <si>
    <t>Sextaecvirus</t>
  </si>
  <si>
    <t>Staphylococcus phage vB_SepS_SEP9</t>
  </si>
  <si>
    <t>KF929199</t>
  </si>
  <si>
    <t>Staphylococcus phage 6ec</t>
  </si>
  <si>
    <t>KJ804259</t>
  </si>
  <si>
    <t>Sfunavirus</t>
  </si>
  <si>
    <t>Streptomyces phage SF1</t>
  </si>
  <si>
    <t>KT221033</t>
  </si>
  <si>
    <t>Shandongvirus</t>
  </si>
  <si>
    <t>Pseudoalteromonas phage H101</t>
  </si>
  <si>
    <t>KR534323</t>
  </si>
  <si>
    <t>Sheenvirus</t>
  </si>
  <si>
    <t>Mycobacterium phage Sheen</t>
  </si>
  <si>
    <t>KP273225</t>
  </si>
  <si>
    <t>Sherbrookevirus</t>
  </si>
  <si>
    <t>Clostridium phage phiCD481-1</t>
  </si>
  <si>
    <t>LN681538</t>
  </si>
  <si>
    <t>Clostridium phage phiCD506</t>
  </si>
  <si>
    <t>LN681540</t>
  </si>
  <si>
    <t>Clostridium phage phiCDHM11</t>
  </si>
  <si>
    <t>HG798901</t>
  </si>
  <si>
    <t>Clostridium phage phiCDHM13</t>
  </si>
  <si>
    <t>HG796225</t>
  </si>
  <si>
    <t>Clostridium phage phiCDHM14</t>
  </si>
  <si>
    <t>LK985321</t>
  </si>
  <si>
    <t>Clostridium phage phiMMP04</t>
  </si>
  <si>
    <t>JX145342</t>
  </si>
  <si>
    <t>Shirahamavirus</t>
  </si>
  <si>
    <t>Tenacibaculum phage PTm1</t>
  </si>
  <si>
    <t>AP019524</t>
  </si>
  <si>
    <t>Shoyavirus</t>
  </si>
  <si>
    <t>Arthrobacter phage Shoya</t>
  </si>
  <si>
    <t>MN908684</t>
  </si>
  <si>
    <t>Shuimuvirus</t>
  </si>
  <si>
    <t>Salmonella phage IME207</t>
  </si>
  <si>
    <t>KX523699</t>
  </si>
  <si>
    <t>Siatvirus</t>
  </si>
  <si>
    <t>Klebsiella phage KpLz-2_45</t>
  </si>
  <si>
    <t>MN871446</t>
  </si>
  <si>
    <t>Sidiousvirus</t>
  </si>
  <si>
    <t>Gordonia phage Sidious</t>
  </si>
  <si>
    <t>MK967384</t>
  </si>
  <si>
    <t>Siftrevirus</t>
  </si>
  <si>
    <t>Streptomyces phage SF3</t>
  </si>
  <si>
    <t>KT221034</t>
  </si>
  <si>
    <t>Silentrexvirus</t>
  </si>
  <si>
    <t>Arthrobacter phage SilentRX</t>
  </si>
  <si>
    <t>MW862992</t>
  </si>
  <si>
    <t>Sixamavirus</t>
  </si>
  <si>
    <t>Gordonia phage Sixama</t>
  </si>
  <si>
    <t>MN484601</t>
  </si>
  <si>
    <t>Skarprettervirus</t>
  </si>
  <si>
    <t>Escherichia phage Skarpretter</t>
  </si>
  <si>
    <t>MK105855</t>
  </si>
  <si>
    <t>Skatevirus</t>
  </si>
  <si>
    <t>Salmonella phage VB_StyS_BS5</t>
  </si>
  <si>
    <t>MN692673</t>
  </si>
  <si>
    <t>Salmonella virus KFS-SE2</t>
  </si>
  <si>
    <t>MK112901</t>
  </si>
  <si>
    <t>Salmonella phage LPST10</t>
  </si>
  <si>
    <t>KY860935</t>
  </si>
  <si>
    <t>Salmonella phage SeSz-2</t>
  </si>
  <si>
    <t>MH791412</t>
  </si>
  <si>
    <t>Salmonella phage Seszw_1</t>
  </si>
  <si>
    <t>MH791410</t>
  </si>
  <si>
    <t>Salmonella phage Skate</t>
  </si>
  <si>
    <t>MH321493</t>
  </si>
  <si>
    <t>Salmonella virus VSt472</t>
  </si>
  <si>
    <t>MH424446</t>
  </si>
  <si>
    <t>Skogvirus</t>
  </si>
  <si>
    <t>Gordonia phage Skog</t>
  </si>
  <si>
    <t>MN908687</t>
  </si>
  <si>
    <t>Skulduggeryvirus</t>
  </si>
  <si>
    <t>Pseudomonas phage Skulduggery</t>
  </si>
  <si>
    <t>MF042361</t>
  </si>
  <si>
    <t>Skunavirus</t>
  </si>
  <si>
    <t>Lactococcus phage 936 group phage PhiA.16</t>
  </si>
  <si>
    <t>KP793102</t>
  </si>
  <si>
    <t>Lactococcus phage ASCC191</t>
  </si>
  <si>
    <t>JQ740787</t>
  </si>
  <si>
    <t>Lactococcus phage ASCC273</t>
  </si>
  <si>
    <t>JQ740788</t>
  </si>
  <si>
    <t>Lactococcus phage ASCC281</t>
  </si>
  <si>
    <t>JQ740789</t>
  </si>
  <si>
    <t>Lactococcus phage ASCC465</t>
  </si>
  <si>
    <t>JQ740804</t>
  </si>
  <si>
    <t>Lactococcus phage ASCC532</t>
  </si>
  <si>
    <t>JQ740813</t>
  </si>
  <si>
    <t>Lactococcus phage 936 group phage PhiB1127</t>
  </si>
  <si>
    <t>KP793104</t>
  </si>
  <si>
    <t>Lactococcus phage bIBB29</t>
  </si>
  <si>
    <t>EU221285</t>
  </si>
  <si>
    <t>Lactococcus phage vB_Llc_bIBB5g1</t>
  </si>
  <si>
    <t>MG253647</t>
  </si>
  <si>
    <t>Lactococcus phage vB_Llc_bIBBF12</t>
  </si>
  <si>
    <t>MG253652</t>
  </si>
  <si>
    <t>Lactococcus phage bIL170</t>
  </si>
  <si>
    <t>AF009630</t>
  </si>
  <si>
    <t>Lactococcus phage CaseusJM1</t>
  </si>
  <si>
    <t>KC522412</t>
  </si>
  <si>
    <t>Lactococcus phage CB13</t>
  </si>
  <si>
    <t>FJ848882</t>
  </si>
  <si>
    <t>Lactococcus phage CB14</t>
  </si>
  <si>
    <t>FJ848883</t>
  </si>
  <si>
    <t>Lactococcus phage CB19</t>
  </si>
  <si>
    <t>FJ848884</t>
  </si>
  <si>
    <t>Lactococcus phage CHPC129</t>
  </si>
  <si>
    <t>MN689514</t>
  </si>
  <si>
    <t>Lactococcus phage CHPC361</t>
  </si>
  <si>
    <t>MN689517</t>
  </si>
  <si>
    <t>Lactococcus phage CHPC362</t>
  </si>
  <si>
    <t>MN689518</t>
  </si>
  <si>
    <t>Lactococcus phage CHPC52</t>
  </si>
  <si>
    <t>MN689519</t>
  </si>
  <si>
    <t>Lactococcus phage CHPC781</t>
  </si>
  <si>
    <t>MN689520</t>
  </si>
  <si>
    <t>Lactococcus phage CHPC958</t>
  </si>
  <si>
    <t>MN689522</t>
  </si>
  <si>
    <t>Lactococcus phage CHPC959</t>
  </si>
  <si>
    <t>MN689523</t>
  </si>
  <si>
    <t>Lactococcus phage CHPC964</t>
  </si>
  <si>
    <t>MN689524</t>
  </si>
  <si>
    <t>Lactococcus phage CHPC965</t>
  </si>
  <si>
    <t>MN689525</t>
  </si>
  <si>
    <t>Lactococcus phage 936 group phage PhiE1127</t>
  </si>
  <si>
    <t>KP793131</t>
  </si>
  <si>
    <t>Lactococcus phage 936 group phage PhiF0139</t>
  </si>
  <si>
    <t>KP793118</t>
  </si>
  <si>
    <t>Lactococcus phage fd13</t>
  </si>
  <si>
    <t>KC182545</t>
  </si>
  <si>
    <t>Lactococcus phage i0139</t>
  </si>
  <si>
    <t>KX379665</t>
  </si>
  <si>
    <t>Lactococcus phage 936 group phage PhiJF1</t>
  </si>
  <si>
    <t>KP793129</t>
  </si>
  <si>
    <t>Lactococcus phage jm2</t>
  </si>
  <si>
    <t>KC182546</t>
  </si>
  <si>
    <t>Lactococcus phage jm3</t>
  </si>
  <si>
    <t>KC182547</t>
  </si>
  <si>
    <t>Lactococcus phage 936 group phage PhiL.18</t>
  </si>
  <si>
    <t>KP793120</t>
  </si>
  <si>
    <t>Lactococcus phage 936 group phage PhiL.6</t>
  </si>
  <si>
    <t>KP793122</t>
  </si>
  <si>
    <t>Lactococcus phage 936 group phage PhiLj</t>
  </si>
  <si>
    <t>KP793133</t>
  </si>
  <si>
    <t>Lactococcus phage LP0209</t>
  </si>
  <si>
    <t>MF775693</t>
  </si>
  <si>
    <t>Lactococcus phage LP0903</t>
  </si>
  <si>
    <t>MF775698</t>
  </si>
  <si>
    <t>Lactococcus phage LP1502a</t>
  </si>
  <si>
    <t>MF775703</t>
  </si>
  <si>
    <t>Lactococcus phage LP8511</t>
  </si>
  <si>
    <t>MF775669</t>
  </si>
  <si>
    <t>Lactococcus phage LP9207</t>
  </si>
  <si>
    <t>MF775676</t>
  </si>
  <si>
    <t>Lactococcus phage LP9404</t>
  </si>
  <si>
    <t>MF775678</t>
  </si>
  <si>
    <t>Lactococcus phage LP9609</t>
  </si>
  <si>
    <t>MF775682</t>
  </si>
  <si>
    <t>Lactococcus phage LP9903</t>
  </si>
  <si>
    <t>MF775685</t>
  </si>
  <si>
    <t>Lactococcus phage LP9908</t>
  </si>
  <si>
    <t>MF775686</t>
  </si>
  <si>
    <t>Lactococcus phage 936 group phage PhiM1127</t>
  </si>
  <si>
    <t>KP793132</t>
  </si>
  <si>
    <t>Lactococcus phage MP1</t>
  </si>
  <si>
    <t>MG779474</t>
  </si>
  <si>
    <t>Lactococcus phage MV10L</t>
  </si>
  <si>
    <t>MK301440</t>
  </si>
  <si>
    <t>Lactococcus phage P008</t>
  </si>
  <si>
    <t>DQ054536</t>
  </si>
  <si>
    <t>Lactococcus phage P1532</t>
  </si>
  <si>
    <t>MN552148</t>
  </si>
  <si>
    <t>Lactococcus lactis phage p272</t>
  </si>
  <si>
    <t>KC182549</t>
  </si>
  <si>
    <t>Lactococcus phage P4565</t>
  </si>
  <si>
    <t>MN552150</t>
  </si>
  <si>
    <t>Lactococcus lactis phage P475</t>
  </si>
  <si>
    <t>KC182550</t>
  </si>
  <si>
    <t>Lactococcus phage P656</t>
  </si>
  <si>
    <t>MN552149</t>
  </si>
  <si>
    <t>Lactococcus phage P680</t>
  </si>
  <si>
    <t>KC182551</t>
  </si>
  <si>
    <t>Lactococcus phage R31</t>
  </si>
  <si>
    <t>KY554761</t>
  </si>
  <si>
    <t>Lactococcus phage 936 group phage PhiS0139</t>
  </si>
  <si>
    <t>KP793134</t>
  </si>
  <si>
    <t>Lactococcus phage sk1</t>
  </si>
  <si>
    <t>AF011378</t>
  </si>
  <si>
    <t>Lactococcus phage SL4</t>
  </si>
  <si>
    <t>FJ848881</t>
  </si>
  <si>
    <t>Lactococcus phage 05601</t>
  </si>
  <si>
    <t>MF448554</t>
  </si>
  <si>
    <t>Lactococcus phage 936 group phage Phi109</t>
  </si>
  <si>
    <t>KP793121</t>
  </si>
  <si>
    <t>Lactococcus phage 10W18</t>
  </si>
  <si>
    <t>KX379664</t>
  </si>
  <si>
    <t>Lactococcus phage 13W11L</t>
  </si>
  <si>
    <t>KX379671</t>
  </si>
  <si>
    <t>Lactococcus phage phi145</t>
  </si>
  <si>
    <t>KM091444</t>
  </si>
  <si>
    <t>Lactococcus phage phi15</t>
  </si>
  <si>
    <t>KM091442</t>
  </si>
  <si>
    <t>Lactococcus phage 936 group phage Phi155</t>
  </si>
  <si>
    <t>KP793130</t>
  </si>
  <si>
    <t>Lactococcus phage 16802</t>
  </si>
  <si>
    <t>MF448555</t>
  </si>
  <si>
    <t>Lactococcus phage 16W23</t>
  </si>
  <si>
    <t>KX346249</t>
  </si>
  <si>
    <t>Lactococcus phage 936 group phage Phi19.3</t>
  </si>
  <si>
    <t>KP793105</t>
  </si>
  <si>
    <t>Lactococcus phage 30804</t>
  </si>
  <si>
    <t>MF448556</t>
  </si>
  <si>
    <t>Lactococcus phage 340</t>
  </si>
  <si>
    <t>KC182542</t>
  </si>
  <si>
    <t>Lactococcus phage 37201</t>
  </si>
  <si>
    <t>MF448557</t>
  </si>
  <si>
    <t>Lactococcus phage 38503</t>
  </si>
  <si>
    <t>MF448558</t>
  </si>
  <si>
    <t>Lactococcus phage 38507</t>
  </si>
  <si>
    <t>MF448559</t>
  </si>
  <si>
    <t>Lactococcus phage 3R16S</t>
  </si>
  <si>
    <t>KX379666</t>
  </si>
  <si>
    <t>Lactococcus phage 936 group phage Phi4.2</t>
  </si>
  <si>
    <t>KP793123</t>
  </si>
  <si>
    <t>Lactococcus phage 936 group phage Phi44</t>
  </si>
  <si>
    <t>KP793124</t>
  </si>
  <si>
    <t>Lactococcus phage 936 group phage Phi5.12</t>
  </si>
  <si>
    <t>KP793108</t>
  </si>
  <si>
    <t>Lactococcus phage 51701</t>
  </si>
  <si>
    <t>MF448560</t>
  </si>
  <si>
    <t>Lactococcus phage 56003</t>
  </si>
  <si>
    <t>MF448561</t>
  </si>
  <si>
    <t>Lactococcus phage 56301</t>
  </si>
  <si>
    <t>MF448562</t>
  </si>
  <si>
    <t>Lactococcus phage 57001</t>
  </si>
  <si>
    <t>MF448563</t>
  </si>
  <si>
    <t>Lactococcus phage 62601</t>
  </si>
  <si>
    <t>MF448564</t>
  </si>
  <si>
    <t>Lactococcus phage 62605</t>
  </si>
  <si>
    <t>MF448565</t>
  </si>
  <si>
    <t>Lactococcus phage 63302</t>
  </si>
  <si>
    <t>MF448566</t>
  </si>
  <si>
    <t>Lactococcus phage 66901</t>
  </si>
  <si>
    <t>MF448567</t>
  </si>
  <si>
    <t>Lactococcus phage phi7</t>
  </si>
  <si>
    <t>KC182552</t>
  </si>
  <si>
    <t>Lactococcus phage 712</t>
  </si>
  <si>
    <t>DQ227763</t>
  </si>
  <si>
    <t>Lactococcus phage 79201</t>
  </si>
  <si>
    <t>MF448568</t>
  </si>
  <si>
    <t>Lactococcus phage 88605</t>
  </si>
  <si>
    <t>MF448569</t>
  </si>
  <si>
    <t>Lactococcus phage 8V08</t>
  </si>
  <si>
    <t>MK301438</t>
  </si>
  <si>
    <t>Lactococcus phage 936 group phage Phi91127</t>
  </si>
  <si>
    <t>KP793125</t>
  </si>
  <si>
    <t>Lactococcus phage 936</t>
  </si>
  <si>
    <t>KC182544</t>
  </si>
  <si>
    <t>Lactococcus phage 96401</t>
  </si>
  <si>
    <t>MF448570</t>
  </si>
  <si>
    <t>Lactococcus phage 96403</t>
  </si>
  <si>
    <t>MF448571</t>
  </si>
  <si>
    <t>Lactococcus phage 96603</t>
  </si>
  <si>
    <t>MF448572</t>
  </si>
  <si>
    <t>Slashvirus</t>
  </si>
  <si>
    <t>Bacillus phage Slash</t>
  </si>
  <si>
    <t>KF669661</t>
  </si>
  <si>
    <t>Bacillus phage Stahl</t>
  </si>
  <si>
    <t>KP696447</t>
  </si>
  <si>
    <t>Bacillus phage Staley</t>
  </si>
  <si>
    <t>KF669663</t>
  </si>
  <si>
    <t>Bacillus phage Stills</t>
  </si>
  <si>
    <t>KP696448</t>
  </si>
  <si>
    <t>Sleepyheadvirus</t>
  </si>
  <si>
    <t>Rhodococcus phage Sleepyhead</t>
  </si>
  <si>
    <t>MK967380</t>
  </si>
  <si>
    <t>Smoothievirus</t>
  </si>
  <si>
    <t>Gordonia phage Bachita</t>
  </si>
  <si>
    <t>KU998247</t>
  </si>
  <si>
    <t>Gordonia phage ClubL</t>
  </si>
  <si>
    <t>KU998246</t>
  </si>
  <si>
    <t>Gordonia phage Smoothie</t>
  </si>
  <si>
    <t>KU998244</t>
  </si>
  <si>
    <t>Snuvirus</t>
  </si>
  <si>
    <t>Erwinia phage pEa_SNUABM_7</t>
  </si>
  <si>
    <t>MZ475896</t>
  </si>
  <si>
    <t>Sonalivirus</t>
  </si>
  <si>
    <t>Arthrobacter phage Sonali</t>
  </si>
  <si>
    <t>MK411746</t>
  </si>
  <si>
    <t>Sortsnevirus</t>
  </si>
  <si>
    <t>Klebsiella phage vB_KpnS_IME279</t>
  </si>
  <si>
    <t>MF614100</t>
  </si>
  <si>
    <t>Escherichia phage Sortsne</t>
  </si>
  <si>
    <t>MK651787</t>
  </si>
  <si>
    <t>Soupsvirus</t>
  </si>
  <si>
    <t>Gordonia phage Soups</t>
  </si>
  <si>
    <t>KU998249</t>
  </si>
  <si>
    <t>Gordonia phage Strosahl</t>
  </si>
  <si>
    <t>KX557284</t>
  </si>
  <si>
    <t>Gordonia phage Wait</t>
  </si>
  <si>
    <t>MH001454</t>
  </si>
  <si>
    <t>Sourvirus</t>
  </si>
  <si>
    <t>Gordonia phage Sour</t>
  </si>
  <si>
    <t>MH153810</t>
  </si>
  <si>
    <t>Sozzivirus</t>
  </si>
  <si>
    <t>Oenococcus phage phiS11</t>
  </si>
  <si>
    <t>KF183314</t>
  </si>
  <si>
    <t>Oenococcus phage phiS13</t>
  </si>
  <si>
    <t>KF183315</t>
  </si>
  <si>
    <t>Oenococcus phage phi9805</t>
  </si>
  <si>
    <t>KF147927</t>
  </si>
  <si>
    <t>Sparkyvirus</t>
  </si>
  <si>
    <t>Mycobacterium phage Sparky</t>
  </si>
  <si>
    <t>KM083128</t>
  </si>
  <si>
    <t>Spbetavirus</t>
  </si>
  <si>
    <t>Bacillus phage SPBc2</t>
  </si>
  <si>
    <t>AF020713</t>
  </si>
  <si>
    <t>Spizizenvirus</t>
  </si>
  <si>
    <t>Bacillus phage phi105</t>
  </si>
  <si>
    <t>HM072038</t>
  </si>
  <si>
    <t>Squashvirus</t>
  </si>
  <si>
    <t>Microbacterium phage Hyperion</t>
  </si>
  <si>
    <t>MH153803</t>
  </si>
  <si>
    <t>Microbacterium phage Squash</t>
  </si>
  <si>
    <t>MH153813</t>
  </si>
  <si>
    <t>Stanholtvirus</t>
  </si>
  <si>
    <t>Burkholderia phage phiE125</t>
  </si>
  <si>
    <t>AF447491</t>
  </si>
  <si>
    <t>Burkholderia phage phi1026b</t>
  </si>
  <si>
    <t>AY453853</t>
  </si>
  <si>
    <t>Burkholderia phage phi644-2</t>
  </si>
  <si>
    <t>CP000625</t>
  </si>
  <si>
    <t>Steinhofvirus</t>
  </si>
  <si>
    <t>Achromobacter phage JWX</t>
  </si>
  <si>
    <t>KP202969</t>
  </si>
  <si>
    <t>Achromobacter phage 83-24</t>
  </si>
  <si>
    <t>KP202970</t>
  </si>
  <si>
    <t>Stonewallvirus</t>
  </si>
  <si>
    <t>Streptococcus phage A25</t>
  </si>
  <si>
    <t>KT388093</t>
  </si>
  <si>
    <t>Stormageddonvirus</t>
  </si>
  <si>
    <t>Gordonia phage Stormageddon</t>
  </si>
  <si>
    <t>MN586040</t>
  </si>
  <si>
    <t>Sukhumvitvirus</t>
  </si>
  <si>
    <t>Lactobacillus phage T25</t>
  </si>
  <si>
    <t>AP018361</t>
  </si>
  <si>
    <t>Svunavirus</t>
  </si>
  <si>
    <t>Geobacillus phage GBSV1</t>
  </si>
  <si>
    <t>DQ340064</t>
  </si>
  <si>
    <t>Bacillus phage 1</t>
  </si>
  <si>
    <t>DQ840344</t>
  </si>
  <si>
    <t>Swiduovirus</t>
  </si>
  <si>
    <t>Escherichia phage vB_EcoS_swi2</t>
  </si>
  <si>
    <t>MT768060</t>
  </si>
  <si>
    <t>Syrbvirus</t>
  </si>
  <si>
    <t>Microbacterium phage vB_MoxS-R1</t>
  </si>
  <si>
    <t>MW073100</t>
  </si>
  <si>
    <t>Tabernariusvirus</t>
  </si>
  <si>
    <t>Pseudomonas phage tabernarius</t>
  </si>
  <si>
    <t>MG018926</t>
  </si>
  <si>
    <t>Takahashivirus</t>
  </si>
  <si>
    <t>Bacillus phage PBS1</t>
  </si>
  <si>
    <t>MF360957</t>
  </si>
  <si>
    <t>Tandoganvirus</t>
  </si>
  <si>
    <t>Anoxybacillus phage A403</t>
  </si>
  <si>
    <t>MG969427</t>
  </si>
  <si>
    <t>Tankvirus</t>
  </si>
  <si>
    <t>Arthrobacter phage Tank</t>
  </si>
  <si>
    <t>KU160669</t>
  </si>
  <si>
    <t>Tantvirus</t>
  </si>
  <si>
    <t>vB_FspS_tant8-1</t>
  </si>
  <si>
    <t>MN812239</t>
  </si>
  <si>
    <t>Taranisvirus</t>
  </si>
  <si>
    <t>Faecalibacterium phage FP_Taranis</t>
  </si>
  <si>
    <t>MG711467</t>
  </si>
  <si>
    <t>Tepukevirus</t>
  </si>
  <si>
    <t>Pseudomonas phage Psa21</t>
  </si>
  <si>
    <t>MK552327</t>
  </si>
  <si>
    <t>Terapinvirus</t>
  </si>
  <si>
    <t>Gordonia phage Suzy</t>
  </si>
  <si>
    <t>MH271313</t>
  </si>
  <si>
    <t>Gordonia phage Terapin</t>
  </si>
  <si>
    <t>KX557285</t>
  </si>
  <si>
    <t>Teubervirus</t>
  </si>
  <si>
    <t>Lactococcus phage AM6</t>
  </si>
  <si>
    <t>KY554766</t>
  </si>
  <si>
    <t>Lactococcus phage LW31</t>
  </si>
  <si>
    <t>KY554762</t>
  </si>
  <si>
    <t>Lactococcus phage P087</t>
  </si>
  <si>
    <t>FJ429185</t>
  </si>
  <si>
    <t>Lactococcus phage P596</t>
  </si>
  <si>
    <t>MN528768</t>
  </si>
  <si>
    <t>Lactococcus phage phiQ1</t>
  </si>
  <si>
    <t>AP019527</t>
  </si>
  <si>
    <t>Thornevirus</t>
  </si>
  <si>
    <t>Bacillus phage SP-15</t>
  </si>
  <si>
    <t>KT624200</t>
  </si>
  <si>
    <t>Tieomvirus</t>
  </si>
  <si>
    <t>Vibrio phage vB_VpP_BT-1011</t>
  </si>
  <si>
    <t>MW009675</t>
  </si>
  <si>
    <t>Tigunavirus</t>
  </si>
  <si>
    <t>Streptomyces phage TG1</t>
  </si>
  <si>
    <t>JX182372</t>
  </si>
  <si>
    <t>Tijeunavirus</t>
  </si>
  <si>
    <t>Tetrasphaera phage TJE1</t>
  </si>
  <si>
    <t>HQ225832</t>
  </si>
  <si>
    <t>Timshelvirus</t>
  </si>
  <si>
    <t>Mycobacterium phage DroogsArmy</t>
  </si>
  <si>
    <t>MT553337</t>
  </si>
  <si>
    <t>Mycobacterium phage HINdeR</t>
  </si>
  <si>
    <t>KC661275</t>
  </si>
  <si>
    <t>Mycobacterium phage SWU2</t>
  </si>
  <si>
    <t>MG793454</t>
  </si>
  <si>
    <t>Mycobacterium phage Timshel</t>
  </si>
  <si>
    <t>JF957060</t>
  </si>
  <si>
    <t>Tinduovirus</t>
  </si>
  <si>
    <t>Tsukamurella phage TIN2</t>
  </si>
  <si>
    <t>KR011062</t>
  </si>
  <si>
    <t>Tsukamurella phage TIN3</t>
  </si>
  <si>
    <t>KR011063</t>
  </si>
  <si>
    <t>Titanvirus</t>
  </si>
  <si>
    <t>Rhodobacter phage RcSpartan</t>
  </si>
  <si>
    <t>KR935215</t>
  </si>
  <si>
    <t>Rhodobacter phage RcTitan</t>
  </si>
  <si>
    <t>KR935213</t>
  </si>
  <si>
    <t>Toutatisvirus</t>
  </si>
  <si>
    <t>Faecalibacterium phage FP_Toutatis</t>
  </si>
  <si>
    <t>MG711466</t>
  </si>
  <si>
    <t>Triavirus</t>
  </si>
  <si>
    <t>Staphylococcus phage vB_SauS_fPfSau02</t>
  </si>
  <si>
    <t>MK348510</t>
  </si>
  <si>
    <t>Staphylococcus phage phiSauS-IPLA35</t>
  </si>
  <si>
    <t>EU861005</t>
  </si>
  <si>
    <t>Staphylococcus phage vB_SauS_JS02</t>
  </si>
  <si>
    <t>LC541428</t>
  </si>
  <si>
    <t>Staphylococcus phage LH1</t>
  </si>
  <si>
    <t>JX174275</t>
  </si>
  <si>
    <t>Staphylococcus phage P240</t>
  </si>
  <si>
    <t>KY056620</t>
  </si>
  <si>
    <t>Staphylococcus phage YMC/09/04/R1988</t>
  </si>
  <si>
    <t>KF598856</t>
  </si>
  <si>
    <t>Staphylococcus phage SA137ruMSSAST121PVL</t>
  </si>
  <si>
    <t>MH384261</t>
  </si>
  <si>
    <t>Staphylococcus phage SAP11</t>
  </si>
  <si>
    <t>MK801681</t>
  </si>
  <si>
    <t>Staphylococcus phage phiSLT</t>
  </si>
  <si>
    <t>AB045978</t>
  </si>
  <si>
    <t>Staphylococcus phage phiSa2wa_st1</t>
  </si>
  <si>
    <t>MF580410</t>
  </si>
  <si>
    <t>Staphylococcus phage phiSa2wa_st121mssa</t>
  </si>
  <si>
    <t>MG029518</t>
  </si>
  <si>
    <t>Staphylococcus phage phiSa2wa_st30</t>
  </si>
  <si>
    <t>MG029511</t>
  </si>
  <si>
    <t>Staphylococcus phage phiSa2wa_st5</t>
  </si>
  <si>
    <t>MG029509</t>
  </si>
  <si>
    <t>Staphylococcus phage phiSa2wa_st78</t>
  </si>
  <si>
    <t>MG029514</t>
  </si>
  <si>
    <t>Staphylococcus phage StauST398-2</t>
  </si>
  <si>
    <t>JQ957932</t>
  </si>
  <si>
    <t>Staphylococcus phage tp310-2</t>
  </si>
  <si>
    <t>EF462198</t>
  </si>
  <si>
    <t>Staphylococcus phage phi 12</t>
  </si>
  <si>
    <t>AF424782</t>
  </si>
  <si>
    <t>Staphylococcus phage SH-St 15644</t>
  </si>
  <si>
    <t>MG770897</t>
  </si>
  <si>
    <t>Staphylococcus phage vB_SauS_phi2</t>
  </si>
  <si>
    <t>KT186243</t>
  </si>
  <si>
    <t>Staphylococcus phage phi2958PVL</t>
  </si>
  <si>
    <t>AP009363</t>
  </si>
  <si>
    <t>Staphylococcus phage 3A</t>
  </si>
  <si>
    <t>AY954956</t>
  </si>
  <si>
    <t>Staphylococcus phage 42e</t>
  </si>
  <si>
    <t>AY954955</t>
  </si>
  <si>
    <t>Staphylococcus phage 47</t>
  </si>
  <si>
    <t>AY954957</t>
  </si>
  <si>
    <t>Trigintaduovirus</t>
  </si>
  <si>
    <t>Mycobacterium phage 32HC</t>
  </si>
  <si>
    <t>KJ028219</t>
  </si>
  <si>
    <t>Mycobacterium phage Rem711</t>
  </si>
  <si>
    <t>MG770216</t>
  </si>
  <si>
    <t>Trinavirus</t>
  </si>
  <si>
    <t>Rhodococcus phage Trina</t>
  </si>
  <si>
    <t>MF668286</t>
  </si>
  <si>
    <t>Trinevirus</t>
  </si>
  <si>
    <t>Gordonia phage Trine</t>
  </si>
  <si>
    <t>MH271318</t>
  </si>
  <si>
    <t>Triplejayvirus</t>
  </si>
  <si>
    <t>Arthrobacter phage TripleJ</t>
  </si>
  <si>
    <t>MN234178</t>
  </si>
  <si>
    <t>Turbidovirus</t>
  </si>
  <si>
    <t>Mycobacterium phage Anselm</t>
  </si>
  <si>
    <t>MF919490</t>
  </si>
  <si>
    <t>Mycobacterium phage Benvolio</t>
  </si>
  <si>
    <t>MK919472</t>
  </si>
  <si>
    <t>Mycobacterium phage Bugsy</t>
  </si>
  <si>
    <t>MN585998</t>
  </si>
  <si>
    <t>Mycobacterium phage Centaur</t>
  </si>
  <si>
    <t>MK061408</t>
  </si>
  <si>
    <t>Mycobacterium phage EvilGenius</t>
  </si>
  <si>
    <t>KU985093</t>
  </si>
  <si>
    <t>Mycobacterium phage Fameo</t>
  </si>
  <si>
    <t>MH051252</t>
  </si>
  <si>
    <t>Mycobacterium phage Georgie2</t>
  </si>
  <si>
    <t>MT498066</t>
  </si>
  <si>
    <t>Mycobacterium phage Heffalump</t>
  </si>
  <si>
    <t>KY965065</t>
  </si>
  <si>
    <t>Mycobacterium phage JoshKayV</t>
  </si>
  <si>
    <t>MF472896</t>
  </si>
  <si>
    <t>Mycobacterium phage Larenn</t>
  </si>
  <si>
    <t>KM677210</t>
  </si>
  <si>
    <t>Mycobacterium phage Malec</t>
  </si>
  <si>
    <t>MK284522</t>
  </si>
  <si>
    <t>Mycobacterium phage Piro94</t>
  </si>
  <si>
    <t>KM197169</t>
  </si>
  <si>
    <t>Mycobacterium phage Turbido</t>
  </si>
  <si>
    <t>JN408460</t>
  </si>
  <si>
    <t>Typhavirus</t>
  </si>
  <si>
    <t>Mycobacterium phage Typha</t>
  </si>
  <si>
    <t>MK494099</t>
  </si>
  <si>
    <t>Uetakevirus</t>
  </si>
  <si>
    <t>Salmonella phage Epsilon15</t>
  </si>
  <si>
    <t>AY150271</t>
  </si>
  <si>
    <t>Escherichia phage phiV10</t>
  </si>
  <si>
    <t>DQ126339</t>
  </si>
  <si>
    <t>Salmonella phage SPN1S</t>
  </si>
  <si>
    <t>JN391180</t>
  </si>
  <si>
    <t>Uwajimavirus</t>
  </si>
  <si>
    <t>Lactococcus phage PLgW-1</t>
  </si>
  <si>
    <t>KY888143</t>
  </si>
  <si>
    <t>Vashvirus</t>
  </si>
  <si>
    <t>Streptomyces phage Lilbooboo</t>
  </si>
  <si>
    <t>MK450431</t>
  </si>
  <si>
    <t>Streptomyces phage Vash</t>
  </si>
  <si>
    <t>MK450421</t>
  </si>
  <si>
    <t>Vedamuthuvirus</t>
  </si>
  <si>
    <t>Lactococcus phage BM13</t>
  </si>
  <si>
    <t>JX567312</t>
  </si>
  <si>
    <t>Lactococcus phage P1045</t>
  </si>
  <si>
    <t>MN552144</t>
  </si>
  <si>
    <t>Lactococcus phage Q33</t>
  </si>
  <si>
    <t>JX564242</t>
  </si>
  <si>
    <t>Lactococcus phage 50902</t>
  </si>
  <si>
    <t>KX160206</t>
  </si>
  <si>
    <t>Lactococcus phage 62503</t>
  </si>
  <si>
    <t>KX160211</t>
  </si>
  <si>
    <t>Veewebvirus</t>
  </si>
  <si>
    <t>Streptomyces phage VWB</t>
  </si>
  <si>
    <t>AY320035</t>
  </si>
  <si>
    <t>Veracruzvirus</t>
  </si>
  <si>
    <t>Mycobacterium phage BabyRay</t>
  </si>
  <si>
    <t>KX683423</t>
  </si>
  <si>
    <t>Mycobacterium phage BTCU-1</t>
  </si>
  <si>
    <t>KC172839</t>
  </si>
  <si>
    <t>Mycobacterium phage HelDan</t>
  </si>
  <si>
    <t>JF957058</t>
  </si>
  <si>
    <t>Mycobacterium phage MA5</t>
  </si>
  <si>
    <t>MT310879</t>
  </si>
  <si>
    <t>Mycobacterium phage Phantastic</t>
  </si>
  <si>
    <t>KJ510415</t>
  </si>
  <si>
    <t>Mycobacterium phage Pistachio</t>
  </si>
  <si>
    <t>MH047633</t>
  </si>
  <si>
    <t>Mycobacterium phage Rockstar</t>
  </si>
  <si>
    <t>JF704111</t>
  </si>
  <si>
    <t>Mycobacterium phage Veracruz</t>
  </si>
  <si>
    <t>MK524496</t>
  </si>
  <si>
    <t>Vhmlvirus</t>
  </si>
  <si>
    <t>Vibrio phage vB_VpaM_MAR</t>
  </si>
  <si>
    <t>JX556417</t>
  </si>
  <si>
    <t>Vibrio phage VHML</t>
  </si>
  <si>
    <t>AY133112</t>
  </si>
  <si>
    <t>Vibrio phage VP585</t>
  </si>
  <si>
    <t>FN297812</t>
  </si>
  <si>
    <t>Vhulanivirus</t>
  </si>
  <si>
    <t>Paracoccus phage Shpa</t>
  </si>
  <si>
    <t>KR072689</t>
  </si>
  <si>
    <t>Vibakivirus</t>
  </si>
  <si>
    <t>Arthrobacter phage Vibaki</t>
  </si>
  <si>
    <t>MN096362</t>
  </si>
  <si>
    <t>Vicosavirus</t>
  </si>
  <si>
    <t>Pseudomonas phage NV1</t>
  </si>
  <si>
    <t>MG845684</t>
  </si>
  <si>
    <t>Pseudomonas phage UFV-P2</t>
  </si>
  <si>
    <t>JX863101</t>
  </si>
  <si>
    <t>Vidquintavirus</t>
  </si>
  <si>
    <t>Pantoea phage vB_PagS_Vid5</t>
  </si>
  <si>
    <t>MG948468</t>
  </si>
  <si>
    <t>Vieuvirus</t>
  </si>
  <si>
    <t>Acinetobacter phage YMC/09/02/B1251</t>
  </si>
  <si>
    <t>JX403940</t>
  </si>
  <si>
    <t>Acinetobacter phage YMC11/11/R3177</t>
  </si>
  <si>
    <t>KP861230</t>
  </si>
  <si>
    <t>Vividuovirus</t>
  </si>
  <si>
    <t>Gordonia phage Lennon</t>
  </si>
  <si>
    <t>MF919514</t>
  </si>
  <si>
    <t>Gordonia phage Ailee</t>
  </si>
  <si>
    <t>MH976507</t>
  </si>
  <si>
    <t>Gordonia phage Angelicage</t>
  </si>
  <si>
    <t>MH651166</t>
  </si>
  <si>
    <t>Gordonia phage Barsten</t>
  </si>
  <si>
    <t>MT498035</t>
  </si>
  <si>
    <t>Gordonia phage Bibwit</t>
  </si>
  <si>
    <t>MH976508</t>
  </si>
  <si>
    <t>Gordonia phage Brandonk123</t>
  </si>
  <si>
    <t>MG812487</t>
  </si>
  <si>
    <t>Gordonia phage Fosterous</t>
  </si>
  <si>
    <t>MH976510</t>
  </si>
  <si>
    <t>Gordonia phage Galadriel</t>
  </si>
  <si>
    <t>MK937594</t>
  </si>
  <si>
    <t>Gordonia phage Geodirt</t>
  </si>
  <si>
    <t>MH976512</t>
  </si>
  <si>
    <t>Gordonia phage Jabberwocky</t>
  </si>
  <si>
    <t>MN329673</t>
  </si>
  <si>
    <t>Gordonia phage Keitabear</t>
  </si>
  <si>
    <t>MN329677</t>
  </si>
  <si>
    <t>Gordonia phage Love</t>
  </si>
  <si>
    <t>MT723934</t>
  </si>
  <si>
    <t>Gordonia phage McKinley</t>
  </si>
  <si>
    <t>MK977702</t>
  </si>
  <si>
    <t>Gordonia phage Nordenberg</t>
  </si>
  <si>
    <t>MH976514</t>
  </si>
  <si>
    <t>Gordonia phage Paries</t>
  </si>
  <si>
    <t>MT639640</t>
  </si>
  <si>
    <t>Gordonia phage Rofo</t>
  </si>
  <si>
    <t>MH479924</t>
  </si>
  <si>
    <t>Gordonia phage Stultus</t>
  </si>
  <si>
    <t>MH976518</t>
  </si>
  <si>
    <t>Gordonia phage Tangent</t>
  </si>
  <si>
    <t>MH976519</t>
  </si>
  <si>
    <t>Gordonia phage Vivi2</t>
  </si>
  <si>
    <t>KU963250</t>
  </si>
  <si>
    <t>Waukeshavirus</t>
  </si>
  <si>
    <t>Bacillus phage vB_BtS_BMBtp3</t>
  </si>
  <si>
    <t>KJ024807</t>
  </si>
  <si>
    <t>Bacillus phage Waukesha92</t>
  </si>
  <si>
    <t>KJ920400</t>
  </si>
  <si>
    <t>Wbetavirus</t>
  </si>
  <si>
    <t>Bacillus phage Wbeta</t>
  </si>
  <si>
    <t>DQ289555</t>
  </si>
  <si>
    <t>Weaselvirus</t>
  </si>
  <si>
    <t>Rhodococcus phage Weasels2</t>
  </si>
  <si>
    <t>KX774321</t>
  </si>
  <si>
    <t>Wellingtonvirus</t>
  </si>
  <si>
    <t>Erwinia phage Wellington</t>
  </si>
  <si>
    <t>MH426724</t>
  </si>
  <si>
    <t>Whackvirus</t>
  </si>
  <si>
    <t>Rhodococcus phage Whack</t>
  </si>
  <si>
    <t>MK967393</t>
  </si>
  <si>
    <t>Whiteheadvirus</t>
  </si>
  <si>
    <t>Lactococcus phage 1358</t>
  </si>
  <si>
    <t>GQ403788</t>
  </si>
  <si>
    <t>Wifcevirus</t>
  </si>
  <si>
    <t>Escherichia phage ECML-117</t>
  </si>
  <si>
    <t>JX128258</t>
  </si>
  <si>
    <t>Escherichia phage FEC19</t>
  </si>
  <si>
    <t>MH816966</t>
  </si>
  <si>
    <t>Escherichia phage vB_EcoM_WFC</t>
  </si>
  <si>
    <t>MK373777</t>
  </si>
  <si>
    <t>Escherichia phage vB_EcoM_WFH</t>
  </si>
  <si>
    <t>MK373776</t>
  </si>
  <si>
    <t>Wizardvirus</t>
  </si>
  <si>
    <t>Gordonia phage Arri</t>
  </si>
  <si>
    <t>MK864266</t>
  </si>
  <si>
    <t>Gordonia phage Bakery</t>
  </si>
  <si>
    <t>MK937603</t>
  </si>
  <si>
    <t>Gordonia phage Barb</t>
  </si>
  <si>
    <t>MK864265</t>
  </si>
  <si>
    <t>Gordonia phage Danyall</t>
  </si>
  <si>
    <t>MH479910</t>
  </si>
  <si>
    <t>Gordonia phage Evamon</t>
  </si>
  <si>
    <t>MT310872</t>
  </si>
  <si>
    <t>Gordonia phage Fireball</t>
  </si>
  <si>
    <t>MN284907</t>
  </si>
  <si>
    <t>Gordonia phage Jambalaya</t>
  </si>
  <si>
    <t>MT521998</t>
  </si>
  <si>
    <t>Gordonia phage KimmyK</t>
  </si>
  <si>
    <t>MH479917</t>
  </si>
  <si>
    <t>Gordonia phage Mutzi</t>
  </si>
  <si>
    <t>MK305889</t>
  </si>
  <si>
    <t>Gordonia phage Nubi</t>
  </si>
  <si>
    <t>MN010760</t>
  </si>
  <si>
    <t>Gordonia phage Phlop</t>
  </si>
  <si>
    <t>MW507125</t>
  </si>
  <si>
    <t>Gordonia phage Portcullis</t>
  </si>
  <si>
    <t>MT639651</t>
  </si>
  <si>
    <t>Gordonia phage RogerDodger</t>
  </si>
  <si>
    <t>MK967381</t>
  </si>
  <si>
    <t>Gordonia phage SmokingBunny</t>
  </si>
  <si>
    <t>MK814761</t>
  </si>
  <si>
    <t>Gordonia phage TillyBobJoe</t>
  </si>
  <si>
    <t>MH669015</t>
  </si>
  <si>
    <t>Gordonia phage Twister6</t>
  </si>
  <si>
    <t>KX557286</t>
  </si>
  <si>
    <t>Gordonia phage Valary</t>
  </si>
  <si>
    <t>MK864267</t>
  </si>
  <si>
    <t>Gordonia phage VanDeWege</t>
  </si>
  <si>
    <t>MK864264</t>
  </si>
  <si>
    <t>Gordonia phage Wizard</t>
  </si>
  <si>
    <t>KU998234</t>
  </si>
  <si>
    <t>Woesvirus</t>
  </si>
  <si>
    <t>Gordonia phage Woes</t>
  </si>
  <si>
    <t>KU998240</t>
  </si>
  <si>
    <t>Wollypogvirus</t>
  </si>
  <si>
    <t>Arthrobacter phage Wollypog</t>
  </si>
  <si>
    <t>MW055913</t>
  </si>
  <si>
    <t>Wolominvirus</t>
  </si>
  <si>
    <t>Ochrobactrum phage vB_OspP_OH</t>
  </si>
  <si>
    <t>MT028492</t>
  </si>
  <si>
    <t>Woodruffvirus</t>
  </si>
  <si>
    <t>Streptomyces phage TP1604</t>
  </si>
  <si>
    <t>KP876466</t>
  </si>
  <si>
    <t>Streptomyces phage YDN12</t>
  </si>
  <si>
    <t>KP876465</t>
  </si>
  <si>
    <t>Wumpquatrovirus</t>
  </si>
  <si>
    <t>Phormidium phage Pf-WMP4</t>
  </si>
  <si>
    <t>DQ875742</t>
  </si>
  <si>
    <t>Wumptrevirus</t>
  </si>
  <si>
    <t>Cyanophage PP</t>
  </si>
  <si>
    <t>KF598865</t>
  </si>
  <si>
    <t>Phormidium phage Pf-WMP3</t>
  </si>
  <si>
    <t>EF537008</t>
  </si>
  <si>
    <t>Xiamenvirus</t>
  </si>
  <si>
    <t>Roseobacter phage RDJL Phi 1</t>
  </si>
  <si>
    <t>HM151342</t>
  </si>
  <si>
    <t>Roseobacter phage RDJL Phi 2</t>
  </si>
  <si>
    <t>KT266805</t>
  </si>
  <si>
    <t>Xipdecavirus</t>
  </si>
  <si>
    <t>Xanthomonas phage OP1</t>
  </si>
  <si>
    <t>AP008979</t>
  </si>
  <si>
    <t>Xanthomonas phage Xop411</t>
  </si>
  <si>
    <t>DQ777876</t>
  </si>
  <si>
    <t>Xanthomonas phage Xp10</t>
  </si>
  <si>
    <t>AY299121</t>
  </si>
  <si>
    <t>Xuquatrovirus</t>
  </si>
  <si>
    <t>Escherichia phage PTXU04</t>
  </si>
  <si>
    <t>MK373772</t>
  </si>
  <si>
    <t>Yanchengvirus</t>
  </si>
  <si>
    <t>Aeromonas phage pAEv1818</t>
  </si>
  <si>
    <t>OL964755</t>
  </si>
  <si>
    <t>Yeceytrevirus</t>
  </si>
  <si>
    <t>Mycobacterium phage Yecey3</t>
  </si>
  <si>
    <t>MN585979</t>
  </si>
  <si>
    <t>Yokohamavirus</t>
  </si>
  <si>
    <t>Edwardsiella phage MSW-3</t>
  </si>
  <si>
    <t>AB767244</t>
  </si>
  <si>
    <t>Edwardsiella phage PEi21</t>
  </si>
  <si>
    <t>AP013057</t>
  </si>
  <si>
    <t>Yoloswagvirus</t>
  </si>
  <si>
    <t>Erwinia phage vB_EamM_Yoloswag</t>
  </si>
  <si>
    <t>KY448244</t>
  </si>
  <si>
    <t>Yongloolinvirus</t>
  </si>
  <si>
    <t>Clostridioides phage phiC2</t>
  </si>
  <si>
    <t>DQ466086</t>
  </si>
  <si>
    <t>Clostridium phage CDMH1</t>
  </si>
  <si>
    <t>HG531805</t>
  </si>
  <si>
    <t>Clostridium phage phiMMP01</t>
  </si>
  <si>
    <t>LN681541</t>
  </si>
  <si>
    <t>Clostridium phage phiMMP03</t>
  </si>
  <si>
    <t>LN681542</t>
  </si>
  <si>
    <t>Yvonnevirus</t>
  </si>
  <si>
    <t>Gordonia phage Yvonnetastic</t>
  </si>
  <si>
    <t>KU963248</t>
  </si>
  <si>
    <t>Zetavirus</t>
  </si>
  <si>
    <t>Microbacterium phage Zeta1847</t>
  </si>
  <si>
    <t>MH271320</t>
  </si>
  <si>
    <t>Zhangjivirus</t>
  </si>
  <si>
    <t>Bacillus phage vB_BsuS_PJN02</t>
  </si>
  <si>
    <t>OM634653</t>
  </si>
  <si>
    <t>Zhangqianvirus</t>
  </si>
  <si>
    <t>Staphylococcus virus IME1354_01</t>
  </si>
  <si>
    <t>KY653126</t>
  </si>
  <si>
    <t>Zitchvirus</t>
  </si>
  <si>
    <t>Gordonia phage Verity</t>
  </si>
  <si>
    <t>MK937611</t>
  </si>
  <si>
    <t>Gordonia phage Zipp</t>
  </si>
  <si>
    <t>MK937607</t>
  </si>
  <si>
    <t>Gordonia phage Zitch</t>
  </si>
  <si>
    <t>MT498036</t>
  </si>
  <si>
    <t>Zukovirus</t>
  </si>
  <si>
    <t>Streptomyces phage KimJongPhill</t>
  </si>
  <si>
    <t>MW822144</t>
  </si>
  <si>
    <t>Streptomyces phage Zuko</t>
  </si>
  <si>
    <t>MN204493</t>
  </si>
  <si>
    <t>Andregratiavirinae</t>
  </si>
  <si>
    <t>Haetaevirus</t>
  </si>
  <si>
    <t>Bacillus phage PBC2</t>
  </si>
  <si>
    <t>KT070867</t>
  </si>
  <si>
    <t>Kirovvirus</t>
  </si>
  <si>
    <t>Bacillus phage Kirov</t>
  </si>
  <si>
    <t>MW084976</t>
  </si>
  <si>
    <t>Andrewesvirinae</t>
  </si>
  <si>
    <t>Denvervirus</t>
  </si>
  <si>
    <t>Enterococcus phage 9183</t>
  </si>
  <si>
    <t>MT939241</t>
  </si>
  <si>
    <t>Vipetofemvirus</t>
  </si>
  <si>
    <t>Enterococcus phage nattely</t>
  </si>
  <si>
    <t>MT119360</t>
  </si>
  <si>
    <t>Enterococus phage vipetofem</t>
  </si>
  <si>
    <t>MT119361</t>
  </si>
  <si>
    <t>Enterococcus phage vB_EfaS_140</t>
  </si>
  <si>
    <t>CAJCJZ010000002</t>
  </si>
  <si>
    <t>Arquatrovirinae</t>
  </si>
  <si>
    <t>Arequatrovirus</t>
  </si>
  <si>
    <t>Streptomyces phage phiELB20</t>
  </si>
  <si>
    <t>JX262376</t>
  </si>
  <si>
    <t>Streptomyces phage Paedore</t>
  </si>
  <si>
    <t>MH001460</t>
  </si>
  <si>
    <t>Streptomyces phage R4</t>
  </si>
  <si>
    <t>JX182370</t>
  </si>
  <si>
    <t>Caelumvirus</t>
  </si>
  <si>
    <t>Streptomyces phage Alvy</t>
  </si>
  <si>
    <t>MN234208</t>
  </si>
  <si>
    <t>Streptomyces phage Caelum</t>
  </si>
  <si>
    <t>MK524524</t>
  </si>
  <si>
    <t>Streptomyces phage Daudau</t>
  </si>
  <si>
    <t>MF766045</t>
  </si>
  <si>
    <t>Streptomyces phage Issmi</t>
  </si>
  <si>
    <t>MT310863</t>
  </si>
  <si>
    <t>Streptomyces phage Thestral</t>
  </si>
  <si>
    <t>MH651190</t>
  </si>
  <si>
    <t>Camvirus</t>
  </si>
  <si>
    <t>Streptomyces phage Alsaber</t>
  </si>
  <si>
    <t>MG298964</t>
  </si>
  <si>
    <t>Streptomyces phage Amela</t>
  </si>
  <si>
    <t>KT186228</t>
  </si>
  <si>
    <t>Streptomyces phage phiCAM</t>
  </si>
  <si>
    <t>JX889246</t>
  </si>
  <si>
    <t>Streptomyces phage Endor1</t>
  </si>
  <si>
    <t>MT711978</t>
  </si>
  <si>
    <t>Streptomyces phage Endor2</t>
  </si>
  <si>
    <t>MT711979</t>
  </si>
  <si>
    <t>Streptomyces phage Joe</t>
  </si>
  <si>
    <t>KX815338</t>
  </si>
  <si>
    <t>Streptomyces phage Saftant</t>
  </si>
  <si>
    <t>MN204498</t>
  </si>
  <si>
    <t>Streptomyces phage Sitrop</t>
  </si>
  <si>
    <t>MT701598</t>
  </si>
  <si>
    <t>Celiavirus</t>
  </si>
  <si>
    <t>Streptomyces phage Celia</t>
  </si>
  <si>
    <t>MN062705</t>
  </si>
  <si>
    <t>Hautrevirus</t>
  </si>
  <si>
    <t>Streptomyces phage phiHau3</t>
  </si>
  <si>
    <t>JX182369</t>
  </si>
  <si>
    <t>Janusvirus</t>
  </si>
  <si>
    <t>Streptomyces phage Hank144</t>
  </si>
  <si>
    <t>MH669004</t>
  </si>
  <si>
    <t>Streptomyces phage Janus</t>
  </si>
  <si>
    <t>MK392366</t>
  </si>
  <si>
    <t>Streptomyces phage Pablito</t>
  </si>
  <si>
    <t>OK412919</t>
  </si>
  <si>
    <t>Likavirus</t>
  </si>
  <si>
    <t>Streptomyces phage Aaronocolus</t>
  </si>
  <si>
    <t>KT124227</t>
  </si>
  <si>
    <t>Streptomyces phage Caliburn</t>
  </si>
  <si>
    <t>KT152029</t>
  </si>
  <si>
    <t>Streptomyces phage Danzina</t>
  </si>
  <si>
    <t>KT124228</t>
  </si>
  <si>
    <t>Streptomyces phage Goby</t>
  </si>
  <si>
    <t>MH171097</t>
  </si>
  <si>
    <t>Streptomyces phage Hydra</t>
  </si>
  <si>
    <t>KT124229</t>
  </si>
  <si>
    <t>Streptomyces phage Izzy</t>
  </si>
  <si>
    <t>KT184390</t>
  </si>
  <si>
    <t>Streptomyces phage Lannister</t>
  </si>
  <si>
    <t>KT184391</t>
  </si>
  <si>
    <t>Streptomyces phage Lika</t>
  </si>
  <si>
    <t>KC700556</t>
  </si>
  <si>
    <t>Streptomyces phage Lorelei</t>
  </si>
  <si>
    <t>KX507343</t>
  </si>
  <si>
    <t>Streptomyces phage Nanodon</t>
  </si>
  <si>
    <t>KX344445</t>
  </si>
  <si>
    <t>Streptomyces phage Sujidade</t>
  </si>
  <si>
    <t>KC700557</t>
  </si>
  <si>
    <t>Streptomyces phage Werner</t>
  </si>
  <si>
    <t>MW435856</t>
  </si>
  <si>
    <t>Streptomyces phage Yasdnil</t>
  </si>
  <si>
    <t>MN096379</t>
  </si>
  <si>
    <t>Streptomyces phage Zemlya</t>
  </si>
  <si>
    <t>KC700558</t>
  </si>
  <si>
    <t>Omarvirus</t>
  </si>
  <si>
    <t>Streptomyces phage Amethyst</t>
  </si>
  <si>
    <t>MF766044</t>
  </si>
  <si>
    <t>Streptomyces phage Diane</t>
  </si>
  <si>
    <t>MF766046</t>
  </si>
  <si>
    <t>Streptomyces phage Omar</t>
  </si>
  <si>
    <t>MG593802</t>
  </si>
  <si>
    <t>Streptomyces phage Tefunt</t>
  </si>
  <si>
    <t>MF766048</t>
  </si>
  <si>
    <t>Salutenavirus</t>
  </si>
  <si>
    <t>Streptomyces phage Salutena</t>
  </si>
  <si>
    <t>MT708548</t>
  </si>
  <si>
    <t>Sentinelvirus</t>
  </si>
  <si>
    <t>Streptomyces phage Sentinel</t>
  </si>
  <si>
    <t>MT701597</t>
  </si>
  <si>
    <t>Streptomyces phage Spernnie</t>
  </si>
  <si>
    <t>MT701594</t>
  </si>
  <si>
    <t>Yosifvirus</t>
  </si>
  <si>
    <t>Streptomyces phage Yosif</t>
  </si>
  <si>
    <t>MH248947</t>
  </si>
  <si>
    <t>Azeevirinae</t>
  </si>
  <si>
    <t>Galvastonvirus</t>
  </si>
  <si>
    <t>Arthrobacter phage Tweety19</t>
  </si>
  <si>
    <t>MT897906</t>
  </si>
  <si>
    <t>Liebevirus</t>
  </si>
  <si>
    <t>Arthrobacter phage Liebe</t>
  </si>
  <si>
    <t>MK061413</t>
  </si>
  <si>
    <t>Manhattanvirus</t>
  </si>
  <si>
    <t>Arthrobacter phage Crewmate</t>
  </si>
  <si>
    <t>OL549189</t>
  </si>
  <si>
    <t>Arthrobacter phage DrManhattan</t>
  </si>
  <si>
    <t>MH834610</t>
  </si>
  <si>
    <t>Arthrobacter phage DrSierra</t>
  </si>
  <si>
    <t>MN908689</t>
  </si>
  <si>
    <t>Arthrobacter phage KeAlii</t>
  </si>
  <si>
    <t>OK040777</t>
  </si>
  <si>
    <t>Arthrobacter phage Reedo</t>
  </si>
  <si>
    <t>OL455896</t>
  </si>
  <si>
    <t>Yangvirus</t>
  </si>
  <si>
    <t>Arthrobacter phage Adumb2043</t>
  </si>
  <si>
    <t>MT889375</t>
  </si>
  <si>
    <t>Arthrobacter phage Amyev</t>
  </si>
  <si>
    <t>OL549191</t>
  </si>
  <si>
    <t>Arthrobacter phage Elezi</t>
  </si>
  <si>
    <t>MT639653</t>
  </si>
  <si>
    <t>Arthrobacter phage Kaylissa</t>
  </si>
  <si>
    <t>MZ005682</t>
  </si>
  <si>
    <t>Arthrobacter phage Lizalica</t>
  </si>
  <si>
    <t>OL549192</t>
  </si>
  <si>
    <t>Arthrobacter phage Phives</t>
  </si>
  <si>
    <t>MT889376</t>
  </si>
  <si>
    <t>Arthrobacter phage Tbone</t>
  </si>
  <si>
    <t>MW055910</t>
  </si>
  <si>
    <t>Arthrobacter phage Warda</t>
  </si>
  <si>
    <t>OL549188</t>
  </si>
  <si>
    <t>Arthrobacter virus Yang</t>
  </si>
  <si>
    <t>MH834629</t>
  </si>
  <si>
    <t>Azeredovirinae</t>
  </si>
  <si>
    <t>Dubowvirus</t>
  </si>
  <si>
    <t>Staphylococcus phage Baq_Sau1</t>
  </si>
  <si>
    <t>MK658834</t>
  </si>
  <si>
    <t>Staphylococcus phage phi 11</t>
  </si>
  <si>
    <t>AF424781</t>
  </si>
  <si>
    <t>Staphylococcus phage 53</t>
  </si>
  <si>
    <t>AY954952</t>
  </si>
  <si>
    <t>Staphylococcus phage 69</t>
  </si>
  <si>
    <t>AY954951</t>
  </si>
  <si>
    <t>Staphylococcus phage 80alpha</t>
  </si>
  <si>
    <t>DQ517338</t>
  </si>
  <si>
    <t>Staphylococcus phage 85</t>
  </si>
  <si>
    <t>AY954953</t>
  </si>
  <si>
    <t>Staphylococcus phage phiETA2</t>
  </si>
  <si>
    <t>AP008953</t>
  </si>
  <si>
    <t>Staphylococcus phage HSA84</t>
  </si>
  <si>
    <t>MG557619</t>
  </si>
  <si>
    <t>Staphylococcus phage vB_SauS-phiIPLA88</t>
  </si>
  <si>
    <t>EU861004</t>
  </si>
  <si>
    <t>Staphylococcus phage phiMR25</t>
  </si>
  <si>
    <t>AB370205</t>
  </si>
  <si>
    <t>Staphylococcus phage phiNM1</t>
  </si>
  <si>
    <t>DQ530359</t>
  </si>
  <si>
    <t>Staphylococcus phage phiNM2</t>
  </si>
  <si>
    <t>DQ530360</t>
  </si>
  <si>
    <t>Staphylococcus phage SA75</t>
  </si>
  <si>
    <t>MT013111</t>
  </si>
  <si>
    <t>Staphylococcus phage SA97</t>
  </si>
  <si>
    <t>KJ716334</t>
  </si>
  <si>
    <t>Staphylococcus phage SAP-26</t>
  </si>
  <si>
    <t>GU477322</t>
  </si>
  <si>
    <t>Staphylococcus phage SAP33</t>
  </si>
  <si>
    <t>MK801682</t>
  </si>
  <si>
    <t>Staphylococcus phage SP5</t>
  </si>
  <si>
    <t>JX274646</t>
  </si>
  <si>
    <t>Staphylococcus phage TEM126</t>
  </si>
  <si>
    <t>HQ127381</t>
  </si>
  <si>
    <t>Phietavirus</t>
  </si>
  <si>
    <t>Staphylococcus phage B122</t>
  </si>
  <si>
    <t>MK290764</t>
  </si>
  <si>
    <t>Staphylococcus phage B166</t>
  </si>
  <si>
    <t>KP893289</t>
  </si>
  <si>
    <t>Staphylococcus phage B236</t>
  </si>
  <si>
    <t>KP893290</t>
  </si>
  <si>
    <t>Staphylococcus phage phiETA</t>
  </si>
  <si>
    <t>AP001553</t>
  </si>
  <si>
    <t>Staphylococcus phage phiETA3</t>
  </si>
  <si>
    <t>AP008954</t>
  </si>
  <si>
    <t>Staphylococcus phage EW</t>
  </si>
  <si>
    <t>AY954959</t>
  </si>
  <si>
    <t>Staphylococcus phage Henu2</t>
  </si>
  <si>
    <t>MK211557</t>
  </si>
  <si>
    <t>Staphylococcus phage phiJB</t>
  </si>
  <si>
    <t>KT344895</t>
  </si>
  <si>
    <t>Staphylococcus phage phiMR11</t>
  </si>
  <si>
    <t>AB370268</t>
  </si>
  <si>
    <t>Staphylococcus phage phiNM4</t>
  </si>
  <si>
    <t>DQ530362</t>
  </si>
  <si>
    <t>Staphylococcus phage 187</t>
  </si>
  <si>
    <t>AY954950</t>
  </si>
  <si>
    <t>Staphylococcus phage 29</t>
  </si>
  <si>
    <t>AY954964</t>
  </si>
  <si>
    <t>Staphylococcus phage 37</t>
  </si>
  <si>
    <t>AY954958</t>
  </si>
  <si>
    <t>Staphylococcus phage 3MRA</t>
  </si>
  <si>
    <t>KJ452291</t>
  </si>
  <si>
    <t>Staphylococcus phage 52A</t>
  </si>
  <si>
    <t>AY954965</t>
  </si>
  <si>
    <t>Staphylococcus phage 55</t>
  </si>
  <si>
    <t>AY954963</t>
  </si>
  <si>
    <t>Staphylococcus phage 71</t>
  </si>
  <si>
    <t>AY954962</t>
  </si>
  <si>
    <t>Staphylococcus phage 80</t>
  </si>
  <si>
    <t>DQ908929</t>
  </si>
  <si>
    <t>Staphylococcus phage 88</t>
  </si>
  <si>
    <t>AY954966</t>
  </si>
  <si>
    <t>Staphylococcus phage 92</t>
  </si>
  <si>
    <t>AY954967</t>
  </si>
  <si>
    <t>Staphylococcus phage 96</t>
  </si>
  <si>
    <t>AY954960</t>
  </si>
  <si>
    <t>Staphylococcus phage ROSA</t>
  </si>
  <si>
    <t>AY954961</t>
  </si>
  <si>
    <t>Staphylococcus phage SA13</t>
  </si>
  <si>
    <t>JX094501</t>
  </si>
  <si>
    <t>Staphylococcus phage vB_SauS-SAP27</t>
  </si>
  <si>
    <t>MN904510</t>
  </si>
  <si>
    <t>Staphylococcus phage Sebago</t>
  </si>
  <si>
    <t>MK618716</t>
  </si>
  <si>
    <t>Staphylococcus phage StauST398-1</t>
  </si>
  <si>
    <t>JX013863</t>
  </si>
  <si>
    <t>Staphylococcus phage StauST398-3</t>
  </si>
  <si>
    <t>JQ973847</t>
  </si>
  <si>
    <t>Staphylococcus phage StauST398-5</t>
  </si>
  <si>
    <t>KC595279</t>
  </si>
  <si>
    <t>Staphylococcus phage UPMK_2</t>
  </si>
  <si>
    <t>MG564297</t>
  </si>
  <si>
    <t>Staphylococcus phage X2</t>
  </si>
  <si>
    <t>AY954968</t>
  </si>
  <si>
    <t>Bclasvirinae</t>
  </si>
  <si>
    <t>Acadianvirus</t>
  </si>
  <si>
    <t>Mycobacterium phage Acadian</t>
  </si>
  <si>
    <t>JN699007</t>
  </si>
  <si>
    <t>Mycobacterium phage Baee</t>
  </si>
  <si>
    <t>KR080199</t>
  </si>
  <si>
    <t>Mycobacterium phage Reprobate</t>
  </si>
  <si>
    <t>KF024727</t>
  </si>
  <si>
    <t>Mycobacterium phage Serendipitous</t>
  </si>
  <si>
    <t>MH727561</t>
  </si>
  <si>
    <t>Birdsnestvirus</t>
  </si>
  <si>
    <t>Mycobacterium phage BirdsNest</t>
  </si>
  <si>
    <t>MN813686</t>
  </si>
  <si>
    <t>Coopervirus</t>
  </si>
  <si>
    <t>Mycobacterium phage Adawi</t>
  </si>
  <si>
    <t>KF279411</t>
  </si>
  <si>
    <t>Mycobacterium phage Bane1</t>
  </si>
  <si>
    <t>KF279412</t>
  </si>
  <si>
    <t>Mycobacterium phage BrownCNA</t>
  </si>
  <si>
    <t>KT270441</t>
  </si>
  <si>
    <t>Mycobacterium phage ChrisnMich</t>
  </si>
  <si>
    <t>JF704094</t>
  </si>
  <si>
    <t>Mycobacterium phage Cooper</t>
  </si>
  <si>
    <t>DQ398044</t>
  </si>
  <si>
    <t>Mycobacterium phage Fortunato</t>
  </si>
  <si>
    <t>KX589269</t>
  </si>
  <si>
    <t>Mycobacterium phage Heath</t>
  </si>
  <si>
    <t>MT639648</t>
  </si>
  <si>
    <t>Mycobacterium phage JAMaL</t>
  </si>
  <si>
    <t>KF493881</t>
  </si>
  <si>
    <t>Mycobacterium phage Nigel</t>
  </si>
  <si>
    <t>EU770221</t>
  </si>
  <si>
    <t>Mycobacterium phage Stinger</t>
  </si>
  <si>
    <t>JN699011</t>
  </si>
  <si>
    <t>Mycobacterium phage Vincenzo</t>
  </si>
  <si>
    <t>KR080194</t>
  </si>
  <si>
    <t>Mycobacterium phage Zemanar</t>
  </si>
  <si>
    <t>JF704104</t>
  </si>
  <si>
    <t>Imvubuvirus</t>
  </si>
  <si>
    <t>Mycobacterium phage Imvubu</t>
  </si>
  <si>
    <t>MN813693</t>
  </si>
  <si>
    <t>Julieunavirus</t>
  </si>
  <si>
    <t>Mycobacterium phage Julie1</t>
  </si>
  <si>
    <t>KJ433976</t>
  </si>
  <si>
    <t>Lilmcdreamyvirus</t>
  </si>
  <si>
    <t>Mycobacterium phage LilMcDreamy</t>
  </si>
  <si>
    <t>MN284893</t>
  </si>
  <si>
    <t>Pegunavirus</t>
  </si>
  <si>
    <t>Mycobacterium phage Apizium</t>
  </si>
  <si>
    <t>KR781349</t>
  </si>
  <si>
    <t>Mycobacterium phage KingTut</t>
  </si>
  <si>
    <t>MH450122</t>
  </si>
  <si>
    <t>Mycobacterium phage Manad</t>
  </si>
  <si>
    <t>KJ595576</t>
  </si>
  <si>
    <t>Mycobacterium phage Oline</t>
  </si>
  <si>
    <t>JN192463</t>
  </si>
  <si>
    <t>Mycobacterium phage OSmaximus</t>
  </si>
  <si>
    <t>JN006064</t>
  </si>
  <si>
    <t>AF547430</t>
  </si>
  <si>
    <t>Mycobacterium phage Soto</t>
  </si>
  <si>
    <t>KJ174157</t>
  </si>
  <si>
    <t>Mycobacterium phage Suffolk</t>
  </si>
  <si>
    <t>KF713485</t>
  </si>
  <si>
    <t>Pipefishvirus</t>
  </si>
  <si>
    <t>Mycobacterium phage Athena</t>
  </si>
  <si>
    <t>JN699003</t>
  </si>
  <si>
    <t>Mycobacterium phage Bernardo</t>
  </si>
  <si>
    <t>KF493879</t>
  </si>
  <si>
    <t>Mycobacterium phage Gadjet</t>
  </si>
  <si>
    <t>JN698992</t>
  </si>
  <si>
    <t>Mycobacterium phage Obutu</t>
  </si>
  <si>
    <t>MN096359</t>
  </si>
  <si>
    <t>Mycobacterium phage Pipefish</t>
  </si>
  <si>
    <t>DQ398049</t>
  </si>
  <si>
    <t>Quesadillavirus</t>
  </si>
  <si>
    <t>Mycobacterium phage CRB2</t>
  </si>
  <si>
    <t>MK059749</t>
  </si>
  <si>
    <t>Mycobacterium phage Quesadilla</t>
  </si>
  <si>
    <t>MN617843</t>
  </si>
  <si>
    <t>Rosebushvirus</t>
  </si>
  <si>
    <t>Mycobacterium phage Godines</t>
  </si>
  <si>
    <t>KR997932</t>
  </si>
  <si>
    <t>Mycobacterium phage Laurie</t>
  </si>
  <si>
    <t>KX443696</t>
  </si>
  <si>
    <t>Mycobacterium phage Rosebush</t>
  </si>
  <si>
    <t>AY129334</t>
  </si>
  <si>
    <t>Mycobacterium phage TA17A</t>
  </si>
  <si>
    <t>KF024722</t>
  </si>
  <si>
    <t>Saguarovirus</t>
  </si>
  <si>
    <t>Mycobacterium phage Saguaro</t>
  </si>
  <si>
    <t>MH744423</t>
  </si>
  <si>
    <t>Thonkovirus</t>
  </si>
  <si>
    <t>Mycobacterium phage Thonko</t>
  </si>
  <si>
    <t>MH632120</t>
  </si>
  <si>
    <t>Beaumontvirinae</t>
  </si>
  <si>
    <t>Bixiavirus</t>
  </si>
  <si>
    <t>Stenotrophomonas phage vB_SmaS_BUCT548</t>
  </si>
  <si>
    <t>MN937349</t>
  </si>
  <si>
    <t>Stenotrophomonas phage BUCT626</t>
  </si>
  <si>
    <t>MZ398241</t>
  </si>
  <si>
    <t>Stenotrophomonas phage BUCT627</t>
  </si>
  <si>
    <t>MZ398240</t>
  </si>
  <si>
    <t>Salvavirus</t>
  </si>
  <si>
    <t>Stenotrophomonas phage Salva</t>
  </si>
  <si>
    <t>MW393850</t>
  </si>
  <si>
    <t>Siaravirus</t>
  </si>
  <si>
    <t>Stenotrophomonas phage Siara</t>
  </si>
  <si>
    <t>MZ326859</t>
  </si>
  <si>
    <t>Beephvirinae</t>
  </si>
  <si>
    <t>Flowerpowervirus</t>
  </si>
  <si>
    <t>Streptomyces phage FlowerPower</t>
  </si>
  <si>
    <t>MH155868</t>
  </si>
  <si>
    <t>Immanueltrevirus</t>
  </si>
  <si>
    <t>Streptomyces phage Immanuel3</t>
  </si>
  <si>
    <t>MG518520</t>
  </si>
  <si>
    <t>Manuelvirus</t>
  </si>
  <si>
    <t>Streptomyces phage JXY1</t>
  </si>
  <si>
    <t>MN994275</t>
  </si>
  <si>
    <t>Streptomyces phage Manuel</t>
  </si>
  <si>
    <t>MG518519</t>
  </si>
  <si>
    <t>Streptomyces phage WRightOn</t>
  </si>
  <si>
    <t>MG515223</t>
  </si>
  <si>
    <t>Bronfenbrennervirinae</t>
  </si>
  <si>
    <t>Biseptimavirus</t>
  </si>
  <si>
    <t>Staphylococcus phage phiBU01</t>
  </si>
  <si>
    <t>KF831354</t>
  </si>
  <si>
    <t>Staphylococcus phage 23MRA</t>
  </si>
  <si>
    <t>KJ452292</t>
  </si>
  <si>
    <t>Staphylococcus phage 77</t>
  </si>
  <si>
    <t>AY508486</t>
  </si>
  <si>
    <t>Staphylococcus phage IME1361_01</t>
  </si>
  <si>
    <t>KY653123</t>
  </si>
  <si>
    <t>Staphylococcus phage phiNM3</t>
  </si>
  <si>
    <t>DQ530361</t>
  </si>
  <si>
    <t>Staphylococcus phage P1105</t>
  </si>
  <si>
    <t>KT878766</t>
  </si>
  <si>
    <t>Staphylococcus phage P282</t>
  </si>
  <si>
    <t>KT809368</t>
  </si>
  <si>
    <t>Staphylococcus phage P630</t>
  </si>
  <si>
    <t>KT809369</t>
  </si>
  <si>
    <t>Staphylococcus phage P954</t>
  </si>
  <si>
    <t>GQ398772</t>
  </si>
  <si>
    <t>Staphylococcus phage phi7247PVL</t>
  </si>
  <si>
    <t>AP011956</t>
  </si>
  <si>
    <t>Staphylococcus phage SA1014ruMSSAST7</t>
  </si>
  <si>
    <t>MH384259</t>
  </si>
  <si>
    <t>Staphylococcus phage SA345ruMSSAST8</t>
  </si>
  <si>
    <t>MH401416</t>
  </si>
  <si>
    <t>Staphylococcus phage phiSa2wa_st22</t>
  </si>
  <si>
    <t>MG029510</t>
  </si>
  <si>
    <t>Staphylococcus phage StauST398-4</t>
  </si>
  <si>
    <t>KC595278</t>
  </si>
  <si>
    <t>Peeveelvirus</t>
  </si>
  <si>
    <t>Staphylococcus phage phiPVL-CN125</t>
  </si>
  <si>
    <t>FJ713816</t>
  </si>
  <si>
    <t>Staphylococcus phage JS01</t>
  </si>
  <si>
    <t>KC342645</t>
  </si>
  <si>
    <t>Staphylococcus phage phi 13</t>
  </si>
  <si>
    <t>AF424783</t>
  </si>
  <si>
    <t>Staphylococcus phage 3 AJ-2017</t>
  </si>
  <si>
    <t>KX232515</t>
  </si>
  <si>
    <t>Staphylococcus prophage phiPV83</t>
  </si>
  <si>
    <t>AB044554</t>
  </si>
  <si>
    <t>Staphylococcus phage PVL</t>
  </si>
  <si>
    <t>AB009866</t>
  </si>
  <si>
    <t>Staphylococcus phage phiPVL108</t>
  </si>
  <si>
    <t>AB243556</t>
  </si>
  <si>
    <t>Staphylococcus phage SA7</t>
  </si>
  <si>
    <t>KY695153</t>
  </si>
  <si>
    <t>Staphylococcus phage SA780ruMSSAST101</t>
  </si>
  <si>
    <t>MH384260</t>
  </si>
  <si>
    <t>Staphylococcus phage tp310-1</t>
  </si>
  <si>
    <t>EF462197</t>
  </si>
  <si>
    <t>Ceeclamvirinae</t>
  </si>
  <si>
    <t>Bixzunavirus</t>
  </si>
  <si>
    <t>Mycobacterium phage Alice</t>
  </si>
  <si>
    <t>JF704092</t>
  </si>
  <si>
    <t>Mycobacterium phage Astraea</t>
  </si>
  <si>
    <t>KC691257</t>
  </si>
  <si>
    <t>Mycobacterium phage Bigswole</t>
  </si>
  <si>
    <t>MF919495</t>
  </si>
  <si>
    <t>Mycobacterium phage Bxz1</t>
  </si>
  <si>
    <t>AY129337</t>
  </si>
  <si>
    <t>Mycobacterium phage Cane17</t>
  </si>
  <si>
    <t>MH697579</t>
  </si>
  <si>
    <t>Mycobacterium phage CharlieB</t>
  </si>
  <si>
    <t>MH727543</t>
  </si>
  <si>
    <t>Mycobacterium phage Dandelion</t>
  </si>
  <si>
    <t>JN412588</t>
  </si>
  <si>
    <t>Mycobacterium phage HyRo</t>
  </si>
  <si>
    <t>KT281790</t>
  </si>
  <si>
    <t>Mycobacterium phage I3</t>
  </si>
  <si>
    <t>MW822148</t>
  </si>
  <si>
    <t>Mycobacterium phage Lukilu</t>
  </si>
  <si>
    <t>KX831080</t>
  </si>
  <si>
    <t>Mycobacterium phage Mangeria</t>
  </si>
  <si>
    <t>MN735434</t>
  </si>
  <si>
    <t>Mycobacterium phage Nappy</t>
  </si>
  <si>
    <t>JN699627</t>
  </si>
  <si>
    <t>Mycobacterium phage NoodleTree</t>
  </si>
  <si>
    <t>MK359346</t>
  </si>
  <si>
    <t>Mycobacterium phage QBert</t>
  </si>
  <si>
    <t>MK359345</t>
  </si>
  <si>
    <t>Mycobacterium phage Quasimodo</t>
  </si>
  <si>
    <t>MT723945</t>
  </si>
  <si>
    <t>Mycobacterium phage Sauce</t>
  </si>
  <si>
    <t>MH910040</t>
  </si>
  <si>
    <t>Mycobacterium phage Sebata</t>
  </si>
  <si>
    <t>JN204348</t>
  </si>
  <si>
    <t>Mycobacterium phage Tonenili</t>
  </si>
  <si>
    <t>KX752698</t>
  </si>
  <si>
    <t>Myrnavirus</t>
  </si>
  <si>
    <t>Mycobacterium phage Phabba</t>
  </si>
  <si>
    <t>MF668280</t>
  </si>
  <si>
    <t>Mycobacterium phage Myrna</t>
  </si>
  <si>
    <t>EU826466</t>
  </si>
  <si>
    <t>Chebruvirinae</t>
  </si>
  <si>
    <t>Brujitavirus</t>
  </si>
  <si>
    <t>Mycobacterium phage Babsiella</t>
  </si>
  <si>
    <t>JN699001</t>
  </si>
  <si>
    <t>Mycobacterium phage Brujita</t>
  </si>
  <si>
    <t>FJ168659</t>
  </si>
  <si>
    <t>Mycobacterium phage HC</t>
  </si>
  <si>
    <t>AP018487</t>
  </si>
  <si>
    <t>Mycobacterium phage Xula</t>
  </si>
  <si>
    <t>MN234195</t>
  </si>
  <si>
    <t>Dclasvirinae</t>
  </si>
  <si>
    <t>Hawkeyevirus</t>
  </si>
  <si>
    <t>Mycobacterium phage Hawkeye</t>
  </si>
  <si>
    <t>KJ194582</t>
  </si>
  <si>
    <t>Plotvirus</t>
  </si>
  <si>
    <t>Mycobacterium phage Plot</t>
  </si>
  <si>
    <t>DQ398051</t>
  </si>
  <si>
    <t>Deejayvirinae</t>
  </si>
  <si>
    <t>Kenoshavirus</t>
  </si>
  <si>
    <t>Gordonia phage Chikenjars</t>
  </si>
  <si>
    <t>MN204501</t>
  </si>
  <si>
    <t>Gordonia phage Crocheter</t>
  </si>
  <si>
    <t>MN585996</t>
  </si>
  <si>
    <t>Gordonia phage Duffington</t>
  </si>
  <si>
    <t>MK376957</t>
  </si>
  <si>
    <t>Gordonia phage Kenosha</t>
  </si>
  <si>
    <t>MN010761</t>
  </si>
  <si>
    <t>Gordonia phage OhMyWard</t>
  </si>
  <si>
    <t>MN284896</t>
  </si>
  <si>
    <t>Gordonia phage Rickmore</t>
  </si>
  <si>
    <t>MK376953</t>
  </si>
  <si>
    <t>Gordonia phage Untouchable</t>
  </si>
  <si>
    <t>MN585982</t>
  </si>
  <si>
    <t>Secretariatvirus</t>
  </si>
  <si>
    <t>Gordonia phage Secretariat</t>
  </si>
  <si>
    <t>MT310850</t>
  </si>
  <si>
    <t>Tanisvirus</t>
  </si>
  <si>
    <t>Gordonia phage Avazak</t>
  </si>
  <si>
    <t>MN585971</t>
  </si>
  <si>
    <t>Gordonia phage Tanis</t>
  </si>
  <si>
    <t>MN284904</t>
  </si>
  <si>
    <t>Deeyouvirinae</t>
  </si>
  <si>
    <t>Nevillevirus</t>
  </si>
  <si>
    <t>Gordonia phage Neville</t>
  </si>
  <si>
    <t>MH651182</t>
  </si>
  <si>
    <t>Gordonia phage Rabbitrun</t>
  </si>
  <si>
    <t>MT658805</t>
  </si>
  <si>
    <t>Gordonia phage Trax</t>
  </si>
  <si>
    <t>MK967378</t>
  </si>
  <si>
    <t>Octobienvirus</t>
  </si>
  <si>
    <t>Gordonia phage Kudefre</t>
  </si>
  <si>
    <t>OK040786</t>
  </si>
  <si>
    <t>Gordonia phage Octobien14</t>
  </si>
  <si>
    <t>MH976515</t>
  </si>
  <si>
    <t>Gordonia Phage Sephiroth</t>
  </si>
  <si>
    <t>MT684599</t>
  </si>
  <si>
    <t>Gordonia phage Syleon</t>
  </si>
  <si>
    <t>MN444870</t>
  </si>
  <si>
    <t>Dolichocephalovirinae</t>
  </si>
  <si>
    <t>Bertelyvirus</t>
  </si>
  <si>
    <t>Caulobacter phage CcrBL9</t>
  </si>
  <si>
    <t>MH588546</t>
  </si>
  <si>
    <t>Caulobacter phage CcrSC</t>
  </si>
  <si>
    <t>MH588547</t>
  </si>
  <si>
    <t>Colossusvirus</t>
  </si>
  <si>
    <t>Caulobacter phage CcrColossus</t>
  </si>
  <si>
    <t>JX100810</t>
  </si>
  <si>
    <t>Caulobacter phage CcrPW</t>
  </si>
  <si>
    <t>MH588545</t>
  </si>
  <si>
    <t>Poindextervirus</t>
  </si>
  <si>
    <t>Caulobacter phage CcrBL10</t>
  </si>
  <si>
    <t>MH588544</t>
  </si>
  <si>
    <t>Caulobacter phage CcrRogue</t>
  </si>
  <si>
    <t>JX100814</t>
  </si>
  <si>
    <t>Shapirovirus</t>
  </si>
  <si>
    <t>Caulobacter phage phiCbK</t>
  </si>
  <si>
    <t>JX100813</t>
  </si>
  <si>
    <t>Caulobacter phage CcrSwift</t>
  </si>
  <si>
    <t>JX100809</t>
  </si>
  <si>
    <t>Eekayvirinae</t>
  </si>
  <si>
    <t>Akonivirus</t>
  </si>
  <si>
    <t>Microbacterium phage Akoni</t>
  </si>
  <si>
    <t>MK757449</t>
  </si>
  <si>
    <t>Microbacterium phage Phedro</t>
  </si>
  <si>
    <t>MT310890</t>
  </si>
  <si>
    <t>Tinytimothyvirus</t>
  </si>
  <si>
    <t>Microbacterium phage Alex44</t>
  </si>
  <si>
    <t>MK894435</t>
  </si>
  <si>
    <t>Microbacterium phage TinyTimothy</t>
  </si>
  <si>
    <t>MK878904</t>
  </si>
  <si>
    <t>Eucampyvirinae</t>
  </si>
  <si>
    <t>Firehammervirus</t>
  </si>
  <si>
    <t>Campylobacter phage vB_CcoM-IBB</t>
  </si>
  <si>
    <t>HM246720; HM246721; HM246722; HM246723; HM246724</t>
  </si>
  <si>
    <t>Campylobacter phage CP21</t>
  </si>
  <si>
    <t>HE815464</t>
  </si>
  <si>
    <t>Campylobacter phage CP220</t>
  </si>
  <si>
    <t>FN667788</t>
  </si>
  <si>
    <t>Campylobacter phage CPt10</t>
  </si>
  <si>
    <t>FN667789</t>
  </si>
  <si>
    <t>Fletchervirus</t>
  </si>
  <si>
    <t>Campylobacter phage CP30A</t>
  </si>
  <si>
    <t>JX569801</t>
  </si>
  <si>
    <t>Campylobacter phage CP81</t>
  </si>
  <si>
    <t>FR823450</t>
  </si>
  <si>
    <t>Campylobacter phage CPX</t>
  </si>
  <si>
    <t>JN132397</t>
  </si>
  <si>
    <t>Campylobacter phage vB_CjeM_Los1</t>
  </si>
  <si>
    <t>KX879627</t>
  </si>
  <si>
    <t>Campylobacter phage NCTC12673</t>
  </si>
  <si>
    <t>GU296433</t>
  </si>
  <si>
    <t>Gclasvirinae</t>
  </si>
  <si>
    <t>Antsirabevirus</t>
  </si>
  <si>
    <t>Mycobacterium phage Antsirabe</t>
  </si>
  <si>
    <t>MN234183</t>
  </si>
  <si>
    <t>Avocadovirus</t>
  </si>
  <si>
    <t>Mycobacterium phage Avocado</t>
  </si>
  <si>
    <t>MF141540</t>
  </si>
  <si>
    <t>Mycobacterium phage Cambiare</t>
  </si>
  <si>
    <t>KR080198</t>
  </si>
  <si>
    <t>Mycobacterium phage FlagStaff</t>
  </si>
  <si>
    <t>KR080197</t>
  </si>
  <si>
    <t>Jolieduovirus</t>
  </si>
  <si>
    <t>Mycobacterium phage Jolie2</t>
  </si>
  <si>
    <t>KJ410133</t>
  </si>
  <si>
    <t>Mycobacterium phage Lemuria</t>
  </si>
  <si>
    <t>MN234185</t>
  </si>
  <si>
    <t>Mycobacterium phage Mercurio</t>
  </si>
  <si>
    <t>MN234219</t>
  </si>
  <si>
    <t>Liefievirus</t>
  </si>
  <si>
    <t>Mycobacterium phage Grizzly</t>
  </si>
  <si>
    <t>MH779505</t>
  </si>
  <si>
    <t>Mycobacterium phage Paito</t>
  </si>
  <si>
    <t>MH779514</t>
  </si>
  <si>
    <t>Mycobacterium phage Rabbs</t>
  </si>
  <si>
    <t>MK524494</t>
  </si>
  <si>
    <t>Mycobacterium phage Taheera</t>
  </si>
  <si>
    <t>KX641265</t>
  </si>
  <si>
    <t>Mycobacterium phage Halo</t>
  </si>
  <si>
    <t>DQ398042</t>
  </si>
  <si>
    <t>Mycobacterium phage Liefie</t>
  </si>
  <si>
    <t>JN412593</t>
  </si>
  <si>
    <t>Pinnievirus</t>
  </si>
  <si>
    <t>Mycobacterium phage MOOREtheMARYer</t>
  </si>
  <si>
    <t>KR080202</t>
  </si>
  <si>
    <t>Mycobacterium phage Pinnie</t>
  </si>
  <si>
    <t>MK494105</t>
  </si>
  <si>
    <t>Gochnauervirinae</t>
  </si>
  <si>
    <t>Dragolirvirus</t>
  </si>
  <si>
    <t>Paenibacillus phage Dragolir</t>
  </si>
  <si>
    <t>MG727697</t>
  </si>
  <si>
    <t>Harrisonvirus</t>
  </si>
  <si>
    <t>Paenibacillus phage Harrison</t>
  </si>
  <si>
    <t>KT361651</t>
  </si>
  <si>
    <t>Vegasvirus</t>
  </si>
  <si>
    <t>Paenibacillus phage Vegas</t>
  </si>
  <si>
    <t>KT361654</t>
  </si>
  <si>
    <t>Wanderervirus</t>
  </si>
  <si>
    <t>Paenibacillus phage Wanderer</t>
  </si>
  <si>
    <t>MH431930</t>
  </si>
  <si>
    <t>Gordonclarkvirinae</t>
  </si>
  <si>
    <t>Kuravirus</t>
  </si>
  <si>
    <t>Escherichia phage vB_EcoP-CHD5UKE1</t>
  </si>
  <si>
    <t>MZ234028</t>
  </si>
  <si>
    <t>Escherichia phage vB_EcoP_EcoN5</t>
  </si>
  <si>
    <t>MN715356</t>
  </si>
  <si>
    <t>Escherichia phage ES17</t>
  </si>
  <si>
    <t>MN508615</t>
  </si>
  <si>
    <t>Escherichia phage vB_EcoP_IMEP8</t>
  </si>
  <si>
    <t>MZ648214</t>
  </si>
  <si>
    <t>Escherichia phage 172-1</t>
  </si>
  <si>
    <t>KP308307</t>
  </si>
  <si>
    <t>Escherichia phage MN03</t>
  </si>
  <si>
    <t>MT129653</t>
  </si>
  <si>
    <t>Escherichia phage MN05</t>
  </si>
  <si>
    <t>MT129655</t>
  </si>
  <si>
    <t>Escherichia phage NJ01</t>
  </si>
  <si>
    <t>JX867715</t>
  </si>
  <si>
    <t>Escherichia phage O18-011</t>
  </si>
  <si>
    <t>LC553735</t>
  </si>
  <si>
    <t>Escherichia phage Paul</t>
  </si>
  <si>
    <t>MN045231</t>
  </si>
  <si>
    <t>Escherichia phage phiEco32</t>
  </si>
  <si>
    <t>EU330206</t>
  </si>
  <si>
    <t>Shigella phage SGF2</t>
  </si>
  <si>
    <t>MN148435</t>
  </si>
  <si>
    <t>Escherichia phage vB_EcoP_SU10</t>
  </si>
  <si>
    <t>KM044272</t>
  </si>
  <si>
    <t>Escherichia phage vB_EcoP_WFI101126</t>
  </si>
  <si>
    <t>MK373770</t>
  </si>
  <si>
    <t>Nieuwekanaalvirus</t>
  </si>
  <si>
    <t>Escherichia phage EP335</t>
  </si>
  <si>
    <t>MG748548</t>
  </si>
  <si>
    <t>Escherichia phage KBNP1711</t>
  </si>
  <si>
    <t>KF981730</t>
  </si>
  <si>
    <t>Suseptimavirus</t>
  </si>
  <si>
    <t>Escherichia phage vB_EcoP-101114UKE3</t>
  </si>
  <si>
    <t>MZ234017</t>
  </si>
  <si>
    <t>Escherichia phage ECBP2</t>
  </si>
  <si>
    <t>JX415536</t>
  </si>
  <si>
    <t>Escherichia phage EK010</t>
  </si>
  <si>
    <t>LC553734</t>
  </si>
  <si>
    <t>Escherichia phage IME267</t>
  </si>
  <si>
    <t>MZ398243</t>
  </si>
  <si>
    <t>Escherichia phage vB_EcoP_SU7</t>
  </si>
  <si>
    <t>MZ342906</t>
  </si>
  <si>
    <t>Gorgonvirinae</t>
  </si>
  <si>
    <t>Aphroditevirus</t>
  </si>
  <si>
    <t>Vibrio phage Aphrodite1</t>
  </si>
  <si>
    <t>MG720308</t>
  </si>
  <si>
    <t>Vibrio phage 2 TSL-2019</t>
  </si>
  <si>
    <t>MK368614</t>
  </si>
  <si>
    <t>Photobacterium phage PDCC-1</t>
  </si>
  <si>
    <t>MN562221</t>
  </si>
  <si>
    <t>Vibrio phage USC-1</t>
  </si>
  <si>
    <t>MK905543</t>
  </si>
  <si>
    <t>Tidunavirus</t>
  </si>
  <si>
    <t>Vibrio phage pTD1</t>
  </si>
  <si>
    <t>AP017972</t>
  </si>
  <si>
    <t>Vibrio phage VP4B</t>
  </si>
  <si>
    <t>KC131130</t>
  </si>
  <si>
    <t>Gracegardnervirinae</t>
  </si>
  <si>
    <t>Avanivirus</t>
  </si>
  <si>
    <t>Mycobacterium phage Avani</t>
  </si>
  <si>
    <t>JQ809702</t>
  </si>
  <si>
    <t>Mycobacterium phage Che9d</t>
  </si>
  <si>
    <t>AY129336</t>
  </si>
  <si>
    <t>Mycobacterium phage Demsculpinboyz</t>
  </si>
  <si>
    <t>MF919502</t>
  </si>
  <si>
    <t>Mycobacterium phage Soul22</t>
  </si>
  <si>
    <t>MT522000</t>
  </si>
  <si>
    <t>Mycobacterium phage Yoshi</t>
  </si>
  <si>
    <t>JF704115</t>
  </si>
  <si>
    <t>Mycobacterium phage Zapner</t>
  </si>
  <si>
    <t>KJ567041</t>
  </si>
  <si>
    <t>Cheoctovirus</t>
  </si>
  <si>
    <t>Mycobacterium phage ArcusAngelus</t>
  </si>
  <si>
    <t>MH744415</t>
  </si>
  <si>
    <t>Mycobacterium phage Batiatus</t>
  </si>
  <si>
    <t>MH020235</t>
  </si>
  <si>
    <t>Mycobacterium phage Blexus</t>
  </si>
  <si>
    <t>MN586012</t>
  </si>
  <si>
    <t>Mycobacterium phage BobaPhett</t>
  </si>
  <si>
    <t>MH155865</t>
  </si>
  <si>
    <t>Mycobacterium phage BodEinwohner17</t>
  </si>
  <si>
    <t>MN945900</t>
  </si>
  <si>
    <t>Mycobacterium phage Bubbles123</t>
  </si>
  <si>
    <t>KY348865</t>
  </si>
  <si>
    <t>Mycobacterium phage Burwell21</t>
  </si>
  <si>
    <t>MH651169</t>
  </si>
  <si>
    <t>Mycobacterium phage BuzzLyseyear</t>
  </si>
  <si>
    <t>KM347889</t>
  </si>
  <si>
    <t>Mycobacterium phage Byougenkin</t>
  </si>
  <si>
    <t>MH155866</t>
  </si>
  <si>
    <t>Mycobacterium phage CaptainTrips</t>
  </si>
  <si>
    <t>KM652553</t>
  </si>
  <si>
    <t>Mycobacterium phage Chuckly</t>
  </si>
  <si>
    <t>MN585995</t>
  </si>
  <si>
    <t>Mycobacterium phage Dante</t>
  </si>
  <si>
    <t>KT309034</t>
  </si>
  <si>
    <t>Mycobacterium phage DillTech15</t>
  </si>
  <si>
    <t>MH077578</t>
  </si>
  <si>
    <t>Mycobacterium phage Donkeykong</t>
  </si>
  <si>
    <t>MN586001</t>
  </si>
  <si>
    <t>Mycobacterium phage Doug</t>
  </si>
  <si>
    <t>MN310544</t>
  </si>
  <si>
    <t>Mycobacterium phage DRBy19</t>
  </si>
  <si>
    <t>MT310893</t>
  </si>
  <si>
    <t>Mycobacterium phage Eish</t>
  </si>
  <si>
    <t>MN585975</t>
  </si>
  <si>
    <t>Mycobacterium phage EleanorGeorge</t>
  </si>
  <si>
    <t>MH669001</t>
  </si>
  <si>
    <t>Mycobacterium phage Emma</t>
  </si>
  <si>
    <t>MF668270</t>
  </si>
  <si>
    <t>Mycobacterium phage Empress</t>
  </si>
  <si>
    <t>KY012363</t>
  </si>
  <si>
    <t>Mycobacterium phage Estave1</t>
  </si>
  <si>
    <t>KM279937</t>
  </si>
  <si>
    <t>Mycobacterium phage Fancypants</t>
  </si>
  <si>
    <t>MK524503</t>
  </si>
  <si>
    <t>Mycobacterium phage Filuzino</t>
  </si>
  <si>
    <t>MK016494</t>
  </si>
  <si>
    <t>Mycobacterium phage Firehouse51</t>
  </si>
  <si>
    <t>MT889374</t>
  </si>
  <si>
    <t>Mycobacterium phage Florinda</t>
  </si>
  <si>
    <t>KR997930</t>
  </si>
  <si>
    <t>Mycobacterium phage Galactic</t>
  </si>
  <si>
    <t>MH727548</t>
  </si>
  <si>
    <t>Mycobacterium phage Gandalph</t>
  </si>
  <si>
    <t>MT684586</t>
  </si>
  <si>
    <t>Mycobacterium phage Geralt</t>
  </si>
  <si>
    <t>MF668271</t>
  </si>
  <si>
    <t>Mycobacterium phage Girr</t>
  </si>
  <si>
    <t>MH669003</t>
  </si>
  <si>
    <t>Mycobacterium phage Gorge</t>
  </si>
  <si>
    <t>MH590602</t>
  </si>
  <si>
    <t>Mycobacterium phage Hades</t>
  </si>
  <si>
    <t>KM101122</t>
  </si>
  <si>
    <t>Mycobacterium phage Hamulus</t>
  </si>
  <si>
    <t>KF024723</t>
  </si>
  <si>
    <t>Mycobacterium phage Harley</t>
  </si>
  <si>
    <t>MH632119</t>
  </si>
  <si>
    <t>Mycobacterium phage Hlubikazi</t>
  </si>
  <si>
    <t>MT684601</t>
  </si>
  <si>
    <t>Mycobacterium phage Inventum</t>
  </si>
  <si>
    <t>KM066034</t>
  </si>
  <si>
    <t>Mycobacterium phage JoeyJr</t>
  </si>
  <si>
    <t>MH669005</t>
  </si>
  <si>
    <t>Mycobacterium phage Kersh</t>
  </si>
  <si>
    <t>KX610764</t>
  </si>
  <si>
    <t>Mycobacterium phage Kimberlium</t>
  </si>
  <si>
    <t>KR935214</t>
  </si>
  <si>
    <t>Mycobacterium phage Krakatau</t>
  </si>
  <si>
    <t>MH590598</t>
  </si>
  <si>
    <t>Mycobacterium phage KristaRAM</t>
  </si>
  <si>
    <t>MH651178</t>
  </si>
  <si>
    <t>Mycobacterium phage LilMoolah</t>
  </si>
  <si>
    <t>MN586011</t>
  </si>
  <si>
    <t>Mycobacterium phage Lizziana</t>
  </si>
  <si>
    <t>MH834617</t>
  </si>
  <si>
    <t>Mycobacterium phage Mahavrat</t>
  </si>
  <si>
    <t>MK967397</t>
  </si>
  <si>
    <t>Mycobacterium phage Mantra</t>
  </si>
  <si>
    <t>MH590596</t>
  </si>
  <si>
    <t>Mycobacterium phage Mattes</t>
  </si>
  <si>
    <t>MH155871</t>
  </si>
  <si>
    <t>Mycobacterium phage Melissauren88</t>
  </si>
  <si>
    <t>MH077580</t>
  </si>
  <si>
    <t>Mycobacterium phage MilleniumForce</t>
  </si>
  <si>
    <t>MH825707</t>
  </si>
  <si>
    <t>Mycobacterium phage MinionDave</t>
  </si>
  <si>
    <t>MN369749</t>
  </si>
  <si>
    <t>Mycobacterium phage Minnie</t>
  </si>
  <si>
    <t>MN369755</t>
  </si>
  <si>
    <t>Mycobacterium phage Moonbeam</t>
  </si>
  <si>
    <t>MT684593</t>
  </si>
  <si>
    <t>Mycobacterium phage Nitzel</t>
  </si>
  <si>
    <t>MN310545</t>
  </si>
  <si>
    <t>Mycobacterium phage Nivrat</t>
  </si>
  <si>
    <t>MH651183</t>
  </si>
  <si>
    <t>Mycobacterium phage Ochi17</t>
  </si>
  <si>
    <t>MK359307</t>
  </si>
  <si>
    <t>Mycobacterium phage OldBen</t>
  </si>
  <si>
    <t>MG770213</t>
  </si>
  <si>
    <t>Mycobacterium phage OlympiaSaint</t>
  </si>
  <si>
    <t>MH371120</t>
  </si>
  <si>
    <t>Mycobacterium phage Ovechkin</t>
  </si>
  <si>
    <t>KR824843</t>
  </si>
  <si>
    <t>Mycobacterium phage OwlsT2W</t>
  </si>
  <si>
    <t>MH051257</t>
  </si>
  <si>
    <t>Mycobacterium phage Phasih</t>
  </si>
  <si>
    <t>MF919526</t>
  </si>
  <si>
    <t>Mycobacterium phage Phatniss</t>
  </si>
  <si>
    <t>KT279576</t>
  </si>
  <si>
    <t>Mycobacterium phage Plumbus</t>
  </si>
  <si>
    <t>MW055915</t>
  </si>
  <si>
    <t>Mycobacterium phage Poenanya</t>
  </si>
  <si>
    <t>MK305886</t>
  </si>
  <si>
    <t>Mycobacterium phage Polka14</t>
  </si>
  <si>
    <t>MK875792</t>
  </si>
  <si>
    <t>Mycobacterium phage PopTart</t>
  </si>
  <si>
    <t>KT281792</t>
  </si>
  <si>
    <t>Mycobacterium phage Priscilla</t>
  </si>
  <si>
    <t>MG872841</t>
  </si>
  <si>
    <t>Mycobacterium phage QuickMath</t>
  </si>
  <si>
    <t>MH669012</t>
  </si>
  <si>
    <t>Mycobacterium phage RitaG</t>
  </si>
  <si>
    <t>MF668281</t>
  </si>
  <si>
    <t>Mycobacterium phage Royals2015</t>
  </si>
  <si>
    <t>MT897904</t>
  </si>
  <si>
    <t>Mycobacterium phage Saal</t>
  </si>
  <si>
    <t>KJ025956</t>
  </si>
  <si>
    <t>Mycobacterium phage Sandalphon</t>
  </si>
  <si>
    <t>MH371123</t>
  </si>
  <si>
    <t>Mycobacterium phage SiSi</t>
  </si>
  <si>
    <t>KC661278</t>
  </si>
  <si>
    <t>Mycobacterium phage Sparkdehlily</t>
  </si>
  <si>
    <t>KT895280</t>
  </si>
  <si>
    <t>Mycobacterium phage Spikelee</t>
  </si>
  <si>
    <t>MH669014</t>
  </si>
  <si>
    <t>Mycobacterium phage Spoonbill</t>
  </si>
  <si>
    <t>MF190168</t>
  </si>
  <si>
    <t>Mycobacterium phage SuperGrey</t>
  </si>
  <si>
    <t>KX808131</t>
  </si>
  <si>
    <t>Mycobacterium phage SwagPigglett</t>
  </si>
  <si>
    <t>MK494110</t>
  </si>
  <si>
    <t>Mycobacterium phage Veteran</t>
  </si>
  <si>
    <t>MT114164</t>
  </si>
  <si>
    <t>Mycobacterium phage Wachhund</t>
  </si>
  <si>
    <t>MF668287</t>
  </si>
  <si>
    <t>Mycobacterium phage Whouxphf</t>
  </si>
  <si>
    <t>MK016504</t>
  </si>
  <si>
    <t>Mycobacterium phage WillSterrel</t>
  </si>
  <si>
    <t>KX576644</t>
  </si>
  <si>
    <t>Mycobacterium phage XFactor</t>
  </si>
  <si>
    <t>KT281795</t>
  </si>
  <si>
    <t>Mycobacterium phage Zerg</t>
  </si>
  <si>
    <t>MK112556</t>
  </si>
  <si>
    <t>Mycobacterium phage Ardmore</t>
  </si>
  <si>
    <t>GU060500</t>
  </si>
  <si>
    <t>Mycobacterium phage Boomer</t>
  </si>
  <si>
    <t>EU816590</t>
  </si>
  <si>
    <t>Mycobacterium phage Che8</t>
  </si>
  <si>
    <t>AY129330</t>
  </si>
  <si>
    <t>Mycobacterium phage DeadP</t>
  </si>
  <si>
    <t>JN698996</t>
  </si>
  <si>
    <t>Mycobacterium phage Dlane</t>
  </si>
  <si>
    <t>JF937093</t>
  </si>
  <si>
    <t>Mycobacterium phage Dorothy</t>
  </si>
  <si>
    <t>JX411620</t>
  </si>
  <si>
    <t>Mycobacterium phage DotProduct</t>
  </si>
  <si>
    <t>JN859129</t>
  </si>
  <si>
    <t>Mycobacterium phage Drago</t>
  </si>
  <si>
    <t>JN542517</t>
  </si>
  <si>
    <t>Mycobacterium phage Fruitloop</t>
  </si>
  <si>
    <t>FJ174690</t>
  </si>
  <si>
    <t>Mycobacterium phage GUmbie</t>
  </si>
  <si>
    <t>JN398368</t>
  </si>
  <si>
    <t>Mycobacterium phage Ibhubesi</t>
  </si>
  <si>
    <t>JF937098</t>
  </si>
  <si>
    <t>Mycobacterium phage Llij</t>
  </si>
  <si>
    <t>DQ398045</t>
  </si>
  <si>
    <t>Mycobacterium phage Mozy</t>
  </si>
  <si>
    <t>JF937102</t>
  </si>
  <si>
    <t>Mycobacterium phage Mutaforma13</t>
  </si>
  <si>
    <t>JN020142</t>
  </si>
  <si>
    <t>Mycobacterium phage Pacc40</t>
  </si>
  <si>
    <t>FJ174692</t>
  </si>
  <si>
    <t>Mycobacterium phage PMC</t>
  </si>
  <si>
    <t>DQ398050</t>
  </si>
  <si>
    <t>Mycobacterium phage Ramsey</t>
  </si>
  <si>
    <t>FJ174693</t>
  </si>
  <si>
    <t>Mycobacterium phage RockyHorror</t>
  </si>
  <si>
    <t>JF704117</t>
  </si>
  <si>
    <t>Mycobacterium phage SG4</t>
  </si>
  <si>
    <t>JN699012</t>
  </si>
  <si>
    <t>Mycobacterium phage Shauna1</t>
  </si>
  <si>
    <t>JN020141</t>
  </si>
  <si>
    <t>Mycobacterium phage ShiLan</t>
  </si>
  <si>
    <t>JN020143</t>
  </si>
  <si>
    <t>Mycobacterium phage Spartacus</t>
  </si>
  <si>
    <t>JQ300538</t>
  </si>
  <si>
    <t>Mycobacterium phage Taj</t>
  </si>
  <si>
    <t>JX121091</t>
  </si>
  <si>
    <t>Mycobacterium phage Tweety</t>
  </si>
  <si>
    <t>EF536069</t>
  </si>
  <si>
    <t>Mycobacterium phage Wee</t>
  </si>
  <si>
    <t>HQ728524</t>
  </si>
  <si>
    <t>Cornievirus</t>
  </si>
  <si>
    <t>Mycobacterium phage Cornie</t>
  </si>
  <si>
    <t>MN908688</t>
  </si>
  <si>
    <t>Moomoovirus</t>
  </si>
  <si>
    <t>Mycobacterium phage MooMoo</t>
  </si>
  <si>
    <t>MH001449</t>
  </si>
  <si>
    <t>Squirtyvirus</t>
  </si>
  <si>
    <t>Mycobacterium phage Squirty</t>
  </si>
  <si>
    <t>KM101124</t>
  </si>
  <si>
    <t>Thetabobvirus</t>
  </si>
  <si>
    <t>Mycobacterium phage Renaud18</t>
  </si>
  <si>
    <t>MH651187</t>
  </si>
  <si>
    <t>Mycobacterium phage TChen</t>
  </si>
  <si>
    <t>MH077585</t>
  </si>
  <si>
    <t>Mycobacterium phage ThetaBob</t>
  </si>
  <si>
    <t>MK977709</t>
  </si>
  <si>
    <t>Guernseyvirinae</t>
  </si>
  <si>
    <t>Cornellvirus</t>
  </si>
  <si>
    <t>Salmonella phage FSL SP-031</t>
  </si>
  <si>
    <t>KC139518</t>
  </si>
  <si>
    <t>Jerseyvirus</t>
  </si>
  <si>
    <t>Salmonella phage vB_SenS_AG11</t>
  </si>
  <si>
    <t>JX297445</t>
  </si>
  <si>
    <t>Salmonella phage vB_SenS-Ent1</t>
  </si>
  <si>
    <t>HE775250</t>
  </si>
  <si>
    <t>Salmonella phage f18SE</t>
  </si>
  <si>
    <t>KR270151</t>
  </si>
  <si>
    <t>Salmonella phage Jersey</t>
  </si>
  <si>
    <t>KF148055</t>
  </si>
  <si>
    <t>Salmonella phage LSPA1</t>
  </si>
  <si>
    <t>KM272358</t>
  </si>
  <si>
    <t>Salmonella phage SE2</t>
  </si>
  <si>
    <t>JQ007353</t>
  </si>
  <si>
    <t>Salmonella phage SETP13</t>
  </si>
  <si>
    <t>KF562864</t>
  </si>
  <si>
    <t>Salmonella phage SETP7</t>
  </si>
  <si>
    <t>EF177456</t>
  </si>
  <si>
    <t>KF562865</t>
  </si>
  <si>
    <t>Salmonella phage FSL SP-101</t>
  </si>
  <si>
    <t>KC139511</t>
  </si>
  <si>
    <t>Salmonella phage SS3e</t>
  </si>
  <si>
    <t>AY730274</t>
  </si>
  <si>
    <t>Salmonella phage wks13</t>
  </si>
  <si>
    <t>JX202565</t>
  </si>
  <si>
    <t>Kagunavirus</t>
  </si>
  <si>
    <t>Escherichia phage vB_EcoS-Golestan</t>
  </si>
  <si>
    <t>MG099933</t>
  </si>
  <si>
    <t>Escherichia phage K1G</t>
  </si>
  <si>
    <t>GU196277</t>
  </si>
  <si>
    <t>Escherichia phage K1H</t>
  </si>
  <si>
    <t>GU196278</t>
  </si>
  <si>
    <t>Escherichia phage K1ind1</t>
  </si>
  <si>
    <t>GU196279</t>
  </si>
  <si>
    <t>Escherichia phage K1ind2</t>
  </si>
  <si>
    <t>GU196280</t>
  </si>
  <si>
    <t>Raoultella phage RP180</t>
  </si>
  <si>
    <t>RP180</t>
  </si>
  <si>
    <t>MK737937</t>
  </si>
  <si>
    <t>Gutmannvirinae</t>
  </si>
  <si>
    <t>Carmenvirus</t>
  </si>
  <si>
    <t>Bacillus phage Carmen17</t>
  </si>
  <si>
    <t>MG784342</t>
  </si>
  <si>
    <t>Bacillus phage Wes44</t>
  </si>
  <si>
    <t>MH598512</t>
  </si>
  <si>
    <t>Pebcunavirus</t>
  </si>
  <si>
    <t>Bacillus phage PBC1</t>
  </si>
  <si>
    <t>JQ619704</t>
  </si>
  <si>
    <t>Hendrixvirinae</t>
  </si>
  <si>
    <t>Byrnievirus</t>
  </si>
  <si>
    <t>Escherichia phage HK97</t>
  </si>
  <si>
    <t>AF069529</t>
  </si>
  <si>
    <t>Cuauhtlivirus</t>
  </si>
  <si>
    <t>Escherichia phage mEpX1</t>
  </si>
  <si>
    <t>JQ182727</t>
  </si>
  <si>
    <t>Kwaitsingvirus</t>
  </si>
  <si>
    <t>Escherichia phage HK446</t>
  </si>
  <si>
    <t>JQ086372</t>
  </si>
  <si>
    <t>Escherichia phage HK544</t>
  </si>
  <si>
    <t>JQ086374</t>
  </si>
  <si>
    <t>Nochtlivirus</t>
  </si>
  <si>
    <t>Enterobacteria phage mEp235</t>
  </si>
  <si>
    <t>JQ182731</t>
  </si>
  <si>
    <t>Saikungvirus</t>
  </si>
  <si>
    <t>Escherichia phage HK633</t>
  </si>
  <si>
    <t>JQ086377</t>
  </si>
  <si>
    <t>Escherichia phage HK75</t>
  </si>
  <si>
    <t>HM173637</t>
  </si>
  <si>
    <t>Shamshuipovirus</t>
  </si>
  <si>
    <t>Escherichia phage HK022</t>
  </si>
  <si>
    <t>AF069308</t>
  </si>
  <si>
    <t>Escherichia phage mEpX2</t>
  </si>
  <si>
    <t>JQ182726</t>
  </si>
  <si>
    <t>Wanchaivirus</t>
  </si>
  <si>
    <t>Escherichia phage HK106</t>
  </si>
  <si>
    <t>JQ086369</t>
  </si>
  <si>
    <t>Escherichia phage mEp234</t>
  </si>
  <si>
    <t>JQ182732</t>
  </si>
  <si>
    <t>Wongtaivirus</t>
  </si>
  <si>
    <t>Escherichia phage ECP1</t>
  </si>
  <si>
    <t>KY979108</t>
  </si>
  <si>
    <t>Escherichia phage HK542</t>
  </si>
  <si>
    <t>JQ086373</t>
  </si>
  <si>
    <t>Yautsimvirus</t>
  </si>
  <si>
    <t>Enterobacteria phage HK140</t>
  </si>
  <si>
    <t>JQ086370</t>
  </si>
  <si>
    <t>Iiscvirinae</t>
  </si>
  <si>
    <t>Aryavirus</t>
  </si>
  <si>
    <t>Enterobacter phage Arya</t>
  </si>
  <si>
    <t>KX231828</t>
  </si>
  <si>
    <t>Jilinvirus</t>
  </si>
  <si>
    <t>Escherichia phage vB_EcoM_ECO1230-10</t>
  </si>
  <si>
    <t>GU903191</t>
  </si>
  <si>
    <t>Escherichia phage vB_EcoM_ECOO78</t>
  </si>
  <si>
    <t>KY705409</t>
  </si>
  <si>
    <t>Escherichia phage vB_EcoM-ep3</t>
  </si>
  <si>
    <t>KM360178</t>
  </si>
  <si>
    <t>Joanripponvirinae</t>
  </si>
  <si>
    <t>Natevirus</t>
  </si>
  <si>
    <t>Bacillus phage vB_BanS_Nate</t>
  </si>
  <si>
    <t>OK499992</t>
  </si>
  <si>
    <t>Sophritavirus</t>
  </si>
  <si>
    <t>Bacillus phage pW2</t>
  </si>
  <si>
    <t>MK288021</t>
  </si>
  <si>
    <t>Bacillus phage vB_BanS_Sophrita</t>
  </si>
  <si>
    <t>OK499991</t>
  </si>
  <si>
    <t>Tsamsavirus</t>
  </si>
  <si>
    <t>Bacillus phage vB_BanS_Chewbecca</t>
  </si>
  <si>
    <t>OK499972</t>
  </si>
  <si>
    <t>Bacillus phage Izhevsk</t>
  </si>
  <si>
    <t>MT254578</t>
  </si>
  <si>
    <t>Bacillus phage vB_BanS_MrDarsey</t>
  </si>
  <si>
    <t>OK499987</t>
  </si>
  <si>
    <t>Bacillus phage vB_BanS_Skywalker</t>
  </si>
  <si>
    <t>OK499994</t>
  </si>
  <si>
    <t>Bacillus phage vB_BanS-Tsamsa</t>
  </si>
  <si>
    <t>KC481682</t>
  </si>
  <si>
    <t>Kantovirinae</t>
  </si>
  <si>
    <t>Beograduvirus</t>
  </si>
  <si>
    <t>Xanthomonas phage KPhi1</t>
  </si>
  <si>
    <t>KY210139</t>
  </si>
  <si>
    <t>Xanthomonas virus phiXaf18</t>
  </si>
  <si>
    <t>MN461279</t>
  </si>
  <si>
    <t>Tsukubavirus</t>
  </si>
  <si>
    <t>Xanthomonas phage OP2</t>
  </si>
  <si>
    <t>AP008986</t>
  </si>
  <si>
    <t>Xanthomonas phage XPP1</t>
  </si>
  <si>
    <t>MG944227</t>
  </si>
  <si>
    <t>Xanthomonas phage XPV1</t>
  </si>
  <si>
    <t>MG944234</t>
  </si>
  <si>
    <t>Langleyhallvirinae</t>
  </si>
  <si>
    <t>Getalongvirus</t>
  </si>
  <si>
    <t>Gordonia phage Asapag</t>
  </si>
  <si>
    <t>MK376961</t>
  </si>
  <si>
    <t>Gordonia phage BENtherdunthat</t>
  </si>
  <si>
    <t>MG099939</t>
  </si>
  <si>
    <t>Gordonia phage Getalong</t>
  </si>
  <si>
    <t>MH779504</t>
  </si>
  <si>
    <t>Gordonia phage Kenna</t>
  </si>
  <si>
    <t>MK279906</t>
  </si>
  <si>
    <t>Horusvirus</t>
  </si>
  <si>
    <t>Gordonia phage Horus</t>
  </si>
  <si>
    <t>MH651176</t>
  </si>
  <si>
    <t>Phistoryvirus</t>
  </si>
  <si>
    <t>Gordonia phage Phistory</t>
  </si>
  <si>
    <t>MH651185</t>
  </si>
  <si>
    <t>Mccleskeyvirinae</t>
  </si>
  <si>
    <t>Limdunavirus</t>
  </si>
  <si>
    <t>Leuconostoc phage LDG</t>
  </si>
  <si>
    <t>KX555527</t>
  </si>
  <si>
    <t>Leuconostoc phage Lmd1</t>
  </si>
  <si>
    <t>JQ659259</t>
  </si>
  <si>
    <t>Leuconostoc phage LN03</t>
  </si>
  <si>
    <t>KC013022</t>
  </si>
  <si>
    <t>Leuconostoc phage LN04</t>
  </si>
  <si>
    <t>KC013023</t>
  </si>
  <si>
    <t>Leuconostoc phage phiLN12</t>
  </si>
  <si>
    <t>KC013025</t>
  </si>
  <si>
    <t>Leuconostoc phage P793</t>
  </si>
  <si>
    <t>KC013021</t>
  </si>
  <si>
    <t>Leuconostoc phage P965</t>
  </si>
  <si>
    <t>MN552146</t>
  </si>
  <si>
    <t>Unaquatrovirus</t>
  </si>
  <si>
    <t>Leuconostoc phage LN25</t>
  </si>
  <si>
    <t>KC013026</t>
  </si>
  <si>
    <t>Leuconostoc phage LN34</t>
  </si>
  <si>
    <t>KC013027</t>
  </si>
  <si>
    <t>Leuconostoc phage Ln-7</t>
  </si>
  <si>
    <t>KX578042</t>
  </si>
  <si>
    <t>Leuconostoc phage Ln-9</t>
  </si>
  <si>
    <t>KM262192</t>
  </si>
  <si>
    <t>Leuconostoc phage 1-A4</t>
  </si>
  <si>
    <t>GQ451696</t>
  </si>
  <si>
    <t>Nclasvirinae</t>
  </si>
  <si>
    <t>Charlievirus</t>
  </si>
  <si>
    <t>Mycobacterium phage Aggie</t>
  </si>
  <si>
    <t>MH697576</t>
  </si>
  <si>
    <t>Mycobacterium phage Andies</t>
  </si>
  <si>
    <t>MG099936</t>
  </si>
  <si>
    <t>Mycobacterium phage Butters</t>
  </si>
  <si>
    <t>KC576783</t>
  </si>
  <si>
    <t>Mycobacterium phage Charlie</t>
  </si>
  <si>
    <t>JN256079</t>
  </si>
  <si>
    <t>Mycobacterium phage Fulbright</t>
  </si>
  <si>
    <t>MK977708</t>
  </si>
  <si>
    <t>Mycobacterium phage Jamie19</t>
  </si>
  <si>
    <t>MT498044</t>
  </si>
  <si>
    <t>Mycobacterium phage Kevin1</t>
  </si>
  <si>
    <t>MK524500</t>
  </si>
  <si>
    <t>Mycobacterium phage MichelleMyBell</t>
  </si>
  <si>
    <t>KF986246</t>
  </si>
  <si>
    <t>Mycobacterium phage Panchino</t>
  </si>
  <si>
    <t>KU935727</t>
  </si>
  <si>
    <t>Mycobacterium phage Philonius</t>
  </si>
  <si>
    <t>MG099948</t>
  </si>
  <si>
    <t>Mycobacterium phage Phrann</t>
  </si>
  <si>
    <t>KU935731</t>
  </si>
  <si>
    <t>Mycobacterium phage Pipsqueaks</t>
  </si>
  <si>
    <t>KU935730</t>
  </si>
  <si>
    <t>Mycobacterium phage Raymond7</t>
  </si>
  <si>
    <t>MT498048</t>
  </si>
  <si>
    <t>Mycobacterium phage Rebel</t>
  </si>
  <si>
    <t>MT498042</t>
  </si>
  <si>
    <t>Mycobacterium phage Redi</t>
  </si>
  <si>
    <t>JN624851</t>
  </si>
  <si>
    <t>Mycobacterium phage SkinnyPete</t>
  </si>
  <si>
    <t>KU935729</t>
  </si>
  <si>
    <t>Mycobacterium phage Tapioca</t>
  </si>
  <si>
    <t>MH697593</t>
  </si>
  <si>
    <t>Mycobacterium phage Xeno</t>
  </si>
  <si>
    <t>KU935728</t>
  </si>
  <si>
    <t>Nymbaxtervirinae</t>
  </si>
  <si>
    <t>Baxterfoxvirus</t>
  </si>
  <si>
    <t>Gordonia phage Ohgeesy</t>
  </si>
  <si>
    <t>MT639650</t>
  </si>
  <si>
    <t>Gordonia phage BaxterFox</t>
  </si>
  <si>
    <t>KU963263</t>
  </si>
  <si>
    <t>Gordonia phage Yeezy</t>
  </si>
  <si>
    <t>KU963249</t>
  </si>
  <si>
    <t>Nymphadoravirus</t>
  </si>
  <si>
    <t>Gordonia phage Agueybana</t>
  </si>
  <si>
    <t>MZ274304</t>
  </si>
  <si>
    <t>Gordonia phage Bosnia</t>
  </si>
  <si>
    <t>MT952844</t>
  </si>
  <si>
    <t>Gordonia phage BoyNamedSue</t>
  </si>
  <si>
    <t>MW712717</t>
  </si>
  <si>
    <t>Gordonia phage Bunnybear</t>
  </si>
  <si>
    <t>MT723938</t>
  </si>
  <si>
    <t>Gordonia phage Herod</t>
  </si>
  <si>
    <t>MT889398</t>
  </si>
  <si>
    <t>Gordonia phage Kita</t>
  </si>
  <si>
    <t>KU963257</t>
  </si>
  <si>
    <t>Gordonia phage Madeline</t>
  </si>
  <si>
    <t>MK919469</t>
  </si>
  <si>
    <t>Gordonia phage Maridalia</t>
  </si>
  <si>
    <t>MK112547</t>
  </si>
  <si>
    <t>Gordonia phage Nymphadora</t>
  </si>
  <si>
    <t>KU963255</t>
  </si>
  <si>
    <t>Gordonia phage Polly</t>
  </si>
  <si>
    <t>MK820642</t>
  </si>
  <si>
    <t>Gordonia phage ThankyouJordi</t>
  </si>
  <si>
    <t>MK801727</t>
  </si>
  <si>
    <t>Gordonia phage Zirinka</t>
  </si>
  <si>
    <t>KX557287</t>
  </si>
  <si>
    <t>Ounavirinae</t>
  </si>
  <si>
    <t>Felixounavirus</t>
  </si>
  <si>
    <t>Escherichia phage vB_EcoM_Alf5</t>
  </si>
  <si>
    <t>KX377933</t>
  </si>
  <si>
    <t>Escherichia phage vB_EcoM_AYO145A</t>
  </si>
  <si>
    <t>KR014248</t>
  </si>
  <si>
    <t>Salmonella phage BPS15Q2</t>
  </si>
  <si>
    <t>KX405003</t>
  </si>
  <si>
    <t>Salmonella phage BPS17L1</t>
  </si>
  <si>
    <t>MG646672</t>
  </si>
  <si>
    <t>Salmonella phage BPS17W1</t>
  </si>
  <si>
    <t>MG646669</t>
  </si>
  <si>
    <t>Escherichia phage EC6</t>
  </si>
  <si>
    <t>JX560968</t>
  </si>
  <si>
    <t>Salmonella phage Felix01</t>
  </si>
  <si>
    <t>AF320576</t>
  </si>
  <si>
    <t>Escherichia phage HY02</t>
  </si>
  <si>
    <t>KM092515</t>
  </si>
  <si>
    <t>Escherichia phage JH2</t>
  </si>
  <si>
    <t>KF055347</t>
  </si>
  <si>
    <t>Salmonella phage Mushroom</t>
  </si>
  <si>
    <t>KP143762</t>
  </si>
  <si>
    <t>Salmonella phage vB_SAg-RPN213</t>
  </si>
  <si>
    <t>OL800606</t>
  </si>
  <si>
    <t>Salmonella phage Si3</t>
  </si>
  <si>
    <t>KY626162</t>
  </si>
  <si>
    <t>Salmonella phage vB_SPuM_SP116</t>
  </si>
  <si>
    <t>KP010413</t>
  </si>
  <si>
    <t>Escherichia typing phage 1</t>
  </si>
  <si>
    <t>KP869100</t>
  </si>
  <si>
    <t>Enterobacteriaphage UAB_Phi87</t>
  </si>
  <si>
    <t>JN225449</t>
  </si>
  <si>
    <t>Escherichia phage vB_EcoM-VpaE1</t>
  </si>
  <si>
    <t>KM657822</t>
  </si>
  <si>
    <t>Escherichia phage wV8</t>
  </si>
  <si>
    <t>EU877232</t>
  </si>
  <si>
    <t>Kolesnikvirus</t>
  </si>
  <si>
    <t>Erwinia phage phiEa21-4</t>
  </si>
  <si>
    <t>EU710883</t>
  </si>
  <si>
    <t>Erwinia phage vB_EamM-M7</t>
  </si>
  <si>
    <t>HQ728263</t>
  </si>
  <si>
    <t>Mooglevirus</t>
  </si>
  <si>
    <t>Citrobacter phage Moogle</t>
  </si>
  <si>
    <t>KM236239</t>
  </si>
  <si>
    <t>Citrobacter phage Mordin</t>
  </si>
  <si>
    <t>KT363872</t>
  </si>
  <si>
    <t>Shigella phage Sf13</t>
  </si>
  <si>
    <t>MF158040</t>
  </si>
  <si>
    <t>Shigella phage Sf14</t>
  </si>
  <si>
    <t>MF327003</t>
  </si>
  <si>
    <t>Shigella phage Sf17</t>
  </si>
  <si>
    <t>MF327004</t>
  </si>
  <si>
    <t>Suspvirus</t>
  </si>
  <si>
    <t>Escherichia phage phiSUSP1</t>
  </si>
  <si>
    <t>KT454805</t>
  </si>
  <si>
    <t>Escherichia phage phiSUSP2</t>
  </si>
  <si>
    <t>KT454806</t>
  </si>
  <si>
    <t>Pclasvirinae</t>
  </si>
  <si>
    <t>Bignuzvirus</t>
  </si>
  <si>
    <t>Mycobacterium phage BigNuz</t>
  </si>
  <si>
    <t>JN412591</t>
  </si>
  <si>
    <t>Fishburnevirus</t>
  </si>
  <si>
    <t>Mycobacterium phage Arib1</t>
  </si>
  <si>
    <t>MF919492</t>
  </si>
  <si>
    <t>Mycobacterium phage Atcoo</t>
  </si>
  <si>
    <t>MN585977</t>
  </si>
  <si>
    <t>Mycobacterium phage Bartholomew</t>
  </si>
  <si>
    <t>MF140399</t>
  </si>
  <si>
    <t>Mycobacterium phage Brusacoram</t>
  </si>
  <si>
    <t>KT347313</t>
  </si>
  <si>
    <t>Mycobacterium phage Donovan</t>
  </si>
  <si>
    <t>KF841477</t>
  </si>
  <si>
    <t>Mycobacterium phage FirstPlacePfu</t>
  </si>
  <si>
    <t>MK814758</t>
  </si>
  <si>
    <t>Mycobacterium phage Fishburne</t>
  </si>
  <si>
    <t>KC691256</t>
  </si>
  <si>
    <t>Mycobacterium phage GreaseLightnin</t>
  </si>
  <si>
    <t>MK494122</t>
  </si>
  <si>
    <t>Mycobacterium phage Jebeks</t>
  </si>
  <si>
    <t>JN572061</t>
  </si>
  <si>
    <t>Mycobacterium phage Jung</t>
  </si>
  <si>
    <t>MT498061</t>
  </si>
  <si>
    <t>Mycobacterium phage KilKor</t>
  </si>
  <si>
    <t>MN892486</t>
  </si>
  <si>
    <t>Mycobacterium phage Ksquared</t>
  </si>
  <si>
    <t>MF281061</t>
  </si>
  <si>
    <t>Mycobacterium phage Majeke</t>
  </si>
  <si>
    <t>MF472894</t>
  </si>
  <si>
    <t>Mycobacterium phage Malithi</t>
  </si>
  <si>
    <t>KP027200</t>
  </si>
  <si>
    <t>Mycobacterium phage Shipwreck</t>
  </si>
  <si>
    <t>KU985090</t>
  </si>
  <si>
    <t>Mycobacterium phage Willsammy</t>
  </si>
  <si>
    <t>MT024866</t>
  </si>
  <si>
    <t>Phayoncevirus</t>
  </si>
  <si>
    <t>Mycobacterium phage Phayonce</t>
  </si>
  <si>
    <t>KR080195</t>
  </si>
  <si>
    <t>Mycobacterium phage ThulaThula</t>
  </si>
  <si>
    <t>MN234172</t>
  </si>
  <si>
    <t>Purkyvirus</t>
  </si>
  <si>
    <t>Mycobacterium phage Purky</t>
  </si>
  <si>
    <t>MN096355</t>
  </si>
  <si>
    <t>Tortellinivirus</t>
  </si>
  <si>
    <t>Mycobacterium phage Tortellini</t>
  </si>
  <si>
    <t>KX648391</t>
  </si>
  <si>
    <t>Xaviavirus</t>
  </si>
  <si>
    <t>Mycobacterium phage Xavia</t>
  </si>
  <si>
    <t>MH230879</t>
  </si>
  <si>
    <t>Queuovirinae</t>
  </si>
  <si>
    <t>Amoyvirus</t>
  </si>
  <si>
    <t>vB_AcoS-R7M</t>
  </si>
  <si>
    <t>R7M</t>
  </si>
  <si>
    <t>MT345684</t>
  </si>
  <si>
    <t>Nipunavirus</t>
  </si>
  <si>
    <t>Pseudomonas phage NP1</t>
  </si>
  <si>
    <t>KX129925</t>
  </si>
  <si>
    <t>Pseudomonas phage PaMx25</t>
  </si>
  <si>
    <t>JQ067084</t>
  </si>
  <si>
    <t>Nonagvirus</t>
  </si>
  <si>
    <t>Enterobacteria phage JenK1</t>
  </si>
  <si>
    <t>KP719134</t>
  </si>
  <si>
    <t>Enterobacteria phage JenP1</t>
  </si>
  <si>
    <t>KP719132</t>
  </si>
  <si>
    <t>Enterobacteria phage JenP2</t>
  </si>
  <si>
    <t>KP719133</t>
  </si>
  <si>
    <t>Enterobacteria phage 9g</t>
  </si>
  <si>
    <t>KJ419279</t>
  </si>
  <si>
    <t>Salmonella phage SE1Kor</t>
  </si>
  <si>
    <t>KY926791</t>
  </si>
  <si>
    <t>Seuratvirus</t>
  </si>
  <si>
    <t>Escherichia phage CAjan</t>
  </si>
  <si>
    <t>KP064094</t>
  </si>
  <si>
    <t>Escherichia phage Seurat</t>
  </si>
  <si>
    <t>KM236243</t>
  </si>
  <si>
    <t>Ruthgordonvirinae</t>
  </si>
  <si>
    <t>Catfishvirus</t>
  </si>
  <si>
    <t>Gordonia phage Catfish</t>
  </si>
  <si>
    <t>MH697580</t>
  </si>
  <si>
    <t>Dardanusvirus</t>
  </si>
  <si>
    <t>Gordonia phage Dardanus</t>
  </si>
  <si>
    <t>MN010758</t>
  </si>
  <si>
    <t>Gesputvirus</t>
  </si>
  <si>
    <t>Gordonia phage Gsput1</t>
  </si>
  <si>
    <t>KP790011</t>
  </si>
  <si>
    <t>Schmidtvirus</t>
  </si>
  <si>
    <t>Gordonia phage Schmidt</t>
  </si>
  <si>
    <t>MH651189</t>
  </si>
  <si>
    <t>Tinalinvirus</t>
  </si>
  <si>
    <t>Gordonia phage TinaLin</t>
  </si>
  <si>
    <t>MW132713</t>
  </si>
  <si>
    <t>Vendettavirus</t>
  </si>
  <si>
    <t>Gordonia phage TZGordon</t>
  </si>
  <si>
    <t>MT553344</t>
  </si>
  <si>
    <t>Gordonia phage Vendetta</t>
  </si>
  <si>
    <t>KU998237</t>
  </si>
  <si>
    <t>Sejongvirinae</t>
  </si>
  <si>
    <t>Basiliskvirus</t>
  </si>
  <si>
    <t>Bacillus phage v_B-Bak10</t>
  </si>
  <si>
    <t>MG967618</t>
  </si>
  <si>
    <t>Bacillus phage Basilisk</t>
  </si>
  <si>
    <t>KC595511</t>
  </si>
  <si>
    <t>Yihwangvirus</t>
  </si>
  <si>
    <t>Bacillus phage BCPST</t>
  </si>
  <si>
    <t>MW392802</t>
  </si>
  <si>
    <t>Bacillus phage PBC4</t>
  </si>
  <si>
    <t>KT070866</t>
  </si>
  <si>
    <t>Bacillus phage pW4</t>
  </si>
  <si>
    <t>MK288022</t>
  </si>
  <si>
    <t>Sepvirinae</t>
  </si>
  <si>
    <t>Diegovirus</t>
  </si>
  <si>
    <t>Shigella phage 75/02 Stx</t>
  </si>
  <si>
    <t>KF766125</t>
  </si>
  <si>
    <t>Shigella phage POCJ13</t>
  </si>
  <si>
    <t>KJ603229</t>
  </si>
  <si>
    <t>Oslovirus</t>
  </si>
  <si>
    <t>Escherichia phage ArgO145</t>
  </si>
  <si>
    <t>KY914478</t>
  </si>
  <si>
    <t>Escherichia phage Lyz12581Vzw</t>
  </si>
  <si>
    <t>MN067333</t>
  </si>
  <si>
    <t>Escherichia phage phi191</t>
  </si>
  <si>
    <t>KF971864</t>
  </si>
  <si>
    <t>Escherichia phage PA2</t>
  </si>
  <si>
    <t>KP682371</t>
  </si>
  <si>
    <t>Escherichia phage TL-2011c</t>
  </si>
  <si>
    <t>JQ011318</t>
  </si>
  <si>
    <t>Shigella phage Ss-VASD</t>
  </si>
  <si>
    <t>KR781488</t>
  </si>
  <si>
    <t>Traversvirus</t>
  </si>
  <si>
    <t>Stx1 converting phage AU5Stx1</t>
  </si>
  <si>
    <t>KU977419</t>
  </si>
  <si>
    <t>Stx1 converting phage AU6Stx1</t>
  </si>
  <si>
    <t>KU977420</t>
  </si>
  <si>
    <t>Stx2-converting phage Stx2a_F451</t>
  </si>
  <si>
    <t>AP012532</t>
  </si>
  <si>
    <t>Escherichia phage Stx2 II</t>
  </si>
  <si>
    <t>AP005154</t>
  </si>
  <si>
    <t>Escherichia phage Min27</t>
  </si>
  <si>
    <t>EU311208</t>
  </si>
  <si>
    <t>Stx converting phage vB_EcoS_P27</t>
  </si>
  <si>
    <t>KU238067</t>
  </si>
  <si>
    <t>Escherichia phage PA28</t>
  </si>
  <si>
    <t>KP682381</t>
  </si>
  <si>
    <t>Escherichia phage SH2026Stx1</t>
  </si>
  <si>
    <t>MG986485</t>
  </si>
  <si>
    <t>Stx converting phage vB_EcoS_ST2-8624</t>
  </si>
  <si>
    <t>KU238070</t>
  </si>
  <si>
    <t>Escherichia phage vB_EcoP_24B</t>
  </si>
  <si>
    <t>HM208303</t>
  </si>
  <si>
    <t>Stx2-converting phage 86</t>
  </si>
  <si>
    <t>AB255436</t>
  </si>
  <si>
    <t>Escherichia phage 933W</t>
  </si>
  <si>
    <t>AF125520</t>
  </si>
  <si>
    <t>Stx2-converting phage Stx2a_WGPS9</t>
  </si>
  <si>
    <t>AP012535</t>
  </si>
  <si>
    <t>Skryabinvirinae</t>
  </si>
  <si>
    <t>Bembunaquatrovirus</t>
  </si>
  <si>
    <t>Bacillus phage vB_BtS_BMBtp14</t>
  </si>
  <si>
    <t>KX190833</t>
  </si>
  <si>
    <t>Pushchinovirus</t>
  </si>
  <si>
    <t>Bacillus phage vB_BtS_B83</t>
  </si>
  <si>
    <t>MK759918</t>
  </si>
  <si>
    <t>Stephanstirmvirinae</t>
  </si>
  <si>
    <t>Justusliebigvirus</t>
  </si>
  <si>
    <t>Escherichia phage alia</t>
  </si>
  <si>
    <t>MN850632</t>
  </si>
  <si>
    <t>Escherichia phage muut</t>
  </si>
  <si>
    <t>MN850573</t>
  </si>
  <si>
    <t>Escherichia phage vB_vPM_PD06</t>
  </si>
  <si>
    <t>MH816848</t>
  </si>
  <si>
    <t>Escherichia phage vB_EcoM_PHB05</t>
  </si>
  <si>
    <t>MF805809</t>
  </si>
  <si>
    <t>Escherichia phage phi92</t>
  </si>
  <si>
    <t>FR775895</t>
  </si>
  <si>
    <t>Escherichia phage VEcB</t>
  </si>
  <si>
    <t>MT932211</t>
  </si>
  <si>
    <t>Phapecoctavirus</t>
  </si>
  <si>
    <t>Escherichia phage ESCO13</t>
  </si>
  <si>
    <t>KX552041</t>
  </si>
  <si>
    <t>Escherichia phage ESCO5</t>
  </si>
  <si>
    <t>KX664695</t>
  </si>
  <si>
    <t>Escherichia phage phAPEC8</t>
  </si>
  <si>
    <t>JX561091</t>
  </si>
  <si>
    <t>Escherichia phage vB_EcoM_Schickermooser</t>
  </si>
  <si>
    <t>MK373788</t>
  </si>
  <si>
    <t>Klebsiella phage ZCKP1</t>
  </si>
  <si>
    <t>MH252123</t>
  </si>
  <si>
    <t>Escherichia phage anhysbys</t>
  </si>
  <si>
    <t>MN850648</t>
  </si>
  <si>
    <t>Escherichia phage Mt1B1_P17</t>
  </si>
  <si>
    <t>MT496970</t>
  </si>
  <si>
    <t>Escherichia phage nepoznato</t>
  </si>
  <si>
    <t>MN850571</t>
  </si>
  <si>
    <t>Escherichia phage nieznany</t>
  </si>
  <si>
    <t>MN850598</t>
  </si>
  <si>
    <t>Escherichia phage vB_EcoM-Ro121c4YLVW</t>
  </si>
  <si>
    <t>MH051333</t>
  </si>
  <si>
    <t>Dompiswa phage TSP7_1</t>
  </si>
  <si>
    <t>MW175890</t>
  </si>
  <si>
    <t>Escherichia phage tuntematon</t>
  </si>
  <si>
    <t>MN850618</t>
  </si>
  <si>
    <t>Escherichia phage ukendt</t>
  </si>
  <si>
    <t>MN850565</t>
  </si>
  <si>
    <t>Trabyvirinae</t>
  </si>
  <si>
    <t>Jelitavirus</t>
  </si>
  <si>
    <t>Listreria phage B025</t>
  </si>
  <si>
    <t>DQ003639</t>
  </si>
  <si>
    <t>Slepowronvirus</t>
  </si>
  <si>
    <t>Listeria phage LP-101</t>
  </si>
  <si>
    <t>KJ094023</t>
  </si>
  <si>
    <t>Listeria phage LP-HM00113468</t>
  </si>
  <si>
    <t>MT500540</t>
  </si>
  <si>
    <t>Tybeckvirinae</t>
  </si>
  <si>
    <t>Douglaswolinvirus</t>
  </si>
  <si>
    <t>Lactobacillus phage ATCC 8014-B2</t>
  </si>
  <si>
    <t>JX486088</t>
  </si>
  <si>
    <t>Lenusvirus</t>
  </si>
  <si>
    <t>Lactobacillus phage Lenus</t>
  </si>
  <si>
    <t>MG252693</t>
  </si>
  <si>
    <t>Lactobacillus phage Nyseid</t>
  </si>
  <si>
    <t>MG765276</t>
  </si>
  <si>
    <t>Lactobacillus phage SA-C12</t>
  </si>
  <si>
    <t>KU052488</t>
  </si>
  <si>
    <t>Lidleunavirus</t>
  </si>
  <si>
    <t>Lactobacillus phage Ldl1</t>
  </si>
  <si>
    <t>KM514685</t>
  </si>
  <si>
    <t>Lactobacillus phage ViSo-2018a</t>
  </si>
  <si>
    <t>CP031026</t>
  </si>
  <si>
    <t>Maenadvirus</t>
  </si>
  <si>
    <t>Lactobacillus phage Maenad</t>
  </si>
  <si>
    <t>MG765274</t>
  </si>
  <si>
    <t>Lactobacillus phage P1</t>
  </si>
  <si>
    <t>KX223815</t>
  </si>
  <si>
    <t>Lactobacillus phage Satyr</t>
  </si>
  <si>
    <t>MG744354</t>
  </si>
  <si>
    <t>Vequintavirinae</t>
  </si>
  <si>
    <t>Avunavirus</t>
  </si>
  <si>
    <t>Escherichia phage Av-05</t>
  </si>
  <si>
    <t>KM190144</t>
  </si>
  <si>
    <t>Certrevirus</t>
  </si>
  <si>
    <t>Cronobacter phage CR3</t>
  </si>
  <si>
    <t>JQ691612</t>
  </si>
  <si>
    <t>Cronobacter phage CR8</t>
  </si>
  <si>
    <t>KC954774</t>
  </si>
  <si>
    <t>Cronobacter phage CR9</t>
  </si>
  <si>
    <t>JQ691611</t>
  </si>
  <si>
    <t>Cronobacter phage PBES 02</t>
  </si>
  <si>
    <t>KT353109</t>
  </si>
  <si>
    <t>Pectobacterium phage phiTE</t>
  </si>
  <si>
    <t>JQ015307</t>
  </si>
  <si>
    <t>Henunavirus</t>
  </si>
  <si>
    <t>Erwinia phage Hena1</t>
  </si>
  <si>
    <t>MN732867</t>
  </si>
  <si>
    <t>Erwinia phage pEp_SNUABM_01</t>
  </si>
  <si>
    <t>MN184887</t>
  </si>
  <si>
    <t>Mydovirus</t>
  </si>
  <si>
    <t>Klebsiella phage vB_KpnM_BIS47</t>
  </si>
  <si>
    <t>KY652726</t>
  </si>
  <si>
    <t>Klebsiella phage vB_KpnM_KB57</t>
  </si>
  <si>
    <t>KT934943</t>
  </si>
  <si>
    <t>Klebsiella phage KNP2</t>
  </si>
  <si>
    <t>KX452695</t>
  </si>
  <si>
    <t>Klebsiella phage KpS8</t>
  </si>
  <si>
    <t>MT178275</t>
  </si>
  <si>
    <t>Proteus phage Mydo</t>
  </si>
  <si>
    <t>MK024806</t>
  </si>
  <si>
    <t>Raoultella phage Ro1</t>
  </si>
  <si>
    <t>MG250486</t>
  </si>
  <si>
    <t>Seunavirus</t>
  </si>
  <si>
    <t>Escherichia phage 4MG</t>
  </si>
  <si>
    <t>KF550303</t>
  </si>
  <si>
    <t>Cronobacter phage vB_CsaM_GAP31</t>
  </si>
  <si>
    <t>JN882284</t>
  </si>
  <si>
    <t>Salmonella phage PVPSE1</t>
  </si>
  <si>
    <t>GU070616</t>
  </si>
  <si>
    <t>Salmonella phage SSE121</t>
  </si>
  <si>
    <t>JX181824</t>
  </si>
  <si>
    <t>Vequintavirus</t>
  </si>
  <si>
    <t>Escherichia phage APECc02</t>
  </si>
  <si>
    <t>KR698074</t>
  </si>
  <si>
    <t>Escherichia phage FFH2</t>
  </si>
  <si>
    <t>KJ190158</t>
  </si>
  <si>
    <t>Escherichia phage FV3</t>
  </si>
  <si>
    <t>JQ031132</t>
  </si>
  <si>
    <t>Escherichia phage JES2013</t>
  </si>
  <si>
    <t>KC690136</t>
  </si>
  <si>
    <t>Escherichia phage Murica</t>
  </si>
  <si>
    <t>KT001917</t>
  </si>
  <si>
    <t>Escherichia phage slur16</t>
  </si>
  <si>
    <t>LN881727</t>
  </si>
  <si>
    <t>Escherichia phage V18</t>
  </si>
  <si>
    <t>KY683736</t>
  </si>
  <si>
    <t>Escherichia phage V5</t>
  </si>
  <si>
    <t>DQ832317</t>
  </si>
  <si>
    <t>Weiservirinae</t>
  </si>
  <si>
    <t>Amginevirus</t>
  </si>
  <si>
    <t>Mycobacterium phage Amgine</t>
  </si>
  <si>
    <t>MF324915</t>
  </si>
  <si>
    <t>Mycobacterium phage Amohnition</t>
  </si>
  <si>
    <t>MF140398</t>
  </si>
  <si>
    <t>Mycobacterium phage DarthP</t>
  </si>
  <si>
    <t>MF140406</t>
  </si>
  <si>
    <t>Mycobacterium phage Ekdilam</t>
  </si>
  <si>
    <t>MN234199</t>
  </si>
  <si>
    <t>Mycobacterium phage Ellie</t>
  </si>
  <si>
    <t>MT723940</t>
  </si>
  <si>
    <t>Aminayvirus</t>
  </si>
  <si>
    <t>Mycobacterium phage Aminay</t>
  </si>
  <si>
    <t>MH509442</t>
  </si>
  <si>
    <t>Anayavirus</t>
  </si>
  <si>
    <t>Mycobacterium phage Adephagia</t>
  </si>
  <si>
    <t>JF704105</t>
  </si>
  <si>
    <t>Mycobacterium phage Adonis</t>
  </si>
  <si>
    <t>MH001453</t>
  </si>
  <si>
    <t>Mycobacterium phage AlishaPH</t>
  </si>
  <si>
    <t>MH077577</t>
  </si>
  <si>
    <t>Mycobacterium phage Amelie</t>
  </si>
  <si>
    <t>KX808132</t>
  </si>
  <si>
    <t>Mycobacterium phage Anaya</t>
  </si>
  <si>
    <t>JF704106</t>
  </si>
  <si>
    <t>Mycobacterium phage Angelica</t>
  </si>
  <si>
    <t>HM152764</t>
  </si>
  <si>
    <t>Mycobacterium phage Apocalypse</t>
  </si>
  <si>
    <t>MF668267</t>
  </si>
  <si>
    <t>Mycobacterium phage Beezoo</t>
  </si>
  <si>
    <t>MH371113</t>
  </si>
  <si>
    <t>Mycobacterium phage Bella96</t>
  </si>
  <si>
    <t>MF377440</t>
  </si>
  <si>
    <t>Mycobacterium phage Chris</t>
  </si>
  <si>
    <t>MT310860</t>
  </si>
  <si>
    <t>Mycobacterium phage CrimD</t>
  </si>
  <si>
    <t>HM152767</t>
  </si>
  <si>
    <t>Mycobacterium phage Curiosium</t>
  </si>
  <si>
    <t>MN234226</t>
  </si>
  <si>
    <t>Mycobacterium phage JAWS</t>
  </si>
  <si>
    <t>JN185608</t>
  </si>
  <si>
    <t>Mycobacterium phage KiSi</t>
  </si>
  <si>
    <t>MK376955</t>
  </si>
  <si>
    <t>Mycobacterium phage LastHope</t>
  </si>
  <si>
    <t>MF140416</t>
  </si>
  <si>
    <t>Mycobacterium phage LaterM</t>
  </si>
  <si>
    <t>MG962371</t>
  </si>
  <si>
    <t>Mycobacterium phage MarkPhew</t>
  </si>
  <si>
    <t>MT310859</t>
  </si>
  <si>
    <t>Mycobacterium phage Marshawn</t>
  </si>
  <si>
    <t>MN284895</t>
  </si>
  <si>
    <t>Mycobacterium phage Murucutumbu</t>
  </si>
  <si>
    <t>KM677211</t>
  </si>
  <si>
    <t>Mycobacterium phage Nibb</t>
  </si>
  <si>
    <t>MK460246</t>
  </si>
  <si>
    <t>Mycobacterium Phage Niklas</t>
  </si>
  <si>
    <t>MK494119</t>
  </si>
  <si>
    <t>Mycobacterium phage Prithvi</t>
  </si>
  <si>
    <t>MK016503</t>
  </si>
  <si>
    <t>Mycobacterium phage SirPhilip</t>
  </si>
  <si>
    <t>MF324911</t>
  </si>
  <si>
    <t>Mycobacterium phage Urkel</t>
  </si>
  <si>
    <t>KX657796</t>
  </si>
  <si>
    <t>Mycobacterium phage Validus</t>
  </si>
  <si>
    <t>KF713486</t>
  </si>
  <si>
    <t>Mycobacterium phage Yuna</t>
  </si>
  <si>
    <t>MN234176</t>
  </si>
  <si>
    <t>Mycobacterium phage Yunkel11</t>
  </si>
  <si>
    <t>MN234165</t>
  </si>
  <si>
    <t>Mycobacterium phage Zavala</t>
  </si>
  <si>
    <t>MN234198</t>
  </si>
  <si>
    <t>Fionnbharthvirus</t>
  </si>
  <si>
    <t>Mycobacterium phage Eponine</t>
  </si>
  <si>
    <t>MN945904</t>
  </si>
  <si>
    <t>Mycobacterium phage Fionnbharth</t>
  </si>
  <si>
    <t>JN831653</t>
  </si>
  <si>
    <t>Mycobacterium phage Henu3</t>
  </si>
  <si>
    <t>MK224497</t>
  </si>
  <si>
    <t>Mycobacterium phage Patt</t>
  </si>
  <si>
    <t>MK524488</t>
  </si>
  <si>
    <t>Mycobacterium phage Taquito</t>
  </si>
  <si>
    <t>KX621007</t>
  </si>
  <si>
    <t>Keshuvirus</t>
  </si>
  <si>
    <t>Mycobacterium phage Hurricane</t>
  </si>
  <si>
    <t>MF373841</t>
  </si>
  <si>
    <t>Mycobacterium phage Keshu</t>
  </si>
  <si>
    <t>KP027199</t>
  </si>
  <si>
    <t>Mycobacterium phage MacnCheese</t>
  </si>
  <si>
    <t>JX042579</t>
  </si>
  <si>
    <t>Mycobacterium phage Pixie</t>
  </si>
  <si>
    <t>JF937104</t>
  </si>
  <si>
    <t>Mycobacterium phage ShedlockHolmes</t>
  </si>
  <si>
    <t>KR080206</t>
  </si>
  <si>
    <t>Kratiovirus</t>
  </si>
  <si>
    <t>Mycobacterium phage Collard</t>
  </si>
  <si>
    <t>MH651171</t>
  </si>
  <si>
    <t>Mycobacterium phage Gengar</t>
  </si>
  <si>
    <t>KX636165</t>
  </si>
  <si>
    <t>Mycobacterium phage Kratio</t>
  </si>
  <si>
    <t>KM923971</t>
  </si>
  <si>
    <t>Mycobacterium phage Larva</t>
  </si>
  <si>
    <t>JN243855</t>
  </si>
  <si>
    <t>Mycobacterium phage Leston</t>
  </si>
  <si>
    <t>MH051255</t>
  </si>
  <si>
    <t>Mycobacterium phage Omnicron</t>
  </si>
  <si>
    <t>KM363596</t>
  </si>
  <si>
    <t>Mycobacterium phage Paola</t>
  </si>
  <si>
    <t>MG962374</t>
  </si>
  <si>
    <t>Mycobacterium phage Rando14</t>
  </si>
  <si>
    <t>MH697592</t>
  </si>
  <si>
    <t>Mycobacterium phage Thyatira</t>
  </si>
  <si>
    <t>MH576966</t>
  </si>
  <si>
    <t>Timquatrovirus</t>
  </si>
  <si>
    <t>Mycobacterium phage TM4</t>
  </si>
  <si>
    <t>AF068845</t>
  </si>
  <si>
    <t>Mycobacterium phage Findley</t>
  </si>
  <si>
    <t>MF140411</t>
  </si>
  <si>
    <t>Mycobacterium phage Mufasa</t>
  </si>
  <si>
    <t>KT591490</t>
  </si>
  <si>
    <t>Mycobacterium phage ZoeJ</t>
  </si>
  <si>
    <t>KJ510412</t>
  </si>
  <si>
    <t>Unicornvirus</t>
  </si>
  <si>
    <t>Mycobacterium phage Bryler</t>
  </si>
  <si>
    <t>MN369762</t>
  </si>
  <si>
    <t>Mycobacterium phage Krueger</t>
  </si>
  <si>
    <t>MF324914</t>
  </si>
  <si>
    <t>Mycobacterium phage Shandong1</t>
  </si>
  <si>
    <t>KY945355</t>
  </si>
  <si>
    <t>Mycobacterium phage Unicorn</t>
  </si>
  <si>
    <t>MF324908</t>
  </si>
  <si>
    <t>Mycobacterium phage Ximenita</t>
  </si>
  <si>
    <t>MN945901</t>
  </si>
  <si>
    <t>Ackermannviridae</t>
  </si>
  <si>
    <t>Campanilevirus</t>
  </si>
  <si>
    <t>Vibrio phage YC</t>
  </si>
  <si>
    <t>MH375644</t>
  </si>
  <si>
    <t>Kujavirus</t>
  </si>
  <si>
    <t>Vibrio phage vB_VchM_Kuja</t>
  </si>
  <si>
    <t>MN718199</t>
  </si>
  <si>
    <t>Miltonvirus</t>
  </si>
  <si>
    <t>Serratia phage vB_SmaA_3M</t>
  </si>
  <si>
    <t>MH929319</t>
  </si>
  <si>
    <t>Serratia phage phiMAM1</t>
  </si>
  <si>
    <t>JX878496</t>
  </si>
  <si>
    <t>Nezavisimistyvirus</t>
  </si>
  <si>
    <t>Erwinia phage vB_EamM-Bue1</t>
  </si>
  <si>
    <t>MG973030</t>
  </si>
  <si>
    <t>Erwinia phage phiEa2809</t>
  </si>
  <si>
    <t>KP037007</t>
  </si>
  <si>
    <t>Taipeivirus</t>
  </si>
  <si>
    <t>Klebsiella phage 0507-KN2-1</t>
  </si>
  <si>
    <t>AB797215</t>
  </si>
  <si>
    <t>Serratia phage vB_Sru_IME250</t>
  </si>
  <si>
    <t>KX147096</t>
  </si>
  <si>
    <t>Klebsiella phage vB_KpnM_KpS110</t>
  </si>
  <si>
    <t>MG770379</t>
  </si>
  <si>
    <t>Escherichia phage vB_EcoM_KWBSE43-6</t>
  </si>
  <si>
    <t>MK373783</t>
  </si>
  <si>
    <t>Klebsiella phage Magnus</t>
  </si>
  <si>
    <t>MN045230</t>
  </si>
  <si>
    <t>Klebsiella phage May</t>
  </si>
  <si>
    <t>MG428991</t>
  </si>
  <si>
    <t>Klebsiella phage Menlow</t>
  </si>
  <si>
    <t>MG428990</t>
  </si>
  <si>
    <t>Klebsiella phage UPM 2146</t>
  </si>
  <si>
    <t>MN478483</t>
  </si>
  <si>
    <t>Tedavirus</t>
  </si>
  <si>
    <t>Aeromonas phage phiA8-29</t>
  </si>
  <si>
    <t>KY914485</t>
  </si>
  <si>
    <t>Vapseptimavirus</t>
  </si>
  <si>
    <t>Vibrio phage VAP7</t>
  </si>
  <si>
    <t>MK795384</t>
  </si>
  <si>
    <t>Aglimvirinae</t>
  </si>
  <si>
    <t>Agtrevirus</t>
  </si>
  <si>
    <t>Shigella phage phiSboM-AG3</t>
  </si>
  <si>
    <t>FJ373894</t>
  </si>
  <si>
    <t>Enterobacter phage phiEM4</t>
  </si>
  <si>
    <t>LC373201</t>
  </si>
  <si>
    <t>Shigella phage MK-13</t>
  </si>
  <si>
    <t>MK509462</t>
  </si>
  <si>
    <t>Salmonella phage P46FS4</t>
  </si>
  <si>
    <t>MT078988</t>
  </si>
  <si>
    <t>Salmonella phage SKML-39</t>
  </si>
  <si>
    <t>JX181829</t>
  </si>
  <si>
    <t>Limestonevirus</t>
  </si>
  <si>
    <t>Dickeya phage vB-DsoM-LIMEstone1</t>
  </si>
  <si>
    <t>HE600015</t>
  </si>
  <si>
    <t>Dickeya phage RC-2014</t>
  </si>
  <si>
    <t>KJ716335</t>
  </si>
  <si>
    <t>Cvivirinae</t>
  </si>
  <si>
    <t>Kuttervirus</t>
  </si>
  <si>
    <t>Salmonella phage aagejoakim</t>
  </si>
  <si>
    <t>MT074474</t>
  </si>
  <si>
    <t>Salmonella phage allotria</t>
  </si>
  <si>
    <t>MT074471</t>
  </si>
  <si>
    <t>Salmonella phage barely</t>
  </si>
  <si>
    <t>MT074477</t>
  </si>
  <si>
    <t>Salmonella phage bering</t>
  </si>
  <si>
    <t>MT074472</t>
  </si>
  <si>
    <t>Salmonella phage BSP101</t>
  </si>
  <si>
    <t>KY787213</t>
  </si>
  <si>
    <t>Escherichia phage CBA120</t>
  </si>
  <si>
    <t>JN593240</t>
  </si>
  <si>
    <t>Salmonella phage Det7</t>
  </si>
  <si>
    <t>KP797973</t>
  </si>
  <si>
    <t>Salmonella phage dinky</t>
  </si>
  <si>
    <t>MT074475</t>
  </si>
  <si>
    <t>Escherichia phage ECML-4</t>
  </si>
  <si>
    <t>JX128257</t>
  </si>
  <si>
    <t>Escherichia phage EP75</t>
  </si>
  <si>
    <t>MG748547</t>
  </si>
  <si>
    <t>Escherichia phage FEC14</t>
  </si>
  <si>
    <t>MG383452</t>
  </si>
  <si>
    <t>Salmonella phage GG32</t>
  </si>
  <si>
    <t>KX245012</t>
  </si>
  <si>
    <t>Salmonella phage heyday</t>
  </si>
  <si>
    <t>MT074470</t>
  </si>
  <si>
    <t>Salmonella phage 38</t>
  </si>
  <si>
    <t>KR296692</t>
  </si>
  <si>
    <t>Salmonella phage maane</t>
  </si>
  <si>
    <t>MT074480</t>
  </si>
  <si>
    <t>Salmonella phage Marshall</t>
  </si>
  <si>
    <t>KF669653</t>
  </si>
  <si>
    <t>Salmonella phage Maynard</t>
  </si>
  <si>
    <t>KF669654</t>
  </si>
  <si>
    <t>Salmonella phage moki</t>
  </si>
  <si>
    <t>MT074478</t>
  </si>
  <si>
    <t>Salmonella phage Mutine</t>
  </si>
  <si>
    <t>MG428992</t>
  </si>
  <si>
    <t>Salmonella phage pertopsoe</t>
  </si>
  <si>
    <t>MT074479</t>
  </si>
  <si>
    <t>Escherichia phage PhaxI</t>
  </si>
  <si>
    <t>JN673056</t>
  </si>
  <si>
    <t>Salmonella phage vB-SalM-PM10</t>
  </si>
  <si>
    <t>KX438380</t>
  </si>
  <si>
    <t>Salmonella phage rabagast</t>
  </si>
  <si>
    <t>MT074469</t>
  </si>
  <si>
    <t>Salmonella phage S118</t>
  </si>
  <si>
    <t>MH370371</t>
  </si>
  <si>
    <t>Salmonella phage SE14</t>
  </si>
  <si>
    <t>MK972690</t>
  </si>
  <si>
    <t>Salmonella phage Se-B</t>
  </si>
  <si>
    <t>MN871491</t>
  </si>
  <si>
    <t>Salmonella phage Se-G</t>
  </si>
  <si>
    <t>MN871495</t>
  </si>
  <si>
    <t>Salmonella phage Se-J</t>
  </si>
  <si>
    <t>MN871498</t>
  </si>
  <si>
    <t>Salmonella phage SenALZ1</t>
  </si>
  <si>
    <t>MH709121</t>
  </si>
  <si>
    <t>Salmonella phage SenASZ3</t>
  </si>
  <si>
    <t>MH709120</t>
  </si>
  <si>
    <t>Salmonella phage SeSz-1</t>
  </si>
  <si>
    <t>MH791405</t>
  </si>
  <si>
    <t>Salmonella phage SFP10</t>
  </si>
  <si>
    <t>HQ259103</t>
  </si>
  <si>
    <t>Salmonella phage PhiSH19</t>
  </si>
  <si>
    <t>JN126049</t>
  </si>
  <si>
    <t>Salmonella phage vB-SalM-SJ2</t>
  </si>
  <si>
    <t>KJ174317</t>
  </si>
  <si>
    <t>Salmonella phage vB-SalM-SJ3</t>
  </si>
  <si>
    <t>KJ174318</t>
  </si>
  <si>
    <t>Salmonella phage SP1</t>
  </si>
  <si>
    <t>MF001362</t>
  </si>
  <si>
    <t>Salmonella phage SS9</t>
  </si>
  <si>
    <t>MK972699</t>
  </si>
  <si>
    <t>Salmonella phage STML-13-1</t>
  </si>
  <si>
    <t>JX181828</t>
  </si>
  <si>
    <t>Salmonella phage ST-W77</t>
  </si>
  <si>
    <t>KX765865</t>
  </si>
  <si>
    <t>Salmonella phage Vi01</t>
  </si>
  <si>
    <t>FQ312032</t>
  </si>
  <si>
    <t>Aggregaviridae</t>
  </si>
  <si>
    <t>Harrekavirus</t>
  </si>
  <si>
    <t>Olleya phage Harreka_1</t>
  </si>
  <si>
    <t>Harreka_1</t>
  </si>
  <si>
    <t>MT732457</t>
  </si>
  <si>
    <t>Aliceevansviridae</t>
  </si>
  <si>
    <t>Brussowvirus</t>
  </si>
  <si>
    <t>Streptococcus phage 20617</t>
  </si>
  <si>
    <t>HG424323</t>
  </si>
  <si>
    <t>Streptococcus phage ALQ13.2</t>
  </si>
  <si>
    <t>FJ226752</t>
  </si>
  <si>
    <t>Streptococcus phage 2972</t>
  </si>
  <si>
    <t>AY699705</t>
  </si>
  <si>
    <t>Streptococcus phage 858</t>
  </si>
  <si>
    <t>EF529515</t>
  </si>
  <si>
    <t>Streptococcus phage 01205</t>
  </si>
  <si>
    <t>U88974</t>
  </si>
  <si>
    <t>Streptococcus phage CHPC1042</t>
  </si>
  <si>
    <t>MH937494</t>
  </si>
  <si>
    <t>Streptococcus phage CHPC1109</t>
  </si>
  <si>
    <t>MH937505</t>
  </si>
  <si>
    <t>Streptococcus phage CHPC1152</t>
  </si>
  <si>
    <t>MH937507</t>
  </si>
  <si>
    <t>Streptococcus phage CHPC1230</t>
  </si>
  <si>
    <t>MH937509</t>
  </si>
  <si>
    <t>Streptococcus phage CHPC1246</t>
  </si>
  <si>
    <t>MH937510</t>
  </si>
  <si>
    <t>Streptococcus phage CHPC1247</t>
  </si>
  <si>
    <t>MH937511</t>
  </si>
  <si>
    <t>Streptococcus phage CHPC1248</t>
  </si>
  <si>
    <t>MH937457</t>
  </si>
  <si>
    <t>Streptococcus phage CHPC640</t>
  </si>
  <si>
    <t>MH937460</t>
  </si>
  <si>
    <t>Streptococcus phage CHPC869</t>
  </si>
  <si>
    <t>MH937464</t>
  </si>
  <si>
    <t>Streptococcus phage CHPC931</t>
  </si>
  <si>
    <t>MH937475</t>
  </si>
  <si>
    <t>Streptococcus phage CHPC951</t>
  </si>
  <si>
    <t>MH937478</t>
  </si>
  <si>
    <t>Streptococcus phage CHPC952</t>
  </si>
  <si>
    <t>MH937479</t>
  </si>
  <si>
    <t>Streptococcus phage P4761</t>
  </si>
  <si>
    <t>KY705258</t>
  </si>
  <si>
    <t>Streptococcus phage P7571</t>
  </si>
  <si>
    <t>KY705268</t>
  </si>
  <si>
    <t>Streptococcus phage P7951</t>
  </si>
  <si>
    <t>KY705277</t>
  </si>
  <si>
    <t>Streptococcus phage P7952</t>
  </si>
  <si>
    <t>KY705278</t>
  </si>
  <si>
    <t>Streptococcus phage P7953</t>
  </si>
  <si>
    <t>KY705279</t>
  </si>
  <si>
    <t>Streptococcus phage P7954</t>
  </si>
  <si>
    <t>KY705280</t>
  </si>
  <si>
    <t>Streptococcus phage P7955</t>
  </si>
  <si>
    <t>KY705281</t>
  </si>
  <si>
    <t>Streptococcus phage P9853</t>
  </si>
  <si>
    <t>KY705286</t>
  </si>
  <si>
    <t>Streptococcus phage Sfi11</t>
  </si>
  <si>
    <t>AF158600</t>
  </si>
  <si>
    <t>Streptococcus phage SW1151</t>
  </si>
  <si>
    <t>MH892376</t>
  </si>
  <si>
    <t>Streptococcus phage SW13</t>
  </si>
  <si>
    <t>MH892362</t>
  </si>
  <si>
    <t>Streptococcus phage SW14</t>
  </si>
  <si>
    <t>MH892363</t>
  </si>
  <si>
    <t>Streptococcus phage SW15</t>
  </si>
  <si>
    <t>MH892364</t>
  </si>
  <si>
    <t>Streptococcus phage SW18</t>
  </si>
  <si>
    <t>MH892366</t>
  </si>
  <si>
    <t>Streptococcus phage TP-778L</t>
  </si>
  <si>
    <t>HG380752</t>
  </si>
  <si>
    <t>Streptococcus phage TP-J34</t>
  </si>
  <si>
    <t>HE861935</t>
  </si>
  <si>
    <t>Streptococcus phage VS-2018a</t>
  </si>
  <si>
    <t>CP029253</t>
  </si>
  <si>
    <t>Moineauvirus</t>
  </si>
  <si>
    <t>Streptococcus phage Abc2</t>
  </si>
  <si>
    <t>FJ236310</t>
  </si>
  <si>
    <t>Streptococcus phage B0</t>
  </si>
  <si>
    <t>MF580766</t>
  </si>
  <si>
    <t>Streptococcus phage CHPC1005</t>
  </si>
  <si>
    <t>MH937483</t>
  </si>
  <si>
    <t>Streptococcus phage CHPC1027</t>
  </si>
  <si>
    <t>MH937486</t>
  </si>
  <si>
    <t>Streptococcus phage CHPC1029</t>
  </si>
  <si>
    <t>MH937487</t>
  </si>
  <si>
    <t>Streptococcus phage CHPC1033</t>
  </si>
  <si>
    <t>MH937488</t>
  </si>
  <si>
    <t>Streptococcus phage CHPC1036</t>
  </si>
  <si>
    <t>MH937490</t>
  </si>
  <si>
    <t>Streptococcus phage CHPC1041</t>
  </si>
  <si>
    <t>MH937493</t>
  </si>
  <si>
    <t>Streptococcus phage CHPC1045</t>
  </si>
  <si>
    <t>MH937495</t>
  </si>
  <si>
    <t>Streptococcus phage CHPC1046</t>
  </si>
  <si>
    <t>MH937496</t>
  </si>
  <si>
    <t>Streptococcus phage CHPC1062</t>
  </si>
  <si>
    <t>MH937499</t>
  </si>
  <si>
    <t>Streptococcus phage CHPC1067</t>
  </si>
  <si>
    <t>MH937500</t>
  </si>
  <si>
    <t>Streptococcus phage CHPC1091</t>
  </si>
  <si>
    <t>MH937504</t>
  </si>
  <si>
    <t>Streptococcus phage CHPC1148</t>
  </si>
  <si>
    <t>MH937506</t>
  </si>
  <si>
    <t>Streptococcus phage CHPC1156</t>
  </si>
  <si>
    <t>MH937508</t>
  </si>
  <si>
    <t>Streptococcus phage CHPC572</t>
  </si>
  <si>
    <t>MH937458</t>
  </si>
  <si>
    <t>Streptococcus phage CHPC595</t>
  </si>
  <si>
    <t>MH937459</t>
  </si>
  <si>
    <t>Streptococcus phage CHPC642</t>
  </si>
  <si>
    <t>MH937461</t>
  </si>
  <si>
    <t>Streptococcus phage CHPC663</t>
  </si>
  <si>
    <t>MH937462</t>
  </si>
  <si>
    <t>Streptococcus phage CHPC873</t>
  </si>
  <si>
    <t>MH937465</t>
  </si>
  <si>
    <t>Streptococcus phage CHPC875</t>
  </si>
  <si>
    <t>MH937466</t>
  </si>
  <si>
    <t>Streptococcus phage CHPC877</t>
  </si>
  <si>
    <t>MH937467</t>
  </si>
  <si>
    <t>Streptococcus phage CHPC879</t>
  </si>
  <si>
    <t>MH937468</t>
  </si>
  <si>
    <t>Streptococcus phage CHPC919</t>
  </si>
  <si>
    <t>MH937469</t>
  </si>
  <si>
    <t>Streptococcus phage CHPC925</t>
  </si>
  <si>
    <t>MH937470</t>
  </si>
  <si>
    <t>Streptococcus phage CHPC927</t>
  </si>
  <si>
    <t>MH937471</t>
  </si>
  <si>
    <t>Streptococcus phage CHPC928</t>
  </si>
  <si>
    <t>MH937472</t>
  </si>
  <si>
    <t>Streptococcus phage CHPC930</t>
  </si>
  <si>
    <t>MH937474</t>
  </si>
  <si>
    <t>Streptococcus phage CHPC950</t>
  </si>
  <si>
    <t>MH937477</t>
  </si>
  <si>
    <t>Streptococcus phage CHPC979</t>
  </si>
  <si>
    <t>MH937481</t>
  </si>
  <si>
    <t>Streptococcus phage D1024</t>
  </si>
  <si>
    <t>MH000603</t>
  </si>
  <si>
    <t>Streptococcus phage D1811</t>
  </si>
  <si>
    <t>MH000604</t>
  </si>
  <si>
    <t>Streptococcus phage D4276</t>
  </si>
  <si>
    <t>MF161328</t>
  </si>
  <si>
    <t>Streptococcus phage DT1</t>
  </si>
  <si>
    <t>AF085222</t>
  </si>
  <si>
    <t>Streptococcus phage L5A1</t>
  </si>
  <si>
    <t>MF580769</t>
  </si>
  <si>
    <t>Streptococcus phage M19</t>
  </si>
  <si>
    <t>MF580770</t>
  </si>
  <si>
    <t>Streptococcus phage MM25</t>
  </si>
  <si>
    <t>MF580771</t>
  </si>
  <si>
    <t>Streptococcus phage 128</t>
  </si>
  <si>
    <t>KT717085</t>
  </si>
  <si>
    <t>Streptococcus phage 53</t>
  </si>
  <si>
    <t>KT717084</t>
  </si>
  <si>
    <t>Streptococcus phage 7201</t>
  </si>
  <si>
    <t>AF145054</t>
  </si>
  <si>
    <t>Streptococcus phage 73</t>
  </si>
  <si>
    <t>KT717083</t>
  </si>
  <si>
    <t>Streptococcus phage 7A5</t>
  </si>
  <si>
    <t>MF580759</t>
  </si>
  <si>
    <t>Streptococcus phage P0091</t>
  </si>
  <si>
    <t>KY705251</t>
  </si>
  <si>
    <t>Streptococcus phage P3681</t>
  </si>
  <si>
    <t>KY705256</t>
  </si>
  <si>
    <t>Streptococcus phage P3684</t>
  </si>
  <si>
    <t>KY705257</t>
  </si>
  <si>
    <t>Streptococcus phage P5641</t>
  </si>
  <si>
    <t>KY705259</t>
  </si>
  <si>
    <t>Streptococcus phage P5651</t>
  </si>
  <si>
    <t>KY705260</t>
  </si>
  <si>
    <t>Streptococcus phage P7132</t>
  </si>
  <si>
    <t>KY705262</t>
  </si>
  <si>
    <t>Streptococcus phage P7133</t>
  </si>
  <si>
    <t>KY705263</t>
  </si>
  <si>
    <t>Streptococcus phage P7134</t>
  </si>
  <si>
    <t>KY705264</t>
  </si>
  <si>
    <t>Streptococcus phage P7151</t>
  </si>
  <si>
    <t>KY705265</t>
  </si>
  <si>
    <t>Streptococcus phage P7152</t>
  </si>
  <si>
    <t>KY705266</t>
  </si>
  <si>
    <t>Streptococcus phage P7154</t>
  </si>
  <si>
    <t>KY705267</t>
  </si>
  <si>
    <t>Streptococcus phage P7573</t>
  </si>
  <si>
    <t>KY705270</t>
  </si>
  <si>
    <t>Streptococcus phage P7574</t>
  </si>
  <si>
    <t>KY705271</t>
  </si>
  <si>
    <t>Streptococcus phage P7601</t>
  </si>
  <si>
    <t>KY705272</t>
  </si>
  <si>
    <t>Streptococcus phage P7602</t>
  </si>
  <si>
    <t>KY705273</t>
  </si>
  <si>
    <t>Streptococcus phage P7631</t>
  </si>
  <si>
    <t>KY705274</t>
  </si>
  <si>
    <t>Streptococcus phage P7632</t>
  </si>
  <si>
    <t>KY705275</t>
  </si>
  <si>
    <t>Streptococcus phage P7633</t>
  </si>
  <si>
    <t>KY705276</t>
  </si>
  <si>
    <t>Streptococcus phage P9851</t>
  </si>
  <si>
    <t>KY705284</t>
  </si>
  <si>
    <t>Streptococcus phage P9854</t>
  </si>
  <si>
    <t>KY705287</t>
  </si>
  <si>
    <t>Streptococcus phage P9901</t>
  </si>
  <si>
    <t>KY705288</t>
  </si>
  <si>
    <t>Streptococcus phage P9902</t>
  </si>
  <si>
    <t>KY705289</t>
  </si>
  <si>
    <t>Streptococcus phage P9903</t>
  </si>
  <si>
    <t>KY705290</t>
  </si>
  <si>
    <t>Streptococcus phage Sfi19</t>
  </si>
  <si>
    <t>AF115102</t>
  </si>
  <si>
    <t>Streptococcus phage Sfi21</t>
  </si>
  <si>
    <t>AF115103</t>
  </si>
  <si>
    <t>Streptococcus phage STP1</t>
  </si>
  <si>
    <t>MF580773</t>
  </si>
  <si>
    <t>Streptococcus phage SW1</t>
  </si>
  <si>
    <t>MH892352</t>
  </si>
  <si>
    <t>Streptococcus phage SW11</t>
  </si>
  <si>
    <t>MH892360</t>
  </si>
  <si>
    <t>Streptococcus phage SW12</t>
  </si>
  <si>
    <t>MH892361</t>
  </si>
  <si>
    <t>Streptococcus phage SW2</t>
  </si>
  <si>
    <t>MH892353</t>
  </si>
  <si>
    <t>Streptococcus phage SW3</t>
  </si>
  <si>
    <t>MH892354</t>
  </si>
  <si>
    <t>Streptococcus phage SW5</t>
  </si>
  <si>
    <t>MH973661</t>
  </si>
  <si>
    <t>Streptococcus phage SW6</t>
  </si>
  <si>
    <t>MH892351</t>
  </si>
  <si>
    <t>Streptococcus phage SW7</t>
  </si>
  <si>
    <t>MH973662</t>
  </si>
  <si>
    <t>Streptococcus phage SW8</t>
  </si>
  <si>
    <t>MH892357</t>
  </si>
  <si>
    <t>Streptococcus phage SWK3</t>
  </si>
  <si>
    <t>MH892379</t>
  </si>
  <si>
    <t>Streptococcus phage SWK6</t>
  </si>
  <si>
    <t>MH892382</t>
  </si>
  <si>
    <t>Streptococcus phage vB_SthS_VA214</t>
  </si>
  <si>
    <t>MG708274</t>
  </si>
  <si>
    <t>Streptococcus phage vB_SthS_VA460</t>
  </si>
  <si>
    <t>MG708275</t>
  </si>
  <si>
    <t>Vansinderenvirus</t>
  </si>
  <si>
    <t>Streptococcus phage 5093</t>
  </si>
  <si>
    <t>FJ965538</t>
  </si>
  <si>
    <t>Streptococcus phage CHPC1198</t>
  </si>
  <si>
    <t>MK202159</t>
  </si>
  <si>
    <t>Streptococcus phage CHPC1151</t>
  </si>
  <si>
    <t>KX879643</t>
  </si>
  <si>
    <t>Streptococcus phage CHPC1282</t>
  </si>
  <si>
    <t>MK202161</t>
  </si>
  <si>
    <t>Streptococcus phage P0092</t>
  </si>
  <si>
    <t>KY705252</t>
  </si>
  <si>
    <t>Streptococcus phage P0093</t>
  </si>
  <si>
    <t>KY705253</t>
  </si>
  <si>
    <t>Streptococcus phage P0095</t>
  </si>
  <si>
    <t>KY705255</t>
  </si>
  <si>
    <t>Streptococcus phage SW19</t>
  </si>
  <si>
    <t>MH892367</t>
  </si>
  <si>
    <t>Streptococcus phage SW24</t>
  </si>
  <si>
    <t>MH973663</t>
  </si>
  <si>
    <t>Streptococcus phage SW27</t>
  </si>
  <si>
    <t>MH892373</t>
  </si>
  <si>
    <t>Streptococcus phage SW4</t>
  </si>
  <si>
    <t>MH892355</t>
  </si>
  <si>
    <t>Arenbergviridae</t>
  </si>
  <si>
    <t>Wroclawvirus</t>
  </si>
  <si>
    <t>Pseudomonas phage vB_PaeM_PA5oct</t>
  </si>
  <si>
    <t>MK797984</t>
  </si>
  <si>
    <t>Assiduviridae</t>
  </si>
  <si>
    <t>Cebadecemvirus</t>
  </si>
  <si>
    <t>Cellulophaga phage phi10:1</t>
  </si>
  <si>
    <t>phi10:1</t>
  </si>
  <si>
    <t>KC821618</t>
  </si>
  <si>
    <t>Cellubavirus</t>
  </si>
  <si>
    <t>Cellulophaga phage phi19:1</t>
  </si>
  <si>
    <t>phi19:1</t>
  </si>
  <si>
    <t>KC821607</t>
  </si>
  <si>
    <t>Nekkelsvirus</t>
  </si>
  <si>
    <t>Cellulophaga phage Nekkels_1</t>
  </si>
  <si>
    <t>Nekkels_1</t>
  </si>
  <si>
    <t>MT732443</t>
  </si>
  <si>
    <t>Autographiviridae</t>
  </si>
  <si>
    <t>Aegirvirus</t>
  </si>
  <si>
    <t>Synechococcus phage S-CBP42</t>
  </si>
  <si>
    <t>KC310805</t>
  </si>
  <si>
    <t>Anchaingvirus</t>
  </si>
  <si>
    <t>Ralstonia phage Anchaing</t>
  </si>
  <si>
    <t>Anchaing</t>
  </si>
  <si>
    <t>MT740728</t>
  </si>
  <si>
    <t>Aqualcavirus</t>
  </si>
  <si>
    <t>Aquamicrobium phage P14</t>
  </si>
  <si>
    <t>KX660669</t>
  </si>
  <si>
    <t>Ashivirus</t>
  </si>
  <si>
    <t>uncultured phage_MedDCM-OCT-S45-C4</t>
  </si>
  <si>
    <t>AP013538</t>
  </si>
  <si>
    <t>Atuphduovirus</t>
  </si>
  <si>
    <t>Agrobacterium phage Atu_ph02</t>
  </si>
  <si>
    <t>MF403005</t>
  </si>
  <si>
    <t>Agrobacterium phage Atu_ph03</t>
  </si>
  <si>
    <t>MF403006</t>
  </si>
  <si>
    <t>Ayakvirus</t>
  </si>
  <si>
    <t>Ralstonia phage phiAp1</t>
  </si>
  <si>
    <t>KY117485</t>
  </si>
  <si>
    <t>Ayaqvirus</t>
  </si>
  <si>
    <t>uncultured phage_MedDCM-OCT-S45-C18</t>
  </si>
  <si>
    <t>AP013544</t>
  </si>
  <si>
    <t>Banchanvirus</t>
  </si>
  <si>
    <t>Cyanophage SS120-1</t>
  </si>
  <si>
    <t>HQ316584</t>
  </si>
  <si>
    <t>Bifseptvirus</t>
  </si>
  <si>
    <t>Pseudomonas phage Andromeda</t>
  </si>
  <si>
    <t>KX458241</t>
  </si>
  <si>
    <t>Pseudomonas phage Bf7</t>
  </si>
  <si>
    <t>JN991020</t>
  </si>
  <si>
    <t>Bonnellvirus</t>
  </si>
  <si>
    <t>Escherichia phage J8-65</t>
  </si>
  <si>
    <t>KM247287</t>
  </si>
  <si>
    <t>Escherichia phage_Lidtsur</t>
  </si>
  <si>
    <t>MK629528</t>
  </si>
  <si>
    <t>Cheungvirus</t>
  </si>
  <si>
    <t>Cyanophage NATL1A-7</t>
  </si>
  <si>
    <t>GU071102</t>
  </si>
  <si>
    <t>Chosvirus</t>
  </si>
  <si>
    <t>uncultured phage_Deep1-GF2-KM23-C739</t>
  </si>
  <si>
    <t>KT997847</t>
  </si>
  <si>
    <t>Cuernavacavirus</t>
  </si>
  <si>
    <t>Rhizobium phage RHEph02</t>
  </si>
  <si>
    <t>JX483874</t>
  </si>
  <si>
    <t>Rhizobium phage RHEph08</t>
  </si>
  <si>
    <t>JX483879</t>
  </si>
  <si>
    <t>Rhizobium phage RHEph09</t>
  </si>
  <si>
    <t>JX483880</t>
  </si>
  <si>
    <t>Cyclitvirus</t>
  </si>
  <si>
    <t>Vibrio phage 1.204.O._10N.222.46.F12</t>
  </si>
  <si>
    <t>MG592574</t>
  </si>
  <si>
    <t>Ermolevavirus</t>
  </si>
  <si>
    <t>Escherichia phage PGT2</t>
  </si>
  <si>
    <t>MG201401</t>
  </si>
  <si>
    <t>Escherichia phage phiKT</t>
  </si>
  <si>
    <t>JN882298</t>
  </si>
  <si>
    <t>Foturvirus</t>
  </si>
  <si>
    <t>Alteromonas phage vB_AspP-H4/4</t>
  </si>
  <si>
    <t>MF278336</t>
  </si>
  <si>
    <t>Foussvirus</t>
  </si>
  <si>
    <t>uncultured phage MedDCM-OCT-S46-C10</t>
  </si>
  <si>
    <t>AP013545</t>
  </si>
  <si>
    <t>Fussvirus</t>
  </si>
  <si>
    <t>uncultured phage_MedDCM-OCT-S30-C28</t>
  </si>
  <si>
    <t>AP013543</t>
  </si>
  <si>
    <t>Gajwadongvirus</t>
  </si>
  <si>
    <t>Escherichia phage ECBP5</t>
  </si>
  <si>
    <t>KJ749827</t>
  </si>
  <si>
    <t>Pectobacterium phage PP99</t>
  </si>
  <si>
    <t>KY250034</t>
  </si>
  <si>
    <t>Gyeongsanvirus</t>
  </si>
  <si>
    <t>Ralstonia phage DU_RP_I</t>
  </si>
  <si>
    <t>MF979559</t>
  </si>
  <si>
    <t>Ralstonia phage RsoP1EGY</t>
  </si>
  <si>
    <t>MG711516</t>
  </si>
  <si>
    <t>Igirivirus</t>
  </si>
  <si>
    <t>Synechococcus T7-like phage S-TIP37</t>
  </si>
  <si>
    <t>MH540083</t>
  </si>
  <si>
    <t>Jalkavirus</t>
  </si>
  <si>
    <t>uncultured phage_MedDCM-OCT-S08-C159</t>
  </si>
  <si>
    <t>GU943031</t>
  </si>
  <si>
    <t>Jiaoyazivirus</t>
  </si>
  <si>
    <t>Ralstonia phage RSB3</t>
  </si>
  <si>
    <t>AB854109</t>
  </si>
  <si>
    <t>Kafavirus</t>
  </si>
  <si>
    <t>Phage MedPE-SWcel-C56</t>
  </si>
  <si>
    <t>KX397280</t>
  </si>
  <si>
    <t>Kajamvirus</t>
  </si>
  <si>
    <t>Synechococcus phage S-RIP1</t>
  </si>
  <si>
    <t>HQ317388</t>
  </si>
  <si>
    <t>Kakivirus</t>
  </si>
  <si>
    <t>Providencia phage vB_PstP_PS3</t>
  </si>
  <si>
    <t>MK387869</t>
  </si>
  <si>
    <t>Kalppathivirus</t>
  </si>
  <si>
    <t>Curvibacter phage P26059B</t>
  </si>
  <si>
    <t>KY981272</t>
  </si>
  <si>
    <t>Kelmasvirus</t>
  </si>
  <si>
    <t>Ralstonia phage RSB2</t>
  </si>
  <si>
    <t>AB597179</t>
  </si>
  <si>
    <t>Kembevirus</t>
  </si>
  <si>
    <t>Synechococcus phage S-CBP2</t>
  </si>
  <si>
    <t>KC310806</t>
  </si>
  <si>
    <t>Krakvirus</t>
  </si>
  <si>
    <t>uncultured phage_MedDCM-OCT-S39-C11</t>
  </si>
  <si>
    <t>AP013549</t>
  </si>
  <si>
    <t>Lauvirus</t>
  </si>
  <si>
    <t>Podophage Lau218</t>
  </si>
  <si>
    <t>strain Abe</t>
  </si>
  <si>
    <t>KJ183191</t>
  </si>
  <si>
    <t>Limelightvirus</t>
  </si>
  <si>
    <t>Pantoea phage LIMElight</t>
  </si>
  <si>
    <t>FR687252</t>
  </si>
  <si>
    <t>Lingvirus</t>
  </si>
  <si>
    <t>Prochlorococcus phage P-GSP1</t>
  </si>
  <si>
    <t>HQ332140</t>
  </si>
  <si>
    <t>Lirvirus</t>
  </si>
  <si>
    <t>Synechococcus phage S-CBP3</t>
  </si>
  <si>
    <t>HQ633062</t>
  </si>
  <si>
    <t>Lullwatervirus</t>
  </si>
  <si>
    <t>Caulobacter phage Lullwater</t>
  </si>
  <si>
    <t>MF621978</t>
  </si>
  <si>
    <t>Maculvirus</t>
  </si>
  <si>
    <t>Vibrio phage vB_VpaP_KF1</t>
  </si>
  <si>
    <t>MF754111</t>
  </si>
  <si>
    <t>Vibrio phage vB_VpaP_KF2</t>
  </si>
  <si>
    <t>MF754112</t>
  </si>
  <si>
    <t>Vibrio phage_vB_VpaS_OWB</t>
  </si>
  <si>
    <t>MK474470</t>
  </si>
  <si>
    <t>Vibrio phage VP93</t>
  </si>
  <si>
    <t>FJ896200</t>
  </si>
  <si>
    <t>Napahaivirus</t>
  </si>
  <si>
    <t>Pseudomonas phage VSW-3</t>
  </si>
  <si>
    <t>KX066068</t>
  </si>
  <si>
    <t>Nohivirus</t>
  </si>
  <si>
    <t>uncultured phage_MedDCM-OCT-S31-C1</t>
  </si>
  <si>
    <t>AP013547</t>
  </si>
  <si>
    <t>Oinezvirus</t>
  </si>
  <si>
    <t>uncultured phage_MedDCM-OCT-S37-C6</t>
  </si>
  <si>
    <t>AP013546</t>
  </si>
  <si>
    <t>Paadamvirus</t>
  </si>
  <si>
    <t>Rhizobium phage RHEph01</t>
  </si>
  <si>
    <t>JX483873</t>
  </si>
  <si>
    <t>Pagavirus</t>
  </si>
  <si>
    <t>uncultured phage_MedDCM-OCT-S05-C849</t>
  </si>
  <si>
    <t>GU943068</t>
  </si>
  <si>
    <t>Pairvirus</t>
  </si>
  <si>
    <t>Mesorhizobium phage vB_MloP_Lo5R7ANS</t>
  </si>
  <si>
    <t>KM199771</t>
  </si>
  <si>
    <t>Pedosvirus</t>
  </si>
  <si>
    <t>uncultured phage_MedDCM-OCT-S28-C3</t>
  </si>
  <si>
    <t>AP013539</t>
  </si>
  <si>
    <t>Pekhitvirus</t>
  </si>
  <si>
    <t>uncultured phage_MedDCM-OCT-S04-C24</t>
  </si>
  <si>
    <t>GU943054</t>
  </si>
  <si>
    <t>Pelagivirus</t>
  </si>
  <si>
    <t>Pelagibacter phage HTVC019P</t>
  </si>
  <si>
    <t>KC465901</t>
  </si>
  <si>
    <t>uncultured phage_MedDCM-OCT-S35-C6</t>
  </si>
  <si>
    <t>AP013542</t>
  </si>
  <si>
    <t>Percyvirus</t>
  </si>
  <si>
    <t>Caulobacter phage Percy</t>
  </si>
  <si>
    <t>KT381879</t>
  </si>
  <si>
    <t>Piedvirus</t>
  </si>
  <si>
    <t>Delftia phage IME-DE1</t>
  </si>
  <si>
    <t>KR153873</t>
  </si>
  <si>
    <t>Podivirus</t>
  </si>
  <si>
    <t>uncultured phage_MedDCM-OCT-S05-C243</t>
  </si>
  <si>
    <t>GU943065</t>
  </si>
  <si>
    <t>Pollyceevirus</t>
  </si>
  <si>
    <t>Pseudomonas phage PollyC</t>
  </si>
  <si>
    <t>MG775261</t>
  </si>
  <si>
    <t>Poseidonvirus</t>
  </si>
  <si>
    <t>Synechococcus phage S-CBP4</t>
  </si>
  <si>
    <t>HM559717</t>
  </si>
  <si>
    <t>Powvirus</t>
  </si>
  <si>
    <t>uncultured phage MedDCM-OCT-S08-C41</t>
  </si>
  <si>
    <t>GU943073</t>
  </si>
  <si>
    <t>Pradovirus</t>
  </si>
  <si>
    <t>Xanthomonas phage f20-Xaj</t>
  </si>
  <si>
    <t>KU595432</t>
  </si>
  <si>
    <t>Xanthomonas phage f30-Xaj</t>
  </si>
  <si>
    <t>KU595433</t>
  </si>
  <si>
    <t>Xylella phage Prado</t>
  </si>
  <si>
    <t>KF626667</t>
  </si>
  <si>
    <t>Xanthomonas phage XAJ24</t>
  </si>
  <si>
    <t>KU197013</t>
  </si>
  <si>
    <t>Xanthomonas phage phi Xc10</t>
  </si>
  <si>
    <t>MF375456</t>
  </si>
  <si>
    <t>Qadamvirus</t>
  </si>
  <si>
    <t>Synechococcus phage S-B28</t>
  </si>
  <si>
    <t>MK016662</t>
  </si>
  <si>
    <t>Scottvirus</t>
  </si>
  <si>
    <t>Sphingomonas phage_Scott</t>
  </si>
  <si>
    <t>MH684921</t>
  </si>
  <si>
    <t>Sednavirus</t>
  </si>
  <si>
    <t>Synechococcus phage S-RIP2</t>
  </si>
  <si>
    <t>HQ317389</t>
  </si>
  <si>
    <t>Serkorvirus</t>
  </si>
  <si>
    <t>Ralstonia phage phiITL-1</t>
  </si>
  <si>
    <t>KP343639</t>
  </si>
  <si>
    <t>Sieqvirus</t>
  </si>
  <si>
    <t>uncultured phage_MedDCM-OCT-S42-C7</t>
  </si>
  <si>
    <t>AP013541</t>
  </si>
  <si>
    <t>Stompelvirus</t>
  </si>
  <si>
    <t>Ralstonia phage RPSC1</t>
  </si>
  <si>
    <t>MF893341</t>
  </si>
  <si>
    <t>Stopalavirus</t>
  </si>
  <si>
    <t>uncultured phage_MedDCM-OCT-S38-C3</t>
  </si>
  <si>
    <t>AP013548</t>
  </si>
  <si>
    <t>Stopavirus</t>
  </si>
  <si>
    <t>Pelagibacter phage HTVC011P</t>
  </si>
  <si>
    <t>KC465900</t>
  </si>
  <si>
    <t>Stupnyavirus</t>
  </si>
  <si>
    <t>uncultured phage_Deep-GF0-KM16-C193</t>
  </si>
  <si>
    <t>KT997876</t>
  </si>
  <si>
    <t>Tangaroavirus</t>
  </si>
  <si>
    <t>Cyanophage NATL2A-133</t>
  </si>
  <si>
    <t>GU071104</t>
  </si>
  <si>
    <t>Prochlorococcus phage P-SSP10</t>
  </si>
  <si>
    <t>HQ337022</t>
  </si>
  <si>
    <t>Cyanophage 9515-10a</t>
  </si>
  <si>
    <t>GU071100</t>
  </si>
  <si>
    <t>Tawavirus</t>
  </si>
  <si>
    <t>Vibrio phage JSF7</t>
  </si>
  <si>
    <t>KY065149</t>
  </si>
  <si>
    <t>Tiamatvirus</t>
  </si>
  <si>
    <t>Prochlorococcus phage P-SSP7</t>
  </si>
  <si>
    <t>AY939843</t>
  </si>
  <si>
    <t>Tiilvirus</t>
  </si>
  <si>
    <t>Synechococcus phage P60</t>
  </si>
  <si>
    <t>AF338467</t>
  </si>
  <si>
    <t>Tritonvirus</t>
  </si>
  <si>
    <t>Cyanophage P-SSP2</t>
  </si>
  <si>
    <t>GU071107</t>
  </si>
  <si>
    <t>Prochlorococcus phage P-SSP3</t>
  </si>
  <si>
    <t>HQ332137</t>
  </si>
  <si>
    <t>Voetvirus</t>
  </si>
  <si>
    <t>Synechococcus phage Syn5</t>
  </si>
  <si>
    <t>EF372997</t>
  </si>
  <si>
    <t>Votkovvirus</t>
  </si>
  <si>
    <t>uncultured phage_MedDCM-OCT-S28-C10</t>
  </si>
  <si>
    <t>AP013540</t>
  </si>
  <si>
    <t>Waewaevirus</t>
  </si>
  <si>
    <t>Pantoea phage Limezero</t>
  </si>
  <si>
    <t>FR751545</t>
  </si>
  <si>
    <t>Wuhanvirus</t>
  </si>
  <si>
    <t>Pasteurella phage PHB01</t>
  </si>
  <si>
    <t>MF166859</t>
  </si>
  <si>
    <t>Pasteurella phage vB_PmuP_PHB02</t>
  </si>
  <si>
    <t>MF034659</t>
  </si>
  <si>
    <t>Youngvirus</t>
  </si>
  <si>
    <t>Vibrio phage vB_VpP_G1</t>
  </si>
  <si>
    <t>MZ592920</t>
  </si>
  <si>
    <t>Beijerinckvirinae</t>
  </si>
  <si>
    <t>Daemvirus</t>
  </si>
  <si>
    <t>Acinetobacter phage vB_AbaP_Acibel007</t>
  </si>
  <si>
    <t>KJ473423</t>
  </si>
  <si>
    <t>Friunavirus</t>
  </si>
  <si>
    <t>Acinetobacter phage phiAB1</t>
  </si>
  <si>
    <t>HQ186308</t>
  </si>
  <si>
    <t>Acinetobacter phage AB3</t>
  </si>
  <si>
    <t>KC311669</t>
  </si>
  <si>
    <t>Acinetobacter phage phiAb6</t>
  </si>
  <si>
    <t>KT339321</t>
  </si>
  <si>
    <t>Acinetobacter phage_AbKT21phiIII</t>
  </si>
  <si>
    <t>MK278859</t>
  </si>
  <si>
    <t>Acinetobacter phage Abp1</t>
  </si>
  <si>
    <t>JX658790</t>
  </si>
  <si>
    <t>Acinetobacter phage_vB_AbaP_46-62_Aci07</t>
  </si>
  <si>
    <t>MH800200</t>
  </si>
  <si>
    <t>Acinetobacter phage_vB_AbaP_B09_Aci08</t>
  </si>
  <si>
    <t>MH763831</t>
  </si>
  <si>
    <t>Acinetobacter phage vB_AbaP_AS11</t>
  </si>
  <si>
    <t>KY268296</t>
  </si>
  <si>
    <t>Acinetobacter phage vB_AbaP_AS12</t>
  </si>
  <si>
    <t>KY268295</t>
  </si>
  <si>
    <t>Acinetobacter phage vB_AbaP_B1</t>
  </si>
  <si>
    <t>MF033347</t>
  </si>
  <si>
    <t>Acinetobacter phage vB_AbaP_B3</t>
  </si>
  <si>
    <t>MF033348</t>
  </si>
  <si>
    <t>Acinetobacter phage vB_AbaP_B5</t>
  </si>
  <si>
    <t>MF033349</t>
  </si>
  <si>
    <t>Acinetobacter phage vB_AbaP_D2</t>
  </si>
  <si>
    <t>MH042230</t>
  </si>
  <si>
    <t>Acinetobacter phage Fri1</t>
  </si>
  <si>
    <t>KR149290</t>
  </si>
  <si>
    <t>Acinetobacter phage SH-Ab 15519</t>
  </si>
  <si>
    <t>KY082667</t>
  </si>
  <si>
    <t>Acinetobacter phage IME-200</t>
  </si>
  <si>
    <t>KT804908</t>
  </si>
  <si>
    <t>Acinetobacter phage vB_ApiP_P1</t>
  </si>
  <si>
    <t>MF033350</t>
  </si>
  <si>
    <t>Acinetobacter phage vB_ApiP_P2</t>
  </si>
  <si>
    <t>MF033351</t>
  </si>
  <si>
    <t>Acinetobacter phage vB_AbaP_PD-6A3</t>
  </si>
  <si>
    <t>KT388102</t>
  </si>
  <si>
    <t>Acinetobacter phage vB_AbaP_PD-AB9</t>
  </si>
  <si>
    <t>KT388103</t>
  </si>
  <si>
    <t>Acinetobacter phage SWH-Ab-1</t>
  </si>
  <si>
    <t>MG459218</t>
  </si>
  <si>
    <t>Acinetobacter phage SWH-Ab-3</t>
  </si>
  <si>
    <t>MG599035</t>
  </si>
  <si>
    <t>Acinetobacter phage WCHABP5</t>
  </si>
  <si>
    <t>KY888680</t>
  </si>
  <si>
    <t>Pettyvirus</t>
  </si>
  <si>
    <t>Acinetobacter phage Petty</t>
  </si>
  <si>
    <t>KF669656</t>
  </si>
  <si>
    <t>Colwellvirinae</t>
  </si>
  <si>
    <t>Gutovirus</t>
  </si>
  <si>
    <t>Vibrio phage Vc1</t>
  </si>
  <si>
    <t>KJ502657</t>
  </si>
  <si>
    <t>Kaohsiungvirus</t>
  </si>
  <si>
    <t>Vibrio phage phi-A318</t>
  </si>
  <si>
    <t>KF322026</t>
  </si>
  <si>
    <t>Vibrio phage AS51</t>
  </si>
  <si>
    <t>KF800937</t>
  </si>
  <si>
    <t>Vibrio phage Vp670</t>
  </si>
  <si>
    <t>KY290756</t>
  </si>
  <si>
    <t>Murciavirus</t>
  </si>
  <si>
    <t>Marinomonas phage CB5A</t>
  </si>
  <si>
    <t>MF481197</t>
  </si>
  <si>
    <t>Marinomonas phage CPP1m</t>
  </si>
  <si>
    <t>KY626176</t>
  </si>
  <si>
    <t>Trungvirus</t>
  </si>
  <si>
    <t>Vibrio phage VEN</t>
  </si>
  <si>
    <t>MG545917</t>
  </si>
  <si>
    <t>Uliginvirus</t>
  </si>
  <si>
    <t>Pseudomonas phage Achelous</t>
  </si>
  <si>
    <t>MH113814</t>
  </si>
  <si>
    <t>Pseudomonas phage Alpheus</t>
  </si>
  <si>
    <t>MH113815</t>
  </si>
  <si>
    <t>Pseudomonas phage Nerthus</t>
  </si>
  <si>
    <t>MH113813</t>
  </si>
  <si>
    <t>Pseudomonas phage Njord</t>
  </si>
  <si>
    <t>MH113812</t>
  </si>
  <si>
    <t>Pseudomonas phage uligo</t>
  </si>
  <si>
    <t>MG018929</t>
  </si>
  <si>
    <t>Corkvirinae</t>
  </si>
  <si>
    <t>Kantovirus</t>
  </si>
  <si>
    <t>Pseudomonas phage YMC11/06/C171_PPU_BP</t>
  </si>
  <si>
    <t>KU310944</t>
  </si>
  <si>
    <t>Kotilavirus</t>
  </si>
  <si>
    <t>Pectobacterium phage PP16</t>
  </si>
  <si>
    <t>KX278418</t>
  </si>
  <si>
    <t>Pectobacterium phage PPWS1</t>
  </si>
  <si>
    <t>LC063634</t>
  </si>
  <si>
    <t>Pectobacterium phage PPWS2</t>
  </si>
  <si>
    <t>LC375533</t>
  </si>
  <si>
    <t>Phimunavirus</t>
  </si>
  <si>
    <t>Pectobacterium phage vB_PatP_CB5</t>
  </si>
  <si>
    <t>KY953156</t>
  </si>
  <si>
    <t>Pectobacterium phage Clickz</t>
  </si>
  <si>
    <t>MK095193</t>
  </si>
  <si>
    <t>Pectobacterium phage φM1</t>
  </si>
  <si>
    <t>JX290549</t>
  </si>
  <si>
    <t>Pectobacterium phage Gaspode</t>
  </si>
  <si>
    <t>MH807811</t>
  </si>
  <si>
    <t>Pectobacterium phage Khlen</t>
  </si>
  <si>
    <t>MK095202</t>
  </si>
  <si>
    <t>Pectobacterium phage Koot</t>
  </si>
  <si>
    <t>MK095203</t>
  </si>
  <si>
    <t>Pectobacterium phage Lelidair</t>
  </si>
  <si>
    <t>MH807814</t>
  </si>
  <si>
    <t>Pectobacterium phage Nobby</t>
  </si>
  <si>
    <t>MH807818</t>
  </si>
  <si>
    <t>Pectobacterium phage Peat1</t>
  </si>
  <si>
    <t>KR604693</t>
  </si>
  <si>
    <t>Pectobacterium phage Phoria</t>
  </si>
  <si>
    <t>MK095209</t>
  </si>
  <si>
    <t>Pectobacterium phage PP90</t>
  </si>
  <si>
    <t>KX278419</t>
  </si>
  <si>
    <t>Pectobacterium phage Zenivior</t>
  </si>
  <si>
    <t>MK095210</t>
  </si>
  <si>
    <t>Stompvirus</t>
  </si>
  <si>
    <t>Dickeya phage BF25/12</t>
  </si>
  <si>
    <t>KT240186</t>
  </si>
  <si>
    <t>Krylovirinae</t>
  </si>
  <si>
    <t>Kirikabuvirus</t>
  </si>
  <si>
    <t>Pseudomonas phage phiNV3</t>
  </si>
  <si>
    <t>MG845683</t>
  </si>
  <si>
    <t>Phikmvvirus</t>
  </si>
  <si>
    <t>Pseudomonas phage vB_PaeP_PAO1_1-15pyo</t>
  </si>
  <si>
    <t>LN610580</t>
  </si>
  <si>
    <t>Pseudomonas phage vB_PaeP_PAO1_Ab05</t>
  </si>
  <si>
    <t>LN610574</t>
  </si>
  <si>
    <t>Pseudomonas phage vB_PaeP_PPA-ABTNL</t>
  </si>
  <si>
    <t>KM067278</t>
  </si>
  <si>
    <t>Pseudomonas phage DL62</t>
  </si>
  <si>
    <t>KR054031</t>
  </si>
  <si>
    <t>Pseudomonas phage phikF77</t>
  </si>
  <si>
    <t>FN263372</t>
  </si>
  <si>
    <t>Pseudomonas phage LKD16</t>
  </si>
  <si>
    <t>AM265638</t>
  </si>
  <si>
    <t>Pseudomonas phage LUZ19</t>
  </si>
  <si>
    <t>AM910651</t>
  </si>
  <si>
    <t>Pseudomonas phage MPK6</t>
  </si>
  <si>
    <t>JX997978</t>
  </si>
  <si>
    <t>Pseudomonas phage MPK7</t>
  </si>
  <si>
    <t>JX501340</t>
  </si>
  <si>
    <t>Pseudomonas phage phiNFS</t>
  </si>
  <si>
    <t>KU743887</t>
  </si>
  <si>
    <t>Pseudomonas phage PAXYB1</t>
  </si>
  <si>
    <t>KY618819</t>
  </si>
  <si>
    <t>Pseudomonas phage phiKMV</t>
  </si>
  <si>
    <t>AJ505558</t>
  </si>
  <si>
    <t>Pseudomonas phage PT2</t>
  </si>
  <si>
    <t>EU236438</t>
  </si>
  <si>
    <t>Pseudomonas phage PT5</t>
  </si>
  <si>
    <t>EU056923</t>
  </si>
  <si>
    <t>Pseudomonas phage vB_PaeP_130_113</t>
  </si>
  <si>
    <t>MH107770</t>
  </si>
  <si>
    <t>Pseudomonas phage RLP</t>
  </si>
  <si>
    <t>MH979674</t>
  </si>
  <si>
    <t>Stubburvirus</t>
  </si>
  <si>
    <t>Pseudomonas phage LKA1</t>
  </si>
  <si>
    <t>AM265639</t>
  </si>
  <si>
    <t>Tunggulvirus</t>
  </si>
  <si>
    <t>Pseudomonas phage phi-2</t>
  </si>
  <si>
    <t>FN594518</t>
  </si>
  <si>
    <t>Melnykvirinae</t>
  </si>
  <si>
    <t>Aerosvirus</t>
  </si>
  <si>
    <t>Aeromonas phage phiAS7</t>
  </si>
  <si>
    <t>JN651747</t>
  </si>
  <si>
    <t>Aeromonas phage_ZPAH7</t>
  </si>
  <si>
    <t>MH179473</t>
  </si>
  <si>
    <t>Aeromonas phage ZPAH7B</t>
  </si>
  <si>
    <t>MH992513</t>
  </si>
  <si>
    <t>Aghbyvirus</t>
  </si>
  <si>
    <t>Yersinia phage vB_YenP_ISAO8</t>
  </si>
  <si>
    <t>KT184661</t>
  </si>
  <si>
    <t>Ahphunavirus</t>
  </si>
  <si>
    <t>Aeromonas phage Ahp1</t>
  </si>
  <si>
    <t>KT949345</t>
  </si>
  <si>
    <t>Aeromonas phage CF7</t>
  </si>
  <si>
    <t>MF683623</t>
  </si>
  <si>
    <t>Cronosvirus</t>
  </si>
  <si>
    <t>Cronobacter phage Dev-CD-23823</t>
  </si>
  <si>
    <t>LN878149</t>
  </si>
  <si>
    <t>Cronobacter phage vB_CskP_GAP227</t>
  </si>
  <si>
    <t>KC107834</t>
  </si>
  <si>
    <t>Panjvirus</t>
  </si>
  <si>
    <t>Salmonella phage vB_SpuP_Spp16</t>
  </si>
  <si>
    <t>MG878892</t>
  </si>
  <si>
    <t>Pienvirus</t>
  </si>
  <si>
    <t>Yersinia phage phiR8-01</t>
  </si>
  <si>
    <t>HE956707</t>
  </si>
  <si>
    <t>Pokrovskaiavirus</t>
  </si>
  <si>
    <t>Yersinia phage fHe-Yen3-01</t>
  </si>
  <si>
    <t>KY318515</t>
  </si>
  <si>
    <t>Yersinia phage phi80-18</t>
  </si>
  <si>
    <t>HE956710</t>
  </si>
  <si>
    <t>Wanjuvirus</t>
  </si>
  <si>
    <t>Pectobacterium phage Arno160</t>
  </si>
  <si>
    <t>MK053931</t>
  </si>
  <si>
    <t>Pectobacterium phage PP2</t>
  </si>
  <si>
    <t>KX756572</t>
  </si>
  <si>
    <t>Molineuxvirinae</t>
  </si>
  <si>
    <t>Acadevirus</t>
  </si>
  <si>
    <t>Proteus phage PM 116</t>
  </si>
  <si>
    <t>KU946962</t>
  </si>
  <si>
    <t>Proteus phage vB_PmiP_Pm5460</t>
  </si>
  <si>
    <t>KP890822</t>
  </si>
  <si>
    <t>Proteus phage PM 85</t>
  </si>
  <si>
    <t>KM819695</t>
  </si>
  <si>
    <t>Proteus phage PM 93</t>
  </si>
  <si>
    <t>KM819696</t>
  </si>
  <si>
    <t>Axomammavirus</t>
  </si>
  <si>
    <t>Pectobacterium phage PP1</t>
  </si>
  <si>
    <t>JQ837901</t>
  </si>
  <si>
    <t>Eracentumvirus</t>
  </si>
  <si>
    <t>Erwinia phage Era103</t>
  </si>
  <si>
    <t>EF160123</t>
  </si>
  <si>
    <t>Erwinia phage vB_EamP-S2</t>
  </si>
  <si>
    <t>MG736918</t>
  </si>
  <si>
    <t>Tuodvirus</t>
  </si>
  <si>
    <t>Lelliottia phage phD2B</t>
  </si>
  <si>
    <t>KM370384</t>
  </si>
  <si>
    <t>Vectrevirus</t>
  </si>
  <si>
    <t>Escherichia phage AAPEc6</t>
  </si>
  <si>
    <t>KX279892</t>
  </si>
  <si>
    <t>Escherichia phage vB_EcoP_ACG-C91</t>
  </si>
  <si>
    <t>JN986844</t>
  </si>
  <si>
    <t>Escherichia phage vB_EcoP_B</t>
  </si>
  <si>
    <t>KY295891</t>
  </si>
  <si>
    <t>Escherichia phage vB_EcoP_C</t>
  </si>
  <si>
    <t>KY295892</t>
  </si>
  <si>
    <t>Citrobacter phage vB_CroP_CrRp3</t>
  </si>
  <si>
    <t>MG775042</t>
  </si>
  <si>
    <t>Escherichia phage K1-5</t>
  </si>
  <si>
    <t>AY370674</t>
  </si>
  <si>
    <t>Enterobacteria phage K1E</t>
  </si>
  <si>
    <t>AM084415</t>
  </si>
  <si>
    <t>Escherichia phage vB_EcoP_K</t>
  </si>
  <si>
    <t>KY295897</t>
  </si>
  <si>
    <t>Escherichia phage LL11</t>
  </si>
  <si>
    <t>MH729818</t>
  </si>
  <si>
    <t>Escherichia phage mutPK1A2</t>
  </si>
  <si>
    <t>MG004687</t>
  </si>
  <si>
    <t>Escherichia phage VEc3</t>
  </si>
  <si>
    <t>MG251390</t>
  </si>
  <si>
    <t>Zindervirus</t>
  </si>
  <si>
    <t>Salmonella phage BP12B</t>
  </si>
  <si>
    <t>KM366097</t>
  </si>
  <si>
    <t>Salmonella phage SP6</t>
  </si>
  <si>
    <t>AY288927</t>
  </si>
  <si>
    <t>Salmonella phage UAB_phi78</t>
  </si>
  <si>
    <t>GU595417</t>
  </si>
  <si>
    <t>Okabevirinae</t>
  </si>
  <si>
    <t>Ampunavirus</t>
  </si>
  <si>
    <t>Burkholderia phage Bp-AMP1</t>
  </si>
  <si>
    <t>HG793132</t>
  </si>
  <si>
    <t>Ralstonia phage RS-PI-1</t>
  </si>
  <si>
    <t>KY464836</t>
  </si>
  <si>
    <t>Higashivirus</t>
  </si>
  <si>
    <t>Ralstonia phage RSB1</t>
  </si>
  <si>
    <t>AB451219</t>
  </si>
  <si>
    <t>Ralstonia phage RsoP1IDN</t>
  </si>
  <si>
    <t>MG652450</t>
  </si>
  <si>
    <t>Mguuvirus</t>
  </si>
  <si>
    <t>Burkholderia phage JG068</t>
  </si>
  <si>
    <t>KC853746</t>
  </si>
  <si>
    <t>Risjevirus</t>
  </si>
  <si>
    <t>Ralstonia phage RSJ2</t>
  </si>
  <si>
    <t>AB920995</t>
  </si>
  <si>
    <t>Ralstonia phage RSJ5</t>
  </si>
  <si>
    <t>AB983711</t>
  </si>
  <si>
    <t>Sukuvirus</t>
  </si>
  <si>
    <t>Ralstonia phage RS-PII-1</t>
  </si>
  <si>
    <t>KY316062</t>
  </si>
  <si>
    <t>Slopekvirinae</t>
  </si>
  <si>
    <t>Bucovirus</t>
  </si>
  <si>
    <t>Shigella phage_Buco</t>
  </si>
  <si>
    <t>MK562503</t>
  </si>
  <si>
    <t>Drulisvirus</t>
  </si>
  <si>
    <t>Klebsiella phage AltoGao</t>
  </si>
  <si>
    <t>MF612071</t>
  </si>
  <si>
    <t>Klebsiella phage phiBO1E</t>
  </si>
  <si>
    <t>KM576124</t>
  </si>
  <si>
    <t>Klebsiella phage F19</t>
  </si>
  <si>
    <t>KF765493</t>
  </si>
  <si>
    <t>Klebsiella phage NTUH-K2044-K1-1</t>
  </si>
  <si>
    <t>AB716666</t>
  </si>
  <si>
    <t>Klebsiella phage Kp2</t>
  </si>
  <si>
    <t>KT367886</t>
  </si>
  <si>
    <t>Klebsiella phage KP34</t>
  </si>
  <si>
    <t>GQ413938</t>
  </si>
  <si>
    <t>Klebsiella phage KP-Rio/2015</t>
  </si>
  <si>
    <t>KX856662</t>
  </si>
  <si>
    <t>Klebsiella phage phiKpS2</t>
  </si>
  <si>
    <t>KX587949</t>
  </si>
  <si>
    <t>Klebsiella phage KpV41</t>
  </si>
  <si>
    <t>KT964103</t>
  </si>
  <si>
    <t>Klebsiella phage KpV475</t>
  </si>
  <si>
    <t>KX211991</t>
  </si>
  <si>
    <t>Klebsiella phage vB_KpnP_KpV48</t>
  </si>
  <si>
    <t>KX237514</t>
  </si>
  <si>
    <t>Klebsiella phage KpV71</t>
  </si>
  <si>
    <t>KU666550</t>
  </si>
  <si>
    <t>Klebsiella phage vB_KpnP_KpV74</t>
  </si>
  <si>
    <t>KY385423</t>
  </si>
  <si>
    <t>Klebsiella phage KPV811</t>
  </si>
  <si>
    <t>KY000081</t>
  </si>
  <si>
    <t>Escherichia phage Minorna</t>
  </si>
  <si>
    <t>MK598851</t>
  </si>
  <si>
    <t>Klebsiella phage myPSH1235</t>
  </si>
  <si>
    <t>MG972768</t>
  </si>
  <si>
    <t>Shigella phage SFN6B</t>
  </si>
  <si>
    <t>KY684082</t>
  </si>
  <si>
    <t>Klebsiella phage vB_KpnP_SU503</t>
  </si>
  <si>
    <t>KP708985</t>
  </si>
  <si>
    <t>Klebsiella phage vB_KpnP_SU552A</t>
  </si>
  <si>
    <t>KP708986</t>
  </si>
  <si>
    <t>Koutsourovirus</t>
  </si>
  <si>
    <t>Enterobacter phage phiKDA1</t>
  </si>
  <si>
    <t>JQ267518</t>
  </si>
  <si>
    <t>Novosibovirus</t>
  </si>
  <si>
    <t>Proteus phage PM16</t>
  </si>
  <si>
    <t>KF319020</t>
  </si>
  <si>
    <t>Proteus phage PM 75</t>
  </si>
  <si>
    <t>KM819694</t>
  </si>
  <si>
    <t>Studiervirinae</t>
  </si>
  <si>
    <t>Aarhusvirus</t>
  </si>
  <si>
    <t>Dickeya phage Dagda</t>
  </si>
  <si>
    <t>MH059632</t>
  </si>
  <si>
    <t>Dickeya phage_Katbat</t>
  </si>
  <si>
    <t>MH807813</t>
  </si>
  <si>
    <t>Dickeya phage_Luksen</t>
  </si>
  <si>
    <t>MH807815</t>
  </si>
  <si>
    <t>Dickeya phage_Mysterion</t>
  </si>
  <si>
    <t>MH807817</t>
  </si>
  <si>
    <t>Apdecimavirus</t>
  </si>
  <si>
    <t>Yersinia phage vB_YenP_AP10</t>
  </si>
  <si>
    <t>KT852574</t>
  </si>
  <si>
    <t>Berlinvirus</t>
  </si>
  <si>
    <t>Escherichia phage 285P</t>
  </si>
  <si>
    <t>GQ468526</t>
  </si>
  <si>
    <t>Shigella phage vB_ShiP_A7</t>
  </si>
  <si>
    <t>MK685668</t>
  </si>
  <si>
    <t>Escherichia phage BA14</t>
  </si>
  <si>
    <t>EU734171</t>
  </si>
  <si>
    <t>Yersinia phage Berlin</t>
  </si>
  <si>
    <t>AM183667</t>
  </si>
  <si>
    <t>Salmonella phage BP12A</t>
  </si>
  <si>
    <t>KM366096</t>
  </si>
  <si>
    <t>Salmonella phage_BSP161</t>
  </si>
  <si>
    <t>MG471392</t>
  </si>
  <si>
    <t>Erwinia phage FE44</t>
  </si>
  <si>
    <t>KF700371</t>
  </si>
  <si>
    <t>Kluyvera phage Kvp1</t>
  </si>
  <si>
    <t>FJ194439</t>
  </si>
  <si>
    <t>Escherichia phage P483</t>
  </si>
  <si>
    <t>KP090453</t>
  </si>
  <si>
    <t>Escherichia phage P694</t>
  </si>
  <si>
    <t>KP090454</t>
  </si>
  <si>
    <t>Pectobacterium phage PP74</t>
  </si>
  <si>
    <t>KY084243</t>
  </si>
  <si>
    <t>Yersinia phage PYPS50</t>
  </si>
  <si>
    <t>MH809534</t>
  </si>
  <si>
    <t>Salmonella phage vB_STy-RN5i1</t>
  </si>
  <si>
    <t>OL800603</t>
  </si>
  <si>
    <t>Escherichia phage vB_EcoP_S523</t>
  </si>
  <si>
    <t>MH031343</t>
  </si>
  <si>
    <t>Yersinia phage Yepe2</t>
  </si>
  <si>
    <t>EU734170</t>
  </si>
  <si>
    <t>Yersinia phage Yep-phi</t>
  </si>
  <si>
    <t>HQ333270</t>
  </si>
  <si>
    <t>Caroctavirus</t>
  </si>
  <si>
    <t>Citrobacter phage CR8</t>
  </si>
  <si>
    <t>HG818824</t>
  </si>
  <si>
    <t>Chatterjeevirus</t>
  </si>
  <si>
    <t>Vibrio phage ICP3</t>
  </si>
  <si>
    <t>HQ641340</t>
  </si>
  <si>
    <t>Vibrio phage N4</t>
  </si>
  <si>
    <t>FJ409640</t>
  </si>
  <si>
    <t>Vibrio phage VP4</t>
  </si>
  <si>
    <t>DQ029335</t>
  </si>
  <si>
    <t>Eapunavirus</t>
  </si>
  <si>
    <t>Enterobacter phage phiEap-1</t>
  </si>
  <si>
    <t>KT321314</t>
  </si>
  <si>
    <t>Elunavirus</t>
  </si>
  <si>
    <t>Erwinia phage vB_EamP-L1</t>
  </si>
  <si>
    <t>HQ728265</t>
  </si>
  <si>
    <t>Foetvirus</t>
  </si>
  <si>
    <t>Escherichia phage SRT7</t>
  </si>
  <si>
    <t>MH370477</t>
  </si>
  <si>
    <t>Ghunavirus</t>
  </si>
  <si>
    <t>Pseudomonas phage 17A</t>
  </si>
  <si>
    <t>LN889995</t>
  </si>
  <si>
    <t>Pseudomonas phage gh-1</t>
  </si>
  <si>
    <t>AF493143</t>
  </si>
  <si>
    <t>Pseudomonas phage Henninger</t>
  </si>
  <si>
    <t>MG775258</t>
  </si>
  <si>
    <t>Pseudomonas phage KNP</t>
  </si>
  <si>
    <t>KY798121</t>
  </si>
  <si>
    <t>Pseudomonas phage Pf1 ERZ-2017</t>
  </si>
  <si>
    <t>MG250485</t>
  </si>
  <si>
    <t>Pseudomonas phage PPPL-1</t>
  </si>
  <si>
    <t>KU064779</t>
  </si>
  <si>
    <t>Pseudomonas phage phiPsa17</t>
  </si>
  <si>
    <t>KR091952</t>
  </si>
  <si>
    <t>Pseudomonas phage phiPSA2</t>
  </si>
  <si>
    <t>KJ507099</t>
  </si>
  <si>
    <t>Pseudomonas phage shl2</t>
  </si>
  <si>
    <t>LN889756</t>
  </si>
  <si>
    <t>Pseudomonas phage WRT</t>
  </si>
  <si>
    <t>KY798120</t>
  </si>
  <si>
    <t>Helsettvirus</t>
  </si>
  <si>
    <t>Yersinia phage fPS-53</t>
  </si>
  <si>
    <t>LT962379</t>
  </si>
  <si>
    <t>Yersinia phage fPS-54-ocr</t>
  </si>
  <si>
    <t>LT962475</t>
  </si>
  <si>
    <t>Yersinia phage fPS-59</t>
  </si>
  <si>
    <t>LT961845</t>
  </si>
  <si>
    <t>Yersinia phage fPS-9</t>
  </si>
  <si>
    <t>LT960606</t>
  </si>
  <si>
    <t>Jarilovirus</t>
  </si>
  <si>
    <t>Pectobacterium phage Jarilo</t>
  </si>
  <si>
    <t>MH059637</t>
  </si>
  <si>
    <t>Kayfunavirus</t>
  </si>
  <si>
    <t>Citrobacter phage CR44b</t>
  </si>
  <si>
    <t>HG818823</t>
  </si>
  <si>
    <t>Cronobacter phage Dev2</t>
  </si>
  <si>
    <t>HG813241</t>
  </si>
  <si>
    <t>Escherichia phage EcoDS1</t>
  </si>
  <si>
    <t>EU734172</t>
  </si>
  <si>
    <t>Enterobacter phage EcpYZU01</t>
  </si>
  <si>
    <t>MK033136</t>
  </si>
  <si>
    <t>Escherichia phage vB_EcoP_F</t>
  </si>
  <si>
    <t>KY295894</t>
  </si>
  <si>
    <t>Escherichia phage GA2A</t>
  </si>
  <si>
    <t>KT990215</t>
  </si>
  <si>
    <t>Cronobacter phage GW1</t>
  </si>
  <si>
    <t>MH491167</t>
  </si>
  <si>
    <t>Escherichia phage IMM-002</t>
  </si>
  <si>
    <t>MF630921</t>
  </si>
  <si>
    <t>Escherichia phage K1F</t>
  </si>
  <si>
    <t>AM084414</t>
  </si>
  <si>
    <t>Escherichia phage LM33_P1</t>
  </si>
  <si>
    <t>LT594300</t>
  </si>
  <si>
    <t>Escherichia phage PE3-1</t>
  </si>
  <si>
    <t>KJ748011</t>
  </si>
  <si>
    <t>Escherichia phage Ro45lw</t>
  </si>
  <si>
    <t>MK301532</t>
  </si>
  <si>
    <t>Shigella phage SFPH2</t>
  </si>
  <si>
    <t>MH464253</t>
  </si>
  <si>
    <t>Citrobacter phage SH3</t>
  </si>
  <si>
    <t>KU687349</t>
  </si>
  <si>
    <t>Citrobacter phage SH4</t>
  </si>
  <si>
    <t>KU687350</t>
  </si>
  <si>
    <t>Escherichia phage ST31</t>
  </si>
  <si>
    <t>KY962008</t>
  </si>
  <si>
    <t>Escherichia phage_Vec13</t>
  </si>
  <si>
    <t>MH400309</t>
  </si>
  <si>
    <t>Escherichia phage YZ1</t>
  </si>
  <si>
    <t>MG845865</t>
  </si>
  <si>
    <t>Escherichia phage ZG49</t>
  </si>
  <si>
    <t>KX669227</t>
  </si>
  <si>
    <t>Minipunavirus</t>
  </si>
  <si>
    <t>Morganella phage MmP1</t>
  </si>
  <si>
    <t>EU652770</t>
  </si>
  <si>
    <t>Morganella phage vB_MmoP_MP2</t>
  </si>
  <si>
    <t>KX078568</t>
  </si>
  <si>
    <t>Ningirsuvirus</t>
  </si>
  <si>
    <t>Dickeya phage_vB_DsoP_JA10</t>
  </si>
  <si>
    <t>MH460459</t>
  </si>
  <si>
    <t>Dickeya phage Ninurta</t>
  </si>
  <si>
    <t>MH059639</t>
  </si>
  <si>
    <t>Pektosvirus</t>
  </si>
  <si>
    <t>Pectobacterium phage PP47</t>
  </si>
  <si>
    <t>KY250035</t>
  </si>
  <si>
    <t>Pectobacterium phage PP81</t>
  </si>
  <si>
    <t>KY124276</t>
  </si>
  <si>
    <t>Pectobacterium phage PPWS4 DNA</t>
  </si>
  <si>
    <t>LC216347</t>
  </si>
  <si>
    <t>Phutvirus</t>
  </si>
  <si>
    <t>Pseudomonas phage PPpW-4</t>
  </si>
  <si>
    <t>AB775549</t>
  </si>
  <si>
    <t>Pifdecavirus</t>
  </si>
  <si>
    <t>Pseudomonas phage phiIBB-PF7A</t>
  </si>
  <si>
    <t>GU583987</t>
  </si>
  <si>
    <t>Pseudomonas phage Pf-10</t>
  </si>
  <si>
    <t>KP025626</t>
  </si>
  <si>
    <t>Pseudomonas phage PFP1</t>
  </si>
  <si>
    <t>MH268168</t>
  </si>
  <si>
    <t>Pseudomonas phage Phi-S1</t>
  </si>
  <si>
    <t>JX173487</t>
  </si>
  <si>
    <t>Pseudomonas phage 22PfluR64PP</t>
  </si>
  <si>
    <t>MH179472</t>
  </si>
  <si>
    <t>Pseudomonas phage UNO-SLW1</t>
  </si>
  <si>
    <t>KX431888</t>
  </si>
  <si>
    <t>Pijolavirus</t>
  </si>
  <si>
    <t>Pseudomonas phage PspYZU08</t>
  </si>
  <si>
    <t>KY971611</t>
  </si>
  <si>
    <t>Przondovirus</t>
  </si>
  <si>
    <t>Klebsiella phage 2044-307w</t>
  </si>
  <si>
    <t>MF285615</t>
  </si>
  <si>
    <t>Klebsiella phage vB_KpnP_BIS33</t>
  </si>
  <si>
    <t>KY652725</t>
  </si>
  <si>
    <t>Klebsiella phage Henu1</t>
  </si>
  <si>
    <t>MK203841</t>
  </si>
  <si>
    <t>Klebsiella phage vB_KpnP_IL33</t>
  </si>
  <si>
    <t>KY652724</t>
  </si>
  <si>
    <t>Klebsiella phage vB_KpnP_IME205</t>
  </si>
  <si>
    <t>KU183006</t>
  </si>
  <si>
    <t>Klebsiella phage_vB_KpnP_IME321</t>
  </si>
  <si>
    <t>MH587638</t>
  </si>
  <si>
    <t>Klebsiella phage K11</t>
  </si>
  <si>
    <t>EU734173</t>
  </si>
  <si>
    <t>Escherichia phage K30</t>
  </si>
  <si>
    <t>HM480846</t>
  </si>
  <si>
    <t>Klebsiella phage K5</t>
  </si>
  <si>
    <t>KR149291</t>
  </si>
  <si>
    <t>Klebsiella phage K5-2</t>
  </si>
  <si>
    <t>KY389315</t>
  </si>
  <si>
    <t>Klebsiella phage K5-4</t>
  </si>
  <si>
    <t>KY389316</t>
  </si>
  <si>
    <t>Klebsiella phage KN1-1</t>
  </si>
  <si>
    <t>LC413193</t>
  </si>
  <si>
    <t>Klebsiella phage KN3-1</t>
  </si>
  <si>
    <t>LC413194</t>
  </si>
  <si>
    <t>Klebsiella phage KN4-1</t>
  </si>
  <si>
    <t>LC413195</t>
  </si>
  <si>
    <t>Klebsiella phage vB_Kp1</t>
  </si>
  <si>
    <t>KT367885</t>
  </si>
  <si>
    <t>Klebsiella phage KP32</t>
  </si>
  <si>
    <t>GQ413937</t>
  </si>
  <si>
    <t>Klebsiella phage KP32_isolate 192</t>
  </si>
  <si>
    <t>MH172261</t>
  </si>
  <si>
    <t>Klebsiella phage KP32_isolate 194</t>
  </si>
  <si>
    <t>MH172262</t>
  </si>
  <si>
    <t>Klebsiella phage KP32_isolate 195</t>
  </si>
  <si>
    <t>MH172263</t>
  </si>
  <si>
    <t>Klebsiella phage KP32_isolate 196</t>
  </si>
  <si>
    <t>MH172264</t>
  </si>
  <si>
    <t>Klebsiella phage kpssk3</t>
  </si>
  <si>
    <t>MK134560</t>
  </si>
  <si>
    <t>Klebsiella phage vB_KpnP_KpV289</t>
  </si>
  <si>
    <t>LN866626</t>
  </si>
  <si>
    <t>Klebsiella phage vB_KpnP_KpV763</t>
  </si>
  <si>
    <t>KX591654</t>
  </si>
  <si>
    <t>Klebsiella phage vB_KpnP_KpV766</t>
  </si>
  <si>
    <t>KX712071</t>
  </si>
  <si>
    <t>Klebsiella phage vB_KpnP_KpV767</t>
  </si>
  <si>
    <t>KX712070</t>
  </si>
  <si>
    <t>Klebsiella phage Pharr</t>
  </si>
  <si>
    <t>MK618658</t>
  </si>
  <si>
    <t>Klebsiella phage vB_KpnP_PRA33</t>
  </si>
  <si>
    <t>KY652723</t>
  </si>
  <si>
    <t>Klebsiella phage SH-Kp 152234</t>
  </si>
  <si>
    <t>KY450753</t>
  </si>
  <si>
    <t>Klebsiella phage SH-Kp 152410</t>
  </si>
  <si>
    <t>MG835568</t>
  </si>
  <si>
    <t>Teetrevirus</t>
  </si>
  <si>
    <t>Serratia phage 2050H2</t>
  </si>
  <si>
    <t>MF285620</t>
  </si>
  <si>
    <t>Yersinia phage vB_YenP_AP5</t>
  </si>
  <si>
    <t>KM253764</t>
  </si>
  <si>
    <t>Citrobacter phage phiCFP-1</t>
  </si>
  <si>
    <t>KP313531</t>
  </si>
  <si>
    <t>Enterobacter phage E-2</t>
  </si>
  <si>
    <t>KP791805</t>
  </si>
  <si>
    <t>Enterobacter phage E-3</t>
  </si>
  <si>
    <t>KP791806</t>
  </si>
  <si>
    <t>Escherichia phage ECA2</t>
  </si>
  <si>
    <t>KX130726</t>
  </si>
  <si>
    <t>Enterobacter phage KPN3</t>
  </si>
  <si>
    <t>KX452696</t>
  </si>
  <si>
    <t>Escherichia phage LL2</t>
  </si>
  <si>
    <t>MH717709</t>
  </si>
  <si>
    <t>Salmonella phage vB_SAg-RPN15</t>
  </si>
  <si>
    <t>OL800605</t>
  </si>
  <si>
    <t>Salmonella phage phiSG-JL2</t>
  </si>
  <si>
    <t>EU547803</t>
  </si>
  <si>
    <t>Citrobacter phage SH1</t>
  </si>
  <si>
    <t>KU687347</t>
  </si>
  <si>
    <t>Citrobacter phage SH2</t>
  </si>
  <si>
    <t>KU687348</t>
  </si>
  <si>
    <t>Serratia phage SM9-3Y</t>
  </si>
  <si>
    <t>KX778611</t>
  </si>
  <si>
    <t>Enterobacteria phage T3</t>
  </si>
  <si>
    <t>KC960671</t>
  </si>
  <si>
    <t>Bacteriophage T3</t>
  </si>
  <si>
    <t>AJ318471</t>
  </si>
  <si>
    <t>Enterobacteria phage T7M</t>
  </si>
  <si>
    <t>JX421753</t>
  </si>
  <si>
    <t>Leclercia phage 10164-302</t>
  </si>
  <si>
    <t>MF285616</t>
  </si>
  <si>
    <t>Yersinia phage phiYe-F10</t>
  </si>
  <si>
    <t>KT008108</t>
  </si>
  <si>
    <t>Yersinia phage phiYeO3-12</t>
  </si>
  <si>
    <t>AJ251805</t>
  </si>
  <si>
    <t>Teseptimavirus</t>
  </si>
  <si>
    <t>Escherichia phage 13a</t>
  </si>
  <si>
    <t>EU734174</t>
  </si>
  <si>
    <t>Escherichia phage C5</t>
  </si>
  <si>
    <t>MH717099</t>
  </si>
  <si>
    <t>Escherichia phage CICC 80001</t>
  </si>
  <si>
    <t>KM242061</t>
  </si>
  <si>
    <t>Escherichia phage Ebrios</t>
  </si>
  <si>
    <t>MG966531</t>
  </si>
  <si>
    <t>Escherichia phage EG1</t>
  </si>
  <si>
    <t>MG488277</t>
  </si>
  <si>
    <t>Escherichia phage HZ2R8</t>
  </si>
  <si>
    <t>MG832642</t>
  </si>
  <si>
    <t>Escherichia phage HZP2</t>
  </si>
  <si>
    <t>MK542821</t>
  </si>
  <si>
    <t>Stenotrophomonas phage IME15</t>
  </si>
  <si>
    <t>JX872508</t>
  </si>
  <si>
    <t>Enterobacteria phage vB_EcoP_IME390</t>
  </si>
  <si>
    <t>MH779619</t>
  </si>
  <si>
    <t>Escherichia phage N30</t>
  </si>
  <si>
    <t>MH717098</t>
  </si>
  <si>
    <t>Escherichia phage NC-A</t>
  </si>
  <si>
    <t>MK310182</t>
  </si>
  <si>
    <t>Escherichia phage T7</t>
  </si>
  <si>
    <t>V01146</t>
  </si>
  <si>
    <t>Salmonella phage 3A_8767</t>
  </si>
  <si>
    <t>MH382198</t>
  </si>
  <si>
    <t>Escherichia phage 64795_ec1</t>
  </si>
  <si>
    <t>KU927499</t>
  </si>
  <si>
    <t>Salmonella phage Vi06</t>
  </si>
  <si>
    <t>FR667955</t>
  </si>
  <si>
    <t>Yersinia phage YpP-Y</t>
  </si>
  <si>
    <t>JQ965700</t>
  </si>
  <si>
    <t>Yersinia phage YpsP-G</t>
  </si>
  <si>
    <t>JQ965703</t>
  </si>
  <si>
    <t>Troedvirus</t>
  </si>
  <si>
    <t>Pseudomonas phage phi15</t>
  </si>
  <si>
    <t>FR823298</t>
  </si>
  <si>
    <t>Unyawovirus</t>
  </si>
  <si>
    <t>Pectobacterium phage DU_PP_II</t>
  </si>
  <si>
    <t>MF979561</t>
  </si>
  <si>
    <t>Warsawvirus</t>
  </si>
  <si>
    <t>Pseudomonas phage vB_PsyP_3MF5</t>
  </si>
  <si>
    <t>MT597419</t>
  </si>
  <si>
    <t>Casjensviridae</t>
  </si>
  <si>
    <t>Ahduovirus</t>
  </si>
  <si>
    <t>Burkholderia phage vB_BceS_AH2</t>
  </si>
  <si>
    <t>JN564907</t>
  </si>
  <si>
    <t>Broinstvirus</t>
  </si>
  <si>
    <t>Loktanella phage pCB2051-A</t>
  </si>
  <si>
    <t>HQ632859</t>
  </si>
  <si>
    <t>Cenphatecvirus</t>
  </si>
  <si>
    <t>Proteus phage Saba</t>
  </si>
  <si>
    <t>MN062188</t>
  </si>
  <si>
    <t>Chivirus</t>
  </si>
  <si>
    <t>Salmonella phage BSPM4</t>
  </si>
  <si>
    <t>KY620117</t>
  </si>
  <si>
    <t>Salmonella phage Chi</t>
  </si>
  <si>
    <t>JX094499</t>
  </si>
  <si>
    <t>Salmonella phage 118970_sal1</t>
  </si>
  <si>
    <t>KU927500</t>
  </si>
  <si>
    <t>Salmonella phage 35</t>
  </si>
  <si>
    <t>KR296689</t>
  </si>
  <si>
    <t>Salmonella phage 37</t>
  </si>
  <si>
    <t>KR296691</t>
  </si>
  <si>
    <t>Salmonella phage ER24</t>
  </si>
  <si>
    <t>MW355479</t>
  </si>
  <si>
    <t>Salmonella phage FSL SP-030</t>
  </si>
  <si>
    <t>KC139519</t>
  </si>
  <si>
    <t>Salmonella phage FSL SP-088</t>
  </si>
  <si>
    <t>KC139512</t>
  </si>
  <si>
    <t>Salmonella phage iEPS5</t>
  </si>
  <si>
    <t>KC677662</t>
  </si>
  <si>
    <t>Salmonella phage KFS-SE1</t>
  </si>
  <si>
    <t>MG280946</t>
  </si>
  <si>
    <t>Serratia phage KpYy 1 41</t>
  </si>
  <si>
    <t>MN871450</t>
  </si>
  <si>
    <t>Salmonella phage SeWh-1</t>
  </si>
  <si>
    <t>MH791395</t>
  </si>
  <si>
    <t>Salmonella phage Siskin</t>
  </si>
  <si>
    <t>MH631453</t>
  </si>
  <si>
    <t>Salmonella phage SPN19</t>
  </si>
  <si>
    <t>JN871591</t>
  </si>
  <si>
    <t>Salmonella phage ST-101</t>
  </si>
  <si>
    <t>KX765862</t>
  </si>
  <si>
    <t>Salmonella phage YSD1</t>
  </si>
  <si>
    <t>LR026998</t>
  </si>
  <si>
    <t>Salmonella phage BP12C</t>
  </si>
  <si>
    <t>KM366098</t>
  </si>
  <si>
    <t>Dunedinvirus</t>
  </si>
  <si>
    <t>Serratia phage JS26</t>
  </si>
  <si>
    <t>MN505213</t>
  </si>
  <si>
    <t>Enchivirus</t>
  </si>
  <si>
    <t>Enterobacter phage Enc34</t>
  </si>
  <si>
    <t>JQ340774</t>
  </si>
  <si>
    <t>Fengtaivirus</t>
  </si>
  <si>
    <t>Achromobacter phage phiAxp-2</t>
  </si>
  <si>
    <t>KT321316</t>
  </si>
  <si>
    <t>Gediminasvirus</t>
  </si>
  <si>
    <t>Achromobacter phage vB_AchrS_AchV4</t>
  </si>
  <si>
    <t>MW269554</t>
  </si>
  <si>
    <t>Gwanakrovirus</t>
  </si>
  <si>
    <t>Erwinia phage pEp_SNUABM_08</t>
  </si>
  <si>
    <t>MN184886</t>
  </si>
  <si>
    <t>Jacunavirus</t>
  </si>
  <si>
    <t>Cronobacter phage JC01</t>
  </si>
  <si>
    <t>MT330372</t>
  </si>
  <si>
    <t>Kokobelvirus</t>
  </si>
  <si>
    <t>Providencia phage Kokobel1</t>
  </si>
  <si>
    <t>MW145139</t>
  </si>
  <si>
    <t>Lavrentievavirus</t>
  </si>
  <si>
    <t>Escherichia phage E21</t>
  </si>
  <si>
    <t>MN604053</t>
  </si>
  <si>
    <t>Proteus phage PM87</t>
  </si>
  <si>
    <t>MG030346</t>
  </si>
  <si>
    <t>Proteus phage pPM_01</t>
  </si>
  <si>
    <t>KP063118</t>
  </si>
  <si>
    <t>Maxdohrnvirus</t>
  </si>
  <si>
    <t>Pseudomonas phage vB_Pae-SS2019XI</t>
  </si>
  <si>
    <t>MN536026</t>
  </si>
  <si>
    <t>Nazgulvirus</t>
  </si>
  <si>
    <t>Burkholderia phage BcepNazgul</t>
  </si>
  <si>
    <t>AY357582</t>
  </si>
  <si>
    <t>Newforgelanevirus</t>
  </si>
  <si>
    <t>Pectobacterium phage MA12</t>
  </si>
  <si>
    <t>MN692199</t>
  </si>
  <si>
    <t>Phobosvirus</t>
  </si>
  <si>
    <t>Bacteriophage Phobos</t>
  </si>
  <si>
    <t>MN478374</t>
  </si>
  <si>
    <t>Pseudomonas phage PspYZU01</t>
  </si>
  <si>
    <t>KY971609</t>
  </si>
  <si>
    <t>Redjacvirus</t>
  </si>
  <si>
    <t>Providencia phage vB_PreS-PibeRecoleta</t>
  </si>
  <si>
    <t>MT675124</t>
  </si>
  <si>
    <t>Providencia phage Redjac</t>
  </si>
  <si>
    <t>JX296113</t>
  </si>
  <si>
    <t>Providencia phage vB_PreS-Stilesk</t>
  </si>
  <si>
    <t>MT675125</t>
  </si>
  <si>
    <t>Salvovirus</t>
  </si>
  <si>
    <t>Xylella phage Bacata</t>
  </si>
  <si>
    <t>LR743524</t>
  </si>
  <si>
    <t>Xylella phage Salvo</t>
  </si>
  <si>
    <t>KF626668</t>
  </si>
  <si>
    <t>Sanovirus</t>
  </si>
  <si>
    <t>Xylella phage Sano</t>
  </si>
  <si>
    <t>KF626665</t>
  </si>
  <si>
    <t>Seodaemunguvirus</t>
  </si>
  <si>
    <t>Klebsiella phage YMC16/01/N133_KPN_BP</t>
  </si>
  <si>
    <t>MF476925</t>
  </si>
  <si>
    <t>Sessunavirus</t>
  </si>
  <si>
    <t>Synechococcus virus S-ESS1</t>
  </si>
  <si>
    <t>KY249644</t>
  </si>
  <si>
    <t>Sharonstreetvirus</t>
  </si>
  <si>
    <t>Aeromonas phage vB_AhyS-A18P4</t>
  </si>
  <si>
    <t>MN317029</t>
  </si>
  <si>
    <t>Aeromonas phage BUCT551</t>
  </si>
  <si>
    <t>MT952005</t>
  </si>
  <si>
    <t>Aeromonas phage LAh_7</t>
  </si>
  <si>
    <t>MK838113</t>
  </si>
  <si>
    <t>Yonseivirus</t>
  </si>
  <si>
    <t>Klebsiella phage KPN N137</t>
  </si>
  <si>
    <t>MF415410</t>
  </si>
  <si>
    <t>Klebsiella phage Seifer</t>
  </si>
  <si>
    <t>MH817999</t>
  </si>
  <si>
    <t>Klebsiella phage Soft</t>
  </si>
  <si>
    <t>MN106244</t>
  </si>
  <si>
    <t>Zhonglingvirus</t>
  </si>
  <si>
    <t>Salmonella phage SAP012</t>
  </si>
  <si>
    <t>LC553736</t>
  </si>
  <si>
    <t>Chaseviridae</t>
  </si>
  <si>
    <t>Shantouvirus</t>
  </si>
  <si>
    <t>Aeromonas phage ZPAH14</t>
  </si>
  <si>
    <t>ZPAH14</t>
  </si>
  <si>
    <t>OM810291</t>
  </si>
  <si>
    <t>Cleopatravirinae</t>
  </si>
  <si>
    <t>Carltongylesvirus</t>
  </si>
  <si>
    <t>Escherichia phage flopper</t>
  </si>
  <si>
    <t>MN850594</t>
  </si>
  <si>
    <t>Escherichia phage phiEcoM-GJ1</t>
  </si>
  <si>
    <t>EF460875</t>
  </si>
  <si>
    <t>Escherichia phage Mangalitsa</t>
  </si>
  <si>
    <t>MN045229</t>
  </si>
  <si>
    <t>Escherichia phage ST32</t>
  </si>
  <si>
    <t>MF044458</t>
  </si>
  <si>
    <t>Faunusvirus</t>
  </si>
  <si>
    <t>Erwinia phage Faunus</t>
  </si>
  <si>
    <t>MH191398</t>
  </si>
  <si>
    <t>Loessnervirus</t>
  </si>
  <si>
    <t>Pantoea phage vB_PagM_SSEM1</t>
  </si>
  <si>
    <t>MT230534</t>
  </si>
  <si>
    <t>Erwinia phage vB_EamM-Y2</t>
  </si>
  <si>
    <t>HQ728264</t>
  </si>
  <si>
    <t>Myducvirus</t>
  </si>
  <si>
    <t>Proteus phage Myduc</t>
  </si>
  <si>
    <t>MN098326</t>
  </si>
  <si>
    <t>Sabourvirus</t>
  </si>
  <si>
    <t>Escherichia phage vB_EcoM-4HA13</t>
  </si>
  <si>
    <t>MN136198</t>
  </si>
  <si>
    <t>Suwonvirus</t>
  </si>
  <si>
    <t>Pectobacterium phage PM1</t>
  </si>
  <si>
    <t>KF534715</t>
  </si>
  <si>
    <t>Pectobacterium phage PP101</t>
  </si>
  <si>
    <t>KY087898</t>
  </si>
  <si>
    <t>Nefertitivirinae</t>
  </si>
  <si>
    <t>Pahsextavirus</t>
  </si>
  <si>
    <t>Aeromonas phage pAh6-C</t>
  </si>
  <si>
    <t>KJ858521</t>
  </si>
  <si>
    <t>Yushanvirus</t>
  </si>
  <si>
    <t>Shewanella phage Spp001</t>
  </si>
  <si>
    <t>KJ002054</t>
  </si>
  <si>
    <t>Shewanella phage SppYZU05</t>
  </si>
  <si>
    <t>KY709296</t>
  </si>
  <si>
    <t>Demerecviridae</t>
  </si>
  <si>
    <t>Novosibvirus</t>
  </si>
  <si>
    <t>Proteus phage PM135</t>
  </si>
  <si>
    <t>MG030347</t>
  </si>
  <si>
    <t>Proteus phage Stubb</t>
  </si>
  <si>
    <t>MH830339</t>
  </si>
  <si>
    <t>Pogseptimavirus</t>
  </si>
  <si>
    <t>Vibrio phage vB_VpS_PG07</t>
  </si>
  <si>
    <t>MH645904</t>
  </si>
  <si>
    <t>Vibrio phage VspSw_1</t>
  </si>
  <si>
    <t>MH925094</t>
  </si>
  <si>
    <t>Priunavirus</t>
  </si>
  <si>
    <t>Providencia phage vB_PreS_PR1</t>
  </si>
  <si>
    <t>KY363465</t>
  </si>
  <si>
    <t>Providencia phage PSTCR5</t>
  </si>
  <si>
    <t>MW057857</t>
  </si>
  <si>
    <t>Shenzhenvirus</t>
  </si>
  <si>
    <t>Aeromonas phage AhSzq-1</t>
  </si>
  <si>
    <t>MG676224</t>
  </si>
  <si>
    <t>Aeromonas phage AhSzw-1</t>
  </si>
  <si>
    <t>MG676225</t>
  </si>
  <si>
    <t>Sugarlandvirus</t>
  </si>
  <si>
    <t>Klebsiella phage vB_Kpn_IME260</t>
  </si>
  <si>
    <t>KX845404</t>
  </si>
  <si>
    <t>Klebsiella phage Sugarland</t>
  </si>
  <si>
    <t>MG459987</t>
  </si>
  <si>
    <t>Ermolyevavirinae</t>
  </si>
  <si>
    <t>Cetovirus</t>
  </si>
  <si>
    <t>Vibrio phage Ceto</t>
  </si>
  <si>
    <t>MG649966</t>
  </si>
  <si>
    <t>Jesfedecavirus</t>
  </si>
  <si>
    <t>Vibrio phage JSF10</t>
  </si>
  <si>
    <t>KY883654</t>
  </si>
  <si>
    <t>Vibrio phage JSF12</t>
  </si>
  <si>
    <t>KY883655</t>
  </si>
  <si>
    <t>Vibrio phage phi 3</t>
  </si>
  <si>
    <t>KP280063</t>
  </si>
  <si>
    <t>Thalassavirus</t>
  </si>
  <si>
    <t>Vibrio phage Achelous</t>
  </si>
  <si>
    <t>MK796244</t>
  </si>
  <si>
    <t>Vibrio phage AG74</t>
  </si>
  <si>
    <t>MT460514</t>
  </si>
  <si>
    <t>Vibrio phage Athena</t>
  </si>
  <si>
    <t>MT460517</t>
  </si>
  <si>
    <t>Vibrio phage Bennett</t>
  </si>
  <si>
    <t>MN958086</t>
  </si>
  <si>
    <t>Vibrio phage Brizo</t>
  </si>
  <si>
    <t>MK895508</t>
  </si>
  <si>
    <t>Vibrio phage Chester</t>
  </si>
  <si>
    <t>MN966732</t>
  </si>
  <si>
    <t>Vibrio phage Cody</t>
  </si>
  <si>
    <t>MT460515</t>
  </si>
  <si>
    <t>Vibrio phage Gary</t>
  </si>
  <si>
    <t>MW344054</t>
  </si>
  <si>
    <t>Vibrio phage Pontus</t>
  </si>
  <si>
    <t>MK907780</t>
  </si>
  <si>
    <t>Vibrio phage Quinn</t>
  </si>
  <si>
    <t>MT460516</t>
  </si>
  <si>
    <t>Vibrio phage River4</t>
  </si>
  <si>
    <t>MT448617</t>
  </si>
  <si>
    <t>Vibrio phage Thalassa</t>
  </si>
  <si>
    <t>MG649967</t>
  </si>
  <si>
    <t>Vipunavirus</t>
  </si>
  <si>
    <t>Vibrio phage pVP-1</t>
  </si>
  <si>
    <t>JQ340389</t>
  </si>
  <si>
    <t>Markadamsvirinae</t>
  </si>
  <si>
    <t>Epseptimavirus</t>
  </si>
  <si>
    <t>Salmonella phage 100268_sal2</t>
  </si>
  <si>
    <t>KU927497</t>
  </si>
  <si>
    <t>Salmonella phage 118970_sal2</t>
  </si>
  <si>
    <t>KX017521</t>
  </si>
  <si>
    <t>Salmonella phage atrejo</t>
  </si>
  <si>
    <t>MT074466</t>
  </si>
  <si>
    <t>Salmonella phage bastian</t>
  </si>
  <si>
    <t>MT074459</t>
  </si>
  <si>
    <t>Salmonella phage bombadil</t>
  </si>
  <si>
    <t>MT074449</t>
  </si>
  <si>
    <t>Escherichia phage EPS7</t>
  </si>
  <si>
    <t>CP000917</t>
  </si>
  <si>
    <t>Salmonella phage 1-19</t>
  </si>
  <si>
    <t>MN379739</t>
  </si>
  <si>
    <t>Salmonella phage 1-23</t>
  </si>
  <si>
    <t>MK370036</t>
  </si>
  <si>
    <t>Salmonella phage 1-29</t>
  </si>
  <si>
    <t>MN218191</t>
  </si>
  <si>
    <t>Salmonella phage 2-3</t>
  </si>
  <si>
    <t>MN197465</t>
  </si>
  <si>
    <t>Salmonella phage 3-29</t>
  </si>
  <si>
    <t>MK393882</t>
  </si>
  <si>
    <t>Salmonella phage faergetype</t>
  </si>
  <si>
    <t>MT074450</t>
  </si>
  <si>
    <t>Salmonella phage fuchur</t>
  </si>
  <si>
    <t>MT074458</t>
  </si>
  <si>
    <t>Salmonella phage LVR16A</t>
  </si>
  <si>
    <t>MF681663</t>
  </si>
  <si>
    <t>Escherichia phage vB_Eco_mar003J3</t>
  </si>
  <si>
    <t>LR027389</t>
  </si>
  <si>
    <t>Salmonella phage oselot</t>
  </si>
  <si>
    <t>MT074465</t>
  </si>
  <si>
    <t>Salmonella phage OSY-STA</t>
  </si>
  <si>
    <t>MN187969</t>
  </si>
  <si>
    <t>Yersinia phage phiR2-01</t>
  </si>
  <si>
    <t>HE956708</t>
  </si>
  <si>
    <t>Salmonella phage vB_STy-RN29</t>
  </si>
  <si>
    <t>OL800604</t>
  </si>
  <si>
    <t>Salmonella phage rokbiter</t>
  </si>
  <si>
    <t>MT074457</t>
  </si>
  <si>
    <t>Salmonella phage S113</t>
  </si>
  <si>
    <t>MH370366</t>
  </si>
  <si>
    <t>Salmonella phage S114</t>
  </si>
  <si>
    <t>MH370367</t>
  </si>
  <si>
    <t>Salmonella phage S116</t>
  </si>
  <si>
    <t>MH370369</t>
  </si>
  <si>
    <t>Salmonella phage S124</t>
  </si>
  <si>
    <t>MH370375</t>
  </si>
  <si>
    <t>Salmonella phage S126</t>
  </si>
  <si>
    <t>MH370376</t>
  </si>
  <si>
    <t>Salmonella phage S132</t>
  </si>
  <si>
    <t>MH370379</t>
  </si>
  <si>
    <t>Salmonella phage S133</t>
  </si>
  <si>
    <t>MH370380</t>
  </si>
  <si>
    <t>Salmonella phage S147</t>
  </si>
  <si>
    <t>MH370386</t>
  </si>
  <si>
    <t>Escherichia phage saus132</t>
  </si>
  <si>
    <t>MF431737</t>
  </si>
  <si>
    <t>Salmonella phage vB_SenS_SB13</t>
  </si>
  <si>
    <t>MK947459</t>
  </si>
  <si>
    <t>Salmonella phage SE24</t>
  </si>
  <si>
    <t>MK972707</t>
  </si>
  <si>
    <t>Salmonella phage Seafire</t>
  </si>
  <si>
    <t>MK050846</t>
  </si>
  <si>
    <t>Salmonella phage Sepoy</t>
  </si>
  <si>
    <t>MK728825</t>
  </si>
  <si>
    <t>Salmonella phage SH9</t>
  </si>
  <si>
    <t>MF001363</t>
  </si>
  <si>
    <t>Salmonella phage STG2</t>
  </si>
  <si>
    <t>MK005300</t>
  </si>
  <si>
    <t>Salmonella phage Stitch</t>
  </si>
  <si>
    <t>KM236244</t>
  </si>
  <si>
    <t>Salmonella phage Sw2</t>
  </si>
  <si>
    <t>MH631454</t>
  </si>
  <si>
    <t>Tequintavirus</t>
  </si>
  <si>
    <t>Escherichia phage vB_EcoS_AKFV33</t>
  </si>
  <si>
    <t>HQ665011</t>
  </si>
  <si>
    <t>Escherichia phage phiAPCEc03</t>
  </si>
  <si>
    <t>KR422353</t>
  </si>
  <si>
    <t>Escherichia phage BF23</t>
  </si>
  <si>
    <t>AJ604530</t>
  </si>
  <si>
    <t>Escherichia phage chee24</t>
  </si>
  <si>
    <t>MF431730</t>
  </si>
  <si>
    <t>Escherichia phage DT571/2</t>
  </si>
  <si>
    <t>KM979355</t>
  </si>
  <si>
    <t>Escherichia phage DT57C</t>
  </si>
  <si>
    <t>KM979354</t>
  </si>
  <si>
    <t>Escherichia phage vB_EcoS_FFH_1</t>
  </si>
  <si>
    <t>KJ190157</t>
  </si>
  <si>
    <t>Escherichia phage fp01</t>
  </si>
  <si>
    <t>MH745368</t>
  </si>
  <si>
    <t>Escherichia phage Gostya9</t>
  </si>
  <si>
    <t>MH203051</t>
  </si>
  <si>
    <t>Escherichia phage H8</t>
  </si>
  <si>
    <t>AC171169</t>
  </si>
  <si>
    <t>Escherichia phage vB_EcoS_HdH2</t>
  </si>
  <si>
    <t>MK373796</t>
  </si>
  <si>
    <t>Salmonella phage L6jm</t>
  </si>
  <si>
    <t>MN956514</t>
  </si>
  <si>
    <t>Escherichia phage phiLLS</t>
  </si>
  <si>
    <t>KY677846</t>
  </si>
  <si>
    <t>Escherichia phage vB_Eco_mar004NP2</t>
  </si>
  <si>
    <t>LR027384</t>
  </si>
  <si>
    <t>Phage NBEco001</t>
  </si>
  <si>
    <t>MN970211</t>
  </si>
  <si>
    <t>Phage NBEco002</t>
  </si>
  <si>
    <t>MN994496</t>
  </si>
  <si>
    <t>Phage NBSal003</t>
  </si>
  <si>
    <t>MN994502</t>
  </si>
  <si>
    <t>Phage NBSal005</t>
  </si>
  <si>
    <t>MN994504</t>
  </si>
  <si>
    <t>Salmonella phage NR01</t>
  </si>
  <si>
    <t>KR233164</t>
  </si>
  <si>
    <t>Salmonella phage oldekolle</t>
  </si>
  <si>
    <t>MT074448</t>
  </si>
  <si>
    <t>Escherichia phage OSYSP</t>
  </si>
  <si>
    <t>MF402939</t>
  </si>
  <si>
    <t>Salmonella phage S131</t>
  </si>
  <si>
    <t>MH370378</t>
  </si>
  <si>
    <t>Salmonella phage SE11</t>
  </si>
  <si>
    <t>MK972715</t>
  </si>
  <si>
    <t>Salmonella phage Shivani</t>
  </si>
  <si>
    <t>KP143763</t>
  </si>
  <si>
    <t>Shigella phage SHSML-45</t>
  </si>
  <si>
    <t>KX130863</t>
  </si>
  <si>
    <t>Escherichia phage slur09</t>
  </si>
  <si>
    <t>LN887948</t>
  </si>
  <si>
    <t>Salmonella phage SP01</t>
  </si>
  <si>
    <t>KY114934</t>
  </si>
  <si>
    <t>Escherichia phage SP15</t>
  </si>
  <si>
    <t>AP019559</t>
  </si>
  <si>
    <t>Salmonella phage SP3</t>
  </si>
  <si>
    <t>MG387042</t>
  </si>
  <si>
    <t>Salmonella phage SPC35</t>
  </si>
  <si>
    <t>HQ406778</t>
  </si>
  <si>
    <t>Shigella phage SSP1</t>
  </si>
  <si>
    <t>KY963424</t>
  </si>
  <si>
    <t>Escherichia phage T5</t>
  </si>
  <si>
    <t>AY543070</t>
  </si>
  <si>
    <t>Salmonella phage Th1</t>
  </si>
  <si>
    <t>MN026741</t>
  </si>
  <si>
    <t>Escherichia phage VEc33</t>
  </si>
  <si>
    <t>MN316588</t>
  </si>
  <si>
    <t>Salmonella phage VSe12</t>
  </si>
  <si>
    <t>MN022787</t>
  </si>
  <si>
    <t>Mccorquodalevirinae</t>
  </si>
  <si>
    <t>Hongcheonvirus</t>
  </si>
  <si>
    <t>Pectobacterium phage DU_PP_V</t>
  </si>
  <si>
    <t>MF979564</t>
  </si>
  <si>
    <t>Myunavirus</t>
  </si>
  <si>
    <t>Pectobacterium phage My1</t>
  </si>
  <si>
    <t>JX195166</t>
  </si>
  <si>
    <t>Drexlerviridae</t>
  </si>
  <si>
    <t>Eclunavirus</t>
  </si>
  <si>
    <t>Enterobacter phage Ec_L1</t>
  </si>
  <si>
    <t>MG732930</t>
  </si>
  <si>
    <t>Hicfunavirus</t>
  </si>
  <si>
    <t>Citrobacter phage HCF1</t>
  </si>
  <si>
    <t>MN545971</t>
  </si>
  <si>
    <t>Jhansiroadvirus</t>
  </si>
  <si>
    <t>Vibrio phage VC1</t>
  </si>
  <si>
    <t>MT360682</t>
  </si>
  <si>
    <t>Kyungwonvirus</t>
  </si>
  <si>
    <t>Cronobacter phage CS01</t>
  </si>
  <si>
    <t>MH845412</t>
  </si>
  <si>
    <t>Cronobacter phage ESP2949-1</t>
  </si>
  <si>
    <t>JF912400</t>
  </si>
  <si>
    <t>Nouzillyvirus</t>
  </si>
  <si>
    <t>Escherichia phage vB_EcoS_ESCO41</t>
  </si>
  <si>
    <t>KY619305</t>
  </si>
  <si>
    <t>Sauletekiovirus</t>
  </si>
  <si>
    <t>Pantoea phage vB_PagS_AAS23</t>
  </si>
  <si>
    <t>MK095606</t>
  </si>
  <si>
    <t>Vilniusvirus</t>
  </si>
  <si>
    <t>Escherichia phage vB_EcoS_NBD2</t>
  </si>
  <si>
    <t>KX130668</t>
  </si>
  <si>
    <t>Webervirus</t>
  </si>
  <si>
    <t>Klebsiella phage vB_KpnS_Alina</t>
  </si>
  <si>
    <t>MN013083</t>
  </si>
  <si>
    <t>Klebsiella phage vB_KpnS_Call</t>
  </si>
  <si>
    <t>MN013079</t>
  </si>
  <si>
    <t>Klebsiella phage vB_KpnS_Domnhall</t>
  </si>
  <si>
    <t>MN013075</t>
  </si>
  <si>
    <t>Enterobacter phage F20</t>
  </si>
  <si>
    <t>JN672684</t>
  </si>
  <si>
    <t>Klebsiella phage vB_KpnS_FZ10</t>
  </si>
  <si>
    <t>MK521904</t>
  </si>
  <si>
    <t>Klebsiella phage GH-K3</t>
  </si>
  <si>
    <t>MH844531</t>
  </si>
  <si>
    <t>Klebsiella phage vB_KpnS_IMGroot</t>
  </si>
  <si>
    <t>MN013076</t>
  </si>
  <si>
    <t>Klebsiella phage JY917</t>
  </si>
  <si>
    <t>MG894052</t>
  </si>
  <si>
    <t>Klebsiella phage KL</t>
  </si>
  <si>
    <t>MN379832</t>
  </si>
  <si>
    <t>Klebsiella phage KLPN1</t>
  </si>
  <si>
    <t>KR262148</t>
  </si>
  <si>
    <t>Klebsiella phage vB_KpnS_15-38_KLPPOU149</t>
  </si>
  <si>
    <t>MN689779</t>
  </si>
  <si>
    <t>Klebsiella phage KOX1</t>
  </si>
  <si>
    <t>KY780482</t>
  </si>
  <si>
    <t>Klebsiella phage KP1801</t>
  </si>
  <si>
    <t>MN783016</t>
  </si>
  <si>
    <t>Klebsiella phage KP36</t>
  </si>
  <si>
    <t>JF501022</t>
  </si>
  <si>
    <t>Klebsiella phage GML-KpCol1</t>
  </si>
  <si>
    <t>MG552615</t>
  </si>
  <si>
    <t>Klebsiella phage KpKT21phi1</t>
  </si>
  <si>
    <t>MK278861</t>
  </si>
  <si>
    <t>Klebsiella phage PhiKpNIH-2</t>
  </si>
  <si>
    <t>MN395286</t>
  </si>
  <si>
    <t>Klebsiella phage vB_KpnS_KpV522</t>
  </si>
  <si>
    <t>KX237515</t>
  </si>
  <si>
    <t>Klebsiella phage MezzoGao</t>
  </si>
  <si>
    <t>MF612072</t>
  </si>
  <si>
    <t>Klebsiella phage KPN N141</t>
  </si>
  <si>
    <t>MF415412</t>
  </si>
  <si>
    <t>Klebsiella phage NJS1</t>
  </si>
  <si>
    <t>MH445453</t>
  </si>
  <si>
    <t>Klebsiella phage PKP126</t>
  </si>
  <si>
    <t>KR269719</t>
  </si>
  <si>
    <t>Klebsiella phage vB_KpnS_SegesCirculi</t>
  </si>
  <si>
    <t>MN013080</t>
  </si>
  <si>
    <t>Klebsiella phage Shelby</t>
  </si>
  <si>
    <t>MK931445</t>
  </si>
  <si>
    <t>Klebsiella phage Sin4</t>
  </si>
  <si>
    <t>MK931442</t>
  </si>
  <si>
    <t>Klebsiella phage Skenny</t>
  </si>
  <si>
    <t>MK931444</t>
  </si>
  <si>
    <t>Klebsiella phage Sushi</t>
  </si>
  <si>
    <t>KT001920</t>
  </si>
  <si>
    <t>Klebsiella phage Sweeny</t>
  </si>
  <si>
    <t>MK931443</t>
  </si>
  <si>
    <t>Klebsiella phage TAH8</t>
  </si>
  <si>
    <t>MH633484</t>
  </si>
  <si>
    <t>Klebsiella phage TSK1</t>
  </si>
  <si>
    <t>MH688453</t>
  </si>
  <si>
    <t>Klebsiella phage 13</t>
  </si>
  <si>
    <t>MK170446</t>
  </si>
  <si>
    <t>Klebsiella phage 1513</t>
  </si>
  <si>
    <t>KP658157</t>
  </si>
  <si>
    <t>Braunvirinae</t>
  </si>
  <si>
    <t>Christensenvirus</t>
  </si>
  <si>
    <t>Escherichia phage vB_EcoS_IME542</t>
  </si>
  <si>
    <t>MK372342</t>
  </si>
  <si>
    <t>Guelphvirus</t>
  </si>
  <si>
    <t>Escherichia phage vB_EcoS_ACG-M12</t>
  </si>
  <si>
    <t>JN986845</t>
  </si>
  <si>
    <t>Escherichia phage vB_Ecos_CEB_EC3a</t>
  </si>
  <si>
    <t>KY398841</t>
  </si>
  <si>
    <t>Loudonvirus</t>
  </si>
  <si>
    <t>Escherichia phage DTL</t>
  </si>
  <si>
    <t>MG050172</t>
  </si>
  <si>
    <t>Rtpvirus</t>
  </si>
  <si>
    <t>Escherichia phage vB_EcoS-IME253</t>
  </si>
  <si>
    <t>KX130960</t>
  </si>
  <si>
    <t>Escherichia phage Rtp</t>
  </si>
  <si>
    <t>AM156909</t>
  </si>
  <si>
    <t>Veterinaerplatzvirus</t>
  </si>
  <si>
    <t>Escherichia phage vB_EcoS-12210I</t>
  </si>
  <si>
    <t>MK907226</t>
  </si>
  <si>
    <t>Rogunavirinae</t>
  </si>
  <si>
    <t>Eastlansingvirus</t>
  </si>
  <si>
    <t>Shigella phage Sf12</t>
  </si>
  <si>
    <t>MF158039</t>
  </si>
  <si>
    <t>Lindendrivevirus</t>
  </si>
  <si>
    <t>Escherichia phage phiEB49</t>
  </si>
  <si>
    <t>JF770475</t>
  </si>
  <si>
    <t>Rogunavirus</t>
  </si>
  <si>
    <t>Escherichia phage vB_EcoS_AHP42</t>
  </si>
  <si>
    <t>KF771237</t>
  </si>
  <si>
    <t>Escherichia phage vB_EcoS_AHS24</t>
  </si>
  <si>
    <t>KF771238</t>
  </si>
  <si>
    <t>Escherichia phage vB_EcoS_AKS96</t>
  </si>
  <si>
    <t>KF771239</t>
  </si>
  <si>
    <t>Escherichia phage C119</t>
  </si>
  <si>
    <t>KT825490</t>
  </si>
  <si>
    <t>Escherichia phage e4/1c</t>
  </si>
  <si>
    <t>KJ668713</t>
  </si>
  <si>
    <t>Escherichia phage JK06</t>
  </si>
  <si>
    <t>DQ121662</t>
  </si>
  <si>
    <t>Enterobacteria phage phiJLA23</t>
  </si>
  <si>
    <t>KC333879</t>
  </si>
  <si>
    <t>Escherichia phage phiKP26</t>
  </si>
  <si>
    <t>KC579452</t>
  </si>
  <si>
    <t>Escherichia phage Rogue1</t>
  </si>
  <si>
    <t>JQ182736</t>
  </si>
  <si>
    <t>Wilsonroadvirus</t>
  </si>
  <si>
    <t>Shigella phage Sd1</t>
  </si>
  <si>
    <t>MF158042</t>
  </si>
  <si>
    <t>Tempevirinae</t>
  </si>
  <si>
    <t>Changchunvirus</t>
  </si>
  <si>
    <t>Escherichia phage vB_EcoS_PHB17</t>
  </si>
  <si>
    <t>MN090155</t>
  </si>
  <si>
    <t>Escherichia phage vB_EcoS_W011D</t>
  </si>
  <si>
    <t>MK778457</t>
  </si>
  <si>
    <t>Hanrivervirus</t>
  </si>
  <si>
    <t>Escherichia phage aalborv</t>
  </si>
  <si>
    <t>MN850591</t>
  </si>
  <si>
    <t>Escherichia phage aaroes</t>
  </si>
  <si>
    <t>MN850572</t>
  </si>
  <si>
    <t>Escherichia phage damhaus</t>
  </si>
  <si>
    <t>MN850602</t>
  </si>
  <si>
    <t>Escherichia phage egaa</t>
  </si>
  <si>
    <t>MN850607</t>
  </si>
  <si>
    <t>Escherichia phage vB_EcoS_G29-2</t>
  </si>
  <si>
    <t>MK373798</t>
  </si>
  <si>
    <t>Escherichia phage grams</t>
  </si>
  <si>
    <t>MN850567</t>
  </si>
  <si>
    <t>Escherichia phage haarsle</t>
  </si>
  <si>
    <t>MN850600</t>
  </si>
  <si>
    <t>Escherichia phage Henu8</t>
  </si>
  <si>
    <t>MN055691</t>
  </si>
  <si>
    <t>Escherichia phage herni</t>
  </si>
  <si>
    <t>MN850640</t>
  </si>
  <si>
    <t>Shigella phage 2019SD1</t>
  </si>
  <si>
    <t>MT360681</t>
  </si>
  <si>
    <t>Escherichia phage PGN590</t>
  </si>
  <si>
    <t>MT127619</t>
  </si>
  <si>
    <t>Shigella phage pSf-1</t>
  </si>
  <si>
    <t>KC710998</t>
  </si>
  <si>
    <t>Salmonella phage slyngel</t>
  </si>
  <si>
    <t>MT074433</t>
  </si>
  <si>
    <t>Escherichia phage vojen</t>
  </si>
  <si>
    <t>MN850569</t>
  </si>
  <si>
    <t>Henuseptimavirus</t>
  </si>
  <si>
    <t>Escherichia phage Henu7</t>
  </si>
  <si>
    <t>MN019128</t>
  </si>
  <si>
    <t>Tlsvirus</t>
  </si>
  <si>
    <t>Citrobacter phage CF1 DK-2017</t>
  </si>
  <si>
    <t>KY694971</t>
  </si>
  <si>
    <t>Escherichia phage LL5</t>
  </si>
  <si>
    <t>MH491968</t>
  </si>
  <si>
    <t>Salmonella phage vB_ SenS_ PHB07</t>
  </si>
  <si>
    <t>MH102284</t>
  </si>
  <si>
    <t>Salmonella phage phSE-2</t>
  </si>
  <si>
    <t>KX015770</t>
  </si>
  <si>
    <t>Citrobacter phage Sazh</t>
  </si>
  <si>
    <t>MH729819</t>
  </si>
  <si>
    <t>Salmonella phage FSL SP-126</t>
  </si>
  <si>
    <t>KC139513</t>
  </si>
  <si>
    <t>Citrobacter phage Stevie</t>
  </si>
  <si>
    <t>KM236241</t>
  </si>
  <si>
    <t>Escherichia phage Tls</t>
  </si>
  <si>
    <t>AY308796</t>
  </si>
  <si>
    <t>Salmonella phage YSP2</t>
  </si>
  <si>
    <t>MG241338</t>
  </si>
  <si>
    <t>Warwickvirus</t>
  </si>
  <si>
    <t>Escherichia phage atuna</t>
  </si>
  <si>
    <t>MN850620</t>
  </si>
  <si>
    <t>Shigella phage JK16</t>
  </si>
  <si>
    <t>MK962751</t>
  </si>
  <si>
    <t>Escherichia phage vB_Eco_mar001J1</t>
  </si>
  <si>
    <t>LR027388</t>
  </si>
  <si>
    <t>Escherichia phage SECphi27</t>
  </si>
  <si>
    <t>LT961732</t>
  </si>
  <si>
    <t>Escherichia phage vB_Eco_SLUR29</t>
  </si>
  <si>
    <t>LR596614</t>
  </si>
  <si>
    <t>Escherichia phage vB_Eco_swan01</t>
  </si>
  <si>
    <t>LT841304</t>
  </si>
  <si>
    <t>Escherichia phage tiwna</t>
  </si>
  <si>
    <t>MN850643</t>
  </si>
  <si>
    <t>Escherichia phage tonijn</t>
  </si>
  <si>
    <t>MN850641</t>
  </si>
  <si>
    <t>Escherichia phage tonn</t>
  </si>
  <si>
    <t>MN850596</t>
  </si>
  <si>
    <t>Escherichia phage tonnikala</t>
  </si>
  <si>
    <t>MN850613</t>
  </si>
  <si>
    <t>Escherichia phage tunus</t>
  </si>
  <si>
    <t>MN850638</t>
  </si>
  <si>
    <t>Escherichia phage vB_EcoS-95</t>
  </si>
  <si>
    <t>MF564201</t>
  </si>
  <si>
    <t>Tunavirinae</t>
  </si>
  <si>
    <t>Badaguanvirus</t>
  </si>
  <si>
    <t>Escherichia phage vB_EcoS_IME347</t>
  </si>
  <si>
    <t>MH051918</t>
  </si>
  <si>
    <t>Sertoctavirus</t>
  </si>
  <si>
    <t>Escherichia phage SRT8</t>
  </si>
  <si>
    <t>MF996376</t>
  </si>
  <si>
    <t>Tunavirus</t>
  </si>
  <si>
    <t>Escherichia phage ADB-2</t>
  </si>
  <si>
    <t>JX912252</t>
  </si>
  <si>
    <t>Escherichia phage Eco_BIFF</t>
  </si>
  <si>
    <t>MH285980</t>
  </si>
  <si>
    <t>Escherichia phage vB_EcoS-DELF2</t>
  </si>
  <si>
    <t>LC516895</t>
  </si>
  <si>
    <t>Enterobacteria phage vB_EcoS_IME18</t>
  </si>
  <si>
    <t>MH051911</t>
  </si>
  <si>
    <t>Shigella phage vB_SflS-ISF001</t>
  </si>
  <si>
    <t>MG049919</t>
  </si>
  <si>
    <t>Shigella phage vB_SsoS-ISF002</t>
  </si>
  <si>
    <t>MF093736</t>
  </si>
  <si>
    <t>Escherichia phage JMPW1</t>
  </si>
  <si>
    <t>KU194206</t>
  </si>
  <si>
    <t>Escherichia phage JMPW2</t>
  </si>
  <si>
    <t>KU194205</t>
  </si>
  <si>
    <t>Shigella phage pSf-2</t>
  </si>
  <si>
    <t>KP085586</t>
  </si>
  <si>
    <t>Shigella phage Sfin-1</t>
  </si>
  <si>
    <t>MF468274</t>
  </si>
  <si>
    <t>Shigella phage Sfin-3</t>
  </si>
  <si>
    <t>MN296515</t>
  </si>
  <si>
    <t>Escherichia phage vB_EcoS_SH2</t>
  </si>
  <si>
    <t>KY985004</t>
  </si>
  <si>
    <t>Shigella phage SH6</t>
  </si>
  <si>
    <t>KX828710</t>
  </si>
  <si>
    <t>Shigella phage Shfl1</t>
  </si>
  <si>
    <t>HM035024</t>
  </si>
  <si>
    <t>Escherichia phage T1</t>
  </si>
  <si>
    <t>AY216660</t>
  </si>
  <si>
    <t>Duneviridae</t>
  </si>
  <si>
    <t>Ingelinevirus</t>
  </si>
  <si>
    <t>Cellulophaga phage Ingeline_1</t>
  </si>
  <si>
    <t>Ingeline_1</t>
  </si>
  <si>
    <t>MT732435</t>
  </si>
  <si>
    <t>Labanvirus</t>
  </si>
  <si>
    <t>vB_FspS_laban6-1</t>
  </si>
  <si>
    <t>MN812211</t>
  </si>
  <si>
    <t>Unahavirus</t>
  </si>
  <si>
    <t>Flavobacterium phage 1H</t>
  </si>
  <si>
    <t>KU599889</t>
  </si>
  <si>
    <t>Flavobacterium phage 23T</t>
  </si>
  <si>
    <t>KU599888</t>
  </si>
  <si>
    <t>Flavobacterium phage 2A</t>
  </si>
  <si>
    <t>KU599887</t>
  </si>
  <si>
    <t>Flavobacterium phage 6H</t>
  </si>
  <si>
    <t>KC959568</t>
  </si>
  <si>
    <t>Fervensviridae</t>
  </si>
  <si>
    <t>Deepoceanvirus</t>
  </si>
  <si>
    <t>Methanocaldococcus fervens tailed virus 1</t>
  </si>
  <si>
    <t>MFTV1</t>
  </si>
  <si>
    <t>MT711370</t>
  </si>
  <si>
    <t>Forsetiviridae</t>
  </si>
  <si>
    <t>Freyavirus</t>
  </si>
  <si>
    <t>Polaribacter phage Danklef_1</t>
  </si>
  <si>
    <t>Danklef_1</t>
  </si>
  <si>
    <t>MT732458</t>
  </si>
  <si>
    <t>Polaribacter phage Freya_1</t>
  </si>
  <si>
    <t>Freya_1</t>
  </si>
  <si>
    <t>MT732463</t>
  </si>
  <si>
    <t>Fredfastierviridae</t>
  </si>
  <si>
    <t>Jamesmcgillvirus</t>
  </si>
  <si>
    <t>Pseudomonas phage 119X</t>
  </si>
  <si>
    <t>DQ163914</t>
  </si>
  <si>
    <t>Pseudomonas phage PaMx41</t>
  </si>
  <si>
    <t>KU884563</t>
  </si>
  <si>
    <t>Grimontviridae</t>
  </si>
  <si>
    <t>Crifsvirus</t>
  </si>
  <si>
    <t>Cronobacter phage A24</t>
  </si>
  <si>
    <t>MW343794</t>
  </si>
  <si>
    <t>Cronobacter phage vB_CsaP_GAP52</t>
  </si>
  <si>
    <t>JN882286</t>
  </si>
  <si>
    <t>Dalianvirus</t>
  </si>
  <si>
    <t>Vibrio phage Vp_R1</t>
  </si>
  <si>
    <t>MG603697</t>
  </si>
  <si>
    <t>Libingvirus</t>
  </si>
  <si>
    <t>Aeromonas phage BUCT695</t>
  </si>
  <si>
    <t>OL799327</t>
  </si>
  <si>
    <t>Moazamivirus</t>
  </si>
  <si>
    <t>Salmonella phage 7-11</t>
  </si>
  <si>
    <t>HM997019</t>
  </si>
  <si>
    <t>Salmonella phage SE131</t>
  </si>
  <si>
    <t>MG873442</t>
  </si>
  <si>
    <t>Privateervirus</t>
  </si>
  <si>
    <t>Proteus phage 3H10_20</t>
  </si>
  <si>
    <t>MT740244</t>
  </si>
  <si>
    <t>Proteus phage Vb_PmiP-P59</t>
  </si>
  <si>
    <t>MT664722</t>
  </si>
  <si>
    <t>Proteus phage Privateer</t>
  </si>
  <si>
    <t>MT028297</t>
  </si>
  <si>
    <t>Cronobacter phage vB_CsaP_009</t>
  </si>
  <si>
    <t>LC519601</t>
  </si>
  <si>
    <t>Guelinviridae</t>
  </si>
  <si>
    <t>Brucesealvirus</t>
  </si>
  <si>
    <t>Clostridium phage phiCP7R</t>
  </si>
  <si>
    <t>JQ729990</t>
  </si>
  <si>
    <t>Clostridium phage CPS2</t>
  </si>
  <si>
    <t>MH248069</t>
  </si>
  <si>
    <t>Clostridium phage phiCPV4</t>
  </si>
  <si>
    <t>JQ729991</t>
  </si>
  <si>
    <t>Clostridium phage phiZP2</t>
  </si>
  <si>
    <t>JQ729992</t>
  </si>
  <si>
    <t>Hzauvirus</t>
  </si>
  <si>
    <t>Clostridium phage LPCPA6</t>
  </si>
  <si>
    <t>LPCPA6</t>
  </si>
  <si>
    <t>OM638104</t>
  </si>
  <si>
    <t>Susfortunavirus</t>
  </si>
  <si>
    <t>Clostridium phage susfortuna</t>
  </si>
  <si>
    <t>MH393889</t>
  </si>
  <si>
    <t>Denniswatsonvirinae</t>
  </si>
  <si>
    <t>Capvunavirus</t>
  </si>
  <si>
    <t>Clostridium phage CpV1</t>
  </si>
  <si>
    <t>HM640230</t>
  </si>
  <si>
    <t>Gregsiragusavirus</t>
  </si>
  <si>
    <t>Clostridium phage CPD2</t>
  </si>
  <si>
    <t>MH999279</t>
  </si>
  <si>
    <t>Clostridium phage CPS1</t>
  </si>
  <si>
    <t>KY996523</t>
  </si>
  <si>
    <t>Clostridium phage phi24R</t>
  </si>
  <si>
    <t>JN800508</t>
  </si>
  <si>
    <t>Helgolandviridae</t>
  </si>
  <si>
    <t>Leefvirus</t>
  </si>
  <si>
    <t>Polaribacter phage Leef_1</t>
  </si>
  <si>
    <t>Leef_1</t>
  </si>
  <si>
    <t>MT732473</t>
  </si>
  <si>
    <t>Herelleviridae</t>
  </si>
  <si>
    <t>Elpedvirus</t>
  </si>
  <si>
    <t>Lactobacillus phage LpeD</t>
  </si>
  <si>
    <t>MF787246</t>
  </si>
  <si>
    <t>Harbinvirus</t>
  </si>
  <si>
    <t>Lactobacillus phage Bacchae</t>
  </si>
  <si>
    <t>MG765277</t>
  </si>
  <si>
    <t>Lactobacillus phage Bromius</t>
  </si>
  <si>
    <t>MH809531</t>
  </si>
  <si>
    <t>Lactobacillus phage Iacchus</t>
  </si>
  <si>
    <t>MH809529</t>
  </si>
  <si>
    <t>Lactobacillus phage Lpa804</t>
  </si>
  <si>
    <t>MG557979</t>
  </si>
  <si>
    <t>Lactobacillus phage Semele</t>
  </si>
  <si>
    <t>MG765279</t>
  </si>
  <si>
    <t>Hopescreekvirus</t>
  </si>
  <si>
    <t>Lactobacillus phage LfeInf</t>
  </si>
  <si>
    <t>KP054477</t>
  </si>
  <si>
    <t>Klumppvirus</t>
  </si>
  <si>
    <t>Brochothrix phage A9</t>
  </si>
  <si>
    <t>HM242243</t>
  </si>
  <si>
    <t>Mooreparkvirus</t>
  </si>
  <si>
    <t>Lactobacillus phage Lb338-1</t>
  </si>
  <si>
    <t>FJ822135</t>
  </si>
  <si>
    <t>Salchichonvirus</t>
  </si>
  <si>
    <t>Lactobacillus phage LP65</t>
  </si>
  <si>
    <t>AY682195</t>
  </si>
  <si>
    <t>Tybeckvirus</t>
  </si>
  <si>
    <t>Lactobacillus phage SAC12B</t>
  </si>
  <si>
    <t>MK504446</t>
  </si>
  <si>
    <t>Lactobacillus phage 521B</t>
  </si>
  <si>
    <t>MK504443</t>
  </si>
  <si>
    <t>Watanabevirus</t>
  </si>
  <si>
    <t>Lactobacillus phage 3-521</t>
  </si>
  <si>
    <t>MK504444</t>
  </si>
  <si>
    <t>Bastillevirinae</t>
  </si>
  <si>
    <t>Agatevirus</t>
  </si>
  <si>
    <t>Bacillus phage phiAGATE</t>
  </si>
  <si>
    <t>JX238501</t>
  </si>
  <si>
    <t>Bacillus phage Bobb</t>
  </si>
  <si>
    <t>KM051843</t>
  </si>
  <si>
    <t>Bacillus phage Bp8p-C</t>
  </si>
  <si>
    <t>KJ010547</t>
  </si>
  <si>
    <t>A</t>
  </si>
  <si>
    <t>Bacillus phage Bp8p-T</t>
  </si>
  <si>
    <t>Bastillevirus</t>
  </si>
  <si>
    <t>Bacillus phage Bastille</t>
  </si>
  <si>
    <t>JF966203</t>
  </si>
  <si>
    <t>Bacillus phage CAM003</t>
  </si>
  <si>
    <t>KJ489397</t>
  </si>
  <si>
    <t>Bacillus phage Evoli</t>
  </si>
  <si>
    <t>KJ489398</t>
  </si>
  <si>
    <t>Bacillus phage Hoody T</t>
  </si>
  <si>
    <t>KJ489400</t>
  </si>
  <si>
    <t>Bequatrovirus</t>
  </si>
  <si>
    <t>Bacillus phage AvesoBmore</t>
  </si>
  <si>
    <t>KT307976</t>
  </si>
  <si>
    <t>Bacillus phage B4</t>
  </si>
  <si>
    <t>JN790865</t>
  </si>
  <si>
    <t>Bacillus phage B5S</t>
  </si>
  <si>
    <t>Bacillus phage BigBertha</t>
  </si>
  <si>
    <t>KF669647</t>
  </si>
  <si>
    <t>Bacillus phage Riley</t>
  </si>
  <si>
    <t>KJ489402</t>
  </si>
  <si>
    <t>Bacillus phage Spock</t>
  </si>
  <si>
    <t>KF669662</t>
  </si>
  <si>
    <t>Bacillus phage Troll</t>
  </si>
  <si>
    <t>KF208639</t>
  </si>
  <si>
    <t>Caeruleovirus</t>
  </si>
  <si>
    <t>Bacillus phage vB_BceM_Bc431v3</t>
  </si>
  <si>
    <t>JX094431</t>
  </si>
  <si>
    <t>Bacillus phage Bcp1</t>
  </si>
  <si>
    <t>KJ451625</t>
  </si>
  <si>
    <t>Bacillus phage BCP8-2</t>
  </si>
  <si>
    <t>KJ081346</t>
  </si>
  <si>
    <t>Bacillus phage BM15</t>
  </si>
  <si>
    <t>KT995480</t>
  </si>
  <si>
    <t>Bacillus phage Deep Blue</t>
  </si>
  <si>
    <t>KU577463</t>
  </si>
  <si>
    <t>Bacillus phage JBP901</t>
  </si>
  <si>
    <t>KJ676859</t>
  </si>
  <si>
    <t>Eldridgevirus</t>
  </si>
  <si>
    <t>Bacillus phage Eldridge</t>
  </si>
  <si>
    <t>KU253712</t>
  </si>
  <si>
    <t>Goettingenvirus</t>
  </si>
  <si>
    <t>Bacillus phage vB_BmeM-Goe8</t>
  </si>
  <si>
    <t>MN043729</t>
  </si>
  <si>
    <t>Grisebachstrassevirus</t>
  </si>
  <si>
    <t>Bacillus phage vB_BsuM-Goe3</t>
  </si>
  <si>
    <t>KY368640</t>
  </si>
  <si>
    <t>Jeonjuvirus</t>
  </si>
  <si>
    <t>Bacillus phage BSP38</t>
  </si>
  <si>
    <t>MH606185</t>
  </si>
  <si>
    <t>Matervirus</t>
  </si>
  <si>
    <t>Bacillus phage Mater</t>
  </si>
  <si>
    <t>KM236245</t>
  </si>
  <si>
    <t>Moonbeamvirus</t>
  </si>
  <si>
    <t>Bacillus phage Moonbeam</t>
  </si>
  <si>
    <t>KM236246</t>
  </si>
  <si>
    <t>Nitunavirus</t>
  </si>
  <si>
    <t>Bacillus phage Grass</t>
  </si>
  <si>
    <t>KF669652</t>
  </si>
  <si>
    <t>Bacillus phage phiNIT1</t>
  </si>
  <si>
    <t>AP013029</t>
  </si>
  <si>
    <t>Bacillus phage SPG24</t>
  </si>
  <si>
    <t>AB930182</t>
  </si>
  <si>
    <t>Shalavirus</t>
  </si>
  <si>
    <t>Bacillus phage Shbh1</t>
  </si>
  <si>
    <t>KU640380</t>
  </si>
  <si>
    <t>Siophivirus</t>
  </si>
  <si>
    <t>Bacillus phage SIOphi</t>
  </si>
  <si>
    <t>KC699836</t>
  </si>
  <si>
    <t>Tsarbombavirus</t>
  </si>
  <si>
    <t>Bacillus phage BCP78</t>
  </si>
  <si>
    <t>JN797797</t>
  </si>
  <si>
    <t>Bacillus phage BCU4</t>
  </si>
  <si>
    <t>Bacillus phage TsarBomba</t>
  </si>
  <si>
    <t>KT224359</t>
  </si>
  <si>
    <t>Wphvirus</t>
  </si>
  <si>
    <t>Bacillus phage BPS10C</t>
  </si>
  <si>
    <t>KC430106</t>
  </si>
  <si>
    <t>Bacillus phage BPS13</t>
  </si>
  <si>
    <t>JN654439</t>
  </si>
  <si>
    <t>Bacillus phage Hakuna</t>
  </si>
  <si>
    <t>KJ489399</t>
  </si>
  <si>
    <t>Bacillus phage Megatron</t>
  </si>
  <si>
    <t>KJ489401</t>
  </si>
  <si>
    <t>Bacillus phage Eyuki</t>
  </si>
  <si>
    <t>Bacillus phage W.Ph.</t>
  </si>
  <si>
    <t>HM144387</t>
  </si>
  <si>
    <t>Brockvirinae</t>
  </si>
  <si>
    <t>Kochikohdavirus</t>
  </si>
  <si>
    <t>Enterococcus phage ECP3</t>
  </si>
  <si>
    <t>KJ801817</t>
  </si>
  <si>
    <t>Enterococcus phage EF24C</t>
  </si>
  <si>
    <t>AP009390</t>
  </si>
  <si>
    <t>Enterococcus phage phiEF24C-P2</t>
  </si>
  <si>
    <t>AB609718</t>
  </si>
  <si>
    <t>Enterococcus phage EFLK1</t>
  </si>
  <si>
    <t>KR049063</t>
  </si>
  <si>
    <t>Schiekvirus</t>
  </si>
  <si>
    <t>Enterococcus phage EFDG1</t>
  </si>
  <si>
    <t>KP339049</t>
  </si>
  <si>
    <t>Enterococcus phage EFP01</t>
  </si>
  <si>
    <t>KY549443</t>
  </si>
  <si>
    <t>Enterococcus phage EfV12-phi1</t>
  </si>
  <si>
    <t>MH880817</t>
  </si>
  <si>
    <t>Pecentumvirus</t>
  </si>
  <si>
    <t>Listeria phage A511</t>
  </si>
  <si>
    <t>DQ003638</t>
  </si>
  <si>
    <t>Listeria phage vB_LmoM_AG20</t>
  </si>
  <si>
    <t>JQ797329</t>
  </si>
  <si>
    <t>Listeria phage List-36</t>
  </si>
  <si>
    <t>KJ535721</t>
  </si>
  <si>
    <t>Listeria phage LMSP-25</t>
  </si>
  <si>
    <t>KJ535722</t>
  </si>
  <si>
    <t>Listeria phage LMTA-57</t>
  </si>
  <si>
    <t>Listeria phage LMTA-94</t>
  </si>
  <si>
    <t>Listeria phage LMTA-148</t>
  </si>
  <si>
    <t>KJ591604</t>
  </si>
  <si>
    <t>Listeria phage LMTA-34</t>
  </si>
  <si>
    <t>KJ586794</t>
  </si>
  <si>
    <t>Listeria phage LP-048</t>
  </si>
  <si>
    <t>KJ094033</t>
  </si>
  <si>
    <t>Listeria phage LP-064</t>
  </si>
  <si>
    <t>KJ094029</t>
  </si>
  <si>
    <t>Listeria phage LP-124</t>
  </si>
  <si>
    <t>Listeria phage LP-083-2</t>
  </si>
  <si>
    <t>KJ094030</t>
  </si>
  <si>
    <t>Listeria phage LP-125</t>
  </si>
  <si>
    <t>Listeria phage P100</t>
  </si>
  <si>
    <t>DQ004855</t>
  </si>
  <si>
    <t>Spounavirinae</t>
  </si>
  <si>
    <t>Okubovirus</t>
  </si>
  <si>
    <t>Bacillus phage CampHawk</t>
  </si>
  <si>
    <t>KF669649</t>
  </si>
  <si>
    <t>Bacillus phage SPO1</t>
  </si>
  <si>
    <t>FJ230960</t>
  </si>
  <si>
    <t>Siminovitchvirus</t>
  </si>
  <si>
    <t>Bacillus phage CP-51</t>
  </si>
  <si>
    <t>KF554508</t>
  </si>
  <si>
    <t>Bacillus phage JL</t>
  </si>
  <si>
    <t>KC595512</t>
  </si>
  <si>
    <t>Bacillus phage Shanette</t>
  </si>
  <si>
    <t>KC595513</t>
  </si>
  <si>
    <t>Twortvirinae</t>
  </si>
  <si>
    <t>Baoshanvirus</t>
  </si>
  <si>
    <t>Staphylococcus phage phiSA_BS1</t>
  </si>
  <si>
    <t>phiSA_BS1</t>
  </si>
  <si>
    <t>MH078572</t>
  </si>
  <si>
    <t>Staphylococcus phage phiSA_BS2</t>
  </si>
  <si>
    <t>phiSA_BS2</t>
  </si>
  <si>
    <t>MH028956</t>
  </si>
  <si>
    <t>Kayvirus</t>
  </si>
  <si>
    <t>Staphylococcus phage G1</t>
  </si>
  <si>
    <t>AY954969</t>
  </si>
  <si>
    <t>Staphylococcus phage 676Z</t>
  </si>
  <si>
    <t>Staphylococcus phage A3R</t>
  </si>
  <si>
    <t>Staphylococcus phage A5W</t>
  </si>
  <si>
    <t>Staphylococcus phage Fi200W</t>
  </si>
  <si>
    <t>Staphylococcus phage IME-SA1</t>
  </si>
  <si>
    <t>Staphylococcus phage IME-SA118</t>
  </si>
  <si>
    <t>Staphylococcus phage IME-SA119</t>
  </si>
  <si>
    <t>Staphylococcus phage IME-SA2</t>
  </si>
  <si>
    <t>Staphylococcus phage ISP</t>
  </si>
  <si>
    <t>Staphylococcus phage MSA6</t>
  </si>
  <si>
    <t>Staphylococcus phage P4W</t>
  </si>
  <si>
    <t>Staphylococcus phage SA5</t>
  </si>
  <si>
    <t>Staphylococcus phage Staph1N</t>
  </si>
  <si>
    <t>Staphylococcus phage Team1</t>
  </si>
  <si>
    <t>Staphylococcus phage G15</t>
  </si>
  <si>
    <t>JQ686190</t>
  </si>
  <si>
    <t>Staphylococcus phage JD007</t>
  </si>
  <si>
    <t>JX878671</t>
  </si>
  <si>
    <t>Staphylococcus phage K</t>
  </si>
  <si>
    <t>KF766114</t>
  </si>
  <si>
    <t>Staphylococcus phage MCE-2014</t>
  </si>
  <si>
    <t>KJ888149</t>
  </si>
  <si>
    <t>Staphylococcus phage P108</t>
  </si>
  <si>
    <t>KM216423</t>
  </si>
  <si>
    <t>Staphylococcus phage phiIPLA-RODI</t>
  </si>
  <si>
    <t>KP027446</t>
  </si>
  <si>
    <t>Staphylococcus phage S25-3</t>
  </si>
  <si>
    <t>AB853330</t>
  </si>
  <si>
    <t>Staphylococcus phage S25-4</t>
  </si>
  <si>
    <t>AB853331</t>
  </si>
  <si>
    <t>Staphylococcus phage phiSA12</t>
  </si>
  <si>
    <t>AB903967</t>
  </si>
  <si>
    <t>Staphylococcus phage Sb-1</t>
  </si>
  <si>
    <t>HQ163896</t>
  </si>
  <si>
    <t>Sciuriunavirus</t>
  </si>
  <si>
    <t>Staphylococcus phage vB_SscM-1</t>
  </si>
  <si>
    <t>KX171212</t>
  </si>
  <si>
    <t>Sepunavirus</t>
  </si>
  <si>
    <t>Staphylococcus phage vB_SepM_ phiIPLA-C1C</t>
  </si>
  <si>
    <t>KP027447</t>
  </si>
  <si>
    <t>Staphylococcus phage phiIBB-SEP1</t>
  </si>
  <si>
    <t>KF021268</t>
  </si>
  <si>
    <t>Silviavirus</t>
  </si>
  <si>
    <t>Staphylococcus phage vB_SauM_Remus</t>
  </si>
  <si>
    <t>JX846612</t>
  </si>
  <si>
    <t>Staphylococcus phage vB_SauM_Romulus</t>
  </si>
  <si>
    <t>Staphylococcus phage SA11</t>
  </si>
  <si>
    <t>JX194239</t>
  </si>
  <si>
    <t>Staphylococcus phage Stau2</t>
  </si>
  <si>
    <t>KP881332</t>
  </si>
  <si>
    <t>Twortvirus</t>
  </si>
  <si>
    <t>Staphylococcus phage Twort</t>
  </si>
  <si>
    <t>AY954970</t>
  </si>
  <si>
    <t>Kleczkowskaviridae</t>
  </si>
  <si>
    <t>Cuauhnahuacvirus</t>
  </si>
  <si>
    <t>Rhizobium phage RHph_TM30</t>
  </si>
  <si>
    <t>MN988521</t>
  </si>
  <si>
    <t>Rhizobium phage RHph_Y65</t>
  </si>
  <si>
    <t>MN988525</t>
  </si>
  <si>
    <t>Kyanoviridae</t>
  </si>
  <si>
    <t>Acionnavirus</t>
  </si>
  <si>
    <t>Synechococcus phage S-MbCM100</t>
  </si>
  <si>
    <t>KF156340</t>
  </si>
  <si>
    <t>Ahtivirus</t>
  </si>
  <si>
    <t>Synechococcus phage S-ShM2</t>
  </si>
  <si>
    <t>GU071096</t>
  </si>
  <si>
    <t>Alisovirus</t>
  </si>
  <si>
    <t>Synechococcus phage S-CAM22</t>
  </si>
  <si>
    <t>KU686207</t>
  </si>
  <si>
    <t>Anaposvirus</t>
  </si>
  <si>
    <t>Synechococcus phage S-CAM1</t>
  </si>
  <si>
    <t>HQ634177</t>
  </si>
  <si>
    <t>Atlauavirus</t>
  </si>
  <si>
    <t>Synechococcus phage ACG-2014f_Syn7803C7</t>
  </si>
  <si>
    <t>KJ019052</t>
  </si>
  <si>
    <t>Synechococcus phage ACG-2014f_Syn7803US26</t>
  </si>
  <si>
    <t>KJ019091</t>
  </si>
  <si>
    <t>Synechococcus phage ACG-2014f_Syn7803C8</t>
  </si>
  <si>
    <t>KJ019058</t>
  </si>
  <si>
    <t>Bellamyvirus</t>
  </si>
  <si>
    <t>Synechococcus phage Bellamy</t>
  </si>
  <si>
    <t>MF351863</t>
  </si>
  <si>
    <t>Bristolvirus</t>
  </si>
  <si>
    <t>Cyanophage S-RIM32</t>
  </si>
  <si>
    <t>KU594606</t>
  </si>
  <si>
    <t>Brizovirus</t>
  </si>
  <si>
    <t>Cyanophage S-RIM12 isolate RW_01_0310</t>
  </si>
  <si>
    <t>KX349310</t>
  </si>
  <si>
    <t>Cyanophage S-RIM12 isolate RW_06_0310</t>
  </si>
  <si>
    <t>KX349313</t>
  </si>
  <si>
    <t>Prochlorococcus phage Syn33</t>
  </si>
  <si>
    <t>GU071108</t>
  </si>
  <si>
    <t>Chalconvirus</t>
  </si>
  <si>
    <t>Synechococcus phage ACG-2014e</t>
  </si>
  <si>
    <t>KJ019054</t>
  </si>
  <si>
    <t>Synechococcus phage ACG-2014i</t>
  </si>
  <si>
    <t>KJ019082</t>
  </si>
  <si>
    <t>Charybdisvirus</t>
  </si>
  <si>
    <t>Synechococcus phage S-CAM3</t>
  </si>
  <si>
    <t>KU686199</t>
  </si>
  <si>
    <t>Cymopoleiavirus</t>
  </si>
  <si>
    <t>Synechococcus phage S-WAM2</t>
  </si>
  <si>
    <t>0810PA29</t>
  </si>
  <si>
    <t>KU686211</t>
  </si>
  <si>
    <t>Emcearvirus</t>
  </si>
  <si>
    <t>Cyanophage P-RSM1</t>
  </si>
  <si>
    <t>HQ634175</t>
  </si>
  <si>
    <t>Galenevirus</t>
  </si>
  <si>
    <t>Synechococcus phage metaG-MbCM1</t>
  </si>
  <si>
    <t>JN371769</t>
  </si>
  <si>
    <t>Gibbetvirus</t>
  </si>
  <si>
    <t>Synechococcus phage S-RSM4</t>
  </si>
  <si>
    <t>FM207411</t>
  </si>
  <si>
    <t>Glaucusvirus</t>
  </si>
  <si>
    <t>Synechococcus phage S-SSM5</t>
  </si>
  <si>
    <t>GU071097</t>
  </si>
  <si>
    <t>Greenvirus</t>
  </si>
  <si>
    <t>Synechococcus phage S-SSM4</t>
  </si>
  <si>
    <t>HQ316583</t>
  </si>
  <si>
    <t>Haifavirus</t>
  </si>
  <si>
    <t>Prochlorococcus phage P-TIM68</t>
  </si>
  <si>
    <t>KM359505</t>
  </si>
  <si>
    <t>Huanghaivirus</t>
  </si>
  <si>
    <t>Synechococcus phage S-N03</t>
  </si>
  <si>
    <t>MT162466</t>
  </si>
  <si>
    <t>Kanaloavirus</t>
  </si>
  <si>
    <t>Synechococcus phage S-CAM9</t>
  </si>
  <si>
    <t>1109NB16</t>
  </si>
  <si>
    <t>KU686206</t>
  </si>
  <si>
    <t>Leucotheavirus</t>
  </si>
  <si>
    <t>Synechococcus phage S-P4</t>
  </si>
  <si>
    <t>MH920639</t>
  </si>
  <si>
    <t>Synechococcus phage Syn30</t>
  </si>
  <si>
    <t>HQ634189</t>
  </si>
  <si>
    <t>Libanvirus</t>
  </si>
  <si>
    <t>Cyanophage P-TIM40</t>
  </si>
  <si>
    <t>KP211958</t>
  </si>
  <si>
    <t>Lipsvirus</t>
  </si>
  <si>
    <t>Synechococcus phage S-SSM7</t>
  </si>
  <si>
    <t>GU071098</t>
  </si>
  <si>
    <t>Lowelvirus</t>
  </si>
  <si>
    <t>Synechococcus phage ACG-2014d</t>
  </si>
  <si>
    <t>KJ019028</t>
  </si>
  <si>
    <t>Macariavirus</t>
  </si>
  <si>
    <t>Synechococcus phage ACG-2014g</t>
  </si>
  <si>
    <t>KJ019071</t>
  </si>
  <si>
    <t>Makaravirus</t>
  </si>
  <si>
    <t>Synechococcus phage S-H34</t>
  </si>
  <si>
    <t>MT162467</t>
  </si>
  <si>
    <t>Makelovirus</t>
  </si>
  <si>
    <t>Synechococcus virus S-PRM1</t>
  </si>
  <si>
    <t>MH629685</t>
  </si>
  <si>
    <t>Mazuvirus</t>
  </si>
  <si>
    <t>Synechococcus phage S-CAM7 isolate 0910CC49</t>
  </si>
  <si>
    <t>KU686212</t>
  </si>
  <si>
    <t>Namakavirus</t>
  </si>
  <si>
    <t>Synechococcus phage S-MbCM6</t>
  </si>
  <si>
    <t>JN371768</t>
  </si>
  <si>
    <t>Neptunevirus</t>
  </si>
  <si>
    <t>Synechococcus phage S-RIM8</t>
  </si>
  <si>
    <t>RW_22_0300</t>
  </si>
  <si>
    <t>KX349289</t>
  </si>
  <si>
    <t>Cyanophage S-RIM50</t>
  </si>
  <si>
    <t>RW_29_0704</t>
  </si>
  <si>
    <t>KU594605</t>
  </si>
  <si>
    <t>Nereusvirus</t>
  </si>
  <si>
    <t>Synechococcus phage ACG-2014b</t>
  </si>
  <si>
    <t>Syn9311C4</t>
  </si>
  <si>
    <t>KJ019133</t>
  </si>
  <si>
    <t>Syn7803C61</t>
  </si>
  <si>
    <t>KJ019040</t>
  </si>
  <si>
    <t>Neritesvirus</t>
  </si>
  <si>
    <t>Synechococcus phage S-CAM8</t>
  </si>
  <si>
    <t>HQ634178</t>
  </si>
  <si>
    <t>Nerrivikvirus</t>
  </si>
  <si>
    <t>Synechococcus phage S-RIM2 R1_1999</t>
  </si>
  <si>
    <t>HQ317292</t>
  </si>
  <si>
    <t>Nilusvirus</t>
  </si>
  <si>
    <t>Synechococcus phage S-SM2</t>
  </si>
  <si>
    <t>GU071095</t>
  </si>
  <si>
    <t>Nodensvirus</t>
  </si>
  <si>
    <t>Bacteriophage S-PM2</t>
  </si>
  <si>
    <t>AJ630128</t>
  </si>
  <si>
    <t>Ormenosvirus</t>
  </si>
  <si>
    <t>Synechococcus phage syn9</t>
  </si>
  <si>
    <t>DQ149023</t>
  </si>
  <si>
    <t>Palaemonvirus</t>
  </si>
  <si>
    <t>Prochlorococcus phage P-SSM7</t>
  </si>
  <si>
    <t>GU071103</t>
  </si>
  <si>
    <t>Pontusvirus</t>
  </si>
  <si>
    <t>Synechococcus phage Syn19</t>
  </si>
  <si>
    <t>GU071106</t>
  </si>
  <si>
    <t>Potamoivirus</t>
  </si>
  <si>
    <t>Synechococcus phage S-CAM4</t>
  </si>
  <si>
    <t>KU686201</t>
  </si>
  <si>
    <t>Synechococcus phage ACG-2014j</t>
  </si>
  <si>
    <t>KJ019089</t>
  </si>
  <si>
    <t>Ronodorvirus</t>
  </si>
  <si>
    <t>Prochlorococcus phage P-SSM3</t>
  </si>
  <si>
    <t>HQ337021</t>
  </si>
  <si>
    <t>Prochlorococcus phage P-SSM4</t>
  </si>
  <si>
    <t>AY940168</t>
  </si>
  <si>
    <t>Salacisavirus</t>
  </si>
  <si>
    <t>Prochlorococcus phage P-SSM2</t>
  </si>
  <si>
    <t>AY939844</t>
  </si>
  <si>
    <t>Scyllavirus</t>
  </si>
  <si>
    <t>Synechococcus phage S-H9-1</t>
  </si>
  <si>
    <t>MW117966</t>
  </si>
  <si>
    <t>Sedonavirus</t>
  </si>
  <si>
    <t>Synechococcus phage ACG-2014h</t>
  </si>
  <si>
    <t>KF156338</t>
  </si>
  <si>
    <t>Serangoonvirus</t>
  </si>
  <si>
    <t>Synechococcus phage S-SRM01</t>
  </si>
  <si>
    <t>MW015081</t>
  </si>
  <si>
    <t>Shandvirus</t>
  </si>
  <si>
    <t>Synechococcus phage S-B64</t>
  </si>
  <si>
    <t>MH107246</t>
  </si>
  <si>
    <t>Synechococcus phage S-H35</t>
  </si>
  <si>
    <t>KY945241</t>
  </si>
  <si>
    <t>Shenzhenivirus</t>
  </si>
  <si>
    <t>Synechococcus phage S-SZBM1</t>
  </si>
  <si>
    <t>OL473597</t>
  </si>
  <si>
    <t>Sokavirus</t>
  </si>
  <si>
    <t>Synechococcus phage S-WAM1</t>
  </si>
  <si>
    <t>KU686210</t>
  </si>
  <si>
    <t>Tamkungvirus</t>
  </si>
  <si>
    <t>Synechococcus phage S-T4</t>
  </si>
  <si>
    <t>MH412654</t>
  </si>
  <si>
    <t>Tefnutvirus</t>
  </si>
  <si>
    <t>Synechococcus phage S-IOM18</t>
  </si>
  <si>
    <t>HQ317383</t>
  </si>
  <si>
    <t>Thaumasvirus</t>
  </si>
  <si>
    <t>Cyanophage S-TIM4</t>
  </si>
  <si>
    <t>MH512890</t>
  </si>
  <si>
    <t>Thetisvirus</t>
  </si>
  <si>
    <t>Synechococcus phage S-SM1</t>
  </si>
  <si>
    <t>GU071094</t>
  </si>
  <si>
    <t>Vellamovirus</t>
  </si>
  <si>
    <t>Cyanophage S-RIM44</t>
  </si>
  <si>
    <t>Np_42_0711</t>
  </si>
  <si>
    <t>KX349294</t>
  </si>
  <si>
    <t>Prochlorococcus phage Syn1</t>
  </si>
  <si>
    <t>GU071105</t>
  </si>
  <si>
    <t>Yellowseavirus</t>
  </si>
  <si>
    <t>Synechococcus phage S-H38</t>
  </si>
  <si>
    <t>MW117965</t>
  </si>
  <si>
    <t>Yushanluvirus</t>
  </si>
  <si>
    <t>Synechococcus phage S-H9-2</t>
  </si>
  <si>
    <t>MW147367</t>
  </si>
  <si>
    <t>Zhoulongquanvirus</t>
  </si>
  <si>
    <t>Synechococcus phage S-SCSM1</t>
  </si>
  <si>
    <t>MK867354</t>
  </si>
  <si>
    <t>Madisaviridae</t>
  </si>
  <si>
    <t>Clampvirus</t>
  </si>
  <si>
    <t>Haloarcula hispanica tailed virus 1</t>
  </si>
  <si>
    <t>HHTV-1</t>
  </si>
  <si>
    <t>KC292025</t>
  </si>
  <si>
    <t>Mesyanzhinovviridae</t>
  </si>
  <si>
    <t>Keylargovirus</t>
  </si>
  <si>
    <t>Alphaproteobacteria phage PhiJL001</t>
  </si>
  <si>
    <t>AY576273</t>
  </si>
  <si>
    <t>Bradleyvirinae</t>
  </si>
  <si>
    <t>Abidjanvirus</t>
  </si>
  <si>
    <t>Pseudomonas phage ZC01</t>
  </si>
  <si>
    <t>KU356689</t>
  </si>
  <si>
    <t>Pseudomonas phage vB_PaeS_PAO1_Ab18</t>
  </si>
  <si>
    <t>LN610577</t>
  </si>
  <si>
    <t>Pseudomonas phage vB_PaeS_PAO1_Ab19</t>
  </si>
  <si>
    <t>LN610584</t>
  </si>
  <si>
    <t>Pseudomonas phage PaMx11</t>
  </si>
  <si>
    <t>JQ067087</t>
  </si>
  <si>
    <t>Bosavirus</t>
  </si>
  <si>
    <t>Xanthomonas phage Bosa</t>
  </si>
  <si>
    <t>LR743532</t>
  </si>
  <si>
    <t>Epaquintavirus</t>
  </si>
  <si>
    <t>Pseudomonas phage Epa5</t>
  </si>
  <si>
    <t>MT108725</t>
  </si>
  <si>
    <t>Xooduovirus</t>
  </si>
  <si>
    <t>Xanthomonas phage Xoo-sp2</t>
  </si>
  <si>
    <t>KX241618</t>
  </si>
  <si>
    <t>Rabinowitzvirinae</t>
  </si>
  <si>
    <t>Vojvodinavirus</t>
  </si>
  <si>
    <t>Bordetella phage CN1</t>
  </si>
  <si>
    <t>KY000218</t>
  </si>
  <si>
    <t>Bordetella phage CN2</t>
  </si>
  <si>
    <t>KY000219</t>
  </si>
  <si>
    <t>Bordetella phage FP1</t>
  </si>
  <si>
    <t>KY000220</t>
  </si>
  <si>
    <t>Bordetella phage MW2</t>
  </si>
  <si>
    <t>KY000221</t>
  </si>
  <si>
    <t>Yuavirus</t>
  </si>
  <si>
    <t>Pseudomonas phage LKO4</t>
  </si>
  <si>
    <t>KC758116</t>
  </si>
  <si>
    <t>Pseudomonas phage M6</t>
  </si>
  <si>
    <t>DQ163916</t>
  </si>
  <si>
    <t>Pseudomonas phage MP1412</t>
  </si>
  <si>
    <t>JX131330</t>
  </si>
  <si>
    <t>Pseudomonas phage PAE1</t>
  </si>
  <si>
    <t>KT734862</t>
  </si>
  <si>
    <t>Pseudomonas phage YuA</t>
  </si>
  <si>
    <t>AM749441</t>
  </si>
  <si>
    <t>Molycolviridae</t>
  </si>
  <si>
    <t>Mollyvirus</t>
  </si>
  <si>
    <t>Maribacter phage Colly_1</t>
  </si>
  <si>
    <t>Colly_1</t>
  </si>
  <si>
    <t>MT732450</t>
  </si>
  <si>
    <t>Maribacter phage Molly_1</t>
  </si>
  <si>
    <t>Molly_1</t>
  </si>
  <si>
    <t>MT732451</t>
  </si>
  <si>
    <t>Naomviridae</t>
  </si>
  <si>
    <t>Noahvirus</t>
  </si>
  <si>
    <t>Bacteriophage DSS3_VP1</t>
  </si>
  <si>
    <t>MN602266</t>
  </si>
  <si>
    <t>Orlajensenviridae</t>
  </si>
  <si>
    <t>Pelczarvirinae</t>
  </si>
  <si>
    <t>Bonaevitaevirus</t>
  </si>
  <si>
    <t>Microbacterium phage BonaeVitae</t>
  </si>
  <si>
    <t>MH045556</t>
  </si>
  <si>
    <t>Efekovirus</t>
  </si>
  <si>
    <t>Microbacterium phage Efeko</t>
  </si>
  <si>
    <t>MH825700</t>
  </si>
  <si>
    <t>Paopuvirus</t>
  </si>
  <si>
    <t>Microbacterium phage Azizam</t>
  </si>
  <si>
    <t>MN585990</t>
  </si>
  <si>
    <t>Microbacterium phage Bri160</t>
  </si>
  <si>
    <t>MT521990</t>
  </si>
  <si>
    <t>Microbacterium phage Kaijohn</t>
  </si>
  <si>
    <t>MN369745</t>
  </si>
  <si>
    <t>Microbacterium phage Nobel</t>
  </si>
  <si>
    <t>MT310864</t>
  </si>
  <si>
    <t>Microbacterium phage Noelani</t>
  </si>
  <si>
    <t>MH399783</t>
  </si>
  <si>
    <t>Microbacterium phage PaoPu</t>
  </si>
  <si>
    <t>MH045561</t>
  </si>
  <si>
    <t>Microbacterium phage PoRanda</t>
  </si>
  <si>
    <t>MT498065</t>
  </si>
  <si>
    <t>Microbacterium phage Quaker</t>
  </si>
  <si>
    <t>MH371111</t>
  </si>
  <si>
    <t>Microbacterium phage Scamander</t>
  </si>
  <si>
    <t>MH576963</t>
  </si>
  <si>
    <t>Pachyviridae</t>
  </si>
  <si>
    <t>Bacelvirus</t>
  </si>
  <si>
    <t>Cellulophaga phage phi46:3</t>
  </si>
  <si>
    <t>phi46:3</t>
  </si>
  <si>
    <t>KC821622</t>
  </si>
  <si>
    <t>Baltivirus</t>
  </si>
  <si>
    <t>Cellulophaga phage phi13:2</t>
  </si>
  <si>
    <t>phi13:2</t>
  </si>
  <si>
    <t>KC821633</t>
  </si>
  <si>
    <t>Cellulophaga phage phi18:3</t>
  </si>
  <si>
    <t>phi18:3</t>
  </si>
  <si>
    <t>KC821620</t>
  </si>
  <si>
    <t>Cellulophaga phage phi19:3</t>
  </si>
  <si>
    <t>phi19:3</t>
  </si>
  <si>
    <t>KC821608</t>
  </si>
  <si>
    <t>Gundelvirus</t>
  </si>
  <si>
    <t>Tenacibaculum phage Gundel_1</t>
  </si>
  <si>
    <t>Gundel_1</t>
  </si>
  <si>
    <t>MT732474</t>
  </si>
  <si>
    <t>Peduoviridae</t>
  </si>
  <si>
    <t>Aptresvirus</t>
  </si>
  <si>
    <t>Burkholderia phage AP3</t>
  </si>
  <si>
    <t>KP966108</t>
  </si>
  <si>
    <t>Burkholderia phage Mana</t>
  </si>
  <si>
    <t>MT701591</t>
  </si>
  <si>
    <t>Aresaunavirus</t>
  </si>
  <si>
    <t>Ralstonia phage RSA1</t>
  </si>
  <si>
    <t>AB276040</t>
  </si>
  <si>
    <t>Ralstonia phage RsoM1USA</t>
  </si>
  <si>
    <t>MG747435</t>
  </si>
  <si>
    <t>Arsenicumvirus</t>
  </si>
  <si>
    <t>Shewanella phage vB_SspM_M16-3</t>
  </si>
  <si>
    <t>MZ568829</t>
  </si>
  <si>
    <t>Arsyunavirus</t>
  </si>
  <si>
    <t>Ralstonia phage RSY1</t>
  </si>
  <si>
    <t>AB981169</t>
  </si>
  <si>
    <t>Baylorvirus</t>
  </si>
  <si>
    <t>Mannheimia phage vB_MhM_1127AP1</t>
  </si>
  <si>
    <t>KP137436</t>
  </si>
  <si>
    <t>Mannheimia phage PHL101</t>
  </si>
  <si>
    <t>DQ426904</t>
  </si>
  <si>
    <t>Bielevirus</t>
  </si>
  <si>
    <t>Aeromonas phage phiO18P</t>
  </si>
  <si>
    <t>DQ674738</t>
  </si>
  <si>
    <t>Bracchivirus</t>
  </si>
  <si>
    <t>Uncultured Caudovirales phage clone 2F_1</t>
  </si>
  <si>
    <t>MF417929</t>
  </si>
  <si>
    <t>Canoevirus</t>
  </si>
  <si>
    <t>Vibrio phage 1.202.O._10N.222.45.E8</t>
  </si>
  <si>
    <t>MG592573</t>
  </si>
  <si>
    <t>Catalunyavirus</t>
  </si>
  <si>
    <t>Pseudoalteromonas phage C5a</t>
  </si>
  <si>
    <t>KY045851</t>
  </si>
  <si>
    <t>Citexvirus</t>
  </si>
  <si>
    <t>Pseudomonas phage vB_Pae_BR319a</t>
  </si>
  <si>
    <t>MK511066</t>
  </si>
  <si>
    <t>Pseudomonas phage Dobby</t>
  </si>
  <si>
    <t>MK034952</t>
  </si>
  <si>
    <t>Pseudomonas phage phiCTX</t>
  </si>
  <si>
    <t>AB008550</t>
  </si>
  <si>
    <t>Pseudomonas aeruginosa PS75 adTyT-supercont1.7</t>
  </si>
  <si>
    <t>KK213166</t>
  </si>
  <si>
    <t>Dagavirus</t>
  </si>
  <si>
    <t>Klebsiella phage ST13-OXA48phi12.1</t>
  </si>
  <si>
    <t>MK422453</t>
  </si>
  <si>
    <t>Duodecimduovirus</t>
  </si>
  <si>
    <t>Burkholderia phage phiE12-2</t>
  </si>
  <si>
    <t>CP000624</t>
  </si>
  <si>
    <t>Duonihilunusvirus</t>
  </si>
  <si>
    <t>Yersinia phage vB_YenM_06.16-2</t>
  </si>
  <si>
    <t>OM046626</t>
  </si>
  <si>
    <t>Yersinia phage vB_YenM_201.16</t>
  </si>
  <si>
    <t>OM046628</t>
  </si>
  <si>
    <t>Yersinia phage vB_YenM_56.17</t>
  </si>
  <si>
    <t>OM046627</t>
  </si>
  <si>
    <t>Eganvirus</t>
  </si>
  <si>
    <t>Salmonella phage BIS20</t>
  </si>
  <si>
    <t>MZ520833</t>
  </si>
  <si>
    <t>Erwinia phage EtG</t>
  </si>
  <si>
    <t>MF276773</t>
  </si>
  <si>
    <t>Escherichia phage 186</t>
  </si>
  <si>
    <t>U32222</t>
  </si>
  <si>
    <t>Salmonella phage PsP3</t>
  </si>
  <si>
    <t>AY135486</t>
  </si>
  <si>
    <t>Salmonella phage SEN1</t>
  </si>
  <si>
    <t>KT630644</t>
  </si>
  <si>
    <t>Salmonella phage SW9</t>
  </si>
  <si>
    <t>MK972711</t>
  </si>
  <si>
    <t>Elveevirus</t>
  </si>
  <si>
    <t>Klebsiella phage 4LV2017</t>
  </si>
  <si>
    <t>KY271398</t>
  </si>
  <si>
    <t>Escherichia phage Cartapus</t>
  </si>
  <si>
    <t>OV696611</t>
  </si>
  <si>
    <t>Entnonagintavirus</t>
  </si>
  <si>
    <t>Erwinia phage ENT90</t>
  </si>
  <si>
    <t>HQ110084</t>
  </si>
  <si>
    <t>Evevirus</t>
  </si>
  <si>
    <t>Escherichia phage ESSI2_ev239</t>
  </si>
  <si>
    <t>LR597637</t>
  </si>
  <si>
    <t>Felsduovirus</t>
  </si>
  <si>
    <t>Salmonella phage Fels2</t>
  </si>
  <si>
    <t>AE006468 (2844298.2877981)</t>
  </si>
  <si>
    <t>Salmonella enterica strain CFSAN071991 CFSAN071991_24</t>
  </si>
  <si>
    <t>QUVN01000024</t>
  </si>
  <si>
    <t>Salmonella phage RE2010</t>
  </si>
  <si>
    <t>HM770079</t>
  </si>
  <si>
    <t>Salmonella phage SEN8</t>
  </si>
  <si>
    <t>KT630647</t>
  </si>
  <si>
    <t>Salmonella phage SopEphi</t>
  </si>
  <si>
    <t>AY319521</t>
  </si>
  <si>
    <t>Finvirus</t>
  </si>
  <si>
    <t>Arsenophonus nasoniae strain FIN plasmid pArsFIN13</t>
  </si>
  <si>
    <t>CP038625</t>
  </si>
  <si>
    <t>Firavirus</t>
  </si>
  <si>
    <t>Yersinia phage vB_YenM_42.18</t>
  </si>
  <si>
    <t>OM046624</t>
  </si>
  <si>
    <t>Gegavirus</t>
  </si>
  <si>
    <t>Klebsiella phage ST15-OXA48phi14.1</t>
  </si>
  <si>
    <t>MK433578</t>
  </si>
  <si>
    <t>Gegevirus</t>
  </si>
  <si>
    <t>Klebsiella phage ST437-OXA245phi4.1</t>
  </si>
  <si>
    <t>MK416011</t>
  </si>
  <si>
    <t>Gemsvirus</t>
  </si>
  <si>
    <t>Escherichia phage 500465-2</t>
  </si>
  <si>
    <t>CP025901</t>
  </si>
  <si>
    <t>Graikaemvirus</t>
  </si>
  <si>
    <t>Yersinia phage vB_YenM_31.17</t>
  </si>
  <si>
    <t>OM140653</t>
  </si>
  <si>
    <t>Hpunavirus</t>
  </si>
  <si>
    <t>Haemophilus phage HP1</t>
  </si>
  <si>
    <t>U24159</t>
  </si>
  <si>
    <t>Haemophilus phage HP2</t>
  </si>
  <si>
    <t>AY027935</t>
  </si>
  <si>
    <t>Irrigatiovirus</t>
  </si>
  <si>
    <t>Salmonella phage SI7</t>
  </si>
  <si>
    <t>MK972712</t>
  </si>
  <si>
    <t>Irtavirus</t>
  </si>
  <si>
    <t>Pasteurella phage F108</t>
  </si>
  <si>
    <t>DQ114220</t>
  </si>
  <si>
    <t>Kapieceevirus</t>
  </si>
  <si>
    <t>Klebsiella phage ST512-KPC3phi13.2</t>
  </si>
  <si>
    <t>MK422449</t>
  </si>
  <si>
    <t>Kayeltresvirus</t>
  </si>
  <si>
    <t>Burkholderia phage KL3</t>
  </si>
  <si>
    <t>GU911304</t>
  </si>
  <si>
    <t>Kisquattuordecimvirus</t>
  </si>
  <si>
    <t>Burkholderia phage FLC10</t>
  </si>
  <si>
    <t>LC667452</t>
  </si>
  <si>
    <t>Burkholderia phage FLC5 DNA</t>
  </si>
  <si>
    <t>LC528882</t>
  </si>
  <si>
    <t>Burkholderia phage KS14</t>
  </si>
  <si>
    <t>HM461982</t>
  </si>
  <si>
    <t>Kisquinquevirus</t>
  </si>
  <si>
    <t>Burkholderia phage KS5</t>
  </si>
  <si>
    <t>GU911303</t>
  </si>
  <si>
    <t>Longwoodvirus</t>
  </si>
  <si>
    <t>Bacteriophage K139</t>
  </si>
  <si>
    <t>AF125163</t>
  </si>
  <si>
    <t>Maltschvirus</t>
  </si>
  <si>
    <t>uncultured Caudovirales phage</t>
  </si>
  <si>
    <t>LR797314</t>
  </si>
  <si>
    <t>Mersinvirus</t>
  </si>
  <si>
    <t>Pseudomonas sp. S4_EA_1b YA0848_38</t>
  </si>
  <si>
    <t>JAEILC010000038</t>
  </si>
  <si>
    <t>Nampongvirus</t>
  </si>
  <si>
    <t>Burkholderia phage ST79</t>
  </si>
  <si>
    <t>KC462197</t>
  </si>
  <si>
    <t>Novemvirus</t>
  </si>
  <si>
    <t>Enterobacter phage phiT5282H</t>
  </si>
  <si>
    <t>MG589387</t>
  </si>
  <si>
    <t>Peduovirus</t>
  </si>
  <si>
    <t>Escherichia phage 11W</t>
  </si>
  <si>
    <t>OM475429</t>
  </si>
  <si>
    <t>Escherichia phage AC1</t>
  </si>
  <si>
    <t>OV192280</t>
  </si>
  <si>
    <t>Escherichia phage DC1</t>
  </si>
  <si>
    <t>OU784750</t>
  </si>
  <si>
    <t>Enterobacteria phage fiAA91-ss</t>
  </si>
  <si>
    <t>KF322032</t>
  </si>
  <si>
    <t>Yersinia phage HQ103</t>
  </si>
  <si>
    <t>MZ420230</t>
  </si>
  <si>
    <t>Yersinia phage L-413C</t>
  </si>
  <si>
    <t>AY251033</t>
  </si>
  <si>
    <t>Escherichia phage P2</t>
  </si>
  <si>
    <t>KC618326</t>
  </si>
  <si>
    <t>Bacteriophage P2</t>
  </si>
  <si>
    <t>P2</t>
  </si>
  <si>
    <t>AF063097</t>
  </si>
  <si>
    <t>Escherichia phage P2_2H1</t>
  </si>
  <si>
    <t>LR595870</t>
  </si>
  <si>
    <t>Escherichia phage P2_2H4</t>
  </si>
  <si>
    <t>LR595869</t>
  </si>
  <si>
    <t>Escherichia phage P2_4A7b</t>
  </si>
  <si>
    <t>LR595887</t>
  </si>
  <si>
    <t>Escherichia phage P2_4B2</t>
  </si>
  <si>
    <t>LR595873</t>
  </si>
  <si>
    <t>Escherichia phage P2_4C9</t>
  </si>
  <si>
    <t>LR595883</t>
  </si>
  <si>
    <t>Escherichia phage P2_4E6b</t>
  </si>
  <si>
    <t>LR595885</t>
  </si>
  <si>
    <t>Yersinia phage P37</t>
  </si>
  <si>
    <t>MT239398</t>
  </si>
  <si>
    <t>Escherichia phage pro147</t>
  </si>
  <si>
    <t>KR073660</t>
  </si>
  <si>
    <t>Escherichia phage pro483</t>
  </si>
  <si>
    <t>KR073661</t>
  </si>
  <si>
    <t>Escherichia phage vB_EcoM-12474III</t>
  </si>
  <si>
    <t>MK907237</t>
  </si>
  <si>
    <t>Bacteriophage R18C</t>
  </si>
  <si>
    <t>MN016939</t>
  </si>
  <si>
    <t>Escherichia phage SIAC10</t>
  </si>
  <si>
    <t>OU784549</t>
  </si>
  <si>
    <t>Escherichia phage SIDE7</t>
  </si>
  <si>
    <t>OU784746</t>
  </si>
  <si>
    <t>Salmonella enterica subsp. enterica serovar Typhi strain Salmonella Typhi Prophage STYP1</t>
  </si>
  <si>
    <t>KX833211</t>
  </si>
  <si>
    <t>Escherichia phage Wphi</t>
  </si>
  <si>
    <t>AY135739</t>
  </si>
  <si>
    <t>Yersinia phage vB_YpM_22</t>
  </si>
  <si>
    <t>MT374855</t>
  </si>
  <si>
    <t>Yersinia phage vB_YpM_46</t>
  </si>
  <si>
    <t>MT374857</t>
  </si>
  <si>
    <t>Yersinia phage vB_YpM_50</t>
  </si>
  <si>
    <t>MT374858</t>
  </si>
  <si>
    <t>Phitrevirus</t>
  </si>
  <si>
    <t>Pseudomonas phage phi3</t>
  </si>
  <si>
    <t>KT887559</t>
  </si>
  <si>
    <t>Piscesmortuivirus</t>
  </si>
  <si>
    <t>Aeromonas phage vB_AsaM_LPM4</t>
  </si>
  <si>
    <t>OL348188</t>
  </si>
  <si>
    <t>Playavirus</t>
  </si>
  <si>
    <t>Salinivibrio phage SMHB1</t>
  </si>
  <si>
    <t>KX774374</t>
  </si>
  <si>
    <t>Plazymidvirus</t>
  </si>
  <si>
    <t>Zymomonas mobilis subsp. mobilis strain ZM4 substr. 2032 plasmid pZM36</t>
  </si>
  <si>
    <t>CP023680</t>
  </si>
  <si>
    <t>Zymomonas mobilis subsp. mobilis ZM4 plasmid pZZM401</t>
  </si>
  <si>
    <t>CP006891</t>
  </si>
  <si>
    <t>Zymomonas mobilis subsp. mobilis plasmid pZM41</t>
  </si>
  <si>
    <t>CP023686</t>
  </si>
  <si>
    <t>Quadragintavirus</t>
  </si>
  <si>
    <t>Escherichia phage ESSI2_ev015</t>
  </si>
  <si>
    <t>LR597649</t>
  </si>
  <si>
    <t>Escherichia phage ESSI2_ev040</t>
  </si>
  <si>
    <t>LR597638</t>
  </si>
  <si>
    <t>Escherichia phage ESSI2_ev129</t>
  </si>
  <si>
    <t>LR597640</t>
  </si>
  <si>
    <t>Reginaelenavirus</t>
  </si>
  <si>
    <t>Klebsiella phage 3LV2017</t>
  </si>
  <si>
    <t>KY271397</t>
  </si>
  <si>
    <t>Reipivirus</t>
  </si>
  <si>
    <t>Klebsiella phage ST16-OXA48phi5.4</t>
  </si>
  <si>
    <t>MK416015</t>
  </si>
  <si>
    <t>Sanguivirus</t>
  </si>
  <si>
    <t>Haematospirillum jordaniae strain H5569 plasmid unnamed 1</t>
  </si>
  <si>
    <t>CP014526</t>
  </si>
  <si>
    <t>Senquatrovirus</t>
  </si>
  <si>
    <t>Salmonella phage SEN4</t>
  </si>
  <si>
    <t>KT630645</t>
  </si>
  <si>
    <t>Seongnamvirus</t>
  </si>
  <si>
    <t>Cronobacter phage ESSI-2</t>
  </si>
  <si>
    <t>HQ110083</t>
  </si>
  <si>
    <t>Simpcentumvirus</t>
  </si>
  <si>
    <t>Stenotrophomonas phage Smp131</t>
  </si>
  <si>
    <t>JQ809663</t>
  </si>
  <si>
    <t>Salmonella phage FSLSP004</t>
  </si>
  <si>
    <t>KC139521</t>
  </si>
  <si>
    <t>Tigrvirus</t>
  </si>
  <si>
    <t>Burkholderia phage PhiBP82.2</t>
  </si>
  <si>
    <t>OM304382</t>
  </si>
  <si>
    <t>Burkholderia phage phiE202</t>
  </si>
  <si>
    <t>CP000623</t>
  </si>
  <si>
    <t>Burkholderia pseudomallei phage phi52237</t>
  </si>
  <si>
    <t>DQ087285</t>
  </si>
  <si>
    <t>Burkholderia phage phiE094</t>
  </si>
  <si>
    <t>MW072790</t>
  </si>
  <si>
    <t>Tresduoquattuorvirus</t>
  </si>
  <si>
    <t>Yersinia phage vB_YenM_324</t>
  </si>
  <si>
    <t>OM095401</t>
  </si>
  <si>
    <t>Valbvirus</t>
  </si>
  <si>
    <t>Vibrio phage ValB1MD-2</t>
  </si>
  <si>
    <t>MT662115</t>
  </si>
  <si>
    <t>Vimunumvirus</t>
  </si>
  <si>
    <t>Klebsiella phage ST147-VIM1phi7.1</t>
  </si>
  <si>
    <t>MK416018</t>
  </si>
  <si>
    <t>Vulnificusvirus</t>
  </si>
  <si>
    <t>Vibrio phage PV94</t>
  </si>
  <si>
    <t>HG803181</t>
  </si>
  <si>
    <t>Wadgaonvirus</t>
  </si>
  <si>
    <t>Escherichia coli strain 13P477T plasmid p13P477T-2</t>
  </si>
  <si>
    <t>CP019275</t>
  </si>
  <si>
    <t>Escherichia phage 500465-1</t>
  </si>
  <si>
    <t>CP025900</t>
  </si>
  <si>
    <t>Xuanwuvirus</t>
  </si>
  <si>
    <t>Escherichia phage P88</t>
  </si>
  <si>
    <t>KP063541</t>
  </si>
  <si>
    <t>Escherichia phage P88_4B11</t>
  </si>
  <si>
    <t>LR595891</t>
  </si>
  <si>
    <t>Escherichia phage 503458</t>
  </si>
  <si>
    <t>CP025874</t>
  </si>
  <si>
    <t>Escherichia phage 520873</t>
  </si>
  <si>
    <t>CP025923</t>
  </si>
  <si>
    <t>Yongunavirus</t>
  </si>
  <si>
    <t>Vibrio phage vB_ValM-yong1</t>
  </si>
  <si>
    <t>MN563793</t>
  </si>
  <si>
    <t>Yulgyerivirus</t>
  </si>
  <si>
    <t>Klebsiella pneumoniae strain E16KP0115 plasmid unnamed</t>
  </si>
  <si>
    <t>CP052639</t>
  </si>
  <si>
    <t>Pervagoviridae</t>
  </si>
  <si>
    <t>Callevirus</t>
  </si>
  <si>
    <t>Cellulophaga phage Calle_1</t>
  </si>
  <si>
    <t>Calle_1</t>
  </si>
  <si>
    <t>MT732432</t>
  </si>
  <si>
    <t>Cellulophaga phage phi38:1</t>
  </si>
  <si>
    <t>phi38:1</t>
  </si>
  <si>
    <t>KC821614</t>
  </si>
  <si>
    <t>Pootjesviridae</t>
  </si>
  <si>
    <t>Emnonavirus</t>
  </si>
  <si>
    <t>Sinorhizobium phage phiM9</t>
  </si>
  <si>
    <t>KP881232</t>
  </si>
  <si>
    <t>Heverleevirus</t>
  </si>
  <si>
    <t>Agrobacterium phage OLIVR5</t>
  </si>
  <si>
    <t>MT234342</t>
  </si>
  <si>
    <t>Innesvirus</t>
  </si>
  <si>
    <t>Rhizobium phage AF3</t>
  </si>
  <si>
    <t>MT778837</t>
  </si>
  <si>
    <t>Rhizobium phage vB_RleM_P10VF</t>
  </si>
  <si>
    <t>KM199770</t>
  </si>
  <si>
    <t>Rhizobium phage P9VFCI</t>
  </si>
  <si>
    <t>MT778839</t>
  </si>
  <si>
    <t>Rhizobium phage RL2RES</t>
  </si>
  <si>
    <t>MN549361</t>
  </si>
  <si>
    <t>Rhizobium phage RL38J1</t>
  </si>
  <si>
    <t>MN549360</t>
  </si>
  <si>
    <t>Rollinsvirus</t>
  </si>
  <si>
    <t>Agrobacterium phage Atu_ph04</t>
  </si>
  <si>
    <t>MF403007</t>
  </si>
  <si>
    <t>Staniewskivirinae</t>
  </si>
  <si>
    <t>Trinifflemingvirus</t>
  </si>
  <si>
    <t>Rhizobium phage RHph_I1_9</t>
  </si>
  <si>
    <t>MN988532</t>
  </si>
  <si>
    <t>Rhizobium phage RHph_N34</t>
  </si>
  <si>
    <t>MN988534</t>
  </si>
  <si>
    <t>Rhizobium phage RHph_Y68</t>
  </si>
  <si>
    <t>MN988486</t>
  </si>
  <si>
    <t>Pungoviridae</t>
  </si>
  <si>
    <t>Flagovirus</t>
  </si>
  <si>
    <t>Methanoculleus virus Blf4</t>
  </si>
  <si>
    <t>L4768</t>
  </si>
  <si>
    <t>MZ171369</t>
  </si>
  <si>
    <t>Rountreeviridae</t>
  </si>
  <si>
    <t>Fischettivirus</t>
  </si>
  <si>
    <t>Streptococcus phage C1</t>
  </si>
  <si>
    <t>AY212251</t>
  </si>
  <si>
    <t>Negarvirus</t>
  </si>
  <si>
    <t>Lactococcus phage WP-2</t>
  </si>
  <si>
    <t>KJ528544</t>
  </si>
  <si>
    <t>Rakietenvirinae</t>
  </si>
  <si>
    <t>Andhravirus</t>
  </si>
  <si>
    <t>Staphylococcus phage Andhra</t>
  </si>
  <si>
    <t>KY442063</t>
  </si>
  <si>
    <t>Staphylococcus phage BESEP3</t>
  </si>
  <si>
    <t>MT596500</t>
  </si>
  <si>
    <t>Staphylococcus phage SeAlphi</t>
  </si>
  <si>
    <t>MZ152915</t>
  </si>
  <si>
    <t>Staphylococcus phage St 134</t>
  </si>
  <si>
    <t>KY471386</t>
  </si>
  <si>
    <t>Rosenblumvirus</t>
  </si>
  <si>
    <t>Staphylococcus phage vB_SauP_phiAGO1.3</t>
  </si>
  <si>
    <t>MG766218</t>
  </si>
  <si>
    <t>Staphylococcus phage BP39</t>
  </si>
  <si>
    <t>KM366100</t>
  </si>
  <si>
    <t>Staphylococcus phage CSA13</t>
  </si>
  <si>
    <t>MH107118</t>
  </si>
  <si>
    <t>Staphylococcus phage Portland</t>
  </si>
  <si>
    <t>MT926124</t>
  </si>
  <si>
    <t>Staphylococcus phage GRCS</t>
  </si>
  <si>
    <t>KJ210330</t>
  </si>
  <si>
    <t>Staphylococcus phage JPL-50</t>
  </si>
  <si>
    <t>MZ359091</t>
  </si>
  <si>
    <t>Staphylococcus phage LSA2366</t>
  </si>
  <si>
    <t>MW363799</t>
  </si>
  <si>
    <t>Staphylococcus phage Pabna</t>
  </si>
  <si>
    <t>MH972260</t>
  </si>
  <si>
    <t>MN098325</t>
  </si>
  <si>
    <t>Staphylococcus phage PSa3</t>
  </si>
  <si>
    <t>HF937074</t>
  </si>
  <si>
    <t>Staphylococcus phage phi44AHJD</t>
  </si>
  <si>
    <t>AF513032</t>
  </si>
  <si>
    <t>Bacteriophage 66</t>
  </si>
  <si>
    <t>AY954949</t>
  </si>
  <si>
    <t>Staphylococcus phage S24-1 DNA</t>
  </si>
  <si>
    <t>AB626962</t>
  </si>
  <si>
    <t>Staphylococcus phage SA46-CL1</t>
  </si>
  <si>
    <t>MK936476</t>
  </si>
  <si>
    <t>Staphylococcus phage SAP-2</t>
  </si>
  <si>
    <t>EU136189</t>
  </si>
  <si>
    <t>Staphylococcus phage SCH1</t>
  </si>
  <si>
    <t>KY000084</t>
  </si>
  <si>
    <t>Staphylococcus phage SLPW</t>
  </si>
  <si>
    <t>KU992911</t>
  </si>
  <si>
    <t>Sarlesvirinae</t>
  </si>
  <si>
    <t>Copernicusvirus</t>
  </si>
  <si>
    <t>Enterococcus phage AE4_17</t>
  </si>
  <si>
    <t>MT757399</t>
  </si>
  <si>
    <t>Enterococcus phage vB_EfaP_Ef6.2</t>
  </si>
  <si>
    <t>MK721188</t>
  </si>
  <si>
    <t>Enterococcus phage vB_EfaP_Ef6.3</t>
  </si>
  <si>
    <t>MK721196</t>
  </si>
  <si>
    <t>Enterococcus phage vB_EfaP_Ef7.2</t>
  </si>
  <si>
    <t>MK721183</t>
  </si>
  <si>
    <t>Enterococcus phage vB_EfaP_Ef7.3</t>
  </si>
  <si>
    <t>MK721184</t>
  </si>
  <si>
    <t>Enterococcus phage vB_EfaP_Ef7.4</t>
  </si>
  <si>
    <t>MK721198</t>
  </si>
  <si>
    <t>Enterococcus phage vB_Efae230P-4</t>
  </si>
  <si>
    <t>JQ309827</t>
  </si>
  <si>
    <t>Enterococcus phage vB_EfaP_Efmus1</t>
  </si>
  <si>
    <t>MK721195</t>
  </si>
  <si>
    <t>Enterococcus phage vB_EfaP_Efmus3</t>
  </si>
  <si>
    <t>MK721185</t>
  </si>
  <si>
    <t>Enterococcus phage vB_EfaP_Efmus4</t>
  </si>
  <si>
    <t>MK721193</t>
  </si>
  <si>
    <t>Enterococcus phage Idefix</t>
  </si>
  <si>
    <t>LT630001</t>
  </si>
  <si>
    <t>Enterococcus phage vB_EfaP_IME195</t>
  </si>
  <si>
    <t>KT932700</t>
  </si>
  <si>
    <t>Enterococcus phage MDA1</t>
  </si>
  <si>
    <t>MW623430</t>
  </si>
  <si>
    <t>Minhovirus</t>
  </si>
  <si>
    <t>Enterococcus phage vB_EfaP_IME199</t>
  </si>
  <si>
    <t>KT945995</t>
  </si>
  <si>
    <t>Enterococcus phage vB_EfaP_Zip</t>
  </si>
  <si>
    <t>MK360025</t>
  </si>
  <si>
    <t>Salasmaviridae</t>
  </si>
  <si>
    <t>Bundooravirus</t>
  </si>
  <si>
    <t>Bacillus phage vB_Bpu_PumA1</t>
  </si>
  <si>
    <t>MN524844</t>
  </si>
  <si>
    <t>Bacillus phage vB_Bpu_PumA2</t>
  </si>
  <si>
    <t>MN524845</t>
  </si>
  <si>
    <t>Bacillus phage WhyPhy</t>
  </si>
  <si>
    <t>MW419775</t>
  </si>
  <si>
    <t>Cepunavirus</t>
  </si>
  <si>
    <t>Streptococcus phage Cp1</t>
  </si>
  <si>
    <t>Z47794</t>
  </si>
  <si>
    <t>Streptococcus phage Cp-7</t>
  </si>
  <si>
    <t>LK392619</t>
  </si>
  <si>
    <t>Harambevirus</t>
  </si>
  <si>
    <t>Bacillus phage BeachBum</t>
  </si>
  <si>
    <t>KY921761</t>
  </si>
  <si>
    <t>Bacillus phage Harambe</t>
  </si>
  <si>
    <t>KY821088</t>
  </si>
  <si>
    <t>Huangshavirus</t>
  </si>
  <si>
    <t>Bacillus phage Dlc1</t>
  </si>
  <si>
    <t>MW012634</t>
  </si>
  <si>
    <t>Mingyongvirus</t>
  </si>
  <si>
    <t>Bacillus phage VMY22</t>
  </si>
  <si>
    <t>KT780304</t>
  </si>
  <si>
    <t>Northropvirinae</t>
  </si>
  <si>
    <t>Claudivirus</t>
  </si>
  <si>
    <t>Bacillus phage Aurora</t>
  </si>
  <si>
    <t>KX349899</t>
  </si>
  <si>
    <t>Bacillus phage Baseball_field</t>
  </si>
  <si>
    <t>MT777452</t>
  </si>
  <si>
    <t>Bacillus phage Claudi</t>
  </si>
  <si>
    <t>KX349900</t>
  </si>
  <si>
    <t>Bacillus phage vB_BthP-Goe4</t>
  </si>
  <si>
    <t>MH817022</t>
  </si>
  <si>
    <t>Bacillus phage Juan</t>
  </si>
  <si>
    <t>MF156577</t>
  </si>
  <si>
    <t>Bacillus phage KonjoTrouble</t>
  </si>
  <si>
    <t>MF156578</t>
  </si>
  <si>
    <t>Bacillus phage QCM11</t>
  </si>
  <si>
    <t>KX961631</t>
  </si>
  <si>
    <t>Bacillus phage SerPounce</t>
  </si>
  <si>
    <t>KY947509</t>
  </si>
  <si>
    <t>Bacillus phage Stitch</t>
  </si>
  <si>
    <t>KX349901</t>
  </si>
  <si>
    <t>Bacillus phage Thornton</t>
  </si>
  <si>
    <t>MW348917</t>
  </si>
  <si>
    <t>Hemphillvirus</t>
  </si>
  <si>
    <t>Bacillus phage DK1</t>
  </si>
  <si>
    <t>MK284526</t>
  </si>
  <si>
    <t>Bacillus phage DK2</t>
  </si>
  <si>
    <t>MK284527</t>
  </si>
  <si>
    <t>Bacillus phage DK3</t>
  </si>
  <si>
    <t>MK284528</t>
  </si>
  <si>
    <t>Klosterneuburgvirus</t>
  </si>
  <si>
    <t>Bacillus phage MG-B1</t>
  </si>
  <si>
    <t>KC685370</t>
  </si>
  <si>
    <t>Picovirinae</t>
  </si>
  <si>
    <t>Beecentumtrevirus</t>
  </si>
  <si>
    <t>Bacillus phage B103</t>
  </si>
  <si>
    <t>X99260</t>
  </si>
  <si>
    <t>Bacillus phage vB_BsuP-Goe1</t>
  </si>
  <si>
    <t>KU831549</t>
  </si>
  <si>
    <t>Bacillus phage Nf</t>
  </si>
  <si>
    <t>EU622808</t>
  </si>
  <si>
    <t>Salasvirus</t>
  </si>
  <si>
    <t>Bacillus phage vB_BveP-Goe6</t>
  </si>
  <si>
    <t>MF407276</t>
  </si>
  <si>
    <t>Bacillus phage Gxv1</t>
  </si>
  <si>
    <t>MT459794</t>
  </si>
  <si>
    <t>Bacillus phage phi29</t>
  </si>
  <si>
    <t>EU771092</t>
  </si>
  <si>
    <t>Bacillus phage PZA</t>
  </si>
  <si>
    <t>M11813</t>
  </si>
  <si>
    <t>Tatarstanvirinae</t>
  </si>
  <si>
    <t>Gaunavirus</t>
  </si>
  <si>
    <t>Bacillus phage GA1</t>
  </si>
  <si>
    <t>X96987</t>
  </si>
  <si>
    <t>Bacillus phage SRT01hs</t>
  </si>
  <si>
    <t>MN857617</t>
  </si>
  <si>
    <t>Karezivirus</t>
  </si>
  <si>
    <t>Bacillus phage Karezi</t>
  </si>
  <si>
    <t>MN082625</t>
  </si>
  <si>
    <t>Saparoviridae</t>
  </si>
  <si>
    <t>Halohivirus</t>
  </si>
  <si>
    <t>Haloarcula hispanica tailed virus 2</t>
  </si>
  <si>
    <t>HHTV-2</t>
  </si>
  <si>
    <t>KC292024</t>
  </si>
  <si>
    <t>Samsavirus</t>
  </si>
  <si>
    <t>Haloarcula californiae tailed virus 2</t>
  </si>
  <si>
    <t>HCTV-2</t>
  </si>
  <si>
    <t>KC292028</t>
  </si>
  <si>
    <t>Schitoviridae</t>
  </si>
  <si>
    <t>Cavevirus</t>
  </si>
  <si>
    <t>Stenotrophomonas phage C121</t>
  </si>
  <si>
    <t>OM158235</t>
  </si>
  <si>
    <t>Cbunavirus</t>
  </si>
  <si>
    <t>Pectobacterium phage phiA41</t>
  </si>
  <si>
    <t>KY769270</t>
  </si>
  <si>
    <t>Pectobacterium phage vB_PatP_CB1</t>
  </si>
  <si>
    <t>KY514264</t>
  </si>
  <si>
    <t>Pectobacterium phage vB_PatP_CB4</t>
  </si>
  <si>
    <t>KY549659</t>
  </si>
  <si>
    <t>Kosakonia phage Kc283</t>
  </si>
  <si>
    <t>MZ348421</t>
  </si>
  <si>
    <t>Pectobacterium phage Nepra</t>
  </si>
  <si>
    <t>MH059638</t>
  </si>
  <si>
    <t>Pectobacterium phage Possum</t>
  </si>
  <si>
    <t>MN812687</t>
  </si>
  <si>
    <t>Dendoorenvirus</t>
  </si>
  <si>
    <t>Delftia phage RG-2014</t>
  </si>
  <si>
    <t>KM879221</t>
  </si>
  <si>
    <t>Eceepunavirus</t>
  </si>
  <si>
    <t>Enterobacter phage EcP1</t>
  </si>
  <si>
    <t>HQ641380</t>
  </si>
  <si>
    <t>Efbeekayvirus</t>
  </si>
  <si>
    <t>Klebsiella phage vB_KpP_FBKp27</t>
  </si>
  <si>
    <t>MW394388</t>
  </si>
  <si>
    <t>Klebsiella phage vB_KpnP_P184</t>
  </si>
  <si>
    <t>MW495044</t>
  </si>
  <si>
    <t>Electravirus</t>
  </si>
  <si>
    <t>Vibrio virus vB_VspP_SBP1</t>
  </si>
  <si>
    <t>MK301608</t>
  </si>
  <si>
    <t>Exceevirus</t>
  </si>
  <si>
    <t>Acinetobacter phage VB_ApiP_XC38</t>
  </si>
  <si>
    <t>MN508356</t>
  </si>
  <si>
    <t>Huelvavirus</t>
  </si>
  <si>
    <t>Sinorhizobium phage ort11</t>
  </si>
  <si>
    <t>MN228696</t>
  </si>
  <si>
    <t>Littlefixvirus</t>
  </si>
  <si>
    <t>Pseudomonas phage 98PfluR60PP</t>
  </si>
  <si>
    <t>MH179480</t>
  </si>
  <si>
    <t>Pseudomonas phage Littlefix</t>
  </si>
  <si>
    <t>MG775260</t>
  </si>
  <si>
    <t>Mukerjeevirus</t>
  </si>
  <si>
    <t>Vibrio phage 1.224.A._10N.261.48.B1</t>
  </si>
  <si>
    <t>MG592591</t>
  </si>
  <si>
    <t>Vibrio phage 1.188.A._10N.286.51.A6</t>
  </si>
  <si>
    <t>MG592554</t>
  </si>
  <si>
    <t>Vibrio phage 1.261.O._10N.286.51.A7</t>
  </si>
  <si>
    <t>MG592625</t>
  </si>
  <si>
    <t>Vibrio phage 1.169.O._10N.261.52.B1</t>
  </si>
  <si>
    <t>MG592536</t>
  </si>
  <si>
    <t>Oliverunavirus</t>
  </si>
  <si>
    <t>Agrobacterium phage OLIVR1</t>
  </si>
  <si>
    <t>MT234338</t>
  </si>
  <si>
    <t>Pacinivirus</t>
  </si>
  <si>
    <t>Vibrio phage phi 1</t>
  </si>
  <si>
    <t>KP280062</t>
  </si>
  <si>
    <t>Vibrio phage VCO139</t>
  </si>
  <si>
    <t>KC438283</t>
  </si>
  <si>
    <t>Pariacacavirus</t>
  </si>
  <si>
    <t>Vibrio phage 1.238.A._10N.261.52.F10</t>
  </si>
  <si>
    <t>MG592603</t>
  </si>
  <si>
    <t>Vibrio phage 1.245.O._10N.261.54.C7</t>
  </si>
  <si>
    <t>MG592610</t>
  </si>
  <si>
    <t>Penintadodekavirus</t>
  </si>
  <si>
    <t>Vibrio phage phi50-12</t>
  </si>
  <si>
    <t>MN584918</t>
  </si>
  <si>
    <t>Petruschkyvirus</t>
  </si>
  <si>
    <t>Alcaligenes phage vB_Af_QDWS595</t>
  </si>
  <si>
    <t>OK149171</t>
  </si>
  <si>
    <t>Philippevirus</t>
  </si>
  <si>
    <t>Stenotrophomonas phage Philippe</t>
  </si>
  <si>
    <t>MZ326861</t>
  </si>
  <si>
    <t>Pokkenvirus</t>
  </si>
  <si>
    <t>Stenotrophomonas phage Paxi</t>
  </si>
  <si>
    <t>MZ326856</t>
  </si>
  <si>
    <t>Stenotrophomonas phage Piffle</t>
  </si>
  <si>
    <t>MZ326857</t>
  </si>
  <si>
    <t>Stenotrophomonas phage Pokken</t>
  </si>
  <si>
    <t>MN062186</t>
  </si>
  <si>
    <t>Presleyvirus</t>
  </si>
  <si>
    <t>Acinetobacter phage Presley</t>
  </si>
  <si>
    <t>KF669658</t>
  </si>
  <si>
    <t>Riverridervirus</t>
  </si>
  <si>
    <t>Xanthomonas phage RiverRider</t>
  </si>
  <si>
    <t>MG983743</t>
  </si>
  <si>
    <t>Shizishanvirus</t>
  </si>
  <si>
    <t>Pseudomonas phage phCDa</t>
  </si>
  <si>
    <t>MH382836</t>
  </si>
  <si>
    <t>Triduovirus</t>
  </si>
  <si>
    <t>Salmonella phage vB_SalP_TR2</t>
  </si>
  <si>
    <t>MW544066</t>
  </si>
  <si>
    <t>Varunavirus</t>
  </si>
  <si>
    <t>Vibrio phage BUCT194</t>
  </si>
  <si>
    <t>MZ447858</t>
  </si>
  <si>
    <t>Vicoquintavirus</t>
  </si>
  <si>
    <t>Vibrio phage pVco-5</t>
  </si>
  <si>
    <t>KY612839</t>
  </si>
  <si>
    <t>Waedenswilvirus</t>
  </si>
  <si>
    <t>Erwinia phage vB_EamP-S6</t>
  </si>
  <si>
    <t>HQ728266</t>
  </si>
  <si>
    <t>Xoxocotlavirus</t>
  </si>
  <si>
    <t>Rhizobium phage RHph_X2_28B</t>
  </si>
  <si>
    <t>MW960036</t>
  </si>
  <si>
    <t>Zicotriavirus</t>
  </si>
  <si>
    <t>Pseudomonas phage ZC03</t>
  </si>
  <si>
    <t>KU356690</t>
  </si>
  <si>
    <t>Pseudomonas phage ZC08</t>
  </si>
  <si>
    <t>KU356691</t>
  </si>
  <si>
    <t>Zurivirus</t>
  </si>
  <si>
    <t>Pseudomonas phage Zuri</t>
  </si>
  <si>
    <t>MK863032</t>
  </si>
  <si>
    <t>Demetervirinae</t>
  </si>
  <si>
    <t>Acanvirus</t>
  </si>
  <si>
    <t>Rhizobium phage RHEph16</t>
  </si>
  <si>
    <t>MW980066</t>
  </si>
  <si>
    <t>Rhizobium phage RHEph22</t>
  </si>
  <si>
    <t>MW980071</t>
  </si>
  <si>
    <t>Rhizobium phage RHph_Y2_6</t>
  </si>
  <si>
    <t>MN988497</t>
  </si>
  <si>
    <t>Rhizobium phage RHph_Y38</t>
  </si>
  <si>
    <t>MN988483</t>
  </si>
  <si>
    <t>Cyamitesvirus</t>
  </si>
  <si>
    <t>Rhizobium phage RHph_I1_6</t>
  </si>
  <si>
    <t>MN988555</t>
  </si>
  <si>
    <t>Rhizobium phage RHph_N38</t>
  </si>
  <si>
    <t>MN988517</t>
  </si>
  <si>
    <t>Enquatrovirinae</t>
  </si>
  <si>
    <t>Enquatrovirus</t>
  </si>
  <si>
    <t>Escherichia phage N4</t>
  </si>
  <si>
    <t>EF056009</t>
  </si>
  <si>
    <t>Gamaleyavirus</t>
  </si>
  <si>
    <t>Escherichia phage vB_EcoP_PhAPEC5</t>
  </si>
  <si>
    <t>KF192075</t>
  </si>
  <si>
    <t>Escherichia phage vB_EcoP_PhAPEC7</t>
  </si>
  <si>
    <t>KF562340</t>
  </si>
  <si>
    <t>Escherichia phage Bp4</t>
  </si>
  <si>
    <t>KJ135004</t>
  </si>
  <si>
    <t>Escherichia phage EC1-UPM</t>
  </si>
  <si>
    <t>KC206276</t>
  </si>
  <si>
    <t>Escherichia phage ECBP1</t>
  </si>
  <si>
    <t>JX415535</t>
  </si>
  <si>
    <t>Escherichia phage phi G17</t>
  </si>
  <si>
    <t>MH358458</t>
  </si>
  <si>
    <t>Escherichia phage vB_EcoP_G7C</t>
  </si>
  <si>
    <t>HQ259105</t>
  </si>
  <si>
    <t>Escherichia phage IME11</t>
  </si>
  <si>
    <t>JX880034</t>
  </si>
  <si>
    <t>Escherichia phage PGN829.1</t>
  </si>
  <si>
    <t>MH733496</t>
  </si>
  <si>
    <t>Shigella phage pSb-1</t>
  </si>
  <si>
    <t>KF620435</t>
  </si>
  <si>
    <t>Escherichia phage vB_EcoP_SP5M</t>
  </si>
  <si>
    <t>MT682708</t>
  </si>
  <si>
    <t>Escherichia phage St11Ph5</t>
  </si>
  <si>
    <t>MG208881</t>
  </si>
  <si>
    <t>Escherichia phage U1G</t>
  </si>
  <si>
    <t>MZ394712</t>
  </si>
  <si>
    <t>Escherichia phage vB_EcoP-ZQ2</t>
  </si>
  <si>
    <t>MW630115</t>
  </si>
  <si>
    <t>Kaypoctavirus</t>
  </si>
  <si>
    <t>Klebsiella phage KP8</t>
  </si>
  <si>
    <t>MG922974</t>
  </si>
  <si>
    <t>Moovirus</t>
  </si>
  <si>
    <t>Shigella virus Moo19</t>
  </si>
  <si>
    <t>MZ358387</t>
  </si>
  <si>
    <t>Erskinevirinae</t>
  </si>
  <si>
    <t>Johnsonvirus</t>
  </si>
  <si>
    <t>Erwinia phage Ea9-2</t>
  </si>
  <si>
    <t>KF806588</t>
  </si>
  <si>
    <t>Erwinia phage vB_EamP_Frozen</t>
  </si>
  <si>
    <t>KX098389</t>
  </si>
  <si>
    <t>Yonginvirus</t>
  </si>
  <si>
    <t>Erwinia phage phiEaP8</t>
  </si>
  <si>
    <t>MH160392</t>
  </si>
  <si>
    <t>Fuhrmanvirinae</t>
  </si>
  <si>
    <t>Matsuvirus</t>
  </si>
  <si>
    <t>Pseudoalteromonas phage pYD6-A</t>
  </si>
  <si>
    <t>JF974296</t>
  </si>
  <si>
    <t>Stoningtonvirus</t>
  </si>
  <si>
    <t>Vibrio phage VBP47</t>
  </si>
  <si>
    <t>HQ634194</t>
  </si>
  <si>
    <t>Humphriesvirinae</t>
  </si>
  <si>
    <t>Ithacavirus</t>
  </si>
  <si>
    <t>Salmonella phage FSL SP-058</t>
  </si>
  <si>
    <t>KC139517</t>
  </si>
  <si>
    <t>Salmonella phage FSL SP-076</t>
  </si>
  <si>
    <t>KC139520</t>
  </si>
  <si>
    <t>Pollockvirus</t>
  </si>
  <si>
    <t>Escherichia phage Pollock</t>
  </si>
  <si>
    <t>KM236242</t>
  </si>
  <si>
    <t>Pylasvirus</t>
  </si>
  <si>
    <t>Klebsiella phage KpCHEMY26</t>
  </si>
  <si>
    <t>MN163281</t>
  </si>
  <si>
    <t>Klebsiella phage Pylas</t>
  </si>
  <si>
    <t>MH899585</t>
  </si>
  <si>
    <t>Migulavirinae</t>
  </si>
  <si>
    <t>Litunavirus</t>
  </si>
  <si>
    <t>Pseudomonas phage vB_PaeP_C2-10_Ab09</t>
  </si>
  <si>
    <t>HG962375</t>
  </si>
  <si>
    <t>Pseudomonas phage LIT1</t>
  </si>
  <si>
    <t>FN422399</t>
  </si>
  <si>
    <t>Pseudomonas phage vB_PaeP_MAG4</t>
  </si>
  <si>
    <t>KR052142</t>
  </si>
  <si>
    <t>Pseudomonas phage vB_PaeP_TUMS_P121</t>
  </si>
  <si>
    <t>MZ955867</t>
  </si>
  <si>
    <t>Pseudomonas phage PA26</t>
  </si>
  <si>
    <t>JX194238</t>
  </si>
  <si>
    <t>Pseudomonas phage vB_Pae575P-3</t>
  </si>
  <si>
    <t>KX171209</t>
  </si>
  <si>
    <t>Pseudomonas phage PAP02</t>
  </si>
  <si>
    <t>MT080102</t>
  </si>
  <si>
    <t>Pseudomonas phage VB_PaeS_VL1</t>
  </si>
  <si>
    <t>OK665488</t>
  </si>
  <si>
    <t>Pseudomonas phage YH6</t>
  </si>
  <si>
    <t>KM974184</t>
  </si>
  <si>
    <t>Luzseptimavirus</t>
  </si>
  <si>
    <t>Pseudomonas phage KPP21</t>
  </si>
  <si>
    <t>LC064302</t>
  </si>
  <si>
    <t>Pseudomonas phage LUZ7</t>
  </si>
  <si>
    <t>FN422398</t>
  </si>
  <si>
    <t>Pontosvirinae</t>
  </si>
  <si>
    <t>Dorisvirus</t>
  </si>
  <si>
    <t>Vibrio phage 1.097.O._10N.286.49.B3</t>
  </si>
  <si>
    <t>MG592470</t>
  </si>
  <si>
    <t>Galateavirus</t>
  </si>
  <si>
    <t>Vibrio phage vB_VspP_pVa5</t>
  </si>
  <si>
    <t>KX889068</t>
  </si>
  <si>
    <t>Nahantvirus</t>
  </si>
  <si>
    <t>Vibrio phage 1.026.O._10N.222.49.C7</t>
  </si>
  <si>
    <t>MG592410</t>
  </si>
  <si>
    <t>Rhodovirinae</t>
  </si>
  <si>
    <t>Aoqinvirus</t>
  </si>
  <si>
    <t>Roseobacter phage RD-1410W1-01</t>
  </si>
  <si>
    <t>KU885989</t>
  </si>
  <si>
    <t>Aorunvirus</t>
  </si>
  <si>
    <t>Sulfitobacter phage EE36phi1</t>
  </si>
  <si>
    <t>FJ591094</t>
  </si>
  <si>
    <t>Ruegeria phage vB_RpoP-V12</t>
  </si>
  <si>
    <t>MH015250</t>
  </si>
  <si>
    <t>Baltimorevirus</t>
  </si>
  <si>
    <t>Dinoroseobacter phage DFL12phi1</t>
  </si>
  <si>
    <t>KJ621082</t>
  </si>
  <si>
    <t>Gonggongvirus</t>
  </si>
  <si>
    <t>Dinoroseobacter phage vB_DshP-R7L</t>
  </si>
  <si>
    <t>MZ773648</t>
  </si>
  <si>
    <t>Plymouthvirus</t>
  </si>
  <si>
    <t>Roseovarius phage vB_RsvN_RPP1; Roseovarius Plymouth Podophage 1</t>
  </si>
  <si>
    <t>FR719956</t>
  </si>
  <si>
    <t>Pomeroyivirus</t>
  </si>
  <si>
    <t>Ruegeria phage vB_RpoP-V13</t>
  </si>
  <si>
    <t>MH015256</t>
  </si>
  <si>
    <t>Raunefjordenvirus</t>
  </si>
  <si>
    <t>Sulfitobacter phage phiCB2047-B</t>
  </si>
  <si>
    <t>HQ317387</t>
  </si>
  <si>
    <t>Sanyabayvirus</t>
  </si>
  <si>
    <t>Dinoroseobacter phage DS-1410Ws-06</t>
  </si>
  <si>
    <t>KU885988</t>
  </si>
  <si>
    <t>Rothmandenesvirinae</t>
  </si>
  <si>
    <t>Dongdastvirus</t>
  </si>
  <si>
    <t>Achromobacter phage phiAxp-3</t>
  </si>
  <si>
    <t>KT321317</t>
  </si>
  <si>
    <t>Achromobacter phage vB_AxyP_19-32_Axy04</t>
  </si>
  <si>
    <t>MK962626</t>
  </si>
  <si>
    <t>Achromobacter phage vB_AxyP_19-32_Axy12</t>
  </si>
  <si>
    <t>MK962631</t>
  </si>
  <si>
    <t>Achromobacter phage vB_AxyP_19-32_Axy24</t>
  </si>
  <si>
    <t>MK962641</t>
  </si>
  <si>
    <t>Inbricusvirus</t>
  </si>
  <si>
    <t>Pseudomonas phage inbricus</t>
  </si>
  <si>
    <t>MG018928</t>
  </si>
  <si>
    <t>Jwalphavirus</t>
  </si>
  <si>
    <t>Achromobacter phage JWAlpha</t>
  </si>
  <si>
    <t>KF787095</t>
  </si>
  <si>
    <t>Pourcelvirus</t>
  </si>
  <si>
    <t>Achromobacter phage vB_AxyP_19-32_Axy10</t>
  </si>
  <si>
    <t>MK962629</t>
  </si>
  <si>
    <t>Achromobacter phage vB_AxyP_19-32_Axy11</t>
  </si>
  <si>
    <t>MK962630</t>
  </si>
  <si>
    <t>Speroviridae</t>
  </si>
  <si>
    <t>Glazvirus</t>
  </si>
  <si>
    <t>Methanobacterium virus C158</t>
  </si>
  <si>
    <t>C158</t>
  </si>
  <si>
    <t>OX365879</t>
  </si>
  <si>
    <t>Stanwilliamsviridae</t>
  </si>
  <si>
    <t>Boydwoodruffvirinae</t>
  </si>
  <si>
    <t>Coruscantvirus</t>
  </si>
  <si>
    <t>Streptomyces phage Coruscant</t>
  </si>
  <si>
    <t>MT711976</t>
  </si>
  <si>
    <t>Karimacvirus</t>
  </si>
  <si>
    <t>Streptomyces phage Karimac</t>
  </si>
  <si>
    <t>MH590599</t>
  </si>
  <si>
    <t>Streptomyces phage LukeCage</t>
  </si>
  <si>
    <t>MH590597</t>
  </si>
  <si>
    <t>Streptomyces phage StarPlatinum</t>
  </si>
  <si>
    <t>MH576965</t>
  </si>
  <si>
    <t>Streptomyces phage Wollford</t>
  </si>
  <si>
    <t>MH576968</t>
  </si>
  <si>
    <t>Streptomyces phage Yaboi</t>
  </si>
  <si>
    <t>MH727564</t>
  </si>
  <si>
    <t>Samistivirus</t>
  </si>
  <si>
    <t>Streptomyces phage Bmoc</t>
  </si>
  <si>
    <t>MT310865</t>
  </si>
  <si>
    <t>Streptomyces phage Braelyn</t>
  </si>
  <si>
    <t>MN096371</t>
  </si>
  <si>
    <t>Streptomyces phage Daubenski</t>
  </si>
  <si>
    <t>MN444876</t>
  </si>
  <si>
    <t>Streptomyces phage Egole</t>
  </si>
  <si>
    <t>MK494112</t>
  </si>
  <si>
    <t>Streptomyces phage Evy</t>
  </si>
  <si>
    <t>MK977711</t>
  </si>
  <si>
    <t>Streptomyces phage Jay2jay</t>
  </si>
  <si>
    <t>KM652554</t>
  </si>
  <si>
    <t>Streptomyces phage Mildred21</t>
  </si>
  <si>
    <t>MF155946</t>
  </si>
  <si>
    <t>Streptomyces phage NootNoot</t>
  </si>
  <si>
    <t>MF347636</t>
  </si>
  <si>
    <t>Streptomyces phage Paradiddles</t>
  </si>
  <si>
    <t>MF347637</t>
  </si>
  <si>
    <t>Streptomyces phage Peebs</t>
  </si>
  <si>
    <t>MF347638</t>
  </si>
  <si>
    <t>Streptomyces phage Samisti12</t>
  </si>
  <si>
    <t>MF347639</t>
  </si>
  <si>
    <t>Tomasvirus</t>
  </si>
  <si>
    <t>Streptomyces phage Tomas</t>
  </si>
  <si>
    <t>OL829978</t>
  </si>
  <si>
    <t>Loccivirinae</t>
  </si>
  <si>
    <t>Annadreamyvirus</t>
  </si>
  <si>
    <t>Streptomyces phage Annadreamy</t>
  </si>
  <si>
    <t>MH536811</t>
  </si>
  <si>
    <t>Streptomyces phage Blueeyedbeauty</t>
  </si>
  <si>
    <t>MH536814</t>
  </si>
  <si>
    <t>Faustvirus</t>
  </si>
  <si>
    <t>Streptomyces phage Faust</t>
  </si>
  <si>
    <t>MT684598</t>
  </si>
  <si>
    <t>Streptomyces phage TunaTartare</t>
  </si>
  <si>
    <t>MW822145</t>
  </si>
  <si>
    <t>Gilsonvirus</t>
  </si>
  <si>
    <t>Streptomyces phage Comrade</t>
  </si>
  <si>
    <t>MH651172</t>
  </si>
  <si>
    <t>Streptomyces phage Gilson</t>
  </si>
  <si>
    <t>MK061412</t>
  </si>
  <si>
    <t>Wakandavirus</t>
  </si>
  <si>
    <t>Streptomyces phage Muntaha</t>
  </si>
  <si>
    <t>MT024872</t>
  </si>
  <si>
    <t>Streptomyces phage Wakanda</t>
  </si>
  <si>
    <t>MT024865</t>
  </si>
  <si>
    <t>Wilnyevirus</t>
  </si>
  <si>
    <t>Streptomyces phage BillNye</t>
  </si>
  <si>
    <t>MG757153</t>
  </si>
  <si>
    <t>Straboviridae</t>
  </si>
  <si>
    <t>Angelvirus</t>
  </si>
  <si>
    <t>Aeromonas phage PX29</t>
  </si>
  <si>
    <t>GU396103</t>
  </si>
  <si>
    <t>Biquartavirus</t>
  </si>
  <si>
    <t>Aeromonas phage 44RR2.8t</t>
  </si>
  <si>
    <t>AY375531</t>
  </si>
  <si>
    <t>Bragavirus</t>
  </si>
  <si>
    <t>Proteus phage phiP4-3</t>
  </si>
  <si>
    <t>MG696114</t>
  </si>
  <si>
    <t>Proteus phage PM2</t>
  </si>
  <si>
    <t>MF001355</t>
  </si>
  <si>
    <t>Proteus phage vB_PmiM_Pm5461</t>
  </si>
  <si>
    <t>KP890823</t>
  </si>
  <si>
    <t>Carettavirus</t>
  </si>
  <si>
    <t>Escherichia phage phiE142</t>
  </si>
  <si>
    <t>KU255730</t>
  </si>
  <si>
    <t>Chrysonvirus</t>
  </si>
  <si>
    <t>Aeromonas phage phiAS5</t>
  </si>
  <si>
    <t>HM452126</t>
  </si>
  <si>
    <t>Cinqassovirus</t>
  </si>
  <si>
    <t>Aeromonas phage Aeh1</t>
  </si>
  <si>
    <t>AY266303</t>
  </si>
  <si>
    <t>Aeromonas phage ah1</t>
  </si>
  <si>
    <t>MG250483</t>
  </si>
  <si>
    <t>Gualtarvirus</t>
  </si>
  <si>
    <t>Morganella phage vB_MmoM_MP1</t>
  </si>
  <si>
    <t>KX078569</t>
  </si>
  <si>
    <t>Jiangsuvirus</t>
  </si>
  <si>
    <t>Pseudomonas phage PspYZU05</t>
  </si>
  <si>
    <t>KY971610</t>
  </si>
  <si>
    <t>Krischvirus</t>
  </si>
  <si>
    <t>Escherichia phage ECD7</t>
  </si>
  <si>
    <t>KY683735</t>
  </si>
  <si>
    <t>Enterobacteria phage GEC-3S</t>
  </si>
  <si>
    <t>HE978309</t>
  </si>
  <si>
    <t>Escherichia phage Phi1</t>
  </si>
  <si>
    <t>EF437941</t>
  </si>
  <si>
    <t>Escherichia phage JSE</t>
  </si>
  <si>
    <t>EU863408</t>
  </si>
  <si>
    <t>Escherichia virus KFS-EC</t>
  </si>
  <si>
    <t>MH560358</t>
  </si>
  <si>
    <t>Escherichia phage RB49</t>
  </si>
  <si>
    <t>AY343333</t>
  </si>
  <si>
    <t>Mylasvirus</t>
  </si>
  <si>
    <t>Vibrio phage nt-1</t>
  </si>
  <si>
    <t>HQ317393</t>
  </si>
  <si>
    <t>Nanhuvirus</t>
  </si>
  <si>
    <t>Cronobacter phage LPCS28</t>
  </si>
  <si>
    <t>OM638103</t>
  </si>
  <si>
    <t>Pseudotevenvirus</t>
  </si>
  <si>
    <t>Cronobacter phage vB_CsaM_GAP161</t>
  </si>
  <si>
    <t>JN882287</t>
  </si>
  <si>
    <t>Citrobacter phage IME-CF2</t>
  </si>
  <si>
    <t>KR869820</t>
  </si>
  <si>
    <t>Cronobacter phage vB_CsaM_leB</t>
  </si>
  <si>
    <t>KX431559</t>
  </si>
  <si>
    <t>Cronobacter phage vB_CsaM_leE</t>
  </si>
  <si>
    <t>KX443552</t>
  </si>
  <si>
    <t>Escherichia phage Lw1</t>
  </si>
  <si>
    <t>KC801932</t>
  </si>
  <si>
    <t>Citrobacter phage Margaery</t>
  </si>
  <si>
    <t>KT381880</t>
  </si>
  <si>
    <t>Citrobacter phage Miller</t>
  </si>
  <si>
    <t>KM236237</t>
  </si>
  <si>
    <t>Escherichia phage RB16</t>
  </si>
  <si>
    <t>HM134276</t>
  </si>
  <si>
    <t>Escherichia phage RB43</t>
  </si>
  <si>
    <t>AY967407</t>
  </si>
  <si>
    <t>Schizotequatrovirus</t>
  </si>
  <si>
    <t>Vibrio phage KVP40</t>
  </si>
  <si>
    <t>AY283928</t>
  </si>
  <si>
    <t>Vibrio phage ValKK3</t>
  </si>
  <si>
    <t>KP671755</t>
  </si>
  <si>
    <t>Vibrio phage VH7D</t>
  </si>
  <si>
    <t>KC131129</t>
  </si>
  <si>
    <t>Slopekvirus</t>
  </si>
  <si>
    <t>Enterobacter phage phiEap-3</t>
  </si>
  <si>
    <t>KT321315</t>
  </si>
  <si>
    <t>Klebsiella phage KP15</t>
  </si>
  <si>
    <t>GU295964</t>
  </si>
  <si>
    <t>Klebsiella phage KP27</t>
  </si>
  <si>
    <t>HQ918180</t>
  </si>
  <si>
    <t>Klebsiella phage Matisse</t>
  </si>
  <si>
    <t>KT001918</t>
  </si>
  <si>
    <t>Escherichia phage phT4A</t>
  </si>
  <si>
    <t>KX130727</t>
  </si>
  <si>
    <t>Tulanevirus</t>
  </si>
  <si>
    <t>Stenotrophomonas phage IME13</t>
  </si>
  <si>
    <t>JX306041</t>
  </si>
  <si>
    <t>Aeromonas phage 50AhydR13PP</t>
  </si>
  <si>
    <t>MH179476</t>
  </si>
  <si>
    <t>Aeromonas phage 60AhydR15PP</t>
  </si>
  <si>
    <t>MH179477</t>
  </si>
  <si>
    <t>Aeromonas phage Aes012</t>
  </si>
  <si>
    <t>JN377895</t>
  </si>
  <si>
    <t>Aeromonas phage Aes508</t>
  </si>
  <si>
    <t>JN377894</t>
  </si>
  <si>
    <t>Aeromonas phage phiAS4</t>
  </si>
  <si>
    <t>HM452125</t>
  </si>
  <si>
    <t>Aeromonas phage AS-gz</t>
  </si>
  <si>
    <t>MF479730</t>
  </si>
  <si>
    <t>Aeromonas phage 25</t>
  </si>
  <si>
    <t>DQ529280</t>
  </si>
  <si>
    <t>Emmerichvirinae</t>
  </si>
  <si>
    <t>Ceceduovirus</t>
  </si>
  <si>
    <t>Aeromonas phage AS-sw</t>
  </si>
  <si>
    <t>MF498775</t>
  </si>
  <si>
    <t>Aeromonas phage AS-zj</t>
  </si>
  <si>
    <t>MF448340</t>
  </si>
  <si>
    <t>Aeromonas phage CC2</t>
  </si>
  <si>
    <t>JX123262</t>
  </si>
  <si>
    <t>Ishigurovirus</t>
  </si>
  <si>
    <t>Aeromonas phage 65</t>
  </si>
  <si>
    <t>GU459069</t>
  </si>
  <si>
    <t>Tevenvirinae</t>
  </si>
  <si>
    <t>Acinetobacter phage 133</t>
  </si>
  <si>
    <t>HM114315</t>
  </si>
  <si>
    <t>Dhakavirus</t>
  </si>
  <si>
    <t>Escherichia phage AnYang</t>
  </si>
  <si>
    <t>MK234886</t>
  </si>
  <si>
    <t>Escherichia phage Bp7</t>
  </si>
  <si>
    <t>HQ829472</t>
  </si>
  <si>
    <t>Escherichia phage vB_EcoM_005</t>
  </si>
  <si>
    <t>MK295203</t>
  </si>
  <si>
    <t>Escherichia phage IME08</t>
  </si>
  <si>
    <t>HM071924</t>
  </si>
  <si>
    <t>Enterobacteria phage vB_EcoM_IME281</t>
  </si>
  <si>
    <t>MH051913</t>
  </si>
  <si>
    <t>Enterobacteria phage vB_EcoM_IME341</t>
  </si>
  <si>
    <t>MH051917</t>
  </si>
  <si>
    <t>Escherichia phage JS10</t>
  </si>
  <si>
    <t>EU863409</t>
  </si>
  <si>
    <t>Escherichia phage JS98</t>
  </si>
  <si>
    <t>EF469154</t>
  </si>
  <si>
    <t>Escherichia phage MX01</t>
  </si>
  <si>
    <t>KU878969</t>
  </si>
  <si>
    <t>Escherichia phage QL01</t>
  </si>
  <si>
    <t>KT176190</t>
  </si>
  <si>
    <t>Escherichia phage vb_EcoM-VR5</t>
  </si>
  <si>
    <t>KP007359</t>
  </si>
  <si>
    <t>Escherichia phage WG01</t>
  </si>
  <si>
    <t>KU878968</t>
  </si>
  <si>
    <t>Gaprivervirus</t>
  </si>
  <si>
    <t>Escherichia virus vB_EcoM_RZ</t>
  </si>
  <si>
    <t>MW598459</t>
  </si>
  <si>
    <t>Shigella phage SP18</t>
  </si>
  <si>
    <t>GQ981382</t>
  </si>
  <si>
    <t>Escherichia phage vB_EcoM_VR20</t>
  </si>
  <si>
    <t>KP007360</t>
  </si>
  <si>
    <t>Escherichia phage vB_EcoM_VR25</t>
  </si>
  <si>
    <t>KP007361</t>
  </si>
  <si>
    <t>Escherichia phage vB_EcoM_VR26</t>
  </si>
  <si>
    <t>KP007362</t>
  </si>
  <si>
    <t>Escherichia phage vB_EcoM_VR7</t>
  </si>
  <si>
    <t>HM563683</t>
  </si>
  <si>
    <t>Gelderlandvirus</t>
  </si>
  <si>
    <t>Salmonella phage vB_SnwM_CGG4-1</t>
  </si>
  <si>
    <t>KU867307</t>
  </si>
  <si>
    <t>Salmonella phage Melville</t>
  </si>
  <si>
    <t>MF957259</t>
  </si>
  <si>
    <t>Salmonella phage vB_SenM-S16</t>
  </si>
  <si>
    <t>HQ331142</t>
  </si>
  <si>
    <t>Salmonella phage STML-198</t>
  </si>
  <si>
    <t>JX181825</t>
  </si>
  <si>
    <t>Salmonella phage STP4-a</t>
  </si>
  <si>
    <t>KJ000058</t>
  </si>
  <si>
    <t>Jiaodavirus</t>
  </si>
  <si>
    <t>Klebsiella phage JD18</t>
  </si>
  <si>
    <t>KT239446</t>
  </si>
  <si>
    <t>Klebsiella phage KP179</t>
  </si>
  <si>
    <t>MH729874</t>
  </si>
  <si>
    <t>Klebsiella phage KPV15</t>
  </si>
  <si>
    <t>KY000080</t>
  </si>
  <si>
    <t>Klebsiella phage vB_KpnM_KpV477</t>
  </si>
  <si>
    <t>KX258185</t>
  </si>
  <si>
    <t>Klebsiella phage Mineola</t>
  </si>
  <si>
    <t>MH333064</t>
  </si>
  <si>
    <t>Klebsiella phage PKO111</t>
  </si>
  <si>
    <t>KR269720</t>
  </si>
  <si>
    <t>Kagamiyamavirus</t>
  </si>
  <si>
    <t>Escherichia phage EcS1</t>
  </si>
  <si>
    <t>LC371242</t>
  </si>
  <si>
    <t>Kanagawavirus</t>
  </si>
  <si>
    <t>Enterobacter phage vB_EclM_CIP9</t>
  </si>
  <si>
    <t>MN882610</t>
  </si>
  <si>
    <t>Enterobacter phage vB_EhoM-IME523</t>
  </si>
  <si>
    <t>MN087708</t>
  </si>
  <si>
    <t>Enterobacter phage vB_EclM_Q7622</t>
  </si>
  <si>
    <t>OL989991</t>
  </si>
  <si>
    <t>Edwardsiella phage PEi20</t>
  </si>
  <si>
    <t>AP014714</t>
  </si>
  <si>
    <t>Kosakonia phage 305</t>
  </si>
  <si>
    <t>MZ348423</t>
  </si>
  <si>
    <t>Karamvirus</t>
  </si>
  <si>
    <t>Enterobacter phage CC31</t>
  </si>
  <si>
    <t>GU323318</t>
  </si>
  <si>
    <t>Enterobacter phage myPSH1140</t>
  </si>
  <si>
    <t>MG999954</t>
  </si>
  <si>
    <t>Cronobacter phage Pet-CM3-4</t>
  </si>
  <si>
    <t>LT614807</t>
  </si>
  <si>
    <t>Enterobacter phage PG7</t>
  </si>
  <si>
    <t>KJ101592</t>
  </si>
  <si>
    <t>Moonvirus</t>
  </si>
  <si>
    <t>Citrobacter phage CF1 ERZ-2017</t>
  </si>
  <si>
    <t>MG250484</t>
  </si>
  <si>
    <t>Salmonella phage KM16</t>
  </si>
  <si>
    <t>MW325771</t>
  </si>
  <si>
    <t>Citrobacter phage Merlin</t>
  </si>
  <si>
    <t>KT001915</t>
  </si>
  <si>
    <t>Citrobacter phage Moon</t>
  </si>
  <si>
    <t>KM236240</t>
  </si>
  <si>
    <t>Mosigvirus</t>
  </si>
  <si>
    <t>Escherichia coli O157 typing phage 3</t>
  </si>
  <si>
    <t>KP869101</t>
  </si>
  <si>
    <t>Shigella phage phi25-307</t>
  </si>
  <si>
    <t>MG589383</t>
  </si>
  <si>
    <t>Enterobacteria phage ATK47</t>
  </si>
  <si>
    <t>KT184309</t>
  </si>
  <si>
    <t>Escherichia phage phiC120</t>
  </si>
  <si>
    <t>KY703222</t>
  </si>
  <si>
    <t>Escherichia phage HX01</t>
  </si>
  <si>
    <t>JX536493</t>
  </si>
  <si>
    <t>Escherichia phage vB_EcoM_JS09</t>
  </si>
  <si>
    <t>KF582788</t>
  </si>
  <si>
    <t>Escherichia phage APCEc01</t>
  </si>
  <si>
    <t>KR422352</t>
  </si>
  <si>
    <t>Escherichia phage p000v</t>
  </si>
  <si>
    <t>MK047717</t>
  </si>
  <si>
    <t>Escherichia phage vB_EcoM_PhAPEC2</t>
  </si>
  <si>
    <t>KF562341</t>
  </si>
  <si>
    <t>Escherichia phage RB69</t>
  </si>
  <si>
    <t>AY303349</t>
  </si>
  <si>
    <t>Escherichia phage SF</t>
  </si>
  <si>
    <t>MH359124</t>
  </si>
  <si>
    <t>Shigella phage SHSML-52-1</t>
  </si>
  <si>
    <t>KX130865</t>
  </si>
  <si>
    <t>Shigella phage Shf125875</t>
  </si>
  <si>
    <t>KM407600</t>
  </si>
  <si>
    <t>Mosugukvirus</t>
  </si>
  <si>
    <t>Pectobacterium bacteriophage PM2</t>
  </si>
  <si>
    <t>KF835987</t>
  </si>
  <si>
    <t>Roskildevirus</t>
  </si>
  <si>
    <t>Erwinia phage Cronus</t>
  </si>
  <si>
    <t>MH059636</t>
  </si>
  <si>
    <t>Tegunavirus</t>
  </si>
  <si>
    <t>Yersinia phage fHe-Yen9-01</t>
  </si>
  <si>
    <t>KY593455</t>
  </si>
  <si>
    <t>Yersinia phage phiR1-RT</t>
  </si>
  <si>
    <t>HE956709</t>
  </si>
  <si>
    <t>Yersinia phage vB_YenM_TG1</t>
  </si>
  <si>
    <t>KP202158</t>
  </si>
  <si>
    <t>Tequatrovirus</t>
  </si>
  <si>
    <t>Escherichia phage CF2</t>
  </si>
  <si>
    <t>KY608967</t>
  </si>
  <si>
    <t>Enterobacteria phage Aplg8</t>
  </si>
  <si>
    <t>KT184308</t>
  </si>
  <si>
    <t>Escherichia phage AR1</t>
  </si>
  <si>
    <t>AP011113</t>
  </si>
  <si>
    <t>Escherichia phage vB_EcoM_ACG-C40</t>
  </si>
  <si>
    <t>JN986846</t>
  </si>
  <si>
    <t>Shigella phage CM8</t>
  </si>
  <si>
    <t>MK962750</t>
  </si>
  <si>
    <t>Citrobacter phage vB_CroM_CrRp10</t>
  </si>
  <si>
    <t>MG775043</t>
  </si>
  <si>
    <t>Yersinia phage phiD1</t>
  </si>
  <si>
    <t>HE956711</t>
  </si>
  <si>
    <t>Escherichia phage vB_EcoM_112</t>
  </si>
  <si>
    <t>KJ668714</t>
  </si>
  <si>
    <t>Escherichia phage ECO4</t>
  </si>
  <si>
    <t>MF001360</t>
  </si>
  <si>
    <t>Escherichia phage EC121</t>
  </si>
  <si>
    <t>MF001359</t>
  </si>
  <si>
    <t>Escherichia phage ECML-134</t>
  </si>
  <si>
    <t>JX128259</t>
  </si>
  <si>
    <t>Escherichia phage EcNP1</t>
  </si>
  <si>
    <t>MK886800</t>
  </si>
  <si>
    <t>Escherichia phage vB_EcoM-fFiEco06</t>
  </si>
  <si>
    <t>MG781190</t>
  </si>
  <si>
    <t>Escherichia phage vB_EcoM_DalCa</t>
  </si>
  <si>
    <t>MH992510</t>
  </si>
  <si>
    <t>Escherichia phage vB_EcoM-G28</t>
  </si>
  <si>
    <t>MG867727</t>
  </si>
  <si>
    <t>Enterobacteria phage vB_EcoM_IME339</t>
  </si>
  <si>
    <t>MH051915</t>
  </si>
  <si>
    <t>Enterobacteria phage vB_EcoM_IME340</t>
  </si>
  <si>
    <t>MH051916</t>
  </si>
  <si>
    <t>Escherichia phage vB_EcoM_NBG2</t>
  </si>
  <si>
    <t>MH243439</t>
  </si>
  <si>
    <t>Escherichia phage vB_EcoM-UFV13</t>
  </si>
  <si>
    <t>KU867876</t>
  </si>
  <si>
    <t>Escherichia phage vB_EcoM_F1</t>
  </si>
  <si>
    <t>MT682712</t>
  </si>
  <si>
    <t>Escherichia phage F2</t>
  </si>
  <si>
    <t>MN864145</t>
  </si>
  <si>
    <t>Yersinia phage fPS-2</t>
  </si>
  <si>
    <t>LR215722</t>
  </si>
  <si>
    <t>Yersinia phage fPS-65</t>
  </si>
  <si>
    <t>LR215724</t>
  </si>
  <si>
    <t>Yersinia phage fPS-90</t>
  </si>
  <si>
    <t>LR215723</t>
  </si>
  <si>
    <t>Escherichia phage vB_EcoM_G4498</t>
  </si>
  <si>
    <t>MK327939</t>
  </si>
  <si>
    <t>Escherichia phage vB_EcoM_G4507</t>
  </si>
  <si>
    <t>MK327946</t>
  </si>
  <si>
    <t>Escherichia phage vB_EcoM_G50</t>
  </si>
  <si>
    <t>MK327942</t>
  </si>
  <si>
    <t>Escherichia phage vB_EcoM_G9062</t>
  </si>
  <si>
    <t>MK373779</t>
  </si>
  <si>
    <t>Escherichia phage vB_EcoM_G8</t>
  </si>
  <si>
    <t>MK373787</t>
  </si>
  <si>
    <t>Enterobacteria phage GiZh</t>
  </si>
  <si>
    <t>KT184311</t>
  </si>
  <si>
    <t>Escherichia phage HY01</t>
  </si>
  <si>
    <t>KF925357</t>
  </si>
  <si>
    <t>Escherichia phage HY03</t>
  </si>
  <si>
    <t>KR269718</t>
  </si>
  <si>
    <t>Escherichia phage ime09</t>
  </si>
  <si>
    <t>JN202312</t>
  </si>
  <si>
    <t>Escherichia phage vB_EcoM_IME537</t>
  </si>
  <si>
    <t>MT179807</t>
  </si>
  <si>
    <t>Shigella phage JK45</t>
  </si>
  <si>
    <t>MK962757</t>
  </si>
  <si>
    <t>Escherichia phage vB_EcoM_KAW1E185</t>
  </si>
  <si>
    <t>MK373781</t>
  </si>
  <si>
    <t>Enterobacteria phage Kha5h</t>
  </si>
  <si>
    <t>KT184312</t>
  </si>
  <si>
    <t>Escherichia phage KIT03</t>
  </si>
  <si>
    <t>AP018932</t>
  </si>
  <si>
    <t>Shigella phage KNP5</t>
  </si>
  <si>
    <t>KX452698</t>
  </si>
  <si>
    <t>Escherichia phage vB_EcoM_Lutter</t>
  </si>
  <si>
    <t>MT682714</t>
  </si>
  <si>
    <t>Escherichia phage MLF4</t>
  </si>
  <si>
    <t>MH992121</t>
  </si>
  <si>
    <t>Phage NBEco003</t>
  </si>
  <si>
    <t>MN994497</t>
  </si>
  <si>
    <t>Escherichia phage vB_EcoM_OE5505</t>
  </si>
  <si>
    <t>MK373785</t>
  </si>
  <si>
    <t>Escherichia phage vB_EcoM_Ozark</t>
  </si>
  <si>
    <t>MT682713</t>
  </si>
  <si>
    <t>Escherichia phage vB_vPM_PD112</t>
  </si>
  <si>
    <t>MH837626</t>
  </si>
  <si>
    <t>Escherichia phage PE37</t>
  </si>
  <si>
    <t>KU925172</t>
  </si>
  <si>
    <t>Escherichia phage PP01</t>
  </si>
  <si>
    <t>LC348379</t>
  </si>
  <si>
    <t>Shigella phage pSs-1</t>
  </si>
  <si>
    <t>KM501444</t>
  </si>
  <si>
    <t>Yersinia phage PST</t>
  </si>
  <si>
    <t>KF208315</t>
  </si>
  <si>
    <t>Yersinia phage PYPS2T</t>
  </si>
  <si>
    <t>MH809535</t>
  </si>
  <si>
    <t>Escherichia phage RB14</t>
  </si>
  <si>
    <t>FJ839692</t>
  </si>
  <si>
    <t>Enterobacteria phage RB18</t>
  </si>
  <si>
    <t>MH553563</t>
  </si>
  <si>
    <t>Enterobacteria phage RB27</t>
  </si>
  <si>
    <t>KM607000</t>
  </si>
  <si>
    <t>Escherichia phage RB3</t>
  </si>
  <si>
    <t>KM606994</t>
  </si>
  <si>
    <t>Escherichia phage RB32</t>
  </si>
  <si>
    <t>DQ904452</t>
  </si>
  <si>
    <t>Enterobacteria phage RB51</t>
  </si>
  <si>
    <t>FJ839693</t>
  </si>
  <si>
    <t>Shigella phage Sf21</t>
  </si>
  <si>
    <t>MF327007</t>
  </si>
  <si>
    <t>Shigella phage Sf22</t>
  </si>
  <si>
    <t>MF158045</t>
  </si>
  <si>
    <t>Shigella phage Sf23</t>
  </si>
  <si>
    <t>MF158046</t>
  </si>
  <si>
    <t>Shigella phage Sf24</t>
  </si>
  <si>
    <t>MF327008</t>
  </si>
  <si>
    <t>Salmonella phage SG1</t>
  </si>
  <si>
    <t>MF001354</t>
  </si>
  <si>
    <t>Shigella phage SH7</t>
  </si>
  <si>
    <t>KX828711</t>
  </si>
  <si>
    <t>Shigella phage SHBML-50-1</t>
  </si>
  <si>
    <t>KX130864</t>
  </si>
  <si>
    <t>Shigella phage Shfl2</t>
  </si>
  <si>
    <t>HM035025</t>
  </si>
  <si>
    <t>Shigella phage SHFML-11</t>
  </si>
  <si>
    <t>KX130861</t>
  </si>
  <si>
    <t>Shigella phage SHFML-26</t>
  </si>
  <si>
    <t>KX130862</t>
  </si>
  <si>
    <t>Escherichia phage slur02</t>
  </si>
  <si>
    <t>LN881726</t>
  </si>
  <si>
    <t>Escherichia phage slur03</t>
  </si>
  <si>
    <t>LN881728</t>
  </si>
  <si>
    <t>Escherichia phage slur07</t>
  </si>
  <si>
    <t>LN881732</t>
  </si>
  <si>
    <t>Salmonella phage pSe_SNUABM_01</t>
  </si>
  <si>
    <t>MN580668</t>
  </si>
  <si>
    <t>Escherichia phage T2</t>
  </si>
  <si>
    <t>LC348380</t>
  </si>
  <si>
    <t>Escherichia phage T4</t>
  </si>
  <si>
    <t>AF158101</t>
  </si>
  <si>
    <t>Enterobacteria phage T6</t>
  </si>
  <si>
    <t>AP018814</t>
  </si>
  <si>
    <t>Escherichia phage teqdroes</t>
  </si>
  <si>
    <t>MN895438</t>
  </si>
  <si>
    <t>Escherichia phage teqhad</t>
  </si>
  <si>
    <t>MN895434</t>
  </si>
  <si>
    <t>Escherichia phage teqskov</t>
  </si>
  <si>
    <t>MN895437</t>
  </si>
  <si>
    <t>Escherichia phage UFV-AREG1</t>
  </si>
  <si>
    <t>KX009778</t>
  </si>
  <si>
    <t>Escherichia phage wV7</t>
  </si>
  <si>
    <t>HM997020</t>
  </si>
  <si>
    <t>Escherichia phage YUEEL01</t>
  </si>
  <si>
    <t>KY290975</t>
  </si>
  <si>
    <t>Yersinia phage vB_YepM_ZN18</t>
  </si>
  <si>
    <t>MN716856</t>
  </si>
  <si>
    <t>Citrobacter phage PhiZZ23</t>
  </si>
  <si>
    <t>MT176425</t>
  </si>
  <si>
    <t>Citrobacter phage PhiZZ6</t>
  </si>
  <si>
    <t>MT176424</t>
  </si>
  <si>
    <t>Serratia phage PhiZZ30</t>
  </si>
  <si>
    <t>MT176426</t>
  </si>
  <si>
    <t>Winklervirus</t>
  </si>
  <si>
    <t>Serratia phage CHI14</t>
  </si>
  <si>
    <t>MF036690</t>
  </si>
  <si>
    <t>Serratia phage X20</t>
  </si>
  <si>
    <t>MF036692</t>
  </si>
  <si>
    <t>Twarogvirinae</t>
  </si>
  <si>
    <t>Acajnonavirus</t>
  </si>
  <si>
    <t>Acinetobacter phage Acj9</t>
  </si>
  <si>
    <t>HM004124</t>
  </si>
  <si>
    <t>Hadassahvirus</t>
  </si>
  <si>
    <t>Acinetobacter phage AbTZA1</t>
  </si>
  <si>
    <t>MK278860</t>
  </si>
  <si>
    <t>Acinetobacter phage vB_AbaM_PhT2</t>
  </si>
  <si>
    <t>MN864865</t>
  </si>
  <si>
    <t>Lasallevirus</t>
  </si>
  <si>
    <t>Acinetobacter phage Acj61</t>
  </si>
  <si>
    <t>GU911519</t>
  </si>
  <si>
    <t>Lazarusvirus</t>
  </si>
  <si>
    <t>Acinetobacter phage AM101</t>
  </si>
  <si>
    <t>MH165274</t>
  </si>
  <si>
    <t>Acinetobacter phage vB_AbaM_Apostate</t>
  </si>
  <si>
    <t>MN723850</t>
  </si>
  <si>
    <t>Acinetobacter phage vB_AbaM_Berthold</t>
  </si>
  <si>
    <t>MN709128</t>
  </si>
  <si>
    <t>Acinetobacter phage vB_ApiM_fHyAci03</t>
  </si>
  <si>
    <t>MH460829</t>
  </si>
  <si>
    <t>Acinetobacter phage KARL-1</t>
  </si>
  <si>
    <t>MH713599</t>
  </si>
  <si>
    <t>Acinetobacter phage vB_AbaM_Kimel</t>
  </si>
  <si>
    <t>MN732883</t>
  </si>
  <si>
    <t>Acinetobacter phage vB_AbaM_Konradin</t>
  </si>
  <si>
    <t>MN648195</t>
  </si>
  <si>
    <t>Acinetobacter phage vB_AbaM_Lazarus</t>
  </si>
  <si>
    <t>MN782535</t>
  </si>
  <si>
    <t>Zedzedvirus</t>
  </si>
  <si>
    <t>Acinetobacter phage ZZ1</t>
  </si>
  <si>
    <t>HQ698922</t>
  </si>
  <si>
    <t>Suolaviridae</t>
  </si>
  <si>
    <t>Pormufvirus</t>
  </si>
  <si>
    <t>Halorubrum tailed virus 28</t>
  </si>
  <si>
    <t>HRTV-28</t>
  </si>
  <si>
    <t>MZ334528</t>
  </si>
  <si>
    <t>Verdandiviridae</t>
  </si>
  <si>
    <t>Dolusvirus</t>
  </si>
  <si>
    <t>Lokiarchaeia virus VerdaV4</t>
  </si>
  <si>
    <t>VerdaV4</t>
  </si>
  <si>
    <t>LC711080</t>
  </si>
  <si>
    <t>Lokiarchaeia virus VerdaV1</t>
  </si>
  <si>
    <t>VerdaV1</t>
  </si>
  <si>
    <t>LC711077</t>
  </si>
  <si>
    <t>Tonitrusvirus</t>
  </si>
  <si>
    <t>Thorarchaeia virus VerdaV2</t>
  </si>
  <si>
    <t>VerdaV2</t>
  </si>
  <si>
    <t>LC711078</t>
  </si>
  <si>
    <t>Vertoviridae</t>
  </si>
  <si>
    <t>Chaovirus</t>
  </si>
  <si>
    <t>Halobacterium phage ChaoS9</t>
  </si>
  <si>
    <t>ChaoS9</t>
  </si>
  <si>
    <t>MK310226</t>
  </si>
  <si>
    <t>Myohalovirus</t>
  </si>
  <si>
    <t>Natrialba virus PhiCh1</t>
  </si>
  <si>
    <t>PhiCh1</t>
  </si>
  <si>
    <t>MK450543</t>
  </si>
  <si>
    <t>Halobacterium phage phi H</t>
  </si>
  <si>
    <t>variant 1</t>
  </si>
  <si>
    <t>MK002701</t>
  </si>
  <si>
    <t>Vilmaviridae</t>
  </si>
  <si>
    <t>Kumaovirus</t>
  </si>
  <si>
    <t>Mycobacterium phage Kumao</t>
  </si>
  <si>
    <t>MG009575</t>
  </si>
  <si>
    <t>Wildcatvirus</t>
  </si>
  <si>
    <t>Mycobacterium phage Wildcat</t>
  </si>
  <si>
    <t>DQ398052</t>
  </si>
  <si>
    <t>Lclasvirinae</t>
  </si>
  <si>
    <t>Bromdenvirus</t>
  </si>
  <si>
    <t>Mycobacterium phage Bromden</t>
  </si>
  <si>
    <t>MH576973</t>
  </si>
  <si>
    <t>Mycobacterium phage DyoEdafos</t>
  </si>
  <si>
    <t>MN234187</t>
  </si>
  <si>
    <t>Bronvirus</t>
  </si>
  <si>
    <t>Mycobacterium phage CicholasNage</t>
  </si>
  <si>
    <t>MK310144</t>
  </si>
  <si>
    <t>Mycobacterium phage DirkDirk</t>
  </si>
  <si>
    <t>MN617841</t>
  </si>
  <si>
    <t>Mycobacterium phage OhShagHennessy</t>
  </si>
  <si>
    <t>MW435855</t>
  </si>
  <si>
    <t>Mycobacterium phage Silverleaf</t>
  </si>
  <si>
    <t>MK494092</t>
  </si>
  <si>
    <t>Mycobacterium phage LeBron</t>
  </si>
  <si>
    <t>HM152763</t>
  </si>
  <si>
    <t>Mycobacterium phage JoeDirt</t>
  </si>
  <si>
    <t>JF704108</t>
  </si>
  <si>
    <t>Faithunavirus</t>
  </si>
  <si>
    <t>Mycobacterium phage Archie</t>
  </si>
  <si>
    <t>KT591489</t>
  </si>
  <si>
    <t>Mycobacterium phage CELFI</t>
  </si>
  <si>
    <t>MT758688</t>
  </si>
  <si>
    <t>Mycobacterium phage Faith1</t>
  </si>
  <si>
    <t>JF744988</t>
  </si>
  <si>
    <t>Mycobacterium phage Finemlucis</t>
  </si>
  <si>
    <t>MF185728</t>
  </si>
  <si>
    <t>Mycobacterium phage GuuelaD</t>
  </si>
  <si>
    <t>MF324910</t>
  </si>
  <si>
    <t>Mycobacterium phage Rumpelstiltskin</t>
  </si>
  <si>
    <t>JN680858</t>
  </si>
  <si>
    <t>Mycobacterium phage Tourach</t>
  </si>
  <si>
    <t>MN234228</t>
  </si>
  <si>
    <t>Lumosvirus</t>
  </si>
  <si>
    <t>Mycobacterium phage Krypton555</t>
  </si>
  <si>
    <t>MF140414</t>
  </si>
  <si>
    <t>Mycobacterium phage Lolly9</t>
  </si>
  <si>
    <t>KT281791</t>
  </si>
  <si>
    <t>Mycobacterium phage Lumos</t>
  </si>
  <si>
    <t>KT372003</t>
  </si>
  <si>
    <t>Mycobacterium phage Whirlwind</t>
  </si>
  <si>
    <t>KF024725</t>
  </si>
  <si>
    <t>Mclasvirinae</t>
  </si>
  <si>
    <t>Bongovirus</t>
  </si>
  <si>
    <t>Mycobacterium phage Bongo</t>
  </si>
  <si>
    <t>JN699628</t>
  </si>
  <si>
    <t>Mycobacterium phage Reindeer</t>
  </si>
  <si>
    <t>MT658803</t>
  </si>
  <si>
    <t>Reyvirus</t>
  </si>
  <si>
    <t>Mycobacterium phage Aziz</t>
  </si>
  <si>
    <t>MT658802</t>
  </si>
  <si>
    <t>Mycobacterium phage Estes</t>
  </si>
  <si>
    <t>MT657341</t>
  </si>
  <si>
    <t>Mycobacterium phage MrMagoo</t>
  </si>
  <si>
    <t>KY223999</t>
  </si>
  <si>
    <t>Mycobacterium phage Rey</t>
  </si>
  <si>
    <t>JF937105</t>
  </si>
  <si>
    <t>Winoviridae</t>
  </si>
  <si>
    <t>Peternellavirus</t>
  </si>
  <si>
    <t>Winogradskyella phage Peternella_1</t>
  </si>
  <si>
    <t>Peternella_1</t>
  </si>
  <si>
    <t>MT732475</t>
  </si>
  <si>
    <t>Pippivirus</t>
  </si>
  <si>
    <t>vB_FspM_lotta8-1</t>
  </si>
  <si>
    <t>MN812203</t>
  </si>
  <si>
    <t>vB_FspM_pippi8-1</t>
  </si>
  <si>
    <t>MN812205</t>
  </si>
  <si>
    <t>Zierdtviridae</t>
  </si>
  <si>
    <t>Emilbogenvirinae</t>
  </si>
  <si>
    <t>Foxborovirus</t>
  </si>
  <si>
    <t>Gordonia phage Emianna</t>
  </si>
  <si>
    <t>MH779501</t>
  </si>
  <si>
    <t>Gordonia phage Foxboro</t>
  </si>
  <si>
    <t>MH727547</t>
  </si>
  <si>
    <t>Gordonia phage GTE8</t>
  </si>
  <si>
    <t>KR053201</t>
  </si>
  <si>
    <t>Gordonia phage KidneyBean</t>
  </si>
  <si>
    <t>MH727552</t>
  </si>
  <si>
    <t>Gordonia phage NatB6</t>
  </si>
  <si>
    <t>MH536824</t>
  </si>
  <si>
    <t>Gruunavirus</t>
  </si>
  <si>
    <t>Gordonia phage Flapper</t>
  </si>
  <si>
    <t>MG757157</t>
  </si>
  <si>
    <t>Gordonia phage GRU1</t>
  </si>
  <si>
    <t>JF923797</t>
  </si>
  <si>
    <t>Gordonia phage GTE5</t>
  </si>
  <si>
    <t>JF923796</t>
  </si>
  <si>
    <t>Gordonia phage Turuncu</t>
  </si>
  <si>
    <t>MH744424</t>
  </si>
  <si>
    <t>Kablunavirus</t>
  </si>
  <si>
    <t>Gordonia phage Buggaboo</t>
  </si>
  <si>
    <t>MH779499</t>
  </si>
  <si>
    <t>Gordonia phage Kabluna</t>
  </si>
  <si>
    <t>MF919510</t>
  </si>
  <si>
    <t>Gordonia phage NosilaM</t>
  </si>
  <si>
    <t>MK376962</t>
  </si>
  <si>
    <t>Pleakleyvirus</t>
  </si>
  <si>
    <t>Gordonia phage Pleakley</t>
  </si>
  <si>
    <t>MH576960</t>
  </si>
  <si>
    <t>Skysandvirus</t>
  </si>
  <si>
    <t>Gordonia Phage Lollipop1437</t>
  </si>
  <si>
    <t>MK977699</t>
  </si>
  <si>
    <t>Gordonia phage Patio</t>
  </si>
  <si>
    <t>MF919542</t>
  </si>
  <si>
    <t>Gordonia phage Skysand</t>
  </si>
  <si>
    <t>MH669013</t>
  </si>
  <si>
    <t>Sukkupivirus</t>
  </si>
  <si>
    <t>Gordonia phage IDyn</t>
  </si>
  <si>
    <t>MK433272</t>
  </si>
  <si>
    <t>Gordonia phage Marietta</t>
  </si>
  <si>
    <t>MH669007</t>
  </si>
  <si>
    <t>Gordonia phage NadineRae</t>
  </si>
  <si>
    <t>MN428063</t>
  </si>
  <si>
    <t>Gordonia phage Sukkupi</t>
  </si>
  <si>
    <t>MN369753</t>
  </si>
  <si>
    <t>Toshachvirinae</t>
  </si>
  <si>
    <t>Ceetrepovirus</t>
  </si>
  <si>
    <t>Corynebacterium phage Kimchi1738</t>
  </si>
  <si>
    <t>MH926057</t>
  </si>
  <si>
    <t>Corynebacterium phage Stickynote</t>
  </si>
  <si>
    <t>MK977700</t>
  </si>
  <si>
    <t>Corynebacterium phage C3PO</t>
  </si>
  <si>
    <t>MG198776</t>
  </si>
  <si>
    <t>Corynebacterium phage Darwin</t>
  </si>
  <si>
    <t>MG198777</t>
  </si>
  <si>
    <t>Corynebacterium phage Zion</t>
  </si>
  <si>
    <t>MG198780</t>
  </si>
  <si>
    <t>Chunghsingvirus</t>
  </si>
  <si>
    <t>Corynebacterium phage P1201</t>
  </si>
  <si>
    <t>DQ499600</t>
  </si>
  <si>
    <t>Zobellviridae</t>
  </si>
  <si>
    <t>Citrovirus</t>
  </si>
  <si>
    <t>Citrobacter phage CVT22</t>
  </si>
  <si>
    <t>KP774835</t>
  </si>
  <si>
    <t>Icepovirus</t>
  </si>
  <si>
    <t>Vibrio phage ICP2</t>
  </si>
  <si>
    <t>HQ641345</t>
  </si>
  <si>
    <t>Melvirus</t>
  </si>
  <si>
    <t>Pseudoalteromonas phage HP1</t>
  </si>
  <si>
    <t>KF302037</t>
  </si>
  <si>
    <t>Pseudoalteromonas phage RIO-1</t>
  </si>
  <si>
    <t>KC751414</t>
  </si>
  <si>
    <t>Paundecimvirus</t>
  </si>
  <si>
    <t>Pseudomonas phage PA11</t>
  </si>
  <si>
    <t>DQ163915</t>
  </si>
  <si>
    <t>Salinovirus</t>
  </si>
  <si>
    <t>Salinivibrio phage CW02</t>
  </si>
  <si>
    <t>JQ446452</t>
  </si>
  <si>
    <t>Vipivirus</t>
  </si>
  <si>
    <t>Vibrio phage VpV262</t>
  </si>
  <si>
    <t>AY095314</t>
  </si>
  <si>
    <t>Cobavirinae</t>
  </si>
  <si>
    <t>Siovirus</t>
  </si>
  <si>
    <t>Roseobacter phage SIO1</t>
  </si>
  <si>
    <t>AF189021</t>
  </si>
  <si>
    <t>Celeribacter phage P12053L</t>
  </si>
  <si>
    <t>JQ809650</t>
  </si>
  <si>
    <t>Lentibacter phage vB_LenP_ICBM1</t>
  </si>
  <si>
    <t>ICBM1</t>
  </si>
  <si>
    <t>MF431617</t>
  </si>
  <si>
    <t>Veravirus</t>
  </si>
  <si>
    <t>Lentibacter phage vB_LenP_ICBM2</t>
  </si>
  <si>
    <t>ICBM2</t>
  </si>
  <si>
    <t>MF431616</t>
  </si>
  <si>
    <t>Crassvirales</t>
  </si>
  <si>
    <t>Crevaviridae</t>
  </si>
  <si>
    <t>Coarsevirinae</t>
  </si>
  <si>
    <t>Junduvirus</t>
  </si>
  <si>
    <t>uncultured phage cr2_1</t>
  </si>
  <si>
    <t>MZ130489</t>
  </si>
  <si>
    <t>uncultured phage cr25_1</t>
  </si>
  <si>
    <t>MZ130487</t>
  </si>
  <si>
    <t>Doltivirinae</t>
  </si>
  <si>
    <t>Kahucivirus</t>
  </si>
  <si>
    <t>uncultured phage cr127_1</t>
  </si>
  <si>
    <t>MT774393</t>
  </si>
  <si>
    <t>Kingevirus</t>
  </si>
  <si>
    <t>uncultured phage cr13_1</t>
  </si>
  <si>
    <t>MZ130490</t>
  </si>
  <si>
    <t>Intestiviridae</t>
  </si>
  <si>
    <t>Churivirinae</t>
  </si>
  <si>
    <t>Jahgtovirus</t>
  </si>
  <si>
    <t>uncultured phage cr36_1</t>
  </si>
  <si>
    <t>MZ130479</t>
  </si>
  <si>
    <t>uncultured phage cr54_1</t>
  </si>
  <si>
    <t>MZ130484</t>
  </si>
  <si>
    <t>uncultured phage cr107_1</t>
  </si>
  <si>
    <t>MT774377</t>
  </si>
  <si>
    <t>Bacteroides phage crAss002</t>
  </si>
  <si>
    <t>MN917146</t>
  </si>
  <si>
    <t>Crudevirinae</t>
  </si>
  <si>
    <t>Carjivirus</t>
  </si>
  <si>
    <t>crAssphage</t>
  </si>
  <si>
    <t>BK010471</t>
  </si>
  <si>
    <t>uncultured phage cr99_1</t>
  </si>
  <si>
    <t>MZ130481</t>
  </si>
  <si>
    <t>Dabirmavirus</t>
  </si>
  <si>
    <t>uncultured phage cr9_1</t>
  </si>
  <si>
    <t>MZ130486</t>
  </si>
  <si>
    <t>Delmidovirus</t>
  </si>
  <si>
    <t>uncultured phage cr123_1</t>
  </si>
  <si>
    <t>MZ130476</t>
  </si>
  <si>
    <t>uncultured phage cr110_1</t>
  </si>
  <si>
    <t>MT774386</t>
  </si>
  <si>
    <t>uncultured phage cr11_1</t>
  </si>
  <si>
    <t>MT774383</t>
  </si>
  <si>
    <t>Diorhovirus</t>
  </si>
  <si>
    <t>uncultured phage cr49_1</t>
  </si>
  <si>
    <t>MZ130474</t>
  </si>
  <si>
    <t>uncultured phage cr3_1</t>
  </si>
  <si>
    <t>MT774381</t>
  </si>
  <si>
    <t>Drivevirus</t>
  </si>
  <si>
    <t>uncultured phage cr91_1</t>
  </si>
  <si>
    <t>MZ130480</t>
  </si>
  <si>
    <t>Endlipuvirus</t>
  </si>
  <si>
    <t>uncultured phage cr17_1</t>
  </si>
  <si>
    <t>MZ130488</t>
  </si>
  <si>
    <t>Whopevirus</t>
  </si>
  <si>
    <t>crAssphage sp. isolate ctbg_1</t>
  </si>
  <si>
    <t>MH616963</t>
  </si>
  <si>
    <t>Obtuvirinae</t>
  </si>
  <si>
    <t>Fohxhuevirus</t>
  </si>
  <si>
    <t>uncultured phage cr8_1</t>
  </si>
  <si>
    <t>MT774384</t>
  </si>
  <si>
    <t>Hacihdavirus</t>
  </si>
  <si>
    <t>uncultured phage cr271_1</t>
  </si>
  <si>
    <t>MT774394</t>
  </si>
  <si>
    <t>Wotdevirus</t>
  </si>
  <si>
    <t>crAssphage sp. isolate ctcc615</t>
  </si>
  <si>
    <t>MH552500</t>
  </si>
  <si>
    <t>Steigviridae</t>
  </si>
  <si>
    <t>Asinivirinae</t>
  </si>
  <si>
    <t>Akihdevirus</t>
  </si>
  <si>
    <t>Cellulophaga phage phi14:2</t>
  </si>
  <si>
    <t>KC821624</t>
  </si>
  <si>
    <t>Kahnovirus</t>
  </si>
  <si>
    <t>uncultured phage cr44_1</t>
  </si>
  <si>
    <t>MZ130483</t>
  </si>
  <si>
    <t>uncultured phage cr85_1</t>
  </si>
  <si>
    <t>MT774390</t>
  </si>
  <si>
    <t>Kehishuvirus</t>
  </si>
  <si>
    <t>Bacteroides phage crAss001</t>
  </si>
  <si>
    <t>MH675552</t>
  </si>
  <si>
    <t>uncultured phage cr112_1</t>
  </si>
  <si>
    <t>MT774388</t>
  </si>
  <si>
    <t>Kolpuevirus</t>
  </si>
  <si>
    <t>uncultured phage cr151_1</t>
  </si>
  <si>
    <t>MZ130478</t>
  </si>
  <si>
    <t>uncultured phage cr126_1</t>
  </si>
  <si>
    <t>MT774391</t>
  </si>
  <si>
    <t>Lahndsivirus</t>
  </si>
  <si>
    <t>uncultured phage cr111_1</t>
  </si>
  <si>
    <t>MT774387</t>
  </si>
  <si>
    <t>Lebriduvirus</t>
  </si>
  <si>
    <t>uncultured phage cr18_1</t>
  </si>
  <si>
    <t>MZ130485</t>
  </si>
  <si>
    <t>Mahlunavirus</t>
  </si>
  <si>
    <t>uncultured phage cr128_1</t>
  </si>
  <si>
    <t>MT774392</t>
  </si>
  <si>
    <t>Mahstovirus</t>
  </si>
  <si>
    <t>uncultured phage cr106_1</t>
  </si>
  <si>
    <t>MT774378</t>
  </si>
  <si>
    <t>Pamirivirus</t>
  </si>
  <si>
    <t>uncultured phage cr116_1</t>
  </si>
  <si>
    <t>MT774389</t>
  </si>
  <si>
    <t>Paundivirus</t>
  </si>
  <si>
    <t>IAS virus</t>
  </si>
  <si>
    <t>KJ003983</t>
  </si>
  <si>
    <t>Pipoluvirus</t>
  </si>
  <si>
    <t>uncultured phage cr108_1</t>
  </si>
  <si>
    <t>MT774385</t>
  </si>
  <si>
    <t>Wulfhauvirus</t>
  </si>
  <si>
    <t>Bacteroides phage DAC15</t>
  </si>
  <si>
    <t>MT074136</t>
  </si>
  <si>
    <t>Suoliviridae</t>
  </si>
  <si>
    <t>Dechshavirus</t>
  </si>
  <si>
    <t>Azobacteroides phage ProJPt-Bp1</t>
  </si>
  <si>
    <t>AP017903</t>
  </si>
  <si>
    <t>Bearivirinae</t>
  </si>
  <si>
    <t>Afonbuvirus</t>
  </si>
  <si>
    <t>uncultured phage cr35_1</t>
  </si>
  <si>
    <t>MZ130499</t>
  </si>
  <si>
    <t>uncultured phage cr6_1</t>
  </si>
  <si>
    <t>MT774401</t>
  </si>
  <si>
    <t>uncultured phage cr12_1</t>
  </si>
  <si>
    <t>MZ130492</t>
  </si>
  <si>
    <t>Boorivirinae</t>
  </si>
  <si>
    <t>Canhaevirus</t>
  </si>
  <si>
    <t>uncultured phage cr77_1</t>
  </si>
  <si>
    <t>MZ130482</t>
  </si>
  <si>
    <t>uncultured phage cr10_1</t>
  </si>
  <si>
    <t>MT774382</t>
  </si>
  <si>
    <t>Cohcovirus</t>
  </si>
  <si>
    <t>uncultured phage cr50_1</t>
  </si>
  <si>
    <t>MT774375</t>
  </si>
  <si>
    <t>uncultured phage cr30_1</t>
  </si>
  <si>
    <t>MZ130475</t>
  </si>
  <si>
    <t>Culoivirus</t>
  </si>
  <si>
    <t>uncultured phage cr1_1</t>
  </si>
  <si>
    <t>MT774380</t>
  </si>
  <si>
    <t>uncultured phage cr149_1</t>
  </si>
  <si>
    <t>MZ130477</t>
  </si>
  <si>
    <t>uncultured phage cr55_1</t>
  </si>
  <si>
    <t>MT774376</t>
  </si>
  <si>
    <t>Loutivirinae</t>
  </si>
  <si>
    <t>Blohavirus</t>
  </si>
  <si>
    <t>uncultured phage cr53_1</t>
  </si>
  <si>
    <t>MT774396</t>
  </si>
  <si>
    <t>uncultured phage cr150_1</t>
  </si>
  <si>
    <t>MZ130495</t>
  </si>
  <si>
    <t>Buchavirus</t>
  </si>
  <si>
    <t>uncultured phage cr113_1</t>
  </si>
  <si>
    <t>MT774403</t>
  </si>
  <si>
    <t>uncultured phage cr52_1</t>
  </si>
  <si>
    <t>MT774395</t>
  </si>
  <si>
    <t>uncultured phage cr56_1</t>
  </si>
  <si>
    <t>MT774397</t>
  </si>
  <si>
    <t>uncultured phage cr16_1</t>
  </si>
  <si>
    <t>MZ130498</t>
  </si>
  <si>
    <t>uncultured phage cr60_1</t>
  </si>
  <si>
    <t>MT774398</t>
  </si>
  <si>
    <t>uncultured phage cr105_1</t>
  </si>
  <si>
    <t>MZ130493</t>
  </si>
  <si>
    <t>uncultured phage cr82_1</t>
  </si>
  <si>
    <t>MZ130496</t>
  </si>
  <si>
    <t>uncultured phage cr109_1</t>
  </si>
  <si>
    <t>MT774399</t>
  </si>
  <si>
    <t>Buorbuivirus</t>
  </si>
  <si>
    <t>uncultured phage cr4_1</t>
  </si>
  <si>
    <t>MT774400</t>
  </si>
  <si>
    <t>Oafivirinae</t>
  </si>
  <si>
    <t>Bohxovirus</t>
  </si>
  <si>
    <t>uncultured phage cr61_1</t>
  </si>
  <si>
    <t>MZ130491</t>
  </si>
  <si>
    <t>Buhlduvirus</t>
  </si>
  <si>
    <t>uncultured phage cr273_1</t>
  </si>
  <si>
    <t>MT774411</t>
  </si>
  <si>
    <t>uncultured phage cr272_1</t>
  </si>
  <si>
    <t>MT774410</t>
  </si>
  <si>
    <t>Burzaovirus</t>
  </si>
  <si>
    <t>uncultured phage cr7_1</t>
  </si>
  <si>
    <t>MT774402</t>
  </si>
  <si>
    <t>uncultured phage cr124_1</t>
  </si>
  <si>
    <t>MT774406</t>
  </si>
  <si>
    <t>uncultured phage cr29_1</t>
  </si>
  <si>
    <t>MZ130497</t>
  </si>
  <si>
    <t>Cacepaovirus</t>
  </si>
  <si>
    <t>uncultured phage cr131_1</t>
  </si>
  <si>
    <t>MT774409</t>
  </si>
  <si>
    <t>Chuhaivirus</t>
  </si>
  <si>
    <t>uncultured phage cr130_1</t>
  </si>
  <si>
    <t>MT774408</t>
  </si>
  <si>
    <t>Uncouvirinae</t>
  </si>
  <si>
    <t>Aurodevirus</t>
  </si>
  <si>
    <t>uncultured phage cr23_1</t>
  </si>
  <si>
    <t>MZ130500</t>
  </si>
  <si>
    <t>uncultured phage cr125_1</t>
  </si>
  <si>
    <t>MT774407</t>
  </si>
  <si>
    <t>uncultured phage cr114_1</t>
  </si>
  <si>
    <t>MT774404</t>
  </si>
  <si>
    <t>Besingivirus</t>
  </si>
  <si>
    <t>uncultured phage cr118_1</t>
  </si>
  <si>
    <t>MT774379</t>
  </si>
  <si>
    <t>Birpovirus</t>
  </si>
  <si>
    <t>uncultured phage cr115_1</t>
  </si>
  <si>
    <t>MT774405</t>
  </si>
  <si>
    <t>uncultured phage cr19_1</t>
  </si>
  <si>
    <t>MZ130494</t>
  </si>
  <si>
    <t>Juravirales</t>
  </si>
  <si>
    <t>Yangangviridae</t>
  </si>
  <si>
    <t>Mathaucavirus</t>
  </si>
  <si>
    <t>Nitrososphaeria virus YSH_922147</t>
  </si>
  <si>
    <t>YSH_922147</t>
  </si>
  <si>
    <t>ON649701</t>
  </si>
  <si>
    <t>Nohelivirus</t>
  </si>
  <si>
    <t>Nitrososphaeria virus YSH_462411</t>
  </si>
  <si>
    <t>YSH_462411</t>
  </si>
  <si>
    <t>ON649699</t>
  </si>
  <si>
    <t>Senitvirus</t>
  </si>
  <si>
    <t>Nitrososphaeria virus YSH_174770</t>
  </si>
  <si>
    <t>YSH_174770</t>
  </si>
  <si>
    <t>ON649700</t>
  </si>
  <si>
    <t>Yanlukaviridae</t>
  </si>
  <si>
    <t>Sweetvirus</t>
  </si>
  <si>
    <t>Nitrososphaeria virus YSH_1032793</t>
  </si>
  <si>
    <t>YSH_1032793</t>
  </si>
  <si>
    <t>ON649698</t>
  </si>
  <si>
    <t>Kirjokansivirales</t>
  </si>
  <si>
    <t>Graaviviridae</t>
  </si>
  <si>
    <t>Beejeyvirus</t>
  </si>
  <si>
    <t>Halorubrum virus BJ1</t>
  </si>
  <si>
    <t>BJ1</t>
  </si>
  <si>
    <t>AM419438</t>
  </si>
  <si>
    <t>Seejivirus</t>
  </si>
  <si>
    <t>Halorubrum virus CGphi46</t>
  </si>
  <si>
    <t>CGphi46</t>
  </si>
  <si>
    <t>HQ332141</t>
  </si>
  <si>
    <t>Haloferuviridae</t>
  </si>
  <si>
    <t>Dpdavirus</t>
  </si>
  <si>
    <t>Halorubrum tailed virus 29</t>
  </si>
  <si>
    <t>HRTV29</t>
  </si>
  <si>
    <t>MZ334526</t>
  </si>
  <si>
    <t>Retbasiphovirus</t>
  </si>
  <si>
    <t>Haloferax tailed virus 1</t>
  </si>
  <si>
    <t>HFTV1</t>
  </si>
  <si>
    <t>MG550112</t>
  </si>
  <si>
    <t>Saldibavirus</t>
  </si>
  <si>
    <t>Halorubrum tailed virus 4</t>
  </si>
  <si>
    <t>HRTV4</t>
  </si>
  <si>
    <t>KC292023</t>
  </si>
  <si>
    <t>Pyrstoviridae</t>
  </si>
  <si>
    <t>Hatrivirus</t>
  </si>
  <si>
    <t>Haloarcula tailed virus 3</t>
  </si>
  <si>
    <t>HATV3</t>
  </si>
  <si>
    <t>MZ334527</t>
  </si>
  <si>
    <t>Shortaselviridae</t>
  </si>
  <si>
    <t>Lonfivirus</t>
  </si>
  <si>
    <t>Haloarcula sinaiiensis tailed virus 1</t>
  </si>
  <si>
    <t>HSTV1</t>
  </si>
  <si>
    <t>KC117378</t>
  </si>
  <si>
    <t>Magrovirales</t>
  </si>
  <si>
    <t>Aoguangviridae</t>
  </si>
  <si>
    <t>Aobingvirus</t>
  </si>
  <si>
    <t>Poseidoniales virus YSH_150918</t>
  </si>
  <si>
    <t>YSH_150918</t>
  </si>
  <si>
    <t>ON649702</t>
  </si>
  <si>
    <t>Methanobavirales</t>
  </si>
  <si>
    <t>Anaerodiviridae</t>
  </si>
  <si>
    <t>Metforvirus</t>
  </si>
  <si>
    <t>Methanobacterium virus Drs3</t>
  </si>
  <si>
    <t>Drs3</t>
  </si>
  <si>
    <t>MH674343</t>
  </si>
  <si>
    <t>Leisingerviridae</t>
  </si>
  <si>
    <t>Psimunavirus</t>
  </si>
  <si>
    <t>Methanobacterium phage psiM2</t>
  </si>
  <si>
    <t>AF065411</t>
  </si>
  <si>
    <t>Nakonvirales</t>
  </si>
  <si>
    <t>Ahpuchviridae</t>
  </si>
  <si>
    <t>Kisinvirus</t>
  </si>
  <si>
    <t>Methanophagales virus PBV299</t>
  </si>
  <si>
    <t>PBV299</t>
  </si>
  <si>
    <t>OP413838</t>
  </si>
  <si>
    <t>Ekchuahviridae</t>
  </si>
  <si>
    <t>Kukulkanvirus</t>
  </si>
  <si>
    <t>Methanophagales virus GBV301</t>
  </si>
  <si>
    <t>GBV301</t>
  </si>
  <si>
    <t>OP880252</t>
  </si>
  <si>
    <t>Methanophagales virus GBV302</t>
  </si>
  <si>
    <t>GBV302</t>
  </si>
  <si>
    <t>OP880253</t>
  </si>
  <si>
    <t>Thumleimavirales</t>
  </si>
  <si>
    <t>Druskaviridae</t>
  </si>
  <si>
    <t>Hacavirus</t>
  </si>
  <si>
    <t>Haloarcula californiae tailed virus 1</t>
  </si>
  <si>
    <t>HCTV-1</t>
  </si>
  <si>
    <t>KC292029</t>
  </si>
  <si>
    <t>Tredecimvirus</t>
  </si>
  <si>
    <t>Haloarcula vallismortis tailed virus 1</t>
  </si>
  <si>
    <t>HVTV-1</t>
  </si>
  <si>
    <t>KC117377</t>
  </si>
  <si>
    <t>Hafunaviridae</t>
  </si>
  <si>
    <t>Haloferacalesvirus</t>
  </si>
  <si>
    <t>Halophage HF1</t>
  </si>
  <si>
    <t>HF1</t>
  </si>
  <si>
    <t>AY190604</t>
  </si>
  <si>
    <t>Halorubrum tailed virus 24</t>
  </si>
  <si>
    <t>HRTV-24</t>
  </si>
  <si>
    <t>MZ334513</t>
  </si>
  <si>
    <t>Halorubrum tailed virus 10</t>
  </si>
  <si>
    <t>HRTV-10</t>
  </si>
  <si>
    <t>MZ334496</t>
  </si>
  <si>
    <t>Halorubrum tailed phage 5</t>
  </si>
  <si>
    <t>HRTV-5</t>
  </si>
  <si>
    <t>KC292022</t>
  </si>
  <si>
    <t>Halorubrum tailed phage 8</t>
  </si>
  <si>
    <t>HRTV-8</t>
  </si>
  <si>
    <t>KC292020</t>
  </si>
  <si>
    <t>Halorubrum sodomense tailed virus 4</t>
  </si>
  <si>
    <t>HSTV-4</t>
  </si>
  <si>
    <t>MZ334501</t>
  </si>
  <si>
    <t>Halorubrum coriense virus Serpecor1</t>
  </si>
  <si>
    <t>Serpecor1</t>
  </si>
  <si>
    <t>MN901521</t>
  </si>
  <si>
    <t>Laminvirus</t>
  </si>
  <si>
    <t>Halorubrum tailed virus 25</t>
  </si>
  <si>
    <t>HRTV-25</t>
  </si>
  <si>
    <t>MZ334521</t>
  </si>
  <si>
    <t>Mincapvirus</t>
  </si>
  <si>
    <t>Halorubrum sodomense tailed virus 2</t>
  </si>
  <si>
    <t>HSTV-2</t>
  </si>
  <si>
    <t>KC117376</t>
  </si>
  <si>
    <t>Minorvirus</t>
  </si>
  <si>
    <t>Halorubrum tailed virus 27</t>
  </si>
  <si>
    <t>HRTV-27</t>
  </si>
  <si>
    <t>MZ334522</t>
  </si>
  <si>
    <t>Halomagnusviridae</t>
  </si>
  <si>
    <t>Hagravirus</t>
  </si>
  <si>
    <t>Halogranum tailed virus 1</t>
  </si>
  <si>
    <t>HGTV1</t>
  </si>
  <si>
    <t>KC292026</t>
  </si>
  <si>
    <t>Soleiviridae</t>
  </si>
  <si>
    <t>Eilatmyovirus</t>
  </si>
  <si>
    <t>Haloarcula tailed virus 2</t>
  </si>
  <si>
    <t>HATV-2</t>
  </si>
  <si>
    <t>MZ334525</t>
  </si>
  <si>
    <t>Monodnaviria</t>
  </si>
  <si>
    <t>Loebvirae</t>
  </si>
  <si>
    <t>Hofneiviricota</t>
  </si>
  <si>
    <t>Faserviricetes</t>
  </si>
  <si>
    <t>Tubulavirales</t>
  </si>
  <si>
    <t>Inoviridae</t>
  </si>
  <si>
    <t>Affertcholeramvirus</t>
  </si>
  <si>
    <t>Vibrio phage CTXphi</t>
  </si>
  <si>
    <t>CTXphi</t>
  </si>
  <si>
    <t>HQ224500</t>
  </si>
  <si>
    <t>ssDNA(+)</t>
  </si>
  <si>
    <t>Vibrio phage pre-CTX</t>
  </si>
  <si>
    <t>KP972568</t>
  </si>
  <si>
    <t>KT728930</t>
  </si>
  <si>
    <t>Capistrivirus</t>
  </si>
  <si>
    <t>Vibrio phage KSF1</t>
  </si>
  <si>
    <t>KSF1</t>
  </si>
  <si>
    <t>AY714348</t>
  </si>
  <si>
    <t>Coriovirus</t>
  </si>
  <si>
    <t>Xanthomonas phage Cf1c</t>
  </si>
  <si>
    <t>Cf1c</t>
  </si>
  <si>
    <t>M57538</t>
  </si>
  <si>
    <t>Xanthomonas phage XacF1</t>
  </si>
  <si>
    <t>XacF1</t>
  </si>
  <si>
    <t>Fibrovirus</t>
  </si>
  <si>
    <t>Vibrio phage fs1</t>
  </si>
  <si>
    <t>fs1</t>
  </si>
  <si>
    <t>D89074</t>
  </si>
  <si>
    <t>ssDNA</t>
  </si>
  <si>
    <t>Vibrio phage ND1-fs1</t>
  </si>
  <si>
    <t>ND1-fs1</t>
  </si>
  <si>
    <t>Vibrio phage VSK</t>
  </si>
  <si>
    <t>VSK</t>
  </si>
  <si>
    <t>Vibrio phage VSKK</t>
  </si>
  <si>
    <t>VSKK</t>
  </si>
  <si>
    <t>Vibrio phage VEJ</t>
  </si>
  <si>
    <t>VEJ</t>
  </si>
  <si>
    <t>Vibrio phage VGJ</t>
  </si>
  <si>
    <t>VGJ</t>
  </si>
  <si>
    <t>AY242528</t>
  </si>
  <si>
    <t>Vibrio phage VP24-2_Ke</t>
  </si>
  <si>
    <t>MN536023</t>
  </si>
  <si>
    <t>Habenivirus</t>
  </si>
  <si>
    <t>Ralstonia phage Rs551</t>
  </si>
  <si>
    <t>Rs551</t>
  </si>
  <si>
    <t>KX179905</t>
  </si>
  <si>
    <t>Ralstonia phage RSIBR3</t>
  </si>
  <si>
    <t>RSIBR3</t>
  </si>
  <si>
    <t>Ralstonia phage RS603</t>
  </si>
  <si>
    <t>RS603</t>
  </si>
  <si>
    <t>AB937974</t>
  </si>
  <si>
    <t>Ralstonia phage RSM1</t>
  </si>
  <si>
    <t>RSM1</t>
  </si>
  <si>
    <t>AB259123</t>
  </si>
  <si>
    <t>Ralstonia phage RSM3</t>
  </si>
  <si>
    <t>RSM3</t>
  </si>
  <si>
    <t>AB434711</t>
  </si>
  <si>
    <t>Ralstonia phage RSMSuper</t>
  </si>
  <si>
    <t>RSMSuper</t>
  </si>
  <si>
    <t>Infulavirus</t>
  </si>
  <si>
    <t>Escherichia phage If1</t>
  </si>
  <si>
    <t>If1</t>
  </si>
  <si>
    <t>U02303</t>
  </si>
  <si>
    <t>Inovirus</t>
  </si>
  <si>
    <t>Escherichia phage M13; Enterobacteria phage M13; bacteriophage M13</t>
  </si>
  <si>
    <t>M13</t>
  </si>
  <si>
    <t>V00604</t>
  </si>
  <si>
    <t>Esherichia phage fd</t>
  </si>
  <si>
    <t>fd</t>
  </si>
  <si>
    <t>Enterobacteria phage M13</t>
  </si>
  <si>
    <t>WT variety Rutgers</t>
  </si>
  <si>
    <t>Enterobacteria phage f1</t>
  </si>
  <si>
    <t>f1</t>
  </si>
  <si>
    <t>f1_3_FR</t>
  </si>
  <si>
    <t>f1_2_FR</t>
  </si>
  <si>
    <t>f1_1_FR</t>
  </si>
  <si>
    <t>F1_ancestral</t>
  </si>
  <si>
    <t>F1_3</t>
  </si>
  <si>
    <t>F1_2</t>
  </si>
  <si>
    <t>F1_1</t>
  </si>
  <si>
    <t>NBRC 20015</t>
  </si>
  <si>
    <t>NBRC 20010</t>
  </si>
  <si>
    <t>Lineavirus</t>
  </si>
  <si>
    <t>Escherichia phage I22</t>
  </si>
  <si>
    <t>I22</t>
  </si>
  <si>
    <t>X14336</t>
  </si>
  <si>
    <t>Salmonella phage IKe</t>
  </si>
  <si>
    <t>Ike</t>
  </si>
  <si>
    <t>X02139</t>
  </si>
  <si>
    <t>Erwinia phage PEar6</t>
  </si>
  <si>
    <t>MT901800</t>
  </si>
  <si>
    <t>Lophivirus</t>
  </si>
  <si>
    <t>Xanthomonas phage Cf2</t>
  </si>
  <si>
    <t>MK512531</t>
  </si>
  <si>
    <t>Xanthomonas phage phi Lf2</t>
  </si>
  <si>
    <t>MH218848</t>
  </si>
  <si>
    <t>Xanthomonas phage phiLf UK</t>
  </si>
  <si>
    <t>MH206184</t>
  </si>
  <si>
    <t>Xanthomonas phage phiXv2</t>
  </si>
  <si>
    <t>MH206183</t>
  </si>
  <si>
    <t>Parhipatevirus</t>
  </si>
  <si>
    <t>Ralstonia phage PE226</t>
  </si>
  <si>
    <t>PE226</t>
  </si>
  <si>
    <t>HM064452</t>
  </si>
  <si>
    <t>Porrectionivirus</t>
  </si>
  <si>
    <t>Ralstonia phage p12J</t>
  </si>
  <si>
    <t>AY374414</t>
  </si>
  <si>
    <t>Primolicivirus</t>
  </si>
  <si>
    <t>Pseudomonas phage Pf1</t>
  </si>
  <si>
    <t>Pf1</t>
  </si>
  <si>
    <t>X52107</t>
  </si>
  <si>
    <t>Pseudomonas phage pf8_ST274-AUS411</t>
  </si>
  <si>
    <t>MN710383</t>
  </si>
  <si>
    <t>Psecadovirus</t>
  </si>
  <si>
    <t>Stenotrophomonas phage PSH1</t>
  </si>
  <si>
    <t>PSH1</t>
  </si>
  <si>
    <t>EF489910</t>
  </si>
  <si>
    <t>Restivirus</t>
  </si>
  <si>
    <t>Ralstonia phage RSBg</t>
  </si>
  <si>
    <t>MT495635</t>
  </si>
  <si>
    <t>Ralstonia phage RSS1</t>
  </si>
  <si>
    <t>RSS1</t>
  </si>
  <si>
    <t>AB259124</t>
  </si>
  <si>
    <t>Ralstonia phage RSS0</t>
  </si>
  <si>
    <t>RSS0</t>
  </si>
  <si>
    <t>Ralstonia phage RSS-TH1</t>
  </si>
  <si>
    <t>RSS-TH1</t>
  </si>
  <si>
    <t>Ralstonia phage RS611</t>
  </si>
  <si>
    <t>RS611</t>
  </si>
  <si>
    <t>Saetivirus</t>
  </si>
  <si>
    <t>Vibrio phage fs2</t>
  </si>
  <si>
    <t>fs2</t>
  </si>
  <si>
    <t>AB002632</t>
  </si>
  <si>
    <t>Vibrio phage VFJ</t>
  </si>
  <si>
    <t>VFJ</t>
  </si>
  <si>
    <t>KC357596</t>
  </si>
  <si>
    <t>Scuticavirus</t>
  </si>
  <si>
    <t>Stenotrophomonas phage SMA6</t>
  </si>
  <si>
    <t>SMA6</t>
  </si>
  <si>
    <t>HG315669</t>
  </si>
  <si>
    <t>Siphunculivirus</t>
  </si>
  <si>
    <t>Stenotrophomonas phage phi SHP2</t>
  </si>
  <si>
    <t>HM150760</t>
  </si>
  <si>
    <t>Staminivirus</t>
  </si>
  <si>
    <t>Stenotrophomonas phage SMA9</t>
  </si>
  <si>
    <t>SMA9</t>
  </si>
  <si>
    <t>AM040673</t>
  </si>
  <si>
    <t>Subteminivirus</t>
  </si>
  <si>
    <t>Stenotrophomonas phage SMA7</t>
  </si>
  <si>
    <t>SMA7</t>
  </si>
  <si>
    <t>HG007973</t>
  </si>
  <si>
    <t>Tertilicivirus</t>
  </si>
  <si>
    <t>Pseudomonas phage Pf3</t>
  </si>
  <si>
    <t>Pf3</t>
  </si>
  <si>
    <t>Nijmegen</t>
  </si>
  <si>
    <t>M11912</t>
  </si>
  <si>
    <t>New York</t>
  </si>
  <si>
    <t>Vasivirus</t>
  </si>
  <si>
    <t>Vibrio phage VAI1</t>
  </si>
  <si>
    <t>MN200778</t>
  </si>
  <si>
    <t>Versovirus</t>
  </si>
  <si>
    <t>Vibrio phage VALG_phi6</t>
  </si>
  <si>
    <t>MN719123</t>
  </si>
  <si>
    <t>Vibrio phage VfO3K6</t>
  </si>
  <si>
    <t>VfO3K6</t>
  </si>
  <si>
    <t>AB043678</t>
  </si>
  <si>
    <t>Vibrio phage VfO4K68</t>
  </si>
  <si>
    <t>VfO4K68</t>
  </si>
  <si>
    <t>Vicialiavirus</t>
  </si>
  <si>
    <t>Vibrio phage VCY</t>
  </si>
  <si>
    <t>VCY</t>
  </si>
  <si>
    <t>JN848801</t>
  </si>
  <si>
    <t>Villovirus</t>
  </si>
  <si>
    <t>Vibrio phage VALG_phi8</t>
  </si>
  <si>
    <t>MN690600</t>
  </si>
  <si>
    <t>Vibrio phage Vf33</t>
  </si>
  <si>
    <t>Vf33</t>
  </si>
  <si>
    <t>AB012573</t>
  </si>
  <si>
    <t>Vibrio phage Vf12</t>
  </si>
  <si>
    <t>Vf12</t>
  </si>
  <si>
    <t>Xylivirus</t>
  </si>
  <si>
    <t>Vibrio phage XacF13</t>
  </si>
  <si>
    <t>MN335248</t>
  </si>
  <si>
    <t>Xanthomonas phage Xf109</t>
  </si>
  <si>
    <t>Xf109</t>
  </si>
  <si>
    <t>KX181651</t>
  </si>
  <si>
    <t>Xanthomonas phage Xf409</t>
  </si>
  <si>
    <t>Xf409</t>
  </si>
  <si>
    <t>Paulinoviridae</t>
  </si>
  <si>
    <t>Bifilivirus</t>
  </si>
  <si>
    <t>Propionibacterium phage B5</t>
  </si>
  <si>
    <t>AF428260</t>
  </si>
  <si>
    <t>Thomixvirus</t>
  </si>
  <si>
    <t>Thermus phage OH3</t>
  </si>
  <si>
    <t>LC035386</t>
  </si>
  <si>
    <t>Plectroviridae</t>
  </si>
  <si>
    <t>Plectrovirus</t>
  </si>
  <si>
    <t>JA-1</t>
  </si>
  <si>
    <t>X58839</t>
  </si>
  <si>
    <t>Acholeplasma phage MV-L51</t>
  </si>
  <si>
    <t>Suturavirus</t>
  </si>
  <si>
    <t>Spiroplasma phage SVTS2</t>
  </si>
  <si>
    <t>AF133242</t>
  </si>
  <si>
    <t>Vespertiliovirus</t>
  </si>
  <si>
    <t>Spiroplasma phage 1-C74</t>
  </si>
  <si>
    <t>SpV1</t>
  </si>
  <si>
    <t>U28974</t>
  </si>
  <si>
    <t>Spiroplasma phage 1-R8A2B</t>
  </si>
  <si>
    <t>X51344</t>
  </si>
  <si>
    <t>Spiroplasma phage SkV1CR23x</t>
  </si>
  <si>
    <t>EF506570</t>
  </si>
  <si>
    <t>Virgulavirus</t>
  </si>
  <si>
    <t>Spiroplama phage SVGII3</t>
  </si>
  <si>
    <t>AJ969242</t>
  </si>
  <si>
    <t>Sangervirae</t>
  </si>
  <si>
    <t>Phixviricota</t>
  </si>
  <si>
    <t>Malgrandaviricetes</t>
  </si>
  <si>
    <t>Petitvirales</t>
  </si>
  <si>
    <t>Microviridae</t>
  </si>
  <si>
    <t>Bullavirinae</t>
  </si>
  <si>
    <t>Alphatrevirus</t>
  </si>
  <si>
    <t>Escherichia phage alpha3</t>
  </si>
  <si>
    <t>wildtype</t>
  </si>
  <si>
    <t>X60322</t>
  </si>
  <si>
    <t>Escherichia phage ID21</t>
  </si>
  <si>
    <t>DQ079870</t>
  </si>
  <si>
    <t>Escherichia phage ID32</t>
  </si>
  <si>
    <t>DQ079871</t>
  </si>
  <si>
    <t>Escherichia phage ID62</t>
  </si>
  <si>
    <t>DQ079876</t>
  </si>
  <si>
    <t>Escherichia phage NC28</t>
  </si>
  <si>
    <t>DQ079875</t>
  </si>
  <si>
    <t>Escherichia phage NC29</t>
  </si>
  <si>
    <t>DQ079879</t>
  </si>
  <si>
    <t>Escherichia phage NC35</t>
  </si>
  <si>
    <t>DQ079872</t>
  </si>
  <si>
    <t>Escherichia phage phiK</t>
  </si>
  <si>
    <t>wild type</t>
  </si>
  <si>
    <t>X60323</t>
  </si>
  <si>
    <t>Escherichia phage St-1</t>
  </si>
  <si>
    <t>GQ149088</t>
  </si>
  <si>
    <t>Escherichia phage WA45</t>
  </si>
  <si>
    <t>DQ079874</t>
  </si>
  <si>
    <t>Gequatrovirus</t>
  </si>
  <si>
    <t>Escherichia phage G4</t>
  </si>
  <si>
    <t>V00657</t>
  </si>
  <si>
    <t>Escherichia phage ID52</t>
  </si>
  <si>
    <t>DQ079877</t>
  </si>
  <si>
    <t>Escherichia phage ID2 Moscow/ID/2001</t>
  </si>
  <si>
    <t>DQ079869</t>
  </si>
  <si>
    <t>Sinsheimervirus</t>
  </si>
  <si>
    <t>Escherichia phage phiX174</t>
  </si>
  <si>
    <t>J02482</t>
  </si>
  <si>
    <t>Gokushovirinae</t>
  </si>
  <si>
    <t>Bdellomicrovirus</t>
  </si>
  <si>
    <t>Bdellovibrio phage phiMH2K</t>
  </si>
  <si>
    <t>AF306496</t>
  </si>
  <si>
    <t>Bdellovibrio phage MAC1</t>
  </si>
  <si>
    <t>Chlamydiamicrovirus</t>
  </si>
  <si>
    <t>Chlamydia phage Chp1</t>
  </si>
  <si>
    <t>D00624</t>
  </si>
  <si>
    <t>Chlamydia phage 2</t>
  </si>
  <si>
    <t>AJ270057</t>
  </si>
  <si>
    <t>Chlamydia phage phiCPAR39</t>
  </si>
  <si>
    <t>AE002163</t>
  </si>
  <si>
    <t>Chlamydia phage CPG1</t>
  </si>
  <si>
    <t>U41758</t>
  </si>
  <si>
    <t>Enterogokushovirus</t>
  </si>
  <si>
    <t>Escherichia phage EC6098</t>
  </si>
  <si>
    <t>MT185428</t>
  </si>
  <si>
    <t>Spiromicrovirus</t>
  </si>
  <si>
    <t>Spiroplasma phage 4</t>
  </si>
  <si>
    <t>M17988</t>
  </si>
  <si>
    <t>Shotokuvirae</t>
  </si>
  <si>
    <t>Cossaviricota</t>
  </si>
  <si>
    <t>Mouviricetes</t>
  </si>
  <si>
    <t>Polivirales</t>
  </si>
  <si>
    <t>Bidnaviridae</t>
  </si>
  <si>
    <t>Bidensovirus</t>
  </si>
  <si>
    <t>Bombyx mori bidensovirus</t>
  </si>
  <si>
    <t>BmBDV</t>
  </si>
  <si>
    <t>Zhenjiang</t>
  </si>
  <si>
    <t>A: EU623082; B: EU623083</t>
  </si>
  <si>
    <t>invertebrates</t>
  </si>
  <si>
    <t>Papovaviricetes</t>
  </si>
  <si>
    <t>Sepolyvirales</t>
  </si>
  <si>
    <t>Polyomaviridae</t>
  </si>
  <si>
    <t>Alphapolyomavirus</t>
  </si>
  <si>
    <t>bat polyomavirus 5b2</t>
  </si>
  <si>
    <t>BatPyV5b-2</t>
  </si>
  <si>
    <t>5b-2</t>
  </si>
  <si>
    <t>AB972940</t>
  </si>
  <si>
    <t>Apodemus flavicollis polyomavirus 1</t>
  </si>
  <si>
    <t>AflaPyV1</t>
  </si>
  <si>
    <t>MG654476</t>
  </si>
  <si>
    <t>Ateles paniscus polyomavirus 1</t>
  </si>
  <si>
    <t>ApanPyV1</t>
  </si>
  <si>
    <t>JX159987</t>
  </si>
  <si>
    <t>Callosciurus erythraeus polyomavirus 1</t>
  </si>
  <si>
    <t>CeryPyV1</t>
  </si>
  <si>
    <t>10239_CE449D</t>
  </si>
  <si>
    <t>MK671087</t>
  </si>
  <si>
    <t>Cardioderma polyomavirus</t>
  </si>
  <si>
    <t>CardiodermaPyV</t>
  </si>
  <si>
    <t>KY336</t>
  </si>
  <si>
    <t>JX520659</t>
  </si>
  <si>
    <t>bat polyomavirus 4b</t>
  </si>
  <si>
    <t>BatPyV4b</t>
  </si>
  <si>
    <t>C1109</t>
  </si>
  <si>
    <t>JQ958889</t>
  </si>
  <si>
    <t>vervet monkey polyomavirus 1</t>
  </si>
  <si>
    <t>VmPyV1</t>
  </si>
  <si>
    <t>VMS96</t>
  </si>
  <si>
    <t>AB767298</t>
  </si>
  <si>
    <t>bat polyomavirus 5a</t>
  </si>
  <si>
    <t>BatPyV5a</t>
  </si>
  <si>
    <t>5a</t>
  </si>
  <si>
    <t>AB972945</t>
  </si>
  <si>
    <t>Eidolon polyomavirus 1</t>
  </si>
  <si>
    <t>EidolonPyV</t>
  </si>
  <si>
    <t>KY270</t>
  </si>
  <si>
    <t>JX520660</t>
  </si>
  <si>
    <t>Gorilla gorilla gorilla polyomavirus 1</t>
  </si>
  <si>
    <t>GgorgPyV1</t>
  </si>
  <si>
    <t>HQ385752</t>
  </si>
  <si>
    <t>Macaca fascicularis polyomavirus 1</t>
  </si>
  <si>
    <t>MfasPyV1</t>
  </si>
  <si>
    <t>JX159986</t>
  </si>
  <si>
    <t>hamster polyomavirus</t>
  </si>
  <si>
    <t>HaPyV</t>
  </si>
  <si>
    <t>Berlin-Buch</t>
  </si>
  <si>
    <t>JX036360</t>
  </si>
  <si>
    <t>Miniopterus schreibersii polyomavirus 1</t>
  </si>
  <si>
    <t>MschPyV1</t>
  </si>
  <si>
    <t>12SuB07</t>
  </si>
  <si>
    <t>LC185213</t>
  </si>
  <si>
    <t>bat polyomavirus 3b</t>
  </si>
  <si>
    <t>BatPyV3b</t>
  </si>
  <si>
    <t>B1130</t>
  </si>
  <si>
    <t>JQ958893</t>
  </si>
  <si>
    <t>mouse polyomavirus</t>
  </si>
  <si>
    <t>MPyV</t>
  </si>
  <si>
    <t>BG</t>
  </si>
  <si>
    <t>AF442959</t>
  </si>
  <si>
    <t>human polyomavirus 9</t>
  </si>
  <si>
    <t>HPyV9</t>
  </si>
  <si>
    <t>HQ696595</t>
  </si>
  <si>
    <t>Trichodysplasia spinulosa-associated polyomavirus</t>
  </si>
  <si>
    <t>TSPyV</t>
  </si>
  <si>
    <t>Skin</t>
  </si>
  <si>
    <t>GU989205</t>
  </si>
  <si>
    <t>Otomops polyomavirus 1</t>
  </si>
  <si>
    <t>OtomopsPyV1</t>
  </si>
  <si>
    <t>KY157</t>
  </si>
  <si>
    <t>JX520664</t>
  </si>
  <si>
    <t>yellow baboon polyomavirus 1</t>
  </si>
  <si>
    <t>YbPyV1</t>
  </si>
  <si>
    <t>BS20</t>
  </si>
  <si>
    <t>AB767294</t>
  </si>
  <si>
    <t>chimpanzee polyomavirus</t>
  </si>
  <si>
    <t>ChPyV</t>
  </si>
  <si>
    <t>Bob</t>
  </si>
  <si>
    <t>FR692334</t>
  </si>
  <si>
    <t>Philantomba monticola polyomavirus 1</t>
  </si>
  <si>
    <t>PmonPyV1</t>
  </si>
  <si>
    <t>9781 GN365</t>
  </si>
  <si>
    <t>MG654482</t>
  </si>
  <si>
    <t>Piliocolobus badius polyomavirus 2</t>
  </si>
  <si>
    <t>PbadPyV2</t>
  </si>
  <si>
    <t>KX509984</t>
  </si>
  <si>
    <t>Piliocolobus rufomitratus polyomavirus 1</t>
  </si>
  <si>
    <t>PrufPyV1</t>
  </si>
  <si>
    <t>JX159984</t>
  </si>
  <si>
    <t>Sumatran orang-utan polyomavirus</t>
  </si>
  <si>
    <t>OraPyV-Sum</t>
  </si>
  <si>
    <t>Sum/Pi</t>
  </si>
  <si>
    <t>FN356901</t>
  </si>
  <si>
    <t>Bornean orang-utan polyomavirus</t>
  </si>
  <si>
    <t>OraPyV-Bor</t>
  </si>
  <si>
    <t>Bo</t>
  </si>
  <si>
    <t>FN356900</t>
  </si>
  <si>
    <t>raccoon polyomavirus</t>
  </si>
  <si>
    <t>RacPyV</t>
  </si>
  <si>
    <t>R45</t>
  </si>
  <si>
    <t>JQ178241</t>
  </si>
  <si>
    <t>bat polyomavirus 5b1</t>
  </si>
  <si>
    <t>BatPyV5b-1</t>
  </si>
  <si>
    <t>5b-1</t>
  </si>
  <si>
    <t>AB972944</t>
  </si>
  <si>
    <t>LI polyomavirus</t>
  </si>
  <si>
    <t>LIPyV</t>
  </si>
  <si>
    <t>KY404016</t>
  </si>
  <si>
    <t>Pan troglodytes verus polyomavirus 3</t>
  </si>
  <si>
    <t>PtrovPyV3</t>
  </si>
  <si>
    <t>JX159980</t>
  </si>
  <si>
    <t>Merkel cell polyomavirus</t>
  </si>
  <si>
    <t>MCPyV</t>
  </si>
  <si>
    <t>R17b</t>
  </si>
  <si>
    <t>HM011556</t>
  </si>
  <si>
    <t>Pan troglodytes verus polyomavirus 4</t>
  </si>
  <si>
    <t>PtrovPyV4</t>
  </si>
  <si>
    <t>JX159981</t>
  </si>
  <si>
    <t>Rattus norvegicus polyomavirus 1</t>
  </si>
  <si>
    <t>RnorPyV1</t>
  </si>
  <si>
    <t>KR075943</t>
  </si>
  <si>
    <t>Sorex araneus polyomavirus 1</t>
  </si>
  <si>
    <t>SaraPyV1</t>
  </si>
  <si>
    <t>GER_#4608_MU/06/0215/MV-hu1403</t>
  </si>
  <si>
    <t>MF374997</t>
  </si>
  <si>
    <t>bat polyomavirus 3a</t>
  </si>
  <si>
    <t>BatPyV3a-A1055</t>
  </si>
  <si>
    <t>A1055</t>
  </si>
  <si>
    <t>JQ958886</t>
  </si>
  <si>
    <t>Otomops polyomavirus 2</t>
  </si>
  <si>
    <t>OtomopsPyV2</t>
  </si>
  <si>
    <t>KY156</t>
  </si>
  <si>
    <t>JX520658</t>
  </si>
  <si>
    <t>Mastomys natalensis polyomavirus 2</t>
  </si>
  <si>
    <t>MnatPyV2</t>
  </si>
  <si>
    <t>8173 R91</t>
  </si>
  <si>
    <t>MG701350</t>
  </si>
  <si>
    <t>Miniopterus schreibersii polyomavirus 2</t>
  </si>
  <si>
    <t>MschPyV2</t>
  </si>
  <si>
    <t>12SuB08</t>
  </si>
  <si>
    <t>LC185216</t>
  </si>
  <si>
    <t>Pan troglodytes verus polyomavirus 1a</t>
  </si>
  <si>
    <t>PtrovPyV1a</t>
  </si>
  <si>
    <t>HQ385746</t>
  </si>
  <si>
    <t>Pan troglodytes schweinfurthii polyomavirus 2</t>
  </si>
  <si>
    <t>PtrosPyV2</t>
  </si>
  <si>
    <t>JX159983</t>
  </si>
  <si>
    <t>Pan troglodytes verus polyomavirus 5</t>
  </si>
  <si>
    <t>PtrovPyV5</t>
  </si>
  <si>
    <t>JX159982</t>
  </si>
  <si>
    <t>Sorex coronatus polyomavirus 1</t>
  </si>
  <si>
    <t>SminPyV1</t>
  </si>
  <si>
    <t>GER_#7586_MU08/1013</t>
  </si>
  <si>
    <t>MF374999</t>
  </si>
  <si>
    <t>Sorex minutus polyomavirus 1</t>
  </si>
  <si>
    <t>ScorPyV1</t>
  </si>
  <si>
    <t>GER_#7607_MU10/2265</t>
  </si>
  <si>
    <t>MF401583</t>
  </si>
  <si>
    <t>bat polyomavirus 3a-B0454</t>
  </si>
  <si>
    <t>BatPyV3a-B0454</t>
  </si>
  <si>
    <t>B0454</t>
  </si>
  <si>
    <t>JQ958888</t>
  </si>
  <si>
    <t>Sus scrofa polyomavirus 1</t>
  </si>
  <si>
    <t>SscrPyV1</t>
  </si>
  <si>
    <t>KR065722</t>
  </si>
  <si>
    <t>New Jersey polyomavirus</t>
  </si>
  <si>
    <t>NJPyV</t>
  </si>
  <si>
    <t>KF954417</t>
  </si>
  <si>
    <t>bat polyomavirus 4a</t>
  </si>
  <si>
    <t>BatPyV4a</t>
  </si>
  <si>
    <t>A504</t>
  </si>
  <si>
    <t>JQ958890</t>
  </si>
  <si>
    <t>vervet monkey polyomavirus 3</t>
  </si>
  <si>
    <t>VmPyV3</t>
  </si>
  <si>
    <t>VMS95/VMS97</t>
  </si>
  <si>
    <t>AB767297</t>
  </si>
  <si>
    <t>Mastomys natalensis polyomavirus 3</t>
  </si>
  <si>
    <t>MnatPyV3</t>
  </si>
  <si>
    <t>MN417229</t>
  </si>
  <si>
    <t>Pan troglodytes verus polyomavirus 2a</t>
  </si>
  <si>
    <t>PtrovPyV2a</t>
  </si>
  <si>
    <t>HQ385748</t>
  </si>
  <si>
    <t>Tupaia belangeri polyomavirus</t>
  </si>
  <si>
    <t>MK443498</t>
  </si>
  <si>
    <t>Tupaia glis polyomavirus 1</t>
  </si>
  <si>
    <t>TgliPyV1</t>
  </si>
  <si>
    <t>4373 Thai 87</t>
  </si>
  <si>
    <t>MG721015</t>
  </si>
  <si>
    <t>Betapolyomavirus</t>
  </si>
  <si>
    <t>bat polyomavirus 2c</t>
  </si>
  <si>
    <t>BatPyV2c</t>
  </si>
  <si>
    <t>2c</t>
  </si>
  <si>
    <t>JQ958887</t>
  </si>
  <si>
    <t>Cebus albifrons polyomavirus 1</t>
  </si>
  <si>
    <t>CalbPyV1</t>
  </si>
  <si>
    <t>JX159988</t>
  </si>
  <si>
    <t>Callosciurus prevostii polyomavirus 1</t>
  </si>
  <si>
    <t>CprePyV1</t>
  </si>
  <si>
    <t>10295_BH122/15</t>
  </si>
  <si>
    <t>MK883808</t>
  </si>
  <si>
    <t>Canis familiaris polyomavirus 1</t>
  </si>
  <si>
    <t>CfamPyV1</t>
  </si>
  <si>
    <t>R006926 CT2015</t>
  </si>
  <si>
    <t>KY341899</t>
  </si>
  <si>
    <t>Cercopithecus erythrotis polyomavirus 1</t>
  </si>
  <si>
    <t>JX159985</t>
  </si>
  <si>
    <t>bat polyomavirus 2a</t>
  </si>
  <si>
    <t>BatPyV2a</t>
  </si>
  <si>
    <t>AT7</t>
  </si>
  <si>
    <t>JQ958892</t>
  </si>
  <si>
    <t>African elephant polyomavirus 1</t>
  </si>
  <si>
    <t>AelPyV1</t>
  </si>
  <si>
    <t>DK-1/2011</t>
  </si>
  <si>
    <t>KF147833</t>
  </si>
  <si>
    <t>sea otter polyomavirus</t>
  </si>
  <si>
    <t>6831-13</t>
  </si>
  <si>
    <t>KM282376</t>
  </si>
  <si>
    <t>equine polyomavirus</t>
  </si>
  <si>
    <t>EPyV</t>
  </si>
  <si>
    <t>CU03</t>
  </si>
  <si>
    <t>JQ412134</t>
  </si>
  <si>
    <t>Glis glis polyomavirus 1</t>
  </si>
  <si>
    <t>GgliPyV1</t>
  </si>
  <si>
    <t>3327 ID3a</t>
  </si>
  <si>
    <t>MG701352</t>
  </si>
  <si>
    <t>BK polyomavirus</t>
  </si>
  <si>
    <t>BK virus; BKV; BKPyV</t>
  </si>
  <si>
    <t>Dunlop</t>
  </si>
  <si>
    <t>V01108</t>
  </si>
  <si>
    <t>Lepus polyomavirus 1</t>
  </si>
  <si>
    <t>LPyV1</t>
  </si>
  <si>
    <t>Lag01_EL_poly</t>
  </si>
  <si>
    <t>MN994868</t>
  </si>
  <si>
    <t>Weddell seal polyomavirus</t>
  </si>
  <si>
    <t>WsPyV</t>
  </si>
  <si>
    <t>KX533457</t>
  </si>
  <si>
    <t>simian virus 40</t>
  </si>
  <si>
    <t>SV40</t>
  </si>
  <si>
    <t>J02400</t>
  </si>
  <si>
    <t>Miniopterus polyomavirus</t>
  </si>
  <si>
    <t>MiniopterusPyV</t>
  </si>
  <si>
    <t>KY369</t>
  </si>
  <si>
    <t>JX520661</t>
  </si>
  <si>
    <t>Microtus arvalis polyomavirus 1</t>
  </si>
  <si>
    <t>CVPyV</t>
  </si>
  <si>
    <t>KS13/0947</t>
  </si>
  <si>
    <t>KR612373</t>
  </si>
  <si>
    <t>Mastomys polyomavirus</t>
  </si>
  <si>
    <t>MasPyV</t>
  </si>
  <si>
    <t>NR55</t>
  </si>
  <si>
    <t>AB588640</t>
  </si>
  <si>
    <t>Meles meles polyomavirus 1</t>
  </si>
  <si>
    <t>MmelPyV1</t>
  </si>
  <si>
    <t>French</t>
  </si>
  <si>
    <t>KP644238</t>
  </si>
  <si>
    <t>Myodes glareolus polyomavirus 1</t>
  </si>
  <si>
    <t>BVPyV</t>
  </si>
  <si>
    <t>KS/14/201</t>
  </si>
  <si>
    <t>KR612368</t>
  </si>
  <si>
    <t>Myotis polyomavirus</t>
  </si>
  <si>
    <t>MyPyV</t>
  </si>
  <si>
    <t>VM2008_14</t>
  </si>
  <si>
    <t>FJ188392</t>
  </si>
  <si>
    <t>Pan troglodytes verus polyomavirus 8</t>
  </si>
  <si>
    <t>PtrovPyV8</t>
  </si>
  <si>
    <t>Ch-Regina</t>
  </si>
  <si>
    <t>KT884050</t>
  </si>
  <si>
    <t>Panthera leo polyomavirus 1</t>
  </si>
  <si>
    <t>PleoPyV1</t>
  </si>
  <si>
    <t>MG701353</t>
  </si>
  <si>
    <t>Pteronotus polyomavirus</t>
  </si>
  <si>
    <t>PteronotusPyV</t>
  </si>
  <si>
    <t>GTM203</t>
  </si>
  <si>
    <t>JX520662</t>
  </si>
  <si>
    <t>bat polyomavirus 2b</t>
  </si>
  <si>
    <t>BatPyV2b</t>
  </si>
  <si>
    <t>R226</t>
  </si>
  <si>
    <t>JQ958891</t>
  </si>
  <si>
    <t>WU polyomavirus</t>
  </si>
  <si>
    <t>WU virus; WUPyV</t>
  </si>
  <si>
    <t>B0</t>
  </si>
  <si>
    <t>EF444549</t>
  </si>
  <si>
    <t>Rousettus aegyptiacus polyomavirus 1</t>
  </si>
  <si>
    <t>RaegPyV1</t>
  </si>
  <si>
    <t>12SuB01</t>
  </si>
  <si>
    <t>LC185218</t>
  </si>
  <si>
    <t>squirrel monkey polyomavirus</t>
  </si>
  <si>
    <t>SquiPyV</t>
  </si>
  <si>
    <t>Squi0106</t>
  </si>
  <si>
    <t>AM748741</t>
  </si>
  <si>
    <t>Saimiri sciureus polyomavirus 1</t>
  </si>
  <si>
    <t>SsciPyV1</t>
  </si>
  <si>
    <t>JX159989</t>
  </si>
  <si>
    <t>Sciurus carolinensis polyomavirus 1</t>
  </si>
  <si>
    <t>ScarPyV1</t>
  </si>
  <si>
    <t>9804_KS15/0573</t>
  </si>
  <si>
    <t>MK671101</t>
  </si>
  <si>
    <t>bat polyomavirus 6a</t>
  </si>
  <si>
    <t>BatPyV6a</t>
  </si>
  <si>
    <t>6a</t>
  </si>
  <si>
    <t>AB972941</t>
  </si>
  <si>
    <t>vervet monkey polyomavirus 2</t>
  </si>
  <si>
    <t>VmPyV2</t>
  </si>
  <si>
    <t>VMK96</t>
  </si>
  <si>
    <t>AB767299</t>
  </si>
  <si>
    <t>bat polyomavirus 6b</t>
  </si>
  <si>
    <t>BatPyV6b</t>
  </si>
  <si>
    <t>6b</t>
  </si>
  <si>
    <t>AB972947</t>
  </si>
  <si>
    <t>JC polyomavirus</t>
  </si>
  <si>
    <t>JC virus; JCV; JCPyV</t>
  </si>
  <si>
    <t>Mad1</t>
  </si>
  <si>
    <t>J02226</t>
  </si>
  <si>
    <t>mouse pneumotropic virus</t>
  </si>
  <si>
    <t>MPtV</t>
  </si>
  <si>
    <t>#6018</t>
  </si>
  <si>
    <t>KT987216</t>
  </si>
  <si>
    <t>yellow baboon polyomavirus 2</t>
  </si>
  <si>
    <t>YbPyV2</t>
  </si>
  <si>
    <t>BS94/BK94</t>
  </si>
  <si>
    <t>AB767295</t>
  </si>
  <si>
    <t>rat polyomavirus 2</t>
  </si>
  <si>
    <t>RatPyV2</t>
  </si>
  <si>
    <t>PITT4</t>
  </si>
  <si>
    <t>KX574453</t>
  </si>
  <si>
    <t>bat polyomavirus 6c</t>
  </si>
  <si>
    <t>BatPyV6c</t>
  </si>
  <si>
    <t>6c</t>
  </si>
  <si>
    <t>AB972946</t>
  </si>
  <si>
    <t>KI polyomavirus</t>
  </si>
  <si>
    <t>KIPyV</t>
  </si>
  <si>
    <t>Stockholm 60</t>
  </si>
  <si>
    <t>EF127906</t>
  </si>
  <si>
    <t>Mus musculus polyomavirus 3</t>
  </si>
  <si>
    <t>MPoV3</t>
  </si>
  <si>
    <t>NYC/2015/K003/3347</t>
  </si>
  <si>
    <t>MF175082</t>
  </si>
  <si>
    <t>alpaca polyomavirus</t>
  </si>
  <si>
    <t>AlPyV</t>
  </si>
  <si>
    <t>UCD1</t>
  </si>
  <si>
    <t>KU879245</t>
  </si>
  <si>
    <t>California sea lion polyomavirus 1</t>
  </si>
  <si>
    <t>SLPyV</t>
  </si>
  <si>
    <t>CSL6994</t>
  </si>
  <si>
    <t>GQ331138</t>
  </si>
  <si>
    <t>Deltapolyomavirus</t>
  </si>
  <si>
    <t>giant panda polyomavirus</t>
  </si>
  <si>
    <t>AmelPyV1</t>
  </si>
  <si>
    <t>GPPyV1</t>
  </si>
  <si>
    <t>KY612371</t>
  </si>
  <si>
    <t>Canis lupus polyomavirus 1</t>
  </si>
  <si>
    <t>ClupPyV1</t>
  </si>
  <si>
    <t>MG701355</t>
  </si>
  <si>
    <t>MW polyomavirus</t>
  </si>
  <si>
    <t>MWPyV</t>
  </si>
  <si>
    <t>MA095</t>
  </si>
  <si>
    <t>JQ898291</t>
  </si>
  <si>
    <t>raccoon-associated polyomavirus 2</t>
  </si>
  <si>
    <t>PlotPyV1</t>
  </si>
  <si>
    <t>Rac2</t>
  </si>
  <si>
    <t>KY549442</t>
  </si>
  <si>
    <t>human polyomavirus 7</t>
  </si>
  <si>
    <t>HPyV7</t>
  </si>
  <si>
    <t>713a</t>
  </si>
  <si>
    <t>HM011566</t>
  </si>
  <si>
    <t>human polyomavirus 6</t>
  </si>
  <si>
    <t>HPyV6</t>
  </si>
  <si>
    <t>607a</t>
  </si>
  <si>
    <t>HM011560</t>
  </si>
  <si>
    <t>STL polyomavirus</t>
  </si>
  <si>
    <t>STLPyV</t>
  </si>
  <si>
    <t>MA138</t>
  </si>
  <si>
    <t>JX463183</t>
  </si>
  <si>
    <t>Epsilonpolyomavirus</t>
  </si>
  <si>
    <t>bovine polyomavirus</t>
  </si>
  <si>
    <t>BPyV</t>
  </si>
  <si>
    <t>CK</t>
  </si>
  <si>
    <t>D13942</t>
  </si>
  <si>
    <t>Capra aegragus polyomavirus 1</t>
  </si>
  <si>
    <t>CaegPyV1</t>
  </si>
  <si>
    <t>7515 C-008-11-3B</t>
  </si>
  <si>
    <t>MG654479</t>
  </si>
  <si>
    <t>Potamochoerus porcus polyomavirus 1</t>
  </si>
  <si>
    <t>PporPyV1</t>
  </si>
  <si>
    <t>9780 PI225</t>
  </si>
  <si>
    <t>MG654481</t>
  </si>
  <si>
    <t>Etapolyomavirus</t>
  </si>
  <si>
    <t>giant guitarfish polyomavirus</t>
  </si>
  <si>
    <t>GfPyV1</t>
  </si>
  <si>
    <t>UGA1</t>
  </si>
  <si>
    <t>KP264963</t>
  </si>
  <si>
    <t>Gammapolyomavirus</t>
  </si>
  <si>
    <t>goose hemorrhagic polyomavirus</t>
  </si>
  <si>
    <t>GHPV</t>
  </si>
  <si>
    <t>Germany 2001</t>
  </si>
  <si>
    <t>AY140894</t>
  </si>
  <si>
    <t>budgerigar fledgling disease virus</t>
  </si>
  <si>
    <t>BFDV</t>
  </si>
  <si>
    <t>AF241168</t>
  </si>
  <si>
    <t>crow polyomavirus</t>
  </si>
  <si>
    <t>CpyV</t>
  </si>
  <si>
    <t>DQ192570</t>
  </si>
  <si>
    <t>butcherbird polyomavirus</t>
  </si>
  <si>
    <t>Butcherbird PyV</t>
  </si>
  <si>
    <t>AWH19840</t>
  </si>
  <si>
    <t>KF360862</t>
  </si>
  <si>
    <t>Erythrura gouldiae polyomavirus 1</t>
  </si>
  <si>
    <t>EgouPyV1</t>
  </si>
  <si>
    <t>KT302407</t>
  </si>
  <si>
    <t>Hungarian finch polyomavirus</t>
  </si>
  <si>
    <t>HunFPyV</t>
  </si>
  <si>
    <t>14534/2011</t>
  </si>
  <si>
    <t>KX756154</t>
  </si>
  <si>
    <t>Adélie penguin polyomavirus</t>
  </si>
  <si>
    <t>ADPyV</t>
  </si>
  <si>
    <t>Crozier_2012</t>
  </si>
  <si>
    <t>KP033140</t>
  </si>
  <si>
    <t>finch polyomavirus</t>
  </si>
  <si>
    <t>FpyV</t>
  </si>
  <si>
    <t>DQ192571</t>
  </si>
  <si>
    <t>canary polyomavirus</t>
  </si>
  <si>
    <t>CaPyV</t>
  </si>
  <si>
    <t>Ha09</t>
  </si>
  <si>
    <t>GU345044</t>
  </si>
  <si>
    <t>Thetapolyomavirus</t>
  </si>
  <si>
    <t>black sea bass-associated polyomavirus 1</t>
  </si>
  <si>
    <t>BassPyV1</t>
  </si>
  <si>
    <t>KP071318</t>
  </si>
  <si>
    <t>Sparus aurata polyomavirus 1</t>
  </si>
  <si>
    <t>SaurPyV1</t>
  </si>
  <si>
    <t>SA9poly</t>
  </si>
  <si>
    <t>KX643371</t>
  </si>
  <si>
    <t>emerald notothen polyomavirus 1</t>
  </si>
  <si>
    <t>TberPyV1</t>
  </si>
  <si>
    <t>BIS330</t>
  </si>
  <si>
    <t>MG800627</t>
  </si>
  <si>
    <t>sharp-spined notothenia polyomavirus</t>
  </si>
  <si>
    <t>SspPyV</t>
  </si>
  <si>
    <t>PES6</t>
  </si>
  <si>
    <t>KP768176</t>
  </si>
  <si>
    <t>Zetapolyomavirus</t>
  </si>
  <si>
    <t>dolphin polyomavirus 1</t>
  </si>
  <si>
    <t>DPyV</t>
  </si>
  <si>
    <t>1/Trachea/2010</t>
  </si>
  <si>
    <t>KC594077</t>
  </si>
  <si>
    <t>Zurhausenvirales</t>
  </si>
  <si>
    <t>Papillomaviridae</t>
  </si>
  <si>
    <t>Firstpapillomavirinae</t>
  </si>
  <si>
    <t>Alphapapillomavirus</t>
  </si>
  <si>
    <t>human papillomavirus 32</t>
  </si>
  <si>
    <t>HPV32</t>
  </si>
  <si>
    <t>X74475</t>
  </si>
  <si>
    <t>human papillomavirus 42</t>
  </si>
  <si>
    <t>HPV42</t>
  </si>
  <si>
    <t>human papillomavirus 6</t>
  </si>
  <si>
    <t>HPV6</t>
  </si>
  <si>
    <t>X00203</t>
  </si>
  <si>
    <t>human papillomavirus 74</t>
  </si>
  <si>
    <t>HPV74</t>
  </si>
  <si>
    <t>AE10</t>
  </si>
  <si>
    <t>human papillomavirus 11</t>
  </si>
  <si>
    <t>HPV11</t>
  </si>
  <si>
    <t>human papillomavirus 44</t>
  </si>
  <si>
    <t>HPV44</t>
  </si>
  <si>
    <t>human papillomavirus 13</t>
  </si>
  <si>
    <t>HPV13</t>
  </si>
  <si>
    <t>Pan paniscus papillomavirus 1</t>
  </si>
  <si>
    <t>PpPV1</t>
  </si>
  <si>
    <t>human papillomavirus 34</t>
  </si>
  <si>
    <t>HPV34</t>
  </si>
  <si>
    <t>X74476</t>
  </si>
  <si>
    <t>human papillomavirus 73</t>
  </si>
  <si>
    <t>HPV73</t>
  </si>
  <si>
    <t>Macaca mulata papillomavirus 1</t>
  </si>
  <si>
    <t>MmPV1</t>
  </si>
  <si>
    <t>M60184</t>
  </si>
  <si>
    <t>Macaca fascicularis papillomavirus 7</t>
  </si>
  <si>
    <t>MfPV7</t>
  </si>
  <si>
    <t>Mac18</t>
  </si>
  <si>
    <t>Macaca fascicularis papillomavirus 3</t>
  </si>
  <si>
    <t>MfPV3</t>
  </si>
  <si>
    <t>Mac26</t>
  </si>
  <si>
    <t>Macaca fascicularis papillomavirus 6</t>
  </si>
  <si>
    <t>MfPV6</t>
  </si>
  <si>
    <t>Mac39</t>
  </si>
  <si>
    <t>Macaca fascicularis papillomavirus 4</t>
  </si>
  <si>
    <t>MfPV4</t>
  </si>
  <si>
    <t>Mac54</t>
  </si>
  <si>
    <t>Macaca fascicularis papillomavirus 8</t>
  </si>
  <si>
    <t>MfPV8</t>
  </si>
  <si>
    <t>Mac70</t>
  </si>
  <si>
    <t>Macaca fascicularis papillomavirus 5</t>
  </si>
  <si>
    <t>MfPV5</t>
  </si>
  <si>
    <t>Mac76</t>
  </si>
  <si>
    <t>Macaca fascicularis papillomavirus 10</t>
  </si>
  <si>
    <t>MfPV10</t>
  </si>
  <si>
    <t>Mac616</t>
  </si>
  <si>
    <t>Macaca fascicularis papillomavirus 9</t>
  </si>
  <si>
    <t>MfPV9</t>
  </si>
  <si>
    <t>Mac592</t>
  </si>
  <si>
    <t>Macaca fascicularis papillomavirus 11</t>
  </si>
  <si>
    <t>MfPV11</t>
  </si>
  <si>
    <t>Mac1637</t>
  </si>
  <si>
    <t>Papio hamadryas papillomavirus 1</t>
  </si>
  <si>
    <t>PhPV1</t>
  </si>
  <si>
    <t>Mac2085</t>
  </si>
  <si>
    <t>Macaca fuscata papillomavirus 1</t>
  </si>
  <si>
    <t>MfuPV1</t>
  </si>
  <si>
    <t>OSCC1</t>
  </si>
  <si>
    <t>human papillomavirus 54</t>
  </si>
  <si>
    <t>HPV54</t>
  </si>
  <si>
    <t>U37488</t>
  </si>
  <si>
    <t>human papillomavirus 71</t>
  </si>
  <si>
    <t>HPV71</t>
  </si>
  <si>
    <t>AB040456</t>
  </si>
  <si>
    <t>human papillomavirus 90</t>
  </si>
  <si>
    <t>HPV90</t>
  </si>
  <si>
    <t>human papillomavirus 106</t>
  </si>
  <si>
    <t>HPV106</t>
  </si>
  <si>
    <t>Qv28897</t>
  </si>
  <si>
    <t>Colobus guereza papillomavirus 1</t>
  </si>
  <si>
    <t>CgPV1</t>
  </si>
  <si>
    <t>human papillomavirus 10</t>
  </si>
  <si>
    <t>HPV10</t>
  </si>
  <si>
    <t>X74465</t>
  </si>
  <si>
    <t>human papillomavirus 160</t>
  </si>
  <si>
    <t>HPV160</t>
  </si>
  <si>
    <t>TM</t>
  </si>
  <si>
    <t>human papillomavirus 94</t>
  </si>
  <si>
    <t>HPV94</t>
  </si>
  <si>
    <t>human papillomavirus 125</t>
  </si>
  <si>
    <t>HPV125</t>
  </si>
  <si>
    <t>SIBX9</t>
  </si>
  <si>
    <t>human papillomavirus 117</t>
  </si>
  <si>
    <t>HPV117</t>
  </si>
  <si>
    <t>a_wart10</t>
  </si>
  <si>
    <t>human papillomavirus 78</t>
  </si>
  <si>
    <t>HPV78</t>
  </si>
  <si>
    <t>XS2</t>
  </si>
  <si>
    <t>human papillomavirus 28</t>
  </si>
  <si>
    <t>HPV28</t>
  </si>
  <si>
    <t>human papillomavirus 29</t>
  </si>
  <si>
    <t>HPV29</t>
  </si>
  <si>
    <t>human papillomavirus 3</t>
  </si>
  <si>
    <t>HPV3</t>
  </si>
  <si>
    <t>human papillomavirus 77</t>
  </si>
  <si>
    <t>HPV77</t>
  </si>
  <si>
    <t>human papillomavirus 61</t>
  </si>
  <si>
    <t>HPV61</t>
  </si>
  <si>
    <t>U31793</t>
  </si>
  <si>
    <t>human papillomavirus 83</t>
  </si>
  <si>
    <t>HPV83</t>
  </si>
  <si>
    <t>human papillomavirus 84</t>
  </si>
  <si>
    <t>HPV84</t>
  </si>
  <si>
    <t>CY10-452</t>
  </si>
  <si>
    <t>human papillomavirus 86</t>
  </si>
  <si>
    <t>HPV86</t>
  </si>
  <si>
    <t>human papillomavirus 89</t>
  </si>
  <si>
    <t>HPV89</t>
  </si>
  <si>
    <t>human papillomavirus 87</t>
  </si>
  <si>
    <t>HPV87</t>
  </si>
  <si>
    <t>human papillomavirus 81</t>
  </si>
  <si>
    <t>HPV81</t>
  </si>
  <si>
    <t>human papillomavirus 62</t>
  </si>
  <si>
    <t>HPV62</t>
  </si>
  <si>
    <t>Qv18091</t>
  </si>
  <si>
    <t>human papillomavirus 102</t>
  </si>
  <si>
    <t>HPV102</t>
  </si>
  <si>
    <t>Qv34077</t>
  </si>
  <si>
    <t>human papillomavirus 114</t>
  </si>
  <si>
    <t>HPV114</t>
  </si>
  <si>
    <t>human papillomavirus 72</t>
  </si>
  <si>
    <t>HPV72</t>
  </si>
  <si>
    <t>human papillomavirus 2</t>
  </si>
  <si>
    <t>HPV2</t>
  </si>
  <si>
    <t>X55964</t>
  </si>
  <si>
    <t>human papillomavirus 57</t>
  </si>
  <si>
    <t>HPV57</t>
  </si>
  <si>
    <t>human papillomavirus 27</t>
  </si>
  <si>
    <t>HPV27</t>
  </si>
  <si>
    <t>human papillomavirus 26</t>
  </si>
  <si>
    <t>HPV26</t>
  </si>
  <si>
    <t>X74472</t>
  </si>
  <si>
    <t>human papillomavirus 69</t>
  </si>
  <si>
    <t>HPV69</t>
  </si>
  <si>
    <t>human papillomavirus 82</t>
  </si>
  <si>
    <t>HPV82</t>
  </si>
  <si>
    <t>human papillomavirus 51</t>
  </si>
  <si>
    <t>HPV51</t>
  </si>
  <si>
    <t>human papillomavirus 30</t>
  </si>
  <si>
    <t>HPV30</t>
  </si>
  <si>
    <t>X74474</t>
  </si>
  <si>
    <t>human papillomavirus 66</t>
  </si>
  <si>
    <t>HPV66</t>
  </si>
  <si>
    <t>human papillomavirus 53</t>
  </si>
  <si>
    <t>HPV53</t>
  </si>
  <si>
    <t>human papillomavirus 56</t>
  </si>
  <si>
    <t>HPV56</t>
  </si>
  <si>
    <t>human papillomavirus 18</t>
  </si>
  <si>
    <t>HPV18</t>
  </si>
  <si>
    <t>X05015</t>
  </si>
  <si>
    <t>human papillomavirus 85</t>
  </si>
  <si>
    <t>HPV85</t>
  </si>
  <si>
    <t>human papillomavirus 68</t>
  </si>
  <si>
    <t>HPV68</t>
  </si>
  <si>
    <t>Plasmid 952</t>
  </si>
  <si>
    <t>human papillomavirus 97</t>
  </si>
  <si>
    <t>HPV97</t>
  </si>
  <si>
    <t>Qv28597</t>
  </si>
  <si>
    <t>human papillomavirus 39</t>
  </si>
  <si>
    <t>HPV39</t>
  </si>
  <si>
    <t>human papillomavirus 70</t>
  </si>
  <si>
    <t>HPV70</t>
  </si>
  <si>
    <t>human papillomavirus 45</t>
  </si>
  <si>
    <t>HPV45</t>
  </si>
  <si>
    <t>human papillomavirus 59</t>
  </si>
  <si>
    <t>HPV59</t>
  </si>
  <si>
    <t>human papillomavirus 7</t>
  </si>
  <si>
    <t>HPV7</t>
  </si>
  <si>
    <t>X74463</t>
  </si>
  <si>
    <t>human papillomavirus 91</t>
  </si>
  <si>
    <t>HPV91</t>
  </si>
  <si>
    <t>human papillomavirus 43</t>
  </si>
  <si>
    <t>HPV43</t>
  </si>
  <si>
    <t>human papillomavirus 40</t>
  </si>
  <si>
    <t>HPV40</t>
  </si>
  <si>
    <t>human papillomavirus 16</t>
  </si>
  <si>
    <t>HPV16</t>
  </si>
  <si>
    <t>K02718</t>
  </si>
  <si>
    <t>human papillomavirus 67</t>
  </si>
  <si>
    <t>HPV67</t>
  </si>
  <si>
    <t>human papillomavirus 58</t>
  </si>
  <si>
    <t>HPV58</t>
  </si>
  <si>
    <t>GN479</t>
  </si>
  <si>
    <t>human papillomavirus 31</t>
  </si>
  <si>
    <t>HPV31</t>
  </si>
  <si>
    <t>human papillomavirus 33</t>
  </si>
  <si>
    <t>HPV33</t>
  </si>
  <si>
    <t>human papillomavirus 35</t>
  </si>
  <si>
    <t>HPV35</t>
  </si>
  <si>
    <t>human papillomavirus 52</t>
  </si>
  <si>
    <t>HPV52</t>
  </si>
  <si>
    <t>Betapapillomavirus</t>
  </si>
  <si>
    <t>human papillomavirus 5</t>
  </si>
  <si>
    <t>HPV5</t>
  </si>
  <si>
    <t>M17463</t>
  </si>
  <si>
    <t>human papillomavirus 93</t>
  </si>
  <si>
    <t>HPV93</t>
  </si>
  <si>
    <t>Macaca fascicularis papillomavirus 1</t>
  </si>
  <si>
    <t>MfPV1</t>
  </si>
  <si>
    <t>human papillomavirus 98</t>
  </si>
  <si>
    <t>HPV98</t>
  </si>
  <si>
    <t>GA1-3</t>
  </si>
  <si>
    <t>human papillomavirus 99</t>
  </si>
  <si>
    <t>HPV99</t>
  </si>
  <si>
    <t>GA3-1</t>
  </si>
  <si>
    <t>human papillomavirus 105</t>
  </si>
  <si>
    <t>HPV105</t>
  </si>
  <si>
    <t>DL294</t>
  </si>
  <si>
    <t>human papillomavirus 118</t>
  </si>
  <si>
    <t>HPV118</t>
  </si>
  <si>
    <t>b_wart3</t>
  </si>
  <si>
    <t>human papillomavirus 124</t>
  </si>
  <si>
    <t>HPV124</t>
  </si>
  <si>
    <t>NJ3900</t>
  </si>
  <si>
    <t>Colobus guereza papillomavirus 2</t>
  </si>
  <si>
    <t>CgPV2</t>
  </si>
  <si>
    <t>human papillomavirus 143</t>
  </si>
  <si>
    <t>HPV143</t>
  </si>
  <si>
    <t>CL3220</t>
  </si>
  <si>
    <t>human papillomavirus 152</t>
  </si>
  <si>
    <t>HPV152</t>
  </si>
  <si>
    <t>Muc17.1</t>
  </si>
  <si>
    <t>human papillomavirus 8</t>
  </si>
  <si>
    <t>HPV8</t>
  </si>
  <si>
    <t>human papillomavirus 47</t>
  </si>
  <si>
    <t>HPV47</t>
  </si>
  <si>
    <t>human papillomavirus 20</t>
  </si>
  <si>
    <t>HPV20</t>
  </si>
  <si>
    <t>human papillomavirus 21</t>
  </si>
  <si>
    <t>HPV21</t>
  </si>
  <si>
    <t>human papillomavirus 24</t>
  </si>
  <si>
    <t>HPV24</t>
  </si>
  <si>
    <t>human papillomavirus 36</t>
  </si>
  <si>
    <t>HPV36</t>
  </si>
  <si>
    <t>human papillomavirus 12</t>
  </si>
  <si>
    <t>HPV12</t>
  </si>
  <si>
    <t>human papillomavirus 14</t>
  </si>
  <si>
    <t>HPV14</t>
  </si>
  <si>
    <t>human papillomavirus 19</t>
  </si>
  <si>
    <t>HPV19</t>
  </si>
  <si>
    <t>human papillomavirus 25</t>
  </si>
  <si>
    <t>HPV25</t>
  </si>
  <si>
    <t>human papillomavirus 9</t>
  </si>
  <si>
    <t>HPV9</t>
  </si>
  <si>
    <t>X74464</t>
  </si>
  <si>
    <t>human papillomavirus 107</t>
  </si>
  <si>
    <t>HPV107</t>
  </si>
  <si>
    <t>FA85</t>
  </si>
  <si>
    <t>human papillomavirus 110</t>
  </si>
  <si>
    <t>HPV110</t>
  </si>
  <si>
    <t>human papillomavirus 111</t>
  </si>
  <si>
    <t>HPV111</t>
  </si>
  <si>
    <t>human papillomavirus 100</t>
  </si>
  <si>
    <t>HPV100</t>
  </si>
  <si>
    <t>DL267</t>
  </si>
  <si>
    <t>human papillomavirus 104</t>
  </si>
  <si>
    <t>HPV104</t>
  </si>
  <si>
    <t>DL253</t>
  </si>
  <si>
    <t>human papillomavirus 113</t>
  </si>
  <si>
    <t>HPV113</t>
  </si>
  <si>
    <t>DL250</t>
  </si>
  <si>
    <t>human papillomavirus 151</t>
  </si>
  <si>
    <t>HPV151</t>
  </si>
  <si>
    <t>SIBX2</t>
  </si>
  <si>
    <t>human papillomavirus 120</t>
  </si>
  <si>
    <t>HPV120</t>
  </si>
  <si>
    <t>CL3857</t>
  </si>
  <si>
    <t>human papillomavirus 122</t>
  </si>
  <si>
    <t>HPV122</t>
  </si>
  <si>
    <t>CL3802</t>
  </si>
  <si>
    <t>human papillomavirus 159</t>
  </si>
  <si>
    <t>HPV159</t>
  </si>
  <si>
    <t>SIBX8</t>
  </si>
  <si>
    <t>human papillomavirus 174</t>
  </si>
  <si>
    <t>HPV174</t>
  </si>
  <si>
    <t>V001</t>
  </si>
  <si>
    <t>human papillomavirus 145</t>
  </si>
  <si>
    <t>HPV145</t>
  </si>
  <si>
    <t>CL4112</t>
  </si>
  <si>
    <t>human papillomavirus 22</t>
  </si>
  <si>
    <t>HPV22</t>
  </si>
  <si>
    <t>human papillomavirus 23</t>
  </si>
  <si>
    <t>HPV23</t>
  </si>
  <si>
    <t>human papillomavirus 37</t>
  </si>
  <si>
    <t>HPV37</t>
  </si>
  <si>
    <t>human papillomavirus 38</t>
  </si>
  <si>
    <t>HPV38</t>
  </si>
  <si>
    <t>human papillomavirus 15</t>
  </si>
  <si>
    <t>HPV15</t>
  </si>
  <si>
    <t>human papillomavirus 17</t>
  </si>
  <si>
    <t>HPV17</t>
  </si>
  <si>
    <t>human papillomavirus 80</t>
  </si>
  <si>
    <t>HPV80</t>
  </si>
  <si>
    <t>human papillomavirus 49</t>
  </si>
  <si>
    <t>HPV49</t>
  </si>
  <si>
    <t>X74480</t>
  </si>
  <si>
    <t>human papillomavirus 115</t>
  </si>
  <si>
    <t>HPV115</t>
  </si>
  <si>
    <t>GC02</t>
  </si>
  <si>
    <t>human papillomavirus 75</t>
  </si>
  <si>
    <t>HPV75</t>
  </si>
  <si>
    <t>human papillomavirus 76</t>
  </si>
  <si>
    <t>HPV76</t>
  </si>
  <si>
    <t>human papillomavirus 92</t>
  </si>
  <si>
    <t>HPV92</t>
  </si>
  <si>
    <t>AF531420</t>
  </si>
  <si>
    <t>human papillomavirus 96</t>
  </si>
  <si>
    <t>HPV96</t>
  </si>
  <si>
    <t>AY382779</t>
  </si>
  <si>
    <t>human papillomavirus 150</t>
  </si>
  <si>
    <t>HPV150</t>
  </si>
  <si>
    <t>SIBX1</t>
  </si>
  <si>
    <t>Macaca fascicularis papillomavirus 2</t>
  </si>
  <si>
    <t>MfPV2</t>
  </si>
  <si>
    <t>Mac191</t>
  </si>
  <si>
    <t>GU014531</t>
  </si>
  <si>
    <t>Chipapillomavirus</t>
  </si>
  <si>
    <t>Canis familiaris papillomavirus 3</t>
  </si>
  <si>
    <t>CPV3</t>
  </si>
  <si>
    <t>DQ295066</t>
  </si>
  <si>
    <t>Canis familiaris papillomavirus 5</t>
  </si>
  <si>
    <t>CPV5</t>
  </si>
  <si>
    <t>Birkenfeld</t>
  </si>
  <si>
    <t>Canis familiaris papillomavirus 9</t>
  </si>
  <si>
    <t>CPV9</t>
  </si>
  <si>
    <t>Canis familiaris papillomavirus 11</t>
  </si>
  <si>
    <t>CPV11</t>
  </si>
  <si>
    <t>Canis familiaris papillomavirus 12</t>
  </si>
  <si>
    <t>CPV12</t>
  </si>
  <si>
    <t>Deacon C</t>
  </si>
  <si>
    <t>Canis familiaris papillomavirus 18</t>
  </si>
  <si>
    <t>CPV18</t>
  </si>
  <si>
    <t>Boston 2015</t>
  </si>
  <si>
    <t>Canis familiaris papillomavirus 20</t>
  </si>
  <si>
    <t>CPV20</t>
  </si>
  <si>
    <t>Ada</t>
  </si>
  <si>
    <t>Canis familiaris papillomavirus 4</t>
  </si>
  <si>
    <t>CPV4</t>
  </si>
  <si>
    <t>pug2006</t>
  </si>
  <si>
    <t>EF584537</t>
  </si>
  <si>
    <t>Canis familiaris papillomavirus 16</t>
  </si>
  <si>
    <t>CPV16</t>
  </si>
  <si>
    <t>Chana</t>
  </si>
  <si>
    <t>Canis familiaris papillomavirus 8</t>
  </si>
  <si>
    <t>CPV8</t>
  </si>
  <si>
    <t>Charlotte</t>
  </si>
  <si>
    <t>HQ262536</t>
  </si>
  <si>
    <t>Canis familiaris papillomavirus 10</t>
  </si>
  <si>
    <t>CPV10</t>
  </si>
  <si>
    <t>Canis familiaris papillomavirus 14</t>
  </si>
  <si>
    <t>CPV14</t>
  </si>
  <si>
    <t>Canis familiaris papillomavirus 15</t>
  </si>
  <si>
    <t>CPV15</t>
  </si>
  <si>
    <t>Hercules2012</t>
  </si>
  <si>
    <t>Deltapapillomavirus</t>
  </si>
  <si>
    <t>Alces alces papillomavirus 1</t>
  </si>
  <si>
    <t>AaPV1</t>
  </si>
  <si>
    <t>M15953</t>
  </si>
  <si>
    <t>Rangifer tarandus papillomavirus 1</t>
  </si>
  <si>
    <t>RtPV1</t>
  </si>
  <si>
    <t>Odocoileus virginianus papillomavirus 1</t>
  </si>
  <si>
    <t>OvPV1</t>
  </si>
  <si>
    <t>M11910</t>
  </si>
  <si>
    <t>Ovis aries papillomavirus 1</t>
  </si>
  <si>
    <t>OaPV1</t>
  </si>
  <si>
    <t>U83594</t>
  </si>
  <si>
    <t>Ovis aries papillomavirus 2</t>
  </si>
  <si>
    <t>OaPV2</t>
  </si>
  <si>
    <t>Bos taurus papillomavirus 1</t>
  </si>
  <si>
    <t>BPV1</t>
  </si>
  <si>
    <t>X02346</t>
  </si>
  <si>
    <t>Bos taurus papillomavirus 13</t>
  </si>
  <si>
    <t>BPV13</t>
  </si>
  <si>
    <t>Bos grunniens papillomavirus 1</t>
  </si>
  <si>
    <t>BgPV1</t>
  </si>
  <si>
    <t>QH-1</t>
  </si>
  <si>
    <t>Bos taurus papillomavirus 14</t>
  </si>
  <si>
    <t>BPV14</t>
  </si>
  <si>
    <t>CGKnose1</t>
  </si>
  <si>
    <t>Bos taurus papillomavirus 2</t>
  </si>
  <si>
    <t>BPV2</t>
  </si>
  <si>
    <t>Capreolus capreolus papillomavirus 1</t>
  </si>
  <si>
    <t>CcaPV1</t>
  </si>
  <si>
    <t>EF680235</t>
  </si>
  <si>
    <t>Rusa alfredi papillomavirus 1</t>
  </si>
  <si>
    <t>RalPV1</t>
  </si>
  <si>
    <t>DE1641-14</t>
  </si>
  <si>
    <t>Camelus dromedarius papillomavirus 1</t>
  </si>
  <si>
    <t>CdPV1</t>
  </si>
  <si>
    <t>HQ912790</t>
  </si>
  <si>
    <t>Camelus dromedarius papillomavirus 2</t>
  </si>
  <si>
    <t>CdPCV2</t>
  </si>
  <si>
    <t>Giraffa camelopardalis papillomavirus 1</t>
  </si>
  <si>
    <t>GcPV1</t>
  </si>
  <si>
    <t>GC2011</t>
  </si>
  <si>
    <t>KX954132</t>
  </si>
  <si>
    <t>Dyochipapillomavirus</t>
  </si>
  <si>
    <t>Equus asinus papillomavirus</t>
  </si>
  <si>
    <t>EaPV1</t>
  </si>
  <si>
    <t>Asinara</t>
  </si>
  <si>
    <t>KF741371</t>
  </si>
  <si>
    <t>Dyodeltapapillomavirus</t>
  </si>
  <si>
    <t>Sus scrofa papillomavirus 1</t>
  </si>
  <si>
    <t>SsPV1</t>
  </si>
  <si>
    <t>variant a</t>
  </si>
  <si>
    <t>EF395818</t>
  </si>
  <si>
    <t>Dyoepsilonpapillomavirus</t>
  </si>
  <si>
    <t>Francolinus leucoscepus papillomavirus 1</t>
  </si>
  <si>
    <t>FlPV1</t>
  </si>
  <si>
    <t>EU188799</t>
  </si>
  <si>
    <t>Dyoetapapillomavirus</t>
  </si>
  <si>
    <t>Erinaceus europaeus papillomavirus 1</t>
  </si>
  <si>
    <t>EePV1</t>
  </si>
  <si>
    <t>FJ379293</t>
  </si>
  <si>
    <t>Dyoiotapapillomavirus</t>
  </si>
  <si>
    <t>Equus caballus papillomavirus 3</t>
  </si>
  <si>
    <t>EcPV3</t>
  </si>
  <si>
    <t>Haflinger</t>
  </si>
  <si>
    <t>GU384895</t>
  </si>
  <si>
    <t>Equus caballus papillomavirus 2</t>
  </si>
  <si>
    <t>EcPV2</t>
  </si>
  <si>
    <t>EU503122</t>
  </si>
  <si>
    <t>Equus caballus papillomavirus 4</t>
  </si>
  <si>
    <t>EcPV4</t>
  </si>
  <si>
    <t>JQ031032</t>
  </si>
  <si>
    <t>Equus caballus papillomavirus 5</t>
  </si>
  <si>
    <t>EcPV5</t>
  </si>
  <si>
    <t>Dyokappapapillomavirus</t>
  </si>
  <si>
    <t>Ovis aries papillomavirus 3</t>
  </si>
  <si>
    <t>OaPV3</t>
  </si>
  <si>
    <t>Sar1</t>
  </si>
  <si>
    <t>FJ796965</t>
  </si>
  <si>
    <t>Rupicapra rupicapra papillomavirus 1</t>
  </si>
  <si>
    <t>RrPV1</t>
  </si>
  <si>
    <t>KC876045</t>
  </si>
  <si>
    <t>Bos taurus papillomavirus 16</t>
  </si>
  <si>
    <t>BPV16</t>
  </si>
  <si>
    <t>KU519391</t>
  </si>
  <si>
    <t>Bos taurus papillomavirus 18</t>
  </si>
  <si>
    <t>BPV18</t>
  </si>
  <si>
    <t>KU519393</t>
  </si>
  <si>
    <t>Pudu puda papillomavirus 1</t>
  </si>
  <si>
    <t>PpuPV1</t>
  </si>
  <si>
    <t>ILAT 93802</t>
  </si>
  <si>
    <t>KT932713</t>
  </si>
  <si>
    <t>Dyolambdapapillomavirus</t>
  </si>
  <si>
    <t>Bettongia penicillata papillomavirus 1</t>
  </si>
  <si>
    <t>BpPV1</t>
  </si>
  <si>
    <t>GU220391</t>
  </si>
  <si>
    <t>Dyomupapillomavirus</t>
  </si>
  <si>
    <t>Morelia spilota papillomavirus 1</t>
  </si>
  <si>
    <t>MsPV1</t>
  </si>
  <si>
    <t>Zurich 2009</t>
  </si>
  <si>
    <t>HQ262535</t>
  </si>
  <si>
    <t>Dyonupapillomavirus</t>
  </si>
  <si>
    <t>Zalophus californianus papillomavirus 1</t>
  </si>
  <si>
    <t>ZcPV1</t>
  </si>
  <si>
    <t>HQ293213</t>
  </si>
  <si>
    <t>Dyoomegapapillomavirus</t>
  </si>
  <si>
    <t>Eptesicus serotinus papillomavirus 2</t>
  </si>
  <si>
    <t>EsPV2</t>
  </si>
  <si>
    <t>KC858264</t>
  </si>
  <si>
    <t>Dyoomikronpapillomavirus</t>
  </si>
  <si>
    <t>Saimiri sciureus papillomavirus 1</t>
  </si>
  <si>
    <t>SscPV1</t>
  </si>
  <si>
    <t>Mac2066</t>
  </si>
  <si>
    <t>JF304765</t>
  </si>
  <si>
    <t>Saimiri sciureus papillomavirus 2</t>
  </si>
  <si>
    <t>SscPV2</t>
  </si>
  <si>
    <t>Mac2067.1</t>
  </si>
  <si>
    <t>Saimiri sciureus papillomavirus 3</t>
  </si>
  <si>
    <t>SscPV3</t>
  </si>
  <si>
    <t>Mac2167.2</t>
  </si>
  <si>
    <t>Alouatta guariba papillomavirus 1</t>
  </si>
  <si>
    <t>AgPV1</t>
  </si>
  <si>
    <t>PPV03_SP</t>
  </si>
  <si>
    <t>Dyophipapillomavirus</t>
  </si>
  <si>
    <t>Talpa europaea papillomavirus 1</t>
  </si>
  <si>
    <t>TePV1</t>
  </si>
  <si>
    <t>Bruges/2009/22</t>
  </si>
  <si>
    <t>KC460987</t>
  </si>
  <si>
    <t>Dyopipapillomavirus</t>
  </si>
  <si>
    <t>Phocoena phocoena papillomavirus</t>
  </si>
  <si>
    <t>PphPV4</t>
  </si>
  <si>
    <t>GU117623</t>
  </si>
  <si>
    <t>Dyopsipapillomavirus</t>
  </si>
  <si>
    <t>Eptesicus serotinus papillomavirus 1</t>
  </si>
  <si>
    <t>EsPV1</t>
  </si>
  <si>
    <t>KC858263</t>
  </si>
  <si>
    <t>Eptesicus serotinus papillomavirus 3</t>
  </si>
  <si>
    <t>EsPV3</t>
  </si>
  <si>
    <t>Dyorhopapillomavirus</t>
  </si>
  <si>
    <t>Equus caballus papillomavirus 6</t>
  </si>
  <si>
    <t>EcPV6</t>
  </si>
  <si>
    <t>Sirkar_2011</t>
  </si>
  <si>
    <t>Equus caballus papillomavirus 7</t>
  </si>
  <si>
    <t>EcPV7</t>
  </si>
  <si>
    <t>Dyosigmapapillomavirus</t>
  </si>
  <si>
    <t>Castor canadensis papillomavirus 1</t>
  </si>
  <si>
    <t>CcanPV1</t>
  </si>
  <si>
    <t>KC020689</t>
  </si>
  <si>
    <t>Dyotaupapillomavirus</t>
  </si>
  <si>
    <t>Miniopterus schreibersii papillomavirus 2</t>
  </si>
  <si>
    <t>MscPV2</t>
  </si>
  <si>
    <t>TT20F</t>
  </si>
  <si>
    <t>JQ692938</t>
  </si>
  <si>
    <t>Dyothetapapillomavirus</t>
  </si>
  <si>
    <t>Felis domesticus papillomavirus 2</t>
  </si>
  <si>
    <t>FcaPV2</t>
  </si>
  <si>
    <t>Main Coon 2007</t>
  </si>
  <si>
    <t>EU796884</t>
  </si>
  <si>
    <t>Dyoupsilonpapillomavirus</t>
  </si>
  <si>
    <t>Eidolon helvum papillomavirus 1</t>
  </si>
  <si>
    <t>EhPV1</t>
  </si>
  <si>
    <t>JX123128</t>
  </si>
  <si>
    <t>Dyoxipapillomavirus</t>
  </si>
  <si>
    <t>Bos taurus papillomavirus 7</t>
  </si>
  <si>
    <t>BPV7</t>
  </si>
  <si>
    <t>DQ217793</t>
  </si>
  <si>
    <t>Bos taurus papillomavirus 19</t>
  </si>
  <si>
    <t>BPV19</t>
  </si>
  <si>
    <t>KU519394</t>
  </si>
  <si>
    <t>Bos taurus papillomavirus 21</t>
  </si>
  <si>
    <t>BPV21</t>
  </si>
  <si>
    <t>Dyozetapapillomavirus</t>
  </si>
  <si>
    <t>Caretta caretta papillomavirus 1</t>
  </si>
  <si>
    <t>CcPV1</t>
  </si>
  <si>
    <t>EU493092</t>
  </si>
  <si>
    <t>Chelonia mydas papillomavirus 1</t>
  </si>
  <si>
    <t>CmPV1</t>
  </si>
  <si>
    <t>Epsilonpapillomavirus</t>
  </si>
  <si>
    <t>Bos taurus papillomavirus 5</t>
  </si>
  <si>
    <t>BPV5</t>
  </si>
  <si>
    <t>AF457465</t>
  </si>
  <si>
    <t>Bos taurus papillomavirus 8</t>
  </si>
  <si>
    <t>BPV8</t>
  </si>
  <si>
    <t>BAPV1</t>
  </si>
  <si>
    <t>Cervus elaphus papillomavirus 1</t>
  </si>
  <si>
    <t>CePV1</t>
  </si>
  <si>
    <t>BernieDPV</t>
  </si>
  <si>
    <t>KU350625</t>
  </si>
  <si>
    <t>Etapapillomavirus</t>
  </si>
  <si>
    <t>Fringilla coelebs papillomavirus</t>
  </si>
  <si>
    <t>FcPV1</t>
  </si>
  <si>
    <t>AY057109</t>
  </si>
  <si>
    <t>Gammapapillomavirus</t>
  </si>
  <si>
    <t>human papillomavirus 4</t>
  </si>
  <si>
    <t>HPV4</t>
  </si>
  <si>
    <t>X70827</t>
  </si>
  <si>
    <t>human papillomavirus 95</t>
  </si>
  <si>
    <t>HPV95</t>
  </si>
  <si>
    <t>human papillomavirus 173</t>
  </si>
  <si>
    <t>HPV173</t>
  </si>
  <si>
    <t>human papillomavirus 205</t>
  </si>
  <si>
    <t>HPV205</t>
  </si>
  <si>
    <t>EP01</t>
  </si>
  <si>
    <t>human papillomavirus 65</t>
  </si>
  <si>
    <t>HPV65</t>
  </si>
  <si>
    <t>human papillomavirus 121</t>
  </si>
  <si>
    <t>HPV121</t>
  </si>
  <si>
    <t>NJ3301</t>
  </si>
  <si>
    <t>GQ845443</t>
  </si>
  <si>
    <t>human papillomavirus 130</t>
  </si>
  <si>
    <t>HPV130</t>
  </si>
  <si>
    <t>24-43</t>
  </si>
  <si>
    <t>human papillomavirus 133</t>
  </si>
  <si>
    <t>HPV133</t>
  </si>
  <si>
    <t>28-52</t>
  </si>
  <si>
    <t>human papillomavirus 142</t>
  </si>
  <si>
    <t>HPV142</t>
  </si>
  <si>
    <t>GH1302</t>
  </si>
  <si>
    <t>human papillomavirus 180</t>
  </si>
  <si>
    <t>HPV180</t>
  </si>
  <si>
    <t>FA69</t>
  </si>
  <si>
    <t>human papillomavirus 126</t>
  </si>
  <si>
    <t>HPV126</t>
  </si>
  <si>
    <t>AB646346</t>
  </si>
  <si>
    <t>human papillomavirus 136</t>
  </si>
  <si>
    <t>HPV136</t>
  </si>
  <si>
    <t>CL3865</t>
  </si>
  <si>
    <t>human papillomavirus 140</t>
  </si>
  <si>
    <t>HPV140</t>
  </si>
  <si>
    <t>NJ2801C1</t>
  </si>
  <si>
    <t>human papillomavirus 141</t>
  </si>
  <si>
    <t>HPV141</t>
  </si>
  <si>
    <t>NJ2801Cn</t>
  </si>
  <si>
    <t>human papillomavirus 154</t>
  </si>
  <si>
    <t>HPV154</t>
  </si>
  <si>
    <t>PV77</t>
  </si>
  <si>
    <t>human papillomavirus 169</t>
  </si>
  <si>
    <t>HPV169</t>
  </si>
  <si>
    <t>KC6</t>
  </si>
  <si>
    <t>human papillomavirus 171</t>
  </si>
  <si>
    <t>HPV171</t>
  </si>
  <si>
    <t>human papillomavirus 202</t>
  </si>
  <si>
    <t>HPV202</t>
  </si>
  <si>
    <t>human papillomavirus 127</t>
  </si>
  <si>
    <t>HPV127</t>
  </si>
  <si>
    <t>R3a</t>
  </si>
  <si>
    <t>HM011570</t>
  </si>
  <si>
    <t>human papillomavirus 157</t>
  </si>
  <si>
    <t>HPV157</t>
  </si>
  <si>
    <t>GC08</t>
  </si>
  <si>
    <t>human papillomavirus 132</t>
  </si>
  <si>
    <t>HPV132</t>
  </si>
  <si>
    <t>27-50</t>
  </si>
  <si>
    <t>human papillomavirus 148</t>
  </si>
  <si>
    <t>HPV148</t>
  </si>
  <si>
    <t>34-60</t>
  </si>
  <si>
    <t>human papillomavirus 165</t>
  </si>
  <si>
    <t>HPV165</t>
  </si>
  <si>
    <t>KC7</t>
  </si>
  <si>
    <t>human papillomavirus 199</t>
  </si>
  <si>
    <t>HPV199</t>
  </si>
  <si>
    <t>KC82-SLO</t>
  </si>
  <si>
    <t>human papillomavirus 158</t>
  </si>
  <si>
    <t>HPV158</t>
  </si>
  <si>
    <t>GC23</t>
  </si>
  <si>
    <t>human papillomavirus 128</t>
  </si>
  <si>
    <t>HPV128</t>
  </si>
  <si>
    <t>GU225708</t>
  </si>
  <si>
    <t>human papillomavirus 153</t>
  </si>
  <si>
    <t>HPV153</t>
  </si>
  <si>
    <t>human papillomavirus 131</t>
  </si>
  <si>
    <t>HPV131</t>
  </si>
  <si>
    <t>27-49</t>
  </si>
  <si>
    <t>GU117631</t>
  </si>
  <si>
    <t>human papillomavirus 135</t>
  </si>
  <si>
    <t>HPV135</t>
  </si>
  <si>
    <t>NJ3500</t>
  </si>
  <si>
    <t>HM999987</t>
  </si>
  <si>
    <t>human papillomavirus 179</t>
  </si>
  <si>
    <t>HPV179</t>
  </si>
  <si>
    <t>SIBX16</t>
  </si>
  <si>
    <t>human papillomavirus 146</t>
  </si>
  <si>
    <t>HPV146</t>
  </si>
  <si>
    <t>GH1677</t>
  </si>
  <si>
    <t>human papillomavirus 137</t>
  </si>
  <si>
    <t>HPV137</t>
  </si>
  <si>
    <t>NJ2801H</t>
  </si>
  <si>
    <t>HM999989</t>
  </si>
  <si>
    <t>human papillomavirus 144</t>
  </si>
  <si>
    <t>HPV144</t>
  </si>
  <si>
    <t>CL3740</t>
  </si>
  <si>
    <t>HM999996</t>
  </si>
  <si>
    <t>human papillomavirus 156</t>
  </si>
  <si>
    <t>HPV156</t>
  </si>
  <si>
    <t>GC01</t>
  </si>
  <si>
    <t>JX429973</t>
  </si>
  <si>
    <t>human papillomavirus 161</t>
  </si>
  <si>
    <t>HPV161</t>
  </si>
  <si>
    <t>KC1</t>
  </si>
  <si>
    <t>JX413109</t>
  </si>
  <si>
    <t>human papillomavirus 166</t>
  </si>
  <si>
    <t>HPV166</t>
  </si>
  <si>
    <t>KC9</t>
  </si>
  <si>
    <t>human papillomavirus 162</t>
  </si>
  <si>
    <t>HPV162</t>
  </si>
  <si>
    <t>KC2</t>
  </si>
  <si>
    <t>human papillomavirus 48</t>
  </si>
  <si>
    <t>HPV48</t>
  </si>
  <si>
    <t>U31789</t>
  </si>
  <si>
    <t>human papillomavirus 200</t>
  </si>
  <si>
    <t>HPV200</t>
  </si>
  <si>
    <t>human papillomavirus 163</t>
  </si>
  <si>
    <t>HPV163</t>
  </si>
  <si>
    <t>KC3</t>
  </si>
  <si>
    <t>JX413107</t>
  </si>
  <si>
    <t>human papillomavirus 167</t>
  </si>
  <si>
    <t>HPV167</t>
  </si>
  <si>
    <t>KC10</t>
  </si>
  <si>
    <t>KC862318</t>
  </si>
  <si>
    <t>human papillomavirus 172</t>
  </si>
  <si>
    <t>HPV172</t>
  </si>
  <si>
    <t>KF006399</t>
  </si>
  <si>
    <t>human papillomavirus 175</t>
  </si>
  <si>
    <t>HPV175</t>
  </si>
  <si>
    <t>SE87</t>
  </si>
  <si>
    <t>KC108721</t>
  </si>
  <si>
    <t>human papillomavirus 178</t>
  </si>
  <si>
    <t>HPV178</t>
  </si>
  <si>
    <t>KJ130020</t>
  </si>
  <si>
    <t>human papillomavirus 197</t>
  </si>
  <si>
    <t>HPV197</t>
  </si>
  <si>
    <t>SE46</t>
  </si>
  <si>
    <t>human papillomavirus 184</t>
  </si>
  <si>
    <t>HPV184</t>
  </si>
  <si>
    <t>SIBX17</t>
  </si>
  <si>
    <t>HG530535</t>
  </si>
  <si>
    <t>human papillomavirus 187</t>
  </si>
  <si>
    <t>HPV187</t>
  </si>
  <si>
    <t>ACS447</t>
  </si>
  <si>
    <t>KR816174</t>
  </si>
  <si>
    <t>human papillomavirus 201</t>
  </si>
  <si>
    <t>HPV201</t>
  </si>
  <si>
    <t>KP692115</t>
  </si>
  <si>
    <t>human papillomavirus 50</t>
  </si>
  <si>
    <t>HPV50</t>
  </si>
  <si>
    <t>U31790</t>
  </si>
  <si>
    <t>human papillomavirus 60</t>
  </si>
  <si>
    <t>HPV60</t>
  </si>
  <si>
    <t>U31792</t>
  </si>
  <si>
    <t>human papillomavirus 88</t>
  </si>
  <si>
    <t>HPV88</t>
  </si>
  <si>
    <t>EF467176</t>
  </si>
  <si>
    <t>human papillomavirus 101</t>
  </si>
  <si>
    <t>HPV101</t>
  </si>
  <si>
    <t>Qv23954</t>
  </si>
  <si>
    <t>DQ080081</t>
  </si>
  <si>
    <t>human papillomavirus 103</t>
  </si>
  <si>
    <t>HPV103</t>
  </si>
  <si>
    <t>QV33725</t>
  </si>
  <si>
    <t>human papillomavirus 108</t>
  </si>
  <si>
    <t>HPV108</t>
  </si>
  <si>
    <t>human papillomavirus 109</t>
  </si>
  <si>
    <t>HPV109</t>
  </si>
  <si>
    <t>EU541441</t>
  </si>
  <si>
    <t>human papillomavirus 123</t>
  </si>
  <si>
    <t>HPV123</t>
  </si>
  <si>
    <t>NJ2501</t>
  </si>
  <si>
    <t>human papillomavirus 149</t>
  </si>
  <si>
    <t>HPV149</t>
  </si>
  <si>
    <t>human papillomavirus 134</t>
  </si>
  <si>
    <t>HPV134</t>
  </si>
  <si>
    <t>39-65</t>
  </si>
  <si>
    <t>human papillomavirus 138</t>
  </si>
  <si>
    <t>HPV138</t>
  </si>
  <si>
    <t>GH13</t>
  </si>
  <si>
    <t>human papillomavirus 139</t>
  </si>
  <si>
    <t>HPV139</t>
  </si>
  <si>
    <t>GH1646</t>
  </si>
  <si>
    <t>human papillomavirus 155</t>
  </si>
  <si>
    <t>HPV155</t>
  </si>
  <si>
    <t>SE42</t>
  </si>
  <si>
    <t>human papillomavirus 170</t>
  </si>
  <si>
    <t>HPV170</t>
  </si>
  <si>
    <t>KC8</t>
  </si>
  <si>
    <t>human papillomavirus 112</t>
  </si>
  <si>
    <t>HPV112</t>
  </si>
  <si>
    <t>EU541442</t>
  </si>
  <si>
    <t>human papillomavirus 119</t>
  </si>
  <si>
    <t>HPV119</t>
  </si>
  <si>
    <t>CL3647</t>
  </si>
  <si>
    <t>human papillomavirus 147</t>
  </si>
  <si>
    <t>HPV147</t>
  </si>
  <si>
    <t>GH659</t>
  </si>
  <si>
    <t>human papillomavirus 164</t>
  </si>
  <si>
    <t>HPV164</t>
  </si>
  <si>
    <t>KC4</t>
  </si>
  <si>
    <t>human papillomavirus 168</t>
  </si>
  <si>
    <t>HPV168</t>
  </si>
  <si>
    <t>KC15</t>
  </si>
  <si>
    <t>human papillomavirus 116</t>
  </si>
  <si>
    <t>HPV116</t>
  </si>
  <si>
    <t>FJ804072</t>
  </si>
  <si>
    <t>human papillomavirus 129</t>
  </si>
  <si>
    <t>HPV129</t>
  </si>
  <si>
    <t>Iotapapillomavirus</t>
  </si>
  <si>
    <t>Mastomys natalensis papillomavirus 1</t>
  </si>
  <si>
    <t>MnPV1</t>
  </si>
  <si>
    <t>U01834</t>
  </si>
  <si>
    <t>Rattus norvegicus papillomavirus 2</t>
  </si>
  <si>
    <t>RnPV2</t>
  </si>
  <si>
    <t>Rattus norvegicus papillomavirus 3</t>
  </si>
  <si>
    <t>RnPV3</t>
  </si>
  <si>
    <t>Rat_60S</t>
  </si>
  <si>
    <t>Peromyscus papillomavirus 1</t>
  </si>
  <si>
    <t>PmPV1</t>
  </si>
  <si>
    <t>M-14</t>
  </si>
  <si>
    <t>JF755418</t>
  </si>
  <si>
    <t>Kappapapillomavirus</t>
  </si>
  <si>
    <t>Oryctolagus cuniculus papillomavirus 1</t>
  </si>
  <si>
    <t>OcPV1</t>
  </si>
  <si>
    <t>AF227240</t>
  </si>
  <si>
    <t>Sylvilagus floridanus papillomavirus 1</t>
  </si>
  <si>
    <t>SfPV1</t>
  </si>
  <si>
    <t>K02708</t>
  </si>
  <si>
    <t>Lambdapapillomavirus</t>
  </si>
  <si>
    <t>Felis domesticus papillomavirus 1</t>
  </si>
  <si>
    <t>FcaPV1</t>
  </si>
  <si>
    <t>AF480454</t>
  </si>
  <si>
    <t>Lynx rufus papillomavirus 1</t>
  </si>
  <si>
    <t>LrPV1</t>
  </si>
  <si>
    <t>Puma concolor papillomavirus 1</t>
  </si>
  <si>
    <t>PcPV1</t>
  </si>
  <si>
    <t>Panthera leo persica papillomavirus 1</t>
  </si>
  <si>
    <t>PlpPV1</t>
  </si>
  <si>
    <t>Uncia uncia papillomavirus 1</t>
  </si>
  <si>
    <t>UuPV1</t>
  </si>
  <si>
    <t>Canis familiaris oral papillomavirus 1</t>
  </si>
  <si>
    <t>CPV1</t>
  </si>
  <si>
    <t>Y62</t>
  </si>
  <si>
    <t>D55633</t>
  </si>
  <si>
    <t>Canis familiaris papillomavirus 6</t>
  </si>
  <si>
    <t>CPV6</t>
  </si>
  <si>
    <t>Zurich</t>
  </si>
  <si>
    <t>FJ492744</t>
  </si>
  <si>
    <t>Procyon lotor papillomavirus 1</t>
  </si>
  <si>
    <t>PlPV1</t>
  </si>
  <si>
    <t>Z146-02</t>
  </si>
  <si>
    <t>AY763115</t>
  </si>
  <si>
    <t>Enhydra lutris papillomavirus 1</t>
  </si>
  <si>
    <t>ElPV1</t>
  </si>
  <si>
    <t>6898-13</t>
  </si>
  <si>
    <t>Crocuta crocuta papillomavirus 1</t>
  </si>
  <si>
    <t>CcrPV1</t>
  </si>
  <si>
    <t>HQ585856</t>
  </si>
  <si>
    <t>Mupapillomavirus</t>
  </si>
  <si>
    <t>human papillomavirus 1</t>
  </si>
  <si>
    <t>HPV1</t>
  </si>
  <si>
    <t>V01116</t>
  </si>
  <si>
    <t>human papillomavirus 63</t>
  </si>
  <si>
    <t>HPV63</t>
  </si>
  <si>
    <t>X70828</t>
  </si>
  <si>
    <t>human papillomavirus 204</t>
  </si>
  <si>
    <t>HPV204</t>
  </si>
  <si>
    <t>A342</t>
  </si>
  <si>
    <t>KP769769</t>
  </si>
  <si>
    <t>Nupapillomavirus</t>
  </si>
  <si>
    <t>human papillomavirus 41</t>
  </si>
  <si>
    <t>HPV41</t>
  </si>
  <si>
    <t>X56147</t>
  </si>
  <si>
    <t>Omegapapillomavirus</t>
  </si>
  <si>
    <t>Ursus maritimus papillomavirus 1</t>
  </si>
  <si>
    <t>UmPV1</t>
  </si>
  <si>
    <t>EF536349</t>
  </si>
  <si>
    <t>Omikronpapillomavirus</t>
  </si>
  <si>
    <t>Phocoena spinipinnis papillomavirus</t>
  </si>
  <si>
    <t>PsPV1</t>
  </si>
  <si>
    <t>AJ238373</t>
  </si>
  <si>
    <t>Phocoena phocoena papillomavirus 1</t>
  </si>
  <si>
    <t>PphPV1</t>
  </si>
  <si>
    <t>Tursiops truncatus papillomavirus 5</t>
  </si>
  <si>
    <t>TtPV5</t>
  </si>
  <si>
    <t>Tt08-09-5</t>
  </si>
  <si>
    <t>Tursiops truncatus papillomavirus 6</t>
  </si>
  <si>
    <t>TtPV6</t>
  </si>
  <si>
    <t>Tt08-305</t>
  </si>
  <si>
    <t>Phipapillomavirus</t>
  </si>
  <si>
    <t>Capra hircus papillomavirus 1</t>
  </si>
  <si>
    <t>ChPV1</t>
  </si>
  <si>
    <t>DQ091200</t>
  </si>
  <si>
    <t>Pipapillomavirus</t>
  </si>
  <si>
    <t>Mesocricetus auratus papillomavirus 1</t>
  </si>
  <si>
    <t>MaPV1</t>
  </si>
  <si>
    <t>APV10</t>
  </si>
  <si>
    <t>HG530538</t>
  </si>
  <si>
    <t>Phodopus sungorus papillomavirus 1</t>
  </si>
  <si>
    <t>PsuPV1</t>
  </si>
  <si>
    <t>Mastomys coucha papillomavirus 2</t>
  </si>
  <si>
    <t>McPV2</t>
  </si>
  <si>
    <t>DQ664501</t>
  </si>
  <si>
    <t>Micromys minutus papillomavirus 1</t>
  </si>
  <si>
    <t>MmiPV1</t>
  </si>
  <si>
    <t>Rattus norvegicus papillomavirus 1</t>
  </si>
  <si>
    <t>RnPV1</t>
  </si>
  <si>
    <t>EES-2009</t>
  </si>
  <si>
    <t>Mus musculus papillomavirus 1</t>
  </si>
  <si>
    <t>MmuPV1</t>
  </si>
  <si>
    <t>MusPV</t>
  </si>
  <si>
    <t>Apodemus sylvaticus papillomavirus 1</t>
  </si>
  <si>
    <t>AsPV1</t>
  </si>
  <si>
    <t>Psipapillomavirus</t>
  </si>
  <si>
    <t>Rousettus aegyptiacus papillomavirus 1</t>
  </si>
  <si>
    <t>RaPV1</t>
  </si>
  <si>
    <t>DQ366842</t>
  </si>
  <si>
    <t>Eidolon helvum papillomavirus 2</t>
  </si>
  <si>
    <t>EhPV2</t>
  </si>
  <si>
    <t>KX276957</t>
  </si>
  <si>
    <t>Eidolon helvum papillomavirus 3</t>
  </si>
  <si>
    <t>EhPV3</t>
  </si>
  <si>
    <t>KX276956</t>
  </si>
  <si>
    <t>Rhopapillomavirus</t>
  </si>
  <si>
    <t>Trichechus manatus latirostris papillomavirus 1</t>
  </si>
  <si>
    <t>TmPV1</t>
  </si>
  <si>
    <t>AY609301</t>
  </si>
  <si>
    <t>Trichechus manatus latirostris papillomavirus 2</t>
  </si>
  <si>
    <t>TmPV2</t>
  </si>
  <si>
    <t>M09-20</t>
  </si>
  <si>
    <t>Trichechus manatus latirostris papillomavirus 3</t>
  </si>
  <si>
    <t>TmPV3</t>
  </si>
  <si>
    <t>KP205502</t>
  </si>
  <si>
    <t>Trichechus manatus latirostris papillomavirus 4</t>
  </si>
  <si>
    <t>TmPV4</t>
  </si>
  <si>
    <t>Sigmapapillomavirus</t>
  </si>
  <si>
    <t>Erethizon dorsatum papillomavirus 1</t>
  </si>
  <si>
    <t>EdPV1</t>
  </si>
  <si>
    <t>AY684126</t>
  </si>
  <si>
    <t>Taupapillomavirus</t>
  </si>
  <si>
    <t>Canis familiaris papillomavirus 2</t>
  </si>
  <si>
    <t>CPV2</t>
  </si>
  <si>
    <t>AY722648</t>
  </si>
  <si>
    <t>Canis familiaris papillomavirus 7</t>
  </si>
  <si>
    <t>CPV7</t>
  </si>
  <si>
    <t>Edinburgh</t>
  </si>
  <si>
    <t>Canis familiaris papillomavirus 17</t>
  </si>
  <si>
    <t>CPV17</t>
  </si>
  <si>
    <t>OralSCCPV</t>
  </si>
  <si>
    <t>Canis familiaris papillomavirus 19</t>
  </si>
  <si>
    <t>CPV19</t>
  </si>
  <si>
    <t>tvmb1</t>
  </si>
  <si>
    <t>Canis familiaris papillomavirus 13</t>
  </si>
  <si>
    <t>CPV13</t>
  </si>
  <si>
    <t>Zurich/2011</t>
  </si>
  <si>
    <t>JX141478</t>
  </si>
  <si>
    <t>Felis catus papillomavirus 3</t>
  </si>
  <si>
    <t>FcaPV3</t>
  </si>
  <si>
    <t>MyDave</t>
  </si>
  <si>
    <t>JX972168</t>
  </si>
  <si>
    <t>Felis catus papillomavirus 4</t>
  </si>
  <si>
    <t>FcaPV4</t>
  </si>
  <si>
    <t>My-3</t>
  </si>
  <si>
    <t>Mustela putorius papillomavirus 1</t>
  </si>
  <si>
    <t>MpPV1</t>
  </si>
  <si>
    <t>KF006988</t>
  </si>
  <si>
    <t>Thetapapillomavirus</t>
  </si>
  <si>
    <t>Psittacus erithacus papillomavirus 1</t>
  </si>
  <si>
    <t>PePV1</t>
  </si>
  <si>
    <t>AF502599</t>
  </si>
  <si>
    <t>Treisdeltapapillomavirus</t>
  </si>
  <si>
    <t>Rhinolophus ferrumequinum papillomavirus 1</t>
  </si>
  <si>
    <t>RfPV1</t>
  </si>
  <si>
    <t>KC858266</t>
  </si>
  <si>
    <t>Treisepsilonpapillomavirus</t>
  </si>
  <si>
    <t>Pygoscelis adeliae papillomavirus</t>
  </si>
  <si>
    <t>PaPV1</t>
  </si>
  <si>
    <t>Crozier_2013</t>
  </si>
  <si>
    <t>KJ173785</t>
  </si>
  <si>
    <t>Pygoscelis adeliae papillomavirus 1</t>
  </si>
  <si>
    <t>Treisetapapillomavirus</t>
  </si>
  <si>
    <t>Vulpes vulpes papillomavirus 1</t>
  </si>
  <si>
    <t>VvPV1</t>
  </si>
  <si>
    <t>ILAT 93957</t>
  </si>
  <si>
    <t>KF857586</t>
  </si>
  <si>
    <t>Treisiotapapillomavirus</t>
  </si>
  <si>
    <t>Myotis ricketti papillomavirus 1</t>
  </si>
  <si>
    <t>MrPV1</t>
  </si>
  <si>
    <t>JQ814847</t>
  </si>
  <si>
    <t>Treiskappapapillomavirus</t>
  </si>
  <si>
    <t>Equus caballus papillomavirus 8</t>
  </si>
  <si>
    <t>EcPV8</t>
  </si>
  <si>
    <t>NCSU</t>
  </si>
  <si>
    <t>KU963288</t>
  </si>
  <si>
    <t>Treisthetapapillomavirus</t>
  </si>
  <si>
    <t>Rusa timorensis papillomavirus 1</t>
  </si>
  <si>
    <t>RtiPV1</t>
  </si>
  <si>
    <t>IZW 39/08</t>
  </si>
  <si>
    <t>KP757765</t>
  </si>
  <si>
    <t>Treiszetapapillomavirus</t>
  </si>
  <si>
    <t>Fulmarus glacialis papillomavirus 1</t>
  </si>
  <si>
    <t>FgPV1</t>
  </si>
  <si>
    <t>KJ452243</t>
  </si>
  <si>
    <t>Upsilonpapillomavirus</t>
  </si>
  <si>
    <t>Tursiops truncatus papillomavirus 1</t>
  </si>
  <si>
    <t>TtPV1</t>
  </si>
  <si>
    <t>EU240894</t>
  </si>
  <si>
    <t>Tursiops truncatus papillomavirus 3</t>
  </si>
  <si>
    <t>TtPV3</t>
  </si>
  <si>
    <t>Delphinus delphis papillomavirus 1</t>
  </si>
  <si>
    <t>DdPV1</t>
  </si>
  <si>
    <t>Tursiops truncatus papillomavirus 4</t>
  </si>
  <si>
    <t>TtPV4</t>
  </si>
  <si>
    <t>Tt08-09-4</t>
  </si>
  <si>
    <t>Tursiops truncatus papillomavirus 7</t>
  </si>
  <si>
    <t>TtPV7</t>
  </si>
  <si>
    <t>Tt09-43</t>
  </si>
  <si>
    <t>Tursiops truncatus papillomavirus 2</t>
  </si>
  <si>
    <t>TtPV2</t>
  </si>
  <si>
    <t>AY956402</t>
  </si>
  <si>
    <t>Phocoena phocoena papillomavirus 2</t>
  </si>
  <si>
    <t>PphPV2</t>
  </si>
  <si>
    <t>GU117622</t>
  </si>
  <si>
    <t>Xipapillomavirus</t>
  </si>
  <si>
    <t>Bos taurus papillomavirus 3</t>
  </si>
  <si>
    <t>BPV3</t>
  </si>
  <si>
    <t>AF486184</t>
  </si>
  <si>
    <t>Bos taurus papillomavirus 9</t>
  </si>
  <si>
    <t>BPV9</t>
  </si>
  <si>
    <t>Bos taurus papillomavirus 10</t>
  </si>
  <si>
    <t>BPV10</t>
  </si>
  <si>
    <t>Bos taurus papillomavirus 11</t>
  </si>
  <si>
    <t>BPV11</t>
  </si>
  <si>
    <t>Bos taurus papillomavirus 6</t>
  </si>
  <si>
    <t>BPV6</t>
  </si>
  <si>
    <t>Bos taurus papillomavirus 15</t>
  </si>
  <si>
    <t>BPV15</t>
  </si>
  <si>
    <t>Aks-02</t>
  </si>
  <si>
    <t>Bos taurus papillomavirus 23</t>
  </si>
  <si>
    <t>BPV23</t>
  </si>
  <si>
    <t>04Ac14</t>
  </si>
  <si>
    <t>Bos taurus papillomavirus 4</t>
  </si>
  <si>
    <t>BPV4</t>
  </si>
  <si>
    <t>Bos taurus papillomavirus 12</t>
  </si>
  <si>
    <t>BPV12</t>
  </si>
  <si>
    <t>PR000001</t>
  </si>
  <si>
    <t>JF834523</t>
  </si>
  <si>
    <t>Rangifer tarandus papillomavirus 2</t>
  </si>
  <si>
    <t>RtPV2</t>
  </si>
  <si>
    <t>KC810012</t>
  </si>
  <si>
    <t>Bos taurus papillomavirus 17</t>
  </si>
  <si>
    <t>BPV17</t>
  </si>
  <si>
    <t>KU519392</t>
  </si>
  <si>
    <t>Cervus elaphus papillomavirus 2</t>
  </si>
  <si>
    <t>CePV2</t>
  </si>
  <si>
    <t>S129/08.1</t>
  </si>
  <si>
    <t>KT932712</t>
  </si>
  <si>
    <t>Zetapapillomavirus</t>
  </si>
  <si>
    <t>Equus caballus papillomavirus 1</t>
  </si>
  <si>
    <t>EcPV1</t>
  </si>
  <si>
    <t>AF498323</t>
  </si>
  <si>
    <t>Secondpapillomavirinae</t>
  </si>
  <si>
    <t>Alefpapillomavirus</t>
  </si>
  <si>
    <t>Sparus aurata papillomavirus 1</t>
  </si>
  <si>
    <t>SaPV1</t>
  </si>
  <si>
    <t>SA9pv</t>
  </si>
  <si>
    <t>KX643372</t>
  </si>
  <si>
    <t>Quintoviricetes</t>
  </si>
  <si>
    <t>Piccovirales</t>
  </si>
  <si>
    <t>Parvoviridae</t>
  </si>
  <si>
    <t>Metalloincertoparvovirus</t>
  </si>
  <si>
    <t>Penaeus monodon metallodensovirus</t>
  </si>
  <si>
    <t>PmMDV</t>
  </si>
  <si>
    <t>2014CDN</t>
  </si>
  <si>
    <t>MK028683</t>
  </si>
  <si>
    <t>ssDNA(+/-)</t>
  </si>
  <si>
    <t>Densovirinae</t>
  </si>
  <si>
    <t>Aquambidensovirus</t>
  </si>
  <si>
    <t>sea star-associated densovirus</t>
  </si>
  <si>
    <t>SSaDV</t>
  </si>
  <si>
    <t>KM052275</t>
  </si>
  <si>
    <t>Asterias forbesi-associated densovirus</t>
  </si>
  <si>
    <t>AfaDV</t>
  </si>
  <si>
    <t>MN190158</t>
  </si>
  <si>
    <t>Cherax quadricarinatus densovirus</t>
  </si>
  <si>
    <t>CqDV</t>
  </si>
  <si>
    <t>KP410261</t>
  </si>
  <si>
    <t>Crassostrea ariakensis ambidensovirus 1</t>
  </si>
  <si>
    <t>CaaDV</t>
  </si>
  <si>
    <t>CH-OY-1</t>
  </si>
  <si>
    <t>KY548840</t>
  </si>
  <si>
    <t>Blattambidensovirus</t>
  </si>
  <si>
    <t>Blattella germanica densovirus 1</t>
  </si>
  <si>
    <t>BgDV1</t>
  </si>
  <si>
    <t>AY189948</t>
  </si>
  <si>
    <t>Parus major densovirus</t>
  </si>
  <si>
    <t>PamDV</t>
  </si>
  <si>
    <t>KU727766</t>
  </si>
  <si>
    <t>invertebrates, vertebrates</t>
  </si>
  <si>
    <t>SAfia-838D_Ambidensovirus</t>
  </si>
  <si>
    <t>SA838DDV</t>
  </si>
  <si>
    <t>SAfia-838D</t>
  </si>
  <si>
    <t>MN765191</t>
  </si>
  <si>
    <t>Ambidensovirus_Croatia_17_S17</t>
  </si>
  <si>
    <t>17_S17</t>
  </si>
  <si>
    <t>ADV-C17-S17</t>
  </si>
  <si>
    <t>MN099038</t>
  </si>
  <si>
    <t>Bat-associated densovirus 3</t>
  </si>
  <si>
    <t>BaDV3</t>
  </si>
  <si>
    <t>BatDV/JR</t>
  </si>
  <si>
    <t>MT734807</t>
  </si>
  <si>
    <t>Diciambidensovirus</t>
  </si>
  <si>
    <t>Diaphorina citri densovirus</t>
  </si>
  <si>
    <t>DcDV</t>
  </si>
  <si>
    <t>KX165268</t>
  </si>
  <si>
    <t>Bactericera_trigonica_densovirus</t>
  </si>
  <si>
    <t>BtDV</t>
  </si>
  <si>
    <t>MN364694</t>
  </si>
  <si>
    <t>SAfia-400D ambidensovirus</t>
  </si>
  <si>
    <t>SA400DDV</t>
  </si>
  <si>
    <t>Safia-400D</t>
  </si>
  <si>
    <t>MN765189</t>
  </si>
  <si>
    <t>Hemiambidensovirus</t>
  </si>
  <si>
    <t>Dysaphis plantaginea densovirus 1</t>
  </si>
  <si>
    <t>DplDV1</t>
  </si>
  <si>
    <t>FJ040397</t>
  </si>
  <si>
    <t>Myzus persicae densovirus 1</t>
  </si>
  <si>
    <t>MpDV1</t>
  </si>
  <si>
    <t>AY148187</t>
  </si>
  <si>
    <t>Iteradensovirus</t>
  </si>
  <si>
    <t>Bat-associated densovirus 5</t>
  </si>
  <si>
    <t>BaDV5</t>
  </si>
  <si>
    <t>BatDV/RD</t>
  </si>
  <si>
    <t>MT734808</t>
  </si>
  <si>
    <t>Human CSF-associated densovirus</t>
  </si>
  <si>
    <t>HCSFaDV</t>
  </si>
  <si>
    <t>KX035107</t>
  </si>
  <si>
    <t>Bombyx mori densovirus 1</t>
  </si>
  <si>
    <t>BmDV1</t>
  </si>
  <si>
    <t>HB</t>
  </si>
  <si>
    <t>AY033435</t>
  </si>
  <si>
    <t>Casphalia extranea densovirus</t>
  </si>
  <si>
    <t>CeDV</t>
  </si>
  <si>
    <t>AF375296</t>
  </si>
  <si>
    <t>Dendrolimus punctatus densovirus</t>
  </si>
  <si>
    <t>DpDV</t>
  </si>
  <si>
    <t>AY665654</t>
  </si>
  <si>
    <t>Papilio polyxenes densovirus</t>
  </si>
  <si>
    <t>PpDV</t>
  </si>
  <si>
    <t>IAF</t>
  </si>
  <si>
    <t>JX110122</t>
  </si>
  <si>
    <t>Helicoverpa armigera densovirus</t>
  </si>
  <si>
    <t>HaDV</t>
  </si>
  <si>
    <t>SDBH2010-1</t>
  </si>
  <si>
    <t>HQ613271</t>
  </si>
  <si>
    <t>Miniambidensovirus</t>
  </si>
  <si>
    <t>Acheta domestica mini ambidensovirus</t>
  </si>
  <si>
    <t>AdMDV</t>
  </si>
  <si>
    <t>KF275669</t>
  </si>
  <si>
    <t>Muscodensovirus</t>
  </si>
  <si>
    <t>Haematobia irritans densovirus</t>
  </si>
  <si>
    <t>HiDV</t>
  </si>
  <si>
    <t>HiDV/URU</t>
  </si>
  <si>
    <t>MK643151</t>
  </si>
  <si>
    <t>Broome densovirus</t>
  </si>
  <si>
    <t>BrDV</t>
  </si>
  <si>
    <t>BDV1/pool-1</t>
  </si>
  <si>
    <t>MT498824</t>
  </si>
  <si>
    <t>Pefuambidensovirus</t>
  </si>
  <si>
    <t>Periplaneta fuliginosa densovirus</t>
  </si>
  <si>
    <t>PfDV</t>
  </si>
  <si>
    <t>AF192260</t>
  </si>
  <si>
    <t>Clinch densovirus 1</t>
  </si>
  <si>
    <t>CDV1</t>
  </si>
  <si>
    <t>CDnsV1/C47/2018</t>
  </si>
  <si>
    <t>MT341473</t>
  </si>
  <si>
    <t>Protoambidensovirus</t>
  </si>
  <si>
    <t>Culex pipiens densovirus</t>
  </si>
  <si>
    <t>CpDV</t>
  </si>
  <si>
    <t>FJ810126</t>
  </si>
  <si>
    <t>Duck-associated ambidensovirus 1</t>
  </si>
  <si>
    <t>DaaDV1</t>
  </si>
  <si>
    <t>BE8</t>
  </si>
  <si>
    <t>MW306771</t>
  </si>
  <si>
    <t>Galleria mellonella densovirus</t>
  </si>
  <si>
    <t>GmDV</t>
  </si>
  <si>
    <t>L32896</t>
  </si>
  <si>
    <t>Scindoambidensovirus</t>
  </si>
  <si>
    <t>Planococcus citri densovirus</t>
  </si>
  <si>
    <t>PcDV</t>
  </si>
  <si>
    <t>AY032882</t>
  </si>
  <si>
    <t>Solenopsis invicta densovirus</t>
  </si>
  <si>
    <t>SiDV</t>
  </si>
  <si>
    <t>KC991097</t>
  </si>
  <si>
    <t>Bat-associated densovirus 1</t>
  </si>
  <si>
    <t>BaDV1</t>
  </si>
  <si>
    <t>BatDV/TB</t>
  </si>
  <si>
    <t>MT734804</t>
  </si>
  <si>
    <t>Bat-associated densovirus 2</t>
  </si>
  <si>
    <t>BaDV2</t>
  </si>
  <si>
    <t>BatDV/CA</t>
  </si>
  <si>
    <t>MT734805</t>
  </si>
  <si>
    <t>Acheta domestica densovirus</t>
  </si>
  <si>
    <t>AdDV</t>
  </si>
  <si>
    <t>HQ827781</t>
  </si>
  <si>
    <t>Tetuambidensovirus</t>
  </si>
  <si>
    <t>Bat-associated densovirus 4</t>
  </si>
  <si>
    <t>BaDV4</t>
  </si>
  <si>
    <t>BatDV/WD</t>
  </si>
  <si>
    <t>MT734806</t>
  </si>
  <si>
    <t>Lupine feces-associated densovirus 2</t>
  </si>
  <si>
    <t>LfaDV2</t>
  </si>
  <si>
    <t>South Douro</t>
  </si>
  <si>
    <t>KY214444</t>
  </si>
  <si>
    <t>Tetranychus urticae-associated ambidensovirus</t>
  </si>
  <si>
    <t>TuDV</t>
  </si>
  <si>
    <t>Lisbon</t>
  </si>
  <si>
    <t>MK543949</t>
  </si>
  <si>
    <t>Hamaparvovirinae</t>
  </si>
  <si>
    <t>Brevihamaparvovirus</t>
  </si>
  <si>
    <t>Anopheles gambiae densovirus</t>
  </si>
  <si>
    <t>AgDV</t>
  </si>
  <si>
    <t>EU233812</t>
  </si>
  <si>
    <t>Aedes albopictus densovirus 2</t>
  </si>
  <si>
    <t>AalDV2</t>
  </si>
  <si>
    <t>X74945</t>
  </si>
  <si>
    <t>Chaphamaparvovirus</t>
  </si>
  <si>
    <t>Chestnut teal chaphamaparvovirus 1</t>
  </si>
  <si>
    <t>CTChPV1</t>
  </si>
  <si>
    <t>CTCPaV1/CT08.18-AU-2018</t>
  </si>
  <si>
    <t>MT247758</t>
  </si>
  <si>
    <t>Chestnut teal chaphamaparvovirus 2</t>
  </si>
  <si>
    <t>CTChPV2</t>
  </si>
  <si>
    <t>CTCPaV2/CT08.18/12952-AU-2018</t>
  </si>
  <si>
    <t>MT247759</t>
  </si>
  <si>
    <t>Chestnut teal chaphamaparvovirus 3</t>
  </si>
  <si>
    <t>CTChPV3</t>
  </si>
  <si>
    <t>CTCPaV3/CT08.18/12952-AU-2018</t>
  </si>
  <si>
    <t>MT247760</t>
  </si>
  <si>
    <t>Pacific black duck chaphamaparvovirus 1</t>
  </si>
  <si>
    <t>PBDChPV1</t>
  </si>
  <si>
    <t>PBDCPaV1/PBD12.16-AU-2016</t>
  </si>
  <si>
    <t>MT247730</t>
  </si>
  <si>
    <t>Duck-associated chapparvovirus 1</t>
  </si>
  <si>
    <t>DaChPV1</t>
  </si>
  <si>
    <t>BE7</t>
  </si>
  <si>
    <t>MW306775</t>
  </si>
  <si>
    <t>Duck-associated chapparvovirus 2</t>
  </si>
  <si>
    <t>DaChPV2</t>
  </si>
  <si>
    <t>BE8a</t>
  </si>
  <si>
    <t>MW306778</t>
  </si>
  <si>
    <t>avian chapparvovirus BR_DF10</t>
  </si>
  <si>
    <t>AvChPV-BR_DF10</t>
  </si>
  <si>
    <t>BR_DF10</t>
  </si>
  <si>
    <t>MN175612</t>
  </si>
  <si>
    <t>ssDNA(-)</t>
  </si>
  <si>
    <t>cachavirus 1A</t>
  </si>
  <si>
    <t>CaChV 1A</t>
  </si>
  <si>
    <t>MH893826</t>
  </si>
  <si>
    <t>fechavirus</t>
  </si>
  <si>
    <t>FChPV</t>
  </si>
  <si>
    <t>IDEXX-1</t>
  </si>
  <si>
    <t>MN396757</t>
  </si>
  <si>
    <t>Ursus americanus parvovirus</t>
  </si>
  <si>
    <t>UaPV</t>
  </si>
  <si>
    <t>UaChV/Reno/2014</t>
  </si>
  <si>
    <t>MN166196</t>
  </si>
  <si>
    <t>Desmodus rotondus chapparvovirus</t>
  </si>
  <si>
    <t>DrChPV</t>
  </si>
  <si>
    <t>KX907333</t>
  </si>
  <si>
    <t>Tasmanian devil-associated chapparvovirus 1</t>
  </si>
  <si>
    <t>TdChPV1</t>
  </si>
  <si>
    <t>Tasmania/Sarcophilus_harrisii/2017/frag_3871_SRR8048111</t>
  </si>
  <si>
    <t>MK513528</t>
  </si>
  <si>
    <t>Tasmanian devil-associated chapparvovirus 2</t>
  </si>
  <si>
    <t>TdChPV2</t>
  </si>
  <si>
    <t>Tasmania/Sarcophilus_harrisii/2017/frag_4262_SRR8048117</t>
  </si>
  <si>
    <t>MK513529</t>
  </si>
  <si>
    <t>Tasmanian devil-associated chapparvovirus 6</t>
  </si>
  <si>
    <t>TdChPV3</t>
  </si>
  <si>
    <t>Tasmania/Sarcophilus_harrisii/2017/frag_4482_SRR8048117</t>
  </si>
  <si>
    <t>MK513533</t>
  </si>
  <si>
    <t>turkey parvovirus 2</t>
  </si>
  <si>
    <t>TPV2</t>
  </si>
  <si>
    <t>KF925531</t>
  </si>
  <si>
    <t>chicken chapparvovirus 2</t>
  </si>
  <si>
    <t>ChChPV2</t>
  </si>
  <si>
    <t>MG846442</t>
  </si>
  <si>
    <t>peafowl parvovirus 1</t>
  </si>
  <si>
    <t>MK988619</t>
  </si>
  <si>
    <t>peafowl parvovirus 2</t>
  </si>
  <si>
    <t>PePV2</t>
  </si>
  <si>
    <t>MK988620</t>
  </si>
  <si>
    <t>Grus japonensis parvovirus 1</t>
  </si>
  <si>
    <t>GjPV1</t>
  </si>
  <si>
    <t>yc-9</t>
  </si>
  <si>
    <t>KY312548</t>
  </si>
  <si>
    <t>Grus japonensis parvovirus 2</t>
  </si>
  <si>
    <t>GjPV2</t>
  </si>
  <si>
    <t>yc-10</t>
  </si>
  <si>
    <t>KY312549</t>
  </si>
  <si>
    <t>Grus japonensis parvovirus 3</t>
  </si>
  <si>
    <t>GjPV3</t>
  </si>
  <si>
    <t>yc-11</t>
  </si>
  <si>
    <t>KY312550</t>
  </si>
  <si>
    <t>Grus japonensis parvovirus 4</t>
  </si>
  <si>
    <t>GjPV4</t>
  </si>
  <si>
    <t>yc-12</t>
  </si>
  <si>
    <t>KY312551</t>
  </si>
  <si>
    <t>Tilapia parvovirus</t>
  </si>
  <si>
    <t>TiPV</t>
  </si>
  <si>
    <t>TiPVC20160912</t>
  </si>
  <si>
    <t>MT393593</t>
  </si>
  <si>
    <t>capuchin kidney parvovirus</t>
  </si>
  <si>
    <t>CKPV</t>
  </si>
  <si>
    <t>Cc_AM_T3</t>
  </si>
  <si>
    <t>MN265364</t>
  </si>
  <si>
    <t>Macaca fascicularis chapparvovirus</t>
  </si>
  <si>
    <t>MfChPV</t>
  </si>
  <si>
    <t>PPT003/MFS01</t>
  </si>
  <si>
    <t>MN312221</t>
  </si>
  <si>
    <t>Psittacara leucophthalmus chapparvovirus</t>
  </si>
  <si>
    <t>PlChPV</t>
  </si>
  <si>
    <t>BR_DF11</t>
  </si>
  <si>
    <t>MN175613</t>
  </si>
  <si>
    <t>Psittacine parvovirus 2</t>
  </si>
  <si>
    <t>PsPV2</t>
  </si>
  <si>
    <t>PsPV1/S10/AUS</t>
  </si>
  <si>
    <t>MZ364297</t>
  </si>
  <si>
    <t>mouse kidney parvovirus</t>
  </si>
  <si>
    <t>MKPV</t>
  </si>
  <si>
    <t>MH670587</t>
  </si>
  <si>
    <t>rat parvovirus 2</t>
  </si>
  <si>
    <t>RPV2</t>
  </si>
  <si>
    <t>KX272741</t>
  </si>
  <si>
    <t>Barn owl parvovirus</t>
  </si>
  <si>
    <t>BOPV</t>
  </si>
  <si>
    <t>gyb-MR2/2015/HUN</t>
  </si>
  <si>
    <t>MT580795</t>
  </si>
  <si>
    <t>porcine parvovirus 7</t>
  </si>
  <si>
    <t>PPV7</t>
  </si>
  <si>
    <t>MG543471</t>
  </si>
  <si>
    <t>Hepanhamaparvovirus</t>
  </si>
  <si>
    <t>Fenneropenaeus chinensis hepatopancreatic densovirus</t>
  </si>
  <si>
    <t>FcHDV</t>
  </si>
  <si>
    <t>GU371276</t>
  </si>
  <si>
    <t>Ichtchaphamaparvovirus</t>
  </si>
  <si>
    <t>Syngnathus scovelli chapparvovirus</t>
  </si>
  <si>
    <t>ScChPV</t>
  </si>
  <si>
    <t>MN049932</t>
  </si>
  <si>
    <t>Penstylhamaparvovirus</t>
  </si>
  <si>
    <t>Penaeus stylirostris penstyldensovirus 1</t>
  </si>
  <si>
    <t>PstDV1</t>
  </si>
  <si>
    <t>AF273215</t>
  </si>
  <si>
    <t>Parvovirinae</t>
  </si>
  <si>
    <t>Amdoparvovirus</t>
  </si>
  <si>
    <t>Aleutian mink disease parvovirus</t>
  </si>
  <si>
    <t>ADV</t>
  </si>
  <si>
    <t>ADV-G</t>
  </si>
  <si>
    <t>M20036</t>
  </si>
  <si>
    <t>gray fox amdovirus</t>
  </si>
  <si>
    <t>GFAV</t>
  </si>
  <si>
    <t>JN202450</t>
  </si>
  <si>
    <t>racoon dog and fox amdoparvovirus</t>
  </si>
  <si>
    <t>RFAV</t>
  </si>
  <si>
    <t>HS-R</t>
  </si>
  <si>
    <t>KJ396347</t>
  </si>
  <si>
    <t>skunk amdoparvovirus</t>
  </si>
  <si>
    <t>SKAV</t>
  </si>
  <si>
    <t>SK-23</t>
  </si>
  <si>
    <t>KX981923</t>
  </si>
  <si>
    <t>red panda amdoparvovirus</t>
  </si>
  <si>
    <t>RpAPV</t>
  </si>
  <si>
    <t>KT878839</t>
  </si>
  <si>
    <t>Labrador amdoparvovirus 1</t>
  </si>
  <si>
    <t>LaAV-1</t>
  </si>
  <si>
    <t>MART4</t>
  </si>
  <si>
    <t>MT770849</t>
  </si>
  <si>
    <t>red panda amdoparvovirus 2</t>
  </si>
  <si>
    <t>RpAPV-2</t>
  </si>
  <si>
    <t>patient12amdo01-4</t>
  </si>
  <si>
    <t>MZ357124</t>
  </si>
  <si>
    <t>Artiparvovirus</t>
  </si>
  <si>
    <t>Artibeus jamaicensis parvovirus</t>
  </si>
  <si>
    <t>AjPV</t>
  </si>
  <si>
    <t>JQ037754</t>
  </si>
  <si>
    <t>Aveparvovirus</t>
  </si>
  <si>
    <t>pigeon parvovirus 1</t>
  </si>
  <si>
    <t>PiPV1</t>
  </si>
  <si>
    <t>HK8</t>
  </si>
  <si>
    <t>KC876004</t>
  </si>
  <si>
    <t>turkey parvovirus</t>
  </si>
  <si>
    <t>TuPV</t>
  </si>
  <si>
    <t>GU214706</t>
  </si>
  <si>
    <t>red-crowned crane parvovirus</t>
  </si>
  <si>
    <t>RcPV</t>
  </si>
  <si>
    <t>KY312546</t>
  </si>
  <si>
    <t>pileated finch aveparvovirus</t>
  </si>
  <si>
    <t>PfPV</t>
  </si>
  <si>
    <t>MG745672</t>
  </si>
  <si>
    <t>Bocaparvovirus</t>
  </si>
  <si>
    <t>canine minute virus; minute virus of canines</t>
  </si>
  <si>
    <t>CnMV; MVC</t>
  </si>
  <si>
    <t>GA3</t>
  </si>
  <si>
    <t>FJ214110</t>
  </si>
  <si>
    <t>canine bocavirus 1</t>
  </si>
  <si>
    <t>CBoV1</t>
  </si>
  <si>
    <t>Con161</t>
  </si>
  <si>
    <t>JN648103</t>
  </si>
  <si>
    <t>feline bocavirus</t>
  </si>
  <si>
    <t>FBoV</t>
  </si>
  <si>
    <t>HK797F</t>
  </si>
  <si>
    <t>JQ692585</t>
  </si>
  <si>
    <t>feline bocaparvovirus 2</t>
  </si>
  <si>
    <t>FBoV2</t>
  </si>
  <si>
    <t>POR1</t>
  </si>
  <si>
    <t>KF792837</t>
  </si>
  <si>
    <t>feline bocaparvovirus 3</t>
  </si>
  <si>
    <t>FBoV3</t>
  </si>
  <si>
    <t>FBD1</t>
  </si>
  <si>
    <t>KM017744</t>
  </si>
  <si>
    <t>mink bocavirus 1</t>
  </si>
  <si>
    <t>MiBoV1</t>
  </si>
  <si>
    <t>KU950356</t>
  </si>
  <si>
    <t>canine bocavirus 3</t>
  </si>
  <si>
    <t>CnBoV3</t>
  </si>
  <si>
    <t>UCD</t>
  </si>
  <si>
    <t>KC580640</t>
  </si>
  <si>
    <t>Myotis myotis (bat) bocavirus 1</t>
  </si>
  <si>
    <t>BtBoV1</t>
  </si>
  <si>
    <t>JQ814850</t>
  </si>
  <si>
    <t>bat bocavirus WM40</t>
  </si>
  <si>
    <t>BtBoVwm40</t>
  </si>
  <si>
    <t>WM40</t>
  </si>
  <si>
    <t>KC339251</t>
  </si>
  <si>
    <t>bat bocavirus XM30</t>
  </si>
  <si>
    <t>BtBoVxm30</t>
  </si>
  <si>
    <t>XM30</t>
  </si>
  <si>
    <t>KC339250</t>
  </si>
  <si>
    <t>Miniopterus schreibersii bat bocavirus</t>
  </si>
  <si>
    <t>BtBoV2</t>
  </si>
  <si>
    <t>str24</t>
  </si>
  <si>
    <t>KU321654</t>
  </si>
  <si>
    <t>Rousettus leschenaultii bocaparvovirus 1</t>
  </si>
  <si>
    <t>RlBoV</t>
  </si>
  <si>
    <t>Rol-BtBoV1_56C_ML_YN_2012</t>
  </si>
  <si>
    <t>MF682925</t>
  </si>
  <si>
    <t>lupine bocavirus; rabbit bocavirus</t>
  </si>
  <si>
    <t>LuBoV, RBoV</t>
  </si>
  <si>
    <t>KY214448</t>
  </si>
  <si>
    <t>rabbit bocaparvovirus</t>
  </si>
  <si>
    <t>RBoV</t>
  </si>
  <si>
    <t>160/01/ITA</t>
  </si>
  <si>
    <t>KP729195</t>
  </si>
  <si>
    <t>California sea lion bocavirus 1</t>
  </si>
  <si>
    <t>CslBoV1</t>
  </si>
  <si>
    <t>JN420361</t>
  </si>
  <si>
    <t>California sea lion bocavirus 3</t>
  </si>
  <si>
    <t>CslBoV3</t>
  </si>
  <si>
    <t>JN420365</t>
  </si>
  <si>
    <t>human bocavirus 1</t>
  </si>
  <si>
    <t>HBoV1</t>
  </si>
  <si>
    <t>Salvador1</t>
  </si>
  <si>
    <t>JQ923422</t>
  </si>
  <si>
    <t>human bocavirus 2c</t>
  </si>
  <si>
    <t>HBoV2c</t>
  </si>
  <si>
    <t>PK5510</t>
  </si>
  <si>
    <t>FJ170278</t>
  </si>
  <si>
    <t>Macaca mulatta bocaparvovirus</t>
  </si>
  <si>
    <t>MmBoV</t>
  </si>
  <si>
    <t>MmBOV</t>
  </si>
  <si>
    <t>MN091929</t>
  </si>
  <si>
    <t>rat bocavirus</t>
  </si>
  <si>
    <t>KT454512</t>
  </si>
  <si>
    <t>murine bocavirus</t>
  </si>
  <si>
    <t>MuBoV</t>
  </si>
  <si>
    <t>MF175080</t>
  </si>
  <si>
    <t>rodent bocavirus</t>
  </si>
  <si>
    <t>RoBov</t>
  </si>
  <si>
    <t>MG745673</t>
  </si>
  <si>
    <t>bovine parvovirus 1</t>
  </si>
  <si>
    <t>Abinanti</t>
  </si>
  <si>
    <t>DQ335247</t>
  </si>
  <si>
    <t>porcine bocavirus 1</t>
  </si>
  <si>
    <t>PBoV1</t>
  </si>
  <si>
    <t>pig/ZJD/China/2006</t>
  </si>
  <si>
    <t>HM053693</t>
  </si>
  <si>
    <t>porcine bocavirus SX</t>
  </si>
  <si>
    <t>PBoVsx</t>
  </si>
  <si>
    <t>China/2010</t>
  </si>
  <si>
    <t>HQ223038</t>
  </si>
  <si>
    <t>porcine bocavirus H18</t>
  </si>
  <si>
    <t>PBoVh18</t>
  </si>
  <si>
    <t>H18</t>
  </si>
  <si>
    <t>HQ291308</t>
  </si>
  <si>
    <t>porcine bocavirus 3</t>
  </si>
  <si>
    <t>PBoV3</t>
  </si>
  <si>
    <t>SH20F</t>
  </si>
  <si>
    <t>JF429834</t>
  </si>
  <si>
    <t>bovine bocaparvovirus 2; ungulate bocaparvovirus 6</t>
  </si>
  <si>
    <t>BBoV2; UBPV6</t>
  </si>
  <si>
    <t>USII/03</t>
  </si>
  <si>
    <t>KU172421</t>
  </si>
  <si>
    <t>dromedary camel bocaparvovirus 1</t>
  </si>
  <si>
    <t>DBoV1</t>
  </si>
  <si>
    <t>KY640430</t>
  </si>
  <si>
    <t>dromedary camel bocaparvovirus 2</t>
  </si>
  <si>
    <t>DBoV2</t>
  </si>
  <si>
    <t>KY640438</t>
  </si>
  <si>
    <t>Vicugna pacos bocaparvovirus</t>
  </si>
  <si>
    <t>VpBoV</t>
  </si>
  <si>
    <t>Massachusetts 2018</t>
  </si>
  <si>
    <t>MK014742</t>
  </si>
  <si>
    <t>Copiparvovirus</t>
  </si>
  <si>
    <t>sesavirus</t>
  </si>
  <si>
    <t>SesaV</t>
  </si>
  <si>
    <t>KM035804</t>
  </si>
  <si>
    <t>bovine parvovirus 2</t>
  </si>
  <si>
    <t>AF406966</t>
  </si>
  <si>
    <t>porcine parvovirus 4</t>
  </si>
  <si>
    <t>PPV4</t>
  </si>
  <si>
    <t>GQ387499</t>
  </si>
  <si>
    <t>roe deer copiparvovirus</t>
  </si>
  <si>
    <t>RdPV</t>
  </si>
  <si>
    <t>MK091524</t>
  </si>
  <si>
    <t>porcine parvovirus 6</t>
  </si>
  <si>
    <t>PPV6</t>
  </si>
  <si>
    <t>KX384823</t>
  </si>
  <si>
    <t>bosavirus</t>
  </si>
  <si>
    <t>BosaV</t>
  </si>
  <si>
    <t>KY019139</t>
  </si>
  <si>
    <t>equine parvovirus-hepatitis</t>
  </si>
  <si>
    <t>EqPV-H</t>
  </si>
  <si>
    <t>MG136722</t>
  </si>
  <si>
    <t>eqcopivirus</t>
  </si>
  <si>
    <t>EqCoPV</t>
  </si>
  <si>
    <t>EqCoPV_8</t>
  </si>
  <si>
    <t>MN181466</t>
  </si>
  <si>
    <t>horse parvovirus CSF</t>
  </si>
  <si>
    <t>EqPV-CSF</t>
  </si>
  <si>
    <t>Ky1</t>
  </si>
  <si>
    <t>MZ100069</t>
  </si>
  <si>
    <t>Dependoparvovirus</t>
  </si>
  <si>
    <t>Muscovy duck parvovirus; Barbarie duck parvovirus</t>
  </si>
  <si>
    <t>DPV</t>
  </si>
  <si>
    <t>FM</t>
  </si>
  <si>
    <t>U22967</t>
  </si>
  <si>
    <t>avian adeno-associated virus</t>
  </si>
  <si>
    <t>AAAV</t>
  </si>
  <si>
    <t>VR865</t>
  </si>
  <si>
    <t>AY186198</t>
  </si>
  <si>
    <t>avian adeno-associated virus BR_DF12</t>
  </si>
  <si>
    <t>AvAdV-BR_DF12</t>
  </si>
  <si>
    <t>BR_DF12</t>
  </si>
  <si>
    <t>MN175614</t>
  </si>
  <si>
    <t>feline dependoparvovirus</t>
  </si>
  <si>
    <t>FdPV</t>
  </si>
  <si>
    <t>VRI 849</t>
  </si>
  <si>
    <t>MN794870</t>
  </si>
  <si>
    <t>bat adeno-associated virus</t>
  </si>
  <si>
    <t>BtAAV</t>
  </si>
  <si>
    <t>YNM</t>
  </si>
  <si>
    <t>GU226971</t>
  </si>
  <si>
    <t>Desmodus rotundus dependoparvovirus</t>
  </si>
  <si>
    <t>DrAAV</t>
  </si>
  <si>
    <t>MG745677</t>
  </si>
  <si>
    <t>adeno-associated virus 5</t>
  </si>
  <si>
    <t>AAV5</t>
  </si>
  <si>
    <t>AF085716</t>
  </si>
  <si>
    <t>California sea lion adeno-associated virus 1</t>
  </si>
  <si>
    <t>CslAAV1</t>
  </si>
  <si>
    <t>JN420372</t>
  </si>
  <si>
    <t>adeno-associated virus 2</t>
  </si>
  <si>
    <t>AAV2</t>
  </si>
  <si>
    <t>AF043303</t>
  </si>
  <si>
    <t>murine adeno-associated virus 1</t>
  </si>
  <si>
    <t>MAAV1</t>
  </si>
  <si>
    <t>MF416383</t>
  </si>
  <si>
    <t>murine adeno-associated virus 2</t>
  </si>
  <si>
    <t>MAAV2</t>
  </si>
  <si>
    <t>MF416384</t>
  </si>
  <si>
    <t>snake adeno-associated virus</t>
  </si>
  <si>
    <t>SAAV</t>
  </si>
  <si>
    <t>AY349010</t>
  </si>
  <si>
    <t>bearded dragon parvovirus</t>
  </si>
  <si>
    <t>BDPV</t>
  </si>
  <si>
    <t>KP733794</t>
  </si>
  <si>
    <t>Erythroparvovirus</t>
  </si>
  <si>
    <t>seal parvovirus</t>
  </si>
  <si>
    <t>SePV</t>
  </si>
  <si>
    <t>KF373759</t>
  </si>
  <si>
    <t>human parvovirus B19</t>
  </si>
  <si>
    <t>B19V</t>
  </si>
  <si>
    <t>J35 G1</t>
  </si>
  <si>
    <t>AY386330</t>
  </si>
  <si>
    <t>simian parvovirus</t>
  </si>
  <si>
    <t>SPV</t>
  </si>
  <si>
    <t>B20</t>
  </si>
  <si>
    <t>U26342</t>
  </si>
  <si>
    <t>rhesus macaque parvovirus</t>
  </si>
  <si>
    <t>RmPV</t>
  </si>
  <si>
    <t>AF221122</t>
  </si>
  <si>
    <t>pig-tailed macaque parvovirus</t>
  </si>
  <si>
    <t>PmPV</t>
  </si>
  <si>
    <t>AF221123</t>
  </si>
  <si>
    <t>chipmunk parvovirus</t>
  </si>
  <si>
    <t>ChpPV</t>
  </si>
  <si>
    <t>GQ200736</t>
  </si>
  <si>
    <t>bovine parvovirus 3</t>
  </si>
  <si>
    <t>AF406967</t>
  </si>
  <si>
    <t>Loriparvovirus</t>
  </si>
  <si>
    <t>slow loris parvovirus</t>
  </si>
  <si>
    <t>SLPV</t>
  </si>
  <si>
    <t>KP120516</t>
  </si>
  <si>
    <t>Protoparvovirus</t>
  </si>
  <si>
    <t>canine parvovirus</t>
  </si>
  <si>
    <t>CPV</t>
  </si>
  <si>
    <t>N</t>
  </si>
  <si>
    <t>M19296</t>
  </si>
  <si>
    <t>sea otter parvovirus</t>
  </si>
  <si>
    <t>SoPV</t>
  </si>
  <si>
    <t>KU561552</t>
  </si>
  <si>
    <t>canine bufavirus</t>
  </si>
  <si>
    <t>CBuV</t>
  </si>
  <si>
    <t>ITA/2015/297</t>
  </si>
  <si>
    <t>MF198244</t>
  </si>
  <si>
    <t>fox parvovirus</t>
  </si>
  <si>
    <t>FoPV</t>
  </si>
  <si>
    <t>KC692368</t>
  </si>
  <si>
    <t>newlavirus</t>
  </si>
  <si>
    <t>NLPV</t>
  </si>
  <si>
    <t>FX25</t>
  </si>
  <si>
    <t>MZ813278</t>
  </si>
  <si>
    <t>megabat bufavirus 1</t>
  </si>
  <si>
    <t>BtBuV1</t>
  </si>
  <si>
    <t>MAG12-57</t>
  </si>
  <si>
    <t>LC085675</t>
  </si>
  <si>
    <t>Mpulungu (shrew) bufavirus</t>
  </si>
  <si>
    <t>MpBuV</t>
  </si>
  <si>
    <t>shrew ZM38</t>
  </si>
  <si>
    <t>AB937988</t>
  </si>
  <si>
    <t>tusavirus</t>
  </si>
  <si>
    <t>TuV</t>
  </si>
  <si>
    <t>KJ495710</t>
  </si>
  <si>
    <t>California sea lion parvovirus Hanchett</t>
  </si>
  <si>
    <t>CslPV</t>
  </si>
  <si>
    <t>Hanchett_2</t>
  </si>
  <si>
    <t>MN982959</t>
  </si>
  <si>
    <t>bufavirus 1a (human)</t>
  </si>
  <si>
    <t>BuV1a</t>
  </si>
  <si>
    <t>human BF86</t>
  </si>
  <si>
    <t>JX027296</t>
  </si>
  <si>
    <t>Wuharv (rhesus) parvovirus 1</t>
  </si>
  <si>
    <t>WuBuV1</t>
  </si>
  <si>
    <t>rhesus</t>
  </si>
  <si>
    <t>JX627576</t>
  </si>
  <si>
    <t>cutavirus (human)</t>
  </si>
  <si>
    <t>CutaV</t>
  </si>
  <si>
    <t>human BR-337</t>
  </si>
  <si>
    <t>KT868811</t>
  </si>
  <si>
    <t>minute virus of mice</t>
  </si>
  <si>
    <t>MVM</t>
  </si>
  <si>
    <t>prototype; p</t>
  </si>
  <si>
    <t>J02275</t>
  </si>
  <si>
    <t>rat parvovirus 1</t>
  </si>
  <si>
    <t>RPV1</t>
  </si>
  <si>
    <t>AF036710</t>
  </si>
  <si>
    <t>rat bufavirus SY-2015</t>
  </si>
  <si>
    <t>RatBuV</t>
  </si>
  <si>
    <t>KT716186</t>
  </si>
  <si>
    <t>porcine parvovirus</t>
  </si>
  <si>
    <t>PPV</t>
  </si>
  <si>
    <t>NADL2</t>
  </si>
  <si>
    <t>L23427</t>
  </si>
  <si>
    <t>porcine bufavirus; protoparvovirus (porcine)</t>
  </si>
  <si>
    <t>PBuV</t>
  </si>
  <si>
    <t>Zsana/2013/HUN</t>
  </si>
  <si>
    <t>KT965075</t>
  </si>
  <si>
    <t>equine protoparvovirus</t>
  </si>
  <si>
    <t>EqPV</t>
  </si>
  <si>
    <t>EqPV-P4619</t>
  </si>
  <si>
    <t>MW814911</t>
  </si>
  <si>
    <t>Sandeparvovirus</t>
  </si>
  <si>
    <t>zander parvovirus</t>
  </si>
  <si>
    <t>ZPV</t>
  </si>
  <si>
    <t>zander/M5/2015/HUN</t>
  </si>
  <si>
    <t>OK236393</t>
  </si>
  <si>
    <t>Tetraparvovirus</t>
  </si>
  <si>
    <t>Eidolon helvum (bat) parvovirus 1</t>
  </si>
  <si>
    <t>BtPARV4</t>
  </si>
  <si>
    <t>JQ037753</t>
  </si>
  <si>
    <t>opossum tetraparvovirus</t>
  </si>
  <si>
    <t>OpPARV4</t>
  </si>
  <si>
    <t>MG745671</t>
  </si>
  <si>
    <t>human parvovirus 4</t>
  </si>
  <si>
    <t>PARV4</t>
  </si>
  <si>
    <t>G1</t>
  </si>
  <si>
    <t>AY622943</t>
  </si>
  <si>
    <t>rodent tetraparvovirus</t>
  </si>
  <si>
    <t>RoPARV4</t>
  </si>
  <si>
    <t>MG745670</t>
  </si>
  <si>
    <t>bovine hokovirus 1</t>
  </si>
  <si>
    <t>BPARV4</t>
  </si>
  <si>
    <t>HK1</t>
  </si>
  <si>
    <t>EU200669</t>
  </si>
  <si>
    <t>porcine hokovirus; porcine parvovirus 3</t>
  </si>
  <si>
    <t>PPARV4; PPV3</t>
  </si>
  <si>
    <t>HK7</t>
  </si>
  <si>
    <t>EU200677</t>
  </si>
  <si>
    <t>porcine parvovirus 2; parvovirus YX-2010/CHN</t>
  </si>
  <si>
    <t>PPV2; CnPPARV4</t>
  </si>
  <si>
    <t>JH13</t>
  </si>
  <si>
    <t>GU938300</t>
  </si>
  <si>
    <t>ovine hokovirus 1</t>
  </si>
  <si>
    <t>OvPARV4</t>
  </si>
  <si>
    <t>HKS01</t>
  </si>
  <si>
    <t>JF504699</t>
  </si>
  <si>
    <t>Cressdnaviricota</t>
  </si>
  <si>
    <t>Arfiviricetes</t>
  </si>
  <si>
    <t>Baphyvirales</t>
  </si>
  <si>
    <t>Bacilladnaviridae</t>
  </si>
  <si>
    <t>Aberdnavirus</t>
  </si>
  <si>
    <t>Avonheates virus SG_61</t>
  </si>
  <si>
    <t>AvVSG_61</t>
  </si>
  <si>
    <t>OM154946</t>
  </si>
  <si>
    <t>marine (S)</t>
  </si>
  <si>
    <t>Diatodnavirus</t>
  </si>
  <si>
    <t>Chaetoceros setoensis DNA virus</t>
  </si>
  <si>
    <t>CsetDNAV</t>
  </si>
  <si>
    <t>AB781089</t>
  </si>
  <si>
    <t>Keisodnavirus</t>
  </si>
  <si>
    <t>Chaetoceros tenuissimus DNA virus SS12-43V</t>
  </si>
  <si>
    <t>CtenDNAVSS12-43V</t>
  </si>
  <si>
    <t>LC379168</t>
  </si>
  <si>
    <t>Kieseladnavirus</t>
  </si>
  <si>
    <t>Avon-Heathcote Estuary associated bacilladnavirus</t>
  </si>
  <si>
    <t>AHEaBV</t>
  </si>
  <si>
    <t>AHEaBavV1</t>
  </si>
  <si>
    <t>KY405008</t>
  </si>
  <si>
    <t>Avonheates virus Gas_1078</t>
  </si>
  <si>
    <t>AvVGas_10781</t>
  </si>
  <si>
    <t>OM154940</t>
  </si>
  <si>
    <t>Avonheates virus SG_120</t>
  </si>
  <si>
    <t>AvVSG_120</t>
  </si>
  <si>
    <t>OM154947</t>
  </si>
  <si>
    <t>Avonheates virus SG_4_10</t>
  </si>
  <si>
    <t>AvVSG_4_10</t>
  </si>
  <si>
    <t>OM154942</t>
  </si>
  <si>
    <t>Protobacilladnavirus</t>
  </si>
  <si>
    <t>Chaetoceros lorenzianus DNA virus</t>
  </si>
  <si>
    <t>ClorDNAV</t>
  </si>
  <si>
    <t>AB553581</t>
  </si>
  <si>
    <t>Chaetoceros sp. DNA virus 7</t>
  </si>
  <si>
    <t>Csp07DNAV</t>
  </si>
  <si>
    <t>AB844272</t>
  </si>
  <si>
    <t>Chaetoceros salsugineum DNA virus 1</t>
  </si>
  <si>
    <t>CsalDNAV</t>
  </si>
  <si>
    <t>AB193315</t>
  </si>
  <si>
    <t>Amphibola crenata associated bacilladnavirus 2</t>
  </si>
  <si>
    <t>AcrBV2</t>
  </si>
  <si>
    <t>GaBacV2</t>
  </si>
  <si>
    <t>KY405007</t>
  </si>
  <si>
    <t>Amphibola crenata associated bacilladnavirus 1</t>
  </si>
  <si>
    <t>AcrBV1</t>
  </si>
  <si>
    <t>GaBacV1</t>
  </si>
  <si>
    <t>KY405006</t>
  </si>
  <si>
    <t>Bacilladnaviridae sp. isolate ctdc18</t>
  </si>
  <si>
    <t>BacVctdc18</t>
  </si>
  <si>
    <t>ctdc18</t>
  </si>
  <si>
    <t>MH616678</t>
  </si>
  <si>
    <t>Bacilladnaviridae sp. isolate ctia23</t>
  </si>
  <si>
    <t>BacVctia23</t>
  </si>
  <si>
    <t>ctia23</t>
  </si>
  <si>
    <t>MH617734</t>
  </si>
  <si>
    <t>Chaetoceros tenuissimus DNA virus 1</t>
  </si>
  <si>
    <t>CtenDNAV1</t>
  </si>
  <si>
    <t>AB597949</t>
  </si>
  <si>
    <t>Puahadnavirus</t>
  </si>
  <si>
    <t>Avonheates virus SG_19</t>
  </si>
  <si>
    <t>AvVSG_19</t>
  </si>
  <si>
    <t>OM154944</t>
  </si>
  <si>
    <t>Avonheates virus SG_146</t>
  </si>
  <si>
    <t>AvVSG_146</t>
  </si>
  <si>
    <t>OM154948</t>
  </si>
  <si>
    <t>Avonheates virus SG_479</t>
  </si>
  <si>
    <t>AvVSG_479</t>
  </si>
  <si>
    <t>OM154950</t>
  </si>
  <si>
    <t>Avonheates virus SG_28</t>
  </si>
  <si>
    <t>AvVSG_28</t>
  </si>
  <si>
    <t>OM154945</t>
  </si>
  <si>
    <t>Seawadnavirus</t>
  </si>
  <si>
    <t>Avonheates virus SG_924</t>
  </si>
  <si>
    <t>AvVSG_924</t>
  </si>
  <si>
    <t>OM154943</t>
  </si>
  <si>
    <t>Avonheates virus SG_154</t>
  </si>
  <si>
    <t>AvVSG_154</t>
  </si>
  <si>
    <t>OM154949</t>
  </si>
  <si>
    <t>Bacillariodnavirus LDMD-2013</t>
  </si>
  <si>
    <t>LDMD-2013</t>
  </si>
  <si>
    <t>KF133809</t>
  </si>
  <si>
    <t>Cirlivirales</t>
  </si>
  <si>
    <t>Circoviridae</t>
  </si>
  <si>
    <t>Circovirus</t>
  </si>
  <si>
    <t>barbel circovirus</t>
  </si>
  <si>
    <t>BarCV</t>
  </si>
  <si>
    <t>GU799606</t>
  </si>
  <si>
    <t>bat associated circovirus 4; Tadarida brasiliensis circovirus 1</t>
  </si>
  <si>
    <t>BatACV4</t>
  </si>
  <si>
    <t>KT783484</t>
  </si>
  <si>
    <t>Ursus americanus circovirus</t>
  </si>
  <si>
    <t>BearCV</t>
  </si>
  <si>
    <t>UaCV/Reno/2014</t>
  </si>
  <si>
    <t>MN371255</t>
  </si>
  <si>
    <t>bat associated circovirus 3; Rhinolophus ferrumequinum circovirus 1</t>
  </si>
  <si>
    <t>BatACV3</t>
  </si>
  <si>
    <t>JQ814849</t>
  </si>
  <si>
    <t>canary circovirus</t>
  </si>
  <si>
    <t>CaCV</t>
  </si>
  <si>
    <t>AJ301633</t>
  </si>
  <si>
    <t>canine circovirus</t>
  </si>
  <si>
    <t>CanineCV</t>
  </si>
  <si>
    <t>UCD1-1698</t>
  </si>
  <si>
    <t>KC241982</t>
  </si>
  <si>
    <t>European catfish circovirus; Silurus glanis circovirus</t>
  </si>
  <si>
    <t>EcatfishCV</t>
  </si>
  <si>
    <t>H5</t>
  </si>
  <si>
    <t>JQ011377</t>
  </si>
  <si>
    <t>bat associated circovirus 1</t>
  </si>
  <si>
    <t>BatACV1</t>
  </si>
  <si>
    <t>XOR</t>
  </si>
  <si>
    <t>JX863737</t>
  </si>
  <si>
    <t>bat circovirus</t>
  </si>
  <si>
    <t>BatACV12</t>
  </si>
  <si>
    <t>CV/GD2012</t>
  </si>
  <si>
    <t>KJ641716</t>
  </si>
  <si>
    <t>Paguma larvata circovirus</t>
  </si>
  <si>
    <t>CivCV</t>
  </si>
  <si>
    <t>Pl-CV3</t>
  </si>
  <si>
    <t>LC416389</t>
  </si>
  <si>
    <t>rodent circovirus</t>
  </si>
  <si>
    <t>RoACV6</t>
  </si>
  <si>
    <t>RtAd-CV/SAX2015</t>
  </si>
  <si>
    <t>KY370037</t>
  </si>
  <si>
    <t>duck circovirus</t>
  </si>
  <si>
    <t>DuCV</t>
  </si>
  <si>
    <t>AY228555</t>
  </si>
  <si>
    <t>elk circovirus</t>
  </si>
  <si>
    <t>ElkCV</t>
  </si>
  <si>
    <t>Banff/2019</t>
  </si>
  <si>
    <t>MN585201</t>
  </si>
  <si>
    <t>human faeces associated circovirus</t>
  </si>
  <si>
    <t>HuACV1</t>
  </si>
  <si>
    <t>NG13</t>
  </si>
  <si>
    <t>GQ404856</t>
  </si>
  <si>
    <t>finch circovirus</t>
  </si>
  <si>
    <t>FiCV</t>
  </si>
  <si>
    <t>DQ845075</t>
  </si>
  <si>
    <t>wolvfec circovius</t>
  </si>
  <si>
    <t>WolvfecCV</t>
  </si>
  <si>
    <t>Circo38</t>
  </si>
  <si>
    <t>MW686208</t>
  </si>
  <si>
    <t>RoACV5</t>
  </si>
  <si>
    <t>RtNe-CV/YN2013</t>
  </si>
  <si>
    <t>KY370027</t>
  </si>
  <si>
    <t>goose circovirus</t>
  </si>
  <si>
    <t>GoCV</t>
  </si>
  <si>
    <t>AJ304456</t>
  </si>
  <si>
    <t>bamboo rat circovirus</t>
  </si>
  <si>
    <t>RoACV7</t>
  </si>
  <si>
    <t>FJ01</t>
  </si>
  <si>
    <t>MF497827</t>
  </si>
  <si>
    <t>gull circovirus</t>
  </si>
  <si>
    <t>GuCV</t>
  </si>
  <si>
    <t>DQ845074</t>
  </si>
  <si>
    <t>dipodfec virus UA04Rod_4537</t>
  </si>
  <si>
    <t>DipV_4537</t>
  </si>
  <si>
    <t>UA04Rod_4537</t>
  </si>
  <si>
    <t>OM869597</t>
  </si>
  <si>
    <t>BatACV10</t>
  </si>
  <si>
    <t>Acheng30</t>
  </si>
  <si>
    <t>KX756986</t>
  </si>
  <si>
    <t>chimpanzee faeces associated circovirus</t>
  </si>
  <si>
    <t>ChimpACV</t>
  </si>
  <si>
    <t>Chimp17</t>
  </si>
  <si>
    <t>GQ404851</t>
  </si>
  <si>
    <t>bat associated circovirus 9</t>
  </si>
  <si>
    <t>BatCV-9</t>
  </si>
  <si>
    <t>BtRf-CV-61/YN2010</t>
  </si>
  <si>
    <t>KJ641741</t>
  </si>
  <si>
    <t>RoACV2</t>
  </si>
  <si>
    <t>RtAc-CV-2/GZ2015</t>
  </si>
  <si>
    <t>KY370042</t>
  </si>
  <si>
    <t>bat associated circovirus 7</t>
  </si>
  <si>
    <t>BatACV7</t>
  </si>
  <si>
    <t>BtRs-CV/HuB2013</t>
  </si>
  <si>
    <t>KJ641723</t>
  </si>
  <si>
    <t>equine circovirus 1</t>
  </si>
  <si>
    <t>EquCV</t>
  </si>
  <si>
    <t>Chara</t>
  </si>
  <si>
    <t>MW881235</t>
  </si>
  <si>
    <t>MonCV1</t>
  </si>
  <si>
    <t>Mon-1</t>
  </si>
  <si>
    <t>MZ382570</t>
  </si>
  <si>
    <t>mink circovirus</t>
  </si>
  <si>
    <t>MiCV</t>
  </si>
  <si>
    <t>DL13</t>
  </si>
  <si>
    <t>KJ020099</t>
  </si>
  <si>
    <t>sonfela circovirus 1</t>
  </si>
  <si>
    <t>SonfelCV1</t>
  </si>
  <si>
    <t>ICG_35-S_UoA14</t>
  </si>
  <si>
    <t>MT610105</t>
  </si>
  <si>
    <t>sonfela circovirus 2</t>
  </si>
  <si>
    <t>SonfelCV2</t>
  </si>
  <si>
    <t>ICG_37-S_UoA15</t>
  </si>
  <si>
    <t>MT610106</t>
  </si>
  <si>
    <t>bat associated circovirus 8</t>
  </si>
  <si>
    <t>BatACV8</t>
  </si>
  <si>
    <t>BtMr-CV/GD2012</t>
  </si>
  <si>
    <t>KJ641711</t>
  </si>
  <si>
    <t>Culex circovirus-like virus</t>
  </si>
  <si>
    <t>MosACV1</t>
  </si>
  <si>
    <t>CCirVL/Fresno</t>
  </si>
  <si>
    <t>MH188038</t>
  </si>
  <si>
    <t>wigfec circovirus 1</t>
  </si>
  <si>
    <t>WigCV1</t>
  </si>
  <si>
    <t>TBirdK19_657</t>
  </si>
  <si>
    <t>MZ604582</t>
  </si>
  <si>
    <t>beak and feather disease virus</t>
  </si>
  <si>
    <t>AF071878</t>
  </si>
  <si>
    <t>wigfec circovirus 2</t>
  </si>
  <si>
    <t>WigCV2</t>
  </si>
  <si>
    <t>VBirdW3_62</t>
  </si>
  <si>
    <t>MZ604590</t>
  </si>
  <si>
    <t>penguin circovirus</t>
  </si>
  <si>
    <t>PenCV</t>
  </si>
  <si>
    <t>Croz_chick</t>
  </si>
  <si>
    <t>MN164703</t>
  </si>
  <si>
    <t>tick circovirus</t>
  </si>
  <si>
    <t>TiACV2</t>
  </si>
  <si>
    <t>hlj-Ic.518</t>
  </si>
  <si>
    <t>KX987146</t>
  </si>
  <si>
    <t>pigeon circovirus; Columbid circovirus</t>
  </si>
  <si>
    <t>PiCV</t>
  </si>
  <si>
    <t>AF252610</t>
  </si>
  <si>
    <t>BatACV13</t>
  </si>
  <si>
    <t>Sardinia BatACV</t>
  </si>
  <si>
    <t>MN928506</t>
  </si>
  <si>
    <t>porcine circovirus 1</t>
  </si>
  <si>
    <t>PCV1</t>
  </si>
  <si>
    <t>AF071879</t>
  </si>
  <si>
    <t>porcine circovirus 2</t>
  </si>
  <si>
    <t>PCV2</t>
  </si>
  <si>
    <t>JX0301</t>
  </si>
  <si>
    <t>AY651850</t>
  </si>
  <si>
    <t>porcine circovirus 3</t>
  </si>
  <si>
    <t>PCV3</t>
  </si>
  <si>
    <t>KT869077</t>
  </si>
  <si>
    <t>porcine circovirus 4</t>
  </si>
  <si>
    <t>PCV4</t>
  </si>
  <si>
    <t>HNU-AHG1-2019</t>
  </si>
  <si>
    <t>MK986820</t>
  </si>
  <si>
    <t>bat associated circovirus 6</t>
  </si>
  <si>
    <t>BatACV6</t>
  </si>
  <si>
    <t>BTRa-CV/JS2013</t>
  </si>
  <si>
    <t>KJ641724</t>
  </si>
  <si>
    <t>raven circovirus</t>
  </si>
  <si>
    <t>RaCV</t>
  </si>
  <si>
    <t>4-1131</t>
  </si>
  <si>
    <t>DQ146997</t>
  </si>
  <si>
    <t>RoACV3</t>
  </si>
  <si>
    <t>RtMc-CV-2/Tibet2014</t>
  </si>
  <si>
    <t>KY370039</t>
  </si>
  <si>
    <t>RoACV1</t>
  </si>
  <si>
    <t>RtMc-CV-1/Tibet2014</t>
  </si>
  <si>
    <t>KY370034</t>
  </si>
  <si>
    <t>RoACV4</t>
  </si>
  <si>
    <t>RtAs-CV/IM2014</t>
  </si>
  <si>
    <t>KY370029</t>
  </si>
  <si>
    <t>bat associated circovirus 5</t>
  </si>
  <si>
    <t>BatACV5</t>
  </si>
  <si>
    <t>BtPa-CV-1/NX2013</t>
  </si>
  <si>
    <t>KJ641727</t>
  </si>
  <si>
    <t>BatACV11</t>
  </si>
  <si>
    <t>Mengyuan2</t>
  </si>
  <si>
    <t>KX756996</t>
  </si>
  <si>
    <t>starling circovirus</t>
  </si>
  <si>
    <t>StCV</t>
  </si>
  <si>
    <t>DQ172906</t>
  </si>
  <si>
    <t>swan circovirus</t>
  </si>
  <si>
    <t>SwCV</t>
  </si>
  <si>
    <t>H51</t>
  </si>
  <si>
    <t>EU056309</t>
  </si>
  <si>
    <t>werosea circovirus</t>
  </si>
  <si>
    <t>WerCV</t>
  </si>
  <si>
    <t>WCV/9</t>
  </si>
  <si>
    <t>MN164712</t>
  </si>
  <si>
    <t>Eumops bonariensis associated circovirus 1</t>
  </si>
  <si>
    <t>EbaCV1</t>
  </si>
  <si>
    <t>MAVG-08</t>
  </si>
  <si>
    <t>OL704833</t>
  </si>
  <si>
    <t>bat associated circovirus 2</t>
  </si>
  <si>
    <t>BatACV2</t>
  </si>
  <si>
    <t>XOR7</t>
  </si>
  <si>
    <t>KC339249</t>
  </si>
  <si>
    <t>calfel virus LSF45_cir359</t>
  </si>
  <si>
    <t>CalfelVcir359</t>
  </si>
  <si>
    <t>LSF45_cir359</t>
  </si>
  <si>
    <t>ON596197</t>
  </si>
  <si>
    <t>beaked whale circovirus</t>
  </si>
  <si>
    <t>WhaleCV</t>
  </si>
  <si>
    <t>IP13001</t>
  </si>
  <si>
    <t>MN103538</t>
  </si>
  <si>
    <t>avian-like circovirus</t>
  </si>
  <si>
    <t>TiACV1</t>
  </si>
  <si>
    <t>A1</t>
  </si>
  <si>
    <t>KU230452</t>
  </si>
  <si>
    <t>zebra finch circovirus</t>
  </si>
  <si>
    <t>ZfiCV</t>
  </si>
  <si>
    <t>8454V25-1</t>
  </si>
  <si>
    <t>KP793918</t>
  </si>
  <si>
    <t>Cyclovirus</t>
  </si>
  <si>
    <t>soft spider associated circular virus 1</t>
  </si>
  <si>
    <t>SpACyV1</t>
  </si>
  <si>
    <t>BC_I1647E_H3</t>
  </si>
  <si>
    <t>MH545516</t>
  </si>
  <si>
    <t>chicken associated cyclovirus 1</t>
  </si>
  <si>
    <t>ChickACyV1</t>
  </si>
  <si>
    <t>NGchicken8</t>
  </si>
  <si>
    <t>HQ738643</t>
  </si>
  <si>
    <t>army ant associated cyclovirus 2 P8A-4.2_2</t>
  </si>
  <si>
    <t>MagnanCyV-2</t>
  </si>
  <si>
    <t>P8A-4.2_2</t>
  </si>
  <si>
    <t>ON324071</t>
  </si>
  <si>
    <t>dragonfly cyclovirus 6</t>
  </si>
  <si>
    <t>DfACyV6</t>
  </si>
  <si>
    <t>US-DFKWGX-2012</t>
  </si>
  <si>
    <t>KC512918</t>
  </si>
  <si>
    <t>goat cyclovirus</t>
  </si>
  <si>
    <t>GoACyV1</t>
  </si>
  <si>
    <t>PKgoat11</t>
  </si>
  <si>
    <t>HQ738636</t>
  </si>
  <si>
    <t>human associated cyclovirus 4</t>
  </si>
  <si>
    <t>HuACyV4</t>
  </si>
  <si>
    <t>TN25</t>
  </si>
  <si>
    <t>GQ404857</t>
  </si>
  <si>
    <t>bat associated cyclovirus 10</t>
  </si>
  <si>
    <t>BatACyV10</t>
  </si>
  <si>
    <t>POA/2012/VI</t>
  </si>
  <si>
    <t>KM382270</t>
  </si>
  <si>
    <t>army ant associated cyclovirus 5 170_4</t>
  </si>
  <si>
    <t>AaCyV-5</t>
  </si>
  <si>
    <t>170_4</t>
  </si>
  <si>
    <t>ON324104</t>
  </si>
  <si>
    <t>horse cyclovirus</t>
  </si>
  <si>
    <t>HoACyV1</t>
  </si>
  <si>
    <t>Equ1</t>
  </si>
  <si>
    <t>KR902499</t>
  </si>
  <si>
    <t>robinz virus RP_736</t>
  </si>
  <si>
    <t>RobinzV736</t>
  </si>
  <si>
    <t>RP_736</t>
  </si>
  <si>
    <t>MZ350969</t>
  </si>
  <si>
    <t>bat associated cyclovirus 12</t>
  </si>
  <si>
    <t>BatACyV12</t>
  </si>
  <si>
    <t>POA/2012/II</t>
  </si>
  <si>
    <t>KM382269</t>
  </si>
  <si>
    <t>army ant associated cyclovirus 8 P1A-reste_2</t>
  </si>
  <si>
    <t>AaCyV-8</t>
  </si>
  <si>
    <t>P1A-reste_2</t>
  </si>
  <si>
    <t>ON324107</t>
  </si>
  <si>
    <t>bat associated cyclovirus 5</t>
  </si>
  <si>
    <t>BatACyV5</t>
  </si>
  <si>
    <t>CyCV-TB</t>
  </si>
  <si>
    <t>HQ738637</t>
  </si>
  <si>
    <t>chifec virus UA13_1880</t>
  </si>
  <si>
    <t>ChifecV13_1880</t>
  </si>
  <si>
    <t>UA13_188</t>
  </si>
  <si>
    <t>OM262456</t>
  </si>
  <si>
    <t>werosea cyclovirus</t>
  </si>
  <si>
    <t>WeroseaCyV</t>
  </si>
  <si>
    <t>MN176052</t>
  </si>
  <si>
    <t>army ant associated cyclovirus 6 P16-reste_1</t>
  </si>
  <si>
    <t>MagnanCyV-6</t>
  </si>
  <si>
    <t>P16-reste_1</t>
  </si>
  <si>
    <t>ON324069</t>
  </si>
  <si>
    <t>bovine cyclovirus</t>
  </si>
  <si>
    <t>BoACyV1</t>
  </si>
  <si>
    <t>PKbeef23</t>
  </si>
  <si>
    <t>HQ738634</t>
  </si>
  <si>
    <t>feline cyclovirus</t>
  </si>
  <si>
    <t>FeACyV1</t>
  </si>
  <si>
    <t>KM017740</t>
  </si>
  <si>
    <t>human associated cyclovirus 5</t>
  </si>
  <si>
    <t>HuACyV5</t>
  </si>
  <si>
    <t>PK5034</t>
  </si>
  <si>
    <t>GQ404845</t>
  </si>
  <si>
    <t>human associated cyclovirus 10</t>
  </si>
  <si>
    <t>HuACyV10</t>
  </si>
  <si>
    <t>7078A</t>
  </si>
  <si>
    <t>KF726984</t>
  </si>
  <si>
    <t>army ant associated cyclovirus 3 P1A-reste_4</t>
  </si>
  <si>
    <t>MagnanCyV-3</t>
  </si>
  <si>
    <t>P1A-reste_4</t>
  </si>
  <si>
    <t>ON324066</t>
  </si>
  <si>
    <t>human associated cyclovirus 2</t>
  </si>
  <si>
    <t>HuACyV2</t>
  </si>
  <si>
    <t>PK5006</t>
  </si>
  <si>
    <t>GQ404844</t>
  </si>
  <si>
    <t>bat faeces associated cyclovirus 1</t>
  </si>
  <si>
    <t>BatACyV1</t>
  </si>
  <si>
    <t>GF-4c</t>
  </si>
  <si>
    <t>HM228874</t>
  </si>
  <si>
    <t>bat faeces associated cyclovirus 2</t>
  </si>
  <si>
    <t>BatACyV2</t>
  </si>
  <si>
    <t>YN-BtCV-2</t>
  </si>
  <si>
    <t>JF938079</t>
  </si>
  <si>
    <t>duck associated cyclovirus 1</t>
  </si>
  <si>
    <t>DuACyV1</t>
  </si>
  <si>
    <t>DuACyV-1/1</t>
  </si>
  <si>
    <t>KY851116</t>
  </si>
  <si>
    <t>dipodfec virus UA23Rod_1805</t>
  </si>
  <si>
    <t>DipV1805</t>
  </si>
  <si>
    <t>UA23Rod_1805</t>
  </si>
  <si>
    <t>OM869613</t>
  </si>
  <si>
    <t>bat associated cyclovirus 9</t>
  </si>
  <si>
    <t>BatACyV9</t>
  </si>
  <si>
    <t>BtTp-CV-2/GX2012</t>
  </si>
  <si>
    <t>KJ641720</t>
  </si>
  <si>
    <t>bat faeces associated cyclovirus 3</t>
  </si>
  <si>
    <t>BatACyV3</t>
  </si>
  <si>
    <t>YN-BtCV-4</t>
  </si>
  <si>
    <t>JF938081</t>
  </si>
  <si>
    <t>dragonfly cyclovirus 1</t>
  </si>
  <si>
    <t>DfACyV1</t>
  </si>
  <si>
    <t>TO-DFpB1-2010</t>
  </si>
  <si>
    <t>JX185419</t>
  </si>
  <si>
    <t>army ant associated cyclovirus 1 P21/23-reste_1</t>
  </si>
  <si>
    <t>AaCyV-1</t>
  </si>
  <si>
    <t>P21/23-reste_1</t>
  </si>
  <si>
    <t>ON324100</t>
  </si>
  <si>
    <t>dragonfly cyclovirus 5</t>
  </si>
  <si>
    <t>DfACyV5</t>
  </si>
  <si>
    <t>PR-6E-2010</t>
  </si>
  <si>
    <t>JX185426</t>
  </si>
  <si>
    <t>robinz virus RP_1170</t>
  </si>
  <si>
    <t>RobinzV1170</t>
  </si>
  <si>
    <t>RP_1170</t>
  </si>
  <si>
    <t>MZ350973</t>
  </si>
  <si>
    <t>bat associated cyclovirus 7</t>
  </si>
  <si>
    <t>BatACyV7</t>
  </si>
  <si>
    <t>BtRf-CV-24/YN2010</t>
  </si>
  <si>
    <t>KJ641740</t>
  </si>
  <si>
    <t>chifec virus UA15_2320</t>
  </si>
  <si>
    <t>ChifecV15_2320</t>
  </si>
  <si>
    <t>UA15_2320</t>
  </si>
  <si>
    <t>OM262459</t>
  </si>
  <si>
    <t>human associated cyclovirus 1</t>
  </si>
  <si>
    <t>HuACyV1</t>
  </si>
  <si>
    <t>GQ404847</t>
  </si>
  <si>
    <t>human associated cyclovirus 11</t>
  </si>
  <si>
    <t>HuACyV11</t>
  </si>
  <si>
    <t>SL-108277</t>
  </si>
  <si>
    <t>KJ831064</t>
  </si>
  <si>
    <t>human associated cyclovirus 3</t>
  </si>
  <si>
    <t>HuACyV3</t>
  </si>
  <si>
    <t>PK5222</t>
  </si>
  <si>
    <t>GQ404846</t>
  </si>
  <si>
    <t>human associated cyclovirus 12</t>
  </si>
  <si>
    <t>HuCyC12</t>
  </si>
  <si>
    <t>IECSF08</t>
  </si>
  <si>
    <t>KU053483</t>
  </si>
  <si>
    <t>arboreal ant associated circular virus 1</t>
  </si>
  <si>
    <t>AntACyV1</t>
  </si>
  <si>
    <t>KY_I1338b_D1_CN</t>
  </si>
  <si>
    <t>MH545511</t>
  </si>
  <si>
    <t>army ant associated cyclovirus 4 P8A-3.2_1</t>
  </si>
  <si>
    <t>AaCyV-4</t>
  </si>
  <si>
    <t>P8A-3.2_1</t>
  </si>
  <si>
    <t>ON324103</t>
  </si>
  <si>
    <t>calfel virus LSF31_cyc420</t>
  </si>
  <si>
    <t>CalfelV420</t>
  </si>
  <si>
    <t>LSF31_cyc420</t>
  </si>
  <si>
    <t>ON596195</t>
  </si>
  <si>
    <t>human associated cyclovirus 6</t>
  </si>
  <si>
    <t>HuACyV6</t>
  </si>
  <si>
    <t>NG12</t>
  </si>
  <si>
    <t>GQ404854</t>
  </si>
  <si>
    <t>calfel virus LSF31_cyc880</t>
  </si>
  <si>
    <t>CalfelV880</t>
  </si>
  <si>
    <t>LSF31_cyc880</t>
  </si>
  <si>
    <t>ON596196</t>
  </si>
  <si>
    <t>human associated cyclovirus 9</t>
  </si>
  <si>
    <t>HuACyV9</t>
  </si>
  <si>
    <t>VS5700009</t>
  </si>
  <si>
    <t>KC771281</t>
  </si>
  <si>
    <t>bat associated cyclovirus 17</t>
  </si>
  <si>
    <t>BatACyV17</t>
  </si>
  <si>
    <t>MAVG-01</t>
  </si>
  <si>
    <t>OL704826</t>
  </si>
  <si>
    <t>Eumops bonariensis associated cyclovirus 1</t>
  </si>
  <si>
    <t>EumCyV1</t>
  </si>
  <si>
    <t>MAVG-03</t>
  </si>
  <si>
    <t>OL704828</t>
  </si>
  <si>
    <t>human associated cyclovirus 7</t>
  </si>
  <si>
    <t>HuACyV7</t>
  </si>
  <si>
    <t>NG14</t>
  </si>
  <si>
    <t>GQ404855</t>
  </si>
  <si>
    <t>mongoose-associated cyclovirus Mon-20</t>
  </si>
  <si>
    <t>MonACyV-20</t>
  </si>
  <si>
    <t>Mon-20</t>
  </si>
  <si>
    <t>MZ382573</t>
  </si>
  <si>
    <t>chicken associated cyclovirus 2</t>
  </si>
  <si>
    <t>ChickACyV2</t>
  </si>
  <si>
    <t>RS/BR/2015/4</t>
  </si>
  <si>
    <t>MG846358</t>
  </si>
  <si>
    <t>mouse associated cyclovirus 1</t>
  </si>
  <si>
    <t>MoACyV1</t>
  </si>
  <si>
    <t>Cyclo-sf1</t>
  </si>
  <si>
    <t>KT878836</t>
  </si>
  <si>
    <t>bat associated cyclovirus 8</t>
  </si>
  <si>
    <t>BatACyV8</t>
  </si>
  <si>
    <t>BtRp-CV-52/GD2012</t>
  </si>
  <si>
    <t>KJ641715</t>
  </si>
  <si>
    <t>dragonfly cyclovirus 7</t>
  </si>
  <si>
    <t>DfACyV7</t>
  </si>
  <si>
    <t>NZ-DFNZ3-2011</t>
  </si>
  <si>
    <t>KC512919</t>
  </si>
  <si>
    <t>army ant associated cyclovirus 9 183_1</t>
  </si>
  <si>
    <t>AanCyV-9</t>
  </si>
  <si>
    <t>183_1</t>
  </si>
  <si>
    <t>ON324108</t>
  </si>
  <si>
    <t>bat associated cyclovirus Vr1</t>
  </si>
  <si>
    <t>BatCyVVr1</t>
  </si>
  <si>
    <t>Vr1</t>
  </si>
  <si>
    <t>MT766312</t>
  </si>
  <si>
    <t>mongoose-associated cyclovirus Mon-32</t>
  </si>
  <si>
    <t>MonACyV-32</t>
  </si>
  <si>
    <t>Mon-32</t>
  </si>
  <si>
    <t>MZ382572</t>
  </si>
  <si>
    <t>human associated cyclovirus 8</t>
  </si>
  <si>
    <t>HuACyV8</t>
  </si>
  <si>
    <t>hcf2</t>
  </si>
  <si>
    <t>KF031466</t>
  </si>
  <si>
    <t>bat associated cyclovirus 13</t>
  </si>
  <si>
    <t>BatACyV13</t>
  </si>
  <si>
    <t>BtPa-CV-2/NX2013</t>
  </si>
  <si>
    <t>KJ641728</t>
  </si>
  <si>
    <t>Caesalpinia ferrea associated virus</t>
  </si>
  <si>
    <t>CafAV</t>
  </si>
  <si>
    <t>RDF_368_FM LVV 07</t>
  </si>
  <si>
    <t>MT707947</t>
  </si>
  <si>
    <t>plants</t>
  </si>
  <si>
    <t>bat associated cyclovirus 15</t>
  </si>
  <si>
    <t>BatACyV15</t>
  </si>
  <si>
    <t>Tbat_H_88317</t>
  </si>
  <si>
    <t>KT732786</t>
  </si>
  <si>
    <t>bat associated cyclovirus 14</t>
  </si>
  <si>
    <t>BatACyV14</t>
  </si>
  <si>
    <t>Tbat_H_103699</t>
  </si>
  <si>
    <t>KT732785</t>
  </si>
  <si>
    <t>bat associated cyclovirus 16</t>
  </si>
  <si>
    <t>BatACyV16</t>
  </si>
  <si>
    <t>Tbat_K_103923</t>
  </si>
  <si>
    <t>KT732787</t>
  </si>
  <si>
    <t>robinz virus RP_493</t>
  </si>
  <si>
    <t>RobinzV493</t>
  </si>
  <si>
    <t>RP_493</t>
  </si>
  <si>
    <t>MZ350965</t>
  </si>
  <si>
    <t>RoACyV2</t>
  </si>
  <si>
    <t>RtRs-CV/YN2013</t>
  </si>
  <si>
    <t>KY370026</t>
  </si>
  <si>
    <t>bat associated cyclovirus 6</t>
  </si>
  <si>
    <t>BatACyV6</t>
  </si>
  <si>
    <t>BtRp-CV-3/GD2012</t>
  </si>
  <si>
    <t>KJ641712</t>
  </si>
  <si>
    <t>calfel virus LSF17_cyc102</t>
  </si>
  <si>
    <t>CalfelV102</t>
  </si>
  <si>
    <t>LSF17_cyc102</t>
  </si>
  <si>
    <t>ON596192</t>
  </si>
  <si>
    <t>robinz virus RP_620</t>
  </si>
  <si>
    <t>RobinzV620</t>
  </si>
  <si>
    <t>RP_620</t>
  </si>
  <si>
    <t>MZ350968</t>
  </si>
  <si>
    <t>chifec virus UA15_35</t>
  </si>
  <si>
    <t>ChifecV15_35</t>
  </si>
  <si>
    <t>UA15_35</t>
  </si>
  <si>
    <t>OM262453</t>
  </si>
  <si>
    <t>robinz virus RP_526</t>
  </si>
  <si>
    <t>RobinzV526</t>
  </si>
  <si>
    <t>RP_526</t>
  </si>
  <si>
    <t>MZ350966</t>
  </si>
  <si>
    <t>RoACyV1</t>
  </si>
  <si>
    <t>RtRf-CV-2/YN2013</t>
  </si>
  <si>
    <t>KY370028</t>
  </si>
  <si>
    <t>squirrel cyclovirus</t>
  </si>
  <si>
    <t>SqACyV1</t>
  </si>
  <si>
    <t>JP-NUBS-2014</t>
  </si>
  <si>
    <t>LC018134</t>
  </si>
  <si>
    <t>Florida woods cockroach cyclovirus</t>
  </si>
  <si>
    <t>CroACyV1</t>
  </si>
  <si>
    <t>GS140</t>
  </si>
  <si>
    <t>JX569794</t>
  </si>
  <si>
    <t>capybara associated cyclovirus 1</t>
  </si>
  <si>
    <t>CapCyV</t>
  </si>
  <si>
    <t>Cap1_365</t>
  </si>
  <si>
    <t>MK947371</t>
  </si>
  <si>
    <t>dipodfec virus UA04Rod_5913</t>
  </si>
  <si>
    <t>DipV5913</t>
  </si>
  <si>
    <t>UA04Rod_5913</t>
  </si>
  <si>
    <t>OM869595</t>
  </si>
  <si>
    <t>robinz virus RP_584</t>
  </si>
  <si>
    <t>RobinzV584</t>
  </si>
  <si>
    <t>RP_584</t>
  </si>
  <si>
    <t>MZ350967</t>
  </si>
  <si>
    <t>chifec virus UA13_1727</t>
  </si>
  <si>
    <t>ChifecV13_1727</t>
  </si>
  <si>
    <t>UA13_1727</t>
  </si>
  <si>
    <t>OM262451</t>
  </si>
  <si>
    <t>chifec virus UA13_1817</t>
  </si>
  <si>
    <t>ChifecV13_1817</t>
  </si>
  <si>
    <t>UA13_1817</t>
  </si>
  <si>
    <t>OM262452</t>
  </si>
  <si>
    <t>bat faeces associated cyclovirus 4</t>
  </si>
  <si>
    <t>BatACyV4</t>
  </si>
  <si>
    <t>YN-BtCV-5</t>
  </si>
  <si>
    <t>JF938082</t>
  </si>
  <si>
    <t>chimpanzee faeces associated cyclovirus</t>
  </si>
  <si>
    <t>ChimpACyV1</t>
  </si>
  <si>
    <t>Chimp11</t>
  </si>
  <si>
    <t>GQ404849</t>
  </si>
  <si>
    <t>army ant associated cyclovirus 7 P4A-reste_1</t>
  </si>
  <si>
    <t>AaCyV-7</t>
  </si>
  <si>
    <t>P4A-reste_1</t>
  </si>
  <si>
    <t>ON324106</t>
  </si>
  <si>
    <t>dragonfly cyclovirus 2</t>
  </si>
  <si>
    <t>DfACyV2</t>
  </si>
  <si>
    <t>FL1-NZ38-2010</t>
  </si>
  <si>
    <t>JX185422</t>
  </si>
  <si>
    <t>dragonfly cyclovirus 8</t>
  </si>
  <si>
    <t>DfACyV8</t>
  </si>
  <si>
    <t>AU-DFB007B-2012</t>
  </si>
  <si>
    <t>KC512920</t>
  </si>
  <si>
    <t>dragonfly cyclovirus 3</t>
  </si>
  <si>
    <t>DfACyV3</t>
  </si>
  <si>
    <t>FL2-5E-2010</t>
  </si>
  <si>
    <t>JX185424</t>
  </si>
  <si>
    <t>robinz virus RP_259</t>
  </si>
  <si>
    <t>RobinzV259</t>
  </si>
  <si>
    <t>RP_259</t>
  </si>
  <si>
    <t>MZ350964</t>
  </si>
  <si>
    <t>bat associated cyclovirus Cg1</t>
  </si>
  <si>
    <t>BatCyVCg1</t>
  </si>
  <si>
    <t>Cg1</t>
  </si>
  <si>
    <t>MT766309</t>
  </si>
  <si>
    <t>dragonfly cyclovirus 4</t>
  </si>
  <si>
    <t>DfACyV4</t>
  </si>
  <si>
    <t>KC512916</t>
  </si>
  <si>
    <t>Tadarida brasiliensis associated cyclovirus 1</t>
  </si>
  <si>
    <t>TabCyV1</t>
  </si>
  <si>
    <t>MAVG-02</t>
  </si>
  <si>
    <t>OL704827</t>
  </si>
  <si>
    <t>chifec virus UA13_1887</t>
  </si>
  <si>
    <t>ChifecV13_1887</t>
  </si>
  <si>
    <t>UA13_1887</t>
  </si>
  <si>
    <t>OM262457</t>
  </si>
  <si>
    <t>bat associated cyclovirus 11</t>
  </si>
  <si>
    <t>BatACyV11</t>
  </si>
  <si>
    <t>BtMspp.-CV/GD2012</t>
  </si>
  <si>
    <t>KJ641717</t>
  </si>
  <si>
    <t>chifec virus UA13_1800</t>
  </si>
  <si>
    <t>ChifecV13_1800</t>
  </si>
  <si>
    <t>UA13_1800</t>
  </si>
  <si>
    <t>OM262458</t>
  </si>
  <si>
    <t>Vilyaviridae</t>
  </si>
  <si>
    <t>Andurilvirus</t>
  </si>
  <si>
    <t>KU14</t>
  </si>
  <si>
    <t>LC389584</t>
  </si>
  <si>
    <t>protists (S)</t>
  </si>
  <si>
    <t>Giardia-associated CRESS DNA virus 4</t>
  </si>
  <si>
    <t>84-AMS-01</t>
  </si>
  <si>
    <t>MT293429</t>
  </si>
  <si>
    <t>Angristvirus</t>
  </si>
  <si>
    <t>CRESS virus sp.</t>
  </si>
  <si>
    <t>UJSL012</t>
  </si>
  <si>
    <t>MN621474</t>
  </si>
  <si>
    <t>unidentified circular ssDNA virus</t>
  </si>
  <si>
    <t>V18B</t>
  </si>
  <si>
    <t>MG571900</t>
  </si>
  <si>
    <t>Aranruthvirus</t>
  </si>
  <si>
    <t>uncultured virus</t>
  </si>
  <si>
    <t>CG97</t>
  </si>
  <si>
    <t>KY487991</t>
  </si>
  <si>
    <t>Arnorvirus</t>
  </si>
  <si>
    <t>Northern red-backed vole stool-associated circular virus 16</t>
  </si>
  <si>
    <t>MR-16</t>
  </si>
  <si>
    <t>MK738139</t>
  </si>
  <si>
    <t>Glamdringvirus</t>
  </si>
  <si>
    <t>RodSCV_M-89</t>
  </si>
  <si>
    <t>JF755402</t>
  </si>
  <si>
    <t>RodSCV_V-84</t>
  </si>
  <si>
    <t>JF755413</t>
  </si>
  <si>
    <t>Grondvirus</t>
  </si>
  <si>
    <t>Barts_I1021_F10</t>
  </si>
  <si>
    <t>MH545531</t>
  </si>
  <si>
    <t>Herugrimvirus</t>
  </si>
  <si>
    <t>Giardia-associated CRESS DNA virus 1</t>
  </si>
  <si>
    <t>MT293421</t>
  </si>
  <si>
    <t>Illuinvirus</t>
  </si>
  <si>
    <t>GP_I1020-I75_F12</t>
  </si>
  <si>
    <t>MH545530</t>
  </si>
  <si>
    <t>Ormalvirus</t>
  </si>
  <si>
    <t>RodSCV_V-69</t>
  </si>
  <si>
    <t>JF755403</t>
  </si>
  <si>
    <t>Palantirivirus</t>
  </si>
  <si>
    <t>ctjj384</t>
  </si>
  <si>
    <t>MK012455</t>
  </si>
  <si>
    <t>Ringilvirus</t>
  </si>
  <si>
    <t>Northern red-backed vole stool-associated circular virus 116</t>
  </si>
  <si>
    <t>MR-116</t>
  </si>
  <si>
    <t>MK738142</t>
  </si>
  <si>
    <t>Northern red-backed vole stool-associated circular virus 11</t>
  </si>
  <si>
    <t>MR-11</t>
  </si>
  <si>
    <t>MK738138</t>
  </si>
  <si>
    <t>Northern red-backed vole stool-associated circular virus 117</t>
  </si>
  <si>
    <t>MR-117</t>
  </si>
  <si>
    <t>MK738143</t>
  </si>
  <si>
    <t>Vingilotevirus</t>
  </si>
  <si>
    <t>Giardia-associated CRESS DNA virus 2</t>
  </si>
  <si>
    <t>84-AMS-02</t>
  </si>
  <si>
    <t>MT293426</t>
  </si>
  <si>
    <t>MT293425</t>
  </si>
  <si>
    <t>Cremevirales</t>
  </si>
  <si>
    <t>Smacoviridae</t>
  </si>
  <si>
    <t>Babosmacovirus</t>
  </si>
  <si>
    <t>Papio cynocephalus associated smacovirus</t>
  </si>
  <si>
    <t>2/ZM09-71</t>
  </si>
  <si>
    <t>LC386204</t>
  </si>
  <si>
    <t>Bonzesmacovirus</t>
  </si>
  <si>
    <t>bovine faeces associated smacovirus 1</t>
  </si>
  <si>
    <t>48_Fec59973_cow</t>
  </si>
  <si>
    <t>KT862223</t>
  </si>
  <si>
    <t>Bostasmacovirus</t>
  </si>
  <si>
    <t>bovine faeces associated smacovirus 6</t>
  </si>
  <si>
    <t>GP3_46075_cow</t>
  </si>
  <si>
    <t>KT862229</t>
  </si>
  <si>
    <t>Bovismacovirus</t>
  </si>
  <si>
    <t>Circoviridae bovine stool/BK/KOR/2011</t>
  </si>
  <si>
    <t>CP11-49-3</t>
  </si>
  <si>
    <t>JN634851</t>
  </si>
  <si>
    <t>bovine faeces associated smacovirus 3</t>
  </si>
  <si>
    <t>48_Fec5_cow</t>
  </si>
  <si>
    <t>KT862222</t>
  </si>
  <si>
    <t>Odonata-associated circular virus-21</t>
  </si>
  <si>
    <t>US-1679SC3-12</t>
  </si>
  <si>
    <t>KM598409</t>
  </si>
  <si>
    <t>Cosmacovirus</t>
  </si>
  <si>
    <t>bovine faeces associated smacovirus 4</t>
  </si>
  <si>
    <t>GP3_45917_cow</t>
  </si>
  <si>
    <t>KT862228</t>
  </si>
  <si>
    <t>Dragsmacovirus</t>
  </si>
  <si>
    <t>Odonata-associated circular virus-5</t>
  </si>
  <si>
    <t>US-1683LM1-12</t>
  </si>
  <si>
    <t>KM598410</t>
  </si>
  <si>
    <t>Drosmacovirus</t>
  </si>
  <si>
    <t>bovine faeces associated smacovirus 5</t>
  </si>
  <si>
    <t>48_Fec9_cow</t>
  </si>
  <si>
    <t>KT862224</t>
  </si>
  <si>
    <t>dromedary stool-associated circular ssDNA virus</t>
  </si>
  <si>
    <t>c1359</t>
  </si>
  <si>
    <t>KM573769</t>
  </si>
  <si>
    <t>c1330</t>
  </si>
  <si>
    <t>KM573774</t>
  </si>
  <si>
    <t>Felismacovirus</t>
  </si>
  <si>
    <t>Lynx rufus smacovirus 1</t>
  </si>
  <si>
    <t>LSF60_322</t>
  </si>
  <si>
    <t>MK796234</t>
  </si>
  <si>
    <t>Huchismacovirus</t>
  </si>
  <si>
    <t>chicken associated smacovirus</t>
  </si>
  <si>
    <t>RS/BR/2015/2</t>
  </si>
  <si>
    <t>KY086301</t>
  </si>
  <si>
    <t>RS/BR/2015/3</t>
  </si>
  <si>
    <t>KY086300</t>
  </si>
  <si>
    <t>human smacovirus 1</t>
  </si>
  <si>
    <t>Oregon/6/2011/GottageGrove/5A1</t>
  </si>
  <si>
    <t>KP233180</t>
  </si>
  <si>
    <t>France/8/2008/2444</t>
  </si>
  <si>
    <t>KP233174</t>
  </si>
  <si>
    <t>France/1/2009/3664</t>
  </si>
  <si>
    <t>KP233178</t>
  </si>
  <si>
    <t>Inpeasmacovirus</t>
  </si>
  <si>
    <t>human associated porprismacovirus</t>
  </si>
  <si>
    <t>16845x3_952</t>
  </si>
  <si>
    <t>MH500283</t>
  </si>
  <si>
    <t>Smacoviridae sp.</t>
  </si>
  <si>
    <t>blp210cre2</t>
  </si>
  <si>
    <t>MN928918</t>
  </si>
  <si>
    <t>Porprismacovirus</t>
  </si>
  <si>
    <t>Alces alces faeces associated smacovirus MP78</t>
  </si>
  <si>
    <t>MP78</t>
  </si>
  <si>
    <t>MG641190</t>
  </si>
  <si>
    <t>avian associated porprismacovirus</t>
  </si>
  <si>
    <t>BR_DF13</t>
  </si>
  <si>
    <t>MN175615</t>
  </si>
  <si>
    <t>ZM09-74</t>
  </si>
  <si>
    <t>LC386197</t>
  </si>
  <si>
    <t>bovine faeces associated smacovirus 2</t>
  </si>
  <si>
    <t>23_Fec30587_cow</t>
  </si>
  <si>
    <t>KT862218</t>
  </si>
  <si>
    <t>cattle blood-associated circovirus-like virus</t>
  </si>
  <si>
    <t>Bvch001</t>
  </si>
  <si>
    <t>MF669478</t>
  </si>
  <si>
    <t>c1378</t>
  </si>
  <si>
    <t>KM573772</t>
  </si>
  <si>
    <t>c1072</t>
  </si>
  <si>
    <t>KM573770</t>
  </si>
  <si>
    <t>c1345</t>
  </si>
  <si>
    <t>KM573771</t>
  </si>
  <si>
    <t>c1258</t>
  </si>
  <si>
    <t>KM573775</t>
  </si>
  <si>
    <t>capybara associated smacovirus 1_cap1_104</t>
  </si>
  <si>
    <t>cap1_104</t>
  </si>
  <si>
    <t>MK570200</t>
  </si>
  <si>
    <t>RS/BR/2015/1</t>
  </si>
  <si>
    <t>KY086298</t>
  </si>
  <si>
    <t>chicken smacovirus mg4_881</t>
  </si>
  <si>
    <t>mg4_881</t>
  </si>
  <si>
    <t>MN379619</t>
  </si>
  <si>
    <t>chicken smacovirus mg5_1212</t>
  </si>
  <si>
    <t>mg5_1212</t>
  </si>
  <si>
    <t>MN379623</t>
  </si>
  <si>
    <t>chicken smacovirus mg4_885</t>
  </si>
  <si>
    <t>mg4_885</t>
  </si>
  <si>
    <t>MN379620</t>
  </si>
  <si>
    <t>chicken smacovirus mg7_67</t>
  </si>
  <si>
    <t>mg7_67</t>
  </si>
  <si>
    <t>MN379627</t>
  </si>
  <si>
    <t>chicken smacovirus mg4_964</t>
  </si>
  <si>
    <t>mg4_964</t>
  </si>
  <si>
    <t>MN379621</t>
  </si>
  <si>
    <t>chicken smacovirus mg5_1081</t>
  </si>
  <si>
    <t>mg5_1081</t>
  </si>
  <si>
    <t>MN379622</t>
  </si>
  <si>
    <t>chimpanzee stool associated circular ssDNA virus</t>
  </si>
  <si>
    <t>DP152</t>
  </si>
  <si>
    <t>GQ351272</t>
  </si>
  <si>
    <t>GM495</t>
  </si>
  <si>
    <t>GQ351273</t>
  </si>
  <si>
    <t>fly associated circular virus 4</t>
  </si>
  <si>
    <t>DR_I1035_D2</t>
  </si>
  <si>
    <t>MH545525</t>
  </si>
  <si>
    <t>goat associated porprismacovirus</t>
  </si>
  <si>
    <t>16915x9_1969</t>
  </si>
  <si>
    <t>MH500307</t>
  </si>
  <si>
    <t>gorilla smacovirus</t>
  </si>
  <si>
    <t>SF3</t>
  </si>
  <si>
    <t>KP233191</t>
  </si>
  <si>
    <t>black howler monkey smacovirus</t>
  </si>
  <si>
    <t>SF1</t>
  </si>
  <si>
    <t>KP233189</t>
  </si>
  <si>
    <t>human feces smacovirus 2</t>
  </si>
  <si>
    <t>ID31</t>
  </si>
  <si>
    <t>KT600068</t>
  </si>
  <si>
    <t>chimpanzee smacovirus</t>
  </si>
  <si>
    <t>SF2</t>
  </si>
  <si>
    <t>KP233190</t>
  </si>
  <si>
    <t>human feces smacovirus 3</t>
  </si>
  <si>
    <t>SmaCV3_ETH_P15_2016</t>
  </si>
  <si>
    <t>MG522850</t>
  </si>
  <si>
    <t>human associated porprismacovirus 3</t>
  </si>
  <si>
    <t>16806x66_213</t>
  </si>
  <si>
    <t>MH111125</t>
  </si>
  <si>
    <t>lemur smacovirus</t>
  </si>
  <si>
    <t>SF5</t>
  </si>
  <si>
    <t>KP233194</t>
  </si>
  <si>
    <t>Panthera leo smacovirus 1</t>
  </si>
  <si>
    <t>Alion5_lot1_3</t>
  </si>
  <si>
    <t>MK796236</t>
  </si>
  <si>
    <t>Lynx rufus smacovirus 2</t>
  </si>
  <si>
    <t>LSF25_523</t>
  </si>
  <si>
    <t>MK796235</t>
  </si>
  <si>
    <t>Macaca mulatta feces associated virus 7</t>
  </si>
  <si>
    <t>cg1341</t>
  </si>
  <si>
    <t>KU043421</t>
  </si>
  <si>
    <t>Macaca mulatta feces associated virus 4</t>
  </si>
  <si>
    <t>cg10375</t>
  </si>
  <si>
    <t>KU043429</t>
  </si>
  <si>
    <t>Macaca mulatta feces associated virus 3</t>
  </si>
  <si>
    <t>Masavirus</t>
  </si>
  <si>
    <t>KU058671</t>
  </si>
  <si>
    <t>Macaca mulatta feces associated virus 2</t>
  </si>
  <si>
    <t>1705_10199</t>
  </si>
  <si>
    <t>KU043403</t>
  </si>
  <si>
    <t>macaque stool associated virus 11</t>
  </si>
  <si>
    <t>ctfe71</t>
  </si>
  <si>
    <t>MH616866</t>
  </si>
  <si>
    <t>Macaca mulatta feces associated virus 10</t>
  </si>
  <si>
    <t>cg3401</t>
  </si>
  <si>
    <t>KU043396</t>
  </si>
  <si>
    <t>Chlorocebus cynosuros associated smacovirus</t>
  </si>
  <si>
    <t>ZM09-86</t>
  </si>
  <si>
    <t>LC386195</t>
  </si>
  <si>
    <t>bpk075sma01</t>
  </si>
  <si>
    <t>MN928919</t>
  </si>
  <si>
    <t>porcine associated stool circular virus</t>
  </si>
  <si>
    <t>Cass</t>
  </si>
  <si>
    <t>JX274036</t>
  </si>
  <si>
    <t>porcine faeces associated smacovirus 1</t>
  </si>
  <si>
    <t>49_Fec25_pig</t>
  </si>
  <si>
    <t>KT862225</t>
  </si>
  <si>
    <t>porcine associated porprismacovirus</t>
  </si>
  <si>
    <t>17499x73_1865</t>
  </si>
  <si>
    <t>MH111138</t>
  </si>
  <si>
    <t>17499x3_679</t>
  </si>
  <si>
    <t>MH500297</t>
  </si>
  <si>
    <t>17499x80_1385</t>
  </si>
  <si>
    <t>MH500303</t>
  </si>
  <si>
    <t>17489x67_1878</t>
  </si>
  <si>
    <t>MH500301</t>
  </si>
  <si>
    <t>17499x75_2040</t>
  </si>
  <si>
    <t>MH500286</t>
  </si>
  <si>
    <t>17489x75_2609</t>
  </si>
  <si>
    <t>MH500298</t>
  </si>
  <si>
    <t>17668x35_2540</t>
  </si>
  <si>
    <t>MH500284</t>
  </si>
  <si>
    <t>17668x43_2798</t>
  </si>
  <si>
    <t>MH111148</t>
  </si>
  <si>
    <t>17489x27_1438</t>
  </si>
  <si>
    <t>MH111126</t>
  </si>
  <si>
    <t>porcine stool-associated circular virus 2</t>
  </si>
  <si>
    <t>f</t>
  </si>
  <si>
    <t>KC545226</t>
  </si>
  <si>
    <t>17499x31_375</t>
  </si>
  <si>
    <t>MH500289</t>
  </si>
  <si>
    <t>porcine stool-associated circular virus 3</t>
  </si>
  <si>
    <t>3L7</t>
  </si>
  <si>
    <t>KC545227</t>
  </si>
  <si>
    <t>porcine stool-associated circular virus 1</t>
  </si>
  <si>
    <t>DP2</t>
  </si>
  <si>
    <t>KJ577810</t>
  </si>
  <si>
    <t>DP3</t>
  </si>
  <si>
    <t>KJ577811</t>
  </si>
  <si>
    <t>porcine stool-associated circular virus 6</t>
  </si>
  <si>
    <t>XP1</t>
  </si>
  <si>
    <t>KJ577819</t>
  </si>
  <si>
    <t>porcine stool-associated circular virus 7</t>
  </si>
  <si>
    <t>EP2-A</t>
  </si>
  <si>
    <t>KJ577812</t>
  </si>
  <si>
    <t>porcine stool-associated circular virus 8</t>
  </si>
  <si>
    <t>GP2</t>
  </si>
  <si>
    <t>KJ577817</t>
  </si>
  <si>
    <t>porcine stool-associated circular virus 9</t>
  </si>
  <si>
    <t>FP1</t>
  </si>
  <si>
    <t>KJ577816</t>
  </si>
  <si>
    <t>rat stool-associated circular ssDNA virus</t>
  </si>
  <si>
    <t>KS/11/0577</t>
  </si>
  <si>
    <t>KP860906</t>
  </si>
  <si>
    <t>sheep faeces associated smacovirus 1</t>
  </si>
  <si>
    <t>47_Fec58729_sheep</t>
  </si>
  <si>
    <t>KT862220</t>
  </si>
  <si>
    <t>sheep faeces associated smacovirus 2</t>
  </si>
  <si>
    <t>47_Fec60415_sheep</t>
  </si>
  <si>
    <t>KT862221</t>
  </si>
  <si>
    <t>sheep faeces associated smacovirus 3</t>
  </si>
  <si>
    <t>47_Fec58091_sheep</t>
  </si>
  <si>
    <t>KT862219</t>
  </si>
  <si>
    <t>turkey stool associated circular ssDNA virus</t>
  </si>
  <si>
    <t>TuSCV</t>
  </si>
  <si>
    <t>KF880727</t>
  </si>
  <si>
    <t>Simismacovirus</t>
  </si>
  <si>
    <t>ZM09-95</t>
  </si>
  <si>
    <t>LC386199</t>
  </si>
  <si>
    <t>ZM09-83</t>
  </si>
  <si>
    <t>LC386200</t>
  </si>
  <si>
    <t>Mulpavirales</t>
  </si>
  <si>
    <t>Amesuviridae</t>
  </si>
  <si>
    <t>Temfrudevirus</t>
  </si>
  <si>
    <t>temperate fruit decay-associated virus</t>
  </si>
  <si>
    <t>TFDaV</t>
  </si>
  <si>
    <t>MFB10</t>
  </si>
  <si>
    <t>KR134312</t>
  </si>
  <si>
    <t>Yermavirus</t>
  </si>
  <si>
    <t>yerba mate-associated circular DNA virus</t>
  </si>
  <si>
    <t>YMaCDV</t>
  </si>
  <si>
    <t>Jardim America</t>
  </si>
  <si>
    <t>MG748715</t>
  </si>
  <si>
    <t>Metaxyviridae</t>
  </si>
  <si>
    <t>Cofodevirus</t>
  </si>
  <si>
    <t>coconut foliar decay virus</t>
  </si>
  <si>
    <t>CFDV</t>
  </si>
  <si>
    <t>Nanoviridae</t>
  </si>
  <si>
    <t>Babuvirus</t>
  </si>
  <si>
    <t>abaca bunchy top virus</t>
  </si>
  <si>
    <t>ABTV</t>
  </si>
  <si>
    <t>Malaysia Q767</t>
  </si>
  <si>
    <t>Philippines Q1108</t>
  </si>
  <si>
    <t>banana bunchy top virus</t>
  </si>
  <si>
    <t>BBTV</t>
  </si>
  <si>
    <t>Australia</t>
  </si>
  <si>
    <t>Taiwan-severe</t>
  </si>
  <si>
    <t>cardamom bushy dwarf virus</t>
  </si>
  <si>
    <t>CdBDV</t>
  </si>
  <si>
    <t>Kalimpong</t>
  </si>
  <si>
    <t>PHO2</t>
  </si>
  <si>
    <t>Nanovirus</t>
  </si>
  <si>
    <t>black medic leaf roll virus</t>
  </si>
  <si>
    <t>BMLRV</t>
  </si>
  <si>
    <t>Bjuv-153</t>
  </si>
  <si>
    <t>AT-3 (Stadl-Paura_3)</t>
  </si>
  <si>
    <t>AZ-47 (Lerik-Xalifa_47)</t>
  </si>
  <si>
    <t>cow vetch latent virus</t>
  </si>
  <si>
    <t>CVLV</t>
  </si>
  <si>
    <t>Sambuc 2010</t>
  </si>
  <si>
    <t>DNA-C: MF535447; DNA-M: MF535448; DNA-N: MF535449; DNA-R: MF535450; DNA-S: MF535451; DNA-U1: MF535452; DNA-U2: MF535453; DNA-U4: MF535454</t>
  </si>
  <si>
    <t>faba bean necrotic stunt virus</t>
  </si>
  <si>
    <t>FBNSV</t>
  </si>
  <si>
    <t>Ethiopia:Hol-JKI-2000</t>
  </si>
  <si>
    <t>MA-Mor5</t>
  </si>
  <si>
    <t>faba bean necrotic yellows virus</t>
  </si>
  <si>
    <t>FBNYV</t>
  </si>
  <si>
    <t>Egyptian EV1-93</t>
  </si>
  <si>
    <t>MA-Mor23</t>
  </si>
  <si>
    <t>Sy4</t>
  </si>
  <si>
    <t>Mu29D</t>
  </si>
  <si>
    <t>faba bean yellow leaf virus</t>
  </si>
  <si>
    <t>FBYLV</t>
  </si>
  <si>
    <t>Eth-231</t>
  </si>
  <si>
    <t>milk vetch dwarf virus</t>
  </si>
  <si>
    <t>MDV</t>
  </si>
  <si>
    <t>VU</t>
  </si>
  <si>
    <t>parsley severe stunt associated virus</t>
  </si>
  <si>
    <t>PSSaV</t>
  </si>
  <si>
    <t>Pa21</t>
  </si>
  <si>
    <t>DNA-C: MK039128; DNA-M: MK039129; DNA-N: MK039130; DNA-R: MK039132; DNA-S: MK039133; DNA-U1: MK039134; DNA-U2: MK039135</t>
  </si>
  <si>
    <t>pea necrotic yellow dwarf virus</t>
  </si>
  <si>
    <t>PNYDV</t>
  </si>
  <si>
    <t>Drohndorf-15</t>
  </si>
  <si>
    <t>pea yellow stunt virus</t>
  </si>
  <si>
    <t>PYSV</t>
  </si>
  <si>
    <t>Glinzendorf-Marchfeld 15</t>
  </si>
  <si>
    <t>sophora yellow stunt virus</t>
  </si>
  <si>
    <t>SYSV</t>
  </si>
  <si>
    <t>Har:H13:Soph:17</t>
  </si>
  <si>
    <t>subterranean clover stunt virus</t>
  </si>
  <si>
    <t>SCSV</t>
  </si>
  <si>
    <t>Myall Vale 2534B</t>
  </si>
  <si>
    <t>F</t>
  </si>
  <si>
    <t>Recrevirales</t>
  </si>
  <si>
    <t>Redondoviridae</t>
  </si>
  <si>
    <t>Torbevirus</t>
  </si>
  <si>
    <t>human respiratory-associated brisavirus</t>
  </si>
  <si>
    <t>HuRaBV</t>
  </si>
  <si>
    <t>MRJ</t>
  </si>
  <si>
    <t>KY052047</t>
  </si>
  <si>
    <t>II</t>
  </si>
  <si>
    <t>human lung-associated brisavirus</t>
  </si>
  <si>
    <t>HuLaBV</t>
  </si>
  <si>
    <t>RC</t>
  </si>
  <si>
    <t>AA</t>
  </si>
  <si>
    <t>MD</t>
  </si>
  <si>
    <t>human gut-associated brisavirus</t>
  </si>
  <si>
    <t>HuGaBV</t>
  </si>
  <si>
    <t>VW</t>
  </si>
  <si>
    <t>human oral-associated brisavirus</t>
  </si>
  <si>
    <t>HuOaBV</t>
  </si>
  <si>
    <t>YH</t>
  </si>
  <si>
    <t>apis mellifera virus 1</t>
  </si>
  <si>
    <t>AMV</t>
  </si>
  <si>
    <t>BNH267</t>
  </si>
  <si>
    <t>human lung-associated vientovirus</t>
  </si>
  <si>
    <t>HuLaVV</t>
  </si>
  <si>
    <t>FB</t>
  </si>
  <si>
    <t>MK059763</t>
  </si>
  <si>
    <t>DC</t>
  </si>
  <si>
    <t>human gut-associated vientovirus</t>
  </si>
  <si>
    <t>HuGaVV</t>
  </si>
  <si>
    <t>MW</t>
  </si>
  <si>
    <t>JY</t>
  </si>
  <si>
    <t>ES</t>
  </si>
  <si>
    <t>JB</t>
  </si>
  <si>
    <t>AL</t>
  </si>
  <si>
    <t>LT</t>
  </si>
  <si>
    <t>human oral-associated vientovirus</t>
  </si>
  <si>
    <t>HuOaVV</t>
  </si>
  <si>
    <t>EC</t>
  </si>
  <si>
    <t>XM</t>
  </si>
  <si>
    <t>AV</t>
  </si>
  <si>
    <t>MC</t>
  </si>
  <si>
    <t>LZ</t>
  </si>
  <si>
    <t>human respiratory-associated vientovirus</t>
  </si>
  <si>
    <t>HuRaVV</t>
  </si>
  <si>
    <t>Rivendellvirales</t>
  </si>
  <si>
    <t>Naryaviridae</t>
  </si>
  <si>
    <t>Menegrothvirus</t>
  </si>
  <si>
    <t>Marmot associated feces virus 4</t>
  </si>
  <si>
    <t>MAR17_3_2236</t>
  </si>
  <si>
    <t>MT181534</t>
  </si>
  <si>
    <t>Nauglamirvirus</t>
  </si>
  <si>
    <t>Chicken virus mg5_2876</t>
  </si>
  <si>
    <t>mg5_2876</t>
  </si>
  <si>
    <t>MN379590</t>
  </si>
  <si>
    <t>Nimphelosvirus</t>
  </si>
  <si>
    <t>Entamoeba-associated CRESS DNA virus 1</t>
  </si>
  <si>
    <t>MT293410</t>
  </si>
  <si>
    <t>84-AMS-03</t>
  </si>
  <si>
    <t>MT293413</t>
  </si>
  <si>
    <t>Phialvirus</t>
  </si>
  <si>
    <t>Entamoeba-associated CRESS DNA virus 2</t>
  </si>
  <si>
    <t>MT293414</t>
  </si>
  <si>
    <t>Rohanvirales</t>
  </si>
  <si>
    <t>Nenyaviridae</t>
  </si>
  <si>
    <t>Angainorvirus</t>
  </si>
  <si>
    <t>Entamoeba-associated CRESS DNA virus 4</t>
  </si>
  <si>
    <t>MT293418</t>
  </si>
  <si>
    <t>Galvornvirus</t>
  </si>
  <si>
    <t>Circoviridae sp.</t>
  </si>
  <si>
    <t>ctga69</t>
  </si>
  <si>
    <t>MH617639</t>
  </si>
  <si>
    <t>Mazarbulvirus</t>
  </si>
  <si>
    <t>Entamoeba-associated CRESS DNA virus 3</t>
  </si>
  <si>
    <t>MT293416</t>
  </si>
  <si>
    <t>Mithrilvirus</t>
  </si>
  <si>
    <t>Odonata-associated circular virus-14</t>
  </si>
  <si>
    <t>OdasCV-14-US-1577SC3-12</t>
  </si>
  <si>
    <t>KM598397</t>
  </si>
  <si>
    <t>Valinorvirus</t>
  </si>
  <si>
    <t>KY487839</t>
  </si>
  <si>
    <t>CG171</t>
  </si>
  <si>
    <t>KY487840</t>
  </si>
  <si>
    <t>Repensiviricetes</t>
  </si>
  <si>
    <t>Geplafuvirales</t>
  </si>
  <si>
    <t>Geminiviridae</t>
  </si>
  <si>
    <t>Becurtovirus</t>
  </si>
  <si>
    <t>beet curly top Iran virus</t>
  </si>
  <si>
    <t>BCTIV/A</t>
  </si>
  <si>
    <t>Iran/Kerman/2005/A</t>
  </si>
  <si>
    <t>EU273818</t>
  </si>
  <si>
    <t>BCTIV/B</t>
  </si>
  <si>
    <t>Iran/Tabadkan/90/Cowpea/2010/B</t>
  </si>
  <si>
    <t>BCTIV/C</t>
  </si>
  <si>
    <t>Iran/Neyshabour/115/Bean/2010/C</t>
  </si>
  <si>
    <t>BCTIV/D</t>
  </si>
  <si>
    <t>Iran/Tabriz/8RB/Red beet/2010/D</t>
  </si>
  <si>
    <t>Exomis microphylla associated virus</t>
  </si>
  <si>
    <t>EmLV</t>
  </si>
  <si>
    <t>2-90-C1</t>
  </si>
  <si>
    <t>MG001960</t>
  </si>
  <si>
    <t>spinach curly top Arizona virus</t>
  </si>
  <si>
    <t>SCTAV</t>
  </si>
  <si>
    <t>United States/Arizona/2009</t>
  </si>
  <si>
    <t>HQ443515</t>
  </si>
  <si>
    <t>Begomovirus</t>
  </si>
  <si>
    <t>Abutilon golden mosaic virus</t>
  </si>
  <si>
    <t>AbGMV</t>
  </si>
  <si>
    <t>Mexico/Yucatan/2007</t>
  </si>
  <si>
    <t>DNA-A: KC430935</t>
  </si>
  <si>
    <t>Abutilon mosaic Bolivia virus</t>
  </si>
  <si>
    <t>AbMBoV</t>
  </si>
  <si>
    <t>Bolivia/2007</t>
  </si>
  <si>
    <t>DNA-A: HM585445; DNA-B: HM585446</t>
  </si>
  <si>
    <t>Abutilon mosaic Brazil virus</t>
  </si>
  <si>
    <t>AbMBV</t>
  </si>
  <si>
    <t>Brazil/BGV01A.1.C21</t>
  </si>
  <si>
    <t>Abutilon mosaic virus</t>
  </si>
  <si>
    <t>AbMV</t>
  </si>
  <si>
    <t>Germany</t>
  </si>
  <si>
    <t>DNA-A: X15983; DNA-B: X15984</t>
  </si>
  <si>
    <t>African cassava mosaic Burkina Faso virus</t>
  </si>
  <si>
    <t>ACMBFV</t>
  </si>
  <si>
    <t>BF-Oua-127-08</t>
  </si>
  <si>
    <t>DNA-A: HE616777; DNA-B: HE616778</t>
  </si>
  <si>
    <t>African cassava mosaic virus</t>
  </si>
  <si>
    <t>ACMV</t>
  </si>
  <si>
    <t>Cameroon/1998</t>
  </si>
  <si>
    <t>DNA-A: J02057; DNA-B: J02058</t>
  </si>
  <si>
    <t>Ageratum enation virus</t>
  </si>
  <si>
    <t>AEV/NP</t>
  </si>
  <si>
    <t>Nepal/1999/Nepal</t>
  </si>
  <si>
    <t>AEV/IN</t>
  </si>
  <si>
    <t>India/Kangra/2008/India</t>
  </si>
  <si>
    <t>AEV/UP</t>
  </si>
  <si>
    <t>India/Uttar Pradesh/SKS/P/2010/Uttar Pradesh</t>
  </si>
  <si>
    <t>Ageratum leaf curl Sichuan virus</t>
  </si>
  <si>
    <t>ALCScV</t>
  </si>
  <si>
    <t>CN-Sc-SC770-16</t>
  </si>
  <si>
    <t>Ageratum leaf curl virus</t>
  </si>
  <si>
    <t>ALCuV</t>
  </si>
  <si>
    <t>China/Guangxi 52/2003</t>
  </si>
  <si>
    <t>Ageratum yellow vein Hualian virus</t>
  </si>
  <si>
    <t>AYVV/Hua</t>
  </si>
  <si>
    <t>Taiwan/Hualian 4/2000</t>
  </si>
  <si>
    <t>DNA-A: DQ866132</t>
  </si>
  <si>
    <t>AYVV/Hsi</t>
  </si>
  <si>
    <t>Taiwan/Hsinchu/Tom/2003/Hsinchu</t>
  </si>
  <si>
    <t>Ageratum yellow vein Sri Lanka virus</t>
  </si>
  <si>
    <t>AYVSLV</t>
  </si>
  <si>
    <t>Sri Lanka/1999</t>
  </si>
  <si>
    <t>DNA-A: AF314144</t>
  </si>
  <si>
    <t>Ageratum yellow vein virus</t>
  </si>
  <si>
    <t>AYVV/Gx</t>
  </si>
  <si>
    <t>China/Guangxi 129/2005/Guanxi</t>
  </si>
  <si>
    <t>DNA-A: AJ495813</t>
  </si>
  <si>
    <t>AYVV</t>
  </si>
  <si>
    <t>Japan/Soybean crinkle leaf</t>
  </si>
  <si>
    <t>AYVV/CN</t>
  </si>
  <si>
    <t>China/Tomato/2012/China</t>
  </si>
  <si>
    <t>AYVV/ID</t>
  </si>
  <si>
    <t>Indonesia/Tomato/Indonesia</t>
  </si>
  <si>
    <t>AYVV/Ka</t>
  </si>
  <si>
    <t>Thailand/Kamphaengsaen/AFSP3d/2010/Kamphaengsaen</t>
  </si>
  <si>
    <t>AYVV/NN</t>
  </si>
  <si>
    <t>China/Nanning/NN1/2009/Nanning</t>
  </si>
  <si>
    <t>AYVV/PH</t>
  </si>
  <si>
    <t>Philippines/Mindanao/2007/Philippines</t>
  </si>
  <si>
    <t>AYVV/SG</t>
  </si>
  <si>
    <t>Japan/Ishigaki/2005/Singapore</t>
  </si>
  <si>
    <t>AYVV/TW</t>
  </si>
  <si>
    <t>Taiwan/Tainan/1999/Taiwan</t>
  </si>
  <si>
    <t>AYVV/TH</t>
  </si>
  <si>
    <t>Thailand/Kamphaengsaen/AFSP6b/2010/Thailand</t>
  </si>
  <si>
    <t>Allamanda leaf curl virus</t>
  </si>
  <si>
    <t>AllLCV/A</t>
  </si>
  <si>
    <t>China/Guandong 10/2006</t>
  </si>
  <si>
    <t>DNA-A: EF602306</t>
  </si>
  <si>
    <t>Allamanda leaf mottle distortion virus</t>
  </si>
  <si>
    <t>AllLMoDV</t>
  </si>
  <si>
    <t>India-Al_K1-2012</t>
  </si>
  <si>
    <t>DNA-A: KC202818; DNA-B: MG969497</t>
  </si>
  <si>
    <t>Alternanthera yellow vein virus</t>
  </si>
  <si>
    <t>AlYVV</t>
  </si>
  <si>
    <t>China/Guangxi/G38/2005</t>
  </si>
  <si>
    <t>DNA-A: AJ965540</t>
  </si>
  <si>
    <t>AlYVV/A</t>
  </si>
  <si>
    <t>China/Fujian 22/2006/A</t>
  </si>
  <si>
    <t>AlYVV/B</t>
  </si>
  <si>
    <t>China/Fujian/PT1/2006/B</t>
  </si>
  <si>
    <t>Andrographis yellow vein leaf curl virus</t>
  </si>
  <si>
    <t>AnYVLCV</t>
  </si>
  <si>
    <t>India-A64-2012</t>
  </si>
  <si>
    <t>Asystasia mosaic Madagascar virus</t>
  </si>
  <si>
    <t>AsMMV</t>
  </si>
  <si>
    <t>Madagascar-MG493-2011</t>
  </si>
  <si>
    <t>bean bushy stunt virus</t>
  </si>
  <si>
    <t>BBSV</t>
  </si>
  <si>
    <t>AR- General Mosconi-17</t>
  </si>
  <si>
    <t>bean calico mosaic virus</t>
  </si>
  <si>
    <t>BChV</t>
  </si>
  <si>
    <t>Mexico/Sonora/1986</t>
  </si>
  <si>
    <t>DNA-A: AF110189; DNA-B: AF110190</t>
  </si>
  <si>
    <t>bean chlorosis virus</t>
  </si>
  <si>
    <t>BChMV</t>
  </si>
  <si>
    <t>Venezuela/LaBarinesa459/2006</t>
  </si>
  <si>
    <t>DNA-A: JN848770; DNA-B: JN848771</t>
  </si>
  <si>
    <t>bean dwarf mosaic virus</t>
  </si>
  <si>
    <t>BDMV</t>
  </si>
  <si>
    <t>Colombia/1987</t>
  </si>
  <si>
    <t>DNA-A: M88179; DNA-B: M88180</t>
  </si>
  <si>
    <t>bean golden mosaic virus</t>
  </si>
  <si>
    <t>BGMV</t>
  </si>
  <si>
    <t>Brazil/Campinas 1/1978</t>
  </si>
  <si>
    <t>DNA-A: M88686; DNA-B: M88687</t>
  </si>
  <si>
    <t>BGMV/Ala</t>
  </si>
  <si>
    <t>Brazil/Mac2/2010/Alagoas</t>
  </si>
  <si>
    <t>bean golden yellow mosaic virus</t>
  </si>
  <si>
    <t>BGYMV</t>
  </si>
  <si>
    <t>Dominican Republic/1987</t>
  </si>
  <si>
    <t>DNA-A: L01635; DNA-B: L01636</t>
  </si>
  <si>
    <t>bean latent virus</t>
  </si>
  <si>
    <t>BLV</t>
  </si>
  <si>
    <t>MX-Nayarit CN30-14</t>
  </si>
  <si>
    <t>bean leaf crumple virus</t>
  </si>
  <si>
    <t>BLCrV</t>
  </si>
  <si>
    <t>CO-HA-15</t>
  </si>
  <si>
    <t>bean white chlorosis mosaic virus</t>
  </si>
  <si>
    <t>BWCMV</t>
  </si>
  <si>
    <t>JN848772</t>
  </si>
  <si>
    <t>DNA-A: JN848772; DNA-B: JQ283246</t>
  </si>
  <si>
    <t>bean yellow mosaic Mexico virus</t>
  </si>
  <si>
    <t>BYMMxV</t>
  </si>
  <si>
    <t>Mexico/06.05.11/2011</t>
  </si>
  <si>
    <t>DNA-A: FJ944023</t>
  </si>
  <si>
    <t>bhendi yellow vein Bhubhaneswar virus</t>
  </si>
  <si>
    <t>BYVBhV</t>
  </si>
  <si>
    <t>India/Orissa/2003</t>
  </si>
  <si>
    <t>DNA-A: FJ589571</t>
  </si>
  <si>
    <t>bhendi yellow vein Haryana virus</t>
  </si>
  <si>
    <t>BYVHV</t>
  </si>
  <si>
    <t>IN-OY76-03</t>
  </si>
  <si>
    <t>bhendi yellow vein mosaic Delhi virus</t>
  </si>
  <si>
    <t>BYVMDV</t>
  </si>
  <si>
    <t>IN-OY131-04</t>
  </si>
  <si>
    <t>bhendi yellow vein mosaic virus</t>
  </si>
  <si>
    <t>BYVMV/IN</t>
  </si>
  <si>
    <t>India/Madurai/India</t>
  </si>
  <si>
    <t>DNA-A: AF241479</t>
  </si>
  <si>
    <t>BYVMV</t>
  </si>
  <si>
    <t>India/Maharashtra/NOL751</t>
  </si>
  <si>
    <t>Pakistan/Faisalabad 201/1995/Pakistan</t>
  </si>
  <si>
    <t>India/Coimbatore 4/2004/Tamil Nadu</t>
  </si>
  <si>
    <t>India/Thanagan/2005/Thanagan</t>
  </si>
  <si>
    <t>bitter gourd yellow mosaic virus</t>
  </si>
  <si>
    <t>BgYMV</t>
  </si>
  <si>
    <t>IN-17</t>
  </si>
  <si>
    <t>DNA-A: MH481856; DNA-B: MK116876</t>
  </si>
  <si>
    <t>Blainvillea yellow spot virus</t>
  </si>
  <si>
    <t>BlYSV</t>
  </si>
  <si>
    <t>Brazil/Coi25/2007</t>
  </si>
  <si>
    <t>DNA-A: EU710756; DNA-B: EU710757</t>
  </si>
  <si>
    <t>Blechum interveinal chlorosis virus</t>
  </si>
  <si>
    <t>BleICV</t>
  </si>
  <si>
    <t>Mexico/Campeche/2011</t>
  </si>
  <si>
    <t>DNA-A: JX827487; DNA-B: JX827488</t>
  </si>
  <si>
    <t>Blechum yellow vein virus</t>
  </si>
  <si>
    <t>BleYVV</t>
  </si>
  <si>
    <t>TW-W1-12</t>
  </si>
  <si>
    <t>Boerhavia yellow spot virus</t>
  </si>
  <si>
    <t>BoYSV</t>
  </si>
  <si>
    <t>Mexico/Yucatan/2005</t>
  </si>
  <si>
    <t>DNA-A: EF121755</t>
  </si>
  <si>
    <t>cabbage leaf curl Jamaica virus</t>
  </si>
  <si>
    <t>CabLCJV</t>
  </si>
  <si>
    <t>Jamaica/CUc3/2005</t>
  </si>
  <si>
    <t>DNA-A: DQ178608; DNA-B: DQ178609</t>
  </si>
  <si>
    <t>cabbage leaf curl virus</t>
  </si>
  <si>
    <t>CabLCV</t>
  </si>
  <si>
    <t>United States/Florida/1996</t>
  </si>
  <si>
    <t>DNA-A: U65529; DNA-B: U65530</t>
  </si>
  <si>
    <t>Capraria yellow spot virus</t>
  </si>
  <si>
    <t>CarYSV</t>
  </si>
  <si>
    <t>Mexico/Yucatan/Conkal/2007</t>
  </si>
  <si>
    <t>DNA-A: KC426927; DNA-B: KC426928</t>
  </si>
  <si>
    <t>cassava mosaic Madagascar virus</t>
  </si>
  <si>
    <t>CMMGV</t>
  </si>
  <si>
    <t>Madgascar/Toliary/2006</t>
  </si>
  <si>
    <t>DNA-A: HE617299; DNA-B: HE617300</t>
  </si>
  <si>
    <t>Catharanthus yellow mosaic virus</t>
  </si>
  <si>
    <t>CaYMV</t>
  </si>
  <si>
    <t>Pakistan/Islamabad/DR151</t>
  </si>
  <si>
    <t>Centrosema yellow spot virus</t>
  </si>
  <si>
    <t>CeYSV</t>
  </si>
  <si>
    <t>Brazil/Car1/2009</t>
  </si>
  <si>
    <t>DNA-A: JN419002</t>
  </si>
  <si>
    <t>chayote yellow mosaic virus</t>
  </si>
  <si>
    <t>ChaYMV</t>
  </si>
  <si>
    <t>Nigeria/Ibadan</t>
  </si>
  <si>
    <t>DNA-A: AJ223191</t>
  </si>
  <si>
    <t>Chenopodium leaf curl virus</t>
  </si>
  <si>
    <t>ChLCV</t>
  </si>
  <si>
    <t>USA/Florida/Citra/2007</t>
  </si>
  <si>
    <t>chilli leaf curl Ahmedabad virus</t>
  </si>
  <si>
    <t>ChiLCAV</t>
  </si>
  <si>
    <t>IN-Ahm-14</t>
  </si>
  <si>
    <t>chilli leaf curl Bhavanisagar virus</t>
  </si>
  <si>
    <t>ChiLCBV</t>
  </si>
  <si>
    <t>IN-Bha-10</t>
  </si>
  <si>
    <t>chilli leaf curl Gonda virus</t>
  </si>
  <si>
    <t>ChiLCGV</t>
  </si>
  <si>
    <t>IN-Gon-13</t>
  </si>
  <si>
    <t>chilli leaf curl India virus</t>
  </si>
  <si>
    <t>ChiLCINV</t>
  </si>
  <si>
    <t>India/2008</t>
  </si>
  <si>
    <t>DNA-A: FM877858</t>
  </si>
  <si>
    <t>chilli leaf curl Kanpur virus</t>
  </si>
  <si>
    <t>ChiLCKaV</t>
  </si>
  <si>
    <t>India/Kampur/2008</t>
  </si>
  <si>
    <t>DNA-A: HM007106</t>
  </si>
  <si>
    <t>chilli leaf curl Sri Lanka virus</t>
  </si>
  <si>
    <t>ChiLCSLV</t>
  </si>
  <si>
    <t>LK-CL14-09</t>
  </si>
  <si>
    <t>chilli leaf curl Vellanad virus</t>
  </si>
  <si>
    <t>ChiLCVV</t>
  </si>
  <si>
    <t>India/Vellanad/2008</t>
  </si>
  <si>
    <t>DNA-A: HM007121</t>
  </si>
  <si>
    <t>chilli leaf curl virus</t>
  </si>
  <si>
    <t>ChiLCV/PK</t>
  </si>
  <si>
    <t>Pakistan/Multan/1998/Pakistan</t>
  </si>
  <si>
    <t>DNA-A: AF336806</t>
  </si>
  <si>
    <t>ChiLCV/IN</t>
  </si>
  <si>
    <t>India/Amritsar/Papaya/2009/India</t>
  </si>
  <si>
    <t>ChiLCV</t>
  </si>
  <si>
    <t>Bangladesh/Gazipur</t>
  </si>
  <si>
    <t>ChiLCV/Chi</t>
  </si>
  <si>
    <t>India/Chilli/2005/Chilli</t>
  </si>
  <si>
    <t>ChiLCV/JO</t>
  </si>
  <si>
    <t>India/Pondalu/Hibiscus/2007/Joydebpur</t>
  </si>
  <si>
    <t>ChiLCV/Kha</t>
  </si>
  <si>
    <t>Pakistan/Khanewal/2004/Khanewal</t>
  </si>
  <si>
    <t>chino del tomate Amazonas virus</t>
  </si>
  <si>
    <t>CdTAV</t>
  </si>
  <si>
    <t>Brazil/AM10/2007</t>
  </si>
  <si>
    <t>DNA-A: HM357461</t>
  </si>
  <si>
    <t>chino del tomate virus</t>
  </si>
  <si>
    <t>CdTV/To</t>
  </si>
  <si>
    <t>Mexico/Sinaloa IC/1983/Tomato</t>
  </si>
  <si>
    <t>DNA-A: AF101476; DNA-B: AF101478</t>
  </si>
  <si>
    <t>CdTV</t>
  </si>
  <si>
    <t>Mexico/Iguala</t>
  </si>
  <si>
    <t>CdTV/Sb</t>
  </si>
  <si>
    <t>Mexico/Sinaloa/2005/Soybean</t>
  </si>
  <si>
    <t>Cleome golden mosaic virus</t>
  </si>
  <si>
    <t>CleGMV</t>
  </si>
  <si>
    <t>Brazil/BA 05/2007</t>
  </si>
  <si>
    <t>DNA-A: HQ396465</t>
  </si>
  <si>
    <t>Cleome leaf crumple virus</t>
  </si>
  <si>
    <t>CleLCrV</t>
  </si>
  <si>
    <t>Brazil/BgV05A.1.C75</t>
  </si>
  <si>
    <t>DNA-A: JF694461; DNA-B: JF694462</t>
  </si>
  <si>
    <t>Clerodendron golden mosaic virus</t>
  </si>
  <si>
    <t>ClGMV</t>
  </si>
  <si>
    <t>Vietnam/Sonla/2005</t>
  </si>
  <si>
    <t>DNA-A: DQ641692; DNA-B: DQ641693</t>
  </si>
  <si>
    <t>Clerodendron yellow mosaic virus</t>
  </si>
  <si>
    <t>ClYMV</t>
  </si>
  <si>
    <t>India/Iari/2006</t>
  </si>
  <si>
    <t>Clerodendrum golden mosaic China virus</t>
  </si>
  <si>
    <t>ClGMCNV/Fu</t>
  </si>
  <si>
    <t>China/Fuzhou 7/2007/Fuzon</t>
  </si>
  <si>
    <t>DNA-A: FJ011668; DNA-B: FJ011669</t>
  </si>
  <si>
    <t>ClGMCNV/Ji</t>
  </si>
  <si>
    <t>China/Jiangsu XY1/2008/Jiangsu</t>
  </si>
  <si>
    <t>Clerodendrum golden mosaic Jiangsu virus</t>
  </si>
  <si>
    <t>ClGMJsV</t>
  </si>
  <si>
    <t>China/Jiangsu XY2/2008</t>
  </si>
  <si>
    <t>DNA-A: FN396966</t>
  </si>
  <si>
    <t>Cnidoscolus mosaic leaf deformation virus</t>
  </si>
  <si>
    <t>CnMLDV</t>
  </si>
  <si>
    <t>Brazil-Mes3-2015</t>
  </si>
  <si>
    <t>DNA-A: KT966771; DNA-B: KT966772</t>
  </si>
  <si>
    <t>Coccinia mosaic Tamil Nadu virus</t>
  </si>
  <si>
    <t>CMTNV</t>
  </si>
  <si>
    <t>India-TDVCoc1-2013</t>
  </si>
  <si>
    <t>common bean mottle virus</t>
  </si>
  <si>
    <t>CBMoV</t>
  </si>
  <si>
    <t>Cuba-May6-2014</t>
  </si>
  <si>
    <t>DNA-A: KX011473; DNA-B: KX011474</t>
  </si>
  <si>
    <t>common bean severe mosaic virus</t>
  </si>
  <si>
    <t>CBSMV</t>
  </si>
  <si>
    <t>Cuba-May99-2014</t>
  </si>
  <si>
    <t>DNA-A: KX011475; DNA-B: KX096982</t>
  </si>
  <si>
    <t>Corchorus golden mosaic virus</t>
  </si>
  <si>
    <t>CoGMV/Ha</t>
  </si>
  <si>
    <t>Vietnam/Hanoi/2005/Hanoi</t>
  </si>
  <si>
    <t>DNA-A: DQ641688; DNA-B: DQ641689</t>
  </si>
  <si>
    <t>CoGMV/IN</t>
  </si>
  <si>
    <t>India/Bahraich/2008/India</t>
  </si>
  <si>
    <t>Corchorus yellow spot virus</t>
  </si>
  <si>
    <t>CoYSV</t>
  </si>
  <si>
    <t>DNA-A: DQ875868; DNA-B: DQ875869</t>
  </si>
  <si>
    <t>Corchorus yellow vein Cuba virus</t>
  </si>
  <si>
    <t>CoYVCUV</t>
  </si>
  <si>
    <t>CU-Co705-1-13</t>
  </si>
  <si>
    <t>Corchorus yellow vein mosaic virus</t>
  </si>
  <si>
    <t>CoYV</t>
  </si>
  <si>
    <t>India/Maharashtra/CEA8/2011</t>
  </si>
  <si>
    <t>Corchorus yellow vein virus</t>
  </si>
  <si>
    <t>CoYVV</t>
  </si>
  <si>
    <t>Vietnam/Hoa Binh/2000</t>
  </si>
  <si>
    <t>DNA-A: AY727903; DNA-B: AY727904</t>
  </si>
  <si>
    <t>cotton chlorotic spot virus</t>
  </si>
  <si>
    <t>CoChSpV</t>
  </si>
  <si>
    <t>Brazil/CampinaGrandeB012/2009</t>
  </si>
  <si>
    <t>DNA-A: KF358470; DNA-B: KF358471</t>
  </si>
  <si>
    <t>cotton leaf crumple virus</t>
  </si>
  <si>
    <t>CLCrV/AZ</t>
  </si>
  <si>
    <t>Mexico/Sonora/1991/Arizona</t>
  </si>
  <si>
    <t>DNA-A: AF480940; DNA-B: AF480941</t>
  </si>
  <si>
    <t>CLCrV/TX</t>
  </si>
  <si>
    <t>United States/Texas/1991/Texas</t>
  </si>
  <si>
    <t>cotton leaf curl Alabad virus</t>
  </si>
  <si>
    <t>CLCuAlV/Al</t>
  </si>
  <si>
    <t>Pakistan/Alabad 804a/1996/Alabad</t>
  </si>
  <si>
    <t>DNA-A: AJ002455</t>
  </si>
  <si>
    <t>CLCuAlV/Ha</t>
  </si>
  <si>
    <t>India/Karnal/OY77/Okra/2005/Haryana</t>
  </si>
  <si>
    <t>CLCuAlV/Ka</t>
  </si>
  <si>
    <t>India/Karnal/OY81B/Okra/2005/Karnal</t>
  </si>
  <si>
    <t>CLCuAlV/Lo</t>
  </si>
  <si>
    <t>Pakistan/Multan/Lobatum/2006/Lobatum</t>
  </si>
  <si>
    <t>CLCuAlV/Mu</t>
  </si>
  <si>
    <t>Pakistan/Multan/Punctatum/2006/Multan</t>
  </si>
  <si>
    <t>cotton leaf curl Bangalore virus</t>
  </si>
  <si>
    <t>CLCuBaV</t>
  </si>
  <si>
    <t>India/Bangalore/2004</t>
  </si>
  <si>
    <t>DNA-A: AY705380</t>
  </si>
  <si>
    <t>cotton leaf curl Barasat virus</t>
  </si>
  <si>
    <t>CLCuBarV</t>
  </si>
  <si>
    <t>India-2014</t>
  </si>
  <si>
    <t>DNA-A: LC080677</t>
  </si>
  <si>
    <t>cotton leaf curl Gezira virus</t>
  </si>
  <si>
    <t>CLCuGeV/SD</t>
  </si>
  <si>
    <t>Sudan/Gezira/1996/Sudan</t>
  </si>
  <si>
    <t>DNA-A: AF260241</t>
  </si>
  <si>
    <t>CLCuGeV/BF</t>
  </si>
  <si>
    <t>Burkina Faso/Bazega/Okra/2009/Burkina Faso</t>
  </si>
  <si>
    <t>CLCuGeV/Ca</t>
  </si>
  <si>
    <t>Egypt/Cairo/Hollyhock/Cairo</t>
  </si>
  <si>
    <t>CLCuGeV/CM</t>
  </si>
  <si>
    <t>Cameroon/Muea/Okra/2008/Cameroon</t>
  </si>
  <si>
    <t>CLCuGeV/EG</t>
  </si>
  <si>
    <t>Egypt/Aswan/Okra/Egypt</t>
  </si>
  <si>
    <t>CLCuGeV/Ho</t>
  </si>
  <si>
    <t>Egypt/Giza/Hollyhock/Hollyhock</t>
  </si>
  <si>
    <t>CLCuGeV/Ly</t>
  </si>
  <si>
    <t>Cameroon/Lysoka11/Okra/2008/Lysoka</t>
  </si>
  <si>
    <t>CLCuGeV/MG</t>
  </si>
  <si>
    <t>Madagascar/Fort Dauphin/bean/2001/Madagascar</t>
  </si>
  <si>
    <t>CLCuGeV/ML</t>
  </si>
  <si>
    <t>Mali/Bamako/Okra/2006/Mali</t>
  </si>
  <si>
    <t>CLCuGeV/NE</t>
  </si>
  <si>
    <t>Niger/Niamey2/Okra/2007/Niger</t>
  </si>
  <si>
    <t>CLCuGeV/Ok</t>
  </si>
  <si>
    <t>Sudan/Okra/2007/Okra</t>
  </si>
  <si>
    <t>cotton leaf curl Kokhran virus</t>
  </si>
  <si>
    <t>CLCuKoV/Ko</t>
  </si>
  <si>
    <t>Pakistan/Manisal 806b/1996/Kokhran</t>
  </si>
  <si>
    <t>DNA-A: AJ002449</t>
  </si>
  <si>
    <t>CLCuKoV/Bu</t>
  </si>
  <si>
    <t>Pakistan/Vehari/2006/Burewala</t>
  </si>
  <si>
    <t>CLCuKoV/La</t>
  </si>
  <si>
    <t>Pakistan/Layyah/2011/Layyah</t>
  </si>
  <si>
    <t>CLCuKoV/Lu</t>
  </si>
  <si>
    <t>India/Lucknow/Cyamopsis tetragonoloba/Bean/2010/Lucknow</t>
  </si>
  <si>
    <t>CLCuKoV/Sha</t>
  </si>
  <si>
    <t>Pakistan/Shadadpur/2005/Shadadpur</t>
  </si>
  <si>
    <t>cotton leaf curl Multan virus</t>
  </si>
  <si>
    <t>CLCuMuV/Dar</t>
  </si>
  <si>
    <t>Pakistan/Multan/Darwinii 1/2006/Darwinii</t>
  </si>
  <si>
    <t>DNA-A: EU365613</t>
  </si>
  <si>
    <t>CLCuMuV/Fai</t>
  </si>
  <si>
    <t>Pakistan/Yazman 62/1995/Faisalabad</t>
  </si>
  <si>
    <t>CLCuMuV/Hib</t>
  </si>
  <si>
    <t>India/Hibiscus1/2011/Hibiscus</t>
  </si>
  <si>
    <t>CLCuMuV/His</t>
  </si>
  <si>
    <t>Pakistan/Multan/H65/1/1997/Hisar</t>
  </si>
  <si>
    <t>CLCuMuV/PK</t>
  </si>
  <si>
    <t>Pakistan/Multan/Davidsonii/2006/Pakistan</t>
  </si>
  <si>
    <t>CLCuMuV/Ra</t>
  </si>
  <si>
    <t>India/Sriganganagar/1994/Rajasthan</t>
  </si>
  <si>
    <t>cotton yellow mosaic virus</t>
  </si>
  <si>
    <t>CYMV</t>
  </si>
  <si>
    <t>Benin-Gos_San2-2014</t>
  </si>
  <si>
    <t>DNA-A: KU683748; DNA-B: KU683750</t>
  </si>
  <si>
    <t>cowpea bright yellow mosaic virus</t>
  </si>
  <si>
    <t>CoBYMV</t>
  </si>
  <si>
    <t>DNA-A: MH469731; DNA-B: MH469732</t>
  </si>
  <si>
    <t>cowpea golden mosaic virus</t>
  </si>
  <si>
    <t>CPGMV</t>
  </si>
  <si>
    <t>Nigeria/Nsukka/1990</t>
  </si>
  <si>
    <t>DNA-A: AF029217</t>
  </si>
  <si>
    <t>Crassocephalum yellow vein virus</t>
  </si>
  <si>
    <t>CraYVV</t>
  </si>
  <si>
    <t>China/Jinhong/2005</t>
  </si>
  <si>
    <t>Croton golden mosaic virus</t>
  </si>
  <si>
    <t>CroGMV</t>
  </si>
  <si>
    <t>CO-Fl_Va-14</t>
  </si>
  <si>
    <t>DNA-A: KX156613; DNA-B: KX156614</t>
  </si>
  <si>
    <t>croton yellow vein mosaic virus</t>
  </si>
  <si>
    <t>CroYVMV</t>
  </si>
  <si>
    <t>India</t>
  </si>
  <si>
    <t>cucumber chlorotic leaf virus</t>
  </si>
  <si>
    <t>CuChLV</t>
  </si>
  <si>
    <t>MX-Colima-18</t>
  </si>
  <si>
    <t>cucurbit leaf crumple virus</t>
  </si>
  <si>
    <t>CuLCrV</t>
  </si>
  <si>
    <t>United States/Arizona/1991</t>
  </si>
  <si>
    <t>DNA-A: AF224760; DNA-B: AF224761</t>
  </si>
  <si>
    <t>Dalechampia chlorotic mosaic virus</t>
  </si>
  <si>
    <t>DaChMV</t>
  </si>
  <si>
    <t>Venezuela/Albarico1020/2007</t>
  </si>
  <si>
    <t>DNA-A: JN848775; DNA-B: JN848776</t>
  </si>
  <si>
    <t>Datura leaf curl virus</t>
  </si>
  <si>
    <t>DaLCV</t>
  </si>
  <si>
    <t>SD- Kha435-16</t>
  </si>
  <si>
    <t>Datura leaf distortion virus</t>
  </si>
  <si>
    <t>DaLDV</t>
  </si>
  <si>
    <t>Venezuela/Rubio 933/2007</t>
  </si>
  <si>
    <t>DNA-A: JN848773; DNA-B: JN848774</t>
  </si>
  <si>
    <t>Deinbollia mosaic virus</t>
  </si>
  <si>
    <t>DMV</t>
  </si>
  <si>
    <t>Tanzania-DB_T1A-2015</t>
  </si>
  <si>
    <t>Desmodium leaf distortion virus</t>
  </si>
  <si>
    <t>DesLDV</t>
  </si>
  <si>
    <t>DNA-A: DQ875870; DNA-B: DQ875871</t>
  </si>
  <si>
    <t>Desmodium mottle virus</t>
  </si>
  <si>
    <t>DesMoV</t>
  </si>
  <si>
    <t>Uganda-Ki_UG5-2015</t>
  </si>
  <si>
    <t>DNA-A: KY294725; DNA-B: KY294727</t>
  </si>
  <si>
    <t>Dicliptera yellow mottle Cuba virus</t>
  </si>
  <si>
    <t>DiYMCUV</t>
  </si>
  <si>
    <t>Cuba</t>
  </si>
  <si>
    <t>DNA-A: AJ549960</t>
  </si>
  <si>
    <t>Dicliptera yellow mottle virus</t>
  </si>
  <si>
    <t>DiYMoV</t>
  </si>
  <si>
    <t>United States/Florida/1998</t>
  </si>
  <si>
    <t>DNA-A: AF139168; DNA-B: AF170101</t>
  </si>
  <si>
    <t>Dolichos yellow mosaic virus</t>
  </si>
  <si>
    <t>DoYMV</t>
  </si>
  <si>
    <t>DNA-A: AY271891</t>
  </si>
  <si>
    <t>Duranta leaf curl virus</t>
  </si>
  <si>
    <t>DuLCV</t>
  </si>
  <si>
    <t>Pakistan-57SA-2014</t>
  </si>
  <si>
    <t>DNA-A: KT948069</t>
  </si>
  <si>
    <t>East African cassava mosaic Cameroon virus</t>
  </si>
  <si>
    <t>EACMCMV</t>
  </si>
  <si>
    <t>DNA-A: AF112354; DNA-B: AF112355</t>
  </si>
  <si>
    <t>East African cassava mosaic Kenya virus</t>
  </si>
  <si>
    <t>EACMKV</t>
  </si>
  <si>
    <t>Kenya/Mitaboni/K298/2002</t>
  </si>
  <si>
    <t>East African cassava mosaic Malawi virus</t>
  </si>
  <si>
    <t>EACMMV</t>
  </si>
  <si>
    <t>Malawi/K/1996</t>
  </si>
  <si>
    <t>DNA-A: AJ006460</t>
  </si>
  <si>
    <t>East African cassava mosaic virus</t>
  </si>
  <si>
    <t>EACMV/UG</t>
  </si>
  <si>
    <t>Uganda/Severe 2/1997/Uganda</t>
  </si>
  <si>
    <t>DNA-A: AF126806; DNA-B: AF126807</t>
  </si>
  <si>
    <t>EACMV/KE</t>
  </si>
  <si>
    <t>Kenya/Boa/K48/2001/Kenya</t>
  </si>
  <si>
    <t>EACMV/MW</t>
  </si>
  <si>
    <t>Malawi/8N/2007/Malawi</t>
  </si>
  <si>
    <t>EACMV/TZ</t>
  </si>
  <si>
    <t>Tanzania/1/2001/Tanzania</t>
  </si>
  <si>
    <t>East African cassava mosaic Zanzibar virus</t>
  </si>
  <si>
    <t>EACMZV</t>
  </si>
  <si>
    <t>Tanzania/Uguja/1998</t>
  </si>
  <si>
    <t>DNA-A: AF422174; DNA-B: AF422175</t>
  </si>
  <si>
    <t>Eclipta yellow vein virus</t>
  </si>
  <si>
    <t>EYVV</t>
  </si>
  <si>
    <t>IN-WOK44-14</t>
  </si>
  <si>
    <t>Emilia yellow vein Fujian virus</t>
  </si>
  <si>
    <t>EYVFjV</t>
  </si>
  <si>
    <t>CN-Fj-Zz01-17</t>
  </si>
  <si>
    <t>Emilia yellow vein Thailand virus</t>
  </si>
  <si>
    <t>EYVTHV</t>
  </si>
  <si>
    <t>TH-4872_6-15</t>
  </si>
  <si>
    <t>Emilia yellow vein virus</t>
  </si>
  <si>
    <t>China/Fuzhou 1/2007</t>
  </si>
  <si>
    <t>Erectites yellow mosaic virus</t>
  </si>
  <si>
    <t>ErYMV</t>
  </si>
  <si>
    <t>Vietnam/Hoabinh/2005</t>
  </si>
  <si>
    <t>DNA-A: DQ641698</t>
  </si>
  <si>
    <t>Eupatorium yellow vein mosaic virus</t>
  </si>
  <si>
    <t>EpYVMV</t>
  </si>
  <si>
    <t>Japan/SOJ3/2000</t>
  </si>
  <si>
    <t>Eupatorium yellow vein virus</t>
  </si>
  <si>
    <t>EpYVV/A</t>
  </si>
  <si>
    <t>Japan/Kumamoto/A</t>
  </si>
  <si>
    <t>EpYVV/B</t>
  </si>
  <si>
    <t>Japan/MNS2/2000/B</t>
  </si>
  <si>
    <t>EpYVV/C</t>
  </si>
  <si>
    <t>Japan/Yamaguchi/C</t>
  </si>
  <si>
    <t>EpYVV/D</t>
  </si>
  <si>
    <t>Japan/Suya/2007/D</t>
  </si>
  <si>
    <t>EpYVV/E</t>
  </si>
  <si>
    <t>Japan/Kagawa/Tomato/1997/E</t>
  </si>
  <si>
    <t>Euphorbia leaf curl Guangxi virus</t>
  </si>
  <si>
    <t>EuLCGxV/A</t>
  </si>
  <si>
    <t>China/Guangxi 35/1/2002</t>
  </si>
  <si>
    <t>Euphorbia leaf curl virus</t>
  </si>
  <si>
    <t>EuLCuV</t>
  </si>
  <si>
    <t>China/Guangxi 35/2002</t>
  </si>
  <si>
    <t>DNA-A: AJ558121</t>
  </si>
  <si>
    <t>Euphorbia mosaic Peru virus</t>
  </si>
  <si>
    <t>EuMPV</t>
  </si>
  <si>
    <t>Peru-2007</t>
  </si>
  <si>
    <t>DNA-A: AM886131</t>
  </si>
  <si>
    <t>Euphorbia mosaic virus</t>
  </si>
  <si>
    <t>EuMV</t>
  </si>
  <si>
    <t>Mexico/Yucatan/2004</t>
  </si>
  <si>
    <t>DNA-A: DQ318937; DNA-B: DQ318938</t>
  </si>
  <si>
    <t>Euphorbia yellow leaf curl virus</t>
  </si>
  <si>
    <t>EuYLCV</t>
  </si>
  <si>
    <t>Pakistan-PK1A-2012</t>
  </si>
  <si>
    <t>Euphorbia yellow mosaic virus</t>
  </si>
  <si>
    <t>EuYMV</t>
  </si>
  <si>
    <t>Brazil/2008</t>
  </si>
  <si>
    <t>DNA-A: FJ619507; DNA-B: FJ619508</t>
  </si>
  <si>
    <t>Brazil/GO/Luziania 8675/2009/Goiás</t>
  </si>
  <si>
    <t>French bean leaf curl virus</t>
  </si>
  <si>
    <t>FbLCV</t>
  </si>
  <si>
    <t>India/Kanpur/2011</t>
  </si>
  <si>
    <t>DNA-A: JQ866297</t>
  </si>
  <si>
    <t>Hedyotis uncinella yellow mosaic virus</t>
  </si>
  <si>
    <t>HeuYMV</t>
  </si>
  <si>
    <t>Vietnam/VN1</t>
  </si>
  <si>
    <t>DNA-A: KF429251</t>
  </si>
  <si>
    <t>Hemidesmus yellow mosaic virus</t>
  </si>
  <si>
    <t>HemYMV</t>
  </si>
  <si>
    <t>India/Tirupati/H1/2012</t>
  </si>
  <si>
    <t>DNA-A: KC898543</t>
  </si>
  <si>
    <t>Hibiscus golden mosaic virus</t>
  </si>
  <si>
    <t>HGMV</t>
  </si>
  <si>
    <t>BR-IgM1-16</t>
  </si>
  <si>
    <t>DNA-A: MK558061; DNA-B: MK558062</t>
  </si>
  <si>
    <t>Hibiscus yellow vein leaf curl virus</t>
  </si>
  <si>
    <t>HYVLCV</t>
  </si>
  <si>
    <t>TW-HibA_1-13</t>
  </si>
  <si>
    <t>hollyhock leaf curl virus</t>
  </si>
  <si>
    <t>HoLCV</t>
  </si>
  <si>
    <t>Pakistan/Faisalabad/20/4/06</t>
  </si>
  <si>
    <t>hollyhock yellow vein mosaic virus</t>
  </si>
  <si>
    <t>HoYVMV</t>
  </si>
  <si>
    <t>IN-Luc-11</t>
  </si>
  <si>
    <t>hollyhock yellow vein virus</t>
  </si>
  <si>
    <t>HoYVV</t>
  </si>
  <si>
    <t>IN-ND-VIRO 881-16</t>
  </si>
  <si>
    <t>honeysuckle yellow vein virus</t>
  </si>
  <si>
    <t>HYVV/UK</t>
  </si>
  <si>
    <t>UK/Norwich 1/1999/UK</t>
  </si>
  <si>
    <t>HYVV</t>
  </si>
  <si>
    <t>Australia/Ayr/BRIP57501/1983</t>
  </si>
  <si>
    <t>HYVV/A</t>
  </si>
  <si>
    <t>Japan/Fukuoka 1/A</t>
  </si>
  <si>
    <t>HYVV/C</t>
  </si>
  <si>
    <t>HYVV/D</t>
  </si>
  <si>
    <t>Japan/Nara 2/2006/D</t>
  </si>
  <si>
    <t>HYVV/E</t>
  </si>
  <si>
    <t>Japan/Nara 1/2006/E</t>
  </si>
  <si>
    <t>HYVV/Iba</t>
  </si>
  <si>
    <t>Japan/Ibaraki/Honeysucke/2006/Ibaraki</t>
  </si>
  <si>
    <t>HYVV/JR</t>
  </si>
  <si>
    <t>Japan/Sapporo 1/2000/Japan</t>
  </si>
  <si>
    <t>HYVV/Je</t>
  </si>
  <si>
    <t>South Korea/Jeju 138/Tomato/2008/Jeju</t>
  </si>
  <si>
    <t>HYVV/Kob</t>
  </si>
  <si>
    <t>Japan/Hyogo 12/2000/Kobe</t>
  </si>
  <si>
    <t>HYVV/Koc</t>
  </si>
  <si>
    <t>Japan/Kochi/Tomato/2000/Kochi</t>
  </si>
  <si>
    <t>HYVV/Mas</t>
  </si>
  <si>
    <t>Japan/Masuda/2006/Mas</t>
  </si>
  <si>
    <t>HYVV/Nar</t>
  </si>
  <si>
    <t>Japan/Nara3/2001/Nara</t>
  </si>
  <si>
    <t>HYVV/KR1</t>
  </si>
  <si>
    <t>South Korea/2007/South Korea 1</t>
  </si>
  <si>
    <t>HYVV/KR2</t>
  </si>
  <si>
    <t>South Korea/KJ/Tomato/2007/South Korea 2</t>
  </si>
  <si>
    <t>horsegram yellow mosaic virus</t>
  </si>
  <si>
    <t>HgYMV</t>
  </si>
  <si>
    <t>India/Coimbatore</t>
  </si>
  <si>
    <t>DNA-A: AJ627904; DNA-B: AJ627905</t>
  </si>
  <si>
    <t>Hybanthus yellow mosaic virus</t>
  </si>
  <si>
    <t>HybYMV</t>
  </si>
  <si>
    <t>CO-Valle-14</t>
  </si>
  <si>
    <t>Indian cassava mosaic virus</t>
  </si>
  <si>
    <t>ICMV/IN</t>
  </si>
  <si>
    <t>India/Trivandrum/1986/India</t>
  </si>
  <si>
    <t>DNA-A: Z24758; DNA-B: Z24759</t>
  </si>
  <si>
    <t>ICMV</t>
  </si>
  <si>
    <t>India/Maharashtra/2009</t>
  </si>
  <si>
    <t>ICMV/Jat</t>
  </si>
  <si>
    <t>India/Dhawad/2008/Jatropha</t>
  </si>
  <si>
    <t>ICMV/Ker</t>
  </si>
  <si>
    <t>India/Kerala 2/2002/Kerala</t>
  </si>
  <si>
    <t>Jacquemontia mosaic Yucatan virus</t>
  </si>
  <si>
    <t>JacMYuV</t>
  </si>
  <si>
    <t>DNA-A: JQ821386; DNA-B: JQ821387</t>
  </si>
  <si>
    <t>Jacquemontia yellow mosaic virus</t>
  </si>
  <si>
    <t>JacYMV</t>
  </si>
  <si>
    <t>Venezuela-RC1250-09</t>
  </si>
  <si>
    <t>DNA-A: KF661331; DNA-B: KF661332</t>
  </si>
  <si>
    <t>Jacquemontia yellow vein virus</t>
  </si>
  <si>
    <t>JacYVV</t>
  </si>
  <si>
    <t>VE-Zu 1915_1-10</t>
  </si>
  <si>
    <t>DNA-A: KY617094; DNA-B: KY617095</t>
  </si>
  <si>
    <t>Jatropha leaf curl Gujarat virus</t>
  </si>
  <si>
    <t>JLCGV</t>
  </si>
  <si>
    <t>India-Gujarat-2013</t>
  </si>
  <si>
    <t>Jatropha leaf curl virus</t>
  </si>
  <si>
    <t>JLCuV/ND</t>
  </si>
  <si>
    <t>India/New Delhi/2007/New Delhi</t>
  </si>
  <si>
    <t>DNA-A: EU798996</t>
  </si>
  <si>
    <t>JLCuV/Gu</t>
  </si>
  <si>
    <t>India/Gujarat/2009</t>
  </si>
  <si>
    <t>Jatropha leaf yellow mosaic virus</t>
  </si>
  <si>
    <t>JLYMV</t>
  </si>
  <si>
    <t>India-Katerniaghat2-2011</t>
  </si>
  <si>
    <t>DNA-A: JN698954</t>
  </si>
  <si>
    <t>Jatropha mosaic India virus</t>
  </si>
  <si>
    <t>JMINV</t>
  </si>
  <si>
    <t>India/Lucknow/2009</t>
  </si>
  <si>
    <t>DNA-A: HM230683</t>
  </si>
  <si>
    <t>Jatropha mosaic Nigeria virus</t>
  </si>
  <si>
    <t>JMNV</t>
  </si>
  <si>
    <t>Nigeria/2/2011</t>
  </si>
  <si>
    <t>DNA-A: JX025358</t>
  </si>
  <si>
    <t>Jatropha mosaic virus</t>
  </si>
  <si>
    <t>JMV</t>
  </si>
  <si>
    <t>Jamaica/Spanish Town 1/2004</t>
  </si>
  <si>
    <t>DNA-A: KF723258; DNA-B: KF723261</t>
  </si>
  <si>
    <t>Jatropha yellow mosaic virus</t>
  </si>
  <si>
    <t>JYMV</t>
  </si>
  <si>
    <t>India/Kathaupahadi/2008</t>
  </si>
  <si>
    <t>DNA-A: FJ177030</t>
  </si>
  <si>
    <t>kudzu mosaic virus</t>
  </si>
  <si>
    <t>KuMV</t>
  </si>
  <si>
    <t>DNA-A: DQ641690; DNA-B: DQ641691</t>
  </si>
  <si>
    <t>Leonurus mosaic virus</t>
  </si>
  <si>
    <t>LeMV/Le</t>
  </si>
  <si>
    <t>Brasil/PR88/2008/Leonurus</t>
  </si>
  <si>
    <t>DNA-A: JQ429791</t>
  </si>
  <si>
    <t>Lindernia anagallis yellow vein virus</t>
  </si>
  <si>
    <t>LaYVV</t>
  </si>
  <si>
    <t>Vietnam/Hanoi/2005</t>
  </si>
  <si>
    <t>DNA-A: DQ641701</t>
  </si>
  <si>
    <t>Lisianthus enation leaf curl virus</t>
  </si>
  <si>
    <t>LELCV</t>
  </si>
  <si>
    <t>Taiwan-BG1-2015</t>
  </si>
  <si>
    <t>DNA-A: LC091538</t>
  </si>
  <si>
    <t>Ludwigia yellow vein Vietnam virus</t>
  </si>
  <si>
    <t>LuYVVNV</t>
  </si>
  <si>
    <t>Vietnam/Hochiminh/2005</t>
  </si>
  <si>
    <t>DNA-A: DQ641699</t>
  </si>
  <si>
    <t>Ludwigia yellow vein virus</t>
  </si>
  <si>
    <t>LuYVV</t>
  </si>
  <si>
    <t>China/Guangxi 37/2003</t>
  </si>
  <si>
    <t>DNA-A: AJ965539</t>
  </si>
  <si>
    <t>Luffa yellow mosaic virus</t>
  </si>
  <si>
    <t>LYMV</t>
  </si>
  <si>
    <t>Vietnam</t>
  </si>
  <si>
    <t>DNA-A: AF509739; DNA-B: AF509740</t>
  </si>
  <si>
    <t>Lycianthes yellow mosaic virus</t>
  </si>
  <si>
    <t>LyYMV</t>
  </si>
  <si>
    <t>China-GD-2015</t>
  </si>
  <si>
    <t>DNA-A: KT582302; DNA-B: KT582303</t>
  </si>
  <si>
    <t>Macroptilium bright mosaic virus</t>
  </si>
  <si>
    <t>MacBMV</t>
  </si>
  <si>
    <t>Brazil-ALM33_5B-2014</t>
  </si>
  <si>
    <t>DNA-A: KX691400</t>
  </si>
  <si>
    <t>Macroptilium common mosaic virus</t>
  </si>
  <si>
    <t>MacCMV</t>
  </si>
  <si>
    <t>Brazil-ALM2_5B-09</t>
  </si>
  <si>
    <t>DNA-A: KX691396; DNA-B: KX691412</t>
  </si>
  <si>
    <t>Macroptilium golden mosaic virus</t>
  </si>
  <si>
    <t>MacGMV</t>
  </si>
  <si>
    <t>Jamaica/ Augusta Town/2004</t>
  </si>
  <si>
    <t>DNA-A: EU158096; DNA-B: EU158097</t>
  </si>
  <si>
    <t>Macroptilium mosaic Puerto Rico virus</t>
  </si>
  <si>
    <t>MacMPRV</t>
  </si>
  <si>
    <t>Puerto Rico/1990</t>
  </si>
  <si>
    <t>DNA-A: AY044133; DNA-B: AY044134</t>
  </si>
  <si>
    <t>Macroptilium yellow mosaic Florida virus</t>
  </si>
  <si>
    <t>MacYMFV</t>
  </si>
  <si>
    <t>United States/Florida/1985</t>
  </si>
  <si>
    <t>DNA-A: AY044135; DNA-B: AY044136</t>
  </si>
  <si>
    <t>Macroptilium yellow mosaic virus</t>
  </si>
  <si>
    <t>MacYMV/JM</t>
  </si>
  <si>
    <t>Jamaica/Mona/2006/Jamaica</t>
  </si>
  <si>
    <t>DNA-A: EF585290; DNA-B: EF585291</t>
  </si>
  <si>
    <t>MacYMV/CU</t>
  </si>
  <si>
    <t>Cuba/Cuba</t>
  </si>
  <si>
    <t>Macroptilium yellow spot virus</t>
  </si>
  <si>
    <t>MacYSV</t>
  </si>
  <si>
    <t>Brazil/Agua das Flores 1/2010</t>
  </si>
  <si>
    <t>DNA-A: JN419013</t>
  </si>
  <si>
    <t>Macroptilium yellow vein virus</t>
  </si>
  <si>
    <t>MacYVV</t>
  </si>
  <si>
    <t>Brazil/Maceio 4/2010</t>
  </si>
  <si>
    <t>DNA-A: JN419021</t>
  </si>
  <si>
    <t>Malvastrum bright yellow mosaic virus</t>
  </si>
  <si>
    <t>MaBYMV</t>
  </si>
  <si>
    <t>United States-Ma8S-2014</t>
  </si>
  <si>
    <t>DNA-A: KU058856; DNA-B: KU058860</t>
  </si>
  <si>
    <t>Malvastrum leaf curl Philippines virus</t>
  </si>
  <si>
    <t>MaLCPHV</t>
  </si>
  <si>
    <t>Philippines/Mc1/2012</t>
  </si>
  <si>
    <t>DNA-A: KC577540</t>
  </si>
  <si>
    <t>Malvastrum leaf curl virus</t>
  </si>
  <si>
    <t>MaLCuV</t>
  </si>
  <si>
    <t>China/Guangxi 87/2004</t>
  </si>
  <si>
    <t>DNA-A: AJ971263</t>
  </si>
  <si>
    <t>Malvastrum yellow mosaic Helshire virus</t>
  </si>
  <si>
    <t>MaYMHeV</t>
  </si>
  <si>
    <t>Jamaica/2005</t>
  </si>
  <si>
    <t>DNA-A: FJ600483</t>
  </si>
  <si>
    <t>Malvastrum yellow mosaic Jamaica virus</t>
  </si>
  <si>
    <t>MaYMJV</t>
  </si>
  <si>
    <t>Jamaica/179A73/2003</t>
  </si>
  <si>
    <t>Malvastrum yellow mosaic virus</t>
  </si>
  <si>
    <t>MaYMV</t>
  </si>
  <si>
    <t>China/Hainan 36/2004</t>
  </si>
  <si>
    <t>DNA-A: AM236755</t>
  </si>
  <si>
    <t>Malvastrum yellow vein Cambodia virus</t>
  </si>
  <si>
    <t>MaYVCV</t>
  </si>
  <si>
    <t>Cambodia-08-2014</t>
  </si>
  <si>
    <t>DNA-A: KP188831</t>
  </si>
  <si>
    <t>Malvastrum yellow vein Honghe virus</t>
  </si>
  <si>
    <t>MaYVHV</t>
  </si>
  <si>
    <t>China/Yunnan 249/2004</t>
  </si>
  <si>
    <t>DNA-A: FN552749</t>
  </si>
  <si>
    <t>Malvastrum yellow vein Lahore virus</t>
  </si>
  <si>
    <t>MalYVLahV</t>
  </si>
  <si>
    <t>PK-Lah-J47-13</t>
  </si>
  <si>
    <t>Malvastrum yellow vein virus</t>
  </si>
  <si>
    <t>MaYVV</t>
  </si>
  <si>
    <t>China/Yunnan 47/2001</t>
  </si>
  <si>
    <t>MaYVV/A</t>
  </si>
  <si>
    <t>China/Yunnan 278/2004/A</t>
  </si>
  <si>
    <t>MaYVV/C</t>
  </si>
  <si>
    <t>China/Yunnan 340/Sida/2008/B</t>
  </si>
  <si>
    <t>Malvastrum yellow vein Yunnan virus</t>
  </si>
  <si>
    <t>MaYVYnV</t>
  </si>
  <si>
    <t>China/Yunnan 160/2003</t>
  </si>
  <si>
    <t>Melochia mosaic virus</t>
  </si>
  <si>
    <t>MelMV</t>
  </si>
  <si>
    <t>Brazil-CorB25-2014</t>
  </si>
  <si>
    <t>DNA-A: KT201151; DNA-B: KT201152</t>
  </si>
  <si>
    <t>Melochia yellow mosaic virus</t>
  </si>
  <si>
    <t>MelYMV</t>
  </si>
  <si>
    <t>Brazil-CorB26-2014</t>
  </si>
  <si>
    <t>DNA-A: KT201153; DNA-B: KT201154</t>
  </si>
  <si>
    <t>melon chlorotic leaf curl virus</t>
  </si>
  <si>
    <t>MCLCuV/CR</t>
  </si>
  <si>
    <t>Costa Rica/Guanacaste/1998/Costa Rica</t>
  </si>
  <si>
    <t>MCLCuV</t>
  </si>
  <si>
    <t>Costa Rica/Cucurbita/2A/2003</t>
  </si>
  <si>
    <t>MCLCuV/GT</t>
  </si>
  <si>
    <t>Guatemala/2000/Guatemala</t>
  </si>
  <si>
    <t>melon chlorotic mosaic virus</t>
  </si>
  <si>
    <t>MClMV</t>
  </si>
  <si>
    <t>Venezuela/Watermelon/2009</t>
  </si>
  <si>
    <t>DNA-A: HM163576; DNA-B: HM163577</t>
  </si>
  <si>
    <t>melon yellow mosaic virus</t>
  </si>
  <si>
    <t>MeYMV</t>
  </si>
  <si>
    <t>TH-Me-MS-9-15</t>
  </si>
  <si>
    <t>Merremia mosaic Puerto Rico virus</t>
  </si>
  <si>
    <t>MerMPRV</t>
  </si>
  <si>
    <t>Puerto Rico/89/1998</t>
  </si>
  <si>
    <t>DNA-A: FJ944021; DNA-B: FJ944022</t>
  </si>
  <si>
    <t>Merremia mosaic virus</t>
  </si>
  <si>
    <t>MerMV/PR</t>
  </si>
  <si>
    <t>Puerto Rico/Puerto Rico</t>
  </si>
  <si>
    <t>DNA-A: AF068636; DNA-B: AY965899</t>
  </si>
  <si>
    <t>MerMV/VE</t>
  </si>
  <si>
    <t>Venezuela/Trujillo/Venezuela</t>
  </si>
  <si>
    <t>Mesta yellow vein mosaic Bahraich virus</t>
  </si>
  <si>
    <t>MeYVMBaV</t>
  </si>
  <si>
    <t>India/Bahraich/2007</t>
  </si>
  <si>
    <t>DNA-A: EU360303</t>
  </si>
  <si>
    <t>Mimosa yellow leaf curl virus</t>
  </si>
  <si>
    <t>MiYLCV</t>
  </si>
  <si>
    <t>Vietnam/Binhduong/2005</t>
  </si>
  <si>
    <t>DNA-A: DQ641695</t>
  </si>
  <si>
    <t>Mirabilis leaf curl virus</t>
  </si>
  <si>
    <t>MirLCV</t>
  </si>
  <si>
    <t>India-Pragpur-2013</t>
  </si>
  <si>
    <t>mungbean yellow mosaic India virus</t>
  </si>
  <si>
    <t>MYMIV</t>
  </si>
  <si>
    <t>India/New Delhi/Blackgram 3/1991</t>
  </si>
  <si>
    <t>DNA-A: AF126406; DNA-B: AF142440</t>
  </si>
  <si>
    <t>mungbean yellow mosaic virus</t>
  </si>
  <si>
    <t>MYMV</t>
  </si>
  <si>
    <t>Thailand/Mungbean 2</t>
  </si>
  <si>
    <t>DNA-A: D14703; DNA-B: D14704</t>
  </si>
  <si>
    <t>Ocimum golden mosaic virus</t>
  </si>
  <si>
    <t>OcGMV</t>
  </si>
  <si>
    <t>UG-UG31-2015</t>
  </si>
  <si>
    <t>Ocimum mosaic virus</t>
  </si>
  <si>
    <t>OcMV</t>
  </si>
  <si>
    <t>Ocimum yellow vein virus</t>
  </si>
  <si>
    <t>OcYVV</t>
  </si>
  <si>
    <t>UG-UG14-2015</t>
  </si>
  <si>
    <t>okra enation leaf curl virus</t>
  </si>
  <si>
    <t>OELCuV</t>
  </si>
  <si>
    <t>India/Sonipat EL10/2006</t>
  </si>
  <si>
    <t>DNA-A: GU111998</t>
  </si>
  <si>
    <t>okra leaf curl Oman virus</t>
  </si>
  <si>
    <t>OLCOV</t>
  </si>
  <si>
    <t>Oman-OK2-2012</t>
  </si>
  <si>
    <t>okra mottle virus</t>
  </si>
  <si>
    <t>OMoV</t>
  </si>
  <si>
    <t>Brazil/6319/2008</t>
  </si>
  <si>
    <t>DNA-A: EU914817; DNA-B: EU914818</t>
  </si>
  <si>
    <t>okra yellow crinkle virus</t>
  </si>
  <si>
    <t>OYCrV/ML</t>
  </si>
  <si>
    <t>Mali/Bamako 2/2005/Mali</t>
  </si>
  <si>
    <t>DNA-A: DQ875879</t>
  </si>
  <si>
    <t>OYCrV/CM</t>
  </si>
  <si>
    <t>Cameroon/Muea/2008/Cameroon</t>
  </si>
  <si>
    <t>OYCrV</t>
  </si>
  <si>
    <t>Cameroon/Njombe 5/2007</t>
  </si>
  <si>
    <t>okra yellow mosaic Mexico virus</t>
  </si>
  <si>
    <t>OYMV</t>
  </si>
  <si>
    <t>Mexico/Mazatepec 3/2004</t>
  </si>
  <si>
    <t>DNA-A: DQ022611; DNA-B: GU972604</t>
  </si>
  <si>
    <t>Oxalis yellow vein virus</t>
  </si>
  <si>
    <t>OxYVV</t>
  </si>
  <si>
    <t>United States-LA01-2012</t>
  </si>
  <si>
    <t>DNA-A: KM887907</t>
  </si>
  <si>
    <t>papaya leaf crumple virus</t>
  </si>
  <si>
    <t>PaLCrV</t>
  </si>
  <si>
    <t>India/Panipat/2008</t>
  </si>
  <si>
    <t>DNA-A: HM140367</t>
  </si>
  <si>
    <t>papaya leaf curl China virus</t>
  </si>
  <si>
    <t>PaLCuCNV/To</t>
  </si>
  <si>
    <t>China/Guangxi 8/Ageratum/2002/Tomato</t>
  </si>
  <si>
    <t>DNA-A: AJ558124</t>
  </si>
  <si>
    <t>PaLCuCNV/Age</t>
  </si>
  <si>
    <t>China/Guangxi 10/Ageratum/2002/Ageratum</t>
  </si>
  <si>
    <t>PaLCuCNV</t>
  </si>
  <si>
    <t>China/Hainan/HK7/2008</t>
  </si>
  <si>
    <t>PaLCuCNV/Gx</t>
  </si>
  <si>
    <t>China/Guangxi 4/Tomato/2008/Guangxi</t>
  </si>
  <si>
    <t>PaLCuCNV/Pap</t>
  </si>
  <si>
    <t>China/Guangxi 30/Tomato/2002/Papaya</t>
  </si>
  <si>
    <t>PaLCuCNV/VN</t>
  </si>
  <si>
    <t>Vietnam/Hanoi 112/2007/Vietnam</t>
  </si>
  <si>
    <t>papaya leaf curl Guandong virus</t>
  </si>
  <si>
    <t>PaLCuGdV</t>
  </si>
  <si>
    <t>China/Guangdong 2/2002</t>
  </si>
  <si>
    <t>DNA-A: AJ558122</t>
  </si>
  <si>
    <t>papaya leaf curl virus</t>
  </si>
  <si>
    <t>PaLCuV/Luc</t>
  </si>
  <si>
    <t>India/Lucknow/Lucknow</t>
  </si>
  <si>
    <t>PaLCuV/A</t>
  </si>
  <si>
    <t>India/WB/Cr/Croton/2008/A</t>
  </si>
  <si>
    <t>PaLCuV/Ama</t>
  </si>
  <si>
    <t>India/Lucknow/Amaranthus/2011/Amaranthus</t>
  </si>
  <si>
    <t>PaLCuV/Ast</t>
  </si>
  <si>
    <t>India/Lucknow/Aster/2011/Aster</t>
  </si>
  <si>
    <t>PaLCuV/Cir</t>
  </si>
  <si>
    <t>India/PaND13/2012/Cirica</t>
  </si>
  <si>
    <t>PaLCuV/IN</t>
  </si>
  <si>
    <t>India/Pataudi/Radish/2009/India</t>
  </si>
  <si>
    <t>PaLCuV/Lah</t>
  </si>
  <si>
    <t>Pakistan/Lahore/HYDNA/Alcea rosea/2006/Lahore</t>
  </si>
  <si>
    <t>PaLCuV/PK</t>
  </si>
  <si>
    <t>Pakistan/Cotton/2002/Pakistan</t>
  </si>
  <si>
    <t>PaLCuV/Pun</t>
  </si>
  <si>
    <t>Pakistan/Punjab/Cro/2006/Punjab</t>
  </si>
  <si>
    <t>PaLCuV/Rh</t>
  </si>
  <si>
    <t>Pakistan/Mianwali/Rhynchosia capitata/2007/Rhyncosia</t>
  </si>
  <si>
    <t>PaLCuV/Sik</t>
  </si>
  <si>
    <t>India/Sikar/Calotropis procera/2010/Sikar</t>
  </si>
  <si>
    <t>PaLCuV/Soy</t>
  </si>
  <si>
    <t>India/Lucknow/Soybean/2011/Soybean</t>
  </si>
  <si>
    <t>PaLCuV/Tob</t>
  </si>
  <si>
    <t>India/Lucknow/Nicotiana glutinosa/2010/Tobacco</t>
  </si>
  <si>
    <t>PaLCuV/Tom</t>
  </si>
  <si>
    <t>India/CTM/Tomato/2005/Tomato</t>
  </si>
  <si>
    <t>papaya severe leaf curl virus 1</t>
  </si>
  <si>
    <t>PaSLCV1</t>
  </si>
  <si>
    <t>IN-PSB_8-14</t>
  </si>
  <si>
    <t>papaya severe leaf curl virus 2</t>
  </si>
  <si>
    <t>PaSLCV2</t>
  </si>
  <si>
    <t>IN-PSB_14-14</t>
  </si>
  <si>
    <t>papaya yellow leaf curl virus</t>
  </si>
  <si>
    <t>PaYLCV</t>
  </si>
  <si>
    <t>IN-PSB_51-16</t>
  </si>
  <si>
    <t>passionfruit leaf curl virus</t>
  </si>
  <si>
    <t>PLCV</t>
  </si>
  <si>
    <t>IN-Kar-Fb-2018</t>
  </si>
  <si>
    <t>passionfruit leaf distortion virus</t>
  </si>
  <si>
    <t>PLDV</t>
  </si>
  <si>
    <t>Colombia-Valle-2014</t>
  </si>
  <si>
    <t>DNA-A: KT899302; DNA-B: KT899303</t>
  </si>
  <si>
    <t>passionfruit severe leaf distortion virus</t>
  </si>
  <si>
    <t>PSLDV</t>
  </si>
  <si>
    <t>Brazil/LSN 2/2001</t>
  </si>
  <si>
    <t>DNA-A: FJ972767; DNA-B: FJ972768</t>
  </si>
  <si>
    <t>Pavonia mosaic virus</t>
  </si>
  <si>
    <t>PavMV</t>
  </si>
  <si>
    <t>Brazil-Cor40-2014</t>
  </si>
  <si>
    <t>DNA-A: KT948785; DNA-B: KT948786</t>
  </si>
  <si>
    <t>Pavonia yellow mosaic virus</t>
  </si>
  <si>
    <t>PavYMV</t>
  </si>
  <si>
    <t>Brazil-Alb51-2014</t>
  </si>
  <si>
    <t>DNA-A: KT948787; DNA-B: KT948788</t>
  </si>
  <si>
    <t>pea leaf distortion virus</t>
  </si>
  <si>
    <t>PeLDV</t>
  </si>
  <si>
    <t>Nepal-N36_41-2010</t>
  </si>
  <si>
    <t>DNA-A: KY001635</t>
  </si>
  <si>
    <t>Pedilenthus leaf curl virus</t>
  </si>
  <si>
    <t>PeLCV</t>
  </si>
  <si>
    <t>Pakistan/Multan/2006</t>
  </si>
  <si>
    <t>PeLCV/Eu</t>
  </si>
  <si>
    <t>Pakistan/Rahim Yar Khan 1/Tomato/2004/Euphorbia</t>
  </si>
  <si>
    <t>PeLCV/Sb</t>
  </si>
  <si>
    <t>Pakistan/Nawab Shah/Soybean/2009/Soybean</t>
  </si>
  <si>
    <t>pepper blistering leaf virus</t>
  </si>
  <si>
    <t>PepBLV</t>
  </si>
  <si>
    <t>AR-Salta-Oran-Pepper663-2014</t>
  </si>
  <si>
    <t>pepper golden mosaic virus</t>
  </si>
  <si>
    <t>PepGMV/Tam</t>
  </si>
  <si>
    <t>Mexico/Tamaulipas/Tamaulipas</t>
  </si>
  <si>
    <t>PepGMV/CR</t>
  </si>
  <si>
    <t>Costa Rica/Costa Rica</t>
  </si>
  <si>
    <t>PepGMV</t>
  </si>
  <si>
    <t>Costa Rica/Llano Grande/2008</t>
  </si>
  <si>
    <t>pepper huasteco yellow vein virus</t>
  </si>
  <si>
    <t>PHYVV</t>
  </si>
  <si>
    <t>Mexico/Tamaulipas</t>
  </si>
  <si>
    <t>DNA-A: X70418; DNA-B: X70419</t>
  </si>
  <si>
    <t>pepper leaf curl Bangladesh virus</t>
  </si>
  <si>
    <t>PepLCBV/BD</t>
  </si>
  <si>
    <t>Bangladesh/Bogra/1999/Bangladesh</t>
  </si>
  <si>
    <t>DNA-A: AF314531</t>
  </si>
  <si>
    <t>PepLCBV</t>
  </si>
  <si>
    <t>Pakistan/Lahore/2004</t>
  </si>
  <si>
    <t>PepLCBV/IN</t>
  </si>
  <si>
    <t>India/Coimbatore/2008/India</t>
  </si>
  <si>
    <t>PepLCBV/PK</t>
  </si>
  <si>
    <t>Pakistan/Khanewal/2004/Pakistan</t>
  </si>
  <si>
    <t>pepper leaf curl Lahore virus</t>
  </si>
  <si>
    <t>PepLCLaV</t>
  </si>
  <si>
    <t>India/Lucknow/2011</t>
  </si>
  <si>
    <t>DNA-A: JN135234</t>
  </si>
  <si>
    <t>pepper leaf curl virus</t>
  </si>
  <si>
    <t>PepLCV/TH</t>
  </si>
  <si>
    <t>Thailand/Thailand</t>
  </si>
  <si>
    <t>PepLCV/MY</t>
  </si>
  <si>
    <t>Malaysia/Klang/1997/Malaysia</t>
  </si>
  <si>
    <t>pepper leaf curl Yunnan virus</t>
  </si>
  <si>
    <t>PepLCYnV</t>
  </si>
  <si>
    <t>China/Yunnan323/2007</t>
  </si>
  <si>
    <t>pepper leafroll virus</t>
  </si>
  <si>
    <t>PepLRV</t>
  </si>
  <si>
    <t>PE-P107-pep-09</t>
  </si>
  <si>
    <t>DNA-A: KC769819; DNA-B: KC769820</t>
  </si>
  <si>
    <t>pepper yellow leaf curl Aceh virus</t>
  </si>
  <si>
    <t>PepYLCAV</t>
  </si>
  <si>
    <t>ID-BAPep-V2-17</t>
  </si>
  <si>
    <t>DNA-A: LC387327; DNA-B: LC387329</t>
  </si>
  <si>
    <t>pepper yellow leaf curl Indonesia virus</t>
  </si>
  <si>
    <t>PepYLCIV</t>
  </si>
  <si>
    <t>Indonesia/2005</t>
  </si>
  <si>
    <t>DNA-A: AB267834; DNA-B: AB267835</t>
  </si>
  <si>
    <t>pepper yellow leaf curl Indonesia virus 2</t>
  </si>
  <si>
    <t>PepYLCV2</t>
  </si>
  <si>
    <t>ID-PSSWS14-09</t>
  </si>
  <si>
    <t>pepper yellow leaf curl Thailand virus</t>
  </si>
  <si>
    <t>PepYLCTHV</t>
  </si>
  <si>
    <t>Thailand-WF_SPN_Pep-2015</t>
  </si>
  <si>
    <t>pepper yellow leaf curl virus</t>
  </si>
  <si>
    <t>PepYLCV</t>
  </si>
  <si>
    <t>China/YN65/1/2010</t>
  </si>
  <si>
    <t>pepper yellow vein Mali virus</t>
  </si>
  <si>
    <t>PepYVMLV</t>
  </si>
  <si>
    <t>Mali</t>
  </si>
  <si>
    <t>Polygala garcinii virus</t>
  </si>
  <si>
    <t>PgV</t>
  </si>
  <si>
    <t>ZA-1-1-12</t>
  </si>
  <si>
    <t>potato yellow mosaic Panama virus</t>
  </si>
  <si>
    <t>PYMPV</t>
  </si>
  <si>
    <t>Panama/Divisa/Tomato/1996</t>
  </si>
  <si>
    <t>potato yellow mosaic virus</t>
  </si>
  <si>
    <t>PYMV/Po</t>
  </si>
  <si>
    <t>Venezuela/1991/Potato</t>
  </si>
  <si>
    <t>DNA-A: D00940; DNA-B: D00941</t>
  </si>
  <si>
    <t>PYMV</t>
  </si>
  <si>
    <t>Trinidad and Tobago/Tomato/1996</t>
  </si>
  <si>
    <t>PYMV/To</t>
  </si>
  <si>
    <t>Puerto Rico/Tomato/2004/Tomato</t>
  </si>
  <si>
    <t>PYMV/Co</t>
  </si>
  <si>
    <t>Colombia/Valle del Cauca/Tomato/2007/Colombia</t>
  </si>
  <si>
    <t>Pouzolzia golden mosaic virus</t>
  </si>
  <si>
    <t>PouGMV</t>
  </si>
  <si>
    <t>China/TY01/2012</t>
  </si>
  <si>
    <t>DNA-A: JX183732</t>
  </si>
  <si>
    <t>Pouzolzia mosaic Guangdong virus</t>
  </si>
  <si>
    <t>PouMGDV</t>
  </si>
  <si>
    <t>Taiwan/Miaoli/ML13W1/2013</t>
  </si>
  <si>
    <t>DNA-A: KF414123</t>
  </si>
  <si>
    <t>Pouzolzia yellow mosaic virus</t>
  </si>
  <si>
    <t>PouYMV</t>
  </si>
  <si>
    <t>TW-ML13W1-13</t>
  </si>
  <si>
    <t>Premna leaf curl virus</t>
  </si>
  <si>
    <t>PreLCV</t>
  </si>
  <si>
    <t>Vietnam/VN7/2011</t>
  </si>
  <si>
    <t>DNA-A: JQ793786</t>
  </si>
  <si>
    <t>pumpkin yellow mosaic virus</t>
  </si>
  <si>
    <t>PuYMV</t>
  </si>
  <si>
    <t>Malaysia/Negeri Sambilan/2001</t>
  </si>
  <si>
    <t>DNA-A: EF197941</t>
  </si>
  <si>
    <t>ramie mosaic Yunnan virus</t>
  </si>
  <si>
    <t>RMYnV</t>
  </si>
  <si>
    <t>China-4819_5-2015</t>
  </si>
  <si>
    <t>DNA-A: KU522485</t>
  </si>
  <si>
    <t>Rhynchosia golden mosaic Havana virus</t>
  </si>
  <si>
    <t>RhGMHaV</t>
  </si>
  <si>
    <t>Cuba/Havana/2007</t>
  </si>
  <si>
    <t>DNA-A: HM236368; DNA-B: HM236369</t>
  </si>
  <si>
    <t>Rhynchosia golden mosaic Sinaloa virus</t>
  </si>
  <si>
    <t>Mexico/Sinaloa/2005</t>
  </si>
  <si>
    <t>DNA-A: DQ406672; DNA-B: DQ406673</t>
  </si>
  <si>
    <t>Rhynchosia golden mosaic virus</t>
  </si>
  <si>
    <t>RhGMV/MX</t>
  </si>
  <si>
    <t>Mexico/Sinaloa/2005/Mexico</t>
  </si>
  <si>
    <t>DNA-A: DQ347950; DNA-B: EU339937</t>
  </si>
  <si>
    <t>RhGMV/Tob</t>
  </si>
  <si>
    <t>Mexico/Chiapas/Tobacco/Tobacco</t>
  </si>
  <si>
    <t>RhGMV/Sb</t>
  </si>
  <si>
    <t>Mexico/Sinaloa 4/Soybean/2007/Soybean</t>
  </si>
  <si>
    <t>Rhynchosia mild mosaic virus</t>
  </si>
  <si>
    <t>RhMMV</t>
  </si>
  <si>
    <t>Puerto Rico/PR79/1997</t>
  </si>
  <si>
    <t>DNA-A: FJ944019; DNA-B: FJ944020</t>
  </si>
  <si>
    <t>Rhynchosia rugose golden mosaic virus</t>
  </si>
  <si>
    <t>RhRGMV</t>
  </si>
  <si>
    <t>Cuba/Camaguey/2009</t>
  </si>
  <si>
    <t>DNA-A: HM236370; DNA-B: HM236371</t>
  </si>
  <si>
    <t>Rhynchosia yellow mosaic India virus</t>
  </si>
  <si>
    <t>RhYMIV</t>
  </si>
  <si>
    <t>India/Thiruvananthapuram/JRH1/2009</t>
  </si>
  <si>
    <t>DNA-A: HM777508; DNA-B: HM777510</t>
  </si>
  <si>
    <t>Rhynchosia yellow mosaic virus</t>
  </si>
  <si>
    <t>RhYMV</t>
  </si>
  <si>
    <t>Pakistan/Lahore33/2007</t>
  </si>
  <si>
    <t>DNA-A: AM999981; DNA-B: AM999982</t>
  </si>
  <si>
    <t>rose leaf curl virus</t>
  </si>
  <si>
    <t>RoLCuV</t>
  </si>
  <si>
    <t>India/Rajasthan/Sikar AS24/2014</t>
  </si>
  <si>
    <t>Sauropus leaf curl virus</t>
  </si>
  <si>
    <t>SauLCuV</t>
  </si>
  <si>
    <t>Thailand/Kamphaengsaen/AFSP5e/2010</t>
  </si>
  <si>
    <t>DNA-A: JN809819</t>
  </si>
  <si>
    <t>Senecio yellow mosaic virus</t>
  </si>
  <si>
    <t>SeYMV</t>
  </si>
  <si>
    <t>China/Guangxi 46/2003</t>
  </si>
  <si>
    <t>Senna leaf curl virus</t>
  </si>
  <si>
    <t>SenLCuV</t>
  </si>
  <si>
    <t>India-Mohali-2013</t>
  </si>
  <si>
    <t>Sida angular mosaic virus</t>
  </si>
  <si>
    <t>SiAMV</t>
  </si>
  <si>
    <t>Brazil-ALS30_4C-2014</t>
  </si>
  <si>
    <t>DNA-A: KX691407; DNA-B: KX691415</t>
  </si>
  <si>
    <t>Sida bright yellow mosaic virus</t>
  </si>
  <si>
    <t>SiBYMV</t>
  </si>
  <si>
    <t>Brazil-Tac720-2010</t>
  </si>
  <si>
    <t>DNA-A: KX348184; DNA-B: KX348225</t>
  </si>
  <si>
    <t>Sida chlorotic leaf virus</t>
  </si>
  <si>
    <t>SiChLV</t>
  </si>
  <si>
    <t>Sida chlorotic mottle virus</t>
  </si>
  <si>
    <t>SiCMoV</t>
  </si>
  <si>
    <t>Brazil-Trm531.1-2010</t>
  </si>
  <si>
    <t>DNA-A: KX348183</t>
  </si>
  <si>
    <t>Sida chlorotic vein virus</t>
  </si>
  <si>
    <t>SiCVV</t>
  </si>
  <si>
    <t>Brazil-BALS15_2C-2008</t>
  </si>
  <si>
    <t>DNA-A: KX691402; DNA-B: KX691413</t>
  </si>
  <si>
    <t>Sida ciliaris golden mosaic virus</t>
  </si>
  <si>
    <t>SicGMV</t>
  </si>
  <si>
    <t>Venezuela/Lara/M3/2009</t>
  </si>
  <si>
    <t>DNA-A: JX857691; DNA-B: JX857692</t>
  </si>
  <si>
    <t>Sida common mosaic virus</t>
  </si>
  <si>
    <t>SiCMV</t>
  </si>
  <si>
    <t>Brazil/Coimbra 4/2007</t>
  </si>
  <si>
    <t>Sida golden mosaic Braco virus</t>
  </si>
  <si>
    <t>SiGMBcV</t>
  </si>
  <si>
    <t>Jamaica/Liguanea/A4/2008</t>
  </si>
  <si>
    <t>Sida golden mosaic Brazil virus</t>
  </si>
  <si>
    <t>SiGMBRV</t>
  </si>
  <si>
    <t>Brazil/Mato Grosso do Sul/2007</t>
  </si>
  <si>
    <t>DNA-A: FN436001</t>
  </si>
  <si>
    <t>Sida golden mosaic Buckup virus</t>
  </si>
  <si>
    <t>SiGMBuV</t>
  </si>
  <si>
    <t>Jamaica/St Elizabeth 1/2004</t>
  </si>
  <si>
    <t>DNA-A: HQ008338; DNA-B: HQ009518</t>
  </si>
  <si>
    <t>Sida golden mosaic Costa Rica virus</t>
  </si>
  <si>
    <t>SiGMCRV</t>
  </si>
  <si>
    <t>Costa Rica</t>
  </si>
  <si>
    <t>DNA-A: X99550; DNA-B: X99551</t>
  </si>
  <si>
    <t>Sida golden mosaic Florida virus</t>
  </si>
  <si>
    <t>SiGMFlV/Malv</t>
  </si>
  <si>
    <t>Cuba/Havana/Malvastrum/111/2009/Florida</t>
  </si>
  <si>
    <t>SiGMFlV</t>
  </si>
  <si>
    <t>United States/Homestead/A1</t>
  </si>
  <si>
    <t>Sida golden mosaic Lara virus</t>
  </si>
  <si>
    <t>SiGMLaV</t>
  </si>
  <si>
    <t>Venezuela/Lara/M1/2009</t>
  </si>
  <si>
    <t>DNA-A: JX857693</t>
  </si>
  <si>
    <t>Sida golden mosaic virus</t>
  </si>
  <si>
    <t>SiGMV</t>
  </si>
  <si>
    <t>United States/Florida</t>
  </si>
  <si>
    <t>Sida golden mottle virus</t>
  </si>
  <si>
    <t>SiGMoV</t>
  </si>
  <si>
    <t>United States/Florida/Bradenton/1997</t>
  </si>
  <si>
    <t>DNA-A: GU997691; DNA-B: GU997692</t>
  </si>
  <si>
    <t>Sida golden yellow spot virus</t>
  </si>
  <si>
    <t>SiGYSV</t>
  </si>
  <si>
    <t>Brazil-Sab889-2010</t>
  </si>
  <si>
    <t>Sida golden yellow vein virus</t>
  </si>
  <si>
    <t>SiGYVV</t>
  </si>
  <si>
    <t>United States/Homestead/A11</t>
  </si>
  <si>
    <t>Sida interveinal bright yellow virus</t>
  </si>
  <si>
    <t>SiIBYV</t>
  </si>
  <si>
    <t>MX- Conca 1-18</t>
  </si>
  <si>
    <t>Sida leaf curl virus</t>
  </si>
  <si>
    <t>SiLCuV</t>
  </si>
  <si>
    <t>China/Hainan 57/2004</t>
  </si>
  <si>
    <t>Sida micrantha mosaic virus</t>
  </si>
  <si>
    <t>SiMMV</t>
  </si>
  <si>
    <t>Brazil/A2B2</t>
  </si>
  <si>
    <t>DNA-A: AJ557451; DNA-B: AJ557453</t>
  </si>
  <si>
    <t>SiMMV/Rho</t>
  </si>
  <si>
    <t>Bolivia/Cerro Fraile 2/2007/Rhombifolia</t>
  </si>
  <si>
    <t>SiMMV/San</t>
  </si>
  <si>
    <t>BR/GO/Luziania 780/2003/Santaremensi</t>
  </si>
  <si>
    <t>Sida mosaic Alagoas virus</t>
  </si>
  <si>
    <t>SiMALV</t>
  </si>
  <si>
    <t>Brazil/BgV02A1C59</t>
  </si>
  <si>
    <t>DNA-A: JF694471; DNA-B: JF694473</t>
  </si>
  <si>
    <t>Sida mosaic Bolivia virus 1</t>
  </si>
  <si>
    <t>SiMBoV1</t>
  </si>
  <si>
    <t>Bolivia/Sida micrantha/2007</t>
  </si>
  <si>
    <t>DNA-A: HM585441; DNA-B: HM585442</t>
  </si>
  <si>
    <t>Sida mosaic Bolivia virus 2</t>
  </si>
  <si>
    <t>SiMBoV2</t>
  </si>
  <si>
    <t>DNA-A: HM585443; DNA-B: HM585444</t>
  </si>
  <si>
    <t>Sida mosaic Sinaloa virus</t>
  </si>
  <si>
    <t>SiMSiV</t>
  </si>
  <si>
    <t>Mexico/Guasave/2006</t>
  </si>
  <si>
    <t>Sida mottle Alagoas virus</t>
  </si>
  <si>
    <t>SiMoAV</t>
  </si>
  <si>
    <t>BR/Alagoas/Vicosa 2/2010</t>
  </si>
  <si>
    <t>DNA-A: JX871385</t>
  </si>
  <si>
    <t>Sida mottle virus</t>
  </si>
  <si>
    <t>SiMoV/Mic</t>
  </si>
  <si>
    <t>Brazil/A1B3/Micrantha</t>
  </si>
  <si>
    <t>DNA-A: AJ557450; DNA-B: AJ557454</t>
  </si>
  <si>
    <t>SiMoV/Rho</t>
  </si>
  <si>
    <t>Brazil/Vicosa 1/1999/Rhombifolia</t>
  </si>
  <si>
    <t>Sida yellow blotch virus</t>
  </si>
  <si>
    <t>SiYBV</t>
  </si>
  <si>
    <t>Brazil/Rio Largo 1/2010</t>
  </si>
  <si>
    <t>DNA-A: JX871380</t>
  </si>
  <si>
    <t>Sida yellow golden mosaic virus</t>
  </si>
  <si>
    <t>SiYGMV</t>
  </si>
  <si>
    <t>BR-SPI15-15</t>
  </si>
  <si>
    <t>Sida yellow leaf curl virus</t>
  </si>
  <si>
    <t>SiYLCV</t>
  </si>
  <si>
    <t>Brazil/Coimbra3/2007</t>
  </si>
  <si>
    <t>DNA-A: EU710750</t>
  </si>
  <si>
    <t>Sida yellow mosaic Alagoas virus</t>
  </si>
  <si>
    <t>SiYMAV</t>
  </si>
  <si>
    <t>Brazil/Alagoas/Vicosa 3/2010</t>
  </si>
  <si>
    <t>DNA-A: JX871383</t>
  </si>
  <si>
    <t>Sida yellow mosaic China virus</t>
  </si>
  <si>
    <t>SiYMCNV</t>
  </si>
  <si>
    <t>China/Hainan 7/Ageratum/2003</t>
  </si>
  <si>
    <t>Sida yellow mosaic virus</t>
  </si>
  <si>
    <t>SiYMV</t>
  </si>
  <si>
    <t>Brazil/Vicosa 2/1999</t>
  </si>
  <si>
    <t>DNA-A: AY090558</t>
  </si>
  <si>
    <t>Sida yellow mosaic Yucatan virus</t>
  </si>
  <si>
    <t>SiYMYuV</t>
  </si>
  <si>
    <t>DNA-A: DQ875872; DNA-B: DQ875873</t>
  </si>
  <si>
    <t>Sida yellow mottle virus</t>
  </si>
  <si>
    <t>SiYMoV</t>
  </si>
  <si>
    <t>Cuba/Sancti Spiritus159/1/2009</t>
  </si>
  <si>
    <t>DNA-A: JN411687; DNA-B: JN411688</t>
  </si>
  <si>
    <t>Sida yellow net virus</t>
  </si>
  <si>
    <t>SiYNV</t>
  </si>
  <si>
    <t>Brazil/Vicosa2/2010</t>
  </si>
  <si>
    <t>DNA-A: JX871376</t>
  </si>
  <si>
    <t>Sida yellow vein Vietnam virus</t>
  </si>
  <si>
    <t>SiYVVV</t>
  </si>
  <si>
    <t>DNA-A: DQ641696</t>
  </si>
  <si>
    <t>Sida yellow vein virus</t>
  </si>
  <si>
    <t>SiYVV</t>
  </si>
  <si>
    <t>Honduras/yellow vein</t>
  </si>
  <si>
    <t>DNA-A: Y11099; DNA-B: Y11100</t>
  </si>
  <si>
    <t>Sidastrum golden leaf spot virus</t>
  </si>
  <si>
    <t>SidGLSV</t>
  </si>
  <si>
    <t>Brazil/DF334/2010</t>
  </si>
  <si>
    <t>DNA-A: HM357458</t>
  </si>
  <si>
    <t>Siegesbeckia yellow vein Guangxi virus</t>
  </si>
  <si>
    <t>SgYVGxV</t>
  </si>
  <si>
    <t>China/Guangxi 111/2005</t>
  </si>
  <si>
    <t>Siegesbeckia yellow vein virus</t>
  </si>
  <si>
    <t>SgYVV</t>
  </si>
  <si>
    <t>China/Guangdong 13/2004</t>
  </si>
  <si>
    <t>Solanum mosaic Bolivia virus</t>
  </si>
  <si>
    <t>SoMBoV</t>
  </si>
  <si>
    <t>Bolivia-2007</t>
  </si>
  <si>
    <t>DNA-A: HM585435; DNA-B: HM585436</t>
  </si>
  <si>
    <t>South African cassava mosaic virus</t>
  </si>
  <si>
    <t>SACMV</t>
  </si>
  <si>
    <t>South Africa</t>
  </si>
  <si>
    <t>DNA-A: AF155806; DNA-B: AF155807</t>
  </si>
  <si>
    <t>soybean blistering mosaic virus</t>
  </si>
  <si>
    <t>SbBMV</t>
  </si>
  <si>
    <t>Argentina/NOA/2005</t>
  </si>
  <si>
    <t>DNA-A: EF016486</t>
  </si>
  <si>
    <t>soybean chlorotic blotch virus</t>
  </si>
  <si>
    <t>SbCBV</t>
  </si>
  <si>
    <t>Nigeria/Soybean 19/2007</t>
  </si>
  <si>
    <t>DNA-A: GQ472985; DNA-B: GQ472986</t>
  </si>
  <si>
    <t>soybean mild mottle virus</t>
  </si>
  <si>
    <t>SbMMoV</t>
  </si>
  <si>
    <t>Nigeria/Soybean 17/2007</t>
  </si>
  <si>
    <t>Spilanthes yellow vein virus</t>
  </si>
  <si>
    <t>SpYVV</t>
  </si>
  <si>
    <t>Vietnam/Dalat/2005</t>
  </si>
  <si>
    <t>DNA-A: DQ641694</t>
  </si>
  <si>
    <t>spinach yellow vein virus</t>
  </si>
  <si>
    <t>SpiYVV</t>
  </si>
  <si>
    <t>India/Sikar/AS22</t>
  </si>
  <si>
    <t>squash leaf curl China virus</t>
  </si>
  <si>
    <t>SLCCNV/CN</t>
  </si>
  <si>
    <t>Vietnam/B/China</t>
  </si>
  <si>
    <t>SLCCNV</t>
  </si>
  <si>
    <t>Philippines/Benguet/P54</t>
  </si>
  <si>
    <t>SLCCNV/IN</t>
  </si>
  <si>
    <t>Pakistan/Lahore/2004/India</t>
  </si>
  <si>
    <t>SLCCNV/TH</t>
  </si>
  <si>
    <t>Thailand/Nakhon Pathom/Wax Gourd/2007/Thailand</t>
  </si>
  <si>
    <t>squash leaf curl Philippines virus</t>
  </si>
  <si>
    <t>SLCuPV</t>
  </si>
  <si>
    <t>Philippines/Munoz</t>
  </si>
  <si>
    <t>DNA-A: AB085793; DNA-B: AB085794</t>
  </si>
  <si>
    <t>squash leaf curl virus</t>
  </si>
  <si>
    <t>SLCuV</t>
  </si>
  <si>
    <t>United States/Imperial Valley/1979</t>
  </si>
  <si>
    <t>squash leaf curl Yunnan virus</t>
  </si>
  <si>
    <t>SLCuYV</t>
  </si>
  <si>
    <t>China/Yunnan/Y23</t>
  </si>
  <si>
    <t>squash mild leaf curl virus</t>
  </si>
  <si>
    <t>SMLCuV</t>
  </si>
  <si>
    <t>DNA-A: AF421552; DNA-B: AF421553</t>
  </si>
  <si>
    <t>Sri Lankan cassava mosaic virus</t>
  </si>
  <si>
    <t>SLCMV/LK</t>
  </si>
  <si>
    <t>Sri Lanka/Colombo/1998/Sri Lanka</t>
  </si>
  <si>
    <t>DNA-A: AJ314737; DNA-B: AJ314738</t>
  </si>
  <si>
    <t>SLCMV/IN</t>
  </si>
  <si>
    <t>India/Adivaram/2003/India</t>
  </si>
  <si>
    <t>Stachytarpheta leaf curl virus</t>
  </si>
  <si>
    <t>StaLCuV</t>
  </si>
  <si>
    <t>China/Hainan 5/2001</t>
  </si>
  <si>
    <t>DNA-A: AJ495814</t>
  </si>
  <si>
    <t>sunn hemp leaf distortion virus</t>
  </si>
  <si>
    <t>SHLDV</t>
  </si>
  <si>
    <t>India/Barrackpore 1/2008</t>
  </si>
  <si>
    <t>DNA-A: FJ455449</t>
  </si>
  <si>
    <t>sweet potato golden Korea vein virus</t>
  </si>
  <si>
    <t>SPGVKRV</t>
  </si>
  <si>
    <t>South Korea-20102-2012</t>
  </si>
  <si>
    <t>sweet potato leaf curl Canary virus</t>
  </si>
  <si>
    <t>SPLCCV</t>
  </si>
  <si>
    <t>Spain/Canary Islands/BG25/2002</t>
  </si>
  <si>
    <t>sweet potato leaf curl China virus</t>
  </si>
  <si>
    <t>SPLCCNV</t>
  </si>
  <si>
    <t>China/2005</t>
  </si>
  <si>
    <t>DNA-A: DQ512731</t>
  </si>
  <si>
    <t>sweet potato leaf curl Georgia virus</t>
  </si>
  <si>
    <t>SPLCGV</t>
  </si>
  <si>
    <t>United States/Georgia/16</t>
  </si>
  <si>
    <t>DNA-A: AF326775</t>
  </si>
  <si>
    <t>sweet potato leaf curl Guangxi virus</t>
  </si>
  <si>
    <t>China-Guangxi5-2011</t>
  </si>
  <si>
    <t>sweet potato leaf curl Henan virus</t>
  </si>
  <si>
    <t>SPLCHnV</t>
  </si>
  <si>
    <t>China/Henan 10/2012</t>
  </si>
  <si>
    <t>sweet potato leaf curl Hubei virus</t>
  </si>
  <si>
    <t>SPLCHbV</t>
  </si>
  <si>
    <t>CN-Hubei22-17</t>
  </si>
  <si>
    <t>sweet potato leaf curl Sao Paulo virus</t>
  </si>
  <si>
    <t>SPLCSPV</t>
  </si>
  <si>
    <t>Brazil/Sao Paulo/Alvares Machado/2009</t>
  </si>
  <si>
    <t>sweet potato leaf curl Shandong virus</t>
  </si>
  <si>
    <t>SPLCSdV</t>
  </si>
  <si>
    <t>CN-SD-14</t>
  </si>
  <si>
    <t>sweet potato leaf curl Sichuan virus 1</t>
  </si>
  <si>
    <t>SPLCSiV/1</t>
  </si>
  <si>
    <t>China/Sichuan 15/2012</t>
  </si>
  <si>
    <t>sweet potato leaf curl Sichuan virus 2</t>
  </si>
  <si>
    <t>SPLCSiV/2</t>
  </si>
  <si>
    <t>China/Sichuan 14/2012</t>
  </si>
  <si>
    <t>sweet potato leaf curl South Carolina virus</t>
  </si>
  <si>
    <t>SPLCSCV</t>
  </si>
  <si>
    <t>United States/South Carolina/648/B9/2006</t>
  </si>
  <si>
    <t>sweet potato leaf curl virus</t>
  </si>
  <si>
    <t>SPLCV/US</t>
  </si>
  <si>
    <t>United States/Louisiana/1994/United States</t>
  </si>
  <si>
    <t>DNA-A: AF104036</t>
  </si>
  <si>
    <t>SPLCV/CN</t>
  </si>
  <si>
    <t>China/Yunnan/RL31/2006/China</t>
  </si>
  <si>
    <t>SPLCV</t>
  </si>
  <si>
    <t>Spain/1998</t>
  </si>
  <si>
    <t>SPLCV/BR</t>
  </si>
  <si>
    <t>Brazil/Para/Belem1/2008/Brazil</t>
  </si>
  <si>
    <t>SPLCV/Fu</t>
  </si>
  <si>
    <t>China/Fujian/Fp3/2007/Fujian</t>
  </si>
  <si>
    <t>SPLCV/IT</t>
  </si>
  <si>
    <t>Italy/Sicily/2002/Italy</t>
  </si>
  <si>
    <t>SPLCV/JP</t>
  </si>
  <si>
    <t>Japan/Miyazaki/1996/Japan</t>
  </si>
  <si>
    <t>SPLCV/PB</t>
  </si>
  <si>
    <t>Brazil/Paraiba/Souza1/2008/Paraiba</t>
  </si>
  <si>
    <t>SPLCV/PE</t>
  </si>
  <si>
    <t>Brazil/Rondonia/Porto Velho/2008/Pernambuco</t>
  </si>
  <si>
    <t>SPLCV/PR</t>
  </si>
  <si>
    <t>Puerto Rico/80/N2/2006/Puerto Rico</t>
  </si>
  <si>
    <t>SPLCV/RO</t>
  </si>
  <si>
    <t>Brazil/Bahia/Utinga/2008/Rondonia</t>
  </si>
  <si>
    <t>SPLCV/SP</t>
  </si>
  <si>
    <t>Brazil/Sao Paulo/Alvares Machado/2009/Sao Paulo</t>
  </si>
  <si>
    <t>SPLCV/SC</t>
  </si>
  <si>
    <t>United States/South Carolina/646/B11/2006/South Carolina</t>
  </si>
  <si>
    <t>SPLCV/ES</t>
  </si>
  <si>
    <t>Spain/Canary Islands/BG6/2002/Spain</t>
  </si>
  <si>
    <t>sweet potato mosaic virus</t>
  </si>
  <si>
    <t>SPMV</t>
  </si>
  <si>
    <t>Brazil/Brasilia1/2008</t>
  </si>
  <si>
    <t>Synedrella yellow vein clearing virus</t>
  </si>
  <si>
    <t>SyYVCV</t>
  </si>
  <si>
    <t>India-NCBS_PS_1-2013</t>
  </si>
  <si>
    <t>DNA-A: KX363443</t>
  </si>
  <si>
    <t>Telfairia golden mosaic virus</t>
  </si>
  <si>
    <t>TelGMV</t>
  </si>
  <si>
    <t>Cameroon-BBT20-2014</t>
  </si>
  <si>
    <t>DNA-A: KT454832</t>
  </si>
  <si>
    <t>tobacco curly shoot virus</t>
  </si>
  <si>
    <t>TbCSV</t>
  </si>
  <si>
    <t>China/Yunnan 41/Tomato/2001</t>
  </si>
  <si>
    <t>DNA-A: AJ457986</t>
  </si>
  <si>
    <t>tobacco leaf curl Comoros virus</t>
  </si>
  <si>
    <t>TbLCKMV</t>
  </si>
  <si>
    <t>Comoros/Simboussa/2004</t>
  </si>
  <si>
    <t>tobacco leaf curl Cuba virus</t>
  </si>
  <si>
    <t>TbLCCUV</t>
  </si>
  <si>
    <t>Cuba/VC/2015</t>
  </si>
  <si>
    <t>DNA-A: KX011471; DNA-B: KX011472</t>
  </si>
  <si>
    <t>tobacco leaf curl Dominican Republic virus</t>
  </si>
  <si>
    <t>TbLCDOV</t>
  </si>
  <si>
    <t>DO-CG-15</t>
  </si>
  <si>
    <t>DNA-A: MH514011; DNA-B: MH514012</t>
  </si>
  <si>
    <t>tobacco leaf curl Pusa virus</t>
  </si>
  <si>
    <t>TbLCPuV/To</t>
  </si>
  <si>
    <t>India/Pusa/2009</t>
  </si>
  <si>
    <t>DNA-A: HQ180391</t>
  </si>
  <si>
    <t>tobacco leaf curl Thailand virus</t>
  </si>
  <si>
    <t>TbLCTHV</t>
  </si>
  <si>
    <t>Thailand/Tomato/2005</t>
  </si>
  <si>
    <t>tobacco leaf curl Yunnan virus</t>
  </si>
  <si>
    <t>TbLCYnV/CN</t>
  </si>
  <si>
    <t>China/Yunnan 136/2002/China</t>
  </si>
  <si>
    <t>tobacco leaf curl Zimbabwe virus</t>
  </si>
  <si>
    <t>TbLCZV</t>
  </si>
  <si>
    <t>Zimbabwe</t>
  </si>
  <si>
    <t>tobacco leaf rugose virus</t>
  </si>
  <si>
    <t>TbLRV</t>
  </si>
  <si>
    <t>Cuba/Havana/2001</t>
  </si>
  <si>
    <t>DNA-A: AJ488768</t>
  </si>
  <si>
    <t>tobacco mottle leaf curl virus</t>
  </si>
  <si>
    <t>TbMoLCV</t>
  </si>
  <si>
    <t>Cuba/Sanci Spiritus/2003</t>
  </si>
  <si>
    <t>tobacco yellow crinkle virus</t>
  </si>
  <si>
    <t>TbYCV</t>
  </si>
  <si>
    <t>Cuba/2007</t>
  </si>
  <si>
    <t>DNA-A: FJ213931; DNA-B: HQ896204</t>
  </si>
  <si>
    <t>tomato bright yellow mosaic virus</t>
  </si>
  <si>
    <t>ToBYMV</t>
  </si>
  <si>
    <t>Brazil/BA167/2012</t>
  </si>
  <si>
    <t>DNA-A: KC791690</t>
  </si>
  <si>
    <t>tomato bright yellow mottle virus</t>
  </si>
  <si>
    <t>ToBYMoV</t>
  </si>
  <si>
    <t>Brazil/TO167/2008</t>
  </si>
  <si>
    <t>DNA-A: KC791691</t>
  </si>
  <si>
    <t>tomato chino La Paz virus</t>
  </si>
  <si>
    <t>ToChLPV/A</t>
  </si>
  <si>
    <t>Mexico/Baja La Paz/2002/A</t>
  </si>
  <si>
    <t>DNA-A: AY339618</t>
  </si>
  <si>
    <t>ToChLPV</t>
  </si>
  <si>
    <t>Mexico/SLP4/2011</t>
  </si>
  <si>
    <t>Mexico/Baja El Carrizal/2002/B</t>
  </si>
  <si>
    <t>tomato chlorotic leaf curl virus</t>
  </si>
  <si>
    <t>ToCLCV</t>
  </si>
  <si>
    <t>BR-Alt1-16</t>
  </si>
  <si>
    <t>DNA-A: MK558058; DNA-B: MK558059</t>
  </si>
  <si>
    <t>tomato chlorotic leaf distortion virus</t>
  </si>
  <si>
    <t>ToClLDV</t>
  </si>
  <si>
    <t>Venezuela/Zulia/2004</t>
  </si>
  <si>
    <t>DNA-A: HQ201952; DNA-B: HQ201953</t>
  </si>
  <si>
    <t>tomato chlorotic mottle Guyane virus</t>
  </si>
  <si>
    <t>ToCMoGV</t>
  </si>
  <si>
    <t>French Guyana-Mon2-GF455-2009</t>
  </si>
  <si>
    <t>tomato chlorotic mottle virus</t>
  </si>
  <si>
    <t>ToCMoV/BA</t>
  </si>
  <si>
    <t>Brazil/Seabra 1/1996/Bahia</t>
  </si>
  <si>
    <t>DNA-A: AF490004; DNA-B: AF491306</t>
  </si>
  <si>
    <t>ToCMoV</t>
  </si>
  <si>
    <t>Brazil/Florestal 211/2008</t>
  </si>
  <si>
    <t>ToCMoV/MG</t>
  </si>
  <si>
    <t>Brazil/Betim 1/1996/Minas Gerais</t>
  </si>
  <si>
    <t>tomato common mosaic virus</t>
  </si>
  <si>
    <t>ToCmMV</t>
  </si>
  <si>
    <t>Brazil/Coimbra 22/2007</t>
  </si>
  <si>
    <t>DNA-A: EU710754; DNA-B: EU710755</t>
  </si>
  <si>
    <t>tomato curly stunt virus</t>
  </si>
  <si>
    <t>ToCSV</t>
  </si>
  <si>
    <t>South Africa/Onderberg/1998</t>
  </si>
  <si>
    <t>DNA-A: AF261885</t>
  </si>
  <si>
    <t>tomato dwarf leaf virus</t>
  </si>
  <si>
    <t>ToDfLV</t>
  </si>
  <si>
    <t>Argentin/Pichanal 397/2008</t>
  </si>
  <si>
    <t>DNA-A: JN564749; DNA-B: JN564750</t>
  </si>
  <si>
    <t>tomato enation leaf curl virus</t>
  </si>
  <si>
    <t>ToELCV</t>
  </si>
  <si>
    <t>India-TC14-2008</t>
  </si>
  <si>
    <t>DNA-A: KP195260</t>
  </si>
  <si>
    <t>tomato golden leaf distortion virus</t>
  </si>
  <si>
    <t>ToGLDV</t>
  </si>
  <si>
    <t>Brazil/TO45/2007</t>
  </si>
  <si>
    <t>DNA-A: HM357456</t>
  </si>
  <si>
    <t>tomato golden leaf spot virus</t>
  </si>
  <si>
    <t>ToGLSV</t>
  </si>
  <si>
    <t>Uruguay-TO83-Araguaina-2013</t>
  </si>
  <si>
    <t>DNA-A: KC626021</t>
  </si>
  <si>
    <t>tomato golden mosaic virus</t>
  </si>
  <si>
    <t>TGMV</t>
  </si>
  <si>
    <t>Brazil/Common/1984</t>
  </si>
  <si>
    <t>DNA-A: K02029; DNA-B: K02030</t>
  </si>
  <si>
    <t>tomato golden mottle virus</t>
  </si>
  <si>
    <t>ToGMoV</t>
  </si>
  <si>
    <t>Mexico/San Luiz Potosi/2005</t>
  </si>
  <si>
    <t>tomato golden vein virus</t>
  </si>
  <si>
    <t>TGVV</t>
  </si>
  <si>
    <t>Brazil/Ita1220/2003</t>
  </si>
  <si>
    <t>DNA-A: JF803254; DNA-B: JF803265</t>
  </si>
  <si>
    <t>tomato interveinal chlorosis virus</t>
  </si>
  <si>
    <t>ToICV</t>
  </si>
  <si>
    <t>Brazil/Pernambuco/Mdc2681/2004</t>
  </si>
  <si>
    <t>DNA-A: JF803252</t>
  </si>
  <si>
    <t>tomato latent virus</t>
  </si>
  <si>
    <t>ToLV</t>
  </si>
  <si>
    <t>Cuba-T2+-2011</t>
  </si>
  <si>
    <t>tomato leaf curl Anjouan virus</t>
  </si>
  <si>
    <t>ToLCAnV</t>
  </si>
  <si>
    <t>Comoros/Ouani/2004</t>
  </si>
  <si>
    <t>tomato leaf curl Arusha virus</t>
  </si>
  <si>
    <t>ToLCArV</t>
  </si>
  <si>
    <t>Tanzania/Kilimandjaro/2005</t>
  </si>
  <si>
    <t>DNA-A: EF194760</t>
  </si>
  <si>
    <t>tomato leaf curl Bangalore virus</t>
  </si>
  <si>
    <t>ToLCBaV/A</t>
  </si>
  <si>
    <t>India/Bangalore 1/A</t>
  </si>
  <si>
    <t>ToLCBaV</t>
  </si>
  <si>
    <t>India/Hessaraghatta/TC265/2010</t>
  </si>
  <si>
    <t>ToLCBaV/B</t>
  </si>
  <si>
    <t>India/Bangalore 5/B</t>
  </si>
  <si>
    <t>ToLCBaV/C</t>
  </si>
  <si>
    <t>India/Bangalore 4/1997/C</t>
  </si>
  <si>
    <t>ToLCBaV/D</t>
  </si>
  <si>
    <t>India/Kerala II/2005/D</t>
  </si>
  <si>
    <t>tomato leaf curl Bangladesh virus</t>
  </si>
  <si>
    <t>ToLCBV</t>
  </si>
  <si>
    <t>Bangladesh/BD2</t>
  </si>
  <si>
    <t>tomato leaf curl Burkina Faso virus</t>
  </si>
  <si>
    <t>TLCBFV</t>
  </si>
  <si>
    <t>Burkina Faso-Loumbila-Tomate51B1-2013</t>
  </si>
  <si>
    <t>tomato leaf curl Cebu virus</t>
  </si>
  <si>
    <t>ToLCCeV</t>
  </si>
  <si>
    <t>Philippines/Cebu P134/2007</t>
  </si>
  <si>
    <t>DNA-A: EU487042</t>
  </si>
  <si>
    <t>tomato leaf curl China virus</t>
  </si>
  <si>
    <t>ToLCCNV/BS</t>
  </si>
  <si>
    <t>China/Guangxi 32/2002/Baise</t>
  </si>
  <si>
    <t>DNA-A: AJ558118</t>
  </si>
  <si>
    <t>ToLCCNV</t>
  </si>
  <si>
    <t>China/Guangxi/Tobacco/JX/2/2010</t>
  </si>
  <si>
    <t>ToLCCNV/NN1</t>
  </si>
  <si>
    <t>China/Guangxi 18/2002/Nanning1</t>
  </si>
  <si>
    <t>ToLCCNV/NN2</t>
  </si>
  <si>
    <t>China/Guangxi 63/2003/Nanning2</t>
  </si>
  <si>
    <t>tomato leaf curl Comoros virus</t>
  </si>
  <si>
    <t>ToLCKMV</t>
  </si>
  <si>
    <t>Mayotte/Kahani/2003</t>
  </si>
  <si>
    <t>ToLCKMV/MG</t>
  </si>
  <si>
    <t>Madagascar/Dimadjou/2006/Madagascar</t>
  </si>
  <si>
    <t>tomato leaf curl Diana virus</t>
  </si>
  <si>
    <t>ToLCDiV</t>
  </si>
  <si>
    <t>Madagascar/Namakely/2001</t>
  </si>
  <si>
    <t>tomato leaf curl Ghana virus</t>
  </si>
  <si>
    <t>ToLCGV</t>
  </si>
  <si>
    <t>Ghana/Akumadan/2006</t>
  </si>
  <si>
    <t>DNA-A: EU350585</t>
  </si>
  <si>
    <t>ToLCGV/Ag</t>
  </si>
  <si>
    <t>Cameroon/AGFG24/2009/Ageratum</t>
  </si>
  <si>
    <t>tomato leaf curl Guangdong virus</t>
  </si>
  <si>
    <t>ToLCGdV</t>
  </si>
  <si>
    <t>China/Guangzhou 2/2003</t>
  </si>
  <si>
    <t>DNA-A: AY602165</t>
  </si>
  <si>
    <t>tomato leaf curl Guangxi virus</t>
  </si>
  <si>
    <t>ToLCGxV</t>
  </si>
  <si>
    <t>China/Guangxi 1/2003</t>
  </si>
  <si>
    <t>tomato leaf curl Gujarat virus</t>
  </si>
  <si>
    <t>ToLCGUV</t>
  </si>
  <si>
    <t>India/Varanasi/2001</t>
  </si>
  <si>
    <t>DNA-A: AY190290; DNA-B: AY190291</t>
  </si>
  <si>
    <t>tomato leaf curl Hainan virus</t>
  </si>
  <si>
    <t>ToLCHaiV</t>
  </si>
  <si>
    <t>China/FQ12/2012</t>
  </si>
  <si>
    <t>tomato leaf curl Hanoi virus</t>
  </si>
  <si>
    <t>ToLCHaV</t>
  </si>
  <si>
    <t>Vietnam/Hanoi/Tomato/2010</t>
  </si>
  <si>
    <t>tomato leaf curl Hsinchu virus</t>
  </si>
  <si>
    <t>ToLCHsV</t>
  </si>
  <si>
    <t>China/Hainan/Ramie/2007</t>
  </si>
  <si>
    <t>DNA-A: EU596959; DNA-B: EU596960</t>
  </si>
  <si>
    <t>tomato leaf curl Iran virus</t>
  </si>
  <si>
    <t>ToLCIRV</t>
  </si>
  <si>
    <t>Iran/Iranshahr</t>
  </si>
  <si>
    <t>tomato leaf curl Japan virus</t>
  </si>
  <si>
    <t>ToLCJV</t>
  </si>
  <si>
    <t>JP-Miy-01</t>
  </si>
  <si>
    <t>tomato leaf curl Java virus</t>
  </si>
  <si>
    <t>ToLCJaV/A</t>
  </si>
  <si>
    <t>Indonesia/A</t>
  </si>
  <si>
    <t>ToLCJaV/B</t>
  </si>
  <si>
    <t>Indonesia/Ageratum/B</t>
  </si>
  <si>
    <t>tomato leaf curl Joydebpur virus</t>
  </si>
  <si>
    <t>India/Varanasi/Capsicum annuum/2010</t>
  </si>
  <si>
    <t>DNA-A: HM991146</t>
  </si>
  <si>
    <t>tomato leaf curl Karnataka virus</t>
  </si>
  <si>
    <t>ToLCKaV/Ban</t>
  </si>
  <si>
    <t>India/Bangalore/1993</t>
  </si>
  <si>
    <t>tomato leaf curl Karnataka virus 2</t>
  </si>
  <si>
    <t>ToLCKV2</t>
  </si>
  <si>
    <t>IN-TC289-10</t>
  </si>
  <si>
    <t>tomato leaf curl Karnataka virus 3</t>
  </si>
  <si>
    <t>ToLCKV3</t>
  </si>
  <si>
    <t>IN-TC235-09</t>
  </si>
  <si>
    <t>tomato leaf curl Kerala virus</t>
  </si>
  <si>
    <t>ToLCKeV</t>
  </si>
  <si>
    <t>India/Kerala 3/2007</t>
  </si>
  <si>
    <t>DNA-A: EU910141</t>
  </si>
  <si>
    <t>tomato leaf curl Kunene virus</t>
  </si>
  <si>
    <t>ToLCKunV</t>
  </si>
  <si>
    <t>NA-2019</t>
  </si>
  <si>
    <t>tomato leaf curl Laos virus</t>
  </si>
  <si>
    <t>ToLCLV</t>
  </si>
  <si>
    <t>Laos</t>
  </si>
  <si>
    <t>tomato leaf curl Liwa virus</t>
  </si>
  <si>
    <t>ToLCLwV</t>
  </si>
  <si>
    <t>Oman/Liwa/LW1/2012</t>
  </si>
  <si>
    <t>tomato leaf curl Madagascar virus</t>
  </si>
  <si>
    <t>ToLCMGV/Men</t>
  </si>
  <si>
    <t>Madagascar/Morondova/2001/Menabe</t>
  </si>
  <si>
    <t>ToLCMGV/Ats</t>
  </si>
  <si>
    <t>Madagascar/Toliary/2001/Atsimo</t>
  </si>
  <si>
    <t>tomato leaf curl Mahé virus</t>
  </si>
  <si>
    <t>ToLCMahV</t>
  </si>
  <si>
    <t>SC-Pra-SC8-1b-17</t>
  </si>
  <si>
    <t>tomato leaf curl Malaysia virus</t>
  </si>
  <si>
    <t>ToLCMYV/MY</t>
  </si>
  <si>
    <t>Malaysia/Klang/1997</t>
  </si>
  <si>
    <t>DNA-A: AF327436</t>
  </si>
  <si>
    <t>tomato leaf curl Mali virus</t>
  </si>
  <si>
    <t>ToLCMLV</t>
  </si>
  <si>
    <t>tomato leaf curl Mindanao virus</t>
  </si>
  <si>
    <t>ToLCMiV</t>
  </si>
  <si>
    <t>Philippines/Mindanao P162/2007</t>
  </si>
  <si>
    <t>tomato leaf curl Moheli virus</t>
  </si>
  <si>
    <t>ToLCMohV</t>
  </si>
  <si>
    <t>Comoros/Moheli/2005</t>
  </si>
  <si>
    <t>tomato leaf curl Namakely virus</t>
  </si>
  <si>
    <t>ToLCNaV</t>
  </si>
  <si>
    <t>tomato leaf curl New Delhi virus</t>
  </si>
  <si>
    <t>ToLCNDV</t>
  </si>
  <si>
    <t>India/New Delhi/Severe/1992</t>
  </si>
  <si>
    <t>DNA-A: U15015; DNA-B: U15017</t>
  </si>
  <si>
    <t>tomato leaf curl New Delhi virus 2</t>
  </si>
  <si>
    <t>ToLCNDV2</t>
  </si>
  <si>
    <t>India/IANDS1/2011</t>
  </si>
  <si>
    <t>tomato leaf curl New Delhi virus 4</t>
  </si>
  <si>
    <t>ToLCNDV4</t>
  </si>
  <si>
    <t>India/Junagad/TC306/2011</t>
  </si>
  <si>
    <t>DNA-A: KF551592</t>
  </si>
  <si>
    <t>tomato leaf curl New Delhi virus 5</t>
  </si>
  <si>
    <t>ToLCNDV5</t>
  </si>
  <si>
    <t>BD-cuc-06</t>
  </si>
  <si>
    <t>tomato leaf curl Nigeria virus</t>
  </si>
  <si>
    <t>ToLCNGV</t>
  </si>
  <si>
    <t>Nigeria/2006</t>
  </si>
  <si>
    <t>tomato leaf curl Palampur virus</t>
  </si>
  <si>
    <t>ToLCPalV</t>
  </si>
  <si>
    <t>India/Palampur/2007</t>
  </si>
  <si>
    <t>DNA-A: AM884015; DNA-B: AM992534</t>
  </si>
  <si>
    <t>tomato leaf curl Patna virus</t>
  </si>
  <si>
    <t>ToLCPatV</t>
  </si>
  <si>
    <t>India/Patna/2008</t>
  </si>
  <si>
    <t>DNA-A: EU862323</t>
  </si>
  <si>
    <t>tomato leaf curl Philippines virus</t>
  </si>
  <si>
    <t>ToLCPV/B</t>
  </si>
  <si>
    <t>Philippines/Los Banos 2/B</t>
  </si>
  <si>
    <t>ToLCPV/A</t>
  </si>
  <si>
    <t>Philippines/Laguna/2006/A</t>
  </si>
  <si>
    <t>ToLCPV/C</t>
  </si>
  <si>
    <t>Philippines/Laguna/2006/C</t>
  </si>
  <si>
    <t>tomato leaf curl Pune virus</t>
  </si>
  <si>
    <t>ToLCPuV</t>
  </si>
  <si>
    <t>India/Pune/2005</t>
  </si>
  <si>
    <t>tomato leaf curl purple vein virus</t>
  </si>
  <si>
    <t>ToLCPVV</t>
  </si>
  <si>
    <t>BR-P793-15</t>
  </si>
  <si>
    <t>tomato leaf curl Rajasthan virus</t>
  </si>
  <si>
    <t>ToLCRaV</t>
  </si>
  <si>
    <t>India/Rajasthan/2005</t>
  </si>
  <si>
    <t>DNA-A: DQ339117</t>
  </si>
  <si>
    <t>tomato leaf curl Seychelles virus</t>
  </si>
  <si>
    <t>ToLCSCV</t>
  </si>
  <si>
    <t>Seychelles/Val d'Endor/2004</t>
  </si>
  <si>
    <t>tomato leaf curl Sinaloa virus</t>
  </si>
  <si>
    <t>ToLCSiV</t>
  </si>
  <si>
    <t>Nicaragua/Santa Lucia/NI2</t>
  </si>
  <si>
    <t>tomato leaf curl Sri Lanka virus</t>
  </si>
  <si>
    <t>ToLCLKV</t>
  </si>
  <si>
    <t>Sri Lanka/Bandarawela/1997</t>
  </si>
  <si>
    <t>DNA-A: AF274349</t>
  </si>
  <si>
    <t>tomato leaf curl Sudan virus</t>
  </si>
  <si>
    <t>ToLCSDV/Gez</t>
  </si>
  <si>
    <t>Sudan/Gezira/1996/Gezira</t>
  </si>
  <si>
    <t>ToLCSDV</t>
  </si>
  <si>
    <t>Sudan/WM/2011</t>
  </si>
  <si>
    <t>ToLCSDV/Sha</t>
  </si>
  <si>
    <t>Sudan/Shambat/1996/Shambat</t>
  </si>
  <si>
    <t>ToLCSDV/YE</t>
  </si>
  <si>
    <t>Yemen/2005/Yemen</t>
  </si>
  <si>
    <t>tomato leaf curl Sulawesi virus</t>
  </si>
  <si>
    <t>ToLCSuV</t>
  </si>
  <si>
    <t>Indonesia/Sulawesi/Langowan F101/2006</t>
  </si>
  <si>
    <t>DNA-A: FJ237617</t>
  </si>
  <si>
    <t>tomato leaf curl Taiwan virus</t>
  </si>
  <si>
    <t>ToLCTV/A</t>
  </si>
  <si>
    <t>Taiwan/A</t>
  </si>
  <si>
    <t>ToLCTV</t>
  </si>
  <si>
    <t>China/NS1/2011</t>
  </si>
  <si>
    <t>ToLCTV/B</t>
  </si>
  <si>
    <t>Taiwan/Luye 2/4/2009/B</t>
  </si>
  <si>
    <t>ToLCTV/C</t>
  </si>
  <si>
    <t>Taiwan/Chiayi/LJC14/2005/C</t>
  </si>
  <si>
    <t>tomato leaf curl Tanzania virus</t>
  </si>
  <si>
    <t>ToLCTZV</t>
  </si>
  <si>
    <t>TZ-Ten-05</t>
  </si>
  <si>
    <t>tomato leaf curl Toliara virus</t>
  </si>
  <si>
    <t>ToLCToV</t>
  </si>
  <si>
    <t>Madagascar/Miandrivazo/2001</t>
  </si>
  <si>
    <t>tomato leaf curl Uganda virus</t>
  </si>
  <si>
    <t>ToLCUV</t>
  </si>
  <si>
    <t>Uganda/Iganga/2005</t>
  </si>
  <si>
    <t>DNA-A: DQ127170</t>
  </si>
  <si>
    <t>tomato leaf curl Vietnam virus</t>
  </si>
  <si>
    <t>ToLCVV</t>
  </si>
  <si>
    <t>Vietnam/Hanoi/1998</t>
  </si>
  <si>
    <t>DNA-A: AF264063</t>
  </si>
  <si>
    <t>tomato leaf curl virus</t>
  </si>
  <si>
    <t>ToLCV/To</t>
  </si>
  <si>
    <t>Australia/Tomato</t>
  </si>
  <si>
    <t>ToLCV/Sol</t>
  </si>
  <si>
    <t>Australia/Solanum/D1/Solanum</t>
  </si>
  <si>
    <t>ToLCV</t>
  </si>
  <si>
    <t>India/New Delhi/CTS/2006</t>
  </si>
  <si>
    <t>ToLCV/Ban</t>
  </si>
  <si>
    <t>India/Punjab/Mentha/2007/Bangalore</t>
  </si>
  <si>
    <t>ToLCV/Jan</t>
  </si>
  <si>
    <t>India/Janti/2005/Janti</t>
  </si>
  <si>
    <t>tomato leaf deformation virus</t>
  </si>
  <si>
    <t>ToLDeV</t>
  </si>
  <si>
    <t>Peru/Tomato/1/2003</t>
  </si>
  <si>
    <t>DNA-A: GQ334472</t>
  </si>
  <si>
    <t>tomato leaf distortion virus</t>
  </si>
  <si>
    <t>ToLDV</t>
  </si>
  <si>
    <t>Brazil/Paty do Alferes 4/2005</t>
  </si>
  <si>
    <t>DNA-A: EU710749</t>
  </si>
  <si>
    <t>tomato mild mosaic virus</t>
  </si>
  <si>
    <t>ToMMV</t>
  </si>
  <si>
    <t>Brazil/Paty do Alferes 58/2005</t>
  </si>
  <si>
    <t>DNA-A: EU710752; DNA-B: EU710753</t>
  </si>
  <si>
    <t>tomato mild yellow leaf curl Aragua virus</t>
  </si>
  <si>
    <t>ToMYLCAV</t>
  </si>
  <si>
    <t>Venezuela/10/2003</t>
  </si>
  <si>
    <t>tomato mosaic Havana virus</t>
  </si>
  <si>
    <t>ToMHaV</t>
  </si>
  <si>
    <t>Cuba/Quivican</t>
  </si>
  <si>
    <t>DNA-A: Y14874; DNA-B: Y14875</t>
  </si>
  <si>
    <t>tomato mosaic severe dwarf virus</t>
  </si>
  <si>
    <t>ToMSDV</t>
  </si>
  <si>
    <t>BR-DF-640_AA_LVV-16</t>
  </si>
  <si>
    <t>tomato mottle leaf curl virus</t>
  </si>
  <si>
    <t>ToMoLCV</t>
  </si>
  <si>
    <t>Brazil/Jaiba 13/2008</t>
  </si>
  <si>
    <t>DNA-A: KC706615</t>
  </si>
  <si>
    <t>tomato mottle Taino virus</t>
  </si>
  <si>
    <t>ToMoTaV</t>
  </si>
  <si>
    <t>DNA-A: AF012300; DNA-B: AF012301</t>
  </si>
  <si>
    <t>tomato mottle virus</t>
  </si>
  <si>
    <t>ToMoV</t>
  </si>
  <si>
    <t>United States/Florida/1989</t>
  </si>
  <si>
    <t>DNA-A: L14460; DNA-B: L14461</t>
  </si>
  <si>
    <t>tomato mottle wrinkle virus</t>
  </si>
  <si>
    <t>ToMoWV</t>
  </si>
  <si>
    <t>Argentina-Pichanal_400-2008</t>
  </si>
  <si>
    <t>DNA-A: JQ714137; DNA-B: JQ714138</t>
  </si>
  <si>
    <t>tomato rugose mosaic virus</t>
  </si>
  <si>
    <t>ToRMV</t>
  </si>
  <si>
    <t>Brazil/Uberlandia 1/1996</t>
  </si>
  <si>
    <t>DNA-A: AF291705; DNA-B: AF291706</t>
  </si>
  <si>
    <t>tomato rugose yellow leaf curl virus</t>
  </si>
  <si>
    <t>TRYLCV</t>
  </si>
  <si>
    <t>Uruguay/Salto Grande/U2/2009</t>
  </si>
  <si>
    <t>tomato severe leaf curl Kalakada virus</t>
  </si>
  <si>
    <t>ToSLCKV</t>
  </si>
  <si>
    <t>IN-TC101-07</t>
  </si>
  <si>
    <t>tomato severe leaf curl virus</t>
  </si>
  <si>
    <t>ToSLCV/GT</t>
  </si>
  <si>
    <t>Guatemala/Sansirisay/1996/Guatemala</t>
  </si>
  <si>
    <t>DNA-A: AF130415</t>
  </si>
  <si>
    <t>ToSLCV</t>
  </si>
  <si>
    <t>Mexico/Huasteca/2011</t>
  </si>
  <si>
    <t>ToSLCV/NI</t>
  </si>
  <si>
    <t>Nicaragua/Condega/Nicaragua</t>
  </si>
  <si>
    <t>tomato severe rugose virus</t>
  </si>
  <si>
    <t>ToSRV</t>
  </si>
  <si>
    <t>Brazil/Petrolina de Goias 1/Capsicum/2003</t>
  </si>
  <si>
    <t>DNA-A: DQ207749; DNA-B: EF534708</t>
  </si>
  <si>
    <t>tomato twisted leaf virus</t>
  </si>
  <si>
    <t>ToTLV</t>
  </si>
  <si>
    <t>VE-Be6.6H-05</t>
  </si>
  <si>
    <t>tomato vein clearing leaf deformation virus</t>
  </si>
  <si>
    <t>ToVCLDeV</t>
  </si>
  <si>
    <t>AR-Cordoba-Monte Cristo-Tom51-05</t>
  </si>
  <si>
    <t>tomato wrinkled mosaic virus</t>
  </si>
  <si>
    <t>ToWMV</t>
  </si>
  <si>
    <t>VE-Tru427-06</t>
  </si>
  <si>
    <t>DNA-A: KY449275; DNA-B: KY449276</t>
  </si>
  <si>
    <t>tomato yellow leaf curl Axarquia virus</t>
  </si>
  <si>
    <t>TYLCAxV</t>
  </si>
  <si>
    <t>Italy/Sicily2.2/2007</t>
  </si>
  <si>
    <t>tomato yellow leaf curl China virus</t>
  </si>
  <si>
    <t>TYLCCNV/HH</t>
  </si>
  <si>
    <t>China/Guangxi/Honghe</t>
  </si>
  <si>
    <t>DNA-A: AF311734</t>
  </si>
  <si>
    <t>TYLCCNV/BS1</t>
  </si>
  <si>
    <t>China/Yunnan 10/Tobacco/2000/Baoshan</t>
  </si>
  <si>
    <t>TYLCCNV</t>
  </si>
  <si>
    <t>China/Yunnan 25/Tomato/2000</t>
  </si>
  <si>
    <t>TYLCCNV/BS3</t>
  </si>
  <si>
    <t>China/Yunnan 278/Malvastrum/2007/Baoshan3</t>
  </si>
  <si>
    <t>TYLCCNV/Bea</t>
  </si>
  <si>
    <t>China/Yunnan/Bean/2004/Bean</t>
  </si>
  <si>
    <t>TYLCCNV/DL</t>
  </si>
  <si>
    <t>China/Yunnan 5/Tobacco/1999/Dali</t>
  </si>
  <si>
    <t>TYLCCNV/Dat</t>
  </si>
  <si>
    <t>China/Yunnan 72/ Datura/2005/Datura</t>
  </si>
  <si>
    <t>tomato yellow leaf curl Guangdong virus</t>
  </si>
  <si>
    <t>TYLCGdV</t>
  </si>
  <si>
    <t>China/Guangzhou 3/2003</t>
  </si>
  <si>
    <t>DNA-A: AY602166</t>
  </si>
  <si>
    <t>tomato yellow leaf curl Indonesia virus</t>
  </si>
  <si>
    <t>TYLCIDV</t>
  </si>
  <si>
    <t>Indonesia/Lembang/2005</t>
  </si>
  <si>
    <t>DNA-A: AF189018</t>
  </si>
  <si>
    <t>tomato yellow leaf curl Kanchanaburi virus</t>
  </si>
  <si>
    <t>TYLCKaV</t>
  </si>
  <si>
    <t>Thailand/Kanchanaburi 1/2001</t>
  </si>
  <si>
    <t>tomato yellow leaf curl Malaga virus</t>
  </si>
  <si>
    <t>TYLCMaV</t>
  </si>
  <si>
    <t>Spain/421/1999</t>
  </si>
  <si>
    <t>tomato yellow leaf curl Mali virus</t>
  </si>
  <si>
    <t>TYLCMLV</t>
  </si>
  <si>
    <t>Burkina Faso/Tom141/2013</t>
  </si>
  <si>
    <t>TYLCMLV/ET</t>
  </si>
  <si>
    <t>Ethiopia/Melkassa/2005/Ethiopia</t>
  </si>
  <si>
    <t>TYLCMLV/ML</t>
  </si>
  <si>
    <t>Mali/2003/Mali</t>
  </si>
  <si>
    <t>tomato yellow leaf curl Sardinia virus</t>
  </si>
  <si>
    <t>TYLCSaV</t>
  </si>
  <si>
    <t>Italy/Sardinia/1988</t>
  </si>
  <si>
    <t>tomato yellow leaf curl Shuangbai virus</t>
  </si>
  <si>
    <t>TYLCShV</t>
  </si>
  <si>
    <t>China-Y4536-2014</t>
  </si>
  <si>
    <t>tomato yellow leaf curl Thailand virus</t>
  </si>
  <si>
    <t>TYLCTHV/A</t>
  </si>
  <si>
    <t>Thailand/2/A</t>
  </si>
  <si>
    <t>TYLCTHV/B</t>
  </si>
  <si>
    <t>Thailand/Chiang Mai/B</t>
  </si>
  <si>
    <t>TYLCTHV/C</t>
  </si>
  <si>
    <t>China/Yunnan 72/2002/C</t>
  </si>
  <si>
    <t>TYLCTHV/D</t>
  </si>
  <si>
    <t>Myanmar/Yangon/1999/D</t>
  </si>
  <si>
    <t>TYLCTHV/E</t>
  </si>
  <si>
    <t>Thailand/Sakon Nakhon/E</t>
  </si>
  <si>
    <t>tomato yellow leaf curl Vietnam virus</t>
  </si>
  <si>
    <t>TYLCVV</t>
  </si>
  <si>
    <t>DNA-A: DQ641697</t>
  </si>
  <si>
    <t>tomato yellow leaf curl virus</t>
  </si>
  <si>
    <t>TYLCV</t>
  </si>
  <si>
    <t>Spain/Almeria/Pepper/1999</t>
  </si>
  <si>
    <t>TYLCV/Bou</t>
  </si>
  <si>
    <t>Iran/Genaveh 29/2006/Boushehr</t>
  </si>
  <si>
    <t>TYLCV/IR</t>
  </si>
  <si>
    <t>Iran/Iranshahr/1998/Iran</t>
  </si>
  <si>
    <t>TYLCV/Kah</t>
  </si>
  <si>
    <t>Iran/Kahnooj/2007/Kahnoo</t>
  </si>
  <si>
    <t>TYLCV/Ker</t>
  </si>
  <si>
    <t>Iran/Hormozgan 32/2006/Kerman</t>
  </si>
  <si>
    <t>TYLCV/Mld</t>
  </si>
  <si>
    <t>Israel/1993/Mild</t>
  </si>
  <si>
    <t>tomato yellow leaf curl Yunnan virus</t>
  </si>
  <si>
    <t>TYLCYnV</t>
  </si>
  <si>
    <t>China-YN2013-2011</t>
  </si>
  <si>
    <t>DNA-A: KC686705</t>
  </si>
  <si>
    <t>tomato yellow leaf deformation dwarf virus</t>
  </si>
  <si>
    <t>ToYLDeDV</t>
  </si>
  <si>
    <t>BR-TO_83-08</t>
  </si>
  <si>
    <t>tomato yellow leaf distortion virus</t>
  </si>
  <si>
    <t>ToYLDV</t>
  </si>
  <si>
    <t>Cuba/5E17/2007</t>
  </si>
  <si>
    <t>DNA-A: FJ174698; DNA-B: FJ999999</t>
  </si>
  <si>
    <t>tomato yellow margin leaf curl virus</t>
  </si>
  <si>
    <t>ToYMLCV</t>
  </si>
  <si>
    <t>Venezuela/Merida/57</t>
  </si>
  <si>
    <t>DNA-A: AY508993; DNA-B: AY508994</t>
  </si>
  <si>
    <t>tomato yellow mottle virus</t>
  </si>
  <si>
    <t>ToYMoV</t>
  </si>
  <si>
    <t>Costa Rica/2003</t>
  </si>
  <si>
    <t>DNA-A: KC176780; DNA-B: KC176781</t>
  </si>
  <si>
    <t>tomato yellow spot virus</t>
  </si>
  <si>
    <t>ToYSV</t>
  </si>
  <si>
    <t>Brazil/Bicas 2/1999</t>
  </si>
  <si>
    <t>DNA-A: DQ336350; DNA-B: DQ336351</t>
  </si>
  <si>
    <t>tomato yellow vein streak virus</t>
  </si>
  <si>
    <t>ToYVSV</t>
  </si>
  <si>
    <t>Brazil/Potato/1983</t>
  </si>
  <si>
    <t>DNA-A: EF417915; DNA-B: EF417916</t>
  </si>
  <si>
    <t>Triumfetta yellow mosaic virus</t>
  </si>
  <si>
    <t>TrYMV</t>
  </si>
  <si>
    <t>Brazil-Msj1-2010</t>
  </si>
  <si>
    <t>DNA-A: KU131588; DNA-B: KU131589</t>
  </si>
  <si>
    <t>velvet bean golden mosaic virus</t>
  </si>
  <si>
    <t>VBGMV</t>
  </si>
  <si>
    <t>Taiwan-bgv6_5-2014</t>
  </si>
  <si>
    <t>velvet bean severe mosaic virus</t>
  </si>
  <si>
    <t>VBSMV</t>
  </si>
  <si>
    <t>India/Lucknow/2008</t>
  </si>
  <si>
    <t>DNA-A: FN543425; DNA-B: FN543426</t>
  </si>
  <si>
    <t>Verbena mottle virus</t>
  </si>
  <si>
    <t>VMoV</t>
  </si>
  <si>
    <t>Vernonia crinkle virus</t>
  </si>
  <si>
    <t>VeCrV</t>
  </si>
  <si>
    <t>Uganda-Na_UG7-2015</t>
  </si>
  <si>
    <t>Vernonia yellow vein Fujian virus</t>
  </si>
  <si>
    <t>VeYVFjV</t>
  </si>
  <si>
    <t>CN-Fj-09</t>
  </si>
  <si>
    <t>Vernonia yellow vein virus</t>
  </si>
  <si>
    <t>VeYVV</t>
  </si>
  <si>
    <t>India/Madurai/2005</t>
  </si>
  <si>
    <t>DNA-A: AM182232</t>
  </si>
  <si>
    <t>Vigna yellow mosaic virus</t>
  </si>
  <si>
    <t>ViYMV</t>
  </si>
  <si>
    <t>Mexico/Morelos/Yautepec/2007</t>
  </si>
  <si>
    <t>DNA-A: KC430936</t>
  </si>
  <si>
    <t>Vinca leaf curl virus</t>
  </si>
  <si>
    <t>VinLCV</t>
  </si>
  <si>
    <t>India-RK-2015</t>
  </si>
  <si>
    <t>watermelon chlorotic stunt virus</t>
  </si>
  <si>
    <t>WmCSV</t>
  </si>
  <si>
    <t>Yemen</t>
  </si>
  <si>
    <t>DNA-A: AJ012081; DNA-B: AJ012082</t>
  </si>
  <si>
    <t>West African Asystasia virus 1</t>
  </si>
  <si>
    <t>WAAV1</t>
  </si>
  <si>
    <t>West Africa/Asystasia1/2011</t>
  </si>
  <si>
    <t>DNA-A: JF694484; DNA-B: JF694485</t>
  </si>
  <si>
    <t>West African Asystasia virus 2</t>
  </si>
  <si>
    <t>WAAV2</t>
  </si>
  <si>
    <t>West Africa/Asystasia2/2011</t>
  </si>
  <si>
    <t>DNA-A: JF694486</t>
  </si>
  <si>
    <t>West African Asystasia virus 3</t>
  </si>
  <si>
    <t>WAAV3</t>
  </si>
  <si>
    <t>BJ-58-14</t>
  </si>
  <si>
    <t>DNA-A: KT444609; DNA-B: KT444610</t>
  </si>
  <si>
    <t>whitefly-asssociated begomovirus 1</t>
  </si>
  <si>
    <t>WfaBV1</t>
  </si>
  <si>
    <t>Guatemala-GtSq11-2012</t>
  </si>
  <si>
    <t>DNA-A: KT099124</t>
  </si>
  <si>
    <t>invertebrates, plants</t>
  </si>
  <si>
    <t>whitefly-asssociated begomovirus 2</t>
  </si>
  <si>
    <t>WfaBV2</t>
  </si>
  <si>
    <t>Guatemala-GtSq5-2012</t>
  </si>
  <si>
    <t>DNA-A: KT099125</t>
  </si>
  <si>
    <t>whitefly-asssociated begomovirus 3</t>
  </si>
  <si>
    <t>WfaBV3</t>
  </si>
  <si>
    <t>Guatemala-GtSq10-2012</t>
  </si>
  <si>
    <t>DNA-A: KT099127</t>
  </si>
  <si>
    <t>whitefly-asssociated begomovirus 4</t>
  </si>
  <si>
    <t>WfaBV4</t>
  </si>
  <si>
    <t>Guatemala-GtSq8-2012</t>
  </si>
  <si>
    <t>DNA-A: KT099128</t>
  </si>
  <si>
    <t>whitefly-asssociated begomovirus 6</t>
  </si>
  <si>
    <t>WfaBV6</t>
  </si>
  <si>
    <t>Puerto Rico-PR10-2010</t>
  </si>
  <si>
    <t>DNA-A: KT099139</t>
  </si>
  <si>
    <t>whitefly-asssociated begomovirus 7</t>
  </si>
  <si>
    <t>WfaBV7</t>
  </si>
  <si>
    <t>Spain-Sp5_4-2011</t>
  </si>
  <si>
    <t>Wissadula golden mosaic virus</t>
  </si>
  <si>
    <t>WGMV</t>
  </si>
  <si>
    <t>Jamaica/St Thomas/2005</t>
  </si>
  <si>
    <t>DNA-A: DQ395343; DNA-B: EU158095</t>
  </si>
  <si>
    <t>Wissadula yellow mosaic virus</t>
  </si>
  <si>
    <t>WYMV</t>
  </si>
  <si>
    <t>Brazil-ALW35_5B-2014</t>
  </si>
  <si>
    <t>DNA-A: KX691411</t>
  </si>
  <si>
    <t>Capulavirus</t>
  </si>
  <si>
    <t>Alfalfa leaf curl virus</t>
  </si>
  <si>
    <t>ALCV</t>
  </si>
  <si>
    <t>France/44/1E/2010</t>
  </si>
  <si>
    <t>KP732474</t>
  </si>
  <si>
    <t>Euphorbia caput-medusae latent virus</t>
  </si>
  <si>
    <t>EcmLV</t>
  </si>
  <si>
    <t>South Africa/Dar10/2010</t>
  </si>
  <si>
    <t>HF921459</t>
  </si>
  <si>
    <t>French bean severe leaf curl virus</t>
  </si>
  <si>
    <t>FbSLSV</t>
  </si>
  <si>
    <t>India/2012</t>
  </si>
  <si>
    <t>JX094280</t>
  </si>
  <si>
    <t>Plantago lanceolata latent virus</t>
  </si>
  <si>
    <t>PlLV</t>
  </si>
  <si>
    <t>Finland/ALA13_Pl11/2013</t>
  </si>
  <si>
    <t>KT214389</t>
  </si>
  <si>
    <t>Citlodavirus</t>
  </si>
  <si>
    <t>Camellia chlorotic dwarf-associated virus</t>
  </si>
  <si>
    <t>CaCDaV</t>
  </si>
  <si>
    <t>CN-Ca-1</t>
  </si>
  <si>
    <t>MG452759</t>
  </si>
  <si>
    <t>citrus chlorotic dwarf associated virus</t>
  </si>
  <si>
    <t>CCDaV</t>
  </si>
  <si>
    <t>Turkey/1995/TK4</t>
  </si>
  <si>
    <t>JQ920490</t>
  </si>
  <si>
    <t>paper mulberry leaf curl virus 2</t>
  </si>
  <si>
    <t>PMLCV-2</t>
  </si>
  <si>
    <t>SWU</t>
  </si>
  <si>
    <t>MN595127</t>
  </si>
  <si>
    <t>passion fruit chlorotic mottle virus</t>
  </si>
  <si>
    <t>PCMoV</t>
  </si>
  <si>
    <t>BR-CDS_MS-2014</t>
  </si>
  <si>
    <t>MG696802</t>
  </si>
  <si>
    <t>Curtovirus</t>
  </si>
  <si>
    <t>beet curly top virus</t>
  </si>
  <si>
    <t>BCTV/CA/Logan</t>
  </si>
  <si>
    <t>United States/CA/Logan/1985/California Logan</t>
  </si>
  <si>
    <t>M24597</t>
  </si>
  <si>
    <t>BCTV/Mld</t>
  </si>
  <si>
    <t>Mexico/Mild/2006/Mild</t>
  </si>
  <si>
    <t>BCTV/Svr</t>
  </si>
  <si>
    <t>United States/Severe/Cfh/Severe</t>
  </si>
  <si>
    <t>BCTV/SvrPep</t>
  </si>
  <si>
    <t>United States/New Mexico/Severe/Pepper/2001/Severe pepper</t>
  </si>
  <si>
    <t>BCTV/CO</t>
  </si>
  <si>
    <t>United States/Colorado/1995/Colorado</t>
  </si>
  <si>
    <t>BCTV/Wor</t>
  </si>
  <si>
    <t>United States/Mild/Worland/Worland</t>
  </si>
  <si>
    <t>BCTV/ SpCT</t>
  </si>
  <si>
    <t>United States/Spinach 3/1996/Spinach curly top</t>
  </si>
  <si>
    <t>BCTV/ PeCT</t>
  </si>
  <si>
    <t>United States/New Mexico/Pepper/2005/Pepper curly top</t>
  </si>
  <si>
    <t>BCTV/ PeYD</t>
  </si>
  <si>
    <t>United States/New Mexico/Pepper/2007/Pepper yellow dwarf</t>
  </si>
  <si>
    <t>horseradish curly top virus</t>
  </si>
  <si>
    <t>HCTV</t>
  </si>
  <si>
    <t>United States/Salinas/1988</t>
  </si>
  <si>
    <t>U49907</t>
  </si>
  <si>
    <t>spinach severe curly top virus</t>
  </si>
  <si>
    <t>SpSCTV</t>
  </si>
  <si>
    <t>United States/Arizona/Spinach 0910/2009</t>
  </si>
  <si>
    <t>GU734126</t>
  </si>
  <si>
    <t>Eragrovirus</t>
  </si>
  <si>
    <t>Eragrostis curvula streak virus</t>
  </si>
  <si>
    <t>ECSV/A</t>
  </si>
  <si>
    <t>South Africa/Gre1/g261/2007/A</t>
  </si>
  <si>
    <t>FJ665631</t>
  </si>
  <si>
    <t>ECSV/B</t>
  </si>
  <si>
    <t>South Africa/Gre4/Ky3/2008/B</t>
  </si>
  <si>
    <t>Grablovirus</t>
  </si>
  <si>
    <t>grapevine red blotch virus</t>
  </si>
  <si>
    <t>GRBV</t>
  </si>
  <si>
    <t>456]17NOV2010/2010</t>
  </si>
  <si>
    <t>JQ901105</t>
  </si>
  <si>
    <t>Prunus geminivirus A</t>
  </si>
  <si>
    <t>PrLV</t>
  </si>
  <si>
    <t>PL4</t>
  </si>
  <si>
    <t>MF510408</t>
  </si>
  <si>
    <t>wild Vitis virus 1</t>
  </si>
  <si>
    <t>WvLV</t>
  </si>
  <si>
    <t>WVV1-NY1298</t>
  </si>
  <si>
    <t>MF185002</t>
  </si>
  <si>
    <t>Maldovirus</t>
  </si>
  <si>
    <t>apple geminivirus 1</t>
  </si>
  <si>
    <t>AGV1</t>
  </si>
  <si>
    <t>CN-PL-2015-13</t>
  </si>
  <si>
    <t>KM386645</t>
  </si>
  <si>
    <t>grapevine geminivirus A</t>
  </si>
  <si>
    <t>GGVA</t>
  </si>
  <si>
    <t>IL-Tamar-16</t>
  </si>
  <si>
    <t>KX618694</t>
  </si>
  <si>
    <t>Juncus maritimus geminivirus 1</t>
  </si>
  <si>
    <t>JGV1</t>
  </si>
  <si>
    <t>FR-13-FMN-1-12</t>
  </si>
  <si>
    <t>MG001958</t>
  </si>
  <si>
    <t>Mastrevirus</t>
  </si>
  <si>
    <t>Axonopus compressus streak virus</t>
  </si>
  <si>
    <t>ACSV</t>
  </si>
  <si>
    <t>Nigeria/g84/oba/2007</t>
  </si>
  <si>
    <t>KJ437671</t>
  </si>
  <si>
    <t>Bromus catharticus striate mosaic virus</t>
  </si>
  <si>
    <t>BCSMV</t>
  </si>
  <si>
    <t>Australia/Queensland/1999</t>
  </si>
  <si>
    <t>HQ113104</t>
  </si>
  <si>
    <t>chickpea chlorosis Australia virus</t>
  </si>
  <si>
    <t>CpCAV</t>
  </si>
  <si>
    <t>Australia/2614/2010]</t>
  </si>
  <si>
    <t>JN989422</t>
  </si>
  <si>
    <t>chickpea chlorosis virus</t>
  </si>
  <si>
    <t>CpCV/A</t>
  </si>
  <si>
    <t>Australia/3455C/2002/A</t>
  </si>
  <si>
    <t>GU256530</t>
  </si>
  <si>
    <t>CpCV/B</t>
  </si>
  <si>
    <t>Australia/Queensland 21/2003/B</t>
  </si>
  <si>
    <t>CpCV/C</t>
  </si>
  <si>
    <t>Australia/3494Ia/2002/C</t>
  </si>
  <si>
    <t>CpCV/E</t>
  </si>
  <si>
    <t>Australia/3460B/2002/E</t>
  </si>
  <si>
    <t>chickpea chlorotic dwarf virus</t>
  </si>
  <si>
    <t>CpCDV/B</t>
  </si>
  <si>
    <t>South Africa/Mpumalanga/1994/B</t>
  </si>
  <si>
    <t>Y11023</t>
  </si>
  <si>
    <t>CpCDV/A</t>
  </si>
  <si>
    <t>Syria/SYR2/2008/A</t>
  </si>
  <si>
    <t>CpCDV/C</t>
  </si>
  <si>
    <t>Pakistan/Faisalabad 6/2006/C</t>
  </si>
  <si>
    <t>CpCDV/D</t>
  </si>
  <si>
    <t>Pakistan/BGR/2008/D</t>
  </si>
  <si>
    <t>CpCDV/E</t>
  </si>
  <si>
    <t>Sudan/Abu Haraz/Nhe/1997/E</t>
  </si>
  <si>
    <t>chickpea redleaf virus</t>
  </si>
  <si>
    <t>CpRLV</t>
  </si>
  <si>
    <t>Australia/Queensland 22/2003</t>
  </si>
  <si>
    <t>GU256532</t>
  </si>
  <si>
    <t>chickpea redleaf virus 2</t>
  </si>
  <si>
    <t>CpRLV2</t>
  </si>
  <si>
    <t>Australia-5495-2017</t>
  </si>
  <si>
    <t>MK940528</t>
  </si>
  <si>
    <t>chickpea yellow dwarf virus</t>
  </si>
  <si>
    <t>CpYDV</t>
  </si>
  <si>
    <t>Pakistan/PK37/</t>
  </si>
  <si>
    <t>KM377674</t>
  </si>
  <si>
    <t>chickpea yellows virus</t>
  </si>
  <si>
    <t>CpYV</t>
  </si>
  <si>
    <t>Australia/3489B/2002</t>
  </si>
  <si>
    <t>JN989439</t>
  </si>
  <si>
    <t>Chloris striate mosaic virus</t>
  </si>
  <si>
    <t>CSMV</t>
  </si>
  <si>
    <t>Australia/Queensland/1998</t>
  </si>
  <si>
    <t>M20021</t>
  </si>
  <si>
    <t>Digitaria ciliaris striate mosaic virus</t>
  </si>
  <si>
    <t>DCSMV/B</t>
  </si>
  <si>
    <t>Australia/Corinda/QG5/2011/B</t>
  </si>
  <si>
    <t>JQ948088</t>
  </si>
  <si>
    <t>DCSMV/A</t>
  </si>
  <si>
    <t>Australia/Corinda/QG8/2011/A</t>
  </si>
  <si>
    <t>Digitaria didactyla striate mosaic virus</t>
  </si>
  <si>
    <t>DDSMV</t>
  </si>
  <si>
    <t>HM122238</t>
  </si>
  <si>
    <t>Digitaria streak virus</t>
  </si>
  <si>
    <t>DSV</t>
  </si>
  <si>
    <t>Vanuatu</t>
  </si>
  <si>
    <t>M23022</t>
  </si>
  <si>
    <t>dragonfly-associated mastrevirus virus</t>
  </si>
  <si>
    <t>DfasMV</t>
  </si>
  <si>
    <t>Puerto Rico/NZ50/2009</t>
  </si>
  <si>
    <t>JX458740</t>
  </si>
  <si>
    <t>Eleusine indica associated virus</t>
  </si>
  <si>
    <t>EIAV</t>
  </si>
  <si>
    <t>Reunion-Bassin Plat-RE004-2014</t>
  </si>
  <si>
    <t>MK546379</t>
  </si>
  <si>
    <t>Eragrostis minor streak virus</t>
  </si>
  <si>
    <t>EMSV</t>
  </si>
  <si>
    <t>Namibia/Caprivi/g450/2009</t>
  </si>
  <si>
    <t>JF508490</t>
  </si>
  <si>
    <t>Eragrostis streak virus</t>
  </si>
  <si>
    <t>ESV</t>
  </si>
  <si>
    <t>Zimbabwe/Guruwe 186/2007</t>
  </si>
  <si>
    <t>EU244915</t>
  </si>
  <si>
    <t>maize streak dwarfing virus</t>
  </si>
  <si>
    <t>MSDV</t>
  </si>
  <si>
    <t>ET-Adama Zuria-MV1-16</t>
  </si>
  <si>
    <t>MK329300</t>
  </si>
  <si>
    <t>maize streak Reunion virus</t>
  </si>
  <si>
    <t>MSRV</t>
  </si>
  <si>
    <t>La Reunion/St Pierre/PR52/2009</t>
  </si>
  <si>
    <t>JQ624879</t>
  </si>
  <si>
    <t>maize streak virus</t>
  </si>
  <si>
    <t>MSV/A</t>
  </si>
  <si>
    <t>South Africa/A</t>
  </si>
  <si>
    <t>Y00514</t>
  </si>
  <si>
    <t>MSV/B</t>
  </si>
  <si>
    <t>South Africa/Worester/Plaas Staal B/g27b/2006/B</t>
  </si>
  <si>
    <t>MSV/C</t>
  </si>
  <si>
    <t>South Africa/Mt Edgecomb/Setaria/1988/C</t>
  </si>
  <si>
    <t>MSV/D</t>
  </si>
  <si>
    <t>South Africa/Rawsonville/1998/D</t>
  </si>
  <si>
    <t>MSV/E</t>
  </si>
  <si>
    <t>South Africa/Mitchelle Park/Natal A/g125/Dig/2006/E</t>
  </si>
  <si>
    <t>MSV/F</t>
  </si>
  <si>
    <t>Nigeria/IITA B/g88/Urochloa/2007/F</t>
  </si>
  <si>
    <t>MSV/G</t>
  </si>
  <si>
    <t>Mali/Mic25/Digitaria/1987/G</t>
  </si>
  <si>
    <t>MSV/H</t>
  </si>
  <si>
    <t>Nigeria/Lagbaka/g79/Setaria/2007/H</t>
  </si>
  <si>
    <t>MSV/I</t>
  </si>
  <si>
    <t>South Africa/New Germany/Natal/A/g217/Digitaria/2007/I</t>
  </si>
  <si>
    <t>MSV/J</t>
  </si>
  <si>
    <t>Zimbabwe/Mic24K/Pennisetum/1987/J</t>
  </si>
  <si>
    <t>MSV/K</t>
  </si>
  <si>
    <t>Uganda/Busia 4/Eustachys/2005/K</t>
  </si>
  <si>
    <t>maize striate mosaic virus</t>
  </si>
  <si>
    <t>MSMV</t>
  </si>
  <si>
    <t>BR_974_Pla_2016</t>
  </si>
  <si>
    <t>MF167297</t>
  </si>
  <si>
    <t>Melenis repens associated virus</t>
  </si>
  <si>
    <t>MeRAV</t>
  </si>
  <si>
    <t>Reunion-Bassin Plat-RE027-2014</t>
  </si>
  <si>
    <t>MK546380</t>
  </si>
  <si>
    <t>Miscanthus streak virus</t>
  </si>
  <si>
    <t>MiSV</t>
  </si>
  <si>
    <t>Japan/1991</t>
  </si>
  <si>
    <t>D01030</t>
  </si>
  <si>
    <t>oat dwarf virus</t>
  </si>
  <si>
    <t>ODV</t>
  </si>
  <si>
    <t>Germany/Saxena 25/2006</t>
  </si>
  <si>
    <t>AM296025</t>
  </si>
  <si>
    <t>Panicum streak virus</t>
  </si>
  <si>
    <t>PanSV/A</t>
  </si>
  <si>
    <t>South Africa/Karino/1989/A</t>
  </si>
  <si>
    <t>L39638</t>
  </si>
  <si>
    <t>PanSV/B</t>
  </si>
  <si>
    <t>Kenya/1990/B</t>
  </si>
  <si>
    <t>PanSV/C</t>
  </si>
  <si>
    <t>Zimbabwe/Guruwe 169/Urochloa/2006/C</t>
  </si>
  <si>
    <t>PanSV/D</t>
  </si>
  <si>
    <t>Nigeria/Ifon 91/Urochloa/2007/D</t>
  </si>
  <si>
    <t>PanSV/E</t>
  </si>
  <si>
    <t>Kenya/Jic10/1997/E</t>
  </si>
  <si>
    <t>PanSV/F</t>
  </si>
  <si>
    <t>Kenya/Nye2/g364/2008/F</t>
  </si>
  <si>
    <t>PanSV/G</t>
  </si>
  <si>
    <t>Mayotte/Cac/g385/2008/G</t>
  </si>
  <si>
    <t>PanSV/H</t>
  </si>
  <si>
    <t>Central African Republic/Bai2/Car11/Brachiaria/2008/H</t>
  </si>
  <si>
    <t>PanSV/I</t>
  </si>
  <si>
    <t>Kenya/Nra1/g374/2008</t>
  </si>
  <si>
    <t>Paspalum dilatatum striate mosaic virus</t>
  </si>
  <si>
    <t>PDSMV</t>
  </si>
  <si>
    <t>Australia/Landsborough/QG46/2011</t>
  </si>
  <si>
    <t>JQ948061</t>
  </si>
  <si>
    <t>Paspalum striate mosaic virus</t>
  </si>
  <si>
    <t>PSMV/A</t>
  </si>
  <si>
    <t>Australia/Queensland/1611/2003/A</t>
  </si>
  <si>
    <t>JF905486</t>
  </si>
  <si>
    <t>PSMV/B</t>
  </si>
  <si>
    <t>Australia/Farrant Hill/3011/2011/B</t>
  </si>
  <si>
    <t>rice latent virus 1</t>
  </si>
  <si>
    <t>RLV 1</t>
  </si>
  <si>
    <t>NA67</t>
  </si>
  <si>
    <t>KY962377</t>
  </si>
  <si>
    <t>rice latent virus 2</t>
  </si>
  <si>
    <t>RLV 2</t>
  </si>
  <si>
    <t>NA24</t>
  </si>
  <si>
    <t>KY962381</t>
  </si>
  <si>
    <t>Saccharum streak virus</t>
  </si>
  <si>
    <t>SacSV</t>
  </si>
  <si>
    <t>South Africa/Empageni/T1/2008</t>
  </si>
  <si>
    <t>GQ273988</t>
  </si>
  <si>
    <t>Sorghum arundinaceum associated virus</t>
  </si>
  <si>
    <t>Reunion-Bassin Plat-RE034-2014</t>
  </si>
  <si>
    <t>MK546381</t>
  </si>
  <si>
    <t>Sporolobus striate mosaic virus 1</t>
  </si>
  <si>
    <t>SSMV1</t>
  </si>
  <si>
    <t>Australia/Wyaga/3020_1/2011</t>
  </si>
  <si>
    <t>JQ948051</t>
  </si>
  <si>
    <t>Sporolobus striate mosaic virus 2</t>
  </si>
  <si>
    <t>SSMV2</t>
  </si>
  <si>
    <t>Australia/Wyaga/3020_2/2011</t>
  </si>
  <si>
    <t>JQ948052</t>
  </si>
  <si>
    <t>sugarcane chlorotic streak virus</t>
  </si>
  <si>
    <t>Nigeria/Sc-10/SR/1/2015</t>
  </si>
  <si>
    <t>KX787914</t>
  </si>
  <si>
    <t>sugarcane streak Egypt virus</t>
  </si>
  <si>
    <t>SSEV</t>
  </si>
  <si>
    <t>Egypt/Aswan</t>
  </si>
  <si>
    <t>AF037752</t>
  </si>
  <si>
    <t>sugarcane streak Reunion virus</t>
  </si>
  <si>
    <t>SSREV/A</t>
  </si>
  <si>
    <t>Reunion/R574/A</t>
  </si>
  <si>
    <t>AF072672</t>
  </si>
  <si>
    <t>SSREV/B</t>
  </si>
  <si>
    <t>Zimbabwe/Nyangombe 177/Paspalum/2006</t>
  </si>
  <si>
    <t>sugarcane streak virus</t>
  </si>
  <si>
    <t>SSV/A</t>
  </si>
  <si>
    <t>South Africa/Natal/A</t>
  </si>
  <si>
    <t>M82918</t>
  </si>
  <si>
    <t>SSV/B</t>
  </si>
  <si>
    <t>La Reunion/St Pierre/Pie/R5/Cenchrus/2006/B</t>
  </si>
  <si>
    <t>sugarcane striate virus</t>
  </si>
  <si>
    <t>SStrV</t>
  </si>
  <si>
    <t>China/WZG/2014</t>
  </si>
  <si>
    <t>KR150789</t>
  </si>
  <si>
    <t>sugarcane white streak virus</t>
  </si>
  <si>
    <t>SWSA/A</t>
  </si>
  <si>
    <t>Sudan/VARX/2013</t>
  </si>
  <si>
    <t>KJ210622</t>
  </si>
  <si>
    <t>sweet potato symptomless virus 1</t>
  </si>
  <si>
    <t>SpSV/1</t>
  </si>
  <si>
    <t>Kenya/Q44429/2005</t>
  </si>
  <si>
    <t>KY565231</t>
  </si>
  <si>
    <t>switchgrass mosaic-associated virus</t>
  </si>
  <si>
    <t>SgMaV</t>
  </si>
  <si>
    <t>United States/DB/2012</t>
  </si>
  <si>
    <t>KF806701</t>
  </si>
  <si>
    <t>tobacco yellow dwarf virus</t>
  </si>
  <si>
    <t>TbYDV</t>
  </si>
  <si>
    <t>Australia/1992</t>
  </si>
  <si>
    <t>M81103</t>
  </si>
  <si>
    <t>Urochloa streak virus</t>
  </si>
  <si>
    <t>USV</t>
  </si>
  <si>
    <t>Nigeria/Ipetumodu/g226/2007</t>
  </si>
  <si>
    <t>EU445699</t>
  </si>
  <si>
    <t>wheat dwarf India virus</t>
  </si>
  <si>
    <t>WDIV</t>
  </si>
  <si>
    <t>India/2010</t>
  </si>
  <si>
    <t>JQ361910</t>
  </si>
  <si>
    <t>wheat dwarf virus</t>
  </si>
  <si>
    <t>WDV/A</t>
  </si>
  <si>
    <t>Turkey/barley/A</t>
  </si>
  <si>
    <t>AJ783960</t>
  </si>
  <si>
    <t>WDV/B</t>
  </si>
  <si>
    <t>Iran/2008/B</t>
  </si>
  <si>
    <t>WDV/C</t>
  </si>
  <si>
    <t>Hungary/Kompolt10/1/2010/C</t>
  </si>
  <si>
    <t>WDV/D</t>
  </si>
  <si>
    <t>Iran/Bavanat/2010/D</t>
  </si>
  <si>
    <t>WDV/E</t>
  </si>
  <si>
    <t>Hungary/B/2005/E</t>
  </si>
  <si>
    <t>Mulcrilevirus</t>
  </si>
  <si>
    <t>mulberry crinkle leaf virus</t>
  </si>
  <si>
    <t>MCLV</t>
  </si>
  <si>
    <t>CH-js-2012</t>
  </si>
  <si>
    <t>KR131749</t>
  </si>
  <si>
    <t>paper mulberry leaf curl virus 1</t>
  </si>
  <si>
    <t>PMLCV-1</t>
  </si>
  <si>
    <t>MN595125</t>
  </si>
  <si>
    <t>Opunvirus</t>
  </si>
  <si>
    <t>Opuntia virus 1</t>
  </si>
  <si>
    <t>OpV1</t>
  </si>
  <si>
    <t>US-DBG_14_1-2017</t>
  </si>
  <si>
    <t>MN100000</t>
  </si>
  <si>
    <t>Topilevirus</t>
  </si>
  <si>
    <t>tomato apical leaf curl virus</t>
  </si>
  <si>
    <t>ToALCV</t>
  </si>
  <si>
    <t>AR-Yuto-Tom419-08</t>
  </si>
  <si>
    <t>MG491195</t>
  </si>
  <si>
    <t>tomato geminivirus 1</t>
  </si>
  <si>
    <t>TGV1</t>
  </si>
  <si>
    <t>BR-Tomato-15</t>
  </si>
  <si>
    <t>MF072688</t>
  </si>
  <si>
    <t>Topocuvirus</t>
  </si>
  <si>
    <t>tomato pseudo-curly top virus</t>
  </si>
  <si>
    <t>TPCTV</t>
  </si>
  <si>
    <t>US/Florida/1994</t>
  </si>
  <si>
    <t>X84735</t>
  </si>
  <si>
    <t>Turncurtovirus</t>
  </si>
  <si>
    <t>sesame curly top virus</t>
  </si>
  <si>
    <t>SeCTV</t>
  </si>
  <si>
    <t>PK-Lay-Se386-12</t>
  </si>
  <si>
    <t>MF344550</t>
  </si>
  <si>
    <t>turnip curly top virus</t>
  </si>
  <si>
    <t>TCTV/A</t>
  </si>
  <si>
    <t>Iran/ Zafarabad/B11/2006/A</t>
  </si>
  <si>
    <t>GU456685</t>
  </si>
  <si>
    <t>TCTV/B</t>
  </si>
  <si>
    <t>Iran/Lapouei/L16/2012/B</t>
  </si>
  <si>
    <t>TCTV/C</t>
  </si>
  <si>
    <t>Iran/Zafarabad/Z2/1/2012/C</t>
  </si>
  <si>
    <t>TCTV/D</t>
  </si>
  <si>
    <t>Iran/Homayejan/H9/2012/D</t>
  </si>
  <si>
    <t>turnip leaf roll virus</t>
  </si>
  <si>
    <t>TuLCV</t>
  </si>
  <si>
    <t>Iran/Homayejan/Th2/Tur/12</t>
  </si>
  <si>
    <t>KT388076</t>
  </si>
  <si>
    <t>Genomoviridae</t>
  </si>
  <si>
    <t>Gemycircularvirus</t>
  </si>
  <si>
    <t>Genomoviridae sp.</t>
  </si>
  <si>
    <t>ctbi89</t>
  </si>
  <si>
    <t>MK032723</t>
  </si>
  <si>
    <t>Alces alces faeces associated genomovirus MP84</t>
  </si>
  <si>
    <t>MP84</t>
  </si>
  <si>
    <t>MG641204</t>
  </si>
  <si>
    <t>Alces alces faeces associated genomovirus MP157</t>
  </si>
  <si>
    <t>MP157</t>
  </si>
  <si>
    <t>MG641207</t>
  </si>
  <si>
    <t>bif24cir1</t>
  </si>
  <si>
    <t>MN928911</t>
  </si>
  <si>
    <t>Plant associated genomovirus 21</t>
  </si>
  <si>
    <t>QS30_F24</t>
  </si>
  <si>
    <t>MH939436</t>
  </si>
  <si>
    <t>Blackfly genomovirus 2</t>
  </si>
  <si>
    <t>SF02_631</t>
  </si>
  <si>
    <t>MK433234</t>
  </si>
  <si>
    <t>Blackfly genomovirus 7</t>
  </si>
  <si>
    <t>SF02_767</t>
  </si>
  <si>
    <t>MK433239</t>
  </si>
  <si>
    <t>Blackfly genomovirus 4</t>
  </si>
  <si>
    <t>SF02_836</t>
  </si>
  <si>
    <t>MK433236</t>
  </si>
  <si>
    <t>Blackfly genomovirus 9</t>
  </si>
  <si>
    <t>SF02_507</t>
  </si>
  <si>
    <t>MK433241</t>
  </si>
  <si>
    <t>Blackfly genomovirus 5</t>
  </si>
  <si>
    <t>SF02_599</t>
  </si>
  <si>
    <t>MK433237</t>
  </si>
  <si>
    <t>Blackfly genomovirus 10</t>
  </si>
  <si>
    <t>SF02_506</t>
  </si>
  <si>
    <t>MK433242</t>
  </si>
  <si>
    <t>Bemisia-associated genomovirus AdO</t>
  </si>
  <si>
    <t>AdO</t>
  </si>
  <si>
    <t>KY230614</t>
  </si>
  <si>
    <t>blackbird associated gemycircularvirus 1</t>
  </si>
  <si>
    <t>BlGCV1</t>
  </si>
  <si>
    <t>as41</t>
  </si>
  <si>
    <t>KF371643</t>
  </si>
  <si>
    <t>bovine associated gemycircularvirus 1</t>
  </si>
  <si>
    <t>BoGCV1</t>
  </si>
  <si>
    <t>52_Fec78023_cow</t>
  </si>
  <si>
    <t>KT862253</t>
  </si>
  <si>
    <t>bromus associated gemycircularvirus 1</t>
  </si>
  <si>
    <t>BGCV1</t>
  </si>
  <si>
    <t>NZ-NZG01-Sef-2012</t>
  </si>
  <si>
    <t>KM510192</t>
  </si>
  <si>
    <t>Lupine feces-associated gemycircularvirus 2</t>
  </si>
  <si>
    <t>KY214442</t>
  </si>
  <si>
    <t>cassava associated gemycircularvirus 1</t>
  </si>
  <si>
    <t>CaGCV1</t>
  </si>
  <si>
    <t>G14</t>
  </si>
  <si>
    <t>JQ412056</t>
  </si>
  <si>
    <t>chicken associated gemycircularvirus 1</t>
  </si>
  <si>
    <t>ChiGCV1</t>
  </si>
  <si>
    <t>27_Fec79971_chicken</t>
  </si>
  <si>
    <t>KT862243</t>
  </si>
  <si>
    <t>chicken associated gemycircularvirus 2</t>
  </si>
  <si>
    <t>ChiGCV2</t>
  </si>
  <si>
    <t>27_Fec16497_chicken</t>
  </si>
  <si>
    <t>KT862242</t>
  </si>
  <si>
    <t>chickadee associated gemycircularvirus 1</t>
  </si>
  <si>
    <t>ChGCV1</t>
  </si>
  <si>
    <t>KT309029</t>
  </si>
  <si>
    <t>Citrus Tunisia genomovirus 2</t>
  </si>
  <si>
    <t>CTGV/2/TUN/2015</t>
  </si>
  <si>
    <t>MN708485</t>
  </si>
  <si>
    <t>Spider associated circular virus 1</t>
  </si>
  <si>
    <t>BC_I1644D_G1</t>
  </si>
  <si>
    <t>MH545503</t>
  </si>
  <si>
    <t>Bark beetle-associated genomovirus 1</t>
  </si>
  <si>
    <t>BbaGV-1_US-AB02_739-2014</t>
  </si>
  <si>
    <t>MG571096</t>
  </si>
  <si>
    <t>Bark beetle-associated genomovirus 2</t>
  </si>
  <si>
    <t>BbaGV-2_US-AB02_1133-2014</t>
  </si>
  <si>
    <t>MG571098</t>
  </si>
  <si>
    <t>Bark beetle-associated genomovirus 3</t>
  </si>
  <si>
    <t>BbaGV-3_US-AB02_1323-2014</t>
  </si>
  <si>
    <t>MG571099</t>
  </si>
  <si>
    <t>Bark beetle-associated genomovirus 4</t>
  </si>
  <si>
    <t>BbaGV-4_US-AB02_249-2014</t>
  </si>
  <si>
    <t>MG571100</t>
  </si>
  <si>
    <t>Bark beetle-associated genomovirus 5</t>
  </si>
  <si>
    <t>BbaGV-5_US-AB01_6-2014</t>
  </si>
  <si>
    <t>MG571101</t>
  </si>
  <si>
    <t>Tick-associated genomovirus 1</t>
  </si>
  <si>
    <t>tick24_7</t>
  </si>
  <si>
    <t>MF173065</t>
  </si>
  <si>
    <t>Plant associated genomovirus 19</t>
  </si>
  <si>
    <t>QS58_F27</t>
  </si>
  <si>
    <t>MH939446</t>
  </si>
  <si>
    <t>dragonfly associated gemycircularvirus 1</t>
  </si>
  <si>
    <t>DGCV1</t>
  </si>
  <si>
    <t>FL2-5X-2010</t>
  </si>
  <si>
    <t>JX185429</t>
  </si>
  <si>
    <t>Thrips-associated genomovirus 1</t>
  </si>
  <si>
    <t>thrp_197969</t>
  </si>
  <si>
    <t>KY308268</t>
  </si>
  <si>
    <t>equine associated gemycircularvirus 1</t>
  </si>
  <si>
    <t>EGCV1</t>
  </si>
  <si>
    <t>30_Fec80061_horse</t>
  </si>
  <si>
    <t>KT862248</t>
  </si>
  <si>
    <t>Giant house spider associated circular virus 1</t>
  </si>
  <si>
    <t>BC_I1657E_H2</t>
  </si>
  <si>
    <t>MH545509</t>
  </si>
  <si>
    <t>Euphorbia heterophylla associated gemycircularvirus</t>
  </si>
  <si>
    <t>Br1</t>
  </si>
  <si>
    <t>MH047858</t>
  </si>
  <si>
    <t>fur seal associated gemycircularvirus 1</t>
  </si>
  <si>
    <t>FSGCV1</t>
  </si>
  <si>
    <t>as50</t>
  </si>
  <si>
    <t>KF371638</t>
  </si>
  <si>
    <t>gerygone associated gemycircularvirus 1</t>
  </si>
  <si>
    <t>GGCV1</t>
  </si>
  <si>
    <t>P24a</t>
  </si>
  <si>
    <t>KF371636</t>
  </si>
  <si>
    <t>gerygone associated gemycircularvirus 2</t>
  </si>
  <si>
    <t>GGCV2</t>
  </si>
  <si>
    <t>P24b</t>
  </si>
  <si>
    <t>KF371637</t>
  </si>
  <si>
    <t>gerygone associated gemycircularvirus 3</t>
  </si>
  <si>
    <t>GGCV3</t>
  </si>
  <si>
    <t>P24c</t>
  </si>
  <si>
    <t>KF371639</t>
  </si>
  <si>
    <t>Giant panda associated gemycircularvirus</t>
  </si>
  <si>
    <t>gpge003</t>
  </si>
  <si>
    <t>MF327560</t>
  </si>
  <si>
    <t>gpge008</t>
  </si>
  <si>
    <t>MF327565</t>
  </si>
  <si>
    <t>gpge011</t>
  </si>
  <si>
    <t>MF327568</t>
  </si>
  <si>
    <t>gpge004</t>
  </si>
  <si>
    <t>MF327561</t>
  </si>
  <si>
    <t>gpge010</t>
  </si>
  <si>
    <t>MF327567</t>
  </si>
  <si>
    <t>gpge012</t>
  </si>
  <si>
    <t>MF327569</t>
  </si>
  <si>
    <t>gpge001</t>
  </si>
  <si>
    <t>MF327558</t>
  </si>
  <si>
    <t>gpge013</t>
  </si>
  <si>
    <t>MF327570</t>
  </si>
  <si>
    <t>Tortoise genomovirus 17</t>
  </si>
  <si>
    <t>Tor_SP_110</t>
  </si>
  <si>
    <t>MK570217</t>
  </si>
  <si>
    <t>Tortoise genomovirus 10</t>
  </si>
  <si>
    <t>Tor_116_Tor4</t>
  </si>
  <si>
    <t>MK570210</t>
  </si>
  <si>
    <t>ctjg823</t>
  </si>
  <si>
    <t>MK032737</t>
  </si>
  <si>
    <t>ctij207</t>
  </si>
  <si>
    <t>MK032733</t>
  </si>
  <si>
    <t>Finch associated genomovirus 5</t>
  </si>
  <si>
    <t>A2N_A</t>
  </si>
  <si>
    <t>MK249235</t>
  </si>
  <si>
    <t>Finch associated genomovirus 6</t>
  </si>
  <si>
    <t>A3N_A</t>
  </si>
  <si>
    <t>MK249242</t>
  </si>
  <si>
    <t>Capybara genomovirus 1</t>
  </si>
  <si>
    <t>cap1_SP_603</t>
  </si>
  <si>
    <t>MK483072</t>
  </si>
  <si>
    <t>hypericum associated gemycircularvirus 1</t>
  </si>
  <si>
    <t>HGCV1</t>
  </si>
  <si>
    <t>VNHJ1W</t>
  </si>
  <si>
    <t>KF413620</t>
  </si>
  <si>
    <t>Tick-associated genomovirus 3</t>
  </si>
  <si>
    <t>tick25_VL-10</t>
  </si>
  <si>
    <t>MF173067</t>
  </si>
  <si>
    <t>lama associated gemycircularvirus 1</t>
  </si>
  <si>
    <t>LGCV1</t>
  </si>
  <si>
    <t>29_Fec80018_llama</t>
  </si>
  <si>
    <t>KT862245</t>
  </si>
  <si>
    <t>Plant associated genomovirus 20</t>
  </si>
  <si>
    <t>QS9_F22</t>
  </si>
  <si>
    <t>MH939431</t>
  </si>
  <si>
    <t>Plant associated genomovirus 15</t>
  </si>
  <si>
    <t>1773_PE_35</t>
  </si>
  <si>
    <t>MH939377</t>
  </si>
  <si>
    <t>Lynx canadensis faeces associated genomovirus CL1 46</t>
  </si>
  <si>
    <t>CL1_46</t>
  </si>
  <si>
    <t>MG641191</t>
  </si>
  <si>
    <t>Alces alces faeces associated genomovirus MP111</t>
  </si>
  <si>
    <t>MP111</t>
  </si>
  <si>
    <t>MG641205</t>
  </si>
  <si>
    <t>Alces alces faeces associated genomovirus MP43</t>
  </si>
  <si>
    <t>MP43</t>
  </si>
  <si>
    <t>MG641202</t>
  </si>
  <si>
    <t>Lepus americanus faeces associated genomovirus SHP9</t>
  </si>
  <si>
    <t>SHP9</t>
  </si>
  <si>
    <t>MG641211</t>
  </si>
  <si>
    <t>Lynx canadensis faeces associated genomovirus CL1 48</t>
  </si>
  <si>
    <t>CL1_48</t>
  </si>
  <si>
    <t>MG641192</t>
  </si>
  <si>
    <t>Lynx canadensis faeces associated genomovirus CL1 71</t>
  </si>
  <si>
    <t>CL1_71</t>
  </si>
  <si>
    <t>MG641194</t>
  </si>
  <si>
    <t>Lynx canadensis faeces associated genomovirus CL5 48</t>
  </si>
  <si>
    <t>CL5_48</t>
  </si>
  <si>
    <t>MG641201</t>
  </si>
  <si>
    <t>Lynx canadensis faeces associated genomovirus CL1 148</t>
  </si>
  <si>
    <t>CL1_148</t>
  </si>
  <si>
    <t>MG641197</t>
  </si>
  <si>
    <t>mallard associated gemycircularvirus 1</t>
  </si>
  <si>
    <t>MGCV1</t>
  </si>
  <si>
    <t>as24</t>
  </si>
  <si>
    <t>KF371635</t>
  </si>
  <si>
    <t>miniopterus associated gemycircularvirus 1</t>
  </si>
  <si>
    <t>BtGCV1</t>
  </si>
  <si>
    <t>CV-23/GD2012</t>
  </si>
  <si>
    <t>KJ641719</t>
  </si>
  <si>
    <t>cthi275</t>
  </si>
  <si>
    <t>MK032736</t>
  </si>
  <si>
    <t>ctce776</t>
  </si>
  <si>
    <t>MK032701</t>
  </si>
  <si>
    <t>ctbh806</t>
  </si>
  <si>
    <t>MK032712</t>
  </si>
  <si>
    <t>ctjb817</t>
  </si>
  <si>
    <t>MK032709</t>
  </si>
  <si>
    <t>ctcj270</t>
  </si>
  <si>
    <t>MH617534</t>
  </si>
  <si>
    <t>Momordica charantia associated gemycircularvirus</t>
  </si>
  <si>
    <t>MH047857</t>
  </si>
  <si>
    <t>mongoose associated gemycircularvirus 1</t>
  </si>
  <si>
    <t>478d</t>
  </si>
  <si>
    <t>KP263547</t>
  </si>
  <si>
    <t>mosquito associated gemycircularvirus 1</t>
  </si>
  <si>
    <t>MoGCV1</t>
  </si>
  <si>
    <t>G</t>
  </si>
  <si>
    <t>HQ335086</t>
  </si>
  <si>
    <t>ctbd78</t>
  </si>
  <si>
    <t>MK032728</t>
  </si>
  <si>
    <t>ctbf84</t>
  </si>
  <si>
    <t>MK032705</t>
  </si>
  <si>
    <t>ctjj82</t>
  </si>
  <si>
    <t>MK032718</t>
  </si>
  <si>
    <t>ctbh39</t>
  </si>
  <si>
    <t>MK032702</t>
  </si>
  <si>
    <t>ctba76</t>
  </si>
  <si>
    <t>MK032755</t>
  </si>
  <si>
    <t>ctgb66</t>
  </si>
  <si>
    <t>MK032715</t>
  </si>
  <si>
    <t>ctda73</t>
  </si>
  <si>
    <t>MK032719</t>
  </si>
  <si>
    <t>ctjh74</t>
  </si>
  <si>
    <t>MK032753</t>
  </si>
  <si>
    <t>cted72</t>
  </si>
  <si>
    <t>MK032735</t>
  </si>
  <si>
    <t>ctdb80</t>
  </si>
  <si>
    <t>MK032738</t>
  </si>
  <si>
    <t>ctji71</t>
  </si>
  <si>
    <t>MK032752</t>
  </si>
  <si>
    <t>ctca70</t>
  </si>
  <si>
    <t>MK032714</t>
  </si>
  <si>
    <t>odonata associated gemycircularvirus 1</t>
  </si>
  <si>
    <t>OGCV1</t>
  </si>
  <si>
    <t>US-260BC-12</t>
  </si>
  <si>
    <t>KM598385</t>
  </si>
  <si>
    <t>odonata associated gemycircularvirus 2</t>
  </si>
  <si>
    <t>OGCV2</t>
  </si>
  <si>
    <t>US-1642KW-12</t>
  </si>
  <si>
    <t>KM598387</t>
  </si>
  <si>
    <t>Olive associated gemycircularvirus 1</t>
  </si>
  <si>
    <t>L1</t>
  </si>
  <si>
    <t>MH444690</t>
  </si>
  <si>
    <t>Plant associated genomovirus 25</t>
  </si>
  <si>
    <t>EU1_SP897</t>
  </si>
  <si>
    <t>MK947372</t>
  </si>
  <si>
    <t>Oxalis corniculata genomoviridae</t>
  </si>
  <si>
    <t>pt015-gen-1</t>
  </si>
  <si>
    <t>MN823668</t>
  </si>
  <si>
    <t>Gemycircularvirus sp.</t>
  </si>
  <si>
    <t>BS50/Hun/2013</t>
  </si>
  <si>
    <t>KY302866</t>
  </si>
  <si>
    <t>poaceae associated gemycircularvirus 1</t>
  </si>
  <si>
    <t>PGCV1</t>
  </si>
  <si>
    <t>TO_STO14-29204_2014</t>
  </si>
  <si>
    <t>KT253577</t>
  </si>
  <si>
    <t>porcine associated gemycircularvirus 1</t>
  </si>
  <si>
    <t>PoGCV1</t>
  </si>
  <si>
    <t>49_Fec80061_pig</t>
  </si>
  <si>
    <t>KT862250</t>
  </si>
  <si>
    <t>porcine associated gemycircularvirus 2</t>
  </si>
  <si>
    <t>PoGCV2</t>
  </si>
  <si>
    <t>as5</t>
  </si>
  <si>
    <t>KF371640</t>
  </si>
  <si>
    <t>pteropus associated gemycircularvirus 1</t>
  </si>
  <si>
    <t>PtGCV1</t>
  </si>
  <si>
    <t>Tbat_45285</t>
  </si>
  <si>
    <t>KT732804</t>
  </si>
  <si>
    <t>pteropus associated gemycircularvirus 10</t>
  </si>
  <si>
    <t>PtGCV10</t>
  </si>
  <si>
    <t>Tbat_H_103958</t>
  </si>
  <si>
    <t>KT732794</t>
  </si>
  <si>
    <t>pteropus associated gemycircularvirus 2</t>
  </si>
  <si>
    <t>PtGCV2</t>
  </si>
  <si>
    <t>Tbat_103791</t>
  </si>
  <si>
    <t>KT732792</t>
  </si>
  <si>
    <t>pteropus associated gemycircularvirus 3</t>
  </si>
  <si>
    <t>PtGCV3</t>
  </si>
  <si>
    <t>Tbat_103852</t>
  </si>
  <si>
    <t>KT732797</t>
  </si>
  <si>
    <t>pteropus associated gemycircularvirus 4</t>
  </si>
  <si>
    <t>PtGCV4</t>
  </si>
  <si>
    <t>Tbat_H_103806</t>
  </si>
  <si>
    <t>KT732814</t>
  </si>
  <si>
    <t>pteropus associated gemycircularvirus 5</t>
  </si>
  <si>
    <t>PtGCV5</t>
  </si>
  <si>
    <t>Tbat_12377</t>
  </si>
  <si>
    <t>KT732801</t>
  </si>
  <si>
    <t>pteropus associated gemycircularvirus 6</t>
  </si>
  <si>
    <t>PtGCV6</t>
  </si>
  <si>
    <t>Tbat_103951</t>
  </si>
  <si>
    <t>KT732803</t>
  </si>
  <si>
    <t>pteropus associated gemycircularvirus 7</t>
  </si>
  <si>
    <t>PtGCV7</t>
  </si>
  <si>
    <t>Tbat_A_103746</t>
  </si>
  <si>
    <t>KT732807</t>
  </si>
  <si>
    <t>pteropus associated gemycircularvirus 8</t>
  </si>
  <si>
    <t>PtGCV8</t>
  </si>
  <si>
    <t>Tbat_31579</t>
  </si>
  <si>
    <t>KT732806</t>
  </si>
  <si>
    <t>pteropus associated gemycircularvirus 9</t>
  </si>
  <si>
    <t>PtGCV9</t>
  </si>
  <si>
    <t>Tbat_21383</t>
  </si>
  <si>
    <t>KT732795</t>
  </si>
  <si>
    <t>ctbb31</t>
  </si>
  <si>
    <t>MK032754</t>
  </si>
  <si>
    <t>rat associated gemycircularvirus 1</t>
  </si>
  <si>
    <t>RGCV1</t>
  </si>
  <si>
    <t>Ch-zjrat-01</t>
  </si>
  <si>
    <t>KR912221</t>
  </si>
  <si>
    <t>Northern red-backed vole stool-associated gemycircularvirus 110</t>
  </si>
  <si>
    <t>MR-110</t>
  </si>
  <si>
    <t>MK738141</t>
  </si>
  <si>
    <t>yc-18</t>
  </si>
  <si>
    <t>KY312557</t>
  </si>
  <si>
    <t>Plant associated genomovirus 17</t>
  </si>
  <si>
    <t>D90_GP5</t>
  </si>
  <si>
    <t>MH939397</t>
  </si>
  <si>
    <t>sclerotinia gemycircularvirus 1</t>
  </si>
  <si>
    <t>SSHDV1</t>
  </si>
  <si>
    <t>GQ365709</t>
  </si>
  <si>
    <t>fungi</t>
  </si>
  <si>
    <t>sewage derived gemycircularvirus 1</t>
  </si>
  <si>
    <t>SeGCV1</t>
  </si>
  <si>
    <t>BS3917</t>
  </si>
  <si>
    <t>KJ547638</t>
  </si>
  <si>
    <t>sewage (S)</t>
  </si>
  <si>
    <t>sewage derived gemycircularvirus 2</t>
  </si>
  <si>
    <t>SeGCV2</t>
  </si>
  <si>
    <t>BS4117</t>
  </si>
  <si>
    <t>KJ547641</t>
  </si>
  <si>
    <t>sewage derived gemycircularvirus 3</t>
  </si>
  <si>
    <t>SeGCV3</t>
  </si>
  <si>
    <t>BS4014</t>
  </si>
  <si>
    <t>KJ547636</t>
  </si>
  <si>
    <t>sewage derived gemycircularvirus 4</t>
  </si>
  <si>
    <t>SeGCV4</t>
  </si>
  <si>
    <t>BS3972</t>
  </si>
  <si>
    <t>KJ547640</t>
  </si>
  <si>
    <t>sewage derived gemycircularvirus 5</t>
  </si>
  <si>
    <t>SeGCV5</t>
  </si>
  <si>
    <t>BS3970</t>
  </si>
  <si>
    <t>KJ547639</t>
  </si>
  <si>
    <t>sheep associated gemycircularvirus 1</t>
  </si>
  <si>
    <t>ShGCV1</t>
  </si>
  <si>
    <t>47_Fec80064_sheep</t>
  </si>
  <si>
    <t>KT862249</t>
  </si>
  <si>
    <t>Sierra dome spider associated circular virus 1</t>
  </si>
  <si>
    <t>BC_I1655A_H11</t>
  </si>
  <si>
    <t>MH545510</t>
  </si>
  <si>
    <t>Plant associated genomovirus 11</t>
  </si>
  <si>
    <t>AH_131</t>
  </si>
  <si>
    <t>MH939384</t>
  </si>
  <si>
    <t>soybean associated gemycircularvirus 1</t>
  </si>
  <si>
    <t>SoGCV1</t>
  </si>
  <si>
    <t>SlaGemV1-1</t>
  </si>
  <si>
    <t>KT598248</t>
  </si>
  <si>
    <t>Termite associated circular virus 2</t>
  </si>
  <si>
    <t>I1514</t>
  </si>
  <si>
    <t>MG917675</t>
  </si>
  <si>
    <t>Plant associated genomovirus 22</t>
  </si>
  <si>
    <t>QS46_F25</t>
  </si>
  <si>
    <t>MH939442</t>
  </si>
  <si>
    <t>ctcg63</t>
  </si>
  <si>
    <t>MK012473</t>
  </si>
  <si>
    <t>Plant associated genomovirus 13</t>
  </si>
  <si>
    <t>QS2_F23</t>
  </si>
  <si>
    <t>MH939427</t>
  </si>
  <si>
    <t>Gemyduguivirus</t>
  </si>
  <si>
    <t>Artemisia carvifolia genomoviridae</t>
  </si>
  <si>
    <t>pt159-gen-10</t>
  </si>
  <si>
    <t>MN823676</t>
  </si>
  <si>
    <t>Blackfly genomovirus 8</t>
  </si>
  <si>
    <t>SF02_579</t>
  </si>
  <si>
    <t>MK433240</t>
  </si>
  <si>
    <t>Bemisia-associated genomovirus AdDF</t>
  </si>
  <si>
    <t>AdDF</t>
  </si>
  <si>
    <t>KY230613</t>
  </si>
  <si>
    <t>dragonfly associated gemyduguivirus 1</t>
  </si>
  <si>
    <t>DGDV1</t>
  </si>
  <si>
    <t>TO-DFS3B2-2010</t>
  </si>
  <si>
    <t>JX185428</t>
  </si>
  <si>
    <t>Capybara genomovirus 3</t>
  </si>
  <si>
    <t>cap1_53</t>
  </si>
  <si>
    <t>MK483075</t>
  </si>
  <si>
    <t>Capybara genomovirus 8</t>
  </si>
  <si>
    <t>cap1_358</t>
  </si>
  <si>
    <t>MK483080</t>
  </si>
  <si>
    <t>Capybara genomovirus 5</t>
  </si>
  <si>
    <t>cap1_2730</t>
  </si>
  <si>
    <t>MK483077</t>
  </si>
  <si>
    <t>Plant associated genomovirus 4</t>
  </si>
  <si>
    <t>929_OP4_567</t>
  </si>
  <si>
    <t>MH939370</t>
  </si>
  <si>
    <t>Plant associated genomovirus 5</t>
  </si>
  <si>
    <t>GnPB1669_106</t>
  </si>
  <si>
    <t>MH939417</t>
  </si>
  <si>
    <t>ctcd252</t>
  </si>
  <si>
    <t>MK032731</t>
  </si>
  <si>
    <t>ctdb242</t>
  </si>
  <si>
    <t>MK032726</t>
  </si>
  <si>
    <t>yc-19</t>
  </si>
  <si>
    <t>KY312558</t>
  </si>
  <si>
    <t>Gemygorvirus</t>
  </si>
  <si>
    <t>canine associated gemygorvirus 1</t>
  </si>
  <si>
    <t>CGGV1</t>
  </si>
  <si>
    <t>53_Fec7_dog</t>
  </si>
  <si>
    <t>KT862254</t>
  </si>
  <si>
    <t>Capybara genomovirus 6</t>
  </si>
  <si>
    <t>cap1_100</t>
  </si>
  <si>
    <t>MK483078</t>
  </si>
  <si>
    <t>mallard associated gemygorvirus 1</t>
  </si>
  <si>
    <t>MGGV1</t>
  </si>
  <si>
    <t>4_Fec7_duck</t>
  </si>
  <si>
    <t>KT862238</t>
  </si>
  <si>
    <t>Plant associated genomovirus 26</t>
  </si>
  <si>
    <t>EU1_SP968</t>
  </si>
  <si>
    <t>MK947373</t>
  </si>
  <si>
    <t>Plant associated genomovirus 1</t>
  </si>
  <si>
    <t>206_BA536</t>
  </si>
  <si>
    <t>MH939361</t>
  </si>
  <si>
    <t>pteropus associated gemygorvirus 1</t>
  </si>
  <si>
    <t>PtGGV1</t>
  </si>
  <si>
    <t>Tbat_A_103952</t>
  </si>
  <si>
    <t>KT732790</t>
  </si>
  <si>
    <t>sewage derived gemygorvirus 1</t>
  </si>
  <si>
    <t>SeGGV1</t>
  </si>
  <si>
    <t>BS3963</t>
  </si>
  <si>
    <t>KJ547635</t>
  </si>
  <si>
    <t>starling associated gemygorvirus 1</t>
  </si>
  <si>
    <t>StGGV1</t>
  </si>
  <si>
    <t>P14</t>
  </si>
  <si>
    <t>KF371632</t>
  </si>
  <si>
    <t>Gemykibivirus</t>
  </si>
  <si>
    <t>ctbb79</t>
  </si>
  <si>
    <t>MK032696</t>
  </si>
  <si>
    <t>ctbi86</t>
  </si>
  <si>
    <t>MK032759</t>
  </si>
  <si>
    <t>Porcine feces-associated gemycircularvirus</t>
  </si>
  <si>
    <t>BEL/15V010</t>
  </si>
  <si>
    <t>KY214433</t>
  </si>
  <si>
    <t>badger associated gemykibivirus 1</t>
  </si>
  <si>
    <t>BGKV1</t>
  </si>
  <si>
    <t>588t</t>
  </si>
  <si>
    <t>KP263543</t>
  </si>
  <si>
    <t>Bemisia-associated genomovirus NfO</t>
  </si>
  <si>
    <t>NfO</t>
  </si>
  <si>
    <t>KY230625</t>
  </si>
  <si>
    <t>blackbird associated gemykibivirus 1</t>
  </si>
  <si>
    <t>BbGKV1</t>
  </si>
  <si>
    <t>P22</t>
  </si>
  <si>
    <t>KF371633</t>
  </si>
  <si>
    <t>black robin associated gemykibivirus 1</t>
  </si>
  <si>
    <t>BRGKV1</t>
  </si>
  <si>
    <t>P21</t>
  </si>
  <si>
    <t>KF371634</t>
  </si>
  <si>
    <t>bovine associated gemykibivirus 1</t>
  </si>
  <si>
    <t>BGKB1</t>
  </si>
  <si>
    <t>HCBI8.215</t>
  </si>
  <si>
    <t>LK931483</t>
  </si>
  <si>
    <t>Canine feces-associated gemycircularvirus</t>
  </si>
  <si>
    <t>KY214441</t>
  </si>
  <si>
    <t>Cattle blood-associated gemycircularvirus</t>
  </si>
  <si>
    <t>BGmv001</t>
  </si>
  <si>
    <t>MF669480</t>
  </si>
  <si>
    <t>Cybaeus spider associated circular virus 2</t>
  </si>
  <si>
    <t>BC_I1644B_C3</t>
  </si>
  <si>
    <t>MH545507</t>
  </si>
  <si>
    <t>Plant associated genomovirus 3</t>
  </si>
  <si>
    <t>QS36_F24</t>
  </si>
  <si>
    <t>MH939438</t>
  </si>
  <si>
    <t>dragonfly associated gemykibivirus 1</t>
  </si>
  <si>
    <t>DGKB1</t>
  </si>
  <si>
    <t>FL1-2X-2010</t>
  </si>
  <si>
    <t>JX185430</t>
  </si>
  <si>
    <t>Thrips-associated genomovirus 3</t>
  </si>
  <si>
    <t>thrp_197938</t>
  </si>
  <si>
    <t>KY308269</t>
  </si>
  <si>
    <t>Chicken genomovirus mg7_73</t>
  </si>
  <si>
    <t>mg7_73</t>
  </si>
  <si>
    <t>MN379612</t>
  </si>
  <si>
    <t>Chicken genomovirus mg8_401</t>
  </si>
  <si>
    <t>mg8_401</t>
  </si>
  <si>
    <t>MN379615</t>
  </si>
  <si>
    <t>Chicken genomovirus mg4_1218</t>
  </si>
  <si>
    <t>mg4_1218</t>
  </si>
  <si>
    <t>MN379608</t>
  </si>
  <si>
    <t>gpge014</t>
  </si>
  <si>
    <t>MF327571</t>
  </si>
  <si>
    <t>ctcf212</t>
  </si>
  <si>
    <t>MK032708</t>
  </si>
  <si>
    <t>Finch associated genomovirus 3</t>
  </si>
  <si>
    <t>S30P_D</t>
  </si>
  <si>
    <t>MK249305</t>
  </si>
  <si>
    <t>Gopherus associated genomovirus 1</t>
  </si>
  <si>
    <t>Tor2_591165</t>
  </si>
  <si>
    <t>MF373638</t>
  </si>
  <si>
    <t>Finch associated genomovirus 2</t>
  </si>
  <si>
    <t>A2N_B</t>
  </si>
  <si>
    <t>MK249239</t>
  </si>
  <si>
    <t>Finch associated genomovirus 4</t>
  </si>
  <si>
    <t>MK249240</t>
  </si>
  <si>
    <t>Finch associated genomovirus 1</t>
  </si>
  <si>
    <t>E50N_A</t>
  </si>
  <si>
    <t>MK249294</t>
  </si>
  <si>
    <t>Bat gemycircularvirus</t>
  </si>
  <si>
    <t>DXHL6</t>
  </si>
  <si>
    <t>MK050014</t>
  </si>
  <si>
    <t>human associated gemykibivirus 1</t>
  </si>
  <si>
    <t>HGKV1</t>
  </si>
  <si>
    <t>MSSI2.225</t>
  </si>
  <si>
    <t>LK931485</t>
  </si>
  <si>
    <t>human associated gemykibivirus 2</t>
  </si>
  <si>
    <t>HGKV2</t>
  </si>
  <si>
    <t>SL1</t>
  </si>
  <si>
    <t>KP133075</t>
  </si>
  <si>
    <t>human associated gemykibivirus 3</t>
  </si>
  <si>
    <t>HGKV3</t>
  </si>
  <si>
    <t>GemyC1c</t>
  </si>
  <si>
    <t>KP987887</t>
  </si>
  <si>
    <t>human associated gemykibivirus 4</t>
  </si>
  <si>
    <t>HGKV4</t>
  </si>
  <si>
    <t>GeTz1</t>
  </si>
  <si>
    <t>KT363839</t>
  </si>
  <si>
    <t>human associated gemykibivirus 5</t>
  </si>
  <si>
    <t>HGKV5</t>
  </si>
  <si>
    <t>HV-GcV2</t>
  </si>
  <si>
    <t>KU343137</t>
  </si>
  <si>
    <t>Capybara genomovirus 4</t>
  </si>
  <si>
    <t>cap1_57</t>
  </si>
  <si>
    <t>MK483076</t>
  </si>
  <si>
    <t>Capybara genomovirus 2</t>
  </si>
  <si>
    <t>cap1_52</t>
  </si>
  <si>
    <t>MK483073</t>
  </si>
  <si>
    <t>Capybara genomovirus 12</t>
  </si>
  <si>
    <t>cap1_1725</t>
  </si>
  <si>
    <t>MK483084</t>
  </si>
  <si>
    <t>ctcg277</t>
  </si>
  <si>
    <t>MK032742</t>
  </si>
  <si>
    <t>mongoose associated gemykibivirus 1</t>
  </si>
  <si>
    <t>MGKV1</t>
  </si>
  <si>
    <t>160b</t>
  </si>
  <si>
    <t>KP263545</t>
  </si>
  <si>
    <t>ctba85</t>
  </si>
  <si>
    <t>MK032703</t>
  </si>
  <si>
    <t>ctci83</t>
  </si>
  <si>
    <t>MK032748</t>
  </si>
  <si>
    <t>ctbf8</t>
  </si>
  <si>
    <t>MK032749</t>
  </si>
  <si>
    <t>ctdb7</t>
  </si>
  <si>
    <t>MK032721</t>
  </si>
  <si>
    <t>Plant associated genomovirus 2</t>
  </si>
  <si>
    <t>277_BA530</t>
  </si>
  <si>
    <t>MH939363</t>
  </si>
  <si>
    <t>Plant associated genomovirus 29</t>
  </si>
  <si>
    <t>Sag_SP219</t>
  </si>
  <si>
    <t>MK947376</t>
  </si>
  <si>
    <t>pteropus associated gemykibivirus 1</t>
  </si>
  <si>
    <t>PtGKV1</t>
  </si>
  <si>
    <t>Tbat_A_64418</t>
  </si>
  <si>
    <t>KT732813</t>
  </si>
  <si>
    <t>ctbh29</t>
  </si>
  <si>
    <t>MK032704</t>
  </si>
  <si>
    <t>rhinolophus associated gemykibivirus 1</t>
  </si>
  <si>
    <t>RGKV1</t>
  </si>
  <si>
    <t>BtRh-CV-6/Tibet2013</t>
  </si>
  <si>
    <t>KJ641737</t>
  </si>
  <si>
    <t>rhinolophus associated gemykibivirus 2</t>
  </si>
  <si>
    <t>RGKV2</t>
  </si>
  <si>
    <t>BtRf-CV-8/NM2013</t>
  </si>
  <si>
    <t>KJ641726</t>
  </si>
  <si>
    <t>sewage derived gemykibivirus 1</t>
  </si>
  <si>
    <t>SeGKV1</t>
  </si>
  <si>
    <t>BS4149</t>
  </si>
  <si>
    <t>KJ547643</t>
  </si>
  <si>
    <t>sewage derived gemykibivirus 2</t>
  </si>
  <si>
    <t>SEGKV1</t>
  </si>
  <si>
    <t>BS3911</t>
  </si>
  <si>
    <t>KJ547642</t>
  </si>
  <si>
    <t>cthd64</t>
  </si>
  <si>
    <t>MK012443</t>
  </si>
  <si>
    <t>6434_414</t>
  </si>
  <si>
    <t>MT309857</t>
  </si>
  <si>
    <t>ctgi38</t>
  </si>
  <si>
    <t>MK032756</t>
  </si>
  <si>
    <t>Gemykolovirus</t>
  </si>
  <si>
    <t>ctbe80</t>
  </si>
  <si>
    <t>MK032717</t>
  </si>
  <si>
    <t>Citrus Tunisia genomovirus 1b</t>
  </si>
  <si>
    <t>CTGV/1b/TUN/2015</t>
  </si>
  <si>
    <t>MN708482</t>
  </si>
  <si>
    <t>Tick-associated genomovirus 2</t>
  </si>
  <si>
    <t>tick24_130</t>
  </si>
  <si>
    <t>MF173066</t>
  </si>
  <si>
    <t>Grasshopper associated circular virus 1</t>
  </si>
  <si>
    <t>FL_SDBVL</t>
  </si>
  <si>
    <t>MH545499</t>
  </si>
  <si>
    <t>Thrips-associated genomovirus 4</t>
  </si>
  <si>
    <t>thrp_197937</t>
  </si>
  <si>
    <t>KY308270</t>
  </si>
  <si>
    <t>Tortoise genomovirus 9</t>
  </si>
  <si>
    <t>Tor_36_tor6</t>
  </si>
  <si>
    <t>MK570209</t>
  </si>
  <si>
    <t>Tortoise genomovirus 13</t>
  </si>
  <si>
    <t>Tor_153</t>
  </si>
  <si>
    <t>MK570213</t>
  </si>
  <si>
    <t>ctce205</t>
  </si>
  <si>
    <t>MK032747</t>
  </si>
  <si>
    <t>Plant associated genomovirus 7</t>
  </si>
  <si>
    <t>1409_BA530</t>
  </si>
  <si>
    <t>MH939374</t>
  </si>
  <si>
    <t>Alces alces faeces associated genomovirus MP68</t>
  </si>
  <si>
    <t>MP68</t>
  </si>
  <si>
    <t>MG641203</t>
  </si>
  <si>
    <t>Plant associated genomovirus 9</t>
  </si>
  <si>
    <t>A97_GP1</t>
  </si>
  <si>
    <t>MH939382</t>
  </si>
  <si>
    <t>Amygdalus persica genomoviridae</t>
  </si>
  <si>
    <t>pt059-gen-3</t>
  </si>
  <si>
    <t>MN823669</t>
  </si>
  <si>
    <t>pteropus associated gemykolovirus 1</t>
  </si>
  <si>
    <t>PtGKoV1</t>
  </si>
  <si>
    <t>Tbat_A_103779</t>
  </si>
  <si>
    <t>KT732798</t>
  </si>
  <si>
    <t>pteropus associated gemykolovirus 2</t>
  </si>
  <si>
    <t>PtGKoV2</t>
  </si>
  <si>
    <t>Tbat_H_103921</t>
  </si>
  <si>
    <t>KT732800</t>
  </si>
  <si>
    <t>Tubeweb spider associated circular virus 1</t>
  </si>
  <si>
    <t>BC I1652A_F12</t>
  </si>
  <si>
    <t>MH545501</t>
  </si>
  <si>
    <t>ctbi78</t>
  </si>
  <si>
    <t>MK032739</t>
  </si>
  <si>
    <t>Gemykrogvirus</t>
  </si>
  <si>
    <t>ctea93</t>
  </si>
  <si>
    <t>MK032716</t>
  </si>
  <si>
    <t>Apis mellifera genomovirus 2</t>
  </si>
  <si>
    <t>BNH_406</t>
  </si>
  <si>
    <t>MH973741</t>
  </si>
  <si>
    <t>bovine associated gemykrogvirus 1</t>
  </si>
  <si>
    <t>BGKrV1</t>
  </si>
  <si>
    <t>HCB19.212</t>
  </si>
  <si>
    <t>LK931484</t>
  </si>
  <si>
    <t>caribou associated gemykrogvirus 1</t>
  </si>
  <si>
    <t>FaGmCV-13</t>
  </si>
  <si>
    <t>KJ938717</t>
  </si>
  <si>
    <t>Chicken genomovirus mg4_1247</t>
  </si>
  <si>
    <t>mg4_1247</t>
  </si>
  <si>
    <t>MN379609</t>
  </si>
  <si>
    <t>Chicken stool-associated gemycircularvirus</t>
  </si>
  <si>
    <t>RS/BR/2015</t>
  </si>
  <si>
    <t>KY056250</t>
  </si>
  <si>
    <t>Chicken genomovirus mg4_1173</t>
  </si>
  <si>
    <t>mg4_1173</t>
  </si>
  <si>
    <t>MN379605</t>
  </si>
  <si>
    <t>Chicken genomovirus mg7_78</t>
  </si>
  <si>
    <t>mg7_78</t>
  </si>
  <si>
    <t>MN379614</t>
  </si>
  <si>
    <t>Chicken genomovirus mg4_1165</t>
  </si>
  <si>
    <t>mg4_1165</t>
  </si>
  <si>
    <t>MN379604</t>
  </si>
  <si>
    <t>gpge002</t>
  </si>
  <si>
    <t>MF327559</t>
  </si>
  <si>
    <t>cthh214</t>
  </si>
  <si>
    <t>MK032724</t>
  </si>
  <si>
    <t>Viet Nam</t>
  </si>
  <si>
    <t>MT649486</t>
  </si>
  <si>
    <t>sewage derived gemykrogvirus 1</t>
  </si>
  <si>
    <t>SeBKrV1</t>
  </si>
  <si>
    <t>BS3913</t>
  </si>
  <si>
    <t>KJ547634</t>
  </si>
  <si>
    <t>Gemykroznavirus</t>
  </si>
  <si>
    <t>ctda_5</t>
  </si>
  <si>
    <t>MK032727</t>
  </si>
  <si>
    <t>Finch associated genomovirus 8</t>
  </si>
  <si>
    <t>MK249245</t>
  </si>
  <si>
    <t>Capybara genomovirus 10</t>
  </si>
  <si>
    <t>cap1_694</t>
  </si>
  <si>
    <t>MK483082</t>
  </si>
  <si>
    <t>Plant associated genomovirus 24</t>
  </si>
  <si>
    <t>QS29_F24</t>
  </si>
  <si>
    <t>MH939435</t>
  </si>
  <si>
    <t>rabbit associated gemykroznavirus 1</t>
  </si>
  <si>
    <t>RBKroV1</t>
  </si>
  <si>
    <t>as35</t>
  </si>
  <si>
    <t>KF371631</t>
  </si>
  <si>
    <t>Plant associated genomovirus 23</t>
  </si>
  <si>
    <t>AH_2861</t>
  </si>
  <si>
    <t>MH939385</t>
  </si>
  <si>
    <t>Zizania latifolia genomoviridae</t>
  </si>
  <si>
    <t>pt081-gen-5</t>
  </si>
  <si>
    <t>MN823671</t>
  </si>
  <si>
    <t>Gemytondvirus</t>
  </si>
  <si>
    <t>ostrich associated gemytondvirus 1</t>
  </si>
  <si>
    <t>OGTV1</t>
  </si>
  <si>
    <t>as3</t>
  </si>
  <si>
    <t>KF371630</t>
  </si>
  <si>
    <t>Gemytripvirus</t>
  </si>
  <si>
    <t>Fusarium graminearum gemytripvirus 1</t>
  </si>
  <si>
    <t>FgGMTV1</t>
  </si>
  <si>
    <t>DNA-A: MK430076; DNA-B: MK430077; DNA-C: MK430078</t>
  </si>
  <si>
    <t>Gemyvongvirus</t>
  </si>
  <si>
    <t>human associated gemyvongvirus 1</t>
  </si>
  <si>
    <t>HGVV1</t>
  </si>
  <si>
    <t>DB1</t>
  </si>
  <si>
    <t>KP974693</t>
  </si>
  <si>
    <t>ctcg218</t>
  </si>
  <si>
    <t>MK032710</t>
  </si>
  <si>
    <t>ctcj747</t>
  </si>
  <si>
    <t>MK032740</t>
  </si>
  <si>
    <t>Trapavirae</t>
  </si>
  <si>
    <t>Saleviricota</t>
  </si>
  <si>
    <t>Huolimaviricetes</t>
  </si>
  <si>
    <t>Haloruvirales</t>
  </si>
  <si>
    <t>Pleolipoviridae</t>
  </si>
  <si>
    <t>Alphapleolipovirus</t>
  </si>
  <si>
    <t>Haloarcula hispanica pleomorphic virus 1</t>
  </si>
  <si>
    <t>HHPV-1</t>
  </si>
  <si>
    <t>GU321093</t>
  </si>
  <si>
    <t>Haloarcula hispanica pleomorphic virus 2</t>
  </si>
  <si>
    <t>HHPV-2</t>
  </si>
  <si>
    <t>KF056323</t>
  </si>
  <si>
    <t>Halorubrum pleomorphic virus 1</t>
  </si>
  <si>
    <t>HRPV-1</t>
  </si>
  <si>
    <t>FJ685651</t>
  </si>
  <si>
    <t>Halorubrum pleomorphic virus 2</t>
  </si>
  <si>
    <t>HRPV-2</t>
  </si>
  <si>
    <t>JN882264</t>
  </si>
  <si>
    <t>Halorubrum pleomorphic virus 6</t>
  </si>
  <si>
    <t>HRPV-6</t>
  </si>
  <si>
    <t>JN882266</t>
  </si>
  <si>
    <t>Betapleolipovirus</t>
  </si>
  <si>
    <t>Halogeometricum pleomorphic virus 1</t>
  </si>
  <si>
    <t>HGPV-1</t>
  </si>
  <si>
    <t>JN882267</t>
  </si>
  <si>
    <t>Haloarcula hispanica pleomorphic virus 3</t>
  </si>
  <si>
    <t>HHPV3</t>
  </si>
  <si>
    <t>KX344510</t>
  </si>
  <si>
    <t>Haloarcula hispanica pleomorphic virus 4</t>
  </si>
  <si>
    <t>HHPV4</t>
  </si>
  <si>
    <t>KY264020</t>
  </si>
  <si>
    <t>Halorubrum pleomorphic virus 10</t>
  </si>
  <si>
    <t>HRPV10</t>
  </si>
  <si>
    <t>MG550111</t>
  </si>
  <si>
    <t>Halorubrum pleomorphic virus 11</t>
  </si>
  <si>
    <t>HRPV11</t>
  </si>
  <si>
    <t>MG550113</t>
  </si>
  <si>
    <t>Halorubrum pleomorphic virus 12</t>
  </si>
  <si>
    <t>HRPV12</t>
  </si>
  <si>
    <t>MG550110</t>
  </si>
  <si>
    <t>Halorubrum pleomorphic virus 3</t>
  </si>
  <si>
    <t>HRPV-3</t>
  </si>
  <si>
    <t>JN882265</t>
  </si>
  <si>
    <t>Halorubrum pleomorphic virus 9</t>
  </si>
  <si>
    <t>HRPV9</t>
  </si>
  <si>
    <t>KY965934</t>
  </si>
  <si>
    <t>Saline Natrinema sp. J7‐1 virus 2</t>
  </si>
  <si>
    <t>SNJ2</t>
  </si>
  <si>
    <t>OP012469</t>
  </si>
  <si>
    <t>Gammapleolipovirus</t>
  </si>
  <si>
    <t>Hardyhisp2</t>
  </si>
  <si>
    <t>HH2</t>
  </si>
  <si>
    <t>MW557853</t>
  </si>
  <si>
    <t>His2 virus</t>
  </si>
  <si>
    <t>His2</t>
  </si>
  <si>
    <t>AF191797</t>
  </si>
  <si>
    <t>Riboviria</t>
  </si>
  <si>
    <t>Albetovirus</t>
  </si>
  <si>
    <t>satellite tobacco necrosis virus 1</t>
  </si>
  <si>
    <t>STNV1</t>
  </si>
  <si>
    <t>V01468</t>
  </si>
  <si>
    <t>ssRNA(+)</t>
  </si>
  <si>
    <t>satellite tobacco necrosis virus 2</t>
  </si>
  <si>
    <t>STNV2</t>
  </si>
  <si>
    <t>M64479</t>
  </si>
  <si>
    <t>satellite tobacco necrosis virus C</t>
  </si>
  <si>
    <t>STNVC</t>
  </si>
  <si>
    <t>C</t>
  </si>
  <si>
    <t>AJ000898</t>
  </si>
  <si>
    <t>Aumaivirus</t>
  </si>
  <si>
    <t>satellite maize white line mosaic virus</t>
  </si>
  <si>
    <t>SMWLMV</t>
  </si>
  <si>
    <t>M55012</t>
  </si>
  <si>
    <t>Papanivirus</t>
  </si>
  <si>
    <t>Panicum papanivirus 1</t>
  </si>
  <si>
    <t>M17182</t>
  </si>
  <si>
    <t>Virtovirus</t>
  </si>
  <si>
    <t>satellite tobacco mosaic virus</t>
  </si>
  <si>
    <t>STMV</t>
  </si>
  <si>
    <t>M25782</t>
  </si>
  <si>
    <t>Polymycoviridae</t>
  </si>
  <si>
    <t>Polymycovirus</t>
  </si>
  <si>
    <t>Aspergillus fumigatus polymycovirus 1</t>
  </si>
  <si>
    <t>Aspergillus fumigatus tetramycovirus 1</t>
  </si>
  <si>
    <t>AfuTmV1</t>
  </si>
  <si>
    <t>Af293</t>
  </si>
  <si>
    <t>dsRNA</t>
  </si>
  <si>
    <t>AfuPmV1</t>
  </si>
  <si>
    <t>V181-30</t>
  </si>
  <si>
    <t>Af293-MMRC</t>
  </si>
  <si>
    <t>J-YC</t>
  </si>
  <si>
    <t>Aspergillus spelaeus tetramycovirus 1</t>
  </si>
  <si>
    <t>AspTmV1</t>
  </si>
  <si>
    <t>MUT1993</t>
  </si>
  <si>
    <t>Beauveria bassiana polymycovirus 1</t>
  </si>
  <si>
    <t>BbPmV1</t>
  </si>
  <si>
    <t>EABb 92/11-Dm</t>
  </si>
  <si>
    <t>Botryosphaeria dothidea RNA virus 1</t>
  </si>
  <si>
    <t>BdRV1</t>
  </si>
  <si>
    <t>YZN115</t>
  </si>
  <si>
    <t>BdRV1-XA-3</t>
  </si>
  <si>
    <t>XA-3</t>
  </si>
  <si>
    <t>Cladosporium cladosporioides virus 1</t>
  </si>
  <si>
    <t>CcV1</t>
  </si>
  <si>
    <t>DF15</t>
  </si>
  <si>
    <t>Colletotrichum camelliae filamentous virus 1</t>
  </si>
  <si>
    <t>CcFV1</t>
  </si>
  <si>
    <t>LT-3-1</t>
  </si>
  <si>
    <t>Fusarium redolens polymycovirus 1</t>
  </si>
  <si>
    <t>FrPmV1</t>
  </si>
  <si>
    <t>Magnaporthe oryzae polymycovirus 1</t>
  </si>
  <si>
    <t>MoPmV1</t>
  </si>
  <si>
    <t>TM02</t>
  </si>
  <si>
    <t>Penicillium digitatum polymycovirus 1</t>
  </si>
  <si>
    <t>PdPmV1</t>
  </si>
  <si>
    <t>Penicillium brevicompactum tetramycovirus 1</t>
  </si>
  <si>
    <t>PbTmV1</t>
  </si>
  <si>
    <t>MUT1097</t>
  </si>
  <si>
    <t>Sarthroviridae</t>
  </si>
  <si>
    <t>Macronovirus</t>
  </si>
  <si>
    <t>extra small virus</t>
  </si>
  <si>
    <t>XSV</t>
  </si>
  <si>
    <t>AY247793</t>
  </si>
  <si>
    <t>XSV-Ch</t>
  </si>
  <si>
    <t>China</t>
  </si>
  <si>
    <t>XSV-M308</t>
  </si>
  <si>
    <t>M308</t>
  </si>
  <si>
    <t>XSV-M299</t>
  </si>
  <si>
    <t>M299</t>
  </si>
  <si>
    <t>XSV-M298</t>
  </si>
  <si>
    <t>M298</t>
  </si>
  <si>
    <t>XSV-M23</t>
  </si>
  <si>
    <t>M23</t>
  </si>
  <si>
    <t>XSV-Th</t>
  </si>
  <si>
    <t>Taiwan</t>
  </si>
  <si>
    <t>XSV-In</t>
  </si>
  <si>
    <t>Orthornavirae</t>
  </si>
  <si>
    <t>Botybirnavirus</t>
  </si>
  <si>
    <t>Botrytis porri botybirnavirus 1</t>
  </si>
  <si>
    <t>BPBBV1</t>
  </si>
  <si>
    <t>GarlicBc-72</t>
  </si>
  <si>
    <t>RNA1: JF716350; RNA2: JF716351</t>
  </si>
  <si>
    <t>Birnaviridae</t>
  </si>
  <si>
    <t>Aquabirnavirus</t>
  </si>
  <si>
    <t>yellowtail ascites virus</t>
  </si>
  <si>
    <t>YTAV</t>
  </si>
  <si>
    <t>Y-6</t>
  </si>
  <si>
    <t>SegA: AB006783; SegB: AY129662</t>
  </si>
  <si>
    <t>infectious pancreatic necrosis virus</t>
  </si>
  <si>
    <t>IPNV</t>
  </si>
  <si>
    <t>Jasper</t>
  </si>
  <si>
    <t>SegA: M18049; SegB: M58756</t>
  </si>
  <si>
    <t>West Buxton</t>
  </si>
  <si>
    <t>31-75</t>
  </si>
  <si>
    <t>6B1a</t>
  </si>
  <si>
    <t>94/01</t>
  </si>
  <si>
    <t>1375/89</t>
  </si>
  <si>
    <t>Tellina virus 2</t>
  </si>
  <si>
    <t>TV-2</t>
  </si>
  <si>
    <t>Te</t>
  </si>
  <si>
    <t>SegA: AF342731</t>
  </si>
  <si>
    <t>Avibirnavirus</t>
  </si>
  <si>
    <t>infectious bursal disease virus</t>
  </si>
  <si>
    <t>IBDV</t>
  </si>
  <si>
    <t>SegA: X84034; SegB: X84035</t>
  </si>
  <si>
    <t>UK661</t>
  </si>
  <si>
    <t>Blosnavirus</t>
  </si>
  <si>
    <t>blotched snakehead virus</t>
  </si>
  <si>
    <t>BSNV</t>
  </si>
  <si>
    <t>SegA: AJ459382; SegB: AJ459383</t>
  </si>
  <si>
    <t>Lates calcarifer birnavirus</t>
  </si>
  <si>
    <t>LCBV</t>
  </si>
  <si>
    <t>SegA: MK103419; SegB: MK103420</t>
  </si>
  <si>
    <t>Dronavirus</t>
  </si>
  <si>
    <t>Drosophila B birnavirus</t>
  </si>
  <si>
    <t>DBV</t>
  </si>
  <si>
    <t>SegA: GQ342962; SegB: GQ342963</t>
  </si>
  <si>
    <t>Entomobirnavirus</t>
  </si>
  <si>
    <t>mosquito X virus</t>
  </si>
  <si>
    <t>MoXV</t>
  </si>
  <si>
    <t>SegA: JX403941; SegB: JX403942</t>
  </si>
  <si>
    <t>Drosophila X virus</t>
  </si>
  <si>
    <t>DXV</t>
  </si>
  <si>
    <t>Ronavirus</t>
  </si>
  <si>
    <t>rotifer birnavirus</t>
  </si>
  <si>
    <t>RBV</t>
  </si>
  <si>
    <t>Palavas</t>
  </si>
  <si>
    <t>SegA: FM995220; SegB: FM995221</t>
  </si>
  <si>
    <t>Telnavirus</t>
  </si>
  <si>
    <t>Tellina virus 1</t>
  </si>
  <si>
    <t>TV1</t>
  </si>
  <si>
    <t>SegA: AJ920335; SegB: AJ920336</t>
  </si>
  <si>
    <t>Permutotetraviridae</t>
  </si>
  <si>
    <t>Alphapermutotetravirus</t>
  </si>
  <si>
    <t>Euprosterna elaeasa virus</t>
  </si>
  <si>
    <t>EeV</t>
  </si>
  <si>
    <t>AF461742</t>
  </si>
  <si>
    <t>Thosea asigna virus</t>
  </si>
  <si>
    <t>TaV</t>
  </si>
  <si>
    <t>AF062037; AF282930</t>
  </si>
  <si>
    <t>Duplornaviricota</t>
  </si>
  <si>
    <t>Chrymotiviricetes</t>
  </si>
  <si>
    <t>Ghabrivirales</t>
  </si>
  <si>
    <t>Alternaviridae</t>
  </si>
  <si>
    <t>Alternavirus</t>
  </si>
  <si>
    <t>Alternaria alternata virus 1</t>
  </si>
  <si>
    <t>AaV1</t>
  </si>
  <si>
    <t>EGS 35-193</t>
  </si>
  <si>
    <t>Aspergillus foetidus dsRNA mycovirus</t>
  </si>
  <si>
    <t>AfV</t>
  </si>
  <si>
    <t>IMI 41871</t>
  </si>
  <si>
    <t>Cordyceps chanhua alternavirus 1</t>
  </si>
  <si>
    <t>CcAV1</t>
  </si>
  <si>
    <t>RCEF6000</t>
  </si>
  <si>
    <t>Fusarium oxysporum alternavirus 1</t>
  </si>
  <si>
    <t>FoAV1</t>
  </si>
  <si>
    <t>BH19</t>
  </si>
  <si>
    <t>Fusarium graminearum alternavirus 1</t>
  </si>
  <si>
    <t>FgAV1</t>
  </si>
  <si>
    <t>FgAV1/AH11</t>
  </si>
  <si>
    <t>Chrysoviridae</t>
  </si>
  <si>
    <t>Alphachrysovirus</t>
  </si>
  <si>
    <t>Anthurium mosaic-associated virus</t>
  </si>
  <si>
    <t>AMAV</t>
  </si>
  <si>
    <t>PHA</t>
  </si>
  <si>
    <t>dsRNA1: FJ899675; dsRNA2: FJ899676; dsRNA3: FJ899677</t>
  </si>
  <si>
    <t>plants (S)</t>
  </si>
  <si>
    <t>Aspergillus fumigatus chrysovirus</t>
  </si>
  <si>
    <t>AfCV</t>
  </si>
  <si>
    <t>A56</t>
  </si>
  <si>
    <t>dsRNA1: FN178512; dsRNA2: FN178513; dsRNA3: FN178514; dsRNA4: FN178515</t>
  </si>
  <si>
    <t>Brassica campestris chrysovirus 1</t>
  </si>
  <si>
    <t>BcCV1</t>
  </si>
  <si>
    <t>Hubei</t>
  </si>
  <si>
    <t>Amasya cherry disease associated chrysovirus</t>
  </si>
  <si>
    <t>ACDACV</t>
  </si>
  <si>
    <t>Turkey</t>
  </si>
  <si>
    <t>cherry chlorotic rusty spot associated chrysovirus</t>
  </si>
  <si>
    <t>CCRSACV</t>
  </si>
  <si>
    <t>Italy</t>
  </si>
  <si>
    <t>Chrysothrix chrysovirus 1</t>
  </si>
  <si>
    <t>CCV1</t>
  </si>
  <si>
    <t>ZSH</t>
  </si>
  <si>
    <t>dsRNA1: MN625832; dsRNA2: MN625833; dsRNA3: MN625834; dsRNA4: MN625835</t>
  </si>
  <si>
    <t>Colletotrichum gloeosporioides chrysovirus 1</t>
  </si>
  <si>
    <t>CgCV1</t>
  </si>
  <si>
    <t>HZ-1</t>
  </si>
  <si>
    <t>dsRNA1: KT581957; dsRNA2: KT581958; dsRNA3: KT581959</t>
  </si>
  <si>
    <t>Cryphonectria nitschkei chrysovirus 1</t>
  </si>
  <si>
    <t>CnCV1</t>
  </si>
  <si>
    <t>BS122</t>
  </si>
  <si>
    <t>Fusarium oxysporum chrysovirus 1</t>
  </si>
  <si>
    <t>FoCV1</t>
  </si>
  <si>
    <t>Sharzei</t>
  </si>
  <si>
    <t>dsRNA1: EF152346; dsRNA2: EF152347; dsRNA3: EF152348</t>
  </si>
  <si>
    <t>Helminthosporium victoriae virus 145S</t>
  </si>
  <si>
    <t>HvV145S-A9</t>
  </si>
  <si>
    <t>A9</t>
  </si>
  <si>
    <t>dsRNA1: AF297176; dsRNA2: AF297177; dsRNA3: AF297178; dsRNA4: AF297179</t>
  </si>
  <si>
    <t>Bipolaris maydis chrysovirus 1</t>
  </si>
  <si>
    <t>BmCV1</t>
  </si>
  <si>
    <t>SS01</t>
  </si>
  <si>
    <t>Isaria javanica chrysovirus 1</t>
  </si>
  <si>
    <t>IjCV1</t>
  </si>
  <si>
    <t>IjCV-1</t>
  </si>
  <si>
    <t>dsRNA1: KX898416; dsRNA2: KX898417; dsRNA3: KX898418; dsRNA4: KX898419</t>
  </si>
  <si>
    <t>Beauveria bassiana chrysovirus 1</t>
  </si>
  <si>
    <t>BbCV1</t>
  </si>
  <si>
    <t>GXsk1011</t>
  </si>
  <si>
    <t>Macrophomina phaseolina chrysovirus 1</t>
  </si>
  <si>
    <t>MpCV1</t>
  </si>
  <si>
    <t>TN263</t>
  </si>
  <si>
    <t>dsRNA1: KP900886; dsRNA2: KP900887; dsRNA3: KP900888; dsRNA4: KP900889</t>
  </si>
  <si>
    <t>Penicillium chrysogenum virus</t>
  </si>
  <si>
    <t>PcV</t>
  </si>
  <si>
    <t>ATCC9480</t>
  </si>
  <si>
    <t>dsRNA1: AF296439; dsRNA2: AF296440; dsRNA3: AF296441; dsRNA4: AF296442</t>
  </si>
  <si>
    <t>Penicillium roseopurpureum chrysovirus 1</t>
  </si>
  <si>
    <t>PrpCV1</t>
  </si>
  <si>
    <t>MUT2146</t>
  </si>
  <si>
    <t>Penicillium italicum chrysovirus</t>
  </si>
  <si>
    <t>PiCV1</t>
  </si>
  <si>
    <t>HSPi-YN1</t>
  </si>
  <si>
    <t>Penicillium raistrickii chrysovirus 1</t>
  </si>
  <si>
    <t>PrCV1</t>
  </si>
  <si>
    <t>ATCC10490</t>
  </si>
  <si>
    <t>Penicillium brevicompactum virus</t>
  </si>
  <si>
    <t>PbcV</t>
  </si>
  <si>
    <t>Indiana</t>
  </si>
  <si>
    <t>Penicillium cyaneo-fulvum virus</t>
  </si>
  <si>
    <t>PcfV</t>
  </si>
  <si>
    <t>IMI58138</t>
  </si>
  <si>
    <t>Persea americana chrysovirus</t>
  </si>
  <si>
    <t>PaCV</t>
  </si>
  <si>
    <t>Spain</t>
  </si>
  <si>
    <t>dsRNA1: KJ418374; dsRNA2: KJ418375; dsRNA3: KJ418376</t>
  </si>
  <si>
    <t>Raphanus sativus chrysovirus 1</t>
  </si>
  <si>
    <t>RsCV1</t>
  </si>
  <si>
    <t>dsRNA1: JQ045335; dsRNA2: JQ045336; dsRNA3: JQ045337</t>
  </si>
  <si>
    <t>Salado virus</t>
  </si>
  <si>
    <t>SV</t>
  </si>
  <si>
    <t>Wy 1731-12</t>
  </si>
  <si>
    <t>dsRNA1: MN661047; dsRNA2: MN661048; dsRNA3: MN661049; dsRNA4: MN661050</t>
  </si>
  <si>
    <t>invertebrates (S)</t>
  </si>
  <si>
    <t>Shuangao chryso-like virus</t>
  </si>
  <si>
    <t>SCLV</t>
  </si>
  <si>
    <t>WSB68555</t>
  </si>
  <si>
    <t>dsRNA1: MF176340; dsRNA2: MF176341; dsRNA3: MF176342; dsRNA4: MF176343</t>
  </si>
  <si>
    <t>Hubei chryso-like virus</t>
  </si>
  <si>
    <t>HCLV</t>
  </si>
  <si>
    <t>mos191gb77171</t>
  </si>
  <si>
    <t>Verticillium dahliae chrysovirus 1</t>
  </si>
  <si>
    <t>VdCV1</t>
  </si>
  <si>
    <t>dsRNA1: HM004067; dsRNA2: HM004068; dsRNA3: HM004069; dsRNA4: HM004070</t>
  </si>
  <si>
    <t>Zea mays chrysovirus 1</t>
  </si>
  <si>
    <t>ZmCV1</t>
  </si>
  <si>
    <t>Betachrysovirus</t>
  </si>
  <si>
    <t>Alternaria alternata chrysovirus 1</t>
  </si>
  <si>
    <t>AaCV1</t>
  </si>
  <si>
    <t>Japanese pear pathotype N18</t>
  </si>
  <si>
    <t>dsRNA1: LC350277; dsRNA2: LC350278; dsRNA3: LC350279; dsRNA4: LC350280; dsRNA5: LC350281</t>
  </si>
  <si>
    <t>Aspergillus thermomutatus chrysovirus 1</t>
  </si>
  <si>
    <t>AtCV1</t>
  </si>
  <si>
    <t>NZCV1</t>
  </si>
  <si>
    <t>Seg1: MF045841; Seg2: MF045842; Seg3: MF045843; Seg4: MF045844</t>
  </si>
  <si>
    <t>Botryosphaeria dothidea chrysovirus 1</t>
  </si>
  <si>
    <t>BdCV1</t>
  </si>
  <si>
    <t>LW-1</t>
  </si>
  <si>
    <t>dsRNA1: KF688736; dsRNA2: KF688737; dsRNA3: KF688738; dsRNA4: KF688739</t>
  </si>
  <si>
    <t>Colletotrichum fructicola chrysovirus 1</t>
  </si>
  <si>
    <t>CfCV1</t>
  </si>
  <si>
    <t>FJ-4</t>
  </si>
  <si>
    <t>dsRNA1: MG425969; dsRNA2: MG425970; dsRNA3: MG425971; dsRNA4: MG425972; dsRNA5: MG425973; dsRNA6: MG425974; dsRNA7: MG425975</t>
  </si>
  <si>
    <t>Coniothyrium diplodiella chrysovirus 1</t>
  </si>
  <si>
    <t>CdCV1</t>
  </si>
  <si>
    <t>CREA-VE-6SY1</t>
  </si>
  <si>
    <t>Fusarium oxysporum f. sp. dianthi mycovirus 1</t>
  </si>
  <si>
    <t>FodV</t>
  </si>
  <si>
    <t>Fod116</t>
  </si>
  <si>
    <t>dsRNA1: KP876629; dsRNA2: KP876630; dsRNA3: KP876631; dsRNA4: KP876632</t>
  </si>
  <si>
    <t>Fusarium sacchari chrysovirus 1</t>
  </si>
  <si>
    <t>FsCV1</t>
  </si>
  <si>
    <t>FZ04</t>
  </si>
  <si>
    <t>Fusarium graminearum dsRNA mycovirus 2</t>
  </si>
  <si>
    <t>FgV2</t>
  </si>
  <si>
    <t>98-8-60</t>
  </si>
  <si>
    <t>dsRNA1: HQ343295; dsRNA2: HQ343296; dsRNA3: HQ343297; dsRNA4: HQ343298; dsRNA5: HQ343299</t>
  </si>
  <si>
    <t>Fusarium graminearum mycovirus China 9</t>
  </si>
  <si>
    <t>FgV-China 9</t>
  </si>
  <si>
    <t>China 9</t>
  </si>
  <si>
    <t>Magnaporthe oryzae chrysovirus 1-A</t>
  </si>
  <si>
    <t>MoCV1-A</t>
  </si>
  <si>
    <t>dsRNA1: AB560761; dsRNA2: AB560762; dsRNA3: AB560763; dsRNA4: AB560764; dsRNA5: AB700631</t>
  </si>
  <si>
    <t>Magnaporthe oryzae chrysovirus 1-B</t>
  </si>
  <si>
    <t>MoCV1-B</t>
  </si>
  <si>
    <t>Neofusicoccum parvum chrysovirus 1</t>
  </si>
  <si>
    <t>NpCV1</t>
  </si>
  <si>
    <t>CREA-VE-22AS3</t>
  </si>
  <si>
    <t>Seg1: MK584816; Seg2: MK584817; Seg3: MK584818; Seg4: MK584819</t>
  </si>
  <si>
    <t>Penicillium janczewskii chrysovirus 1</t>
  </si>
  <si>
    <t>PjCV1</t>
  </si>
  <si>
    <t>MUT4358</t>
  </si>
  <si>
    <t>dsRNA1: KT601115; dsRNA2: KT601116; dsRNA3: KT601117; dsRNA4: KT601118</t>
  </si>
  <si>
    <t>Penicillium janczewskii chrysovirus 2</t>
  </si>
  <si>
    <t>PjCV2</t>
  </si>
  <si>
    <t>MUT4359</t>
  </si>
  <si>
    <t>dsRNA1: KT950836; dsRNA2: KT950837; dsRNA3: KT950838; dsRNA4: KT950839</t>
  </si>
  <si>
    <t>Megabirnaviridae</t>
  </si>
  <si>
    <t>Megabirnavirus</t>
  </si>
  <si>
    <t>Rosellinia necatrix megabirnavirus 1</t>
  </si>
  <si>
    <t>RnMBV1</t>
  </si>
  <si>
    <t>W779</t>
  </si>
  <si>
    <t>RNA1: AB512282; RNA2: AB512283</t>
  </si>
  <si>
    <t>Quadriviridae</t>
  </si>
  <si>
    <t>Quadrivirus</t>
  </si>
  <si>
    <t>Rosellinia necatrix quadrivirus 1</t>
  </si>
  <si>
    <t>RnQV1</t>
  </si>
  <si>
    <t>W1075</t>
  </si>
  <si>
    <t>RNA1: AB620061; RNA2: AB620062; RNA3: AB620063; RNA4: AB620064</t>
  </si>
  <si>
    <t>W1118</t>
  </si>
  <si>
    <t>W726</t>
  </si>
  <si>
    <t>Giardiavirus</t>
  </si>
  <si>
    <t>Giardia lamblia virus</t>
  </si>
  <si>
    <t>GLV</t>
  </si>
  <si>
    <t>Wang</t>
  </si>
  <si>
    <t>L13218</t>
  </si>
  <si>
    <t>protists</t>
  </si>
  <si>
    <t>Leishmaniavirus</t>
  </si>
  <si>
    <t>Leishmania RNA virus 1</t>
  </si>
  <si>
    <t>LRV1</t>
  </si>
  <si>
    <t>M92355</t>
  </si>
  <si>
    <t>Leishmania RNA virus 2</t>
  </si>
  <si>
    <t>LRV2</t>
  </si>
  <si>
    <t>U32108</t>
  </si>
  <si>
    <t>Totivirus</t>
  </si>
  <si>
    <t>Saccharomyces cerevisiae virus L-A</t>
  </si>
  <si>
    <t>ScVLA</t>
  </si>
  <si>
    <t>Icho</t>
  </si>
  <si>
    <t>J04692</t>
  </si>
  <si>
    <t>Saccharomyces cerevisiae virus L-BC (La)</t>
  </si>
  <si>
    <t>ScVLBC</t>
  </si>
  <si>
    <t>Bruenn</t>
  </si>
  <si>
    <t>U01060</t>
  </si>
  <si>
    <t>Scheffersomyces segobiensis virus L</t>
  </si>
  <si>
    <t>SsV1</t>
  </si>
  <si>
    <t>NRRL Y-11571</t>
  </si>
  <si>
    <t>KC610514</t>
  </si>
  <si>
    <t>Tuber aestivum virus 1</t>
  </si>
  <si>
    <t>TaV1</t>
  </si>
  <si>
    <t>Buekk</t>
  </si>
  <si>
    <t>HQ158596</t>
  </si>
  <si>
    <t>Ustilago maydis virus H1</t>
  </si>
  <si>
    <t>UmVH1</t>
  </si>
  <si>
    <t>P1H1</t>
  </si>
  <si>
    <t>U01059</t>
  </si>
  <si>
    <t>Xanthophyllomyces dendrorhous virus L1A</t>
  </si>
  <si>
    <t>XdVL1A</t>
  </si>
  <si>
    <t>Baeza</t>
  </si>
  <si>
    <t>JN997472</t>
  </si>
  <si>
    <t>Xanthophyllomyces dendrorhous virus L1B</t>
  </si>
  <si>
    <t>XdVL1B</t>
  </si>
  <si>
    <t>JN997473</t>
  </si>
  <si>
    <t>Trichomonasvirus</t>
  </si>
  <si>
    <t>Trichomonas vaginalis virus 1</t>
  </si>
  <si>
    <t>TVV1</t>
  </si>
  <si>
    <t>T1</t>
  </si>
  <si>
    <t>U08999</t>
  </si>
  <si>
    <t>Trichomonas vaginalis virus 2</t>
  </si>
  <si>
    <t>TVV2</t>
  </si>
  <si>
    <t>Bessarab</t>
  </si>
  <si>
    <t>AF127178</t>
  </si>
  <si>
    <t>Trichomonas vaginalis virus 3</t>
  </si>
  <si>
    <t>TVV3</t>
  </si>
  <si>
    <t>AF325840</t>
  </si>
  <si>
    <t>Trichomonas vaginalis virus 4</t>
  </si>
  <si>
    <t>TVV4</t>
  </si>
  <si>
    <t>OC3</t>
  </si>
  <si>
    <t>HQ607520</t>
  </si>
  <si>
    <t>Victorivirus</t>
  </si>
  <si>
    <t>Aspergillus foetidus slow virus 1</t>
  </si>
  <si>
    <t>AfSV1</t>
  </si>
  <si>
    <t>Coutts</t>
  </si>
  <si>
    <t>HE588147</t>
  </si>
  <si>
    <t>Beauveria bassiana victorivirus 1</t>
  </si>
  <si>
    <t>BbV1</t>
  </si>
  <si>
    <t>Bb06/02</t>
  </si>
  <si>
    <t>HE572591</t>
  </si>
  <si>
    <t>Chalara elegans RNA Virus 1</t>
  </si>
  <si>
    <t>CeRV1</t>
  </si>
  <si>
    <t>Park</t>
  </si>
  <si>
    <t>AY561500</t>
  </si>
  <si>
    <t>Coniothyrium minitans RNA virus</t>
  </si>
  <si>
    <t>CmRV</t>
  </si>
  <si>
    <t>Cheng</t>
  </si>
  <si>
    <t>AF527633</t>
  </si>
  <si>
    <t>Epichloe festucae virus 1</t>
  </si>
  <si>
    <t>EfV</t>
  </si>
  <si>
    <t>P23</t>
  </si>
  <si>
    <t>AM261427</t>
  </si>
  <si>
    <t>Gremmeniella abietina RNA virus L1</t>
  </si>
  <si>
    <t>GaRVL1</t>
  </si>
  <si>
    <t>A/HR2</t>
  </si>
  <si>
    <t>AF337175</t>
  </si>
  <si>
    <t>Helicobasidium mompa totivirus 1-17</t>
  </si>
  <si>
    <t>HmTV</t>
  </si>
  <si>
    <t>17/Osake</t>
  </si>
  <si>
    <t>AB085814</t>
  </si>
  <si>
    <t>Helminthosporium victoriae virus 190S</t>
  </si>
  <si>
    <t>HvV190S</t>
  </si>
  <si>
    <t>Huang</t>
  </si>
  <si>
    <t>U41345</t>
  </si>
  <si>
    <t>Magnaporthe oryzae virus 1</t>
  </si>
  <si>
    <t>MoV1</t>
  </si>
  <si>
    <t>Yokoi</t>
  </si>
  <si>
    <t>AB176964</t>
  </si>
  <si>
    <t>Magnaporthe oryzae virus 2</t>
  </si>
  <si>
    <t>MoV2</t>
  </si>
  <si>
    <t>Namba</t>
  </si>
  <si>
    <t>AB300379</t>
  </si>
  <si>
    <t>Rosellinia necatrix victorivirus 1</t>
  </si>
  <si>
    <t>W1029</t>
  </si>
  <si>
    <t>AB742454</t>
  </si>
  <si>
    <t>Sphaeropsis sapinea RNA virus 1</t>
  </si>
  <si>
    <t>SsRV1</t>
  </si>
  <si>
    <t>Preisig</t>
  </si>
  <si>
    <t>AF038665</t>
  </si>
  <si>
    <t>Sphaeropsis sapinea RNA virus 2</t>
  </si>
  <si>
    <t>SsRV2</t>
  </si>
  <si>
    <t>Preisg</t>
  </si>
  <si>
    <t>AF039080</t>
  </si>
  <si>
    <t>Tolypocladium cylindrosporum virus 1</t>
  </si>
  <si>
    <t>TcV1</t>
  </si>
  <si>
    <t>Castilla y Leon</t>
  </si>
  <si>
    <t>FR750562</t>
  </si>
  <si>
    <t>Resentoviricetes</t>
  </si>
  <si>
    <t>Reovirales</t>
  </si>
  <si>
    <t>Sedoreoviridae</t>
  </si>
  <si>
    <t>Cardoreovirus</t>
  </si>
  <si>
    <t>Eriocheir sinensis reovirus</t>
  </si>
  <si>
    <t>ESRV</t>
  </si>
  <si>
    <t>AY542965</t>
  </si>
  <si>
    <t>Mimoreovirus</t>
  </si>
  <si>
    <t>Micromonas pusilla reovirus</t>
  </si>
  <si>
    <t>MpRV</t>
  </si>
  <si>
    <t>Netherlands</t>
  </si>
  <si>
    <t>S1: DQ126101; S2: DQ126102; S3: DQ126103; S4: DQ126104; S5: DQ126105; S6: DQ126106; S7: DQ126107; S8: DQ126108; S9: DQ126109; S10: DQ126110; S11: DQ126111</t>
  </si>
  <si>
    <t>Orbivirus</t>
  </si>
  <si>
    <t>African horse sickness virus</t>
  </si>
  <si>
    <t>AHSV</t>
  </si>
  <si>
    <t>serotype 9</t>
  </si>
  <si>
    <t>bluetongue virus</t>
  </si>
  <si>
    <t>BTV</t>
  </si>
  <si>
    <t>serotype 10</t>
  </si>
  <si>
    <t>Changuinola virus</t>
  </si>
  <si>
    <t>CGLV</t>
  </si>
  <si>
    <t>BE AN 28873</t>
  </si>
  <si>
    <t>Seg1: KF624614; Seg2: KF624615; Seg3: KF624616; Seg4: KF624617; Seg5: KF624618; Seg6: KF624619; Seg7: KF624620; Seg8: KF624621; Seg9: KF624622; Seg10: KF624623</t>
  </si>
  <si>
    <t>Chenuda virus</t>
  </si>
  <si>
    <t>CNUV</t>
  </si>
  <si>
    <t>EGY1954/01</t>
  </si>
  <si>
    <t>Seg1: KP268794; Seg2: KP268795; Seg3: KP268796; Seg4: KP268797; Seg5: KP268798; Seg6: KP268799; Seg7: KP268800; Seg8: KP268801; Seg9: KP268802; Seg10: KP268803</t>
  </si>
  <si>
    <t>Chobar Gorge virus</t>
  </si>
  <si>
    <t>CGV</t>
  </si>
  <si>
    <t>NEP1970/01</t>
  </si>
  <si>
    <t>Seg1: KP268784; Seg2: KP268785; Seg3: KP268786; Seg4: KP268787; Seg5: KP268788; Seg6: KP268789; Seg7: KP268790; Seg8: KP268791; Seg9: KP268792; Seg10: KP268793</t>
  </si>
  <si>
    <t>Corriparta virus</t>
  </si>
  <si>
    <t>CORV</t>
  </si>
  <si>
    <t>AUS1960/01</t>
  </si>
  <si>
    <t>Seg1: KC853042; Seg2: KC853043; Seg3: KC853044; Seg4: KC853045; Seg5: KC853046; Seg6: KC853047; Seg7: KC853048; Seg8: KC853049; Seg9: KC853050; Seg10: KC853051</t>
  </si>
  <si>
    <t>epizootic hemorrhagic disease virus</t>
  </si>
  <si>
    <t>EHDV</t>
  </si>
  <si>
    <t>USA1955/01</t>
  </si>
  <si>
    <t>Seg1: AM744977; Seg2: AM744978; Seg3: AM744979; Seg4: AM744980; Seg5: AM744981; Seg6: AM744982; Seg7: AM744983; Seg8: AM744984; Seg9: AM744985; Seg10: AM744986</t>
  </si>
  <si>
    <t>equine encephalosis virus</t>
  </si>
  <si>
    <t>EEV</t>
  </si>
  <si>
    <t>HS103/06</t>
  </si>
  <si>
    <t>Eubenangee virus</t>
  </si>
  <si>
    <t>EUBV</t>
  </si>
  <si>
    <t>Aus1963/01</t>
  </si>
  <si>
    <t>Seg1: JQ070376; Seg2: JQ070377; Seg3: JQ070378; Seg4: JQ070379; Seg5: JQ070380; Seg6: JQ070381; Seg7: JQ070382; Seg8: JQ070383; Seg9: JQ070384; Seg10: JQ070385</t>
  </si>
  <si>
    <t>Great Island virus</t>
  </si>
  <si>
    <t>GIV</t>
  </si>
  <si>
    <t>CanAR 42</t>
  </si>
  <si>
    <t>Seg1: HM543465; Seg2: HM543466; Seg3: HM543467; Seg4: HM543468; Seg5: HM543469; Seg6: HM543470; Seg7: HM543471; Seg8: HM543472; Seg9: HM543473; Seg10: HM543474</t>
  </si>
  <si>
    <t>Ieri virus</t>
  </si>
  <si>
    <t>IERIV</t>
  </si>
  <si>
    <t>Lebombo virus</t>
  </si>
  <si>
    <t>LEBV</t>
  </si>
  <si>
    <t>SAAR 3896</t>
  </si>
  <si>
    <t>Seg1: JQ610665; Seg2: JQ610666; Seg3: JQ610667; Seg4: JQ610668; Seg5: JQ610669; Seg6: JQ610670; Seg7: JQ610671; Seg8: JQ610672; Seg9: JQ610673; Seg10: JQ610674</t>
  </si>
  <si>
    <t>Orungo virus</t>
  </si>
  <si>
    <t>ORUV</t>
  </si>
  <si>
    <t>UGMP 359</t>
  </si>
  <si>
    <t>Seg1: JQ610675; Seg2: JQ610676; Seg3: JQ610677; Seg4: JQ610678; Seg5: JQ610679; Seg6: JQ610680; Seg7: JQ610681; Seg8: JQ610682; Seg9: JQ610683; Seg10: JQ610684</t>
  </si>
  <si>
    <t>Palyam virus</t>
  </si>
  <si>
    <t>PALV</t>
  </si>
  <si>
    <t>Peruvian horse sickness virus</t>
  </si>
  <si>
    <t>PHSV</t>
  </si>
  <si>
    <t>St Croix River virus</t>
  </si>
  <si>
    <t>SCRV</t>
  </si>
  <si>
    <t>Seg1: AF133431; Seg2: AF133432; Seg3: AF145400; Seg4: AF145401; Seg5: AF145402; Seg6: AF145403; Seg7: AF145404; Seg8: AF145405; Seg9: AF145406; Seg10: AF145407</t>
  </si>
  <si>
    <t>Umatilla virus</t>
  </si>
  <si>
    <t>UMAV</t>
  </si>
  <si>
    <t>USA1961/01</t>
  </si>
  <si>
    <t>Seg1: HQ842619; Seg2: HQ842620; Seg3: HQ842621; Seg4: HQ842622; Seg5: HQ842623; Seg6: HQ842624; Seg7: HQ842625; Seg8: HQ842626; Seg9: HQ842627; Seg10: HQ842628</t>
  </si>
  <si>
    <t>Wad Medani virus</t>
  </si>
  <si>
    <t>WMV</t>
  </si>
  <si>
    <t>SUD1952/01</t>
  </si>
  <si>
    <t>Seg1: KP268804; Seg2: KP268805; Seg3: KP268806; Seg4: KP268807; Seg5: KP268808; Seg6: KP268809; Seg7: KP268810; Seg8: KP268811; Seg9: KP268812; Seg10: KP268813</t>
  </si>
  <si>
    <t>Wallal virus</t>
  </si>
  <si>
    <t>WALV</t>
  </si>
  <si>
    <t>Seg1: KF234259; Seg2: KF234260; Seg3: KF234261; Seg4: KF234262; Seg5: KF234263; Seg6: KF234264; Seg7: KF234265; Seg8: KF234266; Seg9: KF234267; Seg10: KF234268</t>
  </si>
  <si>
    <t>Warrego virus</t>
  </si>
  <si>
    <t>WARV</t>
  </si>
  <si>
    <t>Aus1969/01</t>
  </si>
  <si>
    <t>Wongorr virus</t>
  </si>
  <si>
    <t>WGRV</t>
  </si>
  <si>
    <t>mm13443</t>
  </si>
  <si>
    <t>U56992</t>
  </si>
  <si>
    <t>Yunnan orbivirus</t>
  </si>
  <si>
    <t>YUOV</t>
  </si>
  <si>
    <t>YOV-77-2</t>
  </si>
  <si>
    <t>Seg1: AY701509; Seg2: AY701510; Seg3: AY701511; Seg4: AY701512; Seg5: AY701513; Seg6: AY701514; Seg7: AY701515; Seg8: AY701516; Seg9: AY701517; Seg10: AY701518</t>
  </si>
  <si>
    <t>Phytoreovirus</t>
  </si>
  <si>
    <t>rice dwarf virus</t>
  </si>
  <si>
    <t>RDV</t>
  </si>
  <si>
    <t>rice gall dwarf virus</t>
  </si>
  <si>
    <t>RGDV</t>
  </si>
  <si>
    <t>Thailand</t>
  </si>
  <si>
    <t>wound tumor virus</t>
  </si>
  <si>
    <t>WTV</t>
  </si>
  <si>
    <t>Asamizu</t>
  </si>
  <si>
    <t>Rotavirus</t>
  </si>
  <si>
    <t>rotavirus A</t>
  </si>
  <si>
    <t>RVA</t>
  </si>
  <si>
    <t>RVA/Simian-tc/ZAF/SA11-H96/1958/G3P5B[2]</t>
  </si>
  <si>
    <t>rotavirus B</t>
  </si>
  <si>
    <t>RVB</t>
  </si>
  <si>
    <t>RVB/Human-wt/BGD/Bang373/2000/GXP[X]</t>
  </si>
  <si>
    <t>rotavirus C</t>
  </si>
  <si>
    <t>RVC</t>
  </si>
  <si>
    <t>RVC/Human-tc/GBR/Bristol/1988/G4P[2]</t>
  </si>
  <si>
    <t>rotavirus D</t>
  </si>
  <si>
    <t>RVD</t>
  </si>
  <si>
    <t>RVD/Chicken-wt/DEU/05V0049/2005/GXP[X]</t>
  </si>
  <si>
    <t>Seg1: GU733443; Seg2: GU733444; Seg3: GU733445; Seg4: GU733446; Seg5: GU733447; Seg6: GU733448; Seg7: GU733449; Seg8: GU733450; Seg9: GU733451; Seg10: GU733452; Seg11: GU733453</t>
  </si>
  <si>
    <t>rotavirus F</t>
  </si>
  <si>
    <t>RVF</t>
  </si>
  <si>
    <t>RVF/Chicken-wt/DEU/03V0568/2003/GXP[X]</t>
  </si>
  <si>
    <t>rotavirus G</t>
  </si>
  <si>
    <t>RVG</t>
  </si>
  <si>
    <t>RVG/Chicken-wt/DEU/03V0567/2003/GXP[X]</t>
  </si>
  <si>
    <t>rotavirus H</t>
  </si>
  <si>
    <t>RVH</t>
  </si>
  <si>
    <t>RVH/Human-tc/CHN/NADRV-J19/1997/GXP[X]</t>
  </si>
  <si>
    <t>Seg1: DQ113897; Seg2: DQ113898; Seg3: DQ113899; Seg4: DQ113900; Seg5: DQ113901; Seg6: DQ113902; Seg7: DQ113903; Seg8: DQ113904; Seg9: DQ113905; Seg10: DQ113906; Seg11: DQ113907</t>
  </si>
  <si>
    <t>rotavirus I</t>
  </si>
  <si>
    <t>RVI</t>
  </si>
  <si>
    <t>KE135/2012</t>
  </si>
  <si>
    <t>rotavirus J</t>
  </si>
  <si>
    <t>RVJ</t>
  </si>
  <si>
    <t>BO4351/Ms/2014</t>
  </si>
  <si>
    <t>Seadornavirus</t>
  </si>
  <si>
    <t>Banna virus</t>
  </si>
  <si>
    <t>BAV</t>
  </si>
  <si>
    <t>JKT6423; In6423</t>
  </si>
  <si>
    <t>Ch</t>
  </si>
  <si>
    <t>In6969</t>
  </si>
  <si>
    <t>In7043</t>
  </si>
  <si>
    <t>Kadipiro virus</t>
  </si>
  <si>
    <t>KDV</t>
  </si>
  <si>
    <t>JKT-7075</t>
  </si>
  <si>
    <t>Liao ning virus</t>
  </si>
  <si>
    <t>LNV</t>
  </si>
  <si>
    <t>NE9712</t>
  </si>
  <si>
    <t>Seg1: AY701339; Seg2: AY701340; Seg3: AY701341; Seg4: AY701342; Seg5: AY701343; Seg6: AY701344; Seg7: AY701345; Seg8: AY701346; Seg9: AY701347; Seg10: AY701348; Seg11: AY701349; Seg12: AY701350</t>
  </si>
  <si>
    <t>NE9731</t>
  </si>
  <si>
    <t>Spinareoviridae</t>
  </si>
  <si>
    <t>Aquareovirus</t>
  </si>
  <si>
    <t>chum salmon reovirus; aquareovirus A</t>
  </si>
  <si>
    <t>CHSRV;ARVA</t>
  </si>
  <si>
    <t>CS</t>
  </si>
  <si>
    <t>Seg1: AF418294; Seg2: AF418295; Seg3: AF418296; Seg4: AF418297; Seg5: AF418298; Seg6: AF418299; Seg7: AF418300; Seg8: AF418301; Seg9: AF418302; Seg10: AF418303; Seg11: AF418304</t>
  </si>
  <si>
    <t>striped bass reovirus; aquareovirus A</t>
  </si>
  <si>
    <t>SBRV; ARVA</t>
  </si>
  <si>
    <t>Green River chinook virus; aquareovirus B</t>
  </si>
  <si>
    <t>GRCV; ARVB</t>
  </si>
  <si>
    <t>Seg1: KC588376; Seg2: KC588377; Seg3: KC588378; Seg5: KC588379; Seg6: KC588380; Seg7: KC588381; Seg8: KC588382; Seg9: KC588383; Seg10: KC588384; Seg11: KC588385</t>
  </si>
  <si>
    <t>golden shiner reovirus; aquareovirus C</t>
  </si>
  <si>
    <t>GSRV; ARVC</t>
  </si>
  <si>
    <t>Seg1: AF403398; Seg2: AF403399; Seg3: AF403400; Seg4: AF403401; Seg5: AF403402; Seg6: AF403403; Seg7: AF403404; Seg8: AF403405; Seg9: AF403406; Seg10: AF403407; Seg11: AF403408</t>
  </si>
  <si>
    <t>grass carp reovirus; aquareovirus C</t>
  </si>
  <si>
    <t>GCRV; ARVC</t>
  </si>
  <si>
    <t>channel catfish reovirus; aquareovirus D</t>
  </si>
  <si>
    <t>CCRV; ARVD</t>
  </si>
  <si>
    <t>Scophthalmus maximus reovirus; aquareovirus E</t>
  </si>
  <si>
    <t>SmRV; ARVE</t>
  </si>
  <si>
    <t>L1: HM989930; L2: HM989931; L3: HM989932; M4: HM989933; M5: HM989934; M6: HM989935; S7: HM989936; S8: HM989937; S9: HM989938; S10: HM989939; S11: HM989940</t>
  </si>
  <si>
    <t>chum salmon reovirus; aquareovirus F</t>
  </si>
  <si>
    <t>PSRV; ARVF</t>
  </si>
  <si>
    <t>PSR</t>
  </si>
  <si>
    <t>American grass carp reovirus; aquareovirus G</t>
  </si>
  <si>
    <t>AGCRV; ARVG</t>
  </si>
  <si>
    <t>PB01_155</t>
  </si>
  <si>
    <t>Seg1: EF589098; Seg2: EF589099; Seg3: EF589100; Seg4: EF589101; Seg5: EF589102; Seg6: EF589103; Seg7: EF589104; Seg8: EF589105; Seg9: EF589106; Seg10: EF589107; Seg11: EF589108</t>
  </si>
  <si>
    <t>Coltivirus</t>
  </si>
  <si>
    <t>Colorado tick fever virus</t>
  </si>
  <si>
    <t>CTFV</t>
  </si>
  <si>
    <t>Florio N-7180</t>
  </si>
  <si>
    <t>Eyach virus</t>
  </si>
  <si>
    <t>EyV</t>
  </si>
  <si>
    <t>FR578</t>
  </si>
  <si>
    <t>Kundal virus</t>
  </si>
  <si>
    <t>KUNDV</t>
  </si>
  <si>
    <t>MCL-13-T-316</t>
  </si>
  <si>
    <t>Seg1: MH327935; Seg2: MH327936; Seg3: MH327937; Seg4: MH327938; Seg5: MH327939; Seg6: MH327940; Seg7: MH327941; Seg8: MH327942; Seg9: MH327943; Seg10: MH327944; Seg11: MH327945; Seg12: MH327946</t>
  </si>
  <si>
    <t>Taï Forest reovirus</t>
  </si>
  <si>
    <t>TFRV</t>
  </si>
  <si>
    <t>B30</t>
  </si>
  <si>
    <t>Tarumizu tick virus</t>
  </si>
  <si>
    <t>TarTV</t>
  </si>
  <si>
    <t>13T269</t>
  </si>
  <si>
    <t>Seg1: LC275156; Seg2: LC275157; Seg3: LC275158; Seg4: LC275159; Seg5: LC275160; Seg6: LC275161; Seg7: LC275162; Seg8: LC275163; Seg9: LC275164; Seg10: LC275165; Seg11: LC275166; Seg12: LC275167</t>
  </si>
  <si>
    <t>Cypovirus</t>
  </si>
  <si>
    <t>Lymantria dispar cypovirus 1; cypovirus 1</t>
  </si>
  <si>
    <t>LdCPV1; CPV1</t>
  </si>
  <si>
    <t>Seg1: AF389462; Seg2: AF389463; Seg3: AF389464; Seg4: AF389465; Seg5: AF389466; Seg6: AF389467; Seg7: AF389468; Seg8: AF389469; Seg9: AF389470; Seg10: AF389471</t>
  </si>
  <si>
    <t>Bombyx mori cypovirus 1; cypovirus 1</t>
  </si>
  <si>
    <t>BmCPV-1; CPV1</t>
  </si>
  <si>
    <t>Dendrolimus punctatus cypovirus 1; cypovirus 1</t>
  </si>
  <si>
    <t>DpCPV-1; CPV1</t>
  </si>
  <si>
    <t>Aprophyla lutulenta cypovirus 10; cypovirus 10</t>
  </si>
  <si>
    <t>AlCPV10; CPV10</t>
  </si>
  <si>
    <t>Heliothis armigera cypovirus 11; cypovirus 11</t>
  </si>
  <si>
    <t>HaCPV11; CPV11</t>
  </si>
  <si>
    <t>Autographa gamma cypovirus 12; cypovirus 12</t>
  </si>
  <si>
    <t>AgCPV12; CPV12</t>
  </si>
  <si>
    <t>Polistes hebraeus cypovirus 13; cypovirus 13</t>
  </si>
  <si>
    <t>PhCPV13; CPV13</t>
  </si>
  <si>
    <t>Lymantria dispar cypovirus 14; cypovirus 14</t>
  </si>
  <si>
    <t>LdCPV14; CPV14</t>
  </si>
  <si>
    <t>Seg1: AF389452; Seg2: AF389453; Seg3: AF389454; Seg4: AF389455; Seg5: AF389456; Seg6: AF389457; Seg7: AF389458; Seg8: AF389459; Seg9: AF389460; Seg10: AF389461</t>
  </si>
  <si>
    <t>Trichoplusia ni cypovirus 15; cypovirus 15</t>
  </si>
  <si>
    <t>TnCPV15; CPV15</t>
  </si>
  <si>
    <t>Seg1: AF291683; Seg2: AF291684; Seg3: AF291685; Seg4: AF291686; Seg5: AF291687; Seg6: AF291688; Seg7: AF291689; Seg8: AF291690; Seg9: AF291691; Seg10: AF291692; Seg11: AF291693</t>
  </si>
  <si>
    <t>Choristoneura fumiferana cypovirus 16; cypovirus 16</t>
  </si>
  <si>
    <t>CfCPV16; CPV16</t>
  </si>
  <si>
    <t>British Columbia 2006</t>
  </si>
  <si>
    <t>Inachis io cypovirus 2; cypovirus 2</t>
  </si>
  <si>
    <t>IiCPV2; CPV2</t>
  </si>
  <si>
    <t>Seg1: KC588366; Seg2: KC588367; Seg3: KC588368; Seg4: KC588369; Seg5: KC588370; Seg6: KC588371; Seg7: KC588372; Seg8: KC588373; Seg9: KC588374; Seg10: KC588375</t>
  </si>
  <si>
    <t>Anaitis plagiata cypovirus 3; cypovirus 3</t>
  </si>
  <si>
    <t>ApCPv3; CPV3</t>
  </si>
  <si>
    <t>Antheraea assamensis cypovirus 4; cypovirus 4</t>
  </si>
  <si>
    <t>AaCPV4; CPV4</t>
  </si>
  <si>
    <t>Antheraea pernyi cypovirus 4; cypovirus 4</t>
  </si>
  <si>
    <t>ApCPV4; CPV4</t>
  </si>
  <si>
    <t>Antheraea mylitta cypovirus 4; cypovirus 4</t>
  </si>
  <si>
    <t>AmCPV4; CPV4</t>
  </si>
  <si>
    <t>Seg6: EF062995; Seg7: DQ512389; Seg8: DQ975382; Seg10: AY212272</t>
  </si>
  <si>
    <t>Heliothis armigera cypovirus 5; cypovirus 5</t>
  </si>
  <si>
    <t>HaCPV5; CPV5</t>
  </si>
  <si>
    <t>Orgyia pseudotsugata cypovirus 5; cypovirus 5</t>
  </si>
  <si>
    <t>OpCPV-5; CPV5</t>
  </si>
  <si>
    <t>Aglais urticae cypovirus 6; cypovirus 6</t>
  </si>
  <si>
    <t>AuCOV6; CPV6</t>
  </si>
  <si>
    <t>Mamestra brassicae cypovirus 7; cycpovirus 7</t>
  </si>
  <si>
    <t>MbCPV7; CPV7</t>
  </si>
  <si>
    <t>Abraxas grossulariata cypovirus 8; cypovirus 8</t>
  </si>
  <si>
    <t>AgCPV8; CPV8</t>
  </si>
  <si>
    <t>Agrotis segetum cypovirus 9; cypovirus 9</t>
  </si>
  <si>
    <t>AsCPV9; CPV9</t>
  </si>
  <si>
    <t>Dinovernavirus</t>
  </si>
  <si>
    <t>Aedes pseudoscutellaris reovirus</t>
  </si>
  <si>
    <t>APRV</t>
  </si>
  <si>
    <t>Seg1: DQ087276; Seg2: DQ087277; Seg3: DQ087278; Seg4: DQ087279; Seg5: DQ087280; Seg6: DQ087281; Seg7: DQ087282; Seg8: DQ087283; Seg9: DQ087284</t>
  </si>
  <si>
    <t>Fijivirus</t>
  </si>
  <si>
    <t>Fiji disease virus</t>
  </si>
  <si>
    <t>FDV</t>
  </si>
  <si>
    <t>McQualter</t>
  </si>
  <si>
    <t>garlic dwarf virus</t>
  </si>
  <si>
    <t>GDV</t>
  </si>
  <si>
    <t>maize rough dwarf virus</t>
  </si>
  <si>
    <t>MRDV</t>
  </si>
  <si>
    <t>Jo-4</t>
  </si>
  <si>
    <t>Seg1: KU984966; Seg2: KU984967; Seg3: KU984968; Seg4: KU984969; Seg5: KU984970; Seg6: KU984971; Seg7: KU984972; Seg8: KU984973; Seg9: KU984974; Seg10: KU984975</t>
  </si>
  <si>
    <t>mal de Río Cuarto virus</t>
  </si>
  <si>
    <t>MRCV</t>
  </si>
  <si>
    <t>Argentina</t>
  </si>
  <si>
    <t>Nilaparvata lugens reovirus</t>
  </si>
  <si>
    <t>NLRV</t>
  </si>
  <si>
    <t>Izumo</t>
  </si>
  <si>
    <t>oat sterile dwarf virus</t>
  </si>
  <si>
    <t>OSDV</t>
  </si>
  <si>
    <t>Uyeda</t>
  </si>
  <si>
    <t>S7: AB011024; S8: AB011025; S9: AB011026; S10: AB011027</t>
  </si>
  <si>
    <t>pangola stunt virus</t>
  </si>
  <si>
    <t>PaSV</t>
  </si>
  <si>
    <t>rice black streaked dwarf virus</t>
  </si>
  <si>
    <t>RBSDV</t>
  </si>
  <si>
    <t>Zhejiang</t>
  </si>
  <si>
    <t>southern rice black-streaked dwarf virus</t>
  </si>
  <si>
    <t>SRBSDV</t>
  </si>
  <si>
    <t>HN</t>
  </si>
  <si>
    <t>Idnoreovirus</t>
  </si>
  <si>
    <t>Diadromus pulchellus idnoreovirus 1; idnoreovirus 1</t>
  </si>
  <si>
    <t>DpIRV1; IRV1</t>
  </si>
  <si>
    <t>Hyposoter exiguae idnoreovirus 2; idnoreovirus 2</t>
  </si>
  <si>
    <t>HeIRV2; IRV2</t>
  </si>
  <si>
    <t>Musca domestica idnoreovirus 3; idnoreovirus 3</t>
  </si>
  <si>
    <t>MdIRV3; IRV3</t>
  </si>
  <si>
    <t>Dacus oleae idnoreovirus 4; idnoreovirus 4</t>
  </si>
  <si>
    <t>DoIRV4; IRV4</t>
  </si>
  <si>
    <t>Ceratitis capita idnoreovirus 5; idnoreovirus 5</t>
  </si>
  <si>
    <t>CcIRV5; IRV5</t>
  </si>
  <si>
    <t>Drosophila melanogaster idnoreovirus 5; idnoreovirus 5</t>
  </si>
  <si>
    <t>DmIRV-5; IRV5</t>
  </si>
  <si>
    <t>Mycoreovirus</t>
  </si>
  <si>
    <t>9B21</t>
  </si>
  <si>
    <t>C18</t>
  </si>
  <si>
    <t>DQ902580</t>
  </si>
  <si>
    <t>Rosellinia necatrix mycoreovirus 3</t>
  </si>
  <si>
    <t>RnMYRV3</t>
  </si>
  <si>
    <t>Osaki; W370</t>
  </si>
  <si>
    <t>Orthoreovirus</t>
  </si>
  <si>
    <t>avian orthoreovirus chicken isolate</t>
  </si>
  <si>
    <t>ARV-ch</t>
  </si>
  <si>
    <t>AVS-B</t>
  </si>
  <si>
    <t>L1: FR694191; L2: FR694192; L3: FR694193; M1: FR694194; M2: FR694195; M3: FR694196; S1: FR694197; S2: FR694198; S3: FR694199; S4: FR694200</t>
  </si>
  <si>
    <t>avian orthoreovirus turkey isolate</t>
  </si>
  <si>
    <t>ARV-tu</t>
  </si>
  <si>
    <t>TX99</t>
  </si>
  <si>
    <t>Muscovy duck reovirus goose isolate classical</t>
  </si>
  <si>
    <t>MdRV-goC</t>
  </si>
  <si>
    <t>D20/99</t>
  </si>
  <si>
    <t>Muscovy duck reovirus novel</t>
  </si>
  <si>
    <t>MdRV-N</t>
  </si>
  <si>
    <t>J18</t>
  </si>
  <si>
    <t>Muscovy duck reovirus goose isolate novel</t>
  </si>
  <si>
    <t>MdRV-goN</t>
  </si>
  <si>
    <t>03G</t>
  </si>
  <si>
    <t>baboon orthoreovirus</t>
  </si>
  <si>
    <t>BRV</t>
  </si>
  <si>
    <t>USA/11-1993</t>
  </si>
  <si>
    <t>Broome reovirus</t>
  </si>
  <si>
    <t>BrRV</t>
  </si>
  <si>
    <t>Mahlapitsi virus</t>
  </si>
  <si>
    <t>MAHLV</t>
  </si>
  <si>
    <t>L1: KU198602; L2: KU198603; L3: KU198604; M1: KU198605; M2: KU198606; M3: KU198607; S1: KU198608; S2: KU198609; S3: KU198610; S4: KU198611</t>
  </si>
  <si>
    <t>mammalian orthoreovirus 3</t>
  </si>
  <si>
    <t>MRV3</t>
  </si>
  <si>
    <t>Dearing strain T3D</t>
  </si>
  <si>
    <t>L1: HM159613; L2: HM159614; L3: HM159615; M1: HM159616; M2: HM159617; M3: HM159618; S1: HM159619; S2: HM159620; S3: HM159621; S4: HM159622</t>
  </si>
  <si>
    <t>mammalian orthoreovirus 1</t>
  </si>
  <si>
    <t>B/03</t>
  </si>
  <si>
    <t>mammalian orthoreovirus 2</t>
  </si>
  <si>
    <t>MRV2</t>
  </si>
  <si>
    <t>TRALAU2004</t>
  </si>
  <si>
    <t>mammalian orthoreovirus 4</t>
  </si>
  <si>
    <t>MRV4</t>
  </si>
  <si>
    <t>Ndelle virus</t>
  </si>
  <si>
    <t>Nelson Bay orthoreovirus</t>
  </si>
  <si>
    <t>NBV</t>
  </si>
  <si>
    <t>Pulau</t>
  </si>
  <si>
    <t>Sikamat</t>
  </si>
  <si>
    <t>Pycnonotidae orthoreovirus</t>
  </si>
  <si>
    <t>PyRV</t>
  </si>
  <si>
    <t>bulbul</t>
  </si>
  <si>
    <t>L1: AB914760; L2: AB914761; L3: AB914762; M1: AB914763; M2: AB914764; M3: AB914765; S1: AB914766; S2: AB914767; S3: AB914768; S4: AB914769</t>
  </si>
  <si>
    <t>psittacine orthoreovirus</t>
  </si>
  <si>
    <t>PsRV</t>
  </si>
  <si>
    <t>parrot SRK/Germany/2007</t>
  </si>
  <si>
    <t>tvarminne orthoreovirus</t>
  </si>
  <si>
    <t>TvRV</t>
  </si>
  <si>
    <t>crow</t>
  </si>
  <si>
    <t>piscine orthoreovirus</t>
  </si>
  <si>
    <t>PRV</t>
  </si>
  <si>
    <t>CGA280-05</t>
  </si>
  <si>
    <t>L1: KC795565; L2: KC795566; L3: KC795567; M1: KC795568; M2: KC795569; M3: KC795570; S1: KC795571; S2: KC795572; S3: KC795573; S4: KC795574</t>
  </si>
  <si>
    <t>reptilian orthoreovirus bush viper</t>
  </si>
  <si>
    <t>RRV-bv</t>
  </si>
  <si>
    <t>green bush viper 47/02</t>
  </si>
  <si>
    <t>chelonian orthoreovirus</t>
  </si>
  <si>
    <t>ChRV</t>
  </si>
  <si>
    <t>tortoise CH1197/96</t>
  </si>
  <si>
    <t>L1: KT696547; L2: KT696548; L3: KT696549; M1: KT696550; M2: KT696551; M3: KT696552; S1: KT696553; S2: KT696554; S3: KT696555; S4: KT696556</t>
  </si>
  <si>
    <t>Oryzavirus</t>
  </si>
  <si>
    <t>Echinochloa ragged stunt virus</t>
  </si>
  <si>
    <t>ERSV</t>
  </si>
  <si>
    <t>rice ragged stunt virus</t>
  </si>
  <si>
    <t>RRSV</t>
  </si>
  <si>
    <t>Thai</t>
  </si>
  <si>
    <t>Vidaverviricetes</t>
  </si>
  <si>
    <t>Mindivirales</t>
  </si>
  <si>
    <t>Cystoviridae</t>
  </si>
  <si>
    <t>Cystovirus</t>
  </si>
  <si>
    <t>Pseudomonas phage phi12</t>
  </si>
  <si>
    <t>phi12</t>
  </si>
  <si>
    <t>Pseudomonas phage phi13</t>
  </si>
  <si>
    <t>phi13</t>
  </si>
  <si>
    <t>Pseudomonas phage phi2954</t>
  </si>
  <si>
    <t>phi2954</t>
  </si>
  <si>
    <t>L: FJ608823; M: FJ608824; S: FJ608825</t>
  </si>
  <si>
    <t>Pseudomonas phage phi6</t>
  </si>
  <si>
    <t>phi6</t>
  </si>
  <si>
    <t>Pseudomonas phage phi8</t>
  </si>
  <si>
    <t>phi8</t>
  </si>
  <si>
    <t>L: AF226851; M: AF226852; S: AF226853</t>
  </si>
  <si>
    <t>Pseudomonas phage phiNN</t>
  </si>
  <si>
    <t>phiNN</t>
  </si>
  <si>
    <t>L: KJ957164; M: KJ957165; S: KJ957166</t>
  </si>
  <si>
    <t>Pseudomonas phage phiYY</t>
  </si>
  <si>
    <t>phiYY</t>
  </si>
  <si>
    <t>L: KX074201; M: KX074202; S: KX074203</t>
  </si>
  <si>
    <t>Kitrinoviricota</t>
  </si>
  <si>
    <t>Alsuviricetes</t>
  </si>
  <si>
    <t>Hepelivirales</t>
  </si>
  <si>
    <t>Alphatetraviridae</t>
  </si>
  <si>
    <t>Betatetravirus</t>
  </si>
  <si>
    <t>Antheraea eucalypti virus</t>
  </si>
  <si>
    <t>AeV</t>
  </si>
  <si>
    <t>Darna trima virus</t>
  </si>
  <si>
    <t>DtV</t>
  </si>
  <si>
    <t>Dasychira pudibunda virus</t>
  </si>
  <si>
    <t>DpV</t>
  </si>
  <si>
    <t>Nudaurelia capensis beta virus</t>
  </si>
  <si>
    <t>NcBV</t>
  </si>
  <si>
    <t>AF102884</t>
  </si>
  <si>
    <t>Philosamia cynthia x ricini virus</t>
  </si>
  <si>
    <t>PxV</t>
  </si>
  <si>
    <t>Pseudoplusia includens virus</t>
  </si>
  <si>
    <t>PiV</t>
  </si>
  <si>
    <t>Trichoplusia ni virus</t>
  </si>
  <si>
    <t>TnV</t>
  </si>
  <si>
    <t>Omegatetravirus</t>
  </si>
  <si>
    <t>Dendrolimus punctatus virus</t>
  </si>
  <si>
    <t>DpuV</t>
  </si>
  <si>
    <t>RNA1: AY594352; RNA2: AY594353</t>
  </si>
  <si>
    <t>Helicoverpa armigera stunt virus</t>
  </si>
  <si>
    <t>HaSV</t>
  </si>
  <si>
    <t>Nudaurelia capensis omega virus</t>
  </si>
  <si>
    <t>NcOV</t>
  </si>
  <si>
    <t>S43937</t>
  </si>
  <si>
    <t>Benyviridae</t>
  </si>
  <si>
    <t>Benyvirus</t>
  </si>
  <si>
    <t>beet necrotic yellow vein virus</t>
  </si>
  <si>
    <t>BNYVV</t>
  </si>
  <si>
    <t>S</t>
  </si>
  <si>
    <t>beet soil-borne mosaic virus</t>
  </si>
  <si>
    <t>BSBMV</t>
  </si>
  <si>
    <t>MRM06</t>
  </si>
  <si>
    <t>burdock mottle virus</t>
  </si>
  <si>
    <t>BdMV</t>
  </si>
  <si>
    <t>RNA1: AB818898; RNA2: AB818899</t>
  </si>
  <si>
    <t>rice stripe necrosis virus</t>
  </si>
  <si>
    <t>RSNV</t>
  </si>
  <si>
    <t>Columbia</t>
  </si>
  <si>
    <t>RNA1: EU099844; RNA2: EU099845</t>
  </si>
  <si>
    <t>Hepeviridae</t>
  </si>
  <si>
    <t>Orthohepevirinae</t>
  </si>
  <si>
    <t>Avihepevirus</t>
  </si>
  <si>
    <t>little egret hepatitis E virus</t>
  </si>
  <si>
    <t>LEHEV</t>
  </si>
  <si>
    <t>kocsag02/2014/HUN</t>
  </si>
  <si>
    <t>KX589065</t>
  </si>
  <si>
    <t>avian hepatitis E virus</t>
  </si>
  <si>
    <t>AHEV</t>
  </si>
  <si>
    <t>AY535004</t>
  </si>
  <si>
    <t>CaHEV</t>
  </si>
  <si>
    <t>HH-F9</t>
  </si>
  <si>
    <t>Chirohepevirus</t>
  </si>
  <si>
    <t>Desmodus bat hepatitis E virus</t>
  </si>
  <si>
    <t>DBaHEV</t>
  </si>
  <si>
    <t>DesRot/Peru/API17_F_DrHEV</t>
  </si>
  <si>
    <t>MW249011</t>
  </si>
  <si>
    <t>bat hepatitis E virus</t>
  </si>
  <si>
    <t>BaHEV</t>
  </si>
  <si>
    <t>BS7/GE/2009</t>
  </si>
  <si>
    <t>JQ001749</t>
  </si>
  <si>
    <t>horseshoe bat hepatitis E virus</t>
  </si>
  <si>
    <t>HBaHEV</t>
  </si>
  <si>
    <t>Shanxi2013</t>
  </si>
  <si>
    <t>KJ562187</t>
  </si>
  <si>
    <t>Paslahepevirus</t>
  </si>
  <si>
    <t>moose hepatitis E virus</t>
  </si>
  <si>
    <t>MHEV</t>
  </si>
  <si>
    <t>AlgSwe2012</t>
  </si>
  <si>
    <t>KF951328</t>
  </si>
  <si>
    <t>human hepatitis E virus genotype 1a</t>
  </si>
  <si>
    <t>HEV</t>
  </si>
  <si>
    <t>Burma</t>
  </si>
  <si>
    <t>M73218</t>
  </si>
  <si>
    <t>China B</t>
  </si>
  <si>
    <t>human hepatitis E virus genotype 2a</t>
  </si>
  <si>
    <t>Mex-14</t>
  </si>
  <si>
    <t>swine hepatitis E virus genotype 3a</t>
  </si>
  <si>
    <t>Meng</t>
  </si>
  <si>
    <t>swine hepatitis E virus genotype 4a</t>
  </si>
  <si>
    <t>Ch-S-1</t>
  </si>
  <si>
    <t>wild boar hepatitis E virus genotype 5a</t>
  </si>
  <si>
    <t>JBOAR135-Shiz09</t>
  </si>
  <si>
    <t>wild boar hepatitis E virus genotype 6a</t>
  </si>
  <si>
    <t>wbJOY_06</t>
  </si>
  <si>
    <t>camel hepatitis E virus genotype 7a</t>
  </si>
  <si>
    <t>DcHEV/178C</t>
  </si>
  <si>
    <t>camel hepatitis E virus genotype 8a</t>
  </si>
  <si>
    <t>BcHEV/12XJ</t>
  </si>
  <si>
    <t>Rocahepevirus</t>
  </si>
  <si>
    <t>vole hepatitis E virus</t>
  </si>
  <si>
    <t>VHEV</t>
  </si>
  <si>
    <t>RdHEVEm40/LuXi/2014</t>
  </si>
  <si>
    <t>MG020024</t>
  </si>
  <si>
    <t>rat hepatitis E virus</t>
  </si>
  <si>
    <t>RHEV</t>
  </si>
  <si>
    <t>R63</t>
  </si>
  <si>
    <t>GU345042</t>
  </si>
  <si>
    <t>LA-B350</t>
  </si>
  <si>
    <t>ferret hepatitis E virus</t>
  </si>
  <si>
    <t>FrHEV</t>
  </si>
  <si>
    <t>SF4370</t>
  </si>
  <si>
    <t>Parahepevirinae</t>
  </si>
  <si>
    <t>Piscihepevirus</t>
  </si>
  <si>
    <t>cutthroat trout virus</t>
  </si>
  <si>
    <t>CTV</t>
  </si>
  <si>
    <t>Heenan88</t>
  </si>
  <si>
    <t>HQ731075</t>
  </si>
  <si>
    <t>Matonaviridae</t>
  </si>
  <si>
    <t>Rubivirus</t>
  </si>
  <si>
    <t>rubella virus</t>
  </si>
  <si>
    <t>RuV</t>
  </si>
  <si>
    <t>RVi/Bismarck.ND.USA/23.08/2B (genotype 2B)</t>
  </si>
  <si>
    <t>JN635296</t>
  </si>
  <si>
    <t>F-Therein</t>
  </si>
  <si>
    <t>ruhugu virus</t>
  </si>
  <si>
    <t>RuhV</t>
  </si>
  <si>
    <t>Cyclops leaf-nosed bat/2017/Uganda</t>
  </si>
  <si>
    <t>MN547623</t>
  </si>
  <si>
    <t>rustrela virus</t>
  </si>
  <si>
    <t>RusV</t>
  </si>
  <si>
    <t>Donkey/19_041-1/2019/Germany</t>
  </si>
  <si>
    <t>MN552442</t>
  </si>
  <si>
    <t>Martellivirales</t>
  </si>
  <si>
    <t>Bromoviridae</t>
  </si>
  <si>
    <t>Alfamovirus</t>
  </si>
  <si>
    <t>alfalfa mosaic virus</t>
  </si>
  <si>
    <t>425 Leiden</t>
  </si>
  <si>
    <t>Anulavirus</t>
  </si>
  <si>
    <t>Amazon lily mild mottle virus</t>
  </si>
  <si>
    <t>ALMMV</t>
  </si>
  <si>
    <t>Japan</t>
  </si>
  <si>
    <t>grapevine line pattern virus</t>
  </si>
  <si>
    <t>GLPV</t>
  </si>
  <si>
    <t>Baco22A</t>
  </si>
  <si>
    <t>RNA1: MT319109; RNA2: MT319110; RNA3: MT319111</t>
  </si>
  <si>
    <t>Lar</t>
  </si>
  <si>
    <t>Pelargonium zonate spot virus</t>
  </si>
  <si>
    <t>PZSV</t>
  </si>
  <si>
    <t>Apulia</t>
  </si>
  <si>
    <t>RNA1: AJ272327; RNA2: AJ272328; RNA3: AJ272329</t>
  </si>
  <si>
    <t>Bromovirus</t>
  </si>
  <si>
    <t>broad bean mottle virus</t>
  </si>
  <si>
    <t>BBMV</t>
  </si>
  <si>
    <t>Dzianott</t>
  </si>
  <si>
    <t>brome mosaic virus</t>
  </si>
  <si>
    <t>BMV</t>
  </si>
  <si>
    <t>Russian wheat</t>
  </si>
  <si>
    <t>Sambucus virus S</t>
  </si>
  <si>
    <t>SVS</t>
  </si>
  <si>
    <t>B15</t>
  </si>
  <si>
    <t>RNA1: MF688613; RNA2: MF688614; RNA3: MF688615</t>
  </si>
  <si>
    <t>cassia yellow blotch virus</t>
  </si>
  <si>
    <t>CYBV</t>
  </si>
  <si>
    <t>KU1</t>
  </si>
  <si>
    <t>RNA1: AB194806; RNA2: AB194807; RNA3: AB194808</t>
  </si>
  <si>
    <t>cowpea chlorotic mottle virus</t>
  </si>
  <si>
    <t>CCMV</t>
  </si>
  <si>
    <t>Melandrium yellow fleck virus</t>
  </si>
  <si>
    <t>MYFV</t>
  </si>
  <si>
    <t>RNA1: AB444583; RNA2: AB444584; RNA3: AB444585</t>
  </si>
  <si>
    <t>spring beauty latent virus</t>
  </si>
  <si>
    <t>SBLV</t>
  </si>
  <si>
    <t>RNA1: AB080598; RNA2: AB080599; RNA3: AB080600</t>
  </si>
  <si>
    <t>Cucumovirus</t>
  </si>
  <si>
    <t>cucumber mosaic virus</t>
  </si>
  <si>
    <t>CMV</t>
  </si>
  <si>
    <t>Fny</t>
  </si>
  <si>
    <t>gayfeather mild mottle virus</t>
  </si>
  <si>
    <t>GMMV</t>
  </si>
  <si>
    <t>Lithuania</t>
  </si>
  <si>
    <t>RNA1: FM881899; RNA2: FM881900; RNA3: FM881901</t>
  </si>
  <si>
    <t>peanut stunt virus</t>
  </si>
  <si>
    <t>PSV</t>
  </si>
  <si>
    <t>ER</t>
  </si>
  <si>
    <t>RNA1: U15728; RNA2: U15729; RNA3: U15730</t>
  </si>
  <si>
    <t>tomato aspermy virus</t>
  </si>
  <si>
    <t>TAV</t>
  </si>
  <si>
    <t>V</t>
  </si>
  <si>
    <t>Ilarvirus</t>
  </si>
  <si>
    <t>Ageratum latent virus 1998</t>
  </si>
  <si>
    <t>AGLV</t>
  </si>
  <si>
    <t>RNA1: JX463340; RNA2: JX463341; RNA3: JX463342</t>
  </si>
  <si>
    <t>American plum line pattern virus</t>
  </si>
  <si>
    <t>APLPV</t>
  </si>
  <si>
    <t>Scott</t>
  </si>
  <si>
    <t>RNA1: AF235033; RNA2: AF235165; RNA3: AF235166</t>
  </si>
  <si>
    <t>apple mosaic virus</t>
  </si>
  <si>
    <t>Shiel</t>
  </si>
  <si>
    <t>asparagus virus 2</t>
  </si>
  <si>
    <t>AV2</t>
  </si>
  <si>
    <t>USA</t>
  </si>
  <si>
    <t>RNA1: EU919666; RNA2: EU919667; RNA3: X86352</t>
  </si>
  <si>
    <t>blackberry chlorotic ringspot virus</t>
  </si>
  <si>
    <t>BCRV</t>
  </si>
  <si>
    <t>UK</t>
  </si>
  <si>
    <t>RNA1: DQ091193; RNA2: DQ091194; RNA3: DQ091195</t>
  </si>
  <si>
    <t>blueberry shock virus</t>
  </si>
  <si>
    <t>BSV</t>
  </si>
  <si>
    <t>Berkely</t>
  </si>
  <si>
    <t>RNA1: KF031037; RNA2: KF031038; RNA3: KF031039</t>
  </si>
  <si>
    <t>citrus leaf rugose virus</t>
  </si>
  <si>
    <t>CLRV</t>
  </si>
  <si>
    <t>citrus variegation virus</t>
  </si>
  <si>
    <t>CVV</t>
  </si>
  <si>
    <t>Li</t>
  </si>
  <si>
    <t>RNA1: EF584664; RNA2: EF584665; RNA3: U17389</t>
  </si>
  <si>
    <t>elm mottle virus</t>
  </si>
  <si>
    <t>EMoV</t>
  </si>
  <si>
    <t>Fragaria chiloensis latent virus</t>
  </si>
  <si>
    <t>FCILV</t>
  </si>
  <si>
    <t>CFRA 9087</t>
  </si>
  <si>
    <t>RNA1: AY682102; RNA2: AY707771; RNA3: AY707772</t>
  </si>
  <si>
    <t>Humulus japonicus latent virus</t>
  </si>
  <si>
    <t>HJLV</t>
  </si>
  <si>
    <t>RNA1: AY500236; RNA2: AY500237; RNA3: AY500238</t>
  </si>
  <si>
    <t>lilac leaf chlorosis virus</t>
  </si>
  <si>
    <t>LLCV</t>
  </si>
  <si>
    <t>Varga</t>
  </si>
  <si>
    <t>lilac ring mottle virus</t>
  </si>
  <si>
    <t>LRMV</t>
  </si>
  <si>
    <t>RNA2: EU919669; RNA3: U17391</t>
  </si>
  <si>
    <t>Parietaria mottle virus</t>
  </si>
  <si>
    <t>PMV</t>
  </si>
  <si>
    <t>Ge</t>
  </si>
  <si>
    <t>RNA1: AY496068; RNA2: AY496069; RNA3: U35145</t>
  </si>
  <si>
    <t>privet ringspot virus</t>
  </si>
  <si>
    <t>PrRSV</t>
  </si>
  <si>
    <t>Win-01</t>
  </si>
  <si>
    <t>RNA1: KT290039; RNA2: KT290040; RNA3: KT290041</t>
  </si>
  <si>
    <t>prune dwarf virus</t>
  </si>
  <si>
    <t>PDV</t>
  </si>
  <si>
    <t>Salmo BC cherry</t>
  </si>
  <si>
    <t>Prunus necrotic ringspot virus</t>
  </si>
  <si>
    <t>PNRSV</t>
  </si>
  <si>
    <t>CH57</t>
  </si>
  <si>
    <t>RNA1: AF278534; RNA2: AF278535; RNA3: U57046</t>
  </si>
  <si>
    <t>spinach latent virus</t>
  </si>
  <si>
    <t>SLV</t>
  </si>
  <si>
    <t>RNA1: U93192; RNA2: U93193; RNA3: U93194</t>
  </si>
  <si>
    <t>strawberry necrotic shock virus</t>
  </si>
  <si>
    <t>SNSV</t>
  </si>
  <si>
    <t>Maryland</t>
  </si>
  <si>
    <t>tobacco streak virus</t>
  </si>
  <si>
    <t>TSV</t>
  </si>
  <si>
    <t>WC</t>
  </si>
  <si>
    <t>tomato necrotic streak virus</t>
  </si>
  <si>
    <t>TomNSV</t>
  </si>
  <si>
    <t>13-382</t>
  </si>
  <si>
    <t>RNA1: KT779204; RNA2: KT779205; RNA3: KT779206</t>
  </si>
  <si>
    <t>Tulare apple mosaic virus</t>
  </si>
  <si>
    <t>TAMV</t>
  </si>
  <si>
    <t>RNA1: AF226160; RNA2: AF226161; RNA3: AF226162</t>
  </si>
  <si>
    <t>Oleavirus</t>
  </si>
  <si>
    <t>olive latent virus 2</t>
  </si>
  <si>
    <t>OLV2</t>
  </si>
  <si>
    <t>Closteroviridae</t>
  </si>
  <si>
    <t>Ampelovirus</t>
  </si>
  <si>
    <t>air potato ampelovirus 1</t>
  </si>
  <si>
    <t>AiPoV1</t>
  </si>
  <si>
    <t>FL</t>
  </si>
  <si>
    <t>MH206615</t>
  </si>
  <si>
    <t>blackberry vein banding-associated virus</t>
  </si>
  <si>
    <t>BVBaV</t>
  </si>
  <si>
    <t>Mississippi1</t>
  </si>
  <si>
    <t>KC904540</t>
  </si>
  <si>
    <t>grapevine leafroll-associated virus 1</t>
  </si>
  <si>
    <t>GLRaV1</t>
  </si>
  <si>
    <t>JQ023131</t>
  </si>
  <si>
    <t>grapevine leafroll-associated virus 13</t>
  </si>
  <si>
    <t>GLRaV13</t>
  </si>
  <si>
    <t>a177</t>
  </si>
  <si>
    <t>LC052212</t>
  </si>
  <si>
    <t>grapevine leafroll-associated virus 3</t>
  </si>
  <si>
    <t>GLRaV3</t>
  </si>
  <si>
    <t>NY1</t>
  </si>
  <si>
    <t>AF037268</t>
  </si>
  <si>
    <t>grapevine leafroll-associated virus 4</t>
  </si>
  <si>
    <t>GLRaV4</t>
  </si>
  <si>
    <t>LR106</t>
  </si>
  <si>
    <t>FJ467503</t>
  </si>
  <si>
    <t>little cherry virus 2</t>
  </si>
  <si>
    <t>LChV2</t>
  </si>
  <si>
    <t>USA6b</t>
  </si>
  <si>
    <t>AF531505</t>
  </si>
  <si>
    <t>pineapple mealybug wilt-associated virus 1</t>
  </si>
  <si>
    <t>PMWaV1</t>
  </si>
  <si>
    <t>Melzer</t>
  </si>
  <si>
    <t>AF414119</t>
  </si>
  <si>
    <t>pineapple mealybug wilt-associated virus 2</t>
  </si>
  <si>
    <t>PMWaV2</t>
  </si>
  <si>
    <t>Hawaii</t>
  </si>
  <si>
    <t>AF283103</t>
  </si>
  <si>
    <t>pineapple mealybug wilt-associated virus 3</t>
  </si>
  <si>
    <t>PMWaV3</t>
  </si>
  <si>
    <t>DQ399259</t>
  </si>
  <si>
    <t>pistachio ampelovirus</t>
  </si>
  <si>
    <t>PAVA</t>
  </si>
  <si>
    <t>W10</t>
  </si>
  <si>
    <t>MF198462</t>
  </si>
  <si>
    <t>plum bark necrosis stem pitting-associated virus</t>
  </si>
  <si>
    <t>PBNSPaV</t>
  </si>
  <si>
    <t>EF546442</t>
  </si>
  <si>
    <t>yam asymptomatic virus 1</t>
  </si>
  <si>
    <t>YaV1</t>
  </si>
  <si>
    <t>VU567Da</t>
  </si>
  <si>
    <t>MT409627</t>
  </si>
  <si>
    <t>Bluvavirus</t>
  </si>
  <si>
    <t>blueberry virus a</t>
  </si>
  <si>
    <t>BVA</t>
  </si>
  <si>
    <t>Iwate/2012</t>
  </si>
  <si>
    <t>AB733585</t>
  </si>
  <si>
    <t>Closterovirus</t>
  </si>
  <si>
    <t>arracacha virus 1</t>
  </si>
  <si>
    <t>ArrV-1</t>
  </si>
  <si>
    <t>MS#6</t>
  </si>
  <si>
    <t>MG919988</t>
  </si>
  <si>
    <t>beet yellow stunt virus</t>
  </si>
  <si>
    <t>BYSV</t>
  </si>
  <si>
    <t>Sonchus</t>
  </si>
  <si>
    <t>U51931</t>
  </si>
  <si>
    <t>beet yellows virus</t>
  </si>
  <si>
    <t>BYV</t>
  </si>
  <si>
    <t>Ukrainian</t>
  </si>
  <si>
    <t>X73476</t>
  </si>
  <si>
    <t>blackcurrant closterovirus 1</t>
  </si>
  <si>
    <t>BCCV-1</t>
  </si>
  <si>
    <t>BC</t>
  </si>
  <si>
    <t>MH267701</t>
  </si>
  <si>
    <t>burdock yellows virus</t>
  </si>
  <si>
    <t>BuYV</t>
  </si>
  <si>
    <t>Arctium</t>
  </si>
  <si>
    <t>carnation necrotic fleck virus</t>
  </si>
  <si>
    <t>CNFV</t>
  </si>
  <si>
    <t>GU234166</t>
  </si>
  <si>
    <t>carrot closterovirus 1</t>
  </si>
  <si>
    <t>CtCV1</t>
  </si>
  <si>
    <t>CUCV_S8</t>
  </si>
  <si>
    <t>KF533697</t>
  </si>
  <si>
    <t>carrot yellow leaf virus</t>
  </si>
  <si>
    <t>CYLV</t>
  </si>
  <si>
    <t>FJ869862</t>
  </si>
  <si>
    <t>citrus tristeza virus</t>
  </si>
  <si>
    <t>T36</t>
  </si>
  <si>
    <t>U16304</t>
  </si>
  <si>
    <t>grapevine leafroll-associated virus 2</t>
  </si>
  <si>
    <t>GLRaV2</t>
  </si>
  <si>
    <t>93/955</t>
  </si>
  <si>
    <t>AY881628</t>
  </si>
  <si>
    <t>mint virus 1</t>
  </si>
  <si>
    <t>MV1</t>
  </si>
  <si>
    <t>NCGR MEN 454.004</t>
  </si>
  <si>
    <t>AY792620</t>
  </si>
  <si>
    <t>raspberry leaf mottle virus</t>
  </si>
  <si>
    <t>RLMoV</t>
  </si>
  <si>
    <t>HCRL Glen Clova</t>
  </si>
  <si>
    <t>DQ357218</t>
  </si>
  <si>
    <t>rehmannia virus 1</t>
  </si>
  <si>
    <t>ReV-1</t>
  </si>
  <si>
    <t>Rg</t>
  </si>
  <si>
    <t>MH033657</t>
  </si>
  <si>
    <t>rose leaf rosette-associated virus</t>
  </si>
  <si>
    <t>RLRaV</t>
  </si>
  <si>
    <t>CWR.1</t>
  </si>
  <si>
    <t>KJ748003</t>
  </si>
  <si>
    <t>strawberry chlorotic fleck-associated virus</t>
  </si>
  <si>
    <t>SCFaV</t>
  </si>
  <si>
    <t>DQ860839</t>
  </si>
  <si>
    <t>tobacco virus 1</t>
  </si>
  <si>
    <t>AnHui</t>
  </si>
  <si>
    <t>KT203917</t>
  </si>
  <si>
    <t>wheat yellow leaf virus</t>
  </si>
  <si>
    <t>WYLV</t>
  </si>
  <si>
    <t>Gramineae</t>
  </si>
  <si>
    <t>Crinivirus</t>
  </si>
  <si>
    <t>abutilon yellows virus</t>
  </si>
  <si>
    <t>AYV</t>
  </si>
  <si>
    <t>Salinas</t>
  </si>
  <si>
    <t>AY422069; AY422070</t>
  </si>
  <si>
    <t>bean yellow disorder virus</t>
  </si>
  <si>
    <t>BYDV</t>
  </si>
  <si>
    <t>Bn-03</t>
  </si>
  <si>
    <t>RNA1: EU191904; RNA2: EU191905</t>
  </si>
  <si>
    <t>beet pseudoyellows virus</t>
  </si>
  <si>
    <t>BPYV</t>
  </si>
  <si>
    <t>RNA1: AY330918; RNA2: AY330919</t>
  </si>
  <si>
    <t>blackberry yellow vein-associated virus</t>
  </si>
  <si>
    <t>BYVaV</t>
  </si>
  <si>
    <t>South Carolina</t>
  </si>
  <si>
    <t>RNA1: AY776334; RNA2: AY776335</t>
  </si>
  <si>
    <t>cucurbit yellow stunting disorder virus</t>
  </si>
  <si>
    <t>CYSDV</t>
  </si>
  <si>
    <t>AlLM</t>
  </si>
  <si>
    <t>RNA1: AY242077; RNA2: AY242078</t>
  </si>
  <si>
    <t>diodia vein chlorosis virus</t>
  </si>
  <si>
    <t>DVCV</t>
  </si>
  <si>
    <t>Fayetteville</t>
  </si>
  <si>
    <t>RNA1: GQ225585; RNA2: GQ376201</t>
  </si>
  <si>
    <t>lettuce chlorosis virus</t>
  </si>
  <si>
    <t>LCV</t>
  </si>
  <si>
    <t>California</t>
  </si>
  <si>
    <t>RNA1: FJ380118; RNA2: FJ380119</t>
  </si>
  <si>
    <t>lettuce infectious yellows virus</t>
  </si>
  <si>
    <t>LIYV</t>
  </si>
  <si>
    <t>RNA1: U15440; RNA2: U15441</t>
  </si>
  <si>
    <t>potato yellow vein virus</t>
  </si>
  <si>
    <t>PYVV</t>
  </si>
  <si>
    <t>Cajamarca</t>
  </si>
  <si>
    <t>strawberry pallidosis-associated virus</t>
  </si>
  <si>
    <t>SPaV</t>
  </si>
  <si>
    <t>M1</t>
  </si>
  <si>
    <t>RNA1: AY488137; RNA2: AY488138</t>
  </si>
  <si>
    <t>sweet potato chlorotic stunt virus</t>
  </si>
  <si>
    <t>SPCSV</t>
  </si>
  <si>
    <t>EA</t>
  </si>
  <si>
    <t>RNA1: AJ428554; RNA2: AJ428555</t>
  </si>
  <si>
    <t>tetterwort vein chlorosis virus</t>
  </si>
  <si>
    <t>TwVCV</t>
  </si>
  <si>
    <t>Yesan</t>
  </si>
  <si>
    <t>RNA1: KR002686; RNA2: KR002687</t>
  </si>
  <si>
    <t>tomato chlorosis virus</t>
  </si>
  <si>
    <t>ToCV</t>
  </si>
  <si>
    <t>Florida</t>
  </si>
  <si>
    <t>RNA1: AY903447; RNA2: AY903448</t>
  </si>
  <si>
    <t>tomato infectious chlorosis virus</t>
  </si>
  <si>
    <t>TICV</t>
  </si>
  <si>
    <t>Orange County CA</t>
  </si>
  <si>
    <t>RNA1: FJ815440; RNA2: FJ815441</t>
  </si>
  <si>
    <t>Menthavirus</t>
  </si>
  <si>
    <t>mint vein banding-associated virus</t>
  </si>
  <si>
    <t>MVBaV</t>
  </si>
  <si>
    <t>NCGR MEN 454</t>
  </si>
  <si>
    <t>KJ572575</t>
  </si>
  <si>
    <t>Olivavirus</t>
  </si>
  <si>
    <t>actinidia virus 1</t>
  </si>
  <si>
    <t>AcV1</t>
  </si>
  <si>
    <t>K75</t>
  </si>
  <si>
    <t>KX857665</t>
  </si>
  <si>
    <t>olive leaf yellowing-associated virus</t>
  </si>
  <si>
    <t>OLYaV</t>
  </si>
  <si>
    <t>Sicily</t>
  </si>
  <si>
    <t>AJ440010</t>
  </si>
  <si>
    <t>persimmon virus b</t>
  </si>
  <si>
    <t>PeBV1</t>
  </si>
  <si>
    <t>AB923924</t>
  </si>
  <si>
    <t>Velarivirus</t>
  </si>
  <si>
    <t>areca palm velarivirus 1</t>
  </si>
  <si>
    <t>ArPV1</t>
  </si>
  <si>
    <t>KR349464</t>
  </si>
  <si>
    <t>cordyline virus 1</t>
  </si>
  <si>
    <t>CV1</t>
  </si>
  <si>
    <t>Kahaluu-1</t>
  </si>
  <si>
    <t>HM588723</t>
  </si>
  <si>
    <t>cordyline virus 2</t>
  </si>
  <si>
    <t>CV2</t>
  </si>
  <si>
    <t>SJ1</t>
  </si>
  <si>
    <t>JQ599282</t>
  </si>
  <si>
    <t>cordyline virus 3</t>
  </si>
  <si>
    <t>CV3</t>
  </si>
  <si>
    <t>JQ599283</t>
  </si>
  <si>
    <t>cordyline virus 4</t>
  </si>
  <si>
    <t>CV4</t>
  </si>
  <si>
    <t>JQ599284</t>
  </si>
  <si>
    <t>grapevine leafroll-associated virus 7</t>
  </si>
  <si>
    <t>GLRaV7</t>
  </si>
  <si>
    <t>AA42</t>
  </si>
  <si>
    <t>HE588185</t>
  </si>
  <si>
    <t>little cherry virus 1</t>
  </si>
  <si>
    <t>LCV1</t>
  </si>
  <si>
    <t>UW2</t>
  </si>
  <si>
    <t>Y10237</t>
  </si>
  <si>
    <t>Malus domestica virus A</t>
  </si>
  <si>
    <t>MdoV1</t>
  </si>
  <si>
    <t>J1</t>
  </si>
  <si>
    <t>MN548734</t>
  </si>
  <si>
    <t>Endornaviridae</t>
  </si>
  <si>
    <t>Alphaendornavirus</t>
  </si>
  <si>
    <t>Agaricus bisporus endornavirus 1</t>
  </si>
  <si>
    <t>AbEV1</t>
  </si>
  <si>
    <t>KY357509</t>
  </si>
  <si>
    <t>Basella alba endornavirus 1</t>
  </si>
  <si>
    <t>BaEV1</t>
  </si>
  <si>
    <t>Eclipse</t>
  </si>
  <si>
    <t>AB844264</t>
  </si>
  <si>
    <t>bell pepper endornavirus</t>
  </si>
  <si>
    <t>BPEV</t>
  </si>
  <si>
    <t>Penol</t>
  </si>
  <si>
    <t>KX977569</t>
  </si>
  <si>
    <t>cluster bean endornavirus</t>
  </si>
  <si>
    <t>CBEV1</t>
  </si>
  <si>
    <t>MG764084</t>
  </si>
  <si>
    <t>Cucumis melo endornavirus</t>
  </si>
  <si>
    <t>CmEV</t>
  </si>
  <si>
    <t>CL-01</t>
  </si>
  <si>
    <t>KT727022</t>
  </si>
  <si>
    <t>Erysiphe cichoracearum endornavirus</t>
  </si>
  <si>
    <t>EcEV</t>
  </si>
  <si>
    <t>HBJZ1506</t>
  </si>
  <si>
    <t>KT388110</t>
  </si>
  <si>
    <t>grapevine endophyte endornavirus</t>
  </si>
  <si>
    <t>GEEV</t>
  </si>
  <si>
    <t>JX678977</t>
  </si>
  <si>
    <t>Helianthus annuus endornaviru</t>
  </si>
  <si>
    <t>HaEV</t>
  </si>
  <si>
    <t>BJ</t>
  </si>
  <si>
    <t>MF362666</t>
  </si>
  <si>
    <t>Helicobasidium mompa endornavirus 1</t>
  </si>
  <si>
    <t>HmEV1</t>
  </si>
  <si>
    <t>1-670</t>
  </si>
  <si>
    <t>AB218287</t>
  </si>
  <si>
    <t>Hordeum vulgare endornavirus</t>
  </si>
  <si>
    <t>HvEV</t>
  </si>
  <si>
    <t>Nerz</t>
  </si>
  <si>
    <t>KT721705</t>
  </si>
  <si>
    <t>hot pepper endornavirus</t>
  </si>
  <si>
    <t>HPEV</t>
  </si>
  <si>
    <t>KR080326</t>
  </si>
  <si>
    <t>Lagenaria siceraria endornavirus</t>
  </si>
  <si>
    <t>LsEV</t>
  </si>
  <si>
    <t>KF562072</t>
  </si>
  <si>
    <t>Oryza rufipogon endornavirus</t>
  </si>
  <si>
    <t>OrEV</t>
  </si>
  <si>
    <t>W-1714</t>
  </si>
  <si>
    <t>AB014344</t>
  </si>
  <si>
    <t>Oryza sativa endornavirus</t>
  </si>
  <si>
    <t>OsEV</t>
  </si>
  <si>
    <t>Nipponbare</t>
  </si>
  <si>
    <t>D32136</t>
  </si>
  <si>
    <t>Persea americana endornavirus 1</t>
  </si>
  <si>
    <t>PaEV1</t>
  </si>
  <si>
    <t>Fuerte</t>
  </si>
  <si>
    <t>JN880414</t>
  </si>
  <si>
    <t>Phaseolus vulgaris endornavirus 1</t>
  </si>
  <si>
    <t>PvEV1</t>
  </si>
  <si>
    <t>Brazil</t>
  </si>
  <si>
    <t>KT456287</t>
  </si>
  <si>
    <t>Phaseolus vulgaris endornavirus 2</t>
  </si>
  <si>
    <t>PvEV2</t>
  </si>
  <si>
    <t>KT456288</t>
  </si>
  <si>
    <t>Phaseolus vulgaris endornavirus 3</t>
  </si>
  <si>
    <t>PvEV3</t>
  </si>
  <si>
    <t>Clouseau</t>
  </si>
  <si>
    <t>MG242064</t>
  </si>
  <si>
    <t>Phytophthora endornavirus 1</t>
  </si>
  <si>
    <t>PEV1</t>
  </si>
  <si>
    <t>USA:OR</t>
  </si>
  <si>
    <t>AJ877914</t>
  </si>
  <si>
    <t>Rhizoctonia cerealis endornavirus 1</t>
  </si>
  <si>
    <t>RcEV1</t>
  </si>
  <si>
    <t>R0959</t>
  </si>
  <si>
    <t>KF311065</t>
  </si>
  <si>
    <t>Rhizoctonia solani endornavirus 2</t>
  </si>
  <si>
    <t>RsEV2</t>
  </si>
  <si>
    <t>Illinois1</t>
  </si>
  <si>
    <t>KT823701</t>
  </si>
  <si>
    <t>Vicia faba endornavirus</t>
  </si>
  <si>
    <t>VfEV</t>
  </si>
  <si>
    <t>AJ000929</t>
  </si>
  <si>
    <t>winged bean endornavirus 1</t>
  </si>
  <si>
    <t>WBEV1</t>
  </si>
  <si>
    <t>Shikakumame</t>
  </si>
  <si>
    <t>LC144945</t>
  </si>
  <si>
    <t>yerba mate endornavirus</t>
  </si>
  <si>
    <t>YmEV</t>
  </si>
  <si>
    <t>INTA</t>
  </si>
  <si>
    <t>KJ634409</t>
  </si>
  <si>
    <t>Betaendornavirus</t>
  </si>
  <si>
    <t>Alternaria brassicicola endornavirus 1</t>
  </si>
  <si>
    <t>KP239989</t>
  </si>
  <si>
    <t>Botrytis cinerea endornavirus 1</t>
  </si>
  <si>
    <t>BcEV1</t>
  </si>
  <si>
    <t>HBtom-372</t>
  </si>
  <si>
    <t>KU923747</t>
  </si>
  <si>
    <t>Gremmeniella abietina endornavirus 1</t>
  </si>
  <si>
    <t>GaEV1</t>
  </si>
  <si>
    <t>AU58</t>
  </si>
  <si>
    <t>DQ399289</t>
  </si>
  <si>
    <t>Rosellinia necatrix endornavirus 1</t>
  </si>
  <si>
    <t>RnEV1</t>
  </si>
  <si>
    <t>W1141</t>
  </si>
  <si>
    <t>LC076696</t>
  </si>
  <si>
    <t>Sclerotinia minor endornavirus 1</t>
  </si>
  <si>
    <t>SmEV1</t>
  </si>
  <si>
    <t>LC22</t>
  </si>
  <si>
    <t>MG255170</t>
  </si>
  <si>
    <t>Sclerotinia sclerotiorum endornavirus 1</t>
  </si>
  <si>
    <t>SsEV1</t>
  </si>
  <si>
    <t>KJ123645</t>
  </si>
  <si>
    <t>Tuber aestivum endornavirus</t>
  </si>
  <si>
    <t>TaEV</t>
  </si>
  <si>
    <t>Jaszag</t>
  </si>
  <si>
    <t>HQ380014</t>
  </si>
  <si>
    <t>Kitaviridae</t>
  </si>
  <si>
    <t>Blunervirus</t>
  </si>
  <si>
    <t>Tea plant necrotic ring blotch virus</t>
  </si>
  <si>
    <t>TPNRBV</t>
  </si>
  <si>
    <t>RNA1: MG781152; RNA2: MG781153; RNA3: MG781154; RNA4: MG781155</t>
  </si>
  <si>
    <t>Tomato fruit blotch virus</t>
  </si>
  <si>
    <t>ToFBV</t>
  </si>
  <si>
    <t>Fondi2018</t>
  </si>
  <si>
    <t>RNA1: MK517477; RNA2: MK517478; RNA3: MK517479; RNA4: MK517480</t>
  </si>
  <si>
    <t>blueberry necrotic ring blotch virus</t>
  </si>
  <si>
    <t>BNRBV</t>
  </si>
  <si>
    <t>Georgia</t>
  </si>
  <si>
    <t>RNA1: JN651148; RNA2: JN651149; RNA3: JN651150; RNA4: JN651151</t>
  </si>
  <si>
    <t>Cilevirus</t>
  </si>
  <si>
    <t>Ligustrum leprosis virus</t>
  </si>
  <si>
    <t>LigLV</t>
  </si>
  <si>
    <t>Cdb1</t>
  </si>
  <si>
    <t>RNA1: OK626451; RNA2: OK626452</t>
  </si>
  <si>
    <t>Citrus leprosis virus C2</t>
  </si>
  <si>
    <t>CLVC2</t>
  </si>
  <si>
    <t>L147V1</t>
  </si>
  <si>
    <t>RNA1: JX000024; RNA2: JX000025</t>
  </si>
  <si>
    <t>Citrus leprosis virus C</t>
  </si>
  <si>
    <t>CiLVC</t>
  </si>
  <si>
    <t>Cordeiropolis</t>
  </si>
  <si>
    <t>RNA1: DQ352194; RNA2: DQ352195</t>
  </si>
  <si>
    <t>Ligustrum chlorotic spot virus</t>
  </si>
  <si>
    <t>LigCSV</t>
  </si>
  <si>
    <t>SPa1</t>
  </si>
  <si>
    <t>RNA1: OK626447; RNA2: OK626448</t>
  </si>
  <si>
    <t>Hibiscus yellow blotch virus</t>
  </si>
  <si>
    <t>HYBV</t>
  </si>
  <si>
    <t>OUGC</t>
  </si>
  <si>
    <t>RNA1: MT472637; RNA2: MT472638</t>
  </si>
  <si>
    <t>passion fruit green spot virus</t>
  </si>
  <si>
    <t>PfGSV</t>
  </si>
  <si>
    <t>Snp1</t>
  </si>
  <si>
    <t>RNA1: MK804171; RNA2: MK804172</t>
  </si>
  <si>
    <t>Solanun violifolium ringspot virus</t>
  </si>
  <si>
    <t>SvRSV</t>
  </si>
  <si>
    <t>Prb1</t>
  </si>
  <si>
    <t>RNA1: OK626439; RNA2: OK626440</t>
  </si>
  <si>
    <t>Higrevirus</t>
  </si>
  <si>
    <t>Hibiscus green spot virus 2</t>
  </si>
  <si>
    <t>HGSV2</t>
  </si>
  <si>
    <t>WAI 1/1</t>
  </si>
  <si>
    <t>RNA1: HQ852052; RNA2: HQ852053; RNA3: HQ852054</t>
  </si>
  <si>
    <t>Mayoviridae</t>
  </si>
  <si>
    <t>Idaeovirus</t>
  </si>
  <si>
    <t>privet leaf blotch-associated virus</t>
  </si>
  <si>
    <t>PrLBaV</t>
  </si>
  <si>
    <t>RNA1: LT221868; RNA2: LT221869</t>
  </si>
  <si>
    <t>raspberry bushy dwarf virus</t>
  </si>
  <si>
    <t>RBDV</t>
  </si>
  <si>
    <t>R15</t>
  </si>
  <si>
    <t>RNA1: S51557; RNA2: S55890</t>
  </si>
  <si>
    <t>Pteridovirus</t>
  </si>
  <si>
    <t>Japanese holly fern mottle virus</t>
  </si>
  <si>
    <t>JHFMoV</t>
  </si>
  <si>
    <t>DI</t>
  </si>
  <si>
    <t>RNA1: FJ907327; RNA2: FJ907328</t>
  </si>
  <si>
    <t>maize-associated pteridovirus</t>
  </si>
  <si>
    <t>MaPV</t>
  </si>
  <si>
    <t>RNA1: MK112502; RNA2: MK112503</t>
  </si>
  <si>
    <t>Togaviridae</t>
  </si>
  <si>
    <t>Alphavirus</t>
  </si>
  <si>
    <t>Aura virus</t>
  </si>
  <si>
    <t>AURAV</t>
  </si>
  <si>
    <t>AF126284</t>
  </si>
  <si>
    <t>Barmah Forest virus</t>
  </si>
  <si>
    <t>BFV</t>
  </si>
  <si>
    <t>BH2193</t>
  </si>
  <si>
    <t>U73745</t>
  </si>
  <si>
    <t>bebaru virus</t>
  </si>
  <si>
    <t>BEBV</t>
  </si>
  <si>
    <t>HM147985</t>
  </si>
  <si>
    <t>Caainguá virus</t>
  </si>
  <si>
    <t>CAAV</t>
  </si>
  <si>
    <t>MS681</t>
  </si>
  <si>
    <t>MK353339</t>
  </si>
  <si>
    <t>Cabassou virus; Venezuelan equine encephalitis virus V</t>
  </si>
  <si>
    <t>CABV; VEEV-V</t>
  </si>
  <si>
    <t>CaAr 508</t>
  </si>
  <si>
    <t>AF075259</t>
  </si>
  <si>
    <t>chikungunya virus</t>
  </si>
  <si>
    <t>CHIKV</t>
  </si>
  <si>
    <t>S27-African</t>
  </si>
  <si>
    <t>AF369024</t>
  </si>
  <si>
    <t>BRAZZA MRS1</t>
  </si>
  <si>
    <t>eastern equine encephalitis virus North American</t>
  </si>
  <si>
    <t>EEEV-NA</t>
  </si>
  <si>
    <t>North American</t>
  </si>
  <si>
    <t>X63135</t>
  </si>
  <si>
    <t>Eilat virus</t>
  </si>
  <si>
    <t>EILV</t>
  </si>
  <si>
    <t>EO329</t>
  </si>
  <si>
    <t>JX678730</t>
  </si>
  <si>
    <t>Everglades virus; Venezuelan equine encephalitis virus II</t>
  </si>
  <si>
    <t>EVEV; VEEV-II</t>
  </si>
  <si>
    <t>Fe3-7c</t>
  </si>
  <si>
    <t>AF075251</t>
  </si>
  <si>
    <t>Fort Morgan virus</t>
  </si>
  <si>
    <t>FMV</t>
  </si>
  <si>
    <t>CM4-146</t>
  </si>
  <si>
    <t>GQ281603</t>
  </si>
  <si>
    <t>Buggy Creek virus</t>
  </si>
  <si>
    <t>BUGCV</t>
  </si>
  <si>
    <t>getah virus</t>
  </si>
  <si>
    <t>GETV</t>
  </si>
  <si>
    <t>swine</t>
  </si>
  <si>
    <t>AY702913</t>
  </si>
  <si>
    <t>getah virus; Sagiyama virus</t>
  </si>
  <si>
    <t>GETV; SAGV</t>
  </si>
  <si>
    <t>getah virus; alphavirus M1</t>
  </si>
  <si>
    <t>GETV; ALPHAV-M1</t>
  </si>
  <si>
    <t>Highlands J virus</t>
  </si>
  <si>
    <t>HJV</t>
  </si>
  <si>
    <t>585-01</t>
  </si>
  <si>
    <t>FJ827631</t>
  </si>
  <si>
    <t>Madariaga virus; eastern equine encephalitis virus South American</t>
  </si>
  <si>
    <t>MADV; EEEV-SA</t>
  </si>
  <si>
    <t>PE-3.0818</t>
  </si>
  <si>
    <t>DQ241303</t>
  </si>
  <si>
    <t>BRA/BEAN5122/1956</t>
  </si>
  <si>
    <t>BeAr436087</t>
  </si>
  <si>
    <t>Mayaro virus</t>
  </si>
  <si>
    <t>MAYV</t>
  </si>
  <si>
    <t>AF237947</t>
  </si>
  <si>
    <t>Middelburg virus</t>
  </si>
  <si>
    <t>MIDV</t>
  </si>
  <si>
    <t>ArB-8842</t>
  </si>
  <si>
    <t>KM115530</t>
  </si>
  <si>
    <t>Mosso das Pedras virus; Venezuelan equine encephalitis virus IF</t>
  </si>
  <si>
    <t>MDPV; VEEV-IF</t>
  </si>
  <si>
    <t>78V-3531</t>
  </si>
  <si>
    <t>AF075257</t>
  </si>
  <si>
    <t>Mucambo virus; Venezuelan equine encephalitis virus IIIA</t>
  </si>
  <si>
    <t>MUCV; VEEV-IIIA</t>
  </si>
  <si>
    <t>Mucambo BeAn 8</t>
  </si>
  <si>
    <t>AF075253</t>
  </si>
  <si>
    <t>Ndumu virus</t>
  </si>
  <si>
    <t>NDUV</t>
  </si>
  <si>
    <t>HM147989</t>
  </si>
  <si>
    <t>o'nyong-nyong virus</t>
  </si>
  <si>
    <t>ONNV</t>
  </si>
  <si>
    <t>SG650</t>
  </si>
  <si>
    <t>AF079456</t>
  </si>
  <si>
    <t>Gulu</t>
  </si>
  <si>
    <t>o'nyong-nyong virus; Igbo Ora virus</t>
  </si>
  <si>
    <t>ONNV; IGORV</t>
  </si>
  <si>
    <t>IBH10964</t>
  </si>
  <si>
    <t>Pixuna virus; Venezuelan equine encephalitis virus IV</t>
  </si>
  <si>
    <t>PIXV; VEEV-IV</t>
  </si>
  <si>
    <t>BeAr 34645</t>
  </si>
  <si>
    <t>AF075256</t>
  </si>
  <si>
    <t>Rio Negro virus; Venezuelan equine encephalitis virus VI</t>
  </si>
  <si>
    <t>RNV; VEEV-VI</t>
  </si>
  <si>
    <t>AG80-663</t>
  </si>
  <si>
    <t>AF075258</t>
  </si>
  <si>
    <t>Ross River virus</t>
  </si>
  <si>
    <t>RRV</t>
  </si>
  <si>
    <t>QML 1</t>
  </si>
  <si>
    <t>GQ433354</t>
  </si>
  <si>
    <t>NB5092</t>
  </si>
  <si>
    <t>salmon pancreas disease virus; sleeping disease virus</t>
  </si>
  <si>
    <t>SPDV; SDV</t>
  </si>
  <si>
    <t>AJ316246</t>
  </si>
  <si>
    <t>Semliki Forest virus</t>
  </si>
  <si>
    <t>SFV</t>
  </si>
  <si>
    <t>X04129</t>
  </si>
  <si>
    <t>AMH002650</t>
  </si>
  <si>
    <t>Sindbis virus</t>
  </si>
  <si>
    <t>SINV</t>
  </si>
  <si>
    <t>HRsp</t>
  </si>
  <si>
    <t>J02363</t>
  </si>
  <si>
    <t>Sindbis virus; Ockelbo virus</t>
  </si>
  <si>
    <t>SINV; OCKV</t>
  </si>
  <si>
    <t>Edsbyn 82-5</t>
  </si>
  <si>
    <t>Sindbis virus; Babanki virus</t>
  </si>
  <si>
    <t>SINV; BABV</t>
  </si>
  <si>
    <t>XJ 160</t>
  </si>
  <si>
    <t>SW6562</t>
  </si>
  <si>
    <t>southern elephant seal virus</t>
  </si>
  <si>
    <t>SESV</t>
  </si>
  <si>
    <t>HM147990</t>
  </si>
  <si>
    <t>Tonate virus; Venezuelan equine encephalitis virus IIIB</t>
  </si>
  <si>
    <t>TONV; VEEV-IIIB</t>
  </si>
  <si>
    <t>CaAn 410d</t>
  </si>
  <si>
    <t>AF075254</t>
  </si>
  <si>
    <t>Trocara virus</t>
  </si>
  <si>
    <t>TROV</t>
  </si>
  <si>
    <t>HM147991</t>
  </si>
  <si>
    <t>BeAr422431</t>
  </si>
  <si>
    <t>Una virus</t>
  </si>
  <si>
    <t>UNAV</t>
  </si>
  <si>
    <t>HM147992</t>
  </si>
  <si>
    <t>BeAr 13136</t>
  </si>
  <si>
    <t>Venezuelan equine encephalitis virus; Venezuelan equine encephalitis virus IAB</t>
  </si>
  <si>
    <t>VEEV; VEEV-IAB</t>
  </si>
  <si>
    <t>Trinidad donkey</t>
  </si>
  <si>
    <t>L01442</t>
  </si>
  <si>
    <t>Venezuelan equine encephalitis virus; Venezuelan equine encephalitis virus IC</t>
  </si>
  <si>
    <t>VEEV; VEEV-IC</t>
  </si>
  <si>
    <t>P676</t>
  </si>
  <si>
    <t>Venezuelan equine encephalitis virus; Venezuelan equine encephalitis virus ID</t>
  </si>
  <si>
    <t>VEEV; VEEV-ID</t>
  </si>
  <si>
    <t>Venezuelan equine encephalitis virus; Venezuelan equine encephalitis virus IE</t>
  </si>
  <si>
    <t>VEEV; VEEV-IE</t>
  </si>
  <si>
    <t>68U201</t>
  </si>
  <si>
    <t>Venezuelan equine encephalitis virus; Venezuelan equine encephalitis virus IIIC</t>
  </si>
  <si>
    <t>VEEV; VEEV-IIIC</t>
  </si>
  <si>
    <t>71D-1252</t>
  </si>
  <si>
    <t>western equine encephalitis virus; western equine encephalitis virus South American</t>
  </si>
  <si>
    <t>WEEV; WEEV-SA</t>
  </si>
  <si>
    <t>AG80-646</t>
  </si>
  <si>
    <t>GQ287646</t>
  </si>
  <si>
    <t>western equine encephalitis virus; western equine encephalitis virus North American</t>
  </si>
  <si>
    <t>WEEV; WEEV-NA</t>
  </si>
  <si>
    <t>71V-1658</t>
  </si>
  <si>
    <t>Whataroa virus</t>
  </si>
  <si>
    <t>WHATV</t>
  </si>
  <si>
    <t>HM147993</t>
  </si>
  <si>
    <t>Virgaviridae</t>
  </si>
  <si>
    <t>Furovirus</t>
  </si>
  <si>
    <t>Chinese wheat mosaic virus</t>
  </si>
  <si>
    <t>CWMV</t>
  </si>
  <si>
    <t>Yantai China</t>
  </si>
  <si>
    <t>RNA1: AJ012005; RNA2: AJ012006</t>
  </si>
  <si>
    <t>Japanese soil-borne wheat mosaic virus</t>
  </si>
  <si>
    <t>JSBWMV</t>
  </si>
  <si>
    <t>JT</t>
  </si>
  <si>
    <t>RNA1: AB033689; RNA2: AB033690</t>
  </si>
  <si>
    <t>French barley mosaic virus</t>
  </si>
  <si>
    <t>FBMV</t>
  </si>
  <si>
    <t>oat golden stripe virus</t>
  </si>
  <si>
    <t>OGSV</t>
  </si>
  <si>
    <t>United Kingdom</t>
  </si>
  <si>
    <t>RNA1: AJ132578; RNA2: AJ132579</t>
  </si>
  <si>
    <t>European wheat mosaic virus; Soil-borne rye mosaic virus</t>
  </si>
  <si>
    <t>SBCMV</t>
  </si>
  <si>
    <t>France</t>
  </si>
  <si>
    <t>RNA1: AJ132576; RNA2: AJ132577</t>
  </si>
  <si>
    <t>soil-borne wheat mosaic virus</t>
  </si>
  <si>
    <t>SBWMV</t>
  </si>
  <si>
    <t>US_Nebraska 1981 wild type</t>
  </si>
  <si>
    <t>RNA1: L07937; RNA2: L07938</t>
  </si>
  <si>
    <t>Sorghum chlorotic spot virus</t>
  </si>
  <si>
    <t>SrCSV</t>
  </si>
  <si>
    <t>Shirako</t>
  </si>
  <si>
    <t>RNA1: AB033691; RNA2: AB033692</t>
  </si>
  <si>
    <t>Goravirus</t>
  </si>
  <si>
    <t>Drakaea virus A</t>
  </si>
  <si>
    <t>DrVA</t>
  </si>
  <si>
    <t>Canning Mills</t>
  </si>
  <si>
    <t>RNA1: KP760461; RNA2: KP760462</t>
  </si>
  <si>
    <t>gentian ovary ringspot virus</t>
  </si>
  <si>
    <t>GORV</t>
  </si>
  <si>
    <t>RNA1: AB976029; RNA2: AB976030</t>
  </si>
  <si>
    <t>Hordeivirus</t>
  </si>
  <si>
    <t>Anthoxanthum latent blanching virus</t>
  </si>
  <si>
    <t>ALBV</t>
  </si>
  <si>
    <t>UK/Aberystwyth</t>
  </si>
  <si>
    <t>barley stripe mosaic virus</t>
  </si>
  <si>
    <t>BSMV</t>
  </si>
  <si>
    <t>Type strain</t>
  </si>
  <si>
    <t>Lychnis ringspot virus</t>
  </si>
  <si>
    <t>LRSV</t>
  </si>
  <si>
    <t>USA/California</t>
  </si>
  <si>
    <t>RNA2: Z46351; RNA3: Z46353</t>
  </si>
  <si>
    <t>Poa semilatent virus</t>
  </si>
  <si>
    <t>PSLV</t>
  </si>
  <si>
    <t>Canadian</t>
  </si>
  <si>
    <t>RNA2: M81486; RNA3: M81487</t>
  </si>
  <si>
    <t>Pecluvirus</t>
  </si>
  <si>
    <t>Indian peanut clump virus</t>
  </si>
  <si>
    <t>IPCV</t>
  </si>
  <si>
    <t>Hyderabad serotype</t>
  </si>
  <si>
    <t>peanut clump virus</t>
  </si>
  <si>
    <t>PCV</t>
  </si>
  <si>
    <t>87/TGTA2</t>
  </si>
  <si>
    <t>Pomovirus</t>
  </si>
  <si>
    <t>beet soil-borne virus</t>
  </si>
  <si>
    <t>BSBV</t>
  </si>
  <si>
    <t>Ahlum</t>
  </si>
  <si>
    <t>beet virus Q</t>
  </si>
  <si>
    <t>BVQ</t>
  </si>
  <si>
    <t>Koenig</t>
  </si>
  <si>
    <t>RNA1: AJ223596; RNA2: AJ223597; RNA3: AJ223598</t>
  </si>
  <si>
    <t>broad bean necrosis virus</t>
  </si>
  <si>
    <t>BBNV</t>
  </si>
  <si>
    <t>RNA1: D86636; RNA2: D86637; RNA3: D86638</t>
  </si>
  <si>
    <t>Colombian potato soil-borne virus</t>
  </si>
  <si>
    <t>CPSBV</t>
  </si>
  <si>
    <t>IS9</t>
  </si>
  <si>
    <t>RNA1: KT225271; RNA2: KT225272; RNA3: KT225273</t>
  </si>
  <si>
    <t>potato mop-top virus</t>
  </si>
  <si>
    <t>PMTV</t>
  </si>
  <si>
    <t>Swedish</t>
  </si>
  <si>
    <t>RNA1: AJ238607; RNA2: AJ243719; RNA3: AJ277556</t>
  </si>
  <si>
    <t>Tobamovirus</t>
  </si>
  <si>
    <t>bell pepper mottle virus</t>
  </si>
  <si>
    <t>BPMV</t>
  </si>
  <si>
    <t>DQ355023</t>
  </si>
  <si>
    <t>Brugmansia mild mottle virus</t>
  </si>
  <si>
    <t>BrMMV</t>
  </si>
  <si>
    <t>AM398436</t>
  </si>
  <si>
    <t>cactus mild mottle virus</t>
  </si>
  <si>
    <t>CMMoV</t>
  </si>
  <si>
    <t>Kr</t>
  </si>
  <si>
    <t>EU043335</t>
  </si>
  <si>
    <t>Clitoria yellow mottle virus</t>
  </si>
  <si>
    <t>CliYMV</t>
  </si>
  <si>
    <t>Larrimah</t>
  </si>
  <si>
    <t>JN566124</t>
  </si>
  <si>
    <t>cucumber fruit mottle mosaic virus</t>
  </si>
  <si>
    <t>CFMMV</t>
  </si>
  <si>
    <t>AF321057</t>
  </si>
  <si>
    <t>cucumber green mottle mosaic virus</t>
  </si>
  <si>
    <t>CGMMV</t>
  </si>
  <si>
    <t>SH</t>
  </si>
  <si>
    <t>D12505</t>
  </si>
  <si>
    <t>cucumber mottle virus</t>
  </si>
  <si>
    <t>CMoV</t>
  </si>
  <si>
    <t>Kubota</t>
  </si>
  <si>
    <t>AB261167</t>
  </si>
  <si>
    <t>Frangipani mosaic virus</t>
  </si>
  <si>
    <t>FrMV</t>
  </si>
  <si>
    <t>P</t>
  </si>
  <si>
    <t>HM026454</t>
  </si>
  <si>
    <t>Hibiscus latent Fort Pierce virus</t>
  </si>
  <si>
    <t>HLFPV</t>
  </si>
  <si>
    <t>J</t>
  </si>
  <si>
    <t>AB917427</t>
  </si>
  <si>
    <t>Hibiscus latent Singapore virus</t>
  </si>
  <si>
    <t>HLSV</t>
  </si>
  <si>
    <t>Singapore</t>
  </si>
  <si>
    <t>AF395898</t>
  </si>
  <si>
    <t>Kyuri green mottle mosaic virus</t>
  </si>
  <si>
    <t>KGMMV</t>
  </si>
  <si>
    <t>C1</t>
  </si>
  <si>
    <t>AJ295948</t>
  </si>
  <si>
    <t>maracuja mosaic virus</t>
  </si>
  <si>
    <t>MarMV</t>
  </si>
  <si>
    <t>DQ356949</t>
  </si>
  <si>
    <t>Obuda pepper virus</t>
  </si>
  <si>
    <t>ObPV</t>
  </si>
  <si>
    <t>Ob</t>
  </si>
  <si>
    <t>D13438</t>
  </si>
  <si>
    <t>Odontoglossum ringspot virus</t>
  </si>
  <si>
    <t>ORSV</t>
  </si>
  <si>
    <t>18KDa coat protein</t>
  </si>
  <si>
    <t>X82130</t>
  </si>
  <si>
    <t>Sammons's Opuntia virus</t>
  </si>
  <si>
    <t>SOV</t>
  </si>
  <si>
    <t>paprika mild mottle virus</t>
  </si>
  <si>
    <t>PaMMV</t>
  </si>
  <si>
    <t>Japanese</t>
  </si>
  <si>
    <t>AB089381</t>
  </si>
  <si>
    <t>passion fruit mosaic virus</t>
  </si>
  <si>
    <t>PFMV</t>
  </si>
  <si>
    <t>HQ389540</t>
  </si>
  <si>
    <t>pepper mild mottle virus</t>
  </si>
  <si>
    <t>PMMoV</t>
  </si>
  <si>
    <t>M81413</t>
  </si>
  <si>
    <t>Plumeria mosaic virus</t>
  </si>
  <si>
    <t>PluMV</t>
  </si>
  <si>
    <t>Plu-Ind-1</t>
  </si>
  <si>
    <t>KJ395757</t>
  </si>
  <si>
    <t>rattail cactus necrosis-associated virus</t>
  </si>
  <si>
    <t>RCNaV</t>
  </si>
  <si>
    <t>South Korea</t>
  </si>
  <si>
    <t>JF729471</t>
  </si>
  <si>
    <t>Rehmannia mosaic virus</t>
  </si>
  <si>
    <t>RheMV</t>
  </si>
  <si>
    <t>Henan</t>
  </si>
  <si>
    <t>EF375551</t>
  </si>
  <si>
    <t>ribgrass mosaic virus</t>
  </si>
  <si>
    <t>RMV</t>
  </si>
  <si>
    <t>Kons.1105-R14</t>
  </si>
  <si>
    <t>HQ667979</t>
  </si>
  <si>
    <t>Streptocarpus flower break virus</t>
  </si>
  <si>
    <t>SFBV</t>
  </si>
  <si>
    <t>Willingmann</t>
  </si>
  <si>
    <t>AM040955</t>
  </si>
  <si>
    <t>sunn-hemp mosaic virus</t>
  </si>
  <si>
    <t>SHMV</t>
  </si>
  <si>
    <t>tobacco latent virus; Nigerian tobacco latent virus</t>
  </si>
  <si>
    <t>TLV1</t>
  </si>
  <si>
    <t>AY137775</t>
  </si>
  <si>
    <t>tobacco mild green mosaic virus</t>
  </si>
  <si>
    <t>TMGMV</t>
  </si>
  <si>
    <t>Solis</t>
  </si>
  <si>
    <t>M34077</t>
  </si>
  <si>
    <t>tobacco mosaic virus</t>
  </si>
  <si>
    <t>TMV</t>
  </si>
  <si>
    <t>V01408</t>
  </si>
  <si>
    <t>tomato brown rugose fruit virus</t>
  </si>
  <si>
    <t>TBRFV</t>
  </si>
  <si>
    <t>Tom1-Jo</t>
  </si>
  <si>
    <t>KT383474</t>
  </si>
  <si>
    <t>tomato mosaic virus</t>
  </si>
  <si>
    <t>ToMV</t>
  </si>
  <si>
    <t>Queensland</t>
  </si>
  <si>
    <t>AF332868</t>
  </si>
  <si>
    <t>tomato mottle mosaic virus</t>
  </si>
  <si>
    <t>MX5</t>
  </si>
  <si>
    <t>KF477193</t>
  </si>
  <si>
    <t>tropical soda apple mosaic virus</t>
  </si>
  <si>
    <t>TSAMV</t>
  </si>
  <si>
    <t>Okeechobee</t>
  </si>
  <si>
    <t>KU659022</t>
  </si>
  <si>
    <t>turnip vein-clearing virus</t>
  </si>
  <si>
    <t>TVCV</t>
  </si>
  <si>
    <t>OSU</t>
  </si>
  <si>
    <t>U03387</t>
  </si>
  <si>
    <t>Ullucus mild mottle virus</t>
  </si>
  <si>
    <t>UMMV</t>
  </si>
  <si>
    <t>wasabi mottle virus</t>
  </si>
  <si>
    <t>WMoV</t>
  </si>
  <si>
    <t>Shizuoka</t>
  </si>
  <si>
    <t>AB017503</t>
  </si>
  <si>
    <t>yellow tailflower mild mottle virus</t>
  </si>
  <si>
    <t>YTMMV</t>
  </si>
  <si>
    <t>Cervantes</t>
  </si>
  <si>
    <t>KF495564</t>
  </si>
  <si>
    <t>youcai mosaic virus; oil-seed rape mosaic virus</t>
  </si>
  <si>
    <t>YoMV</t>
  </si>
  <si>
    <t>U30944</t>
  </si>
  <si>
    <t>zucchini green mottle mosaic virus</t>
  </si>
  <si>
    <t>ZGMMV</t>
  </si>
  <si>
    <t>K</t>
  </si>
  <si>
    <t>AJ295949</t>
  </si>
  <si>
    <t>Tobravirus</t>
  </si>
  <si>
    <t>pea early-browning virus</t>
  </si>
  <si>
    <t>PEBV</t>
  </si>
  <si>
    <t>SP5</t>
  </si>
  <si>
    <t>RNA1: X14006; RNA2: X51828</t>
  </si>
  <si>
    <t>pepper ringspot virus</t>
  </si>
  <si>
    <t>PepRSV</t>
  </si>
  <si>
    <t>CAM</t>
  </si>
  <si>
    <t>RNA1: L23972; RNA2: X03241</t>
  </si>
  <si>
    <t>tobacco rattle virus</t>
  </si>
  <si>
    <t>TRV</t>
  </si>
  <si>
    <t>PpK20</t>
  </si>
  <si>
    <t>RNA1: AF166084; RNA2: Z36974</t>
  </si>
  <si>
    <t>Tymovirales</t>
  </si>
  <si>
    <t>Alphaflexiviridae</t>
  </si>
  <si>
    <t>Allexivirus</t>
  </si>
  <si>
    <t>Alfalfa virus S</t>
  </si>
  <si>
    <t>AVS</t>
  </si>
  <si>
    <t>98.3A</t>
  </si>
  <si>
    <t>KY696659</t>
  </si>
  <si>
    <t>Arachis pintoi virus</t>
  </si>
  <si>
    <t>ApV</t>
  </si>
  <si>
    <t>Var A</t>
  </si>
  <si>
    <t>KX058345</t>
  </si>
  <si>
    <t>blackberry virus E</t>
  </si>
  <si>
    <t>BVE</t>
  </si>
  <si>
    <t>BB_Ellis-1</t>
  </si>
  <si>
    <t>JN053266</t>
  </si>
  <si>
    <t>garlic mite-borne filamentous virus</t>
  </si>
  <si>
    <t>GarMbFV</t>
  </si>
  <si>
    <t>X98991</t>
  </si>
  <si>
    <t>Senna severe yellow mosaic virus</t>
  </si>
  <si>
    <t>SSYMV</t>
  </si>
  <si>
    <t>MN031278</t>
  </si>
  <si>
    <t>Vanilla latent virus</t>
  </si>
  <si>
    <t>VLV</t>
  </si>
  <si>
    <t>CRV2148ALL</t>
  </si>
  <si>
    <t>MF150239</t>
  </si>
  <si>
    <t>Acarallexivirus</t>
  </si>
  <si>
    <t>garlic virus A</t>
  </si>
  <si>
    <t>GarVA</t>
  </si>
  <si>
    <t>Sumi</t>
  </si>
  <si>
    <t>AB010300</t>
  </si>
  <si>
    <t>garlic virus B</t>
  </si>
  <si>
    <t>GarVB</t>
  </si>
  <si>
    <t>Mesi 13</t>
  </si>
  <si>
    <t>KM379144</t>
  </si>
  <si>
    <t>garlic virus C</t>
  </si>
  <si>
    <t>GarVC</t>
  </si>
  <si>
    <t>AB010302</t>
  </si>
  <si>
    <t>garlic virus D</t>
  </si>
  <si>
    <t>GarVD</t>
  </si>
  <si>
    <t>SW10</t>
  </si>
  <si>
    <t>KF555653</t>
  </si>
  <si>
    <t>garlic virus E</t>
  </si>
  <si>
    <t>GarVE</t>
  </si>
  <si>
    <t>AJ292230</t>
  </si>
  <si>
    <t>garlic virus X</t>
  </si>
  <si>
    <t>GarVX</t>
  </si>
  <si>
    <t>Korea</t>
  </si>
  <si>
    <t>U89243</t>
  </si>
  <si>
    <t>shallot virus X</t>
  </si>
  <si>
    <t>ShVX</t>
  </si>
  <si>
    <t>Kanyuka</t>
  </si>
  <si>
    <t>M97264</t>
  </si>
  <si>
    <t>Botrexvirus</t>
  </si>
  <si>
    <t>Botrytis virus X</t>
  </si>
  <si>
    <t>BotVX</t>
  </si>
  <si>
    <t>Howitt</t>
  </si>
  <si>
    <t>AY055762</t>
  </si>
  <si>
    <t>Lolavirus</t>
  </si>
  <si>
    <t>lolium latent virus</t>
  </si>
  <si>
    <t>LoLV</t>
  </si>
  <si>
    <t>US1</t>
  </si>
  <si>
    <t>EU489641</t>
  </si>
  <si>
    <t>Platypuvirus</t>
  </si>
  <si>
    <t>donkey orchid symptomless virus</t>
  </si>
  <si>
    <t>DOSV</t>
  </si>
  <si>
    <t>Mariginiup11</t>
  </si>
  <si>
    <t>KC923234</t>
  </si>
  <si>
    <t>Potexvirus</t>
  </si>
  <si>
    <t>allium virus X</t>
  </si>
  <si>
    <t>AVX</t>
  </si>
  <si>
    <t>FJ670570</t>
  </si>
  <si>
    <t>alstroemeria virus X</t>
  </si>
  <si>
    <t>AlsVX</t>
  </si>
  <si>
    <t>AB206396</t>
  </si>
  <si>
    <t>alternanthera mosaic virus</t>
  </si>
  <si>
    <t>AltMV</t>
  </si>
  <si>
    <t>Pennsylavania</t>
  </si>
  <si>
    <t>AY863024</t>
  </si>
  <si>
    <t>Ambrosia asymptomatic virus 1</t>
  </si>
  <si>
    <t>AAV1</t>
  </si>
  <si>
    <t>KF421905</t>
  </si>
  <si>
    <t>asparagus virus 3</t>
  </si>
  <si>
    <t>AV3</t>
  </si>
  <si>
    <t>AB304848</t>
  </si>
  <si>
    <t>scallion virus X</t>
  </si>
  <si>
    <t>SVX</t>
  </si>
  <si>
    <t>Babaco mosaic virus</t>
  </si>
  <si>
    <t>BabMV</t>
  </si>
  <si>
    <t>MF978248</t>
  </si>
  <si>
    <t>bamboo mosaic virus</t>
  </si>
  <si>
    <t>BaMV</t>
  </si>
  <si>
    <t>O</t>
  </si>
  <si>
    <t>D26017</t>
  </si>
  <si>
    <t>cactus virus X</t>
  </si>
  <si>
    <t>CVX</t>
  </si>
  <si>
    <t>AF308158</t>
  </si>
  <si>
    <t>Cassava Colombian symptomless virus</t>
  </si>
  <si>
    <t>CsCSV</t>
  </si>
  <si>
    <t>KC505252</t>
  </si>
  <si>
    <t>cassava common mosaic virus</t>
  </si>
  <si>
    <t>CsCMV</t>
  </si>
  <si>
    <t>Brazilian</t>
  </si>
  <si>
    <t>U23414</t>
  </si>
  <si>
    <t>cassava virus X</t>
  </si>
  <si>
    <t>CsVX</t>
  </si>
  <si>
    <t>Ven164</t>
  </si>
  <si>
    <t>KY288487</t>
  </si>
  <si>
    <t>clover yellow mosaic virus</t>
  </si>
  <si>
    <t>Sit</t>
  </si>
  <si>
    <t>D29630</t>
  </si>
  <si>
    <t>Cnidium virus X</t>
  </si>
  <si>
    <t>CnVX</t>
  </si>
  <si>
    <t>LC460456</t>
  </si>
  <si>
    <t>cymbidium mosaic virus</t>
  </si>
  <si>
    <t>CymMV</t>
  </si>
  <si>
    <t>U62963</t>
  </si>
  <si>
    <t>Euonymus yellow mottle associated virus</t>
  </si>
  <si>
    <t>EYMaV</t>
  </si>
  <si>
    <t>MK572000</t>
  </si>
  <si>
    <t>Euonymus yellow vein virus </t>
  </si>
  <si>
    <t>MF078061</t>
  </si>
  <si>
    <t>foxtail mosaic virus</t>
  </si>
  <si>
    <t>FoMV</t>
  </si>
  <si>
    <t>Bancroft</t>
  </si>
  <si>
    <t>M62730</t>
  </si>
  <si>
    <t>hosta virus X</t>
  </si>
  <si>
    <t>HVX</t>
  </si>
  <si>
    <t>AJ620114</t>
  </si>
  <si>
    <t>hydrangea ringspot virus</t>
  </si>
  <si>
    <t>HdRSV</t>
  </si>
  <si>
    <t>PD 109</t>
  </si>
  <si>
    <t>AY707100</t>
  </si>
  <si>
    <t>lagenaria mild mosaic virus</t>
  </si>
  <si>
    <t>LMMV</t>
  </si>
  <si>
    <t>AB546335</t>
  </si>
  <si>
    <t>lettuce virus X</t>
  </si>
  <si>
    <t>LeVX</t>
  </si>
  <si>
    <t>Karaj</t>
  </si>
  <si>
    <t>AM745758</t>
  </si>
  <si>
    <t>lily virus X</t>
  </si>
  <si>
    <t>LVX</t>
  </si>
  <si>
    <t>AJ633822</t>
  </si>
  <si>
    <t>malva mosaic virus</t>
  </si>
  <si>
    <t>MalMV</t>
  </si>
  <si>
    <t>Cote</t>
  </si>
  <si>
    <t>DQ660333</t>
  </si>
  <si>
    <t>mint virus X</t>
  </si>
  <si>
    <t>MVX</t>
  </si>
  <si>
    <t>AY789138</t>
  </si>
  <si>
    <t>narcissus mosaic virus</t>
  </si>
  <si>
    <t>NMV</t>
  </si>
  <si>
    <t>Zuidema</t>
  </si>
  <si>
    <t>D13747</t>
  </si>
  <si>
    <t>nerine virus X</t>
  </si>
  <si>
    <t>NVX</t>
  </si>
  <si>
    <t>AB219105</t>
  </si>
  <si>
    <t>opuntia virus X</t>
  </si>
  <si>
    <t>OpVX</t>
  </si>
  <si>
    <t>CC10</t>
  </si>
  <si>
    <t>AY366209</t>
  </si>
  <si>
    <t>papaya mosaic virus</t>
  </si>
  <si>
    <t>PapMV</t>
  </si>
  <si>
    <t>D13957</t>
  </si>
  <si>
    <t>pepino mosaic virus</t>
  </si>
  <si>
    <t>PepMV</t>
  </si>
  <si>
    <t>Sp-13</t>
  </si>
  <si>
    <t>AF484251</t>
  </si>
  <si>
    <t>phaius virus X</t>
  </si>
  <si>
    <t>PhVX</t>
  </si>
  <si>
    <t>AB353071</t>
  </si>
  <si>
    <t>Pitaya virus X</t>
  </si>
  <si>
    <t>PiVX</t>
  </si>
  <si>
    <t>P37</t>
  </si>
  <si>
    <t>JF930327</t>
  </si>
  <si>
    <t>plantago asiatica mosaic virus</t>
  </si>
  <si>
    <t>PlAMV</t>
  </si>
  <si>
    <t>Solovyev</t>
  </si>
  <si>
    <t>Z21647</t>
  </si>
  <si>
    <t>plantain virus X</t>
  </si>
  <si>
    <t>PlVX</t>
  </si>
  <si>
    <t>KR872420</t>
  </si>
  <si>
    <t>potato aucuba mosaic virus</t>
  </si>
  <si>
    <t>PAMV</t>
  </si>
  <si>
    <t>Xu</t>
  </si>
  <si>
    <t>S73580</t>
  </si>
  <si>
    <t>potato virus X</t>
  </si>
  <si>
    <t>PVX</t>
  </si>
  <si>
    <t>X3</t>
  </si>
  <si>
    <t>D00344</t>
  </si>
  <si>
    <t>schlumbergera virus X</t>
  </si>
  <si>
    <t>SchVX</t>
  </si>
  <si>
    <t>K11</t>
  </si>
  <si>
    <t>AY366207</t>
  </si>
  <si>
    <t>Senna mosaic virus</t>
  </si>
  <si>
    <t>SenMV</t>
  </si>
  <si>
    <t>KX196173</t>
  </si>
  <si>
    <t>strawberry mild yellow edge virus</t>
  </si>
  <si>
    <t>SMYEV</t>
  </si>
  <si>
    <t>MY-18</t>
  </si>
  <si>
    <t>D12517</t>
  </si>
  <si>
    <t>tamus red mosaic virus</t>
  </si>
  <si>
    <t>TRMV</t>
  </si>
  <si>
    <t>IT</t>
  </si>
  <si>
    <t>JN389521</t>
  </si>
  <si>
    <t>tulip virus X</t>
  </si>
  <si>
    <t>TVX</t>
  </si>
  <si>
    <t>AB066288</t>
  </si>
  <si>
    <t>Turtle grass virus X</t>
  </si>
  <si>
    <t>TGVX</t>
  </si>
  <si>
    <t>MH077559</t>
  </si>
  <si>
    <t>Vanilla virus X</t>
  </si>
  <si>
    <t>VaVX</t>
  </si>
  <si>
    <t>CRV2148POT</t>
  </si>
  <si>
    <t>MF150240</t>
  </si>
  <si>
    <t>white clover mosaic virus</t>
  </si>
  <si>
    <t>WClMV</t>
  </si>
  <si>
    <t>Forster</t>
  </si>
  <si>
    <t>X06728</t>
  </si>
  <si>
    <t>yam virus X</t>
  </si>
  <si>
    <t>YVX</t>
  </si>
  <si>
    <t>T551</t>
  </si>
  <si>
    <t>KJ711908</t>
  </si>
  <si>
    <t>zygocactus virus X</t>
  </si>
  <si>
    <t>ZyVX</t>
  </si>
  <si>
    <t>B1</t>
  </si>
  <si>
    <t>AY366208</t>
  </si>
  <si>
    <t>Mandarivirus</t>
  </si>
  <si>
    <t>citrus yellow mottle-associated virus</t>
  </si>
  <si>
    <t>CiYMaV</t>
  </si>
  <si>
    <t>CiYMaV-PS</t>
  </si>
  <si>
    <t>MK957246</t>
  </si>
  <si>
    <t>citrus yellow vein clearing virus</t>
  </si>
  <si>
    <t>CYVCV</t>
  </si>
  <si>
    <t>CQ</t>
  </si>
  <si>
    <t>KP313240</t>
  </si>
  <si>
    <t>Indian citrus ringspot virus</t>
  </si>
  <si>
    <t>ICRSV</t>
  </si>
  <si>
    <t>K1</t>
  </si>
  <si>
    <t>AF406744</t>
  </si>
  <si>
    <t>Sclerodarnavirus</t>
  </si>
  <si>
    <t>Sclerotinia sclerotiorum debilitation-associated RNA virus</t>
  </si>
  <si>
    <t>SsDRV</t>
  </si>
  <si>
    <t>AY147260</t>
  </si>
  <si>
    <t>Betaflexiviridae</t>
  </si>
  <si>
    <t>Quinvirinae</t>
  </si>
  <si>
    <t>banana virus X</t>
  </si>
  <si>
    <t>BVX</t>
  </si>
  <si>
    <t>Som</t>
  </si>
  <si>
    <t>AY710267</t>
  </si>
  <si>
    <t>Banmivirus</t>
  </si>
  <si>
    <t>banana mild mosaic virus</t>
  </si>
  <si>
    <t>BanMMV</t>
  </si>
  <si>
    <t>Gambley</t>
  </si>
  <si>
    <t>AF314662</t>
  </si>
  <si>
    <t>Musa ornata-associated banmivirus</t>
  </si>
  <si>
    <t>MoaBV</t>
  </si>
  <si>
    <t>ITC0528</t>
  </si>
  <si>
    <t>OK721096</t>
  </si>
  <si>
    <t>Carlavirus</t>
  </si>
  <si>
    <t>aconitum latent virus</t>
  </si>
  <si>
    <t>AcLV</t>
  </si>
  <si>
    <t>D</t>
  </si>
  <si>
    <t>AB051848</t>
  </si>
  <si>
    <t>american hop latent virus</t>
  </si>
  <si>
    <t>AHLV</t>
  </si>
  <si>
    <t>Bittergold</t>
  </si>
  <si>
    <t>JQ245696</t>
  </si>
  <si>
    <t>Atractylodes mottle virus</t>
  </si>
  <si>
    <t>AtrMV</t>
  </si>
  <si>
    <t>SK</t>
  </si>
  <si>
    <t>KR349343</t>
  </si>
  <si>
    <t>blueberry scorch virus</t>
  </si>
  <si>
    <t>BlScV</t>
  </si>
  <si>
    <t>NJ-2</t>
  </si>
  <si>
    <t>L25658</t>
  </si>
  <si>
    <t>butterbur mosaic virus</t>
  </si>
  <si>
    <t>BuMV</t>
  </si>
  <si>
    <t>AB517596</t>
  </si>
  <si>
    <t>cactus virus 2</t>
  </si>
  <si>
    <t>caper latent virus</t>
  </si>
  <si>
    <t>CapLV</t>
  </si>
  <si>
    <t>L7</t>
  </si>
  <si>
    <t>HQ588147</t>
  </si>
  <si>
    <t>aconite virus A</t>
  </si>
  <si>
    <t>AcVA</t>
  </si>
  <si>
    <t>MN944106</t>
  </si>
  <si>
    <t>Agapanthus carlavirus B</t>
  </si>
  <si>
    <t>AgCVB</t>
  </si>
  <si>
    <t>Stellenbosch</t>
  </si>
  <si>
    <t>MW303999</t>
  </si>
  <si>
    <t>birch carlavirus</t>
  </si>
  <si>
    <t>BiCV</t>
  </si>
  <si>
    <t>BpenGer407526_5M</t>
  </si>
  <si>
    <t>MH536506</t>
  </si>
  <si>
    <t>cactus carlavirus 1</t>
  </si>
  <si>
    <t>CCV-1</t>
  </si>
  <si>
    <t>Professor Ebert</t>
  </si>
  <si>
    <t>MK415316</t>
  </si>
  <si>
    <t>cactus carlavirus 2</t>
  </si>
  <si>
    <t>CCV-2</t>
  </si>
  <si>
    <t>MK415317</t>
  </si>
  <si>
    <t>Clivia carlavirus A</t>
  </si>
  <si>
    <t>ClCVA</t>
  </si>
  <si>
    <t>19-3040</t>
  </si>
  <si>
    <t>MT533598</t>
  </si>
  <si>
    <t>chrysanthemum virus R</t>
  </si>
  <si>
    <t>CVR</t>
  </si>
  <si>
    <t>MG432107</t>
  </si>
  <si>
    <t>papaya mild mottle associated virus</t>
  </si>
  <si>
    <t>PaMMaV</t>
  </si>
  <si>
    <t>KE-Kwa-02</t>
  </si>
  <si>
    <t>MK984598</t>
  </si>
  <si>
    <t>papaya mottle-associated virus</t>
  </si>
  <si>
    <t>PapMaV</t>
  </si>
  <si>
    <t>KE-Mer-04</t>
  </si>
  <si>
    <t>MK984600</t>
  </si>
  <si>
    <t>pepper virus A</t>
  </si>
  <si>
    <t>PepVA</t>
  </si>
  <si>
    <t>TW</t>
  </si>
  <si>
    <t>KU726694</t>
  </si>
  <si>
    <t>rose virus A</t>
  </si>
  <si>
    <t>RoVA</t>
  </si>
  <si>
    <t>R11</t>
  </si>
  <si>
    <t>MN053272</t>
  </si>
  <si>
    <t>rose virus B</t>
  </si>
  <si>
    <t>R12</t>
  </si>
  <si>
    <t>MT473961</t>
  </si>
  <si>
    <t>soybean carlavirus 1</t>
  </si>
  <si>
    <t>SCV1</t>
  </si>
  <si>
    <t>SCV1-IL</t>
  </si>
  <si>
    <t>MW176107</t>
  </si>
  <si>
    <t>shallot virus S</t>
  </si>
  <si>
    <t>ShVS</t>
  </si>
  <si>
    <t>13-17</t>
  </si>
  <si>
    <t>MH292861</t>
  </si>
  <si>
    <t>carnation latent virus</t>
  </si>
  <si>
    <t>CLV</t>
  </si>
  <si>
    <t>AJ010697</t>
  </si>
  <si>
    <t>chrysanthemum virus B</t>
  </si>
  <si>
    <t>CVB</t>
  </si>
  <si>
    <t>Punjab</t>
  </si>
  <si>
    <t>AM493895</t>
  </si>
  <si>
    <t>cole latent virus</t>
  </si>
  <si>
    <t>CoLV</t>
  </si>
  <si>
    <t>AY340584</t>
  </si>
  <si>
    <t>coleus vein necrosis virus</t>
  </si>
  <si>
    <t>CVNV</t>
  </si>
  <si>
    <t>EF527260</t>
  </si>
  <si>
    <t>cowpea mild mottle virus</t>
  </si>
  <si>
    <t>CPMMV</t>
  </si>
  <si>
    <t>Ghana</t>
  </si>
  <si>
    <t>HQ184471</t>
  </si>
  <si>
    <t>cucumber vein-clearing virus</t>
  </si>
  <si>
    <t>CvCV</t>
  </si>
  <si>
    <t>PV-0985</t>
  </si>
  <si>
    <t>JN591720</t>
  </si>
  <si>
    <t>daphne virus S</t>
  </si>
  <si>
    <t>DVS</t>
  </si>
  <si>
    <t>AJ620300</t>
  </si>
  <si>
    <t>gaillardia latent virus</t>
  </si>
  <si>
    <t>5/18-05-2010</t>
  </si>
  <si>
    <t>KJ415259</t>
  </si>
  <si>
    <t>garlic common latent virus</t>
  </si>
  <si>
    <t>GarCLV</t>
  </si>
  <si>
    <t>WA-1</t>
  </si>
  <si>
    <t>JF320810</t>
  </si>
  <si>
    <t>helenium virus S</t>
  </si>
  <si>
    <t>HVS</t>
  </si>
  <si>
    <t>D10454</t>
  </si>
  <si>
    <t>helleborus mosaic virus</t>
  </si>
  <si>
    <t>HMV</t>
  </si>
  <si>
    <t>FJ196838</t>
  </si>
  <si>
    <t>helleborus net necrosis virus</t>
  </si>
  <si>
    <t>HNNV</t>
  </si>
  <si>
    <t>G5</t>
  </si>
  <si>
    <t>FJ196835</t>
  </si>
  <si>
    <t>hippeastrum latent virus</t>
  </si>
  <si>
    <t>HLV</t>
  </si>
  <si>
    <t>DQ098905</t>
  </si>
  <si>
    <t>hop latent virus</t>
  </si>
  <si>
    <t>HpLV</t>
  </si>
  <si>
    <t>AB032469</t>
  </si>
  <si>
    <t>hop mosaic virus</t>
  </si>
  <si>
    <t>HpMV</t>
  </si>
  <si>
    <t>EU527979</t>
  </si>
  <si>
    <t>hydrangea chlorotic mottle virus</t>
  </si>
  <si>
    <t>HCMV</t>
  </si>
  <si>
    <t>NZ</t>
  </si>
  <si>
    <t>EU754720</t>
  </si>
  <si>
    <t>kalanchoë latent virus</t>
  </si>
  <si>
    <t>KLV</t>
  </si>
  <si>
    <t>PV-0290B</t>
  </si>
  <si>
    <t>FJ531634</t>
  </si>
  <si>
    <t>ligustrum necrotic ringspot virus</t>
  </si>
  <si>
    <t>LNRSV</t>
  </si>
  <si>
    <t>EU074853</t>
  </si>
  <si>
    <t>Ligustrum virus A</t>
  </si>
  <si>
    <t>LiVA</t>
  </si>
  <si>
    <t>KX000914</t>
  </si>
  <si>
    <t>lily symptomless virus</t>
  </si>
  <si>
    <t>LSLV</t>
  </si>
  <si>
    <t>AJ516059</t>
  </si>
  <si>
    <t>melon yellowing-associated virus</t>
  </si>
  <si>
    <t>MYaV</t>
  </si>
  <si>
    <t>M22</t>
  </si>
  <si>
    <t>LC224308</t>
  </si>
  <si>
    <t>Mirabilis jalapa mottle virus</t>
  </si>
  <si>
    <t>MjMV</t>
  </si>
  <si>
    <t>JN039374</t>
  </si>
  <si>
    <t>narcissus common latent virus</t>
  </si>
  <si>
    <t>NCLV</t>
  </si>
  <si>
    <t>Zhangzhou</t>
  </si>
  <si>
    <t>AM158439</t>
  </si>
  <si>
    <t>nerine latent virus</t>
  </si>
  <si>
    <t>NeLV</t>
  </si>
  <si>
    <t>Hangzhou-2005</t>
  </si>
  <si>
    <t>AM182569</t>
  </si>
  <si>
    <t>passiflora latent virus</t>
  </si>
  <si>
    <t>PLV</t>
  </si>
  <si>
    <t>Israel</t>
  </si>
  <si>
    <t>DQ455582</t>
  </si>
  <si>
    <t>pea streak virus</t>
  </si>
  <si>
    <t>PeSV</t>
  </si>
  <si>
    <t>PV-264</t>
  </si>
  <si>
    <t>KP784454</t>
  </si>
  <si>
    <t>phlox virus B</t>
  </si>
  <si>
    <t>PhVB</t>
  </si>
  <si>
    <t>WP</t>
  </si>
  <si>
    <t>EU162589</t>
  </si>
  <si>
    <t>phlox virus M</t>
  </si>
  <si>
    <t>PhVM</t>
  </si>
  <si>
    <t>CA</t>
  </si>
  <si>
    <t>FJ159381</t>
  </si>
  <si>
    <t>phlox virus S</t>
  </si>
  <si>
    <t>PhVS</t>
  </si>
  <si>
    <t>BR</t>
  </si>
  <si>
    <t>EF492068</t>
  </si>
  <si>
    <t>poplar mosaic virus</t>
  </si>
  <si>
    <t>PopMV</t>
  </si>
  <si>
    <t>PV-0341</t>
  </si>
  <si>
    <t>AY505475</t>
  </si>
  <si>
    <t>potato latent virus</t>
  </si>
  <si>
    <t>PotLV</t>
  </si>
  <si>
    <t>EU433397</t>
  </si>
  <si>
    <t>potato virus H</t>
  </si>
  <si>
    <t>PotVH</t>
  </si>
  <si>
    <t>YN</t>
  </si>
  <si>
    <t>JQ904630</t>
  </si>
  <si>
    <t>potato virus M</t>
  </si>
  <si>
    <t>PotVM</t>
  </si>
  <si>
    <t>Russian wild</t>
  </si>
  <si>
    <t>D14449</t>
  </si>
  <si>
    <t>potato virus P</t>
  </si>
  <si>
    <t>PotVP</t>
  </si>
  <si>
    <t>Arg</t>
  </si>
  <si>
    <t>EU020009</t>
  </si>
  <si>
    <t>potato virus S</t>
  </si>
  <si>
    <t>PotVS</t>
  </si>
  <si>
    <t>Leona</t>
  </si>
  <si>
    <t>AJ863509</t>
  </si>
  <si>
    <t>red clover vein mosaic virus</t>
  </si>
  <si>
    <t>RCVMV</t>
  </si>
  <si>
    <t>Washington</t>
  </si>
  <si>
    <t>FJ685618</t>
  </si>
  <si>
    <t>elderberry carlavirus C</t>
  </si>
  <si>
    <t>SVC</t>
  </si>
  <si>
    <t>EBCVC</t>
  </si>
  <si>
    <t>KJ572562</t>
  </si>
  <si>
    <t>elderberry carlavirus D</t>
  </si>
  <si>
    <t>SVD</t>
  </si>
  <si>
    <t>EBCVD</t>
  </si>
  <si>
    <t>KJ572563</t>
  </si>
  <si>
    <t>elderberry carlavirus E</t>
  </si>
  <si>
    <t>SVE</t>
  </si>
  <si>
    <t>EBCVE</t>
  </si>
  <si>
    <t>KJ572564</t>
  </si>
  <si>
    <t>shallot latent virus</t>
  </si>
  <si>
    <t>YH1</t>
  </si>
  <si>
    <t>AJ292226</t>
  </si>
  <si>
    <t>Sint-jan's onion latent virus</t>
  </si>
  <si>
    <t>SJOLV</t>
  </si>
  <si>
    <t>IPO-DLO</t>
  </si>
  <si>
    <t>EU659745</t>
  </si>
  <si>
    <t>strawberry pseudo mild yellow edge virus</t>
  </si>
  <si>
    <t>SPMYEV</t>
  </si>
  <si>
    <t>sweet potato C6 virus</t>
  </si>
  <si>
    <t>SPC6V</t>
  </si>
  <si>
    <t>Sosa 29</t>
  </si>
  <si>
    <t>JX212747</t>
  </si>
  <si>
    <t>sweet potato chlorotic fleck virus</t>
  </si>
  <si>
    <t>SPCFV</t>
  </si>
  <si>
    <t>Uganda</t>
  </si>
  <si>
    <t>AY461421</t>
  </si>
  <si>
    <t>verbena latent virus</t>
  </si>
  <si>
    <t>VeLV</t>
  </si>
  <si>
    <t>FJ754643</t>
  </si>
  <si>
    <t>Yam latent virus</t>
  </si>
  <si>
    <t>YLV</t>
  </si>
  <si>
    <t>SG1</t>
  </si>
  <si>
    <t>KJ789130</t>
  </si>
  <si>
    <t>Foveavirus</t>
  </si>
  <si>
    <t>apple stem pitting virus</t>
  </si>
  <si>
    <t>ASPV</t>
  </si>
  <si>
    <t>PA66</t>
  </si>
  <si>
    <t>D21829</t>
  </si>
  <si>
    <t>apricot latent virus</t>
  </si>
  <si>
    <t>ApLV</t>
  </si>
  <si>
    <t>A18</t>
  </si>
  <si>
    <t>HQ339956</t>
  </si>
  <si>
    <t>Asian prunus virus 1</t>
  </si>
  <si>
    <t>APV1</t>
  </si>
  <si>
    <t>tatao5</t>
  </si>
  <si>
    <t>FJ824737</t>
  </si>
  <si>
    <t>Asian prunus virus 2</t>
  </si>
  <si>
    <t>APV2</t>
  </si>
  <si>
    <t>Bungo Q-1256-01</t>
  </si>
  <si>
    <t>KT893294</t>
  </si>
  <si>
    <t>cherry virus B</t>
  </si>
  <si>
    <t>ChVB</t>
  </si>
  <si>
    <t>S3</t>
  </si>
  <si>
    <t>LC373513</t>
  </si>
  <si>
    <t>camellia ringspot associated virus 4</t>
  </si>
  <si>
    <t>CRSaV-4</t>
  </si>
  <si>
    <t>Adolphe Audusson</t>
  </si>
  <si>
    <t>MT028514</t>
  </si>
  <si>
    <t>grapevine foveavirus A</t>
  </si>
  <si>
    <t>GFVA</t>
  </si>
  <si>
    <t>George-1</t>
  </si>
  <si>
    <t>MN553040</t>
  </si>
  <si>
    <t>Rubus virus 1</t>
  </si>
  <si>
    <t>RuV1</t>
  </si>
  <si>
    <t>E23</t>
  </si>
  <si>
    <t>MN944023</t>
  </si>
  <si>
    <t>grapevine rupestris stem pitting-associated virus</t>
  </si>
  <si>
    <t>GRSPaV</t>
  </si>
  <si>
    <t>AF057136</t>
  </si>
  <si>
    <t>grapevine virus T</t>
  </si>
  <si>
    <t>GVT</t>
  </si>
  <si>
    <t>Cho</t>
  </si>
  <si>
    <t>peach chlorotic mottle virus</t>
  </si>
  <si>
    <t>PCMV</t>
  </si>
  <si>
    <t>Agua-4N6</t>
  </si>
  <si>
    <t>EF693898</t>
  </si>
  <si>
    <t>Rubus canadensis virus 1</t>
  </si>
  <si>
    <t>RcV1</t>
  </si>
  <si>
    <t>BM-01</t>
  </si>
  <si>
    <t>JX277553</t>
  </si>
  <si>
    <t>Robigovirus</t>
  </si>
  <si>
    <t>african oil palm ringspot virus</t>
  </si>
  <si>
    <t>AOPRV</t>
  </si>
  <si>
    <t>Morales</t>
  </si>
  <si>
    <t>AY072921</t>
  </si>
  <si>
    <t>cherry green ring mottle virus</t>
  </si>
  <si>
    <t>CGRMV</t>
  </si>
  <si>
    <t>Zhang</t>
  </si>
  <si>
    <t>AF017780</t>
  </si>
  <si>
    <t>cherry necrotic rusty mottle virus</t>
  </si>
  <si>
    <t>CNRMV</t>
  </si>
  <si>
    <t>Rott</t>
  </si>
  <si>
    <t>AF237816</t>
  </si>
  <si>
    <t>cherry rusty mottle associated virus</t>
  </si>
  <si>
    <t>CRMAV</t>
  </si>
  <si>
    <t>95CI192R3</t>
  </si>
  <si>
    <t>KC218926</t>
  </si>
  <si>
    <t>cherry twisted leaf associated virus</t>
  </si>
  <si>
    <t>CTLAV</t>
  </si>
  <si>
    <t>KF958838</t>
  </si>
  <si>
    <t>Sustrivirus</t>
  </si>
  <si>
    <t>sugarcane striate mosaic-associated virus</t>
  </si>
  <si>
    <t>SCSMaV</t>
  </si>
  <si>
    <t>Thompson</t>
  </si>
  <si>
    <t>AF315308</t>
  </si>
  <si>
    <t>Trivirinae</t>
  </si>
  <si>
    <t>Capillovirus</t>
  </si>
  <si>
    <t>apple stem grooving virus</t>
  </si>
  <si>
    <t>ASGV</t>
  </si>
  <si>
    <t>D14995</t>
  </si>
  <si>
    <t>loquat virus A</t>
  </si>
  <si>
    <t>LoVA</t>
  </si>
  <si>
    <t>Beibei</t>
  </si>
  <si>
    <t>MK936045</t>
  </si>
  <si>
    <t>rubber tree virus 1</t>
  </si>
  <si>
    <t>RTV1</t>
  </si>
  <si>
    <t>HN/Qionghai</t>
  </si>
  <si>
    <t>MN047299</t>
  </si>
  <si>
    <t>cherry virus A</t>
  </si>
  <si>
    <t>CVA</t>
  </si>
  <si>
    <t>X82547</t>
  </si>
  <si>
    <t>currant virus A</t>
  </si>
  <si>
    <t>CuVA</t>
  </si>
  <si>
    <t>Holandsky cerveny</t>
  </si>
  <si>
    <t>KT763043</t>
  </si>
  <si>
    <t>mume virus A</t>
  </si>
  <si>
    <t>MuVA</t>
  </si>
  <si>
    <t>PM14</t>
  </si>
  <si>
    <t>MG783575</t>
  </si>
  <si>
    <t>Chordovirus</t>
  </si>
  <si>
    <t>carrot Ch virus 1</t>
  </si>
  <si>
    <t>S20</t>
  </si>
  <si>
    <t>KF533711</t>
  </si>
  <si>
    <t>carrot Ch virus 2</t>
  </si>
  <si>
    <t>CCV2</t>
  </si>
  <si>
    <t>S15</t>
  </si>
  <si>
    <t>KF533710</t>
  </si>
  <si>
    <t>hogweed virus 4</t>
  </si>
  <si>
    <t>HV4</t>
  </si>
  <si>
    <t>OK032418</t>
  </si>
  <si>
    <t>lettuce chordovirus 1</t>
  </si>
  <si>
    <t>LeCV1</t>
  </si>
  <si>
    <t>JG1</t>
  </si>
  <si>
    <t>MG208123</t>
  </si>
  <si>
    <t>Citrivirus</t>
  </si>
  <si>
    <t>citrus leaf blotch virus</t>
  </si>
  <si>
    <t>CLBV</t>
  </si>
  <si>
    <t>SRA-153</t>
  </si>
  <si>
    <t>AJ318061</t>
  </si>
  <si>
    <t>Divavirus</t>
  </si>
  <si>
    <t>diuris virus A</t>
  </si>
  <si>
    <t>DVA</t>
  </si>
  <si>
    <t>SW3.3</t>
  </si>
  <si>
    <t>JX173276</t>
  </si>
  <si>
    <t>diuris virus B</t>
  </si>
  <si>
    <t>DVB</t>
  </si>
  <si>
    <t>JX173277</t>
  </si>
  <si>
    <t>hardenbergia virus A</t>
  </si>
  <si>
    <t>HVA</t>
  </si>
  <si>
    <t>HQ241409</t>
  </si>
  <si>
    <t>Prunevirus</t>
  </si>
  <si>
    <t>actinidia seed borne latent virus</t>
  </si>
  <si>
    <t>ASbLV</t>
  </si>
  <si>
    <t>MF440375</t>
  </si>
  <si>
    <t>apricot vein clearing associated virus</t>
  </si>
  <si>
    <t>AVCAV</t>
  </si>
  <si>
    <t>VC</t>
  </si>
  <si>
    <t>HG008921</t>
  </si>
  <si>
    <t>caucasus prunus virus</t>
  </si>
  <si>
    <t>Aze204</t>
  </si>
  <si>
    <t>KM507061</t>
  </si>
  <si>
    <t>Camellia ringspot associated virus 1</t>
  </si>
  <si>
    <t>CRSaV-1</t>
  </si>
  <si>
    <t>CJ5</t>
  </si>
  <si>
    <t>MK050792</t>
  </si>
  <si>
    <t>Ravavirus</t>
  </si>
  <si>
    <t>Ribes americanum virus A</t>
  </si>
  <si>
    <t>RAVA</t>
  </si>
  <si>
    <t>Oregon</t>
  </si>
  <si>
    <t>MF166685</t>
  </si>
  <si>
    <t>Tepovirus</t>
  </si>
  <si>
    <t>potato virus T</t>
  </si>
  <si>
    <t>PVT</t>
  </si>
  <si>
    <t>EU835937</t>
  </si>
  <si>
    <t>prunus virus T</t>
  </si>
  <si>
    <t>PrVT</t>
  </si>
  <si>
    <t>Aze239</t>
  </si>
  <si>
    <t>KF700263</t>
  </si>
  <si>
    <t>Agave virus T</t>
  </si>
  <si>
    <t>AgVT</t>
  </si>
  <si>
    <t>AT</t>
  </si>
  <si>
    <t>MW323519</t>
  </si>
  <si>
    <t>cherry virus T</t>
  </si>
  <si>
    <t>ChVT</t>
  </si>
  <si>
    <t>2/15a</t>
  </si>
  <si>
    <t>MT090966</t>
  </si>
  <si>
    <t>Zostera virus T</t>
  </si>
  <si>
    <t>ZoVT</t>
  </si>
  <si>
    <t>Z1</t>
  </si>
  <si>
    <t>MK514426</t>
  </si>
  <si>
    <t>Trichovirus</t>
  </si>
  <si>
    <t>apple chlorotic leaf spot virus</t>
  </si>
  <si>
    <t>ACLSV</t>
  </si>
  <si>
    <t>P863</t>
  </si>
  <si>
    <t>M58152</t>
  </si>
  <si>
    <t>apricot pseudo-chlorotic leaf spot virus</t>
  </si>
  <si>
    <t>APCLSV</t>
  </si>
  <si>
    <t>Sus2</t>
  </si>
  <si>
    <t>AY713379</t>
  </si>
  <si>
    <t>cherry mottle leaf virus</t>
  </si>
  <si>
    <t>ChMLV</t>
  </si>
  <si>
    <t>SA1162-21</t>
  </si>
  <si>
    <t>AF170028</t>
  </si>
  <si>
    <t>grapevine berry inner necrosis virus</t>
  </si>
  <si>
    <t>GINV</t>
  </si>
  <si>
    <t>Yoshikawa</t>
  </si>
  <si>
    <t>D88448</t>
  </si>
  <si>
    <t>grapevine pinot gris virus</t>
  </si>
  <si>
    <t>GPGV</t>
  </si>
  <si>
    <t>FR877530</t>
  </si>
  <si>
    <t>peach mosaic virus</t>
  </si>
  <si>
    <t>PMoV</t>
  </si>
  <si>
    <t>2022-01</t>
  </si>
  <si>
    <t>DQ117579</t>
  </si>
  <si>
    <t>phlomis mottle virus</t>
  </si>
  <si>
    <t>AM920542</t>
  </si>
  <si>
    <t>cherry latent virus 1</t>
  </si>
  <si>
    <t>CLV-1</t>
  </si>
  <si>
    <t>Mskhvil Nakota</t>
  </si>
  <si>
    <t>MK770441</t>
  </si>
  <si>
    <t>peach chlorotic leaf spot virus</t>
  </si>
  <si>
    <t>PCLSV</t>
  </si>
  <si>
    <t>RP19-1</t>
  </si>
  <si>
    <t>MH084695</t>
  </si>
  <si>
    <t>peach virus M</t>
  </si>
  <si>
    <t>PeVM</t>
  </si>
  <si>
    <t>trichomex_2</t>
  </si>
  <si>
    <t>MK012336</t>
  </si>
  <si>
    <t>Vitivirus</t>
  </si>
  <si>
    <t>actinidia virus A</t>
  </si>
  <si>
    <t>AVA</t>
  </si>
  <si>
    <t>TP7-93A</t>
  </si>
  <si>
    <t>JN427014</t>
  </si>
  <si>
    <t>actinidia virus B</t>
  </si>
  <si>
    <t>AVB</t>
  </si>
  <si>
    <t>TP7-93B</t>
  </si>
  <si>
    <t>JN427015</t>
  </si>
  <si>
    <t>Arracacha virus V</t>
  </si>
  <si>
    <t>AVV</t>
  </si>
  <si>
    <t>CNHP</t>
  </si>
  <si>
    <t>KY392781</t>
  </si>
  <si>
    <t>blackberry virus A</t>
  </si>
  <si>
    <t>Arkansas</t>
  </si>
  <si>
    <t>MG254193</t>
  </si>
  <si>
    <t>grapevine virus A</t>
  </si>
  <si>
    <t>GVA</t>
  </si>
  <si>
    <t>Is 151</t>
  </si>
  <si>
    <t>X75433</t>
  </si>
  <si>
    <t>grapevine virus B</t>
  </si>
  <si>
    <t>GVB</t>
  </si>
  <si>
    <t>Saldarelli</t>
  </si>
  <si>
    <t>X75448</t>
  </si>
  <si>
    <t>grapevine virus D</t>
  </si>
  <si>
    <t>GVD</t>
  </si>
  <si>
    <t>Dolc</t>
  </si>
  <si>
    <t>JQ031715</t>
  </si>
  <si>
    <t>grapevine virus E</t>
  </si>
  <si>
    <t>GVE</t>
  </si>
  <si>
    <t>TvAQ7</t>
  </si>
  <si>
    <t>AB432910</t>
  </si>
  <si>
    <t>grapevine virus F</t>
  </si>
  <si>
    <t>GVF</t>
  </si>
  <si>
    <t>AUD46129</t>
  </si>
  <si>
    <t>JX105428</t>
  </si>
  <si>
    <t>grapevine virus G</t>
  </si>
  <si>
    <t>GVG</t>
  </si>
  <si>
    <t>VID561</t>
  </si>
  <si>
    <t>MF405923</t>
  </si>
  <si>
    <t>grapevine virus H</t>
  </si>
  <si>
    <t>GVH</t>
  </si>
  <si>
    <t>TT2016-3</t>
  </si>
  <si>
    <t>MF521889</t>
  </si>
  <si>
    <t>grapevine virus I</t>
  </si>
  <si>
    <t>GVI</t>
  </si>
  <si>
    <t>VID499</t>
  </si>
  <si>
    <t>MF927925</t>
  </si>
  <si>
    <t>grapevine virus J</t>
  </si>
  <si>
    <t>GVJ</t>
  </si>
  <si>
    <t>KS</t>
  </si>
  <si>
    <t>MG637048</t>
  </si>
  <si>
    <t>heracleum latent virus</t>
  </si>
  <si>
    <t>Scottish (Murant)</t>
  </si>
  <si>
    <t>X79270</t>
  </si>
  <si>
    <t>mint virus 2</t>
  </si>
  <si>
    <t>MV2</t>
  </si>
  <si>
    <t>AY913795</t>
  </si>
  <si>
    <t>blueberry green mosaic associated virus</t>
  </si>
  <si>
    <t>BGMaV</t>
  </si>
  <si>
    <t>NJ1</t>
  </si>
  <si>
    <t>MK460433</t>
  </si>
  <si>
    <t>grapevine virus L</t>
  </si>
  <si>
    <t>GVL</t>
  </si>
  <si>
    <t>TX-WAT20</t>
  </si>
  <si>
    <t>MT269788</t>
  </si>
  <si>
    <t>Wamavirus</t>
  </si>
  <si>
    <t>watermelon virus A</t>
  </si>
  <si>
    <t>WMA</t>
  </si>
  <si>
    <t>KF15</t>
  </si>
  <si>
    <t>KY363796</t>
  </si>
  <si>
    <t>Deltaflexiviridae</t>
  </si>
  <si>
    <t>Deltaflexivirus</t>
  </si>
  <si>
    <t>Fusarium graminearum deltaflexivirus 1</t>
  </si>
  <si>
    <t>FgDFV1</t>
  </si>
  <si>
    <t>BJ59</t>
  </si>
  <si>
    <t>KX015962</t>
  </si>
  <si>
    <t>Sclerotinia sclerotiorum deltaflexivirus 1</t>
  </si>
  <si>
    <t>SsDFV1</t>
  </si>
  <si>
    <t>AX19</t>
  </si>
  <si>
    <t>KT581451</t>
  </si>
  <si>
    <t>soybean leaf-associated mycoflexivirus 1</t>
  </si>
  <si>
    <t>SaNSRV1</t>
  </si>
  <si>
    <t>KT598226</t>
  </si>
  <si>
    <t>Gammaflexiviridae</t>
  </si>
  <si>
    <t>Gammaflexivirus</t>
  </si>
  <si>
    <t>Entoleuca gammaflexivirus 1</t>
  </si>
  <si>
    <t>EntGFV-1</t>
  </si>
  <si>
    <t>E97-14</t>
  </si>
  <si>
    <t>MF375883</t>
  </si>
  <si>
    <t>Pistacia-associated flexivirus 1</t>
  </si>
  <si>
    <t>PaGFV-1</t>
  </si>
  <si>
    <t>MF375884</t>
  </si>
  <si>
    <t>Mycoflexivirus</t>
  </si>
  <si>
    <t>Botrytis virus F</t>
  </si>
  <si>
    <t>BotVF</t>
  </si>
  <si>
    <t>AF238884</t>
  </si>
  <si>
    <t>Xylavirus</t>
  </si>
  <si>
    <t>Entoleuca gammaflexivirus 2</t>
  </si>
  <si>
    <t>EntFFV-2</t>
  </si>
  <si>
    <t>Pisle</t>
  </si>
  <si>
    <t>MK605686</t>
  </si>
  <si>
    <t>Tymoviridae</t>
  </si>
  <si>
    <t>Bombyx mori latent virus</t>
  </si>
  <si>
    <t>BmMLV</t>
  </si>
  <si>
    <t>AB186123</t>
  </si>
  <si>
    <t>poinsettia mosaic virus</t>
  </si>
  <si>
    <t>Bradel</t>
  </si>
  <si>
    <t>AJ271595</t>
  </si>
  <si>
    <t>Maculavirus</t>
  </si>
  <si>
    <t>grapevine fleck virus</t>
  </si>
  <si>
    <t>GFkV</t>
  </si>
  <si>
    <t>MT48</t>
  </si>
  <si>
    <t>AJ309022</t>
  </si>
  <si>
    <t>Marafivirus</t>
  </si>
  <si>
    <t>grapevine asteroid mosaic associated virus</t>
  </si>
  <si>
    <t>GAMaV</t>
  </si>
  <si>
    <t>GV30</t>
  </si>
  <si>
    <t>KX354202</t>
  </si>
  <si>
    <t>oat blue dwarf virus</t>
  </si>
  <si>
    <t>OBDV</t>
  </si>
  <si>
    <t>Edwards</t>
  </si>
  <si>
    <t>U87832</t>
  </si>
  <si>
    <t>citrus sudden death-associated virus</t>
  </si>
  <si>
    <t>CSDaV</t>
  </si>
  <si>
    <t>AY884005</t>
  </si>
  <si>
    <t>Bermuda grass etched-line virus</t>
  </si>
  <si>
    <t>BELV</t>
  </si>
  <si>
    <t>Maccheroni</t>
  </si>
  <si>
    <t>AY040531</t>
  </si>
  <si>
    <t>maize rayado fino virus</t>
  </si>
  <si>
    <t>MRFV</t>
  </si>
  <si>
    <t>Costa Rican</t>
  </si>
  <si>
    <t>AF265566</t>
  </si>
  <si>
    <t>alfalfa virus F</t>
  </si>
  <si>
    <t>AVF</t>
  </si>
  <si>
    <t>SM-1_C50</t>
  </si>
  <si>
    <t>MG676465</t>
  </si>
  <si>
    <t>nectarine marafivirus M</t>
  </si>
  <si>
    <t>NeVM</t>
  </si>
  <si>
    <t>olive latent virus 3</t>
  </si>
  <si>
    <t>OLV3</t>
  </si>
  <si>
    <t>CN1/1</t>
  </si>
  <si>
    <t>FJ444852</t>
  </si>
  <si>
    <t>peach virus D</t>
  </si>
  <si>
    <t>PeVD</t>
  </si>
  <si>
    <t>KY084481</t>
  </si>
  <si>
    <t>blackberry virus S</t>
  </si>
  <si>
    <t>BVS</t>
  </si>
  <si>
    <t>GSM-8</t>
  </si>
  <si>
    <t>FJ915122</t>
  </si>
  <si>
    <t>Sorghum almum marafivirus</t>
  </si>
  <si>
    <t>SoAMV</t>
  </si>
  <si>
    <t>SA-FL1</t>
  </si>
  <si>
    <t>MN714643</t>
  </si>
  <si>
    <t>grapevine Syrah virus 1</t>
  </si>
  <si>
    <t>GSV1</t>
  </si>
  <si>
    <t>Al Rwahnih</t>
  </si>
  <si>
    <t>FJ436028</t>
  </si>
  <si>
    <t>Tymovirus</t>
  </si>
  <si>
    <t>okra mosaic virus</t>
  </si>
  <si>
    <t>OkMV</t>
  </si>
  <si>
    <t>PV-0264</t>
  </si>
  <si>
    <t>EF554577</t>
  </si>
  <si>
    <t>Anagyris vein yellowing virus</t>
  </si>
  <si>
    <t>AVYV</t>
  </si>
  <si>
    <t>AY751780</t>
  </si>
  <si>
    <t>peanut yellow mosaic virus</t>
  </si>
  <si>
    <t>PeYMV</t>
  </si>
  <si>
    <t>Belladonna mottle virus</t>
  </si>
  <si>
    <t>BeMV</t>
  </si>
  <si>
    <t>European</t>
  </si>
  <si>
    <t>X54529</t>
  </si>
  <si>
    <t>turnip yellow mosaic virus</t>
  </si>
  <si>
    <t>TYMV</t>
  </si>
  <si>
    <t>Morch</t>
  </si>
  <si>
    <t>X07441</t>
  </si>
  <si>
    <t>Calopogonium yellow vein virus</t>
  </si>
  <si>
    <t>CalYVV</t>
  </si>
  <si>
    <t>Chayote mosaic virus</t>
  </si>
  <si>
    <t>ChaMV</t>
  </si>
  <si>
    <t>AF195000</t>
  </si>
  <si>
    <t>Chiltepin yellow mosaic virus</t>
  </si>
  <si>
    <t>FN563123</t>
  </si>
  <si>
    <t>Clitoria yellow vein virus</t>
  </si>
  <si>
    <t>CYVV</t>
  </si>
  <si>
    <t>Mackenzie</t>
  </si>
  <si>
    <t>AF035200</t>
  </si>
  <si>
    <t>wild cucumber mosaic virus</t>
  </si>
  <si>
    <t>WCMV</t>
  </si>
  <si>
    <t>AF035633</t>
  </si>
  <si>
    <t>Desmodium yellow mottle virus</t>
  </si>
  <si>
    <t>DYMoV</t>
  </si>
  <si>
    <t>Keese</t>
  </si>
  <si>
    <t>AF035201</t>
  </si>
  <si>
    <t>Dulcamara mottle virus</t>
  </si>
  <si>
    <t>DuMV</t>
  </si>
  <si>
    <t>Tzanetakis</t>
  </si>
  <si>
    <t>AY789137</t>
  </si>
  <si>
    <t>Erysimum latent virus</t>
  </si>
  <si>
    <t>ErLV</t>
  </si>
  <si>
    <t>Srifah</t>
  </si>
  <si>
    <t>AF098523</t>
  </si>
  <si>
    <t>Kennedya yellow mosaic virus</t>
  </si>
  <si>
    <t>KYMV</t>
  </si>
  <si>
    <t>Jervis Bay</t>
  </si>
  <si>
    <t>D00637</t>
  </si>
  <si>
    <t>Andean potato latent virus</t>
  </si>
  <si>
    <t>APLV</t>
  </si>
  <si>
    <t>Col</t>
  </si>
  <si>
    <t>JX508291</t>
  </si>
  <si>
    <t>tomato blistering mosaic tymovirus</t>
  </si>
  <si>
    <t>TBMT</t>
  </si>
  <si>
    <t>SC50</t>
  </si>
  <si>
    <t>KC840043</t>
  </si>
  <si>
    <t>eggplant mosaic virus</t>
  </si>
  <si>
    <t>EMV</t>
  </si>
  <si>
    <t>J04374</t>
  </si>
  <si>
    <t>melon rugose mosaic virus</t>
  </si>
  <si>
    <t>MRMV</t>
  </si>
  <si>
    <t>Andean potato mild mosaic virus</t>
  </si>
  <si>
    <t>APMMV</t>
  </si>
  <si>
    <t>Hu</t>
  </si>
  <si>
    <t>JX508290</t>
  </si>
  <si>
    <t>naranjilla chlorotic mosaic virus</t>
  </si>
  <si>
    <t>NarCMV</t>
  </si>
  <si>
    <t>Nar-21</t>
  </si>
  <si>
    <t>MG323924</t>
  </si>
  <si>
    <t>Nemesia ring necrosis virus</t>
  </si>
  <si>
    <t>NeRNV</t>
  </si>
  <si>
    <t>AY751778</t>
  </si>
  <si>
    <t>Ononis yellow mosaic virus</t>
  </si>
  <si>
    <t>Ding</t>
  </si>
  <si>
    <t>J04375</t>
  </si>
  <si>
    <t>passion fruit yellow mosaic virus</t>
  </si>
  <si>
    <t>PFYMV</t>
  </si>
  <si>
    <t>AF467107</t>
  </si>
  <si>
    <t>Petunia vein banding virus</t>
  </si>
  <si>
    <t>PetVBV</t>
  </si>
  <si>
    <t>AF210709</t>
  </si>
  <si>
    <t>Physalis mottle virus</t>
  </si>
  <si>
    <t>PhyMV</t>
  </si>
  <si>
    <t>Y16104</t>
  </si>
  <si>
    <t>Plantago mottle virus</t>
  </si>
  <si>
    <t>PlMoV</t>
  </si>
  <si>
    <t>AY751779</t>
  </si>
  <si>
    <t>naranjilla mild mosaic virus</t>
  </si>
  <si>
    <t>NarMMV</t>
  </si>
  <si>
    <t>MH784952</t>
  </si>
  <si>
    <t>Scrophularia mottle virus</t>
  </si>
  <si>
    <t>ScrMV</t>
  </si>
  <si>
    <t>AY751777</t>
  </si>
  <si>
    <t>cacao yellow mosaic virus</t>
  </si>
  <si>
    <t>X54354</t>
  </si>
  <si>
    <t>Voandzeia necrotic mosaic virus</t>
  </si>
  <si>
    <t>VNMV</t>
  </si>
  <si>
    <t>Flasuviricetes</t>
  </si>
  <si>
    <t>Amarillovirales</t>
  </si>
  <si>
    <t>Flaviviridae</t>
  </si>
  <si>
    <t>Hepacivirus</t>
  </si>
  <si>
    <t>bovine hepacivirus</t>
  </si>
  <si>
    <t>BoHV</t>
  </si>
  <si>
    <t>GER/2014</t>
  </si>
  <si>
    <t>KP641127</t>
  </si>
  <si>
    <t>guereza hepacivirus</t>
  </si>
  <si>
    <t>GHV</t>
  </si>
  <si>
    <t>1/BWC08</t>
  </si>
  <si>
    <t>KC551800</t>
  </si>
  <si>
    <t>non-primate hepacivirus</t>
  </si>
  <si>
    <t>NPHV</t>
  </si>
  <si>
    <t>NZP1</t>
  </si>
  <si>
    <t>KP325401</t>
  </si>
  <si>
    <t>rodent hepacivirus</t>
  </si>
  <si>
    <t>RHV-J</t>
  </si>
  <si>
    <t>3382/GER/2010</t>
  </si>
  <si>
    <t>KC411777</t>
  </si>
  <si>
    <t>hepatitis C virus genotype 1a</t>
  </si>
  <si>
    <t>HCV1a</t>
  </si>
  <si>
    <t>H77</t>
  </si>
  <si>
    <t>AF009606</t>
  </si>
  <si>
    <t>PT</t>
  </si>
  <si>
    <t>hepatitis C virus genotype 1b</t>
  </si>
  <si>
    <t>HCV1b</t>
  </si>
  <si>
    <t>hepatitis C virus genotype 2a</t>
  </si>
  <si>
    <t>HCV2a</t>
  </si>
  <si>
    <t>HC-J6</t>
  </si>
  <si>
    <t>hepatitis C virus genotype 2b</t>
  </si>
  <si>
    <t>HCV2b</t>
  </si>
  <si>
    <t>HC-J8</t>
  </si>
  <si>
    <t>hepatitis C virus genotype 3a</t>
  </si>
  <si>
    <t>HCV3a</t>
  </si>
  <si>
    <t>NZL1</t>
  </si>
  <si>
    <t>hepatitis C virus genotype 3k</t>
  </si>
  <si>
    <t>HCV3k</t>
  </si>
  <si>
    <t>JK049</t>
  </si>
  <si>
    <t>hepatitis C virus genotype 4a</t>
  </si>
  <si>
    <t>HCV4a</t>
  </si>
  <si>
    <t>ED43</t>
  </si>
  <si>
    <t>hepatitis C virus genotype 5a</t>
  </si>
  <si>
    <t>HCV5a</t>
  </si>
  <si>
    <t>EUH1480</t>
  </si>
  <si>
    <t>hepatitis C virus genotype 6a</t>
  </si>
  <si>
    <t>HCV6a</t>
  </si>
  <si>
    <t>euhk2</t>
  </si>
  <si>
    <t>hepatitis C virus genotype 6g</t>
  </si>
  <si>
    <t>HCV6g</t>
  </si>
  <si>
    <t>JK046</t>
  </si>
  <si>
    <t>hepatitis C virus genotype 7a</t>
  </si>
  <si>
    <t>HCV7a</t>
  </si>
  <si>
    <t>QC69</t>
  </si>
  <si>
    <t>bat hepacivirus</t>
  </si>
  <si>
    <t>BHV-K</t>
  </si>
  <si>
    <t>PDB-829</t>
  </si>
  <si>
    <t>KC796074</t>
  </si>
  <si>
    <t>RHV-F</t>
  </si>
  <si>
    <t>KC411784</t>
  </si>
  <si>
    <t>Norway rat hepacivirus 2</t>
  </si>
  <si>
    <t>NRHV2</t>
  </si>
  <si>
    <t>E43</t>
  </si>
  <si>
    <t>KJ950939</t>
  </si>
  <si>
    <t>BHV-M</t>
  </si>
  <si>
    <t>PDB-491.1</t>
  </si>
  <si>
    <t>KC796078</t>
  </si>
  <si>
    <t>RHV-E</t>
  </si>
  <si>
    <t>KC815310</t>
  </si>
  <si>
    <t>GB virus-B</t>
  </si>
  <si>
    <t>GBV-B</t>
  </si>
  <si>
    <t>B</t>
  </si>
  <si>
    <t>U22304</t>
  </si>
  <si>
    <t>Norway rat hepacivirus 1</t>
  </si>
  <si>
    <t>NRHV1</t>
  </si>
  <si>
    <t>C12</t>
  </si>
  <si>
    <t>KJ950938</t>
  </si>
  <si>
    <t>rn-1</t>
  </si>
  <si>
    <t>RHV-I</t>
  </si>
  <si>
    <t>3/RSA/2008</t>
  </si>
  <si>
    <t>KC411806</t>
  </si>
  <si>
    <t>BHV-L</t>
  </si>
  <si>
    <t>PDB-112</t>
  </si>
  <si>
    <t>KC796077</t>
  </si>
  <si>
    <t>Orthoflavivirus</t>
  </si>
  <si>
    <t>Apoi virus</t>
  </si>
  <si>
    <t>APOIV</t>
  </si>
  <si>
    <t>ApMAR</t>
  </si>
  <si>
    <t>AF160193</t>
  </si>
  <si>
    <t>Aroa virus</t>
  </si>
  <si>
    <t>AROAV</t>
  </si>
  <si>
    <t>BeAn 4073</t>
  </si>
  <si>
    <t>AY632536</t>
  </si>
  <si>
    <t>VenA-1809</t>
  </si>
  <si>
    <t>Bussuquara virus</t>
  </si>
  <si>
    <t>BSQV</t>
  </si>
  <si>
    <t>Iguape virus</t>
  </si>
  <si>
    <t>IGUV</t>
  </si>
  <si>
    <t>SP An71686</t>
  </si>
  <si>
    <t>Naranjal virus</t>
  </si>
  <si>
    <t>NJLV</t>
  </si>
  <si>
    <t>Bagaza virus</t>
  </si>
  <si>
    <t>BAGV</t>
  </si>
  <si>
    <t>DakAr B209</t>
  </si>
  <si>
    <t>AY632545</t>
  </si>
  <si>
    <t>Banzi virus</t>
  </si>
  <si>
    <t>BANV</t>
  </si>
  <si>
    <t>SAH 366</t>
  </si>
  <si>
    <t>DQ859056</t>
  </si>
  <si>
    <t>Bouboui virus</t>
  </si>
  <si>
    <t>BOUV</t>
  </si>
  <si>
    <t>DAK AR B490</t>
  </si>
  <si>
    <t>DQ859057</t>
  </si>
  <si>
    <t>Rio Bravo virus</t>
  </si>
  <si>
    <t>RiMAR</t>
  </si>
  <si>
    <t>AF144692</t>
  </si>
  <si>
    <t>Bukalasa bat virus</t>
  </si>
  <si>
    <t>BBV</t>
  </si>
  <si>
    <t>UGBP-111</t>
  </si>
  <si>
    <t>AF013365</t>
  </si>
  <si>
    <t>Cacipacoré virus</t>
  </si>
  <si>
    <t>CPCV</t>
  </si>
  <si>
    <t>BeAn 3276000</t>
  </si>
  <si>
    <t>KF917536</t>
  </si>
  <si>
    <t>Carey Island virus</t>
  </si>
  <si>
    <t>CIV</t>
  </si>
  <si>
    <t>P70-1215</t>
  </si>
  <si>
    <t>AF013368</t>
  </si>
  <si>
    <t>Cowbone Ridge virus</t>
  </si>
  <si>
    <t>CRV</t>
  </si>
  <si>
    <t>W-10986</t>
  </si>
  <si>
    <t>AF013370</t>
  </si>
  <si>
    <t>Dakar bat virus</t>
  </si>
  <si>
    <t>AF013371</t>
  </si>
  <si>
    <t>dengue virus type 2</t>
  </si>
  <si>
    <t>DENV-2</t>
  </si>
  <si>
    <t>U87411</t>
  </si>
  <si>
    <t>dengue virus type 1</t>
  </si>
  <si>
    <t>DENV-1</t>
  </si>
  <si>
    <t>45AZ5</t>
  </si>
  <si>
    <t>dengue virus type 3</t>
  </si>
  <si>
    <t>DENV-3</t>
  </si>
  <si>
    <t>H87</t>
  </si>
  <si>
    <t>dengue virus type 4</t>
  </si>
  <si>
    <t>DENV-4</t>
  </si>
  <si>
    <t>Edge Hill virus</t>
  </si>
  <si>
    <t>EHV</t>
  </si>
  <si>
    <t>YMP 48</t>
  </si>
  <si>
    <t>DQ859060</t>
  </si>
  <si>
    <t>tick-borne encephalitis virus-European subtype</t>
  </si>
  <si>
    <t>TBEV-Eur</t>
  </si>
  <si>
    <t>Neudoerfl</t>
  </si>
  <si>
    <t>U27495</t>
  </si>
  <si>
    <t>tick-borne encephalitis virus - Far Eastern subtype</t>
  </si>
  <si>
    <t>TBEV-FE</t>
  </si>
  <si>
    <t>Sofjin</t>
  </si>
  <si>
    <t>tick-borne encephalitis virus-Siberian subtype</t>
  </si>
  <si>
    <t>TBEV-Sib</t>
  </si>
  <si>
    <t>Vasilchenko</t>
  </si>
  <si>
    <t>Entebbe bat virus</t>
  </si>
  <si>
    <t>ENTV</t>
  </si>
  <si>
    <t>UgIL-30</t>
  </si>
  <si>
    <t>DQ837641</t>
  </si>
  <si>
    <t>Sokuluk virus</t>
  </si>
  <si>
    <t>SOKV</t>
  </si>
  <si>
    <t>LEIV-400K</t>
  </si>
  <si>
    <t>yellow fever virus</t>
  </si>
  <si>
    <t>YFV</t>
  </si>
  <si>
    <t>17D</t>
  </si>
  <si>
    <t>X03700</t>
  </si>
  <si>
    <t>Gadgets Gully virus</t>
  </si>
  <si>
    <t>GGYV</t>
  </si>
  <si>
    <t>Aus</t>
  </si>
  <si>
    <t>DQ235145</t>
  </si>
  <si>
    <t>Ilhéus virus</t>
  </si>
  <si>
    <t>ILHV</t>
  </si>
  <si>
    <t>Original</t>
  </si>
  <si>
    <t>AY632539</t>
  </si>
  <si>
    <t>Rocio virus</t>
  </si>
  <si>
    <t>ROCV</t>
  </si>
  <si>
    <t>H-34675</t>
  </si>
  <si>
    <t>Israel turkey meningoencephalomyelitis virus</t>
  </si>
  <si>
    <t>ITV</t>
  </si>
  <si>
    <t>AF013377</t>
  </si>
  <si>
    <t>Japanese encephalitis virus</t>
  </si>
  <si>
    <t>JEV</t>
  </si>
  <si>
    <t>JaOArS982</t>
  </si>
  <si>
    <t>M18370</t>
  </si>
  <si>
    <t>Jugra virus</t>
  </si>
  <si>
    <t>JUGV</t>
  </si>
  <si>
    <t>P-9-314</t>
  </si>
  <si>
    <t>DQ859066</t>
  </si>
  <si>
    <t>Jutiapa virus</t>
  </si>
  <si>
    <t>JUTV</t>
  </si>
  <si>
    <t>JG-128</t>
  </si>
  <si>
    <t>KJ469371</t>
  </si>
  <si>
    <t>Kadam virus</t>
  </si>
  <si>
    <t>KADV</t>
  </si>
  <si>
    <t>DQ235146</t>
  </si>
  <si>
    <t>Kédougou virus</t>
  </si>
  <si>
    <t>KEDV</t>
  </si>
  <si>
    <t>DakAar D1470</t>
  </si>
  <si>
    <t>AY632540</t>
  </si>
  <si>
    <t>Kokobera virus</t>
  </si>
  <si>
    <t>KOKV</t>
  </si>
  <si>
    <t>AusMRM 32</t>
  </si>
  <si>
    <t>AY632541</t>
  </si>
  <si>
    <t>Stratford virus</t>
  </si>
  <si>
    <t>STRV</t>
  </si>
  <si>
    <t>AUSC-338</t>
  </si>
  <si>
    <t>Koutango virus</t>
  </si>
  <si>
    <t>KOUV</t>
  </si>
  <si>
    <t>Dak Ar D1470</t>
  </si>
  <si>
    <t>AF013384</t>
  </si>
  <si>
    <t>Kyasanur Forest disease virus</t>
  </si>
  <si>
    <t>KFDV</t>
  </si>
  <si>
    <t>AY323490</t>
  </si>
  <si>
    <t>Alkhumra hemorrhagic fever virus</t>
  </si>
  <si>
    <t>AHFV</t>
  </si>
  <si>
    <t>Langat virus</t>
  </si>
  <si>
    <t>LGTV</t>
  </si>
  <si>
    <t>TP21</t>
  </si>
  <si>
    <t>AF253419</t>
  </si>
  <si>
    <t>St. Louis encephalitis virus</t>
  </si>
  <si>
    <t>SLEV</t>
  </si>
  <si>
    <t>Kern217</t>
  </si>
  <si>
    <t>DQ525916</t>
  </si>
  <si>
    <t>louping ill virus</t>
  </si>
  <si>
    <t>LIV</t>
  </si>
  <si>
    <t>369/T2</t>
  </si>
  <si>
    <t>Y07863</t>
  </si>
  <si>
    <t>louping ill virus-British subtype</t>
  </si>
  <si>
    <t>LIV-Brit</t>
  </si>
  <si>
    <t>LI/31</t>
  </si>
  <si>
    <t>louping ill virus-Irish subtype</t>
  </si>
  <si>
    <t>LIV-Ir</t>
  </si>
  <si>
    <t>LI/MA54</t>
  </si>
  <si>
    <t>louping ill virus-Spanish subtype</t>
  </si>
  <si>
    <t>LIV-Spain</t>
  </si>
  <si>
    <t>87/2617</t>
  </si>
  <si>
    <t>Turkish sheep encephalitis virus subtype</t>
  </si>
  <si>
    <t>TSEV</t>
  </si>
  <si>
    <t>TTE80</t>
  </si>
  <si>
    <t>Greek goat encephalitits virus subtype</t>
  </si>
  <si>
    <t>GGEV</t>
  </si>
  <si>
    <t>Vergina</t>
  </si>
  <si>
    <t>Meaban virus</t>
  </si>
  <si>
    <t>MEAV</t>
  </si>
  <si>
    <t>DQ235144</t>
  </si>
  <si>
    <t>Modoc virus</t>
  </si>
  <si>
    <t>MODV</t>
  </si>
  <si>
    <t>M544</t>
  </si>
  <si>
    <t>AJ242984</t>
  </si>
  <si>
    <t>Montana myotis leukoencephalitis virus</t>
  </si>
  <si>
    <t>MMLV</t>
  </si>
  <si>
    <t>AJ299445</t>
  </si>
  <si>
    <t>Murray Valley encephalitis virus</t>
  </si>
  <si>
    <t>MVEV</t>
  </si>
  <si>
    <t>AF161266</t>
  </si>
  <si>
    <t>Alfuy virus</t>
  </si>
  <si>
    <t>ALFV</t>
  </si>
  <si>
    <t>MRM-3929</t>
  </si>
  <si>
    <t>West Nile virus</t>
  </si>
  <si>
    <t>WNV</t>
  </si>
  <si>
    <t>M12294</t>
  </si>
  <si>
    <t>Kunjin virus</t>
  </si>
  <si>
    <t>KUNV</t>
  </si>
  <si>
    <t>MRM61C</t>
  </si>
  <si>
    <t>Ntaya virus</t>
  </si>
  <si>
    <t>NTAV</t>
  </si>
  <si>
    <t>IPDIA</t>
  </si>
  <si>
    <t>JX236040</t>
  </si>
  <si>
    <t>Omsk hemorrhagic fever virus</t>
  </si>
  <si>
    <t>OHFV</t>
  </si>
  <si>
    <t>Bogoluvovska</t>
  </si>
  <si>
    <t>AY193805</t>
  </si>
  <si>
    <t>San Perlita virus</t>
  </si>
  <si>
    <t>71V-1251</t>
  </si>
  <si>
    <t>AF013402</t>
  </si>
  <si>
    <t>Phnom Penh bat virus</t>
  </si>
  <si>
    <t>PPBV</t>
  </si>
  <si>
    <t>CAMA-38D</t>
  </si>
  <si>
    <t>AF013394</t>
  </si>
  <si>
    <t>Batu Cave virus</t>
  </si>
  <si>
    <t>BCV</t>
  </si>
  <si>
    <t>P70-1459</t>
  </si>
  <si>
    <t>Powassan virus</t>
  </si>
  <si>
    <t>POWV</t>
  </si>
  <si>
    <t>LB</t>
  </si>
  <si>
    <t>L06436</t>
  </si>
  <si>
    <t>deer tick virus</t>
  </si>
  <si>
    <t>DTV</t>
  </si>
  <si>
    <t>ctb30</t>
  </si>
  <si>
    <t>Royal Farm virus</t>
  </si>
  <si>
    <t>RFV</t>
  </si>
  <si>
    <t>Afghanistan</t>
  </si>
  <si>
    <t>DQ235149</t>
  </si>
  <si>
    <t>Saboya virus</t>
  </si>
  <si>
    <t>SABV</t>
  </si>
  <si>
    <t>Dak AR D4600</t>
  </si>
  <si>
    <t>DQ859062</t>
  </si>
  <si>
    <t>Potiskum virus</t>
  </si>
  <si>
    <t>POTV</t>
  </si>
  <si>
    <t>IBAN 10069</t>
  </si>
  <si>
    <t>Saumarez Reef virus</t>
  </si>
  <si>
    <t>SREV</t>
  </si>
  <si>
    <t>DQ235150</t>
  </si>
  <si>
    <t>Sepik virus</t>
  </si>
  <si>
    <t>SEPV</t>
  </si>
  <si>
    <t>MK7148</t>
  </si>
  <si>
    <t>DQ837642</t>
  </si>
  <si>
    <t>Tembusu virus</t>
  </si>
  <si>
    <t>TMUV</t>
  </si>
  <si>
    <t>JS804</t>
  </si>
  <si>
    <t>JF895923</t>
  </si>
  <si>
    <t>Tyuleniy virus</t>
  </si>
  <si>
    <t>TYUV</t>
  </si>
  <si>
    <t>LEIV-6C</t>
  </si>
  <si>
    <t>KF815939</t>
  </si>
  <si>
    <t>Uganda S virus</t>
  </si>
  <si>
    <t>UGSV</t>
  </si>
  <si>
    <t>DQ859065</t>
  </si>
  <si>
    <t>Usutu virus</t>
  </si>
  <si>
    <t>USUV</t>
  </si>
  <si>
    <t>Vienna 2001</t>
  </si>
  <si>
    <t>AY453411</t>
  </si>
  <si>
    <t>Sal Vieja virus</t>
  </si>
  <si>
    <t>SVV</t>
  </si>
  <si>
    <t>38TWM-106</t>
  </si>
  <si>
    <t>AF013401</t>
  </si>
  <si>
    <t>Wesselsbron virus</t>
  </si>
  <si>
    <t>WESSV</t>
  </si>
  <si>
    <t>SAH177</t>
  </si>
  <si>
    <t>EU707555</t>
  </si>
  <si>
    <t>Yaoundé virus</t>
  </si>
  <si>
    <t>YAOV</t>
  </si>
  <si>
    <t>DakArY 276</t>
  </si>
  <si>
    <t>AF013413</t>
  </si>
  <si>
    <t>Yokose virus</t>
  </si>
  <si>
    <t>YOKV</t>
  </si>
  <si>
    <t>Oita 36</t>
  </si>
  <si>
    <t>AB114858</t>
  </si>
  <si>
    <t>Zika virus</t>
  </si>
  <si>
    <t>ZIKV</t>
  </si>
  <si>
    <t>MR 766</t>
  </si>
  <si>
    <t>AY632535</t>
  </si>
  <si>
    <t>Pf13/251013-18</t>
  </si>
  <si>
    <t>H/PF/2013</t>
  </si>
  <si>
    <t>PRVABC59</t>
  </si>
  <si>
    <t>Pegivirus</t>
  </si>
  <si>
    <t>equine pegivirus</t>
  </si>
  <si>
    <t>EPgV</t>
  </si>
  <si>
    <t>C0035</t>
  </si>
  <si>
    <t>KC410872</t>
  </si>
  <si>
    <t>bat pegivirus F</t>
  </si>
  <si>
    <t>BPgV-F</t>
  </si>
  <si>
    <t>PDB-1698</t>
  </si>
  <si>
    <t>KC796080</t>
  </si>
  <si>
    <t>human hepegivirus; human pegivirus 2</t>
  </si>
  <si>
    <t>HHPgV</t>
  </si>
  <si>
    <t>AK-790</t>
  </si>
  <si>
    <t>KT439329</t>
  </si>
  <si>
    <t>Theiler’s disease associated virus</t>
  </si>
  <si>
    <t>TDAV</t>
  </si>
  <si>
    <t>horseA1</t>
  </si>
  <si>
    <t>KC145265</t>
  </si>
  <si>
    <t>human pegivirus genotype 2</t>
  </si>
  <si>
    <t>HPgV</t>
  </si>
  <si>
    <t>PNF2161</t>
  </si>
  <si>
    <t>U44402</t>
  </si>
  <si>
    <t>human pegivirus genotype 1</t>
  </si>
  <si>
    <t>CG01BD</t>
  </si>
  <si>
    <t>R10291</t>
  </si>
  <si>
    <t>human pegivirus genotype 3</t>
  </si>
  <si>
    <t>K2141</t>
  </si>
  <si>
    <t>human pegivirus genotype 4</t>
  </si>
  <si>
    <t>MY14</t>
  </si>
  <si>
    <t>human pegivirus genotype 5</t>
  </si>
  <si>
    <t>D50</t>
  </si>
  <si>
    <t>human pegivirus genotype 6</t>
  </si>
  <si>
    <t>G05BD</t>
  </si>
  <si>
    <t>simian pegivirus-chimpanzee</t>
  </si>
  <si>
    <t>SPgV-ch</t>
  </si>
  <si>
    <t>Ctro</t>
  </si>
  <si>
    <t>rodent pegivirus</t>
  </si>
  <si>
    <t>RPbV</t>
  </si>
  <si>
    <t>CC61</t>
  </si>
  <si>
    <t>KC815311</t>
  </si>
  <si>
    <t>GB virus-A; simian pegivirus</t>
  </si>
  <si>
    <t>GBV-A; SPgV</t>
  </si>
  <si>
    <t>A/T1053</t>
  </si>
  <si>
    <t>U22303</t>
  </si>
  <si>
    <t>Alab</t>
  </si>
  <si>
    <t>GB virus-D</t>
  </si>
  <si>
    <t>GBV-D</t>
  </si>
  <si>
    <t>D/68</t>
  </si>
  <si>
    <t>GU566734</t>
  </si>
  <si>
    <t>D/93</t>
  </si>
  <si>
    <t>bat pegivirus G</t>
  </si>
  <si>
    <t>BPgV-G</t>
  </si>
  <si>
    <t>PDB-620</t>
  </si>
  <si>
    <t>KC796076</t>
  </si>
  <si>
    <t>bat pegivirus I</t>
  </si>
  <si>
    <t>BPgV-I</t>
  </si>
  <si>
    <t>PDB-1715</t>
  </si>
  <si>
    <t>KC796088</t>
  </si>
  <si>
    <t>porcine pegivirus</t>
  </si>
  <si>
    <t>PPgV</t>
  </si>
  <si>
    <t>903/GER/2013</t>
  </si>
  <si>
    <t>KU351669</t>
  </si>
  <si>
    <t>Pestivirus</t>
  </si>
  <si>
    <t>pronghorn antelope pestivirus</t>
  </si>
  <si>
    <t>PAPeV</t>
  </si>
  <si>
    <t>AY781152</t>
  </si>
  <si>
    <t>porcine pestivirus</t>
  </si>
  <si>
    <t>PPeV</t>
  </si>
  <si>
    <t>Bungowannah</t>
  </si>
  <si>
    <t>EF100713</t>
  </si>
  <si>
    <t>Aydin-like pestivirus</t>
  </si>
  <si>
    <t>AydinPeV</t>
  </si>
  <si>
    <t>04-TR</t>
  </si>
  <si>
    <t>JX428945</t>
  </si>
  <si>
    <t>bovine viral diarrhea virus 1</t>
  </si>
  <si>
    <t>BVDV1</t>
  </si>
  <si>
    <t>SD-1</t>
  </si>
  <si>
    <t>M96751</t>
  </si>
  <si>
    <t>NADL</t>
  </si>
  <si>
    <t>HoBi-like pestivirus</t>
  </si>
  <si>
    <t>HoBiPeV</t>
  </si>
  <si>
    <t>Th/04_KhonKaen</t>
  </si>
  <si>
    <t>FJ040215</t>
  </si>
  <si>
    <t>giraffe pestivirus</t>
  </si>
  <si>
    <t>GPeV</t>
  </si>
  <si>
    <t>H138</t>
  </si>
  <si>
    <t>AF144617</t>
  </si>
  <si>
    <t>Linda virus</t>
  </si>
  <si>
    <t>LindaV</t>
  </si>
  <si>
    <t>Austria1</t>
  </si>
  <si>
    <t>KY436034</t>
  </si>
  <si>
    <t>Phocoena pestivirus</t>
  </si>
  <si>
    <t>PhoPeV</t>
  </si>
  <si>
    <t>PhoPeV-1</t>
  </si>
  <si>
    <t>MK910227</t>
  </si>
  <si>
    <t>Tunisian sheep-like pestivirus</t>
  </si>
  <si>
    <t>92019/2007/AG</t>
  </si>
  <si>
    <t>MZ664274</t>
  </si>
  <si>
    <t>ovine/IT pestivirus</t>
  </si>
  <si>
    <t>ovIT PeV</t>
  </si>
  <si>
    <t>338710-3/2017</t>
  </si>
  <si>
    <t>MK618726</t>
  </si>
  <si>
    <t>Border disease virus</t>
  </si>
  <si>
    <t>BDV</t>
  </si>
  <si>
    <t>X818</t>
  </si>
  <si>
    <t>AF037405</t>
  </si>
  <si>
    <t>pangolin pestivirus</t>
  </si>
  <si>
    <t>DYPV</t>
  </si>
  <si>
    <t>DYAJ1</t>
  </si>
  <si>
    <t>MK636874</t>
  </si>
  <si>
    <t>rodent pestivirus</t>
  </si>
  <si>
    <t>RtNn-PeV</t>
  </si>
  <si>
    <t>HuB2014</t>
  </si>
  <si>
    <t>KY370101</t>
  </si>
  <si>
    <t>RtAp-PeV</t>
  </si>
  <si>
    <t>JL2014</t>
  </si>
  <si>
    <t>KY370100</t>
  </si>
  <si>
    <t>rat pestivirus</t>
  </si>
  <si>
    <t>RPeV</t>
  </si>
  <si>
    <t>NrPV/NYC-D23</t>
  </si>
  <si>
    <t>KJ950914</t>
  </si>
  <si>
    <t>bat pestivirus</t>
  </si>
  <si>
    <t>BtSk-PeV</t>
  </si>
  <si>
    <t>1/GX2017</t>
  </si>
  <si>
    <t>MH282908</t>
  </si>
  <si>
    <t>atypical porcine pestivirus</t>
  </si>
  <si>
    <t>APPeV</t>
  </si>
  <si>
    <t>KR011347</t>
  </si>
  <si>
    <t>classical swine fever virus</t>
  </si>
  <si>
    <t>CSFV</t>
  </si>
  <si>
    <t>Alfort/187</t>
  </si>
  <si>
    <t>X87939</t>
  </si>
  <si>
    <t>bovine viral diarrhea virus 2</t>
  </si>
  <si>
    <t>BVDV2</t>
  </si>
  <si>
    <t>XJ-04</t>
  </si>
  <si>
    <t>FJ527854</t>
  </si>
  <si>
    <t>Magsaviricetes</t>
  </si>
  <si>
    <t>Nodamuvirales</t>
  </si>
  <si>
    <t>Nodaviridae</t>
  </si>
  <si>
    <t>Alphanodavirus</t>
  </si>
  <si>
    <t>black beetle virus</t>
  </si>
  <si>
    <t>Boolarra virus</t>
  </si>
  <si>
    <t>BoV</t>
  </si>
  <si>
    <t>RNA1: AF329080; RNA2: X15960</t>
  </si>
  <si>
    <t>Flock House virus</t>
  </si>
  <si>
    <t>FHV</t>
  </si>
  <si>
    <t>IP-VIA-022011</t>
  </si>
  <si>
    <t>TNCL</t>
  </si>
  <si>
    <t>Drosophila melanogaster American nodavirus</t>
  </si>
  <si>
    <t>SW-2009a</t>
  </si>
  <si>
    <t>Nodamura virus</t>
  </si>
  <si>
    <t>NoV</t>
  </si>
  <si>
    <t>RNA1: AF174533; RNA2: AF174534</t>
  </si>
  <si>
    <t>Pariacoto virus</t>
  </si>
  <si>
    <t>PaV</t>
  </si>
  <si>
    <t>RNA1: AF171942; RNA2: AF171943</t>
  </si>
  <si>
    <t>Betanodavirus</t>
  </si>
  <si>
    <t>barfin flounder nervous necrosis virus</t>
  </si>
  <si>
    <t>BFNNV</t>
  </si>
  <si>
    <t>BF93Hok</t>
  </si>
  <si>
    <t>RNA1: EU826137; RNA2: EU826138</t>
  </si>
  <si>
    <t>Atlantic cod nervous necrosis virus</t>
  </si>
  <si>
    <t>ACNNV</t>
  </si>
  <si>
    <t>GmMR11/06</t>
  </si>
  <si>
    <t>Atlantic halibut nodavirus</t>
  </si>
  <si>
    <t>AHNV</t>
  </si>
  <si>
    <t>AH99NorA</t>
  </si>
  <si>
    <t>AH95NorA</t>
  </si>
  <si>
    <t>red-spotted grouper nervous necrosis virus</t>
  </si>
  <si>
    <t>RGNNV</t>
  </si>
  <si>
    <t>SGWak97</t>
  </si>
  <si>
    <t>RNA1: AY324869; RNA2: AY324870</t>
  </si>
  <si>
    <t>dragon grouper nervous necrosis virus</t>
  </si>
  <si>
    <t>DGNNV</t>
  </si>
  <si>
    <t>greasy grouper nervous necrosis virus</t>
  </si>
  <si>
    <t>GGNNV</t>
  </si>
  <si>
    <t>Japanese flounder nervous necrosis virus</t>
  </si>
  <si>
    <t>JFNNV</t>
  </si>
  <si>
    <t>WD</t>
  </si>
  <si>
    <t>JF-HI93</t>
  </si>
  <si>
    <t>Malabaricus grouper nervous necrosis virus</t>
  </si>
  <si>
    <t>MGNNV</t>
  </si>
  <si>
    <t>seabass nervous necrosis virus</t>
  </si>
  <si>
    <t>SBNNV</t>
  </si>
  <si>
    <t>Lates calcarifer encephalitis virus</t>
  </si>
  <si>
    <t>LcEV</t>
  </si>
  <si>
    <t>T442286</t>
  </si>
  <si>
    <t>striped jack nervous necrosis virus</t>
  </si>
  <si>
    <t>SJNNV</t>
  </si>
  <si>
    <t>RNA1: AB056571; RNA2: AB056572</t>
  </si>
  <si>
    <t>Solea senegalensis nervous necrosis virus</t>
  </si>
  <si>
    <t>SSNNV</t>
  </si>
  <si>
    <t>SpSsIAusc16003</t>
  </si>
  <si>
    <t>03-160</t>
  </si>
  <si>
    <t>tiger puffer nervous necrosis virus</t>
  </si>
  <si>
    <t>TPNNV</t>
  </si>
  <si>
    <t>TPKag93</t>
  </si>
  <si>
    <t>RNA1: EU236148; RNA2: EU236149</t>
  </si>
  <si>
    <t>Sinhaliviridae</t>
  </si>
  <si>
    <t>Sinaivirus</t>
  </si>
  <si>
    <t>Lake Sinai virus 1</t>
  </si>
  <si>
    <t>LSV1</t>
  </si>
  <si>
    <t>BruceSD_T17E02</t>
  </si>
  <si>
    <t>HQ871931</t>
  </si>
  <si>
    <t>Lake Sinai virus 2</t>
  </si>
  <si>
    <t>LSV2</t>
  </si>
  <si>
    <t>BruceSD_T17E01</t>
  </si>
  <si>
    <t>HQ888865</t>
  </si>
  <si>
    <t>Tolucaviricetes</t>
  </si>
  <si>
    <t>Tolivirales</t>
  </si>
  <si>
    <t>Carmotetraviridae</t>
  </si>
  <si>
    <t>Alphacarmotetravirus</t>
  </si>
  <si>
    <t>Providence virus</t>
  </si>
  <si>
    <t>PrV</t>
  </si>
  <si>
    <t>FLM1</t>
  </si>
  <si>
    <t>GU991616</t>
  </si>
  <si>
    <t>Tombusviridae</t>
  </si>
  <si>
    <t>Calvusvirinae</t>
  </si>
  <si>
    <t>Umbravirus</t>
  </si>
  <si>
    <t>groundnut rosette virus</t>
  </si>
  <si>
    <t>GRV</t>
  </si>
  <si>
    <t>MC1</t>
  </si>
  <si>
    <t>Z69910</t>
  </si>
  <si>
    <t>carrot mottle mimic virus</t>
  </si>
  <si>
    <t>CMoMV</t>
  </si>
  <si>
    <t>U57305</t>
  </si>
  <si>
    <t>Ethiopian tobacco bushy top virus</t>
  </si>
  <si>
    <t>ETBTV</t>
  </si>
  <si>
    <t>KJ918748</t>
  </si>
  <si>
    <t>Ixeridium yellow mottle virus 2</t>
  </si>
  <si>
    <t>IxYMaV2</t>
  </si>
  <si>
    <t>Bonghwa</t>
  </si>
  <si>
    <t>KT946712</t>
  </si>
  <si>
    <t>lettuce speckles mottle virus</t>
  </si>
  <si>
    <t>LSMV</t>
  </si>
  <si>
    <t>carrot mottle virus</t>
  </si>
  <si>
    <t>Weddel</t>
  </si>
  <si>
    <t>FJ188473</t>
  </si>
  <si>
    <t>tobacco mottle virus</t>
  </si>
  <si>
    <t>TMoV</t>
  </si>
  <si>
    <t>AY007231</t>
  </si>
  <si>
    <t>tobacco bushy top virus</t>
  </si>
  <si>
    <t>TBTV</t>
  </si>
  <si>
    <t>AF402620</t>
  </si>
  <si>
    <t>Opium poppy mosaic virus</t>
  </si>
  <si>
    <t>OPMV</t>
  </si>
  <si>
    <t>PHEL5235</t>
  </si>
  <si>
    <t>EU151723</t>
  </si>
  <si>
    <t>Patrinia mild mottle virus</t>
  </si>
  <si>
    <t>PaMMoV</t>
  </si>
  <si>
    <t>Uiseong</t>
  </si>
  <si>
    <t>MH922775</t>
  </si>
  <si>
    <t>pea enation mosaic virus 2</t>
  </si>
  <si>
    <t>PEMV2</t>
  </si>
  <si>
    <t>WSG</t>
  </si>
  <si>
    <t>U03563</t>
  </si>
  <si>
    <t>Procedovirinae</t>
  </si>
  <si>
    <t>Ahlum waterborne virus</t>
  </si>
  <si>
    <t>AWBV</t>
  </si>
  <si>
    <t>bean mild mosaic virus</t>
  </si>
  <si>
    <t>BMMV</t>
  </si>
  <si>
    <t>chenopodium necrosis virus</t>
  </si>
  <si>
    <t>ChNV</t>
  </si>
  <si>
    <t>cucumber soil-borne virus</t>
  </si>
  <si>
    <t>CSBV</t>
  </si>
  <si>
    <t>Weddel waterborne virus</t>
  </si>
  <si>
    <t>WWBV</t>
  </si>
  <si>
    <t>Alphacarmovirus</t>
  </si>
  <si>
    <t>Adonis mosaic virus</t>
  </si>
  <si>
    <t>AdMV</t>
  </si>
  <si>
    <t>HSP-2</t>
  </si>
  <si>
    <t>LC171345</t>
  </si>
  <si>
    <t>angelonia flower break virus</t>
  </si>
  <si>
    <t>AFBV</t>
  </si>
  <si>
    <t>DQ219415</t>
  </si>
  <si>
    <t>saguaro cactus virus</t>
  </si>
  <si>
    <t>SgCV</t>
  </si>
  <si>
    <t>MRN</t>
  </si>
  <si>
    <t>U72332</t>
  </si>
  <si>
    <t>calibrachoa mottle virus</t>
  </si>
  <si>
    <t>CbMV</t>
  </si>
  <si>
    <t>GQ244431</t>
  </si>
  <si>
    <t>carnation mottle virus</t>
  </si>
  <si>
    <t>CarMV</t>
  </si>
  <si>
    <t>X02986</t>
  </si>
  <si>
    <t>honeysuckle ringspot virus</t>
  </si>
  <si>
    <t>HoRSV</t>
  </si>
  <si>
    <t>HQ677625</t>
  </si>
  <si>
    <t>Nootka lupine vein clearing virus</t>
  </si>
  <si>
    <t>NLVCV</t>
  </si>
  <si>
    <t>Alaska</t>
  </si>
  <si>
    <t>EF207438</t>
  </si>
  <si>
    <t>pelargonium flower break virus</t>
  </si>
  <si>
    <t>PFBV</t>
  </si>
  <si>
    <t>MZ10</t>
  </si>
  <si>
    <t>AJ514833</t>
  </si>
  <si>
    <t>Alphanecrovirus</t>
  </si>
  <si>
    <t>tobacco necrosis virus A</t>
  </si>
  <si>
    <t>TNVA</t>
  </si>
  <si>
    <t>FM1B</t>
  </si>
  <si>
    <t>M33002</t>
  </si>
  <si>
    <t>olive latent virus 1</t>
  </si>
  <si>
    <t>OLV1</t>
  </si>
  <si>
    <t>citrus</t>
  </si>
  <si>
    <t>X85989</t>
  </si>
  <si>
    <t>potato necrosis virus</t>
  </si>
  <si>
    <t>PoNV</t>
  </si>
  <si>
    <t>QV323</t>
  </si>
  <si>
    <t>KP901095</t>
  </si>
  <si>
    <t>olive mild mosaic virus</t>
  </si>
  <si>
    <t>OMMV</t>
  </si>
  <si>
    <t>GP</t>
  </si>
  <si>
    <t>AY616760</t>
  </si>
  <si>
    <t>Aureusvirus</t>
  </si>
  <si>
    <t>pothos latent virus</t>
  </si>
  <si>
    <t>PoLV</t>
  </si>
  <si>
    <t>X87115</t>
  </si>
  <si>
    <t>cucumber leaf spot virus</t>
  </si>
  <si>
    <t>CLSV</t>
  </si>
  <si>
    <t>EU127904</t>
  </si>
  <si>
    <t>yam spherical virus</t>
  </si>
  <si>
    <t>YSV</t>
  </si>
  <si>
    <t>DSMZ-PV0517</t>
  </si>
  <si>
    <t>KF482072</t>
  </si>
  <si>
    <t>elderberry aureusvirus 1</t>
  </si>
  <si>
    <t>ElAV1</t>
  </si>
  <si>
    <t>MG967280</t>
  </si>
  <si>
    <t>johnsongrass chlorotic stripe mosaic virus</t>
  </si>
  <si>
    <t>JCSMV</t>
  </si>
  <si>
    <t>Iran</t>
  </si>
  <si>
    <t>AJ557804</t>
  </si>
  <si>
    <t>maize white line mosaic virus</t>
  </si>
  <si>
    <t>MWLMV</t>
  </si>
  <si>
    <t>OH</t>
  </si>
  <si>
    <t>EF589670</t>
  </si>
  <si>
    <t>Avenavirus</t>
  </si>
  <si>
    <t>oat chlorotic stunt virus</t>
  </si>
  <si>
    <t>OCSV</t>
  </si>
  <si>
    <t>Llanwern</t>
  </si>
  <si>
    <t>X83964</t>
  </si>
  <si>
    <t>ssRNA</t>
  </si>
  <si>
    <t>Betacarmovirus</t>
  </si>
  <si>
    <t>turnip crinkle virus</t>
  </si>
  <si>
    <t>TCV</t>
  </si>
  <si>
    <t>M22445</t>
  </si>
  <si>
    <t>cardamine chlorotic fleck virus</t>
  </si>
  <si>
    <t>CCFV</t>
  </si>
  <si>
    <t>CL</t>
  </si>
  <si>
    <t>L16015</t>
  </si>
  <si>
    <t>hibiscus chlorotic ringspot virus</t>
  </si>
  <si>
    <t>HCRSV</t>
  </si>
  <si>
    <t>X86448</t>
  </si>
  <si>
    <t>Japanese iris necrotic ring virus; Japanese iris necrotic ringspot virus</t>
  </si>
  <si>
    <t>JINRV</t>
  </si>
  <si>
    <t>D86123</t>
  </si>
  <si>
    <t>Betanecrovirus</t>
  </si>
  <si>
    <t>beet black scorch virus</t>
  </si>
  <si>
    <t>Ningxia</t>
  </si>
  <si>
    <t>AF452884</t>
  </si>
  <si>
    <t>tobacco necrosis virus D</t>
  </si>
  <si>
    <t>TNVD</t>
  </si>
  <si>
    <t>Hungarian</t>
  </si>
  <si>
    <t>U62546</t>
  </si>
  <si>
    <t>leek white stripe virus</t>
  </si>
  <si>
    <t>LWSV</t>
  </si>
  <si>
    <t>X94560</t>
  </si>
  <si>
    <t>Gallantivirus</t>
  </si>
  <si>
    <t>galinsoga mosaic virus</t>
  </si>
  <si>
    <t>GaMV</t>
  </si>
  <si>
    <t>Y13463</t>
  </si>
  <si>
    <t>Gammacarmovirus</t>
  </si>
  <si>
    <t>soybean yellow mottle mosaic virus</t>
  </si>
  <si>
    <t>SYMMV</t>
  </si>
  <si>
    <t>Gunwi</t>
  </si>
  <si>
    <t>FJ457015</t>
  </si>
  <si>
    <t>melon necrotic spot virus</t>
  </si>
  <si>
    <t>MNSV</t>
  </si>
  <si>
    <t>Dutch</t>
  </si>
  <si>
    <t>M29671</t>
  </si>
  <si>
    <t>pea stem necrosis virus</t>
  </si>
  <si>
    <t>PSNV</t>
  </si>
  <si>
    <t>Wakayama</t>
  </si>
  <si>
    <t>AB086951</t>
  </si>
  <si>
    <t>cowpea mottle virus</t>
  </si>
  <si>
    <t>CPMV</t>
  </si>
  <si>
    <t>ATCC-PV-955</t>
  </si>
  <si>
    <t>U20976</t>
  </si>
  <si>
    <t>Macanavirus</t>
  </si>
  <si>
    <t>furcraea necrotic streak virus</t>
  </si>
  <si>
    <t>FNSV</t>
  </si>
  <si>
    <t>Cauca</t>
  </si>
  <si>
    <t>FJ768020</t>
  </si>
  <si>
    <t>Machlomovirus</t>
  </si>
  <si>
    <t>maize chlorotic mottle virus</t>
  </si>
  <si>
    <t>MCMV</t>
  </si>
  <si>
    <t>KS1</t>
  </si>
  <si>
    <t>X14736</t>
  </si>
  <si>
    <t>Panicovirus</t>
  </si>
  <si>
    <t>cocksfoot mild mosaic virus</t>
  </si>
  <si>
    <t>CMMV</t>
  </si>
  <si>
    <t>Scotland</t>
  </si>
  <si>
    <t>EU081018</t>
  </si>
  <si>
    <t>panicum mosaic virus</t>
  </si>
  <si>
    <t>109S Kansas</t>
  </si>
  <si>
    <t>U55002</t>
  </si>
  <si>
    <t>thin paspalum asymptomatic virus</t>
  </si>
  <si>
    <t>TPAV</t>
  </si>
  <si>
    <t>05TGP00369</t>
  </si>
  <si>
    <t>JX848617</t>
  </si>
  <si>
    <t>Pelarspovirus</t>
  </si>
  <si>
    <t>pelargonium ringspot virus</t>
  </si>
  <si>
    <t>PelRSV</t>
  </si>
  <si>
    <t>DSMZ-PV-0304</t>
  </si>
  <si>
    <t>AY038068</t>
  </si>
  <si>
    <t>pelargonium chlorotic ring pattern virus</t>
  </si>
  <si>
    <t>PCRPV</t>
  </si>
  <si>
    <t>GR57</t>
  </si>
  <si>
    <t>AY038069</t>
  </si>
  <si>
    <t>clematis chlorotic mottle virus</t>
  </si>
  <si>
    <t>ClCMV</t>
  </si>
  <si>
    <t>Minnesota</t>
  </si>
  <si>
    <t>KX712140</t>
  </si>
  <si>
    <t>jasmine virus H</t>
  </si>
  <si>
    <t>JaVH</t>
  </si>
  <si>
    <t>Fujian</t>
  </si>
  <si>
    <t>KX897157</t>
  </si>
  <si>
    <t>pelargonium line pattern virus</t>
  </si>
  <si>
    <t>PLPV</t>
  </si>
  <si>
    <t>DSMZ-PV-0193</t>
  </si>
  <si>
    <t>AY613852</t>
  </si>
  <si>
    <t>Rosa rugosa leaf distortion virus</t>
  </si>
  <si>
    <t>RrLDV</t>
  </si>
  <si>
    <t>MN-3</t>
  </si>
  <si>
    <t>KC166238</t>
  </si>
  <si>
    <t>elderberry latent virus</t>
  </si>
  <si>
    <t>ELV</t>
  </si>
  <si>
    <t>ATCC-PV522</t>
  </si>
  <si>
    <t>AY038066</t>
  </si>
  <si>
    <t>jasmine mosaic-associated virus</t>
  </si>
  <si>
    <t>JMaV</t>
  </si>
  <si>
    <t>HI</t>
  </si>
  <si>
    <t>MG958506</t>
  </si>
  <si>
    <t>Tombusvirus</t>
  </si>
  <si>
    <t>grapevine Algerian latent virus</t>
  </si>
  <si>
    <t>GALV</t>
  </si>
  <si>
    <t>nipplefruit</t>
  </si>
  <si>
    <t>AY830918</t>
  </si>
  <si>
    <t>cucumber Bulgarian latent virus</t>
  </si>
  <si>
    <t>CBLV-Bulgaria</t>
  </si>
  <si>
    <t>Bulgaria</t>
  </si>
  <si>
    <t>AY163842</t>
  </si>
  <si>
    <t>cucumber necrosis virus</t>
  </si>
  <si>
    <t>CNV</t>
  </si>
  <si>
    <t>M25270</t>
  </si>
  <si>
    <t>cymbidium ringspot virus</t>
  </si>
  <si>
    <t>CyRV</t>
  </si>
  <si>
    <t>X15511</t>
  </si>
  <si>
    <t>artichoke mottled crinkle virus</t>
  </si>
  <si>
    <t>AMCV</t>
  </si>
  <si>
    <t>Bari</t>
  </si>
  <si>
    <t>X62493</t>
  </si>
  <si>
    <t>carnation Italian ringspot virus</t>
  </si>
  <si>
    <t>CIRV</t>
  </si>
  <si>
    <t>X85215</t>
  </si>
  <si>
    <t>Havel River virus</t>
  </si>
  <si>
    <t>HRV</t>
  </si>
  <si>
    <t>AY370535</t>
  </si>
  <si>
    <t>Lato River virus</t>
  </si>
  <si>
    <t>LRV</t>
  </si>
  <si>
    <t>LR</t>
  </si>
  <si>
    <t>limonium flower distortion virus</t>
  </si>
  <si>
    <t>LFDV</t>
  </si>
  <si>
    <t>Lim2</t>
  </si>
  <si>
    <t>AY500882</t>
  </si>
  <si>
    <t>tomato bushy stunt virus</t>
  </si>
  <si>
    <t>TBSV</t>
  </si>
  <si>
    <t>cherry</t>
  </si>
  <si>
    <t>M21958</t>
  </si>
  <si>
    <t>eggplant mottled crinkle virus</t>
  </si>
  <si>
    <t>EMCV</t>
  </si>
  <si>
    <t>Israeli</t>
  </si>
  <si>
    <t>JQ864181</t>
  </si>
  <si>
    <t>pear latent virus</t>
  </si>
  <si>
    <t>lisianthus necrosis virus</t>
  </si>
  <si>
    <t>L</t>
  </si>
  <si>
    <t>Zantedeschia</t>
  </si>
  <si>
    <t>Moroccan pepper virus</t>
  </si>
  <si>
    <t>MPV</t>
  </si>
  <si>
    <t>PM75</t>
  </si>
  <si>
    <t>JX197071</t>
  </si>
  <si>
    <t>lettuce necrotic stunt virus</t>
  </si>
  <si>
    <t>LNSV</t>
  </si>
  <si>
    <t>L2</t>
  </si>
  <si>
    <t>Neckar River virus</t>
  </si>
  <si>
    <t>NRV</t>
  </si>
  <si>
    <t>AJ607403</t>
  </si>
  <si>
    <t>pelargonium necrotic spot virus</t>
  </si>
  <si>
    <t>PNSV</t>
  </si>
  <si>
    <t>UPEV</t>
  </si>
  <si>
    <t>AJ607402</t>
  </si>
  <si>
    <t>pelargonium leaf curl virus</t>
  </si>
  <si>
    <t>T46</t>
  </si>
  <si>
    <t>KU187189</t>
  </si>
  <si>
    <t>petunia asteroid mosaic virus</t>
  </si>
  <si>
    <t>Lim1</t>
  </si>
  <si>
    <t>AY500881</t>
  </si>
  <si>
    <t>Sikte waterborne virus</t>
  </si>
  <si>
    <t>SWBV</t>
  </si>
  <si>
    <t>Lim6</t>
  </si>
  <si>
    <t>AY500886</t>
  </si>
  <si>
    <t>Tralespevirus</t>
  </si>
  <si>
    <t>Gompholobium virus A</t>
  </si>
  <si>
    <t>GomVA</t>
  </si>
  <si>
    <t>Monadnocks</t>
  </si>
  <si>
    <t>KX184304</t>
  </si>
  <si>
    <t>trailing lespedeza virus 1</t>
  </si>
  <si>
    <t>06TGP01091</t>
  </si>
  <si>
    <t>HM640935</t>
  </si>
  <si>
    <t>Zeavirus</t>
  </si>
  <si>
    <t>maize necrotic streak virus</t>
  </si>
  <si>
    <t>MNeSV</t>
  </si>
  <si>
    <t>Arizona</t>
  </si>
  <si>
    <t>AF266518</t>
  </si>
  <si>
    <t>Regressovirinae</t>
  </si>
  <si>
    <t>Dianthovirus</t>
  </si>
  <si>
    <t>carnation ringspot virus</t>
  </si>
  <si>
    <t>CRSV</t>
  </si>
  <si>
    <t>RNA1: L18870; RNA2: M88589</t>
  </si>
  <si>
    <t>sweet clover necrotic mosaic virus</t>
  </si>
  <si>
    <t>SCNMV</t>
  </si>
  <si>
    <t>RNA1: L07884; RNA2: S46028</t>
  </si>
  <si>
    <t>red clover necrotic mosaic virus</t>
  </si>
  <si>
    <t>RCNMV</t>
  </si>
  <si>
    <t>RNA1: J04357; RNA2: X08021</t>
  </si>
  <si>
    <t>Luteovirus</t>
  </si>
  <si>
    <t>cherry-associated luteovirus</t>
  </si>
  <si>
    <t>ChaLV</t>
  </si>
  <si>
    <t>Prunus 43</t>
  </si>
  <si>
    <t>KX159470</t>
  </si>
  <si>
    <t>soybean dwarf virus</t>
  </si>
  <si>
    <t>SbDV</t>
  </si>
  <si>
    <t>YS</t>
  </si>
  <si>
    <t>AB038147</t>
  </si>
  <si>
    <t>barley yellow dwarf virus-kerII</t>
  </si>
  <si>
    <t>BYDVkerII</t>
  </si>
  <si>
    <t>K439</t>
  </si>
  <si>
    <t>KC571999</t>
  </si>
  <si>
    <t>barley yellow dwarf virus-kerIII</t>
  </si>
  <si>
    <t>BYDVkerIII</t>
  </si>
  <si>
    <t>K460</t>
  </si>
  <si>
    <t>KC559092</t>
  </si>
  <si>
    <t>apple luteovirus 1</t>
  </si>
  <si>
    <t>ALV1</t>
  </si>
  <si>
    <t>ALV1-PA8</t>
  </si>
  <si>
    <t>MF120198</t>
  </si>
  <si>
    <t>barley yellow dwarf virus-MAV</t>
  </si>
  <si>
    <t>BYDVPMAV</t>
  </si>
  <si>
    <t>MAV-PS1</t>
  </si>
  <si>
    <t>D11028</t>
  </si>
  <si>
    <t>nectarine stem pitting associated virus</t>
  </si>
  <si>
    <t>NSPaV</t>
  </si>
  <si>
    <t>SF04522E</t>
  </si>
  <si>
    <t>KT273409</t>
  </si>
  <si>
    <t>barley yellow dwarf virus-PAS</t>
  </si>
  <si>
    <t>BYDVPAS</t>
  </si>
  <si>
    <t>PAV-129</t>
  </si>
  <si>
    <t>AF218798</t>
  </si>
  <si>
    <t>barley yellow dwarf virus-PAV</t>
  </si>
  <si>
    <t>BYDVPAV</t>
  </si>
  <si>
    <t>X07653</t>
  </si>
  <si>
    <t>bean leafroll virus</t>
  </si>
  <si>
    <t>BLRV</t>
  </si>
  <si>
    <t>Domier</t>
  </si>
  <si>
    <t>AF441393</t>
  </si>
  <si>
    <t>rose spring dwarf-associated virus</t>
  </si>
  <si>
    <t>RSDaV</t>
  </si>
  <si>
    <t>EU024678</t>
  </si>
  <si>
    <t>apple-associated luteovirus</t>
  </si>
  <si>
    <t>AaLV</t>
  </si>
  <si>
    <t>AaLV-A68</t>
  </si>
  <si>
    <t>MF580384</t>
  </si>
  <si>
    <t>red clover-associated luteovirus</t>
  </si>
  <si>
    <t>RCaV</t>
  </si>
  <si>
    <t>RCaV-HZ8</t>
  </si>
  <si>
    <t>MG597244</t>
  </si>
  <si>
    <t>Lenarviricota</t>
  </si>
  <si>
    <t>Amabiliviricetes</t>
  </si>
  <si>
    <t>Wolframvirales</t>
  </si>
  <si>
    <t>Narnaviridae</t>
  </si>
  <si>
    <t>Narnavirus</t>
  </si>
  <si>
    <t>Saccharomyces 20S RNA narnavirus</t>
  </si>
  <si>
    <t>ScNV20S</t>
  </si>
  <si>
    <t>37-4C</t>
  </si>
  <si>
    <t>AF039063</t>
  </si>
  <si>
    <t>Saccharomyces 23S RNA narnavirus</t>
  </si>
  <si>
    <t>ScNV23S</t>
  </si>
  <si>
    <t>U90136</t>
  </si>
  <si>
    <t>Howeltoviricetes</t>
  </si>
  <si>
    <t>Cryppavirales</t>
  </si>
  <si>
    <t>Mitoviridae</t>
  </si>
  <si>
    <t>Duamitovirus</t>
  </si>
  <si>
    <t>Alternaria alternata mitovirus 1</t>
  </si>
  <si>
    <t>AaMV1</t>
  </si>
  <si>
    <t>3Sy3</t>
  </si>
  <si>
    <t>MK584829</t>
  </si>
  <si>
    <t>Azolla filiculoides mitovirus 1</t>
  </si>
  <si>
    <t>AzfiMV1</t>
  </si>
  <si>
    <t>Stockholm1</t>
  </si>
  <si>
    <t>BK010423</t>
  </si>
  <si>
    <t>Beta vulgaris mitovirus 1</t>
  </si>
  <si>
    <t>BevuMV1</t>
  </si>
  <si>
    <t>VDH66156</t>
  </si>
  <si>
    <t>MG721540</t>
  </si>
  <si>
    <t>Botrytis cinerea mitovirus 1</t>
  </si>
  <si>
    <t>BcMV-1</t>
  </si>
  <si>
    <t>CanBc-1c-78</t>
  </si>
  <si>
    <t>EF580100</t>
  </si>
  <si>
    <t>Botrytis cinerea mitovirus 3</t>
  </si>
  <si>
    <t>BcMV-3</t>
  </si>
  <si>
    <t>pi285.8</t>
  </si>
  <si>
    <t>LN827942</t>
  </si>
  <si>
    <t>Botryosphaeria dothidea mitovirus 1</t>
  </si>
  <si>
    <t>BdMV1</t>
  </si>
  <si>
    <t>HNLJ-1</t>
  </si>
  <si>
    <t>MT676452</t>
  </si>
  <si>
    <t>Buergenerula spartinae mitovirus 1</t>
  </si>
  <si>
    <t>BsMV1</t>
  </si>
  <si>
    <t>YDC07</t>
  </si>
  <si>
    <t>KJ485703</t>
  </si>
  <si>
    <t>Cannabis sativa mitovirus 1</t>
  </si>
  <si>
    <t>CasaMV1</t>
  </si>
  <si>
    <t>Purple Kush</t>
  </si>
  <si>
    <t>BK010428</t>
  </si>
  <si>
    <t>Ceratobasidium mitovirus 1</t>
  </si>
  <si>
    <t>CbMV1</t>
  </si>
  <si>
    <t>MUT4210</t>
  </si>
  <si>
    <t>MN736968</t>
  </si>
  <si>
    <t>Chenopodium quinoa mitovirus 1</t>
  </si>
  <si>
    <t>CqMV1</t>
  </si>
  <si>
    <t>IPSP1</t>
  </si>
  <si>
    <t>MF375475</t>
  </si>
  <si>
    <t>Clitocybe odora virus</t>
  </si>
  <si>
    <t>COV</t>
  </si>
  <si>
    <t>Holm</t>
  </si>
  <si>
    <t>HE717021</t>
  </si>
  <si>
    <t>Cryphonectria mitovirus 1</t>
  </si>
  <si>
    <t>CMV1</t>
  </si>
  <si>
    <t>NB631</t>
  </si>
  <si>
    <t>L31849</t>
  </si>
  <si>
    <t>Dahlia pinnata mitovirus 1</t>
  </si>
  <si>
    <t>DapiMV1</t>
  </si>
  <si>
    <t>Rio Riata</t>
  </si>
  <si>
    <t>BK010429</t>
  </si>
  <si>
    <t>Epicoccum nigrum mitovirus 1</t>
  </si>
  <si>
    <t>EnMV1</t>
  </si>
  <si>
    <t>34SY2</t>
  </si>
  <si>
    <t>MK584828</t>
  </si>
  <si>
    <t>Fusarium boothii mitovirus 1</t>
  </si>
  <si>
    <t>FbMV1</t>
  </si>
  <si>
    <t>Ep-BL13</t>
  </si>
  <si>
    <t>LC425112</t>
  </si>
  <si>
    <t>Fusarium poae mitovirus 3</t>
  </si>
  <si>
    <t>FpMV3</t>
  </si>
  <si>
    <t>MAFF 240374</t>
  </si>
  <si>
    <t>LC150566</t>
  </si>
  <si>
    <t>Fusarium poae mitovirus 4</t>
  </si>
  <si>
    <t>FpMV4</t>
  </si>
  <si>
    <t>LC150567</t>
  </si>
  <si>
    <t>Gigaspora margarita mitovirus 1</t>
  </si>
  <si>
    <t>GmMV1</t>
  </si>
  <si>
    <t>BEG34</t>
  </si>
  <si>
    <t>MG256173</t>
  </si>
  <si>
    <t>Gigaspora margarita mitovirus 2</t>
  </si>
  <si>
    <t>GmMV2</t>
  </si>
  <si>
    <t>MG256174</t>
  </si>
  <si>
    <t>Gigaspora margarita mitovirus 3</t>
  </si>
  <si>
    <t>GmMV3</t>
  </si>
  <si>
    <t>MG256175</t>
  </si>
  <si>
    <t>Gigaspora margarita mitovirus 4</t>
  </si>
  <si>
    <t>GmMV4</t>
  </si>
  <si>
    <t>MG256176</t>
  </si>
  <si>
    <t>Heterobasidion mitovirus 1</t>
  </si>
  <si>
    <t>HetMV1-an1</t>
  </si>
  <si>
    <t>KJ873059</t>
  </si>
  <si>
    <t>Heterobasidion mitovirus 3</t>
  </si>
  <si>
    <t>HetMV3-an1</t>
  </si>
  <si>
    <t>MN058208</t>
  </si>
  <si>
    <t>Heterobasidion [parviporum] mitovirus 3</t>
  </si>
  <si>
    <t>HetMV3-pa1</t>
  </si>
  <si>
    <t>MN058214</t>
  </si>
  <si>
    <t>Humulus lupulus mitovirus 1</t>
  </si>
  <si>
    <t>HuluMV1</t>
  </si>
  <si>
    <t>Karahanasou</t>
  </si>
  <si>
    <t>BK010431</t>
  </si>
  <si>
    <t>Neofusicoccum parvum mitovirus 1</t>
  </si>
  <si>
    <t>NpMV1</t>
  </si>
  <si>
    <t>7AS3</t>
  </si>
  <si>
    <t>MK584831</t>
  </si>
  <si>
    <t>Nigrospora oryzae mitovirus 1</t>
  </si>
  <si>
    <t>NoMV1</t>
  </si>
  <si>
    <t>CS-7.5-4</t>
  </si>
  <si>
    <t>MH823901</t>
  </si>
  <si>
    <t>Ophiostoma mitovirus 1a</t>
  </si>
  <si>
    <t>OMV1a</t>
  </si>
  <si>
    <t>Ld</t>
  </si>
  <si>
    <t>AM087548</t>
  </si>
  <si>
    <t>Ophiostoma mitovirus 1b</t>
  </si>
  <si>
    <t>OMV1b</t>
  </si>
  <si>
    <t>AM087549</t>
  </si>
  <si>
    <t>Ophiostoma mitovirus 1c</t>
  </si>
  <si>
    <t>OMV1c</t>
  </si>
  <si>
    <t>93-1224</t>
  </si>
  <si>
    <t>KF026355</t>
  </si>
  <si>
    <t>ophiostoma mitovirus 3a</t>
  </si>
  <si>
    <t>OMV3a</t>
  </si>
  <si>
    <t>OnuLd</t>
  </si>
  <si>
    <t>AJ004930</t>
  </si>
  <si>
    <t>Ophiostoma mitovirus 3b</t>
  </si>
  <si>
    <t>OMV3b</t>
  </si>
  <si>
    <t>AM087550</t>
  </si>
  <si>
    <t>Oxybasis rubra mitovirus 1</t>
  </si>
  <si>
    <t>OxruMV1</t>
  </si>
  <si>
    <t>BK010427</t>
  </si>
  <si>
    <t>Petunia exserta mitovirus 1</t>
  </si>
  <si>
    <t>PeexMV1</t>
  </si>
  <si>
    <t>OPGC 943</t>
  </si>
  <si>
    <t>BK010426</t>
  </si>
  <si>
    <t>Rhizoctonia cerealis mitovirus</t>
  </si>
  <si>
    <t>RcMV1</t>
  </si>
  <si>
    <t>AG-DI/R1084</t>
  </si>
  <si>
    <t>KM517201</t>
  </si>
  <si>
    <t>Rhizophagus irregularis mitovirus 1</t>
  </si>
  <si>
    <t>RirMV1</t>
  </si>
  <si>
    <t>MH732933</t>
  </si>
  <si>
    <t>Rhizoctonia solani mitovirus 21</t>
  </si>
  <si>
    <t>RsMV21</t>
  </si>
  <si>
    <t>AG2-2 LP/IBRS23</t>
  </si>
  <si>
    <t>MK372892</t>
  </si>
  <si>
    <t>Rhizoctonia solani mitovirus 25</t>
  </si>
  <si>
    <t>RsMV25</t>
  </si>
  <si>
    <t>AG2-2 LP/IBRS04</t>
  </si>
  <si>
    <t>MK372894</t>
  </si>
  <si>
    <t>Rhizoctonia solani mitovirus 26</t>
  </si>
  <si>
    <t>RsMV26</t>
  </si>
  <si>
    <t>MK372895</t>
  </si>
  <si>
    <t>Rhizoctonia solani mitovirus 27</t>
  </si>
  <si>
    <t>RsMV27</t>
  </si>
  <si>
    <t>MK372896</t>
  </si>
  <si>
    <t>Rhizoctonia solani mitovirus 31</t>
  </si>
  <si>
    <t>RsMV31</t>
  </si>
  <si>
    <t>AG2-2 LP IBRS07</t>
  </si>
  <si>
    <t>MK372900</t>
  </si>
  <si>
    <t>Rhizoctonia solani mitovirus 32</t>
  </si>
  <si>
    <t>RsMV32</t>
  </si>
  <si>
    <t>MK372901</t>
  </si>
  <si>
    <t>Rhizoctonia solani mitovirus 34</t>
  </si>
  <si>
    <t>RsMV34</t>
  </si>
  <si>
    <t>MK372903</t>
  </si>
  <si>
    <t>Sclerotinia homoeocarpa mitovirus</t>
  </si>
  <si>
    <t>L-dsRNA</t>
  </si>
  <si>
    <t>Sh12B</t>
  </si>
  <si>
    <t>AY172454</t>
  </si>
  <si>
    <t>Sclerotinia nivalis mitovirus 2</t>
  </si>
  <si>
    <t>SsSn-1.m2</t>
  </si>
  <si>
    <t>SsSn-1</t>
  </si>
  <si>
    <t>KT365896</t>
  </si>
  <si>
    <t>Sclerotinia sclerotiorum mitovirus 3</t>
  </si>
  <si>
    <t>SsMV2/NZ1</t>
  </si>
  <si>
    <t>ICMP 16235</t>
  </si>
  <si>
    <t>JX401537</t>
  </si>
  <si>
    <t>Sclerotinia sclerotiorum mitovirus 6</t>
  </si>
  <si>
    <t>SsMV6</t>
  </si>
  <si>
    <t>KJ462512</t>
  </si>
  <si>
    <t>Solanum chacoense mitovirus 1</t>
  </si>
  <si>
    <t>SochMV1</t>
  </si>
  <si>
    <t>G4</t>
  </si>
  <si>
    <t>BK010425</t>
  </si>
  <si>
    <t>Tuber aestivum mitovirus</t>
  </si>
  <si>
    <t>TaMV</t>
  </si>
  <si>
    <t>Jaszag 2</t>
  </si>
  <si>
    <t>HQ992989</t>
  </si>
  <si>
    <t>Kvaramitovirus</t>
  </si>
  <si>
    <t>Ophiostoma mitovirus 7</t>
  </si>
  <si>
    <t>OnuMV7</t>
  </si>
  <si>
    <t>KF031943</t>
  </si>
  <si>
    <t>Triamitovirus</t>
  </si>
  <si>
    <t>Ceratobasidium mitovirus A</t>
  </si>
  <si>
    <t>Murdoch-1</t>
  </si>
  <si>
    <t>KU291923</t>
  </si>
  <si>
    <t>Geopora sumneriana mitovirus 1</t>
  </si>
  <si>
    <t>GsMV1</t>
  </si>
  <si>
    <t>ANK Akata &amp; Altuntas 92</t>
  </si>
  <si>
    <t>MN043682</t>
  </si>
  <si>
    <t>Rhizophagus sp. RF1 mitovirus</t>
  </si>
  <si>
    <t>RF1</t>
  </si>
  <si>
    <t>AB558120</t>
  </si>
  <si>
    <t>Rhizoctonia oryzae-sativae mitovirus 1</t>
  </si>
  <si>
    <t>RoMV1</t>
  </si>
  <si>
    <t>89-1</t>
  </si>
  <si>
    <t>KU057949</t>
  </si>
  <si>
    <t>Rhizoctonia mitovirus 1 RS002</t>
  </si>
  <si>
    <t>RMV-1-RS002</t>
  </si>
  <si>
    <t>AG-3PT/RS002</t>
  </si>
  <si>
    <t>KC792591</t>
  </si>
  <si>
    <t>Rhizoctonia solani mitovirus 23</t>
  </si>
  <si>
    <t>RsMV23</t>
  </si>
  <si>
    <t>AG2-2 LP/IBRS07</t>
  </si>
  <si>
    <t>MK375261</t>
  </si>
  <si>
    <t>Rhizoctonia solani mitovirus 30</t>
  </si>
  <si>
    <t>RsMV30</t>
  </si>
  <si>
    <t>AG2-2 LP/IBRS19</t>
  </si>
  <si>
    <t>MK372899</t>
  </si>
  <si>
    <t>Rhizoctonia solani mitovirus 39</t>
  </si>
  <si>
    <t>RsMV39</t>
  </si>
  <si>
    <t>AG2-2IIIB/RR17</t>
  </si>
  <si>
    <t>MN448505</t>
  </si>
  <si>
    <t>Tuber excavatum mitovirus</t>
  </si>
  <si>
    <t>TeMV</t>
  </si>
  <si>
    <t>Lammspringe</t>
  </si>
  <si>
    <t>JN222389</t>
  </si>
  <si>
    <t>Unuamitovirus</t>
  </si>
  <si>
    <t>Agaricus bisporus mitovirus 1</t>
  </si>
  <si>
    <t>AbMV1</t>
  </si>
  <si>
    <t>A15 1283</t>
  </si>
  <si>
    <t>KY357500</t>
  </si>
  <si>
    <t>Alternaria arborescens mitovirus 1</t>
  </si>
  <si>
    <t>EGS 39-128</t>
  </si>
  <si>
    <t>LC145036</t>
  </si>
  <si>
    <t>Alternaria brassicicola mitovirus</t>
  </si>
  <si>
    <t>HXY12-15</t>
  </si>
  <si>
    <t>KP705075</t>
  </si>
  <si>
    <t>Botrytis cinerea mitovirus 2</t>
  </si>
  <si>
    <t>BcMV-2</t>
  </si>
  <si>
    <t>LN827941</t>
  </si>
  <si>
    <t>Botrytis cinerea mitovirus 4</t>
  </si>
  <si>
    <t>BcMV-4</t>
  </si>
  <si>
    <t>V448</t>
  </si>
  <si>
    <t>LN827947</t>
  </si>
  <si>
    <t>Cronartium ribicola mitovirus 1</t>
  </si>
  <si>
    <t>CrMV1</t>
  </si>
  <si>
    <t>BC-u3</t>
  </si>
  <si>
    <t>KT921179</t>
  </si>
  <si>
    <t>Cronartium ribicola mitovirus 2</t>
  </si>
  <si>
    <t>CrMV2</t>
  </si>
  <si>
    <t>KT921180</t>
  </si>
  <si>
    <t>Cronartium ribicola mitovirus 3</t>
  </si>
  <si>
    <t>CrMV3</t>
  </si>
  <si>
    <t>KT921181</t>
  </si>
  <si>
    <t>Cronartium ribicola mitovirus 4</t>
  </si>
  <si>
    <t>CrMV4</t>
  </si>
  <si>
    <t>KT921182</t>
  </si>
  <si>
    <t>Cronartium ribicola mitovirus 5</t>
  </si>
  <si>
    <t>CrMV5</t>
  </si>
  <si>
    <t>KT921183</t>
  </si>
  <si>
    <t>Diaporthe rudis mitovirus 1</t>
  </si>
  <si>
    <t>DrMV1</t>
  </si>
  <si>
    <t>5E</t>
  </si>
  <si>
    <t>MT216310</t>
  </si>
  <si>
    <t>Entomophthora muscae mitovirus 1</t>
  </si>
  <si>
    <t>EnmuMV1</t>
  </si>
  <si>
    <t>KVL-14-117</t>
  </si>
  <si>
    <t>MK682513</t>
  </si>
  <si>
    <t>Entomophthora muscae mitovirus 2</t>
  </si>
  <si>
    <t>EnmuMV2</t>
  </si>
  <si>
    <t>MK682514</t>
  </si>
  <si>
    <t>Entomophthora muscae mitovirus 3</t>
  </si>
  <si>
    <t>EnmuMV3</t>
  </si>
  <si>
    <t>MK682515</t>
  </si>
  <si>
    <t>Entomophthora muscae mitovirus 4</t>
  </si>
  <si>
    <t>EnmuMV4</t>
  </si>
  <si>
    <t>MK682516</t>
  </si>
  <si>
    <t>Entomophthora muscae mitovirus 5</t>
  </si>
  <si>
    <t>EnmuMV5</t>
  </si>
  <si>
    <t>MK682517</t>
  </si>
  <si>
    <t>Entomophthora muscae mitovirus 6</t>
  </si>
  <si>
    <t>EnmuMV6</t>
  </si>
  <si>
    <t>MK682518</t>
  </si>
  <si>
    <t>Entomophthora muscae mitovirus 7</t>
  </si>
  <si>
    <t>EnmuMV7</t>
  </si>
  <si>
    <t>MK682519</t>
  </si>
  <si>
    <t>Entomophthora muscae mitovirus 8</t>
  </si>
  <si>
    <t>EnmuMV8</t>
  </si>
  <si>
    <t>Berkeley</t>
  </si>
  <si>
    <t>BK010736</t>
  </si>
  <si>
    <t>Fusarium andiyazi mitovirus 1</t>
  </si>
  <si>
    <t>FaMV1</t>
  </si>
  <si>
    <t>Fa162-ARG</t>
  </si>
  <si>
    <t>MT506025</t>
  </si>
  <si>
    <t>Fusarium circinatum mitovirus 1</t>
  </si>
  <si>
    <t>FcMV1</t>
  </si>
  <si>
    <t>FcCa070</t>
  </si>
  <si>
    <t>KF803546</t>
  </si>
  <si>
    <t>Fusarium circinatum mitovirus 2-1</t>
  </si>
  <si>
    <t>FcMV2-1</t>
  </si>
  <si>
    <t>KF803547</t>
  </si>
  <si>
    <t>Fusarium coeruleum mitovirus 1</t>
  </si>
  <si>
    <t>FcoMV1</t>
  </si>
  <si>
    <t>MAFF 235976</t>
  </si>
  <si>
    <t>LC006129</t>
  </si>
  <si>
    <t>Fusarium globosum mitovirus 1</t>
  </si>
  <si>
    <t>FgMV1</t>
  </si>
  <si>
    <t>MAFF 237511</t>
  </si>
  <si>
    <t>LC006128</t>
  </si>
  <si>
    <t>Fusarium oxysporum f. sp. dianthi mitovirus 1</t>
  </si>
  <si>
    <t>FodMV1</t>
  </si>
  <si>
    <t>Fod 312</t>
  </si>
  <si>
    <t>MN586595</t>
  </si>
  <si>
    <t>Fusarium poae mitovirus 1</t>
  </si>
  <si>
    <t>FpMV1</t>
  </si>
  <si>
    <t>LC150564</t>
  </si>
  <si>
    <t>Fusarium poae mitovirus 2</t>
  </si>
  <si>
    <t>FpMV2</t>
  </si>
  <si>
    <t>LC150565</t>
  </si>
  <si>
    <t>Fusarium verticillioides mitovirus 1</t>
  </si>
  <si>
    <t>FvMV1</t>
  </si>
  <si>
    <t>FvSec505-ARG</t>
  </si>
  <si>
    <t>MT506024</t>
  </si>
  <si>
    <t>Gremmeniella mitovirus S1</t>
  </si>
  <si>
    <t>GaMRV-S1</t>
  </si>
  <si>
    <t>Luu7</t>
  </si>
  <si>
    <t>AF534641</t>
  </si>
  <si>
    <t>Gremmeniella abietina mitovirus 2</t>
  </si>
  <si>
    <t>GMV2</t>
  </si>
  <si>
    <t>JN654496</t>
  </si>
  <si>
    <t>Heterobasidion mitovirus 2</t>
  </si>
  <si>
    <t>HetMV2</t>
  </si>
  <si>
    <t>MN058206</t>
  </si>
  <si>
    <t>Helicobasidium mompa mitovirus 1-18</t>
  </si>
  <si>
    <t>HmMV1-18</t>
  </si>
  <si>
    <t>V18</t>
  </si>
  <si>
    <t>AB110977</t>
  </si>
  <si>
    <t>Hymenoscyphus fraxineus [albidus] mitovirus 1</t>
  </si>
  <si>
    <t>HfMV1</t>
  </si>
  <si>
    <t>Ha_F_CAR10</t>
  </si>
  <si>
    <t>MK079847</t>
  </si>
  <si>
    <t>Hymenoscyphus fraxineus mitovirus 1</t>
  </si>
  <si>
    <t>C436</t>
  </si>
  <si>
    <t>KJ667051</t>
  </si>
  <si>
    <t>Leptosphaeria biglobosa mitovirus 1</t>
  </si>
  <si>
    <t>LbMV1</t>
  </si>
  <si>
    <t>H3-38</t>
  </si>
  <si>
    <t>MG659316</t>
  </si>
  <si>
    <t>Nigrospora oryzae mitovirus 2</t>
  </si>
  <si>
    <t>NoMV2</t>
  </si>
  <si>
    <t>MH823902</t>
  </si>
  <si>
    <t>ophiostoma mitovirus 4</t>
  </si>
  <si>
    <t>OMV4</t>
  </si>
  <si>
    <t>AJ132754</t>
  </si>
  <si>
    <t>ophiostoma mitovirus 5</t>
  </si>
  <si>
    <t>OMV5</t>
  </si>
  <si>
    <t>AJ132755</t>
  </si>
  <si>
    <t>ophiostoma mitovirus 6</t>
  </si>
  <si>
    <t>OMV6</t>
  </si>
  <si>
    <t>AJ132756</t>
  </si>
  <si>
    <t>Puccinia striiformis mitovirus 1</t>
  </si>
  <si>
    <t>PsMV1</t>
  </si>
  <si>
    <t>SCSN-10</t>
  </si>
  <si>
    <t>MK033478</t>
  </si>
  <si>
    <t>Sclerotinia nivalis mitovirus 1</t>
  </si>
  <si>
    <t>SnMV1</t>
  </si>
  <si>
    <t>KT365895</t>
  </si>
  <si>
    <t>Sclerotinia sclerotiorum mitovirus 1</t>
  </si>
  <si>
    <t>SsMV1</t>
  </si>
  <si>
    <t>KL-1</t>
  </si>
  <si>
    <t>JQ013377</t>
  </si>
  <si>
    <t>Sclerotinia sclerotiorum mitovirus 2</t>
  </si>
  <si>
    <t>SsMV2</t>
  </si>
  <si>
    <t>JQ013378</t>
  </si>
  <si>
    <t>Sclerotinia sclerotiorum mitovirus 4</t>
  </si>
  <si>
    <t>SsMV4</t>
  </si>
  <si>
    <t>JX401538</t>
  </si>
  <si>
    <t>Sclerotinia sclerotiorum mitovirus 7</t>
  </si>
  <si>
    <t>SsMV7</t>
  </si>
  <si>
    <t>Lu471</t>
  </si>
  <si>
    <t>KJ462514</t>
  </si>
  <si>
    <t>Thielaviopsis basicola mitovirus</t>
  </si>
  <si>
    <t>CeMV</t>
  </si>
  <si>
    <t>BK18</t>
  </si>
  <si>
    <t>AY563138</t>
  </si>
  <si>
    <t>Leviviricetes</t>
  </si>
  <si>
    <t>Chimpavirus</t>
  </si>
  <si>
    <t>ssRNA phage SRR7976300_2</t>
  </si>
  <si>
    <t>BK013715</t>
  </si>
  <si>
    <t>Mahrahovirus</t>
  </si>
  <si>
    <t>ssRNA phage AVE006</t>
  </si>
  <si>
    <t>KT462700</t>
  </si>
  <si>
    <t>Nicedsevirus</t>
  </si>
  <si>
    <t>ssRNA phage SRR7976325_11</t>
  </si>
  <si>
    <t>BK013744</t>
  </si>
  <si>
    <t>Skrubnovirus</t>
  </si>
  <si>
    <t>ssRNA phage Gerhypos.1_40</t>
  </si>
  <si>
    <t>BK014009</t>
  </si>
  <si>
    <t>Norzivirales</t>
  </si>
  <si>
    <t>Atkinsviridae</t>
  </si>
  <si>
    <t>Andhevirus</t>
  </si>
  <si>
    <t>ssRNA phage Gephyllon.2_13</t>
  </si>
  <si>
    <t>BK013421</t>
  </si>
  <si>
    <t>Apihcavirus</t>
  </si>
  <si>
    <t>ssRNA phage Gerhypos.2_20</t>
  </si>
  <si>
    <t>BK013498</t>
  </si>
  <si>
    <t>ssRNA phage SRR7976325_2</t>
  </si>
  <si>
    <t>BK014192</t>
  </si>
  <si>
    <t>Arihsbuvirus</t>
  </si>
  <si>
    <t>ssRNA phage SRR7976299_3</t>
  </si>
  <si>
    <t>BK013713</t>
  </si>
  <si>
    <t>Bahdevuvirus</t>
  </si>
  <si>
    <t>ssRNA phage SRR5466365_1</t>
  </si>
  <si>
    <t>BK013631</t>
  </si>
  <si>
    <t>ssRNA phage SRR5466725_3</t>
  </si>
  <si>
    <t>BK014098</t>
  </si>
  <si>
    <t>Bilifuvirus</t>
  </si>
  <si>
    <t>ssRNA phage ESE020</t>
  </si>
  <si>
    <t>BK013375</t>
  </si>
  <si>
    <t>Blinduvirus</t>
  </si>
  <si>
    <t>ssRNA phage SRR5466728_1</t>
  </si>
  <si>
    <t>BK014110</t>
  </si>
  <si>
    <t>ssRNA phage Gerhypos.4_36</t>
  </si>
  <si>
    <t>BK013562</t>
  </si>
  <si>
    <t>Cahtebovirus</t>
  </si>
  <si>
    <t>ssRNA phage Gephyllon.4_5</t>
  </si>
  <si>
    <t>BK013539</t>
  </si>
  <si>
    <t>Chinihovirus</t>
  </si>
  <si>
    <t>ssRNA phage SRR7976301_2</t>
  </si>
  <si>
    <t>BK013727</t>
  </si>
  <si>
    <t>Chounavirus</t>
  </si>
  <si>
    <t>ssRNA phage Gerhypos.2_38</t>
  </si>
  <si>
    <t>BK013545</t>
  </si>
  <si>
    <t>Cihsnivirus</t>
  </si>
  <si>
    <t>ssRNA phage SRR6254353_1</t>
  </si>
  <si>
    <t>BK014136</t>
  </si>
  <si>
    <t>Diydovirus</t>
  </si>
  <si>
    <t>ssRNA phage SRR6960509_2</t>
  </si>
  <si>
    <t>BK014140</t>
  </si>
  <si>
    <t>Dugnivirus</t>
  </si>
  <si>
    <t>ssRNA phage Gerhypos.2_22</t>
  </si>
  <si>
    <t>BK013522</t>
  </si>
  <si>
    <t>ssRNA phage Gephyllon.2_10</t>
  </si>
  <si>
    <t>BK013780</t>
  </si>
  <si>
    <t>ssRNA phage Gephyllon.3_17</t>
  </si>
  <si>
    <t>BK013469</t>
  </si>
  <si>
    <t>Firunevirus</t>
  </si>
  <si>
    <t>ssRNA phage SRR5467090_1</t>
  </si>
  <si>
    <t>BK013653</t>
  </si>
  <si>
    <t>Gohshovirus</t>
  </si>
  <si>
    <t>ssRNA phage SRR7976356_4</t>
  </si>
  <si>
    <t>BK013760</t>
  </si>
  <si>
    <t>Hehspivirus</t>
  </si>
  <si>
    <t>ssRNA phage Zoerhiza.4_1</t>
  </si>
  <si>
    <t>BK013448</t>
  </si>
  <si>
    <t>Helacdivirus</t>
  </si>
  <si>
    <t>ssRNA phage SRR6050738_1</t>
  </si>
  <si>
    <t>BK013574</t>
  </si>
  <si>
    <t>Hirvovirus</t>
  </si>
  <si>
    <t>ssRNA phage SRR7976310_1</t>
  </si>
  <si>
    <t>BK013728</t>
  </si>
  <si>
    <t>Huhmpluvirus</t>
  </si>
  <si>
    <t>ssRNA phage SRR5466728_2</t>
  </si>
  <si>
    <t>BK014112</t>
  </si>
  <si>
    <t>Huleruivirus</t>
  </si>
  <si>
    <t>ssRNA phage Gerhypos.2_18</t>
  </si>
  <si>
    <t>BK013524</t>
  </si>
  <si>
    <t>Hysdruvirus</t>
  </si>
  <si>
    <t>ssRNA phage Esthiorhiza.2_46</t>
  </si>
  <si>
    <t>BK013392</t>
  </si>
  <si>
    <t>ssRNA phage Esthiorhiza.3_13</t>
  </si>
  <si>
    <t>BK013934</t>
  </si>
  <si>
    <t>ssRNA phage Gerhypos.1_5</t>
  </si>
  <si>
    <t>BK013875</t>
  </si>
  <si>
    <t>ssRNA phage Gerhypos.1_41</t>
  </si>
  <si>
    <t>BK013502</t>
  </si>
  <si>
    <t>ssRNA phage Gerhypos.4_10</t>
  </si>
  <si>
    <t>BK013888</t>
  </si>
  <si>
    <t>ssRNA phage Zoerhiza.3_1</t>
  </si>
  <si>
    <t>BK013981</t>
  </si>
  <si>
    <t>Ichonovirus</t>
  </si>
  <si>
    <t>ssRNA phage SRR7976357_3</t>
  </si>
  <si>
    <t>BK013768</t>
  </si>
  <si>
    <t>ssRNA phage SRR6960509_1</t>
  </si>
  <si>
    <t>BK013684</t>
  </si>
  <si>
    <t>Isoihlovirus</t>
  </si>
  <si>
    <t>ssRNA phage Zoerhiza.1_9</t>
  </si>
  <si>
    <t>BK013420</t>
  </si>
  <si>
    <t>Kempsvovirus</t>
  </si>
  <si>
    <t>ssRNA phage SRR5466337_1</t>
  </si>
  <si>
    <t>BK014081</t>
  </si>
  <si>
    <t>Kihrivirus</t>
  </si>
  <si>
    <t>ssRNA phage SRR6960803_3</t>
  </si>
  <si>
    <t>BK013609</t>
  </si>
  <si>
    <t>Kimihcavirus</t>
  </si>
  <si>
    <t>ssRNA phage SRR7976356_3</t>
  </si>
  <si>
    <t>BK014211</t>
  </si>
  <si>
    <t>Kudohovirus</t>
  </si>
  <si>
    <t>ssRNA phage SRR7976326_2</t>
  </si>
  <si>
    <t>BK013755</t>
  </si>
  <si>
    <t>Kuhfotivirus</t>
  </si>
  <si>
    <t>ssRNA phage SRR5467139_1</t>
  </si>
  <si>
    <t>BK014129</t>
  </si>
  <si>
    <t>Lahcomavirus</t>
  </si>
  <si>
    <t>ssRNA phage SRR5467091_2</t>
  </si>
  <si>
    <t>BK014123</t>
  </si>
  <si>
    <t>ssRNA phage SRR5466364_2</t>
  </si>
  <si>
    <t>BK013630</t>
  </si>
  <si>
    <t>ssRNA phage SRR5467091_3</t>
  </si>
  <si>
    <t>BK013664</t>
  </si>
  <si>
    <t>ssRNA phage SRR6960551_2</t>
  </si>
  <si>
    <t>BK013695</t>
  </si>
  <si>
    <t>ssRNA phage SRR7976325_3</t>
  </si>
  <si>
    <t>BK014206</t>
  </si>
  <si>
    <t>ssRNA phage Gephyllon.1_9</t>
  </si>
  <si>
    <t>BK013885</t>
  </si>
  <si>
    <t>Lobdovirus</t>
  </si>
  <si>
    <t>ssRNA phage Gerhypos.4_28</t>
  </si>
  <si>
    <t>BK013785</t>
  </si>
  <si>
    <t>ssRNA phage Zoerhiza.4_15</t>
  </si>
  <si>
    <t>BK013414</t>
  </si>
  <si>
    <t>ssRNA phage Zoerhiza.1_12</t>
  </si>
  <si>
    <t>BK013915</t>
  </si>
  <si>
    <t>ssRNA phage Esthiorhiza.3_4</t>
  </si>
  <si>
    <t>BK013855</t>
  </si>
  <si>
    <t>ssRNA phage Gephyllon.2_11</t>
  </si>
  <si>
    <t>BK013840</t>
  </si>
  <si>
    <t>Madisduvirus</t>
  </si>
  <si>
    <t>ssRNA phage SRR7976299_1</t>
  </si>
  <si>
    <t>BK013711</t>
  </si>
  <si>
    <t>Mitdiwavirus</t>
  </si>
  <si>
    <t>ssRNA phage SRR7976299_2</t>
  </si>
  <si>
    <t>BK014171</t>
  </si>
  <si>
    <t>Moloevirus</t>
  </si>
  <si>
    <t>ssRNA phage Gerhypos.2_9</t>
  </si>
  <si>
    <t>BK013880</t>
  </si>
  <si>
    <t>Monekavirus</t>
  </si>
  <si>
    <t>ssRNA phage SRR6960803_1</t>
  </si>
  <si>
    <t>BK014072</t>
  </si>
  <si>
    <t>ssRNA phage SRR7976301_1</t>
  </si>
  <si>
    <t>BK013726</t>
  </si>
  <si>
    <t>Neratovirus</t>
  </si>
  <si>
    <t>ssRNA phage SRR7976357_4</t>
  </si>
  <si>
    <t>BK013765</t>
  </si>
  <si>
    <t>Niginuvirus</t>
  </si>
  <si>
    <t>ssRNA phage SRR7976356_1</t>
  </si>
  <si>
    <t>BK014212</t>
  </si>
  <si>
    <t>Pagohnivirus</t>
  </si>
  <si>
    <t>ssRNA phage Zoerhiza.2_8</t>
  </si>
  <si>
    <t>BK013975</t>
  </si>
  <si>
    <t>Pihngevirus</t>
  </si>
  <si>
    <t>ssRNA phage Esthiorhiza.2_7</t>
  </si>
  <si>
    <t>BK013902</t>
  </si>
  <si>
    <t>ssRNA phage Gephyllon.3_2</t>
  </si>
  <si>
    <t>BK014039</t>
  </si>
  <si>
    <t>ssRNA phage Gephyllon.4_3</t>
  </si>
  <si>
    <t>BK013948</t>
  </si>
  <si>
    <t>Pohlydovirus</t>
  </si>
  <si>
    <t>ssRNA phage Esthiorhiza.4_2</t>
  </si>
  <si>
    <t>BK013935</t>
  </si>
  <si>
    <t>ssRNA phage Zoerhiza.3_2</t>
  </si>
  <si>
    <t>BK014011</t>
  </si>
  <si>
    <t>Psoetuvirus</t>
  </si>
  <si>
    <t>ssRNA phage Zoerhiza.1_27</t>
  </si>
  <si>
    <t>BK013770</t>
  </si>
  <si>
    <t>ssRNA phage ESE018</t>
  </si>
  <si>
    <t>BK013373</t>
  </si>
  <si>
    <t>ssRNA phage SRR5466364_1</t>
  </si>
  <si>
    <t>BK013629</t>
  </si>
  <si>
    <t>ssRNA phage SRR6960549_1</t>
  </si>
  <si>
    <t>BK014151</t>
  </si>
  <si>
    <t>ssRNA phage SRR7976325_1</t>
  </si>
  <si>
    <t>BK014203</t>
  </si>
  <si>
    <t>ssRNA phage SRR7976357_1</t>
  </si>
  <si>
    <t>BK013764</t>
  </si>
  <si>
    <t>ssRNA phage SRR7976357_2</t>
  </si>
  <si>
    <t>BK014214</t>
  </si>
  <si>
    <t>ssRNA phage SRR5466725_4</t>
  </si>
  <si>
    <t>BK014093</t>
  </si>
  <si>
    <t>ssRNA phage SRR5467091_1</t>
  </si>
  <si>
    <t>BK013661</t>
  </si>
  <si>
    <t>ssRNA phage SRR6960551_1</t>
  </si>
  <si>
    <t>BK014156</t>
  </si>
  <si>
    <t>ssRNA phage SRR7976310_2</t>
  </si>
  <si>
    <t>BK014185</t>
  </si>
  <si>
    <t>ssRNA phage Esthiorhiza.2_15</t>
  </si>
  <si>
    <t>BK014002</t>
  </si>
  <si>
    <t>ssRNA phage Gerhypos.4_59</t>
  </si>
  <si>
    <t>BK013564</t>
  </si>
  <si>
    <t>ssRNA phage Zoerhiza.1_36</t>
  </si>
  <si>
    <t>BK013514</t>
  </si>
  <si>
    <t>ssRNA phage Zoerhiza.4_7</t>
  </si>
  <si>
    <t>BK013526</t>
  </si>
  <si>
    <t>Scloravirus</t>
  </si>
  <si>
    <t>ssRNA phage Gerhypos.3_27</t>
  </si>
  <si>
    <t>BK013456</t>
  </si>
  <si>
    <t>ssRNA phage Gephyllon.1_7</t>
  </si>
  <si>
    <t>BK013781</t>
  </si>
  <si>
    <t>Sdribtuvirus</t>
  </si>
  <si>
    <t>ssRNA phage Gephyllon.2_6</t>
  </si>
  <si>
    <t>BK014017</t>
  </si>
  <si>
    <t>ssRNA phage SRR6960803_2</t>
  </si>
  <si>
    <t>BK013607</t>
  </si>
  <si>
    <t>Stupavirus</t>
  </si>
  <si>
    <t>ssRNA phage Zoerhiza.2_26</t>
  </si>
  <si>
    <t>BK013967</t>
  </si>
  <si>
    <t>ssRNA phage Gerhypos.2_41</t>
  </si>
  <si>
    <t>BK013416</t>
  </si>
  <si>
    <t>ssRNA phage SRR7976356_2</t>
  </si>
  <si>
    <t>BK013761</t>
  </si>
  <si>
    <t>Wahbolevirus</t>
  </si>
  <si>
    <t>ssRNA phage SRR5466725_2</t>
  </si>
  <si>
    <t>BK014094</t>
  </si>
  <si>
    <t>Wecineivirus</t>
  </si>
  <si>
    <t>ssRNA phage SRR7976326_1</t>
  </si>
  <si>
    <t>BK014209</t>
  </si>
  <si>
    <t>Whodehavirus</t>
  </si>
  <si>
    <t>ssRNA phage SRR6960549_2</t>
  </si>
  <si>
    <t>BK014149</t>
  </si>
  <si>
    <t>Wulosvivirus</t>
  </si>
  <si>
    <t>ssRNA phage SRR5466725_1</t>
  </si>
  <si>
    <t>BK014104</t>
  </si>
  <si>
    <t>Yekorevirus</t>
  </si>
  <si>
    <t>ssRNA phage Gephyllon.1_12</t>
  </si>
  <si>
    <t>BK013403</t>
  </si>
  <si>
    <t>Yeshinuvirus</t>
  </si>
  <si>
    <t>ssRNA phage Esthiorhiza.4_4</t>
  </si>
  <si>
    <t>BK013492</t>
  </si>
  <si>
    <t>ssRNA phage Gephyllon.1_2</t>
  </si>
  <si>
    <t>BK013949</t>
  </si>
  <si>
    <t>Duinviridae</t>
  </si>
  <si>
    <t>Apeevirus</t>
  </si>
  <si>
    <t>Acinetobacter phage AP205</t>
  </si>
  <si>
    <t>AF334111</t>
  </si>
  <si>
    <t>Beshanovirus</t>
  </si>
  <si>
    <t>ssRNA phage SRR5995670_1</t>
  </si>
  <si>
    <t>BK014219</t>
  </si>
  <si>
    <t>Kahshuvirus</t>
  </si>
  <si>
    <t>ssRNA phage SRR7976325_5</t>
  </si>
  <si>
    <t>BK013751</t>
  </si>
  <si>
    <t>Kohmavirus</t>
  </si>
  <si>
    <t>ssRNA phage SRR6960803_4</t>
  </si>
  <si>
    <t>BK013611</t>
  </si>
  <si>
    <t>Samuneavirus</t>
  </si>
  <si>
    <t>ssRNA phage SRR6960509_4</t>
  </si>
  <si>
    <t>BK013685</t>
  </si>
  <si>
    <t>Tehuhdavirus</t>
  </si>
  <si>
    <t>ssRNA phage SRR5466725_8</t>
  </si>
  <si>
    <t>BK014092</t>
  </si>
  <si>
    <t>Fiersviridae</t>
  </si>
  <si>
    <t>ssRNA phage SRR7976300_7</t>
  </si>
  <si>
    <t>BK014173</t>
  </si>
  <si>
    <t>ssRNA phage ESE006</t>
  </si>
  <si>
    <t>BK013368</t>
  </si>
  <si>
    <t>Amubhivirus</t>
  </si>
  <si>
    <t>ssRNA phage Esthiorhiza.4_3</t>
  </si>
  <si>
    <t>BK013471</t>
  </si>
  <si>
    <t>Andhasavirus</t>
  </si>
  <si>
    <t>ssRNA phage Gerhypos.4_17</t>
  </si>
  <si>
    <t>BK013862</t>
  </si>
  <si>
    <t>ssRNA phage SRR7976325_13</t>
  </si>
  <si>
    <t>BK013749</t>
  </si>
  <si>
    <t>Andhaxevirus</t>
  </si>
  <si>
    <t>ssRNA phage Esthiorhiza.2_44</t>
  </si>
  <si>
    <t>BK013773</t>
  </si>
  <si>
    <t>ssRNA phage Zoerhiza.1_26</t>
  </si>
  <si>
    <t>BK013918</t>
  </si>
  <si>
    <t>ssRNA phage Gerhypos.1_32</t>
  </si>
  <si>
    <t>BK013549</t>
  </si>
  <si>
    <t>ssRNA phage Gerhypos.3_3</t>
  </si>
  <si>
    <t>BK013483</t>
  </si>
  <si>
    <t>ssRNA phage Esthiorhiza.1_9</t>
  </si>
  <si>
    <t>BK014037</t>
  </si>
  <si>
    <t>Ashucavirus</t>
  </si>
  <si>
    <t>ssRNA phage SRR5467091_8</t>
  </si>
  <si>
    <t>BK014127</t>
  </si>
  <si>
    <t>ssRNA phage SRR6960540_1</t>
  </si>
  <si>
    <t>BK013688</t>
  </si>
  <si>
    <t>ssRNA phage SRR7976357_8</t>
  </si>
  <si>
    <t>BK013766</t>
  </si>
  <si>
    <t>Bahscuvirus</t>
  </si>
  <si>
    <t>ssRNA phage SRR5466725_10</t>
  </si>
  <si>
    <t>BK014100</t>
  </si>
  <si>
    <t>ssRNA phage Esthiorhiza.4_18</t>
  </si>
  <si>
    <t>BK013548</t>
  </si>
  <si>
    <t>Behevivirus</t>
  </si>
  <si>
    <t>ssRNA phage SRR6960551_10</t>
  </si>
  <si>
    <t>BK014157</t>
  </si>
  <si>
    <t>Behlfluvirus</t>
  </si>
  <si>
    <t>ssRNA phage SRR7976301_6</t>
  </si>
  <si>
    <t>BK014175</t>
  </si>
  <si>
    <t>ssRNA phage SRR7976300_3</t>
  </si>
  <si>
    <t>BK013720</t>
  </si>
  <si>
    <t>Bihdovirus</t>
  </si>
  <si>
    <t>ssRNA phage SRR6050738_2</t>
  </si>
  <si>
    <t>BK014047</t>
  </si>
  <si>
    <t>Bisdanovirus</t>
  </si>
  <si>
    <t>ssRNA phage SRR5995670_2</t>
  </si>
  <si>
    <t>BK014220</t>
  </si>
  <si>
    <t>Blafavirus</t>
  </si>
  <si>
    <t>ssRNA phage SRR7976310_8</t>
  </si>
  <si>
    <t>BK014182</t>
  </si>
  <si>
    <t>Bohnovirus</t>
  </si>
  <si>
    <t>ssRNA phage SRR7976310_11</t>
  </si>
  <si>
    <t>BK014186</t>
  </si>
  <si>
    <t>Bohwovirus</t>
  </si>
  <si>
    <t>ssRNA phage SRR6960551_4</t>
  </si>
  <si>
    <t>BK014153</t>
  </si>
  <si>
    <t>ssRNA phage SRR6960507_5</t>
  </si>
  <si>
    <t>BK013583</t>
  </si>
  <si>
    <t>ssRNA phage SRR6960551_8</t>
  </si>
  <si>
    <t>BK013696</t>
  </si>
  <si>
    <t>ssRNA phage SRR6960797_2</t>
  </si>
  <si>
    <t>BK013701</t>
  </si>
  <si>
    <t>ssRNA phage SRR6960799_15</t>
  </si>
  <si>
    <t>BK013602</t>
  </si>
  <si>
    <t>Boschuvirus</t>
  </si>
  <si>
    <t>ssRNA phage SRR5208572_1</t>
  </si>
  <si>
    <t>BK013624</t>
  </si>
  <si>
    <t>Breudwovirus</t>
  </si>
  <si>
    <t>ssRNA phage SRR6254351_1</t>
  </si>
  <si>
    <t>BK014134</t>
  </si>
  <si>
    <t>ssRNA phage SRR6049586_1</t>
  </si>
  <si>
    <t>BK013667</t>
  </si>
  <si>
    <t>ssRNA phage SRR6960799_21</t>
  </si>
  <si>
    <t>BK013597</t>
  </si>
  <si>
    <t>ssRNA phage SRR6960799_22</t>
  </si>
  <si>
    <t>BK014062</t>
  </si>
  <si>
    <t>ssRNA phage SRR6960799_23</t>
  </si>
  <si>
    <t>BK014069</t>
  </si>
  <si>
    <t>ssRNA phage SRR7976299_11</t>
  </si>
  <si>
    <t>BK013714</t>
  </si>
  <si>
    <t>ssRNA phage ESE029</t>
  </si>
  <si>
    <t>BK013377</t>
  </si>
  <si>
    <t>ssRNA phage Zoerhiza.2_7</t>
  </si>
  <si>
    <t>BK013440</t>
  </si>
  <si>
    <t>ssRNA phage Esthiorhiza.2_36</t>
  </si>
  <si>
    <t>BK013453</t>
  </si>
  <si>
    <t>Buhdavirus</t>
  </si>
  <si>
    <t>ssRNA phage SRR6960551_9</t>
  </si>
  <si>
    <t>BK013697</t>
  </si>
  <si>
    <t>Cahdavirus</t>
  </si>
  <si>
    <t>ssRNA phage Gephyllon.2_12</t>
  </si>
  <si>
    <t>BK013936</t>
  </si>
  <si>
    <t>Cahrpivirus</t>
  </si>
  <si>
    <t>ssRNA phage SRR5466728_3</t>
  </si>
  <si>
    <t>BK014111</t>
  </si>
  <si>
    <t>ssRNA phage Gerhypos.4_61</t>
  </si>
  <si>
    <t>BK014040</t>
  </si>
  <si>
    <t>Caloevirus</t>
  </si>
  <si>
    <t>ssRNA phage Gerhypos.1_49</t>
  </si>
  <si>
    <t>BK013437</t>
  </si>
  <si>
    <t>ssRNA phage Esthiorhiza.4_9</t>
  </si>
  <si>
    <t>BK013995</t>
  </si>
  <si>
    <t>Cauhldivirus</t>
  </si>
  <si>
    <t>ssRNA phage SRR5466725_13</t>
  </si>
  <si>
    <t>BK013636</t>
  </si>
  <si>
    <t>ssRNA phage SRR7976299_8</t>
  </si>
  <si>
    <t>BK013707</t>
  </si>
  <si>
    <t>ssRNA phage SRR7976299_9</t>
  </si>
  <si>
    <t>BK013708</t>
  </si>
  <si>
    <t>Cehakivirus</t>
  </si>
  <si>
    <t>ssRNA phage SRR6960507_7</t>
  </si>
  <si>
    <t>BK013580</t>
  </si>
  <si>
    <t>Chaedoavirus</t>
  </si>
  <si>
    <t>ssRNA phage AIN002</t>
  </si>
  <si>
    <t>BK013357</t>
  </si>
  <si>
    <t>Chahsmivirus</t>
  </si>
  <si>
    <t>ssRNA phage Gerhypos.1_9</t>
  </si>
  <si>
    <t>BK013547</t>
  </si>
  <si>
    <t>ssRNA phage Gerhypos.3_17</t>
  </si>
  <si>
    <t>BK013442</t>
  </si>
  <si>
    <t>ssRNA phage Gerhypos.3_9</t>
  </si>
  <si>
    <t>BK013929</t>
  </si>
  <si>
    <t>ssRNA phage SRR5208570_1</t>
  </si>
  <si>
    <t>BK013620</t>
  </si>
  <si>
    <t>ssRNA phage SRR5466727_3</t>
  </si>
  <si>
    <t>BK014106</t>
  </si>
  <si>
    <t>ssRNA phage SRR7976301_7</t>
  </si>
  <si>
    <t>BK014174</t>
  </si>
  <si>
    <t>Chihyovirus</t>
  </si>
  <si>
    <t>ssRNA phage SRR6960799_14</t>
  </si>
  <si>
    <t>BK013594</t>
  </si>
  <si>
    <t>Chobevirus</t>
  </si>
  <si>
    <t>ssRNA phage SRR7976300_6</t>
  </si>
  <si>
    <t>BK013722</t>
  </si>
  <si>
    <t>Choctavirus</t>
  </si>
  <si>
    <t>ssRNA phage SRR7687334_1</t>
  </si>
  <si>
    <t>BK014221</t>
  </si>
  <si>
    <t>Cintrevirus</t>
  </si>
  <si>
    <t>ssRNA phage SRR5466729_1</t>
  </si>
  <si>
    <t>BK013650</t>
  </si>
  <si>
    <t>ssRNA phage Gephyllon.1_10</t>
  </si>
  <si>
    <t>BK014016</t>
  </si>
  <si>
    <t>ssRNA phage Esthiorhiza.2_49</t>
  </si>
  <si>
    <t>BK013856</t>
  </si>
  <si>
    <t>ssRNA phage Gerhypos.1_28</t>
  </si>
  <si>
    <t>BK013778</t>
  </si>
  <si>
    <t>ssRNA phage Gerhypos.1_29</t>
  </si>
  <si>
    <t>BK013859</t>
  </si>
  <si>
    <t>ssRNA phage Gerhypos.2_12</t>
  </si>
  <si>
    <t>BK014036</t>
  </si>
  <si>
    <t>ssRNA phage Gerhypos.4_67</t>
  </si>
  <si>
    <t>BK013823</t>
  </si>
  <si>
    <t>ssRNA phage Gerhypos.4_66</t>
  </si>
  <si>
    <t>BK013528</t>
  </si>
  <si>
    <t>ssRNA phage Zoerhiza.1_38</t>
  </si>
  <si>
    <t>BK013433</t>
  </si>
  <si>
    <t>ssRNA phage Zoerhiza.3_4</t>
  </si>
  <si>
    <t>BK013901</t>
  </si>
  <si>
    <t>ssRNA phage EMS014</t>
  </si>
  <si>
    <t>BK013365</t>
  </si>
  <si>
    <t>ssRNA phage SRR6960799_9</t>
  </si>
  <si>
    <t>BK014067</t>
  </si>
  <si>
    <t>Cunavirus</t>
  </si>
  <si>
    <t>Enterobacteria phage C-1 INW-2012</t>
  </si>
  <si>
    <t>JX045649</t>
  </si>
  <si>
    <t>Dahmuvirus</t>
  </si>
  <si>
    <t>ssRNA phage AIN003</t>
  </si>
  <si>
    <t>BK013358</t>
  </si>
  <si>
    <t>Darnbovirus</t>
  </si>
  <si>
    <t>ssRNA phage SRR7473382_3</t>
  </si>
  <si>
    <t>BK013618</t>
  </si>
  <si>
    <t>Decadevirus</t>
  </si>
  <si>
    <t>ssRNA phage SRR5466337_2</t>
  </si>
  <si>
    <t>BK013625</t>
  </si>
  <si>
    <t>ssRNA phage SRR5466727_2</t>
  </si>
  <si>
    <t>BK013643</t>
  </si>
  <si>
    <t>ssRNA phage SRR5466725_14</t>
  </si>
  <si>
    <t>BK013635</t>
  </si>
  <si>
    <t>ssRNA phage SRR7976325_12</t>
  </si>
  <si>
    <t>BK013743</t>
  </si>
  <si>
    <t>ssRNA phage Gerhypos.4_13</t>
  </si>
  <si>
    <t>BK013554</t>
  </si>
  <si>
    <t>Denfovirus</t>
  </si>
  <si>
    <t>ssRNA phage SRR6960551_3</t>
  </si>
  <si>
    <t>BK014155</t>
  </si>
  <si>
    <t>Depandovirus</t>
  </si>
  <si>
    <t>ssRNA phage Gerhypos.4_15</t>
  </si>
  <si>
    <t>BK013921</t>
  </si>
  <si>
    <t>Dihsdivirus</t>
  </si>
  <si>
    <t>ssRNA phage Gephyllon.3_5</t>
  </si>
  <si>
    <t>BK013849</t>
  </si>
  <si>
    <t>Dohlivirus</t>
  </si>
  <si>
    <t>ssRNA phage SRR5208570_2</t>
  </si>
  <si>
    <t>BK013622</t>
  </si>
  <si>
    <t>Dosmizivirus</t>
  </si>
  <si>
    <t>ssRNA phage Zoerhiza.1_16</t>
  </si>
  <si>
    <t>BK013802</t>
  </si>
  <si>
    <t>Duhcivirus</t>
  </si>
  <si>
    <t>ssRNA phage ESE007</t>
  </si>
  <si>
    <t>BK013369</t>
  </si>
  <si>
    <t>Emesvirus</t>
  </si>
  <si>
    <t>Enterobacteria phage GA</t>
  </si>
  <si>
    <t>X03869</t>
  </si>
  <si>
    <t>ssRNA phage AVE017</t>
  </si>
  <si>
    <t>BK013361</t>
  </si>
  <si>
    <t>phage MS2</t>
  </si>
  <si>
    <t>V00642</t>
  </si>
  <si>
    <t>Empivirus</t>
  </si>
  <si>
    <t>Enterobacteria phage M</t>
  </si>
  <si>
    <t>JX625144</t>
  </si>
  <si>
    <t>Fagihyuvirus</t>
  </si>
  <si>
    <t>ssRNA phage SRR7976325_17</t>
  </si>
  <si>
    <t>BK013752</t>
  </si>
  <si>
    <t>Fiyodovirus</t>
  </si>
  <si>
    <t>ssRNA phage SRR6960507_3</t>
  </si>
  <si>
    <t>BK014050</t>
  </si>
  <si>
    <t>ssRNA phage SRR5466725_17</t>
  </si>
  <si>
    <t>BK013640</t>
  </si>
  <si>
    <t>Gahlovirus</t>
  </si>
  <si>
    <t>ssRNA phage SRR6960549_3</t>
  </si>
  <si>
    <t>BK013692</t>
  </si>
  <si>
    <t>Garovuvirus</t>
  </si>
  <si>
    <t>ssRNA phage SRR6960797_3</t>
  </si>
  <si>
    <t>BK013702</t>
  </si>
  <si>
    <t>Gehnevirus</t>
  </si>
  <si>
    <t>ssRNA phage SRR5466365_2</t>
  </si>
  <si>
    <t>BK014088</t>
  </si>
  <si>
    <t>ssRNA phage SRR6255746_4</t>
  </si>
  <si>
    <t>BK013677</t>
  </si>
  <si>
    <t>Glyciruvirus</t>
  </si>
  <si>
    <t>ssRNA phage Gephyllon.1_11</t>
  </si>
  <si>
    <t>BK013847</t>
  </si>
  <si>
    <t>ssRNA phage Zoerhiza.1_1</t>
  </si>
  <si>
    <t>BK013877</t>
  </si>
  <si>
    <t>Gmuhndevirus</t>
  </si>
  <si>
    <t>ssRNA phage SRR5208575_1</t>
  </si>
  <si>
    <t>BK014079</t>
  </si>
  <si>
    <t>Gorodievirus</t>
  </si>
  <si>
    <t>ssRNA phage Gephyllon.1_14</t>
  </si>
  <si>
    <t>BK013405</t>
  </si>
  <si>
    <t>Grendvuvirus</t>
  </si>
  <si>
    <t>ssRNA phage SRR5466725_16</t>
  </si>
  <si>
    <t>BK014096</t>
  </si>
  <si>
    <t>Gunawavirus</t>
  </si>
  <si>
    <t>ssRNA phage SRR7976323_4</t>
  </si>
  <si>
    <t>BK013739</t>
  </si>
  <si>
    <t>Hagavirus</t>
  </si>
  <si>
    <t>Enterobacteria phage Hgal1</t>
  </si>
  <si>
    <t>JX045650</t>
  </si>
  <si>
    <t>Hahdsevirus</t>
  </si>
  <si>
    <t>ssRNA phage SRR6960803_8</t>
  </si>
  <si>
    <t>BK013616</t>
  </si>
  <si>
    <t>Halcalevirus</t>
  </si>
  <si>
    <t>ssRNA phage Gerhypos.1_35</t>
  </si>
  <si>
    <t>BK013429</t>
  </si>
  <si>
    <t>Hihdivirus</t>
  </si>
  <si>
    <t>ssRNA phage SRR6960799_17</t>
  </si>
  <si>
    <t>BK014056</t>
  </si>
  <si>
    <t>ssRNA phage SRR6960799_18</t>
  </si>
  <si>
    <t>BK013585</t>
  </si>
  <si>
    <t>Hukohnovirus</t>
  </si>
  <si>
    <t>ssRNA phage SRR7976325_20</t>
  </si>
  <si>
    <t>BK014205</t>
  </si>
  <si>
    <t>Icumivirus</t>
  </si>
  <si>
    <t>ssRNA phage SRR7976357_9</t>
  </si>
  <si>
    <t>BK013767</t>
  </si>
  <si>
    <t>Ideskevirus</t>
  </si>
  <si>
    <t>ssRNA phage SRR7976300_8</t>
  </si>
  <si>
    <t>BK013721</t>
  </si>
  <si>
    <t>Imeberivirus</t>
  </si>
  <si>
    <t>ssRNA phage SRR6960803_11</t>
  </si>
  <si>
    <t>BK013615</t>
  </si>
  <si>
    <t>ssRNA phage SRR7976325_19</t>
  </si>
  <si>
    <t>BK014207</t>
  </si>
  <si>
    <t>Ineyimevirus</t>
  </si>
  <si>
    <t>ssRNA phage SRR7976327_1</t>
  </si>
  <si>
    <t>BK013758</t>
  </si>
  <si>
    <t>ssRNA phage SRR7976357_5</t>
  </si>
  <si>
    <t>BK014215</t>
  </si>
  <si>
    <t>Iruqauvirus</t>
  </si>
  <si>
    <t>ssRNA phage SRR6253161_1</t>
  </si>
  <si>
    <t>BK013669</t>
  </si>
  <si>
    <t>Ishugivirus</t>
  </si>
  <si>
    <t>ssRNA phage SRR7976325_7</t>
  </si>
  <si>
    <t>BK014198</t>
  </si>
  <si>
    <t>Jiesduavirus</t>
  </si>
  <si>
    <t>ssRNA phage ESE058</t>
  </si>
  <si>
    <t>BK013378</t>
  </si>
  <si>
    <t>Johnovirus</t>
  </si>
  <si>
    <t>ssRNA phage SRR6960551_6</t>
  </si>
  <si>
    <t>BK013700</t>
  </si>
  <si>
    <t>Jupbevirus</t>
  </si>
  <si>
    <t>ssRNA phage SRR5466725_11</t>
  </si>
  <si>
    <t>BK014095</t>
  </si>
  <si>
    <t>ssRNA phage SRR6960799_10</t>
  </si>
  <si>
    <t>BK014060</t>
  </si>
  <si>
    <t>Kahfsdivirus</t>
  </si>
  <si>
    <t>ssRNA phage SRR6050738_3</t>
  </si>
  <si>
    <t>BK014046</t>
  </si>
  <si>
    <t>Keghovirus</t>
  </si>
  <si>
    <t>ssRNA phage SRR6960799_16</t>
  </si>
  <si>
    <t>BK014054</t>
  </si>
  <si>
    <t>ssRNA phage SRR7976325_15</t>
  </si>
  <si>
    <t>BK014195</t>
  </si>
  <si>
    <t>Kehmevirus</t>
  </si>
  <si>
    <t>ssRNA phage SRR7473382_2</t>
  </si>
  <si>
    <t>BK013619</t>
  </si>
  <si>
    <t>Kemicevirus</t>
  </si>
  <si>
    <t>ssRNA phage SRR6960507_9</t>
  </si>
  <si>
    <t>BK013581</t>
  </si>
  <si>
    <t>ssRNA phage SRR6960799_27</t>
  </si>
  <si>
    <t>BK013598</t>
  </si>
  <si>
    <t>ssRNA phage SRR6960803_10</t>
  </si>
  <si>
    <t>BK013617</t>
  </si>
  <si>
    <t>Kihryuvirus</t>
  </si>
  <si>
    <t>ssRNA phage SRR6960799_12</t>
  </si>
  <si>
    <t>BK014061</t>
  </si>
  <si>
    <t>Kirnavirus</t>
  </si>
  <si>
    <t>ssRNA phage SRR5467090_4</t>
  </si>
  <si>
    <t>BK014116</t>
  </si>
  <si>
    <t>Kiwsmaevirus</t>
  </si>
  <si>
    <t>ssRNA phage ESE021</t>
  </si>
  <si>
    <t>BK013376</t>
  </si>
  <si>
    <t>Konkivirus</t>
  </si>
  <si>
    <t>ssRNA phage SRR6960509_9</t>
  </si>
  <si>
    <t>BK014146</t>
  </si>
  <si>
    <t>Kowinovirus</t>
  </si>
  <si>
    <t>ssRNA phage SRR5466727_4</t>
  </si>
  <si>
    <t>BK013646</t>
  </si>
  <si>
    <t>Kuhshuvirus</t>
  </si>
  <si>
    <t>ssRNA phage SRR6960799_8</t>
  </si>
  <si>
    <t>BK014063</t>
  </si>
  <si>
    <t>Lohmavirus</t>
  </si>
  <si>
    <t>ssRNA phage SRR5466725_19</t>
  </si>
  <si>
    <t>BK014101</t>
  </si>
  <si>
    <t>Loslovirus</t>
  </si>
  <si>
    <t>ssRNA phage SRR6960551_5</t>
  </si>
  <si>
    <t>BK014158</t>
  </si>
  <si>
    <t>ssRNA phage Gephyllon.4_22</t>
  </si>
  <si>
    <t>BK013783</t>
  </si>
  <si>
    <t>Luthavirus</t>
  </si>
  <si>
    <t>ssRNA phage Esthiorhiza.2_40</t>
  </si>
  <si>
    <t>BK013819</t>
  </si>
  <si>
    <t>ssRNA phage Gerhypos.1_18</t>
  </si>
  <si>
    <t>BK013427</t>
  </si>
  <si>
    <t>ssRNA phage Gerhypos.1_48</t>
  </si>
  <si>
    <t>BK013846</t>
  </si>
  <si>
    <t>Mahqeavirus</t>
  </si>
  <si>
    <t>ssRNA phage SRR6960509_8</t>
  </si>
  <si>
    <t>BK013682</t>
  </si>
  <si>
    <t>ssRNA phage SRR7976325_18</t>
  </si>
  <si>
    <t>BK013753</t>
  </si>
  <si>
    <t>Mahraivirus</t>
  </si>
  <si>
    <t>ssRNA phage SRR5466725_18</t>
  </si>
  <si>
    <t>BK014105</t>
  </si>
  <si>
    <t>ssRNA phage Gerhypos.3_22</t>
  </si>
  <si>
    <t>BK013784</t>
  </si>
  <si>
    <t>Manrohovirus</t>
  </si>
  <si>
    <t>ssRNA phage SRR6960551_11</t>
  </si>
  <si>
    <t>BK013699</t>
  </si>
  <si>
    <t>Martavirus</t>
  </si>
  <si>
    <t>ssRNA phage SRR5466725_12</t>
  </si>
  <si>
    <t>BK013637</t>
  </si>
  <si>
    <t>Meblowovirus</t>
  </si>
  <si>
    <t>ssRNA phage ESE019</t>
  </si>
  <si>
    <t>BK013374</t>
  </si>
  <si>
    <t>Mehraxmevirus</t>
  </si>
  <si>
    <t>ssRNA phage Esthiorhiza.1_10</t>
  </si>
  <si>
    <t>BK013957</t>
  </si>
  <si>
    <t>Mekintivirus</t>
  </si>
  <si>
    <t>ssRNA phage SRR6960507_8</t>
  </si>
  <si>
    <t>BK014049</t>
  </si>
  <si>
    <t>Methovirus</t>
  </si>
  <si>
    <t>ssRNA phage SRR6255746_2</t>
  </si>
  <si>
    <t>BK013676</t>
  </si>
  <si>
    <t>Mihkrovirus</t>
  </si>
  <si>
    <t>ssRNA phage Esthiorhiza.2_30</t>
  </si>
  <si>
    <t>BK013900</t>
  </si>
  <si>
    <t>ssRNA phage Esthiorhiza.2_51</t>
  </si>
  <si>
    <t>BK013854</t>
  </si>
  <si>
    <t>ssRNA phage SRR6255733_1</t>
  </si>
  <si>
    <t>BK013674</t>
  </si>
  <si>
    <t>ssRNA phage SRR6960802_1</t>
  </si>
  <si>
    <t>BK013706</t>
  </si>
  <si>
    <t>ssRNA phage SRR7976301_3</t>
  </si>
  <si>
    <t>BK014180</t>
  </si>
  <si>
    <t>ssRNA phage Gerhypos.3_19</t>
  </si>
  <si>
    <t>BK013434</t>
  </si>
  <si>
    <t>ssRNA phage Zoerhiza.2_29</t>
  </si>
  <si>
    <t>BK013986</t>
  </si>
  <si>
    <t>ssRNA phage Gerhypos.3_25</t>
  </si>
  <si>
    <t>BK013531</t>
  </si>
  <si>
    <t>Mintuvirus</t>
  </si>
  <si>
    <t>ssRNA phage SRR7976301_4</t>
  </si>
  <si>
    <t>BK014177</t>
  </si>
  <si>
    <t>ssRNA phage SRR7976325_10</t>
  </si>
  <si>
    <t>BK013745</t>
  </si>
  <si>
    <t>ssRNA phage SRR5466725_9</t>
  </si>
  <si>
    <t>BK014099</t>
  </si>
  <si>
    <t>ssRNA phage SRR7976299_10</t>
  </si>
  <si>
    <t>BK014164</t>
  </si>
  <si>
    <t>ssRNA phage SRR7976326_3</t>
  </si>
  <si>
    <t>BK014208</t>
  </si>
  <si>
    <t>ssRNA phage SRR6960801_1</t>
  </si>
  <si>
    <t>BK013606</t>
  </si>
  <si>
    <t>ssRNA phage Esthiorhiza.4_19</t>
  </si>
  <si>
    <t>BK013893</t>
  </si>
  <si>
    <t>ssRNA phage Gephyllon.4_15</t>
  </si>
  <si>
    <t>BK013838</t>
  </si>
  <si>
    <t>ssRNA phage Zoerhiza.2_10</t>
  </si>
  <si>
    <t>BK013899</t>
  </si>
  <si>
    <t>ssRNA phage Zoerhiza.2_30</t>
  </si>
  <si>
    <t>BK013521</t>
  </si>
  <si>
    <t>Muyegivirus</t>
  </si>
  <si>
    <t>ssRNA phage SRR6960799_20</t>
  </si>
  <si>
    <t>BK014066</t>
  </si>
  <si>
    <t>Nadsecevirus</t>
  </si>
  <si>
    <t>ssRNA phage SRR6960799_19</t>
  </si>
  <si>
    <t>BK014070</t>
  </si>
  <si>
    <t>ssRNA phage SRR5467090_6</t>
  </si>
  <si>
    <t>BK013655</t>
  </si>
  <si>
    <t>ssRNA phage SRR6960799_26</t>
  </si>
  <si>
    <t>BK013593</t>
  </si>
  <si>
    <t>ssRNA phage SRR6960802_2</t>
  </si>
  <si>
    <t>BK014160</t>
  </si>
  <si>
    <t>ssRNA phage SRR6960803_12</t>
  </si>
  <si>
    <t>BK013612</t>
  </si>
  <si>
    <t>ssRNA phage Gephyllon.4_23</t>
  </si>
  <si>
    <t>BK013799</t>
  </si>
  <si>
    <t>ssRNA phage Zoerhiza.4_27</t>
  </si>
  <si>
    <t>BK013812</t>
  </si>
  <si>
    <t>Niankuvirus</t>
  </si>
  <si>
    <t>ssRNA phage SRR5467139_2</t>
  </si>
  <si>
    <t>BK013665</t>
  </si>
  <si>
    <t>ssRNA phage SRR7976323_2</t>
  </si>
  <si>
    <t>BK014190</t>
  </si>
  <si>
    <t>Niuhvovirus</t>
  </si>
  <si>
    <t>ssRNA phage SRR5466364_5</t>
  </si>
  <si>
    <t>BK014085</t>
  </si>
  <si>
    <t>ssRNA phage SRR5466366_1</t>
  </si>
  <si>
    <t>BK014089</t>
  </si>
  <si>
    <t>ssRNA phage Gephyllon.3_11</t>
  </si>
  <si>
    <t>BK013863</t>
  </si>
  <si>
    <t>ssRNA phage Gerhypos.1_20</t>
  </si>
  <si>
    <t>BK013395</t>
  </si>
  <si>
    <t>ssRNA phage SRR6960799_24</t>
  </si>
  <si>
    <t>BK013605</t>
  </si>
  <si>
    <t>Oceshuvirus</t>
  </si>
  <si>
    <t>ssRNA phage SRR7976323_3</t>
  </si>
  <si>
    <t>BK014191</t>
  </si>
  <si>
    <t>Olmsdivirus</t>
  </si>
  <si>
    <t>ssRNA phage SRR5466338_3</t>
  </si>
  <si>
    <t>BK013626</t>
  </si>
  <si>
    <t>Omohevirus</t>
  </si>
  <si>
    <t>ssRNA phage SRR6960803_9</t>
  </si>
  <si>
    <t>BK013614</t>
  </si>
  <si>
    <t>Onohmuvirus</t>
  </si>
  <si>
    <t>ssRNA phage SRR7976325_16</t>
  </si>
  <si>
    <t>BK014197</t>
  </si>
  <si>
    <t>Opdykovirus</t>
  </si>
  <si>
    <t>ssRNA phage SRR7976299_7</t>
  </si>
  <si>
    <t>BK014172</t>
  </si>
  <si>
    <t>Owenocuvirus</t>
  </si>
  <si>
    <t>ssRNA phage SRR7976299_6</t>
  </si>
  <si>
    <t>BK014170</t>
  </si>
  <si>
    <t>Oxychlovirus</t>
  </si>
  <si>
    <t>ssRNA phage Gerhypos.4_34</t>
  </si>
  <si>
    <t>BK013491</t>
  </si>
  <si>
    <t>ssRNA phage Gephyllon.4_12</t>
  </si>
  <si>
    <t>BK013824</t>
  </si>
  <si>
    <t>ssRNA phage Esthiorhiza.3_8</t>
  </si>
  <si>
    <t>BK013983</t>
  </si>
  <si>
    <t>ssRNA phage Gerhypos.1_22</t>
  </si>
  <si>
    <t>BK013489</t>
  </si>
  <si>
    <t>ssRNA phage Gerhypos.2_10</t>
  </si>
  <si>
    <t>BK013569</t>
  </si>
  <si>
    <t>ssRNA phage Gerhypos.2_19</t>
  </si>
  <si>
    <t>BK013996</t>
  </si>
  <si>
    <t>Palsdevirus</t>
  </si>
  <si>
    <t>ssRNA phage SRR5208570_3</t>
  </si>
  <si>
    <t>BK013623</t>
  </si>
  <si>
    <t>Paysduvirus</t>
  </si>
  <si>
    <t>ssRNA phage SRR5467137_1</t>
  </si>
  <si>
    <t>BK014128</t>
  </si>
  <si>
    <t>Pehohrivirus</t>
  </si>
  <si>
    <t>ssRNA phage SRR5466364_4</t>
  </si>
  <si>
    <t>BK013628</t>
  </si>
  <si>
    <t>ssRNA phage SRR5467090_5</t>
  </si>
  <si>
    <t>BK013651</t>
  </si>
  <si>
    <t>Pehsaduvirus</t>
  </si>
  <si>
    <t>ssRNA phage SRR6960509_6</t>
  </si>
  <si>
    <t>BK013679</t>
  </si>
  <si>
    <t>Pepevirus</t>
  </si>
  <si>
    <t>Pseudomonas phage PP7</t>
  </si>
  <si>
    <t>X80191</t>
  </si>
  <si>
    <t>Perrunavirus</t>
  </si>
  <si>
    <t>Pseudomonas phage PRR1</t>
  </si>
  <si>
    <t>DQ836063</t>
  </si>
  <si>
    <t>Philtcovirus</t>
  </si>
  <si>
    <t>ssRNA phage SRR5208570_4</t>
  </si>
  <si>
    <t>BK014077</t>
  </si>
  <si>
    <t>Phobpsivirus</t>
  </si>
  <si>
    <t>ssRNA phage Esthiorhiza.4_10</t>
  </si>
  <si>
    <t>BK013961</t>
  </si>
  <si>
    <t>ssRNA phage Gerhypos.1_43</t>
  </si>
  <si>
    <t>BK013436</t>
  </si>
  <si>
    <t>ssRNA phage Gerhypos.4_32</t>
  </si>
  <si>
    <t>BK013464</t>
  </si>
  <si>
    <t>ssRNA phage Gerhypos.4_50</t>
  </si>
  <si>
    <t>BK013487</t>
  </si>
  <si>
    <t>ssRNA phage EOC000</t>
  </si>
  <si>
    <t>BK013366</t>
  </si>
  <si>
    <t>Piponevirus</t>
  </si>
  <si>
    <t>ssRNA phage SRR5466729_2</t>
  </si>
  <si>
    <t>BK014113</t>
  </si>
  <si>
    <t>ssRNA phage SRR6960799_11</t>
  </si>
  <si>
    <t>BK013592</t>
  </si>
  <si>
    <t>ssRNA phage SRR5467090_3</t>
  </si>
  <si>
    <t>BK014115</t>
  </si>
  <si>
    <t>ssRNA phage SRR5467091_6</t>
  </si>
  <si>
    <t>BK013662</t>
  </si>
  <si>
    <t>ssRNA phage SRR6960803_6</t>
  </si>
  <si>
    <t>BK013608</t>
  </si>
  <si>
    <t>ssRNA phage SRR7976356_5</t>
  </si>
  <si>
    <t>BK013759</t>
  </si>
  <si>
    <t>Pohlevirus</t>
  </si>
  <si>
    <t>ssRNA phage Gephyllon.2_5</t>
  </si>
  <si>
    <t>BK013503</t>
  </si>
  <si>
    <t>ssRNA phage Zoerhiza.2_28</t>
  </si>
  <si>
    <t>BK013990</t>
  </si>
  <si>
    <t>ssRNA phage Zoerhiza.1_29</t>
  </si>
  <si>
    <t>BK013822</t>
  </si>
  <si>
    <t>ssRNA phage SRR6960507_4</t>
  </si>
  <si>
    <t>BK014051</t>
  </si>
  <si>
    <t>ssRNA phage Esthiorhiza.2_52</t>
  </si>
  <si>
    <t>BK013916</t>
  </si>
  <si>
    <t>ssRNA phage SRR6255733_2</t>
  </si>
  <si>
    <t>BK013672</t>
  </si>
  <si>
    <t>Poncivirus</t>
  </si>
  <si>
    <t>ssRNA phage AIN000</t>
  </si>
  <si>
    <t>BK013355</t>
  </si>
  <si>
    <t>ssRNA phage Esthiorhiza.2_3</t>
  </si>
  <si>
    <t>BK013883</t>
  </si>
  <si>
    <t>ssRNA phage Esthiorhiza.2_38</t>
  </si>
  <si>
    <t>BK013513</t>
  </si>
  <si>
    <t>ssRNA phage Esthiorhiza.2_37</t>
  </si>
  <si>
    <t>BK013946</t>
  </si>
  <si>
    <t>ssRNA phage Gerhypos.2_14</t>
  </si>
  <si>
    <t>BK013519</t>
  </si>
  <si>
    <t>ssRNA phage Gerhypos.2_34</t>
  </si>
  <si>
    <t>BK013505</t>
  </si>
  <si>
    <t>ssRNA phage Gerhypos.4_2</t>
  </si>
  <si>
    <t>BK013551</t>
  </si>
  <si>
    <t>Psimevirus</t>
  </si>
  <si>
    <t>ssRNA phage SRR7976357_6</t>
  </si>
  <si>
    <t>BK014217</t>
  </si>
  <si>
    <t>ssRNA phage Gerhypos.4_30</t>
  </si>
  <si>
    <t>BK013800</t>
  </si>
  <si>
    <t>Pudlivirus</t>
  </si>
  <si>
    <t>ssRNA phage SRR7473382_1</t>
  </si>
  <si>
    <t>BK014075</t>
  </si>
  <si>
    <t>Qubevirus</t>
  </si>
  <si>
    <t>Escherichia phage Qbeta</t>
  </si>
  <si>
    <t>AF059242</t>
  </si>
  <si>
    <t>Enterobacteria phage FI 4184 b</t>
  </si>
  <si>
    <t>EF068134</t>
  </si>
  <si>
    <t>Radbaivirus</t>
  </si>
  <si>
    <t>ssRNA phage Esthiorhiza.2_6</t>
  </si>
  <si>
    <t>BK013959</t>
  </si>
  <si>
    <t>ssRNA phage Esthiorhiza.2_14</t>
  </si>
  <si>
    <t>BK013833</t>
  </si>
  <si>
    <t>ssRNA phage Gephyllon.4_21</t>
  </si>
  <si>
    <t>BK013406</t>
  </si>
  <si>
    <t>Rehihmevirus</t>
  </si>
  <si>
    <t>ssRNA phage Gephyllon.3_4</t>
  </si>
  <si>
    <t>BK013497</t>
  </si>
  <si>
    <t>Rehudzovirus</t>
  </si>
  <si>
    <t>ssRNA phage Gerhypos.2_6</t>
  </si>
  <si>
    <t>BK013415</t>
  </si>
  <si>
    <t>Rusvolovirus</t>
  </si>
  <si>
    <t>ssRNA phage SRR5466338_2</t>
  </si>
  <si>
    <t>BK014082</t>
  </si>
  <si>
    <t>ssRNA phage SRR6253161_2</t>
  </si>
  <si>
    <t>BK014132</t>
  </si>
  <si>
    <t>Scuadavirus</t>
  </si>
  <si>
    <t>ssRNA phage SRR6960509_12</t>
  </si>
  <si>
    <t>BK014147</t>
  </si>
  <si>
    <t>ssRNA phage SRR7976300_5</t>
  </si>
  <si>
    <t>BK013719</t>
  </si>
  <si>
    <t>ssRNA phage Gephyllon.1_13</t>
  </si>
  <si>
    <t>BK013807</t>
  </si>
  <si>
    <t>Sehpovirus</t>
  </si>
  <si>
    <t>ssRNA phage SRR6960507_6</t>
  </si>
  <si>
    <t>BK013577</t>
  </si>
  <si>
    <t>Seybrovirus</t>
  </si>
  <si>
    <t>ssRNA phage SRR7976301_8</t>
  </si>
  <si>
    <t>BK013725</t>
  </si>
  <si>
    <t>Shebanavirus</t>
  </si>
  <si>
    <t>ssRNA phage SRR5467091_7</t>
  </si>
  <si>
    <t>BK013660</t>
  </si>
  <si>
    <t>Shihovirus</t>
  </si>
  <si>
    <t>ssRNA phage SRR7976325_9</t>
  </si>
  <si>
    <t>BK014202</t>
  </si>
  <si>
    <t>Sholavirus</t>
  </si>
  <si>
    <t>ssRNA phage SRR7976310_10</t>
  </si>
  <si>
    <t>BK014183</t>
  </si>
  <si>
    <t>Shomudavirus</t>
  </si>
  <si>
    <t>ssRNA phage SRR6960799_13</t>
  </si>
  <si>
    <t>BK014058</t>
  </si>
  <si>
    <t>ssRNA phage SRR6960799_25</t>
  </si>
  <si>
    <t>BK014068</t>
  </si>
  <si>
    <t>ssRNA phage SRR6960803_13</t>
  </si>
  <si>
    <t>BK014073</t>
  </si>
  <si>
    <t>Sincthavirus</t>
  </si>
  <si>
    <t>ssRNA phage SRR6050738_4</t>
  </si>
  <si>
    <t>BK013573</t>
  </si>
  <si>
    <t>Skhembuvirus</t>
  </si>
  <si>
    <t>ssRNA phage SRR6960551_7</t>
  </si>
  <si>
    <t>BK013698</t>
  </si>
  <si>
    <t>Smudhfivirus</t>
  </si>
  <si>
    <t>ssRNA phage SRR7976301_5</t>
  </si>
  <si>
    <t>BK013724</t>
  </si>
  <si>
    <t>Soetuvirus</t>
  </si>
  <si>
    <t>ssRNA phage SRR7976310_7</t>
  </si>
  <si>
    <t>BK013732</t>
  </si>
  <si>
    <t>ssRNA phage Gerhypos.2_2</t>
  </si>
  <si>
    <t>BK013933</t>
  </si>
  <si>
    <t>ssRNA phage Gerhypos.2_26</t>
  </si>
  <si>
    <t>BK013791</t>
  </si>
  <si>
    <t>ssRNA phage Zoerhiza.1_35</t>
  </si>
  <si>
    <t>BK013913</t>
  </si>
  <si>
    <t>Stehlmavirus</t>
  </si>
  <si>
    <t>ssRNA phage SRR7976300_4</t>
  </si>
  <si>
    <t>BK013718</t>
  </si>
  <si>
    <t>Swihdzovirus</t>
  </si>
  <si>
    <t>ssRNA phage ESO010</t>
  </si>
  <si>
    <t>BK013382</t>
  </si>
  <si>
    <t>Tahluvirus</t>
  </si>
  <si>
    <t>ssRNA phage SRR7976310_5</t>
  </si>
  <si>
    <t>BK013729</t>
  </si>
  <si>
    <t>Tapikevirus</t>
  </si>
  <si>
    <t>ssRNA phage SRR5466725_15</t>
  </si>
  <si>
    <t>BK014103</t>
  </si>
  <si>
    <t>Teciucevirus</t>
  </si>
  <si>
    <t>ssRNA phage SRR6960803_5</t>
  </si>
  <si>
    <t>BK013610</t>
  </si>
  <si>
    <t>ssRNA phage Gerhypos.2_8</t>
  </si>
  <si>
    <t>BK013892</t>
  </si>
  <si>
    <t>Tehnexuvirus</t>
  </si>
  <si>
    <t>ssRNA phage Esthiorhiza.1_13</t>
  </si>
  <si>
    <t>BK013390</t>
  </si>
  <si>
    <t>Thiwvovirus</t>
  </si>
  <si>
    <t>ssRNA phage SRR5466729_3</t>
  </si>
  <si>
    <t>BK013649</t>
  </si>
  <si>
    <t>Thiyevirus</t>
  </si>
  <si>
    <t>ssRNA phage SRR6960509_10</t>
  </si>
  <si>
    <t>BK013683</t>
  </si>
  <si>
    <t>Thobivirus</t>
  </si>
  <si>
    <t>ssRNA phage SRR5466365_3</t>
  </si>
  <si>
    <t>BK014087</t>
  </si>
  <si>
    <t>Ticahravirus</t>
  </si>
  <si>
    <t>ssRNA phage SRR7976326_4</t>
  </si>
  <si>
    <t>BK013757</t>
  </si>
  <si>
    <t>Tohvovirus</t>
  </si>
  <si>
    <t>ssRNA phage SRR7976310_12</t>
  </si>
  <si>
    <t>BK013736</t>
  </si>
  <si>
    <t>Trucevirus</t>
  </si>
  <si>
    <t>ssRNA phage Esthiorhiza.1_8</t>
  </si>
  <si>
    <t>BK013852</t>
  </si>
  <si>
    <t>Ureyisuvirus</t>
  </si>
  <si>
    <t>ssRNA phage SRR7976325_14</t>
  </si>
  <si>
    <t>BK014201</t>
  </si>
  <si>
    <t>Ushumevirus</t>
  </si>
  <si>
    <t>ssRNA phage SRR7976357_7</t>
  </si>
  <si>
    <t>BK014218</t>
  </si>
  <si>
    <t>ssRNA phage SRR5467090_2</t>
  </si>
  <si>
    <t>BK013656</t>
  </si>
  <si>
    <t>ssRNA phage SRR6960509_5</t>
  </si>
  <si>
    <t>BK013687</t>
  </si>
  <si>
    <t>Vohsuavirus</t>
  </si>
  <si>
    <t>ssRNA phage SRR6960507_2</t>
  </si>
  <si>
    <t>BK013582</t>
  </si>
  <si>
    <t>ssRNA phage SRR7976310_6</t>
  </si>
  <si>
    <t>BK013735</t>
  </si>
  <si>
    <t>ssRNA phage Esthiorhiza.2_35</t>
  </si>
  <si>
    <t>BK014006</t>
  </si>
  <si>
    <t>ssRNA phage Gephyllon.3_12</t>
  </si>
  <si>
    <t>BK013472</t>
  </si>
  <si>
    <t>ssRNA phage Gerhypos.4_49</t>
  </si>
  <si>
    <t>BK014021</t>
  </si>
  <si>
    <t>ssRNA phage Gerhypos.3_1</t>
  </si>
  <si>
    <t>BK013777</t>
  </si>
  <si>
    <t>ssRNA phage SRR5466727_1</t>
  </si>
  <si>
    <t>BK013645</t>
  </si>
  <si>
    <t>Whietlevirus</t>
  </si>
  <si>
    <t>ssRNA phage ESE005</t>
  </si>
  <si>
    <t>BK013367</t>
  </si>
  <si>
    <t>Whilavirus</t>
  </si>
  <si>
    <t>ssRNA phage SRR6960549_4</t>
  </si>
  <si>
    <t>BK014150</t>
  </si>
  <si>
    <t>Wohudhevirus</t>
  </si>
  <si>
    <t>ssRNA phage SRR6960509_11</t>
  </si>
  <si>
    <t>BK014145</t>
  </si>
  <si>
    <t>Wyahnevirus</t>
  </si>
  <si>
    <t>ssRNA phage SRR5466338_1</t>
  </si>
  <si>
    <t>BK013627</t>
  </si>
  <si>
    <t>Yahnavirus</t>
  </si>
  <si>
    <t>ssRNA phage SRR7976325_21</t>
  </si>
  <si>
    <t>BK014204</t>
  </si>
  <si>
    <t>Yemegivirus</t>
  </si>
  <si>
    <t>ssRNA phage SRR7976356_6</t>
  </si>
  <si>
    <t>BK013762</t>
  </si>
  <si>
    <t>Yohcadevirus</t>
  </si>
  <si>
    <t>ssRNA phage SRR7976325_22</t>
  </si>
  <si>
    <t>BK013750</t>
  </si>
  <si>
    <t>Yuhrihovirus</t>
  </si>
  <si>
    <t>ssRNA phage SRR5467091_5</t>
  </si>
  <si>
    <t>BK014125</t>
  </si>
  <si>
    <t>ssRNA phage SRR7976323_1</t>
  </si>
  <si>
    <t>BK013738</t>
  </si>
  <si>
    <t>ssRNA phage SRR7976325_8</t>
  </si>
  <si>
    <t>BK013746</t>
  </si>
  <si>
    <t>ssRNA phage Gephyllon.1_22</t>
  </si>
  <si>
    <t>BK014003</t>
  </si>
  <si>
    <t>Solspiviridae</t>
  </si>
  <si>
    <t>ssRNA phage SRR5466727_6</t>
  </si>
  <si>
    <t>BK013644</t>
  </si>
  <si>
    <t>Andihavirus</t>
  </si>
  <si>
    <t>ssRNA phage SRR7976300_9</t>
  </si>
  <si>
    <t>BK013716</t>
  </si>
  <si>
    <t>Dibaevirus</t>
  </si>
  <si>
    <t>ssRNA phage SRR7976299_12</t>
  </si>
  <si>
    <t>BK014166</t>
  </si>
  <si>
    <t>Dilzevirus</t>
  </si>
  <si>
    <t>ssRNA phage SRR7976299_14</t>
  </si>
  <si>
    <t>BK013709</t>
  </si>
  <si>
    <t>Eosonovirus</t>
  </si>
  <si>
    <t>ssRNA phage SRR6050698_1</t>
  </si>
  <si>
    <t>BK014130</t>
  </si>
  <si>
    <t>Etdyvivirus</t>
  </si>
  <si>
    <t>ssRNA phage SRR7976299_15</t>
  </si>
  <si>
    <t>BK014167</t>
  </si>
  <si>
    <t>Fahrmivirus</t>
  </si>
  <si>
    <t>ssRNA phage SRR6960509_14</t>
  </si>
  <si>
    <t>BK014141</t>
  </si>
  <si>
    <t>ssRNA phage SRR7976299_13</t>
  </si>
  <si>
    <t>BK013710</t>
  </si>
  <si>
    <t>Hinehbovirus</t>
  </si>
  <si>
    <t>ssRNA phage SRR6255733_3</t>
  </si>
  <si>
    <t>BK013673</t>
  </si>
  <si>
    <t>Insbruvirus</t>
  </si>
  <si>
    <t>ssRNA phage SRR5208570_5</t>
  </si>
  <si>
    <t>BK013621</t>
  </si>
  <si>
    <t>ssRNA phage SRR7976299_16</t>
  </si>
  <si>
    <t>BK014169</t>
  </si>
  <si>
    <t>ssRNA phage Gephyllon.3_7</t>
  </si>
  <si>
    <t>BK013462</t>
  </si>
  <si>
    <t>ssRNA phage Gerhypos.1_51</t>
  </si>
  <si>
    <t>BK013793</t>
  </si>
  <si>
    <t>ssRNA phage Zoerhiza.4_18</t>
  </si>
  <si>
    <t>BK013444</t>
  </si>
  <si>
    <t>ssRNA phage Gerhypos.3_23</t>
  </si>
  <si>
    <t>BK013795</t>
  </si>
  <si>
    <t>Jargovirus</t>
  </si>
  <si>
    <t>ssRNA phage SRR5208572_2</t>
  </si>
  <si>
    <t>BK014078</t>
  </si>
  <si>
    <t>Mahshuvirus</t>
  </si>
  <si>
    <t>ssRNA phage SRR6960799_30</t>
  </si>
  <si>
    <t>BK013604</t>
  </si>
  <si>
    <t>Mintinovirus</t>
  </si>
  <si>
    <t>ssRNA phage SRR6960551_13</t>
  </si>
  <si>
    <t>BK014154</t>
  </si>
  <si>
    <t>ssRNA phage SRR6960797_4</t>
  </si>
  <si>
    <t>BK014159</t>
  </si>
  <si>
    <t>Puhrivirus</t>
  </si>
  <si>
    <t>ssRNA phage SRR7473382_4</t>
  </si>
  <si>
    <t>BK014074</t>
  </si>
  <si>
    <t>Puirovirus</t>
  </si>
  <si>
    <t>ssRNA phage SRR5466727_5</t>
  </si>
  <si>
    <t>BK014109</t>
  </si>
  <si>
    <t>Sexopuavirus</t>
  </si>
  <si>
    <t>ssRNA phage Gerhypos.4_5</t>
  </si>
  <si>
    <t>BK013966</t>
  </si>
  <si>
    <t>Thiuhmevirus</t>
  </si>
  <si>
    <t>ssRNA phage Gephyllon.4_17</t>
  </si>
  <si>
    <t>BK013478</t>
  </si>
  <si>
    <t>Tohkunevirus</t>
  </si>
  <si>
    <t>ssRNA phage SRR6960799_28</t>
  </si>
  <si>
    <t>BK014057</t>
  </si>
  <si>
    <t>Tyrahlevirus</t>
  </si>
  <si>
    <t>ssRNA phage SRR5208570_6</t>
  </si>
  <si>
    <t>BK014076</t>
  </si>
  <si>
    <t>Vendavirus</t>
  </si>
  <si>
    <t>ssRNA phage SRR6960509_13</t>
  </si>
  <si>
    <t>BK013680</t>
  </si>
  <si>
    <t>Voulevirus</t>
  </si>
  <si>
    <t>ssRNA phage SRR6960551_12</t>
  </si>
  <si>
    <t>BK013693</t>
  </si>
  <si>
    <t>Timlovirales</t>
  </si>
  <si>
    <t>Blumeviridae</t>
  </si>
  <si>
    <t>Alehndavirus</t>
  </si>
  <si>
    <t>ssRNA phage AVE020</t>
  </si>
  <si>
    <t>BK013364</t>
  </si>
  <si>
    <t>Bonghivirus</t>
  </si>
  <si>
    <t>ssRNA phage SRR5466725_7</t>
  </si>
  <si>
    <t>BK014097</t>
  </si>
  <si>
    <t>Dahmuivirus</t>
  </si>
  <si>
    <t>ssRNA phage SRR7976300_1</t>
  </si>
  <si>
    <t>BK013717</t>
  </si>
  <si>
    <t>Dehgumevirus</t>
  </si>
  <si>
    <t>ssRNA phage SRR6960799_3</t>
  </si>
  <si>
    <t>BK014052</t>
  </si>
  <si>
    <t>Dehkhevirus</t>
  </si>
  <si>
    <t>ssRNA phage SRR5466725_6</t>
  </si>
  <si>
    <t>BK013638</t>
  </si>
  <si>
    <t>Espurtavirus</t>
  </si>
  <si>
    <t>ssRNA phage AVE004</t>
  </si>
  <si>
    <t>KT462698</t>
  </si>
  <si>
    <t>Gifriavirus</t>
  </si>
  <si>
    <t>ssRNA phage AVE018</t>
  </si>
  <si>
    <t>BK013362</t>
  </si>
  <si>
    <t>Hehrovirus</t>
  </si>
  <si>
    <t>ssRNA phage SRR6960507_1</t>
  </si>
  <si>
    <t>BK013575</t>
  </si>
  <si>
    <t>Ivolevirus</t>
  </si>
  <si>
    <t>ssRNA phage AVE016</t>
  </si>
  <si>
    <t>BK013360</t>
  </si>
  <si>
    <t>Kahnayevirus</t>
  </si>
  <si>
    <t>ssRNA phage SRR7976324_2</t>
  </si>
  <si>
    <t>BK013741</t>
  </si>
  <si>
    <t>Kahraivirus</t>
  </si>
  <si>
    <t>ssRNA phage SRR6960799_2</t>
  </si>
  <si>
    <t>BK014053</t>
  </si>
  <si>
    <t>Kemiovirus</t>
  </si>
  <si>
    <t>ssRNA phage SRR6960799_7</t>
  </si>
  <si>
    <t>BK014059</t>
  </si>
  <si>
    <t>Kerishovirus</t>
  </si>
  <si>
    <t>ssRNA phage SRR7976325_4</t>
  </si>
  <si>
    <t>BK013742</t>
  </si>
  <si>
    <t>Konmavirus</t>
  </si>
  <si>
    <t>ssRNA phage SRR5467091_4</t>
  </si>
  <si>
    <t>BK013657</t>
  </si>
  <si>
    <t>ssRNA phage SRR6255746_1</t>
  </si>
  <si>
    <t>BK013675</t>
  </si>
  <si>
    <t>ssRNA phage SRR7976310_4</t>
  </si>
  <si>
    <t>BK013730</t>
  </si>
  <si>
    <t>Lirnavirus</t>
  </si>
  <si>
    <t>ssRNA phage SRR7976299_4</t>
  </si>
  <si>
    <t>BK014162</t>
  </si>
  <si>
    <t>Marskhivirus</t>
  </si>
  <si>
    <t>ssRNA phage AVE015</t>
  </si>
  <si>
    <t>BK013359</t>
  </si>
  <si>
    <t>Nehpavirus</t>
  </si>
  <si>
    <t>ssRNA phage SRR5466369_1</t>
  </si>
  <si>
    <t>BK013633</t>
  </si>
  <si>
    <t>Pacehavirus</t>
  </si>
  <si>
    <t>ssRNA phage Gerhypos.4_51</t>
  </si>
  <si>
    <t>BK013460</t>
  </si>
  <si>
    <t>ssRNA phage SRR5466725_5</t>
  </si>
  <si>
    <t>BK013634</t>
  </si>
  <si>
    <t>ssRNA phage SRR7976310_3</t>
  </si>
  <si>
    <t>BK014181</t>
  </si>
  <si>
    <t>Pahdacivirus</t>
  </si>
  <si>
    <t>ssRNA phage SRR6960509_3</t>
  </si>
  <si>
    <t>BK013681</t>
  </si>
  <si>
    <t>Semodevirus</t>
  </si>
  <si>
    <t>ssRNA phage SRR6960799_4</t>
  </si>
  <si>
    <t>BK013584</t>
  </si>
  <si>
    <t>Shihwivirus</t>
  </si>
  <si>
    <t>ssRNA phage SRR7976324_1</t>
  </si>
  <si>
    <t>BK013740</t>
  </si>
  <si>
    <t>ssRNA phage SRR6960799_1</t>
  </si>
  <si>
    <t>BK013586</t>
  </si>
  <si>
    <t>Wahdswovirus</t>
  </si>
  <si>
    <t>ssRNA phage SRR7976299_5</t>
  </si>
  <si>
    <t>BK014163</t>
  </si>
  <si>
    <t>Yenihzavirus</t>
  </si>
  <si>
    <t>ssRNA phage SRR6960799_6</t>
  </si>
  <si>
    <t>BK013587</t>
  </si>
  <si>
    <t>Steitzviridae</t>
  </si>
  <si>
    <t>ssRNA phage SRR5467091_11</t>
  </si>
  <si>
    <t>BK014124</t>
  </si>
  <si>
    <t>ssRNA phage Gerhypos.2_21</t>
  </si>
  <si>
    <t>BK013543</t>
  </si>
  <si>
    <t>ssRNA phage Zoerhiza.4_21</t>
  </si>
  <si>
    <t>BK013818</t>
  </si>
  <si>
    <t>ssRNA phage Zoerhiza.2_9</t>
  </si>
  <si>
    <t>BK014038</t>
  </si>
  <si>
    <t>Adahmuvirus</t>
  </si>
  <si>
    <t>ssRNA phage SRR6960799_41</t>
  </si>
  <si>
    <t>BK014065</t>
  </si>
  <si>
    <t>Alehxovirus</t>
  </si>
  <si>
    <t>ssRNA phage Gerhypos.4_38</t>
  </si>
  <si>
    <t>BK014025</t>
  </si>
  <si>
    <t>ssRNA phage Zoerhiza.3_3</t>
  </si>
  <si>
    <t>BK013537</t>
  </si>
  <si>
    <t>ssRNA phage Zoerhiza.1_20</t>
  </si>
  <si>
    <t>BK013555</t>
  </si>
  <si>
    <t>ssRNA phage Zoerhiza.4_12</t>
  </si>
  <si>
    <t>BK013861</t>
  </si>
  <si>
    <t>ssRNA phage SRR5466727_10</t>
  </si>
  <si>
    <t>BK014107</t>
  </si>
  <si>
    <t>ssRNA phage SRR5467090_12</t>
  </si>
  <si>
    <t>BK014117</t>
  </si>
  <si>
    <t>ssRNA phage SRR6254984_1</t>
  </si>
  <si>
    <t>BK013670</t>
  </si>
  <si>
    <t>ssRNA phage SRR7976325_29</t>
  </si>
  <si>
    <t>BK014200</t>
  </si>
  <si>
    <t>ssRNA phage Esthiorhiza.1_12</t>
  </si>
  <si>
    <t>BK013904</t>
  </si>
  <si>
    <t>ssRNA phage Gerhypos.2_28</t>
  </si>
  <si>
    <t>BK013398</t>
  </si>
  <si>
    <t>ssRNA phage Gerhypos.4_33</t>
  </si>
  <si>
    <t>BK013782</t>
  </si>
  <si>
    <t>ssRNA phage Gerhypos.4_44</t>
  </si>
  <si>
    <t>BK013869</t>
  </si>
  <si>
    <t>ssRNA phage Gerhypos.1_38</t>
  </si>
  <si>
    <t>BK013515</t>
  </si>
  <si>
    <t>ssRNA phage Esthiorhiza.2_18</t>
  </si>
  <si>
    <t>BK013907</t>
  </si>
  <si>
    <t>ssRNA phage Esthiorhiza.2_28</t>
  </si>
  <si>
    <t>BK013898</t>
  </si>
  <si>
    <t>ssRNA phage Gephyllon.1_5</t>
  </si>
  <si>
    <t>BK013842</t>
  </si>
  <si>
    <t>ssRNA phage Gerhypos.1_34</t>
  </si>
  <si>
    <t>BK014013</t>
  </si>
  <si>
    <t>ssRNA phage Gerhypos.1_33</t>
  </si>
  <si>
    <t>BK013994</t>
  </si>
  <si>
    <t>ssRNA phage Gerhypos.3_21</t>
  </si>
  <si>
    <t>BK014034</t>
  </si>
  <si>
    <t>ssRNA phage Zoerhiza.1_10</t>
  </si>
  <si>
    <t>BK013912</t>
  </si>
  <si>
    <t>ssRNA phage Zoerhiza.1_11</t>
  </si>
  <si>
    <t>BK013860</t>
  </si>
  <si>
    <t>ssRNA phage Zoerhiza.1_34</t>
  </si>
  <si>
    <t>BK013387</t>
  </si>
  <si>
    <t>ssRNA phage Zoerhiza.4_8</t>
  </si>
  <si>
    <t>BK013874</t>
  </si>
  <si>
    <t>ssRNA phage Esthiorhiza.2_47</t>
  </si>
  <si>
    <t>BK013850</t>
  </si>
  <si>
    <t>ssRNA phage Gerhypos.4_43</t>
  </si>
  <si>
    <t>BK013978</t>
  </si>
  <si>
    <t>Ashcevirus</t>
  </si>
  <si>
    <t>ssRNA phage SRR7976310_17</t>
  </si>
  <si>
    <t>BK014187</t>
  </si>
  <si>
    <t>ssRNA phage Gephyllon.4_9</t>
  </si>
  <si>
    <t>BK013797</t>
  </si>
  <si>
    <t>ssRNA phage Gerhypos.1_23</t>
  </si>
  <si>
    <t>BK013544</t>
  </si>
  <si>
    <t>ssRNA phage Gerhypos.1_19</t>
  </si>
  <si>
    <t>BK013868</t>
  </si>
  <si>
    <t>ssRNA phage Gerhypos.2_25</t>
  </si>
  <si>
    <t>BK013810</t>
  </si>
  <si>
    <t>ssRNA phage Gerhypos.2_32</t>
  </si>
  <si>
    <t>BK013508</t>
  </si>
  <si>
    <t>ssRNA phage Gerhypos.2_7</t>
  </si>
  <si>
    <t>BK013525</t>
  </si>
  <si>
    <t>ssRNA phage ESE015</t>
  </si>
  <si>
    <t>BK013370</t>
  </si>
  <si>
    <t>ssRNA phage Gerhypos.3_10</t>
  </si>
  <si>
    <t>BK013788</t>
  </si>
  <si>
    <t>ssRNA phage Gerhypos.3_11</t>
  </si>
  <si>
    <t>BK013509</t>
  </si>
  <si>
    <t>ssRNA phage Gerhypos.3_20</t>
  </si>
  <si>
    <t>BK013530</t>
  </si>
  <si>
    <t>ssRNA phage Gerhypos.3_26</t>
  </si>
  <si>
    <t>BK013922</t>
  </si>
  <si>
    <t>ssRNA phage Gerhypos.4_21</t>
  </si>
  <si>
    <t>BK013529</t>
  </si>
  <si>
    <t>ssRNA phage Gerhypos.4_22</t>
  </si>
  <si>
    <t>BK013841</t>
  </si>
  <si>
    <t>ssRNA phage SRR5466728_4</t>
  </si>
  <si>
    <t>BK013648</t>
  </si>
  <si>
    <t>ssRNA phage SRR6960799_35</t>
  </si>
  <si>
    <t>BK013589</t>
  </si>
  <si>
    <t>ssRNA phage SRR7976310_13</t>
  </si>
  <si>
    <t>BK013731</t>
  </si>
  <si>
    <t>ssRNA phage Esthiorhiza.2_11</t>
  </si>
  <si>
    <t>BK013905</t>
  </si>
  <si>
    <t>ssRNA phage Esthiorhiza.2_23</t>
  </si>
  <si>
    <t>BK013971</t>
  </si>
  <si>
    <t>ssRNA phage Esthiorhiza.2_25</t>
  </si>
  <si>
    <t>BK013805</t>
  </si>
  <si>
    <t>ssRNA phage Esthiorhiza.2_9</t>
  </si>
  <si>
    <t>BK013496</t>
  </si>
  <si>
    <t>ssRNA phage Esthiorhiza.2_26</t>
  </si>
  <si>
    <t>BK013520</t>
  </si>
  <si>
    <t>ssRNA phage Esthiorhiza.3_9</t>
  </si>
  <si>
    <t>BK013815</t>
  </si>
  <si>
    <t>ssRNA phage Gephyllon.1_19</t>
  </si>
  <si>
    <t>BK013532</t>
  </si>
  <si>
    <t>ssRNA phage Gephyllon.4_10</t>
  </si>
  <si>
    <t>BK014020</t>
  </si>
  <si>
    <t>ssRNA phage Gerhypos.4_23</t>
  </si>
  <si>
    <t>BK013984</t>
  </si>
  <si>
    <t>ssRNA phage Gerhypos.4_54</t>
  </si>
  <si>
    <t>BK013835</t>
  </si>
  <si>
    <t>ssRNA phage Gerhypos.4_24</t>
  </si>
  <si>
    <t>BK013536</t>
  </si>
  <si>
    <t>ssRNA phage Gerhypos.4_55</t>
  </si>
  <si>
    <t>BK013941</t>
  </si>
  <si>
    <t>ssRNA phage Zoerhiza.1_37</t>
  </si>
  <si>
    <t>BK013431</t>
  </si>
  <si>
    <t>ssRNA phage Zoerhiza.1_8</t>
  </si>
  <si>
    <t>BK014008</t>
  </si>
  <si>
    <t>ssRNA phage Zoerhiza.2_25</t>
  </si>
  <si>
    <t>BK013517</t>
  </si>
  <si>
    <t>ssRNA phage Zoerhiza.4_9</t>
  </si>
  <si>
    <t>BK013771</t>
  </si>
  <si>
    <t>ssRNA phage SRR7976301_9</t>
  </si>
  <si>
    <t>BK013723</t>
  </si>
  <si>
    <t>Berdovirus</t>
  </si>
  <si>
    <t>ssRNA phage SRR5466727_8</t>
  </si>
  <si>
    <t>BK014108</t>
  </si>
  <si>
    <t>Bicehmovirus</t>
  </si>
  <si>
    <t>ssRNA phage SRR5466728_5</t>
  </si>
  <si>
    <t>BK013647</t>
  </si>
  <si>
    <t>ssRNA phage SRR6253161_4</t>
  </si>
  <si>
    <t>BK014131</t>
  </si>
  <si>
    <t>ssRNA phage SRR7976327_2</t>
  </si>
  <si>
    <t>BK014210</t>
  </si>
  <si>
    <t>Brikhyavirus</t>
  </si>
  <si>
    <t>ssRNA phage Zoerhiza.1_14</t>
  </si>
  <si>
    <t>BK013992</t>
  </si>
  <si>
    <t>Cahrlavirus</t>
  </si>
  <si>
    <t>ssRNA phage SRR5466725_20</t>
  </si>
  <si>
    <t>BK014102</t>
  </si>
  <si>
    <t>ssRNA phage Gerhypos.2_17</t>
  </si>
  <si>
    <t>BK013865</t>
  </si>
  <si>
    <t>ssRNA phage Esthiorhiza.1_4</t>
  </si>
  <si>
    <t>BK014044</t>
  </si>
  <si>
    <t>Cebevirus</t>
  </si>
  <si>
    <t>ssRNA phage Gephyllon.1_27</t>
  </si>
  <si>
    <t>BK013776</t>
  </si>
  <si>
    <t>Caulobacter phage phiCb5</t>
  </si>
  <si>
    <t>HM066936</t>
  </si>
  <si>
    <t>ssRNA phage Esthiorhiza.4_11</t>
  </si>
  <si>
    <t>BK013418</t>
  </si>
  <si>
    <t>ssRNA phage SRR6960507_13</t>
  </si>
  <si>
    <t>BK013576</t>
  </si>
  <si>
    <t>ssRNA phage Gerhypos.3_13</t>
  </si>
  <si>
    <t>BK013401</t>
  </si>
  <si>
    <t>ssRNA phage Zoerhiza.4_14</t>
  </si>
  <si>
    <t>BK013475</t>
  </si>
  <si>
    <t>ssRNA phage Esthiorhiza.3_11</t>
  </si>
  <si>
    <t>BK013425</t>
  </si>
  <si>
    <t>ssRNA phage Zoerhiza.1_3</t>
  </si>
  <si>
    <t>BK013542</t>
  </si>
  <si>
    <t>ssRNA phage Esthiorhiza.2_19</t>
  </si>
  <si>
    <t>BK014019</t>
  </si>
  <si>
    <t>ssRNA phage Gerhypos.4_35</t>
  </si>
  <si>
    <t>BK013474</t>
  </si>
  <si>
    <t>ssRNA phage Gerhypos.4_41</t>
  </si>
  <si>
    <t>BK013774</t>
  </si>
  <si>
    <t>ssRNA phage Gerhypos.4_37</t>
  </si>
  <si>
    <t>BK013908</t>
  </si>
  <si>
    <t>ssRNA phage Zoerhiza.1_31</t>
  </si>
  <si>
    <t>BK013886</t>
  </si>
  <si>
    <t>ssRNA phage Zoerhiza.2_11</t>
  </si>
  <si>
    <t>BK013938</t>
  </si>
  <si>
    <t>ssRNA phage SRR7976357_10</t>
  </si>
  <si>
    <t>BK013763</t>
  </si>
  <si>
    <t>ssRNA phage Gerhypos.4_60</t>
  </si>
  <si>
    <t>BK013853</t>
  </si>
  <si>
    <t>ssRNA phage SRR5466727_7</t>
  </si>
  <si>
    <t>BK013642</t>
  </si>
  <si>
    <t>Endehruvirus</t>
  </si>
  <si>
    <t>ssRNA phage Gerhypos.4_42</t>
  </si>
  <si>
    <t>BK013979</t>
  </si>
  <si>
    <t>ssRNA phage Gerhypos.1_44</t>
  </si>
  <si>
    <t>BK013412</t>
  </si>
  <si>
    <t>ssRNA phage Zoerhiza.2_14</t>
  </si>
  <si>
    <t>BK013789</t>
  </si>
  <si>
    <t>ssRNA phage Zoerhiza.1_18</t>
  </si>
  <si>
    <t>BK013571</t>
  </si>
  <si>
    <t>Fagihovirus</t>
  </si>
  <si>
    <t>ssRNA phage SRR7976357_11</t>
  </si>
  <si>
    <t>BK014213</t>
  </si>
  <si>
    <t>ssRNA phage Gerhypos.4_39</t>
  </si>
  <si>
    <t>BK013873</t>
  </si>
  <si>
    <t>Fejonovirus</t>
  </si>
  <si>
    <t>ssRNA phage SRR7976326_5</t>
  </si>
  <si>
    <t>BK013756</t>
  </si>
  <si>
    <t>Ferahgovirus</t>
  </si>
  <si>
    <t>ssRNA phage Zoerhiza.4_22</t>
  </si>
  <si>
    <t>BK013944</t>
  </si>
  <si>
    <t>Fluruvirus</t>
  </si>
  <si>
    <t>ssRNA phage SRR5466725_21</t>
  </si>
  <si>
    <t>BK014091</t>
  </si>
  <si>
    <t>Frobavirus</t>
  </si>
  <si>
    <t>ssRNA phage SRR7976299_19</t>
  </si>
  <si>
    <t>BK014168</t>
  </si>
  <si>
    <t>Fudhoevirus</t>
  </si>
  <si>
    <t>ssRNA phage SRR6254353_2</t>
  </si>
  <si>
    <t>BK014135</t>
  </si>
  <si>
    <t>ssRNA phage SRR6960803_14</t>
  </si>
  <si>
    <t>BK014071</t>
  </si>
  <si>
    <t>Gahmegovirus</t>
  </si>
  <si>
    <t>ssRNA phage SRR6960802_3</t>
  </si>
  <si>
    <t>BK013704</t>
  </si>
  <si>
    <t>Garnievirus</t>
  </si>
  <si>
    <t>ssRNA phage SRR5466338_5</t>
  </si>
  <si>
    <t>BK014084</t>
  </si>
  <si>
    <t>Gehrmavirus</t>
  </si>
  <si>
    <t>ssRNA phage Esthiorhiza.2_31</t>
  </si>
  <si>
    <t>BK013399</t>
  </si>
  <si>
    <t>ssRNA phage SRR6960799_37</t>
  </si>
  <si>
    <t>BK013600</t>
  </si>
  <si>
    <t>ssRNA phage Gephyllon.1_21</t>
  </si>
  <si>
    <t>BK013826</t>
  </si>
  <si>
    <t>Gihfavirus</t>
  </si>
  <si>
    <t>ssRNA phage Gerhypos.4_31</t>
  </si>
  <si>
    <t>BK013998</t>
  </si>
  <si>
    <t>ssRNA phage SRR5466369_2</t>
  </si>
  <si>
    <t>BK013632</t>
  </si>
  <si>
    <t>ssRNA phage Zoerhiza.2_15</t>
  </si>
  <si>
    <t>BK014010</t>
  </si>
  <si>
    <t>ssRNA phage Zoerhiza.2_23</t>
  </si>
  <si>
    <t>BK013843</t>
  </si>
  <si>
    <t>ssRNA phage Zoerhiza.2_20</t>
  </si>
  <si>
    <t>BK013804</t>
  </si>
  <si>
    <t>ssRNA phage Zoerhiza.2_3</t>
  </si>
  <si>
    <t>BK013463</t>
  </si>
  <si>
    <t>ssRNA phage Zoerhiza.2_4</t>
  </si>
  <si>
    <t>BK013816</t>
  </si>
  <si>
    <t>ssRNA phage Zoerhiza.4_17</t>
  </si>
  <si>
    <t>BK013903</t>
  </si>
  <si>
    <t>ssRNA phage Gephyllon.1_8</t>
  </si>
  <si>
    <t>BK014012</t>
  </si>
  <si>
    <t>ssRNA phage Gephyllon.3_13</t>
  </si>
  <si>
    <t>BK013565</t>
  </si>
  <si>
    <t>ssRNA phage Gephyllon.2_9</t>
  </si>
  <si>
    <t>BK013535</t>
  </si>
  <si>
    <t>ssRNA phage Gephyllon.3_14</t>
  </si>
  <si>
    <t>BK014045</t>
  </si>
  <si>
    <t>ssRNA phage Gephyllon.3_15</t>
  </si>
  <si>
    <t>BK013435</t>
  </si>
  <si>
    <t>ssRNA phage Gephyllon.3_3</t>
  </si>
  <si>
    <t>BK013924</t>
  </si>
  <si>
    <t>ssRNA phage SRR6960802_4</t>
  </si>
  <si>
    <t>BK013705</t>
  </si>
  <si>
    <t>ssRNA phage Zoerhiza.4_2</t>
  </si>
  <si>
    <t>BK013493</t>
  </si>
  <si>
    <t>ssRNA phage Zoerhiza.4_23</t>
  </si>
  <si>
    <t>BK013495</t>
  </si>
  <si>
    <t>ssRNA phage Zoerhiza.4_20</t>
  </si>
  <si>
    <t>BK013960</t>
  </si>
  <si>
    <t>ssRNA phage Zoerhiza.4_3</t>
  </si>
  <si>
    <t>BK013409</t>
  </si>
  <si>
    <t>ssRNA phage Zoerhiza.4_5</t>
  </si>
  <si>
    <t>BK013417</t>
  </si>
  <si>
    <t>ssRNA phage Zoerhiza.4_6</t>
  </si>
  <si>
    <t>BK013832</t>
  </si>
  <si>
    <t>ssRNA phage Gerhypos.2_35</t>
  </si>
  <si>
    <t>BK013494</t>
  </si>
  <si>
    <t>ssRNA phage Gerhypos.2_39</t>
  </si>
  <si>
    <t>BK014033</t>
  </si>
  <si>
    <t>ssRNA phage Gerhypos.2_37</t>
  </si>
  <si>
    <t>BK014015</t>
  </si>
  <si>
    <t>ssRNA phage Gerhypos.2_5</t>
  </si>
  <si>
    <t>BK014022</t>
  </si>
  <si>
    <t>ssRNA phage Gerhypos.3_12</t>
  </si>
  <si>
    <t>BK013845</t>
  </si>
  <si>
    <t>ssRNA phage Gerhypos.3_18</t>
  </si>
  <si>
    <t>BK013895</t>
  </si>
  <si>
    <t>ssRNA phage Gephyllon.3_8</t>
  </si>
  <si>
    <t>BK013386</t>
  </si>
  <si>
    <t>ssRNA phage Gephyllon.4_16</t>
  </si>
  <si>
    <t>BK013808</t>
  </si>
  <si>
    <t>ssRNA phage Gephyllon.4_11</t>
  </si>
  <si>
    <t>BK013973</t>
  </si>
  <si>
    <t>ssRNA phage Gephyllon.4_19</t>
  </si>
  <si>
    <t>BK013411</t>
  </si>
  <si>
    <t>ssRNA phage Gephyllon.4_6</t>
  </si>
  <si>
    <t>BK013866</t>
  </si>
  <si>
    <t>ssRNA phage Gephyllon.4_8</t>
  </si>
  <si>
    <t>BK013839</t>
  </si>
  <si>
    <t>ssRNA phage Gerhypos.3_5</t>
  </si>
  <si>
    <t>BK013928</t>
  </si>
  <si>
    <t>ssRNA phage Gerhypos.3_6</t>
  </si>
  <si>
    <t>BK013461</t>
  </si>
  <si>
    <t>ssRNA phage Gerhypos.3_7</t>
  </si>
  <si>
    <t>BK013482</t>
  </si>
  <si>
    <t>ssRNA phage Gerhypos.3_8</t>
  </si>
  <si>
    <t>BK013982</t>
  </si>
  <si>
    <t>ssRNA phage Gerhypos.4_1</t>
  </si>
  <si>
    <t>BK013803</t>
  </si>
  <si>
    <t>ssRNA phage Zoerhiza.1_21</t>
  </si>
  <si>
    <t>BK013896</t>
  </si>
  <si>
    <t>ssRNA phage Zoerhiza.1_32</t>
  </si>
  <si>
    <t>BK014042</t>
  </si>
  <si>
    <t>ssRNA phage Zoerhiza.1_30</t>
  </si>
  <si>
    <t>BK014029</t>
  </si>
  <si>
    <t>ssRNA phage Zoerhiza.1_7</t>
  </si>
  <si>
    <t>BK013458</t>
  </si>
  <si>
    <t>ssRNA phage Zoerhiza.2_1</t>
  </si>
  <si>
    <t>BK013909</t>
  </si>
  <si>
    <t>ssRNA phage Zoerhiza.2_12</t>
  </si>
  <si>
    <t>BK013976</t>
  </si>
  <si>
    <t>ssRNA phage Esthiorhiza.3_5</t>
  </si>
  <si>
    <t>BK013956</t>
  </si>
  <si>
    <t>ssRNA phage Esthiorhiza.3_3</t>
  </si>
  <si>
    <t>BK013449</t>
  </si>
  <si>
    <t>ssRNA phage Esthiorhiza.4_15</t>
  </si>
  <si>
    <t>BK013558</t>
  </si>
  <si>
    <t>ssRNA phage Esthiorhiza.4_5</t>
  </si>
  <si>
    <t>BK013779</t>
  </si>
  <si>
    <t>ssRNA phage Esthiorhiza.4_7</t>
  </si>
  <si>
    <t>BK013468</t>
  </si>
  <si>
    <t>ssRNA phage Gephyllon.1_1</t>
  </si>
  <si>
    <t>BK013408</t>
  </si>
  <si>
    <t>ssRNA phage Gephyllon.1_18</t>
  </si>
  <si>
    <t>BK013965</t>
  </si>
  <si>
    <t>ssRNA phage Gephyllon.1_15</t>
  </si>
  <si>
    <t>BK013962</t>
  </si>
  <si>
    <t>ssRNA phage Gephyllon.1_23</t>
  </si>
  <si>
    <t>BK013940</t>
  </si>
  <si>
    <t>ssRNA phage Gephyllon.1_3</t>
  </si>
  <si>
    <t>BK013991</t>
  </si>
  <si>
    <t>ssRNA phage Gephyllon.1_6</t>
  </si>
  <si>
    <t>BK013432</t>
  </si>
  <si>
    <t>ssRNA phage Esthiorhiza.2_41</t>
  </si>
  <si>
    <t>BK013796</t>
  </si>
  <si>
    <t>ssRNA phage Esthiorhiza.2_50</t>
  </si>
  <si>
    <t>BK013930</t>
  </si>
  <si>
    <t>ssRNA phage Esthiorhiza.2_42</t>
  </si>
  <si>
    <t>BK013813</t>
  </si>
  <si>
    <t>ssRNA phage Esthiorhiza.2_8</t>
  </si>
  <si>
    <t>BK013884</t>
  </si>
  <si>
    <t>ssRNA phage Esthiorhiza.3_1</t>
  </si>
  <si>
    <t>BK013450</t>
  </si>
  <si>
    <t>ssRNA phage Esthiorhiza.3_10</t>
  </si>
  <si>
    <t>BK013775</t>
  </si>
  <si>
    <t>ssRNA phage Esthiorhiza.1_6</t>
  </si>
  <si>
    <t>BK013560</t>
  </si>
  <si>
    <t>ssRNA phage Esthiorhiza.1_11</t>
  </si>
  <si>
    <t>BK013383</t>
  </si>
  <si>
    <t>ssRNA phage Esthiorhiza.2_1</t>
  </si>
  <si>
    <t>BK013388</t>
  </si>
  <si>
    <t>ssRNA phage Esthiorhiza.2_10</t>
  </si>
  <si>
    <t>BK013391</t>
  </si>
  <si>
    <t>ssRNA phage Esthiorhiza.2_16</t>
  </si>
  <si>
    <t>BK013817</t>
  </si>
  <si>
    <t>ssRNA phage Esthiorhiza.2_2</t>
  </si>
  <si>
    <t>BK014004</t>
  </si>
  <si>
    <t>ssRNA phage Esthiorhiza.2_27</t>
  </si>
  <si>
    <t>BK013814</t>
  </si>
  <si>
    <t>ssRNA phage Esthiorhiza.2_20</t>
  </si>
  <si>
    <t>BK013974</t>
  </si>
  <si>
    <t>ssRNA phage Esthiorhiza.2_32</t>
  </si>
  <si>
    <t>BK013794</t>
  </si>
  <si>
    <t>ssRNA phage Esthiorhiza.2_39</t>
  </si>
  <si>
    <t>BK013828</t>
  </si>
  <si>
    <t>ssRNA phage Esthiorhiza.2_4</t>
  </si>
  <si>
    <t>BK013501</t>
  </si>
  <si>
    <t>ssRNA phage ESO002</t>
  </si>
  <si>
    <t>BK013381</t>
  </si>
  <si>
    <t>ssRNA phage Gerhypos.1_1</t>
  </si>
  <si>
    <t>BK013404</t>
  </si>
  <si>
    <t>ssRNA phage Gerhypos.1_14</t>
  </si>
  <si>
    <t>BK013867</t>
  </si>
  <si>
    <t>ssRNA phage Gerhypos.1_10</t>
  </si>
  <si>
    <t>BK014005</t>
  </si>
  <si>
    <t>ssRNA phage Gerhypos.1_16</t>
  </si>
  <si>
    <t>BK013479</t>
  </si>
  <si>
    <t>ssRNA phage Gerhypos.1_36</t>
  </si>
  <si>
    <t>BK013400</t>
  </si>
  <si>
    <t>ssRNA phage Gerhypos.1_39</t>
  </si>
  <si>
    <t>BK013879</t>
  </si>
  <si>
    <t>ssRNA phage Gerhypos.1_42</t>
  </si>
  <si>
    <t>BK013566</t>
  </si>
  <si>
    <t>ssRNA phage Gerhypos.2_16</t>
  </si>
  <si>
    <t>BK013506</t>
  </si>
  <si>
    <t>ssRNA phage Gerhypos.2_1</t>
  </si>
  <si>
    <t>BK013410</t>
  </si>
  <si>
    <t>ssRNA phage Gerhypos.2_29</t>
  </si>
  <si>
    <t>BK013829</t>
  </si>
  <si>
    <t>ssRNA phage Gerhypos.2_30</t>
  </si>
  <si>
    <t>BK013507</t>
  </si>
  <si>
    <t>ssRNA phage Gerhypos.2_31</t>
  </si>
  <si>
    <t>BK013430</t>
  </si>
  <si>
    <t>ssRNA phage Gerhypos.4_25</t>
  </si>
  <si>
    <t>BK013550</t>
  </si>
  <si>
    <t>ssRNA phage Gerhypos.4_27</t>
  </si>
  <si>
    <t>BK013999</t>
  </si>
  <si>
    <t>ssRNA phage Gerhypos.4_4</t>
  </si>
  <si>
    <t>BK013559</t>
  </si>
  <si>
    <t>ssRNA phage Gerhypos.4_40</t>
  </si>
  <si>
    <t>BK013881</t>
  </si>
  <si>
    <t>ssRNA phage Gerhypos.4_46</t>
  </si>
  <si>
    <t>BK013459</t>
  </si>
  <si>
    <t>ssRNA phage Gerhypos.4_52</t>
  </si>
  <si>
    <t>BK013568</t>
  </si>
  <si>
    <t>ssRNA phage Gerhypos.4_58</t>
  </si>
  <si>
    <t>BK013402</t>
  </si>
  <si>
    <t>ssRNA phage Gerhypos.4_56</t>
  </si>
  <si>
    <t>BK013939</t>
  </si>
  <si>
    <t>ssRNA phage Gerhypos.4_6</t>
  </si>
  <si>
    <t>BK013541</t>
  </si>
  <si>
    <t>ssRNA phage Zoerhiza.1_17</t>
  </si>
  <si>
    <t>BK013394</t>
  </si>
  <si>
    <t>ssRNA phage Zoerhiza.1_2</t>
  </si>
  <si>
    <t>BK013837</t>
  </si>
  <si>
    <t>Gulmivirus</t>
  </si>
  <si>
    <t>ssRNA phage Gephyllon.1_26</t>
  </si>
  <si>
    <t>BK013500</t>
  </si>
  <si>
    <t>ssRNA phage Gerhypos.2_27</t>
  </si>
  <si>
    <t>BK013470</t>
  </si>
  <si>
    <t>ssRNA phage Gerhypos.1_26</t>
  </si>
  <si>
    <t>BK013942</t>
  </si>
  <si>
    <t>ssRNA phage Zoerhiza.2_27</t>
  </si>
  <si>
    <t>BK013393</t>
  </si>
  <si>
    <t>ssRNA phage Zoerhiza.4_11</t>
  </si>
  <si>
    <t>BK013997</t>
  </si>
  <si>
    <t>ssRNA phage SRR6960507_11</t>
  </si>
  <si>
    <t>BK013578</t>
  </si>
  <si>
    <t>ssRNA phage SRR6960507_12</t>
  </si>
  <si>
    <t>BK014048</t>
  </si>
  <si>
    <t>ssRNA phage SRR7976301_12</t>
  </si>
  <si>
    <t>BK014179</t>
  </si>
  <si>
    <t>Hahkesevirus</t>
  </si>
  <si>
    <t>ssRNA phage SRR6960799_36</t>
  </si>
  <si>
    <t>BK013588</t>
  </si>
  <si>
    <t>ssRNA phage Gerhypos.1_15</t>
  </si>
  <si>
    <t>BK013894</t>
  </si>
  <si>
    <t>ssRNA phage Esthiorhiza.2_21</t>
  </si>
  <si>
    <t>BK013801</t>
  </si>
  <si>
    <t>Hohrdovirus</t>
  </si>
  <si>
    <t>ssRNA phage SRR6255733_4</t>
  </si>
  <si>
    <t>BK014138</t>
  </si>
  <si>
    <t>ssRNA phage Esthiorhiza.1_1</t>
  </si>
  <si>
    <t>BK013451</t>
  </si>
  <si>
    <t>ssRNA phage Esthiorhiza.1_2</t>
  </si>
  <si>
    <t>BK013964</t>
  </si>
  <si>
    <t>ssRNA phage Esthiorhiza.3_12</t>
  </si>
  <si>
    <t>BK013985</t>
  </si>
  <si>
    <t>ssRNA phage SRR6960549_5</t>
  </si>
  <si>
    <t>BK014148</t>
  </si>
  <si>
    <t>ssRNA phage Gephyllon.1_16</t>
  </si>
  <si>
    <t>BK013955</t>
  </si>
  <si>
    <t>ssRNA phage Gephyllon.1_4</t>
  </si>
  <si>
    <t>BK014026</t>
  </si>
  <si>
    <t>ssRNA phage Gephyllon.1_24</t>
  </si>
  <si>
    <t>BK013527</t>
  </si>
  <si>
    <t>ssRNA phage Gephyllon.2_8</t>
  </si>
  <si>
    <t>BK013385</t>
  </si>
  <si>
    <t>ssRNA phage Gerhypos.1_12</t>
  </si>
  <si>
    <t>BK013552</t>
  </si>
  <si>
    <t>ssRNA phage Gerhypos.1_2</t>
  </si>
  <si>
    <t>BK013510</t>
  </si>
  <si>
    <t>ssRNA phage Gerhypos.2_15</t>
  </si>
  <si>
    <t>BK013441</t>
  </si>
  <si>
    <t>ssRNA phage Zoerhiza.1_25</t>
  </si>
  <si>
    <t>BK013836</t>
  </si>
  <si>
    <t>ssRNA phage Gerhypos.3_16</t>
  </si>
  <si>
    <t>BK013556</t>
  </si>
  <si>
    <t>ssRNA phage Zoerhiza.1_5</t>
  </si>
  <si>
    <t>BK013467</t>
  </si>
  <si>
    <t>Huhbevirus</t>
  </si>
  <si>
    <t>ssRNA phage Gephyllon.3_16</t>
  </si>
  <si>
    <t>BK013488</t>
  </si>
  <si>
    <t>ssRNA phage Gerhypos.4_18</t>
  </si>
  <si>
    <t>BK013504</t>
  </si>
  <si>
    <t>ssRNA phage Gephyllon.4_7</t>
  </si>
  <si>
    <t>BK013557</t>
  </si>
  <si>
    <t>ssRNA phage Gerhypos.4_20</t>
  </si>
  <si>
    <t>BK013769</t>
  </si>
  <si>
    <t>ssRNA phage Gerhypos.4_63</t>
  </si>
  <si>
    <t>BK013871</t>
  </si>
  <si>
    <t>ssRNA phage Gerhypos.4_64</t>
  </si>
  <si>
    <t>BK013424</t>
  </si>
  <si>
    <t>ssRNA phage Zoerhiza.1_13</t>
  </si>
  <si>
    <t>BK013953</t>
  </si>
  <si>
    <t>ssRNA phage Esthiorhiza.1_5</t>
  </si>
  <si>
    <t>BK013950</t>
  </si>
  <si>
    <t>ssRNA phage Esthiorhiza.2_22</t>
  </si>
  <si>
    <t>BK013426</t>
  </si>
  <si>
    <t>Huohcivirus</t>
  </si>
  <si>
    <t>ssRNA phage Gerhypos.1_17</t>
  </si>
  <si>
    <t>BK013963</t>
  </si>
  <si>
    <t>Huylevirus</t>
  </si>
  <si>
    <t>ssRNA phage SRR5467091_10</t>
  </si>
  <si>
    <t>BK013659</t>
  </si>
  <si>
    <t>Hyjrovirus</t>
  </si>
  <si>
    <t>ssRNA phage Esthiorhiza.4_16</t>
  </si>
  <si>
    <t>BK013897</t>
  </si>
  <si>
    <t>ssRNA phage Gephyllon.2_2</t>
  </si>
  <si>
    <t>BK013798</t>
  </si>
  <si>
    <t>Iwahcevirus</t>
  </si>
  <si>
    <t>ssRNA phage SRR6960799_32</t>
  </si>
  <si>
    <t>BK013601</t>
  </si>
  <si>
    <t>ssRNA phage SRR5467091_16</t>
  </si>
  <si>
    <t>BK013658</t>
  </si>
  <si>
    <t>ssRNA phage SRR7976325_26</t>
  </si>
  <si>
    <t>BK014199</t>
  </si>
  <si>
    <t>Kecuhnavirus</t>
  </si>
  <si>
    <t>ssRNA phage SRR6960802_5</t>
  </si>
  <si>
    <t>BK014161</t>
  </si>
  <si>
    <t>ssRNA phage SRR7976357_12</t>
  </si>
  <si>
    <t>BK014216</t>
  </si>
  <si>
    <t>ssRNA phage Gerhypos.2_13</t>
  </si>
  <si>
    <t>BK013423</t>
  </si>
  <si>
    <t>ssRNA phage Zoerhiza.3_5</t>
  </si>
  <si>
    <t>BK013567</t>
  </si>
  <si>
    <t>ssRNA phage Zoerhiza.4_13</t>
  </si>
  <si>
    <t>BK013937</t>
  </si>
  <si>
    <t>ssRNA phage Esthiorhiza.2_13</t>
  </si>
  <si>
    <t>BK013481</t>
  </si>
  <si>
    <t>ssRNA phage Esthiorhiza.4_17</t>
  </si>
  <si>
    <t>BK013932</t>
  </si>
  <si>
    <t>ssRNA phage Esthiorhiza.3_7</t>
  </si>
  <si>
    <t>BK013830</t>
  </si>
  <si>
    <t>ssRNA phage Gephyllon.2_3</t>
  </si>
  <si>
    <t>BK013476</t>
  </si>
  <si>
    <t>ssRNA phage Gerhypos.4_26</t>
  </si>
  <si>
    <t>BK013887</t>
  </si>
  <si>
    <t>ssRNA phage Gerhypos.4_29</t>
  </si>
  <si>
    <t>BK013834</t>
  </si>
  <si>
    <t>ssRNA phage Esthiorhiza.1_14</t>
  </si>
  <si>
    <t>BK013465</t>
  </si>
  <si>
    <t>Kihsiravirus</t>
  </si>
  <si>
    <t>ssRNA phage SRR7976325_28</t>
  </si>
  <si>
    <t>BK014196</t>
  </si>
  <si>
    <t>Kinglevirus</t>
  </si>
  <si>
    <t>ssRNA phage SRR5466337_3</t>
  </si>
  <si>
    <t>BK014080</t>
  </si>
  <si>
    <t>ssRNA phage SRR7976310_16</t>
  </si>
  <si>
    <t>BK013734</t>
  </si>
  <si>
    <t>ssRNA phage SRR6960799_40</t>
  </si>
  <si>
    <t>BK013596</t>
  </si>
  <si>
    <t>Laimuvirus</t>
  </si>
  <si>
    <t>ssRNA phage SRR6255733_6</t>
  </si>
  <si>
    <t>BK013671</t>
  </si>
  <si>
    <t>Lazuovirus</t>
  </si>
  <si>
    <t>ssRNA phage Zoerhiza.1_15</t>
  </si>
  <si>
    <t>BK013914</t>
  </si>
  <si>
    <t>ssRNA phage Esthiorhiza.2_17</t>
  </si>
  <si>
    <t>BK013993</t>
  </si>
  <si>
    <t>ssRNA phage Esthiorhiza.2_29</t>
  </si>
  <si>
    <t>BK013943</t>
  </si>
  <si>
    <t>ssRNA phage Gerhypos.1_50</t>
  </si>
  <si>
    <t>BK013878</t>
  </si>
  <si>
    <t>ssRNA phage Gerhypos.4_8</t>
  </si>
  <si>
    <t>BK013389</t>
  </si>
  <si>
    <t>ssRNA phage Zoerhiza.2_2</t>
  </si>
  <si>
    <t>BK013872</t>
  </si>
  <si>
    <t>ssRNA phage Zoerhiza.1_4</t>
  </si>
  <si>
    <t>BK013968</t>
  </si>
  <si>
    <t>Lihvevirus</t>
  </si>
  <si>
    <t>ssRNA phage SRR6960549_9</t>
  </si>
  <si>
    <t>BK014152</t>
  </si>
  <si>
    <t>Limaivirus</t>
  </si>
  <si>
    <t>ssRNA phage SRR5466727_9</t>
  </si>
  <si>
    <t>BK013641</t>
  </si>
  <si>
    <t>ssRNA phage SRR5467090_7</t>
  </si>
  <si>
    <t>BK014114</t>
  </si>
  <si>
    <t>Lomnativirus</t>
  </si>
  <si>
    <t>ssRNA phage Gephyllon.3_9</t>
  </si>
  <si>
    <t>BK013864</t>
  </si>
  <si>
    <t>Loptevirus</t>
  </si>
  <si>
    <t>ssRNA phage Gerhypos.4_65</t>
  </si>
  <si>
    <t>BK013538</t>
  </si>
  <si>
    <t>ssRNA phage Zoerhiza.2_17</t>
  </si>
  <si>
    <t>BK013446</t>
  </si>
  <si>
    <t>ssRNA phage SRR6960799_34</t>
  </si>
  <si>
    <t>BK014064</t>
  </si>
  <si>
    <t>ssRNA phage SRR6960551_14</t>
  </si>
  <si>
    <t>BK013694</t>
  </si>
  <si>
    <t>ssRNA phage Gerhypos.4_16</t>
  </si>
  <si>
    <t>BK013563</t>
  </si>
  <si>
    <t>ssRNA phage Zoerhiza.4_10</t>
  </si>
  <si>
    <t>BK014030</t>
  </si>
  <si>
    <t>ssRNA phage Zoerhiza.2_13</t>
  </si>
  <si>
    <t>BK013857</t>
  </si>
  <si>
    <t>ssRNA phage SRR6960509_17</t>
  </si>
  <si>
    <t>BK014144</t>
  </si>
  <si>
    <t>Mahdsavirus</t>
  </si>
  <si>
    <t>ssRNA phage SRR6960799_39</t>
  </si>
  <si>
    <t>BK013599</t>
  </si>
  <si>
    <t>ssRNA phage SRR7976299_18</t>
  </si>
  <si>
    <t>BK013712</t>
  </si>
  <si>
    <t>Metsavirus</t>
  </si>
  <si>
    <t>ssRNA phage SRR7976325_27</t>
  </si>
  <si>
    <t>BK014193</t>
  </si>
  <si>
    <t>ssRNA phage Zoerhiza.2_6</t>
  </si>
  <si>
    <t>BK014024</t>
  </si>
  <si>
    <t>Minusuvirus</t>
  </si>
  <si>
    <t>ssRNA phage Gerhypos.4_7</t>
  </si>
  <si>
    <t>BK014007</t>
  </si>
  <si>
    <t>Mocruvirus</t>
  </si>
  <si>
    <t>ssRNA phage Esthiorhiza.2_34</t>
  </si>
  <si>
    <t>BK013851</t>
  </si>
  <si>
    <t>ssRNA phage Gephyllon.4_14</t>
  </si>
  <si>
    <t>BK013954</t>
  </si>
  <si>
    <t>ssRNA phage Esthiorhiza.2_33</t>
  </si>
  <si>
    <t>BK014043</t>
  </si>
  <si>
    <t>Molucevirus</t>
  </si>
  <si>
    <t>ssRNA phage Gerhypos.1_46</t>
  </si>
  <si>
    <t>BK013809</t>
  </si>
  <si>
    <t>ssRNA phage Gerhypos.4_45</t>
  </si>
  <si>
    <t>BK013516</t>
  </si>
  <si>
    <t>ssRNA phage Gerhypos.4_47</t>
  </si>
  <si>
    <t>BK013512</t>
  </si>
  <si>
    <t>ssRNA phage Gerhypos.4_48</t>
  </si>
  <si>
    <t>BK013484</t>
  </si>
  <si>
    <t>Nehumivirus</t>
  </si>
  <si>
    <t>ssRNA phage Gephyllon.1_28</t>
  </si>
  <si>
    <t>BK013890</t>
  </si>
  <si>
    <t>ssRNA phage SRR6253161_3</t>
  </si>
  <si>
    <t>BK014133</t>
  </si>
  <si>
    <t>ssRNA phage SRR6255733_5</t>
  </si>
  <si>
    <t>BK014139</t>
  </si>
  <si>
    <t>Pahspavirus</t>
  </si>
  <si>
    <t>ssRNA phage Gerhypos.1_25</t>
  </si>
  <si>
    <t>BK013970</t>
  </si>
  <si>
    <t>ssRNA phage Zoerhiza.4_25</t>
  </si>
  <si>
    <t>BK013844</t>
  </si>
  <si>
    <t>Pirifovirus</t>
  </si>
  <si>
    <t>ssRNA phage Gerhypos.1_45</t>
  </si>
  <si>
    <t>BK014041</t>
  </si>
  <si>
    <t>Podtsbuvirus</t>
  </si>
  <si>
    <t>ssRNA phage SRR5467091_14</t>
  </si>
  <si>
    <t>BK014121</t>
  </si>
  <si>
    <t>Pohlodivirus</t>
  </si>
  <si>
    <t>ssRNA phage Gerhypos.4_11</t>
  </si>
  <si>
    <t>BK013419</t>
  </si>
  <si>
    <t>Psiaduvirus</t>
  </si>
  <si>
    <t>ssRNA phage Zoerhiza.2_24</t>
  </si>
  <si>
    <t>BK013988</t>
  </si>
  <si>
    <t>ssRNA phage SRR5466369_3</t>
  </si>
  <si>
    <t>BK014090</t>
  </si>
  <si>
    <t>ssRNA phage SRR6050698_2</t>
  </si>
  <si>
    <t>BK013668</t>
  </si>
  <si>
    <t>ssRNA phage SRR6255513_1</t>
  </si>
  <si>
    <t>BK014137</t>
  </si>
  <si>
    <t>ssRNA phage SRR6960799_38</t>
  </si>
  <si>
    <t>BK013595</t>
  </si>
  <si>
    <t>ssRNA phage SRR7976310_15</t>
  </si>
  <si>
    <t>BK013733</t>
  </si>
  <si>
    <t>ssRNA phage Zoerhiza.2_22</t>
  </si>
  <si>
    <t>BK013825</t>
  </si>
  <si>
    <t>ssRNA phage Zoerhiza.3_6</t>
  </si>
  <si>
    <t>BK013384</t>
  </si>
  <si>
    <t>Puduphavirus</t>
  </si>
  <si>
    <t>ssRNA phage Gephyllon.1_20</t>
  </si>
  <si>
    <t>BK013447</t>
  </si>
  <si>
    <t>ssRNA phage Gephyllon.4_20</t>
  </si>
  <si>
    <t>BK013540</t>
  </si>
  <si>
    <t>ssRNA phage Gerhypos.2_23</t>
  </si>
  <si>
    <t>BK013790</t>
  </si>
  <si>
    <t>ssRNA phage Gerhypos.1_27</t>
  </si>
  <si>
    <t>BK013917</t>
  </si>
  <si>
    <t>ssRNA phage Gerhypos.2_4</t>
  </si>
  <si>
    <t>BK013466</t>
  </si>
  <si>
    <t>ssRNA phage Gerhypos.4_12</t>
  </si>
  <si>
    <t>BK013926</t>
  </si>
  <si>
    <t>ssRNA phage Gerhypos.4_14</t>
  </si>
  <si>
    <t>BK013969</t>
  </si>
  <si>
    <t>ssRNA phage Gerhypos.4_57</t>
  </si>
  <si>
    <t>BK013553</t>
  </si>
  <si>
    <t>ssRNA phage Gerhypos.4_62</t>
  </si>
  <si>
    <t>BK013546</t>
  </si>
  <si>
    <t>ssRNA phage Gerhypos.4_9</t>
  </si>
  <si>
    <t>BK013477</t>
  </si>
  <si>
    <t>ssRNA phage Zoerhiza.1_28</t>
  </si>
  <si>
    <t>BK013889</t>
  </si>
  <si>
    <t>ssRNA phage Zoerhiza.2_5</t>
  </si>
  <si>
    <t>BK013407</t>
  </si>
  <si>
    <t>ssRNA phage Zoerhiza.4_19</t>
  </si>
  <si>
    <t>BK013561</t>
  </si>
  <si>
    <t>ssRNA phage Esthiorhiza.2_12</t>
  </si>
  <si>
    <t>BK013811</t>
  </si>
  <si>
    <t>ssRNA phage Esthiorhiza.2_5</t>
  </si>
  <si>
    <t>BK013947</t>
  </si>
  <si>
    <t>ssRNA phage Esthiorhiza.2_45</t>
  </si>
  <si>
    <t>BK013989</t>
  </si>
  <si>
    <t>ssRNA phage Esthiorhiza.4_14</t>
  </si>
  <si>
    <t>BK013931</t>
  </si>
  <si>
    <t>ssRNA phage Gephyllon.1_25</t>
  </si>
  <si>
    <t>BK013570</t>
  </si>
  <si>
    <t>ssRNA phage Gephyllon.4_18</t>
  </si>
  <si>
    <t>BK013786</t>
  </si>
  <si>
    <t>ssRNA phage Zoerhiza.4_24</t>
  </si>
  <si>
    <t>BK013523</t>
  </si>
  <si>
    <t>Rodtovirus</t>
  </si>
  <si>
    <t>ssRNA phage SRR6960509_16</t>
  </si>
  <si>
    <t>BK013686</t>
  </si>
  <si>
    <t>ssRNA phage Zoerhiza.4_16</t>
  </si>
  <si>
    <t>BK014027</t>
  </si>
  <si>
    <t>ssRNA phage Gerhypos.1_11</t>
  </si>
  <si>
    <t>BK013820</t>
  </si>
  <si>
    <t>ssRNA phage Gephyllon.3_10</t>
  </si>
  <si>
    <t>BK013919</t>
  </si>
  <si>
    <t>ssRNA phage SRR5467090_8</t>
  </si>
  <si>
    <t>BK014118</t>
  </si>
  <si>
    <t>Sidiruavirus</t>
  </si>
  <si>
    <t>ssRNA phage Zoerhiza.1_22</t>
  </si>
  <si>
    <t>BK013439</t>
  </si>
  <si>
    <t>ssRNA phage Gerhypos.1_31</t>
  </si>
  <si>
    <t>BK013923</t>
  </si>
  <si>
    <t>Sperdavirus</t>
  </si>
  <si>
    <t>ssRNA phage SRR6049586_2</t>
  </si>
  <si>
    <t>BK013666</t>
  </si>
  <si>
    <t>Stehnavirus</t>
  </si>
  <si>
    <t>ssRNA phage SRR6255746_3</t>
  </si>
  <si>
    <t>BK013678</t>
  </si>
  <si>
    <t>Suhnsivirus</t>
  </si>
  <si>
    <t>ssRNA phage Gerhypos.3_2</t>
  </si>
  <si>
    <t>BK013821</t>
  </si>
  <si>
    <t>ssRNA phage SRR7976325_25</t>
  </si>
  <si>
    <t>BK013748</t>
  </si>
  <si>
    <t>Surghavirus</t>
  </si>
  <si>
    <t>ssRNA phage Zoerhiza.1_33</t>
  </si>
  <si>
    <t>BK013806</t>
  </si>
  <si>
    <t>ssRNA phage Zoerhiza.1_6</t>
  </si>
  <si>
    <t>BK013772</t>
  </si>
  <si>
    <t>Tamanovirus</t>
  </si>
  <si>
    <t>ssRNA phage SRR7976325_23</t>
  </si>
  <si>
    <t>BK013747</t>
  </si>
  <si>
    <t>Tehmuvirus</t>
  </si>
  <si>
    <t>ssRNA phage Zoerhiza.2_18</t>
  </si>
  <si>
    <t>BK014023</t>
  </si>
  <si>
    <t>Tehnicivirus</t>
  </si>
  <si>
    <t>ssRNA phage Gerhypos.1_30</t>
  </si>
  <si>
    <t>BK013980</t>
  </si>
  <si>
    <t>Thehlovirus</t>
  </si>
  <si>
    <t>ssRNA phage Gerhypos.2_11</t>
  </si>
  <si>
    <t>BK013473</t>
  </si>
  <si>
    <t>Tikiyavirus</t>
  </si>
  <si>
    <t>ssRNA phage SRR7976323_6</t>
  </si>
  <si>
    <t>BK014189</t>
  </si>
  <si>
    <t>Timirovirus</t>
  </si>
  <si>
    <t>ssRNA phage SRR5467091_15</t>
  </si>
  <si>
    <t>BK014122</t>
  </si>
  <si>
    <t>Tsuhreavirus</t>
  </si>
  <si>
    <t>ssRNA phage SRR7976323_5</t>
  </si>
  <si>
    <t>BK013737</t>
  </si>
  <si>
    <t>Tuskovirus</t>
  </si>
  <si>
    <t>ssRNA phage SRR5467091_12</t>
  </si>
  <si>
    <t>BK014120</t>
  </si>
  <si>
    <t>Tuwendivirus</t>
  </si>
  <si>
    <t>ssRNA phage SRR5466725_22</t>
  </si>
  <si>
    <t>BK013639</t>
  </si>
  <si>
    <t>ssRNA phage Esthiorhiza.2_48</t>
  </si>
  <si>
    <t>BK013906</t>
  </si>
  <si>
    <t>Vindevirus</t>
  </si>
  <si>
    <t>ssRNA phage Esthiorhiza.4_8</t>
  </si>
  <si>
    <t>BK013831</t>
  </si>
  <si>
    <t>ssRNA phage Esthiorhiza.4_13</t>
  </si>
  <si>
    <t>BK013455</t>
  </si>
  <si>
    <t>ssRNA phage Gephyllon.2_4</t>
  </si>
  <si>
    <t>BK013848</t>
  </si>
  <si>
    <t>ssRNA phage Gephyllon.2_1</t>
  </si>
  <si>
    <t>BK013927</t>
  </si>
  <si>
    <t>ssRNA phage Gephyllon.2_7</t>
  </si>
  <si>
    <t>BK013534</t>
  </si>
  <si>
    <t>ssRNA phage Gephyllon.3_1</t>
  </si>
  <si>
    <t>BK013951</t>
  </si>
  <si>
    <t>ssRNA phage Gephyllon.3_18</t>
  </si>
  <si>
    <t>BK014000</t>
  </si>
  <si>
    <t>ssRNA phage Gephyllon.3_6</t>
  </si>
  <si>
    <t>BK013787</t>
  </si>
  <si>
    <t>ssRNA phage Gephyllon.4_1</t>
  </si>
  <si>
    <t>BK014018</t>
  </si>
  <si>
    <t>ssRNA phage Gephyllon.4_2</t>
  </si>
  <si>
    <t>BK013452</t>
  </si>
  <si>
    <t>ssRNA phage Gerhypos.1_4</t>
  </si>
  <si>
    <t>BK013454</t>
  </si>
  <si>
    <t>ssRNA phage Gerhypos.1_6</t>
  </si>
  <si>
    <t>BK014001</t>
  </si>
  <si>
    <t>ssRNA phage Gerhypos.1_8</t>
  </si>
  <si>
    <t>BK013413</t>
  </si>
  <si>
    <t>ssRNA phage SRR6960509_15</t>
  </si>
  <si>
    <t>BK014142</t>
  </si>
  <si>
    <t>ssRNA phage SRR6960549_7</t>
  </si>
  <si>
    <t>BK013690</t>
  </si>
  <si>
    <t>ssRNA phage ESO000</t>
  </si>
  <si>
    <t>BK013379</t>
  </si>
  <si>
    <t>ssRNA phage SRR6960549_8</t>
  </si>
  <si>
    <t>BK013689</t>
  </si>
  <si>
    <t>ssRNA phage SRR6960799_33</t>
  </si>
  <si>
    <t>BK013591</t>
  </si>
  <si>
    <t>ssRNA phage SRR7976299_17</t>
  </si>
  <si>
    <t>BK014165</t>
  </si>
  <si>
    <t>ssRNA phage Esthiorhiza.2_24</t>
  </si>
  <si>
    <t>BK013396</t>
  </si>
  <si>
    <t>ssRNA phage Esthiorhiza.3_6</t>
  </si>
  <si>
    <t>BK013792</t>
  </si>
  <si>
    <t>ssRNA phage Esthiorhiza.4_12</t>
  </si>
  <si>
    <t>BK013511</t>
  </si>
  <si>
    <t>ssRNA phage Gerhypos.2_3</t>
  </si>
  <si>
    <t>BK013499</t>
  </si>
  <si>
    <t>ssRNA phage Gerhypos.3_15</t>
  </si>
  <si>
    <t>BK013870</t>
  </si>
  <si>
    <t>ssRNA phage Gerhypos.2_40</t>
  </si>
  <si>
    <t>BK014031</t>
  </si>
  <si>
    <t>ssRNA phage Gerhypos.3_24</t>
  </si>
  <si>
    <t>BK014032</t>
  </si>
  <si>
    <t>ssRNA phage Gerhypos.4_19</t>
  </si>
  <si>
    <t>BK013827</t>
  </si>
  <si>
    <t>ssRNA phage Gerhypos.4_53</t>
  </si>
  <si>
    <t>BK013987</t>
  </si>
  <si>
    <t>ssRNA phage Zoerhiza.2_16</t>
  </si>
  <si>
    <t>BK014035</t>
  </si>
  <si>
    <t>ssRNA phage Zoerhiza.2_21</t>
  </si>
  <si>
    <t>BK013910</t>
  </si>
  <si>
    <t>ssRNA phage Zoerhiza.2_19</t>
  </si>
  <si>
    <t>BK013490</t>
  </si>
  <si>
    <t>ssRNA phage Zoerhiza.3_7</t>
  </si>
  <si>
    <t>BK013480</t>
  </si>
  <si>
    <t>ssRNA phage Zoerhiza.4_4</t>
  </si>
  <si>
    <t>BK013891</t>
  </si>
  <si>
    <t>Widsokivirus</t>
  </si>
  <si>
    <t>ssRNA phage SRR5467090_11</t>
  </si>
  <si>
    <t>BK013654</t>
  </si>
  <si>
    <t>Yeziwivirus</t>
  </si>
  <si>
    <t>ssRNA phage SRR7976325_24</t>
  </si>
  <si>
    <t>BK014194</t>
  </si>
  <si>
    <t>ssRNA phage Esthiorhiza.1_3</t>
  </si>
  <si>
    <t>BK013443</t>
  </si>
  <si>
    <t>ssRNA phage Esthiorhiza.1_7</t>
  </si>
  <si>
    <t>BK013882</t>
  </si>
  <si>
    <t>ssRNA phage Gephyllon.1_17</t>
  </si>
  <si>
    <t>BK013911</t>
  </si>
  <si>
    <t>Miaviricetes</t>
  </si>
  <si>
    <t>Ourlivirales</t>
  </si>
  <si>
    <t>Botourmiaviridae</t>
  </si>
  <si>
    <t>Betabotoulivirus</t>
  </si>
  <si>
    <t>Plasmopara viticola lesion associated ourmia-like virus 1</t>
  </si>
  <si>
    <t>PvaOLV1</t>
  </si>
  <si>
    <t>DMG-A_31944</t>
  </si>
  <si>
    <t>MN532588</t>
  </si>
  <si>
    <t>Plasmopara viticola lesion associated ourmia-like virus 2</t>
  </si>
  <si>
    <t>PvaOLV2</t>
  </si>
  <si>
    <t>DMG-B_49298</t>
  </si>
  <si>
    <t>MN532589</t>
  </si>
  <si>
    <t>Plasmopara viticola lesion associated ourmia-like virus 52</t>
  </si>
  <si>
    <t>PvaOLV52</t>
  </si>
  <si>
    <t>MN532639</t>
  </si>
  <si>
    <t>Entoleuca ourmia-like virus 1</t>
  </si>
  <si>
    <t>EnOLV1</t>
  </si>
  <si>
    <t>E112-4</t>
  </si>
  <si>
    <t>MF375889</t>
  </si>
  <si>
    <t>Plasmopara viticola lesion associated ourmia-like virus 53</t>
  </si>
  <si>
    <t>PvaOLV53</t>
  </si>
  <si>
    <t>DMS5_30737</t>
  </si>
  <si>
    <t>MN532640</t>
  </si>
  <si>
    <t>Plasmopara viticola lesion associated ourmia-like virus 55</t>
  </si>
  <si>
    <t>PvaOLV55</t>
  </si>
  <si>
    <t>DMG-A_37194</t>
  </si>
  <si>
    <t>MN532642</t>
  </si>
  <si>
    <t>Plasmopara viticola lesion associated ourmia-like virus 4</t>
  </si>
  <si>
    <t>PvaOLV4</t>
  </si>
  <si>
    <t>DMG-A_37954</t>
  </si>
  <si>
    <t>MN532591</t>
  </si>
  <si>
    <t>Phaeoacremonium minimum ourmia-like virus 3</t>
  </si>
  <si>
    <t>PmOLV3</t>
  </si>
  <si>
    <t>CREA-VE-28SY2</t>
  </si>
  <si>
    <t>MK584848</t>
  </si>
  <si>
    <t>Plasmopara viticola lesion associated ourmia-like virus 60</t>
  </si>
  <si>
    <t>PvaOLV60</t>
  </si>
  <si>
    <t>DMS6_38778</t>
  </si>
  <si>
    <t>MN532647</t>
  </si>
  <si>
    <t>Plasmopara viticola lesion associated ourmia-like virus 54</t>
  </si>
  <si>
    <t>PvaOLV54</t>
  </si>
  <si>
    <t>DMS8_17200</t>
  </si>
  <si>
    <t>MN532641</t>
  </si>
  <si>
    <t>Betarhizoulivirus</t>
  </si>
  <si>
    <t>Armillaria mellea ourmia-like virus 1</t>
  </si>
  <si>
    <t>AmOlV1</t>
  </si>
  <si>
    <t>CMW50256</t>
  </si>
  <si>
    <t>MW423802</t>
  </si>
  <si>
    <t>Rhizoctonia solani ourmia-like virus 5</t>
  </si>
  <si>
    <t>RsOLV5</t>
  </si>
  <si>
    <t>MK372909</t>
  </si>
  <si>
    <t>Betascleroulivirus</t>
  </si>
  <si>
    <t>Plasmopara viticola lesion associated ourmia-like virus 34</t>
  </si>
  <si>
    <t>PavOLV34</t>
  </si>
  <si>
    <t>DMG-A_34896</t>
  </si>
  <si>
    <t>MN532621</t>
  </si>
  <si>
    <t>Plasmopara viticola lesion associated ourmia-like virus 35</t>
  </si>
  <si>
    <t>PavOLV35</t>
  </si>
  <si>
    <t>DMG-D_Contig</t>
  </si>
  <si>
    <t>MN532622</t>
  </si>
  <si>
    <t>Botrytis cinerea ourmia-like virus 10</t>
  </si>
  <si>
    <t>BcOLV10</t>
  </si>
  <si>
    <t>BCS1_DN3465</t>
  </si>
  <si>
    <t>MN605476</t>
  </si>
  <si>
    <t>Plasmopara viticola lesion associated ourmia-like virus 38</t>
  </si>
  <si>
    <t>PavOLV38</t>
  </si>
  <si>
    <t>DMG-B_45269</t>
  </si>
  <si>
    <t>MN532625</t>
  </si>
  <si>
    <t>Plasmopara viticola lesion associated ourmia-like virus 39</t>
  </si>
  <si>
    <t>PavOLV39</t>
  </si>
  <si>
    <t>DMS9_28604</t>
  </si>
  <si>
    <t>MN532626</t>
  </si>
  <si>
    <t>Plasmopara viticola lesion associated ourmia-like virus 41</t>
  </si>
  <si>
    <t>PavOLV41</t>
  </si>
  <si>
    <t>DMS9_29231</t>
  </si>
  <si>
    <t>MN532628</t>
  </si>
  <si>
    <t>Plasmopara viticola lesion associated ourmia-like virus 37</t>
  </si>
  <si>
    <t>PavOLV37</t>
  </si>
  <si>
    <t>DMG-B_Contig4</t>
  </si>
  <si>
    <t>MN532624</t>
  </si>
  <si>
    <t>Plasmopara viticola lesion associated ourmia-like virus 43</t>
  </si>
  <si>
    <t>PavOLV43</t>
  </si>
  <si>
    <t>DMS1_14782</t>
  </si>
  <si>
    <t>MN532630</t>
  </si>
  <si>
    <t>Plasmopara viticola lesion associated ourmia-like virus 48</t>
  </si>
  <si>
    <t>PavOLV48</t>
  </si>
  <si>
    <t>DMS3_36060</t>
  </si>
  <si>
    <t>MN532635</t>
  </si>
  <si>
    <t>Plasmopara viticola lesion associated ourmia-like virus 51</t>
  </si>
  <si>
    <t>PavOLV51</t>
  </si>
  <si>
    <t>DMG-A_34547</t>
  </si>
  <si>
    <t>MN532638</t>
  </si>
  <si>
    <t>Plasmopara viticola lesion associated ourmia-like virus 67</t>
  </si>
  <si>
    <t>PavOLV67</t>
  </si>
  <si>
    <t>DMS4_34267</t>
  </si>
  <si>
    <t>MN532654</t>
  </si>
  <si>
    <t>Pyricularia oryzae ourmia-like virus 2</t>
  </si>
  <si>
    <t>PoOLV2</t>
  </si>
  <si>
    <t>Br48</t>
  </si>
  <si>
    <t>LC413502</t>
  </si>
  <si>
    <t>Plasmopara viticola lesion associated ourmia-like virus 42</t>
  </si>
  <si>
    <t>PavOLV42</t>
  </si>
  <si>
    <t>DMG-G_38207</t>
  </si>
  <si>
    <t>MN532629</t>
  </si>
  <si>
    <t>Plasmopara viticola lesion associated ourmia-like virus 40</t>
  </si>
  <si>
    <t>PavOLV40</t>
  </si>
  <si>
    <t>DMG-A_36999</t>
  </si>
  <si>
    <t>MN532627</t>
  </si>
  <si>
    <t>Botoulivirus</t>
  </si>
  <si>
    <t>Botrytis cinerea ourmia-like virus 4</t>
  </si>
  <si>
    <t>BcOLV4</t>
  </si>
  <si>
    <t>BCI10_DN4356</t>
  </si>
  <si>
    <t>MN605470</t>
  </si>
  <si>
    <t>Pestalotiopsis botourmiavirus 3</t>
  </si>
  <si>
    <t>PBV3</t>
  </si>
  <si>
    <t>MW017457</t>
  </si>
  <si>
    <t>Plasmopara viticola lesion associated ourmia-like virus 3</t>
  </si>
  <si>
    <t>PvaOLV3</t>
  </si>
  <si>
    <t>DMG-D_30438</t>
  </si>
  <si>
    <t>MN532590</t>
  </si>
  <si>
    <t>Botrytis cinerea ourmia-like virus 11</t>
  </si>
  <si>
    <t>BcOLV11</t>
  </si>
  <si>
    <t>BCI7_DN2190</t>
  </si>
  <si>
    <t>MN605477</t>
  </si>
  <si>
    <t>Plasmopara viticola lesion associated ourmia-like virus 56</t>
  </si>
  <si>
    <t>PvaOLV56</t>
  </si>
  <si>
    <t>DMS4_34773</t>
  </si>
  <si>
    <t>MN532643</t>
  </si>
  <si>
    <t>Botrytis cinerea ourmia-like virus 13</t>
  </si>
  <si>
    <t>BcOLV13</t>
  </si>
  <si>
    <t>BCS2_15Bc</t>
  </si>
  <si>
    <t>MN605479</t>
  </si>
  <si>
    <t>Plasmopara viticola lesion associated ourmia-like virus 58</t>
  </si>
  <si>
    <t>PvaOLV58</t>
  </si>
  <si>
    <t>DMG-B_40118</t>
  </si>
  <si>
    <t>MN532645</t>
  </si>
  <si>
    <t>Botrytis cinerea ourmia-like virus 14</t>
  </si>
  <si>
    <t>BcOLV14</t>
  </si>
  <si>
    <t>BCS15_DN11704</t>
  </si>
  <si>
    <t>MN605480</t>
  </si>
  <si>
    <t>Plasmopara viticola lesion associated ourmia-like virus 59</t>
  </si>
  <si>
    <t>PvaOLV59</t>
  </si>
  <si>
    <t>DMG-C_25545</t>
  </si>
  <si>
    <t>MN532646</t>
  </si>
  <si>
    <t>Botrytis cinerea ourmia-like virus 16</t>
  </si>
  <si>
    <t>BcOLV16</t>
  </si>
  <si>
    <t>BCS12_1</t>
  </si>
  <si>
    <t>MN605482</t>
  </si>
  <si>
    <t>Plasmopara viticola lesion associated ourmia-like virus 81</t>
  </si>
  <si>
    <t>PvaOLV81</t>
  </si>
  <si>
    <t>DMG-B_54471</t>
  </si>
  <si>
    <t>MN532668</t>
  </si>
  <si>
    <t>Botrytis cinerea ourmia-like virus 12</t>
  </si>
  <si>
    <t>BcOLV12</t>
  </si>
  <si>
    <t>BCI10_DN3618</t>
  </si>
  <si>
    <t>MN605478</t>
  </si>
  <si>
    <t>Sclerotinia minor botoulivirus 1</t>
  </si>
  <si>
    <t>SmBV1</t>
  </si>
  <si>
    <t>LC45</t>
  </si>
  <si>
    <t>Plasmopara viticola lesion associated ourmia-like virus 57</t>
  </si>
  <si>
    <t>PvaOLV57</t>
  </si>
  <si>
    <t>DMS5_22836</t>
  </si>
  <si>
    <t>MN532644</t>
  </si>
  <si>
    <t>Botrytis cinerea botoulivirus 18</t>
  </si>
  <si>
    <t>BcBoV18</t>
  </si>
  <si>
    <t>OK634395</t>
  </si>
  <si>
    <t>Botrytis cinerea botoulivirus 19</t>
  </si>
  <si>
    <t>BcBoV19</t>
  </si>
  <si>
    <t>OK634396</t>
  </si>
  <si>
    <t>Botrytis cinerea ourmia-like virus 17</t>
  </si>
  <si>
    <t>BcOLV17</t>
  </si>
  <si>
    <t>BCI2_DN5291</t>
  </si>
  <si>
    <t>MN605483</t>
  </si>
  <si>
    <t>Botrytis cinerea ourmia-like virus 15</t>
  </si>
  <si>
    <t>BcOLV15</t>
  </si>
  <si>
    <t>BCS2_DN470</t>
  </si>
  <si>
    <t>MN605481</t>
  </si>
  <si>
    <t>Plasmopara viticola lesion associated ourmia-like virus 61</t>
  </si>
  <si>
    <t>PvaOLV61</t>
  </si>
  <si>
    <t>DMG-A_34540</t>
  </si>
  <si>
    <t>MN532648</t>
  </si>
  <si>
    <t>Botrytis ourmia-like virus</t>
  </si>
  <si>
    <t>BOLV</t>
  </si>
  <si>
    <t>HAZ2-3</t>
  </si>
  <si>
    <t>LN827955</t>
  </si>
  <si>
    <t>Epicoccum nigrum ourmia-like virus 1</t>
  </si>
  <si>
    <t>CREA-VE-1SY1</t>
  </si>
  <si>
    <t>MK584842</t>
  </si>
  <si>
    <t>Sclerotinia sclerotiorum ourmia-like virus 2</t>
  </si>
  <si>
    <t>SsOLV2</t>
  </si>
  <si>
    <t>KP900929</t>
  </si>
  <si>
    <t>Sclerotinia sclerotiorum ourmia-like virus 3</t>
  </si>
  <si>
    <t>SsOLV3</t>
  </si>
  <si>
    <t>MF444276</t>
  </si>
  <si>
    <t>Deltascleroulivirus</t>
  </si>
  <si>
    <t>Plasmopara viticola lesion associated ourmia-like virus 64</t>
  </si>
  <si>
    <t>PavOLV64</t>
  </si>
  <si>
    <t>DMG-A_13793</t>
  </si>
  <si>
    <t>MN532651</t>
  </si>
  <si>
    <t>Plasmopara viticola lesion associated ourmia-like virus 80</t>
  </si>
  <si>
    <t>PavOLV80</t>
  </si>
  <si>
    <t>DMS10_21607</t>
  </si>
  <si>
    <t>MN532667</t>
  </si>
  <si>
    <t>Botrytis cinerea ourmia-like virus 5</t>
  </si>
  <si>
    <t>BcOLV5</t>
  </si>
  <si>
    <t>BCI5_DN19</t>
  </si>
  <si>
    <t>MN605471</t>
  </si>
  <si>
    <t>Epsilonscleroulivirus</t>
  </si>
  <si>
    <t>Magnaporthe oryzae botourmiavirus 7</t>
  </si>
  <si>
    <t>MBOV7</t>
  </si>
  <si>
    <t>MN971592</t>
  </si>
  <si>
    <t>Plasmopara viticola lesion associated ourmia-like virus 45</t>
  </si>
  <si>
    <t>PavOLV45</t>
  </si>
  <si>
    <t>MN532632</t>
  </si>
  <si>
    <t>Gammascleroulivirus</t>
  </si>
  <si>
    <t>Magnaporthe oryzae botourmiavirus 6</t>
  </si>
  <si>
    <t>MBOV6</t>
  </si>
  <si>
    <t>MN971591</t>
  </si>
  <si>
    <t>Plasmopara viticola lesion associated ourmia-like virus 49</t>
  </si>
  <si>
    <t>PavOLV49</t>
  </si>
  <si>
    <t>DMG-B_51647</t>
  </si>
  <si>
    <t>MN532636</t>
  </si>
  <si>
    <t>Plasmopara viticola lesion associated ourmia-like virus 50</t>
  </si>
  <si>
    <t>PavOLV50</t>
  </si>
  <si>
    <t>DMG-A_29287</t>
  </si>
  <si>
    <t>MN532637</t>
  </si>
  <si>
    <t>Magoulivirus</t>
  </si>
  <si>
    <t>Acremonium sclerotigenum ourmia-like virus 1</t>
  </si>
  <si>
    <t>AsOLV1</t>
  </si>
  <si>
    <t>CREA-VE-3SY2</t>
  </si>
  <si>
    <t>MK584845</t>
  </si>
  <si>
    <t>Cladosporium cladosporioides ourmia-like virus 1</t>
  </si>
  <si>
    <t>CcOLV1</t>
  </si>
  <si>
    <t>CREA-VE-6AS1</t>
  </si>
  <si>
    <t>MK584838</t>
  </si>
  <si>
    <t>Plasmopara viticola lesion associated ourmia-like virus 30</t>
  </si>
  <si>
    <t>PavOLV30</t>
  </si>
  <si>
    <t>DMS10_23903</t>
  </si>
  <si>
    <t>Plasmopara viticola lesion associated ourmia-like virus 32</t>
  </si>
  <si>
    <t>PavOLV32</t>
  </si>
  <si>
    <t>DMG-F_40507</t>
  </si>
  <si>
    <t>Cladosporium cladosporioides ourmia-like virus 2</t>
  </si>
  <si>
    <t>CcOLV2</t>
  </si>
  <si>
    <t>MK584847</t>
  </si>
  <si>
    <t>Plasmopara viticola lesion associated ourmia-like virus 28</t>
  </si>
  <si>
    <t>PavOLV28</t>
  </si>
  <si>
    <t>DMG-B_56496</t>
  </si>
  <si>
    <t>Colletotrichum gloeosporioides ourmia-like virus 1</t>
  </si>
  <si>
    <t>CgOLV1</t>
  </si>
  <si>
    <t>T2</t>
  </si>
  <si>
    <t>MK542706</t>
  </si>
  <si>
    <t>Magnaporthe oryzae ourmia-like virus 1</t>
  </si>
  <si>
    <t>MOLV1</t>
  </si>
  <si>
    <t>Guy 11</t>
  </si>
  <si>
    <t>LT593139</t>
  </si>
  <si>
    <t>Botrytis cinerea ourmia-like virus 6</t>
  </si>
  <si>
    <t>BcOLV6</t>
  </si>
  <si>
    <t>BCS1_DN27</t>
  </si>
  <si>
    <t>MN605472</t>
  </si>
  <si>
    <t>Botrytis cinerea oumia-like virus 8</t>
  </si>
  <si>
    <t>BcOLV8</t>
  </si>
  <si>
    <t>BCS3_DN27</t>
  </si>
  <si>
    <t>Heterobasidion ourmia-like virus 1</t>
  </si>
  <si>
    <t>HetOlV1</t>
  </si>
  <si>
    <t>RKU3.2.124</t>
  </si>
  <si>
    <t>MZ502383</t>
  </si>
  <si>
    <t>Macrophomina phaseolina ourmia-like virus 2</t>
  </si>
  <si>
    <t>MpOLV2</t>
  </si>
  <si>
    <t>MT062429</t>
  </si>
  <si>
    <t>Armillaria mellea ourmia-like virus 2</t>
  </si>
  <si>
    <t>AmOlV2</t>
  </si>
  <si>
    <t>CMW3973</t>
  </si>
  <si>
    <t>MW423803</t>
  </si>
  <si>
    <t>Botryosphaeria dothidea Ourmia-like virus 1</t>
  </si>
  <si>
    <t>BdOLV1</t>
  </si>
  <si>
    <t>PGMJ17</t>
  </si>
  <si>
    <t>MK189195</t>
  </si>
  <si>
    <t>Magnaporthe oryzae botourmiavirus 2</t>
  </si>
  <si>
    <t>MoBV2</t>
  </si>
  <si>
    <t>YC81-2</t>
  </si>
  <si>
    <t>MW117114</t>
  </si>
  <si>
    <t>Fusarium oxysporum ourmia-like virus 1</t>
  </si>
  <si>
    <t>FoOuLV1</t>
  </si>
  <si>
    <t>HuN8</t>
  </si>
  <si>
    <t>MT551010</t>
  </si>
  <si>
    <t>Plasmopara viticola lesion associated ourmia-like virus 5</t>
  </si>
  <si>
    <t>PavOLV5</t>
  </si>
  <si>
    <t>DMG-B_54689</t>
  </si>
  <si>
    <t>MN532592</t>
  </si>
  <si>
    <t>Botrytis cinerea ourmia-like virus 7</t>
  </si>
  <si>
    <t>BcOLV7</t>
  </si>
  <si>
    <t>BCS14_DN363</t>
  </si>
  <si>
    <t>MN605473</t>
  </si>
  <si>
    <t>Macrophomina phaseolina ourmia-like virus 2-A</t>
  </si>
  <si>
    <t>MpOLV2-A</t>
  </si>
  <si>
    <t>MT062430</t>
  </si>
  <si>
    <t>Plasmopara viticola lesion associated ourmia-like virus 6</t>
  </si>
  <si>
    <t>PavOLV6</t>
  </si>
  <si>
    <t>DMG-B_8483</t>
  </si>
  <si>
    <t>MN532593</t>
  </si>
  <si>
    <t>Plasmopara viticola lesion associated ourmia-like virus 8</t>
  </si>
  <si>
    <t>PavOLV8</t>
  </si>
  <si>
    <t>DMG-B_54149</t>
  </si>
  <si>
    <t>MN532595</t>
  </si>
  <si>
    <t>Plasmopara viticola lesion associated ourmia-like virus 9</t>
  </si>
  <si>
    <t>PavOLV9</t>
  </si>
  <si>
    <t>DMS6_42418</t>
  </si>
  <si>
    <t>MN532596</t>
  </si>
  <si>
    <t>Plasmopara viticola lesion associated ourmia-like virus 11</t>
  </si>
  <si>
    <t>PavOLV11</t>
  </si>
  <si>
    <t>DMG-B_52945</t>
  </si>
  <si>
    <t>MN532598</t>
  </si>
  <si>
    <t>Plasmopara viticola lesion associated ourmia-like virus 25</t>
  </si>
  <si>
    <t>PavOLV25</t>
  </si>
  <si>
    <t>DMS4_34176</t>
  </si>
  <si>
    <t>MN532612</t>
  </si>
  <si>
    <t>Plasmopara viticola lesion associated ourmia-like virus 7</t>
  </si>
  <si>
    <t>6PavOLV7</t>
  </si>
  <si>
    <t>DMS6_42536</t>
  </si>
  <si>
    <t>MN532594</t>
  </si>
  <si>
    <t>Plasmopara viticola lesion associated ourmia-like virus 13</t>
  </si>
  <si>
    <t>PavOLV13</t>
  </si>
  <si>
    <t>DMG-A_34860</t>
  </si>
  <si>
    <t>MN532600</t>
  </si>
  <si>
    <t>Plasmopara viticola lesion associated ourmia-like virus 24</t>
  </si>
  <si>
    <t>PavOLV24</t>
  </si>
  <si>
    <t>DMG-B_50766</t>
  </si>
  <si>
    <t>MN532611</t>
  </si>
  <si>
    <t>Plasmopara viticola lesion associated ourmia-like virus 26</t>
  </si>
  <si>
    <t>PavOLV26</t>
  </si>
  <si>
    <t>DMS1_25556</t>
  </si>
  <si>
    <t>MN532613</t>
  </si>
  <si>
    <t>Plasmopara viticola lesion associated ourmia-like virus 14</t>
  </si>
  <si>
    <t>PavOLV14</t>
  </si>
  <si>
    <t>DMG-F_43504</t>
  </si>
  <si>
    <t>MN532601</t>
  </si>
  <si>
    <t>Plasmopara viticola lesion associated ourmia-like virus 15</t>
  </si>
  <si>
    <t>PavOLV15</t>
  </si>
  <si>
    <t>DMS4_34466</t>
  </si>
  <si>
    <t>MN532602</t>
  </si>
  <si>
    <t>apple ourmia-like virus 3</t>
  </si>
  <si>
    <t>AOLV3</t>
  </si>
  <si>
    <t>WA1</t>
  </si>
  <si>
    <t>MN386963</t>
  </si>
  <si>
    <t>Plasmopara viticola lesion associated ourmia-like virus 16</t>
  </si>
  <si>
    <t>PavOLV16</t>
  </si>
  <si>
    <t>DMG-D_27335</t>
  </si>
  <si>
    <t>MN532603</t>
  </si>
  <si>
    <t>Plasmopara viticola lesion associated ourmia-like virus 17</t>
  </si>
  <si>
    <t>PavOLV17</t>
  </si>
  <si>
    <t>DMG-E_18335</t>
  </si>
  <si>
    <t>MN532604</t>
  </si>
  <si>
    <t>Plasmopara viticola lesion associated ourmia-like virus 27</t>
  </si>
  <si>
    <t>PavOLV27</t>
  </si>
  <si>
    <t>DMG-D_13497</t>
  </si>
  <si>
    <t>MN532616</t>
  </si>
  <si>
    <t>Plasmopara viticola lesion associated ourmia-like virus 19</t>
  </si>
  <si>
    <t>PavOLV19</t>
  </si>
  <si>
    <t>DMG-B_12886</t>
  </si>
  <si>
    <t>MN532606</t>
  </si>
  <si>
    <t>Plasmopara viticola lesion associated ourmia-like virus 20</t>
  </si>
  <si>
    <t>PavOLV20</t>
  </si>
  <si>
    <t>DMG-B_54614</t>
  </si>
  <si>
    <t>MN532607</t>
  </si>
  <si>
    <t>Plasmopara viticola lesion associated ourmia-like virus 29</t>
  </si>
  <si>
    <t>PavOLV29</t>
  </si>
  <si>
    <t>DMG-E_28155</t>
  </si>
  <si>
    <t>MN532614</t>
  </si>
  <si>
    <t>Plasmopara viticola lesion associated ourmia-like virus 21</t>
  </si>
  <si>
    <t>PavOLV21</t>
  </si>
  <si>
    <t>DMG-A_33790</t>
  </si>
  <si>
    <t>MN532608</t>
  </si>
  <si>
    <t>Plasmopara viticola lesion associated ourmia-like virus 22</t>
  </si>
  <si>
    <t>PavOLV22</t>
  </si>
  <si>
    <t>DMS3_17792</t>
  </si>
  <si>
    <t>MN532609</t>
  </si>
  <si>
    <t>Plasmopara viticola lesion associated ourmia-like virus 23</t>
  </si>
  <si>
    <t>PavOLV23</t>
  </si>
  <si>
    <t>DMG-B_4839</t>
  </si>
  <si>
    <t>MN532610</t>
  </si>
  <si>
    <t>Plasmopara viticola lesion associated ourmia-like virus 12</t>
  </si>
  <si>
    <t>PavOLV12</t>
  </si>
  <si>
    <t>DMG-D_33124</t>
  </si>
  <si>
    <t>MN532599</t>
  </si>
  <si>
    <t>Plasmopara viticola lesion associated ourmia-like virus 36</t>
  </si>
  <si>
    <t>PavOLV36</t>
  </si>
  <si>
    <t>MN532623</t>
  </si>
  <si>
    <t>Plasmopara viticola lesion associated ourmia-like virus 18</t>
  </si>
  <si>
    <t>PavOLV18</t>
  </si>
  <si>
    <t>DMG-C_2817</t>
  </si>
  <si>
    <t>MN532605</t>
  </si>
  <si>
    <t>Plasmopara viticola lesion associated ourmia-like virus 10</t>
  </si>
  <si>
    <t>PavOLV10</t>
  </si>
  <si>
    <t>DMS1_25369</t>
  </si>
  <si>
    <t>MN532597</t>
  </si>
  <si>
    <t>Penicillium citrinum ourmia-like virus 1</t>
  </si>
  <si>
    <t>PcOLV1</t>
  </si>
  <si>
    <t>MUT1071</t>
  </si>
  <si>
    <t>MG887747</t>
  </si>
  <si>
    <t>Phaeoacremonium minimum ourmia-like virus 2</t>
  </si>
  <si>
    <t>PmOLV2</t>
  </si>
  <si>
    <t>CREA-VE-9SY1</t>
  </si>
  <si>
    <t>MK584846</t>
  </si>
  <si>
    <t>PavOLV31</t>
  </si>
  <si>
    <t>DMG-B_Contig5</t>
  </si>
  <si>
    <t>Plasmopara viticola lesion associated ourmia-like virus 33</t>
  </si>
  <si>
    <t>PavOLV33</t>
  </si>
  <si>
    <t>DMG-A_37357</t>
  </si>
  <si>
    <t>Rhizoctonia solani ourmia-like virus 1</t>
  </si>
  <si>
    <t>RsOLV1</t>
  </si>
  <si>
    <t>RsAG2</t>
  </si>
  <si>
    <t>KP900921</t>
  </si>
  <si>
    <t>Ourmiavirus</t>
  </si>
  <si>
    <t>cassava virus C</t>
  </si>
  <si>
    <t>CsVC</t>
  </si>
  <si>
    <t>IC</t>
  </si>
  <si>
    <t>RNA1: FJ157981; RNA2: FJ157982; RNA3: FJ157983</t>
  </si>
  <si>
    <t>Epirus cherry virus</t>
  </si>
  <si>
    <t>EpCV</t>
  </si>
  <si>
    <t>VE450</t>
  </si>
  <si>
    <t>RNA1: EU770620; RNA2: EU770621; RNA3: EU770622</t>
  </si>
  <si>
    <t>Ourmia melon virus</t>
  </si>
  <si>
    <t>OuMV</t>
  </si>
  <si>
    <t>VE9</t>
  </si>
  <si>
    <t>RNA1: EU770623; RNA2: EU770624; RNA3: EU770625</t>
  </si>
  <si>
    <t>Penoulivirus</t>
  </si>
  <si>
    <t>Aspergillus neoniger ourmia-like virus 1</t>
  </si>
  <si>
    <t>AnOlV1</t>
  </si>
  <si>
    <t>AnOlv1CBS 115656</t>
  </si>
  <si>
    <t>MK279481</t>
  </si>
  <si>
    <t>Cladosporium uredinicola ourmia-like virus 2</t>
  </si>
  <si>
    <t>CuOLV2</t>
  </si>
  <si>
    <t>CREA-VE-14AS3</t>
  </si>
  <si>
    <t>MK584841</t>
  </si>
  <si>
    <t>Epicoccum nigrum ourmia-like virus 2</t>
  </si>
  <si>
    <t>EnOLV2</t>
  </si>
  <si>
    <t>MK584844</t>
  </si>
  <si>
    <t>Magnaporthe oryzae ourmia-like virus 4</t>
  </si>
  <si>
    <t>MOLV4</t>
  </si>
  <si>
    <t>HNDW6</t>
  </si>
  <si>
    <t>MK507958</t>
  </si>
  <si>
    <t>Neofusicoccum parvum ourmia-like virus 1</t>
  </si>
  <si>
    <t>NpOLV1</t>
  </si>
  <si>
    <t>CREA-VE-26SY1</t>
  </si>
  <si>
    <t>MK584837</t>
  </si>
  <si>
    <t>Penicillium sumatrense ourmia-like virus 1</t>
  </si>
  <si>
    <t>PsOLV1</t>
  </si>
  <si>
    <t>CREA-VE-10AS2</t>
  </si>
  <si>
    <t>MK584839</t>
  </si>
  <si>
    <t>Botrytis cinerea ourmia-like virus 1</t>
  </si>
  <si>
    <t>BcOLV1</t>
  </si>
  <si>
    <t>BCS12_DN83</t>
  </si>
  <si>
    <t>MN605467</t>
  </si>
  <si>
    <t>Erysiphe necator associated ourmia-like virus 21</t>
  </si>
  <si>
    <t>EnaOLV21</t>
  </si>
  <si>
    <t>RDPM33</t>
  </si>
  <si>
    <t>OL890646</t>
  </si>
  <si>
    <t>Magnaporthe oryzae botourmiavirus 5</t>
  </si>
  <si>
    <t>MBOV5</t>
  </si>
  <si>
    <t>MN648455</t>
  </si>
  <si>
    <t>Plasmopara viticola lesion associated ourmia-like virus 82</t>
  </si>
  <si>
    <t>PvaOLV82</t>
  </si>
  <si>
    <t>DMS4_33408</t>
  </si>
  <si>
    <t>MN532669</t>
  </si>
  <si>
    <t>Botrytis cinerea ourmia-like virus 2</t>
  </si>
  <si>
    <t>BcOLV2</t>
  </si>
  <si>
    <t>MN605468</t>
  </si>
  <si>
    <t>Plasmopara viticola lesion associated ourmia-like virus 83</t>
  </si>
  <si>
    <t>PvaOLV83</t>
  </si>
  <si>
    <t>DMS6_43509</t>
  </si>
  <si>
    <t>MN532670</t>
  </si>
  <si>
    <t>Plasmopara viticola lesion associated ourmia-like virus 85</t>
  </si>
  <si>
    <t>PvaOLV85</t>
  </si>
  <si>
    <t>DMG-C_28820</t>
  </si>
  <si>
    <t>MN532672</t>
  </si>
  <si>
    <t>Plasmopara viticola lesion associated ourmia-like virus 87</t>
  </si>
  <si>
    <t>PvaOLV87</t>
  </si>
  <si>
    <t>DMS6_41719</t>
  </si>
  <si>
    <t>MN532674</t>
  </si>
  <si>
    <t>Plasmopara viticola lesion associated ourmia-like virus 89</t>
  </si>
  <si>
    <t>PvaOLV89</t>
  </si>
  <si>
    <t>DMG-B_53516</t>
  </si>
  <si>
    <t>MN532676</t>
  </si>
  <si>
    <t>Botrytis cinerea ourmia-like virus 3</t>
  </si>
  <si>
    <t>BcOLV3</t>
  </si>
  <si>
    <t>BCS8_TRINITY_DN11</t>
  </si>
  <si>
    <t>MN605469</t>
  </si>
  <si>
    <t>Plasmopara viticola lesion associated ourmia-like virus 84</t>
  </si>
  <si>
    <t>PvaOLV84</t>
  </si>
  <si>
    <t>DMG-B_49894</t>
  </si>
  <si>
    <t>MN532671</t>
  </si>
  <si>
    <t>Plasmopara viticola lesion associated ourmia-like virus 91</t>
  </si>
  <si>
    <t>PvaOLV91</t>
  </si>
  <si>
    <t>DMS2_12910</t>
  </si>
  <si>
    <t>MN532678</t>
  </si>
  <si>
    <t>Macrophomina phaseolina ourmia-like virus 3</t>
  </si>
  <si>
    <t>MpOVL3</t>
  </si>
  <si>
    <t>MT062431</t>
  </si>
  <si>
    <t>apple ourmia-like virus 2</t>
  </si>
  <si>
    <t>AOLV2</t>
  </si>
  <si>
    <t>MN386962</t>
  </si>
  <si>
    <t>Plasmopara viticola lesion associated ourmia-like virus 90</t>
  </si>
  <si>
    <t>PvaOLV90</t>
  </si>
  <si>
    <t>DMG-E_28272</t>
  </si>
  <si>
    <t>MN532677</t>
  </si>
  <si>
    <t>Plasmopara viticola lesion associated ourmia-like virus 88</t>
  </si>
  <si>
    <t>PvaOLV88</t>
  </si>
  <si>
    <t>DMS8_23510</t>
  </si>
  <si>
    <t>MN532675</t>
  </si>
  <si>
    <t>Phaeoacremonium minimum ourmia-like virus 1</t>
  </si>
  <si>
    <t>PmOLV1</t>
  </si>
  <si>
    <t>MK584843</t>
  </si>
  <si>
    <t>Plasmopara viticola lesion associated ourmia-like virus 86</t>
  </si>
  <si>
    <t>PvaOLV86</t>
  </si>
  <si>
    <t>DMS5_38116</t>
  </si>
  <si>
    <t>Phoma matteucciicola ourmia-like virus 1</t>
  </si>
  <si>
    <t>LG915-1</t>
  </si>
  <si>
    <t>MN473199</t>
  </si>
  <si>
    <t>Phomopsis longicolla RNA virus 1</t>
  </si>
  <si>
    <t>PlRV1</t>
  </si>
  <si>
    <t>KY</t>
  </si>
  <si>
    <t>KR997836</t>
  </si>
  <si>
    <t>Pyricularia oryzae ourmia-like virus 1</t>
  </si>
  <si>
    <t>PoOLV1</t>
  </si>
  <si>
    <t>LC413501</t>
  </si>
  <si>
    <t>Sclerotinia sclerotiorum ourmia-like virus 4</t>
  </si>
  <si>
    <t>SsOLV4</t>
  </si>
  <si>
    <t>SsOLV4/2010</t>
  </si>
  <si>
    <t>MN715322</t>
  </si>
  <si>
    <t>Botrytis cinerea ourmia-like virus 9</t>
  </si>
  <si>
    <t>BcOLV9</t>
  </si>
  <si>
    <t>BCI10_DN8574</t>
  </si>
  <si>
    <t>Rhizoulivirus</t>
  </si>
  <si>
    <t>Rs</t>
  </si>
  <si>
    <t>KP900922</t>
  </si>
  <si>
    <t>Rhizoctonia solani ourmia-like virus 2</t>
  </si>
  <si>
    <t>RsOLV2</t>
  </si>
  <si>
    <t>MK372906</t>
  </si>
  <si>
    <t>Rhizoctonia solani ourmia-like virus 3</t>
  </si>
  <si>
    <t>RsOLV3</t>
  </si>
  <si>
    <t>MK372907</t>
  </si>
  <si>
    <t>Rhizoctonia solani ourmia-like virus 4</t>
  </si>
  <si>
    <t>RsOLV4</t>
  </si>
  <si>
    <t>MK372908</t>
  </si>
  <si>
    <t>Scleroulivirus</t>
  </si>
  <si>
    <t>Cladosporium uredinicola ourmia-like virus 1</t>
  </si>
  <si>
    <t>CuOLV1</t>
  </si>
  <si>
    <t>MK584840</t>
  </si>
  <si>
    <t>Pyricularia oryzae ourmia-like virus 3</t>
  </si>
  <si>
    <t>PoOLV3</t>
  </si>
  <si>
    <t>LC413503</t>
  </si>
  <si>
    <t>Sclerotinia sclerotiorum ourmia-like virus 1</t>
  </si>
  <si>
    <t>SsOLV1</t>
  </si>
  <si>
    <t>KP900928</t>
  </si>
  <si>
    <t>Magnaporthe oryzae botourmiavirus 9</t>
  </si>
  <si>
    <t>MoBV9</t>
  </si>
  <si>
    <t>SH05</t>
  </si>
  <si>
    <t>MT995746</t>
  </si>
  <si>
    <t>Pestalotiopsis botourmiavirus 2</t>
  </si>
  <si>
    <t>PBV2</t>
  </si>
  <si>
    <t>MW017456</t>
  </si>
  <si>
    <t>Plasmopara viticola lesion associated ourmia-like virus 44</t>
  </si>
  <si>
    <t>PavOLV44</t>
  </si>
  <si>
    <t>DMG-A_35452</t>
  </si>
  <si>
    <t>MN532631</t>
  </si>
  <si>
    <t>Plasmopara viticola lesion associated ourmia-like virus 46</t>
  </si>
  <si>
    <t>PavOLV46</t>
  </si>
  <si>
    <t>DMG-B_37170</t>
  </si>
  <si>
    <t>MN532633</t>
  </si>
  <si>
    <t>Plasmopara viticola lesion associated ourmia-like virus 62</t>
  </si>
  <si>
    <t>PavOLV62</t>
  </si>
  <si>
    <t>DMG-B_52062</t>
  </si>
  <si>
    <t>MN532649</t>
  </si>
  <si>
    <t>Plasmopara viticola lesion associated ourmia-like virus 63</t>
  </si>
  <si>
    <t>PavOLV63</t>
  </si>
  <si>
    <t>DMG-B_Contig3</t>
  </si>
  <si>
    <t>MN532650</t>
  </si>
  <si>
    <t>Plasmopara viticola lesion associated ourmia-like virus 68</t>
  </si>
  <si>
    <t>PavOLV68</t>
  </si>
  <si>
    <t>DMG-A_2974</t>
  </si>
  <si>
    <t>MN532655</t>
  </si>
  <si>
    <t>Plasmopara viticola lesion associated ourmia-like virus 47</t>
  </si>
  <si>
    <t>PavOLV47</t>
  </si>
  <si>
    <t>DMS10_431</t>
  </si>
  <si>
    <t>MN532634</t>
  </si>
  <si>
    <t>Plasmopara viticola lesion associated ourmia-like virus 70</t>
  </si>
  <si>
    <t>PavOLV70</t>
  </si>
  <si>
    <t>DMS8_24225</t>
  </si>
  <si>
    <t>MN532657</t>
  </si>
  <si>
    <t>Plasmopara viticola lesion associated ourmia-like virus 71</t>
  </si>
  <si>
    <t>PavOLV71</t>
  </si>
  <si>
    <t>DMG-B_53902</t>
  </si>
  <si>
    <t>MN532658</t>
  </si>
  <si>
    <t>Plasmopara viticola lesion associated ourmia-like virus 72</t>
  </si>
  <si>
    <t>PavOLV72</t>
  </si>
  <si>
    <t>DMG-F_43929</t>
  </si>
  <si>
    <t>MN532659</t>
  </si>
  <si>
    <t>Plasmopara viticola lesion associated ourmia-like virus 73</t>
  </si>
  <si>
    <t>PavOLV73</t>
  </si>
  <si>
    <t>DMS5_37835</t>
  </si>
  <si>
    <t>MN532660</t>
  </si>
  <si>
    <t>Plasmopara viticola lesion associated ourmia-like virus 74</t>
  </si>
  <si>
    <t>PavOLV74</t>
  </si>
  <si>
    <t>DMG-C_28482</t>
  </si>
  <si>
    <t>MN532661</t>
  </si>
  <si>
    <t>Oidiodendron maius ourmia-like virus 1</t>
  </si>
  <si>
    <t>OmOLV1</t>
  </si>
  <si>
    <t>MUT1382</t>
  </si>
  <si>
    <t>MN736966</t>
  </si>
  <si>
    <t>Plasmopara viticola lesion associated ourmia-like virus 76</t>
  </si>
  <si>
    <t>PavOLV76</t>
  </si>
  <si>
    <t>DMS2_8134</t>
  </si>
  <si>
    <t>MN532663</t>
  </si>
  <si>
    <t>Plasmopara viticola lesion associated ourmia-like virus 77</t>
  </si>
  <si>
    <t>PavOLV77</t>
  </si>
  <si>
    <t>DMG-D_18755</t>
  </si>
  <si>
    <t>MN532664</t>
  </si>
  <si>
    <t>Plasmopara viticola lesion associated ourmia-like virus 78</t>
  </si>
  <si>
    <t>PavOLV78</t>
  </si>
  <si>
    <t>DMG-F_41358</t>
  </si>
  <si>
    <t>MN532665</t>
  </si>
  <si>
    <t>Plasmopara viticola lesion associated ourmia-like virus 79</t>
  </si>
  <si>
    <t>PavOLV79</t>
  </si>
  <si>
    <t>DMS10_26511</t>
  </si>
  <si>
    <t>MN532666</t>
  </si>
  <si>
    <t>Plasmopara viticola lesion associated ourmia-like virus 69</t>
  </si>
  <si>
    <t>PavOLV69</t>
  </si>
  <si>
    <t>DMS3_30497</t>
  </si>
  <si>
    <t>MN532656</t>
  </si>
  <si>
    <t>Plasmopara viticola lesion associated ourmia-like virus 75</t>
  </si>
  <si>
    <t>PavOLV75</t>
  </si>
  <si>
    <t>DMS5_37170</t>
  </si>
  <si>
    <t>MN532662</t>
  </si>
  <si>
    <t>Plasmopara viticola lesion associated ourmia-like virus 66</t>
  </si>
  <si>
    <t>PavOLV66</t>
  </si>
  <si>
    <t>DMG-D_29889</t>
  </si>
  <si>
    <t>MN532653</t>
  </si>
  <si>
    <t>soybean leaf-associated ourmiavirus 1</t>
  </si>
  <si>
    <t>SlaOurV1</t>
  </si>
  <si>
    <t>KT598235</t>
  </si>
  <si>
    <t>soybean leaf-associated ourmiavirus 2</t>
  </si>
  <si>
    <t>SlaOurV2</t>
  </si>
  <si>
    <t>KT598247</t>
  </si>
  <si>
    <t>Plasmopara viticola lesion associated ourmia-like virus 65</t>
  </si>
  <si>
    <t>PavOLV65</t>
  </si>
  <si>
    <t>DMG-A_38322</t>
  </si>
  <si>
    <t>Negarnaviricota</t>
  </si>
  <si>
    <t>Tosoviridae</t>
  </si>
  <si>
    <t>Fraservirus</t>
  </si>
  <si>
    <t>turtle fraservirus 1</t>
  </si>
  <si>
    <t>TFV1</t>
  </si>
  <si>
    <t>ssRNA(+/-)</t>
  </si>
  <si>
    <t>Haploviricotina</t>
  </si>
  <si>
    <t>Chunqiuviricetes</t>
  </si>
  <si>
    <t>Muvirales</t>
  </si>
  <si>
    <t>Qinviridae</t>
  </si>
  <si>
    <t>Yingvirus</t>
  </si>
  <si>
    <t>Wēnzhōu qinvirus-like virus 2</t>
  </si>
  <si>
    <t>WzQLV2</t>
  </si>
  <si>
    <t>WZRBX42684</t>
  </si>
  <si>
    <t>ssRNA(-)</t>
  </si>
  <si>
    <t>Húběi qinvirus-like virus 1</t>
  </si>
  <si>
    <t>HbQLV1</t>
  </si>
  <si>
    <t>SCM49583</t>
  </si>
  <si>
    <t>Sānxiá qinvirus-like virus 1</t>
  </si>
  <si>
    <t>SxQLV1</t>
  </si>
  <si>
    <t>SXXX11646</t>
  </si>
  <si>
    <t>Shāhé qinvirus-like virus 1</t>
  </si>
  <si>
    <t>ShQLV1</t>
  </si>
  <si>
    <t>SHWC0209c11359</t>
  </si>
  <si>
    <t>Wēnzhōu qinvirus-like virus 1</t>
  </si>
  <si>
    <t>WzQLV1</t>
  </si>
  <si>
    <t>WZSLuoI86141</t>
  </si>
  <si>
    <t>Wǔhàn insect virus 15</t>
  </si>
  <si>
    <t>WhIV15</t>
  </si>
  <si>
    <t>WHCCII13252</t>
  </si>
  <si>
    <t>Xīnzhōu nematode virus 3</t>
  </si>
  <si>
    <t>XzNV3</t>
  </si>
  <si>
    <t>XZSJSC65579</t>
  </si>
  <si>
    <t>Běihǎi sesarmid crab virus 4</t>
  </si>
  <si>
    <t>BhSCV4</t>
  </si>
  <si>
    <t>SCJXSX38901</t>
  </si>
  <si>
    <t>Milneviricetes</t>
  </si>
  <si>
    <t>Aspiviridae</t>
  </si>
  <si>
    <t>Ophiovirus</t>
  </si>
  <si>
    <t>citrus psorosis virus</t>
  </si>
  <si>
    <t>CPsV</t>
  </si>
  <si>
    <t>P-121</t>
  </si>
  <si>
    <t>RNA1: AY654892; RNA2: AY654893; RNA3: AY654894</t>
  </si>
  <si>
    <t>freesia sneak virus</t>
  </si>
  <si>
    <t>FreSV</t>
  </si>
  <si>
    <t>Fr220205/9</t>
  </si>
  <si>
    <t>RNA3: DQ885455</t>
  </si>
  <si>
    <t>lettuce ring necrosis virus</t>
  </si>
  <si>
    <t>LRNV</t>
  </si>
  <si>
    <t>Belg-2</t>
  </si>
  <si>
    <t>RNA1: AY535016; RNA2: AY535017; RNA3: AY535018; RNA4: AY535019</t>
  </si>
  <si>
    <t>Mirafiori lettuce big-vein virus</t>
  </si>
  <si>
    <t>MLBVV</t>
  </si>
  <si>
    <t>LS301-O</t>
  </si>
  <si>
    <t>RNA1: AF525933; RNA2: AF525934; RNA3: AF525935; RNA4: AF525936</t>
  </si>
  <si>
    <t>ranunculus white mottle virus</t>
  </si>
  <si>
    <t>RWMV</t>
  </si>
  <si>
    <t>Rn3</t>
  </si>
  <si>
    <t>RNA1: AF335429</t>
  </si>
  <si>
    <t>tulip mild mottle mosaic virus</t>
  </si>
  <si>
    <t>TMMMV</t>
  </si>
  <si>
    <t>Bas/1</t>
  </si>
  <si>
    <t>RNA3: AY542958</t>
  </si>
  <si>
    <t>blueberry mosaic associated virus</t>
  </si>
  <si>
    <t>BlMaV</t>
  </si>
  <si>
    <t>Arkansas5</t>
  </si>
  <si>
    <t>RNA1: KJ704366; RNA2: KJ704367; RNA3: KJ704368</t>
  </si>
  <si>
    <t>Monjiviricetes</t>
  </si>
  <si>
    <t>Jingchuvirales</t>
  </si>
  <si>
    <t>Aliusviridae</t>
  </si>
  <si>
    <t>Obscuruvirus</t>
  </si>
  <si>
    <t>Atrato chu-like virus 5</t>
  </si>
  <si>
    <t>AClV5</t>
  </si>
  <si>
    <t>Psal 1739-1</t>
  </si>
  <si>
    <t>MN661033</t>
  </si>
  <si>
    <t>Ollusvirus</t>
  </si>
  <si>
    <t>Húběi coleoptera virus 3</t>
  </si>
  <si>
    <t>HbCV3</t>
  </si>
  <si>
    <t>QCM109726</t>
  </si>
  <si>
    <t>KX884416</t>
  </si>
  <si>
    <t>Culverton virus</t>
  </si>
  <si>
    <t>CvV</t>
  </si>
  <si>
    <t>AFV17</t>
  </si>
  <si>
    <t>MN167499</t>
  </si>
  <si>
    <t>Hánchéng leafhopper mivirus</t>
  </si>
  <si>
    <t>HLMV</t>
  </si>
  <si>
    <t>Hancheng</t>
  </si>
  <si>
    <t>MN190034</t>
  </si>
  <si>
    <t>hymenopteran chu-related virus 123</t>
  </si>
  <si>
    <t>HCrV123</t>
  </si>
  <si>
    <t>OKIAV123</t>
  </si>
  <si>
    <t>MW039254</t>
  </si>
  <si>
    <t>hymenopteran chu-related virus 126</t>
  </si>
  <si>
    <t>HCrV126</t>
  </si>
  <si>
    <t>OKIAV126</t>
  </si>
  <si>
    <t>MW039256</t>
  </si>
  <si>
    <t>Nomada lathburiana mononega-like virus</t>
  </si>
  <si>
    <t>NLmlV</t>
  </si>
  <si>
    <t>BK059310</t>
  </si>
  <si>
    <t>Oropsylla silantiewi mononega-like virus 2</t>
  </si>
  <si>
    <t>OSmlV2</t>
  </si>
  <si>
    <t>BK059306</t>
  </si>
  <si>
    <t>Rhagovelia obesa mononega-like virus</t>
  </si>
  <si>
    <t>ROmlV</t>
  </si>
  <si>
    <t>BK059311</t>
  </si>
  <si>
    <t>Scaldis River bee virus</t>
  </si>
  <si>
    <t>SRBV</t>
  </si>
  <si>
    <t>S33-1</t>
  </si>
  <si>
    <t>KY053857</t>
  </si>
  <si>
    <t>Shāyáng fly virus 1</t>
  </si>
  <si>
    <t>SyFV1</t>
  </si>
  <si>
    <t>SYY3-1 </t>
  </si>
  <si>
    <t>KM817598</t>
  </si>
  <si>
    <t>Tàiyuán leafhopper virus</t>
  </si>
  <si>
    <t>TYLeV</t>
  </si>
  <si>
    <t>Tn/2017</t>
  </si>
  <si>
    <t>MH708020</t>
  </si>
  <si>
    <t>Chuviridae</t>
  </si>
  <si>
    <t>Boscovirus</t>
  </si>
  <si>
    <t>Wǔhàn louse fly virus 7</t>
  </si>
  <si>
    <t>WhLFV7</t>
  </si>
  <si>
    <t>BFJSC-3</t>
  </si>
  <si>
    <t>Wǔhàn louse fly virus 6</t>
  </si>
  <si>
    <t>WhLFV6</t>
  </si>
  <si>
    <t>BFJSC-2</t>
  </si>
  <si>
    <t>Chuvivirus</t>
  </si>
  <si>
    <t>Wēnlǐng crustacean virus 14</t>
  </si>
  <si>
    <t>WlCV14</t>
  </si>
  <si>
    <t>WLJQ104130</t>
  </si>
  <si>
    <t>S1: KX884451; S2: KX884452</t>
  </si>
  <si>
    <t>Wēnzhōu crab virus 2</t>
  </si>
  <si>
    <t>WzCV2</t>
  </si>
  <si>
    <t>ZCX13</t>
  </si>
  <si>
    <t>Culicidavirus</t>
  </si>
  <si>
    <t>Wǔhàn mosquito virus 8</t>
  </si>
  <si>
    <t>WhMV8</t>
  </si>
  <si>
    <t>XC2-7</t>
  </si>
  <si>
    <t>KM817610</t>
  </si>
  <si>
    <t>Culex mosquito virus 5</t>
  </si>
  <si>
    <t>ClMV5</t>
  </si>
  <si>
    <t>CMosV5/Santa Clara</t>
  </si>
  <si>
    <t>MH188036</t>
  </si>
  <si>
    <t>Imjin River virus 1</t>
  </si>
  <si>
    <t>IjRV1</t>
  </si>
  <si>
    <t>A12.2496/ROK/2012</t>
  </si>
  <si>
    <t>KU095839</t>
  </si>
  <si>
    <t>Culex mosquito virus 4</t>
  </si>
  <si>
    <t>ClMV4</t>
  </si>
  <si>
    <t>CMosV4/Santa Clara</t>
  </si>
  <si>
    <t>MH188031</t>
  </si>
  <si>
    <t>Demapteravirus</t>
  </si>
  <si>
    <t>dermapteran chu-related virus 142</t>
  </si>
  <si>
    <t>DCrV142</t>
  </si>
  <si>
    <t>OKIAV142</t>
  </si>
  <si>
    <t>Doliuvirus</t>
  </si>
  <si>
    <t>Mos8Chu0 chuvirus</t>
  </si>
  <si>
    <t>MoCV</t>
  </si>
  <si>
    <t>Mos8Chu0</t>
  </si>
  <si>
    <t>Mivirus</t>
  </si>
  <si>
    <t>lonestar tick chuvirus 1</t>
  </si>
  <si>
    <t>LSTCV1</t>
  </si>
  <si>
    <t>RTS21</t>
  </si>
  <si>
    <t>KU230451</t>
  </si>
  <si>
    <t>Belostoma flumineum mononega-like virus</t>
  </si>
  <si>
    <t>BFmlV</t>
  </si>
  <si>
    <t>USA/2013</t>
  </si>
  <si>
    <t>Bólè tick virus 3</t>
  </si>
  <si>
    <t>BTV3</t>
  </si>
  <si>
    <t>BL199</t>
  </si>
  <si>
    <t>KM817593</t>
  </si>
  <si>
    <t>Chāngpíng tick virus 2</t>
  </si>
  <si>
    <t>CpTV2</t>
  </si>
  <si>
    <t>CP1-4</t>
  </si>
  <si>
    <t>KM817594</t>
  </si>
  <si>
    <t>Chāngpíng tick virus 3</t>
  </si>
  <si>
    <t>CpTV3</t>
  </si>
  <si>
    <t>CP1-3</t>
  </si>
  <si>
    <t>KM817595</t>
  </si>
  <si>
    <t>Genoa virus</t>
  </si>
  <si>
    <t>GeV</t>
  </si>
  <si>
    <t>MK026591</t>
  </si>
  <si>
    <t>Karukera tick virus</t>
  </si>
  <si>
    <t>KtV</t>
  </si>
  <si>
    <t>GM</t>
  </si>
  <si>
    <t>MN599998</t>
  </si>
  <si>
    <t>brown dog tick mivirus 1</t>
  </si>
  <si>
    <t>BDTMV1</t>
  </si>
  <si>
    <t>TTP-Pool-7</t>
  </si>
  <si>
    <t>MN025520</t>
  </si>
  <si>
    <t>Suffolk virus</t>
  </si>
  <si>
    <t>SFKV</t>
  </si>
  <si>
    <t>FI3</t>
  </si>
  <si>
    <t>KM460042</t>
  </si>
  <si>
    <t>Wǔhàn tick virus 2</t>
  </si>
  <si>
    <t>WhTV2</t>
  </si>
  <si>
    <t>X78-1</t>
  </si>
  <si>
    <t>KM817611</t>
  </si>
  <si>
    <t>Morsusvirus</t>
  </si>
  <si>
    <t>Tǎchéng tick virus 4</t>
  </si>
  <si>
    <t>TcTV4</t>
  </si>
  <si>
    <t>TCRP-1</t>
  </si>
  <si>
    <t>KM817599</t>
  </si>
  <si>
    <t>Nigecruvirus</t>
  </si>
  <si>
    <t>blacklegged tick chuvirus 2</t>
  </si>
  <si>
    <t>BlTCV2</t>
  </si>
  <si>
    <t>RTS126</t>
  </si>
  <si>
    <t>MF360789</t>
  </si>
  <si>
    <t>Periplaneta americana mononega-like virus</t>
  </si>
  <si>
    <t>PAmlV</t>
  </si>
  <si>
    <t>Germany/2013</t>
  </si>
  <si>
    <t>BK061547</t>
  </si>
  <si>
    <t>Odonatavirus</t>
  </si>
  <si>
    <t>odonatan chu-related virus 137</t>
  </si>
  <si>
    <t>OCrV137</t>
  </si>
  <si>
    <t>OKIAV137</t>
  </si>
  <si>
    <t>MW291695</t>
  </si>
  <si>
    <t>Húběi odonate virus 11</t>
  </si>
  <si>
    <t>HbOV11</t>
  </si>
  <si>
    <t>QTM161788</t>
  </si>
  <si>
    <t>KX884419</t>
  </si>
  <si>
    <t>odonatan chu-related virus 136</t>
  </si>
  <si>
    <t>OCrV136</t>
  </si>
  <si>
    <t>OKIAV136</t>
  </si>
  <si>
    <t>MW291694</t>
  </si>
  <si>
    <t>Pediavirus</t>
  </si>
  <si>
    <t>Běihǎi barnacle virus 9</t>
  </si>
  <si>
    <t>BhBV9</t>
  </si>
  <si>
    <t>BHTH10927</t>
  </si>
  <si>
    <t>KX884409</t>
  </si>
  <si>
    <t>Piscichuvirus</t>
  </si>
  <si>
    <t>hardyhead chuvirus</t>
  </si>
  <si>
    <t>HhCV</t>
  </si>
  <si>
    <t>F13</t>
  </si>
  <si>
    <t>Herr Frank virus 1</t>
  </si>
  <si>
    <t>HFrV1</t>
  </si>
  <si>
    <t>N171-16_HFrV-1</t>
  </si>
  <si>
    <t>MN567051</t>
  </si>
  <si>
    <t>Guǎngdōng red-banded snake chuvirus-like virus</t>
  </si>
  <si>
    <t>GRSCV</t>
  </si>
  <si>
    <t>LPSC27055</t>
  </si>
  <si>
    <t>MG600009</t>
  </si>
  <si>
    <t>Sānxiá atyid shrimp virus 4</t>
  </si>
  <si>
    <t>SxASC4</t>
  </si>
  <si>
    <t>SXXX37205</t>
  </si>
  <si>
    <t>KX884439</t>
  </si>
  <si>
    <t>Wēnlǐng fish chu-like virus</t>
  </si>
  <si>
    <t>WFClV</t>
  </si>
  <si>
    <t>XQTMS36511</t>
  </si>
  <si>
    <t>MG600010</t>
  </si>
  <si>
    <t>Pterovirus</t>
  </si>
  <si>
    <t>hymenopteran chu-related virus OKIAV147</t>
  </si>
  <si>
    <t>HCrV147</t>
  </si>
  <si>
    <t>OKIAV147</t>
  </si>
  <si>
    <t>Rochuvirus</t>
  </si>
  <si>
    <t>Chalcocoris rutilans mononega-like virus 2</t>
  </si>
  <si>
    <t>CRmlV2</t>
  </si>
  <si>
    <t>Cameroon/2013</t>
  </si>
  <si>
    <t>BK061671</t>
  </si>
  <si>
    <t>Scarabeuvirus</t>
  </si>
  <si>
    <t>Wǔchāng cockroach virus 3</t>
  </si>
  <si>
    <t>WcLFV3</t>
  </si>
  <si>
    <t>WCZL-1</t>
  </si>
  <si>
    <t>Húběi chuvirus-like virus 3</t>
  </si>
  <si>
    <t>HbCLV3</t>
  </si>
  <si>
    <t>QTM26698</t>
  </si>
  <si>
    <t>KX884427</t>
  </si>
  <si>
    <t>Húběi chuvirus-like virus 1</t>
  </si>
  <si>
    <t>HbCLV1</t>
  </si>
  <si>
    <t>QTM26249</t>
  </si>
  <si>
    <t>S1: KX884424; S2: KX884425</t>
  </si>
  <si>
    <t>Lampyris noctiluca chuvirus-like virus 1</t>
  </si>
  <si>
    <t>LNClV</t>
  </si>
  <si>
    <t>17FIN7</t>
  </si>
  <si>
    <t>Líshí spider virus 1</t>
  </si>
  <si>
    <t>LsSV1</t>
  </si>
  <si>
    <t>LSZZ11</t>
  </si>
  <si>
    <t>Supella longipalpa mononega-like virus 2</t>
  </si>
  <si>
    <t>SLmlV2</t>
  </si>
  <si>
    <t>Japan/2011</t>
  </si>
  <si>
    <t>BK061672</t>
  </si>
  <si>
    <t>Trichopria drosophilae mononega-like virus</t>
  </si>
  <si>
    <t>TDmlV</t>
  </si>
  <si>
    <t>France/2012</t>
  </si>
  <si>
    <t>BK061670</t>
  </si>
  <si>
    <t>Taceavirus</t>
  </si>
  <si>
    <t>Wēnlǐng crustacean virus 15</t>
  </si>
  <si>
    <t>WlCV15</t>
  </si>
  <si>
    <t>WLJQ91782</t>
  </si>
  <si>
    <t>KX884458</t>
  </si>
  <si>
    <t>Vapochuvirus</t>
  </si>
  <si>
    <t>Trialeurodes vaporariorum mononega-like virus 2</t>
  </si>
  <si>
    <t>TVmlV2</t>
  </si>
  <si>
    <t>Germany/2011</t>
  </si>
  <si>
    <t>BK061673</t>
  </si>
  <si>
    <t>Crepuscuviridae</t>
  </si>
  <si>
    <t>Aqualaruvirus</t>
  </si>
  <si>
    <t>megalopteran chu-related virus 119</t>
  </si>
  <si>
    <t>MCrV119</t>
  </si>
  <si>
    <t>OKIAV119</t>
  </si>
  <si>
    <t>MW039261</t>
  </si>
  <si>
    <t>Myriaviridae</t>
  </si>
  <si>
    <t>Myriavirus</t>
  </si>
  <si>
    <t>Húběi myriapoda virus 8</t>
  </si>
  <si>
    <t>HbMV8</t>
  </si>
  <si>
    <t>WGML66308</t>
  </si>
  <si>
    <t>KX884444</t>
  </si>
  <si>
    <t>Natareviridae</t>
  </si>
  <si>
    <t>Charybdivirus</t>
  </si>
  <si>
    <t>Wēnzhōu crab virus 3</t>
  </si>
  <si>
    <t>WzCV3</t>
  </si>
  <si>
    <t>RBX9</t>
  </si>
  <si>
    <t>KM817603</t>
  </si>
  <si>
    <t>Mononegavirales</t>
  </si>
  <si>
    <t>Artoviridae</t>
  </si>
  <si>
    <t>Hexartovirus</t>
  </si>
  <si>
    <t>Běihǎi barnacle virus 8</t>
  </si>
  <si>
    <t>BhBV8</t>
  </si>
  <si>
    <t>KX884410</t>
  </si>
  <si>
    <t>Lepeophtheirus salmonis negative-stranded RNA virus 1</t>
  </si>
  <si>
    <t>LsNSRV1</t>
  </si>
  <si>
    <t>LS24</t>
  </si>
  <si>
    <t>MG489864</t>
  </si>
  <si>
    <t>Peropuvirus</t>
  </si>
  <si>
    <t>Běihǎi rhabdo-like virus 1</t>
  </si>
  <si>
    <t>BhRLV1</t>
  </si>
  <si>
    <t>BHTSS15727</t>
  </si>
  <si>
    <t>KX884412</t>
  </si>
  <si>
    <t>Húběi rhabdo-like virus 8</t>
  </si>
  <si>
    <t>HbRLV8</t>
  </si>
  <si>
    <t>QTM19395</t>
  </si>
  <si>
    <t>KX884420</t>
  </si>
  <si>
    <t>Húběi rhabdo-like virus 6</t>
  </si>
  <si>
    <t>HbRLV6</t>
  </si>
  <si>
    <t>QTM24798</t>
  </si>
  <si>
    <t>KX884421</t>
  </si>
  <si>
    <t>Húběi rhabdo-like virus 5</t>
  </si>
  <si>
    <t>HbRLV5</t>
  </si>
  <si>
    <t>WHSFII19440</t>
  </si>
  <si>
    <t>KX884446</t>
  </si>
  <si>
    <t>Běihǎi rhabdo-like virus 2</t>
  </si>
  <si>
    <t>BhRLV2</t>
  </si>
  <si>
    <t>BHTSS7258</t>
  </si>
  <si>
    <t>KX884413</t>
  </si>
  <si>
    <t>Solanum melongena rhabdo-like virus</t>
  </si>
  <si>
    <t>SmRLV</t>
  </si>
  <si>
    <t>pt065-rha-4</t>
  </si>
  <si>
    <t>MN831436</t>
  </si>
  <si>
    <t>Pteromalus puparum negative-strand RNA virus 1</t>
  </si>
  <si>
    <t>PpNSRV1</t>
  </si>
  <si>
    <t>KX431032</t>
  </si>
  <si>
    <t>Bornaviridae</t>
  </si>
  <si>
    <t>Carbovirus</t>
  </si>
  <si>
    <t>jungle carpet python virus</t>
  </si>
  <si>
    <t>JCPV</t>
  </si>
  <si>
    <t>MF135780</t>
  </si>
  <si>
    <t>southwest carpet python virus</t>
  </si>
  <si>
    <t>SWCPV</t>
  </si>
  <si>
    <t>MF135781</t>
  </si>
  <si>
    <t>Cultervirus</t>
  </si>
  <si>
    <t>Wǔhàn sharpbelly bornavirus</t>
  </si>
  <si>
    <t>WhSBV</t>
  </si>
  <si>
    <t>DSYS4497</t>
  </si>
  <si>
    <t>MG599939</t>
  </si>
  <si>
    <t>Orthobornavirus</t>
  </si>
  <si>
    <t>parrot bornavirus 4</t>
  </si>
  <si>
    <t>PaBV4</t>
  </si>
  <si>
    <t>JX065209</t>
  </si>
  <si>
    <t>parrot bornavirus 1</t>
  </si>
  <si>
    <t>PaBV1</t>
  </si>
  <si>
    <t>parrot bornavirus 2</t>
  </si>
  <si>
    <t>PaBV2</t>
  </si>
  <si>
    <t>bil</t>
  </si>
  <si>
    <t>parrot bornavirus 3</t>
  </si>
  <si>
    <t>PaBV3</t>
  </si>
  <si>
    <t>parrot bornavirus 7</t>
  </si>
  <si>
    <t>PaBV7</t>
  </si>
  <si>
    <t>16667a</t>
  </si>
  <si>
    <t>aquatic bird bornavirus 1</t>
  </si>
  <si>
    <t>ABBV1</t>
  </si>
  <si>
    <t>O62-CG</t>
  </si>
  <si>
    <t>KF578398</t>
  </si>
  <si>
    <t>aquatic bird bornavirus 2</t>
  </si>
  <si>
    <t>ABBV2</t>
  </si>
  <si>
    <t>duck-89</t>
  </si>
  <si>
    <t>parrot bornavirus 5</t>
  </si>
  <si>
    <t>PaBV5</t>
  </si>
  <si>
    <t>2014-A</t>
  </si>
  <si>
    <t>KR612223</t>
  </si>
  <si>
    <t>Borna disease virus 1</t>
  </si>
  <si>
    <t>BoDV1</t>
  </si>
  <si>
    <t>U04608</t>
  </si>
  <si>
    <t>Borna disease virus 2</t>
  </si>
  <si>
    <t>BoDV2</t>
  </si>
  <si>
    <t>No/98</t>
  </si>
  <si>
    <t>Mexican black-tailed rattlesnake bornavirus</t>
  </si>
  <si>
    <t>MRBV</t>
  </si>
  <si>
    <t>CHC-224</t>
  </si>
  <si>
    <t>BK014572</t>
  </si>
  <si>
    <t>Loveridge's garter snake virus 1</t>
  </si>
  <si>
    <t>LGSV1</t>
  </si>
  <si>
    <t>KM114265</t>
  </si>
  <si>
    <t>estrildid finch bornavirus 1</t>
  </si>
  <si>
    <t>EsBV1</t>
  </si>
  <si>
    <t>VS-4707</t>
  </si>
  <si>
    <t>KF680099</t>
  </si>
  <si>
    <t>variegated squirrel bornavirus 1</t>
  </si>
  <si>
    <t>VSBV1</t>
  </si>
  <si>
    <t>squirrel brain</t>
  </si>
  <si>
    <t>LN713680</t>
  </si>
  <si>
    <t>canary bornavirus 1</t>
  </si>
  <si>
    <t>CnBV1</t>
  </si>
  <si>
    <t>KC464471</t>
  </si>
  <si>
    <t>canary bornavirus 2</t>
  </si>
  <si>
    <t>CnBV2</t>
  </si>
  <si>
    <t>canary bornavirus 3</t>
  </si>
  <si>
    <t>CnBV3</t>
  </si>
  <si>
    <t>VS-4424</t>
  </si>
  <si>
    <t>Filoviridae</t>
  </si>
  <si>
    <t>Cuevavirus</t>
  </si>
  <si>
    <t>Lloviu virus</t>
  </si>
  <si>
    <t>LLOV</t>
  </si>
  <si>
    <t>Dianlovirus</t>
  </si>
  <si>
    <t>Měnglà virus</t>
  </si>
  <si>
    <t>MLAV</t>
  </si>
  <si>
    <t>Měnglà virus/Rousettus-wt/CHN/2015/Shārén-Bat9447-1</t>
  </si>
  <si>
    <t>KX371887</t>
  </si>
  <si>
    <t>Oblavirus</t>
  </si>
  <si>
    <t>Oberland virus</t>
  </si>
  <si>
    <t>OBLV</t>
  </si>
  <si>
    <t>CH17</t>
  </si>
  <si>
    <t>MN510773</t>
  </si>
  <si>
    <t>Orthoebolavirus</t>
  </si>
  <si>
    <t>Bombali virus</t>
  </si>
  <si>
    <t>BOMV</t>
  </si>
  <si>
    <t>Bombali virus/M.condylurus-wt/SLE/2016/PREDICT_SLAB000156</t>
  </si>
  <si>
    <t>MF319185</t>
  </si>
  <si>
    <t>Bundibugyo virus</t>
  </si>
  <si>
    <t>BDBV</t>
  </si>
  <si>
    <t>Bundibugyo virus/H.sapiens-tc/UGA/2007/Butalya-811250</t>
  </si>
  <si>
    <t>FJ217161</t>
  </si>
  <si>
    <t>Reston virus</t>
  </si>
  <si>
    <t>RESTV</t>
  </si>
  <si>
    <t>Reston virus/M.fascicularis-tc/USA/1989/Philippines89-Pennsylvania</t>
  </si>
  <si>
    <t>AF522874</t>
  </si>
  <si>
    <t>Sudan virus</t>
  </si>
  <si>
    <t>SUDV</t>
  </si>
  <si>
    <t>Sudan virus/H.sapiens-tc/UGA/2000/Gulu-808892</t>
  </si>
  <si>
    <t>AY729654</t>
  </si>
  <si>
    <t>Taï Forest virus</t>
  </si>
  <si>
    <t>TAFV</t>
  </si>
  <si>
    <t>Taï Forest virus/H.sapiens-tc/CIV/1994/Pauléoula-CI</t>
  </si>
  <si>
    <t>FJ217162</t>
  </si>
  <si>
    <t>Ebola virus</t>
  </si>
  <si>
    <t>EBOV</t>
  </si>
  <si>
    <t>Ebola virus/H.sapiens-tc/COD/1976/Yambuku-Mayinga</t>
  </si>
  <si>
    <t>AF086833</t>
  </si>
  <si>
    <t>Orthomarburgvirus</t>
  </si>
  <si>
    <t>Marburg virus</t>
  </si>
  <si>
    <t>MARV</t>
  </si>
  <si>
    <t>Marburg virus/H.sapiens-tc/KEN/1980/Mt. Elgon-Musoke</t>
  </si>
  <si>
    <t>DQ217792</t>
  </si>
  <si>
    <t>Ravn virus</t>
  </si>
  <si>
    <t>RAVV</t>
  </si>
  <si>
    <t>Ravn virus/H.sapiens-tc/KEN/1987/Kitum Cave-810040</t>
  </si>
  <si>
    <t>Striavirus</t>
  </si>
  <si>
    <t>Xīlǎng virus</t>
  </si>
  <si>
    <t>XILV</t>
  </si>
  <si>
    <t>Xīlǎng virus/A.striatus-wt/CHN/2018/XYHYS28627</t>
  </si>
  <si>
    <t>MG599980</t>
  </si>
  <si>
    <t>Tapjovirus</t>
  </si>
  <si>
    <t>Tapajós virus</t>
  </si>
  <si>
    <t>TAPV</t>
  </si>
  <si>
    <t>BR001752</t>
  </si>
  <si>
    <t>Thamnovirus</t>
  </si>
  <si>
    <t>Kander virus</t>
  </si>
  <si>
    <t>KNDV</t>
  </si>
  <si>
    <t>MW093492</t>
  </si>
  <si>
    <t>Fiwi virus</t>
  </si>
  <si>
    <t>FIWIV</t>
  </si>
  <si>
    <t>MN510772</t>
  </si>
  <si>
    <t>Huángjiāo virus</t>
  </si>
  <si>
    <t>HUJV</t>
  </si>
  <si>
    <t>Huángjiāo virus/T.septentrionalis-wt/CHN/2018/LQMMTII17328</t>
  </si>
  <si>
    <t>MG599981</t>
  </si>
  <si>
    <t>Lispiviridae</t>
  </si>
  <si>
    <t>Acridvirus</t>
  </si>
  <si>
    <t>Hángzhōu acrida cinerea lispivirus 1</t>
  </si>
  <si>
    <t>HzACLV1</t>
  </si>
  <si>
    <t>JJHFY165488</t>
  </si>
  <si>
    <t>MZ209654</t>
  </si>
  <si>
    <t>Aleyavirus</t>
  </si>
  <si>
    <t>Bemisia tabaci arlivirus 1</t>
  </si>
  <si>
    <t>BtAV1</t>
  </si>
  <si>
    <t>ZJU-Q2</t>
  </si>
  <si>
    <t>MW256666</t>
  </si>
  <si>
    <t>Aleybvirus</t>
  </si>
  <si>
    <t>Bemisia tabaci arlivirus 2</t>
  </si>
  <si>
    <t>BtAV2</t>
  </si>
  <si>
    <t>CAU-Q1</t>
  </si>
  <si>
    <t>MW256667</t>
  </si>
  <si>
    <t>Anicalvirus</t>
  </si>
  <si>
    <t>Anisopteromalus calandrae negative-strand RNA virus 2</t>
  </si>
  <si>
    <t>AcNSRV2</t>
  </si>
  <si>
    <t>MW864603</t>
  </si>
  <si>
    <t>Anidravirus</t>
  </si>
  <si>
    <t>Anisopteromalus calandrae negative-strand RNA virus 1</t>
  </si>
  <si>
    <t>AcNSRV1</t>
  </si>
  <si>
    <t>MW864602</t>
  </si>
  <si>
    <t>Aranavirus</t>
  </si>
  <si>
    <t>Guìyáng lispivirus 1</t>
  </si>
  <si>
    <t>GyLV1</t>
  </si>
  <si>
    <t>YZZGZ270108</t>
  </si>
  <si>
    <t>MZ209771</t>
  </si>
  <si>
    <t>Aranbvirus</t>
  </si>
  <si>
    <t>Guìyáng lispivirus 2</t>
  </si>
  <si>
    <t>GyLV2</t>
  </si>
  <si>
    <t>YZZGZ272518</t>
  </si>
  <si>
    <t>MZ209782</t>
  </si>
  <si>
    <t>Arlivirus</t>
  </si>
  <si>
    <t>Lĭshì spider virus 2</t>
  </si>
  <si>
    <t>LsSV2</t>
  </si>
  <si>
    <t>LSZZ-4</t>
  </si>
  <si>
    <t>KM817632</t>
  </si>
  <si>
    <t>Hángzhōu Scotinophara lurida lispivirus 1</t>
  </si>
  <si>
    <t>HzSLLV1</t>
  </si>
  <si>
    <t>DHCFY129100</t>
  </si>
  <si>
    <t>MZ209613</t>
  </si>
  <si>
    <t>Nbu stink bug virus 1</t>
  </si>
  <si>
    <t>NbuSBV1</t>
  </si>
  <si>
    <t>NBU</t>
  </si>
  <si>
    <t>OL377732</t>
  </si>
  <si>
    <t>Avesvirus</t>
  </si>
  <si>
    <t>Arlivirus sp. virus</t>
  </si>
  <si>
    <t>ALV</t>
  </si>
  <si>
    <t>YSN1024</t>
  </si>
  <si>
    <t>MW826497</t>
  </si>
  <si>
    <t>Copasivirus</t>
  </si>
  <si>
    <t>isopteran arli-related virus OKIAV103</t>
  </si>
  <si>
    <t>IARV103</t>
  </si>
  <si>
    <t>OKIAV103</t>
  </si>
  <si>
    <t>MT153546</t>
  </si>
  <si>
    <t>Jimsystermes virus</t>
  </si>
  <si>
    <t>JIMV</t>
  </si>
  <si>
    <t>3v4v_4</t>
  </si>
  <si>
    <t>MW052080</t>
  </si>
  <si>
    <t>Cybitervirus</t>
  </si>
  <si>
    <t>coleopteran arli-related virus OKIAV107</t>
  </si>
  <si>
    <t>CARV107</t>
  </si>
  <si>
    <t>OKIAV107</t>
  </si>
  <si>
    <t>MT153516</t>
  </si>
  <si>
    <t>Damravirus</t>
  </si>
  <si>
    <t>Húběi odonate virus 10</t>
  </si>
  <si>
    <t>HbOV10</t>
  </si>
  <si>
    <t>QTM133243</t>
  </si>
  <si>
    <t>KX884418</t>
  </si>
  <si>
    <t>Fǔshùn Ischnura senegalensis lispivirus 1</t>
  </si>
  <si>
    <t>FsISLV1</t>
  </si>
  <si>
    <t>QWXCFS47</t>
  </si>
  <si>
    <t>MZ210022</t>
  </si>
  <si>
    <t>Ganiavirus</t>
  </si>
  <si>
    <t>Tǎchéng tick virus 6</t>
  </si>
  <si>
    <t>TcTV6</t>
  </si>
  <si>
    <t>TCRP-2</t>
  </si>
  <si>
    <t>KM817641</t>
  </si>
  <si>
    <t>Hemipvirus</t>
  </si>
  <si>
    <t>Hángzhou Eysarcoris guttigerus lispivirus 1</t>
  </si>
  <si>
    <t>HzEGLV1</t>
  </si>
  <si>
    <t>EXCFY90561</t>
  </si>
  <si>
    <t>MZ209652</t>
  </si>
  <si>
    <t>Hángzhou Cletus punctiger lispivirus 1</t>
  </si>
  <si>
    <t>HzCPLV1</t>
  </si>
  <si>
    <t>DJCFY60</t>
  </si>
  <si>
    <t>MZ209674</t>
  </si>
  <si>
    <t>Leocovirus</t>
  </si>
  <si>
    <t>Húběi rhabdo-like virus 3</t>
  </si>
  <si>
    <t>HbRLV3</t>
  </si>
  <si>
    <t>QCM135517</t>
  </si>
  <si>
    <t>KX884417</t>
  </si>
  <si>
    <t>Nematovirus</t>
  </si>
  <si>
    <t>Wǔchāng romanomermis nematode virus 2</t>
  </si>
  <si>
    <t>WcRNV2</t>
  </si>
  <si>
    <t>WCLSXC55347</t>
  </si>
  <si>
    <t>KX884441</t>
  </si>
  <si>
    <t>Phelinovirus</t>
  </si>
  <si>
    <t>hymenopteran arli-related virus OKIAV99</t>
  </si>
  <si>
    <t>HARV99</t>
  </si>
  <si>
    <t>OKIAV99</t>
  </si>
  <si>
    <t>MW288203</t>
  </si>
  <si>
    <t>Rivapovirus</t>
  </si>
  <si>
    <t>hemipteran arli-related virus OKIAV94</t>
  </si>
  <si>
    <t>HARV94</t>
  </si>
  <si>
    <t>OKIAV94</t>
  </si>
  <si>
    <t>MT153547</t>
  </si>
  <si>
    <t>Sanstrivirus</t>
  </si>
  <si>
    <t>Sānxiá water strider virus 4</t>
  </si>
  <si>
    <t>SxWSV4</t>
  </si>
  <si>
    <t>SXSSP12</t>
  </si>
  <si>
    <t>KM817633</t>
  </si>
  <si>
    <t>Stylovirus</t>
  </si>
  <si>
    <t>strepsipteran arli-related virus OKIAV104</t>
  </si>
  <si>
    <t>SARV104</t>
  </si>
  <si>
    <t>OKIAV104</t>
  </si>
  <si>
    <t>MT153499</t>
  </si>
  <si>
    <t>Supelovirus</t>
  </si>
  <si>
    <t>blattodean arli-related virus OKIAV102</t>
  </si>
  <si>
    <t>BARV102</t>
  </si>
  <si>
    <t>OKIAV102</t>
  </si>
  <si>
    <t>MT153457</t>
  </si>
  <si>
    <t>Synelinevirus</t>
  </si>
  <si>
    <t>hymenopteran arli-related virus OKIAV98</t>
  </si>
  <si>
    <t>HARV98</t>
  </si>
  <si>
    <t>OKIAV98</t>
  </si>
  <si>
    <t>MW288166</t>
  </si>
  <si>
    <t>Linepithema humile rhabdo-like virus 1</t>
  </si>
  <si>
    <t>LhuRLV1</t>
  </si>
  <si>
    <t>11CAT06</t>
  </si>
  <si>
    <t>MH213246</t>
  </si>
  <si>
    <t>Usmuvirus</t>
  </si>
  <si>
    <t>Amsterdam virus</t>
  </si>
  <si>
    <t>AMSV</t>
  </si>
  <si>
    <t>CHAMV1/NYC/2014/M026/0243</t>
  </si>
  <si>
    <t>MK618655</t>
  </si>
  <si>
    <t>Xenophyvirus</t>
  </si>
  <si>
    <t>hemipteran arli-related virus OKIAV95</t>
  </si>
  <si>
    <t>HARV95</t>
  </si>
  <si>
    <t>OKIAV95</t>
  </si>
  <si>
    <t>MW288170</t>
  </si>
  <si>
    <t>Mymonaviridae</t>
  </si>
  <si>
    <t>Auricularimonavirus</t>
  </si>
  <si>
    <t>Armillaria mellea negative strand RNA virus 2</t>
  </si>
  <si>
    <t>AmNSRV2</t>
  </si>
  <si>
    <t>ELDO17</t>
  </si>
  <si>
    <t>BK014417</t>
  </si>
  <si>
    <t>Auricularia heimuer negative-stranded RNA virus 1</t>
  </si>
  <si>
    <t>AhNRSV1</t>
  </si>
  <si>
    <t>CCMJ1222</t>
  </si>
  <si>
    <t>MT259204</t>
  </si>
  <si>
    <t>Bondarzewia berkeleyi negative-strand RNA virus 1</t>
  </si>
  <si>
    <t>BbNSRV1</t>
  </si>
  <si>
    <t>FD-104</t>
  </si>
  <si>
    <t>MT447187</t>
  </si>
  <si>
    <t>Botrytimonavirus</t>
  </si>
  <si>
    <t>Botrytis cinerea negative-stranded RNA virus 5</t>
  </si>
  <si>
    <t>BcNSRV5</t>
  </si>
  <si>
    <t>BCS15-DN100</t>
  </si>
  <si>
    <t>MN617152</t>
  </si>
  <si>
    <t>Sclerotinia sclerotiorum negative-stranded RNA virus 10</t>
  </si>
  <si>
    <t>SsNSRV10</t>
  </si>
  <si>
    <t>2018SS</t>
  </si>
  <si>
    <t>Botrytis cinerea negative-stranded RNA virus 7</t>
  </si>
  <si>
    <t>BcNSRV7</t>
  </si>
  <si>
    <t>BCS13_DN1</t>
  </si>
  <si>
    <t>MT157413</t>
  </si>
  <si>
    <t>Sclerotinia sclerotiorum negative-stranded RNA virus 11</t>
  </si>
  <si>
    <t>SsNSRV11</t>
  </si>
  <si>
    <t>2016SS</t>
  </si>
  <si>
    <t>soybean leaf-associated negative-stranded RNA virus 3</t>
  </si>
  <si>
    <t>SLaNSRV3</t>
  </si>
  <si>
    <t>KT598228</t>
  </si>
  <si>
    <t>phytobiome (S)</t>
  </si>
  <si>
    <t>Sclerotinia sclerotiorum negative-stranded RNA virus 2A</t>
  </si>
  <si>
    <t>SsNSRV2A</t>
  </si>
  <si>
    <t>A2</t>
  </si>
  <si>
    <t>MF444279</t>
  </si>
  <si>
    <t>Sclerotinia sclerotiorum negative-stranded RNA virus 2</t>
  </si>
  <si>
    <t>SsNSRV2</t>
  </si>
  <si>
    <t>Sclerotinia sclerotiorum negative-stranded RNA virus 4A</t>
  </si>
  <si>
    <t>SsNSRV4A</t>
  </si>
  <si>
    <t>Sclerotinia sclerotiorum negative-stranded RNA virus 4</t>
  </si>
  <si>
    <t>SsNSRV4</t>
  </si>
  <si>
    <t>Hubramonavirus</t>
  </si>
  <si>
    <t>Fusarium oxysporum mymonavirus 1</t>
  </si>
  <si>
    <t>FoMyV1</t>
  </si>
  <si>
    <t>LJ3-3</t>
  </si>
  <si>
    <t>OM049502</t>
  </si>
  <si>
    <t>Golovinomyces cichoracearum negative-stranded RNA virus</t>
  </si>
  <si>
    <t>GcNSRV1</t>
  </si>
  <si>
    <t>UMSG3</t>
  </si>
  <si>
    <t>MCBQ01018032</t>
  </si>
  <si>
    <t>Húběi rhabdo-like virus 4</t>
  </si>
  <si>
    <t>HbRLV4</t>
  </si>
  <si>
    <t>arthropodmix13990</t>
  </si>
  <si>
    <t>KX884403</t>
  </si>
  <si>
    <t>H2BulkLitter1223 virus</t>
  </si>
  <si>
    <t>H2BLV</t>
  </si>
  <si>
    <t>H2_Bulk_Litter_12_scaffold_23</t>
  </si>
  <si>
    <t>MN034260</t>
  </si>
  <si>
    <t>soil (S)</t>
  </si>
  <si>
    <t>grapevine-associated mononega-like virus 3</t>
  </si>
  <si>
    <t>GaMLV3</t>
  </si>
  <si>
    <t>MW648481</t>
  </si>
  <si>
    <t>Lentimonavirus</t>
  </si>
  <si>
    <t>Armillaria mellea negative-stranded RNA virus 1</t>
  </si>
  <si>
    <t>AmNSRV1</t>
  </si>
  <si>
    <t>MW423801</t>
  </si>
  <si>
    <t>Lentinula edodes negative-stranded RNA virus 1</t>
  </si>
  <si>
    <t>LeNSRV1</t>
  </si>
  <si>
    <t>HG3</t>
  </si>
  <si>
    <t>LC466007</t>
  </si>
  <si>
    <t>Penicillimonavirus</t>
  </si>
  <si>
    <t>Erysiphe necator associated negative-stranded RNA virus 2</t>
  </si>
  <si>
    <t>EnaNSRV2</t>
  </si>
  <si>
    <t>PMS5_DN69581</t>
  </si>
  <si>
    <t>MN617061</t>
  </si>
  <si>
    <t>Penicillium adametzioides negative-stranded RNA virus 1</t>
  </si>
  <si>
    <t>PaNsRV1</t>
  </si>
  <si>
    <t>7Sy1</t>
  </si>
  <si>
    <t>MK584858</t>
  </si>
  <si>
    <t>Plasmopara viticola lesion associated mononegaambi virus 1</t>
  </si>
  <si>
    <t>PvaMV1</t>
  </si>
  <si>
    <t>DMG-A_DN36040</t>
  </si>
  <si>
    <t>MN556995</t>
  </si>
  <si>
    <t>Erysiphe necator associated negative-stranded RNA virus 5</t>
  </si>
  <si>
    <t>EnaNSRV5</t>
  </si>
  <si>
    <t>PMS10_154</t>
  </si>
  <si>
    <t>MN617042</t>
  </si>
  <si>
    <t>Penicillium glabrum negative-stranded RNA virus 1</t>
  </si>
  <si>
    <t>PgRlV1</t>
  </si>
  <si>
    <t>21Sy1</t>
  </si>
  <si>
    <t>MK584853</t>
  </si>
  <si>
    <t>Plasmopara viticola lesion associated mononegaambi virus 4</t>
  </si>
  <si>
    <t>PvaMV4</t>
  </si>
  <si>
    <t>DMG-G_DN44042</t>
  </si>
  <si>
    <t>MN556999</t>
  </si>
  <si>
    <t>Plasmopara viticola lesion associated mononegaambi virus 5</t>
  </si>
  <si>
    <t>PvaMV5</t>
  </si>
  <si>
    <t>DMG-A_DN32949</t>
  </si>
  <si>
    <t>MN557000</t>
  </si>
  <si>
    <t>Plasmopara viticola lesion associated mononegaambi virus 6</t>
  </si>
  <si>
    <t>PvaMV6</t>
  </si>
  <si>
    <t>DMG-F_DN40135</t>
  </si>
  <si>
    <t>MN557001</t>
  </si>
  <si>
    <t>Plasmopara viticola lesion associated mononegaambi virus 9</t>
  </si>
  <si>
    <t>PvaMV9</t>
  </si>
  <si>
    <t>DMG-B_Contig8</t>
  </si>
  <si>
    <t>MN557005</t>
  </si>
  <si>
    <t>Erysiphe necator associated negative-stranded RNA virus 6</t>
  </si>
  <si>
    <t>EnaNSRV6</t>
  </si>
  <si>
    <t>PMS3_236</t>
  </si>
  <si>
    <t>MN617052</t>
  </si>
  <si>
    <t>Plasmopara viticola lesion associated mononegaambi virus 3</t>
  </si>
  <si>
    <t>PvaMV3</t>
  </si>
  <si>
    <t>DMG-C_DN30838</t>
  </si>
  <si>
    <t>MN556998</t>
  </si>
  <si>
    <t>Kiln Barn virus</t>
  </si>
  <si>
    <t>KBV</t>
  </si>
  <si>
    <t>UK1</t>
  </si>
  <si>
    <t>MF893248</t>
  </si>
  <si>
    <t>Magnaporthe oryzae mononegaambi virus 1</t>
  </si>
  <si>
    <t>MoMV1</t>
  </si>
  <si>
    <t>937_NGS_MO</t>
  </si>
  <si>
    <t>MW752165</t>
  </si>
  <si>
    <t>Plasmopara viticola lesion associated mononegaambi virus 7</t>
  </si>
  <si>
    <t>PvaMV7</t>
  </si>
  <si>
    <t>DMG-B_DN53555</t>
  </si>
  <si>
    <t>MN557003</t>
  </si>
  <si>
    <t>Phyllomonavirus</t>
  </si>
  <si>
    <t>Gysinge virus</t>
  </si>
  <si>
    <t>GYSV</t>
  </si>
  <si>
    <t>OTU22</t>
  </si>
  <si>
    <t>MK440629</t>
  </si>
  <si>
    <t>soybean leaf-associated negative-stranded RNA virus 4</t>
  </si>
  <si>
    <t>SLaNSRV4</t>
  </si>
  <si>
    <t>KT598229</t>
  </si>
  <si>
    <t>Plasmopamonavirus</t>
  </si>
  <si>
    <t>Erysiphe necator associated negative-stranded RNA virus 23</t>
  </si>
  <si>
    <t>EnaNSRV23</t>
  </si>
  <si>
    <t>PMS3_29</t>
  </si>
  <si>
    <t>MN617053</t>
  </si>
  <si>
    <t>Plasmopara viticola lesion associated mononegaambi virus 8</t>
  </si>
  <si>
    <t>PvaMV8</t>
  </si>
  <si>
    <t>DMS1_DN25671</t>
  </si>
  <si>
    <t>MN557004</t>
  </si>
  <si>
    <t>Rhizomonavirus</t>
  </si>
  <si>
    <t>apple virus B</t>
  </si>
  <si>
    <t>APPVB</t>
  </si>
  <si>
    <t>MN386971</t>
  </si>
  <si>
    <t>Sclerotimonavirus</t>
  </si>
  <si>
    <t>Botrytis cinerea negative-stranded RNA virus 3</t>
  </si>
  <si>
    <t>BcNSRV3</t>
  </si>
  <si>
    <t>BSC11_19</t>
  </si>
  <si>
    <t>MN617150</t>
  </si>
  <si>
    <t>Sclerotinia sclerotiorum negative-stranded RNA virus 9</t>
  </si>
  <si>
    <t>SsNSRV9</t>
  </si>
  <si>
    <t>2017SS</t>
  </si>
  <si>
    <t>Sclerotinia homoeocarpa TSA contig 1</t>
  </si>
  <si>
    <t>ShTSA1</t>
  </si>
  <si>
    <t>JU091017</t>
  </si>
  <si>
    <t>Sclerotinia homoeocarpa TSA contig 2</t>
  </si>
  <si>
    <t>ShTSA2</t>
  </si>
  <si>
    <t>Plasmopara viticola lesion associated mymonavirus 1</t>
  </si>
  <si>
    <t>DMG-A_DN3868696</t>
  </si>
  <si>
    <t>MN557002</t>
  </si>
  <si>
    <t>Alternaria tenuissima negative-stranded RNA virus 1</t>
  </si>
  <si>
    <t>AtNsRV1</t>
  </si>
  <si>
    <t>CREA-VE-5AS3</t>
  </si>
  <si>
    <t>MK584852</t>
  </si>
  <si>
    <t>Fusarium asiaticum negative-stranded RNA virus 1</t>
  </si>
  <si>
    <t>FaNSRV1</t>
  </si>
  <si>
    <t>SZ-160</t>
  </si>
  <si>
    <t>MZ969066</t>
  </si>
  <si>
    <t>Botrytis cinerea negative-stranded RNA virus 4</t>
  </si>
  <si>
    <t>BcNSRV4</t>
  </si>
  <si>
    <t>BCS12_DN161</t>
  </si>
  <si>
    <t>MN617151</t>
  </si>
  <si>
    <t>Sclerotinia homoeocarpa TSA contig 3</t>
  </si>
  <si>
    <t>ShTSA3</t>
  </si>
  <si>
    <t>JW828891</t>
  </si>
  <si>
    <t>Plasmopara viticola lesion associated mononega virus 2</t>
  </si>
  <si>
    <t>PvaMV2</t>
  </si>
  <si>
    <t>DMG-A_DN34502</t>
  </si>
  <si>
    <t>MN557006</t>
  </si>
  <si>
    <t>Botrytis cinerea mymonavirus 1</t>
  </si>
  <si>
    <t>BcMyV1</t>
  </si>
  <si>
    <t>Ecan17-2</t>
  </si>
  <si>
    <t>MH648611</t>
  </si>
  <si>
    <t>Sclerotinia sclerotiorum negative-stranded RNA virus 7</t>
  </si>
  <si>
    <t>SsNSRV7</t>
  </si>
  <si>
    <t>Cryphonectria parasitica sclerotimonavirus 1</t>
  </si>
  <si>
    <t>CpSV1</t>
  </si>
  <si>
    <t>ACP 28</t>
  </si>
  <si>
    <t>MT354565</t>
  </si>
  <si>
    <t>soybean leaf-associated negative-stranded RNA virus 1</t>
  </si>
  <si>
    <t>SLaNSRV1</t>
  </si>
  <si>
    <t>KT598225</t>
  </si>
  <si>
    <t>Fusarium graminearum negative-stranded RNA virus 1</t>
  </si>
  <si>
    <t>FgNSRV1</t>
  </si>
  <si>
    <t>HN1</t>
  </si>
  <si>
    <t>soybean leaf-associated negative-stranded RNA virus 2</t>
  </si>
  <si>
    <t>SLaNSRV2</t>
  </si>
  <si>
    <t>KT598227</t>
  </si>
  <si>
    <t>Penicillium cairnsense negative-stranded RNA virus 1</t>
  </si>
  <si>
    <t>PcNsRV1</t>
  </si>
  <si>
    <t>CREA-VE-27SY1</t>
  </si>
  <si>
    <t>MK584851</t>
  </si>
  <si>
    <t>Sclerotinia sclerotiorum negative-stranded RNA virus 1</t>
  </si>
  <si>
    <t>SsNSRV1</t>
  </si>
  <si>
    <t>AH98</t>
  </si>
  <si>
    <t>KJ186782</t>
  </si>
  <si>
    <t>Sclerotinia sclerotiorum negative-stranded RNA virus 1-A</t>
  </si>
  <si>
    <t>SsNSRV1A</t>
  </si>
  <si>
    <t>Sclerotinia sclerotiorum negative-stranded RNA virus 3</t>
  </si>
  <si>
    <t>SsNSRV3</t>
  </si>
  <si>
    <t>IL1</t>
  </si>
  <si>
    <t>Sclerotinia sclerotiorum negative-stranded RNA virus 3-A</t>
  </si>
  <si>
    <t>SsNSRV3A</t>
  </si>
  <si>
    <t>H4BulkLitter234 virus</t>
  </si>
  <si>
    <t>H4BLV</t>
  </si>
  <si>
    <t>H4_Bulk_Litter_23_scaffold_4</t>
  </si>
  <si>
    <t>MN035745</t>
  </si>
  <si>
    <t>Xīnjiāng mymona-like virus 2</t>
  </si>
  <si>
    <t>XjMLV2</t>
  </si>
  <si>
    <t>236-k141_383893</t>
  </si>
  <si>
    <t>MW897041</t>
  </si>
  <si>
    <t>Yúnnán mymona-like virus 1</t>
  </si>
  <si>
    <t>YnMLV1</t>
  </si>
  <si>
    <t>R1-k141_1515735</t>
  </si>
  <si>
    <t>MW897022</t>
  </si>
  <si>
    <t>Nyamiviridae</t>
  </si>
  <si>
    <t>Berhavirus</t>
  </si>
  <si>
    <t>Běihǎi rhabdo-like virus 4</t>
  </si>
  <si>
    <t>BhRLV4</t>
  </si>
  <si>
    <t>BHJP58499</t>
  </si>
  <si>
    <t>KX884406</t>
  </si>
  <si>
    <t>Běihǎi rhabdo-like virus 5</t>
  </si>
  <si>
    <t>BhRLV5</t>
  </si>
  <si>
    <t>BHJP63888 </t>
  </si>
  <si>
    <t>KX884407</t>
  </si>
  <si>
    <t>Běihǎi rhabdo-like virus 3</t>
  </si>
  <si>
    <t>BhRLV3</t>
  </si>
  <si>
    <t>BHNXC39077</t>
  </si>
  <si>
    <t>KX884408</t>
  </si>
  <si>
    <t>Crustavirus</t>
  </si>
  <si>
    <t>Běihǎi rhabdo-like virus 6</t>
  </si>
  <si>
    <t>BhRLV6</t>
  </si>
  <si>
    <t>BHJJX49420</t>
  </si>
  <si>
    <t>KX884405</t>
  </si>
  <si>
    <t>Wēnlǐng crustacean virus 12</t>
  </si>
  <si>
    <t>WlCV12</t>
  </si>
  <si>
    <t>WLJQ47777</t>
  </si>
  <si>
    <t>KX884457</t>
  </si>
  <si>
    <t>Wēnzhōu crab virus 1</t>
  </si>
  <si>
    <t>WzCV1</t>
  </si>
  <si>
    <t>RBX2</t>
  </si>
  <si>
    <t>KM817644</t>
  </si>
  <si>
    <t>Formivirus</t>
  </si>
  <si>
    <t>Formica fusca virus 1</t>
  </si>
  <si>
    <t>FfusV1</t>
  </si>
  <si>
    <t>MH477287</t>
  </si>
  <si>
    <t>hymenopteran orino-related virus OKIAV87</t>
  </si>
  <si>
    <t>HORV87</t>
  </si>
  <si>
    <t>OKIAV87</t>
  </si>
  <si>
    <t>MT153386</t>
  </si>
  <si>
    <t>Formica exsecta virus 4</t>
  </si>
  <si>
    <t>FeV4</t>
  </si>
  <si>
    <t>MF287670</t>
  </si>
  <si>
    <t>hymenopteran orino-related virus OKIAV85</t>
  </si>
  <si>
    <t>HORV85</t>
  </si>
  <si>
    <t>OKIAV85</t>
  </si>
  <si>
    <t>MW039259</t>
  </si>
  <si>
    <t>Xiāngshān nyami-like virus</t>
  </si>
  <si>
    <t>XNyV</t>
  </si>
  <si>
    <t>Novel_9</t>
  </si>
  <si>
    <t>OK491485</t>
  </si>
  <si>
    <t>Solenopsis invicta virus 15</t>
  </si>
  <si>
    <t>SoINV15</t>
  </si>
  <si>
    <t>MT860232</t>
  </si>
  <si>
    <t>Nyavirus</t>
  </si>
  <si>
    <t>Sekira virus</t>
  </si>
  <si>
    <t>SEKRV</t>
  </si>
  <si>
    <t>LC585887</t>
  </si>
  <si>
    <t>Midway virus</t>
  </si>
  <si>
    <t>MIDWV</t>
  </si>
  <si>
    <t>RML47153</t>
  </si>
  <si>
    <t>FJ554525</t>
  </si>
  <si>
    <t>Nyamanini virus</t>
  </si>
  <si>
    <t>NYMV</t>
  </si>
  <si>
    <t>tick 39</t>
  </si>
  <si>
    <t>FJ554526</t>
  </si>
  <si>
    <t>San Jacinto virus</t>
  </si>
  <si>
    <t>SJCV</t>
  </si>
  <si>
    <t>DO-200</t>
  </si>
  <si>
    <t>MK971153</t>
  </si>
  <si>
    <t>Sierra Nevada virus</t>
  </si>
  <si>
    <t>SNVV</t>
  </si>
  <si>
    <t>KF530058</t>
  </si>
  <si>
    <t>Jeremy Point nyavirus</t>
  </si>
  <si>
    <t>JPNV</t>
  </si>
  <si>
    <t>MN045233</t>
  </si>
  <si>
    <t>Orinovirus</t>
  </si>
  <si>
    <t>Orinoco virus</t>
  </si>
  <si>
    <t>ONCV</t>
  </si>
  <si>
    <t>UW1</t>
  </si>
  <si>
    <t>KX257488</t>
  </si>
  <si>
    <t>Sanya nyamivirus 1</t>
  </si>
  <si>
    <t>SaNyV1</t>
  </si>
  <si>
    <t>QCYXYSY225</t>
  </si>
  <si>
    <t>MZ209903</t>
  </si>
  <si>
    <t>Socyvirus</t>
  </si>
  <si>
    <t>soybean cyst nematode virus 1</t>
  </si>
  <si>
    <t>SbCNV1</t>
  </si>
  <si>
    <t>HM849038</t>
  </si>
  <si>
    <t>Tapwovirus</t>
  </si>
  <si>
    <t>Wēnzhōu tapeworm virus 1</t>
  </si>
  <si>
    <t>WzTWV1</t>
  </si>
  <si>
    <t>SGJSC14943 </t>
  </si>
  <si>
    <t>Seg1: KX884436; Seg2: KX884437</t>
  </si>
  <si>
    <t>Paramyxoviridae</t>
  </si>
  <si>
    <t>Cynoglossusvirus</t>
  </si>
  <si>
    <t>Wēnlǐng tonguesole paramyxovirus</t>
  </si>
  <si>
    <t>WTSPV</t>
  </si>
  <si>
    <t>XYHYC190750</t>
  </si>
  <si>
    <t>MG600059</t>
  </si>
  <si>
    <t>Hoplichthysvirus</t>
  </si>
  <si>
    <t>Wēnlǐng hoplichthys paramyxovirus</t>
  </si>
  <si>
    <t>WHPV</t>
  </si>
  <si>
    <t>XYXMC57250</t>
  </si>
  <si>
    <t>MG600062</t>
  </si>
  <si>
    <t>Scoliodonvirus</t>
  </si>
  <si>
    <t>Wēnzhōu pacific spadenose shark paramyxovirus</t>
  </si>
  <si>
    <t>WPSSPV</t>
  </si>
  <si>
    <t>DWXCSG11347</t>
  </si>
  <si>
    <t>MG600057</t>
  </si>
  <si>
    <t>Avulavirinae</t>
  </si>
  <si>
    <t>Metaavulavirus</t>
  </si>
  <si>
    <t>avian paramyxovirus 8</t>
  </si>
  <si>
    <t>APMV8</t>
  </si>
  <si>
    <t>goose/Delaware/1053/76</t>
  </si>
  <si>
    <t>FJ215863</t>
  </si>
  <si>
    <t>avian paramyxovirus 10</t>
  </si>
  <si>
    <t>APMV10</t>
  </si>
  <si>
    <t>penguin/Falkland Islands/324/2007</t>
  </si>
  <si>
    <t>HM147142</t>
  </si>
  <si>
    <t>avian paramyxovirus 11</t>
  </si>
  <si>
    <t>APMV11</t>
  </si>
  <si>
    <t>common_snipe/France/100212/2010</t>
  </si>
  <si>
    <t>JQ886184</t>
  </si>
  <si>
    <t>avian paramyxovirus 6</t>
  </si>
  <si>
    <t>APMV6</t>
  </si>
  <si>
    <t>Goose/FarEast/4440/2003</t>
  </si>
  <si>
    <t>EF569970</t>
  </si>
  <si>
    <t>avian paramyxovirus 14</t>
  </si>
  <si>
    <t>APMV14</t>
  </si>
  <si>
    <t>duck/Japan/11OG0352/2011</t>
  </si>
  <si>
    <t>KX258200</t>
  </si>
  <si>
    <t>avian paramyxovirus 20</t>
  </si>
  <si>
    <t>APMV20</t>
  </si>
  <si>
    <t>Gull/Kazakhstan/2014</t>
  </si>
  <si>
    <t>MF033136</t>
  </si>
  <si>
    <t>avian paramyxovirus 5</t>
  </si>
  <si>
    <t>APMV5</t>
  </si>
  <si>
    <t>budgerigar/Kunitachi/74</t>
  </si>
  <si>
    <t>GU206351</t>
  </si>
  <si>
    <t>avian paramyxovirus 15</t>
  </si>
  <si>
    <t>APMV15</t>
  </si>
  <si>
    <t>calidris_fuscicollis/Brazil/RS-1177/2012</t>
  </si>
  <si>
    <t>KX932454</t>
  </si>
  <si>
    <t>avian paramyxovirus 22</t>
  </si>
  <si>
    <t>APMV22</t>
  </si>
  <si>
    <t>APMV/turtle dove/Taiwan/AHR133/2009</t>
  </si>
  <si>
    <t>MK677430</t>
  </si>
  <si>
    <t>avian paramyxovirus 7</t>
  </si>
  <si>
    <t>APMV7</t>
  </si>
  <si>
    <t>dove/Tennessee/4/75</t>
  </si>
  <si>
    <t>FJ231524</t>
  </si>
  <si>
    <t>avian paramyxovirus 2</t>
  </si>
  <si>
    <t>APMV2</t>
  </si>
  <si>
    <t>Chicken/California/Yucaipa/56</t>
  </si>
  <si>
    <t>EU338414</t>
  </si>
  <si>
    <t>Orthoavulavirus</t>
  </si>
  <si>
    <t>Antarctic penguin virus A</t>
  </si>
  <si>
    <t>APVA</t>
  </si>
  <si>
    <t>KY452442</t>
  </si>
  <si>
    <t>avian paramyxovirus 12</t>
  </si>
  <si>
    <t>APMV12</t>
  </si>
  <si>
    <t>Wigeon/Italy/3920_1/2005</t>
  </si>
  <si>
    <t>KC333050</t>
  </si>
  <si>
    <t>avian paramyxovirus 13</t>
  </si>
  <si>
    <t>APMV13</t>
  </si>
  <si>
    <t>goose/Shimane/67/2000</t>
  </si>
  <si>
    <t>LC041132</t>
  </si>
  <si>
    <t>avian paramyxovirus 1</t>
  </si>
  <si>
    <t>APMV1</t>
  </si>
  <si>
    <t>Newcastle disease virus Ulster/67</t>
  </si>
  <si>
    <t>AY562991</t>
  </si>
  <si>
    <t>Antarctic penguin virus B</t>
  </si>
  <si>
    <t>APVB</t>
  </si>
  <si>
    <t>KY452443</t>
  </si>
  <si>
    <t>avian paramyxovirus 21</t>
  </si>
  <si>
    <t>APMV21</t>
  </si>
  <si>
    <t>APMV/wild birds/Cheonsu1510/2015</t>
  </si>
  <si>
    <t>MF594598</t>
  </si>
  <si>
    <t>avian paramyxovirus 9</t>
  </si>
  <si>
    <t>APMV9</t>
  </si>
  <si>
    <t>duck/New York/22/1978</t>
  </si>
  <si>
    <t>EU910942</t>
  </si>
  <si>
    <t>Antarctic penguin virus C</t>
  </si>
  <si>
    <t>APVC</t>
  </si>
  <si>
    <t>KY452444</t>
  </si>
  <si>
    <t>avian paramyxovirus 16</t>
  </si>
  <si>
    <t>APMV16</t>
  </si>
  <si>
    <t>WB/Kr/UPO216/2014</t>
  </si>
  <si>
    <t>KY511044</t>
  </si>
  <si>
    <t>Paraavulavirus</t>
  </si>
  <si>
    <t>avian paramyxovirus 4</t>
  </si>
  <si>
    <t>APMV4</t>
  </si>
  <si>
    <t>KR/YJ/06</t>
  </si>
  <si>
    <t>EU877976</t>
  </si>
  <si>
    <t>avian paramyxovirus 3</t>
  </si>
  <si>
    <t>APMV3</t>
  </si>
  <si>
    <t>turkey/Wisconsin/68</t>
  </si>
  <si>
    <t>EU782025</t>
  </si>
  <si>
    <t>Metaparamyxovirinae</t>
  </si>
  <si>
    <t>Synodonvirus</t>
  </si>
  <si>
    <t>Wēnlǐng triplecross lizardfish paramyxovirus</t>
  </si>
  <si>
    <t>WTLPV</t>
  </si>
  <si>
    <t>XYHYC179963</t>
  </si>
  <si>
    <t>MG600058</t>
  </si>
  <si>
    <t>Orthoparamyxovirinae</t>
  </si>
  <si>
    <t>Aquaparamyxovirus</t>
  </si>
  <si>
    <t>Pacific salmon paramyxovirus</t>
  </si>
  <si>
    <t>PSPV</t>
  </si>
  <si>
    <t>Trask river</t>
  </si>
  <si>
    <t>MH900516</t>
  </si>
  <si>
    <t>Atlantic salmon paramyxovirus</t>
  </si>
  <si>
    <t>Yrkje371/95</t>
  </si>
  <si>
    <t>EU156171</t>
  </si>
  <si>
    <t>Ferlavirus</t>
  </si>
  <si>
    <t>fer-de-lance virus</t>
  </si>
  <si>
    <t>FDLV</t>
  </si>
  <si>
    <t>ATCC-VR-895</t>
  </si>
  <si>
    <t>AY141760</t>
  </si>
  <si>
    <t>Henipavirus</t>
  </si>
  <si>
    <t>Cedar virus</t>
  </si>
  <si>
    <t>CedV</t>
  </si>
  <si>
    <t>CG1a</t>
  </si>
  <si>
    <t>JQ001776</t>
  </si>
  <si>
    <t>Ghana virus</t>
  </si>
  <si>
    <t>GhV</t>
  </si>
  <si>
    <t>Eid_hel/GH-M74a/GHA/2009</t>
  </si>
  <si>
    <t>HQ660129</t>
  </si>
  <si>
    <t>Hendra virus</t>
  </si>
  <si>
    <t>HeV</t>
  </si>
  <si>
    <t>Geelong</t>
  </si>
  <si>
    <t>AF017149</t>
  </si>
  <si>
    <t>Mòjiāng virus</t>
  </si>
  <si>
    <t>MojV</t>
  </si>
  <si>
    <t>Tongguan1</t>
  </si>
  <si>
    <t>KF278639</t>
  </si>
  <si>
    <t>Nipah virus</t>
  </si>
  <si>
    <t>NiV</t>
  </si>
  <si>
    <t>AF212302</t>
  </si>
  <si>
    <t>Jeilongvirus</t>
  </si>
  <si>
    <t>rodent paramyxovirus</t>
  </si>
  <si>
    <t>RoPV</t>
  </si>
  <si>
    <t>RtAp-ParaV/NX2015</t>
  </si>
  <si>
    <t>KY370098</t>
  </si>
  <si>
    <t>Beilong virus</t>
  </si>
  <si>
    <t>BeiV</t>
  </si>
  <si>
    <t>DQ100461</t>
  </si>
  <si>
    <t>bat paramyxovirus 16797</t>
  </si>
  <si>
    <t>BatPV1</t>
  </si>
  <si>
    <t>Bat-PV-16797</t>
  </si>
  <si>
    <t>MG203877</t>
  </si>
  <si>
    <t>belerina virus</t>
  </si>
  <si>
    <t>BeV</t>
  </si>
  <si>
    <t>HH114</t>
  </si>
  <si>
    <t>MN561699</t>
  </si>
  <si>
    <t>Mount Mabu Lophuromys virus 1</t>
  </si>
  <si>
    <t>MMLV1</t>
  </si>
  <si>
    <t>MOZ135_1</t>
  </si>
  <si>
    <t>MG573140</t>
  </si>
  <si>
    <t>Mount Mabu Lophuromys virus 2</t>
  </si>
  <si>
    <t>MMLV2</t>
  </si>
  <si>
    <t>MOZ135_2</t>
  </si>
  <si>
    <t>MG573141</t>
  </si>
  <si>
    <t>bat paramyxovirus 17770</t>
  </si>
  <si>
    <t>BatPV2</t>
  </si>
  <si>
    <t>Bat-PV-17770</t>
  </si>
  <si>
    <t>MG203878</t>
  </si>
  <si>
    <t>Shaan virus</t>
  </si>
  <si>
    <t>ShaV</t>
  </si>
  <si>
    <t>B16-40</t>
  </si>
  <si>
    <t>MG230624</t>
  </si>
  <si>
    <t>bat paramyxovirus</t>
  </si>
  <si>
    <t>Pohorje Myodes paramyxovirus 1</t>
  </si>
  <si>
    <t>PMPV1</t>
  </si>
  <si>
    <t>TT02/05</t>
  </si>
  <si>
    <t>MG516455</t>
  </si>
  <si>
    <t>J virus</t>
  </si>
  <si>
    <t>JV</t>
  </si>
  <si>
    <t>AY900001</t>
  </si>
  <si>
    <t>ruloma virus</t>
  </si>
  <si>
    <t>RulV</t>
  </si>
  <si>
    <t>TA502</t>
  </si>
  <si>
    <t>MW579602</t>
  </si>
  <si>
    <t>Tailam virus</t>
  </si>
  <si>
    <t>TaiV</t>
  </si>
  <si>
    <t>TL8K</t>
  </si>
  <si>
    <t>JN689227</t>
  </si>
  <si>
    <t>Morbillivirus</t>
  </si>
  <si>
    <t>canine distemper virus</t>
  </si>
  <si>
    <t>CDV</t>
  </si>
  <si>
    <t>Onderstpoort</t>
  </si>
  <si>
    <t>AF014953</t>
  </si>
  <si>
    <t>peste-des-petits-ruminants virus</t>
  </si>
  <si>
    <t>PPRV</t>
  </si>
  <si>
    <t>Turkey 2000</t>
  </si>
  <si>
    <t>AJ849636</t>
  </si>
  <si>
    <t>cetcean morbillivirus</t>
  </si>
  <si>
    <t>AJ608288</t>
  </si>
  <si>
    <t>feline morbillivirus</t>
  </si>
  <si>
    <t>FeMV</t>
  </si>
  <si>
    <t>761U</t>
  </si>
  <si>
    <t>JQ411014</t>
  </si>
  <si>
    <t>measles virus</t>
  </si>
  <si>
    <t>MeV</t>
  </si>
  <si>
    <t>Ichinose-B95a</t>
  </si>
  <si>
    <t>AB016162</t>
  </si>
  <si>
    <t>rinderpest virus</t>
  </si>
  <si>
    <t>RPV</t>
  </si>
  <si>
    <t>Kabete O</t>
  </si>
  <si>
    <t>X98291</t>
  </si>
  <si>
    <t>phocine distemper virus</t>
  </si>
  <si>
    <t>NLD/1988</t>
  </si>
  <si>
    <t>KC802221</t>
  </si>
  <si>
    <t>Narmovirus</t>
  </si>
  <si>
    <t>Mossman virus</t>
  </si>
  <si>
    <t>MossV</t>
  </si>
  <si>
    <t>AY286409</t>
  </si>
  <si>
    <t>bank vole virus 1</t>
  </si>
  <si>
    <t>BaV1</t>
  </si>
  <si>
    <t>RP12</t>
  </si>
  <si>
    <t>MF943130</t>
  </si>
  <si>
    <t>Nariva virus</t>
  </si>
  <si>
    <t>NarV</t>
  </si>
  <si>
    <t>T&amp;T/1962</t>
  </si>
  <si>
    <t>FJ362497</t>
  </si>
  <si>
    <t>Tupaia paramyxovirus</t>
  </si>
  <si>
    <t>TupV</t>
  </si>
  <si>
    <t>AF079780</t>
  </si>
  <si>
    <t>Respirovirus</t>
  </si>
  <si>
    <t>bovine parainfluenza virus 3</t>
  </si>
  <si>
    <t>BPIV3</t>
  </si>
  <si>
    <t>Kansas/15626/84</t>
  </si>
  <si>
    <t>AF178654</t>
  </si>
  <si>
    <t>caprine parainfluenza virus 3</t>
  </si>
  <si>
    <t>CPIV3</t>
  </si>
  <si>
    <t>JS2013</t>
  </si>
  <si>
    <t>KT215610</t>
  </si>
  <si>
    <t>human parainfluenza virus 1</t>
  </si>
  <si>
    <t>HPIV1</t>
  </si>
  <si>
    <t>Washington/1964</t>
  </si>
  <si>
    <t>AF457102</t>
  </si>
  <si>
    <t>Sendai virus</t>
  </si>
  <si>
    <t>SeV</t>
  </si>
  <si>
    <t>Nagoya</t>
  </si>
  <si>
    <t>AB195968</t>
  </si>
  <si>
    <t>human parainfluenza virus 3</t>
  </si>
  <si>
    <t>HPIV3</t>
  </si>
  <si>
    <t>ZHYMgz01</t>
  </si>
  <si>
    <t>EU326526</t>
  </si>
  <si>
    <t>giant squirrel virus</t>
  </si>
  <si>
    <t>GSqV</t>
  </si>
  <si>
    <t>GSqV/LKA/2009</t>
  </si>
  <si>
    <t>LS992584</t>
  </si>
  <si>
    <t>porcine parainfluenza virus 1</t>
  </si>
  <si>
    <t>PPIV1</t>
  </si>
  <si>
    <t>S206N</t>
  </si>
  <si>
    <t>JX857409</t>
  </si>
  <si>
    <t>Salemvirus</t>
  </si>
  <si>
    <t>Salem virus</t>
  </si>
  <si>
    <t>SalV</t>
  </si>
  <si>
    <t>USA/1992</t>
  </si>
  <si>
    <t>JQ697837</t>
  </si>
  <si>
    <t>Rubulavirinae</t>
  </si>
  <si>
    <t>Orthorubulavirus</t>
  </si>
  <si>
    <t>human parainfluenza virus 4a</t>
  </si>
  <si>
    <t>HPIV4a</t>
  </si>
  <si>
    <t>M-25</t>
  </si>
  <si>
    <t>AB543336</t>
  </si>
  <si>
    <t>human parainfluenza virus 2</t>
  </si>
  <si>
    <t>HPIV2</t>
  </si>
  <si>
    <t>X57559</t>
  </si>
  <si>
    <t>parainfluenza virus 5</t>
  </si>
  <si>
    <t>PIV5</t>
  </si>
  <si>
    <t>W3A</t>
  </si>
  <si>
    <t>AF052755</t>
  </si>
  <si>
    <t>Mapuera virus</t>
  </si>
  <si>
    <t>MapV</t>
  </si>
  <si>
    <t>BeAnn 370284</t>
  </si>
  <si>
    <t>EF095490</t>
  </si>
  <si>
    <t>mumps virus</t>
  </si>
  <si>
    <t>MuV</t>
  </si>
  <si>
    <t>Miyahara</t>
  </si>
  <si>
    <t>AB040874</t>
  </si>
  <si>
    <t>simian virus 41</t>
  </si>
  <si>
    <t>SV41</t>
  </si>
  <si>
    <t>Toshiba/Chanock</t>
  </si>
  <si>
    <t>X64275</t>
  </si>
  <si>
    <t>La Piedad Michoacán Mexico virus</t>
  </si>
  <si>
    <t>LPMV</t>
  </si>
  <si>
    <t>BK005918</t>
  </si>
  <si>
    <t>human parainfluenza virus 4b</t>
  </si>
  <si>
    <t>HPIV4b</t>
  </si>
  <si>
    <t>68-333</t>
  </si>
  <si>
    <t>Pararubulavirus</t>
  </si>
  <si>
    <t>Achimota virus 2</t>
  </si>
  <si>
    <t>AchPV2</t>
  </si>
  <si>
    <t>JX051320</t>
  </si>
  <si>
    <t>Achimota virus 1</t>
  </si>
  <si>
    <t>AchPV1</t>
  </si>
  <si>
    <t>JX051319</t>
  </si>
  <si>
    <t>Tuhoko virus 2</t>
  </si>
  <si>
    <t>ThkPV2</t>
  </si>
  <si>
    <t>GU128081</t>
  </si>
  <si>
    <t>Tuhoko virus 1</t>
  </si>
  <si>
    <t>ThkPV1</t>
  </si>
  <si>
    <t>GU128080</t>
  </si>
  <si>
    <t>Hervey virus</t>
  </si>
  <si>
    <t>HerV</t>
  </si>
  <si>
    <t>KU672593</t>
  </si>
  <si>
    <t>Tuhoko virus 3</t>
  </si>
  <si>
    <t>ThkPV3</t>
  </si>
  <si>
    <t>GU128082</t>
  </si>
  <si>
    <t>Menangle virus</t>
  </si>
  <si>
    <t>MenPV</t>
  </si>
  <si>
    <t>Australia/bat/2009/Cedar Grove</t>
  </si>
  <si>
    <t>JX112711</t>
  </si>
  <si>
    <t>Sosuga virus</t>
  </si>
  <si>
    <t>SOSV</t>
  </si>
  <si>
    <t>KF774436</t>
  </si>
  <si>
    <t>Teviot virus</t>
  </si>
  <si>
    <t>TevPV</t>
  </si>
  <si>
    <t>Cedar Grove</t>
  </si>
  <si>
    <t>KP271124</t>
  </si>
  <si>
    <t>Tioman virus</t>
  </si>
  <si>
    <t>TioPV</t>
  </si>
  <si>
    <t>AF298895</t>
  </si>
  <si>
    <t>Pneumoviridae</t>
  </si>
  <si>
    <t>Metapneumovirus</t>
  </si>
  <si>
    <t>avian metapneumovirus</t>
  </si>
  <si>
    <t>AMPV</t>
  </si>
  <si>
    <t>A; LAH A</t>
  </si>
  <si>
    <t>AY640317</t>
  </si>
  <si>
    <t>human metapneumovirus</t>
  </si>
  <si>
    <t>HMPV</t>
  </si>
  <si>
    <t>A1; 00-1</t>
  </si>
  <si>
    <t>AF371337</t>
  </si>
  <si>
    <t>Orthopneumovirus</t>
  </si>
  <si>
    <t>bovine respiratory syncytial virus</t>
  </si>
  <si>
    <t>BRSV</t>
  </si>
  <si>
    <t>ATCC 51908</t>
  </si>
  <si>
    <t>AF295543</t>
  </si>
  <si>
    <t>human respiratory syncytial virus</t>
  </si>
  <si>
    <t>HRSV</t>
  </si>
  <si>
    <t>M74568</t>
  </si>
  <si>
    <t>murine pneumonia virus</t>
  </si>
  <si>
    <t>AY729016</t>
  </si>
  <si>
    <t>Rhabdoviridae</t>
  </si>
  <si>
    <t>Alphacrustrhavirus</t>
  </si>
  <si>
    <t>Wenling crustacean virus 10</t>
  </si>
  <si>
    <t>WlCV10</t>
  </si>
  <si>
    <t>WLJQ101844</t>
  </si>
  <si>
    <t>KX884450</t>
  </si>
  <si>
    <t>Wenling crustacean virus 11</t>
  </si>
  <si>
    <t>WlCV11</t>
  </si>
  <si>
    <t>WLJQ201798</t>
  </si>
  <si>
    <t>KX884456</t>
  </si>
  <si>
    <t>Alphadrosrhavirus</t>
  </si>
  <si>
    <t>Wuhan house fly virus 2</t>
  </si>
  <si>
    <t>WhHFV2</t>
  </si>
  <si>
    <t>SYY4-5</t>
  </si>
  <si>
    <t>KM817649</t>
  </si>
  <si>
    <t>Shayang fly virus 3</t>
  </si>
  <si>
    <t>SyFV3</t>
  </si>
  <si>
    <t>SYY1-1</t>
  </si>
  <si>
    <t>KM817636</t>
  </si>
  <si>
    <t>Alphahymrhavirus</t>
  </si>
  <si>
    <t>hymenopteran rhabdo-related virus 38</t>
  </si>
  <si>
    <t>HyRRV38</t>
  </si>
  <si>
    <t>OKIAV38</t>
  </si>
  <si>
    <t>MT153454</t>
  </si>
  <si>
    <t>hymenopteran rhabdo-related virus 109</t>
  </si>
  <si>
    <t>HyRRV109</t>
  </si>
  <si>
    <t>OKIAV109</t>
  </si>
  <si>
    <t>MT153372</t>
  </si>
  <si>
    <t>Lasius neglectus virus 2</t>
  </si>
  <si>
    <t>LnegV2</t>
  </si>
  <si>
    <t>Cambridge</t>
  </si>
  <si>
    <t>MH477288</t>
  </si>
  <si>
    <t>hymenopteran rhabdo-related virus 46</t>
  </si>
  <si>
    <t>HyRRV46</t>
  </si>
  <si>
    <t>OKIAV46</t>
  </si>
  <si>
    <t>MW314718</t>
  </si>
  <si>
    <t>Betahymrhavirus</t>
  </si>
  <si>
    <t>hymenopteran rhabdo-related virus 23</t>
  </si>
  <si>
    <t>HyRRV23</t>
  </si>
  <si>
    <t>OKIAV23</t>
  </si>
  <si>
    <t>MW314717</t>
  </si>
  <si>
    <t>hymenopteran rhabdo-related virus 24</t>
  </si>
  <si>
    <t>HyRRV24</t>
  </si>
  <si>
    <t>OKIAV24</t>
  </si>
  <si>
    <t>MW039260</t>
  </si>
  <si>
    <t>Betanemrhavirus</t>
  </si>
  <si>
    <t>Hubei rhabdo-like virus 9</t>
  </si>
  <si>
    <t>HbRLV9</t>
  </si>
  <si>
    <t>WHZHC73015</t>
  </si>
  <si>
    <t>KX884448</t>
  </si>
  <si>
    <t>Shayang ascaridia galli virus 2</t>
  </si>
  <si>
    <t>SyAGV2</t>
  </si>
  <si>
    <t>HC21241</t>
  </si>
  <si>
    <t>KX884414</t>
  </si>
  <si>
    <t>Betapaprhavirus</t>
  </si>
  <si>
    <t>Spodoptera frugiperda rhabdovirus</t>
  </si>
  <si>
    <t>SfruRV</t>
  </si>
  <si>
    <t>Sf</t>
  </si>
  <si>
    <t>KF947078</t>
  </si>
  <si>
    <t>lepidopteran rhabdo-related virus 34</t>
  </si>
  <si>
    <t>LeRRV34</t>
  </si>
  <si>
    <t>OKIAV34</t>
  </si>
  <si>
    <t>MT153466</t>
  </si>
  <si>
    <t>Betaricinrhavirus</t>
  </si>
  <si>
    <t>Chimay rhabdovirus</t>
  </si>
  <si>
    <t>Chimay-1</t>
  </si>
  <si>
    <t>MF975531</t>
  </si>
  <si>
    <t>blacklegged tick rhabdovirus 1</t>
  </si>
  <si>
    <t>BLTRV1</t>
  </si>
  <si>
    <t>RTS95.16</t>
  </si>
  <si>
    <t>MF360790</t>
  </si>
  <si>
    <t>Alpharhabdovirinae</t>
  </si>
  <si>
    <t>Almendravirus</t>
  </si>
  <si>
    <t>Puerto Almendras virus</t>
  </si>
  <si>
    <t>PTAMV</t>
  </si>
  <si>
    <t>Lo-39</t>
  </si>
  <si>
    <t>KF534749</t>
  </si>
  <si>
    <t>Arboretum virus</t>
  </si>
  <si>
    <t>Lo-121</t>
  </si>
  <si>
    <t>KC994644</t>
  </si>
  <si>
    <t>Balsa virus</t>
  </si>
  <si>
    <t>BALV</t>
  </si>
  <si>
    <t>CoB 76</t>
  </si>
  <si>
    <t>KX228198</t>
  </si>
  <si>
    <t>Rio Chico virus</t>
  </si>
  <si>
    <t>RCHV</t>
  </si>
  <si>
    <t>GAM 195</t>
  </si>
  <si>
    <t>KX228197</t>
  </si>
  <si>
    <t>Coot Bay virus</t>
  </si>
  <si>
    <t>CBV</t>
  </si>
  <si>
    <t>EVG5-53</t>
  </si>
  <si>
    <t>KX228196</t>
  </si>
  <si>
    <t>MRV</t>
  </si>
  <si>
    <t>KX785335</t>
  </si>
  <si>
    <t>Xiangshan rhabdo-like virus 1</t>
  </si>
  <si>
    <t>XsRLV1</t>
  </si>
  <si>
    <t>Novel_23</t>
  </si>
  <si>
    <t>OK491499</t>
  </si>
  <si>
    <t>Alphanemrhavirus</t>
  </si>
  <si>
    <t>Rattus tanezumi rhabdovirus 1</t>
  </si>
  <si>
    <t>RtaRV1</t>
  </si>
  <si>
    <t>TB2018B</t>
  </si>
  <si>
    <t>MT085340</t>
  </si>
  <si>
    <t>Sodak rhabdovirus 1</t>
  </si>
  <si>
    <t>SDRV1</t>
  </si>
  <si>
    <t>20-13111</t>
  </si>
  <si>
    <t>MT875151</t>
  </si>
  <si>
    <t>Xingshan nematode virus 4</t>
  </si>
  <si>
    <t>XsNV4</t>
  </si>
  <si>
    <t>XSNXC32924</t>
  </si>
  <si>
    <t>KX884459</t>
  </si>
  <si>
    <t>Xinzhou nematode virus 4</t>
  </si>
  <si>
    <t>XzNV4</t>
  </si>
  <si>
    <t>XZSJSC65771</t>
  </si>
  <si>
    <t>KX884462</t>
  </si>
  <si>
    <t>Alphapaprhavirus</t>
  </si>
  <si>
    <t>Hubei lepidoptera virus 2</t>
  </si>
  <si>
    <t>HbLV2</t>
  </si>
  <si>
    <t>LCM101902</t>
  </si>
  <si>
    <t>KX884415</t>
  </si>
  <si>
    <t>Pararge aegeria rhabdovirus</t>
  </si>
  <si>
    <t>PAeRV</t>
  </si>
  <si>
    <t>KR822826</t>
  </si>
  <si>
    <t>Alpharicinrhavirus</t>
  </si>
  <si>
    <t>Blanchseco virus</t>
  </si>
  <si>
    <t>BCOV</t>
  </si>
  <si>
    <t>TTP-pool-17</t>
  </si>
  <si>
    <t>MN025503</t>
  </si>
  <si>
    <t>Bole tick virus 2</t>
  </si>
  <si>
    <t>BlTV2</t>
  </si>
  <si>
    <t>BL076</t>
  </si>
  <si>
    <t>KM817629</t>
  </si>
  <si>
    <t>Hubei tick rhabdovirus 1</t>
  </si>
  <si>
    <t>HbTRV1</t>
  </si>
  <si>
    <t>RhV/SZWH3</t>
  </si>
  <si>
    <t>MW721934</t>
  </si>
  <si>
    <t>Wuhan tick virus 1</t>
  </si>
  <si>
    <t>WhTV1</t>
  </si>
  <si>
    <t>X78-2</t>
  </si>
  <si>
    <t>KM817660</t>
  </si>
  <si>
    <t>Amplylivirus</t>
  </si>
  <si>
    <t>frog lyssa-like virus 1</t>
  </si>
  <si>
    <t>FLLV1</t>
  </si>
  <si>
    <t>Male-A</t>
  </si>
  <si>
    <t>MK473367</t>
  </si>
  <si>
    <t>Arurhavirus</t>
  </si>
  <si>
    <t>Aruac virus</t>
  </si>
  <si>
    <t>ARUV</t>
  </si>
  <si>
    <t>TRVL9223</t>
  </si>
  <si>
    <t>KM204987</t>
  </si>
  <si>
    <t>Inhangapi virus</t>
  </si>
  <si>
    <t>INHV</t>
  </si>
  <si>
    <t>BeAr177325</t>
  </si>
  <si>
    <t>KM204991</t>
  </si>
  <si>
    <t>Santa Barbara virus</t>
  </si>
  <si>
    <t>SBAV</t>
  </si>
  <si>
    <t>AR775619</t>
  </si>
  <si>
    <t>KM350503</t>
  </si>
  <si>
    <t>Xiburema virus</t>
  </si>
  <si>
    <t>XIBV</t>
  </si>
  <si>
    <t>BeAr362159</t>
  </si>
  <si>
    <t>KJ636781</t>
  </si>
  <si>
    <t>Barhavirus</t>
  </si>
  <si>
    <t>Bahia Grande virus</t>
  </si>
  <si>
    <t>BGV</t>
  </si>
  <si>
    <t>TB4-1054</t>
  </si>
  <si>
    <t>KM205018</t>
  </si>
  <si>
    <t>Muir Springs virus</t>
  </si>
  <si>
    <t>MSV</t>
  </si>
  <si>
    <t>76V-23524</t>
  </si>
  <si>
    <t>KM204990</t>
  </si>
  <si>
    <t>Harlingen virus</t>
  </si>
  <si>
    <t>HARV</t>
  </si>
  <si>
    <t>PV01-3828</t>
  </si>
  <si>
    <t>Caligrhavirus</t>
  </si>
  <si>
    <t>Caligus rogercresseyi rhabdovirus</t>
  </si>
  <si>
    <t>CRogRV</t>
  </si>
  <si>
    <t>Ch01</t>
  </si>
  <si>
    <t>KY203909</t>
  </si>
  <si>
    <t>Lepeophtheirus salmonis rhabdovirus 127</t>
  </si>
  <si>
    <t>LSalRV127</t>
  </si>
  <si>
    <t>LSRV127</t>
  </si>
  <si>
    <t>KJ958536</t>
  </si>
  <si>
    <t>Lepeophtheirus salmonis rhabdovirus 9</t>
  </si>
  <si>
    <t>LSalRV9</t>
  </si>
  <si>
    <t>LSRV9</t>
  </si>
  <si>
    <t>KJ958535</t>
  </si>
  <si>
    <t>Cetarhavirus</t>
  </si>
  <si>
    <t>dolphin rhabdovirus</t>
  </si>
  <si>
    <t>DRV</t>
  </si>
  <si>
    <t>pxV1</t>
  </si>
  <si>
    <t>KF958252</t>
  </si>
  <si>
    <t>harbour porpoise rhabdovirus</t>
  </si>
  <si>
    <t>HPRV</t>
  </si>
  <si>
    <t>WVL17017A</t>
  </si>
  <si>
    <t>MN103537</t>
  </si>
  <si>
    <t>Curiovirus</t>
  </si>
  <si>
    <t>Curionopolis virus</t>
  </si>
  <si>
    <t>CURV</t>
  </si>
  <si>
    <t>BeAr440009</t>
  </si>
  <si>
    <t>KM204994</t>
  </si>
  <si>
    <t>Iriri virus</t>
  </si>
  <si>
    <t>IRIRV</t>
  </si>
  <si>
    <t>BeAr408005</t>
  </si>
  <si>
    <t>KM204995</t>
  </si>
  <si>
    <t>Itacaiunas virus</t>
  </si>
  <si>
    <t>ITAV</t>
  </si>
  <si>
    <t>BeAr427036</t>
  </si>
  <si>
    <t>KM204984</t>
  </si>
  <si>
    <t>Rochambeau virus</t>
  </si>
  <si>
    <t>RBUV</t>
  </si>
  <si>
    <t>CaAr16102</t>
  </si>
  <si>
    <t>KM205012</t>
  </si>
  <si>
    <t>Ephemerovirus</t>
  </si>
  <si>
    <t>Adelaide River virus</t>
  </si>
  <si>
    <t>ARV</t>
  </si>
  <si>
    <t>DPP61</t>
  </si>
  <si>
    <t>JN935380</t>
  </si>
  <si>
    <t>Berrimah virus</t>
  </si>
  <si>
    <t>BRMV</t>
  </si>
  <si>
    <t>DPP 63</t>
  </si>
  <si>
    <t>HM461974</t>
  </si>
  <si>
    <t>bovine ephemeral fever virus</t>
  </si>
  <si>
    <t>BEFV</t>
  </si>
  <si>
    <t>BB7721</t>
  </si>
  <si>
    <t>AF234533</t>
  </si>
  <si>
    <t>porcine ephemerovirus 2</t>
  </si>
  <si>
    <t>PoEV2</t>
  </si>
  <si>
    <t>GDMM7</t>
  </si>
  <si>
    <t>OK086698</t>
  </si>
  <si>
    <t>Hayes Yard virus</t>
  </si>
  <si>
    <t>HYV</t>
  </si>
  <si>
    <t>DPP4816</t>
  </si>
  <si>
    <t>MH507506</t>
  </si>
  <si>
    <t>porcine ephemerovirus 1</t>
  </si>
  <si>
    <t>PoEV1</t>
  </si>
  <si>
    <t>HeN10</t>
  </si>
  <si>
    <t>OK086697</t>
  </si>
  <si>
    <t>New Kent County virus</t>
  </si>
  <si>
    <t>NKCV</t>
  </si>
  <si>
    <t>MF615270</t>
  </si>
  <si>
    <t>Kimberley virus</t>
  </si>
  <si>
    <t>KIMV</t>
  </si>
  <si>
    <t>CS368</t>
  </si>
  <si>
    <t>JQ941664</t>
  </si>
  <si>
    <t>Koolpinyah virus</t>
  </si>
  <si>
    <t>KOOLV</t>
  </si>
  <si>
    <t>DPP819</t>
  </si>
  <si>
    <t>KM085029</t>
  </si>
  <si>
    <t>kotonkan virus</t>
  </si>
  <si>
    <t>KOTV</t>
  </si>
  <si>
    <t>IbAr23380</t>
  </si>
  <si>
    <t>HM474855</t>
  </si>
  <si>
    <t>Obodhiang virus</t>
  </si>
  <si>
    <t>OBOV</t>
  </si>
  <si>
    <t>SudAr 1154-64</t>
  </si>
  <si>
    <t>HM856902</t>
  </si>
  <si>
    <t>Puchong virus</t>
  </si>
  <si>
    <t>PUCV</t>
  </si>
  <si>
    <t>P5-350</t>
  </si>
  <si>
    <t>MH507505</t>
  </si>
  <si>
    <t>Yata virus</t>
  </si>
  <si>
    <t>YATV</t>
  </si>
  <si>
    <t>DakAr B2181</t>
  </si>
  <si>
    <t>KM085030</t>
  </si>
  <si>
    <t>Malakal virus</t>
  </si>
  <si>
    <t>MALV</t>
  </si>
  <si>
    <t>SudAr 1169-64</t>
  </si>
  <si>
    <t>Hapavirus</t>
  </si>
  <si>
    <t>Bangoran virus</t>
  </si>
  <si>
    <t>BGNV</t>
  </si>
  <si>
    <t>DakArB 2053</t>
  </si>
  <si>
    <t>MW491752</t>
  </si>
  <si>
    <t>Flanders virus</t>
  </si>
  <si>
    <t>FLAV</t>
  </si>
  <si>
    <t>61-7484</t>
  </si>
  <si>
    <t>KM205002</t>
  </si>
  <si>
    <t>Gray Lodge virus</t>
  </si>
  <si>
    <t>GLOV</t>
  </si>
  <si>
    <t>BFN3187</t>
  </si>
  <si>
    <t>KM205022</t>
  </si>
  <si>
    <t>Hart Park virus</t>
  </si>
  <si>
    <t>HPV</t>
  </si>
  <si>
    <t>AR7C</t>
  </si>
  <si>
    <t>KM205011</t>
  </si>
  <si>
    <t>Holmes Jungle virus</t>
  </si>
  <si>
    <t>HOJV</t>
  </si>
  <si>
    <t>DPP1163</t>
  </si>
  <si>
    <t>KY421919</t>
  </si>
  <si>
    <t>Joinjakaka virus</t>
  </si>
  <si>
    <t>JOIV</t>
  </si>
  <si>
    <t>AusMK7937</t>
  </si>
  <si>
    <t>KM205016</t>
  </si>
  <si>
    <t>Kamese virus</t>
  </si>
  <si>
    <t>KAMV</t>
  </si>
  <si>
    <t>MP6186</t>
  </si>
  <si>
    <t>KM204989</t>
  </si>
  <si>
    <t>La Joya virus</t>
  </si>
  <si>
    <t>LJV</t>
  </si>
  <si>
    <t>J-134</t>
  </si>
  <si>
    <t>KM204986</t>
  </si>
  <si>
    <t>Landjia virus</t>
  </si>
  <si>
    <t>DakAnB769d</t>
  </si>
  <si>
    <t>KM205010</t>
  </si>
  <si>
    <t>Manitoba virus</t>
  </si>
  <si>
    <t>Mn936-77</t>
  </si>
  <si>
    <t>KM205008</t>
  </si>
  <si>
    <t>Marco virus</t>
  </si>
  <si>
    <t>MCOV</t>
  </si>
  <si>
    <t>BeAn40290</t>
  </si>
  <si>
    <t>KM205005</t>
  </si>
  <si>
    <t>Mosqueiro virus</t>
  </si>
  <si>
    <t>MQOV</t>
  </si>
  <si>
    <t>BeAr185559</t>
  </si>
  <si>
    <t>KM205014</t>
  </si>
  <si>
    <t>Mossuril virus</t>
  </si>
  <si>
    <t>MOSV</t>
  </si>
  <si>
    <t>SAAr1995</t>
  </si>
  <si>
    <t>KM204993</t>
  </si>
  <si>
    <t>Ngaingan virus</t>
  </si>
  <si>
    <t>NGAV</t>
  </si>
  <si>
    <t>MRM14556</t>
  </si>
  <si>
    <t>FJ715959</t>
  </si>
  <si>
    <t>Ord River virus</t>
  </si>
  <si>
    <t>ORV</t>
  </si>
  <si>
    <t>OR1023</t>
  </si>
  <si>
    <t>KM205025</t>
  </si>
  <si>
    <t>Parry Creek virus</t>
  </si>
  <si>
    <t>OR189</t>
  </si>
  <si>
    <t>KM204988</t>
  </si>
  <si>
    <t>Porton virus</t>
  </si>
  <si>
    <t>PORV</t>
  </si>
  <si>
    <t>S 1643</t>
  </si>
  <si>
    <t>MW491751</t>
  </si>
  <si>
    <t>Wongabel virus</t>
  </si>
  <si>
    <t>WONV</t>
  </si>
  <si>
    <t>CS264</t>
  </si>
  <si>
    <t>EF612701</t>
  </si>
  <si>
    <t>Ledantevirus</t>
  </si>
  <si>
    <t>Barur virus</t>
  </si>
  <si>
    <t>BARV</t>
  </si>
  <si>
    <t>KM204983</t>
  </si>
  <si>
    <t>Bughendera virus</t>
  </si>
  <si>
    <t>BUGV</t>
  </si>
  <si>
    <t>BF402</t>
  </si>
  <si>
    <t>MT325641</t>
  </si>
  <si>
    <t>Mount Elgon bat virus</t>
  </si>
  <si>
    <t>MEBV</t>
  </si>
  <si>
    <t>BP846</t>
  </si>
  <si>
    <t>KM205026</t>
  </si>
  <si>
    <t>Fikirini virus</t>
  </si>
  <si>
    <t>FKRV</t>
  </si>
  <si>
    <t>KEN352</t>
  </si>
  <si>
    <t>KC676792</t>
  </si>
  <si>
    <t>Fukuoka virus</t>
  </si>
  <si>
    <t>FUKV</t>
  </si>
  <si>
    <t>FUK-11</t>
  </si>
  <si>
    <t>KM205001</t>
  </si>
  <si>
    <t>Kanyawara virus</t>
  </si>
  <si>
    <t>KYAV</t>
  </si>
  <si>
    <t>MPK004</t>
  </si>
  <si>
    <t>KY385390</t>
  </si>
  <si>
    <t>Kern Canyon virus</t>
  </si>
  <si>
    <t>KCV</t>
  </si>
  <si>
    <t>M03790</t>
  </si>
  <si>
    <t>KM204992</t>
  </si>
  <si>
    <t>Keuraliba virus</t>
  </si>
  <si>
    <t>KEUV</t>
  </si>
  <si>
    <t>DakAnD5314</t>
  </si>
  <si>
    <t>KM205021</t>
  </si>
  <si>
    <t>Kolente virus</t>
  </si>
  <si>
    <t>KOLEV</t>
  </si>
  <si>
    <t>DakAr K7292</t>
  </si>
  <si>
    <t>KC984953</t>
  </si>
  <si>
    <t>Kumasi rhabdovirus</t>
  </si>
  <si>
    <t>KRV</t>
  </si>
  <si>
    <t>M35</t>
  </si>
  <si>
    <t>KJ179955</t>
  </si>
  <si>
    <t>Le Dantec virus</t>
  </si>
  <si>
    <t>LDV</t>
  </si>
  <si>
    <t>DakHD763</t>
  </si>
  <si>
    <t>KM205006</t>
  </si>
  <si>
    <t>Longquan Niviventer coninga ledantevirus 1</t>
  </si>
  <si>
    <t>LNcoLV1</t>
  </si>
  <si>
    <t>LQS_baifu</t>
  </si>
  <si>
    <t>MZ328293</t>
  </si>
  <si>
    <t>Nishimuro virus</t>
  </si>
  <si>
    <t>NISV</t>
  </si>
  <si>
    <t>AB609604</t>
  </si>
  <si>
    <t>Nkolbisson virus</t>
  </si>
  <si>
    <t>NKOV</t>
  </si>
  <si>
    <t>YM 31-65</t>
  </si>
  <si>
    <t>KM205017</t>
  </si>
  <si>
    <t>Oita virus</t>
  </si>
  <si>
    <t>OITAV</t>
  </si>
  <si>
    <t>296-1972</t>
  </si>
  <si>
    <t>KM204998</t>
  </si>
  <si>
    <t>Taiyi bat virus</t>
  </si>
  <si>
    <t>TYBV</t>
  </si>
  <si>
    <t>MN607592</t>
  </si>
  <si>
    <t>Vaprio virus</t>
  </si>
  <si>
    <t>VAPV</t>
  </si>
  <si>
    <t>VAPV_2016</t>
  </si>
  <si>
    <t>MG021441</t>
  </si>
  <si>
    <t>Wenzhou Rhinolophus pusillus ledantevirus 1</t>
  </si>
  <si>
    <t>WRpuLV1</t>
  </si>
  <si>
    <t>YJB_DanJiao</t>
  </si>
  <si>
    <t>OM030289</t>
  </si>
  <si>
    <t>Wuhan louse fly virus 5</t>
  </si>
  <si>
    <t>WLFV5</t>
  </si>
  <si>
    <t>BFJSC-5</t>
  </si>
  <si>
    <t>KM817654</t>
  </si>
  <si>
    <t>Yongjia tick virus 2</t>
  </si>
  <si>
    <t>YTV2</t>
  </si>
  <si>
    <t>YJ1-2</t>
  </si>
  <si>
    <t>KM817662</t>
  </si>
  <si>
    <t>Lostrhavirus</t>
  </si>
  <si>
    <t>Xinjiang tick rhabdovirus</t>
  </si>
  <si>
    <t>XjTRV</t>
  </si>
  <si>
    <t>15-XJ</t>
  </si>
  <si>
    <t>MH688524</t>
  </si>
  <si>
    <t>lone star tick rhabdovirus</t>
  </si>
  <si>
    <t>LITRV</t>
  </si>
  <si>
    <t>TickAa42</t>
  </si>
  <si>
    <t>KU127239</t>
  </si>
  <si>
    <t>Lyssavirus</t>
  </si>
  <si>
    <t>Aravan virus</t>
  </si>
  <si>
    <t>ARAV</t>
  </si>
  <si>
    <t>EF614259</t>
  </si>
  <si>
    <t>Australian bat lyssavirus</t>
  </si>
  <si>
    <t>ABLV</t>
  </si>
  <si>
    <t>insectivorous</t>
  </si>
  <si>
    <t>AF081020</t>
  </si>
  <si>
    <t>Bokeloh bat lyssavirus</t>
  </si>
  <si>
    <t>BBLV</t>
  </si>
  <si>
    <t>JF311903</t>
  </si>
  <si>
    <t>West Caucasian bat virus</t>
  </si>
  <si>
    <t>WCBV</t>
  </si>
  <si>
    <t>EF614258</t>
  </si>
  <si>
    <t>Duvenhage virus</t>
  </si>
  <si>
    <t>DUVV</t>
  </si>
  <si>
    <t>86132SA</t>
  </si>
  <si>
    <t>EU293119</t>
  </si>
  <si>
    <t>Taiwan bat lyssavirus</t>
  </si>
  <si>
    <t>TWBLV</t>
  </si>
  <si>
    <t>TN/2016</t>
  </si>
  <si>
    <t>MF472710</t>
  </si>
  <si>
    <t>Gannoruwa bat lyssavirus</t>
  </si>
  <si>
    <t>GBLV</t>
  </si>
  <si>
    <t>RV3266</t>
  </si>
  <si>
    <t>KU244266</t>
  </si>
  <si>
    <t>European bat lyssavirus 1</t>
  </si>
  <si>
    <t>EBLV1</t>
  </si>
  <si>
    <t>RV9</t>
  </si>
  <si>
    <t>EF157976</t>
  </si>
  <si>
    <t>European bat lyssavirus 2</t>
  </si>
  <si>
    <t>EBLV2</t>
  </si>
  <si>
    <t>RV1333</t>
  </si>
  <si>
    <t>EF157977</t>
  </si>
  <si>
    <t>Ikoma lyssavirus</t>
  </si>
  <si>
    <t>IKOV</t>
  </si>
  <si>
    <t>RV2508</t>
  </si>
  <si>
    <t>JX193798</t>
  </si>
  <si>
    <t>Irkut virus</t>
  </si>
  <si>
    <t>IRKV</t>
  </si>
  <si>
    <t>EF614260</t>
  </si>
  <si>
    <t>Khujand virus</t>
  </si>
  <si>
    <t>KHUV</t>
  </si>
  <si>
    <t>EF614261</t>
  </si>
  <si>
    <t>Lagos bat virus</t>
  </si>
  <si>
    <t>LBV</t>
  </si>
  <si>
    <t>0406SEN</t>
  </si>
  <si>
    <t>EU293108</t>
  </si>
  <si>
    <t>Lleida bat lyssavirus</t>
  </si>
  <si>
    <t>LLEBV</t>
  </si>
  <si>
    <t>RV3208</t>
  </si>
  <si>
    <t>KY006983</t>
  </si>
  <si>
    <t>Mokola virus</t>
  </si>
  <si>
    <t>MOKV</t>
  </si>
  <si>
    <t>Y09762</t>
  </si>
  <si>
    <t>rabies virus</t>
  </si>
  <si>
    <t>RABV</t>
  </si>
  <si>
    <t>M13215</t>
  </si>
  <si>
    <t>Shimoni bat virus</t>
  </si>
  <si>
    <t>SHIBV</t>
  </si>
  <si>
    <t>Shimoni</t>
  </si>
  <si>
    <t>GU170201</t>
  </si>
  <si>
    <t>Merhavirus</t>
  </si>
  <si>
    <t>Merida virus</t>
  </si>
  <si>
    <t>MERDV</t>
  </si>
  <si>
    <t>Mex-07</t>
  </si>
  <si>
    <t>KU194360</t>
  </si>
  <si>
    <t>Culex tritaeniorhynchus rhabdovirus</t>
  </si>
  <si>
    <t>CTRV</t>
  </si>
  <si>
    <t>TY</t>
  </si>
  <si>
    <t>AB604791</t>
  </si>
  <si>
    <t>Mousrhavirus</t>
  </si>
  <si>
    <t>Moussa virus</t>
  </si>
  <si>
    <t>MOUV</t>
  </si>
  <si>
    <t>C23</t>
  </si>
  <si>
    <t>FJ985748</t>
  </si>
  <si>
    <t>Ohlsrhavirus</t>
  </si>
  <si>
    <t>Culex rhabdo-like virus Los Angeles</t>
  </si>
  <si>
    <t>CRLVLA</t>
  </si>
  <si>
    <t>MH188003</t>
  </si>
  <si>
    <t>Culex rhabdo-like virus</t>
  </si>
  <si>
    <t>CRLV</t>
  </si>
  <si>
    <t>mosWSB71420</t>
  </si>
  <si>
    <t>MF176333</t>
  </si>
  <si>
    <t>Lobeira virus</t>
  </si>
  <si>
    <t>LOBV</t>
  </si>
  <si>
    <t>BR/MT-M05</t>
  </si>
  <si>
    <t>MK780203</t>
  </si>
  <si>
    <t>North Creek virus</t>
  </si>
  <si>
    <t>NORCV</t>
  </si>
  <si>
    <t>KF360970; KF360971; KF360972; KF360973</t>
  </si>
  <si>
    <t>Ohlsdorf virus</t>
  </si>
  <si>
    <t>OHLDV</t>
  </si>
  <si>
    <t>Germany/2012/Oc.cantans</t>
  </si>
  <si>
    <t>KY768856</t>
  </si>
  <si>
    <t>Culex pseudovishnui rhabdo-like virus</t>
  </si>
  <si>
    <t>17NGK-Cps2-874</t>
  </si>
  <si>
    <t>LC514057</t>
  </si>
  <si>
    <t>RISV</t>
  </si>
  <si>
    <t>Drava-1</t>
  </si>
  <si>
    <t>KU248085</t>
  </si>
  <si>
    <t>Tongilchon virus 1</t>
  </si>
  <si>
    <t>TCHV1</t>
  </si>
  <si>
    <t>A12.2676/ROK/2012</t>
  </si>
  <si>
    <t>KU095840</t>
  </si>
  <si>
    <t>Perhabdovirus</t>
  </si>
  <si>
    <t>eel virus European X</t>
  </si>
  <si>
    <t>EVEX</t>
  </si>
  <si>
    <t>CVI153311</t>
  </si>
  <si>
    <t>FN557213</t>
  </si>
  <si>
    <t>eel virus American</t>
  </si>
  <si>
    <t>EVA</t>
  </si>
  <si>
    <t>DK3631</t>
  </si>
  <si>
    <t>Leman virus</t>
  </si>
  <si>
    <t>LeRV</t>
  </si>
  <si>
    <t>18/193</t>
  </si>
  <si>
    <t>MN963996</t>
  </si>
  <si>
    <t>perch rhabdovirus</t>
  </si>
  <si>
    <t>JX679246</t>
  </si>
  <si>
    <t>lake trout rhabdovirus</t>
  </si>
  <si>
    <t>LTRV</t>
  </si>
  <si>
    <t>Replylivirus</t>
  </si>
  <si>
    <t>anole lyssa-like virus 1</t>
  </si>
  <si>
    <t>ALLV1</t>
  </si>
  <si>
    <t>Cuba 2011</t>
  </si>
  <si>
    <t>BR001666</t>
  </si>
  <si>
    <t>Sawgrhavirus</t>
  </si>
  <si>
    <t>Connecticut virus</t>
  </si>
  <si>
    <t>CNTV</t>
  </si>
  <si>
    <t>Ar1152-78</t>
  </si>
  <si>
    <t>KM205020</t>
  </si>
  <si>
    <t>Long Island tick rhabdovirus</t>
  </si>
  <si>
    <t>LS1</t>
  </si>
  <si>
    <t>KJ396935</t>
  </si>
  <si>
    <t>New Minto virus</t>
  </si>
  <si>
    <t>KM205009</t>
  </si>
  <si>
    <t>Sawgrass virus</t>
  </si>
  <si>
    <t>SAWV</t>
  </si>
  <si>
    <t>64A-1247</t>
  </si>
  <si>
    <t>KM205013</t>
  </si>
  <si>
    <t>Scophrhavirus</t>
  </si>
  <si>
    <t>Wuhan redfin culter dimarhabdovirus</t>
  </si>
  <si>
    <t>WhRFCRV</t>
  </si>
  <si>
    <t>DSYS6218</t>
  </si>
  <si>
    <t>MG600013</t>
  </si>
  <si>
    <t>Scophthalmus maximus rhabdovirus</t>
  </si>
  <si>
    <t>SMRV</t>
  </si>
  <si>
    <t>HQ003891</t>
  </si>
  <si>
    <t>Sigmavirus</t>
  </si>
  <si>
    <t>Drosophila affinis sigmavirus</t>
  </si>
  <si>
    <t>DAffSV</t>
  </si>
  <si>
    <t>KR822811</t>
  </si>
  <si>
    <t>Drosophila ananassae sigmavirus</t>
  </si>
  <si>
    <t>DAnaSV</t>
  </si>
  <si>
    <t>Kilifi Kenya</t>
  </si>
  <si>
    <t>KR822812</t>
  </si>
  <si>
    <t>Ceratitis capitata sigmavirus</t>
  </si>
  <si>
    <t>CCapSV</t>
  </si>
  <si>
    <t>Vienna 7</t>
  </si>
  <si>
    <t>KR822825</t>
  </si>
  <si>
    <t>Wuhan fly virus 2</t>
  </si>
  <si>
    <t>WhFV2</t>
  </si>
  <si>
    <t>SYY1-3</t>
  </si>
  <si>
    <t>KM817646</t>
  </si>
  <si>
    <t>Wuhan louse fly virus 9</t>
  </si>
  <si>
    <t>WhLFV9</t>
  </si>
  <si>
    <t>BFJSC-7</t>
  </si>
  <si>
    <t>KM817656</t>
  </si>
  <si>
    <t>Hubei diptera virus 9</t>
  </si>
  <si>
    <t>HbDV9</t>
  </si>
  <si>
    <t>SCM172232</t>
  </si>
  <si>
    <t>KX884429</t>
  </si>
  <si>
    <t>Drosophila immigrans sigmavirus</t>
  </si>
  <si>
    <t>DImmSV</t>
  </si>
  <si>
    <t>SCM45623</t>
  </si>
  <si>
    <t>KX884434</t>
  </si>
  <si>
    <t>Wuhan louse fly virus 10</t>
  </si>
  <si>
    <t>WhLFV10</t>
  </si>
  <si>
    <t>BFJSC-8</t>
  </si>
  <si>
    <t>KM817657</t>
  </si>
  <si>
    <t>Drosophila melanogaster sigmavirus</t>
  </si>
  <si>
    <t>DMelSV</t>
  </si>
  <si>
    <t>HAP23</t>
  </si>
  <si>
    <t>GQ375258</t>
  </si>
  <si>
    <t>Muscina stabulans sigmavirus</t>
  </si>
  <si>
    <t>MStaSV</t>
  </si>
  <si>
    <t>CA_1</t>
  </si>
  <si>
    <t>JF311402</t>
  </si>
  <si>
    <t>Hubei diptera virus 10</t>
  </si>
  <si>
    <t>HbDV10</t>
  </si>
  <si>
    <t>SCM43656</t>
  </si>
  <si>
    <t>KX884433</t>
  </si>
  <si>
    <t>Drosophila obscura sigmavirus</t>
  </si>
  <si>
    <t>DObsSV</t>
  </si>
  <si>
    <t>10A</t>
  </si>
  <si>
    <t>GQ410979</t>
  </si>
  <si>
    <t>Shayang fly virus 2</t>
  </si>
  <si>
    <t>SyFV2</t>
  </si>
  <si>
    <t>SYY1-8</t>
  </si>
  <si>
    <t>KM817635</t>
  </si>
  <si>
    <t>Apis rhabdovirus 3</t>
  </si>
  <si>
    <t>ApRV3</t>
  </si>
  <si>
    <t>Sichuan/2019</t>
  </si>
  <si>
    <t>MZ822104</t>
  </si>
  <si>
    <t>Drosophila sturtevanti sigmavirus</t>
  </si>
  <si>
    <t>DStuSV</t>
  </si>
  <si>
    <t>KR822816</t>
  </si>
  <si>
    <t>Drosophila tristis sigmavirus</t>
  </si>
  <si>
    <t>DTriSV</t>
  </si>
  <si>
    <t>pool-seq</t>
  </si>
  <si>
    <t>KR822818</t>
  </si>
  <si>
    <t>Aksy-Durug Melophagus sigmavirus</t>
  </si>
  <si>
    <t>ADMSV</t>
  </si>
  <si>
    <t>OL420709</t>
  </si>
  <si>
    <t>Wuhan house fly virus 1</t>
  </si>
  <si>
    <t>WhHFV1</t>
  </si>
  <si>
    <t>SYY2-4</t>
  </si>
  <si>
    <t>KM817648</t>
  </si>
  <si>
    <t>Hubei dimarhabdovirus 1</t>
  </si>
  <si>
    <t>HbDRV1</t>
  </si>
  <si>
    <t>SCM51525</t>
  </si>
  <si>
    <t>KX884431</t>
  </si>
  <si>
    <t>Yushu rhabdovirus</t>
  </si>
  <si>
    <t>YsRV</t>
  </si>
  <si>
    <t>YSN900</t>
  </si>
  <si>
    <t>MW826525</t>
  </si>
  <si>
    <t>Siniperhavirus</t>
  </si>
  <si>
    <t>Siniperca chuatsi rhabdovirus</t>
  </si>
  <si>
    <t>DQ399789</t>
  </si>
  <si>
    <t>eelpout rhabdovirus</t>
  </si>
  <si>
    <t>EPRV</t>
  </si>
  <si>
    <t>FSK0523</t>
  </si>
  <si>
    <t>KR612230</t>
  </si>
  <si>
    <t>Chinese rice-field eel rhabdovirus</t>
  </si>
  <si>
    <t>CrERV</t>
  </si>
  <si>
    <t>hybrid snakehead rhabdovirus</t>
  </si>
  <si>
    <t>HSHRV</t>
  </si>
  <si>
    <t>C1207</t>
  </si>
  <si>
    <t>Micropterus salmoides rhabdovirus</t>
  </si>
  <si>
    <t>YH01</t>
  </si>
  <si>
    <t>Sprivivirus</t>
  </si>
  <si>
    <t>spring viremia of carp virus</t>
  </si>
  <si>
    <t>SVCV</t>
  </si>
  <si>
    <t>ATCC VR-1390</t>
  </si>
  <si>
    <t>U18101</t>
  </si>
  <si>
    <t>pike fry rhabdovirus</t>
  </si>
  <si>
    <t>PFRV</t>
  </si>
  <si>
    <t>F4</t>
  </si>
  <si>
    <t>FJ872827</t>
  </si>
  <si>
    <t>grass carp rhabdovirus</t>
  </si>
  <si>
    <t>GrCRV</t>
  </si>
  <si>
    <t>V76</t>
  </si>
  <si>
    <t>tench rhabdovirus</t>
  </si>
  <si>
    <t>TenRV</t>
  </si>
  <si>
    <t>S64</t>
  </si>
  <si>
    <t>Sripuvirus</t>
  </si>
  <si>
    <t>Almpiwar virus</t>
  </si>
  <si>
    <t>ALMV</t>
  </si>
  <si>
    <t>MRM4059</t>
  </si>
  <si>
    <t>KJ399977</t>
  </si>
  <si>
    <t>Chaco virus</t>
  </si>
  <si>
    <t>CHOV</t>
  </si>
  <si>
    <t>BeAn42217</t>
  </si>
  <si>
    <t>KM205000</t>
  </si>
  <si>
    <t>Charleville virus</t>
  </si>
  <si>
    <t>CHVV</t>
  </si>
  <si>
    <t>Ch9824</t>
  </si>
  <si>
    <t>MH899109</t>
  </si>
  <si>
    <t>Cuiaba virus</t>
  </si>
  <si>
    <t>CUIV</t>
  </si>
  <si>
    <t>BeAn 227841</t>
  </si>
  <si>
    <t>MH899110</t>
  </si>
  <si>
    <t>Hainan black-spectacled toad rhabdovirus</t>
  </si>
  <si>
    <t>HnBSTRV</t>
  </si>
  <si>
    <t>HKCCG762</t>
  </si>
  <si>
    <t>MG600016</t>
  </si>
  <si>
    <t>Sena Madureira virus</t>
  </si>
  <si>
    <t>SMV</t>
  </si>
  <si>
    <t>BeAn303197</t>
  </si>
  <si>
    <t>KM205004</t>
  </si>
  <si>
    <t>Niakha virus</t>
  </si>
  <si>
    <t>NIAV</t>
  </si>
  <si>
    <t>DakArD 88909</t>
  </si>
  <si>
    <t>KC585008</t>
  </si>
  <si>
    <t>Sripur virus</t>
  </si>
  <si>
    <t>SRIV</t>
  </si>
  <si>
    <t>KM205023</t>
  </si>
  <si>
    <t>Sunrhavirus</t>
  </si>
  <si>
    <t>Burg el Arab virus</t>
  </si>
  <si>
    <t>BEAV</t>
  </si>
  <si>
    <t>An 3782-62</t>
  </si>
  <si>
    <t>MW491759</t>
  </si>
  <si>
    <t>Bimbo virus</t>
  </si>
  <si>
    <t>BBOV</t>
  </si>
  <si>
    <t>DakAnB 1054</t>
  </si>
  <si>
    <t>MW491756</t>
  </si>
  <si>
    <t>Boteke virus</t>
  </si>
  <si>
    <t>BOTV</t>
  </si>
  <si>
    <t>DakAnB 1077</t>
  </si>
  <si>
    <t>MW491753</t>
  </si>
  <si>
    <t>Dillard's Draw virus</t>
  </si>
  <si>
    <t>DDRV</t>
  </si>
  <si>
    <t>DDrV-2015</t>
  </si>
  <si>
    <t>MG251664</t>
  </si>
  <si>
    <t>Garba virus</t>
  </si>
  <si>
    <t>GARV</t>
  </si>
  <si>
    <t>DakAnB439a</t>
  </si>
  <si>
    <t>KM204982</t>
  </si>
  <si>
    <t>Harrison Dam virus</t>
  </si>
  <si>
    <t>HARDV</t>
  </si>
  <si>
    <t>CS75</t>
  </si>
  <si>
    <t>KJ432573</t>
  </si>
  <si>
    <t>Kolongo virus</t>
  </si>
  <si>
    <t>KOLV</t>
  </si>
  <si>
    <t>DakAnB 1094</t>
  </si>
  <si>
    <t>MW491757</t>
  </si>
  <si>
    <t>Kwatta virus</t>
  </si>
  <si>
    <t>KWAV</t>
  </si>
  <si>
    <t>A57</t>
  </si>
  <si>
    <t>KM204985</t>
  </si>
  <si>
    <t>Matariya virus</t>
  </si>
  <si>
    <t>MTYV</t>
  </si>
  <si>
    <t>An 1477-61</t>
  </si>
  <si>
    <t>MW491760</t>
  </si>
  <si>
    <t>Nasoule virus</t>
  </si>
  <si>
    <t>NASV</t>
  </si>
  <si>
    <t>DakAnB 4289</t>
  </si>
  <si>
    <t>MW491755</t>
  </si>
  <si>
    <t>Oak Vale virus</t>
  </si>
  <si>
    <t>OVV</t>
  </si>
  <si>
    <t>CS1342</t>
  </si>
  <si>
    <t>JF705876</t>
  </si>
  <si>
    <t>Ouango virus</t>
  </si>
  <si>
    <t>OUAV</t>
  </si>
  <si>
    <t>DakAnB 1582</t>
  </si>
  <si>
    <t>MW491758</t>
  </si>
  <si>
    <t>Sandjimba virus</t>
  </si>
  <si>
    <t>SJAV</t>
  </si>
  <si>
    <t>DakAnB 373d</t>
  </si>
  <si>
    <t>MW491754</t>
  </si>
  <si>
    <t>Sunguru virus</t>
  </si>
  <si>
    <t>SUNV</t>
  </si>
  <si>
    <t>Ug41</t>
  </si>
  <si>
    <t>KF395226</t>
  </si>
  <si>
    <t>Walkabout Creek virus</t>
  </si>
  <si>
    <t>WACV</t>
  </si>
  <si>
    <t>CS1056</t>
  </si>
  <si>
    <t>KJ432572</t>
  </si>
  <si>
    <t>Thriprhavirus</t>
  </si>
  <si>
    <t>Hangzhou Frankliniella intonsa rhabdovirus 1</t>
  </si>
  <si>
    <t>HFinRV1</t>
  </si>
  <si>
    <t>JM1FY86115</t>
  </si>
  <si>
    <t>MZ209657</t>
  </si>
  <si>
    <t>Thrips tabaci associated dimarhabdovirus 1</t>
  </si>
  <si>
    <t>TtaDRV1</t>
  </si>
  <si>
    <t>Tamono1</t>
  </si>
  <si>
    <t>MN714687</t>
  </si>
  <si>
    <t>Tibrovirus</t>
  </si>
  <si>
    <t>Ekpoma virus 1</t>
  </si>
  <si>
    <t>EKV1</t>
  </si>
  <si>
    <t>KP324827</t>
  </si>
  <si>
    <t>Beatrice Hill virus</t>
  </si>
  <si>
    <t>BHV</t>
  </si>
  <si>
    <t>CSIRO 25</t>
  </si>
  <si>
    <t>KY073493</t>
  </si>
  <si>
    <t>Ekpoma virus 2</t>
  </si>
  <si>
    <t>EKV2</t>
  </si>
  <si>
    <t>KP324828</t>
  </si>
  <si>
    <t>Coastal Plains virus</t>
  </si>
  <si>
    <t>DPP53</t>
  </si>
  <si>
    <t>GQ294473</t>
  </si>
  <si>
    <t>Bas-Congo virus</t>
  </si>
  <si>
    <t>BASV</t>
  </si>
  <si>
    <t>JX297815</t>
  </si>
  <si>
    <t>Mundri virus</t>
  </si>
  <si>
    <t>MUNV</t>
  </si>
  <si>
    <t>A14</t>
  </si>
  <si>
    <t>OM320812</t>
  </si>
  <si>
    <t>Sweetwater Branch virus</t>
  </si>
  <si>
    <t>UF-11</t>
  </si>
  <si>
    <t>KM204997</t>
  </si>
  <si>
    <t>Tibrogargan virus</t>
  </si>
  <si>
    <t>TIBV</t>
  </si>
  <si>
    <t>CS132</t>
  </si>
  <si>
    <t>GQ294472</t>
  </si>
  <si>
    <t>Bivens Arm virus</t>
  </si>
  <si>
    <t>UF 10</t>
  </si>
  <si>
    <t>Tupavirus</t>
  </si>
  <si>
    <t>Durham virus</t>
  </si>
  <si>
    <t>DURV</t>
  </si>
  <si>
    <t>FJ952155</t>
  </si>
  <si>
    <t>Klamath virus</t>
  </si>
  <si>
    <t>KLAV</t>
  </si>
  <si>
    <t>M-1056</t>
  </si>
  <si>
    <t>KM204999</t>
  </si>
  <si>
    <t>Wenzhou Myotis laniger tupavirus 1</t>
  </si>
  <si>
    <t>WMlaTV1</t>
  </si>
  <si>
    <t>YJB_HuaNan</t>
  </si>
  <si>
    <t>OM030290</t>
  </si>
  <si>
    <t>Wufeng Rhinolophus pearsonii tupavirus 1</t>
  </si>
  <si>
    <t>WRpeTV1</t>
  </si>
  <si>
    <t>WFB_Rpear</t>
  </si>
  <si>
    <t>MZ328291</t>
  </si>
  <si>
    <t>tupaia rhabdovirus</t>
  </si>
  <si>
    <t>TUPV</t>
  </si>
  <si>
    <t>AY840978</t>
  </si>
  <si>
    <t>Vesiculovirus</t>
  </si>
  <si>
    <t>vesicular stomatitis Alagoas virus</t>
  </si>
  <si>
    <t>VSAV</t>
  </si>
  <si>
    <t>Indiana 3</t>
  </si>
  <si>
    <t>EU373658</t>
  </si>
  <si>
    <t>Yug Bogdanovac virus</t>
  </si>
  <si>
    <t>YBV</t>
  </si>
  <si>
    <t>YU4-76</t>
  </si>
  <si>
    <t>JF911700</t>
  </si>
  <si>
    <t>Carajás virus</t>
  </si>
  <si>
    <t>CARV</t>
  </si>
  <si>
    <t>BeAr411391</t>
  </si>
  <si>
    <t>KM205015</t>
  </si>
  <si>
    <t>Chandipura virus</t>
  </si>
  <si>
    <t>CHPV</t>
  </si>
  <si>
    <t>CIN 0451</t>
  </si>
  <si>
    <t>GU212856</t>
  </si>
  <si>
    <t>Cocal virus</t>
  </si>
  <si>
    <t>COCV</t>
  </si>
  <si>
    <t>TRVL40233</t>
  </si>
  <si>
    <t>EU373657</t>
  </si>
  <si>
    <t>American bat vesiculovirus</t>
  </si>
  <si>
    <t>ABVV</t>
  </si>
  <si>
    <t>TFFN-2013</t>
  </si>
  <si>
    <t>JX569193</t>
  </si>
  <si>
    <t>vesicular stomatitis Indiana virus</t>
  </si>
  <si>
    <t>VSIV</t>
  </si>
  <si>
    <t>98COE</t>
  </si>
  <si>
    <t>AF473864</t>
  </si>
  <si>
    <t>Isfahan virus</t>
  </si>
  <si>
    <t>ISFV</t>
  </si>
  <si>
    <t>91026-167</t>
  </si>
  <si>
    <t>AJ810084</t>
  </si>
  <si>
    <t>Jurona virus</t>
  </si>
  <si>
    <t>JURV</t>
  </si>
  <si>
    <t>BeAr40578</t>
  </si>
  <si>
    <t>KM204996</t>
  </si>
  <si>
    <t>Malpais Spring virus</t>
  </si>
  <si>
    <t>MSPV</t>
  </si>
  <si>
    <t>85-488NM</t>
  </si>
  <si>
    <t>KC412247</t>
  </si>
  <si>
    <t>Maraba virus</t>
  </si>
  <si>
    <t>MARAV</t>
  </si>
  <si>
    <t>BeAr 411459</t>
  </si>
  <si>
    <t>HQ660076</t>
  </si>
  <si>
    <t>Mediterranean bat virus</t>
  </si>
  <si>
    <t>MBV</t>
  </si>
  <si>
    <t>A09181</t>
  </si>
  <si>
    <t>MW557336</t>
  </si>
  <si>
    <t>Mejal virus</t>
  </si>
  <si>
    <t>MEJV</t>
  </si>
  <si>
    <t>JAL10</t>
  </si>
  <si>
    <t>MW798173</t>
  </si>
  <si>
    <t>Morreton virus</t>
  </si>
  <si>
    <t>MORV</t>
  </si>
  <si>
    <t>CoAr191048</t>
  </si>
  <si>
    <t>KM205007</t>
  </si>
  <si>
    <t>vesicular stomatitis New Jersey virus</t>
  </si>
  <si>
    <t>VSNJV</t>
  </si>
  <si>
    <t>NJ1184HDB</t>
  </si>
  <si>
    <t>JX121109</t>
  </si>
  <si>
    <t>Perinet virus</t>
  </si>
  <si>
    <t>PERV</t>
  </si>
  <si>
    <t>DAkAr Mg802</t>
  </si>
  <si>
    <t>HM566195</t>
  </si>
  <si>
    <t>Piry virus</t>
  </si>
  <si>
    <t>PIRYV</t>
  </si>
  <si>
    <t>BeAn2423</t>
  </si>
  <si>
    <t>KU178986</t>
  </si>
  <si>
    <t>Radi virus</t>
  </si>
  <si>
    <t>RADV</t>
  </si>
  <si>
    <t>ISS Ph1-166</t>
  </si>
  <si>
    <t>KM205024</t>
  </si>
  <si>
    <t>Jinghong bat virus</t>
  </si>
  <si>
    <t>JhBV</t>
  </si>
  <si>
    <t>IH17</t>
  </si>
  <si>
    <t>MF279192</t>
  </si>
  <si>
    <t>Wufeng Myotis altarium vesiculovirus 1</t>
  </si>
  <si>
    <t>WMalVV1</t>
  </si>
  <si>
    <t>WFB-Yunshu</t>
  </si>
  <si>
    <t>OM030292</t>
  </si>
  <si>
    <t>Yinshui bat virus</t>
  </si>
  <si>
    <t>YSBV</t>
  </si>
  <si>
    <t>MN607594</t>
  </si>
  <si>
    <t xml:space="preserve">Qiongzhong bat virus </t>
  </si>
  <si>
    <t>QZBV</t>
  </si>
  <si>
    <t>Zarhavirus</t>
  </si>
  <si>
    <t>Zahedan rhabdovirus</t>
  </si>
  <si>
    <t>ZARV</t>
  </si>
  <si>
    <t>ArTeh 157764</t>
  </si>
  <si>
    <t>KJ830812</t>
  </si>
  <si>
    <t>Betarhabdovirinae</t>
  </si>
  <si>
    <t>Alphanucleorhabdovirus</t>
  </si>
  <si>
    <t>Agave tequilana virus 1</t>
  </si>
  <si>
    <t>ATV1</t>
  </si>
  <si>
    <t>AAN</t>
  </si>
  <si>
    <t>BK014297</t>
  </si>
  <si>
    <t>Artemisia capillaris nucleorhabdovirus 1</t>
  </si>
  <si>
    <t>ArtCaNV1</t>
  </si>
  <si>
    <t>YK</t>
  </si>
  <si>
    <t>OM372677</t>
  </si>
  <si>
    <t>taro vein chlorosis virus</t>
  </si>
  <si>
    <t>TaVCV</t>
  </si>
  <si>
    <t>Fiji</t>
  </si>
  <si>
    <t>AY674964</t>
  </si>
  <si>
    <t>constricta yellow dwarf virus</t>
  </si>
  <si>
    <t>CYDV</t>
  </si>
  <si>
    <t>PV-233</t>
  </si>
  <si>
    <t>KY549567</t>
  </si>
  <si>
    <t>joa yellow blotch associated virus</t>
  </si>
  <si>
    <t>JYBaV</t>
  </si>
  <si>
    <t>Manaus</t>
  </si>
  <si>
    <t>MW014292</t>
  </si>
  <si>
    <t>maize mosaic virus</t>
  </si>
  <si>
    <t>MMV</t>
  </si>
  <si>
    <t>AY618418</t>
  </si>
  <si>
    <t>eggplant mottled dwarf virus</t>
  </si>
  <si>
    <t>EMDV</t>
  </si>
  <si>
    <t>Agapanthus</t>
  </si>
  <si>
    <t>KJ082087</t>
  </si>
  <si>
    <t>Morogoro maize-associated virus</t>
  </si>
  <si>
    <t>MMaV</t>
  </si>
  <si>
    <t>16-0112</t>
  </si>
  <si>
    <t>MK063878</t>
  </si>
  <si>
    <t>rice yellow stunt virus</t>
  </si>
  <si>
    <t>RYSV</t>
  </si>
  <si>
    <t>AB011257</t>
  </si>
  <si>
    <t>Physostegia chlorotic mottle virus</t>
  </si>
  <si>
    <t>PhCMoV</t>
  </si>
  <si>
    <t>PV-1182</t>
  </si>
  <si>
    <t>KX636164</t>
  </si>
  <si>
    <t>peach virus 1</t>
  </si>
  <si>
    <t>PeV1</t>
  </si>
  <si>
    <t>NSTT</t>
  </si>
  <si>
    <t>MN520414</t>
  </si>
  <si>
    <t>wheat yellow striate virus</t>
  </si>
  <si>
    <t>WYSV</t>
  </si>
  <si>
    <t>SX-HC</t>
  </si>
  <si>
    <t>MG604920</t>
  </si>
  <si>
    <t>potato yellow dwarf virus</t>
  </si>
  <si>
    <t>PYDV</t>
  </si>
  <si>
    <t>SYDV</t>
  </si>
  <si>
    <t>GU734660</t>
  </si>
  <si>
    <t>maize Iranian mosaic virus</t>
  </si>
  <si>
    <t>MIMV</t>
  </si>
  <si>
    <t>Fars</t>
  </si>
  <si>
    <t>MF102281</t>
  </si>
  <si>
    <t>rice transitory yellowing virus</t>
  </si>
  <si>
    <t>RTYV</t>
  </si>
  <si>
    <t>Betanucleorhabdovirus</t>
  </si>
  <si>
    <t>Asclepias syriaca virus 2</t>
  </si>
  <si>
    <t>AscSyV2</t>
  </si>
  <si>
    <t>ABN</t>
  </si>
  <si>
    <t>BK014299</t>
  </si>
  <si>
    <t>Bacopa monnieri virus 2</t>
  </si>
  <si>
    <t>BmV2</t>
  </si>
  <si>
    <t>BM</t>
  </si>
  <si>
    <t>BK014480</t>
  </si>
  <si>
    <t>cardamom vein clearing virus</t>
  </si>
  <si>
    <t>CdVCV</t>
  </si>
  <si>
    <t>ATH</t>
  </si>
  <si>
    <t>MN273311</t>
  </si>
  <si>
    <t>Cnidium virus 1</t>
  </si>
  <si>
    <t>CnV1</t>
  </si>
  <si>
    <t>MZ983390</t>
  </si>
  <si>
    <t>Datura yellow vein virus</t>
  </si>
  <si>
    <t>DYVV</t>
  </si>
  <si>
    <t>KM823531</t>
  </si>
  <si>
    <t>birds-foot trefoil-associated virus</t>
  </si>
  <si>
    <t>BFTV</t>
  </si>
  <si>
    <t>LC</t>
  </si>
  <si>
    <t>BK010826</t>
  </si>
  <si>
    <t>apple rootstock virus A</t>
  </si>
  <si>
    <t>ApRVA</t>
  </si>
  <si>
    <t>MH778545</t>
  </si>
  <si>
    <t>alfalfa-associated nucleorhabdovirus</t>
  </si>
  <si>
    <t>AaNV</t>
  </si>
  <si>
    <t>Stadl-Paura HZ10-01</t>
  </si>
  <si>
    <t>MG948563</t>
  </si>
  <si>
    <t>Plectranthus aromaticus virus 1</t>
  </si>
  <si>
    <t>PleArV1</t>
  </si>
  <si>
    <t>PBN</t>
  </si>
  <si>
    <t>BK014300</t>
  </si>
  <si>
    <t>Sonchus yellow net virus</t>
  </si>
  <si>
    <t>SYNV</t>
  </si>
  <si>
    <t>L32603</t>
  </si>
  <si>
    <t>Rhododendon delavayi virus 1</t>
  </si>
  <si>
    <t>RhoDeV1</t>
  </si>
  <si>
    <t>RBN</t>
  </si>
  <si>
    <t>BK014301</t>
  </si>
  <si>
    <t>blackcurrant-associated rhabdovirus</t>
  </si>
  <si>
    <t>BCaRV</t>
  </si>
  <si>
    <t>Veloy</t>
  </si>
  <si>
    <t>MF543022</t>
  </si>
  <si>
    <t>sowthistle yellow vein virus</t>
  </si>
  <si>
    <t>SYVV</t>
  </si>
  <si>
    <t>HWY65</t>
  </si>
  <si>
    <t>MT185675</t>
  </si>
  <si>
    <t>Zhuye pepper nucleorhabdovirus</t>
  </si>
  <si>
    <t>ZPNRV</t>
  </si>
  <si>
    <t>ZPNu1</t>
  </si>
  <si>
    <t>MH323437</t>
  </si>
  <si>
    <t>Cytorhabdovirus</t>
  </si>
  <si>
    <t>Actinidia virus D</t>
  </si>
  <si>
    <t>AcVD</t>
  </si>
  <si>
    <t>JS27</t>
  </si>
  <si>
    <t>MW550041</t>
  </si>
  <si>
    <t>Trifolium pratense virus A</t>
  </si>
  <si>
    <t>TpVA</t>
  </si>
  <si>
    <t>29/15/1</t>
  </si>
  <si>
    <t>MH982250</t>
  </si>
  <si>
    <t>Wuhan insect virus 4</t>
  </si>
  <si>
    <t>WuIV4</t>
  </si>
  <si>
    <t>YCYC03</t>
  </si>
  <si>
    <t>KM817650</t>
  </si>
  <si>
    <t>Anthurium amnicola virus 1</t>
  </si>
  <si>
    <t>AntAmV1</t>
  </si>
  <si>
    <t>ABC</t>
  </si>
  <si>
    <t>BK014302</t>
  </si>
  <si>
    <t>Asclepias syriaca virus 1</t>
  </si>
  <si>
    <t>AscSyV1</t>
  </si>
  <si>
    <t>AAC</t>
  </si>
  <si>
    <t>BK014298</t>
  </si>
  <si>
    <t>Bacopa monnieri virus 1</t>
  </si>
  <si>
    <t>BmV1</t>
  </si>
  <si>
    <t>BK014479</t>
  </si>
  <si>
    <t>Bemisia tabaci-associated virus 1</t>
  </si>
  <si>
    <t>BeTaV1</t>
  </si>
  <si>
    <t>BBC</t>
  </si>
  <si>
    <t>BK014303</t>
  </si>
  <si>
    <t>Trifolium pratense virus B</t>
  </si>
  <si>
    <t>TpVB</t>
  </si>
  <si>
    <t>MH982249</t>
  </si>
  <si>
    <t>Wuhan insect virus 5</t>
  </si>
  <si>
    <t>WuIV5</t>
  </si>
  <si>
    <t>YCYC02</t>
  </si>
  <si>
    <t>KM817651</t>
  </si>
  <si>
    <t>broccoli necrotic yellows virus</t>
  </si>
  <si>
    <t>BNYV</t>
  </si>
  <si>
    <t>cabbage cytorhabdovirus 1</t>
  </si>
  <si>
    <t>CCyV1</t>
  </si>
  <si>
    <t>FERA_050726</t>
  </si>
  <si>
    <t>KY810772</t>
  </si>
  <si>
    <t>paper mulberry mosaic associated virus</t>
  </si>
  <si>
    <t>PMuMaV</t>
  </si>
  <si>
    <t>MN872813</t>
  </si>
  <si>
    <t>papaya virus E</t>
  </si>
  <si>
    <t>PpVE</t>
  </si>
  <si>
    <t>Los Rios_Ec</t>
  </si>
  <si>
    <t>MH282832</t>
  </si>
  <si>
    <t>chrysanthemum yellow dwarf associated virus</t>
  </si>
  <si>
    <t>CYDaV</t>
  </si>
  <si>
    <t>cq</t>
  </si>
  <si>
    <t>MW039593</t>
  </si>
  <si>
    <t>Colocasia bobone disease-associated virus</t>
  </si>
  <si>
    <t>CBDaV</t>
  </si>
  <si>
    <t>SI</t>
  </si>
  <si>
    <t>KT381973</t>
  </si>
  <si>
    <t>cucurbit cytorhabdovirus 1</t>
  </si>
  <si>
    <t>CuCV1</t>
  </si>
  <si>
    <t>ND4</t>
  </si>
  <si>
    <t>MT381995</t>
  </si>
  <si>
    <t>Festuca leaf streak virus</t>
  </si>
  <si>
    <t>FLSV</t>
  </si>
  <si>
    <t>yerba mate chlorosis-associated virus</t>
  </si>
  <si>
    <t>YmCaV</t>
  </si>
  <si>
    <t>Montecarlo</t>
  </si>
  <si>
    <t>KY366322</t>
  </si>
  <si>
    <t>strawberry virus 1</t>
  </si>
  <si>
    <t>StrV1</t>
  </si>
  <si>
    <t>CRM1B</t>
  </si>
  <si>
    <t>MK211271</t>
  </si>
  <si>
    <t>strawberry crinkle virus</t>
  </si>
  <si>
    <t>SCV</t>
  </si>
  <si>
    <t>MH129615</t>
  </si>
  <si>
    <t>Wuhan insect virus 6</t>
  </si>
  <si>
    <t>WuIV6</t>
  </si>
  <si>
    <t>SXCC01-1</t>
  </si>
  <si>
    <t>KM817652</t>
  </si>
  <si>
    <t>Glehnia littoralis virus 1</t>
  </si>
  <si>
    <t>GlLV1</t>
  </si>
  <si>
    <t>GAC</t>
  </si>
  <si>
    <t>BK014304</t>
  </si>
  <si>
    <t>northern cereal mosaic virus</t>
  </si>
  <si>
    <t>NCMV</t>
  </si>
  <si>
    <t>Hebei</t>
  </si>
  <si>
    <t>AB030277</t>
  </si>
  <si>
    <t>barley yellow striate mosaic virus</t>
  </si>
  <si>
    <t>BYSMV</t>
  </si>
  <si>
    <t>KM213865</t>
  </si>
  <si>
    <t>Kenyan potato cytorhabdovirus</t>
  </si>
  <si>
    <t>KePCyV</t>
  </si>
  <si>
    <t>18-1062</t>
  </si>
  <si>
    <t>MN689395</t>
  </si>
  <si>
    <t>lettuce yellow mottle virus</t>
  </si>
  <si>
    <t>LYMoV</t>
  </si>
  <si>
    <t>EF687738</t>
  </si>
  <si>
    <t>lettuce necrotic yellows virus</t>
  </si>
  <si>
    <t>LNYV</t>
  </si>
  <si>
    <t>AJ867584</t>
  </si>
  <si>
    <t>tomato yellow mottle-associated virus</t>
  </si>
  <si>
    <t>TYMaV</t>
  </si>
  <si>
    <t>KY075646</t>
  </si>
  <si>
    <t>maize-associated cytorhabdovirus</t>
  </si>
  <si>
    <t>MaCV</t>
  </si>
  <si>
    <t>KY965147</t>
  </si>
  <si>
    <t>maize yellow striate virus</t>
  </si>
  <si>
    <t>MYSV</t>
  </si>
  <si>
    <t>KY884303</t>
  </si>
  <si>
    <t>alfalfa dwarf virus</t>
  </si>
  <si>
    <t>Manfredi</t>
  </si>
  <si>
    <t>KP205452</t>
  </si>
  <si>
    <t>Nymphaea alba virus 1</t>
  </si>
  <si>
    <t>NymAV1</t>
  </si>
  <si>
    <t>NAC</t>
  </si>
  <si>
    <t>BK014307</t>
  </si>
  <si>
    <t>Gymnadenia densiflora virus 1</t>
  </si>
  <si>
    <t>GymDenV1</t>
  </si>
  <si>
    <t>GGC</t>
  </si>
  <si>
    <t>BK014305</t>
  </si>
  <si>
    <t>rice stripe mosaic virus</t>
  </si>
  <si>
    <t>RSMV</t>
  </si>
  <si>
    <t>GD-LD</t>
  </si>
  <si>
    <t>KX525586</t>
  </si>
  <si>
    <t>persimmon virus A</t>
  </si>
  <si>
    <t>PeVA</t>
  </si>
  <si>
    <t>Kaki13-14</t>
  </si>
  <si>
    <t>AB735628</t>
  </si>
  <si>
    <t>rose virus R</t>
  </si>
  <si>
    <t>RVR</t>
  </si>
  <si>
    <t>MDR92016</t>
  </si>
  <si>
    <t>MT952336</t>
  </si>
  <si>
    <t>raspberry vein chlorosis virus</t>
  </si>
  <si>
    <t>RVCV</t>
  </si>
  <si>
    <t>Hutton_1</t>
  </si>
  <si>
    <t>MK240091</t>
  </si>
  <si>
    <t>Sonchus virus</t>
  </si>
  <si>
    <t>SonV</t>
  </si>
  <si>
    <t>Tagetes erecta virus 1</t>
  </si>
  <si>
    <t>TaEV1</t>
  </si>
  <si>
    <t>TBC</t>
  </si>
  <si>
    <t>BK014308</t>
  </si>
  <si>
    <t>Trachyspermum ammi virus 1</t>
  </si>
  <si>
    <t>TrAV1</t>
  </si>
  <si>
    <t>TGC</t>
  </si>
  <si>
    <t>BK014309</t>
  </si>
  <si>
    <t>Trichosanthes associated rhabdovirus 1</t>
  </si>
  <si>
    <t>TrARV1</t>
  </si>
  <si>
    <t>Shenzhen</t>
  </si>
  <si>
    <t>BK011194</t>
  </si>
  <si>
    <t>wheat American striate mosaic virus</t>
  </si>
  <si>
    <t>WASMV</t>
  </si>
  <si>
    <t>Yerba mate virus A</t>
  </si>
  <si>
    <t>YmVA</t>
  </si>
  <si>
    <t>Gob Virasoro</t>
  </si>
  <si>
    <t>MN781667</t>
  </si>
  <si>
    <t>strawberry-associated virus 1</t>
  </si>
  <si>
    <t>SaV1</t>
  </si>
  <si>
    <t>Dichorhavirus</t>
  </si>
  <si>
    <t>citrus chlorotic spot virus</t>
  </si>
  <si>
    <t>CiCSV</t>
  </si>
  <si>
    <t>Trs1</t>
  </si>
  <si>
    <t>Clerodendrum chlorotic spot virus</t>
  </si>
  <si>
    <t>ClCSV</t>
  </si>
  <si>
    <t>Pcb1</t>
  </si>
  <si>
    <t>L: MG938506; S: MG938507</t>
  </si>
  <si>
    <t>coffee ringspot virus</t>
  </si>
  <si>
    <t>CoRSV</t>
  </si>
  <si>
    <t>Lavras</t>
  </si>
  <si>
    <t>RNA1: KF812525; RNA2: KF812526</t>
  </si>
  <si>
    <t>citrus leprosis virus N</t>
  </si>
  <si>
    <t>CiLVN</t>
  </si>
  <si>
    <t>Ibi1</t>
  </si>
  <si>
    <t>RNA1: KX982176; RNA2: KX982179</t>
  </si>
  <si>
    <t>orchid fleck virus</t>
  </si>
  <si>
    <t>OFV</t>
  </si>
  <si>
    <t>So</t>
  </si>
  <si>
    <t>RNA1: AB244417; RNA2: AB244418</t>
  </si>
  <si>
    <t>Gammanucleorhabdovirus</t>
  </si>
  <si>
    <t>maize fine streak virus</t>
  </si>
  <si>
    <t>MFSV</t>
  </si>
  <si>
    <t>AY618417</t>
  </si>
  <si>
    <t>Varicosavirus</t>
  </si>
  <si>
    <t>Allium angulosum virus 1</t>
  </si>
  <si>
    <t>AAnV1</t>
  </si>
  <si>
    <t>AAV</t>
  </si>
  <si>
    <t>BK059208; BK059209</t>
  </si>
  <si>
    <t>Alopecurus myosuroides varicosavirus 1</t>
  </si>
  <si>
    <t>AMVV1</t>
  </si>
  <si>
    <t>LN713933; LN713934</t>
  </si>
  <si>
    <t>Brassica rapa virus 1</t>
  </si>
  <si>
    <t>BrRV1</t>
  </si>
  <si>
    <t>BK014310; BK014311</t>
  </si>
  <si>
    <t>morning glory varicosavirus</t>
  </si>
  <si>
    <t>MGVV</t>
  </si>
  <si>
    <t>IPV</t>
  </si>
  <si>
    <t>RNA1: MW922438; RNA2: MW922439</t>
  </si>
  <si>
    <t>lettuce big vein-associated virus</t>
  </si>
  <si>
    <t>LBVaV</t>
  </si>
  <si>
    <t>RNA1: AB075039; RNA2: AB114138</t>
  </si>
  <si>
    <t>Lolium perenne virus 1</t>
  </si>
  <si>
    <t>LoPV1</t>
  </si>
  <si>
    <t>LPV</t>
  </si>
  <si>
    <t>BK014312; BK014313</t>
  </si>
  <si>
    <t>Melampyrum roseum virus 1</t>
  </si>
  <si>
    <t>MelRoV1</t>
  </si>
  <si>
    <t>BK014314; BK014315</t>
  </si>
  <si>
    <t>Pinus flexilis virus 1</t>
  </si>
  <si>
    <t>PiFleV1</t>
  </si>
  <si>
    <t>PFV</t>
  </si>
  <si>
    <t>BK014316</t>
  </si>
  <si>
    <t>red clover associated varicosavirus</t>
  </si>
  <si>
    <t>RCaVV</t>
  </si>
  <si>
    <t>HZ2</t>
  </si>
  <si>
    <t>MF918568; MF918569</t>
  </si>
  <si>
    <t>Vitis varicosavirus</t>
  </si>
  <si>
    <t>VVV</t>
  </si>
  <si>
    <t>H1</t>
  </si>
  <si>
    <t>LC604719; LC604720</t>
  </si>
  <si>
    <t>Xinjiang varicosavirus</t>
  </si>
  <si>
    <t>XVV</t>
  </si>
  <si>
    <t>237-k141_63393</t>
  </si>
  <si>
    <t>MW897032; MW897033</t>
  </si>
  <si>
    <t>Zostera-associated varicosavirus 1</t>
  </si>
  <si>
    <t>ZaVV1</t>
  </si>
  <si>
    <t>Zoma</t>
  </si>
  <si>
    <t>BK014484; BK014485</t>
  </si>
  <si>
    <t>Gammarhabdovirinae</t>
  </si>
  <si>
    <t>Novirhabdovirus</t>
  </si>
  <si>
    <t>hirame rhabdovirus</t>
  </si>
  <si>
    <t>CA 9703</t>
  </si>
  <si>
    <t>AF104985</t>
  </si>
  <si>
    <t>viral hemorrhagic septicemia virus</t>
  </si>
  <si>
    <t>VHSV</t>
  </si>
  <si>
    <t>Fil3</t>
  </si>
  <si>
    <t>Y18263</t>
  </si>
  <si>
    <t>infectious hematopoietic necrosis virus</t>
  </si>
  <si>
    <t>IHNV</t>
  </si>
  <si>
    <t>WRAC</t>
  </si>
  <si>
    <t>L40883</t>
  </si>
  <si>
    <t>snakehead rhabdovirus</t>
  </si>
  <si>
    <t>SHRV</t>
  </si>
  <si>
    <t>AF147498</t>
  </si>
  <si>
    <t>Sunviridae</t>
  </si>
  <si>
    <t>Sunshinevirus</t>
  </si>
  <si>
    <t>Sunshine Coast virus</t>
  </si>
  <si>
    <t>SunCV</t>
  </si>
  <si>
    <t>JN192445</t>
  </si>
  <si>
    <t>Xinmoviridae</t>
  </si>
  <si>
    <t>Alasvirus</t>
  </si>
  <si>
    <t>Húběi diptera virus 11</t>
  </si>
  <si>
    <t>HbDV11</t>
  </si>
  <si>
    <t>SCM51501 </t>
  </si>
  <si>
    <t>KX884430</t>
  </si>
  <si>
    <t>Anphevirus</t>
  </si>
  <si>
    <t>Xīnchéng mosquito virus</t>
  </si>
  <si>
    <t>XcMV</t>
  </si>
  <si>
    <t>XC1-6</t>
  </si>
  <si>
    <t>KM817661</t>
  </si>
  <si>
    <t>Doupovirus</t>
  </si>
  <si>
    <t>Culex mononega-like virus 2</t>
  </si>
  <si>
    <t>CMLV2</t>
  </si>
  <si>
    <t>mos172X59831</t>
  </si>
  <si>
    <t>MF176268</t>
  </si>
  <si>
    <t>Draselvirus</t>
  </si>
  <si>
    <t>Húběi rhabdo-like virus 7</t>
  </si>
  <si>
    <t>HbRLV7</t>
  </si>
  <si>
    <t>QTM26925</t>
  </si>
  <si>
    <t>KX884428</t>
  </si>
  <si>
    <t>Drunivirus</t>
  </si>
  <si>
    <t>Drosophila unispina virus 1</t>
  </si>
  <si>
    <t>DuniV1</t>
  </si>
  <si>
    <t>KR822819</t>
  </si>
  <si>
    <t>Gambievirus</t>
  </si>
  <si>
    <t>Bolahun virus</t>
  </si>
  <si>
    <t>BLHV</t>
  </si>
  <si>
    <t>KX148552</t>
  </si>
  <si>
    <t>Gambie virus</t>
  </si>
  <si>
    <t>GAMV</t>
  </si>
  <si>
    <t>KX148553</t>
  </si>
  <si>
    <t>Gylbovirus</t>
  </si>
  <si>
    <t>Aedes anphevirus</t>
  </si>
  <si>
    <t>AeAV</t>
  </si>
  <si>
    <t>RML-12</t>
  </si>
  <si>
    <t>MH037149</t>
  </si>
  <si>
    <t>Hoptevirus</t>
  </si>
  <si>
    <t>Húběi orthoptera virus 5</t>
  </si>
  <si>
    <t>HbOV5</t>
  </si>
  <si>
    <t>ZCM94262</t>
  </si>
  <si>
    <t>KX884463</t>
  </si>
  <si>
    <t>Madalivirus</t>
  </si>
  <si>
    <t>Anopheles marajoara virus</t>
  </si>
  <si>
    <t>AnMV</t>
  </si>
  <si>
    <t>AMA</t>
  </si>
  <si>
    <t>MH822965</t>
  </si>
  <si>
    <t>Anopheles darlingi virus</t>
  </si>
  <si>
    <t>AnDV</t>
  </si>
  <si>
    <t>MH822964</t>
  </si>
  <si>
    <t>Pelmivirus</t>
  </si>
  <si>
    <t>hymenopteran anphe-related virus OKIAV71</t>
  </si>
  <si>
    <t>HARV71</t>
  </si>
  <si>
    <t>MAN</t>
  </si>
  <si>
    <t>MW288226</t>
  </si>
  <si>
    <t>Triniovirus</t>
  </si>
  <si>
    <t>Culex tritaeniorhynchus anphevirus</t>
  </si>
  <si>
    <t>CtAV</t>
  </si>
  <si>
    <t>17CxIT-T4-F29</t>
  </si>
  <si>
    <t>LC514055</t>
  </si>
  <si>
    <t>Ulegvirus</t>
  </si>
  <si>
    <t>odonatan anphe-related virus OKIAV59</t>
  </si>
  <si>
    <t>OARV59</t>
  </si>
  <si>
    <t>OKIAV59</t>
  </si>
  <si>
    <t>MT153376</t>
  </si>
  <si>
    <t>Yunchangviricetes</t>
  </si>
  <si>
    <t>Goujianvirales</t>
  </si>
  <si>
    <t>Yueviridae</t>
  </si>
  <si>
    <t>Yuyuevirus</t>
  </si>
  <si>
    <t>Běihǎi sesarmid crab virus 3</t>
  </si>
  <si>
    <t>BhSCV3</t>
  </si>
  <si>
    <t>SCJXSX39048</t>
  </si>
  <si>
    <t>S1: KX884032; S2: KX884033</t>
  </si>
  <si>
    <t>ShYLV1</t>
  </si>
  <si>
    <t>SHWC0209c11789</t>
  </si>
  <si>
    <t>S1: KX884034; S2: KX884035</t>
  </si>
  <si>
    <t>Polyploviricotina</t>
  </si>
  <si>
    <t>Arenaviridae</t>
  </si>
  <si>
    <t>Antennavirus</t>
  </si>
  <si>
    <t>Wēnlǐng frogfish arenavirus 2</t>
  </si>
  <si>
    <t>WlFAV2</t>
  </si>
  <si>
    <t>XYHYG24857</t>
  </si>
  <si>
    <t>salmon pescarenavirus 1</t>
  </si>
  <si>
    <t>SPAV1</t>
  </si>
  <si>
    <t>G518</t>
  </si>
  <si>
    <t>L: MK611982; M: MK611983; S: MK611984</t>
  </si>
  <si>
    <t>Wēnlǐng frogfish arenavirus 1</t>
  </si>
  <si>
    <t>WlFAV1</t>
  </si>
  <si>
    <t>XYHYG11303</t>
  </si>
  <si>
    <t>salmon pescarenavirus 2</t>
  </si>
  <si>
    <t>SPAV2</t>
  </si>
  <si>
    <t>B1228</t>
  </si>
  <si>
    <t>Hartmanivirus</t>
  </si>
  <si>
    <t>SetPatVet virus 1</t>
  </si>
  <si>
    <t>SPVV1</t>
  </si>
  <si>
    <t>Haartman Institute snake virus 1</t>
  </si>
  <si>
    <t>HISV1</t>
  </si>
  <si>
    <t>Dante Muikkunen virus 1</t>
  </si>
  <si>
    <t>DaMV1</t>
  </si>
  <si>
    <t>F18-5</t>
  </si>
  <si>
    <t>andere Heimat virus 1</t>
  </si>
  <si>
    <t>aHeV1</t>
  </si>
  <si>
    <t>big electron-dense squares virus 1</t>
  </si>
  <si>
    <t>BESV1</t>
  </si>
  <si>
    <t>cell culture</t>
  </si>
  <si>
    <t>old schoolhouse virus 1</t>
  </si>
  <si>
    <t>OScV1</t>
  </si>
  <si>
    <t>F17-0012-1 and -3</t>
  </si>
  <si>
    <t>old schoolhouse virus 2</t>
  </si>
  <si>
    <t>OScV2</t>
  </si>
  <si>
    <t>Ger-pool_4</t>
  </si>
  <si>
    <t>veterinary pathology Zurich virus 1</t>
  </si>
  <si>
    <t>VPZV1</t>
  </si>
  <si>
    <t>S14-369 to -79 pool</t>
  </si>
  <si>
    <t>veterinary pathology Zurich virus 2</t>
  </si>
  <si>
    <t>VPZV2</t>
  </si>
  <si>
    <t>Sn36_2</t>
  </si>
  <si>
    <t>Universidad Nacional virus 1</t>
  </si>
  <si>
    <t>UnNV1</t>
  </si>
  <si>
    <t>Haartman Institute snake virus 2</t>
  </si>
  <si>
    <t>HISV2</t>
  </si>
  <si>
    <t>S17-258</t>
  </si>
  <si>
    <t>Innmovirus</t>
  </si>
  <si>
    <t>Hailar virus</t>
  </si>
  <si>
    <t>HLRV</t>
  </si>
  <si>
    <t>346R-750661</t>
  </si>
  <si>
    <t>L: MW896845; M: MW896846; S: MW896847</t>
  </si>
  <si>
    <t>freshwater (S)</t>
  </si>
  <si>
    <t>Mammarenavirus</t>
  </si>
  <si>
    <t>Alxa virus</t>
  </si>
  <si>
    <t>ALXV</t>
  </si>
  <si>
    <t>RtDs-AreV-IM2014</t>
  </si>
  <si>
    <t>L: KY432892; S: KY432893</t>
  </si>
  <si>
    <t>Allpahuayo virus</t>
  </si>
  <si>
    <t>ALLV</t>
  </si>
  <si>
    <t>CHLP-2472</t>
  </si>
  <si>
    <t>Amaparí virus</t>
  </si>
  <si>
    <t>BeAn 70563</t>
  </si>
  <si>
    <t>Aporé virus</t>
  </si>
  <si>
    <t>APOV</t>
  </si>
  <si>
    <t>LBCE 12071</t>
  </si>
  <si>
    <t>Bear Canyon virus</t>
  </si>
  <si>
    <t>BCNV</t>
  </si>
  <si>
    <t>AV A0070039</t>
  </si>
  <si>
    <t>L: AY924390; S: AY924391</t>
  </si>
  <si>
    <t>Bitu virus</t>
  </si>
  <si>
    <t>BITV</t>
  </si>
  <si>
    <t>ANG0052</t>
  </si>
  <si>
    <t>Sabiá virus</t>
  </si>
  <si>
    <t>SPH114202</t>
  </si>
  <si>
    <t>L: AY358026; S: U41071</t>
  </si>
  <si>
    <t>Pichindé virus</t>
  </si>
  <si>
    <t>PICHV</t>
  </si>
  <si>
    <t>AN3739</t>
  </si>
  <si>
    <t>L: AF427517; S: K02734</t>
  </si>
  <si>
    <t>souris virus</t>
  </si>
  <si>
    <t>SOUV</t>
  </si>
  <si>
    <t>PREDICT-05775-5302-5304</t>
  </si>
  <si>
    <t>L: KP050226; S: KP050227</t>
  </si>
  <si>
    <t>Chapare virus</t>
  </si>
  <si>
    <t>CHAPV</t>
  </si>
  <si>
    <t>lymphocytic choriomeningitis virus</t>
  </si>
  <si>
    <t>LCMV</t>
  </si>
  <si>
    <t>Armstrong 53b</t>
  </si>
  <si>
    <t>Cupixi virus</t>
  </si>
  <si>
    <t>CUPXV</t>
  </si>
  <si>
    <t>BeAn 119303</t>
  </si>
  <si>
    <t>Dhati Welel virus</t>
  </si>
  <si>
    <t>DHWV</t>
  </si>
  <si>
    <t>LAV2586</t>
  </si>
  <si>
    <t>Flexal virus</t>
  </si>
  <si>
    <t>FLEV</t>
  </si>
  <si>
    <t>BeAn 293022</t>
  </si>
  <si>
    <t>Gairo virus</t>
  </si>
  <si>
    <t>GAIV</t>
  </si>
  <si>
    <t>TZ-27421</t>
  </si>
  <si>
    <t>L: KJ855307; S: KJ855308</t>
  </si>
  <si>
    <t>Guanarito virus</t>
  </si>
  <si>
    <t>GTOV</t>
  </si>
  <si>
    <t>INH-95551</t>
  </si>
  <si>
    <t>Ippy virus</t>
  </si>
  <si>
    <t>IPPYV</t>
  </si>
  <si>
    <t>Dak An B 188d</t>
  </si>
  <si>
    <t>Junín virus</t>
  </si>
  <si>
    <t>JUNV</t>
  </si>
  <si>
    <t>XJ13</t>
  </si>
  <si>
    <t>L: AY358022; S: AY358023</t>
  </si>
  <si>
    <t>Kitale virus</t>
  </si>
  <si>
    <t>KTLV</t>
  </si>
  <si>
    <t>AreV2170KEN</t>
  </si>
  <si>
    <t>L: MK935152; S: MK935153</t>
  </si>
  <si>
    <t>Kwanza virus</t>
  </si>
  <si>
    <t>ANG0206</t>
  </si>
  <si>
    <t>Lassa virus</t>
  </si>
  <si>
    <t>LASV</t>
  </si>
  <si>
    <t>Josiah</t>
  </si>
  <si>
    <t>Latino virus</t>
  </si>
  <si>
    <t>LATV</t>
  </si>
  <si>
    <t>MARU 10924</t>
  </si>
  <si>
    <t>Lìjiāng virus</t>
  </si>
  <si>
    <t>LIJV</t>
  </si>
  <si>
    <t>KS4</t>
  </si>
  <si>
    <t>L: MF414201; S: MF414202</t>
  </si>
  <si>
    <t>Loei River virus</t>
  </si>
  <si>
    <t>LORV</t>
  </si>
  <si>
    <t>R5074</t>
  </si>
  <si>
    <t>L: KC669693; S: KC669698</t>
  </si>
  <si>
    <t>Lujo virus</t>
  </si>
  <si>
    <t>LUJV</t>
  </si>
  <si>
    <t>R4356</t>
  </si>
  <si>
    <t>Luna virus</t>
  </si>
  <si>
    <t>LUAV</t>
  </si>
  <si>
    <t>LSK-1</t>
  </si>
  <si>
    <t>Luli virus</t>
  </si>
  <si>
    <t>LULV</t>
  </si>
  <si>
    <t>SLW-1</t>
  </si>
  <si>
    <t>Lunk virus</t>
  </si>
  <si>
    <t>LNKV</t>
  </si>
  <si>
    <t>NKS-1</t>
  </si>
  <si>
    <t>Machupo virus</t>
  </si>
  <si>
    <t>MACV</t>
  </si>
  <si>
    <t>Carvallo</t>
  </si>
  <si>
    <t>Mariental virus</t>
  </si>
  <si>
    <t>MRLV</t>
  </si>
  <si>
    <t>N27 MrMi.n9</t>
  </si>
  <si>
    <t>Merino Walk virus</t>
  </si>
  <si>
    <t>MRWV</t>
  </si>
  <si>
    <t>Merino Walk</t>
  </si>
  <si>
    <t>Mopeia virus</t>
  </si>
  <si>
    <t>MOPV</t>
  </si>
  <si>
    <t>AN20410</t>
  </si>
  <si>
    <t>L: AY772169; S: AY772170</t>
  </si>
  <si>
    <t>Morogoro virus</t>
  </si>
  <si>
    <t>3017/2004</t>
  </si>
  <si>
    <t>Okahandja virus</t>
  </si>
  <si>
    <t>OKAV</t>
  </si>
  <si>
    <t>N73 OkhMi.n4</t>
  </si>
  <si>
    <t>Oliveros virus</t>
  </si>
  <si>
    <t>OLVV</t>
  </si>
  <si>
    <t>L: AY216514; S: U34248</t>
  </si>
  <si>
    <t>Paraná virus</t>
  </si>
  <si>
    <t>PRAV</t>
  </si>
  <si>
    <t>Pirital virus</t>
  </si>
  <si>
    <t>PIRV</t>
  </si>
  <si>
    <t>VAV-488</t>
  </si>
  <si>
    <t>mobala virus</t>
  </si>
  <si>
    <t>MOBV</t>
  </si>
  <si>
    <t>Acar 3080</t>
  </si>
  <si>
    <t>Ryukyu virus</t>
  </si>
  <si>
    <t>RYKV</t>
  </si>
  <si>
    <t>YN2013</t>
  </si>
  <si>
    <t>L: KM020190; S: KM020191</t>
  </si>
  <si>
    <t>Solwezi virus</t>
  </si>
  <si>
    <t>SOLV</t>
  </si>
  <si>
    <t>13ZR68</t>
  </si>
  <si>
    <t>Tacaribe virus</t>
  </si>
  <si>
    <t>TCRV</t>
  </si>
  <si>
    <t>T.RVL.II 573</t>
  </si>
  <si>
    <t>L: J04340; S: M20304</t>
  </si>
  <si>
    <t>Tamiami virus</t>
  </si>
  <si>
    <t>TMMV</t>
  </si>
  <si>
    <t>W10777</t>
  </si>
  <si>
    <t>Wēnzhōu virus</t>
  </si>
  <si>
    <t>WENV</t>
  </si>
  <si>
    <t>Rn-242</t>
  </si>
  <si>
    <t>Whitewater Arroyo virus</t>
  </si>
  <si>
    <t>WWAV</t>
  </si>
  <si>
    <t>AV 9310135</t>
  </si>
  <si>
    <t>Big Brushy Tank virus</t>
  </si>
  <si>
    <t>BBRTV</t>
  </si>
  <si>
    <t>AV D0390174</t>
  </si>
  <si>
    <t>Catarina virus</t>
  </si>
  <si>
    <t>CTNV</t>
  </si>
  <si>
    <t>AV N0010001</t>
  </si>
  <si>
    <t>Skinner Tank virus</t>
  </si>
  <si>
    <t>SKTV</t>
  </si>
  <si>
    <t>AV D1000090</t>
  </si>
  <si>
    <t>Tonto Creek virus</t>
  </si>
  <si>
    <t>TTCV</t>
  </si>
  <si>
    <t>AV D0390060</t>
  </si>
  <si>
    <t>Xapuri virus</t>
  </si>
  <si>
    <t>XAPV</t>
  </si>
  <si>
    <t>LBCE 19881</t>
  </si>
  <si>
    <t>L: MG976577; S: MG976578</t>
  </si>
  <si>
    <t>Dandenong virus</t>
  </si>
  <si>
    <t>DANV</t>
  </si>
  <si>
    <t>0710-2678</t>
  </si>
  <si>
    <t>Reptarenavirus</t>
  </si>
  <si>
    <t>Golden Gate virus</t>
  </si>
  <si>
    <t>GOGV</t>
  </si>
  <si>
    <t>L: JQ717263; S: JQ717264</t>
  </si>
  <si>
    <t>CAS virus</t>
  </si>
  <si>
    <t>CASV</t>
  </si>
  <si>
    <t>ATB</t>
  </si>
  <si>
    <t>L: JQ717261; S: JQ717262</t>
  </si>
  <si>
    <t>tavallinen suomalainen mies virus 2</t>
  </si>
  <si>
    <t>TSMV2</t>
  </si>
  <si>
    <t>University of Giessen virus 1</t>
  </si>
  <si>
    <t>UGV1</t>
  </si>
  <si>
    <t>University of Giessen virus 2</t>
  </si>
  <si>
    <t>UGV2</t>
  </si>
  <si>
    <t>University of Giessen virus 3</t>
  </si>
  <si>
    <t>UGV3</t>
  </si>
  <si>
    <t>ROUT virus</t>
  </si>
  <si>
    <t>ROUTV</t>
  </si>
  <si>
    <t>University of Helsinki virus 1</t>
  </si>
  <si>
    <t>UHV1</t>
  </si>
  <si>
    <t>Cruliviridae</t>
  </si>
  <si>
    <t>Lincruvirus</t>
  </si>
  <si>
    <t>European shore crab virus 1</t>
  </si>
  <si>
    <t>EscV1</t>
  </si>
  <si>
    <t>RA140848</t>
  </si>
  <si>
    <t>L: MK861116; M: MK861117; S: MK861118</t>
  </si>
  <si>
    <t>Chinese mitten crab virus 1</t>
  </si>
  <si>
    <t>CmcV1</t>
  </si>
  <si>
    <t>L: MH717874; M: MH717875; S: MH717876</t>
  </si>
  <si>
    <t>Wēnlǐng crustacean virus 9</t>
  </si>
  <si>
    <t>WlCV9</t>
  </si>
  <si>
    <t>WLJQ100911</t>
  </si>
  <si>
    <t>L: KX884856; M: KX884857; S: KX884858</t>
  </si>
  <si>
    <t>Discoviridae</t>
  </si>
  <si>
    <t>Orthodiscovirus</t>
  </si>
  <si>
    <t>Coniothyrium diplodiella negative-stranded RNA virus 1</t>
  </si>
  <si>
    <t>CdNSRV1</t>
  </si>
  <si>
    <t>Plasmopara viticola lesion associated mycobunyavirales-like virus 8</t>
  </si>
  <si>
    <t>PvLAMLV8</t>
  </si>
  <si>
    <t>DN24635_c0_g1_i1</t>
  </si>
  <si>
    <t>Plasmopara viticola lesion associated mycobunyavirales-like virus 4</t>
  </si>
  <si>
    <t>PvLAMLV4</t>
  </si>
  <si>
    <t>Penicillium discovirus</t>
  </si>
  <si>
    <t>St. Louise Primary Isolate</t>
  </si>
  <si>
    <t>Penicillium roseopurpureum negative ssRNA virus 1</t>
  </si>
  <si>
    <t>PrNssV1</t>
  </si>
  <si>
    <t>Plasmopara viticola lesion associated mycobunyavirales-like virus 9</t>
  </si>
  <si>
    <t>PvLAMLV9</t>
  </si>
  <si>
    <t>DN2518_c0_g1_i1</t>
  </si>
  <si>
    <t>Fimoviridae</t>
  </si>
  <si>
    <t>Emaravirus</t>
  </si>
  <si>
    <t>maple mottle-associated virus</t>
  </si>
  <si>
    <t>MaMaV</t>
  </si>
  <si>
    <t>MaMaV/Acer</t>
  </si>
  <si>
    <t>RNA1: MT879190; RNA2: MT879191; RNA3: MT879192; RNA4: MT879193; RNA5: MT879194; RNA6: MT879195</t>
  </si>
  <si>
    <t>Actinidia chlorotic ringspot-associated virus</t>
  </si>
  <si>
    <t>AcCRaV</t>
  </si>
  <si>
    <t>HN-6</t>
  </si>
  <si>
    <t>RNA1: KT861481; RNA2: KT861482; RNA3: KT861483; RNA4: KT861484; RNA5: KT861485</t>
  </si>
  <si>
    <t>pigeonpea sterility mosaic virus 1</t>
  </si>
  <si>
    <t>PPSMV1</t>
  </si>
  <si>
    <t>Camellia japonica-associated virus 1</t>
  </si>
  <si>
    <t>CjaV1</t>
  </si>
  <si>
    <t>CAMNGS2018</t>
  </si>
  <si>
    <t>RNA1: MN385573; RNA2: MN385574; RNA3: MN385575; RNA4: MN385576; RNA5: MN557024; RNA6: MN557025; RNA7: MN557026; RNA8: MN557027; RNA9: MN557028</t>
  </si>
  <si>
    <t>redbud yellow ringspot-associated virus</t>
  </si>
  <si>
    <t>RYRaV</t>
  </si>
  <si>
    <t>RNA1: JF795479; RNA2: JF795480; RNA3: JF795481; RNA4: JF795482; RNA5: KU904300</t>
  </si>
  <si>
    <t>chrysanthemum mosaic-associated virus</t>
  </si>
  <si>
    <t>ChMaV</t>
  </si>
  <si>
    <t>Aichi_Toyohashi_2018</t>
  </si>
  <si>
    <t>RNA1: LC576445; RNA2: LC576446; RNA3a: LC576447; RNA3b: LC576448; RNA4: LC576449; RNA5: LC576450; RNA6: LC576451</t>
  </si>
  <si>
    <t>ti ringspot-associated virus</t>
  </si>
  <si>
    <t>TiRSaV</t>
  </si>
  <si>
    <t>UH-Manoa</t>
  </si>
  <si>
    <t>RNA1: MH223635; RNA2: MH223636; RNA3: MH223637; RNA4: MH223638; RNA5: MH223639</t>
  </si>
  <si>
    <t>karaka Ōkahu purepure emaravirus</t>
  </si>
  <si>
    <t>KOPV</t>
  </si>
  <si>
    <t>RNA1: MZ391827; RNA2: MZ391828; RNA3: MZ391829; RNA4: MZ391830; RNA5: MZ391831</t>
  </si>
  <si>
    <t>fig mosaic virus</t>
  </si>
  <si>
    <t>Gr10</t>
  </si>
  <si>
    <t>ash shoestring-associated virus</t>
  </si>
  <si>
    <t>ASaV</t>
  </si>
  <si>
    <t>raspberry leaf blotch virus</t>
  </si>
  <si>
    <t>RLBV</t>
  </si>
  <si>
    <t>Tayside</t>
  </si>
  <si>
    <t>Japanese star anise ringspot-associated virus</t>
  </si>
  <si>
    <t>JSARaV</t>
  </si>
  <si>
    <t>RNA1: LC597437; RNA2: LC597438; RNA3: LC597439; RNA4: LC597440; RNA5: LC597441</t>
  </si>
  <si>
    <t>Actinidia virus 2</t>
  </si>
  <si>
    <t>AcV2</t>
  </si>
  <si>
    <t>YD</t>
  </si>
  <si>
    <t>RNA1: MK602171; RNA2: MK602172; RNA3: MK602173; RNA4: MK602174; RNA5: MK602175; RNA6: MK602176</t>
  </si>
  <si>
    <t>palo verde broom virus </t>
  </si>
  <si>
    <t>PVBV</t>
  </si>
  <si>
    <t>P4</t>
  </si>
  <si>
    <t>RNA1: MF766025; RNA2: MF766030; RNA3: MF766035; RNA4: MF766040</t>
  </si>
  <si>
    <t>Perilla mosaic virus</t>
  </si>
  <si>
    <t>PerMV</t>
  </si>
  <si>
    <t>Kochi_Nankoku_2011</t>
  </si>
  <si>
    <t>RNA1: LC496090; RNA2: LC496091; RNA3a: LC496092; RNA3b: LC496093; RNA4: LC496094; RNA5: LC496095; RNA6a: LC496096; RNA6b: LC496097; RNA6c: LC496098; RNA7: LC496099</t>
  </si>
  <si>
    <t>Pistacia virus B</t>
  </si>
  <si>
    <t>PiVB</t>
  </si>
  <si>
    <t>RNA1: MH727572; RNA2: MH727573; RNA3: MH727574; RNA4: MH727575; RNA5a: MH727576; RNA5b: MH727577; RNA6: MH727578; RNA7: MH727579</t>
  </si>
  <si>
    <t>aspen mosaic-associated virus</t>
  </si>
  <si>
    <t>AsMaV</t>
  </si>
  <si>
    <t>E55089</t>
  </si>
  <si>
    <t>RNA1: LR742461; RNA2: LR742462; RNA3: LR742463; RNA4: LR742464; RNA5: LR742465</t>
  </si>
  <si>
    <t>pear chlorotic leaf spot-associated virus</t>
  </si>
  <si>
    <t>PCLSaV</t>
  </si>
  <si>
    <t>CG1</t>
  </si>
  <si>
    <t>RNA1: MK602177; RNA2: MK602178; RNA3: MK602179; RNA4: MK602180; RNA5: MK602181</t>
  </si>
  <si>
    <t>common oak ringspot-associated virus</t>
  </si>
  <si>
    <t>CORaV</t>
  </si>
  <si>
    <t>Strain A72; isolate E54899</t>
  </si>
  <si>
    <t>RNA1: LR828198; RNA2: LR828199; RNA3: LR828200; RNA4: LR828201; RNA5: LR828202</t>
  </si>
  <si>
    <t>rose rosette virus</t>
  </si>
  <si>
    <t>Arkansas+SEQISO</t>
  </si>
  <si>
    <t>RNA1: HQ871942; RNA2: HQ871943; RNA3: HQ871944; RNA4: HQ871945; RNA5: KM007081; RNA6: KM007082; RNA7: KM007083</t>
  </si>
  <si>
    <t>blackberry leaf mottle-associated virus</t>
  </si>
  <si>
    <t>BLMaV</t>
  </si>
  <si>
    <t>RNA1: KY056657; RNA2: KY056658; RNA3: KY056659; RNA4: KY056660; RNA5: KY056661</t>
  </si>
  <si>
    <t>European mountain ash ringspot-associated virus</t>
  </si>
  <si>
    <t>EMARaV</t>
  </si>
  <si>
    <t>Hamburg</t>
  </si>
  <si>
    <t>lilac chlorotic ringspot-associated virus</t>
  </si>
  <si>
    <t>LiCRaV</t>
  </si>
  <si>
    <t>SX-1</t>
  </si>
  <si>
    <t>RNA1: MT112174; RNA2: MT112175; RNA3: MT112176; RNA4: MT112177; RNA5: MT112178</t>
  </si>
  <si>
    <t>pigeonpea sterility mosaic virus 2</t>
  </si>
  <si>
    <t>PPSMV2</t>
  </si>
  <si>
    <t>ICP8863</t>
  </si>
  <si>
    <t>RNA1: HF912243; RNA2: HF912244; RNA3: HF912245; RNA4: HF912246; RNA5: HG939489; RNA6: HG939490</t>
  </si>
  <si>
    <t>High Plains wheat mosaic virus</t>
  </si>
  <si>
    <t>HPWMoV</t>
  </si>
  <si>
    <t>Nebraska</t>
  </si>
  <si>
    <t>RNA1: KJ939623; RNA2: KJ939624; RNA3: KJ939626; RNA4: KJ939627; RNA5: KJ939628; RNA6: KJ939629; RNA7: KJ939630; RNA8: KJ939631</t>
  </si>
  <si>
    <t>Camellia japonica-associated virus 2</t>
  </si>
  <si>
    <t>CjaV2</t>
  </si>
  <si>
    <t>RNA1: MN385577; RNA2: MN385578; RNA3: MN385579; RNA4: MN385580</t>
  </si>
  <si>
    <t>Arceuthobium sichuanense-associated virus 1</t>
  </si>
  <si>
    <t>ArSaV1</t>
  </si>
  <si>
    <t>RNA1: BK059263; RNA2: BK059264; RNA3: BK059265; RNA4: BK059266; RNA5: BK059267</t>
  </si>
  <si>
    <t>Vitis emaravirus</t>
  </si>
  <si>
    <t>VEV</t>
  </si>
  <si>
    <t>RNA1: LC604727; RNA2: LC604728; RNA3: LC604729; RNA4: LC604730; RNA5: LC604731</t>
  </si>
  <si>
    <t>jujube yellow mottle-associated virus</t>
  </si>
  <si>
    <t>JYMaV</t>
  </si>
  <si>
    <t>JYMaV1</t>
  </si>
  <si>
    <t>RNA1: MK305894; RNA2: MK305895; RNA3: MK305896; RNA4: MK305897; RNA5: MK305898; RNA6: MK305899</t>
  </si>
  <si>
    <t>Hantaviridae</t>
  </si>
  <si>
    <t>Actantavirinae</t>
  </si>
  <si>
    <t>Actinovirus</t>
  </si>
  <si>
    <t>Bern perch virus</t>
  </si>
  <si>
    <t>BRPV</t>
  </si>
  <si>
    <t>PAV/CH19</t>
  </si>
  <si>
    <t>L: MN510769; M: MN510770; S: MN510771</t>
  </si>
  <si>
    <t>Wēnlǐng minipizza batfish virus</t>
  </si>
  <si>
    <t>WEMBV</t>
  </si>
  <si>
    <t>XQTMS16810</t>
  </si>
  <si>
    <t>Wēnlǐng yellow goosefish virus</t>
  </si>
  <si>
    <t>WEYGV</t>
  </si>
  <si>
    <t>XQTMS34106</t>
  </si>
  <si>
    <t>Wēnlǐng red spikefish virus</t>
  </si>
  <si>
    <t>WERSV</t>
  </si>
  <si>
    <t>XTXMS70955</t>
  </si>
  <si>
    <t>Agantavirinae</t>
  </si>
  <si>
    <t>Agnathovirus</t>
  </si>
  <si>
    <t>Wēnlǐng hagfish virus</t>
  </si>
  <si>
    <t>WEHV</t>
  </si>
  <si>
    <t>DHMMS25300</t>
  </si>
  <si>
    <t>Mammantavirinae</t>
  </si>
  <si>
    <t>Loanvirus</t>
  </si>
  <si>
    <t>Brno virus</t>
  </si>
  <si>
    <t>BRNV</t>
  </si>
  <si>
    <t>7/2012/CZE</t>
  </si>
  <si>
    <t>Lóngquán virus</t>
  </si>
  <si>
    <t>LQUV</t>
  </si>
  <si>
    <t>Longquan- Rs-32</t>
  </si>
  <si>
    <t>L: JX465388; M: JX465402; S: JX465422</t>
  </si>
  <si>
    <t>Mobatvirus</t>
  </si>
  <si>
    <t>Láibīn virus</t>
  </si>
  <si>
    <t>LAIV</t>
  </si>
  <si>
    <t>BT20</t>
  </si>
  <si>
    <t>Lena virus</t>
  </si>
  <si>
    <t>LENV</t>
  </si>
  <si>
    <t>Khekhtsir-Sc67/Russia/2008</t>
  </si>
  <si>
    <t>Nova virus</t>
  </si>
  <si>
    <t>NVAV</t>
  </si>
  <si>
    <t>3483 (Te34)</t>
  </si>
  <si>
    <t>Quezon virus</t>
  </si>
  <si>
    <t>QZNV</t>
  </si>
  <si>
    <t>MT1720/1657</t>
  </si>
  <si>
    <t>Xuân Sơn virus</t>
  </si>
  <si>
    <t>PR15</t>
  </si>
  <si>
    <t>Orthohantavirus</t>
  </si>
  <si>
    <t>Andes virus</t>
  </si>
  <si>
    <t>ANDV</t>
  </si>
  <si>
    <t>Chile-9717869</t>
  </si>
  <si>
    <t>Asama virus</t>
  </si>
  <si>
    <t>ASAV</t>
  </si>
  <si>
    <t>N10</t>
  </si>
  <si>
    <t>Asikkala virus</t>
  </si>
  <si>
    <t>ASIV</t>
  </si>
  <si>
    <t>CZ/Beskydy/412/2010/Sm</t>
  </si>
  <si>
    <t>bayou virus</t>
  </si>
  <si>
    <t>BAYV</t>
  </si>
  <si>
    <t>HV F0260003</t>
  </si>
  <si>
    <t>Bowé virus</t>
  </si>
  <si>
    <t>BOWV</t>
  </si>
  <si>
    <t>VN1512</t>
  </si>
  <si>
    <t>Bruges virus</t>
  </si>
  <si>
    <t>BRGV</t>
  </si>
  <si>
    <t>BE/Vieux/Genappe/TE/2013/1</t>
  </si>
  <si>
    <t>Cao Bằng  virus</t>
  </si>
  <si>
    <t>CBNV</t>
  </si>
  <si>
    <t>Choclo virus</t>
  </si>
  <si>
    <t>MSB96073</t>
  </si>
  <si>
    <t>Dàbiéshān virus</t>
  </si>
  <si>
    <t>DBSV</t>
  </si>
  <si>
    <t>Yongjia-Nc-58</t>
  </si>
  <si>
    <t>Kurkino virus</t>
  </si>
  <si>
    <t>Caño Delgadito virus</t>
  </si>
  <si>
    <t>CADV</t>
  </si>
  <si>
    <t>VHV-574</t>
  </si>
  <si>
    <t>Dobrava virus</t>
  </si>
  <si>
    <t>DOBV</t>
  </si>
  <si>
    <t>Ano/Poroia/Afl9/1999</t>
  </si>
  <si>
    <t>Fúgòng virus</t>
  </si>
  <si>
    <t>FUGV</t>
  </si>
  <si>
    <t>FG10</t>
  </si>
  <si>
    <t>Hantaan virus</t>
  </si>
  <si>
    <t>HTNV</t>
  </si>
  <si>
    <t>76-118</t>
  </si>
  <si>
    <t>Jeju virus</t>
  </si>
  <si>
    <t>Kenkeme virus</t>
  </si>
  <si>
    <t>KKMV</t>
  </si>
  <si>
    <t>Fuyuan-Sr-326</t>
  </si>
  <si>
    <t>L: KJ857320; M: KJ857337; S: KJ857341</t>
  </si>
  <si>
    <t>Khabarovsk virus</t>
  </si>
  <si>
    <t>KHAV</t>
  </si>
  <si>
    <t>Fuyuan-Mm-217</t>
  </si>
  <si>
    <t>L: KJ857321; M: KJ857338; S: KJ857342</t>
  </si>
  <si>
    <t>Lúxī virus</t>
  </si>
  <si>
    <t>LUXV</t>
  </si>
  <si>
    <t>LX309</t>
  </si>
  <si>
    <t>Maporal virus</t>
  </si>
  <si>
    <t>MAPV</t>
  </si>
  <si>
    <t>HV 97021050</t>
  </si>
  <si>
    <t>Montaño virus</t>
  </si>
  <si>
    <t>104/2006</t>
  </si>
  <si>
    <t>Laguna Negra virus</t>
  </si>
  <si>
    <t>LANV</t>
  </si>
  <si>
    <t>510B</t>
  </si>
  <si>
    <t>Black Creek Canal virus</t>
  </si>
  <si>
    <t>BCCV</t>
  </si>
  <si>
    <t>Prospect Hill virus</t>
  </si>
  <si>
    <t>PHV</t>
  </si>
  <si>
    <t>PH-1</t>
  </si>
  <si>
    <t>L: EF646763; M: X55129; S: Z49098</t>
  </si>
  <si>
    <t>Puumala virus</t>
  </si>
  <si>
    <t>PUUV</t>
  </si>
  <si>
    <t>CG1820</t>
  </si>
  <si>
    <t>Robina virus</t>
  </si>
  <si>
    <t>ROBV</t>
  </si>
  <si>
    <t>P17-14855</t>
  </si>
  <si>
    <t>L: MK165653; M: MK165654; S: MK165655</t>
  </si>
  <si>
    <t>Rockport virus</t>
  </si>
  <si>
    <t>RKPV</t>
  </si>
  <si>
    <t>MSB57412</t>
  </si>
  <si>
    <t>Sangassou virus</t>
  </si>
  <si>
    <t>SANGV</t>
  </si>
  <si>
    <t>SA14</t>
  </si>
  <si>
    <t>Seoul virus</t>
  </si>
  <si>
    <t>SEOV</t>
  </si>
  <si>
    <t>80-39</t>
  </si>
  <si>
    <t>SNV</t>
  </si>
  <si>
    <t>NM R11</t>
  </si>
  <si>
    <t>Tatenale virus</t>
  </si>
  <si>
    <t>TATV</t>
  </si>
  <si>
    <t>Upton_Heath</t>
  </si>
  <si>
    <t>Anjozorobe virus</t>
  </si>
  <si>
    <t>ANJZV</t>
  </si>
  <si>
    <t>ATD49</t>
  </si>
  <si>
    <t>Tigray virus</t>
  </si>
  <si>
    <t>TIGV</t>
  </si>
  <si>
    <t>ET2121</t>
  </si>
  <si>
    <t>Tula virus</t>
  </si>
  <si>
    <t>TULV</t>
  </si>
  <si>
    <t>Moravia/5302v</t>
  </si>
  <si>
    <t>Castelo dos Sonhos virus</t>
  </si>
  <si>
    <t xml:space="preserve">Lechiguanas virus </t>
  </si>
  <si>
    <t>Of22819</t>
  </si>
  <si>
    <t xml:space="preserve">Orán virus </t>
  </si>
  <si>
    <t>ORNV</t>
  </si>
  <si>
    <t>OL22996</t>
  </si>
  <si>
    <t>Catacamus virus</t>
  </si>
  <si>
    <t>CATV</t>
  </si>
  <si>
    <t>HV C1280001</t>
  </si>
  <si>
    <t xml:space="preserve">Liánghé virus </t>
  </si>
  <si>
    <t>LHEV</t>
  </si>
  <si>
    <t>AS-255</t>
  </si>
  <si>
    <t>KURV</t>
  </si>
  <si>
    <t>Aa44/97</t>
  </si>
  <si>
    <t>Saaremaa virus</t>
  </si>
  <si>
    <t>160V</t>
  </si>
  <si>
    <t>Sochi virus</t>
  </si>
  <si>
    <t>SOCV</t>
  </si>
  <si>
    <t>Ap/Sochi/hu</t>
  </si>
  <si>
    <t>Amur virus</t>
  </si>
  <si>
    <t>AMRV</t>
  </si>
  <si>
    <t>H8205</t>
  </si>
  <si>
    <t>Soochong virus</t>
  </si>
  <si>
    <t>SOOV</t>
  </si>
  <si>
    <t>SC-1</t>
  </si>
  <si>
    <t>Topografov virus</t>
  </si>
  <si>
    <t>TOPV</t>
  </si>
  <si>
    <t>Ls136V</t>
  </si>
  <si>
    <t>Carrizal virus</t>
  </si>
  <si>
    <t>26/2006</t>
  </si>
  <si>
    <t>L: AB620105; M: AB620104; S: AB620103</t>
  </si>
  <si>
    <t>Huitzilac virus</t>
  </si>
  <si>
    <t>HUIV</t>
  </si>
  <si>
    <t>Maripa virus</t>
  </si>
  <si>
    <t>BOR</t>
  </si>
  <si>
    <t xml:space="preserve">Rio Mamoré virus </t>
  </si>
  <si>
    <t>RIOMV</t>
  </si>
  <si>
    <t>HTN 007</t>
  </si>
  <si>
    <t xml:space="preserve">L: FJ809772; M: FJ608550; S: FJ532244 </t>
  </si>
  <si>
    <t xml:space="preserve">Hokkaido virus </t>
  </si>
  <si>
    <t>HOKV</t>
  </si>
  <si>
    <t>Kitahiyama 128/2008</t>
  </si>
  <si>
    <t xml:space="preserve">Muju virus </t>
  </si>
  <si>
    <t>MUJV</t>
  </si>
  <si>
    <t xml:space="preserve">gōu virus </t>
  </si>
  <si>
    <t>GOUV</t>
  </si>
  <si>
    <t>Rf-11-372</t>
  </si>
  <si>
    <t>New York virus</t>
  </si>
  <si>
    <t>NYV</t>
  </si>
  <si>
    <t>RI-1</t>
  </si>
  <si>
    <t>Serang virus</t>
  </si>
  <si>
    <t>SERV</t>
  </si>
  <si>
    <t>Rt60/2000</t>
  </si>
  <si>
    <t>Thailand virus</t>
  </si>
  <si>
    <t>THAIV</t>
  </si>
  <si>
    <t>Thai749</t>
  </si>
  <si>
    <t>Adler virus</t>
  </si>
  <si>
    <t>ADLV</t>
  </si>
  <si>
    <t>Thottimvirus</t>
  </si>
  <si>
    <t>Imjin virus</t>
  </si>
  <si>
    <t>MJNV</t>
  </si>
  <si>
    <t>Cixi-Cl-23</t>
  </si>
  <si>
    <t>Thottapalayam virus</t>
  </si>
  <si>
    <t>TPMV</t>
  </si>
  <si>
    <t>VRC 66412</t>
  </si>
  <si>
    <t>Repantavirinae</t>
  </si>
  <si>
    <t>Reptillovirus</t>
  </si>
  <si>
    <t>Hǎinán oriental lead-toed gecko virus</t>
  </si>
  <si>
    <t>HOLGV</t>
  </si>
  <si>
    <t>LPXYF84819</t>
  </si>
  <si>
    <t>Leishbuviridae</t>
  </si>
  <si>
    <t>Shilevirus</t>
  </si>
  <si>
    <t>Leptomonas moramango virus</t>
  </si>
  <si>
    <t>LEPMV</t>
  </si>
  <si>
    <t>LepmorLBV1b</t>
  </si>
  <si>
    <t>L: KX280012; M: KX280013; S: KX280014</t>
  </si>
  <si>
    <t>Mypoviridae</t>
  </si>
  <si>
    <t>Hubavirus</t>
  </si>
  <si>
    <t>Húběi myriapoda virus 5</t>
  </si>
  <si>
    <t>HbMV5</t>
  </si>
  <si>
    <t>GCM10499</t>
  </si>
  <si>
    <t>L: KX884758; M: KX884759; S: KX884760</t>
  </si>
  <si>
    <t>Nairoviridae</t>
  </si>
  <si>
    <t>Norwavirus</t>
  </si>
  <si>
    <t>Běijí nairovirus</t>
  </si>
  <si>
    <t>BJNV</t>
  </si>
  <si>
    <t>H160</t>
  </si>
  <si>
    <t>L: MW315101; S: MW315107</t>
  </si>
  <si>
    <t>Grotenhout virus</t>
  </si>
  <si>
    <t>GRHV</t>
  </si>
  <si>
    <t>Gierle-1</t>
  </si>
  <si>
    <t>Ocetevirus</t>
  </si>
  <si>
    <t>red goblin roach virus 1</t>
  </si>
  <si>
    <t>RGRV1</t>
  </si>
  <si>
    <t>OKIAV321</t>
  </si>
  <si>
    <t>Orthonairovirus</t>
  </si>
  <si>
    <t>Abū Ḥammād  virus</t>
  </si>
  <si>
    <t>AHV</t>
  </si>
  <si>
    <t>Art 1194</t>
  </si>
  <si>
    <t>L: KU925434; M: KU925435; S: KU925436</t>
  </si>
  <si>
    <t>Abū Mīnā virus</t>
  </si>
  <si>
    <t>EG AN 4996</t>
  </si>
  <si>
    <t>L: KU925437; M: KU925438; S: KU925439</t>
  </si>
  <si>
    <t>kupe virus</t>
  </si>
  <si>
    <t>KUPEV</t>
  </si>
  <si>
    <t>K611</t>
  </si>
  <si>
    <t>Artashat virus</t>
  </si>
  <si>
    <t>ARTSV</t>
  </si>
  <si>
    <t>LEIV-10898Az</t>
  </si>
  <si>
    <t>L: KP792744; M: KP792745; S: KP792746</t>
  </si>
  <si>
    <t>Vinegar Hill virus</t>
  </si>
  <si>
    <t>VINHV</t>
  </si>
  <si>
    <t>CS1499</t>
  </si>
  <si>
    <t>L: MF176881; M: MF176882; S: MF176883</t>
  </si>
  <si>
    <t>Avalon virus</t>
  </si>
  <si>
    <t>AVAV</t>
  </si>
  <si>
    <t>CanAr173</t>
  </si>
  <si>
    <t>L: KU925440; M: KU925441; S: KU925442</t>
  </si>
  <si>
    <t>Bandia virus</t>
  </si>
  <si>
    <t>BDAV</t>
  </si>
  <si>
    <t>IPD/A611</t>
  </si>
  <si>
    <t>L: KU343148; M: KU343149; S: KU343150</t>
  </si>
  <si>
    <t>Burana virus</t>
  </si>
  <si>
    <t>BURV</t>
  </si>
  <si>
    <t>L: KP792705; M: KP792706; S: KP792707</t>
  </si>
  <si>
    <t>Farallon virus</t>
  </si>
  <si>
    <t>FARV</t>
  </si>
  <si>
    <t>CalAr846</t>
  </si>
  <si>
    <t>L: KU343154; M: KU343155; S: KU343156</t>
  </si>
  <si>
    <t>Caspiy virus</t>
  </si>
  <si>
    <t>LEIV-63Az</t>
  </si>
  <si>
    <t>Great Saltee virus</t>
  </si>
  <si>
    <t>GRSV</t>
  </si>
  <si>
    <t>RML 59972</t>
  </si>
  <si>
    <t>Hughes virus</t>
  </si>
  <si>
    <t>HUGV</t>
  </si>
  <si>
    <t>G2126</t>
  </si>
  <si>
    <t>Raza virus</t>
  </si>
  <si>
    <t>RAZAV</t>
  </si>
  <si>
    <t>Chim virus</t>
  </si>
  <si>
    <t>CHIMV</t>
  </si>
  <si>
    <t>LEIV-858Uz</t>
  </si>
  <si>
    <t>L: KP792711; M: KP792712; S: KP792713</t>
  </si>
  <si>
    <t>Clo Mor virus</t>
  </si>
  <si>
    <t>L: KU343163; M: KU343164; S: KU343165</t>
  </si>
  <si>
    <t>Pacific Coast tick nairovirus</t>
  </si>
  <si>
    <t>PCTNV</t>
  </si>
  <si>
    <t>Docc2011cons</t>
  </si>
  <si>
    <t>Dugbe virus</t>
  </si>
  <si>
    <t>DUGV</t>
  </si>
  <si>
    <t>ArD44313</t>
  </si>
  <si>
    <t>Erve virus</t>
  </si>
  <si>
    <t>ERVEV</t>
  </si>
  <si>
    <t>L: JF911697; M: JF911698; S: JF911699</t>
  </si>
  <si>
    <t>Estero Real virus</t>
  </si>
  <si>
    <t>ERV</t>
  </si>
  <si>
    <t>K329</t>
  </si>
  <si>
    <t>Gossas virus</t>
  </si>
  <si>
    <t>GOSV</t>
  </si>
  <si>
    <t>DakAnD 401</t>
  </si>
  <si>
    <t>Crimean-Congo hemorrhagic fever virus</t>
  </si>
  <si>
    <t>CCHFV</t>
  </si>
  <si>
    <t>IbAr10200</t>
  </si>
  <si>
    <t>Hazara virus</t>
  </si>
  <si>
    <t>HAZV</t>
  </si>
  <si>
    <t>JC280</t>
  </si>
  <si>
    <t>L: KP406723; M: KP406724; S: KP406725</t>
  </si>
  <si>
    <t>Huángpí tick virus 1</t>
  </si>
  <si>
    <t>HpTV1</t>
  </si>
  <si>
    <t>H124-1</t>
  </si>
  <si>
    <t>L: KM817667; M: KM817706; S: KM817734</t>
  </si>
  <si>
    <t>Issyk-kul virus</t>
  </si>
  <si>
    <t>ISKV</t>
  </si>
  <si>
    <t>LEIV-315K</t>
  </si>
  <si>
    <t>L: KF892055; M: KF892056; S: KF892057</t>
  </si>
  <si>
    <t>Tofla virus</t>
  </si>
  <si>
    <t>TFLV</t>
  </si>
  <si>
    <t>Toku_Hfla_2013</t>
  </si>
  <si>
    <t>Kasokero virus</t>
  </si>
  <si>
    <t>Z-52963</t>
  </si>
  <si>
    <t>L: KR537444; M: KR537445; S: KR537446</t>
  </si>
  <si>
    <t>Keterah virus</t>
  </si>
  <si>
    <t>KTRV</t>
  </si>
  <si>
    <t>P61361</t>
  </si>
  <si>
    <t>L: KR537447; M: KR537448; S: KR537449</t>
  </si>
  <si>
    <t>Uzun-Agach virus</t>
  </si>
  <si>
    <t>UZAV</t>
  </si>
  <si>
    <t>LEIV-Kaz155</t>
  </si>
  <si>
    <t>Dera Ghazi Khan virus</t>
  </si>
  <si>
    <t>DGKV</t>
  </si>
  <si>
    <t>JD254</t>
  </si>
  <si>
    <t>L: KU343151; M: KU343152; S: KU343153</t>
  </si>
  <si>
    <t>Leopards Hill virus</t>
  </si>
  <si>
    <t>LPHV</t>
  </si>
  <si>
    <t>11SB17</t>
  </si>
  <si>
    <t>L: AB842088; M: AB842089; S: AB842090</t>
  </si>
  <si>
    <t>Taggert virus</t>
  </si>
  <si>
    <t>TAGV</t>
  </si>
  <si>
    <t>MI14850</t>
  </si>
  <si>
    <t>L: KT820205; M: KT820206; S: KT820207</t>
  </si>
  <si>
    <t>Meram virus</t>
  </si>
  <si>
    <t>MEMV</t>
  </si>
  <si>
    <t>L: MN972594; M: MN972595; S: MN972596</t>
  </si>
  <si>
    <t>Nairobi sheep disease virus</t>
  </si>
  <si>
    <t>NSDV</t>
  </si>
  <si>
    <t>Jilin</t>
  </si>
  <si>
    <t>Aigai virus</t>
  </si>
  <si>
    <t>AIGV</t>
  </si>
  <si>
    <t>AP92</t>
  </si>
  <si>
    <t>L: DQ211612; M: DQ211625; S: DQ211638</t>
  </si>
  <si>
    <t>Punta Salinas virus</t>
  </si>
  <si>
    <t>L: KU925473; M: KU925474; S: KU925475</t>
  </si>
  <si>
    <t>Qalyub virus</t>
  </si>
  <si>
    <t>QYBV</t>
  </si>
  <si>
    <t>ErAg370</t>
  </si>
  <si>
    <t>L: KU343160; M: KU343161; S: KU343162</t>
  </si>
  <si>
    <t>Geran virus</t>
  </si>
  <si>
    <t>GERV</t>
  </si>
  <si>
    <t>LEIV-10899Az</t>
  </si>
  <si>
    <t>Sapphire II virus</t>
  </si>
  <si>
    <t>SAPV</t>
  </si>
  <si>
    <t>Sakhalin virus</t>
  </si>
  <si>
    <t>SAKV</t>
  </si>
  <si>
    <t>LEIV-71C</t>
  </si>
  <si>
    <t>L: KU925482; M: KU925483; S: KU925484</t>
  </si>
  <si>
    <t>Tillamook virus</t>
  </si>
  <si>
    <t>TILLV</t>
  </si>
  <si>
    <t>RML 86</t>
  </si>
  <si>
    <t>Soldado virus</t>
  </si>
  <si>
    <t>TRVL 52214</t>
  </si>
  <si>
    <t>L: KU925488; M: KU925489; S: KU925490</t>
  </si>
  <si>
    <t>Sōnglǐng virus</t>
  </si>
  <si>
    <t>SGLV</t>
  </si>
  <si>
    <t>HLJ1202</t>
  </si>
  <si>
    <t>Sulina virus</t>
  </si>
  <si>
    <t>SULV</t>
  </si>
  <si>
    <t>IxriSL16-01</t>
  </si>
  <si>
    <t>L: MT263282; M: MT263283; S: MT263284</t>
  </si>
  <si>
    <t>Tǎchéng tick virus 1</t>
  </si>
  <si>
    <t>TcTV1</t>
  </si>
  <si>
    <t>TC253</t>
  </si>
  <si>
    <t>L: KM817683; M: KM817717; S: KM817743</t>
  </si>
  <si>
    <t>Thiafora virus</t>
  </si>
  <si>
    <t>TFAV</t>
  </si>
  <si>
    <t>AnD 11411</t>
  </si>
  <si>
    <t>L: KR537450; M: KR537451; S: KR537452</t>
  </si>
  <si>
    <t>Tamdy virus</t>
  </si>
  <si>
    <t>TT1</t>
  </si>
  <si>
    <t>L: MN792651; M: MN792652; S: MN792653</t>
  </si>
  <si>
    <t>Tunis virus</t>
  </si>
  <si>
    <t>TUNV</t>
  </si>
  <si>
    <t>L: KU925497; M: KU925498; S: KU925499</t>
  </si>
  <si>
    <t>Wēnzhōu tick virus</t>
  </si>
  <si>
    <t>WzTV</t>
  </si>
  <si>
    <t>TS1-2</t>
  </si>
  <si>
    <t>L: KM817685; M: KM817718; S: KM817745</t>
  </si>
  <si>
    <t>Yezo virus</t>
  </si>
  <si>
    <t>YEZV</t>
  </si>
  <si>
    <t>HH003-2020</t>
  </si>
  <si>
    <t>L: LC621355; M: LC621356; S: LC621357</t>
  </si>
  <si>
    <t>Yogue virus</t>
  </si>
  <si>
    <t>YOGV</t>
  </si>
  <si>
    <t>DakAnD 56</t>
  </si>
  <si>
    <t>L: KR537453; M: KR537454; S: KR537455</t>
  </si>
  <si>
    <t>Zirqa virus</t>
  </si>
  <si>
    <t>ZIRV</t>
  </si>
  <si>
    <t>A2070-1</t>
  </si>
  <si>
    <t>L: KU343169; M: KU343170; S: KU343171</t>
  </si>
  <si>
    <t>Sabavirus</t>
  </si>
  <si>
    <t>South Bay virus</t>
  </si>
  <si>
    <t>SBV</t>
  </si>
  <si>
    <t>SBV-H-1</t>
  </si>
  <si>
    <t>L: KJ746877; S: KJ746878</t>
  </si>
  <si>
    <t>Shaspivirus</t>
  </si>
  <si>
    <t>Shāyáng spider virus 1</t>
  </si>
  <si>
    <t>SySV1</t>
  </si>
  <si>
    <t>SYZZ-4</t>
  </si>
  <si>
    <t>L: KM817676; M: KM817712; S: KM817738</t>
  </si>
  <si>
    <t>Striwavirus</t>
  </si>
  <si>
    <t>Sānxiá water strider virus 1</t>
  </si>
  <si>
    <t>SxWSV1</t>
  </si>
  <si>
    <t>SXSSP08</t>
  </si>
  <si>
    <t>L: KM817674; M: KM817711; S: KM817737</t>
  </si>
  <si>
    <t>Xinspivirus</t>
  </si>
  <si>
    <t>Xīnzhōu spider virus</t>
  </si>
  <si>
    <t>XZZZ-2</t>
  </si>
  <si>
    <t>L: KM817702; M: KM817729; S: KM817762</t>
  </si>
  <si>
    <t>Peribunyaviridae</t>
  </si>
  <si>
    <t>Herbevirus</t>
  </si>
  <si>
    <t>Herbert virus</t>
  </si>
  <si>
    <t>HERV</t>
  </si>
  <si>
    <t>F23/CI/2004</t>
  </si>
  <si>
    <t>Kibale virus</t>
  </si>
  <si>
    <t>KIBV</t>
  </si>
  <si>
    <t>P05/UG/2008</t>
  </si>
  <si>
    <t>Taï virus</t>
  </si>
  <si>
    <t>TAIV</t>
  </si>
  <si>
    <t>F47/CI/2004</t>
  </si>
  <si>
    <t>Khurdivirus</t>
  </si>
  <si>
    <t>Khurdun virus</t>
  </si>
  <si>
    <t>KHURV</t>
  </si>
  <si>
    <t>LEIV-Ast01-5</t>
  </si>
  <si>
    <t>L: KF981633; M: KF981634; S: KF981635</t>
  </si>
  <si>
    <t>Lakivirus</t>
  </si>
  <si>
    <t>Lakamha virus</t>
  </si>
  <si>
    <t>LAKV</t>
  </si>
  <si>
    <t>Palenque-C559-Mx-2008</t>
  </si>
  <si>
    <t>L: MN092355; M: MN092356; S: MN092357</t>
  </si>
  <si>
    <t>Lambavirus</t>
  </si>
  <si>
    <t>largemouth bass bunyavirus</t>
  </si>
  <si>
    <t>LBBV</t>
  </si>
  <si>
    <t>WVL16001-02A</t>
  </si>
  <si>
    <t>L: MN119734; M: MN119735; S: MN119736</t>
  </si>
  <si>
    <t>Orthobunyavirus</t>
  </si>
  <si>
    <t>Abras virus</t>
  </si>
  <si>
    <t>ABRV</t>
  </si>
  <si>
    <t>75V1183</t>
  </si>
  <si>
    <t>Acará virus</t>
  </si>
  <si>
    <t>ACAV</t>
  </si>
  <si>
    <t>Benevides virus</t>
  </si>
  <si>
    <t>BeAR 153564</t>
  </si>
  <si>
    <t>trivittatus virus</t>
  </si>
  <si>
    <t>TVTV</t>
  </si>
  <si>
    <t>Eklund</t>
  </si>
  <si>
    <t>Achiote virus</t>
  </si>
  <si>
    <t>ACHOV</t>
  </si>
  <si>
    <t>PanAR395145</t>
  </si>
  <si>
    <t>Aino virus</t>
  </si>
  <si>
    <t>AINOV</t>
  </si>
  <si>
    <t>38K</t>
  </si>
  <si>
    <t>L: HE795087; M: HE795088; S: HE795089</t>
  </si>
  <si>
    <t>Akabane virus</t>
  </si>
  <si>
    <t>AKAV</t>
  </si>
  <si>
    <t>OBE-1</t>
  </si>
  <si>
    <t>Tinaroo virus</t>
  </si>
  <si>
    <t>TINV</t>
  </si>
  <si>
    <t>CSIRO 153</t>
  </si>
  <si>
    <t>ANADV</t>
  </si>
  <si>
    <t>LEIV-13395Mg</t>
  </si>
  <si>
    <t>Ananindeua virus</t>
  </si>
  <si>
    <t>ANUV</t>
  </si>
  <si>
    <t>BeAn20525</t>
  </si>
  <si>
    <t>L: MG821226; M: MG821227; S: MG821228</t>
  </si>
  <si>
    <t>San Angelo virus</t>
  </si>
  <si>
    <t>SAV</t>
  </si>
  <si>
    <t>L: KX817330; M: KX817331; S: KX817332</t>
  </si>
  <si>
    <t>Anhembi virus</t>
  </si>
  <si>
    <t>AMBV</t>
  </si>
  <si>
    <t>SPAr2984</t>
  </si>
  <si>
    <t>Apeú virus</t>
  </si>
  <si>
    <t>APEUV</t>
  </si>
  <si>
    <t>BeAn848</t>
  </si>
  <si>
    <t>L: MG029269; M: MG029270; S: MG029271</t>
  </si>
  <si>
    <t>Baakal virus</t>
  </si>
  <si>
    <t>BKAV</t>
  </si>
  <si>
    <t>Palenque-C593-MX-2008</t>
  </si>
  <si>
    <t>L: MN092352; M: MN092353; S: MN092354</t>
  </si>
  <si>
    <t>Bakau virus</t>
  </si>
  <si>
    <t>BAKV</t>
  </si>
  <si>
    <t>Tanjong Rabok virus</t>
  </si>
  <si>
    <t>Balagodu virus</t>
  </si>
  <si>
    <t>BLGV</t>
  </si>
  <si>
    <t>PB1</t>
  </si>
  <si>
    <t>L: MH507154; M: MH507155; S: MH507156</t>
  </si>
  <si>
    <t>Batai virus</t>
  </si>
  <si>
    <t>BATV</t>
  </si>
  <si>
    <t>MS50</t>
  </si>
  <si>
    <t>Batama virus</t>
  </si>
  <si>
    <t>BMAV</t>
  </si>
  <si>
    <t>AnB1292</t>
  </si>
  <si>
    <t>Belém virus</t>
  </si>
  <si>
    <t>BLMV</t>
  </si>
  <si>
    <t>BeAn 141106</t>
  </si>
  <si>
    <t>Benfica virus</t>
  </si>
  <si>
    <t>71U344</t>
  </si>
  <si>
    <t>Bertioga virus</t>
  </si>
  <si>
    <t>BERV</t>
  </si>
  <si>
    <t>Cananéia virus</t>
  </si>
  <si>
    <t>CNAV</t>
  </si>
  <si>
    <t>SPAn 6496</t>
  </si>
  <si>
    <t>Birao virus</t>
  </si>
  <si>
    <t>BIRV</t>
  </si>
  <si>
    <t>DakArB 2198</t>
  </si>
  <si>
    <t>L: MH370821; M: MH370822; S: MH370823</t>
  </si>
  <si>
    <t>Bobaya virus</t>
  </si>
  <si>
    <t>BOBV</t>
  </si>
  <si>
    <t>DakAnB 2208</t>
  </si>
  <si>
    <t>Boracéia virus</t>
  </si>
  <si>
    <t>BORV</t>
  </si>
  <si>
    <t>SPAr 395</t>
  </si>
  <si>
    <t>Botambi virus</t>
  </si>
  <si>
    <t>DakArB937</t>
  </si>
  <si>
    <t>L: OL774846; M: OL774847; S: OL774848</t>
  </si>
  <si>
    <t>Bozo virus</t>
  </si>
  <si>
    <t>BOZOV</t>
  </si>
  <si>
    <t>DakArB 7343</t>
  </si>
  <si>
    <t>L: MH370824; M: MH370825; S: MH370826</t>
  </si>
  <si>
    <t>brazoran virus</t>
  </si>
  <si>
    <t>BRAZV</t>
  </si>
  <si>
    <t>original</t>
  </si>
  <si>
    <t>Bruconha virus</t>
  </si>
  <si>
    <t>BRUV</t>
  </si>
  <si>
    <t>77V74814</t>
  </si>
  <si>
    <t>Buffalo Creek virus</t>
  </si>
  <si>
    <t>BUCV</t>
  </si>
  <si>
    <t>DPP186</t>
  </si>
  <si>
    <t>Bunyamwera virus</t>
  </si>
  <si>
    <t>BUNV</t>
  </si>
  <si>
    <t>Germiston virus</t>
  </si>
  <si>
    <t>Mboké virus</t>
  </si>
  <si>
    <t>MBOV</t>
  </si>
  <si>
    <t>DakArY357/6e</t>
  </si>
  <si>
    <t>Ngari virus</t>
  </si>
  <si>
    <t>NRIV</t>
  </si>
  <si>
    <t>Dakar D28542/4e</t>
  </si>
  <si>
    <t>Stanfield virus</t>
  </si>
  <si>
    <t>STAV</t>
  </si>
  <si>
    <t>Xingu virus</t>
  </si>
  <si>
    <t>XINV</t>
  </si>
  <si>
    <t>BeH388464</t>
  </si>
  <si>
    <t>Bushbush virus</t>
  </si>
  <si>
    <t>Buttonwillow virus</t>
  </si>
  <si>
    <t>BUTV</t>
  </si>
  <si>
    <t>BFS 5002</t>
  </si>
  <si>
    <t>L: KF697160; M: KF697161; S: KF697162</t>
  </si>
  <si>
    <t>Bwamba virus</t>
  </si>
  <si>
    <t>BWAV</t>
  </si>
  <si>
    <t>M459</t>
  </si>
  <si>
    <t>Pongola virus</t>
  </si>
  <si>
    <t>PGAV</t>
  </si>
  <si>
    <t>SA Ar1</t>
  </si>
  <si>
    <t>Cache Valley virus</t>
  </si>
  <si>
    <t>6V633</t>
  </si>
  <si>
    <t>Cholul virus</t>
  </si>
  <si>
    <t>CHLV</t>
  </si>
  <si>
    <t>Mex07</t>
  </si>
  <si>
    <t>Tlacotalpan virus</t>
  </si>
  <si>
    <t>TALV</t>
  </si>
  <si>
    <t>61D240</t>
  </si>
  <si>
    <t>Capim virus</t>
  </si>
  <si>
    <t>CAPV</t>
  </si>
  <si>
    <t>BeAn8582</t>
  </si>
  <si>
    <t>L: KT160026; M: KT160027; S: KT160028</t>
  </si>
  <si>
    <t>Caraparú virus</t>
  </si>
  <si>
    <t>BeAn3994</t>
  </si>
  <si>
    <t>L: KF254776; M: KF254777; S: KF254778</t>
  </si>
  <si>
    <t>El Huayo virus</t>
  </si>
  <si>
    <t>EHUV</t>
  </si>
  <si>
    <t>IQT110</t>
  </si>
  <si>
    <t>Itaya virus</t>
  </si>
  <si>
    <t>ITYV</t>
  </si>
  <si>
    <t>IQT9646</t>
  </si>
  <si>
    <t>Cát Quế virus</t>
  </si>
  <si>
    <t>CQV</t>
  </si>
  <si>
    <t>VN04-2108</t>
  </si>
  <si>
    <t>L: JQ675598; M: JQ675599; S: JQ675600</t>
  </si>
  <si>
    <t>Oya virus</t>
  </si>
  <si>
    <t>OYAV</t>
  </si>
  <si>
    <t>SC0806</t>
  </si>
  <si>
    <t>Catú virus</t>
  </si>
  <si>
    <t>CATUV</t>
  </si>
  <si>
    <t>BeH 151</t>
  </si>
  <si>
    <t>Anopheles B virus</t>
  </si>
  <si>
    <t>ANBV</t>
  </si>
  <si>
    <t>Ebinur Lake virus</t>
  </si>
  <si>
    <t>EBIV</t>
  </si>
  <si>
    <t>Cu20-XJ</t>
  </si>
  <si>
    <t>California encephalitis virus</t>
  </si>
  <si>
    <t>CEV</t>
  </si>
  <si>
    <t>BFS 283</t>
  </si>
  <si>
    <t>L: KX817312; M: KX817313; S: KX817314</t>
  </si>
  <si>
    <t>Morro Bay virus</t>
  </si>
  <si>
    <t>DAV-457</t>
  </si>
  <si>
    <t>Enseada virus</t>
  </si>
  <si>
    <t>ENSV</t>
  </si>
  <si>
    <t>76V-25880</t>
  </si>
  <si>
    <t>L: KU178983; M: KU178984; S: KU178985</t>
  </si>
  <si>
    <t>Facey's paddock virus</t>
  </si>
  <si>
    <t>FPV</t>
  </si>
  <si>
    <t>Aus Ch 16129</t>
  </si>
  <si>
    <t>Gamboa virus</t>
  </si>
  <si>
    <t>GML 435718</t>
  </si>
  <si>
    <t>L: KM272174; M: KM272175; S: KM272176</t>
  </si>
  <si>
    <t>Brus Laguna virus</t>
  </si>
  <si>
    <t>BLAV</t>
  </si>
  <si>
    <t>Calchaquí virus</t>
  </si>
  <si>
    <t>CQIV</t>
  </si>
  <si>
    <t>AG 83-1347</t>
  </si>
  <si>
    <t>Alajuela virus</t>
  </si>
  <si>
    <t>ALJV</t>
  </si>
  <si>
    <t>MARU 11079</t>
  </si>
  <si>
    <t>Soberanía virus</t>
  </si>
  <si>
    <t>SOBV</t>
  </si>
  <si>
    <t>Gan Gan virus</t>
  </si>
  <si>
    <t>GGV</t>
  </si>
  <si>
    <t>NB6057</t>
  </si>
  <si>
    <t>L: KR013232; M: KR013233; S: KR013234</t>
  </si>
  <si>
    <t>Guajará virus</t>
  </si>
  <si>
    <t>GJAV</t>
  </si>
  <si>
    <t>BeAn 10615</t>
  </si>
  <si>
    <t>Guamá virus</t>
  </si>
  <si>
    <t>GMAV</t>
  </si>
  <si>
    <t>BeAn 227</t>
  </si>
  <si>
    <t>Guaroa virus</t>
  </si>
  <si>
    <t>GROV</t>
  </si>
  <si>
    <t>BeH22063</t>
  </si>
  <si>
    <t>Yaba-7 virus</t>
  </si>
  <si>
    <t>Y7V</t>
  </si>
  <si>
    <t>Yaba 7</t>
  </si>
  <si>
    <t>L: MH484348; M: MH484349; S: MH484350</t>
  </si>
  <si>
    <t>Anopheles A virus</t>
  </si>
  <si>
    <t>ANAV</t>
  </si>
  <si>
    <t>L: KY793537; M: KY793538; S: KY793539</t>
  </si>
  <si>
    <t>Arumateua virus</t>
  </si>
  <si>
    <t>Caraipé virus</t>
  </si>
  <si>
    <t>Trombetas virus</t>
  </si>
  <si>
    <t>Tucuruí virus</t>
  </si>
  <si>
    <t>Iaco virus</t>
  </si>
  <si>
    <t>IACOV</t>
  </si>
  <si>
    <t>BeAn314206</t>
  </si>
  <si>
    <t>L: JN572065; M: JN572066; S: JN572067</t>
  </si>
  <si>
    <t>Ilesha virus</t>
  </si>
  <si>
    <t>ILEV</t>
  </si>
  <si>
    <t>R5964</t>
  </si>
  <si>
    <t>Infirmatus virus</t>
  </si>
  <si>
    <t>INFV</t>
  </si>
  <si>
    <t>Tampa 08</t>
  </si>
  <si>
    <t>L: KY569262; M: KY569263; S: KY569264</t>
  </si>
  <si>
    <t>Ingwavuma virus</t>
  </si>
  <si>
    <t>INGV</t>
  </si>
  <si>
    <t>SA An 4165</t>
  </si>
  <si>
    <t>L: KF697139; M: KF697140; S: KF697141</t>
  </si>
  <si>
    <t>kairi virus</t>
  </si>
  <si>
    <t>KRIV</t>
  </si>
  <si>
    <t>BeAr8226</t>
  </si>
  <si>
    <t>L: KR260738; M: KR260739; S: KR260740</t>
  </si>
  <si>
    <t>Jamestown Canyon virus</t>
  </si>
  <si>
    <t>JCV</t>
  </si>
  <si>
    <t>61V2235</t>
  </si>
  <si>
    <t>Inkoo virus</t>
  </si>
  <si>
    <t>INKV</t>
  </si>
  <si>
    <t>KN3641</t>
  </si>
  <si>
    <t>Jerry Slough virus</t>
  </si>
  <si>
    <t>JSV</t>
  </si>
  <si>
    <t>BFS 4474</t>
  </si>
  <si>
    <t>South River virus</t>
  </si>
  <si>
    <t>SORV</t>
  </si>
  <si>
    <t>NJO-94F</t>
  </si>
  <si>
    <t>Jatobal virus</t>
  </si>
  <si>
    <t>JATV</t>
  </si>
  <si>
    <t>BeAn 423380</t>
  </si>
  <si>
    <t>Juan Díaz virus</t>
  </si>
  <si>
    <t>JDV</t>
  </si>
  <si>
    <t>MARU 8563</t>
  </si>
  <si>
    <t>Kaeng Khoi virus</t>
  </si>
  <si>
    <t>KKV</t>
  </si>
  <si>
    <t>PSC-19</t>
  </si>
  <si>
    <t>Main Drain virus</t>
  </si>
  <si>
    <t>72V2567</t>
  </si>
  <si>
    <t>L: MH484306; M: MH484307; S: MH484308</t>
  </si>
  <si>
    <t>Ketapang virus</t>
  </si>
  <si>
    <t>KETV</t>
  </si>
  <si>
    <t>MM 2549</t>
  </si>
  <si>
    <t>Keystone virus</t>
  </si>
  <si>
    <t>KEYV</t>
  </si>
  <si>
    <t>B64-5587.05</t>
  </si>
  <si>
    <t>L: KX817321; M: KX817322; S: KX817323</t>
  </si>
  <si>
    <t>snowshoe hare virus</t>
  </si>
  <si>
    <t>SSHV</t>
  </si>
  <si>
    <t>L: EU203678; M: EU262553; S: EU294510</t>
  </si>
  <si>
    <t>Khatanga virus</t>
  </si>
  <si>
    <t>KHATV</t>
  </si>
  <si>
    <t>LEIV-18733</t>
  </si>
  <si>
    <t>koongol virus</t>
  </si>
  <si>
    <t>KOOV</t>
  </si>
  <si>
    <t>MRM 31</t>
  </si>
  <si>
    <t>wongal virus</t>
  </si>
  <si>
    <t>Kowanyama virus</t>
  </si>
  <si>
    <t>KOWV</t>
  </si>
  <si>
    <t>MRM1243</t>
  </si>
  <si>
    <t>L: KT820202; M: KT820203; S: KT820204</t>
  </si>
  <si>
    <t>La Crosse virus</t>
  </si>
  <si>
    <t>LACV</t>
  </si>
  <si>
    <t>human/1960</t>
  </si>
  <si>
    <t>Las Maloyas virus</t>
  </si>
  <si>
    <t>LMV</t>
  </si>
  <si>
    <t>AG80-24</t>
  </si>
  <si>
    <t>Leanyer virus</t>
  </si>
  <si>
    <t>LEAV</t>
  </si>
  <si>
    <t>AusN16701</t>
  </si>
  <si>
    <t>Lednice virus</t>
  </si>
  <si>
    <t>LEDV</t>
  </si>
  <si>
    <t>Lukuni virus</t>
  </si>
  <si>
    <t>LUKV</t>
  </si>
  <si>
    <t>TRVL 10076</t>
  </si>
  <si>
    <t>Lumbo virus</t>
  </si>
  <si>
    <t>LUMV</t>
  </si>
  <si>
    <t>SAAr 1881</t>
  </si>
  <si>
    <t>L: KX817324; M: KX817325; S: KX817326</t>
  </si>
  <si>
    <t>Macauã virus</t>
  </si>
  <si>
    <t>MCAV</t>
  </si>
  <si>
    <t>BeAr306329</t>
  </si>
  <si>
    <t>L: JN572068; M: JN572069; S: JN572070</t>
  </si>
  <si>
    <t>Madrid virus</t>
  </si>
  <si>
    <t>MADV</t>
  </si>
  <si>
    <t>BT4075</t>
  </si>
  <si>
    <t>L: KF254779; M: KF254780; S: KF254781</t>
  </si>
  <si>
    <t>Maguari virus</t>
  </si>
  <si>
    <t>MAGV</t>
  </si>
  <si>
    <t>BeAr 7272</t>
  </si>
  <si>
    <t>L: KY910429; M: KY910430; S: KY910431</t>
  </si>
  <si>
    <t>Mahogany Hammock virus</t>
  </si>
  <si>
    <t>MHV</t>
  </si>
  <si>
    <t>FE4-2s</t>
  </si>
  <si>
    <t>Manzanilla virus</t>
  </si>
  <si>
    <t>MANV</t>
  </si>
  <si>
    <t>TRVL 3586</t>
  </si>
  <si>
    <t>Inini virus</t>
  </si>
  <si>
    <t>INIV</t>
  </si>
  <si>
    <t>Maprik virus</t>
  </si>
  <si>
    <t>MPKV</t>
  </si>
  <si>
    <t>MK7532</t>
  </si>
  <si>
    <t>Marituba virus</t>
  </si>
  <si>
    <t>MTBV</t>
  </si>
  <si>
    <t>BeAn15</t>
  </si>
  <si>
    <t>L: KF254770; M: KF254771; S: KF254772</t>
  </si>
  <si>
    <t>Zungarococha virus</t>
  </si>
  <si>
    <t>ZUNV</t>
  </si>
  <si>
    <t>Matruh virus</t>
  </si>
  <si>
    <t>MTRV</t>
  </si>
  <si>
    <t>An 1047-61</t>
  </si>
  <si>
    <t>Melao virus</t>
  </si>
  <si>
    <t>MELV</t>
  </si>
  <si>
    <t>TRVL 9375</t>
  </si>
  <si>
    <t>L: KX817327; M: KX817328; S: KX817329</t>
  </si>
  <si>
    <t>Mermet virus</t>
  </si>
  <si>
    <t>MERV</t>
  </si>
  <si>
    <t>ACV 782</t>
  </si>
  <si>
    <t>Minatitlán virus</t>
  </si>
  <si>
    <t>MNTV</t>
  </si>
  <si>
    <t>Palestina virus</t>
  </si>
  <si>
    <t>PLSV</t>
  </si>
  <si>
    <t>Mirim virus</t>
  </si>
  <si>
    <t>MIRV</t>
  </si>
  <si>
    <t>BEAN7722</t>
  </si>
  <si>
    <t>L: KY013487; M: KY013488; S: KY013489</t>
  </si>
  <si>
    <t>Mapputta virus</t>
  </si>
  <si>
    <t>MRM186</t>
  </si>
  <si>
    <t>M’Poko virus</t>
  </si>
  <si>
    <t>MPOV</t>
  </si>
  <si>
    <t>BA 365</t>
  </si>
  <si>
    <t>Yaba-1 virus</t>
  </si>
  <si>
    <t>Y1V</t>
  </si>
  <si>
    <t>Serra do Navio virus</t>
  </si>
  <si>
    <t>SDNV</t>
  </si>
  <si>
    <t>BeAr 103645</t>
  </si>
  <si>
    <t>L: KX817333; M: KX817334; S: KX817335</t>
  </si>
  <si>
    <t>Nepuyo virus</t>
  </si>
  <si>
    <t>NEPV</t>
  </si>
  <si>
    <t>BeAn10709</t>
  </si>
  <si>
    <t>L: MG029287; M: MG029288; S: MG029289</t>
  </si>
  <si>
    <t>Ness Ziona virus</t>
  </si>
  <si>
    <t>NZV</t>
  </si>
  <si>
    <t>H234A</t>
  </si>
  <si>
    <t>L: MH018032; M: MH018033; S: MH018034</t>
  </si>
  <si>
    <t>Nola virus</t>
  </si>
  <si>
    <t>NOLAV</t>
  </si>
  <si>
    <t>ArB2882</t>
  </si>
  <si>
    <t>Northway virus</t>
  </si>
  <si>
    <t>NORV</t>
  </si>
  <si>
    <t>Nyando virus</t>
  </si>
  <si>
    <t>NDV</t>
  </si>
  <si>
    <t>MP401</t>
  </si>
  <si>
    <t>Eretmapodites virus</t>
  </si>
  <si>
    <t>ERETV</t>
  </si>
  <si>
    <t>Mojuí dos Campos virus</t>
  </si>
  <si>
    <t>MDCV</t>
  </si>
  <si>
    <t>BeAn276121</t>
  </si>
  <si>
    <t>Okola virus</t>
  </si>
  <si>
    <t>OKOV</t>
  </si>
  <si>
    <t>YM 50</t>
  </si>
  <si>
    <t>Olifantsvlei virus</t>
  </si>
  <si>
    <t>OLIV</t>
  </si>
  <si>
    <t>Bobia virus</t>
  </si>
  <si>
    <t>BIAV</t>
  </si>
  <si>
    <t>Dabakala virus</t>
  </si>
  <si>
    <t>DABV</t>
  </si>
  <si>
    <t>Oubi virus</t>
  </si>
  <si>
    <t>OUBIV</t>
  </si>
  <si>
    <t>Oriboca virus</t>
  </si>
  <si>
    <t>ORIV</t>
  </si>
  <si>
    <t>BeAN17</t>
  </si>
  <si>
    <t>L: KF254773; M: KF254774; S: KF254775</t>
  </si>
  <si>
    <t>Oropouche virus</t>
  </si>
  <si>
    <t>OROV</t>
  </si>
  <si>
    <t>Iquitos virus</t>
  </si>
  <si>
    <t>IQTV</t>
  </si>
  <si>
    <t>IQT9924</t>
  </si>
  <si>
    <t>Madre de Dios virus</t>
  </si>
  <si>
    <t>MDDV</t>
  </si>
  <si>
    <t>FMD 1303</t>
  </si>
  <si>
    <t>Perdões virus</t>
  </si>
  <si>
    <t>PDEV</t>
  </si>
  <si>
    <t>BeAn790177</t>
  </si>
  <si>
    <t>Pintupo virus</t>
  </si>
  <si>
    <t>PINTV</t>
  </si>
  <si>
    <t>Oyo virus</t>
  </si>
  <si>
    <t>OYOV</t>
  </si>
  <si>
    <t>IbAn 2898</t>
  </si>
  <si>
    <t>Pacora virus</t>
  </si>
  <si>
    <t>PCAV</t>
  </si>
  <si>
    <t>J19</t>
  </si>
  <si>
    <t>Patois virus</t>
  </si>
  <si>
    <t>PATV</t>
  </si>
  <si>
    <t>63A49</t>
  </si>
  <si>
    <t>Babahoya virus</t>
  </si>
  <si>
    <t>BABV</t>
  </si>
  <si>
    <t>75V2858</t>
  </si>
  <si>
    <t>Pahayokee virus</t>
  </si>
  <si>
    <t>PAHV</t>
  </si>
  <si>
    <t>Peaton virus</t>
  </si>
  <si>
    <t>PEAV</t>
  </si>
  <si>
    <t>CSIRO 110</t>
  </si>
  <si>
    <t>L: HE795093; M: HE795094; S: HE795095</t>
  </si>
  <si>
    <t>Cachoeira Porteira virus</t>
  </si>
  <si>
    <t>CPOV</t>
  </si>
  <si>
    <t>BeAr328208</t>
  </si>
  <si>
    <t>L: JN968590; M: JN968591; S: JN968592</t>
  </si>
  <si>
    <t>Potosi virus</t>
  </si>
  <si>
    <t>IL94-1899</t>
  </si>
  <si>
    <t>L: MF066368; M: MF066369; S: MF066370</t>
  </si>
  <si>
    <t>Sabo virus</t>
  </si>
  <si>
    <t>SABOV</t>
  </si>
  <si>
    <t>IB AN 9398</t>
  </si>
  <si>
    <t>L: HE795096; M: HE795097; S: HE795098</t>
  </si>
  <si>
    <t>Sango virus</t>
  </si>
  <si>
    <t>SANV</t>
  </si>
  <si>
    <t>An 5077</t>
  </si>
  <si>
    <t>L: HE795099; M: HE795100; S: HE795101</t>
  </si>
  <si>
    <t>San Juan virus</t>
  </si>
  <si>
    <t>SJV</t>
  </si>
  <si>
    <t>75V446</t>
  </si>
  <si>
    <t>Schmallenberg virus</t>
  </si>
  <si>
    <t>F6</t>
  </si>
  <si>
    <t>L: KC355457; M: KC355458; S: KC355459</t>
  </si>
  <si>
    <t>Douglas virus</t>
  </si>
  <si>
    <t>DOUV</t>
  </si>
  <si>
    <t>93-6</t>
  </si>
  <si>
    <t>Sathuperi virus</t>
  </si>
  <si>
    <t>SATV</t>
  </si>
  <si>
    <t>Shamonda virus</t>
  </si>
  <si>
    <t>SHAV</t>
  </si>
  <si>
    <t>Ib An 5550</t>
  </si>
  <si>
    <t>Sedlec virus</t>
  </si>
  <si>
    <t>SEDV</t>
  </si>
  <si>
    <t>Av 172</t>
  </si>
  <si>
    <t>L: MH484327; M: MH484328; S: MH484329</t>
  </si>
  <si>
    <t>Fort Sherman virus</t>
  </si>
  <si>
    <t>FSV</t>
  </si>
  <si>
    <t>86MSP18</t>
  </si>
  <si>
    <t>Laguna Larga virus</t>
  </si>
  <si>
    <t>LLV</t>
  </si>
  <si>
    <t>CbaAr 426</t>
  </si>
  <si>
    <t>Shokwe virus</t>
  </si>
  <si>
    <t>SHOV</t>
  </si>
  <si>
    <t>SAAr 4042</t>
  </si>
  <si>
    <t>L: MH484330; M: MH484331; S: MH484332</t>
  </si>
  <si>
    <t>Shuni virus</t>
  </si>
  <si>
    <t>SHUV</t>
  </si>
  <si>
    <t>SAE1809</t>
  </si>
  <si>
    <t>Simbu virus</t>
  </si>
  <si>
    <t>SIMV</t>
  </si>
  <si>
    <t>SA Ar 53</t>
  </si>
  <si>
    <t>L: HE795108; M: HE795109; S: HE795110</t>
  </si>
  <si>
    <t>Para virus</t>
  </si>
  <si>
    <t>PARAV</t>
  </si>
  <si>
    <t>Sororoca virus</t>
  </si>
  <si>
    <t>BeAr32149</t>
  </si>
  <si>
    <t>L: JN572071; M: JN572072; S: JN572073</t>
  </si>
  <si>
    <t>Shark River virus</t>
  </si>
  <si>
    <t>64U80</t>
  </si>
  <si>
    <t>Tacaiuma virus</t>
  </si>
  <si>
    <t>TCMV</t>
  </si>
  <si>
    <t>BeAn73</t>
  </si>
  <si>
    <t>CoAr 1071 virus</t>
  </si>
  <si>
    <t>CA1071V</t>
  </si>
  <si>
    <t>CoAr 3627 virus</t>
  </si>
  <si>
    <t>CA3626V</t>
  </si>
  <si>
    <t>Virgin River virus</t>
  </si>
  <si>
    <t>VRV</t>
  </si>
  <si>
    <t>Ťahyňa virus</t>
  </si>
  <si>
    <t>TAHV</t>
  </si>
  <si>
    <t>XJ0625</t>
  </si>
  <si>
    <t>Tanga virus</t>
  </si>
  <si>
    <t>TANV</t>
  </si>
  <si>
    <t>MP 1329</t>
  </si>
  <si>
    <t>Tataguine virus</t>
  </si>
  <si>
    <t>H9963</t>
  </si>
  <si>
    <t>Telok Forest virus</t>
  </si>
  <si>
    <t>TFV</t>
  </si>
  <si>
    <t>MalP 72-4</t>
  </si>
  <si>
    <t>Tensaw virus</t>
  </si>
  <si>
    <t>TENV</t>
  </si>
  <si>
    <t>TSV-FE3-66FB</t>
  </si>
  <si>
    <t>Termeil virus</t>
  </si>
  <si>
    <t>TERV</t>
  </si>
  <si>
    <t>BP 8090</t>
  </si>
  <si>
    <t>Tete virus</t>
  </si>
  <si>
    <t>TETEV</t>
  </si>
  <si>
    <t>SAAn 3518</t>
  </si>
  <si>
    <t>Bahig virus</t>
  </si>
  <si>
    <t>BAHV</t>
  </si>
  <si>
    <t>EgB 90</t>
  </si>
  <si>
    <t>Tsuruse virus</t>
  </si>
  <si>
    <t>TSUV</t>
  </si>
  <si>
    <t>Weldona virus</t>
  </si>
  <si>
    <t>WELV</t>
  </si>
  <si>
    <t>76V-21935</t>
  </si>
  <si>
    <t>Thimiri virus</t>
  </si>
  <si>
    <t>THIV</t>
  </si>
  <si>
    <t>VRC 66414</t>
  </si>
  <si>
    <t>L: MH484336; M: MH484337; S: MH484338</t>
  </si>
  <si>
    <t>Timboteua virus</t>
  </si>
  <si>
    <t>Triniti virus</t>
  </si>
  <si>
    <t>TNTV</t>
  </si>
  <si>
    <t>TVRL7994</t>
  </si>
  <si>
    <t>L: MG792213; M: MG792214; S: MG792215</t>
  </si>
  <si>
    <t>Turlock virus</t>
  </si>
  <si>
    <t>TURV</t>
  </si>
  <si>
    <t>USA 847-32</t>
  </si>
  <si>
    <t>Umbre virus</t>
  </si>
  <si>
    <t>UMBV</t>
  </si>
  <si>
    <t>NIV631308</t>
  </si>
  <si>
    <t>L: MK330169; M: MK330170; S: MK330171</t>
  </si>
  <si>
    <t>Utinga virus</t>
  </si>
  <si>
    <t>UTIV</t>
  </si>
  <si>
    <t>Be An 84785</t>
  </si>
  <si>
    <t>L: KF697154; M: KF697155; S: KF697156</t>
  </si>
  <si>
    <t>Witwatersrand virus</t>
  </si>
  <si>
    <t>WITV</t>
  </si>
  <si>
    <t>SAAr 1062</t>
  </si>
  <si>
    <t>Wolkberg virus</t>
  </si>
  <si>
    <t>WBV</t>
  </si>
  <si>
    <t>2562_SA3</t>
  </si>
  <si>
    <t>L: KX470551; M: KX470552; S: KX470553</t>
  </si>
  <si>
    <t>Wyeomyia virus</t>
  </si>
  <si>
    <t>WYOV</t>
  </si>
  <si>
    <t>L: JN572080; M: JN572081; S: JN572082</t>
  </si>
  <si>
    <t>Taiassui virus</t>
  </si>
  <si>
    <t>TAIAV</t>
  </si>
  <si>
    <t>BeAr671</t>
  </si>
  <si>
    <t>Tucunduba virus</t>
  </si>
  <si>
    <t>TUCV</t>
  </si>
  <si>
    <t>BeAR701402</t>
  </si>
  <si>
    <t>Murrumbidgee virus</t>
  </si>
  <si>
    <t>MURBV</t>
  </si>
  <si>
    <t>Trubanaman virus</t>
  </si>
  <si>
    <t>TRUV</t>
  </si>
  <si>
    <t>MRM 3630</t>
  </si>
  <si>
    <t>Moriche virus</t>
  </si>
  <si>
    <t>TRVL</t>
  </si>
  <si>
    <t>Playas virus</t>
  </si>
  <si>
    <t>PLAV</t>
  </si>
  <si>
    <t>75V5758</t>
  </si>
  <si>
    <t>Itaquí virus</t>
  </si>
  <si>
    <t>ITQV</t>
  </si>
  <si>
    <t>BeAn 12797</t>
  </si>
  <si>
    <t>Moju virus</t>
  </si>
  <si>
    <t>MOJUV</t>
  </si>
  <si>
    <t>BeAr12590</t>
  </si>
  <si>
    <t>Salt Ash virus</t>
  </si>
  <si>
    <t>SASHV</t>
  </si>
  <si>
    <t>Bimiti virus</t>
  </si>
  <si>
    <t>BIMV</t>
  </si>
  <si>
    <t>TRVL 8362</t>
  </si>
  <si>
    <t>Guaratuba virus</t>
  </si>
  <si>
    <t>GTBV</t>
  </si>
  <si>
    <t>76V25271</t>
  </si>
  <si>
    <t>Itimirim virus</t>
  </si>
  <si>
    <t>ITIV</t>
  </si>
  <si>
    <t>SPAn 47817</t>
  </si>
  <si>
    <t>Gumbo Limbo virus</t>
  </si>
  <si>
    <t>FE3-71H</t>
  </si>
  <si>
    <t>Lokern virus</t>
  </si>
  <si>
    <t>LOKV</t>
  </si>
  <si>
    <t>FMS 4332</t>
  </si>
  <si>
    <t>Santa Rosa virus</t>
  </si>
  <si>
    <t>SARV</t>
  </si>
  <si>
    <t>M2-1493</t>
  </si>
  <si>
    <t>Vinces virus</t>
  </si>
  <si>
    <t>VINV</t>
  </si>
  <si>
    <t>Murutucú virus</t>
  </si>
  <si>
    <t>MURV</t>
  </si>
  <si>
    <t>BeAN 974</t>
  </si>
  <si>
    <t>Restan virus</t>
  </si>
  <si>
    <t>RESV</t>
  </si>
  <si>
    <t>TRVL 51144</t>
  </si>
  <si>
    <t>Pueble Viejo virus</t>
  </si>
  <si>
    <t>PVV</t>
  </si>
  <si>
    <t>E4-816</t>
  </si>
  <si>
    <t>Rio Pracupi virus</t>
  </si>
  <si>
    <t>Pacuvirus</t>
  </si>
  <si>
    <t>Caimito virus</t>
  </si>
  <si>
    <t>CAIV</t>
  </si>
  <si>
    <t>VP-488A</t>
  </si>
  <si>
    <t>L: MK330759; M: MK330760; S: MK330761</t>
  </si>
  <si>
    <t>Chilibre virus</t>
  </si>
  <si>
    <t>CHIV</t>
  </si>
  <si>
    <t>VP-118D</t>
  </si>
  <si>
    <t>L: MK330762; M: MK330763; S: MK330764</t>
  </si>
  <si>
    <t>Rio Preto da Eva virus</t>
  </si>
  <si>
    <t>RPEV</t>
  </si>
  <si>
    <t>BEAR540870</t>
  </si>
  <si>
    <t>L: KM225257; M: KM225258; S: KM225259</t>
  </si>
  <si>
    <t>Pacui virus</t>
  </si>
  <si>
    <t>PACV</t>
  </si>
  <si>
    <t>BEAN27326</t>
  </si>
  <si>
    <t>L: KM225254; M: KM225255; S: KM225256</t>
  </si>
  <si>
    <t>Tapirapé virus</t>
  </si>
  <si>
    <t>BEAN767592</t>
  </si>
  <si>
    <t>L: KM225260; M: KM225261; S: KM225262</t>
  </si>
  <si>
    <t>Shangavirus</t>
  </si>
  <si>
    <t>Shuāngào insect virus 1</t>
  </si>
  <si>
    <t>SgIV1</t>
  </si>
  <si>
    <t>QSA02</t>
  </si>
  <si>
    <t>L: KM817679; M: KM817714; S: KM817739</t>
  </si>
  <si>
    <t>Bellavista virus</t>
  </si>
  <si>
    <t>BELLV</t>
  </si>
  <si>
    <t>PRD0552</t>
  </si>
  <si>
    <t>L: KX161718; M: KX161719; S: KX161720</t>
  </si>
  <si>
    <t>Antequera virus</t>
  </si>
  <si>
    <t>ANTV</t>
  </si>
  <si>
    <t>AG80-226</t>
  </si>
  <si>
    <t>Barranqueras virus</t>
  </si>
  <si>
    <t>BQSV</t>
  </si>
  <si>
    <t>AG80-381</t>
  </si>
  <si>
    <t>Resistencia virus</t>
  </si>
  <si>
    <t>RTAV</t>
  </si>
  <si>
    <t>AG80-504</t>
  </si>
  <si>
    <t>Phasmaviridae</t>
  </si>
  <si>
    <t>Cicadellivirus</t>
  </si>
  <si>
    <t>Scaphoideus titanus bunya-like virus 1</t>
  </si>
  <si>
    <t>Feravirus</t>
  </si>
  <si>
    <t>Ferak virus</t>
  </si>
  <si>
    <t>FRKV</t>
  </si>
  <si>
    <t>C51-CI-2004</t>
  </si>
  <si>
    <t>L: KP710246; M: KP710264; S: KP710267</t>
  </si>
  <si>
    <t>Guagua virus</t>
  </si>
  <si>
    <t>GUAV</t>
  </si>
  <si>
    <t>hemipteran phasma-related virus OKIAV247</t>
  </si>
  <si>
    <t>HeFV</t>
  </si>
  <si>
    <t>neuropteran phasma-related virus OKIAV248</t>
  </si>
  <si>
    <t>NeFV</t>
  </si>
  <si>
    <t>L: MW039262; M: MW039263; S: MW039264</t>
  </si>
  <si>
    <t>Hymovirus</t>
  </si>
  <si>
    <t>hymenopteran phasma-related virus OKIAV250</t>
  </si>
  <si>
    <t>HyHV2</t>
  </si>
  <si>
    <t>hymenopteran phasma-related virus OKIAV252</t>
  </si>
  <si>
    <t>HyHV1</t>
  </si>
  <si>
    <t>Jonvirus</t>
  </si>
  <si>
    <t>jonchet virus</t>
  </si>
  <si>
    <t>JONV</t>
  </si>
  <si>
    <t>B81-CI-2004</t>
  </si>
  <si>
    <t>L: KP710232; M: KP710240; S: KP710243</t>
  </si>
  <si>
    <t>Orthophasmavirus</t>
  </si>
  <si>
    <t>Wǔhàn mosquito virus 2</t>
  </si>
  <si>
    <t>WhMV2</t>
  </si>
  <si>
    <t>QN2-7</t>
  </si>
  <si>
    <t>L: KM817698; M: KM817727; S: KM817759</t>
  </si>
  <si>
    <t>Anopheles triannulatus orthophasmavirus</t>
  </si>
  <si>
    <t>AtOPV</t>
  </si>
  <si>
    <t>L: MH822966; M: MH822967; S: MH822968</t>
  </si>
  <si>
    <t>Barstukas virus</t>
  </si>
  <si>
    <t>hymenopteran phasma-related virus OKIAV227</t>
  </si>
  <si>
    <t>HyOV2</t>
  </si>
  <si>
    <t>coleopteran phasma-related virus OKIAV235</t>
  </si>
  <si>
    <t>CPRV</t>
  </si>
  <si>
    <t>Coredo virus</t>
  </si>
  <si>
    <t>Culex phasma-like virus</t>
  </si>
  <si>
    <t>CPLV</t>
  </si>
  <si>
    <t>mos172gb37606</t>
  </si>
  <si>
    <t>L: MF176242; M: MF176243; S: MF176244</t>
  </si>
  <si>
    <t>Flen virus</t>
  </si>
  <si>
    <t>FLNV</t>
  </si>
  <si>
    <t>Fǔshùn phasmavirus 1</t>
  </si>
  <si>
    <t>FsnPV1</t>
  </si>
  <si>
    <t>L: MZ209987; M: MZ209988; S: MZ209989</t>
  </si>
  <si>
    <t>Ganda bee virus</t>
  </si>
  <si>
    <t>GBEEV</t>
  </si>
  <si>
    <t>S33-2</t>
  </si>
  <si>
    <t>L: KY053854; M: KY053855; S: KY053856</t>
  </si>
  <si>
    <t>Húběi odonate virus 9</t>
  </si>
  <si>
    <t>HbOV9</t>
  </si>
  <si>
    <t>QTM74767</t>
  </si>
  <si>
    <t>L: KX884786; M: KX884787; S: KX884788</t>
  </si>
  <si>
    <t>Kigluaik phantom virus</t>
  </si>
  <si>
    <t>KIGV</t>
  </si>
  <si>
    <t>G10N</t>
  </si>
  <si>
    <t>L: KJ434182; M: KJ434183; S: KJ434184</t>
  </si>
  <si>
    <t>Miglotas virus</t>
  </si>
  <si>
    <t>MIGV</t>
  </si>
  <si>
    <t>Niukluk phantom virus</t>
  </si>
  <si>
    <t>NUKV</t>
  </si>
  <si>
    <t>C7</t>
  </si>
  <si>
    <t>L: MN168168; M: MN168169; S: MN168170</t>
  </si>
  <si>
    <t>Húběi odonate virus 8</t>
  </si>
  <si>
    <t>HbOV8</t>
  </si>
  <si>
    <t>QTM19232</t>
  </si>
  <si>
    <t>L: KX884775; M: KX884776; S: KX884777</t>
  </si>
  <si>
    <t>hymenopteran phasma-related virus OKIAV228</t>
  </si>
  <si>
    <t>HyOV1</t>
  </si>
  <si>
    <t>Fǔshùn phasmavirus 2</t>
  </si>
  <si>
    <t>FsnPV2</t>
  </si>
  <si>
    <t>L: MZ210010; M: MZ210011; S: MZ210012</t>
  </si>
  <si>
    <t>Wǔchāng cockroach virus 1</t>
  </si>
  <si>
    <t>WcCVi</t>
  </si>
  <si>
    <t>ECZL-5</t>
  </si>
  <si>
    <t>L: KM817688; M: KM817721; S: KM817748</t>
  </si>
  <si>
    <t>Wǔhàn mosquito virus 1</t>
  </si>
  <si>
    <t>WhMV1</t>
  </si>
  <si>
    <t>WT3-15</t>
  </si>
  <si>
    <t>L: KM817697; M: KM817726; S: KM817758</t>
  </si>
  <si>
    <t>Sawastrivirus</t>
  </si>
  <si>
    <t>Sānxiá water strider virus 2</t>
  </si>
  <si>
    <t>SxWSV2</t>
  </si>
  <si>
    <t>SXSSP02</t>
  </si>
  <si>
    <t>L: KM817675; M: KX650646; S: KX650647</t>
  </si>
  <si>
    <t>Wuhivirus</t>
  </si>
  <si>
    <t>Wǔhàn insect virus 2</t>
  </si>
  <si>
    <t>WhIV2</t>
  </si>
  <si>
    <t>WHDL02</t>
  </si>
  <si>
    <t>L: KM817692; M: KM817724; S: KM817753</t>
  </si>
  <si>
    <t>Phenuiviridae</t>
  </si>
  <si>
    <t>Bandavirus</t>
  </si>
  <si>
    <t>Albatross Island virus</t>
  </si>
  <si>
    <t>ABIV</t>
  </si>
  <si>
    <t>L: KF848980; M: KF848981; S: KF848982</t>
  </si>
  <si>
    <t>lone star virus</t>
  </si>
  <si>
    <t>LSV</t>
  </si>
  <si>
    <t>TMA 1381</t>
  </si>
  <si>
    <t>L: KC589005; M: KC589006; S: KC589007</t>
  </si>
  <si>
    <t>Bhanja virus</t>
  </si>
  <si>
    <t>BHAV</t>
  </si>
  <si>
    <t>ibAr2709</t>
  </si>
  <si>
    <t>L: JX961616; M: JX961617; S: JX961618</t>
  </si>
  <si>
    <t>severe fever with thrombocytopenia syndrome virus</t>
  </si>
  <si>
    <t>SFTSV</t>
  </si>
  <si>
    <t>HB29</t>
  </si>
  <si>
    <t>L: HM745930; M: HM745931; S: HM745932</t>
  </si>
  <si>
    <t>Gùěrtú  virus</t>
  </si>
  <si>
    <t>GTV</t>
  </si>
  <si>
    <t>DXM</t>
  </si>
  <si>
    <t>Heartland virus</t>
  </si>
  <si>
    <t>HRTV</t>
  </si>
  <si>
    <t>TN</t>
  </si>
  <si>
    <t>Kismaayo virus</t>
  </si>
  <si>
    <t>KISV</t>
  </si>
  <si>
    <t>LEIV3641A</t>
  </si>
  <si>
    <t>L: KM114252; M: KM114253; S: KM114254</t>
  </si>
  <si>
    <t>Razdan virus</t>
  </si>
  <si>
    <t>RAZV</t>
  </si>
  <si>
    <t>LEIV-Arm2741</t>
  </si>
  <si>
    <t>L: KC335496; M: KC335497; S: KC335498</t>
  </si>
  <si>
    <t>Zwiesel bat bandavirus</t>
  </si>
  <si>
    <t>ZbbV</t>
  </si>
  <si>
    <t>ZV2011</t>
  </si>
  <si>
    <t>L: MN823639; M: MN823640; S: MN823641</t>
  </si>
  <si>
    <t>Beidivirus</t>
  </si>
  <si>
    <t>Húběi diptera virus 3</t>
  </si>
  <si>
    <t>HbDV3</t>
  </si>
  <si>
    <t>SCM17647</t>
  </si>
  <si>
    <t>L: KX884796; M: KX884797; S: KX884798</t>
  </si>
  <si>
    <t>Citricivirus</t>
  </si>
  <si>
    <t>Aphis citricidus bunyavirus</t>
  </si>
  <si>
    <t>AcBV</t>
  </si>
  <si>
    <t>Chongqin1</t>
  </si>
  <si>
    <t>L: MN163034; M: MN163035; S: MN163036</t>
  </si>
  <si>
    <t>Coguvirus</t>
  </si>
  <si>
    <t>Brassica campestris chinensis coguvirus 1</t>
  </si>
  <si>
    <t>BCCoV1</t>
  </si>
  <si>
    <t>DC303</t>
  </si>
  <si>
    <t>RNA1: MW291944; RNA2: MW291945</t>
  </si>
  <si>
    <t>citrus concave gum-associated virus</t>
  </si>
  <si>
    <t>CCGaV</t>
  </si>
  <si>
    <t>CGW2</t>
  </si>
  <si>
    <t>watermelon crinkle leaf-associated virus 1</t>
  </si>
  <si>
    <t>WCLaV1</t>
  </si>
  <si>
    <t>KF-1</t>
  </si>
  <si>
    <t>citrus virus A</t>
  </si>
  <si>
    <t>CiVA</t>
  </si>
  <si>
    <t>W4</t>
  </si>
  <si>
    <t>RNA1: MG764565; RNA2: MG764566</t>
  </si>
  <si>
    <t>watermelon crinkle leaf-associated virus 2</t>
  </si>
  <si>
    <t>WCLaV2</t>
  </si>
  <si>
    <t>KF-15</t>
  </si>
  <si>
    <t>grapevine associated cogu-like virus 1</t>
  </si>
  <si>
    <t>GaCLV1</t>
  </si>
  <si>
    <t>DMG 82</t>
  </si>
  <si>
    <t>RNA1: MN520751; RNA2: MN520752; RNA3: MN520753</t>
  </si>
  <si>
    <t>Yúnnán Paris negative-stranded virus</t>
  </si>
  <si>
    <t>YPNSV</t>
  </si>
  <si>
    <t>WS</t>
  </si>
  <si>
    <t>RNA1: MT269667; RNA2: MT269668</t>
  </si>
  <si>
    <t>Entovirus</t>
  </si>
  <si>
    <t>Entoleuca phenui-like virus 1</t>
  </si>
  <si>
    <t>EnPLV1</t>
  </si>
  <si>
    <t>E115-5</t>
  </si>
  <si>
    <t>RNA1: MF375882; RNA2: MK140653</t>
  </si>
  <si>
    <t>Goukovirus</t>
  </si>
  <si>
    <t>Aphalara polygoni bunya-like virus</t>
  </si>
  <si>
    <t>ApBLV</t>
  </si>
  <si>
    <t>Ceraphron bunya-like virus</t>
  </si>
  <si>
    <t>CerBLV</t>
  </si>
  <si>
    <t>Cumuto virus</t>
  </si>
  <si>
    <t>CUMV</t>
  </si>
  <si>
    <t>TR7094</t>
  </si>
  <si>
    <t>L: KF543244; M: KF543245; S: KF543246</t>
  </si>
  <si>
    <t>Gouléako virus</t>
  </si>
  <si>
    <t>A5/CI/2004</t>
  </si>
  <si>
    <t>Yíchāng insect virus</t>
  </si>
  <si>
    <t>YcIV</t>
  </si>
  <si>
    <t>YCYC01</t>
  </si>
  <si>
    <t>L: KM817703; M: KM817730; S: KM817763</t>
  </si>
  <si>
    <t>Horwuvirus</t>
  </si>
  <si>
    <t>Fitzroy Crossing tenui-like virus 1</t>
  </si>
  <si>
    <t>FCTenV1</t>
  </si>
  <si>
    <t>FCTeLV1/pool-6</t>
  </si>
  <si>
    <t>L: MT498812; M: MT498813; S: MT498814; S2: MT498815</t>
  </si>
  <si>
    <t>Solenopsis invicta virus 14</t>
  </si>
  <si>
    <t>SINV14</t>
  </si>
  <si>
    <t>B:Missipi</t>
  </si>
  <si>
    <t>L: MT860240; M: MT860248; S: MT860256</t>
  </si>
  <si>
    <t>Wǔhàn horsefly virus</t>
  </si>
  <si>
    <t>WhHV</t>
  </si>
  <si>
    <t>JJ2-1</t>
  </si>
  <si>
    <t>Hudivirus</t>
  </si>
  <si>
    <t>Húběi diptera virus 4</t>
  </si>
  <si>
    <t>HbDV4</t>
  </si>
  <si>
    <t>SCM94992</t>
  </si>
  <si>
    <t>L: KX884809; M: KX884810; S: KX884811</t>
  </si>
  <si>
    <t>Hudovirus</t>
  </si>
  <si>
    <t>Húběi lepidoptera virus 1</t>
  </si>
  <si>
    <t>HbLV1</t>
  </si>
  <si>
    <t>LCM141331</t>
  </si>
  <si>
    <t>L: KX884772; M: KX884773; S: KX884774</t>
  </si>
  <si>
    <t>Ixovirus</t>
  </si>
  <si>
    <t>blacklegged tick virus 1</t>
  </si>
  <si>
    <t>BTPV1</t>
  </si>
  <si>
    <t>H12</t>
  </si>
  <si>
    <t>L: KM048313; S: KM048314</t>
  </si>
  <si>
    <t>blacklegged tick virus 3</t>
  </si>
  <si>
    <t>BTPV3</t>
  </si>
  <si>
    <t>L: KU230449; S: KU230450</t>
  </si>
  <si>
    <t>Fairhair virus</t>
  </si>
  <si>
    <t>NOR/A2/Bronnoya/2014</t>
  </si>
  <si>
    <t>L: MF141052; S: MF141053</t>
  </si>
  <si>
    <t>Laulavirus</t>
  </si>
  <si>
    <t>grapevine associated cogu-like virus 2</t>
  </si>
  <si>
    <t>GaCLV2</t>
  </si>
  <si>
    <t>DMG 86</t>
  </si>
  <si>
    <t>RNA1: MN520754; RNA2: MN520755; RNA3: MN520756</t>
  </si>
  <si>
    <t>grapevine associated cogu-like virus 3</t>
  </si>
  <si>
    <t>GaCLV3</t>
  </si>
  <si>
    <t>DMG 83</t>
  </si>
  <si>
    <t>RNA1: MN520757; RNA2: MN520758; RNA3: MN520759</t>
  </si>
  <si>
    <t>grapevine associated cogu-like virus 4</t>
  </si>
  <si>
    <t>GaCLV4</t>
  </si>
  <si>
    <t>CREA-VE</t>
  </si>
  <si>
    <t>RNA1: MT353902; RNA2: MT353903; RNA3: MT353904</t>
  </si>
  <si>
    <t>Laurel Lake virus</t>
  </si>
  <si>
    <t>RTS65</t>
  </si>
  <si>
    <t>Wardell virus</t>
  </si>
  <si>
    <t>WRDV</t>
  </si>
  <si>
    <t>L24</t>
  </si>
  <si>
    <t>Lentinuvirus</t>
  </si>
  <si>
    <t>Lentinula edodes negative-strand RNA virus 2</t>
  </si>
  <si>
    <t>LeNSRV2</t>
  </si>
  <si>
    <t>RNA1: LC466008; RNA2: LC466009</t>
  </si>
  <si>
    <t>Mechlorovirus</t>
  </si>
  <si>
    <t>melon chlorotic spot virus</t>
  </si>
  <si>
    <t>MeCSV</t>
  </si>
  <si>
    <t>E11-018</t>
  </si>
  <si>
    <t>RNA1: MH817469; RNA2: MH817470; RNA3: MH817471; RNA4: MH817472; RNA5: MH817473; RNA6: MH817474; RNA7: MH817475; RNA8: MH817476</t>
  </si>
  <si>
    <t>Mobuvirus</t>
  </si>
  <si>
    <t>Euproctis pseudoconspersa bunyavirus</t>
  </si>
  <si>
    <t>EPBV</t>
  </si>
  <si>
    <t>Guangdong</t>
  </si>
  <si>
    <t>L: MN752229; M: MN752230; S: MN752231</t>
  </si>
  <si>
    <t>Mothra virus</t>
  </si>
  <si>
    <t>MTHV</t>
  </si>
  <si>
    <t>L: KX272883; M: KX272884; S: KX272885</t>
  </si>
  <si>
    <t>Ñarangue virus</t>
  </si>
  <si>
    <t>NRGV</t>
  </si>
  <si>
    <t>Mati1754-2</t>
  </si>
  <si>
    <t>Browner virus</t>
  </si>
  <si>
    <t>BRWV</t>
  </si>
  <si>
    <t>AFV19</t>
  </si>
  <si>
    <t>L: MN167501; S: MN167502</t>
  </si>
  <si>
    <t>Phasivirus</t>
  </si>
  <si>
    <t>Badu virus</t>
  </si>
  <si>
    <t>BADUV</t>
  </si>
  <si>
    <t>TS6347</t>
  </si>
  <si>
    <t>L: KT693187; M: KT693188; S: KT693189</t>
  </si>
  <si>
    <t>Guadeloupe mosquito phasivirus</t>
  </si>
  <si>
    <t>GMPV</t>
  </si>
  <si>
    <t>Ab-AAF-1-3</t>
  </si>
  <si>
    <t>L: MN053784; M: MN053785; S: MN053786</t>
  </si>
  <si>
    <t>Húběi diptera virus 5</t>
  </si>
  <si>
    <t>HbDV5</t>
  </si>
  <si>
    <t>SCM245062</t>
  </si>
  <si>
    <t>L: KX884799; M: KX884800; S: KX884801</t>
  </si>
  <si>
    <t>Parry's Creek phasivirus 1</t>
  </si>
  <si>
    <t>PCPhasV1</t>
  </si>
  <si>
    <t>PCPV1/pool-10</t>
  </si>
  <si>
    <t>L: MT498816; M: MT498818; S: MT498817</t>
  </si>
  <si>
    <t>Phasi Charoen-like virus</t>
  </si>
  <si>
    <t>PCLV</t>
  </si>
  <si>
    <t>Rio</t>
  </si>
  <si>
    <t>Wǔhàn fly virus 1</t>
  </si>
  <si>
    <t>WhFV1</t>
  </si>
  <si>
    <t>SYY1-9</t>
  </si>
  <si>
    <t>L: KM817689; M: KM817722; S: KM817749</t>
  </si>
  <si>
    <t>Wǔtái mosquito virus</t>
  </si>
  <si>
    <t>WtMV</t>
  </si>
  <si>
    <t>QN3-5</t>
  </si>
  <si>
    <t>L: KM817700; M: KM817728; S: KM817761</t>
  </si>
  <si>
    <t>Phlebovirus</t>
  </si>
  <si>
    <t>frijoles virus</t>
  </si>
  <si>
    <t>FRIV</t>
  </si>
  <si>
    <t>VP-161A</t>
  </si>
  <si>
    <t>Adana virus</t>
  </si>
  <si>
    <t>ADAV</t>
  </si>
  <si>
    <t>L: KJ939330; M: KJ939331; S: KJ939332</t>
  </si>
  <si>
    <t>Aguacate virus</t>
  </si>
  <si>
    <t>AGUV</t>
  </si>
  <si>
    <t>VP-175A</t>
  </si>
  <si>
    <t>Alcube virus</t>
  </si>
  <si>
    <t>ACBV</t>
  </si>
  <si>
    <t>L: KR363190; M: KR363191; S: KR363192</t>
  </si>
  <si>
    <t>Alenquer virus</t>
  </si>
  <si>
    <t>ALEV</t>
  </si>
  <si>
    <t>BeH301101</t>
  </si>
  <si>
    <t>L: HM119401; M: HM119402; S: HM119403</t>
  </si>
  <si>
    <t>Tres Almendras virus</t>
  </si>
  <si>
    <t>TRAV</t>
  </si>
  <si>
    <t>SP0412-PA-2013</t>
  </si>
  <si>
    <t>L: MK524348; M: MK524349; S: MK524350</t>
  </si>
  <si>
    <t>Ambé virus</t>
  </si>
  <si>
    <t>ABEV</t>
  </si>
  <si>
    <t>BeAr407981</t>
  </si>
  <si>
    <t>L: KX611382; M: KX611383; S: KX611384</t>
  </si>
  <si>
    <t>Anhangá virus</t>
  </si>
  <si>
    <t>ANHV</t>
  </si>
  <si>
    <t>BeAn46852</t>
  </si>
  <si>
    <t>L: KX611385; M: KX611386; S: KX611387</t>
  </si>
  <si>
    <t>Arumowot virus</t>
  </si>
  <si>
    <t>AMTV</t>
  </si>
  <si>
    <t>Ar 1286-64</t>
  </si>
  <si>
    <t>L: MF593931; M: MF593932; S: MF593933</t>
  </si>
  <si>
    <t>Bogoria virus</t>
  </si>
  <si>
    <t>BGRV</t>
  </si>
  <si>
    <t>SP105-KE2016</t>
  </si>
  <si>
    <t>L: MT270828; M: MT270829; S: MT270830</t>
  </si>
  <si>
    <t>Buenaventura virus</t>
  </si>
  <si>
    <t>BUEV</t>
  </si>
  <si>
    <t>CoAr3319</t>
  </si>
  <si>
    <t>L: KP272001; M: KP272002; S: KP272003</t>
  </si>
  <si>
    <t>Bujaru virus</t>
  </si>
  <si>
    <t>BUJV</t>
  </si>
  <si>
    <t>BeAn47693</t>
  </si>
  <si>
    <t>L: KX611388; M: KX611389; S: KX611390</t>
  </si>
  <si>
    <t>Cacao virus</t>
  </si>
  <si>
    <t>CACV</t>
  </si>
  <si>
    <t>VP-437R</t>
  </si>
  <si>
    <t>L: MK330756; M: MK330757; S: MK330758</t>
  </si>
  <si>
    <t>Campana virus</t>
  </si>
  <si>
    <t>CMAV</t>
  </si>
  <si>
    <t>VP-334K</t>
  </si>
  <si>
    <t>L: KP272040; M: KP272041; S: KP272042</t>
  </si>
  <si>
    <t>Candirú virus</t>
  </si>
  <si>
    <t>CDUV</t>
  </si>
  <si>
    <t>BeH22511</t>
  </si>
  <si>
    <t>L: HM119407; M: HM119408; S: HM119409</t>
  </si>
  <si>
    <t>Chagres virus</t>
  </si>
  <si>
    <t>CHGV</t>
  </si>
  <si>
    <t>JW-10</t>
  </si>
  <si>
    <t>Rio Claro virus</t>
  </si>
  <si>
    <t>RICV</t>
  </si>
  <si>
    <t>GGP-2011a</t>
  </si>
  <si>
    <t>L: HM566185; M: HM566186; S: HM566187</t>
  </si>
  <si>
    <t>Coclé virus</t>
  </si>
  <si>
    <t>CCLV</t>
  </si>
  <si>
    <t>GML244915</t>
  </si>
  <si>
    <t>Corfou virus</t>
  </si>
  <si>
    <t>CFUV</t>
  </si>
  <si>
    <t>Pa Ar 814</t>
  </si>
  <si>
    <t>L: KR106177; M: KR106178; S: KR106179</t>
  </si>
  <si>
    <t>Dāshlī virus</t>
  </si>
  <si>
    <t>DASV</t>
  </si>
  <si>
    <t>L: KP771821; M: KP771822; S: KP771823</t>
  </si>
  <si>
    <t>Durania virus</t>
  </si>
  <si>
    <t>DRNV</t>
  </si>
  <si>
    <t>Co Ar 171162</t>
  </si>
  <si>
    <t>Echarate virus</t>
  </si>
  <si>
    <t>ECHV</t>
  </si>
  <si>
    <t>OBS 6528</t>
  </si>
  <si>
    <t>L: HM119410; M: HM119411; S: HM119412</t>
  </si>
  <si>
    <t>Embossos virus</t>
  </si>
  <si>
    <t>EMBV</t>
  </si>
  <si>
    <t>SP228-KE-2016</t>
  </si>
  <si>
    <t>L: MT270825; M: MT270826; S: MT270827</t>
  </si>
  <si>
    <t>Saint-Floris virus</t>
  </si>
  <si>
    <t>SAFV</t>
  </si>
  <si>
    <t>Dak ANBr 512d</t>
  </si>
  <si>
    <t>L: JF920136; M: JF920137; S: JF920138</t>
  </si>
  <si>
    <t>Gabek forest virus</t>
  </si>
  <si>
    <t>GFV</t>
  </si>
  <si>
    <t>Sud AN 754-61</t>
  </si>
  <si>
    <t>L: KF297903; M: KF297904; S: KF297905</t>
  </si>
  <si>
    <t>La Gloria virus</t>
  </si>
  <si>
    <t>LAGV</t>
  </si>
  <si>
    <t>SP0584-PA-2014</t>
  </si>
  <si>
    <t>L: MK524332; M: MK524333; S: MK524334</t>
  </si>
  <si>
    <t>Gordil virus</t>
  </si>
  <si>
    <t>Dak ANBr 496d</t>
  </si>
  <si>
    <t>L: KF297900; M: KF297901; S: KF297902</t>
  </si>
  <si>
    <t>Hédi virus</t>
  </si>
  <si>
    <t>HEDV</t>
  </si>
  <si>
    <t>SXYQ1867-2</t>
  </si>
  <si>
    <t>L: MW368831; M: MW368832; S: MW368833</t>
  </si>
  <si>
    <t>Icoaraci virus</t>
  </si>
  <si>
    <t>ICOV</t>
  </si>
  <si>
    <t>BeAn24262</t>
  </si>
  <si>
    <t>L: MK330768; M: MK330769; S: MK330770</t>
  </si>
  <si>
    <t>Itaituba virus</t>
  </si>
  <si>
    <t>BeAn213452</t>
  </si>
  <si>
    <t>L: HM119416; M: HM119417; S: HM119418</t>
  </si>
  <si>
    <t>Itaporanga virus</t>
  </si>
  <si>
    <t>ITPV</t>
  </si>
  <si>
    <t>L: MK330771; M: MK330772; S: MK330773</t>
  </si>
  <si>
    <t>Ixcanal virus</t>
  </si>
  <si>
    <t>IXCV</t>
  </si>
  <si>
    <t>CA Ar 170897</t>
  </si>
  <si>
    <t>Karimabad virus</t>
  </si>
  <si>
    <t>KARV</t>
  </si>
  <si>
    <t>91045-AG</t>
  </si>
  <si>
    <t>L: KF297909; M: KF297910; S: KF297911</t>
  </si>
  <si>
    <t>Kiborgoch virus</t>
  </si>
  <si>
    <t>KBGV</t>
  </si>
  <si>
    <t>SSP39-KE-2016</t>
  </si>
  <si>
    <t>L: MT270831; M: MT270832; S: MT270833</t>
  </si>
  <si>
    <t>Leticia virus</t>
  </si>
  <si>
    <t>LTCV</t>
  </si>
  <si>
    <t>CoAr171616</t>
  </si>
  <si>
    <t>Maldonado virus</t>
  </si>
  <si>
    <t>MLOV</t>
  </si>
  <si>
    <t>FMD 0077</t>
  </si>
  <si>
    <t>L: HM119413; M: HM119414; S: HM119415</t>
  </si>
  <si>
    <t>Massilia virus</t>
  </si>
  <si>
    <t>MASV</t>
  </si>
  <si>
    <t>W</t>
  </si>
  <si>
    <t>L: EU725771; M: EU725772; S: EU725773</t>
  </si>
  <si>
    <t>Medjerda Valley virus</t>
  </si>
  <si>
    <t>MVV</t>
  </si>
  <si>
    <t>T131</t>
  </si>
  <si>
    <t>L: KU255114; M: KU255115; S: KU297253</t>
  </si>
  <si>
    <t>Mona Grita virus</t>
  </si>
  <si>
    <t>MOGV</t>
  </si>
  <si>
    <t>SP0260-PA-2014</t>
  </si>
  <si>
    <t>L: MK524337; M: MK524338; S: MK524339</t>
  </si>
  <si>
    <t>Mukawa virus</t>
  </si>
  <si>
    <t>MKWV</t>
  </si>
  <si>
    <t>MKW73</t>
  </si>
  <si>
    <t>Munguba virus</t>
  </si>
  <si>
    <t>BeAr389707</t>
  </si>
  <si>
    <t>L: HM566164; M: HM566165; S: HM566166</t>
  </si>
  <si>
    <t>sandfly fever Naples virus</t>
  </si>
  <si>
    <t>SFNV</t>
  </si>
  <si>
    <t>Namru</t>
  </si>
  <si>
    <t>L: HM566167; M: HM566169; S: HM566168</t>
  </si>
  <si>
    <t>Nique virus</t>
  </si>
  <si>
    <t>NIQV</t>
  </si>
  <si>
    <t>9C</t>
  </si>
  <si>
    <t>L: HM119425; M: HM119426; S: HM119427</t>
  </si>
  <si>
    <t>Ntepes virus</t>
  </si>
  <si>
    <t>NTPV</t>
  </si>
  <si>
    <t>MRG54-KE-2014</t>
  </si>
  <si>
    <t>Odrénisrou virus</t>
  </si>
  <si>
    <t>ODRV</t>
  </si>
  <si>
    <t>ArA1131/80</t>
  </si>
  <si>
    <t>Oriximiná virus</t>
  </si>
  <si>
    <t>ORXV</t>
  </si>
  <si>
    <t>BeAr385309</t>
  </si>
  <si>
    <t>L: HM119434; M: HM119435; S: HM119436</t>
  </si>
  <si>
    <t>viola virus</t>
  </si>
  <si>
    <t>VIOV</t>
  </si>
  <si>
    <t>BR/MT_PanAr2015</t>
  </si>
  <si>
    <t>Peña Blanca virus</t>
  </si>
  <si>
    <t>SP1683-PA-2014</t>
  </si>
  <si>
    <t>L: MK524341; M: MK524342; S: MK524343</t>
  </si>
  <si>
    <t>Penshurt virus</t>
  </si>
  <si>
    <t>PEHV</t>
  </si>
  <si>
    <t>ANHV-Costa Rica</t>
  </si>
  <si>
    <t>L: MN163121; M: MN163122; S: MN163123</t>
  </si>
  <si>
    <t>Perkerra virus</t>
  </si>
  <si>
    <t>PKEV</t>
  </si>
  <si>
    <t>SP166-KE-2016</t>
  </si>
  <si>
    <t>L: MT270834; M: MT270835; S: MT270836</t>
  </si>
  <si>
    <t>Punique virus</t>
  </si>
  <si>
    <t>PUNV</t>
  </si>
  <si>
    <t>PI-B4-2008</t>
  </si>
  <si>
    <t>L: JF920133; M: JF920134; S: JF920135</t>
  </si>
  <si>
    <t>Rift Valley fever virus</t>
  </si>
  <si>
    <t>RVFV</t>
  </si>
  <si>
    <t>ZH-548</t>
  </si>
  <si>
    <t>Rio Grande virus</t>
  </si>
  <si>
    <t>RGV</t>
  </si>
  <si>
    <t>TBM3-204</t>
  </si>
  <si>
    <t>L: MK503253; M: MK503254; S: MK503255</t>
  </si>
  <si>
    <t>Salanga virus</t>
  </si>
  <si>
    <t>SLGV</t>
  </si>
  <si>
    <t>AnB 904a</t>
  </si>
  <si>
    <t>L: KC669549; M: KC669550; S: KC669551</t>
  </si>
  <si>
    <t>Salehabad virus</t>
  </si>
  <si>
    <t>SALV</t>
  </si>
  <si>
    <t>I-81</t>
  </si>
  <si>
    <t>L: JX472403; M: JX472404; S: JX472405</t>
  </si>
  <si>
    <t>Salobo virus</t>
  </si>
  <si>
    <t>SLBOV</t>
  </si>
  <si>
    <t>BeAn578142</t>
  </si>
  <si>
    <t>sandfly fever Sicilian virus</t>
  </si>
  <si>
    <t>SFSV</t>
  </si>
  <si>
    <t>Izmir 19</t>
  </si>
  <si>
    <t>Tapará virus</t>
  </si>
  <si>
    <t>TPRV</t>
  </si>
  <si>
    <t>BeAr413570</t>
  </si>
  <si>
    <t>L: KX611397; M: KX611398; S: KX611399</t>
  </si>
  <si>
    <t>Tehran virus</t>
  </si>
  <si>
    <t>THEV</t>
  </si>
  <si>
    <t>I-47</t>
  </si>
  <si>
    <t>L: JF939846; M: JF939847; S: JF939848</t>
  </si>
  <si>
    <t>Tico virus</t>
  </si>
  <si>
    <t>SP0157-PA-2013</t>
  </si>
  <si>
    <t>L: MK524345; M: MK524346; S: MK524347</t>
  </si>
  <si>
    <t>Punta Toro virus</t>
  </si>
  <si>
    <t>PTV</t>
  </si>
  <si>
    <t>Adames</t>
  </si>
  <si>
    <t>L: KP272028; M: KP272029; S: KP272030</t>
  </si>
  <si>
    <t>Toros virus</t>
  </si>
  <si>
    <t>TORV</t>
  </si>
  <si>
    <t>L: KP966619; M: KP966620; S: KP966621</t>
  </si>
  <si>
    <t>Toscana virus</t>
  </si>
  <si>
    <t>TOSV</t>
  </si>
  <si>
    <t>ISS.Phl.3</t>
  </si>
  <si>
    <t>Turuna virus</t>
  </si>
  <si>
    <t>TUAV</t>
  </si>
  <si>
    <t>BeAr352492</t>
  </si>
  <si>
    <t>Uriurana virus</t>
  </si>
  <si>
    <t>URIV</t>
  </si>
  <si>
    <t>BeAr479776</t>
  </si>
  <si>
    <t>L: KX611400; M: KX611401; S: KX611402</t>
  </si>
  <si>
    <t>Urucuri virus</t>
  </si>
  <si>
    <t>URUV</t>
  </si>
  <si>
    <t>BeAn100049</t>
  </si>
  <si>
    <t>L: KX611403; M: KX611404; S: KX611405</t>
  </si>
  <si>
    <t>Zerdali virus</t>
  </si>
  <si>
    <t>ZERV</t>
  </si>
  <si>
    <t>L: KP966616; M: KP966617; S: KP966618</t>
  </si>
  <si>
    <t>Joá virus</t>
  </si>
  <si>
    <t>JOAV</t>
  </si>
  <si>
    <t>BeAr371637</t>
  </si>
  <si>
    <t>Ariquemes virus</t>
  </si>
  <si>
    <t>ARQV</t>
  </si>
  <si>
    <t>BeAr485678</t>
  </si>
  <si>
    <t>Jacundá virus</t>
  </si>
  <si>
    <t>JCNV</t>
  </si>
  <si>
    <t>BeAn428329</t>
  </si>
  <si>
    <t>Morumbi virus</t>
  </si>
  <si>
    <t>MR(M)BV</t>
  </si>
  <si>
    <t>BeH475236</t>
  </si>
  <si>
    <t>Mucura virus</t>
  </si>
  <si>
    <t>BeAr455230</t>
  </si>
  <si>
    <t>Serra Norte virus</t>
  </si>
  <si>
    <t>SNRV</t>
  </si>
  <si>
    <t>BeH505240</t>
  </si>
  <si>
    <t>ARRV</t>
  </si>
  <si>
    <t>PoSFPhlebV/126/2008</t>
  </si>
  <si>
    <t>Balkan virus</t>
  </si>
  <si>
    <t>BALKV</t>
  </si>
  <si>
    <t>C51</t>
  </si>
  <si>
    <t>Fermo virus</t>
  </si>
  <si>
    <t>FERV</t>
  </si>
  <si>
    <t>212236-3</t>
  </si>
  <si>
    <t>Granada virus</t>
  </si>
  <si>
    <t>GR25</t>
  </si>
  <si>
    <t>Saddaguia virus</t>
  </si>
  <si>
    <t>SADV</t>
  </si>
  <si>
    <t>T64</t>
  </si>
  <si>
    <t>Adria virus</t>
  </si>
  <si>
    <t>ADRV</t>
  </si>
  <si>
    <t>ALB1/2005</t>
  </si>
  <si>
    <t>Bregalaka virus</t>
  </si>
  <si>
    <t>BREV</t>
  </si>
  <si>
    <t>M31</t>
  </si>
  <si>
    <t>Olbia virus</t>
  </si>
  <si>
    <t>OLBV</t>
  </si>
  <si>
    <t>373 Le Beausset</t>
  </si>
  <si>
    <t>Arbia virus</t>
  </si>
  <si>
    <t>ARBV</t>
  </si>
  <si>
    <t>ISS PHL 18</t>
  </si>
  <si>
    <t>Zaba virus</t>
  </si>
  <si>
    <t>ZABAV</t>
  </si>
  <si>
    <t>C48</t>
  </si>
  <si>
    <t>Capira virus</t>
  </si>
  <si>
    <t>CAPIV</t>
  </si>
  <si>
    <t>VP-366G</t>
  </si>
  <si>
    <t>Pidchovirus</t>
  </si>
  <si>
    <t>Pidgey virus</t>
  </si>
  <si>
    <t>PGYV</t>
  </si>
  <si>
    <t>M6</t>
  </si>
  <si>
    <t>coleopteran phenui-related virus 308</t>
  </si>
  <si>
    <t>CoPrV308</t>
  </si>
  <si>
    <t>OKIAV308</t>
  </si>
  <si>
    <t>Rubodvirus</t>
  </si>
  <si>
    <t>grapevine Muscat rose virus</t>
  </si>
  <si>
    <t>GMRV</t>
  </si>
  <si>
    <t>K335</t>
  </si>
  <si>
    <t>RNA1: MK728654; RNA2: MK728655; RNA3: MK728656</t>
  </si>
  <si>
    <t>grapevine Garan dmak virus</t>
  </si>
  <si>
    <t>GGDV</t>
  </si>
  <si>
    <t>RNA1: MK728657; RNA2: MK728658; RNA3: MK728659</t>
  </si>
  <si>
    <t>apple rubbery wood virus 1</t>
  </si>
  <si>
    <t>ARWV1</t>
  </si>
  <si>
    <t>982-11</t>
  </si>
  <si>
    <t>L: MF062125; M: MF062126; S: MF062127</t>
  </si>
  <si>
    <t>apple rubbery wood virus 2</t>
  </si>
  <si>
    <t>ARWV2</t>
  </si>
  <si>
    <t>Tanzavirus</t>
  </si>
  <si>
    <t>Dar es Salaam virus</t>
  </si>
  <si>
    <t>DeSV</t>
  </si>
  <si>
    <t>TZ-189</t>
  </si>
  <si>
    <t>L: MN062090; M: MN062091; S: MN062092</t>
  </si>
  <si>
    <t>Tenuivirus</t>
  </si>
  <si>
    <t>Echinochloa hoja blanca virus</t>
  </si>
  <si>
    <t>EHBV</t>
  </si>
  <si>
    <t>Costa Rica+ESEJN</t>
  </si>
  <si>
    <t>European wheat striate mosaic virus</t>
  </si>
  <si>
    <t>EWSMV</t>
  </si>
  <si>
    <t>Estonian</t>
  </si>
  <si>
    <t>RNA1: MN044342; RNA2: MN044343; RNA3: MN044344; RNA4: MN044345</t>
  </si>
  <si>
    <t>rice grassy stunt virus</t>
  </si>
  <si>
    <t>RGSV</t>
  </si>
  <si>
    <t>IRRI</t>
  </si>
  <si>
    <t>rice stripe virus</t>
  </si>
  <si>
    <t>T</t>
  </si>
  <si>
    <t>rice hoja blanca virus</t>
  </si>
  <si>
    <t>RHBV</t>
  </si>
  <si>
    <t>RNA1: MG566074; RNA2: MG566075; RNA3: MG566076; RNA4: MG566077</t>
  </si>
  <si>
    <t>Iranian wheat stripe virus</t>
  </si>
  <si>
    <t>IWSV</t>
  </si>
  <si>
    <t>RNA2: AY312434; RNA3: AY312435; RNA4: AY312436</t>
  </si>
  <si>
    <t>Urochloa hoja blanca virus</t>
  </si>
  <si>
    <t>UHBV</t>
  </si>
  <si>
    <t>maize stripe virus</t>
  </si>
  <si>
    <t>Uukuvirus</t>
  </si>
  <si>
    <t>Dàbiéshān tick virus</t>
  </si>
  <si>
    <t>D3</t>
  </si>
  <si>
    <t>L: KM817666; S: KM817733</t>
  </si>
  <si>
    <t>American dog tick virus</t>
  </si>
  <si>
    <t>FI6</t>
  </si>
  <si>
    <t>Grand Arbaud virus</t>
  </si>
  <si>
    <t>GAV</t>
  </si>
  <si>
    <t>Argas 27</t>
  </si>
  <si>
    <t>L: JF838327; M: JF838328; S: JF838329</t>
  </si>
  <si>
    <t>Pacific coast tick virus</t>
  </si>
  <si>
    <t>L: KU933936; S: KU933937</t>
  </si>
  <si>
    <t>Huángpí tick virus 2</t>
  </si>
  <si>
    <t>HpTV2</t>
  </si>
  <si>
    <t>H114-17</t>
  </si>
  <si>
    <t>L: KM817668; M: KM817707; S: KM817735</t>
  </si>
  <si>
    <t>Kabuto mountain virus</t>
  </si>
  <si>
    <t>T32</t>
  </si>
  <si>
    <t>L: LC153711; M: LC153712; S: LC153713</t>
  </si>
  <si>
    <t>Kaisodi virus</t>
  </si>
  <si>
    <t>KASDV</t>
  </si>
  <si>
    <t>G14132</t>
  </si>
  <si>
    <t>L: MG581739; M: MG581740; S: MG581741</t>
  </si>
  <si>
    <t>Lǐhán tick virus</t>
  </si>
  <si>
    <t>LITV</t>
  </si>
  <si>
    <t>LH-1</t>
  </si>
  <si>
    <t>L: KM817672; S: KM817736</t>
  </si>
  <si>
    <t>Precarious Point virus</t>
  </si>
  <si>
    <t>MI 19334</t>
  </si>
  <si>
    <t>Rukutama virus</t>
  </si>
  <si>
    <t>RUKV</t>
  </si>
  <si>
    <t>LEIV-6269C</t>
  </si>
  <si>
    <t>L: KF892052; M: KF892053; S: KF892054</t>
  </si>
  <si>
    <t>Nile warbler virus</t>
  </si>
  <si>
    <t>NIWV</t>
  </si>
  <si>
    <t>EgAN 1825-61</t>
  </si>
  <si>
    <t>Silverwater virus</t>
  </si>
  <si>
    <t>SILV</t>
  </si>
  <si>
    <t>Can131</t>
  </si>
  <si>
    <t>Tǎchéng tick virus 2</t>
  </si>
  <si>
    <t>TcTV2</t>
  </si>
  <si>
    <t>TC252</t>
  </si>
  <si>
    <t>L: KM817684; S: KM817744</t>
  </si>
  <si>
    <t>Tōyo virus</t>
  </si>
  <si>
    <t>TOYOV</t>
  </si>
  <si>
    <t>IM-OI100</t>
  </si>
  <si>
    <t>L: LC618931; M: LC618932; S: LC618933</t>
  </si>
  <si>
    <t>Zaliv Terpeniya virus</t>
  </si>
  <si>
    <t>ZTV</t>
  </si>
  <si>
    <t>LEIV-271Ka</t>
  </si>
  <si>
    <t>murre virus</t>
  </si>
  <si>
    <t>Murre H</t>
  </si>
  <si>
    <t>L: JF838330; M: JF838331; S: JF838332</t>
  </si>
  <si>
    <t>Uukuniemi virus</t>
  </si>
  <si>
    <t>UUKV</t>
  </si>
  <si>
    <t>S 23</t>
  </si>
  <si>
    <t>L: D10759; M: M17417; S: M33551</t>
  </si>
  <si>
    <t>Yǒngjiā tick virus</t>
  </si>
  <si>
    <t>YONV</t>
  </si>
  <si>
    <t>YJ1-1</t>
  </si>
  <si>
    <t>L: KM817704; S: KM817764</t>
  </si>
  <si>
    <t>Chizé virus</t>
  </si>
  <si>
    <t>CHZV</t>
  </si>
  <si>
    <t>Brest Ar/T29134</t>
  </si>
  <si>
    <t>Fin V 707 virus</t>
  </si>
  <si>
    <t>FINV</t>
  </si>
  <si>
    <t>Wenrivirus</t>
  </si>
  <si>
    <t>Mourilyan virus</t>
  </si>
  <si>
    <t>MoV</t>
  </si>
  <si>
    <t>AUS-1997</t>
  </si>
  <si>
    <t xml:space="preserve">L: MT241517; M: MT241518; S1: MT249221; S2: MT241519 </t>
  </si>
  <si>
    <t>Tospoviridae</t>
  </si>
  <si>
    <t>Orthotospovirus</t>
  </si>
  <si>
    <t>Alstroemeria yellow spot virus</t>
  </si>
  <si>
    <t>AYSV</t>
  </si>
  <si>
    <t>Als-2000</t>
  </si>
  <si>
    <t>L: MF469033; M: MF469034; S: MF469035</t>
  </si>
  <si>
    <t>Alstroemeria necrotic streak virus</t>
  </si>
  <si>
    <t>ANSV</t>
  </si>
  <si>
    <t>San Vicente 3</t>
  </si>
  <si>
    <t>L: MG696851; M: MG696852; S: MG696853</t>
  </si>
  <si>
    <t>groundnut ringspot virus</t>
  </si>
  <si>
    <t>GRSV-AR</t>
  </si>
  <si>
    <t>L: KT972590; M: KT972592; S: KT972594</t>
  </si>
  <si>
    <t>groundnut yellow spot virus</t>
  </si>
  <si>
    <t>SP-C</t>
  </si>
  <si>
    <t>S: HQ402596</t>
  </si>
  <si>
    <t>groundnut chlorotic fan-spot virus</t>
  </si>
  <si>
    <t>GCFSV</t>
  </si>
  <si>
    <t>PD2</t>
  </si>
  <si>
    <t>L: KP146140; M: KP146141</t>
  </si>
  <si>
    <t>groundnut bud necrosis virus</t>
  </si>
  <si>
    <t>GBNV</t>
  </si>
  <si>
    <t>calla lily chlorotic spot virus</t>
  </si>
  <si>
    <t>CCSV</t>
  </si>
  <si>
    <t>Calla lily</t>
  </si>
  <si>
    <t>Capsicum chlorosis virus</t>
  </si>
  <si>
    <t>AIT</t>
  </si>
  <si>
    <t>pepper chlorotic spot virus</t>
  </si>
  <si>
    <t>PCSV</t>
  </si>
  <si>
    <t>14YV733</t>
  </si>
  <si>
    <t>chrysanthemum stem necrosis virus</t>
  </si>
  <si>
    <t>CSNV</t>
  </si>
  <si>
    <t>PD4412741</t>
  </si>
  <si>
    <t>L: KM114546; M: KM114547; S: KM114548</t>
  </si>
  <si>
    <t>watermelon silver mottle virus</t>
  </si>
  <si>
    <t>WSMoV</t>
  </si>
  <si>
    <t>L: AF133128; M: U75379; S: U78734</t>
  </si>
  <si>
    <t>watermelon bud necrosis virus</t>
  </si>
  <si>
    <t>WBNV</t>
  </si>
  <si>
    <t>zucchini lethal chlorosis virus</t>
  </si>
  <si>
    <t>ZLCV</t>
  </si>
  <si>
    <t>SP</t>
  </si>
  <si>
    <t>L: KU641378; M: KU641379; S: KU641380</t>
  </si>
  <si>
    <t>soybean vein necrosis virus</t>
  </si>
  <si>
    <t>SVNV</t>
  </si>
  <si>
    <t>L: HQ728385; M: HQ728386; S: HQ728387</t>
  </si>
  <si>
    <t>Hippeastrum chlorotic spot virus</t>
  </si>
  <si>
    <t>HCRV</t>
  </si>
  <si>
    <t>HLS1-2</t>
  </si>
  <si>
    <t>impatiens necrotic spot virus</t>
  </si>
  <si>
    <t>INSV</t>
  </si>
  <si>
    <t>NL-07</t>
  </si>
  <si>
    <t>iris yellow spot virus</t>
  </si>
  <si>
    <t>IYSV</t>
  </si>
  <si>
    <t>melon yellow spot virus</t>
  </si>
  <si>
    <t>Tospo-melo</t>
  </si>
  <si>
    <t>melon severe mosaic virus</t>
  </si>
  <si>
    <t>VE440-A</t>
  </si>
  <si>
    <t>mulberry vein banding-associated virus</t>
  </si>
  <si>
    <t>XCSY-3</t>
  </si>
  <si>
    <t>L: KM819698; M: KM819699; S: KM819701</t>
  </si>
  <si>
    <t>bean necrotic mosaic virus</t>
  </si>
  <si>
    <t>BeNMV</t>
  </si>
  <si>
    <t>TF-SP</t>
  </si>
  <si>
    <t>Polygonum ringspot virus</t>
  </si>
  <si>
    <t>PolRSV</t>
  </si>
  <si>
    <t>Plg13</t>
  </si>
  <si>
    <t>tomato yellow ring virus</t>
  </si>
  <si>
    <t>TYRV</t>
  </si>
  <si>
    <t>TYRV-t</t>
  </si>
  <si>
    <t>tomato cholorotic spot virus</t>
  </si>
  <si>
    <t>TCSV</t>
  </si>
  <si>
    <t>AB8900-2-3</t>
  </si>
  <si>
    <t>L: HQ700667</t>
  </si>
  <si>
    <t>tomato spotted wilt virus</t>
  </si>
  <si>
    <t>TSWV</t>
  </si>
  <si>
    <t>BR-01 CNPH1)</t>
  </si>
  <si>
    <t>tomato zonate spot virus</t>
  </si>
  <si>
    <t>TZSV</t>
  </si>
  <si>
    <t>Tomato-YN</t>
  </si>
  <si>
    <t>Tulasviridae</t>
  </si>
  <si>
    <t>Orthotulasvirus</t>
  </si>
  <si>
    <t>Tulasnella bunyavirales-like virus 1</t>
  </si>
  <si>
    <t>TB-LV</t>
  </si>
  <si>
    <t>MUT4237</t>
  </si>
  <si>
    <t>MN793997</t>
  </si>
  <si>
    <t>Wupedeviridae</t>
  </si>
  <si>
    <t>Wumivirus</t>
  </si>
  <si>
    <t>Wǔhàn millipede virus 2</t>
  </si>
  <si>
    <t>WHWG03</t>
  </si>
  <si>
    <t>Insthoviricetes</t>
  </si>
  <si>
    <t>Articulavirales</t>
  </si>
  <si>
    <t>Amnoonviridae</t>
  </si>
  <si>
    <t>Tilapinevirus</t>
  </si>
  <si>
    <t>tilapia lake virus</t>
  </si>
  <si>
    <t>TiLV</t>
  </si>
  <si>
    <t>Til-4-2011</t>
  </si>
  <si>
    <t>RNA1: KU751814; RNA2: KU751815; RNA3: KU751816; RNA4: KU751817; RNA5: KU751818; RNA6: KU751819; RNA7: KU751820; RNA8: KU751821; RNA9: KU751822; RNA10: KU751823</t>
  </si>
  <si>
    <t>Orthomyxoviridae</t>
  </si>
  <si>
    <t>Alphainfluenzavirus</t>
  </si>
  <si>
    <t>influenza A virus</t>
  </si>
  <si>
    <t>FLUAV</t>
  </si>
  <si>
    <t>A/PR/8/34</t>
  </si>
  <si>
    <t>Betainfluenzavirus</t>
  </si>
  <si>
    <t>influenza B virus</t>
  </si>
  <si>
    <t>FLUBV</t>
  </si>
  <si>
    <t>B/Lee/40</t>
  </si>
  <si>
    <t>Deltainfluenzavirus</t>
  </si>
  <si>
    <t>influenza D virus</t>
  </si>
  <si>
    <t>FLUDV</t>
  </si>
  <si>
    <t>D/swine/Oklahoma/1334/2011</t>
  </si>
  <si>
    <t>RNA1: JQ922305; RNA2: JQ922306; RNA3: JQ922307; RNA4: JQ922308; RNA5: JQ922309; RNA6: JQ922310; RNA7: JQ922311</t>
  </si>
  <si>
    <t>Gammainfluenzavirus</t>
  </si>
  <si>
    <t>influenza C virus</t>
  </si>
  <si>
    <t>FLUCV</t>
  </si>
  <si>
    <t>C/Ann Arbor/1/50</t>
  </si>
  <si>
    <t>RNA1: AB126191; RNA2: AB126192; RNA3: AB126193; RNA4: AB126194; RNA5: AB126195; RNA6: AB126196; RNA7: AB283001</t>
  </si>
  <si>
    <t>Isavirus</t>
  </si>
  <si>
    <t>infectious salmon anemia virus</t>
  </si>
  <si>
    <t>ISAV</t>
  </si>
  <si>
    <t>810/9/99</t>
  </si>
  <si>
    <t>Mykissvirus</t>
  </si>
  <si>
    <t>rainbow trout orthomyxovirus</t>
  </si>
  <si>
    <t>RbtOV</t>
  </si>
  <si>
    <t>Rainbow/Idaho/347/1997</t>
  </si>
  <si>
    <t>Seg1: KX882061; Seg2: KX882062; Seg3: KX882063; Seg4: KX882064; Seg5: KX882065; Seg6: KX882066; Seg7: KX882067; Seg8: KX882068</t>
  </si>
  <si>
    <t>steelhead trout orthomyxovirus</t>
  </si>
  <si>
    <t>SttOV1</t>
  </si>
  <si>
    <t>Steelhead/Wisconsin/2014</t>
  </si>
  <si>
    <t>Quaranjavirus</t>
  </si>
  <si>
    <t>Araguari virus</t>
  </si>
  <si>
    <t>SAARB-24-Jan-1995</t>
  </si>
  <si>
    <t>Lake Chad virus</t>
  </si>
  <si>
    <t>LKCV</t>
  </si>
  <si>
    <t>Ib An 38918</t>
  </si>
  <si>
    <t>Seg1: MT774253; Seg2: MT774254; Seg3: MT774255; Seg4: MT774256; Seg5: MT774257; Seg6: MT774258; Seg7: MT774259</t>
  </si>
  <si>
    <t>Johnston Atoll virus</t>
  </si>
  <si>
    <t>JAV</t>
  </si>
  <si>
    <t>LBJ</t>
  </si>
  <si>
    <t>FJ861697; FJ861696</t>
  </si>
  <si>
    <t>Quaranfil virus</t>
  </si>
  <si>
    <t>QRFV</t>
  </si>
  <si>
    <t>EG T 377</t>
  </si>
  <si>
    <t>Tyulek (Tjuloc) virus</t>
  </si>
  <si>
    <t>TLKV</t>
  </si>
  <si>
    <t>LEIV 152K</t>
  </si>
  <si>
    <t>Wellfleet Bay virus</t>
  </si>
  <si>
    <t>WFBV</t>
  </si>
  <si>
    <t>10-280-G</t>
  </si>
  <si>
    <t>Seg1: KM114304; Seg2: KM114305; Seg3: KM114306; Seg4: KM114307; Seg5: KM114308; Seg6: KM114309; Seg7: KM114310</t>
  </si>
  <si>
    <t>Sardinovirus</t>
  </si>
  <si>
    <t>pilchard orthomyxovirus</t>
  </si>
  <si>
    <t>POMV</t>
  </si>
  <si>
    <t>14-01514</t>
  </si>
  <si>
    <t>MN241407; MN241408; MN241409; MN241410; MN241411; MN241412; MN241413; MN241414</t>
  </si>
  <si>
    <t>Thogotovirus</t>
  </si>
  <si>
    <t>Bourbon virus</t>
  </si>
  <si>
    <t>BRBV</t>
  </si>
  <si>
    <t>MO-2013-2499</t>
  </si>
  <si>
    <t>Dhori virus</t>
  </si>
  <si>
    <t>DHOV</t>
  </si>
  <si>
    <t>1313/61</t>
  </si>
  <si>
    <t>Jos virus</t>
  </si>
  <si>
    <t>JOSV</t>
  </si>
  <si>
    <t>Oz virus</t>
  </si>
  <si>
    <t>OZV</t>
  </si>
  <si>
    <t>EH8</t>
  </si>
  <si>
    <t>Seg1: LC320123; Seg2: LC320124; Seg3: LC320125; Seg4: LC320126; Seg5: LC320127; Seg6: LC320128</t>
  </si>
  <si>
    <t>Sinu virus</t>
  </si>
  <si>
    <t>SINUV</t>
  </si>
  <si>
    <t>CoB 38d</t>
  </si>
  <si>
    <t>Thailand tick thogotovirus</t>
  </si>
  <si>
    <t>TT-THOV</t>
  </si>
  <si>
    <t>THOV/Boophilus sp./Thailand</t>
  </si>
  <si>
    <t>MN095539; MN095540; MN095541; MN095542; MN095543; MN095544</t>
  </si>
  <si>
    <t>Thogoto virus</t>
  </si>
  <si>
    <t>THOV</t>
  </si>
  <si>
    <t>SiAr126</t>
  </si>
  <si>
    <t>Upolu virus</t>
  </si>
  <si>
    <t>UPOV</t>
  </si>
  <si>
    <t>KC506156; KC506157; KC506158; KC506159; KC506160; KC506161</t>
  </si>
  <si>
    <t>Pisuviricota</t>
  </si>
  <si>
    <t>Hadakaviridae</t>
  </si>
  <si>
    <t>Hadakavirus</t>
  </si>
  <si>
    <t>hadaka virus 1</t>
  </si>
  <si>
    <t>HadV1</t>
  </si>
  <si>
    <t>7n</t>
  </si>
  <si>
    <t>RNA1: LC519840; RNA2: LC519841; RNA3: LC519842; RNA4: LC519843; RNA5: LC519844; RNA6: LC519845; RNA7: LC519846; RNA8: LC519847; RNA9: LC519848; RNA10: LC519849; RNA11: LC519850</t>
  </si>
  <si>
    <t>1NL</t>
  </si>
  <si>
    <t>Yadokarivirales</t>
  </si>
  <si>
    <t>Yadokariviridae</t>
  </si>
  <si>
    <t>Alphayadokarivirus</t>
  </si>
  <si>
    <t>Plasmopara viticola lesion associated yadokari virus 1</t>
  </si>
  <si>
    <t>PvYV1</t>
  </si>
  <si>
    <t>DMG-B-DN53434</t>
  </si>
  <si>
    <t>MN551121</t>
  </si>
  <si>
    <t>yado-kari virus 1</t>
  </si>
  <si>
    <t>YkV1</t>
  </si>
  <si>
    <t>W1032</t>
  </si>
  <si>
    <t>LC006253</t>
  </si>
  <si>
    <t>Aspergillus foetidus slow virus 2</t>
  </si>
  <si>
    <t>AfVS2</t>
  </si>
  <si>
    <t>HE588148</t>
  </si>
  <si>
    <t>Aspergillus homomorphus yadokarivirus 1</t>
  </si>
  <si>
    <t>AhoYV1</t>
  </si>
  <si>
    <t>CBS101889</t>
  </si>
  <si>
    <t>Picoa juniperi yado-kari virus 1</t>
  </si>
  <si>
    <t>PjYV1</t>
  </si>
  <si>
    <t>MT876192</t>
  </si>
  <si>
    <t>Penicillium aurantiogriseum foetidus-like virus</t>
  </si>
  <si>
    <t>PaFlV1</t>
  </si>
  <si>
    <t>MUT4330</t>
  </si>
  <si>
    <t>KT601100</t>
  </si>
  <si>
    <t>Penicillium digitatum yadokarivirus 1</t>
  </si>
  <si>
    <t>PdYV1</t>
  </si>
  <si>
    <t>HS-F6</t>
  </si>
  <si>
    <t>MK279488</t>
  </si>
  <si>
    <t>Betayadokarivirus</t>
  </si>
  <si>
    <t>Fusarium poae mycovirus 2</t>
  </si>
  <si>
    <t>FpMyV2</t>
  </si>
  <si>
    <t>LC150617</t>
  </si>
  <si>
    <t>yado-kari virus 2</t>
  </si>
  <si>
    <t>YkV2</t>
  </si>
  <si>
    <t>Rn454</t>
  </si>
  <si>
    <t>LC333755</t>
  </si>
  <si>
    <t>yado-kari virus 3</t>
  </si>
  <si>
    <t>YkV3</t>
  </si>
  <si>
    <t>LC333757</t>
  </si>
  <si>
    <t>yado-kari virus 4a</t>
  </si>
  <si>
    <t>YkV4a</t>
  </si>
  <si>
    <t>LC333754</t>
  </si>
  <si>
    <t>yado-kari virus 4b</t>
  </si>
  <si>
    <t>YkV4b</t>
  </si>
  <si>
    <t>Rn95-16</t>
  </si>
  <si>
    <t>Duplopiviricetes</t>
  </si>
  <si>
    <t>Durnavirales</t>
  </si>
  <si>
    <t>Amalgaviridae</t>
  </si>
  <si>
    <t>Amalgavirus</t>
  </si>
  <si>
    <t>Allium cepa amalgavirus 1</t>
  </si>
  <si>
    <t>AcAV1</t>
  </si>
  <si>
    <t>OH1</t>
  </si>
  <si>
    <t>BK010347</t>
  </si>
  <si>
    <t>Allium cepa amalgavirus 2</t>
  </si>
  <si>
    <t>AcAV2</t>
  </si>
  <si>
    <t>DH5225</t>
  </si>
  <si>
    <t>BK010348</t>
  </si>
  <si>
    <t>southern tomato virus</t>
  </si>
  <si>
    <t>STV</t>
  </si>
  <si>
    <t>Mexico-1</t>
  </si>
  <si>
    <t>EF442780</t>
  </si>
  <si>
    <t>Zoostera marina amalgavirus 2</t>
  </si>
  <si>
    <t>ZmAV2</t>
  </si>
  <si>
    <t>SRP035489-2</t>
  </si>
  <si>
    <t>KY783317</t>
  </si>
  <si>
    <t>rhododendron virus A</t>
  </si>
  <si>
    <t>VCVM</t>
  </si>
  <si>
    <t>Sugid-1</t>
  </si>
  <si>
    <t>HQ128706</t>
  </si>
  <si>
    <t>spinach amalgavirus 1</t>
  </si>
  <si>
    <t>SpAV1</t>
  </si>
  <si>
    <t>SRP059420</t>
  </si>
  <si>
    <t>KY695011</t>
  </si>
  <si>
    <t>blueberry latent virus</t>
  </si>
  <si>
    <t>MI-1</t>
  </si>
  <si>
    <t>HM029246</t>
  </si>
  <si>
    <t>vicia cryptic virus M</t>
  </si>
  <si>
    <t>RhVA</t>
  </si>
  <si>
    <t>M</t>
  </si>
  <si>
    <t>EU371896</t>
  </si>
  <si>
    <t>Zoostera marina amalgavirus 1</t>
  </si>
  <si>
    <t>ZmAV1</t>
  </si>
  <si>
    <t>SRP035489-1</t>
  </si>
  <si>
    <t>KY783316</t>
  </si>
  <si>
    <t>Zybavirus</t>
  </si>
  <si>
    <t>Zygosaccharomyces bailii virus Z</t>
  </si>
  <si>
    <t>ZbV-Z</t>
  </si>
  <si>
    <t>KU200450</t>
  </si>
  <si>
    <t>Curvulaviridae</t>
  </si>
  <si>
    <t>Orthocurvulavirus</t>
  </si>
  <si>
    <t>Curvularia thermal tolerance virus</t>
  </si>
  <si>
    <t>CThTV</t>
  </si>
  <si>
    <t>RNA1: EF120984; RNA2: EF120985</t>
  </si>
  <si>
    <t>Fusarium graminearum dsRNA mycovirus 4</t>
  </si>
  <si>
    <t>FgRV4</t>
  </si>
  <si>
    <t>RNA1: GQ140627; RNA2: GQ140628</t>
  </si>
  <si>
    <t>Heterobasidion RNA virus 6</t>
  </si>
  <si>
    <t>HetRV6</t>
  </si>
  <si>
    <t>HetRV6-ab6</t>
  </si>
  <si>
    <t>HQ189459; MK468678</t>
  </si>
  <si>
    <t>Lactarius rufus RNA virus 1</t>
  </si>
  <si>
    <t>LrRV1</t>
  </si>
  <si>
    <t>LrRV1-71</t>
  </si>
  <si>
    <t>MT130415; MT130416</t>
  </si>
  <si>
    <t>Lactarius tabidus RNA virus 1</t>
  </si>
  <si>
    <t>LtRV1</t>
  </si>
  <si>
    <t>LtRV1 K35</t>
  </si>
  <si>
    <t>KT733084; MG596785</t>
  </si>
  <si>
    <t>Rhizoctonia solani dsRNA virus 1</t>
  </si>
  <si>
    <t>RsRV1</t>
  </si>
  <si>
    <t>JX976612; JX976613</t>
  </si>
  <si>
    <t>Sclerotium hydrophilum virus 1</t>
  </si>
  <si>
    <t>ShV1</t>
  </si>
  <si>
    <t>ShR#20</t>
  </si>
  <si>
    <t>KU886558; KU886559</t>
  </si>
  <si>
    <t>Trichoderma harzianum bipartite mycovirus 1</t>
  </si>
  <si>
    <t>ThBMV1</t>
  </si>
  <si>
    <t>MH536648; MH536649</t>
  </si>
  <si>
    <t>Fusariviridae</t>
  </si>
  <si>
    <t>Alphafusarivirus</t>
  </si>
  <si>
    <t>Agaricus bisporus virus 10</t>
  </si>
  <si>
    <t>AbV10</t>
  </si>
  <si>
    <t>KY357495</t>
  </si>
  <si>
    <t>Aspergillus ellipticus fusarivirus 1</t>
  </si>
  <si>
    <t>AeFV1</t>
  </si>
  <si>
    <t>MK279500</t>
  </si>
  <si>
    <t>Auricularia heimuer fusarivirus 1</t>
  </si>
  <si>
    <t>AhFV1</t>
  </si>
  <si>
    <t>CCMJ1296</t>
  </si>
  <si>
    <t>MT232758</t>
  </si>
  <si>
    <t>Botryosphaeria dothidea fusarivirus 1</t>
  </si>
  <si>
    <t>BdFV1</t>
  </si>
  <si>
    <t>SDAU11-86</t>
  </si>
  <si>
    <t>MN560974</t>
  </si>
  <si>
    <t>Botrytis cinerea fusarivirus 5</t>
  </si>
  <si>
    <t>BcFV5</t>
  </si>
  <si>
    <t>BCS3_DN2128</t>
  </si>
  <si>
    <t>MN617764</t>
  </si>
  <si>
    <t>FgDV1</t>
  </si>
  <si>
    <t>DK-21</t>
  </si>
  <si>
    <t>AY533037</t>
  </si>
  <si>
    <t>Fusarium poae fusarivirus 1</t>
  </si>
  <si>
    <t>FpFV1</t>
  </si>
  <si>
    <t>LC150611</t>
  </si>
  <si>
    <t>Plasmopara viticola lesion associated fusarivirus 2</t>
  </si>
  <si>
    <t>PvlaFV2</t>
  </si>
  <si>
    <t>DMG-A-DN22538</t>
  </si>
  <si>
    <t>MN551105</t>
  </si>
  <si>
    <t>Macrophomina phaseolina single-stranded RNA virus 1</t>
  </si>
  <si>
    <t>MpFV1</t>
  </si>
  <si>
    <t>Tn408</t>
  </si>
  <si>
    <t>KP900890</t>
  </si>
  <si>
    <t>Neofusicoccum luteum fusarivirus 1</t>
  </si>
  <si>
    <t>NlFV1</t>
  </si>
  <si>
    <t>CBS110299</t>
  </si>
  <si>
    <t>KY906214</t>
  </si>
  <si>
    <t>Neurospora discreta fusarivirus 1</t>
  </si>
  <si>
    <t>NdFV1</t>
  </si>
  <si>
    <t>MK279503</t>
  </si>
  <si>
    <t>Penicillium aurantiogriseum fusarivirus 1</t>
  </si>
  <si>
    <t>PaFV1</t>
  </si>
  <si>
    <t>MUT4330-a</t>
  </si>
  <si>
    <t>KT601099</t>
  </si>
  <si>
    <t>Plasmopara viticola lesion associated fusarivirus 1</t>
  </si>
  <si>
    <t>PvlaFV1</t>
  </si>
  <si>
    <t>DMG-B-DN53634</t>
  </si>
  <si>
    <t>MN551102</t>
  </si>
  <si>
    <t>Pleospora typhicola fusarivirus 1</t>
  </si>
  <si>
    <t>PtFV1</t>
  </si>
  <si>
    <t>MUT4379</t>
  </si>
  <si>
    <t>KT601107</t>
  </si>
  <si>
    <t>Agaricus bisporus virus 11</t>
  </si>
  <si>
    <t>AbV11</t>
  </si>
  <si>
    <t>KY357496</t>
  </si>
  <si>
    <t>Rhizoctonia solani fusarivirus 3</t>
  </si>
  <si>
    <t>RsFV3</t>
  </si>
  <si>
    <t>BR19</t>
  </si>
  <si>
    <t>MK558258</t>
  </si>
  <si>
    <t>Sclerotium rolfsii fusarivirus 2</t>
  </si>
  <si>
    <t>SrFV2</t>
  </si>
  <si>
    <t>BLH-1-11</t>
  </si>
  <si>
    <t>MH766492</t>
  </si>
  <si>
    <t>Penicillium roqueforti ssRNA mycovirus 1</t>
  </si>
  <si>
    <t>PrFV1</t>
  </si>
  <si>
    <t>PRG42-7</t>
  </si>
  <si>
    <t>KJ817266</t>
  </si>
  <si>
    <t>Rosellinia necatrix fusarivirus 1</t>
  </si>
  <si>
    <t>RnFV1</t>
  </si>
  <si>
    <t>NW10</t>
  </si>
  <si>
    <t>AB915829</t>
  </si>
  <si>
    <t>Rutstroemia firma fusarivirus 1</t>
  </si>
  <si>
    <t>RfFV1</t>
  </si>
  <si>
    <t>MK279504</t>
  </si>
  <si>
    <t>Sclerotium rolfsii fusarivirus 1</t>
  </si>
  <si>
    <t>SrFV1</t>
  </si>
  <si>
    <t>BLH-1-10</t>
  </si>
  <si>
    <t>MH766491</t>
  </si>
  <si>
    <t>Zymoseptoria tritici fusarivirus 1</t>
  </si>
  <si>
    <t>ZtFV1</t>
  </si>
  <si>
    <t>MK279506</t>
  </si>
  <si>
    <t>Betafusarivirus</t>
  </si>
  <si>
    <t>Alternaria brassicicola fusarivirus 1</t>
  </si>
  <si>
    <t>AlbFV1</t>
  </si>
  <si>
    <t>817-14</t>
  </si>
  <si>
    <t>KT581960</t>
  </si>
  <si>
    <t>Botrytis cinerea fusarivirus 7</t>
  </si>
  <si>
    <t>BcFV7</t>
  </si>
  <si>
    <t>BCS13_13</t>
  </si>
  <si>
    <t>MN617766</t>
  </si>
  <si>
    <t>Rhizoctonia solani fusarivirus 2</t>
  </si>
  <si>
    <t>RsFV2</t>
  </si>
  <si>
    <t>BR17</t>
  </si>
  <si>
    <t>MK558256</t>
  </si>
  <si>
    <t>Neurospora crassa fusarivirus 1</t>
  </si>
  <si>
    <t>NcFV1</t>
  </si>
  <si>
    <t>JW60</t>
  </si>
  <si>
    <t>LC530175</t>
  </si>
  <si>
    <t>Botrytis cinerea fusarivirus 3</t>
  </si>
  <si>
    <t>BcFV3</t>
  </si>
  <si>
    <t>BCS15_DN2871</t>
  </si>
  <si>
    <t>MN617762</t>
  </si>
  <si>
    <t>Sclerotinia homoeocarpa fusarivirus 1</t>
  </si>
  <si>
    <t>ShFV1</t>
  </si>
  <si>
    <t>MK279505</t>
  </si>
  <si>
    <t>Botrytis cinerea fusarivirus 4</t>
  </si>
  <si>
    <t>BcFV4</t>
  </si>
  <si>
    <t>BCI12_DN9205</t>
  </si>
  <si>
    <t>MN617763</t>
  </si>
  <si>
    <t>Neurospora discreta fusarivirus 2</t>
  </si>
  <si>
    <t>NdFV2</t>
  </si>
  <si>
    <t>LC586030</t>
  </si>
  <si>
    <t>Rhizoctonia solani fusarivirus 1</t>
  </si>
  <si>
    <t>RsFV1</t>
  </si>
  <si>
    <t>BR18</t>
  </si>
  <si>
    <t>MK558257</t>
  </si>
  <si>
    <t>Sclerotinia sclerotiorum fusarivirus 1</t>
  </si>
  <si>
    <t>SsFV1</t>
  </si>
  <si>
    <t>JMTJ14</t>
  </si>
  <si>
    <t>KP842791</t>
  </si>
  <si>
    <t>Botrytis cinerea fusarivirus 1</t>
  </si>
  <si>
    <t>BcFV1</t>
  </si>
  <si>
    <t>MG554633</t>
  </si>
  <si>
    <t>Gammafusarivirus</t>
  </si>
  <si>
    <t>Lentinula edodes fusarivirus 1</t>
  </si>
  <si>
    <t>LeFV1</t>
  </si>
  <si>
    <t>Le14HNZMD</t>
  </si>
  <si>
    <t>MN744720</t>
  </si>
  <si>
    <t>Hypoviridae</t>
  </si>
  <si>
    <t>Alphahypovirus</t>
  </si>
  <si>
    <t>Alternaria alternata hypovirus 1</t>
  </si>
  <si>
    <t>AaHV1</t>
  </si>
  <si>
    <t>YL-3C</t>
  </si>
  <si>
    <t>MK189193</t>
  </si>
  <si>
    <t>Cryphonectria hypovirus 2</t>
  </si>
  <si>
    <t>CHV2</t>
  </si>
  <si>
    <t>NB58</t>
  </si>
  <si>
    <t>L29010</t>
  </si>
  <si>
    <t>Bipolaris oryzae hypovirus 1</t>
  </si>
  <si>
    <t>BoHV1</t>
  </si>
  <si>
    <t>ES35</t>
  </si>
  <si>
    <t>MH316122</t>
  </si>
  <si>
    <t>Botrytis cinerea hypovirus 2</t>
  </si>
  <si>
    <t>BcHV2</t>
  </si>
  <si>
    <t>BCS3_DN9124</t>
  </si>
  <si>
    <t>MN617169</t>
  </si>
  <si>
    <t>Cryphonectria hypovirus 1</t>
  </si>
  <si>
    <t>CHV1</t>
  </si>
  <si>
    <t>EP713</t>
  </si>
  <si>
    <t>M57938</t>
  </si>
  <si>
    <t>Fusarium graminearum hypovirus 1</t>
  </si>
  <si>
    <t>FgHV1</t>
  </si>
  <si>
    <t>HN10</t>
  </si>
  <si>
    <t>MK279472</t>
  </si>
  <si>
    <t>Wuhan insect virus 14</t>
  </si>
  <si>
    <t>WHIV14</t>
  </si>
  <si>
    <t>WHZM10168</t>
  </si>
  <si>
    <t>KX883007</t>
  </si>
  <si>
    <t>Fusarium sambucinum hypovirus 1</t>
  </si>
  <si>
    <t>FsHV1</t>
  </si>
  <si>
    <t>Fs1837h</t>
  </si>
  <si>
    <t>LC596823</t>
  </si>
  <si>
    <t>Macrophomina phaseolina hypovirus 1</t>
  </si>
  <si>
    <t>MpHV1</t>
  </si>
  <si>
    <t>Mp2003b</t>
  </si>
  <si>
    <t>Fusarium sacchari hypovirus 1</t>
  </si>
  <si>
    <t>F206</t>
  </si>
  <si>
    <t>MN295969</t>
  </si>
  <si>
    <t>Trichoderma asperellum hypovirus 1</t>
  </si>
  <si>
    <t>TaHV1</t>
  </si>
  <si>
    <t>CBS 1131938</t>
  </si>
  <si>
    <t>MK279475</t>
  </si>
  <si>
    <t>Betahypovirus</t>
  </si>
  <si>
    <t>Cryphonectria hypovirus 4</t>
  </si>
  <si>
    <t>CHV4</t>
  </si>
  <si>
    <t>SR2</t>
  </si>
  <si>
    <t>AY307099</t>
  </si>
  <si>
    <t>Cryphonectria hypovirus 3</t>
  </si>
  <si>
    <t>CHV3</t>
  </si>
  <si>
    <t>GH2 (WY)</t>
  </si>
  <si>
    <t>AF188515</t>
  </si>
  <si>
    <t>Fusarium oxysporum dianthi hypovirus 2</t>
  </si>
  <si>
    <t>FodHV2</t>
  </si>
  <si>
    <t>MN176979</t>
  </si>
  <si>
    <t>Phomopsis longicolla hypovirus isolate ME711</t>
  </si>
  <si>
    <t>PlHV1</t>
  </si>
  <si>
    <t>ME711</t>
  </si>
  <si>
    <t>KF537784</t>
  </si>
  <si>
    <t>Sclerotinia sclerotiorum hypovirus 1 strain SZ-150</t>
  </si>
  <si>
    <t>SsHV1</t>
  </si>
  <si>
    <t>SZ-150</t>
  </si>
  <si>
    <t>JF781304</t>
  </si>
  <si>
    <t>Setosphaeria turcica hypovirus 1 strain StHv128A</t>
  </si>
  <si>
    <t>StHV1</t>
  </si>
  <si>
    <t>128A</t>
  </si>
  <si>
    <t>MK279474</t>
  </si>
  <si>
    <t>Botrytis cinerea hypovirus 1</t>
  </si>
  <si>
    <t>BcHV1</t>
  </si>
  <si>
    <t>MG554632</t>
  </si>
  <si>
    <t>Trichoderma harzianum hypovirus 1</t>
  </si>
  <si>
    <t>ThHV1</t>
  </si>
  <si>
    <t>T-70</t>
  </si>
  <si>
    <t>MN172262</t>
  </si>
  <si>
    <t>Valsa ceratosperma hypovirus 1</t>
  </si>
  <si>
    <t>VcHV1</t>
  </si>
  <si>
    <t>MVC86</t>
  </si>
  <si>
    <t>AB690372</t>
  </si>
  <si>
    <t>Deltahypovirus</t>
  </si>
  <si>
    <t>Beihai hypo-like virus 1</t>
  </si>
  <si>
    <t>BH-LV1</t>
  </si>
  <si>
    <t>BHZC36965</t>
  </si>
  <si>
    <t>KX883006</t>
  </si>
  <si>
    <t>Beihai sipunculid worm virus 6</t>
  </si>
  <si>
    <t>BHSWV6</t>
  </si>
  <si>
    <t>BHNXC41400</t>
  </si>
  <si>
    <t>KX883005</t>
  </si>
  <si>
    <t>Epsilonhypovirus</t>
  </si>
  <si>
    <t>Agaricus bisporus virus 2 strain C19-C1 i</t>
  </si>
  <si>
    <t>AbV2</t>
  </si>
  <si>
    <t>C19-C1</t>
  </si>
  <si>
    <t>KY357507</t>
  </si>
  <si>
    <t>Entoleuca hypovirus 1</t>
  </si>
  <si>
    <t>EnHV1</t>
  </si>
  <si>
    <t>EnHV1-97-14</t>
  </si>
  <si>
    <t>MF536690</t>
  </si>
  <si>
    <t>Fusarium poae hypovirus 1</t>
  </si>
  <si>
    <t>FpHV1</t>
  </si>
  <si>
    <t>LC150612</t>
  </si>
  <si>
    <t>Rosellinia necatrix hypovirus 1 strain Rn-Ca</t>
  </si>
  <si>
    <t>RnHV1</t>
  </si>
  <si>
    <t>Rn-Ca</t>
  </si>
  <si>
    <t>LC318482</t>
  </si>
  <si>
    <t>Sclerotinia homoeocarpa hypovirus 1 strain ShHvLT11</t>
  </si>
  <si>
    <t>ShHV1</t>
  </si>
  <si>
    <t>LT11</t>
  </si>
  <si>
    <t>MK279473</t>
  </si>
  <si>
    <t>Fusarium langsethiae hypovirus 1 isolate FlHV1/AH32</t>
  </si>
  <si>
    <t>FlHV1</t>
  </si>
  <si>
    <t>AH32</t>
  </si>
  <si>
    <t>KY120321</t>
  </si>
  <si>
    <t>Etahypovirus</t>
  </si>
  <si>
    <t>Sclerotium rolfsii hypovirus 8</t>
  </si>
  <si>
    <t>SrHV8</t>
  </si>
  <si>
    <t>BLH-1-3</t>
  </si>
  <si>
    <t>MH766503</t>
  </si>
  <si>
    <t>Gammahypovirus</t>
  </si>
  <si>
    <t>Sclerotium rolfsii hypovirus 4 strain BLH-19</t>
  </si>
  <si>
    <t>SrHV4</t>
  </si>
  <si>
    <t>BLH-19</t>
  </si>
  <si>
    <t>MH766499</t>
  </si>
  <si>
    <t>Sclerotium rolfsii hypovirus 5 strain BLH-1-20</t>
  </si>
  <si>
    <t>SrHV5</t>
  </si>
  <si>
    <t>BLH-1-20</t>
  </si>
  <si>
    <t>MH766500</t>
  </si>
  <si>
    <t>Sclerotium rolfsii hypovirus 2 strain BLH-1-17</t>
  </si>
  <si>
    <t>SrHV2</t>
  </si>
  <si>
    <t>BLH-1-17</t>
  </si>
  <si>
    <t>MH766497</t>
  </si>
  <si>
    <t>Sclerotium rolfsii hypovirus 3 strain BLH-18</t>
  </si>
  <si>
    <t>SrHV3</t>
  </si>
  <si>
    <t>BLH-18</t>
  </si>
  <si>
    <t>MH766498</t>
  </si>
  <si>
    <t>Sclerotium rolfsii hypovirus 7 strain BLH-1-2</t>
  </si>
  <si>
    <t>SrHV7</t>
  </si>
  <si>
    <t>BLH-1-2</t>
  </si>
  <si>
    <t>MH766502</t>
  </si>
  <si>
    <t>Thetahypovirus</t>
  </si>
  <si>
    <t>Botrytis cinerea hypovirus 4</t>
  </si>
  <si>
    <t>BcHV4</t>
  </si>
  <si>
    <t>BCS17_DN134</t>
  </si>
  <si>
    <t>MN617171</t>
  </si>
  <si>
    <t>Rhizoctonia solani hypovirus 1</t>
  </si>
  <si>
    <t>RsHV1</t>
  </si>
  <si>
    <t>BR20</t>
  </si>
  <si>
    <t>MK558259</t>
  </si>
  <si>
    <t>Sclerotium rolfsii hypovirus 1</t>
  </si>
  <si>
    <t>SrHV1</t>
  </si>
  <si>
    <t>BLH-1</t>
  </si>
  <si>
    <t>MH037014</t>
  </si>
  <si>
    <t>Sclerotinia sclerotiorum hypovirus 2</t>
  </si>
  <si>
    <t>SsHV2</t>
  </si>
  <si>
    <t>HBStr-470</t>
  </si>
  <si>
    <t>MH347276</t>
  </si>
  <si>
    <t>Zetahypovirus</t>
  </si>
  <si>
    <t>Sclerotinia sclerotiorum hypovirus 6 strain BLH-1-1</t>
  </si>
  <si>
    <t>SrHV6</t>
  </si>
  <si>
    <t>BLH-1-1</t>
  </si>
  <si>
    <t>MH766501</t>
  </si>
  <si>
    <t>Partitiviridae</t>
  </si>
  <si>
    <t>Alphapartitivirus</t>
  </si>
  <si>
    <t>beet cryptic virus 1</t>
  </si>
  <si>
    <t>BCV1</t>
  </si>
  <si>
    <t>Hungary</t>
  </si>
  <si>
    <t>RNA1: EU489061; RNA2: EU489062</t>
  </si>
  <si>
    <t>carrot cryptic virus</t>
  </si>
  <si>
    <t>CCV</t>
  </si>
  <si>
    <t>RNA1: FJ550604; RNA2: FJ550605</t>
  </si>
  <si>
    <t>cherry chlorotic rusty spot associated partitivirus</t>
  </si>
  <si>
    <t>CCRSaPV</t>
  </si>
  <si>
    <t>Campania</t>
  </si>
  <si>
    <t>Chondrostereum purpureum cryptic virus 1</t>
  </si>
  <si>
    <t>CpCV1</t>
  </si>
  <si>
    <t>Mesachie Lake</t>
  </si>
  <si>
    <t>RNA1: AM999771; RNA2: AM999772</t>
  </si>
  <si>
    <t>Flammulina velutipes browning virus</t>
  </si>
  <si>
    <t>FvBV</t>
  </si>
  <si>
    <t>Magae</t>
  </si>
  <si>
    <t>RNA1: AB465308; RNA2: AB465309</t>
  </si>
  <si>
    <t>Helicobasidium mompa partitivirus V70</t>
  </si>
  <si>
    <t>HmPVV70</t>
  </si>
  <si>
    <t>Osaki</t>
  </si>
  <si>
    <t>RNA1: AB025903</t>
  </si>
  <si>
    <t>Heterobasidion partitivirus 1</t>
  </si>
  <si>
    <t>HetPV1</t>
  </si>
  <si>
    <t>ab1</t>
  </si>
  <si>
    <t>RNA1: HQ541323; RNA2: HQ541324</t>
  </si>
  <si>
    <t>Heterobasidion partitivirus 12</t>
  </si>
  <si>
    <t>HetPV12</t>
  </si>
  <si>
    <t>an1/94221</t>
  </si>
  <si>
    <t>RNA1: KF963175; RNA2: KF963176</t>
  </si>
  <si>
    <t>Heterobasidion partitivirus 13</t>
  </si>
  <si>
    <t>HetPV13</t>
  </si>
  <si>
    <t>an1/94233</t>
  </si>
  <si>
    <t>RNA1: KF963177; RNA2: KF963178</t>
  </si>
  <si>
    <t>an2/S45-8</t>
  </si>
  <si>
    <t>an3/5003</t>
  </si>
  <si>
    <t>pa1/1R41</t>
  </si>
  <si>
    <t>Heterobasidion partitivirus 15</t>
  </si>
  <si>
    <t>HetPV15</t>
  </si>
  <si>
    <t>pa1/95122</t>
  </si>
  <si>
    <t>RNA1: KF963186; RNA2: KF963187</t>
  </si>
  <si>
    <t>Heterobasidion partitivirus 3</t>
  </si>
  <si>
    <t>HetRV3</t>
  </si>
  <si>
    <t>ec1</t>
  </si>
  <si>
    <t>RNA1: FJ816271; RNA2: FJ816272</t>
  </si>
  <si>
    <t>Rosellinia necatrix partitivirus 2</t>
  </si>
  <si>
    <t>W57</t>
  </si>
  <si>
    <t>RNA1: AB569997; RNA2: AB569998</t>
  </si>
  <si>
    <t>Vicia cryptic virus</t>
  </si>
  <si>
    <t>VCV</t>
  </si>
  <si>
    <t>RNA1: AY751737; RNA2: AY751738</t>
  </si>
  <si>
    <t>FA061102</t>
  </si>
  <si>
    <t>Dreifach Weisse</t>
  </si>
  <si>
    <t>Hangdown Gruenkern</t>
  </si>
  <si>
    <t>Fruehe Weisskeimige</t>
  </si>
  <si>
    <t>The Sutton</t>
  </si>
  <si>
    <t>Divine</t>
  </si>
  <si>
    <t>white clover cryptic virus 1</t>
  </si>
  <si>
    <t>WCCV1</t>
  </si>
  <si>
    <t>Boccardo</t>
  </si>
  <si>
    <t>RNA1: AY705784; RNA2: AY705785</t>
  </si>
  <si>
    <t>Betapartitivirus</t>
  </si>
  <si>
    <t>Atkinsonella hypoxylon virus</t>
  </si>
  <si>
    <t>AhV</t>
  </si>
  <si>
    <t>2H</t>
  </si>
  <si>
    <t>RNA1: L39125; RNA2: L39126</t>
  </si>
  <si>
    <t>Cannabis cryptic virus</t>
  </si>
  <si>
    <t>Fedora17</t>
  </si>
  <si>
    <t>RNA1: JN196536; RNA2: JN196537</t>
  </si>
  <si>
    <t>hemp09</t>
  </si>
  <si>
    <t>Ceratocystis resinifera virus 1</t>
  </si>
  <si>
    <t>CrV1</t>
  </si>
  <si>
    <t>Deng</t>
  </si>
  <si>
    <t>Ceratocystis polonica partitivirus</t>
  </si>
  <si>
    <t>CpPV</t>
  </si>
  <si>
    <t>CMW7151</t>
  </si>
  <si>
    <t>CMW2284</t>
  </si>
  <si>
    <t>crimson clover cryptic virus 2</t>
  </si>
  <si>
    <t>CCCV2</t>
  </si>
  <si>
    <t>IPP_IncarnatSK</t>
  </si>
  <si>
    <t>RNA1: JX971982; RNA2: JX971983</t>
  </si>
  <si>
    <t>dill cryptic virus 2</t>
  </si>
  <si>
    <t>DCV2</t>
  </si>
  <si>
    <t>IPP_hortorum</t>
  </si>
  <si>
    <t>RNA1: JX971984; RNA2: JX971985</t>
  </si>
  <si>
    <t>Fusarium poae virus 1</t>
  </si>
  <si>
    <t>FpV1</t>
  </si>
  <si>
    <t>Heterobasidion partitivirus 2</t>
  </si>
  <si>
    <t>HetRV2</t>
  </si>
  <si>
    <t>pa1</t>
  </si>
  <si>
    <t>RNA1: HM565953; RNA2: HM565954</t>
  </si>
  <si>
    <t>pa1-b</t>
  </si>
  <si>
    <t>pa1-c</t>
  </si>
  <si>
    <t>pa1-e</t>
  </si>
  <si>
    <t>pa1-f</t>
  </si>
  <si>
    <t>pa1-d</t>
  </si>
  <si>
    <t>pa1-g</t>
  </si>
  <si>
    <t>Heterobasidion partitivirus 7</t>
  </si>
  <si>
    <t>HetRV7</t>
  </si>
  <si>
    <t>pa1-a</t>
  </si>
  <si>
    <t>Heterobasidion partitivirus 8</t>
  </si>
  <si>
    <t>HetRV8</t>
  </si>
  <si>
    <t>ir1</t>
  </si>
  <si>
    <t>RNA1: JX625227; RNA2: JX625228</t>
  </si>
  <si>
    <t>Heterobasidion partitivirus P</t>
  </si>
  <si>
    <t>HetPVP</t>
  </si>
  <si>
    <t>Ihrmark</t>
  </si>
  <si>
    <t>RNA1: AF473549</t>
  </si>
  <si>
    <t>hop trefoil cryptic virus 2</t>
  </si>
  <si>
    <t>HTCV2</t>
  </si>
  <si>
    <t>IPP_GelbSK</t>
  </si>
  <si>
    <t>RNA1: JX971980; RNA2: JX971981</t>
  </si>
  <si>
    <t>Pleurotus ostreatus virus 1</t>
  </si>
  <si>
    <t>PoV1</t>
  </si>
  <si>
    <t>Primula malacoides virus 1</t>
  </si>
  <si>
    <t>PmV1</t>
  </si>
  <si>
    <t>RNA1: EU195326; RNA2: EU195327</t>
  </si>
  <si>
    <t>red clover cryptic virus 2</t>
  </si>
  <si>
    <t>RCCV2</t>
  </si>
  <si>
    <t>IPP_Nemaro</t>
  </si>
  <si>
    <t>RNA1: JX971978; RNA2: JX971979</t>
  </si>
  <si>
    <t>Rhizoctonia solani virus 717</t>
  </si>
  <si>
    <t>RsV</t>
  </si>
  <si>
    <t>RNA1: AF133290; RNA2: AF133291</t>
  </si>
  <si>
    <t>Rosellinia necatrix virus 1</t>
  </si>
  <si>
    <t>Okayama</t>
  </si>
  <si>
    <t>RNA1: AB113347; RNA2: AB113348</t>
  </si>
  <si>
    <t>white clover cryptic virus 2</t>
  </si>
  <si>
    <t>WCCV2</t>
  </si>
  <si>
    <t>IPP_Lirepa</t>
  </si>
  <si>
    <t>RNA1: JX971976; RNA2: JX971977</t>
  </si>
  <si>
    <t>Cryspovirus</t>
  </si>
  <si>
    <t>Cryptosporidium parvum virus 1</t>
  </si>
  <si>
    <t>CSpV1</t>
  </si>
  <si>
    <t>Iowa</t>
  </si>
  <si>
    <t>RNA1: KY884720; RNA2: KY884721</t>
  </si>
  <si>
    <t>KSU-1</t>
  </si>
  <si>
    <t>Deltapartitivirus</t>
  </si>
  <si>
    <t>beet cryptic virus 2</t>
  </si>
  <si>
    <t>BCV2</t>
  </si>
  <si>
    <t>RNA1: HM560702; RNA2: HM560703; RNA3: HM560704</t>
  </si>
  <si>
    <t>beet cryptic virus 3</t>
  </si>
  <si>
    <t>BCV3</t>
  </si>
  <si>
    <t>Xie</t>
  </si>
  <si>
    <t>RNA2: S63913</t>
  </si>
  <si>
    <t>fig cryptic virus</t>
  </si>
  <si>
    <t>FCV</t>
  </si>
  <si>
    <t>BN13</t>
  </si>
  <si>
    <t>RNA1: FR687854; RNA2: FR687855</t>
  </si>
  <si>
    <t>pepper cryptic virus 1</t>
  </si>
  <si>
    <t>Jal-01</t>
  </si>
  <si>
    <t>RNA1: JN117276; RNA2: JN117277</t>
  </si>
  <si>
    <t>pepper cryptic virus 2</t>
  </si>
  <si>
    <t>HW-01</t>
  </si>
  <si>
    <t>RNA1: JN117278; RNA2: JN117279</t>
  </si>
  <si>
    <t>YY</t>
  </si>
  <si>
    <t>Gammapartitivirus</t>
  </si>
  <si>
    <t>Aspergillus ochraceous virus</t>
  </si>
  <si>
    <t>AoV</t>
  </si>
  <si>
    <t>FA0611</t>
  </si>
  <si>
    <t>RNA1: EU118277; RNA2: EU118278; RNA3: EU118279</t>
  </si>
  <si>
    <t>Discula destructiva virus 1</t>
  </si>
  <si>
    <t>DdV1</t>
  </si>
  <si>
    <t>RNA1: AF316992; RNA2: AF316993</t>
  </si>
  <si>
    <t>Discula destructiva virus 2</t>
  </si>
  <si>
    <t>DdV2</t>
  </si>
  <si>
    <t>RNA1: AY033436; RNA2: AY033437</t>
  </si>
  <si>
    <t>Fusarium solani virus 1</t>
  </si>
  <si>
    <t>FsV1</t>
  </si>
  <si>
    <t>Shimosaka</t>
  </si>
  <si>
    <t>RNA1: D55668; RNA2: D55669</t>
  </si>
  <si>
    <t>Gremmeniella abietina RNA virus MS1</t>
  </si>
  <si>
    <t>GaRNAVMS1</t>
  </si>
  <si>
    <t>C5</t>
  </si>
  <si>
    <t>RNA1: AY089993; RNA2: AY089994; RNA3: AY089995</t>
  </si>
  <si>
    <t>SurS4</t>
  </si>
  <si>
    <t>Ophiostoma partitivirus 1</t>
  </si>
  <si>
    <t>OPV1</t>
  </si>
  <si>
    <t>RNA1: AM087202; RNA2: AM087203</t>
  </si>
  <si>
    <t>Penicillium stoloniferum virus F</t>
  </si>
  <si>
    <t>PsV-F</t>
  </si>
  <si>
    <t>RNA1: AY738336; RNA2: AY738337</t>
  </si>
  <si>
    <t>Penicillium stoloniferum virus S</t>
  </si>
  <si>
    <t>PsV-S</t>
  </si>
  <si>
    <t>Kim</t>
  </si>
  <si>
    <t>RNA1: AY156521; RNA2: AY156522</t>
  </si>
  <si>
    <t>ATCC 14586</t>
  </si>
  <si>
    <t>Picobirnaviridae</t>
  </si>
  <si>
    <t>Orthopicobirnavirus</t>
  </si>
  <si>
    <t>Běihǎi picobirnavirus 7</t>
  </si>
  <si>
    <t>BHNXC57916</t>
  </si>
  <si>
    <t>equine picobirnavirus</t>
  </si>
  <si>
    <t>Equ3</t>
  </si>
  <si>
    <t>Seg1: KR902508; Seg2: KR902507</t>
  </si>
  <si>
    <t>human picobirnavirus</t>
  </si>
  <si>
    <t>HPBV</t>
  </si>
  <si>
    <t>Hy005102</t>
  </si>
  <si>
    <t>RNA1: AB186897; RNA2: AB186898</t>
  </si>
  <si>
    <t>1-CHN-97</t>
  </si>
  <si>
    <t>4-GA-91</t>
  </si>
  <si>
    <t>Pisoniviricetes</t>
  </si>
  <si>
    <t>Nidovirales</t>
  </si>
  <si>
    <t>Abnidovirineae</t>
  </si>
  <si>
    <t>Abyssoviridae</t>
  </si>
  <si>
    <t>Tiamatvirinae</t>
  </si>
  <si>
    <t>Alphaabyssovirus</t>
  </si>
  <si>
    <t>Aplyccavirus</t>
  </si>
  <si>
    <t>Aplysia abyssovirus 1</t>
  </si>
  <si>
    <t>AAbV</t>
  </si>
  <si>
    <t>GBBW01007738</t>
  </si>
  <si>
    <t>Arnidovirineae</t>
  </si>
  <si>
    <t>Arteriviridae</t>
  </si>
  <si>
    <t>Crocarterivirinae</t>
  </si>
  <si>
    <t>Muarterivirus</t>
  </si>
  <si>
    <t>Olivier's shrew virus 1</t>
  </si>
  <si>
    <t>OSV-1</t>
  </si>
  <si>
    <t>Gkd-1</t>
  </si>
  <si>
    <t>MF324848</t>
  </si>
  <si>
    <t>Equarterivirinae</t>
  </si>
  <si>
    <t>Alphaarterivirus</t>
  </si>
  <si>
    <t>equine arteritis virus</t>
  </si>
  <si>
    <t>EAV</t>
  </si>
  <si>
    <t>Bucyrus</t>
  </si>
  <si>
    <t>X53459</t>
  </si>
  <si>
    <t>Heroarterivirinae</t>
  </si>
  <si>
    <t>Lambdaarterivirus</t>
  </si>
  <si>
    <t>African pouched rat arterivirus</t>
  </si>
  <si>
    <t>APRAV</t>
  </si>
  <si>
    <t>PREDICT-06509</t>
  </si>
  <si>
    <t>KP026921</t>
  </si>
  <si>
    <t>Simarterivirinae</t>
  </si>
  <si>
    <t>Deltaarterivirus</t>
  </si>
  <si>
    <t>Hedartevirus</t>
  </si>
  <si>
    <t>simian hemorrhagic fever virus</t>
  </si>
  <si>
    <t>SHFV</t>
  </si>
  <si>
    <t>LVR 42-0/M6941</t>
  </si>
  <si>
    <t>AF180391</t>
  </si>
  <si>
    <t>Epsilonarterivirus</t>
  </si>
  <si>
    <t>Sheartevirus</t>
  </si>
  <si>
    <t>simian hemorrhagic encephalitis virus</t>
  </si>
  <si>
    <t>SHEV</t>
  </si>
  <si>
    <t>Sukhumi</t>
  </si>
  <si>
    <t>KM677927</t>
  </si>
  <si>
    <t>Free State vervet virus</t>
  </si>
  <si>
    <t>FSVV</t>
  </si>
  <si>
    <t>VSAI1003</t>
  </si>
  <si>
    <t>KR862307</t>
  </si>
  <si>
    <t>Zambian malbrouck virus 1</t>
  </si>
  <si>
    <t>ZMbV-1</t>
  </si>
  <si>
    <t>AHFVagmMal_seqD_01</t>
  </si>
  <si>
    <t>KT166441</t>
  </si>
  <si>
    <t>Etaarterivirus</t>
  </si>
  <si>
    <t>Kibale red colobus virus 2</t>
  </si>
  <si>
    <t>KRCV-2</t>
  </si>
  <si>
    <t>krc2/RC61</t>
  </si>
  <si>
    <t>KC787658</t>
  </si>
  <si>
    <t>Iotaarterivirus</t>
  </si>
  <si>
    <t>Debiartevirus</t>
  </si>
  <si>
    <t>DeBrazza’s monkey arterivirus</t>
  </si>
  <si>
    <t>DeBMAV</t>
  </si>
  <si>
    <t>PREDICT-06530</t>
  </si>
  <si>
    <t>KP126831</t>
  </si>
  <si>
    <t>Kigiartevirus</t>
  </si>
  <si>
    <t>Kibale red-tailed guenon virus 1</t>
  </si>
  <si>
    <t>KRTGV-1</t>
  </si>
  <si>
    <t>krtg05</t>
  </si>
  <si>
    <t>JX473849</t>
  </si>
  <si>
    <t>Peiartevirus</t>
  </si>
  <si>
    <t>Pebjah virus</t>
  </si>
  <si>
    <t>PBJV</t>
  </si>
  <si>
    <t>I621</t>
  </si>
  <si>
    <t>KR139839</t>
  </si>
  <si>
    <t>Thetaarterivirus</t>
  </si>
  <si>
    <t>Kaftartevirus</t>
  </si>
  <si>
    <t>Kafue kinda chacma baboon virus</t>
  </si>
  <si>
    <t>KKCBV</t>
  </si>
  <si>
    <t>KT447550</t>
  </si>
  <si>
    <t>Mitartevirus</t>
  </si>
  <si>
    <t>Mikumi yellow baboon virus 1</t>
  </si>
  <si>
    <t>MYBV-1</t>
  </si>
  <si>
    <t>M58</t>
  </si>
  <si>
    <t>KM110938</t>
  </si>
  <si>
    <t>Zetaarterivirus</t>
  </si>
  <si>
    <t>Kibale red colobus virus 1</t>
  </si>
  <si>
    <t>KRCV-1</t>
  </si>
  <si>
    <t>krc1/RC61</t>
  </si>
  <si>
    <t>KC787630</t>
  </si>
  <si>
    <t>Variarterivirinae</t>
  </si>
  <si>
    <t>Betaarterivirus</t>
  </si>
  <si>
    <t>Ampobartevirus</t>
  </si>
  <si>
    <t>porcine reproductive and respiratory syndrome virus 2</t>
  </si>
  <si>
    <t>PRRSV-2</t>
  </si>
  <si>
    <t>ATCC VR-2332</t>
  </si>
  <si>
    <t>U87392</t>
  </si>
  <si>
    <t>Chibartevirus</t>
  </si>
  <si>
    <t>RtMruf arterivirus</t>
  </si>
  <si>
    <t>RtMrufAV</t>
  </si>
  <si>
    <t>Jilin2014</t>
  </si>
  <si>
    <t>KP280006</t>
  </si>
  <si>
    <t>RtClon arterivirus</t>
  </si>
  <si>
    <t>RtClonAV</t>
  </si>
  <si>
    <t>Ningxia2015</t>
  </si>
  <si>
    <t>KU302440</t>
  </si>
  <si>
    <t>RtEi arterivirus</t>
  </si>
  <si>
    <t>RtEiAV</t>
  </si>
  <si>
    <t>SX2014</t>
  </si>
  <si>
    <t>KY369968</t>
  </si>
  <si>
    <t>Eurpobartevirus</t>
  </si>
  <si>
    <t>porcine reproductive and respiratory syndrome virus 1</t>
  </si>
  <si>
    <t>PRRSV-1</t>
  </si>
  <si>
    <t>Lelystad</t>
  </si>
  <si>
    <t>M96262</t>
  </si>
  <si>
    <t>Mibartevirus</t>
  </si>
  <si>
    <t>RtMc arterivirus</t>
  </si>
  <si>
    <t>RtMcAV</t>
  </si>
  <si>
    <t>Tibet2014</t>
  </si>
  <si>
    <t>KY369967</t>
  </si>
  <si>
    <t>Gammaarterivirus</t>
  </si>
  <si>
    <t>lactate dehydrogenase-elevating virus</t>
  </si>
  <si>
    <t>Plagemann</t>
  </si>
  <si>
    <t>U15146</t>
  </si>
  <si>
    <t>Nuarterivirus</t>
  </si>
  <si>
    <t>RtClan arterivirus</t>
  </si>
  <si>
    <t>RtClanAV</t>
  </si>
  <si>
    <t>GZ2015</t>
  </si>
  <si>
    <t>KY369969</t>
  </si>
  <si>
    <t>Zealarterivirinae</t>
  </si>
  <si>
    <t>Kappaarterivirus</t>
  </si>
  <si>
    <t>wobbly possum disease virus</t>
  </si>
  <si>
    <t>WPDV</t>
  </si>
  <si>
    <t>JN116253</t>
  </si>
  <si>
    <t>Cremegaviridae</t>
  </si>
  <si>
    <t>Becregavirinae</t>
  </si>
  <si>
    <t>Sicregavirus</t>
  </si>
  <si>
    <t>Trisihevirus</t>
  </si>
  <si>
    <t>Trionyx sinensis hemorrhagic syndrome virus</t>
  </si>
  <si>
    <t>TSHSV-NX1</t>
  </si>
  <si>
    <t>NX1</t>
  </si>
  <si>
    <t>MH447987</t>
  </si>
  <si>
    <t>Rodepovirinae</t>
  </si>
  <si>
    <t>Pontunivirus</t>
  </si>
  <si>
    <t>Chinese broad-headed pond turtle arterivirus</t>
  </si>
  <si>
    <t>CBHPTAV</t>
  </si>
  <si>
    <t>MG600025</t>
  </si>
  <si>
    <t>Gresnaviridae</t>
  </si>
  <si>
    <t>Reternivirinae</t>
  </si>
  <si>
    <t>Cyclophivirus</t>
  </si>
  <si>
    <t>Guangdong greater green snake arterivirus</t>
  </si>
  <si>
    <t>GGGSAV</t>
  </si>
  <si>
    <t>MG600023</t>
  </si>
  <si>
    <t>Olifoviridae</t>
  </si>
  <si>
    <t>Gofosavirinae</t>
  </si>
  <si>
    <t>Kukrinivirus</t>
  </si>
  <si>
    <t>Hainan oligodon formosanus arterivirus</t>
  </si>
  <si>
    <t>HOFAV</t>
  </si>
  <si>
    <t>MG600022</t>
  </si>
  <si>
    <t>Cornidovirineae</t>
  </si>
  <si>
    <t>Coronaviridae</t>
  </si>
  <si>
    <t>Letovirinae</t>
  </si>
  <si>
    <t>Alphaletovirus</t>
  </si>
  <si>
    <t>Milecovirus</t>
  </si>
  <si>
    <t>Microhyla letovirus 1</t>
  </si>
  <si>
    <t>MLeV</t>
  </si>
  <si>
    <t>GECV01031551</t>
  </si>
  <si>
    <t>Orthocoronavirinae</t>
  </si>
  <si>
    <t>Alphacoronavirus</t>
  </si>
  <si>
    <t>Amalacovirus</t>
  </si>
  <si>
    <t>bat alphacoronavirus isolate AMA_L_F</t>
  </si>
  <si>
    <t>BtCoV-AMA-L-F</t>
  </si>
  <si>
    <t>AMA_L_F</t>
  </si>
  <si>
    <t>MT663548</t>
  </si>
  <si>
    <t>Colacovirus</t>
  </si>
  <si>
    <t>bat coronavirus CDPHE15</t>
  </si>
  <si>
    <t>BtCoV CDPHE15</t>
  </si>
  <si>
    <t>bat/USA/CDPHE15/2006</t>
  </si>
  <si>
    <t>KF430219</t>
  </si>
  <si>
    <t>Decacovirus</t>
  </si>
  <si>
    <t>Hipposideros pomona bat coronavirus CHB25</t>
  </si>
  <si>
    <t>HipPBCoV-CHB25</t>
  </si>
  <si>
    <t>CHB0025</t>
  </si>
  <si>
    <t>MN611525</t>
  </si>
  <si>
    <t>alphacoronavirus sp. WA3607</t>
  </si>
  <si>
    <t>ACoV-WA3607</t>
  </si>
  <si>
    <t>WA3607</t>
  </si>
  <si>
    <t>MK472070</t>
  </si>
  <si>
    <t>Rousettus bat coronavirus HKU10</t>
  </si>
  <si>
    <t>BtCoV HKU10</t>
  </si>
  <si>
    <t>183A</t>
  </si>
  <si>
    <t>JQ989270</t>
  </si>
  <si>
    <t>BtRf-AlphaCoV/HuB2013</t>
  </si>
  <si>
    <t>BtRf-AlphaCoV</t>
  </si>
  <si>
    <t>BtRf-HuB2013</t>
  </si>
  <si>
    <t>KJ473807</t>
  </si>
  <si>
    <t>Duvinacovirus</t>
  </si>
  <si>
    <t>human coronavirus 229E</t>
  </si>
  <si>
    <t>HCoV_229E</t>
  </si>
  <si>
    <t>229E</t>
  </si>
  <si>
    <t>AF304460</t>
  </si>
  <si>
    <t>J0304</t>
  </si>
  <si>
    <t>Luchacovirus</t>
  </si>
  <si>
    <t>Lucheng Rn rat coronavirus</t>
  </si>
  <si>
    <t>Lucheng-19</t>
  </si>
  <si>
    <t>KF294380</t>
  </si>
  <si>
    <t>Minacovirus</t>
  </si>
  <si>
    <t>mink coronavirus</t>
  </si>
  <si>
    <t>MCoV</t>
  </si>
  <si>
    <t>WD1127</t>
  </si>
  <si>
    <t>HM245925</t>
  </si>
  <si>
    <t>Minunacovirus</t>
  </si>
  <si>
    <t>Miniopterus bat coronavirus 1</t>
  </si>
  <si>
    <t>Mi-BatCoV_1A</t>
  </si>
  <si>
    <t>AFCD62</t>
  </si>
  <si>
    <t>EU420138</t>
  </si>
  <si>
    <t>Miniopterus bat coronavirus HKU8</t>
  </si>
  <si>
    <t>Mi-BatCoV_HKU8</t>
  </si>
  <si>
    <t>AFCD77</t>
  </si>
  <si>
    <t>EU420139</t>
  </si>
  <si>
    <t>Myotacovirus</t>
  </si>
  <si>
    <t>BtMr-AlphaCoV/SAX2011</t>
  </si>
  <si>
    <t>BtMr-AlphaCoV</t>
  </si>
  <si>
    <t>BtMr-SAX2011</t>
  </si>
  <si>
    <t>KJ473806</t>
  </si>
  <si>
    <t>Nyctacovirus</t>
  </si>
  <si>
    <t>Tylonycteris bat coronavirus HKU33</t>
  </si>
  <si>
    <t>TyBCoV-HKU33</t>
  </si>
  <si>
    <t>GZ151867</t>
  </si>
  <si>
    <t>MK720944</t>
  </si>
  <si>
    <t>alphacoronavirus sp. WA2028</t>
  </si>
  <si>
    <t>ACoV-WA2028</t>
  </si>
  <si>
    <t>WA2028</t>
  </si>
  <si>
    <t>MK472068</t>
  </si>
  <si>
    <t>BtNv-AlphaCoV/SC2013</t>
  </si>
  <si>
    <t>BtNv-AlphaCoV</t>
  </si>
  <si>
    <t>BtNv-SC2013</t>
  </si>
  <si>
    <t>KJ473809</t>
  </si>
  <si>
    <t>alphacoronavirus bat coronavirus</t>
  </si>
  <si>
    <t>PK-BatCoV</t>
  </si>
  <si>
    <t>P.kuhlii/Italy/3398/2015</t>
  </si>
  <si>
    <t>MH938449</t>
  </si>
  <si>
    <t>Pedacovirus</t>
  </si>
  <si>
    <t>bat alphacoronavirus BtCoV/020_16/M.dau/FIN/2016</t>
  </si>
  <si>
    <t>BtCoV/020_16/M.dau/FIN/2016</t>
  </si>
  <si>
    <t>020_16</t>
  </si>
  <si>
    <t>MG923574</t>
  </si>
  <si>
    <t>alphacoronavirus sp. WA1087</t>
  </si>
  <si>
    <t>ACoV-WA1087</t>
  </si>
  <si>
    <t>WA1087</t>
  </si>
  <si>
    <t>MK472067</t>
  </si>
  <si>
    <t>porcine epidemic diarrhea virus</t>
  </si>
  <si>
    <t>PEDV</t>
  </si>
  <si>
    <t>CV777</t>
  </si>
  <si>
    <t>AF353511</t>
  </si>
  <si>
    <t>Scotophilus bat coronavirus 512</t>
  </si>
  <si>
    <t>Sc-BatCoV_512</t>
  </si>
  <si>
    <t>512/2005</t>
  </si>
  <si>
    <t>DQ648858</t>
  </si>
  <si>
    <t>Rhinacovirus</t>
  </si>
  <si>
    <t>Rhinolophus bat coronavirus HKU2</t>
  </si>
  <si>
    <t>Rh-BatCoV_HKU2</t>
  </si>
  <si>
    <t>GD/430/2006</t>
  </si>
  <si>
    <t>EF203064</t>
  </si>
  <si>
    <t>Setracovirus</t>
  </si>
  <si>
    <t>human coronavirus NL63</t>
  </si>
  <si>
    <t>HCoV_NL63</t>
  </si>
  <si>
    <t>Amsterdam I</t>
  </si>
  <si>
    <t>AY567487</t>
  </si>
  <si>
    <t>NL63-related bat coronavirus</t>
  </si>
  <si>
    <t>BtKYNL63</t>
  </si>
  <si>
    <t>BtKYNL63-9b</t>
  </si>
  <si>
    <t>KY073745</t>
  </si>
  <si>
    <t>Soracovirus</t>
  </si>
  <si>
    <t>common shrew coronavirus Tibet-2014</t>
  </si>
  <si>
    <t>Sa-CoV_T14</t>
  </si>
  <si>
    <t>KY370053</t>
  </si>
  <si>
    <t>Sunacovirus</t>
  </si>
  <si>
    <t>Suncus murinus coronavirus Xingguo-74</t>
  </si>
  <si>
    <t>Sm-CoV_X74</t>
  </si>
  <si>
    <t>KY967715</t>
  </si>
  <si>
    <t>Tegacovirus</t>
  </si>
  <si>
    <t>transmissible gastroenteritis virus</t>
  </si>
  <si>
    <t>TGEV</t>
  </si>
  <si>
    <t>PUR46-MAD</t>
  </si>
  <si>
    <t>AJ271965</t>
  </si>
  <si>
    <t>Betacoronavirus</t>
  </si>
  <si>
    <t>Embecovirus</t>
  </si>
  <si>
    <t>human coronavirus OC43</t>
  </si>
  <si>
    <t>HCoV_OC43</t>
  </si>
  <si>
    <t>ATCC VR-759</t>
  </si>
  <si>
    <t>AY585228</t>
  </si>
  <si>
    <t>betacoronavirus HKU24</t>
  </si>
  <si>
    <t>ChRCoV_HKU24</t>
  </si>
  <si>
    <t>HKU24-R05005I</t>
  </si>
  <si>
    <t>KM349742</t>
  </si>
  <si>
    <t>human coronavirus HKU1</t>
  </si>
  <si>
    <t>HCoV_HKU1</t>
  </si>
  <si>
    <t>HKU1</t>
  </si>
  <si>
    <t>AY597011</t>
  </si>
  <si>
    <t>murine hepatitis virus</t>
  </si>
  <si>
    <t>A59</t>
  </si>
  <si>
    <t>AY700211</t>
  </si>
  <si>
    <t>Myodes rufocanus vole coronavirus 2/JL2014</t>
  </si>
  <si>
    <t>MrufCoV_2JL14</t>
  </si>
  <si>
    <t>KY370046</t>
  </si>
  <si>
    <t>Hibecovirus</t>
  </si>
  <si>
    <t>bat Hp-betacoronavirus/Zhejiang2013</t>
  </si>
  <si>
    <t>Bat_Hp-BetaCoV</t>
  </si>
  <si>
    <t>Zhejiang2013</t>
  </si>
  <si>
    <t>KF636752</t>
  </si>
  <si>
    <t>Merbecovirus</t>
  </si>
  <si>
    <t>hedgehog coronavirus 1</t>
  </si>
  <si>
    <t>EriCoV</t>
  </si>
  <si>
    <t>2012-174/GER/2012</t>
  </si>
  <si>
    <t>KC545383</t>
  </si>
  <si>
    <t>Middle East respiratory syndrome-related coronavirus</t>
  </si>
  <si>
    <t>MERS-CoV</t>
  </si>
  <si>
    <t>HCoV-EMC</t>
  </si>
  <si>
    <t>JX869059</t>
  </si>
  <si>
    <t>Pipistrellus bat coronavirus HKU5</t>
  </si>
  <si>
    <t>Pi-BatCoV_HKU5</t>
  </si>
  <si>
    <t>LMH03f</t>
  </si>
  <si>
    <t>EF065509</t>
  </si>
  <si>
    <t>Tylonycteris bat coronavirus HKU4</t>
  </si>
  <si>
    <t>Ty-BatCoV-HKU4</t>
  </si>
  <si>
    <t>B04f</t>
  </si>
  <si>
    <t>EF065505</t>
  </si>
  <si>
    <t>Nobecovirus</t>
  </si>
  <si>
    <t>Eidolon helvum bat coronavirus CMR704-P12</t>
  </si>
  <si>
    <t>Ei-BatCoV_C704</t>
  </si>
  <si>
    <t>MG693168</t>
  </si>
  <si>
    <t>Rousettus bat coronavirus</t>
  </si>
  <si>
    <t>Ro-BatCoV_GCCDC1</t>
  </si>
  <si>
    <t>GCCDC1 356</t>
  </si>
  <si>
    <t>KU762338</t>
  </si>
  <si>
    <t>Rousettus bat coronavirus HKU9</t>
  </si>
  <si>
    <t>Ro-BatCoV_HKU9</t>
  </si>
  <si>
    <t>BF_005I</t>
  </si>
  <si>
    <t>EF065513</t>
  </si>
  <si>
    <t>Sarbecovirus</t>
  </si>
  <si>
    <t>severe acute respiratory syndrome coronavirus</t>
  </si>
  <si>
    <t>SARS-CoV</t>
  </si>
  <si>
    <t>Tor2</t>
  </si>
  <si>
    <t>AY274119</t>
  </si>
  <si>
    <t>severe acute respiratory syndrome-related coronavirus</t>
  </si>
  <si>
    <t>SARSr-CoV</t>
  </si>
  <si>
    <t>BtKY72</t>
  </si>
  <si>
    <t>severe acute respiratory syndrome coronavirus 2 </t>
  </si>
  <si>
    <t>SARS-CoV-2</t>
  </si>
  <si>
    <t>Wuhan-Hu-1</t>
  </si>
  <si>
    <t>SARS coronavirus</t>
  </si>
  <si>
    <t>PC4-227</t>
  </si>
  <si>
    <t>Deltacoronavirus</t>
  </si>
  <si>
    <t>Andecovirus</t>
  </si>
  <si>
    <t>wigeon coronavirus HKU20</t>
  </si>
  <si>
    <t>WiCoV_HKU20</t>
  </si>
  <si>
    <t>JQ065048</t>
  </si>
  <si>
    <t>Buldecovirus</t>
  </si>
  <si>
    <t>bulbul coronavirus HKU11</t>
  </si>
  <si>
    <t>BulCV_HKU11</t>
  </si>
  <si>
    <t>FJ376619</t>
  </si>
  <si>
    <t>common moorhen coronavirus HKU21</t>
  </si>
  <si>
    <t>CMCoV_HKU21</t>
  </si>
  <si>
    <t>JQ065049</t>
  </si>
  <si>
    <t>porcine coronavirus HKU15</t>
  </si>
  <si>
    <t>PoCoV_HKU15</t>
  </si>
  <si>
    <t>JQ065043</t>
  </si>
  <si>
    <t>munia coronavirus HKU13</t>
  </si>
  <si>
    <t>MunCV_HKU13</t>
  </si>
  <si>
    <t>FJ376622</t>
  </si>
  <si>
    <t>white-eye coronavirus HKU16</t>
  </si>
  <si>
    <t>WECoV_HKU16</t>
  </si>
  <si>
    <t>JQ065044</t>
  </si>
  <si>
    <t>Herdecovirus</t>
  </si>
  <si>
    <t>night heron coronavirus HKU19</t>
  </si>
  <si>
    <t>NHCoV_HKU19</t>
  </si>
  <si>
    <t>JQ065047</t>
  </si>
  <si>
    <t>Gammacoronavirus</t>
  </si>
  <si>
    <t>Brangacovirus</t>
  </si>
  <si>
    <t>Canada goose-Branta canadensis-coronavirus-Cambridge Bay 2017</t>
  </si>
  <si>
    <t>BcanCoV_CB17</t>
  </si>
  <si>
    <t>MK359255</t>
  </si>
  <si>
    <t>Cegacovirus</t>
  </si>
  <si>
    <t>beluga whale coronavirus</t>
  </si>
  <si>
    <t>BWCoV</t>
  </si>
  <si>
    <t>SW1</t>
  </si>
  <si>
    <t>EU111742</t>
  </si>
  <si>
    <t>bottlenose dolphin coronavirus HKU22</t>
  </si>
  <si>
    <t>BdCoV_HKU22</t>
  </si>
  <si>
    <t>CF090325</t>
  </si>
  <si>
    <t>Igacovirus</t>
  </si>
  <si>
    <t>infectious bronchitis virus</t>
  </si>
  <si>
    <t>IBV</t>
  </si>
  <si>
    <t>Beaudette</t>
  </si>
  <si>
    <t>M95169</t>
  </si>
  <si>
    <t>infectious bronchitis virus Ind-TN92-03</t>
  </si>
  <si>
    <t>ACoV_9203</t>
  </si>
  <si>
    <t>KR902510</t>
  </si>
  <si>
    <t>duck coronavirus DK/GD/27/2014</t>
  </si>
  <si>
    <t>DuCoV_2714</t>
  </si>
  <si>
    <t>KM454473</t>
  </si>
  <si>
    <t>Pitovirinae</t>
  </si>
  <si>
    <t>Alphapironavirus</t>
  </si>
  <si>
    <t>Samovirus</t>
  </si>
  <si>
    <t>Pacific salmon nidovirus</t>
  </si>
  <si>
    <t>PsNV</t>
  </si>
  <si>
    <t>H14</t>
  </si>
  <si>
    <t>MK611985</t>
  </si>
  <si>
    <t>Mesnidovirineae</t>
  </si>
  <si>
    <t>Medioniviridae</t>
  </si>
  <si>
    <t>Medionivirinae</t>
  </si>
  <si>
    <t>Bolenivirus</t>
  </si>
  <si>
    <t>Balbicanovirus</t>
  </si>
  <si>
    <t>Botrylloides leachii nidovirus</t>
  </si>
  <si>
    <t>BlNV</t>
  </si>
  <si>
    <t>SRR2729873</t>
  </si>
  <si>
    <t>MK956105</t>
  </si>
  <si>
    <t>Turrinivirus</t>
  </si>
  <si>
    <t>Beturrivirus</t>
  </si>
  <si>
    <t>Beihai nido-like virus 1</t>
  </si>
  <si>
    <t>TurrNV</t>
  </si>
  <si>
    <t>BZL87871</t>
  </si>
  <si>
    <t>KX883629</t>
  </si>
  <si>
    <t>Mesoniviridae</t>
  </si>
  <si>
    <t>Hexponivirinae</t>
  </si>
  <si>
    <t>Alphamesonivirus</t>
  </si>
  <si>
    <t>Casualivirus</t>
  </si>
  <si>
    <t>Casuarina virus</t>
  </si>
  <si>
    <t>KJ125489</t>
  </si>
  <si>
    <t>Enselivirus</t>
  </si>
  <si>
    <t>Nsé virus</t>
  </si>
  <si>
    <t>NseV</t>
  </si>
  <si>
    <t>F24/CI/2004</t>
  </si>
  <si>
    <t>JQ957874</t>
  </si>
  <si>
    <t>Hanalivirus</t>
  </si>
  <si>
    <t>Hana virus</t>
  </si>
  <si>
    <t>HanaV</t>
  </si>
  <si>
    <t>A4/CI/2004</t>
  </si>
  <si>
    <t>JQ957872</t>
  </si>
  <si>
    <t>Kadilivirus</t>
  </si>
  <si>
    <t>Kadiweu virus</t>
  </si>
  <si>
    <t>BrMS-MQ10</t>
  </si>
  <si>
    <t>KT966495</t>
  </si>
  <si>
    <t>Karsalivirus</t>
  </si>
  <si>
    <t>Karang Sari virus</t>
  </si>
  <si>
    <t>KSaV</t>
  </si>
  <si>
    <t>JKT10701</t>
  </si>
  <si>
    <t>KC807171</t>
  </si>
  <si>
    <t>Dak Nong virus</t>
  </si>
  <si>
    <t>DKNV</t>
  </si>
  <si>
    <t>HL30</t>
  </si>
  <si>
    <t>AB753015</t>
  </si>
  <si>
    <t>Menolivirus</t>
  </si>
  <si>
    <t>Méno virus</t>
  </si>
  <si>
    <t>MenoV</t>
  </si>
  <si>
    <t>E9/CI/2004</t>
  </si>
  <si>
    <t>JQ957873</t>
  </si>
  <si>
    <t>Namcalivirus</t>
  </si>
  <si>
    <t>Nam Dinh virus</t>
  </si>
  <si>
    <t>02VN178</t>
  </si>
  <si>
    <t>DQ458789</t>
  </si>
  <si>
    <t>Dianke virus</t>
  </si>
  <si>
    <t>DiankeV</t>
  </si>
  <si>
    <t>KY056254</t>
  </si>
  <si>
    <t>Ofalivirus</t>
  </si>
  <si>
    <t>Ofaie virus</t>
  </si>
  <si>
    <t>OFAV</t>
  </si>
  <si>
    <t>KT966491</t>
  </si>
  <si>
    <t>Yilivirus</t>
  </si>
  <si>
    <t>Yichang virus</t>
  </si>
  <si>
    <t>YiV-HB-MLV</t>
  </si>
  <si>
    <t>HB-MLV</t>
  </si>
  <si>
    <t>KY369959</t>
  </si>
  <si>
    <t>Menanivirinae</t>
  </si>
  <si>
    <t>Nasenivirus</t>
  </si>
  <si>
    <t>Insemevirus</t>
  </si>
  <si>
    <t>Insect mesonivirus 1</t>
  </si>
  <si>
    <t>InsMV-1</t>
  </si>
  <si>
    <t>Ttameso1</t>
  </si>
  <si>
    <t>MN714662</t>
  </si>
  <si>
    <t>Metotonivirinae</t>
  </si>
  <si>
    <t>Tocinivirus</t>
  </si>
  <si>
    <t>Acimevirus</t>
  </si>
  <si>
    <t>Aphis citricidus meson-like virus</t>
  </si>
  <si>
    <t>Chongqin</t>
  </si>
  <si>
    <t>MN961271</t>
  </si>
  <si>
    <t>Tofonivirus</t>
  </si>
  <si>
    <t>Fomevirus</t>
  </si>
  <si>
    <t>Frankliniella occidentalis associated mesonivirus 1</t>
  </si>
  <si>
    <t>FOaMV-1</t>
  </si>
  <si>
    <t>Foameso1</t>
  </si>
  <si>
    <t>MN714663</t>
  </si>
  <si>
    <t>Monidovirineae</t>
  </si>
  <si>
    <t>Mononiviridae</t>
  </si>
  <si>
    <t>Mononivirinae</t>
  </si>
  <si>
    <t>Alphamononivirus</t>
  </si>
  <si>
    <t>Dumedivirus</t>
  </si>
  <si>
    <t>planarian secretory cell nidovirus</t>
  </si>
  <si>
    <t>PSCNV</t>
  </si>
  <si>
    <t>IUUC</t>
  </si>
  <si>
    <t>MH933735</t>
  </si>
  <si>
    <t>Nanidovirineae</t>
  </si>
  <si>
    <t>Nanghoshaviridae</t>
  </si>
  <si>
    <t>Chimanivirinae</t>
  </si>
  <si>
    <t>Chimshavirus</t>
  </si>
  <si>
    <t>Nanhai ghost shark arterivirus</t>
  </si>
  <si>
    <t>NGSAV</t>
  </si>
  <si>
    <t>MG600024</t>
  </si>
  <si>
    <t>Nanhypoviridae</t>
  </si>
  <si>
    <t>Hyporhamsavirinae</t>
  </si>
  <si>
    <t>Sajorinivirus</t>
  </si>
  <si>
    <t>Wuhan japanese halfbeak arterivirus</t>
  </si>
  <si>
    <t>WJHAV</t>
  </si>
  <si>
    <t>MG600020</t>
  </si>
  <si>
    <t>Ronidovirineae</t>
  </si>
  <si>
    <t>Euroniviridae</t>
  </si>
  <si>
    <t>Ceronivirinae</t>
  </si>
  <si>
    <t>Charybnivirus</t>
  </si>
  <si>
    <t>Cradenivirus</t>
  </si>
  <si>
    <t>Beihai nido-like virus 2</t>
  </si>
  <si>
    <t>CharNV</t>
  </si>
  <si>
    <t>BHXun32263</t>
  </si>
  <si>
    <t>KX883628</t>
  </si>
  <si>
    <t>Wenilivirus</t>
  </si>
  <si>
    <t>Wenling nido-like virus 1 strain</t>
  </si>
  <si>
    <t>DecNV</t>
  </si>
  <si>
    <t>WLJQ99370</t>
  </si>
  <si>
    <t>KX883636</t>
  </si>
  <si>
    <t>Paguronivirus</t>
  </si>
  <si>
    <t>Behecravirus</t>
  </si>
  <si>
    <t>Beihai hermit crab virus 4 strain</t>
  </si>
  <si>
    <t>PagRV</t>
  </si>
  <si>
    <t>BHJJX25971</t>
  </si>
  <si>
    <t>KX883627</t>
  </si>
  <si>
    <t>Roniviridae</t>
  </si>
  <si>
    <t>Okanivirinae</t>
  </si>
  <si>
    <t>Nimanivirus</t>
  </si>
  <si>
    <t>Marovirus</t>
  </si>
  <si>
    <t>Macrobrachium rosenbergii Golda virus</t>
  </si>
  <si>
    <t>MrGV</t>
  </si>
  <si>
    <t>LH1-2018</t>
  </si>
  <si>
    <t>MT907511</t>
  </si>
  <si>
    <t>Okavirus</t>
  </si>
  <si>
    <t>Tipravirus</t>
  </si>
  <si>
    <t>gill-associated virus</t>
  </si>
  <si>
    <t>AUS-96-Ref</t>
  </si>
  <si>
    <t>AF227196</t>
  </si>
  <si>
    <t>yellow head virus</t>
  </si>
  <si>
    <t>YHV</t>
  </si>
  <si>
    <t>Chachoengsao 1998</t>
  </si>
  <si>
    <t>EU487200</t>
  </si>
  <si>
    <t>yellow head virus type 8</t>
  </si>
  <si>
    <t>YHV-8</t>
  </si>
  <si>
    <t>KX947267</t>
  </si>
  <si>
    <t>Tornidovirineae</t>
  </si>
  <si>
    <t>Tobaniviridae</t>
  </si>
  <si>
    <t>Piscanivirinae</t>
  </si>
  <si>
    <t>Bafinivirus</t>
  </si>
  <si>
    <t>Blicbavirus</t>
  </si>
  <si>
    <t>white bream virus</t>
  </si>
  <si>
    <t>DF24/00</t>
  </si>
  <si>
    <t>DQ898157</t>
  </si>
  <si>
    <t>Pimfabavirus</t>
  </si>
  <si>
    <t>fathead minnow nidovirus</t>
  </si>
  <si>
    <t>FHMNV</t>
  </si>
  <si>
    <t>GU002364</t>
  </si>
  <si>
    <t>Oncotshavirus</t>
  </si>
  <si>
    <t>Salnivirus</t>
  </si>
  <si>
    <t>Chinook salmon bafinivirus</t>
  </si>
  <si>
    <t>CSV</t>
  </si>
  <si>
    <t>NIDO</t>
  </si>
  <si>
    <t>KJ681496</t>
  </si>
  <si>
    <t>Remotovirinae</t>
  </si>
  <si>
    <t>Bostovirus</t>
  </si>
  <si>
    <t>Bosnitovirus</t>
  </si>
  <si>
    <t>bovine nidovirus</t>
  </si>
  <si>
    <t>BoNV</t>
  </si>
  <si>
    <t>TCH5</t>
  </si>
  <si>
    <t>KM589359</t>
  </si>
  <si>
    <t>Serpentovirinae</t>
  </si>
  <si>
    <t>Infratovirus</t>
  </si>
  <si>
    <t>Hepoptovirus</t>
  </si>
  <si>
    <t>Hainan hebius popei torovirus LPSC33749</t>
  </si>
  <si>
    <t>HpoToV_33749</t>
  </si>
  <si>
    <t>MG600028</t>
  </si>
  <si>
    <t>Selatovirus</t>
  </si>
  <si>
    <t>Serpentovirinae sp. isolate L25</t>
  </si>
  <si>
    <t>SerTV-25</t>
  </si>
  <si>
    <t>L25</t>
  </si>
  <si>
    <t>MN161572</t>
  </si>
  <si>
    <t>Xintolivirus</t>
  </si>
  <si>
    <t>Xinzhou toro-like virus</t>
  </si>
  <si>
    <t>INTOV</t>
  </si>
  <si>
    <t>XZSJSC65757</t>
  </si>
  <si>
    <t>KX883638</t>
  </si>
  <si>
    <t>Lyctovirus</t>
  </si>
  <si>
    <t>Chalatovirus</t>
  </si>
  <si>
    <t>Veiled chameleon serpentovirus A</t>
  </si>
  <si>
    <t>VCSTV-A</t>
  </si>
  <si>
    <t>MT997160</t>
  </si>
  <si>
    <t>Rebatovirus</t>
  </si>
  <si>
    <t>Guangdong red-banded snake-Lycodon rufozonatus-torovirus LPSF30546</t>
  </si>
  <si>
    <t>GRBSToV</t>
  </si>
  <si>
    <t>MG600030</t>
  </si>
  <si>
    <t>Pregotovirus</t>
  </si>
  <si>
    <t>Roypretovirus</t>
  </si>
  <si>
    <t>ball python nidovirus</t>
  </si>
  <si>
    <t>BPNV</t>
  </si>
  <si>
    <t>KJ541759</t>
  </si>
  <si>
    <t>Morelia viridis nidovirus</t>
  </si>
  <si>
    <t>MVNV</t>
  </si>
  <si>
    <t>MF351889</t>
  </si>
  <si>
    <t>MoVNV</t>
  </si>
  <si>
    <t>BH171/14-7</t>
  </si>
  <si>
    <t>MK182569</t>
  </si>
  <si>
    <t>Snaturtovirus</t>
  </si>
  <si>
    <t>Bellinger River virus</t>
  </si>
  <si>
    <t>J248</t>
  </si>
  <si>
    <t>MF685025</t>
  </si>
  <si>
    <t>Tilitovirus</t>
  </si>
  <si>
    <t>shingleback nidovirus 1</t>
  </si>
  <si>
    <t>ShNV</t>
  </si>
  <si>
    <t>KX184715</t>
  </si>
  <si>
    <t>Sectovirus</t>
  </si>
  <si>
    <t>Sanematovirus</t>
  </si>
  <si>
    <t>Xinzhou nematode virus 6</t>
  </si>
  <si>
    <t>SECTOV</t>
  </si>
  <si>
    <t>XZSJSC61041</t>
  </si>
  <si>
    <t>KX883637</t>
  </si>
  <si>
    <t>Septovirus</t>
  </si>
  <si>
    <t>Sekatovirus</t>
  </si>
  <si>
    <t>Serpentovirinae sp. isolate K48</t>
  </si>
  <si>
    <t>SerTV-K48</t>
  </si>
  <si>
    <t>K48</t>
  </si>
  <si>
    <t>MN161566</t>
  </si>
  <si>
    <t>Sertovirus</t>
  </si>
  <si>
    <t>Serecovirus</t>
  </si>
  <si>
    <t>Serpentovirinae sp. isolate C18</t>
  </si>
  <si>
    <t>SerTV-C18</t>
  </si>
  <si>
    <t>MN161561</t>
  </si>
  <si>
    <t>Vebetovirus</t>
  </si>
  <si>
    <t>Chabetovirus</t>
  </si>
  <si>
    <t>Veiled chameleon serpentovirus B</t>
  </si>
  <si>
    <t>VCSTV-B</t>
  </si>
  <si>
    <t>MT997159</t>
  </si>
  <si>
    <t>Torovirinae</t>
  </si>
  <si>
    <t>Torovirus</t>
  </si>
  <si>
    <t>Bantovirus</t>
  </si>
  <si>
    <t>Bangali torovirus</t>
  </si>
  <si>
    <t>Bangali/H.rufipes/2018</t>
  </si>
  <si>
    <t>MW561977</t>
  </si>
  <si>
    <t>Renitovirus</t>
  </si>
  <si>
    <t>bovine torovirus</t>
  </si>
  <si>
    <t>Breda 1</t>
  </si>
  <si>
    <t>AY427798</t>
  </si>
  <si>
    <t>equine torovirus</t>
  </si>
  <si>
    <t>EToV</t>
  </si>
  <si>
    <t>Berne</t>
  </si>
  <si>
    <t>porcine torovirus</t>
  </si>
  <si>
    <t>PoTV</t>
  </si>
  <si>
    <t>SH1</t>
  </si>
  <si>
    <t>JQ860350</t>
  </si>
  <si>
    <t>Picornavirales</t>
  </si>
  <si>
    <t>Caliciviridae</t>
  </si>
  <si>
    <t>Bavovirus</t>
  </si>
  <si>
    <t>chicken calicivirus</t>
  </si>
  <si>
    <t>V0021/DE/2004</t>
  </si>
  <si>
    <t>HQ010042</t>
  </si>
  <si>
    <t>Lagovirus</t>
  </si>
  <si>
    <t>European brown hare syndrome virus</t>
  </si>
  <si>
    <t>EBHSV</t>
  </si>
  <si>
    <t>GD/FR/1989</t>
  </si>
  <si>
    <t>Z69620</t>
  </si>
  <si>
    <t>rabbit hemorrhagic disease virus</t>
  </si>
  <si>
    <t>RHDV</t>
  </si>
  <si>
    <t>GH/DE/1988</t>
  </si>
  <si>
    <t>Minovirus</t>
  </si>
  <si>
    <t>fathead minnow calicivirus</t>
  </si>
  <si>
    <t>FMCV</t>
  </si>
  <si>
    <t>US/2012</t>
  </si>
  <si>
    <t>KX371097</t>
  </si>
  <si>
    <t>Nacovirus</t>
  </si>
  <si>
    <t>turkey calicivirus</t>
  </si>
  <si>
    <t>L11043/DE/2011</t>
  </si>
  <si>
    <t>JQ347522</t>
  </si>
  <si>
    <t>Nebovirus</t>
  </si>
  <si>
    <t>Newbury-1 virus</t>
  </si>
  <si>
    <t>N1V</t>
  </si>
  <si>
    <t>UK/1976</t>
  </si>
  <si>
    <t>DQ013304</t>
  </si>
  <si>
    <t>Nebraska virus</t>
  </si>
  <si>
    <t>BEC-NB/US/1980</t>
  </si>
  <si>
    <t>Norovirus</t>
  </si>
  <si>
    <t>Norwalk virus</t>
  </si>
  <si>
    <t>NV</t>
  </si>
  <si>
    <t>US/1968</t>
  </si>
  <si>
    <t>M87661</t>
  </si>
  <si>
    <t>Lordsdale virus</t>
  </si>
  <si>
    <t>LV</t>
  </si>
  <si>
    <t>GII/UK/1995</t>
  </si>
  <si>
    <t>Maryland virus</t>
  </si>
  <si>
    <t>MV</t>
  </si>
  <si>
    <t>GII/US/1987</t>
  </si>
  <si>
    <t>Jena virus</t>
  </si>
  <si>
    <t>GIII/DE/1980</t>
  </si>
  <si>
    <t>Alphatron virus</t>
  </si>
  <si>
    <t>GIV/NL/1998</t>
  </si>
  <si>
    <t>murine norovirus 1</t>
  </si>
  <si>
    <t>MNV1</t>
  </si>
  <si>
    <t>GV/US/2002</t>
  </si>
  <si>
    <t>Viseu virus</t>
  </si>
  <si>
    <t>VV</t>
  </si>
  <si>
    <t>GVI/PT/2007</t>
  </si>
  <si>
    <t>dog norovirus</t>
  </si>
  <si>
    <t>CaV</t>
  </si>
  <si>
    <t>GVII/HK/2007</t>
  </si>
  <si>
    <t>Chiba-040502 virus</t>
  </si>
  <si>
    <t>ChV</t>
  </si>
  <si>
    <t>GVIII/JP/2004</t>
  </si>
  <si>
    <t>Sapporo-HK299 virus</t>
  </si>
  <si>
    <t>SaV</t>
  </si>
  <si>
    <t>GIX/JP/2007</t>
  </si>
  <si>
    <t>bat norovirus</t>
  </si>
  <si>
    <t>BtRsV</t>
  </si>
  <si>
    <t>GX/CN/2010</t>
  </si>
  <si>
    <t>Recovirus</t>
  </si>
  <si>
    <t>Tulane virus</t>
  </si>
  <si>
    <t>TV</t>
  </si>
  <si>
    <t>US/2004</t>
  </si>
  <si>
    <t>EU391643</t>
  </si>
  <si>
    <t>Salovirus</t>
  </si>
  <si>
    <t>Atlantic salmon calicivirus</t>
  </si>
  <si>
    <t>ASCV</t>
  </si>
  <si>
    <t>Nordland/NO/2011</t>
  </si>
  <si>
    <t>KJ577139</t>
  </si>
  <si>
    <t>Sapovirus</t>
  </si>
  <si>
    <t>Sapporo virus</t>
  </si>
  <si>
    <t>JP/1982</t>
  </si>
  <si>
    <t>HM002617</t>
  </si>
  <si>
    <t>Manchester virus</t>
  </si>
  <si>
    <t>GI/UK/1995</t>
  </si>
  <si>
    <t>Bristol virus</t>
  </si>
  <si>
    <t>BV</t>
  </si>
  <si>
    <t>GII/UK/1998</t>
  </si>
  <si>
    <t>Cowden I virus</t>
  </si>
  <si>
    <t>GIII/US/1976</t>
  </si>
  <si>
    <t>Ehime virus</t>
  </si>
  <si>
    <t>EV</t>
  </si>
  <si>
    <t>GIV/JP/2002</t>
  </si>
  <si>
    <t>Nongkhai virus</t>
  </si>
  <si>
    <t>NKV</t>
  </si>
  <si>
    <t>GV/TH/2002</t>
  </si>
  <si>
    <t>Valovirus</t>
  </si>
  <si>
    <t>St-Valérien calicivirus</t>
  </si>
  <si>
    <t>AB90/CAN/2006</t>
  </si>
  <si>
    <t>FJ355928</t>
  </si>
  <si>
    <t>Vesivirus</t>
  </si>
  <si>
    <t>feline calicivirus</t>
  </si>
  <si>
    <t>F9/US/1958</t>
  </si>
  <si>
    <t>M86379</t>
  </si>
  <si>
    <t>vesicular exanthema of swine virus</t>
  </si>
  <si>
    <t>VESV</t>
  </si>
  <si>
    <t>A48/US/1948</t>
  </si>
  <si>
    <t>U76874</t>
  </si>
  <si>
    <t>Dicistroviridae</t>
  </si>
  <si>
    <t>Aparavirus</t>
  </si>
  <si>
    <t>acute bee paralysis virus</t>
  </si>
  <si>
    <t>ABPV</t>
  </si>
  <si>
    <t>AF150629</t>
  </si>
  <si>
    <t>mud crab virus</t>
  </si>
  <si>
    <t>MCV</t>
  </si>
  <si>
    <t>HM777507</t>
  </si>
  <si>
    <t>Israeli acute paralysis virus</t>
  </si>
  <si>
    <t>IAPV</t>
  </si>
  <si>
    <t>EF219380</t>
  </si>
  <si>
    <t>Kashmir bee virus</t>
  </si>
  <si>
    <t>AY275710</t>
  </si>
  <si>
    <t>Taura syndrome virus</t>
  </si>
  <si>
    <t>AF277675</t>
  </si>
  <si>
    <t>Solenopsis invicta virus 1</t>
  </si>
  <si>
    <t>SINV1</t>
  </si>
  <si>
    <t>AY634314</t>
  </si>
  <si>
    <t>Cripavirus</t>
  </si>
  <si>
    <t>Drosophila C virus</t>
  </si>
  <si>
    <t>DCV</t>
  </si>
  <si>
    <t>EB</t>
  </si>
  <si>
    <t>AF014388</t>
  </si>
  <si>
    <t>cricket paralysis virus</t>
  </si>
  <si>
    <t>CrPV</t>
  </si>
  <si>
    <t>AF218039</t>
  </si>
  <si>
    <t>aphid lethal paralysis virus</t>
  </si>
  <si>
    <t>ALPV</t>
  </si>
  <si>
    <t>AF536531</t>
  </si>
  <si>
    <t>Solenopsis invicta virus 6</t>
  </si>
  <si>
    <t>SINV-6</t>
  </si>
  <si>
    <t>Formosa</t>
  </si>
  <si>
    <t>MH714707</t>
  </si>
  <si>
    <t>Rhopalosiphum padi virus</t>
  </si>
  <si>
    <t>RhPV</t>
  </si>
  <si>
    <t>AF022937</t>
  </si>
  <si>
    <t>Triatovirus</t>
  </si>
  <si>
    <t>Himetobi P virus</t>
  </si>
  <si>
    <t>HiPV</t>
  </si>
  <si>
    <t>AB017037</t>
  </si>
  <si>
    <t>Homalodisca coagulata virus 1</t>
  </si>
  <si>
    <t>HoCV1</t>
  </si>
  <si>
    <t>DQ288865</t>
  </si>
  <si>
    <t>black queen cell virus</t>
  </si>
  <si>
    <t>BQCV</t>
  </si>
  <si>
    <t>South African</t>
  </si>
  <si>
    <t>AF183905</t>
  </si>
  <si>
    <t>Plautia stali intestine virus</t>
  </si>
  <si>
    <t>PSIV</t>
  </si>
  <si>
    <t>AB006531</t>
  </si>
  <si>
    <t>Triatoma virus</t>
  </si>
  <si>
    <t>TrV</t>
  </si>
  <si>
    <t>AF178440</t>
  </si>
  <si>
    <t>Iflaviridae</t>
  </si>
  <si>
    <t>Iflavirus</t>
  </si>
  <si>
    <t>Acheta domesticus Iflavirus</t>
  </si>
  <si>
    <t>AdIV</t>
  </si>
  <si>
    <t>SE:1050</t>
  </si>
  <si>
    <t>deformed wing virus</t>
  </si>
  <si>
    <t>DWV</t>
  </si>
  <si>
    <t>AJ489744</t>
  </si>
  <si>
    <t>slow bee paralysis virus</t>
  </si>
  <si>
    <t>SBPV</t>
  </si>
  <si>
    <t>Rothamstead</t>
  </si>
  <si>
    <t>EU035616</t>
  </si>
  <si>
    <t>Spodoptera exigua iflavirus 2</t>
  </si>
  <si>
    <t>SEIV2</t>
  </si>
  <si>
    <t>Korean</t>
  </si>
  <si>
    <t>JN870848</t>
  </si>
  <si>
    <t>Brevicoryne brassicae virus</t>
  </si>
  <si>
    <t>EF517277</t>
  </si>
  <si>
    <t>Dinocampus coccinellae paralysis virus</t>
  </si>
  <si>
    <t>DcPV</t>
  </si>
  <si>
    <t>Quebec2013</t>
  </si>
  <si>
    <t>KF843822</t>
  </si>
  <si>
    <t>Ectropis obliqua virus</t>
  </si>
  <si>
    <t>EoV</t>
  </si>
  <si>
    <t>AY365064</t>
  </si>
  <si>
    <t>infectious flacherie virus</t>
  </si>
  <si>
    <t>IFV</t>
  </si>
  <si>
    <t>AB000906</t>
  </si>
  <si>
    <t>Lymantria dispar iflavirus 1</t>
  </si>
  <si>
    <t>LdIV1</t>
  </si>
  <si>
    <t>Ames</t>
  </si>
  <si>
    <t>KJ629170</t>
  </si>
  <si>
    <t>Lygus lineolaris virus 1</t>
  </si>
  <si>
    <t>LyLV1</t>
  </si>
  <si>
    <t>LlV1</t>
  </si>
  <si>
    <t>JF720348</t>
  </si>
  <si>
    <t>Nilaparvata lugens honeydew virus 1</t>
  </si>
  <si>
    <t>NLHV1</t>
  </si>
  <si>
    <t>AB766259</t>
  </si>
  <si>
    <t>Perina nuda virus</t>
  </si>
  <si>
    <t>PnV</t>
  </si>
  <si>
    <t>AF323747</t>
  </si>
  <si>
    <t>sacbrood virus</t>
  </si>
  <si>
    <t>AF092924</t>
  </si>
  <si>
    <t>Spodoptera exigua iflavirus 1</t>
  </si>
  <si>
    <t>SEIV1</t>
  </si>
  <si>
    <t>JN091707</t>
  </si>
  <si>
    <t>Varroa destructor virus 2</t>
  </si>
  <si>
    <t>VDI 1</t>
  </si>
  <si>
    <t>IL</t>
  </si>
  <si>
    <t>KX578271</t>
  </si>
  <si>
    <t>Antheraea pernyi iflavirus</t>
  </si>
  <si>
    <t>LnApIV</t>
  </si>
  <si>
    <t>KF751885</t>
  </si>
  <si>
    <t>Marnaviridae</t>
  </si>
  <si>
    <t>Bacillarnavirus</t>
  </si>
  <si>
    <t>Chaetoceros socialis f. radians RNA virus 01</t>
  </si>
  <si>
    <t>CsfrRNAV01</t>
  </si>
  <si>
    <t>Hiroshima Bay</t>
  </si>
  <si>
    <t>AB469874</t>
  </si>
  <si>
    <t>Chaetoceros tenuissimus RNA virus 01</t>
  </si>
  <si>
    <t>CtenRNAV01</t>
  </si>
  <si>
    <t>Seto Inland Sea</t>
  </si>
  <si>
    <t>AB375474</t>
  </si>
  <si>
    <t>Rhizosolenia setigera RNA virus 01</t>
  </si>
  <si>
    <t>RsRNAV01</t>
  </si>
  <si>
    <t>RsRNAV06</t>
  </si>
  <si>
    <t>AB243297</t>
  </si>
  <si>
    <t>Kusarnavirus</t>
  </si>
  <si>
    <t>Asterionellopsis glacialis RNA virus</t>
  </si>
  <si>
    <t>AglaRNAV</t>
  </si>
  <si>
    <t>Ag1aRNAV</t>
  </si>
  <si>
    <t>AB973945</t>
  </si>
  <si>
    <t>Labyrnavirus</t>
  </si>
  <si>
    <t>aurantiochytrium single-stranded RNA virus 01</t>
  </si>
  <si>
    <t>ASSRNAV01</t>
  </si>
  <si>
    <t>AB193726</t>
  </si>
  <si>
    <t>Locarnavirus</t>
  </si>
  <si>
    <t>Marine RNA virus JP-B</t>
  </si>
  <si>
    <t>JP-B</t>
  </si>
  <si>
    <t>EF198242</t>
  </si>
  <si>
    <t>Marine RNA virus SF-1</t>
  </si>
  <si>
    <t>SF-1</t>
  </si>
  <si>
    <t>JN661160</t>
  </si>
  <si>
    <t>Marine RNA virus SF-2</t>
  </si>
  <si>
    <t>SF-2</t>
  </si>
  <si>
    <t>KF412901</t>
  </si>
  <si>
    <t>Marine RNA virus SF-3</t>
  </si>
  <si>
    <t>SF-3</t>
  </si>
  <si>
    <t>KF478836</t>
  </si>
  <si>
    <t>Marnavirus</t>
  </si>
  <si>
    <t>Heterosigma akashiwo RNA virus</t>
  </si>
  <si>
    <t>HaRNAV</t>
  </si>
  <si>
    <t>SOG263</t>
  </si>
  <si>
    <t>AY337486</t>
  </si>
  <si>
    <t>Salisharnavirus</t>
  </si>
  <si>
    <t>Marine RNA virus BC-1</t>
  </si>
  <si>
    <t>BC-1</t>
  </si>
  <si>
    <t>MG584187</t>
  </si>
  <si>
    <t>Marine RNA virus BC-4</t>
  </si>
  <si>
    <t>BC-4</t>
  </si>
  <si>
    <t>MH171300</t>
  </si>
  <si>
    <t>Marine RNA virus PAL128</t>
  </si>
  <si>
    <t>PAL128</t>
  </si>
  <si>
    <t>KT727023</t>
  </si>
  <si>
    <t>Marine RNA virus PAL473</t>
  </si>
  <si>
    <t>PAL473</t>
  </si>
  <si>
    <t>KT727026</t>
  </si>
  <si>
    <t>Sogarnavirus</t>
  </si>
  <si>
    <t>Marine RNA virus BC-2</t>
  </si>
  <si>
    <t>BC-2</t>
  </si>
  <si>
    <t>MG584188</t>
  </si>
  <si>
    <t>Marine RNA virus BC-3</t>
  </si>
  <si>
    <t>BC-3</t>
  </si>
  <si>
    <t>MG584189</t>
  </si>
  <si>
    <t>Chaetoceros species RNA virus 02</t>
  </si>
  <si>
    <t>CspRNAV2</t>
  </si>
  <si>
    <t>Csp02RNAV01</t>
  </si>
  <si>
    <t>AB639040</t>
  </si>
  <si>
    <t>Chaetoceros tenuissimus RNA virus type II</t>
  </si>
  <si>
    <t>CtenRNAVII</t>
  </si>
  <si>
    <t>SS10-16V</t>
  </si>
  <si>
    <t>AB971661</t>
  </si>
  <si>
    <t>Marine RNA virus JP-A</t>
  </si>
  <si>
    <t>JP-A</t>
  </si>
  <si>
    <t>EF198241</t>
  </si>
  <si>
    <t>Marine RNA virus PAL156</t>
  </si>
  <si>
    <t>PAL156</t>
  </si>
  <si>
    <t>KT727024</t>
  </si>
  <si>
    <t>Noraviridae</t>
  </si>
  <si>
    <t>Orthonoravirus</t>
  </si>
  <si>
    <t>Drosophila melanogaster Nora virus</t>
  </si>
  <si>
    <t>Umea 2007</t>
  </si>
  <si>
    <t>GQ257737</t>
  </si>
  <si>
    <t>Picornaviridae</t>
  </si>
  <si>
    <t>Ampivirus</t>
  </si>
  <si>
    <t>ampivirus A1</t>
  </si>
  <si>
    <t>AMV-A1</t>
  </si>
  <si>
    <t>NEWT/2013/HUN</t>
  </si>
  <si>
    <t>KP770140</t>
  </si>
  <si>
    <t>Harkavirus</t>
  </si>
  <si>
    <t>harkavirus A1; falcovirus</t>
  </si>
  <si>
    <t>FaV</t>
  </si>
  <si>
    <t>kestrel/VOVE0622/2013/HUN</t>
  </si>
  <si>
    <t>KP230449</t>
  </si>
  <si>
    <t>Caphthovirinae</t>
  </si>
  <si>
    <t>Ailurivirus</t>
  </si>
  <si>
    <t>ailurivirus A1; aimelvirus 1</t>
  </si>
  <si>
    <t>AilV-A1</t>
  </si>
  <si>
    <t>gpai001</t>
  </si>
  <si>
    <t>MF327529</t>
  </si>
  <si>
    <t>Aphthovirus</t>
  </si>
  <si>
    <t>bovine rhinitis A virus 1</t>
  </si>
  <si>
    <t>BRAV-1</t>
  </si>
  <si>
    <t>Sd-1</t>
  </si>
  <si>
    <t>KP236128</t>
  </si>
  <si>
    <t>bovine rhinitis A virus 2</t>
  </si>
  <si>
    <t>BRAV-2</t>
  </si>
  <si>
    <t>H-1/JPN/c.1984</t>
  </si>
  <si>
    <t>bovine rhinitis B virus 1</t>
  </si>
  <si>
    <t>BRBV-1</t>
  </si>
  <si>
    <t>EC11</t>
  </si>
  <si>
    <t>EU236594</t>
  </si>
  <si>
    <t>bovine rhinitis B virus 2</t>
  </si>
  <si>
    <t>BRBV-2</t>
  </si>
  <si>
    <t>bov/SWE1/2014</t>
  </si>
  <si>
    <t>bovine rhinitis B virus 3</t>
  </si>
  <si>
    <t>BRBV-3</t>
  </si>
  <si>
    <t>bov/BSRI3/USA/2013</t>
  </si>
  <si>
    <t>bovine rhinitis B virus 4</t>
  </si>
  <si>
    <t>BRBV-4</t>
  </si>
  <si>
    <t>bov/TCH5/USA/2013</t>
  </si>
  <si>
    <t>bovine rhinitis B virus 5</t>
  </si>
  <si>
    <t>BRBV-5</t>
  </si>
  <si>
    <t>bov/MexB09/Mexico/2015</t>
  </si>
  <si>
    <t>equine rhinitis A virus</t>
  </si>
  <si>
    <t>ERAV</t>
  </si>
  <si>
    <t>PERV-1</t>
  </si>
  <si>
    <t>DQ272578</t>
  </si>
  <si>
    <t>foot-and-mouth disease virus O</t>
  </si>
  <si>
    <t>FMDV-O</t>
  </si>
  <si>
    <t>O6</t>
  </si>
  <si>
    <t>AY593829</t>
  </si>
  <si>
    <t>foot-and-mouth disease virus A</t>
  </si>
  <si>
    <t>FMDV-A</t>
  </si>
  <si>
    <t>A10holland iso 82 (Netherlands/1942)</t>
  </si>
  <si>
    <t>foot-and-mouth disease virus C</t>
  </si>
  <si>
    <t>FMDV-C</t>
  </si>
  <si>
    <t>C1oberbayern iso88 (Germany/1960)</t>
  </si>
  <si>
    <t>foot-and-mouth disease virus Asia1</t>
  </si>
  <si>
    <t>FMDV-Asia1</t>
  </si>
  <si>
    <t>ZB/CHA/58(att)</t>
  </si>
  <si>
    <t>foot-and-mouth disease virus SAT1</t>
  </si>
  <si>
    <t>FMDV-SAT1</t>
  </si>
  <si>
    <t>sat1-3swa iso14 (Namibia: South West Africa/1949)</t>
  </si>
  <si>
    <t>foot-and-mouth disease virus SAT2</t>
  </si>
  <si>
    <t>FMDV-SAT2</t>
  </si>
  <si>
    <t>sat2-3kenya-21 (Kenya/1960)</t>
  </si>
  <si>
    <t>foot-and-mouth disease virus SAT3</t>
  </si>
  <si>
    <t>FMDV-SAT3</t>
  </si>
  <si>
    <t>sat3-2sa iso27 (South Africa/1959)</t>
  </si>
  <si>
    <t>Bopivirus</t>
  </si>
  <si>
    <t>bopivirus A1; bovine picornavirus</t>
  </si>
  <si>
    <t>BoPV</t>
  </si>
  <si>
    <t>cattle/TCH6/2013/USA</t>
  </si>
  <si>
    <t>KM589358</t>
  </si>
  <si>
    <t>Cardiovirus</t>
  </si>
  <si>
    <t>cardiovirus A1; encephalomyocarditis virus 1</t>
  </si>
  <si>
    <t>EMCV-1</t>
  </si>
  <si>
    <t>Ruckert</t>
  </si>
  <si>
    <t>M81861</t>
  </si>
  <si>
    <t>cardiovirus A2; encephalomyocarditis virus 2</t>
  </si>
  <si>
    <t>EMCV-2</t>
  </si>
  <si>
    <t>RD1338 (D28/05)</t>
  </si>
  <si>
    <t>cardiovirus B1; Theiler's murine encephalomyeltits virus</t>
  </si>
  <si>
    <t>CaV-B1; TMEV</t>
  </si>
  <si>
    <t>GDVII</t>
  </si>
  <si>
    <t>X56019</t>
  </si>
  <si>
    <t>DA (mouse/USA/1952)</t>
  </si>
  <si>
    <t>BeAn 8286 (Brazil/1957)</t>
  </si>
  <si>
    <t>cardiovirus B2; Vilyuisk human encephalomyelitis virus</t>
  </si>
  <si>
    <t>CaV-B2; VHEV</t>
  </si>
  <si>
    <t>V1 (human/Russia-Siberia/1955)</t>
  </si>
  <si>
    <t>cardiovirus B3</t>
  </si>
  <si>
    <t>CaV-B3</t>
  </si>
  <si>
    <t>Rattus rattus/China/2014</t>
  </si>
  <si>
    <t>cardiovirus B4; theravirus</t>
  </si>
  <si>
    <t>NGS910</t>
  </si>
  <si>
    <t>cardiovirus B5</t>
  </si>
  <si>
    <t>CaV-B5</t>
  </si>
  <si>
    <t>TMEV/NYC/Manhattan/poolF4</t>
  </si>
  <si>
    <t>cardiovirus C1; Boone cardiovirus 1</t>
  </si>
  <si>
    <t>CaV-C1; BCV-1</t>
  </si>
  <si>
    <t>rat/USA/2010</t>
  </si>
  <si>
    <t>JQ864242</t>
  </si>
  <si>
    <t>cardiovirus C2; Boone cardiovirus 2</t>
  </si>
  <si>
    <t>CaV-C2; BCV-2</t>
  </si>
  <si>
    <t>rat/USA/2012</t>
  </si>
  <si>
    <t>cardiovirus C3</t>
  </si>
  <si>
    <t>CaV-C3</t>
  </si>
  <si>
    <t>Wencheng-Rn416</t>
  </si>
  <si>
    <t>cardiovirus D1; Saffold virus 1</t>
  </si>
  <si>
    <t>SAFV-1</t>
  </si>
  <si>
    <t>California/81</t>
  </si>
  <si>
    <t>EF165067</t>
  </si>
  <si>
    <t>Saffold virus 2</t>
  </si>
  <si>
    <t>SAFV-2</t>
  </si>
  <si>
    <t>UC1</t>
  </si>
  <si>
    <t>Saffold virus 3</t>
  </si>
  <si>
    <t>SAFV-3</t>
  </si>
  <si>
    <t>NL1999-590 (human/Netherlands/1998)</t>
  </si>
  <si>
    <t>Saffold virus 4</t>
  </si>
  <si>
    <t>SAFV-4</t>
  </si>
  <si>
    <t>Pak-3164 (human/Pakistan/2009)</t>
  </si>
  <si>
    <t>Saffold virus 5</t>
  </si>
  <si>
    <t>SAFV-5</t>
  </si>
  <si>
    <t>Pak5003 (human/Pakistan/2007)</t>
  </si>
  <si>
    <t>Saffold virus 6</t>
  </si>
  <si>
    <t>SAFV-6</t>
  </si>
  <si>
    <t>Pak6572 (human/Pakistan/2007)</t>
  </si>
  <si>
    <t>Saffold virus 7</t>
  </si>
  <si>
    <t>SAFV-7</t>
  </si>
  <si>
    <t>Pak-2106 (human/Pakistan/2009)</t>
  </si>
  <si>
    <t>Saffold virus 8</t>
  </si>
  <si>
    <t>SAFV-8</t>
  </si>
  <si>
    <t>Pak-3486 (human/Pakistan/2009)</t>
  </si>
  <si>
    <t>Saffold virus 9</t>
  </si>
  <si>
    <t>SAFV-9</t>
  </si>
  <si>
    <t>Pak-2457 (human/Pakistan/2009)</t>
  </si>
  <si>
    <t>Saffold virus 10</t>
  </si>
  <si>
    <t>SAFV-10</t>
  </si>
  <si>
    <t>Pak-2325 (human/Pakistan/2009)</t>
  </si>
  <si>
    <t>Saffold virus 11</t>
  </si>
  <si>
    <t>SAFV-11</t>
  </si>
  <si>
    <t>Pak-2338 (human/Pakistan/2009)</t>
  </si>
  <si>
    <t>cardiovirus E1; red-backed vole cardiovirus</t>
  </si>
  <si>
    <t>CaV-E1</t>
  </si>
  <si>
    <t>RtMruf-PicoV/JL2014-1</t>
  </si>
  <si>
    <t>KY432928</t>
  </si>
  <si>
    <t>cardiovirus F1; grey-backed vole cardiovirus</t>
  </si>
  <si>
    <t>CaV-F1</t>
  </si>
  <si>
    <t>RtMrut-PicoV/JL2014-1</t>
  </si>
  <si>
    <t>KY432930</t>
  </si>
  <si>
    <t>Cosavirus</t>
  </si>
  <si>
    <t>cosavirus A1</t>
  </si>
  <si>
    <t>CoSV-A1</t>
  </si>
  <si>
    <t>FJ438902</t>
  </si>
  <si>
    <t>cosavirus A2</t>
  </si>
  <si>
    <t>CoSV-A2</t>
  </si>
  <si>
    <t>6344 (human/Pakistan)</t>
  </si>
  <si>
    <t>cosavirus A3</t>
  </si>
  <si>
    <t>CoSV-A3</t>
  </si>
  <si>
    <t>6572 (human/Pakistan)</t>
  </si>
  <si>
    <t>cosavirus A4</t>
  </si>
  <si>
    <t>CoSV-A4</t>
  </si>
  <si>
    <t>5006 (human/Pakistan)</t>
  </si>
  <si>
    <t>cosavirus A5</t>
  </si>
  <si>
    <t>CoSV-A5</t>
  </si>
  <si>
    <t>NG6 (human/Nigeria/2007)</t>
  </si>
  <si>
    <t>cosavirus A6</t>
  </si>
  <si>
    <t>CoSV-A6</t>
  </si>
  <si>
    <t>TN06-s231 (human/Tunisia/2006)</t>
  </si>
  <si>
    <t>cosavirus A7</t>
  </si>
  <si>
    <t>CoSV-A7</t>
  </si>
  <si>
    <t>NP11 (human/Nepal)</t>
  </si>
  <si>
    <t>cosavirus A8</t>
  </si>
  <si>
    <t>CoSV-A8</t>
  </si>
  <si>
    <t>NG8 (human/Nigeria/2007)</t>
  </si>
  <si>
    <t>cosavirus A9</t>
  </si>
  <si>
    <t>CoSV-A9</t>
  </si>
  <si>
    <t>NP5 (human/Nepal)</t>
  </si>
  <si>
    <t>cosavirus A10</t>
  </si>
  <si>
    <t>CoSV-A10</t>
  </si>
  <si>
    <t>NG11 (human/Nigeria/2007)</t>
  </si>
  <si>
    <t>cosavirus A11</t>
  </si>
  <si>
    <t>CoSV-A11</t>
  </si>
  <si>
    <t>NP1 (human/Nepal)</t>
  </si>
  <si>
    <t>cosavirus A12</t>
  </si>
  <si>
    <t>CoSV-A12</t>
  </si>
  <si>
    <t>NG14 (human/Nigeria)</t>
  </si>
  <si>
    <t>cosavirus A13</t>
  </si>
  <si>
    <t>CoSV-A13</t>
  </si>
  <si>
    <t>NP6 (human/Nepal)</t>
  </si>
  <si>
    <t>cosavirus A14</t>
  </si>
  <si>
    <t>CoSV-A14</t>
  </si>
  <si>
    <t>NG12 (human/Nigeria/2007)</t>
  </si>
  <si>
    <t>cosavirus A15</t>
  </si>
  <si>
    <t>CoSV-A15</t>
  </si>
  <si>
    <t>NG23 (human/Nigeria/2007)</t>
  </si>
  <si>
    <t>cosavirus A16</t>
  </si>
  <si>
    <t>CoSV-A16</t>
  </si>
  <si>
    <t>NP10 (human/Nepal)</t>
  </si>
  <si>
    <t>cosavirus A17</t>
  </si>
  <si>
    <t>CoSV-A17</t>
  </si>
  <si>
    <t>NG3 (human/Nigeria/2007)</t>
  </si>
  <si>
    <t>cosavirus A18</t>
  </si>
  <si>
    <t>CoSV-A18</t>
  </si>
  <si>
    <t>NG15 (human/Nigeria)</t>
  </si>
  <si>
    <t>cosavirus A19</t>
  </si>
  <si>
    <t>CoSV-A19</t>
  </si>
  <si>
    <t>PK6187 (human/Pakistan/2006)</t>
  </si>
  <si>
    <t>cosavirus A20</t>
  </si>
  <si>
    <t>CoSV-A20</t>
  </si>
  <si>
    <t>NG263 (human/Nigeria/2007)</t>
  </si>
  <si>
    <t>cosavirus A21</t>
  </si>
  <si>
    <t>CoSV-A21</t>
  </si>
  <si>
    <t>NG295-2 (human/Nigeria/2007)</t>
  </si>
  <si>
    <t>cosavirus A22</t>
  </si>
  <si>
    <t>CoSV-A22</t>
  </si>
  <si>
    <t>NG295-1 (human/Nigeria/2007)</t>
  </si>
  <si>
    <t>cosavirus A23</t>
  </si>
  <si>
    <t>CoSV-A23</t>
  </si>
  <si>
    <t>NP8-1 (human/Nepal)</t>
  </si>
  <si>
    <t>cosavirus A24</t>
  </si>
  <si>
    <t>CoSV-A24</t>
  </si>
  <si>
    <t>NG213-1 (human/Nigeria/2007)</t>
  </si>
  <si>
    <t>cosavirus B1</t>
  </si>
  <si>
    <t>CoSV-B</t>
  </si>
  <si>
    <t>FJ438907</t>
  </si>
  <si>
    <t>cosavirus D1</t>
  </si>
  <si>
    <t>CoSV-D1</t>
  </si>
  <si>
    <t>FJ438908</t>
  </si>
  <si>
    <t>cosavirus D2</t>
  </si>
  <si>
    <t>CoSV-D2</t>
  </si>
  <si>
    <t>NP4 (human/Nepal)</t>
  </si>
  <si>
    <t>cosavirus D3</t>
  </si>
  <si>
    <t>CoSV-D3</t>
  </si>
  <si>
    <t>NG29 (human/Nigeria/2007)</t>
  </si>
  <si>
    <t>cosavirus D4</t>
  </si>
  <si>
    <t>CoSV-D4</t>
  </si>
  <si>
    <t>NP3 (human/Nepal)</t>
  </si>
  <si>
    <t>cosavirus D5</t>
  </si>
  <si>
    <t>CoSV-D5</t>
  </si>
  <si>
    <t>NG19 (human/Nigeria/2007)</t>
  </si>
  <si>
    <t>cosavirus E1</t>
  </si>
  <si>
    <t>CoSV-E</t>
  </si>
  <si>
    <t>Australia/81</t>
  </si>
  <si>
    <t>FJ555055</t>
  </si>
  <si>
    <t>cosavirus F1</t>
  </si>
  <si>
    <t>CoSV-F</t>
  </si>
  <si>
    <t>JN867758</t>
  </si>
  <si>
    <t>Erbovirus</t>
  </si>
  <si>
    <t>erbovirus A1; equine rhinitis B virus 1</t>
  </si>
  <si>
    <t>ERBV-1</t>
  </si>
  <si>
    <t>P1436 /71</t>
  </si>
  <si>
    <t>X96871</t>
  </si>
  <si>
    <t>equine rhinitis B virus 2</t>
  </si>
  <si>
    <t>ERBV-2</t>
  </si>
  <si>
    <t>P313/75 (Switzerland/1975)</t>
  </si>
  <si>
    <t>equine rhinitis B virus 3</t>
  </si>
  <si>
    <t>ERBV-3</t>
  </si>
  <si>
    <t>4442/75 (UK/1975)</t>
  </si>
  <si>
    <t>Hunnivirus</t>
  </si>
  <si>
    <t>hunnivirus A1; bovine hungarovirus</t>
  </si>
  <si>
    <t>HuV-A1</t>
  </si>
  <si>
    <t>cattle/HUN/2008</t>
  </si>
  <si>
    <t>JQ941880</t>
  </si>
  <si>
    <t>hunnivirus A2; ovine hungarovirus 1</t>
  </si>
  <si>
    <t>HuV-A2</t>
  </si>
  <si>
    <t>sheep/HUN/2009</t>
  </si>
  <si>
    <t>hunnivirus A4; Norway rat hunnivirus</t>
  </si>
  <si>
    <t>HuV-A4</t>
  </si>
  <si>
    <t>NrHuV/NYC-E21</t>
  </si>
  <si>
    <t>hunnivirus A5</t>
  </si>
  <si>
    <t>HuV-A5</t>
  </si>
  <si>
    <t>83GR-70-RAT048/Vietnam/2012</t>
  </si>
  <si>
    <t>hunnivirus A6</t>
  </si>
  <si>
    <t>HuV-A6</t>
  </si>
  <si>
    <t>rodent/Rn/PicoV/SX2015-2</t>
  </si>
  <si>
    <t>hunnivirus A7</t>
  </si>
  <si>
    <t>HuV-A7</t>
  </si>
  <si>
    <t>05VZ-75-RAT099</t>
  </si>
  <si>
    <t>hunnivirus A8</t>
  </si>
  <si>
    <t>HuV-A8</t>
  </si>
  <si>
    <t>83GR-70-RAT106</t>
  </si>
  <si>
    <t>hunnivirus A9</t>
  </si>
  <si>
    <t>HuV-A9</t>
  </si>
  <si>
    <t>RtRrs-PicoV/YN2014</t>
  </si>
  <si>
    <t>Malagasivirus</t>
  </si>
  <si>
    <t>malagasivirus A1; lesavirus 1</t>
  </si>
  <si>
    <t>MalV-A1</t>
  </si>
  <si>
    <t>Mis101308/2012</t>
  </si>
  <si>
    <t>KM396707</t>
  </si>
  <si>
    <t>malagasivirus B1; lesavirus 2</t>
  </si>
  <si>
    <t>MalV-B1</t>
  </si>
  <si>
    <t>Nai108015/2012</t>
  </si>
  <si>
    <t>KM396708</t>
  </si>
  <si>
    <t>Marsupivirus</t>
  </si>
  <si>
    <t>marsupivirus A1; Burpengary virus</t>
  </si>
  <si>
    <t>MaV-A1</t>
  </si>
  <si>
    <t>Koala/Australia/2015-16</t>
  </si>
  <si>
    <t>MK882499</t>
  </si>
  <si>
    <t>Mischivirus</t>
  </si>
  <si>
    <t>mischivirus A1; Minopterus schreibersii picornavirus</t>
  </si>
  <si>
    <t>MiV-A1</t>
  </si>
  <si>
    <t>bat/China/2010</t>
  </si>
  <si>
    <t>JQ814851</t>
  </si>
  <si>
    <t>mischivirus B1; bat picornavirus</t>
  </si>
  <si>
    <t>MiV-B1</t>
  </si>
  <si>
    <t>batPV/V1/13/Hun</t>
  </si>
  <si>
    <t>KP054273</t>
  </si>
  <si>
    <t>mischivirus C1; African bat icavirus</t>
  </si>
  <si>
    <t>MiV-C1</t>
  </si>
  <si>
    <t>TNo13</t>
  </si>
  <si>
    <t>KP100644</t>
  </si>
  <si>
    <t>mischivirus D1; canine picornavirus</t>
  </si>
  <si>
    <t>MiV-D1</t>
  </si>
  <si>
    <t>A128thr</t>
  </si>
  <si>
    <t>KY512802</t>
  </si>
  <si>
    <t>mischivirus E1; Suncus murinus mischivirus</t>
  </si>
  <si>
    <t>MiV-E1</t>
  </si>
  <si>
    <t>Wencheng-Sm294</t>
  </si>
  <si>
    <t>MF352410</t>
  </si>
  <si>
    <t>Mosavirus</t>
  </si>
  <si>
    <t>mosavirus A1</t>
  </si>
  <si>
    <t>MoV-A1</t>
  </si>
  <si>
    <t>mouse/M-7/USA/2010</t>
  </si>
  <si>
    <t>JF973687</t>
  </si>
  <si>
    <t>mosavirus A2</t>
  </si>
  <si>
    <t>MoV-A2</t>
  </si>
  <si>
    <t>SZAL6-MoV/2011/HUN</t>
  </si>
  <si>
    <t>mosavirus B1; marmot mosavirus</t>
  </si>
  <si>
    <t>MoV-B1</t>
  </si>
  <si>
    <t>HT8</t>
  </si>
  <si>
    <t>KY855435</t>
  </si>
  <si>
    <t>Mupivirus</t>
  </si>
  <si>
    <t>mupivirus A1</t>
  </si>
  <si>
    <t>MuV-A1</t>
  </si>
  <si>
    <t>RtRn-PicoV/YN2014</t>
  </si>
  <si>
    <t>KY432924</t>
  </si>
  <si>
    <t>mupivirus A2</t>
  </si>
  <si>
    <t>MuV-A2</t>
  </si>
  <si>
    <t>RtNn-PicoV/HuB2015-2</t>
  </si>
  <si>
    <t>Senecavirus</t>
  </si>
  <si>
    <t>senecavirus A1; Seneca Valley virus</t>
  </si>
  <si>
    <t>US/SVV-001</t>
  </si>
  <si>
    <t>DQ641257</t>
  </si>
  <si>
    <t>Teschovirus</t>
  </si>
  <si>
    <t>teschovirus A1; porcine teschovirus 1</t>
  </si>
  <si>
    <t>TV-A1; PTV-1</t>
  </si>
  <si>
    <t>F65</t>
  </si>
  <si>
    <t>AJ011380</t>
  </si>
  <si>
    <t>teschovirus A2; porcine teschovirus 2</t>
  </si>
  <si>
    <t>PTV-2</t>
  </si>
  <si>
    <t>T80</t>
  </si>
  <si>
    <t>teschovirus A3; porcine teschovirus 3</t>
  </si>
  <si>
    <t>PTV-3</t>
  </si>
  <si>
    <t>O 2b</t>
  </si>
  <si>
    <t>teschovirus A4; porcine teschovirus 4</t>
  </si>
  <si>
    <t>PTV-4</t>
  </si>
  <si>
    <t>PS 36</t>
  </si>
  <si>
    <t>teschovirus A5; porcine teschovirus 5</t>
  </si>
  <si>
    <t>PTV-5</t>
  </si>
  <si>
    <t>F 26</t>
  </si>
  <si>
    <t>teschovirus A6; porcine teschovirus 6</t>
  </si>
  <si>
    <t>PTV-6</t>
  </si>
  <si>
    <t>PS 37</t>
  </si>
  <si>
    <t>teschovirus A7; porcine teschovirus 7</t>
  </si>
  <si>
    <t>PTV-7</t>
  </si>
  <si>
    <t>F 43</t>
  </si>
  <si>
    <t>teschovirus A8; porcine teschovirus 8</t>
  </si>
  <si>
    <t>PTV-8</t>
  </si>
  <si>
    <t>UKG/173/74</t>
  </si>
  <si>
    <t>teschovirus A9; porcine teschovirus 9</t>
  </si>
  <si>
    <t>PTV-9</t>
  </si>
  <si>
    <t>Vir 2899/84</t>
  </si>
  <si>
    <t>teschovirus A10; porcine teschovirus 10</t>
  </si>
  <si>
    <t>PTV-10</t>
  </si>
  <si>
    <t>Vir 460/88</t>
  </si>
  <si>
    <t>teschovirus A11; porcine teschovirus 11</t>
  </si>
  <si>
    <t>PTV-11</t>
  </si>
  <si>
    <t>Dresden</t>
  </si>
  <si>
    <t>teschovirus A12; porcine teschovirus 12</t>
  </si>
  <si>
    <t>PTV-12</t>
  </si>
  <si>
    <t>CC25 (Spain/2005)</t>
  </si>
  <si>
    <t>teschovirus A13; porcine teschovirus 13</t>
  </si>
  <si>
    <t>PTV-13</t>
  </si>
  <si>
    <t>wild boar/WB2C-TV/2011/HUN</t>
  </si>
  <si>
    <t>teschovirus A14; porcine teschovirus 14</t>
  </si>
  <si>
    <t>PTV-14</t>
  </si>
  <si>
    <t>JPN/Mol2-2-2/2015</t>
  </si>
  <si>
    <t>teschovirus B1</t>
  </si>
  <si>
    <t>TV-B1</t>
  </si>
  <si>
    <t>HuN41</t>
  </si>
  <si>
    <t>MG875515</t>
  </si>
  <si>
    <t>teschovirus B2</t>
  </si>
  <si>
    <t>TV-B2</t>
  </si>
  <si>
    <t>JPN/Ishi-Ta2/2016-G</t>
  </si>
  <si>
    <t>teschovirus B3</t>
  </si>
  <si>
    <t>TV-B3</t>
  </si>
  <si>
    <t>HuN42</t>
  </si>
  <si>
    <t>Torchivirus</t>
  </si>
  <si>
    <t>torchivirus A1; tortoise picornavirus</t>
  </si>
  <si>
    <t>TXV-A1</t>
  </si>
  <si>
    <t>14-04</t>
  </si>
  <si>
    <t>KM873611</t>
  </si>
  <si>
    <t>Tottorivirus</t>
  </si>
  <si>
    <t>tottorivirus A1; swine picornavirus Japan</t>
  </si>
  <si>
    <t>TotV-A1</t>
  </si>
  <si>
    <t>Tottori-WOL</t>
  </si>
  <si>
    <t>LC113907</t>
  </si>
  <si>
    <t>Ensavirinae</t>
  </si>
  <si>
    <t>Anativirus</t>
  </si>
  <si>
    <t>anativirus A1; duck picornavirus</t>
  </si>
  <si>
    <t>AnaV-A1</t>
  </si>
  <si>
    <t>TW90A</t>
  </si>
  <si>
    <t>AY563023</t>
  </si>
  <si>
    <t>anativirus B1; phacovirus</t>
  </si>
  <si>
    <t>AnaV-B1</t>
  </si>
  <si>
    <t>Pf-CHK1/phV</t>
  </si>
  <si>
    <t>KT880670</t>
  </si>
  <si>
    <t>Boosepivirus</t>
  </si>
  <si>
    <t>boosepivirus A1</t>
  </si>
  <si>
    <t>BooV-A1</t>
  </si>
  <si>
    <t>Bo-11-39/2009/JPN</t>
  </si>
  <si>
    <t>LC006971</t>
  </si>
  <si>
    <t>boosepivirus B1</t>
  </si>
  <si>
    <t>BooV-B1</t>
  </si>
  <si>
    <t>Bo-12-3/2009/JPN</t>
  </si>
  <si>
    <t>LC036579</t>
  </si>
  <si>
    <t>boosepivirus B2</t>
  </si>
  <si>
    <t>BooV-B2</t>
  </si>
  <si>
    <t>Bo-12-7/2009/JPN</t>
  </si>
  <si>
    <t>boosepivirus C1</t>
  </si>
  <si>
    <t>BooV-C1</t>
  </si>
  <si>
    <t>England/2004/E1028-04</t>
  </si>
  <si>
    <t>LR216006</t>
  </si>
  <si>
    <t>Diresapivirus</t>
  </si>
  <si>
    <t>diresapivirus A1</t>
  </si>
  <si>
    <t>DirV-A</t>
  </si>
  <si>
    <t>BtRf-PicoV/YN2012</t>
  </si>
  <si>
    <t>KJ641685</t>
  </si>
  <si>
    <t>diresapivirus B1</t>
  </si>
  <si>
    <t>DirV-B</t>
  </si>
  <si>
    <t>BtNv-PicoV-1/SC2013</t>
  </si>
  <si>
    <t>KJ641697</t>
  </si>
  <si>
    <t>Enterovirus</t>
  </si>
  <si>
    <t>coxsackievirus A2</t>
  </si>
  <si>
    <t>CVA2</t>
  </si>
  <si>
    <t>Fleetwood (Delaware/47)</t>
  </si>
  <si>
    <t>AY421760</t>
  </si>
  <si>
    <t>coxsackievirus A3</t>
  </si>
  <si>
    <t>CVA3</t>
  </si>
  <si>
    <t>Olson (New York/48)</t>
  </si>
  <si>
    <t>coxsackievirus A4</t>
  </si>
  <si>
    <t>CVA4</t>
  </si>
  <si>
    <t>High Point (North Carolina/50)</t>
  </si>
  <si>
    <t>coxsackievirus A5</t>
  </si>
  <si>
    <t>CVA5</t>
  </si>
  <si>
    <t>Swartz (New York/50)</t>
  </si>
  <si>
    <t>coxsackievirus A6</t>
  </si>
  <si>
    <t>CVA6</t>
  </si>
  <si>
    <t>Gdula</t>
  </si>
  <si>
    <t>coxsackievirus A7</t>
  </si>
  <si>
    <t>CVA7</t>
  </si>
  <si>
    <t>Parker</t>
  </si>
  <si>
    <t>coxsackievirus A8</t>
  </si>
  <si>
    <t>CVA8</t>
  </si>
  <si>
    <t>Donovan (New York/49)</t>
  </si>
  <si>
    <t>coxsackievirus A10</t>
  </si>
  <si>
    <t>CVA10</t>
  </si>
  <si>
    <t>Kowalik (New York/50)</t>
  </si>
  <si>
    <t>coxsackievirus A12</t>
  </si>
  <si>
    <t>CVA12</t>
  </si>
  <si>
    <t>Texas 12 (Texas/48)</t>
  </si>
  <si>
    <t>coxsackievirus A14</t>
  </si>
  <si>
    <t>CVA14</t>
  </si>
  <si>
    <t>G-14 (South Africa/50)</t>
  </si>
  <si>
    <t>coxsackievirus A16</t>
  </si>
  <si>
    <t>CVA16</t>
  </si>
  <si>
    <t>G-10 (South Africa/51)</t>
  </si>
  <si>
    <t>enterovirus A71</t>
  </si>
  <si>
    <t>EV-A71</t>
  </si>
  <si>
    <t>BrCr</t>
  </si>
  <si>
    <t>enterovirus A76</t>
  </si>
  <si>
    <t>EV-A76</t>
  </si>
  <si>
    <t>FRA91-10369</t>
  </si>
  <si>
    <t>enterovirus A89</t>
  </si>
  <si>
    <t>EV-A89</t>
  </si>
  <si>
    <t>BAN00-10359</t>
  </si>
  <si>
    <t>enterovirus A90</t>
  </si>
  <si>
    <t>EV-A90</t>
  </si>
  <si>
    <t>BAN99-10399</t>
  </si>
  <si>
    <t>enterovirus A91</t>
  </si>
  <si>
    <t>EV-A91</t>
  </si>
  <si>
    <t>BAN00-10406</t>
  </si>
  <si>
    <t>enterovirus A92</t>
  </si>
  <si>
    <t>EV-A92</t>
  </si>
  <si>
    <t>USA/GA99/RJg-7</t>
  </si>
  <si>
    <t>enterovirus A114</t>
  </si>
  <si>
    <t>EV-A114</t>
  </si>
  <si>
    <t>V13-0285/IND/2013</t>
  </si>
  <si>
    <t>enterovirus A119</t>
  </si>
  <si>
    <t>EV-A119</t>
  </si>
  <si>
    <t>hu/09C13CMR (Cameroon)</t>
  </si>
  <si>
    <t>enterovirus A120</t>
  </si>
  <si>
    <t>EV-A120</t>
  </si>
  <si>
    <t>MAD-2741-11 (Madagascar)</t>
  </si>
  <si>
    <t>enterovirus A121</t>
  </si>
  <si>
    <t>EV-A121</t>
  </si>
  <si>
    <t>V13-0682/IND/2013</t>
  </si>
  <si>
    <t>enterovirus A122; simian virus 19</t>
  </si>
  <si>
    <t>EV-A122</t>
  </si>
  <si>
    <t>M19s</t>
  </si>
  <si>
    <t>enterovirus A123; simian virus 43</t>
  </si>
  <si>
    <t>EV-A123</t>
  </si>
  <si>
    <t>OM112t</t>
  </si>
  <si>
    <t>enterovirus A124; simian virus 46</t>
  </si>
  <si>
    <t>EV-A124</t>
  </si>
  <si>
    <t>OM22</t>
  </si>
  <si>
    <t>enterovirus A125; baboon enterovirus A13</t>
  </si>
  <si>
    <t>EV-A125</t>
  </si>
  <si>
    <t>A13</t>
  </si>
  <si>
    <t>coxsackievirus B3</t>
  </si>
  <si>
    <t>CVB3</t>
  </si>
  <si>
    <t>Nancy (Connecticut/US/49)</t>
  </si>
  <si>
    <t>M88483</t>
  </si>
  <si>
    <t>coxsackievirus B1</t>
  </si>
  <si>
    <t>CVB1</t>
  </si>
  <si>
    <t>coxsackievirus B2</t>
  </si>
  <si>
    <t>CVB2</t>
  </si>
  <si>
    <t>Ohio-1 (Ohio/US/47)</t>
  </si>
  <si>
    <t>coxsackievirus B4</t>
  </si>
  <si>
    <t>CVB4</t>
  </si>
  <si>
    <t>JVB (New York/US/51) (Benschoten)</t>
  </si>
  <si>
    <t>coxsackievirus B5</t>
  </si>
  <si>
    <t>CVB5</t>
  </si>
  <si>
    <t>Faulkner (Kentucky/US/52)</t>
  </si>
  <si>
    <t>coxsackievirus B6</t>
  </si>
  <si>
    <t>CVB6</t>
  </si>
  <si>
    <t>Schmitt (Philippines/53) (1-15-21)</t>
  </si>
  <si>
    <t>coxsackievirus A9</t>
  </si>
  <si>
    <t>CVA9</t>
  </si>
  <si>
    <t>Griggs</t>
  </si>
  <si>
    <t>echovirus 1</t>
  </si>
  <si>
    <t>E1</t>
  </si>
  <si>
    <t>Farouk (Egypt/51)</t>
  </si>
  <si>
    <t>echovirus 1; echovirus 8</t>
  </si>
  <si>
    <t>Bryson (Ohio)</t>
  </si>
  <si>
    <t>echovirus 2</t>
  </si>
  <si>
    <t>E2</t>
  </si>
  <si>
    <t>Cornelis (Connecticut/US/51)</t>
  </si>
  <si>
    <t>echovirus 3</t>
  </si>
  <si>
    <t>E3</t>
  </si>
  <si>
    <t>Morrisey (Connecticut/US/51)</t>
  </si>
  <si>
    <t>echovirus 4</t>
  </si>
  <si>
    <t>E4</t>
  </si>
  <si>
    <t>Pesacek (Connecticut/US/51)</t>
  </si>
  <si>
    <t>echovirus 5</t>
  </si>
  <si>
    <t>E5</t>
  </si>
  <si>
    <t>Noyce (Maine/54)</t>
  </si>
  <si>
    <t>echovirus 6</t>
  </si>
  <si>
    <t>E6</t>
  </si>
  <si>
    <t>D'Amori (Rhode Island/55)</t>
  </si>
  <si>
    <t>echovirus 7</t>
  </si>
  <si>
    <t>E7</t>
  </si>
  <si>
    <t>Wallace (Ohio)</t>
  </si>
  <si>
    <t>echovirus 9</t>
  </si>
  <si>
    <t>E9</t>
  </si>
  <si>
    <t>Hill (Ohio/US/53)</t>
  </si>
  <si>
    <t>echovirus 11</t>
  </si>
  <si>
    <t>E11</t>
  </si>
  <si>
    <t>Gregory (Ohio)</t>
  </si>
  <si>
    <t>echovirus 12</t>
  </si>
  <si>
    <t>E12</t>
  </si>
  <si>
    <t>Travis (Philippines/53)</t>
  </si>
  <si>
    <t>echovirus 13</t>
  </si>
  <si>
    <t>E13</t>
  </si>
  <si>
    <t>Del Carmen (Philippines/53)</t>
  </si>
  <si>
    <t>echovirus 14</t>
  </si>
  <si>
    <t>E14</t>
  </si>
  <si>
    <t>Tow (Rhode Island/54)</t>
  </si>
  <si>
    <t>echovirus 15</t>
  </si>
  <si>
    <t>E15</t>
  </si>
  <si>
    <t>Ch 96-51 (Charleston) (West Virginia/51)</t>
  </si>
  <si>
    <t>echovirus 16</t>
  </si>
  <si>
    <t>E16</t>
  </si>
  <si>
    <t>Harrington (Massachusetts/51)</t>
  </si>
  <si>
    <t>echovirus 17</t>
  </si>
  <si>
    <t>E17</t>
  </si>
  <si>
    <t>CHHE-29 (Mexico City)</t>
  </si>
  <si>
    <t>echovirus 18</t>
  </si>
  <si>
    <t>E18</t>
  </si>
  <si>
    <t>Metcalf (Ohio)</t>
  </si>
  <si>
    <t>echovirus 19</t>
  </si>
  <si>
    <t>E19</t>
  </si>
  <si>
    <t>Burke (Ohio)</t>
  </si>
  <si>
    <t>echovirus 20</t>
  </si>
  <si>
    <t>E20</t>
  </si>
  <si>
    <t>JV-1 (Washington DC/55)</t>
  </si>
  <si>
    <t>echovirus 21</t>
  </si>
  <si>
    <t>E21</t>
  </si>
  <si>
    <t>Farina (E26D) (Massachusetts/50)</t>
  </si>
  <si>
    <t>echovirus 24</t>
  </si>
  <si>
    <t>E24</t>
  </si>
  <si>
    <t>DeCamp (Ohio/56)</t>
  </si>
  <si>
    <t>echovirus 25</t>
  </si>
  <si>
    <t>E25</t>
  </si>
  <si>
    <t>JV-4 (Washington DC/57)</t>
  </si>
  <si>
    <t>echovirus 26</t>
  </si>
  <si>
    <t>E26</t>
  </si>
  <si>
    <t>Coronel (11-3-6) (Philippines/53)</t>
  </si>
  <si>
    <t>echovirus 27</t>
  </si>
  <si>
    <t>E27</t>
  </si>
  <si>
    <t>Bacon (1-36-4) (Philippines/53)</t>
  </si>
  <si>
    <t>echovirus 29</t>
  </si>
  <si>
    <t>E29</t>
  </si>
  <si>
    <t>JV-10 (Washington DC/55)</t>
  </si>
  <si>
    <t>echovirus 30</t>
  </si>
  <si>
    <t>E30</t>
  </si>
  <si>
    <t>Bastianni (New York/58)</t>
  </si>
  <si>
    <t>echovirus 31</t>
  </si>
  <si>
    <t>E31</t>
  </si>
  <si>
    <t>Caldwell (Kansas/55)</t>
  </si>
  <si>
    <t>echovirus 32</t>
  </si>
  <si>
    <t>E32</t>
  </si>
  <si>
    <t>PR-10 (Puerto Rico)</t>
  </si>
  <si>
    <t>echovirus 33</t>
  </si>
  <si>
    <t>E33</t>
  </si>
  <si>
    <t>Toluca-3 (Mexico/59)</t>
  </si>
  <si>
    <t>enterovirus B69</t>
  </si>
  <si>
    <t>EV-B69</t>
  </si>
  <si>
    <t>Toluca-1 (Mexico/59)</t>
  </si>
  <si>
    <t>enterovirus B73</t>
  </si>
  <si>
    <t>EV-B73</t>
  </si>
  <si>
    <t>CA55-1988</t>
  </si>
  <si>
    <t>enterovirus B74</t>
  </si>
  <si>
    <t>EV-B74</t>
  </si>
  <si>
    <t>USA/CA75-10213</t>
  </si>
  <si>
    <t>enterovirus B75</t>
  </si>
  <si>
    <t>EV-B75</t>
  </si>
  <si>
    <t>USA/OK85-10362</t>
  </si>
  <si>
    <t>enterovirus B77</t>
  </si>
  <si>
    <t>EV-B77</t>
  </si>
  <si>
    <t>CF496-99</t>
  </si>
  <si>
    <t>enterovirus B78</t>
  </si>
  <si>
    <t>EV-B78</t>
  </si>
  <si>
    <t>Agius-W137-126/99</t>
  </si>
  <si>
    <t>enterovirus B79</t>
  </si>
  <si>
    <t>EV-B79</t>
  </si>
  <si>
    <t>USA/CA79-10384</t>
  </si>
  <si>
    <t>enterovirus B80</t>
  </si>
  <si>
    <t>EV-B80</t>
  </si>
  <si>
    <t>USA/CA67-10387</t>
  </si>
  <si>
    <t>enterovirus B81</t>
  </si>
  <si>
    <t>EV-B81</t>
  </si>
  <si>
    <t>USA/CA68-10389</t>
  </si>
  <si>
    <t>enterovirus B82</t>
  </si>
  <si>
    <t>EV-B82</t>
  </si>
  <si>
    <t>USA/CA64-10390</t>
  </si>
  <si>
    <t>enterovirus B83</t>
  </si>
  <si>
    <t>EV-B83</t>
  </si>
  <si>
    <t>USA/CA76-10392</t>
  </si>
  <si>
    <t>enterovirus B84</t>
  </si>
  <si>
    <t>EV-B84</t>
  </si>
  <si>
    <t>CIV2003-10603</t>
  </si>
  <si>
    <t>enterovirus B85</t>
  </si>
  <si>
    <t>EV-B85</t>
  </si>
  <si>
    <t>BAN00-10353</t>
  </si>
  <si>
    <t>enterovirus B86</t>
  </si>
  <si>
    <t>EV-B86</t>
  </si>
  <si>
    <t>BAN00-10354</t>
  </si>
  <si>
    <t>enterovirus B87</t>
  </si>
  <si>
    <t>EV-B87</t>
  </si>
  <si>
    <t>BAN00-10396</t>
  </si>
  <si>
    <t>enterovirus B88</t>
  </si>
  <si>
    <t>EV-B88</t>
  </si>
  <si>
    <t>BAN01-10398</t>
  </si>
  <si>
    <t>enterovirus B93</t>
  </si>
  <si>
    <t>EV-B93</t>
  </si>
  <si>
    <t>38-03 (DR Congo)</t>
  </si>
  <si>
    <t>enterovirus B97</t>
  </si>
  <si>
    <t>EV-B97</t>
  </si>
  <si>
    <t>BAN99-10355</t>
  </si>
  <si>
    <t>enterovirus B98</t>
  </si>
  <si>
    <t>EV-B98</t>
  </si>
  <si>
    <t>T92-1499</t>
  </si>
  <si>
    <t>enterovirus B100</t>
  </si>
  <si>
    <t>EV-B100</t>
  </si>
  <si>
    <t>BAN2000-10500</t>
  </si>
  <si>
    <t>enterovirus B101</t>
  </si>
  <si>
    <t>EV-B101</t>
  </si>
  <si>
    <t>CIV03-10361</t>
  </si>
  <si>
    <t>enterovirus B106</t>
  </si>
  <si>
    <t>EV-B106</t>
  </si>
  <si>
    <t>148/YN/CHN/12 (China/2012)</t>
  </si>
  <si>
    <t>enterovirus B107</t>
  </si>
  <si>
    <t>EV-B107</t>
  </si>
  <si>
    <t>TN94-0349</t>
  </si>
  <si>
    <t>enterovirus B110</t>
  </si>
  <si>
    <t>EV-B110</t>
  </si>
  <si>
    <t>LM1861 (chimpanzee/Cameroon/2006)</t>
  </si>
  <si>
    <t>enterovirus B111</t>
  </si>
  <si>
    <t>EV-B111</t>
  </si>
  <si>
    <t>Q0011/XZ/CHN/2000</t>
  </si>
  <si>
    <t>enterovirus B112</t>
  </si>
  <si>
    <t>EV-B112</t>
  </si>
  <si>
    <t>GAB130 (chimpanzee/Gabon)</t>
  </si>
  <si>
    <t>enterovirus B113</t>
  </si>
  <si>
    <t>EV-B113</t>
  </si>
  <si>
    <t>GAB653 (mandrill/Gabon)</t>
  </si>
  <si>
    <t>enterovirus B114; simian agent 5</t>
  </si>
  <si>
    <t>EV-B114</t>
  </si>
  <si>
    <t>B165 (vervet monkey)</t>
  </si>
  <si>
    <t>poliovirus 1</t>
  </si>
  <si>
    <t>PV1</t>
  </si>
  <si>
    <t>Mahoney</t>
  </si>
  <si>
    <t>V01149</t>
  </si>
  <si>
    <t>Sabin (LSc-2ab)</t>
  </si>
  <si>
    <t>poliovirus 2</t>
  </si>
  <si>
    <t>PV2</t>
  </si>
  <si>
    <t>Lansing (Michigan/37)</t>
  </si>
  <si>
    <t>Sabin (P712- Ch-2ab)</t>
  </si>
  <si>
    <t>poliovirus 3</t>
  </si>
  <si>
    <t>Leon (California/37)</t>
  </si>
  <si>
    <t>PV3</t>
  </si>
  <si>
    <t>Sabin (Leon 12a-1-b)</t>
  </si>
  <si>
    <t>coxsackievirus A1</t>
  </si>
  <si>
    <t>T.T. (Tompkins) (Coxsackie/NY/47)</t>
  </si>
  <si>
    <t>coxsackievirus A11</t>
  </si>
  <si>
    <t>Belgium 1 (Belgium/51)</t>
  </si>
  <si>
    <t>coxsackievirus A13</t>
  </si>
  <si>
    <t>Flores (Mexico/52)</t>
  </si>
  <si>
    <t>coxsackievirus A13; coxsackievirus A18</t>
  </si>
  <si>
    <t>G-13 (South Africa/50)</t>
  </si>
  <si>
    <t>coxsackievirus A17</t>
  </si>
  <si>
    <t>G12 (South Africa/51</t>
  </si>
  <si>
    <t>coxsackievirus A19</t>
  </si>
  <si>
    <t>NIH-8663 (Dohi) (Japan/52)</t>
  </si>
  <si>
    <t>coxsackievirus A20</t>
  </si>
  <si>
    <t>IH-35 (New York/55)</t>
  </si>
  <si>
    <t>coxsackievirus A21</t>
  </si>
  <si>
    <t>Kuykendall (California/52)</t>
  </si>
  <si>
    <t>coxsackievirus A22</t>
  </si>
  <si>
    <t>Chulman (New York/55)</t>
  </si>
  <si>
    <t>coxsackievirus A24</t>
  </si>
  <si>
    <t>Joseph</t>
  </si>
  <si>
    <t>enterovirus C95</t>
  </si>
  <si>
    <t>EV-C95</t>
  </si>
  <si>
    <t>T08-083/Chad/2008</t>
  </si>
  <si>
    <t>enterovirus C96</t>
  </si>
  <si>
    <t>EV-C96</t>
  </si>
  <si>
    <t>BAN00-10499</t>
  </si>
  <si>
    <t>enterovirus C99</t>
  </si>
  <si>
    <t>EV-C99</t>
  </si>
  <si>
    <t>USA-GA84-10636</t>
  </si>
  <si>
    <t>enterovirus C102</t>
  </si>
  <si>
    <t>EV-C102</t>
  </si>
  <si>
    <t>BAN99-10424</t>
  </si>
  <si>
    <t>enterovirus C104</t>
  </si>
  <si>
    <t>EV-C104</t>
  </si>
  <si>
    <t>CL-1231094 FL</t>
  </si>
  <si>
    <t>enterovirus C105</t>
  </si>
  <si>
    <t>EV-C105</t>
  </si>
  <si>
    <t>PER153 (Peru/2010)</t>
  </si>
  <si>
    <t>enterovirus C109</t>
  </si>
  <si>
    <t>EV-C109</t>
  </si>
  <si>
    <t>NICA08-4327</t>
  </si>
  <si>
    <t>enterovirus C113</t>
  </si>
  <si>
    <t>EV-C113</t>
  </si>
  <si>
    <t>BBD-48/Bangladesh/2009</t>
  </si>
  <si>
    <t>enterovirus C116</t>
  </si>
  <si>
    <t>EV-C116</t>
  </si>
  <si>
    <t>126/Russia/2010</t>
  </si>
  <si>
    <t>enterovirus C117</t>
  </si>
  <si>
    <t>EV-C117</t>
  </si>
  <si>
    <t>LIT22/Vilnius (Lithuania/2011)</t>
  </si>
  <si>
    <t>enterovirus C118</t>
  </si>
  <si>
    <t>EV-C118</t>
  </si>
  <si>
    <t>ISR10 (Israel/2011)</t>
  </si>
  <si>
    <t>enterovirus D68</t>
  </si>
  <si>
    <t>EV-D68</t>
  </si>
  <si>
    <t>Fermon</t>
  </si>
  <si>
    <t>AY426531</t>
  </si>
  <si>
    <t>enterovirus D68; human rhinovirus 87</t>
  </si>
  <si>
    <t>F02-3607-Corn</t>
  </si>
  <si>
    <t>enterovirus D70</t>
  </si>
  <si>
    <t>EV-D70</t>
  </si>
  <si>
    <t>J670/71 (Japan/71)</t>
  </si>
  <si>
    <t>enterovirus D94</t>
  </si>
  <si>
    <t>EV-D94</t>
  </si>
  <si>
    <t>E210 (Egypt)</t>
  </si>
  <si>
    <t>enterovirus D111</t>
  </si>
  <si>
    <t>EV-D111</t>
  </si>
  <si>
    <t>KK2640 (chimpanzee/Cameroon/2006)</t>
  </si>
  <si>
    <t>enterovirus D120</t>
  </si>
  <si>
    <t>EV-D120</t>
  </si>
  <si>
    <t>MB6201 (gorilla/Cameroon)</t>
  </si>
  <si>
    <t>enterovirus E1; bovine enterovirus 1</t>
  </si>
  <si>
    <t>EV-E1</t>
  </si>
  <si>
    <t>VG-5-27</t>
  </si>
  <si>
    <t>D00214</t>
  </si>
  <si>
    <t>enterovirus E2</t>
  </si>
  <si>
    <t>EV-E2</t>
  </si>
  <si>
    <t>PS42 (ATCC VR-758)</t>
  </si>
  <si>
    <t>enterovirus E3</t>
  </si>
  <si>
    <t>EV-E3</t>
  </si>
  <si>
    <t>D 14/3/96 (Germany/1996)</t>
  </si>
  <si>
    <t>enterovirus E4</t>
  </si>
  <si>
    <t>EV-E4</t>
  </si>
  <si>
    <t>PAK-NIH-21E5 (sewage/Karachi/2009)</t>
  </si>
  <si>
    <t>enterovirus E5</t>
  </si>
  <si>
    <t>EV-E5</t>
  </si>
  <si>
    <t>MexKSU/5 (Mexico/2015)</t>
  </si>
  <si>
    <t>enterovirus F1; bovine enterovirus 2</t>
  </si>
  <si>
    <t>EV-F1</t>
  </si>
  <si>
    <t>BEV-261-M2-RM2</t>
  </si>
  <si>
    <t>DQ092770</t>
  </si>
  <si>
    <t>enterovirus F2</t>
  </si>
  <si>
    <t>EV-F2</t>
  </si>
  <si>
    <t>PS89</t>
  </si>
  <si>
    <t>enterovirus F3</t>
  </si>
  <si>
    <t>EV-F3</t>
  </si>
  <si>
    <t>PS87/Belfast (ATCC VR-774)</t>
  </si>
  <si>
    <t>enterovirus F4</t>
  </si>
  <si>
    <t>EV-F4</t>
  </si>
  <si>
    <t>W1 (brushtail possum/New Zealand)</t>
  </si>
  <si>
    <t>enterovirus F5</t>
  </si>
  <si>
    <t>EV-F5</t>
  </si>
  <si>
    <t>M80 (Norfolk/England/1960)</t>
  </si>
  <si>
    <t>enterovirus F6</t>
  </si>
  <si>
    <t>EV-F6</t>
  </si>
  <si>
    <t>T11f (Great Britain/1960)</t>
  </si>
  <si>
    <t>enterovirus F7</t>
  </si>
  <si>
    <t>EV-F7</t>
  </si>
  <si>
    <t>AN12/Bos Taurus/JPN/2014</t>
  </si>
  <si>
    <t>enterovirus G1; porcine enterovirus 9</t>
  </si>
  <si>
    <t>EV-G1</t>
  </si>
  <si>
    <t>UKG/410/73</t>
  </si>
  <si>
    <t>AF363453</t>
  </si>
  <si>
    <t>enterovirus G2; formerly enterovirus 10</t>
  </si>
  <si>
    <t>EV-G2</t>
  </si>
  <si>
    <t>LP54 (England/75)</t>
  </si>
  <si>
    <t>enterovirus G3</t>
  </si>
  <si>
    <t>EV-G3</t>
  </si>
  <si>
    <t>sw/K23/2008/HUN</t>
  </si>
  <si>
    <t>enterovirus G4</t>
  </si>
  <si>
    <t>EV-G4</t>
  </si>
  <si>
    <t>wild boar/WBD/2011/HUN</t>
  </si>
  <si>
    <t>enterovirus G5</t>
  </si>
  <si>
    <t>EV-G5</t>
  </si>
  <si>
    <t>Ovine/TB4-OEV/2009/HUN</t>
  </si>
  <si>
    <t>enterovirus G6</t>
  </si>
  <si>
    <t>EV-G6</t>
  </si>
  <si>
    <t>sw/2009/KOR</t>
  </si>
  <si>
    <t>enterovirus G7</t>
  </si>
  <si>
    <t>EV-G7</t>
  </si>
  <si>
    <t>ovine/990/UK-NI</t>
  </si>
  <si>
    <t>enterovirus G8</t>
  </si>
  <si>
    <t>EV-G8</t>
  </si>
  <si>
    <t>sw/714418/CaoLanh_VN/2012-02-21</t>
  </si>
  <si>
    <t>enterovirus G9</t>
  </si>
  <si>
    <t>EV-G9</t>
  </si>
  <si>
    <t>734087/ThanBinh_VN/2012-03-20</t>
  </si>
  <si>
    <t>enterovirus G10</t>
  </si>
  <si>
    <t>EV-G10</t>
  </si>
  <si>
    <t>sw/PoEnV-BEL-12R021</t>
  </si>
  <si>
    <t>enterovirus G11</t>
  </si>
  <si>
    <t>EV-G11</t>
  </si>
  <si>
    <t>sw/744257/2012/Vietnam</t>
  </si>
  <si>
    <t>enterovirus G12</t>
  </si>
  <si>
    <t>EV-G12</t>
  </si>
  <si>
    <t>sw/714222/CaoLanh/VN/2012-02-16</t>
  </si>
  <si>
    <t>enterovirus G13</t>
  </si>
  <si>
    <t>EV-G13</t>
  </si>
  <si>
    <t>sw/714270/CaoLanh/VN/2012-02-16</t>
  </si>
  <si>
    <t>enterovirus G14</t>
  </si>
  <si>
    <t>EV-G14</t>
  </si>
  <si>
    <t>sw/714405/CaoLanh/VN/2012-02-21</t>
  </si>
  <si>
    <t>enterovirus G15</t>
  </si>
  <si>
    <t>EV-G15</t>
  </si>
  <si>
    <t>sw/724307/CaoLanh/VN/2012-03-14</t>
  </si>
  <si>
    <t>enterovirus G16</t>
  </si>
  <si>
    <t>EV-G16</t>
  </si>
  <si>
    <t>wild boar/BS14-17H2/DakLak_VN/2014</t>
  </si>
  <si>
    <t>enterovirus G17</t>
  </si>
  <si>
    <t>EV-G17</t>
  </si>
  <si>
    <t>sw/08/NC_USA/2015</t>
  </si>
  <si>
    <t>enterovirus G18</t>
  </si>
  <si>
    <t>EV-G18</t>
  </si>
  <si>
    <t>sw/GER/F26-2/23-12-2013</t>
  </si>
  <si>
    <t>enterovirus G19</t>
  </si>
  <si>
    <t>EV-G19</t>
  </si>
  <si>
    <t>sw/Ger/F8-2/04-02-2013</t>
  </si>
  <si>
    <t>enterovirus G20</t>
  </si>
  <si>
    <t>EV-G20</t>
  </si>
  <si>
    <t>goat/JL14/CHA/2014</t>
  </si>
  <si>
    <t>enterovirus H1; simian enterovirus</t>
  </si>
  <si>
    <t>EV-H</t>
  </si>
  <si>
    <t>1715 UWB</t>
  </si>
  <si>
    <t>AF326759</t>
  </si>
  <si>
    <t>enterovirus I1; dromedary camel enterovirus 1</t>
  </si>
  <si>
    <t>EV-I1</t>
  </si>
  <si>
    <t>19CC</t>
  </si>
  <si>
    <t>KP345887</t>
  </si>
  <si>
    <t>enterovirus I2; dromedary camel enterovirus 2</t>
  </si>
  <si>
    <t>EV-I2</t>
  </si>
  <si>
    <t>20CC</t>
  </si>
  <si>
    <t>enterovirus J1</t>
  </si>
  <si>
    <t>EV-J1</t>
  </si>
  <si>
    <t>SV6-1631</t>
  </si>
  <si>
    <t>AF326766</t>
  </si>
  <si>
    <t>enterovirus J103</t>
  </si>
  <si>
    <t>EV-J103</t>
  </si>
  <si>
    <t>USA/GA99-POo-1</t>
  </si>
  <si>
    <t>enterovirus J108</t>
  </si>
  <si>
    <t>EV-J108</t>
  </si>
  <si>
    <t>N125</t>
  </si>
  <si>
    <t>enterovirus J112</t>
  </si>
  <si>
    <t>EV-J112</t>
  </si>
  <si>
    <t>BAN/2008/17920</t>
  </si>
  <si>
    <t>enterovirus J115</t>
  </si>
  <si>
    <t>EV-J115</t>
  </si>
  <si>
    <t>BAN/2008/711221</t>
  </si>
  <si>
    <t>enterovirus J121</t>
  </si>
  <si>
    <t>EV-J121</t>
  </si>
  <si>
    <t>CPZ_CHE20</t>
  </si>
  <si>
    <t>enterovirus K1</t>
  </si>
  <si>
    <t>EV-K1</t>
  </si>
  <si>
    <t>Rodent/Ee/PicoV/NX2015</t>
  </si>
  <si>
    <t>KX156158</t>
  </si>
  <si>
    <t>enterovirus K2</t>
  </si>
  <si>
    <t>EV-K2</t>
  </si>
  <si>
    <t>Rodent/Mc/PicoV/Tibet2015</t>
  </si>
  <si>
    <t>enterovirus L1</t>
  </si>
  <si>
    <t>EV-L1</t>
  </si>
  <si>
    <t>Macaca mulatta/SEV-gx/2014/China</t>
  </si>
  <si>
    <t>KU587555</t>
  </si>
  <si>
    <t>rhinovirus A1</t>
  </si>
  <si>
    <t>RV-A1</t>
  </si>
  <si>
    <t>VR-1559</t>
  </si>
  <si>
    <t>FJ445111</t>
  </si>
  <si>
    <t>rhinovirus A1B</t>
  </si>
  <si>
    <t>RV-A1B</t>
  </si>
  <si>
    <t>B632</t>
  </si>
  <si>
    <t>rhinovirus A2</t>
  </si>
  <si>
    <t>RV-A2</t>
  </si>
  <si>
    <t>HGP</t>
  </si>
  <si>
    <t>rhinovirus A7</t>
  </si>
  <si>
    <t>RV-A7</t>
  </si>
  <si>
    <t>68CV11</t>
  </si>
  <si>
    <t>rhinovirus A8</t>
  </si>
  <si>
    <t>RV-A8</t>
  </si>
  <si>
    <t>MRH-CV12</t>
  </si>
  <si>
    <t>rhinovirus A9</t>
  </si>
  <si>
    <t>RV-A9</t>
  </si>
  <si>
    <t>211-CV13-ATCC VR489</t>
  </si>
  <si>
    <t>rhinovirus A10</t>
  </si>
  <si>
    <t>RV-A10</t>
  </si>
  <si>
    <t>204-CV14</t>
  </si>
  <si>
    <t>rhinovirus A11</t>
  </si>
  <si>
    <t>RV-A11</t>
  </si>
  <si>
    <t>1-CV15</t>
  </si>
  <si>
    <t>rhinovirus A12</t>
  </si>
  <si>
    <t>RV-A12</t>
  </si>
  <si>
    <t>181-CV16</t>
  </si>
  <si>
    <t>rhinovirus A13</t>
  </si>
  <si>
    <t>RV-A13</t>
  </si>
  <si>
    <t>353 (South Carolina/59)</t>
  </si>
  <si>
    <t>rhinovirus A15</t>
  </si>
  <si>
    <t>RV-A15</t>
  </si>
  <si>
    <t>1734 (South Carolina/60)</t>
  </si>
  <si>
    <t>rhinovirus A16</t>
  </si>
  <si>
    <t>RV-A16</t>
  </si>
  <si>
    <t>11757 (Washington DC/60)</t>
  </si>
  <si>
    <t>rhinovirus A18</t>
  </si>
  <si>
    <t>RV-A18</t>
  </si>
  <si>
    <t>5986-CV17</t>
  </si>
  <si>
    <t>rhinovirus A19</t>
  </si>
  <si>
    <t>RV-A19</t>
  </si>
  <si>
    <t>ATCC VR-1129</t>
  </si>
  <si>
    <t>rhinovirus A20</t>
  </si>
  <si>
    <t>RV-A20</t>
  </si>
  <si>
    <t>ATCC VR-1130</t>
  </si>
  <si>
    <t>rhinovirus A21</t>
  </si>
  <si>
    <t>RV-A21</t>
  </si>
  <si>
    <t>ATCC VR-1131</t>
  </si>
  <si>
    <t>rhinovirus A22</t>
  </si>
  <si>
    <t>RV-A22</t>
  </si>
  <si>
    <t>ATCC VR-1132</t>
  </si>
  <si>
    <t>rhinovirus A23</t>
  </si>
  <si>
    <t>RV-A23</t>
  </si>
  <si>
    <t>5124-CV24</t>
  </si>
  <si>
    <t>rhinovirus A24</t>
  </si>
  <si>
    <t>RV-A24</t>
  </si>
  <si>
    <t>5146-CV25</t>
  </si>
  <si>
    <t>rhinovirus A25</t>
  </si>
  <si>
    <t>RV-A25</t>
  </si>
  <si>
    <t>ATCC VR-1135</t>
  </si>
  <si>
    <t>rhinovirus A28</t>
  </si>
  <si>
    <t>RV-A28</t>
  </si>
  <si>
    <t>6101-CV29</t>
  </si>
  <si>
    <t>rhinovirus A29</t>
  </si>
  <si>
    <t>RV-A29</t>
  </si>
  <si>
    <t>ATCC VR-1139</t>
  </si>
  <si>
    <t>rhinovirus A30</t>
  </si>
  <si>
    <t>RV-A30</t>
  </si>
  <si>
    <t>106F</t>
  </si>
  <si>
    <t>rhinovirus A31</t>
  </si>
  <si>
    <t>RV-A31</t>
  </si>
  <si>
    <t>ATCC VR-506</t>
  </si>
  <si>
    <t>rhinovirus A32</t>
  </si>
  <si>
    <t>RV-A32</t>
  </si>
  <si>
    <t>ATCC VR-1142</t>
  </si>
  <si>
    <t>rhinovirus A33</t>
  </si>
  <si>
    <t>RV-A33</t>
  </si>
  <si>
    <t>ATCC VR-330</t>
  </si>
  <si>
    <t>rhinovirus A34</t>
  </si>
  <si>
    <t>RV-A34</t>
  </si>
  <si>
    <t>137-3</t>
  </si>
  <si>
    <t>rhinovirus A36</t>
  </si>
  <si>
    <t>RV-A36</t>
  </si>
  <si>
    <t>342H</t>
  </si>
  <si>
    <t>rhinovirus A38</t>
  </si>
  <si>
    <t>RV-A38</t>
  </si>
  <si>
    <t>CH79</t>
  </si>
  <si>
    <t>rhinovirus A39</t>
  </si>
  <si>
    <t>RV-A39</t>
  </si>
  <si>
    <t>209 (Maryland/62)</t>
  </si>
  <si>
    <t>rhinovirus A40</t>
  </si>
  <si>
    <t>RV-A40</t>
  </si>
  <si>
    <t>ATCC VR-341</t>
  </si>
  <si>
    <t>rhinovirus A41</t>
  </si>
  <si>
    <t>RV-A41</t>
  </si>
  <si>
    <t>56110 (North Carolina/61)</t>
  </si>
  <si>
    <t>rhinovirus A43</t>
  </si>
  <si>
    <t>RV-A43</t>
  </si>
  <si>
    <t>ATCC VR-1153</t>
  </si>
  <si>
    <t>rhinovirus A45</t>
  </si>
  <si>
    <t>RV-A45</t>
  </si>
  <si>
    <t>ATCC VR-1155</t>
  </si>
  <si>
    <t>rhinovirus A46</t>
  </si>
  <si>
    <t>RV-A46</t>
  </si>
  <si>
    <t>Crell (Baylor 2) (Texas/64)</t>
  </si>
  <si>
    <t>rhinovirus A47</t>
  </si>
  <si>
    <t>RV-A47</t>
  </si>
  <si>
    <t>ATCC VR-1157</t>
  </si>
  <si>
    <t>rhinovirus A49</t>
  </si>
  <si>
    <t>RV-A49</t>
  </si>
  <si>
    <t>rhinovirus A50</t>
  </si>
  <si>
    <t>RV-A50</t>
  </si>
  <si>
    <t>ATCC VR-517</t>
  </si>
  <si>
    <t>rhinovirus A51</t>
  </si>
  <si>
    <t>RV-A51</t>
  </si>
  <si>
    <t>ATCC VR-1161</t>
  </si>
  <si>
    <t>rhinovirus A53</t>
  </si>
  <si>
    <t>RV-A53</t>
  </si>
  <si>
    <t>F01-3928</t>
  </si>
  <si>
    <t>rhinovirus A54</t>
  </si>
  <si>
    <t>RV-A54</t>
  </si>
  <si>
    <t>ATCC VR-1165</t>
  </si>
  <si>
    <t>rhinovirus A55</t>
  </si>
  <si>
    <t>RV-A55</t>
  </si>
  <si>
    <t>Wis315E (Wisconsin/64)</t>
  </si>
  <si>
    <t>rhinovirus A56</t>
  </si>
  <si>
    <t>RV-A56</t>
  </si>
  <si>
    <t>CH82 [V-151-011-021]</t>
  </si>
  <si>
    <t>rhinovirus A57</t>
  </si>
  <si>
    <t>RV-A57</t>
  </si>
  <si>
    <t>fs ship-No.1-hrv-57</t>
  </si>
  <si>
    <t>rhinovirus A58</t>
  </si>
  <si>
    <t>RV-A58</t>
  </si>
  <si>
    <t>ATCC VR-1168</t>
  </si>
  <si>
    <t>rhinovirus A59</t>
  </si>
  <si>
    <t>RV-A59</t>
  </si>
  <si>
    <t>611-CV35</t>
  </si>
  <si>
    <t>rhinovirus A60</t>
  </si>
  <si>
    <t>RV-A60</t>
  </si>
  <si>
    <t>ATCC VR-1473</t>
  </si>
  <si>
    <t>rhinovirus A61</t>
  </si>
  <si>
    <t>RV-A61</t>
  </si>
  <si>
    <t>ATCC VR-1171</t>
  </si>
  <si>
    <t>rhinovirus A62</t>
  </si>
  <si>
    <t>RV-A62</t>
  </si>
  <si>
    <t>ATCC VR-1172</t>
  </si>
  <si>
    <t>rhinovirus A63</t>
  </si>
  <si>
    <t>RV-A63</t>
  </si>
  <si>
    <t>ATCC VR-1173</t>
  </si>
  <si>
    <t>rhinovirus A64</t>
  </si>
  <si>
    <t>RV-A64</t>
  </si>
  <si>
    <t>6258-CV44</t>
  </si>
  <si>
    <t>rhinovirus A65</t>
  </si>
  <si>
    <t>RV-A65</t>
  </si>
  <si>
    <t>ATCC VR-1175</t>
  </si>
  <si>
    <t>rhinovirus A66</t>
  </si>
  <si>
    <t>RV-A66</t>
  </si>
  <si>
    <t>ATCC VR-1176</t>
  </si>
  <si>
    <t>rhinovirus A67</t>
  </si>
  <si>
    <t>RV-A67</t>
  </si>
  <si>
    <t>ATCC VR-1177</t>
  </si>
  <si>
    <t>rhinovirus A68</t>
  </si>
  <si>
    <t>RV-A68</t>
  </si>
  <si>
    <t>ATCC VR-1178</t>
  </si>
  <si>
    <t>rhinovirus A71</t>
  </si>
  <si>
    <t>RV-A71</t>
  </si>
  <si>
    <t>ATCC VR-1181</t>
  </si>
  <si>
    <t>rhinovirus A73</t>
  </si>
  <si>
    <t>RV-A73</t>
  </si>
  <si>
    <t>107E</t>
  </si>
  <si>
    <t>rhinovirus A74</t>
  </si>
  <si>
    <t>RV-A74</t>
  </si>
  <si>
    <t>328A</t>
  </si>
  <si>
    <t>rhinovirus A75</t>
  </si>
  <si>
    <t>RV-A75</t>
  </si>
  <si>
    <t>328F</t>
  </si>
  <si>
    <t>rhinovirus A76</t>
  </si>
  <si>
    <t>RV-A76</t>
  </si>
  <si>
    <t>H00062</t>
  </si>
  <si>
    <t>rhinovirus A77</t>
  </si>
  <si>
    <t>RV-A77</t>
  </si>
  <si>
    <t>ATCC VR-1187</t>
  </si>
  <si>
    <t>rhinovirus A78</t>
  </si>
  <si>
    <t>RV-A78</t>
  </si>
  <si>
    <t>2030-65</t>
  </si>
  <si>
    <t>rhinovirus A80</t>
  </si>
  <si>
    <t>RV-A80</t>
  </si>
  <si>
    <t>ATCC VR-1190</t>
  </si>
  <si>
    <t>rhinovirus A81</t>
  </si>
  <si>
    <t>RV-A81</t>
  </si>
  <si>
    <t>ATCC VR-1191</t>
  </si>
  <si>
    <t>rhinovirus A82</t>
  </si>
  <si>
    <t>RV-A82</t>
  </si>
  <si>
    <t>Santa Cruz (California)</t>
  </si>
  <si>
    <t>rhinovirus A85</t>
  </si>
  <si>
    <t>RV-A85</t>
  </si>
  <si>
    <t>ATCC VR-1195</t>
  </si>
  <si>
    <t>rhinovirus A88</t>
  </si>
  <si>
    <t>RV-A88</t>
  </si>
  <si>
    <t>CVD 01-0165-Dambrauskas</t>
  </si>
  <si>
    <t>rhinovirus A89</t>
  </si>
  <si>
    <t>RV-A89</t>
  </si>
  <si>
    <t>41467-Gallo</t>
  </si>
  <si>
    <t>rhinovirus A90</t>
  </si>
  <si>
    <t>RV-A90</t>
  </si>
  <si>
    <t>ATCC VR-1291</t>
  </si>
  <si>
    <t>rhinovirus A94</t>
  </si>
  <si>
    <t>RV-A94</t>
  </si>
  <si>
    <t>SF-1803</t>
  </si>
  <si>
    <t>rhinovirus A96</t>
  </si>
  <si>
    <t>RV-A96</t>
  </si>
  <si>
    <t>ATCC VR-1296</t>
  </si>
  <si>
    <t>rhinovirus A100</t>
  </si>
  <si>
    <t>RV-A100</t>
  </si>
  <si>
    <t>ATCC VR-1300</t>
  </si>
  <si>
    <t>rhinovirus A101</t>
  </si>
  <si>
    <t>RV-A101</t>
  </si>
  <si>
    <t>hrv-A101</t>
  </si>
  <si>
    <t>rhinovirus A102</t>
  </si>
  <si>
    <t>RV-A102</t>
  </si>
  <si>
    <t>AMS323</t>
  </si>
  <si>
    <t>rhinovirus A103</t>
  </si>
  <si>
    <t>RV-A103</t>
  </si>
  <si>
    <t>WA327E/09</t>
  </si>
  <si>
    <t>rhinovirus A104</t>
  </si>
  <si>
    <t>RV-A104</t>
  </si>
  <si>
    <t>p1025_sR2625_2009</t>
  </si>
  <si>
    <t>rhinovirus A105</t>
  </si>
  <si>
    <t>RV-A105</t>
  </si>
  <si>
    <t>p1064_sR985_2009</t>
  </si>
  <si>
    <t>rhinovirus A106</t>
  </si>
  <si>
    <t>RV-A106</t>
  </si>
  <si>
    <t>p1044_sR114_2008</t>
  </si>
  <si>
    <t>rhinovirus A107</t>
  </si>
  <si>
    <t>RV-A107</t>
  </si>
  <si>
    <t>S07259</t>
  </si>
  <si>
    <t>rhinovirus A108</t>
  </si>
  <si>
    <t>RV-A108</t>
  </si>
  <si>
    <t>S07696</t>
  </si>
  <si>
    <t>rhinovirus B3</t>
  </si>
  <si>
    <t>RV-B3</t>
  </si>
  <si>
    <t>FEB</t>
  </si>
  <si>
    <t>DQ473485</t>
  </si>
  <si>
    <t>rhinovirus B4</t>
  </si>
  <si>
    <t>RV-B4</t>
  </si>
  <si>
    <t>16/60</t>
  </si>
  <si>
    <t>rhinovirus B5</t>
  </si>
  <si>
    <t>RV-B5</t>
  </si>
  <si>
    <t>Norman/ATCC VR-485</t>
  </si>
  <si>
    <t>rhinovirus B6</t>
  </si>
  <si>
    <t>RV-B6</t>
  </si>
  <si>
    <t>rhinovirus B14</t>
  </si>
  <si>
    <t>RV-B14</t>
  </si>
  <si>
    <t>1059 (South Carolina/59)</t>
  </si>
  <si>
    <t>rhinovirus B17</t>
  </si>
  <si>
    <t>RV-B17</t>
  </si>
  <si>
    <t>33342 (North Carolina/59)</t>
  </si>
  <si>
    <t>rhinovirus B26</t>
  </si>
  <si>
    <t>RV-B26</t>
  </si>
  <si>
    <t>5660-CV27/ATCC VR-1136</t>
  </si>
  <si>
    <t>rhinovirus B27</t>
  </si>
  <si>
    <t>RV-B27</t>
  </si>
  <si>
    <t>5870-CV28/ATCC VR-1137</t>
  </si>
  <si>
    <t>rhinovirus B35</t>
  </si>
  <si>
    <t>RV-B35</t>
  </si>
  <si>
    <t>164A</t>
  </si>
  <si>
    <t>rhinovirus B37</t>
  </si>
  <si>
    <t>RV-B37</t>
  </si>
  <si>
    <t>151-1</t>
  </si>
  <si>
    <t>rhinovirus B42</t>
  </si>
  <si>
    <t>RV-B42</t>
  </si>
  <si>
    <t>56822 (North Carolina/61)/ATCC VR-338</t>
  </si>
  <si>
    <t>rhinovirus B48</t>
  </si>
  <si>
    <t>RV-B48</t>
  </si>
  <si>
    <t>rhinovirus B52</t>
  </si>
  <si>
    <t>RV-B52</t>
  </si>
  <si>
    <t>F01-3772/ATCC VR-1162</t>
  </si>
  <si>
    <t>rhinovirus B69</t>
  </si>
  <si>
    <t>RV-B69</t>
  </si>
  <si>
    <t>F01-2513-Mitchinson/ATCC VR-1179</t>
  </si>
  <si>
    <t>rhinovirus B70</t>
  </si>
  <si>
    <t>RV-B70</t>
  </si>
  <si>
    <t>F02-2547-Treganza</t>
  </si>
  <si>
    <t>rhinovirus B72</t>
  </si>
  <si>
    <t>RV-B72</t>
  </si>
  <si>
    <t>K2207/ATCC VR-1182</t>
  </si>
  <si>
    <t>rhinovirus B79</t>
  </si>
  <si>
    <t>RV-B79</t>
  </si>
  <si>
    <t>101-1/ATCC VR-1189</t>
  </si>
  <si>
    <t>rhinovirus B83</t>
  </si>
  <si>
    <t>RV-B83</t>
  </si>
  <si>
    <t>Baylor 7/ATCC VR-1193</t>
  </si>
  <si>
    <t>rhinovirus B84</t>
  </si>
  <si>
    <t>RV-B84</t>
  </si>
  <si>
    <t>432D/ATCC VR-1194</t>
  </si>
  <si>
    <t>rhinovirus B86</t>
  </si>
  <si>
    <t>RV-B86</t>
  </si>
  <si>
    <t>121564-Johnson/ATCC VR-1196</t>
  </si>
  <si>
    <t>rhinovirus B91</t>
  </si>
  <si>
    <t>RV-B91</t>
  </si>
  <si>
    <t>JM1/ATCC VR-1292</t>
  </si>
  <si>
    <t>rhinovirus B92</t>
  </si>
  <si>
    <t>RV-B92</t>
  </si>
  <si>
    <t>SF-1662/ATCC VR-1293</t>
  </si>
  <si>
    <t>rhinovirus B93</t>
  </si>
  <si>
    <t>RV-B93</t>
  </si>
  <si>
    <t>SF-1492</t>
  </si>
  <si>
    <t>rhinovirus B97</t>
  </si>
  <si>
    <t>RV-B97</t>
  </si>
  <si>
    <t>SF-1372/ATCC VR-1297</t>
  </si>
  <si>
    <t>rhinovirus B99</t>
  </si>
  <si>
    <t>RV-B99</t>
  </si>
  <si>
    <t>604/ATCC VR-1299</t>
  </si>
  <si>
    <t>rhinovirus B100</t>
  </si>
  <si>
    <t>RV-B100</t>
  </si>
  <si>
    <t>CU211 (Thailand/2006)</t>
  </si>
  <si>
    <t>rhinovirus B101</t>
  </si>
  <si>
    <t>RV-B101</t>
  </si>
  <si>
    <t>p1156_sR810_2007</t>
  </si>
  <si>
    <t>rhinovirus B102</t>
  </si>
  <si>
    <t>RV-B102</t>
  </si>
  <si>
    <t>p1044_sR122_2007</t>
  </si>
  <si>
    <t>rhinovirus B103</t>
  </si>
  <si>
    <t>RV-B103</t>
  </si>
  <si>
    <t>p1160_sR1153_2009</t>
  </si>
  <si>
    <t>rhinovirus B104</t>
  </si>
  <si>
    <t>RV-B104</t>
  </si>
  <si>
    <t>F10</t>
  </si>
  <si>
    <t>rhinovirus C1</t>
  </si>
  <si>
    <t>RV-C1</t>
  </si>
  <si>
    <t>NAT001</t>
  </si>
  <si>
    <t>EF077279</t>
  </si>
  <si>
    <t>rhinovirus C2</t>
  </si>
  <si>
    <t>RV-C2</t>
  </si>
  <si>
    <t>NAT045</t>
  </si>
  <si>
    <t>rhinovirus C3</t>
  </si>
  <si>
    <t>RV-C3</t>
  </si>
  <si>
    <t>QPM</t>
  </si>
  <si>
    <t>rhinovirus C4</t>
  </si>
  <si>
    <t>RV-C4</t>
  </si>
  <si>
    <t>O24</t>
  </si>
  <si>
    <t>rhinovirus C5</t>
  </si>
  <si>
    <t>RV-C5</t>
  </si>
  <si>
    <t>O25</t>
  </si>
  <si>
    <t>rhinovirus C6</t>
  </si>
  <si>
    <t>RV-C6</t>
  </si>
  <si>
    <t>O26</t>
  </si>
  <si>
    <t>rhinovirus C7</t>
  </si>
  <si>
    <t>RV-C7</t>
  </si>
  <si>
    <t>NY-074(1078)</t>
  </si>
  <si>
    <t>rhinovirus C8</t>
  </si>
  <si>
    <t>RV-C8</t>
  </si>
  <si>
    <t>N4</t>
  </si>
  <si>
    <t>rhinovirus C9</t>
  </si>
  <si>
    <t>RV-C9</t>
  </si>
  <si>
    <t>rhinovirus C10</t>
  </si>
  <si>
    <t>RV-C10</t>
  </si>
  <si>
    <t>QCE</t>
  </si>
  <si>
    <t>rhinovirus C11</t>
  </si>
  <si>
    <t>RV-C11</t>
  </si>
  <si>
    <t>CL-170085</t>
  </si>
  <si>
    <t>rhinovirus C12</t>
  </si>
  <si>
    <t>RV-C12</t>
  </si>
  <si>
    <t>Resp_3922/07</t>
  </si>
  <si>
    <t>rhinovirus C13</t>
  </si>
  <si>
    <t>RV-C13</t>
  </si>
  <si>
    <t>Resp_2951/06</t>
  </si>
  <si>
    <t>rhinovirus C14</t>
  </si>
  <si>
    <t>RV-C14</t>
  </si>
  <si>
    <t>Resp_3090/06</t>
  </si>
  <si>
    <t>rhinovirus C15</t>
  </si>
  <si>
    <t>RV-C15</t>
  </si>
  <si>
    <t>W10 (USA/2007)</t>
  </si>
  <si>
    <t>rhinovirus C16</t>
  </si>
  <si>
    <t>RV-C16</t>
  </si>
  <si>
    <t>ID639T/TAN/2008</t>
  </si>
  <si>
    <t>rhinovirus C17</t>
  </si>
  <si>
    <t>RV-C17</t>
  </si>
  <si>
    <t>Resp_5145/07</t>
  </si>
  <si>
    <t>rhinovirus C18</t>
  </si>
  <si>
    <t>RV-C18</t>
  </si>
  <si>
    <t>Resp_3631/07</t>
  </si>
  <si>
    <t>rhinovirus C19</t>
  </si>
  <si>
    <t>RV-C19</t>
  </si>
  <si>
    <t>CL-Fnp5</t>
  </si>
  <si>
    <t>rhinovirus C20</t>
  </si>
  <si>
    <t>RV-C20</t>
  </si>
  <si>
    <t>Resp_3995/07</t>
  </si>
  <si>
    <t>rhinovirus C21</t>
  </si>
  <si>
    <t>RV-C21</t>
  </si>
  <si>
    <t>Resp_5071/07</t>
  </si>
  <si>
    <t>rhinovirus C22</t>
  </si>
  <si>
    <t>RV-C22</t>
  </si>
  <si>
    <t>3430-MY-10</t>
  </si>
  <si>
    <t>rhinovirus C23</t>
  </si>
  <si>
    <t>RV-C23</t>
  </si>
  <si>
    <t>8713-MY-10</t>
  </si>
  <si>
    <t>rhinovirus C24</t>
  </si>
  <si>
    <t>RV-C24</t>
  </si>
  <si>
    <t>Resp_7147/07</t>
  </si>
  <si>
    <t>rhinovirus C25</t>
  </si>
  <si>
    <t>RV-C25</t>
  </si>
  <si>
    <t>Resp_2832/06</t>
  </si>
  <si>
    <t>rhinovirus C26</t>
  </si>
  <si>
    <t>RV-C26</t>
  </si>
  <si>
    <t>Resp_2514/06</t>
  </si>
  <si>
    <t>rhinovirus C27</t>
  </si>
  <si>
    <t>RV-C27</t>
  </si>
  <si>
    <t>Resp_2784/06</t>
  </si>
  <si>
    <t>rhinovirus C28</t>
  </si>
  <si>
    <t>RV-C28</t>
  </si>
  <si>
    <t>Resp_3105/06</t>
  </si>
  <si>
    <t>rhinovirus C29</t>
  </si>
  <si>
    <t>RV-C29</t>
  </si>
  <si>
    <t>Resp_5345/07</t>
  </si>
  <si>
    <t>rhinovirus C30</t>
  </si>
  <si>
    <t>RV-C30</t>
  </si>
  <si>
    <t>Resp_3898/07</t>
  </si>
  <si>
    <t>rhinovirus C31</t>
  </si>
  <si>
    <t>RV-C31</t>
  </si>
  <si>
    <t>Resp_4923/07</t>
  </si>
  <si>
    <t>rhinovirus C32</t>
  </si>
  <si>
    <t>RV-C32</t>
  </si>
  <si>
    <t>Resp_6131/07</t>
  </si>
  <si>
    <t>rhinovirus C33</t>
  </si>
  <si>
    <t>RV-C33</t>
  </si>
  <si>
    <t>Resp_4917/07</t>
  </si>
  <si>
    <t>rhinovirus C34</t>
  </si>
  <si>
    <t>RV-C34</t>
  </si>
  <si>
    <t>Mex14/Mexico/2014</t>
  </si>
  <si>
    <t>rhinovirus C35</t>
  </si>
  <si>
    <t>RV-C35</t>
  </si>
  <si>
    <t>LRTI-metagenomic-1</t>
  </si>
  <si>
    <t>rhinovirus C36</t>
  </si>
  <si>
    <t>RV-C36</t>
  </si>
  <si>
    <t>Resp_2480/07</t>
  </si>
  <si>
    <t>rhinovirus C37</t>
  </si>
  <si>
    <t>RV-C37</t>
  </si>
  <si>
    <t>Resp_6135/08</t>
  </si>
  <si>
    <t>rhinovirus C38</t>
  </si>
  <si>
    <t>RV-C38</t>
  </si>
  <si>
    <t>Resp_6142/08</t>
  </si>
  <si>
    <t>rhinovirus C39</t>
  </si>
  <si>
    <t>RV-C39</t>
  </si>
  <si>
    <t>WA823M02</t>
  </si>
  <si>
    <t>rhinovirus C40</t>
  </si>
  <si>
    <t>RV-C40</t>
  </si>
  <si>
    <t>p1221_sR1448_2009</t>
  </si>
  <si>
    <t>rhinovirus C41</t>
  </si>
  <si>
    <t>RV-C41</t>
  </si>
  <si>
    <t>2536/USA/2000</t>
  </si>
  <si>
    <t>rhinovirus C42</t>
  </si>
  <si>
    <t>RV-C42</t>
  </si>
  <si>
    <t>1570-MY-10</t>
  </si>
  <si>
    <t>rhinovirus C43</t>
  </si>
  <si>
    <t>RV-C43</t>
  </si>
  <si>
    <t>p1281_s6410_1999</t>
  </si>
  <si>
    <t>rhinovirus C44</t>
  </si>
  <si>
    <t>RV-C44</t>
  </si>
  <si>
    <t>Resp_15588/09</t>
  </si>
  <si>
    <t>rhinovirus C45</t>
  </si>
  <si>
    <t>RV-C45</t>
  </si>
  <si>
    <t>cpz1-2013/UGA</t>
  </si>
  <si>
    <t>rhinovirus C46</t>
  </si>
  <si>
    <t>RV-C46</t>
  </si>
  <si>
    <t>Resp_5153/07</t>
  </si>
  <si>
    <t>rhinovirus C47</t>
  </si>
  <si>
    <t>RV-C47</t>
  </si>
  <si>
    <t>PNG7254-3947</t>
  </si>
  <si>
    <t>rhinovirus C48</t>
  </si>
  <si>
    <t>RV-C48</t>
  </si>
  <si>
    <t>PNG7293-3193</t>
  </si>
  <si>
    <t>rhinovirus C49</t>
  </si>
  <si>
    <t>RV-C49</t>
  </si>
  <si>
    <t>p1277_s6237_2000</t>
  </si>
  <si>
    <t>rhinovirus C50</t>
  </si>
  <si>
    <t>RV-C50</t>
  </si>
  <si>
    <t>SG1/AUS/2008</t>
  </si>
  <si>
    <t>rhinovirus C51</t>
  </si>
  <si>
    <t>RV-C51</t>
  </si>
  <si>
    <t>LZ508/China/2007</t>
  </si>
  <si>
    <t>rhinovirus C54</t>
  </si>
  <si>
    <t>RV-C54</t>
  </si>
  <si>
    <t>D3490/SPA/2009</t>
  </si>
  <si>
    <t>rhinovirus C55</t>
  </si>
  <si>
    <t>RV-C55</t>
  </si>
  <si>
    <t>ID529T/TAN/2008</t>
  </si>
  <si>
    <t>rhinovirus C56</t>
  </si>
  <si>
    <t>RV-C56</t>
  </si>
  <si>
    <t>JPN/Kumamoto1/2009</t>
  </si>
  <si>
    <t>rhinovirus C57</t>
  </si>
  <si>
    <t>RV-C57</t>
  </si>
  <si>
    <t>7383-MY-10</t>
  </si>
  <si>
    <t>Felipivirus</t>
  </si>
  <si>
    <t>felipivirus A1</t>
  </si>
  <si>
    <t>FelV-A1</t>
  </si>
  <si>
    <t>073F</t>
  </si>
  <si>
    <t>JN572115</t>
  </si>
  <si>
    <t>felipivirus A2</t>
  </si>
  <si>
    <t>FelV-A2</t>
  </si>
  <si>
    <t>127F</t>
  </si>
  <si>
    <t>Parabovirus</t>
  </si>
  <si>
    <t>parabovirus A1</t>
  </si>
  <si>
    <t>ParV-A1</t>
  </si>
  <si>
    <t>Longwan-Rn37</t>
  </si>
  <si>
    <t>MF352412</t>
  </si>
  <si>
    <t>parabovirus A2</t>
  </si>
  <si>
    <t>ParV-A2</t>
  </si>
  <si>
    <t>Longquan-R132</t>
  </si>
  <si>
    <t>parabovirus A3</t>
  </si>
  <si>
    <t>ParV-A3</t>
  </si>
  <si>
    <t>RtNn-PicoV/HuB2015-3</t>
  </si>
  <si>
    <t>parabovirus A4</t>
  </si>
  <si>
    <t>ParV-A4</t>
  </si>
  <si>
    <t>RtMruf-PicoV/JL2014-3</t>
  </si>
  <si>
    <t>parabovirus B1</t>
  </si>
  <si>
    <t>ParV-B1</t>
  </si>
  <si>
    <t>RtCb-PicoV/HeB2014</t>
  </si>
  <si>
    <t>KY432927</t>
  </si>
  <si>
    <t>parabovirus C1</t>
  </si>
  <si>
    <t>ParV-C1</t>
  </si>
  <si>
    <t>RtNn-PicoV/HuB2015-1</t>
  </si>
  <si>
    <t>KY432933</t>
  </si>
  <si>
    <t>Rabovirus</t>
  </si>
  <si>
    <t>rabovirus A1</t>
  </si>
  <si>
    <t>RaBoV-A1</t>
  </si>
  <si>
    <t>Berlin/Jan2011/0572</t>
  </si>
  <si>
    <t>KP233897</t>
  </si>
  <si>
    <t>rabovirus A2</t>
  </si>
  <si>
    <t>RaBoV-A2</t>
  </si>
  <si>
    <t>Wencheng-Rn449</t>
  </si>
  <si>
    <t>rabovirus A3</t>
  </si>
  <si>
    <t>RaBoV-A3</t>
  </si>
  <si>
    <t>RPV/NYC-B10</t>
  </si>
  <si>
    <t>rabovirus A4</t>
  </si>
  <si>
    <t>RaBoV-A4</t>
  </si>
  <si>
    <t>Wencheng-Rt38-1</t>
  </si>
  <si>
    <t>rabovirus A5</t>
  </si>
  <si>
    <t>RaBoV-A5</t>
  </si>
  <si>
    <t>Ruian-Rn93-2</t>
  </si>
  <si>
    <t>rabovirus B1</t>
  </si>
  <si>
    <t>RaBoV-B1</t>
  </si>
  <si>
    <t>RtMp-PicoV/YN2014</t>
  </si>
  <si>
    <t>KY432926</t>
  </si>
  <si>
    <t>rabovirus C1</t>
  </si>
  <si>
    <t>RaBoV-C1</t>
  </si>
  <si>
    <t>HT5</t>
  </si>
  <si>
    <t>KY855432</t>
  </si>
  <si>
    <t>rabovirus D1</t>
  </si>
  <si>
    <t>RaBoV-D1</t>
  </si>
  <si>
    <t>MPV/NYC/2014/M005/0074</t>
  </si>
  <si>
    <t>MF175072</t>
  </si>
  <si>
    <t>Sapelovirus</t>
  </si>
  <si>
    <t>porcine sapelovirus</t>
  </si>
  <si>
    <t>V13</t>
  </si>
  <si>
    <t>AF406813</t>
  </si>
  <si>
    <t>simian sapelovirus 1</t>
  </si>
  <si>
    <t>SSV-1</t>
  </si>
  <si>
    <t>SV2-2383</t>
  </si>
  <si>
    <t>AY064708</t>
  </si>
  <si>
    <t>simian sapelovirus 2</t>
  </si>
  <si>
    <t>SSV-2</t>
  </si>
  <si>
    <t>VRDL</t>
  </si>
  <si>
    <t>simian sapelovirus 3</t>
  </si>
  <si>
    <t>SSV-3</t>
  </si>
  <si>
    <t>WUHARV sapelovirus 1 (rhesus monkey/USA/2010)</t>
  </si>
  <si>
    <t>Heptrevirinae</t>
  </si>
  <si>
    <t>Caecilivirus</t>
  </si>
  <si>
    <t>caecilivirus A1; Guangdong fish caecilians picornavirus</t>
  </si>
  <si>
    <t>CaeV-A1</t>
  </si>
  <si>
    <t>GDYYC83005</t>
  </si>
  <si>
    <t>MG600103</t>
  </si>
  <si>
    <t>Crahelivirus</t>
  </si>
  <si>
    <t>crahelivirus A1; crane picornavirus 1</t>
  </si>
  <si>
    <t>CraV-A</t>
  </si>
  <si>
    <t>yc-1</t>
  </si>
  <si>
    <t>KY312540</t>
  </si>
  <si>
    <t>Fipivirus</t>
  </si>
  <si>
    <t>fipivirus A1; Wǔhàn sharpbelly picornavirus 2</t>
  </si>
  <si>
    <t>FiV-A1</t>
  </si>
  <si>
    <t>DSYC36136</t>
  </si>
  <si>
    <t>MG600068</t>
  </si>
  <si>
    <t>fipivirus B1; Wǔhàn sharpbelly picornavirus 3</t>
  </si>
  <si>
    <t>FiV-B1</t>
  </si>
  <si>
    <t>DSYC47507</t>
  </si>
  <si>
    <t>MG600069</t>
  </si>
  <si>
    <t>fipivirus C1; Wēnlǐng crossorhombus picornavirus</t>
  </si>
  <si>
    <t>FiV-C1</t>
  </si>
  <si>
    <t>XDXMC21480</t>
  </si>
  <si>
    <t>MG600095</t>
  </si>
  <si>
    <t>fipivirus D1; Wēnlǐng Jack mackarels picornavirus</t>
  </si>
  <si>
    <t>FiV-D1</t>
  </si>
  <si>
    <t>LXMC375591</t>
  </si>
  <si>
    <t>MG600075</t>
  </si>
  <si>
    <t>fipivirus E1; Wēnlǐng banjofish picornavirus 1</t>
  </si>
  <si>
    <t>FiV-E1</t>
  </si>
  <si>
    <t>LXMC34076</t>
  </si>
  <si>
    <t>MG600070</t>
  </si>
  <si>
    <t>fipivirus F1; Wenling chelidoperca picornavirus</t>
  </si>
  <si>
    <t>FiV-F1</t>
  </si>
  <si>
    <t>LXMC188591</t>
  </si>
  <si>
    <t>MG600074</t>
  </si>
  <si>
    <t>Gruhelivirus</t>
  </si>
  <si>
    <t>gruhelivirus A1; crane picornavirus 2</t>
  </si>
  <si>
    <t>GruhV-A1</t>
  </si>
  <si>
    <t>yc-2</t>
  </si>
  <si>
    <t>KY312541</t>
  </si>
  <si>
    <t>Hepatovirus</t>
  </si>
  <si>
    <t>hepatovirus A1; hepatitis A virus</t>
  </si>
  <si>
    <t>HAV</t>
  </si>
  <si>
    <t>HM-175</t>
  </si>
  <si>
    <t>M14707</t>
  </si>
  <si>
    <t>hepatovirus B1; phopivirus</t>
  </si>
  <si>
    <t>PhV</t>
  </si>
  <si>
    <t>NewEngland_USA/2011</t>
  </si>
  <si>
    <t>KR703607</t>
  </si>
  <si>
    <t>hepatovirus C1; bat hepatovirus</t>
  </si>
  <si>
    <t>HepV-C</t>
  </si>
  <si>
    <t>SMG18528Minmav2014</t>
  </si>
  <si>
    <t>KT452742</t>
  </si>
  <si>
    <t>hepatovirus D1; rodent hepatovirus</t>
  </si>
  <si>
    <t>HepV-D1</t>
  </si>
  <si>
    <t>RMU101637Micarv2010</t>
  </si>
  <si>
    <t>KT452637</t>
  </si>
  <si>
    <t>hepatovirus D2</t>
  </si>
  <si>
    <t>HepV-D2</t>
  </si>
  <si>
    <t>KS111230Crimig2011</t>
  </si>
  <si>
    <t>hepatovirus E1; rodent hepatovirus</t>
  </si>
  <si>
    <t>HepV-E</t>
  </si>
  <si>
    <t>CIV459Lopsik2004</t>
  </si>
  <si>
    <t>KT452735</t>
  </si>
  <si>
    <t>hepatovirus F1; rodent hepatovirus</t>
  </si>
  <si>
    <t>HepV-F1</t>
  </si>
  <si>
    <t>KEF121Sigmas2012</t>
  </si>
  <si>
    <t>KT452685</t>
  </si>
  <si>
    <t>hepatovirus F2; woodchuck hepatovirus</t>
  </si>
  <si>
    <t>HepV-F2</t>
  </si>
  <si>
    <t>2ID</t>
  </si>
  <si>
    <t>hepatovirus G1; bat hepatovirus</t>
  </si>
  <si>
    <t>HepV-G1</t>
  </si>
  <si>
    <t>BUO2BF86Colafr2010</t>
  </si>
  <si>
    <t>KT452730</t>
  </si>
  <si>
    <t>hepatovirus G2</t>
  </si>
  <si>
    <t>HepV-G2</t>
  </si>
  <si>
    <t>FO1AF48Rhilan2010</t>
  </si>
  <si>
    <t>hepatovirus H1; hedgehog hepatovirus</t>
  </si>
  <si>
    <t>HepV-H1</t>
  </si>
  <si>
    <t>Igel8Erieur2014</t>
  </si>
  <si>
    <t>KT452691</t>
  </si>
  <si>
    <t>hepatovirus H2</t>
  </si>
  <si>
    <t>HepV-H2</t>
  </si>
  <si>
    <t>M32Eidhel2010</t>
  </si>
  <si>
    <t>hepatovirus H3; tupaia hepatovirus</t>
  </si>
  <si>
    <t>HepV-H3</t>
  </si>
  <si>
    <t>TN1</t>
  </si>
  <si>
    <t>hepatovirus I1; shrew hepatovirus</t>
  </si>
  <si>
    <t>HepV-I</t>
  </si>
  <si>
    <t>KS121232Sorara2012</t>
  </si>
  <si>
    <t>KT452658</t>
  </si>
  <si>
    <t>Rohelivirus</t>
  </si>
  <si>
    <t>rohelivirus A1</t>
  </si>
  <si>
    <t>RhelV-A1</t>
  </si>
  <si>
    <t>rodent/Ds-PicV/IM2014</t>
  </si>
  <si>
    <t>KX156153</t>
  </si>
  <si>
    <t>rohelivirus A2</t>
  </si>
  <si>
    <t>RhelV-A2</t>
  </si>
  <si>
    <t>rodent/CK/PicoV/Tibet2014</t>
  </si>
  <si>
    <t>Tremovirus</t>
  </si>
  <si>
    <t>tremovirus A1; avian encephalomyelitis virus</t>
  </si>
  <si>
    <t>AEV</t>
  </si>
  <si>
    <t>Calnek</t>
  </si>
  <si>
    <t>AJ225173</t>
  </si>
  <si>
    <t>tremovirus B1; Pelodiscus sinensis picornavirus 1</t>
  </si>
  <si>
    <t>TrV-B1</t>
  </si>
  <si>
    <t>CNSR2011</t>
  </si>
  <si>
    <t>KY432472</t>
  </si>
  <si>
    <t>tremovirus B2; Chinese broad-headed pond turtle picornavirus 2</t>
  </si>
  <si>
    <t>TrV-B2</t>
  </si>
  <si>
    <t>WHWGGF75534</t>
  </si>
  <si>
    <t>Kodimesavirinae</t>
  </si>
  <si>
    <t>Danipivirus</t>
  </si>
  <si>
    <t>danipivirus A1; zebrafish picornavirus</t>
  </si>
  <si>
    <t>DanV-A1</t>
  </si>
  <si>
    <t>IDEXX/ZfPV-1/2017/USA</t>
  </si>
  <si>
    <t>MH368041</t>
  </si>
  <si>
    <t>Dicipivirus</t>
  </si>
  <si>
    <t>cadicivirus A1; canine picodicistrovirus</t>
  </si>
  <si>
    <t>CaPd</t>
  </si>
  <si>
    <t>JN819202</t>
  </si>
  <si>
    <t>cadicivirus B1; hedgehog dicipivirus</t>
  </si>
  <si>
    <t>HeDV</t>
  </si>
  <si>
    <t>hedgehog/H14/2015/HUN</t>
  </si>
  <si>
    <t>MF188967</t>
  </si>
  <si>
    <t>Gallivirus</t>
  </si>
  <si>
    <t>gallivirus A1</t>
  </si>
  <si>
    <t>GV-A1</t>
  </si>
  <si>
    <t>turkey/M176/2011/HUN</t>
  </si>
  <si>
    <t>JQ691613</t>
  </si>
  <si>
    <t>gallivirus A2</t>
  </si>
  <si>
    <t>GV-A2</t>
  </si>
  <si>
    <t>518C</t>
  </si>
  <si>
    <t>Hemipivirus</t>
  </si>
  <si>
    <t>hemipivirus A1; Hǎinán oriental leaf-toed gecko picornavirus</t>
  </si>
  <si>
    <t>HeV-A1</t>
  </si>
  <si>
    <t>LPXYC213122</t>
  </si>
  <si>
    <t>MG600089</t>
  </si>
  <si>
    <t>Kobuvirus</t>
  </si>
  <si>
    <t>aichivirus A1; Aichi virus 1</t>
  </si>
  <si>
    <t>AiV-A1</t>
  </si>
  <si>
    <t>A846/88</t>
  </si>
  <si>
    <t>AB040749</t>
  </si>
  <si>
    <t>aichivirus A2; canine kobuvirus</t>
  </si>
  <si>
    <t>AiV-A2</t>
  </si>
  <si>
    <t>dog-AN211D-USA-2009</t>
  </si>
  <si>
    <t>aichivirus A3; murine kobuvirus</t>
  </si>
  <si>
    <t>AiV-A3</t>
  </si>
  <si>
    <t>USA/2010/M-5</t>
  </si>
  <si>
    <t>aichivirus A4; feline kobuvirus</t>
  </si>
  <si>
    <t>AiV-A4</t>
  </si>
  <si>
    <t>FK-13</t>
  </si>
  <si>
    <t>aichivirus A5; roller kobuvirus</t>
  </si>
  <si>
    <t>AiV-A5</t>
  </si>
  <si>
    <t>SZAL6-KoV/2011/HUN</t>
  </si>
  <si>
    <t>aichivirus A6; rat kobuvirus</t>
  </si>
  <si>
    <t>AiV-A6</t>
  </si>
  <si>
    <t>20724x33</t>
  </si>
  <si>
    <t>aichivirus A7</t>
  </si>
  <si>
    <t>AiV-A7</t>
  </si>
  <si>
    <t>RtMruf-PicoV/JL2014-2</t>
  </si>
  <si>
    <t>aichivirus A8; murine kobuvirus</t>
  </si>
  <si>
    <t>AiV-A8</t>
  </si>
  <si>
    <t>MKV1/NYC/2014</t>
  </si>
  <si>
    <t>aichivirus A9; rat kobuvirus</t>
  </si>
  <si>
    <t>AiV-A9</t>
  </si>
  <si>
    <t>Wencheng-Rt386-2</t>
  </si>
  <si>
    <t>aichivirus A10; rat kobuvirus</t>
  </si>
  <si>
    <t>AiV-A10</t>
  </si>
  <si>
    <t>16715x14</t>
  </si>
  <si>
    <t>aichivirus B1; bovine kobuvirus</t>
  </si>
  <si>
    <t>AiV-B1; BKV</t>
  </si>
  <si>
    <t>U-1</t>
  </si>
  <si>
    <t>AB084788</t>
  </si>
  <si>
    <t>aichivirus B2; ferret kobuvirus</t>
  </si>
  <si>
    <t>AiV-B2</t>
  </si>
  <si>
    <t>MpKoV38/Netherlands/2010</t>
  </si>
  <si>
    <t>aichivirus B3; ovine kobuvirus</t>
  </si>
  <si>
    <t>AiV-B3</t>
  </si>
  <si>
    <t>sheep/TB3/HUN/2009</t>
  </si>
  <si>
    <t>aichivirus C1; porcine kobuvirus</t>
  </si>
  <si>
    <t>AiV-C1; PKV</t>
  </si>
  <si>
    <t>swine/S-1-HUN/2007/Hungary</t>
  </si>
  <si>
    <t>EU787450</t>
  </si>
  <si>
    <t>aichivirus C2; caprine kobuvirus</t>
  </si>
  <si>
    <t>AiV-C2</t>
  </si>
  <si>
    <t>12Q108/South Korea/2012</t>
  </si>
  <si>
    <t>aichivirus D1; kagovirus 1</t>
  </si>
  <si>
    <t>AiV-D1</t>
  </si>
  <si>
    <t>cattle/Kagoshima-1-22-KoV/2014/JPN</t>
  </si>
  <si>
    <t>LC055961</t>
  </si>
  <si>
    <t>aichivirus D2; kagovirus 2</t>
  </si>
  <si>
    <t>AiV-D2</t>
  </si>
  <si>
    <t>cattle/Kagoshima-1-24-KoV/2015/JPN</t>
  </si>
  <si>
    <t>aichivirus E1; rabbit kobuvirus</t>
  </si>
  <si>
    <t>AiV-E1</t>
  </si>
  <si>
    <t>aichivirus F1; bat kobuvirus 1</t>
  </si>
  <si>
    <t>AiV-F1</t>
  </si>
  <si>
    <t>BtMr-PicoV/JX2010</t>
  </si>
  <si>
    <t>KJ641686</t>
  </si>
  <si>
    <t>aichivirus F2</t>
  </si>
  <si>
    <t>AiV-F2</t>
  </si>
  <si>
    <t>BtMf-PicoV-2/GD2012</t>
  </si>
  <si>
    <t>Livupivirus</t>
  </si>
  <si>
    <t>livupivirus A1</t>
  </si>
  <si>
    <t>LivV-A1</t>
  </si>
  <si>
    <t>newt/II-5-Pilis/2014/HUN</t>
  </si>
  <si>
    <t>KX463670</t>
  </si>
  <si>
    <t>Ludopivirus</t>
  </si>
  <si>
    <t>ludopivirus A1; goose picornavirus</t>
  </si>
  <si>
    <t>LuV-A1</t>
  </si>
  <si>
    <t>goose/NLSZK2/HUN/2013</t>
  </si>
  <si>
    <t>MF358731</t>
  </si>
  <si>
    <t>Megrivirus</t>
  </si>
  <si>
    <t>megrivirus A2; duck megrivirus</t>
  </si>
  <si>
    <t>MeV-A2</t>
  </si>
  <si>
    <t>LY</t>
  </si>
  <si>
    <t>KC663628</t>
  </si>
  <si>
    <t>megrivirus A3; goose megrivirus 1</t>
  </si>
  <si>
    <t>MeV-A3</t>
  </si>
  <si>
    <t>W18</t>
  </si>
  <si>
    <t>megrivirus B3CP-APOL; goose megrivirus 2; recombinant virus</t>
  </si>
  <si>
    <t>HN56</t>
  </si>
  <si>
    <t>megrivirus B1; pigeon mesivirus 1</t>
  </si>
  <si>
    <t>MeV-B1</t>
  </si>
  <si>
    <t>HK21</t>
  </si>
  <si>
    <t>KC876003</t>
  </si>
  <si>
    <t>megrivirus B2; pigeon mesivirus 2</t>
  </si>
  <si>
    <t>MeV-B2</t>
  </si>
  <si>
    <t>pigeon/GALII5-PiMev/2011/HUN</t>
  </si>
  <si>
    <t>megrivirus C1; chicken megrivirus</t>
  </si>
  <si>
    <t>MeV-C1</t>
  </si>
  <si>
    <t>chicken/B21-CHV/2012/HUN</t>
  </si>
  <si>
    <t>KF961186</t>
  </si>
  <si>
    <t>megrivirus C2</t>
  </si>
  <si>
    <t>MeV-C2</t>
  </si>
  <si>
    <t>27C</t>
  </si>
  <si>
    <t>megrivirus C3</t>
  </si>
  <si>
    <t>MeV-C3</t>
  </si>
  <si>
    <t>RS/BR/2015/3R</t>
  </si>
  <si>
    <t>megrivirus A1CP-CPOL; turkey hepatitis virus; recombinant virus</t>
  </si>
  <si>
    <t>2993D</t>
  </si>
  <si>
    <t>megrivirus D1; harrier megrivirus</t>
  </si>
  <si>
    <t>MeV-D</t>
  </si>
  <si>
    <t>harrier/MR-01/HUN/2014</t>
  </si>
  <si>
    <t>KY488458</t>
  </si>
  <si>
    <t>megrivirus E1; penguin megrivirus</t>
  </si>
  <si>
    <t>MeV-E</t>
  </si>
  <si>
    <t>penguin/KGI-BHS-P5/2015</t>
  </si>
  <si>
    <t>MF405436</t>
  </si>
  <si>
    <t>Myrropivirus</t>
  </si>
  <si>
    <t>myrropivirus A1; Guǎngdōng Chinese water snake picornavirus</t>
  </si>
  <si>
    <t>MyrV-A1</t>
  </si>
  <si>
    <t>LPSF20501</t>
  </si>
  <si>
    <t>MG600081</t>
  </si>
  <si>
    <t>Oscivirus</t>
  </si>
  <si>
    <t>oscivirus A1; turdivirus 2</t>
  </si>
  <si>
    <t>OsV-A1</t>
  </si>
  <si>
    <t>GU182408</t>
  </si>
  <si>
    <t>oscivirus A2; turdivirus 3</t>
  </si>
  <si>
    <t>OsV-A2</t>
  </si>
  <si>
    <t>Passerivirus</t>
  </si>
  <si>
    <t>passerivirus A1</t>
  </si>
  <si>
    <t>PasV-A</t>
  </si>
  <si>
    <t>thrush/Hong Kong/00356/2007</t>
  </si>
  <si>
    <t>GU182406</t>
  </si>
  <si>
    <t>passerivirus B1; waxbill passerivirus</t>
  </si>
  <si>
    <t>PasV-B</t>
  </si>
  <si>
    <t>waxbill/DB01/HUN/2014</t>
  </si>
  <si>
    <t>MF977321</t>
  </si>
  <si>
    <t>Pemapivirus</t>
  </si>
  <si>
    <t>pemapivirus A1; Chinese softshell turtle picornavirus</t>
  </si>
  <si>
    <t>PemV-A1</t>
  </si>
  <si>
    <t>WHWGC151314</t>
  </si>
  <si>
    <t>MG600106</t>
  </si>
  <si>
    <t>pemapivirus B1; Chinese broad-headed pond turtle picornavirus</t>
  </si>
  <si>
    <t>PemV-B1</t>
  </si>
  <si>
    <t>MG600108</t>
  </si>
  <si>
    <t>Poecivirus</t>
  </si>
  <si>
    <t>poecivirus A1</t>
  </si>
  <si>
    <t>PoeV-A</t>
  </si>
  <si>
    <t>BCCH-449</t>
  </si>
  <si>
    <t>KU977108</t>
  </si>
  <si>
    <t>Pygoscepivirus</t>
  </si>
  <si>
    <t>pygoscepivirus A1; pingu virus</t>
  </si>
  <si>
    <t>PyV-A1</t>
  </si>
  <si>
    <t>MH255796</t>
  </si>
  <si>
    <t>Rafivirus</t>
  </si>
  <si>
    <t>rafivirus A1; tortoise rafivirus</t>
  </si>
  <si>
    <t>RaV-A1</t>
  </si>
  <si>
    <t>UF4</t>
  </si>
  <si>
    <t>KJ415177</t>
  </si>
  <si>
    <t>rafivirus B1; Hainan gekko similignum picornavirus</t>
  </si>
  <si>
    <t>RaV-B1</t>
  </si>
  <si>
    <t>PXYC222841</t>
  </si>
  <si>
    <t>MG600090</t>
  </si>
  <si>
    <t>rafivirus C1; rhimavirus</t>
  </si>
  <si>
    <t>RaV-C1</t>
  </si>
  <si>
    <t>cane toad/AU1/Australia/2017</t>
  </si>
  <si>
    <t>MG967619</t>
  </si>
  <si>
    <t>Rajidapivirus</t>
  </si>
  <si>
    <t>rajidapivirus A1; Wenling sharpspine skate picornavirus</t>
  </si>
  <si>
    <t>RajV-A1</t>
  </si>
  <si>
    <t>DHBYCGS18742</t>
  </si>
  <si>
    <t>MG600093</t>
  </si>
  <si>
    <t>Rosavirus</t>
  </si>
  <si>
    <t>rosavirus A1</t>
  </si>
  <si>
    <t>RoV-A1</t>
  </si>
  <si>
    <t>mouse/USA/M-7/2010</t>
  </si>
  <si>
    <t>JF973686</t>
  </si>
  <si>
    <t>rosavirus A2</t>
  </si>
  <si>
    <t>RoV-A2</t>
  </si>
  <si>
    <t>hu/GA7403/Gambia/2008</t>
  </si>
  <si>
    <t>rosavirus B1; Norway rat rosavirus</t>
  </si>
  <si>
    <t>RoV-B1</t>
  </si>
  <si>
    <t>RNCW0602091R</t>
  </si>
  <si>
    <t>KX783423</t>
  </si>
  <si>
    <t>rosavirus B2; Norway rat rosavirus</t>
  </si>
  <si>
    <t>RoV-B2</t>
  </si>
  <si>
    <t>NrRV/NYC-A15</t>
  </si>
  <si>
    <t>rosavirus C1; rat rosavirus</t>
  </si>
  <si>
    <t>RoV-C1</t>
  </si>
  <si>
    <t>RASK8F</t>
  </si>
  <si>
    <t>KX783424</t>
  </si>
  <si>
    <t>rosavirus C2</t>
  </si>
  <si>
    <t>RoV-C2</t>
  </si>
  <si>
    <t>RATLC11A</t>
  </si>
  <si>
    <t>rosavirus C3</t>
  </si>
  <si>
    <t>RoV-C3</t>
  </si>
  <si>
    <t>NCGX12IN</t>
  </si>
  <si>
    <t>rosavirus C4</t>
  </si>
  <si>
    <t>RoV-C4</t>
  </si>
  <si>
    <t>rodent/RL/PicoV/FJ2015</t>
  </si>
  <si>
    <t>Sakobuvirus</t>
  </si>
  <si>
    <t>sakobuvirus A; feline sakobuvirus</t>
  </si>
  <si>
    <t>SakV-A</t>
  </si>
  <si>
    <t>FFUP1/Portugal/2012</t>
  </si>
  <si>
    <t>KF387721</t>
  </si>
  <si>
    <t>Salivirus</t>
  </si>
  <si>
    <t>salivirus A1</t>
  </si>
  <si>
    <t>SaV-A1</t>
  </si>
  <si>
    <t>hu/NG-J1/Nigeria/2007</t>
  </si>
  <si>
    <t>GQ179640</t>
  </si>
  <si>
    <t>salivirus A2</t>
  </si>
  <si>
    <t>SaV-A2</t>
  </si>
  <si>
    <t>hu/FHB/China/2011</t>
  </si>
  <si>
    <t>Sicinivirus</t>
  </si>
  <si>
    <t>sicinivirus A1</t>
  </si>
  <si>
    <t>SiV-A1</t>
  </si>
  <si>
    <t>chicken/UCC001/Eire</t>
  </si>
  <si>
    <t>KF741227</t>
  </si>
  <si>
    <t>ch/Pf-CHK1/HUN/2013</t>
  </si>
  <si>
    <t>sicinivirus A2</t>
  </si>
  <si>
    <t>SiV-A2</t>
  </si>
  <si>
    <t>ch/JSY/China/2014</t>
  </si>
  <si>
    <t>sicinivirus A3</t>
  </si>
  <si>
    <t>SiV-A3</t>
  </si>
  <si>
    <t>ch/RS/BR/2015/2</t>
  </si>
  <si>
    <t>sicinivirus A4</t>
  </si>
  <si>
    <t>SiV-A4</t>
  </si>
  <si>
    <t>ch/100C/Hong Kong/2009</t>
  </si>
  <si>
    <t>sicinivirus A5</t>
  </si>
  <si>
    <t>SiV-A5</t>
  </si>
  <si>
    <t>ch/RS/BR/2015/1</t>
  </si>
  <si>
    <t>sicinivirus A6</t>
  </si>
  <si>
    <t>SiV-A6</t>
  </si>
  <si>
    <t>ch/RS/BR/2015/4R</t>
  </si>
  <si>
    <t>sicinivirus A7</t>
  </si>
  <si>
    <t>SiV-A7</t>
  </si>
  <si>
    <t>ch/RS/BR/2015/7S</t>
  </si>
  <si>
    <t>sicinivirus A8</t>
  </si>
  <si>
    <t>SiV-A8</t>
  </si>
  <si>
    <t>ch/RS/BR/2015/3R</t>
  </si>
  <si>
    <t>Symapivirus</t>
  </si>
  <si>
    <t>symapivirus A1; Wēnlǐng triplecross lizardfish picornavirus</t>
  </si>
  <si>
    <t>SymV-A1</t>
  </si>
  <si>
    <t>XYHYC185246</t>
  </si>
  <si>
    <t>MG600076</t>
  </si>
  <si>
    <t>Tropivirus</t>
  </si>
  <si>
    <t>tropivirus A1; Guǎngdōng Chinese water skink picornavirus</t>
  </si>
  <si>
    <t>TroV-A1</t>
  </si>
  <si>
    <t>ZGLXR119682</t>
  </si>
  <si>
    <t>MG600091</t>
  </si>
  <si>
    <t>tropivirus B1; Yili teratoscincus roborowskii picornavirus 1</t>
  </si>
  <si>
    <t>TroV-B1</t>
  </si>
  <si>
    <t>LPWC175499</t>
  </si>
  <si>
    <t>MG600083</t>
  </si>
  <si>
    <t>Paavivirinae</t>
  </si>
  <si>
    <t>Aalivirus</t>
  </si>
  <si>
    <t>aalivirus A1; duck aalivirus 1</t>
  </si>
  <si>
    <t>AalV-A1; DAV</t>
  </si>
  <si>
    <t>duck/GL/12/China/2012</t>
  </si>
  <si>
    <t>KJ000696</t>
  </si>
  <si>
    <t>Aquamavirus</t>
  </si>
  <si>
    <t>aquamavirus A1; seal picornavirus</t>
  </si>
  <si>
    <t>AV-A1; SPV</t>
  </si>
  <si>
    <t>HO.02.21</t>
  </si>
  <si>
    <t>EU142040</t>
  </si>
  <si>
    <t>aquamavirus A2; bear aquamavirus</t>
  </si>
  <si>
    <t>AV-A2</t>
  </si>
  <si>
    <t>CH-1</t>
  </si>
  <si>
    <t>Avihepatovirus</t>
  </si>
  <si>
    <t>avihepatovirus A1; duck hepatitis A virus 1</t>
  </si>
  <si>
    <t>DHAV-1</t>
  </si>
  <si>
    <t>R85952</t>
  </si>
  <si>
    <t>DQ226541</t>
  </si>
  <si>
    <t>duck hepatitis A virus 2</t>
  </si>
  <si>
    <t>DHAV-2</t>
  </si>
  <si>
    <t>duck/90D/Taiwan</t>
  </si>
  <si>
    <t>duck hepatitis A virus 3</t>
  </si>
  <si>
    <t>DHAV-3</t>
  </si>
  <si>
    <t>duck/AP-03337/KOR/2003-4</t>
  </si>
  <si>
    <t>Avisivirus</t>
  </si>
  <si>
    <t>avisivirus A1</t>
  </si>
  <si>
    <t>AsV-A1</t>
  </si>
  <si>
    <t>USA-IN1</t>
  </si>
  <si>
    <t>KC614703</t>
  </si>
  <si>
    <t>avisivirus B1; chicken picornavirus 2</t>
  </si>
  <si>
    <t>ASV-B1</t>
  </si>
  <si>
    <t>44C</t>
  </si>
  <si>
    <t>KF979333</t>
  </si>
  <si>
    <t>avisivirus C1; chicken picornavirus 3</t>
  </si>
  <si>
    <t>AsV-C1</t>
  </si>
  <si>
    <t>45C</t>
  </si>
  <si>
    <t>KF979334</t>
  </si>
  <si>
    <t>Crohivirus</t>
  </si>
  <si>
    <t>crohivirus A1; shrew crohivirus</t>
  </si>
  <si>
    <t>SCrV</t>
  </si>
  <si>
    <t>shrew/ZAM/ZM54/2012</t>
  </si>
  <si>
    <t>AB937989</t>
  </si>
  <si>
    <t>crohivirus B1; bat crohivirus</t>
  </si>
  <si>
    <t>BCrV</t>
  </si>
  <si>
    <t>bat/CAM/CroV-P25/2013</t>
  </si>
  <si>
    <t>KX644937</t>
  </si>
  <si>
    <t>Grusopivirus</t>
  </si>
  <si>
    <t>grusopivirus A1; crane picornavirus 5</t>
  </si>
  <si>
    <t>yc-5</t>
  </si>
  <si>
    <t>KY312544</t>
  </si>
  <si>
    <t>grusopivirus B1; crane picornavirus 6</t>
  </si>
  <si>
    <t>GruhV-B1</t>
  </si>
  <si>
    <t>yc-6</t>
  </si>
  <si>
    <t>KY312545</t>
  </si>
  <si>
    <t>grusopivirus C1; lorikeet picornavirus</t>
  </si>
  <si>
    <t>GruV-C1</t>
  </si>
  <si>
    <t>LoPV-1</t>
  </si>
  <si>
    <t>MK443503</t>
  </si>
  <si>
    <t>Kunsagivirus</t>
  </si>
  <si>
    <t>kunsagivirus A1</t>
  </si>
  <si>
    <t>KuV-A</t>
  </si>
  <si>
    <t>roller/SZAL6-KuV/2011/HUN</t>
  </si>
  <si>
    <t>KC935379</t>
  </si>
  <si>
    <t>kunsagivirus B1; bat kunsagivirus</t>
  </si>
  <si>
    <t>BKuV</t>
  </si>
  <si>
    <t>bat/CAM/KuV-P2/2013</t>
  </si>
  <si>
    <t>KX644936</t>
  </si>
  <si>
    <t>kunsagivirus C1; bakunsavirus</t>
  </si>
  <si>
    <t>BakV</t>
  </si>
  <si>
    <t>baboon/M27-KuV/1986/TAN</t>
  </si>
  <si>
    <t>KY670597</t>
  </si>
  <si>
    <t>Limnipivirus</t>
  </si>
  <si>
    <t>limnipivirus A1; blue gill picornavirus</t>
  </si>
  <si>
    <t>BGPV</t>
  </si>
  <si>
    <t>04-032</t>
  </si>
  <si>
    <t>JX134222</t>
  </si>
  <si>
    <t>limnipivirus B1; carp picornavirus</t>
  </si>
  <si>
    <t>F37/06</t>
  </si>
  <si>
    <t>KF306267</t>
  </si>
  <si>
    <t>limnipivirus C1; fathead minnow picornavirus</t>
  </si>
  <si>
    <t>FHMPV</t>
  </si>
  <si>
    <t>fth/1/MN/USA/2010</t>
  </si>
  <si>
    <t>KF183915</t>
  </si>
  <si>
    <t>limnipivirus D1; Guangdong spotted longbarbel catfish picornavirus</t>
  </si>
  <si>
    <t>LimV-D1</t>
  </si>
  <si>
    <t>GDDSYC43605</t>
  </si>
  <si>
    <t>MG600094</t>
  </si>
  <si>
    <t>Orivirus</t>
  </si>
  <si>
    <t>orivirus A1; chicken orivirus 1</t>
  </si>
  <si>
    <t>OrV-A1</t>
  </si>
  <si>
    <t>chicken/Pf-CHK1/2013/HUN</t>
  </si>
  <si>
    <t>KM203656</t>
  </si>
  <si>
    <t>chicken orivirus 2</t>
  </si>
  <si>
    <t>OrV-A2</t>
  </si>
  <si>
    <t>Pf-CHK1/OrV-A2</t>
  </si>
  <si>
    <t>Parechovirus</t>
  </si>
  <si>
    <t>parechovirus A1; human parechovirus 1</t>
  </si>
  <si>
    <t>HPeV-1</t>
  </si>
  <si>
    <t>Harris</t>
  </si>
  <si>
    <t>S45208</t>
  </si>
  <si>
    <t>human parechovirus 2</t>
  </si>
  <si>
    <t>HPeV-2</t>
  </si>
  <si>
    <t>Williamson (Ohio/56)</t>
  </si>
  <si>
    <t>human parechovirus 3</t>
  </si>
  <si>
    <t>HPeV-3</t>
  </si>
  <si>
    <t>A308/99</t>
  </si>
  <si>
    <t>human parechovirus 4</t>
  </si>
  <si>
    <t>HPeV-4</t>
  </si>
  <si>
    <t>K251176-02</t>
  </si>
  <si>
    <t>human parechovirus 5</t>
  </si>
  <si>
    <t>HPeV-5</t>
  </si>
  <si>
    <t>CT86-6760 (Connecticut/86)</t>
  </si>
  <si>
    <t>human parechovirus 6</t>
  </si>
  <si>
    <t>HPeV-6</t>
  </si>
  <si>
    <t>NII561-2000 (Japan)</t>
  </si>
  <si>
    <t>human parechovirus 7</t>
  </si>
  <si>
    <t>HPeV-7</t>
  </si>
  <si>
    <t>PAK5045</t>
  </si>
  <si>
    <t>human parechovirus 8</t>
  </si>
  <si>
    <t>HPeV-8</t>
  </si>
  <si>
    <t>BR/217/2006</t>
  </si>
  <si>
    <t>human parechovirus 9</t>
  </si>
  <si>
    <t>HPeV-9</t>
  </si>
  <si>
    <t>BAN2004-10902</t>
  </si>
  <si>
    <t>human parechovirus 10</t>
  </si>
  <si>
    <t>HPeV-10</t>
  </si>
  <si>
    <t>BAN2004-10903</t>
  </si>
  <si>
    <t>human parechovirus 11</t>
  </si>
  <si>
    <t>HPeV-11</t>
  </si>
  <si>
    <t>BAN2004-10905</t>
  </si>
  <si>
    <t>human parechovirus 12</t>
  </si>
  <si>
    <t>HPeV-12</t>
  </si>
  <si>
    <t>BAN2004-10904</t>
  </si>
  <si>
    <t>human parechovirus 13</t>
  </si>
  <si>
    <t>HPeV-13</t>
  </si>
  <si>
    <t>BAN2005-10901</t>
  </si>
  <si>
    <t>human parechovirus 14</t>
  </si>
  <si>
    <t>HPeV-14</t>
  </si>
  <si>
    <t>451564/NL/2004</t>
  </si>
  <si>
    <t>human parechovirus 15</t>
  </si>
  <si>
    <t>HPeV-15</t>
  </si>
  <si>
    <t>BAN-11614</t>
  </si>
  <si>
    <t>human parechovirus 16</t>
  </si>
  <si>
    <t>HPeV-16</t>
  </si>
  <si>
    <t>BAN-11615</t>
  </si>
  <si>
    <t>human parechovirus 17</t>
  </si>
  <si>
    <t>HPeV-17</t>
  </si>
  <si>
    <t>M36/CI/2014</t>
  </si>
  <si>
    <t>human parechovirus 18</t>
  </si>
  <si>
    <t>HPeV-18</t>
  </si>
  <si>
    <t>GhanaA29</t>
  </si>
  <si>
    <t>parechovirus B1; Ljunganvirus 1</t>
  </si>
  <si>
    <t>LV-1</t>
  </si>
  <si>
    <t>87-012</t>
  </si>
  <si>
    <t>AF327920</t>
  </si>
  <si>
    <t>Ljunganvirus 2</t>
  </si>
  <si>
    <t>LV-2</t>
  </si>
  <si>
    <t>145SL</t>
  </si>
  <si>
    <t>Ljunganvirus 3</t>
  </si>
  <si>
    <t>LV-3</t>
  </si>
  <si>
    <t>M1146</t>
  </si>
  <si>
    <t>Ljunganvirus 4</t>
  </si>
  <si>
    <t>LV-4</t>
  </si>
  <si>
    <t>64-7855</t>
  </si>
  <si>
    <t>Ljunganvirus 5</t>
  </si>
  <si>
    <t>LV-5</t>
  </si>
  <si>
    <t>Fuz1/Japan/2014</t>
  </si>
  <si>
    <t>Ljunganvirus 6</t>
  </si>
  <si>
    <t>LV-6</t>
  </si>
  <si>
    <t>RtMrut-PicoV/JL2014-2</t>
  </si>
  <si>
    <t>parechovirus C1; Sebokele virus</t>
  </si>
  <si>
    <t>SEBV</t>
  </si>
  <si>
    <t>An/B/1227/d</t>
  </si>
  <si>
    <t>HF677705</t>
  </si>
  <si>
    <t>parechovirus D1; ferret parechovirus</t>
  </si>
  <si>
    <t>FPeV</t>
  </si>
  <si>
    <t>ferret/MpPeV1/NL</t>
  </si>
  <si>
    <t>KF006989</t>
  </si>
  <si>
    <t>parechovirus E1; falcon parechovirus</t>
  </si>
  <si>
    <t>FaPeV</t>
  </si>
  <si>
    <t>falcon/HA18-080/2014/HUN</t>
  </si>
  <si>
    <t>KY645497</t>
  </si>
  <si>
    <t>parechovirus F1; gecko parechovirus</t>
  </si>
  <si>
    <t>LPWC210215</t>
  </si>
  <si>
    <t>MG600084</t>
  </si>
  <si>
    <t>Pasivirus</t>
  </si>
  <si>
    <t>pasivirus A1; swine pasivirus</t>
  </si>
  <si>
    <t>PaV-A1</t>
  </si>
  <si>
    <t>swine/France/2011</t>
  </si>
  <si>
    <t>JQ316470</t>
  </si>
  <si>
    <t>pasivirus A2</t>
  </si>
  <si>
    <t>PaV-A2</t>
  </si>
  <si>
    <t>PVL-CHN (pig/China/2010)</t>
  </si>
  <si>
    <t>pasivirus A3</t>
  </si>
  <si>
    <t>PaV-A3</t>
  </si>
  <si>
    <t>swine/Zsana1/2013/HUN (pig/Hungary/2013)</t>
  </si>
  <si>
    <t>pasivirus A4</t>
  </si>
  <si>
    <t>PaV-A4</t>
  </si>
  <si>
    <t>Ger/L01061-K07/15-03/2015</t>
  </si>
  <si>
    <t>Potamipivirus</t>
  </si>
  <si>
    <t>potamipivirus A1; eel picornavirus</t>
  </si>
  <si>
    <t>PoV-A1; EPV</t>
  </si>
  <si>
    <t>F15/05</t>
  </si>
  <si>
    <t>KC843627</t>
  </si>
  <si>
    <t>potamipivirus B1; threespine stickleback picornavirus</t>
  </si>
  <si>
    <t>PoV-B1</t>
  </si>
  <si>
    <t>TSPV</t>
  </si>
  <si>
    <t>MK189163</t>
  </si>
  <si>
    <t>Shanbavirus</t>
  </si>
  <si>
    <t>shanbavirus A1; bat picornavirus</t>
  </si>
  <si>
    <t>BShV</t>
  </si>
  <si>
    <t>bat/BtMf-PicoV-1/SAX2011</t>
  </si>
  <si>
    <t>KJ641698</t>
  </si>
  <si>
    <t>Polycipiviridae</t>
  </si>
  <si>
    <t>Chipolycivirus</t>
  </si>
  <si>
    <t>Chironomus riparius virus 1</t>
  </si>
  <si>
    <t>ChriV1</t>
  </si>
  <si>
    <t>Amsterdam-TSA</t>
  </si>
  <si>
    <t>KA182589</t>
  </si>
  <si>
    <t>Hubei picorna-like virus 82</t>
  </si>
  <si>
    <t>HplV82</t>
  </si>
  <si>
    <t>spider133992</t>
  </si>
  <si>
    <t>KX883688</t>
  </si>
  <si>
    <t>Hupolycivirus</t>
  </si>
  <si>
    <t>Hubei picorna-like virus 81</t>
  </si>
  <si>
    <t>HplV81</t>
  </si>
  <si>
    <t>QTM27117</t>
  </si>
  <si>
    <t>KX883940</t>
  </si>
  <si>
    <t>Sopolycivirus</t>
  </si>
  <si>
    <t>Formica exsecta virus 3</t>
  </si>
  <si>
    <t>FexV3</t>
  </si>
  <si>
    <t>Hanko-TSA</t>
  </si>
  <si>
    <t>LH935078; LH935077</t>
  </si>
  <si>
    <t>Lasius neglectus virus 1</t>
  </si>
  <si>
    <t>LneV1</t>
  </si>
  <si>
    <t>Cambridge-Lne</t>
  </si>
  <si>
    <t>MF041809</t>
  </si>
  <si>
    <t>LneV2</t>
  </si>
  <si>
    <t>Gif sur Yvette-TSA</t>
  </si>
  <si>
    <t>LI526777</t>
  </si>
  <si>
    <t>Lasius niger virus 1</t>
  </si>
  <si>
    <t>LniV1</t>
  </si>
  <si>
    <t>Cambridge-Lni</t>
  </si>
  <si>
    <t>MF041812</t>
  </si>
  <si>
    <t>Linepithema humile virus 2</t>
  </si>
  <si>
    <t>LihuV2</t>
  </si>
  <si>
    <t>Catalonia-TSA</t>
  </si>
  <si>
    <t>LI719284</t>
  </si>
  <si>
    <t>Monomorium pharaonis virus 1</t>
  </si>
  <si>
    <t>MophV1</t>
  </si>
  <si>
    <t>Copenhagen-TSA</t>
  </si>
  <si>
    <t>LA858223</t>
  </si>
  <si>
    <t>Monomorium pharaonis virus 2</t>
  </si>
  <si>
    <t>MophV2</t>
  </si>
  <si>
    <t>LA866448</t>
  </si>
  <si>
    <t>Myrmica scabrinodis virus 1</t>
  </si>
  <si>
    <t>MsaV1</t>
  </si>
  <si>
    <t>Cambridge-Msc</t>
  </si>
  <si>
    <t>MF041810</t>
  </si>
  <si>
    <t>Shuangao insect virus 8</t>
  </si>
  <si>
    <t>ShiV8</t>
  </si>
  <si>
    <t>insectZJ96360</t>
  </si>
  <si>
    <t>KX883910</t>
  </si>
  <si>
    <t>Solenopsis invicta virus 2</t>
  </si>
  <si>
    <t>SINV2</t>
  </si>
  <si>
    <t>Florida-Sin</t>
  </si>
  <si>
    <t>MF041813</t>
  </si>
  <si>
    <t>Solenopsis invicta virus 4</t>
  </si>
  <si>
    <t>SINV4</t>
  </si>
  <si>
    <t>Gainesville-Sin</t>
  </si>
  <si>
    <t>MF041808</t>
  </si>
  <si>
    <t>Secoviridae</t>
  </si>
  <si>
    <t>Cheravirus</t>
  </si>
  <si>
    <t>Arracacha virus B</t>
  </si>
  <si>
    <t>DSMZ PV-0082</t>
  </si>
  <si>
    <t>RNA1: MW582785; RNA2: MW582786</t>
  </si>
  <si>
    <t>PV-0082 Peru</t>
  </si>
  <si>
    <t>cherry rasp leaf virus</t>
  </si>
  <si>
    <t>potato USA</t>
  </si>
  <si>
    <t>RNA1: AJ621357; RNA2: AJ621358</t>
  </si>
  <si>
    <t>apple latent spherical virus</t>
  </si>
  <si>
    <t>ALSV</t>
  </si>
  <si>
    <t>RNA1: AB030940; RNA2: AB030941</t>
  </si>
  <si>
    <t>stocky prune virus</t>
  </si>
  <si>
    <t>StPV</t>
  </si>
  <si>
    <t>Brugeres</t>
  </si>
  <si>
    <t>RNA1: DQ143874; RNA2: DQ143875</t>
  </si>
  <si>
    <t>currant latent virus</t>
  </si>
  <si>
    <t>CuLV</t>
  </si>
  <si>
    <t>Hol9/6</t>
  </si>
  <si>
    <t>RNA1: KT692952; RNA2: KT692953</t>
  </si>
  <si>
    <t>Sadwavirus</t>
  </si>
  <si>
    <t>Cholivirus</t>
  </si>
  <si>
    <t>pineapple secovirus A</t>
  </si>
  <si>
    <t>PSVA</t>
  </si>
  <si>
    <t>HANA187</t>
  </si>
  <si>
    <t>MN809923; MN809924</t>
  </si>
  <si>
    <t>pineapple secovirus B</t>
  </si>
  <si>
    <t>PSVB</t>
  </si>
  <si>
    <t>HANA 187</t>
  </si>
  <si>
    <t>RNA1: OM777135; RNA2: OM777136</t>
  </si>
  <si>
    <t>Dioscorea mosaic associated virus</t>
  </si>
  <si>
    <t>DMaV</t>
  </si>
  <si>
    <t>DMaV-goiana</t>
  </si>
  <si>
    <t>RNA1: KU215538; RNA2: KU215539</t>
  </si>
  <si>
    <t>chocolate lily virus A</t>
  </si>
  <si>
    <t>CLVA</t>
  </si>
  <si>
    <t>CLVA-KP2</t>
  </si>
  <si>
    <t>RNA1: JN052073; RNA2: JN052074</t>
  </si>
  <si>
    <t>Satsumavirus</t>
  </si>
  <si>
    <t>satsuma dwarf virus</t>
  </si>
  <si>
    <t>SDV</t>
  </si>
  <si>
    <t>SDV-S58</t>
  </si>
  <si>
    <t>RNA1: AB009958; RNA2: AB009959</t>
  </si>
  <si>
    <t>Stramovirus</t>
  </si>
  <si>
    <t>surrounding non-legume associated virus</t>
  </si>
  <si>
    <t>SnLaSV</t>
  </si>
  <si>
    <t>SNLaSVMuenster_17</t>
  </si>
  <si>
    <t>MN412739; MN412740</t>
  </si>
  <si>
    <t>strawberry mottle virus</t>
  </si>
  <si>
    <t>SMoV</t>
  </si>
  <si>
    <t>SMoV-NsPer3</t>
  </si>
  <si>
    <t>RNA1: AJ311875; RNA2: AJ311876</t>
  </si>
  <si>
    <t>lettuce secovirus 1</t>
  </si>
  <si>
    <t>LSV-1</t>
  </si>
  <si>
    <t>RNA1: KX925437; RNA2: KX925438</t>
  </si>
  <si>
    <t>black raspberry necrosis virus</t>
  </si>
  <si>
    <t>BRNV-Alyth</t>
  </si>
  <si>
    <t>RNA1: DQ344639; RNA2: DQ344640</t>
  </si>
  <si>
    <t>Sequivirus</t>
  </si>
  <si>
    <t>carrot necrotic dieback virus</t>
  </si>
  <si>
    <t>CNDV</t>
  </si>
  <si>
    <t>Anthriscus</t>
  </si>
  <si>
    <t>EU980442</t>
  </si>
  <si>
    <t>parsnip yellow fleck virus</t>
  </si>
  <si>
    <t>PYFV</t>
  </si>
  <si>
    <t>P121</t>
  </si>
  <si>
    <t>D14066</t>
  </si>
  <si>
    <t>lettuce star mosaic virus</t>
  </si>
  <si>
    <t>JG1-A</t>
  </si>
  <si>
    <t>MT348706</t>
  </si>
  <si>
    <t>dandelion yellow mosaic virus</t>
  </si>
  <si>
    <t>DaYMV</t>
  </si>
  <si>
    <t>DSM2</t>
  </si>
  <si>
    <t>DQ675189</t>
  </si>
  <si>
    <t>Stralarivirus</t>
  </si>
  <si>
    <t>strawberry latent ringspot virus</t>
  </si>
  <si>
    <t>SLRSV</t>
  </si>
  <si>
    <t>NCGR MEN 454.001</t>
  </si>
  <si>
    <t>RNA1: AY860978; RNA2: AY860979</t>
  </si>
  <si>
    <t>lychnis mottle virus</t>
  </si>
  <si>
    <t>LycMoV</t>
  </si>
  <si>
    <t>Andong</t>
  </si>
  <si>
    <t>RNA1: KR011032; RNA2: KR011033</t>
  </si>
  <si>
    <t>Torradovirus</t>
  </si>
  <si>
    <t>motherwort yellow mottle virus</t>
  </si>
  <si>
    <t>MYMoV</t>
  </si>
  <si>
    <t>AD01</t>
  </si>
  <si>
    <t>RNA1: KM229700; RNA2: KM229701</t>
  </si>
  <si>
    <t>carrot torradovirus 1</t>
  </si>
  <si>
    <t>CaTV1</t>
  </si>
  <si>
    <t>H6</t>
  </si>
  <si>
    <t>RNA1: KF533719; RNA2: KF533720</t>
  </si>
  <si>
    <t>Codonopsis torradovirus A</t>
  </si>
  <si>
    <t>CoTVA</t>
  </si>
  <si>
    <t>RNA1: MZ325520; RNA2: MZ325521</t>
  </si>
  <si>
    <t>squash chlorotic leaf spot virus</t>
  </si>
  <si>
    <t>SCLSV</t>
  </si>
  <si>
    <t>Su12-10</t>
  </si>
  <si>
    <t>RNA1: KU052530; RNA2: KU052531</t>
  </si>
  <si>
    <t>lettuce necrotic leaf curl virus</t>
  </si>
  <si>
    <t>LNLCV</t>
  </si>
  <si>
    <t>RNA1: KC855266; RNA2: KC855267</t>
  </si>
  <si>
    <t>tomato torrado virus</t>
  </si>
  <si>
    <t>ToTV</t>
  </si>
  <si>
    <t>PRI-0301</t>
  </si>
  <si>
    <t>RNA1: DQ388879; RNA2: DQ388880</t>
  </si>
  <si>
    <t>cassava torrado-like virus</t>
  </si>
  <si>
    <t>CsTLV</t>
  </si>
  <si>
    <t>Yop_12</t>
  </si>
  <si>
    <t>RNA1: OK040225; RNA2: OK040226</t>
  </si>
  <si>
    <t>tomato marchitez virus</t>
  </si>
  <si>
    <t>ToMarV</t>
  </si>
  <si>
    <t>PRI-0601</t>
  </si>
  <si>
    <t>RNA1: EF681764; RNA2: EF681765</t>
  </si>
  <si>
    <t>Waikavirus</t>
  </si>
  <si>
    <t>Actinidia yellowing virus 1</t>
  </si>
  <si>
    <t>AcYV1</t>
  </si>
  <si>
    <t>AYV1-Zhouzhi</t>
  </si>
  <si>
    <t>MN180070</t>
  </si>
  <si>
    <t>Anthriscus yellows virus</t>
  </si>
  <si>
    <t>Chevril</t>
  </si>
  <si>
    <t>brassica napus RNA virus 1</t>
  </si>
  <si>
    <t>BnRV1</t>
  </si>
  <si>
    <t>SP2S</t>
  </si>
  <si>
    <t>MH844554</t>
  </si>
  <si>
    <t>camellia virus A</t>
  </si>
  <si>
    <t>CamVA</t>
  </si>
  <si>
    <t>SWU-H</t>
  </si>
  <si>
    <t>MW545173</t>
  </si>
  <si>
    <t>bellflower vein chlorosis virus</t>
  </si>
  <si>
    <t>BVCV</t>
  </si>
  <si>
    <t>CT1</t>
  </si>
  <si>
    <t>KT238881</t>
  </si>
  <si>
    <t>persimmon waikavirus</t>
  </si>
  <si>
    <t>PWaiV</t>
  </si>
  <si>
    <t>Waika4</t>
  </si>
  <si>
    <t>LC488189</t>
  </si>
  <si>
    <t>poaceae Liege virus 1</t>
  </si>
  <si>
    <t>PoLV1</t>
  </si>
  <si>
    <t>Antheit</t>
  </si>
  <si>
    <t>MW289237</t>
  </si>
  <si>
    <t>rice tungro spherical virus</t>
  </si>
  <si>
    <t>RTSV</t>
  </si>
  <si>
    <t>Shen</t>
  </si>
  <si>
    <t>M95497</t>
  </si>
  <si>
    <t>blackcurrant waikavirus A</t>
  </si>
  <si>
    <t>BCWVA</t>
  </si>
  <si>
    <t>MN701059</t>
  </si>
  <si>
    <t>sweetbriar rose curly top-associated virus</t>
  </si>
  <si>
    <t>SRCTaV</t>
  </si>
  <si>
    <t>Simons Hill</t>
  </si>
  <si>
    <t>MT757670</t>
  </si>
  <si>
    <t>red clover-associated virus 1</t>
  </si>
  <si>
    <t>RCaV1</t>
  </si>
  <si>
    <t>NURH6-2017</t>
  </si>
  <si>
    <t>MH325329</t>
  </si>
  <si>
    <t>maize chlorotic dwarf virus</t>
  </si>
  <si>
    <t>MCDV</t>
  </si>
  <si>
    <t>U67839</t>
  </si>
  <si>
    <t>Comovirinae</t>
  </si>
  <si>
    <t>Comovirus</t>
  </si>
  <si>
    <t>Andean potato mottle virus</t>
  </si>
  <si>
    <t>APMoV</t>
  </si>
  <si>
    <t>Huancayo</t>
  </si>
  <si>
    <t>RNA1: MN148891; RNA2: MN148892</t>
  </si>
  <si>
    <t>Arabidopsis latent virus 1</t>
  </si>
  <si>
    <t>ArLV1</t>
  </si>
  <si>
    <t>RNA1: MH899120; RNA2: MH899121</t>
  </si>
  <si>
    <t>pepper mild mosaic virus</t>
  </si>
  <si>
    <t>PepMMV</t>
  </si>
  <si>
    <t>RNA1: MK990555; RNA2: MK990556</t>
  </si>
  <si>
    <t>squash mosaic virus</t>
  </si>
  <si>
    <t>SqMV</t>
  </si>
  <si>
    <t>Y</t>
  </si>
  <si>
    <t>RNA1: AB054688; RNA2: AB054689</t>
  </si>
  <si>
    <t>broad bean true mosaic virus</t>
  </si>
  <si>
    <t>BBTMV</t>
  </si>
  <si>
    <t>EV-11</t>
  </si>
  <si>
    <t>RNA1: GU810903; RNA2: GU810904</t>
  </si>
  <si>
    <t>Glycine mosaic virus</t>
  </si>
  <si>
    <t>GMV</t>
  </si>
  <si>
    <t>Glycine clandestina</t>
  </si>
  <si>
    <t>pea mild mosaic virus</t>
  </si>
  <si>
    <t>PMiMV</t>
  </si>
  <si>
    <t>Phaseolus vulgaris severe mosaic virus</t>
  </si>
  <si>
    <t>PvSMV</t>
  </si>
  <si>
    <t>CG6</t>
  </si>
  <si>
    <t>RNA1: MN837498; RNA2: MN837499</t>
  </si>
  <si>
    <t>pea green mottle virus</t>
  </si>
  <si>
    <t>PGMV</t>
  </si>
  <si>
    <t>turnip ringspot virus</t>
  </si>
  <si>
    <t>TuRSV</t>
  </si>
  <si>
    <t>M12</t>
  </si>
  <si>
    <t>GQ222381; GQ222382</t>
  </si>
  <si>
    <t>radish mosaic virus</t>
  </si>
  <si>
    <t>RaMV</t>
  </si>
  <si>
    <t>RNA1: AB295643; RNA2: AB295644</t>
  </si>
  <si>
    <t>bean rugose mosaic virus</t>
  </si>
  <si>
    <t>Parana</t>
  </si>
  <si>
    <t>RNA1: KP404602; RNA2: KP404603</t>
  </si>
  <si>
    <t>cowpea severe mosaic virus</t>
  </si>
  <si>
    <t>CPSMV</t>
  </si>
  <si>
    <t>Chen</t>
  </si>
  <si>
    <t>bean pod mottle virus</t>
  </si>
  <si>
    <t>KY/G/7</t>
  </si>
  <si>
    <t>RNA1: M62738; RNA2: U70866</t>
  </si>
  <si>
    <t>quail pea mosaic virus</t>
  </si>
  <si>
    <t>QPMV</t>
  </si>
  <si>
    <t>quail pea mosaic</t>
  </si>
  <si>
    <t>red clover mottle virus</t>
  </si>
  <si>
    <t>RCMV</t>
  </si>
  <si>
    <t>Ullucus virus C</t>
  </si>
  <si>
    <t>UVC</t>
  </si>
  <si>
    <t>Junin</t>
  </si>
  <si>
    <t>broad bean stain virus</t>
  </si>
  <si>
    <t>cowpea mosaic virus</t>
  </si>
  <si>
    <t>van Wezenbeek</t>
  </si>
  <si>
    <t>RNA1: X00206; RNA2: X00729</t>
  </si>
  <si>
    <t>Fabavirus</t>
  </si>
  <si>
    <t>broad bean wilt virus 1</t>
  </si>
  <si>
    <t>BBWV1</t>
  </si>
  <si>
    <t>ATCC PV132</t>
  </si>
  <si>
    <t>RNA1: AB084450; RNA2: AB084451</t>
  </si>
  <si>
    <t>broad bean wilt virus 2</t>
  </si>
  <si>
    <t>BBWV2</t>
  </si>
  <si>
    <t>ME</t>
  </si>
  <si>
    <t>RNA1: AF225953; RNA2: AF225954</t>
  </si>
  <si>
    <t>cucurbit mild mosaic virus</t>
  </si>
  <si>
    <t>CuMMV</t>
  </si>
  <si>
    <t>Beijing</t>
  </si>
  <si>
    <t>RNA1: EU881936; RNA2: EU881937</t>
  </si>
  <si>
    <t>gentian mosaic virus</t>
  </si>
  <si>
    <t>GeMV</t>
  </si>
  <si>
    <t>N-1</t>
  </si>
  <si>
    <t>RNA1: AB084452; RNA2: AB084453</t>
  </si>
  <si>
    <t>Lamium mild mosaic virus</t>
  </si>
  <si>
    <t>DSMZ PV-0454</t>
  </si>
  <si>
    <t>RNA1: KC595304; RNA2: KC595305</t>
  </si>
  <si>
    <t>peach leaf pitting-associated virus A</t>
  </si>
  <si>
    <t>PLPaV</t>
  </si>
  <si>
    <t>XJ-6</t>
  </si>
  <si>
    <t>KY867750; KY867751</t>
  </si>
  <si>
    <t>Prunus virus F</t>
  </si>
  <si>
    <t>PrVF</t>
  </si>
  <si>
    <t>SwC-43</t>
  </si>
  <si>
    <t>RNA1: KX269865; RNA2: KX269871</t>
  </si>
  <si>
    <t>grapevine fabavirus</t>
  </si>
  <si>
    <t>GFabV</t>
  </si>
  <si>
    <t>NP</t>
  </si>
  <si>
    <t>RNA1: KX241482; RNA2: KX241485</t>
  </si>
  <si>
    <t>Nepovirus</t>
  </si>
  <si>
    <t>artichoke Aegean ringspot virus</t>
  </si>
  <si>
    <t>AARSV</t>
  </si>
  <si>
    <t>Marathon</t>
  </si>
  <si>
    <t>Aeonium ringspot virus</t>
  </si>
  <si>
    <t>AeRSV</t>
  </si>
  <si>
    <t>Scafati/2011</t>
  </si>
  <si>
    <t>grapevine nepovirus A</t>
  </si>
  <si>
    <t>GNVA</t>
  </si>
  <si>
    <t>RNA1: MT507290; RNA2: MT507291</t>
  </si>
  <si>
    <t>cassava American latent virus</t>
  </si>
  <si>
    <t>CsALV</t>
  </si>
  <si>
    <t>grapevine Anatolian ringspot virus</t>
  </si>
  <si>
    <t>GARSV</t>
  </si>
  <si>
    <t>A34</t>
  </si>
  <si>
    <t>anemone nepovirus A</t>
  </si>
  <si>
    <t>AnNVA</t>
  </si>
  <si>
    <t>Won</t>
  </si>
  <si>
    <t>MH898479; MH898478</t>
  </si>
  <si>
    <t>Arabis mosaic virus</t>
  </si>
  <si>
    <t>ArMV</t>
  </si>
  <si>
    <t>NW</t>
  </si>
  <si>
    <t>apricot latent ringspot virus</t>
  </si>
  <si>
    <t>ALRSV</t>
  </si>
  <si>
    <t>Modesto</t>
  </si>
  <si>
    <t>RNA2: AJ278875</t>
  </si>
  <si>
    <t>Arracacha virus A</t>
  </si>
  <si>
    <t>RNA1: KY569301; RNA2: KY569302</t>
  </si>
  <si>
    <t>lucerne Australian latent virus</t>
  </si>
  <si>
    <t>LALV</t>
  </si>
  <si>
    <t>cherry leaf roll virus</t>
  </si>
  <si>
    <t>E395</t>
  </si>
  <si>
    <t>RNA1: FR851461; RNA2: FR851462</t>
  </si>
  <si>
    <t>beet ringspot virus; tomato black ring virus</t>
  </si>
  <si>
    <t>RNA1: D00322; RNA2: X04062</t>
  </si>
  <si>
    <t>potato virus B</t>
  </si>
  <si>
    <t>PVB</t>
  </si>
  <si>
    <t>Pasco-01</t>
  </si>
  <si>
    <t>RNA1: KX656670; RNA2: KX656671</t>
  </si>
  <si>
    <t>phureja</t>
  </si>
  <si>
    <t>grapevine Bulgarian latent virus</t>
  </si>
  <si>
    <t>Serb1</t>
  </si>
  <si>
    <t>RNA1: FN691934; RNA2: FN691935</t>
  </si>
  <si>
    <t>caraway yellows virus</t>
  </si>
  <si>
    <t>CawYV</t>
  </si>
  <si>
    <t>JKI 27894</t>
  </si>
  <si>
    <t>RNA1: MK492273; RNA2: MK492274</t>
  </si>
  <si>
    <t>myrobalan latent ringspot virus</t>
  </si>
  <si>
    <t>MLRSV</t>
  </si>
  <si>
    <t>Myrobalan</t>
  </si>
  <si>
    <t>grapevine chrome mosaic virus</t>
  </si>
  <si>
    <t>GCMV</t>
  </si>
  <si>
    <t>Brault</t>
  </si>
  <si>
    <t>chicory yellow mottle virus</t>
  </si>
  <si>
    <t>ChYMV</t>
  </si>
  <si>
    <t>RS</t>
  </si>
  <si>
    <t>melon mild mottle virus</t>
  </si>
  <si>
    <t>MMMoV</t>
  </si>
  <si>
    <t>Japan/Tottori</t>
  </si>
  <si>
    <t>RNA1: AB518485; RNA2: AB518486</t>
  </si>
  <si>
    <t>Cycas necrotic stunt virus</t>
  </si>
  <si>
    <t>CNSV</t>
  </si>
  <si>
    <t>Iwanami</t>
  </si>
  <si>
    <t>RNA1: AB073147; RNA2: AB073148</t>
  </si>
  <si>
    <t>artichoke yellow ringspot virus</t>
  </si>
  <si>
    <t>AYRSV</t>
  </si>
  <si>
    <t>Allium cepa</t>
  </si>
  <si>
    <t>RNA1: AM087671</t>
  </si>
  <si>
    <t>grapevine deformation virus</t>
  </si>
  <si>
    <t>GDefV</t>
  </si>
  <si>
    <t>N66</t>
  </si>
  <si>
    <t>grapevine fanleaf virus</t>
  </si>
  <si>
    <t>GFLV</t>
  </si>
  <si>
    <t>RNA1: D00915; RNA2: X16907</t>
  </si>
  <si>
    <t>soybean latent spherical virus</t>
  </si>
  <si>
    <t>SLSV</t>
  </si>
  <si>
    <t>ND1</t>
  </si>
  <si>
    <t>RNA1: KX424571; RNA2: KX424572</t>
  </si>
  <si>
    <t>Hibiscus latent ringspot virus</t>
  </si>
  <si>
    <t>HLRSV</t>
  </si>
  <si>
    <t>Ibadan</t>
  </si>
  <si>
    <t>artichoke Italian latent virus</t>
  </si>
  <si>
    <t>AILV</t>
  </si>
  <si>
    <t>RNA1: LT608395; RNA2: LT608396</t>
  </si>
  <si>
    <t>tomato ringspot virus</t>
  </si>
  <si>
    <t>ToRSV</t>
  </si>
  <si>
    <t>Rasberry</t>
  </si>
  <si>
    <t>mulberry ringspot virus</t>
  </si>
  <si>
    <t>MRSV</t>
  </si>
  <si>
    <t>Mulberry</t>
  </si>
  <si>
    <t>cassava green mottle virus</t>
  </si>
  <si>
    <t>CsGMV</t>
  </si>
  <si>
    <t>Choiseul</t>
  </si>
  <si>
    <t>RNA1: MG581962; RNA2: MG581963</t>
  </si>
  <si>
    <t>mulberry mosaic leaf roll associated virus</t>
  </si>
  <si>
    <t>MMLRaV</t>
  </si>
  <si>
    <t>zj</t>
  </si>
  <si>
    <t>RNA1: KC904083; RNA2: KC904084</t>
  </si>
  <si>
    <t>blueberry leaf mottle virus</t>
  </si>
  <si>
    <t>BLMoV</t>
  </si>
  <si>
    <t>OH19</t>
  </si>
  <si>
    <t>RNA1: MT591564; RNA2: MT591565</t>
  </si>
  <si>
    <t>tobacco ringspot virus</t>
  </si>
  <si>
    <t>TRSV</t>
  </si>
  <si>
    <t>tomato black ring virus</t>
  </si>
  <si>
    <t>TBRV</t>
  </si>
  <si>
    <t>MJ</t>
  </si>
  <si>
    <t>RNA1: AY157993; RNA2: AY157994</t>
  </si>
  <si>
    <t>olive latent ringspot virus</t>
  </si>
  <si>
    <t>OLRSV</t>
  </si>
  <si>
    <t>RNA2: AJ277435</t>
  </si>
  <si>
    <t>peach rosette mosaic virus</t>
  </si>
  <si>
    <t>PRMV</t>
  </si>
  <si>
    <t>petunia chlorotic mottle virus</t>
  </si>
  <si>
    <t>Brats01</t>
  </si>
  <si>
    <t>RNA1: KX812815; RNA2: KX812816</t>
  </si>
  <si>
    <t>poaceae Liege nepovirus A</t>
  </si>
  <si>
    <t>PNVA</t>
  </si>
  <si>
    <t>AntheitPol</t>
  </si>
  <si>
    <t>RNA1: MW289235; RNA2: MW289236</t>
  </si>
  <si>
    <t>red clover nepovirus A</t>
  </si>
  <si>
    <t>RCNA</t>
  </si>
  <si>
    <t>B46</t>
  </si>
  <si>
    <t>RNA1: MG253828; RNA2: MG253829</t>
  </si>
  <si>
    <t>blackcurrant reversion virus</t>
  </si>
  <si>
    <t>Latvala</t>
  </si>
  <si>
    <t>raspberry ringspot virus</t>
  </si>
  <si>
    <t>RpRSV</t>
  </si>
  <si>
    <t>RNA1: AY303787; RNA2: AY303788</t>
  </si>
  <si>
    <t>green Sichuan pepper nepovirus</t>
  </si>
  <si>
    <t>GSPNeV</t>
  </si>
  <si>
    <t>ZPNe1</t>
  </si>
  <si>
    <t>potato black ringspot virus</t>
  </si>
  <si>
    <t>PBRSV</t>
  </si>
  <si>
    <t>TRSV-CA</t>
  </si>
  <si>
    <t>RNA1: MT922050; RNA2: MT922051</t>
  </si>
  <si>
    <t>Stenotaphrum nepovirus</t>
  </si>
  <si>
    <t>SteNV</t>
  </si>
  <si>
    <t>RNA1: MZ325761; RNA2: MZ325762</t>
  </si>
  <si>
    <t>cocoa necrosis virus</t>
  </si>
  <si>
    <t>CoNV</t>
  </si>
  <si>
    <t>ATTC PV-283</t>
  </si>
  <si>
    <t>RNA1: EU741694</t>
  </si>
  <si>
    <t>crimson clover latent virus</t>
  </si>
  <si>
    <t>grapevine Tunisian ringspot virus</t>
  </si>
  <si>
    <t>GTRSV</t>
  </si>
  <si>
    <t>TN14</t>
  </si>
  <si>
    <t>RNA2: MT303062</t>
  </si>
  <si>
    <t>potato virus U</t>
  </si>
  <si>
    <t>PVU</t>
  </si>
  <si>
    <t>UC</t>
  </si>
  <si>
    <t>blueberry latent spherical virus</t>
  </si>
  <si>
    <t>BLSV</t>
  </si>
  <si>
    <t>RNA1: AB649296; RNA2: AB649297</t>
  </si>
  <si>
    <t>Solinviviridae</t>
  </si>
  <si>
    <t>Invictavirus</t>
  </si>
  <si>
    <t>Solenopsis invicta virus 3</t>
  </si>
  <si>
    <t>SINV3</t>
  </si>
  <si>
    <t>DM</t>
  </si>
  <si>
    <t>FJ528584</t>
  </si>
  <si>
    <t>Nyfulvavirus</t>
  </si>
  <si>
    <t>Nylanderia fulva virus 1</t>
  </si>
  <si>
    <t>NfV1</t>
  </si>
  <si>
    <t>Florida initial</t>
  </si>
  <si>
    <t>KX024775</t>
  </si>
  <si>
    <t>Sobelivirales</t>
  </si>
  <si>
    <t>Alvernaviridae</t>
  </si>
  <si>
    <t>Dinornavirus</t>
  </si>
  <si>
    <t>Heterocapsa circularisquama RNA virus 01</t>
  </si>
  <si>
    <t>HcRNAV01</t>
  </si>
  <si>
    <t>AB218608</t>
  </si>
  <si>
    <t>Barnaviridae</t>
  </si>
  <si>
    <t>Barnavirus</t>
  </si>
  <si>
    <t>Mushroom bacilliform virus</t>
  </si>
  <si>
    <t>AUS LF-1</t>
  </si>
  <si>
    <t>U07551</t>
  </si>
  <si>
    <t>Solemoviridae</t>
  </si>
  <si>
    <t>barley yellow dwarf virus-GPV</t>
  </si>
  <si>
    <t>BYDV-GPV</t>
  </si>
  <si>
    <t>FM865413</t>
  </si>
  <si>
    <t>barley yellow dwarf virus-SGV</t>
  </si>
  <si>
    <t>BYDV-SGV</t>
  </si>
  <si>
    <t>AY541039</t>
  </si>
  <si>
    <t>chickpea stunt disease associated virus</t>
  </si>
  <si>
    <t>CpSDaV</t>
  </si>
  <si>
    <t>India:Hyderabad IC</t>
  </si>
  <si>
    <t>groundnut rosette assistor virus</t>
  </si>
  <si>
    <t>GRAV</t>
  </si>
  <si>
    <t>Kenya: Siaya SC7.1</t>
  </si>
  <si>
    <t>MN600000</t>
  </si>
  <si>
    <t>sweet potato leaf speckling virus</t>
  </si>
  <si>
    <t>SPLSV</t>
  </si>
  <si>
    <t>DQ655700</t>
  </si>
  <si>
    <t>tobacco necrotic dwarf virus</t>
  </si>
  <si>
    <t>TNDV</t>
  </si>
  <si>
    <t>Enamovirus</t>
  </si>
  <si>
    <t>alfalfa enamovirus 1</t>
  </si>
  <si>
    <t>AEV1</t>
  </si>
  <si>
    <t>Argentina:Manfredi</t>
  </si>
  <si>
    <t>KU297983</t>
  </si>
  <si>
    <t>bird's-foot trefoil enamovirus 1</t>
  </si>
  <si>
    <t>BFTEV1</t>
  </si>
  <si>
    <t>China:Shaanxi Qinling Mountains</t>
  </si>
  <si>
    <t>citrus vein enation virus</t>
  </si>
  <si>
    <t>CVEV</t>
  </si>
  <si>
    <t>Spain:VE-1</t>
  </si>
  <si>
    <t>HF679486</t>
  </si>
  <si>
    <t>grapevine enamovirus 1</t>
  </si>
  <si>
    <t>GEV1</t>
  </si>
  <si>
    <t>Brazil:CS-BR</t>
  </si>
  <si>
    <t>KX645875</t>
  </si>
  <si>
    <t>China: SD-CG</t>
  </si>
  <si>
    <t>Brazil:SE-BR</t>
  </si>
  <si>
    <t>pea enation mosaic virus 1</t>
  </si>
  <si>
    <t>PEMV1</t>
  </si>
  <si>
    <t>USA:Idaho</t>
  </si>
  <si>
    <t>HM439775</t>
  </si>
  <si>
    <t>USA:Wisconsin WSG</t>
  </si>
  <si>
    <t>Polemovirus</t>
  </si>
  <si>
    <t>poinsettia latent virus</t>
  </si>
  <si>
    <t>PnLV</t>
  </si>
  <si>
    <t>Germany:cv Angelika</t>
  </si>
  <si>
    <t>AJ867490</t>
  </si>
  <si>
    <t>Polerovirus</t>
  </si>
  <si>
    <t>beet chlorosis virus</t>
  </si>
  <si>
    <t>England:2a</t>
  </si>
  <si>
    <t>AF352024</t>
  </si>
  <si>
    <t>beet mild yellowing virus</t>
  </si>
  <si>
    <t>BMYV</t>
  </si>
  <si>
    <t>France:2ITB</t>
  </si>
  <si>
    <t>X83110</t>
  </si>
  <si>
    <t>beet western yellows virus</t>
  </si>
  <si>
    <t>BWYV</t>
  </si>
  <si>
    <t>AF473561</t>
  </si>
  <si>
    <t>carrot red leaf virus</t>
  </si>
  <si>
    <t>CtRLV</t>
  </si>
  <si>
    <t>England:Berkshire UK1</t>
  </si>
  <si>
    <t>AY695933</t>
  </si>
  <si>
    <t>cereal yellow dwarf virus-RPS</t>
  </si>
  <si>
    <t>CYDV-RPS</t>
  </si>
  <si>
    <t>Mexico:Toluca Mex-1</t>
  </si>
  <si>
    <t>AF235168</t>
  </si>
  <si>
    <t>cereal yellow dwarf virus-RPV</t>
  </si>
  <si>
    <t>CYDV-RPV</t>
  </si>
  <si>
    <t>USA:New York NY</t>
  </si>
  <si>
    <t>L25299</t>
  </si>
  <si>
    <t>chickpea chlorotic stunt virus</t>
  </si>
  <si>
    <t>CpCSV</t>
  </si>
  <si>
    <t>Ethiopia:Ambo Et-fb-am1</t>
  </si>
  <si>
    <t>AY956384</t>
  </si>
  <si>
    <t>cotton leafroll dwarf virus</t>
  </si>
  <si>
    <t>CLDV</t>
  </si>
  <si>
    <t>Argentina:Chaco</t>
  </si>
  <si>
    <t>GU167940</t>
  </si>
  <si>
    <t>cucurbit aphid-borne yellows virus</t>
  </si>
  <si>
    <t>CAbYV</t>
  </si>
  <si>
    <t>France:N</t>
  </si>
  <si>
    <t>X76931</t>
  </si>
  <si>
    <t>faba bean polerovirus 1</t>
  </si>
  <si>
    <t>FBPV1</t>
  </si>
  <si>
    <t>Australia:5253</t>
  </si>
  <si>
    <t>MH464873</t>
  </si>
  <si>
    <t>maize yellow dwarf virus-RMV</t>
  </si>
  <si>
    <t>MYDV-RMV</t>
  </si>
  <si>
    <t>USA:Montana MTFE87</t>
  </si>
  <si>
    <t>KC921392</t>
  </si>
  <si>
    <t>maize yellow mosaic virus</t>
  </si>
  <si>
    <t>China:Yunnan11</t>
  </si>
  <si>
    <t>KU248489</t>
  </si>
  <si>
    <t>China:Anhui RMV-2</t>
  </si>
  <si>
    <t>melon aphid-borne yellows virus</t>
  </si>
  <si>
    <t>MABYV</t>
  </si>
  <si>
    <t>China:Beijing</t>
  </si>
  <si>
    <t>EU000534</t>
  </si>
  <si>
    <t>pepo aphid-borne yellows virus</t>
  </si>
  <si>
    <t>PABYV</t>
  </si>
  <si>
    <t>South Africa:RSA-BB-Marrow</t>
  </si>
  <si>
    <t>KU315178</t>
  </si>
  <si>
    <t>pepper vein yellows virus 1</t>
  </si>
  <si>
    <t>PeVYV-1</t>
  </si>
  <si>
    <t>Japan:Okinawa</t>
  </si>
  <si>
    <t>AB594828</t>
  </si>
  <si>
    <t>pepper vein yellows virus 2</t>
  </si>
  <si>
    <t>PeVYV-2</t>
  </si>
  <si>
    <t>Israel:IS</t>
  </si>
  <si>
    <t>HM439608</t>
  </si>
  <si>
    <t>pepper vein yellows virus 3</t>
  </si>
  <si>
    <t>PeVYV-3</t>
  </si>
  <si>
    <t>China:Hunan Chansha HN</t>
  </si>
  <si>
    <t>KP326573</t>
  </si>
  <si>
    <t>pepper vein yellows virus 4</t>
  </si>
  <si>
    <t>PeVYV-4</t>
  </si>
  <si>
    <t>Australia:Kimberley 12KNX1</t>
  </si>
  <si>
    <t>KU999109</t>
  </si>
  <si>
    <t>pepper vein yellows virus 5</t>
  </si>
  <si>
    <t>PeVYV-5</t>
  </si>
  <si>
    <t>Spain: Almeira 2-2013</t>
  </si>
  <si>
    <t>KY523072</t>
  </si>
  <si>
    <t>pepper vein yellows virus 6</t>
  </si>
  <si>
    <t>PeVYV-6</t>
  </si>
  <si>
    <t>Greece:PX3</t>
  </si>
  <si>
    <t>LT559483</t>
  </si>
  <si>
    <t>potato leafroll virus</t>
  </si>
  <si>
    <t>PLRV</t>
  </si>
  <si>
    <t>D13954</t>
  </si>
  <si>
    <t>pumpkin polerovirus</t>
  </si>
  <si>
    <t>PuPV</t>
  </si>
  <si>
    <t>Kenya:Nyeri PuPV</t>
  </si>
  <si>
    <t>MG800833</t>
  </si>
  <si>
    <t>suakwa aphid-borne yellows virus</t>
  </si>
  <si>
    <t>SAbYV</t>
  </si>
  <si>
    <t>Taiwan:Kaohsiung TW19</t>
  </si>
  <si>
    <t>JQ700308</t>
  </si>
  <si>
    <t>sugarcane yellow leaf virus</t>
  </si>
  <si>
    <t>ScYLV</t>
  </si>
  <si>
    <t>USA:Florida strainA</t>
  </si>
  <si>
    <t>AF157029</t>
  </si>
  <si>
    <t>tobacco vein distorting virus</t>
  </si>
  <si>
    <t>TVDV</t>
  </si>
  <si>
    <t>China:Yunnan Longlin</t>
  </si>
  <si>
    <t>EF529624</t>
  </si>
  <si>
    <t>turnip yellows virus</t>
  </si>
  <si>
    <t>TuYV</t>
  </si>
  <si>
    <t>France:FL1</t>
  </si>
  <si>
    <t>X13063</t>
  </si>
  <si>
    <t>brassica yellows virus</t>
  </si>
  <si>
    <t>BrYV</t>
  </si>
  <si>
    <t>China:Bejing ABJ</t>
  </si>
  <si>
    <t>Sobemovirus</t>
  </si>
  <si>
    <t>Artemisia virus A</t>
  </si>
  <si>
    <t>ArtVA</t>
  </si>
  <si>
    <t>Switzerland:Valais Conthey</t>
  </si>
  <si>
    <t>JN620802</t>
  </si>
  <si>
    <t>blueberry shoestring virus</t>
  </si>
  <si>
    <t>BSSV</t>
  </si>
  <si>
    <t>USA:Michigan</t>
  </si>
  <si>
    <t>LC081344</t>
  </si>
  <si>
    <t>cocksfoot mottle virus</t>
  </si>
  <si>
    <t>CfMV</t>
  </si>
  <si>
    <t>Norway:clone9-2</t>
  </si>
  <si>
    <t>Z48630</t>
  </si>
  <si>
    <t>Norway:clone9-2-2</t>
  </si>
  <si>
    <t>Cymbidium chlorotic mosaic virus</t>
  </si>
  <si>
    <t>CyCMV</t>
  </si>
  <si>
    <t>Japan:Cym92-20</t>
  </si>
  <si>
    <t>LC019764</t>
  </si>
  <si>
    <t>Imperata yellow mottle virus</t>
  </si>
  <si>
    <t>IYMV</t>
  </si>
  <si>
    <t>Burkina Faso</t>
  </si>
  <si>
    <t>AM990928</t>
  </si>
  <si>
    <t>lucerne transient streak virus</t>
  </si>
  <si>
    <t>LTSV</t>
  </si>
  <si>
    <t>Canada:Ontario ATCC PV-454</t>
  </si>
  <si>
    <t>JQ782213</t>
  </si>
  <si>
    <t>papaya lethal yellowing virus</t>
  </si>
  <si>
    <t>PLYV</t>
  </si>
  <si>
    <t>Brazil: 26</t>
  </si>
  <si>
    <t>JX123318</t>
  </si>
  <si>
    <t>Physalis rugose mosaic virus</t>
  </si>
  <si>
    <t>PhyRMV</t>
  </si>
  <si>
    <t>Brazil:Piracicaba</t>
  </si>
  <si>
    <t>MK681145</t>
  </si>
  <si>
    <t>rice yellow mottle virus</t>
  </si>
  <si>
    <t>RYMV</t>
  </si>
  <si>
    <t>Ivory Coast:CI4</t>
  </si>
  <si>
    <t>AJ608206</t>
  </si>
  <si>
    <t>Rottboellia yellow mottle virus</t>
  </si>
  <si>
    <t>RoMoV</t>
  </si>
  <si>
    <t>Nigeria: DMSZ PV-0496</t>
  </si>
  <si>
    <t>KC577469</t>
  </si>
  <si>
    <t>ryegrass mottle virus</t>
  </si>
  <si>
    <t>RGMoV</t>
  </si>
  <si>
    <t>Japan: MAFF 307043</t>
  </si>
  <si>
    <t>EF091714</t>
  </si>
  <si>
    <t>Sesbania mosaic virus</t>
  </si>
  <si>
    <t>SeMV</t>
  </si>
  <si>
    <t>India:Tirupati</t>
  </si>
  <si>
    <t>AY004291</t>
  </si>
  <si>
    <t>snake melon asteroid mosaic virus</t>
  </si>
  <si>
    <t>SMAMV</t>
  </si>
  <si>
    <t>Sudan:Su95-67</t>
  </si>
  <si>
    <t>MT989351</t>
  </si>
  <si>
    <t>Solanum nodiflorum mottle virus</t>
  </si>
  <si>
    <t>SNMoV</t>
  </si>
  <si>
    <t>Australia: ATCC PV-491</t>
  </si>
  <si>
    <t>KC577470</t>
  </si>
  <si>
    <t>southern bean mosaic virus</t>
  </si>
  <si>
    <t>SBMV</t>
  </si>
  <si>
    <t>Brazil:Sao Paolo</t>
  </si>
  <si>
    <t>DQ875594</t>
  </si>
  <si>
    <t>southern cowpea mosaic virus</t>
  </si>
  <si>
    <t>SCPMV</t>
  </si>
  <si>
    <t>USA:Wisconsin</t>
  </si>
  <si>
    <t>M23021</t>
  </si>
  <si>
    <t>sowbane mosaic virus</t>
  </si>
  <si>
    <t>SoMV</t>
  </si>
  <si>
    <t>Scotland: SRI collection Rubus</t>
  </si>
  <si>
    <t>AM940437</t>
  </si>
  <si>
    <t>soybean yellow common mosaic virus</t>
  </si>
  <si>
    <t>SYCMV</t>
  </si>
  <si>
    <t>South Korea:Eumseong</t>
  </si>
  <si>
    <t>JF495127</t>
  </si>
  <si>
    <t>subterranean clover mottle virus</t>
  </si>
  <si>
    <t>SCMoV</t>
  </si>
  <si>
    <t>Australia: p23</t>
  </si>
  <si>
    <t>AF208001</t>
  </si>
  <si>
    <t>turnip rosette virus</t>
  </si>
  <si>
    <t>TRoV</t>
  </si>
  <si>
    <t>UK:TRoV-1</t>
  </si>
  <si>
    <t>KC778720</t>
  </si>
  <si>
    <t>velvet tobacco mottle virus</t>
  </si>
  <si>
    <t>VTMoV</t>
  </si>
  <si>
    <t>Australia:K1</t>
  </si>
  <si>
    <t>HM754263</t>
  </si>
  <si>
    <t>Stelpaviricetes</t>
  </si>
  <si>
    <t>Patatavirales</t>
  </si>
  <si>
    <t>Potyviridae</t>
  </si>
  <si>
    <t>Arepavirus</t>
  </si>
  <si>
    <t>areca palm necrotic ringspot virus</t>
  </si>
  <si>
    <t>ANRSV</t>
  </si>
  <si>
    <t>XC1</t>
  </si>
  <si>
    <t>MH395371</t>
  </si>
  <si>
    <t>areca palm necrotic spindle‑spot virus</t>
  </si>
  <si>
    <t>ANSSV</t>
  </si>
  <si>
    <t>HNBT</t>
  </si>
  <si>
    <t>MH330686</t>
  </si>
  <si>
    <t>Bevemovirus</t>
  </si>
  <si>
    <t>bellflower veinal mottle virus</t>
  </si>
  <si>
    <t>BVMoV</t>
  </si>
  <si>
    <t>SW</t>
  </si>
  <si>
    <t>KY491536</t>
  </si>
  <si>
    <t>Brambyvirus</t>
  </si>
  <si>
    <t>blackberry virus Y</t>
  </si>
  <si>
    <t>BlVY</t>
  </si>
  <si>
    <t>Ark3</t>
  </si>
  <si>
    <t>AY994084</t>
  </si>
  <si>
    <t>Bymovirus</t>
  </si>
  <si>
    <t>barley mild mosaic virus</t>
  </si>
  <si>
    <t>BaMMV</t>
  </si>
  <si>
    <t>UK-F</t>
  </si>
  <si>
    <t>barley yellow mosaic virus</t>
  </si>
  <si>
    <t>BaYMV</t>
  </si>
  <si>
    <t>Yancheng</t>
  </si>
  <si>
    <t>RNA1: AJ132268; RNA2: AJ132269</t>
  </si>
  <si>
    <t>oat mosaic virus</t>
  </si>
  <si>
    <t>OMV</t>
  </si>
  <si>
    <t>Cranbrook</t>
  </si>
  <si>
    <t>RNA1: AJ306718; RNA2: AJ306719</t>
  </si>
  <si>
    <t>rice necrosis mosaic virus</t>
  </si>
  <si>
    <t>RNMV</t>
  </si>
  <si>
    <t>Ka-1</t>
  </si>
  <si>
    <t>RNA1: LC055681; RNA2: LC060925</t>
  </si>
  <si>
    <t>wheat spindle streak mosaic virus</t>
  </si>
  <si>
    <t>WSSMV</t>
  </si>
  <si>
    <t>South</t>
  </si>
  <si>
    <t>RNA1: MH645040; RNA2: MH645042</t>
  </si>
  <si>
    <t>OH-1</t>
  </si>
  <si>
    <t>wheat yellow mosaic virus</t>
  </si>
  <si>
    <t>JA</t>
  </si>
  <si>
    <t>RNA1: D86634; RNA2: D86635</t>
  </si>
  <si>
    <t>Celavirus</t>
  </si>
  <si>
    <t>celery latent virus</t>
  </si>
  <si>
    <t>CeLV</t>
  </si>
  <si>
    <t>Ag097</t>
  </si>
  <si>
    <t>MH932227</t>
  </si>
  <si>
    <t>Ipomovirus</t>
  </si>
  <si>
    <t>cassava brown streak virus</t>
  </si>
  <si>
    <t>CBSV</t>
  </si>
  <si>
    <t>KOR6</t>
  </si>
  <si>
    <t>GU563327</t>
  </si>
  <si>
    <t>Coccinia mottle virus</t>
  </si>
  <si>
    <t>CocMoV</t>
  </si>
  <si>
    <t>Su12-25</t>
  </si>
  <si>
    <t>KU935732</t>
  </si>
  <si>
    <t>cucumber vein yellowing virus</t>
  </si>
  <si>
    <t>CVYV</t>
  </si>
  <si>
    <t>ALM32</t>
  </si>
  <si>
    <t>AY578085</t>
  </si>
  <si>
    <t>squash vein yellowing virus</t>
  </si>
  <si>
    <t>SqVYV</t>
  </si>
  <si>
    <t>EU259611</t>
  </si>
  <si>
    <t>sweet potato mild mottle virus</t>
  </si>
  <si>
    <t>SPMMV</t>
  </si>
  <si>
    <t>Z73124</t>
  </si>
  <si>
    <t>tomato mild mottle virus</t>
  </si>
  <si>
    <t>TMMoV</t>
  </si>
  <si>
    <t>Ethiopia</t>
  </si>
  <si>
    <t>HE600072</t>
  </si>
  <si>
    <t>eggplant mild leaf mottle virus</t>
  </si>
  <si>
    <t>EMLMV</t>
  </si>
  <si>
    <t>Ugandan cassava brown streak virus</t>
  </si>
  <si>
    <t>UCBSV</t>
  </si>
  <si>
    <t>UG</t>
  </si>
  <si>
    <t>HM181930</t>
  </si>
  <si>
    <t>Macluravirus</t>
  </si>
  <si>
    <t>Alpinia mosaic virus</t>
  </si>
  <si>
    <t>AlpMV</t>
  </si>
  <si>
    <t>AF499025</t>
  </si>
  <si>
    <t>Alpinia oxyphylla mosaic virus</t>
  </si>
  <si>
    <t>AloMV</t>
  </si>
  <si>
    <t>Alpo</t>
  </si>
  <si>
    <t>MG978107</t>
  </si>
  <si>
    <t>artichoke latent virus</t>
  </si>
  <si>
    <t>ArLV</t>
  </si>
  <si>
    <t>FR37</t>
  </si>
  <si>
    <t>KP405232</t>
  </si>
  <si>
    <t>Ranunculus latent virus</t>
  </si>
  <si>
    <t>RanLV</t>
  </si>
  <si>
    <t>RN128</t>
  </si>
  <si>
    <t>broad-leafed dock virus A</t>
  </si>
  <si>
    <t>BDVA</t>
  </si>
  <si>
    <t>ab032 Auckland</t>
  </si>
  <si>
    <t>KU053507</t>
  </si>
  <si>
    <t>cardamom mosaic virus</t>
  </si>
  <si>
    <t>CdMV</t>
  </si>
  <si>
    <t>MF622947</t>
  </si>
  <si>
    <t>Chinese yam necrotic mosaic virus</t>
  </si>
  <si>
    <t>CYNMV</t>
  </si>
  <si>
    <t>PES3</t>
  </si>
  <si>
    <t>AB710145</t>
  </si>
  <si>
    <t>Maclura mosaic virus</t>
  </si>
  <si>
    <t>MacMV</t>
  </si>
  <si>
    <t>U58771</t>
  </si>
  <si>
    <t>large cardamon chirke virus</t>
  </si>
  <si>
    <t>LCCV</t>
  </si>
  <si>
    <t>Won_8200</t>
  </si>
  <si>
    <t>MT110148</t>
  </si>
  <si>
    <t>Narcissus latent virus</t>
  </si>
  <si>
    <t>NLV</t>
  </si>
  <si>
    <t>DQ450199</t>
  </si>
  <si>
    <t>yam chlorotic mosaic virus</t>
  </si>
  <si>
    <t>YCMV</t>
  </si>
  <si>
    <t>KT724961</t>
  </si>
  <si>
    <t>yam chlorotic necrosis virus</t>
  </si>
  <si>
    <t>YCNV</t>
  </si>
  <si>
    <t>Y-Jish</t>
  </si>
  <si>
    <t>MG755240</t>
  </si>
  <si>
    <t>Poacevirus</t>
  </si>
  <si>
    <t>Caladenia virus A</t>
  </si>
  <si>
    <t>CalVA</t>
  </si>
  <si>
    <t>KP1</t>
  </si>
  <si>
    <t>JX156425</t>
  </si>
  <si>
    <t>sugarcane streak mosaic virus</t>
  </si>
  <si>
    <t>SCSMV</t>
  </si>
  <si>
    <t>PAK</t>
  </si>
  <si>
    <t>GQ388116</t>
  </si>
  <si>
    <t>Triticum mosaic virus</t>
  </si>
  <si>
    <t>TriMV</t>
  </si>
  <si>
    <t>U06-123</t>
  </si>
  <si>
    <t>FJ263671</t>
  </si>
  <si>
    <t>Potyvirus</t>
  </si>
  <si>
    <t>African eggplant mosaic virus</t>
  </si>
  <si>
    <t>AEMV</t>
  </si>
  <si>
    <t>2013-281</t>
  </si>
  <si>
    <t>MF997470</t>
  </si>
  <si>
    <t>Algerian watermelon mosaic virus</t>
  </si>
  <si>
    <t>AWMV</t>
  </si>
  <si>
    <t>H4</t>
  </si>
  <si>
    <t>EU410442</t>
  </si>
  <si>
    <t>Alstroemeria mosaic virus</t>
  </si>
  <si>
    <t>AlMV</t>
  </si>
  <si>
    <t>O1</t>
  </si>
  <si>
    <t>AB158522</t>
  </si>
  <si>
    <t>Alternanthera mild mosaic virus</t>
  </si>
  <si>
    <t>AltMMV</t>
  </si>
  <si>
    <t>EF442668</t>
  </si>
  <si>
    <t>Amaranthus leaf mottle virus</t>
  </si>
  <si>
    <t>AmLMV</t>
  </si>
  <si>
    <t>I</t>
  </si>
  <si>
    <t>AJ580095</t>
  </si>
  <si>
    <t>Amazon lily mosaic virus</t>
  </si>
  <si>
    <t>ALiMV</t>
  </si>
  <si>
    <t>JP</t>
  </si>
  <si>
    <t>AB158523</t>
  </si>
  <si>
    <t>Angelica virus Y</t>
  </si>
  <si>
    <t>AVY</t>
  </si>
  <si>
    <t>g</t>
  </si>
  <si>
    <t>EF488741</t>
  </si>
  <si>
    <t>Apium virus Y</t>
  </si>
  <si>
    <t>ApVY</t>
  </si>
  <si>
    <t>Ce</t>
  </si>
  <si>
    <t>HM363516</t>
  </si>
  <si>
    <t>Araujia mosaic virus</t>
  </si>
  <si>
    <t>ArjMV</t>
  </si>
  <si>
    <t>ARG1973</t>
  </si>
  <si>
    <t>EF710625</t>
  </si>
  <si>
    <t>Arracacha mottle virus</t>
  </si>
  <si>
    <t>AMoV</t>
  </si>
  <si>
    <t>C-17</t>
  </si>
  <si>
    <t>DQ925486</t>
  </si>
  <si>
    <t>asparagus virus 1</t>
  </si>
  <si>
    <t>AV1</t>
  </si>
  <si>
    <t>DSMZ PV-0954</t>
  </si>
  <si>
    <t>KJ830760</t>
  </si>
  <si>
    <t>banana bract mosaic virus</t>
  </si>
  <si>
    <t>BBrMV</t>
  </si>
  <si>
    <t>PH</t>
  </si>
  <si>
    <t>DQ851496</t>
  </si>
  <si>
    <t>Barbacena virus Y</t>
  </si>
  <si>
    <t>BarVY</t>
  </si>
  <si>
    <t>KLL097</t>
  </si>
  <si>
    <t>KU685505</t>
  </si>
  <si>
    <t>Basella rugose mosaic virus</t>
  </si>
  <si>
    <t>BaRMV</t>
  </si>
  <si>
    <t>AC</t>
  </si>
  <si>
    <t>DQ821938</t>
  </si>
  <si>
    <t>peace lily mosaic virus</t>
  </si>
  <si>
    <t>PcLMV</t>
  </si>
  <si>
    <t>Haiphong</t>
  </si>
  <si>
    <t>bean common mosaic necrosis virus</t>
  </si>
  <si>
    <t>BCMNV</t>
  </si>
  <si>
    <t>NL-3</t>
  </si>
  <si>
    <t>U19287</t>
  </si>
  <si>
    <t>bean common mosaic virus</t>
  </si>
  <si>
    <t>BCMV</t>
  </si>
  <si>
    <t>R</t>
  </si>
  <si>
    <t>AJ312437</t>
  </si>
  <si>
    <t>peanut stripe virus</t>
  </si>
  <si>
    <t>PStV</t>
  </si>
  <si>
    <t>blotch</t>
  </si>
  <si>
    <t>NL1</t>
  </si>
  <si>
    <t>bean yellow mosaic virus</t>
  </si>
  <si>
    <t>BYMV</t>
  </si>
  <si>
    <t>MB4</t>
  </si>
  <si>
    <t>D83749</t>
  </si>
  <si>
    <t>white lupin mosaic virus</t>
  </si>
  <si>
    <t>WhLMV</t>
  </si>
  <si>
    <t>beet mosaic virus</t>
  </si>
  <si>
    <t>BtMV</t>
  </si>
  <si>
    <t>Wa</t>
  </si>
  <si>
    <t>AY206394</t>
  </si>
  <si>
    <t>Begonia flower breaking virus</t>
  </si>
  <si>
    <t>BFBV</t>
  </si>
  <si>
    <t>YN-Tiger</t>
  </si>
  <si>
    <t>MN592680</t>
  </si>
  <si>
    <t>Bidens mosaic virus</t>
  </si>
  <si>
    <t>BiMV</t>
  </si>
  <si>
    <t>SP01</t>
  </si>
  <si>
    <t>KF649336</t>
  </si>
  <si>
    <t>Bidens mottle virus</t>
  </si>
  <si>
    <t>BiMoV</t>
  </si>
  <si>
    <t>AF538686</t>
  </si>
  <si>
    <t>blue squill virus A</t>
  </si>
  <si>
    <t>BSVA</t>
  </si>
  <si>
    <t>SW3</t>
  </si>
  <si>
    <t>JQ807999</t>
  </si>
  <si>
    <t>Brugmansia mosaic virus</t>
  </si>
  <si>
    <t>BruMV</t>
  </si>
  <si>
    <t>JX867236</t>
  </si>
  <si>
    <t>Brugmansia suaveolens mottle virus</t>
  </si>
  <si>
    <t>BsMoV</t>
  </si>
  <si>
    <t>Bs-Campinas</t>
  </si>
  <si>
    <t>AB551370</t>
  </si>
  <si>
    <t>butterfly flower mosaic virus</t>
  </si>
  <si>
    <t>BFMV</t>
  </si>
  <si>
    <t>Hangzhou</t>
  </si>
  <si>
    <t>AM774001</t>
  </si>
  <si>
    <t>Calanthe mild mosaic virus</t>
  </si>
  <si>
    <t>CalMMV</t>
  </si>
  <si>
    <t>AB011404</t>
  </si>
  <si>
    <t>calla lily latent virus</t>
  </si>
  <si>
    <t>CLLV</t>
  </si>
  <si>
    <t>m19</t>
  </si>
  <si>
    <t>Callistephus mottle virus</t>
  </si>
  <si>
    <t>CalMoV</t>
  </si>
  <si>
    <t>DJ</t>
  </si>
  <si>
    <t>KX013584</t>
  </si>
  <si>
    <t>Canna yellow streak virus</t>
  </si>
  <si>
    <t>CaYSV</t>
  </si>
  <si>
    <t>GQ421689</t>
  </si>
  <si>
    <t>carnation vein mottle virus</t>
  </si>
  <si>
    <t>CVMoV</t>
  </si>
  <si>
    <t>AB017630</t>
  </si>
  <si>
    <t>carrot thin leaf virus</t>
  </si>
  <si>
    <t>CTLV</t>
  </si>
  <si>
    <t>Cs</t>
  </si>
  <si>
    <t>JX156434</t>
  </si>
  <si>
    <t>carrot virus Y</t>
  </si>
  <si>
    <t>CarVY</t>
  </si>
  <si>
    <t>Vic</t>
  </si>
  <si>
    <t>AF203537</t>
  </si>
  <si>
    <t>Catharanthus mosaic virus</t>
  </si>
  <si>
    <t>CatMV</t>
  </si>
  <si>
    <t>Mandevilla-US</t>
  </si>
  <si>
    <t>KP343681</t>
  </si>
  <si>
    <t>celery mosaic virus</t>
  </si>
  <si>
    <t>HQ676607</t>
  </si>
  <si>
    <t>Ceratobium mosaic virus</t>
  </si>
  <si>
    <t>CerMV</t>
  </si>
  <si>
    <t>AF022442</t>
  </si>
  <si>
    <t>chilli ringspot virus</t>
  </si>
  <si>
    <t>HN/14</t>
  </si>
  <si>
    <t>JN008909</t>
  </si>
  <si>
    <t>chilli veinal mottle virus</t>
  </si>
  <si>
    <t>ChiVMV</t>
  </si>
  <si>
    <t>AJ237843</t>
  </si>
  <si>
    <t>Chinese artichoke mosaic virus</t>
  </si>
  <si>
    <t>ChAMV</t>
  </si>
  <si>
    <t>AB099711</t>
  </si>
  <si>
    <t>Clitoria virus Y</t>
  </si>
  <si>
    <t>ClVY</t>
  </si>
  <si>
    <t>QD</t>
  </si>
  <si>
    <t>AF228515</t>
  </si>
  <si>
    <t>clover yellow vein virus</t>
  </si>
  <si>
    <t>ClYVV</t>
  </si>
  <si>
    <t>No.30</t>
  </si>
  <si>
    <t>AB011819</t>
  </si>
  <si>
    <t>cocksfoot streak virus</t>
  </si>
  <si>
    <t>DE</t>
  </si>
  <si>
    <t>AF499738</t>
  </si>
  <si>
    <t>Colombian datura virus</t>
  </si>
  <si>
    <t>JQ801448</t>
  </si>
  <si>
    <t>Commelina mosaic virus</t>
  </si>
  <si>
    <t>ComMV</t>
  </si>
  <si>
    <t>Costus stripe mosaic virus</t>
  </si>
  <si>
    <t>CoSMV</t>
  </si>
  <si>
    <t>BR1</t>
  </si>
  <si>
    <t>MK286375</t>
  </si>
  <si>
    <t>cowpea aphid-borne mosaic virus</t>
  </si>
  <si>
    <t>CABMV</t>
  </si>
  <si>
    <t>ZM</t>
  </si>
  <si>
    <t>AF348210</t>
  </si>
  <si>
    <t>cucurbit vein banding virus</t>
  </si>
  <si>
    <t>CVBV</t>
  </si>
  <si>
    <t>KY657266</t>
  </si>
  <si>
    <t>Cypripedium virus Y</t>
  </si>
  <si>
    <t>CypVY</t>
  </si>
  <si>
    <t>CP</t>
  </si>
  <si>
    <t>AF185954</t>
  </si>
  <si>
    <t>Cyrtanthus elatus virus A</t>
  </si>
  <si>
    <t>CEVA</t>
  </si>
  <si>
    <t>Marijiniup 7</t>
  </si>
  <si>
    <t>JQ723475</t>
  </si>
  <si>
    <t>Daphne mosaic virus</t>
  </si>
  <si>
    <t>DapMV</t>
  </si>
  <si>
    <t>CZ</t>
  </si>
  <si>
    <t>DQ299908</t>
  </si>
  <si>
    <t>Daphne virus Y</t>
  </si>
  <si>
    <t>DVY</t>
  </si>
  <si>
    <t>KU556609</t>
  </si>
  <si>
    <t>dasheen mosaic virus</t>
  </si>
  <si>
    <t>DsMV</t>
  </si>
  <si>
    <t>AJ298033</t>
  </si>
  <si>
    <t>vanilla mosaic virus</t>
  </si>
  <si>
    <t>VanMV</t>
  </si>
  <si>
    <t>CI</t>
  </si>
  <si>
    <t>Datura shoestring virus</t>
  </si>
  <si>
    <t>DSSV</t>
  </si>
  <si>
    <t>IN</t>
  </si>
  <si>
    <t>Dendrobium chlorotic mosaic virus</t>
  </si>
  <si>
    <t>DeCMV</t>
  </si>
  <si>
    <t>98-De-31</t>
  </si>
  <si>
    <t>MK241979</t>
  </si>
  <si>
    <t>Dioscorea mosaic virus</t>
  </si>
  <si>
    <t>MH206616</t>
  </si>
  <si>
    <t>Diuris virus Y</t>
  </si>
  <si>
    <t>DiVY</t>
  </si>
  <si>
    <t>AU</t>
  </si>
  <si>
    <t>AF203527</t>
  </si>
  <si>
    <t>donkey orchid virus A</t>
  </si>
  <si>
    <t>DOVA</t>
  </si>
  <si>
    <t>SW3.1</t>
  </si>
  <si>
    <t>JX156422</t>
  </si>
  <si>
    <t>East Asian Passiflora distortion virus</t>
  </si>
  <si>
    <t>EAPDV</t>
  </si>
  <si>
    <t>AK</t>
  </si>
  <si>
    <t>LC379162</t>
  </si>
  <si>
    <t>East Asian Passiflora virus</t>
  </si>
  <si>
    <t>EAPV</t>
  </si>
  <si>
    <t>AO</t>
  </si>
  <si>
    <t>AB246773</t>
  </si>
  <si>
    <t>endive necrotic mosaic virus</t>
  </si>
  <si>
    <t>ENMV</t>
  </si>
  <si>
    <t>FR</t>
  </si>
  <si>
    <t>KU941946</t>
  </si>
  <si>
    <t>Euphorbia ringspot virus</t>
  </si>
  <si>
    <t>EuRSV</t>
  </si>
  <si>
    <t>PV-0902</t>
  </si>
  <si>
    <t>KX355613</t>
  </si>
  <si>
    <t>US</t>
  </si>
  <si>
    <t>Freesia mosaic virus</t>
  </si>
  <si>
    <t>FreMV</t>
  </si>
  <si>
    <t>KO</t>
  </si>
  <si>
    <t>FM206346</t>
  </si>
  <si>
    <t>fritillary virus Y</t>
  </si>
  <si>
    <t>FVY</t>
  </si>
  <si>
    <t>Pan'an</t>
  </si>
  <si>
    <t>AM039800</t>
  </si>
  <si>
    <t>Gloriosa stripe mosaic virus</t>
  </si>
  <si>
    <t>GSMV</t>
  </si>
  <si>
    <t>CB</t>
  </si>
  <si>
    <t>EF427894</t>
  </si>
  <si>
    <t>Gomphocarpus mosaic virus</t>
  </si>
  <si>
    <t>GoMV</t>
  </si>
  <si>
    <t>CM532</t>
  </si>
  <si>
    <t>LC228573</t>
  </si>
  <si>
    <t>Habenaria mosaic virus</t>
  </si>
  <si>
    <t>HaMV</t>
  </si>
  <si>
    <t>Ha-1</t>
  </si>
  <si>
    <t>AB818538</t>
  </si>
  <si>
    <t>Hardenbergia mosaic virus</t>
  </si>
  <si>
    <t>HarMV</t>
  </si>
  <si>
    <t>57-2</t>
  </si>
  <si>
    <t>HQ161081</t>
  </si>
  <si>
    <t>henbane mosaic virus</t>
  </si>
  <si>
    <t>PHYS/H</t>
  </si>
  <si>
    <t>AM184113</t>
  </si>
  <si>
    <t>Hibbertia virus Y</t>
  </si>
  <si>
    <t>HiVY</t>
  </si>
  <si>
    <t>Kioloa</t>
  </si>
  <si>
    <t>AF228516</t>
  </si>
  <si>
    <t>Hippeastrum mosaic virus</t>
  </si>
  <si>
    <t>HiMV</t>
  </si>
  <si>
    <t>Marijiniup 1</t>
  </si>
  <si>
    <t>JQ395040</t>
  </si>
  <si>
    <t>hyacinth mosaic virus</t>
  </si>
  <si>
    <t>HyaMV</t>
  </si>
  <si>
    <t>Nannup BC28</t>
  </si>
  <si>
    <t>KY828925</t>
  </si>
  <si>
    <t>impatiens flower break virus</t>
  </si>
  <si>
    <t>IFBV</t>
  </si>
  <si>
    <t>Asan</t>
  </si>
  <si>
    <t>KU981084</t>
  </si>
  <si>
    <t>iris fulva mosaic virus</t>
  </si>
  <si>
    <t>IFMV</t>
  </si>
  <si>
    <t>iris mild mosaic virus</t>
  </si>
  <si>
    <t>IMMV</t>
  </si>
  <si>
    <t>JF320812</t>
  </si>
  <si>
    <t>iris severe mosaic virus</t>
  </si>
  <si>
    <t>ISMV</t>
  </si>
  <si>
    <t>KT692938</t>
  </si>
  <si>
    <t>Japanese yam mosaic virus</t>
  </si>
  <si>
    <t>mild</t>
  </si>
  <si>
    <t>AB027007</t>
  </si>
  <si>
    <t>Jasmine virus T</t>
  </si>
  <si>
    <t>JVT</t>
  </si>
  <si>
    <t>FZ</t>
  </si>
  <si>
    <t>KT222674</t>
  </si>
  <si>
    <t>johnsongrass mosaic virus</t>
  </si>
  <si>
    <t>JGMV</t>
  </si>
  <si>
    <t>Z26920</t>
  </si>
  <si>
    <t>Kalanchoë mosaic virus</t>
  </si>
  <si>
    <t>KMV</t>
  </si>
  <si>
    <t>F39</t>
  </si>
  <si>
    <t>GQ497731</t>
  </si>
  <si>
    <t>keunjorong mosaic virus</t>
  </si>
  <si>
    <t>KjMV</t>
  </si>
  <si>
    <t>Cheongwon</t>
  </si>
  <si>
    <t>JF838187</t>
  </si>
  <si>
    <t>konjac mosaic virus</t>
  </si>
  <si>
    <t>KoMV</t>
  </si>
  <si>
    <t>AB219545</t>
  </si>
  <si>
    <t>leek yellow stripe virus</t>
  </si>
  <si>
    <t>LYSV</t>
  </si>
  <si>
    <t>Yuhang GYH</t>
  </si>
  <si>
    <t>AJ307057</t>
  </si>
  <si>
    <t>lettuce Italian necrotic virus</t>
  </si>
  <si>
    <t>LINV</t>
  </si>
  <si>
    <t>I234</t>
  </si>
  <si>
    <t>KP769852</t>
  </si>
  <si>
    <t>lettuce mosaic virus</t>
  </si>
  <si>
    <t>X97705</t>
  </si>
  <si>
    <t>lily mottle virus</t>
  </si>
  <si>
    <t>LMoV</t>
  </si>
  <si>
    <t>Sb</t>
  </si>
  <si>
    <t>AJ564636</t>
  </si>
  <si>
    <t>lily yellow mosaic virus</t>
  </si>
  <si>
    <t>LVY</t>
  </si>
  <si>
    <t>lily-bua</t>
  </si>
  <si>
    <t>MF543013</t>
  </si>
  <si>
    <t>lupine mosaic virus</t>
  </si>
  <si>
    <t>LuMV</t>
  </si>
  <si>
    <t>LU2</t>
  </si>
  <si>
    <t>EU847625</t>
  </si>
  <si>
    <t>Lycoris mild mottle virus</t>
  </si>
  <si>
    <t>LyMMoV</t>
  </si>
  <si>
    <t>AF399672</t>
  </si>
  <si>
    <t>maize dwarf mosaic virus</t>
  </si>
  <si>
    <t>MDMV</t>
  </si>
  <si>
    <t>AJ001691</t>
  </si>
  <si>
    <t>Malva vein clearing virus</t>
  </si>
  <si>
    <t>MVCV</t>
  </si>
  <si>
    <t>DS-Ba-01</t>
  </si>
  <si>
    <t>FM212972</t>
  </si>
  <si>
    <t>mashua virus Y</t>
  </si>
  <si>
    <t>MasVY</t>
  </si>
  <si>
    <t>Cam</t>
  </si>
  <si>
    <t>MH680824</t>
  </si>
  <si>
    <t>meadow saffron breaking virus</t>
  </si>
  <si>
    <t>MSBV</t>
  </si>
  <si>
    <t>AY388995</t>
  </si>
  <si>
    <t>Mediterranean ruda virus</t>
  </si>
  <si>
    <t>MeRV</t>
  </si>
  <si>
    <t>ParP17</t>
  </si>
  <si>
    <t>MF953305</t>
  </si>
  <si>
    <t>Moroccan watermelon mosaic virus</t>
  </si>
  <si>
    <t>MWMV</t>
  </si>
  <si>
    <t>TN05-76</t>
  </si>
  <si>
    <t>EF579955</t>
  </si>
  <si>
    <t>Narcissus degeneration virus</t>
  </si>
  <si>
    <t>AM182028</t>
  </si>
  <si>
    <t>Narcissus late season yellows virus</t>
  </si>
  <si>
    <t>NLSYV</t>
  </si>
  <si>
    <t>Marijiniup8</t>
  </si>
  <si>
    <t>KC691259</t>
  </si>
  <si>
    <t>Narcissus yellow stripe virus</t>
  </si>
  <si>
    <t>NYSV</t>
  </si>
  <si>
    <t>AM158908</t>
  </si>
  <si>
    <t>Nerine yellow stripe virus</t>
  </si>
  <si>
    <t>NeYSV</t>
  </si>
  <si>
    <t>Ne800</t>
  </si>
  <si>
    <t>EF362621</t>
  </si>
  <si>
    <t>Noni mosaic virus</t>
  </si>
  <si>
    <t>NoMV</t>
  </si>
  <si>
    <t>MoMV-Yjh</t>
  </si>
  <si>
    <t>MN114634</t>
  </si>
  <si>
    <t>Nothoscordum mosaic virus</t>
  </si>
  <si>
    <t>CAY</t>
  </si>
  <si>
    <t>onion yellow dwarf virus</t>
  </si>
  <si>
    <t>OYDV</t>
  </si>
  <si>
    <t>Yuhang</t>
  </si>
  <si>
    <t>AJ510223</t>
  </si>
  <si>
    <t>Ornithogalum stripe mosaic virus</t>
  </si>
  <si>
    <t>OrMV</t>
  </si>
  <si>
    <t>KP</t>
  </si>
  <si>
    <t>JQ807997</t>
  </si>
  <si>
    <t>Ornithogalum virus 2</t>
  </si>
  <si>
    <t>OrV2</t>
  </si>
  <si>
    <t>AB271783</t>
  </si>
  <si>
    <t>Ornithogalum virus 3</t>
  </si>
  <si>
    <t>OrV3</t>
  </si>
  <si>
    <t>AB282754</t>
  </si>
  <si>
    <t>Panax virus Y</t>
  </si>
  <si>
    <t>PanVY</t>
  </si>
  <si>
    <t>Yunnan</t>
  </si>
  <si>
    <t>GQ916624</t>
  </si>
  <si>
    <t>papaya leaf distortion mosaic virus</t>
  </si>
  <si>
    <t>PLDMV</t>
  </si>
  <si>
    <t>BD171712</t>
  </si>
  <si>
    <t>papaya ringspot virus</t>
  </si>
  <si>
    <t>PRSV</t>
  </si>
  <si>
    <t>HA</t>
  </si>
  <si>
    <t>X67673</t>
  </si>
  <si>
    <t>Paris mosaic necrosis virus</t>
  </si>
  <si>
    <t>PMNV</t>
  </si>
  <si>
    <t>PMNV-cn</t>
  </si>
  <si>
    <t>MF509898</t>
  </si>
  <si>
    <t>Paris virus 1</t>
  </si>
  <si>
    <t>ParV1</t>
  </si>
  <si>
    <t>KM</t>
  </si>
  <si>
    <t>MN549985</t>
  </si>
  <si>
    <t>parsnip mosaic virus</t>
  </si>
  <si>
    <t>ParMV</t>
  </si>
  <si>
    <t>Passiflora chlorosis virus</t>
  </si>
  <si>
    <t>DQ860147</t>
  </si>
  <si>
    <t>passionfruit Vietnam virus</t>
  </si>
  <si>
    <t>DakNong</t>
  </si>
  <si>
    <t>MH286883</t>
  </si>
  <si>
    <t>passion fruit woodiness virus</t>
  </si>
  <si>
    <t>PWV</t>
  </si>
  <si>
    <t>MU2</t>
  </si>
  <si>
    <t>HQ122652</t>
  </si>
  <si>
    <t>pea seed-borne mosaic virus</t>
  </si>
  <si>
    <t>PSbMV</t>
  </si>
  <si>
    <t>DPD1</t>
  </si>
  <si>
    <t>D10930</t>
  </si>
  <si>
    <t>peanut mottle virus</t>
  </si>
  <si>
    <t>PeMoV</t>
  </si>
  <si>
    <t>AF023848</t>
  </si>
  <si>
    <t>pecan mosaic-associated virus</t>
  </si>
  <si>
    <t>PMaV</t>
  </si>
  <si>
    <t>LA</t>
  </si>
  <si>
    <t>KT633868</t>
  </si>
  <si>
    <t>Pennisetum mosaic virus</t>
  </si>
  <si>
    <t>PenMV</t>
  </si>
  <si>
    <t>AY642590</t>
  </si>
  <si>
    <t>pepper mottle virus</t>
  </si>
  <si>
    <t>PepMoV</t>
  </si>
  <si>
    <t>M96425</t>
  </si>
  <si>
    <t>pepper severe mosaic virus</t>
  </si>
  <si>
    <t>PepSMV</t>
  </si>
  <si>
    <t>AM181350</t>
  </si>
  <si>
    <t>pepper veinal mottle virus</t>
  </si>
  <si>
    <t>PVMV</t>
  </si>
  <si>
    <t>DQ645484</t>
  </si>
  <si>
    <t>pepper yellow mosaic virus</t>
  </si>
  <si>
    <t>PepYMV</t>
  </si>
  <si>
    <t>Pi-15</t>
  </si>
  <si>
    <t>AB541985</t>
  </si>
  <si>
    <t>Peru tomato mosaic virus</t>
  </si>
  <si>
    <t>PPK13</t>
  </si>
  <si>
    <t>AJ437280</t>
  </si>
  <si>
    <t>Pfaffia mosaic virus</t>
  </si>
  <si>
    <t>PfMV</t>
  </si>
  <si>
    <t>AY485276</t>
  </si>
  <si>
    <t>Platycodon mild mottle virus</t>
  </si>
  <si>
    <t>PlaMMV</t>
  </si>
  <si>
    <t>Okcheon</t>
  </si>
  <si>
    <t>MH779625</t>
  </si>
  <si>
    <t>Pleione flower breaking virus</t>
  </si>
  <si>
    <t>PlFBV</t>
  </si>
  <si>
    <t>CZ-Wharf1</t>
  </si>
  <si>
    <t>MH376747</t>
  </si>
  <si>
    <t>Pleione virus Y</t>
  </si>
  <si>
    <t>PlVY</t>
  </si>
  <si>
    <t>AF185958</t>
  </si>
  <si>
    <t>plum pox virus</t>
  </si>
  <si>
    <t>NAT</t>
  </si>
  <si>
    <t>D13751</t>
  </si>
  <si>
    <t>Rec</t>
  </si>
  <si>
    <t>W3174</t>
  </si>
  <si>
    <t>El Amar</t>
  </si>
  <si>
    <t>Volk143</t>
  </si>
  <si>
    <t>pokeweed mosaic virus</t>
  </si>
  <si>
    <t>PkMV</t>
  </si>
  <si>
    <t>PA</t>
  </si>
  <si>
    <t>JQ609095</t>
  </si>
  <si>
    <t>MS-FRO3</t>
  </si>
  <si>
    <t>potato virus A</t>
  </si>
  <si>
    <t>PVA</t>
  </si>
  <si>
    <t>B11</t>
  </si>
  <si>
    <t>AJ296311</t>
  </si>
  <si>
    <t>Tamarillo mosaic virus</t>
  </si>
  <si>
    <t>TamMV</t>
  </si>
  <si>
    <t>FN</t>
  </si>
  <si>
    <t>potato virus V</t>
  </si>
  <si>
    <t>DV 42</t>
  </si>
  <si>
    <t>AJ243766</t>
  </si>
  <si>
    <t>potato virus Y</t>
  </si>
  <si>
    <t>PVY</t>
  </si>
  <si>
    <t>X12456</t>
  </si>
  <si>
    <t>NTN</t>
  </si>
  <si>
    <t>Wilga 156</t>
  </si>
  <si>
    <t>potato yellow blotch virus</t>
  </si>
  <si>
    <t>PYBV</t>
  </si>
  <si>
    <t>QV276</t>
  </si>
  <si>
    <t>JX294310</t>
  </si>
  <si>
    <t>Achyranthes virus A</t>
  </si>
  <si>
    <t>MT513101</t>
  </si>
  <si>
    <t>Anemone mosaic virus</t>
  </si>
  <si>
    <t>NL</t>
  </si>
  <si>
    <t>LC604019</t>
  </si>
  <si>
    <t>ashitaba mosaic virus</t>
  </si>
  <si>
    <t>AshMV</t>
  </si>
  <si>
    <t>AshMV-AA</t>
  </si>
  <si>
    <t>MN853672</t>
  </si>
  <si>
    <t>Clivia yellow stripe virus</t>
  </si>
  <si>
    <t>ClYSV</t>
  </si>
  <si>
    <t>19-3026</t>
  </si>
  <si>
    <t>MT533610</t>
  </si>
  <si>
    <t>Pennisetum alopecuroides mosaic virus</t>
  </si>
  <si>
    <t>PalMV</t>
  </si>
  <si>
    <t>PalMV-Haidian</t>
  </si>
  <si>
    <t>MT790493</t>
  </si>
  <si>
    <t>Gladiolus mosaic virus</t>
  </si>
  <si>
    <t>GdMV</t>
  </si>
  <si>
    <t>Taean</t>
  </si>
  <si>
    <t>KU981083</t>
  </si>
  <si>
    <t>Mirabilis crinkle mosaic virus</t>
  </si>
  <si>
    <t>MiCMV</t>
  </si>
  <si>
    <t>MiCMV-MJ</t>
  </si>
  <si>
    <t>MT247721</t>
  </si>
  <si>
    <t>Pleioblastus mosaic virus</t>
  </si>
  <si>
    <t>PleMV</t>
  </si>
  <si>
    <t>PleMV-J1</t>
  </si>
  <si>
    <t>LC573287</t>
  </si>
  <si>
    <t>Scorzonera virus A</t>
  </si>
  <si>
    <t>SCoVA</t>
  </si>
  <si>
    <t>MW972223</t>
  </si>
  <si>
    <t>Marigold mosaic virus</t>
  </si>
  <si>
    <t>MW546936</t>
  </si>
  <si>
    <t>Thladiantha dubia mosaic virus</t>
  </si>
  <si>
    <t>ThDM</t>
  </si>
  <si>
    <t>Harbin-NEFU</t>
  </si>
  <si>
    <t>MF420353</t>
  </si>
  <si>
    <t>Ranunculus leaf distortion virus</t>
  </si>
  <si>
    <t>RanLDV</t>
  </si>
  <si>
    <t>RN122</t>
  </si>
  <si>
    <t>DQ152190</t>
  </si>
  <si>
    <t>Ranunculus mild mosaic virus</t>
  </si>
  <si>
    <t>RanMMV</t>
  </si>
  <si>
    <t>RN129</t>
  </si>
  <si>
    <t>DQ152191</t>
  </si>
  <si>
    <t>Ranunculus mosaic virus</t>
  </si>
  <si>
    <t>RanMV</t>
  </si>
  <si>
    <t>RN136</t>
  </si>
  <si>
    <t>DQ152192</t>
  </si>
  <si>
    <t>Rhopalanthe virus Y</t>
  </si>
  <si>
    <t>RhVY</t>
  </si>
  <si>
    <t>AF185956</t>
  </si>
  <si>
    <t>saffron latent virus</t>
  </si>
  <si>
    <t>SaLV</t>
  </si>
  <si>
    <t>Ir-Kh1</t>
  </si>
  <si>
    <t>KY562565</t>
  </si>
  <si>
    <t>Sarcochilus virus Y</t>
  </si>
  <si>
    <t>SaVY</t>
  </si>
  <si>
    <t>AF185957</t>
  </si>
  <si>
    <t>scallion mosaic virus</t>
  </si>
  <si>
    <t>ScaMV</t>
  </si>
  <si>
    <t>HZ</t>
  </si>
  <si>
    <t>AJ316084</t>
  </si>
  <si>
    <t>shallot yellow stripe virus</t>
  </si>
  <si>
    <t>ZQ2</t>
  </si>
  <si>
    <t>AJ865076</t>
  </si>
  <si>
    <t>sorghum mosaic virus</t>
  </si>
  <si>
    <t>SrMV</t>
  </si>
  <si>
    <t>Xiaoshan</t>
  </si>
  <si>
    <t>AJ310197</t>
  </si>
  <si>
    <t>soybean mosaic virus</t>
  </si>
  <si>
    <t>D00507</t>
  </si>
  <si>
    <t>Pinella</t>
  </si>
  <si>
    <t>Spiranthes mosaic virus 3</t>
  </si>
  <si>
    <t>SpMV3</t>
  </si>
  <si>
    <t>AY685218</t>
  </si>
  <si>
    <t>Sudan watermelon mosaic virus</t>
  </si>
  <si>
    <t>SuWMV</t>
  </si>
  <si>
    <t>Su94-54</t>
  </si>
  <si>
    <t>KY623505</t>
  </si>
  <si>
    <t>sugarcane mosaic virus</t>
  </si>
  <si>
    <t>SCMV</t>
  </si>
  <si>
    <t>AJ297628</t>
  </si>
  <si>
    <t>sunflower chlorotic mottle virus</t>
  </si>
  <si>
    <t>Common</t>
  </si>
  <si>
    <t>GU181199</t>
  </si>
  <si>
    <t>sunflower mild mosaic virus</t>
  </si>
  <si>
    <t>SMMV</t>
  </si>
  <si>
    <t>Entre Rios</t>
  </si>
  <si>
    <t>JQ350738</t>
  </si>
  <si>
    <t>sunflower mosaic virus</t>
  </si>
  <si>
    <t>SuMV</t>
  </si>
  <si>
    <t>TX</t>
  </si>
  <si>
    <t>AF465545</t>
  </si>
  <si>
    <t>sunflower ring blotch virus</t>
  </si>
  <si>
    <t>SuRBV</t>
  </si>
  <si>
    <t>Chaco</t>
  </si>
  <si>
    <t>KX856009</t>
  </si>
  <si>
    <t>sweet potato feathery mottle virus</t>
  </si>
  <si>
    <t>SPFMV</t>
  </si>
  <si>
    <t>D86371</t>
  </si>
  <si>
    <t>sweet potato latent virus</t>
  </si>
  <si>
    <t>SPLV</t>
  </si>
  <si>
    <t>KC443039</t>
  </si>
  <si>
    <t>sweet potato mild speckling virus</t>
  </si>
  <si>
    <t>SPMSV</t>
  </si>
  <si>
    <t>AR</t>
  </si>
  <si>
    <t>U61228</t>
  </si>
  <si>
    <t>sweet potato virus 2</t>
  </si>
  <si>
    <t>SPV2</t>
  </si>
  <si>
    <t>GWB-2</t>
  </si>
  <si>
    <t>JN613807</t>
  </si>
  <si>
    <t>sweet potato virus C</t>
  </si>
  <si>
    <t>SPVC</t>
  </si>
  <si>
    <t>GU207957</t>
  </si>
  <si>
    <t>sweet potato virus G</t>
  </si>
  <si>
    <t>SPVG</t>
  </si>
  <si>
    <t>Jesus Maria</t>
  </si>
  <si>
    <t>JQ824374</t>
  </si>
  <si>
    <t>Tamarillo leaf malformation virus</t>
  </si>
  <si>
    <t>TLMV</t>
  </si>
  <si>
    <t>KM523548</t>
  </si>
  <si>
    <t>Telfairia mosaic virus</t>
  </si>
  <si>
    <t>Telosma mosaic virus</t>
  </si>
  <si>
    <t>TelMV</t>
  </si>
  <si>
    <t>Hanoi</t>
  </si>
  <si>
    <t>DQ851493</t>
  </si>
  <si>
    <t>Thunberg fritillary mosaic virus</t>
  </si>
  <si>
    <t>TFMV</t>
  </si>
  <si>
    <t>Ningbo</t>
  </si>
  <si>
    <t>AJ851866</t>
  </si>
  <si>
    <t>tobacco etch virus</t>
  </si>
  <si>
    <t>TEV</t>
  </si>
  <si>
    <t>HAT</t>
  </si>
  <si>
    <t>M11458</t>
  </si>
  <si>
    <t>tobacco mosqueado virus</t>
  </si>
  <si>
    <t>TMosqV</t>
  </si>
  <si>
    <t>RS-01</t>
  </si>
  <si>
    <t>KT834407</t>
  </si>
  <si>
    <t>tobacco vein banding mosaic virus</t>
  </si>
  <si>
    <t>TVBMV</t>
  </si>
  <si>
    <t>YND</t>
  </si>
  <si>
    <t>EF219408</t>
  </si>
  <si>
    <t>tobacco vein mottling virus</t>
  </si>
  <si>
    <t>TVMV</t>
  </si>
  <si>
    <t>X04083</t>
  </si>
  <si>
    <t>tomato necrotic stunt virus</t>
  </si>
  <si>
    <t>TNSV</t>
  </si>
  <si>
    <t>MX9354</t>
  </si>
  <si>
    <t>JQ314463</t>
  </si>
  <si>
    <t>Tradescantia mild mosaic virus</t>
  </si>
  <si>
    <t>TraMMV</t>
  </si>
  <si>
    <t>IFA195</t>
  </si>
  <si>
    <t>AY861351</t>
  </si>
  <si>
    <t>tuberose mild mosaic virus</t>
  </si>
  <si>
    <t>TuMMV</t>
  </si>
  <si>
    <t>AF062926</t>
  </si>
  <si>
    <t>tuberose mild mottle virus</t>
  </si>
  <si>
    <t>TuMMoV</t>
  </si>
  <si>
    <t>AJ581528</t>
  </si>
  <si>
    <t>tulip breaking virus</t>
  </si>
  <si>
    <t>TBV</t>
  </si>
  <si>
    <t>Texas Flame</t>
  </si>
  <si>
    <t>KF826466</t>
  </si>
  <si>
    <t>tulip mosaic virus</t>
  </si>
  <si>
    <t>TulMV</t>
  </si>
  <si>
    <t>X63630</t>
  </si>
  <si>
    <t>turnip mosaic virus</t>
  </si>
  <si>
    <t>TuMV</t>
  </si>
  <si>
    <t>AF169561</t>
  </si>
  <si>
    <t>twisted-stalk chlorotic streak virus</t>
  </si>
  <si>
    <t>TSCSV</t>
  </si>
  <si>
    <t>Denali 2001</t>
  </si>
  <si>
    <t>AY954248</t>
  </si>
  <si>
    <t>Ugandan Passiflora virus</t>
  </si>
  <si>
    <t>UPV</t>
  </si>
  <si>
    <t>KH7-1</t>
  </si>
  <si>
    <t>MK110656</t>
  </si>
  <si>
    <t>Vallota mosaic virus</t>
  </si>
  <si>
    <t>ValMV</t>
  </si>
  <si>
    <t>FJ618540</t>
  </si>
  <si>
    <t>vanilla distortion mosaic virus</t>
  </si>
  <si>
    <t>VDMV</t>
  </si>
  <si>
    <t>Cor</t>
  </si>
  <si>
    <t>KF906523</t>
  </si>
  <si>
    <t>Verbena virus Y</t>
  </si>
  <si>
    <t>VVY</t>
  </si>
  <si>
    <t>Michigan</t>
  </si>
  <si>
    <t>EU564817</t>
  </si>
  <si>
    <t>watermelon leaf mottle virus</t>
  </si>
  <si>
    <t>WLMV</t>
  </si>
  <si>
    <t>AF028004</t>
  </si>
  <si>
    <t>watermelon mosaic virus</t>
  </si>
  <si>
    <t>Fr</t>
  </si>
  <si>
    <t>AY437609</t>
  </si>
  <si>
    <t>wild melon banding virus</t>
  </si>
  <si>
    <t>WMVBV</t>
  </si>
  <si>
    <t>Su03-07</t>
  </si>
  <si>
    <t>KY623506</t>
  </si>
  <si>
    <t>wild onion symptomless virus</t>
  </si>
  <si>
    <t>WoSV</t>
  </si>
  <si>
    <t>TUR256-1</t>
  </si>
  <si>
    <t>LC159494</t>
  </si>
  <si>
    <t>wild potato mosaic virus</t>
  </si>
  <si>
    <t>WPMV</t>
  </si>
  <si>
    <t>Type</t>
  </si>
  <si>
    <t>AJ437279</t>
  </si>
  <si>
    <t>wild tomato mosaic virus</t>
  </si>
  <si>
    <t>WTMV</t>
  </si>
  <si>
    <t>Laichau</t>
  </si>
  <si>
    <t>DQ851495</t>
  </si>
  <si>
    <t>Wisteria vein mosaic virus</t>
  </si>
  <si>
    <t>WVMV</t>
  </si>
  <si>
    <t>AY656816</t>
  </si>
  <si>
    <t>yam mild mosaic virus</t>
  </si>
  <si>
    <t>YMMV</t>
  </si>
  <si>
    <t>JX470965</t>
  </si>
  <si>
    <t>yam mosaic virus</t>
  </si>
  <si>
    <t>YMV</t>
  </si>
  <si>
    <t>Ivory Coast</t>
  </si>
  <si>
    <t>U42596</t>
  </si>
  <si>
    <t>yambean mosaic virus</t>
  </si>
  <si>
    <t>YBMV</t>
  </si>
  <si>
    <t>SR</t>
  </si>
  <si>
    <t>JN190431</t>
  </si>
  <si>
    <t>Zantedeschia mild mosaic virus</t>
  </si>
  <si>
    <t>ZaMMV</t>
  </si>
  <si>
    <t>AY626825</t>
  </si>
  <si>
    <t>Zea mosaic virus</t>
  </si>
  <si>
    <t>Zea mosaic virus; Iranian johnsongrass mosaic virus</t>
  </si>
  <si>
    <t>ZeMV; IJGMV</t>
  </si>
  <si>
    <t>Shz</t>
  </si>
  <si>
    <t>JQ692088</t>
  </si>
  <si>
    <t>ZeMV</t>
  </si>
  <si>
    <t>zucchini shoestring virus</t>
  </si>
  <si>
    <t>ZSV</t>
  </si>
  <si>
    <t>RSA Patty pan</t>
  </si>
  <si>
    <t>KU355553</t>
  </si>
  <si>
    <t>zucchini tigre mosaic virus</t>
  </si>
  <si>
    <t>ZTMV</t>
  </si>
  <si>
    <t>Re01-25</t>
  </si>
  <si>
    <t>KC345607</t>
  </si>
  <si>
    <t>zucchini yellow fleck virus</t>
  </si>
  <si>
    <t>ZYFV</t>
  </si>
  <si>
    <t>It</t>
  </si>
  <si>
    <t>DQ641510</t>
  </si>
  <si>
    <t>zucchini yellow mosaic virus</t>
  </si>
  <si>
    <t>ZYMV</t>
  </si>
  <si>
    <t>TN3</t>
  </si>
  <si>
    <t>AF127929</t>
  </si>
  <si>
    <t>Roymovirus</t>
  </si>
  <si>
    <t>Passiflora edulis symptomless virus</t>
  </si>
  <si>
    <t>PeSV-Rehovot</t>
  </si>
  <si>
    <t>MH379332</t>
  </si>
  <si>
    <t>rose yellow mosaic virus</t>
  </si>
  <si>
    <t>JF280796</t>
  </si>
  <si>
    <t>Rymovirus</t>
  </si>
  <si>
    <t>Agropyron mosaic virus</t>
  </si>
  <si>
    <t>AgMV</t>
  </si>
  <si>
    <t>ND402</t>
  </si>
  <si>
    <t>AY623626</t>
  </si>
  <si>
    <t>Hordeum mosaic virus</t>
  </si>
  <si>
    <t>HoMV</t>
  </si>
  <si>
    <t>ATCC PV81</t>
  </si>
  <si>
    <t>AY623627</t>
  </si>
  <si>
    <t>ryegrass mosaic virus</t>
  </si>
  <si>
    <t>RGMV</t>
  </si>
  <si>
    <t>Danish</t>
  </si>
  <si>
    <t>Y09854</t>
  </si>
  <si>
    <t>Tritimovirus</t>
  </si>
  <si>
    <t>brome streak mosaic virus</t>
  </si>
  <si>
    <t>BrSMV</t>
  </si>
  <si>
    <t>Z48506</t>
  </si>
  <si>
    <t>oat necrotic mottle virus</t>
  </si>
  <si>
    <t>ONMV</t>
  </si>
  <si>
    <t>Type-NE</t>
  </si>
  <si>
    <t>AY377938</t>
  </si>
  <si>
    <t>tall oatgrass mosaic virus</t>
  </si>
  <si>
    <t>TOgMV</t>
  </si>
  <si>
    <t>Benesov</t>
  </si>
  <si>
    <t>KF260962</t>
  </si>
  <si>
    <t>wheat Eqlid mosaic virus</t>
  </si>
  <si>
    <t>WEqMV</t>
  </si>
  <si>
    <t>IR</t>
  </si>
  <si>
    <t>EF608612</t>
  </si>
  <si>
    <t>wheat streak mosaic virus</t>
  </si>
  <si>
    <t>WSMV</t>
  </si>
  <si>
    <t>Sidney 81</t>
  </si>
  <si>
    <t>AF057533</t>
  </si>
  <si>
    <t>yellow oat-grass mosaic virus</t>
  </si>
  <si>
    <t>YOgMV</t>
  </si>
  <si>
    <t>KF984546</t>
  </si>
  <si>
    <t>Stellavirales</t>
  </si>
  <si>
    <t>Astroviridae</t>
  </si>
  <si>
    <t>Avastrovirus</t>
  </si>
  <si>
    <t>avastrovirus 1</t>
  </si>
  <si>
    <t>AAstV1</t>
  </si>
  <si>
    <t>Y15936</t>
  </si>
  <si>
    <t>avastrovirus 2</t>
  </si>
  <si>
    <t>AAstV2</t>
  </si>
  <si>
    <t>G-4260</t>
  </si>
  <si>
    <t>AB033998</t>
  </si>
  <si>
    <t>avastrovirus 3</t>
  </si>
  <si>
    <t>AAstV3</t>
  </si>
  <si>
    <t>AF206663</t>
  </si>
  <si>
    <t>Mamastrovirus</t>
  </si>
  <si>
    <t>mamastrovirus 1</t>
  </si>
  <si>
    <t>MAstV1</t>
  </si>
  <si>
    <t>Z25771</t>
  </si>
  <si>
    <t>mamastrovirus 10</t>
  </si>
  <si>
    <t>MAstV10</t>
  </si>
  <si>
    <t>AY179509</t>
  </si>
  <si>
    <t>mamastrovirus 11</t>
  </si>
  <si>
    <t>MAstV11</t>
  </si>
  <si>
    <t>CSL1</t>
  </si>
  <si>
    <t>FJ890351</t>
  </si>
  <si>
    <t>mamastrovirus 12</t>
  </si>
  <si>
    <t>MAstV12</t>
  </si>
  <si>
    <t>LD71</t>
  </si>
  <si>
    <t>FJ571067</t>
  </si>
  <si>
    <t>mamastrovirus 13</t>
  </si>
  <si>
    <t>MAstV13</t>
  </si>
  <si>
    <t>Y15937</t>
  </si>
  <si>
    <t>mamastrovirus 14</t>
  </si>
  <si>
    <t>MAstV14</t>
  </si>
  <si>
    <t>AFCD57</t>
  </si>
  <si>
    <t>EU847144</t>
  </si>
  <si>
    <t>mamastrovirus 15</t>
  </si>
  <si>
    <t>MAstV15</t>
  </si>
  <si>
    <t>LD77</t>
  </si>
  <si>
    <t>FJ571066</t>
  </si>
  <si>
    <t>mamastrovirus 16</t>
  </si>
  <si>
    <t>MAstV16</t>
  </si>
  <si>
    <t>AFCD11</t>
  </si>
  <si>
    <t>EU847145</t>
  </si>
  <si>
    <t>mamastrovirus 17</t>
  </si>
  <si>
    <t>MAstV17</t>
  </si>
  <si>
    <t>LC03</t>
  </si>
  <si>
    <t>FJ571074</t>
  </si>
  <si>
    <t>mamastrovirus 18</t>
  </si>
  <si>
    <t>MAstV18</t>
  </si>
  <si>
    <t>AFCD337</t>
  </si>
  <si>
    <t>EU847155</t>
  </si>
  <si>
    <t>mamastrovirus 19</t>
  </si>
  <si>
    <t>MAstV19</t>
  </si>
  <si>
    <t>LD38</t>
  </si>
  <si>
    <t>FJ571065</t>
  </si>
  <si>
    <t>mamastrovirus 2</t>
  </si>
  <si>
    <t>MAstV2</t>
  </si>
  <si>
    <t>D1</t>
  </si>
  <si>
    <t>KM017741</t>
  </si>
  <si>
    <t>mamastrovirus 3</t>
  </si>
  <si>
    <t>MAstV3</t>
  </si>
  <si>
    <t>GX1</t>
  </si>
  <si>
    <t>KF787112</t>
  </si>
  <si>
    <t>mamastrovirus 4</t>
  </si>
  <si>
    <t>MAstV4</t>
  </si>
  <si>
    <t>CSL2</t>
  </si>
  <si>
    <t>FJ890352</t>
  </si>
  <si>
    <t>mamastrovirus 5</t>
  </si>
  <si>
    <t>MAstV5</t>
  </si>
  <si>
    <t>FM213330</t>
  </si>
  <si>
    <t>mamastrovirus 6</t>
  </si>
  <si>
    <t>MAstV6</t>
  </si>
  <si>
    <t>MLB1</t>
  </si>
  <si>
    <t>FJ222451</t>
  </si>
  <si>
    <t>mamastrovirus 7</t>
  </si>
  <si>
    <t>MAstV7</t>
  </si>
  <si>
    <t>Bd1</t>
  </si>
  <si>
    <t>FJ890355</t>
  </si>
  <si>
    <t>mamastrovirus 8</t>
  </si>
  <si>
    <t>MAstV8</t>
  </si>
  <si>
    <t>NI-295</t>
  </si>
  <si>
    <t>GQ415660</t>
  </si>
  <si>
    <t>mamastrovirus 9</t>
  </si>
  <si>
    <t>MAstV9</t>
  </si>
  <si>
    <t>VA1</t>
  </si>
  <si>
    <t>FJ973620</t>
  </si>
  <si>
    <t>Pararnavirae</t>
  </si>
  <si>
    <t>Artverviricota</t>
  </si>
  <si>
    <t>Revtraviricetes</t>
  </si>
  <si>
    <t>Blubervirales</t>
  </si>
  <si>
    <t>Hepadnaviridae</t>
  </si>
  <si>
    <t>Avihepadnavirus</t>
  </si>
  <si>
    <t>duck hepatitis B virus</t>
  </si>
  <si>
    <t>DHBV</t>
  </si>
  <si>
    <t>DHBVQCA34</t>
  </si>
  <si>
    <t>X60213</t>
  </si>
  <si>
    <t>dsDNA-RT</t>
  </si>
  <si>
    <t>sheldgoose hepatitis B virus</t>
  </si>
  <si>
    <t>SHGHBV</t>
  </si>
  <si>
    <t>snow goose hepatitis B virus</t>
  </si>
  <si>
    <t>SGHBV</t>
  </si>
  <si>
    <t>SGHBV1-9</t>
  </si>
  <si>
    <t>crane hepatitis B virus</t>
  </si>
  <si>
    <t>CHBV</t>
  </si>
  <si>
    <t>CCHBV 1</t>
  </si>
  <si>
    <t>Ross's goose hepatitis B virus</t>
  </si>
  <si>
    <t>RGHBV</t>
  </si>
  <si>
    <t>heron hepatitis B virus</t>
  </si>
  <si>
    <t>HHBV</t>
  </si>
  <si>
    <t>M22056</t>
  </si>
  <si>
    <t>stork hepatitis B virus</t>
  </si>
  <si>
    <t>STHBV</t>
  </si>
  <si>
    <t>STHBV-21</t>
  </si>
  <si>
    <t>parrot hepatitis B virus</t>
  </si>
  <si>
    <t>parrot HBV</t>
  </si>
  <si>
    <t>PL</t>
  </si>
  <si>
    <t>JN565944</t>
  </si>
  <si>
    <t>Herpetohepadnavirus</t>
  </si>
  <si>
    <t>Tibetan frog hepatitis B virus</t>
  </si>
  <si>
    <t>TFHBV</t>
  </si>
  <si>
    <t>KX058435</t>
  </si>
  <si>
    <t>Metahepadnavirus</t>
  </si>
  <si>
    <t>bluegill hepatitis B virus</t>
  </si>
  <si>
    <t>BGHBV</t>
  </si>
  <si>
    <t>KX058433</t>
  </si>
  <si>
    <t>Orthohepadnavirus</t>
  </si>
  <si>
    <t>capuchin monkey hepatitis B virus</t>
  </si>
  <si>
    <t>CMHBV</t>
  </si>
  <si>
    <t>KY703886</t>
  </si>
  <si>
    <t>Asian grey shrew hepatitis B virus</t>
  </si>
  <si>
    <t>CSHBV</t>
  </si>
  <si>
    <t>DL70</t>
  </si>
  <si>
    <t>MH484438</t>
  </si>
  <si>
    <t>domestic cat hepadnavirus</t>
  </si>
  <si>
    <t>DCHBV</t>
  </si>
  <si>
    <t>Sydney 2016</t>
  </si>
  <si>
    <t>MH307930</t>
  </si>
  <si>
    <t>ground squirrel hepatitis virus</t>
  </si>
  <si>
    <t>GSHV</t>
  </si>
  <si>
    <t>K02715</t>
  </si>
  <si>
    <t>hepatitis B virus genotype D</t>
  </si>
  <si>
    <t>HBV-D</t>
  </si>
  <si>
    <t>V01460</t>
  </si>
  <si>
    <t>hepatitis B virus genotype A</t>
  </si>
  <si>
    <t>HBV-A</t>
  </si>
  <si>
    <t>subtype adw2</t>
  </si>
  <si>
    <t>hepatitis B virus genotype B</t>
  </si>
  <si>
    <t>HBV-B</t>
  </si>
  <si>
    <t>subtype adw</t>
  </si>
  <si>
    <t>hepatitis B virus genotype C</t>
  </si>
  <si>
    <t>HBV-C</t>
  </si>
  <si>
    <t>hepatitis B virus genotype E</t>
  </si>
  <si>
    <t>HBV-E</t>
  </si>
  <si>
    <t>genotype e</t>
  </si>
  <si>
    <t>hepatitis B virus genotype F</t>
  </si>
  <si>
    <t>HBV-F</t>
  </si>
  <si>
    <t>genotype f</t>
  </si>
  <si>
    <t>hepatitis B virus genotype G</t>
  </si>
  <si>
    <t>HBV-G</t>
  </si>
  <si>
    <t>IG29227</t>
  </si>
  <si>
    <t>hepatitis B virus genotype H</t>
  </si>
  <si>
    <t>HBV-H</t>
  </si>
  <si>
    <t>1853Nic</t>
  </si>
  <si>
    <t>hepatitis B virus genotype I</t>
  </si>
  <si>
    <t>HBV-I</t>
  </si>
  <si>
    <t>hepatitis B virus genotype J</t>
  </si>
  <si>
    <t>HBV-J</t>
  </si>
  <si>
    <t>JRB34</t>
  </si>
  <si>
    <t>hepatitis B virus gibI</t>
  </si>
  <si>
    <t>HBV-gib I</t>
  </si>
  <si>
    <t>hepatitis B virus gibII</t>
  </si>
  <si>
    <t>HBV-gib II</t>
  </si>
  <si>
    <t>hepatitis B virus gibIII</t>
  </si>
  <si>
    <t>HBV-gib III</t>
  </si>
  <si>
    <t>hepatitis B virus gibIV</t>
  </si>
  <si>
    <t>HBV-gib IV</t>
  </si>
  <si>
    <t>hepatitis B virus gibV</t>
  </si>
  <si>
    <t>HBV-gib V</t>
  </si>
  <si>
    <t>orangutan hepatitis B virus</t>
  </si>
  <si>
    <t>HBV-orangutan</t>
  </si>
  <si>
    <t>Papa</t>
  </si>
  <si>
    <t>chimpanzee hepatitis B virus</t>
  </si>
  <si>
    <t>chHBV</t>
  </si>
  <si>
    <t>LSH</t>
  </si>
  <si>
    <t>gorilla hepatitis B virus</t>
  </si>
  <si>
    <t>HBV-gor</t>
  </si>
  <si>
    <t>long-fingered bat hepatitis B virus</t>
  </si>
  <si>
    <t>LFBHBV</t>
  </si>
  <si>
    <t>JX941466</t>
  </si>
  <si>
    <t>pomona bat hepatitis B virus</t>
  </si>
  <si>
    <t>PBHBV</t>
  </si>
  <si>
    <t>PEPR7</t>
  </si>
  <si>
    <t>KF939649</t>
  </si>
  <si>
    <t>roundleaf bat hepatitis B virus</t>
  </si>
  <si>
    <t>RLBHBV</t>
  </si>
  <si>
    <t>GB09-303/Hip_rub/GAB/2009</t>
  </si>
  <si>
    <t>KC790376</t>
  </si>
  <si>
    <t>horseshoe bat hepatitis B virus</t>
  </si>
  <si>
    <t>HSBHBV</t>
  </si>
  <si>
    <t>GB09-403/Rhi_alc/GAB/2009</t>
  </si>
  <si>
    <t>Taï Forest hepatitis B virus</t>
  </si>
  <si>
    <t>TFoHBV</t>
  </si>
  <si>
    <t>Tai</t>
  </si>
  <si>
    <t>MK620908</t>
  </si>
  <si>
    <t>tent-making bat hepatitis B virus</t>
  </si>
  <si>
    <t>TMBHBV</t>
  </si>
  <si>
    <t>Pan957/Uro_bil/PAN/2011</t>
  </si>
  <si>
    <t>KC790381</t>
  </si>
  <si>
    <t>woodchuck hepatitis virus</t>
  </si>
  <si>
    <t>WHV</t>
  </si>
  <si>
    <t>M18752</t>
  </si>
  <si>
    <t>woolly monkey hepatitis B virus</t>
  </si>
  <si>
    <t>WMHBV</t>
  </si>
  <si>
    <t>AF046996</t>
  </si>
  <si>
    <t>Parahepadnavirus</t>
  </si>
  <si>
    <t>white sucker hepatitis B virus</t>
  </si>
  <si>
    <t>WSHBV</t>
  </si>
  <si>
    <t>RR173</t>
  </si>
  <si>
    <t>KR229754</t>
  </si>
  <si>
    <t>Ortervirales</t>
  </si>
  <si>
    <t>Belpaoviridae</t>
  </si>
  <si>
    <t>Semotivirus</t>
  </si>
  <si>
    <t>Anopheles gambiae Moose virus</t>
  </si>
  <si>
    <t>AgaMooV</t>
  </si>
  <si>
    <t>AF060859</t>
  </si>
  <si>
    <t>ssRNA-RT</t>
  </si>
  <si>
    <t>Antheraea mylitta Tamy virus</t>
  </si>
  <si>
    <t>TamyV</t>
  </si>
  <si>
    <t>AF530470</t>
  </si>
  <si>
    <t>Ascaris lumbricoides Tas virus</t>
  </si>
  <si>
    <t>AluTasV</t>
  </si>
  <si>
    <t>Z29712</t>
  </si>
  <si>
    <t>Bombyx mori Pao virus</t>
  </si>
  <si>
    <t>BmoPaoV</t>
  </si>
  <si>
    <t>L09635</t>
  </si>
  <si>
    <t>Caenorhabditis elegans Cer13 virus</t>
  </si>
  <si>
    <t>CelCer13V</t>
  </si>
  <si>
    <t>LK928904 (2253.10260)</t>
  </si>
  <si>
    <t>Drosophila melanogaster Bel virus</t>
  </si>
  <si>
    <t>DmeBelV</t>
  </si>
  <si>
    <t>U23420</t>
  </si>
  <si>
    <t>Drosophila melanogaster Roo virus</t>
  </si>
  <si>
    <t>DmeRooV</t>
  </si>
  <si>
    <t>AY180917</t>
  </si>
  <si>
    <t>Drosophila melanogaster Max virus</t>
  </si>
  <si>
    <t>DmeMaxV</t>
  </si>
  <si>
    <t>AJ487856</t>
  </si>
  <si>
    <t>Drosophila simulans Ninja virus</t>
  </si>
  <si>
    <t>DsiNinV</t>
  </si>
  <si>
    <t>D83207</t>
  </si>
  <si>
    <t>Schistosoma mansoni Sinbad virus</t>
  </si>
  <si>
    <t>SmaSinV</t>
  </si>
  <si>
    <t>AY506538</t>
  </si>
  <si>
    <t>Fugu rubripes Suzu virus</t>
  </si>
  <si>
    <t>FruSuzV</t>
  </si>
  <si>
    <t>AF537216</t>
  </si>
  <si>
    <t>Caulimoviridae</t>
  </si>
  <si>
    <t>Badnavirus</t>
  </si>
  <si>
    <t>Aglaonema bacilliform virus</t>
  </si>
  <si>
    <t>ABV</t>
  </si>
  <si>
    <t>MH384837</t>
  </si>
  <si>
    <t>taro bacilliform virus</t>
  </si>
  <si>
    <t>TaBV</t>
  </si>
  <si>
    <t>Papua New Guinea</t>
  </si>
  <si>
    <t>AF357836</t>
  </si>
  <si>
    <t>Dioscorea bacilliform AL virus</t>
  </si>
  <si>
    <t>DBALV</t>
  </si>
  <si>
    <t>3RT</t>
  </si>
  <si>
    <t>KX008573</t>
  </si>
  <si>
    <t>cacao swollen shoot CD virus</t>
  </si>
  <si>
    <t>CSSCDV</t>
  </si>
  <si>
    <t>CI152-09</t>
  </si>
  <si>
    <t>JN606110</t>
  </si>
  <si>
    <t>Canna yellow mottle associated virus</t>
  </si>
  <si>
    <t>CaYMaV</t>
  </si>
  <si>
    <t>CaYMAV-Ci</t>
  </si>
  <si>
    <t>KX066020</t>
  </si>
  <si>
    <t>pineapple bacilliform CO virus</t>
  </si>
  <si>
    <t>PBCOV</t>
  </si>
  <si>
    <t>GU121676</t>
  </si>
  <si>
    <t>sugarcane bacilliform guadeloupe A virus</t>
  </si>
  <si>
    <t>SCBGAV</t>
  </si>
  <si>
    <t>Guadeloupe</t>
  </si>
  <si>
    <t>FJ824813</t>
  </si>
  <si>
    <t>banana streak GF virus</t>
  </si>
  <si>
    <t>BSGFV</t>
  </si>
  <si>
    <t>Goldfinger</t>
  </si>
  <si>
    <t>AY493509</t>
  </si>
  <si>
    <t>taro bacilliform CH virus</t>
  </si>
  <si>
    <t>TaBCHV</t>
  </si>
  <si>
    <t>KP710178</t>
  </si>
  <si>
    <t>Dioscorea bacilliform AL virus 2</t>
  </si>
  <si>
    <t>DBALV 2</t>
  </si>
  <si>
    <t>PNG10</t>
  </si>
  <si>
    <t>KY827395</t>
  </si>
  <si>
    <t>cacao swollen shoot CE virus</t>
  </si>
  <si>
    <t>CSSCEV</t>
  </si>
  <si>
    <t>GWR198E-13</t>
  </si>
  <si>
    <t>MF642720</t>
  </si>
  <si>
    <t>Canna yellow mottle virus</t>
  </si>
  <si>
    <t>A.purpurata</t>
  </si>
  <si>
    <t>KU168312</t>
  </si>
  <si>
    <t>pineapple bacilliform er virus</t>
  </si>
  <si>
    <t>PBERV</t>
  </si>
  <si>
    <t>pAluscs</t>
  </si>
  <si>
    <t>EU377672</t>
  </si>
  <si>
    <t>sugarcane bacilliform guadeloupe D virus</t>
  </si>
  <si>
    <t>SCBGDV</t>
  </si>
  <si>
    <t>BataviaD</t>
  </si>
  <si>
    <t>FJ439817</t>
  </si>
  <si>
    <t>banana streak IM virus</t>
  </si>
  <si>
    <t>BSIMV</t>
  </si>
  <si>
    <t>Kenya</t>
  </si>
  <si>
    <t>HQ593112</t>
  </si>
  <si>
    <t>grapevine roditis leaf discoloration-associated virus</t>
  </si>
  <si>
    <t>GRLDaV</t>
  </si>
  <si>
    <t>w4</t>
  </si>
  <si>
    <t>HG940503</t>
  </si>
  <si>
    <t>Dioscorea bacilliform RT virus 1</t>
  </si>
  <si>
    <t>DBRTV1</t>
  </si>
  <si>
    <t>KX008574</t>
  </si>
  <si>
    <t>cacao swollen shoot Ghana N virus</t>
  </si>
  <si>
    <t>CSSGNV</t>
  </si>
  <si>
    <t>Gha63-15</t>
  </si>
  <si>
    <t>MF642725</t>
  </si>
  <si>
    <t>sugarcane bacilliform MO virus</t>
  </si>
  <si>
    <t>SCBMOV</t>
  </si>
  <si>
    <t>Morocco</t>
  </si>
  <si>
    <t>M89923</t>
  </si>
  <si>
    <t>banana streak OL virus</t>
  </si>
  <si>
    <t>BSOLV</t>
  </si>
  <si>
    <t>Nigeria</t>
  </si>
  <si>
    <t>AJ002234</t>
  </si>
  <si>
    <t>Dioscorea bacilliform RT virus 2</t>
  </si>
  <si>
    <t>DBRTV2</t>
  </si>
  <si>
    <t>KX008577</t>
  </si>
  <si>
    <t>cacao swollen shoot Ghana Q virus</t>
  </si>
  <si>
    <t>CSSGQV</t>
  </si>
  <si>
    <t>Gha53-15</t>
  </si>
  <si>
    <t>MF642734</t>
  </si>
  <si>
    <t>banana streak UA virus</t>
  </si>
  <si>
    <t>BSUAV</t>
  </si>
  <si>
    <t>HQ593107</t>
  </si>
  <si>
    <t>Dioscorea bacilliform SN virus</t>
  </si>
  <si>
    <t>DBSNV</t>
  </si>
  <si>
    <t>B39-4</t>
  </si>
  <si>
    <t>DQ822073</t>
  </si>
  <si>
    <t>cacao swollen shoot Togo B virus</t>
  </si>
  <si>
    <t>CSSTBV</t>
  </si>
  <si>
    <t>Agou 1</t>
  </si>
  <si>
    <t>L14546</t>
  </si>
  <si>
    <t>banana streak UL virus</t>
  </si>
  <si>
    <t>BSULV</t>
  </si>
  <si>
    <t>HQ593109</t>
  </si>
  <si>
    <t>fig badnavirus 1</t>
  </si>
  <si>
    <t>FBV1</t>
  </si>
  <si>
    <t>Arkansas 1</t>
  </si>
  <si>
    <t>JF411989</t>
  </si>
  <si>
    <t>Dioscorea bacilliform ES virus</t>
  </si>
  <si>
    <t>DBESV</t>
  </si>
  <si>
    <t>FJ14</t>
  </si>
  <si>
    <t>KY827394</t>
  </si>
  <si>
    <t>cacao swollen shoot Ghana M virus</t>
  </si>
  <si>
    <t>CSSGMV</t>
  </si>
  <si>
    <t>GH57-15</t>
  </si>
  <si>
    <t>MF642724</t>
  </si>
  <si>
    <t>sugarcane bacilliform IM virus</t>
  </si>
  <si>
    <t>SCBIMV</t>
  </si>
  <si>
    <t>Ireng Maleng</t>
  </si>
  <si>
    <t>AJ277091</t>
  </si>
  <si>
    <t>banana streak MY virus</t>
  </si>
  <si>
    <t>BSMYV</t>
  </si>
  <si>
    <t>AY805074</t>
  </si>
  <si>
    <t>banana streak VN virus</t>
  </si>
  <si>
    <t>BSVNV</t>
  </si>
  <si>
    <t>AY750155</t>
  </si>
  <si>
    <t>Commelina yellow mottle virus</t>
  </si>
  <si>
    <t>CoYMV</t>
  </si>
  <si>
    <t>Olszewski</t>
  </si>
  <si>
    <t>X52938</t>
  </si>
  <si>
    <t>Dracaena mottle virus</t>
  </si>
  <si>
    <t>DrMV</t>
  </si>
  <si>
    <t>DQ473478</t>
  </si>
  <si>
    <t>Epiphyllum mottle-associated virus</t>
  </si>
  <si>
    <t>EpMoaV</t>
  </si>
  <si>
    <t>MH396440</t>
  </si>
  <si>
    <t>ivy ringspot-associated virus</t>
  </si>
  <si>
    <t>IRSaV</t>
  </si>
  <si>
    <t>SA1</t>
  </si>
  <si>
    <t>MN850490</t>
  </si>
  <si>
    <t>Kalanchoë top-spotting virus</t>
  </si>
  <si>
    <t>KTSV</t>
  </si>
  <si>
    <t>AY180137</t>
  </si>
  <si>
    <t>Piper yellow mottle virus</t>
  </si>
  <si>
    <t>PYMoV</t>
  </si>
  <si>
    <t>ISH-1</t>
  </si>
  <si>
    <t>KC808712</t>
  </si>
  <si>
    <t>yacon necrotic mottle virus</t>
  </si>
  <si>
    <t>YNMoV</t>
  </si>
  <si>
    <t>YV1</t>
  </si>
  <si>
    <t>KM229702</t>
  </si>
  <si>
    <t>Spiraea yellow leafspot virus</t>
  </si>
  <si>
    <t>SYLSV</t>
  </si>
  <si>
    <t>AF299074</t>
  </si>
  <si>
    <t>aucuba ringspot virus</t>
  </si>
  <si>
    <t>AuRV</t>
  </si>
  <si>
    <t>LC487411</t>
  </si>
  <si>
    <t>chinaberry tree badnavirus 1</t>
  </si>
  <si>
    <t>ChTBV1</t>
  </si>
  <si>
    <t>OL630968</t>
  </si>
  <si>
    <t>mulberry badnavirus 1</t>
  </si>
  <si>
    <t>MBV1</t>
  </si>
  <si>
    <t>Lebanon34</t>
  </si>
  <si>
    <t>LN651258</t>
  </si>
  <si>
    <t>cycad leaf necrosis virus</t>
  </si>
  <si>
    <t>CLNV</t>
  </si>
  <si>
    <t>cycad</t>
  </si>
  <si>
    <t>EU853709</t>
  </si>
  <si>
    <t>sweet potato pakakuy virus</t>
  </si>
  <si>
    <t>SPPV</t>
  </si>
  <si>
    <t>Huachano1</t>
  </si>
  <si>
    <t>FJ560943</t>
  </si>
  <si>
    <t>blackberry virus F</t>
  </si>
  <si>
    <t>BVF</t>
  </si>
  <si>
    <t>BBV-3X</t>
  </si>
  <si>
    <t>KJ413252</t>
  </si>
  <si>
    <t>Rubus yellow net virus</t>
  </si>
  <si>
    <t>RYNV</t>
  </si>
  <si>
    <t>Baumforth's Seedling A</t>
  </si>
  <si>
    <t>KM078034</t>
  </si>
  <si>
    <t>camellia lemon glow virus</t>
  </si>
  <si>
    <t>CLGV</t>
  </si>
  <si>
    <t>LG</t>
  </si>
  <si>
    <t>MN542417</t>
  </si>
  <si>
    <t>chestnut mosaic virus</t>
  </si>
  <si>
    <t>ChMV</t>
  </si>
  <si>
    <t>FRlc1224A</t>
  </si>
  <si>
    <t>MT269853</t>
  </si>
  <si>
    <t>citrus yellow mosaic virus</t>
  </si>
  <si>
    <t>CiYMV</t>
  </si>
  <si>
    <t>AF347695</t>
  </si>
  <si>
    <t>Polyscias mosaic virus</t>
  </si>
  <si>
    <t>PoMV</t>
  </si>
  <si>
    <t>AR3</t>
  </si>
  <si>
    <t>MH475918</t>
  </si>
  <si>
    <t>pagoda yellow mosaic associated virus</t>
  </si>
  <si>
    <t>PYMaV</t>
  </si>
  <si>
    <t>KJ013302</t>
  </si>
  <si>
    <t>cacao mild mosaic virus</t>
  </si>
  <si>
    <t>SCA6</t>
  </si>
  <si>
    <t>KX276640</t>
  </si>
  <si>
    <t>jujube mosaic-associated virus</t>
  </si>
  <si>
    <t>JuMaV</t>
  </si>
  <si>
    <t>Z6</t>
  </si>
  <si>
    <t>KX852476</t>
  </si>
  <si>
    <t>Dioscorea bacilliform TR virus</t>
  </si>
  <si>
    <t>DBTRV</t>
  </si>
  <si>
    <t>DVB9</t>
  </si>
  <si>
    <t>KX430257</t>
  </si>
  <si>
    <t>cacao bacilliform Sri Lanka virus</t>
  </si>
  <si>
    <t>CBSLV</t>
  </si>
  <si>
    <t>MF642736</t>
  </si>
  <si>
    <t>banana streak UM virus</t>
  </si>
  <si>
    <t>BSUMV</t>
  </si>
  <si>
    <t>HQ593110</t>
  </si>
  <si>
    <t>Bougainvillea chlorotic vein banding virus</t>
  </si>
  <si>
    <t>BCVBV</t>
  </si>
  <si>
    <t>EU034539</t>
  </si>
  <si>
    <t>Codonopsis vein clearing virus</t>
  </si>
  <si>
    <t>CoVCV</t>
  </si>
  <si>
    <t>Muju</t>
  </si>
  <si>
    <t>MK044821</t>
  </si>
  <si>
    <t>gooseberry vein banding associated virus</t>
  </si>
  <si>
    <t>GVBaV</t>
  </si>
  <si>
    <t>RC HC</t>
  </si>
  <si>
    <t>JQ316114</t>
  </si>
  <si>
    <t>cacao yellow vein banding virus</t>
  </si>
  <si>
    <t>CYVBV</t>
  </si>
  <si>
    <t>ICS27</t>
  </si>
  <si>
    <t>KX276641</t>
  </si>
  <si>
    <t>grapevine vein clearing virus</t>
  </si>
  <si>
    <t>GVCV</t>
  </si>
  <si>
    <t>LBC0903</t>
  </si>
  <si>
    <t>JF301669</t>
  </si>
  <si>
    <t>green Sichuan pepper vein clearing-associated virus</t>
  </si>
  <si>
    <t>GSPVCaV</t>
  </si>
  <si>
    <t>CQ-1</t>
  </si>
  <si>
    <t>MK371353</t>
  </si>
  <si>
    <t>grapevine badnavirus 1</t>
  </si>
  <si>
    <t>GBV 1</t>
  </si>
  <si>
    <t>VLJ-178.Gb1</t>
  </si>
  <si>
    <t>MF781082</t>
  </si>
  <si>
    <t>birch leaf roll-associated virus</t>
  </si>
  <si>
    <t>BLRaV</t>
  </si>
  <si>
    <t>BpubFin407507</t>
  </si>
  <si>
    <t>MG686419</t>
  </si>
  <si>
    <t>Wisteria badnavirus 1</t>
  </si>
  <si>
    <t>WBV1</t>
  </si>
  <si>
    <t>ZT-1</t>
  </si>
  <si>
    <t>KX168422</t>
  </si>
  <si>
    <t>Dioscorea bacilliform RT virus 3</t>
  </si>
  <si>
    <t>DBRTV3</t>
  </si>
  <si>
    <t>MF476845</t>
  </si>
  <si>
    <t>cacao swollen shoot Togo A virus</t>
  </si>
  <si>
    <t>CSSToAV</t>
  </si>
  <si>
    <t>Wobe12</t>
  </si>
  <si>
    <t>AJ781003</t>
  </si>
  <si>
    <t>banana streak UI virus</t>
  </si>
  <si>
    <t>BSUIV</t>
  </si>
  <si>
    <t>HQ593108</t>
  </si>
  <si>
    <t>Caulimovirus</t>
  </si>
  <si>
    <t>Lamium leaf distortion virus</t>
  </si>
  <si>
    <t>LLDV</t>
  </si>
  <si>
    <t>EU554423</t>
  </si>
  <si>
    <t>soybean putnam virus</t>
  </si>
  <si>
    <t>SPuV</t>
  </si>
  <si>
    <t>JQ926983</t>
  </si>
  <si>
    <t>carnation etched ring virus</t>
  </si>
  <si>
    <t>CERV</t>
  </si>
  <si>
    <t>Hull</t>
  </si>
  <si>
    <t>X04658</t>
  </si>
  <si>
    <t>horseradish latent virus</t>
  </si>
  <si>
    <t>ID1</t>
  </si>
  <si>
    <t>JX429923</t>
  </si>
  <si>
    <t>thistle mottle virus</t>
  </si>
  <si>
    <t>ThMoV</t>
  </si>
  <si>
    <t>Atractylodes mild mottle virus</t>
  </si>
  <si>
    <t>AMMV</t>
  </si>
  <si>
    <t>KR080327</t>
  </si>
  <si>
    <t>Metaplexis yellow mottle-associated virus</t>
  </si>
  <si>
    <t>MeYMaV</t>
  </si>
  <si>
    <t>LM-Cau-A</t>
  </si>
  <si>
    <t>MW656214</t>
  </si>
  <si>
    <t>Angelica bushy stunt virus</t>
  </si>
  <si>
    <t>AnBSV</t>
  </si>
  <si>
    <t>AD</t>
  </si>
  <si>
    <t>KU508800</t>
  </si>
  <si>
    <t>cauliflower mosaic virus</t>
  </si>
  <si>
    <t>Franck</t>
  </si>
  <si>
    <t>V00141</t>
  </si>
  <si>
    <t>Dahlia mosaic virus</t>
  </si>
  <si>
    <t>Portland</t>
  </si>
  <si>
    <t>JX272320</t>
  </si>
  <si>
    <t>Mirabilis mosaic virus</t>
  </si>
  <si>
    <t>Dey</t>
  </si>
  <si>
    <t>AF454635</t>
  </si>
  <si>
    <t>figwort mosaic virus</t>
  </si>
  <si>
    <t>Sc3</t>
  </si>
  <si>
    <t>X06166</t>
  </si>
  <si>
    <t>strawberry vein banding virus</t>
  </si>
  <si>
    <t>SBVB</t>
  </si>
  <si>
    <t>X97304</t>
  </si>
  <si>
    <t>Cavemovirus</t>
  </si>
  <si>
    <t>sweet potato collusive virus</t>
  </si>
  <si>
    <t>SPCV</t>
  </si>
  <si>
    <t>HQ694978</t>
  </si>
  <si>
    <t>Epiphyllum virus 4</t>
  </si>
  <si>
    <t>EpV4</t>
  </si>
  <si>
    <t>Ebert</t>
  </si>
  <si>
    <t>MN153807</t>
  </si>
  <si>
    <t>cassava vein mosaic virus</t>
  </si>
  <si>
    <t>CsVMV</t>
  </si>
  <si>
    <t>de Kochko</t>
  </si>
  <si>
    <t>U59751</t>
  </si>
  <si>
    <t>Dioscovirus</t>
  </si>
  <si>
    <t>Dioscorea nummularia-associated virus</t>
  </si>
  <si>
    <t>DNUaV</t>
  </si>
  <si>
    <t>WSM01_DN</t>
  </si>
  <si>
    <t>MG944237</t>
  </si>
  <si>
    <t>Petuvirus</t>
  </si>
  <si>
    <t>Petunia vein clearing virus</t>
  </si>
  <si>
    <t>PVCV</t>
  </si>
  <si>
    <t>Richert-Poggeler</t>
  </si>
  <si>
    <t>U95208</t>
  </si>
  <si>
    <t>Rosadnavirus</t>
  </si>
  <si>
    <t>rose yellow vein virus</t>
  </si>
  <si>
    <t>RYVV</t>
  </si>
  <si>
    <t>MN1</t>
  </si>
  <si>
    <t>JX028536</t>
  </si>
  <si>
    <t>Ruflodivirus</t>
  </si>
  <si>
    <t>Rudbeckia flower distortion virus</t>
  </si>
  <si>
    <t>RuFDV</t>
  </si>
  <si>
    <t>FJ493469</t>
  </si>
  <si>
    <t>Solendovirus</t>
  </si>
  <si>
    <t>sweet potato vein clearing virus</t>
  </si>
  <si>
    <t>SPVCV</t>
  </si>
  <si>
    <t>Dom1</t>
  </si>
  <si>
    <t>HQ694979</t>
  </si>
  <si>
    <t>tobacco vein clearing virus</t>
  </si>
  <si>
    <t>Lockhart</t>
  </si>
  <si>
    <t>AF190123</t>
  </si>
  <si>
    <t>Soymovirus</t>
  </si>
  <si>
    <t>Cestrum yellow leaf curling virus</t>
  </si>
  <si>
    <t>CmYLCV</t>
  </si>
  <si>
    <t>Stavolone</t>
  </si>
  <si>
    <t>AF364175</t>
  </si>
  <si>
    <t>water chestnut soymovirus 1</t>
  </si>
  <si>
    <t>WCSV1</t>
  </si>
  <si>
    <t>TuanFeng</t>
  </si>
  <si>
    <t>KU365408</t>
  </si>
  <si>
    <t>soybean chlorotic mottle virus</t>
  </si>
  <si>
    <t>SbCMV</t>
  </si>
  <si>
    <t>Hibi</t>
  </si>
  <si>
    <t>X15828</t>
  </si>
  <si>
    <t>blueberry red ringspot virus</t>
  </si>
  <si>
    <t>BRRV</t>
  </si>
  <si>
    <t>Glasheen</t>
  </si>
  <si>
    <t>AF404509</t>
  </si>
  <si>
    <t>peanut chlorotic streak virus</t>
  </si>
  <si>
    <t>U13988</t>
  </si>
  <si>
    <t>Tungrovirus</t>
  </si>
  <si>
    <t>Agapanthus tungro virus</t>
  </si>
  <si>
    <t>AgTV</t>
  </si>
  <si>
    <t>19-3001</t>
  </si>
  <si>
    <t>MT501685</t>
  </si>
  <si>
    <t>rice tungro bacilliform virus</t>
  </si>
  <si>
    <t>RTBV</t>
  </si>
  <si>
    <t>Philippines</t>
  </si>
  <si>
    <t>X57924</t>
  </si>
  <si>
    <t>Vaccinivirus</t>
  </si>
  <si>
    <t>Blueberry fruit drop-associated virus</t>
  </si>
  <si>
    <t>BFDaV</t>
  </si>
  <si>
    <t>WA</t>
  </si>
  <si>
    <t>KT148886</t>
  </si>
  <si>
    <t>Metaviridae</t>
  </si>
  <si>
    <t>Errantivirus</t>
  </si>
  <si>
    <t>Ceratitis capitata Yoyo virus</t>
  </si>
  <si>
    <t>CcaYoyV</t>
  </si>
  <si>
    <t>Med+</t>
  </si>
  <si>
    <t>U60529</t>
  </si>
  <si>
    <t>Drosophila ananassae Tom virus</t>
  </si>
  <si>
    <t>DanTomV</t>
  </si>
  <si>
    <t>Z24451</t>
  </si>
  <si>
    <t>Drosophila melanogaster 17.6 virus</t>
  </si>
  <si>
    <t>Dme176V</t>
  </si>
  <si>
    <t>X01472</t>
  </si>
  <si>
    <t>Drosophila melanogaster 297 virus</t>
  </si>
  <si>
    <t>Dme297V</t>
  </si>
  <si>
    <t>X03431</t>
  </si>
  <si>
    <t>Drosophila melanogaster Gypsy virus</t>
  </si>
  <si>
    <t>DmeGypV</t>
  </si>
  <si>
    <t>M12927</t>
  </si>
  <si>
    <t>Drosophila melanogaster Idefix virus</t>
  </si>
  <si>
    <t>DmeIdeV</t>
  </si>
  <si>
    <t>AJ009736</t>
  </si>
  <si>
    <t>Drosophila melanogaster Tirant virus</t>
  </si>
  <si>
    <t>DmeTirV</t>
  </si>
  <si>
    <t>X93507</t>
  </si>
  <si>
    <t>Drosophila melanogaster Zam virus</t>
  </si>
  <si>
    <t>DmeZamV</t>
  </si>
  <si>
    <t>AJ000387</t>
  </si>
  <si>
    <t>Drosophila virilis Tv1 virus</t>
  </si>
  <si>
    <t>DviTv1V</t>
  </si>
  <si>
    <t>AF056940</t>
  </si>
  <si>
    <t>Trichoplusia ni TED virus</t>
  </si>
  <si>
    <t>TniTedV</t>
  </si>
  <si>
    <t>M32662</t>
  </si>
  <si>
    <t>Metavirus</t>
  </si>
  <si>
    <t>Arabidopsis thaliana Athila virus</t>
  </si>
  <si>
    <t>AthAthV</t>
  </si>
  <si>
    <t>Arabidopsis thaliana Tat4 virus</t>
  </si>
  <si>
    <t>AthTatV</t>
  </si>
  <si>
    <t>AB005247</t>
  </si>
  <si>
    <t>Bombyx mori Mag virus</t>
  </si>
  <si>
    <t>BmoMagV</t>
  </si>
  <si>
    <t>X17219</t>
  </si>
  <si>
    <t>Caenorhabditis elegans Cer1 virus</t>
  </si>
  <si>
    <t>CelCer1V</t>
  </si>
  <si>
    <t>U15406</t>
  </si>
  <si>
    <t>Cladosporium fulvum T-1 virus</t>
  </si>
  <si>
    <t>CfuT1V</t>
  </si>
  <si>
    <t>Z11866</t>
  </si>
  <si>
    <t>Dictyostelium discoideum Skipper virus</t>
  </si>
  <si>
    <t>DdiSkiV</t>
  </si>
  <si>
    <t>AF049230</t>
  </si>
  <si>
    <t>Drosophila buzzatii Osvaldo virus</t>
  </si>
  <si>
    <t>DbuOsvV</t>
  </si>
  <si>
    <t>AJ133521</t>
  </si>
  <si>
    <t>Drosophila melanogaster 412 virus</t>
  </si>
  <si>
    <t>Dme412V</t>
  </si>
  <si>
    <t>X04132</t>
  </si>
  <si>
    <t>Drosophila melanogaster Blastopia virus</t>
  </si>
  <si>
    <t>DmeBlaV</t>
  </si>
  <si>
    <t>Z27119</t>
  </si>
  <si>
    <t>Drosophila melanogaster Mdg1 virus</t>
  </si>
  <si>
    <t>DmeMdg1V</t>
  </si>
  <si>
    <t>X59545</t>
  </si>
  <si>
    <t>Drosophila melanogaster Mdg3 virus</t>
  </si>
  <si>
    <t>DmeMdg3V</t>
  </si>
  <si>
    <t>X95908</t>
  </si>
  <si>
    <t>Drosophila melanogaster Micropia virus</t>
  </si>
  <si>
    <t>DmeMicV</t>
  </si>
  <si>
    <t>X14037</t>
  </si>
  <si>
    <t>Drosophila virilis Ulysses virus</t>
  </si>
  <si>
    <t>DviUllV</t>
  </si>
  <si>
    <t>X56645</t>
  </si>
  <si>
    <t>Fusarium oxysporum Skippy virus</t>
  </si>
  <si>
    <t>FoxSkiV</t>
  </si>
  <si>
    <t>L34658</t>
  </si>
  <si>
    <t>Lilium henryi Del1 virus</t>
  </si>
  <si>
    <t>LheDel1V</t>
  </si>
  <si>
    <t>X13886</t>
  </si>
  <si>
    <t>Saccharomyces cerevisiae Ty3 virus</t>
  </si>
  <si>
    <t>ScerTy3V</t>
  </si>
  <si>
    <t>AB950</t>
  </si>
  <si>
    <t>M34549</t>
  </si>
  <si>
    <t>Schizosaccharomyces pombe Tf1 virus</t>
  </si>
  <si>
    <t>SpoTf1V</t>
  </si>
  <si>
    <t>M38526</t>
  </si>
  <si>
    <t>Schizosaccharomyces pombe Tf2 virus</t>
  </si>
  <si>
    <t>SpoTf2V</t>
  </si>
  <si>
    <t>L10324</t>
  </si>
  <si>
    <t>Takifugu rubripes Sushi virus</t>
  </si>
  <si>
    <t>TruSusV</t>
  </si>
  <si>
    <t>AF030881</t>
  </si>
  <si>
    <t>Tribolium castaneum Woot virus</t>
  </si>
  <si>
    <t>TcaWooV</t>
  </si>
  <si>
    <t>U09586</t>
  </si>
  <si>
    <t>Tripneustis gratilla SURL virus</t>
  </si>
  <si>
    <t>TgrSurV</t>
  </si>
  <si>
    <t>M75723</t>
  </si>
  <si>
    <t>Pseudoviridae</t>
  </si>
  <si>
    <t>Hemivirus</t>
  </si>
  <si>
    <t>Aedes aegypti Mosqcopia virus</t>
  </si>
  <si>
    <t>AaeMosV</t>
  </si>
  <si>
    <t>AF134899</t>
  </si>
  <si>
    <t>Candida albicans Tca2 virus</t>
  </si>
  <si>
    <t>CalTca2V</t>
  </si>
  <si>
    <t>AF050215</t>
  </si>
  <si>
    <t>Candida albicans Tca5 virus</t>
  </si>
  <si>
    <t>CalTca5V</t>
  </si>
  <si>
    <t>AF065434</t>
  </si>
  <si>
    <t>Drosophila melanogaster 1731 virus</t>
  </si>
  <si>
    <t>Dme1731V</t>
  </si>
  <si>
    <t>X07656</t>
  </si>
  <si>
    <t>Drosophila melanogaster copia virus</t>
  </si>
  <si>
    <t>DmecopiaV</t>
  </si>
  <si>
    <t>X04456</t>
  </si>
  <si>
    <t>Saccharomyces cerevisiae Ty5 virus</t>
  </si>
  <si>
    <t>SceTy5V</t>
  </si>
  <si>
    <t>U19263</t>
  </si>
  <si>
    <t>Volvox carteri Lueckenbuesser virus</t>
  </si>
  <si>
    <t>VcaLeuV</t>
  </si>
  <si>
    <t>U90320</t>
  </si>
  <si>
    <t>Volvox carteri Osser virus</t>
  </si>
  <si>
    <t>VcaOssV</t>
  </si>
  <si>
    <t>X69552</t>
  </si>
  <si>
    <t>Pseudovirus</t>
  </si>
  <si>
    <t>Arabidopsis thaliana Art1 virus</t>
  </si>
  <si>
    <t>AthArt1V</t>
  </si>
  <si>
    <t>Y08010</t>
  </si>
  <si>
    <t>Arabidopsis thaliana AtRE1 virus</t>
  </si>
  <si>
    <t>AthAtRE1V</t>
  </si>
  <si>
    <t>AB021265</t>
  </si>
  <si>
    <t>Arabidopsis thaliana evelknievel virus</t>
  </si>
  <si>
    <t>AthEveV</t>
  </si>
  <si>
    <t>AF039373</t>
  </si>
  <si>
    <t>Arabidopsis thaliana Ta1 virus</t>
  </si>
  <si>
    <t>AthTA1V</t>
  </si>
  <si>
    <t>X13291</t>
  </si>
  <si>
    <t>Brassica oleracea Melmoth virus</t>
  </si>
  <si>
    <t>BolMelV</t>
  </si>
  <si>
    <t>Y12321</t>
  </si>
  <si>
    <t>Cajanus cajan Panzee virus</t>
  </si>
  <si>
    <t>CcaPanV</t>
  </si>
  <si>
    <t>AJ000893</t>
  </si>
  <si>
    <t>Glycine max Tgmr virus</t>
  </si>
  <si>
    <t>GmaTgmrV</t>
  </si>
  <si>
    <t>U96748</t>
  </si>
  <si>
    <t>Hordeum vulgare BARE-1 virus</t>
  </si>
  <si>
    <t>HvuBar1V</t>
  </si>
  <si>
    <t>Z17327</t>
  </si>
  <si>
    <t>Nicotiana tabacum Tnt1 virus</t>
  </si>
  <si>
    <t>NtaTnt1V</t>
  </si>
  <si>
    <t>X13777</t>
  </si>
  <si>
    <t>Nicotiana tabacum Tto1 virus</t>
  </si>
  <si>
    <t>NtaTto1V</t>
  </si>
  <si>
    <t>D83003</t>
  </si>
  <si>
    <t>Oryza australiensis RIRE1 virus</t>
  </si>
  <si>
    <t>OauRIRE1V</t>
  </si>
  <si>
    <t>D85597</t>
  </si>
  <si>
    <t>Oryza longistaminata Retrofit virus</t>
  </si>
  <si>
    <t>OloRetrofitV</t>
  </si>
  <si>
    <t>AH005614</t>
  </si>
  <si>
    <t>Physarum polycephalum Tp1 virus</t>
  </si>
  <si>
    <t>PpoTp1V</t>
  </si>
  <si>
    <t>X53558</t>
  </si>
  <si>
    <t>Saccharomyces cerevisiae Ty1 virus</t>
  </si>
  <si>
    <t>SceTy1V</t>
  </si>
  <si>
    <t>M18706</t>
  </si>
  <si>
    <t>Saccharomyces cerevisiae Ty2 virus</t>
  </si>
  <si>
    <t>SceTy2V</t>
  </si>
  <si>
    <t>X03840</t>
  </si>
  <si>
    <t>Saccharomyces cerevisiae Ty4 virus</t>
  </si>
  <si>
    <t>SceTy4V</t>
  </si>
  <si>
    <t>M94164</t>
  </si>
  <si>
    <t>Solanum tuberosum Tst1 virus</t>
  </si>
  <si>
    <t>StuTst1V</t>
  </si>
  <si>
    <t>X52387</t>
  </si>
  <si>
    <t>Triticum aestivum WIS-2 virus</t>
  </si>
  <si>
    <t>TaeWis2V</t>
  </si>
  <si>
    <t>X63184</t>
  </si>
  <si>
    <t>Zea mays Hopscotch virus</t>
  </si>
  <si>
    <t>ZmaHopV</t>
  </si>
  <si>
    <t>U12626</t>
  </si>
  <si>
    <t>Zea mays Sto-4 virus</t>
  </si>
  <si>
    <t>ZmaSto4V</t>
  </si>
  <si>
    <t>AF082133</t>
  </si>
  <si>
    <t>Sirevirus</t>
  </si>
  <si>
    <t>Arabidopsis thaliana Endovir virus</t>
  </si>
  <si>
    <t>AthEndV</t>
  </si>
  <si>
    <t>AY016208</t>
  </si>
  <si>
    <t>Glycine max SIRE1 virus</t>
  </si>
  <si>
    <t>GmaSIRV</t>
  </si>
  <si>
    <t>AF053008</t>
  </si>
  <si>
    <t>Lycopersicon esculentum ToRTL1 virus</t>
  </si>
  <si>
    <t>LesToRV</t>
  </si>
  <si>
    <t>U68072</t>
  </si>
  <si>
    <t>Zea mays Opie-2 virus</t>
  </si>
  <si>
    <t>ZmaOp2V</t>
  </si>
  <si>
    <t>U68408</t>
  </si>
  <si>
    <t>Zea mays Prem-2 virus</t>
  </si>
  <si>
    <t>ZmaPr2V</t>
  </si>
  <si>
    <t>U41000</t>
  </si>
  <si>
    <t>Retroviridae</t>
  </si>
  <si>
    <t>Orthoretrovirinae</t>
  </si>
  <si>
    <t>Alpharetrovirus</t>
  </si>
  <si>
    <t>avian carcinoma Mill Hill virus 2</t>
  </si>
  <si>
    <t>AMV2</t>
  </si>
  <si>
    <t>MH2E21</t>
  </si>
  <si>
    <t>M14008</t>
  </si>
  <si>
    <t>avian leukosis virus</t>
  </si>
  <si>
    <t>RSA</t>
  </si>
  <si>
    <t>M37980</t>
  </si>
  <si>
    <t>avian myeloblastosis virus</t>
  </si>
  <si>
    <t>J02013</t>
  </si>
  <si>
    <t>avian myelocytomatosis virus 29</t>
  </si>
  <si>
    <t>AMV29</t>
  </si>
  <si>
    <t>AF033809</t>
  </si>
  <si>
    <t>avian sarcoma virus CT10</t>
  </si>
  <si>
    <t>ASVCT10</t>
  </si>
  <si>
    <t>CT10</t>
  </si>
  <si>
    <t>Y00302</t>
  </si>
  <si>
    <t>Fujinami sarcoma virus</t>
  </si>
  <si>
    <t>FuSV</t>
  </si>
  <si>
    <t>AF033810</t>
  </si>
  <si>
    <t>Rous sarcoma virus</t>
  </si>
  <si>
    <t>RSV</t>
  </si>
  <si>
    <t>AF033808</t>
  </si>
  <si>
    <t>UR2 sarcoma virus</t>
  </si>
  <si>
    <t>UR2SV</t>
  </si>
  <si>
    <t>M10455</t>
  </si>
  <si>
    <t>Y73 sarcoma virus</t>
  </si>
  <si>
    <t>Y73SV</t>
  </si>
  <si>
    <t>PR2257/16</t>
  </si>
  <si>
    <t>L21974</t>
  </si>
  <si>
    <t>Betaretrovirus</t>
  </si>
  <si>
    <t>Jaagsiekte sheep retrovirus</t>
  </si>
  <si>
    <t>JSRV</t>
  </si>
  <si>
    <t>M80216</t>
  </si>
  <si>
    <t>langur virus</t>
  </si>
  <si>
    <t>LNGV</t>
  </si>
  <si>
    <t>Po-1-Lu</t>
  </si>
  <si>
    <t>AY282754</t>
  </si>
  <si>
    <t>Mason-Pfizer monkey virus</t>
  </si>
  <si>
    <t>MPMV</t>
  </si>
  <si>
    <t>AF033815</t>
  </si>
  <si>
    <t>mouse mammary tumor virus</t>
  </si>
  <si>
    <t>MMTV</t>
  </si>
  <si>
    <t>AF033807</t>
  </si>
  <si>
    <t>squirrel monkey retrovirus</t>
  </si>
  <si>
    <t>H</t>
  </si>
  <si>
    <t>M23385</t>
  </si>
  <si>
    <t>Deltaretrovirus</t>
  </si>
  <si>
    <t>bovine leukemia virus</t>
  </si>
  <si>
    <t>AF033818</t>
  </si>
  <si>
    <t>primate T-lymphotropic virus 1</t>
  </si>
  <si>
    <t>PTLV1</t>
  </si>
  <si>
    <t>Tan90</t>
  </si>
  <si>
    <t>AF074966</t>
  </si>
  <si>
    <t>primate T-lymphotropic virus 2</t>
  </si>
  <si>
    <t>PTLV2</t>
  </si>
  <si>
    <t>M10060</t>
  </si>
  <si>
    <t>primate T-lymphotropic virus 3</t>
  </si>
  <si>
    <t>PTLV3</t>
  </si>
  <si>
    <t>CTO-640</t>
  </si>
  <si>
    <t>AF391797</t>
  </si>
  <si>
    <t>Epsilonretrovirus</t>
  </si>
  <si>
    <t>walleye dermal sarcoma virus</t>
  </si>
  <si>
    <t>WDSV</t>
  </si>
  <si>
    <t>AF033822</t>
  </si>
  <si>
    <t>walleye epidermal hyperplasia virus 1</t>
  </si>
  <si>
    <t>WEHV1</t>
  </si>
  <si>
    <t>AF014792</t>
  </si>
  <si>
    <t>walleye epidermal hyperplasia virus 2</t>
  </si>
  <si>
    <t>WEHV2</t>
  </si>
  <si>
    <t>AF014793</t>
  </si>
  <si>
    <t>Gammaretrovirus</t>
  </si>
  <si>
    <t>chick syncytial virus</t>
  </si>
  <si>
    <t>DQ237904</t>
  </si>
  <si>
    <t>feline leukemia virus</t>
  </si>
  <si>
    <t>FeLV</t>
  </si>
  <si>
    <t>Rickard subgroup A</t>
  </si>
  <si>
    <t>AF052723</t>
  </si>
  <si>
    <t>Finkel-Biskis-Jinkins murine sarcoma virus</t>
  </si>
  <si>
    <t>FBJMSV</t>
  </si>
  <si>
    <t>K02712</t>
  </si>
  <si>
    <t>gibbon ape leukemia virus</t>
  </si>
  <si>
    <t>M26927</t>
  </si>
  <si>
    <t>Hardy-Zuckerman feline sarcoma virus</t>
  </si>
  <si>
    <t>HZFeSV</t>
  </si>
  <si>
    <t>X03711</t>
  </si>
  <si>
    <t>Harvey murine sarcoma virus</t>
  </si>
  <si>
    <t>HaMSV</t>
  </si>
  <si>
    <t>J02207</t>
  </si>
  <si>
    <t>Kirsten murine sarcoma virus</t>
  </si>
  <si>
    <t>KiMSV</t>
  </si>
  <si>
    <t>X00984</t>
  </si>
  <si>
    <t>koala retrovirus</t>
  </si>
  <si>
    <t>KoRV</t>
  </si>
  <si>
    <t>AF151794</t>
  </si>
  <si>
    <t>Moloney murine sarcoma virus</t>
  </si>
  <si>
    <t>MoMSV</t>
  </si>
  <si>
    <t>AF033813</t>
  </si>
  <si>
    <t>Moloney murine leukemia virus</t>
  </si>
  <si>
    <t>AF033811</t>
  </si>
  <si>
    <t>porcine type-C oncovirus</t>
  </si>
  <si>
    <t>PCOV</t>
  </si>
  <si>
    <t>AF356697</t>
  </si>
  <si>
    <t>reticuloendotheliosis virus</t>
  </si>
  <si>
    <t>REV</t>
  </si>
  <si>
    <t>HA9901</t>
  </si>
  <si>
    <t>AY842951</t>
  </si>
  <si>
    <t>Snyder-Theilen feline sarcoma virus</t>
  </si>
  <si>
    <t>STFeSV</t>
  </si>
  <si>
    <t>M22820</t>
  </si>
  <si>
    <t>trager duck spleen necrosis virus</t>
  </si>
  <si>
    <t>TDSNV</t>
  </si>
  <si>
    <t>woolly monkey sarcoma virus</t>
  </si>
  <si>
    <t>WMSV</t>
  </si>
  <si>
    <t>V01201</t>
  </si>
  <si>
    <t>Lentivirus</t>
  </si>
  <si>
    <t>bovine immunodeficiency virus</t>
  </si>
  <si>
    <t>BIV</t>
  </si>
  <si>
    <t>HXB3</t>
  </si>
  <si>
    <t>M32690</t>
  </si>
  <si>
    <t>caprine arthritis encephalitis virus</t>
  </si>
  <si>
    <t>CAEV</t>
  </si>
  <si>
    <t>Clements</t>
  </si>
  <si>
    <t>M33677</t>
  </si>
  <si>
    <t>equine infectious anemia virus</t>
  </si>
  <si>
    <t>U01866</t>
  </si>
  <si>
    <t>feline immunodeficiency virus</t>
  </si>
  <si>
    <t>FIV</t>
  </si>
  <si>
    <t>Petaluma</t>
  </si>
  <si>
    <t>M25381</t>
  </si>
  <si>
    <t>human immunodeficiency virus 1</t>
  </si>
  <si>
    <t>HIV-1</t>
  </si>
  <si>
    <t>AF033819</t>
  </si>
  <si>
    <t>human immunodeficiency virus 2</t>
  </si>
  <si>
    <t>HIV-2</t>
  </si>
  <si>
    <t>BEN</t>
  </si>
  <si>
    <t>M30502</t>
  </si>
  <si>
    <t>Jembrana disease virus</t>
  </si>
  <si>
    <t>Tabanan/87</t>
  </si>
  <si>
    <t>U21603</t>
  </si>
  <si>
    <t>puma lentivirus</t>
  </si>
  <si>
    <t>U03982</t>
  </si>
  <si>
    <t>simian immunodeficiency virus</t>
  </si>
  <si>
    <t>SIV</t>
  </si>
  <si>
    <t>M58410</t>
  </si>
  <si>
    <t>Visna/maedi virus</t>
  </si>
  <si>
    <t>VMV</t>
  </si>
  <si>
    <t>kv1772</t>
  </si>
  <si>
    <t>L06906</t>
  </si>
  <si>
    <t>Spumaretrovirinae</t>
  </si>
  <si>
    <t>Bovispumavirus</t>
  </si>
  <si>
    <t>bovine foamy virus Bos taurus</t>
  </si>
  <si>
    <t>BFVbta</t>
  </si>
  <si>
    <t>BSV-11</t>
  </si>
  <si>
    <t>U94514</t>
  </si>
  <si>
    <t>Equispumavirus</t>
  </si>
  <si>
    <t>equine foamy virus Equus caballus</t>
  </si>
  <si>
    <t>EFVeca</t>
  </si>
  <si>
    <t>AF201902</t>
  </si>
  <si>
    <t>Felispumavirus</t>
  </si>
  <si>
    <t>feline foamy virus Felis catus</t>
  </si>
  <si>
    <t>FFVfca</t>
  </si>
  <si>
    <t>FUV7</t>
  </si>
  <si>
    <t>Y08851</t>
  </si>
  <si>
    <t>Prosimiispumavirus</t>
  </si>
  <si>
    <t>simian foamy virus Otolemur crassicaudatus</t>
  </si>
  <si>
    <t>SFVocr</t>
  </si>
  <si>
    <t>KM233624</t>
  </si>
  <si>
    <t>Simiispumavirus</t>
  </si>
  <si>
    <t>simian foamy virus Pongo pygmaeus pygmaeus</t>
  </si>
  <si>
    <t>SFVppy</t>
  </si>
  <si>
    <t>bella</t>
  </si>
  <si>
    <t>AJ544579</t>
  </si>
  <si>
    <t>simian foamy virus Pan troglodytes troglodytes</t>
  </si>
  <si>
    <t>SFVptr_huBAD327</t>
  </si>
  <si>
    <t>human isolate BAD327</t>
  </si>
  <si>
    <t>JQ867463</t>
  </si>
  <si>
    <t>simian foamy virus Macaca fascicularis</t>
  </si>
  <si>
    <t>SFVmfa_Cy5061</t>
  </si>
  <si>
    <t>Cy5061</t>
  </si>
  <si>
    <t>LC094267</t>
  </si>
  <si>
    <t>simian foamy virus Pan troglodytes schweinfurthii</t>
  </si>
  <si>
    <t>SFVpsc</t>
  </si>
  <si>
    <t>human HSRV; clone 13</t>
  </si>
  <si>
    <t>KX087159</t>
  </si>
  <si>
    <t>simian foamy virus Chlorocebus aethiops</t>
  </si>
  <si>
    <t>SFVcae</t>
  </si>
  <si>
    <t>LK3</t>
  </si>
  <si>
    <t>M74895</t>
  </si>
  <si>
    <t>simian foamy virus Cercopithecus nictitans</t>
  </si>
  <si>
    <t>SFVcni</t>
  </si>
  <si>
    <t>human AG16</t>
  </si>
  <si>
    <t>JQ867466</t>
  </si>
  <si>
    <t>simian foamy virus Macaca fuscata</t>
  </si>
  <si>
    <t>SFVmfu</t>
  </si>
  <si>
    <t>WK1; clone pJM356</t>
  </si>
  <si>
    <t>AB923518</t>
  </si>
  <si>
    <t>simian foamy virus Macaca mulatta</t>
  </si>
  <si>
    <t>SFVmmu</t>
  </si>
  <si>
    <t>K3T</t>
  </si>
  <si>
    <t>MF280817</t>
  </si>
  <si>
    <t>SFVa</t>
  </si>
  <si>
    <t>Hooks40</t>
  </si>
  <si>
    <t>EU010385</t>
  </si>
  <si>
    <t>simian foamy virus Saimiri sciureus</t>
  </si>
  <si>
    <t>SFVssc</t>
  </si>
  <si>
    <t>GU356394</t>
  </si>
  <si>
    <t>simian foamy virus Macaca cyclopis</t>
  </si>
  <si>
    <t>SFVmcy</t>
  </si>
  <si>
    <t>FV21</t>
  </si>
  <si>
    <t>X54482</t>
  </si>
  <si>
    <t>simian foamy virus Pan troglodytes verus</t>
  </si>
  <si>
    <t>SFVpve</t>
  </si>
  <si>
    <t>SFVcpz</t>
  </si>
  <si>
    <t>U04327</t>
  </si>
  <si>
    <t>simian foamy virus Gorilla gorilla gorilla</t>
  </si>
  <si>
    <t>SFVggo</t>
  </si>
  <si>
    <t>Gg</t>
  </si>
  <si>
    <t>HM245790</t>
  </si>
  <si>
    <t>simian foamy virus Callithrix jacchus</t>
  </si>
  <si>
    <t>SFVcja</t>
  </si>
  <si>
    <t>FXV</t>
  </si>
  <si>
    <t>GU356395</t>
  </si>
  <si>
    <t>simian foamy virus Sapajus xanthosternos</t>
  </si>
  <si>
    <t>Z17</t>
  </si>
  <si>
    <t>KP143760</t>
  </si>
  <si>
    <t>Tǎchéng tick virus 5</t>
  </si>
  <si>
    <t>TcTV5</t>
  </si>
  <si>
    <t>TC254</t>
  </si>
  <si>
    <t>Caribbean watersnake bornavirus</t>
  </si>
  <si>
    <t>CWBV</t>
  </si>
  <si>
    <t>Plasmopara viticola lesion associated mononegaambi virus 2</t>
  </si>
  <si>
    <t>DMS5_DN39757</t>
  </si>
  <si>
    <t>Macrophomina phaseolina hypovirus 2</t>
  </si>
  <si>
    <t>MpHV2</t>
  </si>
  <si>
    <t>2012-022</t>
  </si>
  <si>
    <t>MT062425</t>
  </si>
  <si>
    <t>Botrytis cinerea hypovirus 3</t>
  </si>
  <si>
    <t>BcHV3</t>
  </si>
  <si>
    <t>BCI1_3</t>
  </si>
  <si>
    <t>Rosellinia necatrix hypovirus 2</t>
  </si>
  <si>
    <t>RnHV2</t>
  </si>
  <si>
    <t>Rn118-8</t>
  </si>
  <si>
    <t>Fusarium graminearum hypovirus 2</t>
  </si>
  <si>
    <t>FgHV2</t>
  </si>
  <si>
    <t>JS16</t>
  </si>
  <si>
    <t>Botrytis cinerea hypovirus 5</t>
  </si>
  <si>
    <t>BcHV5</t>
  </si>
  <si>
    <t>BCI10_DN5057</t>
  </si>
  <si>
    <t>Ribozyviria</t>
  </si>
  <si>
    <t>Kolmioviridae</t>
  </si>
  <si>
    <t>Daazvirus</t>
  </si>
  <si>
    <t>Chinese fire belly newt virus 1</t>
  </si>
  <si>
    <t>MN031239</t>
  </si>
  <si>
    <t>Dagazvirus</t>
  </si>
  <si>
    <t>rhinotermitid virus 1</t>
  </si>
  <si>
    <t>MK962759</t>
  </si>
  <si>
    <t>Daletvirus</t>
  </si>
  <si>
    <t>Swiss snake colony virus 1</t>
  </si>
  <si>
    <t>MH988742</t>
  </si>
  <si>
    <t>Dalvirus</t>
  </si>
  <si>
    <t>dabbling duck virus 1</t>
  </si>
  <si>
    <t>MH824555</t>
  </si>
  <si>
    <t>Deevirus</t>
  </si>
  <si>
    <t>ray-finned fish virus 1</t>
  </si>
  <si>
    <t>MN031240</t>
  </si>
  <si>
    <t>Deltavirus</t>
  </si>
  <si>
    <t>hepatitis D virus 7</t>
  </si>
  <si>
    <t>dFr2158</t>
  </si>
  <si>
    <t>AM183333</t>
  </si>
  <si>
    <t>hepatitis D virus 6</t>
  </si>
  <si>
    <t>dFr48</t>
  </si>
  <si>
    <t>AX741164</t>
  </si>
  <si>
    <t>hepatitis D virus 1</t>
  </si>
  <si>
    <t>TW2667</t>
  </si>
  <si>
    <t>AF104263</t>
  </si>
  <si>
    <t>hepatitis D virus 2</t>
  </si>
  <si>
    <t>TW2476</t>
  </si>
  <si>
    <t>AF104264</t>
  </si>
  <si>
    <t>hepatitis D virus 3</t>
  </si>
  <si>
    <t>VnzD8349</t>
  </si>
  <si>
    <t>AB037948</t>
  </si>
  <si>
    <t>hepatitis D virus 8</t>
  </si>
  <si>
    <t>dFr2072</t>
  </si>
  <si>
    <t>AM183330</t>
  </si>
  <si>
    <t>hepatitis D virus 4</t>
  </si>
  <si>
    <t>TW-2b</t>
  </si>
  <si>
    <t>AF018077</t>
  </si>
  <si>
    <t>hepatitis D virus 5</t>
  </si>
  <si>
    <t>dFr2005</t>
  </si>
  <si>
    <t>AM183331</t>
  </si>
  <si>
    <t>Dobrovirus</t>
  </si>
  <si>
    <t>Chusan Island toad virus 1</t>
  </si>
  <si>
    <t>MK962760</t>
  </si>
  <si>
    <t>Thurisazvirus</t>
  </si>
  <si>
    <t>Tome’s spiny-rat virus 1</t>
  </si>
  <si>
    <t>MK598003</t>
  </si>
  <si>
    <t>Varidnaviria</t>
  </si>
  <si>
    <t>Bamfordvirae</t>
  </si>
  <si>
    <t>Yaraviridae</t>
  </si>
  <si>
    <t>Yaravirus</t>
  </si>
  <si>
    <t>YaV</t>
  </si>
  <si>
    <t>BHMG</t>
  </si>
  <si>
    <t>MT293574</t>
  </si>
  <si>
    <t>Nucleocytoviricota</t>
  </si>
  <si>
    <t>Megaviricetes</t>
  </si>
  <si>
    <t>Mamonoviridae</t>
  </si>
  <si>
    <t>Medusavirus</t>
  </si>
  <si>
    <t>Acanthamoeba castellanii medusavirus J1</t>
  </si>
  <si>
    <t>ACMV-J1</t>
  </si>
  <si>
    <t>AP018495</t>
  </si>
  <si>
    <t>Medusavirus stheno T3</t>
  </si>
  <si>
    <t>MVS-T3</t>
  </si>
  <si>
    <t>T3</t>
  </si>
  <si>
    <t>MW018138</t>
  </si>
  <si>
    <t>Algavirales</t>
  </si>
  <si>
    <t>Phycodnaviridae</t>
  </si>
  <si>
    <t>Chlorovirus</t>
  </si>
  <si>
    <t>Acanthocystis turfacea Chlorella virus 1</t>
  </si>
  <si>
    <t>EF101928</t>
  </si>
  <si>
    <t>Paramecium bursaria Chlorella virus 1</t>
  </si>
  <si>
    <t>PbCV1</t>
  </si>
  <si>
    <t>JF411744</t>
  </si>
  <si>
    <t>Paramecium bursaria Chlorella virus A1</t>
  </si>
  <si>
    <t>PbCVA1</t>
  </si>
  <si>
    <t>JX997159</t>
  </si>
  <si>
    <t>Paramecium bursaria Chlorella virus IL3A</t>
  </si>
  <si>
    <t>PbCV8IL3A</t>
  </si>
  <si>
    <t>IL3A</t>
  </si>
  <si>
    <t>AY857869</t>
  </si>
  <si>
    <t>Paramecium bursaria Chlorella virus NY2A</t>
  </si>
  <si>
    <t>PbCVNY2A</t>
  </si>
  <si>
    <t>NY-2A</t>
  </si>
  <si>
    <t>DQ491002</t>
  </si>
  <si>
    <t>Paramecium bursaria Chlorella virus NYs1</t>
  </si>
  <si>
    <t>PbCVNVs1</t>
  </si>
  <si>
    <t>Coccolithovirus</t>
  </si>
  <si>
    <t>Emiliania huxleyi virus 86</t>
  </si>
  <si>
    <t>EhV86</t>
  </si>
  <si>
    <t>AJ890364</t>
  </si>
  <si>
    <t>Phaeovirus</t>
  </si>
  <si>
    <t>Ectocarpus siliculosus virus 1</t>
  </si>
  <si>
    <t>EsV1</t>
  </si>
  <si>
    <t>AF204951</t>
  </si>
  <si>
    <t>Feldmannia irregularis virus a</t>
  </si>
  <si>
    <t>FiVa</t>
  </si>
  <si>
    <t>FirrV-1</t>
  </si>
  <si>
    <t>Feldmannia species virus</t>
  </si>
  <si>
    <t>FsV</t>
  </si>
  <si>
    <t>EU916176</t>
  </si>
  <si>
    <t>Prasinovirus</t>
  </si>
  <si>
    <t>Micromonas pusilla virus SP1</t>
  </si>
  <si>
    <t>MpVSP1</t>
  </si>
  <si>
    <t>SP1</t>
  </si>
  <si>
    <t>JF974320</t>
  </si>
  <si>
    <t>Ostreococcus tauri virus OtV5</t>
  </si>
  <si>
    <t>OtV5</t>
  </si>
  <si>
    <t>EU304328</t>
  </si>
  <si>
    <t>Prymnesiovirus</t>
  </si>
  <si>
    <t>Chrysochromulina brevifilum virus PW1</t>
  </si>
  <si>
    <t>CbVPW1</t>
  </si>
  <si>
    <t>U32983</t>
  </si>
  <si>
    <t>Raphidovirus</t>
  </si>
  <si>
    <t>Heterosigma akashiwo virus 01</t>
  </si>
  <si>
    <t>HaV01</t>
  </si>
  <si>
    <t>HAV53</t>
  </si>
  <si>
    <t>KX008963</t>
  </si>
  <si>
    <t>Imitervirales</t>
  </si>
  <si>
    <t>Allomimiviridae</t>
  </si>
  <si>
    <t>Heliosvirus</t>
  </si>
  <si>
    <t>Pyramimonas orientalis virus 01B</t>
  </si>
  <si>
    <t>POV-01B</t>
  </si>
  <si>
    <t>01B</t>
  </si>
  <si>
    <t>MT663534</t>
  </si>
  <si>
    <t>Oceanusvirus</t>
  </si>
  <si>
    <t>Tetraselmis virus 1</t>
  </si>
  <si>
    <t>KY322437</t>
  </si>
  <si>
    <t>Mesomimiviridae</t>
  </si>
  <si>
    <t>Tethysvirus</t>
  </si>
  <si>
    <t>Phaeocystis globosa virus PgV-16T</t>
  </si>
  <si>
    <t>16T</t>
  </si>
  <si>
    <t>KC662249</t>
  </si>
  <si>
    <t>Chrysochromulina parva virus BQ2</t>
  </si>
  <si>
    <t>CpV</t>
  </si>
  <si>
    <t>BQ2</t>
  </si>
  <si>
    <t>MH918795</t>
  </si>
  <si>
    <t>Chrysochromulina ericina virus CeV-01B</t>
  </si>
  <si>
    <t>CeV</t>
  </si>
  <si>
    <t>KT820662</t>
  </si>
  <si>
    <t>Mimiviridae</t>
  </si>
  <si>
    <t>Aliimimivirinae</t>
  </si>
  <si>
    <t>Rheavirus</t>
  </si>
  <si>
    <t>Cafeteria roenbergensis virus</t>
  </si>
  <si>
    <t>BV-PW1</t>
  </si>
  <si>
    <t>GU244497</t>
  </si>
  <si>
    <t>Klosneuvirinae</t>
  </si>
  <si>
    <t>Fadolivirus</t>
  </si>
  <si>
    <t>Fadolivirus FV1/VV64</t>
  </si>
  <si>
    <t>FV</t>
  </si>
  <si>
    <t>FV1/VV64</t>
  </si>
  <si>
    <t>MT418680</t>
  </si>
  <si>
    <t>Theiavirus</t>
  </si>
  <si>
    <t>Bodo saltans virus</t>
  </si>
  <si>
    <t>BsV</t>
  </si>
  <si>
    <t>NG1</t>
  </si>
  <si>
    <t>MF782455</t>
  </si>
  <si>
    <t>Yasminevirus</t>
  </si>
  <si>
    <t>YV</t>
  </si>
  <si>
    <t>GU-2018</t>
  </si>
  <si>
    <t>UPSH01000001</t>
  </si>
  <si>
    <t>Megamimivirinae</t>
  </si>
  <si>
    <t>Cotonvirus</t>
  </si>
  <si>
    <t>Cotonvirus japonicus</t>
  </si>
  <si>
    <t>CVJ</t>
  </si>
  <si>
    <t>AP024483</t>
  </si>
  <si>
    <t>Megavirus</t>
  </si>
  <si>
    <t>Megavirus baoshan</t>
  </si>
  <si>
    <t>MVB</t>
  </si>
  <si>
    <t>MH046811</t>
  </si>
  <si>
    <t>Megavirus chiliensis</t>
  </si>
  <si>
    <t>MVC</t>
  </si>
  <si>
    <t>JN258408</t>
  </si>
  <si>
    <t>Powai lake megavirus</t>
  </si>
  <si>
    <t>PLMV</t>
  </si>
  <si>
    <t>KU877344</t>
  </si>
  <si>
    <t>Mimivirus</t>
  </si>
  <si>
    <t>Acanthamoeba polyphaga mimivirus</t>
  </si>
  <si>
    <t>APMV</t>
  </si>
  <si>
    <t>HQ336222</t>
  </si>
  <si>
    <t>Acanthamoeba polyphaga mimivirus Kroon</t>
  </si>
  <si>
    <t>APMVK</t>
  </si>
  <si>
    <t>Kroon</t>
  </si>
  <si>
    <t>KM982402</t>
  </si>
  <si>
    <t>Moumouvirus</t>
  </si>
  <si>
    <t>Moumouvirus australiensis</t>
  </si>
  <si>
    <t>MouA</t>
  </si>
  <si>
    <t>MG807320</t>
  </si>
  <si>
    <t>Moumouvirus goulette</t>
  </si>
  <si>
    <t>MouVG</t>
  </si>
  <si>
    <t>Goulette</t>
  </si>
  <si>
    <t>KC008572</t>
  </si>
  <si>
    <t>Acanthamoeba polyphaga moumouvirus</t>
  </si>
  <si>
    <t>APMouV</t>
  </si>
  <si>
    <t>JX962719</t>
  </si>
  <si>
    <t>Tupanvirus</t>
  </si>
  <si>
    <t>Tupanvirus deep ocean</t>
  </si>
  <si>
    <t>TV-DO</t>
  </si>
  <si>
    <t>deep ocean</t>
  </si>
  <si>
    <t>MF405918</t>
  </si>
  <si>
    <t>Tupanvirus soda lake</t>
  </si>
  <si>
    <t>TV-SL</t>
  </si>
  <si>
    <t>soda lake</t>
  </si>
  <si>
    <t>KY523104</t>
  </si>
  <si>
    <t>Schizomimiviridae</t>
  </si>
  <si>
    <t>Biavirus</t>
  </si>
  <si>
    <t>Prymnesium kappa virus</t>
  </si>
  <si>
    <t>PyrKV</t>
  </si>
  <si>
    <t>RF01</t>
  </si>
  <si>
    <t>HG999358</t>
  </si>
  <si>
    <t>Kratosvirus</t>
  </si>
  <si>
    <t>Aureococcus anophagefferens virus</t>
  </si>
  <si>
    <t>AuAV</t>
  </si>
  <si>
    <t>BtV-01</t>
  </si>
  <si>
    <t>KJ645900</t>
  </si>
  <si>
    <t>Pimascovirales</t>
  </si>
  <si>
    <t>Ascoviridae</t>
  </si>
  <si>
    <t>Ascovirus</t>
  </si>
  <si>
    <t>Heliothis virescens ascovirus 3a</t>
  </si>
  <si>
    <t>HvAV-3a</t>
  </si>
  <si>
    <t>EF133465</t>
  </si>
  <si>
    <t>Heliothis virescens ascovirus 3f</t>
  </si>
  <si>
    <t>HvAV-3f</t>
  </si>
  <si>
    <t>LD135790</t>
  </si>
  <si>
    <t>Heliothis virescens ascovirus 3g</t>
  </si>
  <si>
    <t>HvAV-3g</t>
  </si>
  <si>
    <t>Spodoptera frugiperda ascovirus 1a</t>
  </si>
  <si>
    <t>SfAV-1a</t>
  </si>
  <si>
    <t>AM398843</t>
  </si>
  <si>
    <t>Trichoplusia ni ascovirus 2a</t>
  </si>
  <si>
    <t>TnAV-2a</t>
  </si>
  <si>
    <t>Toursvirus</t>
  </si>
  <si>
    <t>Diadromus pulchellus toursvirus</t>
  </si>
  <si>
    <t>DpTV</t>
  </si>
  <si>
    <t>CU469068</t>
  </si>
  <si>
    <t>Iridoviridae</t>
  </si>
  <si>
    <t>Alphairidovirinae</t>
  </si>
  <si>
    <t>Lymphocystivirus</t>
  </si>
  <si>
    <t>lymphocystis disease virus 1</t>
  </si>
  <si>
    <t>LCDV1</t>
  </si>
  <si>
    <t>L63545</t>
  </si>
  <si>
    <t>lymphocystis disease virus 2; lymphocystis disease virus-China</t>
  </si>
  <si>
    <t>LCDV2; LCDV-C</t>
  </si>
  <si>
    <t>AY380826</t>
  </si>
  <si>
    <t>lymphocystis disease virus 3; lymphocystis disease virus-Sparus aurata</t>
  </si>
  <si>
    <t>LCDV3; LCDV-Sa</t>
  </si>
  <si>
    <t>SA9</t>
  </si>
  <si>
    <t>KX643370</t>
  </si>
  <si>
    <t>lymphocystis disease virus 4</t>
  </si>
  <si>
    <t>LCDV-4</t>
  </si>
  <si>
    <t>LCDV-WC</t>
  </si>
  <si>
    <t>MN803438</t>
  </si>
  <si>
    <t>Megalocytivirus</t>
  </si>
  <si>
    <t>infectious spleen and kidney necrosis virus</t>
  </si>
  <si>
    <t>ISKNV</t>
  </si>
  <si>
    <t>AF371960</t>
  </si>
  <si>
    <t>orange spotted grouper iridovirus</t>
  </si>
  <si>
    <t>OSGIV</t>
  </si>
  <si>
    <t>giant sea perch iridovirus - K1</t>
  </si>
  <si>
    <t>GSIV-K1</t>
  </si>
  <si>
    <t>rock bream iridovirus</t>
  </si>
  <si>
    <t>RBIV</t>
  </si>
  <si>
    <t>KOR-TY1</t>
  </si>
  <si>
    <t>turbot reddish body iridovirus</t>
  </si>
  <si>
    <t>TRBIV</t>
  </si>
  <si>
    <t>large yellow croaker iridovirus</t>
  </si>
  <si>
    <t>LYCIV</t>
  </si>
  <si>
    <t>pompano iridovirus</t>
  </si>
  <si>
    <t>PIV</t>
  </si>
  <si>
    <t>RSIV</t>
  </si>
  <si>
    <t>Ehime-1</t>
  </si>
  <si>
    <t>scale drop disease virus</t>
  </si>
  <si>
    <t>SDDV</t>
  </si>
  <si>
    <t>C4575</t>
  </si>
  <si>
    <t>KR139659</t>
  </si>
  <si>
    <t>Ranavirus</t>
  </si>
  <si>
    <t>Ambystoma tigrinum virus</t>
  </si>
  <si>
    <t>ATV</t>
  </si>
  <si>
    <t>AY150217</t>
  </si>
  <si>
    <t>common midwife toad virus-NL</t>
  </si>
  <si>
    <t>CMTV-NL</t>
  </si>
  <si>
    <t>Pelophylax kl. esculentus/2013/NL</t>
  </si>
  <si>
    <t>KP056312</t>
  </si>
  <si>
    <t>common midwife toad virus -E</t>
  </si>
  <si>
    <t>CMTV-E</t>
  </si>
  <si>
    <t>Mesotriton alpesteris/2008/E</t>
  </si>
  <si>
    <t>Andrias davidianus ranavirus</t>
  </si>
  <si>
    <t>Testudo hermanni ranavirus</t>
  </si>
  <si>
    <t>THRV</t>
  </si>
  <si>
    <t>CH8/96</t>
  </si>
  <si>
    <t>pike-perch iridovirus</t>
  </si>
  <si>
    <t>PPIV</t>
  </si>
  <si>
    <t>SLU14001</t>
  </si>
  <si>
    <t>Pelophylax esculentus virus</t>
  </si>
  <si>
    <t>Rana esculenta virus</t>
  </si>
  <si>
    <t>epizootic haematopoietic necrosis virus</t>
  </si>
  <si>
    <t>EHNV</t>
  </si>
  <si>
    <t>FJ433873</t>
  </si>
  <si>
    <t>European catfish virus</t>
  </si>
  <si>
    <t>ECV</t>
  </si>
  <si>
    <t>14612/2012</t>
  </si>
  <si>
    <t>European sheatfish virus</t>
  </si>
  <si>
    <t>Valdeolmos</t>
  </si>
  <si>
    <t>lumpfish ranavirus</t>
  </si>
  <si>
    <t>LfRV</t>
  </si>
  <si>
    <t>F24/15</t>
  </si>
  <si>
    <t>MH665358</t>
  </si>
  <si>
    <t>frog virus 3</t>
  </si>
  <si>
    <t>FV3</t>
  </si>
  <si>
    <t>AY548484</t>
  </si>
  <si>
    <t>SSME</t>
  </si>
  <si>
    <t>spotted salamander isolate - Maine</t>
  </si>
  <si>
    <t>Rana grylio virus</t>
  </si>
  <si>
    <t>soft-shelled turtle iridovirus</t>
  </si>
  <si>
    <t>SSTV</t>
  </si>
  <si>
    <t>tiger frog virus</t>
  </si>
  <si>
    <t>German gecko ranavirus</t>
  </si>
  <si>
    <t>GGRV</t>
  </si>
  <si>
    <t>2000/99</t>
  </si>
  <si>
    <t>tortoise ranavirus 1</t>
  </si>
  <si>
    <t>ToRV1</t>
  </si>
  <si>
    <t>882/96</t>
  </si>
  <si>
    <t>Bohle iridovirus</t>
  </si>
  <si>
    <t>BIV-ME 93/35</t>
  </si>
  <si>
    <t>zoo ranavirus</t>
  </si>
  <si>
    <t>ZRV</t>
  </si>
  <si>
    <t>short-finned eel virus</t>
  </si>
  <si>
    <t>ANGA 14001</t>
  </si>
  <si>
    <t>cod iridovirus</t>
  </si>
  <si>
    <t>CoIV</t>
  </si>
  <si>
    <t>GAM 14001</t>
  </si>
  <si>
    <t>ranavirus maximus</t>
  </si>
  <si>
    <t>Rmax</t>
  </si>
  <si>
    <t>SMA 15001</t>
  </si>
  <si>
    <t>largemouth bass virus</t>
  </si>
  <si>
    <t>LMBV</t>
  </si>
  <si>
    <t>BG/TH/CU3</t>
  </si>
  <si>
    <t>KU507317</t>
  </si>
  <si>
    <t>guppy virus 6</t>
  </si>
  <si>
    <t>GV6</t>
  </si>
  <si>
    <t>F93-20 #6</t>
  </si>
  <si>
    <t>doctor fish virus</t>
  </si>
  <si>
    <t>DFV</t>
  </si>
  <si>
    <t>Singapore grouper iridovirus</t>
  </si>
  <si>
    <t>SGIV</t>
  </si>
  <si>
    <t>AY521625</t>
  </si>
  <si>
    <t>Grouper iridovirus</t>
  </si>
  <si>
    <t>Betairidovirinae</t>
  </si>
  <si>
    <t>Chloriridovirus</t>
  </si>
  <si>
    <t>Anopheles minimus iridovirus</t>
  </si>
  <si>
    <t>AMIV</t>
  </si>
  <si>
    <t>KF938901</t>
  </si>
  <si>
    <t>invertebrate iridescent virus 22</t>
  </si>
  <si>
    <t>IIV22</t>
  </si>
  <si>
    <t>HF920633</t>
  </si>
  <si>
    <t>invertebrate iridescent virus 22a</t>
  </si>
  <si>
    <t>IIV22a</t>
  </si>
  <si>
    <t>Aberystwyth</t>
  </si>
  <si>
    <t>invertebrate iridescent virus 30</t>
  </si>
  <si>
    <t>IIV30</t>
  </si>
  <si>
    <t>invertebrate iridescent virus 25</t>
  </si>
  <si>
    <t>IIV25</t>
  </si>
  <si>
    <t>HF920635</t>
  </si>
  <si>
    <t>invertebrate iridescent virus 3; Mosquito iridescent virus</t>
  </si>
  <si>
    <t>IIV3; MIV</t>
  </si>
  <si>
    <t>DQ643392</t>
  </si>
  <si>
    <t>invertebrate iridescent virus 9; Wiseana iridescent virus</t>
  </si>
  <si>
    <t>IIV9; WIV</t>
  </si>
  <si>
    <t>GQ918152</t>
  </si>
  <si>
    <t>Daphniairidovirus</t>
  </si>
  <si>
    <t>Daphnia iridescent virus 1</t>
  </si>
  <si>
    <t>DIV1</t>
  </si>
  <si>
    <t>LS484712</t>
  </si>
  <si>
    <t>Decapodiridovirus</t>
  </si>
  <si>
    <t>shrimp hemocyte iridescent virus</t>
  </si>
  <si>
    <t>SHIV</t>
  </si>
  <si>
    <t>MF599468</t>
  </si>
  <si>
    <t>Cherax quadricarnatus iridovirus</t>
  </si>
  <si>
    <t>CN01</t>
  </si>
  <si>
    <t>Iridovirus</t>
  </si>
  <si>
    <t>invertebrate iridescent virus 31</t>
  </si>
  <si>
    <t>IIV31</t>
  </si>
  <si>
    <t>HF920637</t>
  </si>
  <si>
    <t>invertebrate iridescent virus 6; Chilo iridescent virus</t>
  </si>
  <si>
    <t>IIV6; CIV</t>
  </si>
  <si>
    <t>AF303741</t>
  </si>
  <si>
    <t>Marseilleviridae</t>
  </si>
  <si>
    <t>Lausannevirus</t>
  </si>
  <si>
    <t>HQ113105</t>
  </si>
  <si>
    <t>Tunisvirus</t>
  </si>
  <si>
    <t>U484</t>
  </si>
  <si>
    <t>KF483846</t>
  </si>
  <si>
    <t>Marseillevirus</t>
  </si>
  <si>
    <t>Marseillevirus marseillevirus</t>
  </si>
  <si>
    <t>MVMV</t>
  </si>
  <si>
    <t>T19</t>
  </si>
  <si>
    <t>GU071086</t>
  </si>
  <si>
    <t>Senegalvirus marseillevirus</t>
  </si>
  <si>
    <t>SVMV</t>
  </si>
  <si>
    <t>SSV-A</t>
  </si>
  <si>
    <t>JF909596; JF909597; JF909598; JF909599; JF909600; JF909601</t>
  </si>
  <si>
    <t>Pokkesviricetes</t>
  </si>
  <si>
    <t>Asfuvirales</t>
  </si>
  <si>
    <t>Asfarviridae</t>
  </si>
  <si>
    <t>Asfivirus</t>
  </si>
  <si>
    <t>African swine fever virus</t>
  </si>
  <si>
    <t>ASFV</t>
  </si>
  <si>
    <t>BA71V</t>
  </si>
  <si>
    <t>U18466</t>
  </si>
  <si>
    <t>E75</t>
  </si>
  <si>
    <t>L60</t>
  </si>
  <si>
    <t>Benin 97/1</t>
  </si>
  <si>
    <t>Georgia 2007/1</t>
  </si>
  <si>
    <t>BA71</t>
  </si>
  <si>
    <t>OURT 88/3</t>
  </si>
  <si>
    <t>NHV</t>
  </si>
  <si>
    <t>Kenya 1950</t>
  </si>
  <si>
    <t>Ken05/Tk1</t>
  </si>
  <si>
    <t>Ken06.Bus</t>
  </si>
  <si>
    <t>26544/OG10</t>
  </si>
  <si>
    <t>Odintsovo_02/14</t>
  </si>
  <si>
    <t>Warthog</t>
  </si>
  <si>
    <t>Warmbaths</t>
  </si>
  <si>
    <t>Tengani 62</t>
  </si>
  <si>
    <t>Pretorisuskop/96/4</t>
  </si>
  <si>
    <t>Mkuzi 1979</t>
  </si>
  <si>
    <t>Malawi Lil-20/1 (1983)</t>
  </si>
  <si>
    <t>47/Ss/2008</t>
  </si>
  <si>
    <t>Chitovirales</t>
  </si>
  <si>
    <t>Poxviridae</t>
  </si>
  <si>
    <t>Chordopoxvirinae</t>
  </si>
  <si>
    <t>Avipoxvirus</t>
  </si>
  <si>
    <t>canarypox virus</t>
  </si>
  <si>
    <t>Wheatley C93</t>
  </si>
  <si>
    <t>AY318871</t>
  </si>
  <si>
    <t>flamingopox virus</t>
  </si>
  <si>
    <t>FLMPV</t>
  </si>
  <si>
    <t>FGPVKD09</t>
  </si>
  <si>
    <t>MF678796</t>
  </si>
  <si>
    <t>fowlpox virus</t>
  </si>
  <si>
    <t>virulent</t>
  </si>
  <si>
    <t>AF198100</t>
  </si>
  <si>
    <t>penguinpox virus</t>
  </si>
  <si>
    <t>PNGPV</t>
  </si>
  <si>
    <t>PSan92</t>
  </si>
  <si>
    <t>KJ859677</t>
  </si>
  <si>
    <t>pigeonpox virus</t>
  </si>
  <si>
    <t>FeP2</t>
  </si>
  <si>
    <t>KJ801920</t>
  </si>
  <si>
    <t>quailpox virus</t>
  </si>
  <si>
    <t>QPV</t>
  </si>
  <si>
    <t>DQ873809</t>
  </si>
  <si>
    <t>turkeypox virus</t>
  </si>
  <si>
    <t>TKPV</t>
  </si>
  <si>
    <t>HUii24-2011</t>
  </si>
  <si>
    <t>KP728110</t>
  </si>
  <si>
    <t>Capripoxvirus</t>
  </si>
  <si>
    <t>goatpox virus</t>
  </si>
  <si>
    <t>GPV</t>
  </si>
  <si>
    <t>Pellor</t>
  </si>
  <si>
    <t>AY077835</t>
  </si>
  <si>
    <t>lumpy skin disease virus</t>
  </si>
  <si>
    <t>LSDV</t>
  </si>
  <si>
    <t>Neethling 2490</t>
  </si>
  <si>
    <t>AF325528</t>
  </si>
  <si>
    <t>sheeppox virus</t>
  </si>
  <si>
    <t>TU-V02127</t>
  </si>
  <si>
    <t>AY077832</t>
  </si>
  <si>
    <t>Centapoxvirus</t>
  </si>
  <si>
    <t>Murmansk poxvirus</t>
  </si>
  <si>
    <t>MMPV</t>
  </si>
  <si>
    <t>LEIV-11411</t>
  </si>
  <si>
    <t>MF001304</t>
  </si>
  <si>
    <t>yokapox virus</t>
  </si>
  <si>
    <t>YKV</t>
  </si>
  <si>
    <t>DakArB 4268</t>
  </si>
  <si>
    <t>HQ849551</t>
  </si>
  <si>
    <t>Cervidpoxvirus</t>
  </si>
  <si>
    <t>mule deerpox virus</t>
  </si>
  <si>
    <t>W-848-83</t>
  </si>
  <si>
    <t>AY689436</t>
  </si>
  <si>
    <t>Crocodylidpoxvirus</t>
  </si>
  <si>
    <t>Nile crocodilepox virus</t>
  </si>
  <si>
    <t>NCPV</t>
  </si>
  <si>
    <t>DQ356948</t>
  </si>
  <si>
    <t>Leporipoxvirus</t>
  </si>
  <si>
    <t>myxoma virus</t>
  </si>
  <si>
    <t>MYXV</t>
  </si>
  <si>
    <t>Lausanne</t>
  </si>
  <si>
    <t>AF170726</t>
  </si>
  <si>
    <t>Shope fibroma virus; rabbit fibroma virus</t>
  </si>
  <si>
    <t>SFV; RFV</t>
  </si>
  <si>
    <t>Kasza</t>
  </si>
  <si>
    <t>AF170722</t>
  </si>
  <si>
    <t>squirrel fibroma virus</t>
  </si>
  <si>
    <t>SQFV</t>
  </si>
  <si>
    <t>SQ3944</t>
  </si>
  <si>
    <t>EU732592</t>
  </si>
  <si>
    <t>Macropopoxvirus</t>
  </si>
  <si>
    <t>Eastern grey kangaroopox virus</t>
  </si>
  <si>
    <t>EKPV</t>
  </si>
  <si>
    <t>Sunshine Coast</t>
  </si>
  <si>
    <t>MF467281</t>
  </si>
  <si>
    <t>Western grey kangaroopox virus</t>
  </si>
  <si>
    <t>WKPV</t>
  </si>
  <si>
    <t>Western Australia</t>
  </si>
  <si>
    <t>MF467280</t>
  </si>
  <si>
    <t>Molluscipoxvirus</t>
  </si>
  <si>
    <t>molluscum contagiosum virus</t>
  </si>
  <si>
    <t>subtype 1</t>
  </si>
  <si>
    <t>U60315</t>
  </si>
  <si>
    <t>Mustelpoxvirus</t>
  </si>
  <si>
    <t>sea otterpox virus</t>
  </si>
  <si>
    <t>SOPV</t>
  </si>
  <si>
    <t>ELK</t>
  </si>
  <si>
    <t>MH427217</t>
  </si>
  <si>
    <t>Orthopoxvirus</t>
  </si>
  <si>
    <t>orthopoxvirus Abatino</t>
  </si>
  <si>
    <t>ABMPV</t>
  </si>
  <si>
    <t>MH816996</t>
  </si>
  <si>
    <t>Akhmeta virus</t>
  </si>
  <si>
    <t>AKHV</t>
  </si>
  <si>
    <t>Akhmeta_2013-88</t>
  </si>
  <si>
    <t>MH607141</t>
  </si>
  <si>
    <t>camelpox virus</t>
  </si>
  <si>
    <t>CMPV</t>
  </si>
  <si>
    <t>M-96</t>
  </si>
  <si>
    <t>AF438165</t>
  </si>
  <si>
    <t>cowpox virus</t>
  </si>
  <si>
    <t>Brighton Red</t>
  </si>
  <si>
    <t>AF482758</t>
  </si>
  <si>
    <t>ectromelia virus</t>
  </si>
  <si>
    <t>ECTV</t>
  </si>
  <si>
    <t>Moscow</t>
  </si>
  <si>
    <t>AF012825</t>
  </si>
  <si>
    <t>monkeypox virus</t>
  </si>
  <si>
    <t>Zaire-96-I-16</t>
  </si>
  <si>
    <t>AF380138</t>
  </si>
  <si>
    <t>raccoonpox virus</t>
  </si>
  <si>
    <t>RAPV</t>
  </si>
  <si>
    <t>Herman</t>
  </si>
  <si>
    <t>KP143769</t>
  </si>
  <si>
    <t>skunkpox virus</t>
  </si>
  <si>
    <t>SKPV</t>
  </si>
  <si>
    <t>KU749310</t>
  </si>
  <si>
    <t>taterapox virus</t>
  </si>
  <si>
    <t>TATPV</t>
  </si>
  <si>
    <t>Dahomey 1968</t>
  </si>
  <si>
    <t>DQ437594</t>
  </si>
  <si>
    <t>vaccinia virus</t>
  </si>
  <si>
    <t>VACV</t>
  </si>
  <si>
    <t>Western Reserve</t>
  </si>
  <si>
    <t>AY243312</t>
  </si>
  <si>
    <t>variola virus</t>
  </si>
  <si>
    <t>VARV</t>
  </si>
  <si>
    <t>Ind3</t>
  </si>
  <si>
    <t>X69198</t>
  </si>
  <si>
    <t>volepox virus</t>
  </si>
  <si>
    <t>VPXV</t>
  </si>
  <si>
    <t>KU749311</t>
  </si>
  <si>
    <t>Oryzopoxvirus</t>
  </si>
  <si>
    <t>Cotia virus</t>
  </si>
  <si>
    <t>COTV</t>
  </si>
  <si>
    <t>SPAn232</t>
  </si>
  <si>
    <t>HQ647181</t>
  </si>
  <si>
    <t>Parapoxvirus</t>
  </si>
  <si>
    <t>bovine papular stomatitis virus</t>
  </si>
  <si>
    <t>BPSV</t>
  </si>
  <si>
    <t>ORFB</t>
  </si>
  <si>
    <t>AY386265</t>
  </si>
  <si>
    <t>seal parapoxvirus</t>
  </si>
  <si>
    <t>GSEPV</t>
  </si>
  <si>
    <t>AFK76s1</t>
  </si>
  <si>
    <t>KY382358</t>
  </si>
  <si>
    <t>orf virus</t>
  </si>
  <si>
    <t>ORFV</t>
  </si>
  <si>
    <t>ORFD</t>
  </si>
  <si>
    <t>AY386264</t>
  </si>
  <si>
    <t>pseudocowpox virus</t>
  </si>
  <si>
    <t>PCPV</t>
  </si>
  <si>
    <t>VR634</t>
  </si>
  <si>
    <t>GQ329670</t>
  </si>
  <si>
    <t>parapoxvirus red deer</t>
  </si>
  <si>
    <t>RDPV</t>
  </si>
  <si>
    <t>HL953</t>
  </si>
  <si>
    <t>KM502564</t>
  </si>
  <si>
    <t>Pteropopoxvirus</t>
  </si>
  <si>
    <t>pteropox virus</t>
  </si>
  <si>
    <t>PTPV</t>
  </si>
  <si>
    <t>KU980965</t>
  </si>
  <si>
    <t>Salmonpoxvirus</t>
  </si>
  <si>
    <t>salmon gillpox virus</t>
  </si>
  <si>
    <t>SMGPV</t>
  </si>
  <si>
    <t>KT159937</t>
  </si>
  <si>
    <t>Sciuripoxvirus</t>
  </si>
  <si>
    <t>squirrelpox virus</t>
  </si>
  <si>
    <t>SQPV</t>
  </si>
  <si>
    <t>Red squirrel UK</t>
  </si>
  <si>
    <t>HE601899</t>
  </si>
  <si>
    <t>Suipoxvirus</t>
  </si>
  <si>
    <t>swinepox virus</t>
  </si>
  <si>
    <t>SWPV</t>
  </si>
  <si>
    <t>17077-99</t>
  </si>
  <si>
    <t>AF410153</t>
  </si>
  <si>
    <t>Vespertilionpoxvirus</t>
  </si>
  <si>
    <t>eptesipox virus</t>
  </si>
  <si>
    <t>EPTPV</t>
  </si>
  <si>
    <t>KY747497</t>
  </si>
  <si>
    <t>Yatapoxvirus</t>
  </si>
  <si>
    <t>yaba-like disease virus</t>
  </si>
  <si>
    <t>YLDV</t>
  </si>
  <si>
    <t>Davis</t>
  </si>
  <si>
    <t>AJ293568</t>
  </si>
  <si>
    <t>tanapox virus</t>
  </si>
  <si>
    <t>TPV-Kenya</t>
  </si>
  <si>
    <t>Yaba monkey tumor virus</t>
  </si>
  <si>
    <t>YMTV</t>
  </si>
  <si>
    <t>AY386371</t>
  </si>
  <si>
    <t>Entomopoxvirinae</t>
  </si>
  <si>
    <t>Diachasmimorpha longicaudata entomopoxvirus</t>
  </si>
  <si>
    <t>DLEV</t>
  </si>
  <si>
    <t>KR095315</t>
  </si>
  <si>
    <t>Alphaentomopoxvirus</t>
  </si>
  <si>
    <t>Anomala cuprea entomopoxvirus</t>
  </si>
  <si>
    <t>ACEV</t>
  </si>
  <si>
    <t>CV6M</t>
  </si>
  <si>
    <t>AP013055</t>
  </si>
  <si>
    <t>Melolontha melolontha entomopoxvirus</t>
  </si>
  <si>
    <t>MMEV</t>
  </si>
  <si>
    <t>X77616</t>
  </si>
  <si>
    <t>Betaentomopoxvirus</t>
  </si>
  <si>
    <t>Adoxophyes honmai entomopoxvirus</t>
  </si>
  <si>
    <t>Tokyo</t>
  </si>
  <si>
    <t>HF679131</t>
  </si>
  <si>
    <t>Amsacta moorei entomopoxvirus</t>
  </si>
  <si>
    <t>AMEV</t>
  </si>
  <si>
    <t>AF250284</t>
  </si>
  <si>
    <t>Choristoneura biennis entomopoxvirus</t>
  </si>
  <si>
    <t>CBEV</t>
  </si>
  <si>
    <t>HF679132</t>
  </si>
  <si>
    <t>Choristoneura fumiferana entomopoxvirus</t>
  </si>
  <si>
    <t>CFEV</t>
  </si>
  <si>
    <t>Choristoneura rosaceana entomopoxvirus</t>
  </si>
  <si>
    <t>CREV</t>
  </si>
  <si>
    <t>HF679133</t>
  </si>
  <si>
    <t>LMEV</t>
  </si>
  <si>
    <t>Mythimna separata entomopoxvirus</t>
  </si>
  <si>
    <t>HF679134</t>
  </si>
  <si>
    <t>Deltaentomopoxvirus</t>
  </si>
  <si>
    <t>Melanoplus sanguinipes entomopoxvirus 'O'</t>
  </si>
  <si>
    <t>MSEV</t>
  </si>
  <si>
    <t>Tucson</t>
  </si>
  <si>
    <t>AF063866</t>
  </si>
  <si>
    <t>Preplasmiviricota</t>
  </si>
  <si>
    <t>Ainoaviricetes</t>
  </si>
  <si>
    <t>Lautamovirales</t>
  </si>
  <si>
    <t>Finnlakeviridae</t>
  </si>
  <si>
    <t>Finnlakevirus</t>
  </si>
  <si>
    <t>Flavobacterium phage FLiP</t>
  </si>
  <si>
    <t>FLiP</t>
  </si>
  <si>
    <t>MF361639</t>
  </si>
  <si>
    <t>Maveriviricetes</t>
  </si>
  <si>
    <t>Priklausovirales</t>
  </si>
  <si>
    <t>Mavirus</t>
  </si>
  <si>
    <t>Maverick-related virus</t>
  </si>
  <si>
    <t>Spezi</t>
  </si>
  <si>
    <t>HQ712116</t>
  </si>
  <si>
    <t>Sputnikvirus</t>
  </si>
  <si>
    <t>Sputnik virus 1</t>
  </si>
  <si>
    <t>SV1</t>
  </si>
  <si>
    <t>EU606015</t>
  </si>
  <si>
    <t>Zamilon virus</t>
  </si>
  <si>
    <t>ZV</t>
  </si>
  <si>
    <t>strain</t>
  </si>
  <si>
    <t>HG531932</t>
  </si>
  <si>
    <t>Polintoviricetes</t>
  </si>
  <si>
    <t>Orthopolintovirales</t>
  </si>
  <si>
    <t>Adintoviridae</t>
  </si>
  <si>
    <t>Alphadintovirus</t>
  </si>
  <si>
    <t>Mayetiola barley midge adintovirus</t>
  </si>
  <si>
    <t>BK011003</t>
  </si>
  <si>
    <t>Betadintovirus</t>
  </si>
  <si>
    <t>Terrapene box turtle adintovirus</t>
  </si>
  <si>
    <t>BK010890</t>
  </si>
  <si>
    <t>Tectiliviricetes</t>
  </si>
  <si>
    <t>Autolykiviridae</t>
  </si>
  <si>
    <t>Livvievirus</t>
  </si>
  <si>
    <t>Vibrio phage 1.249.A._10N.261.55.B9</t>
  </si>
  <si>
    <t>1.249.A.</t>
  </si>
  <si>
    <t>MG592615</t>
  </si>
  <si>
    <t>Vibrio phage 1.044.O._10N.261.51.B8</t>
  </si>
  <si>
    <t>1.044.O.</t>
  </si>
  <si>
    <t>MG592427</t>
  </si>
  <si>
    <t>Paulavirus</t>
  </si>
  <si>
    <t>Vibrio phage 1.008.O._10N.286.54.E5</t>
  </si>
  <si>
    <t>1.008.O.</t>
  </si>
  <si>
    <t>MG592394</t>
  </si>
  <si>
    <t>Vibrio phage 1.020.O._10N.222.48.A2</t>
  </si>
  <si>
    <t>1.020.O.</t>
  </si>
  <si>
    <t>MG592402</t>
  </si>
  <si>
    <t>Vibrio phage 1.080.O._10N.286.48.A4</t>
  </si>
  <si>
    <t>1.080.O.</t>
  </si>
  <si>
    <t>MG592455</t>
  </si>
  <si>
    <t>Atroposvirales</t>
  </si>
  <si>
    <t>Skuldviridae</t>
  </si>
  <si>
    <t>Delusorvirus</t>
  </si>
  <si>
    <t>Lokiarchaeia virus SkuldV3</t>
  </si>
  <si>
    <t>SkuldV3</t>
  </si>
  <si>
    <t>BK062752</t>
  </si>
  <si>
    <t>Lokiarchaeia virus SkuldV1</t>
  </si>
  <si>
    <t>SkuldV1</t>
  </si>
  <si>
    <t>OK558607</t>
  </si>
  <si>
    <t>Belfryvirales</t>
  </si>
  <si>
    <t>Turriviridae</t>
  </si>
  <si>
    <t>Alphaturrivirus</t>
  </si>
  <si>
    <t>Sulfolobus turreted icosahedral virus 1</t>
  </si>
  <si>
    <t>STIV1</t>
  </si>
  <si>
    <t>AY569307</t>
  </si>
  <si>
    <t>Sulfolobus turreted icosahedral virus 2</t>
  </si>
  <si>
    <t>STIV2</t>
  </si>
  <si>
    <t>GU080336</t>
  </si>
  <si>
    <t>Coyopavirales</t>
  </si>
  <si>
    <t>Chaacviridae</t>
  </si>
  <si>
    <t>Antichaacvirus</t>
  </si>
  <si>
    <t>Methanophagales virus PBV266</t>
  </si>
  <si>
    <t>PBV266</t>
  </si>
  <si>
    <t>OP413841</t>
  </si>
  <si>
    <t>Homochaacvirus</t>
  </si>
  <si>
    <t>Methanophagales virus PBV305</t>
  </si>
  <si>
    <t>PBV305</t>
  </si>
  <si>
    <t>OP548100</t>
  </si>
  <si>
    <t>Methanophagales virus PBV304</t>
  </si>
  <si>
    <t>PBV304</t>
  </si>
  <si>
    <t>OP548099</t>
  </si>
  <si>
    <t>Kalamavirales</t>
  </si>
  <si>
    <t>Tectiviridae</t>
  </si>
  <si>
    <t>Alphatectivirus</t>
  </si>
  <si>
    <t>Enterobacteria phage PR4</t>
  </si>
  <si>
    <t>AY848686</t>
  </si>
  <si>
    <t>Enterobacteria phage PRD1</t>
  </si>
  <si>
    <t>AY848689</t>
  </si>
  <si>
    <t>Betatectivirus</t>
  </si>
  <si>
    <t>Bacillus phage AP50</t>
  </si>
  <si>
    <t>BVAP50</t>
  </si>
  <si>
    <t>EU408779</t>
  </si>
  <si>
    <t>Bacillus phage Bam35c</t>
  </si>
  <si>
    <t>BVBam35</t>
  </si>
  <si>
    <t>AY257527</t>
  </si>
  <si>
    <t>Bacillus phage GIL16c</t>
  </si>
  <si>
    <t>AY701338</t>
  </si>
  <si>
    <t>Bacillus phage Sato</t>
  </si>
  <si>
    <t>MZ089978</t>
  </si>
  <si>
    <t>Bacillus phage Sole</t>
  </si>
  <si>
    <t>MZ089979</t>
  </si>
  <si>
    <t>Bacillus phage Wip1</t>
  </si>
  <si>
    <t>KF188458</t>
  </si>
  <si>
    <t>Deltatectivirus</t>
  </si>
  <si>
    <t>Streptomyces phage Forthebois</t>
  </si>
  <si>
    <t>MK620900</t>
  </si>
  <si>
    <t>Streptomyces phage WheeHeim</t>
  </si>
  <si>
    <t>MK305890</t>
  </si>
  <si>
    <t>Epsilontectivirus</t>
  </si>
  <si>
    <t>Rhodococcus phage Toil</t>
  </si>
  <si>
    <t>KY817360</t>
  </si>
  <si>
    <t>Gammatectivirus</t>
  </si>
  <si>
    <t>Gluconobacter phage GC1</t>
  </si>
  <si>
    <t>MG159787</t>
  </si>
  <si>
    <t>Rowavirales</t>
  </si>
  <si>
    <t>Adenoviridae</t>
  </si>
  <si>
    <t>bovine adenovirus 4</t>
  </si>
  <si>
    <t>BAdV-4</t>
  </si>
  <si>
    <t>THT/62</t>
  </si>
  <si>
    <t>AF036092</t>
  </si>
  <si>
    <t>bovine adenovirus 5</t>
  </si>
  <si>
    <t>BAdV-5</t>
  </si>
  <si>
    <t>B4/65</t>
  </si>
  <si>
    <t>bovine adenovirus 8</t>
  </si>
  <si>
    <t>BAdV-8</t>
  </si>
  <si>
    <t>Misk/67</t>
  </si>
  <si>
    <t>bovine adenovirus 6</t>
  </si>
  <si>
    <t>BAdV-6</t>
  </si>
  <si>
    <t>JQ345700</t>
  </si>
  <si>
    <t>deer adenovirus 1; Odocoileus adenovirus 1</t>
  </si>
  <si>
    <t>OdAdV-1</t>
  </si>
  <si>
    <t>CA_AdV_Ohc 98-6943</t>
  </si>
  <si>
    <t>KY748210</t>
  </si>
  <si>
    <t>duck adenovirus 1</t>
  </si>
  <si>
    <t>DAdV-1</t>
  </si>
  <si>
    <t>lizard adenovirus 2</t>
  </si>
  <si>
    <t>LAdV-2</t>
  </si>
  <si>
    <t>23-6</t>
  </si>
  <si>
    <t>KJ156523</t>
  </si>
  <si>
    <t>bearded dragon adenovirus 1</t>
  </si>
  <si>
    <t>BDAdV-1</t>
  </si>
  <si>
    <t>BD5H2</t>
  </si>
  <si>
    <t>MT050041</t>
  </si>
  <si>
    <t>ovine adenovirus 7</t>
  </si>
  <si>
    <t>OAdV-7</t>
  </si>
  <si>
    <t>OAV287</t>
  </si>
  <si>
    <t>U40839</t>
  </si>
  <si>
    <t>possum adenovirus 1</t>
  </si>
  <si>
    <t>PoAdV-1</t>
  </si>
  <si>
    <t>psittacine adenovirus 3</t>
  </si>
  <si>
    <t>PsAdV-3</t>
  </si>
  <si>
    <t>HKU/Parrot19</t>
  </si>
  <si>
    <t>KJ675568</t>
  </si>
  <si>
    <t>snake adenovirus 1</t>
  </si>
  <si>
    <t>SnAdV-1</t>
  </si>
  <si>
    <t>145/88</t>
  </si>
  <si>
    <t>DQ106414</t>
  </si>
  <si>
    <t>Aviadenovirus</t>
  </si>
  <si>
    <t>Southern Psittacara leucophthalmus aviadenovirus; white-eyed parakeet adenovirus 2</t>
  </si>
  <si>
    <t>MN153802</t>
  </si>
  <si>
    <t>duck adenovirus 2</t>
  </si>
  <si>
    <t>DAdV-2</t>
  </si>
  <si>
    <t>GR</t>
  </si>
  <si>
    <t>KJ469653</t>
  </si>
  <si>
    <t>duck adenovirus 3</t>
  </si>
  <si>
    <t>DAdV-3</t>
  </si>
  <si>
    <t>FJGT01</t>
  </si>
  <si>
    <t>falcon adenovirus 1</t>
  </si>
  <si>
    <t>FaAdV-1</t>
  </si>
  <si>
    <t>fowl adenovirus 1</t>
  </si>
  <si>
    <t>FAdV-1</t>
  </si>
  <si>
    <t>CELO Phelps</t>
  </si>
  <si>
    <t>fowl adenovirus 5</t>
  </si>
  <si>
    <t>FAdV-5</t>
  </si>
  <si>
    <t>KC493646</t>
  </si>
  <si>
    <t>fowl adenovirus 4</t>
  </si>
  <si>
    <t>FAdV-4</t>
  </si>
  <si>
    <t>KR5</t>
  </si>
  <si>
    <t>HE608152</t>
  </si>
  <si>
    <t>fowl adenovirus 10</t>
  </si>
  <si>
    <t>FAdV-10</t>
  </si>
  <si>
    <t>C2-B</t>
  </si>
  <si>
    <t>fowl adenovirus 9</t>
  </si>
  <si>
    <t>FAdV-9</t>
  </si>
  <si>
    <t>A-2A</t>
  </si>
  <si>
    <t>AF083975</t>
  </si>
  <si>
    <t>fowl adenovirus 2</t>
  </si>
  <si>
    <t>FAdV-2</t>
  </si>
  <si>
    <t>SR48</t>
  </si>
  <si>
    <t>fowl adenovirus 3</t>
  </si>
  <si>
    <t>FAdV-3</t>
  </si>
  <si>
    <t>SR49</t>
  </si>
  <si>
    <t>fowl adenovirus 11</t>
  </si>
  <si>
    <t>FAdV-11</t>
  </si>
  <si>
    <t>fowl adenovirus 6</t>
  </si>
  <si>
    <t>FAdV-6</t>
  </si>
  <si>
    <t>CR119</t>
  </si>
  <si>
    <t>KT862808</t>
  </si>
  <si>
    <t>fowl adenovirus 7</t>
  </si>
  <si>
    <t>FAdV-7</t>
  </si>
  <si>
    <t>YR36</t>
  </si>
  <si>
    <t>fowl adenovirus 8a</t>
  </si>
  <si>
    <t>FAdV-8a</t>
  </si>
  <si>
    <t>TR59</t>
  </si>
  <si>
    <t>fowl adenovirus 8b</t>
  </si>
  <si>
    <t>FAdV-8b</t>
  </si>
  <si>
    <t>goose adenovirus 4</t>
  </si>
  <si>
    <t>GoAdV-4</t>
  </si>
  <si>
    <t>P29</t>
  </si>
  <si>
    <t>JF510462</t>
  </si>
  <si>
    <t>pigeon adenovirus 1</t>
  </si>
  <si>
    <t>PiAdV-1</t>
  </si>
  <si>
    <t>IDA4</t>
  </si>
  <si>
    <t>FN824512</t>
  </si>
  <si>
    <t>pigeon adenovirus 2</t>
  </si>
  <si>
    <t>PiAdV-2</t>
  </si>
  <si>
    <t>YPDS-Y-V1.A19.11-2013</t>
  </si>
  <si>
    <t>KX121164</t>
  </si>
  <si>
    <t>psittacine adenovirus 4</t>
  </si>
  <si>
    <t>PsAdV-4</t>
  </si>
  <si>
    <t>CS15-4016</t>
  </si>
  <si>
    <t>KX577802</t>
  </si>
  <si>
    <t>psittacine adenovirus 1</t>
  </si>
  <si>
    <t>PsAdV-1</t>
  </si>
  <si>
    <t>18VIR149_ITA_2018</t>
  </si>
  <si>
    <t>MH580295</t>
  </si>
  <si>
    <t>turkey adenovirus 1</t>
  </si>
  <si>
    <t>TAdV-1</t>
  </si>
  <si>
    <t>D90/2</t>
  </si>
  <si>
    <t>GU936707</t>
  </si>
  <si>
    <t>turkey adenovirus 4</t>
  </si>
  <si>
    <t>TAdV-4</t>
  </si>
  <si>
    <t>TNI1</t>
  </si>
  <si>
    <t>KF477312</t>
  </si>
  <si>
    <t>turkey adenovirus 5</t>
  </si>
  <si>
    <t>TAdV-5</t>
  </si>
  <si>
    <t>1277BT</t>
  </si>
  <si>
    <t>KF477313</t>
  </si>
  <si>
    <t>Ichtadenovirus</t>
  </si>
  <si>
    <t>white sturgeon adenovirus 1</t>
  </si>
  <si>
    <t>WSAdV-1</t>
  </si>
  <si>
    <t>WSAdV1/1996</t>
  </si>
  <si>
    <t>MK101347</t>
  </si>
  <si>
    <t>Mastadenovirus</t>
  </si>
  <si>
    <t>bat adenovirus 3</t>
  </si>
  <si>
    <t>BaAdV-3</t>
  </si>
  <si>
    <t>TJM</t>
  </si>
  <si>
    <t>GU226970</t>
  </si>
  <si>
    <t>bat adenovirus Mm32</t>
  </si>
  <si>
    <t>BaAdV-Mm32</t>
  </si>
  <si>
    <t>Mm32</t>
  </si>
  <si>
    <t>bat adenovirus 2</t>
  </si>
  <si>
    <t>BaAdV-2</t>
  </si>
  <si>
    <t>PPV1</t>
  </si>
  <si>
    <t>JN252129</t>
  </si>
  <si>
    <t>bat adenovirus 4</t>
  </si>
  <si>
    <t>BaAdV-4</t>
  </si>
  <si>
    <t>WIV9</t>
  </si>
  <si>
    <t>KT698853</t>
  </si>
  <si>
    <t>bat adenovirus 7</t>
  </si>
  <si>
    <t>BaAdV-7</t>
  </si>
  <si>
    <t>WIV12</t>
  </si>
  <si>
    <t>KT698856</t>
  </si>
  <si>
    <t>bat adenovirus 8</t>
  </si>
  <si>
    <t>BaAdV-8</t>
  </si>
  <si>
    <t>WIV13</t>
  </si>
  <si>
    <t>KT698852</t>
  </si>
  <si>
    <t>bat adenovirus 9</t>
  </si>
  <si>
    <t>BaAdV-9</t>
  </si>
  <si>
    <t>WIV17</t>
  </si>
  <si>
    <t>KX961095</t>
  </si>
  <si>
    <t>bat adenovirus 10</t>
  </si>
  <si>
    <t>BaAdV-10</t>
  </si>
  <si>
    <t>WIV18</t>
  </si>
  <si>
    <t>bat adenovirus 11</t>
  </si>
  <si>
    <t>BaAdV-11</t>
  </si>
  <si>
    <t>250-A</t>
  </si>
  <si>
    <t>KX871230</t>
  </si>
  <si>
    <t>straw-colored fruit bat adenovirus</t>
  </si>
  <si>
    <t>06-106</t>
  </si>
  <si>
    <t>AP018374</t>
  </si>
  <si>
    <t>Egyptian fruit bat adenovirus</t>
  </si>
  <si>
    <t>MG551742</t>
  </si>
  <si>
    <t>bat adenovirus Vs9</t>
  </si>
  <si>
    <t>Vs9</t>
  </si>
  <si>
    <t>LC385827</t>
  </si>
  <si>
    <t>bovine adenovirus 1</t>
  </si>
  <si>
    <t>BAdV-1</t>
  </si>
  <si>
    <t>bovine adenovirus 3</t>
  </si>
  <si>
    <t>BAdV-3</t>
  </si>
  <si>
    <t>WBR-1</t>
  </si>
  <si>
    <t>bovine adenovirus 10</t>
  </si>
  <si>
    <t>BAdV-10</t>
  </si>
  <si>
    <t>canine adenovirus 1</t>
  </si>
  <si>
    <t>CAdV-1</t>
  </si>
  <si>
    <t>RI261</t>
  </si>
  <si>
    <t>canine adenovirus 2</t>
  </si>
  <si>
    <t>CAdV-2</t>
  </si>
  <si>
    <t>Toronto A26/61</t>
  </si>
  <si>
    <t>vespertillonid adenovirus 4</t>
  </si>
  <si>
    <t>VeAdV-4</t>
  </si>
  <si>
    <t>492/08</t>
  </si>
  <si>
    <t>OdAdV-2</t>
  </si>
  <si>
    <t>KY306667</t>
  </si>
  <si>
    <t>bottlenose dolphin adenovirus 2</t>
  </si>
  <si>
    <t>BnDAdV-2</t>
  </si>
  <si>
    <t>Tt11018</t>
  </si>
  <si>
    <t>KR024710</t>
  </si>
  <si>
    <t>bottlenose dolphin adenovirus 1</t>
  </si>
  <si>
    <t>BnDAdV-1</t>
  </si>
  <si>
    <t>LT841149</t>
  </si>
  <si>
    <t>equine adenovirus 1</t>
  </si>
  <si>
    <t>EAdV-1</t>
  </si>
  <si>
    <t>JN418926</t>
  </si>
  <si>
    <t>equine adenovirus 2</t>
  </si>
  <si>
    <t>EAdV-2</t>
  </si>
  <si>
    <t>EAdV2.385/75.9</t>
  </si>
  <si>
    <t>KT160425</t>
  </si>
  <si>
    <t>Guinea pig adenovirus 1</t>
  </si>
  <si>
    <t>GPAdV-1</t>
  </si>
  <si>
    <t>AUS96</t>
  </si>
  <si>
    <t>MN986925</t>
  </si>
  <si>
    <t>human adenovirus 12</t>
  </si>
  <si>
    <t>HAdV-12</t>
  </si>
  <si>
    <t>X73487</t>
  </si>
  <si>
    <t>human adenovirus 18</t>
  </si>
  <si>
    <t>HAdV-18</t>
  </si>
  <si>
    <t>D.C.</t>
  </si>
  <si>
    <t>human adenovirus 31</t>
  </si>
  <si>
    <t>HAdV-31</t>
  </si>
  <si>
    <t>simian adenovirus ch1</t>
  </si>
  <si>
    <t>SAdV-ch1</t>
  </si>
  <si>
    <t>human adenovirus 3</t>
  </si>
  <si>
    <t>HAdV-3</t>
  </si>
  <si>
    <t>DQ086466</t>
  </si>
  <si>
    <t>human adenovirus 7</t>
  </si>
  <si>
    <t>HAdV-7</t>
  </si>
  <si>
    <t>vaccine</t>
  </si>
  <si>
    <t>human adenovirus 11</t>
  </si>
  <si>
    <t>HAdV-11</t>
  </si>
  <si>
    <t>Ad11p Slobitski</t>
  </si>
  <si>
    <t>human adenovirus 14</t>
  </si>
  <si>
    <t>HAdV-14</t>
  </si>
  <si>
    <t>de Wit</t>
  </si>
  <si>
    <t>human adenovirus 16</t>
  </si>
  <si>
    <t>HAdV-16</t>
  </si>
  <si>
    <t>ch. 79</t>
  </si>
  <si>
    <t>human adenovirus 21</t>
  </si>
  <si>
    <t>HAdV-21</t>
  </si>
  <si>
    <t>AV-1645</t>
  </si>
  <si>
    <t>human adenovirus 34</t>
  </si>
  <si>
    <t>HAdV-34</t>
  </si>
  <si>
    <t>Compton</t>
  </si>
  <si>
    <t>human adenovirus 35</t>
  </si>
  <si>
    <t>HAdV-35</t>
  </si>
  <si>
    <t>Holden</t>
  </si>
  <si>
    <t>human adenovirus 50</t>
  </si>
  <si>
    <t>HAdV-50</t>
  </si>
  <si>
    <t>Wan</t>
  </si>
  <si>
    <t>human adenovirus 55</t>
  </si>
  <si>
    <t>HAdV-55</t>
  </si>
  <si>
    <t>QS-DLL</t>
  </si>
  <si>
    <t>simian adenovirus 21</t>
  </si>
  <si>
    <t>SAdV-21</t>
  </si>
  <si>
    <t>simian adenovirus 27 (chimpanzee)</t>
  </si>
  <si>
    <t>SAdV-27.1ch</t>
  </si>
  <si>
    <t>simian adenovirus 28 (gorilla)</t>
  </si>
  <si>
    <t>SAdV-28.2go</t>
  </si>
  <si>
    <t>simian adenovirus 29</t>
  </si>
  <si>
    <t>SAdV-29</t>
  </si>
  <si>
    <t>simian adenovirus 32</t>
  </si>
  <si>
    <t>SAdV-32</t>
  </si>
  <si>
    <t>simian adenovirus 33</t>
  </si>
  <si>
    <t>SAdV-33</t>
  </si>
  <si>
    <t>simian adenovirus 35 (bonobo)</t>
  </si>
  <si>
    <t>SAdV-35.2bo</t>
  </si>
  <si>
    <t>simian adenovirus 41</t>
  </si>
  <si>
    <t>SAdV-41</t>
  </si>
  <si>
    <t>simian adenovirus 46</t>
  </si>
  <si>
    <t>SAdV-46</t>
  </si>
  <si>
    <t>simian adenovirus 47</t>
  </si>
  <si>
    <t>SAdV-47</t>
  </si>
  <si>
    <t>human adenovirus 2</t>
  </si>
  <si>
    <t>HAdV-2</t>
  </si>
  <si>
    <t>J01917</t>
  </si>
  <si>
    <t>human adenovirus 1</t>
  </si>
  <si>
    <t>HAdV-1</t>
  </si>
  <si>
    <t>human adenovirus 5</t>
  </si>
  <si>
    <t>HAdV-5</t>
  </si>
  <si>
    <t>human adenovirus 6</t>
  </si>
  <si>
    <t>HAdV-6</t>
  </si>
  <si>
    <t>Tonsil 99 prototype</t>
  </si>
  <si>
    <t>simian adenovirus 31</t>
  </si>
  <si>
    <t>SAdV-31</t>
  </si>
  <si>
    <t>simian adenovirus 34</t>
  </si>
  <si>
    <t>SAdV-34</t>
  </si>
  <si>
    <t>simian adenovirus 40</t>
  </si>
  <si>
    <t>SAdV-40</t>
  </si>
  <si>
    <t>simian adenovirus 42</t>
  </si>
  <si>
    <t>SAdV-42</t>
  </si>
  <si>
    <t>simian adenovirus 43</t>
  </si>
  <si>
    <t>SAdV-43</t>
  </si>
  <si>
    <t>simian adenovirus 44</t>
  </si>
  <si>
    <t>SAdV-44</t>
  </si>
  <si>
    <t>simian adenovirus 45</t>
  </si>
  <si>
    <t>SAdV-45</t>
  </si>
  <si>
    <t>chimpanzee adenovirus ChAd3</t>
  </si>
  <si>
    <t>Chimp ChAd3</t>
  </si>
  <si>
    <t>ChAd3</t>
  </si>
  <si>
    <t>human adenovirus 9</t>
  </si>
  <si>
    <t>HAdV-9</t>
  </si>
  <si>
    <t>Hicks NIAID V-209-003-014 ATCC VR-1086</t>
  </si>
  <si>
    <t>AJ854486</t>
  </si>
  <si>
    <t>human adenovirus 8</t>
  </si>
  <si>
    <t>HAdV-8</t>
  </si>
  <si>
    <t>Trim</t>
  </si>
  <si>
    <t>human adenovirus 10</t>
  </si>
  <si>
    <t>HAdV-10</t>
  </si>
  <si>
    <t>human adenovirus 13</t>
  </si>
  <si>
    <t>HAdV-13</t>
  </si>
  <si>
    <t>human adenovirus 15</t>
  </si>
  <si>
    <t>HAdV-15</t>
  </si>
  <si>
    <t>CH38</t>
  </si>
  <si>
    <t>human adenovirus 17</t>
  </si>
  <si>
    <t>HAdV-17</t>
  </si>
  <si>
    <t>human adenovirus 19</t>
  </si>
  <si>
    <t>HAdV-19p</t>
  </si>
  <si>
    <t>human adenovirus 20</t>
  </si>
  <si>
    <t>HAdV-20</t>
  </si>
  <si>
    <t>human adenovirus 22</t>
  </si>
  <si>
    <t>HAdV-22</t>
  </si>
  <si>
    <t>AV-2711</t>
  </si>
  <si>
    <t>human adenovirus 23</t>
  </si>
  <si>
    <t>HAdV-23</t>
  </si>
  <si>
    <t>human adenovirus 24</t>
  </si>
  <si>
    <t>HAdV-24</t>
  </si>
  <si>
    <t>human adenovirus 25</t>
  </si>
  <si>
    <t>HAdV-25</t>
  </si>
  <si>
    <t>human adenovirus 26</t>
  </si>
  <si>
    <t>HAdV-26</t>
  </si>
  <si>
    <t>human adenovirus 27</t>
  </si>
  <si>
    <t>HAdV-27</t>
  </si>
  <si>
    <t>human adenovirus 28</t>
  </si>
  <si>
    <t>HAdV-28</t>
  </si>
  <si>
    <t>BP-5</t>
  </si>
  <si>
    <t>human adenovirus 29</t>
  </si>
  <si>
    <t>HAdV-29</t>
  </si>
  <si>
    <t>human adenovirus 30</t>
  </si>
  <si>
    <t>HAdV-30</t>
  </si>
  <si>
    <t>USA/BP-7-1/1959/30</t>
  </si>
  <si>
    <t>human adenovirus 32</t>
  </si>
  <si>
    <t>HAdV-32</t>
  </si>
  <si>
    <t>human adenovirus 33</t>
  </si>
  <si>
    <t>HAdV-33</t>
  </si>
  <si>
    <t>human adenovirus 36</t>
  </si>
  <si>
    <t>HAdV-36</t>
  </si>
  <si>
    <t>human adenovirus 37</t>
  </si>
  <si>
    <t>HAdV-37</t>
  </si>
  <si>
    <t>GW [76-19026]</t>
  </si>
  <si>
    <t>human adenovirus 38</t>
  </si>
  <si>
    <t>HAdV-38</t>
  </si>
  <si>
    <t>human adenovirus 39</t>
  </si>
  <si>
    <t>HAdV-39</t>
  </si>
  <si>
    <t>human adenovirus 42</t>
  </si>
  <si>
    <t>HAdV-42</t>
  </si>
  <si>
    <t>human adenovirus 43</t>
  </si>
  <si>
    <t>HAdV-43</t>
  </si>
  <si>
    <t>human adenovirus 44</t>
  </si>
  <si>
    <t>HAdV-44</t>
  </si>
  <si>
    <t>human adenovirus 45</t>
  </si>
  <si>
    <t>HAdV-45</t>
  </si>
  <si>
    <t>human adenovirus 46</t>
  </si>
  <si>
    <t>HAdV-46</t>
  </si>
  <si>
    <t>human adenovirus 47</t>
  </si>
  <si>
    <t>HAdV-47</t>
  </si>
  <si>
    <t>human adenovirus 48</t>
  </si>
  <si>
    <t>HAdV-48</t>
  </si>
  <si>
    <t>human adenovirus 49</t>
  </si>
  <si>
    <t>HAdV-49</t>
  </si>
  <si>
    <t>human adenovirus 51</t>
  </si>
  <si>
    <t>HAdV-51</t>
  </si>
  <si>
    <t>human adenovirus 53</t>
  </si>
  <si>
    <t>HAdV-53</t>
  </si>
  <si>
    <t>human adenovirus 54</t>
  </si>
  <si>
    <t>HAdV-54</t>
  </si>
  <si>
    <t>Kobe-H</t>
  </si>
  <si>
    <t>human adenovirus 56</t>
  </si>
  <si>
    <t>HAdV-56</t>
  </si>
  <si>
    <t>human adenovirus 4</t>
  </si>
  <si>
    <t>HAdV-4</t>
  </si>
  <si>
    <t>CL 68578</t>
  </si>
  <si>
    <t>AY487947</t>
  </si>
  <si>
    <t>simian adenovirus 22</t>
  </si>
  <si>
    <t>SAdV-22</t>
  </si>
  <si>
    <t>ATCC VR-591</t>
  </si>
  <si>
    <t>simian adenovirus 23</t>
  </si>
  <si>
    <t>SAdV-23</t>
  </si>
  <si>
    <t>ATCC VR-592</t>
  </si>
  <si>
    <t>simian adenovirus 24</t>
  </si>
  <si>
    <t>SAdV-24</t>
  </si>
  <si>
    <t>ATCC VR-593</t>
  </si>
  <si>
    <t>simian adenovirus 25</t>
  </si>
  <si>
    <t>SAdV-25</t>
  </si>
  <si>
    <t>simian adenovirus 26</t>
  </si>
  <si>
    <t>SAdV-26</t>
  </si>
  <si>
    <t>simian adenovirus 30</t>
  </si>
  <si>
    <t>SAdV-30</t>
  </si>
  <si>
    <t>simian adenovirus 36</t>
  </si>
  <si>
    <t>SAdV-36</t>
  </si>
  <si>
    <t>simian adenovirus 37 (bonobo)</t>
  </si>
  <si>
    <t>SAdV-37.2bo</t>
  </si>
  <si>
    <t>simian adenovirus 38</t>
  </si>
  <si>
    <t>SAdV-38</t>
  </si>
  <si>
    <t>simian adenovirus 39</t>
  </si>
  <si>
    <t>SAdV-39</t>
  </si>
  <si>
    <t>chimpanzee adenovirus ChAd6</t>
  </si>
  <si>
    <t>chimp ChAd6</t>
  </si>
  <si>
    <t>ChAd6</t>
  </si>
  <si>
    <t>chimpanzee adenovirus Y25</t>
  </si>
  <si>
    <t>chimp Y25</t>
  </si>
  <si>
    <t>Y25</t>
  </si>
  <si>
    <t>human adenovirus 40</t>
  </si>
  <si>
    <t>HAdV-40</t>
  </si>
  <si>
    <t>Dugan</t>
  </si>
  <si>
    <t>L19443</t>
  </si>
  <si>
    <t>human adenovirus 41</t>
  </si>
  <si>
    <t>HAdV-41</t>
  </si>
  <si>
    <t>Tak</t>
  </si>
  <si>
    <t>simian adenovirus 1</t>
  </si>
  <si>
    <t>SAdV-1</t>
  </si>
  <si>
    <t>ATCC VR-195</t>
  </si>
  <si>
    <t>AY771780</t>
  </si>
  <si>
    <t>human adenovirus 52</t>
  </si>
  <si>
    <t>HAdV-52</t>
  </si>
  <si>
    <t>T03-2244</t>
  </si>
  <si>
    <t>simian adenovirus 2</t>
  </si>
  <si>
    <t>SAdV-2</t>
  </si>
  <si>
    <t>SV11</t>
  </si>
  <si>
    <t>simian adenovirus 7</t>
  </si>
  <si>
    <t>SAdV-7</t>
  </si>
  <si>
    <t>ATCC VR-201 8045-2WN</t>
  </si>
  <si>
    <t>simian adenovirus 11</t>
  </si>
  <si>
    <t>SAdV-11</t>
  </si>
  <si>
    <t>P-10</t>
  </si>
  <si>
    <t>simian adenovirus 12</t>
  </si>
  <si>
    <t>SAdV-12</t>
  </si>
  <si>
    <t>A-7644</t>
  </si>
  <si>
    <t>simian adenovirus 15</t>
  </si>
  <si>
    <t>SAdV-15</t>
  </si>
  <si>
    <t>72707 ATCC VR-355</t>
  </si>
  <si>
    <t>simian adenovirus 51</t>
  </si>
  <si>
    <t>SAdV-51</t>
  </si>
  <si>
    <t>simian adenovirus 52</t>
  </si>
  <si>
    <t>SAdV-52</t>
  </si>
  <si>
    <t>simian adenovirus 53</t>
  </si>
  <si>
    <t>SAdV-53</t>
  </si>
  <si>
    <t>simian adenovirus 58</t>
  </si>
  <si>
    <t>SAdV-58</t>
  </si>
  <si>
    <t>murine adenovirus 1</t>
  </si>
  <si>
    <t>MAdV-1</t>
  </si>
  <si>
    <t>murine adenovirus 2</t>
  </si>
  <si>
    <t>MAdV-2</t>
  </si>
  <si>
    <t>K87</t>
  </si>
  <si>
    <t>HM049560</t>
  </si>
  <si>
    <t>murine adenovirus 3</t>
  </si>
  <si>
    <t>MAdV-3</t>
  </si>
  <si>
    <t>EU835513</t>
  </si>
  <si>
    <t>bovine adenovirus 2</t>
  </si>
  <si>
    <t>BAdV-2</t>
  </si>
  <si>
    <t>ovine adenovirus 2</t>
  </si>
  <si>
    <t>OAdV-2</t>
  </si>
  <si>
    <t>PX515</t>
  </si>
  <si>
    <t>ovine adenovirus 3</t>
  </si>
  <si>
    <t>OAdV-3</t>
  </si>
  <si>
    <t>PX611</t>
  </si>
  <si>
    <t>ovine adenovirus 4</t>
  </si>
  <si>
    <t>OAdV-4</t>
  </si>
  <si>
    <t>ovine adenovirus 5</t>
  </si>
  <si>
    <t>OAdV-5</t>
  </si>
  <si>
    <t>ovine adenovirus 1</t>
  </si>
  <si>
    <t>OAdV-1</t>
  </si>
  <si>
    <t>S1</t>
  </si>
  <si>
    <t>DQ630754</t>
  </si>
  <si>
    <t>ovine adenovirus 8</t>
  </si>
  <si>
    <t>OAdV-8</t>
  </si>
  <si>
    <t>MK518392</t>
  </si>
  <si>
    <t>titi monkey adenovirus 1</t>
  </si>
  <si>
    <t>TMAdV-1</t>
  </si>
  <si>
    <t>ECC-2011</t>
  </si>
  <si>
    <t>HQ913600</t>
  </si>
  <si>
    <t>polar bear adenovirus 1</t>
  </si>
  <si>
    <t>PBAdV-1</t>
  </si>
  <si>
    <t>BK35</t>
  </si>
  <si>
    <t>MF773580</t>
  </si>
  <si>
    <t>porcine adenovirus 3</t>
  </si>
  <si>
    <t>PAdV-3</t>
  </si>
  <si>
    <t>porcine adenovirus 1</t>
  </si>
  <si>
    <t>PAdV-1</t>
  </si>
  <si>
    <t>25R</t>
  </si>
  <si>
    <t>porcine adenovirus 4</t>
  </si>
  <si>
    <t>PAdV-4</t>
  </si>
  <si>
    <t>HNU1</t>
  </si>
  <si>
    <t>MK774519</t>
  </si>
  <si>
    <t>porcine adenovirus 5</t>
  </si>
  <si>
    <t>PAdV-5</t>
  </si>
  <si>
    <t>AF289262</t>
  </si>
  <si>
    <t>California sea lion adenovirus 1</t>
  </si>
  <si>
    <t>CSLAdV-1</t>
  </si>
  <si>
    <t>Zc11-030</t>
  </si>
  <si>
    <t>KJ563221</t>
  </si>
  <si>
    <t>simian adenovirus 3</t>
  </si>
  <si>
    <t>SAdV-3</t>
  </si>
  <si>
    <t>ATCC VR-1449</t>
  </si>
  <si>
    <t>AY598782</t>
  </si>
  <si>
    <t>simian adenovirus 4</t>
  </si>
  <si>
    <t>SAdV-4</t>
  </si>
  <si>
    <t>6630-IC</t>
  </si>
  <si>
    <t>simian adenovirus 6</t>
  </si>
  <si>
    <t>SAdV-6</t>
  </si>
  <si>
    <t>SV-39</t>
  </si>
  <si>
    <t>simian adenovirus 9</t>
  </si>
  <si>
    <t>SAdV-9</t>
  </si>
  <si>
    <t>P-6</t>
  </si>
  <si>
    <t>simian adenovirus 10</t>
  </si>
  <si>
    <t>SAdV-10</t>
  </si>
  <si>
    <t>P-7</t>
  </si>
  <si>
    <t>simian adenovirus 14</t>
  </si>
  <si>
    <t>SAdV-14</t>
  </si>
  <si>
    <t>E-4382</t>
  </si>
  <si>
    <t>simian adenovirus 48</t>
  </si>
  <si>
    <t>SAdV-48</t>
  </si>
  <si>
    <t>AJ75</t>
  </si>
  <si>
    <t>simian adenovirus 49</t>
  </si>
  <si>
    <t>SAdV-49</t>
  </si>
  <si>
    <t>C24948</t>
  </si>
  <si>
    <t>HQ241819</t>
  </si>
  <si>
    <t>simian adenovirus 5</t>
  </si>
  <si>
    <t>SAdV-5</t>
  </si>
  <si>
    <t>M-12</t>
  </si>
  <si>
    <t>simian adenovirus 8</t>
  </si>
  <si>
    <t>SAdV-8</t>
  </si>
  <si>
    <t>P-5</t>
  </si>
  <si>
    <t>simian adenovirus 50</t>
  </si>
  <si>
    <t>SAdV-50</t>
  </si>
  <si>
    <t>simian adenovirus A1139</t>
  </si>
  <si>
    <t>SAdV-A1139</t>
  </si>
  <si>
    <t>A1139</t>
  </si>
  <si>
    <t>baboon adenovirus 1</t>
  </si>
  <si>
    <t>BaAdV-1</t>
  </si>
  <si>
    <t>cynamolgus adenovirus 1</t>
  </si>
  <si>
    <t>SAdV-cyn1</t>
  </si>
  <si>
    <t>UK/UK-1/2004</t>
  </si>
  <si>
    <t>simian adenovirus 19</t>
  </si>
  <si>
    <t>SAdV-19</t>
  </si>
  <si>
    <t>AA153</t>
  </si>
  <si>
    <t>KP329565</t>
  </si>
  <si>
    <t>baboon adenovirus 2</t>
  </si>
  <si>
    <t>BabAdV-2</t>
  </si>
  <si>
    <t>baboon adenovirus 3</t>
  </si>
  <si>
    <t>BabAdV-3</t>
  </si>
  <si>
    <t>simian adenovirus 13</t>
  </si>
  <si>
    <t>SAdV-13</t>
  </si>
  <si>
    <t>P-9</t>
  </si>
  <si>
    <t>KP329563</t>
  </si>
  <si>
    <t>simian adenovirus 16</t>
  </si>
  <si>
    <t>SAdV-16</t>
  </si>
  <si>
    <t>C-8</t>
  </si>
  <si>
    <t>KP329564</t>
  </si>
  <si>
    <t>simian adenovirus 18</t>
  </si>
  <si>
    <t>SAdV-18</t>
  </si>
  <si>
    <t>FJ025931</t>
  </si>
  <si>
    <t>simian adenovirus 17</t>
  </si>
  <si>
    <t>SAdV-17</t>
  </si>
  <si>
    <t>B-105</t>
  </si>
  <si>
    <t>simian adenovirus 20</t>
  </si>
  <si>
    <t>SAdV-20</t>
  </si>
  <si>
    <t>ATCC VR-541</t>
  </si>
  <si>
    <t>HQ605912</t>
  </si>
  <si>
    <t>simian adenovirus 54</t>
  </si>
  <si>
    <t>SAdV-54</t>
  </si>
  <si>
    <t>23336 (DM-2014)</t>
  </si>
  <si>
    <t>KM190146</t>
  </si>
  <si>
    <t>simian adenovirus 55</t>
  </si>
  <si>
    <t>SAdV-55</t>
  </si>
  <si>
    <t>WIV19</t>
  </si>
  <si>
    <t>KX505867</t>
  </si>
  <si>
    <t>skunk adenovirus 1</t>
  </si>
  <si>
    <t>SkAdV-1</t>
  </si>
  <si>
    <t>KP238322</t>
  </si>
  <si>
    <t>red squirrel adenovirus 1</t>
  </si>
  <si>
    <t>SqAdV-1</t>
  </si>
  <si>
    <t>DE/2013/Sciurus vulgaris/2013Pa405-00252</t>
  </si>
  <si>
    <t>KY427939</t>
  </si>
  <si>
    <t>tree shrew adenovirus 1</t>
  </si>
  <si>
    <t>TSAdV-1</t>
  </si>
  <si>
    <t>AF258784</t>
  </si>
  <si>
    <t>Siadenovirus</t>
  </si>
  <si>
    <t>frog adenovirus 1</t>
  </si>
  <si>
    <t>FrAdV-1</t>
  </si>
  <si>
    <t>ATCC VR-896</t>
  </si>
  <si>
    <t>AF224336</t>
  </si>
  <si>
    <t>great tit adenovirus 1</t>
  </si>
  <si>
    <t>GTAdV-1</t>
  </si>
  <si>
    <t>5957/SZ</t>
  </si>
  <si>
    <t>FJ849795</t>
  </si>
  <si>
    <t>chinstrap penguin adenovirus 2</t>
  </si>
  <si>
    <t>CPAdV-2</t>
  </si>
  <si>
    <t>CSPAdV_2</t>
  </si>
  <si>
    <t>KP144329</t>
  </si>
  <si>
    <t>psittacine adenovirus 5</t>
  </si>
  <si>
    <t>PsAdV-5</t>
  </si>
  <si>
    <t>IDL19-3602 (Pacific parrotlet)</t>
  </si>
  <si>
    <t>MK695679</t>
  </si>
  <si>
    <t>psittacine adenovirus 6</t>
  </si>
  <si>
    <t>PsAdV-6</t>
  </si>
  <si>
    <t>BrdKnyDNA (budgerigar)</t>
  </si>
  <si>
    <t>psittacine adenovirus 7</t>
  </si>
  <si>
    <t>PsAdV-7</t>
  </si>
  <si>
    <t>CorAdV1/Melbourne/2015 (little corella)</t>
  </si>
  <si>
    <t>MK227353</t>
  </si>
  <si>
    <t>raptor adenovirus 1</t>
  </si>
  <si>
    <t>RAdV-1</t>
  </si>
  <si>
    <t>EU715130</t>
  </si>
  <si>
    <t>South Polar skua adenovirus 1</t>
  </si>
  <si>
    <t>SPSAdV-1</t>
  </si>
  <si>
    <t>T03</t>
  </si>
  <si>
    <t>HM585353</t>
  </si>
  <si>
    <t>turkey adenovirus 3</t>
  </si>
  <si>
    <t>TAdV-3</t>
  </si>
  <si>
    <t>AF074946</t>
  </si>
  <si>
    <t>Testadenovirus</t>
  </si>
  <si>
    <t>red-eared slider adenovirus 1</t>
  </si>
  <si>
    <t>RSAdV-1</t>
  </si>
  <si>
    <t>2010Z01</t>
  </si>
  <si>
    <t>JN632576</t>
  </si>
  <si>
    <t>Vinavirales</t>
  </si>
  <si>
    <t>Corticoviridae</t>
  </si>
  <si>
    <t>Corticovirus</t>
  </si>
  <si>
    <t>Pseudoalteromonas phage Cr39582</t>
  </si>
  <si>
    <t>Cr39582</t>
  </si>
  <si>
    <t>MG966533</t>
  </si>
  <si>
    <t>Pseudoalteromonas phage PM2</t>
  </si>
  <si>
    <t>PM2</t>
  </si>
  <si>
    <t>AF155037</t>
  </si>
  <si>
    <t>Helvetiavirae</t>
  </si>
  <si>
    <t>Dividoviricota</t>
  </si>
  <si>
    <t>Laserviricetes</t>
  </si>
  <si>
    <t>Halopanivirales</t>
  </si>
  <si>
    <t>Hukuchivirus</t>
  </si>
  <si>
    <t>Thermus phage IN93</t>
  </si>
  <si>
    <t>IN93</t>
  </si>
  <si>
    <t>AB063393</t>
  </si>
  <si>
    <t>Thermus phage P23-77</t>
  </si>
  <si>
    <t>P23-77</t>
  </si>
  <si>
    <t>GQ403789</t>
  </si>
  <si>
    <t>Simuloviridae</t>
  </si>
  <si>
    <t>Yingchengvirus</t>
  </si>
  <si>
    <t>Haloterrigena jeotgali icosahedral virus 1</t>
  </si>
  <si>
    <t>HJIV1</t>
  </si>
  <si>
    <t>BK013338</t>
  </si>
  <si>
    <t>Natrinema versiforme icosahedral virus 1</t>
  </si>
  <si>
    <t>NVIV1</t>
  </si>
  <si>
    <t>BK013337</t>
  </si>
  <si>
    <t>Saline Natrinema sp. J7‐1 virus 1</t>
  </si>
  <si>
    <t>SNJ1</t>
  </si>
  <si>
    <t>AY048850</t>
  </si>
  <si>
    <t>Sphaerolipoviridae</t>
  </si>
  <si>
    <t>Alphasphaerolipovirus</t>
  </si>
  <si>
    <t>Haloarcula californiae icosahedral virus 1</t>
  </si>
  <si>
    <t>HcIV1</t>
  </si>
  <si>
    <t>SS13-6</t>
  </si>
  <si>
    <t>KT809302</t>
  </si>
  <si>
    <t>Haloarcula hispanica icosahedral virus 2</t>
  </si>
  <si>
    <t>HhI-2</t>
  </si>
  <si>
    <t>JN968479</t>
  </si>
  <si>
    <t>Haloarcula hispanica PH1 virus</t>
  </si>
  <si>
    <t>HhPH1V</t>
  </si>
  <si>
    <t>KC252997</t>
  </si>
  <si>
    <t>Haloarcula hispanica SH1 virus</t>
  </si>
  <si>
    <t>HhSH1V</t>
  </si>
  <si>
    <t>AY950802</t>
  </si>
  <si>
    <t>Naldaviricetes</t>
  </si>
  <si>
    <t>Nimaviridae</t>
  </si>
  <si>
    <t>Whispovirus</t>
  </si>
  <si>
    <t>white spot syndrome virus</t>
  </si>
  <si>
    <t>WSSV-CN</t>
  </si>
  <si>
    <t>CN</t>
  </si>
  <si>
    <t>AF332093</t>
  </si>
  <si>
    <t>WSSV-TW</t>
  </si>
  <si>
    <t>WSSV-TH</t>
  </si>
  <si>
    <t>TH</t>
  </si>
  <si>
    <t>WSSV-K-LV1</t>
  </si>
  <si>
    <t>K-LV1</t>
  </si>
  <si>
    <t>WSSV-CN01</t>
  </si>
  <si>
    <t>WSSV-CN02</t>
  </si>
  <si>
    <t>CN02</t>
  </si>
  <si>
    <t>WSSV-CN03</t>
  </si>
  <si>
    <t>CN03</t>
  </si>
  <si>
    <t>WSSV-CN04</t>
  </si>
  <si>
    <t>CN04</t>
  </si>
  <si>
    <t>WSSV-MEX2008</t>
  </si>
  <si>
    <t>MEX2008</t>
  </si>
  <si>
    <t>WSSV-CN-Pc</t>
  </si>
  <si>
    <t>CN-Pc</t>
  </si>
  <si>
    <t>WSSV-AU</t>
  </si>
  <si>
    <t>WSSV-IN_AP4RU</t>
  </si>
  <si>
    <t>IN_AP4RU</t>
  </si>
  <si>
    <t>WSSV-EC-15098</t>
  </si>
  <si>
    <t>EC-15098</t>
  </si>
  <si>
    <t>Lefavirales</t>
  </si>
  <si>
    <t>Baculoviridae</t>
  </si>
  <si>
    <t>Alphabaculovirus</t>
  </si>
  <si>
    <t>Adoxophyes honmai nucleopolyhedrovirus</t>
  </si>
  <si>
    <t>AdhoNPV</t>
  </si>
  <si>
    <t>ADN001</t>
  </si>
  <si>
    <t>AP006270</t>
  </si>
  <si>
    <t>Agrotis ipsilon multiple nucleopolyhedrovirus</t>
  </si>
  <si>
    <t>AgipMNPV</t>
  </si>
  <si>
    <t>Illinois</t>
  </si>
  <si>
    <t>EU839994</t>
  </si>
  <si>
    <t>Agrotis segetum nucleopolyhedrovirus A</t>
  </si>
  <si>
    <t>AgseNPV-A</t>
  </si>
  <si>
    <t>Polish</t>
  </si>
  <si>
    <t>DQ123841</t>
  </si>
  <si>
    <t>Agrotis segetum nucleopolyhedrovirus B</t>
  </si>
  <si>
    <t>AgseNPV-B</t>
  </si>
  <si>
    <t>English</t>
  </si>
  <si>
    <t>KM102981</t>
  </si>
  <si>
    <t>Choristoneura fumiferana DEF multiple nucleopolyhedrovirus</t>
  </si>
  <si>
    <t>CfDEFMNPV</t>
  </si>
  <si>
    <t>AY327402</t>
  </si>
  <si>
    <t>Chrysodeixis includens nucleopolyhedrovirus</t>
  </si>
  <si>
    <t>ChinNPV</t>
  </si>
  <si>
    <t>#1</t>
  </si>
  <si>
    <t>MK746083</t>
  </si>
  <si>
    <t>Mamestra configurata nucleopolyhedrovirus B</t>
  </si>
  <si>
    <t>MacoNPV-B</t>
  </si>
  <si>
    <t>96B</t>
  </si>
  <si>
    <t>AY126275</t>
  </si>
  <si>
    <t>Mythimna unipuncta nucleopolyhedrovirus</t>
  </si>
  <si>
    <t>MyunNPV</t>
  </si>
  <si>
    <t>KY310</t>
  </si>
  <si>
    <t>MH124167</t>
  </si>
  <si>
    <t>Spodoptera eridania nucleopolyhedrovirus</t>
  </si>
  <si>
    <t>SperNPV</t>
  </si>
  <si>
    <t>CNPSo-165</t>
  </si>
  <si>
    <t>MT040195</t>
  </si>
  <si>
    <t>Spodoptera exigua multiple nucleopolyhedrovirus</t>
  </si>
  <si>
    <t>SeMNPV</t>
  </si>
  <si>
    <t>MH370144</t>
  </si>
  <si>
    <t>Anticarsia gemmatalis multiple nucleopolyhedrovirus</t>
  </si>
  <si>
    <t>AgMNPV</t>
  </si>
  <si>
    <t>2D</t>
  </si>
  <si>
    <t>DQ813662</t>
  </si>
  <si>
    <t>Antheraea pernyi nucleopolyhedrovirus</t>
  </si>
  <si>
    <t>AnpeNPV</t>
  </si>
  <si>
    <t>Liaoning</t>
  </si>
  <si>
    <t>DQ486030</t>
  </si>
  <si>
    <t>Artaxa digramma nucleopolyhedrovirus</t>
  </si>
  <si>
    <t>ArdiNPV</t>
  </si>
  <si>
    <t>MN233792</t>
  </si>
  <si>
    <t>Autographa californica multiple nucleopolyhedrovirus</t>
  </si>
  <si>
    <t>AcMNPV</t>
  </si>
  <si>
    <t>C6</t>
  </si>
  <si>
    <t>L22858</t>
  </si>
  <si>
    <t>Plutella xylostella multiple nucleopolyhedrovirus</t>
  </si>
  <si>
    <t>PlxyMNPV</t>
  </si>
  <si>
    <t>CL3</t>
  </si>
  <si>
    <t>Bombyx mori nucleopolyhedrovirus</t>
  </si>
  <si>
    <t>BmNPV</t>
  </si>
  <si>
    <t>L33180</t>
  </si>
  <si>
    <t>Bombyx mandarina nucleopolyhedrovirus</t>
  </si>
  <si>
    <t>BomaNPV</t>
  </si>
  <si>
    <t>Buzura suppressaria nucleopolyhedrovirus</t>
  </si>
  <si>
    <t>BuzuNPV</t>
  </si>
  <si>
    <t>KF611977</t>
  </si>
  <si>
    <t>Catopsilia pomona nucleopolyhedrovirus</t>
  </si>
  <si>
    <t>CapoNPV</t>
  </si>
  <si>
    <t>KU565883</t>
  </si>
  <si>
    <t>Choristoneura fumiferana multiple nucleopolyhedrovirus</t>
  </si>
  <si>
    <t>CfMNPV</t>
  </si>
  <si>
    <t>Ireland</t>
  </si>
  <si>
    <t>AF512031</t>
  </si>
  <si>
    <t>Choristoneura murinana nucleopolyhedrovirus</t>
  </si>
  <si>
    <t>ChmuNPV</t>
  </si>
  <si>
    <t>Darmstadt</t>
  </si>
  <si>
    <t>KF894742</t>
  </si>
  <si>
    <t>Choristoneura rosaceana nucleopolyhedrovirus</t>
  </si>
  <si>
    <t>ChroNPV</t>
  </si>
  <si>
    <t>NB_1</t>
  </si>
  <si>
    <t>KC961304</t>
  </si>
  <si>
    <t>Pseudoplusia includens single nucleopolyhedrovirus</t>
  </si>
  <si>
    <t>PsinSNPV</t>
  </si>
  <si>
    <t>IE</t>
  </si>
  <si>
    <t>KJ631622</t>
  </si>
  <si>
    <t>Chrysodeixis chalcites nucleopolyhedrovirus</t>
  </si>
  <si>
    <t>ChchNPV</t>
  </si>
  <si>
    <t>AY864330</t>
  </si>
  <si>
    <t>Clanis bilineata nucleopolyhedrovirus</t>
  </si>
  <si>
    <t>ClbiNPV</t>
  </si>
  <si>
    <t>DZ1</t>
  </si>
  <si>
    <t>DQ504428</t>
  </si>
  <si>
    <t>Condylorrhiza vestigialis multiple nucleopolyhedrovirus</t>
  </si>
  <si>
    <t>CoveMNPV</t>
  </si>
  <si>
    <t>PR.2002</t>
  </si>
  <si>
    <t>KJ631623</t>
  </si>
  <si>
    <t>Cryptophlebia peltastica nucleopolyhedrovirus</t>
  </si>
  <si>
    <t>CrpeNPV</t>
  </si>
  <si>
    <t>SA</t>
  </si>
  <si>
    <t>MH394321</t>
  </si>
  <si>
    <t>Cyclophragma undans nucleopolyhedrovirus</t>
  </si>
  <si>
    <t>CyunNPV</t>
  </si>
  <si>
    <t>Whiov</t>
  </si>
  <si>
    <t>KT957089</t>
  </si>
  <si>
    <t>Dione juno nucleopolyhedrovirus</t>
  </si>
  <si>
    <t>DijuNPV</t>
  </si>
  <si>
    <t>Araguari-MG</t>
  </si>
  <si>
    <t>MK558262</t>
  </si>
  <si>
    <t>Ectropis obliqua nucleopolyhedrovirus</t>
  </si>
  <si>
    <t>EcobNPV</t>
  </si>
  <si>
    <t>DQ837165</t>
  </si>
  <si>
    <t>Epiphyas postvittana nucleopolyhedrovirus</t>
  </si>
  <si>
    <t>EppoNPV</t>
  </si>
  <si>
    <t>AY043265</t>
  </si>
  <si>
    <t>Erannis ankeraria nucleopolyhedrovirus</t>
  </si>
  <si>
    <t>EranNPV</t>
  </si>
  <si>
    <t>wlcb</t>
  </si>
  <si>
    <t>OK091173</t>
  </si>
  <si>
    <t>Euproctis pseudoconspersa nucleopolyhedrovirus</t>
  </si>
  <si>
    <t>EupsNPV</t>
  </si>
  <si>
    <t>FJ227128</t>
  </si>
  <si>
    <t>Helicoverpa armigera nucleopolyhedrovirus</t>
  </si>
  <si>
    <t>HearNPV</t>
  </si>
  <si>
    <t>AF271059</t>
  </si>
  <si>
    <t>NNg1</t>
  </si>
  <si>
    <t>Hemileuca sp. nucleopolyhedrovirus</t>
  </si>
  <si>
    <t>HespNPV</t>
  </si>
  <si>
    <t>MEM</t>
  </si>
  <si>
    <t>KF158713</t>
  </si>
  <si>
    <t>Hyphantria cunea nucleopolyhedrovirus</t>
  </si>
  <si>
    <t>HycuPV</t>
  </si>
  <si>
    <t>N9</t>
  </si>
  <si>
    <t>AP009046</t>
  </si>
  <si>
    <t>Hyposidra talaca nucleopolyhedrovirus</t>
  </si>
  <si>
    <t>HytaNPV</t>
  </si>
  <si>
    <t>India.001</t>
  </si>
  <si>
    <t>MH261376</t>
  </si>
  <si>
    <t>Lambdina fiscellaria nucleopolyhedrovirus</t>
  </si>
  <si>
    <t>LafiNPV</t>
  </si>
  <si>
    <t>GR15</t>
  </si>
  <si>
    <t>KP752043</t>
  </si>
  <si>
    <t>Leucania separata nucleopolyhedrovirus</t>
  </si>
  <si>
    <t>LeseNPV</t>
  </si>
  <si>
    <t>AH1</t>
  </si>
  <si>
    <t>AY394490</t>
  </si>
  <si>
    <t>Lonomia obliqua multiple nucleopolyhedrovirus</t>
  </si>
  <si>
    <t>LoobNPV</t>
  </si>
  <si>
    <t>SP/2000</t>
  </si>
  <si>
    <t>KP763670</t>
  </si>
  <si>
    <t>Lymantria dispar multiple nucleopolyhedrovirus</t>
  </si>
  <si>
    <t>LdMNPV</t>
  </si>
  <si>
    <t>AF081810</t>
  </si>
  <si>
    <t>Lymantria xylina multiple nucleopolyhedrovirus</t>
  </si>
  <si>
    <t>LyxyMNPV</t>
  </si>
  <si>
    <t>GQ202541</t>
  </si>
  <si>
    <t>Mamestra brassicae multiple nucleopolyhedrovirus</t>
  </si>
  <si>
    <t>MbMNPV</t>
  </si>
  <si>
    <t>JQ798165</t>
  </si>
  <si>
    <t>Mamestra configurata nucleopolyhedrovirus A</t>
  </si>
  <si>
    <t>MacoNPV-A</t>
  </si>
  <si>
    <t>90/2</t>
  </si>
  <si>
    <t>U59461</t>
  </si>
  <si>
    <t>90/4</t>
  </si>
  <si>
    <t>Maruca vitrata nucleopolyhedrovirus</t>
  </si>
  <si>
    <t>MaviNPV</t>
  </si>
  <si>
    <t>MV-8</t>
  </si>
  <si>
    <t>EF125867</t>
  </si>
  <si>
    <t>#7</t>
  </si>
  <si>
    <t>MF375894</t>
  </si>
  <si>
    <t>Olene mendosa nucleopolyhedrovirus</t>
  </si>
  <si>
    <t>OlmeNPV</t>
  </si>
  <si>
    <t>MZ766431</t>
  </si>
  <si>
    <t>Operophtera brumata nucleopolyhedrovirus</t>
  </si>
  <si>
    <t>OpbuNPV</t>
  </si>
  <si>
    <t>MA</t>
  </si>
  <si>
    <t>MF614691</t>
  </si>
  <si>
    <t>Orgyia leucostigma nucleopolyhedrovirus</t>
  </si>
  <si>
    <t>OrleNPV</t>
  </si>
  <si>
    <t>CFS-77</t>
  </si>
  <si>
    <t>EU309041</t>
  </si>
  <si>
    <t>Orgyia pseudotsugata multiple nucleopolyhedrovirus</t>
  </si>
  <si>
    <t>OpMNPV</t>
  </si>
  <si>
    <t>U75930</t>
  </si>
  <si>
    <t>Oxyplax ochracea nucleopolyhedrovirus</t>
  </si>
  <si>
    <t>OxocNPV</t>
  </si>
  <si>
    <t>MF143631</t>
  </si>
  <si>
    <t>Perigonia lusca single nucleopolyhedrovirus</t>
  </si>
  <si>
    <t>PeluSNPV</t>
  </si>
  <si>
    <t>KM596836</t>
  </si>
  <si>
    <t>Peridroma species nucleopolyhedrovirus</t>
  </si>
  <si>
    <t>PespNPV</t>
  </si>
  <si>
    <t>GR167</t>
  </si>
  <si>
    <t>KM009991</t>
  </si>
  <si>
    <t>Rachiplusia nu nucleopolyhedrovirus</t>
  </si>
  <si>
    <t>RanuNPV</t>
  </si>
  <si>
    <t>VPN54</t>
  </si>
  <si>
    <t>MK419956</t>
  </si>
  <si>
    <t>Rachiplusia ou multiple nucleopolyhedrovirus</t>
  </si>
  <si>
    <t>RoMNPV</t>
  </si>
  <si>
    <t>R1</t>
  </si>
  <si>
    <t>AY145471</t>
  </si>
  <si>
    <t>MH320559</t>
  </si>
  <si>
    <t>Spodoptera exempta nucleopolyhedrovirus</t>
  </si>
  <si>
    <t>SpexNPV</t>
  </si>
  <si>
    <t>244-1</t>
  </si>
  <si>
    <t>MH717816</t>
  </si>
  <si>
    <t>AF169823</t>
  </si>
  <si>
    <t>Spodoptera littoralis nucleopolyhedrovirus</t>
  </si>
  <si>
    <t>SpliNPV</t>
  </si>
  <si>
    <t>AN1956</t>
  </si>
  <si>
    <t>JX454574</t>
  </si>
  <si>
    <t>Spodoptera litura nucleopolyhedrovirus</t>
  </si>
  <si>
    <t>SpltNPV</t>
  </si>
  <si>
    <t>G2</t>
  </si>
  <si>
    <t>AF325155</t>
  </si>
  <si>
    <t>Spodoptera frugiperda multiple nucleopolyhedrovirus</t>
  </si>
  <si>
    <t>SfMNPV</t>
  </si>
  <si>
    <t>3AP2</t>
  </si>
  <si>
    <t>EF035042</t>
  </si>
  <si>
    <t>Sucra jujuba nucleopolyhedrovirus</t>
  </si>
  <si>
    <t>SujuNPV</t>
  </si>
  <si>
    <t>KJ676450</t>
  </si>
  <si>
    <t>Thysanoplusia orichalcea nucleopolyhedrovirus</t>
  </si>
  <si>
    <t>ThorNPV</t>
  </si>
  <si>
    <t>p2</t>
  </si>
  <si>
    <t>JX467702</t>
  </si>
  <si>
    <t>Trabala vishnou gigantina nucleopolyhedrovirus</t>
  </si>
  <si>
    <t>TrviNPV</t>
  </si>
  <si>
    <t>wuqi</t>
  </si>
  <si>
    <t>MW645368</t>
  </si>
  <si>
    <t>Trichoplusia ni single nucleopolyhedrovirus</t>
  </si>
  <si>
    <t>TnSNPV</t>
  </si>
  <si>
    <t>DQ017380</t>
  </si>
  <si>
    <t>Urbanus proteus nucleopolyhedrovirus</t>
  </si>
  <si>
    <t>UrprNPV</t>
  </si>
  <si>
    <t>Southern Brazil</t>
  </si>
  <si>
    <t>KR011717</t>
  </si>
  <si>
    <t>Wiseana signata nucleopolyhedrovirus</t>
  </si>
  <si>
    <t>WisiNPV</t>
  </si>
  <si>
    <t>AF016916</t>
  </si>
  <si>
    <t>Betabaculovirus</t>
  </si>
  <si>
    <t>Adoxophyes orana granulovirus</t>
  </si>
  <si>
    <t>AdorGV</t>
  </si>
  <si>
    <t>AF547984</t>
  </si>
  <si>
    <t>Agrotis segetum granulovirus</t>
  </si>
  <si>
    <t>AgseGV</t>
  </si>
  <si>
    <t>DA</t>
  </si>
  <si>
    <t>KR584663</t>
  </si>
  <si>
    <t>Clostera anastomosis granulovirus B</t>
  </si>
  <si>
    <t>ClasGV-B</t>
  </si>
  <si>
    <t>KR091910</t>
  </si>
  <si>
    <t>Mythimna unipuncta granulovirus</t>
  </si>
  <si>
    <t>MyunGV</t>
  </si>
  <si>
    <t>KX855660</t>
  </si>
  <si>
    <t>Pieris rapae granulovirus Wuhan</t>
  </si>
  <si>
    <t>PiraGV</t>
  </si>
  <si>
    <t>Wuhan</t>
  </si>
  <si>
    <t>GQ884143</t>
  </si>
  <si>
    <t>Choristoneura occidentalis granulovirus</t>
  </si>
  <si>
    <t>ChocGV</t>
  </si>
  <si>
    <t>DQ333351</t>
  </si>
  <si>
    <t>Clostera anachoreta granulovirus</t>
  </si>
  <si>
    <t>ClanGV</t>
  </si>
  <si>
    <t>HBHN</t>
  </si>
  <si>
    <t>HQ116624</t>
  </si>
  <si>
    <t>Clostera anastomosis granulovirus A</t>
  </si>
  <si>
    <t>ClasGV-A</t>
  </si>
  <si>
    <t>KC179784</t>
  </si>
  <si>
    <t>Cnaphalocrocis medinalis granulovirus</t>
  </si>
  <si>
    <t>CnmeGV</t>
  </si>
  <si>
    <t>Enping</t>
  </si>
  <si>
    <t>KU593505</t>
  </si>
  <si>
    <t>Cryptophlebia leucotreta granulovirus</t>
  </si>
  <si>
    <t>CrleGV</t>
  </si>
  <si>
    <t>AY229987</t>
  </si>
  <si>
    <t>Cydia pomonella granulovirus</t>
  </si>
  <si>
    <t>CpGV</t>
  </si>
  <si>
    <t>Mexican 1</t>
  </si>
  <si>
    <t>U53466</t>
  </si>
  <si>
    <t>Diatraea saccharalis granulovirus</t>
  </si>
  <si>
    <t>DisaGV</t>
  </si>
  <si>
    <t>Parana-2009</t>
  </si>
  <si>
    <t>KP296186</t>
  </si>
  <si>
    <t>Epinotia aporema granulovirus</t>
  </si>
  <si>
    <t>EpapGV</t>
  </si>
  <si>
    <t>JN408834</t>
  </si>
  <si>
    <t>Erinnyis ello granulovirus</t>
  </si>
  <si>
    <t>ErelGV</t>
  </si>
  <si>
    <t>S86</t>
  </si>
  <si>
    <t>KJ406702</t>
  </si>
  <si>
    <t>Harrisina brillians granulovirus</t>
  </si>
  <si>
    <t>HbGV</t>
  </si>
  <si>
    <t>M2</t>
  </si>
  <si>
    <t>AF142425</t>
  </si>
  <si>
    <t>Helicoverpa armigera granulovirus</t>
  </si>
  <si>
    <t>HearGV</t>
  </si>
  <si>
    <t>EU255577</t>
  </si>
  <si>
    <t>Hyphantria cunea granulovirus</t>
  </si>
  <si>
    <t>HycuGV</t>
  </si>
  <si>
    <t>Hc1</t>
  </si>
  <si>
    <t>MH923363</t>
  </si>
  <si>
    <t>Lacanobia oleracea granulovirus</t>
  </si>
  <si>
    <t>LaolGV</t>
  </si>
  <si>
    <t>Scottish-S1</t>
  </si>
  <si>
    <t>Y08294</t>
  </si>
  <si>
    <t>Matsumuraeses phaseoli granulovirus</t>
  </si>
  <si>
    <t>MaphGV</t>
  </si>
  <si>
    <t>IOZ01</t>
  </si>
  <si>
    <t>MT844067</t>
  </si>
  <si>
    <t>Mocis latipes granulovirus</t>
  </si>
  <si>
    <t>MolaGV</t>
  </si>
  <si>
    <t>KR011718</t>
  </si>
  <si>
    <t>Pseudaletia unipuncta granulovirus</t>
  </si>
  <si>
    <t>PsunGV</t>
  </si>
  <si>
    <t>Hawaiian</t>
  </si>
  <si>
    <t>EU678671</t>
  </si>
  <si>
    <t>Phthorimaea operculella granulovirus</t>
  </si>
  <si>
    <t>PhopGV</t>
  </si>
  <si>
    <t>AF499596</t>
  </si>
  <si>
    <t>Plodia interpunctella granulovirus</t>
  </si>
  <si>
    <t>PiGV</t>
  </si>
  <si>
    <t>KX151395</t>
  </si>
  <si>
    <t>Plutella xylostella granulovirus</t>
  </si>
  <si>
    <t>PlxyGV</t>
  </si>
  <si>
    <t>AF270937</t>
  </si>
  <si>
    <t>Spodoptera litura granulovirus</t>
  </si>
  <si>
    <t>SpltGV</t>
  </si>
  <si>
    <t>DQ288858</t>
  </si>
  <si>
    <t>Spodoptera frugiperda granulovirus</t>
  </si>
  <si>
    <t>SpfrGV</t>
  </si>
  <si>
    <t>VG008</t>
  </si>
  <si>
    <t>KM371112</t>
  </si>
  <si>
    <t>Trichoplusia ni granulovirus</t>
  </si>
  <si>
    <t>TnGV</t>
  </si>
  <si>
    <t>LBIV-12</t>
  </si>
  <si>
    <t>KU752557</t>
  </si>
  <si>
    <t>Xestia c-nigrum granulovirus</t>
  </si>
  <si>
    <t>XecnGV</t>
  </si>
  <si>
    <t>alpha4</t>
  </si>
  <si>
    <t>AF162221</t>
  </si>
  <si>
    <t>Deltabaculovirus</t>
  </si>
  <si>
    <t>Culex nigripalpus nucleopolyhedrovirus</t>
  </si>
  <si>
    <t>CuniNPV</t>
  </si>
  <si>
    <t>Florida1997</t>
  </si>
  <si>
    <t>AF403738</t>
  </si>
  <si>
    <t>Gammabaculovirus</t>
  </si>
  <si>
    <t>Neodiprion abietis nucleopolyhedrovirus</t>
  </si>
  <si>
    <t>NeabNPV</t>
  </si>
  <si>
    <t>DQ317692</t>
  </si>
  <si>
    <t>Neodiprion lecontei nucleopolyhedrovirus</t>
  </si>
  <si>
    <t>NeleNPV</t>
  </si>
  <si>
    <t>AY349019</t>
  </si>
  <si>
    <t>Neodiprion sertifer nucleopolyhedrovirus</t>
  </si>
  <si>
    <t>NeseNPV</t>
  </si>
  <si>
    <t>AY430810</t>
  </si>
  <si>
    <t>Hytrosaviridae</t>
  </si>
  <si>
    <t>Glossinavirus</t>
  </si>
  <si>
    <t>Glossina pallidipes salivary gland hypertrophy virus</t>
  </si>
  <si>
    <t>GpSGHV</t>
  </si>
  <si>
    <t>EF568108</t>
  </si>
  <si>
    <t>Muscavirus</t>
  </si>
  <si>
    <t>Musca domestica salivary gland hypertrophy virus</t>
  </si>
  <si>
    <t>MdSGHV</t>
  </si>
  <si>
    <t>EU522111</t>
  </si>
  <si>
    <t>Nudiviridae</t>
  </si>
  <si>
    <t>Alphanudivirus</t>
  </si>
  <si>
    <t>Tomelloso virus</t>
  </si>
  <si>
    <t>DrosEU28_Tomelloso_2015</t>
  </si>
  <si>
    <t>KY457233</t>
  </si>
  <si>
    <t>Drosophila innubila nudivirus</t>
  </si>
  <si>
    <t>DiNV</t>
  </si>
  <si>
    <t>CH01M</t>
  </si>
  <si>
    <t>MF966379</t>
  </si>
  <si>
    <t>Kallithea virus</t>
  </si>
  <si>
    <t>KV</t>
  </si>
  <si>
    <t>DrosEU46_Kharkiv_2014</t>
  </si>
  <si>
    <t>KX130344</t>
  </si>
  <si>
    <t>Gryllus bimaculatus nudivirus</t>
  </si>
  <si>
    <t>GbNV</t>
  </si>
  <si>
    <t>EF203088</t>
  </si>
  <si>
    <t>Oryctes rhinoceros nudivirus</t>
  </si>
  <si>
    <t>OrNV</t>
  </si>
  <si>
    <t>Ma07</t>
  </si>
  <si>
    <t>EU747721</t>
  </si>
  <si>
    <t>Mauternbach virus</t>
  </si>
  <si>
    <t>DrosEU50_Mauternbach_2015</t>
  </si>
  <si>
    <t>MG969167</t>
  </si>
  <si>
    <t>Esparto virus</t>
  </si>
  <si>
    <t>SRR3939042_Esparto_2012</t>
  </si>
  <si>
    <t>KY608910</t>
  </si>
  <si>
    <t>Betanudivirus</t>
  </si>
  <si>
    <t>Heliothis zea nudivirus 1</t>
  </si>
  <si>
    <t>HzNV1</t>
  </si>
  <si>
    <t>AF451898</t>
  </si>
  <si>
    <t>Helicoverpa zea nudivirus 2</t>
  </si>
  <si>
    <t>HzNV2</t>
  </si>
  <si>
    <t>MS1</t>
  </si>
  <si>
    <t>Deltanudivirus</t>
  </si>
  <si>
    <t>Tipula oleracea nudivirus</t>
  </si>
  <si>
    <t>ToNV</t>
  </si>
  <si>
    <t>KM610234</t>
  </si>
  <si>
    <t>Gammanudivirus</t>
  </si>
  <si>
    <t>Carcinus maenas nudivirus</t>
  </si>
  <si>
    <t>CmNV</t>
  </si>
  <si>
    <t>MZ311578</t>
  </si>
  <si>
    <t>Crangon crangon nudivirus</t>
  </si>
  <si>
    <t>CcNV</t>
  </si>
  <si>
    <t>MZ311577</t>
  </si>
  <si>
    <t>Homarus gammarus nudivirus</t>
  </si>
  <si>
    <t>HgNV</t>
  </si>
  <si>
    <t>52S104HLG2</t>
  </si>
  <si>
    <t>MK439999</t>
  </si>
  <si>
    <t>Penaeus monodon nudivirus</t>
  </si>
  <si>
    <t>PmNV</t>
  </si>
  <si>
    <t>Indonesia</t>
  </si>
  <si>
    <t>KJ184318</t>
  </si>
  <si>
    <t>Dinodnavirus</t>
  </si>
  <si>
    <t>Heterocapsa circularisquama DNA virus 01</t>
  </si>
  <si>
    <t>HcDNAV01</t>
  </si>
  <si>
    <t>AB522601</t>
  </si>
  <si>
    <t>Rhizidiovirus</t>
  </si>
  <si>
    <t>Rhizidiomyces virus</t>
  </si>
  <si>
    <t>RV</t>
  </si>
  <si>
    <t>Alphasatellitidae</t>
  </si>
  <si>
    <t>Geminialphasatellitinae</t>
  </si>
  <si>
    <t>Ageyesisatellite</t>
  </si>
  <si>
    <t>Ageratum yellow vein Singapore alphasatellite</t>
  </si>
  <si>
    <t>AYVSGA-[SG-98]</t>
  </si>
  <si>
    <t>SG-98</t>
  </si>
  <si>
    <t>AJ416153</t>
  </si>
  <si>
    <t>cotton leaf curl Saudi Arabia alphasatellite</t>
  </si>
  <si>
    <t>CLCuSAA</t>
  </si>
  <si>
    <t>SA-Jazan-13</t>
  </si>
  <si>
    <t>HG530543</t>
  </si>
  <si>
    <t>Clecrusatellite</t>
  </si>
  <si>
    <t>ash gourd yellow vein mosaic alphasatellite</t>
  </si>
  <si>
    <t>AsGYVMA</t>
  </si>
  <si>
    <t>IN-UdA-15</t>
  </si>
  <si>
    <t>KX363561</t>
  </si>
  <si>
    <t>begomovirus-associated alphasatellite sp.</t>
  </si>
  <si>
    <t>CIA</t>
  </si>
  <si>
    <t>IN-PJ-Cap-15</t>
  </si>
  <si>
    <t>KU923759</t>
  </si>
  <si>
    <t>Begomovirus-associated alphasatellite</t>
  </si>
  <si>
    <t>ChiWA</t>
  </si>
  <si>
    <t>MX-UHAsV-1-CD-W-2014</t>
  </si>
  <si>
    <t>MN203219</t>
  </si>
  <si>
    <t>Cleome leaf crumple alphasatellite</t>
  </si>
  <si>
    <t>ClLCrA</t>
  </si>
  <si>
    <t>BR-Mato Grosso do Sul-07</t>
  </si>
  <si>
    <t>FN436007</t>
  </si>
  <si>
    <t>croton yellow vein mosaic alphasatellite</t>
  </si>
  <si>
    <t>CrYMMA</t>
  </si>
  <si>
    <t>IN-Haryana-Acalypha-07</t>
  </si>
  <si>
    <t>FN658711</t>
  </si>
  <si>
    <t>Euphorbia yellow mosaic alphasatellite</t>
  </si>
  <si>
    <t>EuYMA</t>
  </si>
  <si>
    <t>BR-Mato grosso do sul-1-07</t>
  </si>
  <si>
    <t>FN436008</t>
  </si>
  <si>
    <t>melon chlorotic mosaic alphasatellite</t>
  </si>
  <si>
    <t>MeCMA</t>
  </si>
  <si>
    <t>VE-2009_02_04_0-09</t>
  </si>
  <si>
    <t>HM163578</t>
  </si>
  <si>
    <t>Sida Cuba alphasatellite</t>
  </si>
  <si>
    <t>SiCUA</t>
  </si>
  <si>
    <t>CU-Trinidad-07</t>
  </si>
  <si>
    <t>HE806451</t>
  </si>
  <si>
    <t>Tomato leaf curl Anand alphasatellite</t>
  </si>
  <si>
    <t>ToLCuAA</t>
  </si>
  <si>
    <t>IN-Anand-2016</t>
  </si>
  <si>
    <t>MH577036</t>
  </si>
  <si>
    <t>tomato leaf curl New Delhi alphasatellite</t>
  </si>
  <si>
    <t>ToLNDA</t>
  </si>
  <si>
    <t>IN-VNS_SP4-Luf-15</t>
  </si>
  <si>
    <t>MH550542</t>
  </si>
  <si>
    <t>tomato leaf curl Virudhunagar alphasatellite</t>
  </si>
  <si>
    <t>ToLCViA</t>
  </si>
  <si>
    <t>IN-sev-Mom-16</t>
  </si>
  <si>
    <t>KY848691</t>
  </si>
  <si>
    <t>tomato yellow spot alphasatellite</t>
  </si>
  <si>
    <t>ToYSA</t>
  </si>
  <si>
    <t>BR-Dou1095.1-11</t>
  </si>
  <si>
    <t>KX348228</t>
  </si>
  <si>
    <t>Tomato yellow spot alphasatellite 2</t>
  </si>
  <si>
    <t>ToYSA2</t>
  </si>
  <si>
    <t>AR-Jujuy-Yuto-Leonurus417-2008</t>
  </si>
  <si>
    <t>MN518743</t>
  </si>
  <si>
    <t>whitefly associated Puerto rico alphasatellite 2</t>
  </si>
  <si>
    <t>WfaGA 2</t>
  </si>
  <si>
    <t>GT-GtTo2-1-10</t>
  </si>
  <si>
    <t>KT099170</t>
  </si>
  <si>
    <t>whitefly associated Puerto Rico alphasatellite 1</t>
  </si>
  <si>
    <t>WfaPRA 1</t>
  </si>
  <si>
    <t>PR-PR3-6-10</t>
  </si>
  <si>
    <t>KT099173</t>
  </si>
  <si>
    <t>Colecusatellite</t>
  </si>
  <si>
    <t>Ageratum enation alphasatellite</t>
  </si>
  <si>
    <t>IN-Luc-12</t>
  </si>
  <si>
    <t>JX913532</t>
  </si>
  <si>
    <t>Ageratum yellow vein alphasatellite</t>
  </si>
  <si>
    <t>AYVA</t>
  </si>
  <si>
    <t>AJ238493</t>
  </si>
  <si>
    <t>Ageratum yellow vein China alphasatellite</t>
  </si>
  <si>
    <t>AYVCNA</t>
  </si>
  <si>
    <t>PH-Davao-SN3-Synedrella nodiflora-12</t>
  </si>
  <si>
    <t>KF785752</t>
  </si>
  <si>
    <t>Ageratum yellow vein India alphasatellite</t>
  </si>
  <si>
    <t>AYVIA</t>
  </si>
  <si>
    <t>IN-Luc-parthenium-12</t>
  </si>
  <si>
    <t>JX570736</t>
  </si>
  <si>
    <t>bhendi yellow vein alphasatellite</t>
  </si>
  <si>
    <t>BhYVA</t>
  </si>
  <si>
    <t>IN-Har-07</t>
  </si>
  <si>
    <t>FN658716</t>
  </si>
  <si>
    <t>cassava mosaic Madagascar alphasatellite</t>
  </si>
  <si>
    <t>CMMGA</t>
  </si>
  <si>
    <t>MG-Diana-635A1-11</t>
  </si>
  <si>
    <t>HE984148</t>
  </si>
  <si>
    <t>chilli leaf curl alphasatellite</t>
  </si>
  <si>
    <t>ChLCA</t>
  </si>
  <si>
    <t>IN-273-06</t>
  </si>
  <si>
    <t>KF471043</t>
  </si>
  <si>
    <t>cotton leaf curl Egypt alphasatellite</t>
  </si>
  <si>
    <t>CLCuEA</t>
  </si>
  <si>
    <t>EG-SB45-95</t>
  </si>
  <si>
    <t>AJ512960</t>
  </si>
  <si>
    <t>cotton leaf curl Gezira alphasatellite</t>
  </si>
  <si>
    <t>CLCuGeA</t>
  </si>
  <si>
    <t>ML-Bamako-okra-06</t>
  </si>
  <si>
    <t>EU589450</t>
  </si>
  <si>
    <t>cotton leaf curl Lucknow alphasatellite</t>
  </si>
  <si>
    <t>IN-Luc-10</t>
  </si>
  <si>
    <t>HQ343234</t>
  </si>
  <si>
    <t>cotton leaf curl Multan colecusatellite</t>
  </si>
  <si>
    <t>CLCuMuA</t>
  </si>
  <si>
    <t>PK-Fai01-98</t>
  </si>
  <si>
    <t>AJ132344</t>
  </si>
  <si>
    <t>Gossypium darwinii symptomless alphasatellite</t>
  </si>
  <si>
    <t>GDarSLA</t>
  </si>
  <si>
    <t>PK-Mul-Dav7C-06</t>
  </si>
  <si>
    <t>EU384623</t>
  </si>
  <si>
    <t>Malvastrum yellow mosaic alphasatellite</t>
  </si>
  <si>
    <t>MaYA</t>
  </si>
  <si>
    <t>CN-Hn39</t>
  </si>
  <si>
    <t>AM236765</t>
  </si>
  <si>
    <t>Malvastrum yellow mosaic Cameroon satellite</t>
  </si>
  <si>
    <t>MaYMCMA</t>
  </si>
  <si>
    <t>CM-Mundemba-UMU1D1-08</t>
  </si>
  <si>
    <t>FN675297</t>
  </si>
  <si>
    <t>Pedilanthus leaf curl alphasatellite</t>
  </si>
  <si>
    <t>PeLCA</t>
  </si>
  <si>
    <t>IN-carrot</t>
  </si>
  <si>
    <t>KX168428</t>
  </si>
  <si>
    <t>Sida leaf curl alphasatellite</t>
  </si>
  <si>
    <t>SiLCuA</t>
  </si>
  <si>
    <t>PK-Lahore-Alcea rosea-06</t>
  </si>
  <si>
    <t>FR772088</t>
  </si>
  <si>
    <t>SLCuA2</t>
  </si>
  <si>
    <t>IN-Gandhinagar-Sida-2016</t>
  </si>
  <si>
    <t>KX513861</t>
  </si>
  <si>
    <t>Sida yellow vein Vietnam alphasatellite</t>
  </si>
  <si>
    <t>SiYVVA</t>
  </si>
  <si>
    <t>VN-Han-05</t>
  </si>
  <si>
    <t>DQ641718</t>
  </si>
  <si>
    <t>sunflower leaf curl Karnataka alphasatellite</t>
  </si>
  <si>
    <t>SLCKaA</t>
  </si>
  <si>
    <t>IN-tomato-11</t>
  </si>
  <si>
    <t>JX569789</t>
  </si>
  <si>
    <t>Synedrella leaf curl alphasatellite</t>
  </si>
  <si>
    <t>SyLCA</t>
  </si>
  <si>
    <t>IN-Por-synf_1-09</t>
  </si>
  <si>
    <t>KJ939346</t>
  </si>
  <si>
    <t>tobacco curly shoot alphasatellite</t>
  </si>
  <si>
    <t>TbCSA</t>
  </si>
  <si>
    <t>IN-WSF1-Helianthus-10</t>
  </si>
  <si>
    <t>HQ407396</t>
  </si>
  <si>
    <t>tomato leaf curl Buea alphasatellite</t>
  </si>
  <si>
    <t>ToLCuBuA</t>
  </si>
  <si>
    <t>CM-Buea-TOS2D1-07</t>
  </si>
  <si>
    <t>FN675299</t>
  </si>
  <si>
    <t>tomato leaf curl Cameroon alphasatellite</t>
  </si>
  <si>
    <t>ToLCuCMA</t>
  </si>
  <si>
    <t>CM-Buea-OMHD3-08</t>
  </si>
  <si>
    <t>FN675296</t>
  </si>
  <si>
    <t>tomato leaf curl alphasatellite</t>
  </si>
  <si>
    <t>ToLCPKA</t>
  </si>
  <si>
    <t>PK-SZ_258-Gos-15</t>
  </si>
  <si>
    <t>KY420167</t>
  </si>
  <si>
    <t>tomato yellow leaf curl China alphasatellite</t>
  </si>
  <si>
    <t>TYLCCA</t>
  </si>
  <si>
    <t>PK-Fai-09</t>
  </si>
  <si>
    <t>AM749493</t>
  </si>
  <si>
    <t>tomato yellow leaf curl Thailand alphasatellite</t>
  </si>
  <si>
    <t>TYLCTHA</t>
  </si>
  <si>
    <t>TH-Y70-03</t>
  </si>
  <si>
    <t>AJ579359</t>
  </si>
  <si>
    <t>tomato yellow leaf curl Yunnan alphasatellite</t>
  </si>
  <si>
    <t>TYLCYA</t>
  </si>
  <si>
    <t>CN-YN4368_69-14</t>
  </si>
  <si>
    <t>KX759649</t>
  </si>
  <si>
    <t>Draflysatellite</t>
  </si>
  <si>
    <t>dragonfly associated alphasatellite</t>
  </si>
  <si>
    <t>DaA</t>
  </si>
  <si>
    <t>PR-09</t>
  </si>
  <si>
    <t>JX458742</t>
  </si>
  <si>
    <t>Gosmusatellite</t>
  </si>
  <si>
    <t>Cotton leaf curl Gezira alphasatellite 3</t>
  </si>
  <si>
    <t>CLCuCMA</t>
  </si>
  <si>
    <t>CM-OBKG-Okra-2007</t>
  </si>
  <si>
    <t>MN614472</t>
  </si>
  <si>
    <t>eclipta yellow vein alphasatellite</t>
  </si>
  <si>
    <t>EcYVA</t>
  </si>
  <si>
    <t>PK-AlYVA-S3-13</t>
  </si>
  <si>
    <t>KX938425</t>
  </si>
  <si>
    <t>Gossypium mustelinum symptomless alphasatellite</t>
  </si>
  <si>
    <t>GMusSLA</t>
  </si>
  <si>
    <t>PK-Mul-2-06</t>
  </si>
  <si>
    <t>EU384656</t>
  </si>
  <si>
    <t>hollyhock yellow vein alphasatellite</t>
  </si>
  <si>
    <t>HoYVA</t>
  </si>
  <si>
    <t>PK-Lahor-17_5-06</t>
  </si>
  <si>
    <t>FR772086</t>
  </si>
  <si>
    <t>mesta yellow vein mosaic alphasatellite</t>
  </si>
  <si>
    <t>MeYVMA</t>
  </si>
  <si>
    <t>IN-Ludhiana-Okra-10</t>
  </si>
  <si>
    <t>JX183090</t>
  </si>
  <si>
    <t>okra enation leaf curl alphasatellite</t>
  </si>
  <si>
    <t>OEnLCuA</t>
  </si>
  <si>
    <t>IN-Surat-11</t>
  </si>
  <si>
    <t>HF546575</t>
  </si>
  <si>
    <t>okra yellow crinkle Cameroon alphasatellite</t>
  </si>
  <si>
    <t>OkYCCA</t>
  </si>
  <si>
    <t>CM-Lys1sp3-08</t>
  </si>
  <si>
    <t>FN675285</t>
  </si>
  <si>
    <t>Vernonia yellow vein Fujian alphasatellite</t>
  </si>
  <si>
    <t>VeYVFA</t>
  </si>
  <si>
    <t>IN-Vamban-blackgram-12</t>
  </si>
  <si>
    <t>KC959931</t>
  </si>
  <si>
    <t>Somasatellite</t>
  </si>
  <si>
    <t>Sorghum mastrevirus associated alphasatellite</t>
  </si>
  <si>
    <t>SmaA</t>
  </si>
  <si>
    <t>RE-Bassin plat-Sorghum arundinaceum-RE180_a-2017</t>
  </si>
  <si>
    <t>MN901968</t>
  </si>
  <si>
    <t>Whiflysatellite</t>
  </si>
  <si>
    <t>whitefly associated Guatemala alphasatellite 1</t>
  </si>
  <si>
    <t>WfaGA1</t>
  </si>
  <si>
    <t>WfaGA-[GT-GtTo2_2-12]</t>
  </si>
  <si>
    <t>KT099172</t>
  </si>
  <si>
    <t>Nanoalphasatellitinae</t>
  </si>
  <si>
    <t>Clostunsatellite</t>
  </si>
  <si>
    <t>milk vetch dwarf alphasatellite 2</t>
  </si>
  <si>
    <t>MVDA 2</t>
  </si>
  <si>
    <t>MVDC3A-JR-C3-96</t>
  </si>
  <si>
    <t>AB000922</t>
  </si>
  <si>
    <t>pea necrotic yellow dwarf alphasatellite 2</t>
  </si>
  <si>
    <t>PNYDA 2</t>
  </si>
  <si>
    <t>PNYD3A-AT-Gross_Enzersdorf_1-10</t>
  </si>
  <si>
    <t>KC979052</t>
  </si>
  <si>
    <t>Sophora yellow stunt alphasatellite 4</t>
  </si>
  <si>
    <t>SYSA 4</t>
  </si>
  <si>
    <t>SYS9A-IR-Kerman-Ta1-14</t>
  </si>
  <si>
    <t>KX534409</t>
  </si>
  <si>
    <t>Sophora yellow stunt alphasatellite 5</t>
  </si>
  <si>
    <t>SYSA 5</t>
  </si>
  <si>
    <t>SYS8A-IR-Kerman-Ta1-14</t>
  </si>
  <si>
    <t>KX534398</t>
  </si>
  <si>
    <t>subterranean clover stunt alphasatellite 2</t>
  </si>
  <si>
    <t>SCSA 2</t>
  </si>
  <si>
    <t>SCSC6A-[AU-C6-93]</t>
  </si>
  <si>
    <t>U16735</t>
  </si>
  <si>
    <t>Fabenesatellite</t>
  </si>
  <si>
    <t>faba bean necrotic yellows alphasatellite 2</t>
  </si>
  <si>
    <t>FBNYCA 2</t>
  </si>
  <si>
    <t>FBNYC9A-SY-C9-93</t>
  </si>
  <si>
    <t>AJ005966</t>
  </si>
  <si>
    <t>Milvetsatellite</t>
  </si>
  <si>
    <t>milk vetch dwarf alphasatellite 3</t>
  </si>
  <si>
    <t>MVDA 3</t>
  </si>
  <si>
    <t>MVDC10A-JR-C10-97</t>
  </si>
  <si>
    <t>AB009047</t>
  </si>
  <si>
    <t>Mivedwarsatellite</t>
  </si>
  <si>
    <t>faba bean necrotic stunt alphasatellite</t>
  </si>
  <si>
    <t>FBNSA</t>
  </si>
  <si>
    <t>AZ-12b-10</t>
  </si>
  <si>
    <t>KC978990</t>
  </si>
  <si>
    <t>milk vetch dwarf alphasatellite 1</t>
  </si>
  <si>
    <t>MVDA 1</t>
  </si>
  <si>
    <t>MVDC1A-JR-C1-96</t>
  </si>
  <si>
    <t>AB000920</t>
  </si>
  <si>
    <t>Milk vetch dwarf C1 alphasatellite</t>
  </si>
  <si>
    <t>MVDChA</t>
  </si>
  <si>
    <t>CN-G48-2017</t>
  </si>
  <si>
    <t>MN059431</t>
  </si>
  <si>
    <t>Parsley severe stunt alphasatellite 3</t>
  </si>
  <si>
    <t>PSSA3</t>
  </si>
  <si>
    <t>DE-Pa21-2017</t>
  </si>
  <si>
    <t>MK039141</t>
  </si>
  <si>
    <t>Parsley severe stunt alphasatellite 4</t>
  </si>
  <si>
    <t>PSSA4</t>
  </si>
  <si>
    <t>MK039142</t>
  </si>
  <si>
    <t>pea necrotic yellow dwarf alphasatellite 1</t>
  </si>
  <si>
    <t>PNYDA 1</t>
  </si>
  <si>
    <t>PNYD1A-AT-Gross_Enzersdorf_1-10</t>
  </si>
  <si>
    <t>KC979051</t>
  </si>
  <si>
    <t>Sophora yellow stunt alphasatellite 2</t>
  </si>
  <si>
    <t>SYSA 2</t>
  </si>
  <si>
    <t>SYS4A-IR-Kerman-Ta1-14</t>
  </si>
  <si>
    <t>KX534408</t>
  </si>
  <si>
    <t>Sophoyesatellite</t>
  </si>
  <si>
    <t>cow vetch latent virus alphasatellite</t>
  </si>
  <si>
    <t>CVLA</t>
  </si>
  <si>
    <t>FR-VcLV_Sambuc-10</t>
  </si>
  <si>
    <t>MF535455</t>
  </si>
  <si>
    <t>Sophora yellow stunt alphasatellite 3</t>
  </si>
  <si>
    <t>SYSA 3</t>
  </si>
  <si>
    <t>SYS7A-IR-Kerman-Ta1-14</t>
  </si>
  <si>
    <t>KX534400</t>
  </si>
  <si>
    <t>Subclovsatellite</t>
  </si>
  <si>
    <t>faba bean necrotic yellows alphasatellite 1</t>
  </si>
  <si>
    <t>FBNYA 1</t>
  </si>
  <si>
    <t>FBNYC1A-SY-C1-88</t>
  </si>
  <si>
    <t>X80879</t>
  </si>
  <si>
    <t>faba bean necrotic yellows virus associated alphasatellite 1</t>
  </si>
  <si>
    <t>FBNYA 3</t>
  </si>
  <si>
    <t>TN-Tuf9_1-15</t>
  </si>
  <si>
    <t>MF510471</t>
  </si>
  <si>
    <t>sophora yellow stunt alphasatellite 1</t>
  </si>
  <si>
    <t>SYSA1</t>
  </si>
  <si>
    <t>SYSA1-[IR-Kerman-Ta1-14]</t>
  </si>
  <si>
    <t>KX534399</t>
  </si>
  <si>
    <t>subterranean clover stunt alphasatellite 1</t>
  </si>
  <si>
    <t>SCSCA 1</t>
  </si>
  <si>
    <t>SCSC2A-AU-C2-93</t>
  </si>
  <si>
    <t>U16731</t>
  </si>
  <si>
    <t>Petromoalphasatellitinae</t>
  </si>
  <si>
    <t>Babusatellite</t>
  </si>
  <si>
    <t>banana bunchy top alphasatellite 1</t>
  </si>
  <si>
    <t>BBTA 1</t>
  </si>
  <si>
    <t>BBTS2A-93</t>
  </si>
  <si>
    <t>L32167</t>
  </si>
  <si>
    <t>Cocosatellite</t>
  </si>
  <si>
    <t>coconut foliar decay alphasatellite 1</t>
  </si>
  <si>
    <t>CFDA1</t>
  </si>
  <si>
    <t>VU-85</t>
  </si>
  <si>
    <t>M29963</t>
  </si>
  <si>
    <t>coconut foliar decay alphasatellite 2</t>
  </si>
  <si>
    <t>CFDA2</t>
  </si>
  <si>
    <t>VU-89</t>
  </si>
  <si>
    <t>MF926426</t>
  </si>
  <si>
    <t>coconut foliar decay alphasatellite 4</t>
  </si>
  <si>
    <t>CFDA4</t>
  </si>
  <si>
    <t>MF926429</t>
  </si>
  <si>
    <t>coconut foliar decay alphasatellite 5</t>
  </si>
  <si>
    <t>CFDA5</t>
  </si>
  <si>
    <t>MF926430</t>
  </si>
  <si>
    <t>Coprasatellite</t>
  </si>
  <si>
    <t>coconut foliar decay alphasatellite 7</t>
  </si>
  <si>
    <t>CFDA7</t>
  </si>
  <si>
    <t>MF926432</t>
  </si>
  <si>
    <t>Kobbarisatellite</t>
  </si>
  <si>
    <t>coconut foliar decay alphasatellite 3</t>
  </si>
  <si>
    <t>CFDA3</t>
  </si>
  <si>
    <t>MF926427</t>
  </si>
  <si>
    <t>Muscarsatellite</t>
  </si>
  <si>
    <t>banana bunchy top alphasatellite 2</t>
  </si>
  <si>
    <t>BBTA 2</t>
  </si>
  <si>
    <t>BBTS3A-VN-VB-sat3-00</t>
  </si>
  <si>
    <t>AF416471</t>
  </si>
  <si>
    <t>banana bunchy top alphasatellite 3</t>
  </si>
  <si>
    <t>BBTA 3</t>
  </si>
  <si>
    <t>BBTHA-CN-Haikou-10</t>
  </si>
  <si>
    <t>HQ616080</t>
  </si>
  <si>
    <t>cardamom bushy dwarf alphasatellite</t>
  </si>
  <si>
    <t>CaBuDA</t>
  </si>
  <si>
    <t>IN-Kalimpong-07</t>
  </si>
  <si>
    <t>KF435148</t>
  </si>
  <si>
    <t>Ampullaviridae</t>
  </si>
  <si>
    <t>Bottigliavirus</t>
  </si>
  <si>
    <t>Acidianus bottle-shaped virus</t>
  </si>
  <si>
    <t>EF432053</t>
  </si>
  <si>
    <t>Acidianus bottle-shaped virus 2 strain ABV2</t>
  </si>
  <si>
    <t>ABV2</t>
  </si>
  <si>
    <t>KP282673</t>
  </si>
  <si>
    <t>Acidianus bottle-shaped virus 3 strain ABV3</t>
  </si>
  <si>
    <t>ABV3</t>
  </si>
  <si>
    <t>KP282674</t>
  </si>
  <si>
    <t>Anelloviridae</t>
  </si>
  <si>
    <t>Aleptorquevirus</t>
  </si>
  <si>
    <t>mosquito VEM Anellovirus SDBVL</t>
  </si>
  <si>
    <t>SDBVL A</t>
  </si>
  <si>
    <t>HQ335082</t>
  </si>
  <si>
    <t>Lepus torque teno virus 1</t>
  </si>
  <si>
    <t>Lag01_EL_Anello4</t>
  </si>
  <si>
    <t>MN994854</t>
  </si>
  <si>
    <t>Alphatorquevirus</t>
  </si>
  <si>
    <t>simian torque teno virus 30</t>
  </si>
  <si>
    <t>VWP00522.2</t>
  </si>
  <si>
    <t>KP296857</t>
  </si>
  <si>
    <t>simian torque teno virus 34</t>
  </si>
  <si>
    <t>VGA00120.1</t>
  </si>
  <si>
    <t>KP296856</t>
  </si>
  <si>
    <t>simian torque teno virus 31</t>
  </si>
  <si>
    <t>VGA00123.3</t>
  </si>
  <si>
    <t>KP296853</t>
  </si>
  <si>
    <t>simian torque teno virus 32</t>
  </si>
  <si>
    <t>VGA00154.2</t>
  </si>
  <si>
    <t>KP296854</t>
  </si>
  <si>
    <t>torque teno virus 26</t>
  </si>
  <si>
    <t>TTV26</t>
  </si>
  <si>
    <t>Mf-TTV3</t>
  </si>
  <si>
    <t>AB041958</t>
  </si>
  <si>
    <t>torque teno virus 25</t>
  </si>
  <si>
    <t>TTV25</t>
  </si>
  <si>
    <t>Mf-TTV9</t>
  </si>
  <si>
    <t>AB041959</t>
  </si>
  <si>
    <t>torque teno virus 1</t>
  </si>
  <si>
    <t>VT416</t>
  </si>
  <si>
    <t>AB041007</t>
  </si>
  <si>
    <t>torque teno virus 10</t>
  </si>
  <si>
    <t>TTV10</t>
  </si>
  <si>
    <t>JT34F</t>
  </si>
  <si>
    <t>AB064607</t>
  </si>
  <si>
    <t>torque teno virus 13</t>
  </si>
  <si>
    <t>TTV13</t>
  </si>
  <si>
    <t>TCHN-A</t>
  </si>
  <si>
    <t>AF345526</t>
  </si>
  <si>
    <t>torque teno virus 14</t>
  </si>
  <si>
    <t>TTV14</t>
  </si>
  <si>
    <t>s-TTV CH65-1</t>
  </si>
  <si>
    <t>AB037926</t>
  </si>
  <si>
    <t>torque teno virus 15</t>
  </si>
  <si>
    <t>TTV15</t>
  </si>
  <si>
    <t>TJN01</t>
  </si>
  <si>
    <t>AB028668</t>
  </si>
  <si>
    <t>torque teno virus 17</t>
  </si>
  <si>
    <t>TTV17</t>
  </si>
  <si>
    <t>AX025830</t>
  </si>
  <si>
    <t>torque teno virus 18</t>
  </si>
  <si>
    <t>TTV18</t>
  </si>
  <si>
    <t>AX025718</t>
  </si>
  <si>
    <t>torque teno virus 19</t>
  </si>
  <si>
    <t>TTV19</t>
  </si>
  <si>
    <t>TTV SANBAN</t>
  </si>
  <si>
    <t>AB025946</t>
  </si>
  <si>
    <t>torque teno virus 2</t>
  </si>
  <si>
    <t>TTV2</t>
  </si>
  <si>
    <t>CH71</t>
  </si>
  <si>
    <t>AB049608</t>
  </si>
  <si>
    <t>torque teno virus 20</t>
  </si>
  <si>
    <t>TTV20</t>
  </si>
  <si>
    <t>SAa-10</t>
  </si>
  <si>
    <t>AB060594</t>
  </si>
  <si>
    <t>torque teno virus 21</t>
  </si>
  <si>
    <t>TTV21</t>
  </si>
  <si>
    <t>TCHN-B</t>
  </si>
  <si>
    <t>AF348409</t>
  </si>
  <si>
    <t>torque teno virus 24</t>
  </si>
  <si>
    <t>TTV24</t>
  </si>
  <si>
    <t>Saa-01</t>
  </si>
  <si>
    <t>AB060597</t>
  </si>
  <si>
    <t>torque teno virus 29</t>
  </si>
  <si>
    <t>TTV29</t>
  </si>
  <si>
    <t>TTVyon-KC009</t>
  </si>
  <si>
    <t>AB038621</t>
  </si>
  <si>
    <t>torque teno virus 3</t>
  </si>
  <si>
    <t>TTV3</t>
  </si>
  <si>
    <t>HEL32</t>
  </si>
  <si>
    <t>AY666122</t>
  </si>
  <si>
    <t>torque teno virus</t>
  </si>
  <si>
    <t>TTV-Hebei-1</t>
  </si>
  <si>
    <t>KJ082064</t>
  </si>
  <si>
    <t>torque teno virus 4</t>
  </si>
  <si>
    <t>TTV4</t>
  </si>
  <si>
    <t>Pt-TTV6</t>
  </si>
  <si>
    <t>AB041957</t>
  </si>
  <si>
    <t>torque teno virus 5</t>
  </si>
  <si>
    <t>TTV5</t>
  </si>
  <si>
    <t>TCHN-C1</t>
  </si>
  <si>
    <t>AF345523</t>
  </si>
  <si>
    <t>torque teno virus 6</t>
  </si>
  <si>
    <t>TTV6</t>
  </si>
  <si>
    <t>KAV</t>
  </si>
  <si>
    <t>AF435014</t>
  </si>
  <si>
    <t>torque teno virus 7</t>
  </si>
  <si>
    <t>TTV7</t>
  </si>
  <si>
    <t>AF261761</t>
  </si>
  <si>
    <t>torque teno virus 9</t>
  </si>
  <si>
    <t>TTV9</t>
  </si>
  <si>
    <t>BM1C</t>
  </si>
  <si>
    <t>DQ187006</t>
  </si>
  <si>
    <t>Betatorquevirus</t>
  </si>
  <si>
    <t>torque teno mini virus 1</t>
  </si>
  <si>
    <t>TTMV1</t>
  </si>
  <si>
    <t>TLMV-CBD279</t>
  </si>
  <si>
    <t>AB026931</t>
  </si>
  <si>
    <t>torque teno mini virus 10</t>
  </si>
  <si>
    <t>TTMV10</t>
  </si>
  <si>
    <t>LIL-y1</t>
  </si>
  <si>
    <t>EF538880</t>
  </si>
  <si>
    <t>torque teno mini virus 11</t>
  </si>
  <si>
    <t>TTMV11</t>
  </si>
  <si>
    <t>LIL-y2</t>
  </si>
  <si>
    <t>EF538881</t>
  </si>
  <si>
    <t>torque teno mini virus 12</t>
  </si>
  <si>
    <t>TTMV12</t>
  </si>
  <si>
    <t>LIL-y3</t>
  </si>
  <si>
    <t>EF538882</t>
  </si>
  <si>
    <t>TTV-like mini virus</t>
  </si>
  <si>
    <t>zhenjiang</t>
  </si>
  <si>
    <t>KY856742</t>
  </si>
  <si>
    <t>BNI-700620-G1-CS</t>
  </si>
  <si>
    <t>MH017546</t>
  </si>
  <si>
    <t>TTMV_LY1</t>
  </si>
  <si>
    <t>JX134044</t>
  </si>
  <si>
    <t>torque teno mini virus ALH8</t>
  </si>
  <si>
    <t>TTMV-ALH8</t>
  </si>
  <si>
    <t>KM259874</t>
  </si>
  <si>
    <t>Anelloviridae sp.</t>
  </si>
  <si>
    <t>ctcf040</t>
  </si>
  <si>
    <t>MH648907</t>
  </si>
  <si>
    <t>D11</t>
  </si>
  <si>
    <t>KF764701</t>
  </si>
  <si>
    <t>TTMV_LY3</t>
  </si>
  <si>
    <t>JX134046</t>
  </si>
  <si>
    <t>torque teno mini virus 2</t>
  </si>
  <si>
    <t>TTMV2</t>
  </si>
  <si>
    <t>TLMV-NLC023</t>
  </si>
  <si>
    <t>AB038629</t>
  </si>
  <si>
    <t>ctga035</t>
  </si>
  <si>
    <t>MH648989</t>
  </si>
  <si>
    <t>ctcd026</t>
  </si>
  <si>
    <t>MH648910</t>
  </si>
  <si>
    <t>vzttmv4</t>
  </si>
  <si>
    <t>MK212031</t>
  </si>
  <si>
    <t>Emory1</t>
  </si>
  <si>
    <t>KX810063</t>
  </si>
  <si>
    <t>ctbc019</t>
  </si>
  <si>
    <t>MH649141</t>
  </si>
  <si>
    <t>ctcb059</t>
  </si>
  <si>
    <t>MH648986</t>
  </si>
  <si>
    <t>torque teno mini virus SHA</t>
  </si>
  <si>
    <t>SHA</t>
  </si>
  <si>
    <t>KY462770</t>
  </si>
  <si>
    <t>torque teno mini virus ALA22</t>
  </si>
  <si>
    <t>TTMV-ALA22</t>
  </si>
  <si>
    <t>KM259873</t>
  </si>
  <si>
    <t>BNI-700835-G3-CSF</t>
  </si>
  <si>
    <t>MH017563</t>
  </si>
  <si>
    <t>Emory2</t>
  </si>
  <si>
    <t>KX810064</t>
  </si>
  <si>
    <t>torque teno mini virus 3</t>
  </si>
  <si>
    <t>TTMV3</t>
  </si>
  <si>
    <t>TLMV-NLC026</t>
  </si>
  <si>
    <t>AB038630</t>
  </si>
  <si>
    <t>ctea38</t>
  </si>
  <si>
    <t>MH648912</t>
  </si>
  <si>
    <t>ctbb016</t>
  </si>
  <si>
    <t>MH649017</t>
  </si>
  <si>
    <t>torque teno mini virus 18</t>
  </si>
  <si>
    <t>KU041847</t>
  </si>
  <si>
    <t>ctbi042</t>
  </si>
  <si>
    <t>MH649029</t>
  </si>
  <si>
    <t>ctbf050</t>
  </si>
  <si>
    <t>MH649114</t>
  </si>
  <si>
    <t>ctei055</t>
  </si>
  <si>
    <t>MH648966</t>
  </si>
  <si>
    <t>KS025</t>
  </si>
  <si>
    <t>LC381845</t>
  </si>
  <si>
    <t>ctbg056</t>
  </si>
  <si>
    <t>MH649209</t>
  </si>
  <si>
    <t>ctbf014</t>
  </si>
  <si>
    <t>MH648982</t>
  </si>
  <si>
    <t>torque teno mini virus 4</t>
  </si>
  <si>
    <t>TTMV4</t>
  </si>
  <si>
    <t>Pt-TTV8-II</t>
  </si>
  <si>
    <t>AB041963</t>
  </si>
  <si>
    <t>torque teno mini virus 5</t>
  </si>
  <si>
    <t>TTMV5</t>
  </si>
  <si>
    <t>TGP96</t>
  </si>
  <si>
    <t>AB041962</t>
  </si>
  <si>
    <t>torque teno mini virus 6</t>
  </si>
  <si>
    <t>TTMV6</t>
  </si>
  <si>
    <t>TLMV-CBD203</t>
  </si>
  <si>
    <t>AB026929</t>
  </si>
  <si>
    <t>torque teno mini virus 7</t>
  </si>
  <si>
    <t>TTMV7</t>
  </si>
  <si>
    <t>TLMV-CLC156</t>
  </si>
  <si>
    <t>AB038627</t>
  </si>
  <si>
    <t>torque teno mini virus 8</t>
  </si>
  <si>
    <t>TTMV8</t>
  </si>
  <si>
    <t>PB4TL</t>
  </si>
  <si>
    <t>AF291073</t>
  </si>
  <si>
    <t>torque teno mini virus 9</t>
  </si>
  <si>
    <t>TTMV9</t>
  </si>
  <si>
    <t>TLMV-CLC062</t>
  </si>
  <si>
    <t>AB038625</t>
  </si>
  <si>
    <t>Chitorquevirus</t>
  </si>
  <si>
    <t>torque teno indri virus 1</t>
  </si>
  <si>
    <t>bet12.15</t>
  </si>
  <si>
    <t>MF187212</t>
  </si>
  <si>
    <t>Dalettorquevirus</t>
  </si>
  <si>
    <t>giant panda anellovirus</t>
  </si>
  <si>
    <t>gpan20793</t>
  </si>
  <si>
    <t>MF327539</t>
  </si>
  <si>
    <t>Deltatorquevirus</t>
  </si>
  <si>
    <t>torque teno tupaia virus</t>
  </si>
  <si>
    <t>TTTuV</t>
  </si>
  <si>
    <t>Tbc-TTV14</t>
  </si>
  <si>
    <t>AB057358</t>
  </si>
  <si>
    <t>Epsilontorquevirus</t>
  </si>
  <si>
    <t>torque teno tamarin virus</t>
  </si>
  <si>
    <t>TTTaV</t>
  </si>
  <si>
    <t>So-TTV2</t>
  </si>
  <si>
    <t>AB041960</t>
  </si>
  <si>
    <t>Etatorquevirus</t>
  </si>
  <si>
    <t>torque teno felis virus</t>
  </si>
  <si>
    <t>Fc-TTV4</t>
  </si>
  <si>
    <t>AB076003</t>
  </si>
  <si>
    <t>torque teno felis virus 2</t>
  </si>
  <si>
    <t>PRA1</t>
  </si>
  <si>
    <t>EF538877</t>
  </si>
  <si>
    <t>torque teno ocelot virus</t>
  </si>
  <si>
    <t>WF10</t>
  </si>
  <si>
    <t>MK069470</t>
  </si>
  <si>
    <t>torque teno felis virus-Fc-TTV2</t>
  </si>
  <si>
    <t>VS4300008</t>
  </si>
  <si>
    <t>JF304938</t>
  </si>
  <si>
    <t>torque teno felis virus-Fc-TTV1</t>
  </si>
  <si>
    <t>VS4300006</t>
  </si>
  <si>
    <t>JF304937</t>
  </si>
  <si>
    <t>Paguma larvata torque teno virus</t>
  </si>
  <si>
    <t>Pl-TTV3</t>
  </si>
  <si>
    <t>LC387548</t>
  </si>
  <si>
    <t>Gammatorquevirus</t>
  </si>
  <si>
    <t>torque teno midi virus 1</t>
  </si>
  <si>
    <t>TTMdV1</t>
  </si>
  <si>
    <t>MD1-032</t>
  </si>
  <si>
    <t>AB290917</t>
  </si>
  <si>
    <t>torque teno midi virus 10</t>
  </si>
  <si>
    <t>TTMdV10</t>
  </si>
  <si>
    <t>MDJN14</t>
  </si>
  <si>
    <t>AB303560</t>
  </si>
  <si>
    <t>torque teno midi virus 11</t>
  </si>
  <si>
    <t>TTMdV11</t>
  </si>
  <si>
    <t>MDJN47</t>
  </si>
  <si>
    <t>AB303561</t>
  </si>
  <si>
    <t>torque teno midi virus 12</t>
  </si>
  <si>
    <t>TTMdV12</t>
  </si>
  <si>
    <t>MDJN51</t>
  </si>
  <si>
    <t>AB303562</t>
  </si>
  <si>
    <t>torque teno midi virus 13</t>
  </si>
  <si>
    <t>TTMdV13</t>
  </si>
  <si>
    <t>MDJN69</t>
  </si>
  <si>
    <t>AB303564</t>
  </si>
  <si>
    <t>torque teno midi virus 14</t>
  </si>
  <si>
    <t>TTMdV14</t>
  </si>
  <si>
    <t>MDJN97</t>
  </si>
  <si>
    <t>AB303566</t>
  </si>
  <si>
    <t>torque teno midi virus 15</t>
  </si>
  <si>
    <t>TTMdV15</t>
  </si>
  <si>
    <t>Pt-TTMDV210</t>
  </si>
  <si>
    <t>AB449062</t>
  </si>
  <si>
    <t>torque teno midi virus 2</t>
  </si>
  <si>
    <t>TTMdV2</t>
  </si>
  <si>
    <t>MD2-013</t>
  </si>
  <si>
    <t>AB290919</t>
  </si>
  <si>
    <t>torque teno midi virus 3</t>
  </si>
  <si>
    <t>TTMdV3</t>
  </si>
  <si>
    <t>2PoSMA</t>
  </si>
  <si>
    <t>EF538875</t>
  </si>
  <si>
    <t>torque teno midi virus 4</t>
  </si>
  <si>
    <t>TTMdV4</t>
  </si>
  <si>
    <t>6Po-SMA</t>
  </si>
  <si>
    <t>EF538876</t>
  </si>
  <si>
    <t>torque teno midi virus 5</t>
  </si>
  <si>
    <t>TTMdV5</t>
  </si>
  <si>
    <t>MDJHem2</t>
  </si>
  <si>
    <t>AB303552</t>
  </si>
  <si>
    <t>torque teno midi virus 6</t>
  </si>
  <si>
    <t>TTMdV6</t>
  </si>
  <si>
    <t>MDJHem3-1</t>
  </si>
  <si>
    <t>AB303553</t>
  </si>
  <si>
    <t>torque teno midi virus 7</t>
  </si>
  <si>
    <t>TTMdV7</t>
  </si>
  <si>
    <t>MDJHem3-2</t>
  </si>
  <si>
    <t>AB303554</t>
  </si>
  <si>
    <t>torque teno midi virus 8</t>
  </si>
  <si>
    <t>TTMdV8</t>
  </si>
  <si>
    <t>MDJN1</t>
  </si>
  <si>
    <t>AB303558</t>
  </si>
  <si>
    <t>torque teno midi virus 9</t>
  </si>
  <si>
    <t>TTMdV9</t>
  </si>
  <si>
    <t>MDJN2</t>
  </si>
  <si>
    <t>AB303559</t>
  </si>
  <si>
    <t>Gimeltorquevirus</t>
  </si>
  <si>
    <t>gpan20806</t>
  </si>
  <si>
    <t>MF327544</t>
  </si>
  <si>
    <t>Gyrovirus</t>
  </si>
  <si>
    <t>Chicken anemia virus</t>
  </si>
  <si>
    <t>CAV</t>
  </si>
  <si>
    <t>Cuxhaven-1</t>
  </si>
  <si>
    <t>M55918</t>
  </si>
  <si>
    <t>gyrovirus GyV8</t>
  </si>
  <si>
    <t>GyV8</t>
  </si>
  <si>
    <t>KR137527</t>
  </si>
  <si>
    <t>avian gyrovirus 2</t>
  </si>
  <si>
    <t>AGyV2</t>
  </si>
  <si>
    <t>Ave 3</t>
  </si>
  <si>
    <t>HM590588</t>
  </si>
  <si>
    <t>gyrovirus GyV7-SF</t>
  </si>
  <si>
    <t>GyV7-SF</t>
  </si>
  <si>
    <t>KM111536</t>
  </si>
  <si>
    <t>gyrovirus GyV3</t>
  </si>
  <si>
    <t>GyV3</t>
  </si>
  <si>
    <t>FecGy</t>
  </si>
  <si>
    <t>JQ308210</t>
  </si>
  <si>
    <t>gyrovirus Tu789</t>
  </si>
  <si>
    <t>GyVTu789</t>
  </si>
  <si>
    <t>Tu789</t>
  </si>
  <si>
    <t>KF294862</t>
  </si>
  <si>
    <t>gyrovirus 4</t>
  </si>
  <si>
    <t>GyV4</t>
  </si>
  <si>
    <t>D137</t>
  </si>
  <si>
    <t>JX310702</t>
  </si>
  <si>
    <t>gyrovirus Tu243</t>
  </si>
  <si>
    <t>GyVTu243</t>
  </si>
  <si>
    <t>Tu243</t>
  </si>
  <si>
    <t>KF294861</t>
  </si>
  <si>
    <t>ashy storm petrel gyrovirus</t>
  </si>
  <si>
    <t>ASPGyV</t>
  </si>
  <si>
    <t>a12a1_528</t>
  </si>
  <si>
    <t>MH378452</t>
  </si>
  <si>
    <t>gyrovirus 11</t>
  </si>
  <si>
    <t>GyV11</t>
  </si>
  <si>
    <t>MH638372</t>
  </si>
  <si>
    <t>Hetorquevirus</t>
  </si>
  <si>
    <t>vzttmv5</t>
  </si>
  <si>
    <t>MK212032</t>
  </si>
  <si>
    <t>Iotatorquevirus</t>
  </si>
  <si>
    <t>torque teno sus virus 1a</t>
  </si>
  <si>
    <t>TTSV1a</t>
  </si>
  <si>
    <t>Sd-TTV31</t>
  </si>
  <si>
    <t>AB076001</t>
  </si>
  <si>
    <t>Kappatorquevirus</t>
  </si>
  <si>
    <t>torque teno sus virus k2a</t>
  </si>
  <si>
    <t>TTSVk2a</t>
  </si>
  <si>
    <t>2p</t>
  </si>
  <si>
    <t>AY823991</t>
  </si>
  <si>
    <t>torque teno sus virus k2b</t>
  </si>
  <si>
    <t>TTSVk2b</t>
  </si>
  <si>
    <t>38E23</t>
  </si>
  <si>
    <t>JQ406846</t>
  </si>
  <si>
    <t>Lambdatorquevirus</t>
  </si>
  <si>
    <t>seal anellovirus TFFN</t>
  </si>
  <si>
    <t>TGGN</t>
  </si>
  <si>
    <t>HQ287751</t>
  </si>
  <si>
    <t>seal anellovirus 2</t>
  </si>
  <si>
    <t>12-410</t>
  </si>
  <si>
    <t>KF373760</t>
  </si>
  <si>
    <t>seal anellovirus 3</t>
  </si>
  <si>
    <t>KF373758</t>
  </si>
  <si>
    <t>torque teno Leptonychotes weddellii virus-1</t>
  </si>
  <si>
    <t>gt16_wsp8</t>
  </si>
  <si>
    <t>KY246582</t>
  </si>
  <si>
    <t>torque teno Leptonychotes weddellii virus-2</t>
  </si>
  <si>
    <t>gt3_wsp24</t>
  </si>
  <si>
    <t>KY246547</t>
  </si>
  <si>
    <t>Mutorquevirus</t>
  </si>
  <si>
    <t>torque teno equus virus 1</t>
  </si>
  <si>
    <t>horse 1</t>
  </si>
  <si>
    <t>KR902501</t>
  </si>
  <si>
    <t>torque teno equus virus 2</t>
  </si>
  <si>
    <t>TTEqV2</t>
  </si>
  <si>
    <t>Alberta/2018</t>
  </si>
  <si>
    <t>MW842984</t>
  </si>
  <si>
    <t>Nutorquevirus</t>
  </si>
  <si>
    <t>seal anellovirus 5</t>
  </si>
  <si>
    <t>SeAv5-PV13-431</t>
  </si>
  <si>
    <t>KM262782</t>
  </si>
  <si>
    <t>Omegatorquevirus</t>
  </si>
  <si>
    <t>gorilla anellovirus</t>
  </si>
  <si>
    <t>GorF</t>
  </si>
  <si>
    <t>KT027939</t>
  </si>
  <si>
    <t>Omicrontorquevirus</t>
  </si>
  <si>
    <t>gpan20684</t>
  </si>
  <si>
    <t>MF327557</t>
  </si>
  <si>
    <t>Pitorquevirus</t>
  </si>
  <si>
    <t>gpan20868</t>
  </si>
  <si>
    <t>MF327541</t>
  </si>
  <si>
    <t>gpan21066</t>
  </si>
  <si>
    <t>MF327548</t>
  </si>
  <si>
    <t>gpan21031</t>
  </si>
  <si>
    <t>MF327547</t>
  </si>
  <si>
    <t>gpan21094</t>
  </si>
  <si>
    <t>MF327540</t>
  </si>
  <si>
    <t>MF327542</t>
  </si>
  <si>
    <t>MF327550</t>
  </si>
  <si>
    <t>Psitorquevirus</t>
  </si>
  <si>
    <t>ctcf003</t>
  </si>
  <si>
    <t>MK012516</t>
  </si>
  <si>
    <t>Rhotorquevirus</t>
  </si>
  <si>
    <t>rodent torque teno virus 1</t>
  </si>
  <si>
    <t>AS_WM1_Sp_1</t>
  </si>
  <si>
    <t>KJ194617</t>
  </si>
  <si>
    <t>Sigmatorquevirus</t>
  </si>
  <si>
    <t>torque teno zalophus virus 1</t>
  </si>
  <si>
    <t>FJ459582</t>
  </si>
  <si>
    <t>torque teno Arctocephalus gazella virus 1</t>
  </si>
  <si>
    <t>ASV20_172</t>
  </si>
  <si>
    <t>MG837569</t>
  </si>
  <si>
    <t>torque teno Arctocephalus gazella virus 2</t>
  </si>
  <si>
    <t>ASV35_197</t>
  </si>
  <si>
    <t>MG837571</t>
  </si>
  <si>
    <t>Tettorquevirus</t>
  </si>
  <si>
    <t>feline anellovirus</t>
  </si>
  <si>
    <t>FelineAV621</t>
  </si>
  <si>
    <t>KX262893</t>
  </si>
  <si>
    <t>Thetatorquevirus</t>
  </si>
  <si>
    <t>torque teno canis virus</t>
  </si>
  <si>
    <t>Cf-TTV10</t>
  </si>
  <si>
    <t>AB076002</t>
  </si>
  <si>
    <t>tick associated torque teno virus</t>
  </si>
  <si>
    <t>tick24_1</t>
  </si>
  <si>
    <t>MF173068</t>
  </si>
  <si>
    <t>pine marten torque teno virus 1</t>
  </si>
  <si>
    <t>VS4700004</t>
  </si>
  <si>
    <t>JN704611</t>
  </si>
  <si>
    <t>ctdb009</t>
  </si>
  <si>
    <t>MK012446</t>
  </si>
  <si>
    <t>cthe000</t>
  </si>
  <si>
    <t>MK012439</t>
  </si>
  <si>
    <t>lesser panda anellovirus</t>
  </si>
  <si>
    <t>chengdu-1</t>
  </si>
  <si>
    <t>KX611132</t>
  </si>
  <si>
    <t>gpan20783</t>
  </si>
  <si>
    <t>MF327551</t>
  </si>
  <si>
    <t>gpan20682</t>
  </si>
  <si>
    <t>MF327552</t>
  </si>
  <si>
    <t>gpan20724</t>
  </si>
  <si>
    <t>MF327554</t>
  </si>
  <si>
    <t>Pl-TTV9-2</t>
  </si>
  <si>
    <t>LC387543</t>
  </si>
  <si>
    <t>Upsilontorquevirus</t>
  </si>
  <si>
    <t>MK012447</t>
  </si>
  <si>
    <t>ctcf007</t>
  </si>
  <si>
    <t>MK012527</t>
  </si>
  <si>
    <t>ctdc005</t>
  </si>
  <si>
    <t>MK012497</t>
  </si>
  <si>
    <t>ctbd010</t>
  </si>
  <si>
    <t>MK012464</t>
  </si>
  <si>
    <t>ctbb008</t>
  </si>
  <si>
    <t>MK012467</t>
  </si>
  <si>
    <t>ctbb005</t>
  </si>
  <si>
    <t>MK012471</t>
  </si>
  <si>
    <t>Pl-TTV9-1</t>
  </si>
  <si>
    <t>LC387546</t>
  </si>
  <si>
    <t>Wawtorquevirus</t>
  </si>
  <si>
    <t>rodent torque teno virus 8</t>
  </si>
  <si>
    <t>MF541389</t>
  </si>
  <si>
    <t>rodent torque teno virus 3</t>
  </si>
  <si>
    <t>MF541374</t>
  </si>
  <si>
    <t>rodent torque teno virus 7</t>
  </si>
  <si>
    <t>MF541388</t>
  </si>
  <si>
    <t>mosquito VEM Anellovirus SDRB A</t>
  </si>
  <si>
    <t>SDRB</t>
  </si>
  <si>
    <t>HQ335084</t>
  </si>
  <si>
    <t>rodent torque teno virus 2</t>
  </si>
  <si>
    <t>AS_WM1_Se_4</t>
  </si>
  <si>
    <t>KJ194604</t>
  </si>
  <si>
    <t>RN_8_Se11</t>
  </si>
  <si>
    <t>KM609325</t>
  </si>
  <si>
    <t>Xitorquevirus</t>
  </si>
  <si>
    <t>torque teno Didelphis albiventris virus</t>
  </si>
  <si>
    <t>MF541378</t>
  </si>
  <si>
    <t>torque teno Tadarida brasiliensis virus</t>
  </si>
  <si>
    <t>KM434181</t>
  </si>
  <si>
    <t>Zayintorquevirus</t>
  </si>
  <si>
    <t>Pl-TTV5-2</t>
  </si>
  <si>
    <t>LC387540</t>
  </si>
  <si>
    <t>Pl-TTV1-1</t>
  </si>
  <si>
    <t>LC387536</t>
  </si>
  <si>
    <t>Zetatorquevirus</t>
  </si>
  <si>
    <t>torque teno douroucouli virus</t>
  </si>
  <si>
    <t>TTDV</t>
  </si>
  <si>
    <t>At-TTV3</t>
  </si>
  <si>
    <t>AB041961</t>
  </si>
  <si>
    <t>Avsunviroidae</t>
  </si>
  <si>
    <t>Avsunviroid</t>
  </si>
  <si>
    <t>avocado sunblotch viroid</t>
  </si>
  <si>
    <t>ASBVd</t>
  </si>
  <si>
    <t>J02020</t>
  </si>
  <si>
    <t>Elaviroid</t>
  </si>
  <si>
    <t>eggplant latent viroid</t>
  </si>
  <si>
    <t>ELVd</t>
  </si>
  <si>
    <t>AJ536613</t>
  </si>
  <si>
    <t>Pelamoviroid</t>
  </si>
  <si>
    <t>apple hammerhead viroid</t>
  </si>
  <si>
    <t>AHVd</t>
  </si>
  <si>
    <t>KR605506</t>
  </si>
  <si>
    <t>chrysanthemum chlorotic mottle viroid</t>
  </si>
  <si>
    <t>CChMVd</t>
  </si>
  <si>
    <t>Horst</t>
  </si>
  <si>
    <t>Y14700</t>
  </si>
  <si>
    <t>peach latent mosaic viroid</t>
  </si>
  <si>
    <t>PLMVd</t>
  </si>
  <si>
    <t>M83545</t>
  </si>
  <si>
    <t>Bartogtaviriformidae</t>
  </si>
  <si>
    <t>Bartonegtaviriform</t>
  </si>
  <si>
    <t>Bartonella gene transfer agent</t>
  </si>
  <si>
    <t>BaGTA</t>
  </si>
  <si>
    <t>Bicaudaviridae</t>
  </si>
  <si>
    <t>Bicaudavirus</t>
  </si>
  <si>
    <t>Acidianus two-tailed virus</t>
  </si>
  <si>
    <t>AJ888457</t>
  </si>
  <si>
    <t>Brachygtaviriformidae</t>
  </si>
  <si>
    <t>Brachyspigtaviriform</t>
  </si>
  <si>
    <t>Brachyspira hyodysenteriae gene transfer agent</t>
  </si>
  <si>
    <t>BhGTA</t>
  </si>
  <si>
    <t>Clavaviridae</t>
  </si>
  <si>
    <t>Clavavirus</t>
  </si>
  <si>
    <t>Aeropyrum pernix bacilliform virus 1</t>
  </si>
  <si>
    <t>APBV1</t>
  </si>
  <si>
    <t>AB537968</t>
  </si>
  <si>
    <t>Fuselloviridae</t>
  </si>
  <si>
    <t>Alphafusellovirus</t>
  </si>
  <si>
    <t>sulfolobus spindle-shaped virus 1</t>
  </si>
  <si>
    <t>SSV1</t>
  </si>
  <si>
    <t>X07234</t>
  </si>
  <si>
    <t>sulfolobus spindle-shaped virus 2</t>
  </si>
  <si>
    <t>SSV2</t>
  </si>
  <si>
    <t>AY370762</t>
  </si>
  <si>
    <t>sulfolobus spindle-shaped virus 4</t>
  </si>
  <si>
    <t>SSV3</t>
  </si>
  <si>
    <t>EU030938</t>
  </si>
  <si>
    <t>sulfolobus spindle-shaped virus 5</t>
  </si>
  <si>
    <t>SSV4</t>
  </si>
  <si>
    <t>EU030939</t>
  </si>
  <si>
    <t>sulfolobus spindle-shaped virus 7</t>
  </si>
  <si>
    <t>SSV5</t>
  </si>
  <si>
    <t>FJ870916</t>
  </si>
  <si>
    <t>sulfolobus spindle-shaped virus 8</t>
  </si>
  <si>
    <t>SSV8</t>
  </si>
  <si>
    <t>AY388628</t>
  </si>
  <si>
    <t>sulfolobus spindle-shaped virus 9</t>
  </si>
  <si>
    <t>SSV7</t>
  </si>
  <si>
    <t>AY423772</t>
  </si>
  <si>
    <t>Betafusellovirus</t>
  </si>
  <si>
    <t>Acidianus spindle-shaped virus 1</t>
  </si>
  <si>
    <t>ASV1</t>
  </si>
  <si>
    <t>FJ870917</t>
  </si>
  <si>
    <t>sulfolobus spindle-shaped virus 6</t>
  </si>
  <si>
    <t>SSV6</t>
  </si>
  <si>
    <t>FJ870915</t>
  </si>
  <si>
    <t>Globuloviridae</t>
  </si>
  <si>
    <t>Alphaglobulovirus</t>
  </si>
  <si>
    <t>Pyrobaculum spherical virus</t>
  </si>
  <si>
    <t>AJ635161</t>
  </si>
  <si>
    <t>Pyrobaculum spherical virus 2</t>
  </si>
  <si>
    <t>PSV2</t>
  </si>
  <si>
    <t>MN876845</t>
  </si>
  <si>
    <t>Thermoproteus spherical piliferous virus 1</t>
  </si>
  <si>
    <t>TSPV1</t>
  </si>
  <si>
    <t>MT047590</t>
  </si>
  <si>
    <t>Thermoproteus tenax spherical virus 1</t>
  </si>
  <si>
    <t>TTSV1</t>
  </si>
  <si>
    <t>AY722806</t>
  </si>
  <si>
    <t>Guttaviridae</t>
  </si>
  <si>
    <t>Betaguttavirus</t>
  </si>
  <si>
    <t>Aeropyrum pernix ovoid virus 1</t>
  </si>
  <si>
    <t>ApOV1</t>
  </si>
  <si>
    <t>HE580237</t>
  </si>
  <si>
    <t>Halspiviridae</t>
  </si>
  <si>
    <t>Salterprovirus</t>
  </si>
  <si>
    <t>His1</t>
  </si>
  <si>
    <t>AF191796</t>
  </si>
  <si>
    <t>Itzamnaviridae</t>
  </si>
  <si>
    <t>Demiitzamnavirus</t>
  </si>
  <si>
    <t>Methanophagales virus GBV303</t>
  </si>
  <si>
    <t>GBV303</t>
  </si>
  <si>
    <t>OP880254</t>
  </si>
  <si>
    <t>Pletoitzamnavirus</t>
  </si>
  <si>
    <t>Methanophagales virus PBV082</t>
  </si>
  <si>
    <t>PBV082</t>
  </si>
  <si>
    <t>OP413839</t>
  </si>
  <si>
    <t>Ovaliviridae</t>
  </si>
  <si>
    <t>Alphaovalivirus</t>
  </si>
  <si>
    <t>Sulfolobus ellipsoid virus 1 isolate CR_L</t>
  </si>
  <si>
    <t>SEV1</t>
  </si>
  <si>
    <t>CR_L</t>
  </si>
  <si>
    <t>MF144115</t>
  </si>
  <si>
    <t>Plasmaviridae</t>
  </si>
  <si>
    <t>Plasmavirus</t>
  </si>
  <si>
    <t>Acholeplasma phage L2</t>
  </si>
  <si>
    <t>AVL2</t>
  </si>
  <si>
    <t>L13696</t>
  </si>
  <si>
    <t>Polydnaviriformidae</t>
  </si>
  <si>
    <t>Bracoviriform</t>
  </si>
  <si>
    <t>Chelonus altitudinis bracovirus</t>
  </si>
  <si>
    <t>CalBV</t>
  </si>
  <si>
    <t>Ascogaster argentifrons bracovirus</t>
  </si>
  <si>
    <t>AaBV</t>
  </si>
  <si>
    <t>Chelonus blackburni bracovirus</t>
  </si>
  <si>
    <t>CbBV</t>
  </si>
  <si>
    <t>Hypomicrogaster canadensis bracovirus</t>
  </si>
  <si>
    <t>HcBV</t>
  </si>
  <si>
    <t>Cotesia congregata bracovirus</t>
  </si>
  <si>
    <t>CcBV</t>
  </si>
  <si>
    <t>Apanteles crassicornis bracovirus</t>
  </si>
  <si>
    <t>Microplitis croceipes bracovirus</t>
  </si>
  <si>
    <t>McBV</t>
  </si>
  <si>
    <t>Chelonus nr. curvimaculatus bracovirus</t>
  </si>
  <si>
    <t>Microplitis demolitor bracovirus</t>
  </si>
  <si>
    <t>MdBV</t>
  </si>
  <si>
    <t>Hypomicrogaster ectdytolophae bracovirus</t>
  </si>
  <si>
    <t>HcEV</t>
  </si>
  <si>
    <t>Diolcogaster facetosa bracovirus</t>
  </si>
  <si>
    <t>DfBV</t>
  </si>
  <si>
    <t>Glyptapanteles flavicoxis bracovirus</t>
  </si>
  <si>
    <t>GflBV</t>
  </si>
  <si>
    <t>Cotesia flavipes bracovirus</t>
  </si>
  <si>
    <t>CfBV</t>
  </si>
  <si>
    <t>Phanerotoma flavitestacea bracovirus</t>
  </si>
  <si>
    <t>PfBV</t>
  </si>
  <si>
    <t>Apanteles fumiferanae bracovirus</t>
  </si>
  <si>
    <t>AfBV</t>
  </si>
  <si>
    <t>Cotesia glomerata bracovirus</t>
  </si>
  <si>
    <t>CgBV</t>
  </si>
  <si>
    <t>Cotesia hyphantriae bracovirus</t>
  </si>
  <si>
    <t>ChBV</t>
  </si>
  <si>
    <t>Chelonus inanitus bracovirus</t>
  </si>
  <si>
    <t>CinaBV</t>
  </si>
  <si>
    <t>Glyptapanteles indiensis bracovirus</t>
  </si>
  <si>
    <t>GiBV</t>
  </si>
  <si>
    <t>Chelonus insularis bracovirus</t>
  </si>
  <si>
    <t>CinsBV</t>
  </si>
  <si>
    <t>Cotesia kariyai bracovirus</t>
  </si>
  <si>
    <t>CkBV</t>
  </si>
  <si>
    <t>Glyptapanteles liparidis bracovirus</t>
  </si>
  <si>
    <t>GlBV</t>
  </si>
  <si>
    <t>Cotesia marginiventris bracovirus</t>
  </si>
  <si>
    <t>CmaBV</t>
  </si>
  <si>
    <t>Cotesia melanoscela bracovirus</t>
  </si>
  <si>
    <t>CmeBV</t>
  </si>
  <si>
    <t>Cardiochiles nigriceps bracovirus</t>
  </si>
  <si>
    <t>CnBV</t>
  </si>
  <si>
    <t>Pholetesor ornigis bracovirus</t>
  </si>
  <si>
    <t>PoBV</t>
  </si>
  <si>
    <t>Protapanteles paleacritae bracovirus</t>
  </si>
  <si>
    <t>PpBV</t>
  </si>
  <si>
    <t>Ascogaster quadridentata bracovirus</t>
  </si>
  <si>
    <t>AqBV</t>
  </si>
  <si>
    <t>Cotesia rubecula bracovirus</t>
  </si>
  <si>
    <t>CrBV</t>
  </si>
  <si>
    <t>Cotesia schaeferi bracovirus</t>
  </si>
  <si>
    <t>CsBV</t>
  </si>
  <si>
    <t>Chelonus texanus bracovirus</t>
  </si>
  <si>
    <t>CtBV</t>
  </si>
  <si>
    <t>Ichnoviriform</t>
  </si>
  <si>
    <t>Diadegma acronyctae ichnovirus</t>
  </si>
  <si>
    <t>DaIV</t>
  </si>
  <si>
    <t>Hyposoter annulipes ichnovirus</t>
  </si>
  <si>
    <t>HaIV</t>
  </si>
  <si>
    <t>Campoletis aprilis ichnovirus</t>
  </si>
  <si>
    <t>CaIV</t>
  </si>
  <si>
    <t>Casinaria arjuna ichnovirus</t>
  </si>
  <si>
    <t>CarIV</t>
  </si>
  <si>
    <t>Olesicampe benefactor ichnovirus</t>
  </si>
  <si>
    <t>ObIV</t>
  </si>
  <si>
    <t>Eriborus terebrans ichnovirus</t>
  </si>
  <si>
    <t>EtIV</t>
  </si>
  <si>
    <t>Hyposoter exiguae ichnovirus</t>
  </si>
  <si>
    <t>HeIV</t>
  </si>
  <si>
    <t>Campoletis flavicincta ichnovirus</t>
  </si>
  <si>
    <t>CfIV</t>
  </si>
  <si>
    <t>Casinaria forcipata ichnovirus</t>
  </si>
  <si>
    <t>CfoIV</t>
  </si>
  <si>
    <t>Hyposoter fugitivus ichnovirus</t>
  </si>
  <si>
    <t>HfIV</t>
  </si>
  <si>
    <t>Glypta fumiferanae ichnovirus</t>
  </si>
  <si>
    <t>GfIV</t>
  </si>
  <si>
    <t>Olesicampe geniculatae ichnovirus</t>
  </si>
  <si>
    <t>OgIV</t>
  </si>
  <si>
    <t>Casinaria infesta ichnovirus</t>
  </si>
  <si>
    <t>CiIV</t>
  </si>
  <si>
    <t>Diadegma interruptum ichnovirus</t>
  </si>
  <si>
    <t>DiIV</t>
  </si>
  <si>
    <t>Hyposoter lymantriae ichnovirus</t>
  </si>
  <si>
    <t>HlIV</t>
  </si>
  <si>
    <t>Enytus montanus ichnovirus</t>
  </si>
  <si>
    <t>X-2</t>
  </si>
  <si>
    <t>Hyposoter pilosulus ichnovirus</t>
  </si>
  <si>
    <t>HpIV</t>
  </si>
  <si>
    <t>Hyposoter rivalis ichnovirus</t>
  </si>
  <si>
    <t>HrIV</t>
  </si>
  <si>
    <t>Tranosema rostrale bracovirus</t>
  </si>
  <si>
    <t>TrBV</t>
  </si>
  <si>
    <t>Campoletis sonorensis ichnovirus</t>
  </si>
  <si>
    <t>CsIV</t>
  </si>
  <si>
    <t>Texas A&amp;M</t>
  </si>
  <si>
    <t>Synetaeris tenuifemur ichnovirus</t>
  </si>
  <si>
    <t>StIV</t>
  </si>
  <si>
    <t>Diadegma terebrans ichnovirus</t>
  </si>
  <si>
    <t>DtIV</t>
  </si>
  <si>
    <t>Portogloboviridae</t>
  </si>
  <si>
    <t>Alphaportoglobovirus</t>
  </si>
  <si>
    <t>Sulfolobus polyhedral virus 2</t>
  </si>
  <si>
    <t>clone F</t>
  </si>
  <si>
    <t>MK064567</t>
  </si>
  <si>
    <t>Sulfolobus polyhedral virus 1</t>
  </si>
  <si>
    <t>SPV1</t>
  </si>
  <si>
    <t>S14</t>
  </si>
  <si>
    <t>KY780159</t>
  </si>
  <si>
    <t>Pospiviroidae</t>
  </si>
  <si>
    <t>Apscaviroid</t>
  </si>
  <si>
    <t>apple dimple fruit viroid</t>
  </si>
  <si>
    <t>ADFVd</t>
  </si>
  <si>
    <t>Di Serio</t>
  </si>
  <si>
    <t>X99487</t>
  </si>
  <si>
    <t>apple scar skin viroid</t>
  </si>
  <si>
    <t>ASSVd</t>
  </si>
  <si>
    <t>X17696</t>
  </si>
  <si>
    <t>apple chlorotic fruit spot viroid</t>
  </si>
  <si>
    <t>ACFSVd</t>
  </si>
  <si>
    <t>MF521431</t>
  </si>
  <si>
    <t>Citrus viroid VII</t>
  </si>
  <si>
    <t>CVd-VII</t>
  </si>
  <si>
    <t>KX013549</t>
  </si>
  <si>
    <t>Dendrobium viroid</t>
  </si>
  <si>
    <t>DVd</t>
  </si>
  <si>
    <t>MT013216</t>
  </si>
  <si>
    <t>grapevine latent viroid</t>
  </si>
  <si>
    <t>GLVd</t>
  </si>
  <si>
    <t>KR605505</t>
  </si>
  <si>
    <t>lychee viroid</t>
  </si>
  <si>
    <t>LVd</t>
  </si>
  <si>
    <t>MF156698</t>
  </si>
  <si>
    <t>plum viroid I</t>
  </si>
  <si>
    <t>PlVd-I</t>
  </si>
  <si>
    <t>MN734702</t>
  </si>
  <si>
    <t>persimmon viroid</t>
  </si>
  <si>
    <t>PVd</t>
  </si>
  <si>
    <t>AB366022</t>
  </si>
  <si>
    <t>persimmon viroid 2</t>
  </si>
  <si>
    <t>PVd-2</t>
  </si>
  <si>
    <t>AB817729</t>
  </si>
  <si>
    <t>Australian grapevine viroid</t>
  </si>
  <si>
    <t>AGVd</t>
  </si>
  <si>
    <t>Rezaian</t>
  </si>
  <si>
    <t>X17101</t>
  </si>
  <si>
    <t>citrus bent leaf viroid</t>
  </si>
  <si>
    <t>CBLVd</t>
  </si>
  <si>
    <t>U21125</t>
  </si>
  <si>
    <t>citrus dwarfing viroid</t>
  </si>
  <si>
    <t>CDVd</t>
  </si>
  <si>
    <t>E21a</t>
  </si>
  <si>
    <t>AF447788</t>
  </si>
  <si>
    <t>citrus viroid V</t>
  </si>
  <si>
    <t>CVdV</t>
  </si>
  <si>
    <t>EF617306</t>
  </si>
  <si>
    <t>citrus viroid VI</t>
  </si>
  <si>
    <t>CVdVI</t>
  </si>
  <si>
    <t>JCVd 1</t>
  </si>
  <si>
    <t>AB019508</t>
  </si>
  <si>
    <t>grapevine yellow speckle viroid 1</t>
  </si>
  <si>
    <t>GYSVd1</t>
  </si>
  <si>
    <t>type3</t>
  </si>
  <si>
    <t>AF059712</t>
  </si>
  <si>
    <t>grapevine yellow speckle viroid 2</t>
  </si>
  <si>
    <t>GYSVd2</t>
  </si>
  <si>
    <t>Koltunow</t>
  </si>
  <si>
    <t>J04348</t>
  </si>
  <si>
    <t>pear blister canker viroid</t>
  </si>
  <si>
    <t>PBCVd</t>
  </si>
  <si>
    <t>Hernandez</t>
  </si>
  <si>
    <t>D12823</t>
  </si>
  <si>
    <t>Cocadviroid</t>
  </si>
  <si>
    <t>citrus bark cracking viroid</t>
  </si>
  <si>
    <t>CBCVd</t>
  </si>
  <si>
    <t>Saenger</t>
  </si>
  <si>
    <t>X14638</t>
  </si>
  <si>
    <t>coconut cadang-cadang viroid</t>
  </si>
  <si>
    <t>CCCVd</t>
  </si>
  <si>
    <t>ccrna1/fast</t>
  </si>
  <si>
    <t>J02049</t>
  </si>
  <si>
    <t>coconut tinangaja viroid</t>
  </si>
  <si>
    <t>CTVd</t>
  </si>
  <si>
    <t>M20731</t>
  </si>
  <si>
    <t>hop latent viroid</t>
  </si>
  <si>
    <t>HLVd</t>
  </si>
  <si>
    <t>X07397</t>
  </si>
  <si>
    <t>Coleviroid</t>
  </si>
  <si>
    <t>Coleus blumei viroid 1</t>
  </si>
  <si>
    <t>CbVd1</t>
  </si>
  <si>
    <t>Spieker</t>
  </si>
  <si>
    <t>X52960</t>
  </si>
  <si>
    <t>Coleus blumei viroid 2</t>
  </si>
  <si>
    <t>CbVd2</t>
  </si>
  <si>
    <t>RL</t>
  </si>
  <si>
    <t>X95365</t>
  </si>
  <si>
    <t>Coleus blumei viroid 3</t>
  </si>
  <si>
    <t>CbVd3</t>
  </si>
  <si>
    <t>X95290</t>
  </si>
  <si>
    <t>Coleus blumei viroid 5</t>
  </si>
  <si>
    <t>CbVd-5</t>
  </si>
  <si>
    <t>FJ151370</t>
  </si>
  <si>
    <t>Coleus blumei viroid 6</t>
  </si>
  <si>
    <t>CbVd-6</t>
  </si>
  <si>
    <t>FJ615418</t>
  </si>
  <si>
    <t>Hostuviroid</t>
  </si>
  <si>
    <t>Dahlia latent viroid</t>
  </si>
  <si>
    <t>DLVd</t>
  </si>
  <si>
    <t>JX263426</t>
  </si>
  <si>
    <t>hop stunt viroid</t>
  </si>
  <si>
    <t>HSVd</t>
  </si>
  <si>
    <t>citrus2</t>
  </si>
  <si>
    <t>X06719</t>
  </si>
  <si>
    <t>Pospiviroid</t>
  </si>
  <si>
    <t>chrysanthemum stunt viroid</t>
  </si>
  <si>
    <t>CSVd</t>
  </si>
  <si>
    <t>Haseloff</t>
  </si>
  <si>
    <t>V01107</t>
  </si>
  <si>
    <t>citrus exocortis viroid</t>
  </si>
  <si>
    <t>CEVd</t>
  </si>
  <si>
    <t>Gross</t>
  </si>
  <si>
    <t>J02053</t>
  </si>
  <si>
    <t>Columnea latent viroid</t>
  </si>
  <si>
    <t>CLVd</t>
  </si>
  <si>
    <t>pCOL3.12</t>
  </si>
  <si>
    <t>X15663</t>
  </si>
  <si>
    <t>Iresine viroid 1</t>
  </si>
  <si>
    <t>IrVd1</t>
  </si>
  <si>
    <t>X95734</t>
  </si>
  <si>
    <t>pepper chat fruit viroid</t>
  </si>
  <si>
    <t>PCFVd</t>
  </si>
  <si>
    <t>Verhoeven</t>
  </si>
  <si>
    <t>FJ409044</t>
  </si>
  <si>
    <t>Portulaca latent viroid</t>
  </si>
  <si>
    <t>PLVd</t>
  </si>
  <si>
    <t>KR677387</t>
  </si>
  <si>
    <t>potato spindle tuber viroid</t>
  </si>
  <si>
    <t>PSTVd</t>
  </si>
  <si>
    <t>V01465</t>
  </si>
  <si>
    <t>tomato apical stunt viroid</t>
  </si>
  <si>
    <t>TASVd</t>
  </si>
  <si>
    <t>Kiefer</t>
  </si>
  <si>
    <t>K00818</t>
  </si>
  <si>
    <t>tomato chlorotic dwarf viroid</t>
  </si>
  <si>
    <t>TCDVd</t>
  </si>
  <si>
    <t>Singh</t>
  </si>
  <si>
    <t>AF162131</t>
  </si>
  <si>
    <t>tomato planta macho viroid</t>
  </si>
  <si>
    <t>TPMVd</t>
  </si>
  <si>
    <t>K00817</t>
  </si>
  <si>
    <t>Rhodogtaviriformidae</t>
  </si>
  <si>
    <t>Dinogtaviriform</t>
  </si>
  <si>
    <t>Dinoroseobacter shibae gene transfer agent</t>
  </si>
  <si>
    <t>DsGTA</t>
  </si>
  <si>
    <t>Rhodobactegtaviriform</t>
  </si>
  <si>
    <t>Rhodobacter capsulatus gene transfer agent</t>
  </si>
  <si>
    <t>RcGTA</t>
  </si>
  <si>
    <t>Rhodovulugtaviriform</t>
  </si>
  <si>
    <t>Rhodovulum sulfidophilum gene transfer agent</t>
  </si>
  <si>
    <t>RsGTA</t>
  </si>
  <si>
    <t>Ruegerigtaviriform</t>
  </si>
  <si>
    <t>Ruegeria pomeroyi gene transfer agent</t>
  </si>
  <si>
    <t>RpGTA</t>
  </si>
  <si>
    <t>Spiraviridae</t>
  </si>
  <si>
    <t>Alphaspiravirus</t>
  </si>
  <si>
    <t>Aeropyrum coil-shaped virus</t>
  </si>
  <si>
    <t>ACV</t>
  </si>
  <si>
    <t>HE681887</t>
  </si>
  <si>
    <t>Thaspiviridae</t>
  </si>
  <si>
    <t>Nitmarvirus</t>
  </si>
  <si>
    <t>Nitrosopumilus spindle-shaped virus 1</t>
  </si>
  <si>
    <t>NSV1</t>
  </si>
  <si>
    <t>NSV1-1</t>
  </si>
  <si>
    <t>MK570053</t>
  </si>
  <si>
    <t>NSV1-3</t>
  </si>
  <si>
    <t>NSV1-2</t>
  </si>
  <si>
    <t>Tolecusatellitidae</t>
  </si>
  <si>
    <t>Betasatellite</t>
  </si>
  <si>
    <t>Ageratum leaf curl Buea betasatellite</t>
  </si>
  <si>
    <t>ALCuBB</t>
  </si>
  <si>
    <t>CM/LIO1/SatB33/09</t>
  </si>
  <si>
    <t>FR717140</t>
  </si>
  <si>
    <t>Ageratum leaf curl Cameroon betasatellite</t>
  </si>
  <si>
    <t>ALCuCMB</t>
  </si>
  <si>
    <t>CM/Man/AMBF/06</t>
  </si>
  <si>
    <t>FM164737</t>
  </si>
  <si>
    <t>Ageratum yellow leaf curl betasatellite</t>
  </si>
  <si>
    <t>AYLCB</t>
  </si>
  <si>
    <t>PK/Fai4/00</t>
  </si>
  <si>
    <t>AJ316026</t>
  </si>
  <si>
    <t>Ageratum yellow vein betasatellite</t>
  </si>
  <si>
    <t>AYVB</t>
  </si>
  <si>
    <t>SG/95</t>
  </si>
  <si>
    <t>AJ252072</t>
  </si>
  <si>
    <t>Ageratum yellow vein China betasatellite</t>
  </si>
  <si>
    <t>AYVCNB</t>
  </si>
  <si>
    <t>CN-G66-05</t>
  </si>
  <si>
    <t>AJ971257</t>
  </si>
  <si>
    <t>Ageratum yellow vein Sri Lanka betasatellite</t>
  </si>
  <si>
    <t>AYVSLB</t>
  </si>
  <si>
    <t>SL/Ag/03</t>
  </si>
  <si>
    <t>AJ542498</t>
  </si>
  <si>
    <t>Alternanthera yellow vein betasatellite</t>
  </si>
  <si>
    <t>AlYVB</t>
  </si>
  <si>
    <t>VN/Hue/05</t>
  </si>
  <si>
    <t>DQ641716</t>
  </si>
  <si>
    <t>Andrographis yellow vein leaf curl betasatellite</t>
  </si>
  <si>
    <t>AnYVLCuB</t>
  </si>
  <si>
    <t>IN/Luc/10</t>
  </si>
  <si>
    <t>KC967282</t>
  </si>
  <si>
    <t>Bhendi yellow vein mosaic betasatellite</t>
  </si>
  <si>
    <t>BYVB</t>
  </si>
  <si>
    <t>IN/Mut/00</t>
  </si>
  <si>
    <t>AJ308425</t>
  </si>
  <si>
    <t>Cardiospermum yellow leaf curl betasatellite</t>
  </si>
  <si>
    <t>CaYLCuB</t>
  </si>
  <si>
    <t>SL/04</t>
  </si>
  <si>
    <t>AM933578</t>
  </si>
  <si>
    <t>chili leaf curl betasatellite</t>
  </si>
  <si>
    <t>ChLCuB</t>
  </si>
  <si>
    <t>PK/MC/97</t>
  </si>
  <si>
    <t>AJ316032</t>
  </si>
  <si>
    <t>chili leaf curl Jaunpur betasatellite</t>
  </si>
  <si>
    <t>ChLCuJB</t>
  </si>
  <si>
    <t>IN/Jau/07</t>
  </si>
  <si>
    <t>HM007103</t>
  </si>
  <si>
    <t>chili leaf curl Sri Lanka betasatellite</t>
  </si>
  <si>
    <t>ChLCuSLB</t>
  </si>
  <si>
    <t>SL/Mih/09</t>
  </si>
  <si>
    <t>JN638445</t>
  </si>
  <si>
    <t>Codiaeum leaf curl betasatellite</t>
  </si>
  <si>
    <t>CoLCuB</t>
  </si>
  <si>
    <t>PK-AA2-16</t>
  </si>
  <si>
    <t>MF278784</t>
  </si>
  <si>
    <t>Cotton leaf curl Bahraich betasatellite</t>
  </si>
  <si>
    <t>CLCBahB</t>
  </si>
  <si>
    <t>IN-Hib-03</t>
  </si>
  <si>
    <t>EF620566</t>
  </si>
  <si>
    <t>Cotton leaf curl Bangalore betasatellite 1</t>
  </si>
  <si>
    <t>CLCuBaB1</t>
  </si>
  <si>
    <t>IN-05</t>
  </si>
  <si>
    <t>AY705381</t>
  </si>
  <si>
    <t>Cotton leaf curl Bangalore betasatellite 2</t>
  </si>
  <si>
    <t>CLCuBaB2</t>
  </si>
  <si>
    <t>IN-Tom-Ban5-01</t>
  </si>
  <si>
    <t>KF964654</t>
  </si>
  <si>
    <t>Cotton leaf curl Bangalore betasatellite 3</t>
  </si>
  <si>
    <t>CLCuBaB3</t>
  </si>
  <si>
    <t>IN-Mal-15</t>
  </si>
  <si>
    <t>LC316186</t>
  </si>
  <si>
    <t>Cotton leaf curl Bangalore betasatellite 4</t>
  </si>
  <si>
    <t>CLCuBaB4</t>
  </si>
  <si>
    <t>IN-Hol-CH50-17</t>
  </si>
  <si>
    <t>MG758149</t>
  </si>
  <si>
    <t>Cotton leaf curl Burkina Faso betasatellite</t>
  </si>
  <si>
    <t>CLCuBFB</t>
  </si>
  <si>
    <t>BF-Sid28BB-14</t>
  </si>
  <si>
    <t>MK032307</t>
  </si>
  <si>
    <t>cotton leaf curl Gezira betasatellite</t>
  </si>
  <si>
    <t>CLCuGeB</t>
  </si>
  <si>
    <t>SD/Dat/06</t>
  </si>
  <si>
    <t>DQ644564</t>
  </si>
  <si>
    <t>Cotton leaf curl Kashmir betasatellite</t>
  </si>
  <si>
    <t>CLCuKaB</t>
  </si>
  <si>
    <t>IN-Cap-Kas1-14</t>
  </si>
  <si>
    <t>LN610993</t>
  </si>
  <si>
    <t>cotton leaf curl Multan betasatellite</t>
  </si>
  <si>
    <t>CLCuMuB</t>
  </si>
  <si>
    <t>PK/Mul/U89/97</t>
  </si>
  <si>
    <t>AJ298903</t>
  </si>
  <si>
    <t>Cotton leaf curl Tandojam betasatellite</t>
  </si>
  <si>
    <t>CLCuTaB</t>
  </si>
  <si>
    <t>PK-Cap-IS_6-16</t>
  </si>
  <si>
    <t>LT827054</t>
  </si>
  <si>
    <t>Croton yellow vein mosaic betasatellite</t>
  </si>
  <si>
    <t>CroYVMB</t>
  </si>
  <si>
    <t>PK/Pun/06</t>
  </si>
  <si>
    <t>AM410551</t>
  </si>
  <si>
    <t>Emilia yellow vein betasatellite</t>
  </si>
  <si>
    <t>EmYVB</t>
  </si>
  <si>
    <t>CN-Fz1-06</t>
  </si>
  <si>
    <t>FJ869906</t>
  </si>
  <si>
    <t>Emilia yellow vein Fujian betasatellite</t>
  </si>
  <si>
    <t>EmYVFuB</t>
  </si>
  <si>
    <t>CN-Zz01-17</t>
  </si>
  <si>
    <t>MH035671</t>
  </si>
  <si>
    <t>Erectites yellow mosaic betasatellite</t>
  </si>
  <si>
    <t>ErYMB</t>
  </si>
  <si>
    <t>VN-Hoa-04</t>
  </si>
  <si>
    <t>DQ641713</t>
  </si>
  <si>
    <t>Eupatorium yellow vein betasatellite</t>
  </si>
  <si>
    <t>EpYVB</t>
  </si>
  <si>
    <t>JR/MNS2/00</t>
  </si>
  <si>
    <t>AJ438938</t>
  </si>
  <si>
    <t>Eupatorium yellow vein mosaic betasatellite</t>
  </si>
  <si>
    <t>EpYVV</t>
  </si>
  <si>
    <t>JR/Suya/03</t>
  </si>
  <si>
    <t>AB300464</t>
  </si>
  <si>
    <t>French bean leaf curl betasatellite</t>
  </si>
  <si>
    <t>FBLCuB</t>
  </si>
  <si>
    <t>IN/Kan/11</t>
  </si>
  <si>
    <t>JQ866298</t>
  </si>
  <si>
    <t>Hedyotis yellow mosaic betasatellite</t>
  </si>
  <si>
    <t>HYMB</t>
  </si>
  <si>
    <t>VN/BinhDinh/13</t>
  </si>
  <si>
    <t>KF641186</t>
  </si>
  <si>
    <t>Hibiscus vein enation betasatellite</t>
  </si>
  <si>
    <t>HVEB</t>
  </si>
  <si>
    <t>TW-Cha-13</t>
  </si>
  <si>
    <t>MF140456</t>
  </si>
  <si>
    <t>honeysuckle yellow vein betasatellite</t>
  </si>
  <si>
    <t>HYVB</t>
  </si>
  <si>
    <t>UK/Nor1/99</t>
  </si>
  <si>
    <t>AJ316040</t>
  </si>
  <si>
    <t>honeysuckle yellow vein mosaic betasatellite</t>
  </si>
  <si>
    <t>HYVMB</t>
  </si>
  <si>
    <t>JR/Hy/04</t>
  </si>
  <si>
    <t>AB182263</t>
  </si>
  <si>
    <t>Honeysuckle yellow vein mosaic Ibaraki betasatellite</t>
  </si>
  <si>
    <t>HYVMIbB</t>
  </si>
  <si>
    <t>JP-pBSHGVIB-5-01</t>
  </si>
  <si>
    <t>AB287442</t>
  </si>
  <si>
    <t>Honeysuckle yellow vein mosaic Nara betasatellite</t>
  </si>
  <si>
    <t>HYVMNaB</t>
  </si>
  <si>
    <t>JP-pBSHGVNR-1-95</t>
  </si>
  <si>
    <t>AB287443</t>
  </si>
  <si>
    <t>Kenaf leaf curl betasatellite</t>
  </si>
  <si>
    <t>KeLCuB</t>
  </si>
  <si>
    <t>PK-Alc-07</t>
  </si>
  <si>
    <t>FN678779</t>
  </si>
  <si>
    <t>Leucas zeylanica yellow vein betasatellite</t>
  </si>
  <si>
    <t>LzYVB</t>
  </si>
  <si>
    <t>LK-06</t>
  </si>
  <si>
    <t>GQ421324</t>
  </si>
  <si>
    <t>Lindernia anagallis yellow vein betasatellite</t>
  </si>
  <si>
    <t>LaYVB</t>
  </si>
  <si>
    <t>VN-Han-04</t>
  </si>
  <si>
    <t>DQ641715</t>
  </si>
  <si>
    <t>Ludwigia leaf distortion betasatellite 1</t>
  </si>
  <si>
    <t>LuLDB1</t>
  </si>
  <si>
    <t>IN-Luf-04</t>
  </si>
  <si>
    <t>AY728262</t>
  </si>
  <si>
    <t>Ludwigia leaf distortion betasatellite 2</t>
  </si>
  <si>
    <t>LuLDB2</t>
  </si>
  <si>
    <t>IN-Bah-Hib-06</t>
  </si>
  <si>
    <t>EF614160</t>
  </si>
  <si>
    <t>Ludwigia leaf distortion betasatellite 3</t>
  </si>
  <si>
    <t>LuLDB3</t>
  </si>
  <si>
    <t>IN-Okr-OK100-14</t>
  </si>
  <si>
    <t>KT390358</t>
  </si>
  <si>
    <t>Ludwigia yellow vein betasatellite</t>
  </si>
  <si>
    <t>LuYMB</t>
  </si>
  <si>
    <t>CN-G37-06</t>
  </si>
  <si>
    <t>AJ965541</t>
  </si>
  <si>
    <t>Malvastrum leaf curl betasatellite</t>
  </si>
  <si>
    <t>MaLCuB</t>
  </si>
  <si>
    <t>CN/Gx87/04</t>
  </si>
  <si>
    <t>AM072289</t>
  </si>
  <si>
    <t>Malvastrum yellow vein betasatellite</t>
  </si>
  <si>
    <t>MaYVB</t>
  </si>
  <si>
    <t>CN-Y189-03</t>
  </si>
  <si>
    <t>AJ971459</t>
  </si>
  <si>
    <t>Malvastrum yellow vein Cambodia betasatellite</t>
  </si>
  <si>
    <t>MaYVKHB</t>
  </si>
  <si>
    <t>KH-08-14</t>
  </si>
  <si>
    <t>KP188832</t>
  </si>
  <si>
    <t>Malvastrum yellow vein Yunnan betasatellite 1</t>
  </si>
  <si>
    <t>MaYVYnB1</t>
  </si>
  <si>
    <t>CN-Y160-03</t>
  </si>
  <si>
    <t>AJ786712</t>
  </si>
  <si>
    <t>Malvastrum yellow vein Yunnan betasatellite 2</t>
  </si>
  <si>
    <t>CN-Sid-Y340-08</t>
  </si>
  <si>
    <t>FN806780</t>
  </si>
  <si>
    <t>Mirabilis leaf curl betasatellite</t>
  </si>
  <si>
    <t>MiLCuB</t>
  </si>
  <si>
    <t>IN/Him/13</t>
  </si>
  <si>
    <t>LK054803</t>
  </si>
  <si>
    <t>Momordica yellow mosaic betasatellite</t>
  </si>
  <si>
    <t>MamYMB</t>
  </si>
  <si>
    <t>BJ/57/14/14</t>
  </si>
  <si>
    <t>KT454829</t>
  </si>
  <si>
    <t>mungbean yellow mosaic betasatellite</t>
  </si>
  <si>
    <t>MYMB</t>
  </si>
  <si>
    <t>IN/Cowpea/12</t>
  </si>
  <si>
    <t>JX443646</t>
  </si>
  <si>
    <t>Okra leaf curl betasatellite</t>
  </si>
  <si>
    <t>OLCuB</t>
  </si>
  <si>
    <t>IN-EL38-06</t>
  </si>
  <si>
    <t>GU111963</t>
  </si>
  <si>
    <t>Okra leaf curl Oman betasatellite</t>
  </si>
  <si>
    <t>OLCuOMB</t>
  </si>
  <si>
    <t>OM/Barka/12</t>
  </si>
  <si>
    <t>KF267444</t>
  </si>
  <si>
    <t>Papaya leaf curl betasatellite</t>
  </si>
  <si>
    <t>PaLCuB</t>
  </si>
  <si>
    <t>IN/ND/03</t>
  </si>
  <si>
    <t>AY244706</t>
  </si>
  <si>
    <t>Papaya leaf curl China betasatellite</t>
  </si>
  <si>
    <t>PaLCuCNB</t>
  </si>
  <si>
    <t>CN/Hainan/14</t>
  </si>
  <si>
    <t>KJ642219</t>
  </si>
  <si>
    <t>Papaya leaf curl Gandhinagar betasatellite</t>
  </si>
  <si>
    <t>PaLCGB</t>
  </si>
  <si>
    <t>IN-pCbGnb9-15</t>
  </si>
  <si>
    <t>KT253638</t>
  </si>
  <si>
    <t>Papaya leaf curl India betasatellite</t>
  </si>
  <si>
    <t>PaLCuINA</t>
  </si>
  <si>
    <t>India/Panipat/08</t>
  </si>
  <si>
    <t>HM143906</t>
  </si>
  <si>
    <t>Papaya leaf curl India betasatellite 2</t>
  </si>
  <si>
    <t>PaLCINB2</t>
  </si>
  <si>
    <t>IN-MM1B-19</t>
  </si>
  <si>
    <t>MN529627</t>
  </si>
  <si>
    <t>Pea leaf distortion betasatellite</t>
  </si>
  <si>
    <t>PeLDB</t>
  </si>
  <si>
    <t>NP-N36-54-10</t>
  </si>
  <si>
    <t>KY001644</t>
  </si>
  <si>
    <t>Radish leaf curl betasatellite</t>
  </si>
  <si>
    <t>RaLCuB</t>
  </si>
  <si>
    <t>IN-Var-06</t>
  </si>
  <si>
    <t>EF175734</t>
  </si>
  <si>
    <t>Rhynchosia yellow mosaic betasatellite</t>
  </si>
  <si>
    <t>RhYMB</t>
  </si>
  <si>
    <t>IN/Pha/14</t>
  </si>
  <si>
    <t>KP752092</t>
  </si>
  <si>
    <t>rose leaf curl betasatellite</t>
  </si>
  <si>
    <t>RoLCuB</t>
  </si>
  <si>
    <t>PK/Fai/06</t>
  </si>
  <si>
    <t>GQ478344</t>
  </si>
  <si>
    <t>Sida leaf curl betasatellite</t>
  </si>
  <si>
    <t>SiLCuB</t>
  </si>
  <si>
    <t>CN-Hn57-06</t>
  </si>
  <si>
    <t>AM050732</t>
  </si>
  <si>
    <t>Sida yellow mosaic betasatellite</t>
  </si>
  <si>
    <t>SiYMB</t>
  </si>
  <si>
    <t>CN-Hn8-03</t>
  </si>
  <si>
    <t>AJ810093</t>
  </si>
  <si>
    <t>Sida yellow vein Barrackpore betasatellite</t>
  </si>
  <si>
    <t>SiYVBaB</t>
  </si>
  <si>
    <t>IN-Si_beta_01-07</t>
  </si>
  <si>
    <t>EU188921</t>
  </si>
  <si>
    <t>Sida yellow vein Madurai betasatellite</t>
  </si>
  <si>
    <t>SiYVMaB</t>
  </si>
  <si>
    <t>IN-Mad-05</t>
  </si>
  <si>
    <t>AJ967003</t>
  </si>
  <si>
    <t>Sida yellow vein Vietnam betasatellite 1</t>
  </si>
  <si>
    <t>SiYVVNB1</t>
  </si>
  <si>
    <t>VN-Han-00</t>
  </si>
  <si>
    <t>DQ641712</t>
  </si>
  <si>
    <t>Sida yellow vein Vietnam betasatellite 2</t>
  </si>
  <si>
    <t>SiYVVNB2</t>
  </si>
  <si>
    <t>CN-GD-11</t>
  </si>
  <si>
    <t>KF990602</t>
  </si>
  <si>
    <t>Siegesbeckia yellow vein betasatellite</t>
  </si>
  <si>
    <t>SiYVB</t>
  </si>
  <si>
    <t>CN/FZ02/12</t>
  </si>
  <si>
    <t>KF499590</t>
  </si>
  <si>
    <t>Siegesbeckia yellow vein betasatellite 2</t>
  </si>
  <si>
    <t>SiYVB2</t>
  </si>
  <si>
    <t>CN-08</t>
  </si>
  <si>
    <t>JF682839</t>
  </si>
  <si>
    <t>Siegesbeckia yellow vein Guangxi betasatellite</t>
  </si>
  <si>
    <t>SiYVGxB</t>
  </si>
  <si>
    <t>CN-Gx111-05</t>
  </si>
  <si>
    <t>AM238695</t>
  </si>
  <si>
    <t>tobacco curly shoot betasatellite</t>
  </si>
  <si>
    <t>TobCSB</t>
  </si>
  <si>
    <t>CN/Yn35/01</t>
  </si>
  <si>
    <t>AJ421484</t>
  </si>
  <si>
    <t>Tobacco leaf chlorosis betasatellite</t>
  </si>
  <si>
    <t>TobLCB</t>
  </si>
  <si>
    <t>IN-01-10</t>
  </si>
  <si>
    <t>JX025223</t>
  </si>
  <si>
    <t>tobacco leaf curl betasatellite</t>
  </si>
  <si>
    <t>TobLCuB</t>
  </si>
  <si>
    <t>PK/Lah/04</t>
  </si>
  <si>
    <t>AM260465</t>
  </si>
  <si>
    <t>tobacco leaf curl Japan betasatellite</t>
  </si>
  <si>
    <t>TbLCJRB</t>
  </si>
  <si>
    <t>JR/Miy/05</t>
  </si>
  <si>
    <t>AB236324</t>
  </si>
  <si>
    <t>tobacco leaf curl Patna betasatellite</t>
  </si>
  <si>
    <t>TobLCuPatB</t>
  </si>
  <si>
    <t>IN/Pusa/09</t>
  </si>
  <si>
    <t>HQ180394</t>
  </si>
  <si>
    <t>Tobacco leaf curl Sheikhupura betasatellite</t>
  </si>
  <si>
    <t>TobLCuShB</t>
  </si>
  <si>
    <t>PK-Bra- pSP2B-11</t>
  </si>
  <si>
    <t>LT795119</t>
  </si>
  <si>
    <t>Tobacco leaf curl Yunnan betasatellite</t>
  </si>
  <si>
    <t>TobLCuYnB</t>
  </si>
  <si>
    <t>CN-YN2013-2010</t>
  </si>
  <si>
    <t>KC699042</t>
  </si>
  <si>
    <t>tomato leaf curl Bangalore betasatellite</t>
  </si>
  <si>
    <t>ToLCBaB</t>
  </si>
  <si>
    <t>IN/Ban/03</t>
  </si>
  <si>
    <t>AY428768</t>
  </si>
  <si>
    <t>Tomato leaf curl Bangalore betasatellite 2</t>
  </si>
  <si>
    <t>ToLCuBaB2</t>
  </si>
  <si>
    <t>IN-Ban5-07</t>
  </si>
  <si>
    <t>EU280314</t>
  </si>
  <si>
    <t>tomato leaf curl Bangladesh betasatellite</t>
  </si>
  <si>
    <t>ToLCBDB</t>
  </si>
  <si>
    <t>BD/Gaz/01</t>
  </si>
  <si>
    <t>AJ542489</t>
  </si>
  <si>
    <t>tomato leaf curl betasatellite</t>
  </si>
  <si>
    <t>ToLCB</t>
  </si>
  <si>
    <t>PK/RYK/97</t>
  </si>
  <si>
    <t>AJ316036</t>
  </si>
  <si>
    <t>Tomato leaf curl betasatellite 2</t>
  </si>
  <si>
    <t>ToLCuB2</t>
  </si>
  <si>
    <t>IN-CN4B-15</t>
  </si>
  <si>
    <t>KU500806</t>
  </si>
  <si>
    <t>Tomato leaf curl Bundi betasatellite</t>
  </si>
  <si>
    <t>ToLCuBuB</t>
  </si>
  <si>
    <t>IN-16</t>
  </si>
  <si>
    <t>MH577020</t>
  </si>
  <si>
    <t>tomato leaf curl China betasatellite</t>
  </si>
  <si>
    <t>ToLCCNB</t>
  </si>
  <si>
    <t>CN/Gx14/02</t>
  </si>
  <si>
    <t>AJ704609</t>
  </si>
  <si>
    <t>tomato leaf curl Gandhinagar betasatellite</t>
  </si>
  <si>
    <t>ToLCGanB</t>
  </si>
  <si>
    <t>IN/pToGNbH14/12</t>
  </si>
  <si>
    <t>KC952006</t>
  </si>
  <si>
    <t>Tomato leaf curl Ghana betasatellite 1</t>
  </si>
  <si>
    <t>ToLCuGHB1</t>
  </si>
  <si>
    <t>GH-Ago3-12</t>
  </si>
  <si>
    <t>KT382328</t>
  </si>
  <si>
    <t>Tomato leaf curl Ghana betasatellite 2</t>
  </si>
  <si>
    <t>ToLCuGHB2</t>
  </si>
  <si>
    <t>GH-Ago1-12</t>
  </si>
  <si>
    <t>KT382329</t>
  </si>
  <si>
    <t>Tomato leaf curl Hajipur betasatellite</t>
  </si>
  <si>
    <t>ToLCuHaB</t>
  </si>
  <si>
    <t>IN-HJP09-10</t>
  </si>
  <si>
    <t>JX262390</t>
  </si>
  <si>
    <t>Tomato leaf curl India betasatellite</t>
  </si>
  <si>
    <t>ToLCuINB</t>
  </si>
  <si>
    <t>IN-AC1S1-11</t>
  </si>
  <si>
    <t>JQ012916</t>
  </si>
  <si>
    <t>tomato leaf curl Java virus betasatellite</t>
  </si>
  <si>
    <t>ToLCJaB</t>
  </si>
  <si>
    <t>NP/R7/Papaya/2010</t>
  </si>
  <si>
    <t>KC282642</t>
  </si>
  <si>
    <t>tomato leaf curl Joydebpur betasatellite</t>
  </si>
  <si>
    <t>ToLCJoB</t>
  </si>
  <si>
    <t>BD/Gaz/05</t>
  </si>
  <si>
    <t>AJ966244</t>
  </si>
  <si>
    <t>Tomato leaf curl Joydebpur betasatellite 2</t>
  </si>
  <si>
    <t>ToLCuJoB2</t>
  </si>
  <si>
    <t>IN-Mom-15</t>
  </si>
  <si>
    <t>MG571522</t>
  </si>
  <si>
    <t>Tomato leaf curl Karnataka betasatellite</t>
  </si>
  <si>
    <t>ToLCuKaB</t>
  </si>
  <si>
    <t>IN-Chr-17</t>
  </si>
  <si>
    <t>MG758146</t>
  </si>
  <si>
    <t>tomato leaf curl Laguna betasatellite</t>
  </si>
  <si>
    <t>ToLCLaB</t>
  </si>
  <si>
    <t>PH/Lag2/06</t>
  </si>
  <si>
    <t>AB307732</t>
  </si>
  <si>
    <t>tomato leaf curl Laos betasatellite</t>
  </si>
  <si>
    <t>ToLCLAB</t>
  </si>
  <si>
    <t>LA/Sav/01</t>
  </si>
  <si>
    <t>AJ542491</t>
  </si>
  <si>
    <t>Tomato leaf curl Lucknow betasatellite</t>
  </si>
  <si>
    <t>ToLCuLuB</t>
  </si>
  <si>
    <t>IN-Pap-14</t>
  </si>
  <si>
    <t>MG478451</t>
  </si>
  <si>
    <t>tomato leaf curl Malaysia betasatellite</t>
  </si>
  <si>
    <t>ToLCMYB</t>
  </si>
  <si>
    <t>MY/13</t>
  </si>
  <si>
    <t>KM051528</t>
  </si>
  <si>
    <t>tomato leaf curl Nepal betasatellite</t>
  </si>
  <si>
    <t>ToLCNPB</t>
  </si>
  <si>
    <t>NP/Jhapa</t>
  </si>
  <si>
    <t>AJ542492</t>
  </si>
  <si>
    <t>Tomato leaf curl Pakistan betasatellite</t>
  </si>
  <si>
    <t>ToLCuPKB</t>
  </si>
  <si>
    <t>PK-HZ3-15</t>
  </si>
  <si>
    <t>LN811050</t>
  </si>
  <si>
    <t>Tomato leaf curl Panipat betasatellite</t>
  </si>
  <si>
    <t>ToLCuPaB</t>
  </si>
  <si>
    <t>IN-Pap-08</t>
  </si>
  <si>
    <t>HM143907</t>
  </si>
  <si>
    <t>tomato leaf curl Patna betasatellite</t>
  </si>
  <si>
    <t>ToLCPaB</t>
  </si>
  <si>
    <t>IN/Pat/07</t>
  </si>
  <si>
    <t>EU862324</t>
  </si>
  <si>
    <t>tomato leaf curl Philippine betasatellite</t>
  </si>
  <si>
    <t>ToLCPHB</t>
  </si>
  <si>
    <t>PH/Lag1/06</t>
  </si>
  <si>
    <t>AB308071</t>
  </si>
  <si>
    <t>Tomato leaf curl Pune betasatellite</t>
  </si>
  <si>
    <t>ToLCuPuB</t>
  </si>
  <si>
    <t>IN-04</t>
  </si>
  <si>
    <t>AY754815</t>
  </si>
  <si>
    <t>Tomato leaf curl Ranchi betasatellite</t>
  </si>
  <si>
    <t>ToLCuRaB</t>
  </si>
  <si>
    <t>IN-07</t>
  </si>
  <si>
    <t>GQ994096</t>
  </si>
  <si>
    <t>tomato leaf curl Sri Lanka betasatellite</t>
  </si>
  <si>
    <t>ToLCSLB</t>
  </si>
  <si>
    <t>SL</t>
  </si>
  <si>
    <t>AJ542493</t>
  </si>
  <si>
    <t>Tomato leaf curl Togo betasatellite</t>
  </si>
  <si>
    <t>ToLCuTGB</t>
  </si>
  <si>
    <t>TG-06</t>
  </si>
  <si>
    <t>HQ586965</t>
  </si>
  <si>
    <t>tomato leaf curl Yemen betasatellite</t>
  </si>
  <si>
    <t>ToLCYEB</t>
  </si>
  <si>
    <t>YE/tob56/89</t>
  </si>
  <si>
    <t>JF919717</t>
  </si>
  <si>
    <t>Tomato yellow dwarf betasatellite</t>
  </si>
  <si>
    <t>ToYDB</t>
  </si>
  <si>
    <t>JP-pTKbeta-1-00</t>
  </si>
  <si>
    <t>AB294512</t>
  </si>
  <si>
    <t>tomato yellow leaf curl China betasatellite</t>
  </si>
  <si>
    <t>TYLCCNB</t>
  </si>
  <si>
    <t>CN/Yn45/01</t>
  </si>
  <si>
    <t>AJ420313</t>
  </si>
  <si>
    <t>tomato yellow leaf curl Shandong betasatellite</t>
  </si>
  <si>
    <t>ToYLCShB</t>
  </si>
  <si>
    <t>CN/SDSG/14</t>
  </si>
  <si>
    <t>KP322555</t>
  </si>
  <si>
    <t>tomato yellow leaf curl Thailand betasatellite</t>
  </si>
  <si>
    <t>TYLCTHB</t>
  </si>
  <si>
    <t>CN/Yn72/02</t>
  </si>
  <si>
    <t>AJ566746</t>
  </si>
  <si>
    <t>tomato yellow leaf curl Vietnam betasatellite</t>
  </si>
  <si>
    <t>TYLCVNB</t>
  </si>
  <si>
    <t>VN/Han/05</t>
  </si>
  <si>
    <t>DQ641714</t>
  </si>
  <si>
    <t>tomato yellow leaf curl Yunnan betasatellite</t>
  </si>
  <si>
    <t>ToYLCYnB</t>
  </si>
  <si>
    <t>CN/tob/</t>
  </si>
  <si>
    <t>KF640694</t>
  </si>
  <si>
    <t>Vernonia crinkle betasatellite</t>
  </si>
  <si>
    <t>VeCrB</t>
  </si>
  <si>
    <t>UG-UG7-15</t>
  </si>
  <si>
    <t>KX831134</t>
  </si>
  <si>
    <t>Vernonia yellow vein betasatellite</t>
  </si>
  <si>
    <t>VYVB</t>
  </si>
  <si>
    <t>IN/Mad/09</t>
  </si>
  <si>
    <t>FN435836</t>
  </si>
  <si>
    <t>Vernonia yellow vein Fujian betasatellite</t>
  </si>
  <si>
    <t>VYVFuB</t>
  </si>
  <si>
    <t>CN/09</t>
  </si>
  <si>
    <t>JF733779</t>
  </si>
  <si>
    <t>Zinnia leaf curl betasatellite</t>
  </si>
  <si>
    <t>ZiLCuB</t>
  </si>
  <si>
    <t>TH-02</t>
  </si>
  <si>
    <t>AJ542499</t>
  </si>
  <si>
    <t>Deltasatellite</t>
  </si>
  <si>
    <t>Croton yellow vein deltasatellite</t>
  </si>
  <si>
    <t>CrYVD</t>
  </si>
  <si>
    <t>IN/09</t>
  </si>
  <si>
    <t>AJ968684</t>
  </si>
  <si>
    <t>Desmodium leaf distortion deltasatellite</t>
  </si>
  <si>
    <t>DesLDD</t>
  </si>
  <si>
    <t>CU-Co704-H1-13</t>
  </si>
  <si>
    <t>MF773920</t>
  </si>
  <si>
    <t>Malvastrum leaf curl deltasatellite</t>
  </si>
  <si>
    <t>MaLCuD</t>
  </si>
  <si>
    <t>PH/12</t>
  </si>
  <si>
    <t>KF433066</t>
  </si>
  <si>
    <t>Sida golden yellow vein deltasatellite 1</t>
  </si>
  <si>
    <t>SiGYVD1</t>
  </si>
  <si>
    <t>CU/177H1/09</t>
  </si>
  <si>
    <t>JN986808</t>
  </si>
  <si>
    <t>Sida golden yellow vein deltasatellite 2</t>
  </si>
  <si>
    <t>SiGYVD2</t>
  </si>
  <si>
    <t>CU/228H1/09</t>
  </si>
  <si>
    <t>JN819490</t>
  </si>
  <si>
    <t>Sida golden yellow vein deltasatellite 3</t>
  </si>
  <si>
    <t>SiGYVD3</t>
  </si>
  <si>
    <t>CU/412N1/10</t>
  </si>
  <si>
    <t>JN819498</t>
  </si>
  <si>
    <t>sweet potato leaf curl deltasatellite 1</t>
  </si>
  <si>
    <t>SPLCD1</t>
  </si>
  <si>
    <t>ES/SBG51/02</t>
  </si>
  <si>
    <t>FJ914390</t>
  </si>
  <si>
    <t>sweet potato leaf curl deltasatellite 2</t>
  </si>
  <si>
    <t>SPLCD2</t>
  </si>
  <si>
    <t>VE/1764E13/09</t>
  </si>
  <si>
    <t>KF716173</t>
  </si>
  <si>
    <t>sweet potato leaf curl deltasatellite 3</t>
  </si>
  <si>
    <t>SPLCD3</t>
  </si>
  <si>
    <t>PR/T1_1/10</t>
  </si>
  <si>
    <t>KT099179</t>
  </si>
  <si>
    <t>tomato leaf curl deltasatellite</t>
  </si>
  <si>
    <t>ToLCD</t>
  </si>
  <si>
    <t>AU/96</t>
  </si>
  <si>
    <t>U74627</t>
  </si>
  <si>
    <t>tomato yellow leaf distortion deltasatellite 1</t>
  </si>
  <si>
    <t>ToYLDD1</t>
  </si>
  <si>
    <t>CU/404N1/10</t>
  </si>
  <si>
    <t>JN819495</t>
  </si>
  <si>
    <t>tomato yellow leaf distortion deltasatellite 2</t>
  </si>
  <si>
    <t>ToYLDD2</t>
  </si>
  <si>
    <t>CU/603N1/11</t>
  </si>
  <si>
    <t>KU232893</t>
  </si>
  <si>
    <t>See corresponding suffixes for the different ranks of satellite nucleic acids, viroids and viriforms in the ICTV Code (https://ictv.global/about/code) sections V, and VI</t>
  </si>
  <si>
    <t>Host/Source</t>
  </si>
  <si>
    <t>Z</t>
  </si>
  <si>
    <t>X</t>
  </si>
  <si>
    <t>U</t>
  </si>
  <si>
    <t>Q</t>
  </si>
  <si>
    <t>Species Sort</t>
  </si>
  <si>
    <t>Definition</t>
  </si>
  <si>
    <t>Heading</t>
  </si>
  <si>
    <t>Column</t>
  </si>
  <si>
    <t>Rudgehvirus</t>
  </si>
  <si>
    <t>Bacteroides cellulosilyticus phage 11</t>
  </si>
  <si>
    <t>Bc11</t>
  </si>
  <si>
    <t>Bacteroides cellulosilyticus phage 1</t>
  </si>
  <si>
    <t>Bc01</t>
  </si>
  <si>
    <t>Bacteroides cellulosilyticus phage 3</t>
  </si>
  <si>
    <t>Bc03</t>
  </si>
  <si>
    <t>Armatusviridae</t>
  </si>
  <si>
    <t>Ariesvirus</t>
  </si>
  <si>
    <t>Methanobrevibacter tailed virus 3</t>
  </si>
  <si>
    <t>MbTV3</t>
  </si>
  <si>
    <t>vir249</t>
  </si>
  <si>
    <t>BK063678</t>
  </si>
  <si>
    <t>Kairosviridae</t>
  </si>
  <si>
    <t>Nadirvirus</t>
  </si>
  <si>
    <t>Methanobrevibacter tailed virus 2</t>
  </si>
  <si>
    <t>MbTV2</t>
  </si>
  <si>
    <t>vir323</t>
  </si>
  <si>
    <t>BK063679</t>
  </si>
  <si>
    <t>Pigerviridae</t>
  </si>
  <si>
    <t>Somnumvirus</t>
  </si>
  <si>
    <t>Methanobrevibacter tailed virus 4</t>
  </si>
  <si>
    <t>MbTV4</t>
  </si>
  <si>
    <t>vir080</t>
  </si>
  <si>
    <t>BK063677</t>
  </si>
  <si>
    <t>Klebsiella phage Amrap</t>
  </si>
  <si>
    <t>Amrap</t>
  </si>
  <si>
    <t>OQ579031</t>
  </si>
  <si>
    <t>Klebsiella phage Emom</t>
  </si>
  <si>
    <t>Emom</t>
  </si>
  <si>
    <t>OQ579030</t>
  </si>
  <si>
    <t>Klebsiella phage Oda</t>
  </si>
  <si>
    <t>Oda</t>
  </si>
  <si>
    <t>OQ579023</t>
  </si>
  <si>
    <t>Klebsiella phage Saitama</t>
  </si>
  <si>
    <t>Saitama</t>
  </si>
  <si>
    <t>OQ579029</t>
  </si>
  <si>
    <t>Klebsiella phage Whistle</t>
  </si>
  <si>
    <t>Whistle</t>
  </si>
  <si>
    <t>OQ579032</t>
  </si>
  <si>
    <t>Escherichia phage vB_EcoP_Bp7</t>
  </si>
  <si>
    <t>Escherichia phage vB_EcoM_Bp10</t>
  </si>
  <si>
    <t>Escherichia phage vB_EcoM_DE15</t>
  </si>
  <si>
    <t>Escherichia phage MLP1</t>
  </si>
  <si>
    <t>Escherichia phage PO103-1</t>
  </si>
  <si>
    <t>Yersinia phage PYps16N</t>
  </si>
  <si>
    <t>Yersinia phage PYps23T</t>
  </si>
  <si>
    <t>Yersinia phage PYps3T</t>
  </si>
  <si>
    <t>Escherichia phage vB_EcoM_SA91KD</t>
  </si>
  <si>
    <t>Escherichia phage SKA49</t>
  </si>
  <si>
    <t>Fifivirus</t>
  </si>
  <si>
    <t>Erwinia phage Fifi44</t>
  </si>
  <si>
    <t>Liaoningvirus</t>
  </si>
  <si>
    <t>Vibrio phage vB_VpaM_VPs20</t>
  </si>
  <si>
    <t>Longwangvirus</t>
  </si>
  <si>
    <t>Aeromonas phage BUCT696</t>
  </si>
  <si>
    <t>Phayathaivirus</t>
  </si>
  <si>
    <t>Aeromonas phage pAh6.2TG</t>
  </si>
  <si>
    <t>Aeromonas phage PVN03</t>
  </si>
  <si>
    <t>Chimalliviridae</t>
  </si>
  <si>
    <t>Clermontviridae</t>
  </si>
  <si>
    <t>Ventrumvirus</t>
  </si>
  <si>
    <t>Methanonassiliicoccales tailed virus 1</t>
  </si>
  <si>
    <t>MxTV1</t>
  </si>
  <si>
    <t>vir215</t>
  </si>
  <si>
    <t>BK063676</t>
  </si>
  <si>
    <t>Klebsiella phage 150049</t>
  </si>
  <si>
    <t>Escherichia phage vB_EcoS_Ace</t>
  </si>
  <si>
    <t>Salmonella phage BD13</t>
  </si>
  <si>
    <t>Salmonella phage beppo</t>
  </si>
  <si>
    <t>Salmonella phage bobsandoy</t>
  </si>
  <si>
    <t>Salmonella phage bux</t>
  </si>
  <si>
    <t>Salmonella phage ende</t>
  </si>
  <si>
    <t>Escherichia phage EscoHU1</t>
  </si>
  <si>
    <t>Escherichia phage vB_EcoS-26175I</t>
  </si>
  <si>
    <t>Salmonella phage falkor</t>
  </si>
  <si>
    <t>Escherichia phage GreteKellenberger</t>
  </si>
  <si>
    <t>Salmonella phage GRNsp8</t>
  </si>
  <si>
    <t>Salmonella phage GSP001</t>
  </si>
  <si>
    <t>Salmonella phage GSW6</t>
  </si>
  <si>
    <t>Escherichia phage IrmaTschudi</t>
  </si>
  <si>
    <t>Salmonella phage JN-S202001</t>
  </si>
  <si>
    <t>Salmonella phage JNwz02</t>
  </si>
  <si>
    <t>Salmonella phage KKP</t>
  </si>
  <si>
    <t>Salmonella phage MET_P1_137_112</t>
  </si>
  <si>
    <t>Salmonella phage misterkot</t>
  </si>
  <si>
    <t>Salmonella phage GEC_vB_N3</t>
  </si>
  <si>
    <t>Salmonella phage GEC_vB_N7</t>
  </si>
  <si>
    <t>Salmonella phage phagemcphageface</t>
  </si>
  <si>
    <t>Salmonella phage polluks</t>
  </si>
  <si>
    <t>Salmonella phage PRF-SP13</t>
  </si>
  <si>
    <t>Salmonella phage rutana</t>
  </si>
  <si>
    <t>Salmonella phage vB_SenS_SB9</t>
  </si>
  <si>
    <t>Salmonella phage vB_SenS_SB10</t>
  </si>
  <si>
    <t>Phage vB_SabS_Sds2</t>
  </si>
  <si>
    <t>Salmonella phage SE3</t>
  </si>
  <si>
    <t>Salmonella phage smaug</t>
  </si>
  <si>
    <t>Salmonella phage SP76</t>
  </si>
  <si>
    <t>Salmonella phage STWB21</t>
  </si>
  <si>
    <t>Salmonella phage vB_STyj5-1</t>
  </si>
  <si>
    <t>Escherichia phage SuperGirl</t>
  </si>
  <si>
    <t>Salmonella phage SP_Thor</t>
  </si>
  <si>
    <t>Escherichia phage TrudiGerster</t>
  </si>
  <si>
    <t>Escherichia phage TrudiRoth</t>
  </si>
  <si>
    <t>Salmonella phage vB_SenS_UTK0009</t>
  </si>
  <si>
    <t>Salmonella phage vB_SenS_UTK0010</t>
  </si>
  <si>
    <t>Salmonella phage vaffelhjerte</t>
  </si>
  <si>
    <t>Salmonella phage vB_SalS_ABTNLsp4</t>
  </si>
  <si>
    <t>Salmonella phage vB_SalS_ABTNLsp9</t>
  </si>
  <si>
    <t>Escherichia phage BB1</t>
  </si>
  <si>
    <t>Escherichia phage DaisyDussoix</t>
  </si>
  <si>
    <t>Salmonella phage vB_Sen-E22</t>
  </si>
  <si>
    <t>Escherichia phage EC100</t>
  </si>
  <si>
    <t>Escherichia phage EC148</t>
  </si>
  <si>
    <t>Escherichia phage ECOP18</t>
  </si>
  <si>
    <t>Escherichia phage vB_EcoS_ESCO30</t>
  </si>
  <si>
    <t>Escherichia phage vB_EcoS_ESCO40</t>
  </si>
  <si>
    <t>Escherichia phage T5_ev219</t>
  </si>
  <si>
    <t>Salmonella phage GSP044</t>
  </si>
  <si>
    <t>Escherichia phage vB_EcoS_HASG4</t>
  </si>
  <si>
    <t>Escherichia phage HildyBeyeler</t>
  </si>
  <si>
    <t>Escherichia phage IME178</t>
  </si>
  <si>
    <t>Escherichia phage IrisVonRoten</t>
  </si>
  <si>
    <t>Escherichia phage JLBYU40</t>
  </si>
  <si>
    <t>Escherichia phage JLBYU43</t>
  </si>
  <si>
    <t>Klebsiella phage KPP2018</t>
  </si>
  <si>
    <t>Escherichia phage Lindwurm</t>
  </si>
  <si>
    <t>Salmonella phage vB_StyS-LmqsSP1</t>
  </si>
  <si>
    <t>Salmonella phage GEC_vB_N5</t>
  </si>
  <si>
    <t>Salmonella phage MET_P1_100_107</t>
  </si>
  <si>
    <t>Salmonella phage phA11</t>
  </si>
  <si>
    <t>Salmonella phage phB7</t>
  </si>
  <si>
    <t>Salmonella phage phC17</t>
  </si>
  <si>
    <t>Escherichia phage PNJ1902</t>
  </si>
  <si>
    <t>Salmonella phage vB_SenS_S124</t>
  </si>
  <si>
    <t>Salmonella phage vB_SalS_SA001</t>
  </si>
  <si>
    <t>Escherichia phage SelmaRatti</t>
  </si>
  <si>
    <t>Salmonella phage MET_P1_179_112</t>
  </si>
  <si>
    <t>Salmonella phage 3sent1</t>
  </si>
  <si>
    <t>Salmonella phage 8sent1748</t>
  </si>
  <si>
    <t>Salmonella phage vB_Sen_I1</t>
  </si>
  <si>
    <t>Escherichia phage vB_EcoS_VAH1</t>
  </si>
  <si>
    <t>Keyvirus</t>
  </si>
  <si>
    <t>Pantoea phage vB_PagS_AAS21</t>
  </si>
  <si>
    <t>Erwinia phage Key</t>
  </si>
  <si>
    <t>MZ616364</t>
  </si>
  <si>
    <t>Klebsiella phage AmPh_EK80</t>
  </si>
  <si>
    <t>Klebsiella phage vB_KppS-Anoxic</t>
  </si>
  <si>
    <t>Klebsiella phage vB_Kpn_B01</t>
  </si>
  <si>
    <t>Klebsiella phage vB_KpnS_FZ41</t>
  </si>
  <si>
    <t>Klebsiella phage GZ8</t>
  </si>
  <si>
    <t>Klebsiella phage JIPh_Kp127</t>
  </si>
  <si>
    <t>Klebsiella phage KpGranit</t>
  </si>
  <si>
    <t>Klebsiella phage KPN4</t>
  </si>
  <si>
    <t>Klebsiella phage PWKp9S</t>
  </si>
  <si>
    <t>Klebsiella phage Shaphc-TDM-1124-4</t>
  </si>
  <si>
    <t>Klebsiella phage vB_KppS-Storm</t>
  </si>
  <si>
    <t>Klebsiella phage vB_KppS-Totoro</t>
  </si>
  <si>
    <t>Klebsiella phage vB_KpnS_Uniso31</t>
  </si>
  <si>
    <t>Klebsiella phage vB_KpnS-VAC35</t>
  </si>
  <si>
    <t>Klebsiella phage vB_KpnS-VAC51</t>
  </si>
  <si>
    <t>Klebsiella phage vB_KaS-Veronica</t>
  </si>
  <si>
    <t>Augustepiccardvirus</t>
  </si>
  <si>
    <t>Escherichia phage AugustePiccard</t>
  </si>
  <si>
    <t>Escherichia phage vB_EcoS_SCS31</t>
  </si>
  <si>
    <t>Inhoffenstrassevirus</t>
  </si>
  <si>
    <t>Escherichia phage vB_EcoS_MM01</t>
  </si>
  <si>
    <t>Julespiccardvirus</t>
  </si>
  <si>
    <t>Escherichia phage JulesPiccard</t>
  </si>
  <si>
    <t>Escherichia phage ZL19</t>
  </si>
  <si>
    <t>Escherichia phage vB_EcoS_FP</t>
  </si>
  <si>
    <t>Escherichia phage JeanPiccard strain Bas02</t>
  </si>
  <si>
    <t>Escherichia phage vB_EcoD_SU57</t>
  </si>
  <si>
    <t>Escherichia phage 2725-N35</t>
  </si>
  <si>
    <t>Escherichia phage vB_EcoS-BECP10</t>
  </si>
  <si>
    <t>Escherichia phage vB_EcoS-UDF157lw</t>
  </si>
  <si>
    <t>Sadiyavirus</t>
  </si>
  <si>
    <t>Escherichia phage vB_EcoD_Sadiya</t>
  </si>
  <si>
    <t>Baihuvirus</t>
  </si>
  <si>
    <t>Escherichia phage PaulSarasin strain Bas09</t>
  </si>
  <si>
    <t>Escherichia phage EC147</t>
  </si>
  <si>
    <t>Escherichia phage vB_EcoD_Fulano1</t>
  </si>
  <si>
    <t>Escherichia phage JakobBernoulli</t>
  </si>
  <si>
    <t>Escherichia phage JLBYU41</t>
  </si>
  <si>
    <t>Escherichia phage KarlJaspers</t>
  </si>
  <si>
    <t>Shigella phage SFP17</t>
  </si>
  <si>
    <t>Escherichia phage IsaakIselin</t>
  </si>
  <si>
    <t>Escherichia phage JohannLBurckhardt</t>
  </si>
  <si>
    <t>Klebsiella phage vB_KppS-Samwise</t>
  </si>
  <si>
    <t>Jahatvirus</t>
  </si>
  <si>
    <t>Escherichia phage Jahat_MG145</t>
  </si>
  <si>
    <t>Peekayseptimavirus</t>
  </si>
  <si>
    <t>Klebsiella phage P-K7R</t>
  </si>
  <si>
    <t>Pocisvirus</t>
  </si>
  <si>
    <t>Hafnia phage Pocis76</t>
  </si>
  <si>
    <t>Citrobacter phage vB_CfrD_BlueShadow</t>
  </si>
  <si>
    <t>Citrobacter phage vB_CfrD_Brooksby</t>
  </si>
  <si>
    <t>Escherichia phage DanielBernoulli</t>
  </si>
  <si>
    <t>Citrobacter phage vB_CfrD_ElisaCorrea</t>
  </si>
  <si>
    <t>Salmonella phage F61</t>
  </si>
  <si>
    <t>Salmonella phage GSP032</t>
  </si>
  <si>
    <t>Escherichia phage vB_EcoD_Mishu</t>
  </si>
  <si>
    <t>Citrobacter phage vB_CfrD_SorkZaugg</t>
  </si>
  <si>
    <t>Escherichia phage Stevie_ev116</t>
  </si>
  <si>
    <t>Escherichia phage vB_EcoS_011D2</t>
  </si>
  <si>
    <t>Escherichia phage U136B</t>
  </si>
  <si>
    <t>Salmonella phage vB_SenS_UTK0006</t>
  </si>
  <si>
    <t>Salmonella phage vB_SenS_UTK0007</t>
  </si>
  <si>
    <t>Escherichia phage ityhuna</t>
  </si>
  <si>
    <t>Escherichia phage JLBYU16</t>
  </si>
  <si>
    <t>Escherichia phage JLBYU26</t>
  </si>
  <si>
    <t>Escherichia phage orkinos</t>
  </si>
  <si>
    <t>Escherichia phage vB_EcoD_Poky</t>
  </si>
  <si>
    <t>Escherichia phage vB_Eco_Sip</t>
  </si>
  <si>
    <t>Escherichia phage BrunoManser</t>
  </si>
  <si>
    <t>BrunoManser</t>
  </si>
  <si>
    <t>Escherichia phage vB_EcoS_Chapo</t>
  </si>
  <si>
    <t>Chapo</t>
  </si>
  <si>
    <t>Escherichia phage CLB_P3</t>
  </si>
  <si>
    <t>CLB_P3</t>
  </si>
  <si>
    <t>Escherichia phage LeonhardEuler</t>
  </si>
  <si>
    <t>LeonhardEuler</t>
  </si>
  <si>
    <t>Escherichia phage Lg3</t>
  </si>
  <si>
    <t>Lg3</t>
  </si>
  <si>
    <t>Escherichia phage LHE71</t>
  </si>
  <si>
    <t>LHE71</t>
  </si>
  <si>
    <t>Shigella phage S2_02</t>
  </si>
  <si>
    <t>S2_02</t>
  </si>
  <si>
    <t>Escherichia phage vB_EcoS_SA12KD</t>
  </si>
  <si>
    <t>SA12KD</t>
  </si>
  <si>
    <t>Escherichia phage vB_EcoS_SA30RD</t>
  </si>
  <si>
    <t>SA30RD</t>
  </si>
  <si>
    <t>Escherichia phage vB_EcoS_SA32RD</t>
  </si>
  <si>
    <t>SA32RD</t>
  </si>
  <si>
    <t>Klebsiella phage vB_1086</t>
  </si>
  <si>
    <t>Klebsiella phage 066039</t>
  </si>
  <si>
    <t>Klebsiella phage ABTNL-2</t>
  </si>
  <si>
    <t>ABTNL-2</t>
  </si>
  <si>
    <t>Klebsiella phage B1</t>
  </si>
  <si>
    <t>Klebsiella phage BMac</t>
  </si>
  <si>
    <t>BMac</t>
  </si>
  <si>
    <t>Stenotrophomonas phage vB_SmeS_BUCT705</t>
  </si>
  <si>
    <t>BUCT705</t>
  </si>
  <si>
    <t>Klebsiella phage BUCT556A</t>
  </si>
  <si>
    <t>BUCT556A</t>
  </si>
  <si>
    <t>Klebsiella phage cp1</t>
  </si>
  <si>
    <t>cp1</t>
  </si>
  <si>
    <t>Klebsiella phage cp3</t>
  </si>
  <si>
    <t>cp3</t>
  </si>
  <si>
    <t>Klebsiella phage cp5</t>
  </si>
  <si>
    <t>cp5</t>
  </si>
  <si>
    <t>Klebsiella phage cp17</t>
  </si>
  <si>
    <t>cp17</t>
  </si>
  <si>
    <t>Klebsiella phage cp24</t>
  </si>
  <si>
    <t>cp24</t>
  </si>
  <si>
    <t>Klebsiella phage vB_KvaS_F1M1D</t>
  </si>
  <si>
    <t>F1M1D</t>
  </si>
  <si>
    <t>Klebsiella phage vB_KvaS_F2M1D</t>
  </si>
  <si>
    <t>F2M1D</t>
  </si>
  <si>
    <t>Klebsiella phage vB_KpnD_FairDinkum</t>
  </si>
  <si>
    <t>FairDinkum</t>
  </si>
  <si>
    <t>Klebsiella phage GZ9</t>
  </si>
  <si>
    <t>GZ9</t>
  </si>
  <si>
    <t>Klebsiella phage IME268</t>
  </si>
  <si>
    <t>IME268</t>
  </si>
  <si>
    <t>Klebsiella phage vB_Kp_IME328</t>
  </si>
  <si>
    <t>IME328</t>
  </si>
  <si>
    <t>Klebsiella phage vB_KpnS_KingDDD</t>
  </si>
  <si>
    <t>KingDDD</t>
  </si>
  <si>
    <t>Klebsiella phage KP13-2</t>
  </si>
  <si>
    <t>KP13-2</t>
  </si>
  <si>
    <t>Klebsiella phage phi_KPN_HS3</t>
  </si>
  <si>
    <t>HS3</t>
  </si>
  <si>
    <t>Klebsiella phage KPP2020</t>
  </si>
  <si>
    <t>KPP2020</t>
  </si>
  <si>
    <t>Klebsiella phage KpS4</t>
  </si>
  <si>
    <t>KpS4</t>
  </si>
  <si>
    <t>Klebsiella phage LF20</t>
  </si>
  <si>
    <t>LF20</t>
  </si>
  <si>
    <t>Klebsiella phage mfs</t>
  </si>
  <si>
    <t>mfs</t>
  </si>
  <si>
    <t>Klebsiella phage MMBB</t>
  </si>
  <si>
    <t>MMBB</t>
  </si>
  <si>
    <t>Klebsiella phage mtp2</t>
  </si>
  <si>
    <t>mtp2</t>
  </si>
  <si>
    <t>Klebsiella phage mtp12</t>
  </si>
  <si>
    <t>mtp12</t>
  </si>
  <si>
    <t>Klebsiella phage mtp13</t>
  </si>
  <si>
    <t>mtp13</t>
  </si>
  <si>
    <t>Klebsiella phage mtp17</t>
  </si>
  <si>
    <t>mtp17</t>
  </si>
  <si>
    <t>Klebsiella phage mtp19</t>
  </si>
  <si>
    <t>mtp19</t>
  </si>
  <si>
    <t>Klebsiella phage mtp23</t>
  </si>
  <si>
    <t>mtp23</t>
  </si>
  <si>
    <t>Klebsiella phage mtp30</t>
  </si>
  <si>
    <t>mtp30</t>
  </si>
  <si>
    <t>Klebsiella phage mtp31</t>
  </si>
  <si>
    <t>mtp31</t>
  </si>
  <si>
    <t>Klebsiella phage NJS2</t>
  </si>
  <si>
    <t>NJS2</t>
  </si>
  <si>
    <t>MH633485</t>
  </si>
  <si>
    <t>Klebsiella phage NPat</t>
  </si>
  <si>
    <t>NPat</t>
  </si>
  <si>
    <t>Klebsiella phage vB_KpnD_Opt-817</t>
  </si>
  <si>
    <t>Opt-817</t>
  </si>
  <si>
    <t>Klebsiella phage P1</t>
  </si>
  <si>
    <t>P1</t>
  </si>
  <si>
    <t>Klebsiella phage P528</t>
  </si>
  <si>
    <t>P528</t>
  </si>
  <si>
    <t>Klebsiella phage vB_KpnS_Penguinator</t>
  </si>
  <si>
    <t>Penguinator</t>
  </si>
  <si>
    <t>Klebsiella phage vB_KpnD_PeteCarol</t>
  </si>
  <si>
    <t>PeteCarol</t>
  </si>
  <si>
    <t>Klebsiella phage pK8</t>
  </si>
  <si>
    <t>pK8</t>
  </si>
  <si>
    <t>Klebsiella phage pKP-BS317-1.1</t>
  </si>
  <si>
    <t>pKP-BS317-1.1</t>
  </si>
  <si>
    <t>Klebsiella phage PSKP16</t>
  </si>
  <si>
    <t>PSKP16</t>
  </si>
  <si>
    <t>Klebsiella phage PWKp15</t>
  </si>
  <si>
    <t>PWKp15</t>
  </si>
  <si>
    <t>Klebsiella phage PWKp17</t>
  </si>
  <si>
    <t>PWKp17</t>
  </si>
  <si>
    <t>Klebsiella phage PWKp20</t>
  </si>
  <si>
    <t>PWKp20</t>
  </si>
  <si>
    <t>Klebsiella phage RAD2</t>
  </si>
  <si>
    <t>RAD2</t>
  </si>
  <si>
    <t>MW655991</t>
  </si>
  <si>
    <t>Klebsiella phage Solomon</t>
  </si>
  <si>
    <t>Solomon</t>
  </si>
  <si>
    <t>Klebsiella phage vB_KpnS-VAC2</t>
  </si>
  <si>
    <t>VAC2</t>
  </si>
  <si>
    <t>Klebsiella phage vB_KpnS-VAC4</t>
  </si>
  <si>
    <t>VAC4</t>
  </si>
  <si>
    <t>Klebsiella phage vB_KpnS-VAC5</t>
  </si>
  <si>
    <t>VAC5</t>
  </si>
  <si>
    <t>Klebsiella phage vB_KpnS-VAC6</t>
  </si>
  <si>
    <t>VAC6</t>
  </si>
  <si>
    <t>Klebsiella phage vB_KpnS-VAC7</t>
  </si>
  <si>
    <t>VAC7</t>
  </si>
  <si>
    <t>Klebsiella phage vB_KpnS-VAC8</t>
  </si>
  <si>
    <t>VAC8</t>
  </si>
  <si>
    <t>Klebsiella phage vB_KpnS-VAC10</t>
  </si>
  <si>
    <t>VAC10</t>
  </si>
  <si>
    <t>Klebsiella phage vB_KpnS-VAC11</t>
  </si>
  <si>
    <t>VAC11</t>
  </si>
  <si>
    <t>Klebsiella phage vB_KpnS-VAC70</t>
  </si>
  <si>
    <t>VAC70</t>
  </si>
  <si>
    <t>Klebsiella phage vB_KpnS-VAC110</t>
  </si>
  <si>
    <t>VAC110</t>
  </si>
  <si>
    <t>Klebsiella phage vB_KpnS-VAC111</t>
  </si>
  <si>
    <t>VAC111</t>
  </si>
  <si>
    <t>Klebsiella phage vB_KpnS-VAC112</t>
  </si>
  <si>
    <t>VAC112</t>
  </si>
  <si>
    <t>Klebsiella phage vB_KpnS-VAC113</t>
  </si>
  <si>
    <t>VAC113</t>
  </si>
  <si>
    <t>Klebsiella phage VLCpiD7a</t>
  </si>
  <si>
    <t>VLCpiD7a</t>
  </si>
  <si>
    <t>Klebsiella phage VLCpiD7b</t>
  </si>
  <si>
    <t>VLCpiD7b</t>
  </si>
  <si>
    <t>Klebsiella phage VLCpiD7c</t>
  </si>
  <si>
    <t>VLCpiD7c</t>
  </si>
  <si>
    <t>Klebsiella phage phiW14</t>
  </si>
  <si>
    <t>phiW14</t>
  </si>
  <si>
    <t>Klebsiella phage vB_KpnS_2811</t>
  </si>
  <si>
    <t>Klebsiella phage vB_KpnS_ZX2</t>
  </si>
  <si>
    <t>ZX2</t>
  </si>
  <si>
    <t>Clostridium phage cpp</t>
  </si>
  <si>
    <t>Clostridium phage vB_CpeP_HN02</t>
  </si>
  <si>
    <t>Clostridium phage vB_CpeP_PM11</t>
  </si>
  <si>
    <t>Clostridium phage CPQ3</t>
  </si>
  <si>
    <t>Clostridium phage CPQ9</t>
  </si>
  <si>
    <t>Clostridium phage Dcp1</t>
  </si>
  <si>
    <t>Clostridium phage vB_CP_gdyz_P5</t>
  </si>
  <si>
    <t>Enterococcus phage vB_OCPT_Bob</t>
  </si>
  <si>
    <t>Enterococcus phage vB_OCPT_Car</t>
  </si>
  <si>
    <t>Enterococcus phage vB_EfaM_Ef2.3</t>
  </si>
  <si>
    <t>Enterococcus phage phiEF17H</t>
  </si>
  <si>
    <t>Enterococcus phage EF19G</t>
  </si>
  <si>
    <t>Enterococcus phage 53</t>
  </si>
  <si>
    <t>Enterococcus phage vB_EfaH_149</t>
  </si>
  <si>
    <t>Enterococcus phage MDA2</t>
  </si>
  <si>
    <t>Enterococcus phage PBEF19</t>
  </si>
  <si>
    <t>Enterococcus phage Sw5</t>
  </si>
  <si>
    <t>Enterococcus phage 163</t>
  </si>
  <si>
    <t>Enterococcus phage vB_EfaM_A2</t>
  </si>
  <si>
    <t>Enterococcus phage vB_OCPT_Ben</t>
  </si>
  <si>
    <t>Enterococcus phage vB_OCPT_Bill</t>
  </si>
  <si>
    <t>Enterococcus phage vB_OCPT_Bop</t>
  </si>
  <si>
    <t>Enterococcus phage vB_OCPT_CCS1</t>
  </si>
  <si>
    <t>Enterococcus phage EFGrNG</t>
  </si>
  <si>
    <t>Enterococcus phage EfsSzw-1</t>
  </si>
  <si>
    <t>Enterococcus phage GVEsP-1</t>
  </si>
  <si>
    <t>Enterococcus phage iF6</t>
  </si>
  <si>
    <t>Enterococcus phage PEf771</t>
  </si>
  <si>
    <t>Enterococcus phage Porthos</t>
  </si>
  <si>
    <t>Enterococcus phage phiSHEF13</t>
  </si>
  <si>
    <t>Enterococcus phage phiSHEF16</t>
  </si>
  <si>
    <t>Enterococcus phage 113</t>
  </si>
  <si>
    <t>Enterococcus phage TJE1</t>
  </si>
  <si>
    <t>Enterococcus phage TJE2</t>
  </si>
  <si>
    <t>Jasinskavirinae</t>
  </si>
  <si>
    <t>Konodaiviridae</t>
  </si>
  <si>
    <t>Akedovirus</t>
  </si>
  <si>
    <t>Akedovirus sp. isolate 2520_67539</t>
  </si>
  <si>
    <t>Satomivirus</t>
  </si>
  <si>
    <t>Satomivirus sp. isolate 1827_77749</t>
  </si>
  <si>
    <t>Shienvirus</t>
  </si>
  <si>
    <t>Shienvirus sp. isolate 0727_113293</t>
  </si>
  <si>
    <t>Lutetiaviridae</t>
  </si>
  <si>
    <t>Classicovirus</t>
  </si>
  <si>
    <t>Methanonassiliicoccales tailed virus 2</t>
  </si>
  <si>
    <t>MxTV2</t>
  </si>
  <si>
    <t>vir335</t>
  </si>
  <si>
    <t>BK063680</t>
  </si>
  <si>
    <t>Madridviridae</t>
  </si>
  <si>
    <t>Stenotrophomonas phage vB_SmaS-AXL_1</t>
  </si>
  <si>
    <t>Xanthomonas phage vB_Xar_IVIA-DoCa6</t>
  </si>
  <si>
    <t>Xanthomonas phage vB_Xar_IVIA-DoCa10</t>
  </si>
  <si>
    <t>Xanthomonas phage FMYAK-P1</t>
  </si>
  <si>
    <t>Xanthomonas phage Xp12</t>
  </si>
  <si>
    <t>Cinvestavvirus</t>
  </si>
  <si>
    <t>Docaquintavirus</t>
  </si>
  <si>
    <t>Xanthomonas phage vB_Xar_IVIA-DoCa5</t>
  </si>
  <si>
    <t>Donnerlittchenvirus</t>
  </si>
  <si>
    <t>Janthinobacterium phage vB_JliM-Donnerlittchen</t>
  </si>
  <si>
    <t>Elanorvirus</t>
  </si>
  <si>
    <t>Xanthomonas phage Elanor</t>
  </si>
  <si>
    <t>Ghuizhouvirus</t>
  </si>
  <si>
    <t>Stenotrophomonas phage A1432</t>
  </si>
  <si>
    <t>Mallosvirus</t>
  </si>
  <si>
    <t>Xanthomonas phage Mallos</t>
  </si>
  <si>
    <t>Pseudomonas phage AAT-1</t>
  </si>
  <si>
    <t>Pseudomonas phage phiH1</t>
  </si>
  <si>
    <t>Pseudomonas phage phiH2</t>
  </si>
  <si>
    <t>Stenotrophomonas phage vB_Sm_QDWS359</t>
  </si>
  <si>
    <t>Aeromonas phage A051</t>
  </si>
  <si>
    <t>Inibicvirus</t>
  </si>
  <si>
    <t>Escherichia phage vB_EcoM-613R3</t>
  </si>
  <si>
    <t>Pasteurella phage vB_PmuM_CFP3</t>
  </si>
  <si>
    <t>Burkholderia phage Menos</t>
  </si>
  <si>
    <t>Burkholderia phage Milagro</t>
  </si>
  <si>
    <t>Burkholderia phage Momento</t>
  </si>
  <si>
    <t>Burkholderia phage Musica</t>
  </si>
  <si>
    <t>Burkholderia phage Carl1</t>
  </si>
  <si>
    <t>Yersinia phage GMG73</t>
  </si>
  <si>
    <t>Yersinia phage GMS190</t>
  </si>
  <si>
    <t>Salmonella phage MET_P1_103_31</t>
  </si>
  <si>
    <t>Saffermanviridae</t>
  </si>
  <si>
    <t>Arthrovirus</t>
  </si>
  <si>
    <t>Arthronema virus TR020</t>
  </si>
  <si>
    <t>TR020</t>
  </si>
  <si>
    <t>Morrisvirus</t>
  </si>
  <si>
    <t>Plectonema phage JingP1</t>
  </si>
  <si>
    <t>JingP1</t>
  </si>
  <si>
    <t>Leptolyngbya phage LPP-1</t>
  </si>
  <si>
    <t>LPP-1</t>
  </si>
  <si>
    <t>Plectonema phage Pbo-yong3</t>
  </si>
  <si>
    <t>Pbo-yong3</t>
  </si>
  <si>
    <t>Leptolyngbya phage Lbo240-yong1</t>
  </si>
  <si>
    <t>Lbo240-yong1</t>
  </si>
  <si>
    <t>Leptolyngbya phage LPP-2, strain SPI</t>
  </si>
  <si>
    <t>LPP-2</t>
  </si>
  <si>
    <t>Bacillus phage BC-5</t>
  </si>
  <si>
    <t>Layangcvirus</t>
  </si>
  <si>
    <t>Bacillus phage vB_BceP_LY3</t>
  </si>
  <si>
    <t>vB_BceP_LY3</t>
  </si>
  <si>
    <t>ON366412</t>
  </si>
  <si>
    <t>Bahkauvirus</t>
  </si>
  <si>
    <t>Bacillus phage Chedec 11</t>
  </si>
  <si>
    <t>Bacillus phage vB_BaeroP_SYYB1</t>
  </si>
  <si>
    <t>Escherichia phage vB_VIPECOOM03</t>
  </si>
  <si>
    <t>VIPECOOM03</t>
  </si>
  <si>
    <t>Toyamaviridae</t>
  </si>
  <si>
    <t>Totsukavirus</t>
  </si>
  <si>
    <t>Totsukavirus sp. isolate 2698_63430</t>
  </si>
  <si>
    <t>Ushigomevirus</t>
  </si>
  <si>
    <t>Ushigomevirus sp. isolate 1319_99498</t>
  </si>
  <si>
    <t>Wadatovirus</t>
  </si>
  <si>
    <t>Wadatovirus sp. isolate 2120_77420</t>
  </si>
  <si>
    <t>Umezonoviridae</t>
  </si>
  <si>
    <t>Moriyavirus</t>
  </si>
  <si>
    <t>Moriyavirus sp. isolate 3108_57610</t>
  </si>
  <si>
    <t>Moriyavirus sp. isolate 3451_82951</t>
  </si>
  <si>
    <t>Moriyavirus sp. isolate 3465_136698</t>
  </si>
  <si>
    <t>Moriyavirus sp. isolate 1734_68874</t>
  </si>
  <si>
    <t>Moriyavirus sp. isolate 2131_79603</t>
  </si>
  <si>
    <t>Moriyavirus sp. isolate YS1-2_2434</t>
  </si>
  <si>
    <t>Moriyavirus sp. isolate 3885_27504</t>
  </si>
  <si>
    <t>Moriyavirus sp. isolate 2475_2033</t>
  </si>
  <si>
    <t>Moriyavirus sp. isolate 1885_91419</t>
  </si>
  <si>
    <t>Moriyavirus sp. isolate 2686_119000</t>
  </si>
  <si>
    <t>Namikivirus</t>
  </si>
  <si>
    <t>Namikivirus sp. isolate 2995_93294</t>
  </si>
  <si>
    <t>Namikivirus sp. isolate 2991_115465</t>
  </si>
  <si>
    <t>Namikivirus sp. isolate 1593_139927</t>
  </si>
  <si>
    <t>Namikivirus sp. isolate 4265_67012</t>
  </si>
  <si>
    <t>Namikivirus sp. isolate 2092_72904</t>
  </si>
  <si>
    <t>Namikivirus sp. isolate 1131_115488</t>
  </si>
  <si>
    <t>Namikivirus sp. isolate 3922_119338</t>
  </si>
  <si>
    <t>Namikivirus sp. isolate 1410_119465</t>
  </si>
  <si>
    <t>Namikivirus sp. isolate 3589_105981</t>
  </si>
  <si>
    <t>Namikivirus sp. isolate 3873_63120</t>
  </si>
  <si>
    <t>Namikivirus sp. isolate 3511_145817</t>
  </si>
  <si>
    <t>Namikivirus sp. isolate 1972_92901</t>
  </si>
  <si>
    <t>Namikivirus sp. isolate 4260_114601</t>
  </si>
  <si>
    <t>Namikivirus sp. isolate 2203_81359</t>
  </si>
  <si>
    <t>Namikivirus sp. isolate 1525_121551</t>
  </si>
  <si>
    <t>Namikivirus sp. isolate 2956_84164</t>
  </si>
  <si>
    <t>Namikivirus sp. isolate 2658_9918</t>
  </si>
  <si>
    <t>Namikivirus sp. isolate 3682_92121</t>
  </si>
  <si>
    <t>Namikivirus sp. isolate 0591_76508</t>
  </si>
  <si>
    <t>Namikivirus sp. isolate 4179_101784</t>
  </si>
  <si>
    <t>Namikivirus sp. isolate 1033_150234</t>
  </si>
  <si>
    <t>Namikivirus sp. isolate 2225_91792</t>
  </si>
  <si>
    <t>Namikivirus sp. isolate 4030_57163</t>
  </si>
  <si>
    <t>Namikivirus sp. isolate 3212_118568</t>
  </si>
  <si>
    <t>Namikivirus sp. isolate 0488_131020</t>
  </si>
  <si>
    <t>Namikivirus sp. isolate 0049_62566</t>
  </si>
  <si>
    <t>Namikivirus sp. isolate 1633_159489</t>
  </si>
  <si>
    <t>Namikivirus sp. isolate 3055_109949</t>
  </si>
  <si>
    <t>Namikivirus sp. isolate 0689_89575</t>
  </si>
  <si>
    <t>Namikivirus sp. isolate 4225_94495</t>
  </si>
  <si>
    <t>Namikivirus sp. isolate 4156_115255</t>
  </si>
  <si>
    <t>Namikivirus sp. isolate 2539_124961</t>
  </si>
  <si>
    <t>Namikivirus sp. isolate 0094_103040</t>
  </si>
  <si>
    <t>Namikivirus sp. isolate 2756_101691</t>
  </si>
  <si>
    <t>Namikivirus sp. isolate 2502_74883</t>
  </si>
  <si>
    <t>Namikivirus sp. isolate 1797_62874</t>
  </si>
  <si>
    <t>Namikivirus sp. isolate 3612_94358</t>
  </si>
  <si>
    <t>Namikivirus sp. isolate 2977_23439</t>
  </si>
  <si>
    <t>Namikivirus sp. isolate 2815_119144</t>
  </si>
  <si>
    <t>Namikivirus sp. isolate 2047_64505</t>
  </si>
  <si>
    <t>Namikivirus sp. isolate 4032_71506</t>
  </si>
  <si>
    <t>Namikivirus sp. isolate 3013_110685</t>
  </si>
  <si>
    <t>Namikivirus sp. isolate 3795_123764</t>
  </si>
  <si>
    <t>Namikivirus sp. isolate 0277_61246</t>
  </si>
  <si>
    <t>Moriyavirus sp. isolate 3361_115225</t>
  </si>
  <si>
    <t>Commandariavirus</t>
  </si>
  <si>
    <t>Gordonia phage Commandaria</t>
  </si>
  <si>
    <t>Daemsvirinae</t>
  </si>
  <si>
    <t>Elesarvirus</t>
  </si>
  <si>
    <t>Arthrobacter phage Elesar</t>
  </si>
  <si>
    <t>Nanditavirus</t>
  </si>
  <si>
    <t>Arthrobacter phage Cole</t>
  </si>
  <si>
    <t>Arthrobacter phage Nandita</t>
  </si>
  <si>
    <t>Arthrobacter phage Popper</t>
  </si>
  <si>
    <t>Arthrobacter phage Ryan</t>
  </si>
  <si>
    <t>Arthrobacter phage Zaheer</t>
  </si>
  <si>
    <t>Feeclasvirinae</t>
  </si>
  <si>
    <t>Corgivirus</t>
  </si>
  <si>
    <t>Arthrobacter phage Corgi</t>
  </si>
  <si>
    <t>Idahovirus</t>
  </si>
  <si>
    <t>Arthrobacter phage Idaho</t>
  </si>
  <si>
    <t>Noelyvirus</t>
  </si>
  <si>
    <t>Arthrobacter phage Noely</t>
  </si>
  <si>
    <t>Gorskivirinae</t>
  </si>
  <si>
    <t>Dilongvirus</t>
  </si>
  <si>
    <t>Pseudomonas phage PHB09</t>
  </si>
  <si>
    <t>Kremarvirus</t>
  </si>
  <si>
    <t>Pseudomonas phage Kremar</t>
  </si>
  <si>
    <t>Pseudomonas phage M5.1</t>
  </si>
  <si>
    <t>Pseudomonas phage PE09</t>
  </si>
  <si>
    <t>Pseudomonas phage PN09</t>
  </si>
  <si>
    <t>Pseudomonas phage phiPsa267</t>
  </si>
  <si>
    <t>Pseudomonas phage phiPsa300</t>
  </si>
  <si>
    <t>Pseudomonas phage phiPsa315</t>
  </si>
  <si>
    <t>Pseudomonas phage phiPsa347</t>
  </si>
  <si>
    <t>Pseudomonas phage phiPsa381</t>
  </si>
  <si>
    <t>Pseudomonas phage phiPsa397</t>
  </si>
  <si>
    <t>Pseudomonas phage psageK4</t>
  </si>
  <si>
    <t>Pseudomonas phage psageK4e</t>
  </si>
  <si>
    <t>Shenlongvirus</t>
  </si>
  <si>
    <t>Pseudomonas phage PPSC2</t>
  </si>
  <si>
    <t>Guarnerosvirinae</t>
  </si>
  <si>
    <t>Mechnikovvirus</t>
  </si>
  <si>
    <t>Pseudomonas phage vB_Pae_CF78a</t>
  </si>
  <si>
    <t>Pseudomonas phage Ps60</t>
  </si>
  <si>
    <t>Pseudomonas phage vB_Pae-SS2019XII</t>
  </si>
  <si>
    <t>Torontovirus</t>
  </si>
  <si>
    <t>Pseudomonas phage Fc02</t>
  </si>
  <si>
    <t>Pseudomonas phage Fc22</t>
  </si>
  <si>
    <t>Pseudomonas phage H71</t>
  </si>
  <si>
    <t>Pseudomonas phage H72</t>
  </si>
  <si>
    <t>Pseudomonas phage JBD25</t>
  </si>
  <si>
    <t>JX495042</t>
  </si>
  <si>
    <t>Pseudomonas phage Ps59</t>
  </si>
  <si>
    <t>Pseudomonas phage UMP151</t>
  </si>
  <si>
    <t>Salmonella phage GRNsp27</t>
  </si>
  <si>
    <t>Salmonella phage vB_SenS_SE1</t>
  </si>
  <si>
    <t>Salmonella phage vB_SenTO17</t>
  </si>
  <si>
    <t>Salmonella phage Shemara</t>
  </si>
  <si>
    <t>Salmonella phage St162</t>
  </si>
  <si>
    <t>Salmonella phage TS6</t>
  </si>
  <si>
    <t>Salmonella virus VSiP</t>
  </si>
  <si>
    <t>Salmonella phage vB_STM-ZS</t>
  </si>
  <si>
    <t>Salmonella phage blauehaus</t>
  </si>
  <si>
    <t>Salmonella phage BPS11Q3</t>
  </si>
  <si>
    <t>KX405002</t>
  </si>
  <si>
    <t>Salmonella phage celemicas</t>
  </si>
  <si>
    <t>Salmonella phage CTH7</t>
  </si>
  <si>
    <t>Salmonella phage demigod</t>
  </si>
  <si>
    <t>Salmonella phage dunkel</t>
  </si>
  <si>
    <t>Salmonella phage vB_SenS-EnJE1</t>
  </si>
  <si>
    <t>Salmonella phage vB_SenS-EnJE6</t>
  </si>
  <si>
    <t>Salmonella phage vB_SenS_ER1</t>
  </si>
  <si>
    <t>Salmonella phage vB_SenS_ER21</t>
  </si>
  <si>
    <t>Salmonella phage vB_SenS_ER23</t>
  </si>
  <si>
    <t>Salmonella phage F12013</t>
  </si>
  <si>
    <t>Salmonella phage F118P13</t>
  </si>
  <si>
    <t>Salmonella phage fmb-p1</t>
  </si>
  <si>
    <t>Salmonella phage GRNsp50</t>
  </si>
  <si>
    <t>Salmonella phage horsemountain</t>
  </si>
  <si>
    <t>Salmonella phage JD01</t>
  </si>
  <si>
    <t>Salmonella phage 5sent1</t>
  </si>
  <si>
    <t>Salmonella phage vB_SalP_LDW16</t>
  </si>
  <si>
    <t>Salmonella phage LP31</t>
  </si>
  <si>
    <t>Salmonella phage LPSE1</t>
  </si>
  <si>
    <t>Salmonella phage MET_P1_001_43</t>
  </si>
  <si>
    <t>Salmonella phage NBSal006</t>
  </si>
  <si>
    <t>Salmonella phage NBSal007</t>
  </si>
  <si>
    <t>Salmonella phage PBSE191</t>
  </si>
  <si>
    <t>Salmonella phage pink</t>
  </si>
  <si>
    <t>Salmonella phage vB_SenS_PVP-SE2</t>
  </si>
  <si>
    <t>Salmonella phage vB_SalS-S10</t>
  </si>
  <si>
    <t>Salmonella phage S100</t>
  </si>
  <si>
    <t>Salmonella phage S102</t>
  </si>
  <si>
    <t>Salmonella phage vB_SenS_S528</t>
  </si>
  <si>
    <t>Salmonella phage vB_SenS_S532</t>
  </si>
  <si>
    <t>Salmonella phage vB_SenS_SB3</t>
  </si>
  <si>
    <t>Salmonella phage SE-W109</t>
  </si>
  <si>
    <t>Salmonella phage SGPC</t>
  </si>
  <si>
    <t>Salmonella phage Shelanagig</t>
  </si>
  <si>
    <t>Salmonella phage SHWT1</t>
  </si>
  <si>
    <t>Salmonella phage sitste</t>
  </si>
  <si>
    <t>Salmonella phage skrot</t>
  </si>
  <si>
    <t>Salmonella phage SLMP1</t>
  </si>
  <si>
    <t>Salmonella phage SS5</t>
  </si>
  <si>
    <t>Salmonella phage STP03</t>
  </si>
  <si>
    <t>Salmonella phage T102</t>
  </si>
  <si>
    <t>Salmonella phage templet</t>
  </si>
  <si>
    <t>Salmonella phage vB_SenS_TUMS_E4</t>
  </si>
  <si>
    <t>Salmonella phage vB_SenS_TUMS_E19</t>
  </si>
  <si>
    <t>Salmonella phage vB_StyS-sam</t>
  </si>
  <si>
    <t>Salmonella virus VSe101</t>
  </si>
  <si>
    <t>Salmonella virus VSe103</t>
  </si>
  <si>
    <t>Salmonella virus VSt10</t>
  </si>
  <si>
    <t>Salmonella phage wast</t>
  </si>
  <si>
    <t>Salmonella phage ZCSE9</t>
  </si>
  <si>
    <t>Escherichia phage G_AB-2017</t>
  </si>
  <si>
    <t>Escherichia phage L_AB-2017</t>
  </si>
  <si>
    <t>Escherichia phage P_AB-2017</t>
  </si>
  <si>
    <t>Escherichia phage ULINTec2</t>
  </si>
  <si>
    <t>Escherichia phage vB_EcoS-UTI89UKE1</t>
  </si>
  <si>
    <t>Escherichia phage UTI-CM001</t>
  </si>
  <si>
    <t>Layangavirus</t>
  </si>
  <si>
    <t>Bacillus phage vB_BceS_LY1</t>
  </si>
  <si>
    <t>ON366410</t>
  </si>
  <si>
    <t>Layangbvirus</t>
  </si>
  <si>
    <t>Bacillus phage vB_BceS_LY5</t>
  </si>
  <si>
    <t>OP646176</t>
  </si>
  <si>
    <t>Heleneionescovirinae</t>
  </si>
  <si>
    <t>Bacillus phage FADO</t>
  </si>
  <si>
    <t>Jameshumphriesvirinae</t>
  </si>
  <si>
    <t>Bimevirus</t>
  </si>
  <si>
    <t>Klebsiella phage 1611E-K2-1</t>
  </si>
  <si>
    <t>Klebsiella phage vB_KpnM_IME346</t>
  </si>
  <si>
    <t>Klebsiella phage vB_KleM_KB2</t>
  </si>
  <si>
    <t>Chaoyangvirus</t>
  </si>
  <si>
    <t>Klebsiella phage BUCT_49532</t>
  </si>
  <si>
    <t>Geezettvirus</t>
  </si>
  <si>
    <t>Klebsiella phage Geezett</t>
  </si>
  <si>
    <t>Mascletvirus</t>
  </si>
  <si>
    <t>Klebsiella phage VLCpiM12a</t>
  </si>
  <si>
    <t>Parissaclayvirus</t>
  </si>
  <si>
    <t>Klebsiella phage vB_KpnM_15-38_KLPPOU148</t>
  </si>
  <si>
    <t>Ringroadvirus</t>
  </si>
  <si>
    <t>Klebsiella phage BUCT_47333</t>
  </si>
  <si>
    <t>Sircambvirus</t>
  </si>
  <si>
    <t>Klebsiella phage vB_KpnM_FZ14</t>
  </si>
  <si>
    <t>Klebsiella phage vB_KpnM_JustaPhage</t>
  </si>
  <si>
    <t>Klebsiella phage MEW1</t>
  </si>
  <si>
    <t>Klebsiella phage pKp383</t>
  </si>
  <si>
    <t>Zewailvirus</t>
  </si>
  <si>
    <t>Klebsiella phage SBP</t>
  </si>
  <si>
    <t>Escherichia phage ZCEC13</t>
  </si>
  <si>
    <t>Johnpaulvirinae</t>
  </si>
  <si>
    <t>Eidolonvirus</t>
  </si>
  <si>
    <t>Sphingomonas phage Eidolon</t>
  </si>
  <si>
    <t>Kharnvirus</t>
  </si>
  <si>
    <t>Sphingomonas phage Kharn</t>
  </si>
  <si>
    <t>Sphingomonas phage Lucius</t>
  </si>
  <si>
    <t>Jondennisvirinae</t>
  </si>
  <si>
    <t>Kipunavirus</t>
  </si>
  <si>
    <t>Pseudomonas phage KP1</t>
  </si>
  <si>
    <t>Pseudomonas phage vB_PaeS_C1</t>
  </si>
  <si>
    <t>Stenotrophomonas phage vB_SmaS-DLP_1</t>
  </si>
  <si>
    <t>Stenotrophomonas phage vB_SmaS-DLP_2</t>
  </si>
  <si>
    <t>KR537871</t>
  </si>
  <si>
    <t>Xanthomonas phage vB_Xar_IVIA-DoCa1</t>
  </si>
  <si>
    <t>Pseudomonas phage Epa40</t>
  </si>
  <si>
    <t>Pseudomonas phage Guyu</t>
  </si>
  <si>
    <t>Pseudomonas phage Kaya</t>
  </si>
  <si>
    <t>Pseudomonas phage Kopi</t>
  </si>
  <si>
    <t>Pseudomonas phage PSV3 NODE_1</t>
  </si>
  <si>
    <t>Pseudomonas phage PSV3 NOD2_2</t>
  </si>
  <si>
    <t>Pseudomonas phage PSV3 NODE_3</t>
  </si>
  <si>
    <t>Pseudomonas phage PSV3 NODE_4</t>
  </si>
  <si>
    <t>Pseudomonas phage BUCT-PX-5</t>
  </si>
  <si>
    <t>Xanthomonas phage Samson</t>
  </si>
  <si>
    <t>Pseudomonas phage vB_PaeS_SCUT-S3</t>
  </si>
  <si>
    <t>Pseudomonas phage TehO</t>
  </si>
  <si>
    <t>Pseudomonas phage UF_RH1</t>
  </si>
  <si>
    <t>Pseudomonas phage vB_PaeS-Yazdi-M</t>
  </si>
  <si>
    <t>Kutznervirinae</t>
  </si>
  <si>
    <t>Kozievirus</t>
  </si>
  <si>
    <t>Microbacterium phage Kozie</t>
  </si>
  <si>
    <t>Meganvirus</t>
  </si>
  <si>
    <t>Microbacterium phage Megan</t>
  </si>
  <si>
    <t>Microbacterium phage Cinna</t>
  </si>
  <si>
    <t>Microbacterium phage Cressida</t>
  </si>
  <si>
    <t>Microbacterium phage Margaery</t>
  </si>
  <si>
    <t>Microbacterium phage Matzah</t>
  </si>
  <si>
    <t>Microbacterium phage Terij</t>
  </si>
  <si>
    <t>Microbacterium phage Ariadne</t>
  </si>
  <si>
    <t>Microbacterium phage Jayden</t>
  </si>
  <si>
    <t>Microbacterium phage Teamocil</t>
  </si>
  <si>
    <t>Microbacterium phage Tyrumbra</t>
  </si>
  <si>
    <t>Microbacterium phage ClearAsMud</t>
  </si>
  <si>
    <t>Microbacterium phage Honeyfin</t>
  </si>
  <si>
    <t>Microbacterium phage NoodlelyBoi</t>
  </si>
  <si>
    <t>Microbacterium phage Shotgun</t>
  </si>
  <si>
    <t>Munstervirinae</t>
  </si>
  <si>
    <t>Aceathervirus</t>
  </si>
  <si>
    <t>Ruminococcus phage phiRM10</t>
  </si>
  <si>
    <t>MT980841</t>
  </si>
  <si>
    <t>Adovirus</t>
  </si>
  <si>
    <t>Ruminococcus phage phiRg519T2</t>
  </si>
  <si>
    <t>MT980838</t>
  </si>
  <si>
    <t>Ruminococcus phage phiRgIBDN1</t>
  </si>
  <si>
    <t>MT980840</t>
  </si>
  <si>
    <t>Ahaonvirus</t>
  </si>
  <si>
    <t>Ruminococcus phage phiRg507T2_2</t>
  </si>
  <si>
    <t>MT980836</t>
  </si>
  <si>
    <t>Ruminococcus phage phiRg507T2_3</t>
  </si>
  <si>
    <t>MT980837</t>
  </si>
  <si>
    <t>Atrivirus</t>
  </si>
  <si>
    <t>Ruminococcus phage phiRgPS6</t>
  </si>
  <si>
    <t>MT980839</t>
  </si>
  <si>
    <t>Micathvirus</t>
  </si>
  <si>
    <t>Pseudomonas phage MiCath</t>
  </si>
  <si>
    <t>Xanthomonas phage vB_Xar_IVIA-DoCa3</t>
  </si>
  <si>
    <t>Pseudomonas phage JG054</t>
  </si>
  <si>
    <t>Pseudomonas phage vB_PaeS_PAJD-1</t>
  </si>
  <si>
    <t>Pseudomonas phage Quinobequin-P09</t>
  </si>
  <si>
    <t>Shangdongvirus</t>
  </si>
  <si>
    <t>Stenotrophomonas phage vB_SM_ytsc_ply2008005c</t>
  </si>
  <si>
    <t>Torvergatavirus</t>
  </si>
  <si>
    <t>Sphingomonas phage vB_StuS_MMDA13</t>
  </si>
  <si>
    <t>Skurskavirinae</t>
  </si>
  <si>
    <t>Baldwinvirus</t>
  </si>
  <si>
    <t>Pseudomonas phage EM</t>
  </si>
  <si>
    <t>Pseudomonas phage vB_PaeS_B8</t>
  </si>
  <si>
    <t>Pseudomonas phage vB_PaeM_B31</t>
  </si>
  <si>
    <t>Pseudomonas phage vB_PaeM_B55</t>
  </si>
  <si>
    <t>Pseudomonas phage vB_PaM_EPA1</t>
  </si>
  <si>
    <t>Pseudomonas phage vB_PA45_GUMS</t>
  </si>
  <si>
    <t>Pseudomonas phage Henu5</t>
  </si>
  <si>
    <t>Pseudomonas phage HJ01</t>
  </si>
  <si>
    <t>Pseudomonas phage ITTPL</t>
  </si>
  <si>
    <t>Pseudomonas phage vB_Pae_Kat</t>
  </si>
  <si>
    <t>Pseudomonas phage vB_PaeM_LCK69</t>
  </si>
  <si>
    <t>Pseudomonas phage PaGz-1</t>
  </si>
  <si>
    <t>Pseudomonas phage PaZq-1</t>
  </si>
  <si>
    <t>Pseudomonas phage PhL_UNISO_PA-DSM_ph0034</t>
  </si>
  <si>
    <t>Pseudomonas phage phipa10</t>
  </si>
  <si>
    <t>Pseudomonas phage pPA-3099-2aT.2</t>
  </si>
  <si>
    <t>Pseudomonas phage vB_Paer_Ps12</t>
  </si>
  <si>
    <t>Pseudomonas phage vB_Paer_PsCh</t>
  </si>
  <si>
    <t>Pseudomonas phage vB_Paer_PsIn</t>
  </si>
  <si>
    <t>Pseudomonas phage 20Sep416</t>
  </si>
  <si>
    <t>Pseudomonas phage SPA01</t>
  </si>
  <si>
    <t>Pseudomonas phage SPA05</t>
  </si>
  <si>
    <t>Pseudomonas phage vB_VIPPAEUMC01</t>
  </si>
  <si>
    <t>VIPPAEUMC</t>
  </si>
  <si>
    <t>VIPPAEUMC01</t>
  </si>
  <si>
    <t>OQ721915</t>
  </si>
  <si>
    <t>Pseudomonas phage YS35</t>
  </si>
  <si>
    <t>Stanbaylleyvirinae</t>
  </si>
  <si>
    <t>Shirevirus</t>
  </si>
  <si>
    <t>Xanthomonas phage Langgrundblatt1</t>
  </si>
  <si>
    <t>Xanthomonas phage Langgrundblatt2</t>
  </si>
  <si>
    <t>Xanthomonas phage Pfeifenkraut</t>
  </si>
  <si>
    <t>Subavirus</t>
  </si>
  <si>
    <t>Xanthomonas phage Suba</t>
  </si>
  <si>
    <t>Septuagintavirus</t>
  </si>
  <si>
    <t>Escherichia phage A73</t>
  </si>
  <si>
    <t>OP778609</t>
  </si>
  <si>
    <t>Escherichia phage 5_4</t>
  </si>
  <si>
    <t>OP744025</t>
  </si>
  <si>
    <t>Escherichia phage A51.2</t>
  </si>
  <si>
    <t>Escherichia phage AlexBoehm</t>
  </si>
  <si>
    <t>Vequintavirinae sp. EcoIv14a_Aya</t>
  </si>
  <si>
    <t>Shigella phage CM1</t>
  </si>
  <si>
    <t>Escherichia phage DrSchubert</t>
  </si>
  <si>
    <t>Escherichia phage vB_EcoM-ECP26</t>
  </si>
  <si>
    <t>Escherichia phage vB_EcoM-ECP32</t>
  </si>
  <si>
    <t>Escherichia phage EduardKellenberger</t>
  </si>
  <si>
    <t>Escherichia phage EmilHeitz</t>
  </si>
  <si>
    <t>Escherichia phage vB_EcoM_Gotham</t>
  </si>
  <si>
    <t>Escherichia phage vB_EcoM_HdK5</t>
  </si>
  <si>
    <t>Escherichia phage JEP1</t>
  </si>
  <si>
    <t>Escherichia phage LL12</t>
  </si>
  <si>
    <t>Escherichia phage MaxBurger</t>
  </si>
  <si>
    <t>Escherichia phage navn</t>
  </si>
  <si>
    <t>Escherichia phage nom</t>
  </si>
  <si>
    <t>Escherichia phage nomine</t>
  </si>
  <si>
    <t>Escherichia phage pangalan</t>
  </si>
  <si>
    <t>Escherichia phage PDX</t>
  </si>
  <si>
    <t>Escherichia phage phiWec189</t>
  </si>
  <si>
    <t>Escherichia phage phiWec191</t>
  </si>
  <si>
    <t>Escherichia phage phiWec193</t>
  </si>
  <si>
    <t>Escherichia phage rV5_ev146</t>
  </si>
  <si>
    <t>Escherichia phage vB_EcoM_SophiaRose</t>
  </si>
  <si>
    <t>Escherichia phage vB_EcoM_SYGMH1</t>
  </si>
  <si>
    <t>Escherichia coli O157 typing phage 14</t>
  </si>
  <si>
    <t>Escherichia phage WalterGehring</t>
  </si>
  <si>
    <t>Escherichia phage YP-6</t>
  </si>
  <si>
    <t>Ahotrevirus</t>
  </si>
  <si>
    <t>Erwinia phage AH03</t>
  </si>
  <si>
    <t>Amherstvirus</t>
  </si>
  <si>
    <t>Microbacterium phage PineapplePizza</t>
  </si>
  <si>
    <t>Amiranvirus</t>
  </si>
  <si>
    <t>Enterococcus phage vb_GEC_Ef_S_9</t>
  </si>
  <si>
    <t>Bacillus phage Bolokhovo</t>
  </si>
  <si>
    <t>Bolokhovo</t>
  </si>
  <si>
    <t>Bacillus phage Novomoskovsk</t>
  </si>
  <si>
    <t>Novomoskovsk</t>
  </si>
  <si>
    <t>Aquaneticvirus</t>
  </si>
  <si>
    <t>OP491958</t>
  </si>
  <si>
    <t>Aquingentivirus</t>
  </si>
  <si>
    <t>Listeria phage A500</t>
  </si>
  <si>
    <t>DQ003637</t>
  </si>
  <si>
    <t>Listeria phage vB_LmoS_293</t>
  </si>
  <si>
    <t>KP399678</t>
  </si>
  <si>
    <t>Listeria phage HB17054</t>
  </si>
  <si>
    <t>Listeria phage HS5</t>
  </si>
  <si>
    <t>OP894077</t>
  </si>
  <si>
    <t>Listeria phage PSU-VKH-LP040</t>
  </si>
  <si>
    <t>Listeria phage LP-030-3</t>
  </si>
  <si>
    <t>KJ094022</t>
  </si>
  <si>
    <t>Listeria phage vB_LmoS_P7</t>
  </si>
  <si>
    <t>Aramisvirus</t>
  </si>
  <si>
    <t>Enterococcus phage Aramis</t>
  </si>
  <si>
    <t>Enterococcus phage dArtagnan</t>
  </si>
  <si>
    <t>Aspduovirus</t>
  </si>
  <si>
    <t>Actinoplanes phage phiAsp2</t>
  </si>
  <si>
    <t>AY576796</t>
  </si>
  <si>
    <t>Athenavirus</t>
  </si>
  <si>
    <t>Bacillus phage vB_BanS_Athena</t>
  </si>
  <si>
    <t>Aziravirus</t>
  </si>
  <si>
    <t>Gordonia phage Azira</t>
  </si>
  <si>
    <t>Gordonia phage Gibbous</t>
  </si>
  <si>
    <t>Bauervirus</t>
  </si>
  <si>
    <t>Arthrobacter phage Bauer</t>
  </si>
  <si>
    <t>Bglawtbvirus</t>
  </si>
  <si>
    <t>Burkholderia phage vB_BglM_WTB</t>
  </si>
  <si>
    <t>OQ735257</t>
  </si>
  <si>
    <t>Bismarckvirus</t>
  </si>
  <si>
    <t>Arthrobacter phage Shambre1</t>
  </si>
  <si>
    <t>Bluefeathervirus</t>
  </si>
  <si>
    <t>Arthrobacter phage BlueFeather</t>
  </si>
  <si>
    <t>Bonzeevirus</t>
  </si>
  <si>
    <t>Serratia phage vB_SmaS_Bigdog</t>
  </si>
  <si>
    <t>Bigdog</t>
  </si>
  <si>
    <t>Serratia phage vB_SmaS_Bonzee</t>
  </si>
  <si>
    <t>Bonzee</t>
  </si>
  <si>
    <t>Serratia phage vB_SmaS_Stoker</t>
  </si>
  <si>
    <t>Stoker</t>
  </si>
  <si>
    <t>Serratia phage vB_SmaS_Ulliraptor</t>
  </si>
  <si>
    <t>Ulliraptor</t>
  </si>
  <si>
    <t>Bugaksanvirus</t>
  </si>
  <si>
    <t>Pseudomonas phage YMC11/02/R656</t>
  </si>
  <si>
    <t>KT968831</t>
  </si>
  <si>
    <t>Bunatrivirus</t>
  </si>
  <si>
    <t>Bacillus phage B13</t>
  </si>
  <si>
    <t>B13</t>
  </si>
  <si>
    <t>Chewyvirus</t>
  </si>
  <si>
    <t>Rhodococcus phage ChewyVIII</t>
  </si>
  <si>
    <t>Chymeravirus</t>
  </si>
  <si>
    <t>Streptomyces phage Chymera</t>
  </si>
  <si>
    <t>Delfunavirus</t>
  </si>
  <si>
    <t>Enterococcus phage vB_EfaS-DELF1</t>
  </si>
  <si>
    <t>Enterococcus phage vB_EhiS_268</t>
  </si>
  <si>
    <t>Escherichia phage B2</t>
  </si>
  <si>
    <t>Escherichia phage BF9</t>
  </si>
  <si>
    <t>Escherichia phage bob</t>
  </si>
  <si>
    <t>Escherichia phage vb_EcoS_bov22_1</t>
  </si>
  <si>
    <t>Escherichia phage CEC_Kaz_2018</t>
  </si>
  <si>
    <t>Escherichia phage vB_EcoS-CHD5UKE2</t>
  </si>
  <si>
    <t>Escherichia phage vB_EcoS-101114BS4</t>
  </si>
  <si>
    <t>Escherichia phage vB_EcoS_011D5</t>
  </si>
  <si>
    <t>Escherichia phage EC115</t>
  </si>
  <si>
    <t>Escherichia phage Envy</t>
  </si>
  <si>
    <t>KX534335</t>
  </si>
  <si>
    <t>Escherichia phage GeorgBuechner</t>
  </si>
  <si>
    <t>Escherichia phage Gluttony</t>
  </si>
  <si>
    <t>KX534336</t>
  </si>
  <si>
    <t>Escherichia phage Gluttony_ev152</t>
  </si>
  <si>
    <t>Escherichia phage jat</t>
  </si>
  <si>
    <t>Escherichia phage JLBYU37</t>
  </si>
  <si>
    <t>Escherichia phage JLBYU60</t>
  </si>
  <si>
    <t>Escherichia phage KarlBarth</t>
  </si>
  <si>
    <t>Escherichia phage vB_EcoS_L-h</t>
  </si>
  <si>
    <t>Escherichia phage vB_Eco_Maverick</t>
  </si>
  <si>
    <t>Escherichia phage mckay</t>
  </si>
  <si>
    <t>Escherichia phage Oekolampad</t>
  </si>
  <si>
    <t>Escherichia phage vB_EcoD_Opt212</t>
  </si>
  <si>
    <t>Escherichia phage vB_EcoD_Over9000</t>
  </si>
  <si>
    <t>Escherichia phage PaulFeyerabend</t>
  </si>
  <si>
    <t>Escherichia phage PC2</t>
  </si>
  <si>
    <t>Escherichia phage PEC14</t>
  </si>
  <si>
    <t>Escherichia phage vB_EcoS_PNS1</t>
  </si>
  <si>
    <t>Escherichia phage vB_EcoS_PTXU06</t>
  </si>
  <si>
    <t>Escherichia phage vB_EcoD_Pubbukkers</t>
  </si>
  <si>
    <t>Escherichia phage rolling</t>
  </si>
  <si>
    <t>Escherichia phage SECphi18</t>
  </si>
  <si>
    <t>Escherichia phage slur05</t>
  </si>
  <si>
    <t>LN881730</t>
  </si>
  <si>
    <t>Escherichia phage vB_EcoS_Sponge</t>
  </si>
  <si>
    <t>Shigella phage vB_SboD_StarDew</t>
  </si>
  <si>
    <t>Escherichia phage vB_EcoD_Teewinot</t>
  </si>
  <si>
    <t>Escherichia phage TheodorHerzl</t>
  </si>
  <si>
    <t>Escherichia phage UAE_MI-01</t>
  </si>
  <si>
    <t>Escherichia phage welsh</t>
  </si>
  <si>
    <t>Escherichia phage vB_EcoS_WFI</t>
  </si>
  <si>
    <t>Escherichia phage vB_EcoS_WF5505</t>
  </si>
  <si>
    <t>Escherichia phage vB_EcoS_Zar3M</t>
  </si>
  <si>
    <t>Escherichia phage ZCEC10</t>
  </si>
  <si>
    <t>Dolmabahcevirus</t>
  </si>
  <si>
    <t>Streptomyces phage TurkishDelight</t>
  </si>
  <si>
    <t>Efemquintavirus</t>
  </si>
  <si>
    <t>Enterococcus phage IME-EFm5</t>
  </si>
  <si>
    <t>KT588072</t>
  </si>
  <si>
    <t>Efemunavirus</t>
  </si>
  <si>
    <t>Enterococcus phage IME-EFm1</t>
  </si>
  <si>
    <t>KJ010489</t>
  </si>
  <si>
    <t>Enterococcus phage vB_Efm_LG62</t>
  </si>
  <si>
    <t>Efunavirus</t>
  </si>
  <si>
    <t>Entercoccus phage EF1</t>
  </si>
  <si>
    <t>MF001358</t>
  </si>
  <si>
    <t>Entercoccus phage H1</t>
  </si>
  <si>
    <t>OP534061</t>
  </si>
  <si>
    <t>Emirosevirus</t>
  </si>
  <si>
    <t>Corynebacterium phage EmiRose</t>
  </si>
  <si>
    <t>Finkelvirus</t>
  </si>
  <si>
    <t>Gordonia phage Finkle</t>
  </si>
  <si>
    <t>Footloosevirus</t>
  </si>
  <si>
    <t>Microbacterium phage Footloose</t>
  </si>
  <si>
    <t>Fuzanglongvirus</t>
  </si>
  <si>
    <t>Streptomyces phage ZL12</t>
  </si>
  <si>
    <t>GQ919031</t>
  </si>
  <si>
    <t>Gilgameshvirus</t>
  </si>
  <si>
    <t>Streptomyces phage Gilgamesh</t>
  </si>
  <si>
    <t>Arthrobacter phage Breylor17</t>
  </si>
  <si>
    <t>Arthrobacter phage CastorTray</t>
  </si>
  <si>
    <t>Arthrobacter phage Darby</t>
  </si>
  <si>
    <t>Arthrobacter phage DevitoJr</t>
  </si>
  <si>
    <t>Arthrobacter phage Nightmare</t>
  </si>
  <si>
    <t>Arthrobacter phage Niktson</t>
  </si>
  <si>
    <t>Arthrobacter phage ScienceWizSam</t>
  </si>
  <si>
    <t>Arthrobacter phage Synepsis</t>
  </si>
  <si>
    <t>Arthrobacter phage Tatanka</t>
  </si>
  <si>
    <t>Arthrobacter phage Teacup</t>
  </si>
  <si>
    <t>Arthrobacter phage Trustiboi</t>
  </si>
  <si>
    <t>Hafyongvirus</t>
  </si>
  <si>
    <t>Hafnia phage yong1</t>
  </si>
  <si>
    <t>yong1</t>
  </si>
  <si>
    <t>MT135176</t>
  </si>
  <si>
    <t>Haihevirus</t>
  </si>
  <si>
    <t>Pseudomonas phage PP9W2</t>
  </si>
  <si>
    <t>Halfdanvirus</t>
  </si>
  <si>
    <t>Escherichia phage Halfdan</t>
  </si>
  <si>
    <t>Pseudomonas phage vB_PaeP_E220</t>
  </si>
  <si>
    <t>Pseudomonas phage Epa33</t>
  </si>
  <si>
    <t>Pseudomonas phage LKA5</t>
  </si>
  <si>
    <t>Pseudomonas phage PA8</t>
  </si>
  <si>
    <t>Pseudomonas phage phiC725A</t>
  </si>
  <si>
    <t>Hulijingvirus</t>
  </si>
  <si>
    <t>Pseudomonas phage vB_Pae_LC3I3</t>
  </si>
  <si>
    <t>Ibantikvirus</t>
  </si>
  <si>
    <t>Streptomyces phage Ibantik</t>
  </si>
  <si>
    <t>Identitycrisisvirus</t>
  </si>
  <si>
    <t>Mycobacterium phage IdentityCrisis</t>
  </si>
  <si>
    <t>Ignaciovirus</t>
  </si>
  <si>
    <t>Streptomyces phage AxeJC</t>
  </si>
  <si>
    <t>Streptomyces phage Cumberbatch</t>
  </si>
  <si>
    <t>Streptomyces phage Eastland</t>
  </si>
  <si>
    <t>Streptomyces phage Eklok</t>
  </si>
  <si>
    <t>Streptomyces phage HFrancette</t>
  </si>
  <si>
    <t>Streptomyces phage Ignacio</t>
  </si>
  <si>
    <t>Streptomyces phage Piccadilly</t>
  </si>
  <si>
    <t>Streptomyces phage Vondra</t>
  </si>
  <si>
    <t>Krompvirus</t>
  </si>
  <si>
    <t>Streptomyces phage Kromp</t>
  </si>
  <si>
    <t>Lilspottyvirus</t>
  </si>
  <si>
    <t>Mycobacterium phage LilSpotty</t>
  </si>
  <si>
    <t>Lishizhenvirus</t>
  </si>
  <si>
    <t>Pseudomonas phage BUCT566</t>
  </si>
  <si>
    <t>Malagasyrosevirus</t>
  </si>
  <si>
    <t>Mycobacterium phage MalagasyRose</t>
  </si>
  <si>
    <t>Mboquatrovirus</t>
  </si>
  <si>
    <t>Rhodococcus phage Mbo4</t>
  </si>
  <si>
    <t>Medeavirus</t>
  </si>
  <si>
    <t>Pseudomonas phage Medea1</t>
  </si>
  <si>
    <t>Miecznikowavirus</t>
  </si>
  <si>
    <t>Pseudomonas phage phiAH14a</t>
  </si>
  <si>
    <t>Oscarsovirus</t>
  </si>
  <si>
    <t>Microbacterium phage OscarSo</t>
  </si>
  <si>
    <t>Otakuvirus</t>
  </si>
  <si>
    <t>Serratia phage vB_SmaM-Otaku</t>
  </si>
  <si>
    <t>Serratia phage Tsm2</t>
  </si>
  <si>
    <t>Porunavirus</t>
  </si>
  <si>
    <t>Pseudomonas phage POR1</t>
  </si>
  <si>
    <t>Pumpernickelvirus</t>
  </si>
  <si>
    <t>Microbacterium phage Pumpernickel</t>
  </si>
  <si>
    <t>Readingvirus</t>
  </si>
  <si>
    <t>Pseudomonas phage MR15</t>
  </si>
  <si>
    <t>Pseudomonas phage phiPSA1</t>
  </si>
  <si>
    <t>KJ507100</t>
  </si>
  <si>
    <t>Pseudomonas phage psageK9</t>
  </si>
  <si>
    <t>Rovertvirus</t>
  </si>
  <si>
    <t>Serratia phage vB_SmaS_Rovert</t>
  </si>
  <si>
    <t>Rovert</t>
  </si>
  <si>
    <t>Samaravirus</t>
  </si>
  <si>
    <t>Bacillus phage vB_BcM_Sam46</t>
  </si>
  <si>
    <t>Sam46</t>
  </si>
  <si>
    <t>Santhisvirus</t>
  </si>
  <si>
    <t>Gordonia phage Jojo24</t>
  </si>
  <si>
    <t>Gordonia phage Reyja</t>
  </si>
  <si>
    <t>Gordonia phage Santhid</t>
  </si>
  <si>
    <t>Gordonia phage Tarzan</t>
  </si>
  <si>
    <t>Enterococcus phage SSsP-1</t>
  </si>
  <si>
    <t>SSsP1</t>
  </si>
  <si>
    <t>MZ333457</t>
  </si>
  <si>
    <t>Serbinvirus</t>
  </si>
  <si>
    <t>Serratia phage vB_SmaS_Opt-155</t>
  </si>
  <si>
    <t>Serratia phage Serbin</t>
  </si>
  <si>
    <t>Serratia phage vB_SmaS_Tlacuache</t>
  </si>
  <si>
    <t>Seretavirus</t>
  </si>
  <si>
    <t>Serratia phage Eta</t>
  </si>
  <si>
    <t>KC460990</t>
  </si>
  <si>
    <t>Shockervirus</t>
  </si>
  <si>
    <t>Microbacterium phage Shocker</t>
  </si>
  <si>
    <t>Spartoivirus</t>
  </si>
  <si>
    <t>Rothia phage Spartoi</t>
  </si>
  <si>
    <t>Successvirus</t>
  </si>
  <si>
    <t>Streptomyces phage Success</t>
  </si>
  <si>
    <t>Theosmithvirus</t>
  </si>
  <si>
    <t>Bacillus phage 0105phi7-2</t>
  </si>
  <si>
    <t>Thiercelinvirus</t>
  </si>
  <si>
    <t>Enterococcus phage 9184</t>
  </si>
  <si>
    <t>Valentinivirus</t>
  </si>
  <si>
    <t>Microbacterium phage ValentiniPuff</t>
  </si>
  <si>
    <t>Vanleevirus</t>
  </si>
  <si>
    <t>Gordonia phage VanLee</t>
  </si>
  <si>
    <t>Vespunovirus</t>
  </si>
  <si>
    <t>Enterococcus phage VEsP-1</t>
  </si>
  <si>
    <t>VEsP-1</t>
  </si>
  <si>
    <t>MZ333456</t>
  </si>
  <si>
    <t>Bacillus phage AP631</t>
  </si>
  <si>
    <t>AP631</t>
  </si>
  <si>
    <t>Bacillus phage vB_BanS_Booya</t>
  </si>
  <si>
    <t>Booya</t>
  </si>
  <si>
    <t>Bacillus phage Carmel_SA</t>
  </si>
  <si>
    <t>Carmel_SA</t>
  </si>
  <si>
    <t>Bacillus phage F16Ba</t>
  </si>
  <si>
    <t>F16Ba</t>
  </si>
  <si>
    <t>Bacillus anthracis bacteriophage Fah</t>
  </si>
  <si>
    <t>Fah</t>
  </si>
  <si>
    <t>DQ150593</t>
  </si>
  <si>
    <t>Bacillus anthracis phage Gamma isolate 53</t>
  </si>
  <si>
    <t>Gamma</t>
  </si>
  <si>
    <t>Bacillus phage J5a</t>
  </si>
  <si>
    <t>J5a</t>
  </si>
  <si>
    <t>Bacillus phage vB_BanS_McSteamy</t>
  </si>
  <si>
    <t>McSteamy</t>
  </si>
  <si>
    <t>Bacillus phage Negev_SA</t>
  </si>
  <si>
    <t>Negev_SA</t>
  </si>
  <si>
    <t>Bacillus phage Tavor_SA</t>
  </si>
  <si>
    <t>Tavor_SA</t>
  </si>
  <si>
    <t>Bacillus phage z1a</t>
  </si>
  <si>
    <t>z1a</t>
  </si>
  <si>
    <t>Whytuvirus</t>
  </si>
  <si>
    <t>Arthrobacter phage Whytu</t>
  </si>
  <si>
    <t>Arthrobacter phage Yavru</t>
  </si>
  <si>
    <t>Xajduovirus</t>
  </si>
  <si>
    <t>Xanthomonas phage XAJ2</t>
  </si>
  <si>
    <t>XAJ2</t>
  </si>
  <si>
    <t>KU197014</t>
  </si>
  <si>
    <t>Zhuquevirus</t>
  </si>
  <si>
    <t>Paracoccus phage vB_PmaS-R3</t>
  </si>
  <si>
    <t>R3</t>
  </si>
  <si>
    <t>KP162168</t>
  </si>
  <si>
    <t>Anademivirus</t>
  </si>
  <si>
    <t>Alteromonas phage phiAFP1</t>
  </si>
  <si>
    <t>Vibrio phage vB_Vipa10</t>
  </si>
  <si>
    <t>Vibrio phage vB_Vipa26</t>
  </si>
  <si>
    <t>Vibrio phage vB_Vipa36</t>
  </si>
  <si>
    <t>Vibrio phage vB_Vipa71</t>
  </si>
  <si>
    <t>Vibrio phage vB_Vipa4291</t>
  </si>
  <si>
    <t>Vibrio phage vB_VipaK</t>
  </si>
  <si>
    <t>Vibrio phage vB_VpI_FR1</t>
  </si>
  <si>
    <t>Vibrio phage V5</t>
  </si>
  <si>
    <t>cormorant polyomavirus</t>
  </si>
  <si>
    <t>CoPyV</t>
  </si>
  <si>
    <t>CoPyV1</t>
  </si>
  <si>
    <t>MZ666388</t>
  </si>
  <si>
    <t>Scitobion miscanthi densovirus</t>
  </si>
  <si>
    <t>SmDV</t>
  </si>
  <si>
    <t>MF083940</t>
  </si>
  <si>
    <t>Acheta domesticus segmented densovirus</t>
  </si>
  <si>
    <t>AdSDV</t>
  </si>
  <si>
    <t>QC-2014</t>
  </si>
  <si>
    <t>Molossus molossus chapparvovirus</t>
  </si>
  <si>
    <t>MmChPV</t>
  </si>
  <si>
    <t>OQ420634</t>
  </si>
  <si>
    <t>Phasianus chapparvovirus 1</t>
  </si>
  <si>
    <t>PhChPV1</t>
  </si>
  <si>
    <t>MZ667220</t>
  </si>
  <si>
    <t>galliform chaphamaparvovirus 4</t>
  </si>
  <si>
    <t>GChPV4</t>
  </si>
  <si>
    <t>OM920501</t>
  </si>
  <si>
    <t>pangolin chapparvovirus 1</t>
  </si>
  <si>
    <t>PaChPV1</t>
  </si>
  <si>
    <t>ON024117</t>
  </si>
  <si>
    <t>Aleutian mink disease virus isolate 1</t>
  </si>
  <si>
    <t>AMDV1</t>
  </si>
  <si>
    <t>British Columbia amdoparvovirus</t>
  </si>
  <si>
    <t>BCAV</t>
  </si>
  <si>
    <t>ON375541</t>
  </si>
  <si>
    <t>Aleutian mink disease virus 2</t>
  </si>
  <si>
    <t>AMDV2</t>
  </si>
  <si>
    <t>MG821261</t>
  </si>
  <si>
    <t>Aleutian mink disease virus 3</t>
  </si>
  <si>
    <t>AMDV3</t>
  </si>
  <si>
    <t>KY680280</t>
  </si>
  <si>
    <t>Sabeidhel virus 1</t>
  </si>
  <si>
    <t>SBEHV1</t>
  </si>
  <si>
    <t>ON324118</t>
  </si>
  <si>
    <t>sika deer copiparvovirus</t>
  </si>
  <si>
    <t>SDCopiPV</t>
  </si>
  <si>
    <t>LC677177</t>
  </si>
  <si>
    <t>Psittacidae dependoparvovirus</t>
  </si>
  <si>
    <t>PsDPV</t>
  </si>
  <si>
    <t>OQ101836</t>
  </si>
  <si>
    <t>porcine parvovirus 8</t>
  </si>
  <si>
    <t>PPV8</t>
  </si>
  <si>
    <t>OP021638</t>
  </si>
  <si>
    <t>hv</t>
  </si>
  <si>
    <t>banfec circovirus 2</t>
  </si>
  <si>
    <t>BanFV2</t>
  </si>
  <si>
    <t>N06_S02a</t>
  </si>
  <si>
    <t>OQ599924</t>
  </si>
  <si>
    <t>bee-eater circovirus</t>
  </si>
  <si>
    <t>GyurCV</t>
  </si>
  <si>
    <t>GyurCV1</t>
  </si>
  <si>
    <t>MZ710935</t>
  </si>
  <si>
    <t>human circovirus 1</t>
  </si>
  <si>
    <t>HumCV1</t>
  </si>
  <si>
    <t>Paris</t>
  </si>
  <si>
    <t>ON677309</t>
  </si>
  <si>
    <t>banfec circovirus 1</t>
  </si>
  <si>
    <t>BanFV1</t>
  </si>
  <si>
    <t>N10_S01a</t>
  </si>
  <si>
    <t>OQ599922</t>
  </si>
  <si>
    <t>little bittern circovirus</t>
  </si>
  <si>
    <t>TorCV</t>
  </si>
  <si>
    <t>TorCV1</t>
  </si>
  <si>
    <t>MZ710934</t>
  </si>
  <si>
    <t>ChimpACyV2</t>
  </si>
  <si>
    <t>UGA33-1</t>
  </si>
  <si>
    <t>OP934204</t>
  </si>
  <si>
    <t>Endolinaviridae</t>
  </si>
  <si>
    <t>Bovdisavirus</t>
  </si>
  <si>
    <t>Circoviridae sp. C042793</t>
  </si>
  <si>
    <t>C042793</t>
  </si>
  <si>
    <t>MH782429</t>
  </si>
  <si>
    <t>Camdisavirus</t>
  </si>
  <si>
    <t>DcSCV_c941</t>
  </si>
  <si>
    <t>KM573765</t>
  </si>
  <si>
    <t>GP3-46075_cow2</t>
  </si>
  <si>
    <t>KT862230</t>
  </si>
  <si>
    <t>Macaca fascicularis stool-associated virus PPT018/MFS01</t>
  </si>
  <si>
    <t>PPT018/MFS01</t>
  </si>
  <si>
    <t>MN165385</t>
  </si>
  <si>
    <t>CRESS virus sp. Elk10cre2</t>
  </si>
  <si>
    <t>Elk10cre2</t>
  </si>
  <si>
    <t>MT367282</t>
  </si>
  <si>
    <t>Chidisavirus</t>
  </si>
  <si>
    <t>CRESS virus sp. zftwig07cir1 genomic sequence</t>
  </si>
  <si>
    <t>zftwig07cir1</t>
  </si>
  <si>
    <t>MT138064</t>
  </si>
  <si>
    <t>RS/BR/2015/1R</t>
  </si>
  <si>
    <t>MG846356</t>
  </si>
  <si>
    <t>Hudisavirus</t>
  </si>
  <si>
    <t>Hudisavirus sp. P13_1</t>
  </si>
  <si>
    <t>P13_1</t>
  </si>
  <si>
    <t>MF351519</t>
  </si>
  <si>
    <t>Hudisavirus sp. P18</t>
  </si>
  <si>
    <t>P18</t>
  </si>
  <si>
    <t>MF351513</t>
  </si>
  <si>
    <t>P20_41_BR</t>
  </si>
  <si>
    <t>MW620877</t>
  </si>
  <si>
    <t>Ancalagonvirus</t>
  </si>
  <si>
    <t>Chaetfec virus UA24_7381</t>
  </si>
  <si>
    <t>UA24rod_7381</t>
  </si>
  <si>
    <t>OM154927</t>
  </si>
  <si>
    <t>Sigmofec virus UA08Rod_17037</t>
  </si>
  <si>
    <t>UA08Rod_17037</t>
  </si>
  <si>
    <t>OM869491</t>
  </si>
  <si>
    <t>Berenvirus</t>
  </si>
  <si>
    <t>Sigmofec virus UA08Rod_17746</t>
  </si>
  <si>
    <t>UA08Rod_17746</t>
  </si>
  <si>
    <t>OM869490</t>
  </si>
  <si>
    <t>Myodefec virus RodL3_773</t>
  </si>
  <si>
    <t>RodL3_773</t>
  </si>
  <si>
    <t>OM869615</t>
  </si>
  <si>
    <t>Dipodfec virus UA06Rod_119</t>
  </si>
  <si>
    <t>UA06Rod_119</t>
  </si>
  <si>
    <t>OM869581</t>
  </si>
  <si>
    <t>Dipodfec virus UA06Rod_108</t>
  </si>
  <si>
    <t>UA06Rod_108</t>
  </si>
  <si>
    <t>OM869583</t>
  </si>
  <si>
    <t>Sigmofec virus UA08Rod_21233</t>
  </si>
  <si>
    <t>UA08Rod_21233</t>
  </si>
  <si>
    <t>OM869484</t>
  </si>
  <si>
    <t>Sigmofec virus UA08Rod_20100</t>
  </si>
  <si>
    <t>UA08Rod_20100</t>
  </si>
  <si>
    <t>OM869486</t>
  </si>
  <si>
    <t>Ulaervirus</t>
  </si>
  <si>
    <t>Sigmofec virus UA08Rod_19468</t>
  </si>
  <si>
    <t>UA08Rod_19468</t>
  </si>
  <si>
    <t>OM869487</t>
  </si>
  <si>
    <t>Smacoviridae CM13_Smaco</t>
  </si>
  <si>
    <t>CM13_Smaco</t>
  </si>
  <si>
    <t>OQ198240</t>
  </si>
  <si>
    <t>Genomoviridae sp. C021765</t>
  </si>
  <si>
    <t>C021765</t>
  </si>
  <si>
    <t>MH782430</t>
  </si>
  <si>
    <t>CRESS virus sp. UJSL004</t>
  </si>
  <si>
    <t>UJSL004</t>
  </si>
  <si>
    <t>MN621481</t>
  </si>
  <si>
    <t>Smacoviridae sp. 215Smaco-1</t>
  </si>
  <si>
    <t>215Smaco-1</t>
  </si>
  <si>
    <t>OM892365</t>
  </si>
  <si>
    <t>Smacoviridae D33_Smaco_3</t>
  </si>
  <si>
    <t>D33_Smaco_3</t>
  </si>
  <si>
    <t>OQ198251</t>
  </si>
  <si>
    <t>Smacoviridae sp. 132Smaco-3</t>
  </si>
  <si>
    <t>132Smaco-3</t>
  </si>
  <si>
    <t>OM892344</t>
  </si>
  <si>
    <t>Smacoviridae sp. 195Smaco</t>
  </si>
  <si>
    <t>195Smaco</t>
  </si>
  <si>
    <t>OM892357</t>
  </si>
  <si>
    <t>Smacoviridae sp. 190Smaco</t>
  </si>
  <si>
    <t>190Smaco</t>
  </si>
  <si>
    <t>OM892356</t>
  </si>
  <si>
    <t>CRESS virus sp. UJSL002</t>
  </si>
  <si>
    <t>UJSL002</t>
  </si>
  <si>
    <t>MN621468</t>
  </si>
  <si>
    <t>Smacoviridae sp. 180Smaco</t>
  </si>
  <si>
    <t>180Smaco</t>
  </si>
  <si>
    <t>OM892355</t>
  </si>
  <si>
    <t>Smacoviridae sp. 172Smaco</t>
  </si>
  <si>
    <t>172Smaco</t>
  </si>
  <si>
    <t>OM892353</t>
  </si>
  <si>
    <t>Smacoviridae sp. w3chi091cir5</t>
  </si>
  <si>
    <t>w3chi091cir5</t>
  </si>
  <si>
    <t>MT138081</t>
  </si>
  <si>
    <t>Smacoviridae sp. w3chi090cir1</t>
  </si>
  <si>
    <t>w3chi090cir1</t>
  </si>
  <si>
    <t>MT138076</t>
  </si>
  <si>
    <t>Papio kindae associated smacovirus 1/ZM09-64</t>
  </si>
  <si>
    <t>1/ZM09-64</t>
  </si>
  <si>
    <t>LC386203</t>
  </si>
  <si>
    <t>Raccoon dog stool-associated smacovirus 3 CJY6</t>
  </si>
  <si>
    <t>3 CJY6</t>
  </si>
  <si>
    <t>MT457880</t>
  </si>
  <si>
    <t>Smacoviridae sp. 198Smaco</t>
  </si>
  <si>
    <t>198Smaco</t>
  </si>
  <si>
    <t>OM892358</t>
  </si>
  <si>
    <t>Cressdnaviricota sp. Y02-smal-02</t>
  </si>
  <si>
    <t>Y02-smal-02</t>
  </si>
  <si>
    <t>OM849239</t>
  </si>
  <si>
    <t>Chicken virus mg5_1345</t>
  </si>
  <si>
    <t>mg5_1345</t>
  </si>
  <si>
    <t>MN379594</t>
  </si>
  <si>
    <t>Chicken virus mg6_1197</t>
  </si>
  <si>
    <t>mg6_1197</t>
  </si>
  <si>
    <t>MN379595</t>
  </si>
  <si>
    <t>Unidentified circular ssDNA virus cg5862</t>
  </si>
  <si>
    <t>cg5862</t>
  </si>
  <si>
    <t>KU043448</t>
  </si>
  <si>
    <t>Smacoviridae sp. 167Smaco-2</t>
  </si>
  <si>
    <t>167Smaco-2</t>
  </si>
  <si>
    <t>OM892351</t>
  </si>
  <si>
    <t>CRESS virus sp. 17489x95_4644</t>
  </si>
  <si>
    <t>17489x95_4644</t>
  </si>
  <si>
    <t>MH111079</t>
  </si>
  <si>
    <t>CRESS virus sp. 17668x41_1812</t>
  </si>
  <si>
    <t>17668x41_1812</t>
  </si>
  <si>
    <t>MH111084</t>
  </si>
  <si>
    <t>CRESS virus sp. 17499x9_1430</t>
  </si>
  <si>
    <t>17499x9_1430</t>
  </si>
  <si>
    <t>MH111082</t>
  </si>
  <si>
    <t>GER2011</t>
  </si>
  <si>
    <t>JQ023166</t>
  </si>
  <si>
    <t>CRESS virus sp. 17489x12_563</t>
  </si>
  <si>
    <t>17489x12_563</t>
  </si>
  <si>
    <t>MH111074</t>
  </si>
  <si>
    <t>CRESS virus sp. 17489x27_1313</t>
  </si>
  <si>
    <t>17489x27_1313</t>
  </si>
  <si>
    <t>MH111114</t>
  </si>
  <si>
    <t>CRESS virus sp. 17668x7_933</t>
  </si>
  <si>
    <t>17668x7_933</t>
  </si>
  <si>
    <t>MH111086</t>
  </si>
  <si>
    <t>CRESS virus sp. 17489x57_911</t>
  </si>
  <si>
    <t>17489x57_911</t>
  </si>
  <si>
    <t>MH111090</t>
  </si>
  <si>
    <t>CRESS virus sp. 17489x90_2227</t>
  </si>
  <si>
    <t>17489x90_2227</t>
  </si>
  <si>
    <t>MH111116</t>
  </si>
  <si>
    <t>CRESS virus sp. 17668x34_1256</t>
  </si>
  <si>
    <t>17668x34_1256</t>
  </si>
  <si>
    <t>MH111107</t>
  </si>
  <si>
    <t>22084x8_1043</t>
  </si>
  <si>
    <t>MH500349</t>
  </si>
  <si>
    <t>Vulpes vulpes-associated smacovirus SMCO22</t>
  </si>
  <si>
    <t>SMCO22</t>
  </si>
  <si>
    <t>ON872782</t>
  </si>
  <si>
    <t>Smacoviridae sp. wbp226sma1</t>
  </si>
  <si>
    <t>wbp226sma1</t>
  </si>
  <si>
    <t>MT138084</t>
  </si>
  <si>
    <t>Cygnus columbianus Smacoviridae sp. swn66sma1</t>
  </si>
  <si>
    <t>swn66sma1</t>
  </si>
  <si>
    <t>MW183072</t>
  </si>
  <si>
    <t>Smacoviridae sp. w3chi091cir1</t>
  </si>
  <si>
    <t>w3chi091cir1</t>
  </si>
  <si>
    <t>MT138077</t>
  </si>
  <si>
    <t>Genomoviridae sp. C025899</t>
  </si>
  <si>
    <t>C025899</t>
  </si>
  <si>
    <t>MH782431</t>
  </si>
  <si>
    <t>Smacoviridae sp. 173Smaco</t>
  </si>
  <si>
    <t>173Smaco</t>
  </si>
  <si>
    <t>OM892354</t>
  </si>
  <si>
    <t>SmacoviridaeDogfe369C1</t>
  </si>
  <si>
    <t>OQ198181</t>
  </si>
  <si>
    <t>SmacoviridaeDogfe322C1</t>
  </si>
  <si>
    <t>OQ198185</t>
  </si>
  <si>
    <t>4 CJY7</t>
  </si>
  <si>
    <t>MT457881</t>
  </si>
  <si>
    <t>SmacoviridaeDogfe433C1</t>
  </si>
  <si>
    <t>OQ198178</t>
  </si>
  <si>
    <t>SmacoviridaeDogfe401C1</t>
  </si>
  <si>
    <t>OQ198179</t>
  </si>
  <si>
    <t>SmacoviridaeDogfe373C1</t>
  </si>
  <si>
    <t>OQ198180</t>
  </si>
  <si>
    <t>SmacoviridaeDogfe342C1</t>
  </si>
  <si>
    <t>OQ198183</t>
  </si>
  <si>
    <t>CJY4</t>
  </si>
  <si>
    <t>MT457878</t>
  </si>
  <si>
    <t>CJY5</t>
  </si>
  <si>
    <t>MT457879</t>
  </si>
  <si>
    <t>D3_464</t>
  </si>
  <si>
    <t>MW679000</t>
  </si>
  <si>
    <t>air (S)</t>
  </si>
  <si>
    <t>D3_567</t>
  </si>
  <si>
    <t>MW678996</t>
  </si>
  <si>
    <t>Smacoviridae D23_Smaco</t>
  </si>
  <si>
    <t>D23_Smaco</t>
  </si>
  <si>
    <t>OQ198247</t>
  </si>
  <si>
    <t>Smacoviridae D33_Smaco_2</t>
  </si>
  <si>
    <t>D33_Smaco_2</t>
  </si>
  <si>
    <t>OQ198250</t>
  </si>
  <si>
    <t>Macaca mulatta feces associated virus 1 cg6982</t>
  </si>
  <si>
    <t>cg6982</t>
  </si>
  <si>
    <t>KU043449</t>
  </si>
  <si>
    <t>Smacoviridae sp. 167Smaco-1</t>
  </si>
  <si>
    <t>167Smaco-1</t>
  </si>
  <si>
    <t>OM892350</t>
  </si>
  <si>
    <t>Smacoviridae sp. 171Smaco</t>
  </si>
  <si>
    <t>171Smaco</t>
  </si>
  <si>
    <t>OM892352</t>
  </si>
  <si>
    <t>Smacoviridae sp. 164Smaco-1</t>
  </si>
  <si>
    <t>164Smaco-1</t>
  </si>
  <si>
    <t>OM892349</t>
  </si>
  <si>
    <t>Chrysolophus pictus Smacoviridae sp. gps222sma2</t>
  </si>
  <si>
    <t>gps222sma2</t>
  </si>
  <si>
    <t>MW183070</t>
  </si>
  <si>
    <t>Pavo cristatus Smacoviridae sp. blp211sma3</t>
  </si>
  <si>
    <t>blp211sma3</t>
  </si>
  <si>
    <t>MW183073</t>
  </si>
  <si>
    <t>Chrysolophus pictus Smacoviridae sp. gps222sma6</t>
  </si>
  <si>
    <t>gps222sma6</t>
  </si>
  <si>
    <t>MW183071</t>
  </si>
  <si>
    <t>Smacoviridae sp. 207Smaco</t>
  </si>
  <si>
    <t>207Smaco</t>
  </si>
  <si>
    <t>OM892362</t>
  </si>
  <si>
    <t>Gredzevirales</t>
  </si>
  <si>
    <t>Gandrviridae</t>
  </si>
  <si>
    <t>Atripovirus</t>
  </si>
  <si>
    <t>CRESS virus sp. ctdb796</t>
  </si>
  <si>
    <t>ctdb796</t>
  </si>
  <si>
    <t>MH617332</t>
  </si>
  <si>
    <t>Meliavirus</t>
  </si>
  <si>
    <t>CRESS virus sp. ctin15</t>
  </si>
  <si>
    <t>ctin15</t>
  </si>
  <si>
    <t>MN582096</t>
  </si>
  <si>
    <t>Oreadivirus</t>
  </si>
  <si>
    <t>CRESS virus sp. ctJ1A291</t>
  </si>
  <si>
    <t>ctJ1A291</t>
  </si>
  <si>
    <t>MW202570</t>
  </si>
  <si>
    <t>Oreiadivirus</t>
  </si>
  <si>
    <t>CRESS virus sp. ctOGJ943</t>
  </si>
  <si>
    <t>ctOGJ943</t>
  </si>
  <si>
    <t>MW202822</t>
  </si>
  <si>
    <t>Satyrivirus</t>
  </si>
  <si>
    <t>Lake Sarah-associated circular virus-28</t>
  </si>
  <si>
    <t>LSaCV-28-LSLA-2013</t>
  </si>
  <si>
    <t>KP153453</t>
  </si>
  <si>
    <t>Sthenivirus</t>
  </si>
  <si>
    <t>CRESS virus sp. ctce741</t>
  </si>
  <si>
    <t>ctce741</t>
  </si>
  <si>
    <t>MH617353</t>
  </si>
  <si>
    <t>Thisbivirus</t>
  </si>
  <si>
    <t>CRESS virus sp. ctnuI873</t>
  </si>
  <si>
    <t>ctnuI873</t>
  </si>
  <si>
    <t>MW202729</t>
  </si>
  <si>
    <t>CRESS virus sp. ctCcl689</t>
  </si>
  <si>
    <t>ctCcl689</t>
  </si>
  <si>
    <t>MW202851</t>
  </si>
  <si>
    <t>Ouroboviridae</t>
  </si>
  <si>
    <t>Aretevirus</t>
  </si>
  <si>
    <t>I0085A5</t>
  </si>
  <si>
    <t>KR528556</t>
  </si>
  <si>
    <t>I0084</t>
  </si>
  <si>
    <t>KR528554</t>
  </si>
  <si>
    <t>Abbotsbury/A/2016</t>
  </si>
  <si>
    <t>MW588088</t>
  </si>
  <si>
    <t>Boebeisivirus</t>
  </si>
  <si>
    <t>Circoviridae sp. ctMfu914</t>
  </si>
  <si>
    <t>ctMfu914</t>
  </si>
  <si>
    <t>MW202799</t>
  </si>
  <si>
    <t>Circoviridae sp. ctbg280</t>
  </si>
  <si>
    <t>ctbg280</t>
  </si>
  <si>
    <t>MH617165</t>
  </si>
  <si>
    <t>Demetevirus</t>
  </si>
  <si>
    <t>CRESS virus sp. ctcg236</t>
  </si>
  <si>
    <t>ctcg236</t>
  </si>
  <si>
    <t>MH616684</t>
  </si>
  <si>
    <t>Trichosanthes kirilowii CRESS virus pt111-nan-3</t>
  </si>
  <si>
    <t>pt111-nan-3</t>
  </si>
  <si>
    <t>MN891801</t>
  </si>
  <si>
    <t>Doliovirus</t>
  </si>
  <si>
    <t>Circoviridae sp. ctda242</t>
  </si>
  <si>
    <t>ctda242</t>
  </si>
  <si>
    <t>MH616757</t>
  </si>
  <si>
    <t>Dorisivirus</t>
  </si>
  <si>
    <t>Aiptasia sp. sea anemone associated circular virus I0007C3</t>
  </si>
  <si>
    <t>I0007C3</t>
  </si>
  <si>
    <t>KR528545</t>
  </si>
  <si>
    <t>Delphin virus 2 M3_2163_2086</t>
  </si>
  <si>
    <t>M3_2163_2086</t>
  </si>
  <si>
    <t>MW562325</t>
  </si>
  <si>
    <t>Eurynomevirus</t>
  </si>
  <si>
    <t>CRESS virus sp. ctii88</t>
  </si>
  <si>
    <t>ctii88</t>
  </si>
  <si>
    <t>MH617336</t>
  </si>
  <si>
    <t>Gorgovirus</t>
  </si>
  <si>
    <t>MW588087</t>
  </si>
  <si>
    <t>Heravirus</t>
  </si>
  <si>
    <t>Farfantepenaeus duorarum pink shrimp associated circular virus I0066</t>
  </si>
  <si>
    <t>I0066</t>
  </si>
  <si>
    <t>KR528552</t>
  </si>
  <si>
    <t>Horusivirus</t>
  </si>
  <si>
    <t>Arizlama virus AZLM_927</t>
  </si>
  <si>
    <t>AZLM_927</t>
  </si>
  <si>
    <t>MW697481</t>
  </si>
  <si>
    <t>CRESS virus sp. fmg067cir4</t>
  </si>
  <si>
    <t>fmg067cir4</t>
  </si>
  <si>
    <t>MN928942</t>
  </si>
  <si>
    <t>gpci002</t>
  </si>
  <si>
    <t>MF327574</t>
  </si>
  <si>
    <t>Ioniavirus</t>
  </si>
  <si>
    <t>Callinectes ornatus blue crab associated circular virus I0054</t>
  </si>
  <si>
    <t>I0054</t>
  </si>
  <si>
    <t>KR528549</t>
  </si>
  <si>
    <t>Farfantepenaeus duorarum pink shrimp associated circular virus I0069</t>
  </si>
  <si>
    <t>I0069</t>
  </si>
  <si>
    <t>KR528553</t>
  </si>
  <si>
    <t>Kadmovirus</t>
  </si>
  <si>
    <t>CRESS virus sp. zftfla02cir9 genomic sequence</t>
  </si>
  <si>
    <t>zftfla02cir9</t>
  </si>
  <si>
    <t>MT138059</t>
  </si>
  <si>
    <t>Kreonivirus</t>
  </si>
  <si>
    <t>MW588082</t>
  </si>
  <si>
    <t>Circoviridae sp. ctch688</t>
  </si>
  <si>
    <t>ctch688</t>
  </si>
  <si>
    <t>MH648934</t>
  </si>
  <si>
    <t>Lamposivirus</t>
  </si>
  <si>
    <t>Circoviridae sp. ct7MN831</t>
  </si>
  <si>
    <t>ct7MN831</t>
  </si>
  <si>
    <t>MW202684</t>
  </si>
  <si>
    <t>Gammarus sp. amphipod associated circular virus I0153</t>
  </si>
  <si>
    <t>I0153</t>
  </si>
  <si>
    <t>KR528561</t>
  </si>
  <si>
    <t>Mantiovirus</t>
  </si>
  <si>
    <t>Mytilus sp. clam associated circular virus I0169</t>
  </si>
  <si>
    <t>I0169</t>
  </si>
  <si>
    <t>KR528562</t>
  </si>
  <si>
    <t>MW588078</t>
  </si>
  <si>
    <t>Naiadivirus</t>
  </si>
  <si>
    <t>Circoviridae sp. ctk92474</t>
  </si>
  <si>
    <t>ctk92474</t>
  </si>
  <si>
    <t>MW202635</t>
  </si>
  <si>
    <t>Circoviridae sp. ctVGY598</t>
  </si>
  <si>
    <t>ctVGY598</t>
  </si>
  <si>
    <t>MW202688</t>
  </si>
  <si>
    <t>Circoviridae sp. ct2da291</t>
  </si>
  <si>
    <t>ct2da291</t>
  </si>
  <si>
    <t>MW202695</t>
  </si>
  <si>
    <t>Otosivirus</t>
  </si>
  <si>
    <t>CRESS virus sp. ct6pe1</t>
  </si>
  <si>
    <t>ct6pe1</t>
  </si>
  <si>
    <t>MN582106</t>
  </si>
  <si>
    <t>Patroklovirus</t>
  </si>
  <si>
    <t>GOM00443</t>
  </si>
  <si>
    <t>JX904231</t>
  </si>
  <si>
    <t>Perimedevirus</t>
  </si>
  <si>
    <t>SF01_308</t>
  </si>
  <si>
    <t>MK433220</t>
  </si>
  <si>
    <t>Peronelivirus</t>
  </si>
  <si>
    <t>Circoviridae sp. ctcg564</t>
  </si>
  <si>
    <t>ctcg564</t>
  </si>
  <si>
    <t>MH649155</t>
  </si>
  <si>
    <t>Palaemonetes intermedius brackish grass shrimp associated circular virus I0059</t>
  </si>
  <si>
    <t>I0059</t>
  </si>
  <si>
    <t>KR528551</t>
  </si>
  <si>
    <t>Persevirus</t>
  </si>
  <si>
    <t>Forsythia suspensa CRESS virus pt110-nan-2</t>
  </si>
  <si>
    <t>pt110-nan-2</t>
  </si>
  <si>
    <t>MN891794</t>
  </si>
  <si>
    <t>CRESS virus sp. fla04cir2</t>
  </si>
  <si>
    <t>fla04cir2</t>
  </si>
  <si>
    <t>MN928940</t>
  </si>
  <si>
    <t>CRESS virus sp. zftfla02cir5 genomic sequence</t>
  </si>
  <si>
    <t>zftfla02cir5</t>
  </si>
  <si>
    <t>MT138055</t>
  </si>
  <si>
    <t>CRESS virus sp. cthh024</t>
  </si>
  <si>
    <t>cthh024</t>
  </si>
  <si>
    <t>MH649214</t>
  </si>
  <si>
    <t>CRESS virus sp. ctba375</t>
  </si>
  <si>
    <t>ctba375</t>
  </si>
  <si>
    <t>MH617169</t>
  </si>
  <si>
    <t>Circoviridae sp. ctbj92</t>
  </si>
  <si>
    <t>ctbj92</t>
  </si>
  <si>
    <t>MH617752</t>
  </si>
  <si>
    <t>Proteusivirus</t>
  </si>
  <si>
    <t>Circoviridae sp. ctda94</t>
  </si>
  <si>
    <t>ctda94</t>
  </si>
  <si>
    <t>MH617435</t>
  </si>
  <si>
    <t>Pylenevirus</t>
  </si>
  <si>
    <t>Avon-Heathcote Estuary associated circular virus 24</t>
  </si>
  <si>
    <t>AHEaCV-24-NZ-2183TU-2913</t>
  </si>
  <si>
    <t>KM874354</t>
  </si>
  <si>
    <t>Pythorivirus</t>
  </si>
  <si>
    <t>Circoviridae sp. ctih115</t>
  </si>
  <si>
    <t>ctih115</t>
  </si>
  <si>
    <t>MH617051</t>
  </si>
  <si>
    <t>Rhipevirus</t>
  </si>
  <si>
    <t>Didemnum sp. Sea Squirt associated virus I0026A7</t>
  </si>
  <si>
    <t>I0026A7</t>
  </si>
  <si>
    <t>KR528547</t>
  </si>
  <si>
    <t>Stentovirus</t>
  </si>
  <si>
    <t>BtRh-CV-7/Tibet2013</t>
  </si>
  <si>
    <t>KJ641738</t>
  </si>
  <si>
    <t>Styxivirus</t>
  </si>
  <si>
    <t>Ecklonia radiata-associated virus 10</t>
  </si>
  <si>
    <t>EcRV10</t>
  </si>
  <si>
    <t>MG740721</t>
  </si>
  <si>
    <t>Tantalovirus</t>
  </si>
  <si>
    <t>Circoviridae sp. ctch025</t>
  </si>
  <si>
    <t>ctch025</t>
  </si>
  <si>
    <t>MH649205</t>
  </si>
  <si>
    <t>Taphiavirus</t>
  </si>
  <si>
    <t>Circoviridae sp. ctdb89</t>
  </si>
  <si>
    <t>ctdb89</t>
  </si>
  <si>
    <t>MH617453</t>
  </si>
  <si>
    <t>Telemovirus</t>
  </si>
  <si>
    <t>CRESS virus sp. ctch860</t>
  </si>
  <si>
    <t>ctch860</t>
  </si>
  <si>
    <t>MH616801</t>
  </si>
  <si>
    <t>Tethyvirus</t>
  </si>
  <si>
    <t>CRESS virus sp. ctce130</t>
  </si>
  <si>
    <t>ctce130</t>
  </si>
  <si>
    <t>MH617703</t>
  </si>
  <si>
    <t>Ctenophore-associated circular virus 2</t>
  </si>
  <si>
    <t>I1098</t>
  </si>
  <si>
    <t>KT945163</t>
  </si>
  <si>
    <t>Jormunvirales</t>
  </si>
  <si>
    <t>Draupnirviridae</t>
  </si>
  <si>
    <t>Armipotenivirus</t>
  </si>
  <si>
    <t>Circoviridae TaCV2</t>
  </si>
  <si>
    <t>TaCV2</t>
  </si>
  <si>
    <t>MF804498</t>
  </si>
  <si>
    <t>Asperivirus</t>
  </si>
  <si>
    <t>Lake Sarah-associated circular virus-16</t>
  </si>
  <si>
    <t>LSaCV-16-LSGA-2013</t>
  </si>
  <si>
    <t>KP153423</t>
  </si>
  <si>
    <t>Lake Sarah-associated circular virus-10</t>
  </si>
  <si>
    <t>LSaCV-10-LSSO-2013</t>
  </si>
  <si>
    <t>KP153408</t>
  </si>
  <si>
    <t>Atroxivirus</t>
  </si>
  <si>
    <t>Avon-Heathcote Estuary associated circular virus 4</t>
  </si>
  <si>
    <t>AHEaCV-4-NZ-3049C3-2012</t>
  </si>
  <si>
    <t>KM874300</t>
  </si>
  <si>
    <t>Audacivirus</t>
  </si>
  <si>
    <t>D3_88</t>
  </si>
  <si>
    <t>MW678988</t>
  </si>
  <si>
    <t>Audaxivirus</t>
  </si>
  <si>
    <t>Circoviridae batCV-SC703</t>
  </si>
  <si>
    <t>batCV-SC703</t>
  </si>
  <si>
    <t>JN857329</t>
  </si>
  <si>
    <t>BtMf-CV-1/GD2012</t>
  </si>
  <si>
    <t>KJ641718</t>
  </si>
  <si>
    <t>BatACV/Mm1/Switzerland/2019</t>
  </si>
  <si>
    <t>MT815980</t>
  </si>
  <si>
    <t>Circovirus sp. Bb1/Hun/2013</t>
  </si>
  <si>
    <t>Bb1/Hun/2013</t>
  </si>
  <si>
    <t>KY302869</t>
  </si>
  <si>
    <t>Bellicusivirus</t>
  </si>
  <si>
    <t>CRESS virus sp. hftoti49cir2</t>
  </si>
  <si>
    <t>hftoti49cir2</t>
  </si>
  <si>
    <t>MN928938</t>
  </si>
  <si>
    <t>Belligerivirus</t>
  </si>
  <si>
    <t>Circovirus-like genome DCCV-10</t>
  </si>
  <si>
    <t>DCCV-10</t>
  </si>
  <si>
    <t>KT149403</t>
  </si>
  <si>
    <t>Citaivirus</t>
  </si>
  <si>
    <t>CRESS virus sp. zftfla02cir6</t>
  </si>
  <si>
    <t>zftfla02cir6</t>
  </si>
  <si>
    <t>MT138056</t>
  </si>
  <si>
    <t>Citataivirus</t>
  </si>
  <si>
    <t>SI00078</t>
  </si>
  <si>
    <t>JX904407</t>
  </si>
  <si>
    <t>CRESS virus sp. ctbj245</t>
  </si>
  <si>
    <t>ctbj245</t>
  </si>
  <si>
    <t>MH617523</t>
  </si>
  <si>
    <t>Citiorivirus</t>
  </si>
  <si>
    <t>Dragonfly larvae associated circular virus-9</t>
  </si>
  <si>
    <t>DflaCV-9_NZ-PG10-LD</t>
  </si>
  <si>
    <t>KF738883</t>
  </si>
  <si>
    <t>Durusivirus</t>
  </si>
  <si>
    <t>Odonata-associated circular virus-20</t>
  </si>
  <si>
    <t>OdasCV-20-US-718DFS-12</t>
  </si>
  <si>
    <t>KM598406</t>
  </si>
  <si>
    <t>Ferullusivirus</t>
  </si>
  <si>
    <t>Circoviridae TM-6c</t>
  </si>
  <si>
    <t>TM-6c</t>
  </si>
  <si>
    <t>HM228875</t>
  </si>
  <si>
    <t>MW588080</t>
  </si>
  <si>
    <t>BtMf-CV/HeN2013</t>
  </si>
  <si>
    <t>KJ641722</t>
  </si>
  <si>
    <t>Fervidivirus</t>
  </si>
  <si>
    <t>CRESS virus sp. ctaE5783</t>
  </si>
  <si>
    <t>ctaE5783</t>
  </si>
  <si>
    <t>MW202677</t>
  </si>
  <si>
    <t>Funestivirus</t>
  </si>
  <si>
    <t>SI03931</t>
  </si>
  <si>
    <t>JX904581</t>
  </si>
  <si>
    <t>CRESS virus sp. ctbb692</t>
  </si>
  <si>
    <t>ctbb692</t>
  </si>
  <si>
    <t>MH649188</t>
  </si>
  <si>
    <t>Incitativirus</t>
  </si>
  <si>
    <t>CRESS virus sp. ctbd540</t>
  </si>
  <si>
    <t>ctbd540</t>
  </si>
  <si>
    <t>MH616869</t>
  </si>
  <si>
    <t>Incitatusivirus</t>
  </si>
  <si>
    <t>Crucivirus sp. Crucivirus-256 001509_virusbaton</t>
  </si>
  <si>
    <t>Crucivirus-256 001509_virusbaton</t>
  </si>
  <si>
    <t>MT478515</t>
  </si>
  <si>
    <t>Malificivirus</t>
  </si>
  <si>
    <t>Crucivirus sp. Crucivirus-230 001540_virusbaton</t>
  </si>
  <si>
    <t>Crucivirus-230 001540_virusbaton</t>
  </si>
  <si>
    <t>MT478521</t>
  </si>
  <si>
    <t>Mordaxivirus</t>
  </si>
  <si>
    <t>CRESS virus sp. ctSa3636</t>
  </si>
  <si>
    <t>ctSa3636</t>
  </si>
  <si>
    <t>MW202764</t>
  </si>
  <si>
    <t>Nervillivirus</t>
  </si>
  <si>
    <t>CG178</t>
  </si>
  <si>
    <t>KY487847</t>
  </si>
  <si>
    <t>Nocentianivirus</t>
  </si>
  <si>
    <t>G276</t>
  </si>
  <si>
    <t>KY487945</t>
  </si>
  <si>
    <t>Periculosovirus</t>
  </si>
  <si>
    <t>CRESS virus sp. thr095cir1nc</t>
  </si>
  <si>
    <t>thr095cir1nc</t>
  </si>
  <si>
    <t>MT138071</t>
  </si>
  <si>
    <t>BatCV/WD</t>
  </si>
  <si>
    <t>MT734813</t>
  </si>
  <si>
    <t>Pollentivirus</t>
  </si>
  <si>
    <t>BtPa-CV-3/NX2013</t>
  </si>
  <si>
    <t>KJ641729</t>
  </si>
  <si>
    <t>Potensivirus</t>
  </si>
  <si>
    <t>CG185</t>
  </si>
  <si>
    <t>KY487854</t>
  </si>
  <si>
    <t>Properatisvirus</t>
  </si>
  <si>
    <t>Circoviridae sp. ctcb18</t>
  </si>
  <si>
    <t>ctcb18</t>
  </si>
  <si>
    <t>MH617385</t>
  </si>
  <si>
    <t>SOG00160</t>
  </si>
  <si>
    <t>JX904075</t>
  </si>
  <si>
    <t>Rapidusivirus</t>
  </si>
  <si>
    <t>Avon-Heathcote Estuary associated circular virus 9</t>
  </si>
  <si>
    <t>AHEaCV-9-NZ-3131SG-2012</t>
  </si>
  <si>
    <t>KM874318</t>
  </si>
  <si>
    <t>Robaratusivirus</t>
  </si>
  <si>
    <t>Circoviridae sp. ctbc359</t>
  </si>
  <si>
    <t>tbc359</t>
  </si>
  <si>
    <t>MH616644</t>
  </si>
  <si>
    <t>PcaCV4</t>
  </si>
  <si>
    <t>KX246262</t>
  </si>
  <si>
    <t>Roburiusivirus</t>
  </si>
  <si>
    <t>Avon-Heathcote Estuary associated circular virus 2</t>
  </si>
  <si>
    <t>AHEaCV-2-NZ-3024C3-2012</t>
  </si>
  <si>
    <t>KM874294</t>
  </si>
  <si>
    <t>Strenuaivirus</t>
  </si>
  <si>
    <t>FL1-NZ37-2010</t>
  </si>
  <si>
    <t>JX185418</t>
  </si>
  <si>
    <t>Strenuusivirus</t>
  </si>
  <si>
    <t>CRESS virus sp. ctee590</t>
  </si>
  <si>
    <t>ctee590</t>
  </si>
  <si>
    <t>MH648972</t>
  </si>
  <si>
    <t>Circoviridae sp. ctce509</t>
  </si>
  <si>
    <t>ctce509</t>
  </si>
  <si>
    <t>MH617406</t>
  </si>
  <si>
    <t>Tetricillivirus</t>
  </si>
  <si>
    <t>MAR1_1_1900</t>
  </si>
  <si>
    <t>MT181546</t>
  </si>
  <si>
    <t>Torentivirus</t>
  </si>
  <si>
    <t>Crucivirus-295 BS_189</t>
  </si>
  <si>
    <t>BS_189</t>
  </si>
  <si>
    <t>MT263594</t>
  </si>
  <si>
    <t>CRESS virus sp. ctef39</t>
  </si>
  <si>
    <t>ctef39</t>
  </si>
  <si>
    <t>MK012508</t>
  </si>
  <si>
    <t>Crucivirus sp. Crucivirus-136 001794_virusbaton</t>
  </si>
  <si>
    <t>Crucivirus-136 001794_virusbaton</t>
  </si>
  <si>
    <t>MT478552</t>
  </si>
  <si>
    <t>Crucivirus sp. Crucivirus-235 001534_virusbaton</t>
  </si>
  <si>
    <t>Crucivirus-235 001534_virusbaton</t>
  </si>
  <si>
    <t>MT478518</t>
  </si>
  <si>
    <t>Crucivirus sp. Crucivirus-217 001577_virusbaton</t>
  </si>
  <si>
    <t>Crucivirus-217 001577_virusbaton</t>
  </si>
  <si>
    <t>MT478527</t>
  </si>
  <si>
    <t>Crucivirus sp. Crucivirus-231 001539_virusbaton</t>
  </si>
  <si>
    <t>Crucivirus-231 001539_virusbaton</t>
  </si>
  <si>
    <t>MT478520</t>
  </si>
  <si>
    <t>Crucivirus-184 CHIVOP3_758</t>
  </si>
  <si>
    <t>CHIVOP3_758</t>
  </si>
  <si>
    <t>MT263533</t>
  </si>
  <si>
    <t>Valentivirus</t>
  </si>
  <si>
    <t>B51</t>
  </si>
  <si>
    <t>KM972726</t>
  </si>
  <si>
    <t>BatACV/Rh1/Switzerland/2019</t>
  </si>
  <si>
    <t>MT815981</t>
  </si>
  <si>
    <t>Tadarida brasiliensis associated circovirus 1 MAVG-10</t>
  </si>
  <si>
    <t>MAVG-10</t>
  </si>
  <si>
    <t>OL704835</t>
  </si>
  <si>
    <t>Culex circovirus-like virus CCirVL/Shasta</t>
  </si>
  <si>
    <t>CCirVL/Shasta</t>
  </si>
  <si>
    <t>MH188041</t>
  </si>
  <si>
    <t>Validivirus</t>
  </si>
  <si>
    <t>CRESS virus sp. ctIfk793</t>
  </si>
  <si>
    <t>ctIfk793</t>
  </si>
  <si>
    <t>MW202896</t>
  </si>
  <si>
    <t>Vegetinivirus</t>
  </si>
  <si>
    <t>POA/2012/V</t>
  </si>
  <si>
    <t>KM382272</t>
  </si>
  <si>
    <t>BatCV/BB</t>
  </si>
  <si>
    <t>MT734816</t>
  </si>
  <si>
    <t>Vegetivirus</t>
  </si>
  <si>
    <t>CG197</t>
  </si>
  <si>
    <t>KY487866</t>
  </si>
  <si>
    <t>Crucivirus sp. Crucivirus-130 001815_virusbaton</t>
  </si>
  <si>
    <t>Crucivirus-130 001815_virusbaton</t>
  </si>
  <si>
    <t>MT478555</t>
  </si>
  <si>
    <t>Vehemenivirus</t>
  </si>
  <si>
    <t>Circovirus sp. yc-16</t>
  </si>
  <si>
    <t>yc-16</t>
  </si>
  <si>
    <t>KY312555</t>
  </si>
  <si>
    <t>Velocianivirus</t>
  </si>
  <si>
    <t>Circovirus-like genome DHCV-4</t>
  </si>
  <si>
    <t>DHCV-4</t>
  </si>
  <si>
    <t>KT149410</t>
  </si>
  <si>
    <t>Veloxivirus</t>
  </si>
  <si>
    <t>CRESS virus sp. ctfb748</t>
  </si>
  <si>
    <t>ctfb748</t>
  </si>
  <si>
    <t>MH649090</t>
  </si>
  <si>
    <t>Violenivirus</t>
  </si>
  <si>
    <t>Circoviridae sp. ctbe120</t>
  </si>
  <si>
    <t>ctbe120</t>
  </si>
  <si>
    <t>MH617295</t>
  </si>
  <si>
    <t>Circoviridae sp. ctcb567</t>
  </si>
  <si>
    <t>ctcb567</t>
  </si>
  <si>
    <t>MH617708</t>
  </si>
  <si>
    <t>Viratusivirus</t>
  </si>
  <si>
    <t>MAG: Arizlama virus AZLM_985</t>
  </si>
  <si>
    <t>AZLM_985</t>
  </si>
  <si>
    <t>MW697472</t>
  </si>
  <si>
    <t>Virilianivirus</t>
  </si>
  <si>
    <t>Odonata-associated circular virus-19</t>
  </si>
  <si>
    <t>OdasCV-19-US-1604SC1-12</t>
  </si>
  <si>
    <t>KM598405</t>
  </si>
  <si>
    <t>Volantivirus</t>
  </si>
  <si>
    <t>Crucivirus sp. Crucivirus-138 001787_virusbaton</t>
  </si>
  <si>
    <t>Crucivirus-138 001787_virusbaton</t>
  </si>
  <si>
    <t>MT478550</t>
  </si>
  <si>
    <t>Crucivirus-523 GP1_93596</t>
  </si>
  <si>
    <t>GP1_93596</t>
  </si>
  <si>
    <t>MT263655</t>
  </si>
  <si>
    <t>Anicreviridae</t>
  </si>
  <si>
    <t>Baranavirus</t>
  </si>
  <si>
    <t>Delphin virus 1</t>
  </si>
  <si>
    <t>3_2016_1939</t>
  </si>
  <si>
    <t>MW562321</t>
  </si>
  <si>
    <t>Ketkevirus</t>
  </si>
  <si>
    <t>BC_I1608_E1</t>
  </si>
  <si>
    <t>MH545533</t>
  </si>
  <si>
    <t>Kopavirus</t>
  </si>
  <si>
    <t>Cyanoramphus nest associated circular X DNA virus</t>
  </si>
  <si>
    <t>CynNCXV</t>
  </si>
  <si>
    <t>JX908739</t>
  </si>
  <si>
    <t>vertebrates (S)</t>
  </si>
  <si>
    <t>Manawavirus</t>
  </si>
  <si>
    <t>DflaCV-10_NZ-XZ1-LH</t>
  </si>
  <si>
    <t>KF738885</t>
  </si>
  <si>
    <t>Otevirus</t>
  </si>
  <si>
    <t>Palaemonetes sp. common grass shrimp associated circular virus I0006H</t>
  </si>
  <si>
    <t>I0006H</t>
  </si>
  <si>
    <t>KR528568</t>
  </si>
  <si>
    <t>Patavirus</t>
  </si>
  <si>
    <t>Lake Sarah-associated circular virus-11</t>
  </si>
  <si>
    <t>LSaCV-11-LSMU-2013</t>
  </si>
  <si>
    <t>KP153409</t>
  </si>
  <si>
    <t>Pekavirus</t>
  </si>
  <si>
    <t>Pacific flying fox faeces associated circular DNA virus-3</t>
  </si>
  <si>
    <t>Tbat_38855</t>
  </si>
  <si>
    <t>KT732818</t>
  </si>
  <si>
    <t>Rakkovirus</t>
  </si>
  <si>
    <t>Littorina sp. associated circular virus I0041</t>
  </si>
  <si>
    <t>I0041</t>
  </si>
  <si>
    <t>KR528548</t>
  </si>
  <si>
    <t>Uewvirus</t>
  </si>
  <si>
    <t>CRESS virus sp. ctcc62</t>
  </si>
  <si>
    <t>ctcc62</t>
  </si>
  <si>
    <t>MH617188</t>
  </si>
  <si>
    <t>MVCDV</t>
  </si>
  <si>
    <t>G53</t>
  </si>
  <si>
    <t>Ringavirales</t>
  </si>
  <si>
    <t>Pecoviridae</t>
  </si>
  <si>
    <t>Amaruvirus</t>
  </si>
  <si>
    <t>Human circovirus VS6600022</t>
  </si>
  <si>
    <t>VS6600022</t>
  </si>
  <si>
    <t>KJ206566</t>
  </si>
  <si>
    <t>Pecovirus sp. CRESSV1-84-AMS-03 DNA</t>
  </si>
  <si>
    <t>CRESSV1-84-AMS-03</t>
  </si>
  <si>
    <t>LC708001</t>
  </si>
  <si>
    <t>CRESS virus sp. UJSL017</t>
  </si>
  <si>
    <t>UJSL017</t>
  </si>
  <si>
    <t>MN621476</t>
  </si>
  <si>
    <t>Capamivirus</t>
  </si>
  <si>
    <t>Circoviridae sp. ctia25</t>
  </si>
  <si>
    <t>ctia25</t>
  </si>
  <si>
    <t>MH616647</t>
  </si>
  <si>
    <t>Pecovirus sp. CRESSV1-94-AMS-01</t>
  </si>
  <si>
    <t>CRESSV1-94-AMS-01</t>
  </si>
  <si>
    <t>LC708004</t>
  </si>
  <si>
    <t>Cinchivirus</t>
  </si>
  <si>
    <t>Banfec virus 3 V16_S08a</t>
  </si>
  <si>
    <t>V16_S08a</t>
  </si>
  <si>
    <t>OQ599927</t>
  </si>
  <si>
    <t>Rodent circovirus RtBi-CV-1/FJ2015</t>
  </si>
  <si>
    <t>RtBi-CV-1/FJ2015</t>
  </si>
  <si>
    <t>KY370035</t>
  </si>
  <si>
    <t>Intivirus</t>
  </si>
  <si>
    <t>Unidentified circular ssDNA virus cg8094</t>
  </si>
  <si>
    <t>cg8094</t>
  </si>
  <si>
    <t>KU043425</t>
  </si>
  <si>
    <t>Human feces pecovirus PeCV-NI</t>
  </si>
  <si>
    <t>PeCV-NI</t>
  </si>
  <si>
    <t>KT600066</t>
  </si>
  <si>
    <t>Unidentified circular ssDNA virus V11B</t>
  </si>
  <si>
    <t>V11B</t>
  </si>
  <si>
    <t>MG571897</t>
  </si>
  <si>
    <t>Macochavirus</t>
  </si>
  <si>
    <t>Porcine associated circular DNA virus-3 P20_37_BR</t>
  </si>
  <si>
    <t>P20_37_BR</t>
  </si>
  <si>
    <t>MW601954</t>
  </si>
  <si>
    <t>Porcine associated circular DNA virus-2 P20_36_BR</t>
  </si>
  <si>
    <t>P20_36_BR</t>
  </si>
  <si>
    <t>MW601953</t>
  </si>
  <si>
    <t>Quillavirus</t>
  </si>
  <si>
    <t>Dromedary stool-associated circular ssDNA virus DcSCV_c1054</t>
  </si>
  <si>
    <t>DcSCV_c1054</t>
  </si>
  <si>
    <t>KM573766</t>
  </si>
  <si>
    <t>Tambotovirus</t>
  </si>
  <si>
    <t>Chicken virus mg8_273</t>
  </si>
  <si>
    <t>mg8_273</t>
  </si>
  <si>
    <t>MN379592</t>
  </si>
  <si>
    <t>Yaviravirus</t>
  </si>
  <si>
    <t>Unidentified circular ssDNA virus cg5269</t>
  </si>
  <si>
    <t>cg5269</t>
  </si>
  <si>
    <t>KU043424</t>
  </si>
  <si>
    <t>Arkenivirus</t>
  </si>
  <si>
    <t>Peromfec virus RodF7_30</t>
  </si>
  <si>
    <t>RodF7_30</t>
  </si>
  <si>
    <t>OM869657</t>
  </si>
  <si>
    <t>Beornivirus</t>
  </si>
  <si>
    <t>Peromfec virus RodF8_96</t>
  </si>
  <si>
    <t>RodF8_96</t>
  </si>
  <si>
    <t>OM869619</t>
  </si>
  <si>
    <t>Mallornivirus</t>
  </si>
  <si>
    <t>Dipodfec virus UA23Rod_5718</t>
  </si>
  <si>
    <t>UA23Rod_5718</t>
  </si>
  <si>
    <t>OM869600</t>
  </si>
  <si>
    <t>Mirkivirus</t>
  </si>
  <si>
    <t>Chicken virus mg5_2197</t>
  </si>
  <si>
    <t>mg5_2197</t>
  </si>
  <si>
    <t>MN379588</t>
  </si>
  <si>
    <t>Sindarvirus</t>
  </si>
  <si>
    <t>Virus sp. D3_1047</t>
  </si>
  <si>
    <t>D3_1047</t>
  </si>
  <si>
    <t>MW678879</t>
  </si>
  <si>
    <t>Virus sp. D10_11052</t>
  </si>
  <si>
    <t>D10_11052</t>
  </si>
  <si>
    <t>MW678882</t>
  </si>
  <si>
    <t>Thengelvirus</t>
  </si>
  <si>
    <t>Virus sp. D10_8234</t>
  </si>
  <si>
    <t>D10_8234</t>
  </si>
  <si>
    <t>MW678986</t>
  </si>
  <si>
    <t>Virus sp. D1_583</t>
  </si>
  <si>
    <t>D1_583</t>
  </si>
  <si>
    <t>MW678989</t>
  </si>
  <si>
    <t>Tirithivirus</t>
  </si>
  <si>
    <t>CRESS virus sp. ctbi77</t>
  </si>
  <si>
    <t>ctbi77</t>
  </si>
  <si>
    <t>MK012476</t>
  </si>
  <si>
    <t>Adamaviridae</t>
  </si>
  <si>
    <t>Andorivirus</t>
  </si>
  <si>
    <t>Circovirus-like genome DHCV-6</t>
  </si>
  <si>
    <t>DHCV-6</t>
  </si>
  <si>
    <t>KT149412</t>
  </si>
  <si>
    <t>McMurdo Ice Shelf pond-associated circular DNA virus-3</t>
  </si>
  <si>
    <t>alg49-39</t>
  </si>
  <si>
    <t>KJ547648</t>
  </si>
  <si>
    <t>Lake Sarah-associated circular virus-39</t>
  </si>
  <si>
    <t>LSaCV-39-LSGA-2013</t>
  </si>
  <si>
    <t>KP153485</t>
  </si>
  <si>
    <t>Caradhivirus</t>
  </si>
  <si>
    <t>Sewage-associated circular DNA virus-29</t>
  </si>
  <si>
    <t>SaCV-29_NZ-BS4325-2012</t>
  </si>
  <si>
    <t>KM821764</t>
  </si>
  <si>
    <t>Celebovirus</t>
  </si>
  <si>
    <t>Dragonfly larvae associated circular virus-3</t>
  </si>
  <si>
    <t>DflaCV-3-LSLA-2013</t>
  </si>
  <si>
    <t>KP153447</t>
  </si>
  <si>
    <t>Dolmedivirus</t>
  </si>
  <si>
    <t>KU043397</t>
  </si>
  <si>
    <t>Enedivirus</t>
  </si>
  <si>
    <t>Sewage-associated circular DNA virus-20</t>
  </si>
  <si>
    <t>SaCV-20_NZ-BS3900-2012</t>
  </si>
  <si>
    <t>KM821755</t>
  </si>
  <si>
    <t>Harfovirus</t>
  </si>
  <si>
    <t>Circovirus-like genome CB-A</t>
  </si>
  <si>
    <t>CB-A</t>
  </si>
  <si>
    <t>FJ959082</t>
  </si>
  <si>
    <t>Moriavirus</t>
  </si>
  <si>
    <t>Dromedary stool-associated circular ssDNA virus DcSCV_c1566</t>
  </si>
  <si>
    <t>DcSCV_c1566</t>
  </si>
  <si>
    <t>KM573776</t>
  </si>
  <si>
    <t>Dromedary stool-associated circular ssDNA virus DcSCV_c1422</t>
  </si>
  <si>
    <t>DcSCV_c1422</t>
  </si>
  <si>
    <t>KM573767</t>
  </si>
  <si>
    <t>Nimlovirus</t>
  </si>
  <si>
    <t>Pacific flying fox faeces associated circular DNA virus-6</t>
  </si>
  <si>
    <t>Tbat_H_77994</t>
  </si>
  <si>
    <t>KT732823</t>
  </si>
  <si>
    <t>Nurnevirus</t>
  </si>
  <si>
    <t>Pacific flying fox faeces associated circular DNA virus-4</t>
  </si>
  <si>
    <t>Tbat_29894</t>
  </si>
  <si>
    <t>KT732819</t>
  </si>
  <si>
    <t>Pelorivirus</t>
  </si>
  <si>
    <t>unidentified circular ssDNA virus cg_1467</t>
  </si>
  <si>
    <t>cg_1467</t>
  </si>
  <si>
    <t>KU043406</t>
  </si>
  <si>
    <t>Stoorivirus</t>
  </si>
  <si>
    <t>Dragonfly larvae associated circular virus-4</t>
  </si>
  <si>
    <t>DflaCV-4_NZ-PG3-LG</t>
  </si>
  <si>
    <t>KF738877</t>
  </si>
  <si>
    <t>Taravirus</t>
  </si>
  <si>
    <t>Circovirus-like genome DCCV-5</t>
  </si>
  <si>
    <t>DCCV-5</t>
  </si>
  <si>
    <t>KT149398</t>
  </si>
  <si>
    <t>Telperivirus</t>
  </si>
  <si>
    <t>Odonata-associated circular virus-13</t>
  </si>
  <si>
    <t>OdasCV-13-US-1591LM1-12</t>
  </si>
  <si>
    <t>KM598396</t>
  </si>
  <si>
    <t>Tharbavirus</t>
  </si>
  <si>
    <t>Lake Sarah-associated circular virus-38</t>
  </si>
  <si>
    <t>LSaCV-38-LSGA-2013</t>
  </si>
  <si>
    <t>KP153483</t>
  </si>
  <si>
    <t>Ulwavirus</t>
  </si>
  <si>
    <t>Lake Sarah-associated circular virus-32</t>
  </si>
  <si>
    <t>LSaCV-32-LSWO-2013</t>
  </si>
  <si>
    <t>KP153468</t>
  </si>
  <si>
    <t>Valarivirus</t>
  </si>
  <si>
    <t>Dragonfly circularisvirus</t>
  </si>
  <si>
    <t>TO-DF3E-2010</t>
  </si>
  <si>
    <t>JX185415</t>
  </si>
  <si>
    <t>Vanyarvirus</t>
  </si>
  <si>
    <t>Lake Sarah-associated circular virus-7</t>
  </si>
  <si>
    <t>LSaCV-7-LSSO-2013</t>
  </si>
  <si>
    <t>KP153404</t>
  </si>
  <si>
    <t>Diporeia sp. associated circular virus LM3487</t>
  </si>
  <si>
    <t>LM3487</t>
  </si>
  <si>
    <t>KC248416</t>
  </si>
  <si>
    <t>Zirakzivirus</t>
  </si>
  <si>
    <t>Pacific flying fox associated multicomponent virus</t>
  </si>
  <si>
    <t>Tbat_K_12099</t>
  </si>
  <si>
    <t>KT732816; KT732815; KT732817</t>
  </si>
  <si>
    <t>Kirkoviridae</t>
  </si>
  <si>
    <t>Aglavirus</t>
  </si>
  <si>
    <t>Po-Circo-like virus 21</t>
  </si>
  <si>
    <t>JF713716</t>
  </si>
  <si>
    <t>Denevirus</t>
  </si>
  <si>
    <t>Rodent circovirus RtRf-CV-1/YN2013</t>
  </si>
  <si>
    <t>RtRf-CV-1/YN2013</t>
  </si>
  <si>
    <t>KY370025</t>
  </si>
  <si>
    <t>Edravirus</t>
  </si>
  <si>
    <t>Raccoon dog stool-Circo-like_virus</t>
  </si>
  <si>
    <t>CJY10</t>
  </si>
  <si>
    <t>MT457884</t>
  </si>
  <si>
    <t>Halavirus</t>
  </si>
  <si>
    <t>Kirkovirus Equ1</t>
  </si>
  <si>
    <t>KR902498</t>
  </si>
  <si>
    <t>Irmovirus</t>
  </si>
  <si>
    <t>Circoviridae sp. ctcd13</t>
  </si>
  <si>
    <t>ctcd13</t>
  </si>
  <si>
    <t>MH617154</t>
  </si>
  <si>
    <t>Luinilvirus</t>
  </si>
  <si>
    <t>Rodent circovirus RtCb-CV-1/HeB2014</t>
  </si>
  <si>
    <t>RtCb-CV-1/HeB2014</t>
  </si>
  <si>
    <t>KY370030</t>
  </si>
  <si>
    <t>Melianvirus</t>
  </si>
  <si>
    <t>Po-Circo-like virus 51</t>
  </si>
  <si>
    <t>JF713719</t>
  </si>
  <si>
    <t>Po-Circo-like virus 41</t>
  </si>
  <si>
    <t>JF713718</t>
  </si>
  <si>
    <t>Porcine kirkovirus</t>
  </si>
  <si>
    <t>HNU-XX-2020</t>
  </si>
  <si>
    <t>OM095377</t>
  </si>
  <si>
    <t>Nessavirus</t>
  </si>
  <si>
    <t>Dromedary stool-associated circular ssDNA virus</t>
  </si>
  <si>
    <t>DcSCV_c1009</t>
  </si>
  <si>
    <t>KM573773</t>
  </si>
  <si>
    <t>Ossirvirus</t>
  </si>
  <si>
    <t>Kirkovirus sp. Kirkovirus-84-AMS-01</t>
  </si>
  <si>
    <t>Kirkovirus-84-AMS-01</t>
  </si>
  <si>
    <t>LC708032</t>
  </si>
  <si>
    <t>Yavannavirus</t>
  </si>
  <si>
    <t>Rodent circovirus RtAc-CV-1/GZ2015</t>
  </si>
  <si>
    <t>RtAc-CV-1/GZ2015</t>
  </si>
  <si>
    <t>KY370041</t>
  </si>
  <si>
    <t>Cirilivirus</t>
  </si>
  <si>
    <t>Circular ssDNA virus sp. cg6319</t>
  </si>
  <si>
    <t>cg6319</t>
  </si>
  <si>
    <t>KU043415</t>
  </si>
  <si>
    <t>Saturnivirales</t>
  </si>
  <si>
    <t>Kanorauviridae</t>
  </si>
  <si>
    <t>Chinseivirus</t>
  </si>
  <si>
    <t>Sewage-associated circular DNA virus-24</t>
  </si>
  <si>
    <t>SaCV-24_NZ-BS4091-2012</t>
  </si>
  <si>
    <t>KM821759</t>
  </si>
  <si>
    <t>Chiunvirus</t>
  </si>
  <si>
    <t>CRESS virus sp. hbl169cir1</t>
  </si>
  <si>
    <t>hbl169cir1</t>
  </si>
  <si>
    <t>MN928931</t>
  </si>
  <si>
    <t>CRESS virus sp. cra070cir1</t>
  </si>
  <si>
    <t>cra070cir1</t>
  </si>
  <si>
    <t>MN928928</t>
  </si>
  <si>
    <t>Giant panda circovirus 1 gpci001</t>
  </si>
  <si>
    <t>gpci001</t>
  </si>
  <si>
    <t>MF327573</t>
  </si>
  <si>
    <t>Blackfly DNA Virus 12 SF02_422</t>
  </si>
  <si>
    <t>SF02_422</t>
  </si>
  <si>
    <t>MK433226</t>
  </si>
  <si>
    <t>Uncultured marine virus clone SI00898</t>
  </si>
  <si>
    <t>SI00898</t>
  </si>
  <si>
    <t>JX904478</t>
  </si>
  <si>
    <t>Doseivirus</t>
  </si>
  <si>
    <t>Sewage-associated circular DNA virus-8</t>
  </si>
  <si>
    <t>SaCV-8_NZ-BS4075-2012</t>
  </si>
  <si>
    <t>KJ547632</t>
  </si>
  <si>
    <t>Kaiwanvirus</t>
  </si>
  <si>
    <t>CRESS virus sp. cte1G3</t>
  </si>
  <si>
    <t>cte1G3</t>
  </si>
  <si>
    <t>MN582056</t>
  </si>
  <si>
    <t>Sewage-associated circular DNA virus-16</t>
  </si>
  <si>
    <t>SaCV-16_NZ-BS3759-2012</t>
  </si>
  <si>
    <t>KM821751</t>
  </si>
  <si>
    <t>Kajamanuvirus</t>
  </si>
  <si>
    <t>CRESS virus sp. ctdb55</t>
  </si>
  <si>
    <t>ctdb55</t>
  </si>
  <si>
    <t>MK012494</t>
  </si>
  <si>
    <t>Antarctic virus COCH21_47</t>
  </si>
  <si>
    <t>COCH21_V_47</t>
  </si>
  <si>
    <t>MN328279</t>
  </si>
  <si>
    <t>Arizlama virus AZLM_719</t>
  </si>
  <si>
    <t>AZLM_719</t>
  </si>
  <si>
    <t>MW697525</t>
  </si>
  <si>
    <t>CRESS virus sp. ctbb55</t>
  </si>
  <si>
    <t>ctbb55</t>
  </si>
  <si>
    <t>MH617369</t>
  </si>
  <si>
    <t>Rodent stool-associated circular genome virus RodSCV_M-44</t>
  </si>
  <si>
    <t>RodSCV_M-44</t>
  </si>
  <si>
    <t>JF755408</t>
  </si>
  <si>
    <t>Kronovirus</t>
  </si>
  <si>
    <t>Lake Sarah-associated circular virus-49</t>
  </si>
  <si>
    <t>LSaCV-49-LSSO-2013</t>
  </si>
  <si>
    <t>KP153508</t>
  </si>
  <si>
    <t>Ninurtavirus</t>
  </si>
  <si>
    <t>CRESS virus sp. cta0f7</t>
  </si>
  <si>
    <t>cta0f7</t>
  </si>
  <si>
    <t>MN582083</t>
  </si>
  <si>
    <t>CRESS virus sp. ctbi59</t>
  </si>
  <si>
    <t>ctbi59</t>
  </si>
  <si>
    <t>MK012442</t>
  </si>
  <si>
    <t>Lake Sarah-associated circular virus-41</t>
  </si>
  <si>
    <t>LSaCV-41-LSCO-2013</t>
  </si>
  <si>
    <t>KP153494</t>
  </si>
  <si>
    <t>Dragonfly larvae associated circular virus-2</t>
  </si>
  <si>
    <t>DflaCV-2_NZ-PG8-LS</t>
  </si>
  <si>
    <t>KF738874</t>
  </si>
  <si>
    <t>Circovirus-like genome RW-E</t>
  </si>
  <si>
    <t>RW-E</t>
  </si>
  <si>
    <t>FJ959081</t>
  </si>
  <si>
    <t>CRESS virus sp. ctf7a5</t>
  </si>
  <si>
    <t>ctf7a5</t>
  </si>
  <si>
    <t>MN582084</t>
  </si>
  <si>
    <t>Arizlama virus AZLM_757</t>
  </si>
  <si>
    <t>AZLM_757</t>
  </si>
  <si>
    <t>MW697516</t>
  </si>
  <si>
    <t>Bat circovirus BtRh-CV-1/Tibet2013</t>
  </si>
  <si>
    <t>BtRh-CV-1/Tibet2013</t>
  </si>
  <si>
    <t>KJ641735</t>
  </si>
  <si>
    <t>CRESS virus sp. ctg8o776</t>
  </si>
  <si>
    <t>ctg8o776</t>
  </si>
  <si>
    <t>MW202638</t>
  </si>
  <si>
    <t>CRESS virus sp. ctci503</t>
  </si>
  <si>
    <t>ctci503</t>
  </si>
  <si>
    <t>MK032730</t>
  </si>
  <si>
    <t>Molossus molossus associated CRESSDNA virus MAVG-30</t>
  </si>
  <si>
    <t>MAVG-30</t>
  </si>
  <si>
    <t>OL704855</t>
  </si>
  <si>
    <t>Blackfly DNA Virus 15 SF02_403</t>
  </si>
  <si>
    <t>SF02_403</t>
  </si>
  <si>
    <t>MK433229</t>
  </si>
  <si>
    <t>CRESS virus sp. ctcf175</t>
  </si>
  <si>
    <t>ctcf175</t>
  </si>
  <si>
    <t>MH616738</t>
  </si>
  <si>
    <t>Circoviridae 18 LDMD-2013</t>
  </si>
  <si>
    <t>18 LDMD-2013</t>
  </si>
  <si>
    <t>KF133825</t>
  </si>
  <si>
    <t>Virus sp. D3_606</t>
  </si>
  <si>
    <t>D3_606</t>
  </si>
  <si>
    <t>MW678993</t>
  </si>
  <si>
    <t>CRESS virus sp. ctcg234</t>
  </si>
  <si>
    <t>ctcg234</t>
  </si>
  <si>
    <t>MH616769</t>
  </si>
  <si>
    <t>Sewage-associated circular DNA virus-6</t>
  </si>
  <si>
    <t>SaCV-6_NZ-BS4017-2012</t>
  </si>
  <si>
    <t>KJ547630</t>
  </si>
  <si>
    <t>Dragonfly larvae associated circular virus-1</t>
  </si>
  <si>
    <t>DflaCV-1_NZ-PG11-LD</t>
  </si>
  <si>
    <t>KF738873</t>
  </si>
  <si>
    <t>CRESS virus sp. ctczB4</t>
  </si>
  <si>
    <t>ctczB4</t>
  </si>
  <si>
    <t>MN582072</t>
  </si>
  <si>
    <t>Bat circovirus BtRh-CV-5/Tibet2013</t>
  </si>
  <si>
    <t>BtRh-CV-5/Tibet2013</t>
  </si>
  <si>
    <t>KJ641736</t>
  </si>
  <si>
    <t>Sewage-associated circular DNA virus-27</t>
  </si>
  <si>
    <t>SaCV-27_NZ-BS4103-2012</t>
  </si>
  <si>
    <t>KM821762</t>
  </si>
  <si>
    <t>Arizlama virus AZLM_25953</t>
  </si>
  <si>
    <t>AZLM_25953</t>
  </si>
  <si>
    <t>MW697552</t>
  </si>
  <si>
    <t>Sewage-associated circular DNA virus-7</t>
  </si>
  <si>
    <t>SaCV-7_NZ-BS3976-2012</t>
  </si>
  <si>
    <t>KJ547631</t>
  </si>
  <si>
    <t>Uncultured virus clone CG105</t>
  </si>
  <si>
    <t>CG10</t>
  </si>
  <si>
    <t>KY487776</t>
  </si>
  <si>
    <t>Phainonvirus</t>
  </si>
  <si>
    <t>Antarctic circular DNA molecule CAA_003_V_32</t>
  </si>
  <si>
    <t>CAA_003_V_32</t>
  </si>
  <si>
    <t>MN328267</t>
  </si>
  <si>
    <t>Capybara virus 33_cap3_6684</t>
  </si>
  <si>
    <t>cap3_6684</t>
  </si>
  <si>
    <t>MK570195</t>
  </si>
  <si>
    <t>Cressdnaviricota sp. 2020-AMS-TS DNA</t>
  </si>
  <si>
    <t>2020-AMS-TS</t>
  </si>
  <si>
    <t>LC671626</t>
  </si>
  <si>
    <t>unknown (S)</t>
  </si>
  <si>
    <t>Raagevirus</t>
  </si>
  <si>
    <t>Circoviridae sp. ctda199</t>
  </si>
  <si>
    <t>ctda199</t>
  </si>
  <si>
    <t>MH617563</t>
  </si>
  <si>
    <t>Sadornvirus</t>
  </si>
  <si>
    <t>Circovirus-like genome CB-B</t>
  </si>
  <si>
    <t>CB-B</t>
  </si>
  <si>
    <t>FJ959083</t>
  </si>
  <si>
    <t>Sagusvirus</t>
  </si>
  <si>
    <t>Circovirus sp. yc-15</t>
  </si>
  <si>
    <t>yc-15</t>
  </si>
  <si>
    <t>KY312554</t>
  </si>
  <si>
    <t>CRESS virus sp. ct0Vt4</t>
  </si>
  <si>
    <t>ct0Vt4</t>
  </si>
  <si>
    <t>MN582110</t>
  </si>
  <si>
    <t>Sakkuthvirus</t>
  </si>
  <si>
    <t>Bat circovirus ZS/China/2011 YN-BtCV-1</t>
  </si>
  <si>
    <t>YN-BtCV-1</t>
  </si>
  <si>
    <t>JF938078</t>
  </si>
  <si>
    <t>Lake Sarah-associated circular virus-44</t>
  </si>
  <si>
    <t>LSaCV-44-LSCO-2013</t>
  </si>
  <si>
    <t>KP153500</t>
  </si>
  <si>
    <t>Circovirus-like genome DHCV-2</t>
  </si>
  <si>
    <t>DHCV-2</t>
  </si>
  <si>
    <t>KT149408</t>
  </si>
  <si>
    <t>CRESS virus sp. ctbc431</t>
  </si>
  <si>
    <t>ctbc431</t>
  </si>
  <si>
    <t>MH616921</t>
  </si>
  <si>
    <t>CRESS virus sp. ctjUS5</t>
  </si>
  <si>
    <t>ctjUS5</t>
  </si>
  <si>
    <t>MN582092</t>
  </si>
  <si>
    <t>Arizlama virus AZLM_785</t>
  </si>
  <si>
    <t>AZLM_785</t>
  </si>
  <si>
    <t>MW697509</t>
  </si>
  <si>
    <t>Sanivirus</t>
  </si>
  <si>
    <t>CRESS virus sp. ct3I9170</t>
  </si>
  <si>
    <t>ct3I9170</t>
  </si>
  <si>
    <t>MW202411</t>
  </si>
  <si>
    <t>Forsythia suspensa CRESS virus pt110-cirl-3</t>
  </si>
  <si>
    <t>pt110-cirl-3</t>
  </si>
  <si>
    <t>MN891791</t>
  </si>
  <si>
    <t>Saothovirus</t>
  </si>
  <si>
    <t>CRESS virus sp. ctba54</t>
  </si>
  <si>
    <t>ctba54</t>
  </si>
  <si>
    <t>MK012512</t>
  </si>
  <si>
    <t>Circovirus-like genome DCCV-8</t>
  </si>
  <si>
    <t>DCCV-8</t>
  </si>
  <si>
    <t>KT149401</t>
  </si>
  <si>
    <t>Arizlama virus AZLM_746</t>
  </si>
  <si>
    <t>AZLM_746</t>
  </si>
  <si>
    <t>MW697518</t>
  </si>
  <si>
    <t>CRESS virus sp. ctmKE188</t>
  </si>
  <si>
    <t>ctmKE188</t>
  </si>
  <si>
    <t>MW202813</t>
  </si>
  <si>
    <t>CRESS virus sp. ctsVI820</t>
  </si>
  <si>
    <t>ctsVI820</t>
  </si>
  <si>
    <t>MW202707</t>
  </si>
  <si>
    <t>CRESS virus sp. ctbd169</t>
  </si>
  <si>
    <t>ctbd169</t>
  </si>
  <si>
    <t>MK032700</t>
  </si>
  <si>
    <t>Savurvirus</t>
  </si>
  <si>
    <t>CRESS virus sp. 4zj-CRESS-3</t>
  </si>
  <si>
    <t>4zj-CRESS-3</t>
  </si>
  <si>
    <t>MW347481</t>
  </si>
  <si>
    <t>Scythevirus</t>
  </si>
  <si>
    <t>Circovirus-like genome DCCV-13</t>
  </si>
  <si>
    <t>DCCV-13</t>
  </si>
  <si>
    <t>KT149406</t>
  </si>
  <si>
    <t>Arizlama virus AZLM_25947</t>
  </si>
  <si>
    <t>AZLM_25947</t>
  </si>
  <si>
    <t>MW697550</t>
  </si>
  <si>
    <t>CRESS virus sp. ctFVx272</t>
  </si>
  <si>
    <t>ctFVx272</t>
  </si>
  <si>
    <t>MW202443</t>
  </si>
  <si>
    <t>CRESS virus sp. ct3IM547</t>
  </si>
  <si>
    <t>ct3IM547</t>
  </si>
  <si>
    <t>MW202805</t>
  </si>
  <si>
    <t>Palaemonetes kadiakensis Mississippi grass shrimp associated circular virus I0099</t>
  </si>
  <si>
    <t>I0099</t>
  </si>
  <si>
    <t>KR528560</t>
  </si>
  <si>
    <t>CRESS virus sp. ctKNF714</t>
  </si>
  <si>
    <t>ctKNF714</t>
  </si>
  <si>
    <t>MW202436</t>
  </si>
  <si>
    <t>Seetinvirus</t>
  </si>
  <si>
    <t>CRESS virus sp. ctP9b653</t>
  </si>
  <si>
    <t>ctP9b653</t>
  </si>
  <si>
    <t>MW202873</t>
  </si>
  <si>
    <t>Shabtayvirus</t>
  </si>
  <si>
    <t>Brassica caulorapa CRESS virus pt079-cirl-1</t>
  </si>
  <si>
    <t>pt079-cirl-1</t>
  </si>
  <si>
    <t>MN891788</t>
  </si>
  <si>
    <t>Arizlama virus AZLM_610</t>
  </si>
  <si>
    <t>AZLM_610</t>
  </si>
  <si>
    <t>MW697555</t>
  </si>
  <si>
    <t>Shanivirus</t>
  </si>
  <si>
    <t>Avon-Heathcote Estuary associated circular virus 3</t>
  </si>
  <si>
    <t>AHEaCV-3-NZ-3887G-2012</t>
  </si>
  <si>
    <t>KM874297</t>
  </si>
  <si>
    <t>Virus sp. D3_581</t>
  </si>
  <si>
    <t>D3_581</t>
  </si>
  <si>
    <t>MW678995</t>
  </si>
  <si>
    <t>Virus sp. D3_523</t>
  </si>
  <si>
    <t>D3_523</t>
  </si>
  <si>
    <t>MW678999</t>
  </si>
  <si>
    <t>Antarctic circular DNA molecule CAA_003_V_40</t>
  </si>
  <si>
    <t>CAA_003_V_40</t>
  </si>
  <si>
    <t>MN328268</t>
  </si>
  <si>
    <t>Lake Sarah-associated circular virus-30</t>
  </si>
  <si>
    <t>LSaCV-30-LSCO-2013</t>
  </si>
  <si>
    <t>KP153458</t>
  </si>
  <si>
    <t>Arizlama virus AZLM_839</t>
  </si>
  <si>
    <t>AZLM_839</t>
  </si>
  <si>
    <t>MW697497</t>
  </si>
  <si>
    <t>CRESS virus sp. ctghP836</t>
  </si>
  <si>
    <t>ctghP836</t>
  </si>
  <si>
    <t>MW202578</t>
  </si>
  <si>
    <t>Lake Sarah-associated circular virus-1</t>
  </si>
  <si>
    <t>LSaCV-1_LSWA-2013</t>
  </si>
  <si>
    <t>KP153393</t>
  </si>
  <si>
    <t>Virus sp. D10_6684</t>
  </si>
  <si>
    <t>D10_6684</t>
  </si>
  <si>
    <t>MW678994</t>
  </si>
  <si>
    <t>Virus sp. D3_648</t>
  </si>
  <si>
    <t>D3_648</t>
  </si>
  <si>
    <t>MW678991</t>
  </si>
  <si>
    <t>Sewage-associated circular DNA virus-19</t>
  </si>
  <si>
    <t>SaCV-19_NZ-BS4128-2012</t>
  </si>
  <si>
    <t>KM821754</t>
  </si>
  <si>
    <t>Sewage-associated circular DNA virus-32</t>
  </si>
  <si>
    <t>SaCV-32_NZ-BS4194-2012</t>
  </si>
  <si>
    <t>KM821767</t>
  </si>
  <si>
    <t>Uncultured virus clone CG114</t>
  </si>
  <si>
    <t>CG114</t>
  </si>
  <si>
    <t>KY487785</t>
  </si>
  <si>
    <t>Circoviridae sp. 4zj-CRESS-1</t>
  </si>
  <si>
    <t>4zj-CRESS-1</t>
  </si>
  <si>
    <t>MW347479</t>
  </si>
  <si>
    <t>Sickelvirus</t>
  </si>
  <si>
    <t>Capybara virus 25_cap1_1914</t>
  </si>
  <si>
    <t>cap1_1914</t>
  </si>
  <si>
    <t>MK570187</t>
  </si>
  <si>
    <t>Circoviridae sp. ctRbk103</t>
  </si>
  <si>
    <t>ctRbk103</t>
  </si>
  <si>
    <t>MW202831</t>
  </si>
  <si>
    <t>Tuxingvirus</t>
  </si>
  <si>
    <t>CRESS virus sp. hftoti49cir1</t>
  </si>
  <si>
    <t>hftoti49cir1</t>
  </si>
  <si>
    <t>MN928956</t>
  </si>
  <si>
    <t>Wigfec virus K19_432</t>
  </si>
  <si>
    <t>K19_MH_432</t>
  </si>
  <si>
    <t>OP549819</t>
  </si>
  <si>
    <t>Zuhalvirus</t>
  </si>
  <si>
    <t>CRESS virus sp. ctdb57</t>
  </si>
  <si>
    <t>ctdb57</t>
  </si>
  <si>
    <t>MK012507</t>
  </si>
  <si>
    <t>Mahapunaviridae</t>
  </si>
  <si>
    <t>Acamarivirus</t>
  </si>
  <si>
    <t>Marmot associated feces virus 5</t>
  </si>
  <si>
    <t>MAR1_1_2070</t>
  </si>
  <si>
    <t>MT181545</t>
  </si>
  <si>
    <t>Bat circovirus BtMl-CV/QH2013</t>
  </si>
  <si>
    <t>BtMl-CV/QH2013</t>
  </si>
  <si>
    <t>KJ641730</t>
  </si>
  <si>
    <t>CRESS virus sp. ctda86</t>
  </si>
  <si>
    <t>ctda86</t>
  </si>
  <si>
    <t>MH617345</t>
  </si>
  <si>
    <t>Blackfly DNA Virus 4</t>
  </si>
  <si>
    <t>SF02_664</t>
  </si>
  <si>
    <t>MK433218</t>
  </si>
  <si>
    <t>CRESS virus sp. ctbg966</t>
  </si>
  <si>
    <t>ctbg966</t>
  </si>
  <si>
    <t>MH617097</t>
  </si>
  <si>
    <t>Lake Sarah-associated circular virus-9</t>
  </si>
  <si>
    <t>LSaCV-9-LSSO-2013</t>
  </si>
  <si>
    <t>KP153407</t>
  </si>
  <si>
    <t>Blackfly DNA Virus 5</t>
  </si>
  <si>
    <t>SF02_839</t>
  </si>
  <si>
    <t>MK433219</t>
  </si>
  <si>
    <t>Llama faeces associated circular DNA virus-1</t>
  </si>
  <si>
    <t>29_llama</t>
  </si>
  <si>
    <t>KT862235</t>
  </si>
  <si>
    <t>Amalthevirus</t>
  </si>
  <si>
    <t>Cressdnaviricota sp. 169P</t>
  </si>
  <si>
    <t>169P</t>
  </si>
  <si>
    <t>MT671987</t>
  </si>
  <si>
    <t>Anthevirus</t>
  </si>
  <si>
    <t>Sewage-associated circular DNA virus-17</t>
  </si>
  <si>
    <t>SaCV-17_NZ-BS4236-2012</t>
  </si>
  <si>
    <t>KM821752</t>
  </si>
  <si>
    <t>Giant house spider associated circular virus 2</t>
  </si>
  <si>
    <t>BC_I1657E_H4</t>
  </si>
  <si>
    <t>MH545536</t>
  </si>
  <si>
    <t>Wigfec virus K19_558</t>
  </si>
  <si>
    <t>K19_558</t>
  </si>
  <si>
    <t>OP549838</t>
  </si>
  <si>
    <t>Lake Sarah-associated circular virus-36</t>
  </si>
  <si>
    <t>LSaCV-36-LSGA-2013</t>
  </si>
  <si>
    <t>KP153474</t>
  </si>
  <si>
    <t>CRESS virus sp. ctr5b272</t>
  </si>
  <si>
    <t>ctr5b272</t>
  </si>
  <si>
    <t>MW202776</t>
  </si>
  <si>
    <t>CRESS virus sp. ctbf541</t>
  </si>
  <si>
    <t>ctbf541</t>
  </si>
  <si>
    <t>MH552505</t>
  </si>
  <si>
    <t>LSaCV-36-LSCO-2013</t>
  </si>
  <si>
    <t>KP153475</t>
  </si>
  <si>
    <t>Cursavirus</t>
  </si>
  <si>
    <t>CRESS virus sp. ctbb930</t>
  </si>
  <si>
    <t>ctbb930</t>
  </si>
  <si>
    <t>MH616917</t>
  </si>
  <si>
    <t>Lake Sarah-associated circular virus-34</t>
  </si>
  <si>
    <t>LSaCV-34-LSSO-2013</t>
  </si>
  <si>
    <t>KP153471</t>
  </si>
  <si>
    <t>Capybara virus 37_cap1_578</t>
  </si>
  <si>
    <t>cap1_578</t>
  </si>
  <si>
    <t>MK570199</t>
  </si>
  <si>
    <t>Elnathivirus</t>
  </si>
  <si>
    <t>Arizlama virus AZLM_890</t>
  </si>
  <si>
    <t>AZLM_890</t>
  </si>
  <si>
    <t>MW697488</t>
  </si>
  <si>
    <t>Enifivirus</t>
  </si>
  <si>
    <t>CRESS virus sp. ctcf955</t>
  </si>
  <si>
    <t>ctcf955</t>
  </si>
  <si>
    <t>MH617376</t>
  </si>
  <si>
    <t>Fuluvirus</t>
  </si>
  <si>
    <t>Capybara virus 10_cap1_55</t>
  </si>
  <si>
    <t>cap1_55</t>
  </si>
  <si>
    <t>MK570172</t>
  </si>
  <si>
    <t>Blackfly DNA Virus 3</t>
  </si>
  <si>
    <t>SF02_402</t>
  </si>
  <si>
    <t>MK433217</t>
  </si>
  <si>
    <t>Garivirus</t>
  </si>
  <si>
    <t>Red panda feces-associated circular DNA virus 21</t>
  </si>
  <si>
    <t>Rpf284cress20-12</t>
  </si>
  <si>
    <t>MZ556194</t>
  </si>
  <si>
    <t>Himalivirus</t>
  </si>
  <si>
    <t>Red panda feces-associated circular DNA virus 14</t>
  </si>
  <si>
    <t>Rpf279cress02-12</t>
  </si>
  <si>
    <t>MZ556184</t>
  </si>
  <si>
    <t>CRESS virus sp. ctbf75</t>
  </si>
  <si>
    <t>ctbf75</t>
  </si>
  <si>
    <t>MH617692</t>
  </si>
  <si>
    <t>CRESS virus sp. hbl169cre1</t>
  </si>
  <si>
    <t>hbl169cre1</t>
  </si>
  <si>
    <t>MN928932</t>
  </si>
  <si>
    <t>CRESS virus sp. ctbe77</t>
  </si>
  <si>
    <t>ctbe77</t>
  </si>
  <si>
    <t>MH617488</t>
  </si>
  <si>
    <t>Janusivirus</t>
  </si>
  <si>
    <t>Giant panda feces-associated circular DNA virus Gpf270cir01-12</t>
  </si>
  <si>
    <t>Gpf270cir01-12</t>
  </si>
  <si>
    <t>MZ556154</t>
  </si>
  <si>
    <t>Caesalpinia pluviosa associated gemycircularvirus DF 226</t>
  </si>
  <si>
    <t>DF 226</t>
  </si>
  <si>
    <t>MN954870</t>
  </si>
  <si>
    <t>Thebevirus</t>
  </si>
  <si>
    <t>Chifec virus UA13_119</t>
  </si>
  <si>
    <t>UA13_119</t>
  </si>
  <si>
    <t>OM523006</t>
  </si>
  <si>
    <t>DNA-A: FJ515747</t>
  </si>
  <si>
    <t>DNA-A: FJ561298</t>
  </si>
  <si>
    <t>DNA-A: HE862273</t>
  </si>
  <si>
    <t>DNA-A: AJ851005</t>
  </si>
  <si>
    <t>DNA-A: MG917697</t>
  </si>
  <si>
    <t>DNA-A: AJ437618</t>
  </si>
  <si>
    <t>DNA-A: FR772082</t>
  </si>
  <si>
    <t>DNA-A: JQ911766</t>
  </si>
  <si>
    <t>DNA-A: MG373552</t>
  </si>
  <si>
    <t>DNA-A: KM359406</t>
  </si>
  <si>
    <t>DNA-A: KT099156</t>
  </si>
  <si>
    <t>DNA-A: KF446659</t>
  </si>
  <si>
    <t>DNA-A: KM880103</t>
  </si>
  <si>
    <t>DNA-A: HM992939</t>
  </si>
  <si>
    <t>DNA-A: AF134484</t>
  </si>
  <si>
    <t>DNA-A: KC149938</t>
  </si>
  <si>
    <t>DNA-A: KT809345</t>
  </si>
  <si>
    <t>DNA-A: AY502935</t>
  </si>
  <si>
    <t>DNA-A: EU585781</t>
  </si>
  <si>
    <t>DNA-A: KJ957157</t>
  </si>
  <si>
    <t>DNA-A: JN555601</t>
  </si>
  <si>
    <t>DNA-A: Y15934</t>
  </si>
  <si>
    <t>DNA-A: MH807204</t>
  </si>
  <si>
    <t>DNA-A: MH988457</t>
  </si>
  <si>
    <t>DNA-A: MH988458</t>
  </si>
  <si>
    <t>DNA-A: LK028570</t>
  </si>
  <si>
    <t>DNA-A: HM626515</t>
  </si>
  <si>
    <t>DNA-A: EF408037</t>
  </si>
  <si>
    <t>DNA-A: AJ489258</t>
  </si>
  <si>
    <t>DNA-A: MF773912</t>
  </si>
  <si>
    <t>DNA-A: KC223600</t>
  </si>
  <si>
    <t>DNA-A: EF165536</t>
  </si>
  <si>
    <t>DNA-A: AJ507777</t>
  </si>
  <si>
    <t>DNA-A: MH665365</t>
  </si>
  <si>
    <t>DNA-A: AJ420319</t>
  </si>
  <si>
    <t>DNA-A: MF402918</t>
  </si>
  <si>
    <t>DNA-A: KT390456</t>
  </si>
  <si>
    <t>DNA-A: EU377539</t>
  </si>
  <si>
    <t>DNA-A: MH035670</t>
  </si>
  <si>
    <t>DNA-A: KY373213</t>
  </si>
  <si>
    <t>DNA-A: AB007990</t>
  </si>
  <si>
    <t>DNA-A: KT159766</t>
  </si>
  <si>
    <t>DNA-A: AM411424</t>
  </si>
  <si>
    <t>DNA-A: GQ472984</t>
  </si>
  <si>
    <t>DNA-A: MF140451</t>
  </si>
  <si>
    <t>DNA-A: FJ529203</t>
  </si>
  <si>
    <t>SPLCGxV</t>
  </si>
  <si>
    <t>DNA-A: KJ476510</t>
  </si>
  <si>
    <t>DNA-A: KC907406</t>
  </si>
  <si>
    <t>DNA-A: MH577011</t>
  </si>
  <si>
    <t>DNA-A: KT992056</t>
  </si>
  <si>
    <t>DNA-A: FJ969831</t>
  </si>
  <si>
    <t>DNA-A: HQ393477</t>
  </si>
  <si>
    <t>DNA-A: KU323597</t>
  </si>
  <si>
    <t>DNA-A: KC488316</t>
  </si>
  <si>
    <t>DNA-A: KF156759</t>
  </si>
  <si>
    <t>DNA-A: HQ333144</t>
  </si>
  <si>
    <t>DNA-A: KM411359</t>
  </si>
  <si>
    <t>DNA-A: AJ438937</t>
  </si>
  <si>
    <t>DNA-A: AJ542540</t>
  </si>
  <si>
    <t>DNA-A: MF683828</t>
  </si>
  <si>
    <t>DNA-A: AJ786711</t>
  </si>
  <si>
    <t>DNA-A: AJ457824</t>
  </si>
  <si>
    <t>DNA-A: LK054801</t>
  </si>
  <si>
    <t>DNA-A: KU569583</t>
  </si>
  <si>
    <t>DNA-A: AM701760</t>
  </si>
  <si>
    <t>DNA-A: DQ871221</t>
  </si>
  <si>
    <t>DNA-A: FM160943</t>
  </si>
  <si>
    <t>DNA-A: AJ512761</t>
  </si>
  <si>
    <t>DNA-A: AF350330</t>
  </si>
  <si>
    <t>DNA-A: MK087124</t>
  </si>
  <si>
    <t>DNA-A: AM712436</t>
  </si>
  <si>
    <t>DNA-A: MG001959</t>
  </si>
  <si>
    <t>DNA-A: KF927128</t>
  </si>
  <si>
    <t>DNA-A: KJ739692</t>
  </si>
  <si>
    <t>DNA-A: AJ876550</t>
  </si>
  <si>
    <t>DNA-A: KU852742</t>
  </si>
  <si>
    <t>DNA-A: AM050730</t>
  </si>
  <si>
    <t>DNA-A: AM048837</t>
  </si>
  <si>
    <t>DNA-A: JX162595</t>
  </si>
  <si>
    <t>DNA-A: KX348185</t>
  </si>
  <si>
    <t>DNA-A: U77964</t>
  </si>
  <si>
    <t>DNA-A: EU710751</t>
  </si>
  <si>
    <t>DNA-A: AM183224</t>
  </si>
  <si>
    <t>DNA-A: AM238692</t>
  </si>
  <si>
    <t>DNA-A: AM701758</t>
  </si>
  <si>
    <t>DNA-A: S53251</t>
  </si>
  <si>
    <t>DNA-A: Z48182</t>
  </si>
  <si>
    <t>DNA-A: AF188481</t>
  </si>
  <si>
    <t>DNA-A: KX853168</t>
  </si>
  <si>
    <t>DNA-A: AJ865340</t>
  </si>
  <si>
    <t>DNA-A: EF450316</t>
  </si>
  <si>
    <t>DNA-A: JQ897969</t>
  </si>
  <si>
    <t>DNA-A: AM701765</t>
  </si>
  <si>
    <t>DNA-A: X61153</t>
  </si>
  <si>
    <t>DNA-A: EU734831</t>
  </si>
  <si>
    <t>DNA-A: KT962229</t>
  </si>
  <si>
    <t>DNA-A: AF271234</t>
  </si>
  <si>
    <t>DNA-A: LM651400</t>
  </si>
  <si>
    <t>DNA-A: AM236784</t>
  </si>
  <si>
    <t>DNA-A: KF150142</t>
  </si>
  <si>
    <t>DNA-A: HQ162270</t>
  </si>
  <si>
    <t>DNA-A: AY297924</t>
  </si>
  <si>
    <t>DNA-A: AB236323</t>
  </si>
  <si>
    <t>DNA-A: AB100304</t>
  </si>
  <si>
    <t>DNA-A: KP195267</t>
  </si>
  <si>
    <t>DNA-A: U38239</t>
  </si>
  <si>
    <t>DNA-A: KF551578</t>
  </si>
  <si>
    <t>DNA-A: KF551585</t>
  </si>
  <si>
    <t>DNA-A: MT045996</t>
  </si>
  <si>
    <t>DNA-A: AF195782</t>
  </si>
  <si>
    <t>DNA-A: KM926624</t>
  </si>
  <si>
    <t>DNA-A: HF912280</t>
  </si>
  <si>
    <t>DNA-A: AJ865338</t>
  </si>
  <si>
    <t>DNA-A: MH410152</t>
  </si>
  <si>
    <t>DNA-A: AY502936</t>
  </si>
  <si>
    <t>DNA-A: EU487046</t>
  </si>
  <si>
    <t>DNA-A: AM701763</t>
  </si>
  <si>
    <t>DNA-A: AM701764</t>
  </si>
  <si>
    <t>DNA-A: FJ685621</t>
  </si>
  <si>
    <t>DNA-A: AB050597</t>
  </si>
  <si>
    <t>DNA-A: AY754814</t>
  </si>
  <si>
    <t>DNA-A: AM491778</t>
  </si>
  <si>
    <t>DNA-A: AY044137</t>
  </si>
  <si>
    <t>DNA-A: U88692</t>
  </si>
  <si>
    <t>DNA-A: DQ519575</t>
  </si>
  <si>
    <t>DNA-A: AM701768</t>
  </si>
  <si>
    <t>DNA-A: MK440292</t>
  </si>
  <si>
    <t>DNA-A: KY196216</t>
  </si>
  <si>
    <t>DNA-A: KF660223</t>
  </si>
  <si>
    <t>DNA-A: KX831132</t>
  </si>
  <si>
    <t>DNA-A: JF265670</t>
  </si>
  <si>
    <t>BR-PE-088-11</t>
  </si>
  <si>
    <t>DNA-A: KR612272</t>
  </si>
  <si>
    <t>Welwivirus</t>
  </si>
  <si>
    <t>Welwitschia mirabilis associated geminivirus B</t>
  </si>
  <si>
    <t>WMaGVB</t>
  </si>
  <si>
    <t>SRX9189731-B</t>
  </si>
  <si>
    <t>BK061150</t>
  </si>
  <si>
    <t>Welwitschia mirabilis associated geminivirus A</t>
  </si>
  <si>
    <t>WMaGVA</t>
  </si>
  <si>
    <t>SRX9189731-A</t>
  </si>
  <si>
    <t>BK061149</t>
  </si>
  <si>
    <t>Geplanaviridae</t>
  </si>
  <si>
    <t>Acciovirus</t>
  </si>
  <si>
    <t>Arizlama virus AZLM_678</t>
  </si>
  <si>
    <t>AZLM_678</t>
  </si>
  <si>
    <t>MW697536</t>
  </si>
  <si>
    <t>Odonata-associated circular virus-7</t>
  </si>
  <si>
    <t>OdasCV-7-US-1706LM1-12</t>
  </si>
  <si>
    <t>KM598390</t>
  </si>
  <si>
    <t>Aguamentivirus</t>
  </si>
  <si>
    <t>Avon-Heathcote Estuary associated circular virus 25</t>
  </si>
  <si>
    <t>AHEaCV-25-NZ-2942CO-2012</t>
  </si>
  <si>
    <t>KM874355</t>
  </si>
  <si>
    <t>Circoviridae sp. ctcc28</t>
  </si>
  <si>
    <t>ctcc28</t>
  </si>
  <si>
    <t>MK012475</t>
  </si>
  <si>
    <t>Alohovirus</t>
  </si>
  <si>
    <t>Red panda feces-associated circular DNA virus 12</t>
  </si>
  <si>
    <t>Rpf011unssDNA01-5</t>
  </si>
  <si>
    <t>MZ556204</t>
  </si>
  <si>
    <t>Bromus-associated circular DNA virus 4</t>
  </si>
  <si>
    <t>BasCV-4_FR38-38-Cam</t>
  </si>
  <si>
    <t>KP005454</t>
  </si>
  <si>
    <t>Bromus-associated circular DNA virus 1</t>
  </si>
  <si>
    <t>BasCV-1_NZ-NZG03_Wel-2012</t>
  </si>
  <si>
    <t>KM510190</t>
  </si>
  <si>
    <t>Trifolium-associated circular DNA virus 1</t>
  </si>
  <si>
    <t>TasCV-1_FR34-34-Cam</t>
  </si>
  <si>
    <t>KP005453</t>
  </si>
  <si>
    <t>Aparevirus</t>
  </si>
  <si>
    <t>Virus sp. D1_753</t>
  </si>
  <si>
    <t>D1_753</t>
  </si>
  <si>
    <t>MW678915</t>
  </si>
  <si>
    <t>Avadavirus</t>
  </si>
  <si>
    <t>CRESS virus sp. fmg067cre2</t>
  </si>
  <si>
    <t>fmg067cre2</t>
  </si>
  <si>
    <t>MN928944</t>
  </si>
  <si>
    <t>Densaugvirus</t>
  </si>
  <si>
    <t>CRESS virus sp. ctrLR020</t>
  </si>
  <si>
    <t>ctrLR020</t>
  </si>
  <si>
    <t>MW202708</t>
  </si>
  <si>
    <t>Diffindovirus</t>
  </si>
  <si>
    <t>Blackfly DNA Virus 16</t>
  </si>
  <si>
    <t>SF02_377</t>
  </si>
  <si>
    <t>MK433230</t>
  </si>
  <si>
    <t>Engorgivirus</t>
  </si>
  <si>
    <t>CRESS virus sp. ctce103</t>
  </si>
  <si>
    <t>ctce103</t>
  </si>
  <si>
    <t>MH616705</t>
  </si>
  <si>
    <t>Lake Sarah-associated circular virus-45</t>
  </si>
  <si>
    <t>LSaCV-45-LSCO-2013</t>
  </si>
  <si>
    <t>KP153501</t>
  </si>
  <si>
    <t>Episkevirus</t>
  </si>
  <si>
    <t>Trichosanthes kirilowii CRESS virus t111-nep-5</t>
  </si>
  <si>
    <t>pt111-nep-5</t>
  </si>
  <si>
    <t>MN891804</t>
  </si>
  <si>
    <t>CRESS virus sp. ctrD6136</t>
  </si>
  <si>
    <t>ctrD6136</t>
  </si>
  <si>
    <t>MW202452</t>
  </si>
  <si>
    <t>Expellivirus</t>
  </si>
  <si>
    <t>CRESS virus sp. ctdg299</t>
  </si>
  <si>
    <t>ctdg299</t>
  </si>
  <si>
    <t>MH616944</t>
  </si>
  <si>
    <t>Impedivirus</t>
  </si>
  <si>
    <t>CRESS virus sp. fmg067cir3</t>
  </si>
  <si>
    <t>fmg067cir3</t>
  </si>
  <si>
    <t>MN928943</t>
  </si>
  <si>
    <t>Odonata-associated circular virus-15</t>
  </si>
  <si>
    <t>OdasCV-15-US-1640LM1-12</t>
  </si>
  <si>
    <t>KM598398</t>
  </si>
  <si>
    <t>Lumovirus</t>
  </si>
  <si>
    <t>Arctopus echinatus-associated virus 2-76-E</t>
  </si>
  <si>
    <t>2-76-E</t>
  </si>
  <si>
    <t>MH425569</t>
  </si>
  <si>
    <t>Oblivivirus</t>
  </si>
  <si>
    <t>CRESS virus sp. 1aq-CRESS-1</t>
  </si>
  <si>
    <t>1aq-CRESS-1</t>
  </si>
  <si>
    <t>MW346688</t>
  </si>
  <si>
    <t>Patrovirus</t>
  </si>
  <si>
    <t>Circovirus-like genome DCCV-2</t>
  </si>
  <si>
    <t>DCCV-2</t>
  </si>
  <si>
    <t>KT149395</t>
  </si>
  <si>
    <t>Protegovirus</t>
  </si>
  <si>
    <t>Red panda feces-associated circular DNA virus 11</t>
  </si>
  <si>
    <t>AliP02cress04-2015</t>
  </si>
  <si>
    <t>MZ556147</t>
  </si>
  <si>
    <t>CRESS virus sp. ctbg173</t>
  </si>
  <si>
    <t>ctbg173</t>
  </si>
  <si>
    <t>MH617562</t>
  </si>
  <si>
    <t>Pacific flying fox faeces associated circular DNA virus-2</t>
  </si>
  <si>
    <t>Tbat_H_103763</t>
  </si>
  <si>
    <t>KT732831</t>
  </si>
  <si>
    <t>Riddikuvirus</t>
  </si>
  <si>
    <t>Trichosanthes kirilowii CRESS virus pt111-nep-4</t>
  </si>
  <si>
    <t>pt111-nep-4</t>
  </si>
  <si>
    <t>MN891803</t>
  </si>
  <si>
    <t>CRESS virus sp. ctKR5164</t>
  </si>
  <si>
    <t>ctKR5164</t>
  </si>
  <si>
    <t>MW202840</t>
  </si>
  <si>
    <t>Stupevirus</t>
  </si>
  <si>
    <t>Kummerowia striata CRESS virus pt119-nep-9</t>
  </si>
  <si>
    <t>pt119-nep-9</t>
  </si>
  <si>
    <t>MN891814</t>
  </si>
  <si>
    <t>Wingardivirus</t>
  </si>
  <si>
    <t>Arizlama virus AZLM_683</t>
  </si>
  <si>
    <t>AZLM_683</t>
  </si>
  <si>
    <t>MW697535</t>
  </si>
  <si>
    <t>Capybara virus 11_cap1_98</t>
  </si>
  <si>
    <t>cap1_98</t>
  </si>
  <si>
    <t>MK570173</t>
  </si>
  <si>
    <t>Ambiviricota</t>
  </si>
  <si>
    <t>Suforviricetes</t>
  </si>
  <si>
    <t>Crytulvirales</t>
  </si>
  <si>
    <t>Dumbiviridae</t>
  </si>
  <si>
    <t>Orthodumbivirus</t>
  </si>
  <si>
    <t>Armillaria mellea ambi-like virus 2</t>
  </si>
  <si>
    <t>AmALV2</t>
  </si>
  <si>
    <t>Tulasnella ambivirus 2</t>
  </si>
  <si>
    <t>TuAV2</t>
  </si>
  <si>
    <t>Heterobasidion ambi-like virus 2</t>
  </si>
  <si>
    <t>HALV2</t>
  </si>
  <si>
    <t>RKU3.1.25</t>
  </si>
  <si>
    <t>Phlebiopsis gigantea ambi-like virus 1</t>
  </si>
  <si>
    <t>PgALV1</t>
  </si>
  <si>
    <t>PgALV1/15889</t>
  </si>
  <si>
    <t>Rhizoctonia solani ambivirus 1</t>
  </si>
  <si>
    <t>RsAV1</t>
  </si>
  <si>
    <t>AG2-2 LP</t>
  </si>
  <si>
    <t>Tulasnella ambivirus 1</t>
  </si>
  <si>
    <t>TuAV1</t>
  </si>
  <si>
    <t>MUT4048</t>
  </si>
  <si>
    <t>Heterobasidion ambi-like virus 1</t>
  </si>
  <si>
    <t>HALV1</t>
  </si>
  <si>
    <t>4R1</t>
  </si>
  <si>
    <t>Quambiviridae</t>
  </si>
  <si>
    <t>Orthoquambivirus</t>
  </si>
  <si>
    <t>Armillaria novae-zelandiae ambi-like virus 1</t>
  </si>
  <si>
    <t>AnzALV1</t>
  </si>
  <si>
    <t>strain 2840</t>
  </si>
  <si>
    <t>Tulasnella ambivirus 3</t>
  </si>
  <si>
    <t>TuAV3</t>
  </si>
  <si>
    <t>MUT4047</t>
  </si>
  <si>
    <t>Tulasnella ambivirus 5</t>
  </si>
  <si>
    <t>TuAV5</t>
  </si>
  <si>
    <t>Tulasnella ambivirus 4</t>
  </si>
  <si>
    <t>TuAV4</t>
  </si>
  <si>
    <t>Trimbiviridae</t>
  </si>
  <si>
    <t>Orthotrimbivirus</t>
  </si>
  <si>
    <t>Armillaria ectypa ambi-like virus 1</t>
  </si>
  <si>
    <t>AeALV1</t>
  </si>
  <si>
    <t>FPL83.16</t>
  </si>
  <si>
    <t>Heterobasidion ambi-like virus 3</t>
  </si>
  <si>
    <t>HALV3</t>
  </si>
  <si>
    <t>Armillaria borealis ambi-like virus 1</t>
  </si>
  <si>
    <t>AbALV1</t>
  </si>
  <si>
    <t>Ab9A</t>
  </si>
  <si>
    <t>Armillaria luteobubalina ambi-like virus 1</t>
  </si>
  <si>
    <t>AlALV1</t>
  </si>
  <si>
    <t>HWK02</t>
  </si>
  <si>
    <t>Heterobasidion ambi-like virus 4</t>
  </si>
  <si>
    <t>HALV4</t>
  </si>
  <si>
    <t>Unambiviridae</t>
  </si>
  <si>
    <t>Orthounambivirus</t>
  </si>
  <si>
    <t>Cryphonectria parasitica ambivirus 1</t>
  </si>
  <si>
    <t>CpAV1</t>
  </si>
  <si>
    <t>ACP34</t>
  </si>
  <si>
    <t>Armillaria spp. ambi-like virus 2</t>
  </si>
  <si>
    <t>ArALV2</t>
  </si>
  <si>
    <t>AoALV2</t>
  </si>
  <si>
    <t>Phlebiopsis gigantea ambi-like virus 2</t>
  </si>
  <si>
    <t>PgALV2</t>
  </si>
  <si>
    <t>PgALV2/15419</t>
  </si>
  <si>
    <t>Armillaria mellea ambi-like virus 1</t>
  </si>
  <si>
    <t>AmALV1</t>
  </si>
  <si>
    <t>Alphatotivirineae</t>
  </si>
  <si>
    <t>Botybirnaviridae</t>
  </si>
  <si>
    <t>Alternaria alternata botybirnavirus 1</t>
  </si>
  <si>
    <t>AaBV1</t>
  </si>
  <si>
    <t>4a</t>
  </si>
  <si>
    <t>Plasmopara viticola lesion associated botybirna 2</t>
  </si>
  <si>
    <t>PvBV2</t>
  </si>
  <si>
    <t>DMS6_DN42815</t>
  </si>
  <si>
    <t>Botrytis cinerea botybirnavirus 2</t>
  </si>
  <si>
    <t>BcBV2</t>
  </si>
  <si>
    <t>BCS17_DN61</t>
  </si>
  <si>
    <t>Sclerotinia sclerotiorum botybirnavirus 1</t>
  </si>
  <si>
    <t>SsBV1</t>
  </si>
  <si>
    <t>SCH941</t>
  </si>
  <si>
    <t>RNA1: KP774592; RNA2: KP774593</t>
  </si>
  <si>
    <t>Botrytis cinerea botybirnavirus 1</t>
  </si>
  <si>
    <t>BcBV1</t>
  </si>
  <si>
    <t>CCg427</t>
  </si>
  <si>
    <t>Sclerotinia sclerotiorum botybirnavirus 2</t>
  </si>
  <si>
    <t>SsBV2</t>
  </si>
  <si>
    <t>AH16</t>
  </si>
  <si>
    <t>Alternaria botybirnavirus 1</t>
  </si>
  <si>
    <t>ABV1</t>
  </si>
  <si>
    <t>SCFS-3</t>
  </si>
  <si>
    <t>Plasmopara viticola lesion associated botybirna 1</t>
  </si>
  <si>
    <t>PvBV1</t>
  </si>
  <si>
    <t>DMG-B_DN55388</t>
  </si>
  <si>
    <t>Fusagraviridae</t>
  </si>
  <si>
    <t>Fusagravirus</t>
  </si>
  <si>
    <t>Fusarium virguliforme dsRNA mycovirus 2</t>
  </si>
  <si>
    <t>FvV2</t>
  </si>
  <si>
    <t>JN671443</t>
  </si>
  <si>
    <t>Fusarium poae dsRNA virus 3</t>
  </si>
  <si>
    <t>FpV3</t>
  </si>
  <si>
    <t>SX63</t>
  </si>
  <si>
    <t>KU728181</t>
  </si>
  <si>
    <t>Fusarium graminearum dsRNA mycovirus 3</t>
  </si>
  <si>
    <t>FgV3</t>
  </si>
  <si>
    <t>DK3</t>
  </si>
  <si>
    <t>GQ140626</t>
  </si>
  <si>
    <t>Macrophomina phaseolina double-stranded RNA virus 2</t>
  </si>
  <si>
    <t>MpDSRV2</t>
  </si>
  <si>
    <t>Mp3</t>
  </si>
  <si>
    <t>KP900891</t>
  </si>
  <si>
    <t>Macrophomina phaseolina fusagravirus 1</t>
  </si>
  <si>
    <t>2012-19</t>
  </si>
  <si>
    <t>MK780821</t>
  </si>
  <si>
    <t>Caloscypha fulgens fusagravirus 1</t>
  </si>
  <si>
    <t>CfFV1</t>
  </si>
  <si>
    <t>ANK VIR-100</t>
  </si>
  <si>
    <t>MW258947</t>
  </si>
  <si>
    <t>Trichoderma atroviride mycovirus</t>
  </si>
  <si>
    <t>TaMV1</t>
  </si>
  <si>
    <t>NFCF028</t>
  </si>
  <si>
    <t>KX821737</t>
  </si>
  <si>
    <t>Cryphonectria naterciae fusagravirus 1</t>
  </si>
  <si>
    <t>CnFGV1</t>
  </si>
  <si>
    <t>M10544</t>
  </si>
  <si>
    <t>MZ736512</t>
  </si>
  <si>
    <t>Rosellinia necatrix fusagravirus 1</t>
  </si>
  <si>
    <t>RnFGV1</t>
  </si>
  <si>
    <t>Rn_Wito-3-CH</t>
  </si>
  <si>
    <t>LC333734</t>
  </si>
  <si>
    <t>Picoa juniperi mycovirus 1</t>
  </si>
  <si>
    <t>PjV1</t>
  </si>
  <si>
    <t>ANK_VIR-89</t>
  </si>
  <si>
    <t>MT876190</t>
  </si>
  <si>
    <t>Rosellinia necatrix fusagravirus 3</t>
  </si>
  <si>
    <t>RnFGV3</t>
  </si>
  <si>
    <t>LC333739</t>
  </si>
  <si>
    <t>Trichoderma asperellum dsRNA virus 1</t>
  </si>
  <si>
    <t>TaRV1</t>
  </si>
  <si>
    <t>JLM45-3</t>
  </si>
  <si>
    <t>MG897472</t>
  </si>
  <si>
    <t>Rosellinia necatrix fusagravirus 4</t>
  </si>
  <si>
    <t>RnFGV4</t>
  </si>
  <si>
    <t>KACC40168</t>
  </si>
  <si>
    <t>MT520144</t>
  </si>
  <si>
    <t>Papaya meleira virus</t>
  </si>
  <si>
    <t>PMeV</t>
  </si>
  <si>
    <t>Espírito Santo, Brazil</t>
  </si>
  <si>
    <t>KT921784</t>
  </si>
  <si>
    <t>Botrytis cinerea RNA virus 1</t>
  </si>
  <si>
    <t>BcRV1</t>
  </si>
  <si>
    <t>BerBc-1</t>
  </si>
  <si>
    <t>KJ549662</t>
  </si>
  <si>
    <t>Cryphonectria carpinicola fusagravirus 1</t>
  </si>
  <si>
    <t>CcFGV1</t>
  </si>
  <si>
    <t>JS13</t>
  </si>
  <si>
    <t>LC651180</t>
  </si>
  <si>
    <t>RN Brazil</t>
  </si>
  <si>
    <t>KT013296</t>
  </si>
  <si>
    <t>Phytophthora infestans RNA virus 3</t>
  </si>
  <si>
    <t>PiRV3</t>
  </si>
  <si>
    <t>FLa2005</t>
  </si>
  <si>
    <t>JN603241</t>
  </si>
  <si>
    <t>Fusarium virguliforme dsRNA mycovirus 1</t>
  </si>
  <si>
    <t>FvV1</t>
  </si>
  <si>
    <t>JN671444</t>
  </si>
  <si>
    <t>Fusarium poae dsRNA virus 2</t>
  </si>
  <si>
    <t>FpV2</t>
  </si>
  <si>
    <t>KU728180</t>
  </si>
  <si>
    <t>Fusarium pseudograminearum megabirnavirus 1</t>
  </si>
  <si>
    <t>FpMBV1</t>
  </si>
  <si>
    <t>FC136-2A</t>
  </si>
  <si>
    <t>Sclerotinia sclerotiorum megabirnavirus 1</t>
  </si>
  <si>
    <t>SsMBV1</t>
  </si>
  <si>
    <t>SX466</t>
  </si>
  <si>
    <t>RNA1: KP686398; RNA2: KP686399</t>
  </si>
  <si>
    <t>Pleosporales megabirnavirus 1</t>
  </si>
  <si>
    <t>PlMBV1</t>
  </si>
  <si>
    <t>MUT4917</t>
  </si>
  <si>
    <t>Rosellinia necatrix megabirnavirus 2</t>
  </si>
  <si>
    <t>RnMBV2</t>
  </si>
  <si>
    <t>W8</t>
  </si>
  <si>
    <t>RNA1: LC062704; RNA2: LC062705</t>
  </si>
  <si>
    <t>Monocitiviridae</t>
  </si>
  <si>
    <t>Monocitivirus</t>
  </si>
  <si>
    <t>Phlegiviridae</t>
  </si>
  <si>
    <t>Phlegivirus</t>
  </si>
  <si>
    <t>Phlebiopsis gigantea large virus 1 (Phlebiopsis gigantea mycovirus dsRNA 1)</t>
  </si>
  <si>
    <t>PgLV1</t>
  </si>
  <si>
    <t>TW2</t>
  </si>
  <si>
    <t>AM111096</t>
  </si>
  <si>
    <t>Thelephora terrestris virus 1</t>
  </si>
  <si>
    <t>TtV1</t>
  </si>
  <si>
    <t>Lasovice</t>
  </si>
  <si>
    <t>KT191297</t>
  </si>
  <si>
    <t>Rhizoctonia solani dsRNA virus 10</t>
  </si>
  <si>
    <t>RsDRV10</t>
  </si>
  <si>
    <t>MK532272</t>
  </si>
  <si>
    <t>Lentinula edodes mycovirus HKB</t>
  </si>
  <si>
    <t>LeVHKB</t>
  </si>
  <si>
    <t>Le33WIL</t>
  </si>
  <si>
    <t>MN744709</t>
  </si>
  <si>
    <t>Pseudototiviridae</t>
  </si>
  <si>
    <t>Eimeriavirus</t>
  </si>
  <si>
    <t>Eimeria tenella RNA virus 1</t>
  </si>
  <si>
    <t>EtRV1</t>
  </si>
  <si>
    <t>JL610V</t>
  </si>
  <si>
    <t>KJ363185</t>
  </si>
  <si>
    <t>Eimeria stiedai RNA virus 1</t>
  </si>
  <si>
    <t>EsRV1</t>
  </si>
  <si>
    <t>TQCBD-12/0909</t>
  </si>
  <si>
    <t>KU597305</t>
  </si>
  <si>
    <t>GUNCC_DN54384-11</t>
  </si>
  <si>
    <t>MT129769</t>
  </si>
  <si>
    <t>Blechomonas wendygibsoni LRV3 (Blechomonas wendygibsoni Leishmaniavirus-like RNA virus 1)</t>
  </si>
  <si>
    <t>BwenLRV3</t>
  </si>
  <si>
    <t>OSU8</t>
  </si>
  <si>
    <t>MG967347</t>
  </si>
  <si>
    <t>Blechomonas juanalfonzi LRV4 (Blechomonas juanalfonzi Leishmaniavirus-like RNA virus 1)</t>
  </si>
  <si>
    <t>BjuaLRV4</t>
  </si>
  <si>
    <t>OSU4</t>
  </si>
  <si>
    <t>MG967341</t>
  </si>
  <si>
    <t>Leishmania aethiopica LRV2 (Leishmania aethiopica RNA virus)</t>
  </si>
  <si>
    <t>LRV2-Lae</t>
  </si>
  <si>
    <t>L494</t>
  </si>
  <si>
    <t>KF757256</t>
  </si>
  <si>
    <t>Blechomonas maslovi LRV3 (Blechomonas maslovi Leishmaniavirus-like RNA virus 1)</t>
  </si>
  <si>
    <t>BmasLRV3</t>
  </si>
  <si>
    <t>OSU6</t>
  </si>
  <si>
    <t>MG967345</t>
  </si>
  <si>
    <t>Trichomonas vaginalis virus 5</t>
  </si>
  <si>
    <t>TVV5</t>
  </si>
  <si>
    <t>NYCE32(NYU)</t>
  </si>
  <si>
    <t>RnVV1</t>
  </si>
  <si>
    <t>Botryosphaeria dothidea victorivirus 1</t>
  </si>
  <si>
    <t>BdVV1</t>
  </si>
  <si>
    <t>GY25</t>
  </si>
  <si>
    <t>KM051424</t>
  </si>
  <si>
    <t>Phomopsis vexans RNA virus</t>
  </si>
  <si>
    <t>PvRV</t>
  </si>
  <si>
    <t>KP090346</t>
  </si>
  <si>
    <t>BbVV1</t>
  </si>
  <si>
    <t>KJ364649</t>
  </si>
  <si>
    <t>Ustilaginoidea virens RNA virus 1 (Ustilaginoidea virens RNA virus L)</t>
  </si>
  <si>
    <t>UvRV1</t>
  </si>
  <si>
    <t>GX-1</t>
  </si>
  <si>
    <t>KJ101566</t>
  </si>
  <si>
    <t>Ustilaginoidea virens RNA virus 3</t>
  </si>
  <si>
    <t>UvRV3</t>
  </si>
  <si>
    <t>Uv0901</t>
  </si>
  <si>
    <t>KF791042</t>
  </si>
  <si>
    <t>Magnaporthe oryzae virus 3</t>
  </si>
  <si>
    <t>MoV3</t>
  </si>
  <si>
    <t>QSP5</t>
  </si>
  <si>
    <t>KP893140</t>
  </si>
  <si>
    <t>Botryosphaeria dothidea victorivirus 2</t>
  </si>
  <si>
    <t>BdVV2</t>
  </si>
  <si>
    <t>MSD53</t>
  </si>
  <si>
    <t>MH301088</t>
  </si>
  <si>
    <t>Aspergillus lentulus totivirus 1</t>
  </si>
  <si>
    <t>AleTV1</t>
  </si>
  <si>
    <t>LC553706</t>
  </si>
  <si>
    <t>Penicillium digitatum virus 1</t>
  </si>
  <si>
    <t>PdV1</t>
  </si>
  <si>
    <t>HS-RH1</t>
  </si>
  <si>
    <t>KU933932</t>
  </si>
  <si>
    <t>Neofusicoccum parvum victorivirus 3</t>
  </si>
  <si>
    <t>NpVV3</t>
  </si>
  <si>
    <t>NFN</t>
  </si>
  <si>
    <t>MZ868719</t>
  </si>
  <si>
    <t>Nigrospora oryzae victorivirus 1</t>
  </si>
  <si>
    <t>NoRV1</t>
  </si>
  <si>
    <t>HN-21</t>
  </si>
  <si>
    <t>KT428155</t>
  </si>
  <si>
    <t>Macrophomina phaseolina victorivirus 1</t>
  </si>
  <si>
    <t>MpV1</t>
  </si>
  <si>
    <t>2012-019</t>
  </si>
  <si>
    <t>MK787250</t>
  </si>
  <si>
    <t>Sclerotinia nivalis victorivirus 1</t>
  </si>
  <si>
    <t>SnVV1</t>
  </si>
  <si>
    <t>SsSn-1.v</t>
  </si>
  <si>
    <t>KT365894</t>
  </si>
  <si>
    <t>Fusarium poae victorivirus 1</t>
  </si>
  <si>
    <t>FpVV1</t>
  </si>
  <si>
    <t>LC150610</t>
  </si>
  <si>
    <t>Macrophomina phaseolina victorivirus 2</t>
  </si>
  <si>
    <t>MpVV2</t>
  </si>
  <si>
    <t>MT023007</t>
  </si>
  <si>
    <t>Neofusicoccum parvum victorivirus 2</t>
  </si>
  <si>
    <t>NpVV2</t>
  </si>
  <si>
    <t>COLB</t>
  </si>
  <si>
    <t>MW175880</t>
  </si>
  <si>
    <t>Fusarium sambucinum victorivirus 1</t>
  </si>
  <si>
    <t>FsamVV1</t>
  </si>
  <si>
    <t>Fs2242v</t>
  </si>
  <si>
    <t>LC596824</t>
  </si>
  <si>
    <t>Botrytis cinerea victorivirus 2</t>
  </si>
  <si>
    <t>BcVV2</t>
  </si>
  <si>
    <t>BCS8_DN1217</t>
  </si>
  <si>
    <t>MN839447</t>
  </si>
  <si>
    <t>Botrytis cinerea mycovirus 4</t>
  </si>
  <si>
    <t>BcMyV4</t>
  </si>
  <si>
    <t>BCS14/BCS13</t>
  </si>
  <si>
    <t>Thelonectria quadrivirus 1</t>
  </si>
  <si>
    <t>TQV1</t>
  </si>
  <si>
    <t>NW-FVA-1901</t>
  </si>
  <si>
    <t>Spiciviridae</t>
  </si>
  <si>
    <t>Spicivirus</t>
  </si>
  <si>
    <t>Aedes camptorhynchus toti-like virus 1</t>
  </si>
  <si>
    <t>ACTLV</t>
  </si>
  <si>
    <t>mos172CP87493</t>
  </si>
  <si>
    <t>MF176241</t>
  </si>
  <si>
    <t>Scaphoideus titanus toti-like virus 1</t>
  </si>
  <si>
    <t>StToLV1</t>
  </si>
  <si>
    <t>St_FR</t>
  </si>
  <si>
    <t>MN982381</t>
  </si>
  <si>
    <t>Spissistilus festinus virus 1</t>
  </si>
  <si>
    <t>SpFV1</t>
  </si>
  <si>
    <t>TCAH</t>
  </si>
  <si>
    <t>GU979419</t>
  </si>
  <si>
    <t>Bemisia tabaci toti-like virus 1</t>
  </si>
  <si>
    <t>BtToLV1</t>
  </si>
  <si>
    <t>MW227222</t>
  </si>
  <si>
    <t>Bemisia tabaci toti-like virus 2</t>
  </si>
  <si>
    <t>BtToLV2</t>
  </si>
  <si>
    <t>MW227223</t>
  </si>
  <si>
    <t>Thrips tabaci associated dsRNA virus 1</t>
  </si>
  <si>
    <t>TtadsV1</t>
  </si>
  <si>
    <t>THR-E_DN24095</t>
  </si>
  <si>
    <t>MN764138</t>
  </si>
  <si>
    <t>Thrips tabaci associated dsRNA virus 2</t>
  </si>
  <si>
    <t>TtadsV2</t>
  </si>
  <si>
    <t>THR-E_DN23955</t>
  </si>
  <si>
    <t>MN764139</t>
  </si>
  <si>
    <t>Schistocephalus solidus toti-like virus 2</t>
  </si>
  <si>
    <t>SsTV2</t>
  </si>
  <si>
    <t>SsAE</t>
  </si>
  <si>
    <t>MN803436</t>
  </si>
  <si>
    <t>Circulifer tenellus virus 1</t>
  </si>
  <si>
    <t>CiTV1</t>
  </si>
  <si>
    <t>BLH</t>
  </si>
  <si>
    <t>GU979420</t>
  </si>
  <si>
    <t>Aedes aegypti toti-like virus</t>
  </si>
  <si>
    <t>GAATLV</t>
  </si>
  <si>
    <t>2017-PB-AAM-5</t>
  </si>
  <si>
    <t>MN053720</t>
  </si>
  <si>
    <t>Persimmon latent virus</t>
  </si>
  <si>
    <t>PeLV</t>
  </si>
  <si>
    <t>persimmon isolate</t>
  </si>
  <si>
    <t>AB735629</t>
  </si>
  <si>
    <t>Hubei toti-like virus 10</t>
  </si>
  <si>
    <t>HTLV10</t>
  </si>
  <si>
    <t>3mos6210</t>
  </si>
  <si>
    <t>KX882938</t>
  </si>
  <si>
    <t>Culex vishnui subgroup totivirus</t>
  </si>
  <si>
    <t>CvsTV</t>
  </si>
  <si>
    <t>17CxITNGK</t>
  </si>
  <si>
    <t>LC514295</t>
  </si>
  <si>
    <t>Betatotivirineae</t>
  </si>
  <si>
    <t>Artiviridae</t>
  </si>
  <si>
    <t>Artivirus</t>
  </si>
  <si>
    <t>Wenzhou toti-like virus 1</t>
  </si>
  <si>
    <t>WTLV</t>
  </si>
  <si>
    <t>WZRBX43319</t>
  </si>
  <si>
    <t>KX882995</t>
  </si>
  <si>
    <t>Wuhan insect virus 31</t>
  </si>
  <si>
    <t>WhIV31</t>
  </si>
  <si>
    <t>WHZM10182</t>
  </si>
  <si>
    <t>KX882989</t>
  </si>
  <si>
    <t>Penaeid shrimp infectious myonecrosis virus</t>
  </si>
  <si>
    <t>PSIMNV</t>
  </si>
  <si>
    <t>Poulos</t>
  </si>
  <si>
    <t>AY570982</t>
  </si>
  <si>
    <t>Soybean thrips-associated totivirus 2</t>
  </si>
  <si>
    <t>STaTV2</t>
  </si>
  <si>
    <t>STN1</t>
  </si>
  <si>
    <t>MT293125</t>
  </si>
  <si>
    <t>Drosophila totivirus (Drosophila melanogaster totivirus)</t>
  </si>
  <si>
    <t>GQ342961</t>
  </si>
  <si>
    <t>Hubei diptera virus 22</t>
  </si>
  <si>
    <t>HdV22</t>
  </si>
  <si>
    <t>SCM45279</t>
  </si>
  <si>
    <t>KX882972</t>
  </si>
  <si>
    <t>Armigeres subalbatus virus</t>
  </si>
  <si>
    <t>ArSV</t>
  </si>
  <si>
    <t>SaX06-AK20</t>
  </si>
  <si>
    <t>EU715328</t>
  </si>
  <si>
    <t>Omono River virus</t>
  </si>
  <si>
    <t>OMRV</t>
  </si>
  <si>
    <t>AK4</t>
  </si>
  <si>
    <t>AB555544</t>
  </si>
  <si>
    <t>Wenling toti-like virus 2</t>
  </si>
  <si>
    <t>WTLV2</t>
  </si>
  <si>
    <t>WLJQ104148</t>
  </si>
  <si>
    <t>KX882992</t>
  </si>
  <si>
    <t>Giardiaviridae</t>
  </si>
  <si>
    <t>Inseviridae</t>
  </si>
  <si>
    <t>Insevirus</t>
  </si>
  <si>
    <t>Hubei toti-like virus 12</t>
  </si>
  <si>
    <t>HTLV12</t>
  </si>
  <si>
    <t>HC21305</t>
  </si>
  <si>
    <t>KX882956</t>
  </si>
  <si>
    <t>Hubei toti-like virus 24</t>
  </si>
  <si>
    <t>HTLV24</t>
  </si>
  <si>
    <t>tick106628</t>
  </si>
  <si>
    <t>KX882977</t>
  </si>
  <si>
    <t>Camponotus yamaokai virus</t>
  </si>
  <si>
    <t>CYV</t>
  </si>
  <si>
    <t>TH-2013a</t>
  </si>
  <si>
    <t>LC026053</t>
  </si>
  <si>
    <t>Australian Anopheles totivirus</t>
  </si>
  <si>
    <t>AATV</t>
  </si>
  <si>
    <t>MF073200</t>
  </si>
  <si>
    <t>Bactrocera dorsalis toti-like virus 1</t>
  </si>
  <si>
    <t>BDTLV1</t>
  </si>
  <si>
    <t>BDTLV1.abc7</t>
  </si>
  <si>
    <t>MN745082</t>
  </si>
  <si>
    <t>Sogatella furcifera totivirus 1</t>
  </si>
  <si>
    <t>SfTV1</t>
  </si>
  <si>
    <t>MG546515</t>
  </si>
  <si>
    <t>Sogatella furcifera totivirus 2</t>
  </si>
  <si>
    <t>SfTV2</t>
  </si>
  <si>
    <t>MG546516</t>
  </si>
  <si>
    <t>Bactrocera dorsalis toti-like virus 2</t>
  </si>
  <si>
    <t>BDTLV2</t>
  </si>
  <si>
    <t>abc8</t>
  </si>
  <si>
    <t>MN745083</t>
  </si>
  <si>
    <t>Aedes aegypti totivirus</t>
  </si>
  <si>
    <t>GAATV</t>
  </si>
  <si>
    <t>2017-Ab-AAF-5</t>
  </si>
  <si>
    <t>MN053722</t>
  </si>
  <si>
    <t>Culex inatomii totivirus</t>
  </si>
  <si>
    <t>CiTV</t>
  </si>
  <si>
    <t>Leuven_Pool4</t>
  </si>
  <si>
    <t>MW699041</t>
  </si>
  <si>
    <t>Xingshan nematode virus 6</t>
  </si>
  <si>
    <t>XsNV6</t>
  </si>
  <si>
    <t>XSNXC32793</t>
  </si>
  <si>
    <t>KX882996</t>
  </si>
  <si>
    <t>Camponotus nipponicus virus</t>
  </si>
  <si>
    <t>SS-2014a</t>
  </si>
  <si>
    <t>LC101918</t>
  </si>
  <si>
    <t>Hubei toti-like virus 13</t>
  </si>
  <si>
    <t>HTLV13</t>
  </si>
  <si>
    <t>QTM25941</t>
  </si>
  <si>
    <t>KX882966</t>
  </si>
  <si>
    <t>Anopheles totivirus</t>
  </si>
  <si>
    <t>AToV</t>
  </si>
  <si>
    <t>KX148550</t>
  </si>
  <si>
    <t>Beihai uca arcuata virus 1</t>
  </si>
  <si>
    <t>BUAV1</t>
  </si>
  <si>
    <t>BFZCX5633</t>
  </si>
  <si>
    <t>KX882942</t>
  </si>
  <si>
    <t>Hubei toti-like virus 15</t>
  </si>
  <si>
    <t>HTLV15</t>
  </si>
  <si>
    <t>SCM51462</t>
  </si>
  <si>
    <t>KX882974</t>
  </si>
  <si>
    <t>Lebotiviridae</t>
  </si>
  <si>
    <t>Lebotivirus</t>
  </si>
  <si>
    <t>Sanxia water strider virus 20</t>
  </si>
  <si>
    <t>SWSV20</t>
  </si>
  <si>
    <t>SXSSP2584</t>
  </si>
  <si>
    <t>KX882976</t>
  </si>
  <si>
    <t>Solenopsis midden virus</t>
  </si>
  <si>
    <t>SlMiV</t>
  </si>
  <si>
    <t>MH727531</t>
  </si>
  <si>
    <t>LbTLV</t>
  </si>
  <si>
    <t>NSref</t>
  </si>
  <si>
    <t>KF274642</t>
  </si>
  <si>
    <t>Hubei toti-like virus 19</t>
  </si>
  <si>
    <t>HTLV19</t>
  </si>
  <si>
    <t>horsefly123848</t>
  </si>
  <si>
    <t>KX882957</t>
  </si>
  <si>
    <t>Hubei toti-like virus 18</t>
  </si>
  <si>
    <t>HTLV18</t>
  </si>
  <si>
    <t>WHCC116098</t>
  </si>
  <si>
    <t>KX882979</t>
  </si>
  <si>
    <t>Hubei toti-like virus 20</t>
  </si>
  <si>
    <t>HTLV20</t>
  </si>
  <si>
    <t>CC62244</t>
  </si>
  <si>
    <t>KX882952</t>
  </si>
  <si>
    <t>Shuangao toti-like virus</t>
  </si>
  <si>
    <t>ShTLV</t>
  </si>
  <si>
    <t>ZJ97483</t>
  </si>
  <si>
    <t>KX882960</t>
  </si>
  <si>
    <t>Linepithema humile toti-like virus 1</t>
  </si>
  <si>
    <t>LhuTLV1</t>
  </si>
  <si>
    <t>11CAT04</t>
  </si>
  <si>
    <t>MH213243</t>
  </si>
  <si>
    <t>Megatotiviridae</t>
  </si>
  <si>
    <t>Megatotivirus</t>
  </si>
  <si>
    <t>Rosellinia necatrix megatotivirus 1</t>
  </si>
  <si>
    <t>RnMTV1</t>
  </si>
  <si>
    <t>c/Rn430</t>
  </si>
  <si>
    <t>LC333746</t>
  </si>
  <si>
    <t>Picoa juniperi megatotivirus 1</t>
  </si>
  <si>
    <t>PjMTV1</t>
  </si>
  <si>
    <t>ANK_VIR-88</t>
  </si>
  <si>
    <t>MT876189</t>
  </si>
  <si>
    <t>Ootiviridae</t>
  </si>
  <si>
    <t>Ootivirus</t>
  </si>
  <si>
    <t>Plasmopara viticola lesion associated totivirus-like 2</t>
  </si>
  <si>
    <t>PVaTotiLike2</t>
  </si>
  <si>
    <t>DMS6_DN13622</t>
  </si>
  <si>
    <t>MN545915</t>
  </si>
  <si>
    <t>Pythium polare RNA virus 1</t>
  </si>
  <si>
    <t>PpRV1</t>
  </si>
  <si>
    <t>OPU1176</t>
  </si>
  <si>
    <t>LC376044</t>
  </si>
  <si>
    <t>Pythium splendens RNA virus 1</t>
  </si>
  <si>
    <t>PsRV1</t>
  </si>
  <si>
    <t>LC467965</t>
  </si>
  <si>
    <t>Phytophthora condilina RNA virus 1</t>
  </si>
  <si>
    <t>PcoRV1</t>
  </si>
  <si>
    <t>BD661</t>
  </si>
  <si>
    <t>MW503714</t>
  </si>
  <si>
    <t>Phytophthora cactorum RNA virus 1</t>
  </si>
  <si>
    <t>PcRV1</t>
  </si>
  <si>
    <t>pc1</t>
  </si>
  <si>
    <t>MN956531</t>
  </si>
  <si>
    <t>Plasmopara viticola lesion associated totivirus-like 1</t>
  </si>
  <si>
    <t>PVaTotiLike1</t>
  </si>
  <si>
    <t>DMG-E_DN28110</t>
  </si>
  <si>
    <t>MN545914</t>
  </si>
  <si>
    <t>Pythium ultimum RNA virus 2</t>
  </si>
  <si>
    <t>PuRV2</t>
  </si>
  <si>
    <t>UOP226T</t>
  </si>
  <si>
    <t>LC622069</t>
  </si>
  <si>
    <t>Pistolviridae</t>
  </si>
  <si>
    <t>Pistolvirus</t>
  </si>
  <si>
    <t>PMCV</t>
  </si>
  <si>
    <t>AL V-708</t>
  </si>
  <si>
    <t>HQ339954</t>
  </si>
  <si>
    <t>PMLV</t>
  </si>
  <si>
    <t>Golden shiner/PMCLV/USA/MN/2014</t>
  </si>
  <si>
    <t>KT725636</t>
  </si>
  <si>
    <t>Cyclopterus lumpus toti-like virus</t>
  </si>
  <si>
    <t>ClTLV</t>
  </si>
  <si>
    <t>TN18</t>
  </si>
  <si>
    <t>MW811138</t>
  </si>
  <si>
    <t>CCTLV1</t>
  </si>
  <si>
    <t>CCTLV-1/USA/MN/2018</t>
  </si>
  <si>
    <t>MW893686</t>
  </si>
  <si>
    <t>Yadonushiviridae</t>
  </si>
  <si>
    <t>Yadonushivirus</t>
  </si>
  <si>
    <t>Yado-nushi virus 1</t>
  </si>
  <si>
    <t>YnV1</t>
  </si>
  <si>
    <t>A/W1032</t>
  </si>
  <si>
    <t>LC061478</t>
  </si>
  <si>
    <t>Gammatotivirineae</t>
  </si>
  <si>
    <t>dsRNA1: AB368492; dsRNA2: AB438027; dsRNA3: AB438028; dsRNA4: AB438029</t>
  </si>
  <si>
    <t>dsRNA1: HE588144; dsRNA2: HE588145; dsRNA3: HE588146; dsRNA4: HE647818</t>
  </si>
  <si>
    <t>dsRNA1: OK481552; dsRNA2: OK481553; dsRNA3: OK481554</t>
  </si>
  <si>
    <t>dsRNA1: MT659125; dsRNA2: MT659126; dsRNA3: MT659127; dsRNA4: MT659128</t>
  </si>
  <si>
    <t>Orthototiviridae</t>
  </si>
  <si>
    <t>Red clover powdery mildew-associated totivirus 1</t>
  </si>
  <si>
    <t>RPaTV1a</t>
  </si>
  <si>
    <t>65-114</t>
  </si>
  <si>
    <t>LC075485</t>
  </si>
  <si>
    <t>Red clover powdery mildew-associated totivirus 3</t>
  </si>
  <si>
    <t>RPaTV3</t>
  </si>
  <si>
    <t>RPaTV3_75-77</t>
  </si>
  <si>
    <t>LC075488</t>
  </si>
  <si>
    <t>Hubei toti-like virus 2</t>
  </si>
  <si>
    <t>HTLV2</t>
  </si>
  <si>
    <t>arthropodmix13450</t>
  </si>
  <si>
    <t>KX882939</t>
  </si>
  <si>
    <t>Wuhan insect virus 26</t>
  </si>
  <si>
    <t>WhIV26</t>
  </si>
  <si>
    <t>WHZM10161</t>
  </si>
  <si>
    <t>KX882983</t>
  </si>
  <si>
    <t>Red clover powdery mildew-associated totivirus 5</t>
  </si>
  <si>
    <t>RPaTV5</t>
  </si>
  <si>
    <t>75-14</t>
  </si>
  <si>
    <t>LC075490</t>
  </si>
  <si>
    <t>Maize associated totivirus</t>
  </si>
  <si>
    <t>MATV</t>
  </si>
  <si>
    <t>16-0130bMATV-4-Tanz</t>
  </si>
  <si>
    <t>MK066243</t>
  </si>
  <si>
    <t>Red clover powdery mildew-associated totivirus 6</t>
  </si>
  <si>
    <t>RPaTV6</t>
  </si>
  <si>
    <t>75-22</t>
  </si>
  <si>
    <t>LC075491</t>
  </si>
  <si>
    <t>Beihai blue swimmer crab virus 3</t>
  </si>
  <si>
    <t>BBSCV3</t>
  </si>
  <si>
    <t>YYSZX17757</t>
  </si>
  <si>
    <t>KX882997</t>
  </si>
  <si>
    <t>Red clover powdery mildew-associated totivirus 7</t>
  </si>
  <si>
    <t>RPaTV7</t>
  </si>
  <si>
    <t>LC075492</t>
  </si>
  <si>
    <t>Panax notoginseng virus A</t>
  </si>
  <si>
    <t>PnVA</t>
  </si>
  <si>
    <t>YNSL1210</t>
  </si>
  <si>
    <t>KT388111</t>
  </si>
  <si>
    <t>Wuhan insect virus 27</t>
  </si>
  <si>
    <t>WhIV27</t>
  </si>
  <si>
    <t>WHZM10130</t>
  </si>
  <si>
    <t>KX882990</t>
  </si>
  <si>
    <t>Red clover powdery mildew-associated totivirus 2</t>
  </si>
  <si>
    <t>RPaTV2</t>
  </si>
  <si>
    <t>75-52</t>
  </si>
  <si>
    <t>LC075487</t>
  </si>
  <si>
    <t>Cronartium ribicola totivirus 5</t>
  </si>
  <si>
    <t>CrTV5</t>
  </si>
  <si>
    <t>OR4-2</t>
  </si>
  <si>
    <t>MK967422</t>
  </si>
  <si>
    <t>Rhodosporidiobolus odoratus RNA virus 1</t>
  </si>
  <si>
    <t>RoRV1</t>
  </si>
  <si>
    <t>GZ2017</t>
  </si>
  <si>
    <t>MN937194</t>
  </si>
  <si>
    <t>Torulaspora delbrueckii virus LA</t>
  </si>
  <si>
    <t>TdVLA</t>
  </si>
  <si>
    <t>LAbarr1</t>
  </si>
  <si>
    <t>MW174763</t>
  </si>
  <si>
    <t>Cronartium ribicola totivirus 4</t>
  </si>
  <si>
    <t>CrTV4</t>
  </si>
  <si>
    <t>SC2</t>
  </si>
  <si>
    <t>MK967421</t>
  </si>
  <si>
    <t>Plasmopara viticola lesion associated toti 1</t>
  </si>
  <si>
    <t>PVaToti1</t>
  </si>
  <si>
    <t>DMS3_DN31113</t>
  </si>
  <si>
    <t>MN545910</t>
  </si>
  <si>
    <t>Cronartium ribicola totivirus 3</t>
  </si>
  <si>
    <t>CrTV3</t>
  </si>
  <si>
    <t>MK967420</t>
  </si>
  <si>
    <t>Malassezia restricta virus</t>
  </si>
  <si>
    <t>MrV</t>
  </si>
  <si>
    <t>MrV40L</t>
  </si>
  <si>
    <t>MN603497</t>
  </si>
  <si>
    <t>Cronartium ribicola totivirus 2</t>
  </si>
  <si>
    <t>CrTV2</t>
  </si>
  <si>
    <t>MK967419</t>
  </si>
  <si>
    <t>Trichoderma koningiopsis totivirus 1</t>
  </si>
  <si>
    <t>TkTV1</t>
  </si>
  <si>
    <t>Mg10</t>
  </si>
  <si>
    <t>MK993478</t>
  </si>
  <si>
    <t>Malassezia sympodialis mycovirus</t>
  </si>
  <si>
    <t>MsMV1</t>
  </si>
  <si>
    <t>MN812428</t>
  </si>
  <si>
    <t>Plasmopara viticola lesion associated toti 3</t>
  </si>
  <si>
    <t>PVaToti3</t>
  </si>
  <si>
    <t>DMS6_DN42927</t>
  </si>
  <si>
    <t>MN545912</t>
  </si>
  <si>
    <t>Conidiobolus heterosporus totivirus 1</t>
  </si>
  <si>
    <t>ChTV1</t>
  </si>
  <si>
    <t>RCEF 4502</t>
  </si>
  <si>
    <t>MW249058</t>
  </si>
  <si>
    <t>Tea-oil camellia-associated totivirus 1</t>
  </si>
  <si>
    <t>TOCaTV1</t>
  </si>
  <si>
    <t>Jiangxi</t>
  </si>
  <si>
    <t>MW025466</t>
  </si>
  <si>
    <t>Maize-associated totivirus 1</t>
  </si>
  <si>
    <t>MATV1</t>
  </si>
  <si>
    <t>KP984504</t>
  </si>
  <si>
    <t>GCRV-873</t>
  </si>
  <si>
    <t>Seg1: AF282467; Seg2: AF282468; Seg3: AF282469; Seg4: AF282470; Seg5: AF282471; Seg6: AF282472; Seg7: AF282473; Seg8: AF282474; Seg9: AF282475; Seg10: AF282476; Seg11: AF282477; Seg12: AF282478</t>
  </si>
  <si>
    <t>X80480; X80481; X82045; X82046; X82047; X82048; X82049</t>
  </si>
  <si>
    <t>mycoreovirus 1</t>
  </si>
  <si>
    <t>MyRV1</t>
  </si>
  <si>
    <t>mycoreovirus 2</t>
  </si>
  <si>
    <t>MyRV2</t>
  </si>
  <si>
    <t>apple ilarvirus 2</t>
  </si>
  <si>
    <t>AIV2</t>
  </si>
  <si>
    <t>BC94</t>
  </si>
  <si>
    <t>ON932434; ON932435; ON932436</t>
  </si>
  <si>
    <t>Actinidia yellowing ringspot virus</t>
  </si>
  <si>
    <t>AYRSpV</t>
  </si>
  <si>
    <t>Meixian</t>
  </si>
  <si>
    <t>MN612758; MN612759; MN612760</t>
  </si>
  <si>
    <t>Carpotroche-associated ilarvirus 1</t>
  </si>
  <si>
    <t>CarIV1</t>
  </si>
  <si>
    <t>none given</t>
  </si>
  <si>
    <t>OL964100; OL964099; OL964098</t>
  </si>
  <si>
    <t>Hydrangea vein banding virus</t>
  </si>
  <si>
    <t>HdVBV</t>
  </si>
  <si>
    <t>Fitolab</t>
  </si>
  <si>
    <t>OK666835; OK666836; OK666837</t>
  </si>
  <si>
    <t>Prunus virus 1</t>
  </si>
  <si>
    <t>PrV1</t>
  </si>
  <si>
    <t>c18</t>
  </si>
  <si>
    <t>MW579753; MW579754; MW579755</t>
  </si>
  <si>
    <t>Rosa ilarvirus 1</t>
  </si>
  <si>
    <t>RIV1</t>
  </si>
  <si>
    <t>MT017861; MT017862; MT017863</t>
  </si>
  <si>
    <t>rose ilarvirus 2</t>
  </si>
  <si>
    <t>RIV2</t>
  </si>
  <si>
    <t>ON843765; ON843766; ON843767</t>
  </si>
  <si>
    <t>Solanum nigrum ilarvirus 1</t>
  </si>
  <si>
    <t>SnIV1</t>
  </si>
  <si>
    <t>JUR20SW1</t>
  </si>
  <si>
    <t>OL472060; OL472061; OL472062</t>
  </si>
  <si>
    <t>soybean ilarvirus 1</t>
  </si>
  <si>
    <t>SolV1</t>
  </si>
  <si>
    <t>IA-2016</t>
  </si>
  <si>
    <t>OL539723; OL539724; OL539725</t>
  </si>
  <si>
    <t>water chestnut virus A</t>
  </si>
  <si>
    <t>WCVA</t>
  </si>
  <si>
    <t>Guangxi</t>
  </si>
  <si>
    <t>MZ170696; MZ170697; MZ170698</t>
  </si>
  <si>
    <t>J02413; U47034</t>
  </si>
  <si>
    <t>Pseudostellaria heterophylla carlavirus 2</t>
  </si>
  <si>
    <t>PhCV2</t>
  </si>
  <si>
    <t>TZS</t>
  </si>
  <si>
    <t>jasmine virus C</t>
  </si>
  <si>
    <t>JVC</t>
  </si>
  <si>
    <t>T110</t>
  </si>
  <si>
    <t>cole mild mosaic virus</t>
  </si>
  <si>
    <t>CoMMV</t>
  </si>
  <si>
    <t>T25</t>
  </si>
  <si>
    <t>blueberry virus S</t>
  </si>
  <si>
    <t>V2</t>
  </si>
  <si>
    <t>Pseudostellaria heterophylla carlavirus 3</t>
  </si>
  <si>
    <t>PhCV3</t>
  </si>
  <si>
    <t>Pseudostellaria heterophylla carlavirus 1</t>
  </si>
  <si>
    <t>PhCV1</t>
  </si>
  <si>
    <t>Stevia carlavirus 1</t>
  </si>
  <si>
    <t>StCV1</t>
  </si>
  <si>
    <t>Prunus mume chlorotic leaf curl-associated virus</t>
  </si>
  <si>
    <t>PmCLCaV</t>
  </si>
  <si>
    <t>Gerbera capillovirus A</t>
  </si>
  <si>
    <t>GeCV1</t>
  </si>
  <si>
    <t>Polyscias capillovirus 1</t>
  </si>
  <si>
    <t>PoCaV1</t>
  </si>
  <si>
    <t>ZWY-16</t>
  </si>
  <si>
    <t>Polyscias citrivirus 1</t>
  </si>
  <si>
    <t>PoCiV1</t>
  </si>
  <si>
    <t>pineapple vitivirus A</t>
  </si>
  <si>
    <t>PiVA</t>
  </si>
  <si>
    <t>16-1</t>
  </si>
  <si>
    <t>grapevine virus N</t>
  </si>
  <si>
    <t>GVN</t>
  </si>
  <si>
    <t>RSA-05-03-Azal-tinto</t>
  </si>
  <si>
    <t>Pleurotus ostreatus deltaflexivirus 1</t>
  </si>
  <si>
    <t>PoDV1</t>
  </si>
  <si>
    <t>Aastrivirus</t>
  </si>
  <si>
    <t>MAG: Leviviridae sp. isolate 179-k141_18680 genomic sequence</t>
  </si>
  <si>
    <t>MZ679574</t>
  </si>
  <si>
    <t>Aldormivirus</t>
  </si>
  <si>
    <t>Alkesdovirus</t>
  </si>
  <si>
    <t>ssRNA_80816</t>
  </si>
  <si>
    <t>CASDWV010003375</t>
  </si>
  <si>
    <t>ssRNA_63794</t>
  </si>
  <si>
    <t>CASDWV010002739</t>
  </si>
  <si>
    <t>ssRNA_78387</t>
  </si>
  <si>
    <t>CASDWV010003276</t>
  </si>
  <si>
    <t>ssRNA_122880</t>
  </si>
  <si>
    <t>CASDWV010004554</t>
  </si>
  <si>
    <t>ssRNA_30053</t>
  </si>
  <si>
    <t>CASDWV010001053</t>
  </si>
  <si>
    <t>Alvostovirus</t>
  </si>
  <si>
    <t>ssRNA_136182</t>
  </si>
  <si>
    <t>CASDWV010004962</t>
  </si>
  <si>
    <t>Ashurnovirus</t>
  </si>
  <si>
    <t>MAG: Leviviridae sp. isolate 166-k141_270413 genomic sequence</t>
  </si>
  <si>
    <t>MZ679638</t>
  </si>
  <si>
    <t>MAG: Leviviridae sp. isolate 238-k141_111698 genomic sequence</t>
  </si>
  <si>
    <t>MZ679482</t>
  </si>
  <si>
    <t>Astuncavirus</t>
  </si>
  <si>
    <t>MAG: Leviviridae sp. isolate 37-k141_139887 genomic sequence</t>
  </si>
  <si>
    <t>MZ679532</t>
  </si>
  <si>
    <t>Avantavirus</t>
  </si>
  <si>
    <t>MAG: Leviviridae sp. isolate 258-k141_20321 genomic sequence</t>
  </si>
  <si>
    <t>MZ679585</t>
  </si>
  <si>
    <t>Bahdevirus</t>
  </si>
  <si>
    <t>MAG: Leviviridae sp. isolate 359R-k141_373204 genomic sequence</t>
  </si>
  <si>
    <t>MZ679696</t>
  </si>
  <si>
    <t>Bahguvirus</t>
  </si>
  <si>
    <t>MAG: Leviviridae sp. isolate 167-k141_331219 genomic sequence</t>
  </si>
  <si>
    <t>MZ680334</t>
  </si>
  <si>
    <t>MAG: Leviviridae sp. isolate 240b-k141_137670 genomic sequence</t>
  </si>
  <si>
    <t>MZ679528</t>
  </si>
  <si>
    <t>Balsavirus</t>
  </si>
  <si>
    <t>MAG: Leviviridae sp. isolate 279-k141_382293 genomic sequence</t>
  </si>
  <si>
    <t>MZ679702</t>
  </si>
  <si>
    <t>Barchevirus</t>
  </si>
  <si>
    <t>ssRNA_65082</t>
  </si>
  <si>
    <t>CASDWV010002758</t>
  </si>
  <si>
    <t>Sanya atkins-like virus 1</t>
  </si>
  <si>
    <t>MAG: Sanya atkins-like virus 1 isolate YSCLS226 maturation protein, hypothetical protein, and RNA replicase beta chain genes, complete cds</t>
  </si>
  <si>
    <t>OM514449</t>
  </si>
  <si>
    <t>Bardovirus</t>
  </si>
  <si>
    <t>ssRNA_38360</t>
  </si>
  <si>
    <t>CASDWV010001328</t>
  </si>
  <si>
    <t>Bartovirus</t>
  </si>
  <si>
    <t>ssRNA_36681</t>
  </si>
  <si>
    <t>CASDWV010001267</t>
  </si>
  <si>
    <t>ssRNA_45896</t>
  </si>
  <si>
    <t>CASDWV010001835</t>
  </si>
  <si>
    <t>ssRNA_60924</t>
  </si>
  <si>
    <t>CASDWV010002572</t>
  </si>
  <si>
    <t>Bascudevirus</t>
  </si>
  <si>
    <t>ssRNA_119021</t>
  </si>
  <si>
    <t>CASDWV010004426</t>
  </si>
  <si>
    <t>Batdovirus</t>
  </si>
  <si>
    <t>MAG: Leviviridae sp. isolate 358R-k141_247135 genomic sequence</t>
  </si>
  <si>
    <t>MZ679619</t>
  </si>
  <si>
    <t>Beahrlevirus</t>
  </si>
  <si>
    <t>ssRNA_114241</t>
  </si>
  <si>
    <t>CASDWV010004239</t>
  </si>
  <si>
    <t>Behauvirus</t>
  </si>
  <si>
    <t>ssRNA_117158</t>
  </si>
  <si>
    <t>CASDWV010004337</t>
  </si>
  <si>
    <t>Beheusavirus</t>
  </si>
  <si>
    <t>ssRNA_77667</t>
  </si>
  <si>
    <t>CASDWV010003245</t>
  </si>
  <si>
    <t>Behntlevirus</t>
  </si>
  <si>
    <t>ssRNA_27584</t>
  </si>
  <si>
    <t>CASDWV010000960</t>
  </si>
  <si>
    <t>Behrmuvirus</t>
  </si>
  <si>
    <t>ssRNA_127664</t>
  </si>
  <si>
    <t>CASDWV010004694</t>
  </si>
  <si>
    <t>Bercswevirus</t>
  </si>
  <si>
    <t>ssRNA_64</t>
  </si>
  <si>
    <t>CASDWV010000011</t>
  </si>
  <si>
    <t>Bermivirus</t>
  </si>
  <si>
    <t>ssRNA_39956</t>
  </si>
  <si>
    <t>CASDWV010001417</t>
  </si>
  <si>
    <t>Bexdevirus</t>
  </si>
  <si>
    <t>ssRNA_92208</t>
  </si>
  <si>
    <t>CASDWV010003847</t>
  </si>
  <si>
    <t>ssRNA_5205</t>
  </si>
  <si>
    <t>CASDWV010000257</t>
  </si>
  <si>
    <t>ssRNA_10366</t>
  </si>
  <si>
    <t>CASDWV010000505</t>
  </si>
  <si>
    <t>ssRNA_39116</t>
  </si>
  <si>
    <t>CASDWV010001384</t>
  </si>
  <si>
    <t>ssRNA_27272</t>
  </si>
  <si>
    <t>CASDWV010000950</t>
  </si>
  <si>
    <t>ssRNA_40483</t>
  </si>
  <si>
    <t>CASDWV010001454</t>
  </si>
  <si>
    <t>ssRNA_61648</t>
  </si>
  <si>
    <t>CASDWV010002593</t>
  </si>
  <si>
    <t>ssRNA_128371</t>
  </si>
  <si>
    <t>CASDWV010004709</t>
  </si>
  <si>
    <t>ssRNA_99213</t>
  </si>
  <si>
    <t>CASDWV010004043</t>
  </si>
  <si>
    <t>ssRNA_14535</t>
  </si>
  <si>
    <t>CASDWV010000563</t>
  </si>
  <si>
    <t>Bidwuvirus</t>
  </si>
  <si>
    <t>ssRNA_124121</t>
  </si>
  <si>
    <t>CASDWV010004591</t>
  </si>
  <si>
    <t>Bihdfovirus</t>
  </si>
  <si>
    <t>ssRNA_34278</t>
  </si>
  <si>
    <t>CASDWV010001176</t>
  </si>
  <si>
    <t>ssRNA_81449</t>
  </si>
  <si>
    <t>CASDWV010003399</t>
  </si>
  <si>
    <t>Bihshovirus</t>
  </si>
  <si>
    <t>ssRNA_45997</t>
  </si>
  <si>
    <t>CASDWV010001840</t>
  </si>
  <si>
    <t>ssRNA_132795</t>
  </si>
  <si>
    <t>CASDWV010004856</t>
  </si>
  <si>
    <t>Bilsavirus</t>
  </si>
  <si>
    <t>MAG: Leviviridae sp. isolate R29-k141_518306 genomic sequence</t>
  </si>
  <si>
    <t>MZ679752</t>
  </si>
  <si>
    <t>MAG: Leviviridae sp. isolate R29-k141_644397 genomic sequence</t>
  </si>
  <si>
    <t>MZ679786</t>
  </si>
  <si>
    <t>Birdonovirus</t>
  </si>
  <si>
    <t>ssRNA_135285</t>
  </si>
  <si>
    <t>CASDWV010004928</t>
  </si>
  <si>
    <t>Birfovirus</t>
  </si>
  <si>
    <t>Sanya atkins-like virus 2</t>
  </si>
  <si>
    <t>MAG: Sanya atkins-like virus 2 isolate QJZLS500 hypothetical protein, maturation protein, hypothetical protein, and RNA replicase beta chain genes, complete cds</t>
  </si>
  <si>
    <t>OM514450</t>
  </si>
  <si>
    <t>Birstovirus</t>
  </si>
  <si>
    <t>MAG: Leviviridae sp. isolate 29-k141_20837_2 maturation protein gene, partial cds; and coat protein and RNA dependent RNA polymerase genes, complete cds</t>
  </si>
  <si>
    <t>ON164096</t>
  </si>
  <si>
    <t>Blictovirus</t>
  </si>
  <si>
    <t>ssRNA_67552</t>
  </si>
  <si>
    <t>CASDWV010002838</t>
  </si>
  <si>
    <t>ssRNA_124521</t>
  </si>
  <si>
    <t>CASDWV010004615</t>
  </si>
  <si>
    <t>ssRNA_56173</t>
  </si>
  <si>
    <t>CASDWV010002387</t>
  </si>
  <si>
    <t>ssRNA_101210</t>
  </si>
  <si>
    <t>CASDWV010004095</t>
  </si>
  <si>
    <t>ssRNA_45823</t>
  </si>
  <si>
    <t>CASDWV010001833</t>
  </si>
  <si>
    <t>ssRNA_45315</t>
  </si>
  <si>
    <t>CASDWV010001786</t>
  </si>
  <si>
    <t>ssRNA_5962</t>
  </si>
  <si>
    <t>CASDWV010000323</t>
  </si>
  <si>
    <t>ssRNA_23448</t>
  </si>
  <si>
    <t>CASDWV010000802</t>
  </si>
  <si>
    <t>ssRNA_41840</t>
  </si>
  <si>
    <t>CASDWV010001531</t>
  </si>
  <si>
    <t>ssRNA_9018</t>
  </si>
  <si>
    <t>CASDWV010000428</t>
  </si>
  <si>
    <t>ssRNA_40528</t>
  </si>
  <si>
    <t>CASDWV010001462</t>
  </si>
  <si>
    <t>ssRNA_100649</t>
  </si>
  <si>
    <t>CASDWV010004067</t>
  </si>
  <si>
    <t>ssRNA_1</t>
  </si>
  <si>
    <t>CASDWV010000001</t>
  </si>
  <si>
    <t>ssRNA_88294</t>
  </si>
  <si>
    <t>CASDWV010003699</t>
  </si>
  <si>
    <t>ssRNA_62473</t>
  </si>
  <si>
    <t>CASDWV010002665</t>
  </si>
  <si>
    <t>ssRNA_9705</t>
  </si>
  <si>
    <t>CASDWV010000493</t>
  </si>
  <si>
    <t>ssRNA_3777</t>
  </si>
  <si>
    <t>CASDWV010000194</t>
  </si>
  <si>
    <t>ssRNA_82148</t>
  </si>
  <si>
    <t>CASDWV010003422</t>
  </si>
  <si>
    <t>ssRNA_91275</t>
  </si>
  <si>
    <t>CASDWV010003821</t>
  </si>
  <si>
    <t>ssRNA_97003</t>
  </si>
  <si>
    <t>CASDWV010003971</t>
  </si>
  <si>
    <t>Bolihivirus</t>
  </si>
  <si>
    <t>ssRNA_125534</t>
  </si>
  <si>
    <t>CASDWV010004643</t>
  </si>
  <si>
    <t>ssRNA_6713</t>
  </si>
  <si>
    <t>CASDWV010000364</t>
  </si>
  <si>
    <t>ssRNA_126887</t>
  </si>
  <si>
    <t>CASDWV010004662</t>
  </si>
  <si>
    <t>ssRNA_42993</t>
  </si>
  <si>
    <t>CASDWV010001636</t>
  </si>
  <si>
    <t>Bolislovirus</t>
  </si>
  <si>
    <t>ssRNA_131627</t>
  </si>
  <si>
    <t>CASDWV010004824</t>
  </si>
  <si>
    <t>Boltovirus</t>
  </si>
  <si>
    <t>ssRNA_61839</t>
  </si>
  <si>
    <t>CASDWV010002634</t>
  </si>
  <si>
    <t>Bouhrtavirus</t>
  </si>
  <si>
    <t>ssRNA_46562</t>
  </si>
  <si>
    <t>CASDWV010001879</t>
  </si>
  <si>
    <t>Braholevirus</t>
  </si>
  <si>
    <t>ssRNA_20394</t>
  </si>
  <si>
    <t>CASDWV010000679</t>
  </si>
  <si>
    <t>Bramcovirus</t>
  </si>
  <si>
    <t>ssRNA_40591</t>
  </si>
  <si>
    <t>CASDWV010001469</t>
  </si>
  <si>
    <t>ssRNA_24373</t>
  </si>
  <si>
    <t>CASDWV010000839</t>
  </si>
  <si>
    <t>Bramkuvirus</t>
  </si>
  <si>
    <t>ssRNA_23341</t>
  </si>
  <si>
    <t>CASDWV010000776</t>
  </si>
  <si>
    <t>Branavirus</t>
  </si>
  <si>
    <t>MAG: Leviviridae sp. isolate 294-k141_14750_2 maturation protein, coat protein, and RNA dependent RNA polymerase genes, complete cds</t>
  </si>
  <si>
    <t>ON162890</t>
  </si>
  <si>
    <t>Brandovirus</t>
  </si>
  <si>
    <t>ssRNA_40575</t>
  </si>
  <si>
    <t>CASDWV010001464</t>
  </si>
  <si>
    <t>Brehdfovirus</t>
  </si>
  <si>
    <t>ssRNA_25899</t>
  </si>
  <si>
    <t>CASDWV010000886</t>
  </si>
  <si>
    <t>Broetwevirus</t>
  </si>
  <si>
    <t>ssRNA_3050</t>
  </si>
  <si>
    <t>CASDWV010000167</t>
  </si>
  <si>
    <t>Bruncluvirus</t>
  </si>
  <si>
    <t>ssRNA_22700</t>
  </si>
  <si>
    <t>CASDWV010000749</t>
  </si>
  <si>
    <t>ssRNA_48684</t>
  </si>
  <si>
    <t>CASDWV010001996</t>
  </si>
  <si>
    <t>ssRNA_37684</t>
  </si>
  <si>
    <t>CASDWV010001309</t>
  </si>
  <si>
    <t>ssRNA_49525</t>
  </si>
  <si>
    <t>CASDWV010002028</t>
  </si>
  <si>
    <t>ssRNA_27580</t>
  </si>
  <si>
    <t>CASDWV010000958</t>
  </si>
  <si>
    <t>ssRNA_26315</t>
  </si>
  <si>
    <t>CASDWV010000904</t>
  </si>
  <si>
    <t>ssRNA_37667</t>
  </si>
  <si>
    <t>CASDWV010001305</t>
  </si>
  <si>
    <t>ssRNA_48680</t>
  </si>
  <si>
    <t>CASDWV010001993</t>
  </si>
  <si>
    <t>Buckevirus</t>
  </si>
  <si>
    <t>ssRNA_138139</t>
  </si>
  <si>
    <t>CASDWV010005013</t>
  </si>
  <si>
    <t>ssRNA_37626</t>
  </si>
  <si>
    <t>CASDWV010001300</t>
  </si>
  <si>
    <t>Budprovirus</t>
  </si>
  <si>
    <t>ssRNA_40175</t>
  </si>
  <si>
    <t>CASDWV010001444</t>
  </si>
  <si>
    <t>Buhdlovirus</t>
  </si>
  <si>
    <t>ssRNA_47134</t>
  </si>
  <si>
    <t>CASDWV010001921</t>
  </si>
  <si>
    <t>Buhpbivirus</t>
  </si>
  <si>
    <t>ssRNA_36366</t>
  </si>
  <si>
    <t>CASDWV010001256</t>
  </si>
  <si>
    <t>Buhshwavirus</t>
  </si>
  <si>
    <t>ssRNA_46586</t>
  </si>
  <si>
    <t>CASDWV010001889</t>
  </si>
  <si>
    <t>Bulcivirus</t>
  </si>
  <si>
    <t>ssRNA_40585</t>
  </si>
  <si>
    <t>CASDWV010001466</t>
  </si>
  <si>
    <t>Bunlevirus</t>
  </si>
  <si>
    <t>ssRNA_63439</t>
  </si>
  <si>
    <t>CASDWV010002724</t>
  </si>
  <si>
    <t>ssRNA_89259</t>
  </si>
  <si>
    <t>CASDWV010003737</t>
  </si>
  <si>
    <t>Buntovirus</t>
  </si>
  <si>
    <t>ssRNA_135661</t>
  </si>
  <si>
    <t>CASDWV010004943</t>
  </si>
  <si>
    <t>Burdivirus</t>
  </si>
  <si>
    <t>ssRNA_113107</t>
  </si>
  <si>
    <t>CASDWV010004216</t>
  </si>
  <si>
    <t>ssRNA_138621</t>
  </si>
  <si>
    <t>CASDWV010005021</t>
  </si>
  <si>
    <t>Burtuvirus</t>
  </si>
  <si>
    <t>ssRNA_46157</t>
  </si>
  <si>
    <t>CASDWV010001844</t>
  </si>
  <si>
    <t>Bushuvirus</t>
  </si>
  <si>
    <t>ssRNA_140510</t>
  </si>
  <si>
    <t>CASDWV010005080</t>
  </si>
  <si>
    <t>ssRNA_27625</t>
  </si>
  <si>
    <t>CASDWV010000964</t>
  </si>
  <si>
    <t>ssRNA_53467</t>
  </si>
  <si>
    <t>CASDWV010002261</t>
  </si>
  <si>
    <t>ssRNA_54843</t>
  </si>
  <si>
    <t>CASDWV010002336</t>
  </si>
  <si>
    <t>ssRNA_132315</t>
  </si>
  <si>
    <t>CASDWV010004848</t>
  </si>
  <si>
    <t>ssRNA_111234</t>
  </si>
  <si>
    <t>CASDWV010004197</t>
  </si>
  <si>
    <t>ssRNA_73602</t>
  </si>
  <si>
    <t>CASDWV010003111</t>
  </si>
  <si>
    <t>ssRNA_20754</t>
  </si>
  <si>
    <t>CASDWV010000681</t>
  </si>
  <si>
    <t>Cahwstovirus</t>
  </si>
  <si>
    <t>ssRNA_111228</t>
  </si>
  <si>
    <t>CASDWV010004195</t>
  </si>
  <si>
    <t>Caldevirus</t>
  </si>
  <si>
    <t>ssRNA_47523</t>
  </si>
  <si>
    <t>CASDWV010001938</t>
  </si>
  <si>
    <t>Cambruovirus</t>
  </si>
  <si>
    <t>ssRNA_48683</t>
  </si>
  <si>
    <t>CASDWV010001995</t>
  </si>
  <si>
    <t>Capsdovirus</t>
  </si>
  <si>
    <t>ssRNA_89682</t>
  </si>
  <si>
    <t>CASDWV010003773</t>
  </si>
  <si>
    <t>Casfavirus</t>
  </si>
  <si>
    <t>Chadwivirus</t>
  </si>
  <si>
    <t>ssRNA_49546</t>
  </si>
  <si>
    <t>CASDWV010002031</t>
  </si>
  <si>
    <t>Chahpevirus</t>
  </si>
  <si>
    <t>ssRNA_52394</t>
  </si>
  <si>
    <t>CASDWV010002214</t>
  </si>
  <si>
    <t>Chatshuvirus</t>
  </si>
  <si>
    <t>ssRNA_61646</t>
  </si>
  <si>
    <t>CASDWV010002592</t>
  </si>
  <si>
    <t>Chepelevirus</t>
  </si>
  <si>
    <t>ssRNA_49815</t>
  </si>
  <si>
    <t>CASDWV010002059</t>
  </si>
  <si>
    <t>Cherlevirus</t>
  </si>
  <si>
    <t>ssRNA_54020</t>
  </si>
  <si>
    <t>CASDWV010002299</t>
  </si>
  <si>
    <t>Cherovirus</t>
  </si>
  <si>
    <t>ssRNA_49513</t>
  </si>
  <si>
    <t>CASDWV010002023</t>
  </si>
  <si>
    <t>Chostevirus</t>
  </si>
  <si>
    <t>ssRNA_55465</t>
  </si>
  <si>
    <t>CASDWV010002355</t>
  </si>
  <si>
    <t>Churchovirus</t>
  </si>
  <si>
    <t>ssRNA_56686</t>
  </si>
  <si>
    <t>CASDWV010002412</t>
  </si>
  <si>
    <t>ssRNA_130363</t>
  </si>
  <si>
    <t>CASDWV010004771</t>
  </si>
  <si>
    <t>Clavivirus</t>
  </si>
  <si>
    <t>ssRNA_66769</t>
  </si>
  <si>
    <t>CASDWV010002813</t>
  </si>
  <si>
    <t>Clifovirus</t>
  </si>
  <si>
    <t>ssRNA_60583</t>
  </si>
  <si>
    <t>CASDWV010002528</t>
  </si>
  <si>
    <t>Clufdovirus</t>
  </si>
  <si>
    <t>ssRNA_68625</t>
  </si>
  <si>
    <t>CASDWV010002887</t>
  </si>
  <si>
    <t>Cohrlevirus</t>
  </si>
  <si>
    <t>ssRNA_51897</t>
  </si>
  <si>
    <t>CASDWV010002174</t>
  </si>
  <si>
    <t>Colishivirus</t>
  </si>
  <si>
    <t>ssRNA_68633</t>
  </si>
  <si>
    <t>CASDWV010002890</t>
  </si>
  <si>
    <t>Comptovirus</t>
  </si>
  <si>
    <t>ssRNA_42683</t>
  </si>
  <si>
    <t>CASDWV010001599</t>
  </si>
  <si>
    <t>Comptuvirus</t>
  </si>
  <si>
    <t>ssRNA_86494</t>
  </si>
  <si>
    <t>CASDWV010003609</t>
  </si>
  <si>
    <t>Coughduvirus</t>
  </si>
  <si>
    <t>MAG: Leviviridae sp. isolate R28-k141_355175 genomic sequence</t>
  </si>
  <si>
    <t>MZ679687</t>
  </si>
  <si>
    <t>ssRNA_61842</t>
  </si>
  <si>
    <t>CASDWV010002636</t>
  </si>
  <si>
    <t>ssRNA_117657</t>
  </si>
  <si>
    <t>CASDWV010004378</t>
  </si>
  <si>
    <t>ssRNA_86495</t>
  </si>
  <si>
    <t>CASDWV010003610</t>
  </si>
  <si>
    <t>ssRNA_75055</t>
  </si>
  <si>
    <t>CASDWV010003166</t>
  </si>
  <si>
    <t>ssRNA_119400</t>
  </si>
  <si>
    <t>CASDWV010004436</t>
  </si>
  <si>
    <t>ssRNA_52368</t>
  </si>
  <si>
    <t>CASDWV010002202</t>
  </si>
  <si>
    <t>ssRNA_21967</t>
  </si>
  <si>
    <t>CASDWV010000727</t>
  </si>
  <si>
    <t>ssRNA_75717</t>
  </si>
  <si>
    <t>CASDWV010003187</t>
  </si>
  <si>
    <t>ssRNA_44187</t>
  </si>
  <si>
    <t>CASDWV010001703</t>
  </si>
  <si>
    <t>ssRNA_86497</t>
  </si>
  <si>
    <t>CASDWV010003611</t>
  </si>
  <si>
    <t>ssRNA_73981</t>
  </si>
  <si>
    <t>CASDWV010003132</t>
  </si>
  <si>
    <t>ssRNA_120321</t>
  </si>
  <si>
    <t>CASDWV010004470</t>
  </si>
  <si>
    <t>ssRNA_39946</t>
  </si>
  <si>
    <t>CASDWV010001412</t>
  </si>
  <si>
    <t>ssRNA_27577</t>
  </si>
  <si>
    <t>CASDWV010000956</t>
  </si>
  <si>
    <t>ssRNA_38370</t>
  </si>
  <si>
    <t>CASDWV010001333</t>
  </si>
  <si>
    <t>ssRNA_62475</t>
  </si>
  <si>
    <t>CASDWV010002666</t>
  </si>
  <si>
    <t>ssRNA_95142</t>
  </si>
  <si>
    <t>CASDWV010003921</t>
  </si>
  <si>
    <t>ssRNA_89532</t>
  </si>
  <si>
    <t>CASDWV010003759</t>
  </si>
  <si>
    <t>ssRNA_82141</t>
  </si>
  <si>
    <t>CASDWV010003420</t>
  </si>
  <si>
    <t>ssRNA_94285</t>
  </si>
  <si>
    <t>CASDWV010003905</t>
  </si>
  <si>
    <t>ssRNA_82145</t>
  </si>
  <si>
    <t>CASDWV010003421</t>
  </si>
  <si>
    <t>ssRNA_25641</t>
  </si>
  <si>
    <t>CASDWV010000871</t>
  </si>
  <si>
    <t>ssRNA_42843</t>
  </si>
  <si>
    <t>CASDWV010001615</t>
  </si>
  <si>
    <t>ssRNA_54818</t>
  </si>
  <si>
    <t>CASDWV010002328</t>
  </si>
  <si>
    <t>ssRNA_95147</t>
  </si>
  <si>
    <t>CASDWV010003924</t>
  </si>
  <si>
    <t>MAG: Leviviridae sp. isolate R30-k141_599317 genomic sequence</t>
  </si>
  <si>
    <t>MZ679774</t>
  </si>
  <si>
    <t>MAG: Leviviridae sp. isolate 241-k141_568328 genomic sequence</t>
  </si>
  <si>
    <t>MZ679771</t>
  </si>
  <si>
    <t>MAG: Leviviridae sp. isolate 167-k141_68044 genomic sequence</t>
  </si>
  <si>
    <t>MZ679792</t>
  </si>
  <si>
    <t>MAG: Leviviridae sp. isolate 200-k141_331357 genomic sequence</t>
  </si>
  <si>
    <t>MZ679673</t>
  </si>
  <si>
    <t>MAG: Leviviridae sp. isolate 238-k141_401425 genomic sequence</t>
  </si>
  <si>
    <t>MZ679712</t>
  </si>
  <si>
    <t>ssRNA_85853</t>
  </si>
  <si>
    <t>CASDWV010003578</t>
  </si>
  <si>
    <t>MAG: Leviviridae sp. isolate 42-k141_67128_2 maturation protein, coat protein, and RNA dependent RNA polymerase genes, complete cds</t>
  </si>
  <si>
    <t>ON163867</t>
  </si>
  <si>
    <t>ssRNA_120740</t>
  </si>
  <si>
    <t>CASDWV010004475</t>
  </si>
  <si>
    <t>MAG: Leviviridae sp. isolate 91-k141_40820 genomic sequence</t>
  </si>
  <si>
    <t>MZ679714</t>
  </si>
  <si>
    <t>ssRNA_51614</t>
  </si>
  <si>
    <t>CASDWV010002158</t>
  </si>
  <si>
    <t>ssRNA_119026</t>
  </si>
  <si>
    <t>CASDWV010004429</t>
  </si>
  <si>
    <t>MAG: Leviviridae sp. isolate s48-k141_934126, complete genome</t>
  </si>
  <si>
    <t>MZ679824</t>
  </si>
  <si>
    <t>Cartwavirus</t>
  </si>
  <si>
    <t>Sanya levivirus 4</t>
  </si>
  <si>
    <t>MAG: Sanya levivirus 4 isolate QWXCSY125, complete genome</t>
  </si>
  <si>
    <t>MZ209931</t>
  </si>
  <si>
    <t>Cubpivirus</t>
  </si>
  <si>
    <t>Hangzhou levivirus 2</t>
  </si>
  <si>
    <t>MAG: Hangzhou levivirus 2 isolate EHMFS237, complete genome</t>
  </si>
  <si>
    <t>MZ210001</t>
  </si>
  <si>
    <t>Sanya levivirus 3</t>
  </si>
  <si>
    <t>MAG: Sanya levivirus 3 isolate QWXCSY214, complete genome</t>
  </si>
  <si>
    <t>MZ209930</t>
  </si>
  <si>
    <t>Derlivirus</t>
  </si>
  <si>
    <t>Sanya duin-like virus 1</t>
  </si>
  <si>
    <t>MAG: Sanya duin-like virus 1 isolate QJZLS125 maturation protein, hypothetical protein, and RNA replicase beta chain genes, complete cds</t>
  </si>
  <si>
    <t>OM514452</t>
  </si>
  <si>
    <t>Dirlevirus</t>
  </si>
  <si>
    <t>MAG: Leviviridae sp. isolate 119-k141_63637, complete genome</t>
  </si>
  <si>
    <t>MZ680335</t>
  </si>
  <si>
    <t>ssRNA_71762</t>
  </si>
  <si>
    <t>CASDWV010003030</t>
  </si>
  <si>
    <t>ssRNA_72083</t>
  </si>
  <si>
    <t>CASDWV010003035</t>
  </si>
  <si>
    <t>ssRNA_37889</t>
  </si>
  <si>
    <t>CASDWV010001315</t>
  </si>
  <si>
    <t>ssRNA_85836</t>
  </si>
  <si>
    <t>CASDWV010003570</t>
  </si>
  <si>
    <t>ssRNA_118326</t>
  </si>
  <si>
    <t>CASDWV010004403</t>
  </si>
  <si>
    <t>ssRNA_27165</t>
  </si>
  <si>
    <t>CASDWV010000936</t>
  </si>
  <si>
    <t>ssRNA_23464</t>
  </si>
  <si>
    <t>CASDWV010000810</t>
  </si>
  <si>
    <t>ssRNA_35758</t>
  </si>
  <si>
    <t>CASDWV010001234</t>
  </si>
  <si>
    <t>MAG: Leviviridae sp. isolate 166-k141_2024 maturation protein, coat protein, and RNA dependent RNA polymerase genes, complete cds</t>
  </si>
  <si>
    <t>ON163346</t>
  </si>
  <si>
    <t>ssRNA_85023</t>
  </si>
  <si>
    <t>CASDWV010003539</t>
  </si>
  <si>
    <t>ssRNA_42992</t>
  </si>
  <si>
    <t>CASDWV010001635</t>
  </si>
  <si>
    <t>ssRNA_46899</t>
  </si>
  <si>
    <t>CASDWV010001904</t>
  </si>
  <si>
    <t>ssRNA_109115</t>
  </si>
  <si>
    <t>CASDWV010004161</t>
  </si>
  <si>
    <t>ssRNA_71756</t>
  </si>
  <si>
    <t>CASDWV010003028</t>
  </si>
  <si>
    <t>ssRNA_62955</t>
  </si>
  <si>
    <t>CASDWV010002673</t>
  </si>
  <si>
    <t>ssRNA_87974</t>
  </si>
  <si>
    <t>CASDWV010003671</t>
  </si>
  <si>
    <t>ssRNA_89093</t>
  </si>
  <si>
    <t>CASDWV010003726</t>
  </si>
  <si>
    <t>ssRNA_53477</t>
  </si>
  <si>
    <t>CASDWV010002265</t>
  </si>
  <si>
    <t>ssRNA_60942</t>
  </si>
  <si>
    <t>CASDWV010002580</t>
  </si>
  <si>
    <t>ssRNA_59763</t>
  </si>
  <si>
    <t>CASDWV010002514</t>
  </si>
  <si>
    <t>ssRNA_92718</t>
  </si>
  <si>
    <t>CASDWV010003859</t>
  </si>
  <si>
    <t>ssRNA_39760</t>
  </si>
  <si>
    <t>CASDWV010001409</t>
  </si>
  <si>
    <t>ssRNA_6703</t>
  </si>
  <si>
    <t>CASDWV010000359</t>
  </si>
  <si>
    <t>ssRNA_36566</t>
  </si>
  <si>
    <t>CASDWV010001264</t>
  </si>
  <si>
    <t>ssRNA_4609</t>
  </si>
  <si>
    <t>CASDWV010000238</t>
  </si>
  <si>
    <t>ssRNA_46455</t>
  </si>
  <si>
    <t>CASDWV010001861</t>
  </si>
  <si>
    <t>ssRNA_22688</t>
  </si>
  <si>
    <t>CASDWV010000744</t>
  </si>
  <si>
    <t>ssRNA_1971</t>
  </si>
  <si>
    <t>CASDWV010000110</t>
  </si>
  <si>
    <t>ssRNA_82972</t>
  </si>
  <si>
    <t>CASDWV010003464</t>
  </si>
  <si>
    <t>ssRNA_120086</t>
  </si>
  <si>
    <t>CASDWV010004464</t>
  </si>
  <si>
    <t>MAG: Leviviridae sp. isolate 367R-k141_640766 genomic sequence</t>
  </si>
  <si>
    <t>MZ679785</t>
  </si>
  <si>
    <t>ssRNA_124475</t>
  </si>
  <si>
    <t>CASDWV010004596</t>
  </si>
  <si>
    <t>ssRNA_23126</t>
  </si>
  <si>
    <t>CASDWV010000758</t>
  </si>
  <si>
    <t>ssRNA_42771</t>
  </si>
  <si>
    <t>CASDWV010001612</t>
  </si>
  <si>
    <t>ssRNA_72127</t>
  </si>
  <si>
    <t>CASDWV010003048</t>
  </si>
  <si>
    <t>ssRNA_77163</t>
  </si>
  <si>
    <t>CASDWV010003225</t>
  </si>
  <si>
    <t>ssRNA_124479</t>
  </si>
  <si>
    <t>CASDWV010004599</t>
  </si>
  <si>
    <t>Sanya fiers-like virus 11</t>
  </si>
  <si>
    <t>MAG: Sanya fiers-like virus 11 isolate QJZLS497 maturation protein, hypothetical protein, and RNA replicase beta chain genes, complete cds</t>
  </si>
  <si>
    <t>OM514480</t>
  </si>
  <si>
    <t>ssRNA_88287</t>
  </si>
  <si>
    <t>CASDWV010003695</t>
  </si>
  <si>
    <t>ssRNA_53771</t>
  </si>
  <si>
    <t>CASDWV010002276</t>
  </si>
  <si>
    <t>ssRNA_44295</t>
  </si>
  <si>
    <t>CASDWV010001720</t>
  </si>
  <si>
    <t>ssRNA_84646</t>
  </si>
  <si>
    <t>CASDWV010003525</t>
  </si>
  <si>
    <t>ssRNA_54708</t>
  </si>
  <si>
    <t>CASDWV010002318</t>
  </si>
  <si>
    <t>ssRNA_94917</t>
  </si>
  <si>
    <t>CASDWV010003917</t>
  </si>
  <si>
    <t>ssRNA_74766</t>
  </si>
  <si>
    <t>CASDWV010003165</t>
  </si>
  <si>
    <t>ssRNA_53059</t>
  </si>
  <si>
    <t>CASDWV010002243</t>
  </si>
  <si>
    <t>MAG: Leviviridae sp. isolate 306R-k141_8973 genomic sequence</t>
  </si>
  <si>
    <t>MZ679821</t>
  </si>
  <si>
    <t>MAG: Leviviridae sp. isolate 222-k141_31603, complete genome</t>
  </si>
  <si>
    <t>MZ679665</t>
  </si>
  <si>
    <t>MAG: Leviviridae sp. isolate 86-k141_113542, complete genome</t>
  </si>
  <si>
    <t>MZ679486</t>
  </si>
  <si>
    <t>Sanya fiers-like virus 39</t>
  </si>
  <si>
    <t>MAG: Sanya fiers-like virus 39 isolate QJZLS499 hypothetical protein, maturation protein, hypothetical protein, and RNA replicase beta chain genes, complete cds</t>
  </si>
  <si>
    <t>OM514523</t>
  </si>
  <si>
    <t>Dortuvirus</t>
  </si>
  <si>
    <t>Dorudgevirus</t>
  </si>
  <si>
    <t>ssRNA_39043</t>
  </si>
  <si>
    <t>CASDWV010001381</t>
  </si>
  <si>
    <t>ssRNA_58087</t>
  </si>
  <si>
    <t>CASDWV010002447</t>
  </si>
  <si>
    <t>Draycavirus</t>
  </si>
  <si>
    <t>Dreytovirus</t>
  </si>
  <si>
    <t>ssRNA_127660</t>
  </si>
  <si>
    <t>CASDWV010004692</t>
  </si>
  <si>
    <t>Dunchevirus</t>
  </si>
  <si>
    <t>Dursuvirus</t>
  </si>
  <si>
    <t>ssRNA_50844</t>
  </si>
  <si>
    <t>CASDWV010002098</t>
  </si>
  <si>
    <t>Eahsevirus</t>
  </si>
  <si>
    <t>ssRNA_97199</t>
  </si>
  <si>
    <t>CASDWV010003978</t>
  </si>
  <si>
    <t>Eahvevirus</t>
  </si>
  <si>
    <t>MAG: Leviviridae sp. isolate 374R-k141_134274 genomic sequence</t>
  </si>
  <si>
    <t>MZ679524</t>
  </si>
  <si>
    <t>Eedhovirus</t>
  </si>
  <si>
    <t>Fushun levivirus 4</t>
  </si>
  <si>
    <t>MAG: Fushun levivirus 4 isolate EHMFS262, complete genome</t>
  </si>
  <si>
    <t>MZ210007</t>
  </si>
  <si>
    <t>Eerlswovirus</t>
  </si>
  <si>
    <t>Eistcuvirus</t>
  </si>
  <si>
    <t>Sanya levivirus 1</t>
  </si>
  <si>
    <t>MAG: Sanya levivirus 1 isolate HCXZSY93, complete genome</t>
  </si>
  <si>
    <t>MZ209891</t>
  </si>
  <si>
    <t>Etongtovirus</t>
  </si>
  <si>
    <t>MAG: Leviviridae sp. isolate 222-k141_155401, complete genome</t>
  </si>
  <si>
    <t>MZ679545</t>
  </si>
  <si>
    <t>ssRNA_40035</t>
  </si>
  <si>
    <t>CASDWV010001434</t>
  </si>
  <si>
    <t>ssRNA_65086</t>
  </si>
  <si>
    <t>CASDWV010002759</t>
  </si>
  <si>
    <t>ssRNA_63301</t>
  </si>
  <si>
    <t>CASDWV010002712</t>
  </si>
  <si>
    <t>ssRNA_79644</t>
  </si>
  <si>
    <t>CASDWV010003314</t>
  </si>
  <si>
    <t>ssRNA_120868</t>
  </si>
  <si>
    <t>CASDWV010004484</t>
  </si>
  <si>
    <t>Fenycovirus</t>
  </si>
  <si>
    <t>MAG: Leviviridae sp. isolate 48-k141_266813, complete genome</t>
  </si>
  <si>
    <t>MZ679633</t>
  </si>
  <si>
    <t>Fihluvirus</t>
  </si>
  <si>
    <t>MAG: Leviviridae sp. isolate R40-k141_556095 genomic sequence</t>
  </si>
  <si>
    <t>MZ679766</t>
  </si>
  <si>
    <t>MAG: Leviviridae sp. isolate R65-k141_606671 genomic sequence</t>
  </si>
  <si>
    <t>MZ679779</t>
  </si>
  <si>
    <t>Firnpuvirus</t>
  </si>
  <si>
    <t>MAG: Leviviridae sp. isolate R30-k141_206074, complete genome</t>
  </si>
  <si>
    <t>MZ679589</t>
  </si>
  <si>
    <t>Flehknovirus</t>
  </si>
  <si>
    <t>MAG: hypothetical protein 1, hypothetical protein 2, hypothetical protein 3 and hypothetical protein 4 genes, complete cds 1</t>
  </si>
  <si>
    <t>MAG: hypothetical protein 1, hypothetical protein 2, hypothetical protein 3 and hypothetical protein 4 genes, complete cds</t>
  </si>
  <si>
    <t>MZ679801</t>
  </si>
  <si>
    <t>Frinctavirus</t>
  </si>
  <si>
    <t>MAG: Leviviridae sp. isolate 222-k141_9706 genomic sequence</t>
  </si>
  <si>
    <t>MZ679828</t>
  </si>
  <si>
    <t>Fulbrouvirus</t>
  </si>
  <si>
    <t>Sanya fiers-like virus 2</t>
  </si>
  <si>
    <t>MAG: Sanya fiers-like virus 2 isolate QJZLS382 maturation protein, coat protein, and RNA replicase beta chain genes, complete cds</t>
  </si>
  <si>
    <t>OM514455</t>
  </si>
  <si>
    <t>Galoycavirus</t>
  </si>
  <si>
    <t>Sanya fiers-like virus 34</t>
  </si>
  <si>
    <t>MAG: Sanya fiers-like virus 34 isolate QJZLS393 maturation protein, hypothetical protein, and RNA replicase beta chain genes, complete cds</t>
  </si>
  <si>
    <t>OM514518</t>
  </si>
  <si>
    <t>Giydovirus</t>
  </si>
  <si>
    <t>Sanya fiers-like virus 10</t>
  </si>
  <si>
    <t>MAG: Sanya fiers-like virus 10 isolate QJZLS30 maturation protein, hypothetical protein, and RNA replicase beta chain genes, complete cds</t>
  </si>
  <si>
    <t>OM514478</t>
  </si>
  <si>
    <t>Grandpovirus</t>
  </si>
  <si>
    <t>Sanya fiers-like virus 14</t>
  </si>
  <si>
    <t>MAG: Sanya fiers-like virus 14 isolate LSHLS295 maturation protein, hypothetical protein, and RNA replicase beta chain genes, complete cds</t>
  </si>
  <si>
    <t>OM514486</t>
  </si>
  <si>
    <t>Greatevirus</t>
  </si>
  <si>
    <t>Sanya fiers-like virus 15</t>
  </si>
  <si>
    <t>MAG: Sanya fiers-like virus 15 isolate YSCLS188 maturation protein, hypothetical protein, and RNA replicase beta chain genes, complete cds</t>
  </si>
  <si>
    <t>OM514493</t>
  </si>
  <si>
    <t>Greatpavirus</t>
  </si>
  <si>
    <t>Sanya fiers-like virus 20</t>
  </si>
  <si>
    <t>MAG: Sanya fiers-like virus 20 isolate QJZLS150 hypothetical protein, maturation protein, hypothetical protein, and RNA replicase beta chain genes, complete cds</t>
  </si>
  <si>
    <t>OM514504</t>
  </si>
  <si>
    <t>Grehavirus</t>
  </si>
  <si>
    <t>Sanya fiers-like virus 30</t>
  </si>
  <si>
    <t>MAG: Sanya fiers-like virus 30 isolate QJZLS373 maturation protein, hypothetical protein, and RNA replicase beta chain genes, complete cds</t>
  </si>
  <si>
    <t>OM514514</t>
  </si>
  <si>
    <t>Grendovirus</t>
  </si>
  <si>
    <t>Sanya fiers-like virus 33</t>
  </si>
  <si>
    <t>MAG: Sanya fiers-like virus 33 isolate QJZLS392 maturation protein, hypothetical protein, and RNA replicase beta chain genes, complete cds</t>
  </si>
  <si>
    <t>OM514517</t>
  </si>
  <si>
    <t>Haeldovirus</t>
  </si>
  <si>
    <t>Sanya fiers-like virus 9</t>
  </si>
  <si>
    <t>MAG: Sanya fiers-like virus 9 isolate QJZLS507 maturation protein, hypothetical protein, and RNA replicase beta chain genes, complete cds</t>
  </si>
  <si>
    <t>OM514476</t>
  </si>
  <si>
    <t>Hahmbtovirus</t>
  </si>
  <si>
    <t>Sanya fiers-like virus 54</t>
  </si>
  <si>
    <t>MAG: Sanya fiers-like virus 54 isolate YXSCLS142 maturation protein and hypothetical protein genes, complete cds; and RNA replicase beta chain gene, partial cds</t>
  </si>
  <si>
    <t>OM514538</t>
  </si>
  <si>
    <t>Hahsevirus</t>
  </si>
  <si>
    <t>ssRNA_8515</t>
  </si>
  <si>
    <t>CASDWV010000391</t>
  </si>
  <si>
    <t>ssRNA_46283</t>
  </si>
  <si>
    <t>CASDWV010001847</t>
  </si>
  <si>
    <t>MAG: Leviviridae sp. isolate 277-k141_65417_2 hypothetical protein 1, maturation protein, coat protein, hypothetical protein 2, and RNA dependent RNA polymerase genes, complete cds</t>
  </si>
  <si>
    <t>ON163828</t>
  </si>
  <si>
    <t>ssRNA_34720</t>
  </si>
  <si>
    <t>CASDWV010001184</t>
  </si>
  <si>
    <t>Hampdavirus</t>
  </si>
  <si>
    <t>Sanya fiers-like virus 48</t>
  </si>
  <si>
    <t>MAG: Sanya fiers-like virus 48 isolate QJZLS554 hypothetical protein, maturation protein, hypothetical protein, and RNA replicase beta chain genes, complete cds</t>
  </si>
  <si>
    <t>OM514532</t>
  </si>
  <si>
    <t>Hamptovirus</t>
  </si>
  <si>
    <t>Sanya fiers-like virus 46</t>
  </si>
  <si>
    <t>MAG: Sanya fiers-like virus 46 isolate QJZLS546 maturation protein, hypothetical protein, and RNA replicase beta chain genes, complete cds</t>
  </si>
  <si>
    <t>OM514530</t>
  </si>
  <si>
    <t>Helfovirus</t>
  </si>
  <si>
    <t>Sanya fiers-like virus 36</t>
  </si>
  <si>
    <t>MAG: Sanya fiers-like virus 36 isolate QJZLS414 maturation protein, hypothetical protein, and RNA replicase beta chain genes, complete cds</t>
  </si>
  <si>
    <t>OM514520</t>
  </si>
  <si>
    <t>Herbuvirus</t>
  </si>
  <si>
    <t>MAG: Leviviridae sp. isolate 363R-k141_83919 maturation protein and coat protein genes, complete cds; and RNA dependent RNA polymerase gene, partial cds</t>
  </si>
  <si>
    <t>ON162760</t>
  </si>
  <si>
    <t>MAG: Leviviridae sp. isolate 306R-k141_275145, complete genome</t>
  </si>
  <si>
    <t>MZ679641</t>
  </si>
  <si>
    <t>Hihlwaovirus</t>
  </si>
  <si>
    <t>MAG: Leviviridae sp. isolate 166-k141_95761_2 maturation protein, coat protein, and RNA dependent RNA polymerase genes, complete cds</t>
  </si>
  <si>
    <t>ON164208</t>
  </si>
  <si>
    <t>Hirbarovirus</t>
  </si>
  <si>
    <t>Sanya fiers-like virus 55</t>
  </si>
  <si>
    <t>MAG: Sanya fiers-like virus 55 isolate YXSCLS159 maturation protein and hypothetical protein genes, complete cds; and RNA replicase beta chain gene, partial cds</t>
  </si>
  <si>
    <t>OM514539</t>
  </si>
  <si>
    <t>Hirtshivirus</t>
  </si>
  <si>
    <t>MAG: Leviviridae sp. isolate 220-k141_175378 maturation protein gene, partial cds; and coat protein and RNA dependent RNA polymerase genes, complete cds</t>
  </si>
  <si>
    <t>ON163172</t>
  </si>
  <si>
    <t>Hisilivirus</t>
  </si>
  <si>
    <t>MAG: Leviviridae sp. isolate 195-k141_151447_2 maturation protein gene, partial cds; and coat protein and RNA dependent RNA polymerase genes, complete cds</t>
  </si>
  <si>
    <t>ON163206</t>
  </si>
  <si>
    <t>Hisilovirus</t>
  </si>
  <si>
    <t>MAG: Leviviridae sp. isolate 10-k141_12213 maturation protein gene, partial cds; and coat protein and RNA dependent RNA polymerase genes, complete cds</t>
  </si>
  <si>
    <t>ON163786</t>
  </si>
  <si>
    <t>Hitdovirus</t>
  </si>
  <si>
    <t>MAG: Leviviridae sp. isolate 119-k141_124591 maturation protein, coat protein, and RNA dependent RNA polymerase genes, complete cds</t>
  </si>
  <si>
    <t>ON163884</t>
  </si>
  <si>
    <t>Hohnivirus</t>
  </si>
  <si>
    <t>ssRNA_10388</t>
  </si>
  <si>
    <t>CASDWV010000511</t>
  </si>
  <si>
    <t>ssRNA_133394</t>
  </si>
  <si>
    <t>CASDWV010004862</t>
  </si>
  <si>
    <t>ssRNA_53991</t>
  </si>
  <si>
    <t>CASDWV010002293</t>
  </si>
  <si>
    <t>ssRNA_80803</t>
  </si>
  <si>
    <t>CASDWV010003373</t>
  </si>
  <si>
    <t>Honleyivirus</t>
  </si>
  <si>
    <t>ssRNA_116086</t>
  </si>
  <si>
    <t>CASDWV010004318</t>
  </si>
  <si>
    <t>MAG: Leviviridae sp. isolate 174-k141_233066 maturation protein gene, partial cds; and coat protein and RNA dependent RNA polymerase genes, complete cds</t>
  </si>
  <si>
    <t>ON163914</t>
  </si>
  <si>
    <t>Honolovirus</t>
  </si>
  <si>
    <t>ssRNA_82243</t>
  </si>
  <si>
    <t>CASDWV010003439</t>
  </si>
  <si>
    <t>Hudnivirus</t>
  </si>
  <si>
    <t>MAG: Leviviridae sp. isolate 254-k141_132634_2 maturation protein and coat protein genes, complete cds; and RNA dependent RNA polymerase gene, partial cds</t>
  </si>
  <si>
    <t>ON164284</t>
  </si>
  <si>
    <t>Huhnivirus</t>
  </si>
  <si>
    <t>ssRNA_37675</t>
  </si>
  <si>
    <t>CASDWV010001307</t>
  </si>
  <si>
    <t>Huhnuvirus</t>
  </si>
  <si>
    <t>ssRNA_56282</t>
  </si>
  <si>
    <t>CASDWV010002396</t>
  </si>
  <si>
    <t>Hurlivirus</t>
  </si>
  <si>
    <t>ssRNA_118715</t>
  </si>
  <si>
    <t>CASDWV010004425</t>
  </si>
  <si>
    <t>ssRNA_116075</t>
  </si>
  <si>
    <t>CASDWV010004312</t>
  </si>
  <si>
    <t>ssRNA_16173</t>
  </si>
  <si>
    <t>CASDWV010000603</t>
  </si>
  <si>
    <t>ssRNA_113864</t>
  </si>
  <si>
    <t>CASDWV010004230</t>
  </si>
  <si>
    <t>ssRNA_56395</t>
  </si>
  <si>
    <t>CASDWV010002403</t>
  </si>
  <si>
    <t>ssRNA_9608</t>
  </si>
  <si>
    <t>CASDWV010000475</t>
  </si>
  <si>
    <t>ssRNA_62293</t>
  </si>
  <si>
    <t>CASDWV010002663</t>
  </si>
  <si>
    <t>Idlucavirus</t>
  </si>
  <si>
    <t>ssRNA_25952</t>
  </si>
  <si>
    <t>CASDWV010000896</t>
  </si>
  <si>
    <t>Leptochloa chinensis fiers-like virus 1</t>
  </si>
  <si>
    <t>MAG: Leptochloa chinensis fiers-like virus 1 isolate QJZLS29 maturation protein, hypothetical protein, and RNA replicase beta chain genes, complete cds</t>
  </si>
  <si>
    <t>OM514471</t>
  </si>
  <si>
    <t>ssRNA_79105</t>
  </si>
  <si>
    <t>CASDWV010003302</t>
  </si>
  <si>
    <t>ssRNA_44338</t>
  </si>
  <si>
    <t>CASDWV010001737</t>
  </si>
  <si>
    <t>Sanya fiers-like virus 45</t>
  </si>
  <si>
    <t>MAG: Sanya fiers-like virus 45 isolate QJZLS533 maturation protein, coat protein, and RNA replicase beta chain genes, complete cds</t>
  </si>
  <si>
    <t>OM514529</t>
  </si>
  <si>
    <t>ssRNA_72815</t>
  </si>
  <si>
    <t>CASDWV010003079</t>
  </si>
  <si>
    <t>ssRNA_35590</t>
  </si>
  <si>
    <t>CASDWV010001221</t>
  </si>
  <si>
    <t>ssRNA_77532</t>
  </si>
  <si>
    <t>CASDWV010003229</t>
  </si>
  <si>
    <t>ssRNA_9371</t>
  </si>
  <si>
    <t>CASDWV010000452</t>
  </si>
  <si>
    <t>Kehrevirus</t>
  </si>
  <si>
    <t>ssRNA_109461</t>
  </si>
  <si>
    <t>CASDWV010004182</t>
  </si>
  <si>
    <t>Kinehtovirus</t>
  </si>
  <si>
    <t>ssRNA_3924</t>
  </si>
  <si>
    <t>CASDWV010000212</t>
  </si>
  <si>
    <t>Kinolwovirus</t>
  </si>
  <si>
    <t>ssRNA_14547</t>
  </si>
  <si>
    <t>CASDWV010000566</t>
  </si>
  <si>
    <t>Kongskuvirus</t>
  </si>
  <si>
    <t>ssRNA_117605</t>
  </si>
  <si>
    <t>CASDWV010004353</t>
  </si>
  <si>
    <t>ssRNA_41163</t>
  </si>
  <si>
    <t>CASDWV010001499</t>
  </si>
  <si>
    <t>Konwavirus</t>
  </si>
  <si>
    <t>ssRNA_11240</t>
  </si>
  <si>
    <t>CASDWV010000532</t>
  </si>
  <si>
    <t>Koteshevirus</t>
  </si>
  <si>
    <t>ssRNA_24923</t>
  </si>
  <si>
    <t>CASDWV010000849</t>
  </si>
  <si>
    <t>Sanya fiers-like virus 3</t>
  </si>
  <si>
    <t>MAG: Sanya fiers-like virus 3 isolate YXSCLS230 maturation protein, hypothetical protein, and RNA replicase beta chain genes, complete cds</t>
  </si>
  <si>
    <t>OM514459</t>
  </si>
  <si>
    <t>Sanya fiers-like virus 16</t>
  </si>
  <si>
    <t>MAG: Sanya fiers-like virus 16 isolate QJZLS118 maturation protein, hypothetical protein, and RNA replicase beta chain genes, complete cds</t>
  </si>
  <si>
    <t>OM514500</t>
  </si>
  <si>
    <t>ssRNA_89545</t>
  </si>
  <si>
    <t>CASDWV010003769</t>
  </si>
  <si>
    <t>ssRNA_54811</t>
  </si>
  <si>
    <t>CASDWV010002326</t>
  </si>
  <si>
    <t>ssRNA_97259</t>
  </si>
  <si>
    <t>CASDWV010004002</t>
  </si>
  <si>
    <t>ssRNA_130355</t>
  </si>
  <si>
    <t>CASDWV010004767</t>
  </si>
  <si>
    <t>ssRNA_93329</t>
  </si>
  <si>
    <t>CASDWV010003881</t>
  </si>
  <si>
    <t>Sanya fiers-like virus 23</t>
  </si>
  <si>
    <t>MAG: Sanya fiers-like virus 23 isolate QJZLS295 maturation protein, hypothetical protein, and RNA replicase beta chain genes, complete cds</t>
  </si>
  <si>
    <t>OM514507</t>
  </si>
  <si>
    <t>Sanya fiers-like virus 31</t>
  </si>
  <si>
    <t>MAG: Sanya fiers-like virus 31 isolate QJZLS378 maturation protein, hypothetical protein, and RNA replicase beta chain genes, complete cds</t>
  </si>
  <si>
    <t>OM514515</t>
  </si>
  <si>
    <t>Sanya fiers-like virus 42</t>
  </si>
  <si>
    <t>MAG: Sanya fiers-like virus 42 isolate QJZLS513 maturation protein, hypothetical protein, and RNA replicase beta chain genes, complete cds</t>
  </si>
  <si>
    <t>OM514526</t>
  </si>
  <si>
    <t>ssRNA_51422</t>
  </si>
  <si>
    <t>CASDWV010002135</t>
  </si>
  <si>
    <t>MAG: Leviviridae sp. isolate 174-k141_168337 maturation protein, coat protein, and RNA dependent RNA polymerase genes, complete cds</t>
  </si>
  <si>
    <t>ON163913</t>
  </si>
  <si>
    <t>ssRNA_49902</t>
  </si>
  <si>
    <t>CASDWV010002069</t>
  </si>
  <si>
    <t>MAG: Leviviridae sp. isolate H3_Bulk_Litter_17_scaffold_1541 hypothetical protein (H3BulkLitter171541_000001) gene, partial cds; and hypothetical protein (H3BulkLitter171541_000002), hypothetical protein (H3BulkLitter171541_000003), and RNA-dependent RNA polymerase (H3BulkLitter171541_000004) genes, complete cds</t>
  </si>
  <si>
    <t>MN033375</t>
  </si>
  <si>
    <t>Sanya fiers-like virus 1</t>
  </si>
  <si>
    <t>MAG: Sanya fiers-like virus 1 isolate LSHLS294 maturation protein, hypothetical protein, and RNA replicase beta chain genes, complete cds</t>
  </si>
  <si>
    <t>OM514453</t>
  </si>
  <si>
    <t>ssRNA_122474</t>
  </si>
  <si>
    <t>CASDWV010004540</t>
  </si>
  <si>
    <t>ssRNA_53722</t>
  </si>
  <si>
    <t>CASDWV010002269</t>
  </si>
  <si>
    <t>ssRNA_37681</t>
  </si>
  <si>
    <t>CASDWV010001308</t>
  </si>
  <si>
    <t>ssRNA_3910</t>
  </si>
  <si>
    <t>CASDWV010000210</t>
  </si>
  <si>
    <t>ssRNA_39038</t>
  </si>
  <si>
    <t>CASDWV010001377</t>
  </si>
  <si>
    <t>ssRNA_90435</t>
  </si>
  <si>
    <t>CASDWV010003811</t>
  </si>
  <si>
    <t>ssRNA_20388</t>
  </si>
  <si>
    <t>CASDWV010000676</t>
  </si>
  <si>
    <t>ssRNA_53723</t>
  </si>
  <si>
    <t>CASDWV010002270</t>
  </si>
  <si>
    <t>ssRNA_32153</t>
  </si>
  <si>
    <t>CASDWV010001128</t>
  </si>
  <si>
    <t>ssRNA_68410</t>
  </si>
  <si>
    <t>CASDWV010002882</t>
  </si>
  <si>
    <t>ssRNA_334</t>
  </si>
  <si>
    <t>CASDWV010000019</t>
  </si>
  <si>
    <t>ssRNA_43607</t>
  </si>
  <si>
    <t>CASDWV010001674</t>
  </si>
  <si>
    <t>ssRNA_97109</t>
  </si>
  <si>
    <t>CASDWV010003974</t>
  </si>
  <si>
    <t>ssRNA_85945</t>
  </si>
  <si>
    <t>CASDWV010003595</t>
  </si>
  <si>
    <t>ssRNA_31392</t>
  </si>
  <si>
    <t>CASDWV010001115</t>
  </si>
  <si>
    <t>Kungsnevirus</t>
  </si>
  <si>
    <t>ssRNA_21364</t>
  </si>
  <si>
    <t>CASDWV010000697</t>
  </si>
  <si>
    <t>ssRNA_40028</t>
  </si>
  <si>
    <t>CASDWV010001432</t>
  </si>
  <si>
    <t>ssRNA_40785</t>
  </si>
  <si>
    <t>CASDWV010001478</t>
  </si>
  <si>
    <t>ssRNA_6722</t>
  </si>
  <si>
    <t>CASDWV010000366</t>
  </si>
  <si>
    <t>ssRNA_49717</t>
  </si>
  <si>
    <t>CASDWV010002045</t>
  </si>
  <si>
    <t>Sanya fiers-like virus 40</t>
  </si>
  <si>
    <t>MAG: Sanya fiers-like virus 40 isolate QJZLS504 maturation protein, hypothetical protein, and RNA replicase beta chain genes, complete cds</t>
  </si>
  <si>
    <t>OM514524</t>
  </si>
  <si>
    <t>ssRNA_85328</t>
  </si>
  <si>
    <t>CASDWV010003556</t>
  </si>
  <si>
    <t>ssRNA_56171</t>
  </si>
  <si>
    <t>CASDWV010002385</t>
  </si>
  <si>
    <t>ssRNA_3026</t>
  </si>
  <si>
    <t>CASDWV010000162</t>
  </si>
  <si>
    <t>ssRNA_54447</t>
  </si>
  <si>
    <t>CASDWV010002308</t>
  </si>
  <si>
    <t>ssRNA_114119</t>
  </si>
  <si>
    <t>CASDWV010004235</t>
  </si>
  <si>
    <t>ssRNA_683</t>
  </si>
  <si>
    <t>CASDWV010000024</t>
  </si>
  <si>
    <t>ssRNA_54828</t>
  </si>
  <si>
    <t>CASDWV010002333</t>
  </si>
  <si>
    <t>Kungspuvirus</t>
  </si>
  <si>
    <t>ssRNA_110593</t>
  </si>
  <si>
    <t>CASDWV010004192</t>
  </si>
  <si>
    <t>Lahbwuvirus</t>
  </si>
  <si>
    <t>ssRNA_116025</t>
  </si>
  <si>
    <t>CASDWV010004310</t>
  </si>
  <si>
    <t>Lahdbrovirus</t>
  </si>
  <si>
    <t>ssRNA_76564</t>
  </si>
  <si>
    <t>CASDWV010003216</t>
  </si>
  <si>
    <t>Langlevirus</t>
  </si>
  <si>
    <t>ssRNA_114377</t>
  </si>
  <si>
    <t>CASDWV010004241</t>
  </si>
  <si>
    <t>Leahmovirus</t>
  </si>
  <si>
    <t>ssRNA_117653</t>
  </si>
  <si>
    <t>CASDWV010004376</t>
  </si>
  <si>
    <t>Lecwavirus</t>
  </si>
  <si>
    <t>ssRNA_122866</t>
  </si>
  <si>
    <t>CASDWV010004548</t>
  </si>
  <si>
    <t>Lehamuvirus</t>
  </si>
  <si>
    <t>ssRNA_48165</t>
  </si>
  <si>
    <t>CASDWV010001969</t>
  </si>
  <si>
    <t>Lighthovirus</t>
  </si>
  <si>
    <t>ssRNA_118628</t>
  </si>
  <si>
    <t>CASDWV010004418</t>
  </si>
  <si>
    <t>ssRNA_60931</t>
  </si>
  <si>
    <t>CASDWV010002575</t>
  </si>
  <si>
    <t>Lihdtlovirus</t>
  </si>
  <si>
    <t>ssRNA_84979</t>
  </si>
  <si>
    <t>CASDWV010003534</t>
  </si>
  <si>
    <t>Lihtdlivirus</t>
  </si>
  <si>
    <t>ssRNA_54867</t>
  </si>
  <si>
    <t>CASDWV010002348</t>
  </si>
  <si>
    <t>ssRNA_15559</t>
  </si>
  <si>
    <t>CASDWV010000586</t>
  </si>
  <si>
    <t>ssRNA_120076</t>
  </si>
  <si>
    <t>CASDWV010004460</t>
  </si>
  <si>
    <t>Litdlevirus</t>
  </si>
  <si>
    <t>ssRNA_14569</t>
  </si>
  <si>
    <t>CASDWV010000573</t>
  </si>
  <si>
    <t>ssRNA_125231</t>
  </si>
  <si>
    <t>CASDWV010004629</t>
  </si>
  <si>
    <t>Loamavirus</t>
  </si>
  <si>
    <t>ssRNA_33462</t>
  </si>
  <si>
    <t>CASDWV010001159</t>
  </si>
  <si>
    <t>Loghdhuvirus</t>
  </si>
  <si>
    <t>Lohngkovirus</t>
  </si>
  <si>
    <t>Sanya fiers-like virus 17</t>
  </si>
  <si>
    <t>MAG: Sanya fiers-like virus 17 isolate QJZLS119 maturation protein, hypothetical protein, and RNA replicase beta chain genes, complete cds</t>
  </si>
  <si>
    <t>OM514501</t>
  </si>
  <si>
    <t>ssRNA_74712</t>
  </si>
  <si>
    <t>CASDWV010003149</t>
  </si>
  <si>
    <t>Sanya fiers-like virus 37</t>
  </si>
  <si>
    <t>MAG: Sanya fiers-like virus 37 isolate QJZLS442 maturation protein, hypothetical protein, and RNA replicase beta chain genes, complete cds</t>
  </si>
  <si>
    <t>OM514521</t>
  </si>
  <si>
    <t>Sanya fiers-like virus 35</t>
  </si>
  <si>
    <t>MAG: Sanya fiers-like virus 35 isolate QJZLS412 hypothetical protein, maturation protein, hypothetical protein, and RNA replicase beta chain genes, complete cds</t>
  </si>
  <si>
    <t>OM514519</t>
  </si>
  <si>
    <t>MAG: Leviviridae sp. isolate R28-k141_57005_2 maturation protein, coat protein, and RNA dependent RNA polymerase genes, complete cds</t>
  </si>
  <si>
    <t>ON162661</t>
  </si>
  <si>
    <t>MAG: Leviviridae sp. isolate 254-k141_137745 maturation protein, coat protein, and RNA dependent RNA polymerase genes, complete cds</t>
  </si>
  <si>
    <t>ON163065</t>
  </si>
  <si>
    <t>ssRNA_54446</t>
  </si>
  <si>
    <t>CASDWV010002307</t>
  </si>
  <si>
    <t>ssRNA_3917</t>
  </si>
  <si>
    <t>CASDWV010000211</t>
  </si>
  <si>
    <t>ssRNA_101217</t>
  </si>
  <si>
    <t>CASDWV010004097</t>
  </si>
  <si>
    <t>ssRNA_130706</t>
  </si>
  <si>
    <t>CASDWV010004780</t>
  </si>
  <si>
    <t>ssRNA_56015</t>
  </si>
  <si>
    <t>CASDWV010002380</t>
  </si>
  <si>
    <t>Lohwevirus</t>
  </si>
  <si>
    <t>ssRNA_63292</t>
  </si>
  <si>
    <t>CASDWV010002710</t>
  </si>
  <si>
    <t>Lohwovirus</t>
  </si>
  <si>
    <t>ssRNA_130361</t>
  </si>
  <si>
    <t>CASDWV010004769</t>
  </si>
  <si>
    <t>Longmavirus</t>
  </si>
  <si>
    <t>ssRNA_25369</t>
  </si>
  <si>
    <t>CASDWV010000864</t>
  </si>
  <si>
    <t>Sanya fiers-like virus 56</t>
  </si>
  <si>
    <t>MAG: Sanya fiers-like virus 56 isolate YXSCLS200 maturation protein, hypothetical protein, and RNA replicase beta chain genes, complete cds</t>
  </si>
  <si>
    <t>OM514540</t>
  </si>
  <si>
    <t>Sanya fiers-like virus 41</t>
  </si>
  <si>
    <t>MAG: Sanya fiers-like virus 41 isolate QJZLS505 maturation protein, hypothetical protein, and RNA replicase beta chain genes, complete cds</t>
  </si>
  <si>
    <t>OM514525</t>
  </si>
  <si>
    <t>ssRNA_128379</t>
  </si>
  <si>
    <t>CASDWV010004712</t>
  </si>
  <si>
    <t>ssRNA_61712</t>
  </si>
  <si>
    <t>CASDWV010002619</t>
  </si>
  <si>
    <t>ssRNA_89487</t>
  </si>
  <si>
    <t>CASDWV010003753</t>
  </si>
  <si>
    <t>Longovirus</t>
  </si>
  <si>
    <t>ssRNA_52389</t>
  </si>
  <si>
    <t>CASDWV010002212</t>
  </si>
  <si>
    <t>ssRNA_113118</t>
  </si>
  <si>
    <t>CASDWV010004220</t>
  </si>
  <si>
    <t>Sanya fiers-like virus 6</t>
  </si>
  <si>
    <t>MAG: Sanya fiers-like virus 6 isolate QJZLS417 maturation protein, hypothetical protein, and RNA replicase beta chain genes, complete cds</t>
  </si>
  <si>
    <t>OM514467</t>
  </si>
  <si>
    <t>ssRNA_58137</t>
  </si>
  <si>
    <t>CASDWV010002454</t>
  </si>
  <si>
    <t>ssRNA_127278</t>
  </si>
  <si>
    <t>CASDWV010004668</t>
  </si>
  <si>
    <t>ssRNA_61901</t>
  </si>
  <si>
    <t>CASDWV010002651</t>
  </si>
  <si>
    <t>ssRNA_83161</t>
  </si>
  <si>
    <t>CASDWV010003474</t>
  </si>
  <si>
    <t>ssRNA_27778</t>
  </si>
  <si>
    <t>CASDWV010000974</t>
  </si>
  <si>
    <t>ssRNA_48440</t>
  </si>
  <si>
    <t>CASDWV010001977</t>
  </si>
  <si>
    <t>ssRNA_95744</t>
  </si>
  <si>
    <t>CASDWV010003930</t>
  </si>
  <si>
    <t>ssRNA_116021</t>
  </si>
  <si>
    <t>CASDWV010004308</t>
  </si>
  <si>
    <t>ssRNA_53053</t>
  </si>
  <si>
    <t>CASDWV010002238</t>
  </si>
  <si>
    <t>Lowerquvirus</t>
  </si>
  <si>
    <t>ssRNA_128789</t>
  </si>
  <si>
    <t>CASDWV010004724</t>
  </si>
  <si>
    <t>Lowsuvirus</t>
  </si>
  <si>
    <t>ssRNA_23477</t>
  </si>
  <si>
    <t>CASDWV010000817</t>
  </si>
  <si>
    <t>ssRNA_130705</t>
  </si>
  <si>
    <t>CASDWV010004779</t>
  </si>
  <si>
    <t>ssRNA_113131</t>
  </si>
  <si>
    <t>CASDWV010004223</t>
  </si>
  <si>
    <t>ssRNA_116081</t>
  </si>
  <si>
    <t>CASDWV010004316</t>
  </si>
  <si>
    <t>ssRNA_35400</t>
  </si>
  <si>
    <t>CASDWV010001219</t>
  </si>
  <si>
    <t>Loxlovirus</t>
  </si>
  <si>
    <t>ssRNA_65088</t>
  </si>
  <si>
    <t>CASDWV010002760</t>
  </si>
  <si>
    <t>Ludtlevirus</t>
  </si>
  <si>
    <t>ssRNA_18876</t>
  </si>
  <si>
    <t>CASDWV010000643</t>
  </si>
  <si>
    <t>Ludtlovirus</t>
  </si>
  <si>
    <t>ssRNA_125378</t>
  </si>
  <si>
    <t>CASDWV010004634</t>
  </si>
  <si>
    <t>Ludtovirus</t>
  </si>
  <si>
    <t>MAG: Leviviridae sp. isolate H3_Bulk_Litter_17_scaffold_883 hypothetical protein (H3BulkLitter17883_000001), hypothetical protein (H3BulkLitter17883_000002), hypothetical protein (H3BulkLitter17883_000003), and RNA-dependent RNA polymerase (H3BulkLitter17883_000004) genes, complete cds</t>
  </si>
  <si>
    <t>MN033100</t>
  </si>
  <si>
    <t>ssRNA_74293</t>
  </si>
  <si>
    <t>CASDWV010003134</t>
  </si>
  <si>
    <t>ssRNA_38368</t>
  </si>
  <si>
    <t>CASDWV010001331</t>
  </si>
  <si>
    <t>ssRNA_35600</t>
  </si>
  <si>
    <t>CASDWV010001225</t>
  </si>
  <si>
    <t>Lunjlavirus</t>
  </si>
  <si>
    <t>ssRNA_93366</t>
  </si>
  <si>
    <t>CASDWV010003889</t>
  </si>
  <si>
    <t>ssRNA_104544</t>
  </si>
  <si>
    <t>CASDWV010004116</t>
  </si>
  <si>
    <t>ssRNA_42768</t>
  </si>
  <si>
    <t>CASDWV010001611</t>
  </si>
  <si>
    <t>ssRNA_80031</t>
  </si>
  <si>
    <t>CASDWV010003365</t>
  </si>
  <si>
    <t>Sanya fiers-like virus 8</t>
  </si>
  <si>
    <t>MAG: Sanya fiers-like virus 8 isolate QJZLS308 maturation protein, hypothetical protein, and RNA replicase beta chain genes, complete cds</t>
  </si>
  <si>
    <t>OM514474</t>
  </si>
  <si>
    <t>ssRNA_35596</t>
  </si>
  <si>
    <t>CASDWV010001223</t>
  </si>
  <si>
    <t>ssRNA_109843</t>
  </si>
  <si>
    <t>CASDWV010004185</t>
  </si>
  <si>
    <t>ssRNA_14530</t>
  </si>
  <si>
    <t>CASDWV010000560</t>
  </si>
  <si>
    <t>Lyejrivirus</t>
  </si>
  <si>
    <t>ssRNA_86623</t>
  </si>
  <si>
    <t>CASDWV010003625</t>
  </si>
  <si>
    <t>ssRNA_110554</t>
  </si>
  <si>
    <t>CASDWV010004190</t>
  </si>
  <si>
    <t>ssRNA_42885</t>
  </si>
  <si>
    <t>CASDWV010001626</t>
  </si>
  <si>
    <t>ssRNA_27635</t>
  </si>
  <si>
    <t>CASDWV010000970</t>
  </si>
  <si>
    <t>ssRNA_34273</t>
  </si>
  <si>
    <t>CASDWV010001175</t>
  </si>
  <si>
    <t>ssRNA_42240</t>
  </si>
  <si>
    <t>CASDWV010001567</t>
  </si>
  <si>
    <t>ssRNA_132322</t>
  </si>
  <si>
    <t>CASDWV010004850</t>
  </si>
  <si>
    <t>ssRNA_38686</t>
  </si>
  <si>
    <t>CASDWV010001355</t>
  </si>
  <si>
    <t>Sanya fiers-like virus 50</t>
  </si>
  <si>
    <t>MAG: Sanya fiers-like virus 50 isolate QJZLS586 maturation protein, hypothetical protein, and RNA replicase beta chain genes, complete cds</t>
  </si>
  <si>
    <t>OM514534</t>
  </si>
  <si>
    <t>Sanya fiers-like virus 24</t>
  </si>
  <si>
    <t>MAG: Sanya fiers-like virus 24 isolate QJZLS297 maturation protein, hypothetical protein, and RNA replicase beta chain genes, complete cds</t>
  </si>
  <si>
    <t>OM514508</t>
  </si>
  <si>
    <t>Sanya fiers-like virus 25</t>
  </si>
  <si>
    <t>MAG: Sanya fiers-like virus 25 isolate QJZLS300 maturation protein, hypothetical protein, and RNA replicase beta chain genes, complete cds</t>
  </si>
  <si>
    <t>OM514509</t>
  </si>
  <si>
    <t>ssRNA_52380</t>
  </si>
  <si>
    <t>CASDWV010002209</t>
  </si>
  <si>
    <t>Mahrtovirus</t>
  </si>
  <si>
    <t>ssRNA_16834</t>
  </si>
  <si>
    <t>CASDWV010000608</t>
  </si>
  <si>
    <t>ssRNA_9708</t>
  </si>
  <si>
    <t>CASDWV010000494</t>
  </si>
  <si>
    <t>ssRNA_330</t>
  </si>
  <si>
    <t>CASDWV010000017</t>
  </si>
  <si>
    <t>Martovirus</t>
  </si>
  <si>
    <t>ssRNA_23394</t>
  </si>
  <si>
    <t>CASDWV010000783</t>
  </si>
  <si>
    <t>Maxstovirus</t>
  </si>
  <si>
    <t>ssRNA_14526</t>
  </si>
  <si>
    <t>CASDWV010000556</t>
  </si>
  <si>
    <t>ssRNA_35601</t>
  </si>
  <si>
    <t>CASDWV010001226</t>
  </si>
  <si>
    <t>ssRNA_35344</t>
  </si>
  <si>
    <t>CASDWV010001209</t>
  </si>
  <si>
    <t>ssRNA_42867</t>
  </si>
  <si>
    <t>CASDWV010001619</t>
  </si>
  <si>
    <t>ssRNA_65107</t>
  </si>
  <si>
    <t>CASDWV010002768</t>
  </si>
  <si>
    <t>ssRNA_46571</t>
  </si>
  <si>
    <t>CASDWV010001884</t>
  </si>
  <si>
    <t>ssRNA_127507</t>
  </si>
  <si>
    <t>CASDWV010004684</t>
  </si>
  <si>
    <t>Mehrevirus</t>
  </si>
  <si>
    <t>ssRNA_14570</t>
  </si>
  <si>
    <t>CASDWV010000574</t>
  </si>
  <si>
    <t>Merlkluvirus</t>
  </si>
  <si>
    <t>ssRNA_72133</t>
  </si>
  <si>
    <t>CASDWV010003051</t>
  </si>
  <si>
    <t>ssRNA_9364</t>
  </si>
  <si>
    <t>CASDWV010000448</t>
  </si>
  <si>
    <t>ssRNA_27774</t>
  </si>
  <si>
    <t>CASDWV010000973</t>
  </si>
  <si>
    <t>ssRNA_48442</t>
  </si>
  <si>
    <t>CASDWV010001978</t>
  </si>
  <si>
    <t>ssRNA_20392</t>
  </si>
  <si>
    <t>CASDWV010000677</t>
  </si>
  <si>
    <t>ssRNA_59765</t>
  </si>
  <si>
    <t>CASDWV010002516</t>
  </si>
  <si>
    <t>ssRNA_45614</t>
  </si>
  <si>
    <t>CASDWV010001811</t>
  </si>
  <si>
    <t>ssRNA_86627</t>
  </si>
  <si>
    <t>CASDWV010003626</t>
  </si>
  <si>
    <t>ssRNA_59306</t>
  </si>
  <si>
    <t>CASDWV010002496</t>
  </si>
  <si>
    <t>ssRNA_83687</t>
  </si>
  <si>
    <t>CASDWV010003494</t>
  </si>
  <si>
    <t>ssRNA_40048</t>
  </si>
  <si>
    <t>CASDWV010001438</t>
  </si>
  <si>
    <t>ssRNA_79114</t>
  </si>
  <si>
    <t>CASDWV010003307</t>
  </si>
  <si>
    <t>ssRNA_31327</t>
  </si>
  <si>
    <t>CASDWV010001100</t>
  </si>
  <si>
    <t>ssRNA_45397</t>
  </si>
  <si>
    <t>CASDWV010001792</t>
  </si>
  <si>
    <t>ssRNA_60649</t>
  </si>
  <si>
    <t>CASDWV010002550</t>
  </si>
  <si>
    <t>ssRNA_131778</t>
  </si>
  <si>
    <t>CASDWV010004828</t>
  </si>
  <si>
    <t>ssRNA_41808</t>
  </si>
  <si>
    <t>CASDWV010001521</t>
  </si>
  <si>
    <t>ssRNA_93152</t>
  </si>
  <si>
    <t>CASDWV010003869</t>
  </si>
  <si>
    <t>ssRNA_42641</t>
  </si>
  <si>
    <t>CASDWV010001593</t>
  </si>
  <si>
    <t>ssRNA_9396</t>
  </si>
  <si>
    <t>CASDWV010000463</t>
  </si>
  <si>
    <t>Guiyang fiers-like virus 5</t>
  </si>
  <si>
    <t>MAG: Guiyang fiers-like virus 5 isolate SSQBGZ43 maturation protein, coat protein, and RNA replicase beta chain genes, complete cds</t>
  </si>
  <si>
    <t>OM514499</t>
  </si>
  <si>
    <t>Plasmopara viticola lesion associated levivirus 1</t>
  </si>
  <si>
    <t>Plasmopara viticola lesion associated levivirus 1 isolate DMG-D_DN19016 ORF2, capsid protein, and RNA-dependent RNA polymerase genes, complete cds</t>
  </si>
  <si>
    <t>MN539861</t>
  </si>
  <si>
    <t>ssRNA_114500</t>
  </si>
  <si>
    <t>CASDWV010004260</t>
  </si>
  <si>
    <t>ssRNA_52354</t>
  </si>
  <si>
    <t>CASDWV010002196</t>
  </si>
  <si>
    <t>ssRNA_115887</t>
  </si>
  <si>
    <t>CASDWV010004290</t>
  </si>
  <si>
    <t>ssRNA_60646</t>
  </si>
  <si>
    <t>CASDWV010002548</t>
  </si>
  <si>
    <t>ssRNA_93358</t>
  </si>
  <si>
    <t>CASDWV010003887</t>
  </si>
  <si>
    <t>ssRNA_45612</t>
  </si>
  <si>
    <t>CASDWV010001810</t>
  </si>
  <si>
    <t>ssRNA_122218</t>
  </si>
  <si>
    <t>CASDWV010004523</t>
  </si>
  <si>
    <t>ssRNA_49103</t>
  </si>
  <si>
    <t>CASDWV010002012</t>
  </si>
  <si>
    <t>Fushun levivirus 5</t>
  </si>
  <si>
    <t>MAG: Fushun levivirus 5 isolate KYDDTFS276, complete genome</t>
  </si>
  <si>
    <t>MZ210020</t>
  </si>
  <si>
    <t>Grapevine-associated levi-like virus 10</t>
  </si>
  <si>
    <t>MAG: Grapevine-associated levi-like virus 10 hypothetical protein and RNA-dependent RNA polymerase genes, complete cds</t>
  </si>
  <si>
    <t>MW648446</t>
  </si>
  <si>
    <t>Mincetevirus</t>
  </si>
  <si>
    <t>ssRNA_42995</t>
  </si>
  <si>
    <t>CASDWV010001637</t>
  </si>
  <si>
    <t>ssRNA_68160</t>
  </si>
  <si>
    <t>CASDWV010002861</t>
  </si>
  <si>
    <t>ssRNA_29399</t>
  </si>
  <si>
    <t>CASDWV010001040</t>
  </si>
  <si>
    <t>Mohredovirus</t>
  </si>
  <si>
    <t>ssRNA_23417</t>
  </si>
  <si>
    <t>CASDWV010000790</t>
  </si>
  <si>
    <t>Molcatevirus</t>
  </si>
  <si>
    <t>ssRNA_16165</t>
  </si>
  <si>
    <t>CASDWV010000599</t>
  </si>
  <si>
    <t>ssRNA_105611</t>
  </si>
  <si>
    <t>CASDWV010004138</t>
  </si>
  <si>
    <t>Molvevirus</t>
  </si>
  <si>
    <t>ssRNA_16958</t>
  </si>
  <si>
    <t>CASDWV010000616</t>
  </si>
  <si>
    <t>Monkskivirus</t>
  </si>
  <si>
    <t>ssRNA_21973</t>
  </si>
  <si>
    <t>CASDWV010000729</t>
  </si>
  <si>
    <t>ssRNA_91522</t>
  </si>
  <si>
    <t>CASDWV010003828</t>
  </si>
  <si>
    <t>Moxhuvirus</t>
  </si>
  <si>
    <t>ssRNA_42074</t>
  </si>
  <si>
    <t>CASDWV010001550</t>
  </si>
  <si>
    <t>Mutledovirus</t>
  </si>
  <si>
    <t>ssRNA_18879</t>
  </si>
  <si>
    <t>CASDWV010000645</t>
  </si>
  <si>
    <t>ssRNA_47760</t>
  </si>
  <si>
    <t>CASDWV010001955</t>
  </si>
  <si>
    <t>ssRNA_83526</t>
  </si>
  <si>
    <t>CASDWV010003489</t>
  </si>
  <si>
    <t>ssRNA_125525</t>
  </si>
  <si>
    <t>CASDWV010004638</t>
  </si>
  <si>
    <t>Naneatavirus</t>
  </si>
  <si>
    <t>ssRNA_114385</t>
  </si>
  <si>
    <t>CASDWV010004244</t>
  </si>
  <si>
    <t>Napdanuvirus</t>
  </si>
  <si>
    <t>ssRNA_2555</t>
  </si>
  <si>
    <t>CASDWV010000152</t>
  </si>
  <si>
    <t>Nedhivirus</t>
  </si>
  <si>
    <t>ssRNA_25915</t>
  </si>
  <si>
    <t>CASDWV010000890</t>
  </si>
  <si>
    <t>Nehwtovirus</t>
  </si>
  <si>
    <t>ssRNA_97282</t>
  </si>
  <si>
    <t>CASDWV010004006</t>
  </si>
  <si>
    <t>ssRNA_36365</t>
  </si>
  <si>
    <t>CASDWV010001255</t>
  </si>
  <si>
    <t>ssRNA_65359</t>
  </si>
  <si>
    <t>CASDWV010002783</t>
  </si>
  <si>
    <t>ssRNA_49913</t>
  </si>
  <si>
    <t>CASDWV010002070</t>
  </si>
  <si>
    <t>Newbovirus</t>
  </si>
  <si>
    <t>ssRNA_135284</t>
  </si>
  <si>
    <t>CASDWV010004927</t>
  </si>
  <si>
    <t>ssRNA_68408</t>
  </si>
  <si>
    <t>CASDWV010002880</t>
  </si>
  <si>
    <t>Newpuvirus</t>
  </si>
  <si>
    <t>ssRNA_2843</t>
  </si>
  <si>
    <t>CASDWV010000158</t>
  </si>
  <si>
    <t>Niwnhavirus</t>
  </si>
  <si>
    <t>ssRNA_23442</t>
  </si>
  <si>
    <t>CASDWV010000800</t>
  </si>
  <si>
    <t>Niwtovirus</t>
  </si>
  <si>
    <t>ssRNA_33398</t>
  </si>
  <si>
    <t>CASDWV010001154</t>
  </si>
  <si>
    <t>Nohmivirus</t>
  </si>
  <si>
    <t>ssRNA_37244</t>
  </si>
  <si>
    <t>CASDWV010001280</t>
  </si>
  <si>
    <t>ssRNA_40853</t>
  </si>
  <si>
    <t>CASDWV010001488</t>
  </si>
  <si>
    <t>ssRNA_35027</t>
  </si>
  <si>
    <t>CASDWV010001198</t>
  </si>
  <si>
    <t>ssRNA_117632</t>
  </si>
  <si>
    <t>CASDWV010004364</t>
  </si>
  <si>
    <t>Nohrdovirus</t>
  </si>
  <si>
    <t>ssRNA_37974</t>
  </si>
  <si>
    <t>CASDWV010001318</t>
  </si>
  <si>
    <t>ssRNA_60613</t>
  </si>
  <si>
    <t>CASDWV010002541</t>
  </si>
  <si>
    <t>ssRNA_65331</t>
  </si>
  <si>
    <t>CASDWV010002775</t>
  </si>
  <si>
    <t>ssRNA_56019</t>
  </si>
  <si>
    <t>CASDWV010002381</t>
  </si>
  <si>
    <t>Northevirus</t>
  </si>
  <si>
    <t>ssRNA_37699</t>
  </si>
  <si>
    <t>CASDWV010001312</t>
  </si>
  <si>
    <t>ssRNA_52753</t>
  </si>
  <si>
    <t>CASDWV010002227</t>
  </si>
  <si>
    <t>ssRNA_97280</t>
  </si>
  <si>
    <t>CASDWV010004005</t>
  </si>
  <si>
    <t>Oldperovirus</t>
  </si>
  <si>
    <t>ssRNA_95751</t>
  </si>
  <si>
    <t>CASDWV010003931</t>
  </si>
  <si>
    <t>Overwhuvirus</t>
  </si>
  <si>
    <t>ssRNA_3</t>
  </si>
  <si>
    <t>CASDWV010000002</t>
  </si>
  <si>
    <t>ssRNA_33358</t>
  </si>
  <si>
    <t>CASDWV010001141</t>
  </si>
  <si>
    <t>ssRNA_42220</t>
  </si>
  <si>
    <t>CASDWV010001557</t>
  </si>
  <si>
    <t>ssRNA_47758</t>
  </si>
  <si>
    <t>CASDWV010001954</t>
  </si>
  <si>
    <t>ssRNA_72082</t>
  </si>
  <si>
    <t>CASDWV010003034</t>
  </si>
  <si>
    <t>ssRNA_118704</t>
  </si>
  <si>
    <t>CASDWV010004422</t>
  </si>
  <si>
    <t>ssRNA_49814</t>
  </si>
  <si>
    <t>CASDWV010002058</t>
  </si>
  <si>
    <t>ssRNA_35646</t>
  </si>
  <si>
    <t>CASDWV010001227</t>
  </si>
  <si>
    <t>ssRNA_92209</t>
  </si>
  <si>
    <t>CASDWV010003848</t>
  </si>
  <si>
    <t>MAG: Leviviridae sp. isolate s60-k141_522067 genomic sequence</t>
  </si>
  <si>
    <t>MZ679756</t>
  </si>
  <si>
    <t>ssRNA_1442</t>
  </si>
  <si>
    <t>CASDWV010000089</t>
  </si>
  <si>
    <t>ssRNA_1994</t>
  </si>
  <si>
    <t>CASDWV010000125</t>
  </si>
  <si>
    <t>Pailtovirus</t>
  </si>
  <si>
    <t>ssRNA_40527</t>
  </si>
  <si>
    <t>CASDWV010001461</t>
  </si>
  <si>
    <t>Paloswovirus</t>
  </si>
  <si>
    <t>ssRNA_45399</t>
  </si>
  <si>
    <t>CASDWV010001793</t>
  </si>
  <si>
    <t>Pedhlovirus</t>
  </si>
  <si>
    <t>ssRNA_137172</t>
  </si>
  <si>
    <t>CASDWV010004978</t>
  </si>
  <si>
    <t>MAG: Leviviridae sp. isolate 375R-k141_511705, complete genome</t>
  </si>
  <si>
    <t>MZ679749</t>
  </si>
  <si>
    <t>MAG: Leviviridae sp. isolate 358R-k141_70046, complete genome</t>
  </si>
  <si>
    <t>MZ679793</t>
  </si>
  <si>
    <t>MAG: Leviviridae sp. isolate R29-k141_713134, complete genome</t>
  </si>
  <si>
    <t>MZ679799</t>
  </si>
  <si>
    <t>MAG: Leviviridae sp. isolate 302R-k141_385340, complete genome</t>
  </si>
  <si>
    <t>MZ679706</t>
  </si>
  <si>
    <t>MAG: Leviviridae sp. isolate 119-k141_45412, complete genome</t>
  </si>
  <si>
    <t>MZ679731</t>
  </si>
  <si>
    <t>MAG: Leviviridae sp. isolate 85-k141_212488, complete genome</t>
  </si>
  <si>
    <t>MZ679594</t>
  </si>
  <si>
    <t>MAG: Leviviridae sp. isolate 220-k141_63190, complete genome</t>
  </si>
  <si>
    <t>MZ679782</t>
  </si>
  <si>
    <t>MAG: Leviviridae sp. isolate 304R-k141_206076, complete genome</t>
  </si>
  <si>
    <t>MZ679590</t>
  </si>
  <si>
    <t>ssRNA_69406</t>
  </si>
  <si>
    <t>CASDWV010002915</t>
  </si>
  <si>
    <t>ssRNA_38611</t>
  </si>
  <si>
    <t>CASDWV010001350</t>
  </si>
  <si>
    <t>ssRNA_66019</t>
  </si>
  <si>
    <t>CASDWV010002785</t>
  </si>
  <si>
    <t>ssRNA_87048</t>
  </si>
  <si>
    <t>CASDWV010003635</t>
  </si>
  <si>
    <t>ssRNA_69054</t>
  </si>
  <si>
    <t>CASDWV010002894</t>
  </si>
  <si>
    <t>ssRNA_49856</t>
  </si>
  <si>
    <t>CASDWV010002068</t>
  </si>
  <si>
    <t>Piceduvirus</t>
  </si>
  <si>
    <t>ssRNA_42990</t>
  </si>
  <si>
    <t>CASDWV010001634</t>
  </si>
  <si>
    <t>Pihlevirus</t>
  </si>
  <si>
    <t>ssRNA_44339</t>
  </si>
  <si>
    <t>CASDWV010001738</t>
  </si>
  <si>
    <t>Pilordavirus</t>
  </si>
  <si>
    <t>ssRNA_43751</t>
  </si>
  <si>
    <t>CASDWV010001681</t>
  </si>
  <si>
    <t>ssRNA_61852</t>
  </si>
  <si>
    <t>CASDWV010002639</t>
  </si>
  <si>
    <t>ssRNA_51611</t>
  </si>
  <si>
    <t>CASDWV010002156</t>
  </si>
  <si>
    <t>ssRNA_117664</t>
  </si>
  <si>
    <t>CASDWV010004379</t>
  </si>
  <si>
    <t>ssRNA_23459</t>
  </si>
  <si>
    <t>CASDWV010000806</t>
  </si>
  <si>
    <t>ssRNA_51616</t>
  </si>
  <si>
    <t>CASDWV010002159</t>
  </si>
  <si>
    <t>ssRNA_53997</t>
  </si>
  <si>
    <t>CASDWV010002295</t>
  </si>
  <si>
    <t>ssRNA_1317</t>
  </si>
  <si>
    <t>CASDWV010000075</t>
  </si>
  <si>
    <t>ssRNA_40691</t>
  </si>
  <si>
    <t>CASDWV010001476</t>
  </si>
  <si>
    <t>ssRNA_23484</t>
  </si>
  <si>
    <t>CASDWV010000821</t>
  </si>
  <si>
    <t>ssRNA_1989</t>
  </si>
  <si>
    <t>CASDWV010000122</t>
  </si>
  <si>
    <t>Prihavirus</t>
  </si>
  <si>
    <t>ssRNA_139663</t>
  </si>
  <si>
    <t>CASDWV010005055</t>
  </si>
  <si>
    <t>ssRNA_29903</t>
  </si>
  <si>
    <t>CASDWV010001045</t>
  </si>
  <si>
    <t>ssRNA_60912</t>
  </si>
  <si>
    <t>CASDWV010002566</t>
  </si>
  <si>
    <t>ssRNA_51650</t>
  </si>
  <si>
    <t>CASDWV010002168</t>
  </si>
  <si>
    <t>ssRNA_23734</t>
  </si>
  <si>
    <t>CASDWV010000830</t>
  </si>
  <si>
    <t>Prihovirus</t>
  </si>
  <si>
    <t>ssRNA_23392</t>
  </si>
  <si>
    <t>CASDWV010000782</t>
  </si>
  <si>
    <t>Prisdovirus</t>
  </si>
  <si>
    <t>ssRNA_59316</t>
  </si>
  <si>
    <t>CASDWV010002499</t>
  </si>
  <si>
    <t>Prosdovirus</t>
  </si>
  <si>
    <t>ssRNA_21464</t>
  </si>
  <si>
    <t>CASDWV010000716</t>
  </si>
  <si>
    <t>Pruncivirus</t>
  </si>
  <si>
    <t>ssRNA_124126</t>
  </si>
  <si>
    <t>CASDWV010004593</t>
  </si>
  <si>
    <t>ssRNA_40845</t>
  </si>
  <si>
    <t>CASDWV010001484</t>
  </si>
  <si>
    <t>ssRNA_74728</t>
  </si>
  <si>
    <t>CASDWV010003152</t>
  </si>
  <si>
    <t>Punlevirus</t>
  </si>
  <si>
    <t>ssRNA_44500</t>
  </si>
  <si>
    <t>CASDWV010001741</t>
  </si>
  <si>
    <t>Escherichia phage Qbeta 1</t>
  </si>
  <si>
    <t>Enterobacteria phage Qbeta strain HL4-9, complete genome</t>
  </si>
  <si>
    <t>FJ483841</t>
  </si>
  <si>
    <t>Quihndavirus</t>
  </si>
  <si>
    <t>ssRNA_22614</t>
  </si>
  <si>
    <t>CASDWV010000738</t>
  </si>
  <si>
    <t>ssRNA_87721</t>
  </si>
  <si>
    <t>CASDWV010003656</t>
  </si>
  <si>
    <t>ssRNA_5322</t>
  </si>
  <si>
    <t>CASDWV010000284</t>
  </si>
  <si>
    <t>ssRNA_52343</t>
  </si>
  <si>
    <t>CASDWV010002188</t>
  </si>
  <si>
    <t>ssRNA_137201</t>
  </si>
  <si>
    <t>CASDWV010004984</t>
  </si>
  <si>
    <t>ssRNA_127511</t>
  </si>
  <si>
    <t>CASDWV010004686</t>
  </si>
  <si>
    <t>ssRNA_95758</t>
  </si>
  <si>
    <t>CASDWV010003932</t>
  </si>
  <si>
    <t>ssRNA_53275</t>
  </si>
  <si>
    <t>CASDWV010002250</t>
  </si>
  <si>
    <t>ssRNA_94920</t>
  </si>
  <si>
    <t>CASDWV010003918</t>
  </si>
  <si>
    <t>ssRNA_97866</t>
  </si>
  <si>
    <t>CASDWV010004011</t>
  </si>
  <si>
    <t>ssRNA_23403</t>
  </si>
  <si>
    <t>CASDWV010000787</t>
  </si>
  <si>
    <t>ssRNA_90290</t>
  </si>
  <si>
    <t>CASDWV010003791</t>
  </si>
  <si>
    <t>ssRNA_117590</t>
  </si>
  <si>
    <t>CASDWV010004347</t>
  </si>
  <si>
    <t>ssRNA_72452</t>
  </si>
  <si>
    <t>CASDWV010003068</t>
  </si>
  <si>
    <t>ssRNA_70185</t>
  </si>
  <si>
    <t>CASDWV010002949</t>
  </si>
  <si>
    <t>ssRNA_119408</t>
  </si>
  <si>
    <t>CASDWV010004441</t>
  </si>
  <si>
    <t>ssRNA_44253</t>
  </si>
  <si>
    <t>CASDWV010001707</t>
  </si>
  <si>
    <t>MAG: Leviviridae sp. isolate H1_Bulk_28_FD_scaffold_73 hypothetical protein (H1Bulk28FD73_000001) gene, partial cds; and hypothetical protein (H1Bulk28FD73_000002), hypothetical protein (H1Bulk28FD73_000003), hypothetical protein (H1Bulk28FD73_000004), hypothetical protein (H1Bulk28FD73_000005), and RNA-dependent RNA polymerase (H1Bulk28FD73_000006) genes, complete cds</t>
  </si>
  <si>
    <t>MN033156</t>
  </si>
  <si>
    <t>ssRNA_5622</t>
  </si>
  <si>
    <t>CASDWV010000305</t>
  </si>
  <si>
    <t>ssRNA_67113</t>
  </si>
  <si>
    <t>CASDWV010002830</t>
  </si>
  <si>
    <t>ssRNA_97221</t>
  </si>
  <si>
    <t>CASDWV010003989</t>
  </si>
  <si>
    <t>ssRNA_139186</t>
  </si>
  <si>
    <t>CASDWV010005035</t>
  </si>
  <si>
    <t>ssRNA_60695</t>
  </si>
  <si>
    <t>CASDWV010002557</t>
  </si>
  <si>
    <t>ssRNA_45601</t>
  </si>
  <si>
    <t>CASDWV010001806</t>
  </si>
  <si>
    <t>ssRNA_30129</t>
  </si>
  <si>
    <t>CASDWV010001060</t>
  </si>
  <si>
    <t>ssRNA_31363</t>
  </si>
  <si>
    <t>CASDWV010001107</t>
  </si>
  <si>
    <t>ssRNA_72446</t>
  </si>
  <si>
    <t>CASDWV010003066</t>
  </si>
  <si>
    <t>ssRNA_27131</t>
  </si>
  <si>
    <t>CASDWV010000931</t>
  </si>
  <si>
    <t>ssRNA_114378</t>
  </si>
  <si>
    <t>CASDWV010004242</t>
  </si>
  <si>
    <t>ssRNA_79928</t>
  </si>
  <si>
    <t>CASDWV010003351</t>
  </si>
  <si>
    <t>ssRNA_51894</t>
  </si>
  <si>
    <t>CASDWV010002173</t>
  </si>
  <si>
    <t>ssRNA_27257</t>
  </si>
  <si>
    <t>CASDWV010000947</t>
  </si>
  <si>
    <t>Rahdfavirus</t>
  </si>
  <si>
    <t>ssRNA_54822</t>
  </si>
  <si>
    <t>CASDWV010002331</t>
  </si>
  <si>
    <t>Ratlevirus</t>
  </si>
  <si>
    <t>ssRNA_48691</t>
  </si>
  <si>
    <t>CASDWV010001999</t>
  </si>
  <si>
    <t>Redbauvirus</t>
  </si>
  <si>
    <t>ssRNA_135675</t>
  </si>
  <si>
    <t>CASDWV010004946</t>
  </si>
  <si>
    <t>ssRNA_54142</t>
  </si>
  <si>
    <t>CASDWV010002303</t>
  </si>
  <si>
    <t>Ridwavirus</t>
  </si>
  <si>
    <t>ssRNA_55960</t>
  </si>
  <si>
    <t>CASDWV010002375</t>
  </si>
  <si>
    <t>Rytunovirus</t>
  </si>
  <si>
    <t>ssRNA_114930</t>
  </si>
  <si>
    <t>CASDWV010004276</t>
  </si>
  <si>
    <t>Sahwbrivirus</t>
  </si>
  <si>
    <t>ssRNA_59322</t>
  </si>
  <si>
    <t>CASDWV010002501</t>
  </si>
  <si>
    <t>Sambuevirus</t>
  </si>
  <si>
    <t>Sanya fiers-like virus 49</t>
  </si>
  <si>
    <t>MAG: Sanya fiers-like virus 49 isolate QJZLS555 maturation protein, hypothetical protein, and RNA replicase beta chain genes, complete cds</t>
  </si>
  <si>
    <t>OM514533</t>
  </si>
  <si>
    <t>ssRNA_59296</t>
  </si>
  <si>
    <t>CASDWV010002493</t>
  </si>
  <si>
    <t>Saudhavirus</t>
  </si>
  <si>
    <t>Sbehrnivirus</t>
  </si>
  <si>
    <t>ssRNA_70842</t>
  </si>
  <si>
    <t>CASDWV010002967</t>
  </si>
  <si>
    <t>Sdadlevirus</t>
  </si>
  <si>
    <t>ssRNA_85842</t>
  </si>
  <si>
    <t>CASDWV010003572</t>
  </si>
  <si>
    <t>Sdoctuvirus</t>
  </si>
  <si>
    <t>ssRNA_76048</t>
  </si>
  <si>
    <t>CASDWV010003203</t>
  </si>
  <si>
    <t>Sdohnivirus</t>
  </si>
  <si>
    <t>ssRNA_79945</t>
  </si>
  <si>
    <t>CASDWV010003354</t>
  </si>
  <si>
    <t>Sdredfovirus</t>
  </si>
  <si>
    <t>ssRNA_50302</t>
  </si>
  <si>
    <t>CASDWV010002081</t>
  </si>
  <si>
    <t>ssRNA_93191</t>
  </si>
  <si>
    <t>CASDWV010003875</t>
  </si>
  <si>
    <t>ssRNA_83015</t>
  </si>
  <si>
    <t>CASDWV010003466</t>
  </si>
  <si>
    <t>Sdredtuvirus</t>
  </si>
  <si>
    <t>ssRNA_8521</t>
  </si>
  <si>
    <t>CASDWV010000394</t>
  </si>
  <si>
    <t>Sdretovirus</t>
  </si>
  <si>
    <t>ssRNA_83725</t>
  </si>
  <si>
    <t>CASDWV010003503</t>
  </si>
  <si>
    <t>Seckivirus</t>
  </si>
  <si>
    <t>ssRNA_59325</t>
  </si>
  <si>
    <t>CASDWV010002502</t>
  </si>
  <si>
    <t>Selfuvirus</t>
  </si>
  <si>
    <t>ssRNA_35404</t>
  </si>
  <si>
    <t>CASDWV010001220</t>
  </si>
  <si>
    <t>ssRNA_59286</t>
  </si>
  <si>
    <t>CASDWV010002488</t>
  </si>
  <si>
    <t>Shehrpovirus</t>
  </si>
  <si>
    <t>ssRNA_59754</t>
  </si>
  <si>
    <t>CASDWV010002512</t>
  </si>
  <si>
    <t>Shestuvirus</t>
  </si>
  <si>
    <t>ssRNA_40874</t>
  </si>
  <si>
    <t>CASDWV010001494</t>
  </si>
  <si>
    <t>ssRNA_63298</t>
  </si>
  <si>
    <t>CASDWV010002711</t>
  </si>
  <si>
    <t>ssRNA_135660</t>
  </si>
  <si>
    <t>CASDWV010004942</t>
  </si>
  <si>
    <t>ssRNA_40050</t>
  </si>
  <si>
    <t>CASDWV010001439</t>
  </si>
  <si>
    <t>ssRNA_14549</t>
  </si>
  <si>
    <t>CASDWV010000567</t>
  </si>
  <si>
    <t>Guiyang fiers-like virus 2</t>
  </si>
  <si>
    <t>MAG: Guiyang fiers-like virus 2 isolate QBGZ72 maturation protein, coat protein, and RNA replicase beta chain genes, complete cds</t>
  </si>
  <si>
    <t>OM514496</t>
  </si>
  <si>
    <t>ssRNA_59308</t>
  </si>
  <si>
    <t>CASDWV010002497</t>
  </si>
  <si>
    <t>Shipsduvirus</t>
  </si>
  <si>
    <t>ssRNA_60625</t>
  </si>
  <si>
    <t>CASDWV010002544</t>
  </si>
  <si>
    <t>Shodtevirus</t>
  </si>
  <si>
    <t>ssRNA_60662</t>
  </si>
  <si>
    <t>CASDWV010002553</t>
  </si>
  <si>
    <t>Shrewlivirus</t>
  </si>
  <si>
    <t>ssRNA_60663</t>
  </si>
  <si>
    <t>CASDWV010002554</t>
  </si>
  <si>
    <t>Shuldovirus</t>
  </si>
  <si>
    <t>ssRNA_93363</t>
  </si>
  <si>
    <t>CASDWV010003888</t>
  </si>
  <si>
    <t>Shutevirus</t>
  </si>
  <si>
    <t>ssRNA_60652</t>
  </si>
  <si>
    <t>CASDWV010002552</t>
  </si>
  <si>
    <t>Shutovirus</t>
  </si>
  <si>
    <t>ssRNA_46560</t>
  </si>
  <si>
    <t>CASDWV010001878</t>
  </si>
  <si>
    <t>ssRNA_92705</t>
  </si>
  <si>
    <t>CASDWV010003854</t>
  </si>
  <si>
    <t>ssRNA_56378</t>
  </si>
  <si>
    <t>CASDWV010002398</t>
  </si>
  <si>
    <t>ssRNA_63804</t>
  </si>
  <si>
    <t>CASDWV010002740</t>
  </si>
  <si>
    <t>ssRNA_89928</t>
  </si>
  <si>
    <t>CASDWV010003780</t>
  </si>
  <si>
    <t>ssRNA_40590</t>
  </si>
  <si>
    <t>CASDWV010001468</t>
  </si>
  <si>
    <t>Snitdevirus</t>
  </si>
  <si>
    <t>ssRNA_42443</t>
  </si>
  <si>
    <t>CASDWV010001577</t>
  </si>
  <si>
    <t>ssRNA_66202</t>
  </si>
  <si>
    <t>CASDWV010002795</t>
  </si>
  <si>
    <t>MAG: Leviviridae sp. isolate s59-k141_1118351_2 maturation protein, coat protein, and RNA dependent RNA polymerase genes, complete cds</t>
  </si>
  <si>
    <t>ON164474</t>
  </si>
  <si>
    <t>ssRNA_44994</t>
  </si>
  <si>
    <t>CASDWV010001781</t>
  </si>
  <si>
    <t>Stanolovirus</t>
  </si>
  <si>
    <t>ssRNA_130362</t>
  </si>
  <si>
    <t>CASDWV010004770</t>
  </si>
  <si>
    <t>ssRNA_79936</t>
  </si>
  <si>
    <t>CASDWV010003352</t>
  </si>
  <si>
    <t>ssRNA_71655</t>
  </si>
  <si>
    <t>CASDWV010002988</t>
  </si>
  <si>
    <t>ssRNA_86875</t>
  </si>
  <si>
    <t>CASDWV010003634</t>
  </si>
  <si>
    <t>Sterodovirus</t>
  </si>
  <si>
    <t>ssRNA_123265</t>
  </si>
  <si>
    <t>CASDWV010004581</t>
  </si>
  <si>
    <t>Stoartovirus</t>
  </si>
  <si>
    <t>ssRNA_82199</t>
  </si>
  <si>
    <t>CASDWV010003429</t>
  </si>
  <si>
    <t>Stretavirus</t>
  </si>
  <si>
    <t>ssRNA_83953</t>
  </si>
  <si>
    <t>CASDWV010003504</t>
  </si>
  <si>
    <t>Stritovirus</t>
  </si>
  <si>
    <t>ssRNA_41551</t>
  </si>
  <si>
    <t>CASDWV010001518</t>
  </si>
  <si>
    <t>MAG: Leviviridae sp. isolate 241-k141_259129 genomic sequence</t>
  </si>
  <si>
    <t>MZ679628</t>
  </si>
  <si>
    <t>MAG: hypothetical protein 1, hypothetical protein 2, hypothetical protein 3 and hypothetical protein 4 genes, complete cds 2</t>
  </si>
  <si>
    <t>MZ679505</t>
  </si>
  <si>
    <t>ssRNA_68638</t>
  </si>
  <si>
    <t>CASDWV010002892</t>
  </si>
  <si>
    <t>ssRNA_14623</t>
  </si>
  <si>
    <t>CASDWV010000576</t>
  </si>
  <si>
    <t>ssRNA_52373</t>
  </si>
  <si>
    <t>CASDWV010002205</t>
  </si>
  <si>
    <t>Suhtovirus</t>
  </si>
  <si>
    <t>ssRNA_75395</t>
  </si>
  <si>
    <t>CASDWV010003173</t>
  </si>
  <si>
    <t>ssRNA_90369</t>
  </si>
  <si>
    <t>CASDWV010003801</t>
  </si>
  <si>
    <t>ssRNA_109455</t>
  </si>
  <si>
    <t>CASDWV010004181</t>
  </si>
  <si>
    <t>ssRNA_79923</t>
  </si>
  <si>
    <t>CASDWV010003348</t>
  </si>
  <si>
    <t>ssRNA_115929</t>
  </si>
  <si>
    <t>CASDWV010004292</t>
  </si>
  <si>
    <t>ssRNA_67068</t>
  </si>
  <si>
    <t>CASDWV010002816</t>
  </si>
  <si>
    <t>ssRNA_34023</t>
  </si>
  <si>
    <t>CASDWV010001165</t>
  </si>
  <si>
    <t>Temblevirus</t>
  </si>
  <si>
    <t>ssRNA_8957</t>
  </si>
  <si>
    <t>CASDWV010000425</t>
  </si>
  <si>
    <t>ssRNA_82255</t>
  </si>
  <si>
    <t>CASDWV010003442</t>
  </si>
  <si>
    <t>ssRNA_85317</t>
  </si>
  <si>
    <t>CASDWV010003554</t>
  </si>
  <si>
    <t>ssRNA_138597</t>
  </si>
  <si>
    <t>CASDWV010005015</t>
  </si>
  <si>
    <t>Templevirus</t>
  </si>
  <si>
    <t>ssRNA_92202</t>
  </si>
  <si>
    <t>CASDWV010003844</t>
  </si>
  <si>
    <t>Templovirus</t>
  </si>
  <si>
    <t>ssRNA_44960</t>
  </si>
  <si>
    <t>CASDWV010001768</t>
  </si>
  <si>
    <t>Tenwovirus</t>
  </si>
  <si>
    <t>Thurlavirus</t>
  </si>
  <si>
    <t>ssRNA_45792</t>
  </si>
  <si>
    <t>CASDWV010001826</t>
  </si>
  <si>
    <t>ssRNA_9362</t>
  </si>
  <si>
    <t>CASDWV010000447</t>
  </si>
  <si>
    <t>ssRNA_137535</t>
  </si>
  <si>
    <t>CASDWV010005008</t>
  </si>
  <si>
    <t>Todtivirus</t>
  </si>
  <si>
    <t>ssRNA_96040</t>
  </si>
  <si>
    <t>CASDWV010003946</t>
  </si>
  <si>
    <t>ssRNA_80805</t>
  </si>
  <si>
    <t>CASDWV010003374</t>
  </si>
  <si>
    <t>ssRNA_88217</t>
  </si>
  <si>
    <t>CASDWV010003691</t>
  </si>
  <si>
    <t>ssRNA_109454</t>
  </si>
  <si>
    <t>CASDWV010004180</t>
  </si>
  <si>
    <t>ssRNA_87880</t>
  </si>
  <si>
    <t>CASDWV010003670</t>
  </si>
  <si>
    <t>Trotivirus</t>
  </si>
  <si>
    <t>Sanya fiers-like virus 22</t>
  </si>
  <si>
    <t>MAG: Sanya fiers-like virus 22 isolate QJZLS270 maturation protein, hypothetical protein, and RNA replicase beta chain genes, complete cds</t>
  </si>
  <si>
    <t>OM514506</t>
  </si>
  <si>
    <t>MAG: Leviviridae sp. isolate R8-k141_817507 genomic sequence</t>
  </si>
  <si>
    <t>MZ679813</t>
  </si>
  <si>
    <t>ssRNA_98490</t>
  </si>
  <si>
    <t>CASDWV010004033</t>
  </si>
  <si>
    <t>ssRNA_91272</t>
  </si>
  <si>
    <t>CASDWV010003820</t>
  </si>
  <si>
    <t>ssRNA_18357</t>
  </si>
  <si>
    <t>CASDWV010000627</t>
  </si>
  <si>
    <t>ssRNA_46911</t>
  </si>
  <si>
    <t>CASDWV010001907</t>
  </si>
  <si>
    <t>ssRNA_99229</t>
  </si>
  <si>
    <t>CASDWV010004050</t>
  </si>
  <si>
    <t>ssRNA_79115</t>
  </si>
  <si>
    <t>CASDWV010003308</t>
  </si>
  <si>
    <t>ssRNA_56717</t>
  </si>
  <si>
    <t>CASDWV010002416</t>
  </si>
  <si>
    <t>Tudmivirus</t>
  </si>
  <si>
    <t>ssRNA_9678</t>
  </si>
  <si>
    <t>CASDWV010000484</t>
  </si>
  <si>
    <t>Tysohivirus</t>
  </si>
  <si>
    <t>Ulinhavirus</t>
  </si>
  <si>
    <t>Upborqevirus</t>
  </si>
  <si>
    <t>ssRNA_39479</t>
  </si>
  <si>
    <t>CASDWV010001407</t>
  </si>
  <si>
    <t>ssRNA_34980</t>
  </si>
  <si>
    <t>CASDWV010001189</t>
  </si>
  <si>
    <t>ssRNA_96297</t>
  </si>
  <si>
    <t>CASDWV010003956</t>
  </si>
  <si>
    <t>Sanya fiers-like virus 4</t>
  </si>
  <si>
    <t>MAG: Sanya fiers-like virus 4 isolate QJZLS116 maturation protein, coat protein, hypothetical protein, and RNA replicase beta chain genes, complete cds</t>
  </si>
  <si>
    <t>OM514462</t>
  </si>
  <si>
    <t>Sanya fiers-like virus 5</t>
  </si>
  <si>
    <t>MAG: Sanya fiers-like virus 5 isolate QJZLS113 maturation protein, coat protein, hypothetical protein, and RNA replicase beta chain genes, complete cds</t>
  </si>
  <si>
    <t>OM514464</t>
  </si>
  <si>
    <t>ssRNA_329</t>
  </si>
  <si>
    <t>CASDWV010000016</t>
  </si>
  <si>
    <t>ssRNA_49105</t>
  </si>
  <si>
    <t>CASDWV010002013</t>
  </si>
  <si>
    <t>ssRNA_25966</t>
  </si>
  <si>
    <t>CASDWV010000899</t>
  </si>
  <si>
    <t>ssRNA_60699</t>
  </si>
  <si>
    <t>CASDWV010002559</t>
  </si>
  <si>
    <t>ssRNA_53974</t>
  </si>
  <si>
    <t>CASDWV010002287</t>
  </si>
  <si>
    <t>ssRNA_43824</t>
  </si>
  <si>
    <t>CASDWV010001686</t>
  </si>
  <si>
    <t>ssRNA_89680</t>
  </si>
  <si>
    <t>CASDWV010003772</t>
  </si>
  <si>
    <t>ssRNA_37251</t>
  </si>
  <si>
    <t>CASDWV010001284</t>
  </si>
  <si>
    <t>ssRNA_131788</t>
  </si>
  <si>
    <t>CASDWV010004833</t>
  </si>
  <si>
    <t>ssRNA_39477</t>
  </si>
  <si>
    <t>CASDWV010001406</t>
  </si>
  <si>
    <t>ssRNA_66373</t>
  </si>
  <si>
    <t>CASDWV010002800</t>
  </si>
  <si>
    <t>ssRNA_8952</t>
  </si>
  <si>
    <t>CASDWV010000422</t>
  </si>
  <si>
    <t>ssRNA_76034</t>
  </si>
  <si>
    <t>CASDWV010003199</t>
  </si>
  <si>
    <t>ssRNA_38414</t>
  </si>
  <si>
    <t>CASDWV010001340</t>
  </si>
  <si>
    <t>ssRNA_13855</t>
  </si>
  <si>
    <t>CASDWV010000551</t>
  </si>
  <si>
    <t>ssRNA_128436</t>
  </si>
  <si>
    <t>CASDWV010004716</t>
  </si>
  <si>
    <t>ssRNA_87978</t>
  </si>
  <si>
    <t>CASDWV010003673</t>
  </si>
  <si>
    <t>ssRNA_6004</t>
  </si>
  <si>
    <t>CASDWV010000345</t>
  </si>
  <si>
    <t>MAG: Leviviridae sp. isolate R30-k141_244159, complete genome</t>
  </si>
  <si>
    <t>MZ679616</t>
  </si>
  <si>
    <t>MAG: Leviviridae sp. isolate 347R-k141_390855, complete genome</t>
  </si>
  <si>
    <t>MZ679708</t>
  </si>
  <si>
    <t>ssRNA_118619</t>
  </si>
  <si>
    <t>CASDWV010004412</t>
  </si>
  <si>
    <t>ssRNA_118625</t>
  </si>
  <si>
    <t>CASDWV010004416</t>
  </si>
  <si>
    <t>MAG: Leviviridae sp. isolate 171-k141_294965 genomic sequence</t>
  </si>
  <si>
    <t>MZ679655</t>
  </si>
  <si>
    <t>ssRNA_63793</t>
  </si>
  <si>
    <t>CASDWV010002738</t>
  </si>
  <si>
    <t>ssRNA_36377</t>
  </si>
  <si>
    <t>CASDWV010001261</t>
  </si>
  <si>
    <t>Begindovirus</t>
  </si>
  <si>
    <t>ssRNA_67695</t>
  </si>
  <si>
    <t>CASDWV010002844</t>
  </si>
  <si>
    <t>Duridgovirus</t>
  </si>
  <si>
    <t>ssRNA_8861</t>
  </si>
  <si>
    <t>CASDWV010000405</t>
  </si>
  <si>
    <t>ssRNA_50308</t>
  </si>
  <si>
    <t>CASDWV010002083</t>
  </si>
  <si>
    <t>MAG: Leviviridae sp. isolate 278R-k141_243836 maturation protein, coat protein, and RNA dependent RNA polymerase genes, complete cds</t>
  </si>
  <si>
    <t>ON162961</t>
  </si>
  <si>
    <t>Lunjuvirus</t>
  </si>
  <si>
    <t>ssRNA_54853</t>
  </si>
  <si>
    <t>CASDWV010002340</t>
  </si>
  <si>
    <t>Upirshuvirus</t>
  </si>
  <si>
    <t>MAG: Leviviridae sp. isolate 160-k141_122535 maturation protein gene, partial cds; and coat protein and RNA dependent RNA polymerase genes, complete cds</t>
  </si>
  <si>
    <t>ON163393</t>
  </si>
  <si>
    <t>Wahlkovirus</t>
  </si>
  <si>
    <t>ssRNA_72425</t>
  </si>
  <si>
    <t>CASDWV010003056</t>
  </si>
  <si>
    <t>ssRNA_84980</t>
  </si>
  <si>
    <t>CASDWV010003535</t>
  </si>
  <si>
    <t>ssRNA_114493</t>
  </si>
  <si>
    <t>CASDWV010004255</t>
  </si>
  <si>
    <t>ssRNA_140371</t>
  </si>
  <si>
    <t>CASDWV010005069</t>
  </si>
  <si>
    <t>ssRNA_1294</t>
  </si>
  <si>
    <t>CASDWV010000065</t>
  </si>
  <si>
    <t>ssRNA_1298</t>
  </si>
  <si>
    <t>CASDWV010000067</t>
  </si>
  <si>
    <t>ssRNA_3154</t>
  </si>
  <si>
    <t>CASDWV010000174</t>
  </si>
  <si>
    <t>Wahpevirus</t>
  </si>
  <si>
    <t>MAG: Leviviridae sp. isolate 91-k141_65838 genomic sequence</t>
  </si>
  <si>
    <t>MZ679788</t>
  </si>
  <si>
    <t>MAG: Leviviridae sp. isolate s64-k141_1592947 genomic sequence</t>
  </si>
  <si>
    <t>MZ679549</t>
  </si>
  <si>
    <t>Wahrwivirus</t>
  </si>
  <si>
    <t>MAG: Leviviridae sp. isolate 78-k141_514366 genomic sequence</t>
  </si>
  <si>
    <t>MZ679750</t>
  </si>
  <si>
    <t>MAG: Leviviridae sp. isolate 321R-k141_1046804 genomic sequence</t>
  </si>
  <si>
    <t>MZ679467</t>
  </si>
  <si>
    <t>MAG: Leviviridae sp. isolate 321R-k141_981661 genomic sequence</t>
  </si>
  <si>
    <t>MZ679829</t>
  </si>
  <si>
    <t>MAG: Leviviridae sp. isolate 78-k141_562950 genomic sequence</t>
  </si>
  <si>
    <t>MZ679768</t>
  </si>
  <si>
    <t>MAG: Leviviridae sp. isolate 3-k141_107399 genomic sequence</t>
  </si>
  <si>
    <t>MZ679474</t>
  </si>
  <si>
    <t>MAG: Leviviridae sp. isolate 296-k141_137086 genomic sequence</t>
  </si>
  <si>
    <t>MZ679527</t>
  </si>
  <si>
    <t>MAG: Leviviridae sp. isolate 321R-k141_1223212 genomic sequence</t>
  </si>
  <si>
    <t>MZ679509</t>
  </si>
  <si>
    <t>MAG: Leviviridae sp. isolate 279-k141_139404 genomic sequence</t>
  </si>
  <si>
    <t>MZ679529</t>
  </si>
  <si>
    <t>MAG: Leviviridae sp. isolate 281-k141_12388 genomic sequence</t>
  </si>
  <si>
    <t>MZ679511</t>
  </si>
  <si>
    <t>MAG: Leviviridae sp. isolate 121-k141_39075 genomic sequence</t>
  </si>
  <si>
    <t>MZ679707</t>
  </si>
  <si>
    <t>MAG: Leviviridae sp. isolate 35-k141_177256 genomic sequence</t>
  </si>
  <si>
    <t>MZ679562</t>
  </si>
  <si>
    <t>MAG: Leviviridae sp. isolate 39R-k141_367016 genomic sequence</t>
  </si>
  <si>
    <t>MZ679693</t>
  </si>
  <si>
    <t>MAG: Leviviridae sp. isolate 277-k141_282622 genomic sequence</t>
  </si>
  <si>
    <t>MZ679646</t>
  </si>
  <si>
    <t>Wahtivirus</t>
  </si>
  <si>
    <t>MAG: Leviviridae sp. isolate 164-k141_261702 genomic sequence</t>
  </si>
  <si>
    <t>MZ680333</t>
  </si>
  <si>
    <t>MAG: Leviviridae sp. isolate 164-k141_175116 genomic sequence</t>
  </si>
  <si>
    <t>MZ679559</t>
  </si>
  <si>
    <t>Warmivirus</t>
  </si>
  <si>
    <t>MAG: Leviviridae sp. isolate s42-k141_409043 genomic sequence</t>
  </si>
  <si>
    <t>MZ679715</t>
  </si>
  <si>
    <t>Waspevirus</t>
  </si>
  <si>
    <t>MAG: Leviviridae sp. isolate 358R-k141_998760 genomic sequence</t>
  </si>
  <si>
    <t>MZ679833</t>
  </si>
  <si>
    <t>Wedhlevirus</t>
  </si>
  <si>
    <t>ssRNA_79926</t>
  </si>
  <si>
    <t>CASDWV010003350</t>
  </si>
  <si>
    <t>Wehlfuvirus</t>
  </si>
  <si>
    <t>Sanya solspi-like virus 4</t>
  </si>
  <si>
    <t>MAG: Sanya solspi-like virus 4 isolate QJZLS610 maturation protein, hypothetical protein, and RNA replicase beta chain genes, complete cds</t>
  </si>
  <si>
    <t>OM514546</t>
  </si>
  <si>
    <t>ssRNA_125530</t>
  </si>
  <si>
    <t>CASDWV010004642</t>
  </si>
  <si>
    <t>Wehsdovirus</t>
  </si>
  <si>
    <t>MAG: Leviviridae sp. isolate R28-k141_108120 maturation protein, coat protein, and RNA dependent RNA polymerase genes, complete cds</t>
  </si>
  <si>
    <t>ON162659</t>
  </si>
  <si>
    <t>Welesbovirus</t>
  </si>
  <si>
    <t>MAG: Leviviridae sp. isolate R30-k141_202966_2 maturation protein, coat protein, and RNA dependent RNA polymerase genes, complete cds</t>
  </si>
  <si>
    <t>ON162634</t>
  </si>
  <si>
    <t>Weothlivirus</t>
  </si>
  <si>
    <t>Sanya solspi-like virus 1</t>
  </si>
  <si>
    <t>MAG: Sanya solspi-like virus 1 isolate QJZLS62 maturation protein, hypothetical protein, and RNA replicase beta chain genes, complete cds</t>
  </si>
  <si>
    <t>OM514542</t>
  </si>
  <si>
    <t>Whahdcavirus</t>
  </si>
  <si>
    <t>ssRNA_1035</t>
  </si>
  <si>
    <t>CASDWV010000057</t>
  </si>
  <si>
    <t>Sanya solspi-like virus 3</t>
  </si>
  <si>
    <t>MAG: Sanya solspi-like virus 3 isolate QJZLS502 maturation protein, hypothetical protein, and RNA replicase beta chain genes, complete cds</t>
  </si>
  <si>
    <t>OM514545</t>
  </si>
  <si>
    <t>MAG: Leviviridae sp. isolate 270-k141_159022 maturation protein, coat protein, and RNA dependent RNA polymerase genes, complete cds</t>
  </si>
  <si>
    <t>ON163019</t>
  </si>
  <si>
    <t>ssRNA_83163</t>
  </si>
  <si>
    <t>CASDWV010003475</t>
  </si>
  <si>
    <t>Whochfovirus</t>
  </si>
  <si>
    <t>MAG: Leviviridae sp. isolate 144-k141_399415 maturation protein and coat protein genes, complete cds; and RNA dependent RNA polymerase gene, partial cds</t>
  </si>
  <si>
    <t>ON163473</t>
  </si>
  <si>
    <t>ssRNA_6717</t>
  </si>
  <si>
    <t>CASDWV010000365</t>
  </si>
  <si>
    <t>Whotchuvirus</t>
  </si>
  <si>
    <t>MAG: Leviviridae sp. isolate 57-k141_119769 maturation protein gene, partial cds; and coat protein and RNA dependent RNA polymerase genes, complete cds</t>
  </si>
  <si>
    <t>ON163649</t>
  </si>
  <si>
    <t>Whotnavirus</t>
  </si>
  <si>
    <t>MAG: Leviviridae sp. isolate 28-k141_42216 maturation protein and coat protein genes, complete cds; and RNA dependent RNA polymerase gene, partial cds</t>
  </si>
  <si>
    <t>ON163761</t>
  </si>
  <si>
    <t>Wihbtavirus</t>
  </si>
  <si>
    <t>MAG: Leviviridae sp. isolate 81b-k141_158409_2 maturation protein, coat protein, and RNA dependent RNA polymerase genes, complete cds</t>
  </si>
  <si>
    <t>ON163871</t>
  </si>
  <si>
    <t>Wihlevirus</t>
  </si>
  <si>
    <t>MAG: Leviviridae sp. isolate 63-k141_221274_2 maturation protein, coat protein, and RNA dependent RNA polymerase genes, complete cds</t>
  </si>
  <si>
    <t>ON164134</t>
  </si>
  <si>
    <t>Windevirus</t>
  </si>
  <si>
    <t>ssRNA_126865</t>
  </si>
  <si>
    <t>CASDWV010004652</t>
  </si>
  <si>
    <t>Witirovirus</t>
  </si>
  <si>
    <t>Sanya fiers-like virus 12</t>
  </si>
  <si>
    <t>MAG: Sanya fiers-like virus 12 isolate QJZLS124 maturation protein, hypothetical protein, and RNA replicase beta chain genes, complete cds</t>
  </si>
  <si>
    <t>OM514482</t>
  </si>
  <si>
    <t>ssRNA_129105</t>
  </si>
  <si>
    <t>CASDWV010004746</t>
  </si>
  <si>
    <t>Wixfuvirus</t>
  </si>
  <si>
    <t>ssRNA_132039</t>
  </si>
  <si>
    <t>CASDWV010004837</t>
  </si>
  <si>
    <t>Woatevirus</t>
  </si>
  <si>
    <t>ssRNA_42081</t>
  </si>
  <si>
    <t>CASDWV010001552</t>
  </si>
  <si>
    <t>Wohlvevirus</t>
  </si>
  <si>
    <t>ssRNA_41320</t>
  </si>
  <si>
    <t>CASDWV010001504</t>
  </si>
  <si>
    <t>Wohtovirus</t>
  </si>
  <si>
    <t>ssRNA_9681</t>
  </si>
  <si>
    <t>CASDWV010000485</t>
  </si>
  <si>
    <t>ssRNA_1030</t>
  </si>
  <si>
    <t>CASDWV010000054</t>
  </si>
  <si>
    <t>ssRNA_37634</t>
  </si>
  <si>
    <t>CASDWV010001303</t>
  </si>
  <si>
    <t>ssRNA_80700</t>
  </si>
  <si>
    <t>CASDWV010003371</t>
  </si>
  <si>
    <t>ssRNA_18363</t>
  </si>
  <si>
    <t>CASDWV010000628</t>
  </si>
  <si>
    <t>ssRNA_5212</t>
  </si>
  <si>
    <t>CASDWV010000261</t>
  </si>
  <si>
    <t>ssRNA_101743</t>
  </si>
  <si>
    <t>CASDWV010004100</t>
  </si>
  <si>
    <t>ssRNA_38031</t>
  </si>
  <si>
    <t>CASDWV010001322</t>
  </si>
  <si>
    <t>ssRNA_85849</t>
  </si>
  <si>
    <t>CASDWV010003576</t>
  </si>
  <si>
    <t>ssRNA_43748</t>
  </si>
  <si>
    <t>CASDWV010001680</t>
  </si>
  <si>
    <t>Wolstavirus</t>
  </si>
  <si>
    <t>ssRNA_36369</t>
  </si>
  <si>
    <t>CASDWV010001258</t>
  </si>
  <si>
    <t>Woshavirus</t>
  </si>
  <si>
    <t>ssRNA_131086</t>
  </si>
  <si>
    <t>CASDWV010004789</t>
  </si>
  <si>
    <t>Wostovirus</t>
  </si>
  <si>
    <t>MAG: Leviviridae sp. isolate R28-k141_36069_2 maturation protein, coat protein, and RNA dependent RNA polymerase genes, complete cds</t>
  </si>
  <si>
    <t>ON162662</t>
  </si>
  <si>
    <t>Wruxevirus</t>
  </si>
  <si>
    <t>ssRNA_85856</t>
  </si>
  <si>
    <t>CASDWV010003580</t>
  </si>
  <si>
    <t>ssRNA_45310</t>
  </si>
  <si>
    <t>CASDWV010001783</t>
  </si>
  <si>
    <t>Wulfhavirus</t>
  </si>
  <si>
    <t>ssRNA_28955</t>
  </si>
  <si>
    <t>CASDWV010001012</t>
  </si>
  <si>
    <t>Wulmkuvirus</t>
  </si>
  <si>
    <t>MAG: Leviviridae sp. isolate R30-k141_381141_2 maturation protein, coat protein, and RNA dependent RNA polymerase genes, complete cds</t>
  </si>
  <si>
    <t>ON164405</t>
  </si>
  <si>
    <t>Wulouvirus</t>
  </si>
  <si>
    <t>MAG: Leviviridae sp. isolate 373R-k141_105502_2 maturation protein and coat protein genes, complete cds; and RNA dependent RNA polymerase gene, partial cds</t>
  </si>
  <si>
    <t>ON164374</t>
  </si>
  <si>
    <t>Wulvevirus</t>
  </si>
  <si>
    <t>ssRNA_10391</t>
  </si>
  <si>
    <t>CASDWV010000512</t>
  </si>
  <si>
    <t>Wurmloivirus</t>
  </si>
  <si>
    <t>ssRNA_44950</t>
  </si>
  <si>
    <t>CASDWV010001762</t>
  </si>
  <si>
    <t>Brahivirus</t>
  </si>
  <si>
    <t>Leviviridae sp. isolate XZS180134 genomic sequence, sequence</t>
  </si>
  <si>
    <t>MW826429</t>
  </si>
  <si>
    <t>Hisehlovirus</t>
  </si>
  <si>
    <t>MAG: Leviviridae sp. isolate R18-k141_159536 genomic sequence</t>
  </si>
  <si>
    <t>MZ679550</t>
  </si>
  <si>
    <t>Niwtuvirus</t>
  </si>
  <si>
    <t>ssRNA_32444</t>
  </si>
  <si>
    <t>CASDWV010001130</t>
  </si>
  <si>
    <t>ssRNA_74752</t>
  </si>
  <si>
    <t>CASDWV010003161</t>
  </si>
  <si>
    <t>ssRNA_122114</t>
  </si>
  <si>
    <t>CASDWV010004515</t>
  </si>
  <si>
    <t>ssRNA_74756</t>
  </si>
  <si>
    <t>CASDWV010003162</t>
  </si>
  <si>
    <t>ssRNA_6550</t>
  </si>
  <si>
    <t>CASDWV010000349</t>
  </si>
  <si>
    <t>Prorsmavirus</t>
  </si>
  <si>
    <t>MAG: Leviviridae sp. isolate 120-k141_159953 maturation protein gene, partial cds; and coat protein and RNA dependent RNA polymerase genes, complete cds</t>
  </si>
  <si>
    <t>ON163534</t>
  </si>
  <si>
    <t>Strotovirus</t>
  </si>
  <si>
    <t>MAG: Leviviridae sp. isolate 87-k141_267672 genomic sequence</t>
  </si>
  <si>
    <t>MZ679635</t>
  </si>
  <si>
    <t>Alcestovirus</t>
  </si>
  <si>
    <t>ssRNA_27916</t>
  </si>
  <si>
    <t>CASDWV010000980</t>
  </si>
  <si>
    <t>MAG: Leviviridae sp. isolate 78-k141_518335 genomic sequence</t>
  </si>
  <si>
    <t>MZ679753</t>
  </si>
  <si>
    <t>MAG: Leviviridae sp. isolate 174-k141_42142, complete genome</t>
  </si>
  <si>
    <t>MZ679721</t>
  </si>
  <si>
    <t>MAG: Leviviridae sp. isolate 164-k141_7284 genomic sequence</t>
  </si>
  <si>
    <t>MZ679800</t>
  </si>
  <si>
    <t>MAG: Leviviridae sp. isolate s48-k141_550411 genomic sequence</t>
  </si>
  <si>
    <t>MZ679765</t>
  </si>
  <si>
    <t>MAG: Leviviridae sp. isolate s48-k141_1263470, complete genome</t>
  </si>
  <si>
    <t>MZ679514</t>
  </si>
  <si>
    <t>MAG: Leviviridae sp. isolate R9-k141_475514, complete genome</t>
  </si>
  <si>
    <t>MZ679740</t>
  </si>
  <si>
    <t>MAG: Leviviridae sp. isolate R9-k141_335880, complete genome</t>
  </si>
  <si>
    <t>MZ679678</t>
  </si>
  <si>
    <t>MAG: Leviviridae sp. isolate 171-k141_256147, complete genome</t>
  </si>
  <si>
    <t>MZ679625</t>
  </si>
  <si>
    <t>MAG: Leviviridae sp. isolate 154-k141_396282, complete genome</t>
  </si>
  <si>
    <t>MZ679710</t>
  </si>
  <si>
    <t>MAG: Leviviridae sp. isolate 376R-k141_1065260, complete genome</t>
  </si>
  <si>
    <t>MZ679471</t>
  </si>
  <si>
    <t>MAG: Leviviridae sp. isolate 268-k141_299831, complete genome</t>
  </si>
  <si>
    <t>MZ679660</t>
  </si>
  <si>
    <t>MAG: Leviviridae sp. isolate R30-k141_32906, complete genome</t>
  </si>
  <si>
    <t>MZ679669</t>
  </si>
  <si>
    <t>MAG: Leviviridae sp. isolate 167-k141_355194, complete genome</t>
  </si>
  <si>
    <t>MZ679688</t>
  </si>
  <si>
    <t>MAG: Leviviridae sp. isolate 46-k141_129773, complete genome</t>
  </si>
  <si>
    <t>MZ679520</t>
  </si>
  <si>
    <t>MAG: Leviviridae sp. isolate 168-k141_288144, complete genome</t>
  </si>
  <si>
    <t>MZ679649</t>
  </si>
  <si>
    <t>MAG: Leviviridae sp. isolate 248-k141_244285, complete genome</t>
  </si>
  <si>
    <t>MZ679617</t>
  </si>
  <si>
    <t>MAG: Leviviridae sp. isolate 159-k141_217068, complete genome</t>
  </si>
  <si>
    <t>MZ679596</t>
  </si>
  <si>
    <t>MAG: Leviviridae sp. isolate 157-k141_37639, complete genome</t>
  </si>
  <si>
    <t>MZ679699</t>
  </si>
  <si>
    <t>MAG: Leviviridae sp. isolate 181-k141_36856 genomic sequence</t>
  </si>
  <si>
    <t>MZ679695</t>
  </si>
  <si>
    <t>MAG: Leviviridae sp. isolate s48-k141_148630, complete genome</t>
  </si>
  <si>
    <t>MZ679537</t>
  </si>
  <si>
    <t>MAG: Leviviridae sp. isolate 254-k141_128054, complete genome</t>
  </si>
  <si>
    <t>MZ679517</t>
  </si>
  <si>
    <t>MAG: Leviviridae sp. isolate R9-k141_373641, complete genome</t>
  </si>
  <si>
    <t>MZ679697</t>
  </si>
  <si>
    <t>MAG: Leviviridae sp. isolate R8-k141_350615 genomic sequence</t>
  </si>
  <si>
    <t>MZ679685</t>
  </si>
  <si>
    <t>MAG: Leviviridae sp. isolate 254-k141_27182 genomic sequence</t>
  </si>
  <si>
    <t>MZ679639</t>
  </si>
  <si>
    <t>ssRNA_66024</t>
  </si>
  <si>
    <t>CASDWV010002788</t>
  </si>
  <si>
    <t>MAG: Leviviridae sp. isolate 105-k141_213794, complete genome</t>
  </si>
  <si>
    <t>MZ679595</t>
  </si>
  <si>
    <t>ssRNA_89538</t>
  </si>
  <si>
    <t>CASDWV010003763</t>
  </si>
  <si>
    <t>ssRNA_82241</t>
  </si>
  <si>
    <t>CASDWV010003437</t>
  </si>
  <si>
    <t>ssRNA_62960</t>
  </si>
  <si>
    <t>CASDWV010002675</t>
  </si>
  <si>
    <t>MAG: Leviviridae sp. isolate s58-k141_525708 genomic sequence</t>
  </si>
  <si>
    <t>MZ679759</t>
  </si>
  <si>
    <t>MAG: Leviviridae sp. isolate s59-k141_712336, complete genome</t>
  </si>
  <si>
    <t>MZ679798</t>
  </si>
  <si>
    <t>MAG: Leviviridae sp. isolate R87-k141_13667, complete genome</t>
  </si>
  <si>
    <t>MZ679526</t>
  </si>
  <si>
    <t>MAG: Leviviridae sp. isolate 376R-k141_1198757, complete genome</t>
  </si>
  <si>
    <t>MZ679500</t>
  </si>
  <si>
    <t>MAG: Leviviridae sp. isolate 376R-k141_462894, complete genome</t>
  </si>
  <si>
    <t>MZ679735</t>
  </si>
  <si>
    <t>MAG: Leviviridae sp. isolate 78-k141_197969 genomic sequence</t>
  </si>
  <si>
    <t>MZ679580</t>
  </si>
  <si>
    <t>ssRNA_118623</t>
  </si>
  <si>
    <t>CASDWV010004414</t>
  </si>
  <si>
    <t>ssRNA_34983</t>
  </si>
  <si>
    <t>CASDWV010001191</t>
  </si>
  <si>
    <t>MAG: Leviviridae sp. isolate R72-k141_249948, complete genome</t>
  </si>
  <si>
    <t>MZ679620</t>
  </si>
  <si>
    <t>MAG: Leviviridae sp. isolate R72-k141_760894 genomic sequence</t>
  </si>
  <si>
    <t>MZ679805</t>
  </si>
  <si>
    <t>MAG: Leviviridae sp. isolate 174-k141_193115 genomic sequence</t>
  </si>
  <si>
    <t>MZ679578</t>
  </si>
  <si>
    <t>MAG: Leviviridae sp. isolate 174-k141_58336, complete genome</t>
  </si>
  <si>
    <t>MZ680325</t>
  </si>
  <si>
    <t>MAG: Leviviridae sp. isolate 277-k141_11656, complete genome</t>
  </si>
  <si>
    <t>MZ679491</t>
  </si>
  <si>
    <t>MAG: Leviviridae sp. isolate 36-k141_183543, complete genome</t>
  </si>
  <si>
    <t>MZ679569</t>
  </si>
  <si>
    <t>MAG: Leviviridae sp. isolate 273-k141_242751, complete genome</t>
  </si>
  <si>
    <t>MZ679615</t>
  </si>
  <si>
    <t>MAG: Leviviridae sp. isolate 35-k141_153231, complete genome</t>
  </si>
  <si>
    <t>MZ679543</t>
  </si>
  <si>
    <t>MAG: Leviviridae sp. isolate 122-k141_29919, complete genome</t>
  </si>
  <si>
    <t>MZ679659</t>
  </si>
  <si>
    <t>MAG: Leviviridae sp. isolate 271-k141_217635 genomic sequence</t>
  </si>
  <si>
    <t>MZ679597</t>
  </si>
  <si>
    <t>ssRNA_120872</t>
  </si>
  <si>
    <t>CASDWV010004487</t>
  </si>
  <si>
    <t>ssRNA_28968</t>
  </si>
  <si>
    <t>CASDWV010001018</t>
  </si>
  <si>
    <t>Alvestavirus</t>
  </si>
  <si>
    <t>MAG: Leviviridae sp. isolate s48-k141_1496675, complete genome</t>
  </si>
  <si>
    <t>MZ679540</t>
  </si>
  <si>
    <t>Asdankavirus</t>
  </si>
  <si>
    <t>ssRNA_44987</t>
  </si>
  <si>
    <t>CASDWV010001775</t>
  </si>
  <si>
    <t>ssRNA_115888</t>
  </si>
  <si>
    <t>CASDWV010004291</t>
  </si>
  <si>
    <t>ssRNA_27233</t>
  </si>
  <si>
    <t>CASDWV010000944</t>
  </si>
  <si>
    <t>ssRNA_26319</t>
  </si>
  <si>
    <t>CASDWV010000906</t>
  </si>
  <si>
    <t>ssRNA_18276</t>
  </si>
  <si>
    <t>CASDWV010000619</t>
  </si>
  <si>
    <t>Austrovirus</t>
  </si>
  <si>
    <t>Badtivirus</t>
  </si>
  <si>
    <t>MAG: Leviviridae sp. isolate R118-k141_363837 genomic sequence</t>
  </si>
  <si>
    <t>MZ680336</t>
  </si>
  <si>
    <t>Bahrchivirus</t>
  </si>
  <si>
    <t>ssRNA_48452</t>
  </si>
  <si>
    <t>CASDWV010001983</t>
  </si>
  <si>
    <t>ssRNA_97233</t>
  </si>
  <si>
    <t>CASDWV010003993</t>
  </si>
  <si>
    <t>ssRNA_60584</t>
  </si>
  <si>
    <t>CASDWV010002529</t>
  </si>
  <si>
    <t>ssRNA_114116</t>
  </si>
  <si>
    <t>CASDWV010004232</t>
  </si>
  <si>
    <t>ssRNA_83149</t>
  </si>
  <si>
    <t>CASDWV010003469</t>
  </si>
  <si>
    <t>ssRNA_85669</t>
  </si>
  <si>
    <t>CASDWV010003567</t>
  </si>
  <si>
    <t>Bahxtivirus</t>
  </si>
  <si>
    <t>ssRNA_63316</t>
  </si>
  <si>
    <t>CASDWV010002717</t>
  </si>
  <si>
    <t>Bartuvirus</t>
  </si>
  <si>
    <t>ssRNA_139525</t>
  </si>
  <si>
    <t>CASDWV010005048</t>
  </si>
  <si>
    <t>ssRNA_43822</t>
  </si>
  <si>
    <t>CASDWV010001685</t>
  </si>
  <si>
    <t>Behrmavirus</t>
  </si>
  <si>
    <t>MAG: Leviviridae sp. isolate 74-k141_63878 genomic sequence</t>
  </si>
  <si>
    <t>MZ679784</t>
  </si>
  <si>
    <t>MAG: Leviviridae sp. isolate 35-k141_293298 genomic sequence</t>
  </si>
  <si>
    <t>MZ679652</t>
  </si>
  <si>
    <t>Beiedevirus</t>
  </si>
  <si>
    <t>ssRNA_12211</t>
  </si>
  <si>
    <t>CASDWV010000539</t>
  </si>
  <si>
    <t>Beirlevirus</t>
  </si>
  <si>
    <t>ssRNA_42738</t>
  </si>
  <si>
    <t>CASDWV010001605</t>
  </si>
  <si>
    <t>Bepbevirus</t>
  </si>
  <si>
    <t>ssRNA_122904</t>
  </si>
  <si>
    <t>CASDWV010004561</t>
  </si>
  <si>
    <t>Bertovirus</t>
  </si>
  <si>
    <t>ssRNA_43391</t>
  </si>
  <si>
    <t>CASDWV010001658</t>
  </si>
  <si>
    <t>Bescotivirus</t>
  </si>
  <si>
    <t>ssRNA_134165</t>
  </si>
  <si>
    <t>CASDWV010004891</t>
  </si>
  <si>
    <t>ssRNA_118020</t>
  </si>
  <si>
    <t>CASDWV010004389</t>
  </si>
  <si>
    <t>ssRNA_71737</t>
  </si>
  <si>
    <t>CASDWV010003019</t>
  </si>
  <si>
    <t>ssRNA_123263</t>
  </si>
  <si>
    <t>CASDWV010004579</t>
  </si>
  <si>
    <t>ssRNA_122883</t>
  </si>
  <si>
    <t>CASDWV010004556</t>
  </si>
  <si>
    <t>ssRNA_3770</t>
  </si>
  <si>
    <t>CASDWV010000192</t>
  </si>
  <si>
    <t>ssRNA_79867</t>
  </si>
  <si>
    <t>CASDWV010003332</t>
  </si>
  <si>
    <t>ssRNA_5954</t>
  </si>
  <si>
    <t>CASDWV010000320</t>
  </si>
  <si>
    <t>ssRNA_16956</t>
  </si>
  <si>
    <t>CASDWV010000614</t>
  </si>
  <si>
    <t>ssRNA_47432</t>
  </si>
  <si>
    <t>CASDWV010001934</t>
  </si>
  <si>
    <t>ssRNA_23402</t>
  </si>
  <si>
    <t>CASDWV010000786</t>
  </si>
  <si>
    <t>MAG: Leviviridae sp. isolate 220-k141_28467 maturation protein, coat protein, and RNA dependent RNA polymerase genes, complete cds</t>
  </si>
  <si>
    <t>ON164258</t>
  </si>
  <si>
    <t>ssRNA_34990</t>
  </si>
  <si>
    <t>CASDWV010001194</t>
  </si>
  <si>
    <t>ssRNA_81583</t>
  </si>
  <si>
    <t>CASDWV010003407</t>
  </si>
  <si>
    <t>ssRNA_120879</t>
  </si>
  <si>
    <t>CASDWV010004490</t>
  </si>
  <si>
    <t>ssRNA_137177</t>
  </si>
  <si>
    <t>CASDWV010004981</t>
  </si>
  <si>
    <t>ssRNA_79152</t>
  </si>
  <si>
    <t>CASDWV010003312</t>
  </si>
  <si>
    <t>ssRNA_63260</t>
  </si>
  <si>
    <t>CASDWV010002702</t>
  </si>
  <si>
    <t>ssRNA_83719</t>
  </si>
  <si>
    <t>CASDWV010003501</t>
  </si>
  <si>
    <t>ssRNA_131084</t>
  </si>
  <si>
    <t>CASDWV010004787</t>
  </si>
  <si>
    <t>ssRNA_128153</t>
  </si>
  <si>
    <t>CASDWV010004696</t>
  </si>
  <si>
    <t>ssRNA_30961</t>
  </si>
  <si>
    <t>CASDWV010001080</t>
  </si>
  <si>
    <t>ssRNA_1022</t>
  </si>
  <si>
    <t>CASDWV010000049</t>
  </si>
  <si>
    <t>Bidwovirus</t>
  </si>
  <si>
    <t>ssRNA_82755</t>
  </si>
  <si>
    <t>CASDWV010003456</t>
  </si>
  <si>
    <t>Bihckevirus</t>
  </si>
  <si>
    <t>Bihndovirus</t>
  </si>
  <si>
    <t>MAG: Leviviridae sp. isolate 171-k141_396391 genomic sequence</t>
  </si>
  <si>
    <t>MZ679711</t>
  </si>
  <si>
    <t>Bilsivirus</t>
  </si>
  <si>
    <t>ssRNA_72423</t>
  </si>
  <si>
    <t>CASDWV010003055</t>
  </si>
  <si>
    <t>Bircswevirus</t>
  </si>
  <si>
    <t>MAG: Leviviridae sp. isolate 320R-k141_993517 genomic sequence</t>
  </si>
  <si>
    <t>MZ679831</t>
  </si>
  <si>
    <t>Bishavirus</t>
  </si>
  <si>
    <t>ssRNA_83720</t>
  </si>
  <si>
    <t>CASDWV010003502</t>
  </si>
  <si>
    <t>Bishovirus</t>
  </si>
  <si>
    <t>ssRNA_118621</t>
  </si>
  <si>
    <t>CASDWV010004413</t>
  </si>
  <si>
    <t>ssRNA_49699</t>
  </si>
  <si>
    <t>CASDWV010002038</t>
  </si>
  <si>
    <t>Blacdavirus</t>
  </si>
  <si>
    <t>ssRNA_123033</t>
  </si>
  <si>
    <t>CASDWV010004567</t>
  </si>
  <si>
    <t>Boaesivirus</t>
  </si>
  <si>
    <t>MAG: Leviviridae sp. isolate 161-k141_185530, complete genome</t>
  </si>
  <si>
    <t>MZ679572</t>
  </si>
  <si>
    <t>Bohlehivirus</t>
  </si>
  <si>
    <t>ssRNA_69397</t>
  </si>
  <si>
    <t>CASDWV010002912</t>
  </si>
  <si>
    <t>Boldovirus</t>
  </si>
  <si>
    <t>MAG: Leviviridae sp. isolate 167-k141_64093, complete genome</t>
  </si>
  <si>
    <t>MZ680332</t>
  </si>
  <si>
    <t>ssRNA_40793</t>
  </si>
  <si>
    <t>CASDWV010001482</t>
  </si>
  <si>
    <t>Bourtovirus</t>
  </si>
  <si>
    <t>ssRNA_6000</t>
  </si>
  <si>
    <t>CASDWV010000343</t>
  </si>
  <si>
    <t>ssRNA_1922</t>
  </si>
  <si>
    <t>CASDWV010000104</t>
  </si>
  <si>
    <t>ssRNA_39037</t>
  </si>
  <si>
    <t>CASDWV010001376</t>
  </si>
  <si>
    <t>ssRNA_16170</t>
  </si>
  <si>
    <t>CASDWV010000601</t>
  </si>
  <si>
    <t>Bridfovirus</t>
  </si>
  <si>
    <t>MAG: Leviviridae sp. isolate 241-k141_1014587 genomic sequence</t>
  </si>
  <si>
    <t>MZ679464</t>
  </si>
  <si>
    <t>MAG: Leviviridae sp. isolate 346R-k141_385242 genomic sequence</t>
  </si>
  <si>
    <t>MZ679705</t>
  </si>
  <si>
    <t>MAG: Leviviridae sp. isolate 174-k141_176687 genomic sequence</t>
  </si>
  <si>
    <t>MZ679561</t>
  </si>
  <si>
    <t>MAG: Leviviridae sp. isolate 74-k141_265234 genomic sequence</t>
  </si>
  <si>
    <t>MZ679632</t>
  </si>
  <si>
    <t>Brimcuvirus</t>
  </si>
  <si>
    <t>MAG: Leviviridae sp. isolate 378R-k141_1108512 putative maturation protein and putative coat protein genes, complete cds; putative replicase protein gene, partial cds; and putative lysis protein gene, complete cds</t>
  </si>
  <si>
    <t>MZ679478</t>
  </si>
  <si>
    <t>ssRNA_89339</t>
  </si>
  <si>
    <t>CASDWV010003741</t>
  </si>
  <si>
    <t>Brimkuvirus</t>
  </si>
  <si>
    <t>ssRNA_83679</t>
  </si>
  <si>
    <t>CASDWV010003492</t>
  </si>
  <si>
    <t>Broedwivirus</t>
  </si>
  <si>
    <t>ssRNA_23718</t>
  </si>
  <si>
    <t>CASDWV010000822</t>
  </si>
  <si>
    <t>ssRNA_71241</t>
  </si>
  <si>
    <t>CASDWV010002982</t>
  </si>
  <si>
    <t>ssRNA_79898</t>
  </si>
  <si>
    <t>CASDWV010003345</t>
  </si>
  <si>
    <t>Buhdprovirus</t>
  </si>
  <si>
    <t>MAG: Leviviridae sp. isolate 48-k141_34477 genomic sequence</t>
  </si>
  <si>
    <t>MZ680343</t>
  </si>
  <si>
    <t>MAG: Leviviridae sp. isolate 239-k141_262887 genomic sequence</t>
  </si>
  <si>
    <t>MZ679630</t>
  </si>
  <si>
    <t>Buhrmuvirus</t>
  </si>
  <si>
    <t>ssRNA_133983</t>
  </si>
  <si>
    <t>CASDWV010004882</t>
  </si>
  <si>
    <t>Bulkovirus</t>
  </si>
  <si>
    <t>ssRNA_96030</t>
  </si>
  <si>
    <t>CASDWV010003942</t>
  </si>
  <si>
    <t>Bushwuavirus</t>
  </si>
  <si>
    <t>Butlevirus</t>
  </si>
  <si>
    <t>ssRNA_85788</t>
  </si>
  <si>
    <t>CASDWV010003568</t>
  </si>
  <si>
    <t>Campduvirus</t>
  </si>
  <si>
    <t>ssRNA_48485</t>
  </si>
  <si>
    <t>CASDWV010001987</t>
  </si>
  <si>
    <t>ssRNA_85920</t>
  </si>
  <si>
    <t>CASDWV010003587</t>
  </si>
  <si>
    <t>ssRNA_71212</t>
  </si>
  <si>
    <t>CASDWV010002976</t>
  </si>
  <si>
    <t>ssRNA_49165</t>
  </si>
  <si>
    <t>CASDWV010002017</t>
  </si>
  <si>
    <t>ssRNA_48483</t>
  </si>
  <si>
    <t>CASDWV010001986</t>
  </si>
  <si>
    <t>ssRNA_3173</t>
  </si>
  <si>
    <t>CASDWV010000181</t>
  </si>
  <si>
    <t>ssRNA_65329</t>
  </si>
  <si>
    <t>CASDWV010002773</t>
  </si>
  <si>
    <t>Capbuvirus</t>
  </si>
  <si>
    <t>ssRNA_60609</t>
  </si>
  <si>
    <t>CASDWV010002539</t>
  </si>
  <si>
    <t>Casfovirus</t>
  </si>
  <si>
    <t>ssRNA_104802</t>
  </si>
  <si>
    <t>CASDWV010004123</t>
  </si>
  <si>
    <t>ssRNA_55472</t>
  </si>
  <si>
    <t>CASDWV010002360</t>
  </si>
  <si>
    <t>ssRNA_33368</t>
  </si>
  <si>
    <t>CASDWV010001148</t>
  </si>
  <si>
    <t>ssRNA_1400</t>
  </si>
  <si>
    <t>CASDWV010000081</t>
  </si>
  <si>
    <t>Cawstavirus</t>
  </si>
  <si>
    <t>MAG: Leviviridae sp. isolate R119-k141_75556_2 maturation protein, coat protein, and RNA dependent RNA polymerase genes, complete cds</t>
  </si>
  <si>
    <t>ON162538</t>
  </si>
  <si>
    <t>Chebevirus</t>
  </si>
  <si>
    <t>ssRNA_140377</t>
  </si>
  <si>
    <t>CASDWV010005072</t>
  </si>
  <si>
    <t>Chiruvirus</t>
  </si>
  <si>
    <t>ssRNA_60594</t>
  </si>
  <si>
    <t>CASDWV010002533</t>
  </si>
  <si>
    <t>ssRNA_57460</t>
  </si>
  <si>
    <t>CASDWV010002426</t>
  </si>
  <si>
    <t>ssRNA_53077</t>
  </si>
  <si>
    <t>CASDWV010002245</t>
  </si>
  <si>
    <t>ssRNA_19496</t>
  </si>
  <si>
    <t>CASDWV010000660</t>
  </si>
  <si>
    <t>ssRNA_42881</t>
  </si>
  <si>
    <t>CASDWV010001624</t>
  </si>
  <si>
    <t>ssRNA_16164</t>
  </si>
  <si>
    <t>CASDWV010000598</t>
  </si>
  <si>
    <t>Chitwivirus</t>
  </si>
  <si>
    <t>ssRNA_5614</t>
  </si>
  <si>
    <t>CASDWV010000301</t>
  </si>
  <si>
    <t>Churkhuvirus</t>
  </si>
  <si>
    <t>Clavevirus</t>
  </si>
  <si>
    <t>ssRNA_42215</t>
  </si>
  <si>
    <t>CASDWV010001554</t>
  </si>
  <si>
    <t>ssRNA_57729</t>
  </si>
  <si>
    <t>CASDWV010002439</t>
  </si>
  <si>
    <t>ssRNA_49100</t>
  </si>
  <si>
    <t>CASDWV010002010</t>
  </si>
  <si>
    <t>ssRNA_5225</t>
  </si>
  <si>
    <t>CASDWV010000269</t>
  </si>
  <si>
    <t>ssRNA_53977</t>
  </si>
  <si>
    <t>CASDWV010002288</t>
  </si>
  <si>
    <t>ssRNA_55266</t>
  </si>
  <si>
    <t>CASDWV010002352</t>
  </si>
  <si>
    <t>ssRNA_53050</t>
  </si>
  <si>
    <t>CASDWV010002236</t>
  </si>
  <si>
    <t>Clofavirus</t>
  </si>
  <si>
    <t>MAG: Leviviridae sp. isolate 199-k141_127831 genomic sequence</t>
  </si>
  <si>
    <t>MZ679516</t>
  </si>
  <si>
    <t>Cumbruovirus</t>
  </si>
  <si>
    <t>ssRNA_60605</t>
  </si>
  <si>
    <t>CASDWV010002537</t>
  </si>
  <si>
    <t>Cumpduvirus</t>
  </si>
  <si>
    <t>ssRNA_89486</t>
  </si>
  <si>
    <t>CASDWV010003752</t>
  </si>
  <si>
    <t>Curdwovirus</t>
  </si>
  <si>
    <t>ssRNA_39982</t>
  </si>
  <si>
    <t>CASDWV010001430</t>
  </si>
  <si>
    <t>Danchavirus</t>
  </si>
  <si>
    <t>MAG: Leviviridae sp. isolate 162-k141_176238 genomic sequence</t>
  </si>
  <si>
    <t>MZ679560</t>
  </si>
  <si>
    <t>MAG: Leviviridae sp. isolate R9-k141_336268 genomic sequence</t>
  </si>
  <si>
    <t>MZ679679</t>
  </si>
  <si>
    <t>Darsivirus</t>
  </si>
  <si>
    <t>ssRNA_63259</t>
  </si>
  <si>
    <t>CASDWV010002701</t>
  </si>
  <si>
    <t>ssRNA_681</t>
  </si>
  <si>
    <t>CASDWV010000023</t>
  </si>
  <si>
    <t>Dordavirus</t>
  </si>
  <si>
    <t>ssRNA_118118</t>
  </si>
  <si>
    <t>CASDWV010004390</t>
  </si>
  <si>
    <t>ssRNA_41411</t>
  </si>
  <si>
    <t>CASDWV010001513</t>
  </si>
  <si>
    <t>MAG: Leviviridae sp. isolate 141-k141_120665 genomic sequence</t>
  </si>
  <si>
    <t>MZ679503</t>
  </si>
  <si>
    <t>Drayduvirus</t>
  </si>
  <si>
    <t>ssRNA_7407</t>
  </si>
  <si>
    <t>CASDWV010000372</t>
  </si>
  <si>
    <t>Dreycovirus</t>
  </si>
  <si>
    <t>ssRNA_5859</t>
  </si>
  <si>
    <t>CASDWV010000316</t>
  </si>
  <si>
    <t>Eastcovirus</t>
  </si>
  <si>
    <t>ssRNA_76040</t>
  </si>
  <si>
    <t>CASDWV010003201</t>
  </si>
  <si>
    <t>Eerlswavirus</t>
  </si>
  <si>
    <t>Eidhovirus</t>
  </si>
  <si>
    <t>ssRNA_109105</t>
  </si>
  <si>
    <t>CASDWV010004154</t>
  </si>
  <si>
    <t>ssRNA_33380</t>
  </si>
  <si>
    <t>CASDWV010001151</t>
  </si>
  <si>
    <t>ssRNA_137163</t>
  </si>
  <si>
    <t>CASDWV010004975</t>
  </si>
  <si>
    <t>ssRNA_47131</t>
  </si>
  <si>
    <t>CASDWV010001919</t>
  </si>
  <si>
    <t>ssRNA_19507</t>
  </si>
  <si>
    <t>CASDWV010000665</t>
  </si>
  <si>
    <t>ssRNA_139523</t>
  </si>
  <si>
    <t>CASDWV010005047</t>
  </si>
  <si>
    <t>ssRNA_52351</t>
  </si>
  <si>
    <t>CASDWV010002193</t>
  </si>
  <si>
    <t>ssRNA_52361</t>
  </si>
  <si>
    <t>CASDWV010002198</t>
  </si>
  <si>
    <t>ssRNA_85936</t>
  </si>
  <si>
    <t>CASDWV010003591</t>
  </si>
  <si>
    <t>Etingtavirus</t>
  </si>
  <si>
    <t>ssRNA_39236</t>
  </si>
  <si>
    <t>CASDWV010001395</t>
  </si>
  <si>
    <t>ssRNA_29156</t>
  </si>
  <si>
    <t>CASDWV010001020</t>
  </si>
  <si>
    <t>ssRNA_1985</t>
  </si>
  <si>
    <t>CASDWV010000119</t>
  </si>
  <si>
    <t>ssRNA_3157</t>
  </si>
  <si>
    <t>CASDWV010000175</t>
  </si>
  <si>
    <t>ssRNA_133542</t>
  </si>
  <si>
    <t>CASDWV010004863</t>
  </si>
  <si>
    <t>ssRNA_10719</t>
  </si>
  <si>
    <t>CASDWV010000523</t>
  </si>
  <si>
    <t>ssRNA_90908</t>
  </si>
  <si>
    <t>CASDWV010003818</t>
  </si>
  <si>
    <t>MAG: Leviviridae sp. isolate 270-k141_33497, complete genome</t>
  </si>
  <si>
    <t>MZ679677</t>
  </si>
  <si>
    <t>ssRNA_38032</t>
  </si>
  <si>
    <t>CASDWV010001323</t>
  </si>
  <si>
    <t>ssRNA_28550</t>
  </si>
  <si>
    <t>CASDWV010001003</t>
  </si>
  <si>
    <t>ssRNA_49705</t>
  </si>
  <si>
    <t>CASDWV010002039</t>
  </si>
  <si>
    <t>ssRNA_121538</t>
  </si>
  <si>
    <t>CASDWV010004501</t>
  </si>
  <si>
    <t>MAG: Leviviridae sp. isolate 241-k141_907841, complete genome</t>
  </si>
  <si>
    <t>MZ679823</t>
  </si>
  <si>
    <t>MAG: Leviviridae sp. isolate 243-k141_329077 genomic sequence</t>
  </si>
  <si>
    <t>MZ679670</t>
  </si>
  <si>
    <t>MAG: Leviviridae sp. isolate s59-k141_678401, complete genome</t>
  </si>
  <si>
    <t>MZ679791</t>
  </si>
  <si>
    <t>ssRNA_82749</t>
  </si>
  <si>
    <t>CASDWV010003454</t>
  </si>
  <si>
    <t>ssRNA_127646</t>
  </si>
  <si>
    <t>CASDWV010004688</t>
  </si>
  <si>
    <t>ssRNA_67067</t>
  </si>
  <si>
    <t>CASDWV010002815</t>
  </si>
  <si>
    <t>ssRNA_121552</t>
  </si>
  <si>
    <t>CASDWV010004504</t>
  </si>
  <si>
    <t>ssRNA_97240</t>
  </si>
  <si>
    <t>CASDWV010003996</t>
  </si>
  <si>
    <t>ssRNA_7932</t>
  </si>
  <si>
    <t>CASDWV010000377</t>
  </si>
  <si>
    <t>ssRNA_70187</t>
  </si>
  <si>
    <t>CASDWV010002951</t>
  </si>
  <si>
    <t>ssRNA_53764</t>
  </si>
  <si>
    <t>CASDWV010002273</t>
  </si>
  <si>
    <t>ssRNA_44984</t>
  </si>
  <si>
    <t>CASDWV010001773</t>
  </si>
  <si>
    <t>ssRNA_118123</t>
  </si>
  <si>
    <t>CASDWV010004392</t>
  </si>
  <si>
    <t>ssRNA_69792</t>
  </si>
  <si>
    <t>CASDWV010002936</t>
  </si>
  <si>
    <t>ssRNA_42876</t>
  </si>
  <si>
    <t>CASDWV010001623</t>
  </si>
  <si>
    <t>ssRNA_133972</t>
  </si>
  <si>
    <t>CASDWV010004876</t>
  </si>
  <si>
    <t>ssRNA_125899</t>
  </si>
  <si>
    <t>CASDWV010004645</t>
  </si>
  <si>
    <t>ssRNA_56713</t>
  </si>
  <si>
    <t>CASDWV010002415</t>
  </si>
  <si>
    <t>ssRNA_9398</t>
  </si>
  <si>
    <t>CASDWV010000465</t>
  </si>
  <si>
    <t>ssRNA_44981</t>
  </si>
  <si>
    <t>CASDWV010001771</t>
  </si>
  <si>
    <t>ssRNA_48491</t>
  </si>
  <si>
    <t>CASDWV010001990</t>
  </si>
  <si>
    <t>ssRNA_81573</t>
  </si>
  <si>
    <t>CASDWV010003404</t>
  </si>
  <si>
    <t>ssRNA_79856</t>
  </si>
  <si>
    <t>CASDWV010003330</t>
  </si>
  <si>
    <t>ssRNA_73141</t>
  </si>
  <si>
    <t>CASDWV010003084</t>
  </si>
  <si>
    <t>ssRNA_49167</t>
  </si>
  <si>
    <t>CASDWV010002018</t>
  </si>
  <si>
    <t>ssRNA_51257</t>
  </si>
  <si>
    <t>CASDWV010002124</t>
  </si>
  <si>
    <t>Giliycovirus</t>
  </si>
  <si>
    <t>ssRNA_41326</t>
  </si>
  <si>
    <t>CASDWV010001508</t>
  </si>
  <si>
    <t>ssRNA_75728</t>
  </si>
  <si>
    <t>CASDWV010003192</t>
  </si>
  <si>
    <t>ssRNA_75722</t>
  </si>
  <si>
    <t>CASDWV010003189</t>
  </si>
  <si>
    <t>ssRNA_91620</t>
  </si>
  <si>
    <t>CASDWV010003832</t>
  </si>
  <si>
    <t>ssRNA_28454</t>
  </si>
  <si>
    <t>CASDWV010000995</t>
  </si>
  <si>
    <t>ssRNA_70707</t>
  </si>
  <si>
    <t>CASDWV010002964</t>
  </si>
  <si>
    <t>ssRNA_47049</t>
  </si>
  <si>
    <t>CASDWV010001912</t>
  </si>
  <si>
    <t>ssRNA_89340</t>
  </si>
  <si>
    <t>CASDWV010003742</t>
  </si>
  <si>
    <t>ssRNA_72100</t>
  </si>
  <si>
    <t>CASDWV010003041</t>
  </si>
  <si>
    <t>Greatavirus</t>
  </si>
  <si>
    <t>ssRNA_99253</t>
  </si>
  <si>
    <t>CASDWV010004058</t>
  </si>
  <si>
    <t>Grehevirus</t>
  </si>
  <si>
    <t>ssRNA_1988</t>
  </si>
  <si>
    <t>CASDWV010000121</t>
  </si>
  <si>
    <t>Grehndovirus</t>
  </si>
  <si>
    <t>ssRNA_72814</t>
  </si>
  <si>
    <t>CASDWV010003078</t>
  </si>
  <si>
    <t>MAG: Leviviridae sp. isolate s48-k141_1275423 genomic sequence</t>
  </si>
  <si>
    <t>MZ679515</t>
  </si>
  <si>
    <t>MAG: Leviviridae sp. isolate s48-k141_507892 genomic sequence</t>
  </si>
  <si>
    <t>MZ679747</t>
  </si>
  <si>
    <t>MAG: Leviviridae sp. isolate s48-k141_1260529, complete genome</t>
  </si>
  <si>
    <t>MZ679513</t>
  </si>
  <si>
    <t>MAG: Leviviridae sp. isolate 171-k141_295361, complete genome</t>
  </si>
  <si>
    <t>MZ679656</t>
  </si>
  <si>
    <t>MAG: Leviviridae sp. isolate 171-k141_384527, complete genome</t>
  </si>
  <si>
    <t>MZ679704</t>
  </si>
  <si>
    <t>MAG: Leviviridae sp. isolate 36-k141_269255, complete genome</t>
  </si>
  <si>
    <t>MZ679637</t>
  </si>
  <si>
    <t>Hahselevirus</t>
  </si>
  <si>
    <t>ssRNA_30131</t>
  </si>
  <si>
    <t>CASDWV010001061</t>
  </si>
  <si>
    <t>Hampduvirus</t>
  </si>
  <si>
    <t>MAG: Leviviridae sp. isolate 346R-k141_556302 genomic sequence</t>
  </si>
  <si>
    <t>MZ679767</t>
  </si>
  <si>
    <t>MAG: Leviviridae sp. isolate 251-k141_302475, complete genome</t>
  </si>
  <si>
    <t>MZ679661</t>
  </si>
  <si>
    <t>MAG: Leviviridae sp. isolate 162-k141_51715, complete genome</t>
  </si>
  <si>
    <t>MZ679751</t>
  </si>
  <si>
    <t>MAG: Leviviridae sp. isolate 78-k141_523945 genomic sequence</t>
  </si>
  <si>
    <t>MZ679757</t>
  </si>
  <si>
    <t>MAG: Leviviridae sp. isolate 166-k141_363050 genomic sequence</t>
  </si>
  <si>
    <t>MZ679691</t>
  </si>
  <si>
    <t>MAG: Leviviridae sp. isolate 53b-k141_105923 genomic sequence</t>
  </si>
  <si>
    <t>MZ679469</t>
  </si>
  <si>
    <t>MAG: Leviviridae sp. isolate 36-k141_178356 genomic sequence</t>
  </si>
  <si>
    <t>MZ679565</t>
  </si>
  <si>
    <t>Hanolevirus</t>
  </si>
  <si>
    <t>ssRNA_88210</t>
  </si>
  <si>
    <t>CASDWV010003689</t>
  </si>
  <si>
    <t>Harbevirus</t>
  </si>
  <si>
    <t>MAG: Leviviridae sp. isolate 254-k141_100848 genomic sequence</t>
  </si>
  <si>
    <t>MZ679463</t>
  </si>
  <si>
    <t>MAG: Leviviridae sp. isolate 146-k141_116588 genomic sequence</t>
  </si>
  <si>
    <t>MZ679492</t>
  </si>
  <si>
    <t>ssRNA_83530</t>
  </si>
  <si>
    <t>CASDWV010003490</t>
  </si>
  <si>
    <t>ssRNA_139519</t>
  </si>
  <si>
    <t>CASDWV010005046</t>
  </si>
  <si>
    <t>Hardshivirus</t>
  </si>
  <si>
    <t>ssRNA_134275</t>
  </si>
  <si>
    <t>CASDWV010004904</t>
  </si>
  <si>
    <t>ssRNA_88537</t>
  </si>
  <si>
    <t>CASDWV010003715</t>
  </si>
  <si>
    <t>ssRNA_45793</t>
  </si>
  <si>
    <t>CASDWV010001827</t>
  </si>
  <si>
    <t>Hihlwovirus</t>
  </si>
  <si>
    <t>ssRNA_81572</t>
  </si>
  <si>
    <t>CASDWV010003403</t>
  </si>
  <si>
    <t>MAG: Leviviridae sp. isolate 367R-k141_70718 genomic sequence</t>
  </si>
  <si>
    <t>MZ679797</t>
  </si>
  <si>
    <t>MAG: Leviviridae sp. isolate 174-k141_78314 genomic sequence</t>
  </si>
  <si>
    <t>MZ679808</t>
  </si>
  <si>
    <t>MAG: Leviviridae sp. isolate 377R-k141_425819 genomic sequence</t>
  </si>
  <si>
    <t>MZ679722</t>
  </si>
  <si>
    <t>ssRNA_48489</t>
  </si>
  <si>
    <t>CASDWV010001989</t>
  </si>
  <si>
    <t>ssRNA_137286</t>
  </si>
  <si>
    <t>CASDWV010004996</t>
  </si>
  <si>
    <t>MAG: Leviviridae sp. isolate 258b-k141_125882 genomic sequence</t>
  </si>
  <si>
    <t>MZ679512</t>
  </si>
  <si>
    <t>MAG: Leviviridae sp. isolate 174b-k141_291264 genomic sequence</t>
  </si>
  <si>
    <t>MZ679650</t>
  </si>
  <si>
    <t>MAG: Leviviridae sp. isolate 298-k141_952522 genomic sequence</t>
  </si>
  <si>
    <t>MZ679827</t>
  </si>
  <si>
    <t>MAG: Leviviridae sp. isolate 159-k141_104770 genomic sequence</t>
  </si>
  <si>
    <t>MZ679468</t>
  </si>
  <si>
    <t>MAG: Leviviridae sp. isolate s48-k141_1440039 genomic sequence</t>
  </si>
  <si>
    <t>MZ679536</t>
  </si>
  <si>
    <t>ssRNA_50707</t>
  </si>
  <si>
    <t>CASDWV010002096</t>
  </si>
  <si>
    <t>ssRNA_53765</t>
  </si>
  <si>
    <t>CASDWV010002274</t>
  </si>
  <si>
    <t>ssRNA_79842</t>
  </si>
  <si>
    <t>CASDWV010003326</t>
  </si>
  <si>
    <t>MAG: Leviviridae sp. isolate 240b-k141_258187 genomic sequence</t>
  </si>
  <si>
    <t>MZ679627</t>
  </si>
  <si>
    <t>MAG: Leviviridae sp. isolate s59-k141_563323 genomic sequence</t>
  </si>
  <si>
    <t>MZ679769</t>
  </si>
  <si>
    <t>MAG: Leviviridae sp. isolate 131-k141_132795 genomic sequence</t>
  </si>
  <si>
    <t>MZ679522</t>
  </si>
  <si>
    <t>MAG: Leviviridae sp. isolate 273b-k141_245542 genomic sequence</t>
  </si>
  <si>
    <t>MZ680339</t>
  </si>
  <si>
    <t>MAG: Leviviridae sp. isolate 171-k141_10798 genomic sequence</t>
  </si>
  <si>
    <t>MZ679475</t>
  </si>
  <si>
    <t>ssRNA_44336</t>
  </si>
  <si>
    <t>CASDWV010001736</t>
  </si>
  <si>
    <t>ssRNA_84427</t>
  </si>
  <si>
    <t>CASDWV010003516</t>
  </si>
  <si>
    <t>ssRNA_80027</t>
  </si>
  <si>
    <t>CASDWV010003363</t>
  </si>
  <si>
    <t>Hilfovirus</t>
  </si>
  <si>
    <t>MAG: Leviviridae sp. isolate 48-k141_160868 genomic sequence</t>
  </si>
  <si>
    <t>MZ679551</t>
  </si>
  <si>
    <t>Hirbovirus</t>
  </si>
  <si>
    <t>ssRNA_73176</t>
  </si>
  <si>
    <t>CASDWV010003096</t>
  </si>
  <si>
    <t>ssRNA_40593</t>
  </si>
  <si>
    <t>CASDWV010001470</t>
  </si>
  <si>
    <t>ssRNA_44710</t>
  </si>
  <si>
    <t>CASDWV010001754</t>
  </si>
  <si>
    <t>Hisolavirus</t>
  </si>
  <si>
    <t>MAG: Leviviridae sp. isolate 125-k141_52896 genomic sequence</t>
  </si>
  <si>
    <t>MZ679760</t>
  </si>
  <si>
    <t>Hodnevirus</t>
  </si>
  <si>
    <t>ssRNA_47756</t>
  </si>
  <si>
    <t>CASDWV010001952</t>
  </si>
  <si>
    <t>ssRNA_40116</t>
  </si>
  <si>
    <t>CASDWV010001440</t>
  </si>
  <si>
    <t>ssRNA_46547</t>
  </si>
  <si>
    <t>CASDWV010001873</t>
  </si>
  <si>
    <t>ssRNA_58133</t>
  </si>
  <si>
    <t>CASDWV010002452</t>
  </si>
  <si>
    <t>ssRNA_54793</t>
  </si>
  <si>
    <t>CASDWV010002321</t>
  </si>
  <si>
    <t>ssRNA_42874</t>
  </si>
  <si>
    <t>CASDWV010001622</t>
  </si>
  <si>
    <t>ssRNA_71681</t>
  </si>
  <si>
    <t>CASDWV010002996</t>
  </si>
  <si>
    <t>ssRNA_44985</t>
  </si>
  <si>
    <t>CASDWV010001774</t>
  </si>
  <si>
    <t>ssRNA_43490</t>
  </si>
  <si>
    <t>CASDWV010001669</t>
  </si>
  <si>
    <t>ssRNA_31011</t>
  </si>
  <si>
    <t>CASDWV010001084</t>
  </si>
  <si>
    <t>ssRNA_63744</t>
  </si>
  <si>
    <t>CASDWV010002734</t>
  </si>
  <si>
    <t>ssRNA_58171</t>
  </si>
  <si>
    <t>CASDWV010002456</t>
  </si>
  <si>
    <t>ssRNA_23344</t>
  </si>
  <si>
    <t>CASDWV010000778</t>
  </si>
  <si>
    <t>ssRNA_48494</t>
  </si>
  <si>
    <t>CASDWV010001991</t>
  </si>
  <si>
    <t>ssRNA_58928</t>
  </si>
  <si>
    <t>CASDWV010002484</t>
  </si>
  <si>
    <t>ssRNA_82248</t>
  </si>
  <si>
    <t>CASDWV010003440</t>
  </si>
  <si>
    <t>ssRNA_1911</t>
  </si>
  <si>
    <t>CASDWV010000100</t>
  </si>
  <si>
    <t>ssRNA_56020</t>
  </si>
  <si>
    <t>CASDWV010002382</t>
  </si>
  <si>
    <t>ssRNA_45999</t>
  </si>
  <si>
    <t>CASDWV010001841</t>
  </si>
  <si>
    <t>ssRNA_28446</t>
  </si>
  <si>
    <t>CASDWV010000989</t>
  </si>
  <si>
    <t>ssRNA_2563</t>
  </si>
  <si>
    <t>CASDWV010000155</t>
  </si>
  <si>
    <t>ssRNA_51612</t>
  </si>
  <si>
    <t>CASDWV010002157</t>
  </si>
  <si>
    <t>ssRNA_21966</t>
  </si>
  <si>
    <t>CASDWV010000726</t>
  </si>
  <si>
    <t>ssRNA_32470</t>
  </si>
  <si>
    <t>CASDWV010001132</t>
  </si>
  <si>
    <t>ssRNA_21039</t>
  </si>
  <si>
    <t>CASDWV010000689</t>
  </si>
  <si>
    <t>ssRNA_117160</t>
  </si>
  <si>
    <t>CASDWV010004338</t>
  </si>
  <si>
    <t>ssRNA_44312</t>
  </si>
  <si>
    <t>CASDWV010001727</t>
  </si>
  <si>
    <t>ssRNA_92200</t>
  </si>
  <si>
    <t>CASDWV010003842</t>
  </si>
  <si>
    <t>ssRNA_47162</t>
  </si>
  <si>
    <t>CASDWV010001925</t>
  </si>
  <si>
    <t>ssRNA_63226</t>
  </si>
  <si>
    <t>CASDWV010002690</t>
  </si>
  <si>
    <t>ssRNA_19498</t>
  </si>
  <si>
    <t>CASDWV010000661</t>
  </si>
  <si>
    <t>ssRNA_38363</t>
  </si>
  <si>
    <t>CASDWV010001330</t>
  </si>
  <si>
    <t>ssRNA_42230</t>
  </si>
  <si>
    <t>CASDWV010001560</t>
  </si>
  <si>
    <t>ssRNA_51654</t>
  </si>
  <si>
    <t>CASDWV010002169</t>
  </si>
  <si>
    <t>ssRNA_25866</t>
  </si>
  <si>
    <t>CASDWV010000882</t>
  </si>
  <si>
    <t>ssRNA_1969</t>
  </si>
  <si>
    <t>CASDWV010000109</t>
  </si>
  <si>
    <t>ssRNA_63743</t>
  </si>
  <si>
    <t>CASDWV010002733</t>
  </si>
  <si>
    <t>ssRNA_33392</t>
  </si>
  <si>
    <t>CASDWV010001153</t>
  </si>
  <si>
    <t>ssRNA_5964</t>
  </si>
  <si>
    <t>CASDWV010000325</t>
  </si>
  <si>
    <t>ssRNA_67696</t>
  </si>
  <si>
    <t>CASDWV010002845</t>
  </si>
  <si>
    <t>ssRNA_44310</t>
  </si>
  <si>
    <t>CASDWV010001726</t>
  </si>
  <si>
    <t>ssRNA_37253</t>
  </si>
  <si>
    <t>CASDWV010001286</t>
  </si>
  <si>
    <t>MAG: Leviviridae sp. isolate 242-k141_173081 genomic sequence</t>
  </si>
  <si>
    <t>MZ679557</t>
  </si>
  <si>
    <t>MAG: Leviviridae sp. isolate 16-k141_704315 genomic sequence</t>
  </si>
  <si>
    <t>MZ679796</t>
  </si>
  <si>
    <t>MAG: Leviviridae sp. isolate 346R-k141_474979 genomic sequence</t>
  </si>
  <si>
    <t>MZ679739</t>
  </si>
  <si>
    <t>MAG: Leviviridae sp. isolate 367R-k141_477371 genomic sequence</t>
  </si>
  <si>
    <t>MZ679741</t>
  </si>
  <si>
    <t>ssRNA_65344</t>
  </si>
  <si>
    <t>CASDWV010002779</t>
  </si>
  <si>
    <t>ssRNA_54794</t>
  </si>
  <si>
    <t>CASDWV010002322</t>
  </si>
  <si>
    <t>ssRNA_44333</t>
  </si>
  <si>
    <t>CASDWV010001734</t>
  </si>
  <si>
    <t>ssRNA_39015</t>
  </si>
  <si>
    <t>CASDWV010001368</t>
  </si>
  <si>
    <t>ssRNA_91935</t>
  </si>
  <si>
    <t>CASDWV010003833</t>
  </si>
  <si>
    <t>ssRNA_35753</t>
  </si>
  <si>
    <t>CASDWV010001231</t>
  </si>
  <si>
    <t>ssRNA_118002</t>
  </si>
  <si>
    <t>CASDWV010004384</t>
  </si>
  <si>
    <t>ssRNA_85908</t>
  </si>
  <si>
    <t>CASDWV010003582</t>
  </si>
  <si>
    <t>ssRNA_6007</t>
  </si>
  <si>
    <t>CASDWV010000347</t>
  </si>
  <si>
    <t>ssRNA_88502</t>
  </si>
  <si>
    <t>CASDWV010003701</t>
  </si>
  <si>
    <t>ssRNA_25115</t>
  </si>
  <si>
    <t>CASDWV010000856</t>
  </si>
  <si>
    <t>ssRNA_72811</t>
  </si>
  <si>
    <t>CASDWV010003076</t>
  </si>
  <si>
    <t>ssRNA_57465</t>
  </si>
  <si>
    <t>CASDWV010002430</t>
  </si>
  <si>
    <t>ssRNA_58196</t>
  </si>
  <si>
    <t>CASDWV010002464</t>
  </si>
  <si>
    <t>ssRNA_69425</t>
  </si>
  <si>
    <t>CASDWV010002922</t>
  </si>
  <si>
    <t>ssRNA_61460</t>
  </si>
  <si>
    <t>CASDWV010002589</t>
  </si>
  <si>
    <t>ssRNA_35649</t>
  </si>
  <si>
    <t>CASDWV010001228</t>
  </si>
  <si>
    <t>ssRNA_42984</t>
  </si>
  <si>
    <t>CASDWV010001629</t>
  </si>
  <si>
    <t>ssRNA_18288</t>
  </si>
  <si>
    <t>CASDWV010000623</t>
  </si>
  <si>
    <t>ssRNA_1995</t>
  </si>
  <si>
    <t>CASDWV010000126</t>
  </si>
  <si>
    <t>ssRNA_49723</t>
  </si>
  <si>
    <t>CASDWV010002048</t>
  </si>
  <si>
    <t>ssRNA_51602</t>
  </si>
  <si>
    <t>CASDWV010002152</t>
  </si>
  <si>
    <t>ssRNA_23398</t>
  </si>
  <si>
    <t>CASDWV010000784</t>
  </si>
  <si>
    <t>ssRNA_31319</t>
  </si>
  <si>
    <t>CASDWV010001099</t>
  </si>
  <si>
    <t>ssRNA_26547</t>
  </si>
  <si>
    <t>CASDWV010000916</t>
  </si>
  <si>
    <t>ssRNA_51890</t>
  </si>
  <si>
    <t>CASDWV010002172</t>
  </si>
  <si>
    <t>ssRNA_47169</t>
  </si>
  <si>
    <t>CASDWV010001926</t>
  </si>
  <si>
    <t>ssRNA_78415</t>
  </si>
  <si>
    <t>CASDWV010003287</t>
  </si>
  <si>
    <t>ssRNA_50663</t>
  </si>
  <si>
    <t>CASDWV010002091</t>
  </si>
  <si>
    <t>ssRNA_21298</t>
  </si>
  <si>
    <t>CASDWV010000695</t>
  </si>
  <si>
    <t>MAG: Leviviridae sp. isolate 237b-k141_465222 genomic sequence</t>
  </si>
  <si>
    <t>MZ679736</t>
  </si>
  <si>
    <t>MAG: Leviviridae sp. isolate 237b-k141_521962 genomic sequence</t>
  </si>
  <si>
    <t>MZ679755</t>
  </si>
  <si>
    <t>MAG: Leviviridae sp. isolate 169-k141_10601 genomic sequence</t>
  </si>
  <si>
    <t>MZ680326</t>
  </si>
  <si>
    <t>MAG: Leviviridae sp. isolate 376R-k141_877537 genomic sequence</t>
  </si>
  <si>
    <t>MZ679820</t>
  </si>
  <si>
    <t>MAG: Leviviridae sp. isolate 155-k141_77505 genomic sequence</t>
  </si>
  <si>
    <t>MZ679806</t>
  </si>
  <si>
    <t>ssRNA_68191</t>
  </si>
  <si>
    <t>CASDWV010002872</t>
  </si>
  <si>
    <t>ssRNA_20358</t>
  </si>
  <si>
    <t>CASDWV010000669</t>
  </si>
  <si>
    <t>ssRNA_23719</t>
  </si>
  <si>
    <t>CASDWV010000823</t>
  </si>
  <si>
    <t>ssRNA_31018</t>
  </si>
  <si>
    <t>CASDWV010001086</t>
  </si>
  <si>
    <t>ssRNA_64603</t>
  </si>
  <si>
    <t>CASDWV010002753</t>
  </si>
  <si>
    <t>ssRNA_140367</t>
  </si>
  <si>
    <t>CASDWV010005066</t>
  </si>
  <si>
    <t>ssRNA_49851</t>
  </si>
  <si>
    <t>CASDWV010002065</t>
  </si>
  <si>
    <t>ssRNA_68641</t>
  </si>
  <si>
    <t>CASDWV010002893</t>
  </si>
  <si>
    <t>ssRNA_44990</t>
  </si>
  <si>
    <t>CASDWV010001778</t>
  </si>
  <si>
    <t>ssRNA_51236</t>
  </si>
  <si>
    <t>CASDWV010002115</t>
  </si>
  <si>
    <t>ssRNA_66195</t>
  </si>
  <si>
    <t>CASDWV010002793</t>
  </si>
  <si>
    <t>ssRNA_68164</t>
  </si>
  <si>
    <t>CASDWV010002863</t>
  </si>
  <si>
    <t>ssRNA_64612</t>
  </si>
  <si>
    <t>CASDWV010002756</t>
  </si>
  <si>
    <t>ssRNA_31328</t>
  </si>
  <si>
    <t>CASDWV010001101</t>
  </si>
  <si>
    <t>ssRNA_89367</t>
  </si>
  <si>
    <t>CASDWV010003750</t>
  </si>
  <si>
    <t>ssRNA_140370</t>
  </si>
  <si>
    <t>CASDWV010005068</t>
  </si>
  <si>
    <t>ssRNA_50701</t>
  </si>
  <si>
    <t>CASDWV010002094</t>
  </si>
  <si>
    <t>ssRNA_26513</t>
  </si>
  <si>
    <t>CASDWV010000915</t>
  </si>
  <si>
    <t>ssRNA_46576</t>
  </si>
  <si>
    <t>CASDWV010001885</t>
  </si>
  <si>
    <t>ssRNA_44306</t>
  </si>
  <si>
    <t>CASDWV010001724</t>
  </si>
  <si>
    <t>ssRNA_1404</t>
  </si>
  <si>
    <t>CASDWV010000084</t>
  </si>
  <si>
    <t>ssRNA_5867</t>
  </si>
  <si>
    <t>CASDWV010000318</t>
  </si>
  <si>
    <t>ssRNA_21301</t>
  </si>
  <si>
    <t>CASDWV010000696</t>
  </si>
  <si>
    <t>ssRNA_43485</t>
  </si>
  <si>
    <t>CASDWV010001667</t>
  </si>
  <si>
    <t>ssRNA_45899</t>
  </si>
  <si>
    <t>CASDWV010001836</t>
  </si>
  <si>
    <t>ssRNA_59990</t>
  </si>
  <si>
    <t>CASDWV010002521</t>
  </si>
  <si>
    <t>ssRNA_35652</t>
  </si>
  <si>
    <t>CASDWV010001229</t>
  </si>
  <si>
    <t>ssRNA_64615</t>
  </si>
  <si>
    <t>CASDWV010002757</t>
  </si>
  <si>
    <t>ssRNA_58919</t>
  </si>
  <si>
    <t>CASDWV010002480</t>
  </si>
  <si>
    <t>ssRNA_65102</t>
  </si>
  <si>
    <t>CASDWV010002765</t>
  </si>
  <si>
    <t>ssRNA_49846</t>
  </si>
  <si>
    <t>CASDWV010002063</t>
  </si>
  <si>
    <t>ssRNA_56720</t>
  </si>
  <si>
    <t>CASDWV010002418</t>
  </si>
  <si>
    <t>ssRNA_33226</t>
  </si>
  <si>
    <t>CASDWV010001135</t>
  </si>
  <si>
    <t>ssRNA_44289</t>
  </si>
  <si>
    <t>CASDWV010001716</t>
  </si>
  <si>
    <t>ssRNA_67814</t>
  </si>
  <si>
    <t>CASDWV010002849</t>
  </si>
  <si>
    <t>ssRNA_41814</t>
  </si>
  <si>
    <t>CASDWV010001525</t>
  </si>
  <si>
    <t>ssRNA_60915</t>
  </si>
  <si>
    <t>CASDWV010002567</t>
  </si>
  <si>
    <t>ssRNA_21975</t>
  </si>
  <si>
    <t>CASDWV010000730</t>
  </si>
  <si>
    <t>ssRNA_14531</t>
  </si>
  <si>
    <t>CASDWV010000561</t>
  </si>
  <si>
    <t>ssRNA_42639</t>
  </si>
  <si>
    <t>CASDWV010001592</t>
  </si>
  <si>
    <t>ssRNA_120867</t>
  </si>
  <si>
    <t>CASDWV010004483</t>
  </si>
  <si>
    <t>ssRNA_52085</t>
  </si>
  <si>
    <t>CASDWV010002180</t>
  </si>
  <si>
    <t>ssRNA_80822</t>
  </si>
  <si>
    <t>CASDWV010003378</t>
  </si>
  <si>
    <t>ssRNA_123031</t>
  </si>
  <si>
    <t>CASDWV010004565</t>
  </si>
  <si>
    <t>ssRNA_127479</t>
  </si>
  <si>
    <t>CASDWV010004672</t>
  </si>
  <si>
    <t>ssRNA_125528</t>
  </si>
  <si>
    <t>CASDWV010004641</t>
  </si>
  <si>
    <t>ssRNA_69100</t>
  </si>
  <si>
    <t>CASDWV010002908</t>
  </si>
  <si>
    <t>ssRNA_124009</t>
  </si>
  <si>
    <t>CASDWV010004586</t>
  </si>
  <si>
    <t>ssRNA_141034</t>
  </si>
  <si>
    <t>CASDWV010005094</t>
  </si>
  <si>
    <t>ssRNA_39979</t>
  </si>
  <si>
    <t>CASDWV010001428</t>
  </si>
  <si>
    <t>MAG: Leviviridae sp. isolate 11-k141_255617 genomic sequence</t>
  </si>
  <si>
    <t>MZ679624</t>
  </si>
  <si>
    <t>MAG: Leviviridae sp. isolate 168-k141_34980 genomic sequence</t>
  </si>
  <si>
    <t>MZ679684</t>
  </si>
  <si>
    <t>MAG: Leviviridae sp. isolate 144-k141_153694 genomic sequence</t>
  </si>
  <si>
    <t>MZ679544</t>
  </si>
  <si>
    <t>MAG: Leviviridae sp. isolate 254-k141_84031 genomic sequence</t>
  </si>
  <si>
    <t>MZ679818</t>
  </si>
  <si>
    <t>MAG: Leviviridae sp. isolate H4_Bulk_46_scaffold_231 hypothetical protein (H4Bulk46231_000001), hypothetical protein (H4Bulk46231_000002), hypothetical protein (H4Bulk46231_000003), and RNA-dependent RNA polymerase (H4Bulk46231_000004) genes, complete cds</t>
  </si>
  <si>
    <t>MN035541</t>
  </si>
  <si>
    <t>ssRNA_108470</t>
  </si>
  <si>
    <t>CASDWV010004152</t>
  </si>
  <si>
    <t>ssRNA_9698</t>
  </si>
  <si>
    <t>CASDWV010000490</t>
  </si>
  <si>
    <t>ssRNA_127500</t>
  </si>
  <si>
    <t>CASDWV010004680</t>
  </si>
  <si>
    <t>ssRNA_86157</t>
  </si>
  <si>
    <t>CASDWV010003602</t>
  </si>
  <si>
    <t>ssRNA_129097</t>
  </si>
  <si>
    <t>CASDWV010004744</t>
  </si>
  <si>
    <t>ssRNA_129011</t>
  </si>
  <si>
    <t>CASDWV010004737</t>
  </si>
  <si>
    <t>ssRNA_113858</t>
  </si>
  <si>
    <t>CASDWV010004227</t>
  </si>
  <si>
    <t>ssRNA_82150</t>
  </si>
  <si>
    <t>CASDWV010003423</t>
  </si>
  <si>
    <t>ssRNA_38369</t>
  </si>
  <si>
    <t>CASDWV010001332</t>
  </si>
  <si>
    <t>ssRNA_137282</t>
  </si>
  <si>
    <t>CASDWV010004994</t>
  </si>
  <si>
    <t>ssRNA_120865</t>
  </si>
  <si>
    <t>CASDWV010004482</t>
  </si>
  <si>
    <t>ssRNA_59340</t>
  </si>
  <si>
    <t>CASDWV010002506</t>
  </si>
  <si>
    <t>ssRNA_97231</t>
  </si>
  <si>
    <t>CASDWV010003991</t>
  </si>
  <si>
    <t>ssRNA_57469</t>
  </si>
  <si>
    <t>CASDWV010002432</t>
  </si>
  <si>
    <t>ssRNA_1978</t>
  </si>
  <si>
    <t>CASDWV010000115</t>
  </si>
  <si>
    <t>ssRNA_1980</t>
  </si>
  <si>
    <t>CASDWV010000116</t>
  </si>
  <si>
    <t>ssRNA_85830</t>
  </si>
  <si>
    <t>CASDWV010003569</t>
  </si>
  <si>
    <t>ssRNA_13</t>
  </si>
  <si>
    <t>CASDWV010000007</t>
  </si>
  <si>
    <t>ssRNA_51605</t>
  </si>
  <si>
    <t>CASDWV010002153</t>
  </si>
  <si>
    <t>ssRNA_109112</t>
  </si>
  <si>
    <t>CASDWV010004159</t>
  </si>
  <si>
    <t>ssRNA_79154</t>
  </si>
  <si>
    <t>CASDWV010003313</t>
  </si>
  <si>
    <t>ssRNA_10458</t>
  </si>
  <si>
    <t>CASDWV010000515</t>
  </si>
  <si>
    <t>ssRNA_37005</t>
  </si>
  <si>
    <t>CASDWV010001278</t>
  </si>
  <si>
    <t>ssRNA_43753</t>
  </si>
  <si>
    <t>CASDWV010001682</t>
  </si>
  <si>
    <t>ssRNA_45620</t>
  </si>
  <si>
    <t>CASDWV010001813</t>
  </si>
  <si>
    <t>ssRNA_38980</t>
  </si>
  <si>
    <t>CASDWV010001363</t>
  </si>
  <si>
    <t>ssRNA_31019</t>
  </si>
  <si>
    <t>CASDWV010001087</t>
  </si>
  <si>
    <t>ssRNA_114914</t>
  </si>
  <si>
    <t>CASDWV010004271</t>
  </si>
  <si>
    <t>ssRNA_91520</t>
  </si>
  <si>
    <t>CASDWV010003827</t>
  </si>
  <si>
    <t>ssRNA_5971</t>
  </si>
  <si>
    <t>CASDWV010000331</t>
  </si>
  <si>
    <t>ssRNA_41166</t>
  </si>
  <si>
    <t>CASDWV010001500</t>
  </si>
  <si>
    <t>ssRNA_68169</t>
  </si>
  <si>
    <t>CASDWV010002867</t>
  </si>
  <si>
    <t>ssRNA_54809</t>
  </si>
  <si>
    <t>CASDWV010002325</t>
  </si>
  <si>
    <t>ssRNA_64444</t>
  </si>
  <si>
    <t>CASDWV010002751</t>
  </si>
  <si>
    <t>ssRNA_1312</t>
  </si>
  <si>
    <t>CASDWV010000072</t>
  </si>
  <si>
    <t>ssRNA_39317</t>
  </si>
  <si>
    <t>CASDWV010001402</t>
  </si>
  <si>
    <t>ssRNA_100650</t>
  </si>
  <si>
    <t>CASDWV010004068</t>
  </si>
  <si>
    <t>ssRNA_119518</t>
  </si>
  <si>
    <t>CASDWV010004446</t>
  </si>
  <si>
    <t>ssRNA_18287</t>
  </si>
  <si>
    <t>CASDWV010000622</t>
  </si>
  <si>
    <t>ssRNA_70550</t>
  </si>
  <si>
    <t>CASDWV010002960</t>
  </si>
  <si>
    <t>ssRNA_116328</t>
  </si>
  <si>
    <t>CASDWV010004323</t>
  </si>
  <si>
    <t>ssRNA_2553</t>
  </si>
  <si>
    <t>CASDWV010000151</t>
  </si>
  <si>
    <t>ssRNA_83158</t>
  </si>
  <si>
    <t>CASDWV010003472</t>
  </si>
  <si>
    <t>ssRNA_73193</t>
  </si>
  <si>
    <t>CASDWV010003104</t>
  </si>
  <si>
    <t>ssRNA_114923</t>
  </si>
  <si>
    <t>CASDWV010004274</t>
  </si>
  <si>
    <t>ssRNA_112098</t>
  </si>
  <si>
    <t>CASDWV010004211</t>
  </si>
  <si>
    <t>ssRNA_23338</t>
  </si>
  <si>
    <t>CASDWV010000775</t>
  </si>
  <si>
    <t>ssRNA_119407</t>
  </si>
  <si>
    <t>CASDWV010004440</t>
  </si>
  <si>
    <t>ssRNA_134846</t>
  </si>
  <si>
    <t>CASDWV010004912</t>
  </si>
  <si>
    <t>ssRNA_47354</t>
  </si>
  <si>
    <t>CASDWV010001932</t>
  </si>
  <si>
    <t>ssRNA_132030</t>
  </si>
  <si>
    <t>CASDWV010004834</t>
  </si>
  <si>
    <t>ssRNA_52600</t>
  </si>
  <si>
    <t>CASDWV010002221</t>
  </si>
  <si>
    <t>ssRNA_117989</t>
  </si>
  <si>
    <t>CASDWV010004380</t>
  </si>
  <si>
    <t>ssRNA_114511</t>
  </si>
  <si>
    <t>CASDWV010004264</t>
  </si>
  <si>
    <t>ssRNA_45486</t>
  </si>
  <si>
    <t>CASDWV010001802</t>
  </si>
  <si>
    <t>ssRNA_131246</t>
  </si>
  <si>
    <t>CASDWV010004801</t>
  </si>
  <si>
    <t>MAG: Leviviridae sp. isolate 237b-k141_60635 genomic sequence</t>
  </si>
  <si>
    <t>MZ679778</t>
  </si>
  <si>
    <t>MAG: Leviviridae sp. isolate 239-k141_183833 genomic sequence</t>
  </si>
  <si>
    <t>MZ679570</t>
  </si>
  <si>
    <t>MAG: Leviviridae sp. isolate s59-k141_824507 genomic sequence</t>
  </si>
  <si>
    <t>MZ679814</t>
  </si>
  <si>
    <t>MAG: Leviviridae sp. isolate s59-k141_1102749 genomic sequence</t>
  </si>
  <si>
    <t>MZ679477</t>
  </si>
  <si>
    <t>MAG: Leviviridae sp. isolate 270-k141_293731 genomic sequence</t>
  </si>
  <si>
    <t>MZ679653</t>
  </si>
  <si>
    <t>MAG: Leviviridae sp. isolate 131-k141_177949 genomic sequence</t>
  </si>
  <si>
    <t>MZ679563</t>
  </si>
  <si>
    <t>MAG: Leviviridae sp. isolate 35-k141_108076 genomic sequence</t>
  </si>
  <si>
    <t>MZ680342</t>
  </si>
  <si>
    <t>ssRNA_112091</t>
  </si>
  <si>
    <t>CASDWV010004206</t>
  </si>
  <si>
    <t>ssRNA_43492</t>
  </si>
  <si>
    <t>CASDWV010001670</t>
  </si>
  <si>
    <t>ssRNA_5214</t>
  </si>
  <si>
    <t>CASDWV010000263</t>
  </si>
  <si>
    <t>ssRNA_122869</t>
  </si>
  <si>
    <t>CASDWV010004549</t>
  </si>
  <si>
    <t>ssRNA_27173</t>
  </si>
  <si>
    <t>CASDWV010000939</t>
  </si>
  <si>
    <t>ssRNA_131078</t>
  </si>
  <si>
    <t>CASDWV010004784</t>
  </si>
  <si>
    <t>ssRNA_68179</t>
  </si>
  <si>
    <t>CASDWV010002869</t>
  </si>
  <si>
    <t>ssRNA_38029</t>
  </si>
  <si>
    <t>CASDWV010001321</t>
  </si>
  <si>
    <t>ssRNA_120858</t>
  </si>
  <si>
    <t>CASDWV010004479</t>
  </si>
  <si>
    <t>ssRNA_128370</t>
  </si>
  <si>
    <t>CASDWV010004708</t>
  </si>
  <si>
    <t>ssRNA_78408</t>
  </si>
  <si>
    <t>CASDWV010003283</t>
  </si>
  <si>
    <t>ssRNA_91519</t>
  </si>
  <si>
    <t>CASDWV010003826</t>
  </si>
  <si>
    <t>ssRNA_120860</t>
  </si>
  <si>
    <t>CASDWV010004480</t>
  </si>
  <si>
    <t>ssRNA_52018</t>
  </si>
  <si>
    <t>CASDWV010002175</t>
  </si>
  <si>
    <t>ssRNA_52346</t>
  </si>
  <si>
    <t>CASDWV010002191</t>
  </si>
  <si>
    <t>ssRNA_44309</t>
  </si>
  <si>
    <t>CASDWV010001725</t>
  </si>
  <si>
    <t>ssRNA_75397</t>
  </si>
  <si>
    <t>CASDWV010003175</t>
  </si>
  <si>
    <t>ssRNA_9381</t>
  </si>
  <si>
    <t>CASDWV010000455</t>
  </si>
  <si>
    <t>ssRNA_92219</t>
  </si>
  <si>
    <t>CASDWV010003851</t>
  </si>
  <si>
    <t>ssRNA_125142</t>
  </si>
  <si>
    <t>CASDWV010004627</t>
  </si>
  <si>
    <t>ssRNA_82140</t>
  </si>
  <si>
    <t>CASDWV010003419</t>
  </si>
  <si>
    <t>ssRNA_94270</t>
  </si>
  <si>
    <t>CASDWV010003898</t>
  </si>
  <si>
    <t>ssRNA_85848</t>
  </si>
  <si>
    <t>CASDWV010003575</t>
  </si>
  <si>
    <t>ssRNA_97210</t>
  </si>
  <si>
    <t>CASDWV010003981</t>
  </si>
  <si>
    <t>ssRNA_30058</t>
  </si>
  <si>
    <t>CASDWV010001056</t>
  </si>
  <si>
    <t>ssRNA_59339</t>
  </si>
  <si>
    <t>CASDWV010002505</t>
  </si>
  <si>
    <t>ssRNA_99223</t>
  </si>
  <si>
    <t>CASDWV010004046</t>
  </si>
  <si>
    <t>ssRNA_3167</t>
  </si>
  <si>
    <t>CASDWV010000178</t>
  </si>
  <si>
    <t>ssRNA_64439</t>
  </si>
  <si>
    <t>CASDWV010002748</t>
  </si>
  <si>
    <t>ssRNA_78393</t>
  </si>
  <si>
    <t>CASDWV010003278</t>
  </si>
  <si>
    <t>ssRNA_70165</t>
  </si>
  <si>
    <t>CASDWV010002941</t>
  </si>
  <si>
    <t>ssRNA_44249</t>
  </si>
  <si>
    <t>CASDWV010001705</t>
  </si>
  <si>
    <t>ssRNA_74319</t>
  </si>
  <si>
    <t>CASDWV010003145</t>
  </si>
  <si>
    <t>ssRNA_98673</t>
  </si>
  <si>
    <t>CASDWV010004040</t>
  </si>
  <si>
    <t>ssRNA_70549</t>
  </si>
  <si>
    <t>CASDWV010002959</t>
  </si>
  <si>
    <t>ssRNA_37625</t>
  </si>
  <si>
    <t>CASDWV010001299</t>
  </si>
  <si>
    <t>ssRNA_72084</t>
  </si>
  <si>
    <t>CASDWV010003036</t>
  </si>
  <si>
    <t>ssRNA_4623</t>
  </si>
  <si>
    <t>CASDWV010000243</t>
  </si>
  <si>
    <t>ssRNA_51647</t>
  </si>
  <si>
    <t>CASDWV010002167</t>
  </si>
  <si>
    <t>ssRNA_75408</t>
  </si>
  <si>
    <t>CASDWV010003179</t>
  </si>
  <si>
    <t>ssRNA_81598</t>
  </si>
  <si>
    <t>CASDWV010003411</t>
  </si>
  <si>
    <t>ssRNA_53762</t>
  </si>
  <si>
    <t>CASDWV010002272</t>
  </si>
  <si>
    <t>ssRNA_44319</t>
  </si>
  <si>
    <t>CASDWV010001730</t>
  </si>
  <si>
    <t>ssRNA_88091</t>
  </si>
  <si>
    <t>CASDWV010003682</t>
  </si>
  <si>
    <t>ssRNA_43498</t>
  </si>
  <si>
    <t>CASDWV010001671</t>
  </si>
  <si>
    <t>ssRNA_42736</t>
  </si>
  <si>
    <t>CASDWV010001603</t>
  </si>
  <si>
    <t>ssRNA_96292</t>
  </si>
  <si>
    <t>CASDWV010003955</t>
  </si>
  <si>
    <t>ssRNA_71658</t>
  </si>
  <si>
    <t>CASDWV010002990</t>
  </si>
  <si>
    <t>ssRNA_5342</t>
  </si>
  <si>
    <t>CASDWV010000293</t>
  </si>
  <si>
    <t>MAG: Leviviridae sp. isolate 258-k141_93982 genomic sequence</t>
  </si>
  <si>
    <t>MZ679825</t>
  </si>
  <si>
    <t>MAG: Leviviridae sp. isolate 78-k141_78964 genomic sequence</t>
  </si>
  <si>
    <t>MZ679809</t>
  </si>
  <si>
    <t>MAG: Leviviridae sp. isolate 242-k141_120758 genomic sequence</t>
  </si>
  <si>
    <t>MZ679504</t>
  </si>
  <si>
    <t>MAG: Leviviridae sp. isolate 266-k141_107185_3 maturation protein, coat protein, and RNA dependent RNA polymerase genes, complete cds</t>
  </si>
  <si>
    <t>ON163032</t>
  </si>
  <si>
    <t>ssRNA_79823</t>
  </si>
  <si>
    <t>CASDWV010003317</t>
  </si>
  <si>
    <t>ssRNA_69426</t>
  </si>
  <si>
    <t>CASDWV010002923</t>
  </si>
  <si>
    <t>ssRNA_9024</t>
  </si>
  <si>
    <t>CASDWV010000432</t>
  </si>
  <si>
    <t>ssRNA_85665</t>
  </si>
  <si>
    <t>CASDWV010003565</t>
  </si>
  <si>
    <t>ssRNA_81638</t>
  </si>
  <si>
    <t>CASDWV010003414</t>
  </si>
  <si>
    <t>ssRNA_84467</t>
  </si>
  <si>
    <t>CASDWV010003521</t>
  </si>
  <si>
    <t>ssRNA_88523</t>
  </si>
  <si>
    <t>CASDWV010003712</t>
  </si>
  <si>
    <t>ssRNA_97006</t>
  </si>
  <si>
    <t>CASDWV010003972</t>
  </si>
  <si>
    <t>ssRNA_79111</t>
  </si>
  <si>
    <t>CASDWV010003306</t>
  </si>
  <si>
    <t>ssRNA_70168</t>
  </si>
  <si>
    <t>CASDWV010002943</t>
  </si>
  <si>
    <t>ssRNA_70531</t>
  </si>
  <si>
    <t>CASDWV010002955</t>
  </si>
  <si>
    <t>ssRNA_79870</t>
  </si>
  <si>
    <t>CASDWV010003334</t>
  </si>
  <si>
    <t>ssRNA_79850</t>
  </si>
  <si>
    <t>CASDWV010003329</t>
  </si>
  <si>
    <t>ssRNA_9050</t>
  </si>
  <si>
    <t>CASDWV010000443</t>
  </si>
  <si>
    <t>ssRNA_944</t>
  </si>
  <si>
    <t>CASDWV010000039</t>
  </si>
  <si>
    <t>ssRNA_73172</t>
  </si>
  <si>
    <t>CASDWV010003094</t>
  </si>
  <si>
    <t>ssRNA_83521</t>
  </si>
  <si>
    <t>CASDWV010003486</t>
  </si>
  <si>
    <t>ssRNA_69079</t>
  </si>
  <si>
    <t>CASDWV010002906</t>
  </si>
  <si>
    <t>ssRNA_72091</t>
  </si>
  <si>
    <t>CASDWV010003038</t>
  </si>
  <si>
    <t>ssRNA_87746</t>
  </si>
  <si>
    <t>CASDWV010003665</t>
  </si>
  <si>
    <t>ssRNA_1976</t>
  </si>
  <si>
    <t>CASDWV010000113</t>
  </si>
  <si>
    <t>ssRNA_61875</t>
  </si>
  <si>
    <t>CASDWV010002647</t>
  </si>
  <si>
    <t>ssRNA_79151</t>
  </si>
  <si>
    <t>CASDWV010003311</t>
  </si>
  <si>
    <t>ssRNA_71752</t>
  </si>
  <si>
    <t>CASDWV010003025</t>
  </si>
  <si>
    <t>ssRNA_92954</t>
  </si>
  <si>
    <t>CASDWV010003864</t>
  </si>
  <si>
    <t>ssRNA_73186</t>
  </si>
  <si>
    <t>CASDWV010003100</t>
  </si>
  <si>
    <t>ssRNA_73983</t>
  </si>
  <si>
    <t>CASDWV010003133</t>
  </si>
  <si>
    <t>ssRNA_84458</t>
  </si>
  <si>
    <t>CASDWV010003518</t>
  </si>
  <si>
    <t>ssRNA_69440</t>
  </si>
  <si>
    <t>CASDWV010002926</t>
  </si>
  <si>
    <t>ssRNA_88099</t>
  </si>
  <si>
    <t>CASDWV010003685</t>
  </si>
  <si>
    <t>ssRNA_114516</t>
  </si>
  <si>
    <t>CASDWV010004266</t>
  </si>
  <si>
    <t>ssRNA_99245</t>
  </si>
  <si>
    <t>CASDWV010004053</t>
  </si>
  <si>
    <t>ssRNA_77664</t>
  </si>
  <si>
    <t>CASDWV010003243</t>
  </si>
  <si>
    <t>ssRNA_73974</t>
  </si>
  <si>
    <t>CASDWV010003129</t>
  </si>
  <si>
    <t>ssRNA_97873</t>
  </si>
  <si>
    <t>CASDWV010004017</t>
  </si>
  <si>
    <t>ssRNA_74298</t>
  </si>
  <si>
    <t>CASDWV010003135</t>
  </si>
  <si>
    <t>ssRNA_78424</t>
  </si>
  <si>
    <t>CASDWV010003291</t>
  </si>
  <si>
    <t>ssRNA_99238</t>
  </si>
  <si>
    <t>CASDWV010004052</t>
  </si>
  <si>
    <t>ssRNA_127474</t>
  </si>
  <si>
    <t>CASDWV010004670</t>
  </si>
  <si>
    <t>ssRNA_130038</t>
  </si>
  <si>
    <t>CASDWV010004758</t>
  </si>
  <si>
    <t>ssRNA_114506</t>
  </si>
  <si>
    <t>CASDWV010004262</t>
  </si>
  <si>
    <t>ssRNA_110544</t>
  </si>
  <si>
    <t>CASDWV010004186</t>
  </si>
  <si>
    <t>ssRNA_100826</t>
  </si>
  <si>
    <t>CASDWV010004077</t>
  </si>
  <si>
    <t>ssRNA_72462</t>
  </si>
  <si>
    <t>CASDWV010003070</t>
  </si>
  <si>
    <t>ssRNA_73961</t>
  </si>
  <si>
    <t>CASDWV010003123</t>
  </si>
  <si>
    <t>ssRNA_122370</t>
  </si>
  <si>
    <t>CASDWV010004530</t>
  </si>
  <si>
    <t>ssRNA_120878</t>
  </si>
  <si>
    <t>CASDWV010004489</t>
  </si>
  <si>
    <t>Hohnuvirus</t>
  </si>
  <si>
    <t>ssRNA_42441</t>
  </si>
  <si>
    <t>CASDWV010001576</t>
  </si>
  <si>
    <t>ssRNA_6549</t>
  </si>
  <si>
    <t>CASDWV010000348</t>
  </si>
  <si>
    <t>ssRNA_53457</t>
  </si>
  <si>
    <t>CASDWV010002258</t>
  </si>
  <si>
    <t>ssRNA_51514</t>
  </si>
  <si>
    <t>CASDWV010002143</t>
  </si>
  <si>
    <t>ssRNA_3885</t>
  </si>
  <si>
    <t>CASDWV010000202</t>
  </si>
  <si>
    <t>ssRNA_21033</t>
  </si>
  <si>
    <t>CASDWV010000686</t>
  </si>
  <si>
    <t>ssRNA_22653</t>
  </si>
  <si>
    <t>CASDWV010000742</t>
  </si>
  <si>
    <t>ssRNA_18754</t>
  </si>
  <si>
    <t>CASDWV010000639</t>
  </si>
  <si>
    <t>ssRNA_3890</t>
  </si>
  <si>
    <t>CASDWV010000204</t>
  </si>
  <si>
    <t>ssRNA_30906</t>
  </si>
  <si>
    <t>CASDWV010001072</t>
  </si>
  <si>
    <t>ssRNA_78039</t>
  </si>
  <si>
    <t>CASDWV010003255</t>
  </si>
  <si>
    <t>ssRNA_42766</t>
  </si>
  <si>
    <t>CASDWV010001610</t>
  </si>
  <si>
    <t>ssRNA_135269</t>
  </si>
  <si>
    <t>CASDWV010004920</t>
  </si>
  <si>
    <t>ssRNA_90904</t>
  </si>
  <si>
    <t>CASDWV010003815</t>
  </si>
  <si>
    <t>ssRNA_4529</t>
  </si>
  <si>
    <t>CASDWV010000228</t>
  </si>
  <si>
    <t>ssRNA_90906</t>
  </si>
  <si>
    <t>CASDWV010003817</t>
  </si>
  <si>
    <t>ssRNA_87989</t>
  </si>
  <si>
    <t>CASDWV010003677</t>
  </si>
  <si>
    <t>MAG: Leviviridae sp. isolate s59-k141_194477_2 maturation protein gene, partial cds; and coat protein and RNA dependent RNA polymerase genes, complete cds</t>
  </si>
  <si>
    <t>ON162450</t>
  </si>
  <si>
    <t>ssRNA_73969</t>
  </si>
  <si>
    <t>CASDWV010003126</t>
  </si>
  <si>
    <t>ssRNA_138904</t>
  </si>
  <si>
    <t>CASDWV010005031</t>
  </si>
  <si>
    <t>ssRNA_73970</t>
  </si>
  <si>
    <t>CASDWV010003127</t>
  </si>
  <si>
    <t>ssRNA_54706</t>
  </si>
  <si>
    <t>CASDWV010002317</t>
  </si>
  <si>
    <t>ssRNA_54703</t>
  </si>
  <si>
    <t>CASDWV010002315</t>
  </si>
  <si>
    <t>ssRNA_74760</t>
  </si>
  <si>
    <t>CASDWV010003164</t>
  </si>
  <si>
    <t>ssRNA_120736</t>
  </si>
  <si>
    <t>CASDWV010004473</t>
  </si>
  <si>
    <t>ssRNA_34914</t>
  </si>
  <si>
    <t>CASDWV010001185</t>
  </si>
  <si>
    <t>ssRNA_88504</t>
  </si>
  <si>
    <t>CASDWV010003702</t>
  </si>
  <si>
    <t>ssRNA_5099</t>
  </si>
  <si>
    <t>CASDWV010000256</t>
  </si>
  <si>
    <t>ssRNA_139721</t>
  </si>
  <si>
    <t>CASDWV010005058</t>
  </si>
  <si>
    <t>ssRNA_117639</t>
  </si>
  <si>
    <t>CASDWV010004368</t>
  </si>
  <si>
    <t>ssRNA_8938</t>
  </si>
  <si>
    <t>CASDWV010000416</t>
  </si>
  <si>
    <t>ssRNA_26013</t>
  </si>
  <si>
    <t>CASDWV010000902</t>
  </si>
  <si>
    <t>ssRNA_47788</t>
  </si>
  <si>
    <t>CASDWV010001960</t>
  </si>
  <si>
    <t>ssRNA_92201</t>
  </si>
  <si>
    <t>CASDWV010003843</t>
  </si>
  <si>
    <t>ssRNA_5328</t>
  </si>
  <si>
    <t>CASDWV010000287</t>
  </si>
  <si>
    <t>ssRNA_139184</t>
  </si>
  <si>
    <t>CASDWV010005034</t>
  </si>
  <si>
    <t>ssRNA_25862</t>
  </si>
  <si>
    <t>CASDWV010000879</t>
  </si>
  <si>
    <t>ssRNA_945</t>
  </si>
  <si>
    <t>CASDWV010000040</t>
  </si>
  <si>
    <t>MAG: Leviviridae sp. isolate 258-k141_70255 genomic sequence</t>
  </si>
  <si>
    <t>MZ679794</t>
  </si>
  <si>
    <t>MAG: Leviviridae sp. isolate R45-k141_321923 genomic sequence</t>
  </si>
  <si>
    <t>MZ680345</t>
  </si>
  <si>
    <t>MAG: Leviviridae sp. isolate 174-k141_266839 genomic sequence</t>
  </si>
  <si>
    <t>MZ679634</t>
  </si>
  <si>
    <t>MAG: Leviviridae sp. isolate 11-k141_224300 genomic sequence</t>
  </si>
  <si>
    <t>MZ679603</t>
  </si>
  <si>
    <t>MAG: Leviviridae sp. isolate 174-k141_121901 genomic sequence</t>
  </si>
  <si>
    <t>MZ679508</t>
  </si>
  <si>
    <t>MAG: Leviviridae sp. isolate R117c-k141_547252 genomic sequence</t>
  </si>
  <si>
    <t>MZ679762</t>
  </si>
  <si>
    <t>MAG: Leviviridae sp. isolate 159-k141_43581 genomic sequence</t>
  </si>
  <si>
    <t>MZ679725</t>
  </si>
  <si>
    <t>MAG: Leviviridae sp. isolate 159-k141_158526 genomic sequence</t>
  </si>
  <si>
    <t>MZ679548</t>
  </si>
  <si>
    <t>MAG: Leviviridae sp. isolate 332R-k141_246983 genomic sequence</t>
  </si>
  <si>
    <t>MZ679618</t>
  </si>
  <si>
    <t>ssRNA_23145</t>
  </si>
  <si>
    <t>CASDWV010000765</t>
  </si>
  <si>
    <t>ssRNA_124500</t>
  </si>
  <si>
    <t>CASDWV010004606</t>
  </si>
  <si>
    <t>ssRNA_24380</t>
  </si>
  <si>
    <t>CASDWV010000842</t>
  </si>
  <si>
    <t>ssRNA_25164</t>
  </si>
  <si>
    <t>CASDWV010000861</t>
  </si>
  <si>
    <t>ssRNA_136185</t>
  </si>
  <si>
    <t>CASDWV010004964</t>
  </si>
  <si>
    <t>ssRNA_122881</t>
  </si>
  <si>
    <t>CASDWV010004555</t>
  </si>
  <si>
    <t>ssRNA_60004</t>
  </si>
  <si>
    <t>CASDWV010002525</t>
  </si>
  <si>
    <t>ssRNA_8933</t>
  </si>
  <si>
    <t>CASDWV010000413</t>
  </si>
  <si>
    <t>MAG: Leviviridae sp. isolate 171-k141_108630 genomic sequence</t>
  </si>
  <si>
    <t>MZ679476</t>
  </si>
  <si>
    <t>MAG: Leviviridae sp. isolate 273b-k141_227368 genomic sequence</t>
  </si>
  <si>
    <t>MZ679606</t>
  </si>
  <si>
    <t>MAG: Leviviridae sp. isolate 171-k141_211240 genomic sequence</t>
  </si>
  <si>
    <t>MZ679592</t>
  </si>
  <si>
    <t>MAG: Leviviridae sp. isolate 154-k141_412705 genomic sequence</t>
  </si>
  <si>
    <t>MZ679716</t>
  </si>
  <si>
    <t>ssRNA_78363</t>
  </si>
  <si>
    <t>CASDWV010003268</t>
  </si>
  <si>
    <t>ssRNA_82498</t>
  </si>
  <si>
    <t>CASDWV010003449</t>
  </si>
  <si>
    <t>ssRNA_117630</t>
  </si>
  <si>
    <t>CASDWV010004363</t>
  </si>
  <si>
    <t>ssRNA_8937</t>
  </si>
  <si>
    <t>CASDWV010000415</t>
  </si>
  <si>
    <t>ssRNA_136174</t>
  </si>
  <si>
    <t>CASDWV010004959</t>
  </si>
  <si>
    <t>ssRNA_30957</t>
  </si>
  <si>
    <t>CASDWV010001079</t>
  </si>
  <si>
    <t>ssRNA_21440</t>
  </si>
  <si>
    <t>CASDWV010000705</t>
  </si>
  <si>
    <t>ssRNA_129103</t>
  </si>
  <si>
    <t>CASDWV010004745</t>
  </si>
  <si>
    <t>ssRNA_75448</t>
  </si>
  <si>
    <t>CASDWV010003186</t>
  </si>
  <si>
    <t>ssRNA_73189</t>
  </si>
  <si>
    <t>CASDWV010003101</t>
  </si>
  <si>
    <t>ssRNA_28450</t>
  </si>
  <si>
    <t>CASDWV010000992</t>
  </si>
  <si>
    <t>ssRNA_131227</t>
  </si>
  <si>
    <t>CASDWV010004794</t>
  </si>
  <si>
    <t>ssRNA_10460</t>
  </si>
  <si>
    <t>CASDWV010000516</t>
  </si>
  <si>
    <t>ssRNA_117656</t>
  </si>
  <si>
    <t>CASDWV010004377</t>
  </si>
  <si>
    <t>ssRNA_47355</t>
  </si>
  <si>
    <t>CASDWV010001933</t>
  </si>
  <si>
    <t>ssRNA_126869</t>
  </si>
  <si>
    <t>CASDWV010004655</t>
  </si>
  <si>
    <t>ssRNA_39983</t>
  </si>
  <si>
    <t>CASDWV010001431</t>
  </si>
  <si>
    <t>ssRNA_114921</t>
  </si>
  <si>
    <t>CASDWV010004273</t>
  </si>
  <si>
    <t>ssRNA_61805</t>
  </si>
  <si>
    <t>CASDWV010002623</t>
  </si>
  <si>
    <t>ssRNA_116009</t>
  </si>
  <si>
    <t>CASDWV010004303</t>
  </si>
  <si>
    <t>ssRNA_1308</t>
  </si>
  <si>
    <t>CASDWV010000071</t>
  </si>
  <si>
    <t>ssRNA_44286</t>
  </si>
  <si>
    <t>CASDWV010001714</t>
  </si>
  <si>
    <t>ssRNA_31284</t>
  </si>
  <si>
    <t>CASDWV010001097</t>
  </si>
  <si>
    <t>ssRNA_42319</t>
  </si>
  <si>
    <t>CASDWV010001570</t>
  </si>
  <si>
    <t>MAG: Leviviridae sp. isolate 90-k141_249989 genomic sequence</t>
  </si>
  <si>
    <t>MZ679621</t>
  </si>
  <si>
    <t>MAG: Leviviridae sp. isolate 42b-k141_23958 genomic sequence</t>
  </si>
  <si>
    <t>MZ680340</t>
  </si>
  <si>
    <t>MAG: Leviviridae sp. isolate 167-k141_431898 genomic sequence</t>
  </si>
  <si>
    <t>MZ679724</t>
  </si>
  <si>
    <t>MAG: Leviviridae sp. isolate 25-k141_15812 genomic sequence</t>
  </si>
  <si>
    <t>MZ679546</t>
  </si>
  <si>
    <t>MAG: Leviviridae sp. isolate 237b-k141_281451 genomic sequence</t>
  </si>
  <si>
    <t>MZ679645</t>
  </si>
  <si>
    <t>MAG: Leviviridae sp. isolate s58-k141_703574 genomic sequence</t>
  </si>
  <si>
    <t>MZ679795</t>
  </si>
  <si>
    <t>MAG: Leviviridae sp. isolate s58-k141_1282974 genomic sequence</t>
  </si>
  <si>
    <t>MZ679518</t>
  </si>
  <si>
    <t>ssRNA_5217</t>
  </si>
  <si>
    <t>CASDWV010000265</t>
  </si>
  <si>
    <t>ssRNA_131779</t>
  </si>
  <si>
    <t>CASDWV010004829</t>
  </si>
  <si>
    <t>Kingscavirus</t>
  </si>
  <si>
    <t>MAG: Leviviridae sp. isolate R28-k141_11986 genomic sequence</t>
  </si>
  <si>
    <t>MZ679499</t>
  </si>
  <si>
    <t>Koroslivirus</t>
  </si>
  <si>
    <t>MAG: Leviviridae sp. isolate R30-k141_575430, complete genome</t>
  </si>
  <si>
    <t>MZ679772</t>
  </si>
  <si>
    <t>MAG: Leviviridae sp. isolate 174b-k141_550272 genomic sequence</t>
  </si>
  <si>
    <t>MZ679764</t>
  </si>
  <si>
    <t>MAG: Leviviridae sp. isolate 174b-k141_19887, complete genome</t>
  </si>
  <si>
    <t>MZ679582</t>
  </si>
  <si>
    <t>MAG: Leviviridae sp. isolate s58-k141_1403159 genomic sequence</t>
  </si>
  <si>
    <t>MZ679533</t>
  </si>
  <si>
    <t>MAG: Leviviridae sp. isolate R29-k141_1235495 genomic sequence</t>
  </si>
  <si>
    <t>MZ679510</t>
  </si>
  <si>
    <t>ssRNA_126868</t>
  </si>
  <si>
    <t>CASDWV010004654</t>
  </si>
  <si>
    <t>ssRNA_131241</t>
  </si>
  <si>
    <t>CASDWV010004800</t>
  </si>
  <si>
    <t>ssRNA_82200</t>
  </si>
  <si>
    <t>CASDWV010003430</t>
  </si>
  <si>
    <t>Lehemavirus</t>
  </si>
  <si>
    <t>ssRNA_131247</t>
  </si>
  <si>
    <t>CASDWV010004802</t>
  </si>
  <si>
    <t>Lidbrovirus</t>
  </si>
  <si>
    <t>ssRNA_13849</t>
  </si>
  <si>
    <t>CASDWV010000548</t>
  </si>
  <si>
    <t>Lidtloavirus</t>
  </si>
  <si>
    <t>ssRNA_44262</t>
  </si>
  <si>
    <t>CASDWV010001710</t>
  </si>
  <si>
    <t>ssRNA_68213</t>
  </si>
  <si>
    <t>CASDWV010002875</t>
  </si>
  <si>
    <t>ssRNA_23427</t>
  </si>
  <si>
    <t>CASDWV010000793</t>
  </si>
  <si>
    <t>ssRNA_28494</t>
  </si>
  <si>
    <t>CASDWV010001001</t>
  </si>
  <si>
    <t>Lipwuvirus</t>
  </si>
  <si>
    <t>MAG: Leviviridae sp. isolate 378R-k141_79058, complete genome</t>
  </si>
  <si>
    <t>MZ679810</t>
  </si>
  <si>
    <t>Litdlovirus</t>
  </si>
  <si>
    <t>ssRNA_56380</t>
  </si>
  <si>
    <t>CASDWV010002399</t>
  </si>
  <si>
    <t>ssRNA_96033</t>
  </si>
  <si>
    <t>CASDWV010003943</t>
  </si>
  <si>
    <t>Litlevirus</t>
  </si>
  <si>
    <t>MAG: Leviviridae sp. isolate 251-k141_35394, complete genome</t>
  </si>
  <si>
    <t>MZ679686</t>
  </si>
  <si>
    <t>Loecwouvirus</t>
  </si>
  <si>
    <t>MAG: Leviviridae sp. isolate 154-k141_24179, complete genome</t>
  </si>
  <si>
    <t>MZ679612</t>
  </si>
  <si>
    <t>ssRNA_88960</t>
  </si>
  <si>
    <t>CASDWV010003724</t>
  </si>
  <si>
    <t>Lohwivirus</t>
  </si>
  <si>
    <t>MAG: Leviviridae sp. isolate 166-k141_113389 genomic sequence</t>
  </si>
  <si>
    <t>MZ679485</t>
  </si>
  <si>
    <t>MAG: Leviviridae sp. isolate 258b-k141_5206 genomic sequence</t>
  </si>
  <si>
    <t>MZ679754</t>
  </si>
  <si>
    <t>MAG: Leviviridae sp. isolate 18b-k141_63811 genomic sequence</t>
  </si>
  <si>
    <t>MZ679783</t>
  </si>
  <si>
    <t>ssRNA_128994</t>
  </si>
  <si>
    <t>CASDWV010004727</t>
  </si>
  <si>
    <t>MAG: Leviviridae sp. isolate 162-k141_16147 genomic sequence</t>
  </si>
  <si>
    <t>MZ679553</t>
  </si>
  <si>
    <t>MAG: Leviviridae sp. isolate 250-k141_221999 genomic sequence</t>
  </si>
  <si>
    <t>MZ679601</t>
  </si>
  <si>
    <t>MAG: Leviviridae sp. isolate 250-k141_322099 genomic sequence</t>
  </si>
  <si>
    <t>MZ679666</t>
  </si>
  <si>
    <t>MAG: Leviviridae sp. isolate s59-k141_1206268 genomic sequence</t>
  </si>
  <si>
    <t>MZ679502</t>
  </si>
  <si>
    <t>MAG: Leviviridae sp. isolate 293-k141_203366 genomic sequence</t>
  </si>
  <si>
    <t>MZ679586</t>
  </si>
  <si>
    <t>MAG: Leviviridae sp. isolate 292-k141_139801 genomic sequence</t>
  </si>
  <si>
    <t>MZ679531</t>
  </si>
  <si>
    <t>MAG: hypothetical protein 1, hypothetical protein 2 and hypothetical protein 3 genes, complete cds</t>
  </si>
  <si>
    <t>MZ679519</t>
  </si>
  <si>
    <t>MAG: Leviviridae sp. isolate 57b-k141_142883 genomic sequence</t>
  </si>
  <si>
    <t>MZ679535</t>
  </si>
  <si>
    <t>MAG: Leviviridae sp. isolate 57b-k141_173931 genomic sequence</t>
  </si>
  <si>
    <t>MZ679558</t>
  </si>
  <si>
    <t>MAG: Leviviridae sp. isolate 37-k141_198521 genomic sequence</t>
  </si>
  <si>
    <t>MZ680341</t>
  </si>
  <si>
    <t>MAG: Leviviridae sp. isolate 48-k141_139793 genomic sequence</t>
  </si>
  <si>
    <t>MZ679530</t>
  </si>
  <si>
    <t>Loimivirus</t>
  </si>
  <si>
    <t>MAG: Leviviridae sp. isolate 140-k141_346813 genomic sequence</t>
  </si>
  <si>
    <t>MZ679683</t>
  </si>
  <si>
    <t>ssRNA_51623</t>
  </si>
  <si>
    <t>CASDWV010002162</t>
  </si>
  <si>
    <t>ssRNA_20382</t>
  </si>
  <si>
    <t>CASDWV010000674</t>
  </si>
  <si>
    <t>ssRNA_47755</t>
  </si>
  <si>
    <t>CASDWV010001951</t>
  </si>
  <si>
    <t>ssRNA_1401</t>
  </si>
  <si>
    <t>CASDWV010000082</t>
  </si>
  <si>
    <t>ssRNA_8513</t>
  </si>
  <si>
    <t>CASDWV010000389</t>
  </si>
  <si>
    <t>ssRNA_19503</t>
  </si>
  <si>
    <t>CASDWV010000663</t>
  </si>
  <si>
    <t>Lughthovirus</t>
  </si>
  <si>
    <t>ssRNA_53972</t>
  </si>
  <si>
    <t>CASDWV010002286</t>
  </si>
  <si>
    <t>ssRNA_87432</t>
  </si>
  <si>
    <t>CASDWV010003649</t>
  </si>
  <si>
    <t>ssRNA_109111</t>
  </si>
  <si>
    <t>CASDWV010004158</t>
  </si>
  <si>
    <t>ssRNA_114512</t>
  </si>
  <si>
    <t>CASDWV010004265</t>
  </si>
  <si>
    <t>Luhtdivirus</t>
  </si>
  <si>
    <t>Luwerquvirus</t>
  </si>
  <si>
    <t>MAG: Leviviridae sp. isolate 45cR-k141_601430 genomic sequence</t>
  </si>
  <si>
    <t>MZ679776</t>
  </si>
  <si>
    <t>Merlclivirus</t>
  </si>
  <si>
    <t>ssRNA_23422</t>
  </si>
  <si>
    <t>CASDWV010000791</t>
  </si>
  <si>
    <t>Mertavirus</t>
  </si>
  <si>
    <t>ssRNA_127492</t>
  </si>
  <si>
    <t>CASDWV010004677</t>
  </si>
  <si>
    <t>ssRNA_63434</t>
  </si>
  <si>
    <t>CASDWV010002720</t>
  </si>
  <si>
    <t>ssRNA_54857</t>
  </si>
  <si>
    <t>CASDWV010002342</t>
  </si>
  <si>
    <t>Mixstovirus</t>
  </si>
  <si>
    <t>ssRNA_1636</t>
  </si>
  <si>
    <t>CASDWV010000096</t>
  </si>
  <si>
    <t>ssRNA_115942</t>
  </si>
  <si>
    <t>CASDWV010004297</t>
  </si>
  <si>
    <t>ssRNA_21462</t>
  </si>
  <si>
    <t>CASDWV010000715</t>
  </si>
  <si>
    <t>Mohrtavirus</t>
  </si>
  <si>
    <t>ssRNA_23153</t>
  </si>
  <si>
    <t>CASDWV010000767</t>
  </si>
  <si>
    <t>ssRNA_130594</t>
  </si>
  <si>
    <t>CASDWV010004778</t>
  </si>
  <si>
    <t>ssRNA_54800</t>
  </si>
  <si>
    <t>CASDWV010002323</t>
  </si>
  <si>
    <t>ssRNA_27132</t>
  </si>
  <si>
    <t>CASDWV010000932</t>
  </si>
  <si>
    <t>ssRNA_29906</t>
  </si>
  <si>
    <t>CASDWV010001048</t>
  </si>
  <si>
    <t>ssRNA_45903</t>
  </si>
  <si>
    <t>CASDWV010001837</t>
  </si>
  <si>
    <t>ssRNA_40856</t>
  </si>
  <si>
    <t>CASDWV010001489</t>
  </si>
  <si>
    <t>ssRNA_127499</t>
  </si>
  <si>
    <t>CASDWV010004679</t>
  </si>
  <si>
    <t>ssRNA_129016</t>
  </si>
  <si>
    <t>CASDWV010004739</t>
  </si>
  <si>
    <t>ssRNA_37252</t>
  </si>
  <si>
    <t>CASDWV010001285</t>
  </si>
  <si>
    <t>Nehwbovirus</t>
  </si>
  <si>
    <t>ssRNA_84422</t>
  </si>
  <si>
    <t>CASDWV010003515</t>
  </si>
  <si>
    <t>Nethevirus</t>
  </si>
  <si>
    <t>ssRNA_86428</t>
  </si>
  <si>
    <t>CASDWV010003607</t>
  </si>
  <si>
    <t>Nuhnehevirus</t>
  </si>
  <si>
    <t>ssRNA_51622</t>
  </si>
  <si>
    <t>CASDWV010002161</t>
  </si>
  <si>
    <t>MAG: Leviviridae sp. isolate s48-k141_1160291 putative maturation protein and putative coat protein genes, complete cds; putative replicase protein gene, partial cds; and putative lysis protein gene, complete cds</t>
  </si>
  <si>
    <t>MZ679489</t>
  </si>
  <si>
    <t>Oldborovirus</t>
  </si>
  <si>
    <t>ssRNA_82497</t>
  </si>
  <si>
    <t>CASDWV010003448</t>
  </si>
  <si>
    <t>Ovirwhivirus</t>
  </si>
  <si>
    <t>MAG: Leviviridae sp. isolate 61-k141_286468 genomic sequence</t>
  </si>
  <si>
    <t>MZ679648</t>
  </si>
  <si>
    <t>MAG: Leviviridae sp. isolate 171-k141_14910 genomic sequence</t>
  </si>
  <si>
    <t>MZ679538</t>
  </si>
  <si>
    <t>ssRNA_52371</t>
  </si>
  <si>
    <t>CASDWV010002204</t>
  </si>
  <si>
    <t>ssRNA_52362</t>
  </si>
  <si>
    <t>CASDWV010002199</t>
  </si>
  <si>
    <t>ssRNA_97970</t>
  </si>
  <si>
    <t>CASDWV010004024</t>
  </si>
  <si>
    <t>ssRNA_58932</t>
  </si>
  <si>
    <t>CASDWV010002486</t>
  </si>
  <si>
    <t>ssRNA_61707</t>
  </si>
  <si>
    <t>CASDWV010002616</t>
  </si>
  <si>
    <t>ssRNA_34027</t>
  </si>
  <si>
    <t>CASDWV010001168</t>
  </si>
  <si>
    <t>ssRNA_117265</t>
  </si>
  <si>
    <t>CASDWV010004340</t>
  </si>
  <si>
    <t>ssRNA_94287</t>
  </si>
  <si>
    <t>CASDWV010003907</t>
  </si>
  <si>
    <t>Pidhluvirus</t>
  </si>
  <si>
    <t>ssRNA_3749</t>
  </si>
  <si>
    <t>CASDWV010000186</t>
  </si>
  <si>
    <t>Pihckevirus</t>
  </si>
  <si>
    <t>ssRNA_5993</t>
  </si>
  <si>
    <t>CASDWV010000342</t>
  </si>
  <si>
    <t>Pinlevirus</t>
  </si>
  <si>
    <t>ssRNA_134272</t>
  </si>
  <si>
    <t>CASDWV010004902</t>
  </si>
  <si>
    <t>ssRNA_134269</t>
  </si>
  <si>
    <t>CASDWV010004899</t>
  </si>
  <si>
    <t>ssRNA_45711</t>
  </si>
  <si>
    <t>CASDWV010001821</t>
  </si>
  <si>
    <t>ssRNA_131403</t>
  </si>
  <si>
    <t>CASDWV010004818</t>
  </si>
  <si>
    <t>ssRNA_10370</t>
  </si>
  <si>
    <t>CASDWV010000506</t>
  </si>
  <si>
    <t>ssRNA_10375</t>
  </si>
  <si>
    <t>CASDWV010000508</t>
  </si>
  <si>
    <t>ssRNA_88540</t>
  </si>
  <si>
    <t>CASDWV010003716</t>
  </si>
  <si>
    <t>ssRNA_21978</t>
  </si>
  <si>
    <t>CASDWV010000732</t>
  </si>
  <si>
    <t>ssRNA_39969</t>
  </si>
  <si>
    <t>CASDWV010001424</t>
  </si>
  <si>
    <t>ssRNA_87051</t>
  </si>
  <si>
    <t>CASDWV010003637</t>
  </si>
  <si>
    <t>ssRNA_71685</t>
  </si>
  <si>
    <t>CASDWV010002999</t>
  </si>
  <si>
    <t>ssRNA_39238</t>
  </si>
  <si>
    <t>CASDWV010001397</t>
  </si>
  <si>
    <t>ssRNA_40789</t>
  </si>
  <si>
    <t>CASDWV010001481</t>
  </si>
  <si>
    <t>ssRNA_51628</t>
  </si>
  <si>
    <t>CASDWV010002164</t>
  </si>
  <si>
    <t>ssRNA_140245</t>
  </si>
  <si>
    <t>CASDWV010005063</t>
  </si>
  <si>
    <t>Prihuvirus</t>
  </si>
  <si>
    <t>MAG: Leviviridae sp. isolate 174-k141_120255 genomic sequence</t>
  </si>
  <si>
    <t>MZ679501</t>
  </si>
  <si>
    <t>ssRNA_39014</t>
  </si>
  <si>
    <t>CASDWV010001367</t>
  </si>
  <si>
    <t>ssRNA_57717</t>
  </si>
  <si>
    <t>CASDWV010002434</t>
  </si>
  <si>
    <t>ssRNA_83251</t>
  </si>
  <si>
    <t>CASDWV010003477</t>
  </si>
  <si>
    <t>MAG: Leviviridae sp. isolate 208R-k141_472944 genomic sequence</t>
  </si>
  <si>
    <t>MZ679738</t>
  </si>
  <si>
    <t>MAG: Leviviridae sp. isolate 171-k141_121277 genomic sequence</t>
  </si>
  <si>
    <t>MZ680327</t>
  </si>
  <si>
    <t>Quihndovirus</t>
  </si>
  <si>
    <t>ssRNA_23452</t>
  </si>
  <si>
    <t>CASDWV010000804</t>
  </si>
  <si>
    <t>ssRNA_80821</t>
  </si>
  <si>
    <t>CASDWV010003377</t>
  </si>
  <si>
    <t>ssRNA_44330</t>
  </si>
  <si>
    <t>CASDWV010001732</t>
  </si>
  <si>
    <t>ssRNA_2335</t>
  </si>
  <si>
    <t>CASDWV010000134</t>
  </si>
  <si>
    <t>ssRNA_3790</t>
  </si>
  <si>
    <t>CASDWV010000200</t>
  </si>
  <si>
    <t>ssRNA_3756</t>
  </si>
  <si>
    <t>CASDWV010000187</t>
  </si>
  <si>
    <t>ssRNA_23438</t>
  </si>
  <si>
    <t>CASDWV010000799</t>
  </si>
  <si>
    <t>ssRNA_1318</t>
  </si>
  <si>
    <t>CASDWV010000076</t>
  </si>
  <si>
    <t>ssRNA_81576</t>
  </si>
  <si>
    <t>CASDWV010003406</t>
  </si>
  <si>
    <t>ssRNA_48482</t>
  </si>
  <si>
    <t>CASDWV010001985</t>
  </si>
  <si>
    <t>ssRNA_43463</t>
  </si>
  <si>
    <t>CASDWV010001663</t>
  </si>
  <si>
    <t>ssRNA_48488</t>
  </si>
  <si>
    <t>CASDWV010001988</t>
  </si>
  <si>
    <t>ssRNA_79826</t>
  </si>
  <si>
    <t>CASDWV010003318</t>
  </si>
  <si>
    <t>Retlevirus</t>
  </si>
  <si>
    <t>ssRNA_44138</t>
  </si>
  <si>
    <t>CASDWV010001694</t>
  </si>
  <si>
    <t>ssRNA_118128</t>
  </si>
  <si>
    <t>CASDWV010004395</t>
  </si>
  <si>
    <t>Rydonovirus</t>
  </si>
  <si>
    <t>ssRNA_75445</t>
  </si>
  <si>
    <t>CASDWV010003185</t>
  </si>
  <si>
    <t>ssRNA_44314</t>
  </si>
  <si>
    <t>CASDWV010001728</t>
  </si>
  <si>
    <t>ssRNA_41156</t>
  </si>
  <si>
    <t>CASDWV010001495</t>
  </si>
  <si>
    <t>ssRNA_74749</t>
  </si>
  <si>
    <t>CASDWV010003159</t>
  </si>
  <si>
    <t>MAG: Leviviridae sp. isolate s59-k141_188904 genomic sequence</t>
  </si>
  <si>
    <t>MZ679576</t>
  </si>
  <si>
    <t>ssRNA_123027</t>
  </si>
  <si>
    <t>CASDWV010004564</t>
  </si>
  <si>
    <t>ssRNA_36318</t>
  </si>
  <si>
    <t>CASDWV010001251</t>
  </si>
  <si>
    <t>Sahlfavirus</t>
  </si>
  <si>
    <t>MAG: Leviviridae sp. isolate 311R-k141_827650 genomic sequence</t>
  </si>
  <si>
    <t>MZ679816</t>
  </si>
  <si>
    <t>Sderotavirus</t>
  </si>
  <si>
    <t>ssRNA_89692</t>
  </si>
  <si>
    <t>CASDWV010003776</t>
  </si>
  <si>
    <t>ssRNA_40849</t>
  </si>
  <si>
    <t>CASDWV010001486</t>
  </si>
  <si>
    <t>ssRNA_8950</t>
  </si>
  <si>
    <t>CASDWV010000421</t>
  </si>
  <si>
    <t>Sdrodtuvirus</t>
  </si>
  <si>
    <t>ssRNA_94286</t>
  </si>
  <si>
    <t>CASDWV010003906</t>
  </si>
  <si>
    <t>Sehcuvirus</t>
  </si>
  <si>
    <t>ssRNA_46389</t>
  </si>
  <si>
    <t>CASDWV010001855</t>
  </si>
  <si>
    <t>Sempoevirus</t>
  </si>
  <si>
    <t>ssRNA_123036</t>
  </si>
  <si>
    <t>CASDWV010004568</t>
  </si>
  <si>
    <t>Setdovirus</t>
  </si>
  <si>
    <t>MAG: Leviviridae sp. isolate 178bR-k141_195756 genomic sequence</t>
  </si>
  <si>
    <t>MZ679579</t>
  </si>
  <si>
    <t>Shiltuvirus</t>
  </si>
  <si>
    <t>MAG: Leviviridae sp. isolate R30-k141_750532, complete genome</t>
  </si>
  <si>
    <t>MZ679803</t>
  </si>
  <si>
    <t>Shrewlevirus</t>
  </si>
  <si>
    <t>ssRNA_64605</t>
  </si>
  <si>
    <t>CASDWV010002754</t>
  </si>
  <si>
    <t>ssRNA_3903</t>
  </si>
  <si>
    <t>CASDWV010000209</t>
  </si>
  <si>
    <t>Stonedovirus</t>
  </si>
  <si>
    <t>ssRNA_9385</t>
  </si>
  <si>
    <t>CASDWV010000457</t>
  </si>
  <si>
    <t>ssRNA_52421</t>
  </si>
  <si>
    <t>CASDWV010002219</t>
  </si>
  <si>
    <t>Strehtovirus</t>
  </si>
  <si>
    <t>Strotuvirus</t>
  </si>
  <si>
    <t>ssRNA_90190</t>
  </si>
  <si>
    <t>CASDWV010003788</t>
  </si>
  <si>
    <t>Studlivirus</t>
  </si>
  <si>
    <t>MAG: Leviviridae sp. isolate 164-k141_18791 genomic sequence</t>
  </si>
  <si>
    <t>MZ679575</t>
  </si>
  <si>
    <t>ssRNA_131089</t>
  </si>
  <si>
    <t>CASDWV010004790</t>
  </si>
  <si>
    <t>MAG: Leviviridae sp. isolate 237b-k141_420015, complete genome</t>
  </si>
  <si>
    <t>MZ679720</t>
  </si>
  <si>
    <t>ssRNA_5604</t>
  </si>
  <si>
    <t>CASDWV010000297</t>
  </si>
  <si>
    <t>ssRNA_117608</t>
  </si>
  <si>
    <t>CASDWV010004354</t>
  </si>
  <si>
    <t>ssRNA_1288</t>
  </si>
  <si>
    <t>CASDWV010000063</t>
  </si>
  <si>
    <t>ssRNA_76417</t>
  </si>
  <si>
    <t>CASDWV010003215</t>
  </si>
  <si>
    <t>ssRNA_75718</t>
  </si>
  <si>
    <t>CASDWV010003188</t>
  </si>
  <si>
    <t>ssRNA_113040</t>
  </si>
  <si>
    <t>CASDWV010004215</t>
  </si>
  <si>
    <t>Thuhrlavirus</t>
  </si>
  <si>
    <t>ssRNA_69793</t>
  </si>
  <si>
    <t>CASDWV010002937</t>
  </si>
  <si>
    <t>ssRNA_73595</t>
  </si>
  <si>
    <t>CASDWV010003108</t>
  </si>
  <si>
    <t>MAG: Leviviridae sp. isolate 346R-k141_563470 genomic sequence</t>
  </si>
  <si>
    <t>MZ679770</t>
  </si>
  <si>
    <t>MAG: Leviviridae sp. isolate 172-k141_40739 genomic sequence</t>
  </si>
  <si>
    <t>MZ679713</t>
  </si>
  <si>
    <t>MAG: Leviviridae sp. isolate 278R-k141_757754 genomic sequence</t>
  </si>
  <si>
    <t>MZ679804</t>
  </si>
  <si>
    <t>ssRNA_49718</t>
  </si>
  <si>
    <t>CASDWV010002046</t>
  </si>
  <si>
    <t>MAG: Leviviridae sp. isolate 174b-k141_28037 genomic sequence</t>
  </si>
  <si>
    <t>MZ679644</t>
  </si>
  <si>
    <t>MAG: Leviviridae sp. isolate 174-k141_37758 genomic sequence</t>
  </si>
  <si>
    <t>MZ679700</t>
  </si>
  <si>
    <t>MAG: Leviviridae sp. isolate 174b-k141_241725 genomic sequence</t>
  </si>
  <si>
    <t>MZ679611</t>
  </si>
  <si>
    <t>ssRNA_56275</t>
  </si>
  <si>
    <t>CASDWV010002394</t>
  </si>
  <si>
    <t>ssRNA_131407</t>
  </si>
  <si>
    <t>CASDWV010004820</t>
  </si>
  <si>
    <t>ssRNA_85903</t>
  </si>
  <si>
    <t>CASDWV010003581</t>
  </si>
  <si>
    <t>MAG: Leviviridae sp. isolate 237b-k141_439116 genomic sequence</t>
  </si>
  <si>
    <t>MZ679726</t>
  </si>
  <si>
    <t>MAG: Leviviridae sp. isolate 237b-k141_178106 genomic sequence</t>
  </si>
  <si>
    <t>MZ679564</t>
  </si>
  <si>
    <t>MAG: Leviviridae sp. isolate 240b-k141_461429 genomic sequence</t>
  </si>
  <si>
    <t>MZ679734</t>
  </si>
  <si>
    <t>MAG: Leviviridae sp. isolate 273-k141_226726 genomic sequence</t>
  </si>
  <si>
    <t>MZ679605</t>
  </si>
  <si>
    <t>ssRNA_78397</t>
  </si>
  <si>
    <t>CASDWV010003280</t>
  </si>
  <si>
    <t>ssRNA_936</t>
  </si>
  <si>
    <t>CASDWV010000036</t>
  </si>
  <si>
    <t>ssRNA_26745</t>
  </si>
  <si>
    <t>CASDWV010000923</t>
  </si>
  <si>
    <t>ssRNA_3897</t>
  </si>
  <si>
    <t>CASDWV010000206</t>
  </si>
  <si>
    <t>ssRNA_96488</t>
  </si>
  <si>
    <t>CASDWV010003959</t>
  </si>
  <si>
    <t>MAG: Leviviridae sp. isolate 78-k141_577667, complete genome</t>
  </si>
  <si>
    <t>MZ679773</t>
  </si>
  <si>
    <t>Ulenhavirus</t>
  </si>
  <si>
    <t>MAG: Leviviridae sp. isolate 154-k141_3388 genomic sequence</t>
  </si>
  <si>
    <t>MZ679680</t>
  </si>
  <si>
    <t>Wahlkavirus</t>
  </si>
  <si>
    <t>ssRNA_26551</t>
  </si>
  <si>
    <t>CASDWV010000918</t>
  </si>
  <si>
    <t>ssRNA_93721</t>
  </si>
  <si>
    <t>CASDWV010003897</t>
  </si>
  <si>
    <t>Wahspovirus</t>
  </si>
  <si>
    <t>ssRNA_77146</t>
  </si>
  <si>
    <t>CASDWV010003222</t>
  </si>
  <si>
    <t>MAG: Leviviridae sp. isolate 258-k141_181007 genomic sequence</t>
  </si>
  <si>
    <t>MZ679567</t>
  </si>
  <si>
    <t>ssRNA_39308</t>
  </si>
  <si>
    <t>CASDWV010001400</t>
  </si>
  <si>
    <t>MAG: Leviviridae sp. isolate 240b-k141_119511 genomic sequence</t>
  </si>
  <si>
    <t>MZ679498</t>
  </si>
  <si>
    <t>Watorgevirus</t>
  </si>
  <si>
    <t>ssRNA_40692</t>
  </si>
  <si>
    <t>CASDWV010001477</t>
  </si>
  <si>
    <t>Wehlevirus</t>
  </si>
  <si>
    <t>ssRNA_62273</t>
  </si>
  <si>
    <t>CASDWV010002657</t>
  </si>
  <si>
    <t>Wesdanuvirus</t>
  </si>
  <si>
    <t>ssRNA_90623</t>
  </si>
  <si>
    <t>CASDWV010003812</t>
  </si>
  <si>
    <t>Westonuvirus</t>
  </si>
  <si>
    <t>ssRNA_24417</t>
  </si>
  <si>
    <t>CASDWV010000845</t>
  </si>
  <si>
    <t>Whadcovirus</t>
  </si>
  <si>
    <t>MAG: Leviviridae sp. isolate 174-k141_119321, complete genome</t>
  </si>
  <si>
    <t>MZ679497</t>
  </si>
  <si>
    <t>Whidchuvirus</t>
  </si>
  <si>
    <t>MAG: Leviviridae sp. isolate R118-k141_269224 genomic sequence</t>
  </si>
  <si>
    <t>MZ679636</t>
  </si>
  <si>
    <t>Whudnevirus</t>
  </si>
  <si>
    <t>ssRNA_113113</t>
  </si>
  <si>
    <t>CASDWV010004218</t>
  </si>
  <si>
    <t>Wibpevirus</t>
  </si>
  <si>
    <t>ssRNA_43468</t>
  </si>
  <si>
    <t>CASDWV010001666</t>
  </si>
  <si>
    <t>ssRNA_133544</t>
  </si>
  <si>
    <t>CASDWV010004864</t>
  </si>
  <si>
    <t>ssRNA_43166</t>
  </si>
  <si>
    <t>CASDWV010001645</t>
  </si>
  <si>
    <t>ssRNA_128383</t>
  </si>
  <si>
    <t>CASDWV010004714</t>
  </si>
  <si>
    <t>ssRNA_121051</t>
  </si>
  <si>
    <t>CASDWV010004498</t>
  </si>
  <si>
    <t>ssRNA_66371</t>
  </si>
  <si>
    <t>CASDWV010002799</t>
  </si>
  <si>
    <t>ssRNA_51657</t>
  </si>
  <si>
    <t>CASDWV010002170</t>
  </si>
  <si>
    <t>ssRNA_47160</t>
  </si>
  <si>
    <t>CASDWV010001923</t>
  </si>
  <si>
    <t>ssRNA_44705</t>
  </si>
  <si>
    <t>CASDWV010001751</t>
  </si>
  <si>
    <t>ssRNA_79150</t>
  </si>
  <si>
    <t>CASDWV010003310</t>
  </si>
  <si>
    <t>ssRNA_51238</t>
  </si>
  <si>
    <t>CASDWV010002117</t>
  </si>
  <si>
    <t>ssRNA_3780</t>
  </si>
  <si>
    <t>CASDWV010000197</t>
  </si>
  <si>
    <t>ssRNA_5098</t>
  </si>
  <si>
    <t>CASDWV010000255</t>
  </si>
  <si>
    <t>ssRNA_49848</t>
  </si>
  <si>
    <t>CASDWV010002064</t>
  </si>
  <si>
    <t>ssRNA_45472</t>
  </si>
  <si>
    <t>CASDWV010001795</t>
  </si>
  <si>
    <t>Wilfovirus</t>
  </si>
  <si>
    <t>ssRNA_84877</t>
  </si>
  <si>
    <t>CASDWV010003530</t>
  </si>
  <si>
    <t>Wirwovirus</t>
  </si>
  <si>
    <t>ssRNA_82087</t>
  </si>
  <si>
    <t>CASDWV010003417</t>
  </si>
  <si>
    <t>Wixfovirus</t>
  </si>
  <si>
    <t>ssRNA_61697</t>
  </si>
  <si>
    <t>CASDWV010002615</t>
  </si>
  <si>
    <t>Wohodivirus</t>
  </si>
  <si>
    <t>ssRNA_40682</t>
  </si>
  <si>
    <t>CASDWV010001474</t>
  </si>
  <si>
    <t>Wohrmlevirus</t>
  </si>
  <si>
    <t>ssRNA_82082</t>
  </si>
  <si>
    <t>CASDWV010003416</t>
  </si>
  <si>
    <t>Wohtavirus</t>
  </si>
  <si>
    <t>ssRNA_85941</t>
  </si>
  <si>
    <t>CASDWV010003593</t>
  </si>
  <si>
    <t>Wolvivirus</t>
  </si>
  <si>
    <t>Grapevine-associated levi-like virus 1</t>
  </si>
  <si>
    <t>MAG: Grapevine-associated levi-like virus 1 hypothetical protein and RNA-dependent RNA polymerase genes, complete cds</t>
  </si>
  <si>
    <t>MW648448</t>
  </si>
  <si>
    <t>Wruxavirus</t>
  </si>
  <si>
    <t>MAG: Leviviridae sp. isolate 346R-k141_489225, complete genome</t>
  </si>
  <si>
    <t>MZ679745</t>
  </si>
  <si>
    <t>MAG: Leviviridae sp. isolate 378R-k141_418108 genomic sequence</t>
  </si>
  <si>
    <t>MZ679718</t>
  </si>
  <si>
    <t>MAG: Leviviridae sp. isolate 146-k141_158253, complete genome</t>
  </si>
  <si>
    <t>MZ679547</t>
  </si>
  <si>
    <t>Wundevirus</t>
  </si>
  <si>
    <t>ssRNA_25036</t>
  </si>
  <si>
    <t>CASDWV010000854</t>
  </si>
  <si>
    <t>Wushavirus</t>
  </si>
  <si>
    <t>MAG: Leviviridae sp. isolate R118-k141_357670 genomic sequence</t>
  </si>
  <si>
    <t>MZ679690</t>
  </si>
  <si>
    <t>ssRNA_36370</t>
  </si>
  <si>
    <t>CASDWV010001259</t>
  </si>
  <si>
    <t>MAG: Leviviridae sp. isolate 346R-k141_117964 genomic sequence</t>
  </si>
  <si>
    <t>MZ679494</t>
  </si>
  <si>
    <t>MAG: Leviviridae sp. isolate 278R-k141_812202 genomic sequence</t>
  </si>
  <si>
    <t>MZ679812</t>
  </si>
  <si>
    <t>MAG: Leviviridae sp. isolate 166-k141_342729 genomic sequence</t>
  </si>
  <si>
    <t>MZ679681</t>
  </si>
  <si>
    <t>MAG: Leviviridae sp. isolate 241-k141_1069148 genomic sequence</t>
  </si>
  <si>
    <t>MZ679472</t>
  </si>
  <si>
    <t>MAG: Leviviridae sp. isolate 257-k141_133418 genomic sequence</t>
  </si>
  <si>
    <t>MZ679523</t>
  </si>
  <si>
    <t>MAG: Leviviridae sp. isolate 174-k141_161330 genomic sequence</t>
  </si>
  <si>
    <t>MZ679552</t>
  </si>
  <si>
    <t>ssRNA_78371</t>
  </si>
  <si>
    <t>CASDWV010003271</t>
  </si>
  <si>
    <t>MAG: Leviviridae sp. isolate 278R-k141_330777 genomic sequence</t>
  </si>
  <si>
    <t>MZ679672</t>
  </si>
  <si>
    <t>MAG: Leviviridae sp. isolate 278R-k141_116244 genomic sequence</t>
  </si>
  <si>
    <t>MZ679490</t>
  </si>
  <si>
    <t>MAG: Leviviridae sp. isolate 167-k141_276200 genomic sequence</t>
  </si>
  <si>
    <t>MZ680331</t>
  </si>
  <si>
    <t>MAG: Leviviridae sp. isolate 367R-k141_119137 genomic sequence</t>
  </si>
  <si>
    <t>MZ679496</t>
  </si>
  <si>
    <t>MAG: Leviviridae sp. isolate s43-k141_33042 genomic sequence</t>
  </si>
  <si>
    <t>MZ679671</t>
  </si>
  <si>
    <t>MAG: Leviviridae sp. isolate R28-k141_164874 genomic sequence</t>
  </si>
  <si>
    <t>MZ679555</t>
  </si>
  <si>
    <t>MAG: Leviviridae sp. isolate s48-k141_1041920 genomic sequence</t>
  </si>
  <si>
    <t>MZ679465</t>
  </si>
  <si>
    <t>ssRNA_117162</t>
  </si>
  <si>
    <t>CASDWV010004339</t>
  </si>
  <si>
    <t>MAG: Leviviridae sp. isolate 238-k141_304842 genomic sequence</t>
  </si>
  <si>
    <t>MZ679663</t>
  </si>
  <si>
    <t>ssRNA_139273</t>
  </si>
  <si>
    <t>CASDWV010005042</t>
  </si>
  <si>
    <t>ssRNA_71743</t>
  </si>
  <si>
    <t>CASDWV010003020</t>
  </si>
  <si>
    <t>ssRNA_56279</t>
  </si>
  <si>
    <t>CASDWV010002395</t>
  </si>
  <si>
    <t>ssRNA_71715</t>
  </si>
  <si>
    <t>CASDWV010003010</t>
  </si>
  <si>
    <t>ssRNA_131291</t>
  </si>
  <si>
    <t>CASDWV010004810</t>
  </si>
  <si>
    <t>Grandbuvirus</t>
  </si>
  <si>
    <t>ssRNA_2494</t>
  </si>
  <si>
    <t>CASDWV010000135</t>
  </si>
  <si>
    <t>Leviviridae sp. isolate Levi-AGM03, complete genome</t>
  </si>
  <si>
    <t>MZ099574</t>
  </si>
  <si>
    <t>Nordovirus</t>
  </si>
  <si>
    <t>ssRNA_120739</t>
  </si>
  <si>
    <t>CASDWV010004474</t>
  </si>
  <si>
    <t>ssRNA_80699</t>
  </si>
  <si>
    <t>CASDWV010003370</t>
  </si>
  <si>
    <t>ssRNA_61822</t>
  </si>
  <si>
    <t>CASDWV010002629</t>
  </si>
  <si>
    <t>ssRNA_23120</t>
  </si>
  <si>
    <t>CASDWV010000754</t>
  </si>
  <si>
    <t>ssRNA_72138</t>
  </si>
  <si>
    <t>CASDWV010003054</t>
  </si>
  <si>
    <t>ssRNA_67818</t>
  </si>
  <si>
    <t>CASDWV010002852</t>
  </si>
  <si>
    <t>Plasmopara viticola lesion associated ourmia-like virus 31</t>
  </si>
  <si>
    <t>L: KX883990; S: KX883991</t>
  </si>
  <si>
    <t>L: KX884000; S: KX884001</t>
  </si>
  <si>
    <t>L: KX883992; S: KX883993</t>
  </si>
  <si>
    <t>L: KX883996; S: KX883997</t>
  </si>
  <si>
    <t>L: KX883994; S: KX883995</t>
  </si>
  <si>
    <t>L: KX884002; S: KX884003</t>
  </si>
  <si>
    <t>L: KX883998; S: KX883999</t>
  </si>
  <si>
    <t>L: KX884004; S: KX884005</t>
  </si>
  <si>
    <t>Naedrevirales</t>
  </si>
  <si>
    <t>pepper chlorosis associated virus</t>
  </si>
  <si>
    <t>PepCaV</t>
  </si>
  <si>
    <t>Higashitsuno_2021</t>
  </si>
  <si>
    <t>S1: KM817601; S2: KM817602</t>
  </si>
  <si>
    <t>MW645030; MW645031; MW645032</t>
  </si>
  <si>
    <t>Cartilovirus</t>
  </si>
  <si>
    <t>little skate bornavirus</t>
  </si>
  <si>
    <t>LSBV</t>
  </si>
  <si>
    <t>AoL</t>
  </si>
  <si>
    <t>BK063518</t>
  </si>
  <si>
    <t>electric eel bornavirus</t>
  </si>
  <si>
    <t>EEBV</t>
  </si>
  <si>
    <t>SRS620428</t>
  </si>
  <si>
    <t>BK063519</t>
  </si>
  <si>
    <t>finepatterned puffer bornavirus</t>
  </si>
  <si>
    <t>FPBV</t>
  </si>
  <si>
    <t>QD_6</t>
  </si>
  <si>
    <t>BK063517</t>
  </si>
  <si>
    <t>Lloviu virus/M.schreibersii-wt/HUN/2019/378</t>
  </si>
  <si>
    <t>MW775011</t>
  </si>
  <si>
    <t>Loebevirus</t>
  </si>
  <si>
    <t>Lötschberg virus</t>
  </si>
  <si>
    <t>LTBV</t>
  </si>
  <si>
    <t>OQ186623</t>
  </si>
  <si>
    <t>B.atrox/Brazil</t>
  </si>
  <si>
    <t>Hymenopteran arli-related virus OKIAV100</t>
  </si>
  <si>
    <t>HARV-100</t>
  </si>
  <si>
    <t>OKIAV100</t>
  </si>
  <si>
    <t>MW288216</t>
  </si>
  <si>
    <t>Birfecvirus</t>
  </si>
  <si>
    <t>Cát Tiên Hospitalitermes lispi-like virus</t>
  </si>
  <si>
    <t>Lispi</t>
  </si>
  <si>
    <t>ON082763</t>
  </si>
  <si>
    <t>FTV1</t>
  </si>
  <si>
    <t>FY19-2</t>
  </si>
  <si>
    <t>OP313018</t>
  </si>
  <si>
    <t>Cercospora beticola negative-stranded virus 3</t>
  </si>
  <si>
    <t>CbNSV3</t>
  </si>
  <si>
    <t>CFNKY-BZ2-8</t>
  </si>
  <si>
    <t>MZ599588</t>
  </si>
  <si>
    <t>XiangYun mono-chu-like virus</t>
  </si>
  <si>
    <t>XY28730</t>
  </si>
  <si>
    <t>OL700132</t>
  </si>
  <si>
    <t>Trichoderma harzianum mononegavirus 1</t>
  </si>
  <si>
    <t>ThMV1</t>
  </si>
  <si>
    <t>19-19</t>
  </si>
  <si>
    <t>OQ463847</t>
  </si>
  <si>
    <t>Trichoderma harzianum mononegavirus 2</t>
  </si>
  <si>
    <t>ThMV2</t>
  </si>
  <si>
    <t>OQ463848</t>
  </si>
  <si>
    <t>Alternaria dianthicola negative-stranded RNA virus 1</t>
  </si>
  <si>
    <t>AdNSRV1</t>
  </si>
  <si>
    <t>HNSZ-1</t>
  </si>
  <si>
    <t>ON843764</t>
  </si>
  <si>
    <t>Zhangzhou Mymon tick virus 3</t>
  </si>
  <si>
    <t>TIGMIC 1</t>
  </si>
  <si>
    <t>ON746412</t>
  </si>
  <si>
    <t>Alternaria tenuissima negative-stranded RNA virus 2</t>
  </si>
  <si>
    <t>AtNSRV2</t>
  </si>
  <si>
    <t>HB-15</t>
  </si>
  <si>
    <t>OP566533</t>
  </si>
  <si>
    <t>Sanya Mymon tick virus 1</t>
  </si>
  <si>
    <t>TIGMIC 2</t>
  </si>
  <si>
    <t>ON746413</t>
  </si>
  <si>
    <t>Sclerotimonavirus cacaofunestae</t>
  </si>
  <si>
    <t>SVc</t>
  </si>
  <si>
    <t>Cc_Contig2</t>
  </si>
  <si>
    <t>BK062943</t>
  </si>
  <si>
    <t>Fusarium proliferatum mymonavirus 1</t>
  </si>
  <si>
    <t>F.1129</t>
  </si>
  <si>
    <t>OK524200</t>
  </si>
  <si>
    <t>Trichoderma harzianum negative-stranded virus 2</t>
  </si>
  <si>
    <t>ThNV2</t>
  </si>
  <si>
    <t>19-23</t>
  </si>
  <si>
    <t>OQ463851</t>
  </si>
  <si>
    <t>girado virus 1</t>
  </si>
  <si>
    <t>GiV1</t>
  </si>
  <si>
    <t>GD1</t>
  </si>
  <si>
    <t>BK059719</t>
  </si>
  <si>
    <t>girado virus 2</t>
  </si>
  <si>
    <t>GiV2</t>
  </si>
  <si>
    <t>BK059720</t>
  </si>
  <si>
    <t>girado virus 3</t>
  </si>
  <si>
    <t>GiV3</t>
  </si>
  <si>
    <t>BK059721</t>
  </si>
  <si>
    <t>macroli virus</t>
  </si>
  <si>
    <t>MacrV</t>
  </si>
  <si>
    <t>ML2</t>
  </si>
  <si>
    <t>BK059722</t>
  </si>
  <si>
    <t>Ixodes ricinus orinovirus-like virus 1</t>
  </si>
  <si>
    <t>IROV1</t>
  </si>
  <si>
    <t>CT8</t>
  </si>
  <si>
    <t>ON684369</t>
  </si>
  <si>
    <t>Toure virus</t>
  </si>
  <si>
    <t>TOUV</t>
  </si>
  <si>
    <t>DAKAnD 4611</t>
  </si>
  <si>
    <t>OL774864</t>
  </si>
  <si>
    <t>taeniapi virus</t>
  </si>
  <si>
    <t>TNPV</t>
  </si>
  <si>
    <t>TP1-TP2-TP3-TP4-TP5-TP6</t>
  </si>
  <si>
    <t>BK059762; BK059763</t>
  </si>
  <si>
    <t>APMV-2/Finch/N.Ireland/Bangor/73</t>
  </si>
  <si>
    <t>avian metaavulavirus 6</t>
  </si>
  <si>
    <t>red-necked stint/Japan/8KS0813/2008</t>
  </si>
  <si>
    <t>avian metaavulavirus 2</t>
  </si>
  <si>
    <t>APMV-2/Procarduelis nipalensis/China/Suiling/53/2013</t>
  </si>
  <si>
    <t>orthoavulavirus sp. virus</t>
  </si>
  <si>
    <t>AOV/ruddy turnstone/Florida/1605/2016</t>
  </si>
  <si>
    <t>avian orthoavulavirus 12</t>
  </si>
  <si>
    <t>APMV-12/Anseriformes/Taiwan/AHRI101/2015</t>
  </si>
  <si>
    <t>APMV3/PKT/Netherland/449/75</t>
  </si>
  <si>
    <t>Feraresvirinae</t>
  </si>
  <si>
    <t>porcine respirovirus 2</t>
  </si>
  <si>
    <t>ZJ14</t>
  </si>
  <si>
    <t>chamois respirovirus</t>
  </si>
  <si>
    <t>RV/IT2014</t>
  </si>
  <si>
    <t>Glossavirinae</t>
  </si>
  <si>
    <t>Ichthysvirinae</t>
  </si>
  <si>
    <t>Kamposvirinae</t>
  </si>
  <si>
    <t>Hippocavirus</t>
  </si>
  <si>
    <t>Hippocampus erectus paramyxovirus 1</t>
  </si>
  <si>
    <t>SD/19</t>
  </si>
  <si>
    <t>OQ030201</t>
  </si>
  <si>
    <t>Bovinavirus</t>
  </si>
  <si>
    <t>bovine narmovirus 1</t>
  </si>
  <si>
    <t>Australia/bovine/L11/2019</t>
  </si>
  <si>
    <t>ON861830</t>
  </si>
  <si>
    <t>Angavokely henipavirus</t>
  </si>
  <si>
    <t>Paramyxoviridae sp. virus</t>
  </si>
  <si>
    <t>AB1</t>
  </si>
  <si>
    <t>Wufeng Eothenomys melanogaster jeilongvirus 1</t>
  </si>
  <si>
    <t>WFS_RongShu</t>
  </si>
  <si>
    <t>memana virus</t>
  </si>
  <si>
    <t>MemaV</t>
  </si>
  <si>
    <t>GN/Meliandou/Mn/1/2018</t>
  </si>
  <si>
    <t>Lóngquán Niviventer fulvescens jeilongvirus 2</t>
  </si>
  <si>
    <t>Lóngquán Niviventer fulvescens jeilongvirus 1</t>
  </si>
  <si>
    <t>ninomys virus</t>
  </si>
  <si>
    <t>NinYsV</t>
  </si>
  <si>
    <t>BE/Ninove/Mm/1/2021</t>
  </si>
  <si>
    <t>OQ438287</t>
  </si>
  <si>
    <t>Méliandou lophuromys virus</t>
  </si>
  <si>
    <t>MeLoV</t>
  </si>
  <si>
    <t>GN/Meliandou/Lm/1/2018</t>
  </si>
  <si>
    <t>gerbil paramyxovirus</t>
  </si>
  <si>
    <t>DB04S/SX/2018</t>
  </si>
  <si>
    <t>Ninove microtus virus</t>
  </si>
  <si>
    <t>NiMiV</t>
  </si>
  <si>
    <t>BE/Ninove/Mag/1/2019</t>
  </si>
  <si>
    <t>AK5</t>
  </si>
  <si>
    <t>ninapo virus</t>
  </si>
  <si>
    <t>NinaV</t>
  </si>
  <si>
    <t>BE/Ninove/As/1/2019</t>
  </si>
  <si>
    <t>OQ438284</t>
  </si>
  <si>
    <t>Lóngquán Niviventer niviventer jeilongvirus 1</t>
  </si>
  <si>
    <t>Méliandou mastomys virus</t>
  </si>
  <si>
    <t>MeMV</t>
  </si>
  <si>
    <t>GN/Meliandou/Me/1/2018</t>
  </si>
  <si>
    <t>Ochotona cansus jeilongvirus</t>
  </si>
  <si>
    <t>PMV/SC/C3-23.4/2021</t>
  </si>
  <si>
    <t>OQ236117</t>
  </si>
  <si>
    <t>Wenzhou Rattus norvegicus jeilongvirus 1</t>
  </si>
  <si>
    <t>Paju Apodemus paramyxovirus 1</t>
  </si>
  <si>
    <t>Aa-17-179</t>
  </si>
  <si>
    <t>Méliandou praomys virus</t>
  </si>
  <si>
    <t>MePV</t>
  </si>
  <si>
    <t>GN/Meliandou/Pr/1/2018</t>
  </si>
  <si>
    <t>Wenzhou Rattus losea jeilongvirus 2</t>
  </si>
  <si>
    <t>WZS_HuMao</t>
  </si>
  <si>
    <t>Eothenomys eva jeilongvirus</t>
  </si>
  <si>
    <t>PMV/SC/C3-28.4/2021</t>
  </si>
  <si>
    <t>OQ236153</t>
  </si>
  <si>
    <t>Wufeng Rattus nitidus jeilongvirus 1</t>
  </si>
  <si>
    <t>Wufeng Typhlomys cinereus jeilongvirus 1</t>
  </si>
  <si>
    <t>WFS_ZhuWei</t>
  </si>
  <si>
    <t>denotus virus</t>
  </si>
  <si>
    <t>DenoV</t>
  </si>
  <si>
    <t>BE/Ninove/Ma/1/2019</t>
  </si>
  <si>
    <t>OQ438285</t>
  </si>
  <si>
    <t>Wufeng Apodemus chevrieri jeilongvirus 1</t>
  </si>
  <si>
    <t>WFS_GaoShan</t>
  </si>
  <si>
    <t>Paju Apodemus paramyxovirus 2</t>
  </si>
  <si>
    <t>Aa17-154</t>
  </si>
  <si>
    <t>Myotis bat morbillivirus</t>
  </si>
  <si>
    <t>PREDICT/PDF-3137</t>
  </si>
  <si>
    <t>Phyllostomus bat morbillivirus</t>
  </si>
  <si>
    <t>PREDICT/PBZ-1381</t>
  </si>
  <si>
    <t>porcine morbillivirus</t>
  </si>
  <si>
    <t>PMV/MX/ISU7758/2020</t>
  </si>
  <si>
    <t>meleucus virus</t>
  </si>
  <si>
    <t>meleV</t>
  </si>
  <si>
    <t>GN/Meliandou/Me/2/2018</t>
  </si>
  <si>
    <t>denalis virus</t>
  </si>
  <si>
    <t>DenaV</t>
  </si>
  <si>
    <t>BE/Ninove/Mar/1/2019</t>
  </si>
  <si>
    <t>denestis virus</t>
  </si>
  <si>
    <t>DeneV</t>
  </si>
  <si>
    <t>BE/Ninove/Mag/2/2019</t>
  </si>
  <si>
    <t>Parahenipavirus</t>
  </si>
  <si>
    <t>Wufeng Chodsigoa smithii henipavirus 1</t>
  </si>
  <si>
    <t>WFS_ChangWei</t>
  </si>
  <si>
    <t>Wufeng Crocidura attenuata henipavirus 1</t>
  </si>
  <si>
    <t>WFS_SheQu</t>
  </si>
  <si>
    <t>Daeryong virus</t>
  </si>
  <si>
    <t>Cs17-65</t>
  </si>
  <si>
    <t>Gamak virus</t>
  </si>
  <si>
    <t>Cl17-32</t>
  </si>
  <si>
    <t>Jingmen Crocidura shantungensis henipavirus 1</t>
  </si>
  <si>
    <t>SYS_SheQu</t>
  </si>
  <si>
    <t>Lángyá virus</t>
  </si>
  <si>
    <t>LayV</t>
  </si>
  <si>
    <t>SDQD_H1801</t>
  </si>
  <si>
    <t>melian virus</t>
  </si>
  <si>
    <t>MeliV</t>
  </si>
  <si>
    <t>GN/Meliandou/Cg/1/2018</t>
  </si>
  <si>
    <t>ninorex virus</t>
  </si>
  <si>
    <t>NinExV</t>
  </si>
  <si>
    <t>BE/Ninove/Sm/1/2020</t>
  </si>
  <si>
    <t>OQ438286</t>
  </si>
  <si>
    <t>Wenzhou Apodemus agrarius henipavirus 1</t>
  </si>
  <si>
    <t>denwin virus</t>
  </si>
  <si>
    <t>DewV</t>
  </si>
  <si>
    <t>BE/Ninove/Cr/1/2019</t>
  </si>
  <si>
    <t>Parajeilongvirus</t>
  </si>
  <si>
    <t>Diaemus bat paramyxovirus</t>
  </si>
  <si>
    <t>PREDICT/PBZ-2282</t>
  </si>
  <si>
    <t>Carollia bat paramyxovirus</t>
  </si>
  <si>
    <t>PREDICT-PmV-13/PDF-3308</t>
  </si>
  <si>
    <t>Boe paramyxovirus</t>
  </si>
  <si>
    <t>PREDICT/PBZ-3205</t>
  </si>
  <si>
    <t>Hipposideros bat paramyxovirus</t>
  </si>
  <si>
    <t>PREDICT-PmV-74/PDF-0699</t>
  </si>
  <si>
    <t>Jingmén Miniopterus schreibersii paramyxovirus 1</t>
  </si>
  <si>
    <t>Jingmén Myotis davidii paramyxovirus 1</t>
  </si>
  <si>
    <t>JSB_DaWei</t>
  </si>
  <si>
    <t>Wufeng Myotis altarium paramyxovirus 1</t>
  </si>
  <si>
    <t>WFB_YunShu</t>
  </si>
  <si>
    <t>piparella virus</t>
  </si>
  <si>
    <t>PipaV</t>
  </si>
  <si>
    <t>BE/Aalst/Pp/1/2020</t>
  </si>
  <si>
    <t>OQ438288</t>
  </si>
  <si>
    <t>plecomyxo virus</t>
  </si>
  <si>
    <t>PlecoV</t>
  </si>
  <si>
    <t>BE/Oudenaarde/Pa/1/2020</t>
  </si>
  <si>
    <t>OQ438289</t>
  </si>
  <si>
    <t>Wufeng Rhinolophus pearsonii paramyxovirus 1</t>
  </si>
  <si>
    <t>Wenzhou Myotis davidii paramyxovirus 1</t>
  </si>
  <si>
    <t>YJB_DaWei</t>
  </si>
  <si>
    <t>Wenzhou Myotis laniger paramyxovirus 2</t>
  </si>
  <si>
    <t>Paramorbillivirus</t>
  </si>
  <si>
    <t>Lóngquán Berylmys bowersi morbillivirus 1</t>
  </si>
  <si>
    <t>Gierle apodemus virus</t>
  </si>
  <si>
    <t>GapV</t>
  </si>
  <si>
    <t>BE/Gierle/As/1/2013</t>
  </si>
  <si>
    <t>Wufeng Niviventer fulvescens morbillivirus 1</t>
  </si>
  <si>
    <t>Raton olivaceo morbillivirus</t>
  </si>
  <si>
    <t>PPA444</t>
  </si>
  <si>
    <t>Tupaivirus</t>
  </si>
  <si>
    <t>Wufeng Rhinolophus sinicus rubulavirus 1</t>
  </si>
  <si>
    <t>Achimota pararubulavirus 3</t>
  </si>
  <si>
    <t>U72</t>
  </si>
  <si>
    <t>Skoliovirinae</t>
  </si>
  <si>
    <t>Shanxi arboretum virus</t>
  </si>
  <si>
    <t>SxABTV</t>
  </si>
  <si>
    <t>1916-1</t>
  </si>
  <si>
    <t>MW890015</t>
  </si>
  <si>
    <t>HbanRV</t>
  </si>
  <si>
    <t>K23</t>
  </si>
  <si>
    <t>Huanggang rhabd tick virus 1</t>
  </si>
  <si>
    <t>HgRTV1</t>
  </si>
  <si>
    <t>TIGMIC22</t>
  </si>
  <si>
    <t>Huangpi tick virus 3</t>
  </si>
  <si>
    <t>HpTV3</t>
  </si>
  <si>
    <t>H124-2</t>
  </si>
  <si>
    <t>Yanbian rhabd tick virus 1</t>
  </si>
  <si>
    <t>YbRTV1</t>
  </si>
  <si>
    <t>TIGMIC4</t>
  </si>
  <si>
    <t>Nanning rhabd tick virus 1</t>
  </si>
  <si>
    <t>NnRTV1</t>
  </si>
  <si>
    <t>TIGMIC1</t>
  </si>
  <si>
    <t>Guyuan rhabd tick virus 1</t>
  </si>
  <si>
    <t>GyRTV1</t>
  </si>
  <si>
    <t>TIGMIC3</t>
  </si>
  <si>
    <t>Yushu rhabd tick virus 2</t>
  </si>
  <si>
    <t>YsRTV2</t>
  </si>
  <si>
    <t>Dermacentor reticulatus rhabdovirus 1</t>
  </si>
  <si>
    <t>DretRV1</t>
  </si>
  <si>
    <t>CT3</t>
  </si>
  <si>
    <t>Norway mononegavirus 1</t>
  </si>
  <si>
    <t>NWMV1</t>
  </si>
  <si>
    <t>NOR/H3/Skanevik/2014</t>
  </si>
  <si>
    <t>Tahe rhabdovirus 1</t>
  </si>
  <si>
    <t>ThRV1</t>
  </si>
  <si>
    <t>NE-TH2</t>
  </si>
  <si>
    <t>Taishun tick virus</t>
  </si>
  <si>
    <t>TsTV</t>
  </si>
  <si>
    <t>BL198</t>
  </si>
  <si>
    <t>Zhangjiakou rhabd tick virus 1</t>
  </si>
  <si>
    <t>ZjRTV1</t>
  </si>
  <si>
    <t>TIGMIC7</t>
  </si>
  <si>
    <t>Boana pugnax lyssa-like virus 1</t>
  </si>
  <si>
    <t>BpugLLV1</t>
  </si>
  <si>
    <t>Antioquia</t>
  </si>
  <si>
    <t>Huanggang rhabd tick virus 2</t>
  </si>
  <si>
    <t>HgRTV2</t>
  </si>
  <si>
    <t>ON746527</t>
  </si>
  <si>
    <t>TrRTV2</t>
  </si>
  <si>
    <t>ON746534</t>
  </si>
  <si>
    <t>Alxa tick rhabdovirus</t>
  </si>
  <si>
    <t>ATRV</t>
  </si>
  <si>
    <t>ZQ16-17</t>
  </si>
  <si>
    <t>OP313011</t>
  </si>
  <si>
    <t>Kotalahti bat lyssavirus</t>
  </si>
  <si>
    <t>KBLV</t>
  </si>
  <si>
    <t>Formosus virus</t>
  </si>
  <si>
    <t>FORMV</t>
  </si>
  <si>
    <t>U30</t>
  </si>
  <si>
    <t>Hattula rhabdovirus</t>
  </si>
  <si>
    <t>HTTRV</t>
  </si>
  <si>
    <t>FIN/PK-2018/62</t>
  </si>
  <si>
    <t>Inari rhabdovirus</t>
  </si>
  <si>
    <t>INARV</t>
  </si>
  <si>
    <t>FIN/L-2018-84</t>
  </si>
  <si>
    <t>Adumi virus</t>
  </si>
  <si>
    <t>ADUMV</t>
  </si>
  <si>
    <t>Ug2012-CVR1</t>
  </si>
  <si>
    <t>Jopcycgri virus 1</t>
  </si>
  <si>
    <t>JPCGV1</t>
  </si>
  <si>
    <t>NCg19</t>
  </si>
  <si>
    <t>ON324119</t>
  </si>
  <si>
    <t>Bactrocera tyroni rhabdovirus 1</t>
  </si>
  <si>
    <t>BtyrRV1</t>
  </si>
  <si>
    <t>d</t>
  </si>
  <si>
    <t>MW208811</t>
  </si>
  <si>
    <t>tupavirus SB8301</t>
  </si>
  <si>
    <t>TUPVSB</t>
  </si>
  <si>
    <t>OL774829</t>
  </si>
  <si>
    <t>bat tupavirus BS1</t>
  </si>
  <si>
    <t>BtTVBS1</t>
  </si>
  <si>
    <t>RsBS01</t>
  </si>
  <si>
    <t>OQ709183</t>
  </si>
  <si>
    <t>bat tupavirus BS2</t>
  </si>
  <si>
    <t>BtTVBS2</t>
  </si>
  <si>
    <t>AsBS02</t>
  </si>
  <si>
    <t>OQ709184</t>
  </si>
  <si>
    <t>Uniorhavirus</t>
  </si>
  <si>
    <t>killamcar virus 1</t>
  </si>
  <si>
    <t>KILLV-1</t>
  </si>
  <si>
    <t>PP32</t>
  </si>
  <si>
    <t>OQ368743</t>
  </si>
  <si>
    <t>Alphagymnorhavirus</t>
  </si>
  <si>
    <t>Abies virus 1</t>
  </si>
  <si>
    <t>AbiV1</t>
  </si>
  <si>
    <t>Ab</t>
  </si>
  <si>
    <t>BK061731</t>
  </si>
  <si>
    <t>Amentotaxus virus 1</t>
  </si>
  <si>
    <t>AmeV1</t>
  </si>
  <si>
    <t>Am</t>
  </si>
  <si>
    <t>BK061736</t>
  </si>
  <si>
    <t>Cupressus virus 1</t>
  </si>
  <si>
    <t>CupV1</t>
  </si>
  <si>
    <t>Cu</t>
  </si>
  <si>
    <t>BK061763</t>
  </si>
  <si>
    <t>Picea virus 1</t>
  </si>
  <si>
    <t>PicV1</t>
  </si>
  <si>
    <t>Pi</t>
  </si>
  <si>
    <t>BK061792</t>
  </si>
  <si>
    <t>Pinus banksiana virus 1</t>
  </si>
  <si>
    <t>PiBanV1</t>
  </si>
  <si>
    <t>PB</t>
  </si>
  <si>
    <t>BK061793</t>
  </si>
  <si>
    <t>Pinis yunannensis virus 1</t>
  </si>
  <si>
    <t>PiYunV1</t>
  </si>
  <si>
    <t>PY</t>
  </si>
  <si>
    <t>BK061794</t>
  </si>
  <si>
    <t>Sciadopitys virus 1</t>
  </si>
  <si>
    <t>SciV1</t>
  </si>
  <si>
    <t>BK061804</t>
  </si>
  <si>
    <t>Taxus virus 1</t>
  </si>
  <si>
    <t>TaxV1</t>
  </si>
  <si>
    <t>Ta</t>
  </si>
  <si>
    <t>BK061817</t>
  </si>
  <si>
    <t>tomato alphanucleorhabdovirus 1</t>
  </si>
  <si>
    <t>TARV1</t>
  </si>
  <si>
    <t>BER20ST1</t>
  </si>
  <si>
    <t>OL472126</t>
  </si>
  <si>
    <t>Xinjiang alphanucleorhabdovirus</t>
  </si>
  <si>
    <t>XARV</t>
  </si>
  <si>
    <t>193-k141</t>
  </si>
  <si>
    <t>MW897039</t>
  </si>
  <si>
    <t>Betagymnorhavirus</t>
  </si>
  <si>
    <t>Torreya virus 1</t>
  </si>
  <si>
    <t>TorV1</t>
  </si>
  <si>
    <t>To</t>
  </si>
  <si>
    <t>BK061818</t>
  </si>
  <si>
    <t>tomato betanucleorhabdovirus 1</t>
  </si>
  <si>
    <t>TBRV1</t>
  </si>
  <si>
    <t>BER19ST2</t>
  </si>
  <si>
    <t>OL472119</t>
  </si>
  <si>
    <t>tomato betanucleorhabdovirus 2</t>
  </si>
  <si>
    <t>TBRV2</t>
  </si>
  <si>
    <t>SKO20ST1</t>
  </si>
  <si>
    <t>OL472114</t>
  </si>
  <si>
    <t>Picris betanucleorhabdvirus 1</t>
  </si>
  <si>
    <t>PBRV1</t>
  </si>
  <si>
    <t>SKO20SW</t>
  </si>
  <si>
    <t>OL472117</t>
  </si>
  <si>
    <t>Taraxacum betanucleorhabdvirus 1</t>
  </si>
  <si>
    <t>TarBRV1</t>
  </si>
  <si>
    <t>PLE20SW</t>
  </si>
  <si>
    <t>OL472118</t>
  </si>
  <si>
    <t>strawberry virus 2</t>
  </si>
  <si>
    <t>StrV2</t>
  </si>
  <si>
    <t>CFRA9094</t>
  </si>
  <si>
    <t>MW480851</t>
  </si>
  <si>
    <t>rose-associated cytorhabdovirus</t>
  </si>
  <si>
    <t>SWU-X</t>
  </si>
  <si>
    <t>ON762421</t>
  </si>
  <si>
    <t>Daphne virus 1</t>
  </si>
  <si>
    <t>DV1</t>
  </si>
  <si>
    <t>OP180101</t>
  </si>
  <si>
    <t>soybean blotchy mosaic virus</t>
  </si>
  <si>
    <t>21-0287</t>
  </si>
  <si>
    <t>OM681518</t>
  </si>
  <si>
    <t>Hyptis latent virus</t>
  </si>
  <si>
    <t>Prosperina</t>
  </si>
  <si>
    <t>ON073823</t>
  </si>
  <si>
    <t>Pastinaca cytorhabdovirus 1</t>
  </si>
  <si>
    <t>PaCRV1</t>
  </si>
  <si>
    <t>POR19SW</t>
  </si>
  <si>
    <t>OL472112</t>
  </si>
  <si>
    <t>Patchouly chlorosis-associated cytorhabdovirus</t>
  </si>
  <si>
    <t>PCaCV</t>
  </si>
  <si>
    <t>ON409991</t>
  </si>
  <si>
    <t>blackcurrant rhabdovirus 2</t>
  </si>
  <si>
    <t>BCRV2</t>
  </si>
  <si>
    <t>KB1</t>
  </si>
  <si>
    <t>OP352885</t>
  </si>
  <si>
    <t>Rudbeckia virus 1</t>
  </si>
  <si>
    <t>RudV1</t>
  </si>
  <si>
    <t>PQ</t>
  </si>
  <si>
    <t>ON185810</t>
  </si>
  <si>
    <t>Sambucus virus 1</t>
  </si>
  <si>
    <t>OM523356</t>
  </si>
  <si>
    <t>Taraxacum cytorhabdovirus 1</t>
  </si>
  <si>
    <t>TCRV1</t>
  </si>
  <si>
    <t>Ple20SW</t>
  </si>
  <si>
    <t>OL472125</t>
  </si>
  <si>
    <t>Tilia cytorhabdovirus 1</t>
  </si>
  <si>
    <t>TiCRV1</t>
  </si>
  <si>
    <t>E54634</t>
  </si>
  <si>
    <t>OX411436</t>
  </si>
  <si>
    <t>Deltanucleorhabdovirus</t>
  </si>
  <si>
    <t>Strawberry virus 3</t>
  </si>
  <si>
    <t>StrV3</t>
  </si>
  <si>
    <t>Fragaria 7</t>
  </si>
  <si>
    <t>MW503935</t>
  </si>
  <si>
    <t>Medicago sativa virus 1</t>
  </si>
  <si>
    <t>MSV1</t>
  </si>
  <si>
    <t>ZM1-NX2</t>
  </si>
  <si>
    <t>ON246246</t>
  </si>
  <si>
    <t>citrus bright spot virus</t>
  </si>
  <si>
    <t>CiBSV</t>
  </si>
  <si>
    <t>PFd01</t>
  </si>
  <si>
    <t>MZ773933; MZ773938</t>
  </si>
  <si>
    <t>cereal chlorotic mottle virus</t>
  </si>
  <si>
    <t>CCMoV</t>
  </si>
  <si>
    <t>MW731536</t>
  </si>
  <si>
    <t>Aconitum virus 1</t>
  </si>
  <si>
    <t>AcoV1</t>
  </si>
  <si>
    <t>AcVV</t>
  </si>
  <si>
    <t>BK061734; BK061735</t>
  </si>
  <si>
    <t>Apera virus 1</t>
  </si>
  <si>
    <t>ApeV1</t>
  </si>
  <si>
    <t>ApVV</t>
  </si>
  <si>
    <t>BK061737; BK061738</t>
  </si>
  <si>
    <t>Aponogeton virus 1</t>
  </si>
  <si>
    <t>ApoV1</t>
  </si>
  <si>
    <t>ApoVV</t>
  </si>
  <si>
    <t>BK061739; BK061740</t>
  </si>
  <si>
    <t>Arceuthobium virus 8</t>
  </si>
  <si>
    <t>ArcV8</t>
  </si>
  <si>
    <t>ArcVV</t>
  </si>
  <si>
    <t>BK061732; BK061733</t>
  </si>
  <si>
    <t>Artemisia virus 1</t>
  </si>
  <si>
    <t>ArtV1</t>
  </si>
  <si>
    <t>ArtVV</t>
  </si>
  <si>
    <t>BK061741; BK061742</t>
  </si>
  <si>
    <t>Asclepias syriaca virus 3</t>
  </si>
  <si>
    <t>AscSyV3</t>
  </si>
  <si>
    <t>AscVV</t>
  </si>
  <si>
    <t>BK061743; BK061744</t>
  </si>
  <si>
    <t>Brassica virus 2</t>
  </si>
  <si>
    <t>BrV2</t>
  </si>
  <si>
    <t>BrV2_Inc</t>
  </si>
  <si>
    <t>BK061747; BK061748</t>
  </si>
  <si>
    <t>Caladenia virus 1</t>
  </si>
  <si>
    <t>CalV1</t>
  </si>
  <si>
    <t>CalVV</t>
  </si>
  <si>
    <t>BK061755; BK061756</t>
  </si>
  <si>
    <t>Centaurea virus 1</t>
  </si>
  <si>
    <t>CenV1</t>
  </si>
  <si>
    <t>CenVV</t>
  </si>
  <si>
    <t>BK061757; BK061758</t>
  </si>
  <si>
    <t>Cucumis virus 1</t>
  </si>
  <si>
    <t>CucV1</t>
  </si>
  <si>
    <t>CucVV</t>
  </si>
  <si>
    <t>BK061761; BK061762</t>
  </si>
  <si>
    <t>Didymochlaena virus 1</t>
  </si>
  <si>
    <t>DidV1</t>
  </si>
  <si>
    <t>DidVV</t>
  </si>
  <si>
    <t>BK061764; BK061765</t>
  </si>
  <si>
    <t>Erysimum virus 1</t>
  </si>
  <si>
    <t>EryV1</t>
  </si>
  <si>
    <t>EryVV</t>
  </si>
  <si>
    <t>BK061766; BK061767</t>
  </si>
  <si>
    <t>Frullania virus 1</t>
  </si>
  <si>
    <t>FruV1</t>
  </si>
  <si>
    <t>FruVV</t>
  </si>
  <si>
    <t>BK061768; BK061769</t>
  </si>
  <si>
    <t>Guizotia virus 1</t>
  </si>
  <si>
    <t>GuiV1</t>
  </si>
  <si>
    <t>GuiVV</t>
  </si>
  <si>
    <t>BK061770; BK061771</t>
  </si>
  <si>
    <t>Holcus virus 1</t>
  </si>
  <si>
    <t>HolV1</t>
  </si>
  <si>
    <t>HolVV</t>
  </si>
  <si>
    <t>BK061772; BK061773</t>
  </si>
  <si>
    <t>Leucanthemum virus 1</t>
  </si>
  <si>
    <t>LeuV1</t>
  </si>
  <si>
    <t>LeuVV</t>
  </si>
  <si>
    <t>BK061774; BK061775</t>
  </si>
  <si>
    <t>Luffa virus 1</t>
  </si>
  <si>
    <t>LufV1</t>
  </si>
  <si>
    <t>LufVV</t>
  </si>
  <si>
    <t>BK061780; BK061781</t>
  </si>
  <si>
    <t>Melilotus virus 1</t>
  </si>
  <si>
    <t>MelV1</t>
  </si>
  <si>
    <t>MelV1_Alb</t>
  </si>
  <si>
    <t>BK061784; BK061785</t>
  </si>
  <si>
    <t>Monoclea gottschei varicosa-like virus</t>
  </si>
  <si>
    <t>MgVV</t>
  </si>
  <si>
    <t>MonVV</t>
  </si>
  <si>
    <t>OX380363; OX380364</t>
  </si>
  <si>
    <t>Pennisetum virus 1</t>
  </si>
  <si>
    <t>PenV1</t>
  </si>
  <si>
    <t>PenVV</t>
  </si>
  <si>
    <t>BK061790; BK061791</t>
  </si>
  <si>
    <t>Primula virus 1</t>
  </si>
  <si>
    <t>PriV1</t>
  </si>
  <si>
    <t>PriVV</t>
  </si>
  <si>
    <t>BK061795; BK061796</t>
  </si>
  <si>
    <t>Ranunculus virus 1</t>
  </si>
  <si>
    <t>RanV1</t>
  </si>
  <si>
    <t>RanVV</t>
  </si>
  <si>
    <t>BK061797; BK061798</t>
  </si>
  <si>
    <t>Raphanus virus 1</t>
  </si>
  <si>
    <t>RapV1</t>
  </si>
  <si>
    <t>RapVV</t>
  </si>
  <si>
    <t>BK061799; BK061800</t>
  </si>
  <si>
    <t>Ribes virus 1</t>
  </si>
  <si>
    <t>RibV1</t>
  </si>
  <si>
    <t>RibVV</t>
  </si>
  <si>
    <t>BK061801; BK061802</t>
  </si>
  <si>
    <t>Silene virus 1</t>
  </si>
  <si>
    <t>SilV1</t>
  </si>
  <si>
    <t>SilVV</t>
  </si>
  <si>
    <t>BK061807; BK061808</t>
  </si>
  <si>
    <t>Streptoglossa virus 1</t>
  </si>
  <si>
    <t>StrVV</t>
  </si>
  <si>
    <t>BK061813; BK061814</t>
  </si>
  <si>
    <t>Tanacetum virus 1</t>
  </si>
  <si>
    <t>TanV1</t>
  </si>
  <si>
    <t>TanVV</t>
  </si>
  <si>
    <t>BK061815; BK061816</t>
  </si>
  <si>
    <t>tree fern varicosa-like virus</t>
  </si>
  <si>
    <t>TfVV</t>
  </si>
  <si>
    <t>ThrVV</t>
  </si>
  <si>
    <t>OW528630; OW528632</t>
  </si>
  <si>
    <t>Treubia virus 1</t>
  </si>
  <si>
    <t>TreV1</t>
  </si>
  <si>
    <t>TreVV</t>
  </si>
  <si>
    <t>BK061819; BK061820</t>
  </si>
  <si>
    <t>Triticum virus 1</t>
  </si>
  <si>
    <t>TriV1</t>
  </si>
  <si>
    <t>TriVV</t>
  </si>
  <si>
    <t>BK061821; BK061822</t>
  </si>
  <si>
    <t>Vicetoxicum virus 1</t>
  </si>
  <si>
    <t>VinV1</t>
  </si>
  <si>
    <t>VinVV</t>
  </si>
  <si>
    <t>BK061823; BK061824</t>
  </si>
  <si>
    <t>Zea virus 1</t>
  </si>
  <si>
    <t>ZeaV1</t>
  </si>
  <si>
    <t>ZeaVV</t>
  </si>
  <si>
    <t>BK061825; BK061826</t>
  </si>
  <si>
    <t>Deltarhabdovirinae</t>
  </si>
  <si>
    <t>Lariophagus distinguendus negative strand RNA virus 1</t>
  </si>
  <si>
    <t>LdNSRV1</t>
  </si>
  <si>
    <t>MW864604</t>
  </si>
  <si>
    <t>Xiangshan rhabdo-like virus 3</t>
  </si>
  <si>
    <t>XsRLV3</t>
  </si>
  <si>
    <t>Novel_25</t>
  </si>
  <si>
    <t>OK491501</t>
  </si>
  <si>
    <t>Xiangshan rhabdo-like virus 4</t>
  </si>
  <si>
    <t>XsRLV4</t>
  </si>
  <si>
    <t>Novel_26</t>
  </si>
  <si>
    <t>OK491502</t>
  </si>
  <si>
    <t>Mudanjiang rhabd tick virus 1</t>
  </si>
  <si>
    <t>MjRTV1</t>
  </si>
  <si>
    <t>ON746525</t>
  </si>
  <si>
    <t>Tongren rhabd tick virus 1</t>
  </si>
  <si>
    <t>TrRTV1</t>
  </si>
  <si>
    <t>ON746523</t>
  </si>
  <si>
    <t>Yanbian rhabd tick virus 3</t>
  </si>
  <si>
    <t>YbRTV3</t>
  </si>
  <si>
    <t>ON746524</t>
  </si>
  <si>
    <t>Gammahymrhavirus</t>
  </si>
  <si>
    <t>Apis rhabdovirus 5</t>
  </si>
  <si>
    <t>ApRV5</t>
  </si>
  <si>
    <t>24-Am025-HLJ2017</t>
  </si>
  <si>
    <t>MZ822106</t>
  </si>
  <si>
    <t>Diachasminorpha longicaudata rhabdovirus</t>
  </si>
  <si>
    <t>DlonRV</t>
  </si>
  <si>
    <t>UGA</t>
  </si>
  <si>
    <t>KP735609</t>
  </si>
  <si>
    <t>Apis rhabdovirus 4</t>
  </si>
  <si>
    <t>ApRV4</t>
  </si>
  <si>
    <t>23-Acc030-ZJ2019</t>
  </si>
  <si>
    <t>MZ822105</t>
  </si>
  <si>
    <t>Gammaricinrhavirus</t>
  </si>
  <si>
    <t>Fuyun tick rhabdovirus</t>
  </si>
  <si>
    <t>FyTRV</t>
  </si>
  <si>
    <t>FY-19-20</t>
  </si>
  <si>
    <t>OP313012</t>
  </si>
  <si>
    <t>Tacheng tick virus 7</t>
  </si>
  <si>
    <t>TcTV7</t>
  </si>
  <si>
    <t>TCRP-3</t>
  </si>
  <si>
    <t>KM817642</t>
  </si>
  <si>
    <t>Primrhavirus</t>
  </si>
  <si>
    <t>Atrato rhabdo-like virus 3</t>
  </si>
  <si>
    <t>AtRLV3</t>
  </si>
  <si>
    <t>Cx 1773-3</t>
  </si>
  <si>
    <t>MN661034</t>
  </si>
  <si>
    <t>San Gabriel mononegavirus</t>
  </si>
  <si>
    <t>SGMNV</t>
  </si>
  <si>
    <t>San Gabriel Valley</t>
  </si>
  <si>
    <t>BK059423</t>
  </si>
  <si>
    <t>Primus virus</t>
  </si>
  <si>
    <t>PRIMV</t>
  </si>
  <si>
    <t>Ferlo</t>
  </si>
  <si>
    <t>MN567480</t>
  </si>
  <si>
    <t>Stangrhavirus</t>
  </si>
  <si>
    <t>Elisy virus</t>
  </si>
  <si>
    <t>ELSYV</t>
  </si>
  <si>
    <t>CMS001_039_ALCO</t>
  </si>
  <si>
    <t>MW434768</t>
  </si>
  <si>
    <t>Guadeloupe Culex rhabdovirus</t>
  </si>
  <si>
    <t>GCRV</t>
  </si>
  <si>
    <t>2017-PB-CQM-1-3</t>
  </si>
  <si>
    <t>MN013386</t>
  </si>
  <si>
    <t>Stang virus</t>
  </si>
  <si>
    <t>STNGV</t>
  </si>
  <si>
    <t>CMS002_053a_PLCR</t>
  </si>
  <si>
    <t>MW434775</t>
  </si>
  <si>
    <t>Wuhan mosquito virus 9</t>
  </si>
  <si>
    <t>WhMV9</t>
  </si>
  <si>
    <t>XY91455</t>
  </si>
  <si>
    <t>OL700091</t>
  </si>
  <si>
    <t>Margarhavirus</t>
  </si>
  <si>
    <t>chemarfal virus 1</t>
  </si>
  <si>
    <t>CHMFV-1</t>
  </si>
  <si>
    <t>CWS06</t>
  </si>
  <si>
    <t>OQ368744</t>
  </si>
  <si>
    <t>Platrhavirus</t>
  </si>
  <si>
    <t>Microrhabdovirus 1</t>
  </si>
  <si>
    <t>MicRV1</t>
  </si>
  <si>
    <t>MSp2</t>
  </si>
  <si>
    <t>BK059723</t>
  </si>
  <si>
    <t>Tritaenorhabdovirus 1</t>
  </si>
  <si>
    <t>TriRV1</t>
  </si>
  <si>
    <t>BK059681</t>
  </si>
  <si>
    <t>Metorhabdovirus 2</t>
  </si>
  <si>
    <t>MetRV2</t>
  </si>
  <si>
    <t>MO1</t>
  </si>
  <si>
    <t>BK059676</t>
  </si>
  <si>
    <t>Sphaeridiorhabdovirus 1</t>
  </si>
  <si>
    <t>SphRV1</t>
  </si>
  <si>
    <t>BK059662</t>
  </si>
  <si>
    <t>Schistorhabdovirus 1</t>
  </si>
  <si>
    <t>SchRV1</t>
  </si>
  <si>
    <t>ST1</t>
  </si>
  <si>
    <t>BK059758</t>
  </si>
  <si>
    <t>fox fecal rhabdovirus</t>
  </si>
  <si>
    <t>FFRV</t>
  </si>
  <si>
    <t>S40</t>
  </si>
  <si>
    <t>KF823814</t>
  </si>
  <si>
    <t>Corulvirus</t>
  </si>
  <si>
    <t>Hangzhou zicrona caerulea xinmovirus 1</t>
  </si>
  <si>
    <t>HaZCV-1</t>
  </si>
  <si>
    <t>LCFY122</t>
  </si>
  <si>
    <t>MZ209710</t>
  </si>
  <si>
    <t>Culivirus</t>
  </si>
  <si>
    <t>Serbia mononega-like virus 1</t>
  </si>
  <si>
    <t>SerMV-1</t>
  </si>
  <si>
    <t>MT822181</t>
  </si>
  <si>
    <t>Aedes albopictus anphevirus</t>
  </si>
  <si>
    <t>AeAlV</t>
  </si>
  <si>
    <t>MW147277</t>
  </si>
  <si>
    <t>Gordisvirus</t>
  </si>
  <si>
    <t>Gordis virus</t>
  </si>
  <si>
    <t>GorV</t>
  </si>
  <si>
    <t>CMS002 020e SAND</t>
  </si>
  <si>
    <t>MW435019</t>
  </si>
  <si>
    <t>Gudgevirus</t>
  </si>
  <si>
    <t>Gudgenby calliphora mononega-like virus</t>
  </si>
  <si>
    <t>GuCalMV</t>
  </si>
  <si>
    <t>GudgCaA DN63315-6</t>
  </si>
  <si>
    <t>MT129693</t>
  </si>
  <si>
    <t>Laumovirus</t>
  </si>
  <si>
    <t>Fushun monolepta lauta xinmovirus 2</t>
  </si>
  <si>
    <t>FuMLV-2</t>
  </si>
  <si>
    <t>SBYYJFS75</t>
  </si>
  <si>
    <t>MZ210031</t>
  </si>
  <si>
    <t>Molauvirus</t>
  </si>
  <si>
    <t>Fushun monolepta lauta xinmovirus 1</t>
  </si>
  <si>
    <t>FuMLV-1</t>
  </si>
  <si>
    <t>SBYYJFS76</t>
  </si>
  <si>
    <t>MZ210030</t>
  </si>
  <si>
    <t>Nurnegvirus</t>
  </si>
  <si>
    <t>Sanya ischnura senegalensis xinmovirus 1</t>
  </si>
  <si>
    <t>SISeV-1</t>
  </si>
  <si>
    <t>QWXCSY124</t>
  </si>
  <si>
    <t>MZ209914</t>
  </si>
  <si>
    <t>Puclevirus</t>
  </si>
  <si>
    <t>Hangzhou cletus punctiger xinmovirus 1</t>
  </si>
  <si>
    <t>HaCPV-1</t>
  </si>
  <si>
    <t>DJCFY230</t>
  </si>
  <si>
    <t>MZ209673</t>
  </si>
  <si>
    <t>Tecephavirus</t>
  </si>
  <si>
    <t>Bat faecal associated anphe-like virus 1</t>
  </si>
  <si>
    <t>BtFAV-1</t>
  </si>
  <si>
    <t>CP05/aus/1</t>
  </si>
  <si>
    <t>ON872562</t>
  </si>
  <si>
    <t>Trocevirus</t>
  </si>
  <si>
    <t>Bactrocera dorsalis xinmovirus 2</t>
  </si>
  <si>
    <t>BDorV</t>
  </si>
  <si>
    <t>HG994135</t>
  </si>
  <si>
    <t>Shāhé yuevirus-like virus 1</t>
  </si>
  <si>
    <t>Bunyaviricetes</t>
  </si>
  <si>
    <t>Elliovirales</t>
  </si>
  <si>
    <t>Callinectes danae portunibunyavirus 1</t>
  </si>
  <si>
    <t>CdPBV-1</t>
  </si>
  <si>
    <t>BR37</t>
  </si>
  <si>
    <t>Ailanthus crinkle leaf-associated virus</t>
  </si>
  <si>
    <t>ACrLaV</t>
  </si>
  <si>
    <t>Artemisia fimovirus 1</t>
  </si>
  <si>
    <t>MIR20SW</t>
  </si>
  <si>
    <t>RNA1: OU466880; RNA2: OU466881; RNA3: OU466882; RNA4: OU466883; RNA5: OU466884</t>
  </si>
  <si>
    <t>Pueraria lobata-associated emaravirus</t>
  </si>
  <si>
    <t>PloaEV</t>
  </si>
  <si>
    <t>Percilovirus</t>
  </si>
  <si>
    <t>Luposicya lupus actinovirus</t>
  </si>
  <si>
    <t>LlAV</t>
  </si>
  <si>
    <t>F26</t>
  </si>
  <si>
    <t>Ðakrông virus</t>
  </si>
  <si>
    <t>DKGV</t>
  </si>
  <si>
    <t>VN2913B72</t>
  </si>
  <si>
    <t>BT33</t>
  </si>
  <si>
    <t>BE/Vieux-Genappe/TE/2013/2</t>
  </si>
  <si>
    <t>Yunnan-Hp-125/China/2022</t>
  </si>
  <si>
    <t>LECV; LECHV</t>
  </si>
  <si>
    <t>Artybash virus</t>
  </si>
  <si>
    <t>ARTV</t>
  </si>
  <si>
    <t>Galkino-St2714/Russia/2007</t>
  </si>
  <si>
    <t>L: KT983773; M: KT983772; S: KT983771</t>
  </si>
  <si>
    <t>131232hk</t>
  </si>
  <si>
    <t>WZS_She</t>
  </si>
  <si>
    <t>L: OM030305; M: OM030306; S: OM030307</t>
  </si>
  <si>
    <t>Aa17-285</t>
  </si>
  <si>
    <t>JJUV</t>
  </si>
  <si>
    <t>14-48</t>
  </si>
  <si>
    <t>Fuyuan-Mm-250</t>
  </si>
  <si>
    <t>Lanka virus</t>
  </si>
  <si>
    <t>Lanka/2018/PR98</t>
  </si>
  <si>
    <t>MTNV</t>
  </si>
  <si>
    <t>Sotkamo</t>
  </si>
  <si>
    <t>GAN22/2021</t>
  </si>
  <si>
    <t>Sin Nombre virus</t>
  </si>
  <si>
    <t>NM H10</t>
  </si>
  <si>
    <t>MDG3887MG9</t>
  </si>
  <si>
    <t>Wùfeng Chodsigoa smithii orthohantavirus 1</t>
  </si>
  <si>
    <t>WfCsOHV1</t>
  </si>
  <si>
    <t>Cl 05-11</t>
  </si>
  <si>
    <t>Wencheng-Sm-305</t>
  </si>
  <si>
    <t>Konkoviridae</t>
  </si>
  <si>
    <t>Olpivirus</t>
  </si>
  <si>
    <t>tulip streak virus</t>
  </si>
  <si>
    <t>TuSV</t>
  </si>
  <si>
    <t>Gryffinivirus</t>
  </si>
  <si>
    <t>Udune virus</t>
  </si>
  <si>
    <t>UDNV</t>
  </si>
  <si>
    <t>CMS001_040_ALCO</t>
  </si>
  <si>
    <t>L: MW434620; M: MW434618; S: MW434619</t>
  </si>
  <si>
    <t>Hedwig virus</t>
  </si>
  <si>
    <t>ED-I-079-18</t>
  </si>
  <si>
    <t>L: OV054445; M: OV054446; S: OV054447</t>
  </si>
  <si>
    <t>Barrita virus</t>
  </si>
  <si>
    <t>MP1078</t>
  </si>
  <si>
    <t>L: OP263038; M: OP263037; S: OP263036</t>
  </si>
  <si>
    <t>Belmont virus</t>
  </si>
  <si>
    <t>AusR 8659</t>
  </si>
  <si>
    <t>L: OR077279; M: OR077280; S: OR077281</t>
  </si>
  <si>
    <t>L: MW685514; M: MW685515; S: MW685516</t>
  </si>
  <si>
    <t>Parker's Farm virus</t>
  </si>
  <si>
    <t>AusCH 19520</t>
  </si>
  <si>
    <t>L: OR077285; M: OR077286; S: OR077287</t>
  </si>
  <si>
    <t>Little Sussex virus</t>
  </si>
  <si>
    <t>LTLSV</t>
  </si>
  <si>
    <t>AusCH 19546</t>
  </si>
  <si>
    <t>L: OR077282; M: OR077283; S: OR077284</t>
  </si>
  <si>
    <t>Yacaaba virus</t>
  </si>
  <si>
    <t>YACV</t>
  </si>
  <si>
    <t>NB6028</t>
  </si>
  <si>
    <t>L: OR077288; M: OR077289; S: OR077290</t>
  </si>
  <si>
    <t>HFSFS190; HFSFS235; HFSFS234</t>
  </si>
  <si>
    <t>BBFSFS228; BBFSFS284; BBFSFS172</t>
  </si>
  <si>
    <t>Paratulasvirus</t>
  </si>
  <si>
    <t>Agrocybe praecox tulasvirus 1</t>
  </si>
  <si>
    <t>ApTV1</t>
  </si>
  <si>
    <t>MV011</t>
  </si>
  <si>
    <t>LC746218</t>
  </si>
  <si>
    <t>Hareavirales</t>
  </si>
  <si>
    <t>L: MW091472; S: MW091473</t>
  </si>
  <si>
    <t>Abà-Miányáng virus</t>
  </si>
  <si>
    <t>AMYV</t>
  </si>
  <si>
    <t>SC/C3-30.18/2021</t>
  </si>
  <si>
    <t>Batáng virus</t>
  </si>
  <si>
    <t>BTTV</t>
  </si>
  <si>
    <t>O.Curzoniae/YS216_2015/F</t>
  </si>
  <si>
    <t>Berega virus</t>
  </si>
  <si>
    <t>BEGV</t>
  </si>
  <si>
    <t>TZ33709</t>
  </si>
  <si>
    <t>L: OP775660; S: OP775661</t>
  </si>
  <si>
    <t>L: MZ065536; S: MZ065537</t>
  </si>
  <si>
    <t>L: MT078839; S: MT078838</t>
  </si>
  <si>
    <t>Ganzi virus</t>
  </si>
  <si>
    <t>GNZV</t>
  </si>
  <si>
    <t>SC/C3-32.18/2021</t>
  </si>
  <si>
    <t>L: MZ065540; S: MZ065541</t>
  </si>
  <si>
    <t>Mafiga virus</t>
  </si>
  <si>
    <t>MAFV</t>
  </si>
  <si>
    <t>TZ29841</t>
  </si>
  <si>
    <t>Mecsek Mountains virus</t>
  </si>
  <si>
    <t>MEMV/MR1/2015/HUN</t>
  </si>
  <si>
    <t>Ngerengere virus</t>
  </si>
  <si>
    <t>NGEV</t>
  </si>
  <si>
    <t>TZ23131</t>
  </si>
  <si>
    <t>Songea virus</t>
  </si>
  <si>
    <t>SOGV</t>
  </si>
  <si>
    <t>TZ31109</t>
  </si>
  <si>
    <t>L: OP775658; S: OP775659</t>
  </si>
  <si>
    <t>Tietê virus</t>
  </si>
  <si>
    <t>TIEV</t>
  </si>
  <si>
    <t>Br70_Car_per_BRA_2007</t>
  </si>
  <si>
    <t>rice dwarf-associated bunya-like virus</t>
  </si>
  <si>
    <t>RDaBV</t>
  </si>
  <si>
    <t>Antú virus</t>
  </si>
  <si>
    <t>YB_tick_2021_24</t>
  </si>
  <si>
    <t>RV611</t>
  </si>
  <si>
    <t>CMV; CLMV</t>
  </si>
  <si>
    <t>ScotAr7</t>
  </si>
  <si>
    <t>Wufeng Crocidura attenuata orthonairovirus 1</t>
  </si>
  <si>
    <t>WfCAV1</t>
  </si>
  <si>
    <t>Gubbo nairovirus</t>
  </si>
  <si>
    <t>GUBV</t>
  </si>
  <si>
    <t>k99</t>
  </si>
  <si>
    <t>KASV; KASOV</t>
  </si>
  <si>
    <t>lamusara virus</t>
  </si>
  <si>
    <t>LMSV</t>
  </si>
  <si>
    <t>LMSV_CG002</t>
  </si>
  <si>
    <t>pangolin orthonairovirus</t>
  </si>
  <si>
    <t>PONV</t>
  </si>
  <si>
    <t>BIME1</t>
  </si>
  <si>
    <t>Méihua Mountain virus</t>
  </si>
  <si>
    <t>MHMV</t>
  </si>
  <si>
    <t>LJ01</t>
  </si>
  <si>
    <t>RML 52323-14</t>
  </si>
  <si>
    <t>orthonairovirus sp. strain YS</t>
  </si>
  <si>
    <t>cencurut virus</t>
  </si>
  <si>
    <t>CENV</t>
  </si>
  <si>
    <t>SM-15</t>
  </si>
  <si>
    <t>XJ01</t>
  </si>
  <si>
    <t>Por 7866</t>
  </si>
  <si>
    <t>Sitinavirus</t>
  </si>
  <si>
    <t>Sìchuan tick nairovirus</t>
  </si>
  <si>
    <t>ScTNV</t>
  </si>
  <si>
    <t>Sichuan112nairo-10</t>
  </si>
  <si>
    <t>Bocivirus</t>
  </si>
  <si>
    <t>Botrytis cinerea bocivirus 1</t>
  </si>
  <si>
    <t>RNA1: MN617081; RNA2: MN617080; RNA3: MN617079</t>
  </si>
  <si>
    <t>Fusarium sibiricum coguvirus 1</t>
  </si>
  <si>
    <t>Trichoderma gamsii cogu-like virus 1</t>
  </si>
  <si>
    <t>TgClV1</t>
  </si>
  <si>
    <t>CPK2306</t>
  </si>
  <si>
    <t>Edgeworthia chrysantha mosaic-associated virus</t>
  </si>
  <si>
    <t>ECMaV</t>
  </si>
  <si>
    <t>Ramu stunt virus</t>
  </si>
  <si>
    <t>RmSV</t>
  </si>
  <si>
    <t>PNG</t>
  </si>
  <si>
    <t>RNA1: KR094115; RNA2: KR094116; RNA3: KR698381; RNA4: KR094117; RNA5: KR094118; RNA6: KR094119</t>
  </si>
  <si>
    <t>Arrábida virus</t>
  </si>
  <si>
    <t>Festuca stripe-associated virus</t>
  </si>
  <si>
    <t>FSaV</t>
  </si>
  <si>
    <t>JKI ID 34091</t>
  </si>
  <si>
    <t>RNA1: MW678790; RNA2: MW678791; RNA3: MW678792; RNA4: MW678793</t>
  </si>
  <si>
    <t>wheat yellows virus</t>
  </si>
  <si>
    <t>WhYV</t>
  </si>
  <si>
    <t>W24</t>
  </si>
  <si>
    <t>RNA1: ON156474; RNA2: ON156475; RNA3: ON156476; RNA4: ON156477</t>
  </si>
  <si>
    <t>wheat white spike virus</t>
  </si>
  <si>
    <t>WWSV</t>
  </si>
  <si>
    <t>BR:PG10:18</t>
  </si>
  <si>
    <t>RNA1: MZ703097; RNA2: MZ703098; RNA3: MZ703099; RNA4: MZ703100; RNA5: MZ703101</t>
  </si>
  <si>
    <t>MSV; MStV; MSpV</t>
  </si>
  <si>
    <t>DbsTV; DBTV;  DTV</t>
  </si>
  <si>
    <t>L: KM048311; S: KM048312</t>
  </si>
  <si>
    <t>CBS 707.79</t>
  </si>
  <si>
    <t>Fusarium graminearum dsRNA mycovirus 1</t>
  </si>
  <si>
    <t>FGSC8579</t>
  </si>
  <si>
    <t>CBS 115.86</t>
  </si>
  <si>
    <t>IPO323</t>
  </si>
  <si>
    <t>W683</t>
  </si>
  <si>
    <t>bacteria, invertebrates (S)</t>
  </si>
  <si>
    <t>bacteria, vertebrates (S)</t>
  </si>
  <si>
    <t>BaToV</t>
  </si>
  <si>
    <t>DQ310701; X52505; X52506</t>
  </si>
  <si>
    <t>MW281483</t>
  </si>
  <si>
    <t>cetacean picornavirus 1</t>
  </si>
  <si>
    <t>CPv1</t>
  </si>
  <si>
    <t>Alaska/2019</t>
  </si>
  <si>
    <t>cherry virus F</t>
  </si>
  <si>
    <t>CVF</t>
  </si>
  <si>
    <t>Stac-3B_C12</t>
  </si>
  <si>
    <t>RNA1: MH998210; RNA2: MH998217</t>
  </si>
  <si>
    <t>Gynostemma pentaphyllum secovirus</t>
  </si>
  <si>
    <t>GpSV</t>
  </si>
  <si>
    <t>RNA1: BK061324; RNA2: BK061325</t>
  </si>
  <si>
    <t>yucca gloriosa secovirus</t>
  </si>
  <si>
    <t>YgSV</t>
  </si>
  <si>
    <t>VFLL015B</t>
  </si>
  <si>
    <t>RNA1: BK061335; RNA2: BK061336</t>
  </si>
  <si>
    <t>paris nepovirus 1</t>
  </si>
  <si>
    <t>ParNV1</t>
  </si>
  <si>
    <t>YLJ</t>
  </si>
  <si>
    <t>RNA1: OP374158; RNA2: OP374159</t>
  </si>
  <si>
    <t>horse nettle virus</t>
  </si>
  <si>
    <t>HNVA</t>
  </si>
  <si>
    <t>MD-1</t>
  </si>
  <si>
    <t>RNA1: OP292294; RNA2: OP292295</t>
  </si>
  <si>
    <t>common water moss secovirus</t>
  </si>
  <si>
    <t>CwmSV</t>
  </si>
  <si>
    <t>ERR2040966</t>
  </si>
  <si>
    <t>RNA1: OX380383; RNA2: OX380442</t>
  </si>
  <si>
    <t>tomato fern secovirus</t>
  </si>
  <si>
    <t>TfSV</t>
  </si>
  <si>
    <t>ERR2041189</t>
  </si>
  <si>
    <t>RNA1: OX380481; RNA2: OX380490</t>
  </si>
  <si>
    <t>shoestring fern secovirus</t>
  </si>
  <si>
    <t>SfSV</t>
  </si>
  <si>
    <t>ERR2040940</t>
  </si>
  <si>
    <t>RNA1: OX380465; RNA2: OX380478</t>
  </si>
  <si>
    <t>alpine wild prunus virus</t>
  </si>
  <si>
    <t>AWPV</t>
  </si>
  <si>
    <t>Pm</t>
  </si>
  <si>
    <t>RNA1: OP328249; RNA2: OP328250</t>
  </si>
  <si>
    <t>Orobanche cernua secovirus</t>
  </si>
  <si>
    <t>OcSV</t>
  </si>
  <si>
    <t>RNA1: BK061326; RNA2: BK061327</t>
  </si>
  <si>
    <t>Trillium govanianum cheravirus</t>
  </si>
  <si>
    <t>TgCV</t>
  </si>
  <si>
    <t>RNA1: BK013325; RNA2: BK013326</t>
  </si>
  <si>
    <t>Ananas comosus secovirus</t>
  </si>
  <si>
    <t>AcSV</t>
  </si>
  <si>
    <t>Yellow Mauritius</t>
  </si>
  <si>
    <t>RNA1: BK061318; RNA2: BK061319</t>
  </si>
  <si>
    <t>cohombrillo-associated virus</t>
  </si>
  <si>
    <t>CoAV</t>
  </si>
  <si>
    <t>RNA1: OP019481; RNA2: OP019482</t>
  </si>
  <si>
    <t>fleabane yellow mosaic torradovirus</t>
  </si>
  <si>
    <t>FbYMV</t>
  </si>
  <si>
    <t>2007-12EA</t>
  </si>
  <si>
    <t>RNA1: OL979629; RNA2: OL979630</t>
  </si>
  <si>
    <t>lettuce waikavirus 1</t>
  </si>
  <si>
    <t>LWV1</t>
  </si>
  <si>
    <t>MT348710</t>
  </si>
  <si>
    <t>Rhododendron delavayi secovirus</t>
  </si>
  <si>
    <t>RdSV</t>
  </si>
  <si>
    <t>Kun Ming</t>
  </si>
  <si>
    <t>BK061334</t>
  </si>
  <si>
    <t>Ageratum virus 2</t>
  </si>
  <si>
    <t>AgV2</t>
  </si>
  <si>
    <t>China:Fuding</t>
  </si>
  <si>
    <t>OP660857</t>
  </si>
  <si>
    <t>arracacha latent virus E</t>
  </si>
  <si>
    <t>ALVE</t>
  </si>
  <si>
    <t>Peru:Ancash</t>
  </si>
  <si>
    <t>MF136435</t>
  </si>
  <si>
    <t>bean enamovirus 1</t>
  </si>
  <si>
    <t>BEV1</t>
  </si>
  <si>
    <t>China:Yunnan Kunming YKM-CD</t>
  </si>
  <si>
    <t>MZ361924</t>
  </si>
  <si>
    <t>black pepper virus E</t>
  </si>
  <si>
    <t>BPVE</t>
  </si>
  <si>
    <t>China:Hainan ZYP-1</t>
  </si>
  <si>
    <t>MZ702869</t>
  </si>
  <si>
    <t>Celmisia lyallii enamovirus</t>
  </si>
  <si>
    <t>ClEV</t>
  </si>
  <si>
    <t>New Zealand</t>
  </si>
  <si>
    <t>BK059370</t>
  </si>
  <si>
    <t>green Sichuan pepper enamovirus</t>
  </si>
  <si>
    <t>GSPEV</t>
  </si>
  <si>
    <t>China:Chongqing ZPE1</t>
  </si>
  <si>
    <t>MH323436</t>
  </si>
  <si>
    <t>Kummerowia striatad enamovirus</t>
  </si>
  <si>
    <t>KSEV</t>
  </si>
  <si>
    <t>China:Jiangsu Zhenjiang pt119-phy-2-NY</t>
  </si>
  <si>
    <t>MN814310</t>
  </si>
  <si>
    <t>pepper enamovirus</t>
  </si>
  <si>
    <t>PeEV</t>
  </si>
  <si>
    <t>Rwanda:R1</t>
  </si>
  <si>
    <t>MG470803</t>
  </si>
  <si>
    <t>Plantago enamovirus</t>
  </si>
  <si>
    <t>PlEV</t>
  </si>
  <si>
    <t>Finland:Åland 4</t>
  </si>
  <si>
    <t>MH397359</t>
  </si>
  <si>
    <t>red clover enamovirus 1</t>
  </si>
  <si>
    <t>RCEV1</t>
  </si>
  <si>
    <t>Germany:Landkreis Meissen 17</t>
  </si>
  <si>
    <t>MN412742</t>
  </si>
  <si>
    <t>Hubsclerovirus</t>
  </si>
  <si>
    <t>Hubei sclerotinia RNA virus 1</t>
  </si>
  <si>
    <t>HuSRV1</t>
  </si>
  <si>
    <t>China:Hubei: isolate 277</t>
  </si>
  <si>
    <t>MK889164</t>
  </si>
  <si>
    <t>african eggplant yellowing virus</t>
  </si>
  <si>
    <t>AeYV</t>
  </si>
  <si>
    <t>Mali: Bamako eMA4</t>
  </si>
  <si>
    <t>KX856972</t>
  </si>
  <si>
    <t>Allium polerovirus A</t>
  </si>
  <si>
    <t>Brazil:Santa Catarina Rio do Sul RDS22-3</t>
  </si>
  <si>
    <t>ON565072</t>
  </si>
  <si>
    <t>Artemisia virus B</t>
  </si>
  <si>
    <t>ArtVB</t>
  </si>
  <si>
    <t>South Korea:Chungcheongnam-do Buyeo-gun SK</t>
  </si>
  <si>
    <t>MT757161</t>
  </si>
  <si>
    <t>beet leaf yellowing virus</t>
  </si>
  <si>
    <t>BLYV</t>
  </si>
  <si>
    <t>Japan:Hokkaido:Naganuma NN</t>
  </si>
  <si>
    <t>LC428351</t>
  </si>
  <si>
    <t>Barleria polerovirus 1</t>
  </si>
  <si>
    <t>South Africa:19-3037</t>
  </si>
  <si>
    <t>MW251502</t>
  </si>
  <si>
    <t>barley virus G</t>
  </si>
  <si>
    <t>BVG</t>
  </si>
  <si>
    <t>South Korea:Gimje</t>
  </si>
  <si>
    <t>KT962089</t>
  </si>
  <si>
    <t>cotton bunchy top virus 1</t>
  </si>
  <si>
    <t>CBTV1</t>
  </si>
  <si>
    <t>Australia:Queensland Emerald 3092-1</t>
  </si>
  <si>
    <t>MT966040</t>
  </si>
  <si>
    <t>cotton bunchy top virus 2</t>
  </si>
  <si>
    <t>CBTV2</t>
  </si>
  <si>
    <t>Australia:Queensland Emerald 3092-2</t>
  </si>
  <si>
    <t>MT966041</t>
  </si>
  <si>
    <t>cardamom polerovirus</t>
  </si>
  <si>
    <t>CdPV</t>
  </si>
  <si>
    <t>India:Kerala</t>
  </si>
  <si>
    <t>BK013145</t>
  </si>
  <si>
    <t>Cnidium polerovirus 1</t>
  </si>
  <si>
    <t>CnPV1</t>
  </si>
  <si>
    <t>South Korea:Yeongyang-gun SK</t>
  </si>
  <si>
    <t>OP067680</t>
  </si>
  <si>
    <t>chickpea leafroll virus</t>
  </si>
  <si>
    <t>CpLRV</t>
  </si>
  <si>
    <t>Mexico: Celaya Guanajuato GIRD</t>
  </si>
  <si>
    <t>ON555767</t>
  </si>
  <si>
    <t>cowpea polerovirus 1</t>
  </si>
  <si>
    <t>CPPV1</t>
  </si>
  <si>
    <t>Burkina Faso:BE167</t>
  </si>
  <si>
    <t>KY364846</t>
  </si>
  <si>
    <t>cowpea polerovirus 2</t>
  </si>
  <si>
    <t>Burkina Faso:BE179</t>
  </si>
  <si>
    <t>KY364847</t>
  </si>
  <si>
    <t>cassava polerovirus</t>
  </si>
  <si>
    <t>CsPV</t>
  </si>
  <si>
    <t>Colombia:Valle del Cauca CM5460-10</t>
  </si>
  <si>
    <t>KC505249</t>
  </si>
  <si>
    <t>Dregea volubilis polerovirus 1</t>
  </si>
  <si>
    <t>DVPV1</t>
  </si>
  <si>
    <t>China:YN</t>
  </si>
  <si>
    <t>MZ965076</t>
  </si>
  <si>
    <t>Foeniculum vulgare polerovirus</t>
  </si>
  <si>
    <t>FVPV</t>
  </si>
  <si>
    <t>BK059375</t>
  </si>
  <si>
    <t>grapevine polerovirus 1</t>
  </si>
  <si>
    <t>GPoV1</t>
  </si>
  <si>
    <t>Japan:Hiroshima Akitsu KC</t>
  </si>
  <si>
    <t>LC507098</t>
  </si>
  <si>
    <t>Hemisteptia virus A</t>
  </si>
  <si>
    <t>HemVA</t>
  </si>
  <si>
    <t>South Korea:Daejeon SKD</t>
  </si>
  <si>
    <t>ON416859</t>
  </si>
  <si>
    <t>Kalanchoe marnieriana polerovirus</t>
  </si>
  <si>
    <t>KMPV</t>
  </si>
  <si>
    <t>China:Zhejiang</t>
  </si>
  <si>
    <t>BK059371</t>
  </si>
  <si>
    <t>luffa aphid-borne yellows virus</t>
  </si>
  <si>
    <t>LABYV</t>
  </si>
  <si>
    <t>Thailand:Kanchanaburi TH24</t>
  </si>
  <si>
    <t>KF427701</t>
  </si>
  <si>
    <t>Mallotus japonicus virus A</t>
  </si>
  <si>
    <t>MjVA</t>
  </si>
  <si>
    <t>Japan:Chiba MjA</t>
  </si>
  <si>
    <t>OP122168</t>
  </si>
  <si>
    <t>Miscanthus yellow fleck virus</t>
  </si>
  <si>
    <t>South Korea:PGQP1</t>
  </si>
  <si>
    <t>MT520166</t>
  </si>
  <si>
    <t>Ornithogalum virus 5</t>
  </si>
  <si>
    <t>OrMV5</t>
  </si>
  <si>
    <t>South Africa:M</t>
  </si>
  <si>
    <t>MN204612</t>
  </si>
  <si>
    <t>phasey bean mild yellows virus</t>
  </si>
  <si>
    <t>PBMYV</t>
  </si>
  <si>
    <t>Australia:NSW Liverpool Plains NSWCP15</t>
  </si>
  <si>
    <t>KT962999</t>
  </si>
  <si>
    <t>Panicum distortion mosaic virus</t>
  </si>
  <si>
    <t>PDMV</t>
  </si>
  <si>
    <t>South Korea:Uiseong</t>
  </si>
  <si>
    <t>LC424839</t>
  </si>
  <si>
    <t>pepper leafroll chlorosis virus</t>
  </si>
  <si>
    <t>PeLRCV</t>
  </si>
  <si>
    <t>Saudi Arabia:Riyadh 105D</t>
  </si>
  <si>
    <t>LT220496</t>
  </si>
  <si>
    <t>pepper whitefly borne vein yellow virus</t>
  </si>
  <si>
    <t>PeWBVYV</t>
  </si>
  <si>
    <t>Israel:Jordan Valley</t>
  </si>
  <si>
    <t>MK333461</t>
  </si>
  <si>
    <t>Plantago asiatica virus A</t>
  </si>
  <si>
    <t>PlAVA</t>
  </si>
  <si>
    <t>MZ571143</t>
  </si>
  <si>
    <t>Piper methysticum polerovirus</t>
  </si>
  <si>
    <t>PMPV</t>
  </si>
  <si>
    <t>USA:Massachusetts</t>
  </si>
  <si>
    <t>BK059373</t>
  </si>
  <si>
    <t>Paspalum notatum polerovirus</t>
  </si>
  <si>
    <t>PNPV</t>
  </si>
  <si>
    <t>Argentina:IICAR-CONICET Rosario</t>
  </si>
  <si>
    <t>BK059372</t>
  </si>
  <si>
    <t>pod pepper vein yellows virus</t>
  </si>
  <si>
    <t>PPeVYV</t>
  </si>
  <si>
    <t>China:Yunnan Wenshan YN</t>
  </si>
  <si>
    <t>MT188667</t>
  </si>
  <si>
    <t>persimmon polerovirus</t>
  </si>
  <si>
    <t>PPoV</t>
  </si>
  <si>
    <t>Japan:Hiroshima Akitsu LuVa2</t>
  </si>
  <si>
    <t>LC488188</t>
  </si>
  <si>
    <t>Pterostylis polerovirus</t>
  </si>
  <si>
    <t>PtPV</t>
  </si>
  <si>
    <t>Australia:ACT Black Mountain Lookout 13365</t>
  </si>
  <si>
    <t>OL471344</t>
  </si>
  <si>
    <t>Sauropus yellowing virus</t>
  </si>
  <si>
    <t>SaYV</t>
  </si>
  <si>
    <t>Thailand: Nakhon Pathom THSP1</t>
  </si>
  <si>
    <t>KJ885302</t>
  </si>
  <si>
    <t>soybean chlorotic leafroll virus</t>
  </si>
  <si>
    <t>SbCLRV</t>
  </si>
  <si>
    <t>China: Guizhou</t>
  </si>
  <si>
    <t>OM507197</t>
  </si>
  <si>
    <t>siratro latent polerovirus</t>
  </si>
  <si>
    <t>Australia:Queensland 5271</t>
  </si>
  <si>
    <t>MK482114</t>
  </si>
  <si>
    <t>strawberry polerovirus 1</t>
  </si>
  <si>
    <t>Canada:Nova Scotia AB5301</t>
  </si>
  <si>
    <t>KM233705</t>
  </si>
  <si>
    <t>Stellaria aquatica virus B</t>
  </si>
  <si>
    <t>StAVB</t>
  </si>
  <si>
    <t>South Korea:SW</t>
  </si>
  <si>
    <t>OP389993</t>
  </si>
  <si>
    <t>Trachyspermum ammi polerovirus</t>
  </si>
  <si>
    <t>BK059374</t>
  </si>
  <si>
    <t>Torilis crimson leaf virus</t>
  </si>
  <si>
    <t>TCLV</t>
  </si>
  <si>
    <t>Greece:RL5</t>
  </si>
  <si>
    <t>LT615235</t>
  </si>
  <si>
    <t>tobacco polerovirus 1</t>
  </si>
  <si>
    <t>TPV1</t>
  </si>
  <si>
    <t>China:Yunnan Baoshan TPV1-YBSh</t>
  </si>
  <si>
    <t>MW579552</t>
  </si>
  <si>
    <t>tobacco polerovirus 2</t>
  </si>
  <si>
    <t>China:Yunnan Baoshan TPV2-YBSh</t>
  </si>
  <si>
    <t>MW579555</t>
  </si>
  <si>
    <t>Triticum yellow stripe virus</t>
  </si>
  <si>
    <t>TriYSV</t>
  </si>
  <si>
    <t>China:Shandong Tai'an SD</t>
  </si>
  <si>
    <t>OM829809</t>
  </si>
  <si>
    <t>Ullucus polerovirus 1</t>
  </si>
  <si>
    <t>UPoV1</t>
  </si>
  <si>
    <t>UK:England Site2</t>
  </si>
  <si>
    <t>MH978189</t>
  </si>
  <si>
    <t>white clover mottle virus</t>
  </si>
  <si>
    <t>South Korea:North Gyeongsang Cheongdo CD</t>
  </si>
  <si>
    <t>LC192169</t>
  </si>
  <si>
    <t>wheat leaf yellowing-associated virus</t>
  </si>
  <si>
    <t>WLYaV</t>
  </si>
  <si>
    <t>China: Shandong Jinan JN-U3</t>
  </si>
  <si>
    <t>KY605226</t>
  </si>
  <si>
    <t>zucchini aphid-borne yellows virus</t>
  </si>
  <si>
    <t>ZABYV</t>
  </si>
  <si>
    <t>China:Xinjiang Uygur Fukang Wujiaqu XJ5</t>
  </si>
  <si>
    <t>MK050791</t>
  </si>
  <si>
    <t>Cynosurus mottle virus</t>
  </si>
  <si>
    <t>CnMoV</t>
  </si>
  <si>
    <t>Germany:Betzdorf(Sieg) DSMZ PV-0728/CV-104</t>
  </si>
  <si>
    <t>OM323988</t>
  </si>
  <si>
    <t>mimosa mosaic virus</t>
  </si>
  <si>
    <t>MimMV</t>
  </si>
  <si>
    <t>Brazil:Santo Antônio do Tauá Pará BRPA</t>
  </si>
  <si>
    <t>OP456085</t>
  </si>
  <si>
    <t>Pistacia sobemovirus</t>
  </si>
  <si>
    <t>PisSV</t>
  </si>
  <si>
    <t>China:PisChn-A</t>
  </si>
  <si>
    <t>MT334602</t>
  </si>
  <si>
    <t>Poaceae Liege sobemovirus</t>
  </si>
  <si>
    <t>Belgium:Latinne</t>
  </si>
  <si>
    <t>ON137710</t>
  </si>
  <si>
    <t>xufa yellow dwarf virus</t>
  </si>
  <si>
    <t>XYDV</t>
  </si>
  <si>
    <t>Spain:Valencia CM1</t>
  </si>
  <si>
    <t>ON828429</t>
  </si>
  <si>
    <t>Miscanthus sinensis mosaic virus</t>
  </si>
  <si>
    <t>MsiMV</t>
  </si>
  <si>
    <t>OL312763</t>
  </si>
  <si>
    <t>Passiflora virus Y</t>
  </si>
  <si>
    <t>PaVY</t>
  </si>
  <si>
    <t>Shaoguan</t>
  </si>
  <si>
    <t>MW165064</t>
  </si>
  <si>
    <t>Polygonatum mosaic-associated virus 1</t>
  </si>
  <si>
    <t>PMaV1</t>
  </si>
  <si>
    <t>S21MP21 SR</t>
  </si>
  <si>
    <t>OP380926</t>
  </si>
  <si>
    <t>Paris potyvirus 4</t>
  </si>
  <si>
    <t>ParPV-4</t>
  </si>
  <si>
    <t>OP374157</t>
  </si>
  <si>
    <t>Thevetia white spot virus</t>
  </si>
  <si>
    <t>ThWSV</t>
  </si>
  <si>
    <t>Amazonas</t>
  </si>
  <si>
    <t>OM263475</t>
  </si>
  <si>
    <t>Elegant-crested tinamou hepatitis B virus</t>
  </si>
  <si>
    <t>ETHBV</t>
  </si>
  <si>
    <t>KY977507</t>
  </si>
  <si>
    <t>Parrot hepatitis B virus 2</t>
  </si>
  <si>
    <t>PHBV2</t>
  </si>
  <si>
    <t>P902</t>
  </si>
  <si>
    <t>JX274018</t>
  </si>
  <si>
    <t>Ringtail hepatitis B virus</t>
  </si>
  <si>
    <t>RtHBV</t>
  </si>
  <si>
    <t>CO-09/924</t>
  </si>
  <si>
    <t>MZ393519</t>
  </si>
  <si>
    <t>Equid hepatitis B virus</t>
  </si>
  <si>
    <t>EqHBV</t>
  </si>
  <si>
    <t>doneky86</t>
  </si>
  <si>
    <t>MT134309</t>
  </si>
  <si>
    <t>Greater Horseshoe bat hepatitis B virus</t>
  </si>
  <si>
    <t>GHBHBV</t>
  </si>
  <si>
    <t>Jiyuan-Rf-11</t>
  </si>
  <si>
    <t>KY962687</t>
  </si>
  <si>
    <t>Large myotis bat hepatitis B virus</t>
  </si>
  <si>
    <t>LMBHBV</t>
  </si>
  <si>
    <t>LQB_ZhongShu</t>
  </si>
  <si>
    <t>OM030297</t>
  </si>
  <si>
    <t>Myodav bat hepatitis B virus</t>
  </si>
  <si>
    <t>MDBHBV</t>
  </si>
  <si>
    <t>Guizhou-Md-295</t>
  </si>
  <si>
    <t>KY962683</t>
  </si>
  <si>
    <t>Crowned shrew hepatitis B virus</t>
  </si>
  <si>
    <t>CRSHBV</t>
  </si>
  <si>
    <t>GF2139</t>
  </si>
  <si>
    <t>MK345465</t>
  </si>
  <si>
    <t>Musk shrew hepatitis B virus</t>
  </si>
  <si>
    <t>MSHBV</t>
  </si>
  <si>
    <t>CIV-304</t>
  </si>
  <si>
    <t>MK345463</t>
  </si>
  <si>
    <t>Camellia sinensis badnavirus 1</t>
  </si>
  <si>
    <t>CSBV1</t>
  </si>
  <si>
    <t>Anhui</t>
  </si>
  <si>
    <t>ON773439</t>
  </si>
  <si>
    <t>Pandanus mosaic associated virus</t>
  </si>
  <si>
    <t>OK624603</t>
  </si>
  <si>
    <t>Pueraria virus A</t>
  </si>
  <si>
    <t>KW1</t>
  </si>
  <si>
    <t>Viola yellow mottle virus</t>
  </si>
  <si>
    <t>VYMV</t>
  </si>
  <si>
    <t>JC-Cau-A</t>
  </si>
  <si>
    <t>Hibiscus soymovirus</t>
  </si>
  <si>
    <t>HSV</t>
  </si>
  <si>
    <t>Oahu</t>
  </si>
  <si>
    <t>OP757659</t>
  </si>
  <si>
    <t>Malva-associated soymovirus 1</t>
  </si>
  <si>
    <t>MaSV1</t>
  </si>
  <si>
    <t>OL451868</t>
  </si>
  <si>
    <t>CFBNV1</t>
  </si>
  <si>
    <t>SwSCV1</t>
  </si>
  <si>
    <t>DabDV1</t>
  </si>
  <si>
    <t>HDV7</t>
  </si>
  <si>
    <t>HDV6</t>
  </si>
  <si>
    <t>HDV1</t>
  </si>
  <si>
    <t>HDV2</t>
  </si>
  <si>
    <t>HDV3</t>
  </si>
  <si>
    <t>HDV8</t>
  </si>
  <si>
    <t>HDV4</t>
  </si>
  <si>
    <t>HDV5</t>
  </si>
  <si>
    <t>CITV1</t>
  </si>
  <si>
    <t>Donvirus</t>
  </si>
  <si>
    <t>Cát Tiên Odontotermes delta-like virus</t>
  </si>
  <si>
    <t>hdv-like</t>
  </si>
  <si>
    <t>ON082765</t>
  </si>
  <si>
    <t>Perideltavirus</t>
  </si>
  <si>
    <t>Bat deltavirus</t>
  </si>
  <si>
    <t>DesRot/Peru/AYA14_DrDV-A</t>
  </si>
  <si>
    <t>MT649207</t>
  </si>
  <si>
    <t>Marmota monax deltavirus</t>
  </si>
  <si>
    <t>BR001661</t>
  </si>
  <si>
    <t>Odocoileus virginianus deltavirus</t>
  </si>
  <si>
    <t>BR001662</t>
  </si>
  <si>
    <t>Perithurisazvirus</t>
  </si>
  <si>
    <t>Taeniopygia guttata deltavirus</t>
  </si>
  <si>
    <t>tg-mh1</t>
  </si>
  <si>
    <t>BR001665</t>
  </si>
  <si>
    <t>DesRot/Peru/AYA11_DrDV-B</t>
  </si>
  <si>
    <t>MT649206</t>
  </si>
  <si>
    <t>TSRV1</t>
  </si>
  <si>
    <t>AF062394; JX997183</t>
  </si>
  <si>
    <t>AY225133; AY225134; AY225135; AY225136; AY225137; AY225138; AY225139; AY225140; AY225141; AY225142; AY225143; AY225144; AY225145; AY225146; AY225147; AY225148</t>
  </si>
  <si>
    <t>AJ279826; AY197700</t>
  </si>
  <si>
    <t>Cedratviridae</t>
  </si>
  <si>
    <t>Alphacedratvirus</t>
  </si>
  <si>
    <t>Cedratvirus A11</t>
  </si>
  <si>
    <t>CDVA</t>
  </si>
  <si>
    <t>LT671577</t>
  </si>
  <si>
    <t>Brazilian cedratvirus IHUMI</t>
  </si>
  <si>
    <t>CDVB</t>
  </si>
  <si>
    <t>Cedratvirus lausannensis; Cedratvirus Zaza IHUMI</t>
  </si>
  <si>
    <t>CDVL</t>
  </si>
  <si>
    <t>Cedratvirus kamchatka</t>
  </si>
  <si>
    <t>CDVK</t>
  </si>
  <si>
    <t>red sea bream iridovirus</t>
  </si>
  <si>
    <t>PEV</t>
  </si>
  <si>
    <t>DK1</t>
  </si>
  <si>
    <t>282/102</t>
  </si>
  <si>
    <t>Losannavirus</t>
  </si>
  <si>
    <t>Orpheoviridae</t>
  </si>
  <si>
    <t>Alphaorpheovirus</t>
  </si>
  <si>
    <t>Orpheovirus IHUMI-LCC2</t>
  </si>
  <si>
    <t>ORPVM</t>
  </si>
  <si>
    <t>LT906555</t>
  </si>
  <si>
    <t>Pithoviridae</t>
  </si>
  <si>
    <t>Alphapithovirus</t>
  </si>
  <si>
    <t>Pithovirus massiliensis</t>
  </si>
  <si>
    <t>PTVM</t>
  </si>
  <si>
    <t>Pithovirus sibericum</t>
  </si>
  <si>
    <t>PTVS</t>
  </si>
  <si>
    <t>KF740664</t>
  </si>
  <si>
    <t>Epsilonentomopoxvirus</t>
  </si>
  <si>
    <t>Divpevirales</t>
  </si>
  <si>
    <t>Ruviroviridae</t>
  </si>
  <si>
    <t>Oviruvirus</t>
  </si>
  <si>
    <t>Gut metagenome contig-21000060</t>
  </si>
  <si>
    <t>Lavidavirales</t>
  </si>
  <si>
    <t>Maviroviridae</t>
  </si>
  <si>
    <t>Mividavirales</t>
  </si>
  <si>
    <t>Sputniviroviridae</t>
  </si>
  <si>
    <t>Burtonviroviridae</t>
  </si>
  <si>
    <t>Burquivirus</t>
  </si>
  <si>
    <t>Yellowstone Lake virophage 5</t>
  </si>
  <si>
    <t>Dishuiviroviridae</t>
  </si>
  <si>
    <t>Essdubovirus</t>
  </si>
  <si>
    <t>Chlorella virophage isolate SW01</t>
  </si>
  <si>
    <t>Gulliviroviridae</t>
  </si>
  <si>
    <t>Invirovirus</t>
  </si>
  <si>
    <t>IMG_VR_1276</t>
  </si>
  <si>
    <t>OQ836152</t>
  </si>
  <si>
    <t>Omnilimnoviroviridae</t>
  </si>
  <si>
    <t>Panaquavirovirus</t>
  </si>
  <si>
    <t>Qinghai Lake virophage</t>
  </si>
  <si>
    <t>duck adenovirus 5</t>
  </si>
  <si>
    <t>DAdV-5</t>
  </si>
  <si>
    <t>DAV/G018-19/Australia/2019</t>
  </si>
  <si>
    <t>MW380865</t>
  </si>
  <si>
    <t>Indian eagle-owl adenovirus 1</t>
  </si>
  <si>
    <t>IEoAdV-1</t>
  </si>
  <si>
    <t>owl</t>
  </si>
  <si>
    <t>LC638697</t>
  </si>
  <si>
    <t>duck adenovirus 4</t>
  </si>
  <si>
    <t>DAdV-4</t>
  </si>
  <si>
    <t>GD-2019</t>
  </si>
  <si>
    <t>MN733730</t>
  </si>
  <si>
    <t>crane adenovirus 1</t>
  </si>
  <si>
    <t>LC469780</t>
  </si>
  <si>
    <t>tawny frogmouth adenovirus</t>
  </si>
  <si>
    <t>AU/TFM1281970</t>
  </si>
  <si>
    <t>ON642334</t>
  </si>
  <si>
    <t>Eurasian siskin adenovirus 2</t>
  </si>
  <si>
    <t>sis058ade1</t>
  </si>
  <si>
    <t>MT138099</t>
  </si>
  <si>
    <t>Naumann's thrush adenovirus 1</t>
  </si>
  <si>
    <t>thr146ade1nc</t>
  </si>
  <si>
    <t>MT138100</t>
  </si>
  <si>
    <t>Barthadenovirus</t>
  </si>
  <si>
    <t>bovine adenovirus 7</t>
  </si>
  <si>
    <t>BAdV-7</t>
  </si>
  <si>
    <t>Fukuroi</t>
  </si>
  <si>
    <t>LC597488</t>
  </si>
  <si>
    <t>psittacine adenovirus 11 (from blue-troated macaw)</t>
  </si>
  <si>
    <t>PsAdV-11</t>
  </si>
  <si>
    <t>par083ade1</t>
  </si>
  <si>
    <t>MT138098</t>
  </si>
  <si>
    <t>yellow-browed warbler adenovirus 1</t>
  </si>
  <si>
    <t>warbler203</t>
  </si>
  <si>
    <t>MT138101</t>
  </si>
  <si>
    <t>GOP3/1</t>
  </si>
  <si>
    <t>OQ792214</t>
  </si>
  <si>
    <t>eastern spinebill adenovirus 1 (passerine adenovirus 1)</t>
  </si>
  <si>
    <t>ESAdV-1</t>
  </si>
  <si>
    <t>AU2787</t>
  </si>
  <si>
    <t>MT674683</t>
  </si>
  <si>
    <t>Radde's warbler adenovirus 1</t>
  </si>
  <si>
    <t>wwb174ade01</t>
  </si>
  <si>
    <t>MT138103</t>
  </si>
  <si>
    <t>common tern adenovirus 1 (tern atadenovirus 1)</t>
  </si>
  <si>
    <t>CTAdV-1</t>
  </si>
  <si>
    <t>SIB_81</t>
  </si>
  <si>
    <t>OL692338</t>
  </si>
  <si>
    <t>AF249332; AF338823</t>
  </si>
  <si>
    <t>Gould's wattled bat adenovirus 1</t>
  </si>
  <si>
    <t>GWAdV-1</t>
  </si>
  <si>
    <t>WA3301</t>
  </si>
  <si>
    <t>MK472072</t>
  </si>
  <si>
    <t>kangaroo rat adenovirus</t>
  </si>
  <si>
    <t>Dipodomys ordii kidney</t>
  </si>
  <si>
    <t>ABRO02087964</t>
  </si>
  <si>
    <t>lemur adenovirus</t>
  </si>
  <si>
    <t>LeAdV-1</t>
  </si>
  <si>
    <t>OQ081771</t>
  </si>
  <si>
    <t>harbour porpoise adenovirus 1</t>
  </si>
  <si>
    <t>HPAdV-1</t>
  </si>
  <si>
    <t>HpAdV-1</t>
  </si>
  <si>
    <t>KY352473</t>
  </si>
  <si>
    <t>reindeer adenovirus 1</t>
  </si>
  <si>
    <t>ReAdV-1</t>
  </si>
  <si>
    <t>UK_2021</t>
  </si>
  <si>
    <t>MZ507556</t>
  </si>
  <si>
    <t>great tit adenovirus 3</t>
  </si>
  <si>
    <t>GTAdV-3</t>
  </si>
  <si>
    <t>S478/20</t>
  </si>
  <si>
    <t>MW508338</t>
  </si>
  <si>
    <t>PsAdV-2</t>
  </si>
  <si>
    <t>WVL19065-01E</t>
  </si>
  <si>
    <t>MZ562791</t>
  </si>
  <si>
    <t>common murre</t>
  </si>
  <si>
    <t>IDL20-0871</t>
  </si>
  <si>
    <t>MN480433</t>
  </si>
  <si>
    <t>Matsushitaviridae</t>
  </si>
  <si>
    <t>pheasant-associated gyrovirus</t>
  </si>
  <si>
    <t>PAGyV</t>
  </si>
  <si>
    <t>PAGyV1</t>
  </si>
  <si>
    <t>OK665854</t>
  </si>
  <si>
    <t>TTV-like mini virus SAfiA-628-47</t>
  </si>
  <si>
    <t>SAfiA-628-47</t>
  </si>
  <si>
    <t>MN770270</t>
  </si>
  <si>
    <t>TTV-like mini virus SAfiA-6-11</t>
  </si>
  <si>
    <t>SAfiA-6-11</t>
  </si>
  <si>
    <t>MN771277</t>
  </si>
  <si>
    <t>TTV-like mini virus SAfiA-326-5</t>
  </si>
  <si>
    <t>SAfiA-326-5</t>
  </si>
  <si>
    <t>MN769899</t>
  </si>
  <si>
    <t>TTV-like mini virus SAfiA-346-21</t>
  </si>
  <si>
    <t>SAfiA-346-21</t>
  </si>
  <si>
    <t>MN769225</t>
  </si>
  <si>
    <t>TTV-like mini virus SAfiA-410-3</t>
  </si>
  <si>
    <t>SAfiA-410-3</t>
  </si>
  <si>
    <t>MN771248</t>
  </si>
  <si>
    <t>TTV-like mini virus SAfiA-349-9</t>
  </si>
  <si>
    <t>SAfiA-349-9</t>
  </si>
  <si>
    <t>MN769236</t>
  </si>
  <si>
    <t>Lamedtorquevirus</t>
  </si>
  <si>
    <t>Torque teno midi virus SAfiA-405-3</t>
  </si>
  <si>
    <t>SAfiA-405-3</t>
  </si>
  <si>
    <t>MN774989</t>
  </si>
  <si>
    <t>Memtorquevirus</t>
  </si>
  <si>
    <t>Torque teno midi virus SAfiA-87-10</t>
  </si>
  <si>
    <t>SAfiA-87-10</t>
  </si>
  <si>
    <t>MN775077</t>
  </si>
  <si>
    <t>Torque teno midi virus SAfiA-350-6</t>
  </si>
  <si>
    <t>SAfiA-350-6</t>
  </si>
  <si>
    <t>MN774927</t>
  </si>
  <si>
    <t>Torque teno midi virus SAfiA-573-3</t>
  </si>
  <si>
    <t>SAfiA-573-3</t>
  </si>
  <si>
    <t>MN774939</t>
  </si>
  <si>
    <t>Samektorquevirus</t>
  </si>
  <si>
    <t>Torque teno midi virus SAfiA-376-5</t>
  </si>
  <si>
    <t>SAfiA-376-5</t>
  </si>
  <si>
    <t>MN774932</t>
  </si>
  <si>
    <t>Torque teno midi virus SAfiA-478-4</t>
  </si>
  <si>
    <t>SAfiA-478-4</t>
  </si>
  <si>
    <t>MN776128</t>
  </si>
  <si>
    <t>Torque teno midi virus SAfiA-610-7</t>
  </si>
  <si>
    <t>SAfiA-610-7</t>
  </si>
  <si>
    <t>MN774956</t>
  </si>
  <si>
    <t>Torque teno midi virus SAfiA-569-59</t>
  </si>
  <si>
    <t>SAfiA-569-59</t>
  </si>
  <si>
    <t>MN774959</t>
  </si>
  <si>
    <t>Yodtorquevirus</t>
  </si>
  <si>
    <t>TTV-like mini virus SAfiA-77-135</t>
  </si>
  <si>
    <t>SAfiA-77-135</t>
  </si>
  <si>
    <t>MN773812</t>
  </si>
  <si>
    <t>TTV-like mini virus SAfiA-574-5</t>
  </si>
  <si>
    <t>SAfiA-574-5</t>
  </si>
  <si>
    <t>MN770091</t>
  </si>
  <si>
    <t>Japanese grapevine viroid</t>
  </si>
  <si>
    <t>JGVd</t>
  </si>
  <si>
    <t>Na</t>
  </si>
  <si>
    <t>LC500206</t>
  </si>
  <si>
    <t>MN117721</t>
  </si>
  <si>
    <t>MN122072</t>
  </si>
  <si>
    <t>OP595144</t>
  </si>
  <si>
    <t>OK148439</t>
  </si>
  <si>
    <t>ON778463</t>
  </si>
  <si>
    <t>MW147601</t>
  </si>
  <si>
    <t>MW147598</t>
  </si>
  <si>
    <t>MW147599</t>
  </si>
  <si>
    <t>OL960574</t>
  </si>
  <si>
    <t>OL741059</t>
  </si>
  <si>
    <t>OK073976</t>
  </si>
  <si>
    <t>OP056089</t>
  </si>
  <si>
    <t>OL770365</t>
  </si>
  <si>
    <t>MZ336020</t>
  </si>
  <si>
    <t>MW380983</t>
  </si>
  <si>
    <t>OP045498</t>
  </si>
  <si>
    <t>MT833283</t>
  </si>
  <si>
    <t>OL451946</t>
  </si>
  <si>
    <t>MT074455</t>
  </si>
  <si>
    <t>MT074464</t>
  </si>
  <si>
    <t>MT074460</t>
  </si>
  <si>
    <t>MT074454</t>
  </si>
  <si>
    <t>LC659915</t>
  </si>
  <si>
    <t>MK907267</t>
  </si>
  <si>
    <t>MT074467</t>
  </si>
  <si>
    <t>MZ501072</t>
  </si>
  <si>
    <t>ON526840</t>
  </si>
  <si>
    <t>ON855039</t>
  </si>
  <si>
    <t>OQ362005</t>
  </si>
  <si>
    <t>MZ501076</t>
  </si>
  <si>
    <t>OL502173</t>
  </si>
  <si>
    <t>MZ570151</t>
  </si>
  <si>
    <t>OQ674103</t>
  </si>
  <si>
    <t>OQ383621</t>
  </si>
  <si>
    <t>MT074453</t>
  </si>
  <si>
    <t>MW006478</t>
  </si>
  <si>
    <t>MW006481</t>
  </si>
  <si>
    <t>MT074447</t>
  </si>
  <si>
    <t>MT074456</t>
  </si>
  <si>
    <t>OQ341635</t>
  </si>
  <si>
    <t>MT074468</t>
  </si>
  <si>
    <t>MK867835</t>
  </si>
  <si>
    <t>MK947458</t>
  </si>
  <si>
    <t>MW357609</t>
  </si>
  <si>
    <t>MK770410</t>
  </si>
  <si>
    <t>MT074461</t>
  </si>
  <si>
    <t>MW206381</t>
  </si>
  <si>
    <t>MW567727</t>
  </si>
  <si>
    <t>MW423798</t>
  </si>
  <si>
    <t>MZ501105</t>
  </si>
  <si>
    <t>MW411578</t>
  </si>
  <si>
    <t>MZ501108</t>
  </si>
  <si>
    <t>MZ501109</t>
  </si>
  <si>
    <t>OQ359889</t>
  </si>
  <si>
    <t>OQ359890</t>
  </si>
  <si>
    <t>MT074452</t>
  </si>
  <si>
    <t>MW149273</t>
  </si>
  <si>
    <t>MW149275</t>
  </si>
  <si>
    <t>MT843274</t>
  </si>
  <si>
    <t>MZ501058</t>
  </si>
  <si>
    <t>MT311645</t>
  </si>
  <si>
    <t>OK665835</t>
  </si>
  <si>
    <t>ON185585</t>
  </si>
  <si>
    <t>MT080103</t>
  </si>
  <si>
    <t>OM386657</t>
  </si>
  <si>
    <t>OM386660</t>
  </si>
  <si>
    <t>LR597655</t>
  </si>
  <si>
    <t>OP394141</t>
  </si>
  <si>
    <t>MK373797</t>
  </si>
  <si>
    <t>MZ501074</t>
  </si>
  <si>
    <t>MZ398246</t>
  </si>
  <si>
    <t>MZ501075</t>
  </si>
  <si>
    <t>OK272480</t>
  </si>
  <si>
    <t>OK272477</t>
  </si>
  <si>
    <t>OQ031075</t>
  </si>
  <si>
    <t>OK143207</t>
  </si>
  <si>
    <t>MT577844</t>
  </si>
  <si>
    <t>MW006479</t>
  </si>
  <si>
    <t>OQ383620</t>
  </si>
  <si>
    <t>OQ680478</t>
  </si>
  <si>
    <t>OQ680479</t>
  </si>
  <si>
    <t>OQ680481</t>
  </si>
  <si>
    <t>OK254197</t>
  </si>
  <si>
    <t>OK108607</t>
  </si>
  <si>
    <t>MN445182</t>
  </si>
  <si>
    <t>MZ501103</t>
  </si>
  <si>
    <t>OQ383622</t>
  </si>
  <si>
    <t>MT653143</t>
  </si>
  <si>
    <t>MT653146</t>
  </si>
  <si>
    <t>MT233524</t>
  </si>
  <si>
    <t>MK373792</t>
  </si>
  <si>
    <t>MK770119</t>
  </si>
  <si>
    <t>MN434094</t>
  </si>
  <si>
    <t>LR881109</t>
  </si>
  <si>
    <t>MT380195</t>
  </si>
  <si>
    <t>MK521907</t>
  </si>
  <si>
    <t>OP171943</t>
  </si>
  <si>
    <t>MN434096</t>
  </si>
  <si>
    <t>MN163280</t>
  </si>
  <si>
    <t>MN101228</t>
  </si>
  <si>
    <t>MZ634344</t>
  </si>
  <si>
    <t>MW713578</t>
  </si>
  <si>
    <t>LR881112</t>
  </si>
  <si>
    <t>LR881113</t>
  </si>
  <si>
    <t>ON637170</t>
  </si>
  <si>
    <t>MZ571828</t>
  </si>
  <si>
    <t>MZ571830</t>
  </si>
  <si>
    <t>LR881116</t>
  </si>
  <si>
    <t>MZ501051</t>
  </si>
  <si>
    <t>ON081052</t>
  </si>
  <si>
    <t>MK373793</t>
  </si>
  <si>
    <t>MZ501087</t>
  </si>
  <si>
    <t>OM258170</t>
  </si>
  <si>
    <t>MT682706</t>
  </si>
  <si>
    <t>MZ501080</t>
  </si>
  <si>
    <t>MT511058</t>
  </si>
  <si>
    <t>MN840485</t>
  </si>
  <si>
    <t>MW286156</t>
  </si>
  <si>
    <t>OQ243221</t>
  </si>
  <si>
    <t>OL539467</t>
  </si>
  <si>
    <t>MZ501099</t>
  </si>
  <si>
    <t>ON185589</t>
  </si>
  <si>
    <t>OL539459</t>
  </si>
  <si>
    <t>MZ501079</t>
  </si>
  <si>
    <t>OK272479</t>
  </si>
  <si>
    <t>MZ501090</t>
  </si>
  <si>
    <t>MN432485</t>
  </si>
  <si>
    <t>MZ501077</t>
  </si>
  <si>
    <t>MZ501085</t>
  </si>
  <si>
    <t>LR881107</t>
  </si>
  <si>
    <t>MK552105</t>
  </si>
  <si>
    <t>OM317910</t>
  </si>
  <si>
    <t>MW689258</t>
  </si>
  <si>
    <t>OL539462</t>
  </si>
  <si>
    <t>OL539443</t>
  </si>
  <si>
    <t>MZ501059</t>
  </si>
  <si>
    <t>OK499973</t>
  </si>
  <si>
    <t>OP292674</t>
  </si>
  <si>
    <t>ON855040</t>
  </si>
  <si>
    <t>OK499984</t>
  </si>
  <si>
    <t>OL539466</t>
  </si>
  <si>
    <t>LR597656</t>
  </si>
  <si>
    <t>MT478992</t>
  </si>
  <si>
    <t>MW598258</t>
  </si>
  <si>
    <t>OQ359885</t>
  </si>
  <si>
    <t>OQ359886</t>
  </si>
  <si>
    <t>MN850582</t>
  </si>
  <si>
    <t>OK272471</t>
  </si>
  <si>
    <t>OK272483</t>
  </si>
  <si>
    <t>MN850586</t>
  </si>
  <si>
    <t>OL539445</t>
  </si>
  <si>
    <t>OU734268</t>
  </si>
  <si>
    <t>MZ501053</t>
  </si>
  <si>
    <t>MT682715</t>
  </si>
  <si>
    <t>OL800706</t>
  </si>
  <si>
    <t>MZ501092</t>
  </si>
  <si>
    <t>OP094641</t>
  </si>
  <si>
    <t>OP455115</t>
  </si>
  <si>
    <t>OQ223306</t>
  </si>
  <si>
    <t>OL960582</t>
  </si>
  <si>
    <t>OL960579</t>
  </si>
  <si>
    <t>OL960578</t>
  </si>
  <si>
    <t>OL865411</t>
  </si>
  <si>
    <t>MW042802</t>
  </si>
  <si>
    <t>MZ221764</t>
  </si>
  <si>
    <t>MW672037</t>
  </si>
  <si>
    <t>OM938992</t>
  </si>
  <si>
    <t>OM735690</t>
  </si>
  <si>
    <t>MZ172460</t>
  </si>
  <si>
    <t>OX335417</t>
  </si>
  <si>
    <t>OX335383</t>
  </si>
  <si>
    <t>OX335381</t>
  </si>
  <si>
    <t>OX335395</t>
  </si>
  <si>
    <t>OX335361</t>
  </si>
  <si>
    <t>OL744210</t>
  </si>
  <si>
    <t>OL744213</t>
  </si>
  <si>
    <t>OL539460</t>
  </si>
  <si>
    <t>OP267563</t>
  </si>
  <si>
    <t>MZ398242</t>
  </si>
  <si>
    <t>OK138555</t>
  </si>
  <si>
    <t>MN013078</t>
  </si>
  <si>
    <t>OP617742</t>
  </si>
  <si>
    <t>OQ267592</t>
  </si>
  <si>
    <t>OQ031071</t>
  </si>
  <si>
    <t>OL674249</t>
  </si>
  <si>
    <t>MW417503</t>
  </si>
  <si>
    <t>OP611406</t>
  </si>
  <si>
    <t>MT894005</t>
  </si>
  <si>
    <t>OX335370</t>
  </si>
  <si>
    <t>OX335386</t>
  </si>
  <si>
    <t>OX335430</t>
  </si>
  <si>
    <t>OX335439</t>
  </si>
  <si>
    <t>OX335422</t>
  </si>
  <si>
    <t>OX335421</t>
  </si>
  <si>
    <t>OX335411</t>
  </si>
  <si>
    <t>OX335387</t>
  </si>
  <si>
    <t>OM938991</t>
  </si>
  <si>
    <t>OL539450</t>
  </si>
  <si>
    <t>MZ598515</t>
  </si>
  <si>
    <t>MW021764</t>
  </si>
  <si>
    <t>MN013087</t>
  </si>
  <si>
    <t>OL539448</t>
  </si>
  <si>
    <t>OL702938</t>
  </si>
  <si>
    <t>OP413832</t>
  </si>
  <si>
    <t>OW251746</t>
  </si>
  <si>
    <t>MZ634346</t>
  </si>
  <si>
    <t>MZ634348</t>
  </si>
  <si>
    <t>MZ634351</t>
  </si>
  <si>
    <t>MT701592</t>
  </si>
  <si>
    <t>MZ428221</t>
  </si>
  <si>
    <t>MZ428222</t>
  </si>
  <si>
    <t>MZ428223</t>
  </si>
  <si>
    <t>MZ428224</t>
  </si>
  <si>
    <t>MZ428225</t>
  </si>
  <si>
    <t>MZ428226</t>
  </si>
  <si>
    <t>MZ428227</t>
  </si>
  <si>
    <t>MZ428228</t>
  </si>
  <si>
    <t>MZ571831</t>
  </si>
  <si>
    <t>OM032871</t>
  </si>
  <si>
    <t>ON881905</t>
  </si>
  <si>
    <t>MZ571833</t>
  </si>
  <si>
    <t>MZ571834</t>
  </si>
  <si>
    <t>ON602741</t>
  </si>
  <si>
    <t>ON602750</t>
  </si>
  <si>
    <t>ON602735</t>
  </si>
  <si>
    <t>OK655936</t>
  </si>
  <si>
    <t>LR757892</t>
  </si>
  <si>
    <t>MW722081</t>
  </si>
  <si>
    <t>MW815121</t>
  </si>
  <si>
    <t>OP022426</t>
  </si>
  <si>
    <t>MZ401005</t>
  </si>
  <si>
    <t>MZ401008</t>
  </si>
  <si>
    <t>OP256049</t>
  </si>
  <si>
    <t>OP894055</t>
  </si>
  <si>
    <t>ON113169</t>
  </si>
  <si>
    <t>ON113168</t>
  </si>
  <si>
    <t>MK721192</t>
  </si>
  <si>
    <t>AP018714</t>
  </si>
  <si>
    <t>LC596379</t>
  </si>
  <si>
    <t>OQ420427</t>
  </si>
  <si>
    <t>CAJDJZ010000002</t>
  </si>
  <si>
    <t>MW633168</t>
  </si>
  <si>
    <t>MN854830</t>
  </si>
  <si>
    <t>ON286976</t>
  </si>
  <si>
    <t>CAJDKA010000002</t>
  </si>
  <si>
    <t>MT856905</t>
  </si>
  <si>
    <t>MN027503</t>
  </si>
  <si>
    <t>OM966901</t>
  </si>
  <si>
    <t>ON125307</t>
  </si>
  <si>
    <t>ON113170</t>
  </si>
  <si>
    <t>MW004545</t>
  </si>
  <si>
    <t>MH791397</t>
  </si>
  <si>
    <t>MZ333462</t>
  </si>
  <si>
    <t>MT909815</t>
  </si>
  <si>
    <t>MN241318</t>
  </si>
  <si>
    <t>LR990835</t>
  </si>
  <si>
    <t>OL799258</t>
  </si>
  <si>
    <t>OL799260</t>
  </si>
  <si>
    <t>MZ147816</t>
  </si>
  <si>
    <t>ON506927</t>
  </si>
  <si>
    <t>ON506928</t>
  </si>
  <si>
    <t>OP072332</t>
  </si>
  <si>
    <t>OP031061</t>
  </si>
  <si>
    <t>OP073416</t>
  </si>
  <si>
    <t>OL674541</t>
  </si>
  <si>
    <t>ON932080</t>
  </si>
  <si>
    <t>ON932084</t>
  </si>
  <si>
    <t>OK275492</t>
  </si>
  <si>
    <t>MT664984</t>
  </si>
  <si>
    <t>ON932079</t>
  </si>
  <si>
    <t>ON529854</t>
  </si>
  <si>
    <t>ON189045</t>
  </si>
  <si>
    <t>ON005621</t>
  </si>
  <si>
    <t>ON189047</t>
  </si>
  <si>
    <t>KU204984</t>
  </si>
  <si>
    <t>OP380269</t>
  </si>
  <si>
    <t>OP361299</t>
  </si>
  <si>
    <t>ON331942</t>
  </si>
  <si>
    <t>OP484843</t>
  </si>
  <si>
    <t>ON470592</t>
  </si>
  <si>
    <t>OQ025560</t>
  </si>
  <si>
    <t>OM638610</t>
  </si>
  <si>
    <t>OM638609</t>
  </si>
  <si>
    <t>OM638611</t>
  </si>
  <si>
    <t>OM638608</t>
  </si>
  <si>
    <t>ON642070</t>
  </si>
  <si>
    <t>OP880301</t>
  </si>
  <si>
    <t>OP880302</t>
  </si>
  <si>
    <t>OQ383618</t>
  </si>
  <si>
    <t>MT457475</t>
  </si>
  <si>
    <t>ON677538</t>
  </si>
  <si>
    <t>OP589309</t>
  </si>
  <si>
    <t>OP056300</t>
  </si>
  <si>
    <t>OM897575</t>
  </si>
  <si>
    <t>OP590147</t>
  </si>
  <si>
    <t>OQ187816</t>
  </si>
  <si>
    <t>ON042750</t>
  </si>
  <si>
    <t>OP433492</t>
  </si>
  <si>
    <t>OP074812</t>
  </si>
  <si>
    <t>OP030930</t>
  </si>
  <si>
    <t>OP072217</t>
  </si>
  <si>
    <t>OP072523</t>
  </si>
  <si>
    <t>OP072636</t>
  </si>
  <si>
    <t>OP072641</t>
  </si>
  <si>
    <t>OP031033</t>
  </si>
  <si>
    <t>OP072219</t>
  </si>
  <si>
    <t>MK415409</t>
  </si>
  <si>
    <t>OP072788</t>
  </si>
  <si>
    <t>OP072320</t>
  </si>
  <si>
    <t>OP031074</t>
  </si>
  <si>
    <t>OP072371</t>
  </si>
  <si>
    <t>OP072489</t>
  </si>
  <si>
    <t>OP072486</t>
  </si>
  <si>
    <t>OP030994</t>
  </si>
  <si>
    <t>OP072887</t>
  </si>
  <si>
    <t>OP031127</t>
  </si>
  <si>
    <t>OP030894</t>
  </si>
  <si>
    <t>OP072800</t>
  </si>
  <si>
    <t>OP030953</t>
  </si>
  <si>
    <t>OP072690</t>
  </si>
  <si>
    <t>OP072785</t>
  </si>
  <si>
    <t>OP072662</t>
  </si>
  <si>
    <t>OP031095</t>
  </si>
  <si>
    <t>OP072884</t>
  </si>
  <si>
    <t>OP072241</t>
  </si>
  <si>
    <t>OP030980</t>
  </si>
  <si>
    <t>OP072470</t>
  </si>
  <si>
    <t>OP072369</t>
  </si>
  <si>
    <t>OP072718</t>
  </si>
  <si>
    <t>OP030808</t>
  </si>
  <si>
    <t>OP072856</t>
  </si>
  <si>
    <t>OP030874</t>
  </si>
  <si>
    <t>OP072247</t>
  </si>
  <si>
    <t>OP072826</t>
  </si>
  <si>
    <t>OP072555</t>
  </si>
  <si>
    <t>OP030794</t>
  </si>
  <si>
    <t>OP030734</t>
  </si>
  <si>
    <t>OP031003</t>
  </si>
  <si>
    <t>OP072506</t>
  </si>
  <si>
    <t>OP030816</t>
  </si>
  <si>
    <t>OP072867</t>
  </si>
  <si>
    <t>OP072845</t>
  </si>
  <si>
    <t>OP072337</t>
  </si>
  <si>
    <t>OP030742</t>
  </si>
  <si>
    <t>OP072391</t>
  </si>
  <si>
    <t>OP072326</t>
  </si>
  <si>
    <t>OP031048</t>
  </si>
  <si>
    <t>OP072697</t>
  </si>
  <si>
    <t>OP072480</t>
  </si>
  <si>
    <t>OP072408</t>
  </si>
  <si>
    <t>OP031115</t>
  </si>
  <si>
    <t>OP072827</t>
  </si>
  <si>
    <t>OP072491</t>
  </si>
  <si>
    <t>OP072766</t>
  </si>
  <si>
    <t>OP030766</t>
  </si>
  <si>
    <t>OP072603</t>
  </si>
  <si>
    <t>OQ709208</t>
  </si>
  <si>
    <t>MK392368</t>
  </si>
  <si>
    <t>ON392166</t>
  </si>
  <si>
    <t>MH834621</t>
  </si>
  <si>
    <t>MZ274308</t>
  </si>
  <si>
    <t>MH834627</t>
  </si>
  <si>
    <t>MZ150784</t>
  </si>
  <si>
    <t>MH834607</t>
  </si>
  <si>
    <t>MK757448</t>
  </si>
  <si>
    <t>MH834622</t>
  </si>
  <si>
    <t>OK040171</t>
  </si>
  <si>
    <t>OM982620</t>
  </si>
  <si>
    <t>MZ826350</t>
  </si>
  <si>
    <t>MN905160</t>
  </si>
  <si>
    <t>MW175491</t>
  </si>
  <si>
    <t>MT670417</t>
  </si>
  <si>
    <t>MT670418</t>
  </si>
  <si>
    <t>MT670419</t>
  </si>
  <si>
    <t>MT670420</t>
  </si>
  <si>
    <t>MT670421</t>
  </si>
  <si>
    <t>MT670422</t>
  </si>
  <si>
    <t>MZ348426</t>
  </si>
  <si>
    <t>MZ868713</t>
  </si>
  <si>
    <t>MF893340</t>
  </si>
  <si>
    <t>MK511059</t>
  </si>
  <si>
    <t>MH719194</t>
  </si>
  <si>
    <t>MN536027</t>
  </si>
  <si>
    <t>MH719189</t>
  </si>
  <si>
    <t>MH719191</t>
  </si>
  <si>
    <t>MH719190</t>
  </si>
  <si>
    <t>MH719193</t>
  </si>
  <si>
    <t>MH719195</t>
  </si>
  <si>
    <t>MK934841</t>
  </si>
  <si>
    <t>ON720976</t>
  </si>
  <si>
    <t>MK479295</t>
  </si>
  <si>
    <t>MT012729</t>
  </si>
  <si>
    <t>MN070121</t>
  </si>
  <si>
    <t>MF158037</t>
  </si>
  <si>
    <t>MK214385</t>
  </si>
  <si>
    <t>MH424444</t>
  </si>
  <si>
    <t>MZ004649</t>
  </si>
  <si>
    <t>MT074473</t>
  </si>
  <si>
    <t>MT074484</t>
  </si>
  <si>
    <t>ON409569</t>
  </si>
  <si>
    <t>MT074431</t>
  </si>
  <si>
    <t>MT074432</t>
  </si>
  <si>
    <t>MN336264</t>
  </si>
  <si>
    <t>MN336265</t>
  </si>
  <si>
    <t>MW355461</t>
  </si>
  <si>
    <t>MW355463</t>
  </si>
  <si>
    <t>MW355465</t>
  </si>
  <si>
    <t>OP745619</t>
  </si>
  <si>
    <t>OM339548</t>
  </si>
  <si>
    <t>MZ274225</t>
  </si>
  <si>
    <t>ON720977</t>
  </si>
  <si>
    <t>MT074482</t>
  </si>
  <si>
    <t>MW715619</t>
  </si>
  <si>
    <t>MT653144</t>
  </si>
  <si>
    <t>OP484850</t>
  </si>
  <si>
    <t>OL436139</t>
  </si>
  <si>
    <t>KY379853</t>
  </si>
  <si>
    <t>OP389270</t>
  </si>
  <si>
    <t>MT677933</t>
  </si>
  <si>
    <t>MT677934</t>
  </si>
  <si>
    <t>OM291373</t>
  </si>
  <si>
    <t>MT074430</t>
  </si>
  <si>
    <t>MF431252</t>
  </si>
  <si>
    <t>OL770276</t>
  </si>
  <si>
    <t>MH370358</t>
  </si>
  <si>
    <t>MH370360</t>
  </si>
  <si>
    <t>OK108608</t>
  </si>
  <si>
    <t>OK108609</t>
  </si>
  <si>
    <t>MK578530</t>
  </si>
  <si>
    <t>KX649889</t>
  </si>
  <si>
    <t>OK169616</t>
  </si>
  <si>
    <t>MK931446</t>
  </si>
  <si>
    <t>MT740291</t>
  </si>
  <si>
    <t>MT074481</t>
  </si>
  <si>
    <t>MT074483</t>
  </si>
  <si>
    <t>MW201959</t>
  </si>
  <si>
    <t>MK972702</t>
  </si>
  <si>
    <t>KY176369</t>
  </si>
  <si>
    <t>ON996339</t>
  </si>
  <si>
    <t>MT074462</t>
  </si>
  <si>
    <t>MZ955866</t>
  </si>
  <si>
    <t>OL519843</t>
  </si>
  <si>
    <t>LC507823</t>
  </si>
  <si>
    <t>MN393078</t>
  </si>
  <si>
    <t>MH424443</t>
  </si>
  <si>
    <t>MH424445</t>
  </si>
  <si>
    <t>MT074451</t>
  </si>
  <si>
    <t>OP793478</t>
  </si>
  <si>
    <t>KY295895</t>
  </si>
  <si>
    <t>KY295896</t>
  </si>
  <si>
    <t>KY295898</t>
  </si>
  <si>
    <t>MZ997838</t>
  </si>
  <si>
    <t>MZ234048</t>
  </si>
  <si>
    <t>OM810255</t>
  </si>
  <si>
    <t>OM236516</t>
  </si>
  <si>
    <t>MG197810</t>
  </si>
  <si>
    <t>MK685667</t>
  </si>
  <si>
    <t>MT757392</t>
  </si>
  <si>
    <t>MZ374361</t>
  </si>
  <si>
    <t>MZ504995</t>
  </si>
  <si>
    <t>ON602758</t>
  </si>
  <si>
    <t>MN689778</t>
  </si>
  <si>
    <t>MZ398021</t>
  </si>
  <si>
    <t>MK521906</t>
  </si>
  <si>
    <t>OK499978</t>
  </si>
  <si>
    <t>MT894004</t>
  </si>
  <si>
    <t>ON809560</t>
  </si>
  <si>
    <t>OP114730</t>
  </si>
  <si>
    <t>ON086804</t>
  </si>
  <si>
    <t>MN734437</t>
  </si>
  <si>
    <t>MN734439</t>
  </si>
  <si>
    <t>MN734438</t>
  </si>
  <si>
    <t>MK574078</t>
  </si>
  <si>
    <t>MG897800</t>
  </si>
  <si>
    <t>KR537872</t>
  </si>
  <si>
    <t>ON911538</t>
  </si>
  <si>
    <t>MT118304</t>
  </si>
  <si>
    <t>MZ927746</t>
  </si>
  <si>
    <t>MZ927745</t>
  </si>
  <si>
    <t>OK330455</t>
  </si>
  <si>
    <t>OP712460</t>
  </si>
  <si>
    <t>OP712466</t>
  </si>
  <si>
    <t>OP712474</t>
  </si>
  <si>
    <t>OP712479</t>
  </si>
  <si>
    <t>OP422637</t>
  </si>
  <si>
    <t>MN062187</t>
  </si>
  <si>
    <t>MK165657</t>
  </si>
  <si>
    <t>OK330456</t>
  </si>
  <si>
    <t>OQ259603</t>
  </si>
  <si>
    <t>LC552830</t>
  </si>
  <si>
    <t>OK040792</t>
  </si>
  <si>
    <t>MN586020</t>
  </si>
  <si>
    <t>MK937591</t>
  </si>
  <si>
    <t>MK937608</t>
  </si>
  <si>
    <t>MK937606</t>
  </si>
  <si>
    <t>MN813682</t>
  </si>
  <si>
    <t>MN813684</t>
  </si>
  <si>
    <t>MN585986</t>
  </si>
  <si>
    <t>MN586042</t>
  </si>
  <si>
    <t>MN586059</t>
  </si>
  <si>
    <t>MN175603</t>
  </si>
  <si>
    <t>MT657336</t>
  </si>
  <si>
    <t>MZ622179</t>
  </si>
  <si>
    <t>MW578837</t>
  </si>
  <si>
    <t>MZ648035</t>
  </si>
  <si>
    <t>OP882271</t>
  </si>
  <si>
    <t>ON911540</t>
  </si>
  <si>
    <t>KX898400</t>
  </si>
  <si>
    <t>MW835180</t>
  </si>
  <si>
    <t>MN504636</t>
  </si>
  <si>
    <t>OK562670</t>
  </si>
  <si>
    <t>MN820898</t>
  </si>
  <si>
    <t>ON169972</t>
  </si>
  <si>
    <t>OQ225162</t>
  </si>
  <si>
    <t>OQ225163</t>
  </si>
  <si>
    <t>OQ200059</t>
  </si>
  <si>
    <t>MN013356</t>
  </si>
  <si>
    <t>MN563785</t>
  </si>
  <si>
    <t>MK224498</t>
  </si>
  <si>
    <t>OQ164637</t>
  </si>
  <si>
    <t>MK443264</t>
  </si>
  <si>
    <t>ON361135</t>
  </si>
  <si>
    <t>MK138526</t>
  </si>
  <si>
    <t>MH791399</t>
  </si>
  <si>
    <t>MH791408</t>
  </si>
  <si>
    <t>MW526259</t>
  </si>
  <si>
    <t>OK539826</t>
  </si>
  <si>
    <t>OP784575</t>
  </si>
  <si>
    <t>OM870967</t>
  </si>
  <si>
    <t>OM870969</t>
  </si>
  <si>
    <t>OM870970</t>
  </si>
  <si>
    <t>OQ319936</t>
  </si>
  <si>
    <t>OP875100</t>
  </si>
  <si>
    <t>OP875101</t>
  </si>
  <si>
    <t>MF974178</t>
  </si>
  <si>
    <t>ON189042</t>
  </si>
  <si>
    <t>ON189043</t>
  </si>
  <si>
    <t>ON189044</t>
  </si>
  <si>
    <t>LR743530</t>
  </si>
  <si>
    <t>ON286973</t>
  </si>
  <si>
    <t>MZ501048</t>
  </si>
  <si>
    <t>OX460980</t>
  </si>
  <si>
    <t>MK962749</t>
  </si>
  <si>
    <t>MZ501060</t>
  </si>
  <si>
    <t>MK883717</t>
  </si>
  <si>
    <t>MK883718</t>
  </si>
  <si>
    <t>MZ501061</t>
  </si>
  <si>
    <t>MZ501062</t>
  </si>
  <si>
    <t>MT682716</t>
  </si>
  <si>
    <t>MK373780</t>
  </si>
  <si>
    <t>MT740314</t>
  </si>
  <si>
    <t>MH491969</t>
  </si>
  <si>
    <t>MZ501093</t>
  </si>
  <si>
    <t>MN850642</t>
  </si>
  <si>
    <t>MN850646</t>
  </si>
  <si>
    <t>MN850649</t>
  </si>
  <si>
    <t>MN850627</t>
  </si>
  <si>
    <t>MG963916</t>
  </si>
  <si>
    <t>LC739538</t>
  </si>
  <si>
    <t>LC739540</t>
  </si>
  <si>
    <t>LC739541</t>
  </si>
  <si>
    <t>LR699804</t>
  </si>
  <si>
    <t>MW748998</t>
  </si>
  <si>
    <t>MW883061</t>
  </si>
  <si>
    <t>KP869112</t>
  </si>
  <si>
    <t>MZ501111</t>
  </si>
  <si>
    <t>OQ376695</t>
  </si>
  <si>
    <t>MZ501266</t>
  </si>
  <si>
    <t>ON724010</t>
  </si>
  <si>
    <t>MW672041</t>
  </si>
  <si>
    <t>MT514532</t>
  </si>
  <si>
    <t>MT422786</t>
  </si>
  <si>
    <t>ON456151</t>
  </si>
  <si>
    <t>MH341452</t>
  </si>
  <si>
    <t>MZ361827</t>
  </si>
  <si>
    <t>LR990833</t>
  </si>
  <si>
    <t>LR991625</t>
  </si>
  <si>
    <t>OK500002</t>
  </si>
  <si>
    <t>OQ709211</t>
  </si>
  <si>
    <t>MN310549</t>
  </si>
  <si>
    <t>OP580516</t>
  </si>
  <si>
    <t>OP297545</t>
  </si>
  <si>
    <t>MT024867</t>
  </si>
  <si>
    <t>MW021763</t>
  </si>
  <si>
    <t>OM135608</t>
  </si>
  <si>
    <t>OL539464</t>
  </si>
  <si>
    <t>OL539442</t>
  </si>
  <si>
    <t>OP066531</t>
  </si>
  <si>
    <t>KX557288</t>
  </si>
  <si>
    <t>KU958700</t>
  </si>
  <si>
    <t>LC513943</t>
  </si>
  <si>
    <t>CAJDKB010000002</t>
  </si>
  <si>
    <t>MG581355</t>
  </si>
  <si>
    <t>MW822006</t>
  </si>
  <si>
    <t>MN850628</t>
  </si>
  <si>
    <t>MT884014</t>
  </si>
  <si>
    <t>MK728541</t>
  </si>
  <si>
    <t>MZ234029</t>
  </si>
  <si>
    <t>MZ234016</t>
  </si>
  <si>
    <t>MT478993</t>
  </si>
  <si>
    <t>ON210136</t>
  </si>
  <si>
    <t>MZ501070</t>
  </si>
  <si>
    <t>LR597646</t>
  </si>
  <si>
    <t>MN850650</t>
  </si>
  <si>
    <t>OK272488</t>
  </si>
  <si>
    <t>OK272474</t>
  </si>
  <si>
    <t>MZ501088</t>
  </si>
  <si>
    <t>OM262540</t>
  </si>
  <si>
    <t>LR990702</t>
  </si>
  <si>
    <t>MN850629</t>
  </si>
  <si>
    <t>MZ501095</t>
  </si>
  <si>
    <t>OL770278</t>
  </si>
  <si>
    <t>OK499985</t>
  </si>
  <si>
    <t>MZ501097</t>
  </si>
  <si>
    <t>ON184124</t>
  </si>
  <si>
    <t>OP046317</t>
  </si>
  <si>
    <t>MK138527</t>
  </si>
  <si>
    <t>MK373789</t>
  </si>
  <si>
    <t>OK499988</t>
  </si>
  <si>
    <t>MN850575</t>
  </si>
  <si>
    <t>LT960609</t>
  </si>
  <si>
    <t>MW749005</t>
  </si>
  <si>
    <t>OL615010</t>
  </si>
  <si>
    <t>OK499993</t>
  </si>
  <si>
    <t>MZ501107</t>
  </si>
  <si>
    <t>MW862804</t>
  </si>
  <si>
    <t>MN850589</t>
  </si>
  <si>
    <t>MK373791</t>
  </si>
  <si>
    <t>MK373790</t>
  </si>
  <si>
    <t>OM262541</t>
  </si>
  <si>
    <t>OK310514</t>
  </si>
  <si>
    <t>MW291017</t>
  </si>
  <si>
    <t>OP018674</t>
  </si>
  <si>
    <t>MN586033</t>
  </si>
  <si>
    <t>ON456347</t>
  </si>
  <si>
    <t>MZ150789</t>
  </si>
  <si>
    <t>MN234216</t>
  </si>
  <si>
    <t>MH450115</t>
  </si>
  <si>
    <t>MZ274309</t>
  </si>
  <si>
    <t>ON456340</t>
  </si>
  <si>
    <t>MZ209303</t>
  </si>
  <si>
    <t>MF140423</t>
  </si>
  <si>
    <t>MF038790</t>
  </si>
  <si>
    <t>ON645338</t>
  </si>
  <si>
    <t>MH479926</t>
  </si>
  <si>
    <t>MH399789</t>
  </si>
  <si>
    <t>MF140432</t>
  </si>
  <si>
    <t>ON456335</t>
  </si>
  <si>
    <t>OM141125</t>
  </si>
  <si>
    <t>MH362766</t>
  </si>
  <si>
    <t>MF490237</t>
  </si>
  <si>
    <t>MT118301</t>
  </si>
  <si>
    <t>KC900378</t>
  </si>
  <si>
    <t>MZ285879</t>
  </si>
  <si>
    <t>LT603684</t>
  </si>
  <si>
    <t>ON778007</t>
  </si>
  <si>
    <t>MH155870</t>
  </si>
  <si>
    <t>MN234184</t>
  </si>
  <si>
    <t>ON392164</t>
  </si>
  <si>
    <t>MT451982</t>
  </si>
  <si>
    <t>ON392165</t>
  </si>
  <si>
    <t>MT521991</t>
  </si>
  <si>
    <t>ON456341</t>
  </si>
  <si>
    <t>MT451980</t>
  </si>
  <si>
    <t>OL455886</t>
  </si>
  <si>
    <t>MT451981</t>
  </si>
  <si>
    <t>MH744420</t>
  </si>
  <si>
    <t>MK977707</t>
  </si>
  <si>
    <t>MW748993</t>
  </si>
  <si>
    <t>MN234170</t>
  </si>
  <si>
    <t>ON191532</t>
  </si>
  <si>
    <t>MW862109</t>
  </si>
  <si>
    <t>KU708004</t>
  </si>
  <si>
    <t>OP434449</t>
  </si>
  <si>
    <t>ON087563</t>
  </si>
  <si>
    <t>MW082583</t>
  </si>
  <si>
    <t>KT716399</t>
  </si>
  <si>
    <t>OK040790</t>
  </si>
  <si>
    <t>MT104475</t>
  </si>
  <si>
    <t>MZ868718</t>
  </si>
  <si>
    <t>MW021761</t>
  </si>
  <si>
    <t>MN604698</t>
  </si>
  <si>
    <t>MZ209302</t>
  </si>
  <si>
    <t>MK814759</t>
  </si>
  <si>
    <t>OM818327</t>
  </si>
  <si>
    <t>OQ709200</t>
  </si>
  <si>
    <t>OL539452</t>
  </si>
  <si>
    <t>MK608336</t>
  </si>
  <si>
    <t>OK499995</t>
  </si>
  <si>
    <t>MW507126</t>
  </si>
  <si>
    <t>MK061416</t>
  </si>
  <si>
    <t>OP751148</t>
  </si>
  <si>
    <t>OQ317942</t>
  </si>
  <si>
    <t>MT939242</t>
  </si>
  <si>
    <t>MH825712</t>
  </si>
  <si>
    <t>MZ028627</t>
  </si>
  <si>
    <t>MK085976</t>
  </si>
  <si>
    <t>OK499999</t>
  </si>
  <si>
    <t>KY963371</t>
  </si>
  <si>
    <t>MT745954</t>
  </si>
  <si>
    <t>DQ222855</t>
  </si>
  <si>
    <t>MT745955</t>
  </si>
  <si>
    <t>OK499979</t>
  </si>
  <si>
    <t>KY963370</t>
  </si>
  <si>
    <t>KY963369</t>
  </si>
  <si>
    <t>MT745956</t>
  </si>
  <si>
    <t>MT024870</t>
  </si>
  <si>
    <t>MT889364</t>
  </si>
  <si>
    <t>MT975991</t>
  </si>
  <si>
    <t>MT188666</t>
  </si>
  <si>
    <t>MT188662</t>
  </si>
  <si>
    <t>MT188663</t>
  </si>
  <si>
    <t>MT193890</t>
  </si>
  <si>
    <t>MT188665</t>
  </si>
  <si>
    <t>MT188664</t>
  </si>
  <si>
    <t>OP628074</t>
  </si>
  <si>
    <t>OL512807</t>
  </si>
  <si>
    <t>BK014421</t>
  </si>
  <si>
    <t>MN793992</t>
  </si>
  <si>
    <t>MZ502385</t>
  </si>
  <si>
    <t>MZ448624</t>
  </si>
  <si>
    <t>MT354567</t>
  </si>
  <si>
    <t>MN793991</t>
  </si>
  <si>
    <t>MZ502384</t>
  </si>
  <si>
    <t>BK014422</t>
  </si>
  <si>
    <t>MN793994</t>
  </si>
  <si>
    <t>MN793996</t>
  </si>
  <si>
    <t>MN793995</t>
  </si>
  <si>
    <t>BK014418</t>
  </si>
  <si>
    <t>MZ502386</t>
  </si>
  <si>
    <t>MW423805</t>
  </si>
  <si>
    <t>BK014419</t>
  </si>
  <si>
    <t>MZ502387</t>
  </si>
  <si>
    <t>MT354566</t>
  </si>
  <si>
    <t>ON380551</t>
  </si>
  <si>
    <t>MZ448625</t>
  </si>
  <si>
    <t>BK014420</t>
  </si>
  <si>
    <t>BK063446</t>
  </si>
  <si>
    <t>ON241320</t>
  </si>
  <si>
    <t>MZ189739</t>
  </si>
  <si>
    <t>MK684348</t>
  </si>
  <si>
    <t>ON595755</t>
  </si>
  <si>
    <t>ON241321</t>
  </si>
  <si>
    <t>ON241319</t>
  </si>
  <si>
    <t>ON241323</t>
  </si>
  <si>
    <t>OP066307</t>
  </si>
  <si>
    <t>OM525829</t>
  </si>
  <si>
    <t>ON240063</t>
  </si>
  <si>
    <t>ON240064</t>
  </si>
  <si>
    <t>OM141115</t>
  </si>
  <si>
    <t>MZ682351</t>
  </si>
  <si>
    <t>OQ295989</t>
  </si>
  <si>
    <t>HM159995</t>
  </si>
  <si>
    <t>AB759118</t>
  </si>
  <si>
    <t>KT071755</t>
  </si>
  <si>
    <t>MZ926778</t>
  </si>
  <si>
    <t>MZ802804</t>
  </si>
  <si>
    <t>EU403085</t>
  </si>
  <si>
    <t>OK044775</t>
  </si>
  <si>
    <t>MT180123</t>
  </si>
  <si>
    <t>ON613535</t>
  </si>
  <si>
    <t>OK210078</t>
  </si>
  <si>
    <t>OM030330</t>
  </si>
  <si>
    <t>OK623363</t>
  </si>
  <si>
    <t>MZ328280</t>
  </si>
  <si>
    <t>MZ328279</t>
  </si>
  <si>
    <t>OK623364</t>
  </si>
  <si>
    <t>OL409126</t>
  </si>
  <si>
    <t>OK623355</t>
  </si>
  <si>
    <t>OK210080</t>
  </si>
  <si>
    <t>MZ328278</t>
  </si>
  <si>
    <t>OK623361</t>
  </si>
  <si>
    <t>MZ328277</t>
  </si>
  <si>
    <t>MT823459</t>
  </si>
  <si>
    <t>OK623362</t>
  </si>
  <si>
    <t>OM030338</t>
  </si>
  <si>
    <t>MZ328283</t>
  </si>
  <si>
    <t>OM030331</t>
  </si>
  <si>
    <t>OM030332</t>
  </si>
  <si>
    <t>MT823463</t>
  </si>
  <si>
    <t>MW557651</t>
  </si>
  <si>
    <t>MZ312422</t>
  </si>
  <si>
    <t>MT511667</t>
  </si>
  <si>
    <t>OK623365</t>
  </si>
  <si>
    <t>OK623360</t>
  </si>
  <si>
    <t>OK623359</t>
  </si>
  <si>
    <t>OM030316</t>
  </si>
  <si>
    <t>OM030317</t>
  </si>
  <si>
    <t>MZ574409</t>
  </si>
  <si>
    <t>MZ574407</t>
  </si>
  <si>
    <t>OM030314</t>
  </si>
  <si>
    <t>OM101125</t>
  </si>
  <si>
    <t>OK623353</t>
  </si>
  <si>
    <t>MZ328275</t>
  </si>
  <si>
    <t>OK623354</t>
  </si>
  <si>
    <t>MZ312426</t>
  </si>
  <si>
    <t>MZ312420</t>
  </si>
  <si>
    <t>MZ753810</t>
  </si>
  <si>
    <t>MZ312424</t>
  </si>
  <si>
    <t>OL630969</t>
  </si>
  <si>
    <t>MZ312421</t>
  </si>
  <si>
    <t>MZ328288</t>
  </si>
  <si>
    <t>OM030334</t>
  </si>
  <si>
    <t>OM030333</t>
  </si>
  <si>
    <t>MZ328290</t>
  </si>
  <si>
    <t>OM030335</t>
  </si>
  <si>
    <t>OM030336</t>
  </si>
  <si>
    <t>MZ328284</t>
  </si>
  <si>
    <t>OK623356</t>
  </si>
  <si>
    <t>MZ328285</t>
  </si>
  <si>
    <t>BK061229</t>
  </si>
  <si>
    <t>MZ328287</t>
  </si>
  <si>
    <t>MT062420</t>
  </si>
  <si>
    <t>LR994545</t>
  </si>
  <si>
    <t>MZ826138</t>
  </si>
  <si>
    <t>MZ911846</t>
  </si>
  <si>
    <t>LT994651</t>
  </si>
  <si>
    <t>LT907979</t>
  </si>
  <si>
    <t>MN873693</t>
  </si>
  <si>
    <t>AUXO017923253</t>
  </si>
  <si>
    <t>KM502589</t>
  </si>
  <si>
    <t>OL828819</t>
  </si>
  <si>
    <t>KJ854379</t>
  </si>
  <si>
    <t>dsRNA1: LN896307; dsRNA2: LN896308; dsRNA3: LN896309; dsRNA4: LN896310</t>
  </si>
  <si>
    <t>dsRNA1: KP245734; dsRNA2: KP245735; dsRNA3: KP245736; dsRNA4: KP245737; dsRNA5: KP245738</t>
  </si>
  <si>
    <t>dsRNA1: KJ787686; dsRNA2: KJ787687; dsRNA3: KJ787688; dsRNA4: KJ787689; dsRNA5: KJ787690</t>
  </si>
  <si>
    <t>dsRNA1: MK609920; dsRNA2: MK609921; dsRNA3: MK609922; dsRNA4: MK609923; dsRNA5: MK609924; dsRNA6: MK609925; dsRNA7: MK609926; dsRNA8: MK609927</t>
  </si>
  <si>
    <t>dsRNA1: MH231406; dsRNA2: MH231407; dsRNA3: MH231408; dsRNA4: MH231409</t>
  </si>
  <si>
    <t>dsRNA1: MG887750; dsRNA2: MG887751; dsRNA3: MG887752; dsRNA4: MG887753</t>
  </si>
  <si>
    <t>dsRNA1: MF317878; dsRNA2: MF317879; dsRNA3: MF317880; dsRNA4: MF317881</t>
  </si>
  <si>
    <t>DNA-R: MK035728; DNA-S: MK035729; DNA-C: MK035730; DNA-M: MK035731; DNA-N: MK035732; DNA-U1: MK035733; DNA-U2: MK035734; DNA-U4: MK035735</t>
  </si>
  <si>
    <t>S: MH499470; M: MH499471; L: MH499472</t>
  </si>
  <si>
    <t>MK584854; MN532679; MN532680</t>
  </si>
  <si>
    <t>MN585278; MT188506; MT188509</t>
  </si>
  <si>
    <t>MN548097; MT188505; MT188508</t>
  </si>
  <si>
    <t>MF142458; MF142459; MF142460</t>
  </si>
  <si>
    <t>MG887749; MN163273; MN163274</t>
  </si>
  <si>
    <t>L: MK330765; M: MK330766; S: MK330767</t>
  </si>
  <si>
    <t>KX670389; KX670390; KX670391; KX670392; KX670393; KX670394; KX670395</t>
  </si>
  <si>
    <t>JQ928941; JQ928942; JQ928943; JQ928944; JQ928945; JQ928946; MT774252</t>
  </si>
  <si>
    <t>MH880287; MH880288; MH880289; MH880290; MH880291; MH880292</t>
  </si>
  <si>
    <t>HM627170; HM627171; HM627172; HM627173; HM627174; HM627175</t>
  </si>
  <si>
    <t>KX949586; KX949587; KX949588; KX949589; KX949590; KX949591</t>
  </si>
  <si>
    <t>dsRNA1: KX778766; dsRNA2: KX778767; dsRNA3: KX778768; dsRNA4: KX778769; dsRNA5: KX778770; dsRNA6: KX778771; dsRNA7: KX778772; dsRNA8: KX778773</t>
  </si>
  <si>
    <t>Seg1: OP436269; Seg2: OP436270</t>
  </si>
  <si>
    <t>DNA-A: MF163258; DNA-B: MF163259</t>
  </si>
  <si>
    <t>DNA-A: MN013784; DNA-B: MN013785</t>
  </si>
  <si>
    <t xml:space="preserve">L: OQ295987; S: OQ295988 </t>
  </si>
  <si>
    <t>KJ010548</t>
  </si>
  <si>
    <t>JN797796</t>
  </si>
  <si>
    <t>JN797798</t>
  </si>
  <si>
    <t>KT207918</t>
  </si>
  <si>
    <t>KJ591605</t>
  </si>
  <si>
    <t>KJ586795</t>
  </si>
  <si>
    <t>KJ094031</t>
  </si>
  <si>
    <t>JX126918</t>
  </si>
  <si>
    <t>JX080302</t>
  </si>
  <si>
    <t>JX080301</t>
  </si>
  <si>
    <t>EU418428</t>
  </si>
  <si>
    <t>JX080303</t>
  </si>
  <si>
    <t>KP687431</t>
  </si>
  <si>
    <t>KP687432</t>
  </si>
  <si>
    <t>KR902361</t>
  </si>
  <si>
    <t>KR908644</t>
  </si>
  <si>
    <t>FR852584</t>
  </si>
  <si>
    <t>JX080304</t>
  </si>
  <si>
    <t>JX080305</t>
  </si>
  <si>
    <t>JX875065</t>
  </si>
  <si>
    <t>JX080300</t>
  </si>
  <si>
    <t>KC012913</t>
  </si>
  <si>
    <t>JX846613</t>
  </si>
  <si>
    <t>AB910602</t>
  </si>
  <si>
    <t>AB572858</t>
  </si>
  <si>
    <t>FJ904927</t>
  </si>
  <si>
    <t>AF453500</t>
  </si>
  <si>
    <t>AF452449</t>
  </si>
  <si>
    <t>MF716957</t>
  </si>
  <si>
    <t>AB981170</t>
  </si>
  <si>
    <t>JF719734</t>
  </si>
  <si>
    <t>JF719733</t>
  </si>
  <si>
    <t>JF719732</t>
  </si>
  <si>
    <t>GQ153919</t>
  </si>
  <si>
    <t>GQ153918</t>
  </si>
  <si>
    <t>GQ153917</t>
  </si>
  <si>
    <t>GQ153916</t>
  </si>
  <si>
    <t>AB334721</t>
  </si>
  <si>
    <t>AB334720</t>
  </si>
  <si>
    <t>J02448</t>
  </si>
  <si>
    <t>JX412914</t>
  </si>
  <si>
    <t>J02451</t>
  </si>
  <si>
    <t>AB931172</t>
  </si>
  <si>
    <t>JQ408219</t>
  </si>
  <si>
    <t>LC066596</t>
  </si>
  <si>
    <t>M19377</t>
  </si>
  <si>
    <t>AB043679</t>
  </si>
  <si>
    <t>AB012574</t>
  </si>
  <si>
    <t>KY853667</t>
  </si>
  <si>
    <t>M73236</t>
  </si>
  <si>
    <t>X74462</t>
  </si>
  <si>
    <t>U31783</t>
  </si>
  <si>
    <t>U31784</t>
  </si>
  <si>
    <t>Y15175</t>
  </si>
  <si>
    <t>KC138720</t>
  </si>
  <si>
    <t>AJ620211</t>
  </si>
  <si>
    <t>GQ246950</t>
  </si>
  <si>
    <t>FN547152</t>
  </si>
  <si>
    <t>AB745694</t>
  </si>
  <si>
    <t>AY395706</t>
  </si>
  <si>
    <t>X94164</t>
  </si>
  <si>
    <t>AJ620209</t>
  </si>
  <si>
    <t>AF151983</t>
  </si>
  <si>
    <t>AF293960</t>
  </si>
  <si>
    <t>AF349909</t>
  </si>
  <si>
    <t>AJ400628</t>
  </si>
  <si>
    <t>AF436128</t>
  </si>
  <si>
    <t>DQ080083</t>
  </si>
  <si>
    <t>GQ244463</t>
  </si>
  <si>
    <t>X74473</t>
  </si>
  <si>
    <t>X55965</t>
  </si>
  <si>
    <t>M62877</t>
  </si>
  <si>
    <t>AB027020</t>
  </si>
  <si>
    <t>AB027021</t>
  </si>
  <si>
    <t>X74482</t>
  </si>
  <si>
    <t>X74483</t>
  </si>
  <si>
    <t>U31794</t>
  </si>
  <si>
    <t>M62849</t>
  </si>
  <si>
    <t>X74479</t>
  </si>
  <si>
    <t>X77858</t>
  </si>
  <si>
    <t>DQ080079</t>
  </si>
  <si>
    <t>U21941</t>
  </si>
  <si>
    <t>AF131950</t>
  </si>
  <si>
    <t>DQ080080</t>
  </si>
  <si>
    <t>X74478</t>
  </si>
  <si>
    <t>AJ620205</t>
  </si>
  <si>
    <t>AF419318</t>
  </si>
  <si>
    <t>J04353</t>
  </si>
  <si>
    <t>M12732</t>
  </si>
  <si>
    <t>X74477</t>
  </si>
  <si>
    <t>X74481</t>
  </si>
  <si>
    <t>D90400</t>
  </si>
  <si>
    <t>D21208</t>
  </si>
  <si>
    <t>M14119</t>
  </si>
  <si>
    <t>X62843</t>
  </si>
  <si>
    <t>U31788</t>
  </si>
  <si>
    <t>AF436130</t>
  </si>
  <si>
    <t>X62844</t>
  </si>
  <si>
    <t>X94165</t>
  </si>
  <si>
    <t>EF558839</t>
  </si>
  <si>
    <t>EF558841</t>
  </si>
  <si>
    <t>EF558843</t>
  </si>
  <si>
    <t>EF558840</t>
  </si>
  <si>
    <t>EF558838</t>
  </si>
  <si>
    <t>EF558842</t>
  </si>
  <si>
    <t>EU490516</t>
  </si>
  <si>
    <t>EU490515</t>
  </si>
  <si>
    <t>GQ227670</t>
  </si>
  <si>
    <t>KT944080</t>
  </si>
  <si>
    <t>JF304764</t>
  </si>
  <si>
    <t>GU014532</t>
  </si>
  <si>
    <t>AY057438</t>
  </si>
  <si>
    <t>DQ080082</t>
  </si>
  <si>
    <t>GU014533</t>
  </si>
  <si>
    <t>M12737</t>
  </si>
  <si>
    <t>X74466</t>
  </si>
  <si>
    <t>X74467</t>
  </si>
  <si>
    <t>X74470</t>
  </si>
  <si>
    <t>U31778</t>
  </si>
  <si>
    <t>U31779</t>
  </si>
  <si>
    <t>U31782</t>
  </si>
  <si>
    <t>X74471</t>
  </si>
  <si>
    <t>U31785</t>
  </si>
  <si>
    <t>M32305</t>
  </si>
  <si>
    <t>AY382778</t>
  </si>
  <si>
    <t>FM955837</t>
  </si>
  <si>
    <t>FM955838</t>
  </si>
  <si>
    <t>FM955841</t>
  </si>
  <si>
    <t>GQ246951</t>
  </si>
  <si>
    <t>GQ845446</t>
  </si>
  <si>
    <t>HM999995</t>
  </si>
  <si>
    <t>JF304768</t>
  </si>
  <si>
    <t>EF028290</t>
  </si>
  <si>
    <t>X74468</t>
  </si>
  <si>
    <t>X74469</t>
  </si>
  <si>
    <t>U31780</t>
  </si>
  <si>
    <t>U31781</t>
  </si>
  <si>
    <t>U31786</t>
  </si>
  <si>
    <t>U31787</t>
  </si>
  <si>
    <t>Y15176</t>
  </si>
  <si>
    <t>FM955839</t>
  </si>
  <si>
    <t>FM955840</t>
  </si>
  <si>
    <t>EF422221</t>
  </si>
  <si>
    <t>EU410348</t>
  </si>
  <si>
    <t>EU410349</t>
  </si>
  <si>
    <t>FM955842</t>
  </si>
  <si>
    <t>GQ845442</t>
  </si>
  <si>
    <t>GQ845444</t>
  </si>
  <si>
    <t>HM999997</t>
  </si>
  <si>
    <t>FN677756</t>
  </si>
  <si>
    <t>HE963025</t>
  </si>
  <si>
    <t>HF930491</t>
  </si>
  <si>
    <t>Y15173</t>
  </si>
  <si>
    <t>Y15174</t>
  </si>
  <si>
    <t>FJ947080</t>
  </si>
  <si>
    <t>FN677755</t>
  </si>
  <si>
    <t>FJ492743</t>
  </si>
  <si>
    <t>JF800656</t>
  </si>
  <si>
    <t>JF800658</t>
  </si>
  <si>
    <t>JQ754321</t>
  </si>
  <si>
    <t>KT326919</t>
  </si>
  <si>
    <t>KT901797</t>
  </si>
  <si>
    <t>KP099966</t>
  </si>
  <si>
    <t>JF800657</t>
  </si>
  <si>
    <t>JQ701802</t>
  </si>
  <si>
    <t>JX899359</t>
  </si>
  <si>
    <t>AF443292</t>
  </si>
  <si>
    <t>U83595</t>
  </si>
  <si>
    <t>JX174437</t>
  </si>
  <si>
    <t>M20219</t>
  </si>
  <si>
    <t>JQ798171</t>
  </si>
  <si>
    <t>KP276343</t>
  </si>
  <si>
    <t>KT626573</t>
  </si>
  <si>
    <t>HQ912791</t>
  </si>
  <si>
    <t>JQ031033</t>
  </si>
  <si>
    <t>KP861980</t>
  </si>
  <si>
    <t>JF304766</t>
  </si>
  <si>
    <t>JF304767</t>
  </si>
  <si>
    <t>KC858265</t>
  </si>
  <si>
    <t>JQ965698</t>
  </si>
  <si>
    <t>JX035935</t>
  </si>
  <si>
    <t>KU519396</t>
  </si>
  <si>
    <t>EU493091</t>
  </si>
  <si>
    <t>DQ098913</t>
  </si>
  <si>
    <t>X70829</t>
  </si>
  <si>
    <t>AJ620210</t>
  </si>
  <si>
    <t>KF006400</t>
  </si>
  <si>
    <t>KT698167</t>
  </si>
  <si>
    <t>KP692114</t>
  </si>
  <si>
    <t>DQ080078</t>
  </si>
  <si>
    <t>FM212639</t>
  </si>
  <si>
    <t>GQ845445</t>
  </si>
  <si>
    <t>GU117634</t>
  </si>
  <si>
    <t>HM999990</t>
  </si>
  <si>
    <t>HM999991</t>
  </si>
  <si>
    <t>GU117629</t>
  </si>
  <si>
    <t>JF906559</t>
  </si>
  <si>
    <t>JX413110</t>
  </si>
  <si>
    <t>GQ845441</t>
  </si>
  <si>
    <t>HM999999</t>
  </si>
  <si>
    <t>JX413106</t>
  </si>
  <si>
    <t>KC862317</t>
  </si>
  <si>
    <t>GU233853</t>
  </si>
  <si>
    <t>GU117630</t>
  </si>
  <si>
    <t>GU117633</t>
  </si>
  <si>
    <t>HM999994</t>
  </si>
  <si>
    <t>KC108722</t>
  </si>
  <si>
    <t>HM999988</t>
  </si>
  <si>
    <t>HM999992</t>
  </si>
  <si>
    <t>HM999993</t>
  </si>
  <si>
    <t>JN211193</t>
  </si>
  <si>
    <t>JX413105</t>
  </si>
  <si>
    <t>KF006398</t>
  </si>
  <si>
    <t>KP692116</t>
  </si>
  <si>
    <t>GU117632</t>
  </si>
  <si>
    <t>GU129016</t>
  </si>
  <si>
    <t>KT698166</t>
  </si>
  <si>
    <t>KT698168</t>
  </si>
  <si>
    <t>JX444072</t>
  </si>
  <si>
    <t>KJ913662</t>
  </si>
  <si>
    <t>JN171845</t>
  </si>
  <si>
    <t>HM999998</t>
  </si>
  <si>
    <t>HG421739</t>
  </si>
  <si>
    <t>JX413108</t>
  </si>
  <si>
    <t>JX413104</t>
  </si>
  <si>
    <t>KM085343</t>
  </si>
  <si>
    <t>HQ625441</t>
  </si>
  <si>
    <t>KT945134</t>
  </si>
  <si>
    <t>AY904722</t>
  </si>
  <si>
    <t>AY904724</t>
  </si>
  <si>
    <t>AY904723</t>
  </si>
  <si>
    <t>DQ180494</t>
  </si>
  <si>
    <t>KJ410351</t>
  </si>
  <si>
    <t>GU117621</t>
  </si>
  <si>
    <t>JN709470</t>
  </si>
  <si>
    <t>JN709471</t>
  </si>
  <si>
    <t>HG939559</t>
  </si>
  <si>
    <t>HQ625440</t>
  </si>
  <si>
    <t>DQ269468</t>
  </si>
  <si>
    <t>GU808564</t>
  </si>
  <si>
    <t>GQ180114</t>
  </si>
  <si>
    <t>JN709473</t>
  </si>
  <si>
    <t>KP205503</t>
  </si>
  <si>
    <t>FJ492742</t>
  </si>
  <si>
    <t>KT272399</t>
  </si>
  <si>
    <t>KX599536</t>
  </si>
  <si>
    <t>KF147892</t>
  </si>
  <si>
    <t>MF168943</t>
  </si>
  <si>
    <t>GU117620</t>
  </si>
  <si>
    <t>EU240895</t>
  </si>
  <si>
    <t>JN709469</t>
  </si>
  <si>
    <t>JN709472</t>
  </si>
  <si>
    <t>X05817</t>
  </si>
  <si>
    <t>AJ620208</t>
  </si>
  <si>
    <t>AB331650</t>
  </si>
  <si>
    <t>AB331651</t>
  </si>
  <si>
    <t>AB543507</t>
  </si>
  <si>
    <t>KM983393</t>
  </si>
  <si>
    <t>KX098515</t>
  </si>
  <si>
    <t>KU513985</t>
  </si>
  <si>
    <t>DNA-C: EF546806; DNA-M: EF546805; DNA-N: EF546802; DNA-R: EF546807; DNA-S: EF546804; DNA-U3: EF546803</t>
  </si>
  <si>
    <t>DNA-C: KF711227; DNA-M: KF711064; DNA-N: KF711390; DNA-R: KF710575; DNA-S: KF710901; DNA-U3: KF710738</t>
  </si>
  <si>
    <t>DNA-C: DQ826395; DNA-M: DQ826394; DNA-N: DQ826396; DNA-R: DQ826390; DNA-S: DQ826393; DNA-U3: DQ826391</t>
  </si>
  <si>
    <t>DNA-C: KY070240; DNA-M: KY070244; DNA-N: KY070242; DNA-R: KY070246; DNA-S: KY070245; DNA-U1: KY070241; DNA-U2: KY070243; DNA-U4: KY070247</t>
  </si>
  <si>
    <t>DNA-C: KC978941; DNA-M: KC978942; DNA-N: KC978943; DNA-R: KC978939; DNA-S: KC978940; DNA-U1: KC978944; DNA-U2: KC978946; DNA-U4: KC978947</t>
  </si>
  <si>
    <t>DNA-C: KC978951; DNA-M: KC978952; DNA-N: KC978953; DNA-R: KC978949; DNA-S: KC978950; DNA-U1: KC978954; DNA-U2: KC978955; DNA-U4: KC978956</t>
  </si>
  <si>
    <t>DNA-C: GQ274023; DNA-M: GQ274027; DNA-N: GQ274030; DNA-R: GQ274025; DNA-S: GQ274028; DNA-U1: GQ274026; DNA-U2: GQ274029; DNA-U4: GQ274024</t>
  </si>
  <si>
    <t>DNA-C: KX431388; DNA-M: KX431395; DNA-N: KX431402; DNA-R: KX431381; DNA-S: KX431409; DNA-U1: KX431416; DNA-U2: KX431423; DNA-U4: KX431430</t>
  </si>
  <si>
    <t>DNA-C: KC979021; DNA-M: KC979022; DNA-N: KC979023; DNA-R: KC979019; DNA-S: KC979020; DNA-U1: KC979024; DNA-U2: KC979025; DNA-U4: KC979026</t>
  </si>
  <si>
    <t>DNA-C: GQ274031; DNA-M: GQ274035; DNA-N: GQ274038; DNA-R: GQ274033; DNA-S: GQ274036; DNA-U1: GQ274034; DNA-U2: GQ274037; DNA-U4: GQ274032</t>
  </si>
  <si>
    <t>MH973742</t>
  </si>
  <si>
    <t>MK059759</t>
  </si>
  <si>
    <t>MK059757</t>
  </si>
  <si>
    <t>MK059754</t>
  </si>
  <si>
    <t>MK059756</t>
  </si>
  <si>
    <t>MK059758</t>
  </si>
  <si>
    <t>KY349925</t>
  </si>
  <si>
    <t>MK059755</t>
  </si>
  <si>
    <t>MK059772</t>
  </si>
  <si>
    <t>MK059765</t>
  </si>
  <si>
    <t>MK059762</t>
  </si>
  <si>
    <t>MK059764</t>
  </si>
  <si>
    <t>MK059760</t>
  </si>
  <si>
    <t>MK059766</t>
  </si>
  <si>
    <t>MK059761</t>
  </si>
  <si>
    <t>MK059768</t>
  </si>
  <si>
    <t>MK059771</t>
  </si>
  <si>
    <t>MK059767</t>
  </si>
  <si>
    <t>MK059770</t>
  </si>
  <si>
    <t>MK059769</t>
  </si>
  <si>
    <t>KY244146</t>
  </si>
  <si>
    <t>KY328746</t>
  </si>
  <si>
    <t>KY328745</t>
  </si>
  <si>
    <t>KY328744</t>
  </si>
  <si>
    <t>JX131633</t>
  </si>
  <si>
    <t>JX458087</t>
  </si>
  <si>
    <t>JX945572</t>
  </si>
  <si>
    <t>DNA-A: EU589392</t>
  </si>
  <si>
    <t>DNA-A: AJ002451</t>
  </si>
  <si>
    <t>DNA-A: FJ179372</t>
  </si>
  <si>
    <t>DNA-A: FJ176235</t>
  </si>
  <si>
    <t>DNA-A: FM210275</t>
  </si>
  <si>
    <t>DNA-A: HE793424</t>
  </si>
  <si>
    <t>DNA-A: DQ866124</t>
  </si>
  <si>
    <t>DNA-A: FN543099</t>
  </si>
  <si>
    <t>DNA-A: HM149260</t>
  </si>
  <si>
    <t>DNA-A: AB050781</t>
  </si>
  <si>
    <t>DNA-A: KC172826</t>
  </si>
  <si>
    <t>DNA-A: AB100305</t>
  </si>
  <si>
    <t>DNA-A: JN809816</t>
  </si>
  <si>
    <t>DNA-A: JQ804985</t>
  </si>
  <si>
    <t>DNA-A: EU487045</t>
  </si>
  <si>
    <t>DNA-A: AB306314</t>
  </si>
  <si>
    <t>DNA-A: AF307861</t>
  </si>
  <si>
    <t>DNA-A: JN809820</t>
  </si>
  <si>
    <t>DNA-A: EF544604</t>
  </si>
  <si>
    <t>DNA-A: EF544602</t>
  </si>
  <si>
    <t>DNA-A: AF414287</t>
  </si>
  <si>
    <t>DNA-A: AM404179</t>
  </si>
  <si>
    <t>DNA-A: HM007096</t>
  </si>
  <si>
    <t>DNA-A: DQ116881</t>
  </si>
  <si>
    <t>DNA-A: AF149227</t>
  </si>
  <si>
    <t>DNA-A: JQ743486</t>
  </si>
  <si>
    <t>DNA-A: AJ558125</t>
  </si>
  <si>
    <t>DNA-A: FN256261</t>
  </si>
  <si>
    <t>DNA-A: FN297834</t>
  </si>
  <si>
    <t>DNA-A: AJ558117</t>
  </si>
  <si>
    <t>DNA-A: GQ373254</t>
  </si>
  <si>
    <t>DNA-A: JN817517</t>
  </si>
  <si>
    <t>DNA-A: JN135233</t>
  </si>
  <si>
    <t>DNA-A: JQ954859</t>
  </si>
  <si>
    <t>DNA-A: KF307208</t>
  </si>
  <si>
    <t>DNA-A: FJ593629</t>
  </si>
  <si>
    <t>DNA-A: FN678906</t>
  </si>
  <si>
    <t>DNA-A: AJ436992</t>
  </si>
  <si>
    <t>DNA-A: FN543112</t>
  </si>
  <si>
    <t>DNA-A: FM955601</t>
  </si>
  <si>
    <t>DNA-A: JQ407224</t>
  </si>
  <si>
    <t>DNA-A: JN807765</t>
  </si>
  <si>
    <t>DNA-A: HM143914</t>
  </si>
  <si>
    <t>DNA-A: DQ629102</t>
  </si>
  <si>
    <t>DNA-A: GU136803</t>
  </si>
  <si>
    <t>DNA-A: AJ875159</t>
  </si>
  <si>
    <t>DNA-A: DQ673859</t>
  </si>
  <si>
    <t>DNA-A: FJ345402</t>
  </si>
  <si>
    <t>DNA-A: DQ116878</t>
  </si>
  <si>
    <t>DNA-A: KC153490</t>
  </si>
  <si>
    <t>DNA-A: AF325497; DNA-B: AF325498</t>
  </si>
  <si>
    <t>DNA-A: FN396962; DNA-B: FN396963</t>
  </si>
  <si>
    <t>DNA-A: GU076454</t>
  </si>
  <si>
    <t>DNA-A: AJ132711</t>
  </si>
  <si>
    <t>DNA-A: EU635776</t>
  </si>
  <si>
    <t>DNA-A: GU076442</t>
  </si>
  <si>
    <t>DNA-A: X76319</t>
  </si>
  <si>
    <t>DNA-A: FJ463902; DNA-B: FJ463901</t>
  </si>
  <si>
    <t>DNA-A: JN419006</t>
  </si>
  <si>
    <t>DNA-A: EU487031</t>
  </si>
  <si>
    <t>DNA-A: AM286794</t>
  </si>
  <si>
    <t>DNA-A: EU543562</t>
  </si>
  <si>
    <t>DNA-A: AJ438936</t>
  </si>
  <si>
    <t>DNA-A: AB079766</t>
  </si>
  <si>
    <t>DNA-A: AB300463</t>
  </si>
  <si>
    <t>DNA-A: AB433979</t>
  </si>
  <si>
    <t>DNA-A: JF756676</t>
  </si>
  <si>
    <t>DNA-A: GU112081</t>
  </si>
  <si>
    <t>DNA-A: GU112004</t>
  </si>
  <si>
    <t>DNA-A: FJ210467</t>
  </si>
  <si>
    <t>DNA-A: EU384575</t>
  </si>
  <si>
    <t>DNA-A: FN554540</t>
  </si>
  <si>
    <t>DNA-A: AJ542539</t>
  </si>
  <si>
    <t>DNA-A: FM210276</t>
  </si>
  <si>
    <t>DNA-A: AF155064</t>
  </si>
  <si>
    <t>DNA-A: AF014881</t>
  </si>
  <si>
    <t>DNA-A: FM164726</t>
  </si>
  <si>
    <t>DNA-A: AM701757</t>
  </si>
  <si>
    <t>DNA-A: EU024120</t>
  </si>
  <si>
    <t>DNA-A: EU432373</t>
  </si>
  <si>
    <t>DNA-A: FJ868828</t>
  </si>
  <si>
    <t>DNA-A: AY083351</t>
  </si>
  <si>
    <t>DNA-A: AM421522</t>
  </si>
  <si>
    <t>DNA-A: HF549182</t>
  </si>
  <si>
    <t>DNA-A: GU385879</t>
  </si>
  <si>
    <t>DNA-A: FN552001</t>
  </si>
  <si>
    <t>DNA-A: AJ002447</t>
  </si>
  <si>
    <t>DNA-A: JN807763</t>
  </si>
  <si>
    <t>DNA-A: AJ132430</t>
  </si>
  <si>
    <t>DNA-A: EU365616</t>
  </si>
  <si>
    <t>DNA-A: AF363011</t>
  </si>
  <si>
    <t>DNA-A: EU253456</t>
  </si>
  <si>
    <t>DNA-A: AJ132548</t>
  </si>
  <si>
    <t>DNA-A: FJ969829</t>
  </si>
  <si>
    <t>DNA-A: FJ515898</t>
  </si>
  <si>
    <t>DNA-A: AJ586885</t>
  </si>
  <si>
    <t>DNA-A: AB433786</t>
  </si>
  <si>
    <t>DNA-A: FJ969830</t>
  </si>
  <si>
    <t>DNA-A: HQ393456</t>
  </si>
  <si>
    <t>DNA-A: DQ644562</t>
  </si>
  <si>
    <t>DNA-A: HQ393447</t>
  </si>
  <si>
    <t>DNA-A: HQ393473</t>
  </si>
  <si>
    <t>DNA-A: HQ333138</t>
  </si>
  <si>
    <t>DNA-A: EF456744</t>
  </si>
  <si>
    <t>DNA-A: GU451249</t>
  </si>
  <si>
    <t>DNA-A: AJ344452</t>
  </si>
  <si>
    <t>DNA-A: JX416174</t>
  </si>
  <si>
    <t>DNA-A: AB178945</t>
  </si>
  <si>
    <t>DNA-A: AB079765</t>
  </si>
  <si>
    <t>DNA-A: AB287441</t>
  </si>
  <si>
    <t>DNA-A: AB287440</t>
  </si>
  <si>
    <t>DNA-A: AB287439</t>
  </si>
  <si>
    <t>DNA-A: AB182261</t>
  </si>
  <si>
    <t>DNA-A: HM164545</t>
  </si>
  <si>
    <t>DNA-A: AB178946</t>
  </si>
  <si>
    <t>DNA-A: AB055009</t>
  </si>
  <si>
    <t>DNA-A: AB236325</t>
  </si>
  <si>
    <t>DNA-A: AB079689</t>
  </si>
  <si>
    <t>DNA-A: FJ434943</t>
  </si>
  <si>
    <t>DNA-A: HM164547</t>
  </si>
  <si>
    <t>DNA-A: FN386459</t>
  </si>
  <si>
    <t>DNA-A: FN806779</t>
  </si>
  <si>
    <t>DNA-A: AJ717542; DNA-B: AJ704949</t>
  </si>
  <si>
    <t>DNA-A: JX473582</t>
  </si>
  <si>
    <t>DNA-A: AY795983; DNA-B: AY795989</t>
  </si>
  <si>
    <t>DNA-A: JF496657; DNA-B: JF496656</t>
  </si>
  <si>
    <t>DNA-A: GQ924760; DNA-B: GQ924761</t>
  </si>
  <si>
    <t>DNA-A: AJ575819</t>
  </si>
  <si>
    <t>DNA-A: AY508991; DNA-B: AY508992</t>
  </si>
  <si>
    <t>DNA-A: DQ116884</t>
  </si>
  <si>
    <t>DNA-A: AM948961</t>
  </si>
  <si>
    <t>DNA-A: AF408199</t>
  </si>
  <si>
    <t xml:space="preserve">DNA-A: HM585439; DNA-B: HM585440 </t>
  </si>
  <si>
    <t>DNA-A: JX415187</t>
  </si>
  <si>
    <t>DNA-A: U77963</t>
  </si>
  <si>
    <t>DNA-A: AY090555</t>
  </si>
  <si>
    <t>DNA-A: AF084006</t>
  </si>
  <si>
    <t>DNA-A: DQ629101</t>
  </si>
  <si>
    <t>DNA-A: FJ514798</t>
  </si>
  <si>
    <t>DNA-A: AY754812</t>
  </si>
  <si>
    <t>DNA-A: KF663698</t>
  </si>
  <si>
    <t>DNA-A: AF295401</t>
  </si>
  <si>
    <t>DNA-A: AF165098</t>
  </si>
  <si>
    <t>DNA-A: DQ852623</t>
  </si>
  <si>
    <t>DNA-A: JF681158</t>
  </si>
  <si>
    <t>DNA-A: AJ558119</t>
  </si>
  <si>
    <t>DNA-A: AJ704603</t>
  </si>
  <si>
    <t>DNA-A: AM701761</t>
  </si>
  <si>
    <t>DNA-A: AY751753</t>
  </si>
  <si>
    <t>DNA-A: DQ347945</t>
  </si>
  <si>
    <t>DNA-A: AJ319675</t>
  </si>
  <si>
    <t>DNA-A: AJ457985</t>
  </si>
  <si>
    <t>DNA-A: AM980509</t>
  </si>
  <si>
    <t>DNA-A: DQ256460</t>
  </si>
  <si>
    <t>DNA-A: AJ319674</t>
  </si>
  <si>
    <t>DNA-A: EF011559</t>
  </si>
  <si>
    <t>DNA-A: DQ358913</t>
  </si>
  <si>
    <t>DNA-A: AY502934</t>
  </si>
  <si>
    <t>DNA-A: AY514630</t>
  </si>
  <si>
    <t>DNA-A: AJ495812</t>
  </si>
  <si>
    <t>DNA-A: AF206674</t>
  </si>
  <si>
    <t>DNA-A: AY514632</t>
  </si>
  <si>
    <t>DNA-A: FR873228</t>
  </si>
  <si>
    <t>DNA-A: AB162141</t>
  </si>
  <si>
    <t>DNA-A: JN676150</t>
  </si>
  <si>
    <t>DNA-A: AY339619</t>
  </si>
  <si>
    <t>DNA-A: AJ865339</t>
  </si>
  <si>
    <t>DNA-A: KC706561</t>
  </si>
  <si>
    <t>DNA-A: AY090557</t>
  </si>
  <si>
    <t>DNA-A: AB377113</t>
  </si>
  <si>
    <t>DNA-A: AB307731</t>
  </si>
  <si>
    <t>DNA-A: JN680352</t>
  </si>
  <si>
    <t>DNA-A: AJ508784</t>
  </si>
  <si>
    <t>DNA-A: KC763630</t>
  </si>
  <si>
    <t>DNA-A: AY044139</t>
  </si>
  <si>
    <t>DNA-A: EF110891</t>
  </si>
  <si>
    <t>DNA-A: JQ867093</t>
  </si>
  <si>
    <t>DNA-A: GU723730</t>
  </si>
  <si>
    <t>DNA-A: DQ866128</t>
  </si>
  <si>
    <t>DNA-A: AJ579307</t>
  </si>
  <si>
    <t>DNA-A: AF039031; DNA-B: AF039032</t>
  </si>
  <si>
    <t>DNA-A: AY965897</t>
  </si>
  <si>
    <t>DNA-A: EU518935</t>
  </si>
  <si>
    <t>EU193175</t>
  </si>
  <si>
    <t>U02311</t>
  </si>
  <si>
    <t>FJ545686</t>
  </si>
  <si>
    <t>JN817383</t>
  </si>
  <si>
    <t>U56975</t>
  </si>
  <si>
    <t>AY548948</t>
  </si>
  <si>
    <t>EF501977</t>
  </si>
  <si>
    <t>EU921828</t>
  </si>
  <si>
    <t>FJ665630</t>
  </si>
  <si>
    <t>GU256531</t>
  </si>
  <si>
    <t>JN989416</t>
  </si>
  <si>
    <t>JN989426</t>
  </si>
  <si>
    <t>FR687959</t>
  </si>
  <si>
    <t>AM849097</t>
  </si>
  <si>
    <t>FR687960</t>
  </si>
  <si>
    <t>AM933135</t>
  </si>
  <si>
    <t>JQ948091</t>
  </si>
  <si>
    <t>FJ620684</t>
  </si>
  <si>
    <t>JQ647455</t>
  </si>
  <si>
    <t>JN791096</t>
  </si>
  <si>
    <t>AM040732</t>
  </si>
  <si>
    <t>X60168</t>
  </si>
  <si>
    <t>EU224264</t>
  </si>
  <si>
    <t>EU224265</t>
  </si>
  <si>
    <t>GQ415391</t>
  </si>
  <si>
    <t>GQ415392</t>
  </si>
  <si>
    <t>GQ415395</t>
  </si>
  <si>
    <t>GQ415397</t>
  </si>
  <si>
    <t>GQ415399</t>
  </si>
  <si>
    <t>JQ948069</t>
  </si>
  <si>
    <t>EU244914</t>
  </si>
  <si>
    <t>EU244916</t>
  </si>
  <si>
    <t>EU628597</t>
  </si>
  <si>
    <t>AF007881</t>
  </si>
  <si>
    <t>AF329889</t>
  </si>
  <si>
    <t>EU628626</t>
  </si>
  <si>
    <t>EU628629</t>
  </si>
  <si>
    <t>EU628631</t>
  </si>
  <si>
    <t>EU628638</t>
  </si>
  <si>
    <t>EU628639</t>
  </si>
  <si>
    <t>EU628641</t>
  </si>
  <si>
    <t>EU628643</t>
  </si>
  <si>
    <t>KC108896</t>
  </si>
  <si>
    <t>KC108905</t>
  </si>
  <si>
    <t>KC108902</t>
  </si>
  <si>
    <t>dsRNA1: AJ781397; dsRNA2: AJ781398; dsRNA3: AJ781399; dsRNA4: AJ781400</t>
  </si>
  <si>
    <t>dsRNA1: KY489954; dsRNA2: KY489955; dsRNA3: KY489956; dsRNA4: KY489957</t>
  </si>
  <si>
    <t>dsRNA1: MK279433; dsRNA2: MK279434; dsRNA3: MK279435; dsRNA4: MK279436</t>
  </si>
  <si>
    <t>dsRNA1: MK214380; dsRNA2: MK214381; dsRNA3: MK214382; dsRNA4: MK214383</t>
  </si>
  <si>
    <t>dsRNA1: MK279429; dsRNA2: MK279430; dsRNA3: MK279431; dsRNA4: MK279432</t>
  </si>
  <si>
    <t>dsRNA1: MG887760; dsRNA2: MG887761; dsRNA3: MG887762; dsRNA4: MH271211</t>
  </si>
  <si>
    <t>dsRNA1: MF176309; dsRNA2: MF176310; dsRNA3: MF176311; dsRNA4: MF176312</t>
  </si>
  <si>
    <t>dsRNA1: MN295964; dsRNA2: MN295965; dsRNA3: MN295966; dsRNA4: MN295967</t>
  </si>
  <si>
    <t>dsRNA1: HQ228213; dsRNA2: HQ228214; dsRNA3: HQ228215; dsRNA4: HQ228216; dsRNA5: HQ228217</t>
  </si>
  <si>
    <t>dsRNA1: AB824667; dsRNA2: AB824668; dsRNA3: AB824669; dsRNA4: AB824670; dsRNA5: AB824671</t>
  </si>
  <si>
    <t>RNA1: AB744677; RNA2: AB744678; RNA3: AB744679; RNA4: AB744680</t>
  </si>
  <si>
    <t>RNA3: AB771723</t>
  </si>
  <si>
    <t>Seg1: AF168005; Seg2: AF134526; Seg3: AY549307; Seg4: AY549308; Seg5: AY549309; Seg6: AF168006; Seg7: AF052035; Seg8: AF052034; Seg9: AF052033; Seg10: AF052032; Seg11: AF052031; Seg12: AF052030</t>
  </si>
  <si>
    <t>Seg1: AF134519; Seg2: AF134520; Seg6: AF134521; Seg7: AF052029; Seg8: AF052028; Seg9: AF052027; Seg10: AF052026; Seg11: AF052025; Seg12: AF052024</t>
  </si>
  <si>
    <t>Seg1: AY317099; Seg2: AY317100; Seg3: AY317101; Seg4: AY317102; Seg5: AY317103; Seg6: AY317104; Seg7: AY317105; Seg8: AY317106; Seg9: AY317107; Seg10: AY317108; Seg11: AY317109; Seg12: AY317110</t>
  </si>
  <si>
    <t>Seg1-3: AH009795; Seg4: AF403390; Seg5: AF403391; Seg6: AF403392; Seg7: AF403393; Seg8: AF403394; Seg9: AF403395; Seg10: AF403396; Seg11: AF403397</t>
  </si>
  <si>
    <t>Seg2: AF450318; Seg3: AF450319; Seg4: AF450320; Seg8: AF450321; Seg10: AF450322</t>
  </si>
  <si>
    <t>Seg1: KR704197; Seg2: KR704195; Seg3: KR704198; Seg4: KR704199; Seg5: KR704200; Seg6: KR704201; Seg7: KR815454; Seg8: KR704202; Seg9: KR704203; Seg10: KR704196</t>
  </si>
  <si>
    <t>Seg1: AY163247; Seg2: AY147187; Seg3: AY167578; Seg4: AF542082; Seg5: AY163248; Seg6: AY177408; Seg7: AY180906; Seg8: AY211092; Seg9: AY211093; Seg10: AY204878</t>
  </si>
  <si>
    <t>Seg1: KC588356; Seg2: KC588357; Seg3: KC588358; Seg4: KC588359; Seg5: KC588360; Seg6: KC588361; Seg7: KC588362; Seg8: KC588363; Seg9: KC588364; Seg10: KC588365</t>
  </si>
  <si>
    <t>S3: AY444910</t>
  </si>
  <si>
    <t>L1: KF809662; L2: KF809663; L3: KF809664; M1: KF809665; M2: KF809666; M3: KF809667; S1: KF809668; S2: KF809669; S3: KF809670; S4: KF809671</t>
  </si>
  <si>
    <t>L1: JX145328; L2: JX145329; L3: JX145330; M1: JX145331; M2: JX145332; M3: JX145333; S1: JX145334; S2: JX145335; S3: JX145336; S4: JX145337</t>
  </si>
  <si>
    <t>L1: JX478260; L2: JX478261; L3: JX478262; M1: JX478263; M2: JX478264; M3: JX478265; S1: JX478266; S2: JX478267; S3: JX478268; S4: JX478269</t>
  </si>
  <si>
    <t>L1: KX263307; L2: KX263308; L3: KX263309; M1: KX263310; M2: KX263311; M3: KX263312; S1: KX263313; S2: KX263314; S3: KX263315; S4: KX263316</t>
  </si>
  <si>
    <t>L1: JX204738; L2: JX204739; L3: JX204740; M1: JX204741; M2: JX204742; M3: JX204743; S1: JX204737; S2: JX204744; S3: JX204745; S4: JX204746</t>
  </si>
  <si>
    <t>L1: AF368033; M2: AF368034; S1: AF368035; S2: AF368036; S4: AF368037</t>
  </si>
  <si>
    <t>S1: JF811580; S2: JF811581; S3: JF811582; S4: JF811583</t>
  </si>
  <si>
    <t>S1: AF218360; S2: AF059718; S3: AF059726; S4: AF059722</t>
  </si>
  <si>
    <t>S1: EU252582; S2: EU189200; S3: EU189201; S4: EU189202</t>
  </si>
  <si>
    <t>L1: KF692089; L2: KF692090; L3: KF692091; M1: KF692092; M2: KF692093; M3: KF692094; S1: KF692095; S2: KF692096; S3: KF692097; S4: KF692098</t>
  </si>
  <si>
    <t>EF206691</t>
  </si>
  <si>
    <t>GU954430</t>
  </si>
  <si>
    <t>JN597006</t>
  </si>
  <si>
    <t>KJ496143</t>
  </si>
  <si>
    <t>KX387865</t>
  </si>
  <si>
    <t>L08816</t>
  </si>
  <si>
    <t>KX578717</t>
  </si>
  <si>
    <t>AF082843</t>
  </si>
  <si>
    <t>EF077630</t>
  </si>
  <si>
    <t>AB573435</t>
  </si>
  <si>
    <t>AB602441</t>
  </si>
  <si>
    <t>LC057247</t>
  </si>
  <si>
    <t>JN998606</t>
  </si>
  <si>
    <t>KM516906</t>
  </si>
  <si>
    <t>M15240</t>
  </si>
  <si>
    <t>RNA1: MW888424; RNA2: MW888423; RNA3: MW888422</t>
  </si>
  <si>
    <t>KP003813</t>
  </si>
  <si>
    <t>HM147986</t>
  </si>
  <si>
    <t>AB032553</t>
  </si>
  <si>
    <t>EF011023</t>
  </si>
  <si>
    <t>KJ469640</t>
  </si>
  <si>
    <t>EF151503</t>
  </si>
  <si>
    <t>EF536323</t>
  </si>
  <si>
    <t>M20303</t>
  </si>
  <si>
    <t>AF079457</t>
  </si>
  <si>
    <t>M20162</t>
  </si>
  <si>
    <t>JF972635</t>
  </si>
  <si>
    <t>M69205</t>
  </si>
  <si>
    <t>HM147984</t>
  </si>
  <si>
    <t>AF103728</t>
  </si>
  <si>
    <t>AF429428</t>
  </si>
  <si>
    <t>AF252265</t>
  </si>
  <si>
    <t>U94603</t>
  </si>
  <si>
    <t>AF375051</t>
  </si>
  <si>
    <t>L00930</t>
  </si>
  <si>
    <t>U34999</t>
  </si>
  <si>
    <t>AF075255</t>
  </si>
  <si>
    <t>AF214040</t>
  </si>
  <si>
    <t xml:space="preserve">RNA1: AJ749658; RNA2: AJ749657 </t>
  </si>
  <si>
    <t>AJ316085</t>
  </si>
  <si>
    <t>M62321</t>
  </si>
  <si>
    <t>D90208</t>
  </si>
  <si>
    <t>D00944</t>
  </si>
  <si>
    <t>D10988</t>
  </si>
  <si>
    <t>D17763</t>
  </si>
  <si>
    <t>D63821</t>
  </si>
  <si>
    <t>GU814265</t>
  </si>
  <si>
    <t>Y13184</t>
  </si>
  <si>
    <t>Y12083</t>
  </si>
  <si>
    <t>D63822</t>
  </si>
  <si>
    <t>EF108306</t>
  </si>
  <si>
    <t>KX905133</t>
  </si>
  <si>
    <t>AF013362</t>
  </si>
  <si>
    <t>AF013366</t>
  </si>
  <si>
    <t>AF013375</t>
  </si>
  <si>
    <t>AF013390</t>
  </si>
  <si>
    <t>U88536</t>
  </si>
  <si>
    <t>M93130</t>
  </si>
  <si>
    <t>AF326573</t>
  </si>
  <si>
    <t>X07755</t>
  </si>
  <si>
    <t>L40361</t>
  </si>
  <si>
    <t>AF013405</t>
  </si>
  <si>
    <t>AF013397</t>
  </si>
  <si>
    <t>AF013407</t>
  </si>
  <si>
    <t>AF331718</t>
  </si>
  <si>
    <t>DQ235153</t>
  </si>
  <si>
    <t>D12937</t>
  </si>
  <si>
    <t>X86784</t>
  </si>
  <si>
    <t>DQ235152</t>
  </si>
  <si>
    <t>DQ235151</t>
  </si>
  <si>
    <t>AF013360</t>
  </si>
  <si>
    <t>D00246</t>
  </si>
  <si>
    <t>AF013369</t>
  </si>
  <si>
    <t>AF311056</t>
  </si>
  <si>
    <t>DQ859067</t>
  </si>
  <si>
    <t>KY766069</t>
  </si>
  <si>
    <t>KJ776791</t>
  </si>
  <si>
    <t>KX377337</t>
  </si>
  <si>
    <t>U63715</t>
  </si>
  <si>
    <t>AB003289</t>
  </si>
  <si>
    <t>U45966</t>
  </si>
  <si>
    <t>AY196904</t>
  </si>
  <si>
    <t>D87713</t>
  </si>
  <si>
    <t>AB021287</t>
  </si>
  <si>
    <t>AY949771</t>
  </si>
  <si>
    <t>AB003292</t>
  </si>
  <si>
    <t>AF070476</t>
  </si>
  <si>
    <t>U94421</t>
  </si>
  <si>
    <t>GU566735</t>
  </si>
  <si>
    <t>M31182</t>
  </si>
  <si>
    <t>U18059</t>
  </si>
  <si>
    <t>RNA1: GQ342965; RNA2: GQ342966</t>
  </si>
  <si>
    <t>RNA1: JF461541; RNA2: JF461542</t>
  </si>
  <si>
    <t>RNA1: EF690537; RNA2: EF690538</t>
  </si>
  <si>
    <t>RNA2: X15961</t>
  </si>
  <si>
    <t>RNA1: AY721616; RNA2: AY721615</t>
  </si>
  <si>
    <t>RNA1: AF319555; RNA2: AF318942</t>
  </si>
  <si>
    <t>RNA1: FJ748760</t>
  </si>
  <si>
    <t>RNA2: D38527</t>
  </si>
  <si>
    <t>RNA2: EF591371</t>
  </si>
  <si>
    <t>RNA2: AF245003</t>
  </si>
  <si>
    <t>RNA2: Y08700</t>
  </si>
  <si>
    <t>RNA1: FJ803911; RNA2: FJ803923</t>
  </si>
  <si>
    <t>RNA2: AJ698113</t>
  </si>
  <si>
    <t>RNA1: EF433472; RNA2: EF433468</t>
  </si>
  <si>
    <t>RNA1: AJ401165</t>
  </si>
  <si>
    <t>RNA2: AJ245641</t>
  </si>
  <si>
    <t>DQ011234</t>
  </si>
  <si>
    <t>AM711119</t>
  </si>
  <si>
    <t>AY100482</t>
  </si>
  <si>
    <t>JN700748</t>
  </si>
  <si>
    <t xml:space="preserve">MN599068 </t>
  </si>
  <si>
    <t>MN532617</t>
  </si>
  <si>
    <t>MN532619</t>
  </si>
  <si>
    <t>MN532615</t>
  </si>
  <si>
    <t>MN605474</t>
  </si>
  <si>
    <t>MN532618</t>
  </si>
  <si>
    <t>MN532620</t>
  </si>
  <si>
    <t>MN532673</t>
  </si>
  <si>
    <t>MN605475</t>
  </si>
  <si>
    <t>MN532652</t>
  </si>
  <si>
    <t>KM817600</t>
  </si>
  <si>
    <t>JX065207</t>
  </si>
  <si>
    <t>EU781967</t>
  </si>
  <si>
    <t>FJ169440</t>
  </si>
  <si>
    <t>JX065210</t>
  </si>
  <si>
    <t>KJ756399</t>
  </si>
  <si>
    <t>AJ311524</t>
  </si>
  <si>
    <t>BK014571</t>
  </si>
  <si>
    <t>KC464478</t>
  </si>
  <si>
    <t>KC595273</t>
  </si>
  <si>
    <t>DQ447649</t>
  </si>
  <si>
    <t>MT646378</t>
  </si>
  <si>
    <t>MT646406</t>
  </si>
  <si>
    <t>KP900931</t>
  </si>
  <si>
    <t>KP900930</t>
  </si>
  <si>
    <t>MF444282</t>
  </si>
  <si>
    <t>MN556997</t>
  </si>
  <si>
    <t>MT646386</t>
  </si>
  <si>
    <t>JW826636</t>
  </si>
  <si>
    <t>MF444285</t>
  </si>
  <si>
    <t>MF276904</t>
  </si>
  <si>
    <t>KC601997</t>
  </si>
  <si>
    <t>MF444277</t>
  </si>
  <si>
    <t>MF444280</t>
  </si>
  <si>
    <t>AB543337</t>
  </si>
  <si>
    <t>KM205003</t>
  </si>
  <si>
    <t>JQ941707</t>
  </si>
  <si>
    <t>KC608035</t>
  </si>
  <si>
    <t>MH319839</t>
  </si>
  <si>
    <t>KC519324</t>
  </si>
  <si>
    <t>MK397811</t>
  </si>
  <si>
    <t>KC113518</t>
  </si>
  <si>
    <t>KC113517</t>
  </si>
  <si>
    <t>KP688373</t>
  </si>
  <si>
    <t>MN607593</t>
  </si>
  <si>
    <t>AB516283</t>
  </si>
  <si>
    <t>MK159261</t>
  </si>
  <si>
    <t xml:space="preserve">L: KY662266; M: KY662265; S: KY662264 </t>
  </si>
  <si>
    <t xml:space="preserve">L: KY780088; M: KY780087; S: KY780086 </t>
  </si>
  <si>
    <t>M: OQ466078; S: OQ466086</t>
  </si>
  <si>
    <t xml:space="preserve">L: KF581136; M: KF581135; S: KF581134 </t>
  </si>
  <si>
    <t>M: AF028022; S: AF482714</t>
  </si>
  <si>
    <t>M: AF028024; S: AF482715</t>
  </si>
  <si>
    <t xml:space="preserve">L: FJ858378; M: DQ177347; S: DQ256126 </t>
  </si>
  <si>
    <t xml:space="preserve">L: JX465377; M: JX465395; S: JX465411 </t>
  </si>
  <si>
    <t>L: AB620108; M: AB620107; S: AB620106</t>
  </si>
  <si>
    <t>L: OR365538 ; M: OR365537; S: OR365536</t>
  </si>
  <si>
    <t>L: GU904041; M: GU904034; S: GU904028</t>
  </si>
  <si>
    <t>M: GQ303582</t>
  </si>
  <si>
    <t>L: AJ410618</t>
  </si>
  <si>
    <t>L: JF920148; M: JF920149; S: JF920150</t>
  </si>
  <si>
    <t>L: KC136242; M: KC136243; S: KC136244</t>
  </si>
  <si>
    <t>L: OR700523; M: OR700530; S: OR700537</t>
  </si>
  <si>
    <t>L: DQ056292; M: AY675353; S: AY675349</t>
  </si>
  <si>
    <t>L: MN295687; M: MN295685; S: MN295683</t>
  </si>
  <si>
    <t>L: KJ857311; M: KJ857340; S: KJ857344</t>
  </si>
  <si>
    <t>L: AJ011649; M: AJ011647; S: AJ011646</t>
  </si>
  <si>
    <t xml:space="preserve">L: JQ611713; M: JQ611714; S: JQ611712 </t>
  </si>
  <si>
    <t>L: AB712372; M: AB676848; S: AB675463</t>
  </si>
  <si>
    <t>L: JX028271; M: JX028272; S: JX028273</t>
  </si>
  <si>
    <t>L: MN832782; M: MN832783; S: MN832784</t>
  </si>
  <si>
    <t>M: KC344269; S: KC344252</t>
  </si>
  <si>
    <t>L: OP946511; M: OP946510; S: OP946509</t>
  </si>
  <si>
    <t>M: U36801; S: U09488</t>
  </si>
  <si>
    <t>L: AM998806; M: AM998807; S: AM998808</t>
  </si>
  <si>
    <t>M: L08756</t>
  </si>
  <si>
    <t>L: MZ343362; M: MZ343361; S: MZ343360</t>
  </si>
  <si>
    <t>L: KP013556; M: KP013579; S: KP013568</t>
  </si>
  <si>
    <t>L: EF641806; M: EF641798; S: EF641804</t>
  </si>
  <si>
    <t>L: KJ420568; M: KJ420542; S: KJ420560</t>
  </si>
  <si>
    <t>L: MK896620; M: MK896619; S: MK896618</t>
  </si>
  <si>
    <t>L: KY555808; M: KY555809; S: KY555810</t>
  </si>
  <si>
    <t>L: MH484339; M: MH484340; S: MH484341</t>
  </si>
  <si>
    <t>L: MK896641; M: MK896640; S: MK896639</t>
  </si>
  <si>
    <t>L: MK896629; M: MK896628; S: MK896627</t>
  </si>
  <si>
    <t>L: MK896480; M: MK896479; S: MK896478</t>
  </si>
  <si>
    <t>L: MK896591 ; M: MK896590; S: MK896589</t>
  </si>
  <si>
    <t>L: KF234253; M: KF234254; S: KF234255</t>
  </si>
  <si>
    <t>L: KR013235; M: KR013236; S: KR013237</t>
  </si>
  <si>
    <t>M: M21951; S: M19420</t>
  </si>
  <si>
    <t>L: AY593726; M: AY593731; S: AY593727</t>
  </si>
  <si>
    <t>L: KC608152; M: KC608153; S: KC608154</t>
  </si>
  <si>
    <t>S: EU564830</t>
  </si>
  <si>
    <t>L: MK896521; M: MK896520; S: MK896519</t>
  </si>
  <si>
    <t>L: KJ867178; M: KJ867177; S: EU564828</t>
  </si>
  <si>
    <t>L: JN808311; M: JN808310; S: EU879062</t>
  </si>
  <si>
    <t>L: KX100129; M: KX100128; S: KX100127</t>
  </si>
  <si>
    <t>L: KX100120; M: KX100119; S: KX100118</t>
  </si>
  <si>
    <t>L: KT334540</t>
  </si>
  <si>
    <t>L: MG029275; M: MG029276; S: MG029277</t>
  </si>
  <si>
    <t>L: KM092512; M: KM092513; S: KM092514</t>
  </si>
  <si>
    <t>L: JX983194; M: JX983193; S: JX983192</t>
  </si>
  <si>
    <t>L: KP792675; M: KP792674; S: KP792673</t>
  </si>
  <si>
    <t>S: U31989</t>
  </si>
  <si>
    <t>L: KM272186; M: KM272187; S: KM272188</t>
  </si>
  <si>
    <t>L: KM272183; M: KM272184; S: KM272185</t>
  </si>
  <si>
    <t>L: KF234256; M: KF234257; S: KF234258</t>
  </si>
  <si>
    <t>L: MK896557; M: MK896556; S: MK896555</t>
  </si>
  <si>
    <t>L: EU789573; M: U88059; S: U47137</t>
  </si>
  <si>
    <t>L: KX817318; M: KX817319; S: KX817320</t>
  </si>
  <si>
    <t>L: KX817336; M: KX817337; S: KX817338</t>
  </si>
  <si>
    <t>L: MG828823; M: MG820264; S: MG696865</t>
  </si>
  <si>
    <t>L: MH484324; M: MH484325; S: MH484326</t>
  </si>
  <si>
    <t>L: HQ734817; M: HQ734821; S: HQ734824</t>
  </si>
  <si>
    <t>L: MK896432; M: MK896431; S: MK896430</t>
  </si>
  <si>
    <t>L: MK896441; M: MK896440; S: MK896439</t>
  </si>
  <si>
    <t>L: KJ867202; M: KJ867201; S: KJ867200</t>
  </si>
  <si>
    <t>L: MK896518; M: MK896517; S: MK896516</t>
  </si>
  <si>
    <t>L: MK896477; M: MK896476; S: MK896475</t>
  </si>
  <si>
    <t>L: KF697142; M: KF697143; S: KF697144</t>
  </si>
  <si>
    <t>L: KF697147; M: KF697145; S: KF697146</t>
  </si>
  <si>
    <t>L: KP691627; M: KP691628; S: KP691629</t>
  </si>
  <si>
    <t>L: MH017276; M: MH017282; S: MH017270</t>
  </si>
  <si>
    <t>L: MK896486; M: MK896485; S: MK896484</t>
  </si>
  <si>
    <t>L: HE795090; M: HE795091; S: HE795092</t>
  </si>
  <si>
    <t>L: HE795102; M: HE795103; S: HE795104</t>
  </si>
  <si>
    <t>L: HE795105; M: HE795106; S: HE795107</t>
  </si>
  <si>
    <t>L: KX100111; M: KX100110; S: KX100109</t>
  </si>
  <si>
    <t>L: KP792654; M: KP792653; S: KP792652</t>
  </si>
  <si>
    <t>M: EU409297</t>
  </si>
  <si>
    <t>L: JN572074; M: JN572075; S: JN572076</t>
  </si>
  <si>
    <t>L: KX579499; M: KX579500; S: KX579501</t>
  </si>
  <si>
    <t>L: MK611981; M: MK611979; S: MK611980</t>
  </si>
  <si>
    <t>L: MH483042; S: MH483041</t>
  </si>
  <si>
    <t>L: MH483030; S: MH483029</t>
  </si>
  <si>
    <t>L: MH483044; S: MH483043</t>
  </si>
  <si>
    <t>L: EU136039; S: EU136038</t>
  </si>
  <si>
    <t>L: AB972431; S: AB972430</t>
  </si>
  <si>
    <t>L: EU938665; S: EF619035</t>
  </si>
  <si>
    <t>S: JX237768</t>
  </si>
  <si>
    <t>L: EU938659; S: EU123328</t>
  </si>
  <si>
    <t>L: EU938663; S: EF619034</t>
  </si>
  <si>
    <t>L: KR870029; S: KR870015</t>
  </si>
  <si>
    <t>L: KR870023; S: KR870013</t>
  </si>
  <si>
    <t>MN585282; MT258648; MT258649</t>
  </si>
  <si>
    <t>L: KU925446; M: KU925447; S: KU925448</t>
  </si>
  <si>
    <t>L: KP792708; M: KP792709; S: KP792710</t>
  </si>
  <si>
    <t>L: KU925467; M: KU925468; S: KU925469</t>
  </si>
  <si>
    <t>L: KU925470; M: KU925471; S: KU925472</t>
  </si>
  <si>
    <t>L: KU925479; M: KU925480; S: KU925481</t>
  </si>
  <si>
    <t>L: KU343139; M: KU343140; S: KU343141</t>
  </si>
  <si>
    <t>L: KP792741; M: KP792742; S: KP792743</t>
  </si>
  <si>
    <t>L: KP792714; M: KP792715; S: KP792716</t>
  </si>
  <si>
    <t>L: KU925485; M: KU925486; S: KU925487</t>
  </si>
  <si>
    <t>L: KU925494; M: KU925495; S: KU925496</t>
  </si>
  <si>
    <t>L: MK757580; M: MK757581; S: MK757582</t>
  </si>
  <si>
    <t>L: KU925500</t>
  </si>
  <si>
    <t>L: HM119404; M: HM119405; S: HM119406</t>
  </si>
  <si>
    <t>L: HM466934; M: HM466935; S: HM466936</t>
  </si>
  <si>
    <t>L: HM119422; M: HM119423; S: HM119424</t>
  </si>
  <si>
    <t>L: HM119419; M: HM119420; S: HM119421</t>
  </si>
  <si>
    <t>L: HM119428; M: HM119429; S: HM119430</t>
  </si>
  <si>
    <t>L: KX611391; M: KX611392; S: KX611393</t>
  </si>
  <si>
    <t>L: KP863799; M: KP863800; S: KP863801</t>
  </si>
  <si>
    <t>L: OU230765; M: OU230766; S: OU230767</t>
  </si>
  <si>
    <t>L: GU135606; M: GU135607; S: GU135608</t>
  </si>
  <si>
    <t>L: KY439873</t>
  </si>
  <si>
    <t>L: HM043725</t>
  </si>
  <si>
    <t>L: JX472400; M: JX472401; S: JX472402</t>
  </si>
  <si>
    <t>L: MG573144; M: MG573145; S: MG573146</t>
  </si>
  <si>
    <t>L: GU446656</t>
  </si>
  <si>
    <t>L: MG573142; M: MG573143; S: MG573147</t>
  </si>
  <si>
    <t>L: KP272043; M: KP272045; S: KP272044</t>
  </si>
  <si>
    <t>L: JF838324; M: JF838325; S: JF838326</t>
  </si>
  <si>
    <t>L: JQ924562; M: JQ924563; S: JQ924564</t>
  </si>
  <si>
    <t>Seg1: KX882069 ; Seg2: KX882070; Seg3: KX882071; Seg4: KX882072; Seg5: KX882073; Seg6: KX882074; Seg7: KX882075; Seg8: KX882076</t>
  </si>
  <si>
    <t>KP900893</t>
  </si>
  <si>
    <t>MN617170</t>
  </si>
  <si>
    <t>LC333733</t>
  </si>
  <si>
    <t>KP208178</t>
  </si>
  <si>
    <t>MT157414</t>
  </si>
  <si>
    <t>RNA1: AJ781401; RNA2: AJ781402</t>
  </si>
  <si>
    <t>RNA1: KF963179; RNA2: KF963180</t>
  </si>
  <si>
    <t>RNA1: KF963181; RNA2: KF963182</t>
  </si>
  <si>
    <t>RNA1: KF963183; RNA2: KF963184</t>
  </si>
  <si>
    <t>RNA1: EU605883; RNA2: EU605884</t>
  </si>
  <si>
    <t>RNA1: EF173392; RNA2: EF173391</t>
  </si>
  <si>
    <t>RNA1: EF173396; RNA2: EF173395</t>
  </si>
  <si>
    <t>RNA1: EF173394; RNA2: EF173393</t>
  </si>
  <si>
    <t>RNA1: EF173389</t>
  </si>
  <si>
    <t>RNA2: EF173390</t>
  </si>
  <si>
    <t>RNA1: KX709964; RNA2: KX709965</t>
  </si>
  <si>
    <t>RNA1: AY247204; RNA2: AY247205</t>
  </si>
  <si>
    <t>RNA1: AY260756; RNA2: AY260757</t>
  </si>
  <si>
    <t>RNA1: KF551880</t>
  </si>
  <si>
    <t>RNA1: KF551881</t>
  </si>
  <si>
    <t>RNA1: KF551882</t>
  </si>
  <si>
    <t>RNA1: KF551883</t>
  </si>
  <si>
    <t>RNA1: KF551884</t>
  </si>
  <si>
    <t>RNA1: KF551885</t>
  </si>
  <si>
    <t>RNA1: LC150606; RNA2: LC150607</t>
  </si>
  <si>
    <t>RNA1: KF551886</t>
  </si>
  <si>
    <t>RNA1: KF551887</t>
  </si>
  <si>
    <t>RNA1: U95995; RNA2: U95996</t>
  </si>
  <si>
    <t>RNA1: LC195294; RNA2: LC195295</t>
  </si>
  <si>
    <t>RNA1: AM040148; RNA2: AM040149</t>
  </si>
  <si>
    <t>RNA1: AY615211; RNA2: AY615212; RNA3: AY615213</t>
  </si>
  <si>
    <t>RNA2: AF246940</t>
  </si>
  <si>
    <t>RNA2: AF246939</t>
  </si>
  <si>
    <t>JX503061</t>
  </si>
  <si>
    <t>AY613950</t>
  </si>
  <si>
    <t>MN908947</t>
  </si>
  <si>
    <t>KY352407</t>
  </si>
  <si>
    <t>KF793824</t>
  </si>
  <si>
    <t>M67473</t>
  </si>
  <si>
    <t>AY082891</t>
  </si>
  <si>
    <t>AF195847</t>
  </si>
  <si>
    <t>KJ790198</t>
  </si>
  <si>
    <t>AJ844470</t>
  </si>
  <si>
    <t>FJ692500</t>
  </si>
  <si>
    <t>AJ011099</t>
  </si>
  <si>
    <t>X86557</t>
  </si>
  <si>
    <t>AY032605</t>
  </si>
  <si>
    <t>AY228235</t>
  </si>
  <si>
    <t>KJ196290</t>
  </si>
  <si>
    <t>GQ443611</t>
  </si>
  <si>
    <t>AJ249939</t>
  </si>
  <si>
    <t>AF182760</t>
  </si>
  <si>
    <t>DQ058829</t>
  </si>
  <si>
    <t>X86560</t>
  </si>
  <si>
    <t>AY646856</t>
  </si>
  <si>
    <t>JN936206</t>
  </si>
  <si>
    <t>KY432299</t>
  </si>
  <si>
    <t>KP264975</t>
  </si>
  <si>
    <t>KU168861</t>
  </si>
  <si>
    <t>KU159360</t>
  </si>
  <si>
    <t>AY593752</t>
  </si>
  <si>
    <t>DQ533483</t>
  </si>
  <si>
    <t>AY593805</t>
  </si>
  <si>
    <t>AY593840</t>
  </si>
  <si>
    <t>AY593849</t>
  </si>
  <si>
    <t>AY593850</t>
  </si>
  <si>
    <t>JX683808</t>
  </si>
  <si>
    <t>MF352424</t>
  </si>
  <si>
    <t>JX257003</t>
  </si>
  <si>
    <t>EU376394</t>
  </si>
  <si>
    <t>HM181996</t>
  </si>
  <si>
    <t>AB747251</t>
  </si>
  <si>
    <t>FJ463615</t>
  </si>
  <si>
    <t>FJ463617</t>
  </si>
  <si>
    <t>AB747254</t>
  </si>
  <si>
    <t>AB747255</t>
  </si>
  <si>
    <t>AB747256</t>
  </si>
  <si>
    <t>AB747257</t>
  </si>
  <si>
    <t>AB747258</t>
  </si>
  <si>
    <t>JX443418</t>
  </si>
  <si>
    <t>M16020</t>
  </si>
  <si>
    <t>M80888; M94868; EU723237</t>
  </si>
  <si>
    <t>MF172923</t>
  </si>
  <si>
    <t>AB090161</t>
  </si>
  <si>
    <t>MF416403</t>
  </si>
  <si>
    <t>FJ438903</t>
  </si>
  <si>
    <t>FJ438904</t>
  </si>
  <si>
    <t>FJ438905; FJ438906</t>
  </si>
  <si>
    <t>JN867771</t>
  </si>
  <si>
    <t>JN867790</t>
  </si>
  <si>
    <t>JN867768</t>
  </si>
  <si>
    <t>JN867776</t>
  </si>
  <si>
    <t>JN867763</t>
  </si>
  <si>
    <t>JN867772</t>
  </si>
  <si>
    <t>JN867760</t>
  </si>
  <si>
    <t>JN867774</t>
  </si>
  <si>
    <t>JN867764</t>
  </si>
  <si>
    <t>JN867773</t>
  </si>
  <si>
    <t>JN867780</t>
  </si>
  <si>
    <t>JN867767</t>
  </si>
  <si>
    <t>JN867769</t>
  </si>
  <si>
    <t>JN867775</t>
  </si>
  <si>
    <t>JN867759</t>
  </si>
  <si>
    <t>JN867756</t>
  </si>
  <si>
    <t>JQ811826</t>
  </si>
  <si>
    <t>JQ811825</t>
  </si>
  <si>
    <t>JQ811821</t>
  </si>
  <si>
    <t>JQ811830</t>
  </si>
  <si>
    <t>JN867762</t>
  </si>
  <si>
    <t>JN867777</t>
  </si>
  <si>
    <t>JN867761</t>
  </si>
  <si>
    <t>JN867778</t>
  </si>
  <si>
    <t>AF361253</t>
  </si>
  <si>
    <t>DQ108383</t>
  </si>
  <si>
    <t>HM153767</t>
  </si>
  <si>
    <t>KJ950971</t>
  </si>
  <si>
    <t>KT944199</t>
  </si>
  <si>
    <t>KX156157</t>
  </si>
  <si>
    <t>KT944214</t>
  </si>
  <si>
    <t>KT944212</t>
  </si>
  <si>
    <t>KY432925</t>
  </si>
  <si>
    <t>KF958461</t>
  </si>
  <si>
    <t>KY432934</t>
  </si>
  <si>
    <t>AF296087</t>
  </si>
  <si>
    <t>AF296088</t>
  </si>
  <si>
    <t>AF296089</t>
  </si>
  <si>
    <t>AF296090</t>
  </si>
  <si>
    <t>AF296091</t>
  </si>
  <si>
    <t>AF296092</t>
  </si>
  <si>
    <t>AF296093</t>
  </si>
  <si>
    <t>AF296094</t>
  </si>
  <si>
    <t>AF296095</t>
  </si>
  <si>
    <t>AF296096</t>
  </si>
  <si>
    <t>JF724001</t>
  </si>
  <si>
    <t>JQ429405</t>
  </si>
  <si>
    <t>LC386160</t>
  </si>
  <si>
    <t>LC386157</t>
  </si>
  <si>
    <t>MG875516</t>
  </si>
  <si>
    <t>LC036580</t>
  </si>
  <si>
    <t>AY421761</t>
  </si>
  <si>
    <t>AY421762</t>
  </si>
  <si>
    <t>AY421763</t>
  </si>
  <si>
    <t>AY421764</t>
  </si>
  <si>
    <t>AY421765</t>
  </si>
  <si>
    <t>AY421766</t>
  </si>
  <si>
    <t>AY421767</t>
  </si>
  <si>
    <t>AY421768</t>
  </si>
  <si>
    <t>AY421769</t>
  </si>
  <si>
    <t>U05876</t>
  </si>
  <si>
    <t>U22521</t>
  </si>
  <si>
    <t>AY697458</t>
  </si>
  <si>
    <t>AY697459</t>
  </si>
  <si>
    <t>AY697460</t>
  </si>
  <si>
    <t>AY697461</t>
  </si>
  <si>
    <t>EF667344</t>
  </si>
  <si>
    <t>KU355876</t>
  </si>
  <si>
    <t>KC787153</t>
  </si>
  <si>
    <t>LK021688</t>
  </si>
  <si>
    <t>KU355877</t>
  </si>
  <si>
    <t>AF326754</t>
  </si>
  <si>
    <t>AF326761</t>
  </si>
  <si>
    <t>AF326764</t>
  </si>
  <si>
    <t>AF326750</t>
  </si>
  <si>
    <t>X02316</t>
  </si>
  <si>
    <t>DQ473503</t>
  </si>
  <si>
    <t>FJ445113</t>
  </si>
  <si>
    <t>FJ445177</t>
  </si>
  <si>
    <t>DQ473498</t>
  </si>
  <si>
    <t>EF173414</t>
  </si>
  <si>
    <t>EF173415</t>
  </si>
  <si>
    <t>FJ445116</t>
  </si>
  <si>
    <t>DQ473493</t>
  </si>
  <si>
    <t>L24917</t>
  </si>
  <si>
    <t>FJ445118</t>
  </si>
  <si>
    <t>FJ445119</t>
  </si>
  <si>
    <t>FJ445120</t>
  </si>
  <si>
    <t>FJ445121</t>
  </si>
  <si>
    <t>FJ445122</t>
  </si>
  <si>
    <t>DQ473497</t>
  </si>
  <si>
    <t>EF173416</t>
  </si>
  <si>
    <t>FJ445123</t>
  </si>
  <si>
    <t>DQ473508</t>
  </si>
  <si>
    <t>FJ445125</t>
  </si>
  <si>
    <t>DQ473512</t>
  </si>
  <si>
    <t>FJ445126</t>
  </si>
  <si>
    <t>FJ445127</t>
  </si>
  <si>
    <t>FJ445128</t>
  </si>
  <si>
    <t>DQ473501</t>
  </si>
  <si>
    <t>DQ473505</t>
  </si>
  <si>
    <t>DQ473495</t>
  </si>
  <si>
    <t>AY751783</t>
  </si>
  <si>
    <t>FJ445129</t>
  </si>
  <si>
    <t>DQ473491</t>
  </si>
  <si>
    <t>FJ445131</t>
  </si>
  <si>
    <t>FJ445132</t>
  </si>
  <si>
    <t>DQ473506</t>
  </si>
  <si>
    <t>FJ445133</t>
  </si>
  <si>
    <t>DQ473496</t>
  </si>
  <si>
    <t>FJ445135</t>
  </si>
  <si>
    <t>FJ445136</t>
  </si>
  <si>
    <t>DQ473507</t>
  </si>
  <si>
    <t>FJ445138</t>
  </si>
  <si>
    <t>DQ473511</t>
  </si>
  <si>
    <t>FJ445140</t>
  </si>
  <si>
    <t>FJ445141</t>
  </si>
  <si>
    <t>FJ445142</t>
  </si>
  <si>
    <t>DQ473500</t>
  </si>
  <si>
    <t>FJ445143</t>
  </si>
  <si>
    <t>FJ445144</t>
  </si>
  <si>
    <t>FJ445145</t>
  </si>
  <si>
    <t>FJ445146</t>
  </si>
  <si>
    <t>EF173417</t>
  </si>
  <si>
    <t>FJ445147</t>
  </si>
  <si>
    <t>FJ445148</t>
  </si>
  <si>
    <t>FJ445149</t>
  </si>
  <si>
    <t>FJ445150</t>
  </si>
  <si>
    <t>FJ445152</t>
  </si>
  <si>
    <t>DQ473492</t>
  </si>
  <si>
    <t>DQ473494</t>
  </si>
  <si>
    <t>DQ473510</t>
  </si>
  <si>
    <t>DQ473502</t>
  </si>
  <si>
    <t>FJ445154</t>
  </si>
  <si>
    <t>EF173418</t>
  </si>
  <si>
    <t>FJ445156</t>
  </si>
  <si>
    <t>FJ445157</t>
  </si>
  <si>
    <t>DQ473509</t>
  </si>
  <si>
    <t>FJ445163</t>
  </si>
  <si>
    <t>DQ473504</t>
  </si>
  <si>
    <t>M16248</t>
  </si>
  <si>
    <t>FJ445167</t>
  </si>
  <si>
    <t>EF173419</t>
  </si>
  <si>
    <t>FJ445171</t>
  </si>
  <si>
    <t>FJ445175</t>
  </si>
  <si>
    <t>GQ415051</t>
  </si>
  <si>
    <t>EF155421</t>
  </si>
  <si>
    <t>JF965515</t>
  </si>
  <si>
    <t>JN562727</t>
  </si>
  <si>
    <t>JN614995</t>
  </si>
  <si>
    <t>JQ245971</t>
  </si>
  <si>
    <t>KC859319</t>
  </si>
  <si>
    <t>KC859318</t>
  </si>
  <si>
    <t>D00239</t>
  </si>
  <si>
    <t>D00627</t>
  </si>
  <si>
    <t>M16560</t>
  </si>
  <si>
    <t>AF081485</t>
  </si>
  <si>
    <t>X05690</t>
  </si>
  <si>
    <t>AF114383</t>
  </si>
  <si>
    <t>AF039205</t>
  </si>
  <si>
    <t>AF029859</t>
  </si>
  <si>
    <t>AF250874</t>
  </si>
  <si>
    <t>AY302545</t>
  </si>
  <si>
    <t>AY302553</t>
  </si>
  <si>
    <t>AY302557</t>
  </si>
  <si>
    <t>AF083069</t>
  </si>
  <si>
    <t>AY302558</t>
  </si>
  <si>
    <t>AY302559</t>
  </si>
  <si>
    <t>X84981</t>
  </si>
  <si>
    <t>X80059</t>
  </si>
  <si>
    <t>X79047</t>
  </si>
  <si>
    <t>AY302539</t>
  </si>
  <si>
    <t>AY302540</t>
  </si>
  <si>
    <t>AY302541</t>
  </si>
  <si>
    <t>AY302542</t>
  </si>
  <si>
    <t>AY302543</t>
  </si>
  <si>
    <t>AF317694</t>
  </si>
  <si>
    <t>AY302544</t>
  </si>
  <si>
    <t>AY302546</t>
  </si>
  <si>
    <t>AY302547</t>
  </si>
  <si>
    <t>AY302548</t>
  </si>
  <si>
    <t>AY302549</t>
  </si>
  <si>
    <t>AY302550</t>
  </si>
  <si>
    <t>AY302551</t>
  </si>
  <si>
    <t>AY302552</t>
  </si>
  <si>
    <t>AF162711</t>
  </si>
  <si>
    <t>AY302554</t>
  </si>
  <si>
    <t>AY302555</t>
  </si>
  <si>
    <t>AY302556</t>
  </si>
  <si>
    <t>AY302560</t>
  </si>
  <si>
    <t>AF241359</t>
  </si>
  <si>
    <t>AY556057</t>
  </si>
  <si>
    <t>AY556070</t>
  </si>
  <si>
    <t>AJ493062</t>
  </si>
  <si>
    <t>AY208120</t>
  </si>
  <si>
    <t>AY843297</t>
  </si>
  <si>
    <t>AY843298</t>
  </si>
  <si>
    <t>AY843299</t>
  </si>
  <si>
    <t>AY843300</t>
  </si>
  <si>
    <t>AY843301</t>
  </si>
  <si>
    <t>DQ902712</t>
  </si>
  <si>
    <t>AY843303</t>
  </si>
  <si>
    <t>AY843304</t>
  </si>
  <si>
    <t>AY843305</t>
  </si>
  <si>
    <t>AY843306</t>
  </si>
  <si>
    <t>KM273013</t>
  </si>
  <si>
    <t>AY843307</t>
  </si>
  <si>
    <t>AB426608</t>
  </si>
  <si>
    <t>DQ902713</t>
  </si>
  <si>
    <t>AY843308</t>
  </si>
  <si>
    <t>KF990476</t>
  </si>
  <si>
    <t>AB426609</t>
  </si>
  <si>
    <t>JF416928; JF416931; JF416934; JF416937</t>
  </si>
  <si>
    <t>KF312882</t>
  </si>
  <si>
    <t>KJ418244</t>
  </si>
  <si>
    <t>KJ701249</t>
  </si>
  <si>
    <t>AF326751</t>
  </si>
  <si>
    <t>DQ473490</t>
  </si>
  <si>
    <t>FJ445112</t>
  </si>
  <si>
    <t>DQ473486</t>
  </si>
  <si>
    <t>K02121</t>
  </si>
  <si>
    <t>EF173420</t>
  </si>
  <si>
    <t>FJ445124</t>
  </si>
  <si>
    <t>FJ445186</t>
  </si>
  <si>
    <t>DQ473487</t>
  </si>
  <si>
    <t>EF173423</t>
  </si>
  <si>
    <t>FJ445130</t>
  </si>
  <si>
    <t>DQ473488</t>
  </si>
  <si>
    <t>FJ445188</t>
  </si>
  <si>
    <t>FJ445151</t>
  </si>
  <si>
    <t>DQ473489</t>
  </si>
  <si>
    <t>FJ445153</t>
  </si>
  <si>
    <t>FJ445155</t>
  </si>
  <si>
    <t>FJ445161</t>
  </si>
  <si>
    <t>FJ445162</t>
  </si>
  <si>
    <t>FJ445164</t>
  </si>
  <si>
    <t>FJ445168</t>
  </si>
  <si>
    <t>FJ445169</t>
  </si>
  <si>
    <t>EF173425</t>
  </si>
  <si>
    <t>FJ445172</t>
  </si>
  <si>
    <t>FJ445174</t>
  </si>
  <si>
    <t>HQ123444</t>
  </si>
  <si>
    <t>JF781500</t>
  </si>
  <si>
    <t>JX074053</t>
  </si>
  <si>
    <t>JN614996</t>
  </si>
  <si>
    <t>FJ445137</t>
  </si>
  <si>
    <t>EF077280</t>
  </si>
  <si>
    <t>EF186077</t>
  </si>
  <si>
    <t>EF582385</t>
  </si>
  <si>
    <t>EF582386</t>
  </si>
  <si>
    <t>EF582387</t>
  </si>
  <si>
    <t>DQ875932</t>
  </si>
  <si>
    <t>GQ223227</t>
  </si>
  <si>
    <t>GQ223228</t>
  </si>
  <si>
    <t>GQ323774</t>
  </si>
  <si>
    <t>EU840952</t>
  </si>
  <si>
    <t>HM236958</t>
  </si>
  <si>
    <t>HM236908</t>
  </si>
  <si>
    <t>HM236911</t>
  </si>
  <si>
    <t>GU219984</t>
  </si>
  <si>
    <t>KR997882</t>
  </si>
  <si>
    <t>HM236936</t>
  </si>
  <si>
    <t>HM236918</t>
  </si>
  <si>
    <t>EU840728</t>
  </si>
  <si>
    <t>HM236923</t>
  </si>
  <si>
    <t>HM236903</t>
  </si>
  <si>
    <t>KJ675507</t>
  </si>
  <si>
    <t>KJ675506</t>
  </si>
  <si>
    <t>HM236939</t>
  </si>
  <si>
    <t>HM236952</t>
  </si>
  <si>
    <t>HM236904</t>
  </si>
  <si>
    <t>HM236906</t>
  </si>
  <si>
    <t>HM236954</t>
  </si>
  <si>
    <t>HM236949</t>
  </si>
  <si>
    <t>HM236968</t>
  </si>
  <si>
    <t>HM236964</t>
  </si>
  <si>
    <t>HM236897</t>
  </si>
  <si>
    <t>HM236934</t>
  </si>
  <si>
    <t>KM486097</t>
  </si>
  <si>
    <t>JF436925</t>
  </si>
  <si>
    <t>JF416311</t>
  </si>
  <si>
    <t>JF416321</t>
  </si>
  <si>
    <t>JF416322</t>
  </si>
  <si>
    <t>JN205461</t>
  </si>
  <si>
    <t>JN815251</t>
  </si>
  <si>
    <t>KF958311</t>
  </si>
  <si>
    <t>KJ675505</t>
  </si>
  <si>
    <t>JN815249</t>
  </si>
  <si>
    <t>JF416310</t>
  </si>
  <si>
    <t>KY624849</t>
  </si>
  <si>
    <t>JF416318</t>
  </si>
  <si>
    <t>JF519760</t>
  </si>
  <si>
    <t>JF519762</t>
  </si>
  <si>
    <t>JN798566</t>
  </si>
  <si>
    <t>KF688606</t>
  </si>
  <si>
    <t>JF317015</t>
  </si>
  <si>
    <t>KP282614</t>
  </si>
  <si>
    <t>KR997885</t>
  </si>
  <si>
    <t>LC004772</t>
  </si>
  <si>
    <t>KP890662</t>
  </si>
  <si>
    <t>AF499635</t>
  </si>
  <si>
    <t>AF499636</t>
  </si>
  <si>
    <t>AF499637</t>
  </si>
  <si>
    <t>AF499640</t>
  </si>
  <si>
    <t>AF499639</t>
  </si>
  <si>
    <t>AF499641</t>
  </si>
  <si>
    <t>AF499642</t>
  </si>
  <si>
    <t>AF546702</t>
  </si>
  <si>
    <t>AF499643</t>
  </si>
  <si>
    <t>EF026081</t>
  </si>
  <si>
    <t>JX417822</t>
  </si>
  <si>
    <t>EF015886</t>
  </si>
  <si>
    <t>EF555644</t>
  </si>
  <si>
    <t>EF555645</t>
  </si>
  <si>
    <t>EU840733</t>
  </si>
  <si>
    <t>JX393302</t>
  </si>
  <si>
    <t>GQ865517</t>
  </si>
  <si>
    <t>KC344833</t>
  </si>
  <si>
    <t>JX514942</t>
  </si>
  <si>
    <t>JX262382</t>
  </si>
  <si>
    <t>JX961708</t>
  </si>
  <si>
    <t>V01150</t>
  </si>
  <si>
    <t>M12197</t>
  </si>
  <si>
    <t>X00595</t>
  </si>
  <si>
    <t>K01392</t>
  </si>
  <si>
    <t>X00925</t>
  </si>
  <si>
    <t>AY355268</t>
  </si>
  <si>
    <t>D00820</t>
  </si>
  <si>
    <t>DQ916376</t>
  </si>
  <si>
    <t>JF416929; JF416932; JF416935; JF416938</t>
  </si>
  <si>
    <t>KF040080</t>
  </si>
  <si>
    <t>DQ092792</t>
  </si>
  <si>
    <t>DQ092786</t>
  </si>
  <si>
    <t>JQ690748; JQ690741</t>
  </si>
  <si>
    <t>KU172420</t>
  </si>
  <si>
    <t>DQ092795</t>
  </si>
  <si>
    <t>DQ092794</t>
  </si>
  <si>
    <t>AY462106</t>
  </si>
  <si>
    <t>LC038188</t>
  </si>
  <si>
    <t>AF363455</t>
  </si>
  <si>
    <t>HQ702854</t>
  </si>
  <si>
    <t>JN807387</t>
  </si>
  <si>
    <t>JQ277724</t>
  </si>
  <si>
    <t>JQ818253</t>
  </si>
  <si>
    <t>MG958646</t>
  </si>
  <si>
    <t>KT265911</t>
  </si>
  <si>
    <t>KT265961</t>
  </si>
  <si>
    <t>KP982873</t>
  </si>
  <si>
    <t>KJ156451</t>
  </si>
  <si>
    <t>KT265900</t>
  </si>
  <si>
    <t>KT265903</t>
  </si>
  <si>
    <t>KT265909</t>
  </si>
  <si>
    <t>KT265941</t>
  </si>
  <si>
    <t>KT266010</t>
  </si>
  <si>
    <t>KY761948</t>
  </si>
  <si>
    <t>MF113370</t>
  </si>
  <si>
    <t>MF113372</t>
  </si>
  <si>
    <t>KU297674</t>
  </si>
  <si>
    <t>KP345888</t>
  </si>
  <si>
    <t>FJ007373</t>
  </si>
  <si>
    <t>AF414372</t>
  </si>
  <si>
    <t>JX537981</t>
  </si>
  <si>
    <t>JX537991</t>
  </si>
  <si>
    <t>KF541639; KF648606</t>
  </si>
  <si>
    <t>KX156159</t>
  </si>
  <si>
    <t>JN572116</t>
  </si>
  <si>
    <t>MF352414</t>
  </si>
  <si>
    <t>KY432935</t>
  </si>
  <si>
    <t>KY432932</t>
  </si>
  <si>
    <t>MF352425</t>
  </si>
  <si>
    <t>KJ950883</t>
  </si>
  <si>
    <t>MF352417</t>
  </si>
  <si>
    <t>MF352408</t>
  </si>
  <si>
    <t>EU789367</t>
  </si>
  <si>
    <t>JX627573</t>
  </si>
  <si>
    <t>KT452644</t>
  </si>
  <si>
    <t>KT229611</t>
  </si>
  <si>
    <t>KT452729</t>
  </si>
  <si>
    <t>KT452714</t>
  </si>
  <si>
    <t>KT877158</t>
  </si>
  <si>
    <t>KX156155</t>
  </si>
  <si>
    <t>MG600110</t>
  </si>
  <si>
    <t>KF979337</t>
  </si>
  <si>
    <t>JN387133</t>
  </si>
  <si>
    <t>JF755427</t>
  </si>
  <si>
    <t>KF831027</t>
  </si>
  <si>
    <t>KJ934637</t>
  </si>
  <si>
    <t>MF947444</t>
  </si>
  <si>
    <t>KY432931</t>
  </si>
  <si>
    <t>MF175074</t>
  </si>
  <si>
    <t>MF352432</t>
  </si>
  <si>
    <t>MF947429</t>
  </si>
  <si>
    <t>KF006985</t>
  </si>
  <si>
    <t>GU245693</t>
  </si>
  <si>
    <t>KF793927</t>
  </si>
  <si>
    <t>LC055960</t>
  </si>
  <si>
    <t>KJ641691</t>
  </si>
  <si>
    <t>KY369299</t>
  </si>
  <si>
    <t>KY369300</t>
  </si>
  <si>
    <t>KC811837</t>
  </si>
  <si>
    <t>HM751199</t>
  </si>
  <si>
    <t>KF979336</t>
  </si>
  <si>
    <t>MG846465</t>
  </si>
  <si>
    <t>GU182410</t>
  </si>
  <si>
    <t>KJ158169</t>
  </si>
  <si>
    <t>KJ950906; KJ950911</t>
  </si>
  <si>
    <t>KX783425</t>
  </si>
  <si>
    <t>KX783432</t>
  </si>
  <si>
    <t>KX156156</t>
  </si>
  <si>
    <t>KM023140</t>
  </si>
  <si>
    <t>KT880665</t>
  </si>
  <si>
    <t>KP779642</t>
  </si>
  <si>
    <t>KY069113</t>
  </si>
  <si>
    <t>KF979332</t>
  </si>
  <si>
    <t>KY069112</t>
  </si>
  <si>
    <t>MG846481</t>
  </si>
  <si>
    <t>MG846484</t>
  </si>
  <si>
    <t>MG846482</t>
  </si>
  <si>
    <t>MH760796</t>
  </si>
  <si>
    <t>EF067924</t>
  </si>
  <si>
    <t>DQ256132</t>
  </si>
  <si>
    <t>KT880667</t>
  </si>
  <si>
    <t>AJ005695</t>
  </si>
  <si>
    <t>AB084913</t>
  </si>
  <si>
    <t>DQ315670</t>
  </si>
  <si>
    <t>AF055846</t>
  </si>
  <si>
    <t>AB252582</t>
  </si>
  <si>
    <t>EU556224</t>
  </si>
  <si>
    <t>EU716175</t>
  </si>
  <si>
    <t>JX219575</t>
  </si>
  <si>
    <t>JX219568</t>
  </si>
  <si>
    <t>JX219574</t>
  </si>
  <si>
    <t>JX219567</t>
  </si>
  <si>
    <t>JX219579</t>
  </si>
  <si>
    <t>FJ373179</t>
  </si>
  <si>
    <t>JX219573</t>
  </si>
  <si>
    <t>JX219580</t>
  </si>
  <si>
    <t>KT319121</t>
  </si>
  <si>
    <t>KY931659</t>
  </si>
  <si>
    <t>AF020541</t>
  </si>
  <si>
    <t>AF538689</t>
  </si>
  <si>
    <t>EU854568</t>
  </si>
  <si>
    <t>LC133331</t>
  </si>
  <si>
    <t>KY432929</t>
  </si>
  <si>
    <t>JX491648</t>
  </si>
  <si>
    <t>KM259923</t>
  </si>
  <si>
    <t>LT898422</t>
  </si>
  <si>
    <t>RNA1: MT521733</t>
  </si>
  <si>
    <t>RNA1: JQ437415; RNA2: JQ581051</t>
  </si>
  <si>
    <t>MT536978</t>
  </si>
  <si>
    <t>KY820716</t>
  </si>
  <si>
    <t>L04573</t>
  </si>
  <si>
    <t>Y11530</t>
  </si>
  <si>
    <t>KT992824</t>
  </si>
  <si>
    <t>HQ388348</t>
  </si>
  <si>
    <t>DQ680848</t>
  </si>
  <si>
    <t>RNA1: MN046368; RNA2: MN046369</t>
  </si>
  <si>
    <t>HQ840786</t>
  </si>
  <si>
    <t>FJ185044</t>
  </si>
  <si>
    <t>DQ152193</t>
  </si>
  <si>
    <t>AJ131403</t>
  </si>
  <si>
    <t>DQ851494</t>
  </si>
  <si>
    <t>KX505964</t>
  </si>
  <si>
    <t>AY697300</t>
  </si>
  <si>
    <t>AJ507388</t>
  </si>
  <si>
    <t>AY027810</t>
  </si>
  <si>
    <t>DQ641248</t>
  </si>
  <si>
    <t>AY112735</t>
  </si>
  <si>
    <t>U34972</t>
  </si>
  <si>
    <t>JX291161</t>
  </si>
  <si>
    <t>AJ243957</t>
  </si>
  <si>
    <t>X16415</t>
  </si>
  <si>
    <t>JQ794501</t>
  </si>
  <si>
    <t>AY912055</t>
  </si>
  <si>
    <t>AM157175</t>
  </si>
  <si>
    <t>KJ787006</t>
  </si>
  <si>
    <t>U09509</t>
  </si>
  <si>
    <t>X97895</t>
  </si>
  <si>
    <t>AY166866</t>
  </si>
  <si>
    <t>AJ890348</t>
  </si>
  <si>
    <t>AJ889867</t>
  </si>
  <si>
    <t>AF228693</t>
  </si>
  <si>
    <t>MK279487</t>
  </si>
  <si>
    <t>MF375888</t>
  </si>
  <si>
    <t>LC333741</t>
  </si>
  <si>
    <t>RNA1: LC592214; RNA2: LC592215; RNA3: LC592216; RNA4: LC592217; RNA5: LC592218; RNA6: LC592219; RNA7: LC592220; RNA8: LC592221; RNA9: LC592222; RNA10: LC592223</t>
  </si>
  <si>
    <t>SegA: AF078668; SegB: AF078669</t>
  </si>
  <si>
    <t>SegA: AJ622822; SegB: AJ622823</t>
  </si>
  <si>
    <t>SegA: AY780919; SegB: AY780926</t>
  </si>
  <si>
    <t>SegA: KY548509; SegB: KY548520</t>
  </si>
  <si>
    <t>SegA: KY548508; SegB: KY548519</t>
  </si>
  <si>
    <t>SegA: X92760; SegB: X92761</t>
  </si>
  <si>
    <t>AJ441111</t>
  </si>
  <si>
    <t>M95589</t>
  </si>
  <si>
    <t>AY494853</t>
  </si>
  <si>
    <t>AF111000</t>
  </si>
  <si>
    <t>AJ251937</t>
  </si>
  <si>
    <t>D00220</t>
  </si>
  <si>
    <t>AJ131567</t>
  </si>
  <si>
    <t>X02763</t>
  </si>
  <si>
    <t>D00330</t>
  </si>
  <si>
    <t>AY123041</t>
  </si>
  <si>
    <t>X75657</t>
  </si>
  <si>
    <t>X75658</t>
  </si>
  <si>
    <t>AF160501</t>
  </si>
  <si>
    <t>AY090454</t>
  </si>
  <si>
    <t>AF241411</t>
  </si>
  <si>
    <t>AB486012</t>
  </si>
  <si>
    <t>AJ131569</t>
  </si>
  <si>
    <t>AJ131571</t>
  </si>
  <si>
    <t>AJ131572</t>
  </si>
  <si>
    <t>AJ131573</t>
  </si>
  <si>
    <t>AJ131574</t>
  </si>
  <si>
    <t>AF193864</t>
  </si>
  <si>
    <t>KC790377</t>
  </si>
  <si>
    <t>DQ174318</t>
  </si>
  <si>
    <t>EU150132</t>
  </si>
  <si>
    <t>EU150131</t>
  </si>
  <si>
    <t>EU150130</t>
  </si>
  <si>
    <t>EU150133</t>
  </si>
  <si>
    <t>DQ521573</t>
  </si>
  <si>
    <t>EF159731</t>
  </si>
  <si>
    <t>KJ755191</t>
  </si>
  <si>
    <t>JX491653</t>
  </si>
  <si>
    <t>KT804738</t>
  </si>
  <si>
    <t>AY779031</t>
  </si>
  <si>
    <t>AY894343</t>
  </si>
  <si>
    <t>MK098185</t>
  </si>
  <si>
    <t>BD143114</t>
  </si>
  <si>
    <t>AY532606</t>
  </si>
  <si>
    <t>GQ273492</t>
  </si>
  <si>
    <t>KC865735</t>
  </si>
  <si>
    <t>JQ231222</t>
  </si>
  <si>
    <t>MF538627</t>
  </si>
  <si>
    <t>KX574341</t>
  </si>
  <si>
    <t>MF538628</t>
  </si>
  <si>
    <t>KP266741</t>
  </si>
  <si>
    <t>AY666015</t>
  </si>
  <si>
    <t>FR677324</t>
  </si>
  <si>
    <t>FR677325</t>
  </si>
  <si>
    <t>KT989885</t>
  </si>
  <si>
    <t>JQ724856</t>
  </si>
  <si>
    <t>KX185156</t>
  </si>
  <si>
    <t>KX574342</t>
  </si>
  <si>
    <t>KJ175144</t>
  </si>
  <si>
    <t>KP266742</t>
  </si>
  <si>
    <t>JQ654586</t>
  </si>
  <si>
    <t>KX574343</t>
  </si>
  <si>
    <t>KX353311</t>
  </si>
  <si>
    <t>EU627010</t>
  </si>
  <si>
    <t>AF389451</t>
  </si>
  <si>
    <t>KP266743</t>
  </si>
  <si>
    <t>MK227779</t>
  </si>
  <si>
    <t>HF920636</t>
  </si>
  <si>
    <t>HF920634</t>
  </si>
  <si>
    <t>MF197913</t>
  </si>
  <si>
    <t>FN557520</t>
  </si>
  <si>
    <t>KM262844</t>
  </si>
  <si>
    <t>AM712239</t>
  </si>
  <si>
    <t>FR682468</t>
  </si>
  <si>
    <t>KP055815</t>
  </si>
  <si>
    <t>AM712240</t>
  </si>
  <si>
    <t>KM262845</t>
  </si>
  <si>
    <t>AY261360</t>
  </si>
  <si>
    <t>KM111294</t>
  </si>
  <si>
    <t>KM111295</t>
  </si>
  <si>
    <t>KM102979</t>
  </si>
  <si>
    <t>KP843857</t>
  </si>
  <si>
    <t>AY261366</t>
  </si>
  <si>
    <t>AY261365</t>
  </si>
  <si>
    <t>AY261364</t>
  </si>
  <si>
    <t>AY261363</t>
  </si>
  <si>
    <t>AY261362</t>
  </si>
  <si>
    <t>AY261361</t>
  </si>
  <si>
    <t>KX354450</t>
  </si>
  <si>
    <t>EF420156</t>
  </si>
  <si>
    <t>MH777395</t>
  </si>
  <si>
    <t>KT862806</t>
  </si>
  <si>
    <t>KT862807</t>
  </si>
  <si>
    <t>KT862812</t>
  </si>
  <si>
    <t>KT862809</t>
  </si>
  <si>
    <t>KT862810</t>
  </si>
  <si>
    <t>KT862811</t>
  </si>
  <si>
    <t>MK572851</t>
  </si>
  <si>
    <t>AF207658</t>
  </si>
  <si>
    <t>AF238233</t>
  </si>
  <si>
    <t>GU191019</t>
  </si>
  <si>
    <t>AM749299</t>
  </si>
  <si>
    <t>KF360047</t>
  </si>
  <si>
    <t>AY495969</t>
  </si>
  <si>
    <t>AY163756</t>
  </si>
  <si>
    <t>AY803294</t>
  </si>
  <si>
    <t>AY601636</t>
  </si>
  <si>
    <t>AY601633</t>
  </si>
  <si>
    <t>AY737797</t>
  </si>
  <si>
    <t>AY128640</t>
  </si>
  <si>
    <t>AY737798</t>
  </si>
  <si>
    <t>FJ643676</t>
  </si>
  <si>
    <t>AR101858</t>
  </si>
  <si>
    <t>HC085020</t>
  </si>
  <si>
    <t>HC085052</t>
  </si>
  <si>
    <t>HC085083</t>
  </si>
  <si>
    <t>HI964271</t>
  </si>
  <si>
    <t>FJ025930</t>
  </si>
  <si>
    <t>FJ025929</t>
  </si>
  <si>
    <t>HC084988</t>
  </si>
  <si>
    <t>FJ025915</t>
  </si>
  <si>
    <t>FJ025910</t>
  </si>
  <si>
    <t>DQ630755</t>
  </si>
  <si>
    <t>DQ630756</t>
  </si>
  <si>
    <t>DQ630757</t>
  </si>
  <si>
    <t>DQ630758</t>
  </si>
  <si>
    <t>CS138463</t>
  </si>
  <si>
    <t>AF534906</t>
  </si>
  <si>
    <t>M73260</t>
  </si>
  <si>
    <t>FJ349096</t>
  </si>
  <si>
    <t>HC000816</t>
  </si>
  <si>
    <t>HC000847</t>
  </si>
  <si>
    <t>HC000785</t>
  </si>
  <si>
    <t>HC191035</t>
  </si>
  <si>
    <t>FJ025900</t>
  </si>
  <si>
    <t>FJ025899</t>
  </si>
  <si>
    <t>FJ025901</t>
  </si>
  <si>
    <t>U77082</t>
  </si>
  <si>
    <t>KM043107</t>
  </si>
  <si>
    <t>KP329566</t>
  </si>
  <si>
    <t>KC693022</t>
  </si>
  <si>
    <t>KC693023</t>
  </si>
  <si>
    <t>AB448767</t>
  </si>
  <si>
    <t>JN226746</t>
  </si>
  <si>
    <t>JN226747</t>
  </si>
  <si>
    <t>AB562586</t>
  </si>
  <si>
    <t>AF108105</t>
  </si>
  <si>
    <t>JQ326209</t>
  </si>
  <si>
    <t>JN226749</t>
  </si>
  <si>
    <t>FJ404771</t>
  </si>
  <si>
    <t>JN226750</t>
  </si>
  <si>
    <t>JN226751</t>
  </si>
  <si>
    <t>JN226752</t>
  </si>
  <si>
    <t>EF153474</t>
  </si>
  <si>
    <t>JN226753</t>
  </si>
  <si>
    <t>FJ824826</t>
  </si>
  <si>
    <t>JN226754</t>
  </si>
  <si>
    <t>JN226755</t>
  </si>
  <si>
    <t>JN226756</t>
  </si>
  <si>
    <t>JN226758</t>
  </si>
  <si>
    <t>GQ384080</t>
  </si>
  <si>
    <t>DQ900900</t>
  </si>
  <si>
    <t>JN226759</t>
  </si>
  <si>
    <t>JN226760</t>
  </si>
  <si>
    <t>JN226761</t>
  </si>
  <si>
    <t>JN226762</t>
  </si>
  <si>
    <t>JN226763</t>
  </si>
  <si>
    <t>JN226764</t>
  </si>
  <si>
    <t>AY875648</t>
  </si>
  <si>
    <t>JN226757</t>
  </si>
  <si>
    <t>EF153473</t>
  </si>
  <si>
    <t>DQ393829</t>
  </si>
  <si>
    <t>JN226765</t>
  </si>
  <si>
    <t>FJ169625</t>
  </si>
  <si>
    <t>AB333801</t>
  </si>
  <si>
    <t>HM770721</t>
  </si>
  <si>
    <t>CS138464</t>
  </si>
  <si>
    <t>JN254802</t>
  </si>
  <si>
    <t>AY530876</t>
  </si>
  <si>
    <t>AY530877</t>
  </si>
  <si>
    <t>AY530878</t>
  </si>
  <si>
    <t>AF394196</t>
  </si>
  <si>
    <t>HB426768</t>
  </si>
  <si>
    <t>FJ025920</t>
  </si>
  <si>
    <t>HC191003</t>
  </si>
  <si>
    <t>HB426671</t>
  </si>
  <si>
    <t>HB426607</t>
  </si>
  <si>
    <t>FJ025919</t>
  </si>
  <si>
    <t>DQ315364</t>
  </si>
  <si>
    <t>KC693021</t>
  </si>
  <si>
    <t>KT013209</t>
  </si>
  <si>
    <t>KP853111</t>
  </si>
  <si>
    <t>KP329561</t>
  </si>
  <si>
    <t>HQ241820</t>
  </si>
  <si>
    <t>JN880448</t>
  </si>
  <si>
    <t>LC385828</t>
  </si>
  <si>
    <t>L43364</t>
  </si>
  <si>
    <t>KX961096</t>
  </si>
  <si>
    <t>DQ923122</t>
  </si>
  <si>
    <t>MG969551</t>
  </si>
  <si>
    <t>DQ792570</t>
  </si>
  <si>
    <t>KP329562</t>
  </si>
  <si>
    <t>KP853123</t>
  </si>
  <si>
    <t>KP853109</t>
  </si>
  <si>
    <t>KM591901</t>
  </si>
  <si>
    <t>KM591902</t>
  </si>
  <si>
    <t>KM591903</t>
  </si>
  <si>
    <t>MF198452</t>
  </si>
  <si>
    <t>KP853121</t>
  </si>
  <si>
    <t>JQ776547</t>
  </si>
  <si>
    <t>KP853122</t>
  </si>
  <si>
    <t>KP853110</t>
  </si>
  <si>
    <t>KP853124</t>
  </si>
  <si>
    <t>HQ241818</t>
  </si>
  <si>
    <t>MN687905</t>
  </si>
  <si>
    <t>KR815466</t>
  </si>
  <si>
    <t>DQ457003</t>
  </si>
  <si>
    <t>FJ882854</t>
  </si>
  <si>
    <t>AF303045</t>
  </si>
  <si>
    <t>AP010907</t>
  </si>
  <si>
    <t>AF539999</t>
  </si>
  <si>
    <t>JN418988</t>
  </si>
  <si>
    <t>AF440570</t>
  </si>
  <si>
    <t>AF369029</t>
  </si>
  <si>
    <t>JX515788</t>
  </si>
  <si>
    <t>KT995472</t>
  </si>
  <si>
    <t>KT995470</t>
  </si>
  <si>
    <t>KT995471</t>
  </si>
  <si>
    <t>KY827813</t>
  </si>
  <si>
    <t>KU216744</t>
  </si>
  <si>
    <t>KX686117</t>
  </si>
  <si>
    <t>MF768985</t>
  </si>
  <si>
    <t>MG702567</t>
  </si>
  <si>
    <t>MH090824</t>
  </si>
  <si>
    <t>MK570054</t>
  </si>
  <si>
    <t>MK570055</t>
  </si>
  <si>
    <t>OQ198719</t>
  </si>
  <si>
    <t>OQ198717</t>
  </si>
  <si>
    <t>OQ198718</t>
  </si>
  <si>
    <t>OQ721911</t>
  </si>
  <si>
    <t>chicken chapparvovirus 1</t>
  </si>
  <si>
    <t>ChChPV1</t>
  </si>
  <si>
    <t>PB56-SII36/x2/Switzerland/2019</t>
  </si>
  <si>
    <t>mongoose-associated circovirus Mon-1</t>
  </si>
  <si>
    <t>chimpanzee associated cyclovirus 2</t>
  </si>
  <si>
    <t>dromedary stool-associated circular ssDNA virus DcSCV_c941</t>
  </si>
  <si>
    <t>bovine faeces associated circular DNA virus 1 GP3-46075_cow2</t>
  </si>
  <si>
    <t>chicken stool associated circular virus 1 RS/BR/2015/1R</t>
  </si>
  <si>
    <t>porcine associated circular DNA virus 5</t>
  </si>
  <si>
    <t>feline stool-associated circular virus KU14</t>
  </si>
  <si>
    <t>rodent stool-associated circular genome virus</t>
  </si>
  <si>
    <t>fly associated circular virus 7</t>
  </si>
  <si>
    <t>fly associated circular virus 6</t>
  </si>
  <si>
    <t>pig stool associated circular ssDNA virus GER2011</t>
  </si>
  <si>
    <t>rat associated smacovirus 22084x8_1043</t>
  </si>
  <si>
    <t>canine associated porprismacovirus SmacoviridaeDogfe369C1</t>
  </si>
  <si>
    <t>canine associated porprismacovirus SmacoviridaeDogfe322C1</t>
  </si>
  <si>
    <t>raccoon dog stool-associated smacovirus 4 CJY7</t>
  </si>
  <si>
    <t>canine associated porprismacovirus SmacoviridaeDogfe433C1</t>
  </si>
  <si>
    <t>canine associated porprismacovirus SmacoviridaeDogfe401C1</t>
  </si>
  <si>
    <t>canine associated porprismacovirus SmacoviridaeDogfe373C1</t>
  </si>
  <si>
    <t>canine associated porprismacovirus SmacoviridaeDogfe342C1</t>
  </si>
  <si>
    <t>raccoon dog stool-associated smacovirus 1 CJY4</t>
  </si>
  <si>
    <t>raccoon dog stool-associated smacovirus 2 CJY5</t>
  </si>
  <si>
    <t>virus sp. D3_464</t>
  </si>
  <si>
    <t>virus sp. D3_567</t>
  </si>
  <si>
    <t>hermit crab associated circular virus I0085A5</t>
  </si>
  <si>
    <t>marine snail associated circular virus I0084</t>
  </si>
  <si>
    <t>mute swan feces associated circular virus 14</t>
  </si>
  <si>
    <t>mute swan feces associated circular virus 13</t>
  </si>
  <si>
    <t>giant panda circovirus 2 gpci002</t>
  </si>
  <si>
    <t>mute swan feces associated circular virus 8</t>
  </si>
  <si>
    <t>mute swan feces associated circular virus 4</t>
  </si>
  <si>
    <t>uncultured marine virus GOM00443</t>
  </si>
  <si>
    <t>blackfly DNA Virus 6</t>
  </si>
  <si>
    <t>bat circovirus BtRh-CV-7/Tibet2013</t>
  </si>
  <si>
    <t>virus sp. D3_88</t>
  </si>
  <si>
    <t>bat circovirus BtMf-CV-1/GD2012</t>
  </si>
  <si>
    <t>bat associated circovirus BatACV/Mm1/Switzerland/2019</t>
  </si>
  <si>
    <t>uncultured marine virus SI00078</t>
  </si>
  <si>
    <t>mute swan feces associated circular virus 6</t>
  </si>
  <si>
    <t>bat circovirus BtMf-CV/HeN2013</t>
  </si>
  <si>
    <t>uncultured marine virus SI03931</t>
  </si>
  <si>
    <t>uncultured virus CG178</t>
  </si>
  <si>
    <t>uncultured virus CG276</t>
  </si>
  <si>
    <t>bat associated circovirus BatCV/WD</t>
  </si>
  <si>
    <t>bat circovirus BtPa-CV-3/NX2013</t>
  </si>
  <si>
    <t>uncultured virus CG185</t>
  </si>
  <si>
    <t>uncultured marine virus SOG00160</t>
  </si>
  <si>
    <t>uncultured virus PcaCV4</t>
  </si>
  <si>
    <t>dragonfly cyclicusvirus FL1-NZ37-2010</t>
  </si>
  <si>
    <t>marmot associated feces virus 6</t>
  </si>
  <si>
    <t>mosquito circovirus B51</t>
  </si>
  <si>
    <t>bat associated circovirus BatACV/Rh1/Switzerland/2019</t>
  </si>
  <si>
    <t>bat circovirus POA/2012/V</t>
  </si>
  <si>
    <t>bat associated circovirus BatCV/BB</t>
  </si>
  <si>
    <t>uncultured virus CG197</t>
  </si>
  <si>
    <t>tentweb spider associated circular virus 1</t>
  </si>
  <si>
    <t>dragonfly larvae associated circular virus-10</t>
  </si>
  <si>
    <t>DNA-C: JX867548; DNA-M: JX569847; DNA-N: JX867546; DNA-R: JX867550; DNA-S: JX867540; DNA-U3: KF435143</t>
  </si>
  <si>
    <t>DNA-C: L41578; DNA-M: L41575; DNA-N: L41577; DNA-R: S56276; DNA-S: L41574; DNA-U3: L41576</t>
  </si>
  <si>
    <t>DNA-C: AB000923; DNA-M: AB000927; DNA-N: AB000925; DNA-R: AB027511; DNA-S: AB009046; DNA-U1: AB000924; DNA-U2: AB000926; DNA-U4: AB255373</t>
  </si>
  <si>
    <t>milk vetch chlorotic dwarf virus</t>
  </si>
  <si>
    <t>DNA-C: KC979056; DNA-M: KC979057; DNA-N: KC979058; DNA-R: KC979054; DNA-S: KC979055; DNA-U1: KC979062; DNA-U2: KC979059; DNA-U4: KC979061</t>
  </si>
  <si>
    <t>DNA-C: HE654126; DNA-M: HE654125; DNA-N: HE654127; DNA-R: HE654123; DNA-S: HE654124; DNA-U1: HE654128; DNA-U2: HE654129; DNA-U4: HE654130</t>
  </si>
  <si>
    <t>DNA-C: KC978960; DNA-M: KC978961; DNA-N: KC978962; DNA-R: KC978958; DNA-S: KC978959; DNA-U1: KC978963; DNA-U2: KC978964; DNA-U4: KC978965</t>
  </si>
  <si>
    <t>DNA-C: AJ132179; DNA-M: AJ132182; DNA-N: AJ132186; DNA-R: AJ132180; DNA-S: AJ132183; DNA-U1: AJ132181; DNA-U2: AJ132184; DNA-U4: AJ749902</t>
  </si>
  <si>
    <t>DNA-C: JN133280; DNA-M: JN133281; DNA-N: JN133282; DNA-R: GU553134; DNA-S: JN133279; DNA-U1: JN133283; DNA-U2: JN133284; DNA-U4: JN133285</t>
  </si>
  <si>
    <t>DNA-C: GQ150780; DNA-M: GQ150781; DNA-N: GQ150782; DNA-R: GQ150778; DNA-S: GQ150779; DNA-U1: GQ150783; DNA-U2: GQ150784; DNA-U4: GQ150785</t>
  </si>
  <si>
    <t>DNA-C: MH048843; DNA-M: MH048844; DNA-N: MH048846; DNA-R: MH048845; DNA-S: MH048842; DNA-U1: MH048847; DNA-U2: MH048848; DNA-U4: MH048849</t>
  </si>
  <si>
    <t>DNA-C: U16732; DNA-M: U16730; DNA-N: U16733; DNA-R: AJ290434; DNA-S: U16734; DNA-U1: U16736</t>
  </si>
  <si>
    <t>DNA-A: JF694480; DNA-B: JF694479</t>
  </si>
  <si>
    <t>DNA-A: KP663485; DNA-B: KP663484</t>
  </si>
  <si>
    <t>DNA-A: U57457; DNA-B: AF499442</t>
  </si>
  <si>
    <t>DNA-A: AY064391; DNA-B: AF440790</t>
  </si>
  <si>
    <t>DNA-A: KM244719; DNA-B: KM244718</t>
  </si>
  <si>
    <t>DNA-A: AF509743; DNA-B: AF509742</t>
  </si>
  <si>
    <t>DNA-A: M38183; DNA-B: M38182</t>
  </si>
  <si>
    <t>DNA-A: KT878829; DNA-B: KT878828</t>
  </si>
  <si>
    <t>DNA-A: FJ601917; DNA-B: FJ600484</t>
  </si>
  <si>
    <t>DNA-A: AJ717572; DNA-B: AJ704971</t>
  </si>
  <si>
    <t>DNA-A: EU339936; DNA-B: DQ356429</t>
  </si>
  <si>
    <t>DNA-A: DQ520944; DNA-B: DQ356428</t>
  </si>
  <si>
    <t>DNA-A: AF049336; DNA-B: AF039841</t>
  </si>
  <si>
    <t>DNA-A: HM003779; DNA-B: HM003778</t>
  </si>
  <si>
    <t>DNA-A: AY927277; DNA-B: EF547938</t>
  </si>
  <si>
    <t>DNA-A: DQ520943; DNA-B: DQ406674</t>
  </si>
  <si>
    <t>DNA-A: AF511529; DNA-B: AF511528</t>
  </si>
  <si>
    <t>DNA-A: AF141922; DNA-B: AF141897</t>
  </si>
  <si>
    <t>DNA-A: KR263181; DNA-B: KR263172</t>
  </si>
  <si>
    <t>DNA-A: JN381819; DNA-B: JN381814</t>
  </si>
  <si>
    <t>DNA-A: AJ608286; DNA-B: AJ508783</t>
  </si>
  <si>
    <t>DNA-A: Y15034; DNA-B: Y15033</t>
  </si>
  <si>
    <t>dsRNA1: KP782031; dsRNA2: KP782030; dsRNA3: KP782029</t>
  </si>
  <si>
    <t>dsRNA1: AJ781166; dsRNA2: AJ781165; dsRNA3: AJ781164; dsRNA4: AJ781163</t>
  </si>
  <si>
    <t>dsRNA1: GQ290649; dsRNA2: GQ290645; dsRNA3: HM013825; dsRNA4: HM013826</t>
  </si>
  <si>
    <t>Seg1: MH931196; Seg2: MH931195; Seg3: MH931197</t>
  </si>
  <si>
    <t>Seg1: MK584812; Seg2: MK584813; Seg3: MK584814; Seg4: MK584815</t>
  </si>
  <si>
    <t>Seg1: U94887; Seg2: AF021235; Seg3: M94681; Seg4: D14402; Seg5: U73658; Seg6: M94682; Seg7: D12533; Seg8: M69090; Seg9: U33000; Seg10: D12479</t>
  </si>
  <si>
    <t>Seg1: FJ183384; Seg2: FJ183385; Seg3: FJ183386; Seg4: FJ183387; Seg5: FJ183388; Seg6: FJ183389; Seg7: FJ183391; Seg8: FJ183390; Seg9: FJ183392; Seg10: FJ183393</t>
  </si>
  <si>
    <t>Seg1: X12819; Seg2: M11787; Seg3: M22096; Seg4: Y00421; Seg5: Y00422; Seg6: D12532; Seg7: X06463; Seg8: D00500; Seg9: D00509; Seg10: M28981</t>
  </si>
  <si>
    <t>Seg1: DQ248057; Seg2: DQ248058; Seg3: DQ248059; Seg4: DQ248060; Seg5: DQ248064; Seg6: DQ248061; Seg7: DQ248065; Seg8: DQ248063; Seg9: DQ248062; Seg10: DQ248066</t>
  </si>
  <si>
    <t>Seg1: KJ495755; Seg2: KJ495756; Seg3: KJ495757; Seg4: KJ495758; Seg5: KJ495759; Seg6: KJ495760; Seg7: KJ495762; Seg8: KJ495761; Seg9: KJ495763; Seg10: KJ495764</t>
  </si>
  <si>
    <t>Seg1: AB018086; Seg2: AB014725; Seg3: AB014728; Seg4: AB018087; Seg5: AB018089; Seg6: AB014726; Seg7: AB014727; Seg8: AB018090; Seg9: AB018088; Seg10: AB018091</t>
  </si>
  <si>
    <t>RNA1: U73201; RNA2: U73202; RNA3: U72757; RNA4: U36562; RNA5: U36563; RNA6: U36564; RNA7: U36402; RNA8: U36565; RNA9: U36566; RNA10: U36567; RNA11: U36568; RNA12: U36569</t>
  </si>
  <si>
    <t>RNA1: AB254451; RNA2: D86439; RNA3: D13774; RNA4: AB254452; RNA5: D76429; RNA6: AB254454; RNA7: AB254453; RNA8: D13410; RNA9: D01047; RNA10: D13411; RNA11: AB030009; RNA12: AB254455</t>
  </si>
  <si>
    <t>RNA4: M24117; RNA5: J03020; RNA6: M24116; RNA7: X14218; RNA8: J04344; RNA9: M24115; RNA10: M24114; RNA11: X14219; RNA12: M11133</t>
  </si>
  <si>
    <t>Seg1: DQ838640; Seg2: DQ838635; Seg3: DQ838645; Seg4: DQ841262; Seg5: DQ838599; Seg6: DQ838650; Seg7: DQ838610; Seg8: DQ838615; Seg9: DQ838620; Seg10: DQ838625; Seg11: DQ838630</t>
  </si>
  <si>
    <t>Seg1: EU490415; Seg2: AY238390; Seg3: EU490418; Seg4: AY238388; Seg5: AY238391; Seg6: AY238389; Seg7: AY238392; Seg8: AY238393; Seg9: AY238385; Seg10: AY238384; Seg11: AY238394</t>
  </si>
  <si>
    <t>Seg1: JN596592; Seg2: JQ920004; Seg3: JQ920006; Seg4: JQ920005; Seg5: JQ920008; Seg6: HQ403604; Seg7: JQ920010; Seg8: JQ920009; Seg9: JQ920007; Seg10: JQ920011; Seg11: JQ920012</t>
  </si>
  <si>
    <t>Seg1: KM369892; Seg2: KM369893; Seg3: KM369894; Seg4: KM369895; Seg5: KM369887; Seg6: KM369896; Seg7: KM369889; Seg8: KM369888; Seg9: KM369897; Seg10: KM369890; Seg11: KM369891</t>
  </si>
  <si>
    <t>Seg1: KX756624; Seg2: KX756625; Seg3: KX756627; Seg4: KX756626; Seg5: KX756619; Seg6: KX756628; Seg7: KX756621; Seg8: KX756620; Seg9: KX756629; Seg10: KX756622; Seg11: KX756623</t>
  </si>
  <si>
    <t>Seg1: JN596591; Seg2: JQ919995; Seg3: JQ919997; Seg4: JQ919996; Seg5: JQ919999; Seg6: HQ403603; Seg7: JQ920001; Seg8: JQ920000; Seg9: JQ919998; Seg10: JQ920003; Seg11: JQ920002</t>
  </si>
  <si>
    <t>Seg1: AJ304859; Seg2: AJ303139; Seg3: X79442; Seg4: X96697; Seg5: X59843; Seg6: AJ132203; Seg7: AJ132204; Seg8: X77257; Seg9: AJ132205; Seg10: M81488; Seg11: X83967</t>
  </si>
  <si>
    <t>Seg1: AF133430; Seg2: AF134514; Seg3: AF134515; Seg4: AF134516; Seg5: AF134517; Seg6: AF134518; Seg7: AF052018; Seg8: AF052017; Seg9: AF052016; Seg10: AF052015; Seg11: AF052014; Seg12: AF019908</t>
  </si>
  <si>
    <t>Seg1: AF133429; Seg2: AF134509; Seg3: AF134510; Seg4: AF134511; Seg5: AF134512; Seg6: AF134513; Seg7: AF052023; Seg8: AF052022; Seg9: AF052021; Seg10: AF052020; Seg11: AF052019; Seg12: AF019909</t>
  </si>
  <si>
    <t>Seg1: AF133428; Seg2: AF139758; Seg3: AF139759; Seg4: AF139760; Seg5: AF139761; Seg6: AF139762; Seg7: AF139763; Seg8: AF139764; Seg9: AF000720; Seg10: AF139765; Seg11: U72694; Seg12: U53227</t>
  </si>
  <si>
    <t>Seg1: EF634325; Seg2: EF634324; Seg3: EF634323; Seg4: EF634322; Seg5: EF634321; Seg6: EF634320; Seg7: DQ077913; Seg8: DQ178180; Seg9: DQ178179; Seg10: DQ077912</t>
  </si>
  <si>
    <t>Seg2: EU486988; Seg3: EU486989; Seg4: EU486990; Seg5: EU201039; Seg7: EU201040; Seg8: EU201041; Seg9: EU201042; Seg10: EU201043</t>
  </si>
  <si>
    <t>S1: AJ294757; S2: AJ409145; S3: AJ293984; S4: AJ409146; S5: AJ409147; S6: AJ409148; S7: AJ297427; S8: AJ297431; S9: AJ297430; S10: AJ297433</t>
  </si>
  <si>
    <t>S1: FN563989; S2: FN563990; S3: FN563991; S4: FN563992; S5: FN563993; S6: FN563994; S7: FN563995; S8: FN563996; S9: EU523359; S10: EU523360</t>
  </si>
  <si>
    <t>S1: AF499925; S2: AF499926; S3: AF499928; S4: AF395873; S5: AY607587; S6: AF499927; S7: AY923115; S8: AF395872; S9: DQ023312; S10: AY607586</t>
  </si>
  <si>
    <t>Seg1: AY029520; Seg2: AF049704; Seg3: AF359556; Seg4: AF049705; Seg5: AY029521; Seg6: AF356083; Seg7: AY789927; Seg8: AY297693; Seg9: AF050086; Seg10: AY297694</t>
  </si>
  <si>
    <t>S1: D49693; S2: D49694; S3: D49695; S4: D49696; S5: D49697; S6: D49698; S7: D49699; S8: D26127; S9: D49700; S10: D14691</t>
  </si>
  <si>
    <t>S1: AY277888; S2: AY277889; S3: AY277890; S4: AB179636; S5: AB179637; S6: AB179638; S7: AB179639; S8: AB179640; S9: AB179641; S10: AB179642; S11: AB179643</t>
  </si>
  <si>
    <t>S1: AB102674; S2: AB098022; S3: AB102675; S4: AB073276; S5: AB098023; S6: AB073277; S7: AB073278; S8: AB073279; S9: AB073280; S10: AB073281; S11: AB073282; S12: AB073283</t>
  </si>
  <si>
    <t>L1: GQ258977; L2: GQ258978; L3: GQ258979; M1: GQ258980; M2: GQ258981; M3: GQ258982; S1: GQ258983; S2: GQ258984; S3: GQ258985; S4: GQ258986</t>
  </si>
  <si>
    <t>L1: JF342666; L2: JF342667; L3: JF342668; M1: JF342669; M2: JF342670; M3: JF342671; S1: AY357730; S2: AY357731; S3: AY357732; S4: AY357733</t>
  </si>
  <si>
    <t>L1: HQ847903; L2: HQ847904; L3: HQ847905; M1: HQ847906; M2: HQ847907; M3: HQ847908; S1: AF059719; S2: AF059723; S3: AF059727; S4: AF406787</t>
  </si>
  <si>
    <t>L1: KC852153; L2: KC852155; L3: KC852154; M1: KC852158; M2: KC852156; M3: KC852157; S1: KC852161; S2: KC852159; S3: KC852160; S4: KC852162</t>
  </si>
  <si>
    <t>RNA1: AF020334; RNA2: AF020335; RNA3: AF020336; RNA4: U66714; RNA5: U33633; RNA6: AF020337; RNA7: U66713; RNA8: L46682; RNA9: L38899; RNA10: U66712</t>
  </si>
  <si>
    <t>L: M17461; M: M17462; S: M12921</t>
  </si>
  <si>
    <t>L: AF408636; M: AY039807; S: AY034425</t>
  </si>
  <si>
    <t>L: AF261668; M: AF261667; S: AF261666</t>
  </si>
  <si>
    <t>RNA1: U18246; RNA2: L37299</t>
  </si>
  <si>
    <t>RNA1: D84410; RNA2: D84411; RNA3: D84412; RNA4: D84413; RNA5: D63936</t>
  </si>
  <si>
    <t>RNA1: JF513082; RNA2: JF513083; RNA3: EU410955; RNA4: FJ424610</t>
  </si>
  <si>
    <t>RNA1: L00163; RNA2: X01572; RNA3: K02703</t>
  </si>
  <si>
    <t>RNA1: AB724113; RNA2: AB724114; RNA3: AB724115</t>
  </si>
  <si>
    <t>RNA1: M65138; RNA2: M64713; RNA3: M60291</t>
  </si>
  <si>
    <t>RNA1: X02380; RNA2: X01678; RNA3: J02042</t>
  </si>
  <si>
    <t>RNA1: M65139; RNA2: M28817; RNA3: M28818</t>
  </si>
  <si>
    <t>RNA1: D00356; RNA2: D00355; RNA3: D10538</t>
  </si>
  <si>
    <t>RNA1: D10044; RNA2: D10663; RNA3: AJ277268</t>
  </si>
  <si>
    <t>RNA1: AF174584; RNA2: AF174585; RNA3: U15608</t>
  </si>
  <si>
    <t>RNA1: U23715; RNA2: U17726; RNA3: U17390</t>
  </si>
  <si>
    <t>RNA1: U57047; RNA2: U34050; RNA3: U85399</t>
  </si>
  <si>
    <t>RNA1: HE572565; RNA2: FN669168; RNA3: FN669169</t>
  </si>
  <si>
    <t>RNA1: U57648; RNA2: AF277662; RNA3: L28145</t>
  </si>
  <si>
    <t>RNA1: DQ318818; RNA2: AY743591; RNA3: AY363228</t>
  </si>
  <si>
    <t>RNA1: U80934; RNA2: U75538; RNA3: X00435</t>
  </si>
  <si>
    <t>RNA1: X94346; RNA2: X94347; RNA3: X76993</t>
  </si>
  <si>
    <t>RNA1: AJ557128; RNA2: AJ557129; RNA3: AJ508757</t>
  </si>
  <si>
    <t>RNA1: J04342; RNA2: X03854; RNA3: M16576</t>
  </si>
  <si>
    <t>RNA1: X78602; RNA2: L07269</t>
  </si>
  <si>
    <t>RNA1: X99149; RNA2: AF447397</t>
  </si>
  <si>
    <t>RNA1: Z97873; RNA2: U64512; RNA3: Z66493</t>
  </si>
  <si>
    <t>RNA1: X77156; RNA2: X15959</t>
  </si>
  <si>
    <t>RNA1: X02396; RNA2: X00956</t>
  </si>
  <si>
    <t>S1: KM817609; S2: KM817608</t>
  </si>
  <si>
    <t>S1: KM817607; S2: KM817606</t>
  </si>
  <si>
    <t>S1: KX924630; S2: KX924631</t>
  </si>
  <si>
    <t>S1: MW039257; S2: MW039258</t>
  </si>
  <si>
    <t>S1: KM817604; S2: KM817605</t>
  </si>
  <si>
    <t>S1: MH620818; S2: MH620819</t>
  </si>
  <si>
    <t>Arlivirus sp. XZN142933</t>
  </si>
  <si>
    <t>MW864073</t>
  </si>
  <si>
    <t>L: KY700686; S: KY700685</t>
  </si>
  <si>
    <t>RNA1: OM687517; RNA2: OM687518; RNA3: OM687519; RNA4: OM687520</t>
  </si>
  <si>
    <t>RNA1: OL471978; RNA2: OL471979; RNA3: OL471980; RNA4: OL471981; RNA5: OL471982; RNA7: OP441764</t>
  </si>
  <si>
    <t>RNA1: HF568801; RNA2: HF568802; RNA3: HF568803; RNA4: HF568804; RNA5: HF945448</t>
  </si>
  <si>
    <t>RNA1: AM941711; RNA2: FM864225; RNA3: FM991954; RNA4: FM992851; RNA5: HE803826; RNA6: HE803827</t>
  </si>
  <si>
    <t>RNA1: FR823299; RNA2: FR823300; RNA3: FR823301; RNA4: FR823302; RNA5: FR823303; RNA6: KP970121; RNA7: KP970122; RNA8: KP970123</t>
  </si>
  <si>
    <t>RNA1: ON181430; RNA2: ON181431; RNA3: ON181432; RNA4: ON181433; RNA5: ON181434</t>
  </si>
  <si>
    <t>RNA1: AY563040; RNA2: AY563041; RNA3: DQ831831; RNA4: DQ831828</t>
  </si>
  <si>
    <t>L: KX845680; M: KX845679; S: KX845678</t>
  </si>
  <si>
    <t>L: KM102249; M: KM102248; S: KM102247</t>
  </si>
  <si>
    <t>L: KR072623; M: KR072622; S: KR072621</t>
  </si>
  <si>
    <t>L: KU950715; M: KU950714; S: KU950713</t>
  </si>
  <si>
    <t>L: AF291704; M: AF291703; S: AF291702</t>
  </si>
  <si>
    <t>M: EU929075; S: EU929072</t>
  </si>
  <si>
    <t>L: KC880347; M: KC880344; S: KC880341</t>
  </si>
  <si>
    <t>M: L36930; S: L36929</t>
  </si>
  <si>
    <t>L: KC631784; M: KC631783; S: KC631782</t>
  </si>
  <si>
    <t>L: KX551962; M: KX551961; S: KX551960</t>
  </si>
  <si>
    <t>L: EF543525; M: EF543526; S: EF543524</t>
  </si>
  <si>
    <t>L: GQ200821; M: DQ284451; S: DQ285566</t>
  </si>
  <si>
    <t>L: AJ410617; M: AJ410616; S: AJ410615</t>
  </si>
  <si>
    <t>L: KT899703; M: KT899702; S: KT899701</t>
  </si>
  <si>
    <t>L: X55901; M: M14627; S: M14626</t>
  </si>
  <si>
    <t>L: HQ834697; M: HQ834696; S: HQ834695</t>
  </si>
  <si>
    <t>L: HQ404253; M: HM756287; S: HM756286</t>
  </si>
  <si>
    <t>M: AF005728; S: AF005727</t>
  </si>
  <si>
    <t>L: EU788002; M: AY363179; S: AY267347</t>
  </si>
  <si>
    <t>L: AB620102; M: AB620101; S: AB620100</t>
  </si>
  <si>
    <t>L: L39951; M: L39950; S: L39949</t>
  </si>
  <si>
    <t>L: HM015221; M: HM015219; S: HM015223</t>
  </si>
  <si>
    <t>L: JQ082302; M: JQ082301; S: JQ082300</t>
  </si>
  <si>
    <t>L: X56492; M: S47716; S: AY273791</t>
  </si>
  <si>
    <t>L: L37902; M: L37903; S: L37904</t>
  </si>
  <si>
    <t>L: MK883760; M: MK883758; S: MK883756</t>
  </si>
  <si>
    <t>L: KC490922; M: KC490919; S: KC490918</t>
  </si>
  <si>
    <t>L: AJ005637; M: Z69993; S: Z49915</t>
  </si>
  <si>
    <t>L: KJ420567; M: KJ420541; S: KJ420559</t>
  </si>
  <si>
    <t>L: DQ825770; M: DQ825771; S: AY526097</t>
  </si>
  <si>
    <t>L: JQ659256; M: JQ659257; S: JQ659258</t>
  </si>
  <si>
    <t>L: KF590577; M: KF590576; S: KF590575</t>
  </si>
  <si>
    <t>L: KF590574; M: KF590573; S: KF590572</t>
  </si>
  <si>
    <t>L: KR149249; M: KR149248; S: KR149247</t>
  </si>
  <si>
    <t>L: AB190458; M: AB100604; S: AB000851</t>
  </si>
  <si>
    <t>L: KU159766; M: KU159765; S: KU159764</t>
  </si>
  <si>
    <t>L: JN572062; M: JN572063; S: JN572064</t>
  </si>
  <si>
    <t>L: JX846606; M: JX846605; S: JX846604</t>
  </si>
  <si>
    <t>L: KC854418; M: KC854417; S: KC854416</t>
  </si>
  <si>
    <t>L: X14383; M: M11852; S: D00353</t>
  </si>
  <si>
    <t>L: KJ867184; M: KJ867183; S: KJ867182</t>
  </si>
  <si>
    <t>L: KX100135; M: KX100134; S: KX100133</t>
  </si>
  <si>
    <t>L: KP792660; M: KP792659; S: KP792658</t>
  </si>
  <si>
    <t>L: KF697138; M: KF697137; S: KF697136</t>
  </si>
  <si>
    <t>L: KP792663; M: KP792662; S: KP792661</t>
  </si>
  <si>
    <t>L: KP792666; M: KP792665; S: KP792664</t>
  </si>
  <si>
    <t>L: KP792657; M: KP792656; S: KP792655</t>
  </si>
  <si>
    <t>L: KM245524; M: KM245523; S: KM245522</t>
  </si>
  <si>
    <t>L: KF234075; M: KF234074; S: KF234073</t>
  </si>
  <si>
    <t>L: HM007352; M: HM007351; S: HM007350</t>
  </si>
  <si>
    <t>L: JQ675603; M: JQ675602; S: JQ675601</t>
  </si>
  <si>
    <t>L: KJ867205; M: KJ867204; S: KJ867203</t>
  </si>
  <si>
    <t>L: KP792669; M: KP792668; S: KP792667</t>
  </si>
  <si>
    <t>L: HM627178; M: HM627176; S: HM627177</t>
  </si>
  <si>
    <t>L: KP792672; M: KP792671; S: KP792670</t>
  </si>
  <si>
    <t>L: KJ481926; M: KJ481925; S: KJ481924</t>
  </si>
  <si>
    <t>L: KF697153; M: KF697151; S: KF697152</t>
  </si>
  <si>
    <t>L: KJ867190; M: KJ867189; S: KJ867188</t>
  </si>
  <si>
    <t>L: AF484424; M: AF441119; S: AY237111</t>
  </si>
  <si>
    <t>L: MH017277; M: MH017283; S: MH017273</t>
  </si>
  <si>
    <t>L: KX100132; M: KX100131; S: KX100130</t>
  </si>
  <si>
    <t>L: KF153118; M: KF153117; S: KC510272</t>
  </si>
  <si>
    <t>L: MF497778; M: MF497776; S: MF497775</t>
  </si>
  <si>
    <t>L: EU665255; M: EU622819; S: EU622820</t>
  </si>
  <si>
    <t>L: KP792678; M: KP792677; S: KP792676</t>
  </si>
  <si>
    <t>L: FJ943510; M: FJ943508; S: FJ943505</t>
  </si>
  <si>
    <t>L: KP792681; M: KP792680; S: KP792679</t>
  </si>
  <si>
    <t>L: KP792690; M: KP792689; S: KP792688</t>
  </si>
  <si>
    <t>St_USA</t>
  </si>
  <si>
    <t>L: MN982386; M: MN982384; S: MN982385</t>
  </si>
  <si>
    <t>CMS002_045e_WVAL</t>
  </si>
  <si>
    <t>CV/Mati1754-5</t>
  </si>
  <si>
    <t>SW6</t>
  </si>
  <si>
    <t>CMS002_047i_WVAL</t>
  </si>
  <si>
    <t>L: AF025538; M: U42555; S: U27809</t>
  </si>
  <si>
    <t>L: DQ256124; M: DQ256125; S: DQ256123</t>
  </si>
  <si>
    <t>L: KX247379; M: KX247378; S: KX247377</t>
  </si>
  <si>
    <t>L: GU735408; M: GU584185; S: GU584184</t>
  </si>
  <si>
    <t>L: X93218; M: M74904; S: X66972</t>
  </si>
  <si>
    <t>L: FJ623474; M: AF214014; S: AF001387</t>
  </si>
  <si>
    <t>L: AB061774; M: AB061773; S: AB038343</t>
  </si>
  <si>
    <t>L: KX698424; M: KX698423; S: KX698422</t>
  </si>
  <si>
    <t>L: JF417980; M: JN587269; S: JN587268</t>
  </si>
  <si>
    <t>L: KJ541746; M: KJ541745; S: KJ541744</t>
  </si>
  <si>
    <t>L: JN560178; M: JN560177; S: AY686718</t>
  </si>
  <si>
    <t>L: D10066; M: S48091; S: D00645</t>
  </si>
  <si>
    <t>L: EF552435; M: EF552434; S: EF552433</t>
  </si>
  <si>
    <t>L: MG599866; M: MG599868; S: MG599867</t>
  </si>
  <si>
    <t>L: MG599863; M: MG599865; S: MG599864</t>
  </si>
  <si>
    <t>L: KR870031; S: KR870017</t>
  </si>
  <si>
    <t>L: MH778629; S: MH483026</t>
  </si>
  <si>
    <t>L: MH483025; S: MH483024</t>
  </si>
  <si>
    <t>L: MH483032; S: MH483031</t>
  </si>
  <si>
    <t>L: AY216502; S: AY012687</t>
  </si>
  <si>
    <t>L: AY216517; S: AF485256</t>
  </si>
  <si>
    <t>L: MF317491; S: MF317490</t>
  </si>
  <si>
    <t>L: EU260464; S: EU260463</t>
  </si>
  <si>
    <t>L: AY216519; S: AF512832</t>
  </si>
  <si>
    <t>L: EU627611; S: AF512831</t>
  </si>
  <si>
    <t>L: AY358024; S: AY129247</t>
  </si>
  <si>
    <t>L: DQ328878; S: DQ328877</t>
  </si>
  <si>
    <t>L: U73034; S: J04324</t>
  </si>
  <si>
    <t>L: EU627612; S: AF512830</t>
  </si>
  <si>
    <t>L: FJ952385; S: FJ952384</t>
  </si>
  <si>
    <t>L: AB586645; S: AB586644</t>
  </si>
  <si>
    <t>L: AB693151; S: AB693150</t>
  </si>
  <si>
    <t>L: AY358021; S: AY129248</t>
  </si>
  <si>
    <t>L: KP867641; S: KM272987</t>
  </si>
  <si>
    <t>L: GU078661; S: GU078660</t>
  </si>
  <si>
    <t>L: EU914104; S: EU914103</t>
  </si>
  <si>
    <t>L: KP867642; S: KM272988</t>
  </si>
  <si>
    <t>L: EU627613; S: AF485261</t>
  </si>
  <si>
    <t>L: AY494081; S: AF485262</t>
  </si>
  <si>
    <t>L: DQ328876; S: AY342390</t>
  </si>
  <si>
    <t>L: AB972429; S: AB972428</t>
  </si>
  <si>
    <t>L: AY924393; S: AF485263</t>
  </si>
  <si>
    <t>L: KJ909795; S: KJ909794</t>
  </si>
  <si>
    <t>L: AY924395; S: AF228063</t>
  </si>
  <si>
    <t>L: KX527582; S: KX527575</t>
  </si>
  <si>
    <t>L: KR870022; S: KR870012</t>
  </si>
  <si>
    <t>L: KC508670; S: KC508669</t>
  </si>
  <si>
    <t>L: KF297881; S: KF297880</t>
  </si>
  <si>
    <t>DMS1</t>
  </si>
  <si>
    <t>L: KU933934 ; M: KU933933; S: KU933935</t>
  </si>
  <si>
    <t>L: U15018; M: M94133; S: AF434161</t>
  </si>
  <si>
    <t>L: MH017280; M: MH017286; S: MH017274</t>
  </si>
  <si>
    <t>L: AY389361; M: AF467768; S: U88410</t>
  </si>
  <si>
    <t>L: LC008512; M: LC008511; S: LC008510</t>
  </si>
  <si>
    <t>L: KM464726; M: KM464725; S: KM464724</t>
  </si>
  <si>
    <t>L: KT328593; M: KT328592; S: KT328591</t>
  </si>
  <si>
    <t>RNA1: KX960112; RNA2: KX960111</t>
  </si>
  <si>
    <t>L: HQ541738; M: HQ541737; S: HQ541736</t>
  </si>
  <si>
    <t>S1: KM817690; S2: KM817723; S3: KM817751; S4: KM817750</t>
  </si>
  <si>
    <t>L: KX774630; M: MG256515; S: KX774631</t>
  </si>
  <si>
    <t>L: KR003786; M: KR003784; S: KR003785</t>
  </si>
  <si>
    <t>L: HM566138; M: HM566137; S: HM566139</t>
  </si>
  <si>
    <t>L: HM566147; M: HM566146; S: HM566148</t>
  </si>
  <si>
    <t>L: HM566155; M: HM566157; S: HM566156</t>
  </si>
  <si>
    <t>L: HM566162; M: HM566163; S: HM566161</t>
  </si>
  <si>
    <t>L: LC063770; M: LC063768; S: LC063769</t>
  </si>
  <si>
    <t>L: MF695812; M: MF695810; S: MF695811</t>
  </si>
  <si>
    <t>L: HM566174; M: HM566173; S: HM566175</t>
  </si>
  <si>
    <t>L: MF289183; M: MF289182</t>
  </si>
  <si>
    <t>L: DQ375403; M: DQ380206; S: DQ380151</t>
  </si>
  <si>
    <t>L: GQ847513; M: GQ847512; S: GQ847511</t>
  </si>
  <si>
    <t>L: X68414; M: X89628; S: X53794</t>
  </si>
  <si>
    <t>L: HM119431; M: HM119432; S: HM119433</t>
  </si>
  <si>
    <t>L: KX852391; M: KX852390; S: KX852389</t>
  </si>
  <si>
    <t>L: MF062139; Ma: MF062142; Mb: MF062143; Sa: MF062140; Sb: MF062141</t>
  </si>
  <si>
    <t>RNA3: L75930; RNA4: L48441; RNA5: L47430</t>
  </si>
  <si>
    <t>RNA1: AB009656; RNA2: AB010376; RNA3: AB010377; RNA4: AB010378; RNA5: AB000403; RNA6: AB000404</t>
  </si>
  <si>
    <t>RNA1: D31879; RNA2: D13176; RNA3: X53563; RNA4: D10979</t>
  </si>
  <si>
    <t>RNA3: U82447; RNA4: U82446</t>
  </si>
  <si>
    <t>RNA2: U53224; RNA3: M57426; RNA4: S40180; RNA5: S58504</t>
  </si>
  <si>
    <t>L: HM566181; M: HM566179; S: HM566180</t>
  </si>
  <si>
    <t>L: KM114257; M: KM114255; S: KM114256</t>
  </si>
  <si>
    <t>L: HM566191; M: HM566193; S: HM566192</t>
  </si>
  <si>
    <t>L: KM817696; M: KX650645; S: KM817757</t>
  </si>
  <si>
    <t>RNA1: V00603; RNA2: J02151; RNA3: V01106; RNA4: V01088; RNA5: J02147; RNA6: J02146; RNA7: V01099; RNA8: J02150</t>
  </si>
  <si>
    <t>RNA1: M14880; RNA2: AF101982; RNA3: AF102017; RNA4: K00423; RNA5: K01395; RNA6: J02095; RNA7: J02094; RNA8: J02096</t>
  </si>
  <si>
    <t>RNA1: AY373381; RNA2: AF404346; RNA3: AF404345; RNA4: AF404344; RNA5: AF404343; RNA6: AF404342; RNA7: AF404341; RNA8: AF404340</t>
  </si>
  <si>
    <t>RNA1: GQ499302; RNA2: GQ499303; RNA3: FJ861695; RNA4: JN412853; RNA5: FJ861694; RNA6: GQ499304</t>
  </si>
  <si>
    <t>RNA1: GU969308; RNA2: GU969313; RNA3: GU969309; RNA4: GU969310; RNA5: GU969311; RNA6: GU969312</t>
  </si>
  <si>
    <t>RNA1: Y17873; RNA2: AF004985; RNA3: AF006073; RNA4: M77280; RNA5: X96872; RNA6: AF527531</t>
  </si>
  <si>
    <t>RNA1: AJ781168; RNA2: AJ781167</t>
  </si>
  <si>
    <t>RNA1: AY603052; RNA2: AY603051</t>
  </si>
  <si>
    <t>RNA1: AF047013; RNA2: AF015924</t>
  </si>
  <si>
    <t>RNA1: AY533038; RNA2: AY533036</t>
  </si>
  <si>
    <t>RNA1: JN606091; RNA2: JN606090</t>
  </si>
  <si>
    <t>Seg1: KX884063; Seg2: KX884062</t>
  </si>
  <si>
    <t>RNA1: M83830; RNA2: M83309</t>
  </si>
  <si>
    <t>RNA1: X64886; RNA2: M14913</t>
  </si>
  <si>
    <t>RNA1: KJ746622; RNA2: FJ028650</t>
  </si>
  <si>
    <t>RNA1: JX304792; RNA2: JQ670669</t>
  </si>
  <si>
    <t>RNA1: HE774604; RNA2: AY291207</t>
  </si>
  <si>
    <t>RNA1: AY303786; RNA2: AY017339</t>
  </si>
  <si>
    <t>RNA1: X15346; RNA2: X15163</t>
  </si>
  <si>
    <t>RNA1: HE613269; RNA2: AY291208</t>
  </si>
  <si>
    <t>RNA1: L19655; RNA2: D12477</t>
  </si>
  <si>
    <t>RNA1: U50869; RNA2: AY363727</t>
  </si>
  <si>
    <t>RNA1: KY646466; RNA2: KJ572573</t>
  </si>
  <si>
    <t>RNA1: AF368272; RNA2: AF020051</t>
  </si>
  <si>
    <t>RNA1: MH716806; RNA2: MH716805</t>
  </si>
  <si>
    <t>RNA1: Y10973; RNA2: X90904</t>
  </si>
  <si>
    <t>SegA: U60650; SegB: AF196645</t>
  </si>
  <si>
    <t>AC007209 (8571.22122)</t>
  </si>
  <si>
    <t>dsRNA1: MH192993; dsRNA2: MH192994; dsRNA3: MH192995; dsRNA4: MH192996</t>
  </si>
  <si>
    <t>P1084-T</t>
  </si>
  <si>
    <t>U19239; D10681; AF027657; U76536</t>
  </si>
  <si>
    <t>BX897699 (1602076.1680868)</t>
  </si>
  <si>
    <t>CP001357 (2121760.2137438)</t>
  </si>
  <si>
    <t>CP000830 (1649803.2306161)</t>
  </si>
  <si>
    <t>CP001312 (203033.2020660)</t>
  </si>
  <si>
    <t>CP015418 (181175.2664887)</t>
  </si>
  <si>
    <t>CP000031 (2001541.2913924)</t>
  </si>
  <si>
    <t>Isolate ID</t>
  </si>
  <si>
    <t>DNA-C: EF546812; DNA-M: EF546811; DNA-N: EF546808; DNA-R: EF546813; DNA-S: EF546810; DNA-U3: EF546809</t>
  </si>
  <si>
    <t>DNA-A: MN414067; DNA-B: MN414068</t>
  </si>
  <si>
    <t>DNA-A: MN158325; DNA-B: MN158326</t>
  </si>
  <si>
    <t>DNA-A: KX857725; DNA-B: KX857726</t>
  </si>
  <si>
    <t>DNA-A: MN013786; DNA-B: MN013787</t>
  </si>
  <si>
    <t>DNA-A: KX156609; DNA-B: KX156610</t>
  </si>
  <si>
    <t>DNA-A: MN313661; DNA-B: MN313660</t>
  </si>
  <si>
    <t>DNA-A: MN313669; DNA-B: MN313668</t>
  </si>
  <si>
    <t>DNA-A: MN313667; DNA-B: MN313666</t>
  </si>
  <si>
    <t>DNA-A: MN518737; DNA-B: MN518739</t>
  </si>
  <si>
    <t>DNA-A: KX943290; DNA-B: KX943291</t>
  </si>
  <si>
    <t>DNA-A: MN746033; DNA-B: MN419243</t>
  </si>
  <si>
    <t>DNA-A: MN147863; DNA-B: MN147864</t>
  </si>
  <si>
    <t>DNA-A: MK423208; DNA-B: MK423207</t>
  </si>
  <si>
    <t>DNA-A: MN145942; DNA-B: MN145943</t>
  </si>
  <si>
    <t>DNA-A: KX156611; DNA-B: KX156612</t>
  </si>
  <si>
    <t>dsRNA1: MG254901; dsRNA2: MG254902; dsRNA3: MG697236</t>
  </si>
  <si>
    <t>Seg1: KX989543; Seg2: KX989544; Seg3: KX989545; Seg4-1: MF511051; Seg4-2: MF511052; Seg5: MF511053; Seg8: MF511054; Seg9: KX989546; Seg10: MF511055; Seg11: MF511056</t>
  </si>
  <si>
    <t>S1: MT153506; S2: MT153494</t>
  </si>
  <si>
    <t>S1: KM817597; S2: KM817596</t>
  </si>
  <si>
    <t>L: MN567062; S: MN567061</t>
  </si>
  <si>
    <t>L: OM456564; S: OM456563</t>
  </si>
  <si>
    <t>L: AY847351; S: AY847350</t>
  </si>
  <si>
    <t>L: MG599943; M: MG599944; S: MG599945</t>
  </si>
  <si>
    <t>L: MG599946; M: MG599947; S: MG599948</t>
  </si>
  <si>
    <t>L: MG599949; M: MG599950; S: MG599951</t>
  </si>
  <si>
    <t>L: MG599952; M: MG599953; S: MG599954</t>
  </si>
  <si>
    <t>L: KY662275; M: KY662274; S: KY662273</t>
  </si>
  <si>
    <t>L: GQ244526; M: GQ244521; S: GQ200820</t>
  </si>
  <si>
    <t>L: JF796043; M: JF796036; S: JF796022</t>
  </si>
  <si>
    <t>L: M63194; M: M29979; S: M32750</t>
  </si>
  <si>
    <t>L: KU934008; M: KU934009; S: KU934010</t>
  </si>
  <si>
    <t>L: MG599940; M: MG599941; S: MG599942</t>
  </si>
  <si>
    <t>L: KY700684; S: KY700683</t>
  </si>
  <si>
    <t>L: MT153554; M: MT153362; S: MT153521</t>
  </si>
  <si>
    <t>L: EU257628; M: EU257627; S: EU257626</t>
  </si>
  <si>
    <t>L: KR534878; M: KR534877; S: KR534876</t>
  </si>
  <si>
    <t>L: MK896468; M: MK896467; S: MK896466</t>
  </si>
  <si>
    <t>L: MT328776; M: MT328775; S: MT328777</t>
  </si>
  <si>
    <t>L: MH017275; M: MH017281; S: MH017269</t>
  </si>
  <si>
    <t>L: MK896653; M: MK896652; S: MK896651</t>
  </si>
  <si>
    <t>L: MK896635; M: MK896634; S: MK896633</t>
  </si>
  <si>
    <t>L: MK896626; M: MK896625; S: MK896624</t>
  </si>
  <si>
    <t>L: MK896623; M: MK896622; S: MK896621</t>
  </si>
  <si>
    <t>L: MK896617; M: MK896616; S: MK896615</t>
  </si>
  <si>
    <t>L: MK896614; M: MK896613; S: MK896612</t>
  </si>
  <si>
    <t>L: MW415981; M: MW415982; S: MW415980</t>
  </si>
  <si>
    <t>L: MK896611; M: MK896610; S: MK896609</t>
  </si>
  <si>
    <t>L: KM280929; M: KM280924; S: KM280937</t>
  </si>
  <si>
    <t>L: KJ481929; M: KJ481928; S: KJ481927</t>
  </si>
  <si>
    <t>L: MK896599; M: MK896598; S: MK896597</t>
  </si>
  <si>
    <t>L: MK896644; M: MK896643; S: MK896642</t>
  </si>
  <si>
    <t>L: KJ710425; M: KJ710423; S: KJ710424</t>
  </si>
  <si>
    <t>L: MK896570; M: MK896569; S: MK896568</t>
  </si>
  <si>
    <t>L: MK896567; M: MK896566; S: MK896565</t>
  </si>
  <si>
    <t>L: MK896554; M: MK896553; S: MK896552</t>
  </si>
  <si>
    <t>L: MK896548; M: MK896547; S: MK896546</t>
  </si>
  <si>
    <t>L: EF485032; M: EF485031; S: EF485030</t>
  </si>
  <si>
    <t>L: MK896545; M: MK896544; S: MK896543</t>
  </si>
  <si>
    <t>L: MK514125; M: MK514122; S: MK514119</t>
  </si>
  <si>
    <t>L: KP835520; M: KP835519; S: KP835518</t>
  </si>
  <si>
    <t>L: KF697150; M: KF697149; S: KF697148</t>
  </si>
  <si>
    <t>L: KP792693; M: KP792692; S: KP792691</t>
  </si>
  <si>
    <t>L: MK896527; M: MK896526; S: MK896525</t>
  </si>
  <si>
    <t>L: KJ481923; M: KJ481922; S: KJ481921</t>
  </si>
  <si>
    <t>L: MK896536; M: MK896535; S: MK896534</t>
  </si>
  <si>
    <t>L: MK896512; M: MK896511; S: MK896510</t>
  </si>
  <si>
    <t>L: MH484312; M: MH102378; S: MH015350</t>
  </si>
  <si>
    <t>L: MK896509; M: MK896508; S: MK896507</t>
  </si>
  <si>
    <t>L: HM639780; M: HM639779; S: HM639778</t>
  </si>
  <si>
    <t>L: MK896500; M: MK896499; S: MK896498</t>
  </si>
  <si>
    <t>L: MK896474; M: MK896473; S: MK896472</t>
  </si>
  <si>
    <t>L: MH017278; M: MH017284; S: MH017271</t>
  </si>
  <si>
    <t>L: MK896459; M: MK896458; S: MK896457</t>
  </si>
  <si>
    <t>L: MK896453; M: MK896452; S: MK896451</t>
  </si>
  <si>
    <t>L: MK896450; M: MK896449; S: MK896448</t>
  </si>
  <si>
    <t>L: MK896447; M: MK896446; S: MK896445</t>
  </si>
  <si>
    <t>L: MK896444; M: MK896443; S: MK896442</t>
  </si>
  <si>
    <t>L: MN661015; M: MN661017; S: MN661016</t>
  </si>
  <si>
    <t>L: MT153364; M: MT153439; S: MT153396</t>
  </si>
  <si>
    <t>L: MT153542; M: MT153459; S: MT153483</t>
  </si>
  <si>
    <t>L: KJ740148; M: KJ740147; S: KJ740146</t>
  </si>
  <si>
    <t>RNA1: MW842780; RNA2: MW751424</t>
  </si>
  <si>
    <t>RNA1: MW842781; RNA2: MW751425</t>
  </si>
  <si>
    <t>L: BK062758; M: BK062757; S: BK062756</t>
  </si>
  <si>
    <t>L: BK062755; M: BK062754; S: BK062753</t>
  </si>
  <si>
    <t>L: MW741894; M: MW741896; S: MW741895</t>
  </si>
  <si>
    <t>L: MN661012; M: MN661014; S: MN661013</t>
  </si>
  <si>
    <t>L: KP272036; M: KP272034; S: KP272035</t>
  </si>
  <si>
    <t>L: HM566152; M: HM566154; S: HM566153</t>
  </si>
  <si>
    <t>L: HM627185; M: HM627183; S: HM627184</t>
  </si>
  <si>
    <t>L: MT153420; M: MT153468; S: MT153384</t>
  </si>
  <si>
    <t>L: HM566159; M: HM566158; S: HM566160</t>
  </si>
  <si>
    <t>L: FJ822962; M: FJ822961; S: AY867502</t>
  </si>
  <si>
    <t>L: HG763861; M: JX833565; S: JX833564</t>
  </si>
  <si>
    <t>RNA1: MH323435; RNA2: MH323434</t>
  </si>
  <si>
    <t>OQ737697</t>
  </si>
  <si>
    <t>L: OQ348139; S: OQ348154</t>
  </si>
  <si>
    <t>L: MN443993; S: MN444013</t>
  </si>
  <si>
    <t>L: OQ348136; S: OQ348153</t>
  </si>
  <si>
    <t>L: OP775654; S: OP775655</t>
  </si>
  <si>
    <t>L: ON648820; S: ON648824</t>
  </si>
  <si>
    <t>L: ON366507; M: ON366508; S: ON366509</t>
  </si>
  <si>
    <t>L: OQ207703; M: OQ207702; S: OQ207701</t>
  </si>
  <si>
    <t>L: OM030321; M: OM030322; S: OM030323</t>
  </si>
  <si>
    <t>L: OP514653; M: OP804625; S: OP804628</t>
  </si>
  <si>
    <t>L: LC671712; M: LC671713; S: LC671714</t>
  </si>
  <si>
    <t>L: ON024087; M: ON024088; S: ON024089</t>
  </si>
  <si>
    <t>L: ON184084; M: ON184085; S: ON184086</t>
  </si>
  <si>
    <t>L: MW391927; M: MW391928; S: MW391929</t>
  </si>
  <si>
    <t>L: OM645180; M: OM645181; S: OM645182</t>
  </si>
  <si>
    <t>L: ON456901; S: ON456902</t>
  </si>
  <si>
    <t>L: MZ458543; S: MZ458542</t>
  </si>
  <si>
    <t>L: ON595961; M: ON595962; S: ON595963</t>
  </si>
  <si>
    <t>L: MH499473; M: MG913806; S: MG888402</t>
  </si>
  <si>
    <t>L: MG663536; M: MG663535; S: MG663534</t>
  </si>
  <si>
    <t>L: MZ508290; M: MZ508291; S: MZ508292</t>
  </si>
  <si>
    <t>L: LC553718; M: LC553717; S: LC553716</t>
  </si>
  <si>
    <t>L: OM030311; M: OM030312; S: OM030313</t>
  </si>
  <si>
    <t>DNA-C: MN273332; DNA-M: MN273334 ; DNA-N: MN273335 ; DNA-R: MN273336 ; DNA-S: MN273333 ;  DNA-U1: MN273337; DNA-U2: MN273338 ; DNA-U4: MN273339</t>
  </si>
  <si>
    <t>human alphaherpesvirus 1; herpes simplex virus 1</t>
  </si>
  <si>
    <t>human alphaherpesvirus 2; herpes simplex virus 2</t>
  </si>
  <si>
    <t>G#1</t>
  </si>
  <si>
    <t>DNA-S.1: MF926436; DNA-S.2: MF926439; DNA-gamma: MF926441; DNA-R: MF926434</t>
  </si>
  <si>
    <t>RNA1: LC437024; RNA2: LC437025</t>
  </si>
  <si>
    <t>RNA1: MN552388; RNA2: MN552389</t>
  </si>
  <si>
    <t>RNA1: MN627274; RNA2: MN627275</t>
  </si>
  <si>
    <t>RNA1: MH321499; RNA2: MH321500</t>
  </si>
  <si>
    <t>RNA1: KT962972; RNA2: KT962973</t>
  </si>
  <si>
    <t>RNA1: KX784490; RNA2: KX784491</t>
  </si>
  <si>
    <t>RNA1: MN552386; RNA2: MN552387</t>
  </si>
  <si>
    <t>RNA1: MH057692; RNA2: MH057693</t>
  </si>
  <si>
    <t>RNA1: KT601119; RNA2: KT601120</t>
  </si>
  <si>
    <t>RNA1: MN954886; RNA2: MN617034; RNA3: MN954885; RNA4: MN617035</t>
  </si>
  <si>
    <t>RNA1: OK077750; RNA2: OK077751; RNA3: OK077752; RNA4: OK077753</t>
  </si>
  <si>
    <t>Seg1: AF134522; Seg2: AF134523; Seg7: AF052013; Seg8: AF052012; Seg9: AF052011; Seg10: AF052010; Seg11: AF052009; Seg12: AF052008</t>
  </si>
  <si>
    <t>S1: BK061669; S2: BK061544</t>
  </si>
  <si>
    <t>Fùyùn tick virus 1</t>
  </si>
  <si>
    <t>Menghai rhabdovirus</t>
  </si>
  <si>
    <t>Kioloa tick virus</t>
  </si>
  <si>
    <t>OK128265</t>
  </si>
  <si>
    <t>ON746518</t>
  </si>
  <si>
    <t>KM817630</t>
  </si>
  <si>
    <t>ON746520</t>
  </si>
  <si>
    <t>ON746519</t>
  </si>
  <si>
    <t>ON746521</t>
  </si>
  <si>
    <t>ON746530</t>
  </si>
  <si>
    <t>ON684361</t>
  </si>
  <si>
    <t>MF141072</t>
  </si>
  <si>
    <t>ON408166</t>
  </si>
  <si>
    <t>KM817643</t>
  </si>
  <si>
    <t>ON746531</t>
  </si>
  <si>
    <t>MZ682616</t>
  </si>
  <si>
    <t>Tongren rhabd tick virus 2</t>
  </si>
  <si>
    <t>BK059424</t>
  </si>
  <si>
    <t>ON955142</t>
  </si>
  <si>
    <t>ON955143</t>
  </si>
  <si>
    <t>OQ077989</t>
  </si>
  <si>
    <t>18/203</t>
  </si>
  <si>
    <t>MN963997</t>
  </si>
  <si>
    <t>Can</t>
  </si>
  <si>
    <t>LNGZ-CH1</t>
  </si>
  <si>
    <t>XF</t>
  </si>
  <si>
    <t>L1: ON381478; L2: ON381479; S: ON381477</t>
  </si>
  <si>
    <t>L: OP191655; S: OP191656</t>
  </si>
  <si>
    <t>RNA1: LC571987; RNA2: LC571988; RNA3: LC805881; RNA4: LC805882</t>
  </si>
  <si>
    <t>RNA1: OQ513277; RNA2: OQ513278; RNA3: OQ513279</t>
  </si>
  <si>
    <t>RNA1: ON602044; RNA2: ON602045</t>
  </si>
  <si>
    <t>OR416239</t>
  </si>
  <si>
    <t>white-eyed parakeet adenovirus 1</t>
  </si>
  <si>
    <t>BR_DF</t>
  </si>
  <si>
    <t>MN025529</t>
  </si>
  <si>
    <t>deer adenovirus 2; Odocoileus adenovirus 2</t>
  </si>
  <si>
    <t>AC_000012</t>
  </si>
  <si>
    <t>squirrel monkey adenovirus 1</t>
  </si>
  <si>
    <t>AdV-1</t>
  </si>
  <si>
    <t>MN017133</t>
  </si>
  <si>
    <t>psittacine adenovirus 2 (from grey parrot)</t>
  </si>
  <si>
    <t>Accessions Link</t>
  </si>
  <si>
    <t>Leptopilina boulardi toti-like virus</t>
  </si>
  <si>
    <t>piscine myocarditis virus</t>
  </si>
  <si>
    <t>piscine myocarditis-like virus</t>
  </si>
  <si>
    <t>common carp toti-like virus 1</t>
  </si>
  <si>
    <t>riverside virus</t>
  </si>
  <si>
    <t>agile wallaby adenovirus 1</t>
  </si>
  <si>
    <t>L: L37901; M: L25783; S: L25784</t>
  </si>
  <si>
    <t>Y09598; AC_000004</t>
  </si>
  <si>
    <t>U46933; AC_000014</t>
  </si>
  <si>
    <t>BD269513; AC_000191</t>
  </si>
  <si>
    <t>AF030154; AC_000002</t>
  </si>
  <si>
    <t>Y07760; AC_000003</t>
  </si>
  <si>
    <t>AF252854; AC_000001</t>
  </si>
  <si>
    <t>AF083132; AC_000189</t>
  </si>
  <si>
    <t>goat adenovirus 2</t>
  </si>
  <si>
    <t>GAdV-2</t>
  </si>
  <si>
    <t>T94-0353</t>
  </si>
  <si>
    <t>DQ630760</t>
  </si>
  <si>
    <t>ibex adenovirus 1</t>
  </si>
  <si>
    <t>OP150929</t>
  </si>
  <si>
    <t>AB063</t>
  </si>
  <si>
    <t xml:space="preserve">goat adenovirus 1 </t>
  </si>
  <si>
    <t>GAdV-1</t>
  </si>
  <si>
    <t>NC90-7261</t>
  </si>
  <si>
    <t>AF207660</t>
  </si>
  <si>
    <t>RSV; RStV</t>
  </si>
  <si>
    <t>GRV; GRAV</t>
  </si>
  <si>
    <t>MCRV; MRAV</t>
  </si>
  <si>
    <t>LANV; LJAV</t>
  </si>
  <si>
    <t>MANV; MNTBV</t>
  </si>
  <si>
    <t>HIRRV; HIRV</t>
  </si>
  <si>
    <t>BVSV; BENV</t>
  </si>
  <si>
    <t>BENV; BNFV</t>
  </si>
  <si>
    <t>ARTV; ARMTV</t>
  </si>
  <si>
    <t>CPEV; CRPV</t>
  </si>
  <si>
    <t>TUCV; TUCRV</t>
  </si>
  <si>
    <t>ssRNA(-); ssRNA(+/-)</t>
  </si>
  <si>
    <t>L: KY662287; S: KY662280</t>
  </si>
  <si>
    <t>dsRNA1: HG975302; dsRNA2: HG975303; dsRNA3: HG975304; dsRNA4: HG975305</t>
  </si>
  <si>
    <t>dsRNA1: MG887754; dsRNA2: MG887755; dsRNA3: MG887756; dsRNA4: MG887757</t>
  </si>
  <si>
    <t>dsRNA1: LC517041; dsRNA2: LC517042; dsRNA3: LC517043; dsRNA4: LC517045; dsRNA5: LC517044</t>
  </si>
  <si>
    <t>dsRNA1: LC553675; dsRNA2: LC553676; dsRNA3: LC553677; dsRNA4: LC553678</t>
  </si>
  <si>
    <t>RNA1: LC719619; RNA2: LC719620; RNA3: LC719621</t>
  </si>
  <si>
    <t>dsRNA1: KT372135; dsRNA2: KT372136; dsRNA3: KT372137; dsRNA4: KT372138; dsRNA5: KT372139</t>
  </si>
  <si>
    <t>simian foamy virus Ateles spp.</t>
  </si>
  <si>
    <t>SFVsxa</t>
  </si>
  <si>
    <t>OM469121</t>
  </si>
  <si>
    <t>L: MW274743; M: MW274744; S: MW274745</t>
  </si>
  <si>
    <t>L: MW274746; M: MW274747; S: MW274748</t>
  </si>
  <si>
    <t>L: MW434660; M: MW434632; S: MW434647</t>
  </si>
  <si>
    <t>L: MW274737; M: MW274738; S: MW274739</t>
  </si>
  <si>
    <t>L: MN661021; M: MN661023; S: MN661022</t>
  </si>
  <si>
    <t>L: MN513376; M: MN513375; S: MN513374</t>
  </si>
  <si>
    <t>L: MW434703; M: MW434675; S: MW434690</t>
  </si>
  <si>
    <t>L: MW274740; M: MW274741; S: MW274742</t>
  </si>
  <si>
    <t>L.a: MN567049; L.b: MN567050; S: MN567048</t>
  </si>
  <si>
    <t>Rabbit01/2013/HUN</t>
  </si>
  <si>
    <t>KT325852</t>
  </si>
  <si>
    <t>CDVUM_2557971</t>
  </si>
  <si>
    <t>OM367996</t>
  </si>
  <si>
    <t>BR_DF2</t>
  </si>
  <si>
    <t>Belfast 1</t>
  </si>
  <si>
    <t>ON217544</t>
  </si>
  <si>
    <t>LT598836</t>
  </si>
  <si>
    <t>LC8</t>
  </si>
  <si>
    <t>Version:</t>
    <phoneticPr fontId="4" type="noConversion"/>
  </si>
  <si>
    <t>Date</t>
    <phoneticPr fontId="4" type="noConversion"/>
  </si>
  <si>
    <t>New MSL, #39 including all taxa updates since the 2022 release</t>
  </si>
  <si>
    <t>Change:</t>
    <phoneticPr fontId="4" type="noConversion"/>
  </si>
  <si>
    <t>Original release</t>
    <phoneticPr fontId="4" type="noConversion"/>
  </si>
  <si>
    <t>ICTV 2023 Virus Metadata Resource (VMR)</t>
  </si>
  <si>
    <t xml:space="preserve">Updated all taxon names to match changes in MSL39. </t>
  </si>
  <si>
    <t xml:space="preserve">Added new isolates included in proposals for MSL39. </t>
  </si>
  <si>
    <t>Updates</t>
  </si>
  <si>
    <t xml:space="preserve">Many corrections, additions and a removal. </t>
  </si>
  <si>
    <t>Anadyr virus</t>
  </si>
  <si>
    <t>PQ415717</t>
  </si>
  <si>
    <t>PQ415718</t>
  </si>
  <si>
    <t>CVA1</t>
  </si>
  <si>
    <t>CVA11</t>
  </si>
  <si>
    <t>CVA13</t>
  </si>
  <si>
    <t>CVA17</t>
  </si>
  <si>
    <t>CVA19</t>
  </si>
  <si>
    <t>CVA20</t>
  </si>
  <si>
    <t>CVA21</t>
  </si>
  <si>
    <t>CVA22</t>
  </si>
  <si>
    <t>CVA24</t>
  </si>
  <si>
    <t>Donald Smith</t>
  </si>
  <si>
    <t>Thyiavirus</t>
  </si>
  <si>
    <t>Sanchirvirus</t>
  </si>
  <si>
    <t>Zohalivirus</t>
  </si>
  <si>
    <t>ICTV internal isolate ID for each line of the VMR.</t>
  </si>
  <si>
    <t xml:space="preserve">ICTV internal sort ID of each virus species. </t>
  </si>
  <si>
    <t>ICTV internal sort ID of virus isolates within each species.</t>
  </si>
  <si>
    <t>D - R</t>
  </si>
  <si>
    <t>Realm, Subrealm, Kingdom, Subkingdom, Phylum, Subphylum, Class, Subclass, Order, Suborder, Family, Subfamily, Genus, Subgenus, Species</t>
  </si>
  <si>
    <t>Taxonomic ranks into which virus species are classified.</t>
  </si>
  <si>
    <t>Exemplar (E) or additional (A) isolate chosen by ICTV Study Groups as representative, well-characterised isolates of each species.</t>
  </si>
  <si>
    <t>Commonly used virus name (or names separated by a semi-colon).</t>
  </si>
  <si>
    <t>Commonly used virus name abbreviation (or abbreviations separated by a semi-colon).</t>
  </si>
  <si>
    <t>The designation of that particular virus isolate, variant or strain.</t>
  </si>
  <si>
    <t>MSL39.v4</t>
  </si>
  <si>
    <t>MSL39.v2</t>
  </si>
  <si>
    <t>MSL39.v1</t>
  </si>
  <si>
    <t xml:space="preserve">Added RefSeq accessions and RefSeq taxid's. </t>
  </si>
  <si>
    <t xml:space="preserve">Removed RefSeq accessions and RefSeq NCBI taxid's. </t>
  </si>
  <si>
    <r>
      <t xml:space="preserve">Updated for genus/species name fixes in MSL39.v4, plus many isolate updates.
Removed 3 "addtional" isolates of species </t>
    </r>
    <r>
      <rPr>
        <i/>
        <sz val="12"/>
        <rFont val="Arial"/>
        <family val="2"/>
      </rPr>
      <t>Uukuvirus uukuniemiense</t>
    </r>
    <r>
      <rPr>
        <sz val="12"/>
        <rFont val="Arial"/>
        <family val="2"/>
      </rPr>
      <t xml:space="preserve"> because they lacked Genbank accession numbers.</t>
    </r>
  </si>
  <si>
    <t>Genome coverage of the indicated virus. Possible values are:
- Complete genome
- Coding-complete genome
- Partial genome
- No entry in Genbank</t>
  </si>
  <si>
    <t>The nature of the virus genome packaged into virions. Possible values are:
- dsDNA
- dsDNA-RT
- dsRNA
- ssDNA
- ssDNA(-)
- ssDNA(+)
- ssDNA(+/-)
- ssRNA
- ssRNA-RT
- ssRNA(-)
- ssRNA(+)
- ssRNA(+/-)
- ssRNA(-); ssRNA(+/-)</t>
  </si>
  <si>
    <t>Indicates the known categories of hosts or hosts infected by the virus. The suffix [S] indicates a source from which the virus was isolated. Possible values are:
- air (S)
- archaea
- bacteria
- freshwater (S)
- fungi
- invertebrates
- marine (S)
- phytobiome (S)
- plants
- protists
- sewage (S)
- soil (S)
- unknown (S)
- vertebrates</t>
  </si>
  <si>
    <t>Genome</t>
  </si>
  <si>
    <t>Editor:</t>
  </si>
  <si>
    <t>donald.smith.ictv@gmail.com</t>
  </si>
  <si>
    <t>Send corrections to:</t>
  </si>
  <si>
    <t>The GenBank (nucleotide) accession number (or numbers separted by a semicolon) for that virus isolate. In some cases a range within the accession sequence is specified by a "(startPos.endPos)" suffix.</t>
  </si>
  <si>
    <t>Link to the GenBank record(s) in columns 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</si>
</sst>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u/>
      <sz val="12"/>
      <color theme="10"/>
      <name val="Calibri"/>
      <family val="2"/>
      <scheme val="minor"/>
    </font>
    <font>
      <sz val="10"/>
      <name val="Arial"/>
      <family val="2"/>
    </font>
    <font>
      <sz val="14"/>
      <name val="Arial"/>
      <family val="2"/>
    </font>
    <font>
      <b/>
      <sz val="14"/>
      <color theme="1"/>
      <name val="Arial"/>
      <family val="2"/>
    </font>
    <font>
      <sz val="10"/>
      <color theme="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i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9" fillId="0" borderId="0" applyNumberFormat="0" applyFill="0" applyBorder="0" applyAlignment="0" applyProtection="0"/>
    <xf numFmtId="0" fontId="21" fillId="0" borderId="0"/>
    <xf numFmtId="0" fontId="27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49" fontId="16" fillId="0" borderId="0" xfId="42" applyNumberFormat="1" applyFont="1" applyAlignment="1">
      <alignment vertical="top" wrapText="1"/>
    </xf>
    <xf numFmtId="49" fontId="1" fillId="0" borderId="10" xfId="42" applyNumberFormat="1" applyBorder="1" applyAlignment="1">
      <alignment vertical="top" wrapText="1"/>
    </xf>
    <xf numFmtId="49" fontId="1" fillId="0" borderId="11" xfId="42" applyNumberFormat="1" applyBorder="1" applyAlignment="1">
      <alignment vertical="top" wrapText="1"/>
    </xf>
    <xf numFmtId="49" fontId="16" fillId="0" borderId="12" xfId="42" applyNumberFormat="1" applyFont="1" applyBorder="1" applyAlignment="1">
      <alignment vertical="top" wrapText="1"/>
    </xf>
    <xf numFmtId="49" fontId="1" fillId="0" borderId="14" xfId="42" applyNumberFormat="1" applyBorder="1" applyAlignment="1">
      <alignment vertical="top" wrapText="1"/>
    </xf>
    <xf numFmtId="49" fontId="16" fillId="0" borderId="15" xfId="42" applyNumberFormat="1" applyFont="1" applyBorder="1" applyAlignment="1">
      <alignment vertical="top" wrapText="1"/>
    </xf>
    <xf numFmtId="49" fontId="16" fillId="0" borderId="16" xfId="42" applyNumberFormat="1" applyFont="1" applyBorder="1" applyAlignment="1">
      <alignment vertical="top" wrapText="1"/>
    </xf>
    <xf numFmtId="49" fontId="0" fillId="0" borderId="14" xfId="43" applyNumberFormat="1" applyFont="1" applyBorder="1" applyAlignment="1">
      <alignment vertical="top" wrapText="1"/>
    </xf>
    <xf numFmtId="49" fontId="16" fillId="33" borderId="17" xfId="42" applyNumberFormat="1" applyFont="1" applyFill="1" applyBorder="1" applyAlignment="1">
      <alignment vertical="top" wrapText="1"/>
    </xf>
    <xf numFmtId="49" fontId="16" fillId="33" borderId="18" xfId="42" applyNumberFormat="1" applyFont="1" applyFill="1" applyBorder="1" applyAlignment="1">
      <alignment vertical="top" wrapText="1"/>
    </xf>
    <xf numFmtId="49" fontId="16" fillId="33" borderId="19" xfId="42" applyNumberFormat="1" applyFont="1" applyFill="1" applyBorder="1" applyAlignment="1">
      <alignment vertical="top" wrapText="1"/>
    </xf>
    <xf numFmtId="0" fontId="16" fillId="34" borderId="15" xfId="0" applyFont="1" applyFill="1" applyBorder="1" applyAlignment="1">
      <alignment horizontal="center" vertical="center" wrapText="1"/>
    </xf>
    <xf numFmtId="0" fontId="16" fillId="34" borderId="20" xfId="0" applyFont="1" applyFill="1" applyBorder="1" applyAlignment="1">
      <alignment horizontal="center" vertical="center" wrapText="1"/>
    </xf>
    <xf numFmtId="0" fontId="16" fillId="34" borderId="21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0" fontId="0" fillId="35" borderId="22" xfId="0" applyFill="1" applyBorder="1" applyAlignment="1">
      <alignment horizontal="left"/>
    </xf>
    <xf numFmtId="0" fontId="19" fillId="0" borderId="0" xfId="44" applyAlignment="1">
      <alignment horizontal="left"/>
    </xf>
    <xf numFmtId="0" fontId="19" fillId="0" borderId="0" xfId="44"/>
    <xf numFmtId="0" fontId="16" fillId="19" borderId="5" xfId="28" applyFont="1" applyBorder="1" applyAlignment="1">
      <alignment horizontal="center" vertical="center" wrapText="1"/>
    </xf>
    <xf numFmtId="0" fontId="16" fillId="19" borderId="15" xfId="28" applyFont="1" applyBorder="1" applyAlignment="1">
      <alignment horizontal="center" vertical="center" wrapText="1"/>
    </xf>
    <xf numFmtId="0" fontId="20" fillId="0" borderId="0" xfId="44" applyFont="1" applyAlignment="1">
      <alignment horizontal="left"/>
    </xf>
    <xf numFmtId="0" fontId="20" fillId="0" borderId="0" xfId="44" applyFont="1"/>
    <xf numFmtId="0" fontId="21" fillId="0" borderId="0" xfId="45"/>
    <xf numFmtId="0" fontId="21" fillId="0" borderId="0" xfId="45" applyAlignment="1">
      <alignment horizontal="left" vertical="center"/>
    </xf>
    <xf numFmtId="0" fontId="22" fillId="0" borderId="0" xfId="45" applyFont="1"/>
    <xf numFmtId="0" fontId="23" fillId="34" borderId="23" xfId="45" applyFont="1" applyFill="1" applyBorder="1" applyAlignment="1">
      <alignment horizontal="left" vertical="center"/>
    </xf>
    <xf numFmtId="0" fontId="24" fillId="34" borderId="24" xfId="45" applyFont="1" applyFill="1" applyBorder="1" applyAlignment="1">
      <alignment horizontal="left" vertical="center"/>
    </xf>
    <xf numFmtId="0" fontId="24" fillId="34" borderId="25" xfId="45" applyFont="1" applyFill="1" applyBorder="1" applyAlignment="1">
      <alignment horizontal="left" vertical="center"/>
    </xf>
    <xf numFmtId="0" fontId="21" fillId="0" borderId="0" xfId="45" applyAlignment="1">
      <alignment horizontal="left"/>
    </xf>
    <xf numFmtId="0" fontId="25" fillId="34" borderId="19" xfId="45" applyFont="1" applyFill="1" applyBorder="1" applyAlignment="1">
      <alignment horizontal="right"/>
    </xf>
    <xf numFmtId="0" fontId="26" fillId="34" borderId="17" xfId="45" applyFont="1" applyFill="1" applyBorder="1"/>
    <xf numFmtId="0" fontId="26" fillId="0" borderId="0" xfId="45" applyFont="1"/>
    <xf numFmtId="0" fontId="26" fillId="34" borderId="26" xfId="45" applyFont="1" applyFill="1" applyBorder="1" applyAlignment="1">
      <alignment horizontal="left" vertical="center"/>
    </xf>
    <xf numFmtId="0" fontId="25" fillId="0" borderId="16" xfId="45" applyFont="1" applyBorder="1" applyAlignment="1">
      <alignment horizontal="right"/>
    </xf>
    <xf numFmtId="164" fontId="26" fillId="0" borderId="14" xfId="45" applyNumberFormat="1" applyFont="1" applyBorder="1" applyAlignment="1">
      <alignment horizontal="right"/>
    </xf>
    <xf numFmtId="15" fontId="26" fillId="0" borderId="0" xfId="45" applyNumberFormat="1" applyFont="1"/>
    <xf numFmtId="49" fontId="25" fillId="0" borderId="26" xfId="45" applyNumberFormat="1" applyFont="1" applyBorder="1" applyAlignment="1">
      <alignment horizontal="left" vertical="center"/>
    </xf>
    <xf numFmtId="0" fontId="25" fillId="0" borderId="13" xfId="45" applyFont="1" applyBorder="1" applyAlignment="1">
      <alignment horizontal="right"/>
    </xf>
    <xf numFmtId="15" fontId="26" fillId="0" borderId="11" xfId="45" applyNumberFormat="1" applyFont="1" applyBorder="1" applyAlignment="1">
      <alignment horizontal="right"/>
    </xf>
    <xf numFmtId="15" fontId="26" fillId="0" borderId="0" xfId="45" applyNumberFormat="1" applyFont="1" applyAlignment="1">
      <alignment horizontal="right"/>
    </xf>
    <xf numFmtId="0" fontId="26" fillId="0" borderId="27" xfId="45" applyFont="1" applyBorder="1" applyAlignment="1">
      <alignment horizontal="left" vertical="center"/>
    </xf>
    <xf numFmtId="0" fontId="25" fillId="0" borderId="0" xfId="45" applyFont="1" applyAlignment="1">
      <alignment horizontal="right"/>
    </xf>
    <xf numFmtId="0" fontId="26" fillId="0" borderId="0" xfId="45" applyFont="1" applyAlignment="1">
      <alignment horizontal="left" vertical="center"/>
    </xf>
    <xf numFmtId="0" fontId="26" fillId="0" borderId="28" xfId="45" applyFont="1" applyBorder="1" applyAlignment="1">
      <alignment horizontal="left" vertical="center"/>
    </xf>
    <xf numFmtId="0" fontId="27" fillId="0" borderId="0" xfId="46" applyFill="1" applyBorder="1" applyAlignment="1">
      <alignment horizontal="left" vertical="center"/>
    </xf>
    <xf numFmtId="0" fontId="19" fillId="0" borderId="28" xfId="44" applyFill="1" applyBorder="1" applyAlignment="1">
      <alignment horizontal="left" vertical="center"/>
    </xf>
    <xf numFmtId="0" fontId="0" fillId="34" borderId="15" xfId="0" applyFill="1" applyBorder="1" applyAlignment="1">
      <alignment horizontal="center" vertical="center" wrapText="1"/>
    </xf>
    <xf numFmtId="0" fontId="26" fillId="0" borderId="28" xfId="45" applyFont="1" applyBorder="1" applyAlignment="1">
      <alignment horizontal="left" vertical="center" wrapText="1"/>
    </xf>
    <xf numFmtId="0" fontId="25" fillId="0" borderId="13" xfId="45" applyFont="1" applyBorder="1" applyAlignment="1">
      <alignment horizontal="right" vertical="top"/>
    </xf>
    <xf numFmtId="15" fontId="26" fillId="0" borderId="11" xfId="45" applyNumberFormat="1" applyFont="1" applyBorder="1" applyAlignment="1">
      <alignment horizontal="right" vertical="top"/>
    </xf>
    <xf numFmtId="49" fontId="16" fillId="0" borderId="29" xfId="42" applyNumberFormat="1" applyFont="1" applyBorder="1" applyAlignment="1">
      <alignment vertical="top" wrapText="1"/>
    </xf>
    <xf numFmtId="49" fontId="16" fillId="0" borderId="26" xfId="42" applyNumberFormat="1" applyFont="1" applyBorder="1" applyAlignment="1">
      <alignment vertical="top" wrapText="1"/>
    </xf>
    <xf numFmtId="49" fontId="1" fillId="0" borderId="30" xfId="42" applyNumberFormat="1" applyBorder="1" applyAlignment="1">
      <alignment vertical="top" wrapText="1"/>
    </xf>
    <xf numFmtId="49" fontId="19" fillId="0" borderId="0" xfId="44" applyNumberFormat="1" applyAlignment="1">
      <alignment vertical="top" wrapText="1"/>
    </xf>
    <xf numFmtId="0" fontId="25" fillId="34" borderId="31" xfId="45" applyFont="1" applyFill="1" applyBorder="1" applyAlignment="1">
      <alignment horizontal="right"/>
    </xf>
    <xf numFmtId="0" fontId="26" fillId="34" borderId="32" xfId="45" applyFont="1" applyFill="1" applyBorder="1"/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Hyperlink 2" xfId="46" xr:uid="{67E4E73A-2184-754C-B793-3A06C8FF8E35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5" xr:uid="{8C32F69F-8989-FE4F-B11C-AAF42A0DF252}"/>
    <cellStyle name="Normal 2 2" xfId="43" xr:uid="{00000000-0005-0000-0000-000025000000}"/>
    <cellStyle name="Normal 3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ictv.global/about/co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394"/>
  <sheetViews>
    <sheetView tabSelected="1" zoomScale="115" zoomScaleNormal="100" workbookViewId="0">
      <pane xSplit="3" ySplit="1" topLeftCell="W2" activePane="bottomRight" state="frozen"/>
      <selection pane="topRight" activeCell="C1" sqref="C1"/>
      <selection pane="bottomLeft" activeCell="A2" sqref="A2"/>
      <selection pane="bottomRight" activeCell="Y4" sqref="Y4"/>
    </sheetView>
  </sheetViews>
  <sheetFormatPr defaultColWidth="10.6640625" defaultRowHeight="15.5" x14ac:dyDescent="0.35"/>
  <cols>
    <col min="1" max="1" width="14" bestFit="1" customWidth="1"/>
    <col min="2" max="2" width="9.5" customWidth="1"/>
    <col min="3" max="3" width="15.5" customWidth="1"/>
    <col min="4" max="4" width="13" customWidth="1"/>
    <col min="5" max="5" width="14" customWidth="1"/>
    <col min="6" max="6" width="15" customWidth="1"/>
    <col min="7" max="7" width="14.6640625" customWidth="1"/>
    <col min="8" max="8" width="16.33203125" customWidth="1"/>
    <col min="9" max="9" width="15.33203125" customWidth="1"/>
    <col min="10" max="10" width="17.6640625" customWidth="1"/>
    <col min="11" max="11" width="13.1640625" customWidth="1"/>
    <col min="12" max="12" width="17" customWidth="1"/>
    <col min="13" max="13" width="17.6640625" customWidth="1"/>
    <col min="14" max="14" width="19.5" customWidth="1"/>
    <col min="15" max="15" width="22.1640625" customWidth="1"/>
    <col min="16" max="16" width="23.83203125" customWidth="1"/>
    <col min="17" max="17" width="14.1640625" customWidth="1"/>
    <col min="18" max="18" width="40.5" style="26" customWidth="1"/>
    <col min="19" max="19" width="8.5" customWidth="1"/>
    <col min="20" max="20" width="54.6640625" customWidth="1"/>
    <col min="21" max="21" width="12.1640625" customWidth="1"/>
    <col min="22" max="22" width="16.33203125" customWidth="1"/>
    <col min="23" max="23" width="58.1640625" customWidth="1"/>
    <col min="24" max="24" width="22.5" customWidth="1"/>
    <col min="25" max="25" width="23.83203125" customWidth="1"/>
    <col min="26" max="26" width="22.83203125" customWidth="1"/>
    <col min="27" max="27" width="22.83203125" style="22" customWidth="1"/>
  </cols>
  <sheetData>
    <row r="1" spans="1:27" ht="62" x14ac:dyDescent="0.35">
      <c r="A1" s="51" t="s">
        <v>50758</v>
      </c>
      <c r="B1" s="14" t="s">
        <v>38978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5</v>
      </c>
      <c r="I1" s="14" t="s">
        <v>6</v>
      </c>
      <c r="J1" s="14" t="s">
        <v>7</v>
      </c>
      <c r="K1" s="14" t="s">
        <v>8</v>
      </c>
      <c r="L1" s="14" t="s">
        <v>9</v>
      </c>
      <c r="M1" s="14" t="s">
        <v>10</v>
      </c>
      <c r="N1" s="14" t="s">
        <v>11</v>
      </c>
      <c r="O1" s="14" t="s">
        <v>12</v>
      </c>
      <c r="P1" s="14" t="s">
        <v>13</v>
      </c>
      <c r="Q1" s="14" t="s">
        <v>14</v>
      </c>
      <c r="R1" s="24" t="s">
        <v>15</v>
      </c>
      <c r="S1" s="14" t="s">
        <v>16</v>
      </c>
      <c r="T1" s="14" t="s">
        <v>17</v>
      </c>
      <c r="U1" s="14" t="s">
        <v>18</v>
      </c>
      <c r="V1" s="14" t="s">
        <v>19</v>
      </c>
      <c r="W1" s="15" t="s">
        <v>20</v>
      </c>
      <c r="X1" s="16" t="s">
        <v>21</v>
      </c>
      <c r="Y1" s="14" t="s">
        <v>51048</v>
      </c>
      <c r="Z1" s="14" t="s">
        <v>22</v>
      </c>
      <c r="AA1" s="23" t="s">
        <v>50937</v>
      </c>
    </row>
    <row r="2" spans="1:27" x14ac:dyDescent="0.35">
      <c r="A2">
        <v>1000002</v>
      </c>
      <c r="B2">
        <v>1</v>
      </c>
      <c r="C2">
        <v>1</v>
      </c>
      <c r="D2" s="17" t="s">
        <v>23</v>
      </c>
      <c r="E2" s="17"/>
      <c r="F2" s="17" t="s">
        <v>24</v>
      </c>
      <c r="G2" s="17"/>
      <c r="H2" s="17" t="s">
        <v>25</v>
      </c>
      <c r="I2" s="17"/>
      <c r="J2" s="17" t="s">
        <v>26</v>
      </c>
      <c r="K2" s="17"/>
      <c r="L2" s="17" t="s">
        <v>27</v>
      </c>
      <c r="M2" s="17"/>
      <c r="N2" s="17" t="s">
        <v>28</v>
      </c>
      <c r="O2" s="17"/>
      <c r="P2" s="17" t="s">
        <v>29</v>
      </c>
      <c r="Q2" s="17"/>
      <c r="R2" s="25" t="str">
        <f>HYPERLINK("https://ictv.global/taxonomy/taxondetails?taxnode_id=202308643","Alphalipothrixvirus beppuense")</f>
        <v>Alphalipothrixvirus beppuense</v>
      </c>
      <c r="S2" s="18" t="s">
        <v>30</v>
      </c>
      <c r="T2" s="18" t="s">
        <v>38</v>
      </c>
      <c r="U2" s="18" t="s">
        <v>39</v>
      </c>
      <c r="V2" s="18" t="s">
        <v>40</v>
      </c>
      <c r="W2" s="18" t="s">
        <v>41</v>
      </c>
      <c r="X2" s="18" t="s">
        <v>42</v>
      </c>
      <c r="Y2" s="18" t="s">
        <v>36</v>
      </c>
      <c r="Z2" s="18" t="s">
        <v>37</v>
      </c>
      <c r="AA2" s="21" t="str">
        <f>HYPERLINK("https://www.ncbi.nlm.nih.gov/nuccore/MH447526","NCBI Nucleotide")</f>
        <v>NCBI Nucleotide</v>
      </c>
    </row>
    <row r="3" spans="1:27" x14ac:dyDescent="0.35">
      <c r="A3">
        <v>1000001</v>
      </c>
      <c r="B3">
        <v>2</v>
      </c>
      <c r="C3">
        <v>1</v>
      </c>
      <c r="D3" s="17" t="s">
        <v>23</v>
      </c>
      <c r="E3" s="17"/>
      <c r="F3" s="17" t="s">
        <v>24</v>
      </c>
      <c r="G3" s="17"/>
      <c r="H3" s="17" t="s">
        <v>25</v>
      </c>
      <c r="I3" s="17"/>
      <c r="J3" s="17" t="s">
        <v>26</v>
      </c>
      <c r="K3" s="17"/>
      <c r="L3" s="17" t="s">
        <v>27</v>
      </c>
      <c r="M3" s="17"/>
      <c r="N3" s="17" t="s">
        <v>28</v>
      </c>
      <c r="O3" s="17"/>
      <c r="P3" s="17" t="s">
        <v>29</v>
      </c>
      <c r="Q3" s="17"/>
      <c r="R3" s="25" t="str">
        <f>HYPERLINK("https://ictv.global/taxonomy/taxondetails?taxnode_id=202308644","Alphalipothrixvirus umijigokuense")</f>
        <v>Alphalipothrixvirus umijigokuense</v>
      </c>
      <c r="S3" s="18" t="s">
        <v>30</v>
      </c>
      <c r="T3" s="18" t="s">
        <v>31</v>
      </c>
      <c r="U3" s="18" t="s">
        <v>32</v>
      </c>
      <c r="V3" s="18" t="s">
        <v>33</v>
      </c>
      <c r="W3" s="18" t="s">
        <v>34</v>
      </c>
      <c r="X3" s="18" t="s">
        <v>35</v>
      </c>
      <c r="Y3" s="18" t="s">
        <v>36</v>
      </c>
      <c r="Z3" s="18" t="s">
        <v>37</v>
      </c>
      <c r="AA3" s="21" t="str">
        <f>HYPERLINK("https://www.ncbi.nlm.nih.gov/nuccore/MK064563","NCBI Nucleotide")</f>
        <v>NCBI Nucleotide</v>
      </c>
    </row>
    <row r="4" spans="1:27" x14ac:dyDescent="0.35">
      <c r="A4">
        <v>1000003</v>
      </c>
      <c r="B4">
        <v>3</v>
      </c>
      <c r="C4">
        <v>1</v>
      </c>
      <c r="D4" s="17" t="s">
        <v>23</v>
      </c>
      <c r="E4" s="17"/>
      <c r="F4" s="17" t="s">
        <v>24</v>
      </c>
      <c r="G4" s="17"/>
      <c r="H4" s="17" t="s">
        <v>25</v>
      </c>
      <c r="I4" s="17"/>
      <c r="J4" s="17" t="s">
        <v>26</v>
      </c>
      <c r="K4" s="17"/>
      <c r="L4" s="17" t="s">
        <v>27</v>
      </c>
      <c r="M4" s="17"/>
      <c r="N4" s="17" t="s">
        <v>28</v>
      </c>
      <c r="O4" s="17"/>
      <c r="P4" s="17" t="s">
        <v>43</v>
      </c>
      <c r="Q4" s="17"/>
      <c r="R4" s="25" t="str">
        <f>HYPERLINK("https://ictv.global/taxonomy/taxondetails?taxnode_id=202301532","Betalipothrixvirus acidiani")</f>
        <v>Betalipothrixvirus acidiani</v>
      </c>
      <c r="S4" s="18" t="s">
        <v>30</v>
      </c>
      <c r="T4" s="18" t="s">
        <v>44</v>
      </c>
      <c r="U4" s="18" t="s">
        <v>45</v>
      </c>
      <c r="V4" s="18"/>
      <c r="W4" s="18" t="s">
        <v>46</v>
      </c>
      <c r="X4" s="18" t="s">
        <v>42</v>
      </c>
      <c r="Y4" s="18" t="s">
        <v>36</v>
      </c>
      <c r="Z4" s="18" t="s">
        <v>37</v>
      </c>
      <c r="AA4" s="21" t="str">
        <f>HYPERLINK("https://www.ncbi.nlm.nih.gov/nuccore/AM087120","NCBI Nucleotide")</f>
        <v>NCBI Nucleotide</v>
      </c>
    </row>
    <row r="5" spans="1:27" x14ac:dyDescent="0.35">
      <c r="A5">
        <v>1000008</v>
      </c>
      <c r="B5">
        <v>4</v>
      </c>
      <c r="C5">
        <v>1</v>
      </c>
      <c r="D5" s="17" t="s">
        <v>23</v>
      </c>
      <c r="E5" s="17"/>
      <c r="F5" s="17" t="s">
        <v>24</v>
      </c>
      <c r="G5" s="17"/>
      <c r="H5" s="17" t="s">
        <v>25</v>
      </c>
      <c r="I5" s="17"/>
      <c r="J5" s="17" t="s">
        <v>26</v>
      </c>
      <c r="K5" s="17"/>
      <c r="L5" s="17" t="s">
        <v>27</v>
      </c>
      <c r="M5" s="17"/>
      <c r="N5" s="17" t="s">
        <v>28</v>
      </c>
      <c r="O5" s="17"/>
      <c r="P5" s="17" t="s">
        <v>43</v>
      </c>
      <c r="Q5" s="17"/>
      <c r="R5" s="25" t="str">
        <f>HYPERLINK("https://ictv.global/taxonomy/taxondetails?taxnode_id=202301537","Betalipothrixvirus hveragerdiense")</f>
        <v>Betalipothrixvirus hveragerdiense</v>
      </c>
      <c r="S5" s="18" t="s">
        <v>30</v>
      </c>
      <c r="T5" s="18" t="s">
        <v>59</v>
      </c>
      <c r="U5" s="18" t="s">
        <v>60</v>
      </c>
      <c r="V5" s="18"/>
      <c r="W5" s="18" t="s">
        <v>61</v>
      </c>
      <c r="X5" s="18" t="s">
        <v>42</v>
      </c>
      <c r="Y5" s="18" t="s">
        <v>36</v>
      </c>
      <c r="Z5" s="18" t="s">
        <v>37</v>
      </c>
      <c r="AA5" s="21" t="str">
        <f>HYPERLINK("https://www.ncbi.nlm.nih.gov/nuccore/AF440571","NCBI Nucleotide")</f>
        <v>NCBI Nucleotide</v>
      </c>
    </row>
    <row r="6" spans="1:27" x14ac:dyDescent="0.35">
      <c r="A6">
        <v>1000005</v>
      </c>
      <c r="B6">
        <v>5</v>
      </c>
      <c r="C6">
        <v>1</v>
      </c>
      <c r="D6" s="17" t="s">
        <v>23</v>
      </c>
      <c r="E6" s="17"/>
      <c r="F6" s="17" t="s">
        <v>24</v>
      </c>
      <c r="G6" s="17"/>
      <c r="H6" s="17" t="s">
        <v>25</v>
      </c>
      <c r="I6" s="17"/>
      <c r="J6" s="17" t="s">
        <v>26</v>
      </c>
      <c r="K6" s="17"/>
      <c r="L6" s="17" t="s">
        <v>27</v>
      </c>
      <c r="M6" s="17"/>
      <c r="N6" s="17" t="s">
        <v>28</v>
      </c>
      <c r="O6" s="17"/>
      <c r="P6" s="17" t="s">
        <v>43</v>
      </c>
      <c r="Q6" s="17"/>
      <c r="R6" s="25" t="str">
        <f>HYPERLINK("https://ictv.global/taxonomy/taxondetails?taxnode_id=202301534","Betalipothrixvirus pezzuloense")</f>
        <v>Betalipothrixvirus pezzuloense</v>
      </c>
      <c r="S6" s="18" t="s">
        <v>30</v>
      </c>
      <c r="T6" s="18" t="s">
        <v>50</v>
      </c>
      <c r="U6" s="18" t="s">
        <v>51</v>
      </c>
      <c r="V6" s="18"/>
      <c r="W6" s="18" t="s">
        <v>52</v>
      </c>
      <c r="X6" s="18" t="s">
        <v>42</v>
      </c>
      <c r="Y6" s="18" t="s">
        <v>36</v>
      </c>
      <c r="Z6" s="18" t="s">
        <v>37</v>
      </c>
      <c r="AA6" s="21" t="str">
        <f>HYPERLINK("https://www.ncbi.nlm.nih.gov/nuccore/AM087122","NCBI Nucleotide")</f>
        <v>NCBI Nucleotide</v>
      </c>
    </row>
    <row r="7" spans="1:27" x14ac:dyDescent="0.35">
      <c r="A7">
        <v>1000004</v>
      </c>
      <c r="B7">
        <v>6</v>
      </c>
      <c r="C7">
        <v>1</v>
      </c>
      <c r="D7" s="17" t="s">
        <v>23</v>
      </c>
      <c r="E7" s="17"/>
      <c r="F7" s="17" t="s">
        <v>24</v>
      </c>
      <c r="G7" s="17"/>
      <c r="H7" s="17" t="s">
        <v>25</v>
      </c>
      <c r="I7" s="17"/>
      <c r="J7" s="17" t="s">
        <v>26</v>
      </c>
      <c r="K7" s="17"/>
      <c r="L7" s="17" t="s">
        <v>27</v>
      </c>
      <c r="M7" s="17"/>
      <c r="N7" s="17" t="s">
        <v>28</v>
      </c>
      <c r="O7" s="17"/>
      <c r="P7" s="17" t="s">
        <v>43</v>
      </c>
      <c r="Q7" s="17"/>
      <c r="R7" s="25" t="str">
        <f>HYPERLINK("https://ictv.global/taxonomy/taxondetails?taxnode_id=202301533","Betalipothrixvirus pozzuoliense")</f>
        <v>Betalipothrixvirus pozzuoliense</v>
      </c>
      <c r="S7" s="18" t="s">
        <v>30</v>
      </c>
      <c r="T7" s="18" t="s">
        <v>47</v>
      </c>
      <c r="U7" s="18" t="s">
        <v>48</v>
      </c>
      <c r="V7" s="18"/>
      <c r="W7" s="18" t="s">
        <v>49</v>
      </c>
      <c r="X7" s="18" t="s">
        <v>42</v>
      </c>
      <c r="Y7" s="18" t="s">
        <v>36</v>
      </c>
      <c r="Z7" s="18" t="s">
        <v>37</v>
      </c>
      <c r="AA7" s="21" t="str">
        <f>HYPERLINK("https://www.ncbi.nlm.nih.gov/nuccore/AM087121","NCBI Nucleotide")</f>
        <v>NCBI Nucleotide</v>
      </c>
    </row>
    <row r="8" spans="1:27" x14ac:dyDescent="0.35">
      <c r="A8">
        <v>1000006</v>
      </c>
      <c r="B8">
        <v>7</v>
      </c>
      <c r="C8">
        <v>1</v>
      </c>
      <c r="D8" s="17" t="s">
        <v>23</v>
      </c>
      <c r="E8" s="17"/>
      <c r="F8" s="17" t="s">
        <v>24</v>
      </c>
      <c r="G8" s="17"/>
      <c r="H8" s="17" t="s">
        <v>25</v>
      </c>
      <c r="I8" s="17"/>
      <c r="J8" s="17" t="s">
        <v>26</v>
      </c>
      <c r="K8" s="17"/>
      <c r="L8" s="17" t="s">
        <v>27</v>
      </c>
      <c r="M8" s="17"/>
      <c r="N8" s="17" t="s">
        <v>28</v>
      </c>
      <c r="O8" s="17"/>
      <c r="P8" s="17" t="s">
        <v>43</v>
      </c>
      <c r="Q8" s="17"/>
      <c r="R8" s="25" t="str">
        <f>HYPERLINK("https://ictv.global/taxonomy/taxondetails?taxnode_id=202301535","Betalipothrixvirus puteoliense")</f>
        <v>Betalipothrixvirus puteoliense</v>
      </c>
      <c r="S8" s="18" t="s">
        <v>30</v>
      </c>
      <c r="T8" s="18" t="s">
        <v>53</v>
      </c>
      <c r="U8" s="18" t="s">
        <v>54</v>
      </c>
      <c r="V8" s="18"/>
      <c r="W8" s="18" t="s">
        <v>55</v>
      </c>
      <c r="X8" s="18" t="s">
        <v>42</v>
      </c>
      <c r="Y8" s="18" t="s">
        <v>36</v>
      </c>
      <c r="Z8" s="18" t="s">
        <v>37</v>
      </c>
      <c r="AA8" s="21" t="str">
        <f>HYPERLINK("https://www.ncbi.nlm.nih.gov/nuccore/AM087123","NCBI Nucleotide")</f>
        <v>NCBI Nucleotide</v>
      </c>
    </row>
    <row r="9" spans="1:27" x14ac:dyDescent="0.35">
      <c r="A9">
        <v>1000007</v>
      </c>
      <c r="B9">
        <v>8</v>
      </c>
      <c r="C9">
        <v>1</v>
      </c>
      <c r="D9" s="17" t="s">
        <v>23</v>
      </c>
      <c r="E9" s="17"/>
      <c r="F9" s="17" t="s">
        <v>24</v>
      </c>
      <c r="G9" s="17"/>
      <c r="H9" s="17" t="s">
        <v>25</v>
      </c>
      <c r="I9" s="17"/>
      <c r="J9" s="17" t="s">
        <v>26</v>
      </c>
      <c r="K9" s="17"/>
      <c r="L9" s="17" t="s">
        <v>27</v>
      </c>
      <c r="M9" s="17"/>
      <c r="N9" s="17" t="s">
        <v>28</v>
      </c>
      <c r="O9" s="17"/>
      <c r="P9" s="17" t="s">
        <v>43</v>
      </c>
      <c r="Q9" s="17"/>
      <c r="R9" s="25" t="str">
        <f>HYPERLINK("https://ictv.global/taxonomy/taxondetails?taxnode_id=202301536","Betalipothrixvirus uzonense")</f>
        <v>Betalipothrixvirus uzonense</v>
      </c>
      <c r="S9" s="18" t="s">
        <v>30</v>
      </c>
      <c r="T9" s="18" t="s">
        <v>56</v>
      </c>
      <c r="U9" s="18" t="s">
        <v>57</v>
      </c>
      <c r="V9" s="18"/>
      <c r="W9" s="18" t="s">
        <v>58</v>
      </c>
      <c r="X9" s="18" t="s">
        <v>42</v>
      </c>
      <c r="Y9" s="18" t="s">
        <v>36</v>
      </c>
      <c r="Z9" s="18" t="s">
        <v>37</v>
      </c>
      <c r="AA9" s="21" t="str">
        <f>HYPERLINK("https://www.ncbi.nlm.nih.gov/nuccore/EU545650","NCBI Nucleotide")</f>
        <v>NCBI Nucleotide</v>
      </c>
    </row>
    <row r="10" spans="1:27" x14ac:dyDescent="0.35">
      <c r="A10">
        <v>1000010</v>
      </c>
      <c r="B10">
        <v>9</v>
      </c>
      <c r="C10">
        <v>1</v>
      </c>
      <c r="D10" s="17" t="s">
        <v>23</v>
      </c>
      <c r="E10" s="17"/>
      <c r="F10" s="17" t="s">
        <v>24</v>
      </c>
      <c r="G10" s="17"/>
      <c r="H10" s="17" t="s">
        <v>25</v>
      </c>
      <c r="I10" s="17"/>
      <c r="J10" s="17" t="s">
        <v>26</v>
      </c>
      <c r="K10" s="17"/>
      <c r="L10" s="17" t="s">
        <v>27</v>
      </c>
      <c r="M10" s="17"/>
      <c r="N10" s="17" t="s">
        <v>28</v>
      </c>
      <c r="O10" s="17"/>
      <c r="P10" s="17" t="s">
        <v>62</v>
      </c>
      <c r="Q10" s="17"/>
      <c r="R10" s="25" t="str">
        <f>HYPERLINK("https://ictv.global/taxonomy/taxondetails?taxnode_id=202308645","Deltalipothrixvirus beppuense")</f>
        <v>Deltalipothrixvirus beppuense</v>
      </c>
      <c r="S10" s="18" t="s">
        <v>30</v>
      </c>
      <c r="T10" s="18" t="s">
        <v>66</v>
      </c>
      <c r="U10" s="18" t="s">
        <v>67</v>
      </c>
      <c r="V10" s="18" t="s">
        <v>68</v>
      </c>
      <c r="W10" s="18" t="s">
        <v>69</v>
      </c>
      <c r="X10" s="18" t="s">
        <v>35</v>
      </c>
      <c r="Y10" s="18" t="s">
        <v>36</v>
      </c>
      <c r="Z10" s="18" t="s">
        <v>37</v>
      </c>
      <c r="AA10" s="21" t="str">
        <f>HYPERLINK("https://www.ncbi.nlm.nih.gov/nuccore/MK064564","NCBI Nucleotide")</f>
        <v>NCBI Nucleotide</v>
      </c>
    </row>
    <row r="11" spans="1:27" x14ac:dyDescent="0.35">
      <c r="A11">
        <v>1000009</v>
      </c>
      <c r="B11">
        <v>10</v>
      </c>
      <c r="C11">
        <v>1</v>
      </c>
      <c r="D11" s="17" t="s">
        <v>23</v>
      </c>
      <c r="E11" s="17"/>
      <c r="F11" s="17" t="s">
        <v>24</v>
      </c>
      <c r="G11" s="17"/>
      <c r="H11" s="17" t="s">
        <v>25</v>
      </c>
      <c r="I11" s="17"/>
      <c r="J11" s="17" t="s">
        <v>26</v>
      </c>
      <c r="K11" s="17"/>
      <c r="L11" s="17" t="s">
        <v>27</v>
      </c>
      <c r="M11" s="17"/>
      <c r="N11" s="17" t="s">
        <v>28</v>
      </c>
      <c r="O11" s="17"/>
      <c r="P11" s="17" t="s">
        <v>62</v>
      </c>
      <c r="Q11" s="17"/>
      <c r="R11" s="25" t="str">
        <f>HYPERLINK("https://ictv.global/taxonomy/taxondetails?taxnode_id=202301539","Deltalipothrixvirus pozzuoliense")</f>
        <v>Deltalipothrixvirus pozzuoliense</v>
      </c>
      <c r="S11" s="18" t="s">
        <v>30</v>
      </c>
      <c r="T11" s="18" t="s">
        <v>63</v>
      </c>
      <c r="U11" s="18" t="s">
        <v>64</v>
      </c>
      <c r="V11" s="18"/>
      <c r="W11" s="18" t="s">
        <v>65</v>
      </c>
      <c r="X11" s="18" t="s">
        <v>42</v>
      </c>
      <c r="Y11" s="18" t="s">
        <v>36</v>
      </c>
      <c r="Z11" s="18" t="s">
        <v>37</v>
      </c>
      <c r="AA11" s="21" t="str">
        <f>HYPERLINK("https://www.ncbi.nlm.nih.gov/nuccore/AJ854042","NCBI Nucleotide")</f>
        <v>NCBI Nucleotide</v>
      </c>
    </row>
    <row r="12" spans="1:27" x14ac:dyDescent="0.35">
      <c r="A12">
        <v>1000011</v>
      </c>
      <c r="B12">
        <v>11</v>
      </c>
      <c r="C12">
        <v>1</v>
      </c>
      <c r="D12" s="17" t="s">
        <v>23</v>
      </c>
      <c r="E12" s="17"/>
      <c r="F12" s="17" t="s">
        <v>24</v>
      </c>
      <c r="G12" s="17"/>
      <c r="H12" s="17" t="s">
        <v>25</v>
      </c>
      <c r="I12" s="17"/>
      <c r="J12" s="17" t="s">
        <v>26</v>
      </c>
      <c r="K12" s="17"/>
      <c r="L12" s="17" t="s">
        <v>27</v>
      </c>
      <c r="M12" s="17"/>
      <c r="N12" s="17" t="s">
        <v>70</v>
      </c>
      <c r="O12" s="17"/>
      <c r="P12" s="17" t="s">
        <v>71</v>
      </c>
      <c r="Q12" s="17"/>
      <c r="R12" s="25" t="str">
        <f>HYPERLINK("https://ictv.global/taxonomy/taxondetails?taxnode_id=202311720","Azorudivirus furnasense")</f>
        <v>Azorudivirus furnasense</v>
      </c>
      <c r="S12" s="18" t="s">
        <v>30</v>
      </c>
      <c r="T12" s="18" t="s">
        <v>72</v>
      </c>
      <c r="U12" s="18" t="s">
        <v>73</v>
      </c>
      <c r="V12" s="18"/>
      <c r="W12" s="18" t="s">
        <v>74</v>
      </c>
      <c r="X12" s="18" t="s">
        <v>35</v>
      </c>
      <c r="Y12" s="18" t="s">
        <v>36</v>
      </c>
      <c r="Z12" s="18" t="s">
        <v>37</v>
      </c>
      <c r="AA12" s="21" t="str">
        <f>HYPERLINK("https://www.ncbi.nlm.nih.gov/nuccore/FM164764","NCBI Nucleotide")</f>
        <v>NCBI Nucleotide</v>
      </c>
    </row>
    <row r="13" spans="1:27" x14ac:dyDescent="0.35">
      <c r="A13">
        <v>1000013</v>
      </c>
      <c r="B13">
        <v>12</v>
      </c>
      <c r="C13">
        <v>1</v>
      </c>
      <c r="D13" s="17" t="s">
        <v>23</v>
      </c>
      <c r="E13" s="17"/>
      <c r="F13" s="17" t="s">
        <v>24</v>
      </c>
      <c r="G13" s="17"/>
      <c r="H13" s="17" t="s">
        <v>25</v>
      </c>
      <c r="I13" s="17"/>
      <c r="J13" s="17" t="s">
        <v>26</v>
      </c>
      <c r="K13" s="17"/>
      <c r="L13" s="17" t="s">
        <v>27</v>
      </c>
      <c r="M13" s="17"/>
      <c r="N13" s="17" t="s">
        <v>70</v>
      </c>
      <c r="O13" s="17"/>
      <c r="P13" s="17" t="s">
        <v>75</v>
      </c>
      <c r="Q13" s="17"/>
      <c r="R13" s="25" t="str">
        <f>HYPERLINK("https://ictv.global/taxonomy/taxondetails?taxnode_id=202311717","Hoswirudivirus acidiani")</f>
        <v>Hoswirudivirus acidiani</v>
      </c>
      <c r="S13" s="18" t="s">
        <v>30</v>
      </c>
      <c r="T13" s="18" t="s">
        <v>79</v>
      </c>
      <c r="U13" s="18" t="s">
        <v>80</v>
      </c>
      <c r="V13" s="18"/>
      <c r="W13" s="18" t="s">
        <v>81</v>
      </c>
      <c r="X13" s="18" t="s">
        <v>35</v>
      </c>
      <c r="Y13" s="18" t="s">
        <v>36</v>
      </c>
      <c r="Z13" s="18" t="s">
        <v>37</v>
      </c>
      <c r="AA13" s="21" t="str">
        <f>HYPERLINK("https://www.ncbi.nlm.nih.gov/nuccore/MN876842","NCBI Nucleotide")</f>
        <v>NCBI Nucleotide</v>
      </c>
    </row>
    <row r="14" spans="1:27" x14ac:dyDescent="0.35">
      <c r="A14">
        <v>1000014</v>
      </c>
      <c r="B14">
        <v>13</v>
      </c>
      <c r="C14">
        <v>1</v>
      </c>
      <c r="D14" s="17" t="s">
        <v>23</v>
      </c>
      <c r="E14" s="17"/>
      <c r="F14" s="17" t="s">
        <v>24</v>
      </c>
      <c r="G14" s="17"/>
      <c r="H14" s="17" t="s">
        <v>25</v>
      </c>
      <c r="I14" s="17"/>
      <c r="J14" s="17" t="s">
        <v>26</v>
      </c>
      <c r="K14" s="17"/>
      <c r="L14" s="17" t="s">
        <v>27</v>
      </c>
      <c r="M14" s="17"/>
      <c r="N14" s="17" t="s">
        <v>70</v>
      </c>
      <c r="O14" s="17"/>
      <c r="P14" s="17" t="s">
        <v>75</v>
      </c>
      <c r="Q14" s="17"/>
      <c r="R14" s="25" t="str">
        <f>HYPERLINK("https://ictv.global/taxonomy/taxondetails?taxnode_id=202311718","Hoswirudivirus metallosphaerae")</f>
        <v>Hoswirudivirus metallosphaerae</v>
      </c>
      <c r="S14" s="18" t="s">
        <v>30</v>
      </c>
      <c r="T14" s="18" t="s">
        <v>82</v>
      </c>
      <c r="U14" s="18" t="s">
        <v>83</v>
      </c>
      <c r="V14" s="18"/>
      <c r="W14" s="18" t="s">
        <v>84</v>
      </c>
      <c r="X14" s="18" t="s">
        <v>35</v>
      </c>
      <c r="Y14" s="18" t="s">
        <v>36</v>
      </c>
      <c r="Z14" s="18" t="s">
        <v>37</v>
      </c>
      <c r="AA14" s="21" t="str">
        <f>HYPERLINK("https://www.ncbi.nlm.nih.gov/nuccore/MN876843","NCBI Nucleotide")</f>
        <v>NCBI Nucleotide</v>
      </c>
    </row>
    <row r="15" spans="1:27" x14ac:dyDescent="0.35">
      <c r="A15">
        <v>1000012</v>
      </c>
      <c r="B15">
        <v>14</v>
      </c>
      <c r="C15">
        <v>1</v>
      </c>
      <c r="D15" s="17" t="s">
        <v>23</v>
      </c>
      <c r="E15" s="17"/>
      <c r="F15" s="17" t="s">
        <v>24</v>
      </c>
      <c r="G15" s="17"/>
      <c r="H15" s="17" t="s">
        <v>25</v>
      </c>
      <c r="I15" s="17"/>
      <c r="J15" s="17" t="s">
        <v>26</v>
      </c>
      <c r="K15" s="17"/>
      <c r="L15" s="17" t="s">
        <v>27</v>
      </c>
      <c r="M15" s="17"/>
      <c r="N15" s="17" t="s">
        <v>70</v>
      </c>
      <c r="O15" s="17"/>
      <c r="P15" s="17" t="s">
        <v>75</v>
      </c>
      <c r="Q15" s="17"/>
      <c r="R15" s="25" t="str">
        <f>HYPERLINK("https://ictv.global/taxonomy/taxondetails?taxnode_id=202311716","Hoswirudivirus pozzuoliense")</f>
        <v>Hoswirudivirus pozzuoliense</v>
      </c>
      <c r="S15" s="18" t="s">
        <v>30</v>
      </c>
      <c r="T15" s="18" t="s">
        <v>76</v>
      </c>
      <c r="U15" s="18" t="s">
        <v>77</v>
      </c>
      <c r="V15" s="18"/>
      <c r="W15" s="18" t="s">
        <v>78</v>
      </c>
      <c r="X15" s="18" t="s">
        <v>35</v>
      </c>
      <c r="Y15" s="18" t="s">
        <v>36</v>
      </c>
      <c r="Z15" s="18" t="s">
        <v>37</v>
      </c>
      <c r="AA15" s="21" t="str">
        <f>HYPERLINK("https://www.ncbi.nlm.nih.gov/nuccore/KP282675","NCBI Nucleotide")</f>
        <v>NCBI Nucleotide</v>
      </c>
    </row>
    <row r="16" spans="1:27" x14ac:dyDescent="0.35">
      <c r="A16">
        <v>1000015</v>
      </c>
      <c r="B16">
        <v>15</v>
      </c>
      <c r="C16">
        <v>1</v>
      </c>
      <c r="D16" s="17" t="s">
        <v>23</v>
      </c>
      <c r="E16" s="17"/>
      <c r="F16" s="17" t="s">
        <v>24</v>
      </c>
      <c r="G16" s="17"/>
      <c r="H16" s="17" t="s">
        <v>25</v>
      </c>
      <c r="I16" s="17"/>
      <c r="J16" s="17" t="s">
        <v>26</v>
      </c>
      <c r="K16" s="17"/>
      <c r="L16" s="17" t="s">
        <v>27</v>
      </c>
      <c r="M16" s="17"/>
      <c r="N16" s="17" t="s">
        <v>70</v>
      </c>
      <c r="O16" s="17"/>
      <c r="P16" s="17" t="s">
        <v>75</v>
      </c>
      <c r="Q16" s="17"/>
      <c r="R16" s="25" t="str">
        <f>HYPERLINK("https://ictv.global/taxonomy/taxondetails?taxnode_id=202311719","Hoswirudivirus saccharolobi")</f>
        <v>Hoswirudivirus saccharolobi</v>
      </c>
      <c r="S16" s="18" t="s">
        <v>30</v>
      </c>
      <c r="T16" s="18" t="s">
        <v>85</v>
      </c>
      <c r="U16" s="18" t="s">
        <v>86</v>
      </c>
      <c r="V16" s="18"/>
      <c r="W16" s="18" t="s">
        <v>87</v>
      </c>
      <c r="X16" s="18" t="s">
        <v>35</v>
      </c>
      <c r="Y16" s="18" t="s">
        <v>36</v>
      </c>
      <c r="Z16" s="18" t="s">
        <v>37</v>
      </c>
      <c r="AA16" s="21" t="str">
        <f>HYPERLINK("https://www.ncbi.nlm.nih.gov/nuccore/MN876841","NCBI Nucleotide")</f>
        <v>NCBI Nucleotide</v>
      </c>
    </row>
    <row r="17" spans="1:27" x14ac:dyDescent="0.35">
      <c r="A17">
        <v>1000018</v>
      </c>
      <c r="B17">
        <v>16</v>
      </c>
      <c r="C17">
        <v>1</v>
      </c>
      <c r="D17" s="17" t="s">
        <v>23</v>
      </c>
      <c r="E17" s="17"/>
      <c r="F17" s="17" t="s">
        <v>24</v>
      </c>
      <c r="G17" s="17"/>
      <c r="H17" s="17" t="s">
        <v>25</v>
      </c>
      <c r="I17" s="17"/>
      <c r="J17" s="17" t="s">
        <v>26</v>
      </c>
      <c r="K17" s="17"/>
      <c r="L17" s="17" t="s">
        <v>27</v>
      </c>
      <c r="M17" s="17"/>
      <c r="N17" s="17" t="s">
        <v>70</v>
      </c>
      <c r="O17" s="17"/>
      <c r="P17" s="17" t="s">
        <v>88</v>
      </c>
      <c r="Q17" s="17"/>
      <c r="R17" s="25" t="str">
        <f>HYPERLINK("https://ictv.global/taxonomy/taxondetails?taxnode_id=202311709","Icerudivirus gunnuhverense")</f>
        <v>Icerudivirus gunnuhverense</v>
      </c>
      <c r="S17" s="18" t="s">
        <v>30</v>
      </c>
      <c r="T17" s="18" t="s">
        <v>95</v>
      </c>
      <c r="U17" s="18" t="s">
        <v>96</v>
      </c>
      <c r="V17" s="18"/>
      <c r="W17" s="18" t="s">
        <v>97</v>
      </c>
      <c r="X17" s="18" t="s">
        <v>35</v>
      </c>
      <c r="Y17" s="18" t="s">
        <v>36</v>
      </c>
      <c r="Z17" s="18" t="s">
        <v>37</v>
      </c>
      <c r="AA17" s="21" t="str">
        <f>HYPERLINK("https://www.ncbi.nlm.nih.gov/nuccore/KX712143","NCBI Nucleotide")</f>
        <v>NCBI Nucleotide</v>
      </c>
    </row>
    <row r="18" spans="1:27" x14ac:dyDescent="0.35">
      <c r="A18">
        <v>1000017</v>
      </c>
      <c r="B18">
        <v>17</v>
      </c>
      <c r="C18">
        <v>1</v>
      </c>
      <c r="D18" s="17" t="s">
        <v>23</v>
      </c>
      <c r="E18" s="17"/>
      <c r="F18" s="17" t="s">
        <v>24</v>
      </c>
      <c r="G18" s="17"/>
      <c r="H18" s="17" t="s">
        <v>25</v>
      </c>
      <c r="I18" s="17"/>
      <c r="J18" s="17" t="s">
        <v>26</v>
      </c>
      <c r="K18" s="17"/>
      <c r="L18" s="17" t="s">
        <v>27</v>
      </c>
      <c r="M18" s="17"/>
      <c r="N18" s="17" t="s">
        <v>70</v>
      </c>
      <c r="O18" s="17"/>
      <c r="P18" s="17" t="s">
        <v>88</v>
      </c>
      <c r="Q18" s="17"/>
      <c r="R18" s="25" t="str">
        <f>HYPERLINK("https://ictv.global/taxonomy/taxondetails?taxnode_id=202301547","Icerudivirus hveragerdiense")</f>
        <v>Icerudivirus hveragerdiense</v>
      </c>
      <c r="S18" s="18" t="s">
        <v>30</v>
      </c>
      <c r="T18" s="18" t="s">
        <v>92</v>
      </c>
      <c r="U18" s="18" t="s">
        <v>93</v>
      </c>
      <c r="V18" s="18"/>
      <c r="W18" s="18" t="s">
        <v>94</v>
      </c>
      <c r="X18" s="18" t="s">
        <v>42</v>
      </c>
      <c r="Y18" s="18" t="s">
        <v>36</v>
      </c>
      <c r="Z18" s="18" t="s">
        <v>37</v>
      </c>
      <c r="AA18" s="21" t="str">
        <f>HYPERLINK("https://www.ncbi.nlm.nih.gov/nuccore/AJ344259","NCBI Nucleotide")</f>
        <v>NCBI Nucleotide</v>
      </c>
    </row>
    <row r="19" spans="1:27" x14ac:dyDescent="0.35">
      <c r="A19">
        <v>1000016</v>
      </c>
      <c r="B19">
        <v>18</v>
      </c>
      <c r="C19">
        <v>1</v>
      </c>
      <c r="D19" s="17" t="s">
        <v>23</v>
      </c>
      <c r="E19" s="17"/>
      <c r="F19" s="17" t="s">
        <v>24</v>
      </c>
      <c r="G19" s="17"/>
      <c r="H19" s="17" t="s">
        <v>25</v>
      </c>
      <c r="I19" s="17"/>
      <c r="J19" s="17" t="s">
        <v>26</v>
      </c>
      <c r="K19" s="17"/>
      <c r="L19" s="17" t="s">
        <v>27</v>
      </c>
      <c r="M19" s="17"/>
      <c r="N19" s="17" t="s">
        <v>70</v>
      </c>
      <c r="O19" s="17"/>
      <c r="P19" s="17" t="s">
        <v>88</v>
      </c>
      <c r="Q19" s="17"/>
      <c r="R19" s="25" t="str">
        <f>HYPERLINK("https://ictv.global/taxonomy/taxondetails?taxnode_id=202301546","Icerudivirus kverkfjoellense")</f>
        <v>Icerudivirus kverkfjoellense</v>
      </c>
      <c r="S19" s="18" t="s">
        <v>30</v>
      </c>
      <c r="T19" s="18" t="s">
        <v>89</v>
      </c>
      <c r="U19" s="18" t="s">
        <v>90</v>
      </c>
      <c r="V19" s="18"/>
      <c r="W19" s="18" t="s">
        <v>91</v>
      </c>
      <c r="X19" s="18" t="s">
        <v>42</v>
      </c>
      <c r="Y19" s="18" t="s">
        <v>36</v>
      </c>
      <c r="Z19" s="18" t="s">
        <v>37</v>
      </c>
      <c r="AA19" s="21" t="str">
        <f>HYPERLINK("https://www.ncbi.nlm.nih.gov/nuccore/AJ414696","NCBI Nucleotide")</f>
        <v>NCBI Nucleotide</v>
      </c>
    </row>
    <row r="20" spans="1:27" x14ac:dyDescent="0.35">
      <c r="A20">
        <v>1000019</v>
      </c>
      <c r="B20">
        <v>19</v>
      </c>
      <c r="C20">
        <v>1</v>
      </c>
      <c r="D20" s="17" t="s">
        <v>23</v>
      </c>
      <c r="E20" s="17"/>
      <c r="F20" s="17" t="s">
        <v>24</v>
      </c>
      <c r="G20" s="17"/>
      <c r="H20" s="17" t="s">
        <v>25</v>
      </c>
      <c r="I20" s="17"/>
      <c r="J20" s="17" t="s">
        <v>26</v>
      </c>
      <c r="K20" s="17"/>
      <c r="L20" s="17" t="s">
        <v>27</v>
      </c>
      <c r="M20" s="17"/>
      <c r="N20" s="17" t="s">
        <v>70</v>
      </c>
      <c r="O20" s="17"/>
      <c r="P20" s="17" t="s">
        <v>98</v>
      </c>
      <c r="Q20" s="17"/>
      <c r="R20" s="25" t="str">
        <f>HYPERLINK("https://ictv.global/taxonomy/taxondetails?taxnode_id=202301545","Itarudivirus pozzuoliense")</f>
        <v>Itarudivirus pozzuoliense</v>
      </c>
      <c r="S20" s="18" t="s">
        <v>30</v>
      </c>
      <c r="T20" s="18" t="s">
        <v>99</v>
      </c>
      <c r="U20" s="18" t="s">
        <v>100</v>
      </c>
      <c r="V20" s="18"/>
      <c r="W20" s="18" t="s">
        <v>101</v>
      </c>
      <c r="X20" s="18" t="s">
        <v>35</v>
      </c>
      <c r="Y20" s="18" t="s">
        <v>36</v>
      </c>
      <c r="Z20" s="18" t="s">
        <v>37</v>
      </c>
      <c r="AA20" s="21" t="str">
        <f>HYPERLINK("https://www.ncbi.nlm.nih.gov/nuccore/AJ875026","NCBI Nucleotide")</f>
        <v>NCBI Nucleotide</v>
      </c>
    </row>
    <row r="21" spans="1:27" x14ac:dyDescent="0.35">
      <c r="A21">
        <v>1000020</v>
      </c>
      <c r="B21">
        <v>20</v>
      </c>
      <c r="C21">
        <v>1</v>
      </c>
      <c r="D21" s="17" t="s">
        <v>23</v>
      </c>
      <c r="E21" s="17"/>
      <c r="F21" s="17" t="s">
        <v>24</v>
      </c>
      <c r="G21" s="17"/>
      <c r="H21" s="17" t="s">
        <v>25</v>
      </c>
      <c r="I21" s="17"/>
      <c r="J21" s="17" t="s">
        <v>26</v>
      </c>
      <c r="K21" s="17"/>
      <c r="L21" s="17" t="s">
        <v>27</v>
      </c>
      <c r="M21" s="17"/>
      <c r="N21" s="17" t="s">
        <v>70</v>
      </c>
      <c r="O21" s="17"/>
      <c r="P21" s="17" t="s">
        <v>102</v>
      </c>
      <c r="Q21" s="17"/>
      <c r="R21" s="25" t="str">
        <f>HYPERLINK("https://ictv.global/taxonomy/taxondetails?taxnode_id=202311721","Japarudivirus beppuense")</f>
        <v>Japarudivirus beppuense</v>
      </c>
      <c r="S21" s="18" t="s">
        <v>30</v>
      </c>
      <c r="T21" s="18" t="s">
        <v>103</v>
      </c>
      <c r="U21" s="18" t="s">
        <v>104</v>
      </c>
      <c r="V21" s="18"/>
      <c r="W21" s="18" t="s">
        <v>105</v>
      </c>
      <c r="X21" s="18" t="s">
        <v>35</v>
      </c>
      <c r="Y21" s="18" t="s">
        <v>36</v>
      </c>
      <c r="Z21" s="18" t="s">
        <v>37</v>
      </c>
      <c r="AA21" s="21" t="str">
        <f>HYPERLINK("https://www.ncbi.nlm.nih.gov/nuccore/MK064565","NCBI Nucleotide")</f>
        <v>NCBI Nucleotide</v>
      </c>
    </row>
    <row r="22" spans="1:27" x14ac:dyDescent="0.35">
      <c r="A22">
        <v>1000021</v>
      </c>
      <c r="B22">
        <v>21</v>
      </c>
      <c r="C22">
        <v>1</v>
      </c>
      <c r="D22" s="17" t="s">
        <v>23</v>
      </c>
      <c r="E22" s="17"/>
      <c r="F22" s="17" t="s">
        <v>24</v>
      </c>
      <c r="G22" s="17"/>
      <c r="H22" s="17" t="s">
        <v>25</v>
      </c>
      <c r="I22" s="17"/>
      <c r="J22" s="17" t="s">
        <v>26</v>
      </c>
      <c r="K22" s="17"/>
      <c r="L22" s="17" t="s">
        <v>27</v>
      </c>
      <c r="M22" s="17"/>
      <c r="N22" s="17" t="s">
        <v>70</v>
      </c>
      <c r="O22" s="17"/>
      <c r="P22" s="17" t="s">
        <v>106</v>
      </c>
      <c r="Q22" s="17"/>
      <c r="R22" s="25" t="str">
        <f>HYPERLINK("https://ictv.global/taxonomy/taxondetails?taxnode_id=202311722","Mexirudivirus azufresense")</f>
        <v>Mexirudivirus azufresense</v>
      </c>
      <c r="S22" s="18" t="s">
        <v>30</v>
      </c>
      <c r="T22" s="18" t="s">
        <v>107</v>
      </c>
      <c r="U22" s="18" t="s">
        <v>108</v>
      </c>
      <c r="V22" s="18"/>
      <c r="W22" s="18" t="s">
        <v>109</v>
      </c>
      <c r="X22" s="18" t="s">
        <v>35</v>
      </c>
      <c r="Y22" s="18" t="s">
        <v>36</v>
      </c>
      <c r="Z22" s="18" t="s">
        <v>37</v>
      </c>
      <c r="AA22" s="21" t="str">
        <f>HYPERLINK("https://www.ncbi.nlm.nih.gov/nuccore/JX944686","NCBI Nucleotide")</f>
        <v>NCBI Nucleotide</v>
      </c>
    </row>
    <row r="23" spans="1:27" x14ac:dyDescent="0.35">
      <c r="A23">
        <v>1000022</v>
      </c>
      <c r="B23">
        <v>22</v>
      </c>
      <c r="C23">
        <v>1</v>
      </c>
      <c r="D23" s="17" t="s">
        <v>23</v>
      </c>
      <c r="E23" s="17"/>
      <c r="F23" s="17" t="s">
        <v>24</v>
      </c>
      <c r="G23" s="17"/>
      <c r="H23" s="17" t="s">
        <v>25</v>
      </c>
      <c r="I23" s="17"/>
      <c r="J23" s="17" t="s">
        <v>26</v>
      </c>
      <c r="K23" s="17"/>
      <c r="L23" s="17" t="s">
        <v>27</v>
      </c>
      <c r="M23" s="17"/>
      <c r="N23" s="17" t="s">
        <v>70</v>
      </c>
      <c r="O23" s="17"/>
      <c r="P23" s="17" t="s">
        <v>110</v>
      </c>
      <c r="Q23" s="17"/>
      <c r="R23" s="25" t="str">
        <f>HYPERLINK("https://ictv.global/taxonomy/taxondetails?taxnode_id=202311714","Usarudivirus acidum")</f>
        <v>Usarudivirus acidum</v>
      </c>
      <c r="S23" s="18" t="s">
        <v>30</v>
      </c>
      <c r="T23" s="18" t="s">
        <v>111</v>
      </c>
      <c r="U23" s="18" t="s">
        <v>112</v>
      </c>
      <c r="V23" s="18"/>
      <c r="W23" s="18" t="s">
        <v>113</v>
      </c>
      <c r="X23" s="18" t="s">
        <v>35</v>
      </c>
      <c r="Y23" s="18" t="s">
        <v>36</v>
      </c>
      <c r="Z23" s="18" t="s">
        <v>37</v>
      </c>
      <c r="AA23" s="21" t="str">
        <f>HYPERLINK("https://www.ncbi.nlm.nih.gov/nuccore/KY744230","NCBI Nucleotide")</f>
        <v>NCBI Nucleotide</v>
      </c>
    </row>
    <row r="24" spans="1:27" x14ac:dyDescent="0.35">
      <c r="A24">
        <v>1000027</v>
      </c>
      <c r="B24">
        <v>23</v>
      </c>
      <c r="C24">
        <v>1</v>
      </c>
      <c r="D24" s="17" t="s">
        <v>23</v>
      </c>
      <c r="E24" s="17"/>
      <c r="F24" s="17" t="s">
        <v>24</v>
      </c>
      <c r="G24" s="17"/>
      <c r="H24" s="17" t="s">
        <v>25</v>
      </c>
      <c r="I24" s="17"/>
      <c r="J24" s="17" t="s">
        <v>26</v>
      </c>
      <c r="K24" s="17"/>
      <c r="L24" s="17" t="s">
        <v>27</v>
      </c>
      <c r="M24" s="17"/>
      <c r="N24" s="17" t="s">
        <v>70</v>
      </c>
      <c r="O24" s="17"/>
      <c r="P24" s="17" t="s">
        <v>110</v>
      </c>
      <c r="Q24" s="17"/>
      <c r="R24" s="25" t="str">
        <f>HYPERLINK("https://ictv.global/taxonomy/taxondetails?taxnode_id=202311713","Usarudivirus aestus")</f>
        <v>Usarudivirus aestus</v>
      </c>
      <c r="S24" s="18" t="s">
        <v>30</v>
      </c>
      <c r="T24" s="18" t="s">
        <v>126</v>
      </c>
      <c r="U24" s="18" t="s">
        <v>127</v>
      </c>
      <c r="V24" s="18"/>
      <c r="W24" s="18" t="s">
        <v>128</v>
      </c>
      <c r="X24" s="18" t="s">
        <v>35</v>
      </c>
      <c r="Y24" s="18" t="s">
        <v>36</v>
      </c>
      <c r="Z24" s="18" t="s">
        <v>37</v>
      </c>
      <c r="AA24" s="21" t="str">
        <f>HYPERLINK("https://www.ncbi.nlm.nih.gov/nuccore/KY744228","NCBI Nucleotide")</f>
        <v>NCBI Nucleotide</v>
      </c>
    </row>
    <row r="25" spans="1:27" x14ac:dyDescent="0.35">
      <c r="A25">
        <v>1000026</v>
      </c>
      <c r="B25">
        <v>24</v>
      </c>
      <c r="C25">
        <v>1</v>
      </c>
      <c r="D25" s="17" t="s">
        <v>23</v>
      </c>
      <c r="E25" s="17"/>
      <c r="F25" s="17" t="s">
        <v>24</v>
      </c>
      <c r="G25" s="17"/>
      <c r="H25" s="17" t="s">
        <v>25</v>
      </c>
      <c r="I25" s="17"/>
      <c r="J25" s="17" t="s">
        <v>26</v>
      </c>
      <c r="K25" s="17"/>
      <c r="L25" s="17" t="s">
        <v>27</v>
      </c>
      <c r="M25" s="17"/>
      <c r="N25" s="17" t="s">
        <v>70</v>
      </c>
      <c r="O25" s="17"/>
      <c r="P25" s="17" t="s">
        <v>110</v>
      </c>
      <c r="Q25" s="17"/>
      <c r="R25" s="25" t="str">
        <f>HYPERLINK("https://ictv.global/taxonomy/taxondetails?taxnode_id=202311712","Usarudivirus caloris")</f>
        <v>Usarudivirus caloris</v>
      </c>
      <c r="S25" s="18" t="s">
        <v>30</v>
      </c>
      <c r="T25" s="18" t="s">
        <v>123</v>
      </c>
      <c r="U25" s="18" t="s">
        <v>124</v>
      </c>
      <c r="V25" s="18"/>
      <c r="W25" s="18" t="s">
        <v>125</v>
      </c>
      <c r="X25" s="18" t="s">
        <v>35</v>
      </c>
      <c r="Y25" s="18" t="s">
        <v>36</v>
      </c>
      <c r="Z25" s="18" t="s">
        <v>37</v>
      </c>
      <c r="AA25" s="21" t="str">
        <f>HYPERLINK("https://www.ncbi.nlm.nih.gov/nuccore/KY744229","NCBI Nucleotide")</f>
        <v>NCBI Nucleotide</v>
      </c>
    </row>
    <row r="26" spans="1:27" x14ac:dyDescent="0.35">
      <c r="A26">
        <v>1000023</v>
      </c>
      <c r="B26">
        <v>25</v>
      </c>
      <c r="C26">
        <v>1</v>
      </c>
      <c r="D26" s="17" t="s">
        <v>23</v>
      </c>
      <c r="E26" s="17"/>
      <c r="F26" s="17" t="s">
        <v>24</v>
      </c>
      <c r="G26" s="17"/>
      <c r="H26" s="17" t="s">
        <v>25</v>
      </c>
      <c r="I26" s="17"/>
      <c r="J26" s="17" t="s">
        <v>26</v>
      </c>
      <c r="K26" s="17"/>
      <c r="L26" s="17" t="s">
        <v>27</v>
      </c>
      <c r="M26" s="17"/>
      <c r="N26" s="17" t="s">
        <v>70</v>
      </c>
      <c r="O26" s="17"/>
      <c r="P26" s="17" t="s">
        <v>110</v>
      </c>
      <c r="Q26" s="17"/>
      <c r="R26" s="25" t="str">
        <f>HYPERLINK("https://ictv.global/taxonomy/taxondetails?taxnode_id=202311715","Usarudivirus dryadis")</f>
        <v>Usarudivirus dryadis</v>
      </c>
      <c r="S26" s="18" t="s">
        <v>30</v>
      </c>
      <c r="T26" s="18" t="s">
        <v>114</v>
      </c>
      <c r="U26" s="18" t="s">
        <v>115</v>
      </c>
      <c r="V26" s="18"/>
      <c r="W26" s="18" t="s">
        <v>116</v>
      </c>
      <c r="X26" s="18" t="s">
        <v>35</v>
      </c>
      <c r="Y26" s="18" t="s">
        <v>36</v>
      </c>
      <c r="Z26" s="18" t="s">
        <v>37</v>
      </c>
      <c r="AA26" s="21" t="str">
        <f>HYPERLINK("https://www.ncbi.nlm.nih.gov/nuccore/KY744234","NCBI Nucleotide")</f>
        <v>NCBI Nucleotide</v>
      </c>
    </row>
    <row r="27" spans="1:27" x14ac:dyDescent="0.35">
      <c r="A27">
        <v>1000025</v>
      </c>
      <c r="B27">
        <v>26</v>
      </c>
      <c r="C27">
        <v>1</v>
      </c>
      <c r="D27" s="17" t="s">
        <v>23</v>
      </c>
      <c r="E27" s="17"/>
      <c r="F27" s="17" t="s">
        <v>24</v>
      </c>
      <c r="G27" s="17"/>
      <c r="H27" s="17" t="s">
        <v>25</v>
      </c>
      <c r="I27" s="17"/>
      <c r="J27" s="17" t="s">
        <v>26</v>
      </c>
      <c r="K27" s="17"/>
      <c r="L27" s="17" t="s">
        <v>27</v>
      </c>
      <c r="M27" s="17"/>
      <c r="N27" s="17" t="s">
        <v>70</v>
      </c>
      <c r="O27" s="17"/>
      <c r="P27" s="17" t="s">
        <v>110</v>
      </c>
      <c r="Q27" s="17"/>
      <c r="R27" s="25" t="str">
        <f>HYPERLINK("https://ictv.global/taxonomy/taxondetails?taxnode_id=202311711","Usarudivirus nymphense")</f>
        <v>Usarudivirus nymphense</v>
      </c>
      <c r="S27" s="18" t="s">
        <v>30</v>
      </c>
      <c r="T27" s="18" t="s">
        <v>120</v>
      </c>
      <c r="U27" s="18" t="s">
        <v>121</v>
      </c>
      <c r="V27" s="18"/>
      <c r="W27" s="18" t="s">
        <v>122</v>
      </c>
      <c r="X27" s="18" t="s">
        <v>35</v>
      </c>
      <c r="Y27" s="18" t="s">
        <v>36</v>
      </c>
      <c r="Z27" s="18" t="s">
        <v>37</v>
      </c>
      <c r="AA27" s="21" t="str">
        <f>HYPERLINK("https://www.ncbi.nlm.nih.gov/nuccore/KY744233","NCBI Nucleotide")</f>
        <v>NCBI Nucleotide</v>
      </c>
    </row>
    <row r="28" spans="1:27" x14ac:dyDescent="0.35">
      <c r="A28">
        <v>1000024</v>
      </c>
      <c r="B28">
        <v>27</v>
      </c>
      <c r="C28">
        <v>1</v>
      </c>
      <c r="D28" s="17" t="s">
        <v>23</v>
      </c>
      <c r="E28" s="17"/>
      <c r="F28" s="17" t="s">
        <v>24</v>
      </c>
      <c r="G28" s="17"/>
      <c r="H28" s="17" t="s">
        <v>25</v>
      </c>
      <c r="I28" s="17"/>
      <c r="J28" s="17" t="s">
        <v>26</v>
      </c>
      <c r="K28" s="17"/>
      <c r="L28" s="17" t="s">
        <v>27</v>
      </c>
      <c r="M28" s="17"/>
      <c r="N28" s="17" t="s">
        <v>70</v>
      </c>
      <c r="O28" s="17"/>
      <c r="P28" s="17" t="s">
        <v>110</v>
      </c>
      <c r="Q28" s="17"/>
      <c r="R28" s="25" t="str">
        <f>HYPERLINK("https://ictv.global/taxonomy/taxondetails?taxnode_id=202311710","Usarudivirus yellowstonense")</f>
        <v>Usarudivirus yellowstonense</v>
      </c>
      <c r="S28" s="18" t="s">
        <v>30</v>
      </c>
      <c r="T28" s="18" t="s">
        <v>117</v>
      </c>
      <c r="U28" s="18" t="s">
        <v>118</v>
      </c>
      <c r="V28" s="18"/>
      <c r="W28" s="18" t="s">
        <v>119</v>
      </c>
      <c r="X28" s="18" t="s">
        <v>35</v>
      </c>
      <c r="Y28" s="18" t="s">
        <v>36</v>
      </c>
      <c r="Z28" s="18" t="s">
        <v>37</v>
      </c>
      <c r="AA28" s="21" t="str">
        <f>HYPERLINK("https://www.ncbi.nlm.nih.gov/nuccore/KY744231","NCBI Nucleotide")</f>
        <v>NCBI Nucleotide</v>
      </c>
    </row>
    <row r="29" spans="1:27" x14ac:dyDescent="0.35">
      <c r="A29">
        <v>1000028</v>
      </c>
      <c r="B29">
        <v>28</v>
      </c>
      <c r="C29">
        <v>1</v>
      </c>
      <c r="D29" s="17" t="s">
        <v>23</v>
      </c>
      <c r="E29" s="17"/>
      <c r="F29" s="17" t="s">
        <v>24</v>
      </c>
      <c r="G29" s="17"/>
      <c r="H29" s="17" t="s">
        <v>25</v>
      </c>
      <c r="I29" s="17"/>
      <c r="J29" s="17" t="s">
        <v>26</v>
      </c>
      <c r="K29" s="17"/>
      <c r="L29" s="17" t="s">
        <v>27</v>
      </c>
      <c r="M29" s="17"/>
      <c r="N29" s="17" t="s">
        <v>129</v>
      </c>
      <c r="O29" s="17"/>
      <c r="P29" s="17" t="s">
        <v>130</v>
      </c>
      <c r="Q29" s="17"/>
      <c r="R29" s="25" t="str">
        <f>HYPERLINK("https://ictv.global/taxonomy/taxondetails?taxnode_id=202301541","Captovirus yellowstonense")</f>
        <v>Captovirus yellowstonense</v>
      </c>
      <c r="S29" s="18" t="s">
        <v>30</v>
      </c>
      <c r="T29" s="18" t="s">
        <v>131</v>
      </c>
      <c r="U29" s="18" t="s">
        <v>132</v>
      </c>
      <c r="V29" s="18"/>
      <c r="W29" s="18" t="s">
        <v>133</v>
      </c>
      <c r="X29" s="18" t="s">
        <v>42</v>
      </c>
      <c r="Y29" s="18" t="s">
        <v>36</v>
      </c>
      <c r="Z29" s="18" t="s">
        <v>37</v>
      </c>
      <c r="AA29" s="21" t="str">
        <f>HYPERLINK("https://www.ncbi.nlm.nih.gov/nuccore/AJ567472","NCBI Nucleotide")</f>
        <v>NCBI Nucleotide</v>
      </c>
    </row>
    <row r="30" spans="1:27" x14ac:dyDescent="0.35">
      <c r="A30">
        <v>1000029</v>
      </c>
      <c r="B30">
        <v>29</v>
      </c>
      <c r="C30">
        <v>1</v>
      </c>
      <c r="D30" s="17" t="s">
        <v>23</v>
      </c>
      <c r="E30" s="17"/>
      <c r="F30" s="17" t="s">
        <v>24</v>
      </c>
      <c r="G30" s="17"/>
      <c r="H30" s="17" t="s">
        <v>25</v>
      </c>
      <c r="I30" s="17"/>
      <c r="J30" s="17" t="s">
        <v>26</v>
      </c>
      <c r="K30" s="17"/>
      <c r="L30" s="17" t="s">
        <v>134</v>
      </c>
      <c r="M30" s="17"/>
      <c r="N30" s="17" t="s">
        <v>135</v>
      </c>
      <c r="O30" s="17"/>
      <c r="P30" s="17" t="s">
        <v>136</v>
      </c>
      <c r="Q30" s="17"/>
      <c r="R30" s="25" t="str">
        <f>HYPERLINK("https://ictv.global/taxonomy/taxondetails?taxnode_id=202314297","Yumkaaxvirus pescaderoense")</f>
        <v>Yumkaaxvirus pescaderoense</v>
      </c>
      <c r="S30" s="18" t="s">
        <v>30</v>
      </c>
      <c r="T30" s="18" t="s">
        <v>137</v>
      </c>
      <c r="U30" s="18" t="s">
        <v>138</v>
      </c>
      <c r="V30" s="18"/>
      <c r="W30" s="18" t="s">
        <v>139</v>
      </c>
      <c r="X30" s="18" t="s">
        <v>42</v>
      </c>
      <c r="Y30" s="18" t="s">
        <v>36</v>
      </c>
      <c r="Z30" s="18" t="s">
        <v>37</v>
      </c>
      <c r="AA30" s="21" t="str">
        <f>HYPERLINK("https://www.ncbi.nlm.nih.gov/nuccore/OP413840","NCBI Nucleotide")</f>
        <v>NCBI Nucleotide</v>
      </c>
    </row>
    <row r="31" spans="1:27" x14ac:dyDescent="0.35">
      <c r="A31">
        <v>1000030</v>
      </c>
      <c r="B31">
        <v>30</v>
      </c>
      <c r="C31">
        <v>1</v>
      </c>
      <c r="D31" s="17" t="s">
        <v>23</v>
      </c>
      <c r="E31" s="17"/>
      <c r="F31" s="17" t="s">
        <v>24</v>
      </c>
      <c r="G31" s="17"/>
      <c r="H31" s="17" t="s">
        <v>25</v>
      </c>
      <c r="I31" s="17"/>
      <c r="J31" s="17" t="s">
        <v>26</v>
      </c>
      <c r="K31" s="17"/>
      <c r="L31" s="17" t="s">
        <v>140</v>
      </c>
      <c r="M31" s="17"/>
      <c r="N31" s="17" t="s">
        <v>141</v>
      </c>
      <c r="O31" s="17"/>
      <c r="P31" s="17" t="s">
        <v>142</v>
      </c>
      <c r="Q31" s="17"/>
      <c r="R31" s="25" t="str">
        <f>HYPERLINK("https://ictv.global/taxonomy/taxondetails?taxnode_id=202305323","Alphatristromavirus pozzuoliense")</f>
        <v>Alphatristromavirus pozzuoliense</v>
      </c>
      <c r="S31" s="18" t="s">
        <v>30</v>
      </c>
      <c r="T31" s="18" t="s">
        <v>143</v>
      </c>
      <c r="U31" s="18" t="s">
        <v>144</v>
      </c>
      <c r="V31" s="18"/>
      <c r="W31" s="18" t="s">
        <v>145</v>
      </c>
      <c r="X31" s="18" t="s">
        <v>42</v>
      </c>
      <c r="Y31" s="18" t="s">
        <v>36</v>
      </c>
      <c r="Z31" s="18" t="s">
        <v>37</v>
      </c>
      <c r="AA31" s="21" t="str">
        <f>HYPERLINK("https://www.ncbi.nlm.nih.gov/nuccore/KU307456","NCBI Nucleotide")</f>
        <v>NCBI Nucleotide</v>
      </c>
    </row>
    <row r="32" spans="1:27" x14ac:dyDescent="0.35">
      <c r="A32">
        <v>1000031</v>
      </c>
      <c r="B32">
        <v>31</v>
      </c>
      <c r="C32">
        <v>1</v>
      </c>
      <c r="D32" s="17" t="s">
        <v>23</v>
      </c>
      <c r="E32" s="17"/>
      <c r="F32" s="17" t="s">
        <v>24</v>
      </c>
      <c r="G32" s="17"/>
      <c r="H32" s="17" t="s">
        <v>25</v>
      </c>
      <c r="I32" s="17"/>
      <c r="J32" s="17" t="s">
        <v>26</v>
      </c>
      <c r="K32" s="17"/>
      <c r="L32" s="17" t="s">
        <v>140</v>
      </c>
      <c r="M32" s="17"/>
      <c r="N32" s="17" t="s">
        <v>141</v>
      </c>
      <c r="O32" s="17"/>
      <c r="P32" s="17" t="s">
        <v>142</v>
      </c>
      <c r="Q32" s="17"/>
      <c r="R32" s="25" t="str">
        <f>HYPERLINK("https://ictv.global/taxonomy/taxondetails?taxnode_id=202312054","Alphatristromavirus puteoliense")</f>
        <v>Alphatristromavirus puteoliense</v>
      </c>
      <c r="S32" s="18" t="s">
        <v>30</v>
      </c>
      <c r="T32" s="18" t="s">
        <v>146</v>
      </c>
      <c r="U32" s="18" t="s">
        <v>147</v>
      </c>
      <c r="V32" s="18"/>
      <c r="W32" s="18" t="s">
        <v>148</v>
      </c>
      <c r="X32" s="18" t="s">
        <v>42</v>
      </c>
      <c r="Y32" s="18" t="s">
        <v>36</v>
      </c>
      <c r="Z32" s="18" t="s">
        <v>37</v>
      </c>
      <c r="AA32" s="21" t="str">
        <f>HYPERLINK("https://www.ncbi.nlm.nih.gov/nuccore/MN876844","NCBI Nucleotide")</f>
        <v>NCBI Nucleotide</v>
      </c>
    </row>
    <row r="33" spans="1:27" x14ac:dyDescent="0.35">
      <c r="A33">
        <v>1000032</v>
      </c>
      <c r="B33">
        <v>32</v>
      </c>
      <c r="C33">
        <v>1</v>
      </c>
      <c r="D33" s="17" t="s">
        <v>23</v>
      </c>
      <c r="E33" s="17"/>
      <c r="F33" s="17" t="s">
        <v>24</v>
      </c>
      <c r="G33" s="17"/>
      <c r="H33" s="17" t="s">
        <v>25</v>
      </c>
      <c r="I33" s="17"/>
      <c r="J33" s="17" t="s">
        <v>26</v>
      </c>
      <c r="K33" s="17"/>
      <c r="L33" s="17" t="s">
        <v>140</v>
      </c>
      <c r="M33" s="17"/>
      <c r="N33" s="17" t="s">
        <v>141</v>
      </c>
      <c r="O33" s="17"/>
      <c r="P33" s="17" t="s">
        <v>149</v>
      </c>
      <c r="Q33" s="17"/>
      <c r="R33" s="25" t="str">
        <f>HYPERLINK("https://ictv.global/taxonomy/taxondetails?taxnode_id=202305324","Betatristromavirus kraflaense")</f>
        <v>Betatristromavirus kraflaense</v>
      </c>
      <c r="S33" s="18" t="s">
        <v>30</v>
      </c>
      <c r="T33" s="18" t="s">
        <v>150</v>
      </c>
      <c r="U33" s="18" t="s">
        <v>151</v>
      </c>
      <c r="V33" s="18" t="s">
        <v>152</v>
      </c>
      <c r="W33" s="18" t="s">
        <v>153</v>
      </c>
      <c r="X33" s="18" t="s">
        <v>154</v>
      </c>
      <c r="Y33" s="18" t="s">
        <v>36</v>
      </c>
      <c r="Z33" s="18" t="s">
        <v>37</v>
      </c>
      <c r="AA33" s="21" t="str">
        <f>HYPERLINK("https://www.ncbi.nlm.nih.gov/nuccore/X14855","NCBI Nucleotide")</f>
        <v>NCBI Nucleotide</v>
      </c>
    </row>
    <row r="34" spans="1:27" x14ac:dyDescent="0.35">
      <c r="A34">
        <v>1000033</v>
      </c>
      <c r="B34">
        <v>33</v>
      </c>
      <c r="C34">
        <v>1</v>
      </c>
      <c r="D34" s="17" t="s">
        <v>155</v>
      </c>
      <c r="E34" s="17"/>
      <c r="F34" s="17" t="s">
        <v>156</v>
      </c>
      <c r="G34" s="17"/>
      <c r="H34" s="17" t="s">
        <v>157</v>
      </c>
      <c r="I34" s="17"/>
      <c r="J34" s="17" t="s">
        <v>158</v>
      </c>
      <c r="K34" s="17"/>
      <c r="L34" s="17" t="s">
        <v>159</v>
      </c>
      <c r="M34" s="17"/>
      <c r="N34" s="17" t="s">
        <v>160</v>
      </c>
      <c r="O34" s="17"/>
      <c r="P34" s="17" t="s">
        <v>161</v>
      </c>
      <c r="Q34" s="17"/>
      <c r="R34" s="25" t="str">
        <f>HYPERLINK("https://ictv.global/taxonomy/taxondetails?taxnode_id=202301396","Batravirus ranidallo1")</f>
        <v>Batravirus ranidallo1</v>
      </c>
      <c r="S34" s="18" t="s">
        <v>30</v>
      </c>
      <c r="T34" s="18" t="s">
        <v>162</v>
      </c>
      <c r="U34" s="18" t="s">
        <v>163</v>
      </c>
      <c r="V34" s="18" t="s">
        <v>164</v>
      </c>
      <c r="W34" s="18" t="s">
        <v>165</v>
      </c>
      <c r="X34" s="18" t="s">
        <v>42</v>
      </c>
      <c r="Y34" s="18" t="s">
        <v>36</v>
      </c>
      <c r="Z34" s="18" t="s">
        <v>166</v>
      </c>
      <c r="AA34" s="21" t="str">
        <f>HYPERLINK("https://www.ncbi.nlm.nih.gov/nuccore/DQ665917","NCBI Nucleotide")</f>
        <v>NCBI Nucleotide</v>
      </c>
    </row>
    <row r="35" spans="1:27" x14ac:dyDescent="0.35">
      <c r="A35">
        <v>1000034</v>
      </c>
      <c r="B35">
        <v>34</v>
      </c>
      <c r="C35">
        <v>1</v>
      </c>
      <c r="D35" s="17" t="s">
        <v>155</v>
      </c>
      <c r="E35" s="17"/>
      <c r="F35" s="17" t="s">
        <v>156</v>
      </c>
      <c r="G35" s="17"/>
      <c r="H35" s="17" t="s">
        <v>157</v>
      </c>
      <c r="I35" s="17"/>
      <c r="J35" s="17" t="s">
        <v>158</v>
      </c>
      <c r="K35" s="17"/>
      <c r="L35" s="17" t="s">
        <v>159</v>
      </c>
      <c r="M35" s="17"/>
      <c r="N35" s="17" t="s">
        <v>160</v>
      </c>
      <c r="O35" s="17"/>
      <c r="P35" s="17" t="s">
        <v>161</v>
      </c>
      <c r="Q35" s="17"/>
      <c r="R35" s="25" t="str">
        <f>HYPERLINK("https://ictv.global/taxonomy/taxondetails?taxnode_id=202301397","Batravirus ranidallo2")</f>
        <v>Batravirus ranidallo2</v>
      </c>
      <c r="S35" s="18" t="s">
        <v>30</v>
      </c>
      <c r="T35" s="18" t="s">
        <v>167</v>
      </c>
      <c r="U35" s="18" t="s">
        <v>168</v>
      </c>
      <c r="V35" s="18" t="s">
        <v>169</v>
      </c>
      <c r="W35" s="18" t="s">
        <v>170</v>
      </c>
      <c r="X35" s="18" t="s">
        <v>42</v>
      </c>
      <c r="Y35" s="18" t="s">
        <v>36</v>
      </c>
      <c r="Z35" s="18" t="s">
        <v>166</v>
      </c>
      <c r="AA35" s="21" t="str">
        <f>HYPERLINK("https://www.ncbi.nlm.nih.gov/nuccore/DQ665652","NCBI Nucleotide")</f>
        <v>NCBI Nucleotide</v>
      </c>
    </row>
    <row r="36" spans="1:27" x14ac:dyDescent="0.35">
      <c r="A36">
        <v>1000035</v>
      </c>
      <c r="B36">
        <v>35</v>
      </c>
      <c r="C36">
        <v>1</v>
      </c>
      <c r="D36" s="17" t="s">
        <v>155</v>
      </c>
      <c r="E36" s="17"/>
      <c r="F36" s="17" t="s">
        <v>156</v>
      </c>
      <c r="G36" s="17"/>
      <c r="H36" s="17" t="s">
        <v>157</v>
      </c>
      <c r="I36" s="17"/>
      <c r="J36" s="17" t="s">
        <v>158</v>
      </c>
      <c r="K36" s="17"/>
      <c r="L36" s="17" t="s">
        <v>159</v>
      </c>
      <c r="M36" s="17"/>
      <c r="N36" s="17" t="s">
        <v>160</v>
      </c>
      <c r="O36" s="17"/>
      <c r="P36" s="17" t="s">
        <v>161</v>
      </c>
      <c r="Q36" s="17"/>
      <c r="R36" s="25" t="str">
        <f>HYPERLINK("https://ictv.global/taxonomy/taxondetails?taxnode_id=202305570","Batravirus ranidallo3")</f>
        <v>Batravirus ranidallo3</v>
      </c>
      <c r="S36" s="18" t="s">
        <v>30</v>
      </c>
      <c r="T36" s="18" t="s">
        <v>171</v>
      </c>
      <c r="U36" s="18" t="s">
        <v>172</v>
      </c>
      <c r="V36" s="18" t="s">
        <v>173</v>
      </c>
      <c r="W36" s="18" t="s">
        <v>174</v>
      </c>
      <c r="X36" s="18" t="s">
        <v>42</v>
      </c>
      <c r="Y36" s="18" t="s">
        <v>36</v>
      </c>
      <c r="Z36" s="18" t="s">
        <v>166</v>
      </c>
      <c r="AA36" s="21" t="str">
        <f>HYPERLINK("https://www.ncbi.nlm.nih.gov/nuccore/KX832224","NCBI Nucleotide")</f>
        <v>NCBI Nucleotide</v>
      </c>
    </row>
    <row r="37" spans="1:27" x14ac:dyDescent="0.35">
      <c r="A37">
        <v>1000036</v>
      </c>
      <c r="B37">
        <v>36</v>
      </c>
      <c r="C37">
        <v>1</v>
      </c>
      <c r="D37" s="17" t="s">
        <v>155</v>
      </c>
      <c r="E37" s="17"/>
      <c r="F37" s="17" t="s">
        <v>156</v>
      </c>
      <c r="G37" s="17"/>
      <c r="H37" s="17" t="s">
        <v>157</v>
      </c>
      <c r="I37" s="17"/>
      <c r="J37" s="17" t="s">
        <v>158</v>
      </c>
      <c r="K37" s="17"/>
      <c r="L37" s="17" t="s">
        <v>159</v>
      </c>
      <c r="M37" s="17"/>
      <c r="N37" s="17" t="s">
        <v>160</v>
      </c>
      <c r="O37" s="17"/>
      <c r="P37" s="17" t="s">
        <v>175</v>
      </c>
      <c r="Q37" s="17"/>
      <c r="R37" s="25" t="str">
        <f>HYPERLINK("https://ictv.global/taxonomy/taxondetails?taxnode_id=202301399","Cyvirus anguillidallo1")</f>
        <v>Cyvirus anguillidallo1</v>
      </c>
      <c r="S37" s="18" t="s">
        <v>30</v>
      </c>
      <c r="T37" s="18" t="s">
        <v>176</v>
      </c>
      <c r="U37" s="18" t="s">
        <v>177</v>
      </c>
      <c r="V37" s="18">
        <v>500138</v>
      </c>
      <c r="W37" s="18" t="s">
        <v>178</v>
      </c>
      <c r="X37" s="18" t="s">
        <v>42</v>
      </c>
      <c r="Y37" s="18" t="s">
        <v>36</v>
      </c>
      <c r="Z37" s="18" t="s">
        <v>166</v>
      </c>
      <c r="AA37" s="21" t="str">
        <f>HYPERLINK("https://www.ncbi.nlm.nih.gov/nuccore/FJ940765","NCBI Nucleotide")</f>
        <v>NCBI Nucleotide</v>
      </c>
    </row>
    <row r="38" spans="1:27" x14ac:dyDescent="0.35">
      <c r="A38">
        <v>1000037</v>
      </c>
      <c r="B38">
        <v>37</v>
      </c>
      <c r="C38">
        <v>1</v>
      </c>
      <c r="D38" s="17" t="s">
        <v>155</v>
      </c>
      <c r="E38" s="17"/>
      <c r="F38" s="17" t="s">
        <v>156</v>
      </c>
      <c r="G38" s="17"/>
      <c r="H38" s="17" t="s">
        <v>157</v>
      </c>
      <c r="I38" s="17"/>
      <c r="J38" s="17" t="s">
        <v>158</v>
      </c>
      <c r="K38" s="17"/>
      <c r="L38" s="17" t="s">
        <v>159</v>
      </c>
      <c r="M38" s="17"/>
      <c r="N38" s="17" t="s">
        <v>160</v>
      </c>
      <c r="O38" s="17"/>
      <c r="P38" s="17" t="s">
        <v>175</v>
      </c>
      <c r="Q38" s="17"/>
      <c r="R38" s="25" t="str">
        <f>HYPERLINK("https://ictv.global/taxonomy/taxondetails?taxnode_id=202301400","Cyvirus cyprinidallo1")</f>
        <v>Cyvirus cyprinidallo1</v>
      </c>
      <c r="S38" s="18" t="s">
        <v>30</v>
      </c>
      <c r="T38" s="18" t="s">
        <v>179</v>
      </c>
      <c r="U38" s="18" t="s">
        <v>180</v>
      </c>
      <c r="V38" s="18" t="s">
        <v>181</v>
      </c>
      <c r="W38" s="18" t="s">
        <v>182</v>
      </c>
      <c r="X38" s="18" t="s">
        <v>42</v>
      </c>
      <c r="Y38" s="18" t="s">
        <v>36</v>
      </c>
      <c r="Z38" s="18" t="s">
        <v>166</v>
      </c>
      <c r="AA38" s="21" t="str">
        <f>HYPERLINK("https://www.ncbi.nlm.nih.gov/nuccore/JQ815363","NCBI Nucleotide")</f>
        <v>NCBI Nucleotide</v>
      </c>
    </row>
    <row r="39" spans="1:27" x14ac:dyDescent="0.35">
      <c r="A39">
        <v>1000038</v>
      </c>
      <c r="B39">
        <v>38</v>
      </c>
      <c r="C39">
        <v>1</v>
      </c>
      <c r="D39" s="17" t="s">
        <v>155</v>
      </c>
      <c r="E39" s="17"/>
      <c r="F39" s="17" t="s">
        <v>156</v>
      </c>
      <c r="G39" s="17"/>
      <c r="H39" s="17" t="s">
        <v>157</v>
      </c>
      <c r="I39" s="17"/>
      <c r="J39" s="17" t="s">
        <v>158</v>
      </c>
      <c r="K39" s="17"/>
      <c r="L39" s="17" t="s">
        <v>159</v>
      </c>
      <c r="M39" s="17"/>
      <c r="N39" s="17" t="s">
        <v>160</v>
      </c>
      <c r="O39" s="17"/>
      <c r="P39" s="17" t="s">
        <v>175</v>
      </c>
      <c r="Q39" s="17"/>
      <c r="R39" s="25" t="str">
        <f>HYPERLINK("https://ictv.global/taxonomy/taxondetails?taxnode_id=202301401","Cyvirus cyprinidallo2")</f>
        <v>Cyvirus cyprinidallo2</v>
      </c>
      <c r="S39" s="18" t="s">
        <v>30</v>
      </c>
      <c r="T39" s="18" t="s">
        <v>183</v>
      </c>
      <c r="U39" s="18" t="s">
        <v>184</v>
      </c>
      <c r="V39" s="18" t="s">
        <v>185</v>
      </c>
      <c r="W39" s="18" t="s">
        <v>186</v>
      </c>
      <c r="X39" s="18" t="s">
        <v>42</v>
      </c>
      <c r="Y39" s="18" t="s">
        <v>36</v>
      </c>
      <c r="Z39" s="18" t="s">
        <v>166</v>
      </c>
      <c r="AA39" s="21" t="str">
        <f>HYPERLINK("https://www.ncbi.nlm.nih.gov/nuccore/JQ815364","NCBI Nucleotide")</f>
        <v>NCBI Nucleotide</v>
      </c>
    </row>
    <row r="40" spans="1:27" x14ac:dyDescent="0.35">
      <c r="A40">
        <v>1000039</v>
      </c>
      <c r="B40">
        <v>39</v>
      </c>
      <c r="C40">
        <v>1</v>
      </c>
      <c r="D40" s="17" t="s">
        <v>155</v>
      </c>
      <c r="E40" s="17"/>
      <c r="F40" s="17" t="s">
        <v>156</v>
      </c>
      <c r="G40" s="17"/>
      <c r="H40" s="17" t="s">
        <v>157</v>
      </c>
      <c r="I40" s="17"/>
      <c r="J40" s="17" t="s">
        <v>158</v>
      </c>
      <c r="K40" s="17"/>
      <c r="L40" s="17" t="s">
        <v>159</v>
      </c>
      <c r="M40" s="17"/>
      <c r="N40" s="17" t="s">
        <v>160</v>
      </c>
      <c r="O40" s="17"/>
      <c r="P40" s="17" t="s">
        <v>175</v>
      </c>
      <c r="Q40" s="17"/>
      <c r="R40" s="25" t="str">
        <f>HYPERLINK("https://ictv.global/taxonomy/taxondetails?taxnode_id=202301402","Cyvirus cyprinidallo3")</f>
        <v>Cyvirus cyprinidallo3</v>
      </c>
      <c r="S40" s="18" t="s">
        <v>30</v>
      </c>
      <c r="T40" s="18" t="s">
        <v>187</v>
      </c>
      <c r="U40" s="18" t="s">
        <v>188</v>
      </c>
      <c r="V40" s="18" t="s">
        <v>189</v>
      </c>
      <c r="W40" s="18" t="s">
        <v>190</v>
      </c>
      <c r="X40" s="18" t="s">
        <v>42</v>
      </c>
      <c r="Y40" s="18" t="s">
        <v>36</v>
      </c>
      <c r="Z40" s="18" t="s">
        <v>166</v>
      </c>
      <c r="AA40" s="21" t="str">
        <f>HYPERLINK("https://www.ncbi.nlm.nih.gov/nuccore/DQ657948","NCBI Nucleotide")</f>
        <v>NCBI Nucleotide</v>
      </c>
    </row>
    <row r="41" spans="1:27" x14ac:dyDescent="0.35">
      <c r="A41">
        <v>1000040</v>
      </c>
      <c r="B41">
        <v>40</v>
      </c>
      <c r="C41">
        <v>1</v>
      </c>
      <c r="D41" s="17" t="s">
        <v>155</v>
      </c>
      <c r="E41" s="17"/>
      <c r="F41" s="17" t="s">
        <v>156</v>
      </c>
      <c r="G41" s="17"/>
      <c r="H41" s="17" t="s">
        <v>157</v>
      </c>
      <c r="I41" s="17"/>
      <c r="J41" s="17" t="s">
        <v>158</v>
      </c>
      <c r="K41" s="17"/>
      <c r="L41" s="17" t="s">
        <v>159</v>
      </c>
      <c r="M41" s="17"/>
      <c r="N41" s="17" t="s">
        <v>160</v>
      </c>
      <c r="O41" s="17"/>
      <c r="P41" s="17" t="s">
        <v>191</v>
      </c>
      <c r="Q41" s="17"/>
      <c r="R41" s="25" t="str">
        <f>HYPERLINK("https://ictv.global/taxonomy/taxondetails?taxnode_id=202301404","Ictavirus acipenseridallo2")</f>
        <v>Ictavirus acipenseridallo2</v>
      </c>
      <c r="S41" s="18" t="s">
        <v>30</v>
      </c>
      <c r="T41" s="18" t="s">
        <v>192</v>
      </c>
      <c r="U41" s="18" t="s">
        <v>193</v>
      </c>
      <c r="V41" s="18" t="s">
        <v>194</v>
      </c>
      <c r="W41" s="18" t="s">
        <v>195</v>
      </c>
      <c r="X41" s="18" t="s">
        <v>154</v>
      </c>
      <c r="Y41" s="18" t="s">
        <v>36</v>
      </c>
      <c r="Z41" s="18" t="s">
        <v>166</v>
      </c>
      <c r="AA41" s="21" t="str">
        <f>HYPERLINK("https://www.ncbi.nlm.nih.gov/nuccore/FJ815289","NCBI Nucleotide")</f>
        <v>NCBI Nucleotide</v>
      </c>
    </row>
    <row r="42" spans="1:27" x14ac:dyDescent="0.35">
      <c r="A42">
        <v>1000041</v>
      </c>
      <c r="B42">
        <v>41</v>
      </c>
      <c r="C42">
        <v>1</v>
      </c>
      <c r="D42" s="17" t="s">
        <v>155</v>
      </c>
      <c r="E42" s="17"/>
      <c r="F42" s="17" t="s">
        <v>156</v>
      </c>
      <c r="G42" s="17"/>
      <c r="H42" s="17" t="s">
        <v>157</v>
      </c>
      <c r="I42" s="17"/>
      <c r="J42" s="17" t="s">
        <v>158</v>
      </c>
      <c r="K42" s="17"/>
      <c r="L42" s="17" t="s">
        <v>159</v>
      </c>
      <c r="M42" s="17"/>
      <c r="N42" s="17" t="s">
        <v>160</v>
      </c>
      <c r="O42" s="17"/>
      <c r="P42" s="17" t="s">
        <v>191</v>
      </c>
      <c r="Q42" s="17"/>
      <c r="R42" s="25" t="str">
        <f>HYPERLINK("https://ictv.global/taxonomy/taxondetails?taxnode_id=202301405","Ictavirus ictaluridallo1")</f>
        <v>Ictavirus ictaluridallo1</v>
      </c>
      <c r="S42" s="18" t="s">
        <v>30</v>
      </c>
      <c r="T42" s="18" t="s">
        <v>196</v>
      </c>
      <c r="U42" s="18" t="s">
        <v>197</v>
      </c>
      <c r="V42" s="18" t="s">
        <v>198</v>
      </c>
      <c r="W42" s="18" t="s">
        <v>199</v>
      </c>
      <c r="X42" s="18" t="s">
        <v>42</v>
      </c>
      <c r="Y42" s="18" t="s">
        <v>36</v>
      </c>
      <c r="Z42" s="18" t="s">
        <v>166</v>
      </c>
      <c r="AA42" s="21" t="str">
        <f>HYPERLINK("https://www.ncbi.nlm.nih.gov/nuccore/M75136","NCBI Nucleotide")</f>
        <v>NCBI Nucleotide</v>
      </c>
    </row>
    <row r="43" spans="1:27" x14ac:dyDescent="0.35">
      <c r="A43">
        <v>1000042</v>
      </c>
      <c r="B43">
        <v>42</v>
      </c>
      <c r="C43">
        <v>1</v>
      </c>
      <c r="D43" s="17" t="s">
        <v>155</v>
      </c>
      <c r="E43" s="17"/>
      <c r="F43" s="17" t="s">
        <v>156</v>
      </c>
      <c r="G43" s="17"/>
      <c r="H43" s="17" t="s">
        <v>157</v>
      </c>
      <c r="I43" s="17"/>
      <c r="J43" s="17" t="s">
        <v>158</v>
      </c>
      <c r="K43" s="17"/>
      <c r="L43" s="17" t="s">
        <v>159</v>
      </c>
      <c r="M43" s="17"/>
      <c r="N43" s="17" t="s">
        <v>160</v>
      </c>
      <c r="O43" s="17"/>
      <c r="P43" s="17" t="s">
        <v>191</v>
      </c>
      <c r="Q43" s="17"/>
      <c r="R43" s="25" t="str">
        <f>HYPERLINK("https://ictv.global/taxonomy/taxondetails?taxnode_id=202301406","Ictavirus ictaluridallo2")</f>
        <v>Ictavirus ictaluridallo2</v>
      </c>
      <c r="S43" s="18" t="s">
        <v>30</v>
      </c>
      <c r="T43" s="18" t="s">
        <v>200</v>
      </c>
      <c r="U43" s="18" t="s">
        <v>201</v>
      </c>
      <c r="V43" s="18" t="s">
        <v>202</v>
      </c>
      <c r="W43" s="18" t="s">
        <v>203</v>
      </c>
      <c r="X43" s="18" t="s">
        <v>42</v>
      </c>
      <c r="Y43" s="18" t="s">
        <v>36</v>
      </c>
      <c r="Z43" s="18" t="s">
        <v>166</v>
      </c>
      <c r="AA43" s="21" t="str">
        <f>HYPERLINK("https://www.ncbi.nlm.nih.gov/nuccore/MG271984","NCBI Nucleotide")</f>
        <v>NCBI Nucleotide</v>
      </c>
    </row>
    <row r="44" spans="1:27" x14ac:dyDescent="0.35">
      <c r="A44">
        <v>1000043</v>
      </c>
      <c r="B44">
        <v>43</v>
      </c>
      <c r="C44">
        <v>1</v>
      </c>
      <c r="D44" s="17" t="s">
        <v>155</v>
      </c>
      <c r="E44" s="17"/>
      <c r="F44" s="17" t="s">
        <v>156</v>
      </c>
      <c r="G44" s="17"/>
      <c r="H44" s="17" t="s">
        <v>157</v>
      </c>
      <c r="I44" s="17"/>
      <c r="J44" s="17" t="s">
        <v>158</v>
      </c>
      <c r="K44" s="17"/>
      <c r="L44" s="17" t="s">
        <v>159</v>
      </c>
      <c r="M44" s="17"/>
      <c r="N44" s="17" t="s">
        <v>160</v>
      </c>
      <c r="O44" s="17"/>
      <c r="P44" s="17" t="s">
        <v>204</v>
      </c>
      <c r="Q44" s="17"/>
      <c r="R44" s="25" t="str">
        <f>HYPERLINK("https://ictv.global/taxonomy/taxondetails?taxnode_id=202301408","Salmovirus salmonidallo1")</f>
        <v>Salmovirus salmonidallo1</v>
      </c>
      <c r="S44" s="18" t="s">
        <v>30</v>
      </c>
      <c r="T44" s="18" t="s">
        <v>205</v>
      </c>
      <c r="U44" s="18" t="s">
        <v>206</v>
      </c>
      <c r="V44" s="18" t="s">
        <v>207</v>
      </c>
      <c r="W44" s="18" t="s">
        <v>208</v>
      </c>
      <c r="X44" s="18" t="s">
        <v>154</v>
      </c>
      <c r="Y44" s="18" t="s">
        <v>36</v>
      </c>
      <c r="Z44" s="18" t="s">
        <v>166</v>
      </c>
      <c r="AA44" s="21" t="str">
        <f>HYPERLINK("https://www.ncbi.nlm.nih.gov/nuccore/AF023673","NCBI Nucleotide")</f>
        <v>NCBI Nucleotide</v>
      </c>
    </row>
    <row r="45" spans="1:27" x14ac:dyDescent="0.35">
      <c r="A45">
        <v>1000044</v>
      </c>
      <c r="B45">
        <v>44</v>
      </c>
      <c r="C45">
        <v>1</v>
      </c>
      <c r="D45" s="17" t="s">
        <v>155</v>
      </c>
      <c r="E45" s="17"/>
      <c r="F45" s="17" t="s">
        <v>156</v>
      </c>
      <c r="G45" s="17"/>
      <c r="H45" s="17" t="s">
        <v>157</v>
      </c>
      <c r="I45" s="17"/>
      <c r="J45" s="17" t="s">
        <v>158</v>
      </c>
      <c r="K45" s="17"/>
      <c r="L45" s="17" t="s">
        <v>159</v>
      </c>
      <c r="M45" s="17"/>
      <c r="N45" s="17" t="s">
        <v>160</v>
      </c>
      <c r="O45" s="17"/>
      <c r="P45" s="17" t="s">
        <v>204</v>
      </c>
      <c r="Q45" s="17"/>
      <c r="R45" s="25" t="str">
        <f>HYPERLINK("https://ictv.global/taxonomy/taxondetails?taxnode_id=202301409","Salmovirus salmonidallo2")</f>
        <v>Salmovirus salmonidallo2</v>
      </c>
      <c r="S45" s="18" t="s">
        <v>30</v>
      </c>
      <c r="T45" s="18" t="s">
        <v>209</v>
      </c>
      <c r="U45" s="18" t="s">
        <v>210</v>
      </c>
      <c r="V45" s="18" t="s">
        <v>211</v>
      </c>
      <c r="W45" s="18" t="s">
        <v>212</v>
      </c>
      <c r="X45" s="18" t="s">
        <v>154</v>
      </c>
      <c r="Y45" s="18" t="s">
        <v>36</v>
      </c>
      <c r="Z45" s="18" t="s">
        <v>166</v>
      </c>
      <c r="AA45" s="21" t="str">
        <f>HYPERLINK("https://www.ncbi.nlm.nih.gov/nuccore/EU349274","NCBI Nucleotide")</f>
        <v>NCBI Nucleotide</v>
      </c>
    </row>
    <row r="46" spans="1:27" x14ac:dyDescent="0.35">
      <c r="A46">
        <v>1000045</v>
      </c>
      <c r="B46">
        <v>45</v>
      </c>
      <c r="C46">
        <v>1</v>
      </c>
      <c r="D46" s="17" t="s">
        <v>155</v>
      </c>
      <c r="E46" s="17"/>
      <c r="F46" s="17" t="s">
        <v>156</v>
      </c>
      <c r="G46" s="17"/>
      <c r="H46" s="17" t="s">
        <v>157</v>
      </c>
      <c r="I46" s="17"/>
      <c r="J46" s="17" t="s">
        <v>158</v>
      </c>
      <c r="K46" s="17"/>
      <c r="L46" s="17" t="s">
        <v>159</v>
      </c>
      <c r="M46" s="17"/>
      <c r="N46" s="17" t="s">
        <v>160</v>
      </c>
      <c r="O46" s="17"/>
      <c r="P46" s="17" t="s">
        <v>204</v>
      </c>
      <c r="Q46" s="17"/>
      <c r="R46" s="25" t="str">
        <f>HYPERLINK("https://ictv.global/taxonomy/taxondetails?taxnode_id=202301410","Salmovirus salmonidallo3")</f>
        <v>Salmovirus salmonidallo3</v>
      </c>
      <c r="S46" s="18" t="s">
        <v>30</v>
      </c>
      <c r="T46" s="18" t="s">
        <v>213</v>
      </c>
      <c r="U46" s="18" t="s">
        <v>214</v>
      </c>
      <c r="V46" s="18" t="s">
        <v>215</v>
      </c>
      <c r="W46" s="18" t="s">
        <v>216</v>
      </c>
      <c r="X46" s="18" t="s">
        <v>154</v>
      </c>
      <c r="Y46" s="18" t="s">
        <v>36</v>
      </c>
      <c r="Z46" s="18" t="s">
        <v>166</v>
      </c>
      <c r="AA46" s="21" t="str">
        <f>HYPERLINK("https://www.ncbi.nlm.nih.gov/nuccore/EU349277","NCBI Nucleotide")</f>
        <v>NCBI Nucleotide</v>
      </c>
    </row>
    <row r="47" spans="1:27" x14ac:dyDescent="0.35">
      <c r="A47">
        <v>1000046</v>
      </c>
      <c r="B47">
        <v>46</v>
      </c>
      <c r="C47">
        <v>1</v>
      </c>
      <c r="D47" s="17" t="s">
        <v>155</v>
      </c>
      <c r="E47" s="17"/>
      <c r="F47" s="17" t="s">
        <v>156</v>
      </c>
      <c r="G47" s="17"/>
      <c r="H47" s="17" t="s">
        <v>157</v>
      </c>
      <c r="I47" s="17"/>
      <c r="J47" s="17" t="s">
        <v>158</v>
      </c>
      <c r="K47" s="17"/>
      <c r="L47" s="17" t="s">
        <v>159</v>
      </c>
      <c r="M47" s="17"/>
      <c r="N47" s="17" t="s">
        <v>217</v>
      </c>
      <c r="O47" s="17"/>
      <c r="P47" s="17" t="s">
        <v>218</v>
      </c>
      <c r="Q47" s="17"/>
      <c r="R47" s="25" t="str">
        <f>HYPERLINK("https://ictv.global/taxonomy/taxondetails?taxnode_id=202301525","Aurivirus haliotidmalaco1")</f>
        <v>Aurivirus haliotidmalaco1</v>
      </c>
      <c r="S47" s="18" t="s">
        <v>30</v>
      </c>
      <c r="T47" s="18" t="s">
        <v>219</v>
      </c>
      <c r="U47" s="18" t="s">
        <v>220</v>
      </c>
      <c r="V47" s="18" t="s">
        <v>221</v>
      </c>
      <c r="W47" s="18" t="s">
        <v>222</v>
      </c>
      <c r="X47" s="18" t="s">
        <v>42</v>
      </c>
      <c r="Y47" s="18" t="s">
        <v>36</v>
      </c>
      <c r="Z47" s="18" t="s">
        <v>10790</v>
      </c>
      <c r="AA47" s="21" t="str">
        <f>HYPERLINK("https://www.ncbi.nlm.nih.gov/nuccore/JX453331","NCBI Nucleotide")</f>
        <v>NCBI Nucleotide</v>
      </c>
    </row>
    <row r="48" spans="1:27" x14ac:dyDescent="0.35">
      <c r="A48">
        <v>1000047</v>
      </c>
      <c r="B48">
        <v>47</v>
      </c>
      <c r="C48">
        <v>1</v>
      </c>
      <c r="D48" s="17" t="s">
        <v>155</v>
      </c>
      <c r="E48" s="17"/>
      <c r="F48" s="17" t="s">
        <v>156</v>
      </c>
      <c r="G48" s="17"/>
      <c r="H48" s="17" t="s">
        <v>157</v>
      </c>
      <c r="I48" s="17"/>
      <c r="J48" s="17" t="s">
        <v>158</v>
      </c>
      <c r="K48" s="17"/>
      <c r="L48" s="17" t="s">
        <v>159</v>
      </c>
      <c r="M48" s="17"/>
      <c r="N48" s="17" t="s">
        <v>217</v>
      </c>
      <c r="O48" s="17"/>
      <c r="P48" s="17" t="s">
        <v>223</v>
      </c>
      <c r="Q48" s="17"/>
      <c r="R48" s="25" t="str">
        <f>HYPERLINK("https://ictv.global/taxonomy/taxondetails?taxnode_id=202301527","Ostreavirus ostreidmalaco1")</f>
        <v>Ostreavirus ostreidmalaco1</v>
      </c>
      <c r="S48" s="18" t="s">
        <v>30</v>
      </c>
      <c r="T48" s="18" t="s">
        <v>224</v>
      </c>
      <c r="U48" s="18" t="s">
        <v>225</v>
      </c>
      <c r="V48" s="18"/>
      <c r="W48" s="18" t="s">
        <v>226</v>
      </c>
      <c r="X48" s="18" t="s">
        <v>42</v>
      </c>
      <c r="Y48" s="18" t="s">
        <v>36</v>
      </c>
      <c r="Z48" s="18" t="s">
        <v>10790</v>
      </c>
      <c r="AA48" s="21" t="str">
        <f>HYPERLINK("https://www.ncbi.nlm.nih.gov/nuccore/AY509253","NCBI Nucleotide")</f>
        <v>NCBI Nucleotide</v>
      </c>
    </row>
    <row r="49" spans="1:27" x14ac:dyDescent="0.35">
      <c r="A49">
        <v>1000048</v>
      </c>
      <c r="B49">
        <v>48</v>
      </c>
      <c r="C49">
        <v>1</v>
      </c>
      <c r="D49" s="17" t="s">
        <v>155</v>
      </c>
      <c r="E49" s="17"/>
      <c r="F49" s="17" t="s">
        <v>156</v>
      </c>
      <c r="G49" s="17"/>
      <c r="H49" s="17" t="s">
        <v>157</v>
      </c>
      <c r="I49" s="17"/>
      <c r="J49" s="17" t="s">
        <v>158</v>
      </c>
      <c r="K49" s="17"/>
      <c r="L49" s="17" t="s">
        <v>159</v>
      </c>
      <c r="M49" s="17"/>
      <c r="N49" s="17" t="s">
        <v>227</v>
      </c>
      <c r="O49" s="17" t="s">
        <v>228</v>
      </c>
      <c r="P49" s="17" t="s">
        <v>229</v>
      </c>
      <c r="Q49" s="17"/>
      <c r="R49" s="25" t="str">
        <f>HYPERLINK("https://ictv.global/taxonomy/taxondetails?taxnode_id=202314013","Iltovirus cacatuidalpha2")</f>
        <v>Iltovirus cacatuidalpha2</v>
      </c>
      <c r="S49" s="18" t="s">
        <v>30</v>
      </c>
      <c r="T49" s="18" t="s">
        <v>230</v>
      </c>
      <c r="U49" s="18" t="s">
        <v>231</v>
      </c>
      <c r="V49" s="18" t="s">
        <v>232</v>
      </c>
      <c r="W49" s="18" t="s">
        <v>233</v>
      </c>
      <c r="X49" s="18" t="s">
        <v>42</v>
      </c>
      <c r="Y49" s="18" t="s">
        <v>36</v>
      </c>
      <c r="Z49" s="18" t="s">
        <v>166</v>
      </c>
      <c r="AA49" s="21" t="str">
        <f>HYPERLINK("https://www.ncbi.nlm.nih.gov/nuccore/MK360902","NCBI Nucleotide")</f>
        <v>NCBI Nucleotide</v>
      </c>
    </row>
    <row r="50" spans="1:27" x14ac:dyDescent="0.35">
      <c r="A50">
        <v>1000049</v>
      </c>
      <c r="B50">
        <v>49</v>
      </c>
      <c r="C50">
        <v>1</v>
      </c>
      <c r="D50" s="17" t="s">
        <v>155</v>
      </c>
      <c r="E50" s="17"/>
      <c r="F50" s="17" t="s">
        <v>156</v>
      </c>
      <c r="G50" s="17"/>
      <c r="H50" s="17" t="s">
        <v>157</v>
      </c>
      <c r="I50" s="17"/>
      <c r="J50" s="17" t="s">
        <v>158</v>
      </c>
      <c r="K50" s="17"/>
      <c r="L50" s="17" t="s">
        <v>159</v>
      </c>
      <c r="M50" s="17"/>
      <c r="N50" s="17" t="s">
        <v>227</v>
      </c>
      <c r="O50" s="17" t="s">
        <v>228</v>
      </c>
      <c r="P50" s="17" t="s">
        <v>229</v>
      </c>
      <c r="Q50" s="17"/>
      <c r="R50" s="25" t="str">
        <f>HYPERLINK("https://ictv.global/taxonomy/taxondetails?taxnode_id=202301414","Iltovirus gallidalpha1")</f>
        <v>Iltovirus gallidalpha1</v>
      </c>
      <c r="S50" s="18" t="s">
        <v>30</v>
      </c>
      <c r="T50" s="18" t="s">
        <v>234</v>
      </c>
      <c r="U50" s="18" t="s">
        <v>235</v>
      </c>
      <c r="V50" s="18" t="s">
        <v>236</v>
      </c>
      <c r="W50" s="18" t="s">
        <v>237</v>
      </c>
      <c r="X50" s="18" t="s">
        <v>42</v>
      </c>
      <c r="Y50" s="18" t="s">
        <v>36</v>
      </c>
      <c r="Z50" s="18" t="s">
        <v>166</v>
      </c>
      <c r="AA50" s="21" t="str">
        <f>HYPERLINK("https://www.ncbi.nlm.nih.gov/nuccore/JN596962","NCBI Nucleotide")</f>
        <v>NCBI Nucleotide</v>
      </c>
    </row>
    <row r="51" spans="1:27" x14ac:dyDescent="0.35">
      <c r="A51">
        <v>1000050</v>
      </c>
      <c r="B51">
        <v>50</v>
      </c>
      <c r="C51">
        <v>1</v>
      </c>
      <c r="D51" s="17" t="s">
        <v>155</v>
      </c>
      <c r="E51" s="17"/>
      <c r="F51" s="17" t="s">
        <v>156</v>
      </c>
      <c r="G51" s="17"/>
      <c r="H51" s="17" t="s">
        <v>157</v>
      </c>
      <c r="I51" s="17"/>
      <c r="J51" s="17" t="s">
        <v>158</v>
      </c>
      <c r="K51" s="17"/>
      <c r="L51" s="17" t="s">
        <v>159</v>
      </c>
      <c r="M51" s="17"/>
      <c r="N51" s="17" t="s">
        <v>227</v>
      </c>
      <c r="O51" s="17" t="s">
        <v>228</v>
      </c>
      <c r="P51" s="17" t="s">
        <v>229</v>
      </c>
      <c r="Q51" s="17"/>
      <c r="R51" s="25" t="str">
        <f>HYPERLINK("https://ictv.global/taxonomy/taxondetails?taxnode_id=202301415","Iltovirus psittacidalpha1")</f>
        <v>Iltovirus psittacidalpha1</v>
      </c>
      <c r="S51" s="18" t="s">
        <v>30</v>
      </c>
      <c r="T51" s="18" t="s">
        <v>238</v>
      </c>
      <c r="U51" s="18" t="s">
        <v>239</v>
      </c>
      <c r="V51" s="18" t="s">
        <v>240</v>
      </c>
      <c r="W51" s="18" t="s">
        <v>241</v>
      </c>
      <c r="X51" s="18" t="s">
        <v>42</v>
      </c>
      <c r="Y51" s="18" t="s">
        <v>36</v>
      </c>
      <c r="Z51" s="18" t="s">
        <v>166</v>
      </c>
      <c r="AA51" s="21" t="str">
        <f>HYPERLINK("https://www.ncbi.nlm.nih.gov/nuccore/AY372243","NCBI Nucleotide")</f>
        <v>NCBI Nucleotide</v>
      </c>
    </row>
    <row r="52" spans="1:27" x14ac:dyDescent="0.35">
      <c r="A52">
        <v>1000051</v>
      </c>
      <c r="B52">
        <v>51</v>
      </c>
      <c r="C52">
        <v>1</v>
      </c>
      <c r="D52" s="17" t="s">
        <v>155</v>
      </c>
      <c r="E52" s="17"/>
      <c r="F52" s="17" t="s">
        <v>156</v>
      </c>
      <c r="G52" s="17"/>
      <c r="H52" s="17" t="s">
        <v>157</v>
      </c>
      <c r="I52" s="17"/>
      <c r="J52" s="17" t="s">
        <v>158</v>
      </c>
      <c r="K52" s="17"/>
      <c r="L52" s="17" t="s">
        <v>159</v>
      </c>
      <c r="M52" s="17"/>
      <c r="N52" s="17" t="s">
        <v>227</v>
      </c>
      <c r="O52" s="17" t="s">
        <v>228</v>
      </c>
      <c r="P52" s="17" t="s">
        <v>229</v>
      </c>
      <c r="Q52" s="17"/>
      <c r="R52" s="25" t="str">
        <f>HYPERLINK("https://ictv.global/taxonomy/taxondetails?taxnode_id=202314014","Iltovirus psittacidalpha5")</f>
        <v>Iltovirus psittacidalpha5</v>
      </c>
      <c r="S52" s="18" t="s">
        <v>30</v>
      </c>
      <c r="T52" s="18" t="s">
        <v>242</v>
      </c>
      <c r="U52" s="18" t="s">
        <v>243</v>
      </c>
      <c r="V52" s="18" t="s">
        <v>244</v>
      </c>
      <c r="W52" s="18" t="s">
        <v>245</v>
      </c>
      <c r="X52" s="18" t="s">
        <v>42</v>
      </c>
      <c r="Y52" s="18" t="s">
        <v>36</v>
      </c>
      <c r="Z52" s="18" t="s">
        <v>166</v>
      </c>
      <c r="AA52" s="21" t="str">
        <f>HYPERLINK("https://www.ncbi.nlm.nih.gov/nuccore/MK955929","NCBI Nucleotide")</f>
        <v>NCBI Nucleotide</v>
      </c>
    </row>
    <row r="53" spans="1:27" x14ac:dyDescent="0.35">
      <c r="A53">
        <v>1000052</v>
      </c>
      <c r="B53">
        <v>52</v>
      </c>
      <c r="C53">
        <v>1</v>
      </c>
      <c r="D53" s="17" t="s">
        <v>155</v>
      </c>
      <c r="E53" s="17"/>
      <c r="F53" s="17" t="s">
        <v>156</v>
      </c>
      <c r="G53" s="17"/>
      <c r="H53" s="17" t="s">
        <v>157</v>
      </c>
      <c r="I53" s="17"/>
      <c r="J53" s="17" t="s">
        <v>158</v>
      </c>
      <c r="K53" s="17"/>
      <c r="L53" s="17" t="s">
        <v>159</v>
      </c>
      <c r="M53" s="17"/>
      <c r="N53" s="17" t="s">
        <v>227</v>
      </c>
      <c r="O53" s="17" t="s">
        <v>228</v>
      </c>
      <c r="P53" s="17" t="s">
        <v>246</v>
      </c>
      <c r="Q53" s="17"/>
      <c r="R53" s="25" t="str">
        <f>HYPERLINK("https://ictv.global/taxonomy/taxondetails?taxnode_id=202301417","Mardivirus anatidalpha1")</f>
        <v>Mardivirus anatidalpha1</v>
      </c>
      <c r="S53" s="18" t="s">
        <v>30</v>
      </c>
      <c r="T53" s="18" t="s">
        <v>247</v>
      </c>
      <c r="U53" s="18" t="s">
        <v>248</v>
      </c>
      <c r="V53" s="18">
        <v>2085</v>
      </c>
      <c r="W53" s="18" t="s">
        <v>249</v>
      </c>
      <c r="X53" s="18" t="s">
        <v>42</v>
      </c>
      <c r="Y53" s="18" t="s">
        <v>36</v>
      </c>
      <c r="Z53" s="18" t="s">
        <v>166</v>
      </c>
      <c r="AA53" s="21" t="str">
        <f>HYPERLINK("https://www.ncbi.nlm.nih.gov/nuccore/JF999965","NCBI Nucleotide")</f>
        <v>NCBI Nucleotide</v>
      </c>
    </row>
    <row r="54" spans="1:27" x14ac:dyDescent="0.35">
      <c r="A54">
        <v>1000053</v>
      </c>
      <c r="B54">
        <v>53</v>
      </c>
      <c r="C54">
        <v>1</v>
      </c>
      <c r="D54" s="17" t="s">
        <v>155</v>
      </c>
      <c r="E54" s="17"/>
      <c r="F54" s="17" t="s">
        <v>156</v>
      </c>
      <c r="G54" s="17"/>
      <c r="H54" s="17" t="s">
        <v>157</v>
      </c>
      <c r="I54" s="17"/>
      <c r="J54" s="17" t="s">
        <v>158</v>
      </c>
      <c r="K54" s="17"/>
      <c r="L54" s="17" t="s">
        <v>159</v>
      </c>
      <c r="M54" s="17"/>
      <c r="N54" s="17" t="s">
        <v>227</v>
      </c>
      <c r="O54" s="17" t="s">
        <v>228</v>
      </c>
      <c r="P54" s="17" t="s">
        <v>246</v>
      </c>
      <c r="Q54" s="17"/>
      <c r="R54" s="25" t="str">
        <f>HYPERLINK("https://ictv.global/taxonomy/taxondetails?taxnode_id=202301418","Mardivirus columbidalpha1")</f>
        <v>Mardivirus columbidalpha1</v>
      </c>
      <c r="S54" s="18" t="s">
        <v>30</v>
      </c>
      <c r="T54" s="18" t="s">
        <v>250</v>
      </c>
      <c r="U54" s="18" t="s">
        <v>251</v>
      </c>
      <c r="V54" s="18" t="s">
        <v>252</v>
      </c>
      <c r="W54" s="18" t="s">
        <v>253</v>
      </c>
      <c r="X54" s="18" t="s">
        <v>42</v>
      </c>
      <c r="Y54" s="18" t="s">
        <v>36</v>
      </c>
      <c r="Z54" s="18" t="s">
        <v>166</v>
      </c>
      <c r="AA54" s="21" t="str">
        <f>HYPERLINK("https://www.ncbi.nlm.nih.gov/nuccore/KX589235","NCBI Nucleotide")</f>
        <v>NCBI Nucleotide</v>
      </c>
    </row>
    <row r="55" spans="1:27" x14ac:dyDescent="0.35">
      <c r="A55">
        <v>1000054</v>
      </c>
      <c r="B55">
        <v>54</v>
      </c>
      <c r="C55">
        <v>1</v>
      </c>
      <c r="D55" s="17" t="s">
        <v>155</v>
      </c>
      <c r="E55" s="17"/>
      <c r="F55" s="17" t="s">
        <v>156</v>
      </c>
      <c r="G55" s="17"/>
      <c r="H55" s="17" t="s">
        <v>157</v>
      </c>
      <c r="I55" s="17"/>
      <c r="J55" s="17" t="s">
        <v>158</v>
      </c>
      <c r="K55" s="17"/>
      <c r="L55" s="17" t="s">
        <v>159</v>
      </c>
      <c r="M55" s="17"/>
      <c r="N55" s="17" t="s">
        <v>227</v>
      </c>
      <c r="O55" s="17" t="s">
        <v>228</v>
      </c>
      <c r="P55" s="17" t="s">
        <v>246</v>
      </c>
      <c r="Q55" s="17"/>
      <c r="R55" s="25" t="str">
        <f>HYPERLINK("https://ictv.global/taxonomy/taxondetails?taxnode_id=202301419","Mardivirus gallidalpha2")</f>
        <v>Mardivirus gallidalpha2</v>
      </c>
      <c r="S55" s="18" t="s">
        <v>30</v>
      </c>
      <c r="T55" s="18" t="s">
        <v>254</v>
      </c>
      <c r="U55" s="18" t="s">
        <v>255</v>
      </c>
      <c r="V55" s="18" t="s">
        <v>256</v>
      </c>
      <c r="W55" s="18" t="s">
        <v>257</v>
      </c>
      <c r="X55" s="18" t="s">
        <v>42</v>
      </c>
      <c r="Y55" s="18" t="s">
        <v>36</v>
      </c>
      <c r="Z55" s="18" t="s">
        <v>166</v>
      </c>
      <c r="AA55" s="21" t="str">
        <f>HYPERLINK("https://www.ncbi.nlm.nih.gov/nuccore/AF243438","NCBI Nucleotide")</f>
        <v>NCBI Nucleotide</v>
      </c>
    </row>
    <row r="56" spans="1:27" x14ac:dyDescent="0.35">
      <c r="A56">
        <v>1000055</v>
      </c>
      <c r="B56">
        <v>55</v>
      </c>
      <c r="C56">
        <v>1</v>
      </c>
      <c r="D56" s="17" t="s">
        <v>155</v>
      </c>
      <c r="E56" s="17"/>
      <c r="F56" s="17" t="s">
        <v>156</v>
      </c>
      <c r="G56" s="17"/>
      <c r="H56" s="17" t="s">
        <v>157</v>
      </c>
      <c r="I56" s="17"/>
      <c r="J56" s="17" t="s">
        <v>158</v>
      </c>
      <c r="K56" s="17"/>
      <c r="L56" s="17" t="s">
        <v>159</v>
      </c>
      <c r="M56" s="17"/>
      <c r="N56" s="17" t="s">
        <v>227</v>
      </c>
      <c r="O56" s="17" t="s">
        <v>228</v>
      </c>
      <c r="P56" s="17" t="s">
        <v>246</v>
      </c>
      <c r="Q56" s="17"/>
      <c r="R56" s="25" t="str">
        <f>HYPERLINK("https://ictv.global/taxonomy/taxondetails?taxnode_id=202301420","Mardivirus gallidalpha3")</f>
        <v>Mardivirus gallidalpha3</v>
      </c>
      <c r="S56" s="18" t="s">
        <v>30</v>
      </c>
      <c r="T56" s="18" t="s">
        <v>258</v>
      </c>
      <c r="U56" s="18" t="s">
        <v>259</v>
      </c>
      <c r="V56" s="18" t="s">
        <v>260</v>
      </c>
      <c r="W56" s="18" t="s">
        <v>261</v>
      </c>
      <c r="X56" s="18" t="s">
        <v>42</v>
      </c>
      <c r="Y56" s="18" t="s">
        <v>36</v>
      </c>
      <c r="Z56" s="18" t="s">
        <v>166</v>
      </c>
      <c r="AA56" s="21" t="str">
        <f>HYPERLINK("https://www.ncbi.nlm.nih.gov/nuccore/HQ840738","NCBI Nucleotide")</f>
        <v>NCBI Nucleotide</v>
      </c>
    </row>
    <row r="57" spans="1:27" x14ac:dyDescent="0.35">
      <c r="A57">
        <v>1000056</v>
      </c>
      <c r="B57">
        <v>56</v>
      </c>
      <c r="C57">
        <v>1</v>
      </c>
      <c r="D57" s="17" t="s">
        <v>155</v>
      </c>
      <c r="E57" s="17"/>
      <c r="F57" s="17" t="s">
        <v>156</v>
      </c>
      <c r="G57" s="17"/>
      <c r="H57" s="17" t="s">
        <v>157</v>
      </c>
      <c r="I57" s="17"/>
      <c r="J57" s="17" t="s">
        <v>158</v>
      </c>
      <c r="K57" s="17"/>
      <c r="L57" s="17" t="s">
        <v>159</v>
      </c>
      <c r="M57" s="17"/>
      <c r="N57" s="17" t="s">
        <v>227</v>
      </c>
      <c r="O57" s="17" t="s">
        <v>228</v>
      </c>
      <c r="P57" s="17" t="s">
        <v>246</v>
      </c>
      <c r="Q57" s="17"/>
      <c r="R57" s="25" t="str">
        <f>HYPERLINK("https://ictv.global/taxonomy/taxondetails?taxnode_id=202301421","Mardivirus meleagridalpha1")</f>
        <v>Mardivirus meleagridalpha1</v>
      </c>
      <c r="S57" s="18" t="s">
        <v>30</v>
      </c>
      <c r="T57" s="18" t="s">
        <v>262</v>
      </c>
      <c r="U57" s="18" t="s">
        <v>263</v>
      </c>
      <c r="V57" s="18" t="s">
        <v>264</v>
      </c>
      <c r="W57" s="18" t="s">
        <v>265</v>
      </c>
      <c r="X57" s="18" t="s">
        <v>42</v>
      </c>
      <c r="Y57" s="18" t="s">
        <v>36</v>
      </c>
      <c r="Z57" s="18" t="s">
        <v>166</v>
      </c>
      <c r="AA57" s="21" t="str">
        <f>HYPERLINK("https://www.ncbi.nlm.nih.gov/nuccore/AF291866","NCBI Nucleotide")</f>
        <v>NCBI Nucleotide</v>
      </c>
    </row>
    <row r="58" spans="1:27" x14ac:dyDescent="0.35">
      <c r="A58">
        <v>1000057</v>
      </c>
      <c r="B58">
        <v>57</v>
      </c>
      <c r="C58">
        <v>1</v>
      </c>
      <c r="D58" s="17" t="s">
        <v>155</v>
      </c>
      <c r="E58" s="17"/>
      <c r="F58" s="17" t="s">
        <v>156</v>
      </c>
      <c r="G58" s="17"/>
      <c r="H58" s="17" t="s">
        <v>157</v>
      </c>
      <c r="I58" s="17"/>
      <c r="J58" s="17" t="s">
        <v>158</v>
      </c>
      <c r="K58" s="17"/>
      <c r="L58" s="17" t="s">
        <v>159</v>
      </c>
      <c r="M58" s="17"/>
      <c r="N58" s="17" t="s">
        <v>227</v>
      </c>
      <c r="O58" s="17" t="s">
        <v>228</v>
      </c>
      <c r="P58" s="17" t="s">
        <v>246</v>
      </c>
      <c r="Q58" s="17"/>
      <c r="R58" s="25" t="str">
        <f>HYPERLINK("https://ictv.global/taxonomy/taxondetails?taxnode_id=202306397","Mardivirus spheniscidalpha1")</f>
        <v>Mardivirus spheniscidalpha1</v>
      </c>
      <c r="S58" s="18" t="s">
        <v>30</v>
      </c>
      <c r="T58" s="18" t="s">
        <v>266</v>
      </c>
      <c r="U58" s="18" t="s">
        <v>267</v>
      </c>
      <c r="V58" s="18" t="s">
        <v>268</v>
      </c>
      <c r="W58" s="18" t="s">
        <v>269</v>
      </c>
      <c r="X58" s="18" t="s">
        <v>42</v>
      </c>
      <c r="Y58" s="18" t="s">
        <v>36</v>
      </c>
      <c r="Z58" s="18" t="s">
        <v>166</v>
      </c>
      <c r="AA58" s="21" t="str">
        <f>HYPERLINK("https://www.ncbi.nlm.nih.gov/nuccore/LT608135","NCBI Nucleotide")</f>
        <v>NCBI Nucleotide</v>
      </c>
    </row>
    <row r="59" spans="1:27" x14ac:dyDescent="0.35">
      <c r="A59">
        <v>1000058</v>
      </c>
      <c r="B59">
        <v>58</v>
      </c>
      <c r="C59">
        <v>1</v>
      </c>
      <c r="D59" s="17" t="s">
        <v>155</v>
      </c>
      <c r="E59" s="17"/>
      <c r="F59" s="17" t="s">
        <v>156</v>
      </c>
      <c r="G59" s="17"/>
      <c r="H59" s="17" t="s">
        <v>157</v>
      </c>
      <c r="I59" s="17"/>
      <c r="J59" s="17" t="s">
        <v>158</v>
      </c>
      <c r="K59" s="17"/>
      <c r="L59" s="17" t="s">
        <v>159</v>
      </c>
      <c r="M59" s="17"/>
      <c r="N59" s="17" t="s">
        <v>227</v>
      </c>
      <c r="O59" s="17" t="s">
        <v>228</v>
      </c>
      <c r="P59" s="17" t="s">
        <v>270</v>
      </c>
      <c r="Q59" s="17"/>
      <c r="R59" s="25" t="str">
        <f>HYPERLINK("https://ictv.global/taxonomy/taxondetails?taxnode_id=202301423","Scutavirus chelonidalpha5")</f>
        <v>Scutavirus chelonidalpha5</v>
      </c>
      <c r="S59" s="18" t="s">
        <v>30</v>
      </c>
      <c r="T59" s="18" t="s">
        <v>271</v>
      </c>
      <c r="U59" s="18" t="s">
        <v>272</v>
      </c>
      <c r="V59" s="18" t="s">
        <v>273</v>
      </c>
      <c r="W59" s="18" t="s">
        <v>274</v>
      </c>
      <c r="X59" s="18" t="s">
        <v>154</v>
      </c>
      <c r="Y59" s="18" t="s">
        <v>36</v>
      </c>
      <c r="Z59" s="18" t="s">
        <v>166</v>
      </c>
      <c r="AA59" s="21" t="str">
        <f>HYPERLINK("https://www.ncbi.nlm.nih.gov/nuccore/HQ878327","NCBI Nucleotide")</f>
        <v>NCBI Nucleotide</v>
      </c>
    </row>
    <row r="60" spans="1:27" x14ac:dyDescent="0.35">
      <c r="A60">
        <v>1000059</v>
      </c>
      <c r="B60">
        <v>59</v>
      </c>
      <c r="C60">
        <v>1</v>
      </c>
      <c r="D60" s="17" t="s">
        <v>155</v>
      </c>
      <c r="E60" s="17"/>
      <c r="F60" s="17" t="s">
        <v>156</v>
      </c>
      <c r="G60" s="17"/>
      <c r="H60" s="17" t="s">
        <v>157</v>
      </c>
      <c r="I60" s="17"/>
      <c r="J60" s="17" t="s">
        <v>158</v>
      </c>
      <c r="K60" s="17"/>
      <c r="L60" s="17" t="s">
        <v>159</v>
      </c>
      <c r="M60" s="17"/>
      <c r="N60" s="17" t="s">
        <v>227</v>
      </c>
      <c r="O60" s="17" t="s">
        <v>228</v>
      </c>
      <c r="P60" s="17" t="s">
        <v>270</v>
      </c>
      <c r="Q60" s="17"/>
      <c r="R60" s="25" t="str">
        <f>HYPERLINK("https://ictv.global/taxonomy/taxondetails?taxnode_id=202306398","Scutavirus testudinidalpha3")</f>
        <v>Scutavirus testudinidalpha3</v>
      </c>
      <c r="S60" s="18" t="s">
        <v>30</v>
      </c>
      <c r="T60" s="18" t="s">
        <v>275</v>
      </c>
      <c r="U60" s="18" t="s">
        <v>276</v>
      </c>
      <c r="V60" s="18">
        <v>1976</v>
      </c>
      <c r="W60" s="18" t="s">
        <v>277</v>
      </c>
      <c r="X60" s="18" t="s">
        <v>42</v>
      </c>
      <c r="Y60" s="18" t="s">
        <v>36</v>
      </c>
      <c r="Z60" s="18" t="s">
        <v>166</v>
      </c>
      <c r="AA60" s="21" t="str">
        <f>HYPERLINK("https://www.ncbi.nlm.nih.gov/nuccore/KM924292","NCBI Nucleotide")</f>
        <v>NCBI Nucleotide</v>
      </c>
    </row>
    <row r="61" spans="1:27" x14ac:dyDescent="0.35">
      <c r="A61">
        <v>1000060</v>
      </c>
      <c r="B61">
        <v>60</v>
      </c>
      <c r="C61">
        <v>1</v>
      </c>
      <c r="D61" s="17" t="s">
        <v>155</v>
      </c>
      <c r="E61" s="17"/>
      <c r="F61" s="17" t="s">
        <v>156</v>
      </c>
      <c r="G61" s="17"/>
      <c r="H61" s="17" t="s">
        <v>157</v>
      </c>
      <c r="I61" s="17"/>
      <c r="J61" s="17" t="s">
        <v>158</v>
      </c>
      <c r="K61" s="17"/>
      <c r="L61" s="17" t="s">
        <v>159</v>
      </c>
      <c r="M61" s="17"/>
      <c r="N61" s="17" t="s">
        <v>227</v>
      </c>
      <c r="O61" s="17" t="s">
        <v>228</v>
      </c>
      <c r="P61" s="17" t="s">
        <v>278</v>
      </c>
      <c r="Q61" s="17"/>
      <c r="R61" s="25" t="str">
        <f>HYPERLINK("https://ictv.global/taxonomy/taxondetails?taxnode_id=202301425","Simplexvirus atelinealpha1")</f>
        <v>Simplexvirus atelinealpha1</v>
      </c>
      <c r="S61" s="18" t="s">
        <v>30</v>
      </c>
      <c r="T61" s="18" t="s">
        <v>279</v>
      </c>
      <c r="U61" s="18" t="s">
        <v>280</v>
      </c>
      <c r="V61" s="18" t="s">
        <v>281</v>
      </c>
      <c r="W61" s="18" t="s">
        <v>282</v>
      </c>
      <c r="X61" s="18" t="s">
        <v>42</v>
      </c>
      <c r="Y61" s="18" t="s">
        <v>36</v>
      </c>
      <c r="Z61" s="18" t="s">
        <v>166</v>
      </c>
      <c r="AA61" s="21" t="str">
        <f>HYPERLINK("https://www.ncbi.nlm.nih.gov/nuccore/KY385637","NCBI Nucleotide")</f>
        <v>NCBI Nucleotide</v>
      </c>
    </row>
    <row r="62" spans="1:27" x14ac:dyDescent="0.35">
      <c r="A62">
        <v>1000061</v>
      </c>
      <c r="B62">
        <v>61</v>
      </c>
      <c r="C62">
        <v>1</v>
      </c>
      <c r="D62" s="17" t="s">
        <v>155</v>
      </c>
      <c r="E62" s="17"/>
      <c r="F62" s="17" t="s">
        <v>156</v>
      </c>
      <c r="G62" s="17"/>
      <c r="H62" s="17" t="s">
        <v>157</v>
      </c>
      <c r="I62" s="17"/>
      <c r="J62" s="17" t="s">
        <v>158</v>
      </c>
      <c r="K62" s="17"/>
      <c r="L62" s="17" t="s">
        <v>159</v>
      </c>
      <c r="M62" s="17"/>
      <c r="N62" s="17" t="s">
        <v>227</v>
      </c>
      <c r="O62" s="17" t="s">
        <v>228</v>
      </c>
      <c r="P62" s="17" t="s">
        <v>278</v>
      </c>
      <c r="Q62" s="17"/>
      <c r="R62" s="25" t="str">
        <f>HYPERLINK("https://ictv.global/taxonomy/taxondetails?taxnode_id=202301426","Simplexvirus bovinealpha2")</f>
        <v>Simplexvirus bovinealpha2</v>
      </c>
      <c r="S62" s="18" t="s">
        <v>30</v>
      </c>
      <c r="T62" s="18" t="s">
        <v>283</v>
      </c>
      <c r="U62" s="18" t="s">
        <v>284</v>
      </c>
      <c r="V62" s="18" t="s">
        <v>285</v>
      </c>
      <c r="W62" s="18" t="s">
        <v>286</v>
      </c>
      <c r="X62" s="18" t="s">
        <v>42</v>
      </c>
      <c r="Y62" s="18" t="s">
        <v>36</v>
      </c>
      <c r="Z62" s="18" t="s">
        <v>166</v>
      </c>
      <c r="AA62" s="21" t="str">
        <f>HYPERLINK("https://www.ncbi.nlm.nih.gov/nuccore/MT862163","NCBI Nucleotide")</f>
        <v>NCBI Nucleotide</v>
      </c>
    </row>
    <row r="63" spans="1:27" x14ac:dyDescent="0.35">
      <c r="A63">
        <v>1000062</v>
      </c>
      <c r="B63">
        <v>62</v>
      </c>
      <c r="C63">
        <v>1</v>
      </c>
      <c r="D63" s="17" t="s">
        <v>155</v>
      </c>
      <c r="E63" s="17"/>
      <c r="F63" s="17" t="s">
        <v>156</v>
      </c>
      <c r="G63" s="17"/>
      <c r="H63" s="17" t="s">
        <v>157</v>
      </c>
      <c r="I63" s="17"/>
      <c r="J63" s="17" t="s">
        <v>158</v>
      </c>
      <c r="K63" s="17"/>
      <c r="L63" s="17" t="s">
        <v>159</v>
      </c>
      <c r="M63" s="17"/>
      <c r="N63" s="17" t="s">
        <v>227</v>
      </c>
      <c r="O63" s="17" t="s">
        <v>228</v>
      </c>
      <c r="P63" s="17" t="s">
        <v>278</v>
      </c>
      <c r="Q63" s="17"/>
      <c r="R63" s="25" t="str">
        <f>HYPERLINK("https://ictv.global/taxonomy/taxondetails?taxnode_id=202301427","Simplexvirus cercopithecinealpha2")</f>
        <v>Simplexvirus cercopithecinealpha2</v>
      </c>
      <c r="S63" s="18" t="s">
        <v>30</v>
      </c>
      <c r="T63" s="18" t="s">
        <v>287</v>
      </c>
      <c r="U63" s="18" t="s">
        <v>288</v>
      </c>
      <c r="V63" s="18" t="s">
        <v>289</v>
      </c>
      <c r="W63" s="18" t="s">
        <v>290</v>
      </c>
      <c r="X63" s="18" t="s">
        <v>42</v>
      </c>
      <c r="Y63" s="18" t="s">
        <v>36</v>
      </c>
      <c r="Z63" s="18" t="s">
        <v>166</v>
      </c>
      <c r="AA63" s="21" t="str">
        <f>HYPERLINK("https://www.ncbi.nlm.nih.gov/nuccore/AY714813","NCBI Nucleotide")</f>
        <v>NCBI Nucleotide</v>
      </c>
    </row>
    <row r="64" spans="1:27" x14ac:dyDescent="0.35">
      <c r="A64">
        <v>1000063</v>
      </c>
      <c r="B64">
        <v>63</v>
      </c>
      <c r="C64">
        <v>1</v>
      </c>
      <c r="D64" s="17" t="s">
        <v>155</v>
      </c>
      <c r="E64" s="17"/>
      <c r="F64" s="17" t="s">
        <v>156</v>
      </c>
      <c r="G64" s="17"/>
      <c r="H64" s="17" t="s">
        <v>157</v>
      </c>
      <c r="I64" s="17"/>
      <c r="J64" s="17" t="s">
        <v>158</v>
      </c>
      <c r="K64" s="17"/>
      <c r="L64" s="17" t="s">
        <v>159</v>
      </c>
      <c r="M64" s="17"/>
      <c r="N64" s="17" t="s">
        <v>227</v>
      </c>
      <c r="O64" s="17" t="s">
        <v>228</v>
      </c>
      <c r="P64" s="17" t="s">
        <v>278</v>
      </c>
      <c r="Q64" s="17"/>
      <c r="R64" s="25" t="str">
        <f>HYPERLINK("https://ictv.global/taxonomy/taxondetails?taxnode_id=202301428","Simplexvirus humanalpha1")</f>
        <v>Simplexvirus humanalpha1</v>
      </c>
      <c r="S64" s="18" t="s">
        <v>30</v>
      </c>
      <c r="T64" s="18" t="s">
        <v>50879</v>
      </c>
      <c r="U64" s="18" t="s">
        <v>291</v>
      </c>
      <c r="V64" s="18">
        <v>17</v>
      </c>
      <c r="W64" s="18" t="s">
        <v>292</v>
      </c>
      <c r="X64" s="18" t="s">
        <v>42</v>
      </c>
      <c r="Y64" s="18" t="s">
        <v>36</v>
      </c>
      <c r="Z64" s="18" t="s">
        <v>166</v>
      </c>
      <c r="AA64" s="21" t="str">
        <f>HYPERLINK("https://www.ncbi.nlm.nih.gov/nuccore/JN555585","NCBI Nucleotide")</f>
        <v>NCBI Nucleotide</v>
      </c>
    </row>
    <row r="65" spans="1:27" x14ac:dyDescent="0.35">
      <c r="A65">
        <v>1000064</v>
      </c>
      <c r="B65">
        <v>64</v>
      </c>
      <c r="C65">
        <v>1</v>
      </c>
      <c r="D65" s="17" t="s">
        <v>155</v>
      </c>
      <c r="E65" s="17"/>
      <c r="F65" s="17" t="s">
        <v>156</v>
      </c>
      <c r="G65" s="17"/>
      <c r="H65" s="17" t="s">
        <v>157</v>
      </c>
      <c r="I65" s="17"/>
      <c r="J65" s="17" t="s">
        <v>158</v>
      </c>
      <c r="K65" s="17"/>
      <c r="L65" s="17" t="s">
        <v>159</v>
      </c>
      <c r="M65" s="17"/>
      <c r="N65" s="17" t="s">
        <v>227</v>
      </c>
      <c r="O65" s="17" t="s">
        <v>228</v>
      </c>
      <c r="P65" s="17" t="s">
        <v>278</v>
      </c>
      <c r="Q65" s="17"/>
      <c r="R65" s="25" t="str">
        <f>HYPERLINK("https://ictv.global/taxonomy/taxondetails?taxnode_id=202301429","Simplexvirus humanalpha2")</f>
        <v>Simplexvirus humanalpha2</v>
      </c>
      <c r="S65" s="18" t="s">
        <v>30</v>
      </c>
      <c r="T65" s="18" t="s">
        <v>50880</v>
      </c>
      <c r="U65" s="18" t="s">
        <v>293</v>
      </c>
      <c r="V65" s="18" t="s">
        <v>294</v>
      </c>
      <c r="W65" s="18" t="s">
        <v>295</v>
      </c>
      <c r="X65" s="18" t="s">
        <v>42</v>
      </c>
      <c r="Y65" s="18" t="s">
        <v>36</v>
      </c>
      <c r="Z65" s="18" t="s">
        <v>166</v>
      </c>
      <c r="AA65" s="21" t="str">
        <f>HYPERLINK("https://www.ncbi.nlm.nih.gov/nuccore/JN561323","NCBI Nucleotide")</f>
        <v>NCBI Nucleotide</v>
      </c>
    </row>
    <row r="66" spans="1:27" x14ac:dyDescent="0.35">
      <c r="A66">
        <v>1000065</v>
      </c>
      <c r="B66">
        <v>65</v>
      </c>
      <c r="C66">
        <v>1</v>
      </c>
      <c r="D66" s="17" t="s">
        <v>155</v>
      </c>
      <c r="E66" s="17"/>
      <c r="F66" s="17" t="s">
        <v>156</v>
      </c>
      <c r="G66" s="17"/>
      <c r="H66" s="17" t="s">
        <v>157</v>
      </c>
      <c r="I66" s="17"/>
      <c r="J66" s="17" t="s">
        <v>158</v>
      </c>
      <c r="K66" s="17"/>
      <c r="L66" s="17" t="s">
        <v>159</v>
      </c>
      <c r="M66" s="17"/>
      <c r="N66" s="17" t="s">
        <v>227</v>
      </c>
      <c r="O66" s="17" t="s">
        <v>228</v>
      </c>
      <c r="P66" s="17" t="s">
        <v>278</v>
      </c>
      <c r="Q66" s="17"/>
      <c r="R66" s="25" t="str">
        <f>HYPERLINK("https://ictv.global/taxonomy/taxondetails?taxnode_id=202301430","Simplexvirus leporidalpha4")</f>
        <v>Simplexvirus leporidalpha4</v>
      </c>
      <c r="S66" s="18" t="s">
        <v>30</v>
      </c>
      <c r="T66" s="18" t="s">
        <v>296</v>
      </c>
      <c r="U66" s="18" t="s">
        <v>297</v>
      </c>
      <c r="V66" s="18" t="s">
        <v>298</v>
      </c>
      <c r="W66" s="18" t="s">
        <v>299</v>
      </c>
      <c r="X66" s="18" t="s">
        <v>42</v>
      </c>
      <c r="Y66" s="18" t="s">
        <v>36</v>
      </c>
      <c r="Z66" s="18" t="s">
        <v>166</v>
      </c>
      <c r="AA66" s="21" t="str">
        <f>HYPERLINK("https://www.ncbi.nlm.nih.gov/nuccore/JQ596859","NCBI Nucleotide")</f>
        <v>NCBI Nucleotide</v>
      </c>
    </row>
    <row r="67" spans="1:27" x14ac:dyDescent="0.35">
      <c r="A67">
        <v>1000066</v>
      </c>
      <c r="B67">
        <v>66</v>
      </c>
      <c r="C67">
        <v>1</v>
      </c>
      <c r="D67" s="17" t="s">
        <v>155</v>
      </c>
      <c r="E67" s="17"/>
      <c r="F67" s="17" t="s">
        <v>156</v>
      </c>
      <c r="G67" s="17"/>
      <c r="H67" s="17" t="s">
        <v>157</v>
      </c>
      <c r="I67" s="17"/>
      <c r="J67" s="17" t="s">
        <v>158</v>
      </c>
      <c r="K67" s="17"/>
      <c r="L67" s="17" t="s">
        <v>159</v>
      </c>
      <c r="M67" s="17"/>
      <c r="N67" s="17" t="s">
        <v>227</v>
      </c>
      <c r="O67" s="17" t="s">
        <v>228</v>
      </c>
      <c r="P67" s="17" t="s">
        <v>278</v>
      </c>
      <c r="Q67" s="17"/>
      <c r="R67" s="25" t="str">
        <f>HYPERLINK("https://ictv.global/taxonomy/taxondetails?taxnode_id=202301431","Simplexvirus macacinealpha1")</f>
        <v>Simplexvirus macacinealpha1</v>
      </c>
      <c r="S67" s="18" t="s">
        <v>30</v>
      </c>
      <c r="T67" s="18" t="s">
        <v>300</v>
      </c>
      <c r="U67" s="18" t="s">
        <v>301</v>
      </c>
      <c r="V67" s="18" t="s">
        <v>302</v>
      </c>
      <c r="W67" s="18" t="s">
        <v>303</v>
      </c>
      <c r="X67" s="18" t="s">
        <v>42</v>
      </c>
      <c r="Y67" s="18" t="s">
        <v>36</v>
      </c>
      <c r="Z67" s="18" t="s">
        <v>166</v>
      </c>
      <c r="AA67" s="21" t="str">
        <f>HYPERLINK("https://www.ncbi.nlm.nih.gov/nuccore/AF533768","NCBI Nucleotide")</f>
        <v>NCBI Nucleotide</v>
      </c>
    </row>
    <row r="68" spans="1:27" x14ac:dyDescent="0.35">
      <c r="A68">
        <v>1000067</v>
      </c>
      <c r="B68">
        <v>67</v>
      </c>
      <c r="C68">
        <v>1</v>
      </c>
      <c r="D68" s="17" t="s">
        <v>155</v>
      </c>
      <c r="E68" s="17"/>
      <c r="F68" s="17" t="s">
        <v>156</v>
      </c>
      <c r="G68" s="17"/>
      <c r="H68" s="17" t="s">
        <v>157</v>
      </c>
      <c r="I68" s="17"/>
      <c r="J68" s="17" t="s">
        <v>158</v>
      </c>
      <c r="K68" s="17"/>
      <c r="L68" s="17" t="s">
        <v>159</v>
      </c>
      <c r="M68" s="17"/>
      <c r="N68" s="17" t="s">
        <v>227</v>
      </c>
      <c r="O68" s="17" t="s">
        <v>228</v>
      </c>
      <c r="P68" s="17" t="s">
        <v>278</v>
      </c>
      <c r="Q68" s="17"/>
      <c r="R68" s="25" t="str">
        <f>HYPERLINK("https://ictv.global/taxonomy/taxondetails?taxnode_id=202308779","Simplexvirus macacinealpha2")</f>
        <v>Simplexvirus macacinealpha2</v>
      </c>
      <c r="S68" s="18" t="s">
        <v>30</v>
      </c>
      <c r="T68" s="18" t="s">
        <v>304</v>
      </c>
      <c r="U68" s="18" t="s">
        <v>305</v>
      </c>
      <c r="V68" s="18">
        <v>8100812</v>
      </c>
      <c r="W68" s="18" t="s">
        <v>306</v>
      </c>
      <c r="X68" s="18" t="s">
        <v>42</v>
      </c>
      <c r="Y68" s="18" t="s">
        <v>36</v>
      </c>
      <c r="Z68" s="18" t="s">
        <v>166</v>
      </c>
      <c r="AA68" s="21" t="str">
        <f>HYPERLINK("https://www.ncbi.nlm.nih.gov/nuccore/KY628968","NCBI Nucleotide")</f>
        <v>NCBI Nucleotide</v>
      </c>
    </row>
    <row r="69" spans="1:27" x14ac:dyDescent="0.35">
      <c r="A69">
        <v>1000068</v>
      </c>
      <c r="B69">
        <v>68</v>
      </c>
      <c r="C69">
        <v>1</v>
      </c>
      <c r="D69" s="17" t="s">
        <v>155</v>
      </c>
      <c r="E69" s="17"/>
      <c r="F69" s="17" t="s">
        <v>156</v>
      </c>
      <c r="G69" s="17"/>
      <c r="H69" s="17" t="s">
        <v>157</v>
      </c>
      <c r="I69" s="17"/>
      <c r="J69" s="17" t="s">
        <v>158</v>
      </c>
      <c r="K69" s="17"/>
      <c r="L69" s="17" t="s">
        <v>159</v>
      </c>
      <c r="M69" s="17"/>
      <c r="N69" s="17" t="s">
        <v>227</v>
      </c>
      <c r="O69" s="17" t="s">
        <v>228</v>
      </c>
      <c r="P69" s="17" t="s">
        <v>278</v>
      </c>
      <c r="Q69" s="17"/>
      <c r="R69" s="25" t="str">
        <f>HYPERLINK("https://ictv.global/taxonomy/taxondetails?taxnode_id=202308780","Simplexvirus macacinealpha3")</f>
        <v>Simplexvirus macacinealpha3</v>
      </c>
      <c r="S69" s="18" t="s">
        <v>30</v>
      </c>
      <c r="T69" s="18" t="s">
        <v>307</v>
      </c>
      <c r="U69" s="18" t="s">
        <v>308</v>
      </c>
      <c r="V69" s="18" t="s">
        <v>309</v>
      </c>
      <c r="W69" s="18" t="s">
        <v>310</v>
      </c>
      <c r="X69" s="18" t="s">
        <v>42</v>
      </c>
      <c r="Y69" s="18" t="s">
        <v>36</v>
      </c>
      <c r="Z69" s="18" t="s">
        <v>166</v>
      </c>
      <c r="AA69" s="21" t="str">
        <f>HYPERLINK("https://www.ncbi.nlm.nih.gov/nuccore/KY628970","NCBI Nucleotide")</f>
        <v>NCBI Nucleotide</v>
      </c>
    </row>
    <row r="70" spans="1:27" x14ac:dyDescent="0.35">
      <c r="A70">
        <v>1000069</v>
      </c>
      <c r="B70">
        <v>69</v>
      </c>
      <c r="C70">
        <v>1</v>
      </c>
      <c r="D70" s="17" t="s">
        <v>155</v>
      </c>
      <c r="E70" s="17"/>
      <c r="F70" s="17" t="s">
        <v>156</v>
      </c>
      <c r="G70" s="17"/>
      <c r="H70" s="17" t="s">
        <v>157</v>
      </c>
      <c r="I70" s="17"/>
      <c r="J70" s="17" t="s">
        <v>158</v>
      </c>
      <c r="K70" s="17"/>
      <c r="L70" s="17" t="s">
        <v>159</v>
      </c>
      <c r="M70" s="17"/>
      <c r="N70" s="17" t="s">
        <v>227</v>
      </c>
      <c r="O70" s="17" t="s">
        <v>228</v>
      </c>
      <c r="P70" s="17" t="s">
        <v>278</v>
      </c>
      <c r="Q70" s="17"/>
      <c r="R70" s="25" t="str">
        <f>HYPERLINK("https://ictv.global/taxonomy/taxondetails?taxnode_id=202301432","Simplexvirus macropodidalpha1")</f>
        <v>Simplexvirus macropodidalpha1</v>
      </c>
      <c r="S70" s="18" t="s">
        <v>30</v>
      </c>
      <c r="T70" s="18" t="s">
        <v>311</v>
      </c>
      <c r="U70" s="18" t="s">
        <v>312</v>
      </c>
      <c r="V70" s="18" t="s">
        <v>313</v>
      </c>
      <c r="W70" s="18" t="s">
        <v>314</v>
      </c>
      <c r="X70" s="18" t="s">
        <v>42</v>
      </c>
      <c r="Y70" s="18" t="s">
        <v>36</v>
      </c>
      <c r="Z70" s="18" t="s">
        <v>166</v>
      </c>
      <c r="AA70" s="21" t="str">
        <f>HYPERLINK("https://www.ncbi.nlm.nih.gov/nuccore/KT594769","NCBI Nucleotide")</f>
        <v>NCBI Nucleotide</v>
      </c>
    </row>
    <row r="71" spans="1:27" x14ac:dyDescent="0.35">
      <c r="A71">
        <v>1000070</v>
      </c>
      <c r="B71">
        <v>70</v>
      </c>
      <c r="C71">
        <v>1</v>
      </c>
      <c r="D71" s="17" t="s">
        <v>155</v>
      </c>
      <c r="E71" s="17"/>
      <c r="F71" s="17" t="s">
        <v>156</v>
      </c>
      <c r="G71" s="17"/>
      <c r="H71" s="17" t="s">
        <v>157</v>
      </c>
      <c r="I71" s="17"/>
      <c r="J71" s="17" t="s">
        <v>158</v>
      </c>
      <c r="K71" s="17"/>
      <c r="L71" s="17" t="s">
        <v>159</v>
      </c>
      <c r="M71" s="17"/>
      <c r="N71" s="17" t="s">
        <v>227</v>
      </c>
      <c r="O71" s="17" t="s">
        <v>228</v>
      </c>
      <c r="P71" s="17" t="s">
        <v>278</v>
      </c>
      <c r="Q71" s="17"/>
      <c r="R71" s="25" t="str">
        <f>HYPERLINK("https://ictv.global/taxonomy/taxondetails?taxnode_id=202301433","Simplexvirus macropodidalpha2")</f>
        <v>Simplexvirus macropodidalpha2</v>
      </c>
      <c r="S71" s="18" t="s">
        <v>30</v>
      </c>
      <c r="T71" s="18" t="s">
        <v>315</v>
      </c>
      <c r="U71" s="18" t="s">
        <v>316</v>
      </c>
      <c r="V71" s="18" t="s">
        <v>317</v>
      </c>
      <c r="W71" s="18" t="s">
        <v>318</v>
      </c>
      <c r="X71" s="18" t="s">
        <v>42</v>
      </c>
      <c r="Y71" s="18" t="s">
        <v>36</v>
      </c>
      <c r="Z71" s="18" t="s">
        <v>166</v>
      </c>
      <c r="AA71" s="21" t="str">
        <f>HYPERLINK("https://www.ncbi.nlm.nih.gov/nuccore/MT900475","NCBI Nucleotide")</f>
        <v>NCBI Nucleotide</v>
      </c>
    </row>
    <row r="72" spans="1:27" x14ac:dyDescent="0.35">
      <c r="A72">
        <v>1000071</v>
      </c>
      <c r="B72">
        <v>71</v>
      </c>
      <c r="C72">
        <v>1</v>
      </c>
      <c r="D72" s="17" t="s">
        <v>155</v>
      </c>
      <c r="E72" s="17"/>
      <c r="F72" s="17" t="s">
        <v>156</v>
      </c>
      <c r="G72" s="17"/>
      <c r="H72" s="17" t="s">
        <v>157</v>
      </c>
      <c r="I72" s="17"/>
      <c r="J72" s="17" t="s">
        <v>158</v>
      </c>
      <c r="K72" s="17"/>
      <c r="L72" s="17" t="s">
        <v>159</v>
      </c>
      <c r="M72" s="17"/>
      <c r="N72" s="17" t="s">
        <v>227</v>
      </c>
      <c r="O72" s="17" t="s">
        <v>228</v>
      </c>
      <c r="P72" s="17" t="s">
        <v>278</v>
      </c>
      <c r="Q72" s="17"/>
      <c r="R72" s="25" t="str">
        <f>HYPERLINK("https://ictv.global/taxonomy/taxondetails?taxnode_id=202314015","Simplexvirus macropodidalpha4")</f>
        <v>Simplexvirus macropodidalpha4</v>
      </c>
      <c r="S72" s="18" t="s">
        <v>30</v>
      </c>
      <c r="T72" s="18" t="s">
        <v>319</v>
      </c>
      <c r="U72" s="18" t="s">
        <v>320</v>
      </c>
      <c r="V72" s="18" t="s">
        <v>321</v>
      </c>
      <c r="W72" s="18" t="s">
        <v>322</v>
      </c>
      <c r="X72" s="18" t="s">
        <v>42</v>
      </c>
      <c r="Y72" s="18" t="s">
        <v>36</v>
      </c>
      <c r="Z72" s="18" t="s">
        <v>166</v>
      </c>
      <c r="AA72" s="21" t="str">
        <f>HYPERLINK("https://www.ncbi.nlm.nih.gov/nuccore/MT900474","NCBI Nucleotide")</f>
        <v>NCBI Nucleotide</v>
      </c>
    </row>
    <row r="73" spans="1:27" x14ac:dyDescent="0.35">
      <c r="A73">
        <v>1000072</v>
      </c>
      <c r="B73">
        <v>72</v>
      </c>
      <c r="C73">
        <v>1</v>
      </c>
      <c r="D73" s="17" t="s">
        <v>155</v>
      </c>
      <c r="E73" s="17"/>
      <c r="F73" s="17" t="s">
        <v>156</v>
      </c>
      <c r="G73" s="17"/>
      <c r="H73" s="17" t="s">
        <v>157</v>
      </c>
      <c r="I73" s="17"/>
      <c r="J73" s="17" t="s">
        <v>158</v>
      </c>
      <c r="K73" s="17"/>
      <c r="L73" s="17" t="s">
        <v>159</v>
      </c>
      <c r="M73" s="17"/>
      <c r="N73" s="17" t="s">
        <v>227</v>
      </c>
      <c r="O73" s="17" t="s">
        <v>228</v>
      </c>
      <c r="P73" s="17" t="s">
        <v>278</v>
      </c>
      <c r="Q73" s="17"/>
      <c r="R73" s="25" t="str">
        <f>HYPERLINK("https://ictv.global/taxonomy/taxondetails?taxnode_id=202301434","Simplexvirus paninealpha3")</f>
        <v>Simplexvirus paninealpha3</v>
      </c>
      <c r="S73" s="18" t="s">
        <v>30</v>
      </c>
      <c r="T73" s="18" t="s">
        <v>323</v>
      </c>
      <c r="U73" s="18" t="s">
        <v>324</v>
      </c>
      <c r="V73" s="18">
        <v>105640</v>
      </c>
      <c r="W73" s="18" t="s">
        <v>325</v>
      </c>
      <c r="X73" s="18" t="s">
        <v>42</v>
      </c>
      <c r="Y73" s="18" t="s">
        <v>36</v>
      </c>
      <c r="Z73" s="18" t="s">
        <v>166</v>
      </c>
      <c r="AA73" s="21" t="str">
        <f>HYPERLINK("https://www.ncbi.nlm.nih.gov/nuccore/JQ360576","NCBI Nucleotide")</f>
        <v>NCBI Nucleotide</v>
      </c>
    </row>
    <row r="74" spans="1:27" x14ac:dyDescent="0.35">
      <c r="A74">
        <v>1000073</v>
      </c>
      <c r="B74">
        <v>73</v>
      </c>
      <c r="C74">
        <v>1</v>
      </c>
      <c r="D74" s="17" t="s">
        <v>155</v>
      </c>
      <c r="E74" s="17"/>
      <c r="F74" s="17" t="s">
        <v>156</v>
      </c>
      <c r="G74" s="17"/>
      <c r="H74" s="17" t="s">
        <v>157</v>
      </c>
      <c r="I74" s="17"/>
      <c r="J74" s="17" t="s">
        <v>158</v>
      </c>
      <c r="K74" s="17"/>
      <c r="L74" s="17" t="s">
        <v>159</v>
      </c>
      <c r="M74" s="17"/>
      <c r="N74" s="17" t="s">
        <v>227</v>
      </c>
      <c r="O74" s="17" t="s">
        <v>228</v>
      </c>
      <c r="P74" s="17" t="s">
        <v>278</v>
      </c>
      <c r="Q74" s="17"/>
      <c r="R74" s="25" t="str">
        <f>HYPERLINK("https://ictv.global/taxonomy/taxondetails?taxnode_id=202301435","Simplexvirus papiinealpha2")</f>
        <v>Simplexvirus papiinealpha2</v>
      </c>
      <c r="S74" s="18" t="s">
        <v>30</v>
      </c>
      <c r="T74" s="18" t="s">
        <v>326</v>
      </c>
      <c r="U74" s="18" t="s">
        <v>327</v>
      </c>
      <c r="V74" s="18" t="s">
        <v>328</v>
      </c>
      <c r="W74" s="18" t="s">
        <v>329</v>
      </c>
      <c r="X74" s="18" t="s">
        <v>42</v>
      </c>
      <c r="Y74" s="18" t="s">
        <v>36</v>
      </c>
      <c r="Z74" s="18" t="s">
        <v>166</v>
      </c>
      <c r="AA74" s="21" t="str">
        <f>HYPERLINK("https://www.ncbi.nlm.nih.gov/nuccore/DQ149153","NCBI Nucleotide")</f>
        <v>NCBI Nucleotide</v>
      </c>
    </row>
    <row r="75" spans="1:27" x14ac:dyDescent="0.35">
      <c r="A75">
        <v>1000074</v>
      </c>
      <c r="B75">
        <v>74</v>
      </c>
      <c r="C75">
        <v>1</v>
      </c>
      <c r="D75" s="17" t="s">
        <v>155</v>
      </c>
      <c r="E75" s="17"/>
      <c r="F75" s="17" t="s">
        <v>156</v>
      </c>
      <c r="G75" s="17"/>
      <c r="H75" s="17" t="s">
        <v>157</v>
      </c>
      <c r="I75" s="17"/>
      <c r="J75" s="17" t="s">
        <v>158</v>
      </c>
      <c r="K75" s="17"/>
      <c r="L75" s="17" t="s">
        <v>159</v>
      </c>
      <c r="M75" s="17"/>
      <c r="N75" s="17" t="s">
        <v>227</v>
      </c>
      <c r="O75" s="17" t="s">
        <v>228</v>
      </c>
      <c r="P75" s="17" t="s">
        <v>278</v>
      </c>
      <c r="Q75" s="17"/>
      <c r="R75" s="25" t="str">
        <f>HYPERLINK("https://ictv.global/taxonomy/taxondetails?taxnode_id=202306395","Simplexvirus pteropodidalpha1")</f>
        <v>Simplexvirus pteropodidalpha1</v>
      </c>
      <c r="S75" s="18" t="s">
        <v>30</v>
      </c>
      <c r="T75" s="18" t="s">
        <v>330</v>
      </c>
      <c r="U75" s="18" t="s">
        <v>331</v>
      </c>
      <c r="V75" s="18"/>
      <c r="W75" s="18" t="s">
        <v>332</v>
      </c>
      <c r="X75" s="18" t="s">
        <v>42</v>
      </c>
      <c r="Y75" s="18" t="s">
        <v>36</v>
      </c>
      <c r="Z75" s="18" t="s">
        <v>166</v>
      </c>
      <c r="AA75" s="21" t="str">
        <f>HYPERLINK("https://www.ncbi.nlm.nih.gov/nuccore/AB825953","NCBI Nucleotide")</f>
        <v>NCBI Nucleotide</v>
      </c>
    </row>
    <row r="76" spans="1:27" x14ac:dyDescent="0.35">
      <c r="A76">
        <v>1000075</v>
      </c>
      <c r="B76">
        <v>75</v>
      </c>
      <c r="C76">
        <v>1</v>
      </c>
      <c r="D76" s="17" t="s">
        <v>155</v>
      </c>
      <c r="E76" s="17"/>
      <c r="F76" s="17" t="s">
        <v>156</v>
      </c>
      <c r="G76" s="17"/>
      <c r="H76" s="17" t="s">
        <v>157</v>
      </c>
      <c r="I76" s="17"/>
      <c r="J76" s="17" t="s">
        <v>158</v>
      </c>
      <c r="K76" s="17"/>
      <c r="L76" s="17" t="s">
        <v>159</v>
      </c>
      <c r="M76" s="17"/>
      <c r="N76" s="17" t="s">
        <v>227</v>
      </c>
      <c r="O76" s="17" t="s">
        <v>228</v>
      </c>
      <c r="P76" s="17" t="s">
        <v>278</v>
      </c>
      <c r="Q76" s="17"/>
      <c r="R76" s="25" t="str">
        <f>HYPERLINK("https://ictv.global/taxonomy/taxondetails?taxnode_id=202314016","Simplexvirus pteropodidalpha2")</f>
        <v>Simplexvirus pteropodidalpha2</v>
      </c>
      <c r="S76" s="18" t="s">
        <v>30</v>
      </c>
      <c r="T76" s="18" t="s">
        <v>333</v>
      </c>
      <c r="U76" s="18" t="s">
        <v>334</v>
      </c>
      <c r="V76" s="18"/>
      <c r="W76" s="18" t="s">
        <v>335</v>
      </c>
      <c r="X76" s="18" t="s">
        <v>42</v>
      </c>
      <c r="Y76" s="18" t="s">
        <v>36</v>
      </c>
      <c r="Z76" s="18" t="s">
        <v>166</v>
      </c>
      <c r="AA76" s="21" t="str">
        <f>HYPERLINK("https://www.ncbi.nlm.nih.gov/nuccore/LC492974","NCBI Nucleotide")</f>
        <v>NCBI Nucleotide</v>
      </c>
    </row>
    <row r="77" spans="1:27" x14ac:dyDescent="0.35">
      <c r="A77">
        <v>1000076</v>
      </c>
      <c r="B77">
        <v>76</v>
      </c>
      <c r="C77">
        <v>1</v>
      </c>
      <c r="D77" s="17" t="s">
        <v>155</v>
      </c>
      <c r="E77" s="17"/>
      <c r="F77" s="17" t="s">
        <v>156</v>
      </c>
      <c r="G77" s="17"/>
      <c r="H77" s="17" t="s">
        <v>157</v>
      </c>
      <c r="I77" s="17"/>
      <c r="J77" s="17" t="s">
        <v>158</v>
      </c>
      <c r="K77" s="17"/>
      <c r="L77" s="17" t="s">
        <v>159</v>
      </c>
      <c r="M77" s="17"/>
      <c r="N77" s="17" t="s">
        <v>227</v>
      </c>
      <c r="O77" s="17" t="s">
        <v>228</v>
      </c>
      <c r="P77" s="17" t="s">
        <v>278</v>
      </c>
      <c r="Q77" s="17"/>
      <c r="R77" s="25" t="str">
        <f>HYPERLINK("https://ictv.global/taxonomy/taxondetails?taxnode_id=202301436","Simplexvirus saimiriinealpha1")</f>
        <v>Simplexvirus saimiriinealpha1</v>
      </c>
      <c r="S77" s="18" t="s">
        <v>30</v>
      </c>
      <c r="T77" s="18" t="s">
        <v>336</v>
      </c>
      <c r="U77" s="18" t="s">
        <v>337</v>
      </c>
      <c r="V77" s="18" t="s">
        <v>338</v>
      </c>
      <c r="W77" s="18" t="s">
        <v>339</v>
      </c>
      <c r="X77" s="18" t="s">
        <v>42</v>
      </c>
      <c r="Y77" s="18" t="s">
        <v>36</v>
      </c>
      <c r="Z77" s="18" t="s">
        <v>166</v>
      </c>
      <c r="AA77" s="21" t="str">
        <f>HYPERLINK("https://www.ncbi.nlm.nih.gov/nuccore/HM625781","NCBI Nucleotide")</f>
        <v>NCBI Nucleotide</v>
      </c>
    </row>
    <row r="78" spans="1:27" x14ac:dyDescent="0.35">
      <c r="A78">
        <v>1000077</v>
      </c>
      <c r="B78">
        <v>77</v>
      </c>
      <c r="C78">
        <v>1</v>
      </c>
      <c r="D78" s="17" t="s">
        <v>155</v>
      </c>
      <c r="E78" s="17"/>
      <c r="F78" s="17" t="s">
        <v>156</v>
      </c>
      <c r="G78" s="17"/>
      <c r="H78" s="17" t="s">
        <v>157</v>
      </c>
      <c r="I78" s="17"/>
      <c r="J78" s="17" t="s">
        <v>158</v>
      </c>
      <c r="K78" s="17"/>
      <c r="L78" s="17" t="s">
        <v>159</v>
      </c>
      <c r="M78" s="17"/>
      <c r="N78" s="17" t="s">
        <v>227</v>
      </c>
      <c r="O78" s="17" t="s">
        <v>228</v>
      </c>
      <c r="P78" s="17" t="s">
        <v>340</v>
      </c>
      <c r="Q78" s="17"/>
      <c r="R78" s="25" t="str">
        <f>HYPERLINK("https://ictv.global/taxonomy/taxondetails?taxnode_id=202301440","Varicellovirus bovinealpha1")</f>
        <v>Varicellovirus bovinealpha1</v>
      </c>
      <c r="S78" s="18" t="s">
        <v>30</v>
      </c>
      <c r="T78" s="18" t="s">
        <v>341</v>
      </c>
      <c r="U78" s="18" t="s">
        <v>342</v>
      </c>
      <c r="V78" s="18" t="s">
        <v>343</v>
      </c>
      <c r="W78" s="18" t="s">
        <v>344</v>
      </c>
      <c r="X78" s="18" t="s">
        <v>42</v>
      </c>
      <c r="Y78" s="18" t="s">
        <v>36</v>
      </c>
      <c r="Z78" s="18" t="s">
        <v>166</v>
      </c>
      <c r="AA78" s="21" t="str">
        <f>HYPERLINK("https://www.ncbi.nlm.nih.gov/nuccore/JX898220","NCBI Nucleotide")</f>
        <v>NCBI Nucleotide</v>
      </c>
    </row>
    <row r="79" spans="1:27" x14ac:dyDescent="0.35">
      <c r="A79">
        <v>1000078</v>
      </c>
      <c r="B79">
        <v>78</v>
      </c>
      <c r="C79">
        <v>1</v>
      </c>
      <c r="D79" s="17" t="s">
        <v>155</v>
      </c>
      <c r="E79" s="17"/>
      <c r="F79" s="17" t="s">
        <v>156</v>
      </c>
      <c r="G79" s="17"/>
      <c r="H79" s="17" t="s">
        <v>157</v>
      </c>
      <c r="I79" s="17"/>
      <c r="J79" s="17" t="s">
        <v>158</v>
      </c>
      <c r="K79" s="17"/>
      <c r="L79" s="17" t="s">
        <v>159</v>
      </c>
      <c r="M79" s="17"/>
      <c r="N79" s="17" t="s">
        <v>227</v>
      </c>
      <c r="O79" s="17" t="s">
        <v>228</v>
      </c>
      <c r="P79" s="17" t="s">
        <v>340</v>
      </c>
      <c r="Q79" s="17"/>
      <c r="R79" s="25" t="str">
        <f>HYPERLINK("https://ictv.global/taxonomy/taxondetails?taxnode_id=202301441","Varicellovirus bovinealpha5")</f>
        <v>Varicellovirus bovinealpha5</v>
      </c>
      <c r="S79" s="18" t="s">
        <v>30</v>
      </c>
      <c r="T79" s="18" t="s">
        <v>345</v>
      </c>
      <c r="U79" s="18" t="s">
        <v>346</v>
      </c>
      <c r="V79" s="18" t="s">
        <v>347</v>
      </c>
      <c r="W79" s="18" t="s">
        <v>348</v>
      </c>
      <c r="X79" s="18" t="s">
        <v>42</v>
      </c>
      <c r="Y79" s="18" t="s">
        <v>36</v>
      </c>
      <c r="Z79" s="18" t="s">
        <v>166</v>
      </c>
      <c r="AA79" s="21" t="str">
        <f>HYPERLINK("https://www.ncbi.nlm.nih.gov/nuccore/AY261359","NCBI Nucleotide")</f>
        <v>NCBI Nucleotide</v>
      </c>
    </row>
    <row r="80" spans="1:27" x14ac:dyDescent="0.35">
      <c r="A80">
        <v>1000079</v>
      </c>
      <c r="B80">
        <v>79</v>
      </c>
      <c r="C80">
        <v>1</v>
      </c>
      <c r="D80" s="17" t="s">
        <v>155</v>
      </c>
      <c r="E80" s="17"/>
      <c r="F80" s="17" t="s">
        <v>156</v>
      </c>
      <c r="G80" s="17"/>
      <c r="H80" s="17" t="s">
        <v>157</v>
      </c>
      <c r="I80" s="17"/>
      <c r="J80" s="17" t="s">
        <v>158</v>
      </c>
      <c r="K80" s="17"/>
      <c r="L80" s="17" t="s">
        <v>159</v>
      </c>
      <c r="M80" s="17"/>
      <c r="N80" s="17" t="s">
        <v>227</v>
      </c>
      <c r="O80" s="17" t="s">
        <v>228</v>
      </c>
      <c r="P80" s="17" t="s">
        <v>340</v>
      </c>
      <c r="Q80" s="17"/>
      <c r="R80" s="25" t="str">
        <f>HYPERLINK("https://ictv.global/taxonomy/taxondetails?taxnode_id=202301442","Varicellovirus bubalinealpha1")</f>
        <v>Varicellovirus bubalinealpha1</v>
      </c>
      <c r="S80" s="18" t="s">
        <v>30</v>
      </c>
      <c r="T80" s="18" t="s">
        <v>349</v>
      </c>
      <c r="U80" s="18" t="s">
        <v>350</v>
      </c>
      <c r="V80" s="18" t="s">
        <v>351</v>
      </c>
      <c r="W80" s="18" t="s">
        <v>352</v>
      </c>
      <c r="X80" s="18" t="s">
        <v>42</v>
      </c>
      <c r="Y80" s="18" t="s">
        <v>36</v>
      </c>
      <c r="Z80" s="18" t="s">
        <v>166</v>
      </c>
      <c r="AA80" s="21" t="str">
        <f>HYPERLINK("https://www.ncbi.nlm.nih.gov/nuccore/KU936049","NCBI Nucleotide")</f>
        <v>NCBI Nucleotide</v>
      </c>
    </row>
    <row r="81" spans="1:27" x14ac:dyDescent="0.35">
      <c r="A81">
        <v>1000080</v>
      </c>
      <c r="B81">
        <v>80</v>
      </c>
      <c r="C81">
        <v>1</v>
      </c>
      <c r="D81" s="17" t="s">
        <v>155</v>
      </c>
      <c r="E81" s="17"/>
      <c r="F81" s="17" t="s">
        <v>156</v>
      </c>
      <c r="G81" s="17"/>
      <c r="H81" s="17" t="s">
        <v>157</v>
      </c>
      <c r="I81" s="17"/>
      <c r="J81" s="17" t="s">
        <v>158</v>
      </c>
      <c r="K81" s="17"/>
      <c r="L81" s="17" t="s">
        <v>159</v>
      </c>
      <c r="M81" s="17"/>
      <c r="N81" s="17" t="s">
        <v>227</v>
      </c>
      <c r="O81" s="17" t="s">
        <v>228</v>
      </c>
      <c r="P81" s="17" t="s">
        <v>340</v>
      </c>
      <c r="Q81" s="17"/>
      <c r="R81" s="25" t="str">
        <f>HYPERLINK("https://ictv.global/taxonomy/taxondetails?taxnode_id=202301443","Varicellovirus canidalpha1")</f>
        <v>Varicellovirus canidalpha1</v>
      </c>
      <c r="S81" s="18" t="s">
        <v>30</v>
      </c>
      <c r="T81" s="18" t="s">
        <v>353</v>
      </c>
      <c r="U81" s="18" t="s">
        <v>354</v>
      </c>
      <c r="V81" s="18">
        <v>194</v>
      </c>
      <c r="W81" s="18" t="s">
        <v>355</v>
      </c>
      <c r="X81" s="18" t="s">
        <v>42</v>
      </c>
      <c r="Y81" s="18" t="s">
        <v>36</v>
      </c>
      <c r="Z81" s="18" t="s">
        <v>166</v>
      </c>
      <c r="AA81" s="21" t="str">
        <f>HYPERLINK("https://www.ncbi.nlm.nih.gov/nuccore/KT819633","NCBI Nucleotide")</f>
        <v>NCBI Nucleotide</v>
      </c>
    </row>
    <row r="82" spans="1:27" x14ac:dyDescent="0.35">
      <c r="A82">
        <v>1000081</v>
      </c>
      <c r="B82">
        <v>81</v>
      </c>
      <c r="C82">
        <v>1</v>
      </c>
      <c r="D82" s="17" t="s">
        <v>155</v>
      </c>
      <c r="E82" s="17"/>
      <c r="F82" s="17" t="s">
        <v>156</v>
      </c>
      <c r="G82" s="17"/>
      <c r="H82" s="17" t="s">
        <v>157</v>
      </c>
      <c r="I82" s="17"/>
      <c r="J82" s="17" t="s">
        <v>158</v>
      </c>
      <c r="K82" s="17"/>
      <c r="L82" s="17" t="s">
        <v>159</v>
      </c>
      <c r="M82" s="17"/>
      <c r="N82" s="17" t="s">
        <v>227</v>
      </c>
      <c r="O82" s="17" t="s">
        <v>228</v>
      </c>
      <c r="P82" s="17" t="s">
        <v>340</v>
      </c>
      <c r="Q82" s="17"/>
      <c r="R82" s="25" t="str">
        <f>HYPERLINK("https://ictv.global/taxonomy/taxondetails?taxnode_id=202301444","Varicellovirus caprinealpha1")</f>
        <v>Varicellovirus caprinealpha1</v>
      </c>
      <c r="S82" s="18" t="s">
        <v>30</v>
      </c>
      <c r="T82" s="18" t="s">
        <v>356</v>
      </c>
      <c r="U82" s="18" t="s">
        <v>357</v>
      </c>
      <c r="V82" s="18" t="s">
        <v>358</v>
      </c>
      <c r="W82" s="18" t="s">
        <v>359</v>
      </c>
      <c r="X82" s="18" t="s">
        <v>42</v>
      </c>
      <c r="Y82" s="18" t="s">
        <v>36</v>
      </c>
      <c r="Z82" s="18" t="s">
        <v>166</v>
      </c>
      <c r="AA82" s="21" t="str">
        <f>HYPERLINK("https://www.ncbi.nlm.nih.gov/nuccore/MG989243","NCBI Nucleotide")</f>
        <v>NCBI Nucleotide</v>
      </c>
    </row>
    <row r="83" spans="1:27" x14ac:dyDescent="0.35">
      <c r="A83">
        <v>1000082</v>
      </c>
      <c r="B83">
        <v>82</v>
      </c>
      <c r="C83">
        <v>1</v>
      </c>
      <c r="D83" s="17" t="s">
        <v>155</v>
      </c>
      <c r="E83" s="17"/>
      <c r="F83" s="17" t="s">
        <v>156</v>
      </c>
      <c r="G83" s="17"/>
      <c r="H83" s="17" t="s">
        <v>157</v>
      </c>
      <c r="I83" s="17"/>
      <c r="J83" s="17" t="s">
        <v>158</v>
      </c>
      <c r="K83" s="17"/>
      <c r="L83" s="17" t="s">
        <v>159</v>
      </c>
      <c r="M83" s="17"/>
      <c r="N83" s="17" t="s">
        <v>227</v>
      </c>
      <c r="O83" s="17" t="s">
        <v>228</v>
      </c>
      <c r="P83" s="17" t="s">
        <v>340</v>
      </c>
      <c r="Q83" s="17"/>
      <c r="R83" s="25" t="str">
        <f>HYPERLINK("https://ictv.global/taxonomy/taxondetails?taxnode_id=202301445","Varicellovirus cercopithecinealpha9")</f>
        <v>Varicellovirus cercopithecinealpha9</v>
      </c>
      <c r="S83" s="18" t="s">
        <v>30</v>
      </c>
      <c r="T83" s="18" t="s">
        <v>360</v>
      </c>
      <c r="U83" s="18" t="s">
        <v>361</v>
      </c>
      <c r="V83" s="18" t="s">
        <v>362</v>
      </c>
      <c r="W83" s="18" t="s">
        <v>363</v>
      </c>
      <c r="X83" s="18" t="s">
        <v>42</v>
      </c>
      <c r="Y83" s="18" t="s">
        <v>36</v>
      </c>
      <c r="Z83" s="18" t="s">
        <v>166</v>
      </c>
      <c r="AA83" s="21" t="str">
        <f>HYPERLINK("https://www.ncbi.nlm.nih.gov/nuccore/AF275348","NCBI Nucleotide")</f>
        <v>NCBI Nucleotide</v>
      </c>
    </row>
    <row r="84" spans="1:27" x14ac:dyDescent="0.35">
      <c r="A84">
        <v>1000083</v>
      </c>
      <c r="B84">
        <v>83</v>
      </c>
      <c r="C84">
        <v>1</v>
      </c>
      <c r="D84" s="17" t="s">
        <v>155</v>
      </c>
      <c r="E84" s="17"/>
      <c r="F84" s="17" t="s">
        <v>156</v>
      </c>
      <c r="G84" s="17"/>
      <c r="H84" s="17" t="s">
        <v>157</v>
      </c>
      <c r="I84" s="17"/>
      <c r="J84" s="17" t="s">
        <v>158</v>
      </c>
      <c r="K84" s="17"/>
      <c r="L84" s="17" t="s">
        <v>159</v>
      </c>
      <c r="M84" s="17"/>
      <c r="N84" s="17" t="s">
        <v>227</v>
      </c>
      <c r="O84" s="17" t="s">
        <v>228</v>
      </c>
      <c r="P84" s="17" t="s">
        <v>340</v>
      </c>
      <c r="Q84" s="17"/>
      <c r="R84" s="25" t="str">
        <f>HYPERLINK("https://ictv.global/taxonomy/taxondetails?taxnode_id=202301446","Varicellovirus cervidalpha1")</f>
        <v>Varicellovirus cervidalpha1</v>
      </c>
      <c r="S84" s="18" t="s">
        <v>30</v>
      </c>
      <c r="T84" s="18" t="s">
        <v>364</v>
      </c>
      <c r="U84" s="18" t="s">
        <v>365</v>
      </c>
      <c r="V84" s="18" t="s">
        <v>366</v>
      </c>
      <c r="W84" s="18" t="s">
        <v>367</v>
      </c>
      <c r="X84" s="18" t="s">
        <v>42</v>
      </c>
      <c r="Y84" s="18" t="s">
        <v>36</v>
      </c>
      <c r="Z84" s="18" t="s">
        <v>166</v>
      </c>
      <c r="AA84" s="21" t="str">
        <f>HYPERLINK("https://www.ncbi.nlm.nih.gov/nuccore/MH036942","NCBI Nucleotide")</f>
        <v>NCBI Nucleotide</v>
      </c>
    </row>
    <row r="85" spans="1:27" x14ac:dyDescent="0.35">
      <c r="A85">
        <v>1000084</v>
      </c>
      <c r="B85">
        <v>84</v>
      </c>
      <c r="C85">
        <v>1</v>
      </c>
      <c r="D85" s="17" t="s">
        <v>155</v>
      </c>
      <c r="E85" s="17"/>
      <c r="F85" s="17" t="s">
        <v>156</v>
      </c>
      <c r="G85" s="17"/>
      <c r="H85" s="17" t="s">
        <v>157</v>
      </c>
      <c r="I85" s="17"/>
      <c r="J85" s="17" t="s">
        <v>158</v>
      </c>
      <c r="K85" s="17"/>
      <c r="L85" s="17" t="s">
        <v>159</v>
      </c>
      <c r="M85" s="17"/>
      <c r="N85" s="17" t="s">
        <v>227</v>
      </c>
      <c r="O85" s="17" t="s">
        <v>228</v>
      </c>
      <c r="P85" s="17" t="s">
        <v>340</v>
      </c>
      <c r="Q85" s="17"/>
      <c r="R85" s="25" t="str">
        <f>HYPERLINK("https://ictv.global/taxonomy/taxondetails?taxnode_id=202301447","Varicellovirus cervidalpha2")</f>
        <v>Varicellovirus cervidalpha2</v>
      </c>
      <c r="S85" s="18" t="s">
        <v>30</v>
      </c>
      <c r="T85" s="18" t="s">
        <v>368</v>
      </c>
      <c r="U85" s="18" t="s">
        <v>369</v>
      </c>
      <c r="V85" s="18" t="s">
        <v>370</v>
      </c>
      <c r="W85" s="18" t="s">
        <v>371</v>
      </c>
      <c r="X85" s="18" t="s">
        <v>42</v>
      </c>
      <c r="Y85" s="18" t="s">
        <v>36</v>
      </c>
      <c r="Z85" s="18" t="s">
        <v>166</v>
      </c>
      <c r="AA85" s="21" t="str">
        <f>HYPERLINK("https://www.ncbi.nlm.nih.gov/nuccore/MH036943","NCBI Nucleotide")</f>
        <v>NCBI Nucleotide</v>
      </c>
    </row>
    <row r="86" spans="1:27" x14ac:dyDescent="0.35">
      <c r="A86">
        <v>1000085</v>
      </c>
      <c r="B86">
        <v>85</v>
      </c>
      <c r="C86">
        <v>1</v>
      </c>
      <c r="D86" s="17" t="s">
        <v>155</v>
      </c>
      <c r="E86" s="17"/>
      <c r="F86" s="17" t="s">
        <v>156</v>
      </c>
      <c r="G86" s="17"/>
      <c r="H86" s="17" t="s">
        <v>157</v>
      </c>
      <c r="I86" s="17"/>
      <c r="J86" s="17" t="s">
        <v>158</v>
      </c>
      <c r="K86" s="17"/>
      <c r="L86" s="17" t="s">
        <v>159</v>
      </c>
      <c r="M86" s="17"/>
      <c r="N86" s="17" t="s">
        <v>227</v>
      </c>
      <c r="O86" s="17" t="s">
        <v>228</v>
      </c>
      <c r="P86" s="17" t="s">
        <v>340</v>
      </c>
      <c r="Q86" s="17"/>
      <c r="R86" s="25" t="str">
        <f>HYPERLINK("https://ictv.global/taxonomy/taxondetails?taxnode_id=202309143","Varicellovirus cervidalpha3")</f>
        <v>Varicellovirus cervidalpha3</v>
      </c>
      <c r="S86" s="18" t="s">
        <v>30</v>
      </c>
      <c r="T86" s="18" t="s">
        <v>372</v>
      </c>
      <c r="U86" s="18" t="s">
        <v>373</v>
      </c>
      <c r="V86" s="18" t="s">
        <v>374</v>
      </c>
      <c r="W86" s="18" t="s">
        <v>375</v>
      </c>
      <c r="X86" s="18" t="s">
        <v>154</v>
      </c>
      <c r="Y86" s="18" t="s">
        <v>36</v>
      </c>
      <c r="Z86" s="18" t="s">
        <v>166</v>
      </c>
      <c r="AA86" s="21" t="str">
        <f>HYPERLINK("https://www.ncbi.nlm.nih.gov/nuccore/MH036941","NCBI Nucleotide")</f>
        <v>NCBI Nucleotide</v>
      </c>
    </row>
    <row r="87" spans="1:27" x14ac:dyDescent="0.35">
      <c r="A87">
        <v>1000086</v>
      </c>
      <c r="B87">
        <v>86</v>
      </c>
      <c r="C87">
        <v>1</v>
      </c>
      <c r="D87" s="17" t="s">
        <v>155</v>
      </c>
      <c r="E87" s="17"/>
      <c r="F87" s="17" t="s">
        <v>156</v>
      </c>
      <c r="G87" s="17"/>
      <c r="H87" s="17" t="s">
        <v>157</v>
      </c>
      <c r="I87" s="17"/>
      <c r="J87" s="17" t="s">
        <v>158</v>
      </c>
      <c r="K87" s="17"/>
      <c r="L87" s="17" t="s">
        <v>159</v>
      </c>
      <c r="M87" s="17"/>
      <c r="N87" s="17" t="s">
        <v>227</v>
      </c>
      <c r="O87" s="17" t="s">
        <v>228</v>
      </c>
      <c r="P87" s="17" t="s">
        <v>340</v>
      </c>
      <c r="Q87" s="17"/>
      <c r="R87" s="25" t="str">
        <f>HYPERLINK("https://ictv.global/taxonomy/taxondetails?taxnode_id=202301448","Varicellovirus equidalpha1")</f>
        <v>Varicellovirus equidalpha1</v>
      </c>
      <c r="S87" s="18" t="s">
        <v>30</v>
      </c>
      <c r="T87" s="18" t="s">
        <v>376</v>
      </c>
      <c r="U87" s="18" t="s">
        <v>377</v>
      </c>
      <c r="V87" s="18" t="s">
        <v>378</v>
      </c>
      <c r="W87" s="18" t="s">
        <v>379</v>
      </c>
      <c r="X87" s="18" t="s">
        <v>42</v>
      </c>
      <c r="Y87" s="18" t="s">
        <v>36</v>
      </c>
      <c r="Z87" s="18" t="s">
        <v>166</v>
      </c>
      <c r="AA87" s="21" t="str">
        <f>HYPERLINK("https://www.ncbi.nlm.nih.gov/nuccore/AY665713","NCBI Nucleotide")</f>
        <v>NCBI Nucleotide</v>
      </c>
    </row>
    <row r="88" spans="1:27" x14ac:dyDescent="0.35">
      <c r="A88">
        <v>1000087</v>
      </c>
      <c r="B88">
        <v>87</v>
      </c>
      <c r="C88">
        <v>1</v>
      </c>
      <c r="D88" s="17" t="s">
        <v>155</v>
      </c>
      <c r="E88" s="17"/>
      <c r="F88" s="17" t="s">
        <v>156</v>
      </c>
      <c r="G88" s="17"/>
      <c r="H88" s="17" t="s">
        <v>157</v>
      </c>
      <c r="I88" s="17"/>
      <c r="J88" s="17" t="s">
        <v>158</v>
      </c>
      <c r="K88" s="17"/>
      <c r="L88" s="17" t="s">
        <v>159</v>
      </c>
      <c r="M88" s="17"/>
      <c r="N88" s="17" t="s">
        <v>227</v>
      </c>
      <c r="O88" s="17" t="s">
        <v>228</v>
      </c>
      <c r="P88" s="17" t="s">
        <v>340</v>
      </c>
      <c r="Q88" s="17"/>
      <c r="R88" s="25" t="str">
        <f>HYPERLINK("https://ictv.global/taxonomy/taxondetails?taxnode_id=202301449","Varicellovirus equidalpha3")</f>
        <v>Varicellovirus equidalpha3</v>
      </c>
      <c r="S88" s="18" t="s">
        <v>30</v>
      </c>
      <c r="T88" s="18" t="s">
        <v>380</v>
      </c>
      <c r="U88" s="18" t="s">
        <v>381</v>
      </c>
      <c r="V88" s="18" t="s">
        <v>382</v>
      </c>
      <c r="W88" s="18" t="s">
        <v>383</v>
      </c>
      <c r="X88" s="18" t="s">
        <v>42</v>
      </c>
      <c r="Y88" s="18" t="s">
        <v>36</v>
      </c>
      <c r="Z88" s="18" t="s">
        <v>166</v>
      </c>
      <c r="AA88" s="21" t="str">
        <f>HYPERLINK("https://www.ncbi.nlm.nih.gov/nuccore/KM051845","NCBI Nucleotide")</f>
        <v>NCBI Nucleotide</v>
      </c>
    </row>
    <row r="89" spans="1:27" x14ac:dyDescent="0.35">
      <c r="A89">
        <v>1000088</v>
      </c>
      <c r="B89">
        <v>88</v>
      </c>
      <c r="C89">
        <v>1</v>
      </c>
      <c r="D89" s="17" t="s">
        <v>155</v>
      </c>
      <c r="E89" s="17"/>
      <c r="F89" s="17" t="s">
        <v>156</v>
      </c>
      <c r="G89" s="17"/>
      <c r="H89" s="17" t="s">
        <v>157</v>
      </c>
      <c r="I89" s="17"/>
      <c r="J89" s="17" t="s">
        <v>158</v>
      </c>
      <c r="K89" s="17"/>
      <c r="L89" s="17" t="s">
        <v>159</v>
      </c>
      <c r="M89" s="17"/>
      <c r="N89" s="17" t="s">
        <v>227</v>
      </c>
      <c r="O89" s="17" t="s">
        <v>228</v>
      </c>
      <c r="P89" s="17" t="s">
        <v>340</v>
      </c>
      <c r="Q89" s="17"/>
      <c r="R89" s="25" t="str">
        <f>HYPERLINK("https://ictv.global/taxonomy/taxondetails?taxnode_id=202301450","Varicellovirus equidalpha4")</f>
        <v>Varicellovirus equidalpha4</v>
      </c>
      <c r="S89" s="18" t="s">
        <v>30</v>
      </c>
      <c r="T89" s="18" t="s">
        <v>384</v>
      </c>
      <c r="U89" s="18" t="s">
        <v>385</v>
      </c>
      <c r="V89" s="18" t="s">
        <v>386</v>
      </c>
      <c r="W89" s="18" t="s">
        <v>387</v>
      </c>
      <c r="X89" s="18" t="s">
        <v>42</v>
      </c>
      <c r="Y89" s="18" t="s">
        <v>36</v>
      </c>
      <c r="Z89" s="18" t="s">
        <v>166</v>
      </c>
      <c r="AA89" s="21" t="str">
        <f>HYPERLINK("https://www.ncbi.nlm.nih.gov/nuccore/AF030027","NCBI Nucleotide")</f>
        <v>NCBI Nucleotide</v>
      </c>
    </row>
    <row r="90" spans="1:27" x14ac:dyDescent="0.35">
      <c r="A90">
        <v>1000089</v>
      </c>
      <c r="B90">
        <v>89</v>
      </c>
      <c r="C90">
        <v>1</v>
      </c>
      <c r="D90" s="17" t="s">
        <v>155</v>
      </c>
      <c r="E90" s="17"/>
      <c r="F90" s="17" t="s">
        <v>156</v>
      </c>
      <c r="G90" s="17"/>
      <c r="H90" s="17" t="s">
        <v>157</v>
      </c>
      <c r="I90" s="17"/>
      <c r="J90" s="17" t="s">
        <v>158</v>
      </c>
      <c r="K90" s="17"/>
      <c r="L90" s="17" t="s">
        <v>159</v>
      </c>
      <c r="M90" s="17"/>
      <c r="N90" s="17" t="s">
        <v>227</v>
      </c>
      <c r="O90" s="17" t="s">
        <v>228</v>
      </c>
      <c r="P90" s="17" t="s">
        <v>340</v>
      </c>
      <c r="Q90" s="17"/>
      <c r="R90" s="25" t="str">
        <f>HYPERLINK("https://ictv.global/taxonomy/taxondetails?taxnode_id=202314017","Varicellovirus equidalpha6")</f>
        <v>Varicellovirus equidalpha6</v>
      </c>
      <c r="S90" s="18" t="s">
        <v>30</v>
      </c>
      <c r="T90" s="18" t="s">
        <v>388</v>
      </c>
      <c r="U90" s="18" t="s">
        <v>389</v>
      </c>
      <c r="V90" s="18" t="s">
        <v>390</v>
      </c>
      <c r="W90" s="18" t="s">
        <v>391</v>
      </c>
      <c r="X90" s="18" t="s">
        <v>42</v>
      </c>
      <c r="Y90" s="18" t="s">
        <v>36</v>
      </c>
      <c r="Z90" s="18" t="s">
        <v>166</v>
      </c>
      <c r="AA90" s="21" t="str">
        <f>HYPERLINK("https://www.ncbi.nlm.nih.gov/nuccore/MT012704","NCBI Nucleotide")</f>
        <v>NCBI Nucleotide</v>
      </c>
    </row>
    <row r="91" spans="1:27" x14ac:dyDescent="0.35">
      <c r="A91">
        <v>1000090</v>
      </c>
      <c r="B91">
        <v>90</v>
      </c>
      <c r="C91">
        <v>1</v>
      </c>
      <c r="D91" s="17" t="s">
        <v>155</v>
      </c>
      <c r="E91" s="17"/>
      <c r="F91" s="17" t="s">
        <v>156</v>
      </c>
      <c r="G91" s="17"/>
      <c r="H91" s="17" t="s">
        <v>157</v>
      </c>
      <c r="I91" s="17"/>
      <c r="J91" s="17" t="s">
        <v>158</v>
      </c>
      <c r="K91" s="17"/>
      <c r="L91" s="17" t="s">
        <v>159</v>
      </c>
      <c r="M91" s="17"/>
      <c r="N91" s="17" t="s">
        <v>227</v>
      </c>
      <c r="O91" s="17" t="s">
        <v>228</v>
      </c>
      <c r="P91" s="17" t="s">
        <v>340</v>
      </c>
      <c r="Q91" s="17"/>
      <c r="R91" s="25" t="str">
        <f>HYPERLINK("https://ictv.global/taxonomy/taxondetails?taxnode_id=202301451","Varicellovirus equidalpha8")</f>
        <v>Varicellovirus equidalpha8</v>
      </c>
      <c r="S91" s="18" t="s">
        <v>30</v>
      </c>
      <c r="T91" s="18" t="s">
        <v>392</v>
      </c>
      <c r="U91" s="18" t="s">
        <v>393</v>
      </c>
      <c r="V91" s="18" t="s">
        <v>394</v>
      </c>
      <c r="W91" s="18" t="s">
        <v>395</v>
      </c>
      <c r="X91" s="18" t="s">
        <v>42</v>
      </c>
      <c r="Y91" s="18" t="s">
        <v>36</v>
      </c>
      <c r="Z91" s="18" t="s">
        <v>166</v>
      </c>
      <c r="AA91" s="21" t="str">
        <f>HYPERLINK("https://www.ncbi.nlm.nih.gov/nuccore/MF431611","NCBI Nucleotide")</f>
        <v>NCBI Nucleotide</v>
      </c>
    </row>
    <row r="92" spans="1:27" x14ac:dyDescent="0.35">
      <c r="A92">
        <v>1000091</v>
      </c>
      <c r="B92">
        <v>91</v>
      </c>
      <c r="C92">
        <v>1</v>
      </c>
      <c r="D92" s="17" t="s">
        <v>155</v>
      </c>
      <c r="E92" s="17"/>
      <c r="F92" s="17" t="s">
        <v>156</v>
      </c>
      <c r="G92" s="17"/>
      <c r="H92" s="17" t="s">
        <v>157</v>
      </c>
      <c r="I92" s="17"/>
      <c r="J92" s="17" t="s">
        <v>158</v>
      </c>
      <c r="K92" s="17"/>
      <c r="L92" s="17" t="s">
        <v>159</v>
      </c>
      <c r="M92" s="17"/>
      <c r="N92" s="17" t="s">
        <v>227</v>
      </c>
      <c r="O92" s="17" t="s">
        <v>228</v>
      </c>
      <c r="P92" s="17" t="s">
        <v>340</v>
      </c>
      <c r="Q92" s="17"/>
      <c r="R92" s="25" t="str">
        <f>HYPERLINK("https://ictv.global/taxonomy/taxondetails?taxnode_id=202301452","Varicellovirus equidalpha9")</f>
        <v>Varicellovirus equidalpha9</v>
      </c>
      <c r="S92" s="18" t="s">
        <v>30</v>
      </c>
      <c r="T92" s="18" t="s">
        <v>396</v>
      </c>
      <c r="U92" s="18" t="s">
        <v>397</v>
      </c>
      <c r="V92" s="18" t="s">
        <v>398</v>
      </c>
      <c r="W92" s="18" t="s">
        <v>399</v>
      </c>
      <c r="X92" s="18" t="s">
        <v>42</v>
      </c>
      <c r="Y92" s="18" t="s">
        <v>36</v>
      </c>
      <c r="Z92" s="18" t="s">
        <v>166</v>
      </c>
      <c r="AA92" s="21" t="str">
        <f>HYPERLINK("https://www.ncbi.nlm.nih.gov/nuccore/AP010838","NCBI Nucleotide")</f>
        <v>NCBI Nucleotide</v>
      </c>
    </row>
    <row r="93" spans="1:27" x14ac:dyDescent="0.35">
      <c r="A93">
        <v>1000092</v>
      </c>
      <c r="B93">
        <v>92</v>
      </c>
      <c r="C93">
        <v>1</v>
      </c>
      <c r="D93" s="17" t="s">
        <v>155</v>
      </c>
      <c r="E93" s="17"/>
      <c r="F93" s="17" t="s">
        <v>156</v>
      </c>
      <c r="G93" s="17"/>
      <c r="H93" s="17" t="s">
        <v>157</v>
      </c>
      <c r="I93" s="17"/>
      <c r="J93" s="17" t="s">
        <v>158</v>
      </c>
      <c r="K93" s="17"/>
      <c r="L93" s="17" t="s">
        <v>159</v>
      </c>
      <c r="M93" s="17"/>
      <c r="N93" s="17" t="s">
        <v>227</v>
      </c>
      <c r="O93" s="17" t="s">
        <v>228</v>
      </c>
      <c r="P93" s="17" t="s">
        <v>340</v>
      </c>
      <c r="Q93" s="17"/>
      <c r="R93" s="25" t="str">
        <f>HYPERLINK("https://ictv.global/taxonomy/taxondetails?taxnode_id=202301453","Varicellovirus felidalpha1")</f>
        <v>Varicellovirus felidalpha1</v>
      </c>
      <c r="S93" s="18" t="s">
        <v>30</v>
      </c>
      <c r="T93" s="18" t="s">
        <v>400</v>
      </c>
      <c r="U93" s="18" t="s">
        <v>401</v>
      </c>
      <c r="V93" s="18" t="s">
        <v>402</v>
      </c>
      <c r="W93" s="18" t="s">
        <v>403</v>
      </c>
      <c r="X93" s="18" t="s">
        <v>42</v>
      </c>
      <c r="Y93" s="18" t="s">
        <v>36</v>
      </c>
      <c r="Z93" s="18" t="s">
        <v>166</v>
      </c>
      <c r="AA93" s="21" t="str">
        <f>HYPERLINK("https://www.ncbi.nlm.nih.gov/nuccore/FJ478159","NCBI Nucleotide")</f>
        <v>NCBI Nucleotide</v>
      </c>
    </row>
    <row r="94" spans="1:27" x14ac:dyDescent="0.35">
      <c r="A94">
        <v>1000093</v>
      </c>
      <c r="B94">
        <v>93</v>
      </c>
      <c r="C94">
        <v>1</v>
      </c>
      <c r="D94" s="17" t="s">
        <v>155</v>
      </c>
      <c r="E94" s="17"/>
      <c r="F94" s="17" t="s">
        <v>156</v>
      </c>
      <c r="G94" s="17"/>
      <c r="H94" s="17" t="s">
        <v>157</v>
      </c>
      <c r="I94" s="17"/>
      <c r="J94" s="17" t="s">
        <v>158</v>
      </c>
      <c r="K94" s="17"/>
      <c r="L94" s="17" t="s">
        <v>159</v>
      </c>
      <c r="M94" s="17"/>
      <c r="N94" s="17" t="s">
        <v>227</v>
      </c>
      <c r="O94" s="17" t="s">
        <v>228</v>
      </c>
      <c r="P94" s="17" t="s">
        <v>340</v>
      </c>
      <c r="Q94" s="17"/>
      <c r="R94" s="25" t="str">
        <f>HYPERLINK("https://ictv.global/taxonomy/taxondetails?taxnode_id=202301454","Varicellovirus humanalpha3")</f>
        <v>Varicellovirus humanalpha3</v>
      </c>
      <c r="S94" s="18" t="s">
        <v>30</v>
      </c>
      <c r="T94" s="18" t="s">
        <v>404</v>
      </c>
      <c r="U94" s="18" t="s">
        <v>405</v>
      </c>
      <c r="V94" s="18" t="s">
        <v>406</v>
      </c>
      <c r="W94" s="18" t="s">
        <v>407</v>
      </c>
      <c r="X94" s="18" t="s">
        <v>42</v>
      </c>
      <c r="Y94" s="18" t="s">
        <v>36</v>
      </c>
      <c r="Z94" s="18" t="s">
        <v>166</v>
      </c>
      <c r="AA94" s="21" t="str">
        <f>HYPERLINK("https://www.ncbi.nlm.nih.gov/nuccore/X04370","NCBI Nucleotide")</f>
        <v>NCBI Nucleotide</v>
      </c>
    </row>
    <row r="95" spans="1:27" x14ac:dyDescent="0.35">
      <c r="A95">
        <v>1000094</v>
      </c>
      <c r="B95">
        <v>94</v>
      </c>
      <c r="C95">
        <v>1</v>
      </c>
      <c r="D95" s="17" t="s">
        <v>155</v>
      </c>
      <c r="E95" s="17"/>
      <c r="F95" s="17" t="s">
        <v>156</v>
      </c>
      <c r="G95" s="17"/>
      <c r="H95" s="17" t="s">
        <v>157</v>
      </c>
      <c r="I95" s="17"/>
      <c r="J95" s="17" t="s">
        <v>158</v>
      </c>
      <c r="K95" s="17"/>
      <c r="L95" s="17" t="s">
        <v>159</v>
      </c>
      <c r="M95" s="17"/>
      <c r="N95" s="17" t="s">
        <v>227</v>
      </c>
      <c r="O95" s="17" t="s">
        <v>228</v>
      </c>
      <c r="P95" s="17" t="s">
        <v>340</v>
      </c>
      <c r="Q95" s="17"/>
      <c r="R95" s="25" t="str">
        <f>HYPERLINK("https://ictv.global/taxonomy/taxondetails?taxnode_id=202306396","Varicellovirus monodontidalpha1")</f>
        <v>Varicellovirus monodontidalpha1</v>
      </c>
      <c r="S95" s="18" t="s">
        <v>30</v>
      </c>
      <c r="T95" s="18" t="s">
        <v>408</v>
      </c>
      <c r="U95" s="18" t="s">
        <v>409</v>
      </c>
      <c r="V95" s="18" t="s">
        <v>410</v>
      </c>
      <c r="W95" s="18" t="s">
        <v>411</v>
      </c>
      <c r="X95" s="18" t="s">
        <v>42</v>
      </c>
      <c r="Y95" s="18" t="s">
        <v>36</v>
      </c>
      <c r="Z95" s="18" t="s">
        <v>166</v>
      </c>
      <c r="AA95" s="21" t="str">
        <f>HYPERLINK("https://www.ncbi.nlm.nih.gov/nuccore/MF678601","NCBI Nucleotide")</f>
        <v>NCBI Nucleotide</v>
      </c>
    </row>
    <row r="96" spans="1:27" x14ac:dyDescent="0.35">
      <c r="A96">
        <v>1000095</v>
      </c>
      <c r="B96">
        <v>95</v>
      </c>
      <c r="C96">
        <v>1</v>
      </c>
      <c r="D96" s="17" t="s">
        <v>155</v>
      </c>
      <c r="E96" s="17"/>
      <c r="F96" s="17" t="s">
        <v>156</v>
      </c>
      <c r="G96" s="17"/>
      <c r="H96" s="17" t="s">
        <v>157</v>
      </c>
      <c r="I96" s="17"/>
      <c r="J96" s="17" t="s">
        <v>158</v>
      </c>
      <c r="K96" s="17"/>
      <c r="L96" s="17" t="s">
        <v>159</v>
      </c>
      <c r="M96" s="17"/>
      <c r="N96" s="17" t="s">
        <v>227</v>
      </c>
      <c r="O96" s="17" t="s">
        <v>228</v>
      </c>
      <c r="P96" s="17" t="s">
        <v>340</v>
      </c>
      <c r="Q96" s="17"/>
      <c r="R96" s="25" t="str">
        <f>HYPERLINK("https://ictv.global/taxonomy/taxondetails?taxnode_id=202301455","Varicellovirus phocidalpha1")</f>
        <v>Varicellovirus phocidalpha1</v>
      </c>
      <c r="S96" s="18" t="s">
        <v>30</v>
      </c>
      <c r="T96" s="18" t="s">
        <v>412</v>
      </c>
      <c r="U96" s="18" t="s">
        <v>413</v>
      </c>
      <c r="V96" s="18"/>
      <c r="W96" s="18" t="s">
        <v>414</v>
      </c>
      <c r="X96" s="18" t="s">
        <v>154</v>
      </c>
      <c r="Y96" s="18" t="s">
        <v>36</v>
      </c>
      <c r="Z96" s="18" t="s">
        <v>166</v>
      </c>
      <c r="AA96" s="21" t="str">
        <f>HYPERLINK("https://www.ncbi.nlm.nih.gov/nuccore/MH509440","NCBI Nucleotide")</f>
        <v>NCBI Nucleotide</v>
      </c>
    </row>
    <row r="97" spans="1:27" x14ac:dyDescent="0.35">
      <c r="A97">
        <v>1000096</v>
      </c>
      <c r="B97">
        <v>96</v>
      </c>
      <c r="C97">
        <v>1</v>
      </c>
      <c r="D97" s="17" t="s">
        <v>155</v>
      </c>
      <c r="E97" s="17"/>
      <c r="F97" s="17" t="s">
        <v>156</v>
      </c>
      <c r="G97" s="17"/>
      <c r="H97" s="17" t="s">
        <v>157</v>
      </c>
      <c r="I97" s="17"/>
      <c r="J97" s="17" t="s">
        <v>158</v>
      </c>
      <c r="K97" s="17"/>
      <c r="L97" s="17" t="s">
        <v>159</v>
      </c>
      <c r="M97" s="17"/>
      <c r="N97" s="17" t="s">
        <v>227</v>
      </c>
      <c r="O97" s="17" t="s">
        <v>228</v>
      </c>
      <c r="P97" s="17" t="s">
        <v>340</v>
      </c>
      <c r="Q97" s="17"/>
      <c r="R97" s="25" t="str">
        <f>HYPERLINK("https://ictv.global/taxonomy/taxondetails?taxnode_id=202301456","Varicellovirus suidalpha1")</f>
        <v>Varicellovirus suidalpha1</v>
      </c>
      <c r="S97" s="18" t="s">
        <v>30</v>
      </c>
      <c r="T97" s="18" t="s">
        <v>415</v>
      </c>
      <c r="U97" s="18" t="s">
        <v>416</v>
      </c>
      <c r="V97" s="18" t="s">
        <v>417</v>
      </c>
      <c r="W97" s="18" t="s">
        <v>418</v>
      </c>
      <c r="X97" s="18" t="s">
        <v>42</v>
      </c>
      <c r="Y97" s="18" t="s">
        <v>36</v>
      </c>
      <c r="Z97" s="18" t="s">
        <v>166</v>
      </c>
      <c r="AA97" s="21" t="str">
        <f>HYPERLINK("https://www.ncbi.nlm.nih.gov/nuccore/JF797218","NCBI Nucleotide")</f>
        <v>NCBI Nucleotide</v>
      </c>
    </row>
    <row r="98" spans="1:27" x14ac:dyDescent="0.35">
      <c r="A98">
        <v>1000097</v>
      </c>
      <c r="B98">
        <v>97</v>
      </c>
      <c r="C98">
        <v>1</v>
      </c>
      <c r="D98" s="17" t="s">
        <v>155</v>
      </c>
      <c r="E98" s="17"/>
      <c r="F98" s="17" t="s">
        <v>156</v>
      </c>
      <c r="G98" s="17"/>
      <c r="H98" s="17" t="s">
        <v>157</v>
      </c>
      <c r="I98" s="17"/>
      <c r="J98" s="17" t="s">
        <v>158</v>
      </c>
      <c r="K98" s="17"/>
      <c r="L98" s="17" t="s">
        <v>159</v>
      </c>
      <c r="M98" s="17"/>
      <c r="N98" s="17" t="s">
        <v>227</v>
      </c>
      <c r="O98" s="17" t="s">
        <v>419</v>
      </c>
      <c r="P98" s="17" t="s">
        <v>420</v>
      </c>
      <c r="Q98" s="17"/>
      <c r="R98" s="25" t="str">
        <f>HYPERLINK("https://ictv.global/taxonomy/taxondetails?taxnode_id=202301459","Cytomegalovirus aotinebeta1")</f>
        <v>Cytomegalovirus aotinebeta1</v>
      </c>
      <c r="S98" s="18" t="s">
        <v>30</v>
      </c>
      <c r="T98" s="18" t="s">
        <v>421</v>
      </c>
      <c r="U98" s="18" t="s">
        <v>422</v>
      </c>
      <c r="V98" s="18" t="s">
        <v>423</v>
      </c>
      <c r="W98" s="18" t="s">
        <v>424</v>
      </c>
      <c r="X98" s="18" t="s">
        <v>42</v>
      </c>
      <c r="Y98" s="18" t="s">
        <v>36</v>
      </c>
      <c r="Z98" s="18" t="s">
        <v>166</v>
      </c>
      <c r="AA98" s="21" t="str">
        <f>HYPERLINK("https://www.ncbi.nlm.nih.gov/nuccore/FJ483970","NCBI Nucleotide")</f>
        <v>NCBI Nucleotide</v>
      </c>
    </row>
    <row r="99" spans="1:27" x14ac:dyDescent="0.35">
      <c r="A99">
        <v>1000098</v>
      </c>
      <c r="B99">
        <v>98</v>
      </c>
      <c r="C99">
        <v>1</v>
      </c>
      <c r="D99" s="17" t="s">
        <v>155</v>
      </c>
      <c r="E99" s="17"/>
      <c r="F99" s="17" t="s">
        <v>156</v>
      </c>
      <c r="G99" s="17"/>
      <c r="H99" s="17" t="s">
        <v>157</v>
      </c>
      <c r="I99" s="17"/>
      <c r="J99" s="17" t="s">
        <v>158</v>
      </c>
      <c r="K99" s="17"/>
      <c r="L99" s="17" t="s">
        <v>159</v>
      </c>
      <c r="M99" s="17"/>
      <c r="N99" s="17" t="s">
        <v>227</v>
      </c>
      <c r="O99" s="17" t="s">
        <v>419</v>
      </c>
      <c r="P99" s="17" t="s">
        <v>420</v>
      </c>
      <c r="Q99" s="17"/>
      <c r="R99" s="25" t="str">
        <f>HYPERLINK("https://ictv.global/taxonomy/taxondetails?taxnode_id=202301460","Cytomegalovirus cebinebeta1")</f>
        <v>Cytomegalovirus cebinebeta1</v>
      </c>
      <c r="S99" s="18" t="s">
        <v>30</v>
      </c>
      <c r="T99" s="18" t="s">
        <v>425</v>
      </c>
      <c r="U99" s="18" t="s">
        <v>426</v>
      </c>
      <c r="V99" s="18">
        <v>5567</v>
      </c>
      <c r="W99" s="18" t="s">
        <v>427</v>
      </c>
      <c r="X99" s="18" t="s">
        <v>154</v>
      </c>
      <c r="Y99" s="18" t="s">
        <v>36</v>
      </c>
      <c r="Z99" s="18" t="s">
        <v>166</v>
      </c>
      <c r="AA99" s="21" t="str">
        <f>HYPERLINK("https://www.ncbi.nlm.nih.gov/nuccore/JQ264772","NCBI Nucleotide")</f>
        <v>NCBI Nucleotide</v>
      </c>
    </row>
    <row r="100" spans="1:27" x14ac:dyDescent="0.35">
      <c r="A100">
        <v>1000099</v>
      </c>
      <c r="B100">
        <v>99</v>
      </c>
      <c r="C100">
        <v>1</v>
      </c>
      <c r="D100" s="17" t="s">
        <v>155</v>
      </c>
      <c r="E100" s="17"/>
      <c r="F100" s="17" t="s">
        <v>156</v>
      </c>
      <c r="G100" s="17"/>
      <c r="H100" s="17" t="s">
        <v>157</v>
      </c>
      <c r="I100" s="17"/>
      <c r="J100" s="17" t="s">
        <v>158</v>
      </c>
      <c r="K100" s="17"/>
      <c r="L100" s="17" t="s">
        <v>159</v>
      </c>
      <c r="M100" s="17"/>
      <c r="N100" s="17" t="s">
        <v>227</v>
      </c>
      <c r="O100" s="17" t="s">
        <v>419</v>
      </c>
      <c r="P100" s="17" t="s">
        <v>420</v>
      </c>
      <c r="Q100" s="17"/>
      <c r="R100" s="25" t="str">
        <f>HYPERLINK("https://ictv.global/taxonomy/taxondetails?taxnode_id=202301461","Cytomegalovirus cercopithecinebeta5")</f>
        <v>Cytomegalovirus cercopithecinebeta5</v>
      </c>
      <c r="S100" s="18" t="s">
        <v>30</v>
      </c>
      <c r="T100" s="18" t="s">
        <v>428</v>
      </c>
      <c r="U100" s="18" t="s">
        <v>429</v>
      </c>
      <c r="V100" s="18">
        <v>2715</v>
      </c>
      <c r="W100" s="18" t="s">
        <v>430</v>
      </c>
      <c r="X100" s="18" t="s">
        <v>42</v>
      </c>
      <c r="Y100" s="18" t="s">
        <v>36</v>
      </c>
      <c r="Z100" s="18" t="s">
        <v>166</v>
      </c>
      <c r="AA100" s="21" t="str">
        <f>HYPERLINK("https://www.ncbi.nlm.nih.gov/nuccore/FJ483968","NCBI Nucleotide")</f>
        <v>NCBI Nucleotide</v>
      </c>
    </row>
    <row r="101" spans="1:27" x14ac:dyDescent="0.35">
      <c r="A101">
        <v>1000100</v>
      </c>
      <c r="B101">
        <v>100</v>
      </c>
      <c r="C101">
        <v>1</v>
      </c>
      <c r="D101" s="17" t="s">
        <v>155</v>
      </c>
      <c r="E101" s="17"/>
      <c r="F101" s="17" t="s">
        <v>156</v>
      </c>
      <c r="G101" s="17"/>
      <c r="H101" s="17" t="s">
        <v>157</v>
      </c>
      <c r="I101" s="17"/>
      <c r="J101" s="17" t="s">
        <v>158</v>
      </c>
      <c r="K101" s="17"/>
      <c r="L101" s="17" t="s">
        <v>159</v>
      </c>
      <c r="M101" s="17"/>
      <c r="N101" s="17" t="s">
        <v>227</v>
      </c>
      <c r="O101" s="17" t="s">
        <v>419</v>
      </c>
      <c r="P101" s="17" t="s">
        <v>420</v>
      </c>
      <c r="Q101" s="17"/>
      <c r="R101" s="25" t="str">
        <f>HYPERLINK("https://ictv.global/taxonomy/taxondetails?taxnode_id=202301462","Cytomegalovirus humanbeta5")</f>
        <v>Cytomegalovirus humanbeta5</v>
      </c>
      <c r="S101" s="18" t="s">
        <v>30</v>
      </c>
      <c r="T101" s="18" t="s">
        <v>431</v>
      </c>
      <c r="U101" s="18" t="s">
        <v>432</v>
      </c>
      <c r="V101" s="18" t="s">
        <v>433</v>
      </c>
      <c r="W101" s="18" t="s">
        <v>434</v>
      </c>
      <c r="X101" s="18" t="s">
        <v>42</v>
      </c>
      <c r="Y101" s="18" t="s">
        <v>36</v>
      </c>
      <c r="Z101" s="18" t="s">
        <v>166</v>
      </c>
      <c r="AA101" s="21" t="str">
        <f>HYPERLINK("https://www.ncbi.nlm.nih.gov/nuccore/AY446894","NCBI Nucleotide")</f>
        <v>NCBI Nucleotide</v>
      </c>
    </row>
    <row r="102" spans="1:27" x14ac:dyDescent="0.35">
      <c r="A102">
        <v>1000101</v>
      </c>
      <c r="B102">
        <v>101</v>
      </c>
      <c r="C102">
        <v>1</v>
      </c>
      <c r="D102" s="17" t="s">
        <v>155</v>
      </c>
      <c r="E102" s="17"/>
      <c r="F102" s="17" t="s">
        <v>156</v>
      </c>
      <c r="G102" s="17"/>
      <c r="H102" s="17" t="s">
        <v>157</v>
      </c>
      <c r="I102" s="17"/>
      <c r="J102" s="17" t="s">
        <v>158</v>
      </c>
      <c r="K102" s="17"/>
      <c r="L102" s="17" t="s">
        <v>159</v>
      </c>
      <c r="M102" s="17"/>
      <c r="N102" s="17" t="s">
        <v>227</v>
      </c>
      <c r="O102" s="17" t="s">
        <v>419</v>
      </c>
      <c r="P102" s="17" t="s">
        <v>420</v>
      </c>
      <c r="Q102" s="17"/>
      <c r="R102" s="25" t="str">
        <f>HYPERLINK("https://ictv.global/taxonomy/taxondetails?taxnode_id=202301463","Cytomegalovirus macacinebeta3")</f>
        <v>Cytomegalovirus macacinebeta3</v>
      </c>
      <c r="S102" s="18" t="s">
        <v>30</v>
      </c>
      <c r="T102" s="18" t="s">
        <v>435</v>
      </c>
      <c r="U102" s="18" t="s">
        <v>436</v>
      </c>
      <c r="V102" s="18" t="s">
        <v>437</v>
      </c>
      <c r="W102" s="18" t="s">
        <v>438</v>
      </c>
      <c r="X102" s="18" t="s">
        <v>42</v>
      </c>
      <c r="Y102" s="18" t="s">
        <v>36</v>
      </c>
      <c r="Z102" s="18" t="s">
        <v>166</v>
      </c>
      <c r="AA102" s="21" t="str">
        <f>HYPERLINK("https://www.ncbi.nlm.nih.gov/nuccore/AY186194","NCBI Nucleotide")</f>
        <v>NCBI Nucleotide</v>
      </c>
    </row>
    <row r="103" spans="1:27" x14ac:dyDescent="0.35">
      <c r="A103">
        <v>1000102</v>
      </c>
      <c r="B103">
        <v>102</v>
      </c>
      <c r="C103">
        <v>1</v>
      </c>
      <c r="D103" s="17" t="s">
        <v>155</v>
      </c>
      <c r="E103" s="17"/>
      <c r="F103" s="17" t="s">
        <v>156</v>
      </c>
      <c r="G103" s="17"/>
      <c r="H103" s="17" t="s">
        <v>157</v>
      </c>
      <c r="I103" s="17"/>
      <c r="J103" s="17" t="s">
        <v>158</v>
      </c>
      <c r="K103" s="17"/>
      <c r="L103" s="17" t="s">
        <v>159</v>
      </c>
      <c r="M103" s="17"/>
      <c r="N103" s="17" t="s">
        <v>227</v>
      </c>
      <c r="O103" s="17" t="s">
        <v>419</v>
      </c>
      <c r="P103" s="17" t="s">
        <v>420</v>
      </c>
      <c r="Q103" s="17"/>
      <c r="R103" s="25" t="str">
        <f>HYPERLINK("https://ictv.global/taxonomy/taxondetails?taxnode_id=202306399","Cytomegalovirus macacinebeta8")</f>
        <v>Cytomegalovirus macacinebeta8</v>
      </c>
      <c r="S103" s="18" t="s">
        <v>30</v>
      </c>
      <c r="T103" s="18" t="s">
        <v>439</v>
      </c>
      <c r="U103" s="18" t="s">
        <v>440</v>
      </c>
      <c r="V103" s="18" t="s">
        <v>441</v>
      </c>
      <c r="W103" s="18" t="s">
        <v>442</v>
      </c>
      <c r="X103" s="18" t="s">
        <v>42</v>
      </c>
      <c r="Y103" s="18" t="s">
        <v>36</v>
      </c>
      <c r="Z103" s="18" t="s">
        <v>166</v>
      </c>
      <c r="AA103" s="21" t="str">
        <f>HYPERLINK("https://www.ncbi.nlm.nih.gov/nuccore/JN227533","NCBI Nucleotide")</f>
        <v>NCBI Nucleotide</v>
      </c>
    </row>
    <row r="104" spans="1:27" x14ac:dyDescent="0.35">
      <c r="A104">
        <v>1000103</v>
      </c>
      <c r="B104">
        <v>103</v>
      </c>
      <c r="C104">
        <v>1</v>
      </c>
      <c r="D104" s="17" t="s">
        <v>155</v>
      </c>
      <c r="E104" s="17"/>
      <c r="F104" s="17" t="s">
        <v>156</v>
      </c>
      <c r="G104" s="17"/>
      <c r="H104" s="17" t="s">
        <v>157</v>
      </c>
      <c r="I104" s="17"/>
      <c r="J104" s="17" t="s">
        <v>158</v>
      </c>
      <c r="K104" s="17"/>
      <c r="L104" s="17" t="s">
        <v>159</v>
      </c>
      <c r="M104" s="17"/>
      <c r="N104" s="17" t="s">
        <v>227</v>
      </c>
      <c r="O104" s="17" t="s">
        <v>419</v>
      </c>
      <c r="P104" s="17" t="s">
        <v>420</v>
      </c>
      <c r="Q104" s="17"/>
      <c r="R104" s="25" t="str">
        <f>HYPERLINK("https://ictv.global/taxonomy/taxondetails?taxnode_id=202306400","Cytomegalovirus mandrillinebeta1")</f>
        <v>Cytomegalovirus mandrillinebeta1</v>
      </c>
      <c r="S104" s="18" t="s">
        <v>30</v>
      </c>
      <c r="T104" s="18" t="s">
        <v>443</v>
      </c>
      <c r="U104" s="18" t="s">
        <v>444</v>
      </c>
      <c r="V104" s="18" t="s">
        <v>445</v>
      </c>
      <c r="W104" s="18" t="s">
        <v>446</v>
      </c>
      <c r="X104" s="18" t="s">
        <v>42</v>
      </c>
      <c r="Y104" s="18" t="s">
        <v>36</v>
      </c>
      <c r="Z104" s="18" t="s">
        <v>166</v>
      </c>
      <c r="AA104" s="21" t="str">
        <f>HYPERLINK("https://www.ncbi.nlm.nih.gov/nuccore/KR297253","NCBI Nucleotide")</f>
        <v>NCBI Nucleotide</v>
      </c>
    </row>
    <row r="105" spans="1:27" x14ac:dyDescent="0.35">
      <c r="A105">
        <v>1000104</v>
      </c>
      <c r="B105">
        <v>104</v>
      </c>
      <c r="C105">
        <v>1</v>
      </c>
      <c r="D105" s="17" t="s">
        <v>155</v>
      </c>
      <c r="E105" s="17"/>
      <c r="F105" s="17" t="s">
        <v>156</v>
      </c>
      <c r="G105" s="17"/>
      <c r="H105" s="17" t="s">
        <v>157</v>
      </c>
      <c r="I105" s="17"/>
      <c r="J105" s="17" t="s">
        <v>158</v>
      </c>
      <c r="K105" s="17"/>
      <c r="L105" s="17" t="s">
        <v>159</v>
      </c>
      <c r="M105" s="17"/>
      <c r="N105" s="17" t="s">
        <v>227</v>
      </c>
      <c r="O105" s="17" t="s">
        <v>419</v>
      </c>
      <c r="P105" s="17" t="s">
        <v>420</v>
      </c>
      <c r="Q105" s="17"/>
      <c r="R105" s="25" t="str">
        <f>HYPERLINK("https://ictv.global/taxonomy/taxondetails?taxnode_id=202301464","Cytomegalovirus paninebeta2")</f>
        <v>Cytomegalovirus paninebeta2</v>
      </c>
      <c r="S105" s="18" t="s">
        <v>30</v>
      </c>
      <c r="T105" s="18" t="s">
        <v>447</v>
      </c>
      <c r="U105" s="18" t="s">
        <v>448</v>
      </c>
      <c r="V105" s="18" t="s">
        <v>449</v>
      </c>
      <c r="W105" s="18" t="s">
        <v>450</v>
      </c>
      <c r="X105" s="18" t="s">
        <v>42</v>
      </c>
      <c r="Y105" s="18" t="s">
        <v>36</v>
      </c>
      <c r="Z105" s="18" t="s">
        <v>166</v>
      </c>
      <c r="AA105" s="21" t="str">
        <f>HYPERLINK("https://www.ncbi.nlm.nih.gov/nuccore/AF480884","NCBI Nucleotide")</f>
        <v>NCBI Nucleotide</v>
      </c>
    </row>
    <row r="106" spans="1:27" x14ac:dyDescent="0.35">
      <c r="A106">
        <v>1000105</v>
      </c>
      <c r="B106">
        <v>105</v>
      </c>
      <c r="C106">
        <v>1</v>
      </c>
      <c r="D106" s="17" t="s">
        <v>155</v>
      </c>
      <c r="E106" s="17"/>
      <c r="F106" s="17" t="s">
        <v>156</v>
      </c>
      <c r="G106" s="17"/>
      <c r="H106" s="17" t="s">
        <v>157</v>
      </c>
      <c r="I106" s="17"/>
      <c r="J106" s="17" t="s">
        <v>158</v>
      </c>
      <c r="K106" s="17"/>
      <c r="L106" s="17" t="s">
        <v>159</v>
      </c>
      <c r="M106" s="17"/>
      <c r="N106" s="17" t="s">
        <v>227</v>
      </c>
      <c r="O106" s="17" t="s">
        <v>419</v>
      </c>
      <c r="P106" s="17" t="s">
        <v>420</v>
      </c>
      <c r="Q106" s="17"/>
      <c r="R106" s="25" t="str">
        <f>HYPERLINK("https://ictv.global/taxonomy/taxondetails?taxnode_id=202301465","Cytomegalovirus papiinebeta3")</f>
        <v>Cytomegalovirus papiinebeta3</v>
      </c>
      <c r="S106" s="18" t="s">
        <v>30</v>
      </c>
      <c r="T106" s="18" t="s">
        <v>451</v>
      </c>
      <c r="U106" s="18" t="s">
        <v>452</v>
      </c>
      <c r="V106" s="18" t="s">
        <v>453</v>
      </c>
      <c r="W106" s="18" t="s">
        <v>454</v>
      </c>
      <c r="X106" s="18" t="s">
        <v>154</v>
      </c>
      <c r="Y106" s="18" t="s">
        <v>36</v>
      </c>
      <c r="Z106" s="18" t="s">
        <v>166</v>
      </c>
      <c r="AA106" s="21" t="str">
        <f>HYPERLINK("https://www.ncbi.nlm.nih.gov/nuccore/AC090446","NCBI Nucleotide")</f>
        <v>NCBI Nucleotide</v>
      </c>
    </row>
    <row r="107" spans="1:27" x14ac:dyDescent="0.35">
      <c r="A107">
        <v>1000106</v>
      </c>
      <c r="B107">
        <v>106</v>
      </c>
      <c r="C107">
        <v>1</v>
      </c>
      <c r="D107" s="17" t="s">
        <v>155</v>
      </c>
      <c r="E107" s="17"/>
      <c r="F107" s="17" t="s">
        <v>156</v>
      </c>
      <c r="G107" s="17"/>
      <c r="H107" s="17" t="s">
        <v>157</v>
      </c>
      <c r="I107" s="17"/>
      <c r="J107" s="17" t="s">
        <v>158</v>
      </c>
      <c r="K107" s="17"/>
      <c r="L107" s="17" t="s">
        <v>159</v>
      </c>
      <c r="M107" s="17"/>
      <c r="N107" s="17" t="s">
        <v>227</v>
      </c>
      <c r="O107" s="17" t="s">
        <v>419</v>
      </c>
      <c r="P107" s="17" t="s">
        <v>420</v>
      </c>
      <c r="Q107" s="17"/>
      <c r="R107" s="25" t="str">
        <f>HYPERLINK("https://ictv.global/taxonomy/taxondetails?taxnode_id=202306401","Cytomegalovirus papiinebeta4")</f>
        <v>Cytomegalovirus papiinebeta4</v>
      </c>
      <c r="S107" s="18" t="s">
        <v>30</v>
      </c>
      <c r="T107" s="18" t="s">
        <v>455</v>
      </c>
      <c r="U107" s="18" t="s">
        <v>456</v>
      </c>
      <c r="V107" s="18" t="s">
        <v>457</v>
      </c>
      <c r="W107" s="18" t="s">
        <v>458</v>
      </c>
      <c r="X107" s="18" t="s">
        <v>42</v>
      </c>
      <c r="Y107" s="18" t="s">
        <v>36</v>
      </c>
      <c r="Z107" s="18" t="s">
        <v>166</v>
      </c>
      <c r="AA107" s="21" t="str">
        <f>HYPERLINK("https://www.ncbi.nlm.nih.gov/nuccore/KR351281","NCBI Nucleotide")</f>
        <v>NCBI Nucleotide</v>
      </c>
    </row>
    <row r="108" spans="1:27" x14ac:dyDescent="0.35">
      <c r="A108">
        <v>1000107</v>
      </c>
      <c r="B108">
        <v>107</v>
      </c>
      <c r="C108">
        <v>1</v>
      </c>
      <c r="D108" s="17" t="s">
        <v>155</v>
      </c>
      <c r="E108" s="17"/>
      <c r="F108" s="17" t="s">
        <v>156</v>
      </c>
      <c r="G108" s="17"/>
      <c r="H108" s="17" t="s">
        <v>157</v>
      </c>
      <c r="I108" s="17"/>
      <c r="J108" s="17" t="s">
        <v>158</v>
      </c>
      <c r="K108" s="17"/>
      <c r="L108" s="17" t="s">
        <v>159</v>
      </c>
      <c r="M108" s="17"/>
      <c r="N108" s="17" t="s">
        <v>227</v>
      </c>
      <c r="O108" s="17" t="s">
        <v>419</v>
      </c>
      <c r="P108" s="17" t="s">
        <v>420</v>
      </c>
      <c r="Q108" s="17"/>
      <c r="R108" s="25" t="str">
        <f>HYPERLINK("https://ictv.global/taxonomy/taxondetails?taxnode_id=202301466","Cytomegalovirus saimiriinebeta4")</f>
        <v>Cytomegalovirus saimiriinebeta4</v>
      </c>
      <c r="S108" s="18" t="s">
        <v>30</v>
      </c>
      <c r="T108" s="18" t="s">
        <v>459</v>
      </c>
      <c r="U108" s="18" t="s">
        <v>460</v>
      </c>
      <c r="V108" s="18" t="s">
        <v>461</v>
      </c>
      <c r="W108" s="18" t="s">
        <v>462</v>
      </c>
      <c r="X108" s="18" t="s">
        <v>42</v>
      </c>
      <c r="Y108" s="18" t="s">
        <v>36</v>
      </c>
      <c r="Z108" s="18" t="s">
        <v>166</v>
      </c>
      <c r="AA108" s="21" t="str">
        <f>HYPERLINK("https://www.ncbi.nlm.nih.gov/nuccore/FJ483967","NCBI Nucleotide")</f>
        <v>NCBI Nucleotide</v>
      </c>
    </row>
    <row r="109" spans="1:27" x14ac:dyDescent="0.35">
      <c r="A109">
        <v>1000108</v>
      </c>
      <c r="B109">
        <v>108</v>
      </c>
      <c r="C109">
        <v>1</v>
      </c>
      <c r="D109" s="17" t="s">
        <v>155</v>
      </c>
      <c r="E109" s="17"/>
      <c r="F109" s="17" t="s">
        <v>156</v>
      </c>
      <c r="G109" s="17"/>
      <c r="H109" s="17" t="s">
        <v>157</v>
      </c>
      <c r="I109" s="17"/>
      <c r="J109" s="17" t="s">
        <v>158</v>
      </c>
      <c r="K109" s="17"/>
      <c r="L109" s="17" t="s">
        <v>159</v>
      </c>
      <c r="M109" s="17"/>
      <c r="N109" s="17" t="s">
        <v>227</v>
      </c>
      <c r="O109" s="17" t="s">
        <v>419</v>
      </c>
      <c r="P109" s="17" t="s">
        <v>463</v>
      </c>
      <c r="Q109" s="17"/>
      <c r="R109" s="25" t="str">
        <f>HYPERLINK("https://ictv.global/taxonomy/taxondetails?taxnode_id=202301468","Muromegalovirus muridbeta1")</f>
        <v>Muromegalovirus muridbeta1</v>
      </c>
      <c r="S109" s="18" t="s">
        <v>30</v>
      </c>
      <c r="T109" s="18" t="s">
        <v>464</v>
      </c>
      <c r="U109" s="18" t="s">
        <v>465</v>
      </c>
      <c r="V109" s="18" t="s">
        <v>466</v>
      </c>
      <c r="W109" s="18" t="s">
        <v>467</v>
      </c>
      <c r="X109" s="18" t="s">
        <v>42</v>
      </c>
      <c r="Y109" s="18" t="s">
        <v>36</v>
      </c>
      <c r="Z109" s="18" t="s">
        <v>166</v>
      </c>
      <c r="AA109" s="21" t="str">
        <f>HYPERLINK("https://www.ncbi.nlm.nih.gov/nuccore/GU305914","NCBI Nucleotide")</f>
        <v>NCBI Nucleotide</v>
      </c>
    </row>
    <row r="110" spans="1:27" x14ac:dyDescent="0.35">
      <c r="A110">
        <v>1000109</v>
      </c>
      <c r="B110">
        <v>109</v>
      </c>
      <c r="C110">
        <v>1</v>
      </c>
      <c r="D110" s="17" t="s">
        <v>155</v>
      </c>
      <c r="E110" s="17"/>
      <c r="F110" s="17" t="s">
        <v>156</v>
      </c>
      <c r="G110" s="17"/>
      <c r="H110" s="17" t="s">
        <v>157</v>
      </c>
      <c r="I110" s="17"/>
      <c r="J110" s="17" t="s">
        <v>158</v>
      </c>
      <c r="K110" s="17"/>
      <c r="L110" s="17" t="s">
        <v>159</v>
      </c>
      <c r="M110" s="17"/>
      <c r="N110" s="17" t="s">
        <v>227</v>
      </c>
      <c r="O110" s="17" t="s">
        <v>419</v>
      </c>
      <c r="P110" s="17" t="s">
        <v>463</v>
      </c>
      <c r="Q110" s="17"/>
      <c r="R110" s="25" t="str">
        <f>HYPERLINK("https://ictv.global/taxonomy/taxondetails?taxnode_id=202301469","Muromegalovirus muridbeta2")</f>
        <v>Muromegalovirus muridbeta2</v>
      </c>
      <c r="S110" s="18" t="s">
        <v>30</v>
      </c>
      <c r="T110" s="18" t="s">
        <v>468</v>
      </c>
      <c r="U110" s="18" t="s">
        <v>469</v>
      </c>
      <c r="V110" s="18" t="s">
        <v>470</v>
      </c>
      <c r="W110" s="18" t="s">
        <v>471</v>
      </c>
      <c r="X110" s="18" t="s">
        <v>42</v>
      </c>
      <c r="Y110" s="18" t="s">
        <v>36</v>
      </c>
      <c r="Z110" s="18" t="s">
        <v>166</v>
      </c>
      <c r="AA110" s="21" t="str">
        <f>HYPERLINK("https://www.ncbi.nlm.nih.gov/nuccore/AF232689","NCBI Nucleotide")</f>
        <v>NCBI Nucleotide</v>
      </c>
    </row>
    <row r="111" spans="1:27" x14ac:dyDescent="0.35">
      <c r="A111">
        <v>1000110</v>
      </c>
      <c r="B111">
        <v>110</v>
      </c>
      <c r="C111">
        <v>1</v>
      </c>
      <c r="D111" s="17" t="s">
        <v>155</v>
      </c>
      <c r="E111" s="17"/>
      <c r="F111" s="17" t="s">
        <v>156</v>
      </c>
      <c r="G111" s="17"/>
      <c r="H111" s="17" t="s">
        <v>157</v>
      </c>
      <c r="I111" s="17"/>
      <c r="J111" s="17" t="s">
        <v>158</v>
      </c>
      <c r="K111" s="17"/>
      <c r="L111" s="17" t="s">
        <v>159</v>
      </c>
      <c r="M111" s="17"/>
      <c r="N111" s="17" t="s">
        <v>227</v>
      </c>
      <c r="O111" s="17" t="s">
        <v>419</v>
      </c>
      <c r="P111" s="17" t="s">
        <v>463</v>
      </c>
      <c r="Q111" s="17"/>
      <c r="R111" s="25" t="str">
        <f>HYPERLINK("https://ictv.global/taxonomy/taxondetails?taxnode_id=202301470","Muromegalovirus muridbeta8")</f>
        <v>Muromegalovirus muridbeta8</v>
      </c>
      <c r="S111" s="18" t="s">
        <v>30</v>
      </c>
      <c r="T111" s="18" t="s">
        <v>472</v>
      </c>
      <c r="U111" s="18" t="s">
        <v>473</v>
      </c>
      <c r="V111" s="18" t="s">
        <v>474</v>
      </c>
      <c r="W111" s="18" t="s">
        <v>475</v>
      </c>
      <c r="X111" s="18" t="s">
        <v>42</v>
      </c>
      <c r="Y111" s="18" t="s">
        <v>36</v>
      </c>
      <c r="Z111" s="18" t="s">
        <v>166</v>
      </c>
      <c r="AA111" s="21" t="str">
        <f>HYPERLINK("https://www.ncbi.nlm.nih.gov/nuccore/JX867617","NCBI Nucleotide")</f>
        <v>NCBI Nucleotide</v>
      </c>
    </row>
    <row r="112" spans="1:27" x14ac:dyDescent="0.35">
      <c r="A112">
        <v>1000111</v>
      </c>
      <c r="B112">
        <v>111</v>
      </c>
      <c r="C112">
        <v>1</v>
      </c>
      <c r="D112" s="17" t="s">
        <v>155</v>
      </c>
      <c r="E112" s="17"/>
      <c r="F112" s="17" t="s">
        <v>156</v>
      </c>
      <c r="G112" s="17"/>
      <c r="H112" s="17" t="s">
        <v>157</v>
      </c>
      <c r="I112" s="17"/>
      <c r="J112" s="17" t="s">
        <v>158</v>
      </c>
      <c r="K112" s="17"/>
      <c r="L112" s="17" t="s">
        <v>159</v>
      </c>
      <c r="M112" s="17"/>
      <c r="N112" s="17" t="s">
        <v>227</v>
      </c>
      <c r="O112" s="17" t="s">
        <v>419</v>
      </c>
      <c r="P112" s="17" t="s">
        <v>476</v>
      </c>
      <c r="Q112" s="17"/>
      <c r="R112" s="25" t="str">
        <f>HYPERLINK("https://ictv.global/taxonomy/taxondetails?taxnode_id=202301472","Proboscivirus elephantidbeta1")</f>
        <v>Proboscivirus elephantidbeta1</v>
      </c>
      <c r="S112" s="18" t="s">
        <v>30</v>
      </c>
      <c r="T112" s="18" t="s">
        <v>477</v>
      </c>
      <c r="U112" s="18" t="s">
        <v>478</v>
      </c>
      <c r="V112" s="18" t="s">
        <v>479</v>
      </c>
      <c r="W112" s="18" t="s">
        <v>480</v>
      </c>
      <c r="X112" s="18" t="s">
        <v>42</v>
      </c>
      <c r="Y112" s="18" t="s">
        <v>36</v>
      </c>
      <c r="Z112" s="18" t="s">
        <v>166</v>
      </c>
      <c r="AA112" s="21" t="str">
        <f>HYPERLINK("https://www.ncbi.nlm.nih.gov/nuccore/KC462165","NCBI Nucleotide")</f>
        <v>NCBI Nucleotide</v>
      </c>
    </row>
    <row r="113" spans="1:27" x14ac:dyDescent="0.35">
      <c r="A113">
        <v>1000112</v>
      </c>
      <c r="B113">
        <v>112</v>
      </c>
      <c r="C113">
        <v>1</v>
      </c>
      <c r="D113" s="17" t="s">
        <v>155</v>
      </c>
      <c r="E113" s="17"/>
      <c r="F113" s="17" t="s">
        <v>156</v>
      </c>
      <c r="G113" s="17"/>
      <c r="H113" s="17" t="s">
        <v>157</v>
      </c>
      <c r="I113" s="17"/>
      <c r="J113" s="17" t="s">
        <v>158</v>
      </c>
      <c r="K113" s="17"/>
      <c r="L113" s="17" t="s">
        <v>159</v>
      </c>
      <c r="M113" s="17"/>
      <c r="N113" s="17" t="s">
        <v>227</v>
      </c>
      <c r="O113" s="17" t="s">
        <v>419</v>
      </c>
      <c r="P113" s="17" t="s">
        <v>476</v>
      </c>
      <c r="Q113" s="17"/>
      <c r="R113" s="25" t="str">
        <f>HYPERLINK("https://ictv.global/taxonomy/taxondetails?taxnode_id=202314018","Proboscivirus elephantidbeta3")</f>
        <v>Proboscivirus elephantidbeta3</v>
      </c>
      <c r="S113" s="18" t="s">
        <v>30</v>
      </c>
      <c r="T113" s="18" t="s">
        <v>481</v>
      </c>
      <c r="U113" s="18" t="s">
        <v>482</v>
      </c>
      <c r="V113" s="18" t="s">
        <v>483</v>
      </c>
      <c r="W113" s="18" t="s">
        <v>484</v>
      </c>
      <c r="X113" s="18" t="s">
        <v>42</v>
      </c>
      <c r="Y113" s="18" t="s">
        <v>36</v>
      </c>
      <c r="Z113" s="18" t="s">
        <v>166</v>
      </c>
      <c r="AA113" s="21" t="str">
        <f>HYPERLINK("https://www.ncbi.nlm.nih.gov/nuccore/MN373268","NCBI Nucleotide")</f>
        <v>NCBI Nucleotide</v>
      </c>
    </row>
    <row r="114" spans="1:27" x14ac:dyDescent="0.35">
      <c r="A114">
        <v>1000113</v>
      </c>
      <c r="B114">
        <v>113</v>
      </c>
      <c r="C114">
        <v>1</v>
      </c>
      <c r="D114" s="17" t="s">
        <v>155</v>
      </c>
      <c r="E114" s="17"/>
      <c r="F114" s="17" t="s">
        <v>156</v>
      </c>
      <c r="G114" s="17"/>
      <c r="H114" s="17" t="s">
        <v>157</v>
      </c>
      <c r="I114" s="17"/>
      <c r="J114" s="17" t="s">
        <v>158</v>
      </c>
      <c r="K114" s="17"/>
      <c r="L114" s="17" t="s">
        <v>159</v>
      </c>
      <c r="M114" s="17"/>
      <c r="N114" s="17" t="s">
        <v>227</v>
      </c>
      <c r="O114" s="17" t="s">
        <v>419</v>
      </c>
      <c r="P114" s="17" t="s">
        <v>476</v>
      </c>
      <c r="Q114" s="17"/>
      <c r="R114" s="25" t="str">
        <f>HYPERLINK("https://ictv.global/taxonomy/taxondetails?taxnode_id=202306404","Proboscivirus elephantidbeta4")</f>
        <v>Proboscivirus elephantidbeta4</v>
      </c>
      <c r="S114" s="18" t="s">
        <v>30</v>
      </c>
      <c r="T114" s="18" t="s">
        <v>485</v>
      </c>
      <c r="U114" s="18" t="s">
        <v>486</v>
      </c>
      <c r="V114" s="18" t="s">
        <v>487</v>
      </c>
      <c r="W114" s="18" t="s">
        <v>488</v>
      </c>
      <c r="X114" s="18" t="s">
        <v>42</v>
      </c>
      <c r="Y114" s="18" t="s">
        <v>36</v>
      </c>
      <c r="Z114" s="18" t="s">
        <v>166</v>
      </c>
      <c r="AA114" s="21" t="str">
        <f>HYPERLINK("https://www.ncbi.nlm.nih.gov/nuccore/KT832477","NCBI Nucleotide")</f>
        <v>NCBI Nucleotide</v>
      </c>
    </row>
    <row r="115" spans="1:27" x14ac:dyDescent="0.35">
      <c r="A115">
        <v>1000114</v>
      </c>
      <c r="B115">
        <v>114</v>
      </c>
      <c r="C115">
        <v>1</v>
      </c>
      <c r="D115" s="17" t="s">
        <v>155</v>
      </c>
      <c r="E115" s="17"/>
      <c r="F115" s="17" t="s">
        <v>156</v>
      </c>
      <c r="G115" s="17"/>
      <c r="H115" s="17" t="s">
        <v>157</v>
      </c>
      <c r="I115" s="17"/>
      <c r="J115" s="17" t="s">
        <v>158</v>
      </c>
      <c r="K115" s="17"/>
      <c r="L115" s="17" t="s">
        <v>159</v>
      </c>
      <c r="M115" s="17"/>
      <c r="N115" s="17" t="s">
        <v>227</v>
      </c>
      <c r="O115" s="17" t="s">
        <v>419</v>
      </c>
      <c r="P115" s="17" t="s">
        <v>476</v>
      </c>
      <c r="Q115" s="17"/>
      <c r="R115" s="25" t="str">
        <f>HYPERLINK("https://ictv.global/taxonomy/taxondetails?taxnode_id=202306405","Proboscivirus elephantidbeta5")</f>
        <v>Proboscivirus elephantidbeta5</v>
      </c>
      <c r="S115" s="18" t="s">
        <v>30</v>
      </c>
      <c r="T115" s="18" t="s">
        <v>489</v>
      </c>
      <c r="U115" s="18" t="s">
        <v>490</v>
      </c>
      <c r="V115" s="18" t="s">
        <v>491</v>
      </c>
      <c r="W115" s="18" t="s">
        <v>492</v>
      </c>
      <c r="X115" s="18" t="s">
        <v>42</v>
      </c>
      <c r="Y115" s="18" t="s">
        <v>36</v>
      </c>
      <c r="Z115" s="18" t="s">
        <v>166</v>
      </c>
      <c r="AA115" s="21" t="str">
        <f>HYPERLINK("https://www.ncbi.nlm.nih.gov/nuccore/KF921519","NCBI Nucleotide")</f>
        <v>NCBI Nucleotide</v>
      </c>
    </row>
    <row r="116" spans="1:27" x14ac:dyDescent="0.35">
      <c r="A116">
        <v>1000115</v>
      </c>
      <c r="B116">
        <v>115</v>
      </c>
      <c r="C116">
        <v>1</v>
      </c>
      <c r="D116" s="17" t="s">
        <v>155</v>
      </c>
      <c r="E116" s="17"/>
      <c r="F116" s="17" t="s">
        <v>156</v>
      </c>
      <c r="G116" s="17"/>
      <c r="H116" s="17" t="s">
        <v>157</v>
      </c>
      <c r="I116" s="17"/>
      <c r="J116" s="17" t="s">
        <v>158</v>
      </c>
      <c r="K116" s="17"/>
      <c r="L116" s="17" t="s">
        <v>159</v>
      </c>
      <c r="M116" s="17"/>
      <c r="N116" s="17" t="s">
        <v>227</v>
      </c>
      <c r="O116" s="17" t="s">
        <v>419</v>
      </c>
      <c r="P116" s="17" t="s">
        <v>493</v>
      </c>
      <c r="Q116" s="17"/>
      <c r="R116" s="25" t="str">
        <f>HYPERLINK("https://ictv.global/taxonomy/taxondetails?taxnode_id=202301478","Quwivirus caviidbeta2")</f>
        <v>Quwivirus caviidbeta2</v>
      </c>
      <c r="S116" s="18" t="s">
        <v>30</v>
      </c>
      <c r="T116" s="18" t="s">
        <v>494</v>
      </c>
      <c r="U116" s="18" t="s">
        <v>495</v>
      </c>
      <c r="V116" s="18">
        <v>21222</v>
      </c>
      <c r="W116" s="18" t="s">
        <v>496</v>
      </c>
      <c r="X116" s="18" t="s">
        <v>42</v>
      </c>
      <c r="Y116" s="18" t="s">
        <v>36</v>
      </c>
      <c r="Z116" s="18" t="s">
        <v>166</v>
      </c>
      <c r="AA116" s="21" t="str">
        <f>HYPERLINK("https://www.ncbi.nlm.nih.gov/nuccore/KC503762","NCBI Nucleotide")</f>
        <v>NCBI Nucleotide</v>
      </c>
    </row>
    <row r="117" spans="1:27" x14ac:dyDescent="0.35">
      <c r="A117">
        <v>1000116</v>
      </c>
      <c r="B117">
        <v>116</v>
      </c>
      <c r="C117">
        <v>1</v>
      </c>
      <c r="D117" s="17" t="s">
        <v>155</v>
      </c>
      <c r="E117" s="17"/>
      <c r="F117" s="17" t="s">
        <v>156</v>
      </c>
      <c r="G117" s="17"/>
      <c r="H117" s="17" t="s">
        <v>157</v>
      </c>
      <c r="I117" s="17"/>
      <c r="J117" s="17" t="s">
        <v>158</v>
      </c>
      <c r="K117" s="17"/>
      <c r="L117" s="17" t="s">
        <v>159</v>
      </c>
      <c r="M117" s="17"/>
      <c r="N117" s="17" t="s">
        <v>227</v>
      </c>
      <c r="O117" s="17" t="s">
        <v>419</v>
      </c>
      <c r="P117" s="17" t="s">
        <v>493</v>
      </c>
      <c r="Q117" s="17"/>
      <c r="R117" s="25" t="str">
        <f>HYPERLINK("https://ictv.global/taxonomy/taxondetails?taxnode_id=202309145","Quwivirus miniopteridbeta1")</f>
        <v>Quwivirus miniopteridbeta1</v>
      </c>
      <c r="S117" s="18" t="s">
        <v>30</v>
      </c>
      <c r="T117" s="18" t="s">
        <v>497</v>
      </c>
      <c r="U117" s="18" t="s">
        <v>498</v>
      </c>
      <c r="V117" s="18" t="s">
        <v>499</v>
      </c>
      <c r="W117" s="18" t="s">
        <v>500</v>
      </c>
      <c r="X117" s="18" t="s">
        <v>42</v>
      </c>
      <c r="Y117" s="18" t="s">
        <v>36</v>
      </c>
      <c r="Z117" s="18" t="s">
        <v>166</v>
      </c>
      <c r="AA117" s="21" t="str">
        <f>HYPERLINK("https://www.ncbi.nlm.nih.gov/nuccore/JQ805139","NCBI Nucleotide")</f>
        <v>NCBI Nucleotide</v>
      </c>
    </row>
    <row r="118" spans="1:27" x14ac:dyDescent="0.35">
      <c r="A118">
        <v>1000117</v>
      </c>
      <c r="B118">
        <v>117</v>
      </c>
      <c r="C118">
        <v>1</v>
      </c>
      <c r="D118" s="17" t="s">
        <v>155</v>
      </c>
      <c r="E118" s="17"/>
      <c r="F118" s="17" t="s">
        <v>156</v>
      </c>
      <c r="G118" s="17"/>
      <c r="H118" s="17" t="s">
        <v>157</v>
      </c>
      <c r="I118" s="17"/>
      <c r="J118" s="17" t="s">
        <v>158</v>
      </c>
      <c r="K118" s="17"/>
      <c r="L118" s="17" t="s">
        <v>159</v>
      </c>
      <c r="M118" s="17"/>
      <c r="N118" s="17" t="s">
        <v>227</v>
      </c>
      <c r="O118" s="17" t="s">
        <v>419</v>
      </c>
      <c r="P118" s="17" t="s">
        <v>493</v>
      </c>
      <c r="Q118" s="17"/>
      <c r="R118" s="25" t="str">
        <f>HYPERLINK("https://ictv.global/taxonomy/taxondetails?taxnode_id=202301480","Quwivirus tupaiidbeta1")</f>
        <v>Quwivirus tupaiidbeta1</v>
      </c>
      <c r="S118" s="18" t="s">
        <v>30</v>
      </c>
      <c r="T118" s="18" t="s">
        <v>501</v>
      </c>
      <c r="U118" s="18" t="s">
        <v>502</v>
      </c>
      <c r="V118" s="18">
        <v>2</v>
      </c>
      <c r="W118" s="18" t="s">
        <v>503</v>
      </c>
      <c r="X118" s="18" t="s">
        <v>42</v>
      </c>
      <c r="Y118" s="18" t="s">
        <v>36</v>
      </c>
      <c r="Z118" s="18" t="s">
        <v>166</v>
      </c>
      <c r="AA118" s="21" t="str">
        <f>HYPERLINK("https://www.ncbi.nlm.nih.gov/nuccore/AF281817","NCBI Nucleotide")</f>
        <v>NCBI Nucleotide</v>
      </c>
    </row>
    <row r="119" spans="1:27" x14ac:dyDescent="0.35">
      <c r="A119">
        <v>1000120</v>
      </c>
      <c r="B119">
        <v>118</v>
      </c>
      <c r="C119">
        <v>1</v>
      </c>
      <c r="D119" s="17" t="s">
        <v>155</v>
      </c>
      <c r="E119" s="17"/>
      <c r="F119" s="17" t="s">
        <v>156</v>
      </c>
      <c r="G119" s="17"/>
      <c r="H119" s="17" t="s">
        <v>157</v>
      </c>
      <c r="I119" s="17"/>
      <c r="J119" s="17" t="s">
        <v>158</v>
      </c>
      <c r="K119" s="17"/>
      <c r="L119" s="17" t="s">
        <v>159</v>
      </c>
      <c r="M119" s="17"/>
      <c r="N119" s="17" t="s">
        <v>227</v>
      </c>
      <c r="O119" s="17" t="s">
        <v>419</v>
      </c>
      <c r="P119" s="17" t="s">
        <v>504</v>
      </c>
      <c r="Q119" s="17"/>
      <c r="R119" s="25" t="str">
        <f>HYPERLINK("https://ictv.global/taxonomy/taxondetails?taxnode_id=202301474","Roseolovirus humanbeta7")</f>
        <v>Roseolovirus humanbeta7</v>
      </c>
      <c r="S119" s="18" t="s">
        <v>30</v>
      </c>
      <c r="T119" s="18" t="s">
        <v>513</v>
      </c>
      <c r="U119" s="18" t="s">
        <v>514</v>
      </c>
      <c r="V119" s="18" t="s">
        <v>515</v>
      </c>
      <c r="W119" s="18" t="s">
        <v>516</v>
      </c>
      <c r="X119" s="18" t="s">
        <v>42</v>
      </c>
      <c r="Y119" s="18" t="s">
        <v>36</v>
      </c>
      <c r="Z119" s="18" t="s">
        <v>166</v>
      </c>
      <c r="AA119" s="21" t="str">
        <f>HYPERLINK("https://www.ncbi.nlm.nih.gov/nuccore/AF037218","NCBI Nucleotide")</f>
        <v>NCBI Nucleotide</v>
      </c>
    </row>
    <row r="120" spans="1:27" x14ac:dyDescent="0.35">
      <c r="A120">
        <v>1000118</v>
      </c>
      <c r="B120">
        <v>119</v>
      </c>
      <c r="C120">
        <v>1</v>
      </c>
      <c r="D120" s="17" t="s">
        <v>155</v>
      </c>
      <c r="E120" s="17"/>
      <c r="F120" s="17" t="s">
        <v>156</v>
      </c>
      <c r="G120" s="17"/>
      <c r="H120" s="17" t="s">
        <v>157</v>
      </c>
      <c r="I120" s="17"/>
      <c r="J120" s="17" t="s">
        <v>158</v>
      </c>
      <c r="K120" s="17"/>
      <c r="L120" s="17" t="s">
        <v>159</v>
      </c>
      <c r="M120" s="17"/>
      <c r="N120" s="17" t="s">
        <v>227</v>
      </c>
      <c r="O120" s="17" t="s">
        <v>419</v>
      </c>
      <c r="P120" s="17" t="s">
        <v>504</v>
      </c>
      <c r="Q120" s="17"/>
      <c r="R120" s="25" t="str">
        <f>HYPERLINK("https://ictv.global/taxonomy/taxondetails?taxnode_id=202301475","Roseolovirus humanbeta6a")</f>
        <v>Roseolovirus humanbeta6a</v>
      </c>
      <c r="S120" s="18" t="s">
        <v>30</v>
      </c>
      <c r="T120" s="18" t="s">
        <v>505</v>
      </c>
      <c r="U120" s="18" t="s">
        <v>506</v>
      </c>
      <c r="V120" s="18" t="s">
        <v>507</v>
      </c>
      <c r="W120" s="18" t="s">
        <v>508</v>
      </c>
      <c r="X120" s="18" t="s">
        <v>42</v>
      </c>
      <c r="Y120" s="18" t="s">
        <v>36</v>
      </c>
      <c r="Z120" s="18" t="s">
        <v>166</v>
      </c>
      <c r="AA120" s="21" t="str">
        <f>HYPERLINK("https://www.ncbi.nlm.nih.gov/nuccore/X83413","NCBI Nucleotide")</f>
        <v>NCBI Nucleotide</v>
      </c>
    </row>
    <row r="121" spans="1:27" x14ac:dyDescent="0.35">
      <c r="A121">
        <v>1000119</v>
      </c>
      <c r="B121">
        <v>120</v>
      </c>
      <c r="C121">
        <v>1</v>
      </c>
      <c r="D121" s="17" t="s">
        <v>155</v>
      </c>
      <c r="E121" s="17"/>
      <c r="F121" s="17" t="s">
        <v>156</v>
      </c>
      <c r="G121" s="17"/>
      <c r="H121" s="17" t="s">
        <v>157</v>
      </c>
      <c r="I121" s="17"/>
      <c r="J121" s="17" t="s">
        <v>158</v>
      </c>
      <c r="K121" s="17"/>
      <c r="L121" s="17" t="s">
        <v>159</v>
      </c>
      <c r="M121" s="17"/>
      <c r="N121" s="17" t="s">
        <v>227</v>
      </c>
      <c r="O121" s="17" t="s">
        <v>419</v>
      </c>
      <c r="P121" s="17" t="s">
        <v>504</v>
      </c>
      <c r="Q121" s="17"/>
      <c r="R121" s="25" t="str">
        <f>HYPERLINK("https://ictv.global/taxonomy/taxondetails?taxnode_id=202301476","Roseolovirus humanbeta6b")</f>
        <v>Roseolovirus humanbeta6b</v>
      </c>
      <c r="S121" s="18" t="s">
        <v>30</v>
      </c>
      <c r="T121" s="18" t="s">
        <v>509</v>
      </c>
      <c r="U121" s="18" t="s">
        <v>510</v>
      </c>
      <c r="V121" s="18" t="s">
        <v>511</v>
      </c>
      <c r="W121" s="18" t="s">
        <v>512</v>
      </c>
      <c r="X121" s="18" t="s">
        <v>42</v>
      </c>
      <c r="Y121" s="18" t="s">
        <v>36</v>
      </c>
      <c r="Z121" s="18" t="s">
        <v>166</v>
      </c>
      <c r="AA121" s="21" t="str">
        <f>HYPERLINK("https://www.ncbi.nlm.nih.gov/nuccore/AF157706","NCBI Nucleotide")</f>
        <v>NCBI Nucleotide</v>
      </c>
    </row>
    <row r="122" spans="1:27" x14ac:dyDescent="0.35">
      <c r="A122">
        <v>1000121</v>
      </c>
      <c r="B122">
        <v>121</v>
      </c>
      <c r="C122">
        <v>1</v>
      </c>
      <c r="D122" s="17" t="s">
        <v>155</v>
      </c>
      <c r="E122" s="17"/>
      <c r="F122" s="17" t="s">
        <v>156</v>
      </c>
      <c r="G122" s="17"/>
      <c r="H122" s="17" t="s">
        <v>157</v>
      </c>
      <c r="I122" s="17"/>
      <c r="J122" s="17" t="s">
        <v>158</v>
      </c>
      <c r="K122" s="17"/>
      <c r="L122" s="17" t="s">
        <v>159</v>
      </c>
      <c r="M122" s="17"/>
      <c r="N122" s="17" t="s">
        <v>227</v>
      </c>
      <c r="O122" s="17" t="s">
        <v>419</v>
      </c>
      <c r="P122" s="17" t="s">
        <v>504</v>
      </c>
      <c r="Q122" s="17"/>
      <c r="R122" s="25" t="str">
        <f>HYPERLINK("https://ictv.global/taxonomy/taxondetails?taxnode_id=202306402","Roseolovirus macacinebeta9")</f>
        <v>Roseolovirus macacinebeta9</v>
      </c>
      <c r="S122" s="18" t="s">
        <v>30</v>
      </c>
      <c r="T122" s="18" t="s">
        <v>517</v>
      </c>
      <c r="U122" s="18" t="s">
        <v>518</v>
      </c>
      <c r="V122" s="18"/>
      <c r="W122" s="18" t="s">
        <v>519</v>
      </c>
      <c r="X122" s="18" t="s">
        <v>42</v>
      </c>
      <c r="Y122" s="18" t="s">
        <v>36</v>
      </c>
      <c r="Z122" s="18" t="s">
        <v>166</v>
      </c>
      <c r="AA122" s="21" t="str">
        <f>HYPERLINK("https://www.ncbi.nlm.nih.gov/nuccore/KU351741","NCBI Nucleotide")</f>
        <v>NCBI Nucleotide</v>
      </c>
    </row>
    <row r="123" spans="1:27" x14ac:dyDescent="0.35">
      <c r="A123">
        <v>1000122</v>
      </c>
      <c r="B123">
        <v>122</v>
      </c>
      <c r="C123">
        <v>1</v>
      </c>
      <c r="D123" s="17" t="s">
        <v>155</v>
      </c>
      <c r="E123" s="17"/>
      <c r="F123" s="17" t="s">
        <v>156</v>
      </c>
      <c r="G123" s="17"/>
      <c r="H123" s="17" t="s">
        <v>157</v>
      </c>
      <c r="I123" s="17"/>
      <c r="J123" s="17" t="s">
        <v>158</v>
      </c>
      <c r="K123" s="17"/>
      <c r="L123" s="17" t="s">
        <v>159</v>
      </c>
      <c r="M123" s="17"/>
      <c r="N123" s="17" t="s">
        <v>227</v>
      </c>
      <c r="O123" s="17" t="s">
        <v>419</v>
      </c>
      <c r="P123" s="17" t="s">
        <v>504</v>
      </c>
      <c r="Q123" s="17"/>
      <c r="R123" s="25" t="str">
        <f>HYPERLINK("https://ictv.global/taxonomy/taxondetails?taxnode_id=202306403","Roseolovirus muridbeta3")</f>
        <v>Roseolovirus muridbeta3</v>
      </c>
      <c r="S123" s="18" t="s">
        <v>30</v>
      </c>
      <c r="T123" s="18" t="s">
        <v>520</v>
      </c>
      <c r="U123" s="18" t="s">
        <v>521</v>
      </c>
      <c r="V123" s="18" t="s">
        <v>522</v>
      </c>
      <c r="W123" s="18" t="s">
        <v>523</v>
      </c>
      <c r="X123" s="18" t="s">
        <v>42</v>
      </c>
      <c r="Y123" s="18" t="s">
        <v>36</v>
      </c>
      <c r="Z123" s="18" t="s">
        <v>166</v>
      </c>
      <c r="AA123" s="21" t="str">
        <f>HYPERLINK("https://www.ncbi.nlm.nih.gov/nuccore/KY355735","NCBI Nucleotide")</f>
        <v>NCBI Nucleotide</v>
      </c>
    </row>
    <row r="124" spans="1:27" x14ac:dyDescent="0.35">
      <c r="A124">
        <v>1000123</v>
      </c>
      <c r="B124">
        <v>123</v>
      </c>
      <c r="C124">
        <v>1</v>
      </c>
      <c r="D124" s="17" t="s">
        <v>155</v>
      </c>
      <c r="E124" s="17"/>
      <c r="F124" s="17" t="s">
        <v>156</v>
      </c>
      <c r="G124" s="17"/>
      <c r="H124" s="17" t="s">
        <v>157</v>
      </c>
      <c r="I124" s="17"/>
      <c r="J124" s="17" t="s">
        <v>158</v>
      </c>
      <c r="K124" s="17"/>
      <c r="L124" s="17" t="s">
        <v>159</v>
      </c>
      <c r="M124" s="17"/>
      <c r="N124" s="17" t="s">
        <v>227</v>
      </c>
      <c r="O124" s="17" t="s">
        <v>419</v>
      </c>
      <c r="P124" s="17" t="s">
        <v>504</v>
      </c>
      <c r="Q124" s="17"/>
      <c r="R124" s="25" t="str">
        <f>HYPERLINK("https://ictv.global/taxonomy/taxondetails?taxnode_id=202301479","Roseolovirus suidbeta2")</f>
        <v>Roseolovirus suidbeta2</v>
      </c>
      <c r="S124" s="18" t="s">
        <v>30</v>
      </c>
      <c r="T124" s="18" t="s">
        <v>524</v>
      </c>
      <c r="U124" s="18" t="s">
        <v>525</v>
      </c>
      <c r="V124" s="18" t="s">
        <v>526</v>
      </c>
      <c r="W124" s="18" t="s">
        <v>527</v>
      </c>
      <c r="X124" s="18" t="s">
        <v>42</v>
      </c>
      <c r="Y124" s="18" t="s">
        <v>36</v>
      </c>
      <c r="Z124" s="18" t="s">
        <v>166</v>
      </c>
      <c r="AA124" s="21" t="str">
        <f>HYPERLINK("https://www.ncbi.nlm.nih.gov/nuccore/KF017583","NCBI Nucleotide")</f>
        <v>NCBI Nucleotide</v>
      </c>
    </row>
    <row r="125" spans="1:27" x14ac:dyDescent="0.35">
      <c r="A125">
        <v>1000124</v>
      </c>
      <c r="B125">
        <v>124</v>
      </c>
      <c r="C125">
        <v>1</v>
      </c>
      <c r="D125" s="17" t="s">
        <v>155</v>
      </c>
      <c r="E125" s="17"/>
      <c r="F125" s="17" t="s">
        <v>156</v>
      </c>
      <c r="G125" s="17"/>
      <c r="H125" s="17" t="s">
        <v>157</v>
      </c>
      <c r="I125" s="17"/>
      <c r="J125" s="17" t="s">
        <v>158</v>
      </c>
      <c r="K125" s="17"/>
      <c r="L125" s="17" t="s">
        <v>159</v>
      </c>
      <c r="M125" s="17"/>
      <c r="N125" s="17" t="s">
        <v>227</v>
      </c>
      <c r="O125" s="17" t="s">
        <v>528</v>
      </c>
      <c r="P125" s="17" t="s">
        <v>529</v>
      </c>
      <c r="Q125" s="17"/>
      <c r="R125" s="25" t="str">
        <f>HYPERLINK("https://ictv.global/taxonomy/taxondetails?taxnode_id=202309147","Bossavirus delphinidgamma1")</f>
        <v>Bossavirus delphinidgamma1</v>
      </c>
      <c r="S125" s="18" t="s">
        <v>30</v>
      </c>
      <c r="T125" s="18" t="s">
        <v>530</v>
      </c>
      <c r="U125" s="18" t="s">
        <v>531</v>
      </c>
      <c r="V125" s="18" t="s">
        <v>532</v>
      </c>
      <c r="W125" s="18" t="s">
        <v>533</v>
      </c>
      <c r="X125" s="18" t="s">
        <v>42</v>
      </c>
      <c r="Y125" s="18" t="s">
        <v>36</v>
      </c>
      <c r="Z125" s="18" t="s">
        <v>166</v>
      </c>
      <c r="AA125" s="21" t="str">
        <f>HYPERLINK("https://www.ncbi.nlm.nih.gov/nuccore/KY965444","NCBI Nucleotide")</f>
        <v>NCBI Nucleotide</v>
      </c>
    </row>
    <row r="126" spans="1:27" x14ac:dyDescent="0.35">
      <c r="A126">
        <v>1000125</v>
      </c>
      <c r="B126">
        <v>125</v>
      </c>
      <c r="C126">
        <v>1</v>
      </c>
      <c r="D126" s="17" t="s">
        <v>155</v>
      </c>
      <c r="E126" s="17"/>
      <c r="F126" s="17" t="s">
        <v>156</v>
      </c>
      <c r="G126" s="17"/>
      <c r="H126" s="17" t="s">
        <v>157</v>
      </c>
      <c r="I126" s="17"/>
      <c r="J126" s="17" t="s">
        <v>158</v>
      </c>
      <c r="K126" s="17"/>
      <c r="L126" s="17" t="s">
        <v>159</v>
      </c>
      <c r="M126" s="17"/>
      <c r="N126" s="17" t="s">
        <v>227</v>
      </c>
      <c r="O126" s="17" t="s">
        <v>528</v>
      </c>
      <c r="P126" s="17" t="s">
        <v>534</v>
      </c>
      <c r="Q126" s="17"/>
      <c r="R126" s="25" t="str">
        <f>HYPERLINK("https://ictv.global/taxonomy/taxondetails?taxnode_id=202301483","Lymphocryptovirus callitrichinegamma3")</f>
        <v>Lymphocryptovirus callitrichinegamma3</v>
      </c>
      <c r="S126" s="18" t="s">
        <v>30</v>
      </c>
      <c r="T126" s="18" t="s">
        <v>535</v>
      </c>
      <c r="U126" s="18" t="s">
        <v>536</v>
      </c>
      <c r="V126" s="18" t="s">
        <v>537</v>
      </c>
      <c r="W126" s="18" t="s">
        <v>538</v>
      </c>
      <c r="X126" s="18" t="s">
        <v>42</v>
      </c>
      <c r="Y126" s="18" t="s">
        <v>36</v>
      </c>
      <c r="Z126" s="18" t="s">
        <v>166</v>
      </c>
      <c r="AA126" s="21" t="str">
        <f>HYPERLINK("https://www.ncbi.nlm.nih.gov/nuccore/AF319782","NCBI Nucleotide")</f>
        <v>NCBI Nucleotide</v>
      </c>
    </row>
    <row r="127" spans="1:27" x14ac:dyDescent="0.35">
      <c r="A127">
        <v>1000126</v>
      </c>
      <c r="B127">
        <v>126</v>
      </c>
      <c r="C127">
        <v>1</v>
      </c>
      <c r="D127" s="17" t="s">
        <v>155</v>
      </c>
      <c r="E127" s="17"/>
      <c r="F127" s="17" t="s">
        <v>156</v>
      </c>
      <c r="G127" s="17"/>
      <c r="H127" s="17" t="s">
        <v>157</v>
      </c>
      <c r="I127" s="17"/>
      <c r="J127" s="17" t="s">
        <v>158</v>
      </c>
      <c r="K127" s="17"/>
      <c r="L127" s="17" t="s">
        <v>159</v>
      </c>
      <c r="M127" s="17"/>
      <c r="N127" s="17" t="s">
        <v>227</v>
      </c>
      <c r="O127" s="17" t="s">
        <v>528</v>
      </c>
      <c r="P127" s="17" t="s">
        <v>534</v>
      </c>
      <c r="Q127" s="17"/>
      <c r="R127" s="25" t="str">
        <f>HYPERLINK("https://ictv.global/taxonomy/taxondetails?taxnode_id=202301485","Lymphocryptovirus gorillinegamma1")</f>
        <v>Lymphocryptovirus gorillinegamma1</v>
      </c>
      <c r="S127" s="18" t="s">
        <v>30</v>
      </c>
      <c r="T127" s="18" t="s">
        <v>539</v>
      </c>
      <c r="U127" s="18" t="s">
        <v>540</v>
      </c>
      <c r="V127" s="18" t="s">
        <v>541</v>
      </c>
      <c r="W127" s="18" t="s">
        <v>542</v>
      </c>
      <c r="X127" s="18" t="s">
        <v>154</v>
      </c>
      <c r="Y127" s="18" t="s">
        <v>36</v>
      </c>
      <c r="Z127" s="18" t="s">
        <v>166</v>
      </c>
      <c r="AA127" s="21" t="str">
        <f>HYPERLINK("https://www.ncbi.nlm.nih.gov/nuccore/AJ581752","NCBI Nucleotide")</f>
        <v>NCBI Nucleotide</v>
      </c>
    </row>
    <row r="128" spans="1:27" x14ac:dyDescent="0.35">
      <c r="A128">
        <v>1000127</v>
      </c>
      <c r="B128">
        <v>127</v>
      </c>
      <c r="C128">
        <v>1</v>
      </c>
      <c r="D128" s="17" t="s">
        <v>155</v>
      </c>
      <c r="E128" s="17"/>
      <c r="F128" s="17" t="s">
        <v>156</v>
      </c>
      <c r="G128" s="17"/>
      <c r="H128" s="17" t="s">
        <v>157</v>
      </c>
      <c r="I128" s="17"/>
      <c r="J128" s="17" t="s">
        <v>158</v>
      </c>
      <c r="K128" s="17"/>
      <c r="L128" s="17" t="s">
        <v>159</v>
      </c>
      <c r="M128" s="17"/>
      <c r="N128" s="17" t="s">
        <v>227</v>
      </c>
      <c r="O128" s="17" t="s">
        <v>528</v>
      </c>
      <c r="P128" s="17" t="s">
        <v>534</v>
      </c>
      <c r="Q128" s="17"/>
      <c r="R128" s="25" t="str">
        <f>HYPERLINK("https://ictv.global/taxonomy/taxondetails?taxnode_id=202301486","Lymphocryptovirus humangamma4")</f>
        <v>Lymphocryptovirus humangamma4</v>
      </c>
      <c r="S128" s="18" t="s">
        <v>30</v>
      </c>
      <c r="T128" s="18" t="s">
        <v>543</v>
      </c>
      <c r="U128" s="18" t="s">
        <v>544</v>
      </c>
      <c r="V128" s="18" t="s">
        <v>545</v>
      </c>
      <c r="W128" s="18" t="s">
        <v>546</v>
      </c>
      <c r="X128" s="18" t="s">
        <v>42</v>
      </c>
      <c r="Y128" s="18" t="s">
        <v>36</v>
      </c>
      <c r="Z128" s="18" t="s">
        <v>166</v>
      </c>
      <c r="AA128" s="21" t="str">
        <f>HYPERLINK("https://www.ncbi.nlm.nih.gov/nuccore/AJ507799","NCBI Nucleotide")</f>
        <v>NCBI Nucleotide</v>
      </c>
    </row>
    <row r="129" spans="1:27" x14ac:dyDescent="0.35">
      <c r="A129">
        <v>1000130</v>
      </c>
      <c r="B129">
        <v>128</v>
      </c>
      <c r="C129">
        <v>1</v>
      </c>
      <c r="D129" s="17" t="s">
        <v>155</v>
      </c>
      <c r="E129" s="17"/>
      <c r="F129" s="17" t="s">
        <v>156</v>
      </c>
      <c r="G129" s="17"/>
      <c r="H129" s="17" t="s">
        <v>157</v>
      </c>
      <c r="I129" s="17"/>
      <c r="J129" s="17" t="s">
        <v>158</v>
      </c>
      <c r="K129" s="17"/>
      <c r="L129" s="17" t="s">
        <v>159</v>
      </c>
      <c r="M129" s="17"/>
      <c r="N129" s="17" t="s">
        <v>227</v>
      </c>
      <c r="O129" s="17" t="s">
        <v>528</v>
      </c>
      <c r="P129" s="17" t="s">
        <v>534</v>
      </c>
      <c r="Q129" s="17"/>
      <c r="R129" s="25" t="str">
        <f>HYPERLINK("https://ictv.global/taxonomy/taxondetails?taxnode_id=202301487","Lymphocryptovirus macacinegamma4")</f>
        <v>Lymphocryptovirus macacinegamma4</v>
      </c>
      <c r="S129" s="18" t="s">
        <v>30</v>
      </c>
      <c r="T129" s="18" t="s">
        <v>555</v>
      </c>
      <c r="U129" s="18" t="s">
        <v>556</v>
      </c>
      <c r="V129" s="18" t="s">
        <v>557</v>
      </c>
      <c r="W129" s="18" t="s">
        <v>558</v>
      </c>
      <c r="X129" s="18" t="s">
        <v>42</v>
      </c>
      <c r="Y129" s="18" t="s">
        <v>36</v>
      </c>
      <c r="Z129" s="18" t="s">
        <v>166</v>
      </c>
      <c r="AA129" s="21" t="str">
        <f>HYPERLINK("https://www.ncbi.nlm.nih.gov/nuccore/AY037858","NCBI Nucleotide")</f>
        <v>NCBI Nucleotide</v>
      </c>
    </row>
    <row r="130" spans="1:27" x14ac:dyDescent="0.35">
      <c r="A130">
        <v>1000128</v>
      </c>
      <c r="B130">
        <v>129</v>
      </c>
      <c r="C130">
        <v>1</v>
      </c>
      <c r="D130" s="17" t="s">
        <v>155</v>
      </c>
      <c r="E130" s="17"/>
      <c r="F130" s="17" t="s">
        <v>156</v>
      </c>
      <c r="G130" s="17"/>
      <c r="H130" s="17" t="s">
        <v>157</v>
      </c>
      <c r="I130" s="17"/>
      <c r="J130" s="17" t="s">
        <v>158</v>
      </c>
      <c r="K130" s="17"/>
      <c r="L130" s="17" t="s">
        <v>159</v>
      </c>
      <c r="M130" s="17"/>
      <c r="N130" s="17" t="s">
        <v>227</v>
      </c>
      <c r="O130" s="17" t="s">
        <v>528</v>
      </c>
      <c r="P130" s="17" t="s">
        <v>534</v>
      </c>
      <c r="Q130" s="17"/>
      <c r="R130" s="25" t="str">
        <f>HYPERLINK("https://ictv.global/taxonomy/taxondetails?taxnode_id=202306406","Lymphocryptovirus macacinegamma10")</f>
        <v>Lymphocryptovirus macacinegamma10</v>
      </c>
      <c r="S130" s="18" t="s">
        <v>30</v>
      </c>
      <c r="T130" s="18" t="s">
        <v>547</v>
      </c>
      <c r="U130" s="18" t="s">
        <v>548</v>
      </c>
      <c r="V130" s="18" t="s">
        <v>549</v>
      </c>
      <c r="W130" s="18" t="s">
        <v>550</v>
      </c>
      <c r="X130" s="18" t="s">
        <v>42</v>
      </c>
      <c r="Y130" s="18" t="s">
        <v>36</v>
      </c>
      <c r="Z130" s="18" t="s">
        <v>166</v>
      </c>
      <c r="AA130" s="21" t="str">
        <f>HYPERLINK("https://www.ncbi.nlm.nih.gov/nuccore/KP676001","NCBI Nucleotide")</f>
        <v>NCBI Nucleotide</v>
      </c>
    </row>
    <row r="131" spans="1:27" x14ac:dyDescent="0.35">
      <c r="A131">
        <v>1000129</v>
      </c>
      <c r="B131">
        <v>130</v>
      </c>
      <c r="C131">
        <v>1</v>
      </c>
      <c r="D131" s="17" t="s">
        <v>155</v>
      </c>
      <c r="E131" s="17"/>
      <c r="F131" s="17" t="s">
        <v>156</v>
      </c>
      <c r="G131" s="17"/>
      <c r="H131" s="17" t="s">
        <v>157</v>
      </c>
      <c r="I131" s="17"/>
      <c r="J131" s="17" t="s">
        <v>158</v>
      </c>
      <c r="K131" s="17"/>
      <c r="L131" s="17" t="s">
        <v>159</v>
      </c>
      <c r="M131" s="17"/>
      <c r="N131" s="17" t="s">
        <v>227</v>
      </c>
      <c r="O131" s="17" t="s">
        <v>528</v>
      </c>
      <c r="P131" s="17" t="s">
        <v>534</v>
      </c>
      <c r="Q131" s="17"/>
      <c r="R131" s="25" t="str">
        <f>HYPERLINK("https://ictv.global/taxonomy/taxondetails?taxnode_id=202314019","Lymphocryptovirus macacinegamma13")</f>
        <v>Lymphocryptovirus macacinegamma13</v>
      </c>
      <c r="S131" s="18" t="s">
        <v>30</v>
      </c>
      <c r="T131" s="18" t="s">
        <v>551</v>
      </c>
      <c r="U131" s="18" t="s">
        <v>552</v>
      </c>
      <c r="V131" s="18" t="s">
        <v>553</v>
      </c>
      <c r="W131" s="18" t="s">
        <v>554</v>
      </c>
      <c r="X131" s="18" t="s">
        <v>42</v>
      </c>
      <c r="Y131" s="18" t="s">
        <v>36</v>
      </c>
      <c r="Z131" s="18" t="s">
        <v>166</v>
      </c>
      <c r="AA131" s="21" t="str">
        <f>HYPERLINK("https://www.ncbi.nlm.nih.gov/nuccore/MG471437","NCBI Nucleotide")</f>
        <v>NCBI Nucleotide</v>
      </c>
    </row>
    <row r="132" spans="1:27" x14ac:dyDescent="0.35">
      <c r="A132">
        <v>1000131</v>
      </c>
      <c r="B132">
        <v>131</v>
      </c>
      <c r="C132">
        <v>1</v>
      </c>
      <c r="D132" s="17" t="s">
        <v>155</v>
      </c>
      <c r="E132" s="17"/>
      <c r="F132" s="17" t="s">
        <v>156</v>
      </c>
      <c r="G132" s="17"/>
      <c r="H132" s="17" t="s">
        <v>157</v>
      </c>
      <c r="I132" s="17"/>
      <c r="J132" s="17" t="s">
        <v>158</v>
      </c>
      <c r="K132" s="17"/>
      <c r="L132" s="17" t="s">
        <v>159</v>
      </c>
      <c r="M132" s="17"/>
      <c r="N132" s="17" t="s">
        <v>227</v>
      </c>
      <c r="O132" s="17" t="s">
        <v>528</v>
      </c>
      <c r="P132" s="17" t="s">
        <v>534</v>
      </c>
      <c r="Q132" s="17"/>
      <c r="R132" s="25" t="str">
        <f>HYPERLINK("https://ictv.global/taxonomy/taxondetails?taxnode_id=202301488","Lymphocryptovirus paninegamma1")</f>
        <v>Lymphocryptovirus paninegamma1</v>
      </c>
      <c r="S132" s="18" t="s">
        <v>30</v>
      </c>
      <c r="T132" s="18" t="s">
        <v>559</v>
      </c>
      <c r="U132" s="18" t="s">
        <v>560</v>
      </c>
      <c r="V132" s="18" t="s">
        <v>561</v>
      </c>
      <c r="W132" s="18" t="s">
        <v>562</v>
      </c>
      <c r="X132" s="18" t="s">
        <v>154</v>
      </c>
      <c r="Y132" s="18" t="s">
        <v>36</v>
      </c>
      <c r="Z132" s="18" t="s">
        <v>166</v>
      </c>
      <c r="AA132" s="21" t="str">
        <f>HYPERLINK("https://www.ncbi.nlm.nih.gov/nuccore/AJ581751","NCBI Nucleotide")</f>
        <v>NCBI Nucleotide</v>
      </c>
    </row>
    <row r="133" spans="1:27" x14ac:dyDescent="0.35">
      <c r="A133">
        <v>1000132</v>
      </c>
      <c r="B133">
        <v>132</v>
      </c>
      <c r="C133">
        <v>1</v>
      </c>
      <c r="D133" s="17" t="s">
        <v>155</v>
      </c>
      <c r="E133" s="17"/>
      <c r="F133" s="17" t="s">
        <v>156</v>
      </c>
      <c r="G133" s="17"/>
      <c r="H133" s="17" t="s">
        <v>157</v>
      </c>
      <c r="I133" s="17"/>
      <c r="J133" s="17" t="s">
        <v>158</v>
      </c>
      <c r="K133" s="17"/>
      <c r="L133" s="17" t="s">
        <v>159</v>
      </c>
      <c r="M133" s="17"/>
      <c r="N133" s="17" t="s">
        <v>227</v>
      </c>
      <c r="O133" s="17" t="s">
        <v>528</v>
      </c>
      <c r="P133" s="17" t="s">
        <v>534</v>
      </c>
      <c r="Q133" s="17"/>
      <c r="R133" s="25" t="str">
        <f>HYPERLINK("https://ictv.global/taxonomy/taxondetails?taxnode_id=202301489","Lymphocryptovirus papiinegamma1")</f>
        <v>Lymphocryptovirus papiinegamma1</v>
      </c>
      <c r="S133" s="18" t="s">
        <v>30</v>
      </c>
      <c r="T133" s="18" t="s">
        <v>563</v>
      </c>
      <c r="U133" s="18" t="s">
        <v>564</v>
      </c>
      <c r="V133" s="18" t="s">
        <v>565</v>
      </c>
      <c r="W133" s="18" t="s">
        <v>566</v>
      </c>
      <c r="X133" s="18" t="s">
        <v>154</v>
      </c>
      <c r="Y133" s="18" t="s">
        <v>36</v>
      </c>
      <c r="Z133" s="18" t="s">
        <v>166</v>
      </c>
      <c r="AA133" s="21" t="str">
        <f>HYPERLINK("https://www.ncbi.nlm.nih.gov/nuccore/AJ581750","NCBI Nucleotide")</f>
        <v>NCBI Nucleotide</v>
      </c>
    </row>
    <row r="134" spans="1:27" x14ac:dyDescent="0.35">
      <c r="A134">
        <v>1000133</v>
      </c>
      <c r="B134">
        <v>133</v>
      </c>
      <c r="C134">
        <v>1</v>
      </c>
      <c r="D134" s="17" t="s">
        <v>155</v>
      </c>
      <c r="E134" s="17"/>
      <c r="F134" s="17" t="s">
        <v>156</v>
      </c>
      <c r="G134" s="17"/>
      <c r="H134" s="17" t="s">
        <v>157</v>
      </c>
      <c r="I134" s="17"/>
      <c r="J134" s="17" t="s">
        <v>158</v>
      </c>
      <c r="K134" s="17"/>
      <c r="L134" s="17" t="s">
        <v>159</v>
      </c>
      <c r="M134" s="17"/>
      <c r="N134" s="17" t="s">
        <v>227</v>
      </c>
      <c r="O134" s="17" t="s">
        <v>528</v>
      </c>
      <c r="P134" s="17" t="s">
        <v>534</v>
      </c>
      <c r="Q134" s="17"/>
      <c r="R134" s="25" t="str">
        <f>HYPERLINK("https://ictv.global/taxonomy/taxondetails?taxnode_id=202301490","Lymphocryptovirus ponginegamma2")</f>
        <v>Lymphocryptovirus ponginegamma2</v>
      </c>
      <c r="S134" s="18" t="s">
        <v>30</v>
      </c>
      <c r="T134" s="18" t="s">
        <v>567</v>
      </c>
      <c r="U134" s="18" t="s">
        <v>568</v>
      </c>
      <c r="V134" s="18" t="s">
        <v>569</v>
      </c>
      <c r="W134" s="18" t="s">
        <v>570</v>
      </c>
      <c r="X134" s="18" t="s">
        <v>154</v>
      </c>
      <c r="Y134" s="18" t="s">
        <v>36</v>
      </c>
      <c r="Z134" s="18" t="s">
        <v>166</v>
      </c>
      <c r="AA134" s="21" t="str">
        <f>HYPERLINK("https://www.ncbi.nlm.nih.gov/nuccore/AJ581753","NCBI Nucleotide")</f>
        <v>NCBI Nucleotide</v>
      </c>
    </row>
    <row r="135" spans="1:27" x14ac:dyDescent="0.35">
      <c r="A135">
        <v>1000134</v>
      </c>
      <c r="B135">
        <v>134</v>
      </c>
      <c r="C135">
        <v>1</v>
      </c>
      <c r="D135" s="17" t="s">
        <v>155</v>
      </c>
      <c r="E135" s="17"/>
      <c r="F135" s="17" t="s">
        <v>156</v>
      </c>
      <c r="G135" s="17"/>
      <c r="H135" s="17" t="s">
        <v>157</v>
      </c>
      <c r="I135" s="17"/>
      <c r="J135" s="17" t="s">
        <v>158</v>
      </c>
      <c r="K135" s="17"/>
      <c r="L135" s="17" t="s">
        <v>159</v>
      </c>
      <c r="M135" s="17"/>
      <c r="N135" s="17" t="s">
        <v>227</v>
      </c>
      <c r="O135" s="17" t="s">
        <v>528</v>
      </c>
      <c r="P135" s="17" t="s">
        <v>571</v>
      </c>
      <c r="Q135" s="17"/>
      <c r="R135" s="25" t="str">
        <f>HYPERLINK("https://ictv.global/taxonomy/taxondetails?taxnode_id=202301492","Macavirus alcelaphinegamma1")</f>
        <v>Macavirus alcelaphinegamma1</v>
      </c>
      <c r="S135" s="18" t="s">
        <v>30</v>
      </c>
      <c r="T135" s="18" t="s">
        <v>572</v>
      </c>
      <c r="U135" s="18" t="s">
        <v>573</v>
      </c>
      <c r="V135" s="18" t="s">
        <v>574</v>
      </c>
      <c r="W135" s="18" t="s">
        <v>575</v>
      </c>
      <c r="X135" s="18" t="s">
        <v>35</v>
      </c>
      <c r="Y135" s="18" t="s">
        <v>36</v>
      </c>
      <c r="Z135" s="18" t="s">
        <v>166</v>
      </c>
      <c r="AA135" s="21" t="str">
        <f>HYPERLINK("https://www.ncbi.nlm.nih.gov/nuccore/AF005370","NCBI Nucleotide")</f>
        <v>NCBI Nucleotide</v>
      </c>
    </row>
    <row r="136" spans="1:27" x14ac:dyDescent="0.35">
      <c r="A136">
        <v>1000135</v>
      </c>
      <c r="B136">
        <v>135</v>
      </c>
      <c r="C136">
        <v>1</v>
      </c>
      <c r="D136" s="17" t="s">
        <v>155</v>
      </c>
      <c r="E136" s="17"/>
      <c r="F136" s="17" t="s">
        <v>156</v>
      </c>
      <c r="G136" s="17"/>
      <c r="H136" s="17" t="s">
        <v>157</v>
      </c>
      <c r="I136" s="17"/>
      <c r="J136" s="17" t="s">
        <v>158</v>
      </c>
      <c r="K136" s="17"/>
      <c r="L136" s="17" t="s">
        <v>159</v>
      </c>
      <c r="M136" s="17"/>
      <c r="N136" s="17" t="s">
        <v>227</v>
      </c>
      <c r="O136" s="17" t="s">
        <v>528</v>
      </c>
      <c r="P136" s="17" t="s">
        <v>571</v>
      </c>
      <c r="Q136" s="17"/>
      <c r="R136" s="25" t="str">
        <f>HYPERLINK("https://ictv.global/taxonomy/taxondetails?taxnode_id=202301493","Macavirus alcelaphinegamma2")</f>
        <v>Macavirus alcelaphinegamma2</v>
      </c>
      <c r="S136" s="18" t="s">
        <v>30</v>
      </c>
      <c r="T136" s="18" t="s">
        <v>576</v>
      </c>
      <c r="U136" s="18" t="s">
        <v>577</v>
      </c>
      <c r="V136" s="18" t="s">
        <v>578</v>
      </c>
      <c r="W136" s="18" t="s">
        <v>579</v>
      </c>
      <c r="X136" s="18" t="s">
        <v>42</v>
      </c>
      <c r="Y136" s="18" t="s">
        <v>36</v>
      </c>
      <c r="Z136" s="18" t="s">
        <v>166</v>
      </c>
      <c r="AA136" s="21" t="str">
        <f>HYPERLINK("https://www.ncbi.nlm.nih.gov/nuccore/KF274499","NCBI Nucleotide")</f>
        <v>NCBI Nucleotide</v>
      </c>
    </row>
    <row r="137" spans="1:27" x14ac:dyDescent="0.35">
      <c r="A137">
        <v>1000136</v>
      </c>
      <c r="B137">
        <v>136</v>
      </c>
      <c r="C137">
        <v>1</v>
      </c>
      <c r="D137" s="17" t="s">
        <v>155</v>
      </c>
      <c r="E137" s="17"/>
      <c r="F137" s="17" t="s">
        <v>156</v>
      </c>
      <c r="G137" s="17"/>
      <c r="H137" s="17" t="s">
        <v>157</v>
      </c>
      <c r="I137" s="17"/>
      <c r="J137" s="17" t="s">
        <v>158</v>
      </c>
      <c r="K137" s="17"/>
      <c r="L137" s="17" t="s">
        <v>159</v>
      </c>
      <c r="M137" s="17"/>
      <c r="N137" s="17" t="s">
        <v>227</v>
      </c>
      <c r="O137" s="17" t="s">
        <v>528</v>
      </c>
      <c r="P137" s="17" t="s">
        <v>571</v>
      </c>
      <c r="Q137" s="17"/>
      <c r="R137" s="25" t="str">
        <f>HYPERLINK("https://ictv.global/taxonomy/taxondetails?taxnode_id=202301494","Macavirus bovinegamma6")</f>
        <v>Macavirus bovinegamma6</v>
      </c>
      <c r="S137" s="18" t="s">
        <v>30</v>
      </c>
      <c r="T137" s="18" t="s">
        <v>580</v>
      </c>
      <c r="U137" s="18" t="s">
        <v>581</v>
      </c>
      <c r="V137" s="18" t="s">
        <v>582</v>
      </c>
      <c r="W137" s="18" t="s">
        <v>583</v>
      </c>
      <c r="X137" s="18" t="s">
        <v>42</v>
      </c>
      <c r="Y137" s="18" t="s">
        <v>36</v>
      </c>
      <c r="Z137" s="18" t="s">
        <v>166</v>
      </c>
      <c r="AA137" s="21" t="str">
        <f>HYPERLINK("https://www.ncbi.nlm.nih.gov/nuccore/KJ705001","NCBI Nucleotide")</f>
        <v>NCBI Nucleotide</v>
      </c>
    </row>
    <row r="138" spans="1:27" x14ac:dyDescent="0.35">
      <c r="A138">
        <v>1000137</v>
      </c>
      <c r="B138">
        <v>137</v>
      </c>
      <c r="C138">
        <v>1</v>
      </c>
      <c r="D138" s="17" t="s">
        <v>155</v>
      </c>
      <c r="E138" s="17"/>
      <c r="F138" s="17" t="s">
        <v>156</v>
      </c>
      <c r="G138" s="17"/>
      <c r="H138" s="17" t="s">
        <v>157</v>
      </c>
      <c r="I138" s="17"/>
      <c r="J138" s="17" t="s">
        <v>158</v>
      </c>
      <c r="K138" s="17"/>
      <c r="L138" s="17" t="s">
        <v>159</v>
      </c>
      <c r="M138" s="17"/>
      <c r="N138" s="17" t="s">
        <v>227</v>
      </c>
      <c r="O138" s="17" t="s">
        <v>528</v>
      </c>
      <c r="P138" s="17" t="s">
        <v>571</v>
      </c>
      <c r="Q138" s="17"/>
      <c r="R138" s="25" t="str">
        <f>HYPERLINK("https://ictv.global/taxonomy/taxondetails?taxnode_id=202301495","Macavirus caprinegamma2")</f>
        <v>Macavirus caprinegamma2</v>
      </c>
      <c r="S138" s="18" t="s">
        <v>30</v>
      </c>
      <c r="T138" s="18" t="s">
        <v>584</v>
      </c>
      <c r="U138" s="18" t="s">
        <v>585</v>
      </c>
      <c r="V138" s="18"/>
      <c r="W138" s="18" t="s">
        <v>586</v>
      </c>
      <c r="X138" s="18" t="s">
        <v>154</v>
      </c>
      <c r="Y138" s="18" t="s">
        <v>36</v>
      </c>
      <c r="Z138" s="18" t="s">
        <v>166</v>
      </c>
      <c r="AA138" s="21" t="str">
        <f>HYPERLINK("https://www.ncbi.nlm.nih.gov/nuccore/AF283477","NCBI Nucleotide")</f>
        <v>NCBI Nucleotide</v>
      </c>
    </row>
    <row r="139" spans="1:27" x14ac:dyDescent="0.35">
      <c r="A139">
        <v>1000138</v>
      </c>
      <c r="B139">
        <v>138</v>
      </c>
      <c r="C139">
        <v>1</v>
      </c>
      <c r="D139" s="17" t="s">
        <v>155</v>
      </c>
      <c r="E139" s="17"/>
      <c r="F139" s="17" t="s">
        <v>156</v>
      </c>
      <c r="G139" s="17"/>
      <c r="H139" s="17" t="s">
        <v>157</v>
      </c>
      <c r="I139" s="17"/>
      <c r="J139" s="17" t="s">
        <v>158</v>
      </c>
      <c r="K139" s="17"/>
      <c r="L139" s="17" t="s">
        <v>159</v>
      </c>
      <c r="M139" s="17"/>
      <c r="N139" s="17" t="s">
        <v>227</v>
      </c>
      <c r="O139" s="17" t="s">
        <v>528</v>
      </c>
      <c r="P139" s="17" t="s">
        <v>571</v>
      </c>
      <c r="Q139" s="17"/>
      <c r="R139" s="25" t="str">
        <f>HYPERLINK("https://ictv.global/taxonomy/taxondetails?taxnode_id=202301496","Macavirus hippotraginegamma1")</f>
        <v>Macavirus hippotraginegamma1</v>
      </c>
      <c r="S139" s="18" t="s">
        <v>30</v>
      </c>
      <c r="T139" s="18" t="s">
        <v>587</v>
      </c>
      <c r="U139" s="18" t="s">
        <v>588</v>
      </c>
      <c r="V139" s="18"/>
      <c r="W139" s="18" t="s">
        <v>589</v>
      </c>
      <c r="X139" s="18" t="s">
        <v>154</v>
      </c>
      <c r="Y139" s="18" t="s">
        <v>36</v>
      </c>
      <c r="Z139" s="18" t="s">
        <v>166</v>
      </c>
      <c r="AA139" s="21" t="str">
        <f>HYPERLINK("https://www.ncbi.nlm.nih.gov/nuccore/DQ083950","NCBI Nucleotide")</f>
        <v>NCBI Nucleotide</v>
      </c>
    </row>
    <row r="140" spans="1:27" x14ac:dyDescent="0.35">
      <c r="A140">
        <v>1000139</v>
      </c>
      <c r="B140">
        <v>139</v>
      </c>
      <c r="C140">
        <v>1</v>
      </c>
      <c r="D140" s="17" t="s">
        <v>155</v>
      </c>
      <c r="E140" s="17"/>
      <c r="F140" s="17" t="s">
        <v>156</v>
      </c>
      <c r="G140" s="17"/>
      <c r="H140" s="17" t="s">
        <v>157</v>
      </c>
      <c r="I140" s="17"/>
      <c r="J140" s="17" t="s">
        <v>158</v>
      </c>
      <c r="K140" s="17"/>
      <c r="L140" s="17" t="s">
        <v>159</v>
      </c>
      <c r="M140" s="17"/>
      <c r="N140" s="17" t="s">
        <v>227</v>
      </c>
      <c r="O140" s="17" t="s">
        <v>528</v>
      </c>
      <c r="P140" s="17" t="s">
        <v>571</v>
      </c>
      <c r="Q140" s="17"/>
      <c r="R140" s="25" t="str">
        <f>HYPERLINK("https://ictv.global/taxonomy/taxondetails?taxnode_id=202301497","Macavirus ovinegamma2")</f>
        <v>Macavirus ovinegamma2</v>
      </c>
      <c r="S140" s="18" t="s">
        <v>30</v>
      </c>
      <c r="T140" s="18" t="s">
        <v>590</v>
      </c>
      <c r="U140" s="18" t="s">
        <v>591</v>
      </c>
      <c r="V140" s="18" t="s">
        <v>592</v>
      </c>
      <c r="W140" s="18" t="s">
        <v>593</v>
      </c>
      <c r="X140" s="18" t="s">
        <v>42</v>
      </c>
      <c r="Y140" s="18" t="s">
        <v>36</v>
      </c>
      <c r="Z140" s="18" t="s">
        <v>166</v>
      </c>
      <c r="AA140" s="21" t="str">
        <f>HYPERLINK("https://www.ncbi.nlm.nih.gov/nuccore/AY839756","NCBI Nucleotide")</f>
        <v>NCBI Nucleotide</v>
      </c>
    </row>
    <row r="141" spans="1:27" x14ac:dyDescent="0.35">
      <c r="A141">
        <v>1000140</v>
      </c>
      <c r="B141">
        <v>140</v>
      </c>
      <c r="C141">
        <v>1</v>
      </c>
      <c r="D141" s="17" t="s">
        <v>155</v>
      </c>
      <c r="E141" s="17"/>
      <c r="F141" s="17" t="s">
        <v>156</v>
      </c>
      <c r="G141" s="17"/>
      <c r="H141" s="17" t="s">
        <v>157</v>
      </c>
      <c r="I141" s="17"/>
      <c r="J141" s="17" t="s">
        <v>158</v>
      </c>
      <c r="K141" s="17"/>
      <c r="L141" s="17" t="s">
        <v>159</v>
      </c>
      <c r="M141" s="17"/>
      <c r="N141" s="17" t="s">
        <v>227</v>
      </c>
      <c r="O141" s="17" t="s">
        <v>528</v>
      </c>
      <c r="P141" s="17" t="s">
        <v>571</v>
      </c>
      <c r="Q141" s="17"/>
      <c r="R141" s="25" t="str">
        <f>HYPERLINK("https://ictv.global/taxonomy/taxondetails?taxnode_id=202301498","Macavirus suidgamma3")</f>
        <v>Macavirus suidgamma3</v>
      </c>
      <c r="S141" s="18" t="s">
        <v>30</v>
      </c>
      <c r="T141" s="18" t="s">
        <v>594</v>
      </c>
      <c r="U141" s="18" t="s">
        <v>595</v>
      </c>
      <c r="V141" s="18">
        <v>56</v>
      </c>
      <c r="W141" s="18" t="s">
        <v>596</v>
      </c>
      <c r="X141" s="18" t="s">
        <v>154</v>
      </c>
      <c r="Y141" s="18" t="s">
        <v>36</v>
      </c>
      <c r="Z141" s="18" t="s">
        <v>166</v>
      </c>
      <c r="AA141" s="21" t="str">
        <f>HYPERLINK("https://www.ncbi.nlm.nih.gov/nuccore/AF478169","NCBI Nucleotide")</f>
        <v>NCBI Nucleotide</v>
      </c>
    </row>
    <row r="142" spans="1:27" x14ac:dyDescent="0.35">
      <c r="A142">
        <v>1000141</v>
      </c>
      <c r="B142">
        <v>141</v>
      </c>
      <c r="C142">
        <v>1</v>
      </c>
      <c r="D142" s="17" t="s">
        <v>155</v>
      </c>
      <c r="E142" s="17"/>
      <c r="F142" s="17" t="s">
        <v>156</v>
      </c>
      <c r="G142" s="17"/>
      <c r="H142" s="17" t="s">
        <v>157</v>
      </c>
      <c r="I142" s="17"/>
      <c r="J142" s="17" t="s">
        <v>158</v>
      </c>
      <c r="K142" s="17"/>
      <c r="L142" s="17" t="s">
        <v>159</v>
      </c>
      <c r="M142" s="17"/>
      <c r="N142" s="17" t="s">
        <v>227</v>
      </c>
      <c r="O142" s="17" t="s">
        <v>528</v>
      </c>
      <c r="P142" s="17" t="s">
        <v>571</v>
      </c>
      <c r="Q142" s="17"/>
      <c r="R142" s="25" t="str">
        <f>HYPERLINK("https://ictv.global/taxonomy/taxondetails?taxnode_id=202301499","Macavirus suidgamma4")</f>
        <v>Macavirus suidgamma4</v>
      </c>
      <c r="S142" s="18" t="s">
        <v>30</v>
      </c>
      <c r="T142" s="18" t="s">
        <v>597</v>
      </c>
      <c r="U142" s="18" t="s">
        <v>598</v>
      </c>
      <c r="V142" s="18">
        <v>568</v>
      </c>
      <c r="W142" s="18" t="s">
        <v>599</v>
      </c>
      <c r="X142" s="18" t="s">
        <v>154</v>
      </c>
      <c r="Y142" s="18" t="s">
        <v>36</v>
      </c>
      <c r="Z142" s="18" t="s">
        <v>166</v>
      </c>
      <c r="AA142" s="21" t="str">
        <f>HYPERLINK("https://www.ncbi.nlm.nih.gov/nuccore/AY170317","NCBI Nucleotide")</f>
        <v>NCBI Nucleotide</v>
      </c>
    </row>
    <row r="143" spans="1:27" x14ac:dyDescent="0.35">
      <c r="A143">
        <v>1000142</v>
      </c>
      <c r="B143">
        <v>142</v>
      </c>
      <c r="C143">
        <v>1</v>
      </c>
      <c r="D143" s="17" t="s">
        <v>155</v>
      </c>
      <c r="E143" s="17"/>
      <c r="F143" s="17" t="s">
        <v>156</v>
      </c>
      <c r="G143" s="17"/>
      <c r="H143" s="17" t="s">
        <v>157</v>
      </c>
      <c r="I143" s="17"/>
      <c r="J143" s="17" t="s">
        <v>158</v>
      </c>
      <c r="K143" s="17"/>
      <c r="L143" s="17" t="s">
        <v>159</v>
      </c>
      <c r="M143" s="17"/>
      <c r="N143" s="17" t="s">
        <v>227</v>
      </c>
      <c r="O143" s="17" t="s">
        <v>528</v>
      </c>
      <c r="P143" s="17" t="s">
        <v>571</v>
      </c>
      <c r="Q143" s="17"/>
      <c r="R143" s="25" t="str">
        <f>HYPERLINK("https://ictv.global/taxonomy/taxondetails?taxnode_id=202301500","Macavirus suidgamma5")</f>
        <v>Macavirus suidgamma5</v>
      </c>
      <c r="S143" s="18" t="s">
        <v>30</v>
      </c>
      <c r="T143" s="18" t="s">
        <v>600</v>
      </c>
      <c r="U143" s="18" t="s">
        <v>601</v>
      </c>
      <c r="V143" s="18">
        <v>489</v>
      </c>
      <c r="W143" s="18" t="s">
        <v>602</v>
      </c>
      <c r="X143" s="18" t="s">
        <v>154</v>
      </c>
      <c r="Y143" s="18" t="s">
        <v>36</v>
      </c>
      <c r="Z143" s="18" t="s">
        <v>166</v>
      </c>
      <c r="AA143" s="21" t="str">
        <f>HYPERLINK("https://www.ncbi.nlm.nih.gov/nuccore/AY170316","NCBI Nucleotide")</f>
        <v>NCBI Nucleotide</v>
      </c>
    </row>
    <row r="144" spans="1:27" x14ac:dyDescent="0.35">
      <c r="A144">
        <v>1000143</v>
      </c>
      <c r="B144">
        <v>143</v>
      </c>
      <c r="C144">
        <v>1</v>
      </c>
      <c r="D144" s="17" t="s">
        <v>155</v>
      </c>
      <c r="E144" s="17"/>
      <c r="F144" s="17" t="s">
        <v>156</v>
      </c>
      <c r="G144" s="17"/>
      <c r="H144" s="17" t="s">
        <v>157</v>
      </c>
      <c r="I144" s="17"/>
      <c r="J144" s="17" t="s">
        <v>158</v>
      </c>
      <c r="K144" s="17"/>
      <c r="L144" s="17" t="s">
        <v>159</v>
      </c>
      <c r="M144" s="17"/>
      <c r="N144" s="17" t="s">
        <v>227</v>
      </c>
      <c r="O144" s="17" t="s">
        <v>528</v>
      </c>
      <c r="P144" s="17" t="s">
        <v>603</v>
      </c>
      <c r="Q144" s="17"/>
      <c r="R144" s="25" t="str">
        <f>HYPERLINK("https://ictv.global/taxonomy/taxondetails?taxnode_id=202309151","Manticavirus phascolarctidgamma1")</f>
        <v>Manticavirus phascolarctidgamma1</v>
      </c>
      <c r="S144" s="18" t="s">
        <v>30</v>
      </c>
      <c r="T144" s="18" t="s">
        <v>604</v>
      </c>
      <c r="U144" s="18" t="s">
        <v>605</v>
      </c>
      <c r="V144" s="18" t="s">
        <v>606</v>
      </c>
      <c r="W144" s="18" t="s">
        <v>607</v>
      </c>
      <c r="X144" s="18" t="s">
        <v>42</v>
      </c>
      <c r="Y144" s="18" t="s">
        <v>36</v>
      </c>
      <c r="Z144" s="18" t="s">
        <v>166</v>
      </c>
      <c r="AA144" s="21" t="str">
        <f>HYPERLINK("https://www.ncbi.nlm.nih.gov/nuccore/MG452722","NCBI Nucleotide")</f>
        <v>NCBI Nucleotide</v>
      </c>
    </row>
    <row r="145" spans="1:27" x14ac:dyDescent="0.35">
      <c r="A145">
        <v>1000144</v>
      </c>
      <c r="B145">
        <v>144</v>
      </c>
      <c r="C145">
        <v>1</v>
      </c>
      <c r="D145" s="17" t="s">
        <v>155</v>
      </c>
      <c r="E145" s="17"/>
      <c r="F145" s="17" t="s">
        <v>156</v>
      </c>
      <c r="G145" s="17"/>
      <c r="H145" s="17" t="s">
        <v>157</v>
      </c>
      <c r="I145" s="17"/>
      <c r="J145" s="17" t="s">
        <v>158</v>
      </c>
      <c r="K145" s="17"/>
      <c r="L145" s="17" t="s">
        <v>159</v>
      </c>
      <c r="M145" s="17"/>
      <c r="N145" s="17" t="s">
        <v>227</v>
      </c>
      <c r="O145" s="17" t="s">
        <v>528</v>
      </c>
      <c r="P145" s="17" t="s">
        <v>603</v>
      </c>
      <c r="Q145" s="17"/>
      <c r="R145" s="25" t="str">
        <f>HYPERLINK("https://ictv.global/taxonomy/taxondetails?taxnode_id=202309152","Manticavirus vombatidgamma1")</f>
        <v>Manticavirus vombatidgamma1</v>
      </c>
      <c r="S145" s="18" t="s">
        <v>30</v>
      </c>
      <c r="T145" s="18" t="s">
        <v>608</v>
      </c>
      <c r="U145" s="18" t="s">
        <v>609</v>
      </c>
      <c r="V145" s="18" t="s">
        <v>610</v>
      </c>
      <c r="W145" s="18" t="s">
        <v>611</v>
      </c>
      <c r="X145" s="18" t="s">
        <v>42</v>
      </c>
      <c r="Y145" s="18" t="s">
        <v>36</v>
      </c>
      <c r="Z145" s="18" t="s">
        <v>166</v>
      </c>
      <c r="AA145" s="21" t="str">
        <f>HYPERLINK("https://www.ncbi.nlm.nih.gov/nuccore/MG452721","NCBI Nucleotide")</f>
        <v>NCBI Nucleotide</v>
      </c>
    </row>
    <row r="146" spans="1:27" x14ac:dyDescent="0.35">
      <c r="A146">
        <v>1000145</v>
      </c>
      <c r="B146">
        <v>145</v>
      </c>
      <c r="C146">
        <v>1</v>
      </c>
      <c r="D146" s="17" t="s">
        <v>155</v>
      </c>
      <c r="E146" s="17"/>
      <c r="F146" s="17" t="s">
        <v>156</v>
      </c>
      <c r="G146" s="17"/>
      <c r="H146" s="17" t="s">
        <v>157</v>
      </c>
      <c r="I146" s="17"/>
      <c r="J146" s="17" t="s">
        <v>158</v>
      </c>
      <c r="K146" s="17"/>
      <c r="L146" s="17" t="s">
        <v>159</v>
      </c>
      <c r="M146" s="17"/>
      <c r="N146" s="17" t="s">
        <v>227</v>
      </c>
      <c r="O146" s="17" t="s">
        <v>528</v>
      </c>
      <c r="P146" s="17" t="s">
        <v>612</v>
      </c>
      <c r="Q146" s="17"/>
      <c r="R146" s="25" t="str">
        <f>HYPERLINK("https://ictv.global/taxonomy/taxondetails?taxnode_id=202309149","Patagivirus vespertilionidgamma3")</f>
        <v>Patagivirus vespertilionidgamma3</v>
      </c>
      <c r="S146" s="18" t="s">
        <v>30</v>
      </c>
      <c r="T146" s="18" t="s">
        <v>613</v>
      </c>
      <c r="U146" s="18" t="s">
        <v>614</v>
      </c>
      <c r="V146" s="18"/>
      <c r="W146" s="18" t="s">
        <v>615</v>
      </c>
      <c r="X146" s="18" t="s">
        <v>42</v>
      </c>
      <c r="Y146" s="18" t="s">
        <v>36</v>
      </c>
      <c r="Z146" s="18" t="s">
        <v>166</v>
      </c>
      <c r="AA146" s="21" t="str">
        <f>HYPERLINK("https://www.ncbi.nlm.nih.gov/nuccore/MF385016","NCBI Nucleotide")</f>
        <v>NCBI Nucleotide</v>
      </c>
    </row>
    <row r="147" spans="1:27" x14ac:dyDescent="0.35">
      <c r="A147">
        <v>1000146</v>
      </c>
      <c r="B147">
        <v>146</v>
      </c>
      <c r="C147">
        <v>1</v>
      </c>
      <c r="D147" s="17" t="s">
        <v>155</v>
      </c>
      <c r="E147" s="17"/>
      <c r="F147" s="17" t="s">
        <v>156</v>
      </c>
      <c r="G147" s="17"/>
      <c r="H147" s="17" t="s">
        <v>157</v>
      </c>
      <c r="I147" s="17"/>
      <c r="J147" s="17" t="s">
        <v>158</v>
      </c>
      <c r="K147" s="17"/>
      <c r="L147" s="17" t="s">
        <v>159</v>
      </c>
      <c r="M147" s="17"/>
      <c r="N147" s="17" t="s">
        <v>227</v>
      </c>
      <c r="O147" s="17" t="s">
        <v>528</v>
      </c>
      <c r="P147" s="17" t="s">
        <v>616</v>
      </c>
      <c r="Q147" s="17"/>
      <c r="R147" s="25" t="str">
        <f>HYPERLINK("https://ictv.global/taxonomy/taxondetails?taxnode_id=202301502","Percavirus equidgamma2")</f>
        <v>Percavirus equidgamma2</v>
      </c>
      <c r="S147" s="18" t="s">
        <v>30</v>
      </c>
      <c r="T147" s="18" t="s">
        <v>617</v>
      </c>
      <c r="U147" s="18" t="s">
        <v>618</v>
      </c>
      <c r="V147" s="18" t="s">
        <v>619</v>
      </c>
      <c r="W147" s="18" t="s">
        <v>620</v>
      </c>
      <c r="X147" s="18" t="s">
        <v>42</v>
      </c>
      <c r="Y147" s="18" t="s">
        <v>36</v>
      </c>
      <c r="Z147" s="18" t="s">
        <v>166</v>
      </c>
      <c r="AA147" s="21" t="str">
        <f>HYPERLINK("https://www.ncbi.nlm.nih.gov/nuccore/U20824","NCBI Nucleotide")</f>
        <v>NCBI Nucleotide</v>
      </c>
    </row>
    <row r="148" spans="1:27" x14ac:dyDescent="0.35">
      <c r="A148">
        <v>1000147</v>
      </c>
      <c r="B148">
        <v>147</v>
      </c>
      <c r="C148">
        <v>1</v>
      </c>
      <c r="D148" s="17" t="s">
        <v>155</v>
      </c>
      <c r="E148" s="17"/>
      <c r="F148" s="17" t="s">
        <v>156</v>
      </c>
      <c r="G148" s="17"/>
      <c r="H148" s="17" t="s">
        <v>157</v>
      </c>
      <c r="I148" s="17"/>
      <c r="J148" s="17" t="s">
        <v>158</v>
      </c>
      <c r="K148" s="17"/>
      <c r="L148" s="17" t="s">
        <v>159</v>
      </c>
      <c r="M148" s="17"/>
      <c r="N148" s="17" t="s">
        <v>227</v>
      </c>
      <c r="O148" s="17" t="s">
        <v>528</v>
      </c>
      <c r="P148" s="17" t="s">
        <v>616</v>
      </c>
      <c r="Q148" s="17"/>
      <c r="R148" s="25" t="str">
        <f>HYPERLINK("https://ictv.global/taxonomy/taxondetails?taxnode_id=202301503","Percavirus equidgamma5")</f>
        <v>Percavirus equidgamma5</v>
      </c>
      <c r="S148" s="18" t="s">
        <v>30</v>
      </c>
      <c r="T148" s="18" t="s">
        <v>621</v>
      </c>
      <c r="U148" s="18" t="s">
        <v>622</v>
      </c>
      <c r="V148" s="18" t="s">
        <v>623</v>
      </c>
      <c r="W148" s="18" t="s">
        <v>624</v>
      </c>
      <c r="X148" s="18" t="s">
        <v>42</v>
      </c>
      <c r="Y148" s="18" t="s">
        <v>36</v>
      </c>
      <c r="Z148" s="18" t="s">
        <v>166</v>
      </c>
      <c r="AA148" s="21" t="str">
        <f>HYPERLINK("https://www.ncbi.nlm.nih.gov/nuccore/KM924295","NCBI Nucleotide")</f>
        <v>NCBI Nucleotide</v>
      </c>
    </row>
    <row r="149" spans="1:27" x14ac:dyDescent="0.35">
      <c r="A149">
        <v>1000148</v>
      </c>
      <c r="B149">
        <v>148</v>
      </c>
      <c r="C149">
        <v>1</v>
      </c>
      <c r="D149" s="17" t="s">
        <v>155</v>
      </c>
      <c r="E149" s="17"/>
      <c r="F149" s="17" t="s">
        <v>156</v>
      </c>
      <c r="G149" s="17"/>
      <c r="H149" s="17" t="s">
        <v>157</v>
      </c>
      <c r="I149" s="17"/>
      <c r="J149" s="17" t="s">
        <v>158</v>
      </c>
      <c r="K149" s="17"/>
      <c r="L149" s="17" t="s">
        <v>159</v>
      </c>
      <c r="M149" s="17"/>
      <c r="N149" s="17" t="s">
        <v>227</v>
      </c>
      <c r="O149" s="17" t="s">
        <v>528</v>
      </c>
      <c r="P149" s="17" t="s">
        <v>616</v>
      </c>
      <c r="Q149" s="17"/>
      <c r="R149" s="25" t="str">
        <f>HYPERLINK("https://ictv.global/taxonomy/taxondetails?taxnode_id=202306410","Percavirus felidgamma1")</f>
        <v>Percavirus felidgamma1</v>
      </c>
      <c r="S149" s="18" t="s">
        <v>30</v>
      </c>
      <c r="T149" s="18" t="s">
        <v>625</v>
      </c>
      <c r="U149" s="18" t="s">
        <v>626</v>
      </c>
      <c r="V149" s="18">
        <v>31286</v>
      </c>
      <c r="W149" s="18" t="s">
        <v>627</v>
      </c>
      <c r="X149" s="18" t="s">
        <v>42</v>
      </c>
      <c r="Y149" s="18" t="s">
        <v>36</v>
      </c>
      <c r="Z149" s="18" t="s">
        <v>166</v>
      </c>
      <c r="AA149" s="21" t="str">
        <f>HYPERLINK("https://www.ncbi.nlm.nih.gov/nuccore/KT595939","NCBI Nucleotide")</f>
        <v>NCBI Nucleotide</v>
      </c>
    </row>
    <row r="150" spans="1:27" x14ac:dyDescent="0.35">
      <c r="A150">
        <v>1000149</v>
      </c>
      <c r="B150">
        <v>149</v>
      </c>
      <c r="C150">
        <v>1</v>
      </c>
      <c r="D150" s="17" t="s">
        <v>155</v>
      </c>
      <c r="E150" s="17"/>
      <c r="F150" s="17" t="s">
        <v>156</v>
      </c>
      <c r="G150" s="17"/>
      <c r="H150" s="17" t="s">
        <v>157</v>
      </c>
      <c r="I150" s="17"/>
      <c r="J150" s="17" t="s">
        <v>158</v>
      </c>
      <c r="K150" s="17"/>
      <c r="L150" s="17" t="s">
        <v>159</v>
      </c>
      <c r="M150" s="17"/>
      <c r="N150" s="17" t="s">
        <v>227</v>
      </c>
      <c r="O150" s="17" t="s">
        <v>528</v>
      </c>
      <c r="P150" s="17" t="s">
        <v>616</v>
      </c>
      <c r="Q150" s="17"/>
      <c r="R150" s="25" t="str">
        <f>HYPERLINK("https://ictv.global/taxonomy/taxondetails?taxnode_id=202301504","Percavirus mustelidgamma1")</f>
        <v>Percavirus mustelidgamma1</v>
      </c>
      <c r="S150" s="18" t="s">
        <v>30</v>
      </c>
      <c r="T150" s="18" t="s">
        <v>628</v>
      </c>
      <c r="U150" s="18" t="s">
        <v>629</v>
      </c>
      <c r="V150" s="18"/>
      <c r="W150" s="18" t="s">
        <v>630</v>
      </c>
      <c r="X150" s="18" t="s">
        <v>154</v>
      </c>
      <c r="Y150" s="18" t="s">
        <v>36</v>
      </c>
      <c r="Z150" s="18" t="s">
        <v>166</v>
      </c>
      <c r="AA150" s="21" t="str">
        <f>HYPERLINK("https://www.ncbi.nlm.nih.gov/nuccore/AF376034","NCBI Nucleotide")</f>
        <v>NCBI Nucleotide</v>
      </c>
    </row>
    <row r="151" spans="1:27" x14ac:dyDescent="0.35">
      <c r="A151">
        <v>1000150</v>
      </c>
      <c r="B151">
        <v>150</v>
      </c>
      <c r="C151">
        <v>1</v>
      </c>
      <c r="D151" s="17" t="s">
        <v>155</v>
      </c>
      <c r="E151" s="17"/>
      <c r="F151" s="17" t="s">
        <v>156</v>
      </c>
      <c r="G151" s="17"/>
      <c r="H151" s="17" t="s">
        <v>157</v>
      </c>
      <c r="I151" s="17"/>
      <c r="J151" s="17" t="s">
        <v>158</v>
      </c>
      <c r="K151" s="17"/>
      <c r="L151" s="17" t="s">
        <v>159</v>
      </c>
      <c r="M151" s="17"/>
      <c r="N151" s="17" t="s">
        <v>227</v>
      </c>
      <c r="O151" s="17" t="s">
        <v>528</v>
      </c>
      <c r="P151" s="17" t="s">
        <v>616</v>
      </c>
      <c r="Q151" s="17"/>
      <c r="R151" s="25" t="str">
        <f>HYPERLINK("https://ictv.global/taxonomy/taxondetails?taxnode_id=202306411","Percavirus phocidgamma3")</f>
        <v>Percavirus phocidgamma3</v>
      </c>
      <c r="S151" s="18" t="s">
        <v>30</v>
      </c>
      <c r="T151" s="18" t="s">
        <v>631</v>
      </c>
      <c r="U151" s="18" t="s">
        <v>632</v>
      </c>
      <c r="V151" s="18" t="s">
        <v>633</v>
      </c>
      <c r="W151" s="18" t="s">
        <v>634</v>
      </c>
      <c r="X151" s="18" t="s">
        <v>154</v>
      </c>
      <c r="Y151" s="18" t="s">
        <v>36</v>
      </c>
      <c r="Z151" s="18" t="s">
        <v>166</v>
      </c>
      <c r="AA151" s="21" t="str">
        <f>HYPERLINK("https://www.ncbi.nlm.nih.gov/nuccore/KP136799","NCBI Nucleotide")</f>
        <v>NCBI Nucleotide</v>
      </c>
    </row>
    <row r="152" spans="1:27" x14ac:dyDescent="0.35">
      <c r="A152">
        <v>1000151</v>
      </c>
      <c r="B152">
        <v>151</v>
      </c>
      <c r="C152">
        <v>1</v>
      </c>
      <c r="D152" s="17" t="s">
        <v>155</v>
      </c>
      <c r="E152" s="17"/>
      <c r="F152" s="17" t="s">
        <v>156</v>
      </c>
      <c r="G152" s="17"/>
      <c r="H152" s="17" t="s">
        <v>157</v>
      </c>
      <c r="I152" s="17"/>
      <c r="J152" s="17" t="s">
        <v>158</v>
      </c>
      <c r="K152" s="17"/>
      <c r="L152" s="17" t="s">
        <v>159</v>
      </c>
      <c r="M152" s="17"/>
      <c r="N152" s="17" t="s">
        <v>227</v>
      </c>
      <c r="O152" s="17" t="s">
        <v>528</v>
      </c>
      <c r="P152" s="17" t="s">
        <v>616</v>
      </c>
      <c r="Q152" s="17"/>
      <c r="R152" s="25" t="str">
        <f>HYPERLINK("https://ictv.global/taxonomy/taxondetails?taxnode_id=202314020","Percavirus rhinolophidgamma1")</f>
        <v>Percavirus rhinolophidgamma1</v>
      </c>
      <c r="S152" s="18" t="s">
        <v>30</v>
      </c>
      <c r="T152" s="18" t="s">
        <v>635</v>
      </c>
      <c r="U152" s="18" t="s">
        <v>636</v>
      </c>
      <c r="V152" s="18" t="s">
        <v>637</v>
      </c>
      <c r="W152" s="18" t="s">
        <v>638</v>
      </c>
      <c r="X152" s="18" t="s">
        <v>42</v>
      </c>
      <c r="Y152" s="18" t="s">
        <v>36</v>
      </c>
      <c r="Z152" s="18" t="s">
        <v>166</v>
      </c>
      <c r="AA152" s="21" t="str">
        <f>HYPERLINK("https://www.ncbi.nlm.nih.gov/nuccore/LC333428","NCBI Nucleotide")</f>
        <v>NCBI Nucleotide</v>
      </c>
    </row>
    <row r="153" spans="1:27" x14ac:dyDescent="0.35">
      <c r="A153">
        <v>1000152</v>
      </c>
      <c r="B153">
        <v>152</v>
      </c>
      <c r="C153">
        <v>1</v>
      </c>
      <c r="D153" s="17" t="s">
        <v>155</v>
      </c>
      <c r="E153" s="17"/>
      <c r="F153" s="17" t="s">
        <v>156</v>
      </c>
      <c r="G153" s="17"/>
      <c r="H153" s="17" t="s">
        <v>157</v>
      </c>
      <c r="I153" s="17"/>
      <c r="J153" s="17" t="s">
        <v>158</v>
      </c>
      <c r="K153" s="17"/>
      <c r="L153" s="17" t="s">
        <v>159</v>
      </c>
      <c r="M153" s="17"/>
      <c r="N153" s="17" t="s">
        <v>227</v>
      </c>
      <c r="O153" s="17" t="s">
        <v>528</v>
      </c>
      <c r="P153" s="17" t="s">
        <v>616</v>
      </c>
      <c r="Q153" s="17"/>
      <c r="R153" s="25" t="str">
        <f>HYPERLINK("https://ictv.global/taxonomy/taxondetails?taxnode_id=202306412","Percavirus vespertilionidgamma1")</f>
        <v>Percavirus vespertilionidgamma1</v>
      </c>
      <c r="S153" s="18" t="s">
        <v>30</v>
      </c>
      <c r="T153" s="18" t="s">
        <v>639</v>
      </c>
      <c r="U153" s="18" t="s">
        <v>640</v>
      </c>
      <c r="V153" s="18" t="s">
        <v>641</v>
      </c>
      <c r="W153" s="18" t="s">
        <v>642</v>
      </c>
      <c r="X153" s="18" t="s">
        <v>35</v>
      </c>
      <c r="Y153" s="18" t="s">
        <v>36</v>
      </c>
      <c r="Z153" s="18" t="s">
        <v>166</v>
      </c>
      <c r="AA153" s="21" t="str">
        <f>HYPERLINK("https://www.ncbi.nlm.nih.gov/nuccore/KU220026","NCBI Nucleotide")</f>
        <v>NCBI Nucleotide</v>
      </c>
    </row>
    <row r="154" spans="1:27" x14ac:dyDescent="0.35">
      <c r="A154">
        <v>1000153</v>
      </c>
      <c r="B154">
        <v>153</v>
      </c>
      <c r="C154">
        <v>1</v>
      </c>
      <c r="D154" s="17" t="s">
        <v>155</v>
      </c>
      <c r="E154" s="17"/>
      <c r="F154" s="17" t="s">
        <v>156</v>
      </c>
      <c r="G154" s="17"/>
      <c r="H154" s="17" t="s">
        <v>157</v>
      </c>
      <c r="I154" s="17"/>
      <c r="J154" s="17" t="s">
        <v>158</v>
      </c>
      <c r="K154" s="17"/>
      <c r="L154" s="17" t="s">
        <v>159</v>
      </c>
      <c r="M154" s="17"/>
      <c r="N154" s="17" t="s">
        <v>227</v>
      </c>
      <c r="O154" s="17" t="s">
        <v>528</v>
      </c>
      <c r="P154" s="17" t="s">
        <v>643</v>
      </c>
      <c r="Q154" s="17"/>
      <c r="R154" s="25" t="str">
        <f>HYPERLINK("https://ictv.global/taxonomy/taxondetails?taxnode_id=202301506","Rhadinovirus atelinegamma2")</f>
        <v>Rhadinovirus atelinegamma2</v>
      </c>
      <c r="S154" s="18" t="s">
        <v>30</v>
      </c>
      <c r="T154" s="18" t="s">
        <v>644</v>
      </c>
      <c r="U154" s="18" t="s">
        <v>645</v>
      </c>
      <c r="V154" s="18">
        <v>810</v>
      </c>
      <c r="W154" s="18" t="s">
        <v>646</v>
      </c>
      <c r="X154" s="18" t="s">
        <v>154</v>
      </c>
      <c r="Y154" s="18" t="s">
        <v>36</v>
      </c>
      <c r="Z154" s="18" t="s">
        <v>166</v>
      </c>
      <c r="AA154" s="21" t="str">
        <f>HYPERLINK("https://www.ncbi.nlm.nih.gov/nuccore/M22036","NCBI Nucleotide")</f>
        <v>NCBI Nucleotide</v>
      </c>
    </row>
    <row r="155" spans="1:27" x14ac:dyDescent="0.35">
      <c r="A155">
        <v>1000154</v>
      </c>
      <c r="B155">
        <v>154</v>
      </c>
      <c r="C155">
        <v>1</v>
      </c>
      <c r="D155" s="17" t="s">
        <v>155</v>
      </c>
      <c r="E155" s="17"/>
      <c r="F155" s="17" t="s">
        <v>156</v>
      </c>
      <c r="G155" s="17"/>
      <c r="H155" s="17" t="s">
        <v>157</v>
      </c>
      <c r="I155" s="17"/>
      <c r="J155" s="17" t="s">
        <v>158</v>
      </c>
      <c r="K155" s="17"/>
      <c r="L155" s="17" t="s">
        <v>159</v>
      </c>
      <c r="M155" s="17"/>
      <c r="N155" s="17" t="s">
        <v>227</v>
      </c>
      <c r="O155" s="17" t="s">
        <v>528</v>
      </c>
      <c r="P155" s="17" t="s">
        <v>643</v>
      </c>
      <c r="Q155" s="17"/>
      <c r="R155" s="25" t="str">
        <f>HYPERLINK("https://ictv.global/taxonomy/taxondetails?taxnode_id=202301507","Rhadinovirus atelinegamma3")</f>
        <v>Rhadinovirus atelinegamma3</v>
      </c>
      <c r="S155" s="18" t="s">
        <v>30</v>
      </c>
      <c r="T155" s="18" t="s">
        <v>647</v>
      </c>
      <c r="U155" s="18" t="s">
        <v>648</v>
      </c>
      <c r="V155" s="18">
        <v>73</v>
      </c>
      <c r="W155" s="18" t="s">
        <v>649</v>
      </c>
      <c r="X155" s="18" t="s">
        <v>35</v>
      </c>
      <c r="Y155" s="18" t="s">
        <v>36</v>
      </c>
      <c r="Z155" s="18" t="s">
        <v>166</v>
      </c>
      <c r="AA155" s="21" t="str">
        <f>HYPERLINK("https://www.ncbi.nlm.nih.gov/nuccore/AF083424","NCBI Nucleotide")</f>
        <v>NCBI Nucleotide</v>
      </c>
    </row>
    <row r="156" spans="1:27" x14ac:dyDescent="0.35">
      <c r="A156">
        <v>1000155</v>
      </c>
      <c r="B156">
        <v>155</v>
      </c>
      <c r="C156">
        <v>1</v>
      </c>
      <c r="D156" s="17" t="s">
        <v>155</v>
      </c>
      <c r="E156" s="17"/>
      <c r="F156" s="17" t="s">
        <v>156</v>
      </c>
      <c r="G156" s="17"/>
      <c r="H156" s="17" t="s">
        <v>157</v>
      </c>
      <c r="I156" s="17"/>
      <c r="J156" s="17" t="s">
        <v>158</v>
      </c>
      <c r="K156" s="17"/>
      <c r="L156" s="17" t="s">
        <v>159</v>
      </c>
      <c r="M156" s="17"/>
      <c r="N156" s="17" t="s">
        <v>227</v>
      </c>
      <c r="O156" s="17" t="s">
        <v>528</v>
      </c>
      <c r="P156" s="17" t="s">
        <v>643</v>
      </c>
      <c r="Q156" s="17"/>
      <c r="R156" s="25" t="str">
        <f>HYPERLINK("https://ictv.global/taxonomy/taxondetails?taxnode_id=202301508","Rhadinovirus bovinegamma4")</f>
        <v>Rhadinovirus bovinegamma4</v>
      </c>
      <c r="S156" s="18" t="s">
        <v>30</v>
      </c>
      <c r="T156" s="18" t="s">
        <v>650</v>
      </c>
      <c r="U156" s="18" t="s">
        <v>651</v>
      </c>
      <c r="V156" s="18" t="s">
        <v>652</v>
      </c>
      <c r="W156" s="18" t="s">
        <v>653</v>
      </c>
      <c r="X156" s="18" t="s">
        <v>35</v>
      </c>
      <c r="Y156" s="18" t="s">
        <v>36</v>
      </c>
      <c r="Z156" s="18" t="s">
        <v>166</v>
      </c>
      <c r="AA156" s="21" t="str">
        <f>HYPERLINK("https://www.ncbi.nlm.nih.gov/nuccore/AF318573","NCBI Nucleotide")</f>
        <v>NCBI Nucleotide</v>
      </c>
    </row>
    <row r="157" spans="1:27" x14ac:dyDescent="0.35">
      <c r="A157">
        <v>1000156</v>
      </c>
      <c r="B157">
        <v>156</v>
      </c>
      <c r="C157">
        <v>1</v>
      </c>
      <c r="D157" s="17" t="s">
        <v>155</v>
      </c>
      <c r="E157" s="17"/>
      <c r="F157" s="17" t="s">
        <v>156</v>
      </c>
      <c r="G157" s="17"/>
      <c r="H157" s="17" t="s">
        <v>157</v>
      </c>
      <c r="I157" s="17"/>
      <c r="J157" s="17" t="s">
        <v>158</v>
      </c>
      <c r="K157" s="17"/>
      <c r="L157" s="17" t="s">
        <v>159</v>
      </c>
      <c r="M157" s="17"/>
      <c r="N157" s="17" t="s">
        <v>227</v>
      </c>
      <c r="O157" s="17" t="s">
        <v>528</v>
      </c>
      <c r="P157" s="17" t="s">
        <v>643</v>
      </c>
      <c r="Q157" s="17"/>
      <c r="R157" s="25" t="str">
        <f>HYPERLINK("https://ictv.global/taxonomy/taxondetails?taxnode_id=202314021","Rhadinovirus colobinegamma1")</f>
        <v>Rhadinovirus colobinegamma1</v>
      </c>
      <c r="S157" s="18" t="s">
        <v>30</v>
      </c>
      <c r="T157" s="18" t="s">
        <v>654</v>
      </c>
      <c r="U157" s="18" t="s">
        <v>655</v>
      </c>
      <c r="V157" s="18" t="s">
        <v>656</v>
      </c>
      <c r="W157" s="18" t="s">
        <v>657</v>
      </c>
      <c r="X157" s="18" t="s">
        <v>42</v>
      </c>
      <c r="Y157" s="18" t="s">
        <v>36</v>
      </c>
      <c r="Z157" s="18" t="s">
        <v>166</v>
      </c>
      <c r="AA157" s="21" t="str">
        <f>HYPERLINK("https://www.ncbi.nlm.nih.gov/nuccore/MH932584","NCBI Nucleotide")</f>
        <v>NCBI Nucleotide</v>
      </c>
    </row>
    <row r="158" spans="1:27" x14ac:dyDescent="0.35">
      <c r="A158">
        <v>1000157</v>
      </c>
      <c r="B158">
        <v>157</v>
      </c>
      <c r="C158">
        <v>1</v>
      </c>
      <c r="D158" s="17" t="s">
        <v>155</v>
      </c>
      <c r="E158" s="17"/>
      <c r="F158" s="17" t="s">
        <v>156</v>
      </c>
      <c r="G158" s="17"/>
      <c r="H158" s="17" t="s">
        <v>157</v>
      </c>
      <c r="I158" s="17"/>
      <c r="J158" s="17" t="s">
        <v>158</v>
      </c>
      <c r="K158" s="17"/>
      <c r="L158" s="17" t="s">
        <v>159</v>
      </c>
      <c r="M158" s="17"/>
      <c r="N158" s="17" t="s">
        <v>227</v>
      </c>
      <c r="O158" s="17" t="s">
        <v>528</v>
      </c>
      <c r="P158" s="17" t="s">
        <v>643</v>
      </c>
      <c r="Q158" s="17"/>
      <c r="R158" s="25" t="str">
        <f>HYPERLINK("https://ictv.global/taxonomy/taxondetails?taxnode_id=202301509","Rhadinovirus cricetidgamma2")</f>
        <v>Rhadinovirus cricetidgamma2</v>
      </c>
      <c r="S158" s="18" t="s">
        <v>30</v>
      </c>
      <c r="T158" s="18" t="s">
        <v>658</v>
      </c>
      <c r="U158" s="18" t="s">
        <v>659</v>
      </c>
      <c r="V158" s="18" t="s">
        <v>660</v>
      </c>
      <c r="W158" s="18" t="s">
        <v>661</v>
      </c>
      <c r="X158" s="18" t="s">
        <v>35</v>
      </c>
      <c r="Y158" s="18" t="s">
        <v>36</v>
      </c>
      <c r="Z158" s="18" t="s">
        <v>166</v>
      </c>
      <c r="AA158" s="21" t="str">
        <f>HYPERLINK("https://www.ncbi.nlm.nih.gov/nuccore/HQ221963","NCBI Nucleotide")</f>
        <v>NCBI Nucleotide</v>
      </c>
    </row>
    <row r="159" spans="1:27" x14ac:dyDescent="0.35">
      <c r="A159">
        <v>1000158</v>
      </c>
      <c r="B159">
        <v>158</v>
      </c>
      <c r="C159">
        <v>1</v>
      </c>
      <c r="D159" s="17" t="s">
        <v>155</v>
      </c>
      <c r="E159" s="17"/>
      <c r="F159" s="17" t="s">
        <v>156</v>
      </c>
      <c r="G159" s="17"/>
      <c r="H159" s="17" t="s">
        <v>157</v>
      </c>
      <c r="I159" s="17"/>
      <c r="J159" s="17" t="s">
        <v>158</v>
      </c>
      <c r="K159" s="17"/>
      <c r="L159" s="17" t="s">
        <v>159</v>
      </c>
      <c r="M159" s="17"/>
      <c r="N159" s="17" t="s">
        <v>227</v>
      </c>
      <c r="O159" s="17" t="s">
        <v>528</v>
      </c>
      <c r="P159" s="17" t="s">
        <v>643</v>
      </c>
      <c r="Q159" s="17"/>
      <c r="R159" s="25" t="str">
        <f>HYPERLINK("https://ictv.global/taxonomy/taxondetails?taxnode_id=202301510","Rhadinovirus humangamma8")</f>
        <v>Rhadinovirus humangamma8</v>
      </c>
      <c r="S159" s="18" t="s">
        <v>30</v>
      </c>
      <c r="T159" s="18" t="s">
        <v>662</v>
      </c>
      <c r="U159" s="18" t="s">
        <v>663</v>
      </c>
      <c r="V159" s="18" t="s">
        <v>664</v>
      </c>
      <c r="W159" s="18" t="s">
        <v>665</v>
      </c>
      <c r="X159" s="18" t="s">
        <v>42</v>
      </c>
      <c r="Y159" s="18" t="s">
        <v>36</v>
      </c>
      <c r="Z159" s="18" t="s">
        <v>166</v>
      </c>
      <c r="AA159" s="21" t="str">
        <f>HYPERLINK("https://www.ncbi.nlm.nih.gov/nuccore/AF148805","NCBI Nucleotide")</f>
        <v>NCBI Nucleotide</v>
      </c>
    </row>
    <row r="160" spans="1:27" x14ac:dyDescent="0.35">
      <c r="A160">
        <v>1000161</v>
      </c>
      <c r="B160">
        <v>159</v>
      </c>
      <c r="C160">
        <v>1</v>
      </c>
      <c r="D160" s="17" t="s">
        <v>155</v>
      </c>
      <c r="E160" s="17"/>
      <c r="F160" s="17" t="s">
        <v>156</v>
      </c>
      <c r="G160" s="17"/>
      <c r="H160" s="17" t="s">
        <v>157</v>
      </c>
      <c r="I160" s="17"/>
      <c r="J160" s="17" t="s">
        <v>158</v>
      </c>
      <c r="K160" s="17"/>
      <c r="L160" s="17" t="s">
        <v>159</v>
      </c>
      <c r="M160" s="17"/>
      <c r="N160" s="17" t="s">
        <v>227</v>
      </c>
      <c r="O160" s="17" t="s">
        <v>528</v>
      </c>
      <c r="P160" s="17" t="s">
        <v>643</v>
      </c>
      <c r="Q160" s="17"/>
      <c r="R160" s="25" t="str">
        <f>HYPERLINK("https://ictv.global/taxonomy/taxondetails?taxnode_id=202301511","Rhadinovirus macacinegamma5")</f>
        <v>Rhadinovirus macacinegamma5</v>
      </c>
      <c r="S160" s="18" t="s">
        <v>30</v>
      </c>
      <c r="T160" s="18" t="s">
        <v>673</v>
      </c>
      <c r="U160" s="18" t="s">
        <v>674</v>
      </c>
      <c r="V160" s="18">
        <v>17577</v>
      </c>
      <c r="W160" s="18" t="s">
        <v>675</v>
      </c>
      <c r="X160" s="18" t="s">
        <v>42</v>
      </c>
      <c r="Y160" s="18" t="s">
        <v>36</v>
      </c>
      <c r="Z160" s="18" t="s">
        <v>166</v>
      </c>
      <c r="AA160" s="21" t="str">
        <f>HYPERLINK("https://www.ncbi.nlm.nih.gov/nuccore/AF083501","NCBI Nucleotide")</f>
        <v>NCBI Nucleotide</v>
      </c>
    </row>
    <row r="161" spans="1:27" x14ac:dyDescent="0.35">
      <c r="A161">
        <v>1000162</v>
      </c>
      <c r="B161">
        <v>160</v>
      </c>
      <c r="C161">
        <v>1</v>
      </c>
      <c r="D161" s="17" t="s">
        <v>155</v>
      </c>
      <c r="E161" s="17"/>
      <c r="F161" s="17" t="s">
        <v>156</v>
      </c>
      <c r="G161" s="17"/>
      <c r="H161" s="17" t="s">
        <v>157</v>
      </c>
      <c r="I161" s="17"/>
      <c r="J161" s="17" t="s">
        <v>158</v>
      </c>
      <c r="K161" s="17"/>
      <c r="L161" s="17" t="s">
        <v>159</v>
      </c>
      <c r="M161" s="17"/>
      <c r="N161" s="17" t="s">
        <v>227</v>
      </c>
      <c r="O161" s="17" t="s">
        <v>528</v>
      </c>
      <c r="P161" s="17" t="s">
        <v>643</v>
      </c>
      <c r="Q161" s="17"/>
      <c r="R161" s="25" t="str">
        <f>HYPERLINK("https://ictv.global/taxonomy/taxondetails?taxnode_id=202306407","Rhadinovirus macacinegamma8")</f>
        <v>Rhadinovirus macacinegamma8</v>
      </c>
      <c r="S161" s="18" t="s">
        <v>30</v>
      </c>
      <c r="T161" s="18" t="s">
        <v>676</v>
      </c>
      <c r="U161" s="18" t="s">
        <v>677</v>
      </c>
      <c r="V161" s="18" t="s">
        <v>678</v>
      </c>
      <c r="W161" s="18" t="s">
        <v>679</v>
      </c>
      <c r="X161" s="18" t="s">
        <v>35</v>
      </c>
      <c r="Y161" s="18" t="s">
        <v>36</v>
      </c>
      <c r="Z161" s="18" t="s">
        <v>166</v>
      </c>
      <c r="AA161" s="21" t="str">
        <f>HYPERLINK("https://www.ncbi.nlm.nih.gov/nuccore/KF703446","NCBI Nucleotide")</f>
        <v>NCBI Nucleotide</v>
      </c>
    </row>
    <row r="162" spans="1:27" x14ac:dyDescent="0.35">
      <c r="A162">
        <v>1000159</v>
      </c>
      <c r="B162">
        <v>161</v>
      </c>
      <c r="C162">
        <v>1</v>
      </c>
      <c r="D162" s="17" t="s">
        <v>155</v>
      </c>
      <c r="E162" s="17"/>
      <c r="F162" s="17" t="s">
        <v>156</v>
      </c>
      <c r="G162" s="17"/>
      <c r="H162" s="17" t="s">
        <v>157</v>
      </c>
      <c r="I162" s="17"/>
      <c r="J162" s="17" t="s">
        <v>158</v>
      </c>
      <c r="K162" s="17"/>
      <c r="L162" s="17" t="s">
        <v>159</v>
      </c>
      <c r="M162" s="17"/>
      <c r="N162" s="17" t="s">
        <v>227</v>
      </c>
      <c r="O162" s="17" t="s">
        <v>528</v>
      </c>
      <c r="P162" s="17" t="s">
        <v>643</v>
      </c>
      <c r="Q162" s="17"/>
      <c r="R162" s="25" t="str">
        <f>HYPERLINK("https://ictv.global/taxonomy/taxondetails?taxnode_id=202306408","Rhadinovirus macacinegamma11")</f>
        <v>Rhadinovirus macacinegamma11</v>
      </c>
      <c r="S162" s="18" t="s">
        <v>30</v>
      </c>
      <c r="T162" s="18" t="s">
        <v>666</v>
      </c>
      <c r="U162" s="18" t="s">
        <v>667</v>
      </c>
      <c r="V162" s="18">
        <v>17792</v>
      </c>
      <c r="W162" s="18" t="s">
        <v>668</v>
      </c>
      <c r="X162" s="18" t="s">
        <v>42</v>
      </c>
      <c r="Y162" s="18" t="s">
        <v>36</v>
      </c>
      <c r="Z162" s="18" t="s">
        <v>166</v>
      </c>
      <c r="AA162" s="21" t="str">
        <f>HYPERLINK("https://www.ncbi.nlm.nih.gov/nuccore/AY528864","NCBI Nucleotide")</f>
        <v>NCBI Nucleotide</v>
      </c>
    </row>
    <row r="163" spans="1:27" x14ac:dyDescent="0.35">
      <c r="A163">
        <v>1000160</v>
      </c>
      <c r="B163">
        <v>162</v>
      </c>
      <c r="C163">
        <v>1</v>
      </c>
      <c r="D163" s="17" t="s">
        <v>155</v>
      </c>
      <c r="E163" s="17"/>
      <c r="F163" s="17" t="s">
        <v>156</v>
      </c>
      <c r="G163" s="17"/>
      <c r="H163" s="17" t="s">
        <v>157</v>
      </c>
      <c r="I163" s="17"/>
      <c r="J163" s="17" t="s">
        <v>158</v>
      </c>
      <c r="K163" s="17"/>
      <c r="L163" s="17" t="s">
        <v>159</v>
      </c>
      <c r="M163" s="17"/>
      <c r="N163" s="17" t="s">
        <v>227</v>
      </c>
      <c r="O163" s="17" t="s">
        <v>528</v>
      </c>
      <c r="P163" s="17" t="s">
        <v>643</v>
      </c>
      <c r="Q163" s="17"/>
      <c r="R163" s="25" t="str">
        <f>HYPERLINK("https://ictv.global/taxonomy/taxondetails?taxnode_id=202306409","Rhadinovirus macacinegamma12")</f>
        <v>Rhadinovirus macacinegamma12</v>
      </c>
      <c r="S163" s="18" t="s">
        <v>30</v>
      </c>
      <c r="T163" s="18" t="s">
        <v>669</v>
      </c>
      <c r="U163" s="18" t="s">
        <v>670</v>
      </c>
      <c r="V163" s="18" t="s">
        <v>671</v>
      </c>
      <c r="W163" s="18" t="s">
        <v>672</v>
      </c>
      <c r="X163" s="18" t="s">
        <v>35</v>
      </c>
      <c r="Y163" s="18" t="s">
        <v>36</v>
      </c>
      <c r="Z163" s="18" t="s">
        <v>166</v>
      </c>
      <c r="AA163" s="21" t="str">
        <f>HYPERLINK("https://www.ncbi.nlm.nih.gov/nuccore/KP265674","NCBI Nucleotide")</f>
        <v>NCBI Nucleotide</v>
      </c>
    </row>
    <row r="164" spans="1:27" x14ac:dyDescent="0.35">
      <c r="A164">
        <v>1000163</v>
      </c>
      <c r="B164">
        <v>163</v>
      </c>
      <c r="C164">
        <v>1</v>
      </c>
      <c r="D164" s="17" t="s">
        <v>155</v>
      </c>
      <c r="E164" s="17"/>
      <c r="F164" s="17" t="s">
        <v>156</v>
      </c>
      <c r="G164" s="17"/>
      <c r="H164" s="17" t="s">
        <v>157</v>
      </c>
      <c r="I164" s="17"/>
      <c r="J164" s="17" t="s">
        <v>158</v>
      </c>
      <c r="K164" s="17"/>
      <c r="L164" s="17" t="s">
        <v>159</v>
      </c>
      <c r="M164" s="17"/>
      <c r="N164" s="17" t="s">
        <v>227</v>
      </c>
      <c r="O164" s="17" t="s">
        <v>528</v>
      </c>
      <c r="P164" s="17" t="s">
        <v>643</v>
      </c>
      <c r="Q164" s="17"/>
      <c r="R164" s="25" t="str">
        <f>HYPERLINK("https://ictv.global/taxonomy/taxondetails?taxnode_id=202301512","Rhadinovirus muridgamma4")</f>
        <v>Rhadinovirus muridgamma4</v>
      </c>
      <c r="S164" s="18" t="s">
        <v>30</v>
      </c>
      <c r="T164" s="18" t="s">
        <v>680</v>
      </c>
      <c r="U164" s="18" t="s">
        <v>681</v>
      </c>
      <c r="V164" s="18" t="s">
        <v>682</v>
      </c>
      <c r="W164" s="18" t="s">
        <v>683</v>
      </c>
      <c r="X164" s="18" t="s">
        <v>42</v>
      </c>
      <c r="Y164" s="18" t="s">
        <v>36</v>
      </c>
      <c r="Z164" s="18" t="s">
        <v>166</v>
      </c>
      <c r="AA164" s="21" t="str">
        <f>HYPERLINK("https://www.ncbi.nlm.nih.gov/nuccore/U97553","NCBI Nucleotide")</f>
        <v>NCBI Nucleotide</v>
      </c>
    </row>
    <row r="165" spans="1:27" x14ac:dyDescent="0.35">
      <c r="A165">
        <v>1000164</v>
      </c>
      <c r="B165">
        <v>164</v>
      </c>
      <c r="C165">
        <v>1</v>
      </c>
      <c r="D165" s="17" t="s">
        <v>155</v>
      </c>
      <c r="E165" s="17"/>
      <c r="F165" s="17" t="s">
        <v>156</v>
      </c>
      <c r="G165" s="17"/>
      <c r="H165" s="17" t="s">
        <v>157</v>
      </c>
      <c r="I165" s="17"/>
      <c r="J165" s="17" t="s">
        <v>158</v>
      </c>
      <c r="K165" s="17"/>
      <c r="L165" s="17" t="s">
        <v>159</v>
      </c>
      <c r="M165" s="17"/>
      <c r="N165" s="17" t="s">
        <v>227</v>
      </c>
      <c r="O165" s="17" t="s">
        <v>528</v>
      </c>
      <c r="P165" s="17" t="s">
        <v>643</v>
      </c>
      <c r="Q165" s="17"/>
      <c r="R165" s="25" t="str">
        <f>HYPERLINK("https://ictv.global/taxonomy/taxondetails?taxnode_id=202301513","Rhadinovirus muridgamma7")</f>
        <v>Rhadinovirus muridgamma7</v>
      </c>
      <c r="S165" s="18" t="s">
        <v>30</v>
      </c>
      <c r="T165" s="18" t="s">
        <v>684</v>
      </c>
      <c r="U165" s="18" t="s">
        <v>685</v>
      </c>
      <c r="V165" s="18" t="s">
        <v>686</v>
      </c>
      <c r="W165" s="18" t="s">
        <v>687</v>
      </c>
      <c r="X165" s="18" t="s">
        <v>42</v>
      </c>
      <c r="Y165" s="18" t="s">
        <v>36</v>
      </c>
      <c r="Z165" s="18" t="s">
        <v>166</v>
      </c>
      <c r="AA165" s="21" t="str">
        <f>HYPERLINK("https://www.ncbi.nlm.nih.gov/nuccore/GQ169129","NCBI Nucleotide")</f>
        <v>NCBI Nucleotide</v>
      </c>
    </row>
    <row r="166" spans="1:27" x14ac:dyDescent="0.35">
      <c r="A166">
        <v>1000165</v>
      </c>
      <c r="B166">
        <v>165</v>
      </c>
      <c r="C166">
        <v>1</v>
      </c>
      <c r="D166" s="17" t="s">
        <v>155</v>
      </c>
      <c r="E166" s="17"/>
      <c r="F166" s="17" t="s">
        <v>156</v>
      </c>
      <c r="G166" s="17"/>
      <c r="H166" s="17" t="s">
        <v>157</v>
      </c>
      <c r="I166" s="17"/>
      <c r="J166" s="17" t="s">
        <v>158</v>
      </c>
      <c r="K166" s="17"/>
      <c r="L166" s="17" t="s">
        <v>159</v>
      </c>
      <c r="M166" s="17"/>
      <c r="N166" s="17" t="s">
        <v>227</v>
      </c>
      <c r="O166" s="17" t="s">
        <v>528</v>
      </c>
      <c r="P166" s="17" t="s">
        <v>643</v>
      </c>
      <c r="Q166" s="17"/>
      <c r="R166" s="25" t="str">
        <f>HYPERLINK("https://ictv.global/taxonomy/taxondetails?taxnode_id=202301514","Rhadinovirus saimiriinegamma2")</f>
        <v>Rhadinovirus saimiriinegamma2</v>
      </c>
      <c r="S166" s="18" t="s">
        <v>30</v>
      </c>
      <c r="T166" s="18" t="s">
        <v>688</v>
      </c>
      <c r="U166" s="18" t="s">
        <v>689</v>
      </c>
      <c r="V166" s="18" t="s">
        <v>690</v>
      </c>
      <c r="W166" s="18" t="s">
        <v>691</v>
      </c>
      <c r="X166" s="18" t="s">
        <v>35</v>
      </c>
      <c r="Y166" s="18" t="s">
        <v>36</v>
      </c>
      <c r="Z166" s="18" t="s">
        <v>166</v>
      </c>
      <c r="AA166" s="21" t="str">
        <f>HYPERLINK("https://www.ncbi.nlm.nih.gov/nuccore/X64346","NCBI Nucleotide")</f>
        <v>NCBI Nucleotide</v>
      </c>
    </row>
    <row r="167" spans="1:27" x14ac:dyDescent="0.35">
      <c r="A167">
        <v>1000166</v>
      </c>
      <c r="B167">
        <v>166</v>
      </c>
      <c r="C167">
        <v>1</v>
      </c>
      <c r="D167" s="17" t="s">
        <v>155</v>
      </c>
      <c r="E167" s="17"/>
      <c r="F167" s="17" t="s">
        <v>156</v>
      </c>
      <c r="G167" s="17"/>
      <c r="H167" s="17" t="s">
        <v>692</v>
      </c>
      <c r="I167" s="17"/>
      <c r="J167" s="17" t="s">
        <v>693</v>
      </c>
      <c r="K167" s="17"/>
      <c r="L167" s="17" t="s">
        <v>10166</v>
      </c>
      <c r="M167" s="17"/>
      <c r="N167" s="17" t="s">
        <v>10167</v>
      </c>
      <c r="O167" s="17" t="s">
        <v>10168</v>
      </c>
      <c r="P167" s="17" t="s">
        <v>10169</v>
      </c>
      <c r="Q167" s="17"/>
      <c r="R167" s="25" t="str">
        <f>HYPERLINK("https://ictv.global/taxonomy/taxondetails?taxnode_id=202313484","Junduvirus communis")</f>
        <v>Junduvirus communis</v>
      </c>
      <c r="S167" s="18" t="s">
        <v>30</v>
      </c>
      <c r="T167" s="18" t="s">
        <v>10170</v>
      </c>
      <c r="U167" s="18"/>
      <c r="V167" s="18"/>
      <c r="W167" s="18" t="s">
        <v>10171</v>
      </c>
      <c r="X167" s="18" t="s">
        <v>42</v>
      </c>
      <c r="Y167" s="18" t="s">
        <v>36</v>
      </c>
      <c r="Z167" s="18" t="s">
        <v>697</v>
      </c>
      <c r="AA167" s="21" t="str">
        <f>HYPERLINK("https://www.ncbi.nlm.nih.gov/nuccore/MZ130489","NCBI Nucleotide")</f>
        <v>NCBI Nucleotide</v>
      </c>
    </row>
    <row r="168" spans="1:27" x14ac:dyDescent="0.35">
      <c r="A168">
        <v>1000167</v>
      </c>
      <c r="B168">
        <v>167</v>
      </c>
      <c r="C168">
        <v>1</v>
      </c>
      <c r="D168" s="17" t="s">
        <v>155</v>
      </c>
      <c r="E168" s="17"/>
      <c r="F168" s="17" t="s">
        <v>156</v>
      </c>
      <c r="G168" s="17"/>
      <c r="H168" s="17" t="s">
        <v>692</v>
      </c>
      <c r="I168" s="17"/>
      <c r="J168" s="17" t="s">
        <v>693</v>
      </c>
      <c r="K168" s="17"/>
      <c r="L168" s="17" t="s">
        <v>10166</v>
      </c>
      <c r="M168" s="17"/>
      <c r="N168" s="17" t="s">
        <v>10167</v>
      </c>
      <c r="O168" s="17" t="s">
        <v>10168</v>
      </c>
      <c r="P168" s="17" t="s">
        <v>10169</v>
      </c>
      <c r="Q168" s="17"/>
      <c r="R168" s="25" t="str">
        <f>HYPERLINK("https://ictv.global/taxonomy/taxondetails?taxnode_id=202313483","Junduvirus copri")</f>
        <v>Junduvirus copri</v>
      </c>
      <c r="S168" s="18" t="s">
        <v>30</v>
      </c>
      <c r="T168" s="18" t="s">
        <v>10172</v>
      </c>
      <c r="U168" s="18"/>
      <c r="V168" s="18"/>
      <c r="W168" s="18" t="s">
        <v>10173</v>
      </c>
      <c r="X168" s="18" t="s">
        <v>42</v>
      </c>
      <c r="Y168" s="18" t="s">
        <v>36</v>
      </c>
      <c r="Z168" s="18" t="s">
        <v>697</v>
      </c>
      <c r="AA168" s="21" t="str">
        <f>HYPERLINK("https://www.ncbi.nlm.nih.gov/nuccore/MZ130487","NCBI Nucleotide")</f>
        <v>NCBI Nucleotide</v>
      </c>
    </row>
    <row r="169" spans="1:27" x14ac:dyDescent="0.35">
      <c r="A169">
        <v>1000168</v>
      </c>
      <c r="B169">
        <v>168</v>
      </c>
      <c r="C169">
        <v>1</v>
      </c>
      <c r="D169" s="17" t="s">
        <v>155</v>
      </c>
      <c r="E169" s="17"/>
      <c r="F169" s="17" t="s">
        <v>156</v>
      </c>
      <c r="G169" s="17"/>
      <c r="H169" s="17" t="s">
        <v>692</v>
      </c>
      <c r="I169" s="17"/>
      <c r="J169" s="17" t="s">
        <v>693</v>
      </c>
      <c r="K169" s="17"/>
      <c r="L169" s="17" t="s">
        <v>10166</v>
      </c>
      <c r="M169" s="17"/>
      <c r="N169" s="17" t="s">
        <v>10167</v>
      </c>
      <c r="O169" s="17" t="s">
        <v>10174</v>
      </c>
      <c r="P169" s="17" t="s">
        <v>10175</v>
      </c>
      <c r="Q169" s="17"/>
      <c r="R169" s="25" t="str">
        <f>HYPERLINK("https://ictv.global/taxonomy/taxondetails?taxnode_id=202313487","Kahucivirus intestinalis")</f>
        <v>Kahucivirus intestinalis</v>
      </c>
      <c r="S169" s="18" t="s">
        <v>30</v>
      </c>
      <c r="T169" s="18" t="s">
        <v>10176</v>
      </c>
      <c r="U169" s="18"/>
      <c r="V169" s="18"/>
      <c r="W169" s="18" t="s">
        <v>10177</v>
      </c>
      <c r="X169" s="18" t="s">
        <v>42</v>
      </c>
      <c r="Y169" s="18" t="s">
        <v>36</v>
      </c>
      <c r="Z169" s="18" t="s">
        <v>697</v>
      </c>
      <c r="AA169" s="21" t="str">
        <f>HYPERLINK("https://www.ncbi.nlm.nih.gov/nuccore/MT774393","NCBI Nucleotide")</f>
        <v>NCBI Nucleotide</v>
      </c>
    </row>
    <row r="170" spans="1:27" x14ac:dyDescent="0.35">
      <c r="A170">
        <v>1000169</v>
      </c>
      <c r="B170">
        <v>169</v>
      </c>
      <c r="C170">
        <v>1</v>
      </c>
      <c r="D170" s="17" t="s">
        <v>155</v>
      </c>
      <c r="E170" s="17"/>
      <c r="F170" s="17" t="s">
        <v>156</v>
      </c>
      <c r="G170" s="17"/>
      <c r="H170" s="17" t="s">
        <v>692</v>
      </c>
      <c r="I170" s="17"/>
      <c r="J170" s="17" t="s">
        <v>693</v>
      </c>
      <c r="K170" s="17"/>
      <c r="L170" s="17" t="s">
        <v>10166</v>
      </c>
      <c r="M170" s="17"/>
      <c r="N170" s="17" t="s">
        <v>10167</v>
      </c>
      <c r="O170" s="17" t="s">
        <v>10174</v>
      </c>
      <c r="P170" s="17" t="s">
        <v>10178</v>
      </c>
      <c r="Q170" s="17"/>
      <c r="R170" s="25" t="str">
        <f>HYPERLINK("https://ictv.global/taxonomy/taxondetails?taxnode_id=202313490","Kingevirus communis")</f>
        <v>Kingevirus communis</v>
      </c>
      <c r="S170" s="18" t="s">
        <v>30</v>
      </c>
      <c r="T170" s="18" t="s">
        <v>10179</v>
      </c>
      <c r="U170" s="18"/>
      <c r="V170" s="18"/>
      <c r="W170" s="18" t="s">
        <v>10180</v>
      </c>
      <c r="X170" s="18" t="s">
        <v>42</v>
      </c>
      <c r="Y170" s="18" t="s">
        <v>36</v>
      </c>
      <c r="Z170" s="18" t="s">
        <v>697</v>
      </c>
      <c r="AA170" s="21" t="str">
        <f>HYPERLINK("https://www.ncbi.nlm.nih.gov/nuccore/MZ130490","NCBI Nucleotide")</f>
        <v>NCBI Nucleotide</v>
      </c>
    </row>
    <row r="171" spans="1:27" x14ac:dyDescent="0.35">
      <c r="A171">
        <v>1000170</v>
      </c>
      <c r="B171">
        <v>170</v>
      </c>
      <c r="C171">
        <v>1</v>
      </c>
      <c r="D171" s="17" t="s">
        <v>155</v>
      </c>
      <c r="E171" s="17"/>
      <c r="F171" s="17" t="s">
        <v>156</v>
      </c>
      <c r="G171" s="17"/>
      <c r="H171" s="17" t="s">
        <v>692</v>
      </c>
      <c r="I171" s="17"/>
      <c r="J171" s="17" t="s">
        <v>693</v>
      </c>
      <c r="K171" s="17"/>
      <c r="L171" s="17" t="s">
        <v>10166</v>
      </c>
      <c r="M171" s="17"/>
      <c r="N171" s="17" t="s">
        <v>10181</v>
      </c>
      <c r="O171" s="17" t="s">
        <v>10182</v>
      </c>
      <c r="P171" s="17" t="s">
        <v>10183</v>
      </c>
      <c r="Q171" s="17"/>
      <c r="R171" s="25" t="str">
        <f>HYPERLINK("https://ictv.global/taxonomy/taxondetails?taxnode_id=202313480","Jahgtovirus gastrointestinalis")</f>
        <v>Jahgtovirus gastrointestinalis</v>
      </c>
      <c r="S171" s="18" t="s">
        <v>30</v>
      </c>
      <c r="T171" s="18" t="s">
        <v>10184</v>
      </c>
      <c r="U171" s="18"/>
      <c r="V171" s="18"/>
      <c r="W171" s="18" t="s">
        <v>10185</v>
      </c>
      <c r="X171" s="18" t="s">
        <v>42</v>
      </c>
      <c r="Y171" s="18" t="s">
        <v>36</v>
      </c>
      <c r="Z171" s="18" t="s">
        <v>697</v>
      </c>
      <c r="AA171" s="21" t="str">
        <f>HYPERLINK("https://www.ncbi.nlm.nih.gov/nuccore/MZ130479","NCBI Nucleotide")</f>
        <v>NCBI Nucleotide</v>
      </c>
    </row>
    <row r="172" spans="1:27" x14ac:dyDescent="0.35">
      <c r="A172">
        <v>1000171</v>
      </c>
      <c r="B172">
        <v>171</v>
      </c>
      <c r="C172">
        <v>1</v>
      </c>
      <c r="D172" s="17" t="s">
        <v>155</v>
      </c>
      <c r="E172" s="17"/>
      <c r="F172" s="17" t="s">
        <v>156</v>
      </c>
      <c r="G172" s="17"/>
      <c r="H172" s="17" t="s">
        <v>692</v>
      </c>
      <c r="I172" s="17"/>
      <c r="J172" s="17" t="s">
        <v>693</v>
      </c>
      <c r="K172" s="17"/>
      <c r="L172" s="17" t="s">
        <v>10166</v>
      </c>
      <c r="M172" s="17"/>
      <c r="N172" s="17" t="s">
        <v>10181</v>
      </c>
      <c r="O172" s="17" t="s">
        <v>10182</v>
      </c>
      <c r="P172" s="17" t="s">
        <v>10183</v>
      </c>
      <c r="Q172" s="17"/>
      <c r="R172" s="25" t="str">
        <f>HYPERLINK("https://ictv.global/taxonomy/taxondetails?taxnode_id=202313479","Jahgtovirus intestinalis")</f>
        <v>Jahgtovirus intestinalis</v>
      </c>
      <c r="S172" s="18" t="s">
        <v>30</v>
      </c>
      <c r="T172" s="18" t="s">
        <v>10186</v>
      </c>
      <c r="U172" s="18"/>
      <c r="V172" s="18"/>
      <c r="W172" s="18" t="s">
        <v>10187</v>
      </c>
      <c r="X172" s="18" t="s">
        <v>42</v>
      </c>
      <c r="Y172" s="18" t="s">
        <v>36</v>
      </c>
      <c r="Z172" s="18" t="s">
        <v>697</v>
      </c>
      <c r="AA172" s="21" t="str">
        <f>HYPERLINK("https://www.ncbi.nlm.nih.gov/nuccore/MZ130484","NCBI Nucleotide")</f>
        <v>NCBI Nucleotide</v>
      </c>
    </row>
    <row r="173" spans="1:27" x14ac:dyDescent="0.35">
      <c r="A173">
        <v>1000172</v>
      </c>
      <c r="B173">
        <v>172</v>
      </c>
      <c r="C173">
        <v>1</v>
      </c>
      <c r="D173" s="17" t="s">
        <v>155</v>
      </c>
      <c r="E173" s="17"/>
      <c r="F173" s="17" t="s">
        <v>156</v>
      </c>
      <c r="G173" s="17"/>
      <c r="H173" s="17" t="s">
        <v>692</v>
      </c>
      <c r="I173" s="17"/>
      <c r="J173" s="17" t="s">
        <v>693</v>
      </c>
      <c r="K173" s="17"/>
      <c r="L173" s="17" t="s">
        <v>10166</v>
      </c>
      <c r="M173" s="17"/>
      <c r="N173" s="17" t="s">
        <v>10181</v>
      </c>
      <c r="O173" s="17" t="s">
        <v>10182</v>
      </c>
      <c r="P173" s="17" t="s">
        <v>10183</v>
      </c>
      <c r="Q173" s="17"/>
      <c r="R173" s="25" t="str">
        <f>HYPERLINK("https://ictv.global/taxonomy/taxondetails?taxnode_id=202313481","Jahgtovirus intestinihominis")</f>
        <v>Jahgtovirus intestinihominis</v>
      </c>
      <c r="S173" s="18" t="s">
        <v>30</v>
      </c>
      <c r="T173" s="18" t="s">
        <v>10188</v>
      </c>
      <c r="U173" s="18"/>
      <c r="V173" s="18"/>
      <c r="W173" s="18" t="s">
        <v>10189</v>
      </c>
      <c r="X173" s="18" t="s">
        <v>42</v>
      </c>
      <c r="Y173" s="18" t="s">
        <v>36</v>
      </c>
      <c r="Z173" s="18" t="s">
        <v>697</v>
      </c>
      <c r="AA173" s="21" t="str">
        <f>HYPERLINK("https://www.ncbi.nlm.nih.gov/nuccore/MT774377","NCBI Nucleotide")</f>
        <v>NCBI Nucleotide</v>
      </c>
    </row>
    <row r="174" spans="1:27" x14ac:dyDescent="0.35">
      <c r="A174">
        <v>1000173</v>
      </c>
      <c r="B174">
        <v>173</v>
      </c>
      <c r="C174">
        <v>1</v>
      </c>
      <c r="D174" s="17" t="s">
        <v>155</v>
      </c>
      <c r="E174" s="17"/>
      <c r="F174" s="17" t="s">
        <v>156</v>
      </c>
      <c r="G174" s="17"/>
      <c r="H174" s="17" t="s">
        <v>692</v>
      </c>
      <c r="I174" s="17"/>
      <c r="J174" s="17" t="s">
        <v>693</v>
      </c>
      <c r="K174" s="17"/>
      <c r="L174" s="17" t="s">
        <v>10166</v>
      </c>
      <c r="M174" s="17"/>
      <c r="N174" s="17" t="s">
        <v>10181</v>
      </c>
      <c r="O174" s="17" t="s">
        <v>10182</v>
      </c>
      <c r="P174" s="17" t="s">
        <v>10183</v>
      </c>
      <c r="Q174" s="17"/>
      <c r="R174" s="25" t="str">
        <f>HYPERLINK("https://ictv.global/taxonomy/taxondetails?taxnode_id=202313482","Jahgtovirus secundus")</f>
        <v>Jahgtovirus secundus</v>
      </c>
      <c r="S174" s="18" t="s">
        <v>30</v>
      </c>
      <c r="T174" s="18" t="s">
        <v>10190</v>
      </c>
      <c r="U174" s="18"/>
      <c r="V174" s="18"/>
      <c r="W174" s="18" t="s">
        <v>10191</v>
      </c>
      <c r="X174" s="18" t="s">
        <v>42</v>
      </c>
      <c r="Y174" s="18" t="s">
        <v>36</v>
      </c>
      <c r="Z174" s="18" t="s">
        <v>697</v>
      </c>
      <c r="AA174" s="21" t="str">
        <f>HYPERLINK("https://www.ncbi.nlm.nih.gov/nuccore/MN917146","NCBI Nucleotide")</f>
        <v>NCBI Nucleotide</v>
      </c>
    </row>
    <row r="175" spans="1:27" x14ac:dyDescent="0.35">
      <c r="A175">
        <v>1000174</v>
      </c>
      <c r="B175">
        <v>174</v>
      </c>
      <c r="C175">
        <v>1</v>
      </c>
      <c r="D175" s="17" t="s">
        <v>155</v>
      </c>
      <c r="E175" s="17"/>
      <c r="F175" s="17" t="s">
        <v>156</v>
      </c>
      <c r="G175" s="17"/>
      <c r="H175" s="17" t="s">
        <v>692</v>
      </c>
      <c r="I175" s="17"/>
      <c r="J175" s="17" t="s">
        <v>693</v>
      </c>
      <c r="K175" s="17"/>
      <c r="L175" s="17" t="s">
        <v>10166</v>
      </c>
      <c r="M175" s="17"/>
      <c r="N175" s="17" t="s">
        <v>10181</v>
      </c>
      <c r="O175" s="17" t="s">
        <v>10192</v>
      </c>
      <c r="P175" s="17" t="s">
        <v>10193</v>
      </c>
      <c r="Q175" s="17"/>
      <c r="R175" s="25" t="str">
        <f>HYPERLINK("https://ictv.global/taxonomy/taxondetails?taxnode_id=202313461","Carjivirus communis")</f>
        <v>Carjivirus communis</v>
      </c>
      <c r="S175" s="18" t="s">
        <v>30</v>
      </c>
      <c r="T175" s="18" t="s">
        <v>10194</v>
      </c>
      <c r="U175" s="18"/>
      <c r="V175" s="18"/>
      <c r="W175" s="18" t="s">
        <v>10195</v>
      </c>
      <c r="X175" s="18" t="s">
        <v>42</v>
      </c>
      <c r="Y175" s="18" t="s">
        <v>36</v>
      </c>
      <c r="Z175" s="18" t="s">
        <v>697</v>
      </c>
      <c r="AA175" s="21" t="str">
        <f>HYPERLINK("https://www.ncbi.nlm.nih.gov/nuccore/BK010471","NCBI Nucleotide")</f>
        <v>NCBI Nucleotide</v>
      </c>
    </row>
    <row r="176" spans="1:27" x14ac:dyDescent="0.35">
      <c r="A176">
        <v>1000175</v>
      </c>
      <c r="B176">
        <v>175</v>
      </c>
      <c r="C176">
        <v>1</v>
      </c>
      <c r="D176" s="17" t="s">
        <v>155</v>
      </c>
      <c r="E176" s="17"/>
      <c r="F176" s="17" t="s">
        <v>156</v>
      </c>
      <c r="G176" s="17"/>
      <c r="H176" s="17" t="s">
        <v>692</v>
      </c>
      <c r="I176" s="17"/>
      <c r="J176" s="17" t="s">
        <v>693</v>
      </c>
      <c r="K176" s="17"/>
      <c r="L176" s="17" t="s">
        <v>10166</v>
      </c>
      <c r="M176" s="17"/>
      <c r="N176" s="17" t="s">
        <v>10181</v>
      </c>
      <c r="O176" s="17" t="s">
        <v>10192</v>
      </c>
      <c r="P176" s="17" t="s">
        <v>10193</v>
      </c>
      <c r="Q176" s="17"/>
      <c r="R176" s="25" t="str">
        <f>HYPERLINK("https://ictv.global/taxonomy/taxondetails?taxnode_id=202313460","Carjivirus hominis")</f>
        <v>Carjivirus hominis</v>
      </c>
      <c r="S176" s="18" t="s">
        <v>30</v>
      </c>
      <c r="T176" s="18" t="s">
        <v>10196</v>
      </c>
      <c r="U176" s="18"/>
      <c r="V176" s="18"/>
      <c r="W176" s="18" t="s">
        <v>10197</v>
      </c>
      <c r="X176" s="18" t="s">
        <v>42</v>
      </c>
      <c r="Y176" s="18" t="s">
        <v>36</v>
      </c>
      <c r="Z176" s="18" t="s">
        <v>697</v>
      </c>
      <c r="AA176" s="21" t="str">
        <f>HYPERLINK("https://www.ncbi.nlm.nih.gov/nuccore/MZ130481","NCBI Nucleotide")</f>
        <v>NCBI Nucleotide</v>
      </c>
    </row>
    <row r="177" spans="1:27" x14ac:dyDescent="0.35">
      <c r="A177">
        <v>1000176</v>
      </c>
      <c r="B177">
        <v>176</v>
      </c>
      <c r="C177">
        <v>1</v>
      </c>
      <c r="D177" s="17" t="s">
        <v>155</v>
      </c>
      <c r="E177" s="17"/>
      <c r="F177" s="17" t="s">
        <v>156</v>
      </c>
      <c r="G177" s="17"/>
      <c r="H177" s="17" t="s">
        <v>692</v>
      </c>
      <c r="I177" s="17"/>
      <c r="J177" s="17" t="s">
        <v>693</v>
      </c>
      <c r="K177" s="17"/>
      <c r="L177" s="17" t="s">
        <v>10166</v>
      </c>
      <c r="M177" s="17"/>
      <c r="N177" s="17" t="s">
        <v>10181</v>
      </c>
      <c r="O177" s="17" t="s">
        <v>10192</v>
      </c>
      <c r="P177" s="17" t="s">
        <v>10198</v>
      </c>
      <c r="Q177" s="17"/>
      <c r="R177" s="25" t="str">
        <f>HYPERLINK("https://ictv.global/taxonomy/taxondetails?taxnode_id=202313468","Dabirmavirus hominis")</f>
        <v>Dabirmavirus hominis</v>
      </c>
      <c r="S177" s="18" t="s">
        <v>30</v>
      </c>
      <c r="T177" s="18" t="s">
        <v>10199</v>
      </c>
      <c r="U177" s="18"/>
      <c r="V177" s="18"/>
      <c r="W177" s="18" t="s">
        <v>10200</v>
      </c>
      <c r="X177" s="18" t="s">
        <v>42</v>
      </c>
      <c r="Y177" s="18" t="s">
        <v>36</v>
      </c>
      <c r="Z177" s="18" t="s">
        <v>697</v>
      </c>
      <c r="AA177" s="21" t="str">
        <f>HYPERLINK("https://www.ncbi.nlm.nih.gov/nuccore/MZ130486","NCBI Nucleotide")</f>
        <v>NCBI Nucleotide</v>
      </c>
    </row>
    <row r="178" spans="1:27" x14ac:dyDescent="0.35">
      <c r="A178">
        <v>1000177</v>
      </c>
      <c r="B178">
        <v>177</v>
      </c>
      <c r="C178">
        <v>1</v>
      </c>
      <c r="D178" s="17" t="s">
        <v>155</v>
      </c>
      <c r="E178" s="17"/>
      <c r="F178" s="17" t="s">
        <v>156</v>
      </c>
      <c r="G178" s="17"/>
      <c r="H178" s="17" t="s">
        <v>692</v>
      </c>
      <c r="I178" s="17"/>
      <c r="J178" s="17" t="s">
        <v>693</v>
      </c>
      <c r="K178" s="17"/>
      <c r="L178" s="17" t="s">
        <v>10166</v>
      </c>
      <c r="M178" s="17"/>
      <c r="N178" s="17" t="s">
        <v>10181</v>
      </c>
      <c r="O178" s="17" t="s">
        <v>10192</v>
      </c>
      <c r="P178" s="17" t="s">
        <v>10201</v>
      </c>
      <c r="Q178" s="17"/>
      <c r="R178" s="25" t="str">
        <f>HYPERLINK("https://ictv.global/taxonomy/taxondetails?taxnode_id=202313470","Delmidovirus copri")</f>
        <v>Delmidovirus copri</v>
      </c>
      <c r="S178" s="18" t="s">
        <v>30</v>
      </c>
      <c r="T178" s="18" t="s">
        <v>10202</v>
      </c>
      <c r="U178" s="18"/>
      <c r="V178" s="18"/>
      <c r="W178" s="18" t="s">
        <v>10203</v>
      </c>
      <c r="X178" s="18" t="s">
        <v>42</v>
      </c>
      <c r="Y178" s="18" t="s">
        <v>36</v>
      </c>
      <c r="Z178" s="18" t="s">
        <v>697</v>
      </c>
      <c r="AA178" s="21" t="str">
        <f>HYPERLINK("https://www.ncbi.nlm.nih.gov/nuccore/MZ130476","NCBI Nucleotide")</f>
        <v>NCBI Nucleotide</v>
      </c>
    </row>
    <row r="179" spans="1:27" x14ac:dyDescent="0.35">
      <c r="A179">
        <v>1000178</v>
      </c>
      <c r="B179">
        <v>178</v>
      </c>
      <c r="C179">
        <v>1</v>
      </c>
      <c r="D179" s="17" t="s">
        <v>155</v>
      </c>
      <c r="E179" s="17"/>
      <c r="F179" s="17" t="s">
        <v>156</v>
      </c>
      <c r="G179" s="17"/>
      <c r="H179" s="17" t="s">
        <v>692</v>
      </c>
      <c r="I179" s="17"/>
      <c r="J179" s="17" t="s">
        <v>693</v>
      </c>
      <c r="K179" s="17"/>
      <c r="L179" s="17" t="s">
        <v>10166</v>
      </c>
      <c r="M179" s="17"/>
      <c r="N179" s="17" t="s">
        <v>10181</v>
      </c>
      <c r="O179" s="17" t="s">
        <v>10192</v>
      </c>
      <c r="P179" s="17" t="s">
        <v>10201</v>
      </c>
      <c r="Q179" s="17"/>
      <c r="R179" s="25" t="str">
        <f>HYPERLINK("https://ictv.global/taxonomy/taxondetails?taxnode_id=202313471","Delmidovirus intestinihominis")</f>
        <v>Delmidovirus intestinihominis</v>
      </c>
      <c r="S179" s="18" t="s">
        <v>30</v>
      </c>
      <c r="T179" s="18" t="s">
        <v>10204</v>
      </c>
      <c r="U179" s="18"/>
      <c r="V179" s="18"/>
      <c r="W179" s="18" t="s">
        <v>10205</v>
      </c>
      <c r="X179" s="18" t="s">
        <v>42</v>
      </c>
      <c r="Y179" s="18" t="s">
        <v>36</v>
      </c>
      <c r="Z179" s="18" t="s">
        <v>697</v>
      </c>
      <c r="AA179" s="21" t="str">
        <f>HYPERLINK("https://www.ncbi.nlm.nih.gov/nuccore/MT774386","NCBI Nucleotide")</f>
        <v>NCBI Nucleotide</v>
      </c>
    </row>
    <row r="180" spans="1:27" x14ac:dyDescent="0.35">
      <c r="A180">
        <v>1000179</v>
      </c>
      <c r="B180">
        <v>179</v>
      </c>
      <c r="C180">
        <v>1</v>
      </c>
      <c r="D180" s="17" t="s">
        <v>155</v>
      </c>
      <c r="E180" s="17"/>
      <c r="F180" s="17" t="s">
        <v>156</v>
      </c>
      <c r="G180" s="17"/>
      <c r="H180" s="17" t="s">
        <v>692</v>
      </c>
      <c r="I180" s="17"/>
      <c r="J180" s="17" t="s">
        <v>693</v>
      </c>
      <c r="K180" s="17"/>
      <c r="L180" s="17" t="s">
        <v>10166</v>
      </c>
      <c r="M180" s="17"/>
      <c r="N180" s="17" t="s">
        <v>10181</v>
      </c>
      <c r="O180" s="17" t="s">
        <v>10192</v>
      </c>
      <c r="P180" s="17" t="s">
        <v>10201</v>
      </c>
      <c r="Q180" s="17"/>
      <c r="R180" s="25" t="str">
        <f>HYPERLINK("https://ictv.global/taxonomy/taxondetails?taxnode_id=202313472","Delmidovirus splanchnicus")</f>
        <v>Delmidovirus splanchnicus</v>
      </c>
      <c r="S180" s="18" t="s">
        <v>30</v>
      </c>
      <c r="T180" s="18" t="s">
        <v>10206</v>
      </c>
      <c r="U180" s="18"/>
      <c r="V180" s="18"/>
      <c r="W180" s="18" t="s">
        <v>10207</v>
      </c>
      <c r="X180" s="18" t="s">
        <v>42</v>
      </c>
      <c r="Y180" s="18" t="s">
        <v>36</v>
      </c>
      <c r="Z180" s="18" t="s">
        <v>697</v>
      </c>
      <c r="AA180" s="21" t="str">
        <f>HYPERLINK("https://www.ncbi.nlm.nih.gov/nuccore/MT774383","NCBI Nucleotide")</f>
        <v>NCBI Nucleotide</v>
      </c>
    </row>
    <row r="181" spans="1:27" x14ac:dyDescent="0.35">
      <c r="A181">
        <v>1000180</v>
      </c>
      <c r="B181">
        <v>180</v>
      </c>
      <c r="C181">
        <v>1</v>
      </c>
      <c r="D181" s="17" t="s">
        <v>155</v>
      </c>
      <c r="E181" s="17"/>
      <c r="F181" s="17" t="s">
        <v>156</v>
      </c>
      <c r="G181" s="17"/>
      <c r="H181" s="17" t="s">
        <v>692</v>
      </c>
      <c r="I181" s="17"/>
      <c r="J181" s="17" t="s">
        <v>693</v>
      </c>
      <c r="K181" s="17"/>
      <c r="L181" s="17" t="s">
        <v>10166</v>
      </c>
      <c r="M181" s="17"/>
      <c r="N181" s="17" t="s">
        <v>10181</v>
      </c>
      <c r="O181" s="17" t="s">
        <v>10192</v>
      </c>
      <c r="P181" s="17" t="s">
        <v>10208</v>
      </c>
      <c r="Q181" s="17"/>
      <c r="R181" s="25" t="str">
        <f>HYPERLINK("https://ictv.global/taxonomy/taxondetails?taxnode_id=202313473","Diorhovirus copri")</f>
        <v>Diorhovirus copri</v>
      </c>
      <c r="S181" s="18" t="s">
        <v>30</v>
      </c>
      <c r="T181" s="18" t="s">
        <v>10209</v>
      </c>
      <c r="U181" s="18"/>
      <c r="V181" s="18"/>
      <c r="W181" s="18" t="s">
        <v>10210</v>
      </c>
      <c r="X181" s="18" t="s">
        <v>42</v>
      </c>
      <c r="Y181" s="18" t="s">
        <v>36</v>
      </c>
      <c r="Z181" s="18" t="s">
        <v>697</v>
      </c>
      <c r="AA181" s="21" t="str">
        <f>HYPERLINK("https://www.ncbi.nlm.nih.gov/nuccore/MZ130474","NCBI Nucleotide")</f>
        <v>NCBI Nucleotide</v>
      </c>
    </row>
    <row r="182" spans="1:27" x14ac:dyDescent="0.35">
      <c r="A182">
        <v>1000181</v>
      </c>
      <c r="B182">
        <v>181</v>
      </c>
      <c r="C182">
        <v>1</v>
      </c>
      <c r="D182" s="17" t="s">
        <v>155</v>
      </c>
      <c r="E182" s="17"/>
      <c r="F182" s="17" t="s">
        <v>156</v>
      </c>
      <c r="G182" s="17"/>
      <c r="H182" s="17" t="s">
        <v>692</v>
      </c>
      <c r="I182" s="17"/>
      <c r="J182" s="17" t="s">
        <v>693</v>
      </c>
      <c r="K182" s="17"/>
      <c r="L182" s="17" t="s">
        <v>10166</v>
      </c>
      <c r="M182" s="17"/>
      <c r="N182" s="17" t="s">
        <v>10181</v>
      </c>
      <c r="O182" s="17" t="s">
        <v>10192</v>
      </c>
      <c r="P182" s="17" t="s">
        <v>10208</v>
      </c>
      <c r="Q182" s="17"/>
      <c r="R182" s="25" t="str">
        <f>HYPERLINK("https://ictv.global/taxonomy/taxondetails?taxnode_id=202313474","Diorhovirus intestinalis")</f>
        <v>Diorhovirus intestinalis</v>
      </c>
      <c r="S182" s="18" t="s">
        <v>30</v>
      </c>
      <c r="T182" s="18" t="s">
        <v>10211</v>
      </c>
      <c r="U182" s="18"/>
      <c r="V182" s="18"/>
      <c r="W182" s="18" t="s">
        <v>10212</v>
      </c>
      <c r="X182" s="18" t="s">
        <v>42</v>
      </c>
      <c r="Y182" s="18" t="s">
        <v>36</v>
      </c>
      <c r="Z182" s="18" t="s">
        <v>697</v>
      </c>
      <c r="AA182" s="21" t="str">
        <f>HYPERLINK("https://www.ncbi.nlm.nih.gov/nuccore/MT774381","NCBI Nucleotide")</f>
        <v>NCBI Nucleotide</v>
      </c>
    </row>
    <row r="183" spans="1:27" x14ac:dyDescent="0.35">
      <c r="A183">
        <v>1000182</v>
      </c>
      <c r="B183">
        <v>182</v>
      </c>
      <c r="C183">
        <v>1</v>
      </c>
      <c r="D183" s="17" t="s">
        <v>155</v>
      </c>
      <c r="E183" s="17"/>
      <c r="F183" s="17" t="s">
        <v>156</v>
      </c>
      <c r="G183" s="17"/>
      <c r="H183" s="17" t="s">
        <v>692</v>
      </c>
      <c r="I183" s="17"/>
      <c r="J183" s="17" t="s">
        <v>693</v>
      </c>
      <c r="K183" s="17"/>
      <c r="L183" s="17" t="s">
        <v>10166</v>
      </c>
      <c r="M183" s="17"/>
      <c r="N183" s="17" t="s">
        <v>10181</v>
      </c>
      <c r="O183" s="17" t="s">
        <v>10192</v>
      </c>
      <c r="P183" s="17" t="s">
        <v>10213</v>
      </c>
      <c r="Q183" s="17"/>
      <c r="R183" s="25" t="str">
        <f>HYPERLINK("https://ictv.global/taxonomy/taxondetails?taxnode_id=202313475","Drivevirus gastrointestinalis")</f>
        <v>Drivevirus gastrointestinalis</v>
      </c>
      <c r="S183" s="18" t="s">
        <v>30</v>
      </c>
      <c r="T183" s="18" t="s">
        <v>10214</v>
      </c>
      <c r="U183" s="18"/>
      <c r="V183" s="18"/>
      <c r="W183" s="18" t="s">
        <v>10215</v>
      </c>
      <c r="X183" s="18" t="s">
        <v>42</v>
      </c>
      <c r="Y183" s="18" t="s">
        <v>36</v>
      </c>
      <c r="Z183" s="18" t="s">
        <v>697</v>
      </c>
      <c r="AA183" s="21" t="str">
        <f>HYPERLINK("https://www.ncbi.nlm.nih.gov/nuccore/MZ130480","NCBI Nucleotide")</f>
        <v>NCBI Nucleotide</v>
      </c>
    </row>
    <row r="184" spans="1:27" x14ac:dyDescent="0.35">
      <c r="A184">
        <v>1000183</v>
      </c>
      <c r="B184">
        <v>183</v>
      </c>
      <c r="C184">
        <v>1</v>
      </c>
      <c r="D184" s="17" t="s">
        <v>155</v>
      </c>
      <c r="E184" s="17"/>
      <c r="F184" s="17" t="s">
        <v>156</v>
      </c>
      <c r="G184" s="17"/>
      <c r="H184" s="17" t="s">
        <v>692</v>
      </c>
      <c r="I184" s="17"/>
      <c r="J184" s="17" t="s">
        <v>693</v>
      </c>
      <c r="K184" s="17"/>
      <c r="L184" s="17" t="s">
        <v>10166</v>
      </c>
      <c r="M184" s="17"/>
      <c r="N184" s="17" t="s">
        <v>10181</v>
      </c>
      <c r="O184" s="17" t="s">
        <v>10192</v>
      </c>
      <c r="P184" s="17" t="s">
        <v>10216</v>
      </c>
      <c r="Q184" s="17"/>
      <c r="R184" s="25" t="str">
        <f>HYPERLINK("https://ictv.global/taxonomy/taxondetails?taxnode_id=202313476","Endlipuvirus intestinihominis")</f>
        <v>Endlipuvirus intestinihominis</v>
      </c>
      <c r="S184" s="18" t="s">
        <v>30</v>
      </c>
      <c r="T184" s="18" t="s">
        <v>10217</v>
      </c>
      <c r="U184" s="18"/>
      <c r="V184" s="18"/>
      <c r="W184" s="18" t="s">
        <v>10218</v>
      </c>
      <c r="X184" s="18" t="s">
        <v>42</v>
      </c>
      <c r="Y184" s="18" t="s">
        <v>36</v>
      </c>
      <c r="Z184" s="18" t="s">
        <v>697</v>
      </c>
      <c r="AA184" s="21" t="str">
        <f>HYPERLINK("https://www.ncbi.nlm.nih.gov/nuccore/MZ130488","NCBI Nucleotide")</f>
        <v>NCBI Nucleotide</v>
      </c>
    </row>
    <row r="185" spans="1:27" x14ac:dyDescent="0.35">
      <c r="A185">
        <v>1000184</v>
      </c>
      <c r="B185">
        <v>184</v>
      </c>
      <c r="C185">
        <v>1</v>
      </c>
      <c r="D185" s="17" t="s">
        <v>155</v>
      </c>
      <c r="E185" s="17"/>
      <c r="F185" s="17" t="s">
        <v>156</v>
      </c>
      <c r="G185" s="17"/>
      <c r="H185" s="17" t="s">
        <v>692</v>
      </c>
      <c r="I185" s="17"/>
      <c r="J185" s="17" t="s">
        <v>693</v>
      </c>
      <c r="K185" s="17"/>
      <c r="L185" s="17" t="s">
        <v>10166</v>
      </c>
      <c r="M185" s="17"/>
      <c r="N185" s="17" t="s">
        <v>10181</v>
      </c>
      <c r="O185" s="17" t="s">
        <v>10192</v>
      </c>
      <c r="P185" s="17" t="s">
        <v>10219</v>
      </c>
      <c r="Q185" s="17"/>
      <c r="R185" s="25" t="str">
        <f>HYPERLINK("https://ictv.global/taxonomy/taxondetails?taxnode_id=202313500","Whopevirus animalis")</f>
        <v>Whopevirus animalis</v>
      </c>
      <c r="S185" s="18" t="s">
        <v>30</v>
      </c>
      <c r="T185" s="18" t="s">
        <v>10220</v>
      </c>
      <c r="U185" s="18"/>
      <c r="V185" s="18"/>
      <c r="W185" s="18" t="s">
        <v>10221</v>
      </c>
      <c r="X185" s="18" t="s">
        <v>42</v>
      </c>
      <c r="Y185" s="18" t="s">
        <v>36</v>
      </c>
      <c r="Z185" s="18" t="s">
        <v>697</v>
      </c>
      <c r="AA185" s="21" t="str">
        <f>HYPERLINK("https://www.ncbi.nlm.nih.gov/nuccore/MH616963","NCBI Nucleotide")</f>
        <v>NCBI Nucleotide</v>
      </c>
    </row>
    <row r="186" spans="1:27" x14ac:dyDescent="0.35">
      <c r="A186">
        <v>1000185</v>
      </c>
      <c r="B186">
        <v>185</v>
      </c>
      <c r="C186">
        <v>1</v>
      </c>
      <c r="D186" s="17" t="s">
        <v>155</v>
      </c>
      <c r="E186" s="17"/>
      <c r="F186" s="17" t="s">
        <v>156</v>
      </c>
      <c r="G186" s="17"/>
      <c r="H186" s="17" t="s">
        <v>692</v>
      </c>
      <c r="I186" s="17"/>
      <c r="J186" s="17" t="s">
        <v>693</v>
      </c>
      <c r="K186" s="17"/>
      <c r="L186" s="17" t="s">
        <v>10166</v>
      </c>
      <c r="M186" s="17"/>
      <c r="N186" s="17" t="s">
        <v>10181</v>
      </c>
      <c r="O186" s="17" t="s">
        <v>10222</v>
      </c>
      <c r="P186" s="17" t="s">
        <v>10223</v>
      </c>
      <c r="Q186" s="17"/>
      <c r="R186" s="25" t="str">
        <f>HYPERLINK("https://ictv.global/taxonomy/taxondetails?taxnode_id=202313477","Fohxhuevirus gastrointestinalis")</f>
        <v>Fohxhuevirus gastrointestinalis</v>
      </c>
      <c r="S186" s="18" t="s">
        <v>30</v>
      </c>
      <c r="T186" s="18" t="s">
        <v>10224</v>
      </c>
      <c r="U186" s="18"/>
      <c r="V186" s="18"/>
      <c r="W186" s="18" t="s">
        <v>10225</v>
      </c>
      <c r="X186" s="18" t="s">
        <v>42</v>
      </c>
      <c r="Y186" s="18" t="s">
        <v>36</v>
      </c>
      <c r="Z186" s="18" t="s">
        <v>697</v>
      </c>
      <c r="AA186" s="21" t="str">
        <f>HYPERLINK("https://www.ncbi.nlm.nih.gov/nuccore/MT774384","NCBI Nucleotide")</f>
        <v>NCBI Nucleotide</v>
      </c>
    </row>
    <row r="187" spans="1:27" x14ac:dyDescent="0.35">
      <c r="A187">
        <v>1000186</v>
      </c>
      <c r="B187">
        <v>186</v>
      </c>
      <c r="C187">
        <v>1</v>
      </c>
      <c r="D187" s="17" t="s">
        <v>155</v>
      </c>
      <c r="E187" s="17"/>
      <c r="F187" s="17" t="s">
        <v>156</v>
      </c>
      <c r="G187" s="17"/>
      <c r="H187" s="17" t="s">
        <v>692</v>
      </c>
      <c r="I187" s="17"/>
      <c r="J187" s="17" t="s">
        <v>693</v>
      </c>
      <c r="K187" s="17"/>
      <c r="L187" s="17" t="s">
        <v>10166</v>
      </c>
      <c r="M187" s="17"/>
      <c r="N187" s="17" t="s">
        <v>10181</v>
      </c>
      <c r="O187" s="17" t="s">
        <v>10222</v>
      </c>
      <c r="P187" s="17" t="s">
        <v>10226</v>
      </c>
      <c r="Q187" s="17"/>
      <c r="R187" s="25" t="str">
        <f>HYPERLINK("https://ictv.global/taxonomy/taxondetails?taxnode_id=202313478","Hacihdavirus animalis")</f>
        <v>Hacihdavirus animalis</v>
      </c>
      <c r="S187" s="18" t="s">
        <v>30</v>
      </c>
      <c r="T187" s="18" t="s">
        <v>10227</v>
      </c>
      <c r="U187" s="18"/>
      <c r="V187" s="18"/>
      <c r="W187" s="18" t="s">
        <v>10228</v>
      </c>
      <c r="X187" s="18" t="s">
        <v>42</v>
      </c>
      <c r="Y187" s="18" t="s">
        <v>36</v>
      </c>
      <c r="Z187" s="18" t="s">
        <v>697</v>
      </c>
      <c r="AA187" s="21" t="str">
        <f>HYPERLINK("https://www.ncbi.nlm.nih.gov/nuccore/MT774394","NCBI Nucleotide")</f>
        <v>NCBI Nucleotide</v>
      </c>
    </row>
    <row r="188" spans="1:27" x14ac:dyDescent="0.35">
      <c r="A188">
        <v>1000187</v>
      </c>
      <c r="B188">
        <v>187</v>
      </c>
      <c r="C188">
        <v>1</v>
      </c>
      <c r="D188" s="17" t="s">
        <v>155</v>
      </c>
      <c r="E188" s="17"/>
      <c r="F188" s="17" t="s">
        <v>156</v>
      </c>
      <c r="G188" s="17"/>
      <c r="H188" s="17" t="s">
        <v>692</v>
      </c>
      <c r="I188" s="17"/>
      <c r="J188" s="17" t="s">
        <v>693</v>
      </c>
      <c r="K188" s="17"/>
      <c r="L188" s="17" t="s">
        <v>10166</v>
      </c>
      <c r="M188" s="17"/>
      <c r="N188" s="17" t="s">
        <v>10181</v>
      </c>
      <c r="O188" s="17" t="s">
        <v>10222</v>
      </c>
      <c r="P188" s="17" t="s">
        <v>10229</v>
      </c>
      <c r="Q188" s="17"/>
      <c r="R188" s="25" t="str">
        <f>HYPERLINK("https://ictv.global/taxonomy/taxondetails?taxnode_id=202313501","Wotdevirus murinus")</f>
        <v>Wotdevirus murinus</v>
      </c>
      <c r="S188" s="18" t="s">
        <v>30</v>
      </c>
      <c r="T188" s="18" t="s">
        <v>10230</v>
      </c>
      <c r="U188" s="18"/>
      <c r="V188" s="18"/>
      <c r="W188" s="18" t="s">
        <v>10231</v>
      </c>
      <c r="X188" s="18" t="s">
        <v>42</v>
      </c>
      <c r="Y188" s="18" t="s">
        <v>36</v>
      </c>
      <c r="Z188" s="18" t="s">
        <v>697</v>
      </c>
      <c r="AA188" s="21" t="str">
        <f>HYPERLINK("https://www.ncbi.nlm.nih.gov/nuccore/MH552500","NCBI Nucleotide")</f>
        <v>NCBI Nucleotide</v>
      </c>
    </row>
    <row r="189" spans="1:27" x14ac:dyDescent="0.35">
      <c r="A189">
        <v>1024800</v>
      </c>
      <c r="B189">
        <v>188</v>
      </c>
      <c r="C189">
        <v>1</v>
      </c>
      <c r="D189" s="17" t="s">
        <v>155</v>
      </c>
      <c r="E189" s="17"/>
      <c r="F189" s="17" t="s">
        <v>156</v>
      </c>
      <c r="G189" s="17"/>
      <c r="H189" s="17" t="s">
        <v>692</v>
      </c>
      <c r="I189" s="17"/>
      <c r="J189" s="17" t="s">
        <v>693</v>
      </c>
      <c r="K189" s="17"/>
      <c r="L189" s="17" t="s">
        <v>10166</v>
      </c>
      <c r="M189" s="17"/>
      <c r="N189" s="17" t="s">
        <v>10181</v>
      </c>
      <c r="O189" s="17"/>
      <c r="P189" s="17" t="s">
        <v>38982</v>
      </c>
      <c r="Q189" s="17"/>
      <c r="R189" s="25" t="str">
        <f>HYPERLINK("https://ictv.global/taxonomy/taxondetails?taxnode_id=202318301","Rudgehvirus jaberico")</f>
        <v>Rudgehvirus jaberico</v>
      </c>
      <c r="S189" s="18" t="s">
        <v>30</v>
      </c>
      <c r="T189" s="18" t="s">
        <v>38983</v>
      </c>
      <c r="U189" s="18" t="s">
        <v>38984</v>
      </c>
      <c r="V189" s="18"/>
      <c r="W189" s="18" t="s">
        <v>50384</v>
      </c>
      <c r="X189" s="18" t="s">
        <v>42</v>
      </c>
      <c r="Y189" s="18" t="s">
        <v>36</v>
      </c>
      <c r="Z189" s="18" t="s">
        <v>697</v>
      </c>
      <c r="AA189" s="21" t="str">
        <f>HYPERLINK("https://www.ncbi.nlm.nih.gov/nuccore/OQ198719","NCBI Nucleotide")</f>
        <v>NCBI Nucleotide</v>
      </c>
    </row>
    <row r="190" spans="1:27" x14ac:dyDescent="0.35">
      <c r="A190">
        <v>1000188</v>
      </c>
      <c r="B190">
        <v>189</v>
      </c>
      <c r="C190">
        <v>1</v>
      </c>
      <c r="D190" s="17" t="s">
        <v>155</v>
      </c>
      <c r="E190" s="17"/>
      <c r="F190" s="17" t="s">
        <v>156</v>
      </c>
      <c r="G190" s="17"/>
      <c r="H190" s="17" t="s">
        <v>692</v>
      </c>
      <c r="I190" s="17"/>
      <c r="J190" s="17" t="s">
        <v>693</v>
      </c>
      <c r="K190" s="17"/>
      <c r="L190" s="17" t="s">
        <v>10166</v>
      </c>
      <c r="M190" s="17"/>
      <c r="N190" s="17" t="s">
        <v>10232</v>
      </c>
      <c r="O190" s="17" t="s">
        <v>10233</v>
      </c>
      <c r="P190" s="17" t="s">
        <v>10234</v>
      </c>
      <c r="Q190" s="17"/>
      <c r="R190" s="25" t="str">
        <f>HYPERLINK("https://ictv.global/taxonomy/taxondetails?taxnode_id=202313433","Akihdevirus balticus")</f>
        <v>Akihdevirus balticus</v>
      </c>
      <c r="S190" s="18" t="s">
        <v>30</v>
      </c>
      <c r="T190" s="18" t="s">
        <v>10235</v>
      </c>
      <c r="U190" s="18"/>
      <c r="V190" s="18"/>
      <c r="W190" s="18" t="s">
        <v>10236</v>
      </c>
      <c r="X190" s="18" t="s">
        <v>42</v>
      </c>
      <c r="Y190" s="18" t="s">
        <v>36</v>
      </c>
      <c r="Z190" s="18" t="s">
        <v>697</v>
      </c>
      <c r="AA190" s="21" t="str">
        <f>HYPERLINK("https://www.ncbi.nlm.nih.gov/nuccore/KC821624","NCBI Nucleotide")</f>
        <v>NCBI Nucleotide</v>
      </c>
    </row>
    <row r="191" spans="1:27" x14ac:dyDescent="0.35">
      <c r="A191">
        <v>1000189</v>
      </c>
      <c r="B191">
        <v>190</v>
      </c>
      <c r="C191">
        <v>1</v>
      </c>
      <c r="D191" s="17" t="s">
        <v>155</v>
      </c>
      <c r="E191" s="17"/>
      <c r="F191" s="17" t="s">
        <v>156</v>
      </c>
      <c r="G191" s="17"/>
      <c r="H191" s="17" t="s">
        <v>692</v>
      </c>
      <c r="I191" s="17"/>
      <c r="J191" s="17" t="s">
        <v>693</v>
      </c>
      <c r="K191" s="17"/>
      <c r="L191" s="17" t="s">
        <v>10166</v>
      </c>
      <c r="M191" s="17"/>
      <c r="N191" s="17" t="s">
        <v>10232</v>
      </c>
      <c r="O191" s="17" t="s">
        <v>10233</v>
      </c>
      <c r="P191" s="17" t="s">
        <v>10237</v>
      </c>
      <c r="Q191" s="17"/>
      <c r="R191" s="25" t="str">
        <f>HYPERLINK("https://ictv.global/taxonomy/taxondetails?taxnode_id=202313485","Kahnovirus copri")</f>
        <v>Kahnovirus copri</v>
      </c>
      <c r="S191" s="18" t="s">
        <v>30</v>
      </c>
      <c r="T191" s="18" t="s">
        <v>10238</v>
      </c>
      <c r="U191" s="18"/>
      <c r="V191" s="18"/>
      <c r="W191" s="18" t="s">
        <v>10239</v>
      </c>
      <c r="X191" s="18" t="s">
        <v>42</v>
      </c>
      <c r="Y191" s="18" t="s">
        <v>36</v>
      </c>
      <c r="Z191" s="18" t="s">
        <v>697</v>
      </c>
      <c r="AA191" s="21" t="str">
        <f>HYPERLINK("https://www.ncbi.nlm.nih.gov/nuccore/MZ130483","NCBI Nucleotide")</f>
        <v>NCBI Nucleotide</v>
      </c>
    </row>
    <row r="192" spans="1:27" x14ac:dyDescent="0.35">
      <c r="A192">
        <v>1000190</v>
      </c>
      <c r="B192">
        <v>191</v>
      </c>
      <c r="C192">
        <v>1</v>
      </c>
      <c r="D192" s="17" t="s">
        <v>155</v>
      </c>
      <c r="E192" s="17"/>
      <c r="F192" s="17" t="s">
        <v>156</v>
      </c>
      <c r="G192" s="17"/>
      <c r="H192" s="17" t="s">
        <v>692</v>
      </c>
      <c r="I192" s="17"/>
      <c r="J192" s="17" t="s">
        <v>693</v>
      </c>
      <c r="K192" s="17"/>
      <c r="L192" s="17" t="s">
        <v>10166</v>
      </c>
      <c r="M192" s="17"/>
      <c r="N192" s="17" t="s">
        <v>10232</v>
      </c>
      <c r="O192" s="17" t="s">
        <v>10233</v>
      </c>
      <c r="P192" s="17" t="s">
        <v>10237</v>
      </c>
      <c r="Q192" s="17"/>
      <c r="R192" s="25" t="str">
        <f>HYPERLINK("https://ictv.global/taxonomy/taxondetails?taxnode_id=202313486","Kahnovirus oralis")</f>
        <v>Kahnovirus oralis</v>
      </c>
      <c r="S192" s="18" t="s">
        <v>30</v>
      </c>
      <c r="T192" s="18" t="s">
        <v>10240</v>
      </c>
      <c r="U192" s="18"/>
      <c r="V192" s="18"/>
      <c r="W192" s="18" t="s">
        <v>10241</v>
      </c>
      <c r="X192" s="18" t="s">
        <v>42</v>
      </c>
      <c r="Y192" s="18" t="s">
        <v>36</v>
      </c>
      <c r="Z192" s="18" t="s">
        <v>697</v>
      </c>
      <c r="AA192" s="21" t="str">
        <f>HYPERLINK("https://www.ncbi.nlm.nih.gov/nuccore/MT774390","NCBI Nucleotide")</f>
        <v>NCBI Nucleotide</v>
      </c>
    </row>
    <row r="193" spans="1:27" x14ac:dyDescent="0.35">
      <c r="A193">
        <v>1000191</v>
      </c>
      <c r="B193">
        <v>192</v>
      </c>
      <c r="C193">
        <v>1</v>
      </c>
      <c r="D193" s="17" t="s">
        <v>155</v>
      </c>
      <c r="E193" s="17"/>
      <c r="F193" s="17" t="s">
        <v>156</v>
      </c>
      <c r="G193" s="17"/>
      <c r="H193" s="17" t="s">
        <v>692</v>
      </c>
      <c r="I193" s="17"/>
      <c r="J193" s="17" t="s">
        <v>693</v>
      </c>
      <c r="K193" s="17"/>
      <c r="L193" s="17" t="s">
        <v>10166</v>
      </c>
      <c r="M193" s="17"/>
      <c r="N193" s="17" t="s">
        <v>10232</v>
      </c>
      <c r="O193" s="17" t="s">
        <v>10233</v>
      </c>
      <c r="P193" s="17" t="s">
        <v>10242</v>
      </c>
      <c r="Q193" s="17"/>
      <c r="R193" s="25" t="str">
        <f>HYPERLINK("https://ictv.global/taxonomy/taxondetails?taxnode_id=202313489","Kehishuvirus primarius")</f>
        <v>Kehishuvirus primarius</v>
      </c>
      <c r="S193" s="18" t="s">
        <v>30</v>
      </c>
      <c r="T193" s="18" t="s">
        <v>10243</v>
      </c>
      <c r="U193" s="18"/>
      <c r="V193" s="18"/>
      <c r="W193" s="18" t="s">
        <v>10244</v>
      </c>
      <c r="X193" s="18" t="s">
        <v>42</v>
      </c>
      <c r="Y193" s="18" t="s">
        <v>36</v>
      </c>
      <c r="Z193" s="18" t="s">
        <v>697</v>
      </c>
      <c r="AA193" s="21" t="str">
        <f>HYPERLINK("https://www.ncbi.nlm.nih.gov/nuccore/MH675552","NCBI Nucleotide")</f>
        <v>NCBI Nucleotide</v>
      </c>
    </row>
    <row r="194" spans="1:27" x14ac:dyDescent="0.35">
      <c r="A194">
        <v>1000192</v>
      </c>
      <c r="B194">
        <v>193</v>
      </c>
      <c r="C194">
        <v>1</v>
      </c>
      <c r="D194" s="17" t="s">
        <v>155</v>
      </c>
      <c r="E194" s="17"/>
      <c r="F194" s="17" t="s">
        <v>156</v>
      </c>
      <c r="G194" s="17"/>
      <c r="H194" s="17" t="s">
        <v>692</v>
      </c>
      <c r="I194" s="17"/>
      <c r="J194" s="17" t="s">
        <v>693</v>
      </c>
      <c r="K194" s="17"/>
      <c r="L194" s="17" t="s">
        <v>10166</v>
      </c>
      <c r="M194" s="17"/>
      <c r="N194" s="17" t="s">
        <v>10232</v>
      </c>
      <c r="O194" s="17" t="s">
        <v>10233</v>
      </c>
      <c r="P194" s="17" t="s">
        <v>10242</v>
      </c>
      <c r="Q194" s="17"/>
      <c r="R194" s="25" t="str">
        <f>HYPERLINK("https://ictv.global/taxonomy/taxondetails?taxnode_id=202313488","Kehishuvirus splanchnicus")</f>
        <v>Kehishuvirus splanchnicus</v>
      </c>
      <c r="S194" s="18" t="s">
        <v>30</v>
      </c>
      <c r="T194" s="18" t="s">
        <v>10245</v>
      </c>
      <c r="U194" s="18"/>
      <c r="V194" s="18"/>
      <c r="W194" s="18" t="s">
        <v>10246</v>
      </c>
      <c r="X194" s="18" t="s">
        <v>42</v>
      </c>
      <c r="Y194" s="18" t="s">
        <v>36</v>
      </c>
      <c r="Z194" s="18" t="s">
        <v>697</v>
      </c>
      <c r="AA194" s="21" t="str">
        <f>HYPERLINK("https://www.ncbi.nlm.nih.gov/nuccore/MT774388","NCBI Nucleotide")</f>
        <v>NCBI Nucleotide</v>
      </c>
    </row>
    <row r="195" spans="1:27" x14ac:dyDescent="0.35">
      <c r="A195">
        <v>1024987</v>
      </c>
      <c r="B195">
        <v>194</v>
      </c>
      <c r="C195">
        <v>1</v>
      </c>
      <c r="D195" s="17" t="s">
        <v>155</v>
      </c>
      <c r="E195" s="17"/>
      <c r="F195" s="17" t="s">
        <v>156</v>
      </c>
      <c r="G195" s="17"/>
      <c r="H195" s="17" t="s">
        <v>692</v>
      </c>
      <c r="I195" s="17"/>
      <c r="J195" s="17" t="s">
        <v>693</v>
      </c>
      <c r="K195" s="17"/>
      <c r="L195" s="17" t="s">
        <v>10166</v>
      </c>
      <c r="M195" s="17"/>
      <c r="N195" s="17" t="s">
        <v>10232</v>
      </c>
      <c r="O195" s="17" t="s">
        <v>10233</v>
      </c>
      <c r="P195" s="17" t="s">
        <v>10242</v>
      </c>
      <c r="Q195" s="17"/>
      <c r="R195" s="25" t="str">
        <f>HYPERLINK("https://ictv.global/taxonomy/taxondetails?taxnode_id=202318299","Kehishuvirus tikkala")</f>
        <v>Kehishuvirus tikkala</v>
      </c>
      <c r="S195" s="18" t="s">
        <v>30</v>
      </c>
      <c r="T195" s="18" t="s">
        <v>38985</v>
      </c>
      <c r="U195" s="18" t="s">
        <v>38986</v>
      </c>
      <c r="V195" s="18"/>
      <c r="W195" s="18" t="s">
        <v>50385</v>
      </c>
      <c r="X195" s="18" t="s">
        <v>42</v>
      </c>
      <c r="Y195" s="18" t="s">
        <v>36</v>
      </c>
      <c r="Z195" s="18" t="s">
        <v>697</v>
      </c>
      <c r="AA195" s="21" t="str">
        <f>HYPERLINK("https://www.ncbi.nlm.nih.gov/nuccore/OQ198717","NCBI Nucleotide")</f>
        <v>NCBI Nucleotide</v>
      </c>
    </row>
    <row r="196" spans="1:27" x14ac:dyDescent="0.35">
      <c r="A196">
        <v>1000193</v>
      </c>
      <c r="B196">
        <v>195</v>
      </c>
      <c r="C196">
        <v>1</v>
      </c>
      <c r="D196" s="17" t="s">
        <v>155</v>
      </c>
      <c r="E196" s="17"/>
      <c r="F196" s="17" t="s">
        <v>156</v>
      </c>
      <c r="G196" s="17"/>
      <c r="H196" s="17" t="s">
        <v>692</v>
      </c>
      <c r="I196" s="17"/>
      <c r="J196" s="17" t="s">
        <v>693</v>
      </c>
      <c r="K196" s="17"/>
      <c r="L196" s="17" t="s">
        <v>10166</v>
      </c>
      <c r="M196" s="17"/>
      <c r="N196" s="17" t="s">
        <v>10232</v>
      </c>
      <c r="O196" s="17" t="s">
        <v>10233</v>
      </c>
      <c r="P196" s="17" t="s">
        <v>10247</v>
      </c>
      <c r="Q196" s="17"/>
      <c r="R196" s="25" t="str">
        <f>HYPERLINK("https://ictv.global/taxonomy/taxondetails?taxnode_id=202313491","Kolpuevirus coli")</f>
        <v>Kolpuevirus coli</v>
      </c>
      <c r="S196" s="18" t="s">
        <v>30</v>
      </c>
      <c r="T196" s="18" t="s">
        <v>10248</v>
      </c>
      <c r="U196" s="18"/>
      <c r="V196" s="18"/>
      <c r="W196" s="18" t="s">
        <v>10249</v>
      </c>
      <c r="X196" s="18" t="s">
        <v>42</v>
      </c>
      <c r="Y196" s="18" t="s">
        <v>36</v>
      </c>
      <c r="Z196" s="18" t="s">
        <v>697</v>
      </c>
      <c r="AA196" s="21" t="str">
        <f>HYPERLINK("https://www.ncbi.nlm.nih.gov/nuccore/MZ130478","NCBI Nucleotide")</f>
        <v>NCBI Nucleotide</v>
      </c>
    </row>
    <row r="197" spans="1:27" x14ac:dyDescent="0.35">
      <c r="A197">
        <v>1025151</v>
      </c>
      <c r="B197">
        <v>196</v>
      </c>
      <c r="C197">
        <v>1</v>
      </c>
      <c r="D197" s="17" t="s">
        <v>155</v>
      </c>
      <c r="E197" s="17"/>
      <c r="F197" s="17" t="s">
        <v>156</v>
      </c>
      <c r="G197" s="17"/>
      <c r="H197" s="17" t="s">
        <v>692</v>
      </c>
      <c r="I197" s="17"/>
      <c r="J197" s="17" t="s">
        <v>693</v>
      </c>
      <c r="K197" s="17"/>
      <c r="L197" s="17" t="s">
        <v>10166</v>
      </c>
      <c r="M197" s="17"/>
      <c r="N197" s="17" t="s">
        <v>10232</v>
      </c>
      <c r="O197" s="17" t="s">
        <v>10233</v>
      </c>
      <c r="P197" s="17" t="s">
        <v>10247</v>
      </c>
      <c r="Q197" s="17"/>
      <c r="R197" s="25" t="str">
        <f>HYPERLINK("https://ictv.global/taxonomy/taxondetails?taxnode_id=202318300","Kolpuevirus frurule")</f>
        <v>Kolpuevirus frurule</v>
      </c>
      <c r="S197" s="18" t="s">
        <v>30</v>
      </c>
      <c r="T197" s="18" t="s">
        <v>38987</v>
      </c>
      <c r="U197" s="18" t="s">
        <v>38988</v>
      </c>
      <c r="V197" s="18"/>
      <c r="W197" s="18" t="s">
        <v>50386</v>
      </c>
      <c r="X197" s="18" t="s">
        <v>42</v>
      </c>
      <c r="Y197" s="18" t="s">
        <v>36</v>
      </c>
      <c r="Z197" s="18" t="s">
        <v>697</v>
      </c>
      <c r="AA197" s="21" t="str">
        <f>HYPERLINK("https://www.ncbi.nlm.nih.gov/nuccore/OQ198718","NCBI Nucleotide")</f>
        <v>NCBI Nucleotide</v>
      </c>
    </row>
    <row r="198" spans="1:27" x14ac:dyDescent="0.35">
      <c r="A198">
        <v>1000194</v>
      </c>
      <c r="B198">
        <v>197</v>
      </c>
      <c r="C198">
        <v>1</v>
      </c>
      <c r="D198" s="17" t="s">
        <v>155</v>
      </c>
      <c r="E198" s="17"/>
      <c r="F198" s="17" t="s">
        <v>156</v>
      </c>
      <c r="G198" s="17"/>
      <c r="H198" s="17" t="s">
        <v>692</v>
      </c>
      <c r="I198" s="17"/>
      <c r="J198" s="17" t="s">
        <v>693</v>
      </c>
      <c r="K198" s="17"/>
      <c r="L198" s="17" t="s">
        <v>10166</v>
      </c>
      <c r="M198" s="17"/>
      <c r="N198" s="17" t="s">
        <v>10232</v>
      </c>
      <c r="O198" s="17" t="s">
        <v>10233</v>
      </c>
      <c r="P198" s="17" t="s">
        <v>10247</v>
      </c>
      <c r="Q198" s="17"/>
      <c r="R198" s="25" t="str">
        <f>HYPERLINK("https://ictv.global/taxonomy/taxondetails?taxnode_id=202313492","Kolpuevirus hominis")</f>
        <v>Kolpuevirus hominis</v>
      </c>
      <c r="S198" s="18" t="s">
        <v>30</v>
      </c>
      <c r="T198" s="18" t="s">
        <v>10250</v>
      </c>
      <c r="U198" s="18"/>
      <c r="V198" s="18"/>
      <c r="W198" s="18" t="s">
        <v>10251</v>
      </c>
      <c r="X198" s="18" t="s">
        <v>42</v>
      </c>
      <c r="Y198" s="18" t="s">
        <v>36</v>
      </c>
      <c r="Z198" s="18" t="s">
        <v>697</v>
      </c>
      <c r="AA198" s="21" t="str">
        <f>HYPERLINK("https://www.ncbi.nlm.nih.gov/nuccore/MT774391","NCBI Nucleotide")</f>
        <v>NCBI Nucleotide</v>
      </c>
    </row>
    <row r="199" spans="1:27" x14ac:dyDescent="0.35">
      <c r="A199">
        <v>1000195</v>
      </c>
      <c r="B199">
        <v>198</v>
      </c>
      <c r="C199">
        <v>1</v>
      </c>
      <c r="D199" s="17" t="s">
        <v>155</v>
      </c>
      <c r="E199" s="17"/>
      <c r="F199" s="17" t="s">
        <v>156</v>
      </c>
      <c r="G199" s="17"/>
      <c r="H199" s="17" t="s">
        <v>692</v>
      </c>
      <c r="I199" s="17"/>
      <c r="J199" s="17" t="s">
        <v>693</v>
      </c>
      <c r="K199" s="17"/>
      <c r="L199" s="17" t="s">
        <v>10166</v>
      </c>
      <c r="M199" s="17"/>
      <c r="N199" s="17" t="s">
        <v>10232</v>
      </c>
      <c r="O199" s="17" t="s">
        <v>10233</v>
      </c>
      <c r="P199" s="17" t="s">
        <v>10252</v>
      </c>
      <c r="Q199" s="17"/>
      <c r="R199" s="25" t="str">
        <f>HYPERLINK("https://ictv.global/taxonomy/taxondetails?taxnode_id=202313493","Lahndsivirus rarus")</f>
        <v>Lahndsivirus rarus</v>
      </c>
      <c r="S199" s="18" t="s">
        <v>30</v>
      </c>
      <c r="T199" s="18" t="s">
        <v>10253</v>
      </c>
      <c r="U199" s="18"/>
      <c r="V199" s="18"/>
      <c r="W199" s="18" t="s">
        <v>10254</v>
      </c>
      <c r="X199" s="18" t="s">
        <v>42</v>
      </c>
      <c r="Y199" s="18" t="s">
        <v>36</v>
      </c>
      <c r="Z199" s="18" t="s">
        <v>697</v>
      </c>
      <c r="AA199" s="21" t="str">
        <f>HYPERLINK("https://www.ncbi.nlm.nih.gov/nuccore/MT774387","NCBI Nucleotide")</f>
        <v>NCBI Nucleotide</v>
      </c>
    </row>
    <row r="200" spans="1:27" x14ac:dyDescent="0.35">
      <c r="A200">
        <v>1000196</v>
      </c>
      <c r="B200">
        <v>199</v>
      </c>
      <c r="C200">
        <v>1</v>
      </c>
      <c r="D200" s="17" t="s">
        <v>155</v>
      </c>
      <c r="E200" s="17"/>
      <c r="F200" s="17" t="s">
        <v>156</v>
      </c>
      <c r="G200" s="17"/>
      <c r="H200" s="17" t="s">
        <v>692</v>
      </c>
      <c r="I200" s="17"/>
      <c r="J200" s="17" t="s">
        <v>693</v>
      </c>
      <c r="K200" s="17"/>
      <c r="L200" s="17" t="s">
        <v>10166</v>
      </c>
      <c r="M200" s="17"/>
      <c r="N200" s="17" t="s">
        <v>10232</v>
      </c>
      <c r="O200" s="17" t="s">
        <v>10233</v>
      </c>
      <c r="P200" s="17" t="s">
        <v>10255</v>
      </c>
      <c r="Q200" s="17"/>
      <c r="R200" s="25" t="str">
        <f>HYPERLINK("https://ictv.global/taxonomy/taxondetails?taxnode_id=202313494","Lebriduvirus gastrointestinalis")</f>
        <v>Lebriduvirus gastrointestinalis</v>
      </c>
      <c r="S200" s="18" t="s">
        <v>30</v>
      </c>
      <c r="T200" s="18" t="s">
        <v>10256</v>
      </c>
      <c r="U200" s="18"/>
      <c r="V200" s="18"/>
      <c r="W200" s="18" t="s">
        <v>10257</v>
      </c>
      <c r="X200" s="18" t="s">
        <v>42</v>
      </c>
      <c r="Y200" s="18" t="s">
        <v>36</v>
      </c>
      <c r="Z200" s="18" t="s">
        <v>697</v>
      </c>
      <c r="AA200" s="21" t="str">
        <f>HYPERLINK("https://www.ncbi.nlm.nih.gov/nuccore/MZ130485","NCBI Nucleotide")</f>
        <v>NCBI Nucleotide</v>
      </c>
    </row>
    <row r="201" spans="1:27" x14ac:dyDescent="0.35">
      <c r="A201">
        <v>1000197</v>
      </c>
      <c r="B201">
        <v>200</v>
      </c>
      <c r="C201">
        <v>1</v>
      </c>
      <c r="D201" s="17" t="s">
        <v>155</v>
      </c>
      <c r="E201" s="17"/>
      <c r="F201" s="17" t="s">
        <v>156</v>
      </c>
      <c r="G201" s="17"/>
      <c r="H201" s="17" t="s">
        <v>692</v>
      </c>
      <c r="I201" s="17"/>
      <c r="J201" s="17" t="s">
        <v>693</v>
      </c>
      <c r="K201" s="17"/>
      <c r="L201" s="17" t="s">
        <v>10166</v>
      </c>
      <c r="M201" s="17"/>
      <c r="N201" s="17" t="s">
        <v>10232</v>
      </c>
      <c r="O201" s="17" t="s">
        <v>10233</v>
      </c>
      <c r="P201" s="17" t="s">
        <v>10258</v>
      </c>
      <c r="Q201" s="17"/>
      <c r="R201" s="25" t="str">
        <f>HYPERLINK("https://ictv.global/taxonomy/taxondetails?taxnode_id=202313495","Mahlunavirus rarus")</f>
        <v>Mahlunavirus rarus</v>
      </c>
      <c r="S201" s="18" t="s">
        <v>30</v>
      </c>
      <c r="T201" s="18" t="s">
        <v>10259</v>
      </c>
      <c r="U201" s="18"/>
      <c r="V201" s="18"/>
      <c r="W201" s="18" t="s">
        <v>10260</v>
      </c>
      <c r="X201" s="18" t="s">
        <v>42</v>
      </c>
      <c r="Y201" s="18" t="s">
        <v>36</v>
      </c>
      <c r="Z201" s="18" t="s">
        <v>697</v>
      </c>
      <c r="AA201" s="21" t="str">
        <f>HYPERLINK("https://www.ncbi.nlm.nih.gov/nuccore/MT774392","NCBI Nucleotide")</f>
        <v>NCBI Nucleotide</v>
      </c>
    </row>
    <row r="202" spans="1:27" x14ac:dyDescent="0.35">
      <c r="A202">
        <v>1000198</v>
      </c>
      <c r="B202">
        <v>201</v>
      </c>
      <c r="C202">
        <v>1</v>
      </c>
      <c r="D202" s="17" t="s">
        <v>155</v>
      </c>
      <c r="E202" s="17"/>
      <c r="F202" s="17" t="s">
        <v>156</v>
      </c>
      <c r="G202" s="17"/>
      <c r="H202" s="17" t="s">
        <v>692</v>
      </c>
      <c r="I202" s="17"/>
      <c r="J202" s="17" t="s">
        <v>693</v>
      </c>
      <c r="K202" s="17"/>
      <c r="L202" s="17" t="s">
        <v>10166</v>
      </c>
      <c r="M202" s="17"/>
      <c r="N202" s="17" t="s">
        <v>10232</v>
      </c>
      <c r="O202" s="17" t="s">
        <v>10233</v>
      </c>
      <c r="P202" s="17" t="s">
        <v>10261</v>
      </c>
      <c r="Q202" s="17"/>
      <c r="R202" s="25" t="str">
        <f>HYPERLINK("https://ictv.global/taxonomy/taxondetails?taxnode_id=202313496","Mahstovirus faecalis")</f>
        <v>Mahstovirus faecalis</v>
      </c>
      <c r="S202" s="18" t="s">
        <v>30</v>
      </c>
      <c r="T202" s="18" t="s">
        <v>10262</v>
      </c>
      <c r="U202" s="18"/>
      <c r="V202" s="18"/>
      <c r="W202" s="18" t="s">
        <v>10263</v>
      </c>
      <c r="X202" s="18" t="s">
        <v>42</v>
      </c>
      <c r="Y202" s="18" t="s">
        <v>36</v>
      </c>
      <c r="Z202" s="18" t="s">
        <v>697</v>
      </c>
      <c r="AA202" s="21" t="str">
        <f>HYPERLINK("https://www.ncbi.nlm.nih.gov/nuccore/MT774378","NCBI Nucleotide")</f>
        <v>NCBI Nucleotide</v>
      </c>
    </row>
    <row r="203" spans="1:27" x14ac:dyDescent="0.35">
      <c r="A203">
        <v>1000199</v>
      </c>
      <c r="B203">
        <v>202</v>
      </c>
      <c r="C203">
        <v>1</v>
      </c>
      <c r="D203" s="17" t="s">
        <v>155</v>
      </c>
      <c r="E203" s="17"/>
      <c r="F203" s="17" t="s">
        <v>156</v>
      </c>
      <c r="G203" s="17"/>
      <c r="H203" s="17" t="s">
        <v>692</v>
      </c>
      <c r="I203" s="17"/>
      <c r="J203" s="17" t="s">
        <v>693</v>
      </c>
      <c r="K203" s="17"/>
      <c r="L203" s="17" t="s">
        <v>10166</v>
      </c>
      <c r="M203" s="17"/>
      <c r="N203" s="17" t="s">
        <v>10232</v>
      </c>
      <c r="O203" s="17" t="s">
        <v>10233</v>
      </c>
      <c r="P203" s="17" t="s">
        <v>10264</v>
      </c>
      <c r="Q203" s="17"/>
      <c r="R203" s="25" t="str">
        <f>HYPERLINK("https://ictv.global/taxonomy/taxondetails?taxnode_id=202313497","Pamirivirus faecium")</f>
        <v>Pamirivirus faecium</v>
      </c>
      <c r="S203" s="18" t="s">
        <v>30</v>
      </c>
      <c r="T203" s="18" t="s">
        <v>10265</v>
      </c>
      <c r="U203" s="18"/>
      <c r="V203" s="18"/>
      <c r="W203" s="18" t="s">
        <v>10266</v>
      </c>
      <c r="X203" s="18" t="s">
        <v>42</v>
      </c>
      <c r="Y203" s="18" t="s">
        <v>36</v>
      </c>
      <c r="Z203" s="18" t="s">
        <v>697</v>
      </c>
      <c r="AA203" s="21" t="str">
        <f>HYPERLINK("https://www.ncbi.nlm.nih.gov/nuccore/MT774389","NCBI Nucleotide")</f>
        <v>NCBI Nucleotide</v>
      </c>
    </row>
    <row r="204" spans="1:27" x14ac:dyDescent="0.35">
      <c r="A204">
        <v>1000200</v>
      </c>
      <c r="B204">
        <v>203</v>
      </c>
      <c r="C204">
        <v>1</v>
      </c>
      <c r="D204" s="17" t="s">
        <v>155</v>
      </c>
      <c r="E204" s="17"/>
      <c r="F204" s="17" t="s">
        <v>156</v>
      </c>
      <c r="G204" s="17"/>
      <c r="H204" s="17" t="s">
        <v>692</v>
      </c>
      <c r="I204" s="17"/>
      <c r="J204" s="17" t="s">
        <v>693</v>
      </c>
      <c r="K204" s="17"/>
      <c r="L204" s="17" t="s">
        <v>10166</v>
      </c>
      <c r="M204" s="17"/>
      <c r="N204" s="17" t="s">
        <v>10232</v>
      </c>
      <c r="O204" s="17" t="s">
        <v>10233</v>
      </c>
      <c r="P204" s="17" t="s">
        <v>10267</v>
      </c>
      <c r="Q204" s="17"/>
      <c r="R204" s="25" t="str">
        <f>HYPERLINK("https://ictv.global/taxonomy/taxondetails?taxnode_id=202313498","Paundivirus hollandii")</f>
        <v>Paundivirus hollandii</v>
      </c>
      <c r="S204" s="18" t="s">
        <v>30</v>
      </c>
      <c r="T204" s="18" t="s">
        <v>10268</v>
      </c>
      <c r="U204" s="18"/>
      <c r="V204" s="18"/>
      <c r="W204" s="18" t="s">
        <v>10269</v>
      </c>
      <c r="X204" s="18" t="s">
        <v>42</v>
      </c>
      <c r="Y204" s="18" t="s">
        <v>36</v>
      </c>
      <c r="Z204" s="18" t="s">
        <v>697</v>
      </c>
      <c r="AA204" s="21" t="str">
        <f>HYPERLINK("https://www.ncbi.nlm.nih.gov/nuccore/KJ003983","NCBI Nucleotide")</f>
        <v>NCBI Nucleotide</v>
      </c>
    </row>
    <row r="205" spans="1:27" x14ac:dyDescent="0.35">
      <c r="A205">
        <v>1000201</v>
      </c>
      <c r="B205">
        <v>204</v>
      </c>
      <c r="C205">
        <v>1</v>
      </c>
      <c r="D205" s="17" t="s">
        <v>155</v>
      </c>
      <c r="E205" s="17"/>
      <c r="F205" s="17" t="s">
        <v>156</v>
      </c>
      <c r="G205" s="17"/>
      <c r="H205" s="17" t="s">
        <v>692</v>
      </c>
      <c r="I205" s="17"/>
      <c r="J205" s="17" t="s">
        <v>693</v>
      </c>
      <c r="K205" s="17"/>
      <c r="L205" s="17" t="s">
        <v>10166</v>
      </c>
      <c r="M205" s="17"/>
      <c r="N205" s="17" t="s">
        <v>10232</v>
      </c>
      <c r="O205" s="17" t="s">
        <v>10233</v>
      </c>
      <c r="P205" s="17" t="s">
        <v>10270</v>
      </c>
      <c r="Q205" s="17"/>
      <c r="R205" s="25" t="str">
        <f>HYPERLINK("https://ictv.global/taxonomy/taxondetails?taxnode_id=202313499","Pipoluvirus rarus")</f>
        <v>Pipoluvirus rarus</v>
      </c>
      <c r="S205" s="18" t="s">
        <v>30</v>
      </c>
      <c r="T205" s="18" t="s">
        <v>10271</v>
      </c>
      <c r="U205" s="18"/>
      <c r="V205" s="18"/>
      <c r="W205" s="18" t="s">
        <v>10272</v>
      </c>
      <c r="X205" s="18" t="s">
        <v>42</v>
      </c>
      <c r="Y205" s="18" t="s">
        <v>36</v>
      </c>
      <c r="Z205" s="18" t="s">
        <v>697</v>
      </c>
      <c r="AA205" s="21" t="str">
        <f>HYPERLINK("https://www.ncbi.nlm.nih.gov/nuccore/MT774385","NCBI Nucleotide")</f>
        <v>NCBI Nucleotide</v>
      </c>
    </row>
    <row r="206" spans="1:27" x14ac:dyDescent="0.35">
      <c r="A206">
        <v>1000202</v>
      </c>
      <c r="B206">
        <v>205</v>
      </c>
      <c r="C206">
        <v>1</v>
      </c>
      <c r="D206" s="17" t="s">
        <v>155</v>
      </c>
      <c r="E206" s="17"/>
      <c r="F206" s="17" t="s">
        <v>156</v>
      </c>
      <c r="G206" s="17"/>
      <c r="H206" s="17" t="s">
        <v>692</v>
      </c>
      <c r="I206" s="17"/>
      <c r="J206" s="17" t="s">
        <v>693</v>
      </c>
      <c r="K206" s="17"/>
      <c r="L206" s="17" t="s">
        <v>10166</v>
      </c>
      <c r="M206" s="17"/>
      <c r="N206" s="17" t="s">
        <v>10232</v>
      </c>
      <c r="O206" s="17" t="s">
        <v>10233</v>
      </c>
      <c r="P206" s="17" t="s">
        <v>10273</v>
      </c>
      <c r="Q206" s="17"/>
      <c r="R206" s="25" t="str">
        <f>HYPERLINK("https://ictv.global/taxonomy/taxondetails?taxnode_id=202313502","Wulfhauvirus bangladeshii")</f>
        <v>Wulfhauvirus bangladeshii</v>
      </c>
      <c r="S206" s="18" t="s">
        <v>30</v>
      </c>
      <c r="T206" s="18" t="s">
        <v>10274</v>
      </c>
      <c r="U206" s="18"/>
      <c r="V206" s="18"/>
      <c r="W206" s="18" t="s">
        <v>10275</v>
      </c>
      <c r="X206" s="18" t="s">
        <v>42</v>
      </c>
      <c r="Y206" s="18" t="s">
        <v>36</v>
      </c>
      <c r="Z206" s="18" t="s">
        <v>697</v>
      </c>
      <c r="AA206" s="21" t="str">
        <f>HYPERLINK("https://www.ncbi.nlm.nih.gov/nuccore/MT074136","NCBI Nucleotide")</f>
        <v>NCBI Nucleotide</v>
      </c>
    </row>
    <row r="207" spans="1:27" x14ac:dyDescent="0.35">
      <c r="A207">
        <v>1000203</v>
      </c>
      <c r="B207">
        <v>206</v>
      </c>
      <c r="C207">
        <v>1</v>
      </c>
      <c r="D207" s="17" t="s">
        <v>155</v>
      </c>
      <c r="E207" s="17"/>
      <c r="F207" s="17" t="s">
        <v>156</v>
      </c>
      <c r="G207" s="17"/>
      <c r="H207" s="17" t="s">
        <v>692</v>
      </c>
      <c r="I207" s="17"/>
      <c r="J207" s="17" t="s">
        <v>693</v>
      </c>
      <c r="K207" s="17"/>
      <c r="L207" s="17" t="s">
        <v>10166</v>
      </c>
      <c r="M207" s="17"/>
      <c r="N207" s="17" t="s">
        <v>10276</v>
      </c>
      <c r="O207" s="17" t="s">
        <v>10280</v>
      </c>
      <c r="P207" s="17" t="s">
        <v>10281</v>
      </c>
      <c r="Q207" s="17"/>
      <c r="R207" s="25" t="str">
        <f>HYPERLINK("https://ictv.global/taxonomy/taxondetails?taxnode_id=202313115","Afonbuvirus coli")</f>
        <v>Afonbuvirus coli</v>
      </c>
      <c r="S207" s="18" t="s">
        <v>30</v>
      </c>
      <c r="T207" s="18" t="s">
        <v>10282</v>
      </c>
      <c r="U207" s="18"/>
      <c r="V207" s="18"/>
      <c r="W207" s="18" t="s">
        <v>10283</v>
      </c>
      <c r="X207" s="18" t="s">
        <v>42</v>
      </c>
      <c r="Y207" s="18" t="s">
        <v>36</v>
      </c>
      <c r="Z207" s="18" t="s">
        <v>697</v>
      </c>
      <c r="AA207" s="21" t="str">
        <f>HYPERLINK("https://www.ncbi.nlm.nih.gov/nuccore/MZ130499","NCBI Nucleotide")</f>
        <v>NCBI Nucleotide</v>
      </c>
    </row>
    <row r="208" spans="1:27" x14ac:dyDescent="0.35">
      <c r="A208">
        <v>1000204</v>
      </c>
      <c r="B208">
        <v>207</v>
      </c>
      <c r="C208">
        <v>1</v>
      </c>
      <c r="D208" s="17" t="s">
        <v>155</v>
      </c>
      <c r="E208" s="17"/>
      <c r="F208" s="17" t="s">
        <v>156</v>
      </c>
      <c r="G208" s="17"/>
      <c r="H208" s="17" t="s">
        <v>692</v>
      </c>
      <c r="I208" s="17"/>
      <c r="J208" s="17" t="s">
        <v>693</v>
      </c>
      <c r="K208" s="17"/>
      <c r="L208" s="17" t="s">
        <v>10166</v>
      </c>
      <c r="M208" s="17"/>
      <c r="N208" s="17" t="s">
        <v>10276</v>
      </c>
      <c r="O208" s="17" t="s">
        <v>10280</v>
      </c>
      <c r="P208" s="17" t="s">
        <v>10281</v>
      </c>
      <c r="Q208" s="17"/>
      <c r="R208" s="25" t="str">
        <f>HYPERLINK("https://ictv.global/taxonomy/taxondetails?taxnode_id=202313116","Afonbuvirus faecalis")</f>
        <v>Afonbuvirus faecalis</v>
      </c>
      <c r="S208" s="18" t="s">
        <v>30</v>
      </c>
      <c r="T208" s="18" t="s">
        <v>10284</v>
      </c>
      <c r="U208" s="18"/>
      <c r="V208" s="18"/>
      <c r="W208" s="18" t="s">
        <v>10285</v>
      </c>
      <c r="X208" s="18" t="s">
        <v>42</v>
      </c>
      <c r="Y208" s="18" t="s">
        <v>36</v>
      </c>
      <c r="Z208" s="18" t="s">
        <v>697</v>
      </c>
      <c r="AA208" s="21" t="str">
        <f>HYPERLINK("https://www.ncbi.nlm.nih.gov/nuccore/MT774401","NCBI Nucleotide")</f>
        <v>NCBI Nucleotide</v>
      </c>
    </row>
    <row r="209" spans="1:27" x14ac:dyDescent="0.35">
      <c r="A209">
        <v>1000205</v>
      </c>
      <c r="B209">
        <v>208</v>
      </c>
      <c r="C209">
        <v>1</v>
      </c>
      <c r="D209" s="17" t="s">
        <v>155</v>
      </c>
      <c r="E209" s="17"/>
      <c r="F209" s="17" t="s">
        <v>156</v>
      </c>
      <c r="G209" s="17"/>
      <c r="H209" s="17" t="s">
        <v>692</v>
      </c>
      <c r="I209" s="17"/>
      <c r="J209" s="17" t="s">
        <v>693</v>
      </c>
      <c r="K209" s="17"/>
      <c r="L209" s="17" t="s">
        <v>10166</v>
      </c>
      <c r="M209" s="17"/>
      <c r="N209" s="17" t="s">
        <v>10276</v>
      </c>
      <c r="O209" s="17" t="s">
        <v>10280</v>
      </c>
      <c r="P209" s="17" t="s">
        <v>10281</v>
      </c>
      <c r="Q209" s="17"/>
      <c r="R209" s="25" t="str">
        <f>HYPERLINK("https://ictv.global/taxonomy/taxondetails?taxnode_id=202313114","Afonbuvirus intestinihominis")</f>
        <v>Afonbuvirus intestinihominis</v>
      </c>
      <c r="S209" s="18" t="s">
        <v>30</v>
      </c>
      <c r="T209" s="18" t="s">
        <v>10286</v>
      </c>
      <c r="U209" s="18"/>
      <c r="V209" s="18"/>
      <c r="W209" s="18" t="s">
        <v>10287</v>
      </c>
      <c r="X209" s="18" t="s">
        <v>42</v>
      </c>
      <c r="Y209" s="18" t="s">
        <v>36</v>
      </c>
      <c r="Z209" s="18" t="s">
        <v>697</v>
      </c>
      <c r="AA209" s="21" t="str">
        <f>HYPERLINK("https://www.ncbi.nlm.nih.gov/nuccore/MZ130492","NCBI Nucleotide")</f>
        <v>NCBI Nucleotide</v>
      </c>
    </row>
    <row r="210" spans="1:27" x14ac:dyDescent="0.35">
      <c r="A210">
        <v>1000206</v>
      </c>
      <c r="B210">
        <v>209</v>
      </c>
      <c r="C210">
        <v>1</v>
      </c>
      <c r="D210" s="17" t="s">
        <v>155</v>
      </c>
      <c r="E210" s="17"/>
      <c r="F210" s="17" t="s">
        <v>156</v>
      </c>
      <c r="G210" s="17"/>
      <c r="H210" s="17" t="s">
        <v>692</v>
      </c>
      <c r="I210" s="17"/>
      <c r="J210" s="17" t="s">
        <v>693</v>
      </c>
      <c r="K210" s="17"/>
      <c r="L210" s="17" t="s">
        <v>10166</v>
      </c>
      <c r="M210" s="17"/>
      <c r="N210" s="17" t="s">
        <v>10276</v>
      </c>
      <c r="O210" s="17" t="s">
        <v>10288</v>
      </c>
      <c r="P210" s="17" t="s">
        <v>10289</v>
      </c>
      <c r="Q210" s="17"/>
      <c r="R210" s="25" t="str">
        <f>HYPERLINK("https://ictv.global/taxonomy/taxondetails?taxnode_id=202313458","Canhaevirus faecalis")</f>
        <v>Canhaevirus faecalis</v>
      </c>
      <c r="S210" s="18" t="s">
        <v>30</v>
      </c>
      <c r="T210" s="18" t="s">
        <v>10290</v>
      </c>
      <c r="U210" s="18"/>
      <c r="V210" s="18"/>
      <c r="W210" s="18" t="s">
        <v>10291</v>
      </c>
      <c r="X210" s="18" t="s">
        <v>42</v>
      </c>
      <c r="Y210" s="18" t="s">
        <v>36</v>
      </c>
      <c r="Z210" s="18" t="s">
        <v>697</v>
      </c>
      <c r="AA210" s="21" t="str">
        <f>HYPERLINK("https://www.ncbi.nlm.nih.gov/nuccore/MZ130482","NCBI Nucleotide")</f>
        <v>NCBI Nucleotide</v>
      </c>
    </row>
    <row r="211" spans="1:27" x14ac:dyDescent="0.35">
      <c r="A211">
        <v>1000207</v>
      </c>
      <c r="B211">
        <v>210</v>
      </c>
      <c r="C211">
        <v>1</v>
      </c>
      <c r="D211" s="17" t="s">
        <v>155</v>
      </c>
      <c r="E211" s="17"/>
      <c r="F211" s="17" t="s">
        <v>156</v>
      </c>
      <c r="G211" s="17"/>
      <c r="H211" s="17" t="s">
        <v>692</v>
      </c>
      <c r="I211" s="17"/>
      <c r="J211" s="17" t="s">
        <v>693</v>
      </c>
      <c r="K211" s="17"/>
      <c r="L211" s="17" t="s">
        <v>10166</v>
      </c>
      <c r="M211" s="17"/>
      <c r="N211" s="17" t="s">
        <v>10276</v>
      </c>
      <c r="O211" s="17" t="s">
        <v>10288</v>
      </c>
      <c r="P211" s="17" t="s">
        <v>10289</v>
      </c>
      <c r="Q211" s="17"/>
      <c r="R211" s="25" t="str">
        <f>HYPERLINK("https://ictv.global/taxonomy/taxondetails?taxnode_id=202313459","Canhaevirus hiberniae")</f>
        <v>Canhaevirus hiberniae</v>
      </c>
      <c r="S211" s="18" t="s">
        <v>30</v>
      </c>
      <c r="T211" s="18" t="s">
        <v>10292</v>
      </c>
      <c r="U211" s="18"/>
      <c r="V211" s="18"/>
      <c r="W211" s="18" t="s">
        <v>10293</v>
      </c>
      <c r="X211" s="18" t="s">
        <v>42</v>
      </c>
      <c r="Y211" s="18" t="s">
        <v>36</v>
      </c>
      <c r="Z211" s="18" t="s">
        <v>697</v>
      </c>
      <c r="AA211" s="21" t="str">
        <f>HYPERLINK("https://www.ncbi.nlm.nih.gov/nuccore/MT774382","NCBI Nucleotide")</f>
        <v>NCBI Nucleotide</v>
      </c>
    </row>
    <row r="212" spans="1:27" x14ac:dyDescent="0.35">
      <c r="A212">
        <v>1000208</v>
      </c>
      <c r="B212">
        <v>211</v>
      </c>
      <c r="C212">
        <v>1</v>
      </c>
      <c r="D212" s="17" t="s">
        <v>155</v>
      </c>
      <c r="E212" s="17"/>
      <c r="F212" s="17" t="s">
        <v>156</v>
      </c>
      <c r="G212" s="17"/>
      <c r="H212" s="17" t="s">
        <v>692</v>
      </c>
      <c r="I212" s="17"/>
      <c r="J212" s="17" t="s">
        <v>693</v>
      </c>
      <c r="K212" s="17"/>
      <c r="L212" s="17" t="s">
        <v>10166</v>
      </c>
      <c r="M212" s="17"/>
      <c r="N212" s="17" t="s">
        <v>10276</v>
      </c>
      <c r="O212" s="17" t="s">
        <v>10288</v>
      </c>
      <c r="P212" s="17" t="s">
        <v>10294</v>
      </c>
      <c r="Q212" s="17"/>
      <c r="R212" s="25" t="str">
        <f>HYPERLINK("https://ictv.global/taxonomy/taxondetails?taxnode_id=202313464","Cohcovirus hiberniae")</f>
        <v>Cohcovirus hiberniae</v>
      </c>
      <c r="S212" s="18" t="s">
        <v>30</v>
      </c>
      <c r="T212" s="18" t="s">
        <v>10295</v>
      </c>
      <c r="U212" s="18"/>
      <c r="V212" s="18"/>
      <c r="W212" s="18" t="s">
        <v>10296</v>
      </c>
      <c r="X212" s="18" t="s">
        <v>42</v>
      </c>
      <c r="Y212" s="18" t="s">
        <v>36</v>
      </c>
      <c r="Z212" s="18" t="s">
        <v>697</v>
      </c>
      <c r="AA212" s="21" t="str">
        <f>HYPERLINK("https://www.ncbi.nlm.nih.gov/nuccore/MT774375","NCBI Nucleotide")</f>
        <v>NCBI Nucleotide</v>
      </c>
    </row>
    <row r="213" spans="1:27" x14ac:dyDescent="0.35">
      <c r="A213">
        <v>1000209</v>
      </c>
      <c r="B213">
        <v>212</v>
      </c>
      <c r="C213">
        <v>1</v>
      </c>
      <c r="D213" s="17" t="s">
        <v>155</v>
      </c>
      <c r="E213" s="17"/>
      <c r="F213" s="17" t="s">
        <v>156</v>
      </c>
      <c r="G213" s="17"/>
      <c r="H213" s="17" t="s">
        <v>692</v>
      </c>
      <c r="I213" s="17"/>
      <c r="J213" s="17" t="s">
        <v>693</v>
      </c>
      <c r="K213" s="17"/>
      <c r="L213" s="17" t="s">
        <v>10166</v>
      </c>
      <c r="M213" s="17"/>
      <c r="N213" s="17" t="s">
        <v>10276</v>
      </c>
      <c r="O213" s="17" t="s">
        <v>10288</v>
      </c>
      <c r="P213" s="17" t="s">
        <v>10294</v>
      </c>
      <c r="Q213" s="17"/>
      <c r="R213" s="25" t="str">
        <f>HYPERLINK("https://ictv.global/taxonomy/taxondetails?taxnode_id=202313463","Cohcovirus splanchnicus")</f>
        <v>Cohcovirus splanchnicus</v>
      </c>
      <c r="S213" s="18" t="s">
        <v>30</v>
      </c>
      <c r="T213" s="18" t="s">
        <v>10297</v>
      </c>
      <c r="U213" s="18"/>
      <c r="V213" s="18"/>
      <c r="W213" s="18" t="s">
        <v>10298</v>
      </c>
      <c r="X213" s="18" t="s">
        <v>42</v>
      </c>
      <c r="Y213" s="18" t="s">
        <v>36</v>
      </c>
      <c r="Z213" s="18" t="s">
        <v>697</v>
      </c>
      <c r="AA213" s="21" t="str">
        <f>HYPERLINK("https://www.ncbi.nlm.nih.gov/nuccore/MZ130475","NCBI Nucleotide")</f>
        <v>NCBI Nucleotide</v>
      </c>
    </row>
    <row r="214" spans="1:27" x14ac:dyDescent="0.35">
      <c r="A214">
        <v>1000210</v>
      </c>
      <c r="B214">
        <v>213</v>
      </c>
      <c r="C214">
        <v>1</v>
      </c>
      <c r="D214" s="17" t="s">
        <v>155</v>
      </c>
      <c r="E214" s="17"/>
      <c r="F214" s="17" t="s">
        <v>156</v>
      </c>
      <c r="G214" s="17"/>
      <c r="H214" s="17" t="s">
        <v>692</v>
      </c>
      <c r="I214" s="17"/>
      <c r="J214" s="17" t="s">
        <v>693</v>
      </c>
      <c r="K214" s="17"/>
      <c r="L214" s="17" t="s">
        <v>10166</v>
      </c>
      <c r="M214" s="17"/>
      <c r="N214" s="17" t="s">
        <v>10276</v>
      </c>
      <c r="O214" s="17" t="s">
        <v>10288</v>
      </c>
      <c r="P214" s="17" t="s">
        <v>10299</v>
      </c>
      <c r="Q214" s="17"/>
      <c r="R214" s="25" t="str">
        <f>HYPERLINK("https://ictv.global/taxonomy/taxondetails?taxnode_id=202313466","Culoivirus americanus")</f>
        <v>Culoivirus americanus</v>
      </c>
      <c r="S214" s="18" t="s">
        <v>30</v>
      </c>
      <c r="T214" s="18" t="s">
        <v>10300</v>
      </c>
      <c r="U214" s="18"/>
      <c r="V214" s="18"/>
      <c r="W214" s="18" t="s">
        <v>10301</v>
      </c>
      <c r="X214" s="18" t="s">
        <v>42</v>
      </c>
      <c r="Y214" s="18" t="s">
        <v>36</v>
      </c>
      <c r="Z214" s="18" t="s">
        <v>697</v>
      </c>
      <c r="AA214" s="21" t="str">
        <f>HYPERLINK("https://www.ncbi.nlm.nih.gov/nuccore/MT774380","NCBI Nucleotide")</f>
        <v>NCBI Nucleotide</v>
      </c>
    </row>
    <row r="215" spans="1:27" x14ac:dyDescent="0.35">
      <c r="A215">
        <v>1000211</v>
      </c>
      <c r="B215">
        <v>214</v>
      </c>
      <c r="C215">
        <v>1</v>
      </c>
      <c r="D215" s="17" t="s">
        <v>155</v>
      </c>
      <c r="E215" s="17"/>
      <c r="F215" s="17" t="s">
        <v>156</v>
      </c>
      <c r="G215" s="17"/>
      <c r="H215" s="17" t="s">
        <v>692</v>
      </c>
      <c r="I215" s="17"/>
      <c r="J215" s="17" t="s">
        <v>693</v>
      </c>
      <c r="K215" s="17"/>
      <c r="L215" s="17" t="s">
        <v>10166</v>
      </c>
      <c r="M215" s="17"/>
      <c r="N215" s="17" t="s">
        <v>10276</v>
      </c>
      <c r="O215" s="17" t="s">
        <v>10288</v>
      </c>
      <c r="P215" s="17" t="s">
        <v>10299</v>
      </c>
      <c r="Q215" s="17"/>
      <c r="R215" s="25" t="str">
        <f>HYPERLINK("https://ictv.global/taxonomy/taxondetails?taxnode_id=202313465","Culoivirus faecalis")</f>
        <v>Culoivirus faecalis</v>
      </c>
      <c r="S215" s="18" t="s">
        <v>30</v>
      </c>
      <c r="T215" s="18" t="s">
        <v>10302</v>
      </c>
      <c r="U215" s="18"/>
      <c r="V215" s="18"/>
      <c r="W215" s="18" t="s">
        <v>10303</v>
      </c>
      <c r="X215" s="18" t="s">
        <v>42</v>
      </c>
      <c r="Y215" s="18" t="s">
        <v>36</v>
      </c>
      <c r="Z215" s="18" t="s">
        <v>697</v>
      </c>
      <c r="AA215" s="21" t="str">
        <f>HYPERLINK("https://www.ncbi.nlm.nih.gov/nuccore/MZ130477","NCBI Nucleotide")</f>
        <v>NCBI Nucleotide</v>
      </c>
    </row>
    <row r="216" spans="1:27" x14ac:dyDescent="0.35">
      <c r="A216">
        <v>1000212</v>
      </c>
      <c r="B216">
        <v>215</v>
      </c>
      <c r="C216">
        <v>1</v>
      </c>
      <c r="D216" s="17" t="s">
        <v>155</v>
      </c>
      <c r="E216" s="17"/>
      <c r="F216" s="17" t="s">
        <v>156</v>
      </c>
      <c r="G216" s="17"/>
      <c r="H216" s="17" t="s">
        <v>692</v>
      </c>
      <c r="I216" s="17"/>
      <c r="J216" s="17" t="s">
        <v>693</v>
      </c>
      <c r="K216" s="17"/>
      <c r="L216" s="17" t="s">
        <v>10166</v>
      </c>
      <c r="M216" s="17"/>
      <c r="N216" s="17" t="s">
        <v>10276</v>
      </c>
      <c r="O216" s="17" t="s">
        <v>10288</v>
      </c>
      <c r="P216" s="17" t="s">
        <v>10299</v>
      </c>
      <c r="Q216" s="17"/>
      <c r="R216" s="25" t="str">
        <f>HYPERLINK("https://ictv.global/taxonomy/taxondetails?taxnode_id=202313467","Culoivirus intestinalis")</f>
        <v>Culoivirus intestinalis</v>
      </c>
      <c r="S216" s="18" t="s">
        <v>30</v>
      </c>
      <c r="T216" s="18" t="s">
        <v>10304</v>
      </c>
      <c r="U216" s="18"/>
      <c r="V216" s="18"/>
      <c r="W216" s="18" t="s">
        <v>10305</v>
      </c>
      <c r="X216" s="18" t="s">
        <v>42</v>
      </c>
      <c r="Y216" s="18" t="s">
        <v>36</v>
      </c>
      <c r="Z216" s="18" t="s">
        <v>697</v>
      </c>
      <c r="AA216" s="21" t="str">
        <f>HYPERLINK("https://www.ncbi.nlm.nih.gov/nuccore/MT774376","NCBI Nucleotide")</f>
        <v>NCBI Nucleotide</v>
      </c>
    </row>
    <row r="217" spans="1:27" x14ac:dyDescent="0.35">
      <c r="A217">
        <v>1000213</v>
      </c>
      <c r="B217">
        <v>216</v>
      </c>
      <c r="C217">
        <v>1</v>
      </c>
      <c r="D217" s="17" t="s">
        <v>155</v>
      </c>
      <c r="E217" s="17"/>
      <c r="F217" s="17" t="s">
        <v>156</v>
      </c>
      <c r="G217" s="17"/>
      <c r="H217" s="17" t="s">
        <v>692</v>
      </c>
      <c r="I217" s="17"/>
      <c r="J217" s="17" t="s">
        <v>693</v>
      </c>
      <c r="K217" s="17"/>
      <c r="L217" s="17" t="s">
        <v>10166</v>
      </c>
      <c r="M217" s="17"/>
      <c r="N217" s="17" t="s">
        <v>10276</v>
      </c>
      <c r="O217" s="17" t="s">
        <v>10306</v>
      </c>
      <c r="P217" s="17" t="s">
        <v>10307</v>
      </c>
      <c r="Q217" s="17"/>
      <c r="R217" s="25" t="str">
        <f>HYPERLINK("https://ictv.global/taxonomy/taxondetails?taxnode_id=202313441","Blohavirus americanus")</f>
        <v>Blohavirus americanus</v>
      </c>
      <c r="S217" s="18" t="s">
        <v>30</v>
      </c>
      <c r="T217" s="18" t="s">
        <v>10308</v>
      </c>
      <c r="U217" s="18"/>
      <c r="V217" s="18"/>
      <c r="W217" s="18" t="s">
        <v>10309</v>
      </c>
      <c r="X217" s="18" t="s">
        <v>42</v>
      </c>
      <c r="Y217" s="18" t="s">
        <v>36</v>
      </c>
      <c r="Z217" s="18" t="s">
        <v>697</v>
      </c>
      <c r="AA217" s="21" t="str">
        <f>HYPERLINK("https://www.ncbi.nlm.nih.gov/nuccore/MT774396","NCBI Nucleotide")</f>
        <v>NCBI Nucleotide</v>
      </c>
    </row>
    <row r="218" spans="1:27" x14ac:dyDescent="0.35">
      <c r="A218">
        <v>1000214</v>
      </c>
      <c r="B218">
        <v>217</v>
      </c>
      <c r="C218">
        <v>1</v>
      </c>
      <c r="D218" s="17" t="s">
        <v>155</v>
      </c>
      <c r="E218" s="17"/>
      <c r="F218" s="17" t="s">
        <v>156</v>
      </c>
      <c r="G218" s="17"/>
      <c r="H218" s="17" t="s">
        <v>692</v>
      </c>
      <c r="I218" s="17"/>
      <c r="J218" s="17" t="s">
        <v>693</v>
      </c>
      <c r="K218" s="17"/>
      <c r="L218" s="17" t="s">
        <v>10166</v>
      </c>
      <c r="M218" s="17"/>
      <c r="N218" s="17" t="s">
        <v>10276</v>
      </c>
      <c r="O218" s="17" t="s">
        <v>10306</v>
      </c>
      <c r="P218" s="17" t="s">
        <v>10307</v>
      </c>
      <c r="Q218" s="17"/>
      <c r="R218" s="25" t="str">
        <f>HYPERLINK("https://ictv.global/taxonomy/taxondetails?taxnode_id=202313440","Blohavirus faecalis")</f>
        <v>Blohavirus faecalis</v>
      </c>
      <c r="S218" s="18" t="s">
        <v>30</v>
      </c>
      <c r="T218" s="18" t="s">
        <v>10310</v>
      </c>
      <c r="U218" s="18"/>
      <c r="V218" s="18"/>
      <c r="W218" s="18" t="s">
        <v>10311</v>
      </c>
      <c r="X218" s="18" t="s">
        <v>42</v>
      </c>
      <c r="Y218" s="18" t="s">
        <v>36</v>
      </c>
      <c r="Z218" s="18" t="s">
        <v>697</v>
      </c>
      <c r="AA218" s="21" t="str">
        <f>HYPERLINK("https://www.ncbi.nlm.nih.gov/nuccore/MZ130495","NCBI Nucleotide")</f>
        <v>NCBI Nucleotide</v>
      </c>
    </row>
    <row r="219" spans="1:27" x14ac:dyDescent="0.35">
      <c r="A219">
        <v>1000215</v>
      </c>
      <c r="B219">
        <v>218</v>
      </c>
      <c r="C219">
        <v>1</v>
      </c>
      <c r="D219" s="17" t="s">
        <v>155</v>
      </c>
      <c r="E219" s="17"/>
      <c r="F219" s="17" t="s">
        <v>156</v>
      </c>
      <c r="G219" s="17"/>
      <c r="H219" s="17" t="s">
        <v>692</v>
      </c>
      <c r="I219" s="17"/>
      <c r="J219" s="17" t="s">
        <v>693</v>
      </c>
      <c r="K219" s="17"/>
      <c r="L219" s="17" t="s">
        <v>10166</v>
      </c>
      <c r="M219" s="17"/>
      <c r="N219" s="17" t="s">
        <v>10276</v>
      </c>
      <c r="O219" s="17" t="s">
        <v>10306</v>
      </c>
      <c r="P219" s="17" t="s">
        <v>10312</v>
      </c>
      <c r="Q219" s="17"/>
      <c r="R219" s="25" t="str">
        <f>HYPERLINK("https://ictv.global/taxonomy/taxondetails?taxnode_id=202313446","Buchavirus coli")</f>
        <v>Buchavirus coli</v>
      </c>
      <c r="S219" s="18" t="s">
        <v>30</v>
      </c>
      <c r="T219" s="18" t="s">
        <v>10313</v>
      </c>
      <c r="U219" s="18"/>
      <c r="V219" s="18"/>
      <c r="W219" s="18" t="s">
        <v>10314</v>
      </c>
      <c r="X219" s="18" t="s">
        <v>42</v>
      </c>
      <c r="Y219" s="18" t="s">
        <v>36</v>
      </c>
      <c r="Z219" s="18" t="s">
        <v>697</v>
      </c>
      <c r="AA219" s="21" t="str">
        <f>HYPERLINK("https://www.ncbi.nlm.nih.gov/nuccore/MT774403","NCBI Nucleotide")</f>
        <v>NCBI Nucleotide</v>
      </c>
    </row>
    <row r="220" spans="1:27" x14ac:dyDescent="0.35">
      <c r="A220">
        <v>1000216</v>
      </c>
      <c r="B220">
        <v>219</v>
      </c>
      <c r="C220">
        <v>1</v>
      </c>
      <c r="D220" s="17" t="s">
        <v>155</v>
      </c>
      <c r="E220" s="17"/>
      <c r="F220" s="17" t="s">
        <v>156</v>
      </c>
      <c r="G220" s="17"/>
      <c r="H220" s="17" t="s">
        <v>692</v>
      </c>
      <c r="I220" s="17"/>
      <c r="J220" s="17" t="s">
        <v>693</v>
      </c>
      <c r="K220" s="17"/>
      <c r="L220" s="17" t="s">
        <v>10166</v>
      </c>
      <c r="M220" s="17"/>
      <c r="N220" s="17" t="s">
        <v>10276</v>
      </c>
      <c r="O220" s="17" t="s">
        <v>10306</v>
      </c>
      <c r="P220" s="17" t="s">
        <v>10312</v>
      </c>
      <c r="Q220" s="17"/>
      <c r="R220" s="25" t="str">
        <f>HYPERLINK("https://ictv.global/taxonomy/taxondetails?taxnode_id=202313450","Buchavirus copri")</f>
        <v>Buchavirus copri</v>
      </c>
      <c r="S220" s="18" t="s">
        <v>30</v>
      </c>
      <c r="T220" s="18" t="s">
        <v>10315</v>
      </c>
      <c r="U220" s="18"/>
      <c r="V220" s="18"/>
      <c r="W220" s="18" t="s">
        <v>10316</v>
      </c>
      <c r="X220" s="18" t="s">
        <v>42</v>
      </c>
      <c r="Y220" s="18" t="s">
        <v>36</v>
      </c>
      <c r="Z220" s="18" t="s">
        <v>697</v>
      </c>
      <c r="AA220" s="21" t="str">
        <f>HYPERLINK("https://www.ncbi.nlm.nih.gov/nuccore/MT774395","NCBI Nucleotide")</f>
        <v>NCBI Nucleotide</v>
      </c>
    </row>
    <row r="221" spans="1:27" x14ac:dyDescent="0.35">
      <c r="A221">
        <v>1000217</v>
      </c>
      <c r="B221">
        <v>220</v>
      </c>
      <c r="C221">
        <v>1</v>
      </c>
      <c r="D221" s="17" t="s">
        <v>155</v>
      </c>
      <c r="E221" s="17"/>
      <c r="F221" s="17" t="s">
        <v>156</v>
      </c>
      <c r="G221" s="17"/>
      <c r="H221" s="17" t="s">
        <v>692</v>
      </c>
      <c r="I221" s="17"/>
      <c r="J221" s="17" t="s">
        <v>693</v>
      </c>
      <c r="K221" s="17"/>
      <c r="L221" s="17" t="s">
        <v>10166</v>
      </c>
      <c r="M221" s="17"/>
      <c r="N221" s="17" t="s">
        <v>10276</v>
      </c>
      <c r="O221" s="17" t="s">
        <v>10306</v>
      </c>
      <c r="P221" s="17" t="s">
        <v>10312</v>
      </c>
      <c r="Q221" s="17"/>
      <c r="R221" s="25" t="str">
        <f>HYPERLINK("https://ictv.global/taxonomy/taxondetails?taxnode_id=202313449","Buchavirus faecalis")</f>
        <v>Buchavirus faecalis</v>
      </c>
      <c r="S221" s="18" t="s">
        <v>30</v>
      </c>
      <c r="T221" s="18" t="s">
        <v>10317</v>
      </c>
      <c r="U221" s="18"/>
      <c r="V221" s="18"/>
      <c r="W221" s="18" t="s">
        <v>10318</v>
      </c>
      <c r="X221" s="18" t="s">
        <v>42</v>
      </c>
      <c r="Y221" s="18" t="s">
        <v>36</v>
      </c>
      <c r="Z221" s="18" t="s">
        <v>697</v>
      </c>
      <c r="AA221" s="21" t="str">
        <f>HYPERLINK("https://www.ncbi.nlm.nih.gov/nuccore/MT774397","NCBI Nucleotide")</f>
        <v>NCBI Nucleotide</v>
      </c>
    </row>
    <row r="222" spans="1:27" x14ac:dyDescent="0.35">
      <c r="A222">
        <v>1000218</v>
      </c>
      <c r="B222">
        <v>221</v>
      </c>
      <c r="C222">
        <v>1</v>
      </c>
      <c r="D222" s="17" t="s">
        <v>155</v>
      </c>
      <c r="E222" s="17"/>
      <c r="F222" s="17" t="s">
        <v>156</v>
      </c>
      <c r="G222" s="17"/>
      <c r="H222" s="17" t="s">
        <v>692</v>
      </c>
      <c r="I222" s="17"/>
      <c r="J222" s="17" t="s">
        <v>693</v>
      </c>
      <c r="K222" s="17"/>
      <c r="L222" s="17" t="s">
        <v>10166</v>
      </c>
      <c r="M222" s="17"/>
      <c r="N222" s="17" t="s">
        <v>10276</v>
      </c>
      <c r="O222" s="17" t="s">
        <v>10306</v>
      </c>
      <c r="P222" s="17" t="s">
        <v>10312</v>
      </c>
      <c r="Q222" s="17"/>
      <c r="R222" s="25" t="str">
        <f>HYPERLINK("https://ictv.global/taxonomy/taxondetails?taxnode_id=202313444","Buchavirus hiberniae")</f>
        <v>Buchavirus hiberniae</v>
      </c>
      <c r="S222" s="18" t="s">
        <v>30</v>
      </c>
      <c r="T222" s="18" t="s">
        <v>10319</v>
      </c>
      <c r="U222" s="18"/>
      <c r="V222" s="18"/>
      <c r="W222" s="18" t="s">
        <v>10320</v>
      </c>
      <c r="X222" s="18" t="s">
        <v>42</v>
      </c>
      <c r="Y222" s="18" t="s">
        <v>36</v>
      </c>
      <c r="Z222" s="18" t="s">
        <v>697</v>
      </c>
      <c r="AA222" s="21" t="str">
        <f>HYPERLINK("https://www.ncbi.nlm.nih.gov/nuccore/MZ130498","NCBI Nucleotide")</f>
        <v>NCBI Nucleotide</v>
      </c>
    </row>
    <row r="223" spans="1:27" x14ac:dyDescent="0.35">
      <c r="A223">
        <v>1000219</v>
      </c>
      <c r="B223">
        <v>222</v>
      </c>
      <c r="C223">
        <v>1</v>
      </c>
      <c r="D223" s="17" t="s">
        <v>155</v>
      </c>
      <c r="E223" s="17"/>
      <c r="F223" s="17" t="s">
        <v>156</v>
      </c>
      <c r="G223" s="17"/>
      <c r="H223" s="17" t="s">
        <v>692</v>
      </c>
      <c r="I223" s="17"/>
      <c r="J223" s="17" t="s">
        <v>693</v>
      </c>
      <c r="K223" s="17"/>
      <c r="L223" s="17" t="s">
        <v>10166</v>
      </c>
      <c r="M223" s="17"/>
      <c r="N223" s="17" t="s">
        <v>10276</v>
      </c>
      <c r="O223" s="17" t="s">
        <v>10306</v>
      </c>
      <c r="P223" s="17" t="s">
        <v>10312</v>
      </c>
      <c r="Q223" s="17"/>
      <c r="R223" s="25" t="str">
        <f>HYPERLINK("https://ictv.global/taxonomy/taxondetails?taxnode_id=202313448","Buchavirus hominis")</f>
        <v>Buchavirus hominis</v>
      </c>
      <c r="S223" s="18" t="s">
        <v>30</v>
      </c>
      <c r="T223" s="18" t="s">
        <v>10321</v>
      </c>
      <c r="U223" s="18"/>
      <c r="V223" s="18"/>
      <c r="W223" s="18" t="s">
        <v>10322</v>
      </c>
      <c r="X223" s="18" t="s">
        <v>42</v>
      </c>
      <c r="Y223" s="18" t="s">
        <v>36</v>
      </c>
      <c r="Z223" s="18" t="s">
        <v>697</v>
      </c>
      <c r="AA223" s="21" t="str">
        <f>HYPERLINK("https://www.ncbi.nlm.nih.gov/nuccore/MT774398","NCBI Nucleotide")</f>
        <v>NCBI Nucleotide</v>
      </c>
    </row>
    <row r="224" spans="1:27" x14ac:dyDescent="0.35">
      <c r="A224">
        <v>1000220</v>
      </c>
      <c r="B224">
        <v>223</v>
      </c>
      <c r="C224">
        <v>1</v>
      </c>
      <c r="D224" s="17" t="s">
        <v>155</v>
      </c>
      <c r="E224" s="17"/>
      <c r="F224" s="17" t="s">
        <v>156</v>
      </c>
      <c r="G224" s="17"/>
      <c r="H224" s="17" t="s">
        <v>692</v>
      </c>
      <c r="I224" s="17"/>
      <c r="J224" s="17" t="s">
        <v>693</v>
      </c>
      <c r="K224" s="17"/>
      <c r="L224" s="17" t="s">
        <v>10166</v>
      </c>
      <c r="M224" s="17"/>
      <c r="N224" s="17" t="s">
        <v>10276</v>
      </c>
      <c r="O224" s="17" t="s">
        <v>10306</v>
      </c>
      <c r="P224" s="17" t="s">
        <v>10312</v>
      </c>
      <c r="Q224" s="17"/>
      <c r="R224" s="25" t="str">
        <f>HYPERLINK("https://ictv.global/taxonomy/taxondetails?taxnode_id=202313443","Buchavirus intestinalis")</f>
        <v>Buchavirus intestinalis</v>
      </c>
      <c r="S224" s="18" t="s">
        <v>30</v>
      </c>
      <c r="T224" s="18" t="s">
        <v>10323</v>
      </c>
      <c r="U224" s="18"/>
      <c r="V224" s="18"/>
      <c r="W224" s="18" t="s">
        <v>10324</v>
      </c>
      <c r="X224" s="18" t="s">
        <v>42</v>
      </c>
      <c r="Y224" s="18" t="s">
        <v>36</v>
      </c>
      <c r="Z224" s="18" t="s">
        <v>697</v>
      </c>
      <c r="AA224" s="21" t="str">
        <f>HYPERLINK("https://www.ncbi.nlm.nih.gov/nuccore/MZ130493","NCBI Nucleotide")</f>
        <v>NCBI Nucleotide</v>
      </c>
    </row>
    <row r="225" spans="1:27" x14ac:dyDescent="0.35">
      <c r="A225">
        <v>1000221</v>
      </c>
      <c r="B225">
        <v>224</v>
      </c>
      <c r="C225">
        <v>1</v>
      </c>
      <c r="D225" s="17" t="s">
        <v>155</v>
      </c>
      <c r="E225" s="17"/>
      <c r="F225" s="17" t="s">
        <v>156</v>
      </c>
      <c r="G225" s="17"/>
      <c r="H225" s="17" t="s">
        <v>692</v>
      </c>
      <c r="I225" s="17"/>
      <c r="J225" s="17" t="s">
        <v>693</v>
      </c>
      <c r="K225" s="17"/>
      <c r="L225" s="17" t="s">
        <v>10166</v>
      </c>
      <c r="M225" s="17"/>
      <c r="N225" s="17" t="s">
        <v>10276</v>
      </c>
      <c r="O225" s="17" t="s">
        <v>10306</v>
      </c>
      <c r="P225" s="17" t="s">
        <v>10312</v>
      </c>
      <c r="Q225" s="17"/>
      <c r="R225" s="25" t="str">
        <f>HYPERLINK("https://ictv.global/taxonomy/taxondetails?taxnode_id=202313445","Buchavirus oralis")</f>
        <v>Buchavirus oralis</v>
      </c>
      <c r="S225" s="18" t="s">
        <v>30</v>
      </c>
      <c r="T225" s="18" t="s">
        <v>10325</v>
      </c>
      <c r="U225" s="18"/>
      <c r="V225" s="18"/>
      <c r="W225" s="18" t="s">
        <v>10326</v>
      </c>
      <c r="X225" s="18" t="s">
        <v>42</v>
      </c>
      <c r="Y225" s="18" t="s">
        <v>36</v>
      </c>
      <c r="Z225" s="18" t="s">
        <v>697</v>
      </c>
      <c r="AA225" s="21" t="str">
        <f>HYPERLINK("https://www.ncbi.nlm.nih.gov/nuccore/MZ130496","NCBI Nucleotide")</f>
        <v>NCBI Nucleotide</v>
      </c>
    </row>
    <row r="226" spans="1:27" x14ac:dyDescent="0.35">
      <c r="A226">
        <v>1000222</v>
      </c>
      <c r="B226">
        <v>225</v>
      </c>
      <c r="C226">
        <v>1</v>
      </c>
      <c r="D226" s="17" t="s">
        <v>155</v>
      </c>
      <c r="E226" s="17"/>
      <c r="F226" s="17" t="s">
        <v>156</v>
      </c>
      <c r="G226" s="17"/>
      <c r="H226" s="17" t="s">
        <v>692</v>
      </c>
      <c r="I226" s="17"/>
      <c r="J226" s="17" t="s">
        <v>693</v>
      </c>
      <c r="K226" s="17"/>
      <c r="L226" s="17" t="s">
        <v>10166</v>
      </c>
      <c r="M226" s="17"/>
      <c r="N226" s="17" t="s">
        <v>10276</v>
      </c>
      <c r="O226" s="17" t="s">
        <v>10306</v>
      </c>
      <c r="P226" s="17" t="s">
        <v>10312</v>
      </c>
      <c r="Q226" s="17"/>
      <c r="R226" s="25" t="str">
        <f>HYPERLINK("https://ictv.global/taxonomy/taxondetails?taxnode_id=202313447","Buchavirus splanchnicus")</f>
        <v>Buchavirus splanchnicus</v>
      </c>
      <c r="S226" s="18" t="s">
        <v>30</v>
      </c>
      <c r="T226" s="18" t="s">
        <v>10327</v>
      </c>
      <c r="U226" s="18"/>
      <c r="V226" s="18"/>
      <c r="W226" s="18" t="s">
        <v>10328</v>
      </c>
      <c r="X226" s="18" t="s">
        <v>42</v>
      </c>
      <c r="Y226" s="18" t="s">
        <v>36</v>
      </c>
      <c r="Z226" s="18" t="s">
        <v>697</v>
      </c>
      <c r="AA226" s="21" t="str">
        <f>HYPERLINK("https://www.ncbi.nlm.nih.gov/nuccore/MT774399","NCBI Nucleotide")</f>
        <v>NCBI Nucleotide</v>
      </c>
    </row>
    <row r="227" spans="1:27" x14ac:dyDescent="0.35">
      <c r="A227">
        <v>1000223</v>
      </c>
      <c r="B227">
        <v>226</v>
      </c>
      <c r="C227">
        <v>1</v>
      </c>
      <c r="D227" s="17" t="s">
        <v>155</v>
      </c>
      <c r="E227" s="17"/>
      <c r="F227" s="17" t="s">
        <v>156</v>
      </c>
      <c r="G227" s="17"/>
      <c r="H227" s="17" t="s">
        <v>692</v>
      </c>
      <c r="I227" s="17"/>
      <c r="J227" s="17" t="s">
        <v>693</v>
      </c>
      <c r="K227" s="17"/>
      <c r="L227" s="17" t="s">
        <v>10166</v>
      </c>
      <c r="M227" s="17"/>
      <c r="N227" s="17" t="s">
        <v>10276</v>
      </c>
      <c r="O227" s="17" t="s">
        <v>10306</v>
      </c>
      <c r="P227" s="17" t="s">
        <v>10329</v>
      </c>
      <c r="Q227" s="17"/>
      <c r="R227" s="25" t="str">
        <f>HYPERLINK("https://ictv.global/taxonomy/taxondetails?taxnode_id=202313453","Buorbuivirus hominis")</f>
        <v>Buorbuivirus hominis</v>
      </c>
      <c r="S227" s="18" t="s">
        <v>30</v>
      </c>
      <c r="T227" s="18" t="s">
        <v>10330</v>
      </c>
      <c r="U227" s="18"/>
      <c r="V227" s="18"/>
      <c r="W227" s="18" t="s">
        <v>10331</v>
      </c>
      <c r="X227" s="18" t="s">
        <v>42</v>
      </c>
      <c r="Y227" s="18" t="s">
        <v>36</v>
      </c>
      <c r="Z227" s="18" t="s">
        <v>697</v>
      </c>
      <c r="AA227" s="21" t="str">
        <f>HYPERLINK("https://www.ncbi.nlm.nih.gov/nuccore/MT774400","NCBI Nucleotide")</f>
        <v>NCBI Nucleotide</v>
      </c>
    </row>
    <row r="228" spans="1:27" x14ac:dyDescent="0.35">
      <c r="A228">
        <v>1000224</v>
      </c>
      <c r="B228">
        <v>227</v>
      </c>
      <c r="C228">
        <v>1</v>
      </c>
      <c r="D228" s="17" t="s">
        <v>155</v>
      </c>
      <c r="E228" s="17"/>
      <c r="F228" s="17" t="s">
        <v>156</v>
      </c>
      <c r="G228" s="17"/>
      <c r="H228" s="17" t="s">
        <v>692</v>
      </c>
      <c r="I228" s="17"/>
      <c r="J228" s="17" t="s">
        <v>693</v>
      </c>
      <c r="K228" s="17"/>
      <c r="L228" s="17" t="s">
        <v>10166</v>
      </c>
      <c r="M228" s="17"/>
      <c r="N228" s="17" t="s">
        <v>10276</v>
      </c>
      <c r="O228" s="17" t="s">
        <v>10332</v>
      </c>
      <c r="P228" s="17" t="s">
        <v>10333</v>
      </c>
      <c r="Q228" s="17"/>
      <c r="R228" s="25" t="str">
        <f>HYPERLINK("https://ictv.global/taxonomy/taxondetails?taxnode_id=202313442","Bohxovirus oralis")</f>
        <v>Bohxovirus oralis</v>
      </c>
      <c r="S228" s="18" t="s">
        <v>30</v>
      </c>
      <c r="T228" s="18" t="s">
        <v>10334</v>
      </c>
      <c r="U228" s="18"/>
      <c r="V228" s="18"/>
      <c r="W228" s="18" t="s">
        <v>10335</v>
      </c>
      <c r="X228" s="18" t="s">
        <v>42</v>
      </c>
      <c r="Y228" s="18" t="s">
        <v>36</v>
      </c>
      <c r="Z228" s="18" t="s">
        <v>697</v>
      </c>
      <c r="AA228" s="21" t="str">
        <f>HYPERLINK("https://www.ncbi.nlm.nih.gov/nuccore/MZ130491","NCBI Nucleotide")</f>
        <v>NCBI Nucleotide</v>
      </c>
    </row>
    <row r="229" spans="1:27" x14ac:dyDescent="0.35">
      <c r="A229">
        <v>1000225</v>
      </c>
      <c r="B229">
        <v>228</v>
      </c>
      <c r="C229">
        <v>1</v>
      </c>
      <c r="D229" s="17" t="s">
        <v>155</v>
      </c>
      <c r="E229" s="17"/>
      <c r="F229" s="17" t="s">
        <v>156</v>
      </c>
      <c r="G229" s="17"/>
      <c r="H229" s="17" t="s">
        <v>692</v>
      </c>
      <c r="I229" s="17"/>
      <c r="J229" s="17" t="s">
        <v>693</v>
      </c>
      <c r="K229" s="17"/>
      <c r="L229" s="17" t="s">
        <v>10166</v>
      </c>
      <c r="M229" s="17"/>
      <c r="N229" s="17" t="s">
        <v>10276</v>
      </c>
      <c r="O229" s="17" t="s">
        <v>10332</v>
      </c>
      <c r="P229" s="17" t="s">
        <v>10336</v>
      </c>
      <c r="Q229" s="17"/>
      <c r="R229" s="25" t="str">
        <f>HYPERLINK("https://ictv.global/taxonomy/taxondetails?taxnode_id=202313451","Buhlduvirus animalis")</f>
        <v>Buhlduvirus animalis</v>
      </c>
      <c r="S229" s="18" t="s">
        <v>30</v>
      </c>
      <c r="T229" s="18" t="s">
        <v>10337</v>
      </c>
      <c r="U229" s="18"/>
      <c r="V229" s="18"/>
      <c r="W229" s="18" t="s">
        <v>10338</v>
      </c>
      <c r="X229" s="18" t="s">
        <v>42</v>
      </c>
      <c r="Y229" s="18" t="s">
        <v>36</v>
      </c>
      <c r="Z229" s="18" t="s">
        <v>697</v>
      </c>
      <c r="AA229" s="21" t="str">
        <f>HYPERLINK("https://www.ncbi.nlm.nih.gov/nuccore/MT774411","NCBI Nucleotide")</f>
        <v>NCBI Nucleotide</v>
      </c>
    </row>
    <row r="230" spans="1:27" x14ac:dyDescent="0.35">
      <c r="A230">
        <v>1000226</v>
      </c>
      <c r="B230">
        <v>229</v>
      </c>
      <c r="C230">
        <v>1</v>
      </c>
      <c r="D230" s="17" t="s">
        <v>155</v>
      </c>
      <c r="E230" s="17"/>
      <c r="F230" s="17" t="s">
        <v>156</v>
      </c>
      <c r="G230" s="17"/>
      <c r="H230" s="17" t="s">
        <v>692</v>
      </c>
      <c r="I230" s="17"/>
      <c r="J230" s="17" t="s">
        <v>693</v>
      </c>
      <c r="K230" s="17"/>
      <c r="L230" s="17" t="s">
        <v>10166</v>
      </c>
      <c r="M230" s="17"/>
      <c r="N230" s="17" t="s">
        <v>10276</v>
      </c>
      <c r="O230" s="17" t="s">
        <v>10332</v>
      </c>
      <c r="P230" s="17" t="s">
        <v>10336</v>
      </c>
      <c r="Q230" s="17"/>
      <c r="R230" s="25" t="str">
        <f>HYPERLINK("https://ictv.global/taxonomy/taxondetails?taxnode_id=202313452","Buhlduvirus porcinus")</f>
        <v>Buhlduvirus porcinus</v>
      </c>
      <c r="S230" s="18" t="s">
        <v>30</v>
      </c>
      <c r="T230" s="18" t="s">
        <v>10339</v>
      </c>
      <c r="U230" s="18"/>
      <c r="V230" s="18"/>
      <c r="W230" s="18" t="s">
        <v>10340</v>
      </c>
      <c r="X230" s="18" t="s">
        <v>42</v>
      </c>
      <c r="Y230" s="18" t="s">
        <v>36</v>
      </c>
      <c r="Z230" s="18" t="s">
        <v>697</v>
      </c>
      <c r="AA230" s="21" t="str">
        <f>HYPERLINK("https://www.ncbi.nlm.nih.gov/nuccore/MT774410","NCBI Nucleotide")</f>
        <v>NCBI Nucleotide</v>
      </c>
    </row>
    <row r="231" spans="1:27" x14ac:dyDescent="0.35">
      <c r="A231">
        <v>1000227</v>
      </c>
      <c r="B231">
        <v>230</v>
      </c>
      <c r="C231">
        <v>1</v>
      </c>
      <c r="D231" s="17" t="s">
        <v>155</v>
      </c>
      <c r="E231" s="17"/>
      <c r="F231" s="17" t="s">
        <v>156</v>
      </c>
      <c r="G231" s="17"/>
      <c r="H231" s="17" t="s">
        <v>692</v>
      </c>
      <c r="I231" s="17"/>
      <c r="J231" s="17" t="s">
        <v>693</v>
      </c>
      <c r="K231" s="17"/>
      <c r="L231" s="17" t="s">
        <v>10166</v>
      </c>
      <c r="M231" s="17"/>
      <c r="N231" s="17" t="s">
        <v>10276</v>
      </c>
      <c r="O231" s="17" t="s">
        <v>10332</v>
      </c>
      <c r="P231" s="17" t="s">
        <v>10341</v>
      </c>
      <c r="Q231" s="17"/>
      <c r="R231" s="25" t="str">
        <f>HYPERLINK("https://ictv.global/taxonomy/taxondetails?taxnode_id=202313456","Burzaovirus coli")</f>
        <v>Burzaovirus coli</v>
      </c>
      <c r="S231" s="18" t="s">
        <v>30</v>
      </c>
      <c r="T231" s="18" t="s">
        <v>10342</v>
      </c>
      <c r="U231" s="18"/>
      <c r="V231" s="18"/>
      <c r="W231" s="18" t="s">
        <v>10343</v>
      </c>
      <c r="X231" s="18" t="s">
        <v>42</v>
      </c>
      <c r="Y231" s="18" t="s">
        <v>36</v>
      </c>
      <c r="Z231" s="18" t="s">
        <v>697</v>
      </c>
      <c r="AA231" s="21" t="str">
        <f>HYPERLINK("https://www.ncbi.nlm.nih.gov/nuccore/MT774402","NCBI Nucleotide")</f>
        <v>NCBI Nucleotide</v>
      </c>
    </row>
    <row r="232" spans="1:27" x14ac:dyDescent="0.35">
      <c r="A232">
        <v>1000228</v>
      </c>
      <c r="B232">
        <v>231</v>
      </c>
      <c r="C232">
        <v>1</v>
      </c>
      <c r="D232" s="17" t="s">
        <v>155</v>
      </c>
      <c r="E232" s="17"/>
      <c r="F232" s="17" t="s">
        <v>156</v>
      </c>
      <c r="G232" s="17"/>
      <c r="H232" s="17" t="s">
        <v>692</v>
      </c>
      <c r="I232" s="17"/>
      <c r="J232" s="17" t="s">
        <v>693</v>
      </c>
      <c r="K232" s="17"/>
      <c r="L232" s="17" t="s">
        <v>10166</v>
      </c>
      <c r="M232" s="17"/>
      <c r="N232" s="17" t="s">
        <v>10276</v>
      </c>
      <c r="O232" s="17" t="s">
        <v>10332</v>
      </c>
      <c r="P232" s="17" t="s">
        <v>10341</v>
      </c>
      <c r="Q232" s="17"/>
      <c r="R232" s="25" t="str">
        <f>HYPERLINK("https://ictv.global/taxonomy/taxondetails?taxnode_id=202313455","Burzaovirus faecalis")</f>
        <v>Burzaovirus faecalis</v>
      </c>
      <c r="S232" s="18" t="s">
        <v>30</v>
      </c>
      <c r="T232" s="18" t="s">
        <v>10344</v>
      </c>
      <c r="U232" s="18"/>
      <c r="V232" s="18"/>
      <c r="W232" s="18" t="s">
        <v>10345</v>
      </c>
      <c r="X232" s="18" t="s">
        <v>42</v>
      </c>
      <c r="Y232" s="18" t="s">
        <v>36</v>
      </c>
      <c r="Z232" s="18" t="s">
        <v>697</v>
      </c>
      <c r="AA232" s="21" t="str">
        <f>HYPERLINK("https://www.ncbi.nlm.nih.gov/nuccore/MT774406","NCBI Nucleotide")</f>
        <v>NCBI Nucleotide</v>
      </c>
    </row>
    <row r="233" spans="1:27" x14ac:dyDescent="0.35">
      <c r="A233">
        <v>1000229</v>
      </c>
      <c r="B233">
        <v>232</v>
      </c>
      <c r="C233">
        <v>1</v>
      </c>
      <c r="D233" s="17" t="s">
        <v>155</v>
      </c>
      <c r="E233" s="17"/>
      <c r="F233" s="17" t="s">
        <v>156</v>
      </c>
      <c r="G233" s="17"/>
      <c r="H233" s="17" t="s">
        <v>692</v>
      </c>
      <c r="I233" s="17"/>
      <c r="J233" s="17" t="s">
        <v>693</v>
      </c>
      <c r="K233" s="17"/>
      <c r="L233" s="17" t="s">
        <v>10166</v>
      </c>
      <c r="M233" s="17"/>
      <c r="N233" s="17" t="s">
        <v>10276</v>
      </c>
      <c r="O233" s="17" t="s">
        <v>10332</v>
      </c>
      <c r="P233" s="17" t="s">
        <v>10341</v>
      </c>
      <c r="Q233" s="17"/>
      <c r="R233" s="25" t="str">
        <f>HYPERLINK("https://ictv.global/taxonomy/taxondetails?taxnode_id=202313454","Burzaovirus intestinihominis")</f>
        <v>Burzaovirus intestinihominis</v>
      </c>
      <c r="S233" s="18" t="s">
        <v>30</v>
      </c>
      <c r="T233" s="18" t="s">
        <v>10346</v>
      </c>
      <c r="U233" s="18"/>
      <c r="V233" s="18"/>
      <c r="W233" s="18" t="s">
        <v>10347</v>
      </c>
      <c r="X233" s="18" t="s">
        <v>42</v>
      </c>
      <c r="Y233" s="18" t="s">
        <v>36</v>
      </c>
      <c r="Z233" s="18" t="s">
        <v>697</v>
      </c>
      <c r="AA233" s="21" t="str">
        <f>HYPERLINK("https://www.ncbi.nlm.nih.gov/nuccore/MZ130497","NCBI Nucleotide")</f>
        <v>NCBI Nucleotide</v>
      </c>
    </row>
    <row r="234" spans="1:27" x14ac:dyDescent="0.35">
      <c r="A234">
        <v>1000230</v>
      </c>
      <c r="B234">
        <v>233</v>
      </c>
      <c r="C234">
        <v>1</v>
      </c>
      <c r="D234" s="17" t="s">
        <v>155</v>
      </c>
      <c r="E234" s="17"/>
      <c r="F234" s="17" t="s">
        <v>156</v>
      </c>
      <c r="G234" s="17"/>
      <c r="H234" s="17" t="s">
        <v>692</v>
      </c>
      <c r="I234" s="17"/>
      <c r="J234" s="17" t="s">
        <v>693</v>
      </c>
      <c r="K234" s="17"/>
      <c r="L234" s="17" t="s">
        <v>10166</v>
      </c>
      <c r="M234" s="17"/>
      <c r="N234" s="17" t="s">
        <v>10276</v>
      </c>
      <c r="O234" s="17" t="s">
        <v>10332</v>
      </c>
      <c r="P234" s="17" t="s">
        <v>10348</v>
      </c>
      <c r="Q234" s="17"/>
      <c r="R234" s="25" t="str">
        <f>HYPERLINK("https://ictv.global/taxonomy/taxondetails?taxnode_id=202313457","Cacepaovirus simiae")</f>
        <v>Cacepaovirus simiae</v>
      </c>
      <c r="S234" s="18" t="s">
        <v>30</v>
      </c>
      <c r="T234" s="18" t="s">
        <v>10349</v>
      </c>
      <c r="U234" s="18"/>
      <c r="V234" s="18"/>
      <c r="W234" s="18" t="s">
        <v>10350</v>
      </c>
      <c r="X234" s="18" t="s">
        <v>42</v>
      </c>
      <c r="Y234" s="18" t="s">
        <v>36</v>
      </c>
      <c r="Z234" s="18" t="s">
        <v>697</v>
      </c>
      <c r="AA234" s="21" t="str">
        <f>HYPERLINK("https://www.ncbi.nlm.nih.gov/nuccore/MT774409","NCBI Nucleotide")</f>
        <v>NCBI Nucleotide</v>
      </c>
    </row>
    <row r="235" spans="1:27" x14ac:dyDescent="0.35">
      <c r="A235">
        <v>1000231</v>
      </c>
      <c r="B235">
        <v>234</v>
      </c>
      <c r="C235">
        <v>1</v>
      </c>
      <c r="D235" s="17" t="s">
        <v>155</v>
      </c>
      <c r="E235" s="17"/>
      <c r="F235" s="17" t="s">
        <v>156</v>
      </c>
      <c r="G235" s="17"/>
      <c r="H235" s="17" t="s">
        <v>692</v>
      </c>
      <c r="I235" s="17"/>
      <c r="J235" s="17" t="s">
        <v>693</v>
      </c>
      <c r="K235" s="17"/>
      <c r="L235" s="17" t="s">
        <v>10166</v>
      </c>
      <c r="M235" s="17"/>
      <c r="N235" s="17" t="s">
        <v>10276</v>
      </c>
      <c r="O235" s="17" t="s">
        <v>10332</v>
      </c>
      <c r="P235" s="17" t="s">
        <v>10351</v>
      </c>
      <c r="Q235" s="17"/>
      <c r="R235" s="25" t="str">
        <f>HYPERLINK("https://ictv.global/taxonomy/taxondetails?taxnode_id=202313462","Chuhaivirus simiae")</f>
        <v>Chuhaivirus simiae</v>
      </c>
      <c r="S235" s="18" t="s">
        <v>30</v>
      </c>
      <c r="T235" s="18" t="s">
        <v>10352</v>
      </c>
      <c r="U235" s="18"/>
      <c r="V235" s="18"/>
      <c r="W235" s="18" t="s">
        <v>10353</v>
      </c>
      <c r="X235" s="18" t="s">
        <v>42</v>
      </c>
      <c r="Y235" s="18" t="s">
        <v>36</v>
      </c>
      <c r="Z235" s="18" t="s">
        <v>697</v>
      </c>
      <c r="AA235" s="21" t="str">
        <f>HYPERLINK("https://www.ncbi.nlm.nih.gov/nuccore/MT774408","NCBI Nucleotide")</f>
        <v>NCBI Nucleotide</v>
      </c>
    </row>
    <row r="236" spans="1:27" x14ac:dyDescent="0.35">
      <c r="A236">
        <v>1000232</v>
      </c>
      <c r="B236">
        <v>235</v>
      </c>
      <c r="C236">
        <v>1</v>
      </c>
      <c r="D236" s="17" t="s">
        <v>155</v>
      </c>
      <c r="E236" s="17"/>
      <c r="F236" s="17" t="s">
        <v>156</v>
      </c>
      <c r="G236" s="17"/>
      <c r="H236" s="17" t="s">
        <v>692</v>
      </c>
      <c r="I236" s="17"/>
      <c r="J236" s="17" t="s">
        <v>693</v>
      </c>
      <c r="K236" s="17"/>
      <c r="L236" s="17" t="s">
        <v>10166</v>
      </c>
      <c r="M236" s="17"/>
      <c r="N236" s="17" t="s">
        <v>10276</v>
      </c>
      <c r="O236" s="17" t="s">
        <v>10354</v>
      </c>
      <c r="P236" s="17" t="s">
        <v>10355</v>
      </c>
      <c r="Q236" s="17"/>
      <c r="R236" s="25" t="str">
        <f>HYPERLINK("https://ictv.global/taxonomy/taxondetails?taxnode_id=202313434","Aurodevirus hiberniae")</f>
        <v>Aurodevirus hiberniae</v>
      </c>
      <c r="S236" s="18" t="s">
        <v>30</v>
      </c>
      <c r="T236" s="18" t="s">
        <v>10356</v>
      </c>
      <c r="U236" s="18"/>
      <c r="V236" s="18"/>
      <c r="W236" s="18" t="s">
        <v>10357</v>
      </c>
      <c r="X236" s="18" t="s">
        <v>42</v>
      </c>
      <c r="Y236" s="18" t="s">
        <v>36</v>
      </c>
      <c r="Z236" s="18" t="s">
        <v>697</v>
      </c>
      <c r="AA236" s="21" t="str">
        <f>HYPERLINK("https://www.ncbi.nlm.nih.gov/nuccore/MZ130500","NCBI Nucleotide")</f>
        <v>NCBI Nucleotide</v>
      </c>
    </row>
    <row r="237" spans="1:27" x14ac:dyDescent="0.35">
      <c r="A237">
        <v>1000233</v>
      </c>
      <c r="B237">
        <v>236</v>
      </c>
      <c r="C237">
        <v>1</v>
      </c>
      <c r="D237" s="17" t="s">
        <v>155</v>
      </c>
      <c r="E237" s="17"/>
      <c r="F237" s="17" t="s">
        <v>156</v>
      </c>
      <c r="G237" s="17"/>
      <c r="H237" s="17" t="s">
        <v>692</v>
      </c>
      <c r="I237" s="17"/>
      <c r="J237" s="17" t="s">
        <v>693</v>
      </c>
      <c r="K237" s="17"/>
      <c r="L237" s="17" t="s">
        <v>10166</v>
      </c>
      <c r="M237" s="17"/>
      <c r="N237" s="17" t="s">
        <v>10276</v>
      </c>
      <c r="O237" s="17" t="s">
        <v>10354</v>
      </c>
      <c r="P237" s="17" t="s">
        <v>10355</v>
      </c>
      <c r="Q237" s="17"/>
      <c r="R237" s="25" t="str">
        <f>HYPERLINK("https://ictv.global/taxonomy/taxondetails?taxnode_id=202313436","Aurodevirus hominis")</f>
        <v>Aurodevirus hominis</v>
      </c>
      <c r="S237" s="18" t="s">
        <v>30</v>
      </c>
      <c r="T237" s="18" t="s">
        <v>10358</v>
      </c>
      <c r="U237" s="18"/>
      <c r="V237" s="18"/>
      <c r="W237" s="18" t="s">
        <v>10359</v>
      </c>
      <c r="X237" s="18" t="s">
        <v>42</v>
      </c>
      <c r="Y237" s="18" t="s">
        <v>36</v>
      </c>
      <c r="Z237" s="18" t="s">
        <v>697</v>
      </c>
      <c r="AA237" s="21" t="str">
        <f>HYPERLINK("https://www.ncbi.nlm.nih.gov/nuccore/MT774407","NCBI Nucleotide")</f>
        <v>NCBI Nucleotide</v>
      </c>
    </row>
    <row r="238" spans="1:27" x14ac:dyDescent="0.35">
      <c r="A238">
        <v>1000234</v>
      </c>
      <c r="B238">
        <v>237</v>
      </c>
      <c r="C238">
        <v>1</v>
      </c>
      <c r="D238" s="17" t="s">
        <v>155</v>
      </c>
      <c r="E238" s="17"/>
      <c r="F238" s="17" t="s">
        <v>156</v>
      </c>
      <c r="G238" s="17"/>
      <c r="H238" s="17" t="s">
        <v>692</v>
      </c>
      <c r="I238" s="17"/>
      <c r="J238" s="17" t="s">
        <v>693</v>
      </c>
      <c r="K238" s="17"/>
      <c r="L238" s="17" t="s">
        <v>10166</v>
      </c>
      <c r="M238" s="17"/>
      <c r="N238" s="17" t="s">
        <v>10276</v>
      </c>
      <c r="O238" s="17" t="s">
        <v>10354</v>
      </c>
      <c r="P238" s="17" t="s">
        <v>10355</v>
      </c>
      <c r="Q238" s="17"/>
      <c r="R238" s="25" t="str">
        <f>HYPERLINK("https://ictv.global/taxonomy/taxondetails?taxnode_id=202313435","Aurodevirus intestinalis")</f>
        <v>Aurodevirus intestinalis</v>
      </c>
      <c r="S238" s="18" t="s">
        <v>30</v>
      </c>
      <c r="T238" s="18" t="s">
        <v>10360</v>
      </c>
      <c r="U238" s="18"/>
      <c r="V238" s="18"/>
      <c r="W238" s="18" t="s">
        <v>10361</v>
      </c>
      <c r="X238" s="18" t="s">
        <v>42</v>
      </c>
      <c r="Y238" s="18" t="s">
        <v>36</v>
      </c>
      <c r="Z238" s="18" t="s">
        <v>697</v>
      </c>
      <c r="AA238" s="21" t="str">
        <f>HYPERLINK("https://www.ncbi.nlm.nih.gov/nuccore/MT774404","NCBI Nucleotide")</f>
        <v>NCBI Nucleotide</v>
      </c>
    </row>
    <row r="239" spans="1:27" x14ac:dyDescent="0.35">
      <c r="A239">
        <v>1000235</v>
      </c>
      <c r="B239">
        <v>238</v>
      </c>
      <c r="C239">
        <v>1</v>
      </c>
      <c r="D239" s="17" t="s">
        <v>155</v>
      </c>
      <c r="E239" s="17"/>
      <c r="F239" s="17" t="s">
        <v>156</v>
      </c>
      <c r="G239" s="17"/>
      <c r="H239" s="17" t="s">
        <v>692</v>
      </c>
      <c r="I239" s="17"/>
      <c r="J239" s="17" t="s">
        <v>693</v>
      </c>
      <c r="K239" s="17"/>
      <c r="L239" s="17" t="s">
        <v>10166</v>
      </c>
      <c r="M239" s="17"/>
      <c r="N239" s="17" t="s">
        <v>10276</v>
      </c>
      <c r="O239" s="17" t="s">
        <v>10354</v>
      </c>
      <c r="P239" s="17" t="s">
        <v>10362</v>
      </c>
      <c r="Q239" s="17"/>
      <c r="R239" s="25" t="str">
        <f>HYPERLINK("https://ictv.global/taxonomy/taxondetails?taxnode_id=202313437","Besingivirus coli")</f>
        <v>Besingivirus coli</v>
      </c>
      <c r="S239" s="18" t="s">
        <v>30</v>
      </c>
      <c r="T239" s="18" t="s">
        <v>10363</v>
      </c>
      <c r="U239" s="18"/>
      <c r="V239" s="18"/>
      <c r="W239" s="18" t="s">
        <v>10364</v>
      </c>
      <c r="X239" s="18" t="s">
        <v>42</v>
      </c>
      <c r="Y239" s="18" t="s">
        <v>36</v>
      </c>
      <c r="Z239" s="18" t="s">
        <v>697</v>
      </c>
      <c r="AA239" s="21" t="str">
        <f>HYPERLINK("https://www.ncbi.nlm.nih.gov/nuccore/MT774379","NCBI Nucleotide")</f>
        <v>NCBI Nucleotide</v>
      </c>
    </row>
    <row r="240" spans="1:27" x14ac:dyDescent="0.35">
      <c r="A240">
        <v>1000236</v>
      </c>
      <c r="B240">
        <v>239</v>
      </c>
      <c r="C240">
        <v>1</v>
      </c>
      <c r="D240" s="17" t="s">
        <v>155</v>
      </c>
      <c r="E240" s="17"/>
      <c r="F240" s="17" t="s">
        <v>156</v>
      </c>
      <c r="G240" s="17"/>
      <c r="H240" s="17" t="s">
        <v>692</v>
      </c>
      <c r="I240" s="17"/>
      <c r="J240" s="17" t="s">
        <v>693</v>
      </c>
      <c r="K240" s="17"/>
      <c r="L240" s="17" t="s">
        <v>10166</v>
      </c>
      <c r="M240" s="17"/>
      <c r="N240" s="17" t="s">
        <v>10276</v>
      </c>
      <c r="O240" s="17" t="s">
        <v>10354</v>
      </c>
      <c r="P240" s="17" t="s">
        <v>10365</v>
      </c>
      <c r="Q240" s="17"/>
      <c r="R240" s="25" t="str">
        <f>HYPERLINK("https://ictv.global/taxonomy/taxondetails?taxnode_id=202313439","Birpovirus hiberniae")</f>
        <v>Birpovirus hiberniae</v>
      </c>
      <c r="S240" s="18" t="s">
        <v>30</v>
      </c>
      <c r="T240" s="18" t="s">
        <v>10366</v>
      </c>
      <c r="U240" s="18"/>
      <c r="V240" s="18"/>
      <c r="W240" s="18" t="s">
        <v>10367</v>
      </c>
      <c r="X240" s="18" t="s">
        <v>42</v>
      </c>
      <c r="Y240" s="18" t="s">
        <v>36</v>
      </c>
      <c r="Z240" s="18" t="s">
        <v>697</v>
      </c>
      <c r="AA240" s="21" t="str">
        <f>HYPERLINK("https://www.ncbi.nlm.nih.gov/nuccore/MT774405","NCBI Nucleotide")</f>
        <v>NCBI Nucleotide</v>
      </c>
    </row>
    <row r="241" spans="1:27" x14ac:dyDescent="0.35">
      <c r="A241">
        <v>1000237</v>
      </c>
      <c r="B241">
        <v>240</v>
      </c>
      <c r="C241">
        <v>1</v>
      </c>
      <c r="D241" s="17" t="s">
        <v>155</v>
      </c>
      <c r="E241" s="17"/>
      <c r="F241" s="17" t="s">
        <v>156</v>
      </c>
      <c r="G241" s="17"/>
      <c r="H241" s="17" t="s">
        <v>692</v>
      </c>
      <c r="I241" s="17"/>
      <c r="J241" s="17" t="s">
        <v>693</v>
      </c>
      <c r="K241" s="17"/>
      <c r="L241" s="17" t="s">
        <v>10166</v>
      </c>
      <c r="M241" s="17"/>
      <c r="N241" s="17" t="s">
        <v>10276</v>
      </c>
      <c r="O241" s="17" t="s">
        <v>10354</v>
      </c>
      <c r="P241" s="17" t="s">
        <v>10365</v>
      </c>
      <c r="Q241" s="17"/>
      <c r="R241" s="25" t="str">
        <f>HYPERLINK("https://ictv.global/taxonomy/taxondetails?taxnode_id=202313438","Birpovirus hominis")</f>
        <v>Birpovirus hominis</v>
      </c>
      <c r="S241" s="18" t="s">
        <v>30</v>
      </c>
      <c r="T241" s="18" t="s">
        <v>10368</v>
      </c>
      <c r="U241" s="18"/>
      <c r="V241" s="18"/>
      <c r="W241" s="18" t="s">
        <v>10369</v>
      </c>
      <c r="X241" s="18" t="s">
        <v>42</v>
      </c>
      <c r="Y241" s="18" t="s">
        <v>36</v>
      </c>
      <c r="Z241" s="18" t="s">
        <v>697</v>
      </c>
      <c r="AA241" s="21" t="str">
        <f>HYPERLINK("https://www.ncbi.nlm.nih.gov/nuccore/MZ130494","NCBI Nucleotide")</f>
        <v>NCBI Nucleotide</v>
      </c>
    </row>
    <row r="242" spans="1:27" x14ac:dyDescent="0.35">
      <c r="A242">
        <v>1000238</v>
      </c>
      <c r="B242">
        <v>241</v>
      </c>
      <c r="C242">
        <v>1</v>
      </c>
      <c r="D242" s="17" t="s">
        <v>155</v>
      </c>
      <c r="E242" s="17"/>
      <c r="F242" s="17" t="s">
        <v>156</v>
      </c>
      <c r="G242" s="17"/>
      <c r="H242" s="17" t="s">
        <v>692</v>
      </c>
      <c r="I242" s="17"/>
      <c r="J242" s="17" t="s">
        <v>693</v>
      </c>
      <c r="K242" s="17"/>
      <c r="L242" s="17" t="s">
        <v>10166</v>
      </c>
      <c r="M242" s="17"/>
      <c r="N242" s="17" t="s">
        <v>10276</v>
      </c>
      <c r="O242" s="17"/>
      <c r="P242" s="17" t="s">
        <v>10277</v>
      </c>
      <c r="Q242" s="17"/>
      <c r="R242" s="25" t="str">
        <f>HYPERLINK("https://ictv.global/taxonomy/taxondetails?taxnode_id=202313469","Dechshavirus japanensis")</f>
        <v>Dechshavirus japanensis</v>
      </c>
      <c r="S242" s="18" t="s">
        <v>30</v>
      </c>
      <c r="T242" s="18" t="s">
        <v>10278</v>
      </c>
      <c r="U242" s="18"/>
      <c r="V242" s="18"/>
      <c r="W242" s="18" t="s">
        <v>10279</v>
      </c>
      <c r="X242" s="18" t="s">
        <v>42</v>
      </c>
      <c r="Y242" s="18" t="s">
        <v>36</v>
      </c>
      <c r="Z242" s="18" t="s">
        <v>697</v>
      </c>
      <c r="AA242" s="21" t="str">
        <f>HYPERLINK("https://www.ncbi.nlm.nih.gov/nuccore/AP017903","NCBI Nucleotide")</f>
        <v>NCBI Nucleotide</v>
      </c>
    </row>
    <row r="243" spans="1:27" x14ac:dyDescent="0.35">
      <c r="A243">
        <v>1000239</v>
      </c>
      <c r="B243">
        <v>242</v>
      </c>
      <c r="C243">
        <v>1</v>
      </c>
      <c r="D243" s="17" t="s">
        <v>155</v>
      </c>
      <c r="E243" s="17"/>
      <c r="F243" s="17" t="s">
        <v>156</v>
      </c>
      <c r="G243" s="17"/>
      <c r="H243" s="17" t="s">
        <v>692</v>
      </c>
      <c r="I243" s="17"/>
      <c r="J243" s="17" t="s">
        <v>693</v>
      </c>
      <c r="K243" s="17"/>
      <c r="L243" s="17" t="s">
        <v>10370</v>
      </c>
      <c r="M243" s="17"/>
      <c r="N243" s="17" t="s">
        <v>10371</v>
      </c>
      <c r="O243" s="17"/>
      <c r="P243" s="17" t="s">
        <v>10372</v>
      </c>
      <c r="Q243" s="17"/>
      <c r="R243" s="25" t="str">
        <f>HYPERLINK("https://ictv.global/taxonomy/taxondetails?taxnode_id=202314325","Mathaucavirus yangshanense")</f>
        <v>Mathaucavirus yangshanense</v>
      </c>
      <c r="S243" s="18" t="s">
        <v>30</v>
      </c>
      <c r="T243" s="18" t="s">
        <v>10373</v>
      </c>
      <c r="U243" s="18" t="s">
        <v>10374</v>
      </c>
      <c r="V243" s="18"/>
      <c r="W243" s="18" t="s">
        <v>10375</v>
      </c>
      <c r="X243" s="18" t="s">
        <v>42</v>
      </c>
      <c r="Y243" s="18" t="s">
        <v>36</v>
      </c>
      <c r="Z243" s="18" t="s">
        <v>37</v>
      </c>
      <c r="AA243" s="21" t="str">
        <f>HYPERLINK("https://www.ncbi.nlm.nih.gov/nuccore/ON649701","NCBI Nucleotide")</f>
        <v>NCBI Nucleotide</v>
      </c>
    </row>
    <row r="244" spans="1:27" x14ac:dyDescent="0.35">
      <c r="A244">
        <v>1000240</v>
      </c>
      <c r="B244">
        <v>243</v>
      </c>
      <c r="C244">
        <v>1</v>
      </c>
      <c r="D244" s="17" t="s">
        <v>155</v>
      </c>
      <c r="E244" s="17"/>
      <c r="F244" s="17" t="s">
        <v>156</v>
      </c>
      <c r="G244" s="17"/>
      <c r="H244" s="17" t="s">
        <v>692</v>
      </c>
      <c r="I244" s="17"/>
      <c r="J244" s="17" t="s">
        <v>693</v>
      </c>
      <c r="K244" s="17"/>
      <c r="L244" s="17" t="s">
        <v>10370</v>
      </c>
      <c r="M244" s="17"/>
      <c r="N244" s="17" t="s">
        <v>10371</v>
      </c>
      <c r="O244" s="17"/>
      <c r="P244" s="17" t="s">
        <v>10376</v>
      </c>
      <c r="Q244" s="17"/>
      <c r="R244" s="25" t="str">
        <f>HYPERLINK("https://ictv.global/taxonomy/taxondetails?taxnode_id=202314323","Nohelivirus yangshanense")</f>
        <v>Nohelivirus yangshanense</v>
      </c>
      <c r="S244" s="18" t="s">
        <v>30</v>
      </c>
      <c r="T244" s="18" t="s">
        <v>10377</v>
      </c>
      <c r="U244" s="18" t="s">
        <v>10378</v>
      </c>
      <c r="V244" s="18"/>
      <c r="W244" s="18" t="s">
        <v>10379</v>
      </c>
      <c r="X244" s="18" t="s">
        <v>42</v>
      </c>
      <c r="Y244" s="18" t="s">
        <v>36</v>
      </c>
      <c r="Z244" s="18" t="s">
        <v>37</v>
      </c>
      <c r="AA244" s="21" t="str">
        <f>HYPERLINK("https://www.ncbi.nlm.nih.gov/nuccore/ON649699","NCBI Nucleotide")</f>
        <v>NCBI Nucleotide</v>
      </c>
    </row>
    <row r="245" spans="1:27" x14ac:dyDescent="0.35">
      <c r="A245">
        <v>1000241</v>
      </c>
      <c r="B245">
        <v>244</v>
      </c>
      <c r="C245">
        <v>1</v>
      </c>
      <c r="D245" s="17" t="s">
        <v>155</v>
      </c>
      <c r="E245" s="17"/>
      <c r="F245" s="17" t="s">
        <v>156</v>
      </c>
      <c r="G245" s="17"/>
      <c r="H245" s="17" t="s">
        <v>692</v>
      </c>
      <c r="I245" s="17"/>
      <c r="J245" s="17" t="s">
        <v>693</v>
      </c>
      <c r="K245" s="17"/>
      <c r="L245" s="17" t="s">
        <v>10370</v>
      </c>
      <c r="M245" s="17"/>
      <c r="N245" s="17" t="s">
        <v>10371</v>
      </c>
      <c r="O245" s="17"/>
      <c r="P245" s="17" t="s">
        <v>10380</v>
      </c>
      <c r="Q245" s="17"/>
      <c r="R245" s="25" t="str">
        <f>HYPERLINK("https://ictv.global/taxonomy/taxondetails?taxnode_id=202314324","Senitvirus yangshanense")</f>
        <v>Senitvirus yangshanense</v>
      </c>
      <c r="S245" s="18" t="s">
        <v>30</v>
      </c>
      <c r="T245" s="18" t="s">
        <v>10381</v>
      </c>
      <c r="U245" s="18" t="s">
        <v>10382</v>
      </c>
      <c r="V245" s="18"/>
      <c r="W245" s="18" t="s">
        <v>10383</v>
      </c>
      <c r="X245" s="18" t="s">
        <v>42</v>
      </c>
      <c r="Y245" s="18" t="s">
        <v>36</v>
      </c>
      <c r="Z245" s="18" t="s">
        <v>37</v>
      </c>
      <c r="AA245" s="21" t="str">
        <f>HYPERLINK("https://www.ncbi.nlm.nih.gov/nuccore/ON649700","NCBI Nucleotide")</f>
        <v>NCBI Nucleotide</v>
      </c>
    </row>
    <row r="246" spans="1:27" x14ac:dyDescent="0.35">
      <c r="A246">
        <v>1000242</v>
      </c>
      <c r="B246">
        <v>245</v>
      </c>
      <c r="C246">
        <v>1</v>
      </c>
      <c r="D246" s="17" t="s">
        <v>155</v>
      </c>
      <c r="E246" s="17"/>
      <c r="F246" s="17" t="s">
        <v>156</v>
      </c>
      <c r="G246" s="17"/>
      <c r="H246" s="17" t="s">
        <v>692</v>
      </c>
      <c r="I246" s="17"/>
      <c r="J246" s="17" t="s">
        <v>693</v>
      </c>
      <c r="K246" s="17"/>
      <c r="L246" s="17" t="s">
        <v>10370</v>
      </c>
      <c r="M246" s="17"/>
      <c r="N246" s="17" t="s">
        <v>10384</v>
      </c>
      <c r="O246" s="17"/>
      <c r="P246" s="17" t="s">
        <v>10385</v>
      </c>
      <c r="Q246" s="17"/>
      <c r="R246" s="25" t="str">
        <f>HYPERLINK("https://ictv.global/taxonomy/taxondetails?taxnode_id=202314322","Sweetvirus yangshanense")</f>
        <v>Sweetvirus yangshanense</v>
      </c>
      <c r="S246" s="18" t="s">
        <v>30</v>
      </c>
      <c r="T246" s="18" t="s">
        <v>10386</v>
      </c>
      <c r="U246" s="18" t="s">
        <v>10387</v>
      </c>
      <c r="V246" s="18"/>
      <c r="W246" s="18" t="s">
        <v>10388</v>
      </c>
      <c r="X246" s="18" t="s">
        <v>42</v>
      </c>
      <c r="Y246" s="18" t="s">
        <v>36</v>
      </c>
      <c r="Z246" s="18" t="s">
        <v>37</v>
      </c>
      <c r="AA246" s="21" t="str">
        <f>HYPERLINK("https://www.ncbi.nlm.nih.gov/nuccore/ON649698","NCBI Nucleotide")</f>
        <v>NCBI Nucleotide</v>
      </c>
    </row>
    <row r="247" spans="1:27" x14ac:dyDescent="0.35">
      <c r="A247">
        <v>1000243</v>
      </c>
      <c r="B247">
        <v>246</v>
      </c>
      <c r="C247">
        <v>1</v>
      </c>
      <c r="D247" s="17" t="s">
        <v>155</v>
      </c>
      <c r="E247" s="17"/>
      <c r="F247" s="17" t="s">
        <v>156</v>
      </c>
      <c r="G247" s="17"/>
      <c r="H247" s="17" t="s">
        <v>692</v>
      </c>
      <c r="I247" s="17"/>
      <c r="J247" s="17" t="s">
        <v>693</v>
      </c>
      <c r="K247" s="17"/>
      <c r="L247" s="17" t="s">
        <v>10389</v>
      </c>
      <c r="M247" s="17"/>
      <c r="N247" s="17" t="s">
        <v>10390</v>
      </c>
      <c r="O247" s="17"/>
      <c r="P247" s="17" t="s">
        <v>10391</v>
      </c>
      <c r="Q247" s="17"/>
      <c r="R247" s="25" t="str">
        <f>HYPERLINK("https://ictv.global/taxonomy/taxondetails?taxnode_id=202312209","Beejeyvirus bagaejinnorense")</f>
        <v>Beejeyvirus bagaejinnorense</v>
      </c>
      <c r="S247" s="18" t="s">
        <v>30</v>
      </c>
      <c r="T247" s="18" t="s">
        <v>10392</v>
      </c>
      <c r="U247" s="18" t="s">
        <v>10393</v>
      </c>
      <c r="V247" s="18"/>
      <c r="W247" s="18" t="s">
        <v>10394</v>
      </c>
      <c r="X247" s="18" t="s">
        <v>42</v>
      </c>
      <c r="Y247" s="18" t="s">
        <v>36</v>
      </c>
      <c r="Z247" s="18" t="s">
        <v>37</v>
      </c>
      <c r="AA247" s="21" t="str">
        <f>HYPERLINK("https://www.ncbi.nlm.nih.gov/nuccore/AM419438","NCBI Nucleotide")</f>
        <v>NCBI Nucleotide</v>
      </c>
    </row>
    <row r="248" spans="1:27" x14ac:dyDescent="0.35">
      <c r="A248">
        <v>1000244</v>
      </c>
      <c r="B248">
        <v>247</v>
      </c>
      <c r="C248">
        <v>1</v>
      </c>
      <c r="D248" s="17" t="s">
        <v>155</v>
      </c>
      <c r="E248" s="17"/>
      <c r="F248" s="17" t="s">
        <v>156</v>
      </c>
      <c r="G248" s="17"/>
      <c r="H248" s="17" t="s">
        <v>692</v>
      </c>
      <c r="I248" s="17"/>
      <c r="J248" s="17" t="s">
        <v>693</v>
      </c>
      <c r="K248" s="17"/>
      <c r="L248" s="17" t="s">
        <v>10389</v>
      </c>
      <c r="M248" s="17"/>
      <c r="N248" s="17" t="s">
        <v>10390</v>
      </c>
      <c r="O248" s="17"/>
      <c r="P248" s="17" t="s">
        <v>10395</v>
      </c>
      <c r="Q248" s="17"/>
      <c r="R248" s="25" t="str">
        <f>HYPERLINK("https://ictv.global/taxonomy/taxondetails?taxnode_id=202312211","Seejivirus salhabitans")</f>
        <v>Seejivirus salhabitans</v>
      </c>
      <c r="S248" s="18" t="s">
        <v>30</v>
      </c>
      <c r="T248" s="18" t="s">
        <v>10396</v>
      </c>
      <c r="U248" s="18" t="s">
        <v>10397</v>
      </c>
      <c r="V248" s="18"/>
      <c r="W248" s="18" t="s">
        <v>10398</v>
      </c>
      <c r="X248" s="18" t="s">
        <v>42</v>
      </c>
      <c r="Y248" s="18" t="s">
        <v>36</v>
      </c>
      <c r="Z248" s="18" t="s">
        <v>37</v>
      </c>
      <c r="AA248" s="21" t="str">
        <f>HYPERLINK("https://www.ncbi.nlm.nih.gov/nuccore/HQ332141","NCBI Nucleotide")</f>
        <v>NCBI Nucleotide</v>
      </c>
    </row>
    <row r="249" spans="1:27" x14ac:dyDescent="0.35">
      <c r="A249">
        <v>1000245</v>
      </c>
      <c r="B249">
        <v>248</v>
      </c>
      <c r="C249">
        <v>1</v>
      </c>
      <c r="D249" s="17" t="s">
        <v>155</v>
      </c>
      <c r="E249" s="17"/>
      <c r="F249" s="17" t="s">
        <v>156</v>
      </c>
      <c r="G249" s="17"/>
      <c r="H249" s="17" t="s">
        <v>692</v>
      </c>
      <c r="I249" s="17"/>
      <c r="J249" s="17" t="s">
        <v>693</v>
      </c>
      <c r="K249" s="17"/>
      <c r="L249" s="17" t="s">
        <v>10389</v>
      </c>
      <c r="M249" s="17"/>
      <c r="N249" s="17" t="s">
        <v>10399</v>
      </c>
      <c r="O249" s="17"/>
      <c r="P249" s="17" t="s">
        <v>10400</v>
      </c>
      <c r="Q249" s="17"/>
      <c r="R249" s="25" t="str">
        <f>HYPERLINK("https://ictv.global/taxonomy/taxondetails?taxnode_id=202312201","Dpdavirus caudatum")</f>
        <v>Dpdavirus caudatum</v>
      </c>
      <c r="S249" s="18" t="s">
        <v>30</v>
      </c>
      <c r="T249" s="18" t="s">
        <v>10401</v>
      </c>
      <c r="U249" s="18" t="s">
        <v>10402</v>
      </c>
      <c r="V249" s="18"/>
      <c r="W249" s="18" t="s">
        <v>10403</v>
      </c>
      <c r="X249" s="18" t="s">
        <v>42</v>
      </c>
      <c r="Y249" s="18" t="s">
        <v>36</v>
      </c>
      <c r="Z249" s="18" t="s">
        <v>37</v>
      </c>
      <c r="AA249" s="21" t="str">
        <f>HYPERLINK("https://www.ncbi.nlm.nih.gov/nuccore/MZ334526","NCBI Nucleotide")</f>
        <v>NCBI Nucleotide</v>
      </c>
    </row>
    <row r="250" spans="1:27" x14ac:dyDescent="0.35">
      <c r="A250">
        <v>1000246</v>
      </c>
      <c r="B250">
        <v>249</v>
      </c>
      <c r="C250">
        <v>1</v>
      </c>
      <c r="D250" s="17" t="s">
        <v>155</v>
      </c>
      <c r="E250" s="17"/>
      <c r="F250" s="17" t="s">
        <v>156</v>
      </c>
      <c r="G250" s="17"/>
      <c r="H250" s="17" t="s">
        <v>692</v>
      </c>
      <c r="I250" s="17"/>
      <c r="J250" s="17" t="s">
        <v>693</v>
      </c>
      <c r="K250" s="17"/>
      <c r="L250" s="17" t="s">
        <v>10389</v>
      </c>
      <c r="M250" s="17"/>
      <c r="N250" s="17" t="s">
        <v>10399</v>
      </c>
      <c r="O250" s="17"/>
      <c r="P250" s="17" t="s">
        <v>10404</v>
      </c>
      <c r="Q250" s="17"/>
      <c r="R250" s="25" t="str">
        <f>HYPERLINK("https://ictv.global/taxonomy/taxondetails?taxnode_id=202312199","Retbasiphovirus hantatum")</f>
        <v>Retbasiphovirus hantatum</v>
      </c>
      <c r="S250" s="18" t="s">
        <v>30</v>
      </c>
      <c r="T250" s="18" t="s">
        <v>10405</v>
      </c>
      <c r="U250" s="18" t="s">
        <v>10406</v>
      </c>
      <c r="V250" s="18"/>
      <c r="W250" s="18" t="s">
        <v>10407</v>
      </c>
      <c r="X250" s="18" t="s">
        <v>42</v>
      </c>
      <c r="Y250" s="18" t="s">
        <v>36</v>
      </c>
      <c r="Z250" s="18" t="s">
        <v>37</v>
      </c>
      <c r="AA250" s="21" t="str">
        <f>HYPERLINK("https://www.ncbi.nlm.nih.gov/nuccore/MG550112","NCBI Nucleotide")</f>
        <v>NCBI Nucleotide</v>
      </c>
    </row>
    <row r="251" spans="1:27" x14ac:dyDescent="0.35">
      <c r="A251">
        <v>1000247</v>
      </c>
      <c r="B251">
        <v>250</v>
      </c>
      <c r="C251">
        <v>1</v>
      </c>
      <c r="D251" s="17" t="s">
        <v>155</v>
      </c>
      <c r="E251" s="17"/>
      <c r="F251" s="17" t="s">
        <v>156</v>
      </c>
      <c r="G251" s="17"/>
      <c r="H251" s="17" t="s">
        <v>692</v>
      </c>
      <c r="I251" s="17"/>
      <c r="J251" s="17" t="s">
        <v>693</v>
      </c>
      <c r="K251" s="17"/>
      <c r="L251" s="17" t="s">
        <v>10389</v>
      </c>
      <c r="M251" s="17"/>
      <c r="N251" s="17" t="s">
        <v>10399</v>
      </c>
      <c r="O251" s="17"/>
      <c r="P251" s="17" t="s">
        <v>10408</v>
      </c>
      <c r="Q251" s="17"/>
      <c r="R251" s="25" t="str">
        <f>HYPERLINK("https://ictv.global/taxonomy/taxondetails?taxnode_id=202312203","Saldibavirus natrii")</f>
        <v>Saldibavirus natrii</v>
      </c>
      <c r="S251" s="18" t="s">
        <v>30</v>
      </c>
      <c r="T251" s="18" t="s">
        <v>10409</v>
      </c>
      <c r="U251" s="18" t="s">
        <v>10410</v>
      </c>
      <c r="V251" s="18"/>
      <c r="W251" s="18" t="s">
        <v>10411</v>
      </c>
      <c r="X251" s="18" t="s">
        <v>42</v>
      </c>
      <c r="Y251" s="18" t="s">
        <v>36</v>
      </c>
      <c r="Z251" s="18" t="s">
        <v>37</v>
      </c>
      <c r="AA251" s="21" t="str">
        <f>HYPERLINK("https://www.ncbi.nlm.nih.gov/nuccore/KC292023","NCBI Nucleotide")</f>
        <v>NCBI Nucleotide</v>
      </c>
    </row>
    <row r="252" spans="1:27" x14ac:dyDescent="0.35">
      <c r="A252">
        <v>1000248</v>
      </c>
      <c r="B252">
        <v>251</v>
      </c>
      <c r="C252">
        <v>1</v>
      </c>
      <c r="D252" s="17" t="s">
        <v>155</v>
      </c>
      <c r="E252" s="17"/>
      <c r="F252" s="17" t="s">
        <v>156</v>
      </c>
      <c r="G252" s="17"/>
      <c r="H252" s="17" t="s">
        <v>692</v>
      </c>
      <c r="I252" s="17"/>
      <c r="J252" s="17" t="s">
        <v>693</v>
      </c>
      <c r="K252" s="17"/>
      <c r="L252" s="17" t="s">
        <v>10389</v>
      </c>
      <c r="M252" s="17"/>
      <c r="N252" s="17" t="s">
        <v>10412</v>
      </c>
      <c r="O252" s="17"/>
      <c r="P252" s="17" t="s">
        <v>10413</v>
      </c>
      <c r="Q252" s="17"/>
      <c r="R252" s="25" t="str">
        <f>HYPERLINK("https://ictv.global/taxonomy/taxondetails?taxnode_id=202312205","Hatrivirus caudatum")</f>
        <v>Hatrivirus caudatum</v>
      </c>
      <c r="S252" s="18" t="s">
        <v>30</v>
      </c>
      <c r="T252" s="18" t="s">
        <v>10414</v>
      </c>
      <c r="U252" s="18" t="s">
        <v>10415</v>
      </c>
      <c r="V252" s="18"/>
      <c r="W252" s="18" t="s">
        <v>10416</v>
      </c>
      <c r="X252" s="18" t="s">
        <v>42</v>
      </c>
      <c r="Y252" s="18" t="s">
        <v>36</v>
      </c>
      <c r="Z252" s="18" t="s">
        <v>37</v>
      </c>
      <c r="AA252" s="21" t="str">
        <f>HYPERLINK("https://www.ncbi.nlm.nih.gov/nuccore/MZ334527","NCBI Nucleotide")</f>
        <v>NCBI Nucleotide</v>
      </c>
    </row>
    <row r="253" spans="1:27" x14ac:dyDescent="0.35">
      <c r="A253">
        <v>1000249</v>
      </c>
      <c r="B253">
        <v>252</v>
      </c>
      <c r="C253">
        <v>1</v>
      </c>
      <c r="D253" s="17" t="s">
        <v>155</v>
      </c>
      <c r="E253" s="17"/>
      <c r="F253" s="17" t="s">
        <v>156</v>
      </c>
      <c r="G253" s="17"/>
      <c r="H253" s="17" t="s">
        <v>692</v>
      </c>
      <c r="I253" s="17"/>
      <c r="J253" s="17" t="s">
        <v>693</v>
      </c>
      <c r="K253" s="17"/>
      <c r="L253" s="17" t="s">
        <v>10389</v>
      </c>
      <c r="M253" s="17"/>
      <c r="N253" s="17" t="s">
        <v>10417</v>
      </c>
      <c r="O253" s="17"/>
      <c r="P253" s="17" t="s">
        <v>10418</v>
      </c>
      <c r="Q253" s="17"/>
      <c r="R253" s="25" t="str">
        <f>HYPERLINK("https://ictv.global/taxonomy/taxondetails?taxnode_id=202312207","Lonfivirus codicilli")</f>
        <v>Lonfivirus codicilli</v>
      </c>
      <c r="S253" s="18" t="s">
        <v>30</v>
      </c>
      <c r="T253" s="18" t="s">
        <v>10419</v>
      </c>
      <c r="U253" s="18" t="s">
        <v>10420</v>
      </c>
      <c r="V253" s="18"/>
      <c r="W253" s="18" t="s">
        <v>10421</v>
      </c>
      <c r="X253" s="18" t="s">
        <v>42</v>
      </c>
      <c r="Y253" s="18" t="s">
        <v>36</v>
      </c>
      <c r="Z253" s="18" t="s">
        <v>37</v>
      </c>
      <c r="AA253" s="21" t="str">
        <f>HYPERLINK("https://www.ncbi.nlm.nih.gov/nuccore/KC117378","NCBI Nucleotide")</f>
        <v>NCBI Nucleotide</v>
      </c>
    </row>
    <row r="254" spans="1:27" x14ac:dyDescent="0.35">
      <c r="A254">
        <v>1000250</v>
      </c>
      <c r="B254">
        <v>253</v>
      </c>
      <c r="C254">
        <v>1</v>
      </c>
      <c r="D254" s="17" t="s">
        <v>155</v>
      </c>
      <c r="E254" s="17"/>
      <c r="F254" s="17" t="s">
        <v>156</v>
      </c>
      <c r="G254" s="17"/>
      <c r="H254" s="17" t="s">
        <v>692</v>
      </c>
      <c r="I254" s="17"/>
      <c r="J254" s="17" t="s">
        <v>693</v>
      </c>
      <c r="K254" s="17"/>
      <c r="L254" s="17" t="s">
        <v>10422</v>
      </c>
      <c r="M254" s="17"/>
      <c r="N254" s="17" t="s">
        <v>10423</v>
      </c>
      <c r="O254" s="17"/>
      <c r="P254" s="17" t="s">
        <v>10424</v>
      </c>
      <c r="Q254" s="17"/>
      <c r="R254" s="25" t="str">
        <f>HYPERLINK("https://ictv.global/taxonomy/taxondetails?taxnode_id=202314326","Aobingvirus yangshanense")</f>
        <v>Aobingvirus yangshanense</v>
      </c>
      <c r="S254" s="18" t="s">
        <v>30</v>
      </c>
      <c r="T254" s="18" t="s">
        <v>10425</v>
      </c>
      <c r="U254" s="18" t="s">
        <v>10426</v>
      </c>
      <c r="V254" s="18"/>
      <c r="W254" s="18" t="s">
        <v>10427</v>
      </c>
      <c r="X254" s="18" t="s">
        <v>42</v>
      </c>
      <c r="Y254" s="18" t="s">
        <v>36</v>
      </c>
      <c r="Z254" s="18" t="s">
        <v>37</v>
      </c>
      <c r="AA254" s="21" t="str">
        <f>HYPERLINK("https://www.ncbi.nlm.nih.gov/nuccore/ON649702","NCBI Nucleotide")</f>
        <v>NCBI Nucleotide</v>
      </c>
    </row>
    <row r="255" spans="1:27" x14ac:dyDescent="0.35">
      <c r="A255">
        <v>1000251</v>
      </c>
      <c r="B255">
        <v>254</v>
      </c>
      <c r="C255">
        <v>1</v>
      </c>
      <c r="D255" s="17" t="s">
        <v>155</v>
      </c>
      <c r="E255" s="17"/>
      <c r="F255" s="17" t="s">
        <v>156</v>
      </c>
      <c r="G255" s="17"/>
      <c r="H255" s="17" t="s">
        <v>692</v>
      </c>
      <c r="I255" s="17"/>
      <c r="J255" s="17" t="s">
        <v>693</v>
      </c>
      <c r="K255" s="17"/>
      <c r="L255" s="17" t="s">
        <v>10428</v>
      </c>
      <c r="M255" s="17"/>
      <c r="N255" s="17" t="s">
        <v>10429</v>
      </c>
      <c r="O255" s="17"/>
      <c r="P255" s="17" t="s">
        <v>10430</v>
      </c>
      <c r="Q255" s="17"/>
      <c r="R255" s="25" t="str">
        <f>HYPERLINK("https://ictv.global/taxonomy/taxondetails?taxnode_id=202312213","Metforvirus limi")</f>
        <v>Metforvirus limi</v>
      </c>
      <c r="S255" s="18" t="s">
        <v>30</v>
      </c>
      <c r="T255" s="18" t="s">
        <v>10431</v>
      </c>
      <c r="U255" s="18" t="s">
        <v>10432</v>
      </c>
      <c r="V255" s="18"/>
      <c r="W255" s="18" t="s">
        <v>10433</v>
      </c>
      <c r="X255" s="18" t="s">
        <v>42</v>
      </c>
      <c r="Y255" s="18" t="s">
        <v>36</v>
      </c>
      <c r="Z255" s="18" t="s">
        <v>37</v>
      </c>
      <c r="AA255" s="21" t="str">
        <f>HYPERLINK("https://www.ncbi.nlm.nih.gov/nuccore/MH674343","NCBI Nucleotide")</f>
        <v>NCBI Nucleotide</v>
      </c>
    </row>
    <row r="256" spans="1:27" x14ac:dyDescent="0.35">
      <c r="A256">
        <v>1024686</v>
      </c>
      <c r="B256">
        <v>255</v>
      </c>
      <c r="C256">
        <v>1</v>
      </c>
      <c r="D256" s="17" t="s">
        <v>155</v>
      </c>
      <c r="E256" s="17"/>
      <c r="F256" s="17" t="s">
        <v>156</v>
      </c>
      <c r="G256" s="17"/>
      <c r="H256" s="17" t="s">
        <v>692</v>
      </c>
      <c r="I256" s="17"/>
      <c r="J256" s="17" t="s">
        <v>693</v>
      </c>
      <c r="K256" s="17"/>
      <c r="L256" s="17" t="s">
        <v>10428</v>
      </c>
      <c r="M256" s="17"/>
      <c r="N256" s="17" t="s">
        <v>38989</v>
      </c>
      <c r="O256" s="17"/>
      <c r="P256" s="17" t="s">
        <v>38990</v>
      </c>
      <c r="Q256" s="17"/>
      <c r="R256" s="25" t="str">
        <f>HYPERLINK("https://ictv.global/taxonomy/taxondetails?taxnode_id=202317736","Ariesvirus gravis")</f>
        <v>Ariesvirus gravis</v>
      </c>
      <c r="S256" s="18" t="s">
        <v>30</v>
      </c>
      <c r="T256" s="18" t="s">
        <v>38991</v>
      </c>
      <c r="U256" s="18" t="s">
        <v>38992</v>
      </c>
      <c r="V256" s="18" t="s">
        <v>38993</v>
      </c>
      <c r="W256" s="18" t="s">
        <v>38994</v>
      </c>
      <c r="X256" s="18" t="s">
        <v>42</v>
      </c>
      <c r="Y256" s="18" t="s">
        <v>36</v>
      </c>
      <c r="Z256" s="18" t="s">
        <v>37</v>
      </c>
      <c r="AA256" s="21" t="str">
        <f>HYPERLINK("https://www.ncbi.nlm.nih.gov/nuccore/BK063678","NCBI Nucleotide")</f>
        <v>NCBI Nucleotide</v>
      </c>
    </row>
    <row r="257" spans="1:27" x14ac:dyDescent="0.35">
      <c r="A257">
        <v>1025052</v>
      </c>
      <c r="B257">
        <v>256</v>
      </c>
      <c r="C257">
        <v>1</v>
      </c>
      <c r="D257" s="17" t="s">
        <v>155</v>
      </c>
      <c r="E257" s="17"/>
      <c r="F257" s="17" t="s">
        <v>156</v>
      </c>
      <c r="G257" s="17"/>
      <c r="H257" s="17" t="s">
        <v>692</v>
      </c>
      <c r="I257" s="17"/>
      <c r="J257" s="17" t="s">
        <v>693</v>
      </c>
      <c r="K257" s="17"/>
      <c r="L257" s="17" t="s">
        <v>10428</v>
      </c>
      <c r="M257" s="17"/>
      <c r="N257" s="17" t="s">
        <v>38995</v>
      </c>
      <c r="O257" s="17"/>
      <c r="P257" s="17" t="s">
        <v>38996</v>
      </c>
      <c r="Q257" s="17"/>
      <c r="R257" s="25" t="str">
        <f>HYPERLINK("https://ictv.global/taxonomy/taxondetails?taxnode_id=202317735","Nadirvirus capraenecum")</f>
        <v>Nadirvirus capraenecum</v>
      </c>
      <c r="S257" s="18" t="s">
        <v>30</v>
      </c>
      <c r="T257" s="18" t="s">
        <v>38997</v>
      </c>
      <c r="U257" s="18" t="s">
        <v>38998</v>
      </c>
      <c r="V257" s="18" t="s">
        <v>38999</v>
      </c>
      <c r="W257" s="18" t="s">
        <v>39000</v>
      </c>
      <c r="X257" s="18" t="s">
        <v>42</v>
      </c>
      <c r="Y257" s="18" t="s">
        <v>36</v>
      </c>
      <c r="Z257" s="18" t="s">
        <v>37</v>
      </c>
      <c r="AA257" s="21" t="str">
        <f>HYPERLINK("https://www.ncbi.nlm.nih.gov/nuccore/BK063679","NCBI Nucleotide")</f>
        <v>NCBI Nucleotide</v>
      </c>
    </row>
    <row r="258" spans="1:27" x14ac:dyDescent="0.35">
      <c r="A258">
        <v>1000252</v>
      </c>
      <c r="B258">
        <v>257</v>
      </c>
      <c r="C258">
        <v>1</v>
      </c>
      <c r="D258" s="17" t="s">
        <v>155</v>
      </c>
      <c r="E258" s="17"/>
      <c r="F258" s="17" t="s">
        <v>156</v>
      </c>
      <c r="G258" s="17"/>
      <c r="H258" s="17" t="s">
        <v>692</v>
      </c>
      <c r="I258" s="17"/>
      <c r="J258" s="17" t="s">
        <v>693</v>
      </c>
      <c r="K258" s="17"/>
      <c r="L258" s="17" t="s">
        <v>10428</v>
      </c>
      <c r="M258" s="17"/>
      <c r="N258" s="17" t="s">
        <v>10434</v>
      </c>
      <c r="O258" s="17"/>
      <c r="P258" s="17" t="s">
        <v>10435</v>
      </c>
      <c r="Q258" s="17"/>
      <c r="R258" s="25" t="str">
        <f>HYPERLINK("https://ictv.global/taxonomy/taxondetails?taxnode_id=202307999","Psimunavirus limi")</f>
        <v>Psimunavirus limi</v>
      </c>
      <c r="S258" s="18" t="s">
        <v>30</v>
      </c>
      <c r="T258" s="18" t="s">
        <v>10436</v>
      </c>
      <c r="U258" s="18"/>
      <c r="V258" s="18"/>
      <c r="W258" s="18" t="s">
        <v>10437</v>
      </c>
      <c r="X258" s="18" t="s">
        <v>42</v>
      </c>
      <c r="Y258" s="18" t="s">
        <v>36</v>
      </c>
      <c r="Z258" s="18" t="s">
        <v>37</v>
      </c>
      <c r="AA258" s="21" t="str">
        <f>HYPERLINK("https://www.ncbi.nlm.nih.gov/nuccore/AF065411","NCBI Nucleotide")</f>
        <v>NCBI Nucleotide</v>
      </c>
    </row>
    <row r="259" spans="1:27" x14ac:dyDescent="0.35">
      <c r="A259">
        <v>1024866</v>
      </c>
      <c r="B259">
        <v>258</v>
      </c>
      <c r="C259">
        <v>1</v>
      </c>
      <c r="D259" s="17" t="s">
        <v>155</v>
      </c>
      <c r="E259" s="17"/>
      <c r="F259" s="17" t="s">
        <v>156</v>
      </c>
      <c r="G259" s="17"/>
      <c r="H259" s="17" t="s">
        <v>692</v>
      </c>
      <c r="I259" s="17"/>
      <c r="J259" s="17" t="s">
        <v>693</v>
      </c>
      <c r="K259" s="17"/>
      <c r="L259" s="17" t="s">
        <v>10428</v>
      </c>
      <c r="M259" s="17"/>
      <c r="N259" s="17" t="s">
        <v>39001</v>
      </c>
      <c r="O259" s="17"/>
      <c r="P259" s="17" t="s">
        <v>39002</v>
      </c>
      <c r="Q259" s="17"/>
      <c r="R259" s="25" t="str">
        <f>HYPERLINK("https://ictv.global/taxonomy/taxondetails?taxnode_id=202317737","Somnumvirus timidum")</f>
        <v>Somnumvirus timidum</v>
      </c>
      <c r="S259" s="18" t="s">
        <v>30</v>
      </c>
      <c r="T259" s="18" t="s">
        <v>39003</v>
      </c>
      <c r="U259" s="18" t="s">
        <v>39004</v>
      </c>
      <c r="V259" s="18" t="s">
        <v>39005</v>
      </c>
      <c r="W259" s="18" t="s">
        <v>39006</v>
      </c>
      <c r="X259" s="18" t="s">
        <v>42</v>
      </c>
      <c r="Y259" s="18" t="s">
        <v>36</v>
      </c>
      <c r="Z259" s="18" t="s">
        <v>37</v>
      </c>
      <c r="AA259" s="21" t="str">
        <f>HYPERLINK("https://www.ncbi.nlm.nih.gov/nuccore/BK063677","NCBI Nucleotide")</f>
        <v>NCBI Nucleotide</v>
      </c>
    </row>
    <row r="260" spans="1:27" x14ac:dyDescent="0.35">
      <c r="A260">
        <v>1000253</v>
      </c>
      <c r="B260">
        <v>259</v>
      </c>
      <c r="C260">
        <v>1</v>
      </c>
      <c r="D260" s="17" t="s">
        <v>155</v>
      </c>
      <c r="E260" s="17"/>
      <c r="F260" s="17" t="s">
        <v>156</v>
      </c>
      <c r="G260" s="17"/>
      <c r="H260" s="17" t="s">
        <v>692</v>
      </c>
      <c r="I260" s="17"/>
      <c r="J260" s="17" t="s">
        <v>693</v>
      </c>
      <c r="K260" s="17"/>
      <c r="L260" s="17" t="s">
        <v>10438</v>
      </c>
      <c r="M260" s="17"/>
      <c r="N260" s="17" t="s">
        <v>10439</v>
      </c>
      <c r="O260" s="17"/>
      <c r="P260" s="17" t="s">
        <v>10440</v>
      </c>
      <c r="Q260" s="17"/>
      <c r="R260" s="25" t="str">
        <f>HYPERLINK("https://ictv.global/taxonomy/taxondetails?taxnode_id=202314292","Kisinvirus pescaderoense")</f>
        <v>Kisinvirus pescaderoense</v>
      </c>
      <c r="S260" s="18" t="s">
        <v>30</v>
      </c>
      <c r="T260" s="18" t="s">
        <v>10441</v>
      </c>
      <c r="U260" s="18" t="s">
        <v>10442</v>
      </c>
      <c r="V260" s="18"/>
      <c r="W260" s="18" t="s">
        <v>10443</v>
      </c>
      <c r="X260" s="18" t="s">
        <v>42</v>
      </c>
      <c r="Y260" s="18" t="s">
        <v>36</v>
      </c>
      <c r="Z260" s="18" t="s">
        <v>37</v>
      </c>
      <c r="AA260" s="21" t="str">
        <f>HYPERLINK("https://www.ncbi.nlm.nih.gov/nuccore/OP413838","NCBI Nucleotide")</f>
        <v>NCBI Nucleotide</v>
      </c>
    </row>
    <row r="261" spans="1:27" x14ac:dyDescent="0.35">
      <c r="A261">
        <v>1000254</v>
      </c>
      <c r="B261">
        <v>260</v>
      </c>
      <c r="C261">
        <v>1</v>
      </c>
      <c r="D261" s="17" t="s">
        <v>155</v>
      </c>
      <c r="E261" s="17"/>
      <c r="F261" s="17" t="s">
        <v>156</v>
      </c>
      <c r="G261" s="17"/>
      <c r="H261" s="17" t="s">
        <v>692</v>
      </c>
      <c r="I261" s="17"/>
      <c r="J261" s="17" t="s">
        <v>693</v>
      </c>
      <c r="K261" s="17"/>
      <c r="L261" s="17" t="s">
        <v>10438</v>
      </c>
      <c r="M261" s="17"/>
      <c r="N261" s="17" t="s">
        <v>10444</v>
      </c>
      <c r="O261" s="17"/>
      <c r="P261" s="17" t="s">
        <v>10445</v>
      </c>
      <c r="Q261" s="17"/>
      <c r="R261" s="25" t="str">
        <f>HYPERLINK("https://ictv.global/taxonomy/taxondetails?taxnode_id=202314293","Kukulkanvirus guaymasense")</f>
        <v>Kukulkanvirus guaymasense</v>
      </c>
      <c r="S261" s="18" t="s">
        <v>30</v>
      </c>
      <c r="T261" s="18" t="s">
        <v>10446</v>
      </c>
      <c r="U261" s="18" t="s">
        <v>10447</v>
      </c>
      <c r="V261" s="18"/>
      <c r="W261" s="18" t="s">
        <v>10448</v>
      </c>
      <c r="X261" s="18" t="s">
        <v>42</v>
      </c>
      <c r="Y261" s="18" t="s">
        <v>36</v>
      </c>
      <c r="Z261" s="18" t="s">
        <v>37</v>
      </c>
      <c r="AA261" s="21" t="str">
        <f>HYPERLINK("https://www.ncbi.nlm.nih.gov/nuccore/OP880252","NCBI Nucleotide")</f>
        <v>NCBI Nucleotide</v>
      </c>
    </row>
    <row r="262" spans="1:27" x14ac:dyDescent="0.35">
      <c r="A262">
        <v>1000255</v>
      </c>
      <c r="B262">
        <v>261</v>
      </c>
      <c r="C262">
        <v>1</v>
      </c>
      <c r="D262" s="17" t="s">
        <v>155</v>
      </c>
      <c r="E262" s="17"/>
      <c r="F262" s="17" t="s">
        <v>156</v>
      </c>
      <c r="G262" s="17"/>
      <c r="H262" s="17" t="s">
        <v>692</v>
      </c>
      <c r="I262" s="17"/>
      <c r="J262" s="17" t="s">
        <v>693</v>
      </c>
      <c r="K262" s="17"/>
      <c r="L262" s="17" t="s">
        <v>10438</v>
      </c>
      <c r="M262" s="17"/>
      <c r="N262" s="17" t="s">
        <v>10444</v>
      </c>
      <c r="O262" s="17"/>
      <c r="P262" s="17" t="s">
        <v>10445</v>
      </c>
      <c r="Q262" s="17"/>
      <c r="R262" s="25" t="str">
        <f>HYPERLINK("https://ictv.global/taxonomy/taxondetails?taxnode_id=202314294","Kukulkanvirus mexicoense")</f>
        <v>Kukulkanvirus mexicoense</v>
      </c>
      <c r="S262" s="18" t="s">
        <v>30</v>
      </c>
      <c r="T262" s="18" t="s">
        <v>10449</v>
      </c>
      <c r="U262" s="18" t="s">
        <v>10450</v>
      </c>
      <c r="V262" s="18"/>
      <c r="W262" s="18" t="s">
        <v>10451</v>
      </c>
      <c r="X262" s="18" t="s">
        <v>42</v>
      </c>
      <c r="Y262" s="18" t="s">
        <v>36</v>
      </c>
      <c r="Z262" s="18" t="s">
        <v>37</v>
      </c>
      <c r="AA262" s="21" t="str">
        <f>HYPERLINK("https://www.ncbi.nlm.nih.gov/nuccore/OP880253","NCBI Nucleotide")</f>
        <v>NCBI Nucleotide</v>
      </c>
    </row>
    <row r="263" spans="1:27" x14ac:dyDescent="0.35">
      <c r="A263">
        <v>1000256</v>
      </c>
      <c r="B263">
        <v>262</v>
      </c>
      <c r="C263">
        <v>1</v>
      </c>
      <c r="D263" s="17" t="s">
        <v>155</v>
      </c>
      <c r="E263" s="17"/>
      <c r="F263" s="17" t="s">
        <v>156</v>
      </c>
      <c r="G263" s="17"/>
      <c r="H263" s="17" t="s">
        <v>692</v>
      </c>
      <c r="I263" s="17"/>
      <c r="J263" s="17" t="s">
        <v>693</v>
      </c>
      <c r="K263" s="17"/>
      <c r="L263" s="17" t="s">
        <v>10452</v>
      </c>
      <c r="M263" s="17"/>
      <c r="N263" s="17" t="s">
        <v>10453</v>
      </c>
      <c r="O263" s="17"/>
      <c r="P263" s="17" t="s">
        <v>10454</v>
      </c>
      <c r="Q263" s="17"/>
      <c r="R263" s="25" t="str">
        <f>HYPERLINK("https://ictv.global/taxonomy/taxondetails?taxnode_id=202312193","Hacavirus italiense")</f>
        <v>Hacavirus italiense</v>
      </c>
      <c r="S263" s="18" t="s">
        <v>30</v>
      </c>
      <c r="T263" s="18" t="s">
        <v>10455</v>
      </c>
      <c r="U263" s="18" t="s">
        <v>10456</v>
      </c>
      <c r="V263" s="18"/>
      <c r="W263" s="18" t="s">
        <v>10457</v>
      </c>
      <c r="X263" s="18" t="s">
        <v>42</v>
      </c>
      <c r="Y263" s="18" t="s">
        <v>36</v>
      </c>
      <c r="Z263" s="18" t="s">
        <v>37</v>
      </c>
      <c r="AA263" s="21" t="str">
        <f>HYPERLINK("https://www.ncbi.nlm.nih.gov/nuccore/KC292029","NCBI Nucleotide")</f>
        <v>NCBI Nucleotide</v>
      </c>
    </row>
    <row r="264" spans="1:27" x14ac:dyDescent="0.35">
      <c r="A264">
        <v>1000257</v>
      </c>
      <c r="B264">
        <v>263</v>
      </c>
      <c r="C264">
        <v>1</v>
      </c>
      <c r="D264" s="17" t="s">
        <v>155</v>
      </c>
      <c r="E264" s="17"/>
      <c r="F264" s="17" t="s">
        <v>156</v>
      </c>
      <c r="G264" s="17"/>
      <c r="H264" s="17" t="s">
        <v>692</v>
      </c>
      <c r="I264" s="17"/>
      <c r="J264" s="17" t="s">
        <v>693</v>
      </c>
      <c r="K264" s="17"/>
      <c r="L264" s="17" t="s">
        <v>10452</v>
      </c>
      <c r="M264" s="17"/>
      <c r="N264" s="17" t="s">
        <v>10453</v>
      </c>
      <c r="O264" s="17"/>
      <c r="P264" s="17" t="s">
        <v>10458</v>
      </c>
      <c r="Q264" s="17"/>
      <c r="R264" s="25" t="str">
        <f>HYPERLINK("https://ictv.global/taxonomy/taxondetails?taxnode_id=202312191","Tredecimvirus thailandense")</f>
        <v>Tredecimvirus thailandense</v>
      </c>
      <c r="S264" s="18" t="s">
        <v>30</v>
      </c>
      <c r="T264" s="18" t="s">
        <v>10459</v>
      </c>
      <c r="U264" s="18" t="s">
        <v>10460</v>
      </c>
      <c r="V264" s="18"/>
      <c r="W264" s="18" t="s">
        <v>10461</v>
      </c>
      <c r="X264" s="18" t="s">
        <v>42</v>
      </c>
      <c r="Y264" s="18" t="s">
        <v>36</v>
      </c>
      <c r="Z264" s="18" t="s">
        <v>37</v>
      </c>
      <c r="AA264" s="21" t="str">
        <f>HYPERLINK("https://www.ncbi.nlm.nih.gov/nuccore/KC117377","NCBI Nucleotide")</f>
        <v>NCBI Nucleotide</v>
      </c>
    </row>
    <row r="265" spans="1:27" x14ac:dyDescent="0.35">
      <c r="A265">
        <v>1000260</v>
      </c>
      <c r="B265">
        <v>264</v>
      </c>
      <c r="C265">
        <v>1</v>
      </c>
      <c r="D265" s="17" t="s">
        <v>155</v>
      </c>
      <c r="E265" s="17"/>
      <c r="F265" s="17" t="s">
        <v>156</v>
      </c>
      <c r="G265" s="17"/>
      <c r="H265" s="17" t="s">
        <v>692</v>
      </c>
      <c r="I265" s="17"/>
      <c r="J265" s="17" t="s">
        <v>693</v>
      </c>
      <c r="K265" s="17"/>
      <c r="L265" s="17" t="s">
        <v>10452</v>
      </c>
      <c r="M265" s="17"/>
      <c r="N265" s="17" t="s">
        <v>10462</v>
      </c>
      <c r="O265" s="17"/>
      <c r="P265" s="17" t="s">
        <v>10463</v>
      </c>
      <c r="Q265" s="17"/>
      <c r="R265" s="25" t="str">
        <f>HYPERLINK("https://ictv.global/taxonomy/taxondetails?taxnode_id=202312180","Haloferacalesvirus eilatense")</f>
        <v>Haloferacalesvirus eilatense</v>
      </c>
      <c r="S265" s="18" t="s">
        <v>30</v>
      </c>
      <c r="T265" s="18" t="s">
        <v>10470</v>
      </c>
      <c r="U265" s="18" t="s">
        <v>10471</v>
      </c>
      <c r="V265" s="18"/>
      <c r="W265" s="18" t="s">
        <v>10472</v>
      </c>
      <c r="X265" s="18" t="s">
        <v>42</v>
      </c>
      <c r="Y265" s="18" t="s">
        <v>36</v>
      </c>
      <c r="Z265" s="18" t="s">
        <v>37</v>
      </c>
      <c r="AA265" s="21" t="str">
        <f>HYPERLINK("https://www.ncbi.nlm.nih.gov/nuccore/MZ334496","NCBI Nucleotide")</f>
        <v>NCBI Nucleotide</v>
      </c>
    </row>
    <row r="266" spans="1:27" x14ac:dyDescent="0.35">
      <c r="A266">
        <v>1000258</v>
      </c>
      <c r="B266">
        <v>265</v>
      </c>
      <c r="C266">
        <v>1</v>
      </c>
      <c r="D266" s="17" t="s">
        <v>155</v>
      </c>
      <c r="E266" s="17"/>
      <c r="F266" s="17" t="s">
        <v>156</v>
      </c>
      <c r="G266" s="17"/>
      <c r="H266" s="17" t="s">
        <v>692</v>
      </c>
      <c r="I266" s="17"/>
      <c r="J266" s="17" t="s">
        <v>693</v>
      </c>
      <c r="K266" s="17"/>
      <c r="L266" s="17" t="s">
        <v>10452</v>
      </c>
      <c r="M266" s="17"/>
      <c r="N266" s="17" t="s">
        <v>10462</v>
      </c>
      <c r="O266" s="17"/>
      <c r="P266" s="17" t="s">
        <v>10463</v>
      </c>
      <c r="Q266" s="17"/>
      <c r="R266" s="25" t="str">
        <f>HYPERLINK("https://ictv.global/taxonomy/taxondetails?taxnode_id=202308774","Haloferacalesvirus moolapense")</f>
        <v>Haloferacalesvirus moolapense</v>
      </c>
      <c r="S266" s="18" t="s">
        <v>30</v>
      </c>
      <c r="T266" s="18" t="s">
        <v>10464</v>
      </c>
      <c r="U266" s="18" t="s">
        <v>10465</v>
      </c>
      <c r="V266" s="18"/>
      <c r="W266" s="18" t="s">
        <v>10466</v>
      </c>
      <c r="X266" s="18" t="s">
        <v>42</v>
      </c>
      <c r="Y266" s="18" t="s">
        <v>36</v>
      </c>
      <c r="Z266" s="18" t="s">
        <v>37</v>
      </c>
      <c r="AA266" s="21" t="str">
        <f>HYPERLINK("https://www.ncbi.nlm.nih.gov/nuccore/AY190604","NCBI Nucleotide")</f>
        <v>NCBI Nucleotide</v>
      </c>
    </row>
    <row r="267" spans="1:27" x14ac:dyDescent="0.35">
      <c r="A267">
        <v>1000261</v>
      </c>
      <c r="B267">
        <v>266</v>
      </c>
      <c r="C267">
        <v>1</v>
      </c>
      <c r="D267" s="17" t="s">
        <v>155</v>
      </c>
      <c r="E267" s="17"/>
      <c r="F267" s="17" t="s">
        <v>156</v>
      </c>
      <c r="G267" s="17"/>
      <c r="H267" s="17" t="s">
        <v>692</v>
      </c>
      <c r="I267" s="17"/>
      <c r="J267" s="17" t="s">
        <v>693</v>
      </c>
      <c r="K267" s="17"/>
      <c r="L267" s="17" t="s">
        <v>10452</v>
      </c>
      <c r="M267" s="17"/>
      <c r="N267" s="17" t="s">
        <v>10462</v>
      </c>
      <c r="O267" s="17"/>
      <c r="P267" s="17" t="s">
        <v>10463</v>
      </c>
      <c r="Q267" s="17"/>
      <c r="R267" s="25" t="str">
        <f>HYPERLINK("https://ictv.global/taxonomy/taxondetails?taxnode_id=202308776","Haloferacalesvirus pyrstotum")</f>
        <v>Haloferacalesvirus pyrstotum</v>
      </c>
      <c r="S267" s="18" t="s">
        <v>30</v>
      </c>
      <c r="T267" s="18" t="s">
        <v>10473</v>
      </c>
      <c r="U267" s="18" t="s">
        <v>10474</v>
      </c>
      <c r="V267" s="18"/>
      <c r="W267" s="18" t="s">
        <v>10475</v>
      </c>
      <c r="X267" s="18" t="s">
        <v>42</v>
      </c>
      <c r="Y267" s="18" t="s">
        <v>36</v>
      </c>
      <c r="Z267" s="18" t="s">
        <v>37</v>
      </c>
      <c r="AA267" s="21" t="str">
        <f>HYPERLINK("https://www.ncbi.nlm.nih.gov/nuccore/KC292022","NCBI Nucleotide")</f>
        <v>NCBI Nucleotide</v>
      </c>
    </row>
    <row r="268" spans="1:27" x14ac:dyDescent="0.35">
      <c r="A268">
        <v>1000262</v>
      </c>
      <c r="B268">
        <v>267</v>
      </c>
      <c r="C268">
        <v>1</v>
      </c>
      <c r="D268" s="17" t="s">
        <v>155</v>
      </c>
      <c r="E268" s="17"/>
      <c r="F268" s="17" t="s">
        <v>156</v>
      </c>
      <c r="G268" s="17"/>
      <c r="H268" s="17" t="s">
        <v>692</v>
      </c>
      <c r="I268" s="17"/>
      <c r="J268" s="17" t="s">
        <v>693</v>
      </c>
      <c r="K268" s="17"/>
      <c r="L268" s="17" t="s">
        <v>10452</v>
      </c>
      <c r="M268" s="17"/>
      <c r="N268" s="17" t="s">
        <v>10462</v>
      </c>
      <c r="O268" s="17"/>
      <c r="P268" s="17" t="s">
        <v>10463</v>
      </c>
      <c r="Q268" s="17"/>
      <c r="R268" s="25" t="str">
        <f>HYPERLINK("https://ictv.global/taxonomy/taxondetails?taxnode_id=202308777","Haloferacalesvirus salis")</f>
        <v>Haloferacalesvirus salis</v>
      </c>
      <c r="S268" s="18" t="s">
        <v>30</v>
      </c>
      <c r="T268" s="18" t="s">
        <v>10476</v>
      </c>
      <c r="U268" s="18" t="s">
        <v>10477</v>
      </c>
      <c r="V268" s="18"/>
      <c r="W268" s="18" t="s">
        <v>10478</v>
      </c>
      <c r="X268" s="18" t="s">
        <v>42</v>
      </c>
      <c r="Y268" s="18" t="s">
        <v>36</v>
      </c>
      <c r="Z268" s="18" t="s">
        <v>37</v>
      </c>
      <c r="AA268" s="21" t="str">
        <f>HYPERLINK("https://www.ncbi.nlm.nih.gov/nuccore/KC292020","NCBI Nucleotide")</f>
        <v>NCBI Nucleotide</v>
      </c>
    </row>
    <row r="269" spans="1:27" x14ac:dyDescent="0.35">
      <c r="A269">
        <v>1000263</v>
      </c>
      <c r="B269">
        <v>268</v>
      </c>
      <c r="C269">
        <v>1</v>
      </c>
      <c r="D269" s="17" t="s">
        <v>155</v>
      </c>
      <c r="E269" s="17"/>
      <c r="F269" s="17" t="s">
        <v>156</v>
      </c>
      <c r="G269" s="17"/>
      <c r="H269" s="17" t="s">
        <v>692</v>
      </c>
      <c r="I269" s="17"/>
      <c r="J269" s="17" t="s">
        <v>693</v>
      </c>
      <c r="K269" s="17"/>
      <c r="L269" s="17" t="s">
        <v>10452</v>
      </c>
      <c r="M269" s="17"/>
      <c r="N269" s="17" t="s">
        <v>10462</v>
      </c>
      <c r="O269" s="17"/>
      <c r="P269" s="17" t="s">
        <v>10463</v>
      </c>
      <c r="Q269" s="17"/>
      <c r="R269" s="25" t="str">
        <f>HYPERLINK("https://ictv.global/taxonomy/taxondetails?taxnode_id=202312181","Haloferacalesvirus samutsakhonense")</f>
        <v>Haloferacalesvirus samutsakhonense</v>
      </c>
      <c r="S269" s="18" t="s">
        <v>30</v>
      </c>
      <c r="T269" s="18" t="s">
        <v>10479</v>
      </c>
      <c r="U269" s="18" t="s">
        <v>10480</v>
      </c>
      <c r="V269" s="18"/>
      <c r="W269" s="18" t="s">
        <v>10481</v>
      </c>
      <c r="X269" s="18" t="s">
        <v>42</v>
      </c>
      <c r="Y269" s="18" t="s">
        <v>36</v>
      </c>
      <c r="Z269" s="18" t="s">
        <v>37</v>
      </c>
      <c r="AA269" s="21" t="str">
        <f>HYPERLINK("https://www.ncbi.nlm.nih.gov/nuccore/MZ334501","NCBI Nucleotide")</f>
        <v>NCBI Nucleotide</v>
      </c>
    </row>
    <row r="270" spans="1:27" x14ac:dyDescent="0.35">
      <c r="A270">
        <v>1000264</v>
      </c>
      <c r="B270">
        <v>269</v>
      </c>
      <c r="C270">
        <v>1</v>
      </c>
      <c r="D270" s="17" t="s">
        <v>155</v>
      </c>
      <c r="E270" s="17"/>
      <c r="F270" s="17" t="s">
        <v>156</v>
      </c>
      <c r="G270" s="17"/>
      <c r="H270" s="17" t="s">
        <v>692</v>
      </c>
      <c r="I270" s="17"/>
      <c r="J270" s="17" t="s">
        <v>693</v>
      </c>
      <c r="K270" s="17"/>
      <c r="L270" s="17" t="s">
        <v>10452</v>
      </c>
      <c r="M270" s="17"/>
      <c r="N270" s="17" t="s">
        <v>10462</v>
      </c>
      <c r="O270" s="17"/>
      <c r="P270" s="17" t="s">
        <v>10463</v>
      </c>
      <c r="Q270" s="17"/>
      <c r="R270" s="25" t="str">
        <f>HYPERLINK("https://ictv.global/taxonomy/taxondetails?taxnode_id=202312183","Haloferacalesvirus serpentinense")</f>
        <v>Haloferacalesvirus serpentinense</v>
      </c>
      <c r="S270" s="18" t="s">
        <v>30</v>
      </c>
      <c r="T270" s="18" t="s">
        <v>10482</v>
      </c>
      <c r="U270" s="18" t="s">
        <v>10483</v>
      </c>
      <c r="V270" s="18"/>
      <c r="W270" s="18" t="s">
        <v>10484</v>
      </c>
      <c r="X270" s="18" t="s">
        <v>42</v>
      </c>
      <c r="Y270" s="18" t="s">
        <v>36</v>
      </c>
      <c r="Z270" s="18" t="s">
        <v>37</v>
      </c>
      <c r="AA270" s="21" t="str">
        <f>HYPERLINK("https://www.ncbi.nlm.nih.gov/nuccore/MN901521","NCBI Nucleotide")</f>
        <v>NCBI Nucleotide</v>
      </c>
    </row>
    <row r="271" spans="1:27" x14ac:dyDescent="0.35">
      <c r="A271">
        <v>1000259</v>
      </c>
      <c r="B271">
        <v>270</v>
      </c>
      <c r="C271">
        <v>1</v>
      </c>
      <c r="D271" s="17" t="s">
        <v>155</v>
      </c>
      <c r="E271" s="17"/>
      <c r="F271" s="17" t="s">
        <v>156</v>
      </c>
      <c r="G271" s="17"/>
      <c r="H271" s="17" t="s">
        <v>692</v>
      </c>
      <c r="I271" s="17"/>
      <c r="J271" s="17" t="s">
        <v>693</v>
      </c>
      <c r="K271" s="17"/>
      <c r="L271" s="17" t="s">
        <v>10452</v>
      </c>
      <c r="M271" s="17"/>
      <c r="N271" s="17" t="s">
        <v>10462</v>
      </c>
      <c r="O271" s="17"/>
      <c r="P271" s="17" t="s">
        <v>10463</v>
      </c>
      <c r="Q271" s="17"/>
      <c r="R271" s="25" t="str">
        <f>HYPERLINK("https://ictv.global/taxonomy/taxondetails?taxnode_id=202312182","Haloferacalesvirus thailandense")</f>
        <v>Haloferacalesvirus thailandense</v>
      </c>
      <c r="S271" s="18" t="s">
        <v>30</v>
      </c>
      <c r="T271" s="18" t="s">
        <v>10467</v>
      </c>
      <c r="U271" s="18" t="s">
        <v>10468</v>
      </c>
      <c r="V271" s="18"/>
      <c r="W271" s="18" t="s">
        <v>10469</v>
      </c>
      <c r="X271" s="18" t="s">
        <v>42</v>
      </c>
      <c r="Y271" s="18" t="s">
        <v>36</v>
      </c>
      <c r="Z271" s="18" t="s">
        <v>37</v>
      </c>
      <c r="AA271" s="21" t="str">
        <f>HYPERLINK("https://www.ncbi.nlm.nih.gov/nuccore/MZ334513","NCBI Nucleotide")</f>
        <v>NCBI Nucleotide</v>
      </c>
    </row>
    <row r="272" spans="1:27" x14ac:dyDescent="0.35">
      <c r="A272">
        <v>1000265</v>
      </c>
      <c r="B272">
        <v>271</v>
      </c>
      <c r="C272">
        <v>1</v>
      </c>
      <c r="D272" s="17" t="s">
        <v>155</v>
      </c>
      <c r="E272" s="17"/>
      <c r="F272" s="17" t="s">
        <v>156</v>
      </c>
      <c r="G272" s="17"/>
      <c r="H272" s="17" t="s">
        <v>692</v>
      </c>
      <c r="I272" s="17"/>
      <c r="J272" s="17" t="s">
        <v>693</v>
      </c>
      <c r="K272" s="17"/>
      <c r="L272" s="17" t="s">
        <v>10452</v>
      </c>
      <c r="M272" s="17"/>
      <c r="N272" s="17" t="s">
        <v>10462</v>
      </c>
      <c r="O272" s="17"/>
      <c r="P272" s="17" t="s">
        <v>10485</v>
      </c>
      <c r="Q272" s="17"/>
      <c r="R272" s="25" t="str">
        <f>HYPERLINK("https://ictv.global/taxonomy/taxondetails?taxnode_id=202312187","Laminvirus thailandense")</f>
        <v>Laminvirus thailandense</v>
      </c>
      <c r="S272" s="18" t="s">
        <v>30</v>
      </c>
      <c r="T272" s="18" t="s">
        <v>10486</v>
      </c>
      <c r="U272" s="18" t="s">
        <v>10487</v>
      </c>
      <c r="V272" s="18"/>
      <c r="W272" s="18" t="s">
        <v>10488</v>
      </c>
      <c r="X272" s="18" t="s">
        <v>42</v>
      </c>
      <c r="Y272" s="18" t="s">
        <v>36</v>
      </c>
      <c r="Z272" s="18" t="s">
        <v>37</v>
      </c>
      <c r="AA272" s="21" t="str">
        <f>HYPERLINK("https://www.ncbi.nlm.nih.gov/nuccore/MZ334521","NCBI Nucleotide")</f>
        <v>NCBI Nucleotide</v>
      </c>
    </row>
    <row r="273" spans="1:27" x14ac:dyDescent="0.35">
      <c r="A273">
        <v>1000266</v>
      </c>
      <c r="B273">
        <v>272</v>
      </c>
      <c r="C273">
        <v>1</v>
      </c>
      <c r="D273" s="17" t="s">
        <v>155</v>
      </c>
      <c r="E273" s="17"/>
      <c r="F273" s="17" t="s">
        <v>156</v>
      </c>
      <c r="G273" s="17"/>
      <c r="H273" s="17" t="s">
        <v>692</v>
      </c>
      <c r="I273" s="17"/>
      <c r="J273" s="17" t="s">
        <v>693</v>
      </c>
      <c r="K273" s="17"/>
      <c r="L273" s="17" t="s">
        <v>10452</v>
      </c>
      <c r="M273" s="17"/>
      <c r="N273" s="17" t="s">
        <v>10462</v>
      </c>
      <c r="O273" s="17"/>
      <c r="P273" s="17" t="s">
        <v>10489</v>
      </c>
      <c r="Q273" s="17"/>
      <c r="R273" s="25" t="str">
        <f>HYPERLINK("https://ictv.global/taxonomy/taxondetails?taxnode_id=202312185","Mincapvirus eilatense")</f>
        <v>Mincapvirus eilatense</v>
      </c>
      <c r="S273" s="18" t="s">
        <v>30</v>
      </c>
      <c r="T273" s="18" t="s">
        <v>10490</v>
      </c>
      <c r="U273" s="18" t="s">
        <v>10491</v>
      </c>
      <c r="V273" s="18"/>
      <c r="W273" s="18" t="s">
        <v>10492</v>
      </c>
      <c r="X273" s="18" t="s">
        <v>42</v>
      </c>
      <c r="Y273" s="18" t="s">
        <v>36</v>
      </c>
      <c r="Z273" s="18" t="s">
        <v>37</v>
      </c>
      <c r="AA273" s="21" t="str">
        <f>HYPERLINK("https://www.ncbi.nlm.nih.gov/nuccore/KC117376","NCBI Nucleotide")</f>
        <v>NCBI Nucleotide</v>
      </c>
    </row>
    <row r="274" spans="1:27" x14ac:dyDescent="0.35">
      <c r="A274">
        <v>1000267</v>
      </c>
      <c r="B274">
        <v>273</v>
      </c>
      <c r="C274">
        <v>1</v>
      </c>
      <c r="D274" s="17" t="s">
        <v>155</v>
      </c>
      <c r="E274" s="17"/>
      <c r="F274" s="17" t="s">
        <v>156</v>
      </c>
      <c r="G274" s="17"/>
      <c r="H274" s="17" t="s">
        <v>692</v>
      </c>
      <c r="I274" s="17"/>
      <c r="J274" s="17" t="s">
        <v>693</v>
      </c>
      <c r="K274" s="17"/>
      <c r="L274" s="17" t="s">
        <v>10452</v>
      </c>
      <c r="M274" s="17"/>
      <c r="N274" s="17" t="s">
        <v>10462</v>
      </c>
      <c r="O274" s="17"/>
      <c r="P274" s="17" t="s">
        <v>10493</v>
      </c>
      <c r="Q274" s="17"/>
      <c r="R274" s="25" t="str">
        <f>HYPERLINK("https://ictv.global/taxonomy/taxondetails?taxnode_id=202312189","Minorvirus thailandense")</f>
        <v>Minorvirus thailandense</v>
      </c>
      <c r="S274" s="18" t="s">
        <v>30</v>
      </c>
      <c r="T274" s="18" t="s">
        <v>10494</v>
      </c>
      <c r="U274" s="18" t="s">
        <v>10495</v>
      </c>
      <c r="V274" s="18"/>
      <c r="W274" s="18" t="s">
        <v>10496</v>
      </c>
      <c r="X274" s="18" t="s">
        <v>42</v>
      </c>
      <c r="Y274" s="18" t="s">
        <v>36</v>
      </c>
      <c r="Z274" s="18" t="s">
        <v>37</v>
      </c>
      <c r="AA274" s="21" t="str">
        <f>HYPERLINK("https://www.ncbi.nlm.nih.gov/nuccore/MZ334522","NCBI Nucleotide")</f>
        <v>NCBI Nucleotide</v>
      </c>
    </row>
    <row r="275" spans="1:27" x14ac:dyDescent="0.35">
      <c r="A275">
        <v>1000268</v>
      </c>
      <c r="B275">
        <v>274</v>
      </c>
      <c r="C275">
        <v>1</v>
      </c>
      <c r="D275" s="17" t="s">
        <v>155</v>
      </c>
      <c r="E275" s="17"/>
      <c r="F275" s="17" t="s">
        <v>156</v>
      </c>
      <c r="G275" s="17"/>
      <c r="H275" s="17" t="s">
        <v>692</v>
      </c>
      <c r="I275" s="17"/>
      <c r="J275" s="17" t="s">
        <v>693</v>
      </c>
      <c r="K275" s="17"/>
      <c r="L275" s="17" t="s">
        <v>10452</v>
      </c>
      <c r="M275" s="17"/>
      <c r="N275" s="17" t="s">
        <v>10497</v>
      </c>
      <c r="O275" s="17"/>
      <c r="P275" s="17" t="s">
        <v>10498</v>
      </c>
      <c r="Q275" s="17"/>
      <c r="R275" s="25" t="str">
        <f>HYPERLINK("https://ictv.global/taxonomy/taxondetails?taxnode_id=202312197","Hagravirus capitaneum")</f>
        <v>Hagravirus capitaneum</v>
      </c>
      <c r="S275" s="18" t="s">
        <v>30</v>
      </c>
      <c r="T275" s="18" t="s">
        <v>10499</v>
      </c>
      <c r="U275" s="18" t="s">
        <v>10500</v>
      </c>
      <c r="V275" s="18"/>
      <c r="W275" s="18" t="s">
        <v>10501</v>
      </c>
      <c r="X275" s="18" t="s">
        <v>42</v>
      </c>
      <c r="Y275" s="18" t="s">
        <v>36</v>
      </c>
      <c r="Z275" s="18" t="s">
        <v>37</v>
      </c>
      <c r="AA275" s="21" t="str">
        <f>HYPERLINK("https://www.ncbi.nlm.nih.gov/nuccore/KC292026","NCBI Nucleotide")</f>
        <v>NCBI Nucleotide</v>
      </c>
    </row>
    <row r="276" spans="1:27" x14ac:dyDescent="0.35">
      <c r="A276">
        <v>1000269</v>
      </c>
      <c r="B276">
        <v>275</v>
      </c>
      <c r="C276">
        <v>1</v>
      </c>
      <c r="D276" s="17" t="s">
        <v>155</v>
      </c>
      <c r="E276" s="17"/>
      <c r="F276" s="17" t="s">
        <v>156</v>
      </c>
      <c r="G276" s="17"/>
      <c r="H276" s="17" t="s">
        <v>692</v>
      </c>
      <c r="I276" s="17"/>
      <c r="J276" s="17" t="s">
        <v>693</v>
      </c>
      <c r="K276" s="17"/>
      <c r="L276" s="17" t="s">
        <v>10452</v>
      </c>
      <c r="M276" s="17"/>
      <c r="N276" s="17" t="s">
        <v>10502</v>
      </c>
      <c r="O276" s="17"/>
      <c r="P276" s="17" t="s">
        <v>10503</v>
      </c>
      <c r="Q276" s="17"/>
      <c r="R276" s="25" t="str">
        <f>HYPERLINK("https://ictv.global/taxonomy/taxondetails?taxnode_id=202312195","Eilatmyovirus salis")</f>
        <v>Eilatmyovirus salis</v>
      </c>
      <c r="S276" s="18" t="s">
        <v>30</v>
      </c>
      <c r="T276" s="18" t="s">
        <v>10504</v>
      </c>
      <c r="U276" s="18" t="s">
        <v>10505</v>
      </c>
      <c r="V276" s="18"/>
      <c r="W276" s="18" t="s">
        <v>10506</v>
      </c>
      <c r="X276" s="18" t="s">
        <v>42</v>
      </c>
      <c r="Y276" s="18" t="s">
        <v>36</v>
      </c>
      <c r="Z276" s="18" t="s">
        <v>37</v>
      </c>
      <c r="AA276" s="21" t="str">
        <f>HYPERLINK("https://www.ncbi.nlm.nih.gov/nuccore/MZ334525","NCBI Nucleotide")</f>
        <v>NCBI Nucleotide</v>
      </c>
    </row>
    <row r="277" spans="1:27" x14ac:dyDescent="0.35">
      <c r="A277">
        <v>1000270</v>
      </c>
      <c r="B277">
        <v>276</v>
      </c>
      <c r="C277">
        <v>1</v>
      </c>
      <c r="D277" s="17" t="s">
        <v>155</v>
      </c>
      <c r="E277" s="17"/>
      <c r="F277" s="17" t="s">
        <v>156</v>
      </c>
      <c r="G277" s="17"/>
      <c r="H277" s="17" t="s">
        <v>692</v>
      </c>
      <c r="I277" s="17"/>
      <c r="J277" s="17" t="s">
        <v>693</v>
      </c>
      <c r="K277" s="17"/>
      <c r="L277" s="17"/>
      <c r="M277" s="17"/>
      <c r="N277" s="17" t="s">
        <v>6043</v>
      </c>
      <c r="O277" s="17" t="s">
        <v>6083</v>
      </c>
      <c r="P277" s="17" t="s">
        <v>6084</v>
      </c>
      <c r="Q277" s="17"/>
      <c r="R277" s="25" t="str">
        <f>HYPERLINK("https://ictv.global/taxonomy/taxondetails?taxnode_id=202300534","Agtrevirus AG3")</f>
        <v>Agtrevirus AG3</v>
      </c>
      <c r="S277" s="18" t="s">
        <v>30</v>
      </c>
      <c r="T277" s="18" t="s">
        <v>6085</v>
      </c>
      <c r="U277" s="18"/>
      <c r="V277" s="18"/>
      <c r="W277" s="18" t="s">
        <v>6086</v>
      </c>
      <c r="X277" s="18" t="s">
        <v>42</v>
      </c>
      <c r="Y277" s="18" t="s">
        <v>36</v>
      </c>
      <c r="Z277" s="18" t="s">
        <v>697</v>
      </c>
      <c r="AA277" s="21" t="str">
        <f>HYPERLINK("https://www.ncbi.nlm.nih.gov/nuccore/FJ373894","NCBI Nucleotide")</f>
        <v>NCBI Nucleotide</v>
      </c>
    </row>
    <row r="278" spans="1:27" x14ac:dyDescent="0.35">
      <c r="A278">
        <v>1000271</v>
      </c>
      <c r="B278">
        <v>277</v>
      </c>
      <c r="C278">
        <v>1</v>
      </c>
      <c r="D278" s="17" t="s">
        <v>155</v>
      </c>
      <c r="E278" s="17"/>
      <c r="F278" s="17" t="s">
        <v>156</v>
      </c>
      <c r="G278" s="17"/>
      <c r="H278" s="17" t="s">
        <v>692</v>
      </c>
      <c r="I278" s="17"/>
      <c r="J278" s="17" t="s">
        <v>693</v>
      </c>
      <c r="K278" s="17"/>
      <c r="L278" s="17"/>
      <c r="M278" s="17"/>
      <c r="N278" s="17" t="s">
        <v>6043</v>
      </c>
      <c r="O278" s="17" t="s">
        <v>6083</v>
      </c>
      <c r="P278" s="17" t="s">
        <v>6084</v>
      </c>
      <c r="Q278" s="17"/>
      <c r="R278" s="25" t="str">
        <f>HYPERLINK("https://ictv.global/taxonomy/taxondetails?taxnode_id=202308872","Agtrevirus EM4")</f>
        <v>Agtrevirus EM4</v>
      </c>
      <c r="S278" s="18" t="s">
        <v>30</v>
      </c>
      <c r="T278" s="18" t="s">
        <v>6087</v>
      </c>
      <c r="U278" s="18"/>
      <c r="V278" s="18"/>
      <c r="W278" s="18" t="s">
        <v>6088</v>
      </c>
      <c r="X278" s="18" t="s">
        <v>42</v>
      </c>
      <c r="Y278" s="18" t="s">
        <v>36</v>
      </c>
      <c r="Z278" s="18" t="s">
        <v>697</v>
      </c>
      <c r="AA278" s="21" t="str">
        <f>HYPERLINK("https://www.ncbi.nlm.nih.gov/nuccore/LC373201","NCBI Nucleotide")</f>
        <v>NCBI Nucleotide</v>
      </c>
    </row>
    <row r="279" spans="1:27" x14ac:dyDescent="0.35">
      <c r="A279">
        <v>1000272</v>
      </c>
      <c r="B279">
        <v>278</v>
      </c>
      <c r="C279">
        <v>1</v>
      </c>
      <c r="D279" s="17" t="s">
        <v>155</v>
      </c>
      <c r="E279" s="17"/>
      <c r="F279" s="17" t="s">
        <v>156</v>
      </c>
      <c r="G279" s="17"/>
      <c r="H279" s="17" t="s">
        <v>692</v>
      </c>
      <c r="I279" s="17"/>
      <c r="J279" s="17" t="s">
        <v>693</v>
      </c>
      <c r="K279" s="17"/>
      <c r="L279" s="17"/>
      <c r="M279" s="17"/>
      <c r="N279" s="17" t="s">
        <v>6043</v>
      </c>
      <c r="O279" s="17" t="s">
        <v>6083</v>
      </c>
      <c r="P279" s="17" t="s">
        <v>6084</v>
      </c>
      <c r="Q279" s="17"/>
      <c r="R279" s="25" t="str">
        <f>HYPERLINK("https://ictv.global/taxonomy/taxondetails?taxnode_id=202308873","Agtrevirus MK13")</f>
        <v>Agtrevirus MK13</v>
      </c>
      <c r="S279" s="18" t="s">
        <v>30</v>
      </c>
      <c r="T279" s="18" t="s">
        <v>6089</v>
      </c>
      <c r="U279" s="18"/>
      <c r="V279" s="18"/>
      <c r="W279" s="18" t="s">
        <v>6090</v>
      </c>
      <c r="X279" s="18" t="s">
        <v>42</v>
      </c>
      <c r="Y279" s="18" t="s">
        <v>36</v>
      </c>
      <c r="Z279" s="18" t="s">
        <v>697</v>
      </c>
      <c r="AA279" s="21" t="str">
        <f>HYPERLINK("https://www.ncbi.nlm.nih.gov/nuccore/MK509462","NCBI Nucleotide")</f>
        <v>NCBI Nucleotide</v>
      </c>
    </row>
    <row r="280" spans="1:27" x14ac:dyDescent="0.35">
      <c r="A280">
        <v>1000273</v>
      </c>
      <c r="B280">
        <v>279</v>
      </c>
      <c r="C280">
        <v>1</v>
      </c>
      <c r="D280" s="17" t="s">
        <v>155</v>
      </c>
      <c r="E280" s="17"/>
      <c r="F280" s="17" t="s">
        <v>156</v>
      </c>
      <c r="G280" s="17"/>
      <c r="H280" s="17" t="s">
        <v>692</v>
      </c>
      <c r="I280" s="17"/>
      <c r="J280" s="17" t="s">
        <v>693</v>
      </c>
      <c r="K280" s="17"/>
      <c r="L280" s="17"/>
      <c r="M280" s="17"/>
      <c r="N280" s="17" t="s">
        <v>6043</v>
      </c>
      <c r="O280" s="17" t="s">
        <v>6083</v>
      </c>
      <c r="P280" s="17" t="s">
        <v>6084</v>
      </c>
      <c r="Q280" s="17"/>
      <c r="R280" s="25" t="str">
        <f>HYPERLINK("https://ictv.global/taxonomy/taxondetails?taxnode_id=202308874","Agtrevirus P46FS4")</f>
        <v>Agtrevirus P46FS4</v>
      </c>
      <c r="S280" s="18" t="s">
        <v>30</v>
      </c>
      <c r="T280" s="18" t="s">
        <v>6091</v>
      </c>
      <c r="U280" s="18"/>
      <c r="V280" s="18"/>
      <c r="W280" s="18" t="s">
        <v>6092</v>
      </c>
      <c r="X280" s="18" t="s">
        <v>42</v>
      </c>
      <c r="Y280" s="18" t="s">
        <v>36</v>
      </c>
      <c r="Z280" s="18" t="s">
        <v>697</v>
      </c>
      <c r="AA280" s="21" t="str">
        <f>HYPERLINK("https://www.ncbi.nlm.nih.gov/nuccore/MT078988","NCBI Nucleotide")</f>
        <v>NCBI Nucleotide</v>
      </c>
    </row>
    <row r="281" spans="1:27" x14ac:dyDescent="0.35">
      <c r="A281">
        <v>1000274</v>
      </c>
      <c r="B281">
        <v>280</v>
      </c>
      <c r="C281">
        <v>1</v>
      </c>
      <c r="D281" s="17" t="s">
        <v>155</v>
      </c>
      <c r="E281" s="17"/>
      <c r="F281" s="17" t="s">
        <v>156</v>
      </c>
      <c r="G281" s="17"/>
      <c r="H281" s="17" t="s">
        <v>692</v>
      </c>
      <c r="I281" s="17"/>
      <c r="J281" s="17" t="s">
        <v>693</v>
      </c>
      <c r="K281" s="17"/>
      <c r="L281" s="17"/>
      <c r="M281" s="17"/>
      <c r="N281" s="17" t="s">
        <v>6043</v>
      </c>
      <c r="O281" s="17" t="s">
        <v>6083</v>
      </c>
      <c r="P281" s="17" t="s">
        <v>6084</v>
      </c>
      <c r="Q281" s="17"/>
      <c r="R281" s="25" t="str">
        <f>HYPERLINK("https://ictv.global/taxonomy/taxondetails?taxnode_id=202305465","Agtrevirus SKML39")</f>
        <v>Agtrevirus SKML39</v>
      </c>
      <c r="S281" s="18" t="s">
        <v>30</v>
      </c>
      <c r="T281" s="18" t="s">
        <v>6093</v>
      </c>
      <c r="U281" s="18"/>
      <c r="V281" s="18"/>
      <c r="W281" s="18" t="s">
        <v>6094</v>
      </c>
      <c r="X281" s="18" t="s">
        <v>42</v>
      </c>
      <c r="Y281" s="18" t="s">
        <v>36</v>
      </c>
      <c r="Z281" s="18" t="s">
        <v>697</v>
      </c>
      <c r="AA281" s="21" t="str">
        <f>HYPERLINK("https://www.ncbi.nlm.nih.gov/nuccore/JX181829","NCBI Nucleotide")</f>
        <v>NCBI Nucleotide</v>
      </c>
    </row>
    <row r="282" spans="1:27" x14ac:dyDescent="0.35">
      <c r="A282">
        <v>1000275</v>
      </c>
      <c r="B282">
        <v>281</v>
      </c>
      <c r="C282">
        <v>1</v>
      </c>
      <c r="D282" s="17" t="s">
        <v>155</v>
      </c>
      <c r="E282" s="17"/>
      <c r="F282" s="17" t="s">
        <v>156</v>
      </c>
      <c r="G282" s="17"/>
      <c r="H282" s="17" t="s">
        <v>692</v>
      </c>
      <c r="I282" s="17"/>
      <c r="J282" s="17" t="s">
        <v>693</v>
      </c>
      <c r="K282" s="17"/>
      <c r="L282" s="17"/>
      <c r="M282" s="17"/>
      <c r="N282" s="17" t="s">
        <v>6043</v>
      </c>
      <c r="O282" s="17" t="s">
        <v>6083</v>
      </c>
      <c r="P282" s="17" t="s">
        <v>6095</v>
      </c>
      <c r="Q282" s="17"/>
      <c r="R282" s="25" t="str">
        <f>HYPERLINK("https://ictv.global/taxonomy/taxondetails?taxnode_id=202300521","Limestonevirus limestone")</f>
        <v>Limestonevirus limestone</v>
      </c>
      <c r="S282" s="18" t="s">
        <v>30</v>
      </c>
      <c r="T282" s="18" t="s">
        <v>6096</v>
      </c>
      <c r="U282" s="18"/>
      <c r="V282" s="18"/>
      <c r="W282" s="18" t="s">
        <v>6097</v>
      </c>
      <c r="X282" s="18" t="s">
        <v>42</v>
      </c>
      <c r="Y282" s="18" t="s">
        <v>36</v>
      </c>
      <c r="Z282" s="18" t="s">
        <v>697</v>
      </c>
      <c r="AA282" s="21" t="str">
        <f>HYPERLINK("https://www.ncbi.nlm.nih.gov/nuccore/HE600015","NCBI Nucleotide")</f>
        <v>NCBI Nucleotide</v>
      </c>
    </row>
    <row r="283" spans="1:27" x14ac:dyDescent="0.35">
      <c r="A283">
        <v>1000276</v>
      </c>
      <c r="B283">
        <v>282</v>
      </c>
      <c r="C283">
        <v>1</v>
      </c>
      <c r="D283" s="17" t="s">
        <v>155</v>
      </c>
      <c r="E283" s="17"/>
      <c r="F283" s="17" t="s">
        <v>156</v>
      </c>
      <c r="G283" s="17"/>
      <c r="H283" s="17" t="s">
        <v>692</v>
      </c>
      <c r="I283" s="17"/>
      <c r="J283" s="17" t="s">
        <v>693</v>
      </c>
      <c r="K283" s="17"/>
      <c r="L283" s="17"/>
      <c r="M283" s="17"/>
      <c r="N283" s="17" t="s">
        <v>6043</v>
      </c>
      <c r="O283" s="17" t="s">
        <v>6083</v>
      </c>
      <c r="P283" s="17" t="s">
        <v>6095</v>
      </c>
      <c r="Q283" s="17"/>
      <c r="R283" s="25" t="str">
        <f>HYPERLINK("https://ictv.global/taxonomy/taxondetails?taxnode_id=202305467","Limestonevirus RC2014")</f>
        <v>Limestonevirus RC2014</v>
      </c>
      <c r="S283" s="18" t="s">
        <v>30</v>
      </c>
      <c r="T283" s="18" t="s">
        <v>6098</v>
      </c>
      <c r="U283" s="18"/>
      <c r="V283" s="18"/>
      <c r="W283" s="18" t="s">
        <v>6099</v>
      </c>
      <c r="X283" s="18" t="s">
        <v>42</v>
      </c>
      <c r="Y283" s="18" t="s">
        <v>36</v>
      </c>
      <c r="Z283" s="18" t="s">
        <v>697</v>
      </c>
      <c r="AA283" s="21" t="str">
        <f>HYPERLINK("https://www.ncbi.nlm.nih.gov/nuccore/KJ716335","NCBI Nucleotide")</f>
        <v>NCBI Nucleotide</v>
      </c>
    </row>
    <row r="284" spans="1:27" x14ac:dyDescent="0.35">
      <c r="A284">
        <v>1000277</v>
      </c>
      <c r="B284">
        <v>283</v>
      </c>
      <c r="C284">
        <v>1</v>
      </c>
      <c r="D284" s="17" t="s">
        <v>155</v>
      </c>
      <c r="E284" s="17"/>
      <c r="F284" s="17" t="s">
        <v>156</v>
      </c>
      <c r="G284" s="17"/>
      <c r="H284" s="17" t="s">
        <v>692</v>
      </c>
      <c r="I284" s="17"/>
      <c r="J284" s="17" t="s">
        <v>693</v>
      </c>
      <c r="K284" s="17"/>
      <c r="L284" s="17"/>
      <c r="M284" s="17"/>
      <c r="N284" s="17" t="s">
        <v>6043</v>
      </c>
      <c r="O284" s="17" t="s">
        <v>6100</v>
      </c>
      <c r="P284" s="17" t="s">
        <v>6101</v>
      </c>
      <c r="Q284" s="17"/>
      <c r="R284" s="25" t="str">
        <f>HYPERLINK("https://ictv.global/taxonomy/taxondetails?taxnode_id=202308857","Kuttervirus aagejoakim")</f>
        <v>Kuttervirus aagejoakim</v>
      </c>
      <c r="S284" s="18" t="s">
        <v>30</v>
      </c>
      <c r="T284" s="18" t="s">
        <v>6102</v>
      </c>
      <c r="U284" s="18"/>
      <c r="V284" s="18"/>
      <c r="W284" s="18" t="s">
        <v>6103</v>
      </c>
      <c r="X284" s="18" t="s">
        <v>42</v>
      </c>
      <c r="Y284" s="18" t="s">
        <v>36</v>
      </c>
      <c r="Z284" s="18" t="s">
        <v>697</v>
      </c>
      <c r="AA284" s="21" t="str">
        <f>HYPERLINK("https://www.ncbi.nlm.nih.gov/nuccore/MT074474","NCBI Nucleotide")</f>
        <v>NCBI Nucleotide</v>
      </c>
    </row>
    <row r="285" spans="1:27" x14ac:dyDescent="0.35">
      <c r="A285">
        <v>1000278</v>
      </c>
      <c r="B285">
        <v>284</v>
      </c>
      <c r="C285">
        <v>1</v>
      </c>
      <c r="D285" s="17" t="s">
        <v>155</v>
      </c>
      <c r="E285" s="17"/>
      <c r="F285" s="17" t="s">
        <v>156</v>
      </c>
      <c r="G285" s="17"/>
      <c r="H285" s="17" t="s">
        <v>692</v>
      </c>
      <c r="I285" s="17"/>
      <c r="J285" s="17" t="s">
        <v>693</v>
      </c>
      <c r="K285" s="17"/>
      <c r="L285" s="17"/>
      <c r="M285" s="17"/>
      <c r="N285" s="17" t="s">
        <v>6043</v>
      </c>
      <c r="O285" s="17" t="s">
        <v>6100</v>
      </c>
      <c r="P285" s="17" t="s">
        <v>6101</v>
      </c>
      <c r="Q285" s="17"/>
      <c r="R285" s="25" t="str">
        <f>HYPERLINK("https://ictv.global/taxonomy/taxondetails?taxnode_id=202308845","Kuttervirus allotria")</f>
        <v>Kuttervirus allotria</v>
      </c>
      <c r="S285" s="18" t="s">
        <v>30</v>
      </c>
      <c r="T285" s="18" t="s">
        <v>6104</v>
      </c>
      <c r="U285" s="18"/>
      <c r="V285" s="18"/>
      <c r="W285" s="18" t="s">
        <v>6105</v>
      </c>
      <c r="X285" s="18" t="s">
        <v>42</v>
      </c>
      <c r="Y285" s="18" t="s">
        <v>36</v>
      </c>
      <c r="Z285" s="18" t="s">
        <v>697</v>
      </c>
      <c r="AA285" s="21" t="str">
        <f>HYPERLINK("https://www.ncbi.nlm.nih.gov/nuccore/MT074471","NCBI Nucleotide")</f>
        <v>NCBI Nucleotide</v>
      </c>
    </row>
    <row r="286" spans="1:27" x14ac:dyDescent="0.35">
      <c r="A286">
        <v>1000279</v>
      </c>
      <c r="B286">
        <v>285</v>
      </c>
      <c r="C286">
        <v>1</v>
      </c>
      <c r="D286" s="17" t="s">
        <v>155</v>
      </c>
      <c r="E286" s="17"/>
      <c r="F286" s="17" t="s">
        <v>156</v>
      </c>
      <c r="G286" s="17"/>
      <c r="H286" s="17" t="s">
        <v>692</v>
      </c>
      <c r="I286" s="17"/>
      <c r="J286" s="17" t="s">
        <v>693</v>
      </c>
      <c r="K286" s="17"/>
      <c r="L286" s="17"/>
      <c r="M286" s="17"/>
      <c r="N286" s="17" t="s">
        <v>6043</v>
      </c>
      <c r="O286" s="17" t="s">
        <v>6100</v>
      </c>
      <c r="P286" s="17" t="s">
        <v>6101</v>
      </c>
      <c r="Q286" s="17"/>
      <c r="R286" s="25" t="str">
        <f>HYPERLINK("https://ictv.global/taxonomy/taxondetails?taxnode_id=202308867","Kuttervirus barely")</f>
        <v>Kuttervirus barely</v>
      </c>
      <c r="S286" s="18" t="s">
        <v>30</v>
      </c>
      <c r="T286" s="18" t="s">
        <v>6106</v>
      </c>
      <c r="U286" s="18"/>
      <c r="V286" s="18"/>
      <c r="W286" s="18" t="s">
        <v>6107</v>
      </c>
      <c r="X286" s="18" t="s">
        <v>42</v>
      </c>
      <c r="Y286" s="18" t="s">
        <v>36</v>
      </c>
      <c r="Z286" s="18" t="s">
        <v>697</v>
      </c>
      <c r="AA286" s="21" t="str">
        <f>HYPERLINK("https://www.ncbi.nlm.nih.gov/nuccore/MT074477","NCBI Nucleotide")</f>
        <v>NCBI Nucleotide</v>
      </c>
    </row>
    <row r="287" spans="1:27" x14ac:dyDescent="0.35">
      <c r="A287">
        <v>1000280</v>
      </c>
      <c r="B287">
        <v>286</v>
      </c>
      <c r="C287">
        <v>1</v>
      </c>
      <c r="D287" s="17" t="s">
        <v>155</v>
      </c>
      <c r="E287" s="17"/>
      <c r="F287" s="17" t="s">
        <v>156</v>
      </c>
      <c r="G287" s="17"/>
      <c r="H287" s="17" t="s">
        <v>692</v>
      </c>
      <c r="I287" s="17"/>
      <c r="J287" s="17" t="s">
        <v>693</v>
      </c>
      <c r="K287" s="17"/>
      <c r="L287" s="17"/>
      <c r="M287" s="17"/>
      <c r="N287" s="17" t="s">
        <v>6043</v>
      </c>
      <c r="O287" s="17" t="s">
        <v>6100</v>
      </c>
      <c r="P287" s="17" t="s">
        <v>6101</v>
      </c>
      <c r="Q287" s="17"/>
      <c r="R287" s="25" t="str">
        <f>HYPERLINK("https://ictv.global/taxonomy/taxondetails?taxnode_id=202308869","Kuttervirus bering")</f>
        <v>Kuttervirus bering</v>
      </c>
      <c r="S287" s="18" t="s">
        <v>30</v>
      </c>
      <c r="T287" s="18" t="s">
        <v>6108</v>
      </c>
      <c r="U287" s="18"/>
      <c r="V287" s="18"/>
      <c r="W287" s="18" t="s">
        <v>6109</v>
      </c>
      <c r="X287" s="18" t="s">
        <v>42</v>
      </c>
      <c r="Y287" s="18" t="s">
        <v>36</v>
      </c>
      <c r="Z287" s="18" t="s">
        <v>697</v>
      </c>
      <c r="AA287" s="21" t="str">
        <f>HYPERLINK("https://www.ncbi.nlm.nih.gov/nuccore/MT074472","NCBI Nucleotide")</f>
        <v>NCBI Nucleotide</v>
      </c>
    </row>
    <row r="288" spans="1:27" x14ac:dyDescent="0.35">
      <c r="A288">
        <v>1000281</v>
      </c>
      <c r="B288">
        <v>287</v>
      </c>
      <c r="C288">
        <v>1</v>
      </c>
      <c r="D288" s="17" t="s">
        <v>155</v>
      </c>
      <c r="E288" s="17"/>
      <c r="F288" s="17" t="s">
        <v>156</v>
      </c>
      <c r="G288" s="17"/>
      <c r="H288" s="17" t="s">
        <v>692</v>
      </c>
      <c r="I288" s="17"/>
      <c r="J288" s="17" t="s">
        <v>693</v>
      </c>
      <c r="K288" s="17"/>
      <c r="L288" s="17"/>
      <c r="M288" s="17"/>
      <c r="N288" s="17" t="s">
        <v>6043</v>
      </c>
      <c r="O288" s="17" t="s">
        <v>6100</v>
      </c>
      <c r="P288" s="17" t="s">
        <v>6101</v>
      </c>
      <c r="Q288" s="17"/>
      <c r="R288" s="25" t="str">
        <f>HYPERLINK("https://ictv.global/taxonomy/taxondetails?taxnode_id=202308860","Kuttervirus BSP101")</f>
        <v>Kuttervirus BSP101</v>
      </c>
      <c r="S288" s="18" t="s">
        <v>30</v>
      </c>
      <c r="T288" s="18" t="s">
        <v>6110</v>
      </c>
      <c r="U288" s="18"/>
      <c r="V288" s="18"/>
      <c r="W288" s="18" t="s">
        <v>6111</v>
      </c>
      <c r="X288" s="18" t="s">
        <v>42</v>
      </c>
      <c r="Y288" s="18" t="s">
        <v>36</v>
      </c>
      <c r="Z288" s="18" t="s">
        <v>697</v>
      </c>
      <c r="AA288" s="21" t="str">
        <f>HYPERLINK("https://www.ncbi.nlm.nih.gov/nuccore/KY787213","NCBI Nucleotide")</f>
        <v>NCBI Nucleotide</v>
      </c>
    </row>
    <row r="289" spans="1:27" x14ac:dyDescent="0.35">
      <c r="A289">
        <v>1000282</v>
      </c>
      <c r="B289">
        <v>288</v>
      </c>
      <c r="C289">
        <v>1</v>
      </c>
      <c r="D289" s="17" t="s">
        <v>155</v>
      </c>
      <c r="E289" s="17"/>
      <c r="F289" s="17" t="s">
        <v>156</v>
      </c>
      <c r="G289" s="17"/>
      <c r="H289" s="17" t="s">
        <v>692</v>
      </c>
      <c r="I289" s="17"/>
      <c r="J289" s="17" t="s">
        <v>693</v>
      </c>
      <c r="K289" s="17"/>
      <c r="L289" s="17"/>
      <c r="M289" s="17"/>
      <c r="N289" s="17" t="s">
        <v>6043</v>
      </c>
      <c r="O289" s="17" t="s">
        <v>6100</v>
      </c>
      <c r="P289" s="17" t="s">
        <v>6101</v>
      </c>
      <c r="Q289" s="17"/>
      <c r="R289" s="25" t="str">
        <f>HYPERLINK("https://ictv.global/taxonomy/taxondetails?taxnode_id=202300522","Kuttervirus CBA120")</f>
        <v>Kuttervirus CBA120</v>
      </c>
      <c r="S289" s="18" t="s">
        <v>30</v>
      </c>
      <c r="T289" s="18" t="s">
        <v>6112</v>
      </c>
      <c r="U289" s="18"/>
      <c r="V289" s="18"/>
      <c r="W289" s="18" t="s">
        <v>6113</v>
      </c>
      <c r="X289" s="18" t="s">
        <v>42</v>
      </c>
      <c r="Y289" s="18" t="s">
        <v>36</v>
      </c>
      <c r="Z289" s="18" t="s">
        <v>697</v>
      </c>
      <c r="AA289" s="21" t="str">
        <f>HYPERLINK("https://www.ncbi.nlm.nih.gov/nuccore/JN593240","NCBI Nucleotide")</f>
        <v>NCBI Nucleotide</v>
      </c>
    </row>
    <row r="290" spans="1:27" x14ac:dyDescent="0.35">
      <c r="A290">
        <v>1000283</v>
      </c>
      <c r="B290">
        <v>289</v>
      </c>
      <c r="C290">
        <v>1</v>
      </c>
      <c r="D290" s="17" t="s">
        <v>155</v>
      </c>
      <c r="E290" s="17"/>
      <c r="F290" s="17" t="s">
        <v>156</v>
      </c>
      <c r="G290" s="17"/>
      <c r="H290" s="17" t="s">
        <v>692</v>
      </c>
      <c r="I290" s="17"/>
      <c r="J290" s="17" t="s">
        <v>693</v>
      </c>
      <c r="K290" s="17"/>
      <c r="L290" s="17"/>
      <c r="M290" s="17"/>
      <c r="N290" s="17" t="s">
        <v>6043</v>
      </c>
      <c r="O290" s="17" t="s">
        <v>6100</v>
      </c>
      <c r="P290" s="17" t="s">
        <v>6101</v>
      </c>
      <c r="Q290" s="17"/>
      <c r="R290" s="25" t="str">
        <f>HYPERLINK("https://ictv.global/taxonomy/taxondetails?taxnode_id=202300525","Kuttervirus Det7")</f>
        <v>Kuttervirus Det7</v>
      </c>
      <c r="S290" s="18" t="s">
        <v>30</v>
      </c>
      <c r="T290" s="18" t="s">
        <v>6114</v>
      </c>
      <c r="U290" s="18"/>
      <c r="V290" s="18"/>
      <c r="W290" s="18" t="s">
        <v>6115</v>
      </c>
      <c r="X290" s="18" t="s">
        <v>42</v>
      </c>
      <c r="Y290" s="18" t="s">
        <v>36</v>
      </c>
      <c r="Z290" s="18" t="s">
        <v>697</v>
      </c>
      <c r="AA290" s="21" t="str">
        <f>HYPERLINK("https://www.ncbi.nlm.nih.gov/nuccore/KP797973","NCBI Nucleotide")</f>
        <v>NCBI Nucleotide</v>
      </c>
    </row>
    <row r="291" spans="1:27" x14ac:dyDescent="0.35">
      <c r="A291">
        <v>1000284</v>
      </c>
      <c r="B291">
        <v>290</v>
      </c>
      <c r="C291">
        <v>1</v>
      </c>
      <c r="D291" s="17" t="s">
        <v>155</v>
      </c>
      <c r="E291" s="17"/>
      <c r="F291" s="17" t="s">
        <v>156</v>
      </c>
      <c r="G291" s="17"/>
      <c r="H291" s="17" t="s">
        <v>692</v>
      </c>
      <c r="I291" s="17"/>
      <c r="J291" s="17" t="s">
        <v>693</v>
      </c>
      <c r="K291" s="17"/>
      <c r="L291" s="17"/>
      <c r="M291" s="17"/>
      <c r="N291" s="17" t="s">
        <v>6043</v>
      </c>
      <c r="O291" s="17" t="s">
        <v>6100</v>
      </c>
      <c r="P291" s="17" t="s">
        <v>6101</v>
      </c>
      <c r="Q291" s="17"/>
      <c r="R291" s="25" t="str">
        <f>HYPERLINK("https://ictv.global/taxonomy/taxondetails?taxnode_id=202308854","Kuttervirus dinky")</f>
        <v>Kuttervirus dinky</v>
      </c>
      <c r="S291" s="18" t="s">
        <v>30</v>
      </c>
      <c r="T291" s="18" t="s">
        <v>6116</v>
      </c>
      <c r="U291" s="18"/>
      <c r="V291" s="18"/>
      <c r="W291" s="18" t="s">
        <v>6117</v>
      </c>
      <c r="X291" s="18" t="s">
        <v>42</v>
      </c>
      <c r="Y291" s="18" t="s">
        <v>36</v>
      </c>
      <c r="Z291" s="18" t="s">
        <v>697</v>
      </c>
      <c r="AA291" s="21" t="str">
        <f>HYPERLINK("https://www.ncbi.nlm.nih.gov/nuccore/MT074475","NCBI Nucleotide")</f>
        <v>NCBI Nucleotide</v>
      </c>
    </row>
    <row r="292" spans="1:27" x14ac:dyDescent="0.35">
      <c r="A292">
        <v>1000285</v>
      </c>
      <c r="B292">
        <v>291</v>
      </c>
      <c r="C292">
        <v>1</v>
      </c>
      <c r="D292" s="17" t="s">
        <v>155</v>
      </c>
      <c r="E292" s="17"/>
      <c r="F292" s="17" t="s">
        <v>156</v>
      </c>
      <c r="G292" s="17"/>
      <c r="H292" s="17" t="s">
        <v>692</v>
      </c>
      <c r="I292" s="17"/>
      <c r="J292" s="17" t="s">
        <v>693</v>
      </c>
      <c r="K292" s="17"/>
      <c r="L292" s="17"/>
      <c r="M292" s="17"/>
      <c r="N292" s="17" t="s">
        <v>6043</v>
      </c>
      <c r="O292" s="17" t="s">
        <v>6100</v>
      </c>
      <c r="P292" s="17" t="s">
        <v>6101</v>
      </c>
      <c r="Q292" s="17"/>
      <c r="R292" s="25" t="str">
        <f>HYPERLINK("https://ictv.global/taxonomy/taxondetails?taxnode_id=202300523","Kuttervirus ECML4")</f>
        <v>Kuttervirus ECML4</v>
      </c>
      <c r="S292" s="18" t="s">
        <v>30</v>
      </c>
      <c r="T292" s="18" t="s">
        <v>6118</v>
      </c>
      <c r="U292" s="18"/>
      <c r="V292" s="18"/>
      <c r="W292" s="18" t="s">
        <v>6119</v>
      </c>
      <c r="X292" s="18" t="s">
        <v>42</v>
      </c>
      <c r="Y292" s="18" t="s">
        <v>36</v>
      </c>
      <c r="Z292" s="18" t="s">
        <v>697</v>
      </c>
      <c r="AA292" s="21" t="str">
        <f>HYPERLINK("https://www.ncbi.nlm.nih.gov/nuccore/JX128257","NCBI Nucleotide")</f>
        <v>NCBI Nucleotide</v>
      </c>
    </row>
    <row r="293" spans="1:27" x14ac:dyDescent="0.35">
      <c r="A293">
        <v>1000286</v>
      </c>
      <c r="B293">
        <v>292</v>
      </c>
      <c r="C293">
        <v>1</v>
      </c>
      <c r="D293" s="17" t="s">
        <v>155</v>
      </c>
      <c r="E293" s="17"/>
      <c r="F293" s="17" t="s">
        <v>156</v>
      </c>
      <c r="G293" s="17"/>
      <c r="H293" s="17" t="s">
        <v>692</v>
      </c>
      <c r="I293" s="17"/>
      <c r="J293" s="17" t="s">
        <v>693</v>
      </c>
      <c r="K293" s="17"/>
      <c r="L293" s="17"/>
      <c r="M293" s="17"/>
      <c r="N293" s="17" t="s">
        <v>6043</v>
      </c>
      <c r="O293" s="17" t="s">
        <v>6100</v>
      </c>
      <c r="P293" s="17" t="s">
        <v>6101</v>
      </c>
      <c r="Q293" s="17"/>
      <c r="R293" s="25" t="str">
        <f>HYPERLINK("https://ictv.global/taxonomy/taxondetails?taxnode_id=202308868","Kuttervirus EP75")</f>
        <v>Kuttervirus EP75</v>
      </c>
      <c r="S293" s="18" t="s">
        <v>30</v>
      </c>
      <c r="T293" s="18" t="s">
        <v>6120</v>
      </c>
      <c r="U293" s="18"/>
      <c r="V293" s="18"/>
      <c r="W293" s="18" t="s">
        <v>6121</v>
      </c>
      <c r="X293" s="18" t="s">
        <v>42</v>
      </c>
      <c r="Y293" s="18" t="s">
        <v>36</v>
      </c>
      <c r="Z293" s="18" t="s">
        <v>697</v>
      </c>
      <c r="AA293" s="21" t="str">
        <f>HYPERLINK("https://www.ncbi.nlm.nih.gov/nuccore/MG748547","NCBI Nucleotide")</f>
        <v>NCBI Nucleotide</v>
      </c>
    </row>
    <row r="294" spans="1:27" x14ac:dyDescent="0.35">
      <c r="A294">
        <v>1000287</v>
      </c>
      <c r="B294">
        <v>293</v>
      </c>
      <c r="C294">
        <v>1</v>
      </c>
      <c r="D294" s="17" t="s">
        <v>155</v>
      </c>
      <c r="E294" s="17"/>
      <c r="F294" s="17" t="s">
        <v>156</v>
      </c>
      <c r="G294" s="17"/>
      <c r="H294" s="17" t="s">
        <v>692</v>
      </c>
      <c r="I294" s="17"/>
      <c r="J294" s="17" t="s">
        <v>693</v>
      </c>
      <c r="K294" s="17"/>
      <c r="L294" s="17"/>
      <c r="M294" s="17"/>
      <c r="N294" s="17" t="s">
        <v>6043</v>
      </c>
      <c r="O294" s="17" t="s">
        <v>6100</v>
      </c>
      <c r="P294" s="17" t="s">
        <v>6101</v>
      </c>
      <c r="Q294" s="17"/>
      <c r="R294" s="25" t="str">
        <f>HYPERLINK("https://ictv.global/taxonomy/taxondetails?taxnode_id=202308862","Kuttervirus FEC14")</f>
        <v>Kuttervirus FEC14</v>
      </c>
      <c r="S294" s="18" t="s">
        <v>30</v>
      </c>
      <c r="T294" s="18" t="s">
        <v>6122</v>
      </c>
      <c r="U294" s="18"/>
      <c r="V294" s="18"/>
      <c r="W294" s="18" t="s">
        <v>6123</v>
      </c>
      <c r="X294" s="18" t="s">
        <v>42</v>
      </c>
      <c r="Y294" s="18" t="s">
        <v>36</v>
      </c>
      <c r="Z294" s="18" t="s">
        <v>697</v>
      </c>
      <c r="AA294" s="21" t="str">
        <f>HYPERLINK("https://www.ncbi.nlm.nih.gov/nuccore/MG383452","NCBI Nucleotide")</f>
        <v>NCBI Nucleotide</v>
      </c>
    </row>
    <row r="295" spans="1:27" x14ac:dyDescent="0.35">
      <c r="A295">
        <v>1000288</v>
      </c>
      <c r="B295">
        <v>294</v>
      </c>
      <c r="C295">
        <v>1</v>
      </c>
      <c r="D295" s="17" t="s">
        <v>155</v>
      </c>
      <c r="E295" s="17"/>
      <c r="F295" s="17" t="s">
        <v>156</v>
      </c>
      <c r="G295" s="17"/>
      <c r="H295" s="17" t="s">
        <v>692</v>
      </c>
      <c r="I295" s="17"/>
      <c r="J295" s="17" t="s">
        <v>693</v>
      </c>
      <c r="K295" s="17"/>
      <c r="L295" s="17"/>
      <c r="M295" s="17"/>
      <c r="N295" s="17" t="s">
        <v>6043</v>
      </c>
      <c r="O295" s="17" t="s">
        <v>6100</v>
      </c>
      <c r="P295" s="17" t="s">
        <v>6101</v>
      </c>
      <c r="Q295" s="17"/>
      <c r="R295" s="25" t="str">
        <f>HYPERLINK("https://ictv.global/taxonomy/taxondetails?taxnode_id=202305471","Kuttervirus GG32")</f>
        <v>Kuttervirus GG32</v>
      </c>
      <c r="S295" s="18" t="s">
        <v>30</v>
      </c>
      <c r="T295" s="18" t="s">
        <v>6124</v>
      </c>
      <c r="U295" s="18"/>
      <c r="V295" s="18"/>
      <c r="W295" s="18" t="s">
        <v>6125</v>
      </c>
      <c r="X295" s="18" t="s">
        <v>42</v>
      </c>
      <c r="Y295" s="18" t="s">
        <v>36</v>
      </c>
      <c r="Z295" s="18" t="s">
        <v>697</v>
      </c>
      <c r="AA295" s="21" t="str">
        <f>HYPERLINK("https://www.ncbi.nlm.nih.gov/nuccore/KX245012","NCBI Nucleotide")</f>
        <v>NCBI Nucleotide</v>
      </c>
    </row>
    <row r="296" spans="1:27" x14ac:dyDescent="0.35">
      <c r="A296">
        <v>1000289</v>
      </c>
      <c r="B296">
        <v>295</v>
      </c>
      <c r="C296">
        <v>1</v>
      </c>
      <c r="D296" s="17" t="s">
        <v>155</v>
      </c>
      <c r="E296" s="17"/>
      <c r="F296" s="17" t="s">
        <v>156</v>
      </c>
      <c r="G296" s="17"/>
      <c r="H296" s="17" t="s">
        <v>692</v>
      </c>
      <c r="I296" s="17"/>
      <c r="J296" s="17" t="s">
        <v>693</v>
      </c>
      <c r="K296" s="17"/>
      <c r="L296" s="17"/>
      <c r="M296" s="17"/>
      <c r="N296" s="17" t="s">
        <v>6043</v>
      </c>
      <c r="O296" s="17" t="s">
        <v>6100</v>
      </c>
      <c r="P296" s="17" t="s">
        <v>6101</v>
      </c>
      <c r="Q296" s="17"/>
      <c r="R296" s="25" t="str">
        <f>HYPERLINK("https://ictv.global/taxonomy/taxondetails?taxnode_id=202308849","Kuttervirus heyday")</f>
        <v>Kuttervirus heyday</v>
      </c>
      <c r="S296" s="18" t="s">
        <v>30</v>
      </c>
      <c r="T296" s="18" t="s">
        <v>6126</v>
      </c>
      <c r="U296" s="18"/>
      <c r="V296" s="18"/>
      <c r="W296" s="18" t="s">
        <v>6127</v>
      </c>
      <c r="X296" s="18" t="s">
        <v>42</v>
      </c>
      <c r="Y296" s="18" t="s">
        <v>36</v>
      </c>
      <c r="Z296" s="18" t="s">
        <v>697</v>
      </c>
      <c r="AA296" s="21" t="str">
        <f>HYPERLINK("https://www.ncbi.nlm.nih.gov/nuccore/MT074470","NCBI Nucleotide")</f>
        <v>NCBI Nucleotide</v>
      </c>
    </row>
    <row r="297" spans="1:27" x14ac:dyDescent="0.35">
      <c r="A297">
        <v>1000290</v>
      </c>
      <c r="B297">
        <v>296</v>
      </c>
      <c r="C297">
        <v>1</v>
      </c>
      <c r="D297" s="17" t="s">
        <v>155</v>
      </c>
      <c r="E297" s="17"/>
      <c r="F297" s="17" t="s">
        <v>156</v>
      </c>
      <c r="G297" s="17"/>
      <c r="H297" s="17" t="s">
        <v>692</v>
      </c>
      <c r="I297" s="17"/>
      <c r="J297" s="17" t="s">
        <v>693</v>
      </c>
      <c r="K297" s="17"/>
      <c r="L297" s="17"/>
      <c r="M297" s="17"/>
      <c r="N297" s="17" t="s">
        <v>6043</v>
      </c>
      <c r="O297" s="17" t="s">
        <v>6100</v>
      </c>
      <c r="P297" s="17" t="s">
        <v>6101</v>
      </c>
      <c r="Q297" s="17"/>
      <c r="R297" s="25" t="str">
        <f>HYPERLINK("https://ictv.global/taxonomy/taxondetails?taxnode_id=202305470","Kuttervirus kv38")</f>
        <v>Kuttervirus kv38</v>
      </c>
      <c r="S297" s="18" t="s">
        <v>30</v>
      </c>
      <c r="T297" s="18" t="s">
        <v>6128</v>
      </c>
      <c r="U297" s="18"/>
      <c r="V297" s="18"/>
      <c r="W297" s="18" t="s">
        <v>6129</v>
      </c>
      <c r="X297" s="18" t="s">
        <v>42</v>
      </c>
      <c r="Y297" s="18" t="s">
        <v>36</v>
      </c>
      <c r="Z297" s="18" t="s">
        <v>697</v>
      </c>
      <c r="AA297" s="21" t="str">
        <f>HYPERLINK("https://www.ncbi.nlm.nih.gov/nuccore/KR296692","NCBI Nucleotide")</f>
        <v>NCBI Nucleotide</v>
      </c>
    </row>
    <row r="298" spans="1:27" x14ac:dyDescent="0.35">
      <c r="A298">
        <v>1000291</v>
      </c>
      <c r="B298">
        <v>297</v>
      </c>
      <c r="C298">
        <v>1</v>
      </c>
      <c r="D298" s="17" t="s">
        <v>155</v>
      </c>
      <c r="E298" s="17"/>
      <c r="F298" s="17" t="s">
        <v>156</v>
      </c>
      <c r="G298" s="17"/>
      <c r="H298" s="17" t="s">
        <v>692</v>
      </c>
      <c r="I298" s="17"/>
      <c r="J298" s="17" t="s">
        <v>693</v>
      </c>
      <c r="K298" s="17"/>
      <c r="L298" s="17"/>
      <c r="M298" s="17"/>
      <c r="N298" s="17" t="s">
        <v>6043</v>
      </c>
      <c r="O298" s="17" t="s">
        <v>6100</v>
      </c>
      <c r="P298" s="17" t="s">
        <v>6101</v>
      </c>
      <c r="Q298" s="17"/>
      <c r="R298" s="25" t="str">
        <f>HYPERLINK("https://ictv.global/taxonomy/taxondetails?taxnode_id=202308847","Kuttervirus maane")</f>
        <v>Kuttervirus maane</v>
      </c>
      <c r="S298" s="18" t="s">
        <v>30</v>
      </c>
      <c r="T298" s="18" t="s">
        <v>6130</v>
      </c>
      <c r="U298" s="18"/>
      <c r="V298" s="18"/>
      <c r="W298" s="18" t="s">
        <v>6131</v>
      </c>
      <c r="X298" s="18" t="s">
        <v>42</v>
      </c>
      <c r="Y298" s="18" t="s">
        <v>36</v>
      </c>
      <c r="Z298" s="18" t="s">
        <v>697</v>
      </c>
      <c r="AA298" s="21" t="str">
        <f>HYPERLINK("https://www.ncbi.nlm.nih.gov/nuccore/MT074480","NCBI Nucleotide")</f>
        <v>NCBI Nucleotide</v>
      </c>
    </row>
    <row r="299" spans="1:27" x14ac:dyDescent="0.35">
      <c r="A299">
        <v>1000292</v>
      </c>
      <c r="B299">
        <v>298</v>
      </c>
      <c r="C299">
        <v>1</v>
      </c>
      <c r="D299" s="17" t="s">
        <v>155</v>
      </c>
      <c r="E299" s="17"/>
      <c r="F299" s="17" t="s">
        <v>156</v>
      </c>
      <c r="G299" s="17"/>
      <c r="H299" s="17" t="s">
        <v>692</v>
      </c>
      <c r="I299" s="17"/>
      <c r="J299" s="17" t="s">
        <v>693</v>
      </c>
      <c r="K299" s="17"/>
      <c r="L299" s="17"/>
      <c r="M299" s="17"/>
      <c r="N299" s="17" t="s">
        <v>6043</v>
      </c>
      <c r="O299" s="17" t="s">
        <v>6100</v>
      </c>
      <c r="P299" s="17" t="s">
        <v>6101</v>
      </c>
      <c r="Q299" s="17"/>
      <c r="R299" s="25" t="str">
        <f>HYPERLINK("https://ictv.global/taxonomy/taxondetails?taxnode_id=202300526","Kuttervirus marshall")</f>
        <v>Kuttervirus marshall</v>
      </c>
      <c r="S299" s="18" t="s">
        <v>30</v>
      </c>
      <c r="T299" s="18" t="s">
        <v>6132</v>
      </c>
      <c r="U299" s="18"/>
      <c r="V299" s="18"/>
      <c r="W299" s="18" t="s">
        <v>6133</v>
      </c>
      <c r="X299" s="18" t="s">
        <v>42</v>
      </c>
      <c r="Y299" s="18" t="s">
        <v>36</v>
      </c>
      <c r="Z299" s="18" t="s">
        <v>697</v>
      </c>
      <c r="AA299" s="21" t="str">
        <f>HYPERLINK("https://www.ncbi.nlm.nih.gov/nuccore/KF669653","NCBI Nucleotide")</f>
        <v>NCBI Nucleotide</v>
      </c>
    </row>
    <row r="300" spans="1:27" x14ac:dyDescent="0.35">
      <c r="A300">
        <v>1000293</v>
      </c>
      <c r="B300">
        <v>299</v>
      </c>
      <c r="C300">
        <v>1</v>
      </c>
      <c r="D300" s="17" t="s">
        <v>155</v>
      </c>
      <c r="E300" s="17"/>
      <c r="F300" s="17" t="s">
        <v>156</v>
      </c>
      <c r="G300" s="17"/>
      <c r="H300" s="17" t="s">
        <v>692</v>
      </c>
      <c r="I300" s="17"/>
      <c r="J300" s="17" t="s">
        <v>693</v>
      </c>
      <c r="K300" s="17"/>
      <c r="L300" s="17"/>
      <c r="M300" s="17"/>
      <c r="N300" s="17" t="s">
        <v>6043</v>
      </c>
      <c r="O300" s="17" t="s">
        <v>6100</v>
      </c>
      <c r="P300" s="17" t="s">
        <v>6101</v>
      </c>
      <c r="Q300" s="17"/>
      <c r="R300" s="25" t="str">
        <f>HYPERLINK("https://ictv.global/taxonomy/taxondetails?taxnode_id=202300527","Kuttervirus maynard")</f>
        <v>Kuttervirus maynard</v>
      </c>
      <c r="S300" s="18" t="s">
        <v>30</v>
      </c>
      <c r="T300" s="18" t="s">
        <v>6134</v>
      </c>
      <c r="U300" s="18"/>
      <c r="V300" s="18"/>
      <c r="W300" s="18" t="s">
        <v>6135</v>
      </c>
      <c r="X300" s="18" t="s">
        <v>42</v>
      </c>
      <c r="Y300" s="18" t="s">
        <v>36</v>
      </c>
      <c r="Z300" s="18" t="s">
        <v>697</v>
      </c>
      <c r="AA300" s="21" t="str">
        <f>HYPERLINK("https://www.ncbi.nlm.nih.gov/nuccore/KF669654","NCBI Nucleotide")</f>
        <v>NCBI Nucleotide</v>
      </c>
    </row>
    <row r="301" spans="1:27" x14ac:dyDescent="0.35">
      <c r="A301">
        <v>1000294</v>
      </c>
      <c r="B301">
        <v>300</v>
      </c>
      <c r="C301">
        <v>1</v>
      </c>
      <c r="D301" s="17" t="s">
        <v>155</v>
      </c>
      <c r="E301" s="17"/>
      <c r="F301" s="17" t="s">
        <v>156</v>
      </c>
      <c r="G301" s="17"/>
      <c r="H301" s="17" t="s">
        <v>692</v>
      </c>
      <c r="I301" s="17"/>
      <c r="J301" s="17" t="s">
        <v>693</v>
      </c>
      <c r="K301" s="17"/>
      <c r="L301" s="17"/>
      <c r="M301" s="17"/>
      <c r="N301" s="17" t="s">
        <v>6043</v>
      </c>
      <c r="O301" s="17" t="s">
        <v>6100</v>
      </c>
      <c r="P301" s="17" t="s">
        <v>6101</v>
      </c>
      <c r="Q301" s="17"/>
      <c r="R301" s="25" t="str">
        <f>HYPERLINK("https://ictv.global/taxonomy/taxondetails?taxnode_id=202308859","Kuttervirus moki")</f>
        <v>Kuttervirus moki</v>
      </c>
      <c r="S301" s="18" t="s">
        <v>30</v>
      </c>
      <c r="T301" s="18" t="s">
        <v>6136</v>
      </c>
      <c r="U301" s="18"/>
      <c r="V301" s="18"/>
      <c r="W301" s="18" t="s">
        <v>6137</v>
      </c>
      <c r="X301" s="18" t="s">
        <v>42</v>
      </c>
      <c r="Y301" s="18" t="s">
        <v>36</v>
      </c>
      <c r="Z301" s="18" t="s">
        <v>697</v>
      </c>
      <c r="AA301" s="21" t="str">
        <f>HYPERLINK("https://www.ncbi.nlm.nih.gov/nuccore/MT074478","NCBI Nucleotide")</f>
        <v>NCBI Nucleotide</v>
      </c>
    </row>
    <row r="302" spans="1:27" x14ac:dyDescent="0.35">
      <c r="A302">
        <v>1000295</v>
      </c>
      <c r="B302">
        <v>301</v>
      </c>
      <c r="C302">
        <v>1</v>
      </c>
      <c r="D302" s="17" t="s">
        <v>155</v>
      </c>
      <c r="E302" s="17"/>
      <c r="F302" s="17" t="s">
        <v>156</v>
      </c>
      <c r="G302" s="17"/>
      <c r="H302" s="17" t="s">
        <v>692</v>
      </c>
      <c r="I302" s="17"/>
      <c r="J302" s="17" t="s">
        <v>693</v>
      </c>
      <c r="K302" s="17"/>
      <c r="L302" s="17"/>
      <c r="M302" s="17"/>
      <c r="N302" s="17" t="s">
        <v>6043</v>
      </c>
      <c r="O302" s="17" t="s">
        <v>6100</v>
      </c>
      <c r="P302" s="17" t="s">
        <v>6101</v>
      </c>
      <c r="Q302" s="17"/>
      <c r="R302" s="25" t="str">
        <f>HYPERLINK("https://ictv.global/taxonomy/taxondetails?taxnode_id=202308866","Kuttervirus mutine")</f>
        <v>Kuttervirus mutine</v>
      </c>
      <c r="S302" s="18" t="s">
        <v>30</v>
      </c>
      <c r="T302" s="18" t="s">
        <v>6138</v>
      </c>
      <c r="U302" s="18"/>
      <c r="V302" s="18"/>
      <c r="W302" s="18" t="s">
        <v>6139</v>
      </c>
      <c r="X302" s="18" t="s">
        <v>42</v>
      </c>
      <c r="Y302" s="18" t="s">
        <v>36</v>
      </c>
      <c r="Z302" s="18" t="s">
        <v>697</v>
      </c>
      <c r="AA302" s="21" t="str">
        <f>HYPERLINK("https://www.ncbi.nlm.nih.gov/nuccore/MG428992","NCBI Nucleotide")</f>
        <v>NCBI Nucleotide</v>
      </c>
    </row>
    <row r="303" spans="1:27" x14ac:dyDescent="0.35">
      <c r="A303">
        <v>1000296</v>
      </c>
      <c r="B303">
        <v>302</v>
      </c>
      <c r="C303">
        <v>1</v>
      </c>
      <c r="D303" s="17" t="s">
        <v>155</v>
      </c>
      <c r="E303" s="17"/>
      <c r="F303" s="17" t="s">
        <v>156</v>
      </c>
      <c r="G303" s="17"/>
      <c r="H303" s="17" t="s">
        <v>692</v>
      </c>
      <c r="I303" s="17"/>
      <c r="J303" s="17" t="s">
        <v>693</v>
      </c>
      <c r="K303" s="17"/>
      <c r="L303" s="17"/>
      <c r="M303" s="17"/>
      <c r="N303" s="17" t="s">
        <v>6043</v>
      </c>
      <c r="O303" s="17" t="s">
        <v>6100</v>
      </c>
      <c r="P303" s="17" t="s">
        <v>6101</v>
      </c>
      <c r="Q303" s="17"/>
      <c r="R303" s="25" t="str">
        <f>HYPERLINK("https://ictv.global/taxonomy/taxondetails?taxnode_id=202308846","Kuttervirus pertopsoe")</f>
        <v>Kuttervirus pertopsoe</v>
      </c>
      <c r="S303" s="18" t="s">
        <v>30</v>
      </c>
      <c r="T303" s="18" t="s">
        <v>6140</v>
      </c>
      <c r="U303" s="18"/>
      <c r="V303" s="18"/>
      <c r="W303" s="18" t="s">
        <v>6141</v>
      </c>
      <c r="X303" s="18" t="s">
        <v>42</v>
      </c>
      <c r="Y303" s="18" t="s">
        <v>36</v>
      </c>
      <c r="Z303" s="18" t="s">
        <v>697</v>
      </c>
      <c r="AA303" s="21" t="str">
        <f>HYPERLINK("https://www.ncbi.nlm.nih.gov/nuccore/MT074479","NCBI Nucleotide")</f>
        <v>NCBI Nucleotide</v>
      </c>
    </row>
    <row r="304" spans="1:27" x14ac:dyDescent="0.35">
      <c r="A304">
        <v>1000297</v>
      </c>
      <c r="B304">
        <v>303</v>
      </c>
      <c r="C304">
        <v>1</v>
      </c>
      <c r="D304" s="17" t="s">
        <v>155</v>
      </c>
      <c r="E304" s="17"/>
      <c r="F304" s="17" t="s">
        <v>156</v>
      </c>
      <c r="G304" s="17"/>
      <c r="H304" s="17" t="s">
        <v>692</v>
      </c>
      <c r="I304" s="17"/>
      <c r="J304" s="17" t="s">
        <v>693</v>
      </c>
      <c r="K304" s="17"/>
      <c r="L304" s="17"/>
      <c r="M304" s="17"/>
      <c r="N304" s="17" t="s">
        <v>6043</v>
      </c>
      <c r="O304" s="17" t="s">
        <v>6100</v>
      </c>
      <c r="P304" s="17" t="s">
        <v>6101</v>
      </c>
      <c r="Q304" s="17"/>
      <c r="R304" s="25" t="str">
        <f>HYPERLINK("https://ictv.global/taxonomy/taxondetails?taxnode_id=202300524","Kuttervirus PhaxI")</f>
        <v>Kuttervirus PhaxI</v>
      </c>
      <c r="S304" s="18" t="s">
        <v>30</v>
      </c>
      <c r="T304" s="18" t="s">
        <v>6142</v>
      </c>
      <c r="U304" s="18"/>
      <c r="V304" s="18"/>
      <c r="W304" s="18" t="s">
        <v>6143</v>
      </c>
      <c r="X304" s="18" t="s">
        <v>35</v>
      </c>
      <c r="Y304" s="18" t="s">
        <v>36</v>
      </c>
      <c r="Z304" s="18" t="s">
        <v>697</v>
      </c>
      <c r="AA304" s="21" t="str">
        <f>HYPERLINK("https://www.ncbi.nlm.nih.gov/nuccore/JN673056","NCBI Nucleotide")</f>
        <v>NCBI Nucleotide</v>
      </c>
    </row>
    <row r="305" spans="1:27" x14ac:dyDescent="0.35">
      <c r="A305">
        <v>1000298</v>
      </c>
      <c r="B305">
        <v>304</v>
      </c>
      <c r="C305">
        <v>1</v>
      </c>
      <c r="D305" s="17" t="s">
        <v>155</v>
      </c>
      <c r="E305" s="17"/>
      <c r="F305" s="17" t="s">
        <v>156</v>
      </c>
      <c r="G305" s="17"/>
      <c r="H305" s="17" t="s">
        <v>692</v>
      </c>
      <c r="I305" s="17"/>
      <c r="J305" s="17" t="s">
        <v>693</v>
      </c>
      <c r="K305" s="17"/>
      <c r="L305" s="17"/>
      <c r="M305" s="17"/>
      <c r="N305" s="17" t="s">
        <v>6043</v>
      </c>
      <c r="O305" s="17" t="s">
        <v>6100</v>
      </c>
      <c r="P305" s="17" t="s">
        <v>6101</v>
      </c>
      <c r="Q305" s="17"/>
      <c r="R305" s="25" t="str">
        <f>HYPERLINK("https://ictv.global/taxonomy/taxondetails?taxnode_id=202305472","Kuttervirus PM10")</f>
        <v>Kuttervirus PM10</v>
      </c>
      <c r="S305" s="18" t="s">
        <v>30</v>
      </c>
      <c r="T305" s="18" t="s">
        <v>6144</v>
      </c>
      <c r="U305" s="18"/>
      <c r="V305" s="18"/>
      <c r="W305" s="18" t="s">
        <v>6145</v>
      </c>
      <c r="X305" s="18" t="s">
        <v>42</v>
      </c>
      <c r="Y305" s="18" t="s">
        <v>36</v>
      </c>
      <c r="Z305" s="18" t="s">
        <v>697</v>
      </c>
      <c r="AA305" s="21" t="str">
        <f>HYPERLINK("https://www.ncbi.nlm.nih.gov/nuccore/KX438380","NCBI Nucleotide")</f>
        <v>NCBI Nucleotide</v>
      </c>
    </row>
    <row r="306" spans="1:27" x14ac:dyDescent="0.35">
      <c r="A306">
        <v>1000299</v>
      </c>
      <c r="B306">
        <v>305</v>
      </c>
      <c r="C306">
        <v>1</v>
      </c>
      <c r="D306" s="17" t="s">
        <v>155</v>
      </c>
      <c r="E306" s="17"/>
      <c r="F306" s="17" t="s">
        <v>156</v>
      </c>
      <c r="G306" s="17"/>
      <c r="H306" s="17" t="s">
        <v>692</v>
      </c>
      <c r="I306" s="17"/>
      <c r="J306" s="17" t="s">
        <v>693</v>
      </c>
      <c r="K306" s="17"/>
      <c r="L306" s="17"/>
      <c r="M306" s="17"/>
      <c r="N306" s="17" t="s">
        <v>6043</v>
      </c>
      <c r="O306" s="17" t="s">
        <v>6100</v>
      </c>
      <c r="P306" s="17" t="s">
        <v>6101</v>
      </c>
      <c r="Q306" s="17"/>
      <c r="R306" s="25" t="str">
        <f>HYPERLINK("https://ictv.global/taxonomy/taxondetails?taxnode_id=202308848","Kuttervirus rabagast")</f>
        <v>Kuttervirus rabagast</v>
      </c>
      <c r="S306" s="18" t="s">
        <v>30</v>
      </c>
      <c r="T306" s="18" t="s">
        <v>6146</v>
      </c>
      <c r="U306" s="18"/>
      <c r="V306" s="18"/>
      <c r="W306" s="18" t="s">
        <v>6147</v>
      </c>
      <c r="X306" s="18" t="s">
        <v>42</v>
      </c>
      <c r="Y306" s="18" t="s">
        <v>36</v>
      </c>
      <c r="Z306" s="18" t="s">
        <v>697</v>
      </c>
      <c r="AA306" s="21" t="str">
        <f>HYPERLINK("https://www.ncbi.nlm.nih.gov/nuccore/MT074469","NCBI Nucleotide")</f>
        <v>NCBI Nucleotide</v>
      </c>
    </row>
    <row r="307" spans="1:27" x14ac:dyDescent="0.35">
      <c r="A307">
        <v>1000300</v>
      </c>
      <c r="B307">
        <v>306</v>
      </c>
      <c r="C307">
        <v>1</v>
      </c>
      <c r="D307" s="17" t="s">
        <v>155</v>
      </c>
      <c r="E307" s="17"/>
      <c r="F307" s="17" t="s">
        <v>156</v>
      </c>
      <c r="G307" s="17"/>
      <c r="H307" s="17" t="s">
        <v>692</v>
      </c>
      <c r="I307" s="17"/>
      <c r="J307" s="17" t="s">
        <v>693</v>
      </c>
      <c r="K307" s="17"/>
      <c r="L307" s="17"/>
      <c r="M307" s="17"/>
      <c r="N307" s="17" t="s">
        <v>6043</v>
      </c>
      <c r="O307" s="17" t="s">
        <v>6100</v>
      </c>
      <c r="P307" s="17" t="s">
        <v>6101</v>
      </c>
      <c r="Q307" s="17"/>
      <c r="R307" s="25" t="str">
        <f>HYPERLINK("https://ictv.global/taxonomy/taxondetails?taxnode_id=202308863","Kuttervirus S118")</f>
        <v>Kuttervirus S118</v>
      </c>
      <c r="S307" s="18" t="s">
        <v>30</v>
      </c>
      <c r="T307" s="18" t="s">
        <v>6148</v>
      </c>
      <c r="U307" s="18"/>
      <c r="V307" s="18"/>
      <c r="W307" s="18" t="s">
        <v>6149</v>
      </c>
      <c r="X307" s="18" t="s">
        <v>42</v>
      </c>
      <c r="Y307" s="18" t="s">
        <v>36</v>
      </c>
      <c r="Z307" s="18" t="s">
        <v>697</v>
      </c>
      <c r="AA307" s="21" t="str">
        <f>HYPERLINK("https://www.ncbi.nlm.nih.gov/nuccore/MH370371","NCBI Nucleotide")</f>
        <v>NCBI Nucleotide</v>
      </c>
    </row>
    <row r="308" spans="1:27" x14ac:dyDescent="0.35">
      <c r="A308">
        <v>1000301</v>
      </c>
      <c r="B308">
        <v>307</v>
      </c>
      <c r="C308">
        <v>1</v>
      </c>
      <c r="D308" s="17" t="s">
        <v>155</v>
      </c>
      <c r="E308" s="17"/>
      <c r="F308" s="17" t="s">
        <v>156</v>
      </c>
      <c r="G308" s="17"/>
      <c r="H308" s="17" t="s">
        <v>692</v>
      </c>
      <c r="I308" s="17"/>
      <c r="J308" s="17" t="s">
        <v>693</v>
      </c>
      <c r="K308" s="17"/>
      <c r="L308" s="17"/>
      <c r="M308" s="17"/>
      <c r="N308" s="17" t="s">
        <v>6043</v>
      </c>
      <c r="O308" s="17" t="s">
        <v>6100</v>
      </c>
      <c r="P308" s="17" t="s">
        <v>6101</v>
      </c>
      <c r="Q308" s="17"/>
      <c r="R308" s="25" t="str">
        <f>HYPERLINK("https://ictv.global/taxonomy/taxondetails?taxnode_id=202308851","Kuttervirus SE14")</f>
        <v>Kuttervirus SE14</v>
      </c>
      <c r="S308" s="18" t="s">
        <v>30</v>
      </c>
      <c r="T308" s="18" t="s">
        <v>6150</v>
      </c>
      <c r="U308" s="18"/>
      <c r="V308" s="18"/>
      <c r="W308" s="18" t="s">
        <v>6151</v>
      </c>
      <c r="X308" s="18" t="s">
        <v>42</v>
      </c>
      <c r="Y308" s="18" t="s">
        <v>36</v>
      </c>
      <c r="Z308" s="18" t="s">
        <v>697</v>
      </c>
      <c r="AA308" s="21" t="str">
        <f>HYPERLINK("https://www.ncbi.nlm.nih.gov/nuccore/MK972690","NCBI Nucleotide")</f>
        <v>NCBI Nucleotide</v>
      </c>
    </row>
    <row r="309" spans="1:27" x14ac:dyDescent="0.35">
      <c r="A309">
        <v>1000302</v>
      </c>
      <c r="B309">
        <v>308</v>
      </c>
      <c r="C309">
        <v>1</v>
      </c>
      <c r="D309" s="17" t="s">
        <v>155</v>
      </c>
      <c r="E309" s="17"/>
      <c r="F309" s="17" t="s">
        <v>156</v>
      </c>
      <c r="G309" s="17"/>
      <c r="H309" s="17" t="s">
        <v>692</v>
      </c>
      <c r="I309" s="17"/>
      <c r="J309" s="17" t="s">
        <v>693</v>
      </c>
      <c r="K309" s="17"/>
      <c r="L309" s="17"/>
      <c r="M309" s="17"/>
      <c r="N309" s="17" t="s">
        <v>6043</v>
      </c>
      <c r="O309" s="17" t="s">
        <v>6100</v>
      </c>
      <c r="P309" s="17" t="s">
        <v>6101</v>
      </c>
      <c r="Q309" s="17"/>
      <c r="R309" s="25" t="str">
        <f>HYPERLINK("https://ictv.global/taxonomy/taxondetails?taxnode_id=202308858","Kuttervirus SeB")</f>
        <v>Kuttervirus SeB</v>
      </c>
      <c r="S309" s="18" t="s">
        <v>30</v>
      </c>
      <c r="T309" s="18" t="s">
        <v>6152</v>
      </c>
      <c r="U309" s="18"/>
      <c r="V309" s="18"/>
      <c r="W309" s="18" t="s">
        <v>6153</v>
      </c>
      <c r="X309" s="18" t="s">
        <v>42</v>
      </c>
      <c r="Y309" s="18" t="s">
        <v>36</v>
      </c>
      <c r="Z309" s="18" t="s">
        <v>697</v>
      </c>
      <c r="AA309" s="21" t="str">
        <f>HYPERLINK("https://www.ncbi.nlm.nih.gov/nuccore/MN871491","NCBI Nucleotide")</f>
        <v>NCBI Nucleotide</v>
      </c>
    </row>
    <row r="310" spans="1:27" x14ac:dyDescent="0.35">
      <c r="A310">
        <v>1000303</v>
      </c>
      <c r="B310">
        <v>309</v>
      </c>
      <c r="C310">
        <v>1</v>
      </c>
      <c r="D310" s="17" t="s">
        <v>155</v>
      </c>
      <c r="E310" s="17"/>
      <c r="F310" s="17" t="s">
        <v>156</v>
      </c>
      <c r="G310" s="17"/>
      <c r="H310" s="17" t="s">
        <v>692</v>
      </c>
      <c r="I310" s="17"/>
      <c r="J310" s="17" t="s">
        <v>693</v>
      </c>
      <c r="K310" s="17"/>
      <c r="L310" s="17"/>
      <c r="M310" s="17"/>
      <c r="N310" s="17" t="s">
        <v>6043</v>
      </c>
      <c r="O310" s="17" t="s">
        <v>6100</v>
      </c>
      <c r="P310" s="17" t="s">
        <v>6101</v>
      </c>
      <c r="Q310" s="17"/>
      <c r="R310" s="25" t="str">
        <f>HYPERLINK("https://ictv.global/taxonomy/taxondetails?taxnode_id=202308852","Kuttervirus SeG")</f>
        <v>Kuttervirus SeG</v>
      </c>
      <c r="S310" s="18" t="s">
        <v>30</v>
      </c>
      <c r="T310" s="18" t="s">
        <v>6154</v>
      </c>
      <c r="U310" s="18"/>
      <c r="V310" s="18"/>
      <c r="W310" s="18" t="s">
        <v>6155</v>
      </c>
      <c r="X310" s="18" t="s">
        <v>42</v>
      </c>
      <c r="Y310" s="18" t="s">
        <v>36</v>
      </c>
      <c r="Z310" s="18" t="s">
        <v>697</v>
      </c>
      <c r="AA310" s="21" t="str">
        <f>HYPERLINK("https://www.ncbi.nlm.nih.gov/nuccore/MN871495","NCBI Nucleotide")</f>
        <v>NCBI Nucleotide</v>
      </c>
    </row>
    <row r="311" spans="1:27" x14ac:dyDescent="0.35">
      <c r="A311">
        <v>1000304</v>
      </c>
      <c r="B311">
        <v>310</v>
      </c>
      <c r="C311">
        <v>1</v>
      </c>
      <c r="D311" s="17" t="s">
        <v>155</v>
      </c>
      <c r="E311" s="17"/>
      <c r="F311" s="17" t="s">
        <v>156</v>
      </c>
      <c r="G311" s="17"/>
      <c r="H311" s="17" t="s">
        <v>692</v>
      </c>
      <c r="I311" s="17"/>
      <c r="J311" s="17" t="s">
        <v>693</v>
      </c>
      <c r="K311" s="17"/>
      <c r="L311" s="17"/>
      <c r="M311" s="17"/>
      <c r="N311" s="17" t="s">
        <v>6043</v>
      </c>
      <c r="O311" s="17" t="s">
        <v>6100</v>
      </c>
      <c r="P311" s="17" t="s">
        <v>6101</v>
      </c>
      <c r="Q311" s="17"/>
      <c r="R311" s="25" t="str">
        <f>HYPERLINK("https://ictv.global/taxonomy/taxondetails?taxnode_id=202308864","Kuttervirus SeJ")</f>
        <v>Kuttervirus SeJ</v>
      </c>
      <c r="S311" s="18" t="s">
        <v>30</v>
      </c>
      <c r="T311" s="18" t="s">
        <v>6156</v>
      </c>
      <c r="U311" s="18"/>
      <c r="V311" s="18"/>
      <c r="W311" s="18" t="s">
        <v>6157</v>
      </c>
      <c r="X311" s="18" t="s">
        <v>42</v>
      </c>
      <c r="Y311" s="18" t="s">
        <v>36</v>
      </c>
      <c r="Z311" s="18" t="s">
        <v>697</v>
      </c>
      <c r="AA311" s="21" t="str">
        <f>HYPERLINK("https://www.ncbi.nlm.nih.gov/nuccore/MN871498","NCBI Nucleotide")</f>
        <v>NCBI Nucleotide</v>
      </c>
    </row>
    <row r="312" spans="1:27" x14ac:dyDescent="0.35">
      <c r="A312">
        <v>1000305</v>
      </c>
      <c r="B312">
        <v>311</v>
      </c>
      <c r="C312">
        <v>1</v>
      </c>
      <c r="D312" s="17" t="s">
        <v>155</v>
      </c>
      <c r="E312" s="17"/>
      <c r="F312" s="17" t="s">
        <v>156</v>
      </c>
      <c r="G312" s="17"/>
      <c r="H312" s="17" t="s">
        <v>692</v>
      </c>
      <c r="I312" s="17"/>
      <c r="J312" s="17" t="s">
        <v>693</v>
      </c>
      <c r="K312" s="17"/>
      <c r="L312" s="17"/>
      <c r="M312" s="17"/>
      <c r="N312" s="17" t="s">
        <v>6043</v>
      </c>
      <c r="O312" s="17" t="s">
        <v>6100</v>
      </c>
      <c r="P312" s="17" t="s">
        <v>6101</v>
      </c>
      <c r="Q312" s="17"/>
      <c r="R312" s="25" t="str">
        <f>HYPERLINK("https://ictv.global/taxonomy/taxondetails?taxnode_id=202308853","Kuttervirus SenALZ1")</f>
        <v>Kuttervirus SenALZ1</v>
      </c>
      <c r="S312" s="18" t="s">
        <v>30</v>
      </c>
      <c r="T312" s="18" t="s">
        <v>6158</v>
      </c>
      <c r="U312" s="18"/>
      <c r="V312" s="18"/>
      <c r="W312" s="18" t="s">
        <v>6159</v>
      </c>
      <c r="X312" s="18" t="s">
        <v>42</v>
      </c>
      <c r="Y312" s="18" t="s">
        <v>36</v>
      </c>
      <c r="Z312" s="18" t="s">
        <v>697</v>
      </c>
      <c r="AA312" s="21" t="str">
        <f>HYPERLINK("https://www.ncbi.nlm.nih.gov/nuccore/MH709121","NCBI Nucleotide")</f>
        <v>NCBI Nucleotide</v>
      </c>
    </row>
    <row r="313" spans="1:27" x14ac:dyDescent="0.35">
      <c r="A313">
        <v>1000306</v>
      </c>
      <c r="B313">
        <v>312</v>
      </c>
      <c r="C313">
        <v>1</v>
      </c>
      <c r="D313" s="17" t="s">
        <v>155</v>
      </c>
      <c r="E313" s="17"/>
      <c r="F313" s="17" t="s">
        <v>156</v>
      </c>
      <c r="G313" s="17"/>
      <c r="H313" s="17" t="s">
        <v>692</v>
      </c>
      <c r="I313" s="17"/>
      <c r="J313" s="17" t="s">
        <v>693</v>
      </c>
      <c r="K313" s="17"/>
      <c r="L313" s="17"/>
      <c r="M313" s="17"/>
      <c r="N313" s="17" t="s">
        <v>6043</v>
      </c>
      <c r="O313" s="17" t="s">
        <v>6100</v>
      </c>
      <c r="P313" s="17" t="s">
        <v>6101</v>
      </c>
      <c r="Q313" s="17"/>
      <c r="R313" s="25" t="str">
        <f>HYPERLINK("https://ictv.global/taxonomy/taxondetails?taxnode_id=202308850","Kuttervirus SenASZ3")</f>
        <v>Kuttervirus SenASZ3</v>
      </c>
      <c r="S313" s="18" t="s">
        <v>30</v>
      </c>
      <c r="T313" s="18" t="s">
        <v>6160</v>
      </c>
      <c r="U313" s="18"/>
      <c r="V313" s="18"/>
      <c r="W313" s="18" t="s">
        <v>6161</v>
      </c>
      <c r="X313" s="18" t="s">
        <v>42</v>
      </c>
      <c r="Y313" s="18" t="s">
        <v>36</v>
      </c>
      <c r="Z313" s="18" t="s">
        <v>697</v>
      </c>
      <c r="AA313" s="21" t="str">
        <f>HYPERLINK("https://www.ncbi.nlm.nih.gov/nuccore/MH709120","NCBI Nucleotide")</f>
        <v>NCBI Nucleotide</v>
      </c>
    </row>
    <row r="314" spans="1:27" x14ac:dyDescent="0.35">
      <c r="A314">
        <v>1000307</v>
      </c>
      <c r="B314">
        <v>313</v>
      </c>
      <c r="C314">
        <v>1</v>
      </c>
      <c r="D314" s="17" t="s">
        <v>155</v>
      </c>
      <c r="E314" s="17"/>
      <c r="F314" s="17" t="s">
        <v>156</v>
      </c>
      <c r="G314" s="17"/>
      <c r="H314" s="17" t="s">
        <v>692</v>
      </c>
      <c r="I314" s="17"/>
      <c r="J314" s="17" t="s">
        <v>693</v>
      </c>
      <c r="K314" s="17"/>
      <c r="L314" s="17"/>
      <c r="M314" s="17"/>
      <c r="N314" s="17" t="s">
        <v>6043</v>
      </c>
      <c r="O314" s="17" t="s">
        <v>6100</v>
      </c>
      <c r="P314" s="17" t="s">
        <v>6101</v>
      </c>
      <c r="Q314" s="17"/>
      <c r="R314" s="25" t="str">
        <f>HYPERLINK("https://ictv.global/taxonomy/taxondetails?taxnode_id=202308856","Kuttervirus SeSz1")</f>
        <v>Kuttervirus SeSz1</v>
      </c>
      <c r="S314" s="18" t="s">
        <v>30</v>
      </c>
      <c r="T314" s="18" t="s">
        <v>6162</v>
      </c>
      <c r="U314" s="18"/>
      <c r="V314" s="18"/>
      <c r="W314" s="18" t="s">
        <v>6163</v>
      </c>
      <c r="X314" s="18" t="s">
        <v>42</v>
      </c>
      <c r="Y314" s="18" t="s">
        <v>36</v>
      </c>
      <c r="Z314" s="18" t="s">
        <v>697</v>
      </c>
      <c r="AA314" s="21" t="str">
        <f>HYPERLINK("https://www.ncbi.nlm.nih.gov/nuccore/MH791405","NCBI Nucleotide")</f>
        <v>NCBI Nucleotide</v>
      </c>
    </row>
    <row r="315" spans="1:27" x14ac:dyDescent="0.35">
      <c r="A315">
        <v>1000308</v>
      </c>
      <c r="B315">
        <v>314</v>
      </c>
      <c r="C315">
        <v>1</v>
      </c>
      <c r="D315" s="17" t="s">
        <v>155</v>
      </c>
      <c r="E315" s="17"/>
      <c r="F315" s="17" t="s">
        <v>156</v>
      </c>
      <c r="G315" s="17"/>
      <c r="H315" s="17" t="s">
        <v>692</v>
      </c>
      <c r="I315" s="17"/>
      <c r="J315" s="17" t="s">
        <v>693</v>
      </c>
      <c r="K315" s="17"/>
      <c r="L315" s="17"/>
      <c r="M315" s="17"/>
      <c r="N315" s="17" t="s">
        <v>6043</v>
      </c>
      <c r="O315" s="17" t="s">
        <v>6100</v>
      </c>
      <c r="P315" s="17" t="s">
        <v>6101</v>
      </c>
      <c r="Q315" s="17"/>
      <c r="R315" s="25" t="str">
        <f>HYPERLINK("https://ictv.global/taxonomy/taxondetails?taxnode_id=202300528","Kuttervirus SFP10")</f>
        <v>Kuttervirus SFP10</v>
      </c>
      <c r="S315" s="18" t="s">
        <v>30</v>
      </c>
      <c r="T315" s="18" t="s">
        <v>6164</v>
      </c>
      <c r="U315" s="18"/>
      <c r="V315" s="18"/>
      <c r="W315" s="18" t="s">
        <v>6165</v>
      </c>
      <c r="X315" s="18" t="s">
        <v>42</v>
      </c>
      <c r="Y315" s="18" t="s">
        <v>36</v>
      </c>
      <c r="Z315" s="18" t="s">
        <v>697</v>
      </c>
      <c r="AA315" s="21" t="str">
        <f>HYPERLINK("https://www.ncbi.nlm.nih.gov/nuccore/HQ259103","NCBI Nucleotide")</f>
        <v>NCBI Nucleotide</v>
      </c>
    </row>
    <row r="316" spans="1:27" x14ac:dyDescent="0.35">
      <c r="A316">
        <v>1000309</v>
      </c>
      <c r="B316">
        <v>315</v>
      </c>
      <c r="C316">
        <v>1</v>
      </c>
      <c r="D316" s="17" t="s">
        <v>155</v>
      </c>
      <c r="E316" s="17"/>
      <c r="F316" s="17" t="s">
        <v>156</v>
      </c>
      <c r="G316" s="17"/>
      <c r="H316" s="17" t="s">
        <v>692</v>
      </c>
      <c r="I316" s="17"/>
      <c r="J316" s="17" t="s">
        <v>693</v>
      </c>
      <c r="K316" s="17"/>
      <c r="L316" s="17"/>
      <c r="M316" s="17"/>
      <c r="N316" s="17" t="s">
        <v>6043</v>
      </c>
      <c r="O316" s="17" t="s">
        <v>6100</v>
      </c>
      <c r="P316" s="17" t="s">
        <v>6101</v>
      </c>
      <c r="Q316" s="17"/>
      <c r="R316" s="25" t="str">
        <f>HYPERLINK("https://ictv.global/taxonomy/taxondetails?taxnode_id=202300529","Kuttervirus SH19")</f>
        <v>Kuttervirus SH19</v>
      </c>
      <c r="S316" s="18" t="s">
        <v>30</v>
      </c>
      <c r="T316" s="18" t="s">
        <v>6166</v>
      </c>
      <c r="U316" s="18"/>
      <c r="V316" s="18"/>
      <c r="W316" s="18" t="s">
        <v>6167</v>
      </c>
      <c r="X316" s="18" t="s">
        <v>42</v>
      </c>
      <c r="Y316" s="18" t="s">
        <v>36</v>
      </c>
      <c r="Z316" s="18" t="s">
        <v>697</v>
      </c>
      <c r="AA316" s="21" t="str">
        <f>HYPERLINK("https://www.ncbi.nlm.nih.gov/nuccore/JN126049","NCBI Nucleotide")</f>
        <v>NCBI Nucleotide</v>
      </c>
    </row>
    <row r="317" spans="1:27" x14ac:dyDescent="0.35">
      <c r="A317">
        <v>1000310</v>
      </c>
      <c r="B317">
        <v>316</v>
      </c>
      <c r="C317">
        <v>1</v>
      </c>
      <c r="D317" s="17" t="s">
        <v>155</v>
      </c>
      <c r="E317" s="17"/>
      <c r="F317" s="17" t="s">
        <v>156</v>
      </c>
      <c r="G317" s="17"/>
      <c r="H317" s="17" t="s">
        <v>692</v>
      </c>
      <c r="I317" s="17"/>
      <c r="J317" s="17" t="s">
        <v>693</v>
      </c>
      <c r="K317" s="17"/>
      <c r="L317" s="17"/>
      <c r="M317" s="17"/>
      <c r="N317" s="17" t="s">
        <v>6043</v>
      </c>
      <c r="O317" s="17" t="s">
        <v>6100</v>
      </c>
      <c r="P317" s="17" t="s">
        <v>6101</v>
      </c>
      <c r="Q317" s="17"/>
      <c r="R317" s="25" t="str">
        <f>HYPERLINK("https://ictv.global/taxonomy/taxondetails?taxnode_id=202300530","Kuttervirus SJ2")</f>
        <v>Kuttervirus SJ2</v>
      </c>
      <c r="S317" s="18" t="s">
        <v>30</v>
      </c>
      <c r="T317" s="18" t="s">
        <v>6168</v>
      </c>
      <c r="U317" s="18"/>
      <c r="V317" s="18"/>
      <c r="W317" s="18" t="s">
        <v>6169</v>
      </c>
      <c r="X317" s="18" t="s">
        <v>42</v>
      </c>
      <c r="Y317" s="18" t="s">
        <v>36</v>
      </c>
      <c r="Z317" s="18" t="s">
        <v>697</v>
      </c>
      <c r="AA317" s="21" t="str">
        <f>HYPERLINK("https://www.ncbi.nlm.nih.gov/nuccore/KJ174317","NCBI Nucleotide")</f>
        <v>NCBI Nucleotide</v>
      </c>
    </row>
    <row r="318" spans="1:27" x14ac:dyDescent="0.35">
      <c r="A318">
        <v>1000311</v>
      </c>
      <c r="B318">
        <v>317</v>
      </c>
      <c r="C318">
        <v>1</v>
      </c>
      <c r="D318" s="17" t="s">
        <v>155</v>
      </c>
      <c r="E318" s="17"/>
      <c r="F318" s="17" t="s">
        <v>156</v>
      </c>
      <c r="G318" s="17"/>
      <c r="H318" s="17" t="s">
        <v>692</v>
      </c>
      <c r="I318" s="17"/>
      <c r="J318" s="17" t="s">
        <v>693</v>
      </c>
      <c r="K318" s="17"/>
      <c r="L318" s="17"/>
      <c r="M318" s="17"/>
      <c r="N318" s="17" t="s">
        <v>6043</v>
      </c>
      <c r="O318" s="17" t="s">
        <v>6100</v>
      </c>
      <c r="P318" s="17" t="s">
        <v>6101</v>
      </c>
      <c r="Q318" s="17"/>
      <c r="R318" s="25" t="str">
        <f>HYPERLINK("https://ictv.global/taxonomy/taxondetails?taxnode_id=202300531","Kuttervirus SJ3")</f>
        <v>Kuttervirus SJ3</v>
      </c>
      <c r="S318" s="18" t="s">
        <v>30</v>
      </c>
      <c r="T318" s="18" t="s">
        <v>6170</v>
      </c>
      <c r="U318" s="18"/>
      <c r="V318" s="18"/>
      <c r="W318" s="18" t="s">
        <v>6171</v>
      </c>
      <c r="X318" s="18" t="s">
        <v>42</v>
      </c>
      <c r="Y318" s="18" t="s">
        <v>36</v>
      </c>
      <c r="Z318" s="18" t="s">
        <v>697</v>
      </c>
      <c r="AA318" s="21" t="str">
        <f>HYPERLINK("https://www.ncbi.nlm.nih.gov/nuccore/KJ174318","NCBI Nucleotide")</f>
        <v>NCBI Nucleotide</v>
      </c>
    </row>
    <row r="319" spans="1:27" x14ac:dyDescent="0.35">
      <c r="A319">
        <v>1000312</v>
      </c>
      <c r="B319">
        <v>318</v>
      </c>
      <c r="C319">
        <v>1</v>
      </c>
      <c r="D319" s="17" t="s">
        <v>155</v>
      </c>
      <c r="E319" s="17"/>
      <c r="F319" s="17" t="s">
        <v>156</v>
      </c>
      <c r="G319" s="17"/>
      <c r="H319" s="17" t="s">
        <v>692</v>
      </c>
      <c r="I319" s="17"/>
      <c r="J319" s="17" t="s">
        <v>693</v>
      </c>
      <c r="K319" s="17"/>
      <c r="L319" s="17"/>
      <c r="M319" s="17"/>
      <c r="N319" s="17" t="s">
        <v>6043</v>
      </c>
      <c r="O319" s="17" t="s">
        <v>6100</v>
      </c>
      <c r="P319" s="17" t="s">
        <v>6101</v>
      </c>
      <c r="Q319" s="17"/>
      <c r="R319" s="25" t="str">
        <f>HYPERLINK("https://ictv.global/taxonomy/taxondetails?taxnode_id=202308855","Kuttervirus SP1")</f>
        <v>Kuttervirus SP1</v>
      </c>
      <c r="S319" s="18" t="s">
        <v>30</v>
      </c>
      <c r="T319" s="18" t="s">
        <v>6172</v>
      </c>
      <c r="U319" s="18"/>
      <c r="V319" s="18"/>
      <c r="W319" s="18" t="s">
        <v>6173</v>
      </c>
      <c r="X319" s="18" t="s">
        <v>154</v>
      </c>
      <c r="Y319" s="18" t="s">
        <v>36</v>
      </c>
      <c r="Z319" s="18" t="s">
        <v>697</v>
      </c>
      <c r="AA319" s="21" t="str">
        <f>HYPERLINK("https://www.ncbi.nlm.nih.gov/nuccore/MF001362","NCBI Nucleotide")</f>
        <v>NCBI Nucleotide</v>
      </c>
    </row>
    <row r="320" spans="1:27" x14ac:dyDescent="0.35">
      <c r="A320">
        <v>1000313</v>
      </c>
      <c r="B320">
        <v>319</v>
      </c>
      <c r="C320">
        <v>1</v>
      </c>
      <c r="D320" s="17" t="s">
        <v>155</v>
      </c>
      <c r="E320" s="17"/>
      <c r="F320" s="17" t="s">
        <v>156</v>
      </c>
      <c r="G320" s="17"/>
      <c r="H320" s="17" t="s">
        <v>692</v>
      </c>
      <c r="I320" s="17"/>
      <c r="J320" s="17" t="s">
        <v>693</v>
      </c>
      <c r="K320" s="17"/>
      <c r="L320" s="17"/>
      <c r="M320" s="17"/>
      <c r="N320" s="17" t="s">
        <v>6043</v>
      </c>
      <c r="O320" s="17" t="s">
        <v>6100</v>
      </c>
      <c r="P320" s="17" t="s">
        <v>6101</v>
      </c>
      <c r="Q320" s="17"/>
      <c r="R320" s="25" t="str">
        <f>HYPERLINK("https://ictv.global/taxonomy/taxondetails?taxnode_id=202308865","Kuttervirus SS9")</f>
        <v>Kuttervirus SS9</v>
      </c>
      <c r="S320" s="18" t="s">
        <v>30</v>
      </c>
      <c r="T320" s="18" t="s">
        <v>6174</v>
      </c>
      <c r="U320" s="18"/>
      <c r="V320" s="18"/>
      <c r="W320" s="18" t="s">
        <v>6175</v>
      </c>
      <c r="X320" s="18" t="s">
        <v>42</v>
      </c>
      <c r="Y320" s="18" t="s">
        <v>36</v>
      </c>
      <c r="Z320" s="18" t="s">
        <v>697</v>
      </c>
      <c r="AA320" s="21" t="str">
        <f>HYPERLINK("https://www.ncbi.nlm.nih.gov/nuccore/MK972699","NCBI Nucleotide")</f>
        <v>NCBI Nucleotide</v>
      </c>
    </row>
    <row r="321" spans="1:27" x14ac:dyDescent="0.35">
      <c r="A321">
        <v>1000314</v>
      </c>
      <c r="B321">
        <v>320</v>
      </c>
      <c r="C321">
        <v>1</v>
      </c>
      <c r="D321" s="17" t="s">
        <v>155</v>
      </c>
      <c r="E321" s="17"/>
      <c r="F321" s="17" t="s">
        <v>156</v>
      </c>
      <c r="G321" s="17"/>
      <c r="H321" s="17" t="s">
        <v>692</v>
      </c>
      <c r="I321" s="17"/>
      <c r="J321" s="17" t="s">
        <v>693</v>
      </c>
      <c r="K321" s="17"/>
      <c r="L321" s="17"/>
      <c r="M321" s="17"/>
      <c r="N321" s="17" t="s">
        <v>6043</v>
      </c>
      <c r="O321" s="17" t="s">
        <v>6100</v>
      </c>
      <c r="P321" s="17" t="s">
        <v>6101</v>
      </c>
      <c r="Q321" s="17"/>
      <c r="R321" s="25" t="str">
        <f>HYPERLINK("https://ictv.global/taxonomy/taxondetails?taxnode_id=202300532","Kuttervirus STML131")</f>
        <v>Kuttervirus STML131</v>
      </c>
      <c r="S321" s="18" t="s">
        <v>30</v>
      </c>
      <c r="T321" s="18" t="s">
        <v>6176</v>
      </c>
      <c r="U321" s="18"/>
      <c r="V321" s="18"/>
      <c r="W321" s="18" t="s">
        <v>6177</v>
      </c>
      <c r="X321" s="18" t="s">
        <v>154</v>
      </c>
      <c r="Y321" s="18" t="s">
        <v>36</v>
      </c>
      <c r="Z321" s="18" t="s">
        <v>697</v>
      </c>
      <c r="AA321" s="21" t="str">
        <f>HYPERLINK("https://www.ncbi.nlm.nih.gov/nuccore/JX181828","NCBI Nucleotide")</f>
        <v>NCBI Nucleotide</v>
      </c>
    </row>
    <row r="322" spans="1:27" x14ac:dyDescent="0.35">
      <c r="A322">
        <v>1000315</v>
      </c>
      <c r="B322">
        <v>321</v>
      </c>
      <c r="C322">
        <v>1</v>
      </c>
      <c r="D322" s="17" t="s">
        <v>155</v>
      </c>
      <c r="E322" s="17"/>
      <c r="F322" s="17" t="s">
        <v>156</v>
      </c>
      <c r="G322" s="17"/>
      <c r="H322" s="17" t="s">
        <v>692</v>
      </c>
      <c r="I322" s="17"/>
      <c r="J322" s="17" t="s">
        <v>693</v>
      </c>
      <c r="K322" s="17"/>
      <c r="L322" s="17"/>
      <c r="M322" s="17"/>
      <c r="N322" s="17" t="s">
        <v>6043</v>
      </c>
      <c r="O322" s="17" t="s">
        <v>6100</v>
      </c>
      <c r="P322" s="17" t="s">
        <v>6101</v>
      </c>
      <c r="Q322" s="17"/>
      <c r="R322" s="25" t="str">
        <f>HYPERLINK("https://ictv.global/taxonomy/taxondetails?taxnode_id=202308861","Kuttervirus STW77")</f>
        <v>Kuttervirus STW77</v>
      </c>
      <c r="S322" s="18" t="s">
        <v>30</v>
      </c>
      <c r="T322" s="18" t="s">
        <v>6178</v>
      </c>
      <c r="U322" s="18"/>
      <c r="V322" s="18"/>
      <c r="W322" s="18" t="s">
        <v>6179</v>
      </c>
      <c r="X322" s="18" t="s">
        <v>42</v>
      </c>
      <c r="Y322" s="18" t="s">
        <v>36</v>
      </c>
      <c r="Z322" s="18" t="s">
        <v>697</v>
      </c>
      <c r="AA322" s="21" t="str">
        <f>HYPERLINK("https://www.ncbi.nlm.nih.gov/nuccore/KX765865","NCBI Nucleotide")</f>
        <v>NCBI Nucleotide</v>
      </c>
    </row>
    <row r="323" spans="1:27" x14ac:dyDescent="0.35">
      <c r="A323">
        <v>1000316</v>
      </c>
      <c r="B323">
        <v>322</v>
      </c>
      <c r="C323">
        <v>1</v>
      </c>
      <c r="D323" s="17" t="s">
        <v>155</v>
      </c>
      <c r="E323" s="17"/>
      <c r="F323" s="17" t="s">
        <v>156</v>
      </c>
      <c r="G323" s="17"/>
      <c r="H323" s="17" t="s">
        <v>692</v>
      </c>
      <c r="I323" s="17"/>
      <c r="J323" s="17" t="s">
        <v>693</v>
      </c>
      <c r="K323" s="17"/>
      <c r="L323" s="17"/>
      <c r="M323" s="17"/>
      <c r="N323" s="17" t="s">
        <v>6043</v>
      </c>
      <c r="O323" s="17" t="s">
        <v>6100</v>
      </c>
      <c r="P323" s="17" t="s">
        <v>6101</v>
      </c>
      <c r="Q323" s="17"/>
      <c r="R323" s="25" t="str">
        <f>HYPERLINK("https://ictv.global/taxonomy/taxondetails?taxnode_id=202300533","Kuttervirus ViI")</f>
        <v>Kuttervirus ViI</v>
      </c>
      <c r="S323" s="18" t="s">
        <v>30</v>
      </c>
      <c r="T323" s="18" t="s">
        <v>6180</v>
      </c>
      <c r="U323" s="18"/>
      <c r="V323" s="18"/>
      <c r="W323" s="18" t="s">
        <v>6181</v>
      </c>
      <c r="X323" s="18" t="s">
        <v>42</v>
      </c>
      <c r="Y323" s="18" t="s">
        <v>36</v>
      </c>
      <c r="Z323" s="18" t="s">
        <v>697</v>
      </c>
      <c r="AA323" s="21" t="str">
        <f>HYPERLINK("https://www.ncbi.nlm.nih.gov/nuccore/FQ312032","NCBI Nucleotide")</f>
        <v>NCBI Nucleotide</v>
      </c>
    </row>
    <row r="324" spans="1:27" x14ac:dyDescent="0.35">
      <c r="A324">
        <v>1000317</v>
      </c>
      <c r="B324">
        <v>323</v>
      </c>
      <c r="C324">
        <v>1</v>
      </c>
      <c r="D324" s="17" t="s">
        <v>155</v>
      </c>
      <c r="E324" s="17"/>
      <c r="F324" s="17" t="s">
        <v>156</v>
      </c>
      <c r="G324" s="17"/>
      <c r="H324" s="17" t="s">
        <v>692</v>
      </c>
      <c r="I324" s="17"/>
      <c r="J324" s="17" t="s">
        <v>693</v>
      </c>
      <c r="K324" s="17"/>
      <c r="L324" s="17"/>
      <c r="M324" s="17"/>
      <c r="N324" s="17" t="s">
        <v>6043</v>
      </c>
      <c r="O324" s="17"/>
      <c r="P324" s="17" t="s">
        <v>6044</v>
      </c>
      <c r="Q324" s="17"/>
      <c r="R324" s="25" t="str">
        <f>HYPERLINK("https://ictv.global/taxonomy/taxondetails?taxnode_id=202308917","Campanilevirus YC")</f>
        <v>Campanilevirus YC</v>
      </c>
      <c r="S324" s="18" t="s">
        <v>30</v>
      </c>
      <c r="T324" s="18" t="s">
        <v>6045</v>
      </c>
      <c r="U324" s="18"/>
      <c r="V324" s="18"/>
      <c r="W324" s="18" t="s">
        <v>6046</v>
      </c>
      <c r="X324" s="18" t="s">
        <v>42</v>
      </c>
      <c r="Y324" s="18" t="s">
        <v>36</v>
      </c>
      <c r="Z324" s="18" t="s">
        <v>697</v>
      </c>
      <c r="AA324" s="21" t="str">
        <f>HYPERLINK("https://www.ncbi.nlm.nih.gov/nuccore/MH375644","NCBI Nucleotide")</f>
        <v>NCBI Nucleotide</v>
      </c>
    </row>
    <row r="325" spans="1:27" x14ac:dyDescent="0.35">
      <c r="A325">
        <v>1000318</v>
      </c>
      <c r="B325">
        <v>324</v>
      </c>
      <c r="C325">
        <v>1</v>
      </c>
      <c r="D325" s="17" t="s">
        <v>155</v>
      </c>
      <c r="E325" s="17"/>
      <c r="F325" s="17" t="s">
        <v>156</v>
      </c>
      <c r="G325" s="17"/>
      <c r="H325" s="17" t="s">
        <v>692</v>
      </c>
      <c r="I325" s="17"/>
      <c r="J325" s="17" t="s">
        <v>693</v>
      </c>
      <c r="K325" s="17"/>
      <c r="L325" s="17"/>
      <c r="M325" s="17"/>
      <c r="N325" s="17" t="s">
        <v>6043</v>
      </c>
      <c r="O325" s="17"/>
      <c r="P325" s="17" t="s">
        <v>6047</v>
      </c>
      <c r="Q325" s="17"/>
      <c r="R325" s="25" t="str">
        <f>HYPERLINK("https://ictv.global/taxonomy/taxondetails?taxnode_id=202308919","Kujavirus kuja")</f>
        <v>Kujavirus kuja</v>
      </c>
      <c r="S325" s="18" t="s">
        <v>30</v>
      </c>
      <c r="T325" s="18" t="s">
        <v>6048</v>
      </c>
      <c r="U325" s="18"/>
      <c r="V325" s="18"/>
      <c r="W325" s="18" t="s">
        <v>6049</v>
      </c>
      <c r="X325" s="18" t="s">
        <v>42</v>
      </c>
      <c r="Y325" s="18" t="s">
        <v>36</v>
      </c>
      <c r="Z325" s="18" t="s">
        <v>697</v>
      </c>
      <c r="AA325" s="21" t="str">
        <f>HYPERLINK("https://www.ncbi.nlm.nih.gov/nuccore/MN718199","NCBI Nucleotide")</f>
        <v>NCBI Nucleotide</v>
      </c>
    </row>
    <row r="326" spans="1:27" x14ac:dyDescent="0.35">
      <c r="A326">
        <v>1000319</v>
      </c>
      <c r="B326">
        <v>325</v>
      </c>
      <c r="C326">
        <v>1</v>
      </c>
      <c r="D326" s="17" t="s">
        <v>155</v>
      </c>
      <c r="E326" s="17"/>
      <c r="F326" s="17" t="s">
        <v>156</v>
      </c>
      <c r="G326" s="17"/>
      <c r="H326" s="17" t="s">
        <v>692</v>
      </c>
      <c r="I326" s="17"/>
      <c r="J326" s="17" t="s">
        <v>693</v>
      </c>
      <c r="K326" s="17"/>
      <c r="L326" s="17"/>
      <c r="M326" s="17"/>
      <c r="N326" s="17" t="s">
        <v>6043</v>
      </c>
      <c r="O326" s="17"/>
      <c r="P326" s="17" t="s">
        <v>6050</v>
      </c>
      <c r="Q326" s="17"/>
      <c r="R326" s="25" t="str">
        <f>HYPERLINK("https://ictv.global/taxonomy/taxondetails?taxnode_id=202308925","Miltonvirus 3M")</f>
        <v>Miltonvirus 3M</v>
      </c>
      <c r="S326" s="18" t="s">
        <v>30</v>
      </c>
      <c r="T326" s="18" t="s">
        <v>6051</v>
      </c>
      <c r="U326" s="18"/>
      <c r="V326" s="18"/>
      <c r="W326" s="18" t="s">
        <v>6052</v>
      </c>
      <c r="X326" s="18" t="s">
        <v>42</v>
      </c>
      <c r="Y326" s="18" t="s">
        <v>36</v>
      </c>
      <c r="Z326" s="18" t="s">
        <v>697</v>
      </c>
      <c r="AA326" s="21" t="str">
        <f>HYPERLINK("https://www.ncbi.nlm.nih.gov/nuccore/MH929319","NCBI Nucleotide")</f>
        <v>NCBI Nucleotide</v>
      </c>
    </row>
    <row r="327" spans="1:27" x14ac:dyDescent="0.35">
      <c r="A327">
        <v>1000320</v>
      </c>
      <c r="B327">
        <v>326</v>
      </c>
      <c r="C327">
        <v>1</v>
      </c>
      <c r="D327" s="17" t="s">
        <v>155</v>
      </c>
      <c r="E327" s="17"/>
      <c r="F327" s="17" t="s">
        <v>156</v>
      </c>
      <c r="G327" s="17"/>
      <c r="H327" s="17" t="s">
        <v>692</v>
      </c>
      <c r="I327" s="17"/>
      <c r="J327" s="17" t="s">
        <v>693</v>
      </c>
      <c r="K327" s="17"/>
      <c r="L327" s="17"/>
      <c r="M327" s="17"/>
      <c r="N327" s="17" t="s">
        <v>6043</v>
      </c>
      <c r="O327" s="17"/>
      <c r="P327" s="17" t="s">
        <v>6050</v>
      </c>
      <c r="Q327" s="17"/>
      <c r="R327" s="25" t="str">
        <f>HYPERLINK("https://ictv.global/taxonomy/taxondetails?taxnode_id=202305478","Miltonvirus MAM1")</f>
        <v>Miltonvirus MAM1</v>
      </c>
      <c r="S327" s="18" t="s">
        <v>30</v>
      </c>
      <c r="T327" s="18" t="s">
        <v>6053</v>
      </c>
      <c r="U327" s="18"/>
      <c r="V327" s="18"/>
      <c r="W327" s="18" t="s">
        <v>6054</v>
      </c>
      <c r="X327" s="18" t="s">
        <v>42</v>
      </c>
      <c r="Y327" s="18" t="s">
        <v>36</v>
      </c>
      <c r="Z327" s="18" t="s">
        <v>697</v>
      </c>
      <c r="AA327" s="21" t="str">
        <f>HYPERLINK("https://www.ncbi.nlm.nih.gov/nuccore/JX878496","NCBI Nucleotide")</f>
        <v>NCBI Nucleotide</v>
      </c>
    </row>
    <row r="328" spans="1:27" x14ac:dyDescent="0.35">
      <c r="A328">
        <v>1000321</v>
      </c>
      <c r="B328">
        <v>327</v>
      </c>
      <c r="C328">
        <v>1</v>
      </c>
      <c r="D328" s="17" t="s">
        <v>155</v>
      </c>
      <c r="E328" s="17"/>
      <c r="F328" s="17" t="s">
        <v>156</v>
      </c>
      <c r="G328" s="17"/>
      <c r="H328" s="17" t="s">
        <v>692</v>
      </c>
      <c r="I328" s="17"/>
      <c r="J328" s="17" t="s">
        <v>693</v>
      </c>
      <c r="K328" s="17"/>
      <c r="L328" s="17"/>
      <c r="M328" s="17"/>
      <c r="N328" s="17" t="s">
        <v>6043</v>
      </c>
      <c r="O328" s="17"/>
      <c r="P328" s="17" t="s">
        <v>6055</v>
      </c>
      <c r="Q328" s="17"/>
      <c r="R328" s="25" t="str">
        <f>HYPERLINK("https://ictv.global/taxonomy/taxondetails?taxnode_id=202308923","Nezavisimistyvirus bue1")</f>
        <v>Nezavisimistyvirus bue1</v>
      </c>
      <c r="S328" s="18" t="s">
        <v>30</v>
      </c>
      <c r="T328" s="18" t="s">
        <v>6056</v>
      </c>
      <c r="U328" s="18"/>
      <c r="V328" s="18"/>
      <c r="W328" s="18" t="s">
        <v>6057</v>
      </c>
      <c r="X328" s="18" t="s">
        <v>42</v>
      </c>
      <c r="Y328" s="18" t="s">
        <v>36</v>
      </c>
      <c r="Z328" s="18" t="s">
        <v>697</v>
      </c>
      <c r="AA328" s="21" t="str">
        <f>HYPERLINK("https://www.ncbi.nlm.nih.gov/nuccore/MG973030","NCBI Nucleotide")</f>
        <v>NCBI Nucleotide</v>
      </c>
    </row>
    <row r="329" spans="1:27" x14ac:dyDescent="0.35">
      <c r="A329">
        <v>1000322</v>
      </c>
      <c r="B329">
        <v>328</v>
      </c>
      <c r="C329">
        <v>1</v>
      </c>
      <c r="D329" s="17" t="s">
        <v>155</v>
      </c>
      <c r="E329" s="17"/>
      <c r="F329" s="17" t="s">
        <v>156</v>
      </c>
      <c r="G329" s="17"/>
      <c r="H329" s="17" t="s">
        <v>692</v>
      </c>
      <c r="I329" s="17"/>
      <c r="J329" s="17" t="s">
        <v>693</v>
      </c>
      <c r="K329" s="17"/>
      <c r="L329" s="17"/>
      <c r="M329" s="17"/>
      <c r="N329" s="17" t="s">
        <v>6043</v>
      </c>
      <c r="O329" s="17"/>
      <c r="P329" s="17" t="s">
        <v>6055</v>
      </c>
      <c r="Q329" s="17"/>
      <c r="R329" s="25" t="str">
        <f>HYPERLINK("https://ictv.global/taxonomy/taxondetails?taxnode_id=202305475","Nezavisimistyvirus Ea2809")</f>
        <v>Nezavisimistyvirus Ea2809</v>
      </c>
      <c r="S329" s="18" t="s">
        <v>30</v>
      </c>
      <c r="T329" s="18" t="s">
        <v>6058</v>
      </c>
      <c r="U329" s="18"/>
      <c r="V329" s="18"/>
      <c r="W329" s="18" t="s">
        <v>6059</v>
      </c>
      <c r="X329" s="18" t="s">
        <v>42</v>
      </c>
      <c r="Y329" s="18" t="s">
        <v>36</v>
      </c>
      <c r="Z329" s="18" t="s">
        <v>697</v>
      </c>
      <c r="AA329" s="21" t="str">
        <f>HYPERLINK("https://www.ncbi.nlm.nih.gov/nuccore/KP037007","NCBI Nucleotide")</f>
        <v>NCBI Nucleotide</v>
      </c>
    </row>
    <row r="330" spans="1:27" x14ac:dyDescent="0.35">
      <c r="A330">
        <v>1000323</v>
      </c>
      <c r="B330">
        <v>329</v>
      </c>
      <c r="C330">
        <v>1</v>
      </c>
      <c r="D330" s="17" t="s">
        <v>155</v>
      </c>
      <c r="E330" s="17"/>
      <c r="F330" s="17" t="s">
        <v>156</v>
      </c>
      <c r="G330" s="17"/>
      <c r="H330" s="17" t="s">
        <v>692</v>
      </c>
      <c r="I330" s="17"/>
      <c r="J330" s="17" t="s">
        <v>693</v>
      </c>
      <c r="K330" s="17"/>
      <c r="L330" s="17"/>
      <c r="M330" s="17"/>
      <c r="N330" s="17" t="s">
        <v>6043</v>
      </c>
      <c r="O330" s="17"/>
      <c r="P330" s="17" t="s">
        <v>6060</v>
      </c>
      <c r="Q330" s="17"/>
      <c r="R330" s="25" t="str">
        <f>HYPERLINK("https://ictv.global/taxonomy/taxondetails?taxnode_id=202305476","Taipeivirus 0507KN21")</f>
        <v>Taipeivirus 0507KN21</v>
      </c>
      <c r="S330" s="18" t="s">
        <v>30</v>
      </c>
      <c r="T330" s="18" t="s">
        <v>6061</v>
      </c>
      <c r="U330" s="18"/>
      <c r="V330" s="18"/>
      <c r="W330" s="18" t="s">
        <v>6062</v>
      </c>
      <c r="X330" s="18" t="s">
        <v>42</v>
      </c>
      <c r="Y330" s="18" t="s">
        <v>36</v>
      </c>
      <c r="Z330" s="18" t="s">
        <v>697</v>
      </c>
      <c r="AA330" s="21" t="str">
        <f>HYPERLINK("https://www.ncbi.nlm.nih.gov/nuccore/AB797215","NCBI Nucleotide")</f>
        <v>NCBI Nucleotide</v>
      </c>
    </row>
    <row r="331" spans="1:27" x14ac:dyDescent="0.35">
      <c r="A331">
        <v>1000324</v>
      </c>
      <c r="B331">
        <v>330</v>
      </c>
      <c r="C331">
        <v>1</v>
      </c>
      <c r="D331" s="17" t="s">
        <v>155</v>
      </c>
      <c r="E331" s="17"/>
      <c r="F331" s="17" t="s">
        <v>156</v>
      </c>
      <c r="G331" s="17"/>
      <c r="H331" s="17" t="s">
        <v>692</v>
      </c>
      <c r="I331" s="17"/>
      <c r="J331" s="17" t="s">
        <v>693</v>
      </c>
      <c r="K331" s="17"/>
      <c r="L331" s="17"/>
      <c r="M331" s="17"/>
      <c r="N331" s="17" t="s">
        <v>6043</v>
      </c>
      <c r="O331" s="17"/>
      <c r="P331" s="17" t="s">
        <v>6060</v>
      </c>
      <c r="Q331" s="17"/>
      <c r="R331" s="25" t="str">
        <f>HYPERLINK("https://ictv.global/taxonomy/taxondetails?taxnode_id=202305477","Taipeivirus IME250")</f>
        <v>Taipeivirus IME250</v>
      </c>
      <c r="S331" s="18" t="s">
        <v>30</v>
      </c>
      <c r="T331" s="18" t="s">
        <v>6063</v>
      </c>
      <c r="U331" s="18"/>
      <c r="V331" s="18"/>
      <c r="W331" s="18" t="s">
        <v>6064</v>
      </c>
      <c r="X331" s="18" t="s">
        <v>42</v>
      </c>
      <c r="Y331" s="18" t="s">
        <v>36</v>
      </c>
      <c r="Z331" s="18" t="s">
        <v>697</v>
      </c>
      <c r="AA331" s="21" t="str">
        <f>HYPERLINK("https://www.ncbi.nlm.nih.gov/nuccore/KX147096","NCBI Nucleotide")</f>
        <v>NCBI Nucleotide</v>
      </c>
    </row>
    <row r="332" spans="1:27" x14ac:dyDescent="0.35">
      <c r="A332">
        <v>1000325</v>
      </c>
      <c r="B332">
        <v>331</v>
      </c>
      <c r="C332">
        <v>1</v>
      </c>
      <c r="D332" s="17" t="s">
        <v>155</v>
      </c>
      <c r="E332" s="17"/>
      <c r="F332" s="17" t="s">
        <v>156</v>
      </c>
      <c r="G332" s="17"/>
      <c r="H332" s="17" t="s">
        <v>692</v>
      </c>
      <c r="I332" s="17"/>
      <c r="J332" s="17" t="s">
        <v>693</v>
      </c>
      <c r="K332" s="17"/>
      <c r="L332" s="17"/>
      <c r="M332" s="17"/>
      <c r="N332" s="17" t="s">
        <v>6043</v>
      </c>
      <c r="O332" s="17"/>
      <c r="P332" s="17" t="s">
        <v>6060</v>
      </c>
      <c r="Q332" s="17"/>
      <c r="R332" s="25" t="str">
        <f>HYPERLINK("https://ictv.global/taxonomy/taxondetails?taxnode_id=202308040","Taipeivirus KpS110")</f>
        <v>Taipeivirus KpS110</v>
      </c>
      <c r="S332" s="18" t="s">
        <v>30</v>
      </c>
      <c r="T332" s="18" t="s">
        <v>6065</v>
      </c>
      <c r="U332" s="18"/>
      <c r="V332" s="18"/>
      <c r="W332" s="18" t="s">
        <v>6066</v>
      </c>
      <c r="X332" s="18" t="s">
        <v>42</v>
      </c>
      <c r="Y332" s="18" t="s">
        <v>36</v>
      </c>
      <c r="Z332" s="18" t="s">
        <v>697</v>
      </c>
      <c r="AA332" s="21" t="str">
        <f>HYPERLINK("https://www.ncbi.nlm.nih.gov/nuccore/MG770379","NCBI Nucleotide")</f>
        <v>NCBI Nucleotide</v>
      </c>
    </row>
    <row r="333" spans="1:27" x14ac:dyDescent="0.35">
      <c r="A333">
        <v>1000326</v>
      </c>
      <c r="B333">
        <v>332</v>
      </c>
      <c r="C333">
        <v>1</v>
      </c>
      <c r="D333" s="17" t="s">
        <v>155</v>
      </c>
      <c r="E333" s="17"/>
      <c r="F333" s="17" t="s">
        <v>156</v>
      </c>
      <c r="G333" s="17"/>
      <c r="H333" s="17" t="s">
        <v>692</v>
      </c>
      <c r="I333" s="17"/>
      <c r="J333" s="17" t="s">
        <v>693</v>
      </c>
      <c r="K333" s="17"/>
      <c r="L333" s="17"/>
      <c r="M333" s="17"/>
      <c r="N333" s="17" t="s">
        <v>6043</v>
      </c>
      <c r="O333" s="17"/>
      <c r="P333" s="17" t="s">
        <v>6060</v>
      </c>
      <c r="Q333" s="17"/>
      <c r="R333" s="25" t="str">
        <f>HYPERLINK("https://ictv.global/taxonomy/taxondetails?taxnode_id=202308037","Taipeivirus KWBSE436")</f>
        <v>Taipeivirus KWBSE436</v>
      </c>
      <c r="S333" s="18" t="s">
        <v>30</v>
      </c>
      <c r="T333" s="18" t="s">
        <v>6067</v>
      </c>
      <c r="U333" s="18"/>
      <c r="V333" s="18"/>
      <c r="W333" s="18" t="s">
        <v>6068</v>
      </c>
      <c r="X333" s="18" t="s">
        <v>42</v>
      </c>
      <c r="Y333" s="18" t="s">
        <v>36</v>
      </c>
      <c r="Z333" s="18" t="s">
        <v>697</v>
      </c>
      <c r="AA333" s="21" t="str">
        <f>HYPERLINK("https://www.ncbi.nlm.nih.gov/nuccore/MK373783","NCBI Nucleotide")</f>
        <v>NCBI Nucleotide</v>
      </c>
    </row>
    <row r="334" spans="1:27" x14ac:dyDescent="0.35">
      <c r="A334">
        <v>1000327</v>
      </c>
      <c r="B334">
        <v>333</v>
      </c>
      <c r="C334">
        <v>1</v>
      </c>
      <c r="D334" s="17" t="s">
        <v>155</v>
      </c>
      <c r="E334" s="17"/>
      <c r="F334" s="17" t="s">
        <v>156</v>
      </c>
      <c r="G334" s="17"/>
      <c r="H334" s="17" t="s">
        <v>692</v>
      </c>
      <c r="I334" s="17"/>
      <c r="J334" s="17" t="s">
        <v>693</v>
      </c>
      <c r="K334" s="17"/>
      <c r="L334" s="17"/>
      <c r="M334" s="17"/>
      <c r="N334" s="17" t="s">
        <v>6043</v>
      </c>
      <c r="O334" s="17"/>
      <c r="P334" s="17" t="s">
        <v>6060</v>
      </c>
      <c r="Q334" s="17"/>
      <c r="R334" s="25" t="str">
        <f>HYPERLINK("https://ictv.global/taxonomy/taxondetails?taxnode_id=202308870","Taipeivirus magnus")</f>
        <v>Taipeivirus magnus</v>
      </c>
      <c r="S334" s="18" t="s">
        <v>30</v>
      </c>
      <c r="T334" s="18" t="s">
        <v>6069</v>
      </c>
      <c r="U334" s="18"/>
      <c r="V334" s="18"/>
      <c r="W334" s="18" t="s">
        <v>6070</v>
      </c>
      <c r="X334" s="18" t="s">
        <v>42</v>
      </c>
      <c r="Y334" s="18" t="s">
        <v>36</v>
      </c>
      <c r="Z334" s="18" t="s">
        <v>697</v>
      </c>
      <c r="AA334" s="21" t="str">
        <f>HYPERLINK("https://www.ncbi.nlm.nih.gov/nuccore/MN045230","NCBI Nucleotide")</f>
        <v>NCBI Nucleotide</v>
      </c>
    </row>
    <row r="335" spans="1:27" x14ac:dyDescent="0.35">
      <c r="A335">
        <v>1000328</v>
      </c>
      <c r="B335">
        <v>334</v>
      </c>
      <c r="C335">
        <v>1</v>
      </c>
      <c r="D335" s="17" t="s">
        <v>155</v>
      </c>
      <c r="E335" s="17"/>
      <c r="F335" s="17" t="s">
        <v>156</v>
      </c>
      <c r="G335" s="17"/>
      <c r="H335" s="17" t="s">
        <v>692</v>
      </c>
      <c r="I335" s="17"/>
      <c r="J335" s="17" t="s">
        <v>693</v>
      </c>
      <c r="K335" s="17"/>
      <c r="L335" s="17"/>
      <c r="M335" s="17"/>
      <c r="N335" s="17" t="s">
        <v>6043</v>
      </c>
      <c r="O335" s="17"/>
      <c r="P335" s="17" t="s">
        <v>6060</v>
      </c>
      <c r="Q335" s="17"/>
      <c r="R335" s="25" t="str">
        <f>HYPERLINK("https://ictv.global/taxonomy/taxondetails?taxnode_id=202308038","Taipeivirus may")</f>
        <v>Taipeivirus may</v>
      </c>
      <c r="S335" s="18" t="s">
        <v>30</v>
      </c>
      <c r="T335" s="18" t="s">
        <v>6071</v>
      </c>
      <c r="U335" s="18"/>
      <c r="V335" s="18"/>
      <c r="W335" s="18" t="s">
        <v>6072</v>
      </c>
      <c r="X335" s="18" t="s">
        <v>42</v>
      </c>
      <c r="Y335" s="18" t="s">
        <v>36</v>
      </c>
      <c r="Z335" s="18" t="s">
        <v>697</v>
      </c>
      <c r="AA335" s="21" t="str">
        <f>HYPERLINK("https://www.ncbi.nlm.nih.gov/nuccore/MG428991","NCBI Nucleotide")</f>
        <v>NCBI Nucleotide</v>
      </c>
    </row>
    <row r="336" spans="1:27" x14ac:dyDescent="0.35">
      <c r="A336">
        <v>1000329</v>
      </c>
      <c r="B336">
        <v>335</v>
      </c>
      <c r="C336">
        <v>1</v>
      </c>
      <c r="D336" s="17" t="s">
        <v>155</v>
      </c>
      <c r="E336" s="17"/>
      <c r="F336" s="17" t="s">
        <v>156</v>
      </c>
      <c r="G336" s="17"/>
      <c r="H336" s="17" t="s">
        <v>692</v>
      </c>
      <c r="I336" s="17"/>
      <c r="J336" s="17" t="s">
        <v>693</v>
      </c>
      <c r="K336" s="17"/>
      <c r="L336" s="17"/>
      <c r="M336" s="17"/>
      <c r="N336" s="17" t="s">
        <v>6043</v>
      </c>
      <c r="O336" s="17"/>
      <c r="P336" s="17" t="s">
        <v>6060</v>
      </c>
      <c r="Q336" s="17"/>
      <c r="R336" s="25" t="str">
        <f>HYPERLINK("https://ictv.global/taxonomy/taxondetails?taxnode_id=202308039","Taipeivirus menlow")</f>
        <v>Taipeivirus menlow</v>
      </c>
      <c r="S336" s="18" t="s">
        <v>30</v>
      </c>
      <c r="T336" s="18" t="s">
        <v>6073</v>
      </c>
      <c r="U336" s="18"/>
      <c r="V336" s="18"/>
      <c r="W336" s="18" t="s">
        <v>6074</v>
      </c>
      <c r="X336" s="18" t="s">
        <v>42</v>
      </c>
      <c r="Y336" s="18" t="s">
        <v>36</v>
      </c>
      <c r="Z336" s="18" t="s">
        <v>697</v>
      </c>
      <c r="AA336" s="21" t="str">
        <f>HYPERLINK("https://www.ncbi.nlm.nih.gov/nuccore/MG428990","NCBI Nucleotide")</f>
        <v>NCBI Nucleotide</v>
      </c>
    </row>
    <row r="337" spans="1:27" x14ac:dyDescent="0.35">
      <c r="A337">
        <v>1000330</v>
      </c>
      <c r="B337">
        <v>336</v>
      </c>
      <c r="C337">
        <v>1</v>
      </c>
      <c r="D337" s="17" t="s">
        <v>155</v>
      </c>
      <c r="E337" s="17"/>
      <c r="F337" s="17" t="s">
        <v>156</v>
      </c>
      <c r="G337" s="17"/>
      <c r="H337" s="17" t="s">
        <v>692</v>
      </c>
      <c r="I337" s="17"/>
      <c r="J337" s="17" t="s">
        <v>693</v>
      </c>
      <c r="K337" s="17"/>
      <c r="L337" s="17"/>
      <c r="M337" s="17"/>
      <c r="N337" s="17" t="s">
        <v>6043</v>
      </c>
      <c r="O337" s="17"/>
      <c r="P337" s="17" t="s">
        <v>6060</v>
      </c>
      <c r="Q337" s="17"/>
      <c r="R337" s="25" t="str">
        <f>HYPERLINK("https://ictv.global/taxonomy/taxondetails?taxnode_id=202308871","Taipeivirus UPM2146")</f>
        <v>Taipeivirus UPM2146</v>
      </c>
      <c r="S337" s="18" t="s">
        <v>30</v>
      </c>
      <c r="T337" s="18" t="s">
        <v>6075</v>
      </c>
      <c r="U337" s="18"/>
      <c r="V337" s="18"/>
      <c r="W337" s="18" t="s">
        <v>6076</v>
      </c>
      <c r="X337" s="18" t="s">
        <v>42</v>
      </c>
      <c r="Y337" s="18" t="s">
        <v>36</v>
      </c>
      <c r="Z337" s="18" t="s">
        <v>697</v>
      </c>
      <c r="AA337" s="21" t="str">
        <f>HYPERLINK("https://www.ncbi.nlm.nih.gov/nuccore/MN478483","NCBI Nucleotide")</f>
        <v>NCBI Nucleotide</v>
      </c>
    </row>
    <row r="338" spans="1:27" x14ac:dyDescent="0.35">
      <c r="A338">
        <v>1000331</v>
      </c>
      <c r="B338">
        <v>337</v>
      </c>
      <c r="C338">
        <v>1</v>
      </c>
      <c r="D338" s="17" t="s">
        <v>155</v>
      </c>
      <c r="E338" s="17"/>
      <c r="F338" s="17" t="s">
        <v>156</v>
      </c>
      <c r="G338" s="17"/>
      <c r="H338" s="17" t="s">
        <v>692</v>
      </c>
      <c r="I338" s="17"/>
      <c r="J338" s="17" t="s">
        <v>693</v>
      </c>
      <c r="K338" s="17"/>
      <c r="L338" s="17"/>
      <c r="M338" s="17"/>
      <c r="N338" s="17" t="s">
        <v>6043</v>
      </c>
      <c r="O338" s="17"/>
      <c r="P338" s="17" t="s">
        <v>6077</v>
      </c>
      <c r="Q338" s="17"/>
      <c r="R338" s="25" t="str">
        <f>HYPERLINK("https://ictv.global/taxonomy/taxondetails?taxnode_id=202308921","Tedavirus A829")</f>
        <v>Tedavirus A829</v>
      </c>
      <c r="S338" s="18" t="s">
        <v>30</v>
      </c>
      <c r="T338" s="18" t="s">
        <v>6078</v>
      </c>
      <c r="U338" s="18"/>
      <c r="V338" s="18"/>
      <c r="W338" s="18" t="s">
        <v>6079</v>
      </c>
      <c r="X338" s="18" t="s">
        <v>42</v>
      </c>
      <c r="Y338" s="18" t="s">
        <v>36</v>
      </c>
      <c r="Z338" s="18" t="s">
        <v>697</v>
      </c>
      <c r="AA338" s="21" t="str">
        <f>HYPERLINK("https://www.ncbi.nlm.nih.gov/nuccore/KY914485","NCBI Nucleotide")</f>
        <v>NCBI Nucleotide</v>
      </c>
    </row>
    <row r="339" spans="1:27" x14ac:dyDescent="0.35">
      <c r="A339">
        <v>1000332</v>
      </c>
      <c r="B339">
        <v>338</v>
      </c>
      <c r="C339">
        <v>1</v>
      </c>
      <c r="D339" s="17" t="s">
        <v>155</v>
      </c>
      <c r="E339" s="17"/>
      <c r="F339" s="17" t="s">
        <v>156</v>
      </c>
      <c r="G339" s="17"/>
      <c r="H339" s="17" t="s">
        <v>692</v>
      </c>
      <c r="I339" s="17"/>
      <c r="J339" s="17" t="s">
        <v>693</v>
      </c>
      <c r="K339" s="17"/>
      <c r="L339" s="17"/>
      <c r="M339" s="17"/>
      <c r="N339" s="17" t="s">
        <v>6043</v>
      </c>
      <c r="O339" s="17"/>
      <c r="P339" s="17" t="s">
        <v>6080</v>
      </c>
      <c r="Q339" s="17"/>
      <c r="R339" s="25" t="str">
        <f>HYPERLINK("https://ictv.global/taxonomy/taxondetails?taxnode_id=202308915","Vapseptimavirus VAP7")</f>
        <v>Vapseptimavirus VAP7</v>
      </c>
      <c r="S339" s="18" t="s">
        <v>30</v>
      </c>
      <c r="T339" s="18" t="s">
        <v>6081</v>
      </c>
      <c r="U339" s="18"/>
      <c r="V339" s="18"/>
      <c r="W339" s="18" t="s">
        <v>6082</v>
      </c>
      <c r="X339" s="18" t="s">
        <v>42</v>
      </c>
      <c r="Y339" s="18" t="s">
        <v>36</v>
      </c>
      <c r="Z339" s="18" t="s">
        <v>697</v>
      </c>
      <c r="AA339" s="21" t="str">
        <f>HYPERLINK("https://www.ncbi.nlm.nih.gov/nuccore/MK795384","NCBI Nucleotide")</f>
        <v>NCBI Nucleotide</v>
      </c>
    </row>
    <row r="340" spans="1:27" x14ac:dyDescent="0.35">
      <c r="A340">
        <v>1000333</v>
      </c>
      <c r="B340">
        <v>339</v>
      </c>
      <c r="C340">
        <v>1</v>
      </c>
      <c r="D340" s="17" t="s">
        <v>155</v>
      </c>
      <c r="E340" s="17"/>
      <c r="F340" s="17" t="s">
        <v>156</v>
      </c>
      <c r="G340" s="17"/>
      <c r="H340" s="17" t="s">
        <v>692</v>
      </c>
      <c r="I340" s="17"/>
      <c r="J340" s="17" t="s">
        <v>693</v>
      </c>
      <c r="K340" s="17"/>
      <c r="L340" s="17"/>
      <c r="M340" s="17"/>
      <c r="N340" s="17" t="s">
        <v>6182</v>
      </c>
      <c r="O340" s="17"/>
      <c r="P340" s="17" t="s">
        <v>6183</v>
      </c>
      <c r="Q340" s="17"/>
      <c r="R340" s="25" t="str">
        <f>HYPERLINK("https://ictv.global/taxonomy/taxondetails?taxnode_id=202313575","Harrekavirus harreka")</f>
        <v>Harrekavirus harreka</v>
      </c>
      <c r="S340" s="18" t="s">
        <v>30</v>
      </c>
      <c r="T340" s="18" t="s">
        <v>6184</v>
      </c>
      <c r="U340" s="18" t="s">
        <v>6185</v>
      </c>
      <c r="V340" s="18"/>
      <c r="W340" s="18" t="s">
        <v>6186</v>
      </c>
      <c r="X340" s="18" t="s">
        <v>42</v>
      </c>
      <c r="Y340" s="18" t="s">
        <v>36</v>
      </c>
      <c r="Z340" s="18" t="s">
        <v>697</v>
      </c>
      <c r="AA340" s="21" t="str">
        <f>HYPERLINK("https://www.ncbi.nlm.nih.gov/nuccore/MT732457","NCBI Nucleotide")</f>
        <v>NCBI Nucleotide</v>
      </c>
    </row>
    <row r="341" spans="1:27" x14ac:dyDescent="0.35">
      <c r="A341">
        <v>1000334</v>
      </c>
      <c r="B341">
        <v>340</v>
      </c>
      <c r="C341">
        <v>1</v>
      </c>
      <c r="D341" s="17" t="s">
        <v>155</v>
      </c>
      <c r="E341" s="17"/>
      <c r="F341" s="17" t="s">
        <v>156</v>
      </c>
      <c r="G341" s="17"/>
      <c r="H341" s="17" t="s">
        <v>692</v>
      </c>
      <c r="I341" s="17"/>
      <c r="J341" s="17" t="s">
        <v>693</v>
      </c>
      <c r="K341" s="17"/>
      <c r="L341" s="17"/>
      <c r="M341" s="17"/>
      <c r="N341" s="17" t="s">
        <v>6187</v>
      </c>
      <c r="O341" s="17"/>
      <c r="P341" s="17" t="s">
        <v>6188</v>
      </c>
      <c r="Q341" s="17"/>
      <c r="R341" s="25" t="str">
        <f>HYPERLINK("https://ictv.global/taxonomy/taxondetails?taxnode_id=202314425","Brussowvirus 20617")</f>
        <v>Brussowvirus 20617</v>
      </c>
      <c r="S341" s="18" t="s">
        <v>30</v>
      </c>
      <c r="T341" s="18" t="s">
        <v>6189</v>
      </c>
      <c r="U341" s="18"/>
      <c r="V341" s="18"/>
      <c r="W341" s="18" t="s">
        <v>6190</v>
      </c>
      <c r="X341" s="18" t="s">
        <v>42</v>
      </c>
      <c r="Y341" s="18" t="s">
        <v>36</v>
      </c>
      <c r="Z341" s="18" t="s">
        <v>697</v>
      </c>
      <c r="AA341" s="21" t="str">
        <f>HYPERLINK("https://www.ncbi.nlm.nih.gov/nuccore/HG424323","NCBI Nucleotide")</f>
        <v>NCBI Nucleotide</v>
      </c>
    </row>
    <row r="342" spans="1:27" x14ac:dyDescent="0.35">
      <c r="A342">
        <v>1000335</v>
      </c>
      <c r="B342">
        <v>341</v>
      </c>
      <c r="C342">
        <v>1</v>
      </c>
      <c r="D342" s="17" t="s">
        <v>155</v>
      </c>
      <c r="E342" s="17"/>
      <c r="F342" s="17" t="s">
        <v>156</v>
      </c>
      <c r="G342" s="17"/>
      <c r="H342" s="17" t="s">
        <v>692</v>
      </c>
      <c r="I342" s="17"/>
      <c r="J342" s="17" t="s">
        <v>693</v>
      </c>
      <c r="K342" s="17"/>
      <c r="L342" s="17"/>
      <c r="M342" s="17"/>
      <c r="N342" s="17" t="s">
        <v>6187</v>
      </c>
      <c r="O342" s="17"/>
      <c r="P342" s="17" t="s">
        <v>6188</v>
      </c>
      <c r="Q342" s="17"/>
      <c r="R342" s="25" t="str">
        <f>HYPERLINK("https://ictv.global/taxonomy/taxondetails?taxnode_id=202301269","Brussowvirus ALQ132")</f>
        <v>Brussowvirus ALQ132</v>
      </c>
      <c r="S342" s="18" t="s">
        <v>30</v>
      </c>
      <c r="T342" s="18" t="s">
        <v>6191</v>
      </c>
      <c r="U342" s="18"/>
      <c r="V342" s="18"/>
      <c r="W342" s="18" t="s">
        <v>6192</v>
      </c>
      <c r="X342" s="18" t="s">
        <v>42</v>
      </c>
      <c r="Y342" s="18" t="s">
        <v>36</v>
      </c>
      <c r="Z342" s="18" t="s">
        <v>697</v>
      </c>
      <c r="AA342" s="21" t="str">
        <f>HYPERLINK("https://www.ncbi.nlm.nih.gov/nuccore/FJ226752","NCBI Nucleotide")</f>
        <v>NCBI Nucleotide</v>
      </c>
    </row>
    <row r="343" spans="1:27" x14ac:dyDescent="0.35">
      <c r="A343">
        <v>1000337</v>
      </c>
      <c r="B343">
        <v>342</v>
      </c>
      <c r="C343">
        <v>1</v>
      </c>
      <c r="D343" s="17" t="s">
        <v>155</v>
      </c>
      <c r="E343" s="17"/>
      <c r="F343" s="17" t="s">
        <v>156</v>
      </c>
      <c r="G343" s="17"/>
      <c r="H343" s="17" t="s">
        <v>692</v>
      </c>
      <c r="I343" s="17"/>
      <c r="J343" s="17" t="s">
        <v>693</v>
      </c>
      <c r="K343" s="17"/>
      <c r="L343" s="17"/>
      <c r="M343" s="17"/>
      <c r="N343" s="17" t="s">
        <v>6187</v>
      </c>
      <c r="O343" s="17"/>
      <c r="P343" s="17" t="s">
        <v>6188</v>
      </c>
      <c r="Q343" s="17"/>
      <c r="R343" s="25" t="str">
        <f>HYPERLINK("https://ictv.global/taxonomy/taxondetails?taxnode_id=202301267","Brussowvirus bv858")</f>
        <v>Brussowvirus bv858</v>
      </c>
      <c r="S343" s="18" t="s">
        <v>30</v>
      </c>
      <c r="T343" s="18" t="s">
        <v>6195</v>
      </c>
      <c r="U343" s="18"/>
      <c r="V343" s="18"/>
      <c r="W343" s="18" t="s">
        <v>6196</v>
      </c>
      <c r="X343" s="18" t="s">
        <v>42</v>
      </c>
      <c r="Y343" s="18" t="s">
        <v>36</v>
      </c>
      <c r="Z343" s="18" t="s">
        <v>697</v>
      </c>
      <c r="AA343" s="21" t="str">
        <f>HYPERLINK("https://www.ncbi.nlm.nih.gov/nuccore/EF529515","NCBI Nucleotide")</f>
        <v>NCBI Nucleotide</v>
      </c>
    </row>
    <row r="344" spans="1:27" x14ac:dyDescent="0.35">
      <c r="A344">
        <v>1000336</v>
      </c>
      <c r="B344">
        <v>343</v>
      </c>
      <c r="C344">
        <v>1</v>
      </c>
      <c r="D344" s="17" t="s">
        <v>155</v>
      </c>
      <c r="E344" s="17"/>
      <c r="F344" s="17" t="s">
        <v>156</v>
      </c>
      <c r="G344" s="17"/>
      <c r="H344" s="17" t="s">
        <v>692</v>
      </c>
      <c r="I344" s="17"/>
      <c r="J344" s="17" t="s">
        <v>693</v>
      </c>
      <c r="K344" s="17"/>
      <c r="L344" s="17"/>
      <c r="M344" s="17"/>
      <c r="N344" s="17" t="s">
        <v>6187</v>
      </c>
      <c r="O344" s="17"/>
      <c r="P344" s="17" t="s">
        <v>6188</v>
      </c>
      <c r="Q344" s="17"/>
      <c r="R344" s="25" t="str">
        <f>HYPERLINK("https://ictv.global/taxonomy/taxondetails?taxnode_id=202301268","Brussowvirus bv2972")</f>
        <v>Brussowvirus bv2972</v>
      </c>
      <c r="S344" s="18" t="s">
        <v>30</v>
      </c>
      <c r="T344" s="18" t="s">
        <v>6193</v>
      </c>
      <c r="U344" s="18"/>
      <c r="V344" s="18"/>
      <c r="W344" s="18" t="s">
        <v>6194</v>
      </c>
      <c r="X344" s="18" t="s">
        <v>42</v>
      </c>
      <c r="Y344" s="18" t="s">
        <v>36</v>
      </c>
      <c r="Z344" s="18" t="s">
        <v>697</v>
      </c>
      <c r="AA344" s="21" t="str">
        <f>HYPERLINK("https://www.ncbi.nlm.nih.gov/nuccore/AY699705","NCBI Nucleotide")</f>
        <v>NCBI Nucleotide</v>
      </c>
    </row>
    <row r="345" spans="1:27" x14ac:dyDescent="0.35">
      <c r="A345">
        <v>1000338</v>
      </c>
      <c r="B345">
        <v>344</v>
      </c>
      <c r="C345">
        <v>1</v>
      </c>
      <c r="D345" s="17" t="s">
        <v>155</v>
      </c>
      <c r="E345" s="17"/>
      <c r="F345" s="17" t="s">
        <v>156</v>
      </c>
      <c r="G345" s="17"/>
      <c r="H345" s="17" t="s">
        <v>692</v>
      </c>
      <c r="I345" s="17"/>
      <c r="J345" s="17" t="s">
        <v>693</v>
      </c>
      <c r="K345" s="17"/>
      <c r="L345" s="17"/>
      <c r="M345" s="17"/>
      <c r="N345" s="17" t="s">
        <v>6187</v>
      </c>
      <c r="O345" s="17"/>
      <c r="P345" s="17" t="s">
        <v>6188</v>
      </c>
      <c r="Q345" s="17"/>
      <c r="R345" s="25" t="str">
        <f>HYPERLINK("https://ictv.global/taxonomy/taxondetails?taxnode_id=202301270","Brussowvirus bvO1205")</f>
        <v>Brussowvirus bvO1205</v>
      </c>
      <c r="S345" s="18" t="s">
        <v>30</v>
      </c>
      <c r="T345" s="18" t="s">
        <v>6197</v>
      </c>
      <c r="U345" s="18"/>
      <c r="V345" s="18"/>
      <c r="W345" s="18" t="s">
        <v>6198</v>
      </c>
      <c r="X345" s="18" t="s">
        <v>42</v>
      </c>
      <c r="Y345" s="18" t="s">
        <v>36</v>
      </c>
      <c r="Z345" s="18" t="s">
        <v>697</v>
      </c>
      <c r="AA345" s="21" t="str">
        <f>HYPERLINK("https://www.ncbi.nlm.nih.gov/nuccore/U88974","NCBI Nucleotide")</f>
        <v>NCBI Nucleotide</v>
      </c>
    </row>
    <row r="346" spans="1:27" x14ac:dyDescent="0.35">
      <c r="A346">
        <v>1000346</v>
      </c>
      <c r="B346">
        <v>345</v>
      </c>
      <c r="C346">
        <v>1</v>
      </c>
      <c r="D346" s="17" t="s">
        <v>155</v>
      </c>
      <c r="E346" s="17"/>
      <c r="F346" s="17" t="s">
        <v>156</v>
      </c>
      <c r="G346" s="17"/>
      <c r="H346" s="17" t="s">
        <v>692</v>
      </c>
      <c r="I346" s="17"/>
      <c r="J346" s="17" t="s">
        <v>693</v>
      </c>
      <c r="K346" s="17"/>
      <c r="L346" s="17"/>
      <c r="M346" s="17"/>
      <c r="N346" s="17" t="s">
        <v>6187</v>
      </c>
      <c r="O346" s="17"/>
      <c r="P346" s="17" t="s">
        <v>6188</v>
      </c>
      <c r="Q346" s="17"/>
      <c r="R346" s="25" t="str">
        <f>HYPERLINK("https://ictv.global/taxonomy/taxondetails?taxnode_id=202314433","Brussowvirus CHPC640")</f>
        <v>Brussowvirus CHPC640</v>
      </c>
      <c r="S346" s="18" t="s">
        <v>30</v>
      </c>
      <c r="T346" s="18" t="s">
        <v>6213</v>
      </c>
      <c r="U346" s="18"/>
      <c r="V346" s="18"/>
      <c r="W346" s="18" t="s">
        <v>6214</v>
      </c>
      <c r="X346" s="18" t="s">
        <v>42</v>
      </c>
      <c r="Y346" s="18" t="s">
        <v>36</v>
      </c>
      <c r="Z346" s="18" t="s">
        <v>697</v>
      </c>
      <c r="AA346" s="21" t="str">
        <f>HYPERLINK("https://www.ncbi.nlm.nih.gov/nuccore/MH937460","NCBI Nucleotide")</f>
        <v>NCBI Nucleotide</v>
      </c>
    </row>
    <row r="347" spans="1:27" x14ac:dyDescent="0.35">
      <c r="A347">
        <v>1000347</v>
      </c>
      <c r="B347">
        <v>346</v>
      </c>
      <c r="C347">
        <v>1</v>
      </c>
      <c r="D347" s="17" t="s">
        <v>155</v>
      </c>
      <c r="E347" s="17"/>
      <c r="F347" s="17" t="s">
        <v>156</v>
      </c>
      <c r="G347" s="17"/>
      <c r="H347" s="17" t="s">
        <v>692</v>
      </c>
      <c r="I347" s="17"/>
      <c r="J347" s="17" t="s">
        <v>693</v>
      </c>
      <c r="K347" s="17"/>
      <c r="L347" s="17"/>
      <c r="M347" s="17"/>
      <c r="N347" s="17" t="s">
        <v>6187</v>
      </c>
      <c r="O347" s="17"/>
      <c r="P347" s="17" t="s">
        <v>6188</v>
      </c>
      <c r="Q347" s="17"/>
      <c r="R347" s="25" t="str">
        <f>HYPERLINK("https://ictv.global/taxonomy/taxondetails?taxnode_id=202314434","Brussowvirus CHPC869")</f>
        <v>Brussowvirus CHPC869</v>
      </c>
      <c r="S347" s="18" t="s">
        <v>30</v>
      </c>
      <c r="T347" s="18" t="s">
        <v>6215</v>
      </c>
      <c r="U347" s="18"/>
      <c r="V347" s="18"/>
      <c r="W347" s="18" t="s">
        <v>6216</v>
      </c>
      <c r="X347" s="18" t="s">
        <v>42</v>
      </c>
      <c r="Y347" s="18" t="s">
        <v>36</v>
      </c>
      <c r="Z347" s="18" t="s">
        <v>697</v>
      </c>
      <c r="AA347" s="21" t="str">
        <f>HYPERLINK("https://www.ncbi.nlm.nih.gov/nuccore/MH937464","NCBI Nucleotide")</f>
        <v>NCBI Nucleotide</v>
      </c>
    </row>
    <row r="348" spans="1:27" x14ac:dyDescent="0.35">
      <c r="A348">
        <v>1000348</v>
      </c>
      <c r="B348">
        <v>347</v>
      </c>
      <c r="C348">
        <v>1</v>
      </c>
      <c r="D348" s="17" t="s">
        <v>155</v>
      </c>
      <c r="E348" s="17"/>
      <c r="F348" s="17" t="s">
        <v>156</v>
      </c>
      <c r="G348" s="17"/>
      <c r="H348" s="17" t="s">
        <v>692</v>
      </c>
      <c r="I348" s="17"/>
      <c r="J348" s="17" t="s">
        <v>693</v>
      </c>
      <c r="K348" s="17"/>
      <c r="L348" s="17"/>
      <c r="M348" s="17"/>
      <c r="N348" s="17" t="s">
        <v>6187</v>
      </c>
      <c r="O348" s="17"/>
      <c r="P348" s="17" t="s">
        <v>6188</v>
      </c>
      <c r="Q348" s="17"/>
      <c r="R348" s="25" t="str">
        <f>HYPERLINK("https://ictv.global/taxonomy/taxondetails?taxnode_id=202314435","Brussowvirus CHPC931")</f>
        <v>Brussowvirus CHPC931</v>
      </c>
      <c r="S348" s="18" t="s">
        <v>30</v>
      </c>
      <c r="T348" s="18" t="s">
        <v>6217</v>
      </c>
      <c r="U348" s="18"/>
      <c r="V348" s="18"/>
      <c r="W348" s="18" t="s">
        <v>6218</v>
      </c>
      <c r="X348" s="18" t="s">
        <v>42</v>
      </c>
      <c r="Y348" s="18" t="s">
        <v>36</v>
      </c>
      <c r="Z348" s="18" t="s">
        <v>697</v>
      </c>
      <c r="AA348" s="21" t="str">
        <f>HYPERLINK("https://www.ncbi.nlm.nih.gov/nuccore/MH937475","NCBI Nucleotide")</f>
        <v>NCBI Nucleotide</v>
      </c>
    </row>
    <row r="349" spans="1:27" x14ac:dyDescent="0.35">
      <c r="A349">
        <v>1000349</v>
      </c>
      <c r="B349">
        <v>348</v>
      </c>
      <c r="C349">
        <v>1</v>
      </c>
      <c r="D349" s="17" t="s">
        <v>155</v>
      </c>
      <c r="E349" s="17"/>
      <c r="F349" s="17" t="s">
        <v>156</v>
      </c>
      <c r="G349" s="17"/>
      <c r="H349" s="17" t="s">
        <v>692</v>
      </c>
      <c r="I349" s="17"/>
      <c r="J349" s="17" t="s">
        <v>693</v>
      </c>
      <c r="K349" s="17"/>
      <c r="L349" s="17"/>
      <c r="M349" s="17"/>
      <c r="N349" s="17" t="s">
        <v>6187</v>
      </c>
      <c r="O349" s="17"/>
      <c r="P349" s="17" t="s">
        <v>6188</v>
      </c>
      <c r="Q349" s="17"/>
      <c r="R349" s="25" t="str">
        <f>HYPERLINK("https://ictv.global/taxonomy/taxondetails?taxnode_id=202314436","Brussowvirus CHPC951")</f>
        <v>Brussowvirus CHPC951</v>
      </c>
      <c r="S349" s="18" t="s">
        <v>30</v>
      </c>
      <c r="T349" s="18" t="s">
        <v>6219</v>
      </c>
      <c r="U349" s="18"/>
      <c r="V349" s="18"/>
      <c r="W349" s="18" t="s">
        <v>6220</v>
      </c>
      <c r="X349" s="18" t="s">
        <v>42</v>
      </c>
      <c r="Y349" s="18" t="s">
        <v>36</v>
      </c>
      <c r="Z349" s="18" t="s">
        <v>697</v>
      </c>
      <c r="AA349" s="21" t="str">
        <f>HYPERLINK("https://www.ncbi.nlm.nih.gov/nuccore/MH937478","NCBI Nucleotide")</f>
        <v>NCBI Nucleotide</v>
      </c>
    </row>
    <row r="350" spans="1:27" x14ac:dyDescent="0.35">
      <c r="A350">
        <v>1000350</v>
      </c>
      <c r="B350">
        <v>349</v>
      </c>
      <c r="C350">
        <v>1</v>
      </c>
      <c r="D350" s="17" t="s">
        <v>155</v>
      </c>
      <c r="E350" s="17"/>
      <c r="F350" s="17" t="s">
        <v>156</v>
      </c>
      <c r="G350" s="17"/>
      <c r="H350" s="17" t="s">
        <v>692</v>
      </c>
      <c r="I350" s="17"/>
      <c r="J350" s="17" t="s">
        <v>693</v>
      </c>
      <c r="K350" s="17"/>
      <c r="L350" s="17"/>
      <c r="M350" s="17"/>
      <c r="N350" s="17" t="s">
        <v>6187</v>
      </c>
      <c r="O350" s="17"/>
      <c r="P350" s="17" t="s">
        <v>6188</v>
      </c>
      <c r="Q350" s="17"/>
      <c r="R350" s="25" t="str">
        <f>HYPERLINK("https://ictv.global/taxonomy/taxondetails?taxnode_id=202314437","Brussowvirus CHPC952")</f>
        <v>Brussowvirus CHPC952</v>
      </c>
      <c r="S350" s="18" t="s">
        <v>30</v>
      </c>
      <c r="T350" s="18" t="s">
        <v>6221</v>
      </c>
      <c r="U350" s="18"/>
      <c r="V350" s="18"/>
      <c r="W350" s="18" t="s">
        <v>6222</v>
      </c>
      <c r="X350" s="18" t="s">
        <v>42</v>
      </c>
      <c r="Y350" s="18" t="s">
        <v>36</v>
      </c>
      <c r="Z350" s="18" t="s">
        <v>697</v>
      </c>
      <c r="AA350" s="21" t="str">
        <f>HYPERLINK("https://www.ncbi.nlm.nih.gov/nuccore/MH937479","NCBI Nucleotide")</f>
        <v>NCBI Nucleotide</v>
      </c>
    </row>
    <row r="351" spans="1:27" x14ac:dyDescent="0.35">
      <c r="A351">
        <v>1000339</v>
      </c>
      <c r="B351">
        <v>350</v>
      </c>
      <c r="C351">
        <v>1</v>
      </c>
      <c r="D351" s="17" t="s">
        <v>155</v>
      </c>
      <c r="E351" s="17"/>
      <c r="F351" s="17" t="s">
        <v>156</v>
      </c>
      <c r="G351" s="17"/>
      <c r="H351" s="17" t="s">
        <v>692</v>
      </c>
      <c r="I351" s="17"/>
      <c r="J351" s="17" t="s">
        <v>693</v>
      </c>
      <c r="K351" s="17"/>
      <c r="L351" s="17"/>
      <c r="M351" s="17"/>
      <c r="N351" s="17" t="s">
        <v>6187</v>
      </c>
      <c r="O351" s="17"/>
      <c r="P351" s="17" t="s">
        <v>6188</v>
      </c>
      <c r="Q351" s="17"/>
      <c r="R351" s="25" t="str">
        <f>HYPERLINK("https://ictv.global/taxonomy/taxondetails?taxnode_id=202314426","Brussowvirus CHPC1042")</f>
        <v>Brussowvirus CHPC1042</v>
      </c>
      <c r="S351" s="18" t="s">
        <v>30</v>
      </c>
      <c r="T351" s="18" t="s">
        <v>6199</v>
      </c>
      <c r="U351" s="18"/>
      <c r="V351" s="18"/>
      <c r="W351" s="18" t="s">
        <v>6200</v>
      </c>
      <c r="X351" s="18" t="s">
        <v>42</v>
      </c>
      <c r="Y351" s="18" t="s">
        <v>36</v>
      </c>
      <c r="Z351" s="18" t="s">
        <v>697</v>
      </c>
      <c r="AA351" s="21" t="str">
        <f>HYPERLINK("https://www.ncbi.nlm.nih.gov/nuccore/MH937494","NCBI Nucleotide")</f>
        <v>NCBI Nucleotide</v>
      </c>
    </row>
    <row r="352" spans="1:27" x14ac:dyDescent="0.35">
      <c r="A352">
        <v>1000340</v>
      </c>
      <c r="B352">
        <v>351</v>
      </c>
      <c r="C352">
        <v>1</v>
      </c>
      <c r="D352" s="17" t="s">
        <v>155</v>
      </c>
      <c r="E352" s="17"/>
      <c r="F352" s="17" t="s">
        <v>156</v>
      </c>
      <c r="G352" s="17"/>
      <c r="H352" s="17" t="s">
        <v>692</v>
      </c>
      <c r="I352" s="17"/>
      <c r="J352" s="17" t="s">
        <v>693</v>
      </c>
      <c r="K352" s="17"/>
      <c r="L352" s="17"/>
      <c r="M352" s="17"/>
      <c r="N352" s="17" t="s">
        <v>6187</v>
      </c>
      <c r="O352" s="17"/>
      <c r="P352" s="17" t="s">
        <v>6188</v>
      </c>
      <c r="Q352" s="17"/>
      <c r="R352" s="25" t="str">
        <f>HYPERLINK("https://ictv.global/taxonomy/taxondetails?taxnode_id=202314427","Brussowvirus CHPC1109")</f>
        <v>Brussowvirus CHPC1109</v>
      </c>
      <c r="S352" s="18" t="s">
        <v>30</v>
      </c>
      <c r="T352" s="18" t="s">
        <v>6201</v>
      </c>
      <c r="U352" s="18"/>
      <c r="V352" s="18"/>
      <c r="W352" s="18" t="s">
        <v>6202</v>
      </c>
      <c r="X352" s="18" t="s">
        <v>42</v>
      </c>
      <c r="Y352" s="18" t="s">
        <v>36</v>
      </c>
      <c r="Z352" s="18" t="s">
        <v>697</v>
      </c>
      <c r="AA352" s="21" t="str">
        <f>HYPERLINK("https://www.ncbi.nlm.nih.gov/nuccore/MH937505","NCBI Nucleotide")</f>
        <v>NCBI Nucleotide</v>
      </c>
    </row>
    <row r="353" spans="1:27" x14ac:dyDescent="0.35">
      <c r="A353">
        <v>1000341</v>
      </c>
      <c r="B353">
        <v>352</v>
      </c>
      <c r="C353">
        <v>1</v>
      </c>
      <c r="D353" s="17" t="s">
        <v>155</v>
      </c>
      <c r="E353" s="17"/>
      <c r="F353" s="17" t="s">
        <v>156</v>
      </c>
      <c r="G353" s="17"/>
      <c r="H353" s="17" t="s">
        <v>692</v>
      </c>
      <c r="I353" s="17"/>
      <c r="J353" s="17" t="s">
        <v>693</v>
      </c>
      <c r="K353" s="17"/>
      <c r="L353" s="17"/>
      <c r="M353" s="17"/>
      <c r="N353" s="17" t="s">
        <v>6187</v>
      </c>
      <c r="O353" s="17"/>
      <c r="P353" s="17" t="s">
        <v>6188</v>
      </c>
      <c r="Q353" s="17"/>
      <c r="R353" s="25" t="str">
        <f>HYPERLINK("https://ictv.global/taxonomy/taxondetails?taxnode_id=202314428","Brussowvirus CHPC1152")</f>
        <v>Brussowvirus CHPC1152</v>
      </c>
      <c r="S353" s="18" t="s">
        <v>30</v>
      </c>
      <c r="T353" s="18" t="s">
        <v>6203</v>
      </c>
      <c r="U353" s="18"/>
      <c r="V353" s="18"/>
      <c r="W353" s="18" t="s">
        <v>6204</v>
      </c>
      <c r="X353" s="18" t="s">
        <v>42</v>
      </c>
      <c r="Y353" s="18" t="s">
        <v>36</v>
      </c>
      <c r="Z353" s="18" t="s">
        <v>697</v>
      </c>
      <c r="AA353" s="21" t="str">
        <f>HYPERLINK("https://www.ncbi.nlm.nih.gov/nuccore/MH937507","NCBI Nucleotide")</f>
        <v>NCBI Nucleotide</v>
      </c>
    </row>
    <row r="354" spans="1:27" x14ac:dyDescent="0.35">
      <c r="A354">
        <v>1000342</v>
      </c>
      <c r="B354">
        <v>353</v>
      </c>
      <c r="C354">
        <v>1</v>
      </c>
      <c r="D354" s="17" t="s">
        <v>155</v>
      </c>
      <c r="E354" s="17"/>
      <c r="F354" s="17" t="s">
        <v>156</v>
      </c>
      <c r="G354" s="17"/>
      <c r="H354" s="17" t="s">
        <v>692</v>
      </c>
      <c r="I354" s="17"/>
      <c r="J354" s="17" t="s">
        <v>693</v>
      </c>
      <c r="K354" s="17"/>
      <c r="L354" s="17"/>
      <c r="M354" s="17"/>
      <c r="N354" s="17" t="s">
        <v>6187</v>
      </c>
      <c r="O354" s="17"/>
      <c r="P354" s="17" t="s">
        <v>6188</v>
      </c>
      <c r="Q354" s="17"/>
      <c r="R354" s="25" t="str">
        <f>HYPERLINK("https://ictv.global/taxonomy/taxondetails?taxnode_id=202314429","Brussowvirus CHPC1230")</f>
        <v>Brussowvirus CHPC1230</v>
      </c>
      <c r="S354" s="18" t="s">
        <v>30</v>
      </c>
      <c r="T354" s="18" t="s">
        <v>6205</v>
      </c>
      <c r="U354" s="18"/>
      <c r="V354" s="18"/>
      <c r="W354" s="18" t="s">
        <v>6206</v>
      </c>
      <c r="X354" s="18" t="s">
        <v>42</v>
      </c>
      <c r="Y354" s="18" t="s">
        <v>36</v>
      </c>
      <c r="Z354" s="18" t="s">
        <v>697</v>
      </c>
      <c r="AA354" s="21" t="str">
        <f>HYPERLINK("https://www.ncbi.nlm.nih.gov/nuccore/MH937509","NCBI Nucleotide")</f>
        <v>NCBI Nucleotide</v>
      </c>
    </row>
    <row r="355" spans="1:27" x14ac:dyDescent="0.35">
      <c r="A355">
        <v>1000343</v>
      </c>
      <c r="B355">
        <v>354</v>
      </c>
      <c r="C355">
        <v>1</v>
      </c>
      <c r="D355" s="17" t="s">
        <v>155</v>
      </c>
      <c r="E355" s="17"/>
      <c r="F355" s="17" t="s">
        <v>156</v>
      </c>
      <c r="G355" s="17"/>
      <c r="H355" s="17" t="s">
        <v>692</v>
      </c>
      <c r="I355" s="17"/>
      <c r="J355" s="17" t="s">
        <v>693</v>
      </c>
      <c r="K355" s="17"/>
      <c r="L355" s="17"/>
      <c r="M355" s="17"/>
      <c r="N355" s="17" t="s">
        <v>6187</v>
      </c>
      <c r="O355" s="17"/>
      <c r="P355" s="17" t="s">
        <v>6188</v>
      </c>
      <c r="Q355" s="17"/>
      <c r="R355" s="25" t="str">
        <f>HYPERLINK("https://ictv.global/taxonomy/taxondetails?taxnode_id=202314430","Brussowvirus CHPC1246")</f>
        <v>Brussowvirus CHPC1246</v>
      </c>
      <c r="S355" s="18" t="s">
        <v>30</v>
      </c>
      <c r="T355" s="18" t="s">
        <v>6207</v>
      </c>
      <c r="U355" s="18"/>
      <c r="V355" s="18"/>
      <c r="W355" s="18" t="s">
        <v>6208</v>
      </c>
      <c r="X355" s="18" t="s">
        <v>42</v>
      </c>
      <c r="Y355" s="18" t="s">
        <v>36</v>
      </c>
      <c r="Z355" s="18" t="s">
        <v>697</v>
      </c>
      <c r="AA355" s="21" t="str">
        <f>HYPERLINK("https://www.ncbi.nlm.nih.gov/nuccore/MH937510","NCBI Nucleotide")</f>
        <v>NCBI Nucleotide</v>
      </c>
    </row>
    <row r="356" spans="1:27" x14ac:dyDescent="0.35">
      <c r="A356">
        <v>1000344</v>
      </c>
      <c r="B356">
        <v>355</v>
      </c>
      <c r="C356">
        <v>1</v>
      </c>
      <c r="D356" s="17" t="s">
        <v>155</v>
      </c>
      <c r="E356" s="17"/>
      <c r="F356" s="17" t="s">
        <v>156</v>
      </c>
      <c r="G356" s="17"/>
      <c r="H356" s="17" t="s">
        <v>692</v>
      </c>
      <c r="I356" s="17"/>
      <c r="J356" s="17" t="s">
        <v>693</v>
      </c>
      <c r="K356" s="17"/>
      <c r="L356" s="17"/>
      <c r="M356" s="17"/>
      <c r="N356" s="17" t="s">
        <v>6187</v>
      </c>
      <c r="O356" s="17"/>
      <c r="P356" s="17" t="s">
        <v>6188</v>
      </c>
      <c r="Q356" s="17"/>
      <c r="R356" s="25" t="str">
        <f>HYPERLINK("https://ictv.global/taxonomy/taxondetails?taxnode_id=202314431","Brussowvirus CHPC1247")</f>
        <v>Brussowvirus CHPC1247</v>
      </c>
      <c r="S356" s="18" t="s">
        <v>30</v>
      </c>
      <c r="T356" s="18" t="s">
        <v>6209</v>
      </c>
      <c r="U356" s="18"/>
      <c r="V356" s="18"/>
      <c r="W356" s="18" t="s">
        <v>6210</v>
      </c>
      <c r="X356" s="18" t="s">
        <v>42</v>
      </c>
      <c r="Y356" s="18" t="s">
        <v>36</v>
      </c>
      <c r="Z356" s="18" t="s">
        <v>697</v>
      </c>
      <c r="AA356" s="21" t="str">
        <f>HYPERLINK("https://www.ncbi.nlm.nih.gov/nuccore/MH937511","NCBI Nucleotide")</f>
        <v>NCBI Nucleotide</v>
      </c>
    </row>
    <row r="357" spans="1:27" x14ac:dyDescent="0.35">
      <c r="A357">
        <v>1000345</v>
      </c>
      <c r="B357">
        <v>356</v>
      </c>
      <c r="C357">
        <v>1</v>
      </c>
      <c r="D357" s="17" t="s">
        <v>155</v>
      </c>
      <c r="E357" s="17"/>
      <c r="F357" s="17" t="s">
        <v>156</v>
      </c>
      <c r="G357" s="17"/>
      <c r="H357" s="17" t="s">
        <v>692</v>
      </c>
      <c r="I357" s="17"/>
      <c r="J357" s="17" t="s">
        <v>693</v>
      </c>
      <c r="K357" s="17"/>
      <c r="L357" s="17"/>
      <c r="M357" s="17"/>
      <c r="N357" s="17" t="s">
        <v>6187</v>
      </c>
      <c r="O357" s="17"/>
      <c r="P357" s="17" t="s">
        <v>6188</v>
      </c>
      <c r="Q357" s="17"/>
      <c r="R357" s="25" t="str">
        <f>HYPERLINK("https://ictv.global/taxonomy/taxondetails?taxnode_id=202314432","Brussowvirus CHPC1248")</f>
        <v>Brussowvirus CHPC1248</v>
      </c>
      <c r="S357" s="18" t="s">
        <v>30</v>
      </c>
      <c r="T357" s="18" t="s">
        <v>6211</v>
      </c>
      <c r="U357" s="18"/>
      <c r="V357" s="18"/>
      <c r="W357" s="18" t="s">
        <v>6212</v>
      </c>
      <c r="X357" s="18" t="s">
        <v>42</v>
      </c>
      <c r="Y357" s="18" t="s">
        <v>36</v>
      </c>
      <c r="Z357" s="18" t="s">
        <v>697</v>
      </c>
      <c r="AA357" s="21" t="str">
        <f>HYPERLINK("https://www.ncbi.nlm.nih.gov/nuccore/MH937457","NCBI Nucleotide")</f>
        <v>NCBI Nucleotide</v>
      </c>
    </row>
    <row r="358" spans="1:27" x14ac:dyDescent="0.35">
      <c r="A358">
        <v>1000351</v>
      </c>
      <c r="B358">
        <v>357</v>
      </c>
      <c r="C358">
        <v>1</v>
      </c>
      <c r="D358" s="17" t="s">
        <v>155</v>
      </c>
      <c r="E358" s="17"/>
      <c r="F358" s="17" t="s">
        <v>156</v>
      </c>
      <c r="G358" s="17"/>
      <c r="H358" s="17" t="s">
        <v>692</v>
      </c>
      <c r="I358" s="17"/>
      <c r="J358" s="17" t="s">
        <v>693</v>
      </c>
      <c r="K358" s="17"/>
      <c r="L358" s="17"/>
      <c r="M358" s="17"/>
      <c r="N358" s="17" t="s">
        <v>6187</v>
      </c>
      <c r="O358" s="17"/>
      <c r="P358" s="17" t="s">
        <v>6188</v>
      </c>
      <c r="Q358" s="17"/>
      <c r="R358" s="25" t="str">
        <f>HYPERLINK("https://ictv.global/taxonomy/taxondetails?taxnode_id=202314438","Brussowvirus P4761")</f>
        <v>Brussowvirus P4761</v>
      </c>
      <c r="S358" s="18" t="s">
        <v>30</v>
      </c>
      <c r="T358" s="18" t="s">
        <v>6223</v>
      </c>
      <c r="U358" s="18"/>
      <c r="V358" s="18"/>
      <c r="W358" s="18" t="s">
        <v>6224</v>
      </c>
      <c r="X358" s="18" t="s">
        <v>42</v>
      </c>
      <c r="Y358" s="18" t="s">
        <v>36</v>
      </c>
      <c r="Z358" s="18" t="s">
        <v>697</v>
      </c>
      <c r="AA358" s="21" t="str">
        <f>HYPERLINK("https://www.ncbi.nlm.nih.gov/nuccore/KY705258","NCBI Nucleotide")</f>
        <v>NCBI Nucleotide</v>
      </c>
    </row>
    <row r="359" spans="1:27" x14ac:dyDescent="0.35">
      <c r="A359">
        <v>1000352</v>
      </c>
      <c r="B359">
        <v>358</v>
      </c>
      <c r="C359">
        <v>1</v>
      </c>
      <c r="D359" s="17" t="s">
        <v>155</v>
      </c>
      <c r="E359" s="17"/>
      <c r="F359" s="17" t="s">
        <v>156</v>
      </c>
      <c r="G359" s="17"/>
      <c r="H359" s="17" t="s">
        <v>692</v>
      </c>
      <c r="I359" s="17"/>
      <c r="J359" s="17" t="s">
        <v>693</v>
      </c>
      <c r="K359" s="17"/>
      <c r="L359" s="17"/>
      <c r="M359" s="17"/>
      <c r="N359" s="17" t="s">
        <v>6187</v>
      </c>
      <c r="O359" s="17"/>
      <c r="P359" s="17" t="s">
        <v>6188</v>
      </c>
      <c r="Q359" s="17"/>
      <c r="R359" s="25" t="str">
        <f>HYPERLINK("https://ictv.global/taxonomy/taxondetails?taxnode_id=202314439","Brussowvirus P7571")</f>
        <v>Brussowvirus P7571</v>
      </c>
      <c r="S359" s="18" t="s">
        <v>30</v>
      </c>
      <c r="T359" s="18" t="s">
        <v>6225</v>
      </c>
      <c r="U359" s="18"/>
      <c r="V359" s="18"/>
      <c r="W359" s="18" t="s">
        <v>6226</v>
      </c>
      <c r="X359" s="18" t="s">
        <v>42</v>
      </c>
      <c r="Y359" s="18" t="s">
        <v>36</v>
      </c>
      <c r="Z359" s="18" t="s">
        <v>697</v>
      </c>
      <c r="AA359" s="21" t="str">
        <f>HYPERLINK("https://www.ncbi.nlm.nih.gov/nuccore/KY705268","NCBI Nucleotide")</f>
        <v>NCBI Nucleotide</v>
      </c>
    </row>
    <row r="360" spans="1:27" x14ac:dyDescent="0.35">
      <c r="A360">
        <v>1000353</v>
      </c>
      <c r="B360">
        <v>359</v>
      </c>
      <c r="C360">
        <v>1</v>
      </c>
      <c r="D360" s="17" t="s">
        <v>155</v>
      </c>
      <c r="E360" s="17"/>
      <c r="F360" s="17" t="s">
        <v>156</v>
      </c>
      <c r="G360" s="17"/>
      <c r="H360" s="17" t="s">
        <v>692</v>
      </c>
      <c r="I360" s="17"/>
      <c r="J360" s="17" t="s">
        <v>693</v>
      </c>
      <c r="K360" s="17"/>
      <c r="L360" s="17"/>
      <c r="M360" s="17"/>
      <c r="N360" s="17" t="s">
        <v>6187</v>
      </c>
      <c r="O360" s="17"/>
      <c r="P360" s="17" t="s">
        <v>6188</v>
      </c>
      <c r="Q360" s="17"/>
      <c r="R360" s="25" t="str">
        <f>HYPERLINK("https://ictv.global/taxonomy/taxondetails?taxnode_id=202314440","Brussowvirus P7951")</f>
        <v>Brussowvirus P7951</v>
      </c>
      <c r="S360" s="18" t="s">
        <v>30</v>
      </c>
      <c r="T360" s="18" t="s">
        <v>6227</v>
      </c>
      <c r="U360" s="18"/>
      <c r="V360" s="18"/>
      <c r="W360" s="18" t="s">
        <v>6228</v>
      </c>
      <c r="X360" s="18" t="s">
        <v>42</v>
      </c>
      <c r="Y360" s="18" t="s">
        <v>36</v>
      </c>
      <c r="Z360" s="18" t="s">
        <v>697</v>
      </c>
      <c r="AA360" s="21" t="str">
        <f>HYPERLINK("https://www.ncbi.nlm.nih.gov/nuccore/KY705277","NCBI Nucleotide")</f>
        <v>NCBI Nucleotide</v>
      </c>
    </row>
    <row r="361" spans="1:27" x14ac:dyDescent="0.35">
      <c r="A361">
        <v>1000354</v>
      </c>
      <c r="B361">
        <v>360</v>
      </c>
      <c r="C361">
        <v>1</v>
      </c>
      <c r="D361" s="17" t="s">
        <v>155</v>
      </c>
      <c r="E361" s="17"/>
      <c r="F361" s="17" t="s">
        <v>156</v>
      </c>
      <c r="G361" s="17"/>
      <c r="H361" s="17" t="s">
        <v>692</v>
      </c>
      <c r="I361" s="17"/>
      <c r="J361" s="17" t="s">
        <v>693</v>
      </c>
      <c r="K361" s="17"/>
      <c r="L361" s="17"/>
      <c r="M361" s="17"/>
      <c r="N361" s="17" t="s">
        <v>6187</v>
      </c>
      <c r="O361" s="17"/>
      <c r="P361" s="17" t="s">
        <v>6188</v>
      </c>
      <c r="Q361" s="17"/>
      <c r="R361" s="25" t="str">
        <f>HYPERLINK("https://ictv.global/taxonomy/taxondetails?taxnode_id=202314441","Brussowvirus P7952")</f>
        <v>Brussowvirus P7952</v>
      </c>
      <c r="S361" s="18" t="s">
        <v>30</v>
      </c>
      <c r="T361" s="18" t="s">
        <v>6229</v>
      </c>
      <c r="U361" s="18"/>
      <c r="V361" s="18"/>
      <c r="W361" s="18" t="s">
        <v>6230</v>
      </c>
      <c r="X361" s="18" t="s">
        <v>42</v>
      </c>
      <c r="Y361" s="18" t="s">
        <v>36</v>
      </c>
      <c r="Z361" s="18" t="s">
        <v>697</v>
      </c>
      <c r="AA361" s="21" t="str">
        <f>HYPERLINK("https://www.ncbi.nlm.nih.gov/nuccore/KY705278","NCBI Nucleotide")</f>
        <v>NCBI Nucleotide</v>
      </c>
    </row>
    <row r="362" spans="1:27" x14ac:dyDescent="0.35">
      <c r="A362">
        <v>1000355</v>
      </c>
      <c r="B362">
        <v>361</v>
      </c>
      <c r="C362">
        <v>1</v>
      </c>
      <c r="D362" s="17" t="s">
        <v>155</v>
      </c>
      <c r="E362" s="17"/>
      <c r="F362" s="17" t="s">
        <v>156</v>
      </c>
      <c r="G362" s="17"/>
      <c r="H362" s="17" t="s">
        <v>692</v>
      </c>
      <c r="I362" s="17"/>
      <c r="J362" s="17" t="s">
        <v>693</v>
      </c>
      <c r="K362" s="17"/>
      <c r="L362" s="17"/>
      <c r="M362" s="17"/>
      <c r="N362" s="17" t="s">
        <v>6187</v>
      </c>
      <c r="O362" s="17"/>
      <c r="P362" s="17" t="s">
        <v>6188</v>
      </c>
      <c r="Q362" s="17"/>
      <c r="R362" s="25" t="str">
        <f>HYPERLINK("https://ictv.global/taxonomy/taxondetails?taxnode_id=202314442","Brussowvirus P7953")</f>
        <v>Brussowvirus P7953</v>
      </c>
      <c r="S362" s="18" t="s">
        <v>30</v>
      </c>
      <c r="T362" s="18" t="s">
        <v>6231</v>
      </c>
      <c r="U362" s="18"/>
      <c r="V362" s="18"/>
      <c r="W362" s="18" t="s">
        <v>6232</v>
      </c>
      <c r="X362" s="18" t="s">
        <v>42</v>
      </c>
      <c r="Y362" s="18" t="s">
        <v>36</v>
      </c>
      <c r="Z362" s="18" t="s">
        <v>697</v>
      </c>
      <c r="AA362" s="21" t="str">
        <f>HYPERLINK("https://www.ncbi.nlm.nih.gov/nuccore/KY705279","NCBI Nucleotide")</f>
        <v>NCBI Nucleotide</v>
      </c>
    </row>
    <row r="363" spans="1:27" x14ac:dyDescent="0.35">
      <c r="A363">
        <v>1000356</v>
      </c>
      <c r="B363">
        <v>362</v>
      </c>
      <c r="C363">
        <v>1</v>
      </c>
      <c r="D363" s="17" t="s">
        <v>155</v>
      </c>
      <c r="E363" s="17"/>
      <c r="F363" s="17" t="s">
        <v>156</v>
      </c>
      <c r="G363" s="17"/>
      <c r="H363" s="17" t="s">
        <v>692</v>
      </c>
      <c r="I363" s="17"/>
      <c r="J363" s="17" t="s">
        <v>693</v>
      </c>
      <c r="K363" s="17"/>
      <c r="L363" s="17"/>
      <c r="M363" s="17"/>
      <c r="N363" s="17" t="s">
        <v>6187</v>
      </c>
      <c r="O363" s="17"/>
      <c r="P363" s="17" t="s">
        <v>6188</v>
      </c>
      <c r="Q363" s="17"/>
      <c r="R363" s="25" t="str">
        <f>HYPERLINK("https://ictv.global/taxonomy/taxondetails?taxnode_id=202314443","Brussowvirus P7954")</f>
        <v>Brussowvirus P7954</v>
      </c>
      <c r="S363" s="18" t="s">
        <v>30</v>
      </c>
      <c r="T363" s="18" t="s">
        <v>6233</v>
      </c>
      <c r="U363" s="18"/>
      <c r="V363" s="18"/>
      <c r="W363" s="18" t="s">
        <v>6234</v>
      </c>
      <c r="X363" s="18" t="s">
        <v>42</v>
      </c>
      <c r="Y363" s="18" t="s">
        <v>36</v>
      </c>
      <c r="Z363" s="18" t="s">
        <v>697</v>
      </c>
      <c r="AA363" s="21" t="str">
        <f>HYPERLINK("https://www.ncbi.nlm.nih.gov/nuccore/KY705280","NCBI Nucleotide")</f>
        <v>NCBI Nucleotide</v>
      </c>
    </row>
    <row r="364" spans="1:27" x14ac:dyDescent="0.35">
      <c r="A364">
        <v>1000357</v>
      </c>
      <c r="B364">
        <v>363</v>
      </c>
      <c r="C364">
        <v>1</v>
      </c>
      <c r="D364" s="17" t="s">
        <v>155</v>
      </c>
      <c r="E364" s="17"/>
      <c r="F364" s="17" t="s">
        <v>156</v>
      </c>
      <c r="G364" s="17"/>
      <c r="H364" s="17" t="s">
        <v>692</v>
      </c>
      <c r="I364" s="17"/>
      <c r="J364" s="17" t="s">
        <v>693</v>
      </c>
      <c r="K364" s="17"/>
      <c r="L364" s="17"/>
      <c r="M364" s="17"/>
      <c r="N364" s="17" t="s">
        <v>6187</v>
      </c>
      <c r="O364" s="17"/>
      <c r="P364" s="17" t="s">
        <v>6188</v>
      </c>
      <c r="Q364" s="17"/>
      <c r="R364" s="25" t="str">
        <f>HYPERLINK("https://ictv.global/taxonomy/taxondetails?taxnode_id=202314444","Brussowvirus P7955")</f>
        <v>Brussowvirus P7955</v>
      </c>
      <c r="S364" s="18" t="s">
        <v>30</v>
      </c>
      <c r="T364" s="18" t="s">
        <v>6235</v>
      </c>
      <c r="U364" s="18"/>
      <c r="V364" s="18"/>
      <c r="W364" s="18" t="s">
        <v>6236</v>
      </c>
      <c r="X364" s="18" t="s">
        <v>42</v>
      </c>
      <c r="Y364" s="18" t="s">
        <v>36</v>
      </c>
      <c r="Z364" s="18" t="s">
        <v>697</v>
      </c>
      <c r="AA364" s="21" t="str">
        <f>HYPERLINK("https://www.ncbi.nlm.nih.gov/nuccore/KY705281","NCBI Nucleotide")</f>
        <v>NCBI Nucleotide</v>
      </c>
    </row>
    <row r="365" spans="1:27" x14ac:dyDescent="0.35">
      <c r="A365">
        <v>1000358</v>
      </c>
      <c r="B365">
        <v>364</v>
      </c>
      <c r="C365">
        <v>1</v>
      </c>
      <c r="D365" s="17" t="s">
        <v>155</v>
      </c>
      <c r="E365" s="17"/>
      <c r="F365" s="17" t="s">
        <v>156</v>
      </c>
      <c r="G365" s="17"/>
      <c r="H365" s="17" t="s">
        <v>692</v>
      </c>
      <c r="I365" s="17"/>
      <c r="J365" s="17" t="s">
        <v>693</v>
      </c>
      <c r="K365" s="17"/>
      <c r="L365" s="17"/>
      <c r="M365" s="17"/>
      <c r="N365" s="17" t="s">
        <v>6187</v>
      </c>
      <c r="O365" s="17"/>
      <c r="P365" s="17" t="s">
        <v>6188</v>
      </c>
      <c r="Q365" s="17"/>
      <c r="R365" s="25" t="str">
        <f>HYPERLINK("https://ictv.global/taxonomy/taxondetails?taxnode_id=202314445","Brussowvirus P9853")</f>
        <v>Brussowvirus P9853</v>
      </c>
      <c r="S365" s="18" t="s">
        <v>30</v>
      </c>
      <c r="T365" s="18" t="s">
        <v>6237</v>
      </c>
      <c r="U365" s="18"/>
      <c r="V365" s="18"/>
      <c r="W365" s="18" t="s">
        <v>6238</v>
      </c>
      <c r="X365" s="18" t="s">
        <v>42</v>
      </c>
      <c r="Y365" s="18" t="s">
        <v>36</v>
      </c>
      <c r="Z365" s="18" t="s">
        <v>697</v>
      </c>
      <c r="AA365" s="21" t="str">
        <f>HYPERLINK("https://www.ncbi.nlm.nih.gov/nuccore/KY705286","NCBI Nucleotide")</f>
        <v>NCBI Nucleotide</v>
      </c>
    </row>
    <row r="366" spans="1:27" x14ac:dyDescent="0.35">
      <c r="A366">
        <v>1000359</v>
      </c>
      <c r="B366">
        <v>365</v>
      </c>
      <c r="C366">
        <v>1</v>
      </c>
      <c r="D366" s="17" t="s">
        <v>155</v>
      </c>
      <c r="E366" s="17"/>
      <c r="F366" s="17" t="s">
        <v>156</v>
      </c>
      <c r="G366" s="17"/>
      <c r="H366" s="17" t="s">
        <v>692</v>
      </c>
      <c r="I366" s="17"/>
      <c r="J366" s="17" t="s">
        <v>693</v>
      </c>
      <c r="K366" s="17"/>
      <c r="L366" s="17"/>
      <c r="M366" s="17"/>
      <c r="N366" s="17" t="s">
        <v>6187</v>
      </c>
      <c r="O366" s="17"/>
      <c r="P366" s="17" t="s">
        <v>6188</v>
      </c>
      <c r="Q366" s="17"/>
      <c r="R366" s="25" t="str">
        <f>HYPERLINK("https://ictv.global/taxonomy/taxondetails?taxnode_id=202301271","Brussowvirus Sfi11")</f>
        <v>Brussowvirus Sfi11</v>
      </c>
      <c r="S366" s="18" t="s">
        <v>30</v>
      </c>
      <c r="T366" s="18" t="s">
        <v>6239</v>
      </c>
      <c r="U366" s="18"/>
      <c r="V366" s="18"/>
      <c r="W366" s="18" t="s">
        <v>6240</v>
      </c>
      <c r="X366" s="18" t="s">
        <v>42</v>
      </c>
      <c r="Y366" s="18" t="s">
        <v>36</v>
      </c>
      <c r="Z366" s="18" t="s">
        <v>697</v>
      </c>
      <c r="AA366" s="21" t="str">
        <f>HYPERLINK("https://www.ncbi.nlm.nih.gov/nuccore/AF158600","NCBI Nucleotide")</f>
        <v>NCBI Nucleotide</v>
      </c>
    </row>
    <row r="367" spans="1:27" x14ac:dyDescent="0.35">
      <c r="A367">
        <v>1000361</v>
      </c>
      <c r="B367">
        <v>366</v>
      </c>
      <c r="C367">
        <v>1</v>
      </c>
      <c r="D367" s="17" t="s">
        <v>155</v>
      </c>
      <c r="E367" s="17"/>
      <c r="F367" s="17" t="s">
        <v>156</v>
      </c>
      <c r="G367" s="17"/>
      <c r="H367" s="17" t="s">
        <v>692</v>
      </c>
      <c r="I367" s="17"/>
      <c r="J367" s="17" t="s">
        <v>693</v>
      </c>
      <c r="K367" s="17"/>
      <c r="L367" s="17"/>
      <c r="M367" s="17"/>
      <c r="N367" s="17" t="s">
        <v>6187</v>
      </c>
      <c r="O367" s="17"/>
      <c r="P367" s="17" t="s">
        <v>6188</v>
      </c>
      <c r="Q367" s="17"/>
      <c r="R367" s="25" t="str">
        <f>HYPERLINK("https://ictv.global/taxonomy/taxondetails?taxnode_id=202314447","Brussowvirus SW13")</f>
        <v>Brussowvirus SW13</v>
      </c>
      <c r="S367" s="18" t="s">
        <v>30</v>
      </c>
      <c r="T367" s="18" t="s">
        <v>6243</v>
      </c>
      <c r="U367" s="18"/>
      <c r="V367" s="18"/>
      <c r="W367" s="18" t="s">
        <v>6244</v>
      </c>
      <c r="X367" s="18" t="s">
        <v>42</v>
      </c>
      <c r="Y367" s="18" t="s">
        <v>36</v>
      </c>
      <c r="Z367" s="18" t="s">
        <v>697</v>
      </c>
      <c r="AA367" s="21" t="str">
        <f>HYPERLINK("https://www.ncbi.nlm.nih.gov/nuccore/MH892362","NCBI Nucleotide")</f>
        <v>NCBI Nucleotide</v>
      </c>
    </row>
    <row r="368" spans="1:27" x14ac:dyDescent="0.35">
      <c r="A368">
        <v>1000362</v>
      </c>
      <c r="B368">
        <v>367</v>
      </c>
      <c r="C368">
        <v>1</v>
      </c>
      <c r="D368" s="17" t="s">
        <v>155</v>
      </c>
      <c r="E368" s="17"/>
      <c r="F368" s="17" t="s">
        <v>156</v>
      </c>
      <c r="G368" s="17"/>
      <c r="H368" s="17" t="s">
        <v>692</v>
      </c>
      <c r="I368" s="17"/>
      <c r="J368" s="17" t="s">
        <v>693</v>
      </c>
      <c r="K368" s="17"/>
      <c r="L368" s="17"/>
      <c r="M368" s="17"/>
      <c r="N368" s="17" t="s">
        <v>6187</v>
      </c>
      <c r="O368" s="17"/>
      <c r="P368" s="17" t="s">
        <v>6188</v>
      </c>
      <c r="Q368" s="17"/>
      <c r="R368" s="25" t="str">
        <f>HYPERLINK("https://ictv.global/taxonomy/taxondetails?taxnode_id=202314448","Brussowvirus SW14")</f>
        <v>Brussowvirus SW14</v>
      </c>
      <c r="S368" s="18" t="s">
        <v>30</v>
      </c>
      <c r="T368" s="18" t="s">
        <v>6245</v>
      </c>
      <c r="U368" s="18"/>
      <c r="V368" s="18"/>
      <c r="W368" s="18" t="s">
        <v>6246</v>
      </c>
      <c r="X368" s="18" t="s">
        <v>42</v>
      </c>
      <c r="Y368" s="18" t="s">
        <v>36</v>
      </c>
      <c r="Z368" s="18" t="s">
        <v>697</v>
      </c>
      <c r="AA368" s="21" t="str">
        <f>HYPERLINK("https://www.ncbi.nlm.nih.gov/nuccore/MH892363","NCBI Nucleotide")</f>
        <v>NCBI Nucleotide</v>
      </c>
    </row>
    <row r="369" spans="1:27" x14ac:dyDescent="0.35">
      <c r="A369">
        <v>1000363</v>
      </c>
      <c r="B369">
        <v>368</v>
      </c>
      <c r="C369">
        <v>1</v>
      </c>
      <c r="D369" s="17" t="s">
        <v>155</v>
      </c>
      <c r="E369" s="17"/>
      <c r="F369" s="17" t="s">
        <v>156</v>
      </c>
      <c r="G369" s="17"/>
      <c r="H369" s="17" t="s">
        <v>692</v>
      </c>
      <c r="I369" s="17"/>
      <c r="J369" s="17" t="s">
        <v>693</v>
      </c>
      <c r="K369" s="17"/>
      <c r="L369" s="17"/>
      <c r="M369" s="17"/>
      <c r="N369" s="17" t="s">
        <v>6187</v>
      </c>
      <c r="O369" s="17"/>
      <c r="P369" s="17" t="s">
        <v>6188</v>
      </c>
      <c r="Q369" s="17"/>
      <c r="R369" s="25" t="str">
        <f>HYPERLINK("https://ictv.global/taxonomy/taxondetails?taxnode_id=202314449","Brussowvirus SW15")</f>
        <v>Brussowvirus SW15</v>
      </c>
      <c r="S369" s="18" t="s">
        <v>30</v>
      </c>
      <c r="T369" s="18" t="s">
        <v>6247</v>
      </c>
      <c r="U369" s="18"/>
      <c r="V369" s="18"/>
      <c r="W369" s="18" t="s">
        <v>6248</v>
      </c>
      <c r="X369" s="18" t="s">
        <v>42</v>
      </c>
      <c r="Y369" s="18" t="s">
        <v>36</v>
      </c>
      <c r="Z369" s="18" t="s">
        <v>697</v>
      </c>
      <c r="AA369" s="21" t="str">
        <f>HYPERLINK("https://www.ncbi.nlm.nih.gov/nuccore/MH892364","NCBI Nucleotide")</f>
        <v>NCBI Nucleotide</v>
      </c>
    </row>
    <row r="370" spans="1:27" x14ac:dyDescent="0.35">
      <c r="A370">
        <v>1000364</v>
      </c>
      <c r="B370">
        <v>369</v>
      </c>
      <c r="C370">
        <v>1</v>
      </c>
      <c r="D370" s="17" t="s">
        <v>155</v>
      </c>
      <c r="E370" s="17"/>
      <c r="F370" s="17" t="s">
        <v>156</v>
      </c>
      <c r="G370" s="17"/>
      <c r="H370" s="17" t="s">
        <v>692</v>
      </c>
      <c r="I370" s="17"/>
      <c r="J370" s="17" t="s">
        <v>693</v>
      </c>
      <c r="K370" s="17"/>
      <c r="L370" s="17"/>
      <c r="M370" s="17"/>
      <c r="N370" s="17" t="s">
        <v>6187</v>
      </c>
      <c r="O370" s="17"/>
      <c r="P370" s="17" t="s">
        <v>6188</v>
      </c>
      <c r="Q370" s="17"/>
      <c r="R370" s="25" t="str">
        <f>HYPERLINK("https://ictv.global/taxonomy/taxondetails?taxnode_id=202314450","Brussowvirus SW18")</f>
        <v>Brussowvirus SW18</v>
      </c>
      <c r="S370" s="18" t="s">
        <v>30</v>
      </c>
      <c r="T370" s="18" t="s">
        <v>6249</v>
      </c>
      <c r="U370" s="18"/>
      <c r="V370" s="18"/>
      <c r="W370" s="18" t="s">
        <v>6250</v>
      </c>
      <c r="X370" s="18" t="s">
        <v>42</v>
      </c>
      <c r="Y370" s="18" t="s">
        <v>36</v>
      </c>
      <c r="Z370" s="18" t="s">
        <v>697</v>
      </c>
      <c r="AA370" s="21" t="str">
        <f>HYPERLINK("https://www.ncbi.nlm.nih.gov/nuccore/MH892366","NCBI Nucleotide")</f>
        <v>NCBI Nucleotide</v>
      </c>
    </row>
    <row r="371" spans="1:27" x14ac:dyDescent="0.35">
      <c r="A371">
        <v>1000360</v>
      </c>
      <c r="B371">
        <v>370</v>
      </c>
      <c r="C371">
        <v>1</v>
      </c>
      <c r="D371" s="17" t="s">
        <v>155</v>
      </c>
      <c r="E371" s="17"/>
      <c r="F371" s="17" t="s">
        <v>156</v>
      </c>
      <c r="G371" s="17"/>
      <c r="H371" s="17" t="s">
        <v>692</v>
      </c>
      <c r="I371" s="17"/>
      <c r="J371" s="17" t="s">
        <v>693</v>
      </c>
      <c r="K371" s="17"/>
      <c r="L371" s="17"/>
      <c r="M371" s="17"/>
      <c r="N371" s="17" t="s">
        <v>6187</v>
      </c>
      <c r="O371" s="17"/>
      <c r="P371" s="17" t="s">
        <v>6188</v>
      </c>
      <c r="Q371" s="17"/>
      <c r="R371" s="25" t="str">
        <f>HYPERLINK("https://ictv.global/taxonomy/taxondetails?taxnode_id=202314446","Brussowvirus SW1151")</f>
        <v>Brussowvirus SW1151</v>
      </c>
      <c r="S371" s="18" t="s">
        <v>30</v>
      </c>
      <c r="T371" s="18" t="s">
        <v>6241</v>
      </c>
      <c r="U371" s="18"/>
      <c r="V371" s="18"/>
      <c r="W371" s="18" t="s">
        <v>6242</v>
      </c>
      <c r="X371" s="18" t="s">
        <v>42</v>
      </c>
      <c r="Y371" s="18" t="s">
        <v>36</v>
      </c>
      <c r="Z371" s="18" t="s">
        <v>697</v>
      </c>
      <c r="AA371" s="21" t="str">
        <f>HYPERLINK("https://www.ncbi.nlm.nih.gov/nuccore/MH892376","NCBI Nucleotide")</f>
        <v>NCBI Nucleotide</v>
      </c>
    </row>
    <row r="372" spans="1:27" x14ac:dyDescent="0.35">
      <c r="A372">
        <v>1000365</v>
      </c>
      <c r="B372">
        <v>371</v>
      </c>
      <c r="C372">
        <v>1</v>
      </c>
      <c r="D372" s="17" t="s">
        <v>155</v>
      </c>
      <c r="E372" s="17"/>
      <c r="F372" s="17" t="s">
        <v>156</v>
      </c>
      <c r="G372" s="17"/>
      <c r="H372" s="17" t="s">
        <v>692</v>
      </c>
      <c r="I372" s="17"/>
      <c r="J372" s="17" t="s">
        <v>693</v>
      </c>
      <c r="K372" s="17"/>
      <c r="L372" s="17"/>
      <c r="M372" s="17"/>
      <c r="N372" s="17" t="s">
        <v>6187</v>
      </c>
      <c r="O372" s="17"/>
      <c r="P372" s="17" t="s">
        <v>6188</v>
      </c>
      <c r="Q372" s="17"/>
      <c r="R372" s="25" t="str">
        <f>HYPERLINK("https://ictv.global/taxonomy/taxondetails?taxnode_id=202314451","Brussowvirus TP778L")</f>
        <v>Brussowvirus TP778L</v>
      </c>
      <c r="S372" s="18" t="s">
        <v>30</v>
      </c>
      <c r="T372" s="18" t="s">
        <v>6251</v>
      </c>
      <c r="U372" s="18"/>
      <c r="V372" s="18"/>
      <c r="W372" s="18" t="s">
        <v>6252</v>
      </c>
      <c r="X372" s="18" t="s">
        <v>42</v>
      </c>
      <c r="Y372" s="18" t="s">
        <v>36</v>
      </c>
      <c r="Z372" s="18" t="s">
        <v>697</v>
      </c>
      <c r="AA372" s="21" t="str">
        <f>HYPERLINK("https://www.ncbi.nlm.nih.gov/nuccore/HG380752","NCBI Nucleotide")</f>
        <v>NCBI Nucleotide</v>
      </c>
    </row>
    <row r="373" spans="1:27" x14ac:dyDescent="0.35">
      <c r="A373">
        <v>1000366</v>
      </c>
      <c r="B373">
        <v>372</v>
      </c>
      <c r="C373">
        <v>1</v>
      </c>
      <c r="D373" s="17" t="s">
        <v>155</v>
      </c>
      <c r="E373" s="17"/>
      <c r="F373" s="17" t="s">
        <v>156</v>
      </c>
      <c r="G373" s="17"/>
      <c r="H373" s="17" t="s">
        <v>692</v>
      </c>
      <c r="I373" s="17"/>
      <c r="J373" s="17" t="s">
        <v>693</v>
      </c>
      <c r="K373" s="17"/>
      <c r="L373" s="17"/>
      <c r="M373" s="17"/>
      <c r="N373" s="17" t="s">
        <v>6187</v>
      </c>
      <c r="O373" s="17"/>
      <c r="P373" s="17" t="s">
        <v>6188</v>
      </c>
      <c r="Q373" s="17"/>
      <c r="R373" s="25" t="str">
        <f>HYPERLINK("https://ictv.global/taxonomy/taxondetails?taxnode_id=202314452","Brussowvirus TPJ34")</f>
        <v>Brussowvirus TPJ34</v>
      </c>
      <c r="S373" s="18" t="s">
        <v>30</v>
      </c>
      <c r="T373" s="18" t="s">
        <v>6253</v>
      </c>
      <c r="U373" s="18"/>
      <c r="V373" s="18"/>
      <c r="W373" s="18" t="s">
        <v>6254</v>
      </c>
      <c r="X373" s="18" t="s">
        <v>42</v>
      </c>
      <c r="Y373" s="18" t="s">
        <v>36</v>
      </c>
      <c r="Z373" s="18" t="s">
        <v>697</v>
      </c>
      <c r="AA373" s="21" t="str">
        <f>HYPERLINK("https://www.ncbi.nlm.nih.gov/nuccore/HE861935","NCBI Nucleotide")</f>
        <v>NCBI Nucleotide</v>
      </c>
    </row>
    <row r="374" spans="1:27" x14ac:dyDescent="0.35">
      <c r="A374">
        <v>1000367</v>
      </c>
      <c r="B374">
        <v>373</v>
      </c>
      <c r="C374">
        <v>1</v>
      </c>
      <c r="D374" s="17" t="s">
        <v>155</v>
      </c>
      <c r="E374" s="17"/>
      <c r="F374" s="17" t="s">
        <v>156</v>
      </c>
      <c r="G374" s="17"/>
      <c r="H374" s="17" t="s">
        <v>692</v>
      </c>
      <c r="I374" s="17"/>
      <c r="J374" s="17" t="s">
        <v>693</v>
      </c>
      <c r="K374" s="17"/>
      <c r="L374" s="17"/>
      <c r="M374" s="17"/>
      <c r="N374" s="17" t="s">
        <v>6187</v>
      </c>
      <c r="O374" s="17"/>
      <c r="P374" s="17" t="s">
        <v>6188</v>
      </c>
      <c r="Q374" s="17"/>
      <c r="R374" s="25" t="str">
        <f>HYPERLINK("https://ictv.global/taxonomy/taxondetails?taxnode_id=202314453","Brussowvirus VS2018a")</f>
        <v>Brussowvirus VS2018a</v>
      </c>
      <c r="S374" s="18" t="s">
        <v>30</v>
      </c>
      <c r="T374" s="18" t="s">
        <v>6255</v>
      </c>
      <c r="U374" s="18"/>
      <c r="V374" s="18"/>
      <c r="W374" s="18" t="s">
        <v>6256</v>
      </c>
      <c r="X374" s="18" t="s">
        <v>42</v>
      </c>
      <c r="Y374" s="18" t="s">
        <v>36</v>
      </c>
      <c r="Z374" s="18" t="s">
        <v>697</v>
      </c>
      <c r="AA374" s="21" t="str">
        <f>HYPERLINK("https://www.ncbi.nlm.nih.gov/nuccore/CP029253","NCBI Nucleotide")</f>
        <v>NCBI Nucleotide</v>
      </c>
    </row>
    <row r="375" spans="1:27" x14ac:dyDescent="0.35">
      <c r="A375">
        <v>1000656</v>
      </c>
      <c r="B375">
        <v>374</v>
      </c>
      <c r="C375">
        <v>1</v>
      </c>
      <c r="D375" s="17" t="s">
        <v>155</v>
      </c>
      <c r="E375" s="17"/>
      <c r="F375" s="17" t="s">
        <v>156</v>
      </c>
      <c r="G375" s="17"/>
      <c r="H375" s="17" t="s">
        <v>692</v>
      </c>
      <c r="I375" s="17"/>
      <c r="J375" s="17" t="s">
        <v>693</v>
      </c>
      <c r="K375" s="17"/>
      <c r="L375" s="17"/>
      <c r="M375" s="17"/>
      <c r="N375" s="17" t="s">
        <v>6187</v>
      </c>
      <c r="O375" s="17"/>
      <c r="P375" s="17" t="s">
        <v>6257</v>
      </c>
      <c r="Q375" s="17"/>
      <c r="R375" s="25" t="str">
        <f>HYPERLINK("https://ictv.global/taxonomy/taxondetails?taxnode_id=202301275","Moineauvirus Abc2")</f>
        <v>Moineauvirus Abc2</v>
      </c>
      <c r="S375" s="18" t="s">
        <v>30</v>
      </c>
      <c r="T375" s="18" t="s">
        <v>6258</v>
      </c>
      <c r="U375" s="18"/>
      <c r="V375" s="18"/>
      <c r="W375" s="18" t="s">
        <v>6259</v>
      </c>
      <c r="X375" s="18" t="s">
        <v>42</v>
      </c>
      <c r="Y375" s="18" t="s">
        <v>36</v>
      </c>
      <c r="Z375" s="18" t="s">
        <v>697</v>
      </c>
      <c r="AA375" s="21" t="str">
        <f>HYPERLINK("https://www.ncbi.nlm.nih.gov/nuccore/FJ236310","NCBI Nucleotide")</f>
        <v>NCBI Nucleotide</v>
      </c>
    </row>
    <row r="376" spans="1:27" x14ac:dyDescent="0.35">
      <c r="A376">
        <v>1000657</v>
      </c>
      <c r="B376">
        <v>375</v>
      </c>
      <c r="C376">
        <v>1</v>
      </c>
      <c r="D376" s="17" t="s">
        <v>155</v>
      </c>
      <c r="E376" s="17"/>
      <c r="F376" s="17" t="s">
        <v>156</v>
      </c>
      <c r="G376" s="17"/>
      <c r="H376" s="17" t="s">
        <v>692</v>
      </c>
      <c r="I376" s="17"/>
      <c r="J376" s="17" t="s">
        <v>693</v>
      </c>
      <c r="K376" s="17"/>
      <c r="L376" s="17"/>
      <c r="M376" s="17"/>
      <c r="N376" s="17" t="s">
        <v>6187</v>
      </c>
      <c r="O376" s="17"/>
      <c r="P376" s="17" t="s">
        <v>6257</v>
      </c>
      <c r="Q376" s="17"/>
      <c r="R376" s="25" t="str">
        <f>HYPERLINK("https://ictv.global/taxonomy/taxondetails?taxnode_id=202314353","Moineauvirus B0")</f>
        <v>Moineauvirus B0</v>
      </c>
      <c r="S376" s="18" t="s">
        <v>30</v>
      </c>
      <c r="T376" s="18" t="s">
        <v>6260</v>
      </c>
      <c r="U376" s="18"/>
      <c r="V376" s="18"/>
      <c r="W376" s="18" t="s">
        <v>6261</v>
      </c>
      <c r="X376" s="18" t="s">
        <v>42</v>
      </c>
      <c r="Y376" s="18" t="s">
        <v>36</v>
      </c>
      <c r="Z376" s="18" t="s">
        <v>697</v>
      </c>
      <c r="AA376" s="21" t="str">
        <f>HYPERLINK("https://www.ncbi.nlm.nih.gov/nuccore/MF580766","NCBI Nucleotide")</f>
        <v>NCBI Nucleotide</v>
      </c>
    </row>
    <row r="377" spans="1:27" x14ac:dyDescent="0.35">
      <c r="A377">
        <v>1000671</v>
      </c>
      <c r="B377">
        <v>376</v>
      </c>
      <c r="C377">
        <v>1</v>
      </c>
      <c r="D377" s="17" t="s">
        <v>155</v>
      </c>
      <c r="E377" s="17"/>
      <c r="F377" s="17" t="s">
        <v>156</v>
      </c>
      <c r="G377" s="17"/>
      <c r="H377" s="17" t="s">
        <v>692</v>
      </c>
      <c r="I377" s="17"/>
      <c r="J377" s="17" t="s">
        <v>693</v>
      </c>
      <c r="K377" s="17"/>
      <c r="L377" s="17"/>
      <c r="M377" s="17"/>
      <c r="N377" s="17" t="s">
        <v>6187</v>
      </c>
      <c r="O377" s="17"/>
      <c r="P377" s="17" t="s">
        <v>6257</v>
      </c>
      <c r="Q377" s="17"/>
      <c r="R377" s="25" t="str">
        <f>HYPERLINK("https://ictv.global/taxonomy/taxondetails?taxnode_id=202314367","Moineauvirus CHPC572")</f>
        <v>Moineauvirus CHPC572</v>
      </c>
      <c r="S377" s="18" t="s">
        <v>30</v>
      </c>
      <c r="T377" s="18" t="s">
        <v>6288</v>
      </c>
      <c r="U377" s="18"/>
      <c r="V377" s="18"/>
      <c r="W377" s="18" t="s">
        <v>6289</v>
      </c>
      <c r="X377" s="18" t="s">
        <v>42</v>
      </c>
      <c r="Y377" s="18" t="s">
        <v>36</v>
      </c>
      <c r="Z377" s="18" t="s">
        <v>697</v>
      </c>
      <c r="AA377" s="21" t="str">
        <f>HYPERLINK("https://www.ncbi.nlm.nih.gov/nuccore/MH937458","NCBI Nucleotide")</f>
        <v>NCBI Nucleotide</v>
      </c>
    </row>
    <row r="378" spans="1:27" x14ac:dyDescent="0.35">
      <c r="A378">
        <v>1000672</v>
      </c>
      <c r="B378">
        <v>377</v>
      </c>
      <c r="C378">
        <v>1</v>
      </c>
      <c r="D378" s="17" t="s">
        <v>155</v>
      </c>
      <c r="E378" s="17"/>
      <c r="F378" s="17" t="s">
        <v>156</v>
      </c>
      <c r="G378" s="17"/>
      <c r="H378" s="17" t="s">
        <v>692</v>
      </c>
      <c r="I378" s="17"/>
      <c r="J378" s="17" t="s">
        <v>693</v>
      </c>
      <c r="K378" s="17"/>
      <c r="L378" s="17"/>
      <c r="M378" s="17"/>
      <c r="N378" s="17" t="s">
        <v>6187</v>
      </c>
      <c r="O378" s="17"/>
      <c r="P378" s="17" t="s">
        <v>6257</v>
      </c>
      <c r="Q378" s="17"/>
      <c r="R378" s="25" t="str">
        <f>HYPERLINK("https://ictv.global/taxonomy/taxondetails?taxnode_id=202314368","Moineauvirus CHPC595")</f>
        <v>Moineauvirus CHPC595</v>
      </c>
      <c r="S378" s="18" t="s">
        <v>30</v>
      </c>
      <c r="T378" s="18" t="s">
        <v>6290</v>
      </c>
      <c r="U378" s="18"/>
      <c r="V378" s="18"/>
      <c r="W378" s="18" t="s">
        <v>6291</v>
      </c>
      <c r="X378" s="18" t="s">
        <v>42</v>
      </c>
      <c r="Y378" s="18" t="s">
        <v>36</v>
      </c>
      <c r="Z378" s="18" t="s">
        <v>697</v>
      </c>
      <c r="AA378" s="21" t="str">
        <f>HYPERLINK("https://www.ncbi.nlm.nih.gov/nuccore/MH937459","NCBI Nucleotide")</f>
        <v>NCBI Nucleotide</v>
      </c>
    </row>
    <row r="379" spans="1:27" x14ac:dyDescent="0.35">
      <c r="A379">
        <v>1000673</v>
      </c>
      <c r="B379">
        <v>378</v>
      </c>
      <c r="C379">
        <v>1</v>
      </c>
      <c r="D379" s="17" t="s">
        <v>155</v>
      </c>
      <c r="E379" s="17"/>
      <c r="F379" s="17" t="s">
        <v>156</v>
      </c>
      <c r="G379" s="17"/>
      <c r="H379" s="17" t="s">
        <v>692</v>
      </c>
      <c r="I379" s="17"/>
      <c r="J379" s="17" t="s">
        <v>693</v>
      </c>
      <c r="K379" s="17"/>
      <c r="L379" s="17"/>
      <c r="M379" s="17"/>
      <c r="N379" s="17" t="s">
        <v>6187</v>
      </c>
      <c r="O379" s="17"/>
      <c r="P379" s="17" t="s">
        <v>6257</v>
      </c>
      <c r="Q379" s="17"/>
      <c r="R379" s="25" t="str">
        <f>HYPERLINK("https://ictv.global/taxonomy/taxondetails?taxnode_id=202314369","Moineauvirus CHPC642")</f>
        <v>Moineauvirus CHPC642</v>
      </c>
      <c r="S379" s="18" t="s">
        <v>30</v>
      </c>
      <c r="T379" s="18" t="s">
        <v>6292</v>
      </c>
      <c r="U379" s="18"/>
      <c r="V379" s="18"/>
      <c r="W379" s="18" t="s">
        <v>6293</v>
      </c>
      <c r="X379" s="18" t="s">
        <v>42</v>
      </c>
      <c r="Y379" s="18" t="s">
        <v>36</v>
      </c>
      <c r="Z379" s="18" t="s">
        <v>697</v>
      </c>
      <c r="AA379" s="21" t="str">
        <f>HYPERLINK("https://www.ncbi.nlm.nih.gov/nuccore/MH937461","NCBI Nucleotide")</f>
        <v>NCBI Nucleotide</v>
      </c>
    </row>
    <row r="380" spans="1:27" x14ac:dyDescent="0.35">
      <c r="A380">
        <v>1000674</v>
      </c>
      <c r="B380">
        <v>379</v>
      </c>
      <c r="C380">
        <v>1</v>
      </c>
      <c r="D380" s="17" t="s">
        <v>155</v>
      </c>
      <c r="E380" s="17"/>
      <c r="F380" s="17" t="s">
        <v>156</v>
      </c>
      <c r="G380" s="17"/>
      <c r="H380" s="17" t="s">
        <v>692</v>
      </c>
      <c r="I380" s="17"/>
      <c r="J380" s="17" t="s">
        <v>693</v>
      </c>
      <c r="K380" s="17"/>
      <c r="L380" s="17"/>
      <c r="M380" s="17"/>
      <c r="N380" s="17" t="s">
        <v>6187</v>
      </c>
      <c r="O380" s="17"/>
      <c r="P380" s="17" t="s">
        <v>6257</v>
      </c>
      <c r="Q380" s="17"/>
      <c r="R380" s="25" t="str">
        <f>HYPERLINK("https://ictv.global/taxonomy/taxondetails?taxnode_id=202314370","Moineauvirus CHPC663")</f>
        <v>Moineauvirus CHPC663</v>
      </c>
      <c r="S380" s="18" t="s">
        <v>30</v>
      </c>
      <c r="T380" s="18" t="s">
        <v>6294</v>
      </c>
      <c r="U380" s="18"/>
      <c r="V380" s="18"/>
      <c r="W380" s="18" t="s">
        <v>6295</v>
      </c>
      <c r="X380" s="18" t="s">
        <v>42</v>
      </c>
      <c r="Y380" s="18" t="s">
        <v>36</v>
      </c>
      <c r="Z380" s="18" t="s">
        <v>697</v>
      </c>
      <c r="AA380" s="21" t="str">
        <f>HYPERLINK("https://www.ncbi.nlm.nih.gov/nuccore/MH937462","NCBI Nucleotide")</f>
        <v>NCBI Nucleotide</v>
      </c>
    </row>
    <row r="381" spans="1:27" x14ac:dyDescent="0.35">
      <c r="A381">
        <v>1000675</v>
      </c>
      <c r="B381">
        <v>380</v>
      </c>
      <c r="C381">
        <v>1</v>
      </c>
      <c r="D381" s="17" t="s">
        <v>155</v>
      </c>
      <c r="E381" s="17"/>
      <c r="F381" s="17" t="s">
        <v>156</v>
      </c>
      <c r="G381" s="17"/>
      <c r="H381" s="17" t="s">
        <v>692</v>
      </c>
      <c r="I381" s="17"/>
      <c r="J381" s="17" t="s">
        <v>693</v>
      </c>
      <c r="K381" s="17"/>
      <c r="L381" s="17"/>
      <c r="M381" s="17"/>
      <c r="N381" s="17" t="s">
        <v>6187</v>
      </c>
      <c r="O381" s="17"/>
      <c r="P381" s="17" t="s">
        <v>6257</v>
      </c>
      <c r="Q381" s="17"/>
      <c r="R381" s="25" t="str">
        <f>HYPERLINK("https://ictv.global/taxonomy/taxondetails?taxnode_id=202314371","Moineauvirus CHPC873")</f>
        <v>Moineauvirus CHPC873</v>
      </c>
      <c r="S381" s="18" t="s">
        <v>30</v>
      </c>
      <c r="T381" s="18" t="s">
        <v>6296</v>
      </c>
      <c r="U381" s="18"/>
      <c r="V381" s="18"/>
      <c r="W381" s="18" t="s">
        <v>6297</v>
      </c>
      <c r="X381" s="18" t="s">
        <v>42</v>
      </c>
      <c r="Y381" s="18" t="s">
        <v>36</v>
      </c>
      <c r="Z381" s="18" t="s">
        <v>697</v>
      </c>
      <c r="AA381" s="21" t="str">
        <f>HYPERLINK("https://www.ncbi.nlm.nih.gov/nuccore/MH937465","NCBI Nucleotide")</f>
        <v>NCBI Nucleotide</v>
      </c>
    </row>
    <row r="382" spans="1:27" x14ac:dyDescent="0.35">
      <c r="A382">
        <v>1000676</v>
      </c>
      <c r="B382">
        <v>381</v>
      </c>
      <c r="C382">
        <v>1</v>
      </c>
      <c r="D382" s="17" t="s">
        <v>155</v>
      </c>
      <c r="E382" s="17"/>
      <c r="F382" s="17" t="s">
        <v>156</v>
      </c>
      <c r="G382" s="17"/>
      <c r="H382" s="17" t="s">
        <v>692</v>
      </c>
      <c r="I382" s="17"/>
      <c r="J382" s="17" t="s">
        <v>693</v>
      </c>
      <c r="K382" s="17"/>
      <c r="L382" s="17"/>
      <c r="M382" s="17"/>
      <c r="N382" s="17" t="s">
        <v>6187</v>
      </c>
      <c r="O382" s="17"/>
      <c r="P382" s="17" t="s">
        <v>6257</v>
      </c>
      <c r="Q382" s="17"/>
      <c r="R382" s="25" t="str">
        <f>HYPERLINK("https://ictv.global/taxonomy/taxondetails?taxnode_id=202314372","Moineauvirus CHPC875")</f>
        <v>Moineauvirus CHPC875</v>
      </c>
      <c r="S382" s="18" t="s">
        <v>30</v>
      </c>
      <c r="T382" s="18" t="s">
        <v>6298</v>
      </c>
      <c r="U382" s="18"/>
      <c r="V382" s="18"/>
      <c r="W382" s="18" t="s">
        <v>6299</v>
      </c>
      <c r="X382" s="18" t="s">
        <v>42</v>
      </c>
      <c r="Y382" s="18" t="s">
        <v>36</v>
      </c>
      <c r="Z382" s="18" t="s">
        <v>697</v>
      </c>
      <c r="AA382" s="21" t="str">
        <f>HYPERLINK("https://www.ncbi.nlm.nih.gov/nuccore/MH937466","NCBI Nucleotide")</f>
        <v>NCBI Nucleotide</v>
      </c>
    </row>
    <row r="383" spans="1:27" x14ac:dyDescent="0.35">
      <c r="A383">
        <v>1000677</v>
      </c>
      <c r="B383">
        <v>382</v>
      </c>
      <c r="C383">
        <v>1</v>
      </c>
      <c r="D383" s="17" t="s">
        <v>155</v>
      </c>
      <c r="E383" s="17"/>
      <c r="F383" s="17" t="s">
        <v>156</v>
      </c>
      <c r="G383" s="17"/>
      <c r="H383" s="17" t="s">
        <v>692</v>
      </c>
      <c r="I383" s="17"/>
      <c r="J383" s="17" t="s">
        <v>693</v>
      </c>
      <c r="K383" s="17"/>
      <c r="L383" s="17"/>
      <c r="M383" s="17"/>
      <c r="N383" s="17" t="s">
        <v>6187</v>
      </c>
      <c r="O383" s="17"/>
      <c r="P383" s="17" t="s">
        <v>6257</v>
      </c>
      <c r="Q383" s="17"/>
      <c r="R383" s="25" t="str">
        <f>HYPERLINK("https://ictv.global/taxonomy/taxondetails?taxnode_id=202314373","Moineauvirus CHPC877")</f>
        <v>Moineauvirus CHPC877</v>
      </c>
      <c r="S383" s="18" t="s">
        <v>30</v>
      </c>
      <c r="T383" s="18" t="s">
        <v>6300</v>
      </c>
      <c r="U383" s="18"/>
      <c r="V383" s="18"/>
      <c r="W383" s="18" t="s">
        <v>6301</v>
      </c>
      <c r="X383" s="18" t="s">
        <v>42</v>
      </c>
      <c r="Y383" s="18" t="s">
        <v>36</v>
      </c>
      <c r="Z383" s="18" t="s">
        <v>697</v>
      </c>
      <c r="AA383" s="21" t="str">
        <f>HYPERLINK("https://www.ncbi.nlm.nih.gov/nuccore/MH937467","NCBI Nucleotide")</f>
        <v>NCBI Nucleotide</v>
      </c>
    </row>
    <row r="384" spans="1:27" x14ac:dyDescent="0.35">
      <c r="A384">
        <v>1000678</v>
      </c>
      <c r="B384">
        <v>383</v>
      </c>
      <c r="C384">
        <v>1</v>
      </c>
      <c r="D384" s="17" t="s">
        <v>155</v>
      </c>
      <c r="E384" s="17"/>
      <c r="F384" s="17" t="s">
        <v>156</v>
      </c>
      <c r="G384" s="17"/>
      <c r="H384" s="17" t="s">
        <v>692</v>
      </c>
      <c r="I384" s="17"/>
      <c r="J384" s="17" t="s">
        <v>693</v>
      </c>
      <c r="K384" s="17"/>
      <c r="L384" s="17"/>
      <c r="M384" s="17"/>
      <c r="N384" s="17" t="s">
        <v>6187</v>
      </c>
      <c r="O384" s="17"/>
      <c r="P384" s="17" t="s">
        <v>6257</v>
      </c>
      <c r="Q384" s="17"/>
      <c r="R384" s="25" t="str">
        <f>HYPERLINK("https://ictv.global/taxonomy/taxondetails?taxnode_id=202314374","Moineauvirus CHPC879")</f>
        <v>Moineauvirus CHPC879</v>
      </c>
      <c r="S384" s="18" t="s">
        <v>30</v>
      </c>
      <c r="T384" s="18" t="s">
        <v>6302</v>
      </c>
      <c r="U384" s="18"/>
      <c r="V384" s="18"/>
      <c r="W384" s="18" t="s">
        <v>6303</v>
      </c>
      <c r="X384" s="18" t="s">
        <v>42</v>
      </c>
      <c r="Y384" s="18" t="s">
        <v>36</v>
      </c>
      <c r="Z384" s="18" t="s">
        <v>697</v>
      </c>
      <c r="AA384" s="21" t="str">
        <f>HYPERLINK("https://www.ncbi.nlm.nih.gov/nuccore/MH937468","NCBI Nucleotide")</f>
        <v>NCBI Nucleotide</v>
      </c>
    </row>
    <row r="385" spans="1:27" x14ac:dyDescent="0.35">
      <c r="A385">
        <v>1000679</v>
      </c>
      <c r="B385">
        <v>384</v>
      </c>
      <c r="C385">
        <v>1</v>
      </c>
      <c r="D385" s="17" t="s">
        <v>155</v>
      </c>
      <c r="E385" s="17"/>
      <c r="F385" s="17" t="s">
        <v>156</v>
      </c>
      <c r="G385" s="17"/>
      <c r="H385" s="17" t="s">
        <v>692</v>
      </c>
      <c r="I385" s="17"/>
      <c r="J385" s="17" t="s">
        <v>693</v>
      </c>
      <c r="K385" s="17"/>
      <c r="L385" s="17"/>
      <c r="M385" s="17"/>
      <c r="N385" s="17" t="s">
        <v>6187</v>
      </c>
      <c r="O385" s="17"/>
      <c r="P385" s="17" t="s">
        <v>6257</v>
      </c>
      <c r="Q385" s="17"/>
      <c r="R385" s="25" t="str">
        <f>HYPERLINK("https://ictv.global/taxonomy/taxondetails?taxnode_id=202314375","Moineauvirus CHPC919")</f>
        <v>Moineauvirus CHPC919</v>
      </c>
      <c r="S385" s="18" t="s">
        <v>30</v>
      </c>
      <c r="T385" s="18" t="s">
        <v>6304</v>
      </c>
      <c r="U385" s="18"/>
      <c r="V385" s="18"/>
      <c r="W385" s="18" t="s">
        <v>6305</v>
      </c>
      <c r="X385" s="18" t="s">
        <v>42</v>
      </c>
      <c r="Y385" s="18" t="s">
        <v>36</v>
      </c>
      <c r="Z385" s="18" t="s">
        <v>697</v>
      </c>
      <c r="AA385" s="21" t="str">
        <f>HYPERLINK("https://www.ncbi.nlm.nih.gov/nuccore/MH937469","NCBI Nucleotide")</f>
        <v>NCBI Nucleotide</v>
      </c>
    </row>
    <row r="386" spans="1:27" x14ac:dyDescent="0.35">
      <c r="A386">
        <v>1000680</v>
      </c>
      <c r="B386">
        <v>385</v>
      </c>
      <c r="C386">
        <v>1</v>
      </c>
      <c r="D386" s="17" t="s">
        <v>155</v>
      </c>
      <c r="E386" s="17"/>
      <c r="F386" s="17" t="s">
        <v>156</v>
      </c>
      <c r="G386" s="17"/>
      <c r="H386" s="17" t="s">
        <v>692</v>
      </c>
      <c r="I386" s="17"/>
      <c r="J386" s="17" t="s">
        <v>693</v>
      </c>
      <c r="K386" s="17"/>
      <c r="L386" s="17"/>
      <c r="M386" s="17"/>
      <c r="N386" s="17" t="s">
        <v>6187</v>
      </c>
      <c r="O386" s="17"/>
      <c r="P386" s="17" t="s">
        <v>6257</v>
      </c>
      <c r="Q386" s="17"/>
      <c r="R386" s="25" t="str">
        <f>HYPERLINK("https://ictv.global/taxonomy/taxondetails?taxnode_id=202314376","Moineauvirus CHPC925")</f>
        <v>Moineauvirus CHPC925</v>
      </c>
      <c r="S386" s="18" t="s">
        <v>30</v>
      </c>
      <c r="T386" s="18" t="s">
        <v>6306</v>
      </c>
      <c r="U386" s="18"/>
      <c r="V386" s="18"/>
      <c r="W386" s="18" t="s">
        <v>6307</v>
      </c>
      <c r="X386" s="18" t="s">
        <v>42</v>
      </c>
      <c r="Y386" s="18" t="s">
        <v>36</v>
      </c>
      <c r="Z386" s="18" t="s">
        <v>697</v>
      </c>
      <c r="AA386" s="21" t="str">
        <f>HYPERLINK("https://www.ncbi.nlm.nih.gov/nuccore/MH937470","NCBI Nucleotide")</f>
        <v>NCBI Nucleotide</v>
      </c>
    </row>
    <row r="387" spans="1:27" x14ac:dyDescent="0.35">
      <c r="A387">
        <v>1000681</v>
      </c>
      <c r="B387">
        <v>386</v>
      </c>
      <c r="C387">
        <v>1</v>
      </c>
      <c r="D387" s="17" t="s">
        <v>155</v>
      </c>
      <c r="E387" s="17"/>
      <c r="F387" s="17" t="s">
        <v>156</v>
      </c>
      <c r="G387" s="17"/>
      <c r="H387" s="17" t="s">
        <v>692</v>
      </c>
      <c r="I387" s="17"/>
      <c r="J387" s="17" t="s">
        <v>693</v>
      </c>
      <c r="K387" s="17"/>
      <c r="L387" s="17"/>
      <c r="M387" s="17"/>
      <c r="N387" s="17" t="s">
        <v>6187</v>
      </c>
      <c r="O387" s="17"/>
      <c r="P387" s="17" t="s">
        <v>6257</v>
      </c>
      <c r="Q387" s="17"/>
      <c r="R387" s="25" t="str">
        <f>HYPERLINK("https://ictv.global/taxonomy/taxondetails?taxnode_id=202314377","Moineauvirus CHPC927")</f>
        <v>Moineauvirus CHPC927</v>
      </c>
      <c r="S387" s="18" t="s">
        <v>30</v>
      </c>
      <c r="T387" s="18" t="s">
        <v>6308</v>
      </c>
      <c r="U387" s="18"/>
      <c r="V387" s="18"/>
      <c r="W387" s="18" t="s">
        <v>6309</v>
      </c>
      <c r="X387" s="18" t="s">
        <v>42</v>
      </c>
      <c r="Y387" s="18" t="s">
        <v>36</v>
      </c>
      <c r="Z387" s="18" t="s">
        <v>697</v>
      </c>
      <c r="AA387" s="21" t="str">
        <f>HYPERLINK("https://www.ncbi.nlm.nih.gov/nuccore/MH937471","NCBI Nucleotide")</f>
        <v>NCBI Nucleotide</v>
      </c>
    </row>
    <row r="388" spans="1:27" x14ac:dyDescent="0.35">
      <c r="A388">
        <v>1000682</v>
      </c>
      <c r="B388">
        <v>387</v>
      </c>
      <c r="C388">
        <v>1</v>
      </c>
      <c r="D388" s="17" t="s">
        <v>155</v>
      </c>
      <c r="E388" s="17"/>
      <c r="F388" s="17" t="s">
        <v>156</v>
      </c>
      <c r="G388" s="17"/>
      <c r="H388" s="17" t="s">
        <v>692</v>
      </c>
      <c r="I388" s="17"/>
      <c r="J388" s="17" t="s">
        <v>693</v>
      </c>
      <c r="K388" s="17"/>
      <c r="L388" s="17"/>
      <c r="M388" s="17"/>
      <c r="N388" s="17" t="s">
        <v>6187</v>
      </c>
      <c r="O388" s="17"/>
      <c r="P388" s="17" t="s">
        <v>6257</v>
      </c>
      <c r="Q388" s="17"/>
      <c r="R388" s="25" t="str">
        <f>HYPERLINK("https://ictv.global/taxonomy/taxondetails?taxnode_id=202314378","Moineauvirus CHPC928")</f>
        <v>Moineauvirus CHPC928</v>
      </c>
      <c r="S388" s="18" t="s">
        <v>30</v>
      </c>
      <c r="T388" s="18" t="s">
        <v>6310</v>
      </c>
      <c r="U388" s="18"/>
      <c r="V388" s="18"/>
      <c r="W388" s="18" t="s">
        <v>6311</v>
      </c>
      <c r="X388" s="18" t="s">
        <v>42</v>
      </c>
      <c r="Y388" s="18" t="s">
        <v>36</v>
      </c>
      <c r="Z388" s="18" t="s">
        <v>697</v>
      </c>
      <c r="AA388" s="21" t="str">
        <f>HYPERLINK("https://www.ncbi.nlm.nih.gov/nuccore/MH937472","NCBI Nucleotide")</f>
        <v>NCBI Nucleotide</v>
      </c>
    </row>
    <row r="389" spans="1:27" x14ac:dyDescent="0.35">
      <c r="A389">
        <v>1000683</v>
      </c>
      <c r="B389">
        <v>388</v>
      </c>
      <c r="C389">
        <v>1</v>
      </c>
      <c r="D389" s="17" t="s">
        <v>155</v>
      </c>
      <c r="E389" s="17"/>
      <c r="F389" s="17" t="s">
        <v>156</v>
      </c>
      <c r="G389" s="17"/>
      <c r="H389" s="17" t="s">
        <v>692</v>
      </c>
      <c r="I389" s="17"/>
      <c r="J389" s="17" t="s">
        <v>693</v>
      </c>
      <c r="K389" s="17"/>
      <c r="L389" s="17"/>
      <c r="M389" s="17"/>
      <c r="N389" s="17" t="s">
        <v>6187</v>
      </c>
      <c r="O389" s="17"/>
      <c r="P389" s="17" t="s">
        <v>6257</v>
      </c>
      <c r="Q389" s="17"/>
      <c r="R389" s="25" t="str">
        <f>HYPERLINK("https://ictv.global/taxonomy/taxondetails?taxnode_id=202314379","Moineauvirus CHPC930")</f>
        <v>Moineauvirus CHPC930</v>
      </c>
      <c r="S389" s="18" t="s">
        <v>30</v>
      </c>
      <c r="T389" s="18" t="s">
        <v>6312</v>
      </c>
      <c r="U389" s="18"/>
      <c r="V389" s="18"/>
      <c r="W389" s="18" t="s">
        <v>6313</v>
      </c>
      <c r="X389" s="18" t="s">
        <v>42</v>
      </c>
      <c r="Y389" s="18" t="s">
        <v>36</v>
      </c>
      <c r="Z389" s="18" t="s">
        <v>697</v>
      </c>
      <c r="AA389" s="21" t="str">
        <f>HYPERLINK("https://www.ncbi.nlm.nih.gov/nuccore/MH937474","NCBI Nucleotide")</f>
        <v>NCBI Nucleotide</v>
      </c>
    </row>
    <row r="390" spans="1:27" x14ac:dyDescent="0.35">
      <c r="A390">
        <v>1000684</v>
      </c>
      <c r="B390">
        <v>389</v>
      </c>
      <c r="C390">
        <v>1</v>
      </c>
      <c r="D390" s="17" t="s">
        <v>155</v>
      </c>
      <c r="E390" s="17"/>
      <c r="F390" s="17" t="s">
        <v>156</v>
      </c>
      <c r="G390" s="17"/>
      <c r="H390" s="17" t="s">
        <v>692</v>
      </c>
      <c r="I390" s="17"/>
      <c r="J390" s="17" t="s">
        <v>693</v>
      </c>
      <c r="K390" s="17"/>
      <c r="L390" s="17"/>
      <c r="M390" s="17"/>
      <c r="N390" s="17" t="s">
        <v>6187</v>
      </c>
      <c r="O390" s="17"/>
      <c r="P390" s="17" t="s">
        <v>6257</v>
      </c>
      <c r="Q390" s="17"/>
      <c r="R390" s="25" t="str">
        <f>HYPERLINK("https://ictv.global/taxonomy/taxondetails?taxnode_id=202314380","Moineauvirus CHPC950")</f>
        <v>Moineauvirus CHPC950</v>
      </c>
      <c r="S390" s="18" t="s">
        <v>30</v>
      </c>
      <c r="T390" s="18" t="s">
        <v>6314</v>
      </c>
      <c r="U390" s="18"/>
      <c r="V390" s="18"/>
      <c r="W390" s="18" t="s">
        <v>6315</v>
      </c>
      <c r="X390" s="18" t="s">
        <v>42</v>
      </c>
      <c r="Y390" s="18" t="s">
        <v>36</v>
      </c>
      <c r="Z390" s="18" t="s">
        <v>697</v>
      </c>
      <c r="AA390" s="21" t="str">
        <f>HYPERLINK("https://www.ncbi.nlm.nih.gov/nuccore/MH937477","NCBI Nucleotide")</f>
        <v>NCBI Nucleotide</v>
      </c>
    </row>
    <row r="391" spans="1:27" x14ac:dyDescent="0.35">
      <c r="A391">
        <v>1000685</v>
      </c>
      <c r="B391">
        <v>390</v>
      </c>
      <c r="C391">
        <v>1</v>
      </c>
      <c r="D391" s="17" t="s">
        <v>155</v>
      </c>
      <c r="E391" s="17"/>
      <c r="F391" s="17" t="s">
        <v>156</v>
      </c>
      <c r="G391" s="17"/>
      <c r="H391" s="17" t="s">
        <v>692</v>
      </c>
      <c r="I391" s="17"/>
      <c r="J391" s="17" t="s">
        <v>693</v>
      </c>
      <c r="K391" s="17"/>
      <c r="L391" s="17"/>
      <c r="M391" s="17"/>
      <c r="N391" s="17" t="s">
        <v>6187</v>
      </c>
      <c r="O391" s="17"/>
      <c r="P391" s="17" t="s">
        <v>6257</v>
      </c>
      <c r="Q391" s="17"/>
      <c r="R391" s="25" t="str">
        <f>HYPERLINK("https://ictv.global/taxonomy/taxondetails?taxnode_id=202314381","Moineauvirus CHPC979")</f>
        <v>Moineauvirus CHPC979</v>
      </c>
      <c r="S391" s="18" t="s">
        <v>30</v>
      </c>
      <c r="T391" s="18" t="s">
        <v>6316</v>
      </c>
      <c r="U391" s="18"/>
      <c r="V391" s="18"/>
      <c r="W391" s="18" t="s">
        <v>6317</v>
      </c>
      <c r="X391" s="18" t="s">
        <v>42</v>
      </c>
      <c r="Y391" s="18" t="s">
        <v>36</v>
      </c>
      <c r="Z391" s="18" t="s">
        <v>697</v>
      </c>
      <c r="AA391" s="21" t="str">
        <f>HYPERLINK("https://www.ncbi.nlm.nih.gov/nuccore/MH937481","NCBI Nucleotide")</f>
        <v>NCBI Nucleotide</v>
      </c>
    </row>
    <row r="392" spans="1:27" x14ac:dyDescent="0.35">
      <c r="A392">
        <v>1000658</v>
      </c>
      <c r="B392">
        <v>391</v>
      </c>
      <c r="C392">
        <v>1</v>
      </c>
      <c r="D392" s="17" t="s">
        <v>155</v>
      </c>
      <c r="E392" s="17"/>
      <c r="F392" s="17" t="s">
        <v>156</v>
      </c>
      <c r="G392" s="17"/>
      <c r="H392" s="17" t="s">
        <v>692</v>
      </c>
      <c r="I392" s="17"/>
      <c r="J392" s="17" t="s">
        <v>693</v>
      </c>
      <c r="K392" s="17"/>
      <c r="L392" s="17"/>
      <c r="M392" s="17"/>
      <c r="N392" s="17" t="s">
        <v>6187</v>
      </c>
      <c r="O392" s="17"/>
      <c r="P392" s="17" t="s">
        <v>6257</v>
      </c>
      <c r="Q392" s="17"/>
      <c r="R392" s="25" t="str">
        <f>HYPERLINK("https://ictv.global/taxonomy/taxondetails?taxnode_id=202314354","Moineauvirus CHPC1005")</f>
        <v>Moineauvirus CHPC1005</v>
      </c>
      <c r="S392" s="18" t="s">
        <v>30</v>
      </c>
      <c r="T392" s="18" t="s">
        <v>6262</v>
      </c>
      <c r="U392" s="18"/>
      <c r="V392" s="18"/>
      <c r="W392" s="18" t="s">
        <v>6263</v>
      </c>
      <c r="X392" s="18" t="s">
        <v>42</v>
      </c>
      <c r="Y392" s="18" t="s">
        <v>36</v>
      </c>
      <c r="Z392" s="18" t="s">
        <v>697</v>
      </c>
      <c r="AA392" s="21" t="str">
        <f>HYPERLINK("https://www.ncbi.nlm.nih.gov/nuccore/MH937483","NCBI Nucleotide")</f>
        <v>NCBI Nucleotide</v>
      </c>
    </row>
    <row r="393" spans="1:27" x14ac:dyDescent="0.35">
      <c r="A393">
        <v>1000659</v>
      </c>
      <c r="B393">
        <v>392</v>
      </c>
      <c r="C393">
        <v>1</v>
      </c>
      <c r="D393" s="17" t="s">
        <v>155</v>
      </c>
      <c r="E393" s="17"/>
      <c r="F393" s="17" t="s">
        <v>156</v>
      </c>
      <c r="G393" s="17"/>
      <c r="H393" s="17" t="s">
        <v>692</v>
      </c>
      <c r="I393" s="17"/>
      <c r="J393" s="17" t="s">
        <v>693</v>
      </c>
      <c r="K393" s="17"/>
      <c r="L393" s="17"/>
      <c r="M393" s="17"/>
      <c r="N393" s="17" t="s">
        <v>6187</v>
      </c>
      <c r="O393" s="17"/>
      <c r="P393" s="17" t="s">
        <v>6257</v>
      </c>
      <c r="Q393" s="17"/>
      <c r="R393" s="25" t="str">
        <f>HYPERLINK("https://ictv.global/taxonomy/taxondetails?taxnode_id=202314355","Moineauvirus CHPC1027")</f>
        <v>Moineauvirus CHPC1027</v>
      </c>
      <c r="S393" s="18" t="s">
        <v>30</v>
      </c>
      <c r="T393" s="18" t="s">
        <v>6264</v>
      </c>
      <c r="U393" s="18"/>
      <c r="V393" s="18"/>
      <c r="W393" s="18" t="s">
        <v>6265</v>
      </c>
      <c r="X393" s="18" t="s">
        <v>42</v>
      </c>
      <c r="Y393" s="18" t="s">
        <v>36</v>
      </c>
      <c r="Z393" s="18" t="s">
        <v>697</v>
      </c>
      <c r="AA393" s="21" t="str">
        <f>HYPERLINK("https://www.ncbi.nlm.nih.gov/nuccore/MH937486","NCBI Nucleotide")</f>
        <v>NCBI Nucleotide</v>
      </c>
    </row>
    <row r="394" spans="1:27" x14ac:dyDescent="0.35">
      <c r="A394">
        <v>1000660</v>
      </c>
      <c r="B394">
        <v>393</v>
      </c>
      <c r="C394">
        <v>1</v>
      </c>
      <c r="D394" s="17" t="s">
        <v>155</v>
      </c>
      <c r="E394" s="17"/>
      <c r="F394" s="17" t="s">
        <v>156</v>
      </c>
      <c r="G394" s="17"/>
      <c r="H394" s="17" t="s">
        <v>692</v>
      </c>
      <c r="I394" s="17"/>
      <c r="J394" s="17" t="s">
        <v>693</v>
      </c>
      <c r="K394" s="17"/>
      <c r="L394" s="17"/>
      <c r="M394" s="17"/>
      <c r="N394" s="17" t="s">
        <v>6187</v>
      </c>
      <c r="O394" s="17"/>
      <c r="P394" s="17" t="s">
        <v>6257</v>
      </c>
      <c r="Q394" s="17"/>
      <c r="R394" s="25" t="str">
        <f>HYPERLINK("https://ictv.global/taxonomy/taxondetails?taxnode_id=202314356","Moineauvirus CHPC1029")</f>
        <v>Moineauvirus CHPC1029</v>
      </c>
      <c r="S394" s="18" t="s">
        <v>30</v>
      </c>
      <c r="T394" s="18" t="s">
        <v>6266</v>
      </c>
      <c r="U394" s="18"/>
      <c r="V394" s="18"/>
      <c r="W394" s="18" t="s">
        <v>6267</v>
      </c>
      <c r="X394" s="18" t="s">
        <v>42</v>
      </c>
      <c r="Y394" s="18" t="s">
        <v>36</v>
      </c>
      <c r="Z394" s="18" t="s">
        <v>697</v>
      </c>
      <c r="AA394" s="21" t="str">
        <f>HYPERLINK("https://www.ncbi.nlm.nih.gov/nuccore/MH937487","NCBI Nucleotide")</f>
        <v>NCBI Nucleotide</v>
      </c>
    </row>
    <row r="395" spans="1:27" x14ac:dyDescent="0.35">
      <c r="A395">
        <v>1000661</v>
      </c>
      <c r="B395">
        <v>394</v>
      </c>
      <c r="C395">
        <v>1</v>
      </c>
      <c r="D395" s="17" t="s">
        <v>155</v>
      </c>
      <c r="E395" s="17"/>
      <c r="F395" s="17" t="s">
        <v>156</v>
      </c>
      <c r="G395" s="17"/>
      <c r="H395" s="17" t="s">
        <v>692</v>
      </c>
      <c r="I395" s="17"/>
      <c r="J395" s="17" t="s">
        <v>693</v>
      </c>
      <c r="K395" s="17"/>
      <c r="L395" s="17"/>
      <c r="M395" s="17"/>
      <c r="N395" s="17" t="s">
        <v>6187</v>
      </c>
      <c r="O395" s="17"/>
      <c r="P395" s="17" t="s">
        <v>6257</v>
      </c>
      <c r="Q395" s="17"/>
      <c r="R395" s="25" t="str">
        <f>HYPERLINK("https://ictv.global/taxonomy/taxondetails?taxnode_id=202314357","Moineauvirus CHPC1033")</f>
        <v>Moineauvirus CHPC1033</v>
      </c>
      <c r="S395" s="18" t="s">
        <v>30</v>
      </c>
      <c r="T395" s="18" t="s">
        <v>6268</v>
      </c>
      <c r="U395" s="18"/>
      <c r="V395" s="18"/>
      <c r="W395" s="18" t="s">
        <v>6269</v>
      </c>
      <c r="X395" s="18" t="s">
        <v>42</v>
      </c>
      <c r="Y395" s="18" t="s">
        <v>36</v>
      </c>
      <c r="Z395" s="18" t="s">
        <v>697</v>
      </c>
      <c r="AA395" s="21" t="str">
        <f>HYPERLINK("https://www.ncbi.nlm.nih.gov/nuccore/MH937488","NCBI Nucleotide")</f>
        <v>NCBI Nucleotide</v>
      </c>
    </row>
    <row r="396" spans="1:27" x14ac:dyDescent="0.35">
      <c r="A396">
        <v>1000662</v>
      </c>
      <c r="B396">
        <v>395</v>
      </c>
      <c r="C396">
        <v>1</v>
      </c>
      <c r="D396" s="17" t="s">
        <v>155</v>
      </c>
      <c r="E396" s="17"/>
      <c r="F396" s="17" t="s">
        <v>156</v>
      </c>
      <c r="G396" s="17"/>
      <c r="H396" s="17" t="s">
        <v>692</v>
      </c>
      <c r="I396" s="17"/>
      <c r="J396" s="17" t="s">
        <v>693</v>
      </c>
      <c r="K396" s="17"/>
      <c r="L396" s="17"/>
      <c r="M396" s="17"/>
      <c r="N396" s="17" t="s">
        <v>6187</v>
      </c>
      <c r="O396" s="17"/>
      <c r="P396" s="17" t="s">
        <v>6257</v>
      </c>
      <c r="Q396" s="17"/>
      <c r="R396" s="25" t="str">
        <f>HYPERLINK("https://ictv.global/taxonomy/taxondetails?taxnode_id=202314358","Moineauvirus CHPC1036")</f>
        <v>Moineauvirus CHPC1036</v>
      </c>
      <c r="S396" s="18" t="s">
        <v>30</v>
      </c>
      <c r="T396" s="18" t="s">
        <v>6270</v>
      </c>
      <c r="U396" s="18"/>
      <c r="V396" s="18"/>
      <c r="W396" s="18" t="s">
        <v>6271</v>
      </c>
      <c r="X396" s="18" t="s">
        <v>42</v>
      </c>
      <c r="Y396" s="18" t="s">
        <v>36</v>
      </c>
      <c r="Z396" s="18" t="s">
        <v>697</v>
      </c>
      <c r="AA396" s="21" t="str">
        <f>HYPERLINK("https://www.ncbi.nlm.nih.gov/nuccore/MH937490","NCBI Nucleotide")</f>
        <v>NCBI Nucleotide</v>
      </c>
    </row>
    <row r="397" spans="1:27" x14ac:dyDescent="0.35">
      <c r="A397">
        <v>1000663</v>
      </c>
      <c r="B397">
        <v>396</v>
      </c>
      <c r="C397">
        <v>1</v>
      </c>
      <c r="D397" s="17" t="s">
        <v>155</v>
      </c>
      <c r="E397" s="17"/>
      <c r="F397" s="17" t="s">
        <v>156</v>
      </c>
      <c r="G397" s="17"/>
      <c r="H397" s="17" t="s">
        <v>692</v>
      </c>
      <c r="I397" s="17"/>
      <c r="J397" s="17" t="s">
        <v>693</v>
      </c>
      <c r="K397" s="17"/>
      <c r="L397" s="17"/>
      <c r="M397" s="17"/>
      <c r="N397" s="17" t="s">
        <v>6187</v>
      </c>
      <c r="O397" s="17"/>
      <c r="P397" s="17" t="s">
        <v>6257</v>
      </c>
      <c r="Q397" s="17"/>
      <c r="R397" s="25" t="str">
        <f>HYPERLINK("https://ictv.global/taxonomy/taxondetails?taxnode_id=202314359","Moineauvirus CHPC1041")</f>
        <v>Moineauvirus CHPC1041</v>
      </c>
      <c r="S397" s="18" t="s">
        <v>30</v>
      </c>
      <c r="T397" s="18" t="s">
        <v>6272</v>
      </c>
      <c r="U397" s="18"/>
      <c r="V397" s="18"/>
      <c r="W397" s="18" t="s">
        <v>6273</v>
      </c>
      <c r="X397" s="18" t="s">
        <v>42</v>
      </c>
      <c r="Y397" s="18" t="s">
        <v>36</v>
      </c>
      <c r="Z397" s="18" t="s">
        <v>697</v>
      </c>
      <c r="AA397" s="21" t="str">
        <f>HYPERLINK("https://www.ncbi.nlm.nih.gov/nuccore/MH937493","NCBI Nucleotide")</f>
        <v>NCBI Nucleotide</v>
      </c>
    </row>
    <row r="398" spans="1:27" x14ac:dyDescent="0.35">
      <c r="A398">
        <v>1000664</v>
      </c>
      <c r="B398">
        <v>397</v>
      </c>
      <c r="C398">
        <v>1</v>
      </c>
      <c r="D398" s="17" t="s">
        <v>155</v>
      </c>
      <c r="E398" s="17"/>
      <c r="F398" s="17" t="s">
        <v>156</v>
      </c>
      <c r="G398" s="17"/>
      <c r="H398" s="17" t="s">
        <v>692</v>
      </c>
      <c r="I398" s="17"/>
      <c r="J398" s="17" t="s">
        <v>693</v>
      </c>
      <c r="K398" s="17"/>
      <c r="L398" s="17"/>
      <c r="M398" s="17"/>
      <c r="N398" s="17" t="s">
        <v>6187</v>
      </c>
      <c r="O398" s="17"/>
      <c r="P398" s="17" t="s">
        <v>6257</v>
      </c>
      <c r="Q398" s="17"/>
      <c r="R398" s="25" t="str">
        <f>HYPERLINK("https://ictv.global/taxonomy/taxondetails?taxnode_id=202314360","Moineauvirus CHPC1045")</f>
        <v>Moineauvirus CHPC1045</v>
      </c>
      <c r="S398" s="18" t="s">
        <v>30</v>
      </c>
      <c r="T398" s="18" t="s">
        <v>6274</v>
      </c>
      <c r="U398" s="18"/>
      <c r="V398" s="18"/>
      <c r="W398" s="18" t="s">
        <v>6275</v>
      </c>
      <c r="X398" s="18" t="s">
        <v>42</v>
      </c>
      <c r="Y398" s="18" t="s">
        <v>36</v>
      </c>
      <c r="Z398" s="18" t="s">
        <v>697</v>
      </c>
      <c r="AA398" s="21" t="str">
        <f>HYPERLINK("https://www.ncbi.nlm.nih.gov/nuccore/MH937495","NCBI Nucleotide")</f>
        <v>NCBI Nucleotide</v>
      </c>
    </row>
    <row r="399" spans="1:27" x14ac:dyDescent="0.35">
      <c r="A399">
        <v>1000665</v>
      </c>
      <c r="B399">
        <v>398</v>
      </c>
      <c r="C399">
        <v>1</v>
      </c>
      <c r="D399" s="17" t="s">
        <v>155</v>
      </c>
      <c r="E399" s="17"/>
      <c r="F399" s="17" t="s">
        <v>156</v>
      </c>
      <c r="G399" s="17"/>
      <c r="H399" s="17" t="s">
        <v>692</v>
      </c>
      <c r="I399" s="17"/>
      <c r="J399" s="17" t="s">
        <v>693</v>
      </c>
      <c r="K399" s="17"/>
      <c r="L399" s="17"/>
      <c r="M399" s="17"/>
      <c r="N399" s="17" t="s">
        <v>6187</v>
      </c>
      <c r="O399" s="17"/>
      <c r="P399" s="17" t="s">
        <v>6257</v>
      </c>
      <c r="Q399" s="17"/>
      <c r="R399" s="25" t="str">
        <f>HYPERLINK("https://ictv.global/taxonomy/taxondetails?taxnode_id=202314361","Moineauvirus CHPC1046")</f>
        <v>Moineauvirus CHPC1046</v>
      </c>
      <c r="S399" s="18" t="s">
        <v>30</v>
      </c>
      <c r="T399" s="18" t="s">
        <v>6276</v>
      </c>
      <c r="U399" s="18"/>
      <c r="V399" s="18"/>
      <c r="W399" s="18" t="s">
        <v>6277</v>
      </c>
      <c r="X399" s="18" t="s">
        <v>42</v>
      </c>
      <c r="Y399" s="18" t="s">
        <v>36</v>
      </c>
      <c r="Z399" s="18" t="s">
        <v>697</v>
      </c>
      <c r="AA399" s="21" t="str">
        <f>HYPERLINK("https://www.ncbi.nlm.nih.gov/nuccore/MH937496","NCBI Nucleotide")</f>
        <v>NCBI Nucleotide</v>
      </c>
    </row>
    <row r="400" spans="1:27" x14ac:dyDescent="0.35">
      <c r="A400">
        <v>1000666</v>
      </c>
      <c r="B400">
        <v>399</v>
      </c>
      <c r="C400">
        <v>1</v>
      </c>
      <c r="D400" s="17" t="s">
        <v>155</v>
      </c>
      <c r="E400" s="17"/>
      <c r="F400" s="17" t="s">
        <v>156</v>
      </c>
      <c r="G400" s="17"/>
      <c r="H400" s="17" t="s">
        <v>692</v>
      </c>
      <c r="I400" s="17"/>
      <c r="J400" s="17" t="s">
        <v>693</v>
      </c>
      <c r="K400" s="17"/>
      <c r="L400" s="17"/>
      <c r="M400" s="17"/>
      <c r="N400" s="17" t="s">
        <v>6187</v>
      </c>
      <c r="O400" s="17"/>
      <c r="P400" s="17" t="s">
        <v>6257</v>
      </c>
      <c r="Q400" s="17"/>
      <c r="R400" s="25" t="str">
        <f>HYPERLINK("https://ictv.global/taxonomy/taxondetails?taxnode_id=202314362","Moineauvirus CHPC1062")</f>
        <v>Moineauvirus CHPC1062</v>
      </c>
      <c r="S400" s="18" t="s">
        <v>30</v>
      </c>
      <c r="T400" s="18" t="s">
        <v>6278</v>
      </c>
      <c r="U400" s="18"/>
      <c r="V400" s="18"/>
      <c r="W400" s="18" t="s">
        <v>6279</v>
      </c>
      <c r="X400" s="18" t="s">
        <v>42</v>
      </c>
      <c r="Y400" s="18" t="s">
        <v>36</v>
      </c>
      <c r="Z400" s="18" t="s">
        <v>697</v>
      </c>
      <c r="AA400" s="21" t="str">
        <f>HYPERLINK("https://www.ncbi.nlm.nih.gov/nuccore/MH937499","NCBI Nucleotide")</f>
        <v>NCBI Nucleotide</v>
      </c>
    </row>
    <row r="401" spans="1:27" x14ac:dyDescent="0.35">
      <c r="A401">
        <v>1000667</v>
      </c>
      <c r="B401">
        <v>400</v>
      </c>
      <c r="C401">
        <v>1</v>
      </c>
      <c r="D401" s="17" t="s">
        <v>155</v>
      </c>
      <c r="E401" s="17"/>
      <c r="F401" s="17" t="s">
        <v>156</v>
      </c>
      <c r="G401" s="17"/>
      <c r="H401" s="17" t="s">
        <v>692</v>
      </c>
      <c r="I401" s="17"/>
      <c r="J401" s="17" t="s">
        <v>693</v>
      </c>
      <c r="K401" s="17"/>
      <c r="L401" s="17"/>
      <c r="M401" s="17"/>
      <c r="N401" s="17" t="s">
        <v>6187</v>
      </c>
      <c r="O401" s="17"/>
      <c r="P401" s="17" t="s">
        <v>6257</v>
      </c>
      <c r="Q401" s="17"/>
      <c r="R401" s="25" t="str">
        <f>HYPERLINK("https://ictv.global/taxonomy/taxondetails?taxnode_id=202314363","Moineauvirus CHPC1067")</f>
        <v>Moineauvirus CHPC1067</v>
      </c>
      <c r="S401" s="18" t="s">
        <v>30</v>
      </c>
      <c r="T401" s="18" t="s">
        <v>6280</v>
      </c>
      <c r="U401" s="18"/>
      <c r="V401" s="18"/>
      <c r="W401" s="18" t="s">
        <v>6281</v>
      </c>
      <c r="X401" s="18" t="s">
        <v>42</v>
      </c>
      <c r="Y401" s="18" t="s">
        <v>36</v>
      </c>
      <c r="Z401" s="18" t="s">
        <v>697</v>
      </c>
      <c r="AA401" s="21" t="str">
        <f>HYPERLINK("https://www.ncbi.nlm.nih.gov/nuccore/MH937500","NCBI Nucleotide")</f>
        <v>NCBI Nucleotide</v>
      </c>
    </row>
    <row r="402" spans="1:27" x14ac:dyDescent="0.35">
      <c r="A402">
        <v>1000668</v>
      </c>
      <c r="B402">
        <v>401</v>
      </c>
      <c r="C402">
        <v>1</v>
      </c>
      <c r="D402" s="17" t="s">
        <v>155</v>
      </c>
      <c r="E402" s="17"/>
      <c r="F402" s="17" t="s">
        <v>156</v>
      </c>
      <c r="G402" s="17"/>
      <c r="H402" s="17" t="s">
        <v>692</v>
      </c>
      <c r="I402" s="17"/>
      <c r="J402" s="17" t="s">
        <v>693</v>
      </c>
      <c r="K402" s="17"/>
      <c r="L402" s="17"/>
      <c r="M402" s="17"/>
      <c r="N402" s="17" t="s">
        <v>6187</v>
      </c>
      <c r="O402" s="17"/>
      <c r="P402" s="17" t="s">
        <v>6257</v>
      </c>
      <c r="Q402" s="17"/>
      <c r="R402" s="25" t="str">
        <f>HYPERLINK("https://ictv.global/taxonomy/taxondetails?taxnode_id=202314364","Moineauvirus CHPC1091")</f>
        <v>Moineauvirus CHPC1091</v>
      </c>
      <c r="S402" s="18" t="s">
        <v>30</v>
      </c>
      <c r="T402" s="18" t="s">
        <v>6282</v>
      </c>
      <c r="U402" s="18"/>
      <c r="V402" s="18"/>
      <c r="W402" s="18" t="s">
        <v>6283</v>
      </c>
      <c r="X402" s="18" t="s">
        <v>42</v>
      </c>
      <c r="Y402" s="18" t="s">
        <v>36</v>
      </c>
      <c r="Z402" s="18" t="s">
        <v>697</v>
      </c>
      <c r="AA402" s="21" t="str">
        <f>HYPERLINK("https://www.ncbi.nlm.nih.gov/nuccore/MH937504","NCBI Nucleotide")</f>
        <v>NCBI Nucleotide</v>
      </c>
    </row>
    <row r="403" spans="1:27" x14ac:dyDescent="0.35">
      <c r="A403">
        <v>1000669</v>
      </c>
      <c r="B403">
        <v>402</v>
      </c>
      <c r="C403">
        <v>1</v>
      </c>
      <c r="D403" s="17" t="s">
        <v>155</v>
      </c>
      <c r="E403" s="17"/>
      <c r="F403" s="17" t="s">
        <v>156</v>
      </c>
      <c r="G403" s="17"/>
      <c r="H403" s="17" t="s">
        <v>692</v>
      </c>
      <c r="I403" s="17"/>
      <c r="J403" s="17" t="s">
        <v>693</v>
      </c>
      <c r="K403" s="17"/>
      <c r="L403" s="17"/>
      <c r="M403" s="17"/>
      <c r="N403" s="17" t="s">
        <v>6187</v>
      </c>
      <c r="O403" s="17"/>
      <c r="P403" s="17" t="s">
        <v>6257</v>
      </c>
      <c r="Q403" s="17"/>
      <c r="R403" s="25" t="str">
        <f>HYPERLINK("https://ictv.global/taxonomy/taxondetails?taxnode_id=202314365","Moineauvirus CHPC1148")</f>
        <v>Moineauvirus CHPC1148</v>
      </c>
      <c r="S403" s="18" t="s">
        <v>30</v>
      </c>
      <c r="T403" s="18" t="s">
        <v>6284</v>
      </c>
      <c r="U403" s="18"/>
      <c r="V403" s="18"/>
      <c r="W403" s="18" t="s">
        <v>6285</v>
      </c>
      <c r="X403" s="18" t="s">
        <v>42</v>
      </c>
      <c r="Y403" s="18" t="s">
        <v>36</v>
      </c>
      <c r="Z403" s="18" t="s">
        <v>697</v>
      </c>
      <c r="AA403" s="21" t="str">
        <f>HYPERLINK("https://www.ncbi.nlm.nih.gov/nuccore/MH937506","NCBI Nucleotide")</f>
        <v>NCBI Nucleotide</v>
      </c>
    </row>
    <row r="404" spans="1:27" x14ac:dyDescent="0.35">
      <c r="A404">
        <v>1000670</v>
      </c>
      <c r="B404">
        <v>403</v>
      </c>
      <c r="C404">
        <v>1</v>
      </c>
      <c r="D404" s="17" t="s">
        <v>155</v>
      </c>
      <c r="E404" s="17"/>
      <c r="F404" s="17" t="s">
        <v>156</v>
      </c>
      <c r="G404" s="17"/>
      <c r="H404" s="17" t="s">
        <v>692</v>
      </c>
      <c r="I404" s="17"/>
      <c r="J404" s="17" t="s">
        <v>693</v>
      </c>
      <c r="K404" s="17"/>
      <c r="L404" s="17"/>
      <c r="M404" s="17"/>
      <c r="N404" s="17" t="s">
        <v>6187</v>
      </c>
      <c r="O404" s="17"/>
      <c r="P404" s="17" t="s">
        <v>6257</v>
      </c>
      <c r="Q404" s="17"/>
      <c r="R404" s="25" t="str">
        <f>HYPERLINK("https://ictv.global/taxonomy/taxondetails?taxnode_id=202314366","Moineauvirus CHPC1156")</f>
        <v>Moineauvirus CHPC1156</v>
      </c>
      <c r="S404" s="18" t="s">
        <v>30</v>
      </c>
      <c r="T404" s="18" t="s">
        <v>6286</v>
      </c>
      <c r="U404" s="18"/>
      <c r="V404" s="18"/>
      <c r="W404" s="18" t="s">
        <v>6287</v>
      </c>
      <c r="X404" s="18" t="s">
        <v>42</v>
      </c>
      <c r="Y404" s="18" t="s">
        <v>36</v>
      </c>
      <c r="Z404" s="18" t="s">
        <v>697</v>
      </c>
      <c r="AA404" s="21" t="str">
        <f>HYPERLINK("https://www.ncbi.nlm.nih.gov/nuccore/MH937508","NCBI Nucleotide")</f>
        <v>NCBI Nucleotide</v>
      </c>
    </row>
    <row r="405" spans="1:27" x14ac:dyDescent="0.35">
      <c r="A405">
        <v>1000686</v>
      </c>
      <c r="B405">
        <v>404</v>
      </c>
      <c r="C405">
        <v>1</v>
      </c>
      <c r="D405" s="17" t="s">
        <v>155</v>
      </c>
      <c r="E405" s="17"/>
      <c r="F405" s="17" t="s">
        <v>156</v>
      </c>
      <c r="G405" s="17"/>
      <c r="H405" s="17" t="s">
        <v>692</v>
      </c>
      <c r="I405" s="17"/>
      <c r="J405" s="17" t="s">
        <v>693</v>
      </c>
      <c r="K405" s="17"/>
      <c r="L405" s="17"/>
      <c r="M405" s="17"/>
      <c r="N405" s="17" t="s">
        <v>6187</v>
      </c>
      <c r="O405" s="17"/>
      <c r="P405" s="17" t="s">
        <v>6257</v>
      </c>
      <c r="Q405" s="17"/>
      <c r="R405" s="25" t="str">
        <f>HYPERLINK("https://ictv.global/taxonomy/taxondetails?taxnode_id=202314382","Moineauvirus D1024")</f>
        <v>Moineauvirus D1024</v>
      </c>
      <c r="S405" s="18" t="s">
        <v>30</v>
      </c>
      <c r="T405" s="18" t="s">
        <v>6318</v>
      </c>
      <c r="U405" s="18"/>
      <c r="V405" s="18"/>
      <c r="W405" s="18" t="s">
        <v>6319</v>
      </c>
      <c r="X405" s="18" t="s">
        <v>42</v>
      </c>
      <c r="Y405" s="18" t="s">
        <v>36</v>
      </c>
      <c r="Z405" s="18" t="s">
        <v>697</v>
      </c>
      <c r="AA405" s="21" t="str">
        <f>HYPERLINK("https://www.ncbi.nlm.nih.gov/nuccore/MH000603","NCBI Nucleotide")</f>
        <v>NCBI Nucleotide</v>
      </c>
    </row>
    <row r="406" spans="1:27" x14ac:dyDescent="0.35">
      <c r="A406">
        <v>1000687</v>
      </c>
      <c r="B406">
        <v>405</v>
      </c>
      <c r="C406">
        <v>1</v>
      </c>
      <c r="D406" s="17" t="s">
        <v>155</v>
      </c>
      <c r="E406" s="17"/>
      <c r="F406" s="17" t="s">
        <v>156</v>
      </c>
      <c r="G406" s="17"/>
      <c r="H406" s="17" t="s">
        <v>692</v>
      </c>
      <c r="I406" s="17"/>
      <c r="J406" s="17" t="s">
        <v>693</v>
      </c>
      <c r="K406" s="17"/>
      <c r="L406" s="17"/>
      <c r="M406" s="17"/>
      <c r="N406" s="17" t="s">
        <v>6187</v>
      </c>
      <c r="O406" s="17"/>
      <c r="P406" s="17" t="s">
        <v>6257</v>
      </c>
      <c r="Q406" s="17"/>
      <c r="R406" s="25" t="str">
        <f>HYPERLINK("https://ictv.global/taxonomy/taxondetails?taxnode_id=202314383","Moineauvirus D1811")</f>
        <v>Moineauvirus D1811</v>
      </c>
      <c r="S406" s="18" t="s">
        <v>30</v>
      </c>
      <c r="T406" s="18" t="s">
        <v>6320</v>
      </c>
      <c r="U406" s="18"/>
      <c r="V406" s="18"/>
      <c r="W406" s="18" t="s">
        <v>6321</v>
      </c>
      <c r="X406" s="18" t="s">
        <v>42</v>
      </c>
      <c r="Y406" s="18" t="s">
        <v>36</v>
      </c>
      <c r="Z406" s="18" t="s">
        <v>697</v>
      </c>
      <c r="AA406" s="21" t="str">
        <f>HYPERLINK("https://www.ncbi.nlm.nih.gov/nuccore/MH000604","NCBI Nucleotide")</f>
        <v>NCBI Nucleotide</v>
      </c>
    </row>
    <row r="407" spans="1:27" x14ac:dyDescent="0.35">
      <c r="A407">
        <v>1000688</v>
      </c>
      <c r="B407">
        <v>406</v>
      </c>
      <c r="C407">
        <v>1</v>
      </c>
      <c r="D407" s="17" t="s">
        <v>155</v>
      </c>
      <c r="E407" s="17"/>
      <c r="F407" s="17" t="s">
        <v>156</v>
      </c>
      <c r="G407" s="17"/>
      <c r="H407" s="17" t="s">
        <v>692</v>
      </c>
      <c r="I407" s="17"/>
      <c r="J407" s="17" t="s">
        <v>693</v>
      </c>
      <c r="K407" s="17"/>
      <c r="L407" s="17"/>
      <c r="M407" s="17"/>
      <c r="N407" s="17" t="s">
        <v>6187</v>
      </c>
      <c r="O407" s="17"/>
      <c r="P407" s="17" t="s">
        <v>6257</v>
      </c>
      <c r="Q407" s="17"/>
      <c r="R407" s="25" t="str">
        <f>HYPERLINK("https://ictv.global/taxonomy/taxondetails?taxnode_id=202314384","Moineauvirus D4276")</f>
        <v>Moineauvirus D4276</v>
      </c>
      <c r="S407" s="18" t="s">
        <v>30</v>
      </c>
      <c r="T407" s="18" t="s">
        <v>6322</v>
      </c>
      <c r="U407" s="18"/>
      <c r="V407" s="18"/>
      <c r="W407" s="18" t="s">
        <v>6323</v>
      </c>
      <c r="X407" s="18" t="s">
        <v>42</v>
      </c>
      <c r="Y407" s="18" t="s">
        <v>36</v>
      </c>
      <c r="Z407" s="18" t="s">
        <v>697</v>
      </c>
      <c r="AA407" s="21" t="str">
        <f>HYPERLINK("https://www.ncbi.nlm.nih.gov/nuccore/MF161328","NCBI Nucleotide")</f>
        <v>NCBI Nucleotide</v>
      </c>
    </row>
    <row r="408" spans="1:27" x14ac:dyDescent="0.35">
      <c r="A408">
        <v>1000689</v>
      </c>
      <c r="B408">
        <v>407</v>
      </c>
      <c r="C408">
        <v>1</v>
      </c>
      <c r="D408" s="17" t="s">
        <v>155</v>
      </c>
      <c r="E408" s="17"/>
      <c r="F408" s="17" t="s">
        <v>156</v>
      </c>
      <c r="G408" s="17"/>
      <c r="H408" s="17" t="s">
        <v>692</v>
      </c>
      <c r="I408" s="17"/>
      <c r="J408" s="17" t="s">
        <v>693</v>
      </c>
      <c r="K408" s="17"/>
      <c r="L408" s="17"/>
      <c r="M408" s="17"/>
      <c r="N408" s="17" t="s">
        <v>6187</v>
      </c>
      <c r="O408" s="17"/>
      <c r="P408" s="17" t="s">
        <v>6257</v>
      </c>
      <c r="Q408" s="17"/>
      <c r="R408" s="25" t="str">
        <f>HYPERLINK("https://ictv.global/taxonomy/taxondetails?taxnode_id=202301274","Moineauvirus DT1")</f>
        <v>Moineauvirus DT1</v>
      </c>
      <c r="S408" s="18" t="s">
        <v>30</v>
      </c>
      <c r="T408" s="18" t="s">
        <v>6324</v>
      </c>
      <c r="U408" s="18"/>
      <c r="V408" s="18"/>
      <c r="W408" s="18" t="s">
        <v>6325</v>
      </c>
      <c r="X408" s="18" t="s">
        <v>42</v>
      </c>
      <c r="Y408" s="18" t="s">
        <v>36</v>
      </c>
      <c r="Z408" s="18" t="s">
        <v>697</v>
      </c>
      <c r="AA408" s="21" t="str">
        <f>HYPERLINK("https://www.ncbi.nlm.nih.gov/nuccore/AF085222","NCBI Nucleotide")</f>
        <v>NCBI Nucleotide</v>
      </c>
    </row>
    <row r="409" spans="1:27" x14ac:dyDescent="0.35">
      <c r="A409">
        <v>1000690</v>
      </c>
      <c r="B409">
        <v>408</v>
      </c>
      <c r="C409">
        <v>1</v>
      </c>
      <c r="D409" s="17" t="s">
        <v>155</v>
      </c>
      <c r="E409" s="17"/>
      <c r="F409" s="17" t="s">
        <v>156</v>
      </c>
      <c r="G409" s="17"/>
      <c r="H409" s="17" t="s">
        <v>692</v>
      </c>
      <c r="I409" s="17"/>
      <c r="J409" s="17" t="s">
        <v>693</v>
      </c>
      <c r="K409" s="17"/>
      <c r="L409" s="17"/>
      <c r="M409" s="17"/>
      <c r="N409" s="17" t="s">
        <v>6187</v>
      </c>
      <c r="O409" s="17"/>
      <c r="P409" s="17" t="s">
        <v>6257</v>
      </c>
      <c r="Q409" s="17"/>
      <c r="R409" s="25" t="str">
        <f>HYPERLINK("https://ictv.global/taxonomy/taxondetails?taxnode_id=202314385","Moineauvirus L5A1")</f>
        <v>Moineauvirus L5A1</v>
      </c>
      <c r="S409" s="18" t="s">
        <v>30</v>
      </c>
      <c r="T409" s="18" t="s">
        <v>6326</v>
      </c>
      <c r="U409" s="18"/>
      <c r="V409" s="18"/>
      <c r="W409" s="18" t="s">
        <v>6327</v>
      </c>
      <c r="X409" s="18" t="s">
        <v>42</v>
      </c>
      <c r="Y409" s="18" t="s">
        <v>36</v>
      </c>
      <c r="Z409" s="18" t="s">
        <v>697</v>
      </c>
      <c r="AA409" s="21" t="str">
        <f>HYPERLINK("https://www.ncbi.nlm.nih.gov/nuccore/MF580769","NCBI Nucleotide")</f>
        <v>NCBI Nucleotide</v>
      </c>
    </row>
    <row r="410" spans="1:27" x14ac:dyDescent="0.35">
      <c r="A410">
        <v>1000691</v>
      </c>
      <c r="B410">
        <v>409</v>
      </c>
      <c r="C410">
        <v>1</v>
      </c>
      <c r="D410" s="17" t="s">
        <v>155</v>
      </c>
      <c r="E410" s="17"/>
      <c r="F410" s="17" t="s">
        <v>156</v>
      </c>
      <c r="G410" s="17"/>
      <c r="H410" s="17" t="s">
        <v>692</v>
      </c>
      <c r="I410" s="17"/>
      <c r="J410" s="17" t="s">
        <v>693</v>
      </c>
      <c r="K410" s="17"/>
      <c r="L410" s="17"/>
      <c r="M410" s="17"/>
      <c r="N410" s="17" t="s">
        <v>6187</v>
      </c>
      <c r="O410" s="17"/>
      <c r="P410" s="17" t="s">
        <v>6257</v>
      </c>
      <c r="Q410" s="17"/>
      <c r="R410" s="25" t="str">
        <f>HYPERLINK("https://ictv.global/taxonomy/taxondetails?taxnode_id=202314386","Moineauvirus M19")</f>
        <v>Moineauvirus M19</v>
      </c>
      <c r="S410" s="18" t="s">
        <v>30</v>
      </c>
      <c r="T410" s="18" t="s">
        <v>6328</v>
      </c>
      <c r="U410" s="18"/>
      <c r="V410" s="18"/>
      <c r="W410" s="18" t="s">
        <v>6329</v>
      </c>
      <c r="X410" s="18" t="s">
        <v>42</v>
      </c>
      <c r="Y410" s="18" t="s">
        <v>36</v>
      </c>
      <c r="Z410" s="18" t="s">
        <v>697</v>
      </c>
      <c r="AA410" s="21" t="str">
        <f>HYPERLINK("https://www.ncbi.nlm.nih.gov/nuccore/MF580770","NCBI Nucleotide")</f>
        <v>NCBI Nucleotide</v>
      </c>
    </row>
    <row r="411" spans="1:27" x14ac:dyDescent="0.35">
      <c r="A411">
        <v>1000692</v>
      </c>
      <c r="B411">
        <v>410</v>
      </c>
      <c r="C411">
        <v>1</v>
      </c>
      <c r="D411" s="17" t="s">
        <v>155</v>
      </c>
      <c r="E411" s="17"/>
      <c r="F411" s="17" t="s">
        <v>156</v>
      </c>
      <c r="G411" s="17"/>
      <c r="H411" s="17" t="s">
        <v>692</v>
      </c>
      <c r="I411" s="17"/>
      <c r="J411" s="17" t="s">
        <v>693</v>
      </c>
      <c r="K411" s="17"/>
      <c r="L411" s="17"/>
      <c r="M411" s="17"/>
      <c r="N411" s="17" t="s">
        <v>6187</v>
      </c>
      <c r="O411" s="17"/>
      <c r="P411" s="17" t="s">
        <v>6257</v>
      </c>
      <c r="Q411" s="17"/>
      <c r="R411" s="25" t="str">
        <f>HYPERLINK("https://ictv.global/taxonomy/taxondetails?taxnode_id=202314387","Moineauvirus MM25")</f>
        <v>Moineauvirus MM25</v>
      </c>
      <c r="S411" s="18" t="s">
        <v>30</v>
      </c>
      <c r="T411" s="18" t="s">
        <v>6330</v>
      </c>
      <c r="U411" s="18"/>
      <c r="V411" s="18"/>
      <c r="W411" s="18" t="s">
        <v>6331</v>
      </c>
      <c r="X411" s="18" t="s">
        <v>42</v>
      </c>
      <c r="Y411" s="18" t="s">
        <v>36</v>
      </c>
      <c r="Z411" s="18" t="s">
        <v>697</v>
      </c>
      <c r="AA411" s="21" t="str">
        <f>HYPERLINK("https://www.ncbi.nlm.nih.gov/nuccore/MF580771","NCBI Nucleotide")</f>
        <v>NCBI Nucleotide</v>
      </c>
    </row>
    <row r="412" spans="1:27" x14ac:dyDescent="0.35">
      <c r="A412">
        <v>1000694</v>
      </c>
      <c r="B412">
        <v>411</v>
      </c>
      <c r="C412">
        <v>1</v>
      </c>
      <c r="D412" s="17" t="s">
        <v>155</v>
      </c>
      <c r="E412" s="17"/>
      <c r="F412" s="17" t="s">
        <v>156</v>
      </c>
      <c r="G412" s="17"/>
      <c r="H412" s="17" t="s">
        <v>692</v>
      </c>
      <c r="I412" s="17"/>
      <c r="J412" s="17" t="s">
        <v>693</v>
      </c>
      <c r="K412" s="17"/>
      <c r="L412" s="17"/>
      <c r="M412" s="17"/>
      <c r="N412" s="17" t="s">
        <v>6187</v>
      </c>
      <c r="O412" s="17"/>
      <c r="P412" s="17" t="s">
        <v>6257</v>
      </c>
      <c r="Q412" s="17"/>
      <c r="R412" s="25" t="str">
        <f>HYPERLINK("https://ictv.global/taxonomy/taxondetails?taxnode_id=202314350","Moineauvirus mv53")</f>
        <v>Moineauvirus mv53</v>
      </c>
      <c r="S412" s="18" t="s">
        <v>30</v>
      </c>
      <c r="T412" s="18" t="s">
        <v>6334</v>
      </c>
      <c r="U412" s="18"/>
      <c r="V412" s="18"/>
      <c r="W412" s="18" t="s">
        <v>6335</v>
      </c>
      <c r="X412" s="18" t="s">
        <v>42</v>
      </c>
      <c r="Y412" s="18" t="s">
        <v>36</v>
      </c>
      <c r="Z412" s="18" t="s">
        <v>697</v>
      </c>
      <c r="AA412" s="21" t="str">
        <f>HYPERLINK("https://www.ncbi.nlm.nih.gov/nuccore/KT717084","NCBI Nucleotide")</f>
        <v>NCBI Nucleotide</v>
      </c>
    </row>
    <row r="413" spans="1:27" x14ac:dyDescent="0.35">
      <c r="A413">
        <v>1000696</v>
      </c>
      <c r="B413">
        <v>412</v>
      </c>
      <c r="C413">
        <v>1</v>
      </c>
      <c r="D413" s="17" t="s">
        <v>155</v>
      </c>
      <c r="E413" s="17"/>
      <c r="F413" s="17" t="s">
        <v>156</v>
      </c>
      <c r="G413" s="17"/>
      <c r="H413" s="17" t="s">
        <v>692</v>
      </c>
      <c r="I413" s="17"/>
      <c r="J413" s="17" t="s">
        <v>693</v>
      </c>
      <c r="K413" s="17"/>
      <c r="L413" s="17"/>
      <c r="M413" s="17"/>
      <c r="N413" s="17" t="s">
        <v>6187</v>
      </c>
      <c r="O413" s="17"/>
      <c r="P413" s="17" t="s">
        <v>6257</v>
      </c>
      <c r="Q413" s="17"/>
      <c r="R413" s="25" t="str">
        <f>HYPERLINK("https://ictv.global/taxonomy/taxondetails?taxnode_id=202314351","Moineauvirus mv73")</f>
        <v>Moineauvirus mv73</v>
      </c>
      <c r="S413" s="18" t="s">
        <v>30</v>
      </c>
      <c r="T413" s="18" t="s">
        <v>6338</v>
      </c>
      <c r="U413" s="18"/>
      <c r="V413" s="18"/>
      <c r="W413" s="18" t="s">
        <v>6339</v>
      </c>
      <c r="X413" s="18" t="s">
        <v>42</v>
      </c>
      <c r="Y413" s="18" t="s">
        <v>36</v>
      </c>
      <c r="Z413" s="18" t="s">
        <v>697</v>
      </c>
      <c r="AA413" s="21" t="str">
        <f>HYPERLINK("https://www.ncbi.nlm.nih.gov/nuccore/KT717083","NCBI Nucleotide")</f>
        <v>NCBI Nucleotide</v>
      </c>
    </row>
    <row r="414" spans="1:27" x14ac:dyDescent="0.35">
      <c r="A414">
        <v>1000693</v>
      </c>
      <c r="B414">
        <v>413</v>
      </c>
      <c r="C414">
        <v>1</v>
      </c>
      <c r="D414" s="17" t="s">
        <v>155</v>
      </c>
      <c r="E414" s="17"/>
      <c r="F414" s="17" t="s">
        <v>156</v>
      </c>
      <c r="G414" s="17"/>
      <c r="H414" s="17" t="s">
        <v>692</v>
      </c>
      <c r="I414" s="17"/>
      <c r="J414" s="17" t="s">
        <v>693</v>
      </c>
      <c r="K414" s="17"/>
      <c r="L414" s="17"/>
      <c r="M414" s="17"/>
      <c r="N414" s="17" t="s">
        <v>6187</v>
      </c>
      <c r="O414" s="17"/>
      <c r="P414" s="17" t="s">
        <v>6257</v>
      </c>
      <c r="Q414" s="17"/>
      <c r="R414" s="25" t="str">
        <f>HYPERLINK("https://ictv.global/taxonomy/taxondetails?taxnode_id=202314349","Moineauvirus mv128")</f>
        <v>Moineauvirus mv128</v>
      </c>
      <c r="S414" s="18" t="s">
        <v>30</v>
      </c>
      <c r="T414" s="18" t="s">
        <v>6332</v>
      </c>
      <c r="U414" s="18"/>
      <c r="V414" s="18"/>
      <c r="W414" s="18" t="s">
        <v>6333</v>
      </c>
      <c r="X414" s="18" t="s">
        <v>42</v>
      </c>
      <c r="Y414" s="18" t="s">
        <v>36</v>
      </c>
      <c r="Z414" s="18" t="s">
        <v>697</v>
      </c>
      <c r="AA414" s="21" t="str">
        <f>HYPERLINK("https://www.ncbi.nlm.nih.gov/nuccore/KT717085","NCBI Nucleotide")</f>
        <v>NCBI Nucleotide</v>
      </c>
    </row>
    <row r="415" spans="1:27" x14ac:dyDescent="0.35">
      <c r="A415">
        <v>1000695</v>
      </c>
      <c r="B415">
        <v>414</v>
      </c>
      <c r="C415">
        <v>1</v>
      </c>
      <c r="D415" s="17" t="s">
        <v>155</v>
      </c>
      <c r="E415" s="17"/>
      <c r="F415" s="17" t="s">
        <v>156</v>
      </c>
      <c r="G415" s="17"/>
      <c r="H415" s="17" t="s">
        <v>692</v>
      </c>
      <c r="I415" s="17"/>
      <c r="J415" s="17" t="s">
        <v>693</v>
      </c>
      <c r="K415" s="17"/>
      <c r="L415" s="17"/>
      <c r="M415" s="17"/>
      <c r="N415" s="17" t="s">
        <v>6187</v>
      </c>
      <c r="O415" s="17"/>
      <c r="P415" s="17" t="s">
        <v>6257</v>
      </c>
      <c r="Q415" s="17"/>
      <c r="R415" s="25" t="str">
        <f>HYPERLINK("https://ictv.global/taxonomy/taxondetails?taxnode_id=202301273","Moineauvirus mv7201")</f>
        <v>Moineauvirus mv7201</v>
      </c>
      <c r="S415" s="18" t="s">
        <v>30</v>
      </c>
      <c r="T415" s="18" t="s">
        <v>6336</v>
      </c>
      <c r="U415" s="18"/>
      <c r="V415" s="18"/>
      <c r="W415" s="18" t="s">
        <v>6337</v>
      </c>
      <c r="X415" s="18" t="s">
        <v>42</v>
      </c>
      <c r="Y415" s="18" t="s">
        <v>36</v>
      </c>
      <c r="Z415" s="18" t="s">
        <v>697</v>
      </c>
      <c r="AA415" s="21" t="str">
        <f>HYPERLINK("https://www.ncbi.nlm.nih.gov/nuccore/AF145054","NCBI Nucleotide")</f>
        <v>NCBI Nucleotide</v>
      </c>
    </row>
    <row r="416" spans="1:27" x14ac:dyDescent="0.35">
      <c r="A416">
        <v>1000697</v>
      </c>
      <c r="B416">
        <v>415</v>
      </c>
      <c r="C416">
        <v>1</v>
      </c>
      <c r="D416" s="17" t="s">
        <v>155</v>
      </c>
      <c r="E416" s="17"/>
      <c r="F416" s="17" t="s">
        <v>156</v>
      </c>
      <c r="G416" s="17"/>
      <c r="H416" s="17" t="s">
        <v>692</v>
      </c>
      <c r="I416" s="17"/>
      <c r="J416" s="17" t="s">
        <v>693</v>
      </c>
      <c r="K416" s="17"/>
      <c r="L416" s="17"/>
      <c r="M416" s="17"/>
      <c r="N416" s="17" t="s">
        <v>6187</v>
      </c>
      <c r="O416" s="17"/>
      <c r="P416" s="17" t="s">
        <v>6257</v>
      </c>
      <c r="Q416" s="17"/>
      <c r="R416" s="25" t="str">
        <f>HYPERLINK("https://ictv.global/taxonomy/taxondetails?taxnode_id=202314352","Moineauvirus mv7A5")</f>
        <v>Moineauvirus mv7A5</v>
      </c>
      <c r="S416" s="18" t="s">
        <v>30</v>
      </c>
      <c r="T416" s="18" t="s">
        <v>6340</v>
      </c>
      <c r="U416" s="18"/>
      <c r="V416" s="18"/>
      <c r="W416" s="18" t="s">
        <v>6341</v>
      </c>
      <c r="X416" s="18" t="s">
        <v>42</v>
      </c>
      <c r="Y416" s="18" t="s">
        <v>36</v>
      </c>
      <c r="Z416" s="18" t="s">
        <v>697</v>
      </c>
      <c r="AA416" s="21" t="str">
        <f>HYPERLINK("https://www.ncbi.nlm.nih.gov/nuccore/MF580759","NCBI Nucleotide")</f>
        <v>NCBI Nucleotide</v>
      </c>
    </row>
    <row r="417" spans="1:27" x14ac:dyDescent="0.35">
      <c r="A417">
        <v>1000698</v>
      </c>
      <c r="B417">
        <v>416</v>
      </c>
      <c r="C417">
        <v>1</v>
      </c>
      <c r="D417" s="17" t="s">
        <v>155</v>
      </c>
      <c r="E417" s="17"/>
      <c r="F417" s="17" t="s">
        <v>156</v>
      </c>
      <c r="G417" s="17"/>
      <c r="H417" s="17" t="s">
        <v>692</v>
      </c>
      <c r="I417" s="17"/>
      <c r="J417" s="17" t="s">
        <v>693</v>
      </c>
      <c r="K417" s="17"/>
      <c r="L417" s="17"/>
      <c r="M417" s="17"/>
      <c r="N417" s="17" t="s">
        <v>6187</v>
      </c>
      <c r="O417" s="17"/>
      <c r="P417" s="17" t="s">
        <v>6257</v>
      </c>
      <c r="Q417" s="17"/>
      <c r="R417" s="25" t="str">
        <f>HYPERLINK("https://ictv.global/taxonomy/taxondetails?taxnode_id=202314388","Moineauvirus P0091")</f>
        <v>Moineauvirus P0091</v>
      </c>
      <c r="S417" s="18" t="s">
        <v>30</v>
      </c>
      <c r="T417" s="18" t="s">
        <v>6342</v>
      </c>
      <c r="U417" s="18"/>
      <c r="V417" s="18"/>
      <c r="W417" s="18" t="s">
        <v>6343</v>
      </c>
      <c r="X417" s="18" t="s">
        <v>42</v>
      </c>
      <c r="Y417" s="18" t="s">
        <v>36</v>
      </c>
      <c r="Z417" s="18" t="s">
        <v>697</v>
      </c>
      <c r="AA417" s="21" t="str">
        <f>HYPERLINK("https://www.ncbi.nlm.nih.gov/nuccore/KY705251","NCBI Nucleotide")</f>
        <v>NCBI Nucleotide</v>
      </c>
    </row>
    <row r="418" spans="1:27" x14ac:dyDescent="0.35">
      <c r="A418">
        <v>1000699</v>
      </c>
      <c r="B418">
        <v>417</v>
      </c>
      <c r="C418">
        <v>1</v>
      </c>
      <c r="D418" s="17" t="s">
        <v>155</v>
      </c>
      <c r="E418" s="17"/>
      <c r="F418" s="17" t="s">
        <v>156</v>
      </c>
      <c r="G418" s="17"/>
      <c r="H418" s="17" t="s">
        <v>692</v>
      </c>
      <c r="I418" s="17"/>
      <c r="J418" s="17" t="s">
        <v>693</v>
      </c>
      <c r="K418" s="17"/>
      <c r="L418" s="17"/>
      <c r="M418" s="17"/>
      <c r="N418" s="17" t="s">
        <v>6187</v>
      </c>
      <c r="O418" s="17"/>
      <c r="P418" s="17" t="s">
        <v>6257</v>
      </c>
      <c r="Q418" s="17"/>
      <c r="R418" s="25" t="str">
        <f>HYPERLINK("https://ictv.global/taxonomy/taxondetails?taxnode_id=202314389","Moineauvirus P3681")</f>
        <v>Moineauvirus P3681</v>
      </c>
      <c r="S418" s="18" t="s">
        <v>30</v>
      </c>
      <c r="T418" s="18" t="s">
        <v>6344</v>
      </c>
      <c r="U418" s="18"/>
      <c r="V418" s="18"/>
      <c r="W418" s="18" t="s">
        <v>6345</v>
      </c>
      <c r="X418" s="18" t="s">
        <v>42</v>
      </c>
      <c r="Y418" s="18" t="s">
        <v>36</v>
      </c>
      <c r="Z418" s="18" t="s">
        <v>697</v>
      </c>
      <c r="AA418" s="21" t="str">
        <f>HYPERLINK("https://www.ncbi.nlm.nih.gov/nuccore/KY705256","NCBI Nucleotide")</f>
        <v>NCBI Nucleotide</v>
      </c>
    </row>
    <row r="419" spans="1:27" x14ac:dyDescent="0.35">
      <c r="A419">
        <v>1000700</v>
      </c>
      <c r="B419">
        <v>418</v>
      </c>
      <c r="C419">
        <v>1</v>
      </c>
      <c r="D419" s="17" t="s">
        <v>155</v>
      </c>
      <c r="E419" s="17"/>
      <c r="F419" s="17" t="s">
        <v>156</v>
      </c>
      <c r="G419" s="17"/>
      <c r="H419" s="17" t="s">
        <v>692</v>
      </c>
      <c r="I419" s="17"/>
      <c r="J419" s="17" t="s">
        <v>693</v>
      </c>
      <c r="K419" s="17"/>
      <c r="L419" s="17"/>
      <c r="M419" s="17"/>
      <c r="N419" s="17" t="s">
        <v>6187</v>
      </c>
      <c r="O419" s="17"/>
      <c r="P419" s="17" t="s">
        <v>6257</v>
      </c>
      <c r="Q419" s="17"/>
      <c r="R419" s="25" t="str">
        <f>HYPERLINK("https://ictv.global/taxonomy/taxondetails?taxnode_id=202314390","Moineauvirus P3684")</f>
        <v>Moineauvirus P3684</v>
      </c>
      <c r="S419" s="18" t="s">
        <v>30</v>
      </c>
      <c r="T419" s="18" t="s">
        <v>6346</v>
      </c>
      <c r="U419" s="18"/>
      <c r="V419" s="18"/>
      <c r="W419" s="18" t="s">
        <v>6347</v>
      </c>
      <c r="X419" s="18" t="s">
        <v>42</v>
      </c>
      <c r="Y419" s="18" t="s">
        <v>36</v>
      </c>
      <c r="Z419" s="18" t="s">
        <v>697</v>
      </c>
      <c r="AA419" s="21" t="str">
        <f>HYPERLINK("https://www.ncbi.nlm.nih.gov/nuccore/KY705257","NCBI Nucleotide")</f>
        <v>NCBI Nucleotide</v>
      </c>
    </row>
    <row r="420" spans="1:27" x14ac:dyDescent="0.35">
      <c r="A420">
        <v>1000701</v>
      </c>
      <c r="B420">
        <v>419</v>
      </c>
      <c r="C420">
        <v>1</v>
      </c>
      <c r="D420" s="17" t="s">
        <v>155</v>
      </c>
      <c r="E420" s="17"/>
      <c r="F420" s="17" t="s">
        <v>156</v>
      </c>
      <c r="G420" s="17"/>
      <c r="H420" s="17" t="s">
        <v>692</v>
      </c>
      <c r="I420" s="17"/>
      <c r="J420" s="17" t="s">
        <v>693</v>
      </c>
      <c r="K420" s="17"/>
      <c r="L420" s="17"/>
      <c r="M420" s="17"/>
      <c r="N420" s="17" t="s">
        <v>6187</v>
      </c>
      <c r="O420" s="17"/>
      <c r="P420" s="17" t="s">
        <v>6257</v>
      </c>
      <c r="Q420" s="17"/>
      <c r="R420" s="25" t="str">
        <f>HYPERLINK("https://ictv.global/taxonomy/taxondetails?taxnode_id=202314391","Moineauvirus P5641")</f>
        <v>Moineauvirus P5641</v>
      </c>
      <c r="S420" s="18" t="s">
        <v>30</v>
      </c>
      <c r="T420" s="18" t="s">
        <v>6348</v>
      </c>
      <c r="U420" s="18"/>
      <c r="V420" s="18"/>
      <c r="W420" s="18" t="s">
        <v>6349</v>
      </c>
      <c r="X420" s="18" t="s">
        <v>42</v>
      </c>
      <c r="Y420" s="18" t="s">
        <v>36</v>
      </c>
      <c r="Z420" s="18" t="s">
        <v>697</v>
      </c>
      <c r="AA420" s="21" t="str">
        <f>HYPERLINK("https://www.ncbi.nlm.nih.gov/nuccore/KY705259","NCBI Nucleotide")</f>
        <v>NCBI Nucleotide</v>
      </c>
    </row>
    <row r="421" spans="1:27" x14ac:dyDescent="0.35">
      <c r="A421">
        <v>1000702</v>
      </c>
      <c r="B421">
        <v>420</v>
      </c>
      <c r="C421">
        <v>1</v>
      </c>
      <c r="D421" s="17" t="s">
        <v>155</v>
      </c>
      <c r="E421" s="17"/>
      <c r="F421" s="17" t="s">
        <v>156</v>
      </c>
      <c r="G421" s="17"/>
      <c r="H421" s="17" t="s">
        <v>692</v>
      </c>
      <c r="I421" s="17"/>
      <c r="J421" s="17" t="s">
        <v>693</v>
      </c>
      <c r="K421" s="17"/>
      <c r="L421" s="17"/>
      <c r="M421" s="17"/>
      <c r="N421" s="17" t="s">
        <v>6187</v>
      </c>
      <c r="O421" s="17"/>
      <c r="P421" s="17" t="s">
        <v>6257</v>
      </c>
      <c r="Q421" s="17"/>
      <c r="R421" s="25" t="str">
        <f>HYPERLINK("https://ictv.global/taxonomy/taxondetails?taxnode_id=202314392","Moineauvirus P5651")</f>
        <v>Moineauvirus P5651</v>
      </c>
      <c r="S421" s="18" t="s">
        <v>30</v>
      </c>
      <c r="T421" s="18" t="s">
        <v>6350</v>
      </c>
      <c r="U421" s="18"/>
      <c r="V421" s="18"/>
      <c r="W421" s="18" t="s">
        <v>6351</v>
      </c>
      <c r="X421" s="18" t="s">
        <v>42</v>
      </c>
      <c r="Y421" s="18" t="s">
        <v>36</v>
      </c>
      <c r="Z421" s="18" t="s">
        <v>697</v>
      </c>
      <c r="AA421" s="21" t="str">
        <f>HYPERLINK("https://www.ncbi.nlm.nih.gov/nuccore/KY705260","NCBI Nucleotide")</f>
        <v>NCBI Nucleotide</v>
      </c>
    </row>
    <row r="422" spans="1:27" x14ac:dyDescent="0.35">
      <c r="A422">
        <v>1000703</v>
      </c>
      <c r="B422">
        <v>421</v>
      </c>
      <c r="C422">
        <v>1</v>
      </c>
      <c r="D422" s="17" t="s">
        <v>155</v>
      </c>
      <c r="E422" s="17"/>
      <c r="F422" s="17" t="s">
        <v>156</v>
      </c>
      <c r="G422" s="17"/>
      <c r="H422" s="17" t="s">
        <v>692</v>
      </c>
      <c r="I422" s="17"/>
      <c r="J422" s="17" t="s">
        <v>693</v>
      </c>
      <c r="K422" s="17"/>
      <c r="L422" s="17"/>
      <c r="M422" s="17"/>
      <c r="N422" s="17" t="s">
        <v>6187</v>
      </c>
      <c r="O422" s="17"/>
      <c r="P422" s="17" t="s">
        <v>6257</v>
      </c>
      <c r="Q422" s="17"/>
      <c r="R422" s="25" t="str">
        <f>HYPERLINK("https://ictv.global/taxonomy/taxondetails?taxnode_id=202314393","Moineauvirus P7132")</f>
        <v>Moineauvirus P7132</v>
      </c>
      <c r="S422" s="18" t="s">
        <v>30</v>
      </c>
      <c r="T422" s="18" t="s">
        <v>6352</v>
      </c>
      <c r="U422" s="18"/>
      <c r="V422" s="18"/>
      <c r="W422" s="18" t="s">
        <v>6353</v>
      </c>
      <c r="X422" s="18" t="s">
        <v>42</v>
      </c>
      <c r="Y422" s="18" t="s">
        <v>36</v>
      </c>
      <c r="Z422" s="18" t="s">
        <v>697</v>
      </c>
      <c r="AA422" s="21" t="str">
        <f>HYPERLINK("https://www.ncbi.nlm.nih.gov/nuccore/KY705262","NCBI Nucleotide")</f>
        <v>NCBI Nucleotide</v>
      </c>
    </row>
    <row r="423" spans="1:27" x14ac:dyDescent="0.35">
      <c r="A423">
        <v>1000704</v>
      </c>
      <c r="B423">
        <v>422</v>
      </c>
      <c r="C423">
        <v>1</v>
      </c>
      <c r="D423" s="17" t="s">
        <v>155</v>
      </c>
      <c r="E423" s="17"/>
      <c r="F423" s="17" t="s">
        <v>156</v>
      </c>
      <c r="G423" s="17"/>
      <c r="H423" s="17" t="s">
        <v>692</v>
      </c>
      <c r="I423" s="17"/>
      <c r="J423" s="17" t="s">
        <v>693</v>
      </c>
      <c r="K423" s="17"/>
      <c r="L423" s="17"/>
      <c r="M423" s="17"/>
      <c r="N423" s="17" t="s">
        <v>6187</v>
      </c>
      <c r="O423" s="17"/>
      <c r="P423" s="17" t="s">
        <v>6257</v>
      </c>
      <c r="Q423" s="17"/>
      <c r="R423" s="25" t="str">
        <f>HYPERLINK("https://ictv.global/taxonomy/taxondetails?taxnode_id=202314394","Moineauvirus P7133")</f>
        <v>Moineauvirus P7133</v>
      </c>
      <c r="S423" s="18" t="s">
        <v>30</v>
      </c>
      <c r="T423" s="18" t="s">
        <v>6354</v>
      </c>
      <c r="U423" s="18"/>
      <c r="V423" s="18"/>
      <c r="W423" s="18" t="s">
        <v>6355</v>
      </c>
      <c r="X423" s="18" t="s">
        <v>42</v>
      </c>
      <c r="Y423" s="18" t="s">
        <v>36</v>
      </c>
      <c r="Z423" s="18" t="s">
        <v>697</v>
      </c>
      <c r="AA423" s="21" t="str">
        <f>HYPERLINK("https://www.ncbi.nlm.nih.gov/nuccore/KY705263","NCBI Nucleotide")</f>
        <v>NCBI Nucleotide</v>
      </c>
    </row>
    <row r="424" spans="1:27" x14ac:dyDescent="0.35">
      <c r="A424">
        <v>1000705</v>
      </c>
      <c r="B424">
        <v>423</v>
      </c>
      <c r="C424">
        <v>1</v>
      </c>
      <c r="D424" s="17" t="s">
        <v>155</v>
      </c>
      <c r="E424" s="17"/>
      <c r="F424" s="17" t="s">
        <v>156</v>
      </c>
      <c r="G424" s="17"/>
      <c r="H424" s="17" t="s">
        <v>692</v>
      </c>
      <c r="I424" s="17"/>
      <c r="J424" s="17" t="s">
        <v>693</v>
      </c>
      <c r="K424" s="17"/>
      <c r="L424" s="17"/>
      <c r="M424" s="17"/>
      <c r="N424" s="17" t="s">
        <v>6187</v>
      </c>
      <c r="O424" s="17"/>
      <c r="P424" s="17" t="s">
        <v>6257</v>
      </c>
      <c r="Q424" s="17"/>
      <c r="R424" s="25" t="str">
        <f>HYPERLINK("https://ictv.global/taxonomy/taxondetails?taxnode_id=202314395","Moineauvirus P7134")</f>
        <v>Moineauvirus P7134</v>
      </c>
      <c r="S424" s="18" t="s">
        <v>30</v>
      </c>
      <c r="T424" s="18" t="s">
        <v>6356</v>
      </c>
      <c r="U424" s="18"/>
      <c r="V424" s="18"/>
      <c r="W424" s="18" t="s">
        <v>6357</v>
      </c>
      <c r="X424" s="18" t="s">
        <v>42</v>
      </c>
      <c r="Y424" s="18" t="s">
        <v>36</v>
      </c>
      <c r="Z424" s="18" t="s">
        <v>697</v>
      </c>
      <c r="AA424" s="21" t="str">
        <f>HYPERLINK("https://www.ncbi.nlm.nih.gov/nuccore/KY705264","NCBI Nucleotide")</f>
        <v>NCBI Nucleotide</v>
      </c>
    </row>
    <row r="425" spans="1:27" x14ac:dyDescent="0.35">
      <c r="A425">
        <v>1000706</v>
      </c>
      <c r="B425">
        <v>424</v>
      </c>
      <c r="C425">
        <v>1</v>
      </c>
      <c r="D425" s="17" t="s">
        <v>155</v>
      </c>
      <c r="E425" s="17"/>
      <c r="F425" s="17" t="s">
        <v>156</v>
      </c>
      <c r="G425" s="17"/>
      <c r="H425" s="17" t="s">
        <v>692</v>
      </c>
      <c r="I425" s="17"/>
      <c r="J425" s="17" t="s">
        <v>693</v>
      </c>
      <c r="K425" s="17"/>
      <c r="L425" s="17"/>
      <c r="M425" s="17"/>
      <c r="N425" s="17" t="s">
        <v>6187</v>
      </c>
      <c r="O425" s="17"/>
      <c r="P425" s="17" t="s">
        <v>6257</v>
      </c>
      <c r="Q425" s="17"/>
      <c r="R425" s="25" t="str">
        <f>HYPERLINK("https://ictv.global/taxonomy/taxondetails?taxnode_id=202314396","Moineauvirus P7151")</f>
        <v>Moineauvirus P7151</v>
      </c>
      <c r="S425" s="18" t="s">
        <v>30</v>
      </c>
      <c r="T425" s="18" t="s">
        <v>6358</v>
      </c>
      <c r="U425" s="18"/>
      <c r="V425" s="18"/>
      <c r="W425" s="18" t="s">
        <v>6359</v>
      </c>
      <c r="X425" s="18" t="s">
        <v>42</v>
      </c>
      <c r="Y425" s="18" t="s">
        <v>36</v>
      </c>
      <c r="Z425" s="18" t="s">
        <v>697</v>
      </c>
      <c r="AA425" s="21" t="str">
        <f>HYPERLINK("https://www.ncbi.nlm.nih.gov/nuccore/KY705265","NCBI Nucleotide")</f>
        <v>NCBI Nucleotide</v>
      </c>
    </row>
    <row r="426" spans="1:27" x14ac:dyDescent="0.35">
      <c r="A426">
        <v>1000707</v>
      </c>
      <c r="B426">
        <v>425</v>
      </c>
      <c r="C426">
        <v>1</v>
      </c>
      <c r="D426" s="17" t="s">
        <v>155</v>
      </c>
      <c r="E426" s="17"/>
      <c r="F426" s="17" t="s">
        <v>156</v>
      </c>
      <c r="G426" s="17"/>
      <c r="H426" s="17" t="s">
        <v>692</v>
      </c>
      <c r="I426" s="17"/>
      <c r="J426" s="17" t="s">
        <v>693</v>
      </c>
      <c r="K426" s="17"/>
      <c r="L426" s="17"/>
      <c r="M426" s="17"/>
      <c r="N426" s="17" t="s">
        <v>6187</v>
      </c>
      <c r="O426" s="17"/>
      <c r="P426" s="17" t="s">
        <v>6257</v>
      </c>
      <c r="Q426" s="17"/>
      <c r="R426" s="25" t="str">
        <f>HYPERLINK("https://ictv.global/taxonomy/taxondetails?taxnode_id=202314397","Moineauvirus P7152")</f>
        <v>Moineauvirus P7152</v>
      </c>
      <c r="S426" s="18" t="s">
        <v>30</v>
      </c>
      <c r="T426" s="18" t="s">
        <v>6360</v>
      </c>
      <c r="U426" s="18"/>
      <c r="V426" s="18"/>
      <c r="W426" s="18" t="s">
        <v>6361</v>
      </c>
      <c r="X426" s="18" t="s">
        <v>42</v>
      </c>
      <c r="Y426" s="18" t="s">
        <v>36</v>
      </c>
      <c r="Z426" s="18" t="s">
        <v>697</v>
      </c>
      <c r="AA426" s="21" t="str">
        <f>HYPERLINK("https://www.ncbi.nlm.nih.gov/nuccore/KY705266","NCBI Nucleotide")</f>
        <v>NCBI Nucleotide</v>
      </c>
    </row>
    <row r="427" spans="1:27" x14ac:dyDescent="0.35">
      <c r="A427">
        <v>1000708</v>
      </c>
      <c r="B427">
        <v>426</v>
      </c>
      <c r="C427">
        <v>1</v>
      </c>
      <c r="D427" s="17" t="s">
        <v>155</v>
      </c>
      <c r="E427" s="17"/>
      <c r="F427" s="17" t="s">
        <v>156</v>
      </c>
      <c r="G427" s="17"/>
      <c r="H427" s="17" t="s">
        <v>692</v>
      </c>
      <c r="I427" s="17"/>
      <c r="J427" s="17" t="s">
        <v>693</v>
      </c>
      <c r="K427" s="17"/>
      <c r="L427" s="17"/>
      <c r="M427" s="17"/>
      <c r="N427" s="17" t="s">
        <v>6187</v>
      </c>
      <c r="O427" s="17"/>
      <c r="P427" s="17" t="s">
        <v>6257</v>
      </c>
      <c r="Q427" s="17"/>
      <c r="R427" s="25" t="str">
        <f>HYPERLINK("https://ictv.global/taxonomy/taxondetails?taxnode_id=202314398","Moineauvirus P7154")</f>
        <v>Moineauvirus P7154</v>
      </c>
      <c r="S427" s="18" t="s">
        <v>30</v>
      </c>
      <c r="T427" s="18" t="s">
        <v>6362</v>
      </c>
      <c r="U427" s="18"/>
      <c r="V427" s="18"/>
      <c r="W427" s="18" t="s">
        <v>6363</v>
      </c>
      <c r="X427" s="18" t="s">
        <v>42</v>
      </c>
      <c r="Y427" s="18" t="s">
        <v>36</v>
      </c>
      <c r="Z427" s="18" t="s">
        <v>697</v>
      </c>
      <c r="AA427" s="21" t="str">
        <f>HYPERLINK("https://www.ncbi.nlm.nih.gov/nuccore/KY705267","NCBI Nucleotide")</f>
        <v>NCBI Nucleotide</v>
      </c>
    </row>
    <row r="428" spans="1:27" x14ac:dyDescent="0.35">
      <c r="A428">
        <v>1000709</v>
      </c>
      <c r="B428">
        <v>427</v>
      </c>
      <c r="C428">
        <v>1</v>
      </c>
      <c r="D428" s="17" t="s">
        <v>155</v>
      </c>
      <c r="E428" s="17"/>
      <c r="F428" s="17" t="s">
        <v>156</v>
      </c>
      <c r="G428" s="17"/>
      <c r="H428" s="17" t="s">
        <v>692</v>
      </c>
      <c r="I428" s="17"/>
      <c r="J428" s="17" t="s">
        <v>693</v>
      </c>
      <c r="K428" s="17"/>
      <c r="L428" s="17"/>
      <c r="M428" s="17"/>
      <c r="N428" s="17" t="s">
        <v>6187</v>
      </c>
      <c r="O428" s="17"/>
      <c r="P428" s="17" t="s">
        <v>6257</v>
      </c>
      <c r="Q428" s="17"/>
      <c r="R428" s="25" t="str">
        <f>HYPERLINK("https://ictv.global/taxonomy/taxondetails?taxnode_id=202314399","Moineauvirus P7573")</f>
        <v>Moineauvirus P7573</v>
      </c>
      <c r="S428" s="18" t="s">
        <v>30</v>
      </c>
      <c r="T428" s="18" t="s">
        <v>6364</v>
      </c>
      <c r="U428" s="18"/>
      <c r="V428" s="18"/>
      <c r="W428" s="18" t="s">
        <v>6365</v>
      </c>
      <c r="X428" s="18" t="s">
        <v>42</v>
      </c>
      <c r="Y428" s="18" t="s">
        <v>36</v>
      </c>
      <c r="Z428" s="18" t="s">
        <v>697</v>
      </c>
      <c r="AA428" s="21" t="str">
        <f>HYPERLINK("https://www.ncbi.nlm.nih.gov/nuccore/KY705270","NCBI Nucleotide")</f>
        <v>NCBI Nucleotide</v>
      </c>
    </row>
    <row r="429" spans="1:27" x14ac:dyDescent="0.35">
      <c r="A429">
        <v>1000710</v>
      </c>
      <c r="B429">
        <v>428</v>
      </c>
      <c r="C429">
        <v>1</v>
      </c>
      <c r="D429" s="17" t="s">
        <v>155</v>
      </c>
      <c r="E429" s="17"/>
      <c r="F429" s="17" t="s">
        <v>156</v>
      </c>
      <c r="G429" s="17"/>
      <c r="H429" s="17" t="s">
        <v>692</v>
      </c>
      <c r="I429" s="17"/>
      <c r="J429" s="17" t="s">
        <v>693</v>
      </c>
      <c r="K429" s="17"/>
      <c r="L429" s="17"/>
      <c r="M429" s="17"/>
      <c r="N429" s="17" t="s">
        <v>6187</v>
      </c>
      <c r="O429" s="17"/>
      <c r="P429" s="17" t="s">
        <v>6257</v>
      </c>
      <c r="Q429" s="17"/>
      <c r="R429" s="25" t="str">
        <f>HYPERLINK("https://ictv.global/taxonomy/taxondetails?taxnode_id=202314400","Moineauvirus P7574")</f>
        <v>Moineauvirus P7574</v>
      </c>
      <c r="S429" s="18" t="s">
        <v>30</v>
      </c>
      <c r="T429" s="18" t="s">
        <v>6366</v>
      </c>
      <c r="U429" s="18"/>
      <c r="V429" s="18"/>
      <c r="W429" s="18" t="s">
        <v>6367</v>
      </c>
      <c r="X429" s="18" t="s">
        <v>42</v>
      </c>
      <c r="Y429" s="18" t="s">
        <v>36</v>
      </c>
      <c r="Z429" s="18" t="s">
        <v>697</v>
      </c>
      <c r="AA429" s="21" t="str">
        <f>HYPERLINK("https://www.ncbi.nlm.nih.gov/nuccore/KY705271","NCBI Nucleotide")</f>
        <v>NCBI Nucleotide</v>
      </c>
    </row>
    <row r="430" spans="1:27" x14ac:dyDescent="0.35">
      <c r="A430">
        <v>1000711</v>
      </c>
      <c r="B430">
        <v>429</v>
      </c>
      <c r="C430">
        <v>1</v>
      </c>
      <c r="D430" s="17" t="s">
        <v>155</v>
      </c>
      <c r="E430" s="17"/>
      <c r="F430" s="17" t="s">
        <v>156</v>
      </c>
      <c r="G430" s="17"/>
      <c r="H430" s="17" t="s">
        <v>692</v>
      </c>
      <c r="I430" s="17"/>
      <c r="J430" s="17" t="s">
        <v>693</v>
      </c>
      <c r="K430" s="17"/>
      <c r="L430" s="17"/>
      <c r="M430" s="17"/>
      <c r="N430" s="17" t="s">
        <v>6187</v>
      </c>
      <c r="O430" s="17"/>
      <c r="P430" s="17" t="s">
        <v>6257</v>
      </c>
      <c r="Q430" s="17"/>
      <c r="R430" s="25" t="str">
        <f>HYPERLINK("https://ictv.global/taxonomy/taxondetails?taxnode_id=202314401","Moineauvirus P7601")</f>
        <v>Moineauvirus P7601</v>
      </c>
      <c r="S430" s="18" t="s">
        <v>30</v>
      </c>
      <c r="T430" s="18" t="s">
        <v>6368</v>
      </c>
      <c r="U430" s="18"/>
      <c r="V430" s="18"/>
      <c r="W430" s="18" t="s">
        <v>6369</v>
      </c>
      <c r="X430" s="18" t="s">
        <v>42</v>
      </c>
      <c r="Y430" s="18" t="s">
        <v>36</v>
      </c>
      <c r="Z430" s="18" t="s">
        <v>697</v>
      </c>
      <c r="AA430" s="21" t="str">
        <f>HYPERLINK("https://www.ncbi.nlm.nih.gov/nuccore/KY705272","NCBI Nucleotide")</f>
        <v>NCBI Nucleotide</v>
      </c>
    </row>
    <row r="431" spans="1:27" x14ac:dyDescent="0.35">
      <c r="A431">
        <v>1000712</v>
      </c>
      <c r="B431">
        <v>430</v>
      </c>
      <c r="C431">
        <v>1</v>
      </c>
      <c r="D431" s="17" t="s">
        <v>155</v>
      </c>
      <c r="E431" s="17"/>
      <c r="F431" s="17" t="s">
        <v>156</v>
      </c>
      <c r="G431" s="17"/>
      <c r="H431" s="17" t="s">
        <v>692</v>
      </c>
      <c r="I431" s="17"/>
      <c r="J431" s="17" t="s">
        <v>693</v>
      </c>
      <c r="K431" s="17"/>
      <c r="L431" s="17"/>
      <c r="M431" s="17"/>
      <c r="N431" s="17" t="s">
        <v>6187</v>
      </c>
      <c r="O431" s="17"/>
      <c r="P431" s="17" t="s">
        <v>6257</v>
      </c>
      <c r="Q431" s="17"/>
      <c r="R431" s="25" t="str">
        <f>HYPERLINK("https://ictv.global/taxonomy/taxondetails?taxnode_id=202314402","Moineauvirus P7602")</f>
        <v>Moineauvirus P7602</v>
      </c>
      <c r="S431" s="18" t="s">
        <v>30</v>
      </c>
      <c r="T431" s="18" t="s">
        <v>6370</v>
      </c>
      <c r="U431" s="18"/>
      <c r="V431" s="18"/>
      <c r="W431" s="18" t="s">
        <v>6371</v>
      </c>
      <c r="X431" s="18" t="s">
        <v>42</v>
      </c>
      <c r="Y431" s="18" t="s">
        <v>36</v>
      </c>
      <c r="Z431" s="18" t="s">
        <v>697</v>
      </c>
      <c r="AA431" s="21" t="str">
        <f>HYPERLINK("https://www.ncbi.nlm.nih.gov/nuccore/KY705273","NCBI Nucleotide")</f>
        <v>NCBI Nucleotide</v>
      </c>
    </row>
    <row r="432" spans="1:27" x14ac:dyDescent="0.35">
      <c r="A432">
        <v>1000713</v>
      </c>
      <c r="B432">
        <v>431</v>
      </c>
      <c r="C432">
        <v>1</v>
      </c>
      <c r="D432" s="17" t="s">
        <v>155</v>
      </c>
      <c r="E432" s="17"/>
      <c r="F432" s="17" t="s">
        <v>156</v>
      </c>
      <c r="G432" s="17"/>
      <c r="H432" s="17" t="s">
        <v>692</v>
      </c>
      <c r="I432" s="17"/>
      <c r="J432" s="17" t="s">
        <v>693</v>
      </c>
      <c r="K432" s="17"/>
      <c r="L432" s="17"/>
      <c r="M432" s="17"/>
      <c r="N432" s="17" t="s">
        <v>6187</v>
      </c>
      <c r="O432" s="17"/>
      <c r="P432" s="17" t="s">
        <v>6257</v>
      </c>
      <c r="Q432" s="17"/>
      <c r="R432" s="25" t="str">
        <f>HYPERLINK("https://ictv.global/taxonomy/taxondetails?taxnode_id=202314403","Moineauvirus P7631")</f>
        <v>Moineauvirus P7631</v>
      </c>
      <c r="S432" s="18" t="s">
        <v>30</v>
      </c>
      <c r="T432" s="18" t="s">
        <v>6372</v>
      </c>
      <c r="U432" s="18"/>
      <c r="V432" s="18"/>
      <c r="W432" s="18" t="s">
        <v>6373</v>
      </c>
      <c r="X432" s="18" t="s">
        <v>42</v>
      </c>
      <c r="Y432" s="18" t="s">
        <v>36</v>
      </c>
      <c r="Z432" s="18" t="s">
        <v>697</v>
      </c>
      <c r="AA432" s="21" t="str">
        <f>HYPERLINK("https://www.ncbi.nlm.nih.gov/nuccore/KY705274","NCBI Nucleotide")</f>
        <v>NCBI Nucleotide</v>
      </c>
    </row>
    <row r="433" spans="1:27" x14ac:dyDescent="0.35">
      <c r="A433">
        <v>1000714</v>
      </c>
      <c r="B433">
        <v>432</v>
      </c>
      <c r="C433">
        <v>1</v>
      </c>
      <c r="D433" s="17" t="s">
        <v>155</v>
      </c>
      <c r="E433" s="17"/>
      <c r="F433" s="17" t="s">
        <v>156</v>
      </c>
      <c r="G433" s="17"/>
      <c r="H433" s="17" t="s">
        <v>692</v>
      </c>
      <c r="I433" s="17"/>
      <c r="J433" s="17" t="s">
        <v>693</v>
      </c>
      <c r="K433" s="17"/>
      <c r="L433" s="17"/>
      <c r="M433" s="17"/>
      <c r="N433" s="17" t="s">
        <v>6187</v>
      </c>
      <c r="O433" s="17"/>
      <c r="P433" s="17" t="s">
        <v>6257</v>
      </c>
      <c r="Q433" s="17"/>
      <c r="R433" s="25" t="str">
        <f>HYPERLINK("https://ictv.global/taxonomy/taxondetails?taxnode_id=202314404","Moineauvirus P7632")</f>
        <v>Moineauvirus P7632</v>
      </c>
      <c r="S433" s="18" t="s">
        <v>30</v>
      </c>
      <c r="T433" s="18" t="s">
        <v>6374</v>
      </c>
      <c r="U433" s="18"/>
      <c r="V433" s="18"/>
      <c r="W433" s="18" t="s">
        <v>6375</v>
      </c>
      <c r="X433" s="18" t="s">
        <v>42</v>
      </c>
      <c r="Y433" s="18" t="s">
        <v>36</v>
      </c>
      <c r="Z433" s="18" t="s">
        <v>697</v>
      </c>
      <c r="AA433" s="21" t="str">
        <f>HYPERLINK("https://www.ncbi.nlm.nih.gov/nuccore/KY705275","NCBI Nucleotide")</f>
        <v>NCBI Nucleotide</v>
      </c>
    </row>
    <row r="434" spans="1:27" x14ac:dyDescent="0.35">
      <c r="A434">
        <v>1000715</v>
      </c>
      <c r="B434">
        <v>433</v>
      </c>
      <c r="C434">
        <v>1</v>
      </c>
      <c r="D434" s="17" t="s">
        <v>155</v>
      </c>
      <c r="E434" s="17"/>
      <c r="F434" s="17" t="s">
        <v>156</v>
      </c>
      <c r="G434" s="17"/>
      <c r="H434" s="17" t="s">
        <v>692</v>
      </c>
      <c r="I434" s="17"/>
      <c r="J434" s="17" t="s">
        <v>693</v>
      </c>
      <c r="K434" s="17"/>
      <c r="L434" s="17"/>
      <c r="M434" s="17"/>
      <c r="N434" s="17" t="s">
        <v>6187</v>
      </c>
      <c r="O434" s="17"/>
      <c r="P434" s="17" t="s">
        <v>6257</v>
      </c>
      <c r="Q434" s="17"/>
      <c r="R434" s="25" t="str">
        <f>HYPERLINK("https://ictv.global/taxonomy/taxondetails?taxnode_id=202314405","Moineauvirus P7633")</f>
        <v>Moineauvirus P7633</v>
      </c>
      <c r="S434" s="18" t="s">
        <v>30</v>
      </c>
      <c r="T434" s="18" t="s">
        <v>6376</v>
      </c>
      <c r="U434" s="18"/>
      <c r="V434" s="18"/>
      <c r="W434" s="18" t="s">
        <v>6377</v>
      </c>
      <c r="X434" s="18" t="s">
        <v>42</v>
      </c>
      <c r="Y434" s="18" t="s">
        <v>36</v>
      </c>
      <c r="Z434" s="18" t="s">
        <v>697</v>
      </c>
      <c r="AA434" s="21" t="str">
        <f>HYPERLINK("https://www.ncbi.nlm.nih.gov/nuccore/KY705276","NCBI Nucleotide")</f>
        <v>NCBI Nucleotide</v>
      </c>
    </row>
    <row r="435" spans="1:27" x14ac:dyDescent="0.35">
      <c r="A435">
        <v>1000716</v>
      </c>
      <c r="B435">
        <v>434</v>
      </c>
      <c r="C435">
        <v>1</v>
      </c>
      <c r="D435" s="17" t="s">
        <v>155</v>
      </c>
      <c r="E435" s="17"/>
      <c r="F435" s="17" t="s">
        <v>156</v>
      </c>
      <c r="G435" s="17"/>
      <c r="H435" s="17" t="s">
        <v>692</v>
      </c>
      <c r="I435" s="17"/>
      <c r="J435" s="17" t="s">
        <v>693</v>
      </c>
      <c r="K435" s="17"/>
      <c r="L435" s="17"/>
      <c r="M435" s="17"/>
      <c r="N435" s="17" t="s">
        <v>6187</v>
      </c>
      <c r="O435" s="17"/>
      <c r="P435" s="17" t="s">
        <v>6257</v>
      </c>
      <c r="Q435" s="17"/>
      <c r="R435" s="25" t="str">
        <f>HYPERLINK("https://ictv.global/taxonomy/taxondetails?taxnode_id=202314406","Moineauvirus P9851")</f>
        <v>Moineauvirus P9851</v>
      </c>
      <c r="S435" s="18" t="s">
        <v>30</v>
      </c>
      <c r="T435" s="18" t="s">
        <v>6378</v>
      </c>
      <c r="U435" s="18"/>
      <c r="V435" s="18"/>
      <c r="W435" s="18" t="s">
        <v>6379</v>
      </c>
      <c r="X435" s="18" t="s">
        <v>42</v>
      </c>
      <c r="Y435" s="18" t="s">
        <v>36</v>
      </c>
      <c r="Z435" s="18" t="s">
        <v>697</v>
      </c>
      <c r="AA435" s="21" t="str">
        <f>HYPERLINK("https://www.ncbi.nlm.nih.gov/nuccore/KY705284","NCBI Nucleotide")</f>
        <v>NCBI Nucleotide</v>
      </c>
    </row>
    <row r="436" spans="1:27" x14ac:dyDescent="0.35">
      <c r="A436">
        <v>1000717</v>
      </c>
      <c r="B436">
        <v>435</v>
      </c>
      <c r="C436">
        <v>1</v>
      </c>
      <c r="D436" s="17" t="s">
        <v>155</v>
      </c>
      <c r="E436" s="17"/>
      <c r="F436" s="17" t="s">
        <v>156</v>
      </c>
      <c r="G436" s="17"/>
      <c r="H436" s="17" t="s">
        <v>692</v>
      </c>
      <c r="I436" s="17"/>
      <c r="J436" s="17" t="s">
        <v>693</v>
      </c>
      <c r="K436" s="17"/>
      <c r="L436" s="17"/>
      <c r="M436" s="17"/>
      <c r="N436" s="17" t="s">
        <v>6187</v>
      </c>
      <c r="O436" s="17"/>
      <c r="P436" s="17" t="s">
        <v>6257</v>
      </c>
      <c r="Q436" s="17"/>
      <c r="R436" s="25" t="str">
        <f>HYPERLINK("https://ictv.global/taxonomy/taxondetails?taxnode_id=202314407","Moineauvirus P9854")</f>
        <v>Moineauvirus P9854</v>
      </c>
      <c r="S436" s="18" t="s">
        <v>30</v>
      </c>
      <c r="T436" s="18" t="s">
        <v>6380</v>
      </c>
      <c r="U436" s="18"/>
      <c r="V436" s="18"/>
      <c r="W436" s="18" t="s">
        <v>6381</v>
      </c>
      <c r="X436" s="18" t="s">
        <v>42</v>
      </c>
      <c r="Y436" s="18" t="s">
        <v>36</v>
      </c>
      <c r="Z436" s="18" t="s">
        <v>697</v>
      </c>
      <c r="AA436" s="21" t="str">
        <f>HYPERLINK("https://www.ncbi.nlm.nih.gov/nuccore/KY705287","NCBI Nucleotide")</f>
        <v>NCBI Nucleotide</v>
      </c>
    </row>
    <row r="437" spans="1:27" x14ac:dyDescent="0.35">
      <c r="A437">
        <v>1000718</v>
      </c>
      <c r="B437">
        <v>436</v>
      </c>
      <c r="C437">
        <v>1</v>
      </c>
      <c r="D437" s="17" t="s">
        <v>155</v>
      </c>
      <c r="E437" s="17"/>
      <c r="F437" s="17" t="s">
        <v>156</v>
      </c>
      <c r="G437" s="17"/>
      <c r="H437" s="17" t="s">
        <v>692</v>
      </c>
      <c r="I437" s="17"/>
      <c r="J437" s="17" t="s">
        <v>693</v>
      </c>
      <c r="K437" s="17"/>
      <c r="L437" s="17"/>
      <c r="M437" s="17"/>
      <c r="N437" s="17" t="s">
        <v>6187</v>
      </c>
      <c r="O437" s="17"/>
      <c r="P437" s="17" t="s">
        <v>6257</v>
      </c>
      <c r="Q437" s="17"/>
      <c r="R437" s="25" t="str">
        <f>HYPERLINK("https://ictv.global/taxonomy/taxondetails?taxnode_id=202314408","Moineauvirus P9901")</f>
        <v>Moineauvirus P9901</v>
      </c>
      <c r="S437" s="18" t="s">
        <v>30</v>
      </c>
      <c r="T437" s="18" t="s">
        <v>6382</v>
      </c>
      <c r="U437" s="18"/>
      <c r="V437" s="18"/>
      <c r="W437" s="18" t="s">
        <v>6383</v>
      </c>
      <c r="X437" s="18" t="s">
        <v>42</v>
      </c>
      <c r="Y437" s="18" t="s">
        <v>36</v>
      </c>
      <c r="Z437" s="18" t="s">
        <v>697</v>
      </c>
      <c r="AA437" s="21" t="str">
        <f>HYPERLINK("https://www.ncbi.nlm.nih.gov/nuccore/KY705288","NCBI Nucleotide")</f>
        <v>NCBI Nucleotide</v>
      </c>
    </row>
    <row r="438" spans="1:27" x14ac:dyDescent="0.35">
      <c r="A438">
        <v>1000719</v>
      </c>
      <c r="B438">
        <v>437</v>
      </c>
      <c r="C438">
        <v>1</v>
      </c>
      <c r="D438" s="17" t="s">
        <v>155</v>
      </c>
      <c r="E438" s="17"/>
      <c r="F438" s="17" t="s">
        <v>156</v>
      </c>
      <c r="G438" s="17"/>
      <c r="H438" s="17" t="s">
        <v>692</v>
      </c>
      <c r="I438" s="17"/>
      <c r="J438" s="17" t="s">
        <v>693</v>
      </c>
      <c r="K438" s="17"/>
      <c r="L438" s="17"/>
      <c r="M438" s="17"/>
      <c r="N438" s="17" t="s">
        <v>6187</v>
      </c>
      <c r="O438" s="17"/>
      <c r="P438" s="17" t="s">
        <v>6257</v>
      </c>
      <c r="Q438" s="17"/>
      <c r="R438" s="25" t="str">
        <f>HYPERLINK("https://ictv.global/taxonomy/taxondetails?taxnode_id=202314409","Moineauvirus P9902")</f>
        <v>Moineauvirus P9902</v>
      </c>
      <c r="S438" s="18" t="s">
        <v>30</v>
      </c>
      <c r="T438" s="18" t="s">
        <v>6384</v>
      </c>
      <c r="U438" s="18"/>
      <c r="V438" s="18"/>
      <c r="W438" s="18" t="s">
        <v>6385</v>
      </c>
      <c r="X438" s="18" t="s">
        <v>42</v>
      </c>
      <c r="Y438" s="18" t="s">
        <v>36</v>
      </c>
      <c r="Z438" s="18" t="s">
        <v>697</v>
      </c>
      <c r="AA438" s="21" t="str">
        <f>HYPERLINK("https://www.ncbi.nlm.nih.gov/nuccore/KY705289","NCBI Nucleotide")</f>
        <v>NCBI Nucleotide</v>
      </c>
    </row>
    <row r="439" spans="1:27" x14ac:dyDescent="0.35">
      <c r="A439">
        <v>1000720</v>
      </c>
      <c r="B439">
        <v>438</v>
      </c>
      <c r="C439">
        <v>1</v>
      </c>
      <c r="D439" s="17" t="s">
        <v>155</v>
      </c>
      <c r="E439" s="17"/>
      <c r="F439" s="17" t="s">
        <v>156</v>
      </c>
      <c r="G439" s="17"/>
      <c r="H439" s="17" t="s">
        <v>692</v>
      </c>
      <c r="I439" s="17"/>
      <c r="J439" s="17" t="s">
        <v>693</v>
      </c>
      <c r="K439" s="17"/>
      <c r="L439" s="17"/>
      <c r="M439" s="17"/>
      <c r="N439" s="17" t="s">
        <v>6187</v>
      </c>
      <c r="O439" s="17"/>
      <c r="P439" s="17" t="s">
        <v>6257</v>
      </c>
      <c r="Q439" s="17"/>
      <c r="R439" s="25" t="str">
        <f>HYPERLINK("https://ictv.global/taxonomy/taxondetails?taxnode_id=202314410","Moineauvirus P9903")</f>
        <v>Moineauvirus P9903</v>
      </c>
      <c r="S439" s="18" t="s">
        <v>30</v>
      </c>
      <c r="T439" s="18" t="s">
        <v>6386</v>
      </c>
      <c r="U439" s="18"/>
      <c r="V439" s="18"/>
      <c r="W439" s="18" t="s">
        <v>6387</v>
      </c>
      <c r="X439" s="18" t="s">
        <v>42</v>
      </c>
      <c r="Y439" s="18" t="s">
        <v>36</v>
      </c>
      <c r="Z439" s="18" t="s">
        <v>697</v>
      </c>
      <c r="AA439" s="21" t="str">
        <f>HYPERLINK("https://www.ncbi.nlm.nih.gov/nuccore/KY705290","NCBI Nucleotide")</f>
        <v>NCBI Nucleotide</v>
      </c>
    </row>
    <row r="440" spans="1:27" x14ac:dyDescent="0.35">
      <c r="A440">
        <v>1000721</v>
      </c>
      <c r="B440">
        <v>439</v>
      </c>
      <c r="C440">
        <v>1</v>
      </c>
      <c r="D440" s="17" t="s">
        <v>155</v>
      </c>
      <c r="E440" s="17"/>
      <c r="F440" s="17" t="s">
        <v>156</v>
      </c>
      <c r="G440" s="17"/>
      <c r="H440" s="17" t="s">
        <v>692</v>
      </c>
      <c r="I440" s="17"/>
      <c r="J440" s="17" t="s">
        <v>693</v>
      </c>
      <c r="K440" s="17"/>
      <c r="L440" s="17"/>
      <c r="M440" s="17"/>
      <c r="N440" s="17" t="s">
        <v>6187</v>
      </c>
      <c r="O440" s="17"/>
      <c r="P440" s="17" t="s">
        <v>6257</v>
      </c>
      <c r="Q440" s="17"/>
      <c r="R440" s="25" t="str">
        <f>HYPERLINK("https://ictv.global/taxonomy/taxondetails?taxnode_id=202301276","Moineauvirus Sfi19")</f>
        <v>Moineauvirus Sfi19</v>
      </c>
      <c r="S440" s="18" t="s">
        <v>30</v>
      </c>
      <c r="T440" s="18" t="s">
        <v>6388</v>
      </c>
      <c r="U440" s="18"/>
      <c r="V440" s="18"/>
      <c r="W440" s="18" t="s">
        <v>6389</v>
      </c>
      <c r="X440" s="18" t="s">
        <v>42</v>
      </c>
      <c r="Y440" s="18" t="s">
        <v>36</v>
      </c>
      <c r="Z440" s="18" t="s">
        <v>697</v>
      </c>
      <c r="AA440" s="21" t="str">
        <f>HYPERLINK("https://www.ncbi.nlm.nih.gov/nuccore/AF115102","NCBI Nucleotide")</f>
        <v>NCBI Nucleotide</v>
      </c>
    </row>
    <row r="441" spans="1:27" x14ac:dyDescent="0.35">
      <c r="A441">
        <v>1000722</v>
      </c>
      <c r="B441">
        <v>440</v>
      </c>
      <c r="C441">
        <v>1</v>
      </c>
      <c r="D441" s="17" t="s">
        <v>155</v>
      </c>
      <c r="E441" s="17"/>
      <c r="F441" s="17" t="s">
        <v>156</v>
      </c>
      <c r="G441" s="17"/>
      <c r="H441" s="17" t="s">
        <v>692</v>
      </c>
      <c r="I441" s="17"/>
      <c r="J441" s="17" t="s">
        <v>693</v>
      </c>
      <c r="K441" s="17"/>
      <c r="L441" s="17"/>
      <c r="M441" s="17"/>
      <c r="N441" s="17" t="s">
        <v>6187</v>
      </c>
      <c r="O441" s="17"/>
      <c r="P441" s="17" t="s">
        <v>6257</v>
      </c>
      <c r="Q441" s="17"/>
      <c r="R441" s="25" t="str">
        <f>HYPERLINK("https://ictv.global/taxonomy/taxondetails?taxnode_id=202301277","Moineauvirus Sfi21")</f>
        <v>Moineauvirus Sfi21</v>
      </c>
      <c r="S441" s="18" t="s">
        <v>30</v>
      </c>
      <c r="T441" s="18" t="s">
        <v>6390</v>
      </c>
      <c r="U441" s="18"/>
      <c r="V441" s="18"/>
      <c r="W441" s="18" t="s">
        <v>6391</v>
      </c>
      <c r="X441" s="18" t="s">
        <v>42</v>
      </c>
      <c r="Y441" s="18" t="s">
        <v>36</v>
      </c>
      <c r="Z441" s="18" t="s">
        <v>697</v>
      </c>
      <c r="AA441" s="21" t="str">
        <f>HYPERLINK("https://www.ncbi.nlm.nih.gov/nuccore/AF115103","NCBI Nucleotide")</f>
        <v>NCBI Nucleotide</v>
      </c>
    </row>
    <row r="442" spans="1:27" x14ac:dyDescent="0.35">
      <c r="A442">
        <v>1000723</v>
      </c>
      <c r="B442">
        <v>441</v>
      </c>
      <c r="C442">
        <v>1</v>
      </c>
      <c r="D442" s="17" t="s">
        <v>155</v>
      </c>
      <c r="E442" s="17"/>
      <c r="F442" s="17" t="s">
        <v>156</v>
      </c>
      <c r="G442" s="17"/>
      <c r="H442" s="17" t="s">
        <v>692</v>
      </c>
      <c r="I442" s="17"/>
      <c r="J442" s="17" t="s">
        <v>693</v>
      </c>
      <c r="K442" s="17"/>
      <c r="L442" s="17"/>
      <c r="M442" s="17"/>
      <c r="N442" s="17" t="s">
        <v>6187</v>
      </c>
      <c r="O442" s="17"/>
      <c r="P442" s="17" t="s">
        <v>6257</v>
      </c>
      <c r="Q442" s="17"/>
      <c r="R442" s="25" t="str">
        <f>HYPERLINK("https://ictv.global/taxonomy/taxondetails?taxnode_id=202314411","Moineauvirus STP1")</f>
        <v>Moineauvirus STP1</v>
      </c>
      <c r="S442" s="18" t="s">
        <v>30</v>
      </c>
      <c r="T442" s="18" t="s">
        <v>6392</v>
      </c>
      <c r="U442" s="18"/>
      <c r="V442" s="18"/>
      <c r="W442" s="18" t="s">
        <v>6393</v>
      </c>
      <c r="X442" s="18" t="s">
        <v>42</v>
      </c>
      <c r="Y442" s="18" t="s">
        <v>36</v>
      </c>
      <c r="Z442" s="18" t="s">
        <v>697</v>
      </c>
      <c r="AA442" s="21" t="str">
        <f>HYPERLINK("https://www.ncbi.nlm.nih.gov/nuccore/MF580773","NCBI Nucleotide")</f>
        <v>NCBI Nucleotide</v>
      </c>
    </row>
    <row r="443" spans="1:27" x14ac:dyDescent="0.35">
      <c r="A443">
        <v>1000724</v>
      </c>
      <c r="B443">
        <v>442</v>
      </c>
      <c r="C443">
        <v>1</v>
      </c>
      <c r="D443" s="17" t="s">
        <v>155</v>
      </c>
      <c r="E443" s="17"/>
      <c r="F443" s="17" t="s">
        <v>156</v>
      </c>
      <c r="G443" s="17"/>
      <c r="H443" s="17" t="s">
        <v>692</v>
      </c>
      <c r="I443" s="17"/>
      <c r="J443" s="17" t="s">
        <v>693</v>
      </c>
      <c r="K443" s="17"/>
      <c r="L443" s="17"/>
      <c r="M443" s="17"/>
      <c r="N443" s="17" t="s">
        <v>6187</v>
      </c>
      <c r="O443" s="17"/>
      <c r="P443" s="17" t="s">
        <v>6257</v>
      </c>
      <c r="Q443" s="17"/>
      <c r="R443" s="25" t="str">
        <f>HYPERLINK("https://ictv.global/taxonomy/taxondetails?taxnode_id=202314412","Moineauvirus SW1")</f>
        <v>Moineauvirus SW1</v>
      </c>
      <c r="S443" s="18" t="s">
        <v>30</v>
      </c>
      <c r="T443" s="18" t="s">
        <v>6394</v>
      </c>
      <c r="U443" s="18"/>
      <c r="V443" s="18"/>
      <c r="W443" s="18" t="s">
        <v>6395</v>
      </c>
      <c r="X443" s="18" t="s">
        <v>42</v>
      </c>
      <c r="Y443" s="18" t="s">
        <v>36</v>
      </c>
      <c r="Z443" s="18" t="s">
        <v>697</v>
      </c>
      <c r="AA443" s="21" t="str">
        <f>HYPERLINK("https://www.ncbi.nlm.nih.gov/nuccore/MH892352","NCBI Nucleotide")</f>
        <v>NCBI Nucleotide</v>
      </c>
    </row>
    <row r="444" spans="1:27" x14ac:dyDescent="0.35">
      <c r="A444">
        <v>1000727</v>
      </c>
      <c r="B444">
        <v>443</v>
      </c>
      <c r="C444">
        <v>1</v>
      </c>
      <c r="D444" s="17" t="s">
        <v>155</v>
      </c>
      <c r="E444" s="17"/>
      <c r="F444" s="17" t="s">
        <v>156</v>
      </c>
      <c r="G444" s="17"/>
      <c r="H444" s="17" t="s">
        <v>692</v>
      </c>
      <c r="I444" s="17"/>
      <c r="J444" s="17" t="s">
        <v>693</v>
      </c>
      <c r="K444" s="17"/>
      <c r="L444" s="17"/>
      <c r="M444" s="17"/>
      <c r="N444" s="17" t="s">
        <v>6187</v>
      </c>
      <c r="O444" s="17"/>
      <c r="P444" s="17" t="s">
        <v>6257</v>
      </c>
      <c r="Q444" s="17"/>
      <c r="R444" s="25" t="str">
        <f>HYPERLINK("https://ictv.global/taxonomy/taxondetails?taxnode_id=202314415","Moineauvirus SW2")</f>
        <v>Moineauvirus SW2</v>
      </c>
      <c r="S444" s="18" t="s">
        <v>30</v>
      </c>
      <c r="T444" s="18" t="s">
        <v>6400</v>
      </c>
      <c r="U444" s="18"/>
      <c r="V444" s="18"/>
      <c r="W444" s="18" t="s">
        <v>6401</v>
      </c>
      <c r="X444" s="18" t="s">
        <v>42</v>
      </c>
      <c r="Y444" s="18" t="s">
        <v>36</v>
      </c>
      <c r="Z444" s="18" t="s">
        <v>697</v>
      </c>
      <c r="AA444" s="21" t="str">
        <f>HYPERLINK("https://www.ncbi.nlm.nih.gov/nuccore/MH892353","NCBI Nucleotide")</f>
        <v>NCBI Nucleotide</v>
      </c>
    </row>
    <row r="445" spans="1:27" x14ac:dyDescent="0.35">
      <c r="A445">
        <v>1000728</v>
      </c>
      <c r="B445">
        <v>444</v>
      </c>
      <c r="C445">
        <v>1</v>
      </c>
      <c r="D445" s="17" t="s">
        <v>155</v>
      </c>
      <c r="E445" s="17"/>
      <c r="F445" s="17" t="s">
        <v>156</v>
      </c>
      <c r="G445" s="17"/>
      <c r="H445" s="17" t="s">
        <v>692</v>
      </c>
      <c r="I445" s="17"/>
      <c r="J445" s="17" t="s">
        <v>693</v>
      </c>
      <c r="K445" s="17"/>
      <c r="L445" s="17"/>
      <c r="M445" s="17"/>
      <c r="N445" s="17" t="s">
        <v>6187</v>
      </c>
      <c r="O445" s="17"/>
      <c r="P445" s="17" t="s">
        <v>6257</v>
      </c>
      <c r="Q445" s="17"/>
      <c r="R445" s="25" t="str">
        <f>HYPERLINK("https://ictv.global/taxonomy/taxondetails?taxnode_id=202314416","Moineauvirus SW3")</f>
        <v>Moineauvirus SW3</v>
      </c>
      <c r="S445" s="18" t="s">
        <v>30</v>
      </c>
      <c r="T445" s="18" t="s">
        <v>6402</v>
      </c>
      <c r="U445" s="18"/>
      <c r="V445" s="18"/>
      <c r="W445" s="18" t="s">
        <v>6403</v>
      </c>
      <c r="X445" s="18" t="s">
        <v>42</v>
      </c>
      <c r="Y445" s="18" t="s">
        <v>36</v>
      </c>
      <c r="Z445" s="18" t="s">
        <v>697</v>
      </c>
      <c r="AA445" s="21" t="str">
        <f>HYPERLINK("https://www.ncbi.nlm.nih.gov/nuccore/MH892354","NCBI Nucleotide")</f>
        <v>NCBI Nucleotide</v>
      </c>
    </row>
    <row r="446" spans="1:27" x14ac:dyDescent="0.35">
      <c r="A446">
        <v>1000729</v>
      </c>
      <c r="B446">
        <v>445</v>
      </c>
      <c r="C446">
        <v>1</v>
      </c>
      <c r="D446" s="17" t="s">
        <v>155</v>
      </c>
      <c r="E446" s="17"/>
      <c r="F446" s="17" t="s">
        <v>156</v>
      </c>
      <c r="G446" s="17"/>
      <c r="H446" s="17" t="s">
        <v>692</v>
      </c>
      <c r="I446" s="17"/>
      <c r="J446" s="17" t="s">
        <v>693</v>
      </c>
      <c r="K446" s="17"/>
      <c r="L446" s="17"/>
      <c r="M446" s="17"/>
      <c r="N446" s="17" t="s">
        <v>6187</v>
      </c>
      <c r="O446" s="17"/>
      <c r="P446" s="17" t="s">
        <v>6257</v>
      </c>
      <c r="Q446" s="17"/>
      <c r="R446" s="25" t="str">
        <f>HYPERLINK("https://ictv.global/taxonomy/taxondetails?taxnode_id=202314417","Moineauvirus SW5")</f>
        <v>Moineauvirus SW5</v>
      </c>
      <c r="S446" s="18" t="s">
        <v>30</v>
      </c>
      <c r="T446" s="18" t="s">
        <v>6404</v>
      </c>
      <c r="U446" s="18"/>
      <c r="V446" s="18"/>
      <c r="W446" s="18" t="s">
        <v>6405</v>
      </c>
      <c r="X446" s="18" t="s">
        <v>42</v>
      </c>
      <c r="Y446" s="18" t="s">
        <v>36</v>
      </c>
      <c r="Z446" s="18" t="s">
        <v>697</v>
      </c>
      <c r="AA446" s="21" t="str">
        <f>HYPERLINK("https://www.ncbi.nlm.nih.gov/nuccore/MH973661","NCBI Nucleotide")</f>
        <v>NCBI Nucleotide</v>
      </c>
    </row>
    <row r="447" spans="1:27" x14ac:dyDescent="0.35">
      <c r="A447">
        <v>1000730</v>
      </c>
      <c r="B447">
        <v>446</v>
      </c>
      <c r="C447">
        <v>1</v>
      </c>
      <c r="D447" s="17" t="s">
        <v>155</v>
      </c>
      <c r="E447" s="17"/>
      <c r="F447" s="17" t="s">
        <v>156</v>
      </c>
      <c r="G447" s="17"/>
      <c r="H447" s="17" t="s">
        <v>692</v>
      </c>
      <c r="I447" s="17"/>
      <c r="J447" s="17" t="s">
        <v>693</v>
      </c>
      <c r="K447" s="17"/>
      <c r="L447" s="17"/>
      <c r="M447" s="17"/>
      <c r="N447" s="17" t="s">
        <v>6187</v>
      </c>
      <c r="O447" s="17"/>
      <c r="P447" s="17" t="s">
        <v>6257</v>
      </c>
      <c r="Q447" s="17"/>
      <c r="R447" s="25" t="str">
        <f>HYPERLINK("https://ictv.global/taxonomy/taxondetails?taxnode_id=202314418","Moineauvirus SW6")</f>
        <v>Moineauvirus SW6</v>
      </c>
      <c r="S447" s="18" t="s">
        <v>30</v>
      </c>
      <c r="T447" s="18" t="s">
        <v>6406</v>
      </c>
      <c r="U447" s="18"/>
      <c r="V447" s="18"/>
      <c r="W447" s="18" t="s">
        <v>6407</v>
      </c>
      <c r="X447" s="18" t="s">
        <v>42</v>
      </c>
      <c r="Y447" s="18" t="s">
        <v>36</v>
      </c>
      <c r="Z447" s="18" t="s">
        <v>697</v>
      </c>
      <c r="AA447" s="21" t="str">
        <f>HYPERLINK("https://www.ncbi.nlm.nih.gov/nuccore/MH892351","NCBI Nucleotide")</f>
        <v>NCBI Nucleotide</v>
      </c>
    </row>
    <row r="448" spans="1:27" x14ac:dyDescent="0.35">
      <c r="A448">
        <v>1000731</v>
      </c>
      <c r="B448">
        <v>447</v>
      </c>
      <c r="C448">
        <v>1</v>
      </c>
      <c r="D448" s="17" t="s">
        <v>155</v>
      </c>
      <c r="E448" s="17"/>
      <c r="F448" s="17" t="s">
        <v>156</v>
      </c>
      <c r="G448" s="17"/>
      <c r="H448" s="17" t="s">
        <v>692</v>
      </c>
      <c r="I448" s="17"/>
      <c r="J448" s="17" t="s">
        <v>693</v>
      </c>
      <c r="K448" s="17"/>
      <c r="L448" s="17"/>
      <c r="M448" s="17"/>
      <c r="N448" s="17" t="s">
        <v>6187</v>
      </c>
      <c r="O448" s="17"/>
      <c r="P448" s="17" t="s">
        <v>6257</v>
      </c>
      <c r="Q448" s="17"/>
      <c r="R448" s="25" t="str">
        <f>HYPERLINK("https://ictv.global/taxonomy/taxondetails?taxnode_id=202314419","Moineauvirus SW7")</f>
        <v>Moineauvirus SW7</v>
      </c>
      <c r="S448" s="18" t="s">
        <v>30</v>
      </c>
      <c r="T448" s="18" t="s">
        <v>6408</v>
      </c>
      <c r="U448" s="18"/>
      <c r="V448" s="18"/>
      <c r="W448" s="18" t="s">
        <v>6409</v>
      </c>
      <c r="X448" s="18" t="s">
        <v>42</v>
      </c>
      <c r="Y448" s="18" t="s">
        <v>36</v>
      </c>
      <c r="Z448" s="18" t="s">
        <v>697</v>
      </c>
      <c r="AA448" s="21" t="str">
        <f>HYPERLINK("https://www.ncbi.nlm.nih.gov/nuccore/MH973662","NCBI Nucleotide")</f>
        <v>NCBI Nucleotide</v>
      </c>
    </row>
    <row r="449" spans="1:27" x14ac:dyDescent="0.35">
      <c r="A449">
        <v>1000732</v>
      </c>
      <c r="B449">
        <v>448</v>
      </c>
      <c r="C449">
        <v>1</v>
      </c>
      <c r="D449" s="17" t="s">
        <v>155</v>
      </c>
      <c r="E449" s="17"/>
      <c r="F449" s="17" t="s">
        <v>156</v>
      </c>
      <c r="G449" s="17"/>
      <c r="H449" s="17" t="s">
        <v>692</v>
      </c>
      <c r="I449" s="17"/>
      <c r="J449" s="17" t="s">
        <v>693</v>
      </c>
      <c r="K449" s="17"/>
      <c r="L449" s="17"/>
      <c r="M449" s="17"/>
      <c r="N449" s="17" t="s">
        <v>6187</v>
      </c>
      <c r="O449" s="17"/>
      <c r="P449" s="17" t="s">
        <v>6257</v>
      </c>
      <c r="Q449" s="17"/>
      <c r="R449" s="25" t="str">
        <f>HYPERLINK("https://ictv.global/taxonomy/taxondetails?taxnode_id=202314420","Moineauvirus SW8")</f>
        <v>Moineauvirus SW8</v>
      </c>
      <c r="S449" s="18" t="s">
        <v>30</v>
      </c>
      <c r="T449" s="18" t="s">
        <v>6410</v>
      </c>
      <c r="U449" s="18"/>
      <c r="V449" s="18"/>
      <c r="W449" s="18" t="s">
        <v>6411</v>
      </c>
      <c r="X449" s="18" t="s">
        <v>42</v>
      </c>
      <c r="Y449" s="18" t="s">
        <v>36</v>
      </c>
      <c r="Z449" s="18" t="s">
        <v>697</v>
      </c>
      <c r="AA449" s="21" t="str">
        <f>HYPERLINK("https://www.ncbi.nlm.nih.gov/nuccore/MH892357","NCBI Nucleotide")</f>
        <v>NCBI Nucleotide</v>
      </c>
    </row>
    <row r="450" spans="1:27" x14ac:dyDescent="0.35">
      <c r="A450">
        <v>1000725</v>
      </c>
      <c r="B450">
        <v>449</v>
      </c>
      <c r="C450">
        <v>1</v>
      </c>
      <c r="D450" s="17" t="s">
        <v>155</v>
      </c>
      <c r="E450" s="17"/>
      <c r="F450" s="17" t="s">
        <v>156</v>
      </c>
      <c r="G450" s="17"/>
      <c r="H450" s="17" t="s">
        <v>692</v>
      </c>
      <c r="I450" s="17"/>
      <c r="J450" s="17" t="s">
        <v>693</v>
      </c>
      <c r="K450" s="17"/>
      <c r="L450" s="17"/>
      <c r="M450" s="17"/>
      <c r="N450" s="17" t="s">
        <v>6187</v>
      </c>
      <c r="O450" s="17"/>
      <c r="P450" s="17" t="s">
        <v>6257</v>
      </c>
      <c r="Q450" s="17"/>
      <c r="R450" s="25" t="str">
        <f>HYPERLINK("https://ictv.global/taxonomy/taxondetails?taxnode_id=202314413","Moineauvirus SW11")</f>
        <v>Moineauvirus SW11</v>
      </c>
      <c r="S450" s="18" t="s">
        <v>30</v>
      </c>
      <c r="T450" s="18" t="s">
        <v>6396</v>
      </c>
      <c r="U450" s="18"/>
      <c r="V450" s="18"/>
      <c r="W450" s="18" t="s">
        <v>6397</v>
      </c>
      <c r="X450" s="18" t="s">
        <v>42</v>
      </c>
      <c r="Y450" s="18" t="s">
        <v>36</v>
      </c>
      <c r="Z450" s="18" t="s">
        <v>697</v>
      </c>
      <c r="AA450" s="21" t="str">
        <f>HYPERLINK("https://www.ncbi.nlm.nih.gov/nuccore/MH892360","NCBI Nucleotide")</f>
        <v>NCBI Nucleotide</v>
      </c>
    </row>
    <row r="451" spans="1:27" x14ac:dyDescent="0.35">
      <c r="A451">
        <v>1000726</v>
      </c>
      <c r="B451">
        <v>450</v>
      </c>
      <c r="C451">
        <v>1</v>
      </c>
      <c r="D451" s="17" t="s">
        <v>155</v>
      </c>
      <c r="E451" s="17"/>
      <c r="F451" s="17" t="s">
        <v>156</v>
      </c>
      <c r="G451" s="17"/>
      <c r="H451" s="17" t="s">
        <v>692</v>
      </c>
      <c r="I451" s="17"/>
      <c r="J451" s="17" t="s">
        <v>693</v>
      </c>
      <c r="K451" s="17"/>
      <c r="L451" s="17"/>
      <c r="M451" s="17"/>
      <c r="N451" s="17" t="s">
        <v>6187</v>
      </c>
      <c r="O451" s="17"/>
      <c r="P451" s="17" t="s">
        <v>6257</v>
      </c>
      <c r="Q451" s="17"/>
      <c r="R451" s="25" t="str">
        <f>HYPERLINK("https://ictv.global/taxonomy/taxondetails?taxnode_id=202314414","Moineauvirus SW12")</f>
        <v>Moineauvirus SW12</v>
      </c>
      <c r="S451" s="18" t="s">
        <v>30</v>
      </c>
      <c r="T451" s="18" t="s">
        <v>6398</v>
      </c>
      <c r="U451" s="18"/>
      <c r="V451" s="18"/>
      <c r="W451" s="18" t="s">
        <v>6399</v>
      </c>
      <c r="X451" s="18" t="s">
        <v>42</v>
      </c>
      <c r="Y451" s="18" t="s">
        <v>36</v>
      </c>
      <c r="Z451" s="18" t="s">
        <v>697</v>
      </c>
      <c r="AA451" s="21" t="str">
        <f>HYPERLINK("https://www.ncbi.nlm.nih.gov/nuccore/MH892361","NCBI Nucleotide")</f>
        <v>NCBI Nucleotide</v>
      </c>
    </row>
    <row r="452" spans="1:27" x14ac:dyDescent="0.35">
      <c r="A452">
        <v>1000733</v>
      </c>
      <c r="B452">
        <v>451</v>
      </c>
      <c r="C452">
        <v>1</v>
      </c>
      <c r="D452" s="17" t="s">
        <v>155</v>
      </c>
      <c r="E452" s="17"/>
      <c r="F452" s="17" t="s">
        <v>156</v>
      </c>
      <c r="G452" s="17"/>
      <c r="H452" s="17" t="s">
        <v>692</v>
      </c>
      <c r="I452" s="17"/>
      <c r="J452" s="17" t="s">
        <v>693</v>
      </c>
      <c r="K452" s="17"/>
      <c r="L452" s="17"/>
      <c r="M452" s="17"/>
      <c r="N452" s="17" t="s">
        <v>6187</v>
      </c>
      <c r="O452" s="17"/>
      <c r="P452" s="17" t="s">
        <v>6257</v>
      </c>
      <c r="Q452" s="17"/>
      <c r="R452" s="25" t="str">
        <f>HYPERLINK("https://ictv.global/taxonomy/taxondetails?taxnode_id=202314421","Moineauvirus SWK3")</f>
        <v>Moineauvirus SWK3</v>
      </c>
      <c r="S452" s="18" t="s">
        <v>30</v>
      </c>
      <c r="T452" s="18" t="s">
        <v>6412</v>
      </c>
      <c r="U452" s="18"/>
      <c r="V452" s="18"/>
      <c r="W452" s="18" t="s">
        <v>6413</v>
      </c>
      <c r="X452" s="18" t="s">
        <v>42</v>
      </c>
      <c r="Y452" s="18" t="s">
        <v>36</v>
      </c>
      <c r="Z452" s="18" t="s">
        <v>697</v>
      </c>
      <c r="AA452" s="21" t="str">
        <f>HYPERLINK("https://www.ncbi.nlm.nih.gov/nuccore/MH892379","NCBI Nucleotide")</f>
        <v>NCBI Nucleotide</v>
      </c>
    </row>
    <row r="453" spans="1:27" x14ac:dyDescent="0.35">
      <c r="A453">
        <v>1000734</v>
      </c>
      <c r="B453">
        <v>452</v>
      </c>
      <c r="C453">
        <v>1</v>
      </c>
      <c r="D453" s="17" t="s">
        <v>155</v>
      </c>
      <c r="E453" s="17"/>
      <c r="F453" s="17" t="s">
        <v>156</v>
      </c>
      <c r="G453" s="17"/>
      <c r="H453" s="17" t="s">
        <v>692</v>
      </c>
      <c r="I453" s="17"/>
      <c r="J453" s="17" t="s">
        <v>693</v>
      </c>
      <c r="K453" s="17"/>
      <c r="L453" s="17"/>
      <c r="M453" s="17"/>
      <c r="N453" s="17" t="s">
        <v>6187</v>
      </c>
      <c r="O453" s="17"/>
      <c r="P453" s="17" t="s">
        <v>6257</v>
      </c>
      <c r="Q453" s="17"/>
      <c r="R453" s="25" t="str">
        <f>HYPERLINK("https://ictv.global/taxonomy/taxondetails?taxnode_id=202314422","Moineauvirus SWK6")</f>
        <v>Moineauvirus SWK6</v>
      </c>
      <c r="S453" s="18" t="s">
        <v>30</v>
      </c>
      <c r="T453" s="18" t="s">
        <v>6414</v>
      </c>
      <c r="U453" s="18"/>
      <c r="V453" s="18"/>
      <c r="W453" s="18" t="s">
        <v>6415</v>
      </c>
      <c r="X453" s="18" t="s">
        <v>42</v>
      </c>
      <c r="Y453" s="18" t="s">
        <v>36</v>
      </c>
      <c r="Z453" s="18" t="s">
        <v>697</v>
      </c>
      <c r="AA453" s="21" t="str">
        <f>HYPERLINK("https://www.ncbi.nlm.nih.gov/nuccore/MH892382","NCBI Nucleotide")</f>
        <v>NCBI Nucleotide</v>
      </c>
    </row>
    <row r="454" spans="1:27" x14ac:dyDescent="0.35">
      <c r="A454">
        <v>1000735</v>
      </c>
      <c r="B454">
        <v>453</v>
      </c>
      <c r="C454">
        <v>1</v>
      </c>
      <c r="D454" s="17" t="s">
        <v>155</v>
      </c>
      <c r="E454" s="17"/>
      <c r="F454" s="17" t="s">
        <v>156</v>
      </c>
      <c r="G454" s="17"/>
      <c r="H454" s="17" t="s">
        <v>692</v>
      </c>
      <c r="I454" s="17"/>
      <c r="J454" s="17" t="s">
        <v>693</v>
      </c>
      <c r="K454" s="17"/>
      <c r="L454" s="17"/>
      <c r="M454" s="17"/>
      <c r="N454" s="17" t="s">
        <v>6187</v>
      </c>
      <c r="O454" s="17"/>
      <c r="P454" s="17" t="s">
        <v>6257</v>
      </c>
      <c r="Q454" s="17"/>
      <c r="R454" s="25" t="str">
        <f>HYPERLINK("https://ictv.global/taxonomy/taxondetails?taxnode_id=202314423","Moineauvirus VA214")</f>
        <v>Moineauvirus VA214</v>
      </c>
      <c r="S454" s="18" t="s">
        <v>30</v>
      </c>
      <c r="T454" s="18" t="s">
        <v>6416</v>
      </c>
      <c r="U454" s="18"/>
      <c r="V454" s="18"/>
      <c r="W454" s="18" t="s">
        <v>6417</v>
      </c>
      <c r="X454" s="18" t="s">
        <v>42</v>
      </c>
      <c r="Y454" s="18" t="s">
        <v>36</v>
      </c>
      <c r="Z454" s="18" t="s">
        <v>697</v>
      </c>
      <c r="AA454" s="21" t="str">
        <f>HYPERLINK("https://www.ncbi.nlm.nih.gov/nuccore/MG708274","NCBI Nucleotide")</f>
        <v>NCBI Nucleotide</v>
      </c>
    </row>
    <row r="455" spans="1:27" x14ac:dyDescent="0.35">
      <c r="A455">
        <v>1000736</v>
      </c>
      <c r="B455">
        <v>454</v>
      </c>
      <c r="C455">
        <v>1</v>
      </c>
      <c r="D455" s="17" t="s">
        <v>155</v>
      </c>
      <c r="E455" s="17"/>
      <c r="F455" s="17" t="s">
        <v>156</v>
      </c>
      <c r="G455" s="17"/>
      <c r="H455" s="17" t="s">
        <v>692</v>
      </c>
      <c r="I455" s="17"/>
      <c r="J455" s="17" t="s">
        <v>693</v>
      </c>
      <c r="K455" s="17"/>
      <c r="L455" s="17"/>
      <c r="M455" s="17"/>
      <c r="N455" s="17" t="s">
        <v>6187</v>
      </c>
      <c r="O455" s="17"/>
      <c r="P455" s="17" t="s">
        <v>6257</v>
      </c>
      <c r="Q455" s="17"/>
      <c r="R455" s="25" t="str">
        <f>HYPERLINK("https://ictv.global/taxonomy/taxondetails?taxnode_id=202314424","Moineauvirus VA460")</f>
        <v>Moineauvirus VA460</v>
      </c>
      <c r="S455" s="18" t="s">
        <v>30</v>
      </c>
      <c r="T455" s="18" t="s">
        <v>6418</v>
      </c>
      <c r="U455" s="18"/>
      <c r="V455" s="18"/>
      <c r="W455" s="18" t="s">
        <v>6419</v>
      </c>
      <c r="X455" s="18" t="s">
        <v>42</v>
      </c>
      <c r="Y455" s="18" t="s">
        <v>36</v>
      </c>
      <c r="Z455" s="18" t="s">
        <v>697</v>
      </c>
      <c r="AA455" s="21" t="str">
        <f>HYPERLINK("https://www.ncbi.nlm.nih.gov/nuccore/MG708275","NCBI Nucleotide")</f>
        <v>NCBI Nucleotide</v>
      </c>
    </row>
    <row r="456" spans="1:27" x14ac:dyDescent="0.35">
      <c r="A456">
        <v>1000737</v>
      </c>
      <c r="B456">
        <v>455</v>
      </c>
      <c r="C456">
        <v>1</v>
      </c>
      <c r="D456" s="17" t="s">
        <v>155</v>
      </c>
      <c r="E456" s="17"/>
      <c r="F456" s="17" t="s">
        <v>156</v>
      </c>
      <c r="G456" s="17"/>
      <c r="H456" s="17" t="s">
        <v>692</v>
      </c>
      <c r="I456" s="17"/>
      <c r="J456" s="17" t="s">
        <v>693</v>
      </c>
      <c r="K456" s="17"/>
      <c r="L456" s="17"/>
      <c r="M456" s="17"/>
      <c r="N456" s="17" t="s">
        <v>6187</v>
      </c>
      <c r="O456" s="17"/>
      <c r="P456" s="17" t="s">
        <v>6420</v>
      </c>
      <c r="Q456" s="17"/>
      <c r="R456" s="25" t="str">
        <f>HYPERLINK("https://ictv.global/taxonomy/taxondetails?taxnode_id=202314345","Vansinderenvirus 5093")</f>
        <v>Vansinderenvirus 5093</v>
      </c>
      <c r="S456" s="18" t="s">
        <v>30</v>
      </c>
      <c r="T456" s="18" t="s">
        <v>6421</v>
      </c>
      <c r="U456" s="18"/>
      <c r="V456" s="18"/>
      <c r="W456" s="18" t="s">
        <v>6422</v>
      </c>
      <c r="X456" s="18" t="s">
        <v>42</v>
      </c>
      <c r="Y456" s="18" t="s">
        <v>36</v>
      </c>
      <c r="Z456" s="18" t="s">
        <v>697</v>
      </c>
      <c r="AA456" s="21" t="str">
        <f>HYPERLINK("https://www.ncbi.nlm.nih.gov/nuccore/FJ965538","NCBI Nucleotide")</f>
        <v>NCBI Nucleotide</v>
      </c>
    </row>
    <row r="457" spans="1:27" x14ac:dyDescent="0.35">
      <c r="A457">
        <v>1000738</v>
      </c>
      <c r="B457">
        <v>456</v>
      </c>
      <c r="C457">
        <v>1</v>
      </c>
      <c r="D457" s="17" t="s">
        <v>155</v>
      </c>
      <c r="E457" s="17"/>
      <c r="F457" s="17" t="s">
        <v>156</v>
      </c>
      <c r="G457" s="17"/>
      <c r="H457" s="17" t="s">
        <v>692</v>
      </c>
      <c r="I457" s="17"/>
      <c r="J457" s="17" t="s">
        <v>693</v>
      </c>
      <c r="K457" s="17"/>
      <c r="L457" s="17"/>
      <c r="M457" s="17"/>
      <c r="N457" s="17" t="s">
        <v>6187</v>
      </c>
      <c r="O457" s="17"/>
      <c r="P457" s="17" t="s">
        <v>6420</v>
      </c>
      <c r="Q457" s="17"/>
      <c r="R457" s="25" t="str">
        <f>HYPERLINK("https://ictv.global/taxonomy/taxondetails?taxnode_id=202314340","Vansinderenvirus CHPC1198")</f>
        <v>Vansinderenvirus CHPC1198</v>
      </c>
      <c r="S457" s="18" t="s">
        <v>30</v>
      </c>
      <c r="T457" s="18" t="s">
        <v>6423</v>
      </c>
      <c r="U457" s="18"/>
      <c r="V457" s="18"/>
      <c r="W457" s="18" t="s">
        <v>6424</v>
      </c>
      <c r="X457" s="18" t="s">
        <v>42</v>
      </c>
      <c r="Y457" s="18" t="s">
        <v>36</v>
      </c>
      <c r="Z457" s="18" t="s">
        <v>697</v>
      </c>
      <c r="AA457" s="21" t="str">
        <f>HYPERLINK("https://www.ncbi.nlm.nih.gov/nuccore/MK202159","NCBI Nucleotide")</f>
        <v>NCBI Nucleotide</v>
      </c>
    </row>
    <row r="458" spans="1:27" x14ac:dyDescent="0.35">
      <c r="A458">
        <v>1000739</v>
      </c>
      <c r="B458">
        <v>457</v>
      </c>
      <c r="C458">
        <v>1</v>
      </c>
      <c r="D458" s="17" t="s">
        <v>155</v>
      </c>
      <c r="E458" s="17"/>
      <c r="F458" s="17" t="s">
        <v>156</v>
      </c>
      <c r="G458" s="17"/>
      <c r="H458" s="17" t="s">
        <v>692</v>
      </c>
      <c r="I458" s="17"/>
      <c r="J458" s="17" t="s">
        <v>693</v>
      </c>
      <c r="K458" s="17"/>
      <c r="L458" s="17"/>
      <c r="M458" s="17"/>
      <c r="N458" s="17" t="s">
        <v>6187</v>
      </c>
      <c r="O458" s="17"/>
      <c r="P458" s="17" t="s">
        <v>6420</v>
      </c>
      <c r="Q458" s="17"/>
      <c r="R458" s="25" t="str">
        <f>HYPERLINK("https://ictv.global/taxonomy/taxondetails?taxnode_id=202314344","Vansinderenvirus CHPC1232")</f>
        <v>Vansinderenvirus CHPC1232</v>
      </c>
      <c r="S458" s="18" t="s">
        <v>30</v>
      </c>
      <c r="T458" s="18" t="s">
        <v>6425</v>
      </c>
      <c r="U458" s="18"/>
      <c r="V458" s="18"/>
      <c r="W458" s="18" t="s">
        <v>6426</v>
      </c>
      <c r="X458" s="18" t="s">
        <v>42</v>
      </c>
      <c r="Y458" s="18" t="s">
        <v>36</v>
      </c>
      <c r="Z458" s="18" t="s">
        <v>697</v>
      </c>
      <c r="AA458" s="21" t="str">
        <f>HYPERLINK("https://www.ncbi.nlm.nih.gov/nuccore/KX879643","NCBI Nucleotide")</f>
        <v>NCBI Nucleotide</v>
      </c>
    </row>
    <row r="459" spans="1:27" x14ac:dyDescent="0.35">
      <c r="A459">
        <v>1000740</v>
      </c>
      <c r="B459">
        <v>458</v>
      </c>
      <c r="C459">
        <v>1</v>
      </c>
      <c r="D459" s="17" t="s">
        <v>155</v>
      </c>
      <c r="E459" s="17"/>
      <c r="F459" s="17" t="s">
        <v>156</v>
      </c>
      <c r="G459" s="17"/>
      <c r="H459" s="17" t="s">
        <v>692</v>
      </c>
      <c r="I459" s="17"/>
      <c r="J459" s="17" t="s">
        <v>693</v>
      </c>
      <c r="K459" s="17"/>
      <c r="L459" s="17"/>
      <c r="M459" s="17"/>
      <c r="N459" s="17" t="s">
        <v>6187</v>
      </c>
      <c r="O459" s="17"/>
      <c r="P459" s="17" t="s">
        <v>6420</v>
      </c>
      <c r="Q459" s="17"/>
      <c r="R459" s="25" t="str">
        <f>HYPERLINK("https://ictv.global/taxonomy/taxondetails?taxnode_id=202314346","Vansinderenvirus CHPC1282")</f>
        <v>Vansinderenvirus CHPC1282</v>
      </c>
      <c r="S459" s="18" t="s">
        <v>30</v>
      </c>
      <c r="T459" s="18" t="s">
        <v>6427</v>
      </c>
      <c r="U459" s="18"/>
      <c r="V459" s="18"/>
      <c r="W459" s="18" t="s">
        <v>6428</v>
      </c>
      <c r="X459" s="18" t="s">
        <v>42</v>
      </c>
      <c r="Y459" s="18" t="s">
        <v>36</v>
      </c>
      <c r="Z459" s="18" t="s">
        <v>697</v>
      </c>
      <c r="AA459" s="21" t="str">
        <f>HYPERLINK("https://www.ncbi.nlm.nih.gov/nuccore/MK202161","NCBI Nucleotide")</f>
        <v>NCBI Nucleotide</v>
      </c>
    </row>
    <row r="460" spans="1:27" x14ac:dyDescent="0.35">
      <c r="A460">
        <v>1000741</v>
      </c>
      <c r="B460">
        <v>459</v>
      </c>
      <c r="C460">
        <v>1</v>
      </c>
      <c r="D460" s="17" t="s">
        <v>155</v>
      </c>
      <c r="E460" s="17"/>
      <c r="F460" s="17" t="s">
        <v>156</v>
      </c>
      <c r="G460" s="17"/>
      <c r="H460" s="17" t="s">
        <v>692</v>
      </c>
      <c r="I460" s="17"/>
      <c r="J460" s="17" t="s">
        <v>693</v>
      </c>
      <c r="K460" s="17"/>
      <c r="L460" s="17"/>
      <c r="M460" s="17"/>
      <c r="N460" s="17" t="s">
        <v>6187</v>
      </c>
      <c r="O460" s="17"/>
      <c r="P460" s="17" t="s">
        <v>6420</v>
      </c>
      <c r="Q460" s="17"/>
      <c r="R460" s="25" t="str">
        <f>HYPERLINK("https://ictv.global/taxonomy/taxondetails?taxnode_id=202314343","Vansinderenvirus P0092")</f>
        <v>Vansinderenvirus P0092</v>
      </c>
      <c r="S460" s="18" t="s">
        <v>30</v>
      </c>
      <c r="T460" s="18" t="s">
        <v>6429</v>
      </c>
      <c r="U460" s="18"/>
      <c r="V460" s="18"/>
      <c r="W460" s="18" t="s">
        <v>6430</v>
      </c>
      <c r="X460" s="18" t="s">
        <v>42</v>
      </c>
      <c r="Y460" s="18" t="s">
        <v>36</v>
      </c>
      <c r="Z460" s="18" t="s">
        <v>697</v>
      </c>
      <c r="AA460" s="21" t="str">
        <f>HYPERLINK("https://www.ncbi.nlm.nih.gov/nuccore/KY705252","NCBI Nucleotide")</f>
        <v>NCBI Nucleotide</v>
      </c>
    </row>
    <row r="461" spans="1:27" x14ac:dyDescent="0.35">
      <c r="A461">
        <v>1000742</v>
      </c>
      <c r="B461">
        <v>460</v>
      </c>
      <c r="C461">
        <v>1</v>
      </c>
      <c r="D461" s="17" t="s">
        <v>155</v>
      </c>
      <c r="E461" s="17"/>
      <c r="F461" s="17" t="s">
        <v>156</v>
      </c>
      <c r="G461" s="17"/>
      <c r="H461" s="17" t="s">
        <v>692</v>
      </c>
      <c r="I461" s="17"/>
      <c r="J461" s="17" t="s">
        <v>693</v>
      </c>
      <c r="K461" s="17"/>
      <c r="L461" s="17"/>
      <c r="M461" s="17"/>
      <c r="N461" s="17" t="s">
        <v>6187</v>
      </c>
      <c r="O461" s="17"/>
      <c r="P461" s="17" t="s">
        <v>6420</v>
      </c>
      <c r="Q461" s="17"/>
      <c r="R461" s="25" t="str">
        <f>HYPERLINK("https://ictv.global/taxonomy/taxondetails?taxnode_id=202314341","Vansinderenvirus P0093")</f>
        <v>Vansinderenvirus P0093</v>
      </c>
      <c r="S461" s="18" t="s">
        <v>30</v>
      </c>
      <c r="T461" s="18" t="s">
        <v>6431</v>
      </c>
      <c r="U461" s="18"/>
      <c r="V461" s="18"/>
      <c r="W461" s="18" t="s">
        <v>6432</v>
      </c>
      <c r="X461" s="18" t="s">
        <v>42</v>
      </c>
      <c r="Y461" s="18" t="s">
        <v>36</v>
      </c>
      <c r="Z461" s="18" t="s">
        <v>697</v>
      </c>
      <c r="AA461" s="21" t="str">
        <f>HYPERLINK("https://www.ncbi.nlm.nih.gov/nuccore/KY705253","NCBI Nucleotide")</f>
        <v>NCBI Nucleotide</v>
      </c>
    </row>
    <row r="462" spans="1:27" x14ac:dyDescent="0.35">
      <c r="A462">
        <v>1000743</v>
      </c>
      <c r="B462">
        <v>461</v>
      </c>
      <c r="C462">
        <v>1</v>
      </c>
      <c r="D462" s="17" t="s">
        <v>155</v>
      </c>
      <c r="E462" s="17"/>
      <c r="F462" s="17" t="s">
        <v>156</v>
      </c>
      <c r="G462" s="17"/>
      <c r="H462" s="17" t="s">
        <v>692</v>
      </c>
      <c r="I462" s="17"/>
      <c r="J462" s="17" t="s">
        <v>693</v>
      </c>
      <c r="K462" s="17"/>
      <c r="L462" s="17"/>
      <c r="M462" s="17"/>
      <c r="N462" s="17" t="s">
        <v>6187</v>
      </c>
      <c r="O462" s="17"/>
      <c r="P462" s="17" t="s">
        <v>6420</v>
      </c>
      <c r="Q462" s="17"/>
      <c r="R462" s="25" t="str">
        <f>HYPERLINK("https://ictv.global/taxonomy/taxondetails?taxnode_id=202314347","Vansinderenvirus P0095")</f>
        <v>Vansinderenvirus P0095</v>
      </c>
      <c r="S462" s="18" t="s">
        <v>30</v>
      </c>
      <c r="T462" s="18" t="s">
        <v>6433</v>
      </c>
      <c r="U462" s="18"/>
      <c r="V462" s="18"/>
      <c r="W462" s="18" t="s">
        <v>6434</v>
      </c>
      <c r="X462" s="18" t="s">
        <v>42</v>
      </c>
      <c r="Y462" s="18" t="s">
        <v>36</v>
      </c>
      <c r="Z462" s="18" t="s">
        <v>697</v>
      </c>
      <c r="AA462" s="21" t="str">
        <f>HYPERLINK("https://www.ncbi.nlm.nih.gov/nuccore/KY705255","NCBI Nucleotide")</f>
        <v>NCBI Nucleotide</v>
      </c>
    </row>
    <row r="463" spans="1:27" x14ac:dyDescent="0.35">
      <c r="A463">
        <v>1000747</v>
      </c>
      <c r="B463">
        <v>462</v>
      </c>
      <c r="C463">
        <v>1</v>
      </c>
      <c r="D463" s="17" t="s">
        <v>155</v>
      </c>
      <c r="E463" s="17"/>
      <c r="F463" s="17" t="s">
        <v>156</v>
      </c>
      <c r="G463" s="17"/>
      <c r="H463" s="17" t="s">
        <v>692</v>
      </c>
      <c r="I463" s="17"/>
      <c r="J463" s="17" t="s">
        <v>693</v>
      </c>
      <c r="K463" s="17"/>
      <c r="L463" s="17"/>
      <c r="M463" s="17"/>
      <c r="N463" s="17" t="s">
        <v>6187</v>
      </c>
      <c r="O463" s="17"/>
      <c r="P463" s="17" t="s">
        <v>6420</v>
      </c>
      <c r="Q463" s="17"/>
      <c r="R463" s="25" t="str">
        <f>HYPERLINK("https://ictv.global/taxonomy/taxondetails?taxnode_id=202314338","Vansinderenvirus SW4")</f>
        <v>Vansinderenvirus SW4</v>
      </c>
      <c r="S463" s="18" t="s">
        <v>30</v>
      </c>
      <c r="T463" s="18" t="s">
        <v>6441</v>
      </c>
      <c r="U463" s="18"/>
      <c r="V463" s="18"/>
      <c r="W463" s="18" t="s">
        <v>6442</v>
      </c>
      <c r="X463" s="18" t="s">
        <v>42</v>
      </c>
      <c r="Y463" s="18" t="s">
        <v>36</v>
      </c>
      <c r="Z463" s="18" t="s">
        <v>697</v>
      </c>
      <c r="AA463" s="21" t="str">
        <f>HYPERLINK("https://www.ncbi.nlm.nih.gov/nuccore/MH892355","NCBI Nucleotide")</f>
        <v>NCBI Nucleotide</v>
      </c>
    </row>
    <row r="464" spans="1:27" x14ac:dyDescent="0.35">
      <c r="A464">
        <v>1000744</v>
      </c>
      <c r="B464">
        <v>463</v>
      </c>
      <c r="C464">
        <v>1</v>
      </c>
      <c r="D464" s="17" t="s">
        <v>155</v>
      </c>
      <c r="E464" s="17"/>
      <c r="F464" s="17" t="s">
        <v>156</v>
      </c>
      <c r="G464" s="17"/>
      <c r="H464" s="17" t="s">
        <v>692</v>
      </c>
      <c r="I464" s="17"/>
      <c r="J464" s="17" t="s">
        <v>693</v>
      </c>
      <c r="K464" s="17"/>
      <c r="L464" s="17"/>
      <c r="M464" s="17"/>
      <c r="N464" s="17" t="s">
        <v>6187</v>
      </c>
      <c r="O464" s="17"/>
      <c r="P464" s="17" t="s">
        <v>6420</v>
      </c>
      <c r="Q464" s="17"/>
      <c r="R464" s="25" t="str">
        <f>HYPERLINK("https://ictv.global/taxonomy/taxondetails?taxnode_id=202314348","Vansinderenvirus SW19")</f>
        <v>Vansinderenvirus SW19</v>
      </c>
      <c r="S464" s="18" t="s">
        <v>30</v>
      </c>
      <c r="T464" s="18" t="s">
        <v>6435</v>
      </c>
      <c r="U464" s="18"/>
      <c r="V464" s="18"/>
      <c r="W464" s="18" t="s">
        <v>6436</v>
      </c>
      <c r="X464" s="18" t="s">
        <v>42</v>
      </c>
      <c r="Y464" s="18" t="s">
        <v>36</v>
      </c>
      <c r="Z464" s="18" t="s">
        <v>697</v>
      </c>
      <c r="AA464" s="21" t="str">
        <f>HYPERLINK("https://www.ncbi.nlm.nih.gov/nuccore/MH892367","NCBI Nucleotide")</f>
        <v>NCBI Nucleotide</v>
      </c>
    </row>
    <row r="465" spans="1:27" x14ac:dyDescent="0.35">
      <c r="A465">
        <v>1000745</v>
      </c>
      <c r="B465">
        <v>464</v>
      </c>
      <c r="C465">
        <v>1</v>
      </c>
      <c r="D465" s="17" t="s">
        <v>155</v>
      </c>
      <c r="E465" s="17"/>
      <c r="F465" s="17" t="s">
        <v>156</v>
      </c>
      <c r="G465" s="17"/>
      <c r="H465" s="17" t="s">
        <v>692</v>
      </c>
      <c r="I465" s="17"/>
      <c r="J465" s="17" t="s">
        <v>693</v>
      </c>
      <c r="K465" s="17"/>
      <c r="L465" s="17"/>
      <c r="M465" s="17"/>
      <c r="N465" s="17" t="s">
        <v>6187</v>
      </c>
      <c r="O465" s="17"/>
      <c r="P465" s="17" t="s">
        <v>6420</v>
      </c>
      <c r="Q465" s="17"/>
      <c r="R465" s="25" t="str">
        <f>HYPERLINK("https://ictv.global/taxonomy/taxondetails?taxnode_id=202314342","Vansinderenvirus SW24")</f>
        <v>Vansinderenvirus SW24</v>
      </c>
      <c r="S465" s="18" t="s">
        <v>30</v>
      </c>
      <c r="T465" s="18" t="s">
        <v>6437</v>
      </c>
      <c r="U465" s="18"/>
      <c r="V465" s="18"/>
      <c r="W465" s="18" t="s">
        <v>6438</v>
      </c>
      <c r="X465" s="18" t="s">
        <v>42</v>
      </c>
      <c r="Y465" s="18" t="s">
        <v>36</v>
      </c>
      <c r="Z465" s="18" t="s">
        <v>697</v>
      </c>
      <c r="AA465" s="21" t="str">
        <f>HYPERLINK("https://www.ncbi.nlm.nih.gov/nuccore/MH973663","NCBI Nucleotide")</f>
        <v>NCBI Nucleotide</v>
      </c>
    </row>
    <row r="466" spans="1:27" x14ac:dyDescent="0.35">
      <c r="A466">
        <v>1000746</v>
      </c>
      <c r="B466">
        <v>465</v>
      </c>
      <c r="C466">
        <v>1</v>
      </c>
      <c r="D466" s="17" t="s">
        <v>155</v>
      </c>
      <c r="E466" s="17"/>
      <c r="F466" s="17" t="s">
        <v>156</v>
      </c>
      <c r="G466" s="17"/>
      <c r="H466" s="17" t="s">
        <v>692</v>
      </c>
      <c r="I466" s="17"/>
      <c r="J466" s="17" t="s">
        <v>693</v>
      </c>
      <c r="K466" s="17"/>
      <c r="L466" s="17"/>
      <c r="M466" s="17"/>
      <c r="N466" s="17" t="s">
        <v>6187</v>
      </c>
      <c r="O466" s="17"/>
      <c r="P466" s="17" t="s">
        <v>6420</v>
      </c>
      <c r="Q466" s="17"/>
      <c r="R466" s="25" t="str">
        <f>HYPERLINK("https://ictv.global/taxonomy/taxondetails?taxnode_id=202314339","Vansinderenvirus SW27")</f>
        <v>Vansinderenvirus SW27</v>
      </c>
      <c r="S466" s="18" t="s">
        <v>30</v>
      </c>
      <c r="T466" s="18" t="s">
        <v>6439</v>
      </c>
      <c r="U466" s="18"/>
      <c r="V466" s="18"/>
      <c r="W466" s="18" t="s">
        <v>6440</v>
      </c>
      <c r="X466" s="18" t="s">
        <v>42</v>
      </c>
      <c r="Y466" s="18" t="s">
        <v>36</v>
      </c>
      <c r="Z466" s="18" t="s">
        <v>697</v>
      </c>
      <c r="AA466" s="21" t="str">
        <f>HYPERLINK("https://www.ncbi.nlm.nih.gov/nuccore/MH892373","NCBI Nucleotide")</f>
        <v>NCBI Nucleotide</v>
      </c>
    </row>
    <row r="467" spans="1:27" x14ac:dyDescent="0.35">
      <c r="A467">
        <v>1000748</v>
      </c>
      <c r="B467">
        <v>466</v>
      </c>
      <c r="C467">
        <v>1</v>
      </c>
      <c r="D467" s="17" t="s">
        <v>155</v>
      </c>
      <c r="E467" s="17"/>
      <c r="F467" s="17" t="s">
        <v>156</v>
      </c>
      <c r="G467" s="17"/>
      <c r="H467" s="17" t="s">
        <v>692</v>
      </c>
      <c r="I467" s="17"/>
      <c r="J467" s="17" t="s">
        <v>693</v>
      </c>
      <c r="K467" s="17"/>
      <c r="L467" s="17"/>
      <c r="M467" s="17"/>
      <c r="N467" s="17" t="s">
        <v>6443</v>
      </c>
      <c r="O467" s="17"/>
      <c r="P467" s="17" t="s">
        <v>6444</v>
      </c>
      <c r="Q467" s="17"/>
      <c r="R467" s="25" t="str">
        <f>HYPERLINK("https://ictv.global/taxonomy/taxondetails?taxnode_id=202314489","Wroclawvirus PA5oct")</f>
        <v>Wroclawvirus PA5oct</v>
      </c>
      <c r="S467" s="18" t="s">
        <v>30</v>
      </c>
      <c r="T467" s="18" t="s">
        <v>6445</v>
      </c>
      <c r="U467" s="18"/>
      <c r="V467" s="18"/>
      <c r="W467" s="18" t="s">
        <v>6446</v>
      </c>
      <c r="X467" s="18" t="s">
        <v>42</v>
      </c>
      <c r="Y467" s="18" t="s">
        <v>36</v>
      </c>
      <c r="Z467" s="18" t="s">
        <v>697</v>
      </c>
      <c r="AA467" s="21" t="str">
        <f>HYPERLINK("https://www.ncbi.nlm.nih.gov/nuccore/MK797984","NCBI Nucleotide")</f>
        <v>NCBI Nucleotide</v>
      </c>
    </row>
    <row r="468" spans="1:27" x14ac:dyDescent="0.35">
      <c r="A468">
        <v>1000749</v>
      </c>
      <c r="B468">
        <v>467</v>
      </c>
      <c r="C468">
        <v>1</v>
      </c>
      <c r="D468" s="17" t="s">
        <v>155</v>
      </c>
      <c r="E468" s="17"/>
      <c r="F468" s="17" t="s">
        <v>156</v>
      </c>
      <c r="G468" s="17"/>
      <c r="H468" s="17" t="s">
        <v>692</v>
      </c>
      <c r="I468" s="17"/>
      <c r="J468" s="17" t="s">
        <v>693</v>
      </c>
      <c r="K468" s="17"/>
      <c r="L468" s="17"/>
      <c r="M468" s="17"/>
      <c r="N468" s="17" t="s">
        <v>6447</v>
      </c>
      <c r="O468" s="17"/>
      <c r="P468" s="17" t="s">
        <v>6448</v>
      </c>
      <c r="Q468" s="17"/>
      <c r="R468" s="25" t="str">
        <f>HYPERLINK("https://ictv.global/taxonomy/taxondetails?taxnode_id=202313553","Cebadecemvirus phi10una")</f>
        <v>Cebadecemvirus phi10una</v>
      </c>
      <c r="S468" s="18" t="s">
        <v>30</v>
      </c>
      <c r="T468" s="18" t="s">
        <v>6449</v>
      </c>
      <c r="U468" s="18" t="s">
        <v>6450</v>
      </c>
      <c r="V468" s="18"/>
      <c r="W468" s="18" t="s">
        <v>6451</v>
      </c>
      <c r="X468" s="18" t="s">
        <v>42</v>
      </c>
      <c r="Y468" s="18" t="s">
        <v>36</v>
      </c>
      <c r="Z468" s="18" t="s">
        <v>697</v>
      </c>
      <c r="AA468" s="21" t="str">
        <f>HYPERLINK("https://www.ncbi.nlm.nih.gov/nuccore/KC821618","NCBI Nucleotide")</f>
        <v>NCBI Nucleotide</v>
      </c>
    </row>
    <row r="469" spans="1:27" x14ac:dyDescent="0.35">
      <c r="A469">
        <v>1000750</v>
      </c>
      <c r="B469">
        <v>468</v>
      </c>
      <c r="C469">
        <v>1</v>
      </c>
      <c r="D469" s="17" t="s">
        <v>155</v>
      </c>
      <c r="E469" s="17"/>
      <c r="F469" s="17" t="s">
        <v>156</v>
      </c>
      <c r="G469" s="17"/>
      <c r="H469" s="17" t="s">
        <v>692</v>
      </c>
      <c r="I469" s="17"/>
      <c r="J469" s="17" t="s">
        <v>693</v>
      </c>
      <c r="K469" s="17"/>
      <c r="L469" s="17"/>
      <c r="M469" s="17"/>
      <c r="N469" s="17" t="s">
        <v>6447</v>
      </c>
      <c r="O469" s="17"/>
      <c r="P469" s="17" t="s">
        <v>6452</v>
      </c>
      <c r="Q469" s="17"/>
      <c r="R469" s="25" t="str">
        <f>HYPERLINK("https://ictv.global/taxonomy/taxondetails?taxnode_id=202313555","Cellubavirus phi19una")</f>
        <v>Cellubavirus phi19una</v>
      </c>
      <c r="S469" s="18" t="s">
        <v>30</v>
      </c>
      <c r="T469" s="18" t="s">
        <v>6453</v>
      </c>
      <c r="U469" s="18" t="s">
        <v>6454</v>
      </c>
      <c r="V469" s="18"/>
      <c r="W469" s="18" t="s">
        <v>6455</v>
      </c>
      <c r="X469" s="18" t="s">
        <v>42</v>
      </c>
      <c r="Y469" s="18" t="s">
        <v>36</v>
      </c>
      <c r="Z469" s="18" t="s">
        <v>697</v>
      </c>
      <c r="AA469" s="21" t="str">
        <f>HYPERLINK("https://www.ncbi.nlm.nih.gov/nuccore/KC821607","NCBI Nucleotide")</f>
        <v>NCBI Nucleotide</v>
      </c>
    </row>
    <row r="470" spans="1:27" x14ac:dyDescent="0.35">
      <c r="A470">
        <v>1000751</v>
      </c>
      <c r="B470">
        <v>469</v>
      </c>
      <c r="C470">
        <v>1</v>
      </c>
      <c r="D470" s="17" t="s">
        <v>155</v>
      </c>
      <c r="E470" s="17"/>
      <c r="F470" s="17" t="s">
        <v>156</v>
      </c>
      <c r="G470" s="17"/>
      <c r="H470" s="17" t="s">
        <v>692</v>
      </c>
      <c r="I470" s="17"/>
      <c r="J470" s="17" t="s">
        <v>693</v>
      </c>
      <c r="K470" s="17"/>
      <c r="L470" s="17"/>
      <c r="M470" s="17"/>
      <c r="N470" s="17" t="s">
        <v>6447</v>
      </c>
      <c r="O470" s="17"/>
      <c r="P470" s="17" t="s">
        <v>6456</v>
      </c>
      <c r="Q470" s="17"/>
      <c r="R470" s="25" t="str">
        <f>HYPERLINK("https://ictv.global/taxonomy/taxondetails?taxnode_id=202313551","Nekkelsvirus Nekkels")</f>
        <v>Nekkelsvirus Nekkels</v>
      </c>
      <c r="S470" s="18" t="s">
        <v>30</v>
      </c>
      <c r="T470" s="18" t="s">
        <v>6457</v>
      </c>
      <c r="U470" s="18" t="s">
        <v>6458</v>
      </c>
      <c r="V470" s="18"/>
      <c r="W470" s="18" t="s">
        <v>6459</v>
      </c>
      <c r="X470" s="18" t="s">
        <v>42</v>
      </c>
      <c r="Y470" s="18" t="s">
        <v>36</v>
      </c>
      <c r="Z470" s="18" t="s">
        <v>697</v>
      </c>
      <c r="AA470" s="21" t="str">
        <f>HYPERLINK("https://www.ncbi.nlm.nih.gov/nuccore/MT732443","NCBI Nucleotide")</f>
        <v>NCBI Nucleotide</v>
      </c>
    </row>
    <row r="471" spans="1:27" x14ac:dyDescent="0.35">
      <c r="A471">
        <v>1000752</v>
      </c>
      <c r="B471">
        <v>470</v>
      </c>
      <c r="C471">
        <v>1</v>
      </c>
      <c r="D471" s="17" t="s">
        <v>155</v>
      </c>
      <c r="E471" s="17"/>
      <c r="F471" s="17" t="s">
        <v>156</v>
      </c>
      <c r="G471" s="17"/>
      <c r="H471" s="17" t="s">
        <v>692</v>
      </c>
      <c r="I471" s="17"/>
      <c r="J471" s="17" t="s">
        <v>693</v>
      </c>
      <c r="K471" s="17"/>
      <c r="L471" s="17"/>
      <c r="M471" s="17"/>
      <c r="N471" s="17" t="s">
        <v>6460</v>
      </c>
      <c r="O471" s="17" t="s">
        <v>6716</v>
      </c>
      <c r="P471" s="17" t="s">
        <v>6717</v>
      </c>
      <c r="Q471" s="17"/>
      <c r="R471" s="25" t="str">
        <f>HYPERLINK("https://ictv.global/taxonomy/taxondetails?taxnode_id=202308513","Daemvirus acibel007")</f>
        <v>Daemvirus acibel007</v>
      </c>
      <c r="S471" s="18" t="s">
        <v>30</v>
      </c>
      <c r="T471" s="18" t="s">
        <v>6718</v>
      </c>
      <c r="U471" s="18"/>
      <c r="V471" s="18"/>
      <c r="W471" s="18" t="s">
        <v>6719</v>
      </c>
      <c r="X471" s="18" t="s">
        <v>42</v>
      </c>
      <c r="Y471" s="18" t="s">
        <v>36</v>
      </c>
      <c r="Z471" s="18" t="s">
        <v>697</v>
      </c>
      <c r="AA471" s="21" t="str">
        <f>HYPERLINK("https://www.ncbi.nlm.nih.gov/nuccore/KJ473423","NCBI Nucleotide")</f>
        <v>NCBI Nucleotide</v>
      </c>
    </row>
    <row r="472" spans="1:27" x14ac:dyDescent="0.35">
      <c r="A472">
        <v>1000753</v>
      </c>
      <c r="B472">
        <v>471</v>
      </c>
      <c r="C472">
        <v>1</v>
      </c>
      <c r="D472" s="17" t="s">
        <v>155</v>
      </c>
      <c r="E472" s="17"/>
      <c r="F472" s="17" t="s">
        <v>156</v>
      </c>
      <c r="G472" s="17"/>
      <c r="H472" s="17" t="s">
        <v>692</v>
      </c>
      <c r="I472" s="17"/>
      <c r="J472" s="17" t="s">
        <v>693</v>
      </c>
      <c r="K472" s="17"/>
      <c r="L472" s="17"/>
      <c r="M472" s="17"/>
      <c r="N472" s="17" t="s">
        <v>6460</v>
      </c>
      <c r="O472" s="17" t="s">
        <v>6716</v>
      </c>
      <c r="P472" s="17" t="s">
        <v>6720</v>
      </c>
      <c r="Q472" s="17"/>
      <c r="R472" s="25" t="str">
        <f>HYPERLINK("https://ictv.global/taxonomy/taxondetails?taxnode_id=202300549","Friunavirus AB1")</f>
        <v>Friunavirus AB1</v>
      </c>
      <c r="S472" s="18" t="s">
        <v>30</v>
      </c>
      <c r="T472" s="18" t="s">
        <v>6721</v>
      </c>
      <c r="U472" s="18"/>
      <c r="V472" s="18"/>
      <c r="W472" s="18" t="s">
        <v>6722</v>
      </c>
      <c r="X472" s="18" t="s">
        <v>42</v>
      </c>
      <c r="Y472" s="18" t="s">
        <v>36</v>
      </c>
      <c r="Z472" s="18" t="s">
        <v>697</v>
      </c>
      <c r="AA472" s="21" t="str">
        <f>HYPERLINK("https://www.ncbi.nlm.nih.gov/nuccore/HQ186308","NCBI Nucleotide")</f>
        <v>NCBI Nucleotide</v>
      </c>
    </row>
    <row r="473" spans="1:27" x14ac:dyDescent="0.35">
      <c r="A473">
        <v>1000754</v>
      </c>
      <c r="B473">
        <v>472</v>
      </c>
      <c r="C473">
        <v>1</v>
      </c>
      <c r="D473" s="17" t="s">
        <v>155</v>
      </c>
      <c r="E473" s="17"/>
      <c r="F473" s="17" t="s">
        <v>156</v>
      </c>
      <c r="G473" s="17"/>
      <c r="H473" s="17" t="s">
        <v>692</v>
      </c>
      <c r="I473" s="17"/>
      <c r="J473" s="17" t="s">
        <v>693</v>
      </c>
      <c r="K473" s="17"/>
      <c r="L473" s="17"/>
      <c r="M473" s="17"/>
      <c r="N473" s="17" t="s">
        <v>6460</v>
      </c>
      <c r="O473" s="17" t="s">
        <v>6716</v>
      </c>
      <c r="P473" s="17" t="s">
        <v>6720</v>
      </c>
      <c r="Q473" s="17"/>
      <c r="R473" s="25" t="str">
        <f>HYPERLINK("https://ictv.global/taxonomy/taxondetails?taxnode_id=202300543","Friunavirus AB3")</f>
        <v>Friunavirus AB3</v>
      </c>
      <c r="S473" s="18" t="s">
        <v>30</v>
      </c>
      <c r="T473" s="18" t="s">
        <v>6723</v>
      </c>
      <c r="U473" s="18"/>
      <c r="V473" s="18"/>
      <c r="W473" s="18" t="s">
        <v>6724</v>
      </c>
      <c r="X473" s="18" t="s">
        <v>42</v>
      </c>
      <c r="Y473" s="18" t="s">
        <v>36</v>
      </c>
      <c r="Z473" s="18" t="s">
        <v>697</v>
      </c>
      <c r="AA473" s="21" t="str">
        <f>HYPERLINK("https://www.ncbi.nlm.nih.gov/nuccore/KC311669","NCBI Nucleotide")</f>
        <v>NCBI Nucleotide</v>
      </c>
    </row>
    <row r="474" spans="1:27" x14ac:dyDescent="0.35">
      <c r="A474">
        <v>1000755</v>
      </c>
      <c r="B474">
        <v>473</v>
      </c>
      <c r="C474">
        <v>1</v>
      </c>
      <c r="D474" s="17" t="s">
        <v>155</v>
      </c>
      <c r="E474" s="17"/>
      <c r="F474" s="17" t="s">
        <v>156</v>
      </c>
      <c r="G474" s="17"/>
      <c r="H474" s="17" t="s">
        <v>692</v>
      </c>
      <c r="I474" s="17"/>
      <c r="J474" s="17" t="s">
        <v>693</v>
      </c>
      <c r="K474" s="17"/>
      <c r="L474" s="17"/>
      <c r="M474" s="17"/>
      <c r="N474" s="17" t="s">
        <v>6460</v>
      </c>
      <c r="O474" s="17" t="s">
        <v>6716</v>
      </c>
      <c r="P474" s="17" t="s">
        <v>6720</v>
      </c>
      <c r="Q474" s="17"/>
      <c r="R474" s="25" t="str">
        <f>HYPERLINK("https://ictv.global/taxonomy/taxondetails?taxnode_id=202306913","Friunavirus AB6")</f>
        <v>Friunavirus AB6</v>
      </c>
      <c r="S474" s="18" t="s">
        <v>30</v>
      </c>
      <c r="T474" s="18" t="s">
        <v>6725</v>
      </c>
      <c r="U474" s="18"/>
      <c r="V474" s="18"/>
      <c r="W474" s="18" t="s">
        <v>6726</v>
      </c>
      <c r="X474" s="18" t="s">
        <v>42</v>
      </c>
      <c r="Y474" s="18" t="s">
        <v>36</v>
      </c>
      <c r="Z474" s="18" t="s">
        <v>697</v>
      </c>
      <c r="AA474" s="21" t="str">
        <f>HYPERLINK("https://www.ncbi.nlm.nih.gov/nuccore/KT339321","NCBI Nucleotide")</f>
        <v>NCBI Nucleotide</v>
      </c>
    </row>
    <row r="475" spans="1:27" x14ac:dyDescent="0.35">
      <c r="A475">
        <v>1000756</v>
      </c>
      <c r="B475">
        <v>474</v>
      </c>
      <c r="C475">
        <v>1</v>
      </c>
      <c r="D475" s="17" t="s">
        <v>155</v>
      </c>
      <c r="E475" s="17"/>
      <c r="F475" s="17" t="s">
        <v>156</v>
      </c>
      <c r="G475" s="17"/>
      <c r="H475" s="17" t="s">
        <v>692</v>
      </c>
      <c r="I475" s="17"/>
      <c r="J475" s="17" t="s">
        <v>693</v>
      </c>
      <c r="K475" s="17"/>
      <c r="L475" s="17"/>
      <c r="M475" s="17"/>
      <c r="N475" s="17" t="s">
        <v>6460</v>
      </c>
      <c r="O475" s="17" t="s">
        <v>6716</v>
      </c>
      <c r="P475" s="17" t="s">
        <v>6720</v>
      </c>
      <c r="Q475" s="17"/>
      <c r="R475" s="25" t="str">
        <f>HYPERLINK("https://ictv.global/taxonomy/taxondetails?taxnode_id=202308507","Friunavirus AbKT21III")</f>
        <v>Friunavirus AbKT21III</v>
      </c>
      <c r="S475" s="18" t="s">
        <v>30</v>
      </c>
      <c r="T475" s="18" t="s">
        <v>6727</v>
      </c>
      <c r="U475" s="18"/>
      <c r="V475" s="18"/>
      <c r="W475" s="18" t="s">
        <v>6728</v>
      </c>
      <c r="X475" s="18" t="s">
        <v>42</v>
      </c>
      <c r="Y475" s="18" t="s">
        <v>36</v>
      </c>
      <c r="Z475" s="18" t="s">
        <v>697</v>
      </c>
      <c r="AA475" s="21" t="str">
        <f>HYPERLINK("https://www.ncbi.nlm.nih.gov/nuccore/MK278859","NCBI Nucleotide")</f>
        <v>NCBI Nucleotide</v>
      </c>
    </row>
    <row r="476" spans="1:27" x14ac:dyDescent="0.35">
      <c r="A476">
        <v>1000757</v>
      </c>
      <c r="B476">
        <v>475</v>
      </c>
      <c r="C476">
        <v>1</v>
      </c>
      <c r="D476" s="17" t="s">
        <v>155</v>
      </c>
      <c r="E476" s="17"/>
      <c r="F476" s="17" t="s">
        <v>156</v>
      </c>
      <c r="G476" s="17"/>
      <c r="H476" s="17" t="s">
        <v>692</v>
      </c>
      <c r="I476" s="17"/>
      <c r="J476" s="17" t="s">
        <v>693</v>
      </c>
      <c r="K476" s="17"/>
      <c r="L476" s="17"/>
      <c r="M476" s="17"/>
      <c r="N476" s="17" t="s">
        <v>6460</v>
      </c>
      <c r="O476" s="17" t="s">
        <v>6716</v>
      </c>
      <c r="P476" s="17" t="s">
        <v>6720</v>
      </c>
      <c r="Q476" s="17"/>
      <c r="R476" s="25" t="str">
        <f>HYPERLINK("https://ictv.global/taxonomy/taxondetails?taxnode_id=202300544","Friunavirus Abp1")</f>
        <v>Friunavirus Abp1</v>
      </c>
      <c r="S476" s="18" t="s">
        <v>30</v>
      </c>
      <c r="T476" s="18" t="s">
        <v>6729</v>
      </c>
      <c r="U476" s="18"/>
      <c r="V476" s="18"/>
      <c r="W476" s="18" t="s">
        <v>6730</v>
      </c>
      <c r="X476" s="18" t="s">
        <v>42</v>
      </c>
      <c r="Y476" s="18" t="s">
        <v>36</v>
      </c>
      <c r="Z476" s="18" t="s">
        <v>697</v>
      </c>
      <c r="AA476" s="21" t="str">
        <f>HYPERLINK("https://www.ncbi.nlm.nih.gov/nuccore/JX658790","NCBI Nucleotide")</f>
        <v>NCBI Nucleotide</v>
      </c>
    </row>
    <row r="477" spans="1:27" x14ac:dyDescent="0.35">
      <c r="A477">
        <v>1000758</v>
      </c>
      <c r="B477">
        <v>476</v>
      </c>
      <c r="C477">
        <v>1</v>
      </c>
      <c r="D477" s="17" t="s">
        <v>155</v>
      </c>
      <c r="E477" s="17"/>
      <c r="F477" s="17" t="s">
        <v>156</v>
      </c>
      <c r="G477" s="17"/>
      <c r="H477" s="17" t="s">
        <v>692</v>
      </c>
      <c r="I477" s="17"/>
      <c r="J477" s="17" t="s">
        <v>693</v>
      </c>
      <c r="K477" s="17"/>
      <c r="L477" s="17"/>
      <c r="M477" s="17"/>
      <c r="N477" s="17" t="s">
        <v>6460</v>
      </c>
      <c r="O477" s="17" t="s">
        <v>6716</v>
      </c>
      <c r="P477" s="17" t="s">
        <v>6720</v>
      </c>
      <c r="Q477" s="17"/>
      <c r="R477" s="25" t="str">
        <f>HYPERLINK("https://ictv.global/taxonomy/taxondetails?taxnode_id=202308506","Friunavirus Aci07")</f>
        <v>Friunavirus Aci07</v>
      </c>
      <c r="S477" s="18" t="s">
        <v>30</v>
      </c>
      <c r="T477" s="18" t="s">
        <v>6731</v>
      </c>
      <c r="U477" s="18"/>
      <c r="V477" s="18"/>
      <c r="W477" s="18" t="s">
        <v>6732</v>
      </c>
      <c r="X477" s="18" t="s">
        <v>42</v>
      </c>
      <c r="Y477" s="18" t="s">
        <v>36</v>
      </c>
      <c r="Z477" s="18" t="s">
        <v>697</v>
      </c>
      <c r="AA477" s="21" t="str">
        <f>HYPERLINK("https://www.ncbi.nlm.nih.gov/nuccore/MH800200","NCBI Nucleotide")</f>
        <v>NCBI Nucleotide</v>
      </c>
    </row>
    <row r="478" spans="1:27" x14ac:dyDescent="0.35">
      <c r="A478">
        <v>1000759</v>
      </c>
      <c r="B478">
        <v>477</v>
      </c>
      <c r="C478">
        <v>1</v>
      </c>
      <c r="D478" s="17" t="s">
        <v>155</v>
      </c>
      <c r="E478" s="17"/>
      <c r="F478" s="17" t="s">
        <v>156</v>
      </c>
      <c r="G478" s="17"/>
      <c r="H478" s="17" t="s">
        <v>692</v>
      </c>
      <c r="I478" s="17"/>
      <c r="J478" s="17" t="s">
        <v>693</v>
      </c>
      <c r="K478" s="17"/>
      <c r="L478" s="17"/>
      <c r="M478" s="17"/>
      <c r="N478" s="17" t="s">
        <v>6460</v>
      </c>
      <c r="O478" s="17" t="s">
        <v>6716</v>
      </c>
      <c r="P478" s="17" t="s">
        <v>6720</v>
      </c>
      <c r="Q478" s="17"/>
      <c r="R478" s="25" t="str">
        <f>HYPERLINK("https://ictv.global/taxonomy/taxondetails?taxnode_id=202308505","Friunavirus Aci08")</f>
        <v>Friunavirus Aci08</v>
      </c>
      <c r="S478" s="18" t="s">
        <v>30</v>
      </c>
      <c r="T478" s="18" t="s">
        <v>6733</v>
      </c>
      <c r="U478" s="18"/>
      <c r="V478" s="18"/>
      <c r="W478" s="18" t="s">
        <v>6734</v>
      </c>
      <c r="X478" s="18" t="s">
        <v>42</v>
      </c>
      <c r="Y478" s="18" t="s">
        <v>36</v>
      </c>
      <c r="Z478" s="18" t="s">
        <v>697</v>
      </c>
      <c r="AA478" s="21" t="str">
        <f>HYPERLINK("https://www.ncbi.nlm.nih.gov/nuccore/MH763831","NCBI Nucleotide")</f>
        <v>NCBI Nucleotide</v>
      </c>
    </row>
    <row r="479" spans="1:27" x14ac:dyDescent="0.35">
      <c r="A479">
        <v>1000760</v>
      </c>
      <c r="B479">
        <v>478</v>
      </c>
      <c r="C479">
        <v>1</v>
      </c>
      <c r="D479" s="17" t="s">
        <v>155</v>
      </c>
      <c r="E479" s="17"/>
      <c r="F479" s="17" t="s">
        <v>156</v>
      </c>
      <c r="G479" s="17"/>
      <c r="H479" s="17" t="s">
        <v>692</v>
      </c>
      <c r="I479" s="17"/>
      <c r="J479" s="17" t="s">
        <v>693</v>
      </c>
      <c r="K479" s="17"/>
      <c r="L479" s="17"/>
      <c r="M479" s="17"/>
      <c r="N479" s="17" t="s">
        <v>6460</v>
      </c>
      <c r="O479" s="17" t="s">
        <v>6716</v>
      </c>
      <c r="P479" s="17" t="s">
        <v>6720</v>
      </c>
      <c r="Q479" s="17"/>
      <c r="R479" s="25" t="str">
        <f>HYPERLINK("https://ictv.global/taxonomy/taxondetails?taxnode_id=202306909","Friunavirus AS11")</f>
        <v>Friunavirus AS11</v>
      </c>
      <c r="S479" s="18" t="s">
        <v>30</v>
      </c>
      <c r="T479" s="18" t="s">
        <v>6735</v>
      </c>
      <c r="U479" s="18"/>
      <c r="V479" s="18"/>
      <c r="W479" s="18" t="s">
        <v>6736</v>
      </c>
      <c r="X479" s="18" t="s">
        <v>42</v>
      </c>
      <c r="Y479" s="18" t="s">
        <v>36</v>
      </c>
      <c r="Z479" s="18" t="s">
        <v>697</v>
      </c>
      <c r="AA479" s="21" t="str">
        <f>HYPERLINK("https://www.ncbi.nlm.nih.gov/nuccore/KY268296","NCBI Nucleotide")</f>
        <v>NCBI Nucleotide</v>
      </c>
    </row>
    <row r="480" spans="1:27" x14ac:dyDescent="0.35">
      <c r="A480">
        <v>1000761</v>
      </c>
      <c r="B480">
        <v>479</v>
      </c>
      <c r="C480">
        <v>1</v>
      </c>
      <c r="D480" s="17" t="s">
        <v>155</v>
      </c>
      <c r="E480" s="17"/>
      <c r="F480" s="17" t="s">
        <v>156</v>
      </c>
      <c r="G480" s="17"/>
      <c r="H480" s="17" t="s">
        <v>692</v>
      </c>
      <c r="I480" s="17"/>
      <c r="J480" s="17" t="s">
        <v>693</v>
      </c>
      <c r="K480" s="17"/>
      <c r="L480" s="17"/>
      <c r="M480" s="17"/>
      <c r="N480" s="17" t="s">
        <v>6460</v>
      </c>
      <c r="O480" s="17" t="s">
        <v>6716</v>
      </c>
      <c r="P480" s="17" t="s">
        <v>6720</v>
      </c>
      <c r="Q480" s="17"/>
      <c r="R480" s="25" t="str">
        <f>HYPERLINK("https://ictv.global/taxonomy/taxondetails?taxnode_id=202306910","Friunavirus AS12")</f>
        <v>Friunavirus AS12</v>
      </c>
      <c r="S480" s="18" t="s">
        <v>30</v>
      </c>
      <c r="T480" s="18" t="s">
        <v>6737</v>
      </c>
      <c r="U480" s="18"/>
      <c r="V480" s="18"/>
      <c r="W480" s="18" t="s">
        <v>6738</v>
      </c>
      <c r="X480" s="18" t="s">
        <v>42</v>
      </c>
      <c r="Y480" s="18" t="s">
        <v>36</v>
      </c>
      <c r="Z480" s="18" t="s">
        <v>697</v>
      </c>
      <c r="AA480" s="21" t="str">
        <f>HYPERLINK("https://www.ncbi.nlm.nih.gov/nuccore/KY268295","NCBI Nucleotide")</f>
        <v>NCBI Nucleotide</v>
      </c>
    </row>
    <row r="481" spans="1:27" x14ac:dyDescent="0.35">
      <c r="A481">
        <v>1000762</v>
      </c>
      <c r="B481">
        <v>480</v>
      </c>
      <c r="C481">
        <v>1</v>
      </c>
      <c r="D481" s="17" t="s">
        <v>155</v>
      </c>
      <c r="E481" s="17"/>
      <c r="F481" s="17" t="s">
        <v>156</v>
      </c>
      <c r="G481" s="17"/>
      <c r="H481" s="17" t="s">
        <v>692</v>
      </c>
      <c r="I481" s="17"/>
      <c r="J481" s="17" t="s">
        <v>693</v>
      </c>
      <c r="K481" s="17"/>
      <c r="L481" s="17"/>
      <c r="M481" s="17"/>
      <c r="N481" s="17" t="s">
        <v>6460</v>
      </c>
      <c r="O481" s="17" t="s">
        <v>6716</v>
      </c>
      <c r="P481" s="17" t="s">
        <v>6720</v>
      </c>
      <c r="Q481" s="17"/>
      <c r="R481" s="25" t="str">
        <f>HYPERLINK("https://ictv.global/taxonomy/taxondetails?taxnode_id=202306903","Friunavirus B1")</f>
        <v>Friunavirus B1</v>
      </c>
      <c r="S481" s="18" t="s">
        <v>30</v>
      </c>
      <c r="T481" s="18" t="s">
        <v>6739</v>
      </c>
      <c r="U481" s="18"/>
      <c r="V481" s="18"/>
      <c r="W481" s="18" t="s">
        <v>6740</v>
      </c>
      <c r="X481" s="18" t="s">
        <v>42</v>
      </c>
      <c r="Y481" s="18" t="s">
        <v>36</v>
      </c>
      <c r="Z481" s="18" t="s">
        <v>697</v>
      </c>
      <c r="AA481" s="21" t="str">
        <f>HYPERLINK("https://www.ncbi.nlm.nih.gov/nuccore/MF033347","NCBI Nucleotide")</f>
        <v>NCBI Nucleotide</v>
      </c>
    </row>
    <row r="482" spans="1:27" x14ac:dyDescent="0.35">
      <c r="A482">
        <v>1000763</v>
      </c>
      <c r="B482">
        <v>481</v>
      </c>
      <c r="C482">
        <v>1</v>
      </c>
      <c r="D482" s="17" t="s">
        <v>155</v>
      </c>
      <c r="E482" s="17"/>
      <c r="F482" s="17" t="s">
        <v>156</v>
      </c>
      <c r="G482" s="17"/>
      <c r="H482" s="17" t="s">
        <v>692</v>
      </c>
      <c r="I482" s="17"/>
      <c r="J482" s="17" t="s">
        <v>693</v>
      </c>
      <c r="K482" s="17"/>
      <c r="L482" s="17"/>
      <c r="M482" s="17"/>
      <c r="N482" s="17" t="s">
        <v>6460</v>
      </c>
      <c r="O482" s="17" t="s">
        <v>6716</v>
      </c>
      <c r="P482" s="17" t="s">
        <v>6720</v>
      </c>
      <c r="Q482" s="17"/>
      <c r="R482" s="25" t="str">
        <f>HYPERLINK("https://ictv.global/taxonomy/taxondetails?taxnode_id=202306904","Friunavirus B3")</f>
        <v>Friunavirus B3</v>
      </c>
      <c r="S482" s="18" t="s">
        <v>30</v>
      </c>
      <c r="T482" s="18" t="s">
        <v>6741</v>
      </c>
      <c r="U482" s="18"/>
      <c r="V482" s="18"/>
      <c r="W482" s="18" t="s">
        <v>6742</v>
      </c>
      <c r="X482" s="18" t="s">
        <v>42</v>
      </c>
      <c r="Y482" s="18" t="s">
        <v>36</v>
      </c>
      <c r="Z482" s="18" t="s">
        <v>697</v>
      </c>
      <c r="AA482" s="21" t="str">
        <f>HYPERLINK("https://www.ncbi.nlm.nih.gov/nuccore/MF033348","NCBI Nucleotide")</f>
        <v>NCBI Nucleotide</v>
      </c>
    </row>
    <row r="483" spans="1:27" x14ac:dyDescent="0.35">
      <c r="A483">
        <v>1000764</v>
      </c>
      <c r="B483">
        <v>482</v>
      </c>
      <c r="C483">
        <v>1</v>
      </c>
      <c r="D483" s="17" t="s">
        <v>155</v>
      </c>
      <c r="E483" s="17"/>
      <c r="F483" s="17" t="s">
        <v>156</v>
      </c>
      <c r="G483" s="17"/>
      <c r="H483" s="17" t="s">
        <v>692</v>
      </c>
      <c r="I483" s="17"/>
      <c r="J483" s="17" t="s">
        <v>693</v>
      </c>
      <c r="K483" s="17"/>
      <c r="L483" s="17"/>
      <c r="M483" s="17"/>
      <c r="N483" s="17" t="s">
        <v>6460</v>
      </c>
      <c r="O483" s="17" t="s">
        <v>6716</v>
      </c>
      <c r="P483" s="17" t="s">
        <v>6720</v>
      </c>
      <c r="Q483" s="17"/>
      <c r="R483" s="25" t="str">
        <f>HYPERLINK("https://ictv.global/taxonomy/taxondetails?taxnode_id=202306905","Friunavirus B5")</f>
        <v>Friunavirus B5</v>
      </c>
      <c r="S483" s="18" t="s">
        <v>30</v>
      </c>
      <c r="T483" s="18" t="s">
        <v>6743</v>
      </c>
      <c r="U483" s="18"/>
      <c r="V483" s="18"/>
      <c r="W483" s="18" t="s">
        <v>6744</v>
      </c>
      <c r="X483" s="18" t="s">
        <v>42</v>
      </c>
      <c r="Y483" s="18" t="s">
        <v>36</v>
      </c>
      <c r="Z483" s="18" t="s">
        <v>697</v>
      </c>
      <c r="AA483" s="21" t="str">
        <f>HYPERLINK("https://www.ncbi.nlm.nih.gov/nuccore/MF033349","NCBI Nucleotide")</f>
        <v>NCBI Nucleotide</v>
      </c>
    </row>
    <row r="484" spans="1:27" x14ac:dyDescent="0.35">
      <c r="A484">
        <v>1000765</v>
      </c>
      <c r="B484">
        <v>483</v>
      </c>
      <c r="C484">
        <v>1</v>
      </c>
      <c r="D484" s="17" t="s">
        <v>155</v>
      </c>
      <c r="E484" s="17"/>
      <c r="F484" s="17" t="s">
        <v>156</v>
      </c>
      <c r="G484" s="17"/>
      <c r="H484" s="17" t="s">
        <v>692</v>
      </c>
      <c r="I484" s="17"/>
      <c r="J484" s="17" t="s">
        <v>693</v>
      </c>
      <c r="K484" s="17"/>
      <c r="L484" s="17"/>
      <c r="M484" s="17"/>
      <c r="N484" s="17" t="s">
        <v>6460</v>
      </c>
      <c r="O484" s="17" t="s">
        <v>6716</v>
      </c>
      <c r="P484" s="17" t="s">
        <v>6720</v>
      </c>
      <c r="Q484" s="17"/>
      <c r="R484" s="25" t="str">
        <f>HYPERLINK("https://ictv.global/taxonomy/taxondetails?taxnode_id=202306912","Friunavirus D2")</f>
        <v>Friunavirus D2</v>
      </c>
      <c r="S484" s="18" t="s">
        <v>30</v>
      </c>
      <c r="T484" s="18" t="s">
        <v>6745</v>
      </c>
      <c r="U484" s="18"/>
      <c r="V484" s="18"/>
      <c r="W484" s="18" t="s">
        <v>6746</v>
      </c>
      <c r="X484" s="18" t="s">
        <v>42</v>
      </c>
      <c r="Y484" s="18" t="s">
        <v>36</v>
      </c>
      <c r="Z484" s="18" t="s">
        <v>697</v>
      </c>
      <c r="AA484" s="21" t="str">
        <f>HYPERLINK("https://www.ncbi.nlm.nih.gov/nuccore/MH042230","NCBI Nucleotide")</f>
        <v>NCBI Nucleotide</v>
      </c>
    </row>
    <row r="485" spans="1:27" x14ac:dyDescent="0.35">
      <c r="A485">
        <v>1000766</v>
      </c>
      <c r="B485">
        <v>484</v>
      </c>
      <c r="C485">
        <v>1</v>
      </c>
      <c r="D485" s="17" t="s">
        <v>155</v>
      </c>
      <c r="E485" s="17"/>
      <c r="F485" s="17" t="s">
        <v>156</v>
      </c>
      <c r="G485" s="17"/>
      <c r="H485" s="17" t="s">
        <v>692</v>
      </c>
      <c r="I485" s="17"/>
      <c r="J485" s="17" t="s">
        <v>693</v>
      </c>
      <c r="K485" s="17"/>
      <c r="L485" s="17"/>
      <c r="M485" s="17"/>
      <c r="N485" s="17" t="s">
        <v>6460</v>
      </c>
      <c r="O485" s="17" t="s">
        <v>6716</v>
      </c>
      <c r="P485" s="17" t="s">
        <v>6720</v>
      </c>
      <c r="Q485" s="17"/>
      <c r="R485" s="25" t="str">
        <f>HYPERLINK("https://ictv.global/taxonomy/taxondetails?taxnode_id=202300545","Friunavirus Fri1")</f>
        <v>Friunavirus Fri1</v>
      </c>
      <c r="S485" s="18" t="s">
        <v>30</v>
      </c>
      <c r="T485" s="18" t="s">
        <v>6747</v>
      </c>
      <c r="U485" s="18"/>
      <c r="V485" s="18"/>
      <c r="W485" s="18" t="s">
        <v>6748</v>
      </c>
      <c r="X485" s="18" t="s">
        <v>42</v>
      </c>
      <c r="Y485" s="18" t="s">
        <v>36</v>
      </c>
      <c r="Z485" s="18" t="s">
        <v>697</v>
      </c>
      <c r="AA485" s="21" t="str">
        <f>HYPERLINK("https://www.ncbi.nlm.nih.gov/nuccore/KR149290","NCBI Nucleotide")</f>
        <v>NCBI Nucleotide</v>
      </c>
    </row>
    <row r="486" spans="1:27" x14ac:dyDescent="0.35">
      <c r="A486">
        <v>1000767</v>
      </c>
      <c r="B486">
        <v>485</v>
      </c>
      <c r="C486">
        <v>1</v>
      </c>
      <c r="D486" s="17" t="s">
        <v>155</v>
      </c>
      <c r="E486" s="17"/>
      <c r="F486" s="17" t="s">
        <v>156</v>
      </c>
      <c r="G486" s="17"/>
      <c r="H486" s="17" t="s">
        <v>692</v>
      </c>
      <c r="I486" s="17"/>
      <c r="J486" s="17" t="s">
        <v>693</v>
      </c>
      <c r="K486" s="17"/>
      <c r="L486" s="17"/>
      <c r="M486" s="17"/>
      <c r="N486" s="17" t="s">
        <v>6460</v>
      </c>
      <c r="O486" s="17" t="s">
        <v>6716</v>
      </c>
      <c r="P486" s="17" t="s">
        <v>6720</v>
      </c>
      <c r="Q486" s="17"/>
      <c r="R486" s="25" t="str">
        <f>HYPERLINK("https://ictv.global/taxonomy/taxondetails?taxnode_id=202306911","Friunavirus fv15519")</f>
        <v>Friunavirus fv15519</v>
      </c>
      <c r="S486" s="18" t="s">
        <v>30</v>
      </c>
      <c r="T486" s="18" t="s">
        <v>6749</v>
      </c>
      <c r="U486" s="18"/>
      <c r="V486" s="18"/>
      <c r="W486" s="18" t="s">
        <v>6750</v>
      </c>
      <c r="X486" s="18" t="s">
        <v>42</v>
      </c>
      <c r="Y486" s="18" t="s">
        <v>36</v>
      </c>
      <c r="Z486" s="18" t="s">
        <v>697</v>
      </c>
      <c r="AA486" s="21" t="str">
        <f>HYPERLINK("https://www.ncbi.nlm.nih.gov/nuccore/KY082667","NCBI Nucleotide")</f>
        <v>NCBI Nucleotide</v>
      </c>
    </row>
    <row r="487" spans="1:27" x14ac:dyDescent="0.35">
      <c r="A487">
        <v>1000768</v>
      </c>
      <c r="B487">
        <v>486</v>
      </c>
      <c r="C487">
        <v>1</v>
      </c>
      <c r="D487" s="17" t="s">
        <v>155</v>
      </c>
      <c r="E487" s="17"/>
      <c r="F487" s="17" t="s">
        <v>156</v>
      </c>
      <c r="G487" s="17"/>
      <c r="H487" s="17" t="s">
        <v>692</v>
      </c>
      <c r="I487" s="17"/>
      <c r="J487" s="17" t="s">
        <v>693</v>
      </c>
      <c r="K487" s="17"/>
      <c r="L487" s="17"/>
      <c r="M487" s="17"/>
      <c r="N487" s="17" t="s">
        <v>6460</v>
      </c>
      <c r="O487" s="17" t="s">
        <v>6716</v>
      </c>
      <c r="P487" s="17" t="s">
        <v>6720</v>
      </c>
      <c r="Q487" s="17"/>
      <c r="R487" s="25" t="str">
        <f>HYPERLINK("https://ictv.global/taxonomy/taxondetails?taxnode_id=202300546","Friunavirus IME200")</f>
        <v>Friunavirus IME200</v>
      </c>
      <c r="S487" s="18" t="s">
        <v>30</v>
      </c>
      <c r="T487" s="18" t="s">
        <v>6751</v>
      </c>
      <c r="U487" s="18"/>
      <c r="V487" s="18"/>
      <c r="W487" s="18" t="s">
        <v>6752</v>
      </c>
      <c r="X487" s="18" t="s">
        <v>42</v>
      </c>
      <c r="Y487" s="18" t="s">
        <v>36</v>
      </c>
      <c r="Z487" s="18" t="s">
        <v>697</v>
      </c>
      <c r="AA487" s="21" t="str">
        <f>HYPERLINK("https://www.ncbi.nlm.nih.gov/nuccore/KT804908","NCBI Nucleotide")</f>
        <v>NCBI Nucleotide</v>
      </c>
    </row>
    <row r="488" spans="1:27" x14ac:dyDescent="0.35">
      <c r="A488">
        <v>1000769</v>
      </c>
      <c r="B488">
        <v>487</v>
      </c>
      <c r="C488">
        <v>1</v>
      </c>
      <c r="D488" s="17" t="s">
        <v>155</v>
      </c>
      <c r="E488" s="17"/>
      <c r="F488" s="17" t="s">
        <v>156</v>
      </c>
      <c r="G488" s="17"/>
      <c r="H488" s="17" t="s">
        <v>692</v>
      </c>
      <c r="I488" s="17"/>
      <c r="J488" s="17" t="s">
        <v>693</v>
      </c>
      <c r="K488" s="17"/>
      <c r="L488" s="17"/>
      <c r="M488" s="17"/>
      <c r="N488" s="17" t="s">
        <v>6460</v>
      </c>
      <c r="O488" s="17" t="s">
        <v>6716</v>
      </c>
      <c r="P488" s="17" t="s">
        <v>6720</v>
      </c>
      <c r="Q488" s="17"/>
      <c r="R488" s="25" t="str">
        <f>HYPERLINK("https://ictv.global/taxonomy/taxondetails?taxnode_id=202306906","Friunavirus P1")</f>
        <v>Friunavirus P1</v>
      </c>
      <c r="S488" s="18" t="s">
        <v>30</v>
      </c>
      <c r="T488" s="18" t="s">
        <v>6753</v>
      </c>
      <c r="U488" s="18"/>
      <c r="V488" s="18"/>
      <c r="W488" s="18" t="s">
        <v>6754</v>
      </c>
      <c r="X488" s="18" t="s">
        <v>42</v>
      </c>
      <c r="Y488" s="18" t="s">
        <v>36</v>
      </c>
      <c r="Z488" s="18" t="s">
        <v>697</v>
      </c>
      <c r="AA488" s="21" t="str">
        <f>HYPERLINK("https://www.ncbi.nlm.nih.gov/nuccore/MF033350","NCBI Nucleotide")</f>
        <v>NCBI Nucleotide</v>
      </c>
    </row>
    <row r="489" spans="1:27" x14ac:dyDescent="0.35">
      <c r="A489">
        <v>1000770</v>
      </c>
      <c r="B489">
        <v>488</v>
      </c>
      <c r="C489">
        <v>1</v>
      </c>
      <c r="D489" s="17" t="s">
        <v>155</v>
      </c>
      <c r="E489" s="17"/>
      <c r="F489" s="17" t="s">
        <v>156</v>
      </c>
      <c r="G489" s="17"/>
      <c r="H489" s="17" t="s">
        <v>692</v>
      </c>
      <c r="I489" s="17"/>
      <c r="J489" s="17" t="s">
        <v>693</v>
      </c>
      <c r="K489" s="17"/>
      <c r="L489" s="17"/>
      <c r="M489" s="17"/>
      <c r="N489" s="17" t="s">
        <v>6460</v>
      </c>
      <c r="O489" s="17" t="s">
        <v>6716</v>
      </c>
      <c r="P489" s="17" t="s">
        <v>6720</v>
      </c>
      <c r="Q489" s="17"/>
      <c r="R489" s="25" t="str">
        <f>HYPERLINK("https://ictv.global/taxonomy/taxondetails?taxnode_id=202306907","Friunavirus P2")</f>
        <v>Friunavirus P2</v>
      </c>
      <c r="S489" s="18" t="s">
        <v>30</v>
      </c>
      <c r="T489" s="18" t="s">
        <v>6755</v>
      </c>
      <c r="U489" s="18"/>
      <c r="V489" s="18"/>
      <c r="W489" s="18" t="s">
        <v>6756</v>
      </c>
      <c r="X489" s="18" t="s">
        <v>42</v>
      </c>
      <c r="Y489" s="18" t="s">
        <v>36</v>
      </c>
      <c r="Z489" s="18" t="s">
        <v>697</v>
      </c>
      <c r="AA489" s="21" t="str">
        <f>HYPERLINK("https://www.ncbi.nlm.nih.gov/nuccore/MF033351","NCBI Nucleotide")</f>
        <v>NCBI Nucleotide</v>
      </c>
    </row>
    <row r="490" spans="1:27" x14ac:dyDescent="0.35">
      <c r="A490">
        <v>1000771</v>
      </c>
      <c r="B490">
        <v>489</v>
      </c>
      <c r="C490">
        <v>1</v>
      </c>
      <c r="D490" s="17" t="s">
        <v>155</v>
      </c>
      <c r="E490" s="17"/>
      <c r="F490" s="17" t="s">
        <v>156</v>
      </c>
      <c r="G490" s="17"/>
      <c r="H490" s="17" t="s">
        <v>692</v>
      </c>
      <c r="I490" s="17"/>
      <c r="J490" s="17" t="s">
        <v>693</v>
      </c>
      <c r="K490" s="17"/>
      <c r="L490" s="17"/>
      <c r="M490" s="17"/>
      <c r="N490" s="17" t="s">
        <v>6460</v>
      </c>
      <c r="O490" s="17" t="s">
        <v>6716</v>
      </c>
      <c r="P490" s="17" t="s">
        <v>6720</v>
      </c>
      <c r="Q490" s="17"/>
      <c r="R490" s="25" t="str">
        <f>HYPERLINK("https://ictv.global/taxonomy/taxondetails?taxnode_id=202300547","Friunavirus PD6A3")</f>
        <v>Friunavirus PD6A3</v>
      </c>
      <c r="S490" s="18" t="s">
        <v>30</v>
      </c>
      <c r="T490" s="18" t="s">
        <v>6757</v>
      </c>
      <c r="U490" s="18"/>
      <c r="V490" s="18"/>
      <c r="W490" s="18" t="s">
        <v>6758</v>
      </c>
      <c r="X490" s="18" t="s">
        <v>42</v>
      </c>
      <c r="Y490" s="18" t="s">
        <v>36</v>
      </c>
      <c r="Z490" s="18" t="s">
        <v>697</v>
      </c>
      <c r="AA490" s="21" t="str">
        <f>HYPERLINK("https://www.ncbi.nlm.nih.gov/nuccore/KT388102","NCBI Nucleotide")</f>
        <v>NCBI Nucleotide</v>
      </c>
    </row>
    <row r="491" spans="1:27" x14ac:dyDescent="0.35">
      <c r="A491">
        <v>1000772</v>
      </c>
      <c r="B491">
        <v>490</v>
      </c>
      <c r="C491">
        <v>1</v>
      </c>
      <c r="D491" s="17" t="s">
        <v>155</v>
      </c>
      <c r="E491" s="17"/>
      <c r="F491" s="17" t="s">
        <v>156</v>
      </c>
      <c r="G491" s="17"/>
      <c r="H491" s="17" t="s">
        <v>692</v>
      </c>
      <c r="I491" s="17"/>
      <c r="J491" s="17" t="s">
        <v>693</v>
      </c>
      <c r="K491" s="17"/>
      <c r="L491" s="17"/>
      <c r="M491" s="17"/>
      <c r="N491" s="17" t="s">
        <v>6460</v>
      </c>
      <c r="O491" s="17" t="s">
        <v>6716</v>
      </c>
      <c r="P491" s="17" t="s">
        <v>6720</v>
      </c>
      <c r="Q491" s="17"/>
      <c r="R491" s="25" t="str">
        <f>HYPERLINK("https://ictv.global/taxonomy/taxondetails?taxnode_id=202300548","Friunavirus PDAB9")</f>
        <v>Friunavirus PDAB9</v>
      </c>
      <c r="S491" s="18" t="s">
        <v>30</v>
      </c>
      <c r="T491" s="18" t="s">
        <v>6759</v>
      </c>
      <c r="U491" s="18"/>
      <c r="V491" s="18"/>
      <c r="W491" s="18" t="s">
        <v>6760</v>
      </c>
      <c r="X491" s="18" t="s">
        <v>42</v>
      </c>
      <c r="Y491" s="18" t="s">
        <v>36</v>
      </c>
      <c r="Z491" s="18" t="s">
        <v>697</v>
      </c>
      <c r="AA491" s="21" t="str">
        <f>HYPERLINK("https://www.ncbi.nlm.nih.gov/nuccore/KT388103","NCBI Nucleotide")</f>
        <v>NCBI Nucleotide</v>
      </c>
    </row>
    <row r="492" spans="1:27" x14ac:dyDescent="0.35">
      <c r="A492">
        <v>1000773</v>
      </c>
      <c r="B492">
        <v>491</v>
      </c>
      <c r="C492">
        <v>1</v>
      </c>
      <c r="D492" s="17" t="s">
        <v>155</v>
      </c>
      <c r="E492" s="17"/>
      <c r="F492" s="17" t="s">
        <v>156</v>
      </c>
      <c r="G492" s="17"/>
      <c r="H492" s="17" t="s">
        <v>692</v>
      </c>
      <c r="I492" s="17"/>
      <c r="J492" s="17" t="s">
        <v>693</v>
      </c>
      <c r="K492" s="17"/>
      <c r="L492" s="17"/>
      <c r="M492" s="17"/>
      <c r="N492" s="17" t="s">
        <v>6460</v>
      </c>
      <c r="O492" s="17" t="s">
        <v>6716</v>
      </c>
      <c r="P492" s="17" t="s">
        <v>6720</v>
      </c>
      <c r="Q492" s="17"/>
      <c r="R492" s="25" t="str">
        <f>HYPERLINK("https://ictv.global/taxonomy/taxondetails?taxnode_id=202308508","Friunavirus SWHAb1")</f>
        <v>Friunavirus SWHAb1</v>
      </c>
      <c r="S492" s="18" t="s">
        <v>30</v>
      </c>
      <c r="T492" s="18" t="s">
        <v>6761</v>
      </c>
      <c r="U492" s="18"/>
      <c r="V492" s="18"/>
      <c r="W492" s="18" t="s">
        <v>6762</v>
      </c>
      <c r="X492" s="18" t="s">
        <v>42</v>
      </c>
      <c r="Y492" s="18" t="s">
        <v>36</v>
      </c>
      <c r="Z492" s="18" t="s">
        <v>697</v>
      </c>
      <c r="AA492" s="21" t="str">
        <f>HYPERLINK("https://www.ncbi.nlm.nih.gov/nuccore/MG459218","NCBI Nucleotide")</f>
        <v>NCBI Nucleotide</v>
      </c>
    </row>
    <row r="493" spans="1:27" x14ac:dyDescent="0.35">
      <c r="A493">
        <v>1000774</v>
      </c>
      <c r="B493">
        <v>492</v>
      </c>
      <c r="C493">
        <v>1</v>
      </c>
      <c r="D493" s="17" t="s">
        <v>155</v>
      </c>
      <c r="E493" s="17"/>
      <c r="F493" s="17" t="s">
        <v>156</v>
      </c>
      <c r="G493" s="17"/>
      <c r="H493" s="17" t="s">
        <v>692</v>
      </c>
      <c r="I493" s="17"/>
      <c r="J493" s="17" t="s">
        <v>693</v>
      </c>
      <c r="K493" s="17"/>
      <c r="L493" s="17"/>
      <c r="M493" s="17"/>
      <c r="N493" s="17" t="s">
        <v>6460</v>
      </c>
      <c r="O493" s="17" t="s">
        <v>6716</v>
      </c>
      <c r="P493" s="17" t="s">
        <v>6720</v>
      </c>
      <c r="Q493" s="17"/>
      <c r="R493" s="25" t="str">
        <f>HYPERLINK("https://ictv.global/taxonomy/taxondetails?taxnode_id=202308509","Friunavirus SWHAb3")</f>
        <v>Friunavirus SWHAb3</v>
      </c>
      <c r="S493" s="18" t="s">
        <v>30</v>
      </c>
      <c r="T493" s="18" t="s">
        <v>6763</v>
      </c>
      <c r="U493" s="18"/>
      <c r="V493" s="18"/>
      <c r="W493" s="18" t="s">
        <v>6764</v>
      </c>
      <c r="X493" s="18" t="s">
        <v>42</v>
      </c>
      <c r="Y493" s="18" t="s">
        <v>36</v>
      </c>
      <c r="Z493" s="18" t="s">
        <v>697</v>
      </c>
      <c r="AA493" s="21" t="str">
        <f>HYPERLINK("https://www.ncbi.nlm.nih.gov/nuccore/MG599035","NCBI Nucleotide")</f>
        <v>NCBI Nucleotide</v>
      </c>
    </row>
    <row r="494" spans="1:27" x14ac:dyDescent="0.35">
      <c r="A494">
        <v>1000775</v>
      </c>
      <c r="B494">
        <v>493</v>
      </c>
      <c r="C494">
        <v>1</v>
      </c>
      <c r="D494" s="17" t="s">
        <v>155</v>
      </c>
      <c r="E494" s="17"/>
      <c r="F494" s="17" t="s">
        <v>156</v>
      </c>
      <c r="G494" s="17"/>
      <c r="H494" s="17" t="s">
        <v>692</v>
      </c>
      <c r="I494" s="17"/>
      <c r="J494" s="17" t="s">
        <v>693</v>
      </c>
      <c r="K494" s="17"/>
      <c r="L494" s="17"/>
      <c r="M494" s="17"/>
      <c r="N494" s="17" t="s">
        <v>6460</v>
      </c>
      <c r="O494" s="17" t="s">
        <v>6716</v>
      </c>
      <c r="P494" s="17" t="s">
        <v>6720</v>
      </c>
      <c r="Q494" s="17"/>
      <c r="R494" s="25" t="str">
        <f>HYPERLINK("https://ictv.global/taxonomy/taxondetails?taxnode_id=202306908","Friunavirus WCHABP5")</f>
        <v>Friunavirus WCHABP5</v>
      </c>
      <c r="S494" s="18" t="s">
        <v>30</v>
      </c>
      <c r="T494" s="18" t="s">
        <v>6765</v>
      </c>
      <c r="U494" s="18"/>
      <c r="V494" s="18"/>
      <c r="W494" s="18" t="s">
        <v>6766</v>
      </c>
      <c r="X494" s="18" t="s">
        <v>42</v>
      </c>
      <c r="Y494" s="18" t="s">
        <v>36</v>
      </c>
      <c r="Z494" s="18" t="s">
        <v>697</v>
      </c>
      <c r="AA494" s="21" t="str">
        <f>HYPERLINK("https://www.ncbi.nlm.nih.gov/nuccore/KY888680","NCBI Nucleotide")</f>
        <v>NCBI Nucleotide</v>
      </c>
    </row>
    <row r="495" spans="1:27" x14ac:dyDescent="0.35">
      <c r="A495">
        <v>1000776</v>
      </c>
      <c r="B495">
        <v>494</v>
      </c>
      <c r="C495">
        <v>1</v>
      </c>
      <c r="D495" s="17" t="s">
        <v>155</v>
      </c>
      <c r="E495" s="17"/>
      <c r="F495" s="17" t="s">
        <v>156</v>
      </c>
      <c r="G495" s="17"/>
      <c r="H495" s="17" t="s">
        <v>692</v>
      </c>
      <c r="I495" s="17"/>
      <c r="J495" s="17" t="s">
        <v>693</v>
      </c>
      <c r="K495" s="17"/>
      <c r="L495" s="17"/>
      <c r="M495" s="17"/>
      <c r="N495" s="17" t="s">
        <v>6460</v>
      </c>
      <c r="O495" s="17" t="s">
        <v>6716</v>
      </c>
      <c r="P495" s="17" t="s">
        <v>6767</v>
      </c>
      <c r="Q495" s="17"/>
      <c r="R495" s="25" t="str">
        <f>HYPERLINK("https://ictv.global/taxonomy/taxondetails?taxnode_id=202308511","Pettyvirus petty")</f>
        <v>Pettyvirus petty</v>
      </c>
      <c r="S495" s="18" t="s">
        <v>30</v>
      </c>
      <c r="T495" s="18" t="s">
        <v>6768</v>
      </c>
      <c r="U495" s="18"/>
      <c r="V495" s="18"/>
      <c r="W495" s="18" t="s">
        <v>6769</v>
      </c>
      <c r="X495" s="18" t="s">
        <v>42</v>
      </c>
      <c r="Y495" s="18" t="s">
        <v>36</v>
      </c>
      <c r="Z495" s="18" t="s">
        <v>697</v>
      </c>
      <c r="AA495" s="21" t="str">
        <f>HYPERLINK("https://www.ncbi.nlm.nih.gov/nuccore/KF669656","NCBI Nucleotide")</f>
        <v>NCBI Nucleotide</v>
      </c>
    </row>
    <row r="496" spans="1:27" x14ac:dyDescent="0.35">
      <c r="A496">
        <v>1000777</v>
      </c>
      <c r="B496">
        <v>495</v>
      </c>
      <c r="C496">
        <v>1</v>
      </c>
      <c r="D496" s="17" t="s">
        <v>155</v>
      </c>
      <c r="E496" s="17"/>
      <c r="F496" s="17" t="s">
        <v>156</v>
      </c>
      <c r="G496" s="17"/>
      <c r="H496" s="17" t="s">
        <v>692</v>
      </c>
      <c r="I496" s="17"/>
      <c r="J496" s="17" t="s">
        <v>693</v>
      </c>
      <c r="K496" s="17"/>
      <c r="L496" s="17"/>
      <c r="M496" s="17"/>
      <c r="N496" s="17" t="s">
        <v>6460</v>
      </c>
      <c r="O496" s="17" t="s">
        <v>6770</v>
      </c>
      <c r="P496" s="17" t="s">
        <v>6771</v>
      </c>
      <c r="Q496" s="17"/>
      <c r="R496" s="25" t="str">
        <f>HYPERLINK("https://ictv.global/taxonomy/taxondetails?taxnode_id=202308634","Gutovirus Vc1")</f>
        <v>Gutovirus Vc1</v>
      </c>
      <c r="S496" s="18" t="s">
        <v>30</v>
      </c>
      <c r="T496" s="18" t="s">
        <v>6772</v>
      </c>
      <c r="U496" s="18"/>
      <c r="V496" s="18"/>
      <c r="W496" s="18" t="s">
        <v>6773</v>
      </c>
      <c r="X496" s="18" t="s">
        <v>42</v>
      </c>
      <c r="Y496" s="18" t="s">
        <v>36</v>
      </c>
      <c r="Z496" s="18" t="s">
        <v>697</v>
      </c>
      <c r="AA496" s="21" t="str">
        <f>HYPERLINK("https://www.ncbi.nlm.nih.gov/nuccore/KJ502657","NCBI Nucleotide")</f>
        <v>NCBI Nucleotide</v>
      </c>
    </row>
    <row r="497" spans="1:27" x14ac:dyDescent="0.35">
      <c r="A497">
        <v>1000778</v>
      </c>
      <c r="B497">
        <v>496</v>
      </c>
      <c r="C497">
        <v>1</v>
      </c>
      <c r="D497" s="17" t="s">
        <v>155</v>
      </c>
      <c r="E497" s="17"/>
      <c r="F497" s="17" t="s">
        <v>156</v>
      </c>
      <c r="G497" s="17"/>
      <c r="H497" s="17" t="s">
        <v>692</v>
      </c>
      <c r="I497" s="17"/>
      <c r="J497" s="17" t="s">
        <v>693</v>
      </c>
      <c r="K497" s="17"/>
      <c r="L497" s="17"/>
      <c r="M497" s="17"/>
      <c r="N497" s="17" t="s">
        <v>6460</v>
      </c>
      <c r="O497" s="17" t="s">
        <v>6770</v>
      </c>
      <c r="P497" s="17" t="s">
        <v>6774</v>
      </c>
      <c r="Q497" s="17"/>
      <c r="R497" s="25" t="str">
        <f>HYPERLINK("https://ictv.global/taxonomy/taxondetails?taxnode_id=202308619","Kaohsiungvirus A318")</f>
        <v>Kaohsiungvirus A318</v>
      </c>
      <c r="S497" s="18" t="s">
        <v>30</v>
      </c>
      <c r="T497" s="18" t="s">
        <v>6775</v>
      </c>
      <c r="U497" s="18"/>
      <c r="V497" s="18"/>
      <c r="W497" s="18" t="s">
        <v>6776</v>
      </c>
      <c r="X497" s="18" t="s">
        <v>42</v>
      </c>
      <c r="Y497" s="18" t="s">
        <v>36</v>
      </c>
      <c r="Z497" s="18" t="s">
        <v>697</v>
      </c>
      <c r="AA497" s="21" t="str">
        <f>HYPERLINK("https://www.ncbi.nlm.nih.gov/nuccore/KF322026","NCBI Nucleotide")</f>
        <v>NCBI Nucleotide</v>
      </c>
    </row>
    <row r="498" spans="1:27" x14ac:dyDescent="0.35">
      <c r="A498">
        <v>1000779</v>
      </c>
      <c r="B498">
        <v>497</v>
      </c>
      <c r="C498">
        <v>1</v>
      </c>
      <c r="D498" s="17" t="s">
        <v>155</v>
      </c>
      <c r="E498" s="17"/>
      <c r="F498" s="17" t="s">
        <v>156</v>
      </c>
      <c r="G498" s="17"/>
      <c r="H498" s="17" t="s">
        <v>692</v>
      </c>
      <c r="I498" s="17"/>
      <c r="J498" s="17" t="s">
        <v>693</v>
      </c>
      <c r="K498" s="17"/>
      <c r="L498" s="17"/>
      <c r="M498" s="17"/>
      <c r="N498" s="17" t="s">
        <v>6460</v>
      </c>
      <c r="O498" s="17" t="s">
        <v>6770</v>
      </c>
      <c r="P498" s="17" t="s">
        <v>6774</v>
      </c>
      <c r="Q498" s="17"/>
      <c r="R498" s="25" t="str">
        <f>HYPERLINK("https://ictv.global/taxonomy/taxondetails?taxnode_id=202308620","Kaohsiungvirus AS51")</f>
        <v>Kaohsiungvirus AS51</v>
      </c>
      <c r="S498" s="18" t="s">
        <v>30</v>
      </c>
      <c r="T498" s="18" t="s">
        <v>6777</v>
      </c>
      <c r="U498" s="18"/>
      <c r="V498" s="18"/>
      <c r="W498" s="18" t="s">
        <v>6778</v>
      </c>
      <c r="X498" s="18" t="s">
        <v>42</v>
      </c>
      <c r="Y498" s="18" t="s">
        <v>36</v>
      </c>
      <c r="Z498" s="18" t="s">
        <v>697</v>
      </c>
      <c r="AA498" s="21" t="str">
        <f>HYPERLINK("https://www.ncbi.nlm.nih.gov/nuccore/KF800937","NCBI Nucleotide")</f>
        <v>NCBI Nucleotide</v>
      </c>
    </row>
    <row r="499" spans="1:27" x14ac:dyDescent="0.35">
      <c r="A499">
        <v>1000780</v>
      </c>
      <c r="B499">
        <v>498</v>
      </c>
      <c r="C499">
        <v>1</v>
      </c>
      <c r="D499" s="17" t="s">
        <v>155</v>
      </c>
      <c r="E499" s="17"/>
      <c r="F499" s="17" t="s">
        <v>156</v>
      </c>
      <c r="G499" s="17"/>
      <c r="H499" s="17" t="s">
        <v>692</v>
      </c>
      <c r="I499" s="17"/>
      <c r="J499" s="17" t="s">
        <v>693</v>
      </c>
      <c r="K499" s="17"/>
      <c r="L499" s="17"/>
      <c r="M499" s="17"/>
      <c r="N499" s="17" t="s">
        <v>6460</v>
      </c>
      <c r="O499" s="17" t="s">
        <v>6770</v>
      </c>
      <c r="P499" s="17" t="s">
        <v>6774</v>
      </c>
      <c r="Q499" s="17"/>
      <c r="R499" s="25" t="str">
        <f>HYPERLINK("https://ictv.global/taxonomy/taxondetails?taxnode_id=202308621","Kaohsiungvirus Vp670")</f>
        <v>Kaohsiungvirus Vp670</v>
      </c>
      <c r="S499" s="18" t="s">
        <v>30</v>
      </c>
      <c r="T499" s="18" t="s">
        <v>6779</v>
      </c>
      <c r="U499" s="18"/>
      <c r="V499" s="18"/>
      <c r="W499" s="18" t="s">
        <v>6780</v>
      </c>
      <c r="X499" s="18" t="s">
        <v>42</v>
      </c>
      <c r="Y499" s="18" t="s">
        <v>36</v>
      </c>
      <c r="Z499" s="18" t="s">
        <v>697</v>
      </c>
      <c r="AA499" s="21" t="str">
        <f>HYPERLINK("https://www.ncbi.nlm.nih.gov/nuccore/KY290756","NCBI Nucleotide")</f>
        <v>NCBI Nucleotide</v>
      </c>
    </row>
    <row r="500" spans="1:27" x14ac:dyDescent="0.35">
      <c r="A500">
        <v>1000781</v>
      </c>
      <c r="B500">
        <v>499</v>
      </c>
      <c r="C500">
        <v>1</v>
      </c>
      <c r="D500" s="17" t="s">
        <v>155</v>
      </c>
      <c r="E500" s="17"/>
      <c r="F500" s="17" t="s">
        <v>156</v>
      </c>
      <c r="G500" s="17"/>
      <c r="H500" s="17" t="s">
        <v>692</v>
      </c>
      <c r="I500" s="17"/>
      <c r="J500" s="17" t="s">
        <v>693</v>
      </c>
      <c r="K500" s="17"/>
      <c r="L500" s="17"/>
      <c r="M500" s="17"/>
      <c r="N500" s="17" t="s">
        <v>6460</v>
      </c>
      <c r="O500" s="17" t="s">
        <v>6770</v>
      </c>
      <c r="P500" s="17" t="s">
        <v>6781</v>
      </c>
      <c r="Q500" s="17"/>
      <c r="R500" s="25" t="str">
        <f>HYPERLINK("https://ictv.global/taxonomy/taxondetails?taxnode_id=202308624","Murciavirus CB5A")</f>
        <v>Murciavirus CB5A</v>
      </c>
      <c r="S500" s="18" t="s">
        <v>30</v>
      </c>
      <c r="T500" s="18" t="s">
        <v>6782</v>
      </c>
      <c r="U500" s="18"/>
      <c r="V500" s="18"/>
      <c r="W500" s="18" t="s">
        <v>6783</v>
      </c>
      <c r="X500" s="18" t="s">
        <v>42</v>
      </c>
      <c r="Y500" s="18" t="s">
        <v>36</v>
      </c>
      <c r="Z500" s="18" t="s">
        <v>697</v>
      </c>
      <c r="AA500" s="21" t="str">
        <f>HYPERLINK("https://www.ncbi.nlm.nih.gov/nuccore/MF481197","NCBI Nucleotide")</f>
        <v>NCBI Nucleotide</v>
      </c>
    </row>
    <row r="501" spans="1:27" x14ac:dyDescent="0.35">
      <c r="A501">
        <v>1000782</v>
      </c>
      <c r="B501">
        <v>500</v>
      </c>
      <c r="C501">
        <v>1</v>
      </c>
      <c r="D501" s="17" t="s">
        <v>155</v>
      </c>
      <c r="E501" s="17"/>
      <c r="F501" s="17" t="s">
        <v>156</v>
      </c>
      <c r="G501" s="17"/>
      <c r="H501" s="17" t="s">
        <v>692</v>
      </c>
      <c r="I501" s="17"/>
      <c r="J501" s="17" t="s">
        <v>693</v>
      </c>
      <c r="K501" s="17"/>
      <c r="L501" s="17"/>
      <c r="M501" s="17"/>
      <c r="N501" s="17" t="s">
        <v>6460</v>
      </c>
      <c r="O501" s="17" t="s">
        <v>6770</v>
      </c>
      <c r="P501" s="17" t="s">
        <v>6781</v>
      </c>
      <c r="Q501" s="17"/>
      <c r="R501" s="25" t="str">
        <f>HYPERLINK("https://ictv.global/taxonomy/taxondetails?taxnode_id=202308623","Murciavirus CPP1m")</f>
        <v>Murciavirus CPP1m</v>
      </c>
      <c r="S501" s="18" t="s">
        <v>30</v>
      </c>
      <c r="T501" s="18" t="s">
        <v>6784</v>
      </c>
      <c r="U501" s="18"/>
      <c r="V501" s="18"/>
      <c r="W501" s="18" t="s">
        <v>6785</v>
      </c>
      <c r="X501" s="18" t="s">
        <v>42</v>
      </c>
      <c r="Y501" s="18" t="s">
        <v>36</v>
      </c>
      <c r="Z501" s="18" t="s">
        <v>697</v>
      </c>
      <c r="AA501" s="21" t="str">
        <f>HYPERLINK("https://www.ncbi.nlm.nih.gov/nuccore/KY626176","NCBI Nucleotide")</f>
        <v>NCBI Nucleotide</v>
      </c>
    </row>
    <row r="502" spans="1:27" x14ac:dyDescent="0.35">
      <c r="A502">
        <v>1000783</v>
      </c>
      <c r="B502">
        <v>501</v>
      </c>
      <c r="C502">
        <v>1</v>
      </c>
      <c r="D502" s="17" t="s">
        <v>155</v>
      </c>
      <c r="E502" s="17"/>
      <c r="F502" s="17" t="s">
        <v>156</v>
      </c>
      <c r="G502" s="17"/>
      <c r="H502" s="17" t="s">
        <v>692</v>
      </c>
      <c r="I502" s="17"/>
      <c r="J502" s="17" t="s">
        <v>693</v>
      </c>
      <c r="K502" s="17"/>
      <c r="L502" s="17"/>
      <c r="M502" s="17"/>
      <c r="N502" s="17" t="s">
        <v>6460</v>
      </c>
      <c r="O502" s="17" t="s">
        <v>6770</v>
      </c>
      <c r="P502" s="17" t="s">
        <v>6786</v>
      </c>
      <c r="Q502" s="17"/>
      <c r="R502" s="25" t="str">
        <f>HYPERLINK("https://ictv.global/taxonomy/taxondetails?taxnode_id=202308632","Trungvirus VEN")</f>
        <v>Trungvirus VEN</v>
      </c>
      <c r="S502" s="18" t="s">
        <v>30</v>
      </c>
      <c r="T502" s="18" t="s">
        <v>6787</v>
      </c>
      <c r="U502" s="18"/>
      <c r="V502" s="18"/>
      <c r="W502" s="18" t="s">
        <v>6788</v>
      </c>
      <c r="X502" s="18" t="s">
        <v>42</v>
      </c>
      <c r="Y502" s="18" t="s">
        <v>36</v>
      </c>
      <c r="Z502" s="18" t="s">
        <v>697</v>
      </c>
      <c r="AA502" s="21" t="str">
        <f>HYPERLINK("https://www.ncbi.nlm.nih.gov/nuccore/MG545917","NCBI Nucleotide")</f>
        <v>NCBI Nucleotide</v>
      </c>
    </row>
    <row r="503" spans="1:27" x14ac:dyDescent="0.35">
      <c r="A503">
        <v>1000784</v>
      </c>
      <c r="B503">
        <v>502</v>
      </c>
      <c r="C503">
        <v>1</v>
      </c>
      <c r="D503" s="17" t="s">
        <v>155</v>
      </c>
      <c r="E503" s="17"/>
      <c r="F503" s="17" t="s">
        <v>156</v>
      </c>
      <c r="G503" s="17"/>
      <c r="H503" s="17" t="s">
        <v>692</v>
      </c>
      <c r="I503" s="17"/>
      <c r="J503" s="17" t="s">
        <v>693</v>
      </c>
      <c r="K503" s="17"/>
      <c r="L503" s="17"/>
      <c r="M503" s="17"/>
      <c r="N503" s="17" t="s">
        <v>6460</v>
      </c>
      <c r="O503" s="17" t="s">
        <v>6770</v>
      </c>
      <c r="P503" s="17" t="s">
        <v>6789</v>
      </c>
      <c r="Q503" s="17"/>
      <c r="R503" s="25" t="str">
        <f>HYPERLINK("https://ictv.global/taxonomy/taxondetails?taxnode_id=202308628","Uliginvirus achelous")</f>
        <v>Uliginvirus achelous</v>
      </c>
      <c r="S503" s="18" t="s">
        <v>30</v>
      </c>
      <c r="T503" s="18" t="s">
        <v>6790</v>
      </c>
      <c r="U503" s="18"/>
      <c r="V503" s="18"/>
      <c r="W503" s="18" t="s">
        <v>6791</v>
      </c>
      <c r="X503" s="18" t="s">
        <v>42</v>
      </c>
      <c r="Y503" s="18" t="s">
        <v>36</v>
      </c>
      <c r="Z503" s="18" t="s">
        <v>697</v>
      </c>
      <c r="AA503" s="21" t="str">
        <f>HYPERLINK("https://www.ncbi.nlm.nih.gov/nuccore/MH113814","NCBI Nucleotide")</f>
        <v>NCBI Nucleotide</v>
      </c>
    </row>
    <row r="504" spans="1:27" x14ac:dyDescent="0.35">
      <c r="A504">
        <v>1000785</v>
      </c>
      <c r="B504">
        <v>503</v>
      </c>
      <c r="C504">
        <v>1</v>
      </c>
      <c r="D504" s="17" t="s">
        <v>155</v>
      </c>
      <c r="E504" s="17"/>
      <c r="F504" s="17" t="s">
        <v>156</v>
      </c>
      <c r="G504" s="17"/>
      <c r="H504" s="17" t="s">
        <v>692</v>
      </c>
      <c r="I504" s="17"/>
      <c r="J504" s="17" t="s">
        <v>693</v>
      </c>
      <c r="K504" s="17"/>
      <c r="L504" s="17"/>
      <c r="M504" s="17"/>
      <c r="N504" s="17" t="s">
        <v>6460</v>
      </c>
      <c r="O504" s="17" t="s">
        <v>6770</v>
      </c>
      <c r="P504" s="17" t="s">
        <v>6789</v>
      </c>
      <c r="Q504" s="17"/>
      <c r="R504" s="25" t="str">
        <f>HYPERLINK("https://ictv.global/taxonomy/taxondetails?taxnode_id=202308629","Uliginvirus alpheus")</f>
        <v>Uliginvirus alpheus</v>
      </c>
      <c r="S504" s="18" t="s">
        <v>30</v>
      </c>
      <c r="T504" s="18" t="s">
        <v>6792</v>
      </c>
      <c r="U504" s="18"/>
      <c r="V504" s="18"/>
      <c r="W504" s="18" t="s">
        <v>6793</v>
      </c>
      <c r="X504" s="18" t="s">
        <v>42</v>
      </c>
      <c r="Y504" s="18" t="s">
        <v>36</v>
      </c>
      <c r="Z504" s="18" t="s">
        <v>697</v>
      </c>
      <c r="AA504" s="21" t="str">
        <f>HYPERLINK("https://www.ncbi.nlm.nih.gov/nuccore/MH113815","NCBI Nucleotide")</f>
        <v>NCBI Nucleotide</v>
      </c>
    </row>
    <row r="505" spans="1:27" x14ac:dyDescent="0.35">
      <c r="A505">
        <v>1000786</v>
      </c>
      <c r="B505">
        <v>504</v>
      </c>
      <c r="C505">
        <v>1</v>
      </c>
      <c r="D505" s="17" t="s">
        <v>155</v>
      </c>
      <c r="E505" s="17"/>
      <c r="F505" s="17" t="s">
        <v>156</v>
      </c>
      <c r="G505" s="17"/>
      <c r="H505" s="17" t="s">
        <v>692</v>
      </c>
      <c r="I505" s="17"/>
      <c r="J505" s="17" t="s">
        <v>693</v>
      </c>
      <c r="K505" s="17"/>
      <c r="L505" s="17"/>
      <c r="M505" s="17"/>
      <c r="N505" s="17" t="s">
        <v>6460</v>
      </c>
      <c r="O505" s="17" t="s">
        <v>6770</v>
      </c>
      <c r="P505" s="17" t="s">
        <v>6789</v>
      </c>
      <c r="Q505" s="17"/>
      <c r="R505" s="25" t="str">
        <f>HYPERLINK("https://ictv.global/taxonomy/taxondetails?taxnode_id=202308627","Uliginvirus nerthus")</f>
        <v>Uliginvirus nerthus</v>
      </c>
      <c r="S505" s="18" t="s">
        <v>30</v>
      </c>
      <c r="T505" s="18" t="s">
        <v>6794</v>
      </c>
      <c r="U505" s="18"/>
      <c r="V505" s="18"/>
      <c r="W505" s="18" t="s">
        <v>6795</v>
      </c>
      <c r="X505" s="18" t="s">
        <v>42</v>
      </c>
      <c r="Y505" s="18" t="s">
        <v>36</v>
      </c>
      <c r="Z505" s="18" t="s">
        <v>697</v>
      </c>
      <c r="AA505" s="21" t="str">
        <f>HYPERLINK("https://www.ncbi.nlm.nih.gov/nuccore/MH113813","NCBI Nucleotide")</f>
        <v>NCBI Nucleotide</v>
      </c>
    </row>
    <row r="506" spans="1:27" x14ac:dyDescent="0.35">
      <c r="A506">
        <v>1000787</v>
      </c>
      <c r="B506">
        <v>505</v>
      </c>
      <c r="C506">
        <v>1</v>
      </c>
      <c r="D506" s="17" t="s">
        <v>155</v>
      </c>
      <c r="E506" s="17"/>
      <c r="F506" s="17" t="s">
        <v>156</v>
      </c>
      <c r="G506" s="17"/>
      <c r="H506" s="17" t="s">
        <v>692</v>
      </c>
      <c r="I506" s="17"/>
      <c r="J506" s="17" t="s">
        <v>693</v>
      </c>
      <c r="K506" s="17"/>
      <c r="L506" s="17"/>
      <c r="M506" s="17"/>
      <c r="N506" s="17" t="s">
        <v>6460</v>
      </c>
      <c r="O506" s="17" t="s">
        <v>6770</v>
      </c>
      <c r="P506" s="17" t="s">
        <v>6789</v>
      </c>
      <c r="Q506" s="17"/>
      <c r="R506" s="25" t="str">
        <f>HYPERLINK("https://ictv.global/taxonomy/taxondetails?taxnode_id=202308626","Uliginvirus njord")</f>
        <v>Uliginvirus njord</v>
      </c>
      <c r="S506" s="18" t="s">
        <v>30</v>
      </c>
      <c r="T506" s="18" t="s">
        <v>6796</v>
      </c>
      <c r="U506" s="18"/>
      <c r="V506" s="18"/>
      <c r="W506" s="18" t="s">
        <v>6797</v>
      </c>
      <c r="X506" s="18" t="s">
        <v>42</v>
      </c>
      <c r="Y506" s="18" t="s">
        <v>36</v>
      </c>
      <c r="Z506" s="18" t="s">
        <v>697</v>
      </c>
      <c r="AA506" s="21" t="str">
        <f>HYPERLINK("https://www.ncbi.nlm.nih.gov/nuccore/MH113812","NCBI Nucleotide")</f>
        <v>NCBI Nucleotide</v>
      </c>
    </row>
    <row r="507" spans="1:27" x14ac:dyDescent="0.35">
      <c r="A507">
        <v>1000788</v>
      </c>
      <c r="B507">
        <v>506</v>
      </c>
      <c r="C507">
        <v>1</v>
      </c>
      <c r="D507" s="17" t="s">
        <v>155</v>
      </c>
      <c r="E507" s="17"/>
      <c r="F507" s="17" t="s">
        <v>156</v>
      </c>
      <c r="G507" s="17"/>
      <c r="H507" s="17" t="s">
        <v>692</v>
      </c>
      <c r="I507" s="17"/>
      <c r="J507" s="17" t="s">
        <v>693</v>
      </c>
      <c r="K507" s="17"/>
      <c r="L507" s="17"/>
      <c r="M507" s="17"/>
      <c r="N507" s="17" t="s">
        <v>6460</v>
      </c>
      <c r="O507" s="17" t="s">
        <v>6770</v>
      </c>
      <c r="P507" s="17" t="s">
        <v>6789</v>
      </c>
      <c r="Q507" s="17"/>
      <c r="R507" s="25" t="str">
        <f>HYPERLINK("https://ictv.global/taxonomy/taxondetails?taxnode_id=202308630","Uliginvirus uligo")</f>
        <v>Uliginvirus uligo</v>
      </c>
      <c r="S507" s="18" t="s">
        <v>30</v>
      </c>
      <c r="T507" s="18" t="s">
        <v>6798</v>
      </c>
      <c r="U507" s="18"/>
      <c r="V507" s="18"/>
      <c r="W507" s="18" t="s">
        <v>6799</v>
      </c>
      <c r="X507" s="18" t="s">
        <v>42</v>
      </c>
      <c r="Y507" s="18" t="s">
        <v>36</v>
      </c>
      <c r="Z507" s="18" t="s">
        <v>697</v>
      </c>
      <c r="AA507" s="21" t="str">
        <f>HYPERLINK("https://www.ncbi.nlm.nih.gov/nuccore/MG018929","NCBI Nucleotide")</f>
        <v>NCBI Nucleotide</v>
      </c>
    </row>
    <row r="508" spans="1:27" x14ac:dyDescent="0.35">
      <c r="A508">
        <v>1000789</v>
      </c>
      <c r="B508">
        <v>507</v>
      </c>
      <c r="C508">
        <v>1</v>
      </c>
      <c r="D508" s="17" t="s">
        <v>155</v>
      </c>
      <c r="E508" s="17"/>
      <c r="F508" s="17" t="s">
        <v>156</v>
      </c>
      <c r="G508" s="17"/>
      <c r="H508" s="17" t="s">
        <v>692</v>
      </c>
      <c r="I508" s="17"/>
      <c r="J508" s="17" t="s">
        <v>693</v>
      </c>
      <c r="K508" s="17"/>
      <c r="L508" s="17"/>
      <c r="M508" s="17"/>
      <c r="N508" s="17" t="s">
        <v>6460</v>
      </c>
      <c r="O508" s="17" t="s">
        <v>6800</v>
      </c>
      <c r="P508" s="17" t="s">
        <v>6801</v>
      </c>
      <c r="Q508" s="17"/>
      <c r="R508" s="25" t="str">
        <f>HYPERLINK("https://ictv.global/taxonomy/taxondetails?taxnode_id=202308569","Kantovirus C171")</f>
        <v>Kantovirus C171</v>
      </c>
      <c r="S508" s="18" t="s">
        <v>30</v>
      </c>
      <c r="T508" s="18" t="s">
        <v>6802</v>
      </c>
      <c r="U508" s="18"/>
      <c r="V508" s="18"/>
      <c r="W508" s="18" t="s">
        <v>6803</v>
      </c>
      <c r="X508" s="18" t="s">
        <v>42</v>
      </c>
      <c r="Y508" s="18" t="s">
        <v>36</v>
      </c>
      <c r="Z508" s="18" t="s">
        <v>697</v>
      </c>
      <c r="AA508" s="21" t="str">
        <f>HYPERLINK("https://www.ncbi.nlm.nih.gov/nuccore/KU310944","NCBI Nucleotide")</f>
        <v>NCBI Nucleotide</v>
      </c>
    </row>
    <row r="509" spans="1:27" x14ac:dyDescent="0.35">
      <c r="A509">
        <v>1000790</v>
      </c>
      <c r="B509">
        <v>508</v>
      </c>
      <c r="C509">
        <v>1</v>
      </c>
      <c r="D509" s="17" t="s">
        <v>155</v>
      </c>
      <c r="E509" s="17"/>
      <c r="F509" s="17" t="s">
        <v>156</v>
      </c>
      <c r="G509" s="17"/>
      <c r="H509" s="17" t="s">
        <v>692</v>
      </c>
      <c r="I509" s="17"/>
      <c r="J509" s="17" t="s">
        <v>693</v>
      </c>
      <c r="K509" s="17"/>
      <c r="L509" s="17"/>
      <c r="M509" s="17"/>
      <c r="N509" s="17" t="s">
        <v>6460</v>
      </c>
      <c r="O509" s="17" t="s">
        <v>6800</v>
      </c>
      <c r="P509" s="17" t="s">
        <v>6804</v>
      </c>
      <c r="Q509" s="17"/>
      <c r="R509" s="25" t="str">
        <f>HYPERLINK("https://ictv.global/taxonomy/taxondetails?taxnode_id=202308557","Kotilavirus PP16")</f>
        <v>Kotilavirus PP16</v>
      </c>
      <c r="S509" s="18" t="s">
        <v>30</v>
      </c>
      <c r="T509" s="18" t="s">
        <v>6805</v>
      </c>
      <c r="U509" s="18"/>
      <c r="V509" s="18"/>
      <c r="W509" s="18" t="s">
        <v>6806</v>
      </c>
      <c r="X509" s="18" t="s">
        <v>42</v>
      </c>
      <c r="Y509" s="18" t="s">
        <v>36</v>
      </c>
      <c r="Z509" s="18" t="s">
        <v>697</v>
      </c>
      <c r="AA509" s="21" t="str">
        <f>HYPERLINK("https://www.ncbi.nlm.nih.gov/nuccore/KX278418","NCBI Nucleotide")</f>
        <v>NCBI Nucleotide</v>
      </c>
    </row>
    <row r="510" spans="1:27" x14ac:dyDescent="0.35">
      <c r="A510">
        <v>1000791</v>
      </c>
      <c r="B510">
        <v>509</v>
      </c>
      <c r="C510">
        <v>1</v>
      </c>
      <c r="D510" s="17" t="s">
        <v>155</v>
      </c>
      <c r="E510" s="17"/>
      <c r="F510" s="17" t="s">
        <v>156</v>
      </c>
      <c r="G510" s="17"/>
      <c r="H510" s="17" t="s">
        <v>692</v>
      </c>
      <c r="I510" s="17"/>
      <c r="J510" s="17" t="s">
        <v>693</v>
      </c>
      <c r="K510" s="17"/>
      <c r="L510" s="17"/>
      <c r="M510" s="17"/>
      <c r="N510" s="17" t="s">
        <v>6460</v>
      </c>
      <c r="O510" s="17" t="s">
        <v>6800</v>
      </c>
      <c r="P510" s="17" t="s">
        <v>6804</v>
      </c>
      <c r="Q510" s="17"/>
      <c r="R510" s="25" t="str">
        <f>HYPERLINK("https://ictv.global/taxonomy/taxondetails?taxnode_id=202308555","Kotilavirus PPWS1")</f>
        <v>Kotilavirus PPWS1</v>
      </c>
      <c r="S510" s="18" t="s">
        <v>30</v>
      </c>
      <c r="T510" s="18" t="s">
        <v>6807</v>
      </c>
      <c r="U510" s="18"/>
      <c r="V510" s="18"/>
      <c r="W510" s="18" t="s">
        <v>6808</v>
      </c>
      <c r="X510" s="18" t="s">
        <v>42</v>
      </c>
      <c r="Y510" s="18" t="s">
        <v>36</v>
      </c>
      <c r="Z510" s="18" t="s">
        <v>697</v>
      </c>
      <c r="AA510" s="21" t="str">
        <f>HYPERLINK("https://www.ncbi.nlm.nih.gov/nuccore/LC063634","NCBI Nucleotide")</f>
        <v>NCBI Nucleotide</v>
      </c>
    </row>
    <row r="511" spans="1:27" x14ac:dyDescent="0.35">
      <c r="A511">
        <v>1000792</v>
      </c>
      <c r="B511">
        <v>510</v>
      </c>
      <c r="C511">
        <v>1</v>
      </c>
      <c r="D511" s="17" t="s">
        <v>155</v>
      </c>
      <c r="E511" s="17"/>
      <c r="F511" s="17" t="s">
        <v>156</v>
      </c>
      <c r="G511" s="17"/>
      <c r="H511" s="17" t="s">
        <v>692</v>
      </c>
      <c r="I511" s="17"/>
      <c r="J511" s="17" t="s">
        <v>693</v>
      </c>
      <c r="K511" s="17"/>
      <c r="L511" s="17"/>
      <c r="M511" s="17"/>
      <c r="N511" s="17" t="s">
        <v>6460</v>
      </c>
      <c r="O511" s="17" t="s">
        <v>6800</v>
      </c>
      <c r="P511" s="17" t="s">
        <v>6804</v>
      </c>
      <c r="Q511" s="17"/>
      <c r="R511" s="25" t="str">
        <f>HYPERLINK("https://ictv.global/taxonomy/taxondetails?taxnode_id=202308556","Kotilavirus PPWS2")</f>
        <v>Kotilavirus PPWS2</v>
      </c>
      <c r="S511" s="18" t="s">
        <v>30</v>
      </c>
      <c r="T511" s="18" t="s">
        <v>6809</v>
      </c>
      <c r="U511" s="18"/>
      <c r="V511" s="18"/>
      <c r="W511" s="18" t="s">
        <v>6810</v>
      </c>
      <c r="X511" s="18" t="s">
        <v>42</v>
      </c>
      <c r="Y511" s="18" t="s">
        <v>36</v>
      </c>
      <c r="Z511" s="18" t="s">
        <v>697</v>
      </c>
      <c r="AA511" s="21" t="str">
        <f>HYPERLINK("https://www.ncbi.nlm.nih.gov/nuccore/LC375533","NCBI Nucleotide")</f>
        <v>NCBI Nucleotide</v>
      </c>
    </row>
    <row r="512" spans="1:27" x14ac:dyDescent="0.35">
      <c r="A512">
        <v>1000793</v>
      </c>
      <c r="B512">
        <v>511</v>
      </c>
      <c r="C512">
        <v>1</v>
      </c>
      <c r="D512" s="17" t="s">
        <v>155</v>
      </c>
      <c r="E512" s="17"/>
      <c r="F512" s="17" t="s">
        <v>156</v>
      </c>
      <c r="G512" s="17"/>
      <c r="H512" s="17" t="s">
        <v>692</v>
      </c>
      <c r="I512" s="17"/>
      <c r="J512" s="17" t="s">
        <v>693</v>
      </c>
      <c r="K512" s="17"/>
      <c r="L512" s="17"/>
      <c r="M512" s="17"/>
      <c r="N512" s="17" t="s">
        <v>6460</v>
      </c>
      <c r="O512" s="17" t="s">
        <v>6800</v>
      </c>
      <c r="P512" s="17" t="s">
        <v>6811</v>
      </c>
      <c r="Q512" s="17"/>
      <c r="R512" s="25" t="str">
        <f>HYPERLINK("https://ictv.global/taxonomy/taxondetails?taxnode_id=202306925","Phimunavirus CB5")</f>
        <v>Phimunavirus CB5</v>
      </c>
      <c r="S512" s="18" t="s">
        <v>30</v>
      </c>
      <c r="T512" s="18" t="s">
        <v>6812</v>
      </c>
      <c r="U512" s="18"/>
      <c r="V512" s="18"/>
      <c r="W512" s="18" t="s">
        <v>6813</v>
      </c>
      <c r="X512" s="18" t="s">
        <v>42</v>
      </c>
      <c r="Y512" s="18" t="s">
        <v>36</v>
      </c>
      <c r="Z512" s="18" t="s">
        <v>697</v>
      </c>
      <c r="AA512" s="21" t="str">
        <f>HYPERLINK("https://www.ncbi.nlm.nih.gov/nuccore/KY953156","NCBI Nucleotide")</f>
        <v>NCBI Nucleotide</v>
      </c>
    </row>
    <row r="513" spans="1:27" x14ac:dyDescent="0.35">
      <c r="A513">
        <v>1000794</v>
      </c>
      <c r="B513">
        <v>512</v>
      </c>
      <c r="C513">
        <v>1</v>
      </c>
      <c r="D513" s="17" t="s">
        <v>155</v>
      </c>
      <c r="E513" s="17"/>
      <c r="F513" s="17" t="s">
        <v>156</v>
      </c>
      <c r="G513" s="17"/>
      <c r="H513" s="17" t="s">
        <v>692</v>
      </c>
      <c r="I513" s="17"/>
      <c r="J513" s="17" t="s">
        <v>693</v>
      </c>
      <c r="K513" s="17"/>
      <c r="L513" s="17"/>
      <c r="M513" s="17"/>
      <c r="N513" s="17" t="s">
        <v>6460</v>
      </c>
      <c r="O513" s="17" t="s">
        <v>6800</v>
      </c>
      <c r="P513" s="17" t="s">
        <v>6811</v>
      </c>
      <c r="Q513" s="17"/>
      <c r="R513" s="25" t="str">
        <f>HYPERLINK("https://ictv.global/taxonomy/taxondetails?taxnode_id=202308561","Phimunavirus Clickz")</f>
        <v>Phimunavirus Clickz</v>
      </c>
      <c r="S513" s="18" t="s">
        <v>30</v>
      </c>
      <c r="T513" s="18" t="s">
        <v>6814</v>
      </c>
      <c r="U513" s="18"/>
      <c r="V513" s="18"/>
      <c r="W513" s="18" t="s">
        <v>6815</v>
      </c>
      <c r="X513" s="18" t="s">
        <v>42</v>
      </c>
      <c r="Y513" s="18" t="s">
        <v>36</v>
      </c>
      <c r="Z513" s="18" t="s">
        <v>697</v>
      </c>
      <c r="AA513" s="21" t="str">
        <f>HYPERLINK("https://www.ncbi.nlm.nih.gov/nuccore/MK095193","NCBI Nucleotide")</f>
        <v>NCBI Nucleotide</v>
      </c>
    </row>
    <row r="514" spans="1:27" x14ac:dyDescent="0.35">
      <c r="A514">
        <v>1000795</v>
      </c>
      <c r="B514">
        <v>513</v>
      </c>
      <c r="C514">
        <v>1</v>
      </c>
      <c r="D514" s="17" t="s">
        <v>155</v>
      </c>
      <c r="E514" s="17"/>
      <c r="F514" s="17" t="s">
        <v>156</v>
      </c>
      <c r="G514" s="17"/>
      <c r="H514" s="17" t="s">
        <v>692</v>
      </c>
      <c r="I514" s="17"/>
      <c r="J514" s="17" t="s">
        <v>693</v>
      </c>
      <c r="K514" s="17"/>
      <c r="L514" s="17"/>
      <c r="M514" s="17"/>
      <c r="N514" s="17" t="s">
        <v>6460</v>
      </c>
      <c r="O514" s="17" t="s">
        <v>6800</v>
      </c>
      <c r="P514" s="17" t="s">
        <v>6811</v>
      </c>
      <c r="Q514" s="17"/>
      <c r="R514" s="25" t="str">
        <f>HYPERLINK("https://ictv.global/taxonomy/taxondetails?taxnode_id=202306924","Phimunavirus fM1")</f>
        <v>Phimunavirus fM1</v>
      </c>
      <c r="S514" s="18" t="s">
        <v>30</v>
      </c>
      <c r="T514" s="18" t="s">
        <v>6816</v>
      </c>
      <c r="U514" s="18"/>
      <c r="V514" s="18"/>
      <c r="W514" s="18" t="s">
        <v>6817</v>
      </c>
      <c r="X514" s="18" t="s">
        <v>42</v>
      </c>
      <c r="Y514" s="18" t="s">
        <v>36</v>
      </c>
      <c r="Z514" s="18" t="s">
        <v>697</v>
      </c>
      <c r="AA514" s="21" t="str">
        <f>HYPERLINK("https://www.ncbi.nlm.nih.gov/nuccore/JX290549","NCBI Nucleotide")</f>
        <v>NCBI Nucleotide</v>
      </c>
    </row>
    <row r="515" spans="1:27" x14ac:dyDescent="0.35">
      <c r="A515">
        <v>1000796</v>
      </c>
      <c r="B515">
        <v>514</v>
      </c>
      <c r="C515">
        <v>1</v>
      </c>
      <c r="D515" s="17" t="s">
        <v>155</v>
      </c>
      <c r="E515" s="17"/>
      <c r="F515" s="17" t="s">
        <v>156</v>
      </c>
      <c r="G515" s="17"/>
      <c r="H515" s="17" t="s">
        <v>692</v>
      </c>
      <c r="I515" s="17"/>
      <c r="J515" s="17" t="s">
        <v>693</v>
      </c>
      <c r="K515" s="17"/>
      <c r="L515" s="17"/>
      <c r="M515" s="17"/>
      <c r="N515" s="17" t="s">
        <v>6460</v>
      </c>
      <c r="O515" s="17" t="s">
        <v>6800</v>
      </c>
      <c r="P515" s="17" t="s">
        <v>6811</v>
      </c>
      <c r="Q515" s="17"/>
      <c r="R515" s="25" t="str">
        <f>HYPERLINK("https://ictv.global/taxonomy/taxondetails?taxnode_id=202308558","Phimunavirus gaspode")</f>
        <v>Phimunavirus gaspode</v>
      </c>
      <c r="S515" s="18" t="s">
        <v>30</v>
      </c>
      <c r="T515" s="18" t="s">
        <v>6818</v>
      </c>
      <c r="U515" s="18"/>
      <c r="V515" s="18"/>
      <c r="W515" s="18" t="s">
        <v>6819</v>
      </c>
      <c r="X515" s="18" t="s">
        <v>42</v>
      </c>
      <c r="Y515" s="18" t="s">
        <v>36</v>
      </c>
      <c r="Z515" s="18" t="s">
        <v>697</v>
      </c>
      <c r="AA515" s="21" t="str">
        <f>HYPERLINK("https://www.ncbi.nlm.nih.gov/nuccore/MH807811","NCBI Nucleotide")</f>
        <v>NCBI Nucleotide</v>
      </c>
    </row>
    <row r="516" spans="1:27" x14ac:dyDescent="0.35">
      <c r="A516">
        <v>1000797</v>
      </c>
      <c r="B516">
        <v>515</v>
      </c>
      <c r="C516">
        <v>1</v>
      </c>
      <c r="D516" s="17" t="s">
        <v>155</v>
      </c>
      <c r="E516" s="17"/>
      <c r="F516" s="17" t="s">
        <v>156</v>
      </c>
      <c r="G516" s="17"/>
      <c r="H516" s="17" t="s">
        <v>692</v>
      </c>
      <c r="I516" s="17"/>
      <c r="J516" s="17" t="s">
        <v>693</v>
      </c>
      <c r="K516" s="17"/>
      <c r="L516" s="17"/>
      <c r="M516" s="17"/>
      <c r="N516" s="17" t="s">
        <v>6460</v>
      </c>
      <c r="O516" s="17" t="s">
        <v>6800</v>
      </c>
      <c r="P516" s="17" t="s">
        <v>6811</v>
      </c>
      <c r="Q516" s="17"/>
      <c r="R516" s="25" t="str">
        <f>HYPERLINK("https://ictv.global/taxonomy/taxondetails?taxnode_id=202308562","Phimunavirus khlen")</f>
        <v>Phimunavirus khlen</v>
      </c>
      <c r="S516" s="18" t="s">
        <v>30</v>
      </c>
      <c r="T516" s="18" t="s">
        <v>6820</v>
      </c>
      <c r="U516" s="18"/>
      <c r="V516" s="18"/>
      <c r="W516" s="18" t="s">
        <v>6821</v>
      </c>
      <c r="X516" s="18" t="s">
        <v>42</v>
      </c>
      <c r="Y516" s="18" t="s">
        <v>36</v>
      </c>
      <c r="Z516" s="18" t="s">
        <v>697</v>
      </c>
      <c r="AA516" s="21" t="str">
        <f>HYPERLINK("https://www.ncbi.nlm.nih.gov/nuccore/MK095202","NCBI Nucleotide")</f>
        <v>NCBI Nucleotide</v>
      </c>
    </row>
    <row r="517" spans="1:27" x14ac:dyDescent="0.35">
      <c r="A517">
        <v>1000798</v>
      </c>
      <c r="B517">
        <v>516</v>
      </c>
      <c r="C517">
        <v>1</v>
      </c>
      <c r="D517" s="17" t="s">
        <v>155</v>
      </c>
      <c r="E517" s="17"/>
      <c r="F517" s="17" t="s">
        <v>156</v>
      </c>
      <c r="G517" s="17"/>
      <c r="H517" s="17" t="s">
        <v>692</v>
      </c>
      <c r="I517" s="17"/>
      <c r="J517" s="17" t="s">
        <v>693</v>
      </c>
      <c r="K517" s="17"/>
      <c r="L517" s="17"/>
      <c r="M517" s="17"/>
      <c r="N517" s="17" t="s">
        <v>6460</v>
      </c>
      <c r="O517" s="17" t="s">
        <v>6800</v>
      </c>
      <c r="P517" s="17" t="s">
        <v>6811</v>
      </c>
      <c r="Q517" s="17"/>
      <c r="R517" s="25" t="str">
        <f>HYPERLINK("https://ictv.global/taxonomy/taxondetails?taxnode_id=202308563","Phimunavirus koot")</f>
        <v>Phimunavirus koot</v>
      </c>
      <c r="S517" s="18" t="s">
        <v>30</v>
      </c>
      <c r="T517" s="18" t="s">
        <v>6822</v>
      </c>
      <c r="U517" s="18"/>
      <c r="V517" s="18"/>
      <c r="W517" s="18" t="s">
        <v>6823</v>
      </c>
      <c r="X517" s="18" t="s">
        <v>42</v>
      </c>
      <c r="Y517" s="18" t="s">
        <v>36</v>
      </c>
      <c r="Z517" s="18" t="s">
        <v>697</v>
      </c>
      <c r="AA517" s="21" t="str">
        <f>HYPERLINK("https://www.ncbi.nlm.nih.gov/nuccore/MK095203","NCBI Nucleotide")</f>
        <v>NCBI Nucleotide</v>
      </c>
    </row>
    <row r="518" spans="1:27" x14ac:dyDescent="0.35">
      <c r="A518">
        <v>1000799</v>
      </c>
      <c r="B518">
        <v>517</v>
      </c>
      <c r="C518">
        <v>1</v>
      </c>
      <c r="D518" s="17" t="s">
        <v>155</v>
      </c>
      <c r="E518" s="17"/>
      <c r="F518" s="17" t="s">
        <v>156</v>
      </c>
      <c r="G518" s="17"/>
      <c r="H518" s="17" t="s">
        <v>692</v>
      </c>
      <c r="I518" s="17"/>
      <c r="J518" s="17" t="s">
        <v>693</v>
      </c>
      <c r="K518" s="17"/>
      <c r="L518" s="17"/>
      <c r="M518" s="17"/>
      <c r="N518" s="17" t="s">
        <v>6460</v>
      </c>
      <c r="O518" s="17" t="s">
        <v>6800</v>
      </c>
      <c r="P518" s="17" t="s">
        <v>6811</v>
      </c>
      <c r="Q518" s="17"/>
      <c r="R518" s="25" t="str">
        <f>HYPERLINK("https://ictv.global/taxonomy/taxondetails?taxnode_id=202308559","Phimunavirus lelidair")</f>
        <v>Phimunavirus lelidair</v>
      </c>
      <c r="S518" s="18" t="s">
        <v>30</v>
      </c>
      <c r="T518" s="18" t="s">
        <v>6824</v>
      </c>
      <c r="U518" s="18"/>
      <c r="V518" s="18"/>
      <c r="W518" s="18" t="s">
        <v>6825</v>
      </c>
      <c r="X518" s="18" t="s">
        <v>42</v>
      </c>
      <c r="Y518" s="18" t="s">
        <v>36</v>
      </c>
      <c r="Z518" s="18" t="s">
        <v>697</v>
      </c>
      <c r="AA518" s="21" t="str">
        <f>HYPERLINK("https://www.ncbi.nlm.nih.gov/nuccore/MH807814","NCBI Nucleotide")</f>
        <v>NCBI Nucleotide</v>
      </c>
    </row>
    <row r="519" spans="1:27" x14ac:dyDescent="0.35">
      <c r="A519">
        <v>1000800</v>
      </c>
      <c r="B519">
        <v>518</v>
      </c>
      <c r="C519">
        <v>1</v>
      </c>
      <c r="D519" s="17" t="s">
        <v>155</v>
      </c>
      <c r="E519" s="17"/>
      <c r="F519" s="17" t="s">
        <v>156</v>
      </c>
      <c r="G519" s="17"/>
      <c r="H519" s="17" t="s">
        <v>692</v>
      </c>
      <c r="I519" s="17"/>
      <c r="J519" s="17" t="s">
        <v>693</v>
      </c>
      <c r="K519" s="17"/>
      <c r="L519" s="17"/>
      <c r="M519" s="17"/>
      <c r="N519" s="17" t="s">
        <v>6460</v>
      </c>
      <c r="O519" s="17" t="s">
        <v>6800</v>
      </c>
      <c r="P519" s="17" t="s">
        <v>6811</v>
      </c>
      <c r="Q519" s="17"/>
      <c r="R519" s="25" t="str">
        <f>HYPERLINK("https://ictv.global/taxonomy/taxondetails?taxnode_id=202308560","Phimunavirus nobby")</f>
        <v>Phimunavirus nobby</v>
      </c>
      <c r="S519" s="18" t="s">
        <v>30</v>
      </c>
      <c r="T519" s="18" t="s">
        <v>6826</v>
      </c>
      <c r="U519" s="18"/>
      <c r="V519" s="18"/>
      <c r="W519" s="18" t="s">
        <v>6827</v>
      </c>
      <c r="X519" s="18" t="s">
        <v>42</v>
      </c>
      <c r="Y519" s="18" t="s">
        <v>36</v>
      </c>
      <c r="Z519" s="18" t="s">
        <v>697</v>
      </c>
      <c r="AA519" s="21" t="str">
        <f>HYPERLINK("https://www.ncbi.nlm.nih.gov/nuccore/MH807818","NCBI Nucleotide")</f>
        <v>NCBI Nucleotide</v>
      </c>
    </row>
    <row r="520" spans="1:27" x14ac:dyDescent="0.35">
      <c r="A520">
        <v>1000801</v>
      </c>
      <c r="B520">
        <v>519</v>
      </c>
      <c r="C520">
        <v>1</v>
      </c>
      <c r="D520" s="17" t="s">
        <v>155</v>
      </c>
      <c r="E520" s="17"/>
      <c r="F520" s="17" t="s">
        <v>156</v>
      </c>
      <c r="G520" s="17"/>
      <c r="H520" s="17" t="s">
        <v>692</v>
      </c>
      <c r="I520" s="17"/>
      <c r="J520" s="17" t="s">
        <v>693</v>
      </c>
      <c r="K520" s="17"/>
      <c r="L520" s="17"/>
      <c r="M520" s="17"/>
      <c r="N520" s="17" t="s">
        <v>6460</v>
      </c>
      <c r="O520" s="17" t="s">
        <v>6800</v>
      </c>
      <c r="P520" s="17" t="s">
        <v>6811</v>
      </c>
      <c r="Q520" s="17"/>
      <c r="R520" s="25" t="str">
        <f>HYPERLINK("https://ictv.global/taxonomy/taxondetails?taxnode_id=202306926","Phimunavirus peat1")</f>
        <v>Phimunavirus peat1</v>
      </c>
      <c r="S520" s="18" t="s">
        <v>30</v>
      </c>
      <c r="T520" s="18" t="s">
        <v>6828</v>
      </c>
      <c r="U520" s="18"/>
      <c r="V520" s="18"/>
      <c r="W520" s="18" t="s">
        <v>6829</v>
      </c>
      <c r="X520" s="18" t="s">
        <v>42</v>
      </c>
      <c r="Y520" s="18" t="s">
        <v>36</v>
      </c>
      <c r="Z520" s="18" t="s">
        <v>697</v>
      </c>
      <c r="AA520" s="21" t="str">
        <f>HYPERLINK("https://www.ncbi.nlm.nih.gov/nuccore/KR604693","NCBI Nucleotide")</f>
        <v>NCBI Nucleotide</v>
      </c>
    </row>
    <row r="521" spans="1:27" x14ac:dyDescent="0.35">
      <c r="A521">
        <v>1000802</v>
      </c>
      <c r="B521">
        <v>520</v>
      </c>
      <c r="C521">
        <v>1</v>
      </c>
      <c r="D521" s="17" t="s">
        <v>155</v>
      </c>
      <c r="E521" s="17"/>
      <c r="F521" s="17" t="s">
        <v>156</v>
      </c>
      <c r="G521" s="17"/>
      <c r="H521" s="17" t="s">
        <v>692</v>
      </c>
      <c r="I521" s="17"/>
      <c r="J521" s="17" t="s">
        <v>693</v>
      </c>
      <c r="K521" s="17"/>
      <c r="L521" s="17"/>
      <c r="M521" s="17"/>
      <c r="N521" s="17" t="s">
        <v>6460</v>
      </c>
      <c r="O521" s="17" t="s">
        <v>6800</v>
      </c>
      <c r="P521" s="17" t="s">
        <v>6811</v>
      </c>
      <c r="Q521" s="17"/>
      <c r="R521" s="25" t="str">
        <f>HYPERLINK("https://ictv.global/taxonomy/taxondetails?taxnode_id=202308564","Phimunavirus phoria")</f>
        <v>Phimunavirus phoria</v>
      </c>
      <c r="S521" s="18" t="s">
        <v>30</v>
      </c>
      <c r="T521" s="18" t="s">
        <v>6830</v>
      </c>
      <c r="U521" s="18"/>
      <c r="V521" s="18"/>
      <c r="W521" s="18" t="s">
        <v>6831</v>
      </c>
      <c r="X521" s="18" t="s">
        <v>42</v>
      </c>
      <c r="Y521" s="18" t="s">
        <v>36</v>
      </c>
      <c r="Z521" s="18" t="s">
        <v>697</v>
      </c>
      <c r="AA521" s="21" t="str">
        <f>HYPERLINK("https://www.ncbi.nlm.nih.gov/nuccore/MK095209","NCBI Nucleotide")</f>
        <v>NCBI Nucleotide</v>
      </c>
    </row>
    <row r="522" spans="1:27" x14ac:dyDescent="0.35">
      <c r="A522">
        <v>1000803</v>
      </c>
      <c r="B522">
        <v>521</v>
      </c>
      <c r="C522">
        <v>1</v>
      </c>
      <c r="D522" s="17" t="s">
        <v>155</v>
      </c>
      <c r="E522" s="17"/>
      <c r="F522" s="17" t="s">
        <v>156</v>
      </c>
      <c r="G522" s="17"/>
      <c r="H522" s="17" t="s">
        <v>692</v>
      </c>
      <c r="I522" s="17"/>
      <c r="J522" s="17" t="s">
        <v>693</v>
      </c>
      <c r="K522" s="17"/>
      <c r="L522" s="17"/>
      <c r="M522" s="17"/>
      <c r="N522" s="17" t="s">
        <v>6460</v>
      </c>
      <c r="O522" s="17" t="s">
        <v>6800</v>
      </c>
      <c r="P522" s="17" t="s">
        <v>6811</v>
      </c>
      <c r="Q522" s="17"/>
      <c r="R522" s="25" t="str">
        <f>HYPERLINK("https://ictv.global/taxonomy/taxondetails?taxnode_id=202306927","Phimunavirus PP90")</f>
        <v>Phimunavirus PP90</v>
      </c>
      <c r="S522" s="18" t="s">
        <v>30</v>
      </c>
      <c r="T522" s="18" t="s">
        <v>6832</v>
      </c>
      <c r="U522" s="18"/>
      <c r="V522" s="18"/>
      <c r="W522" s="18" t="s">
        <v>6833</v>
      </c>
      <c r="X522" s="18" t="s">
        <v>42</v>
      </c>
      <c r="Y522" s="18" t="s">
        <v>36</v>
      </c>
      <c r="Z522" s="18" t="s">
        <v>697</v>
      </c>
      <c r="AA522" s="21" t="str">
        <f>HYPERLINK("https://www.ncbi.nlm.nih.gov/nuccore/KX278419","NCBI Nucleotide")</f>
        <v>NCBI Nucleotide</v>
      </c>
    </row>
    <row r="523" spans="1:27" x14ac:dyDescent="0.35">
      <c r="A523">
        <v>1000804</v>
      </c>
      <c r="B523">
        <v>522</v>
      </c>
      <c r="C523">
        <v>1</v>
      </c>
      <c r="D523" s="17" t="s">
        <v>155</v>
      </c>
      <c r="E523" s="17"/>
      <c r="F523" s="17" t="s">
        <v>156</v>
      </c>
      <c r="G523" s="17"/>
      <c r="H523" s="17" t="s">
        <v>692</v>
      </c>
      <c r="I523" s="17"/>
      <c r="J523" s="17" t="s">
        <v>693</v>
      </c>
      <c r="K523" s="17"/>
      <c r="L523" s="17"/>
      <c r="M523" s="17"/>
      <c r="N523" s="17" t="s">
        <v>6460</v>
      </c>
      <c r="O523" s="17" t="s">
        <v>6800</v>
      </c>
      <c r="P523" s="17" t="s">
        <v>6811</v>
      </c>
      <c r="Q523" s="17"/>
      <c r="R523" s="25" t="str">
        <f>HYPERLINK("https://ictv.global/taxonomy/taxondetails?taxnode_id=202308565","Phimunavirus zenivior")</f>
        <v>Phimunavirus zenivior</v>
      </c>
      <c r="S523" s="18" t="s">
        <v>30</v>
      </c>
      <c r="T523" s="18" t="s">
        <v>6834</v>
      </c>
      <c r="U523" s="18"/>
      <c r="V523" s="18"/>
      <c r="W523" s="18" t="s">
        <v>6835</v>
      </c>
      <c r="X523" s="18" t="s">
        <v>42</v>
      </c>
      <c r="Y523" s="18" t="s">
        <v>36</v>
      </c>
      <c r="Z523" s="18" t="s">
        <v>697</v>
      </c>
      <c r="AA523" s="21" t="str">
        <f>HYPERLINK("https://www.ncbi.nlm.nih.gov/nuccore/MK095210","NCBI Nucleotide")</f>
        <v>NCBI Nucleotide</v>
      </c>
    </row>
    <row r="524" spans="1:27" x14ac:dyDescent="0.35">
      <c r="A524">
        <v>1000805</v>
      </c>
      <c r="B524">
        <v>523</v>
      </c>
      <c r="C524">
        <v>1</v>
      </c>
      <c r="D524" s="17" t="s">
        <v>155</v>
      </c>
      <c r="E524" s="17"/>
      <c r="F524" s="17" t="s">
        <v>156</v>
      </c>
      <c r="G524" s="17"/>
      <c r="H524" s="17" t="s">
        <v>692</v>
      </c>
      <c r="I524" s="17"/>
      <c r="J524" s="17" t="s">
        <v>693</v>
      </c>
      <c r="K524" s="17"/>
      <c r="L524" s="17"/>
      <c r="M524" s="17"/>
      <c r="N524" s="17" t="s">
        <v>6460</v>
      </c>
      <c r="O524" s="17" t="s">
        <v>6800</v>
      </c>
      <c r="P524" s="17" t="s">
        <v>6836</v>
      </c>
      <c r="Q524" s="17"/>
      <c r="R524" s="25" t="str">
        <f>HYPERLINK("https://ictv.global/taxonomy/taxondetails?taxnode_id=202308567","Stompvirus BF2512")</f>
        <v>Stompvirus BF2512</v>
      </c>
      <c r="S524" s="18" t="s">
        <v>30</v>
      </c>
      <c r="T524" s="18" t="s">
        <v>6837</v>
      </c>
      <c r="U524" s="18"/>
      <c r="V524" s="18"/>
      <c r="W524" s="18" t="s">
        <v>6838</v>
      </c>
      <c r="X524" s="18" t="s">
        <v>42</v>
      </c>
      <c r="Y524" s="18" t="s">
        <v>36</v>
      </c>
      <c r="Z524" s="18" t="s">
        <v>697</v>
      </c>
      <c r="AA524" s="21" t="str">
        <f>HYPERLINK("https://www.ncbi.nlm.nih.gov/nuccore/KT240186","NCBI Nucleotide")</f>
        <v>NCBI Nucleotide</v>
      </c>
    </row>
    <row r="525" spans="1:27" x14ac:dyDescent="0.35">
      <c r="A525">
        <v>1000806</v>
      </c>
      <c r="B525">
        <v>524</v>
      </c>
      <c r="C525">
        <v>1</v>
      </c>
      <c r="D525" s="17" t="s">
        <v>155</v>
      </c>
      <c r="E525" s="17"/>
      <c r="F525" s="17" t="s">
        <v>156</v>
      </c>
      <c r="G525" s="17"/>
      <c r="H525" s="17" t="s">
        <v>692</v>
      </c>
      <c r="I525" s="17"/>
      <c r="J525" s="17" t="s">
        <v>693</v>
      </c>
      <c r="K525" s="17"/>
      <c r="L525" s="17"/>
      <c r="M525" s="17"/>
      <c r="N525" s="17" t="s">
        <v>6460</v>
      </c>
      <c r="O525" s="17" t="s">
        <v>6839</v>
      </c>
      <c r="P525" s="17" t="s">
        <v>6840</v>
      </c>
      <c r="Q525" s="17"/>
      <c r="R525" s="25" t="str">
        <f>HYPERLINK("https://ictv.global/taxonomy/taxondetails?taxnode_id=202308534","Kirikabuvirus NV3")</f>
        <v>Kirikabuvirus NV3</v>
      </c>
      <c r="S525" s="18" t="s">
        <v>30</v>
      </c>
      <c r="T525" s="18" t="s">
        <v>6841</v>
      </c>
      <c r="U525" s="18"/>
      <c r="V525" s="18"/>
      <c r="W525" s="18" t="s">
        <v>6842</v>
      </c>
      <c r="X525" s="18" t="s">
        <v>42</v>
      </c>
      <c r="Y525" s="18" t="s">
        <v>36</v>
      </c>
      <c r="Z525" s="18" t="s">
        <v>697</v>
      </c>
      <c r="AA525" s="21" t="str">
        <f>HYPERLINK("https://www.ncbi.nlm.nih.gov/nuccore/MG845683","NCBI Nucleotide")</f>
        <v>NCBI Nucleotide</v>
      </c>
    </row>
    <row r="526" spans="1:27" x14ac:dyDescent="0.35">
      <c r="A526">
        <v>1000807</v>
      </c>
      <c r="B526">
        <v>525</v>
      </c>
      <c r="C526">
        <v>1</v>
      </c>
      <c r="D526" s="17" t="s">
        <v>155</v>
      </c>
      <c r="E526" s="17"/>
      <c r="F526" s="17" t="s">
        <v>156</v>
      </c>
      <c r="G526" s="17"/>
      <c r="H526" s="17" t="s">
        <v>692</v>
      </c>
      <c r="I526" s="17"/>
      <c r="J526" s="17" t="s">
        <v>693</v>
      </c>
      <c r="K526" s="17"/>
      <c r="L526" s="17"/>
      <c r="M526" s="17"/>
      <c r="N526" s="17" t="s">
        <v>6460</v>
      </c>
      <c r="O526" s="17" t="s">
        <v>6839</v>
      </c>
      <c r="P526" s="17" t="s">
        <v>6843</v>
      </c>
      <c r="Q526" s="17"/>
      <c r="R526" s="25" t="str">
        <f>HYPERLINK("https://ictv.global/taxonomy/taxondetails?taxnode_id=202308527","Phikmvvirus 15pyo")</f>
        <v>Phikmvvirus 15pyo</v>
      </c>
      <c r="S526" s="18" t="s">
        <v>30</v>
      </c>
      <c r="T526" s="18" t="s">
        <v>6844</v>
      </c>
      <c r="U526" s="18"/>
      <c r="V526" s="18"/>
      <c r="W526" s="18" t="s">
        <v>6845</v>
      </c>
      <c r="X526" s="18" t="s">
        <v>42</v>
      </c>
      <c r="Y526" s="18" t="s">
        <v>36</v>
      </c>
      <c r="Z526" s="18" t="s">
        <v>697</v>
      </c>
      <c r="AA526" s="21" t="str">
        <f>HYPERLINK("https://www.ncbi.nlm.nih.gov/nuccore/LN610580","NCBI Nucleotide")</f>
        <v>NCBI Nucleotide</v>
      </c>
    </row>
    <row r="527" spans="1:27" x14ac:dyDescent="0.35">
      <c r="A527">
        <v>1000808</v>
      </c>
      <c r="B527">
        <v>526</v>
      </c>
      <c r="C527">
        <v>1</v>
      </c>
      <c r="D527" s="17" t="s">
        <v>155</v>
      </c>
      <c r="E527" s="17"/>
      <c r="F527" s="17" t="s">
        <v>156</v>
      </c>
      <c r="G527" s="17"/>
      <c r="H527" s="17" t="s">
        <v>692</v>
      </c>
      <c r="I527" s="17"/>
      <c r="J527" s="17" t="s">
        <v>693</v>
      </c>
      <c r="K527" s="17"/>
      <c r="L527" s="17"/>
      <c r="M527" s="17"/>
      <c r="N527" s="17" t="s">
        <v>6460</v>
      </c>
      <c r="O527" s="17" t="s">
        <v>6839</v>
      </c>
      <c r="P527" s="17" t="s">
        <v>6843</v>
      </c>
      <c r="Q527" s="17"/>
      <c r="R527" s="25" t="str">
        <f>HYPERLINK("https://ictv.global/taxonomy/taxondetails?taxnode_id=202308526","Phikmvvirus Ab05")</f>
        <v>Phikmvvirus Ab05</v>
      </c>
      <c r="S527" s="18" t="s">
        <v>30</v>
      </c>
      <c r="T527" s="18" t="s">
        <v>6846</v>
      </c>
      <c r="U527" s="18"/>
      <c r="V527" s="18"/>
      <c r="W527" s="18" t="s">
        <v>6847</v>
      </c>
      <c r="X527" s="18" t="s">
        <v>42</v>
      </c>
      <c r="Y527" s="18" t="s">
        <v>36</v>
      </c>
      <c r="Z527" s="18" t="s">
        <v>697</v>
      </c>
      <c r="AA527" s="21" t="str">
        <f>HYPERLINK("https://www.ncbi.nlm.nih.gov/nuccore/LN610574","NCBI Nucleotide")</f>
        <v>NCBI Nucleotide</v>
      </c>
    </row>
    <row r="528" spans="1:27" x14ac:dyDescent="0.35">
      <c r="A528">
        <v>1000809</v>
      </c>
      <c r="B528">
        <v>527</v>
      </c>
      <c r="C528">
        <v>1</v>
      </c>
      <c r="D528" s="17" t="s">
        <v>155</v>
      </c>
      <c r="E528" s="17"/>
      <c r="F528" s="17" t="s">
        <v>156</v>
      </c>
      <c r="G528" s="17"/>
      <c r="H528" s="17" t="s">
        <v>692</v>
      </c>
      <c r="I528" s="17"/>
      <c r="J528" s="17" t="s">
        <v>693</v>
      </c>
      <c r="K528" s="17"/>
      <c r="L528" s="17"/>
      <c r="M528" s="17"/>
      <c r="N528" s="17" t="s">
        <v>6460</v>
      </c>
      <c r="O528" s="17" t="s">
        <v>6839</v>
      </c>
      <c r="P528" s="17" t="s">
        <v>6843</v>
      </c>
      <c r="Q528" s="17"/>
      <c r="R528" s="25" t="str">
        <f>HYPERLINK("https://ictv.global/taxonomy/taxondetails?taxnode_id=202308522","Phikmvvirus ABTNL")</f>
        <v>Phikmvvirus ABTNL</v>
      </c>
      <c r="S528" s="18" t="s">
        <v>30</v>
      </c>
      <c r="T528" s="18" t="s">
        <v>6848</v>
      </c>
      <c r="U528" s="18"/>
      <c r="V528" s="18"/>
      <c r="W528" s="18" t="s">
        <v>6849</v>
      </c>
      <c r="X528" s="18" t="s">
        <v>42</v>
      </c>
      <c r="Y528" s="18" t="s">
        <v>36</v>
      </c>
      <c r="Z528" s="18" t="s">
        <v>697</v>
      </c>
      <c r="AA528" s="21" t="str">
        <f>HYPERLINK("https://www.ncbi.nlm.nih.gov/nuccore/KM067278","NCBI Nucleotide")</f>
        <v>NCBI Nucleotide</v>
      </c>
    </row>
    <row r="529" spans="1:27" x14ac:dyDescent="0.35">
      <c r="A529">
        <v>1000810</v>
      </c>
      <c r="B529">
        <v>528</v>
      </c>
      <c r="C529">
        <v>1</v>
      </c>
      <c r="D529" s="17" t="s">
        <v>155</v>
      </c>
      <c r="E529" s="17"/>
      <c r="F529" s="17" t="s">
        <v>156</v>
      </c>
      <c r="G529" s="17"/>
      <c r="H529" s="17" t="s">
        <v>692</v>
      </c>
      <c r="I529" s="17"/>
      <c r="J529" s="17" t="s">
        <v>693</v>
      </c>
      <c r="K529" s="17"/>
      <c r="L529" s="17"/>
      <c r="M529" s="17"/>
      <c r="N529" s="17" t="s">
        <v>6460</v>
      </c>
      <c r="O529" s="17" t="s">
        <v>6839</v>
      </c>
      <c r="P529" s="17" t="s">
        <v>6843</v>
      </c>
      <c r="Q529" s="17"/>
      <c r="R529" s="25" t="str">
        <f>HYPERLINK("https://ictv.global/taxonomy/taxondetails?taxnode_id=202308523","Phikmvvirus DL62")</f>
        <v>Phikmvvirus DL62</v>
      </c>
      <c r="S529" s="18" t="s">
        <v>30</v>
      </c>
      <c r="T529" s="18" t="s">
        <v>6850</v>
      </c>
      <c r="U529" s="18"/>
      <c r="V529" s="18"/>
      <c r="W529" s="18" t="s">
        <v>6851</v>
      </c>
      <c r="X529" s="18" t="s">
        <v>42</v>
      </c>
      <c r="Y529" s="18" t="s">
        <v>36</v>
      </c>
      <c r="Z529" s="18" t="s">
        <v>697</v>
      </c>
      <c r="AA529" s="21" t="str">
        <f>HYPERLINK("https://www.ncbi.nlm.nih.gov/nuccore/KR054031","NCBI Nucleotide")</f>
        <v>NCBI Nucleotide</v>
      </c>
    </row>
    <row r="530" spans="1:27" x14ac:dyDescent="0.35">
      <c r="A530">
        <v>1000811</v>
      </c>
      <c r="B530">
        <v>529</v>
      </c>
      <c r="C530">
        <v>1</v>
      </c>
      <c r="D530" s="17" t="s">
        <v>155</v>
      </c>
      <c r="E530" s="17"/>
      <c r="F530" s="17" t="s">
        <v>156</v>
      </c>
      <c r="G530" s="17"/>
      <c r="H530" s="17" t="s">
        <v>692</v>
      </c>
      <c r="I530" s="17"/>
      <c r="J530" s="17" t="s">
        <v>693</v>
      </c>
      <c r="K530" s="17"/>
      <c r="L530" s="17"/>
      <c r="M530" s="17"/>
      <c r="N530" s="17" t="s">
        <v>6460</v>
      </c>
      <c r="O530" s="17" t="s">
        <v>6839</v>
      </c>
      <c r="P530" s="17" t="s">
        <v>6843</v>
      </c>
      <c r="Q530" s="17"/>
      <c r="R530" s="25" t="str">
        <f>HYPERLINK("https://ictv.global/taxonomy/taxondetails?taxnode_id=202308519","Phikmvvirus kF77")</f>
        <v>Phikmvvirus kF77</v>
      </c>
      <c r="S530" s="18" t="s">
        <v>30</v>
      </c>
      <c r="T530" s="18" t="s">
        <v>6852</v>
      </c>
      <c r="U530" s="18"/>
      <c r="V530" s="18"/>
      <c r="W530" s="18" t="s">
        <v>6853</v>
      </c>
      <c r="X530" s="18" t="s">
        <v>42</v>
      </c>
      <c r="Y530" s="18" t="s">
        <v>36</v>
      </c>
      <c r="Z530" s="18" t="s">
        <v>697</v>
      </c>
      <c r="AA530" s="21" t="str">
        <f>HYPERLINK("https://www.ncbi.nlm.nih.gov/nuccore/FN263372","NCBI Nucleotide")</f>
        <v>NCBI Nucleotide</v>
      </c>
    </row>
    <row r="531" spans="1:27" x14ac:dyDescent="0.35">
      <c r="A531">
        <v>1000812</v>
      </c>
      <c r="B531">
        <v>530</v>
      </c>
      <c r="C531">
        <v>1</v>
      </c>
      <c r="D531" s="17" t="s">
        <v>155</v>
      </c>
      <c r="E531" s="17"/>
      <c r="F531" s="17" t="s">
        <v>156</v>
      </c>
      <c r="G531" s="17"/>
      <c r="H531" s="17" t="s">
        <v>692</v>
      </c>
      <c r="I531" s="17"/>
      <c r="J531" s="17" t="s">
        <v>693</v>
      </c>
      <c r="K531" s="17"/>
      <c r="L531" s="17"/>
      <c r="M531" s="17"/>
      <c r="N531" s="17" t="s">
        <v>6460</v>
      </c>
      <c r="O531" s="17" t="s">
        <v>6839</v>
      </c>
      <c r="P531" s="17" t="s">
        <v>6843</v>
      </c>
      <c r="Q531" s="17"/>
      <c r="R531" s="25" t="str">
        <f>HYPERLINK("https://ictv.global/taxonomy/taxondetails?taxnode_id=202308515","Phikmvvirus LKD16")</f>
        <v>Phikmvvirus LKD16</v>
      </c>
      <c r="S531" s="18" t="s">
        <v>30</v>
      </c>
      <c r="T531" s="18" t="s">
        <v>6854</v>
      </c>
      <c r="U531" s="18"/>
      <c r="V531" s="18"/>
      <c r="W531" s="18" t="s">
        <v>6855</v>
      </c>
      <c r="X531" s="18" t="s">
        <v>42</v>
      </c>
      <c r="Y531" s="18" t="s">
        <v>36</v>
      </c>
      <c r="Z531" s="18" t="s">
        <v>697</v>
      </c>
      <c r="AA531" s="21" t="str">
        <f>HYPERLINK("https://www.ncbi.nlm.nih.gov/nuccore/AM265638","NCBI Nucleotide")</f>
        <v>NCBI Nucleotide</v>
      </c>
    </row>
    <row r="532" spans="1:27" x14ac:dyDescent="0.35">
      <c r="A532">
        <v>1000813</v>
      </c>
      <c r="B532">
        <v>531</v>
      </c>
      <c r="C532">
        <v>1</v>
      </c>
      <c r="D532" s="17" t="s">
        <v>155</v>
      </c>
      <c r="E532" s="17"/>
      <c r="F532" s="17" t="s">
        <v>156</v>
      </c>
      <c r="G532" s="17"/>
      <c r="H532" s="17" t="s">
        <v>692</v>
      </c>
      <c r="I532" s="17"/>
      <c r="J532" s="17" t="s">
        <v>693</v>
      </c>
      <c r="K532" s="17"/>
      <c r="L532" s="17"/>
      <c r="M532" s="17"/>
      <c r="N532" s="17" t="s">
        <v>6460</v>
      </c>
      <c r="O532" s="17" t="s">
        <v>6839</v>
      </c>
      <c r="P532" s="17" t="s">
        <v>6843</v>
      </c>
      <c r="Q532" s="17"/>
      <c r="R532" s="25" t="str">
        <f>HYPERLINK("https://ictv.global/taxonomy/taxondetails?taxnode_id=202308516","Phikmvvirus LUZ19")</f>
        <v>Phikmvvirus LUZ19</v>
      </c>
      <c r="S532" s="18" t="s">
        <v>30</v>
      </c>
      <c r="T532" s="18" t="s">
        <v>6856</v>
      </c>
      <c r="U532" s="18"/>
      <c r="V532" s="18"/>
      <c r="W532" s="18" t="s">
        <v>6857</v>
      </c>
      <c r="X532" s="18" t="s">
        <v>42</v>
      </c>
      <c r="Y532" s="18" t="s">
        <v>36</v>
      </c>
      <c r="Z532" s="18" t="s">
        <v>697</v>
      </c>
      <c r="AA532" s="21" t="str">
        <f>HYPERLINK("https://www.ncbi.nlm.nih.gov/nuccore/AM910651","NCBI Nucleotide")</f>
        <v>NCBI Nucleotide</v>
      </c>
    </row>
    <row r="533" spans="1:27" x14ac:dyDescent="0.35">
      <c r="A533">
        <v>1000814</v>
      </c>
      <c r="B533">
        <v>532</v>
      </c>
      <c r="C533">
        <v>1</v>
      </c>
      <c r="D533" s="17" t="s">
        <v>155</v>
      </c>
      <c r="E533" s="17"/>
      <c r="F533" s="17" t="s">
        <v>156</v>
      </c>
      <c r="G533" s="17"/>
      <c r="H533" s="17" t="s">
        <v>692</v>
      </c>
      <c r="I533" s="17"/>
      <c r="J533" s="17" t="s">
        <v>693</v>
      </c>
      <c r="K533" s="17"/>
      <c r="L533" s="17"/>
      <c r="M533" s="17"/>
      <c r="N533" s="17" t="s">
        <v>6460</v>
      </c>
      <c r="O533" s="17" t="s">
        <v>6839</v>
      </c>
      <c r="P533" s="17" t="s">
        <v>6843</v>
      </c>
      <c r="Q533" s="17"/>
      <c r="R533" s="25" t="str">
        <f>HYPERLINK("https://ictv.global/taxonomy/taxondetails?taxnode_id=202308521","Phikmvvirus MPK6")</f>
        <v>Phikmvvirus MPK6</v>
      </c>
      <c r="S533" s="18" t="s">
        <v>30</v>
      </c>
      <c r="T533" s="18" t="s">
        <v>6858</v>
      </c>
      <c r="U533" s="18"/>
      <c r="V533" s="18"/>
      <c r="W533" s="18" t="s">
        <v>6859</v>
      </c>
      <c r="X533" s="18" t="s">
        <v>42</v>
      </c>
      <c r="Y533" s="18" t="s">
        <v>36</v>
      </c>
      <c r="Z533" s="18" t="s">
        <v>697</v>
      </c>
      <c r="AA533" s="21" t="str">
        <f>HYPERLINK("https://www.ncbi.nlm.nih.gov/nuccore/JX997978","NCBI Nucleotide")</f>
        <v>NCBI Nucleotide</v>
      </c>
    </row>
    <row r="534" spans="1:27" x14ac:dyDescent="0.35">
      <c r="A534">
        <v>1000815</v>
      </c>
      <c r="B534">
        <v>533</v>
      </c>
      <c r="C534">
        <v>1</v>
      </c>
      <c r="D534" s="17" t="s">
        <v>155</v>
      </c>
      <c r="E534" s="17"/>
      <c r="F534" s="17" t="s">
        <v>156</v>
      </c>
      <c r="G534" s="17"/>
      <c r="H534" s="17" t="s">
        <v>692</v>
      </c>
      <c r="I534" s="17"/>
      <c r="J534" s="17" t="s">
        <v>693</v>
      </c>
      <c r="K534" s="17"/>
      <c r="L534" s="17"/>
      <c r="M534" s="17"/>
      <c r="N534" s="17" t="s">
        <v>6460</v>
      </c>
      <c r="O534" s="17" t="s">
        <v>6839</v>
      </c>
      <c r="P534" s="17" t="s">
        <v>6843</v>
      </c>
      <c r="Q534" s="17"/>
      <c r="R534" s="25" t="str">
        <f>HYPERLINK("https://ictv.global/taxonomy/taxondetails?taxnode_id=202308520","Phikmvvirus MPK7")</f>
        <v>Phikmvvirus MPK7</v>
      </c>
      <c r="S534" s="18" t="s">
        <v>30</v>
      </c>
      <c r="T534" s="18" t="s">
        <v>6860</v>
      </c>
      <c r="U534" s="18"/>
      <c r="V534" s="18"/>
      <c r="W534" s="18" t="s">
        <v>6861</v>
      </c>
      <c r="X534" s="18" t="s">
        <v>42</v>
      </c>
      <c r="Y534" s="18" t="s">
        <v>36</v>
      </c>
      <c r="Z534" s="18" t="s">
        <v>697</v>
      </c>
      <c r="AA534" s="21" t="str">
        <f>HYPERLINK("https://www.ncbi.nlm.nih.gov/nuccore/JX501340","NCBI Nucleotide")</f>
        <v>NCBI Nucleotide</v>
      </c>
    </row>
    <row r="535" spans="1:27" x14ac:dyDescent="0.35">
      <c r="A535">
        <v>1000816</v>
      </c>
      <c r="B535">
        <v>534</v>
      </c>
      <c r="C535">
        <v>1</v>
      </c>
      <c r="D535" s="17" t="s">
        <v>155</v>
      </c>
      <c r="E535" s="17"/>
      <c r="F535" s="17" t="s">
        <v>156</v>
      </c>
      <c r="G535" s="17"/>
      <c r="H535" s="17" t="s">
        <v>692</v>
      </c>
      <c r="I535" s="17"/>
      <c r="J535" s="17" t="s">
        <v>693</v>
      </c>
      <c r="K535" s="17"/>
      <c r="L535" s="17"/>
      <c r="M535" s="17"/>
      <c r="N535" s="17" t="s">
        <v>6460</v>
      </c>
      <c r="O535" s="17" t="s">
        <v>6839</v>
      </c>
      <c r="P535" s="17" t="s">
        <v>6843</v>
      </c>
      <c r="Q535" s="17"/>
      <c r="R535" s="25" t="str">
        <f>HYPERLINK("https://ictv.global/taxonomy/taxondetails?taxnode_id=202308524","Phikmvvirus NFS")</f>
        <v>Phikmvvirus NFS</v>
      </c>
      <c r="S535" s="18" t="s">
        <v>30</v>
      </c>
      <c r="T535" s="18" t="s">
        <v>6862</v>
      </c>
      <c r="U535" s="18"/>
      <c r="V535" s="18"/>
      <c r="W535" s="18" t="s">
        <v>6863</v>
      </c>
      <c r="X535" s="18" t="s">
        <v>42</v>
      </c>
      <c r="Y535" s="18" t="s">
        <v>36</v>
      </c>
      <c r="Z535" s="18" t="s">
        <v>697</v>
      </c>
      <c r="AA535" s="21" t="str">
        <f>HYPERLINK("https://www.ncbi.nlm.nih.gov/nuccore/KU743887","NCBI Nucleotide")</f>
        <v>NCBI Nucleotide</v>
      </c>
    </row>
    <row r="536" spans="1:27" x14ac:dyDescent="0.35">
      <c r="A536">
        <v>1000817</v>
      </c>
      <c r="B536">
        <v>535</v>
      </c>
      <c r="C536">
        <v>1</v>
      </c>
      <c r="D536" s="17" t="s">
        <v>155</v>
      </c>
      <c r="E536" s="17"/>
      <c r="F536" s="17" t="s">
        <v>156</v>
      </c>
      <c r="G536" s="17"/>
      <c r="H536" s="17" t="s">
        <v>692</v>
      </c>
      <c r="I536" s="17"/>
      <c r="J536" s="17" t="s">
        <v>693</v>
      </c>
      <c r="K536" s="17"/>
      <c r="L536" s="17"/>
      <c r="M536" s="17"/>
      <c r="N536" s="17" t="s">
        <v>6460</v>
      </c>
      <c r="O536" s="17" t="s">
        <v>6839</v>
      </c>
      <c r="P536" s="17" t="s">
        <v>6843</v>
      </c>
      <c r="Q536" s="17"/>
      <c r="R536" s="25" t="str">
        <f>HYPERLINK("https://ictv.global/taxonomy/taxondetails?taxnode_id=202308525","Phikmvvirus PAXYB1")</f>
        <v>Phikmvvirus PAXYB1</v>
      </c>
      <c r="S536" s="18" t="s">
        <v>30</v>
      </c>
      <c r="T536" s="18" t="s">
        <v>6864</v>
      </c>
      <c r="U536" s="18"/>
      <c r="V536" s="18"/>
      <c r="W536" s="18" t="s">
        <v>6865</v>
      </c>
      <c r="X536" s="18" t="s">
        <v>42</v>
      </c>
      <c r="Y536" s="18" t="s">
        <v>36</v>
      </c>
      <c r="Z536" s="18" t="s">
        <v>697</v>
      </c>
      <c r="AA536" s="21" t="str">
        <f>HYPERLINK("https://www.ncbi.nlm.nih.gov/nuccore/KY618819","NCBI Nucleotide")</f>
        <v>NCBI Nucleotide</v>
      </c>
    </row>
    <row r="537" spans="1:27" x14ac:dyDescent="0.35">
      <c r="A537">
        <v>1000818</v>
      </c>
      <c r="B537">
        <v>536</v>
      </c>
      <c r="C537">
        <v>1</v>
      </c>
      <c r="D537" s="17" t="s">
        <v>155</v>
      </c>
      <c r="E537" s="17"/>
      <c r="F537" s="17" t="s">
        <v>156</v>
      </c>
      <c r="G537" s="17"/>
      <c r="H537" s="17" t="s">
        <v>692</v>
      </c>
      <c r="I537" s="17"/>
      <c r="J537" s="17" t="s">
        <v>693</v>
      </c>
      <c r="K537" s="17"/>
      <c r="L537" s="17"/>
      <c r="M537" s="17"/>
      <c r="N537" s="17" t="s">
        <v>6460</v>
      </c>
      <c r="O537" s="17" t="s">
        <v>6839</v>
      </c>
      <c r="P537" s="17" t="s">
        <v>6843</v>
      </c>
      <c r="Q537" s="17"/>
      <c r="R537" s="25" t="str">
        <f>HYPERLINK("https://ictv.global/taxonomy/taxondetails?taxnode_id=202300571","Phikmvvirus phiKMV")</f>
        <v>Phikmvvirus phiKMV</v>
      </c>
      <c r="S537" s="18" t="s">
        <v>30</v>
      </c>
      <c r="T537" s="18" t="s">
        <v>6866</v>
      </c>
      <c r="U537" s="18"/>
      <c r="V537" s="18"/>
      <c r="W537" s="18" t="s">
        <v>6867</v>
      </c>
      <c r="X537" s="18" t="s">
        <v>42</v>
      </c>
      <c r="Y537" s="18" t="s">
        <v>36</v>
      </c>
      <c r="Z537" s="18" t="s">
        <v>697</v>
      </c>
      <c r="AA537" s="21" t="str">
        <f>HYPERLINK("https://www.ncbi.nlm.nih.gov/nuccore/AJ505558","NCBI Nucleotide")</f>
        <v>NCBI Nucleotide</v>
      </c>
    </row>
    <row r="538" spans="1:27" x14ac:dyDescent="0.35">
      <c r="A538">
        <v>1000819</v>
      </c>
      <c r="B538">
        <v>537</v>
      </c>
      <c r="C538">
        <v>1</v>
      </c>
      <c r="D538" s="17" t="s">
        <v>155</v>
      </c>
      <c r="E538" s="17"/>
      <c r="F538" s="17" t="s">
        <v>156</v>
      </c>
      <c r="G538" s="17"/>
      <c r="H538" s="17" t="s">
        <v>692</v>
      </c>
      <c r="I538" s="17"/>
      <c r="J538" s="17" t="s">
        <v>693</v>
      </c>
      <c r="K538" s="17"/>
      <c r="L538" s="17"/>
      <c r="M538" s="17"/>
      <c r="N538" s="17" t="s">
        <v>6460</v>
      </c>
      <c r="O538" s="17" t="s">
        <v>6839</v>
      </c>
      <c r="P538" s="17" t="s">
        <v>6843</v>
      </c>
      <c r="Q538" s="17"/>
      <c r="R538" s="25" t="str">
        <f>HYPERLINK("https://ictv.global/taxonomy/taxondetails?taxnode_id=202308518","Phikmvvirus PT2")</f>
        <v>Phikmvvirus PT2</v>
      </c>
      <c r="S538" s="18" t="s">
        <v>30</v>
      </c>
      <c r="T538" s="18" t="s">
        <v>6868</v>
      </c>
      <c r="U538" s="18"/>
      <c r="V538" s="18"/>
      <c r="W538" s="18" t="s">
        <v>6869</v>
      </c>
      <c r="X538" s="18" t="s">
        <v>42</v>
      </c>
      <c r="Y538" s="18" t="s">
        <v>36</v>
      </c>
      <c r="Z538" s="18" t="s">
        <v>697</v>
      </c>
      <c r="AA538" s="21" t="str">
        <f>HYPERLINK("https://www.ncbi.nlm.nih.gov/nuccore/EU236438","NCBI Nucleotide")</f>
        <v>NCBI Nucleotide</v>
      </c>
    </row>
    <row r="539" spans="1:27" x14ac:dyDescent="0.35">
      <c r="A539">
        <v>1000820</v>
      </c>
      <c r="B539">
        <v>538</v>
      </c>
      <c r="C539">
        <v>1</v>
      </c>
      <c r="D539" s="17" t="s">
        <v>155</v>
      </c>
      <c r="E539" s="17"/>
      <c r="F539" s="17" t="s">
        <v>156</v>
      </c>
      <c r="G539" s="17"/>
      <c r="H539" s="17" t="s">
        <v>692</v>
      </c>
      <c r="I539" s="17"/>
      <c r="J539" s="17" t="s">
        <v>693</v>
      </c>
      <c r="K539" s="17"/>
      <c r="L539" s="17"/>
      <c r="M539" s="17"/>
      <c r="N539" s="17" t="s">
        <v>6460</v>
      </c>
      <c r="O539" s="17" t="s">
        <v>6839</v>
      </c>
      <c r="P539" s="17" t="s">
        <v>6843</v>
      </c>
      <c r="Q539" s="17"/>
      <c r="R539" s="25" t="str">
        <f>HYPERLINK("https://ictv.global/taxonomy/taxondetails?taxnode_id=202308517","Phikmvvirus PT5")</f>
        <v>Phikmvvirus PT5</v>
      </c>
      <c r="S539" s="18" t="s">
        <v>30</v>
      </c>
      <c r="T539" s="18" t="s">
        <v>6870</v>
      </c>
      <c r="U539" s="18"/>
      <c r="V539" s="18"/>
      <c r="W539" s="18" t="s">
        <v>6871</v>
      </c>
      <c r="X539" s="18" t="s">
        <v>42</v>
      </c>
      <c r="Y539" s="18" t="s">
        <v>36</v>
      </c>
      <c r="Z539" s="18" t="s">
        <v>697</v>
      </c>
      <c r="AA539" s="21" t="str">
        <f>HYPERLINK("https://www.ncbi.nlm.nih.gov/nuccore/EU056923","NCBI Nucleotide")</f>
        <v>NCBI Nucleotide</v>
      </c>
    </row>
    <row r="540" spans="1:27" x14ac:dyDescent="0.35">
      <c r="A540">
        <v>1000821</v>
      </c>
      <c r="B540">
        <v>539</v>
      </c>
      <c r="C540">
        <v>1</v>
      </c>
      <c r="D540" s="17" t="s">
        <v>155</v>
      </c>
      <c r="E540" s="17"/>
      <c r="F540" s="17" t="s">
        <v>156</v>
      </c>
      <c r="G540" s="17"/>
      <c r="H540" s="17" t="s">
        <v>692</v>
      </c>
      <c r="I540" s="17"/>
      <c r="J540" s="17" t="s">
        <v>693</v>
      </c>
      <c r="K540" s="17"/>
      <c r="L540" s="17"/>
      <c r="M540" s="17"/>
      <c r="N540" s="17" t="s">
        <v>6460</v>
      </c>
      <c r="O540" s="17" t="s">
        <v>6839</v>
      </c>
      <c r="P540" s="17" t="s">
        <v>6843</v>
      </c>
      <c r="Q540" s="17"/>
      <c r="R540" s="25" t="str">
        <f>HYPERLINK("https://ictv.global/taxonomy/taxondetails?taxnode_id=202308528","Phikmvvirus pv130113")</f>
        <v>Phikmvvirus pv130113</v>
      </c>
      <c r="S540" s="18" t="s">
        <v>30</v>
      </c>
      <c r="T540" s="18" t="s">
        <v>6872</v>
      </c>
      <c r="U540" s="18"/>
      <c r="V540" s="18"/>
      <c r="W540" s="18" t="s">
        <v>6873</v>
      </c>
      <c r="X540" s="18" t="s">
        <v>42</v>
      </c>
      <c r="Y540" s="18" t="s">
        <v>36</v>
      </c>
      <c r="Z540" s="18" t="s">
        <v>697</v>
      </c>
      <c r="AA540" s="21" t="str">
        <f>HYPERLINK("https://www.ncbi.nlm.nih.gov/nuccore/MH107770","NCBI Nucleotide")</f>
        <v>NCBI Nucleotide</v>
      </c>
    </row>
    <row r="541" spans="1:27" x14ac:dyDescent="0.35">
      <c r="A541">
        <v>1000822</v>
      </c>
      <c r="B541">
        <v>540</v>
      </c>
      <c r="C541">
        <v>1</v>
      </c>
      <c r="D541" s="17" t="s">
        <v>155</v>
      </c>
      <c r="E541" s="17"/>
      <c r="F541" s="17" t="s">
        <v>156</v>
      </c>
      <c r="G541" s="17"/>
      <c r="H541" s="17" t="s">
        <v>692</v>
      </c>
      <c r="I541" s="17"/>
      <c r="J541" s="17" t="s">
        <v>693</v>
      </c>
      <c r="K541" s="17"/>
      <c r="L541" s="17"/>
      <c r="M541" s="17"/>
      <c r="N541" s="17" t="s">
        <v>6460</v>
      </c>
      <c r="O541" s="17" t="s">
        <v>6839</v>
      </c>
      <c r="P541" s="17" t="s">
        <v>6843</v>
      </c>
      <c r="Q541" s="17"/>
      <c r="R541" s="25" t="str">
        <f>HYPERLINK("https://ictv.global/taxonomy/taxondetails?taxnode_id=202308529","Phikmvvirus RLP")</f>
        <v>Phikmvvirus RLP</v>
      </c>
      <c r="S541" s="18" t="s">
        <v>30</v>
      </c>
      <c r="T541" s="18" t="s">
        <v>6874</v>
      </c>
      <c r="U541" s="18"/>
      <c r="V541" s="18"/>
      <c r="W541" s="18" t="s">
        <v>6875</v>
      </c>
      <c r="X541" s="18" t="s">
        <v>42</v>
      </c>
      <c r="Y541" s="18" t="s">
        <v>36</v>
      </c>
      <c r="Z541" s="18" t="s">
        <v>697</v>
      </c>
      <c r="AA541" s="21" t="str">
        <f>HYPERLINK("https://www.ncbi.nlm.nih.gov/nuccore/MH979674","NCBI Nucleotide")</f>
        <v>NCBI Nucleotide</v>
      </c>
    </row>
    <row r="542" spans="1:27" x14ac:dyDescent="0.35">
      <c r="A542">
        <v>1000823</v>
      </c>
      <c r="B542">
        <v>541</v>
      </c>
      <c r="C542">
        <v>1</v>
      </c>
      <c r="D542" s="17" t="s">
        <v>155</v>
      </c>
      <c r="E542" s="17"/>
      <c r="F542" s="17" t="s">
        <v>156</v>
      </c>
      <c r="G542" s="17"/>
      <c r="H542" s="17" t="s">
        <v>692</v>
      </c>
      <c r="I542" s="17"/>
      <c r="J542" s="17" t="s">
        <v>693</v>
      </c>
      <c r="K542" s="17"/>
      <c r="L542" s="17"/>
      <c r="M542" s="17"/>
      <c r="N542" s="17" t="s">
        <v>6460</v>
      </c>
      <c r="O542" s="17" t="s">
        <v>6839</v>
      </c>
      <c r="P542" s="17" t="s">
        <v>6876</v>
      </c>
      <c r="Q542" s="17"/>
      <c r="R542" s="25" t="str">
        <f>HYPERLINK("https://ictv.global/taxonomy/taxondetails?taxnode_id=202300570","Stubburvirus LKA1")</f>
        <v>Stubburvirus LKA1</v>
      </c>
      <c r="S542" s="18" t="s">
        <v>30</v>
      </c>
      <c r="T542" s="18" t="s">
        <v>6877</v>
      </c>
      <c r="U542" s="18"/>
      <c r="V542" s="18"/>
      <c r="W542" s="18" t="s">
        <v>6878</v>
      </c>
      <c r="X542" s="18" t="s">
        <v>42</v>
      </c>
      <c r="Y542" s="18" t="s">
        <v>36</v>
      </c>
      <c r="Z542" s="18" t="s">
        <v>697</v>
      </c>
      <c r="AA542" s="21" t="str">
        <f>HYPERLINK("https://www.ncbi.nlm.nih.gov/nuccore/AM265639","NCBI Nucleotide")</f>
        <v>NCBI Nucleotide</v>
      </c>
    </row>
    <row r="543" spans="1:27" x14ac:dyDescent="0.35">
      <c r="A543">
        <v>1000824</v>
      </c>
      <c r="B543">
        <v>542</v>
      </c>
      <c r="C543">
        <v>1</v>
      </c>
      <c r="D543" s="17" t="s">
        <v>155</v>
      </c>
      <c r="E543" s="17"/>
      <c r="F543" s="17" t="s">
        <v>156</v>
      </c>
      <c r="G543" s="17"/>
      <c r="H543" s="17" t="s">
        <v>692</v>
      </c>
      <c r="I543" s="17"/>
      <c r="J543" s="17" t="s">
        <v>693</v>
      </c>
      <c r="K543" s="17"/>
      <c r="L543" s="17"/>
      <c r="M543" s="17"/>
      <c r="N543" s="17" t="s">
        <v>6460</v>
      </c>
      <c r="O543" s="17" t="s">
        <v>6839</v>
      </c>
      <c r="P543" s="17" t="s">
        <v>6879</v>
      </c>
      <c r="Q543" s="17"/>
      <c r="R543" s="25" t="str">
        <f>HYPERLINK("https://ictv.global/taxonomy/taxondetails?taxnode_id=202308532","Tunggulvirus f2")</f>
        <v>Tunggulvirus f2</v>
      </c>
      <c r="S543" s="18" t="s">
        <v>30</v>
      </c>
      <c r="T543" s="18" t="s">
        <v>6880</v>
      </c>
      <c r="U543" s="18"/>
      <c r="V543" s="18"/>
      <c r="W543" s="18" t="s">
        <v>6881</v>
      </c>
      <c r="X543" s="18" t="s">
        <v>42</v>
      </c>
      <c r="Y543" s="18" t="s">
        <v>36</v>
      </c>
      <c r="Z543" s="18" t="s">
        <v>697</v>
      </c>
      <c r="AA543" s="21" t="str">
        <f>HYPERLINK("https://www.ncbi.nlm.nih.gov/nuccore/FN594518","NCBI Nucleotide")</f>
        <v>NCBI Nucleotide</v>
      </c>
    </row>
    <row r="544" spans="1:27" x14ac:dyDescent="0.35">
      <c r="A544">
        <v>1000825</v>
      </c>
      <c r="B544">
        <v>543</v>
      </c>
      <c r="C544">
        <v>1</v>
      </c>
      <c r="D544" s="17" t="s">
        <v>155</v>
      </c>
      <c r="E544" s="17"/>
      <c r="F544" s="17" t="s">
        <v>156</v>
      </c>
      <c r="G544" s="17"/>
      <c r="H544" s="17" t="s">
        <v>692</v>
      </c>
      <c r="I544" s="17"/>
      <c r="J544" s="17" t="s">
        <v>693</v>
      </c>
      <c r="K544" s="17"/>
      <c r="L544" s="17"/>
      <c r="M544" s="17"/>
      <c r="N544" s="17" t="s">
        <v>6460</v>
      </c>
      <c r="O544" s="17" t="s">
        <v>6882</v>
      </c>
      <c r="P544" s="17" t="s">
        <v>6883</v>
      </c>
      <c r="Q544" s="17"/>
      <c r="R544" s="25" t="str">
        <f>HYPERLINK("https://ictv.global/taxonomy/taxondetails?taxnode_id=202308604","Aerosvirus AS7")</f>
        <v>Aerosvirus AS7</v>
      </c>
      <c r="S544" s="18" t="s">
        <v>30</v>
      </c>
      <c r="T544" s="18" t="s">
        <v>6884</v>
      </c>
      <c r="U544" s="18"/>
      <c r="V544" s="18"/>
      <c r="W544" s="18" t="s">
        <v>6885</v>
      </c>
      <c r="X544" s="18" t="s">
        <v>42</v>
      </c>
      <c r="Y544" s="18" t="s">
        <v>36</v>
      </c>
      <c r="Z544" s="18" t="s">
        <v>697</v>
      </c>
      <c r="AA544" s="21" t="str">
        <f>HYPERLINK("https://www.ncbi.nlm.nih.gov/nuccore/JN651747","NCBI Nucleotide")</f>
        <v>NCBI Nucleotide</v>
      </c>
    </row>
    <row r="545" spans="1:27" x14ac:dyDescent="0.35">
      <c r="A545">
        <v>1000826</v>
      </c>
      <c r="B545">
        <v>544</v>
      </c>
      <c r="C545">
        <v>1</v>
      </c>
      <c r="D545" s="17" t="s">
        <v>155</v>
      </c>
      <c r="E545" s="17"/>
      <c r="F545" s="17" t="s">
        <v>156</v>
      </c>
      <c r="G545" s="17"/>
      <c r="H545" s="17" t="s">
        <v>692</v>
      </c>
      <c r="I545" s="17"/>
      <c r="J545" s="17" t="s">
        <v>693</v>
      </c>
      <c r="K545" s="17"/>
      <c r="L545" s="17"/>
      <c r="M545" s="17"/>
      <c r="N545" s="17" t="s">
        <v>6460</v>
      </c>
      <c r="O545" s="17" t="s">
        <v>6882</v>
      </c>
      <c r="P545" s="17" t="s">
        <v>6883</v>
      </c>
      <c r="Q545" s="17"/>
      <c r="R545" s="25" t="str">
        <f>HYPERLINK("https://ictv.global/taxonomy/taxondetails?taxnode_id=202308602","Aerosvirus av25AhydR2PP")</f>
        <v>Aerosvirus av25AhydR2PP</v>
      </c>
      <c r="S545" s="18" t="s">
        <v>30</v>
      </c>
      <c r="T545" s="18" t="s">
        <v>6886</v>
      </c>
      <c r="U545" s="18"/>
      <c r="V545" s="18"/>
      <c r="W545" s="18" t="s">
        <v>6887</v>
      </c>
      <c r="X545" s="18" t="s">
        <v>42</v>
      </c>
      <c r="Y545" s="18" t="s">
        <v>36</v>
      </c>
      <c r="Z545" s="18" t="s">
        <v>697</v>
      </c>
      <c r="AA545" s="21" t="str">
        <f>HYPERLINK("https://www.ncbi.nlm.nih.gov/nuccore/MH179473","NCBI Nucleotide")</f>
        <v>NCBI Nucleotide</v>
      </c>
    </row>
    <row r="546" spans="1:27" x14ac:dyDescent="0.35">
      <c r="A546">
        <v>1000827</v>
      </c>
      <c r="B546">
        <v>545</v>
      </c>
      <c r="C546">
        <v>1</v>
      </c>
      <c r="D546" s="17" t="s">
        <v>155</v>
      </c>
      <c r="E546" s="17"/>
      <c r="F546" s="17" t="s">
        <v>156</v>
      </c>
      <c r="G546" s="17"/>
      <c r="H546" s="17" t="s">
        <v>692</v>
      </c>
      <c r="I546" s="17"/>
      <c r="J546" s="17" t="s">
        <v>693</v>
      </c>
      <c r="K546" s="17"/>
      <c r="L546" s="17"/>
      <c r="M546" s="17"/>
      <c r="N546" s="17" t="s">
        <v>6460</v>
      </c>
      <c r="O546" s="17" t="s">
        <v>6882</v>
      </c>
      <c r="P546" s="17" t="s">
        <v>6883</v>
      </c>
      <c r="Q546" s="17"/>
      <c r="R546" s="25" t="str">
        <f>HYPERLINK("https://ictv.global/taxonomy/taxondetails?taxnode_id=202308603","Aerosvirus ZPAH7")</f>
        <v>Aerosvirus ZPAH7</v>
      </c>
      <c r="S546" s="18" t="s">
        <v>30</v>
      </c>
      <c r="T546" s="18" t="s">
        <v>6888</v>
      </c>
      <c r="U546" s="18"/>
      <c r="V546" s="18"/>
      <c r="W546" s="18" t="s">
        <v>6889</v>
      </c>
      <c r="X546" s="18" t="s">
        <v>42</v>
      </c>
      <c r="Y546" s="18" t="s">
        <v>36</v>
      </c>
      <c r="Z546" s="18" t="s">
        <v>697</v>
      </c>
      <c r="AA546" s="21" t="str">
        <f>HYPERLINK("https://www.ncbi.nlm.nih.gov/nuccore/MH992513","NCBI Nucleotide")</f>
        <v>NCBI Nucleotide</v>
      </c>
    </row>
    <row r="547" spans="1:27" x14ac:dyDescent="0.35">
      <c r="A547">
        <v>1000828</v>
      </c>
      <c r="B547">
        <v>546</v>
      </c>
      <c r="C547">
        <v>1</v>
      </c>
      <c r="D547" s="17" t="s">
        <v>155</v>
      </c>
      <c r="E547" s="17"/>
      <c r="F547" s="17" t="s">
        <v>156</v>
      </c>
      <c r="G547" s="17"/>
      <c r="H547" s="17" t="s">
        <v>692</v>
      </c>
      <c r="I547" s="17"/>
      <c r="J547" s="17" t="s">
        <v>693</v>
      </c>
      <c r="K547" s="17"/>
      <c r="L547" s="17"/>
      <c r="M547" s="17"/>
      <c r="N547" s="17" t="s">
        <v>6460</v>
      </c>
      <c r="O547" s="17" t="s">
        <v>6882</v>
      </c>
      <c r="P547" s="17" t="s">
        <v>6890</v>
      </c>
      <c r="Q547" s="17"/>
      <c r="R547" s="25" t="str">
        <f>HYPERLINK("https://ictv.global/taxonomy/taxondetails?taxnode_id=202308612","Aghbyvirus ISAO8")</f>
        <v>Aghbyvirus ISAO8</v>
      </c>
      <c r="S547" s="18" t="s">
        <v>30</v>
      </c>
      <c r="T547" s="18" t="s">
        <v>6891</v>
      </c>
      <c r="U547" s="18"/>
      <c r="V547" s="18"/>
      <c r="W547" s="18" t="s">
        <v>6892</v>
      </c>
      <c r="X547" s="18" t="s">
        <v>42</v>
      </c>
      <c r="Y547" s="18" t="s">
        <v>36</v>
      </c>
      <c r="Z547" s="18" t="s">
        <v>697</v>
      </c>
      <c r="AA547" s="21" t="str">
        <f>HYPERLINK("https://www.ncbi.nlm.nih.gov/nuccore/KT184661","NCBI Nucleotide")</f>
        <v>NCBI Nucleotide</v>
      </c>
    </row>
    <row r="548" spans="1:27" x14ac:dyDescent="0.35">
      <c r="A548">
        <v>1000829</v>
      </c>
      <c r="B548">
        <v>547</v>
      </c>
      <c r="C548">
        <v>1</v>
      </c>
      <c r="D548" s="17" t="s">
        <v>155</v>
      </c>
      <c r="E548" s="17"/>
      <c r="F548" s="17" t="s">
        <v>156</v>
      </c>
      <c r="G548" s="17"/>
      <c r="H548" s="17" t="s">
        <v>692</v>
      </c>
      <c r="I548" s="17"/>
      <c r="J548" s="17" t="s">
        <v>693</v>
      </c>
      <c r="K548" s="17"/>
      <c r="L548" s="17"/>
      <c r="M548" s="17"/>
      <c r="N548" s="17" t="s">
        <v>6460</v>
      </c>
      <c r="O548" s="17" t="s">
        <v>6882</v>
      </c>
      <c r="P548" s="17" t="s">
        <v>6893</v>
      </c>
      <c r="Q548" s="17"/>
      <c r="R548" s="25" t="str">
        <f>HYPERLINK("https://ictv.global/taxonomy/taxondetails?taxnode_id=202308597","Ahphunavirus Ahp1")</f>
        <v>Ahphunavirus Ahp1</v>
      </c>
      <c r="S548" s="18" t="s">
        <v>30</v>
      </c>
      <c r="T548" s="18" t="s">
        <v>6894</v>
      </c>
      <c r="U548" s="18"/>
      <c r="V548" s="18"/>
      <c r="W548" s="18" t="s">
        <v>6895</v>
      </c>
      <c r="X548" s="18" t="s">
        <v>42</v>
      </c>
      <c r="Y548" s="18" t="s">
        <v>36</v>
      </c>
      <c r="Z548" s="18" t="s">
        <v>697</v>
      </c>
      <c r="AA548" s="21" t="str">
        <f>HYPERLINK("https://www.ncbi.nlm.nih.gov/nuccore/KT949345","NCBI Nucleotide")</f>
        <v>NCBI Nucleotide</v>
      </c>
    </row>
    <row r="549" spans="1:27" x14ac:dyDescent="0.35">
      <c r="A549">
        <v>1000830</v>
      </c>
      <c r="B549">
        <v>548</v>
      </c>
      <c r="C549">
        <v>1</v>
      </c>
      <c r="D549" s="17" t="s">
        <v>155</v>
      </c>
      <c r="E549" s="17"/>
      <c r="F549" s="17" t="s">
        <v>156</v>
      </c>
      <c r="G549" s="17"/>
      <c r="H549" s="17" t="s">
        <v>692</v>
      </c>
      <c r="I549" s="17"/>
      <c r="J549" s="17" t="s">
        <v>693</v>
      </c>
      <c r="K549" s="17"/>
      <c r="L549" s="17"/>
      <c r="M549" s="17"/>
      <c r="N549" s="17" t="s">
        <v>6460</v>
      </c>
      <c r="O549" s="17" t="s">
        <v>6882</v>
      </c>
      <c r="P549" s="17" t="s">
        <v>6893</v>
      </c>
      <c r="Q549" s="17"/>
      <c r="R549" s="25" t="str">
        <f>HYPERLINK("https://ictv.global/taxonomy/taxondetails?taxnode_id=202308596","Ahphunavirus CF7")</f>
        <v>Ahphunavirus CF7</v>
      </c>
      <c r="S549" s="18" t="s">
        <v>30</v>
      </c>
      <c r="T549" s="18" t="s">
        <v>6896</v>
      </c>
      <c r="U549" s="18"/>
      <c r="V549" s="18"/>
      <c r="W549" s="18" t="s">
        <v>6897</v>
      </c>
      <c r="X549" s="18" t="s">
        <v>42</v>
      </c>
      <c r="Y549" s="18" t="s">
        <v>36</v>
      </c>
      <c r="Z549" s="18" t="s">
        <v>697</v>
      </c>
      <c r="AA549" s="21" t="str">
        <f>HYPERLINK("https://www.ncbi.nlm.nih.gov/nuccore/MF683623","NCBI Nucleotide")</f>
        <v>NCBI Nucleotide</v>
      </c>
    </row>
    <row r="550" spans="1:27" x14ac:dyDescent="0.35">
      <c r="A550">
        <v>1000831</v>
      </c>
      <c r="B550">
        <v>549</v>
      </c>
      <c r="C550">
        <v>1</v>
      </c>
      <c r="D550" s="17" t="s">
        <v>155</v>
      </c>
      <c r="E550" s="17"/>
      <c r="F550" s="17" t="s">
        <v>156</v>
      </c>
      <c r="G550" s="17"/>
      <c r="H550" s="17" t="s">
        <v>692</v>
      </c>
      <c r="I550" s="17"/>
      <c r="J550" s="17" t="s">
        <v>693</v>
      </c>
      <c r="K550" s="17"/>
      <c r="L550" s="17"/>
      <c r="M550" s="17"/>
      <c r="N550" s="17" t="s">
        <v>6460</v>
      </c>
      <c r="O550" s="17" t="s">
        <v>6882</v>
      </c>
      <c r="P550" s="17" t="s">
        <v>6898</v>
      </c>
      <c r="Q550" s="17"/>
      <c r="R550" s="25" t="str">
        <f>HYPERLINK("https://ictv.global/taxonomy/taxondetails?taxnode_id=202308606","Cronosvirus DevCD23823")</f>
        <v>Cronosvirus DevCD23823</v>
      </c>
      <c r="S550" s="18" t="s">
        <v>30</v>
      </c>
      <c r="T550" s="18" t="s">
        <v>6899</v>
      </c>
      <c r="U550" s="18"/>
      <c r="V550" s="18"/>
      <c r="W550" s="18" t="s">
        <v>6900</v>
      </c>
      <c r="X550" s="18" t="s">
        <v>42</v>
      </c>
      <c r="Y550" s="18" t="s">
        <v>36</v>
      </c>
      <c r="Z550" s="18" t="s">
        <v>697</v>
      </c>
      <c r="AA550" s="21" t="str">
        <f>HYPERLINK("https://www.ncbi.nlm.nih.gov/nuccore/LN878149","NCBI Nucleotide")</f>
        <v>NCBI Nucleotide</v>
      </c>
    </row>
    <row r="551" spans="1:27" x14ac:dyDescent="0.35">
      <c r="A551">
        <v>1000832</v>
      </c>
      <c r="B551">
        <v>550</v>
      </c>
      <c r="C551">
        <v>1</v>
      </c>
      <c r="D551" s="17" t="s">
        <v>155</v>
      </c>
      <c r="E551" s="17"/>
      <c r="F551" s="17" t="s">
        <v>156</v>
      </c>
      <c r="G551" s="17"/>
      <c r="H551" s="17" t="s">
        <v>692</v>
      </c>
      <c r="I551" s="17"/>
      <c r="J551" s="17" t="s">
        <v>693</v>
      </c>
      <c r="K551" s="17"/>
      <c r="L551" s="17"/>
      <c r="M551" s="17"/>
      <c r="N551" s="17" t="s">
        <v>6460</v>
      </c>
      <c r="O551" s="17" t="s">
        <v>6882</v>
      </c>
      <c r="P551" s="17" t="s">
        <v>6898</v>
      </c>
      <c r="Q551" s="17"/>
      <c r="R551" s="25" t="str">
        <f>HYPERLINK("https://ictv.global/taxonomy/taxondetails?taxnode_id=202308607","Cronosvirus GAP227")</f>
        <v>Cronosvirus GAP227</v>
      </c>
      <c r="S551" s="18" t="s">
        <v>30</v>
      </c>
      <c r="T551" s="18" t="s">
        <v>6901</v>
      </c>
      <c r="U551" s="18"/>
      <c r="V551" s="18"/>
      <c r="W551" s="18" t="s">
        <v>6902</v>
      </c>
      <c r="X551" s="18" t="s">
        <v>42</v>
      </c>
      <c r="Y551" s="18" t="s">
        <v>36</v>
      </c>
      <c r="Z551" s="18" t="s">
        <v>697</v>
      </c>
      <c r="AA551" s="21" t="str">
        <f>HYPERLINK("https://www.ncbi.nlm.nih.gov/nuccore/KC107834","NCBI Nucleotide")</f>
        <v>NCBI Nucleotide</v>
      </c>
    </row>
    <row r="552" spans="1:27" x14ac:dyDescent="0.35">
      <c r="A552">
        <v>1000833</v>
      </c>
      <c r="B552">
        <v>551</v>
      </c>
      <c r="C552">
        <v>1</v>
      </c>
      <c r="D552" s="17" t="s">
        <v>155</v>
      </c>
      <c r="E552" s="17"/>
      <c r="F552" s="17" t="s">
        <v>156</v>
      </c>
      <c r="G552" s="17"/>
      <c r="H552" s="17" t="s">
        <v>692</v>
      </c>
      <c r="I552" s="17"/>
      <c r="J552" s="17" t="s">
        <v>693</v>
      </c>
      <c r="K552" s="17"/>
      <c r="L552" s="17"/>
      <c r="M552" s="17"/>
      <c r="N552" s="17" t="s">
        <v>6460</v>
      </c>
      <c r="O552" s="17" t="s">
        <v>6882</v>
      </c>
      <c r="P552" s="17" t="s">
        <v>6903</v>
      </c>
      <c r="Q552" s="17"/>
      <c r="R552" s="25" t="str">
        <f>HYPERLINK("https://ictv.global/taxonomy/taxondetails?taxnode_id=202308616","Panjvirus Spp16")</f>
        <v>Panjvirus Spp16</v>
      </c>
      <c r="S552" s="18" t="s">
        <v>30</v>
      </c>
      <c r="T552" s="18" t="s">
        <v>6904</v>
      </c>
      <c r="U552" s="18"/>
      <c r="V552" s="18"/>
      <c r="W552" s="18" t="s">
        <v>6905</v>
      </c>
      <c r="X552" s="18" t="s">
        <v>42</v>
      </c>
      <c r="Y552" s="18" t="s">
        <v>36</v>
      </c>
      <c r="Z552" s="18" t="s">
        <v>697</v>
      </c>
      <c r="AA552" s="21" t="str">
        <f>HYPERLINK("https://www.ncbi.nlm.nih.gov/nuccore/MG878892","NCBI Nucleotide")</f>
        <v>NCBI Nucleotide</v>
      </c>
    </row>
    <row r="553" spans="1:27" x14ac:dyDescent="0.35">
      <c r="A553">
        <v>1000834</v>
      </c>
      <c r="B553">
        <v>552</v>
      </c>
      <c r="C553">
        <v>1</v>
      </c>
      <c r="D553" s="17" t="s">
        <v>155</v>
      </c>
      <c r="E553" s="17"/>
      <c r="F553" s="17" t="s">
        <v>156</v>
      </c>
      <c r="G553" s="17"/>
      <c r="H553" s="17" t="s">
        <v>692</v>
      </c>
      <c r="I553" s="17"/>
      <c r="J553" s="17" t="s">
        <v>693</v>
      </c>
      <c r="K553" s="17"/>
      <c r="L553" s="17"/>
      <c r="M553" s="17"/>
      <c r="N553" s="17" t="s">
        <v>6460</v>
      </c>
      <c r="O553" s="17" t="s">
        <v>6882</v>
      </c>
      <c r="P553" s="17" t="s">
        <v>6906</v>
      </c>
      <c r="Q553" s="17"/>
      <c r="R553" s="25" t="str">
        <f>HYPERLINK("https://ictv.global/taxonomy/taxondetails?taxnode_id=202308614","Pienvirus R801")</f>
        <v>Pienvirus R801</v>
      </c>
      <c r="S553" s="18" t="s">
        <v>30</v>
      </c>
      <c r="T553" s="18" t="s">
        <v>6907</v>
      </c>
      <c r="U553" s="18"/>
      <c r="V553" s="18"/>
      <c r="W553" s="18" t="s">
        <v>6908</v>
      </c>
      <c r="X553" s="18" t="s">
        <v>42</v>
      </c>
      <c r="Y553" s="18" t="s">
        <v>36</v>
      </c>
      <c r="Z553" s="18" t="s">
        <v>697</v>
      </c>
      <c r="AA553" s="21" t="str">
        <f>HYPERLINK("https://www.ncbi.nlm.nih.gov/nuccore/HE956707","NCBI Nucleotide")</f>
        <v>NCBI Nucleotide</v>
      </c>
    </row>
    <row r="554" spans="1:27" x14ac:dyDescent="0.35">
      <c r="A554">
        <v>1000835</v>
      </c>
      <c r="B554">
        <v>553</v>
      </c>
      <c r="C554">
        <v>1</v>
      </c>
      <c r="D554" s="17" t="s">
        <v>155</v>
      </c>
      <c r="E554" s="17"/>
      <c r="F554" s="17" t="s">
        <v>156</v>
      </c>
      <c r="G554" s="17"/>
      <c r="H554" s="17" t="s">
        <v>692</v>
      </c>
      <c r="I554" s="17"/>
      <c r="J554" s="17" t="s">
        <v>693</v>
      </c>
      <c r="K554" s="17"/>
      <c r="L554" s="17"/>
      <c r="M554" s="17"/>
      <c r="N554" s="17" t="s">
        <v>6460</v>
      </c>
      <c r="O554" s="17" t="s">
        <v>6882</v>
      </c>
      <c r="P554" s="17" t="s">
        <v>6909</v>
      </c>
      <c r="Q554" s="17"/>
      <c r="R554" s="25" t="str">
        <f>HYPERLINK("https://ictv.global/taxonomy/taxondetails?taxnode_id=202308599","Pokrovskaiavirus fHeYen301")</f>
        <v>Pokrovskaiavirus fHeYen301</v>
      </c>
      <c r="S554" s="18" t="s">
        <v>30</v>
      </c>
      <c r="T554" s="18" t="s">
        <v>6910</v>
      </c>
      <c r="U554" s="18"/>
      <c r="V554" s="18"/>
      <c r="W554" s="18" t="s">
        <v>6911</v>
      </c>
      <c r="X554" s="18" t="s">
        <v>42</v>
      </c>
      <c r="Y554" s="18" t="s">
        <v>36</v>
      </c>
      <c r="Z554" s="18" t="s">
        <v>697</v>
      </c>
      <c r="AA554" s="21" t="str">
        <f>HYPERLINK("https://www.ncbi.nlm.nih.gov/nuccore/KY318515","NCBI Nucleotide")</f>
        <v>NCBI Nucleotide</v>
      </c>
    </row>
    <row r="555" spans="1:27" x14ac:dyDescent="0.35">
      <c r="A555">
        <v>1000836</v>
      </c>
      <c r="B555">
        <v>554</v>
      </c>
      <c r="C555">
        <v>1</v>
      </c>
      <c r="D555" s="17" t="s">
        <v>155</v>
      </c>
      <c r="E555" s="17"/>
      <c r="F555" s="17" t="s">
        <v>156</v>
      </c>
      <c r="G555" s="17"/>
      <c r="H555" s="17" t="s">
        <v>692</v>
      </c>
      <c r="I555" s="17"/>
      <c r="J555" s="17" t="s">
        <v>693</v>
      </c>
      <c r="K555" s="17"/>
      <c r="L555" s="17"/>
      <c r="M555" s="17"/>
      <c r="N555" s="17" t="s">
        <v>6460</v>
      </c>
      <c r="O555" s="17" t="s">
        <v>6882</v>
      </c>
      <c r="P555" s="17" t="s">
        <v>6909</v>
      </c>
      <c r="Q555" s="17"/>
      <c r="R555" s="25" t="str">
        <f>HYPERLINK("https://ictv.global/taxonomy/taxondetails?taxnode_id=202308600","Pokrovskaiavirus pv8018")</f>
        <v>Pokrovskaiavirus pv8018</v>
      </c>
      <c r="S555" s="18" t="s">
        <v>30</v>
      </c>
      <c r="T555" s="18" t="s">
        <v>6912</v>
      </c>
      <c r="U555" s="18"/>
      <c r="V555" s="18"/>
      <c r="W555" s="18" t="s">
        <v>6913</v>
      </c>
      <c r="X555" s="18" t="s">
        <v>42</v>
      </c>
      <c r="Y555" s="18" t="s">
        <v>36</v>
      </c>
      <c r="Z555" s="18" t="s">
        <v>697</v>
      </c>
      <c r="AA555" s="21" t="str">
        <f>HYPERLINK("https://www.ncbi.nlm.nih.gov/nuccore/HE956710","NCBI Nucleotide")</f>
        <v>NCBI Nucleotide</v>
      </c>
    </row>
    <row r="556" spans="1:27" x14ac:dyDescent="0.35">
      <c r="A556">
        <v>1000837</v>
      </c>
      <c r="B556">
        <v>555</v>
      </c>
      <c r="C556">
        <v>1</v>
      </c>
      <c r="D556" s="17" t="s">
        <v>155</v>
      </c>
      <c r="E556" s="17"/>
      <c r="F556" s="17" t="s">
        <v>156</v>
      </c>
      <c r="G556" s="17"/>
      <c r="H556" s="17" t="s">
        <v>692</v>
      </c>
      <c r="I556" s="17"/>
      <c r="J556" s="17" t="s">
        <v>693</v>
      </c>
      <c r="K556" s="17"/>
      <c r="L556" s="17"/>
      <c r="M556" s="17"/>
      <c r="N556" s="17" t="s">
        <v>6460</v>
      </c>
      <c r="O556" s="17" t="s">
        <v>6882</v>
      </c>
      <c r="P556" s="17" t="s">
        <v>6914</v>
      </c>
      <c r="Q556" s="17"/>
      <c r="R556" s="25" t="str">
        <f>HYPERLINK("https://ictv.global/taxonomy/taxondetails?taxnode_id=202308609","Wanjuvirus arno160")</f>
        <v>Wanjuvirus arno160</v>
      </c>
      <c r="S556" s="18" t="s">
        <v>30</v>
      </c>
      <c r="T556" s="18" t="s">
        <v>6915</v>
      </c>
      <c r="U556" s="18"/>
      <c r="V556" s="18"/>
      <c r="W556" s="18" t="s">
        <v>6916</v>
      </c>
      <c r="X556" s="18" t="s">
        <v>42</v>
      </c>
      <c r="Y556" s="18" t="s">
        <v>36</v>
      </c>
      <c r="Z556" s="18" t="s">
        <v>697</v>
      </c>
      <c r="AA556" s="21" t="str">
        <f>HYPERLINK("https://www.ncbi.nlm.nih.gov/nuccore/MK053931","NCBI Nucleotide")</f>
        <v>NCBI Nucleotide</v>
      </c>
    </row>
    <row r="557" spans="1:27" x14ac:dyDescent="0.35">
      <c r="A557">
        <v>1000838</v>
      </c>
      <c r="B557">
        <v>556</v>
      </c>
      <c r="C557">
        <v>1</v>
      </c>
      <c r="D557" s="17" t="s">
        <v>155</v>
      </c>
      <c r="E557" s="17"/>
      <c r="F557" s="17" t="s">
        <v>156</v>
      </c>
      <c r="G557" s="17"/>
      <c r="H557" s="17" t="s">
        <v>692</v>
      </c>
      <c r="I557" s="17"/>
      <c r="J557" s="17" t="s">
        <v>693</v>
      </c>
      <c r="K557" s="17"/>
      <c r="L557" s="17"/>
      <c r="M557" s="17"/>
      <c r="N557" s="17" t="s">
        <v>6460</v>
      </c>
      <c r="O557" s="17" t="s">
        <v>6882</v>
      </c>
      <c r="P557" s="17" t="s">
        <v>6914</v>
      </c>
      <c r="Q557" s="17"/>
      <c r="R557" s="25" t="str">
        <f>HYPERLINK("https://ictv.global/taxonomy/taxondetails?taxnode_id=202308610","Wanjuvirus PP2")</f>
        <v>Wanjuvirus PP2</v>
      </c>
      <c r="S557" s="18" t="s">
        <v>30</v>
      </c>
      <c r="T557" s="18" t="s">
        <v>6917</v>
      </c>
      <c r="U557" s="18"/>
      <c r="V557" s="18"/>
      <c r="W557" s="18" t="s">
        <v>6918</v>
      </c>
      <c r="X557" s="18" t="s">
        <v>42</v>
      </c>
      <c r="Y557" s="18" t="s">
        <v>36</v>
      </c>
      <c r="Z557" s="18" t="s">
        <v>697</v>
      </c>
      <c r="AA557" s="21" t="str">
        <f>HYPERLINK("https://www.ncbi.nlm.nih.gov/nuccore/KX756572","NCBI Nucleotide")</f>
        <v>NCBI Nucleotide</v>
      </c>
    </row>
    <row r="558" spans="1:27" x14ac:dyDescent="0.35">
      <c r="A558">
        <v>1000841</v>
      </c>
      <c r="B558">
        <v>557</v>
      </c>
      <c r="C558">
        <v>1</v>
      </c>
      <c r="D558" s="17" t="s">
        <v>155</v>
      </c>
      <c r="E558" s="17"/>
      <c r="F558" s="17" t="s">
        <v>156</v>
      </c>
      <c r="G558" s="17"/>
      <c r="H558" s="17" t="s">
        <v>692</v>
      </c>
      <c r="I558" s="17"/>
      <c r="J558" s="17" t="s">
        <v>693</v>
      </c>
      <c r="K558" s="17"/>
      <c r="L558" s="17"/>
      <c r="M558" s="17"/>
      <c r="N558" s="17" t="s">
        <v>6460</v>
      </c>
      <c r="O558" s="17" t="s">
        <v>6919</v>
      </c>
      <c r="P558" s="17" t="s">
        <v>6920</v>
      </c>
      <c r="Q558" s="17"/>
      <c r="R558" s="25" t="str">
        <f>HYPERLINK("https://ictv.global/taxonomy/taxondetails?taxnode_id=202308579","Acadevirus PM85")</f>
        <v>Acadevirus PM85</v>
      </c>
      <c r="S558" s="18" t="s">
        <v>30</v>
      </c>
      <c r="T558" s="18" t="s">
        <v>6925</v>
      </c>
      <c r="U558" s="18"/>
      <c r="V558" s="18"/>
      <c r="W558" s="18" t="s">
        <v>6926</v>
      </c>
      <c r="X558" s="18" t="s">
        <v>42</v>
      </c>
      <c r="Y558" s="18" t="s">
        <v>36</v>
      </c>
      <c r="Z558" s="18" t="s">
        <v>697</v>
      </c>
      <c r="AA558" s="21" t="str">
        <f>HYPERLINK("https://www.ncbi.nlm.nih.gov/nuccore/KM819695","NCBI Nucleotide")</f>
        <v>NCBI Nucleotide</v>
      </c>
    </row>
    <row r="559" spans="1:27" x14ac:dyDescent="0.35">
      <c r="A559">
        <v>1000842</v>
      </c>
      <c r="B559">
        <v>558</v>
      </c>
      <c r="C559">
        <v>1</v>
      </c>
      <c r="D559" s="17" t="s">
        <v>155</v>
      </c>
      <c r="E559" s="17"/>
      <c r="F559" s="17" t="s">
        <v>156</v>
      </c>
      <c r="G559" s="17"/>
      <c r="H559" s="17" t="s">
        <v>692</v>
      </c>
      <c r="I559" s="17"/>
      <c r="J559" s="17" t="s">
        <v>693</v>
      </c>
      <c r="K559" s="17"/>
      <c r="L559" s="17"/>
      <c r="M559" s="17"/>
      <c r="N559" s="17" t="s">
        <v>6460</v>
      </c>
      <c r="O559" s="17" t="s">
        <v>6919</v>
      </c>
      <c r="P559" s="17" t="s">
        <v>6920</v>
      </c>
      <c r="Q559" s="17"/>
      <c r="R559" s="25" t="str">
        <f>HYPERLINK("https://ictv.global/taxonomy/taxondetails?taxnode_id=202308576","Acadevirus PM93")</f>
        <v>Acadevirus PM93</v>
      </c>
      <c r="S559" s="18" t="s">
        <v>30</v>
      </c>
      <c r="T559" s="18" t="s">
        <v>6927</v>
      </c>
      <c r="U559" s="18"/>
      <c r="V559" s="18"/>
      <c r="W559" s="18" t="s">
        <v>6928</v>
      </c>
      <c r="X559" s="18" t="s">
        <v>42</v>
      </c>
      <c r="Y559" s="18" t="s">
        <v>36</v>
      </c>
      <c r="Z559" s="18" t="s">
        <v>697</v>
      </c>
      <c r="AA559" s="21" t="str">
        <f>HYPERLINK("https://www.ncbi.nlm.nih.gov/nuccore/KM819696","NCBI Nucleotide")</f>
        <v>NCBI Nucleotide</v>
      </c>
    </row>
    <row r="560" spans="1:27" x14ac:dyDescent="0.35">
      <c r="A560">
        <v>1000839</v>
      </c>
      <c r="B560">
        <v>559</v>
      </c>
      <c r="C560">
        <v>1</v>
      </c>
      <c r="D560" s="17" t="s">
        <v>155</v>
      </c>
      <c r="E560" s="17"/>
      <c r="F560" s="17" t="s">
        <v>156</v>
      </c>
      <c r="G560" s="17"/>
      <c r="H560" s="17" t="s">
        <v>692</v>
      </c>
      <c r="I560" s="17"/>
      <c r="J560" s="17" t="s">
        <v>693</v>
      </c>
      <c r="K560" s="17"/>
      <c r="L560" s="17"/>
      <c r="M560" s="17"/>
      <c r="N560" s="17" t="s">
        <v>6460</v>
      </c>
      <c r="O560" s="17" t="s">
        <v>6919</v>
      </c>
      <c r="P560" s="17" t="s">
        <v>6920</v>
      </c>
      <c r="Q560" s="17"/>
      <c r="R560" s="25" t="str">
        <f>HYPERLINK("https://ictv.global/taxonomy/taxondetails?taxnode_id=202308578","Acadevirus PM116")</f>
        <v>Acadevirus PM116</v>
      </c>
      <c r="S560" s="18" t="s">
        <v>30</v>
      </c>
      <c r="T560" s="18" t="s">
        <v>6921</v>
      </c>
      <c r="U560" s="18"/>
      <c r="V560" s="18"/>
      <c r="W560" s="18" t="s">
        <v>6922</v>
      </c>
      <c r="X560" s="18" t="s">
        <v>42</v>
      </c>
      <c r="Y560" s="18" t="s">
        <v>36</v>
      </c>
      <c r="Z560" s="18" t="s">
        <v>697</v>
      </c>
      <c r="AA560" s="21" t="str">
        <f>HYPERLINK("https://www.ncbi.nlm.nih.gov/nuccore/KU946962","NCBI Nucleotide")</f>
        <v>NCBI Nucleotide</v>
      </c>
    </row>
    <row r="561" spans="1:27" x14ac:dyDescent="0.35">
      <c r="A561">
        <v>1000840</v>
      </c>
      <c r="B561">
        <v>560</v>
      </c>
      <c r="C561">
        <v>1</v>
      </c>
      <c r="D561" s="17" t="s">
        <v>155</v>
      </c>
      <c r="E561" s="17"/>
      <c r="F561" s="17" t="s">
        <v>156</v>
      </c>
      <c r="G561" s="17"/>
      <c r="H561" s="17" t="s">
        <v>692</v>
      </c>
      <c r="I561" s="17"/>
      <c r="J561" s="17" t="s">
        <v>693</v>
      </c>
      <c r="K561" s="17"/>
      <c r="L561" s="17"/>
      <c r="M561" s="17"/>
      <c r="N561" s="17" t="s">
        <v>6460</v>
      </c>
      <c r="O561" s="17" t="s">
        <v>6919</v>
      </c>
      <c r="P561" s="17" t="s">
        <v>6920</v>
      </c>
      <c r="Q561" s="17"/>
      <c r="R561" s="25" t="str">
        <f>HYPERLINK("https://ictv.global/taxonomy/taxondetails?taxnode_id=202308577","Acadevirus Pm5460")</f>
        <v>Acadevirus Pm5460</v>
      </c>
      <c r="S561" s="18" t="s">
        <v>30</v>
      </c>
      <c r="T561" s="18" t="s">
        <v>6923</v>
      </c>
      <c r="U561" s="18"/>
      <c r="V561" s="18"/>
      <c r="W561" s="18" t="s">
        <v>6924</v>
      </c>
      <c r="X561" s="18" t="s">
        <v>42</v>
      </c>
      <c r="Y561" s="18" t="s">
        <v>36</v>
      </c>
      <c r="Z561" s="18" t="s">
        <v>697</v>
      </c>
      <c r="AA561" s="21" t="str">
        <f>HYPERLINK("https://www.ncbi.nlm.nih.gov/nuccore/KP890822","NCBI Nucleotide")</f>
        <v>NCBI Nucleotide</v>
      </c>
    </row>
    <row r="562" spans="1:27" x14ac:dyDescent="0.35">
      <c r="A562">
        <v>1000843</v>
      </c>
      <c r="B562">
        <v>561</v>
      </c>
      <c r="C562">
        <v>1</v>
      </c>
      <c r="D562" s="17" t="s">
        <v>155</v>
      </c>
      <c r="E562" s="17"/>
      <c r="F562" s="17" t="s">
        <v>156</v>
      </c>
      <c r="G562" s="17"/>
      <c r="H562" s="17" t="s">
        <v>692</v>
      </c>
      <c r="I562" s="17"/>
      <c r="J562" s="17" t="s">
        <v>693</v>
      </c>
      <c r="K562" s="17"/>
      <c r="L562" s="17"/>
      <c r="M562" s="17"/>
      <c r="N562" s="17" t="s">
        <v>6460</v>
      </c>
      <c r="O562" s="17" t="s">
        <v>6919</v>
      </c>
      <c r="P562" s="17" t="s">
        <v>6929</v>
      </c>
      <c r="Q562" s="17"/>
      <c r="R562" s="25" t="str">
        <f>HYPERLINK("https://ictv.global/taxonomy/taxondetails?taxnode_id=202308574","Axomammavirus PP1")</f>
        <v>Axomammavirus PP1</v>
      </c>
      <c r="S562" s="18" t="s">
        <v>30</v>
      </c>
      <c r="T562" s="18" t="s">
        <v>6930</v>
      </c>
      <c r="U562" s="18"/>
      <c r="V562" s="18"/>
      <c r="W562" s="18" t="s">
        <v>6931</v>
      </c>
      <c r="X562" s="18" t="s">
        <v>42</v>
      </c>
      <c r="Y562" s="18" t="s">
        <v>36</v>
      </c>
      <c r="Z562" s="18" t="s">
        <v>697</v>
      </c>
      <c r="AA562" s="21" t="str">
        <f>HYPERLINK("https://www.ncbi.nlm.nih.gov/nuccore/JQ837901","NCBI Nucleotide")</f>
        <v>NCBI Nucleotide</v>
      </c>
    </row>
    <row r="563" spans="1:27" x14ac:dyDescent="0.35">
      <c r="A563">
        <v>1000844</v>
      </c>
      <c r="B563">
        <v>562</v>
      </c>
      <c r="C563">
        <v>1</v>
      </c>
      <c r="D563" s="17" t="s">
        <v>155</v>
      </c>
      <c r="E563" s="17"/>
      <c r="F563" s="17" t="s">
        <v>156</v>
      </c>
      <c r="G563" s="17"/>
      <c r="H563" s="17" t="s">
        <v>692</v>
      </c>
      <c r="I563" s="17"/>
      <c r="J563" s="17" t="s">
        <v>693</v>
      </c>
      <c r="K563" s="17"/>
      <c r="L563" s="17"/>
      <c r="M563" s="17"/>
      <c r="N563" s="17" t="s">
        <v>6460</v>
      </c>
      <c r="O563" s="17" t="s">
        <v>6919</v>
      </c>
      <c r="P563" s="17" t="s">
        <v>6932</v>
      </c>
      <c r="Q563" s="17"/>
      <c r="R563" s="25" t="str">
        <f>HYPERLINK("https://ictv.global/taxonomy/taxondetails?taxnode_id=202300577","Eracentumvirus era103")</f>
        <v>Eracentumvirus era103</v>
      </c>
      <c r="S563" s="18" t="s">
        <v>30</v>
      </c>
      <c r="T563" s="18" t="s">
        <v>6933</v>
      </c>
      <c r="U563" s="18"/>
      <c r="V563" s="18"/>
      <c r="W563" s="18" t="s">
        <v>6934</v>
      </c>
      <c r="X563" s="18" t="s">
        <v>42</v>
      </c>
      <c r="Y563" s="18" t="s">
        <v>36</v>
      </c>
      <c r="Z563" s="18" t="s">
        <v>697</v>
      </c>
      <c r="AA563" s="21" t="str">
        <f>HYPERLINK("https://www.ncbi.nlm.nih.gov/nuccore/EF160123","NCBI Nucleotide")</f>
        <v>NCBI Nucleotide</v>
      </c>
    </row>
    <row r="564" spans="1:27" x14ac:dyDescent="0.35">
      <c r="A564">
        <v>1000845</v>
      </c>
      <c r="B564">
        <v>563</v>
      </c>
      <c r="C564">
        <v>1</v>
      </c>
      <c r="D564" s="17" t="s">
        <v>155</v>
      </c>
      <c r="E564" s="17"/>
      <c r="F564" s="17" t="s">
        <v>156</v>
      </c>
      <c r="G564" s="17"/>
      <c r="H564" s="17" t="s">
        <v>692</v>
      </c>
      <c r="I564" s="17"/>
      <c r="J564" s="17" t="s">
        <v>693</v>
      </c>
      <c r="K564" s="17"/>
      <c r="L564" s="17"/>
      <c r="M564" s="17"/>
      <c r="N564" s="17" t="s">
        <v>6460</v>
      </c>
      <c r="O564" s="17" t="s">
        <v>6919</v>
      </c>
      <c r="P564" s="17" t="s">
        <v>6932</v>
      </c>
      <c r="Q564" s="17"/>
      <c r="R564" s="25" t="str">
        <f>HYPERLINK("https://ictv.global/taxonomy/taxondetails?taxnode_id=202308572","Eracentumvirus S2")</f>
        <v>Eracentumvirus S2</v>
      </c>
      <c r="S564" s="18" t="s">
        <v>30</v>
      </c>
      <c r="T564" s="18" t="s">
        <v>6935</v>
      </c>
      <c r="U564" s="18"/>
      <c r="V564" s="18"/>
      <c r="W564" s="18" t="s">
        <v>6936</v>
      </c>
      <c r="X564" s="18" t="s">
        <v>42</v>
      </c>
      <c r="Y564" s="18" t="s">
        <v>36</v>
      </c>
      <c r="Z564" s="18" t="s">
        <v>697</v>
      </c>
      <c r="AA564" s="21" t="str">
        <f>HYPERLINK("https://www.ncbi.nlm.nih.gov/nuccore/MG736918","NCBI Nucleotide")</f>
        <v>NCBI Nucleotide</v>
      </c>
    </row>
    <row r="565" spans="1:27" x14ac:dyDescent="0.35">
      <c r="A565">
        <v>1000846</v>
      </c>
      <c r="B565">
        <v>564</v>
      </c>
      <c r="C565">
        <v>1</v>
      </c>
      <c r="D565" s="17" t="s">
        <v>155</v>
      </c>
      <c r="E565" s="17"/>
      <c r="F565" s="17" t="s">
        <v>156</v>
      </c>
      <c r="G565" s="17"/>
      <c r="H565" s="17" t="s">
        <v>692</v>
      </c>
      <c r="I565" s="17"/>
      <c r="J565" s="17" t="s">
        <v>693</v>
      </c>
      <c r="K565" s="17"/>
      <c r="L565" s="17"/>
      <c r="M565" s="17"/>
      <c r="N565" s="17" t="s">
        <v>6460</v>
      </c>
      <c r="O565" s="17" t="s">
        <v>6919</v>
      </c>
      <c r="P565" s="17" t="s">
        <v>6937</v>
      </c>
      <c r="Q565" s="17"/>
      <c r="R565" s="25" t="str">
        <f>HYPERLINK("https://ictv.global/taxonomy/taxondetails?taxnode_id=202308581","Tuodvirus phD2B")</f>
        <v>Tuodvirus phD2B</v>
      </c>
      <c r="S565" s="18" t="s">
        <v>30</v>
      </c>
      <c r="T565" s="18" t="s">
        <v>6938</v>
      </c>
      <c r="U565" s="18"/>
      <c r="V565" s="18"/>
      <c r="W565" s="18" t="s">
        <v>6939</v>
      </c>
      <c r="X565" s="18" t="s">
        <v>42</v>
      </c>
      <c r="Y565" s="18" t="s">
        <v>36</v>
      </c>
      <c r="Z565" s="18" t="s">
        <v>697</v>
      </c>
      <c r="AA565" s="21" t="str">
        <f>HYPERLINK("https://www.ncbi.nlm.nih.gov/nuccore/KM370384","NCBI Nucleotide")</f>
        <v>NCBI Nucleotide</v>
      </c>
    </row>
    <row r="566" spans="1:27" x14ac:dyDescent="0.35">
      <c r="A566">
        <v>1000847</v>
      </c>
      <c r="B566">
        <v>565</v>
      </c>
      <c r="C566">
        <v>1</v>
      </c>
      <c r="D566" s="17" t="s">
        <v>155</v>
      </c>
      <c r="E566" s="17"/>
      <c r="F566" s="17" t="s">
        <v>156</v>
      </c>
      <c r="G566" s="17"/>
      <c r="H566" s="17" t="s">
        <v>692</v>
      </c>
      <c r="I566" s="17"/>
      <c r="J566" s="17" t="s">
        <v>693</v>
      </c>
      <c r="K566" s="17"/>
      <c r="L566" s="17"/>
      <c r="M566" s="17"/>
      <c r="N566" s="17" t="s">
        <v>6460</v>
      </c>
      <c r="O566" s="17" t="s">
        <v>6919</v>
      </c>
      <c r="P566" s="17" t="s">
        <v>6940</v>
      </c>
      <c r="Q566" s="17"/>
      <c r="R566" s="25" t="str">
        <f>HYPERLINK("https://ictv.global/taxonomy/taxondetails?taxnode_id=202308585","Vectrevirus AAPEc6")</f>
        <v>Vectrevirus AAPEc6</v>
      </c>
      <c r="S566" s="18" t="s">
        <v>30</v>
      </c>
      <c r="T566" s="18" t="s">
        <v>6941</v>
      </c>
      <c r="U566" s="18"/>
      <c r="V566" s="18"/>
      <c r="W566" s="18" t="s">
        <v>6942</v>
      </c>
      <c r="X566" s="18" t="s">
        <v>42</v>
      </c>
      <c r="Y566" s="18" t="s">
        <v>36</v>
      </c>
      <c r="Z566" s="18" t="s">
        <v>697</v>
      </c>
      <c r="AA566" s="21" t="str">
        <f>HYPERLINK("https://www.ncbi.nlm.nih.gov/nuccore/KX279892","NCBI Nucleotide")</f>
        <v>NCBI Nucleotide</v>
      </c>
    </row>
    <row r="567" spans="1:27" x14ac:dyDescent="0.35">
      <c r="A567">
        <v>1000848</v>
      </c>
      <c r="B567">
        <v>566</v>
      </c>
      <c r="C567">
        <v>1</v>
      </c>
      <c r="D567" s="17" t="s">
        <v>155</v>
      </c>
      <c r="E567" s="17"/>
      <c r="F567" s="17" t="s">
        <v>156</v>
      </c>
      <c r="G567" s="17"/>
      <c r="H567" s="17" t="s">
        <v>692</v>
      </c>
      <c r="I567" s="17"/>
      <c r="J567" s="17" t="s">
        <v>693</v>
      </c>
      <c r="K567" s="17"/>
      <c r="L567" s="17"/>
      <c r="M567" s="17"/>
      <c r="N567" s="17" t="s">
        <v>6460</v>
      </c>
      <c r="O567" s="17" t="s">
        <v>6919</v>
      </c>
      <c r="P567" s="17" t="s">
        <v>6940</v>
      </c>
      <c r="Q567" s="17"/>
      <c r="R567" s="25" t="str">
        <f>HYPERLINK("https://ictv.global/taxonomy/taxondetails?taxnode_id=202308584","Vectrevirus ACGC91")</f>
        <v>Vectrevirus ACGC91</v>
      </c>
      <c r="S567" s="18" t="s">
        <v>30</v>
      </c>
      <c r="T567" s="18" t="s">
        <v>6943</v>
      </c>
      <c r="U567" s="18"/>
      <c r="V567" s="18"/>
      <c r="W567" s="18" t="s">
        <v>6944</v>
      </c>
      <c r="X567" s="18" t="s">
        <v>42</v>
      </c>
      <c r="Y567" s="18" t="s">
        <v>36</v>
      </c>
      <c r="Z567" s="18" t="s">
        <v>697</v>
      </c>
      <c r="AA567" s="21" t="str">
        <f>HYPERLINK("https://www.ncbi.nlm.nih.gov/nuccore/JN986844","NCBI Nucleotide")</f>
        <v>NCBI Nucleotide</v>
      </c>
    </row>
    <row r="568" spans="1:27" x14ac:dyDescent="0.35">
      <c r="A568">
        <v>1000849</v>
      </c>
      <c r="B568">
        <v>567</v>
      </c>
      <c r="C568">
        <v>1</v>
      </c>
      <c r="D568" s="17" t="s">
        <v>155</v>
      </c>
      <c r="E568" s="17"/>
      <c r="F568" s="17" t="s">
        <v>156</v>
      </c>
      <c r="G568" s="17"/>
      <c r="H568" s="17" t="s">
        <v>692</v>
      </c>
      <c r="I568" s="17"/>
      <c r="J568" s="17" t="s">
        <v>693</v>
      </c>
      <c r="K568" s="17"/>
      <c r="L568" s="17"/>
      <c r="M568" s="17"/>
      <c r="N568" s="17" t="s">
        <v>6460</v>
      </c>
      <c r="O568" s="17" t="s">
        <v>6919</v>
      </c>
      <c r="P568" s="17" t="s">
        <v>6940</v>
      </c>
      <c r="Q568" s="17"/>
      <c r="R568" s="25" t="str">
        <f>HYPERLINK("https://ictv.global/taxonomy/taxondetails?taxnode_id=202308586","Vectrevirus bee")</f>
        <v>Vectrevirus bee</v>
      </c>
      <c r="S568" s="18" t="s">
        <v>30</v>
      </c>
      <c r="T568" s="18" t="s">
        <v>6945</v>
      </c>
      <c r="U568" s="18"/>
      <c r="V568" s="18"/>
      <c r="W568" s="18" t="s">
        <v>6946</v>
      </c>
      <c r="X568" s="18" t="s">
        <v>42</v>
      </c>
      <c r="Y568" s="18" t="s">
        <v>36</v>
      </c>
      <c r="Z568" s="18" t="s">
        <v>697</v>
      </c>
      <c r="AA568" s="21" t="str">
        <f>HYPERLINK("https://www.ncbi.nlm.nih.gov/nuccore/KY295891","NCBI Nucleotide")</f>
        <v>NCBI Nucleotide</v>
      </c>
    </row>
    <row r="569" spans="1:27" x14ac:dyDescent="0.35">
      <c r="A569">
        <v>1000850</v>
      </c>
      <c r="B569">
        <v>568</v>
      </c>
      <c r="C569">
        <v>1</v>
      </c>
      <c r="D569" s="17" t="s">
        <v>155</v>
      </c>
      <c r="E569" s="17"/>
      <c r="F569" s="17" t="s">
        <v>156</v>
      </c>
      <c r="G569" s="17"/>
      <c r="H569" s="17" t="s">
        <v>692</v>
      </c>
      <c r="I569" s="17"/>
      <c r="J569" s="17" t="s">
        <v>693</v>
      </c>
      <c r="K569" s="17"/>
      <c r="L569" s="17"/>
      <c r="M569" s="17"/>
      <c r="N569" s="17" t="s">
        <v>6460</v>
      </c>
      <c r="O569" s="17" t="s">
        <v>6919</v>
      </c>
      <c r="P569" s="17" t="s">
        <v>6940</v>
      </c>
      <c r="Q569" s="17"/>
      <c r="R569" s="25" t="str">
        <f>HYPERLINK("https://ictv.global/taxonomy/taxondetails?taxnode_id=202308587","Vectrevirus cee")</f>
        <v>Vectrevirus cee</v>
      </c>
      <c r="S569" s="18" t="s">
        <v>30</v>
      </c>
      <c r="T569" s="18" t="s">
        <v>6947</v>
      </c>
      <c r="U569" s="18"/>
      <c r="V569" s="18"/>
      <c r="W569" s="18" t="s">
        <v>6948</v>
      </c>
      <c r="X569" s="18" t="s">
        <v>42</v>
      </c>
      <c r="Y569" s="18" t="s">
        <v>36</v>
      </c>
      <c r="Z569" s="18" t="s">
        <v>697</v>
      </c>
      <c r="AA569" s="21" t="str">
        <f>HYPERLINK("https://www.ncbi.nlm.nih.gov/nuccore/KY295892","NCBI Nucleotide")</f>
        <v>NCBI Nucleotide</v>
      </c>
    </row>
    <row r="570" spans="1:27" x14ac:dyDescent="0.35">
      <c r="A570">
        <v>1000851</v>
      </c>
      <c r="B570">
        <v>569</v>
      </c>
      <c r="C570">
        <v>1</v>
      </c>
      <c r="D570" s="17" t="s">
        <v>155</v>
      </c>
      <c r="E570" s="17"/>
      <c r="F570" s="17" t="s">
        <v>156</v>
      </c>
      <c r="G570" s="17"/>
      <c r="H570" s="17" t="s">
        <v>692</v>
      </c>
      <c r="I570" s="17"/>
      <c r="J570" s="17" t="s">
        <v>693</v>
      </c>
      <c r="K570" s="17"/>
      <c r="L570" s="17"/>
      <c r="M570" s="17"/>
      <c r="N570" s="17" t="s">
        <v>6460</v>
      </c>
      <c r="O570" s="17" t="s">
        <v>6919</v>
      </c>
      <c r="P570" s="17" t="s">
        <v>6940</v>
      </c>
      <c r="Q570" s="17"/>
      <c r="R570" s="25" t="str">
        <f>HYPERLINK("https://ictv.global/taxonomy/taxondetails?taxnode_id=202308590","Vectrevirus CrRp3")</f>
        <v>Vectrevirus CrRp3</v>
      </c>
      <c r="S570" s="18" t="s">
        <v>30</v>
      </c>
      <c r="T570" s="18" t="s">
        <v>6949</v>
      </c>
      <c r="U570" s="18"/>
      <c r="V570" s="18"/>
      <c r="W570" s="18" t="s">
        <v>6950</v>
      </c>
      <c r="X570" s="18" t="s">
        <v>42</v>
      </c>
      <c r="Y570" s="18" t="s">
        <v>36</v>
      </c>
      <c r="Z570" s="18" t="s">
        <v>697</v>
      </c>
      <c r="AA570" s="21" t="str">
        <f>HYPERLINK("https://www.ncbi.nlm.nih.gov/nuccore/MG775042","NCBI Nucleotide")</f>
        <v>NCBI Nucleotide</v>
      </c>
    </row>
    <row r="571" spans="1:27" x14ac:dyDescent="0.35">
      <c r="A571">
        <v>1000852</v>
      </c>
      <c r="B571">
        <v>570</v>
      </c>
      <c r="C571">
        <v>1</v>
      </c>
      <c r="D571" s="17" t="s">
        <v>155</v>
      </c>
      <c r="E571" s="17"/>
      <c r="F571" s="17" t="s">
        <v>156</v>
      </c>
      <c r="G571" s="17"/>
      <c r="H571" s="17" t="s">
        <v>692</v>
      </c>
      <c r="I571" s="17"/>
      <c r="J571" s="17" t="s">
        <v>693</v>
      </c>
      <c r="K571" s="17"/>
      <c r="L571" s="17"/>
      <c r="M571" s="17"/>
      <c r="N571" s="17" t="s">
        <v>6460</v>
      </c>
      <c r="O571" s="17" t="s">
        <v>6919</v>
      </c>
      <c r="P571" s="17" t="s">
        <v>6940</v>
      </c>
      <c r="Q571" s="17"/>
      <c r="R571" s="25" t="str">
        <f>HYPERLINK("https://ictv.global/taxonomy/taxondetails?taxnode_id=202300579","Vectrevirus K15")</f>
        <v>Vectrevirus K15</v>
      </c>
      <c r="S571" s="18" t="s">
        <v>30</v>
      </c>
      <c r="T571" s="18" t="s">
        <v>6951</v>
      </c>
      <c r="U571" s="18"/>
      <c r="V571" s="18"/>
      <c r="W571" s="18" t="s">
        <v>6952</v>
      </c>
      <c r="X571" s="18" t="s">
        <v>42</v>
      </c>
      <c r="Y571" s="18" t="s">
        <v>36</v>
      </c>
      <c r="Z571" s="18" t="s">
        <v>697</v>
      </c>
      <c r="AA571" s="21" t="str">
        <f>HYPERLINK("https://www.ncbi.nlm.nih.gov/nuccore/AY370674","NCBI Nucleotide")</f>
        <v>NCBI Nucleotide</v>
      </c>
    </row>
    <row r="572" spans="1:27" x14ac:dyDescent="0.35">
      <c r="A572">
        <v>1000853</v>
      </c>
      <c r="B572">
        <v>571</v>
      </c>
      <c r="C572">
        <v>1</v>
      </c>
      <c r="D572" s="17" t="s">
        <v>155</v>
      </c>
      <c r="E572" s="17"/>
      <c r="F572" s="17" t="s">
        <v>156</v>
      </c>
      <c r="G572" s="17"/>
      <c r="H572" s="17" t="s">
        <v>692</v>
      </c>
      <c r="I572" s="17"/>
      <c r="J572" s="17" t="s">
        <v>693</v>
      </c>
      <c r="K572" s="17"/>
      <c r="L572" s="17"/>
      <c r="M572" s="17"/>
      <c r="N572" s="17" t="s">
        <v>6460</v>
      </c>
      <c r="O572" s="17" t="s">
        <v>6919</v>
      </c>
      <c r="P572" s="17" t="s">
        <v>6940</v>
      </c>
      <c r="Q572" s="17"/>
      <c r="R572" s="25" t="str">
        <f>HYPERLINK("https://ictv.global/taxonomy/taxondetails?taxnode_id=202300580","Vectrevirus K1E")</f>
        <v>Vectrevirus K1E</v>
      </c>
      <c r="S572" s="18" t="s">
        <v>30</v>
      </c>
      <c r="T572" s="18" t="s">
        <v>6953</v>
      </c>
      <c r="U572" s="18"/>
      <c r="V572" s="18"/>
      <c r="W572" s="18" t="s">
        <v>6954</v>
      </c>
      <c r="X572" s="18" t="s">
        <v>42</v>
      </c>
      <c r="Y572" s="18" t="s">
        <v>36</v>
      </c>
      <c r="Z572" s="18" t="s">
        <v>697</v>
      </c>
      <c r="AA572" s="21" t="str">
        <f>HYPERLINK("https://www.ncbi.nlm.nih.gov/nuccore/AM084415","NCBI Nucleotide")</f>
        <v>NCBI Nucleotide</v>
      </c>
    </row>
    <row r="573" spans="1:27" x14ac:dyDescent="0.35">
      <c r="A573">
        <v>1000854</v>
      </c>
      <c r="B573">
        <v>572</v>
      </c>
      <c r="C573">
        <v>1</v>
      </c>
      <c r="D573" s="17" t="s">
        <v>155</v>
      </c>
      <c r="E573" s="17"/>
      <c r="F573" s="17" t="s">
        <v>156</v>
      </c>
      <c r="G573" s="17"/>
      <c r="H573" s="17" t="s">
        <v>692</v>
      </c>
      <c r="I573" s="17"/>
      <c r="J573" s="17" t="s">
        <v>693</v>
      </c>
      <c r="K573" s="17"/>
      <c r="L573" s="17"/>
      <c r="M573" s="17"/>
      <c r="N573" s="17" t="s">
        <v>6460</v>
      </c>
      <c r="O573" s="17" t="s">
        <v>6919</v>
      </c>
      <c r="P573" s="17" t="s">
        <v>6940</v>
      </c>
      <c r="Q573" s="17"/>
      <c r="R573" s="25" t="str">
        <f>HYPERLINK("https://ictv.global/taxonomy/taxondetails?taxnode_id=202308588","Vectrevirus kay")</f>
        <v>Vectrevirus kay</v>
      </c>
      <c r="S573" s="18" t="s">
        <v>30</v>
      </c>
      <c r="T573" s="18" t="s">
        <v>6955</v>
      </c>
      <c r="U573" s="18"/>
      <c r="V573" s="18"/>
      <c r="W573" s="18" t="s">
        <v>6956</v>
      </c>
      <c r="X573" s="18" t="s">
        <v>42</v>
      </c>
      <c r="Y573" s="18" t="s">
        <v>36</v>
      </c>
      <c r="Z573" s="18" t="s">
        <v>697</v>
      </c>
      <c r="AA573" s="21" t="str">
        <f>HYPERLINK("https://www.ncbi.nlm.nih.gov/nuccore/KY295897","NCBI Nucleotide")</f>
        <v>NCBI Nucleotide</v>
      </c>
    </row>
    <row r="574" spans="1:27" x14ac:dyDescent="0.35">
      <c r="A574">
        <v>1000855</v>
      </c>
      <c r="B574">
        <v>573</v>
      </c>
      <c r="C574">
        <v>1</v>
      </c>
      <c r="D574" s="17" t="s">
        <v>155</v>
      </c>
      <c r="E574" s="17"/>
      <c r="F574" s="17" t="s">
        <v>156</v>
      </c>
      <c r="G574" s="17"/>
      <c r="H574" s="17" t="s">
        <v>692</v>
      </c>
      <c r="I574" s="17"/>
      <c r="J574" s="17" t="s">
        <v>693</v>
      </c>
      <c r="K574" s="17"/>
      <c r="L574" s="17"/>
      <c r="M574" s="17"/>
      <c r="N574" s="17" t="s">
        <v>6460</v>
      </c>
      <c r="O574" s="17" t="s">
        <v>6919</v>
      </c>
      <c r="P574" s="17" t="s">
        <v>6940</v>
      </c>
      <c r="Q574" s="17"/>
      <c r="R574" s="25" t="str">
        <f>HYPERLINK("https://ictv.global/taxonomy/taxondetails?taxnode_id=202308591","Vectrevirus LL11")</f>
        <v>Vectrevirus LL11</v>
      </c>
      <c r="S574" s="18" t="s">
        <v>30</v>
      </c>
      <c r="T574" s="18" t="s">
        <v>6957</v>
      </c>
      <c r="U574" s="18"/>
      <c r="V574" s="18"/>
      <c r="W574" s="18" t="s">
        <v>6958</v>
      </c>
      <c r="X574" s="18" t="s">
        <v>42</v>
      </c>
      <c r="Y574" s="18" t="s">
        <v>36</v>
      </c>
      <c r="Z574" s="18" t="s">
        <v>697</v>
      </c>
      <c r="AA574" s="21" t="str">
        <f>HYPERLINK("https://www.ncbi.nlm.nih.gov/nuccore/MH729818","NCBI Nucleotide")</f>
        <v>NCBI Nucleotide</v>
      </c>
    </row>
    <row r="575" spans="1:27" x14ac:dyDescent="0.35">
      <c r="A575">
        <v>1000856</v>
      </c>
      <c r="B575">
        <v>574</v>
      </c>
      <c r="C575">
        <v>1</v>
      </c>
      <c r="D575" s="17" t="s">
        <v>155</v>
      </c>
      <c r="E575" s="17"/>
      <c r="F575" s="17" t="s">
        <v>156</v>
      </c>
      <c r="G575" s="17"/>
      <c r="H575" s="17" t="s">
        <v>692</v>
      </c>
      <c r="I575" s="17"/>
      <c r="J575" s="17" t="s">
        <v>693</v>
      </c>
      <c r="K575" s="17"/>
      <c r="L575" s="17"/>
      <c r="M575" s="17"/>
      <c r="N575" s="17" t="s">
        <v>6460</v>
      </c>
      <c r="O575" s="17" t="s">
        <v>6919</v>
      </c>
      <c r="P575" s="17" t="s">
        <v>6940</v>
      </c>
      <c r="Q575" s="17"/>
      <c r="R575" s="25" t="str">
        <f>HYPERLINK("https://ictv.global/taxonomy/taxondetails?taxnode_id=202308589","Vectrevirus mutPK1A2")</f>
        <v>Vectrevirus mutPK1A2</v>
      </c>
      <c r="S575" s="18" t="s">
        <v>30</v>
      </c>
      <c r="T575" s="18" t="s">
        <v>6959</v>
      </c>
      <c r="U575" s="18"/>
      <c r="V575" s="18"/>
      <c r="W575" s="18" t="s">
        <v>6960</v>
      </c>
      <c r="X575" s="18" t="s">
        <v>42</v>
      </c>
      <c r="Y575" s="18" t="s">
        <v>36</v>
      </c>
      <c r="Z575" s="18" t="s">
        <v>697</v>
      </c>
      <c r="AA575" s="21" t="str">
        <f>HYPERLINK("https://www.ncbi.nlm.nih.gov/nuccore/MG004687","NCBI Nucleotide")</f>
        <v>NCBI Nucleotide</v>
      </c>
    </row>
    <row r="576" spans="1:27" x14ac:dyDescent="0.35">
      <c r="A576">
        <v>1000857</v>
      </c>
      <c r="B576">
        <v>575</v>
      </c>
      <c r="C576">
        <v>1</v>
      </c>
      <c r="D576" s="17" t="s">
        <v>155</v>
      </c>
      <c r="E576" s="17"/>
      <c r="F576" s="17" t="s">
        <v>156</v>
      </c>
      <c r="G576" s="17"/>
      <c r="H576" s="17" t="s">
        <v>692</v>
      </c>
      <c r="I576" s="17"/>
      <c r="J576" s="17" t="s">
        <v>693</v>
      </c>
      <c r="K576" s="17"/>
      <c r="L576" s="17"/>
      <c r="M576" s="17"/>
      <c r="N576" s="17" t="s">
        <v>6460</v>
      </c>
      <c r="O576" s="17" t="s">
        <v>6919</v>
      </c>
      <c r="P576" s="17" t="s">
        <v>6940</v>
      </c>
      <c r="Q576" s="17"/>
      <c r="R576" s="25" t="str">
        <f>HYPERLINK("https://ictv.global/taxonomy/taxondetails?taxnode_id=202308583","Vectrevirus VEc3")</f>
        <v>Vectrevirus VEc3</v>
      </c>
      <c r="S576" s="18" t="s">
        <v>30</v>
      </c>
      <c r="T576" s="18" t="s">
        <v>6961</v>
      </c>
      <c r="U576" s="18"/>
      <c r="V576" s="18"/>
      <c r="W576" s="18" t="s">
        <v>6962</v>
      </c>
      <c r="X576" s="18" t="s">
        <v>42</v>
      </c>
      <c r="Y576" s="18" t="s">
        <v>36</v>
      </c>
      <c r="Z576" s="18" t="s">
        <v>697</v>
      </c>
      <c r="AA576" s="21" t="str">
        <f>HYPERLINK("https://www.ncbi.nlm.nih.gov/nuccore/MG251390","NCBI Nucleotide")</f>
        <v>NCBI Nucleotide</v>
      </c>
    </row>
    <row r="577" spans="1:27" x14ac:dyDescent="0.35">
      <c r="A577">
        <v>1000858</v>
      </c>
      <c r="B577">
        <v>576</v>
      </c>
      <c r="C577">
        <v>1</v>
      </c>
      <c r="D577" s="17" t="s">
        <v>155</v>
      </c>
      <c r="E577" s="17"/>
      <c r="F577" s="17" t="s">
        <v>156</v>
      </c>
      <c r="G577" s="17"/>
      <c r="H577" s="17" t="s">
        <v>692</v>
      </c>
      <c r="I577" s="17"/>
      <c r="J577" s="17" t="s">
        <v>693</v>
      </c>
      <c r="K577" s="17"/>
      <c r="L577" s="17"/>
      <c r="M577" s="17"/>
      <c r="N577" s="17" t="s">
        <v>6460</v>
      </c>
      <c r="O577" s="17" t="s">
        <v>6919</v>
      </c>
      <c r="P577" s="17" t="s">
        <v>6963</v>
      </c>
      <c r="Q577" s="17"/>
      <c r="R577" s="25" t="str">
        <f>HYPERLINK("https://ictv.global/taxonomy/taxondetails?taxnode_id=202308593","Zindervirus BP12B")</f>
        <v>Zindervirus BP12B</v>
      </c>
      <c r="S577" s="18" t="s">
        <v>30</v>
      </c>
      <c r="T577" s="18" t="s">
        <v>6964</v>
      </c>
      <c r="U577" s="18"/>
      <c r="V577" s="18"/>
      <c r="W577" s="18" t="s">
        <v>6965</v>
      </c>
      <c r="X577" s="18" t="s">
        <v>42</v>
      </c>
      <c r="Y577" s="18" t="s">
        <v>36</v>
      </c>
      <c r="Z577" s="18" t="s">
        <v>697</v>
      </c>
      <c r="AA577" s="21" t="str">
        <f>HYPERLINK("https://www.ncbi.nlm.nih.gov/nuccore/KM366097","NCBI Nucleotide")</f>
        <v>NCBI Nucleotide</v>
      </c>
    </row>
    <row r="578" spans="1:27" x14ac:dyDescent="0.35">
      <c r="A578">
        <v>1000859</v>
      </c>
      <c r="B578">
        <v>577</v>
      </c>
      <c r="C578">
        <v>1</v>
      </c>
      <c r="D578" s="17" t="s">
        <v>155</v>
      </c>
      <c r="E578" s="17"/>
      <c r="F578" s="17" t="s">
        <v>156</v>
      </c>
      <c r="G578" s="17"/>
      <c r="H578" s="17" t="s">
        <v>692</v>
      </c>
      <c r="I578" s="17"/>
      <c r="J578" s="17" t="s">
        <v>693</v>
      </c>
      <c r="K578" s="17"/>
      <c r="L578" s="17"/>
      <c r="M578" s="17"/>
      <c r="N578" s="17" t="s">
        <v>6460</v>
      </c>
      <c r="O578" s="17" t="s">
        <v>6919</v>
      </c>
      <c r="P578" s="17" t="s">
        <v>6963</v>
      </c>
      <c r="Q578" s="17"/>
      <c r="R578" s="25" t="str">
        <f>HYPERLINK("https://ictv.global/taxonomy/taxondetails?taxnode_id=202300581","Zindervirus SP6")</f>
        <v>Zindervirus SP6</v>
      </c>
      <c r="S578" s="18" t="s">
        <v>30</v>
      </c>
      <c r="T578" s="18" t="s">
        <v>6966</v>
      </c>
      <c r="U578" s="18"/>
      <c r="V578" s="18"/>
      <c r="W578" s="18" t="s">
        <v>6967</v>
      </c>
      <c r="X578" s="18" t="s">
        <v>42</v>
      </c>
      <c r="Y578" s="18" t="s">
        <v>36</v>
      </c>
      <c r="Z578" s="18" t="s">
        <v>697</v>
      </c>
      <c r="AA578" s="21" t="str">
        <f>HYPERLINK("https://www.ncbi.nlm.nih.gov/nuccore/AY288927","NCBI Nucleotide")</f>
        <v>NCBI Nucleotide</v>
      </c>
    </row>
    <row r="579" spans="1:27" x14ac:dyDescent="0.35">
      <c r="A579">
        <v>1000860</v>
      </c>
      <c r="B579">
        <v>578</v>
      </c>
      <c r="C579">
        <v>1</v>
      </c>
      <c r="D579" s="17" t="s">
        <v>155</v>
      </c>
      <c r="E579" s="17"/>
      <c r="F579" s="17" t="s">
        <v>156</v>
      </c>
      <c r="G579" s="17"/>
      <c r="H579" s="17" t="s">
        <v>692</v>
      </c>
      <c r="I579" s="17"/>
      <c r="J579" s="17" t="s">
        <v>693</v>
      </c>
      <c r="K579" s="17"/>
      <c r="L579" s="17"/>
      <c r="M579" s="17"/>
      <c r="N579" s="17" t="s">
        <v>6460</v>
      </c>
      <c r="O579" s="17" t="s">
        <v>6919</v>
      </c>
      <c r="P579" s="17" t="s">
        <v>6963</v>
      </c>
      <c r="Q579" s="17"/>
      <c r="R579" s="25" t="str">
        <f>HYPERLINK("https://ictv.global/taxonomy/taxondetails?taxnode_id=202308592","Zindervirus UAB78")</f>
        <v>Zindervirus UAB78</v>
      </c>
      <c r="S579" s="18" t="s">
        <v>30</v>
      </c>
      <c r="T579" s="18" t="s">
        <v>6968</v>
      </c>
      <c r="U579" s="18"/>
      <c r="V579" s="18"/>
      <c r="W579" s="18" t="s">
        <v>6969</v>
      </c>
      <c r="X579" s="18" t="s">
        <v>42</v>
      </c>
      <c r="Y579" s="18" t="s">
        <v>36</v>
      </c>
      <c r="Z579" s="18" t="s">
        <v>697</v>
      </c>
      <c r="AA579" s="21" t="str">
        <f>HYPERLINK("https://www.ncbi.nlm.nih.gov/nuccore/GU595417","NCBI Nucleotide")</f>
        <v>NCBI Nucleotide</v>
      </c>
    </row>
    <row r="580" spans="1:27" x14ac:dyDescent="0.35">
      <c r="A580">
        <v>1000861</v>
      </c>
      <c r="B580">
        <v>579</v>
      </c>
      <c r="C580">
        <v>1</v>
      </c>
      <c r="D580" s="17" t="s">
        <v>155</v>
      </c>
      <c r="E580" s="17"/>
      <c r="F580" s="17" t="s">
        <v>156</v>
      </c>
      <c r="G580" s="17"/>
      <c r="H580" s="17" t="s">
        <v>692</v>
      </c>
      <c r="I580" s="17"/>
      <c r="J580" s="17" t="s">
        <v>693</v>
      </c>
      <c r="K580" s="17"/>
      <c r="L580" s="17"/>
      <c r="M580" s="17"/>
      <c r="N580" s="17" t="s">
        <v>6460</v>
      </c>
      <c r="O580" s="17" t="s">
        <v>6970</v>
      </c>
      <c r="P580" s="17" t="s">
        <v>6971</v>
      </c>
      <c r="Q580" s="17"/>
      <c r="R580" s="25" t="str">
        <f>HYPERLINK("https://ictv.global/taxonomy/taxondetails?taxnode_id=202308337","Ampunavirus BpAMP1")</f>
        <v>Ampunavirus BpAMP1</v>
      </c>
      <c r="S580" s="18" t="s">
        <v>30</v>
      </c>
      <c r="T580" s="18" t="s">
        <v>6972</v>
      </c>
      <c r="U580" s="18"/>
      <c r="V580" s="18"/>
      <c r="W580" s="18" t="s">
        <v>6973</v>
      </c>
      <c r="X580" s="18" t="s">
        <v>42</v>
      </c>
      <c r="Y580" s="18" t="s">
        <v>36</v>
      </c>
      <c r="Z580" s="18" t="s">
        <v>697</v>
      </c>
      <c r="AA580" s="21" t="str">
        <f>HYPERLINK("https://www.ncbi.nlm.nih.gov/nuccore/HG793132","NCBI Nucleotide")</f>
        <v>NCBI Nucleotide</v>
      </c>
    </row>
    <row r="581" spans="1:27" x14ac:dyDescent="0.35">
      <c r="A581">
        <v>1000862</v>
      </c>
      <c r="B581">
        <v>580</v>
      </c>
      <c r="C581">
        <v>1</v>
      </c>
      <c r="D581" s="17" t="s">
        <v>155</v>
      </c>
      <c r="E581" s="17"/>
      <c r="F581" s="17" t="s">
        <v>156</v>
      </c>
      <c r="G581" s="17"/>
      <c r="H581" s="17" t="s">
        <v>692</v>
      </c>
      <c r="I581" s="17"/>
      <c r="J581" s="17" t="s">
        <v>693</v>
      </c>
      <c r="K581" s="17"/>
      <c r="L581" s="17"/>
      <c r="M581" s="17"/>
      <c r="N581" s="17" t="s">
        <v>6460</v>
      </c>
      <c r="O581" s="17" t="s">
        <v>6970</v>
      </c>
      <c r="P581" s="17" t="s">
        <v>6971</v>
      </c>
      <c r="Q581" s="17"/>
      <c r="R581" s="25" t="str">
        <f>HYPERLINK("https://ictv.global/taxonomy/taxondetails?taxnode_id=202308338","Ampunavirus RSPI1")</f>
        <v>Ampunavirus RSPI1</v>
      </c>
      <c r="S581" s="18" t="s">
        <v>30</v>
      </c>
      <c r="T581" s="18" t="s">
        <v>6974</v>
      </c>
      <c r="U581" s="18"/>
      <c r="V581" s="18"/>
      <c r="W581" s="18" t="s">
        <v>6975</v>
      </c>
      <c r="X581" s="18" t="s">
        <v>42</v>
      </c>
      <c r="Y581" s="18" t="s">
        <v>36</v>
      </c>
      <c r="Z581" s="18" t="s">
        <v>697</v>
      </c>
      <c r="AA581" s="21" t="str">
        <f>HYPERLINK("https://www.ncbi.nlm.nih.gov/nuccore/KY464836","NCBI Nucleotide")</f>
        <v>NCBI Nucleotide</v>
      </c>
    </row>
    <row r="582" spans="1:27" x14ac:dyDescent="0.35">
      <c r="A582">
        <v>1000863</v>
      </c>
      <c r="B582">
        <v>581</v>
      </c>
      <c r="C582">
        <v>1</v>
      </c>
      <c r="D582" s="17" t="s">
        <v>155</v>
      </c>
      <c r="E582" s="17"/>
      <c r="F582" s="17" t="s">
        <v>156</v>
      </c>
      <c r="G582" s="17"/>
      <c r="H582" s="17" t="s">
        <v>692</v>
      </c>
      <c r="I582" s="17"/>
      <c r="J582" s="17" t="s">
        <v>693</v>
      </c>
      <c r="K582" s="17"/>
      <c r="L582" s="17"/>
      <c r="M582" s="17"/>
      <c r="N582" s="17" t="s">
        <v>6460</v>
      </c>
      <c r="O582" s="17" t="s">
        <v>6970</v>
      </c>
      <c r="P582" s="17" t="s">
        <v>6976</v>
      </c>
      <c r="Q582" s="17"/>
      <c r="R582" s="25" t="str">
        <f>HYPERLINK("https://ictv.global/taxonomy/taxondetails?taxnode_id=202308334","Higashivirus RSB1")</f>
        <v>Higashivirus RSB1</v>
      </c>
      <c r="S582" s="18" t="s">
        <v>30</v>
      </c>
      <c r="T582" s="18" t="s">
        <v>6977</v>
      </c>
      <c r="U582" s="18"/>
      <c r="V582" s="18"/>
      <c r="W582" s="18" t="s">
        <v>6978</v>
      </c>
      <c r="X582" s="18" t="s">
        <v>42</v>
      </c>
      <c r="Y582" s="18" t="s">
        <v>36</v>
      </c>
      <c r="Z582" s="18" t="s">
        <v>697</v>
      </c>
      <c r="AA582" s="21" t="str">
        <f>HYPERLINK("https://www.ncbi.nlm.nih.gov/nuccore/AB451219","NCBI Nucleotide")</f>
        <v>NCBI Nucleotide</v>
      </c>
    </row>
    <row r="583" spans="1:27" x14ac:dyDescent="0.35">
      <c r="A583">
        <v>1000864</v>
      </c>
      <c r="B583">
        <v>582</v>
      </c>
      <c r="C583">
        <v>1</v>
      </c>
      <c r="D583" s="17" t="s">
        <v>155</v>
      </c>
      <c r="E583" s="17"/>
      <c r="F583" s="17" t="s">
        <v>156</v>
      </c>
      <c r="G583" s="17"/>
      <c r="H583" s="17" t="s">
        <v>692</v>
      </c>
      <c r="I583" s="17"/>
      <c r="J583" s="17" t="s">
        <v>693</v>
      </c>
      <c r="K583" s="17"/>
      <c r="L583" s="17"/>
      <c r="M583" s="17"/>
      <c r="N583" s="17" t="s">
        <v>6460</v>
      </c>
      <c r="O583" s="17" t="s">
        <v>6970</v>
      </c>
      <c r="P583" s="17" t="s">
        <v>6976</v>
      </c>
      <c r="Q583" s="17"/>
      <c r="R583" s="25" t="str">
        <f>HYPERLINK("https://ictv.global/taxonomy/taxondetails?taxnode_id=202308335","Higashivirus RsoP1IDN")</f>
        <v>Higashivirus RsoP1IDN</v>
      </c>
      <c r="S583" s="18" t="s">
        <v>30</v>
      </c>
      <c r="T583" s="18" t="s">
        <v>6979</v>
      </c>
      <c r="U583" s="18"/>
      <c r="V583" s="18"/>
      <c r="W583" s="18" t="s">
        <v>6980</v>
      </c>
      <c r="X583" s="18" t="s">
        <v>42</v>
      </c>
      <c r="Y583" s="18" t="s">
        <v>36</v>
      </c>
      <c r="Z583" s="18" t="s">
        <v>697</v>
      </c>
      <c r="AA583" s="21" t="str">
        <f>HYPERLINK("https://www.ncbi.nlm.nih.gov/nuccore/MG652450","NCBI Nucleotide")</f>
        <v>NCBI Nucleotide</v>
      </c>
    </row>
    <row r="584" spans="1:27" x14ac:dyDescent="0.35">
      <c r="A584">
        <v>1000865</v>
      </c>
      <c r="B584">
        <v>583</v>
      </c>
      <c r="C584">
        <v>1</v>
      </c>
      <c r="D584" s="17" t="s">
        <v>155</v>
      </c>
      <c r="E584" s="17"/>
      <c r="F584" s="17" t="s">
        <v>156</v>
      </c>
      <c r="G584" s="17"/>
      <c r="H584" s="17" t="s">
        <v>692</v>
      </c>
      <c r="I584" s="17"/>
      <c r="J584" s="17" t="s">
        <v>693</v>
      </c>
      <c r="K584" s="17"/>
      <c r="L584" s="17"/>
      <c r="M584" s="17"/>
      <c r="N584" s="17" t="s">
        <v>6460</v>
      </c>
      <c r="O584" s="17" t="s">
        <v>6970</v>
      </c>
      <c r="P584" s="17" t="s">
        <v>6981</v>
      </c>
      <c r="Q584" s="17"/>
      <c r="R584" s="25" t="str">
        <f>HYPERLINK("https://ictv.global/taxonomy/taxondetails?taxnode_id=202308342","Mguuvirus JG068")</f>
        <v>Mguuvirus JG068</v>
      </c>
      <c r="S584" s="18" t="s">
        <v>30</v>
      </c>
      <c r="T584" s="18" t="s">
        <v>6982</v>
      </c>
      <c r="U584" s="18"/>
      <c r="V584" s="18"/>
      <c r="W584" s="18" t="s">
        <v>6983</v>
      </c>
      <c r="X584" s="18" t="s">
        <v>42</v>
      </c>
      <c r="Y584" s="18" t="s">
        <v>36</v>
      </c>
      <c r="Z584" s="18" t="s">
        <v>697</v>
      </c>
      <c r="AA584" s="21" t="str">
        <f>HYPERLINK("https://www.ncbi.nlm.nih.gov/nuccore/KC853746","NCBI Nucleotide")</f>
        <v>NCBI Nucleotide</v>
      </c>
    </row>
    <row r="585" spans="1:27" x14ac:dyDescent="0.35">
      <c r="A585">
        <v>1000866</v>
      </c>
      <c r="B585">
        <v>584</v>
      </c>
      <c r="C585">
        <v>1</v>
      </c>
      <c r="D585" s="17" t="s">
        <v>155</v>
      </c>
      <c r="E585" s="17"/>
      <c r="F585" s="17" t="s">
        <v>156</v>
      </c>
      <c r="G585" s="17"/>
      <c r="H585" s="17" t="s">
        <v>692</v>
      </c>
      <c r="I585" s="17"/>
      <c r="J585" s="17" t="s">
        <v>693</v>
      </c>
      <c r="K585" s="17"/>
      <c r="L585" s="17"/>
      <c r="M585" s="17"/>
      <c r="N585" s="17" t="s">
        <v>6460</v>
      </c>
      <c r="O585" s="17" t="s">
        <v>6970</v>
      </c>
      <c r="P585" s="17" t="s">
        <v>6984</v>
      </c>
      <c r="Q585" s="17"/>
      <c r="R585" s="25" t="str">
        <f>HYPERLINK("https://ictv.global/taxonomy/taxondetails?taxnode_id=202308332","Risjevirus RSJ2")</f>
        <v>Risjevirus RSJ2</v>
      </c>
      <c r="S585" s="18" t="s">
        <v>30</v>
      </c>
      <c r="T585" s="18" t="s">
        <v>6985</v>
      </c>
      <c r="U585" s="18"/>
      <c r="V585" s="18"/>
      <c r="W585" s="18" t="s">
        <v>6986</v>
      </c>
      <c r="X585" s="18" t="s">
        <v>42</v>
      </c>
      <c r="Y585" s="18" t="s">
        <v>36</v>
      </c>
      <c r="Z585" s="18" t="s">
        <v>697</v>
      </c>
      <c r="AA585" s="21" t="str">
        <f>HYPERLINK("https://www.ncbi.nlm.nih.gov/nuccore/AB920995","NCBI Nucleotide")</f>
        <v>NCBI Nucleotide</v>
      </c>
    </row>
    <row r="586" spans="1:27" x14ac:dyDescent="0.35">
      <c r="A586">
        <v>1000867</v>
      </c>
      <c r="B586">
        <v>585</v>
      </c>
      <c r="C586">
        <v>1</v>
      </c>
      <c r="D586" s="17" t="s">
        <v>155</v>
      </c>
      <c r="E586" s="17"/>
      <c r="F586" s="17" t="s">
        <v>156</v>
      </c>
      <c r="G586" s="17"/>
      <c r="H586" s="17" t="s">
        <v>692</v>
      </c>
      <c r="I586" s="17"/>
      <c r="J586" s="17" t="s">
        <v>693</v>
      </c>
      <c r="K586" s="17"/>
      <c r="L586" s="17"/>
      <c r="M586" s="17"/>
      <c r="N586" s="17" t="s">
        <v>6460</v>
      </c>
      <c r="O586" s="17" t="s">
        <v>6970</v>
      </c>
      <c r="P586" s="17" t="s">
        <v>6984</v>
      </c>
      <c r="Q586" s="17"/>
      <c r="R586" s="25" t="str">
        <f>HYPERLINK("https://ictv.global/taxonomy/taxondetails?taxnode_id=202308331","Risjevirus RSJ5")</f>
        <v>Risjevirus RSJ5</v>
      </c>
      <c r="S586" s="18" t="s">
        <v>30</v>
      </c>
      <c r="T586" s="18" t="s">
        <v>6987</v>
      </c>
      <c r="U586" s="18"/>
      <c r="V586" s="18"/>
      <c r="W586" s="18" t="s">
        <v>6988</v>
      </c>
      <c r="X586" s="18" t="s">
        <v>42</v>
      </c>
      <c r="Y586" s="18" t="s">
        <v>36</v>
      </c>
      <c r="Z586" s="18" t="s">
        <v>697</v>
      </c>
      <c r="AA586" s="21" t="str">
        <f>HYPERLINK("https://www.ncbi.nlm.nih.gov/nuccore/AB983711","NCBI Nucleotide")</f>
        <v>NCBI Nucleotide</v>
      </c>
    </row>
    <row r="587" spans="1:27" x14ac:dyDescent="0.35">
      <c r="A587">
        <v>1000868</v>
      </c>
      <c r="B587">
        <v>586</v>
      </c>
      <c r="C587">
        <v>1</v>
      </c>
      <c r="D587" s="17" t="s">
        <v>155</v>
      </c>
      <c r="E587" s="17"/>
      <c r="F587" s="17" t="s">
        <v>156</v>
      </c>
      <c r="G587" s="17"/>
      <c r="H587" s="17" t="s">
        <v>692</v>
      </c>
      <c r="I587" s="17"/>
      <c r="J587" s="17" t="s">
        <v>693</v>
      </c>
      <c r="K587" s="17"/>
      <c r="L587" s="17"/>
      <c r="M587" s="17"/>
      <c r="N587" s="17" t="s">
        <v>6460</v>
      </c>
      <c r="O587" s="17" t="s">
        <v>6970</v>
      </c>
      <c r="P587" s="17" t="s">
        <v>6989</v>
      </c>
      <c r="Q587" s="17"/>
      <c r="R587" s="25" t="str">
        <f>HYPERLINK("https://ictv.global/taxonomy/taxondetails?taxnode_id=202308340","Sukuvirus RSPII1")</f>
        <v>Sukuvirus RSPII1</v>
      </c>
      <c r="S587" s="18" t="s">
        <v>30</v>
      </c>
      <c r="T587" s="18" t="s">
        <v>6990</v>
      </c>
      <c r="U587" s="18"/>
      <c r="V587" s="18"/>
      <c r="W587" s="18" t="s">
        <v>6991</v>
      </c>
      <c r="X587" s="18" t="s">
        <v>42</v>
      </c>
      <c r="Y587" s="18" t="s">
        <v>36</v>
      </c>
      <c r="Z587" s="18" t="s">
        <v>697</v>
      </c>
      <c r="AA587" s="21" t="str">
        <f>HYPERLINK("https://www.ncbi.nlm.nih.gov/nuccore/KY316062","NCBI Nucleotide")</f>
        <v>NCBI Nucleotide</v>
      </c>
    </row>
    <row r="588" spans="1:27" x14ac:dyDescent="0.35">
      <c r="A588">
        <v>1000869</v>
      </c>
      <c r="B588">
        <v>587</v>
      </c>
      <c r="C588">
        <v>1</v>
      </c>
      <c r="D588" s="17" t="s">
        <v>155</v>
      </c>
      <c r="E588" s="17"/>
      <c r="F588" s="17" t="s">
        <v>156</v>
      </c>
      <c r="G588" s="17"/>
      <c r="H588" s="17" t="s">
        <v>692</v>
      </c>
      <c r="I588" s="17"/>
      <c r="J588" s="17" t="s">
        <v>693</v>
      </c>
      <c r="K588" s="17"/>
      <c r="L588" s="17"/>
      <c r="M588" s="17"/>
      <c r="N588" s="17" t="s">
        <v>6460</v>
      </c>
      <c r="O588" s="17" t="s">
        <v>6992</v>
      </c>
      <c r="P588" s="17" t="s">
        <v>6993</v>
      </c>
      <c r="Q588" s="17"/>
      <c r="R588" s="25" t="str">
        <f>HYPERLINK("https://ictv.global/taxonomy/taxondetails?taxnode_id=202308550","Bucovirus buco")</f>
        <v>Bucovirus buco</v>
      </c>
      <c r="S588" s="18" t="s">
        <v>30</v>
      </c>
      <c r="T588" s="18" t="s">
        <v>6994</v>
      </c>
      <c r="U588" s="18"/>
      <c r="V588" s="18"/>
      <c r="W588" s="18" t="s">
        <v>6995</v>
      </c>
      <c r="X588" s="18" t="s">
        <v>42</v>
      </c>
      <c r="Y588" s="18" t="s">
        <v>36</v>
      </c>
      <c r="Z588" s="18" t="s">
        <v>697</v>
      </c>
      <c r="AA588" s="21" t="str">
        <f>HYPERLINK("https://www.ncbi.nlm.nih.gov/nuccore/MK562503","NCBI Nucleotide")</f>
        <v>NCBI Nucleotide</v>
      </c>
    </row>
    <row r="589" spans="1:27" x14ac:dyDescent="0.35">
      <c r="A589">
        <v>1000870</v>
      </c>
      <c r="B589">
        <v>588</v>
      </c>
      <c r="C589">
        <v>1</v>
      </c>
      <c r="D589" s="17" t="s">
        <v>155</v>
      </c>
      <c r="E589" s="17"/>
      <c r="F589" s="17" t="s">
        <v>156</v>
      </c>
      <c r="G589" s="17"/>
      <c r="H589" s="17" t="s">
        <v>692</v>
      </c>
      <c r="I589" s="17"/>
      <c r="J589" s="17" t="s">
        <v>693</v>
      </c>
      <c r="K589" s="17"/>
      <c r="L589" s="17"/>
      <c r="M589" s="17"/>
      <c r="N589" s="17" t="s">
        <v>6460</v>
      </c>
      <c r="O589" s="17" t="s">
        <v>6992</v>
      </c>
      <c r="P589" s="17" t="s">
        <v>6996</v>
      </c>
      <c r="Q589" s="17"/>
      <c r="R589" s="25" t="str">
        <f>HYPERLINK("https://ictv.global/taxonomy/taxondetails?taxnode_id=202308543","Drulisvirus altogao")</f>
        <v>Drulisvirus altogao</v>
      </c>
      <c r="S589" s="18" t="s">
        <v>30</v>
      </c>
      <c r="T589" s="18" t="s">
        <v>6997</v>
      </c>
      <c r="U589" s="18"/>
      <c r="V589" s="18"/>
      <c r="W589" s="18" t="s">
        <v>6998</v>
      </c>
      <c r="X589" s="18" t="s">
        <v>42</v>
      </c>
      <c r="Y589" s="18" t="s">
        <v>36</v>
      </c>
      <c r="Z589" s="18" t="s">
        <v>697</v>
      </c>
      <c r="AA589" s="21" t="str">
        <f>HYPERLINK("https://www.ncbi.nlm.nih.gov/nuccore/MF612071","NCBI Nucleotide")</f>
        <v>NCBI Nucleotide</v>
      </c>
    </row>
    <row r="590" spans="1:27" x14ac:dyDescent="0.35">
      <c r="A590">
        <v>1000871</v>
      </c>
      <c r="B590">
        <v>589</v>
      </c>
      <c r="C590">
        <v>1</v>
      </c>
      <c r="D590" s="17" t="s">
        <v>155</v>
      </c>
      <c r="E590" s="17"/>
      <c r="F590" s="17" t="s">
        <v>156</v>
      </c>
      <c r="G590" s="17"/>
      <c r="H590" s="17" t="s">
        <v>692</v>
      </c>
      <c r="I590" s="17"/>
      <c r="J590" s="17" t="s">
        <v>693</v>
      </c>
      <c r="K590" s="17"/>
      <c r="L590" s="17"/>
      <c r="M590" s="17"/>
      <c r="N590" s="17" t="s">
        <v>6460</v>
      </c>
      <c r="O590" s="17" t="s">
        <v>6992</v>
      </c>
      <c r="P590" s="17" t="s">
        <v>6996</v>
      </c>
      <c r="Q590" s="17"/>
      <c r="R590" s="25" t="str">
        <f>HYPERLINK("https://ictv.global/taxonomy/taxondetails?taxnode_id=202308536","Drulisvirus BO1E")</f>
        <v>Drulisvirus BO1E</v>
      </c>
      <c r="S590" s="18" t="s">
        <v>30</v>
      </c>
      <c r="T590" s="18" t="s">
        <v>6999</v>
      </c>
      <c r="U590" s="18"/>
      <c r="V590" s="18"/>
      <c r="W590" s="18" t="s">
        <v>7000</v>
      </c>
      <c r="X590" s="18" t="s">
        <v>42</v>
      </c>
      <c r="Y590" s="18" t="s">
        <v>36</v>
      </c>
      <c r="Z590" s="18" t="s">
        <v>697</v>
      </c>
      <c r="AA590" s="21" t="str">
        <f>HYPERLINK("https://www.ncbi.nlm.nih.gov/nuccore/KM576124","NCBI Nucleotide")</f>
        <v>NCBI Nucleotide</v>
      </c>
    </row>
    <row r="591" spans="1:27" x14ac:dyDescent="0.35">
      <c r="A591">
        <v>1000872</v>
      </c>
      <c r="B591">
        <v>590</v>
      </c>
      <c r="C591">
        <v>1</v>
      </c>
      <c r="D591" s="17" t="s">
        <v>155</v>
      </c>
      <c r="E591" s="17"/>
      <c r="F591" s="17" t="s">
        <v>156</v>
      </c>
      <c r="G591" s="17"/>
      <c r="H591" s="17" t="s">
        <v>692</v>
      </c>
      <c r="I591" s="17"/>
      <c r="J591" s="17" t="s">
        <v>693</v>
      </c>
      <c r="K591" s="17"/>
      <c r="L591" s="17"/>
      <c r="M591" s="17"/>
      <c r="N591" s="17" t="s">
        <v>6460</v>
      </c>
      <c r="O591" s="17" t="s">
        <v>6992</v>
      </c>
      <c r="P591" s="17" t="s">
        <v>6996</v>
      </c>
      <c r="Q591" s="17"/>
      <c r="R591" s="25" t="str">
        <f>HYPERLINK("https://ictv.global/taxonomy/taxondetails?taxnode_id=202300558","Drulisvirus F19")</f>
        <v>Drulisvirus F19</v>
      </c>
      <c r="S591" s="18" t="s">
        <v>30</v>
      </c>
      <c r="T591" s="18" t="s">
        <v>7001</v>
      </c>
      <c r="U591" s="18"/>
      <c r="V591" s="18"/>
      <c r="W591" s="18" t="s">
        <v>7002</v>
      </c>
      <c r="X591" s="18" t="s">
        <v>42</v>
      </c>
      <c r="Y591" s="18" t="s">
        <v>36</v>
      </c>
      <c r="Z591" s="18" t="s">
        <v>697</v>
      </c>
      <c r="AA591" s="21" t="str">
        <f>HYPERLINK("https://www.ncbi.nlm.nih.gov/nuccore/KF765493","NCBI Nucleotide")</f>
        <v>NCBI Nucleotide</v>
      </c>
    </row>
    <row r="592" spans="1:27" x14ac:dyDescent="0.35">
      <c r="A592">
        <v>1000873</v>
      </c>
      <c r="B592">
        <v>591</v>
      </c>
      <c r="C592">
        <v>1</v>
      </c>
      <c r="D592" s="17" t="s">
        <v>155</v>
      </c>
      <c r="E592" s="17"/>
      <c r="F592" s="17" t="s">
        <v>156</v>
      </c>
      <c r="G592" s="17"/>
      <c r="H592" s="17" t="s">
        <v>692</v>
      </c>
      <c r="I592" s="17"/>
      <c r="J592" s="17" t="s">
        <v>693</v>
      </c>
      <c r="K592" s="17"/>
      <c r="L592" s="17"/>
      <c r="M592" s="17"/>
      <c r="N592" s="17" t="s">
        <v>6460</v>
      </c>
      <c r="O592" s="17" t="s">
        <v>6992</v>
      </c>
      <c r="P592" s="17" t="s">
        <v>6996</v>
      </c>
      <c r="Q592" s="17"/>
      <c r="R592" s="25" t="str">
        <f>HYPERLINK("https://ictv.global/taxonomy/taxondetails?taxnode_id=202300559","Drulisvirus K244")</f>
        <v>Drulisvirus K244</v>
      </c>
      <c r="S592" s="18" t="s">
        <v>30</v>
      </c>
      <c r="T592" s="18" t="s">
        <v>7003</v>
      </c>
      <c r="U592" s="18"/>
      <c r="V592" s="18"/>
      <c r="W592" s="18" t="s">
        <v>7004</v>
      </c>
      <c r="X592" s="18" t="s">
        <v>42</v>
      </c>
      <c r="Y592" s="18" t="s">
        <v>36</v>
      </c>
      <c r="Z592" s="18" t="s">
        <v>697</v>
      </c>
      <c r="AA592" s="21" t="str">
        <f>HYPERLINK("https://www.ncbi.nlm.nih.gov/nuccore/AB716666","NCBI Nucleotide")</f>
        <v>NCBI Nucleotide</v>
      </c>
    </row>
    <row r="593" spans="1:27" x14ac:dyDescent="0.35">
      <c r="A593">
        <v>1000874</v>
      </c>
      <c r="B593">
        <v>592</v>
      </c>
      <c r="C593">
        <v>1</v>
      </c>
      <c r="D593" s="17" t="s">
        <v>155</v>
      </c>
      <c r="E593" s="17"/>
      <c r="F593" s="17" t="s">
        <v>156</v>
      </c>
      <c r="G593" s="17"/>
      <c r="H593" s="17" t="s">
        <v>692</v>
      </c>
      <c r="I593" s="17"/>
      <c r="J593" s="17" t="s">
        <v>693</v>
      </c>
      <c r="K593" s="17"/>
      <c r="L593" s="17"/>
      <c r="M593" s="17"/>
      <c r="N593" s="17" t="s">
        <v>6460</v>
      </c>
      <c r="O593" s="17" t="s">
        <v>6992</v>
      </c>
      <c r="P593" s="17" t="s">
        <v>6996</v>
      </c>
      <c r="Q593" s="17"/>
      <c r="R593" s="25" t="str">
        <f>HYPERLINK("https://ictv.global/taxonomy/taxondetails?taxnode_id=202300560","Drulisvirus Kp2")</f>
        <v>Drulisvirus Kp2</v>
      </c>
      <c r="S593" s="18" t="s">
        <v>30</v>
      </c>
      <c r="T593" s="18" t="s">
        <v>7005</v>
      </c>
      <c r="U593" s="18"/>
      <c r="V593" s="18"/>
      <c r="W593" s="18" t="s">
        <v>7006</v>
      </c>
      <c r="X593" s="18" t="s">
        <v>42</v>
      </c>
      <c r="Y593" s="18" t="s">
        <v>36</v>
      </c>
      <c r="Z593" s="18" t="s">
        <v>697</v>
      </c>
      <c r="AA593" s="21" t="str">
        <f>HYPERLINK("https://www.ncbi.nlm.nih.gov/nuccore/KT367886","NCBI Nucleotide")</f>
        <v>NCBI Nucleotide</v>
      </c>
    </row>
    <row r="594" spans="1:27" x14ac:dyDescent="0.35">
      <c r="A594">
        <v>1000875</v>
      </c>
      <c r="B594">
        <v>593</v>
      </c>
      <c r="C594">
        <v>1</v>
      </c>
      <c r="D594" s="17" t="s">
        <v>155</v>
      </c>
      <c r="E594" s="17"/>
      <c r="F594" s="17" t="s">
        <v>156</v>
      </c>
      <c r="G594" s="17"/>
      <c r="H594" s="17" t="s">
        <v>692</v>
      </c>
      <c r="I594" s="17"/>
      <c r="J594" s="17" t="s">
        <v>693</v>
      </c>
      <c r="K594" s="17"/>
      <c r="L594" s="17"/>
      <c r="M594" s="17"/>
      <c r="N594" s="17" t="s">
        <v>6460</v>
      </c>
      <c r="O594" s="17" t="s">
        <v>6992</v>
      </c>
      <c r="P594" s="17" t="s">
        <v>6996</v>
      </c>
      <c r="Q594" s="17"/>
      <c r="R594" s="25" t="str">
        <f>HYPERLINK("https://ictv.global/taxonomy/taxondetails?taxnode_id=202300561","Drulisvirus KP34")</f>
        <v>Drulisvirus KP34</v>
      </c>
      <c r="S594" s="18" t="s">
        <v>30</v>
      </c>
      <c r="T594" s="18" t="s">
        <v>7007</v>
      </c>
      <c r="U594" s="18"/>
      <c r="V594" s="18"/>
      <c r="W594" s="18" t="s">
        <v>7008</v>
      </c>
      <c r="X594" s="18" t="s">
        <v>42</v>
      </c>
      <c r="Y594" s="18" t="s">
        <v>36</v>
      </c>
      <c r="Z594" s="18" t="s">
        <v>697</v>
      </c>
      <c r="AA594" s="21" t="str">
        <f>HYPERLINK("https://www.ncbi.nlm.nih.gov/nuccore/GQ413938","NCBI Nucleotide")</f>
        <v>NCBI Nucleotide</v>
      </c>
    </row>
    <row r="595" spans="1:27" x14ac:dyDescent="0.35">
      <c r="A595">
        <v>1000876</v>
      </c>
      <c r="B595">
        <v>594</v>
      </c>
      <c r="C595">
        <v>1</v>
      </c>
      <c r="D595" s="17" t="s">
        <v>155</v>
      </c>
      <c r="E595" s="17"/>
      <c r="F595" s="17" t="s">
        <v>156</v>
      </c>
      <c r="G595" s="17"/>
      <c r="H595" s="17" t="s">
        <v>692</v>
      </c>
      <c r="I595" s="17"/>
      <c r="J595" s="17" t="s">
        <v>693</v>
      </c>
      <c r="K595" s="17"/>
      <c r="L595" s="17"/>
      <c r="M595" s="17"/>
      <c r="N595" s="17" t="s">
        <v>6460</v>
      </c>
      <c r="O595" s="17" t="s">
        <v>6992</v>
      </c>
      <c r="P595" s="17" t="s">
        <v>6996</v>
      </c>
      <c r="Q595" s="17"/>
      <c r="R595" s="25" t="str">
        <f>HYPERLINK("https://ictv.global/taxonomy/taxondetails?taxnode_id=202308539","Drulisvirus KPRio2015")</f>
        <v>Drulisvirus KPRio2015</v>
      </c>
      <c r="S595" s="18" t="s">
        <v>30</v>
      </c>
      <c r="T595" s="18" t="s">
        <v>7009</v>
      </c>
      <c r="U595" s="18"/>
      <c r="V595" s="18"/>
      <c r="W595" s="18" t="s">
        <v>7010</v>
      </c>
      <c r="X595" s="18" t="s">
        <v>42</v>
      </c>
      <c r="Y595" s="18" t="s">
        <v>36</v>
      </c>
      <c r="Z595" s="18" t="s">
        <v>697</v>
      </c>
      <c r="AA595" s="21" t="str">
        <f>HYPERLINK("https://www.ncbi.nlm.nih.gov/nuccore/KX856662","NCBI Nucleotide")</f>
        <v>NCBI Nucleotide</v>
      </c>
    </row>
    <row r="596" spans="1:27" x14ac:dyDescent="0.35">
      <c r="A596">
        <v>1000877</v>
      </c>
      <c r="B596">
        <v>595</v>
      </c>
      <c r="C596">
        <v>1</v>
      </c>
      <c r="D596" s="17" t="s">
        <v>155</v>
      </c>
      <c r="E596" s="17"/>
      <c r="F596" s="17" t="s">
        <v>156</v>
      </c>
      <c r="G596" s="17"/>
      <c r="H596" s="17" t="s">
        <v>692</v>
      </c>
      <c r="I596" s="17"/>
      <c r="J596" s="17" t="s">
        <v>693</v>
      </c>
      <c r="K596" s="17"/>
      <c r="L596" s="17"/>
      <c r="M596" s="17"/>
      <c r="N596" s="17" t="s">
        <v>6460</v>
      </c>
      <c r="O596" s="17" t="s">
        <v>6992</v>
      </c>
      <c r="P596" s="17" t="s">
        <v>6996</v>
      </c>
      <c r="Q596" s="17"/>
      <c r="R596" s="25" t="str">
        <f>HYPERLINK("https://ictv.global/taxonomy/taxondetails?taxnode_id=202308538","Drulisvirus KpS2")</f>
        <v>Drulisvirus KpS2</v>
      </c>
      <c r="S596" s="18" t="s">
        <v>30</v>
      </c>
      <c r="T596" s="18" t="s">
        <v>7011</v>
      </c>
      <c r="U596" s="18"/>
      <c r="V596" s="18"/>
      <c r="W596" s="18" t="s">
        <v>7012</v>
      </c>
      <c r="X596" s="18" t="s">
        <v>42</v>
      </c>
      <c r="Y596" s="18" t="s">
        <v>36</v>
      </c>
      <c r="Z596" s="18" t="s">
        <v>697</v>
      </c>
      <c r="AA596" s="21" t="str">
        <f>HYPERLINK("https://www.ncbi.nlm.nih.gov/nuccore/KX587949","NCBI Nucleotide")</f>
        <v>NCBI Nucleotide</v>
      </c>
    </row>
    <row r="597" spans="1:27" x14ac:dyDescent="0.35">
      <c r="A597">
        <v>1000878</v>
      </c>
      <c r="B597">
        <v>596</v>
      </c>
      <c r="C597">
        <v>1</v>
      </c>
      <c r="D597" s="17" t="s">
        <v>155</v>
      </c>
      <c r="E597" s="17"/>
      <c r="F597" s="17" t="s">
        <v>156</v>
      </c>
      <c r="G597" s="17"/>
      <c r="H597" s="17" t="s">
        <v>692</v>
      </c>
      <c r="I597" s="17"/>
      <c r="J597" s="17" t="s">
        <v>693</v>
      </c>
      <c r="K597" s="17"/>
      <c r="L597" s="17"/>
      <c r="M597" s="17"/>
      <c r="N597" s="17" t="s">
        <v>6460</v>
      </c>
      <c r="O597" s="17" t="s">
        <v>6992</v>
      </c>
      <c r="P597" s="17" t="s">
        <v>6996</v>
      </c>
      <c r="Q597" s="17"/>
      <c r="R597" s="25" t="str">
        <f>HYPERLINK("https://ictv.global/taxonomy/taxondetails?taxnode_id=202300562","Drulisvirus KpV41")</f>
        <v>Drulisvirus KpV41</v>
      </c>
      <c r="S597" s="18" t="s">
        <v>30</v>
      </c>
      <c r="T597" s="18" t="s">
        <v>7013</v>
      </c>
      <c r="U597" s="18"/>
      <c r="V597" s="18"/>
      <c r="W597" s="18" t="s">
        <v>7014</v>
      </c>
      <c r="X597" s="18" t="s">
        <v>42</v>
      </c>
      <c r="Y597" s="18" t="s">
        <v>36</v>
      </c>
      <c r="Z597" s="18" t="s">
        <v>697</v>
      </c>
      <c r="AA597" s="21" t="str">
        <f>HYPERLINK("https://www.ncbi.nlm.nih.gov/nuccore/KT964103","NCBI Nucleotide")</f>
        <v>NCBI Nucleotide</v>
      </c>
    </row>
    <row r="598" spans="1:27" x14ac:dyDescent="0.35">
      <c r="A598">
        <v>1000880</v>
      </c>
      <c r="B598">
        <v>597</v>
      </c>
      <c r="C598">
        <v>1</v>
      </c>
      <c r="D598" s="17" t="s">
        <v>155</v>
      </c>
      <c r="E598" s="17"/>
      <c r="F598" s="17" t="s">
        <v>156</v>
      </c>
      <c r="G598" s="17"/>
      <c r="H598" s="17" t="s">
        <v>692</v>
      </c>
      <c r="I598" s="17"/>
      <c r="J598" s="17" t="s">
        <v>693</v>
      </c>
      <c r="K598" s="17"/>
      <c r="L598" s="17"/>
      <c r="M598" s="17"/>
      <c r="N598" s="17" t="s">
        <v>6460</v>
      </c>
      <c r="O598" s="17" t="s">
        <v>6992</v>
      </c>
      <c r="P598" s="17" t="s">
        <v>6996</v>
      </c>
      <c r="Q598" s="17"/>
      <c r="R598" s="25" t="str">
        <f>HYPERLINK("https://ictv.global/taxonomy/taxondetails?taxnode_id=202308537","Drulisvirus KpV48")</f>
        <v>Drulisvirus KpV48</v>
      </c>
      <c r="S598" s="18" t="s">
        <v>30</v>
      </c>
      <c r="T598" s="18" t="s">
        <v>7017</v>
      </c>
      <c r="U598" s="18"/>
      <c r="V598" s="18"/>
      <c r="W598" s="18" t="s">
        <v>7018</v>
      </c>
      <c r="X598" s="18" t="s">
        <v>42</v>
      </c>
      <c r="Y598" s="18" t="s">
        <v>36</v>
      </c>
      <c r="Z598" s="18" t="s">
        <v>697</v>
      </c>
      <c r="AA598" s="21" t="str">
        <f>HYPERLINK("https://www.ncbi.nlm.nih.gov/nuccore/KX237514","NCBI Nucleotide")</f>
        <v>NCBI Nucleotide</v>
      </c>
    </row>
    <row r="599" spans="1:27" x14ac:dyDescent="0.35">
      <c r="A599">
        <v>1000881</v>
      </c>
      <c r="B599">
        <v>598</v>
      </c>
      <c r="C599">
        <v>1</v>
      </c>
      <c r="D599" s="17" t="s">
        <v>155</v>
      </c>
      <c r="E599" s="17"/>
      <c r="F599" s="17" t="s">
        <v>156</v>
      </c>
      <c r="G599" s="17"/>
      <c r="H599" s="17" t="s">
        <v>692</v>
      </c>
      <c r="I599" s="17"/>
      <c r="J599" s="17" t="s">
        <v>693</v>
      </c>
      <c r="K599" s="17"/>
      <c r="L599" s="17"/>
      <c r="M599" s="17"/>
      <c r="N599" s="17" t="s">
        <v>6460</v>
      </c>
      <c r="O599" s="17" t="s">
        <v>6992</v>
      </c>
      <c r="P599" s="17" t="s">
        <v>6996</v>
      </c>
      <c r="Q599" s="17"/>
      <c r="R599" s="25" t="str">
        <f>HYPERLINK("https://ictv.global/taxonomy/taxondetails?taxnode_id=202300563","Drulisvirus KpV71")</f>
        <v>Drulisvirus KpV71</v>
      </c>
      <c r="S599" s="18" t="s">
        <v>30</v>
      </c>
      <c r="T599" s="18" t="s">
        <v>7019</v>
      </c>
      <c r="U599" s="18"/>
      <c r="V599" s="18"/>
      <c r="W599" s="18" t="s">
        <v>7020</v>
      </c>
      <c r="X599" s="18" t="s">
        <v>42</v>
      </c>
      <c r="Y599" s="18" t="s">
        <v>36</v>
      </c>
      <c r="Z599" s="18" t="s">
        <v>697</v>
      </c>
      <c r="AA599" s="21" t="str">
        <f>HYPERLINK("https://www.ncbi.nlm.nih.gov/nuccore/KU666550","NCBI Nucleotide")</f>
        <v>NCBI Nucleotide</v>
      </c>
    </row>
    <row r="600" spans="1:27" x14ac:dyDescent="0.35">
      <c r="A600">
        <v>1000882</v>
      </c>
      <c r="B600">
        <v>599</v>
      </c>
      <c r="C600">
        <v>1</v>
      </c>
      <c r="D600" s="17" t="s">
        <v>155</v>
      </c>
      <c r="E600" s="17"/>
      <c r="F600" s="17" t="s">
        <v>156</v>
      </c>
      <c r="G600" s="17"/>
      <c r="H600" s="17" t="s">
        <v>692</v>
      </c>
      <c r="I600" s="17"/>
      <c r="J600" s="17" t="s">
        <v>693</v>
      </c>
      <c r="K600" s="17"/>
      <c r="L600" s="17"/>
      <c r="M600" s="17"/>
      <c r="N600" s="17" t="s">
        <v>6460</v>
      </c>
      <c r="O600" s="17" t="s">
        <v>6992</v>
      </c>
      <c r="P600" s="17" t="s">
        <v>6996</v>
      </c>
      <c r="Q600" s="17"/>
      <c r="R600" s="25" t="str">
        <f>HYPERLINK("https://ictv.global/taxonomy/taxondetails?taxnode_id=202308541","Drulisvirus KpV74")</f>
        <v>Drulisvirus KpV74</v>
      </c>
      <c r="S600" s="18" t="s">
        <v>30</v>
      </c>
      <c r="T600" s="18" t="s">
        <v>7021</v>
      </c>
      <c r="U600" s="18"/>
      <c r="V600" s="18"/>
      <c r="W600" s="18" t="s">
        <v>7022</v>
      </c>
      <c r="X600" s="18" t="s">
        <v>42</v>
      </c>
      <c r="Y600" s="18" t="s">
        <v>36</v>
      </c>
      <c r="Z600" s="18" t="s">
        <v>697</v>
      </c>
      <c r="AA600" s="21" t="str">
        <f>HYPERLINK("https://www.ncbi.nlm.nih.gov/nuccore/KY385423","NCBI Nucleotide")</f>
        <v>NCBI Nucleotide</v>
      </c>
    </row>
    <row r="601" spans="1:27" x14ac:dyDescent="0.35">
      <c r="A601">
        <v>1000879</v>
      </c>
      <c r="B601">
        <v>600</v>
      </c>
      <c r="C601">
        <v>1</v>
      </c>
      <c r="D601" s="17" t="s">
        <v>155</v>
      </c>
      <c r="E601" s="17"/>
      <c r="F601" s="17" t="s">
        <v>156</v>
      </c>
      <c r="G601" s="17"/>
      <c r="H601" s="17" t="s">
        <v>692</v>
      </c>
      <c r="I601" s="17"/>
      <c r="J601" s="17" t="s">
        <v>693</v>
      </c>
      <c r="K601" s="17"/>
      <c r="L601" s="17"/>
      <c r="M601" s="17"/>
      <c r="N601" s="17" t="s">
        <v>6460</v>
      </c>
      <c r="O601" s="17" t="s">
        <v>6992</v>
      </c>
      <c r="P601" s="17" t="s">
        <v>6996</v>
      </c>
      <c r="Q601" s="17"/>
      <c r="R601" s="25" t="str">
        <f>HYPERLINK("https://ictv.global/taxonomy/taxondetails?taxnode_id=202300564","Drulisvirus KpV475")</f>
        <v>Drulisvirus KpV475</v>
      </c>
      <c r="S601" s="18" t="s">
        <v>30</v>
      </c>
      <c r="T601" s="18" t="s">
        <v>7015</v>
      </c>
      <c r="U601" s="18"/>
      <c r="V601" s="18"/>
      <c r="W601" s="18" t="s">
        <v>7016</v>
      </c>
      <c r="X601" s="18" t="s">
        <v>42</v>
      </c>
      <c r="Y601" s="18" t="s">
        <v>36</v>
      </c>
      <c r="Z601" s="18" t="s">
        <v>697</v>
      </c>
      <c r="AA601" s="21" t="str">
        <f>HYPERLINK("https://www.ncbi.nlm.nih.gov/nuccore/KX211991","NCBI Nucleotide")</f>
        <v>NCBI Nucleotide</v>
      </c>
    </row>
    <row r="602" spans="1:27" x14ac:dyDescent="0.35">
      <c r="A602">
        <v>1000883</v>
      </c>
      <c r="B602">
        <v>601</v>
      </c>
      <c r="C602">
        <v>1</v>
      </c>
      <c r="D602" s="17" t="s">
        <v>155</v>
      </c>
      <c r="E602" s="17"/>
      <c r="F602" s="17" t="s">
        <v>156</v>
      </c>
      <c r="G602" s="17"/>
      <c r="H602" s="17" t="s">
        <v>692</v>
      </c>
      <c r="I602" s="17"/>
      <c r="J602" s="17" t="s">
        <v>693</v>
      </c>
      <c r="K602" s="17"/>
      <c r="L602" s="17"/>
      <c r="M602" s="17"/>
      <c r="N602" s="17" t="s">
        <v>6460</v>
      </c>
      <c r="O602" s="17" t="s">
        <v>6992</v>
      </c>
      <c r="P602" s="17" t="s">
        <v>6996</v>
      </c>
      <c r="Q602" s="17"/>
      <c r="R602" s="25" t="str">
        <f>HYPERLINK("https://ictv.global/taxonomy/taxondetails?taxnode_id=202308540","Drulisvirus KPV811")</f>
        <v>Drulisvirus KPV811</v>
      </c>
      <c r="S602" s="18" t="s">
        <v>30</v>
      </c>
      <c r="T602" s="18" t="s">
        <v>7023</v>
      </c>
      <c r="U602" s="18"/>
      <c r="V602" s="18"/>
      <c r="W602" s="18" t="s">
        <v>7024</v>
      </c>
      <c r="X602" s="18" t="s">
        <v>42</v>
      </c>
      <c r="Y602" s="18" t="s">
        <v>36</v>
      </c>
      <c r="Z602" s="18" t="s">
        <v>697</v>
      </c>
      <c r="AA602" s="21" t="str">
        <f>HYPERLINK("https://www.ncbi.nlm.nih.gov/nuccore/KY000081","NCBI Nucleotide")</f>
        <v>NCBI Nucleotide</v>
      </c>
    </row>
    <row r="603" spans="1:27" x14ac:dyDescent="0.35">
      <c r="A603">
        <v>1000884</v>
      </c>
      <c r="B603">
        <v>602</v>
      </c>
      <c r="C603">
        <v>1</v>
      </c>
      <c r="D603" s="17" t="s">
        <v>155</v>
      </c>
      <c r="E603" s="17"/>
      <c r="F603" s="17" t="s">
        <v>156</v>
      </c>
      <c r="G603" s="17"/>
      <c r="H603" s="17" t="s">
        <v>692</v>
      </c>
      <c r="I603" s="17"/>
      <c r="J603" s="17" t="s">
        <v>693</v>
      </c>
      <c r="K603" s="17"/>
      <c r="L603" s="17"/>
      <c r="M603" s="17"/>
      <c r="N603" s="17" t="s">
        <v>6460</v>
      </c>
      <c r="O603" s="17" t="s">
        <v>6992</v>
      </c>
      <c r="P603" s="17" t="s">
        <v>6996</v>
      </c>
      <c r="Q603" s="17"/>
      <c r="R603" s="25" t="str">
        <f>HYPERLINK("https://ictv.global/taxonomy/taxondetails?taxnode_id=202308545","Drulisvirus minorna")</f>
        <v>Drulisvirus minorna</v>
      </c>
      <c r="S603" s="18" t="s">
        <v>30</v>
      </c>
      <c r="T603" s="18" t="s">
        <v>7025</v>
      </c>
      <c r="U603" s="18"/>
      <c r="V603" s="18"/>
      <c r="W603" s="18" t="s">
        <v>7026</v>
      </c>
      <c r="X603" s="18" t="s">
        <v>42</v>
      </c>
      <c r="Y603" s="18" t="s">
        <v>36</v>
      </c>
      <c r="Z603" s="18" t="s">
        <v>697</v>
      </c>
      <c r="AA603" s="21" t="str">
        <f>HYPERLINK("https://www.ncbi.nlm.nih.gov/nuccore/MK598851","NCBI Nucleotide")</f>
        <v>NCBI Nucleotide</v>
      </c>
    </row>
    <row r="604" spans="1:27" x14ac:dyDescent="0.35">
      <c r="A604">
        <v>1000885</v>
      </c>
      <c r="B604">
        <v>603</v>
      </c>
      <c r="C604">
        <v>1</v>
      </c>
      <c r="D604" s="17" t="s">
        <v>155</v>
      </c>
      <c r="E604" s="17"/>
      <c r="F604" s="17" t="s">
        <v>156</v>
      </c>
      <c r="G604" s="17"/>
      <c r="H604" s="17" t="s">
        <v>692</v>
      </c>
      <c r="I604" s="17"/>
      <c r="J604" s="17" t="s">
        <v>693</v>
      </c>
      <c r="K604" s="17"/>
      <c r="L604" s="17"/>
      <c r="M604" s="17"/>
      <c r="N604" s="17" t="s">
        <v>6460</v>
      </c>
      <c r="O604" s="17" t="s">
        <v>6992</v>
      </c>
      <c r="P604" s="17" t="s">
        <v>6996</v>
      </c>
      <c r="Q604" s="17"/>
      <c r="R604" s="25" t="str">
        <f>HYPERLINK("https://ictv.global/taxonomy/taxondetails?taxnode_id=202308544","Drulisvirus myPSH1235")</f>
        <v>Drulisvirus myPSH1235</v>
      </c>
      <c r="S604" s="18" t="s">
        <v>30</v>
      </c>
      <c r="T604" s="18" t="s">
        <v>7027</v>
      </c>
      <c r="U604" s="18"/>
      <c r="V604" s="18"/>
      <c r="W604" s="18" t="s">
        <v>7028</v>
      </c>
      <c r="X604" s="18" t="s">
        <v>42</v>
      </c>
      <c r="Y604" s="18" t="s">
        <v>36</v>
      </c>
      <c r="Z604" s="18" t="s">
        <v>697</v>
      </c>
      <c r="AA604" s="21" t="str">
        <f>HYPERLINK("https://www.ncbi.nlm.nih.gov/nuccore/MG972768","NCBI Nucleotide")</f>
        <v>NCBI Nucleotide</v>
      </c>
    </row>
    <row r="605" spans="1:27" x14ac:dyDescent="0.35">
      <c r="A605">
        <v>1000886</v>
      </c>
      <c r="B605">
        <v>604</v>
      </c>
      <c r="C605">
        <v>1</v>
      </c>
      <c r="D605" s="17" t="s">
        <v>155</v>
      </c>
      <c r="E605" s="17"/>
      <c r="F605" s="17" t="s">
        <v>156</v>
      </c>
      <c r="G605" s="17"/>
      <c r="H605" s="17" t="s">
        <v>692</v>
      </c>
      <c r="I605" s="17"/>
      <c r="J605" s="17" t="s">
        <v>693</v>
      </c>
      <c r="K605" s="17"/>
      <c r="L605" s="17"/>
      <c r="M605" s="17"/>
      <c r="N605" s="17" t="s">
        <v>6460</v>
      </c>
      <c r="O605" s="17" t="s">
        <v>6992</v>
      </c>
      <c r="P605" s="17" t="s">
        <v>6996</v>
      </c>
      <c r="Q605" s="17"/>
      <c r="R605" s="25" t="str">
        <f>HYPERLINK("https://ictv.global/taxonomy/taxondetails?taxnode_id=202308542","Drulisvirus SFN6B")</f>
        <v>Drulisvirus SFN6B</v>
      </c>
      <c r="S605" s="18" t="s">
        <v>30</v>
      </c>
      <c r="T605" s="18" t="s">
        <v>7029</v>
      </c>
      <c r="U605" s="18"/>
      <c r="V605" s="18"/>
      <c r="W605" s="18" t="s">
        <v>7030</v>
      </c>
      <c r="X605" s="18" t="s">
        <v>42</v>
      </c>
      <c r="Y605" s="18" t="s">
        <v>36</v>
      </c>
      <c r="Z605" s="18" t="s">
        <v>697</v>
      </c>
      <c r="AA605" s="21" t="str">
        <f>HYPERLINK("https://www.ncbi.nlm.nih.gov/nuccore/KY684082","NCBI Nucleotide")</f>
        <v>NCBI Nucleotide</v>
      </c>
    </row>
    <row r="606" spans="1:27" x14ac:dyDescent="0.35">
      <c r="A606">
        <v>1000887</v>
      </c>
      <c r="B606">
        <v>605</v>
      </c>
      <c r="C606">
        <v>1</v>
      </c>
      <c r="D606" s="17" t="s">
        <v>155</v>
      </c>
      <c r="E606" s="17"/>
      <c r="F606" s="17" t="s">
        <v>156</v>
      </c>
      <c r="G606" s="17"/>
      <c r="H606" s="17" t="s">
        <v>692</v>
      </c>
      <c r="I606" s="17"/>
      <c r="J606" s="17" t="s">
        <v>693</v>
      </c>
      <c r="K606" s="17"/>
      <c r="L606" s="17"/>
      <c r="M606" s="17"/>
      <c r="N606" s="17" t="s">
        <v>6460</v>
      </c>
      <c r="O606" s="17" t="s">
        <v>6992</v>
      </c>
      <c r="P606" s="17" t="s">
        <v>6996</v>
      </c>
      <c r="Q606" s="17"/>
      <c r="R606" s="25" t="str">
        <f>HYPERLINK("https://ictv.global/taxonomy/taxondetails?taxnode_id=202300565","Drulisvirus SU503")</f>
        <v>Drulisvirus SU503</v>
      </c>
      <c r="S606" s="18" t="s">
        <v>30</v>
      </c>
      <c r="T606" s="18" t="s">
        <v>7031</v>
      </c>
      <c r="U606" s="18"/>
      <c r="V606" s="18"/>
      <c r="W606" s="18" t="s">
        <v>7032</v>
      </c>
      <c r="X606" s="18" t="s">
        <v>42</v>
      </c>
      <c r="Y606" s="18" t="s">
        <v>36</v>
      </c>
      <c r="Z606" s="18" t="s">
        <v>697</v>
      </c>
      <c r="AA606" s="21" t="str">
        <f>HYPERLINK("https://www.ncbi.nlm.nih.gov/nuccore/KP708985","NCBI Nucleotide")</f>
        <v>NCBI Nucleotide</v>
      </c>
    </row>
    <row r="607" spans="1:27" x14ac:dyDescent="0.35">
      <c r="A607">
        <v>1000888</v>
      </c>
      <c r="B607">
        <v>606</v>
      </c>
      <c r="C607">
        <v>1</v>
      </c>
      <c r="D607" s="17" t="s">
        <v>155</v>
      </c>
      <c r="E607" s="17"/>
      <c r="F607" s="17" t="s">
        <v>156</v>
      </c>
      <c r="G607" s="17"/>
      <c r="H607" s="17" t="s">
        <v>692</v>
      </c>
      <c r="I607" s="17"/>
      <c r="J607" s="17" t="s">
        <v>693</v>
      </c>
      <c r="K607" s="17"/>
      <c r="L607" s="17"/>
      <c r="M607" s="17"/>
      <c r="N607" s="17" t="s">
        <v>6460</v>
      </c>
      <c r="O607" s="17" t="s">
        <v>6992</v>
      </c>
      <c r="P607" s="17" t="s">
        <v>6996</v>
      </c>
      <c r="Q607" s="17"/>
      <c r="R607" s="25" t="str">
        <f>HYPERLINK("https://ictv.global/taxonomy/taxondetails?taxnode_id=202300566","Drulisvirus SU552A")</f>
        <v>Drulisvirus SU552A</v>
      </c>
      <c r="S607" s="18" t="s">
        <v>30</v>
      </c>
      <c r="T607" s="18" t="s">
        <v>7033</v>
      </c>
      <c r="U607" s="18"/>
      <c r="V607" s="18"/>
      <c r="W607" s="18" t="s">
        <v>7034</v>
      </c>
      <c r="X607" s="18" t="s">
        <v>42</v>
      </c>
      <c r="Y607" s="18" t="s">
        <v>36</v>
      </c>
      <c r="Z607" s="18" t="s">
        <v>697</v>
      </c>
      <c r="AA607" s="21" t="str">
        <f>HYPERLINK("https://www.ncbi.nlm.nih.gov/nuccore/KP708986","NCBI Nucleotide")</f>
        <v>NCBI Nucleotide</v>
      </c>
    </row>
    <row r="608" spans="1:27" x14ac:dyDescent="0.35">
      <c r="A608">
        <v>1000889</v>
      </c>
      <c r="B608">
        <v>607</v>
      </c>
      <c r="C608">
        <v>1</v>
      </c>
      <c r="D608" s="17" t="s">
        <v>155</v>
      </c>
      <c r="E608" s="17"/>
      <c r="F608" s="17" t="s">
        <v>156</v>
      </c>
      <c r="G608" s="17"/>
      <c r="H608" s="17" t="s">
        <v>692</v>
      </c>
      <c r="I608" s="17"/>
      <c r="J608" s="17" t="s">
        <v>693</v>
      </c>
      <c r="K608" s="17"/>
      <c r="L608" s="17"/>
      <c r="M608" s="17"/>
      <c r="N608" s="17" t="s">
        <v>6460</v>
      </c>
      <c r="O608" s="17" t="s">
        <v>6992</v>
      </c>
      <c r="P608" s="17" t="s">
        <v>7035</v>
      </c>
      <c r="Q608" s="17"/>
      <c r="R608" s="25" t="str">
        <f>HYPERLINK("https://ictv.global/taxonomy/taxondetails?taxnode_id=202308552","Koutsourovirus KDA1")</f>
        <v>Koutsourovirus KDA1</v>
      </c>
      <c r="S608" s="18" t="s">
        <v>30</v>
      </c>
      <c r="T608" s="18" t="s">
        <v>7036</v>
      </c>
      <c r="U608" s="18"/>
      <c r="V608" s="18"/>
      <c r="W608" s="18" t="s">
        <v>7037</v>
      </c>
      <c r="X608" s="18" t="s">
        <v>42</v>
      </c>
      <c r="Y608" s="18" t="s">
        <v>36</v>
      </c>
      <c r="Z608" s="18" t="s">
        <v>697</v>
      </c>
      <c r="AA608" s="21" t="str">
        <f>HYPERLINK("https://www.ncbi.nlm.nih.gov/nuccore/JQ267518","NCBI Nucleotide")</f>
        <v>NCBI Nucleotide</v>
      </c>
    </row>
    <row r="609" spans="1:27" x14ac:dyDescent="0.35">
      <c r="A609">
        <v>1000890</v>
      </c>
      <c r="B609">
        <v>608</v>
      </c>
      <c r="C609">
        <v>1</v>
      </c>
      <c r="D609" s="17" t="s">
        <v>155</v>
      </c>
      <c r="E609" s="17"/>
      <c r="F609" s="17" t="s">
        <v>156</v>
      </c>
      <c r="G609" s="17"/>
      <c r="H609" s="17" t="s">
        <v>692</v>
      </c>
      <c r="I609" s="17"/>
      <c r="J609" s="17" t="s">
        <v>693</v>
      </c>
      <c r="K609" s="17"/>
      <c r="L609" s="17"/>
      <c r="M609" s="17"/>
      <c r="N609" s="17" t="s">
        <v>6460</v>
      </c>
      <c r="O609" s="17" t="s">
        <v>6992</v>
      </c>
      <c r="P609" s="17" t="s">
        <v>7038</v>
      </c>
      <c r="Q609" s="17"/>
      <c r="R609" s="25" t="str">
        <f>HYPERLINK("https://ictv.global/taxonomy/taxondetails?taxnode_id=202308547","Novosibovirus PM16")</f>
        <v>Novosibovirus PM16</v>
      </c>
      <c r="S609" s="18" t="s">
        <v>30</v>
      </c>
      <c r="T609" s="18" t="s">
        <v>7039</v>
      </c>
      <c r="U609" s="18"/>
      <c r="V609" s="18"/>
      <c r="W609" s="18" t="s">
        <v>7040</v>
      </c>
      <c r="X609" s="18" t="s">
        <v>42</v>
      </c>
      <c r="Y609" s="18" t="s">
        <v>36</v>
      </c>
      <c r="Z609" s="18" t="s">
        <v>697</v>
      </c>
      <c r="AA609" s="21" t="str">
        <f>HYPERLINK("https://www.ncbi.nlm.nih.gov/nuccore/KF319020","NCBI Nucleotide")</f>
        <v>NCBI Nucleotide</v>
      </c>
    </row>
    <row r="610" spans="1:27" x14ac:dyDescent="0.35">
      <c r="A610">
        <v>1000891</v>
      </c>
      <c r="B610">
        <v>609</v>
      </c>
      <c r="C610">
        <v>1</v>
      </c>
      <c r="D610" s="17" t="s">
        <v>155</v>
      </c>
      <c r="E610" s="17"/>
      <c r="F610" s="17" t="s">
        <v>156</v>
      </c>
      <c r="G610" s="17"/>
      <c r="H610" s="17" t="s">
        <v>692</v>
      </c>
      <c r="I610" s="17"/>
      <c r="J610" s="17" t="s">
        <v>693</v>
      </c>
      <c r="K610" s="17"/>
      <c r="L610" s="17"/>
      <c r="M610" s="17"/>
      <c r="N610" s="17" t="s">
        <v>6460</v>
      </c>
      <c r="O610" s="17" t="s">
        <v>6992</v>
      </c>
      <c r="P610" s="17" t="s">
        <v>7038</v>
      </c>
      <c r="Q610" s="17"/>
      <c r="R610" s="25" t="str">
        <f>HYPERLINK("https://ictv.global/taxonomy/taxondetails?taxnode_id=202308548","Novosibovirus PM75")</f>
        <v>Novosibovirus PM75</v>
      </c>
      <c r="S610" s="18" t="s">
        <v>30</v>
      </c>
      <c r="T610" s="18" t="s">
        <v>7041</v>
      </c>
      <c r="U610" s="18"/>
      <c r="V610" s="18"/>
      <c r="W610" s="18" t="s">
        <v>7042</v>
      </c>
      <c r="X610" s="18" t="s">
        <v>42</v>
      </c>
      <c r="Y610" s="18" t="s">
        <v>36</v>
      </c>
      <c r="Z610" s="18" t="s">
        <v>697</v>
      </c>
      <c r="AA610" s="21" t="str">
        <f>HYPERLINK("https://www.ncbi.nlm.nih.gov/nuccore/KM819694","NCBI Nucleotide")</f>
        <v>NCBI Nucleotide</v>
      </c>
    </row>
    <row r="611" spans="1:27" x14ac:dyDescent="0.35">
      <c r="A611">
        <v>1000892</v>
      </c>
      <c r="B611">
        <v>610</v>
      </c>
      <c r="C611">
        <v>1</v>
      </c>
      <c r="D611" s="17" t="s">
        <v>155</v>
      </c>
      <c r="E611" s="17"/>
      <c r="F611" s="17" t="s">
        <v>156</v>
      </c>
      <c r="G611" s="17"/>
      <c r="H611" s="17" t="s">
        <v>692</v>
      </c>
      <c r="I611" s="17"/>
      <c r="J611" s="17" t="s">
        <v>693</v>
      </c>
      <c r="K611" s="17"/>
      <c r="L611" s="17"/>
      <c r="M611" s="17"/>
      <c r="N611" s="17" t="s">
        <v>6460</v>
      </c>
      <c r="O611" s="17" t="s">
        <v>7043</v>
      </c>
      <c r="P611" s="17" t="s">
        <v>7044</v>
      </c>
      <c r="Q611" s="17"/>
      <c r="R611" s="25" t="str">
        <f>HYPERLINK("https://ictv.global/taxonomy/taxondetails?taxnode_id=202308380","Aarhusvirus dagda")</f>
        <v>Aarhusvirus dagda</v>
      </c>
      <c r="S611" s="18" t="s">
        <v>30</v>
      </c>
      <c r="T611" s="18" t="s">
        <v>7045</v>
      </c>
      <c r="U611" s="18"/>
      <c r="V611" s="18"/>
      <c r="W611" s="18" t="s">
        <v>7046</v>
      </c>
      <c r="X611" s="18" t="s">
        <v>42</v>
      </c>
      <c r="Y611" s="18" t="s">
        <v>36</v>
      </c>
      <c r="Z611" s="18" t="s">
        <v>697</v>
      </c>
      <c r="AA611" s="21" t="str">
        <f>HYPERLINK("https://www.ncbi.nlm.nih.gov/nuccore/MH059632","NCBI Nucleotide")</f>
        <v>NCBI Nucleotide</v>
      </c>
    </row>
    <row r="612" spans="1:27" x14ac:dyDescent="0.35">
      <c r="A612">
        <v>1000893</v>
      </c>
      <c r="B612">
        <v>611</v>
      </c>
      <c r="C612">
        <v>1</v>
      </c>
      <c r="D612" s="17" t="s">
        <v>155</v>
      </c>
      <c r="E612" s="17"/>
      <c r="F612" s="17" t="s">
        <v>156</v>
      </c>
      <c r="G612" s="17"/>
      <c r="H612" s="17" t="s">
        <v>692</v>
      </c>
      <c r="I612" s="17"/>
      <c r="J612" s="17" t="s">
        <v>693</v>
      </c>
      <c r="K612" s="17"/>
      <c r="L612" s="17"/>
      <c r="M612" s="17"/>
      <c r="N612" s="17" t="s">
        <v>6460</v>
      </c>
      <c r="O612" s="17" t="s">
        <v>7043</v>
      </c>
      <c r="P612" s="17" t="s">
        <v>7044</v>
      </c>
      <c r="Q612" s="17"/>
      <c r="R612" s="25" t="str">
        <f>HYPERLINK("https://ictv.global/taxonomy/taxondetails?taxnode_id=202308381","Aarhusvirus katbat")</f>
        <v>Aarhusvirus katbat</v>
      </c>
      <c r="S612" s="18" t="s">
        <v>30</v>
      </c>
      <c r="T612" s="18" t="s">
        <v>7047</v>
      </c>
      <c r="U612" s="18"/>
      <c r="V612" s="18"/>
      <c r="W612" s="18" t="s">
        <v>7048</v>
      </c>
      <c r="X612" s="18" t="s">
        <v>42</v>
      </c>
      <c r="Y612" s="18" t="s">
        <v>36</v>
      </c>
      <c r="Z612" s="18" t="s">
        <v>697</v>
      </c>
      <c r="AA612" s="21" t="str">
        <f>HYPERLINK("https://www.ncbi.nlm.nih.gov/nuccore/MH807813","NCBI Nucleotide")</f>
        <v>NCBI Nucleotide</v>
      </c>
    </row>
    <row r="613" spans="1:27" x14ac:dyDescent="0.35">
      <c r="A613">
        <v>1000894</v>
      </c>
      <c r="B613">
        <v>612</v>
      </c>
      <c r="C613">
        <v>1</v>
      </c>
      <c r="D613" s="17" t="s">
        <v>155</v>
      </c>
      <c r="E613" s="17"/>
      <c r="F613" s="17" t="s">
        <v>156</v>
      </c>
      <c r="G613" s="17"/>
      <c r="H613" s="17" t="s">
        <v>692</v>
      </c>
      <c r="I613" s="17"/>
      <c r="J613" s="17" t="s">
        <v>693</v>
      </c>
      <c r="K613" s="17"/>
      <c r="L613" s="17"/>
      <c r="M613" s="17"/>
      <c r="N613" s="17" t="s">
        <v>6460</v>
      </c>
      <c r="O613" s="17" t="s">
        <v>7043</v>
      </c>
      <c r="P613" s="17" t="s">
        <v>7044</v>
      </c>
      <c r="Q613" s="17"/>
      <c r="R613" s="25" t="str">
        <f>HYPERLINK("https://ictv.global/taxonomy/taxondetails?taxnode_id=202308382","Aarhusvirus luksen")</f>
        <v>Aarhusvirus luksen</v>
      </c>
      <c r="S613" s="18" t="s">
        <v>30</v>
      </c>
      <c r="T613" s="18" t="s">
        <v>7049</v>
      </c>
      <c r="U613" s="18"/>
      <c r="V613" s="18"/>
      <c r="W613" s="18" t="s">
        <v>7050</v>
      </c>
      <c r="X613" s="18" t="s">
        <v>42</v>
      </c>
      <c r="Y613" s="18" t="s">
        <v>36</v>
      </c>
      <c r="Z613" s="18" t="s">
        <v>697</v>
      </c>
      <c r="AA613" s="21" t="str">
        <f>HYPERLINK("https://www.ncbi.nlm.nih.gov/nuccore/MH807815","NCBI Nucleotide")</f>
        <v>NCBI Nucleotide</v>
      </c>
    </row>
    <row r="614" spans="1:27" x14ac:dyDescent="0.35">
      <c r="A614">
        <v>1000895</v>
      </c>
      <c r="B614">
        <v>613</v>
      </c>
      <c r="C614">
        <v>1</v>
      </c>
      <c r="D614" s="17" t="s">
        <v>155</v>
      </c>
      <c r="E614" s="17"/>
      <c r="F614" s="17" t="s">
        <v>156</v>
      </c>
      <c r="G614" s="17"/>
      <c r="H614" s="17" t="s">
        <v>692</v>
      </c>
      <c r="I614" s="17"/>
      <c r="J614" s="17" t="s">
        <v>693</v>
      </c>
      <c r="K614" s="17"/>
      <c r="L614" s="17"/>
      <c r="M614" s="17"/>
      <c r="N614" s="17" t="s">
        <v>6460</v>
      </c>
      <c r="O614" s="17" t="s">
        <v>7043</v>
      </c>
      <c r="P614" s="17" t="s">
        <v>7044</v>
      </c>
      <c r="Q614" s="17"/>
      <c r="R614" s="25" t="str">
        <f>HYPERLINK("https://ictv.global/taxonomy/taxondetails?taxnode_id=202308383","Aarhusvirus mysterion")</f>
        <v>Aarhusvirus mysterion</v>
      </c>
      <c r="S614" s="18" t="s">
        <v>30</v>
      </c>
      <c r="T614" s="18" t="s">
        <v>7051</v>
      </c>
      <c r="U614" s="18"/>
      <c r="V614" s="18"/>
      <c r="W614" s="18" t="s">
        <v>7052</v>
      </c>
      <c r="X614" s="18" t="s">
        <v>42</v>
      </c>
      <c r="Y614" s="18" t="s">
        <v>36</v>
      </c>
      <c r="Z614" s="18" t="s">
        <v>697</v>
      </c>
      <c r="AA614" s="21" t="str">
        <f>HYPERLINK("https://www.ncbi.nlm.nih.gov/nuccore/MH807817","NCBI Nucleotide")</f>
        <v>NCBI Nucleotide</v>
      </c>
    </row>
    <row r="615" spans="1:27" x14ac:dyDescent="0.35">
      <c r="A615">
        <v>1000896</v>
      </c>
      <c r="B615">
        <v>614</v>
      </c>
      <c r="C615">
        <v>1</v>
      </c>
      <c r="D615" s="17" t="s">
        <v>155</v>
      </c>
      <c r="E615" s="17"/>
      <c r="F615" s="17" t="s">
        <v>156</v>
      </c>
      <c r="G615" s="17"/>
      <c r="H615" s="17" t="s">
        <v>692</v>
      </c>
      <c r="I615" s="17"/>
      <c r="J615" s="17" t="s">
        <v>693</v>
      </c>
      <c r="K615" s="17"/>
      <c r="L615" s="17"/>
      <c r="M615" s="17"/>
      <c r="N615" s="17" t="s">
        <v>6460</v>
      </c>
      <c r="O615" s="17" t="s">
        <v>7043</v>
      </c>
      <c r="P615" s="17" t="s">
        <v>7053</v>
      </c>
      <c r="Q615" s="17"/>
      <c r="R615" s="25" t="str">
        <f>HYPERLINK("https://ictv.global/taxonomy/taxondetails?taxnode_id=202308429","Apdecimavirus AP10")</f>
        <v>Apdecimavirus AP10</v>
      </c>
      <c r="S615" s="18" t="s">
        <v>30</v>
      </c>
      <c r="T615" s="18" t="s">
        <v>7054</v>
      </c>
      <c r="U615" s="18"/>
      <c r="V615" s="18"/>
      <c r="W615" s="18" t="s">
        <v>7055</v>
      </c>
      <c r="X615" s="18" t="s">
        <v>42</v>
      </c>
      <c r="Y615" s="18" t="s">
        <v>36</v>
      </c>
      <c r="Z615" s="18" t="s">
        <v>697</v>
      </c>
      <c r="AA615" s="21" t="str">
        <f>HYPERLINK("https://www.ncbi.nlm.nih.gov/nuccore/KT852574","NCBI Nucleotide")</f>
        <v>NCBI Nucleotide</v>
      </c>
    </row>
    <row r="616" spans="1:27" x14ac:dyDescent="0.35">
      <c r="A616">
        <v>1000897</v>
      </c>
      <c r="B616">
        <v>615</v>
      </c>
      <c r="C616">
        <v>1</v>
      </c>
      <c r="D616" s="17" t="s">
        <v>155</v>
      </c>
      <c r="E616" s="17"/>
      <c r="F616" s="17" t="s">
        <v>156</v>
      </c>
      <c r="G616" s="17"/>
      <c r="H616" s="17" t="s">
        <v>692</v>
      </c>
      <c r="I616" s="17"/>
      <c r="J616" s="17" t="s">
        <v>693</v>
      </c>
      <c r="K616" s="17"/>
      <c r="L616" s="17"/>
      <c r="M616" s="17"/>
      <c r="N616" s="17" t="s">
        <v>6460</v>
      </c>
      <c r="O616" s="17" t="s">
        <v>7043</v>
      </c>
      <c r="P616" s="17" t="s">
        <v>7056</v>
      </c>
      <c r="Q616" s="17"/>
      <c r="R616" s="25" t="str">
        <f>HYPERLINK("https://ictv.global/taxonomy/taxondetails?taxnode_id=202308391","Berlinvirus 285P")</f>
        <v>Berlinvirus 285P</v>
      </c>
      <c r="S616" s="18" t="s">
        <v>30</v>
      </c>
      <c r="T616" s="18" t="s">
        <v>7057</v>
      </c>
      <c r="U616" s="18"/>
      <c r="V616" s="18"/>
      <c r="W616" s="18" t="s">
        <v>7058</v>
      </c>
      <c r="X616" s="18" t="s">
        <v>42</v>
      </c>
      <c r="Y616" s="18" t="s">
        <v>36</v>
      </c>
      <c r="Z616" s="18" t="s">
        <v>697</v>
      </c>
      <c r="AA616" s="21" t="str">
        <f>HYPERLINK("https://www.ncbi.nlm.nih.gov/nuccore/GQ468526","NCBI Nucleotide")</f>
        <v>NCBI Nucleotide</v>
      </c>
    </row>
    <row r="617" spans="1:27" x14ac:dyDescent="0.35">
      <c r="A617">
        <v>1000898</v>
      </c>
      <c r="B617">
        <v>616</v>
      </c>
      <c r="C617">
        <v>1</v>
      </c>
      <c r="D617" s="17" t="s">
        <v>155</v>
      </c>
      <c r="E617" s="17"/>
      <c r="F617" s="17" t="s">
        <v>156</v>
      </c>
      <c r="G617" s="17"/>
      <c r="H617" s="17" t="s">
        <v>692</v>
      </c>
      <c r="I617" s="17"/>
      <c r="J617" s="17" t="s">
        <v>693</v>
      </c>
      <c r="K617" s="17"/>
      <c r="L617" s="17"/>
      <c r="M617" s="17"/>
      <c r="N617" s="17" t="s">
        <v>6460</v>
      </c>
      <c r="O617" s="17" t="s">
        <v>7043</v>
      </c>
      <c r="P617" s="17" t="s">
        <v>7056</v>
      </c>
      <c r="Q617" s="17"/>
      <c r="R617" s="25" t="str">
        <f>HYPERLINK("https://ictv.global/taxonomy/taxondetails?taxnode_id=202308401","Berlinvirus A7")</f>
        <v>Berlinvirus A7</v>
      </c>
      <c r="S617" s="18" t="s">
        <v>30</v>
      </c>
      <c r="T617" s="18" t="s">
        <v>7059</v>
      </c>
      <c r="U617" s="18"/>
      <c r="V617" s="18"/>
      <c r="W617" s="18" t="s">
        <v>7060</v>
      </c>
      <c r="X617" s="18" t="s">
        <v>42</v>
      </c>
      <c r="Y617" s="18" t="s">
        <v>36</v>
      </c>
      <c r="Z617" s="18" t="s">
        <v>697</v>
      </c>
      <c r="AA617" s="21" t="str">
        <f>HYPERLINK("https://www.ncbi.nlm.nih.gov/nuccore/MK685668","NCBI Nucleotide")</f>
        <v>NCBI Nucleotide</v>
      </c>
    </row>
    <row r="618" spans="1:27" x14ac:dyDescent="0.35">
      <c r="A618">
        <v>1000899</v>
      </c>
      <c r="B618">
        <v>617</v>
      </c>
      <c r="C618">
        <v>1</v>
      </c>
      <c r="D618" s="17" t="s">
        <v>155</v>
      </c>
      <c r="E618" s="17"/>
      <c r="F618" s="17" t="s">
        <v>156</v>
      </c>
      <c r="G618" s="17"/>
      <c r="H618" s="17" t="s">
        <v>692</v>
      </c>
      <c r="I618" s="17"/>
      <c r="J618" s="17" t="s">
        <v>693</v>
      </c>
      <c r="K618" s="17"/>
      <c r="L618" s="17"/>
      <c r="M618" s="17"/>
      <c r="N618" s="17" t="s">
        <v>6460</v>
      </c>
      <c r="O618" s="17" t="s">
        <v>7043</v>
      </c>
      <c r="P618" s="17" t="s">
        <v>7056</v>
      </c>
      <c r="Q618" s="17"/>
      <c r="R618" s="25" t="str">
        <f>HYPERLINK("https://ictv.global/taxonomy/taxondetails?taxnode_id=202308390","Berlinvirus BA14")</f>
        <v>Berlinvirus BA14</v>
      </c>
      <c r="S618" s="18" t="s">
        <v>30</v>
      </c>
      <c r="T618" s="18" t="s">
        <v>7061</v>
      </c>
      <c r="U618" s="18"/>
      <c r="V618" s="18"/>
      <c r="W618" s="18" t="s">
        <v>7062</v>
      </c>
      <c r="X618" s="18" t="s">
        <v>42</v>
      </c>
      <c r="Y618" s="18" t="s">
        <v>36</v>
      </c>
      <c r="Z618" s="18" t="s">
        <v>697</v>
      </c>
      <c r="AA618" s="21" t="str">
        <f>HYPERLINK("https://www.ncbi.nlm.nih.gov/nuccore/EU734171","NCBI Nucleotide")</f>
        <v>NCBI Nucleotide</v>
      </c>
    </row>
    <row r="619" spans="1:27" x14ac:dyDescent="0.35">
      <c r="A619">
        <v>1000900</v>
      </c>
      <c r="B619">
        <v>618</v>
      </c>
      <c r="C619">
        <v>1</v>
      </c>
      <c r="D619" s="17" t="s">
        <v>155</v>
      </c>
      <c r="E619" s="17"/>
      <c r="F619" s="17" t="s">
        <v>156</v>
      </c>
      <c r="G619" s="17"/>
      <c r="H619" s="17" t="s">
        <v>692</v>
      </c>
      <c r="I619" s="17"/>
      <c r="J619" s="17" t="s">
        <v>693</v>
      </c>
      <c r="K619" s="17"/>
      <c r="L619" s="17"/>
      <c r="M619" s="17"/>
      <c r="N619" s="17" t="s">
        <v>6460</v>
      </c>
      <c r="O619" s="17" t="s">
        <v>7043</v>
      </c>
      <c r="P619" s="17" t="s">
        <v>7056</v>
      </c>
      <c r="Q619" s="17"/>
      <c r="R619" s="25" t="str">
        <f>HYPERLINK("https://ictv.global/taxonomy/taxondetails?taxnode_id=202308388","Berlinvirus berlin")</f>
        <v>Berlinvirus berlin</v>
      </c>
      <c r="S619" s="18" t="s">
        <v>30</v>
      </c>
      <c r="T619" s="18" t="s">
        <v>7063</v>
      </c>
      <c r="U619" s="18"/>
      <c r="V619" s="18"/>
      <c r="W619" s="18" t="s">
        <v>7064</v>
      </c>
      <c r="X619" s="18" t="s">
        <v>42</v>
      </c>
      <c r="Y619" s="18" t="s">
        <v>36</v>
      </c>
      <c r="Z619" s="18" t="s">
        <v>697</v>
      </c>
      <c r="AA619" s="21" t="str">
        <f>HYPERLINK("https://www.ncbi.nlm.nih.gov/nuccore/AM183667","NCBI Nucleotide")</f>
        <v>NCBI Nucleotide</v>
      </c>
    </row>
    <row r="620" spans="1:27" x14ac:dyDescent="0.35">
      <c r="A620">
        <v>1000901</v>
      </c>
      <c r="B620">
        <v>619</v>
      </c>
      <c r="C620">
        <v>1</v>
      </c>
      <c r="D620" s="17" t="s">
        <v>155</v>
      </c>
      <c r="E620" s="17"/>
      <c r="F620" s="17" t="s">
        <v>156</v>
      </c>
      <c r="G620" s="17"/>
      <c r="H620" s="17" t="s">
        <v>692</v>
      </c>
      <c r="I620" s="17"/>
      <c r="J620" s="17" t="s">
        <v>693</v>
      </c>
      <c r="K620" s="17"/>
      <c r="L620" s="17"/>
      <c r="M620" s="17"/>
      <c r="N620" s="17" t="s">
        <v>6460</v>
      </c>
      <c r="O620" s="17" t="s">
        <v>7043</v>
      </c>
      <c r="P620" s="17" t="s">
        <v>7056</v>
      </c>
      <c r="Q620" s="17"/>
      <c r="R620" s="25" t="str">
        <f>HYPERLINK("https://ictv.global/taxonomy/taxondetails?taxnode_id=202308394","Berlinvirus BP12A")</f>
        <v>Berlinvirus BP12A</v>
      </c>
      <c r="S620" s="18" t="s">
        <v>30</v>
      </c>
      <c r="T620" s="18" t="s">
        <v>7065</v>
      </c>
      <c r="U620" s="18"/>
      <c r="V620" s="18"/>
      <c r="W620" s="18" t="s">
        <v>7066</v>
      </c>
      <c r="X620" s="18" t="s">
        <v>42</v>
      </c>
      <c r="Y620" s="18" t="s">
        <v>36</v>
      </c>
      <c r="Z620" s="18" t="s">
        <v>697</v>
      </c>
      <c r="AA620" s="21" t="str">
        <f>HYPERLINK("https://www.ncbi.nlm.nih.gov/nuccore/KM366096","NCBI Nucleotide")</f>
        <v>NCBI Nucleotide</v>
      </c>
    </row>
    <row r="621" spans="1:27" x14ac:dyDescent="0.35">
      <c r="A621">
        <v>1000902</v>
      </c>
      <c r="B621">
        <v>620</v>
      </c>
      <c r="C621">
        <v>1</v>
      </c>
      <c r="D621" s="17" t="s">
        <v>155</v>
      </c>
      <c r="E621" s="17"/>
      <c r="F621" s="17" t="s">
        <v>156</v>
      </c>
      <c r="G621" s="17"/>
      <c r="H621" s="17" t="s">
        <v>692</v>
      </c>
      <c r="I621" s="17"/>
      <c r="J621" s="17" t="s">
        <v>693</v>
      </c>
      <c r="K621" s="17"/>
      <c r="L621" s="17"/>
      <c r="M621" s="17"/>
      <c r="N621" s="17" t="s">
        <v>6460</v>
      </c>
      <c r="O621" s="17" t="s">
        <v>7043</v>
      </c>
      <c r="P621" s="17" t="s">
        <v>7056</v>
      </c>
      <c r="Q621" s="17"/>
      <c r="R621" s="25" t="str">
        <f>HYPERLINK("https://ictv.global/taxonomy/taxondetails?taxnode_id=202308398","Berlinvirus BSP161")</f>
        <v>Berlinvirus BSP161</v>
      </c>
      <c r="S621" s="18" t="s">
        <v>30</v>
      </c>
      <c r="T621" s="18" t="s">
        <v>7067</v>
      </c>
      <c r="U621" s="18"/>
      <c r="V621" s="18"/>
      <c r="W621" s="18" t="s">
        <v>7068</v>
      </c>
      <c r="X621" s="18" t="s">
        <v>42</v>
      </c>
      <c r="Y621" s="18" t="s">
        <v>36</v>
      </c>
      <c r="Z621" s="18" t="s">
        <v>697</v>
      </c>
      <c r="AA621" s="21" t="str">
        <f>HYPERLINK("https://www.ncbi.nlm.nih.gov/nuccore/MG471392","NCBI Nucleotide")</f>
        <v>NCBI Nucleotide</v>
      </c>
    </row>
    <row r="622" spans="1:27" x14ac:dyDescent="0.35">
      <c r="A622">
        <v>1000903</v>
      </c>
      <c r="B622">
        <v>621</v>
      </c>
      <c r="C622">
        <v>1</v>
      </c>
      <c r="D622" s="17" t="s">
        <v>155</v>
      </c>
      <c r="E622" s="17"/>
      <c r="F622" s="17" t="s">
        <v>156</v>
      </c>
      <c r="G622" s="17"/>
      <c r="H622" s="17" t="s">
        <v>692</v>
      </c>
      <c r="I622" s="17"/>
      <c r="J622" s="17" t="s">
        <v>693</v>
      </c>
      <c r="K622" s="17"/>
      <c r="L622" s="17"/>
      <c r="M622" s="17"/>
      <c r="N622" s="17" t="s">
        <v>6460</v>
      </c>
      <c r="O622" s="17" t="s">
        <v>7043</v>
      </c>
      <c r="P622" s="17" t="s">
        <v>7056</v>
      </c>
      <c r="Q622" s="17"/>
      <c r="R622" s="25" t="str">
        <f>HYPERLINK("https://ictv.global/taxonomy/taxondetails?taxnode_id=202308393","Berlinvirus FE44")</f>
        <v>Berlinvirus FE44</v>
      </c>
      <c r="S622" s="18" t="s">
        <v>30</v>
      </c>
      <c r="T622" s="18" t="s">
        <v>7069</v>
      </c>
      <c r="U622" s="18"/>
      <c r="V622" s="18"/>
      <c r="W622" s="18" t="s">
        <v>7070</v>
      </c>
      <c r="X622" s="18" t="s">
        <v>42</v>
      </c>
      <c r="Y622" s="18" t="s">
        <v>36</v>
      </c>
      <c r="Z622" s="18" t="s">
        <v>697</v>
      </c>
      <c r="AA622" s="21" t="str">
        <f>HYPERLINK("https://www.ncbi.nlm.nih.gov/nuccore/KF700371","NCBI Nucleotide")</f>
        <v>NCBI Nucleotide</v>
      </c>
    </row>
    <row r="623" spans="1:27" x14ac:dyDescent="0.35">
      <c r="A623">
        <v>1000904</v>
      </c>
      <c r="B623">
        <v>622</v>
      </c>
      <c r="C623">
        <v>1</v>
      </c>
      <c r="D623" s="17" t="s">
        <v>155</v>
      </c>
      <c r="E623" s="17"/>
      <c r="F623" s="17" t="s">
        <v>156</v>
      </c>
      <c r="G623" s="17"/>
      <c r="H623" s="17" t="s">
        <v>692</v>
      </c>
      <c r="I623" s="17"/>
      <c r="J623" s="17" t="s">
        <v>693</v>
      </c>
      <c r="K623" s="17"/>
      <c r="L623" s="17"/>
      <c r="M623" s="17"/>
      <c r="N623" s="17" t="s">
        <v>6460</v>
      </c>
      <c r="O623" s="17" t="s">
        <v>7043</v>
      </c>
      <c r="P623" s="17" t="s">
        <v>7056</v>
      </c>
      <c r="Q623" s="17"/>
      <c r="R623" s="25" t="str">
        <f>HYPERLINK("https://ictv.global/taxonomy/taxondetails?taxnode_id=202300584","Berlinvirus Kvp1")</f>
        <v>Berlinvirus Kvp1</v>
      </c>
      <c r="S623" s="18" t="s">
        <v>30</v>
      </c>
      <c r="T623" s="18" t="s">
        <v>7071</v>
      </c>
      <c r="U623" s="18"/>
      <c r="V623" s="18"/>
      <c r="W623" s="18" t="s">
        <v>7072</v>
      </c>
      <c r="X623" s="18" t="s">
        <v>42</v>
      </c>
      <c r="Y623" s="18" t="s">
        <v>36</v>
      </c>
      <c r="Z623" s="18" t="s">
        <v>697</v>
      </c>
      <c r="AA623" s="21" t="str">
        <f>HYPERLINK("https://www.ncbi.nlm.nih.gov/nuccore/FJ194439","NCBI Nucleotide")</f>
        <v>NCBI Nucleotide</v>
      </c>
    </row>
    <row r="624" spans="1:27" x14ac:dyDescent="0.35">
      <c r="A624">
        <v>1000905</v>
      </c>
      <c r="B624">
        <v>623</v>
      </c>
      <c r="C624">
        <v>1</v>
      </c>
      <c r="D624" s="17" t="s">
        <v>155</v>
      </c>
      <c r="E624" s="17"/>
      <c r="F624" s="17" t="s">
        <v>156</v>
      </c>
      <c r="G624" s="17"/>
      <c r="H624" s="17" t="s">
        <v>692</v>
      </c>
      <c r="I624" s="17"/>
      <c r="J624" s="17" t="s">
        <v>693</v>
      </c>
      <c r="K624" s="17"/>
      <c r="L624" s="17"/>
      <c r="M624" s="17"/>
      <c r="N624" s="17" t="s">
        <v>6460</v>
      </c>
      <c r="O624" s="17" t="s">
        <v>7043</v>
      </c>
      <c r="P624" s="17" t="s">
        <v>7056</v>
      </c>
      <c r="Q624" s="17"/>
      <c r="R624" s="25" t="str">
        <f>HYPERLINK("https://ictv.global/taxonomy/taxondetails?taxnode_id=202308395","Berlinvirus P483")</f>
        <v>Berlinvirus P483</v>
      </c>
      <c r="S624" s="18" t="s">
        <v>30</v>
      </c>
      <c r="T624" s="18" t="s">
        <v>7073</v>
      </c>
      <c r="U624" s="18"/>
      <c r="V624" s="18"/>
      <c r="W624" s="18" t="s">
        <v>7074</v>
      </c>
      <c r="X624" s="18" t="s">
        <v>42</v>
      </c>
      <c r="Y624" s="18" t="s">
        <v>36</v>
      </c>
      <c r="Z624" s="18" t="s">
        <v>697</v>
      </c>
      <c r="AA624" s="21" t="str">
        <f>HYPERLINK("https://www.ncbi.nlm.nih.gov/nuccore/KP090453","NCBI Nucleotide")</f>
        <v>NCBI Nucleotide</v>
      </c>
    </row>
    <row r="625" spans="1:27" x14ac:dyDescent="0.35">
      <c r="A625">
        <v>1000906</v>
      </c>
      <c r="B625">
        <v>624</v>
      </c>
      <c r="C625">
        <v>1</v>
      </c>
      <c r="D625" s="17" t="s">
        <v>155</v>
      </c>
      <c r="E625" s="17"/>
      <c r="F625" s="17" t="s">
        <v>156</v>
      </c>
      <c r="G625" s="17"/>
      <c r="H625" s="17" t="s">
        <v>692</v>
      </c>
      <c r="I625" s="17"/>
      <c r="J625" s="17" t="s">
        <v>693</v>
      </c>
      <c r="K625" s="17"/>
      <c r="L625" s="17"/>
      <c r="M625" s="17"/>
      <c r="N625" s="17" t="s">
        <v>6460</v>
      </c>
      <c r="O625" s="17" t="s">
        <v>7043</v>
      </c>
      <c r="P625" s="17" t="s">
        <v>7056</v>
      </c>
      <c r="Q625" s="17"/>
      <c r="R625" s="25" t="str">
        <f>HYPERLINK("https://ictv.global/taxonomy/taxondetails?taxnode_id=202308396","Berlinvirus P694")</f>
        <v>Berlinvirus P694</v>
      </c>
      <c r="S625" s="18" t="s">
        <v>30</v>
      </c>
      <c r="T625" s="18" t="s">
        <v>7075</v>
      </c>
      <c r="U625" s="18"/>
      <c r="V625" s="18"/>
      <c r="W625" s="18" t="s">
        <v>7076</v>
      </c>
      <c r="X625" s="18" t="s">
        <v>42</v>
      </c>
      <c r="Y625" s="18" t="s">
        <v>36</v>
      </c>
      <c r="Z625" s="18" t="s">
        <v>697</v>
      </c>
      <c r="AA625" s="21" t="str">
        <f>HYPERLINK("https://www.ncbi.nlm.nih.gov/nuccore/KP090454","NCBI Nucleotide")</f>
        <v>NCBI Nucleotide</v>
      </c>
    </row>
    <row r="626" spans="1:27" x14ac:dyDescent="0.35">
      <c r="A626">
        <v>1000907</v>
      </c>
      <c r="B626">
        <v>625</v>
      </c>
      <c r="C626">
        <v>1</v>
      </c>
      <c r="D626" s="17" t="s">
        <v>155</v>
      </c>
      <c r="E626" s="17"/>
      <c r="F626" s="17" t="s">
        <v>156</v>
      </c>
      <c r="G626" s="17"/>
      <c r="H626" s="17" t="s">
        <v>692</v>
      </c>
      <c r="I626" s="17"/>
      <c r="J626" s="17" t="s">
        <v>693</v>
      </c>
      <c r="K626" s="17"/>
      <c r="L626" s="17"/>
      <c r="M626" s="17"/>
      <c r="N626" s="17" t="s">
        <v>6460</v>
      </c>
      <c r="O626" s="17" t="s">
        <v>7043</v>
      </c>
      <c r="P626" s="17" t="s">
        <v>7056</v>
      </c>
      <c r="Q626" s="17"/>
      <c r="R626" s="25" t="str">
        <f>HYPERLINK("https://ictv.global/taxonomy/taxondetails?taxnode_id=202308397","Berlinvirus PP74")</f>
        <v>Berlinvirus PP74</v>
      </c>
      <c r="S626" s="18" t="s">
        <v>30</v>
      </c>
      <c r="T626" s="18" t="s">
        <v>7077</v>
      </c>
      <c r="U626" s="18"/>
      <c r="V626" s="18"/>
      <c r="W626" s="18" t="s">
        <v>7078</v>
      </c>
      <c r="X626" s="18" t="s">
        <v>42</v>
      </c>
      <c r="Y626" s="18" t="s">
        <v>36</v>
      </c>
      <c r="Z626" s="18" t="s">
        <v>697</v>
      </c>
      <c r="AA626" s="21" t="str">
        <f>HYPERLINK("https://www.ncbi.nlm.nih.gov/nuccore/KY084243","NCBI Nucleotide")</f>
        <v>NCBI Nucleotide</v>
      </c>
    </row>
    <row r="627" spans="1:27" x14ac:dyDescent="0.35">
      <c r="A627">
        <v>1000908</v>
      </c>
      <c r="B627">
        <v>626</v>
      </c>
      <c r="C627">
        <v>1</v>
      </c>
      <c r="D627" s="17" t="s">
        <v>155</v>
      </c>
      <c r="E627" s="17"/>
      <c r="F627" s="17" t="s">
        <v>156</v>
      </c>
      <c r="G627" s="17"/>
      <c r="H627" s="17" t="s">
        <v>692</v>
      </c>
      <c r="I627" s="17"/>
      <c r="J627" s="17" t="s">
        <v>693</v>
      </c>
      <c r="K627" s="17"/>
      <c r="L627" s="17"/>
      <c r="M627" s="17"/>
      <c r="N627" s="17" t="s">
        <v>6460</v>
      </c>
      <c r="O627" s="17" t="s">
        <v>7043</v>
      </c>
      <c r="P627" s="17" t="s">
        <v>7056</v>
      </c>
      <c r="Q627" s="17"/>
      <c r="R627" s="25" t="str">
        <f>HYPERLINK("https://ictv.global/taxonomy/taxondetails?taxnode_id=202308400","Berlinvirus PYPS50")</f>
        <v>Berlinvirus PYPS50</v>
      </c>
      <c r="S627" s="18" t="s">
        <v>30</v>
      </c>
      <c r="T627" s="18" t="s">
        <v>7079</v>
      </c>
      <c r="U627" s="18"/>
      <c r="V627" s="18"/>
      <c r="W627" s="18" t="s">
        <v>7080</v>
      </c>
      <c r="X627" s="18" t="s">
        <v>42</v>
      </c>
      <c r="Y627" s="18" t="s">
        <v>36</v>
      </c>
      <c r="Z627" s="18" t="s">
        <v>697</v>
      </c>
      <c r="AA627" s="21" t="str">
        <f>HYPERLINK("https://www.ncbi.nlm.nih.gov/nuccore/MH809534","NCBI Nucleotide")</f>
        <v>NCBI Nucleotide</v>
      </c>
    </row>
    <row r="628" spans="1:27" x14ac:dyDescent="0.35">
      <c r="A628">
        <v>1000909</v>
      </c>
      <c r="B628">
        <v>627</v>
      </c>
      <c r="C628">
        <v>1</v>
      </c>
      <c r="D628" s="17" t="s">
        <v>155</v>
      </c>
      <c r="E628" s="17"/>
      <c r="F628" s="17" t="s">
        <v>156</v>
      </c>
      <c r="G628" s="17"/>
      <c r="H628" s="17" t="s">
        <v>692</v>
      </c>
      <c r="I628" s="17"/>
      <c r="J628" s="17" t="s">
        <v>693</v>
      </c>
      <c r="K628" s="17"/>
      <c r="L628" s="17"/>
      <c r="M628" s="17"/>
      <c r="N628" s="17" t="s">
        <v>6460</v>
      </c>
      <c r="O628" s="17" t="s">
        <v>7043</v>
      </c>
      <c r="P628" s="17" t="s">
        <v>7056</v>
      </c>
      <c r="Q628" s="17"/>
      <c r="R628" s="25" t="str">
        <f>HYPERLINK("https://ictv.global/taxonomy/taxondetails?taxnode_id=202314492","Berlinvirus RN5i1")</f>
        <v>Berlinvirus RN5i1</v>
      </c>
      <c r="S628" s="18" t="s">
        <v>30</v>
      </c>
      <c r="T628" s="18" t="s">
        <v>7081</v>
      </c>
      <c r="U628" s="18"/>
      <c r="V628" s="18"/>
      <c r="W628" s="18" t="s">
        <v>7082</v>
      </c>
      <c r="X628" s="18" t="s">
        <v>42</v>
      </c>
      <c r="Y628" s="18" t="s">
        <v>36</v>
      </c>
      <c r="Z628" s="18" t="s">
        <v>697</v>
      </c>
      <c r="AA628" s="21" t="str">
        <f>HYPERLINK("https://www.ncbi.nlm.nih.gov/nuccore/OL800603","NCBI Nucleotide")</f>
        <v>NCBI Nucleotide</v>
      </c>
    </row>
    <row r="629" spans="1:27" x14ac:dyDescent="0.35">
      <c r="A629">
        <v>1000910</v>
      </c>
      <c r="B629">
        <v>628</v>
      </c>
      <c r="C629">
        <v>1</v>
      </c>
      <c r="D629" s="17" t="s">
        <v>155</v>
      </c>
      <c r="E629" s="17"/>
      <c r="F629" s="17" t="s">
        <v>156</v>
      </c>
      <c r="G629" s="17"/>
      <c r="H629" s="17" t="s">
        <v>692</v>
      </c>
      <c r="I629" s="17"/>
      <c r="J629" s="17" t="s">
        <v>693</v>
      </c>
      <c r="K629" s="17"/>
      <c r="L629" s="17"/>
      <c r="M629" s="17"/>
      <c r="N629" s="17" t="s">
        <v>6460</v>
      </c>
      <c r="O629" s="17" t="s">
        <v>7043</v>
      </c>
      <c r="P629" s="17" t="s">
        <v>7056</v>
      </c>
      <c r="Q629" s="17"/>
      <c r="R629" s="25" t="str">
        <f>HYPERLINK("https://ictv.global/taxonomy/taxondetails?taxnode_id=202308399","Berlinvirus S523")</f>
        <v>Berlinvirus S523</v>
      </c>
      <c r="S629" s="18" t="s">
        <v>30</v>
      </c>
      <c r="T629" s="18" t="s">
        <v>7083</v>
      </c>
      <c r="U629" s="18"/>
      <c r="V629" s="18"/>
      <c r="W629" s="18" t="s">
        <v>7084</v>
      </c>
      <c r="X629" s="18" t="s">
        <v>42</v>
      </c>
      <c r="Y629" s="18" t="s">
        <v>36</v>
      </c>
      <c r="Z629" s="18" t="s">
        <v>697</v>
      </c>
      <c r="AA629" s="21" t="str">
        <f>HYPERLINK("https://www.ncbi.nlm.nih.gov/nuccore/MH031343","NCBI Nucleotide")</f>
        <v>NCBI Nucleotide</v>
      </c>
    </row>
    <row r="630" spans="1:27" x14ac:dyDescent="0.35">
      <c r="A630">
        <v>1000911</v>
      </c>
      <c r="B630">
        <v>629</v>
      </c>
      <c r="C630">
        <v>1</v>
      </c>
      <c r="D630" s="17" t="s">
        <v>155</v>
      </c>
      <c r="E630" s="17"/>
      <c r="F630" s="17" t="s">
        <v>156</v>
      </c>
      <c r="G630" s="17"/>
      <c r="H630" s="17" t="s">
        <v>692</v>
      </c>
      <c r="I630" s="17"/>
      <c r="J630" s="17" t="s">
        <v>693</v>
      </c>
      <c r="K630" s="17"/>
      <c r="L630" s="17"/>
      <c r="M630" s="17"/>
      <c r="N630" s="17" t="s">
        <v>6460</v>
      </c>
      <c r="O630" s="17" t="s">
        <v>7043</v>
      </c>
      <c r="P630" s="17" t="s">
        <v>7056</v>
      </c>
      <c r="Q630" s="17"/>
      <c r="R630" s="25" t="str">
        <f>HYPERLINK("https://ictv.global/taxonomy/taxondetails?taxnode_id=202308389","Berlinvirus Yepe2")</f>
        <v>Berlinvirus Yepe2</v>
      </c>
      <c r="S630" s="18" t="s">
        <v>30</v>
      </c>
      <c r="T630" s="18" t="s">
        <v>7085</v>
      </c>
      <c r="U630" s="18"/>
      <c r="V630" s="18"/>
      <c r="W630" s="18" t="s">
        <v>7086</v>
      </c>
      <c r="X630" s="18" t="s">
        <v>42</v>
      </c>
      <c r="Y630" s="18" t="s">
        <v>36</v>
      </c>
      <c r="Z630" s="18" t="s">
        <v>697</v>
      </c>
      <c r="AA630" s="21" t="str">
        <f>HYPERLINK("https://www.ncbi.nlm.nih.gov/nuccore/EU734170","NCBI Nucleotide")</f>
        <v>NCBI Nucleotide</v>
      </c>
    </row>
    <row r="631" spans="1:27" x14ac:dyDescent="0.35">
      <c r="A631">
        <v>1000912</v>
      </c>
      <c r="B631">
        <v>630</v>
      </c>
      <c r="C631">
        <v>1</v>
      </c>
      <c r="D631" s="17" t="s">
        <v>155</v>
      </c>
      <c r="E631" s="17"/>
      <c r="F631" s="17" t="s">
        <v>156</v>
      </c>
      <c r="G631" s="17"/>
      <c r="H631" s="17" t="s">
        <v>692</v>
      </c>
      <c r="I631" s="17"/>
      <c r="J631" s="17" t="s">
        <v>693</v>
      </c>
      <c r="K631" s="17"/>
      <c r="L631" s="17"/>
      <c r="M631" s="17"/>
      <c r="N631" s="17" t="s">
        <v>6460</v>
      </c>
      <c r="O631" s="17" t="s">
        <v>7043</v>
      </c>
      <c r="P631" s="17" t="s">
        <v>7056</v>
      </c>
      <c r="Q631" s="17"/>
      <c r="R631" s="25" t="str">
        <f>HYPERLINK("https://ictv.global/taxonomy/taxondetails?taxnode_id=202308392","Berlinvirus Yepf")</f>
        <v>Berlinvirus Yepf</v>
      </c>
      <c r="S631" s="18" t="s">
        <v>30</v>
      </c>
      <c r="T631" s="18" t="s">
        <v>7087</v>
      </c>
      <c r="U631" s="18"/>
      <c r="V631" s="18"/>
      <c r="W631" s="18" t="s">
        <v>7088</v>
      </c>
      <c r="X631" s="18" t="s">
        <v>42</v>
      </c>
      <c r="Y631" s="18" t="s">
        <v>36</v>
      </c>
      <c r="Z631" s="18" t="s">
        <v>697</v>
      </c>
      <c r="AA631" s="21" t="str">
        <f>HYPERLINK("https://www.ncbi.nlm.nih.gov/nuccore/HQ333270","NCBI Nucleotide")</f>
        <v>NCBI Nucleotide</v>
      </c>
    </row>
    <row r="632" spans="1:27" x14ac:dyDescent="0.35">
      <c r="A632">
        <v>1000913</v>
      </c>
      <c r="B632">
        <v>631</v>
      </c>
      <c r="C632">
        <v>1</v>
      </c>
      <c r="D632" s="17" t="s">
        <v>155</v>
      </c>
      <c r="E632" s="17"/>
      <c r="F632" s="17" t="s">
        <v>156</v>
      </c>
      <c r="G632" s="17"/>
      <c r="H632" s="17" t="s">
        <v>692</v>
      </c>
      <c r="I632" s="17"/>
      <c r="J632" s="17" t="s">
        <v>693</v>
      </c>
      <c r="K632" s="17"/>
      <c r="L632" s="17"/>
      <c r="M632" s="17"/>
      <c r="N632" s="17" t="s">
        <v>6460</v>
      </c>
      <c r="O632" s="17" t="s">
        <v>7043</v>
      </c>
      <c r="P632" s="17" t="s">
        <v>7089</v>
      </c>
      <c r="Q632" s="17"/>
      <c r="R632" s="25" t="str">
        <f>HYPERLINK("https://ictv.global/taxonomy/taxondetails?taxnode_id=202308454","Caroctavirus CR8")</f>
        <v>Caroctavirus CR8</v>
      </c>
      <c r="S632" s="18" t="s">
        <v>30</v>
      </c>
      <c r="T632" s="18" t="s">
        <v>7090</v>
      </c>
      <c r="U632" s="18"/>
      <c r="V632" s="18"/>
      <c r="W632" s="18" t="s">
        <v>7091</v>
      </c>
      <c r="X632" s="18" t="s">
        <v>42</v>
      </c>
      <c r="Y632" s="18" t="s">
        <v>36</v>
      </c>
      <c r="Z632" s="18" t="s">
        <v>697</v>
      </c>
      <c r="AA632" s="21" t="str">
        <f>HYPERLINK("https://www.ncbi.nlm.nih.gov/nuccore/HG818824","NCBI Nucleotide")</f>
        <v>NCBI Nucleotide</v>
      </c>
    </row>
    <row r="633" spans="1:27" x14ac:dyDescent="0.35">
      <c r="A633">
        <v>1000914</v>
      </c>
      <c r="B633">
        <v>632</v>
      </c>
      <c r="C633">
        <v>1</v>
      </c>
      <c r="D633" s="17" t="s">
        <v>155</v>
      </c>
      <c r="E633" s="17"/>
      <c r="F633" s="17" t="s">
        <v>156</v>
      </c>
      <c r="G633" s="17"/>
      <c r="H633" s="17" t="s">
        <v>692</v>
      </c>
      <c r="I633" s="17"/>
      <c r="J633" s="17" t="s">
        <v>693</v>
      </c>
      <c r="K633" s="17"/>
      <c r="L633" s="17"/>
      <c r="M633" s="17"/>
      <c r="N633" s="17" t="s">
        <v>6460</v>
      </c>
      <c r="O633" s="17" t="s">
        <v>7043</v>
      </c>
      <c r="P633" s="17" t="s">
        <v>7092</v>
      </c>
      <c r="Q633" s="17"/>
      <c r="R633" s="25" t="str">
        <f>HYPERLINK("https://ictv.global/taxonomy/taxondetails?taxnode_id=202308496","Chatterjeevirus ICP3")</f>
        <v>Chatterjeevirus ICP3</v>
      </c>
      <c r="S633" s="18" t="s">
        <v>30</v>
      </c>
      <c r="T633" s="18" t="s">
        <v>7093</v>
      </c>
      <c r="U633" s="18"/>
      <c r="V633" s="18"/>
      <c r="W633" s="18" t="s">
        <v>7094</v>
      </c>
      <c r="X633" s="18" t="s">
        <v>42</v>
      </c>
      <c r="Y633" s="18" t="s">
        <v>36</v>
      </c>
      <c r="Z633" s="18" t="s">
        <v>697</v>
      </c>
      <c r="AA633" s="21" t="str">
        <f>HYPERLINK("https://www.ncbi.nlm.nih.gov/nuccore/HQ641340","NCBI Nucleotide")</f>
        <v>NCBI Nucleotide</v>
      </c>
    </row>
    <row r="634" spans="1:27" x14ac:dyDescent="0.35">
      <c r="A634">
        <v>1000915</v>
      </c>
      <c r="B634">
        <v>633</v>
      </c>
      <c r="C634">
        <v>1</v>
      </c>
      <c r="D634" s="17" t="s">
        <v>155</v>
      </c>
      <c r="E634" s="17"/>
      <c r="F634" s="17" t="s">
        <v>156</v>
      </c>
      <c r="G634" s="17"/>
      <c r="H634" s="17" t="s">
        <v>692</v>
      </c>
      <c r="I634" s="17"/>
      <c r="J634" s="17" t="s">
        <v>693</v>
      </c>
      <c r="K634" s="17"/>
      <c r="L634" s="17"/>
      <c r="M634" s="17"/>
      <c r="N634" s="17" t="s">
        <v>6460</v>
      </c>
      <c r="O634" s="17" t="s">
        <v>7043</v>
      </c>
      <c r="P634" s="17" t="s">
        <v>7092</v>
      </c>
      <c r="Q634" s="17"/>
      <c r="R634" s="25" t="str">
        <f>HYPERLINK("https://ictv.global/taxonomy/taxondetails?taxnode_id=202308495","Chatterjeevirus N4")</f>
        <v>Chatterjeevirus N4</v>
      </c>
      <c r="S634" s="18" t="s">
        <v>30</v>
      </c>
      <c r="T634" s="18" t="s">
        <v>7095</v>
      </c>
      <c r="U634" s="18"/>
      <c r="V634" s="18"/>
      <c r="W634" s="18" t="s">
        <v>7096</v>
      </c>
      <c r="X634" s="18" t="s">
        <v>42</v>
      </c>
      <c r="Y634" s="18" t="s">
        <v>36</v>
      </c>
      <c r="Z634" s="18" t="s">
        <v>697</v>
      </c>
      <c r="AA634" s="21" t="str">
        <f>HYPERLINK("https://www.ncbi.nlm.nih.gov/nuccore/FJ409640","NCBI Nucleotide")</f>
        <v>NCBI Nucleotide</v>
      </c>
    </row>
    <row r="635" spans="1:27" x14ac:dyDescent="0.35">
      <c r="A635">
        <v>1000916</v>
      </c>
      <c r="B635">
        <v>634</v>
      </c>
      <c r="C635">
        <v>1</v>
      </c>
      <c r="D635" s="17" t="s">
        <v>155</v>
      </c>
      <c r="E635" s="17"/>
      <c r="F635" s="17" t="s">
        <v>156</v>
      </c>
      <c r="G635" s="17"/>
      <c r="H635" s="17" t="s">
        <v>692</v>
      </c>
      <c r="I635" s="17"/>
      <c r="J635" s="17" t="s">
        <v>693</v>
      </c>
      <c r="K635" s="17"/>
      <c r="L635" s="17"/>
      <c r="M635" s="17"/>
      <c r="N635" s="17" t="s">
        <v>6460</v>
      </c>
      <c r="O635" s="17" t="s">
        <v>7043</v>
      </c>
      <c r="P635" s="17" t="s">
        <v>7092</v>
      </c>
      <c r="Q635" s="17"/>
      <c r="R635" s="25" t="str">
        <f>HYPERLINK("https://ictv.global/taxonomy/taxondetails?taxnode_id=202308497","Chatterjeevirus VP4")</f>
        <v>Chatterjeevirus VP4</v>
      </c>
      <c r="S635" s="18" t="s">
        <v>30</v>
      </c>
      <c r="T635" s="18" t="s">
        <v>7097</v>
      </c>
      <c r="U635" s="18"/>
      <c r="V635" s="18"/>
      <c r="W635" s="18" t="s">
        <v>7098</v>
      </c>
      <c r="X635" s="18" t="s">
        <v>42</v>
      </c>
      <c r="Y635" s="18" t="s">
        <v>36</v>
      </c>
      <c r="Z635" s="18" t="s">
        <v>697</v>
      </c>
      <c r="AA635" s="21" t="str">
        <f>HYPERLINK("https://www.ncbi.nlm.nih.gov/nuccore/DQ029335","NCBI Nucleotide")</f>
        <v>NCBI Nucleotide</v>
      </c>
    </row>
    <row r="636" spans="1:27" x14ac:dyDescent="0.35">
      <c r="A636">
        <v>1000917</v>
      </c>
      <c r="B636">
        <v>635</v>
      </c>
      <c r="C636">
        <v>1</v>
      </c>
      <c r="D636" s="17" t="s">
        <v>155</v>
      </c>
      <c r="E636" s="17"/>
      <c r="F636" s="17" t="s">
        <v>156</v>
      </c>
      <c r="G636" s="17"/>
      <c r="H636" s="17" t="s">
        <v>692</v>
      </c>
      <c r="I636" s="17"/>
      <c r="J636" s="17" t="s">
        <v>693</v>
      </c>
      <c r="K636" s="17"/>
      <c r="L636" s="17"/>
      <c r="M636" s="17"/>
      <c r="N636" s="17" t="s">
        <v>6460</v>
      </c>
      <c r="O636" s="17" t="s">
        <v>7043</v>
      </c>
      <c r="P636" s="17" t="s">
        <v>7099</v>
      </c>
      <c r="Q636" s="17"/>
      <c r="R636" s="25" t="str">
        <f>HYPERLINK("https://ictv.global/taxonomy/taxondetails?taxnode_id=202308425","Eapunavirus Eap1")</f>
        <v>Eapunavirus Eap1</v>
      </c>
      <c r="S636" s="18" t="s">
        <v>30</v>
      </c>
      <c r="T636" s="18" t="s">
        <v>7100</v>
      </c>
      <c r="U636" s="18"/>
      <c r="V636" s="18"/>
      <c r="W636" s="18" t="s">
        <v>7101</v>
      </c>
      <c r="X636" s="18" t="s">
        <v>42</v>
      </c>
      <c r="Y636" s="18" t="s">
        <v>36</v>
      </c>
      <c r="Z636" s="18" t="s">
        <v>697</v>
      </c>
      <c r="AA636" s="21" t="str">
        <f>HYPERLINK("https://www.ncbi.nlm.nih.gov/nuccore/KT321314","NCBI Nucleotide")</f>
        <v>NCBI Nucleotide</v>
      </c>
    </row>
    <row r="637" spans="1:27" x14ac:dyDescent="0.35">
      <c r="A637">
        <v>1000918</v>
      </c>
      <c r="B637">
        <v>636</v>
      </c>
      <c r="C637">
        <v>1</v>
      </c>
      <c r="D637" s="17" t="s">
        <v>155</v>
      </c>
      <c r="E637" s="17"/>
      <c r="F637" s="17" t="s">
        <v>156</v>
      </c>
      <c r="G637" s="17"/>
      <c r="H637" s="17" t="s">
        <v>692</v>
      </c>
      <c r="I637" s="17"/>
      <c r="J637" s="17" t="s">
        <v>693</v>
      </c>
      <c r="K637" s="17"/>
      <c r="L637" s="17"/>
      <c r="M637" s="17"/>
      <c r="N637" s="17" t="s">
        <v>6460</v>
      </c>
      <c r="O637" s="17" t="s">
        <v>7043</v>
      </c>
      <c r="P637" s="17" t="s">
        <v>7102</v>
      </c>
      <c r="Q637" s="17"/>
      <c r="R637" s="25" t="str">
        <f>HYPERLINK("https://ictv.global/taxonomy/taxondetails?taxnode_id=202308423","Elunavirus L1")</f>
        <v>Elunavirus L1</v>
      </c>
      <c r="S637" s="18" t="s">
        <v>30</v>
      </c>
      <c r="T637" s="18" t="s">
        <v>7103</v>
      </c>
      <c r="U637" s="18"/>
      <c r="V637" s="18"/>
      <c r="W637" s="18" t="s">
        <v>7104</v>
      </c>
      <c r="X637" s="18" t="s">
        <v>42</v>
      </c>
      <c r="Y637" s="18" t="s">
        <v>36</v>
      </c>
      <c r="Z637" s="18" t="s">
        <v>697</v>
      </c>
      <c r="AA637" s="21" t="str">
        <f>HYPERLINK("https://www.ncbi.nlm.nih.gov/nuccore/HQ728265","NCBI Nucleotide")</f>
        <v>NCBI Nucleotide</v>
      </c>
    </row>
    <row r="638" spans="1:27" x14ac:dyDescent="0.35">
      <c r="A638">
        <v>1000919</v>
      </c>
      <c r="B638">
        <v>637</v>
      </c>
      <c r="C638">
        <v>1</v>
      </c>
      <c r="D638" s="17" t="s">
        <v>155</v>
      </c>
      <c r="E638" s="17"/>
      <c r="F638" s="17" t="s">
        <v>156</v>
      </c>
      <c r="G638" s="17"/>
      <c r="H638" s="17" t="s">
        <v>692</v>
      </c>
      <c r="I638" s="17"/>
      <c r="J638" s="17" t="s">
        <v>693</v>
      </c>
      <c r="K638" s="17"/>
      <c r="L638" s="17"/>
      <c r="M638" s="17"/>
      <c r="N638" s="17" t="s">
        <v>6460</v>
      </c>
      <c r="O638" s="17" t="s">
        <v>7043</v>
      </c>
      <c r="P638" s="17" t="s">
        <v>7105</v>
      </c>
      <c r="Q638" s="17"/>
      <c r="R638" s="25" t="str">
        <f>HYPERLINK("https://ictv.global/taxonomy/taxondetails?taxnode_id=202308427","Foetvirus SRT7")</f>
        <v>Foetvirus SRT7</v>
      </c>
      <c r="S638" s="18" t="s">
        <v>30</v>
      </c>
      <c r="T638" s="18" t="s">
        <v>7106</v>
      </c>
      <c r="U638" s="18"/>
      <c r="V638" s="18"/>
      <c r="W638" s="18" t="s">
        <v>7107</v>
      </c>
      <c r="X638" s="18" t="s">
        <v>42</v>
      </c>
      <c r="Y638" s="18" t="s">
        <v>36</v>
      </c>
      <c r="Z638" s="18" t="s">
        <v>697</v>
      </c>
      <c r="AA638" s="21" t="str">
        <f>HYPERLINK("https://www.ncbi.nlm.nih.gov/nuccore/MH370477","NCBI Nucleotide")</f>
        <v>NCBI Nucleotide</v>
      </c>
    </row>
    <row r="639" spans="1:27" x14ac:dyDescent="0.35">
      <c r="A639">
        <v>1000920</v>
      </c>
      <c r="B639">
        <v>638</v>
      </c>
      <c r="C639">
        <v>1</v>
      </c>
      <c r="D639" s="17" t="s">
        <v>155</v>
      </c>
      <c r="E639" s="17"/>
      <c r="F639" s="17" t="s">
        <v>156</v>
      </c>
      <c r="G639" s="17"/>
      <c r="H639" s="17" t="s">
        <v>692</v>
      </c>
      <c r="I639" s="17"/>
      <c r="J639" s="17" t="s">
        <v>693</v>
      </c>
      <c r="K639" s="17"/>
      <c r="L639" s="17"/>
      <c r="M639" s="17"/>
      <c r="N639" s="17" t="s">
        <v>6460</v>
      </c>
      <c r="O639" s="17" t="s">
        <v>7043</v>
      </c>
      <c r="P639" s="17" t="s">
        <v>7108</v>
      </c>
      <c r="Q639" s="17"/>
      <c r="R639" s="25" t="str">
        <f>HYPERLINK("https://ictv.global/taxonomy/taxondetails?taxnode_id=202308353","Ghunavirus 17A")</f>
        <v>Ghunavirus 17A</v>
      </c>
      <c r="S639" s="18" t="s">
        <v>30</v>
      </c>
      <c r="T639" s="18" t="s">
        <v>7109</v>
      </c>
      <c r="U639" s="18"/>
      <c r="V639" s="18"/>
      <c r="W639" s="18" t="s">
        <v>7110</v>
      </c>
      <c r="X639" s="18" t="s">
        <v>42</v>
      </c>
      <c r="Y639" s="18" t="s">
        <v>36</v>
      </c>
      <c r="Z639" s="18" t="s">
        <v>697</v>
      </c>
      <c r="AA639" s="21" t="str">
        <f>HYPERLINK("https://www.ncbi.nlm.nih.gov/nuccore/LN889995","NCBI Nucleotide")</f>
        <v>NCBI Nucleotide</v>
      </c>
    </row>
    <row r="640" spans="1:27" x14ac:dyDescent="0.35">
      <c r="A640">
        <v>1000921</v>
      </c>
      <c r="B640">
        <v>639</v>
      </c>
      <c r="C640">
        <v>1</v>
      </c>
      <c r="D640" s="17" t="s">
        <v>155</v>
      </c>
      <c r="E640" s="17"/>
      <c r="F640" s="17" t="s">
        <v>156</v>
      </c>
      <c r="G640" s="17"/>
      <c r="H640" s="17" t="s">
        <v>692</v>
      </c>
      <c r="I640" s="17"/>
      <c r="J640" s="17" t="s">
        <v>693</v>
      </c>
      <c r="K640" s="17"/>
      <c r="L640" s="17"/>
      <c r="M640" s="17"/>
      <c r="N640" s="17" t="s">
        <v>6460</v>
      </c>
      <c r="O640" s="17" t="s">
        <v>7043</v>
      </c>
      <c r="P640" s="17" t="s">
        <v>7108</v>
      </c>
      <c r="Q640" s="17"/>
      <c r="R640" s="25" t="str">
        <f>HYPERLINK("https://ictv.global/taxonomy/taxondetails?taxnode_id=202300585","Ghunavirus gh1")</f>
        <v>Ghunavirus gh1</v>
      </c>
      <c r="S640" s="18" t="s">
        <v>30</v>
      </c>
      <c r="T640" s="18" t="s">
        <v>7111</v>
      </c>
      <c r="U640" s="18"/>
      <c r="V640" s="18"/>
      <c r="W640" s="18" t="s">
        <v>7112</v>
      </c>
      <c r="X640" s="18" t="s">
        <v>42</v>
      </c>
      <c r="Y640" s="18" t="s">
        <v>36</v>
      </c>
      <c r="Z640" s="18" t="s">
        <v>697</v>
      </c>
      <c r="AA640" s="21" t="str">
        <f>HYPERLINK("https://www.ncbi.nlm.nih.gov/nuccore/AF493143","NCBI Nucleotide")</f>
        <v>NCBI Nucleotide</v>
      </c>
    </row>
    <row r="641" spans="1:27" x14ac:dyDescent="0.35">
      <c r="A641">
        <v>1000922</v>
      </c>
      <c r="B641">
        <v>640</v>
      </c>
      <c r="C641">
        <v>1</v>
      </c>
      <c r="D641" s="17" t="s">
        <v>155</v>
      </c>
      <c r="E641" s="17"/>
      <c r="F641" s="17" t="s">
        <v>156</v>
      </c>
      <c r="G641" s="17"/>
      <c r="H641" s="17" t="s">
        <v>692</v>
      </c>
      <c r="I641" s="17"/>
      <c r="J641" s="17" t="s">
        <v>693</v>
      </c>
      <c r="K641" s="17"/>
      <c r="L641" s="17"/>
      <c r="M641" s="17"/>
      <c r="N641" s="17" t="s">
        <v>6460</v>
      </c>
      <c r="O641" s="17" t="s">
        <v>7043</v>
      </c>
      <c r="P641" s="17" t="s">
        <v>7108</v>
      </c>
      <c r="Q641" s="17"/>
      <c r="R641" s="25" t="str">
        <f>HYPERLINK("https://ictv.global/taxonomy/taxondetails?taxnode_id=202308352","Ghunavirus henninger")</f>
        <v>Ghunavirus henninger</v>
      </c>
      <c r="S641" s="18" t="s">
        <v>30</v>
      </c>
      <c r="T641" s="18" t="s">
        <v>7113</v>
      </c>
      <c r="U641" s="18"/>
      <c r="V641" s="18"/>
      <c r="W641" s="18" t="s">
        <v>7114</v>
      </c>
      <c r="X641" s="18" t="s">
        <v>42</v>
      </c>
      <c r="Y641" s="18" t="s">
        <v>36</v>
      </c>
      <c r="Z641" s="18" t="s">
        <v>697</v>
      </c>
      <c r="AA641" s="21" t="str">
        <f>HYPERLINK("https://www.ncbi.nlm.nih.gov/nuccore/MG775258","NCBI Nucleotide")</f>
        <v>NCBI Nucleotide</v>
      </c>
    </row>
    <row r="642" spans="1:27" x14ac:dyDescent="0.35">
      <c r="A642">
        <v>1000923</v>
      </c>
      <c r="B642">
        <v>641</v>
      </c>
      <c r="C642">
        <v>1</v>
      </c>
      <c r="D642" s="17" t="s">
        <v>155</v>
      </c>
      <c r="E642" s="17"/>
      <c r="F642" s="17" t="s">
        <v>156</v>
      </c>
      <c r="G642" s="17"/>
      <c r="H642" s="17" t="s">
        <v>692</v>
      </c>
      <c r="I642" s="17"/>
      <c r="J642" s="17" t="s">
        <v>693</v>
      </c>
      <c r="K642" s="17"/>
      <c r="L642" s="17"/>
      <c r="M642" s="17"/>
      <c r="N642" s="17" t="s">
        <v>6460</v>
      </c>
      <c r="O642" s="17" t="s">
        <v>7043</v>
      </c>
      <c r="P642" s="17" t="s">
        <v>7108</v>
      </c>
      <c r="Q642" s="17"/>
      <c r="R642" s="25" t="str">
        <f>HYPERLINK("https://ictv.global/taxonomy/taxondetails?taxnode_id=202308349","Ghunavirus KNP")</f>
        <v>Ghunavirus KNP</v>
      </c>
      <c r="S642" s="18" t="s">
        <v>30</v>
      </c>
      <c r="T642" s="18" t="s">
        <v>7115</v>
      </c>
      <c r="U642" s="18"/>
      <c r="V642" s="18"/>
      <c r="W642" s="18" t="s">
        <v>7116</v>
      </c>
      <c r="X642" s="18" t="s">
        <v>42</v>
      </c>
      <c r="Y642" s="18" t="s">
        <v>36</v>
      </c>
      <c r="Z642" s="18" t="s">
        <v>697</v>
      </c>
      <c r="AA642" s="21" t="str">
        <f>HYPERLINK("https://www.ncbi.nlm.nih.gov/nuccore/KY798121","NCBI Nucleotide")</f>
        <v>NCBI Nucleotide</v>
      </c>
    </row>
    <row r="643" spans="1:27" x14ac:dyDescent="0.35">
      <c r="A643">
        <v>1000924</v>
      </c>
      <c r="B643">
        <v>642</v>
      </c>
      <c r="C643">
        <v>1</v>
      </c>
      <c r="D643" s="17" t="s">
        <v>155</v>
      </c>
      <c r="E643" s="17"/>
      <c r="F643" s="17" t="s">
        <v>156</v>
      </c>
      <c r="G643" s="17"/>
      <c r="H643" s="17" t="s">
        <v>692</v>
      </c>
      <c r="I643" s="17"/>
      <c r="J643" s="17" t="s">
        <v>693</v>
      </c>
      <c r="K643" s="17"/>
      <c r="L643" s="17"/>
      <c r="M643" s="17"/>
      <c r="N643" s="17" t="s">
        <v>6460</v>
      </c>
      <c r="O643" s="17" t="s">
        <v>7043</v>
      </c>
      <c r="P643" s="17" t="s">
        <v>7108</v>
      </c>
      <c r="Q643" s="17"/>
      <c r="R643" s="25" t="str">
        <f>HYPERLINK("https://ictv.global/taxonomy/taxondetails?taxnode_id=202308351","Ghunavirus Pf1ERZ2017")</f>
        <v>Ghunavirus Pf1ERZ2017</v>
      </c>
      <c r="S643" s="18" t="s">
        <v>30</v>
      </c>
      <c r="T643" s="18" t="s">
        <v>7117</v>
      </c>
      <c r="U643" s="18"/>
      <c r="V643" s="18"/>
      <c r="W643" s="18" t="s">
        <v>7118</v>
      </c>
      <c r="X643" s="18" t="s">
        <v>42</v>
      </c>
      <c r="Y643" s="18" t="s">
        <v>36</v>
      </c>
      <c r="Z643" s="18" t="s">
        <v>697</v>
      </c>
      <c r="AA643" s="21" t="str">
        <f>HYPERLINK("https://www.ncbi.nlm.nih.gov/nuccore/MG250485","NCBI Nucleotide")</f>
        <v>NCBI Nucleotide</v>
      </c>
    </row>
    <row r="644" spans="1:27" x14ac:dyDescent="0.35">
      <c r="A644">
        <v>1000925</v>
      </c>
      <c r="B644">
        <v>643</v>
      </c>
      <c r="C644">
        <v>1</v>
      </c>
      <c r="D644" s="17" t="s">
        <v>155</v>
      </c>
      <c r="E644" s="17"/>
      <c r="F644" s="17" t="s">
        <v>156</v>
      </c>
      <c r="G644" s="17"/>
      <c r="H644" s="17" t="s">
        <v>692</v>
      </c>
      <c r="I644" s="17"/>
      <c r="J644" s="17" t="s">
        <v>693</v>
      </c>
      <c r="K644" s="17"/>
      <c r="L644" s="17"/>
      <c r="M644" s="17"/>
      <c r="N644" s="17" t="s">
        <v>6460</v>
      </c>
      <c r="O644" s="17" t="s">
        <v>7043</v>
      </c>
      <c r="P644" s="17" t="s">
        <v>7108</v>
      </c>
      <c r="Q644" s="17"/>
      <c r="R644" s="25" t="str">
        <f>HYPERLINK("https://ictv.global/taxonomy/taxondetails?taxnode_id=202308347","Ghunavirus PPPL1")</f>
        <v>Ghunavirus PPPL1</v>
      </c>
      <c r="S644" s="18" t="s">
        <v>30</v>
      </c>
      <c r="T644" s="18" t="s">
        <v>7119</v>
      </c>
      <c r="U644" s="18"/>
      <c r="V644" s="18"/>
      <c r="W644" s="18" t="s">
        <v>7120</v>
      </c>
      <c r="X644" s="18" t="s">
        <v>42</v>
      </c>
      <c r="Y644" s="18" t="s">
        <v>36</v>
      </c>
      <c r="Z644" s="18" t="s">
        <v>697</v>
      </c>
      <c r="AA644" s="21" t="str">
        <f>HYPERLINK("https://www.ncbi.nlm.nih.gov/nuccore/KU064779","NCBI Nucleotide")</f>
        <v>NCBI Nucleotide</v>
      </c>
    </row>
    <row r="645" spans="1:27" x14ac:dyDescent="0.35">
      <c r="A645">
        <v>1000927</v>
      </c>
      <c r="B645">
        <v>644</v>
      </c>
      <c r="C645">
        <v>1</v>
      </c>
      <c r="D645" s="17" t="s">
        <v>155</v>
      </c>
      <c r="E645" s="17"/>
      <c r="F645" s="17" t="s">
        <v>156</v>
      </c>
      <c r="G645" s="17"/>
      <c r="H645" s="17" t="s">
        <v>692</v>
      </c>
      <c r="I645" s="17"/>
      <c r="J645" s="17" t="s">
        <v>693</v>
      </c>
      <c r="K645" s="17"/>
      <c r="L645" s="17"/>
      <c r="M645" s="17"/>
      <c r="N645" s="17" t="s">
        <v>6460</v>
      </c>
      <c r="O645" s="17" t="s">
        <v>7043</v>
      </c>
      <c r="P645" s="17" t="s">
        <v>7108</v>
      </c>
      <c r="Q645" s="17"/>
      <c r="R645" s="25" t="str">
        <f>HYPERLINK("https://ictv.global/taxonomy/taxondetails?taxnode_id=202308345","Ghunavirus PSA2")</f>
        <v>Ghunavirus PSA2</v>
      </c>
      <c r="S645" s="18" t="s">
        <v>30</v>
      </c>
      <c r="T645" s="18" t="s">
        <v>7123</v>
      </c>
      <c r="U645" s="18"/>
      <c r="V645" s="18"/>
      <c r="W645" s="18" t="s">
        <v>7124</v>
      </c>
      <c r="X645" s="18" t="s">
        <v>42</v>
      </c>
      <c r="Y645" s="18" t="s">
        <v>36</v>
      </c>
      <c r="Z645" s="18" t="s">
        <v>697</v>
      </c>
      <c r="AA645" s="21" t="str">
        <f>HYPERLINK("https://www.ncbi.nlm.nih.gov/nuccore/KJ507099","NCBI Nucleotide")</f>
        <v>NCBI Nucleotide</v>
      </c>
    </row>
    <row r="646" spans="1:27" x14ac:dyDescent="0.35">
      <c r="A646">
        <v>1000926</v>
      </c>
      <c r="B646">
        <v>645</v>
      </c>
      <c r="C646">
        <v>1</v>
      </c>
      <c r="D646" s="17" t="s">
        <v>155</v>
      </c>
      <c r="E646" s="17"/>
      <c r="F646" s="17" t="s">
        <v>156</v>
      </c>
      <c r="G646" s="17"/>
      <c r="H646" s="17" t="s">
        <v>692</v>
      </c>
      <c r="I646" s="17"/>
      <c r="J646" s="17" t="s">
        <v>693</v>
      </c>
      <c r="K646" s="17"/>
      <c r="L646" s="17"/>
      <c r="M646" s="17"/>
      <c r="N646" s="17" t="s">
        <v>6460</v>
      </c>
      <c r="O646" s="17" t="s">
        <v>7043</v>
      </c>
      <c r="P646" s="17" t="s">
        <v>7108</v>
      </c>
      <c r="Q646" s="17"/>
      <c r="R646" s="25" t="str">
        <f>HYPERLINK("https://ictv.global/taxonomy/taxondetails?taxnode_id=202308346","Ghunavirus Psa17")</f>
        <v>Ghunavirus Psa17</v>
      </c>
      <c r="S646" s="18" t="s">
        <v>30</v>
      </c>
      <c r="T646" s="18" t="s">
        <v>7121</v>
      </c>
      <c r="U646" s="18"/>
      <c r="V646" s="18"/>
      <c r="W646" s="18" t="s">
        <v>7122</v>
      </c>
      <c r="X646" s="18" t="s">
        <v>42</v>
      </c>
      <c r="Y646" s="18" t="s">
        <v>36</v>
      </c>
      <c r="Z646" s="18" t="s">
        <v>697</v>
      </c>
      <c r="AA646" s="21" t="str">
        <f>HYPERLINK("https://www.ncbi.nlm.nih.gov/nuccore/KR091952","NCBI Nucleotide")</f>
        <v>NCBI Nucleotide</v>
      </c>
    </row>
    <row r="647" spans="1:27" x14ac:dyDescent="0.35">
      <c r="A647">
        <v>1000928</v>
      </c>
      <c r="B647">
        <v>646</v>
      </c>
      <c r="C647">
        <v>1</v>
      </c>
      <c r="D647" s="17" t="s">
        <v>155</v>
      </c>
      <c r="E647" s="17"/>
      <c r="F647" s="17" t="s">
        <v>156</v>
      </c>
      <c r="G647" s="17"/>
      <c r="H647" s="17" t="s">
        <v>692</v>
      </c>
      <c r="I647" s="17"/>
      <c r="J647" s="17" t="s">
        <v>693</v>
      </c>
      <c r="K647" s="17"/>
      <c r="L647" s="17"/>
      <c r="M647" s="17"/>
      <c r="N647" s="17" t="s">
        <v>6460</v>
      </c>
      <c r="O647" s="17" t="s">
        <v>7043</v>
      </c>
      <c r="P647" s="17" t="s">
        <v>7108</v>
      </c>
      <c r="Q647" s="17"/>
      <c r="R647" s="25" t="str">
        <f>HYPERLINK("https://ictv.global/taxonomy/taxondetails?taxnode_id=202308350","Ghunavirus shl2")</f>
        <v>Ghunavirus shl2</v>
      </c>
      <c r="S647" s="18" t="s">
        <v>30</v>
      </c>
      <c r="T647" s="18" t="s">
        <v>7125</v>
      </c>
      <c r="U647" s="18"/>
      <c r="V647" s="18"/>
      <c r="W647" s="18" t="s">
        <v>7126</v>
      </c>
      <c r="X647" s="18" t="s">
        <v>42</v>
      </c>
      <c r="Y647" s="18" t="s">
        <v>36</v>
      </c>
      <c r="Z647" s="18" t="s">
        <v>697</v>
      </c>
      <c r="AA647" s="21" t="str">
        <f>HYPERLINK("https://www.ncbi.nlm.nih.gov/nuccore/LN889756","NCBI Nucleotide")</f>
        <v>NCBI Nucleotide</v>
      </c>
    </row>
    <row r="648" spans="1:27" x14ac:dyDescent="0.35">
      <c r="A648">
        <v>1000929</v>
      </c>
      <c r="B648">
        <v>647</v>
      </c>
      <c r="C648">
        <v>1</v>
      </c>
      <c r="D648" s="17" t="s">
        <v>155</v>
      </c>
      <c r="E648" s="17"/>
      <c r="F648" s="17" t="s">
        <v>156</v>
      </c>
      <c r="G648" s="17"/>
      <c r="H648" s="17" t="s">
        <v>692</v>
      </c>
      <c r="I648" s="17"/>
      <c r="J648" s="17" t="s">
        <v>693</v>
      </c>
      <c r="K648" s="17"/>
      <c r="L648" s="17"/>
      <c r="M648" s="17"/>
      <c r="N648" s="17" t="s">
        <v>6460</v>
      </c>
      <c r="O648" s="17" t="s">
        <v>7043</v>
      </c>
      <c r="P648" s="17" t="s">
        <v>7108</v>
      </c>
      <c r="Q648" s="17"/>
      <c r="R648" s="25" t="str">
        <f>HYPERLINK("https://ictv.global/taxonomy/taxondetails?taxnode_id=202308348","Ghunavirus WRT")</f>
        <v>Ghunavirus WRT</v>
      </c>
      <c r="S648" s="18" t="s">
        <v>30</v>
      </c>
      <c r="T648" s="18" t="s">
        <v>7127</v>
      </c>
      <c r="U648" s="18"/>
      <c r="V648" s="18"/>
      <c r="W648" s="18" t="s">
        <v>7128</v>
      </c>
      <c r="X648" s="18" t="s">
        <v>42</v>
      </c>
      <c r="Y648" s="18" t="s">
        <v>36</v>
      </c>
      <c r="Z648" s="18" t="s">
        <v>697</v>
      </c>
      <c r="AA648" s="21" t="str">
        <f>HYPERLINK("https://www.ncbi.nlm.nih.gov/nuccore/KY798120","NCBI Nucleotide")</f>
        <v>NCBI Nucleotide</v>
      </c>
    </row>
    <row r="649" spans="1:27" x14ac:dyDescent="0.35">
      <c r="A649">
        <v>1000933</v>
      </c>
      <c r="B649">
        <v>648</v>
      </c>
      <c r="C649">
        <v>1</v>
      </c>
      <c r="D649" s="17" t="s">
        <v>155</v>
      </c>
      <c r="E649" s="17"/>
      <c r="F649" s="17" t="s">
        <v>156</v>
      </c>
      <c r="G649" s="17"/>
      <c r="H649" s="17" t="s">
        <v>692</v>
      </c>
      <c r="I649" s="17"/>
      <c r="J649" s="17" t="s">
        <v>693</v>
      </c>
      <c r="K649" s="17"/>
      <c r="L649" s="17"/>
      <c r="M649" s="17"/>
      <c r="N649" s="17" t="s">
        <v>6460</v>
      </c>
      <c r="O649" s="17" t="s">
        <v>7043</v>
      </c>
      <c r="P649" s="17" t="s">
        <v>7129</v>
      </c>
      <c r="Q649" s="17"/>
      <c r="R649" s="25" t="str">
        <f>HYPERLINK("https://ictv.global/taxonomy/taxondetails?taxnode_id=202308378","Helsettvirus fPS9")</f>
        <v>Helsettvirus fPS9</v>
      </c>
      <c r="S649" s="18" t="s">
        <v>30</v>
      </c>
      <c r="T649" s="18" t="s">
        <v>7136</v>
      </c>
      <c r="U649" s="18"/>
      <c r="V649" s="18"/>
      <c r="W649" s="18" t="s">
        <v>7137</v>
      </c>
      <c r="X649" s="18" t="s">
        <v>42</v>
      </c>
      <c r="Y649" s="18" t="s">
        <v>36</v>
      </c>
      <c r="Z649" s="18" t="s">
        <v>697</v>
      </c>
      <c r="AA649" s="21" t="str">
        <f>HYPERLINK("https://www.ncbi.nlm.nih.gov/nuccore/LT960606","NCBI Nucleotide")</f>
        <v>NCBI Nucleotide</v>
      </c>
    </row>
    <row r="650" spans="1:27" x14ac:dyDescent="0.35">
      <c r="A650">
        <v>1000930</v>
      </c>
      <c r="B650">
        <v>649</v>
      </c>
      <c r="C650">
        <v>1</v>
      </c>
      <c r="D650" s="17" t="s">
        <v>155</v>
      </c>
      <c r="E650" s="17"/>
      <c r="F650" s="17" t="s">
        <v>156</v>
      </c>
      <c r="G650" s="17"/>
      <c r="H650" s="17" t="s">
        <v>692</v>
      </c>
      <c r="I650" s="17"/>
      <c r="J650" s="17" t="s">
        <v>693</v>
      </c>
      <c r="K650" s="17"/>
      <c r="L650" s="17"/>
      <c r="M650" s="17"/>
      <c r="N650" s="17" t="s">
        <v>6460</v>
      </c>
      <c r="O650" s="17" t="s">
        <v>7043</v>
      </c>
      <c r="P650" s="17" t="s">
        <v>7129</v>
      </c>
      <c r="Q650" s="17"/>
      <c r="R650" s="25" t="str">
        <f>HYPERLINK("https://ictv.global/taxonomy/taxondetails?taxnode_id=202308376","Helsettvirus fPS53")</f>
        <v>Helsettvirus fPS53</v>
      </c>
      <c r="S650" s="18" t="s">
        <v>30</v>
      </c>
      <c r="T650" s="18" t="s">
        <v>7130</v>
      </c>
      <c r="U650" s="18"/>
      <c r="V650" s="18"/>
      <c r="W650" s="18" t="s">
        <v>7131</v>
      </c>
      <c r="X650" s="18" t="s">
        <v>42</v>
      </c>
      <c r="Y650" s="18" t="s">
        <v>36</v>
      </c>
      <c r="Z650" s="18" t="s">
        <v>697</v>
      </c>
      <c r="AA650" s="21" t="str">
        <f>HYPERLINK("https://www.ncbi.nlm.nih.gov/nuccore/LT962379","NCBI Nucleotide")</f>
        <v>NCBI Nucleotide</v>
      </c>
    </row>
    <row r="651" spans="1:27" x14ac:dyDescent="0.35">
      <c r="A651">
        <v>1000932</v>
      </c>
      <c r="B651">
        <v>650</v>
      </c>
      <c r="C651">
        <v>1</v>
      </c>
      <c r="D651" s="17" t="s">
        <v>155</v>
      </c>
      <c r="E651" s="17"/>
      <c r="F651" s="17" t="s">
        <v>156</v>
      </c>
      <c r="G651" s="17"/>
      <c r="H651" s="17" t="s">
        <v>692</v>
      </c>
      <c r="I651" s="17"/>
      <c r="J651" s="17" t="s">
        <v>693</v>
      </c>
      <c r="K651" s="17"/>
      <c r="L651" s="17"/>
      <c r="M651" s="17"/>
      <c r="N651" s="17" t="s">
        <v>6460</v>
      </c>
      <c r="O651" s="17" t="s">
        <v>7043</v>
      </c>
      <c r="P651" s="17" t="s">
        <v>7129</v>
      </c>
      <c r="Q651" s="17"/>
      <c r="R651" s="25" t="str">
        <f>HYPERLINK("https://ictv.global/taxonomy/taxondetails?taxnode_id=202308375","Helsettvirus fPS59")</f>
        <v>Helsettvirus fPS59</v>
      </c>
      <c r="S651" s="18" t="s">
        <v>30</v>
      </c>
      <c r="T651" s="18" t="s">
        <v>7134</v>
      </c>
      <c r="U651" s="18"/>
      <c r="V651" s="18"/>
      <c r="W651" s="18" t="s">
        <v>7135</v>
      </c>
      <c r="X651" s="18" t="s">
        <v>42</v>
      </c>
      <c r="Y651" s="18" t="s">
        <v>36</v>
      </c>
      <c r="Z651" s="18" t="s">
        <v>697</v>
      </c>
      <c r="AA651" s="21" t="str">
        <f>HYPERLINK("https://www.ncbi.nlm.nih.gov/nuccore/LT961845","NCBI Nucleotide")</f>
        <v>NCBI Nucleotide</v>
      </c>
    </row>
    <row r="652" spans="1:27" x14ac:dyDescent="0.35">
      <c r="A652">
        <v>1000931</v>
      </c>
      <c r="B652">
        <v>651</v>
      </c>
      <c r="C652">
        <v>1</v>
      </c>
      <c r="D652" s="17" t="s">
        <v>155</v>
      </c>
      <c r="E652" s="17"/>
      <c r="F652" s="17" t="s">
        <v>156</v>
      </c>
      <c r="G652" s="17"/>
      <c r="H652" s="17" t="s">
        <v>692</v>
      </c>
      <c r="I652" s="17"/>
      <c r="J652" s="17" t="s">
        <v>693</v>
      </c>
      <c r="K652" s="17"/>
      <c r="L652" s="17"/>
      <c r="M652" s="17"/>
      <c r="N652" s="17" t="s">
        <v>6460</v>
      </c>
      <c r="O652" s="17" t="s">
        <v>7043</v>
      </c>
      <c r="P652" s="17" t="s">
        <v>7129</v>
      </c>
      <c r="Q652" s="17"/>
      <c r="R652" s="25" t="str">
        <f>HYPERLINK("https://ictv.global/taxonomy/taxondetails?taxnode_id=202308377","Helsettvirus fPS54ocr")</f>
        <v>Helsettvirus fPS54ocr</v>
      </c>
      <c r="S652" s="18" t="s">
        <v>30</v>
      </c>
      <c r="T652" s="18" t="s">
        <v>7132</v>
      </c>
      <c r="U652" s="18"/>
      <c r="V652" s="18"/>
      <c r="W652" s="18" t="s">
        <v>7133</v>
      </c>
      <c r="X652" s="18" t="s">
        <v>42</v>
      </c>
      <c r="Y652" s="18" t="s">
        <v>36</v>
      </c>
      <c r="Z652" s="18" t="s">
        <v>697</v>
      </c>
      <c r="AA652" s="21" t="str">
        <f>HYPERLINK("https://www.ncbi.nlm.nih.gov/nuccore/LT962475","NCBI Nucleotide")</f>
        <v>NCBI Nucleotide</v>
      </c>
    </row>
    <row r="653" spans="1:27" x14ac:dyDescent="0.35">
      <c r="A653">
        <v>1000934</v>
      </c>
      <c r="B653">
        <v>652</v>
      </c>
      <c r="C653">
        <v>1</v>
      </c>
      <c r="D653" s="17" t="s">
        <v>155</v>
      </c>
      <c r="E653" s="17"/>
      <c r="F653" s="17" t="s">
        <v>156</v>
      </c>
      <c r="G653" s="17"/>
      <c r="H653" s="17" t="s">
        <v>692</v>
      </c>
      <c r="I653" s="17"/>
      <c r="J653" s="17" t="s">
        <v>693</v>
      </c>
      <c r="K653" s="17"/>
      <c r="L653" s="17"/>
      <c r="M653" s="17"/>
      <c r="N653" s="17" t="s">
        <v>6460</v>
      </c>
      <c r="O653" s="17" t="s">
        <v>7043</v>
      </c>
      <c r="P653" s="17" t="s">
        <v>7138</v>
      </c>
      <c r="Q653" s="17"/>
      <c r="R653" s="25" t="str">
        <f>HYPERLINK("https://ictv.global/taxonomy/taxondetails?taxnode_id=202308458","Jarilovirus jarilo")</f>
        <v>Jarilovirus jarilo</v>
      </c>
      <c r="S653" s="18" t="s">
        <v>30</v>
      </c>
      <c r="T653" s="18" t="s">
        <v>7139</v>
      </c>
      <c r="U653" s="18"/>
      <c r="V653" s="18"/>
      <c r="W653" s="18" t="s">
        <v>7140</v>
      </c>
      <c r="X653" s="18" t="s">
        <v>42</v>
      </c>
      <c r="Y653" s="18" t="s">
        <v>36</v>
      </c>
      <c r="Z653" s="18" t="s">
        <v>697</v>
      </c>
      <c r="AA653" s="21" t="str">
        <f>HYPERLINK("https://www.ncbi.nlm.nih.gov/nuccore/MH059637","NCBI Nucleotide")</f>
        <v>NCBI Nucleotide</v>
      </c>
    </row>
    <row r="654" spans="1:27" x14ac:dyDescent="0.35">
      <c r="A654">
        <v>1000935</v>
      </c>
      <c r="B654">
        <v>653</v>
      </c>
      <c r="C654">
        <v>1</v>
      </c>
      <c r="D654" s="17" t="s">
        <v>155</v>
      </c>
      <c r="E654" s="17"/>
      <c r="F654" s="17" t="s">
        <v>156</v>
      </c>
      <c r="G654" s="17"/>
      <c r="H654" s="17" t="s">
        <v>692</v>
      </c>
      <c r="I654" s="17"/>
      <c r="J654" s="17" t="s">
        <v>693</v>
      </c>
      <c r="K654" s="17"/>
      <c r="L654" s="17"/>
      <c r="M654" s="17"/>
      <c r="N654" s="17" t="s">
        <v>6460</v>
      </c>
      <c r="O654" s="17" t="s">
        <v>7043</v>
      </c>
      <c r="P654" s="17" t="s">
        <v>7141</v>
      </c>
      <c r="Q654" s="17"/>
      <c r="R654" s="25" t="str">
        <f>HYPERLINK("https://ictv.global/taxonomy/taxondetails?taxnode_id=202308406","Kayfunavirus CR44b")</f>
        <v>Kayfunavirus CR44b</v>
      </c>
      <c r="S654" s="18" t="s">
        <v>30</v>
      </c>
      <c r="T654" s="18" t="s">
        <v>7142</v>
      </c>
      <c r="U654" s="18"/>
      <c r="V654" s="18"/>
      <c r="W654" s="18" t="s">
        <v>7143</v>
      </c>
      <c r="X654" s="18" t="s">
        <v>42</v>
      </c>
      <c r="Y654" s="18" t="s">
        <v>36</v>
      </c>
      <c r="Z654" s="18" t="s">
        <v>697</v>
      </c>
      <c r="AA654" s="21" t="str">
        <f>HYPERLINK("https://www.ncbi.nlm.nih.gov/nuccore/HG818823","NCBI Nucleotide")</f>
        <v>NCBI Nucleotide</v>
      </c>
    </row>
    <row r="655" spans="1:27" x14ac:dyDescent="0.35">
      <c r="A655">
        <v>1000936</v>
      </c>
      <c r="B655">
        <v>654</v>
      </c>
      <c r="C655">
        <v>1</v>
      </c>
      <c r="D655" s="17" t="s">
        <v>155</v>
      </c>
      <c r="E655" s="17"/>
      <c r="F655" s="17" t="s">
        <v>156</v>
      </c>
      <c r="G655" s="17"/>
      <c r="H655" s="17" t="s">
        <v>692</v>
      </c>
      <c r="I655" s="17"/>
      <c r="J655" s="17" t="s">
        <v>693</v>
      </c>
      <c r="K655" s="17"/>
      <c r="L655" s="17"/>
      <c r="M655" s="17"/>
      <c r="N655" s="17" t="s">
        <v>6460</v>
      </c>
      <c r="O655" s="17" t="s">
        <v>7043</v>
      </c>
      <c r="P655" s="17" t="s">
        <v>7141</v>
      </c>
      <c r="Q655" s="17"/>
      <c r="R655" s="25" t="str">
        <f>HYPERLINK("https://ictv.global/taxonomy/taxondetails?taxnode_id=202308405","Kayfunavirus Dev2")</f>
        <v>Kayfunavirus Dev2</v>
      </c>
      <c r="S655" s="18" t="s">
        <v>30</v>
      </c>
      <c r="T655" s="18" t="s">
        <v>7144</v>
      </c>
      <c r="U655" s="18"/>
      <c r="V655" s="18"/>
      <c r="W655" s="18" t="s">
        <v>7145</v>
      </c>
      <c r="X655" s="18" t="s">
        <v>42</v>
      </c>
      <c r="Y655" s="18" t="s">
        <v>36</v>
      </c>
      <c r="Z655" s="18" t="s">
        <v>697</v>
      </c>
      <c r="AA655" s="21" t="str">
        <f>HYPERLINK("https://www.ncbi.nlm.nih.gov/nuccore/HG813241","NCBI Nucleotide")</f>
        <v>NCBI Nucleotide</v>
      </c>
    </row>
    <row r="656" spans="1:27" x14ac:dyDescent="0.35">
      <c r="A656">
        <v>1000937</v>
      </c>
      <c r="B656">
        <v>655</v>
      </c>
      <c r="C656">
        <v>1</v>
      </c>
      <c r="D656" s="17" t="s">
        <v>155</v>
      </c>
      <c r="E656" s="17"/>
      <c r="F656" s="17" t="s">
        <v>156</v>
      </c>
      <c r="G656" s="17"/>
      <c r="H656" s="17" t="s">
        <v>692</v>
      </c>
      <c r="I656" s="17"/>
      <c r="J656" s="17" t="s">
        <v>693</v>
      </c>
      <c r="K656" s="17"/>
      <c r="L656" s="17"/>
      <c r="M656" s="17"/>
      <c r="N656" s="17" t="s">
        <v>6460</v>
      </c>
      <c r="O656" s="17" t="s">
        <v>7043</v>
      </c>
      <c r="P656" s="17" t="s">
        <v>7141</v>
      </c>
      <c r="Q656" s="17"/>
      <c r="R656" s="25" t="str">
        <f>HYPERLINK("https://ictv.global/taxonomy/taxondetails?taxnode_id=202308404","Kayfunavirus EcoDS1")</f>
        <v>Kayfunavirus EcoDS1</v>
      </c>
      <c r="S656" s="18" t="s">
        <v>30</v>
      </c>
      <c r="T656" s="18" t="s">
        <v>7146</v>
      </c>
      <c r="U656" s="18"/>
      <c r="V656" s="18"/>
      <c r="W656" s="18" t="s">
        <v>7147</v>
      </c>
      <c r="X656" s="18" t="s">
        <v>42</v>
      </c>
      <c r="Y656" s="18" t="s">
        <v>36</v>
      </c>
      <c r="Z656" s="18" t="s">
        <v>697</v>
      </c>
      <c r="AA656" s="21" t="str">
        <f>HYPERLINK("https://www.ncbi.nlm.nih.gov/nuccore/EU734172","NCBI Nucleotide")</f>
        <v>NCBI Nucleotide</v>
      </c>
    </row>
    <row r="657" spans="1:27" x14ac:dyDescent="0.35">
      <c r="A657">
        <v>1000938</v>
      </c>
      <c r="B657">
        <v>656</v>
      </c>
      <c r="C657">
        <v>1</v>
      </c>
      <c r="D657" s="17" t="s">
        <v>155</v>
      </c>
      <c r="E657" s="17"/>
      <c r="F657" s="17" t="s">
        <v>156</v>
      </c>
      <c r="G657" s="17"/>
      <c r="H657" s="17" t="s">
        <v>692</v>
      </c>
      <c r="I657" s="17"/>
      <c r="J657" s="17" t="s">
        <v>693</v>
      </c>
      <c r="K657" s="17"/>
      <c r="L657" s="17"/>
      <c r="M657" s="17"/>
      <c r="N657" s="17" t="s">
        <v>6460</v>
      </c>
      <c r="O657" s="17" t="s">
        <v>7043</v>
      </c>
      <c r="P657" s="17" t="s">
        <v>7141</v>
      </c>
      <c r="Q657" s="17"/>
      <c r="R657" s="25" t="str">
        <f>HYPERLINK("https://ictv.global/taxonomy/taxondetails?taxnode_id=202308420","Kayfunavirus EcpYZU01")</f>
        <v>Kayfunavirus EcpYZU01</v>
      </c>
      <c r="S657" s="18" t="s">
        <v>30</v>
      </c>
      <c r="T657" s="18" t="s">
        <v>7148</v>
      </c>
      <c r="U657" s="18"/>
      <c r="V657" s="18"/>
      <c r="W657" s="18" t="s">
        <v>7149</v>
      </c>
      <c r="X657" s="18" t="s">
        <v>42</v>
      </c>
      <c r="Y657" s="18" t="s">
        <v>36</v>
      </c>
      <c r="Z657" s="18" t="s">
        <v>697</v>
      </c>
      <c r="AA657" s="21" t="str">
        <f>HYPERLINK("https://www.ncbi.nlm.nih.gov/nuccore/MK033136","NCBI Nucleotide")</f>
        <v>NCBI Nucleotide</v>
      </c>
    </row>
    <row r="658" spans="1:27" x14ac:dyDescent="0.35">
      <c r="A658">
        <v>1000939</v>
      </c>
      <c r="B658">
        <v>657</v>
      </c>
      <c r="C658">
        <v>1</v>
      </c>
      <c r="D658" s="17" t="s">
        <v>155</v>
      </c>
      <c r="E658" s="17"/>
      <c r="F658" s="17" t="s">
        <v>156</v>
      </c>
      <c r="G658" s="17"/>
      <c r="H658" s="17" t="s">
        <v>692</v>
      </c>
      <c r="I658" s="17"/>
      <c r="J658" s="17" t="s">
        <v>693</v>
      </c>
      <c r="K658" s="17"/>
      <c r="L658" s="17"/>
      <c r="M658" s="17"/>
      <c r="N658" s="17" t="s">
        <v>6460</v>
      </c>
      <c r="O658" s="17" t="s">
        <v>7043</v>
      </c>
      <c r="P658" s="17" t="s">
        <v>7141</v>
      </c>
      <c r="Q658" s="17"/>
      <c r="R658" s="25" t="str">
        <f>HYPERLINK("https://ictv.global/taxonomy/taxondetails?taxnode_id=202308412","Kayfunavirus F")</f>
        <v>Kayfunavirus F</v>
      </c>
      <c r="S658" s="18" t="s">
        <v>30</v>
      </c>
      <c r="T658" s="18" t="s">
        <v>7150</v>
      </c>
      <c r="U658" s="18"/>
      <c r="V658" s="18"/>
      <c r="W658" s="18" t="s">
        <v>7151</v>
      </c>
      <c r="X658" s="18" t="s">
        <v>42</v>
      </c>
      <c r="Y658" s="18" t="s">
        <v>36</v>
      </c>
      <c r="Z658" s="18" t="s">
        <v>697</v>
      </c>
      <c r="AA658" s="21" t="str">
        <f>HYPERLINK("https://www.ncbi.nlm.nih.gov/nuccore/KY295894","NCBI Nucleotide")</f>
        <v>NCBI Nucleotide</v>
      </c>
    </row>
    <row r="659" spans="1:27" x14ac:dyDescent="0.35">
      <c r="A659">
        <v>1000940</v>
      </c>
      <c r="B659">
        <v>658</v>
      </c>
      <c r="C659">
        <v>1</v>
      </c>
      <c r="D659" s="17" t="s">
        <v>155</v>
      </c>
      <c r="E659" s="17"/>
      <c r="F659" s="17" t="s">
        <v>156</v>
      </c>
      <c r="G659" s="17"/>
      <c r="H659" s="17" t="s">
        <v>692</v>
      </c>
      <c r="I659" s="17"/>
      <c r="J659" s="17" t="s">
        <v>693</v>
      </c>
      <c r="K659" s="17"/>
      <c r="L659" s="17"/>
      <c r="M659" s="17"/>
      <c r="N659" s="17" t="s">
        <v>6460</v>
      </c>
      <c r="O659" s="17" t="s">
        <v>7043</v>
      </c>
      <c r="P659" s="17" t="s">
        <v>7141</v>
      </c>
      <c r="Q659" s="17"/>
      <c r="R659" s="25" t="str">
        <f>HYPERLINK("https://ictv.global/taxonomy/taxondetails?taxnode_id=202308408","Kayfunavirus GA2A")</f>
        <v>Kayfunavirus GA2A</v>
      </c>
      <c r="S659" s="18" t="s">
        <v>30</v>
      </c>
      <c r="T659" s="18" t="s">
        <v>7152</v>
      </c>
      <c r="U659" s="18"/>
      <c r="V659" s="18"/>
      <c r="W659" s="18" t="s">
        <v>7153</v>
      </c>
      <c r="X659" s="18" t="s">
        <v>42</v>
      </c>
      <c r="Y659" s="18" t="s">
        <v>36</v>
      </c>
      <c r="Z659" s="18" t="s">
        <v>697</v>
      </c>
      <c r="AA659" s="21" t="str">
        <f>HYPERLINK("https://www.ncbi.nlm.nih.gov/nuccore/KT990215","NCBI Nucleotide")</f>
        <v>NCBI Nucleotide</v>
      </c>
    </row>
    <row r="660" spans="1:27" x14ac:dyDescent="0.35">
      <c r="A660">
        <v>1000941</v>
      </c>
      <c r="B660">
        <v>659</v>
      </c>
      <c r="C660">
        <v>1</v>
      </c>
      <c r="D660" s="17" t="s">
        <v>155</v>
      </c>
      <c r="E660" s="17"/>
      <c r="F660" s="17" t="s">
        <v>156</v>
      </c>
      <c r="G660" s="17"/>
      <c r="H660" s="17" t="s">
        <v>692</v>
      </c>
      <c r="I660" s="17"/>
      <c r="J660" s="17" t="s">
        <v>693</v>
      </c>
      <c r="K660" s="17"/>
      <c r="L660" s="17"/>
      <c r="M660" s="17"/>
      <c r="N660" s="17" t="s">
        <v>6460</v>
      </c>
      <c r="O660" s="17" t="s">
        <v>7043</v>
      </c>
      <c r="P660" s="17" t="s">
        <v>7141</v>
      </c>
      <c r="Q660" s="17"/>
      <c r="R660" s="25" t="str">
        <f>HYPERLINK("https://ictv.global/taxonomy/taxondetails?taxnode_id=202308418","Kayfunavirus GW1")</f>
        <v>Kayfunavirus GW1</v>
      </c>
      <c r="S660" s="18" t="s">
        <v>30</v>
      </c>
      <c r="T660" s="18" t="s">
        <v>7154</v>
      </c>
      <c r="U660" s="18"/>
      <c r="V660" s="18"/>
      <c r="W660" s="18" t="s">
        <v>7155</v>
      </c>
      <c r="X660" s="18" t="s">
        <v>42</v>
      </c>
      <c r="Y660" s="18" t="s">
        <v>36</v>
      </c>
      <c r="Z660" s="18" t="s">
        <v>697</v>
      </c>
      <c r="AA660" s="21" t="str">
        <f>HYPERLINK("https://www.ncbi.nlm.nih.gov/nuccore/MH491167","NCBI Nucleotide")</f>
        <v>NCBI Nucleotide</v>
      </c>
    </row>
    <row r="661" spans="1:27" x14ac:dyDescent="0.35">
      <c r="A661">
        <v>1000942</v>
      </c>
      <c r="B661">
        <v>660</v>
      </c>
      <c r="C661">
        <v>1</v>
      </c>
      <c r="D661" s="17" t="s">
        <v>155</v>
      </c>
      <c r="E661" s="17"/>
      <c r="F661" s="17" t="s">
        <v>156</v>
      </c>
      <c r="G661" s="17"/>
      <c r="H661" s="17" t="s">
        <v>692</v>
      </c>
      <c r="I661" s="17"/>
      <c r="J661" s="17" t="s">
        <v>693</v>
      </c>
      <c r="K661" s="17"/>
      <c r="L661" s="17"/>
      <c r="M661" s="17"/>
      <c r="N661" s="17" t="s">
        <v>6460</v>
      </c>
      <c r="O661" s="17" t="s">
        <v>7043</v>
      </c>
      <c r="P661" s="17" t="s">
        <v>7141</v>
      </c>
      <c r="Q661" s="17"/>
      <c r="R661" s="25" t="str">
        <f>HYPERLINK("https://ictv.global/taxonomy/taxondetails?taxnode_id=202308421","Kayfunavirus IMM002")</f>
        <v>Kayfunavirus IMM002</v>
      </c>
      <c r="S661" s="18" t="s">
        <v>30</v>
      </c>
      <c r="T661" s="18" t="s">
        <v>7156</v>
      </c>
      <c r="U661" s="18"/>
      <c r="V661" s="18"/>
      <c r="W661" s="18" t="s">
        <v>7157</v>
      </c>
      <c r="X661" s="18" t="s">
        <v>42</v>
      </c>
      <c r="Y661" s="18" t="s">
        <v>36</v>
      </c>
      <c r="Z661" s="18" t="s">
        <v>697</v>
      </c>
      <c r="AA661" s="21" t="str">
        <f>HYPERLINK("https://www.ncbi.nlm.nih.gov/nuccore/MF630921","NCBI Nucleotide")</f>
        <v>NCBI Nucleotide</v>
      </c>
    </row>
    <row r="662" spans="1:27" x14ac:dyDescent="0.35">
      <c r="A662">
        <v>1000943</v>
      </c>
      <c r="B662">
        <v>661</v>
      </c>
      <c r="C662">
        <v>1</v>
      </c>
      <c r="D662" s="17" t="s">
        <v>155</v>
      </c>
      <c r="E662" s="17"/>
      <c r="F662" s="17" t="s">
        <v>156</v>
      </c>
      <c r="G662" s="17"/>
      <c r="H662" s="17" t="s">
        <v>692</v>
      </c>
      <c r="I662" s="17"/>
      <c r="J662" s="17" t="s">
        <v>693</v>
      </c>
      <c r="K662" s="17"/>
      <c r="L662" s="17"/>
      <c r="M662" s="17"/>
      <c r="N662" s="17" t="s">
        <v>6460</v>
      </c>
      <c r="O662" s="17" t="s">
        <v>7043</v>
      </c>
      <c r="P662" s="17" t="s">
        <v>7141</v>
      </c>
      <c r="Q662" s="17"/>
      <c r="R662" s="25" t="str">
        <f>HYPERLINK("https://ictv.global/taxonomy/taxondetails?taxnode_id=202308403","Kayfunavirus K1F")</f>
        <v>Kayfunavirus K1F</v>
      </c>
      <c r="S662" s="18" t="s">
        <v>30</v>
      </c>
      <c r="T662" s="18" t="s">
        <v>7158</v>
      </c>
      <c r="U662" s="18"/>
      <c r="V662" s="18"/>
      <c r="W662" s="18" t="s">
        <v>7159</v>
      </c>
      <c r="X662" s="18" t="s">
        <v>42</v>
      </c>
      <c r="Y662" s="18" t="s">
        <v>36</v>
      </c>
      <c r="Z662" s="18" t="s">
        <v>697</v>
      </c>
      <c r="AA662" s="21" t="str">
        <f>HYPERLINK("https://www.ncbi.nlm.nih.gov/nuccore/AM084414","NCBI Nucleotide")</f>
        <v>NCBI Nucleotide</v>
      </c>
    </row>
    <row r="663" spans="1:27" x14ac:dyDescent="0.35">
      <c r="A663">
        <v>1000944</v>
      </c>
      <c r="B663">
        <v>662</v>
      </c>
      <c r="C663">
        <v>1</v>
      </c>
      <c r="D663" s="17" t="s">
        <v>155</v>
      </c>
      <c r="E663" s="17"/>
      <c r="F663" s="17" t="s">
        <v>156</v>
      </c>
      <c r="G663" s="17"/>
      <c r="H663" s="17" t="s">
        <v>692</v>
      </c>
      <c r="I663" s="17"/>
      <c r="J663" s="17" t="s">
        <v>693</v>
      </c>
      <c r="K663" s="17"/>
      <c r="L663" s="17"/>
      <c r="M663" s="17"/>
      <c r="N663" s="17" t="s">
        <v>6460</v>
      </c>
      <c r="O663" s="17" t="s">
        <v>7043</v>
      </c>
      <c r="P663" s="17" t="s">
        <v>7141</v>
      </c>
      <c r="Q663" s="17"/>
      <c r="R663" s="25" t="str">
        <f>HYPERLINK("https://ictv.global/taxonomy/taxondetails?taxnode_id=202308414","Kayfunavirus LM33P1")</f>
        <v>Kayfunavirus LM33P1</v>
      </c>
      <c r="S663" s="18" t="s">
        <v>30</v>
      </c>
      <c r="T663" s="18" t="s">
        <v>7160</v>
      </c>
      <c r="U663" s="18"/>
      <c r="V663" s="18"/>
      <c r="W663" s="18" t="s">
        <v>7161</v>
      </c>
      <c r="X663" s="18" t="s">
        <v>42</v>
      </c>
      <c r="Y663" s="18" t="s">
        <v>36</v>
      </c>
      <c r="Z663" s="18" t="s">
        <v>697</v>
      </c>
      <c r="AA663" s="21" t="str">
        <f>HYPERLINK("https://www.ncbi.nlm.nih.gov/nuccore/LT594300","NCBI Nucleotide")</f>
        <v>NCBI Nucleotide</v>
      </c>
    </row>
    <row r="664" spans="1:27" x14ac:dyDescent="0.35">
      <c r="A664">
        <v>1000945</v>
      </c>
      <c r="B664">
        <v>663</v>
      </c>
      <c r="C664">
        <v>1</v>
      </c>
      <c r="D664" s="17" t="s">
        <v>155</v>
      </c>
      <c r="E664" s="17"/>
      <c r="F664" s="17" t="s">
        <v>156</v>
      </c>
      <c r="G664" s="17"/>
      <c r="H664" s="17" t="s">
        <v>692</v>
      </c>
      <c r="I664" s="17"/>
      <c r="J664" s="17" t="s">
        <v>693</v>
      </c>
      <c r="K664" s="17"/>
      <c r="L664" s="17"/>
      <c r="M664" s="17"/>
      <c r="N664" s="17" t="s">
        <v>6460</v>
      </c>
      <c r="O664" s="17" t="s">
        <v>7043</v>
      </c>
      <c r="P664" s="17" t="s">
        <v>7141</v>
      </c>
      <c r="Q664" s="17"/>
      <c r="R664" s="25" t="str">
        <f>HYPERLINK("https://ictv.global/taxonomy/taxondetails?taxnode_id=202308407","Kayfunavirus PE31")</f>
        <v>Kayfunavirus PE31</v>
      </c>
      <c r="S664" s="18" t="s">
        <v>30</v>
      </c>
      <c r="T664" s="18" t="s">
        <v>7162</v>
      </c>
      <c r="U664" s="18"/>
      <c r="V664" s="18"/>
      <c r="W664" s="18" t="s">
        <v>7163</v>
      </c>
      <c r="X664" s="18" t="s">
        <v>42</v>
      </c>
      <c r="Y664" s="18" t="s">
        <v>36</v>
      </c>
      <c r="Z664" s="18" t="s">
        <v>697</v>
      </c>
      <c r="AA664" s="21" t="str">
        <f>HYPERLINK("https://www.ncbi.nlm.nih.gov/nuccore/KJ748011","NCBI Nucleotide")</f>
        <v>NCBI Nucleotide</v>
      </c>
    </row>
    <row r="665" spans="1:27" x14ac:dyDescent="0.35">
      <c r="A665">
        <v>1000946</v>
      </c>
      <c r="B665">
        <v>664</v>
      </c>
      <c r="C665">
        <v>1</v>
      </c>
      <c r="D665" s="17" t="s">
        <v>155</v>
      </c>
      <c r="E665" s="17"/>
      <c r="F665" s="17" t="s">
        <v>156</v>
      </c>
      <c r="G665" s="17"/>
      <c r="H665" s="17" t="s">
        <v>692</v>
      </c>
      <c r="I665" s="17"/>
      <c r="J665" s="17" t="s">
        <v>693</v>
      </c>
      <c r="K665" s="17"/>
      <c r="L665" s="17"/>
      <c r="M665" s="17"/>
      <c r="N665" s="17" t="s">
        <v>6460</v>
      </c>
      <c r="O665" s="17" t="s">
        <v>7043</v>
      </c>
      <c r="P665" s="17" t="s">
        <v>7141</v>
      </c>
      <c r="Q665" s="17"/>
      <c r="R665" s="25" t="str">
        <f>HYPERLINK("https://ictv.global/taxonomy/taxondetails?taxnode_id=202308419","Kayfunavirus Ro45lw")</f>
        <v>Kayfunavirus Ro45lw</v>
      </c>
      <c r="S665" s="18" t="s">
        <v>30</v>
      </c>
      <c r="T665" s="18" t="s">
        <v>7164</v>
      </c>
      <c r="U665" s="18"/>
      <c r="V665" s="18"/>
      <c r="W665" s="18" t="s">
        <v>7165</v>
      </c>
      <c r="X665" s="18" t="s">
        <v>42</v>
      </c>
      <c r="Y665" s="18" t="s">
        <v>36</v>
      </c>
      <c r="Z665" s="18" t="s">
        <v>697</v>
      </c>
      <c r="AA665" s="21" t="str">
        <f>HYPERLINK("https://www.ncbi.nlm.nih.gov/nuccore/MK301532","NCBI Nucleotide")</f>
        <v>NCBI Nucleotide</v>
      </c>
    </row>
    <row r="666" spans="1:27" x14ac:dyDescent="0.35">
      <c r="A666">
        <v>1000947</v>
      </c>
      <c r="B666">
        <v>665</v>
      </c>
      <c r="C666">
        <v>1</v>
      </c>
      <c r="D666" s="17" t="s">
        <v>155</v>
      </c>
      <c r="E666" s="17"/>
      <c r="F666" s="17" t="s">
        <v>156</v>
      </c>
      <c r="G666" s="17"/>
      <c r="H666" s="17" t="s">
        <v>692</v>
      </c>
      <c r="I666" s="17"/>
      <c r="J666" s="17" t="s">
        <v>693</v>
      </c>
      <c r="K666" s="17"/>
      <c r="L666" s="17"/>
      <c r="M666" s="17"/>
      <c r="N666" s="17" t="s">
        <v>6460</v>
      </c>
      <c r="O666" s="17" t="s">
        <v>7043</v>
      </c>
      <c r="P666" s="17" t="s">
        <v>7141</v>
      </c>
      <c r="Q666" s="17"/>
      <c r="R666" s="25" t="str">
        <f>HYPERLINK("https://ictv.global/taxonomy/taxondetails?taxnode_id=202308417","Kayfunavirus SFPH2")</f>
        <v>Kayfunavirus SFPH2</v>
      </c>
      <c r="S666" s="18" t="s">
        <v>30</v>
      </c>
      <c r="T666" s="18" t="s">
        <v>7166</v>
      </c>
      <c r="U666" s="18"/>
      <c r="V666" s="18"/>
      <c r="W666" s="18" t="s">
        <v>7167</v>
      </c>
      <c r="X666" s="18" t="s">
        <v>42</v>
      </c>
      <c r="Y666" s="18" t="s">
        <v>36</v>
      </c>
      <c r="Z666" s="18" t="s">
        <v>697</v>
      </c>
      <c r="AA666" s="21" t="str">
        <f>HYPERLINK("https://www.ncbi.nlm.nih.gov/nuccore/MH464253","NCBI Nucleotide")</f>
        <v>NCBI Nucleotide</v>
      </c>
    </row>
    <row r="667" spans="1:27" x14ac:dyDescent="0.35">
      <c r="A667">
        <v>1000948</v>
      </c>
      <c r="B667">
        <v>666</v>
      </c>
      <c r="C667">
        <v>1</v>
      </c>
      <c r="D667" s="17" t="s">
        <v>155</v>
      </c>
      <c r="E667" s="17"/>
      <c r="F667" s="17" t="s">
        <v>156</v>
      </c>
      <c r="G667" s="17"/>
      <c r="H667" s="17" t="s">
        <v>692</v>
      </c>
      <c r="I667" s="17"/>
      <c r="J667" s="17" t="s">
        <v>693</v>
      </c>
      <c r="K667" s="17"/>
      <c r="L667" s="17"/>
      <c r="M667" s="17"/>
      <c r="N667" s="17" t="s">
        <v>6460</v>
      </c>
      <c r="O667" s="17" t="s">
        <v>7043</v>
      </c>
      <c r="P667" s="17" t="s">
        <v>7141</v>
      </c>
      <c r="Q667" s="17"/>
      <c r="R667" s="25" t="str">
        <f>HYPERLINK("https://ictv.global/taxonomy/taxondetails?taxnode_id=202308409","Kayfunavirus SH3")</f>
        <v>Kayfunavirus SH3</v>
      </c>
      <c r="S667" s="18" t="s">
        <v>30</v>
      </c>
      <c r="T667" s="18" t="s">
        <v>7168</v>
      </c>
      <c r="U667" s="18"/>
      <c r="V667" s="18"/>
      <c r="W667" s="18" t="s">
        <v>7169</v>
      </c>
      <c r="X667" s="18" t="s">
        <v>42</v>
      </c>
      <c r="Y667" s="18" t="s">
        <v>36</v>
      </c>
      <c r="Z667" s="18" t="s">
        <v>697</v>
      </c>
      <c r="AA667" s="21" t="str">
        <f>HYPERLINK("https://www.ncbi.nlm.nih.gov/nuccore/KU687349","NCBI Nucleotide")</f>
        <v>NCBI Nucleotide</v>
      </c>
    </row>
    <row r="668" spans="1:27" x14ac:dyDescent="0.35">
      <c r="A668">
        <v>1000949</v>
      </c>
      <c r="B668">
        <v>667</v>
      </c>
      <c r="C668">
        <v>1</v>
      </c>
      <c r="D668" s="17" t="s">
        <v>155</v>
      </c>
      <c r="E668" s="17"/>
      <c r="F668" s="17" t="s">
        <v>156</v>
      </c>
      <c r="G668" s="17"/>
      <c r="H668" s="17" t="s">
        <v>692</v>
      </c>
      <c r="I668" s="17"/>
      <c r="J668" s="17" t="s">
        <v>693</v>
      </c>
      <c r="K668" s="17"/>
      <c r="L668" s="17"/>
      <c r="M668" s="17"/>
      <c r="N668" s="17" t="s">
        <v>6460</v>
      </c>
      <c r="O668" s="17" t="s">
        <v>7043</v>
      </c>
      <c r="P668" s="17" t="s">
        <v>7141</v>
      </c>
      <c r="Q668" s="17"/>
      <c r="R668" s="25" t="str">
        <f>HYPERLINK("https://ictv.global/taxonomy/taxondetails?taxnode_id=202308410","Kayfunavirus SH4")</f>
        <v>Kayfunavirus SH4</v>
      </c>
      <c r="S668" s="18" t="s">
        <v>30</v>
      </c>
      <c r="T668" s="18" t="s">
        <v>7170</v>
      </c>
      <c r="U668" s="18"/>
      <c r="V668" s="18"/>
      <c r="W668" s="18" t="s">
        <v>7171</v>
      </c>
      <c r="X668" s="18" t="s">
        <v>42</v>
      </c>
      <c r="Y668" s="18" t="s">
        <v>36</v>
      </c>
      <c r="Z668" s="18" t="s">
        <v>697</v>
      </c>
      <c r="AA668" s="21" t="str">
        <f>HYPERLINK("https://www.ncbi.nlm.nih.gov/nuccore/KU687350","NCBI Nucleotide")</f>
        <v>NCBI Nucleotide</v>
      </c>
    </row>
    <row r="669" spans="1:27" x14ac:dyDescent="0.35">
      <c r="A669">
        <v>1000950</v>
      </c>
      <c r="B669">
        <v>668</v>
      </c>
      <c r="C669">
        <v>1</v>
      </c>
      <c r="D669" s="17" t="s">
        <v>155</v>
      </c>
      <c r="E669" s="17"/>
      <c r="F669" s="17" t="s">
        <v>156</v>
      </c>
      <c r="G669" s="17"/>
      <c r="H669" s="17" t="s">
        <v>692</v>
      </c>
      <c r="I669" s="17"/>
      <c r="J669" s="17" t="s">
        <v>693</v>
      </c>
      <c r="K669" s="17"/>
      <c r="L669" s="17"/>
      <c r="M669" s="17"/>
      <c r="N669" s="17" t="s">
        <v>6460</v>
      </c>
      <c r="O669" s="17" t="s">
        <v>7043</v>
      </c>
      <c r="P669" s="17" t="s">
        <v>7141</v>
      </c>
      <c r="Q669" s="17"/>
      <c r="R669" s="25" t="str">
        <f>HYPERLINK("https://ictv.global/taxonomy/taxondetails?taxnode_id=202308413","Kayfunavirus ST31")</f>
        <v>Kayfunavirus ST31</v>
      </c>
      <c r="S669" s="18" t="s">
        <v>30</v>
      </c>
      <c r="T669" s="18" t="s">
        <v>7172</v>
      </c>
      <c r="U669" s="18"/>
      <c r="V669" s="18"/>
      <c r="W669" s="18" t="s">
        <v>7173</v>
      </c>
      <c r="X669" s="18" t="s">
        <v>42</v>
      </c>
      <c r="Y669" s="18" t="s">
        <v>36</v>
      </c>
      <c r="Z669" s="18" t="s">
        <v>697</v>
      </c>
      <c r="AA669" s="21" t="str">
        <f>HYPERLINK("https://www.ncbi.nlm.nih.gov/nuccore/KY962008","NCBI Nucleotide")</f>
        <v>NCBI Nucleotide</v>
      </c>
    </row>
    <row r="670" spans="1:27" x14ac:dyDescent="0.35">
      <c r="A670">
        <v>1000951</v>
      </c>
      <c r="B670">
        <v>669</v>
      </c>
      <c r="C670">
        <v>1</v>
      </c>
      <c r="D670" s="17" t="s">
        <v>155</v>
      </c>
      <c r="E670" s="17"/>
      <c r="F670" s="17" t="s">
        <v>156</v>
      </c>
      <c r="G670" s="17"/>
      <c r="H670" s="17" t="s">
        <v>692</v>
      </c>
      <c r="I670" s="17"/>
      <c r="J670" s="17" t="s">
        <v>693</v>
      </c>
      <c r="K670" s="17"/>
      <c r="L670" s="17"/>
      <c r="M670" s="17"/>
      <c r="N670" s="17" t="s">
        <v>6460</v>
      </c>
      <c r="O670" s="17" t="s">
        <v>7043</v>
      </c>
      <c r="P670" s="17" t="s">
        <v>7141</v>
      </c>
      <c r="Q670" s="17"/>
      <c r="R670" s="25" t="str">
        <f>HYPERLINK("https://ictv.global/taxonomy/taxondetails?taxnode_id=202308416","Kayfunavirus Vec13")</f>
        <v>Kayfunavirus Vec13</v>
      </c>
      <c r="S670" s="18" t="s">
        <v>30</v>
      </c>
      <c r="T670" s="18" t="s">
        <v>7174</v>
      </c>
      <c r="U670" s="18"/>
      <c r="V670" s="18"/>
      <c r="W670" s="18" t="s">
        <v>7175</v>
      </c>
      <c r="X670" s="18" t="s">
        <v>42</v>
      </c>
      <c r="Y670" s="18" t="s">
        <v>36</v>
      </c>
      <c r="Z670" s="18" t="s">
        <v>697</v>
      </c>
      <c r="AA670" s="21" t="str">
        <f>HYPERLINK("https://www.ncbi.nlm.nih.gov/nuccore/MH400309","NCBI Nucleotide")</f>
        <v>NCBI Nucleotide</v>
      </c>
    </row>
    <row r="671" spans="1:27" x14ac:dyDescent="0.35">
      <c r="A671">
        <v>1000952</v>
      </c>
      <c r="B671">
        <v>670</v>
      </c>
      <c r="C671">
        <v>1</v>
      </c>
      <c r="D671" s="17" t="s">
        <v>155</v>
      </c>
      <c r="E671" s="17"/>
      <c r="F671" s="17" t="s">
        <v>156</v>
      </c>
      <c r="G671" s="17"/>
      <c r="H671" s="17" t="s">
        <v>692</v>
      </c>
      <c r="I671" s="17"/>
      <c r="J671" s="17" t="s">
        <v>693</v>
      </c>
      <c r="K671" s="17"/>
      <c r="L671" s="17"/>
      <c r="M671" s="17"/>
      <c r="N671" s="17" t="s">
        <v>6460</v>
      </c>
      <c r="O671" s="17" t="s">
        <v>7043</v>
      </c>
      <c r="P671" s="17" t="s">
        <v>7141</v>
      </c>
      <c r="Q671" s="17"/>
      <c r="R671" s="25" t="str">
        <f>HYPERLINK("https://ictv.global/taxonomy/taxondetails?taxnode_id=202308415","Kayfunavirus YZ1")</f>
        <v>Kayfunavirus YZ1</v>
      </c>
      <c r="S671" s="18" t="s">
        <v>30</v>
      </c>
      <c r="T671" s="18" t="s">
        <v>7176</v>
      </c>
      <c r="U671" s="18"/>
      <c r="V671" s="18"/>
      <c r="W671" s="18" t="s">
        <v>7177</v>
      </c>
      <c r="X671" s="18" t="s">
        <v>42</v>
      </c>
      <c r="Y671" s="18" t="s">
        <v>36</v>
      </c>
      <c r="Z671" s="18" t="s">
        <v>697</v>
      </c>
      <c r="AA671" s="21" t="str">
        <f>HYPERLINK("https://www.ncbi.nlm.nih.gov/nuccore/MG845865","NCBI Nucleotide")</f>
        <v>NCBI Nucleotide</v>
      </c>
    </row>
    <row r="672" spans="1:27" x14ac:dyDescent="0.35">
      <c r="A672">
        <v>1000953</v>
      </c>
      <c r="B672">
        <v>671</v>
      </c>
      <c r="C672">
        <v>1</v>
      </c>
      <c r="D672" s="17" t="s">
        <v>155</v>
      </c>
      <c r="E672" s="17"/>
      <c r="F672" s="17" t="s">
        <v>156</v>
      </c>
      <c r="G672" s="17"/>
      <c r="H672" s="17" t="s">
        <v>692</v>
      </c>
      <c r="I672" s="17"/>
      <c r="J672" s="17" t="s">
        <v>693</v>
      </c>
      <c r="K672" s="17"/>
      <c r="L672" s="17"/>
      <c r="M672" s="17"/>
      <c r="N672" s="17" t="s">
        <v>6460</v>
      </c>
      <c r="O672" s="17" t="s">
        <v>7043</v>
      </c>
      <c r="P672" s="17" t="s">
        <v>7141</v>
      </c>
      <c r="Q672" s="17"/>
      <c r="R672" s="25" t="str">
        <f>HYPERLINK("https://ictv.global/taxonomy/taxondetails?taxnode_id=202308411","Kayfunavirus ZG49")</f>
        <v>Kayfunavirus ZG49</v>
      </c>
      <c r="S672" s="18" t="s">
        <v>30</v>
      </c>
      <c r="T672" s="18" t="s">
        <v>7178</v>
      </c>
      <c r="U672" s="18"/>
      <c r="V672" s="18"/>
      <c r="W672" s="18" t="s">
        <v>7179</v>
      </c>
      <c r="X672" s="18" t="s">
        <v>42</v>
      </c>
      <c r="Y672" s="18" t="s">
        <v>36</v>
      </c>
      <c r="Z672" s="18" t="s">
        <v>697</v>
      </c>
      <c r="AA672" s="21" t="str">
        <f>HYPERLINK("https://www.ncbi.nlm.nih.gov/nuccore/KX669227","NCBI Nucleotide")</f>
        <v>NCBI Nucleotide</v>
      </c>
    </row>
    <row r="673" spans="1:27" x14ac:dyDescent="0.35">
      <c r="A673">
        <v>1000954</v>
      </c>
      <c r="B673">
        <v>672</v>
      </c>
      <c r="C673">
        <v>1</v>
      </c>
      <c r="D673" s="17" t="s">
        <v>155</v>
      </c>
      <c r="E673" s="17"/>
      <c r="F673" s="17" t="s">
        <v>156</v>
      </c>
      <c r="G673" s="17"/>
      <c r="H673" s="17" t="s">
        <v>692</v>
      </c>
      <c r="I673" s="17"/>
      <c r="J673" s="17" t="s">
        <v>693</v>
      </c>
      <c r="K673" s="17"/>
      <c r="L673" s="17"/>
      <c r="M673" s="17"/>
      <c r="N673" s="17" t="s">
        <v>6460</v>
      </c>
      <c r="O673" s="17" t="s">
        <v>7043</v>
      </c>
      <c r="P673" s="17" t="s">
        <v>7180</v>
      </c>
      <c r="Q673" s="17"/>
      <c r="R673" s="25" t="str">
        <f>HYPERLINK("https://ictv.global/taxonomy/taxondetails?taxnode_id=202308369","Minipunavirus MmP1")</f>
        <v>Minipunavirus MmP1</v>
      </c>
      <c r="S673" s="18" t="s">
        <v>30</v>
      </c>
      <c r="T673" s="18" t="s">
        <v>7181</v>
      </c>
      <c r="U673" s="18"/>
      <c r="V673" s="18"/>
      <c r="W673" s="18" t="s">
        <v>7182</v>
      </c>
      <c r="X673" s="18" t="s">
        <v>42</v>
      </c>
      <c r="Y673" s="18" t="s">
        <v>36</v>
      </c>
      <c r="Z673" s="18" t="s">
        <v>697</v>
      </c>
      <c r="AA673" s="21" t="str">
        <f>HYPERLINK("https://www.ncbi.nlm.nih.gov/nuccore/EU652770","NCBI Nucleotide")</f>
        <v>NCBI Nucleotide</v>
      </c>
    </row>
    <row r="674" spans="1:27" x14ac:dyDescent="0.35">
      <c r="A674">
        <v>1000955</v>
      </c>
      <c r="B674">
        <v>673</v>
      </c>
      <c r="C674">
        <v>1</v>
      </c>
      <c r="D674" s="17" t="s">
        <v>155</v>
      </c>
      <c r="E674" s="17"/>
      <c r="F674" s="17" t="s">
        <v>156</v>
      </c>
      <c r="G674" s="17"/>
      <c r="H674" s="17" t="s">
        <v>692</v>
      </c>
      <c r="I674" s="17"/>
      <c r="J674" s="17" t="s">
        <v>693</v>
      </c>
      <c r="K674" s="17"/>
      <c r="L674" s="17"/>
      <c r="M674" s="17"/>
      <c r="N674" s="17" t="s">
        <v>6460</v>
      </c>
      <c r="O674" s="17" t="s">
        <v>7043</v>
      </c>
      <c r="P674" s="17" t="s">
        <v>7180</v>
      </c>
      <c r="Q674" s="17"/>
      <c r="R674" s="25" t="str">
        <f>HYPERLINK("https://ictv.global/taxonomy/taxondetails?taxnode_id=202308368","Minipunavirus MP2")</f>
        <v>Minipunavirus MP2</v>
      </c>
      <c r="S674" s="18" t="s">
        <v>30</v>
      </c>
      <c r="T674" s="18" t="s">
        <v>7183</v>
      </c>
      <c r="U674" s="18"/>
      <c r="V674" s="18"/>
      <c r="W674" s="18" t="s">
        <v>7184</v>
      </c>
      <c r="X674" s="18" t="s">
        <v>42</v>
      </c>
      <c r="Y674" s="18" t="s">
        <v>36</v>
      </c>
      <c r="Z674" s="18" t="s">
        <v>697</v>
      </c>
      <c r="AA674" s="21" t="str">
        <f>HYPERLINK("https://www.ncbi.nlm.nih.gov/nuccore/KX078568","NCBI Nucleotide")</f>
        <v>NCBI Nucleotide</v>
      </c>
    </row>
    <row r="675" spans="1:27" x14ac:dyDescent="0.35">
      <c r="A675">
        <v>1000956</v>
      </c>
      <c r="B675">
        <v>674</v>
      </c>
      <c r="C675">
        <v>1</v>
      </c>
      <c r="D675" s="17" t="s">
        <v>155</v>
      </c>
      <c r="E675" s="17"/>
      <c r="F675" s="17" t="s">
        <v>156</v>
      </c>
      <c r="G675" s="17"/>
      <c r="H675" s="17" t="s">
        <v>692</v>
      </c>
      <c r="I675" s="17"/>
      <c r="J675" s="17" t="s">
        <v>693</v>
      </c>
      <c r="K675" s="17"/>
      <c r="L675" s="17"/>
      <c r="M675" s="17"/>
      <c r="N675" s="17" t="s">
        <v>6460</v>
      </c>
      <c r="O675" s="17" t="s">
        <v>7043</v>
      </c>
      <c r="P675" s="17" t="s">
        <v>7185</v>
      </c>
      <c r="Q675" s="17"/>
      <c r="R675" s="25" t="str">
        <f>HYPERLINK("https://ictv.global/taxonomy/taxondetails?taxnode_id=202308386","Ningirsuvirus JA10")</f>
        <v>Ningirsuvirus JA10</v>
      </c>
      <c r="S675" s="18" t="s">
        <v>30</v>
      </c>
      <c r="T675" s="18" t="s">
        <v>7186</v>
      </c>
      <c r="U675" s="18"/>
      <c r="V675" s="18"/>
      <c r="W675" s="18" t="s">
        <v>7187</v>
      </c>
      <c r="X675" s="18" t="s">
        <v>42</v>
      </c>
      <c r="Y675" s="18" t="s">
        <v>36</v>
      </c>
      <c r="Z675" s="18" t="s">
        <v>697</v>
      </c>
      <c r="AA675" s="21" t="str">
        <f>HYPERLINK("https://www.ncbi.nlm.nih.gov/nuccore/MH460459","NCBI Nucleotide")</f>
        <v>NCBI Nucleotide</v>
      </c>
    </row>
    <row r="676" spans="1:27" x14ac:dyDescent="0.35">
      <c r="A676">
        <v>1000957</v>
      </c>
      <c r="B676">
        <v>675</v>
      </c>
      <c r="C676">
        <v>1</v>
      </c>
      <c r="D676" s="17" t="s">
        <v>155</v>
      </c>
      <c r="E676" s="17"/>
      <c r="F676" s="17" t="s">
        <v>156</v>
      </c>
      <c r="G676" s="17"/>
      <c r="H676" s="17" t="s">
        <v>692</v>
      </c>
      <c r="I676" s="17"/>
      <c r="J676" s="17" t="s">
        <v>693</v>
      </c>
      <c r="K676" s="17"/>
      <c r="L676" s="17"/>
      <c r="M676" s="17"/>
      <c r="N676" s="17" t="s">
        <v>6460</v>
      </c>
      <c r="O676" s="17" t="s">
        <v>7043</v>
      </c>
      <c r="P676" s="17" t="s">
        <v>7185</v>
      </c>
      <c r="Q676" s="17"/>
      <c r="R676" s="25" t="str">
        <f>HYPERLINK("https://ictv.global/taxonomy/taxondetails?taxnode_id=202308385","Ningirsuvirus ninurta")</f>
        <v>Ningirsuvirus ninurta</v>
      </c>
      <c r="S676" s="18" t="s">
        <v>30</v>
      </c>
      <c r="T676" s="18" t="s">
        <v>7188</v>
      </c>
      <c r="U676" s="18"/>
      <c r="V676" s="18"/>
      <c r="W676" s="18" t="s">
        <v>7189</v>
      </c>
      <c r="X676" s="18" t="s">
        <v>42</v>
      </c>
      <c r="Y676" s="18" t="s">
        <v>36</v>
      </c>
      <c r="Z676" s="18" t="s">
        <v>697</v>
      </c>
      <c r="AA676" s="21" t="str">
        <f>HYPERLINK("https://www.ncbi.nlm.nih.gov/nuccore/MH059639","NCBI Nucleotide")</f>
        <v>NCBI Nucleotide</v>
      </c>
    </row>
    <row r="677" spans="1:27" x14ac:dyDescent="0.35">
      <c r="A677">
        <v>1000958</v>
      </c>
      <c r="B677">
        <v>676</v>
      </c>
      <c r="C677">
        <v>1</v>
      </c>
      <c r="D677" s="17" t="s">
        <v>155</v>
      </c>
      <c r="E677" s="17"/>
      <c r="F677" s="17" t="s">
        <v>156</v>
      </c>
      <c r="G677" s="17"/>
      <c r="H677" s="17" t="s">
        <v>692</v>
      </c>
      <c r="I677" s="17"/>
      <c r="J677" s="17" t="s">
        <v>693</v>
      </c>
      <c r="K677" s="17"/>
      <c r="L677" s="17"/>
      <c r="M677" s="17"/>
      <c r="N677" s="17" t="s">
        <v>6460</v>
      </c>
      <c r="O677" s="17" t="s">
        <v>7043</v>
      </c>
      <c r="P677" s="17" t="s">
        <v>7190</v>
      </c>
      <c r="Q677" s="17"/>
      <c r="R677" s="25" t="str">
        <f>HYPERLINK("https://ictv.global/taxonomy/taxondetails?taxnode_id=202308371","Pektosvirus PP47")</f>
        <v>Pektosvirus PP47</v>
      </c>
      <c r="S677" s="18" t="s">
        <v>30</v>
      </c>
      <c r="T677" s="18" t="s">
        <v>7191</v>
      </c>
      <c r="U677" s="18"/>
      <c r="V677" s="18"/>
      <c r="W677" s="18" t="s">
        <v>7192</v>
      </c>
      <c r="X677" s="18" t="s">
        <v>42</v>
      </c>
      <c r="Y677" s="18" t="s">
        <v>36</v>
      </c>
      <c r="Z677" s="18" t="s">
        <v>697</v>
      </c>
      <c r="AA677" s="21" t="str">
        <f>HYPERLINK("https://www.ncbi.nlm.nih.gov/nuccore/KY250035","NCBI Nucleotide")</f>
        <v>NCBI Nucleotide</v>
      </c>
    </row>
    <row r="678" spans="1:27" x14ac:dyDescent="0.35">
      <c r="A678">
        <v>1000959</v>
      </c>
      <c r="B678">
        <v>677</v>
      </c>
      <c r="C678">
        <v>1</v>
      </c>
      <c r="D678" s="17" t="s">
        <v>155</v>
      </c>
      <c r="E678" s="17"/>
      <c r="F678" s="17" t="s">
        <v>156</v>
      </c>
      <c r="G678" s="17"/>
      <c r="H678" s="17" t="s">
        <v>692</v>
      </c>
      <c r="I678" s="17"/>
      <c r="J678" s="17" t="s">
        <v>693</v>
      </c>
      <c r="K678" s="17"/>
      <c r="L678" s="17"/>
      <c r="M678" s="17"/>
      <c r="N678" s="17" t="s">
        <v>6460</v>
      </c>
      <c r="O678" s="17" t="s">
        <v>7043</v>
      </c>
      <c r="P678" s="17" t="s">
        <v>7190</v>
      </c>
      <c r="Q678" s="17"/>
      <c r="R678" s="25" t="str">
        <f>HYPERLINK("https://ictv.global/taxonomy/taxondetails?taxnode_id=202308373","Pektosvirus PP81")</f>
        <v>Pektosvirus PP81</v>
      </c>
      <c r="S678" s="18" t="s">
        <v>30</v>
      </c>
      <c r="T678" s="18" t="s">
        <v>7193</v>
      </c>
      <c r="U678" s="18"/>
      <c r="V678" s="18"/>
      <c r="W678" s="18" t="s">
        <v>7194</v>
      </c>
      <c r="X678" s="18" t="s">
        <v>42</v>
      </c>
      <c r="Y678" s="18" t="s">
        <v>36</v>
      </c>
      <c r="Z678" s="18" t="s">
        <v>697</v>
      </c>
      <c r="AA678" s="21" t="str">
        <f>HYPERLINK("https://www.ncbi.nlm.nih.gov/nuccore/KY124276","NCBI Nucleotide")</f>
        <v>NCBI Nucleotide</v>
      </c>
    </row>
    <row r="679" spans="1:27" x14ac:dyDescent="0.35">
      <c r="A679">
        <v>1000960</v>
      </c>
      <c r="B679">
        <v>678</v>
      </c>
      <c r="C679">
        <v>1</v>
      </c>
      <c r="D679" s="17" t="s">
        <v>155</v>
      </c>
      <c r="E679" s="17"/>
      <c r="F679" s="17" t="s">
        <v>156</v>
      </c>
      <c r="G679" s="17"/>
      <c r="H679" s="17" t="s">
        <v>692</v>
      </c>
      <c r="I679" s="17"/>
      <c r="J679" s="17" t="s">
        <v>693</v>
      </c>
      <c r="K679" s="17"/>
      <c r="L679" s="17"/>
      <c r="M679" s="17"/>
      <c r="N679" s="17" t="s">
        <v>6460</v>
      </c>
      <c r="O679" s="17" t="s">
        <v>7043</v>
      </c>
      <c r="P679" s="17" t="s">
        <v>7190</v>
      </c>
      <c r="Q679" s="17"/>
      <c r="R679" s="25" t="str">
        <f>HYPERLINK("https://ictv.global/taxonomy/taxondetails?taxnode_id=202308372","Pektosvirus PPWS4")</f>
        <v>Pektosvirus PPWS4</v>
      </c>
      <c r="S679" s="18" t="s">
        <v>30</v>
      </c>
      <c r="T679" s="18" t="s">
        <v>7195</v>
      </c>
      <c r="U679" s="18"/>
      <c r="V679" s="18"/>
      <c r="W679" s="18" t="s">
        <v>7196</v>
      </c>
      <c r="X679" s="18" t="s">
        <v>42</v>
      </c>
      <c r="Y679" s="18" t="s">
        <v>36</v>
      </c>
      <c r="Z679" s="18" t="s">
        <v>697</v>
      </c>
      <c r="AA679" s="21" t="str">
        <f>HYPERLINK("https://www.ncbi.nlm.nih.gov/nuccore/LC216347","NCBI Nucleotide")</f>
        <v>NCBI Nucleotide</v>
      </c>
    </row>
    <row r="680" spans="1:27" x14ac:dyDescent="0.35">
      <c r="A680">
        <v>1000961</v>
      </c>
      <c r="B680">
        <v>679</v>
      </c>
      <c r="C680">
        <v>1</v>
      </c>
      <c r="D680" s="17" t="s">
        <v>155</v>
      </c>
      <c r="E680" s="17"/>
      <c r="F680" s="17" t="s">
        <v>156</v>
      </c>
      <c r="G680" s="17"/>
      <c r="H680" s="17" t="s">
        <v>692</v>
      </c>
      <c r="I680" s="17"/>
      <c r="J680" s="17" t="s">
        <v>693</v>
      </c>
      <c r="K680" s="17"/>
      <c r="L680" s="17"/>
      <c r="M680" s="17"/>
      <c r="N680" s="17" t="s">
        <v>6460</v>
      </c>
      <c r="O680" s="17" t="s">
        <v>7043</v>
      </c>
      <c r="P680" s="17" t="s">
        <v>7197</v>
      </c>
      <c r="Q680" s="17"/>
      <c r="R680" s="25" t="str">
        <f>HYPERLINK("https://ictv.global/taxonomy/taxondetails?taxnode_id=202308357","Phutvirus PPpW4")</f>
        <v>Phutvirus PPpW4</v>
      </c>
      <c r="S680" s="18" t="s">
        <v>30</v>
      </c>
      <c r="T680" s="18" t="s">
        <v>7198</v>
      </c>
      <c r="U680" s="18"/>
      <c r="V680" s="18"/>
      <c r="W680" s="18" t="s">
        <v>7199</v>
      </c>
      <c r="X680" s="18" t="s">
        <v>42</v>
      </c>
      <c r="Y680" s="18" t="s">
        <v>36</v>
      </c>
      <c r="Z680" s="18" t="s">
        <v>697</v>
      </c>
      <c r="AA680" s="21" t="str">
        <f>HYPERLINK("https://www.ncbi.nlm.nih.gov/nuccore/AB775549","NCBI Nucleotide")</f>
        <v>NCBI Nucleotide</v>
      </c>
    </row>
    <row r="681" spans="1:27" x14ac:dyDescent="0.35">
      <c r="A681">
        <v>1000962</v>
      </c>
      <c r="B681">
        <v>680</v>
      </c>
      <c r="C681">
        <v>1</v>
      </c>
      <c r="D681" s="17" t="s">
        <v>155</v>
      </c>
      <c r="E681" s="17"/>
      <c r="F681" s="17" t="s">
        <v>156</v>
      </c>
      <c r="G681" s="17"/>
      <c r="H681" s="17" t="s">
        <v>692</v>
      </c>
      <c r="I681" s="17"/>
      <c r="J681" s="17" t="s">
        <v>693</v>
      </c>
      <c r="K681" s="17"/>
      <c r="L681" s="17"/>
      <c r="M681" s="17"/>
      <c r="N681" s="17" t="s">
        <v>6460</v>
      </c>
      <c r="O681" s="17" t="s">
        <v>7043</v>
      </c>
      <c r="P681" s="17" t="s">
        <v>7200</v>
      </c>
      <c r="Q681" s="17"/>
      <c r="R681" s="25" t="str">
        <f>HYPERLINK("https://ictv.global/taxonomy/taxondetails?taxnode_id=202308362","Pifdecavirus IBBPF7A")</f>
        <v>Pifdecavirus IBBPF7A</v>
      </c>
      <c r="S681" s="18" t="s">
        <v>30</v>
      </c>
      <c r="T681" s="18" t="s">
        <v>7201</v>
      </c>
      <c r="U681" s="18"/>
      <c r="V681" s="18"/>
      <c r="W681" s="18" t="s">
        <v>7202</v>
      </c>
      <c r="X681" s="18" t="s">
        <v>42</v>
      </c>
      <c r="Y681" s="18" t="s">
        <v>36</v>
      </c>
      <c r="Z681" s="18" t="s">
        <v>697</v>
      </c>
      <c r="AA681" s="21" t="str">
        <f>HYPERLINK("https://www.ncbi.nlm.nih.gov/nuccore/GU583987","NCBI Nucleotide")</f>
        <v>NCBI Nucleotide</v>
      </c>
    </row>
    <row r="682" spans="1:27" x14ac:dyDescent="0.35">
      <c r="A682">
        <v>1000963</v>
      </c>
      <c r="B682">
        <v>681</v>
      </c>
      <c r="C682">
        <v>1</v>
      </c>
      <c r="D682" s="17" t="s">
        <v>155</v>
      </c>
      <c r="E682" s="17"/>
      <c r="F682" s="17" t="s">
        <v>156</v>
      </c>
      <c r="G682" s="17"/>
      <c r="H682" s="17" t="s">
        <v>692</v>
      </c>
      <c r="I682" s="17"/>
      <c r="J682" s="17" t="s">
        <v>693</v>
      </c>
      <c r="K682" s="17"/>
      <c r="L682" s="17"/>
      <c r="M682" s="17"/>
      <c r="N682" s="17" t="s">
        <v>6460</v>
      </c>
      <c r="O682" s="17" t="s">
        <v>7043</v>
      </c>
      <c r="P682" s="17" t="s">
        <v>7200</v>
      </c>
      <c r="Q682" s="17"/>
      <c r="R682" s="25" t="str">
        <f>HYPERLINK("https://ictv.global/taxonomy/taxondetails?taxnode_id=202308361","Pifdecavirus Pf10")</f>
        <v>Pifdecavirus Pf10</v>
      </c>
      <c r="S682" s="18" t="s">
        <v>30</v>
      </c>
      <c r="T682" s="18" t="s">
        <v>7203</v>
      </c>
      <c r="U682" s="18"/>
      <c r="V682" s="18"/>
      <c r="W682" s="18" t="s">
        <v>7204</v>
      </c>
      <c r="X682" s="18" t="s">
        <v>42</v>
      </c>
      <c r="Y682" s="18" t="s">
        <v>36</v>
      </c>
      <c r="Z682" s="18" t="s">
        <v>697</v>
      </c>
      <c r="AA682" s="21" t="str">
        <f>HYPERLINK("https://www.ncbi.nlm.nih.gov/nuccore/KP025626","NCBI Nucleotide")</f>
        <v>NCBI Nucleotide</v>
      </c>
    </row>
    <row r="683" spans="1:27" x14ac:dyDescent="0.35">
      <c r="A683">
        <v>1000964</v>
      </c>
      <c r="B683">
        <v>682</v>
      </c>
      <c r="C683">
        <v>1</v>
      </c>
      <c r="D683" s="17" t="s">
        <v>155</v>
      </c>
      <c r="E683" s="17"/>
      <c r="F683" s="17" t="s">
        <v>156</v>
      </c>
      <c r="G683" s="17"/>
      <c r="H683" s="17" t="s">
        <v>692</v>
      </c>
      <c r="I683" s="17"/>
      <c r="J683" s="17" t="s">
        <v>693</v>
      </c>
      <c r="K683" s="17"/>
      <c r="L683" s="17"/>
      <c r="M683" s="17"/>
      <c r="N683" s="17" t="s">
        <v>6460</v>
      </c>
      <c r="O683" s="17" t="s">
        <v>7043</v>
      </c>
      <c r="P683" s="17" t="s">
        <v>7200</v>
      </c>
      <c r="Q683" s="17"/>
      <c r="R683" s="25" t="str">
        <f>HYPERLINK("https://ictv.global/taxonomy/taxondetails?taxnode_id=202308366","Pifdecavirus PFP1")</f>
        <v>Pifdecavirus PFP1</v>
      </c>
      <c r="S683" s="18" t="s">
        <v>30</v>
      </c>
      <c r="T683" s="18" t="s">
        <v>7205</v>
      </c>
      <c r="U683" s="18"/>
      <c r="V683" s="18"/>
      <c r="W683" s="18" t="s">
        <v>7206</v>
      </c>
      <c r="X683" s="18" t="s">
        <v>42</v>
      </c>
      <c r="Y683" s="18" t="s">
        <v>36</v>
      </c>
      <c r="Z683" s="18" t="s">
        <v>697</v>
      </c>
      <c r="AA683" s="21" t="str">
        <f>HYPERLINK("https://www.ncbi.nlm.nih.gov/nuccore/MH268168","NCBI Nucleotide")</f>
        <v>NCBI Nucleotide</v>
      </c>
    </row>
    <row r="684" spans="1:27" x14ac:dyDescent="0.35">
      <c r="A684">
        <v>1000965</v>
      </c>
      <c r="B684">
        <v>683</v>
      </c>
      <c r="C684">
        <v>1</v>
      </c>
      <c r="D684" s="17" t="s">
        <v>155</v>
      </c>
      <c r="E684" s="17"/>
      <c r="F684" s="17" t="s">
        <v>156</v>
      </c>
      <c r="G684" s="17"/>
      <c r="H684" s="17" t="s">
        <v>692</v>
      </c>
      <c r="I684" s="17"/>
      <c r="J684" s="17" t="s">
        <v>693</v>
      </c>
      <c r="K684" s="17"/>
      <c r="L684" s="17"/>
      <c r="M684" s="17"/>
      <c r="N684" s="17" t="s">
        <v>6460</v>
      </c>
      <c r="O684" s="17" t="s">
        <v>7043</v>
      </c>
      <c r="P684" s="17" t="s">
        <v>7200</v>
      </c>
      <c r="Q684" s="17"/>
      <c r="R684" s="25" t="str">
        <f>HYPERLINK("https://ictv.global/taxonomy/taxondetails?taxnode_id=202308363","Pifdecavirus PhiS1")</f>
        <v>Pifdecavirus PhiS1</v>
      </c>
      <c r="S684" s="18" t="s">
        <v>30</v>
      </c>
      <c r="T684" s="18" t="s">
        <v>7207</v>
      </c>
      <c r="U684" s="18"/>
      <c r="V684" s="18"/>
      <c r="W684" s="18" t="s">
        <v>7208</v>
      </c>
      <c r="X684" s="18" t="s">
        <v>42</v>
      </c>
      <c r="Y684" s="18" t="s">
        <v>36</v>
      </c>
      <c r="Z684" s="18" t="s">
        <v>697</v>
      </c>
      <c r="AA684" s="21" t="str">
        <f>HYPERLINK("https://www.ncbi.nlm.nih.gov/nuccore/JX173487","NCBI Nucleotide")</f>
        <v>NCBI Nucleotide</v>
      </c>
    </row>
    <row r="685" spans="1:27" x14ac:dyDescent="0.35">
      <c r="A685">
        <v>1000966</v>
      </c>
      <c r="B685">
        <v>684</v>
      </c>
      <c r="C685">
        <v>1</v>
      </c>
      <c r="D685" s="17" t="s">
        <v>155</v>
      </c>
      <c r="E685" s="17"/>
      <c r="F685" s="17" t="s">
        <v>156</v>
      </c>
      <c r="G685" s="17"/>
      <c r="H685" s="17" t="s">
        <v>692</v>
      </c>
      <c r="I685" s="17"/>
      <c r="J685" s="17" t="s">
        <v>693</v>
      </c>
      <c r="K685" s="17"/>
      <c r="L685" s="17"/>
      <c r="M685" s="17"/>
      <c r="N685" s="17" t="s">
        <v>6460</v>
      </c>
      <c r="O685" s="17" t="s">
        <v>7043</v>
      </c>
      <c r="P685" s="17" t="s">
        <v>7200</v>
      </c>
      <c r="Q685" s="17"/>
      <c r="R685" s="25" t="str">
        <f>HYPERLINK("https://ictv.global/taxonomy/taxondetails?taxnode_id=202308365","Pifdecavirus pv22PfluR64PP")</f>
        <v>Pifdecavirus pv22PfluR64PP</v>
      </c>
      <c r="S685" s="18" t="s">
        <v>30</v>
      </c>
      <c r="T685" s="18" t="s">
        <v>7209</v>
      </c>
      <c r="U685" s="18"/>
      <c r="V685" s="18"/>
      <c r="W685" s="18" t="s">
        <v>7210</v>
      </c>
      <c r="X685" s="18" t="s">
        <v>42</v>
      </c>
      <c r="Y685" s="18" t="s">
        <v>36</v>
      </c>
      <c r="Z685" s="18" t="s">
        <v>697</v>
      </c>
      <c r="AA685" s="21" t="str">
        <f>HYPERLINK("https://www.ncbi.nlm.nih.gov/nuccore/MH179472","NCBI Nucleotide")</f>
        <v>NCBI Nucleotide</v>
      </c>
    </row>
    <row r="686" spans="1:27" x14ac:dyDescent="0.35">
      <c r="A686">
        <v>1000967</v>
      </c>
      <c r="B686">
        <v>685</v>
      </c>
      <c r="C686">
        <v>1</v>
      </c>
      <c r="D686" s="17" t="s">
        <v>155</v>
      </c>
      <c r="E686" s="17"/>
      <c r="F686" s="17" t="s">
        <v>156</v>
      </c>
      <c r="G686" s="17"/>
      <c r="H686" s="17" t="s">
        <v>692</v>
      </c>
      <c r="I686" s="17"/>
      <c r="J686" s="17" t="s">
        <v>693</v>
      </c>
      <c r="K686" s="17"/>
      <c r="L686" s="17"/>
      <c r="M686" s="17"/>
      <c r="N686" s="17" t="s">
        <v>6460</v>
      </c>
      <c r="O686" s="17" t="s">
        <v>7043</v>
      </c>
      <c r="P686" s="17" t="s">
        <v>7200</v>
      </c>
      <c r="Q686" s="17"/>
      <c r="R686" s="25" t="str">
        <f>HYPERLINK("https://ictv.global/taxonomy/taxondetails?taxnode_id=202308364","Pifdecavirus UNOSLW1")</f>
        <v>Pifdecavirus UNOSLW1</v>
      </c>
      <c r="S686" s="18" t="s">
        <v>30</v>
      </c>
      <c r="T686" s="18" t="s">
        <v>7211</v>
      </c>
      <c r="U686" s="18"/>
      <c r="V686" s="18"/>
      <c r="W686" s="18" t="s">
        <v>7212</v>
      </c>
      <c r="X686" s="18" t="s">
        <v>42</v>
      </c>
      <c r="Y686" s="18" t="s">
        <v>36</v>
      </c>
      <c r="Z686" s="18" t="s">
        <v>697</v>
      </c>
      <c r="AA686" s="21" t="str">
        <f>HYPERLINK("https://www.ncbi.nlm.nih.gov/nuccore/KX431888","NCBI Nucleotide")</f>
        <v>NCBI Nucleotide</v>
      </c>
    </row>
    <row r="687" spans="1:27" x14ac:dyDescent="0.35">
      <c r="A687">
        <v>1000968</v>
      </c>
      <c r="B687">
        <v>686</v>
      </c>
      <c r="C687">
        <v>1</v>
      </c>
      <c r="D687" s="17" t="s">
        <v>155</v>
      </c>
      <c r="E687" s="17"/>
      <c r="F687" s="17" t="s">
        <v>156</v>
      </c>
      <c r="G687" s="17"/>
      <c r="H687" s="17" t="s">
        <v>692</v>
      </c>
      <c r="I687" s="17"/>
      <c r="J687" s="17" t="s">
        <v>693</v>
      </c>
      <c r="K687" s="17"/>
      <c r="L687" s="17"/>
      <c r="M687" s="17"/>
      <c r="N687" s="17" t="s">
        <v>6460</v>
      </c>
      <c r="O687" s="17" t="s">
        <v>7043</v>
      </c>
      <c r="P687" s="17" t="s">
        <v>7213</v>
      </c>
      <c r="Q687" s="17"/>
      <c r="R687" s="25" t="str">
        <f>HYPERLINK("https://ictv.global/taxonomy/taxondetails?taxnode_id=202308355","Pijolavirus PspYZU08")</f>
        <v>Pijolavirus PspYZU08</v>
      </c>
      <c r="S687" s="18" t="s">
        <v>30</v>
      </c>
      <c r="T687" s="18" t="s">
        <v>7214</v>
      </c>
      <c r="U687" s="18"/>
      <c r="V687" s="18"/>
      <c r="W687" s="18" t="s">
        <v>7215</v>
      </c>
      <c r="X687" s="18" t="s">
        <v>42</v>
      </c>
      <c r="Y687" s="18" t="s">
        <v>36</v>
      </c>
      <c r="Z687" s="18" t="s">
        <v>697</v>
      </c>
      <c r="AA687" s="21" t="str">
        <f>HYPERLINK("https://www.ncbi.nlm.nih.gov/nuccore/KY971611","NCBI Nucleotide")</f>
        <v>NCBI Nucleotide</v>
      </c>
    </row>
    <row r="688" spans="1:27" x14ac:dyDescent="0.35">
      <c r="A688">
        <v>1000969</v>
      </c>
      <c r="B688">
        <v>687</v>
      </c>
      <c r="C688">
        <v>1</v>
      </c>
      <c r="D688" s="17" t="s">
        <v>155</v>
      </c>
      <c r="E688" s="17"/>
      <c r="F688" s="17" t="s">
        <v>156</v>
      </c>
      <c r="G688" s="17"/>
      <c r="H688" s="17" t="s">
        <v>692</v>
      </c>
      <c r="I688" s="17"/>
      <c r="J688" s="17" t="s">
        <v>693</v>
      </c>
      <c r="K688" s="17"/>
      <c r="L688" s="17"/>
      <c r="M688" s="17"/>
      <c r="N688" s="17" t="s">
        <v>6460</v>
      </c>
      <c r="O688" s="17" t="s">
        <v>7043</v>
      </c>
      <c r="P688" s="17" t="s">
        <v>7216</v>
      </c>
      <c r="Q688" s="17"/>
      <c r="R688" s="25" t="str">
        <f>HYPERLINK("https://ictv.global/taxonomy/taxondetails?taxnode_id=202308439","Przondovirus 2044307w")</f>
        <v>Przondovirus 2044307w</v>
      </c>
      <c r="S688" s="18" t="s">
        <v>30</v>
      </c>
      <c r="T688" s="18" t="s">
        <v>7217</v>
      </c>
      <c r="U688" s="18"/>
      <c r="V688" s="18"/>
      <c r="W688" s="18" t="s">
        <v>7218</v>
      </c>
      <c r="X688" s="18" t="s">
        <v>42</v>
      </c>
      <c r="Y688" s="18" t="s">
        <v>36</v>
      </c>
      <c r="Z688" s="18" t="s">
        <v>697</v>
      </c>
      <c r="AA688" s="21" t="str">
        <f>HYPERLINK("https://www.ncbi.nlm.nih.gov/nuccore/MF285615","NCBI Nucleotide")</f>
        <v>NCBI Nucleotide</v>
      </c>
    </row>
    <row r="689" spans="1:27" x14ac:dyDescent="0.35">
      <c r="A689">
        <v>1024782</v>
      </c>
      <c r="B689">
        <v>688</v>
      </c>
      <c r="C689">
        <v>1</v>
      </c>
      <c r="D689" s="17" t="s">
        <v>155</v>
      </c>
      <c r="E689" s="17"/>
      <c r="F689" s="17" t="s">
        <v>156</v>
      </c>
      <c r="G689" s="17"/>
      <c r="H689" s="17" t="s">
        <v>692</v>
      </c>
      <c r="I689" s="17"/>
      <c r="J689" s="17" t="s">
        <v>693</v>
      </c>
      <c r="K689" s="17"/>
      <c r="L689" s="17"/>
      <c r="M689" s="17"/>
      <c r="N689" s="17" t="s">
        <v>6460</v>
      </c>
      <c r="O689" s="17" t="s">
        <v>7043</v>
      </c>
      <c r="P689" s="17" t="s">
        <v>7216</v>
      </c>
      <c r="Q689" s="17"/>
      <c r="R689" s="25" t="str">
        <f>HYPERLINK("https://ictv.global/taxonomy/taxondetails?taxnode_id=202319240","Przondovirus amrap")</f>
        <v>Przondovirus amrap</v>
      </c>
      <c r="S689" s="18" t="s">
        <v>30</v>
      </c>
      <c r="T689" s="18" t="s">
        <v>39007</v>
      </c>
      <c r="U689" s="18" t="s">
        <v>39008</v>
      </c>
      <c r="V689" s="18"/>
      <c r="W689" s="18" t="s">
        <v>39009</v>
      </c>
      <c r="X689" s="18" t="s">
        <v>42</v>
      </c>
      <c r="Y689" s="18" t="s">
        <v>36</v>
      </c>
      <c r="Z689" s="18" t="s">
        <v>697</v>
      </c>
      <c r="AA689" s="21" t="str">
        <f>HYPERLINK("https://www.ncbi.nlm.nih.gov/nuccore/OQ579031","NCBI Nucleotide")</f>
        <v>NCBI Nucleotide</v>
      </c>
    </row>
    <row r="690" spans="1:27" x14ac:dyDescent="0.35">
      <c r="A690">
        <v>1000970</v>
      </c>
      <c r="B690">
        <v>689</v>
      </c>
      <c r="C690">
        <v>1</v>
      </c>
      <c r="D690" s="17" t="s">
        <v>155</v>
      </c>
      <c r="E690" s="17"/>
      <c r="F690" s="17" t="s">
        <v>156</v>
      </c>
      <c r="G690" s="17"/>
      <c r="H690" s="17" t="s">
        <v>692</v>
      </c>
      <c r="I690" s="17"/>
      <c r="J690" s="17" t="s">
        <v>693</v>
      </c>
      <c r="K690" s="17"/>
      <c r="L690" s="17"/>
      <c r="M690" s="17"/>
      <c r="N690" s="17" t="s">
        <v>6460</v>
      </c>
      <c r="O690" s="17" t="s">
        <v>7043</v>
      </c>
      <c r="P690" s="17" t="s">
        <v>7216</v>
      </c>
      <c r="Q690" s="17"/>
      <c r="R690" s="25" t="str">
        <f>HYPERLINK("https://ictv.global/taxonomy/taxondetails?taxnode_id=202308438","Przondovirus BIS33")</f>
        <v>Przondovirus BIS33</v>
      </c>
      <c r="S690" s="18" t="s">
        <v>30</v>
      </c>
      <c r="T690" s="18" t="s">
        <v>7219</v>
      </c>
      <c r="U690" s="18"/>
      <c r="V690" s="18"/>
      <c r="W690" s="18" t="s">
        <v>7220</v>
      </c>
      <c r="X690" s="18" t="s">
        <v>42</v>
      </c>
      <c r="Y690" s="18" t="s">
        <v>36</v>
      </c>
      <c r="Z690" s="18" t="s">
        <v>697</v>
      </c>
      <c r="AA690" s="21" t="str">
        <f>HYPERLINK("https://www.ncbi.nlm.nih.gov/nuccore/KY652725","NCBI Nucleotide")</f>
        <v>NCBI Nucleotide</v>
      </c>
    </row>
    <row r="691" spans="1:27" x14ac:dyDescent="0.35">
      <c r="A691">
        <v>1024783</v>
      </c>
      <c r="B691">
        <v>690</v>
      </c>
      <c r="C691">
        <v>1</v>
      </c>
      <c r="D691" s="17" t="s">
        <v>155</v>
      </c>
      <c r="E691" s="17"/>
      <c r="F691" s="17" t="s">
        <v>156</v>
      </c>
      <c r="G691" s="17"/>
      <c r="H691" s="17" t="s">
        <v>692</v>
      </c>
      <c r="I691" s="17"/>
      <c r="J691" s="17" t="s">
        <v>693</v>
      </c>
      <c r="K691" s="17"/>
      <c r="L691" s="17"/>
      <c r="M691" s="17"/>
      <c r="N691" s="17" t="s">
        <v>6460</v>
      </c>
      <c r="O691" s="17" t="s">
        <v>7043</v>
      </c>
      <c r="P691" s="17" t="s">
        <v>7216</v>
      </c>
      <c r="Q691" s="17"/>
      <c r="R691" s="25" t="str">
        <f>HYPERLINK("https://ictv.global/taxonomy/taxondetails?taxnode_id=202319239","Przondovirus emom")</f>
        <v>Przondovirus emom</v>
      </c>
      <c r="S691" s="18" t="s">
        <v>30</v>
      </c>
      <c r="T691" s="18" t="s">
        <v>39010</v>
      </c>
      <c r="U691" s="18" t="s">
        <v>39011</v>
      </c>
      <c r="V691" s="18"/>
      <c r="W691" s="18" t="s">
        <v>39012</v>
      </c>
      <c r="X691" s="18" t="s">
        <v>42</v>
      </c>
      <c r="Y691" s="18" t="s">
        <v>36</v>
      </c>
      <c r="Z691" s="18" t="s">
        <v>697</v>
      </c>
      <c r="AA691" s="21" t="str">
        <f>HYPERLINK("https://www.ncbi.nlm.nih.gov/nuccore/OQ579030","NCBI Nucleotide")</f>
        <v>NCBI Nucleotide</v>
      </c>
    </row>
    <row r="692" spans="1:27" x14ac:dyDescent="0.35">
      <c r="A692">
        <v>1000971</v>
      </c>
      <c r="B692">
        <v>691</v>
      </c>
      <c r="C692">
        <v>1</v>
      </c>
      <c r="D692" s="17" t="s">
        <v>155</v>
      </c>
      <c r="E692" s="17"/>
      <c r="F692" s="17" t="s">
        <v>156</v>
      </c>
      <c r="G692" s="17"/>
      <c r="H692" s="17" t="s">
        <v>692</v>
      </c>
      <c r="I692" s="17"/>
      <c r="J692" s="17" t="s">
        <v>693</v>
      </c>
      <c r="K692" s="17"/>
      <c r="L692" s="17"/>
      <c r="M692" s="17"/>
      <c r="N692" s="17" t="s">
        <v>6460</v>
      </c>
      <c r="O692" s="17" t="s">
        <v>7043</v>
      </c>
      <c r="P692" s="17" t="s">
        <v>7216</v>
      </c>
      <c r="Q692" s="17"/>
      <c r="R692" s="25" t="str">
        <f>HYPERLINK("https://ictv.global/taxonomy/taxondetails?taxnode_id=202308447","Przondovirus henu1")</f>
        <v>Przondovirus henu1</v>
      </c>
      <c r="S692" s="18" t="s">
        <v>30</v>
      </c>
      <c r="T692" s="18" t="s">
        <v>7221</v>
      </c>
      <c r="U692" s="18"/>
      <c r="V692" s="18"/>
      <c r="W692" s="18" t="s">
        <v>7222</v>
      </c>
      <c r="X692" s="18" t="s">
        <v>42</v>
      </c>
      <c r="Y692" s="18" t="s">
        <v>36</v>
      </c>
      <c r="Z692" s="18" t="s">
        <v>697</v>
      </c>
      <c r="AA692" s="21" t="str">
        <f>HYPERLINK("https://www.ncbi.nlm.nih.gov/nuccore/MK203841","NCBI Nucleotide")</f>
        <v>NCBI Nucleotide</v>
      </c>
    </row>
    <row r="693" spans="1:27" x14ac:dyDescent="0.35">
      <c r="A693">
        <v>1000972</v>
      </c>
      <c r="B693">
        <v>692</v>
      </c>
      <c r="C693">
        <v>1</v>
      </c>
      <c r="D693" s="17" t="s">
        <v>155</v>
      </c>
      <c r="E693" s="17"/>
      <c r="F693" s="17" t="s">
        <v>156</v>
      </c>
      <c r="G693" s="17"/>
      <c r="H693" s="17" t="s">
        <v>692</v>
      </c>
      <c r="I693" s="17"/>
      <c r="J693" s="17" t="s">
        <v>693</v>
      </c>
      <c r="K693" s="17"/>
      <c r="L693" s="17"/>
      <c r="M693" s="17"/>
      <c r="N693" s="17" t="s">
        <v>6460</v>
      </c>
      <c r="O693" s="17" t="s">
        <v>7043</v>
      </c>
      <c r="P693" s="17" t="s">
        <v>7216</v>
      </c>
      <c r="Q693" s="17"/>
      <c r="R693" s="25" t="str">
        <f>HYPERLINK("https://ictv.global/taxonomy/taxondetails?taxnode_id=202308437","Przondovirus IL33")</f>
        <v>Przondovirus IL33</v>
      </c>
      <c r="S693" s="18" t="s">
        <v>30</v>
      </c>
      <c r="T693" s="18" t="s">
        <v>7223</v>
      </c>
      <c r="U693" s="18"/>
      <c r="V693" s="18"/>
      <c r="W693" s="18" t="s">
        <v>7224</v>
      </c>
      <c r="X693" s="18" t="s">
        <v>42</v>
      </c>
      <c r="Y693" s="18" t="s">
        <v>36</v>
      </c>
      <c r="Z693" s="18" t="s">
        <v>697</v>
      </c>
      <c r="AA693" s="21" t="str">
        <f>HYPERLINK("https://www.ncbi.nlm.nih.gov/nuccore/KY652724","NCBI Nucleotide")</f>
        <v>NCBI Nucleotide</v>
      </c>
    </row>
    <row r="694" spans="1:27" x14ac:dyDescent="0.35">
      <c r="A694">
        <v>1000973</v>
      </c>
      <c r="B694">
        <v>693</v>
      </c>
      <c r="C694">
        <v>1</v>
      </c>
      <c r="D694" s="17" t="s">
        <v>155</v>
      </c>
      <c r="E694" s="17"/>
      <c r="F694" s="17" t="s">
        <v>156</v>
      </c>
      <c r="G694" s="17"/>
      <c r="H694" s="17" t="s">
        <v>692</v>
      </c>
      <c r="I694" s="17"/>
      <c r="J694" s="17" t="s">
        <v>693</v>
      </c>
      <c r="K694" s="17"/>
      <c r="L694" s="17"/>
      <c r="M694" s="17"/>
      <c r="N694" s="17" t="s">
        <v>6460</v>
      </c>
      <c r="O694" s="17" t="s">
        <v>7043</v>
      </c>
      <c r="P694" s="17" t="s">
        <v>7216</v>
      </c>
      <c r="Q694" s="17"/>
      <c r="R694" s="25" t="str">
        <f>HYPERLINK("https://ictv.global/taxonomy/taxondetails?taxnode_id=202308430","Przondovirus IME205")</f>
        <v>Przondovirus IME205</v>
      </c>
      <c r="S694" s="18" t="s">
        <v>30</v>
      </c>
      <c r="T694" s="18" t="s">
        <v>7225</v>
      </c>
      <c r="U694" s="18"/>
      <c r="V694" s="18"/>
      <c r="W694" s="18" t="s">
        <v>7226</v>
      </c>
      <c r="X694" s="18" t="s">
        <v>42</v>
      </c>
      <c r="Y694" s="18" t="s">
        <v>36</v>
      </c>
      <c r="Z694" s="18" t="s">
        <v>697</v>
      </c>
      <c r="AA694" s="21" t="str">
        <f>HYPERLINK("https://www.ncbi.nlm.nih.gov/nuccore/KU183006","NCBI Nucleotide")</f>
        <v>NCBI Nucleotide</v>
      </c>
    </row>
    <row r="695" spans="1:27" x14ac:dyDescent="0.35">
      <c r="A695">
        <v>1000974</v>
      </c>
      <c r="B695">
        <v>694</v>
      </c>
      <c r="C695">
        <v>1</v>
      </c>
      <c r="D695" s="17" t="s">
        <v>155</v>
      </c>
      <c r="E695" s="17"/>
      <c r="F695" s="17" t="s">
        <v>156</v>
      </c>
      <c r="G695" s="17"/>
      <c r="H695" s="17" t="s">
        <v>692</v>
      </c>
      <c r="I695" s="17"/>
      <c r="J695" s="17" t="s">
        <v>693</v>
      </c>
      <c r="K695" s="17"/>
      <c r="L695" s="17"/>
      <c r="M695" s="17"/>
      <c r="N695" s="17" t="s">
        <v>6460</v>
      </c>
      <c r="O695" s="17" t="s">
        <v>7043</v>
      </c>
      <c r="P695" s="17" t="s">
        <v>7216</v>
      </c>
      <c r="Q695" s="17"/>
      <c r="R695" s="25" t="str">
        <f>HYPERLINK("https://ictv.global/taxonomy/taxondetails?taxnode_id=202308445","Przondovirus IME321")</f>
        <v>Przondovirus IME321</v>
      </c>
      <c r="S695" s="18" t="s">
        <v>30</v>
      </c>
      <c r="T695" s="18" t="s">
        <v>7227</v>
      </c>
      <c r="U695" s="18"/>
      <c r="V695" s="18"/>
      <c r="W695" s="18" t="s">
        <v>7228</v>
      </c>
      <c r="X695" s="18" t="s">
        <v>42</v>
      </c>
      <c r="Y695" s="18" t="s">
        <v>36</v>
      </c>
      <c r="Z695" s="18" t="s">
        <v>697</v>
      </c>
      <c r="AA695" s="21" t="str">
        <f>HYPERLINK("https://www.ncbi.nlm.nih.gov/nuccore/MH587638","NCBI Nucleotide")</f>
        <v>NCBI Nucleotide</v>
      </c>
    </row>
    <row r="696" spans="1:27" x14ac:dyDescent="0.35">
      <c r="A696">
        <v>1000977</v>
      </c>
      <c r="B696">
        <v>695</v>
      </c>
      <c r="C696">
        <v>1</v>
      </c>
      <c r="D696" s="17" t="s">
        <v>155</v>
      </c>
      <c r="E696" s="17"/>
      <c r="F696" s="17" t="s">
        <v>156</v>
      </c>
      <c r="G696" s="17"/>
      <c r="H696" s="17" t="s">
        <v>692</v>
      </c>
      <c r="I696" s="17"/>
      <c r="J696" s="17" t="s">
        <v>693</v>
      </c>
      <c r="K696" s="17"/>
      <c r="L696" s="17"/>
      <c r="M696" s="17"/>
      <c r="N696" s="17" t="s">
        <v>6460</v>
      </c>
      <c r="O696" s="17" t="s">
        <v>7043</v>
      </c>
      <c r="P696" s="17" t="s">
        <v>7216</v>
      </c>
      <c r="Q696" s="17"/>
      <c r="R696" s="25" t="str">
        <f>HYPERLINK("https://ictv.global/taxonomy/taxondetails?taxnode_id=202300552","Przondovirus K5")</f>
        <v>Przondovirus K5</v>
      </c>
      <c r="S696" s="18" t="s">
        <v>30</v>
      </c>
      <c r="T696" s="18" t="s">
        <v>7233</v>
      </c>
      <c r="U696" s="18"/>
      <c r="V696" s="18"/>
      <c r="W696" s="18" t="s">
        <v>7234</v>
      </c>
      <c r="X696" s="18" t="s">
        <v>42</v>
      </c>
      <c r="Y696" s="18" t="s">
        <v>36</v>
      </c>
      <c r="Z696" s="18" t="s">
        <v>697</v>
      </c>
      <c r="AA696" s="21" t="str">
        <f>HYPERLINK("https://www.ncbi.nlm.nih.gov/nuccore/KR149291","NCBI Nucleotide")</f>
        <v>NCBI Nucleotide</v>
      </c>
    </row>
    <row r="697" spans="1:27" x14ac:dyDescent="0.35">
      <c r="A697">
        <v>1000975</v>
      </c>
      <c r="B697">
        <v>696</v>
      </c>
      <c r="C697">
        <v>1</v>
      </c>
      <c r="D697" s="17" t="s">
        <v>155</v>
      </c>
      <c r="E697" s="17"/>
      <c r="F697" s="17" t="s">
        <v>156</v>
      </c>
      <c r="G697" s="17"/>
      <c r="H697" s="17" t="s">
        <v>692</v>
      </c>
      <c r="I697" s="17"/>
      <c r="J697" s="17" t="s">
        <v>693</v>
      </c>
      <c r="K697" s="17"/>
      <c r="L697" s="17"/>
      <c r="M697" s="17"/>
      <c r="N697" s="17" t="s">
        <v>6460</v>
      </c>
      <c r="O697" s="17" t="s">
        <v>7043</v>
      </c>
      <c r="P697" s="17" t="s">
        <v>7216</v>
      </c>
      <c r="Q697" s="17"/>
      <c r="R697" s="25" t="str">
        <f>HYPERLINK("https://ictv.global/taxonomy/taxondetails?taxnode_id=202300553","Przondovirus K11")</f>
        <v>Przondovirus K11</v>
      </c>
      <c r="S697" s="18" t="s">
        <v>30</v>
      </c>
      <c r="T697" s="18" t="s">
        <v>7229</v>
      </c>
      <c r="U697" s="18"/>
      <c r="V697" s="18"/>
      <c r="W697" s="18" t="s">
        <v>7230</v>
      </c>
      <c r="X697" s="18" t="s">
        <v>42</v>
      </c>
      <c r="Y697" s="18" t="s">
        <v>36</v>
      </c>
      <c r="Z697" s="18" t="s">
        <v>697</v>
      </c>
      <c r="AA697" s="21" t="str">
        <f>HYPERLINK("https://www.ncbi.nlm.nih.gov/nuccore/EU734173","NCBI Nucleotide")</f>
        <v>NCBI Nucleotide</v>
      </c>
    </row>
    <row r="698" spans="1:27" x14ac:dyDescent="0.35">
      <c r="A698">
        <v>1000976</v>
      </c>
      <c r="B698">
        <v>697</v>
      </c>
      <c r="C698">
        <v>1</v>
      </c>
      <c r="D698" s="17" t="s">
        <v>155</v>
      </c>
      <c r="E698" s="17"/>
      <c r="F698" s="17" t="s">
        <v>156</v>
      </c>
      <c r="G698" s="17"/>
      <c r="H698" s="17" t="s">
        <v>692</v>
      </c>
      <c r="I698" s="17"/>
      <c r="J698" s="17" t="s">
        <v>693</v>
      </c>
      <c r="K698" s="17"/>
      <c r="L698" s="17"/>
      <c r="M698" s="17"/>
      <c r="N698" s="17" t="s">
        <v>6460</v>
      </c>
      <c r="O698" s="17" t="s">
        <v>7043</v>
      </c>
      <c r="P698" s="17" t="s">
        <v>7216</v>
      </c>
      <c r="Q698" s="17"/>
      <c r="R698" s="25" t="str">
        <f>HYPERLINK("https://ictv.global/taxonomy/taxondetails?taxnode_id=202300551","Przondovirus K30")</f>
        <v>Przondovirus K30</v>
      </c>
      <c r="S698" s="18" t="s">
        <v>30</v>
      </c>
      <c r="T698" s="18" t="s">
        <v>7231</v>
      </c>
      <c r="U698" s="18"/>
      <c r="V698" s="18"/>
      <c r="W698" s="18" t="s">
        <v>7232</v>
      </c>
      <c r="X698" s="18" t="s">
        <v>42</v>
      </c>
      <c r="Y698" s="18" t="s">
        <v>36</v>
      </c>
      <c r="Z698" s="18" t="s">
        <v>697</v>
      </c>
      <c r="AA698" s="21" t="str">
        <f>HYPERLINK("https://www.ncbi.nlm.nih.gov/nuccore/HM480846","NCBI Nucleotide")</f>
        <v>NCBI Nucleotide</v>
      </c>
    </row>
    <row r="699" spans="1:27" x14ac:dyDescent="0.35">
      <c r="A699">
        <v>1000978</v>
      </c>
      <c r="B699">
        <v>698</v>
      </c>
      <c r="C699">
        <v>1</v>
      </c>
      <c r="D699" s="17" t="s">
        <v>155</v>
      </c>
      <c r="E699" s="17"/>
      <c r="F699" s="17" t="s">
        <v>156</v>
      </c>
      <c r="G699" s="17"/>
      <c r="H699" s="17" t="s">
        <v>692</v>
      </c>
      <c r="I699" s="17"/>
      <c r="J699" s="17" t="s">
        <v>693</v>
      </c>
      <c r="K699" s="17"/>
      <c r="L699" s="17"/>
      <c r="M699" s="17"/>
      <c r="N699" s="17" t="s">
        <v>6460</v>
      </c>
      <c r="O699" s="17" t="s">
        <v>7043</v>
      </c>
      <c r="P699" s="17" t="s">
        <v>7216</v>
      </c>
      <c r="Q699" s="17"/>
      <c r="R699" s="25" t="str">
        <f>HYPERLINK("https://ictv.global/taxonomy/taxondetails?taxnode_id=202308434","Przondovirus K52")</f>
        <v>Przondovirus K52</v>
      </c>
      <c r="S699" s="18" t="s">
        <v>30</v>
      </c>
      <c r="T699" s="18" t="s">
        <v>7235</v>
      </c>
      <c r="U699" s="18"/>
      <c r="V699" s="18"/>
      <c r="W699" s="18" t="s">
        <v>7236</v>
      </c>
      <c r="X699" s="18" t="s">
        <v>42</v>
      </c>
      <c r="Y699" s="18" t="s">
        <v>36</v>
      </c>
      <c r="Z699" s="18" t="s">
        <v>697</v>
      </c>
      <c r="AA699" s="21" t="str">
        <f>HYPERLINK("https://www.ncbi.nlm.nih.gov/nuccore/KY389315","NCBI Nucleotide")</f>
        <v>NCBI Nucleotide</v>
      </c>
    </row>
    <row r="700" spans="1:27" x14ac:dyDescent="0.35">
      <c r="A700">
        <v>1000979</v>
      </c>
      <c r="B700">
        <v>699</v>
      </c>
      <c r="C700">
        <v>1</v>
      </c>
      <c r="D700" s="17" t="s">
        <v>155</v>
      </c>
      <c r="E700" s="17"/>
      <c r="F700" s="17" t="s">
        <v>156</v>
      </c>
      <c r="G700" s="17"/>
      <c r="H700" s="17" t="s">
        <v>692</v>
      </c>
      <c r="I700" s="17"/>
      <c r="J700" s="17" t="s">
        <v>693</v>
      </c>
      <c r="K700" s="17"/>
      <c r="L700" s="17"/>
      <c r="M700" s="17"/>
      <c r="N700" s="17" t="s">
        <v>6460</v>
      </c>
      <c r="O700" s="17" t="s">
        <v>7043</v>
      </c>
      <c r="P700" s="17" t="s">
        <v>7216</v>
      </c>
      <c r="Q700" s="17"/>
      <c r="R700" s="25" t="str">
        <f>HYPERLINK("https://ictv.global/taxonomy/taxondetails?taxnode_id=202308435","Przondovirus K54")</f>
        <v>Przondovirus K54</v>
      </c>
      <c r="S700" s="18" t="s">
        <v>30</v>
      </c>
      <c r="T700" s="18" t="s">
        <v>7237</v>
      </c>
      <c r="U700" s="18"/>
      <c r="V700" s="18"/>
      <c r="W700" s="18" t="s">
        <v>7238</v>
      </c>
      <c r="X700" s="18" t="s">
        <v>42</v>
      </c>
      <c r="Y700" s="18" t="s">
        <v>36</v>
      </c>
      <c r="Z700" s="18" t="s">
        <v>697</v>
      </c>
      <c r="AA700" s="21" t="str">
        <f>HYPERLINK("https://www.ncbi.nlm.nih.gov/nuccore/KY389316","NCBI Nucleotide")</f>
        <v>NCBI Nucleotide</v>
      </c>
    </row>
    <row r="701" spans="1:27" x14ac:dyDescent="0.35">
      <c r="A701">
        <v>1000980</v>
      </c>
      <c r="B701">
        <v>700</v>
      </c>
      <c r="C701">
        <v>1</v>
      </c>
      <c r="D701" s="17" t="s">
        <v>155</v>
      </c>
      <c r="E701" s="17"/>
      <c r="F701" s="17" t="s">
        <v>156</v>
      </c>
      <c r="G701" s="17"/>
      <c r="H701" s="17" t="s">
        <v>692</v>
      </c>
      <c r="I701" s="17"/>
      <c r="J701" s="17" t="s">
        <v>693</v>
      </c>
      <c r="K701" s="17"/>
      <c r="L701" s="17"/>
      <c r="M701" s="17"/>
      <c r="N701" s="17" t="s">
        <v>6460</v>
      </c>
      <c r="O701" s="17" t="s">
        <v>7043</v>
      </c>
      <c r="P701" s="17" t="s">
        <v>7216</v>
      </c>
      <c r="Q701" s="17"/>
      <c r="R701" s="25" t="str">
        <f>HYPERLINK("https://ictv.global/taxonomy/taxondetails?taxnode_id=202308450","Przondovirus KN11")</f>
        <v>Przondovirus KN11</v>
      </c>
      <c r="S701" s="18" t="s">
        <v>30</v>
      </c>
      <c r="T701" s="18" t="s">
        <v>7239</v>
      </c>
      <c r="U701" s="18"/>
      <c r="V701" s="18"/>
      <c r="W701" s="18" t="s">
        <v>7240</v>
      </c>
      <c r="X701" s="18" t="s">
        <v>42</v>
      </c>
      <c r="Y701" s="18" t="s">
        <v>36</v>
      </c>
      <c r="Z701" s="18" t="s">
        <v>697</v>
      </c>
      <c r="AA701" s="21" t="str">
        <f>HYPERLINK("https://www.ncbi.nlm.nih.gov/nuccore/LC413193","NCBI Nucleotide")</f>
        <v>NCBI Nucleotide</v>
      </c>
    </row>
    <row r="702" spans="1:27" x14ac:dyDescent="0.35">
      <c r="A702">
        <v>1000981</v>
      </c>
      <c r="B702">
        <v>701</v>
      </c>
      <c r="C702">
        <v>1</v>
      </c>
      <c r="D702" s="17" t="s">
        <v>155</v>
      </c>
      <c r="E702" s="17"/>
      <c r="F702" s="17" t="s">
        <v>156</v>
      </c>
      <c r="G702" s="17"/>
      <c r="H702" s="17" t="s">
        <v>692</v>
      </c>
      <c r="I702" s="17"/>
      <c r="J702" s="17" t="s">
        <v>693</v>
      </c>
      <c r="K702" s="17"/>
      <c r="L702" s="17"/>
      <c r="M702" s="17"/>
      <c r="N702" s="17" t="s">
        <v>6460</v>
      </c>
      <c r="O702" s="17" t="s">
        <v>7043</v>
      </c>
      <c r="P702" s="17" t="s">
        <v>7216</v>
      </c>
      <c r="Q702" s="17"/>
      <c r="R702" s="25" t="str">
        <f>HYPERLINK("https://ictv.global/taxonomy/taxondetails?taxnode_id=202308451","Przondovirus KN31")</f>
        <v>Przondovirus KN31</v>
      </c>
      <c r="S702" s="18" t="s">
        <v>30</v>
      </c>
      <c r="T702" s="18" t="s">
        <v>7241</v>
      </c>
      <c r="U702" s="18"/>
      <c r="V702" s="18"/>
      <c r="W702" s="18" t="s">
        <v>7242</v>
      </c>
      <c r="X702" s="18" t="s">
        <v>42</v>
      </c>
      <c r="Y702" s="18" t="s">
        <v>36</v>
      </c>
      <c r="Z702" s="18" t="s">
        <v>697</v>
      </c>
      <c r="AA702" s="21" t="str">
        <f>HYPERLINK("https://www.ncbi.nlm.nih.gov/nuccore/LC413194","NCBI Nucleotide")</f>
        <v>NCBI Nucleotide</v>
      </c>
    </row>
    <row r="703" spans="1:27" x14ac:dyDescent="0.35">
      <c r="A703">
        <v>1000982</v>
      </c>
      <c r="B703">
        <v>702</v>
      </c>
      <c r="C703">
        <v>1</v>
      </c>
      <c r="D703" s="17" t="s">
        <v>155</v>
      </c>
      <c r="E703" s="17"/>
      <c r="F703" s="17" t="s">
        <v>156</v>
      </c>
      <c r="G703" s="17"/>
      <c r="H703" s="17" t="s">
        <v>692</v>
      </c>
      <c r="I703" s="17"/>
      <c r="J703" s="17" t="s">
        <v>693</v>
      </c>
      <c r="K703" s="17"/>
      <c r="L703" s="17"/>
      <c r="M703" s="17"/>
      <c r="N703" s="17" t="s">
        <v>6460</v>
      </c>
      <c r="O703" s="17" t="s">
        <v>7043</v>
      </c>
      <c r="P703" s="17" t="s">
        <v>7216</v>
      </c>
      <c r="Q703" s="17"/>
      <c r="R703" s="25" t="str">
        <f>HYPERLINK("https://ictv.global/taxonomy/taxondetails?taxnode_id=202308452","Przondovirus KN41")</f>
        <v>Przondovirus KN41</v>
      </c>
      <c r="S703" s="18" t="s">
        <v>30</v>
      </c>
      <c r="T703" s="18" t="s">
        <v>7243</v>
      </c>
      <c r="U703" s="18"/>
      <c r="V703" s="18"/>
      <c r="W703" s="18" t="s">
        <v>7244</v>
      </c>
      <c r="X703" s="18" t="s">
        <v>42</v>
      </c>
      <c r="Y703" s="18" t="s">
        <v>36</v>
      </c>
      <c r="Z703" s="18" t="s">
        <v>697</v>
      </c>
      <c r="AA703" s="21" t="str">
        <f>HYPERLINK("https://www.ncbi.nlm.nih.gov/nuccore/LC413195","NCBI Nucleotide")</f>
        <v>NCBI Nucleotide</v>
      </c>
    </row>
    <row r="704" spans="1:27" x14ac:dyDescent="0.35">
      <c r="A704">
        <v>1000983</v>
      </c>
      <c r="B704">
        <v>703</v>
      </c>
      <c r="C704">
        <v>1</v>
      </c>
      <c r="D704" s="17" t="s">
        <v>155</v>
      </c>
      <c r="E704" s="17"/>
      <c r="F704" s="17" t="s">
        <v>156</v>
      </c>
      <c r="G704" s="17"/>
      <c r="H704" s="17" t="s">
        <v>692</v>
      </c>
      <c r="I704" s="17"/>
      <c r="J704" s="17" t="s">
        <v>693</v>
      </c>
      <c r="K704" s="17"/>
      <c r="L704" s="17"/>
      <c r="M704" s="17"/>
      <c r="N704" s="17" t="s">
        <v>6460</v>
      </c>
      <c r="O704" s="17" t="s">
        <v>7043</v>
      </c>
      <c r="P704" s="17" t="s">
        <v>7216</v>
      </c>
      <c r="Q704" s="17"/>
      <c r="R704" s="25" t="str">
        <f>HYPERLINK("https://ictv.global/taxonomy/taxondetails?taxnode_id=202300554","Przondovirus Kp1")</f>
        <v>Przondovirus Kp1</v>
      </c>
      <c r="S704" s="18" t="s">
        <v>30</v>
      </c>
      <c r="T704" s="18" t="s">
        <v>7245</v>
      </c>
      <c r="U704" s="18"/>
      <c r="V704" s="18"/>
      <c r="W704" s="18" t="s">
        <v>7246</v>
      </c>
      <c r="X704" s="18" t="s">
        <v>42</v>
      </c>
      <c r="Y704" s="18" t="s">
        <v>36</v>
      </c>
      <c r="Z704" s="18" t="s">
        <v>697</v>
      </c>
      <c r="AA704" s="21" t="str">
        <f>HYPERLINK("https://www.ncbi.nlm.nih.gov/nuccore/KT367885","NCBI Nucleotide")</f>
        <v>NCBI Nucleotide</v>
      </c>
    </row>
    <row r="705" spans="1:27" x14ac:dyDescent="0.35">
      <c r="A705">
        <v>1000984</v>
      </c>
      <c r="B705">
        <v>704</v>
      </c>
      <c r="C705">
        <v>1</v>
      </c>
      <c r="D705" s="17" t="s">
        <v>155</v>
      </c>
      <c r="E705" s="17"/>
      <c r="F705" s="17" t="s">
        <v>156</v>
      </c>
      <c r="G705" s="17"/>
      <c r="H705" s="17" t="s">
        <v>692</v>
      </c>
      <c r="I705" s="17"/>
      <c r="J705" s="17" t="s">
        <v>693</v>
      </c>
      <c r="K705" s="17"/>
      <c r="L705" s="17"/>
      <c r="M705" s="17"/>
      <c r="N705" s="17" t="s">
        <v>6460</v>
      </c>
      <c r="O705" s="17" t="s">
        <v>7043</v>
      </c>
      <c r="P705" s="17" t="s">
        <v>7216</v>
      </c>
      <c r="Q705" s="17"/>
      <c r="R705" s="25" t="str">
        <f>HYPERLINK("https://ictv.global/taxonomy/taxondetails?taxnode_id=202300555","Przondovirus KP32")</f>
        <v>Przondovirus KP32</v>
      </c>
      <c r="S705" s="18" t="s">
        <v>30</v>
      </c>
      <c r="T705" s="18" t="s">
        <v>7247</v>
      </c>
      <c r="U705" s="18"/>
      <c r="V705" s="18"/>
      <c r="W705" s="18" t="s">
        <v>7248</v>
      </c>
      <c r="X705" s="18" t="s">
        <v>42</v>
      </c>
      <c r="Y705" s="18" t="s">
        <v>36</v>
      </c>
      <c r="Z705" s="18" t="s">
        <v>697</v>
      </c>
      <c r="AA705" s="21" t="str">
        <f>HYPERLINK("https://www.ncbi.nlm.nih.gov/nuccore/GQ413937","NCBI Nucleotide")</f>
        <v>NCBI Nucleotide</v>
      </c>
    </row>
    <row r="706" spans="1:27" x14ac:dyDescent="0.35">
      <c r="A706">
        <v>1000985</v>
      </c>
      <c r="B706">
        <v>705</v>
      </c>
      <c r="C706">
        <v>1</v>
      </c>
      <c r="D706" s="17" t="s">
        <v>155</v>
      </c>
      <c r="E706" s="17"/>
      <c r="F706" s="17" t="s">
        <v>156</v>
      </c>
      <c r="G706" s="17"/>
      <c r="H706" s="17" t="s">
        <v>692</v>
      </c>
      <c r="I706" s="17"/>
      <c r="J706" s="17" t="s">
        <v>693</v>
      </c>
      <c r="K706" s="17"/>
      <c r="L706" s="17"/>
      <c r="M706" s="17"/>
      <c r="N706" s="17" t="s">
        <v>6460</v>
      </c>
      <c r="O706" s="17" t="s">
        <v>7043</v>
      </c>
      <c r="P706" s="17" t="s">
        <v>7216</v>
      </c>
      <c r="Q706" s="17"/>
      <c r="R706" s="25" t="str">
        <f>HYPERLINK("https://ictv.global/taxonomy/taxondetails?taxnode_id=202308441","Przondovirus KP32i192")</f>
        <v>Przondovirus KP32i192</v>
      </c>
      <c r="S706" s="18" t="s">
        <v>30</v>
      </c>
      <c r="T706" s="18" t="s">
        <v>7249</v>
      </c>
      <c r="U706" s="18"/>
      <c r="V706" s="18"/>
      <c r="W706" s="18" t="s">
        <v>7250</v>
      </c>
      <c r="X706" s="18" t="s">
        <v>42</v>
      </c>
      <c r="Y706" s="18" t="s">
        <v>36</v>
      </c>
      <c r="Z706" s="18" t="s">
        <v>697</v>
      </c>
      <c r="AA706" s="21" t="str">
        <f>HYPERLINK("https://www.ncbi.nlm.nih.gov/nuccore/MH172261","NCBI Nucleotide")</f>
        <v>NCBI Nucleotide</v>
      </c>
    </row>
    <row r="707" spans="1:27" x14ac:dyDescent="0.35">
      <c r="A707">
        <v>1000986</v>
      </c>
      <c r="B707">
        <v>706</v>
      </c>
      <c r="C707">
        <v>1</v>
      </c>
      <c r="D707" s="17" t="s">
        <v>155</v>
      </c>
      <c r="E707" s="17"/>
      <c r="F707" s="17" t="s">
        <v>156</v>
      </c>
      <c r="G707" s="17"/>
      <c r="H707" s="17" t="s">
        <v>692</v>
      </c>
      <c r="I707" s="17"/>
      <c r="J707" s="17" t="s">
        <v>693</v>
      </c>
      <c r="K707" s="17"/>
      <c r="L707" s="17"/>
      <c r="M707" s="17"/>
      <c r="N707" s="17" t="s">
        <v>6460</v>
      </c>
      <c r="O707" s="17" t="s">
        <v>7043</v>
      </c>
      <c r="P707" s="17" t="s">
        <v>7216</v>
      </c>
      <c r="Q707" s="17"/>
      <c r="R707" s="25" t="str">
        <f>HYPERLINK("https://ictv.global/taxonomy/taxondetails?taxnode_id=202308442","Przondovirus KP32i194")</f>
        <v>Przondovirus KP32i194</v>
      </c>
      <c r="S707" s="18" t="s">
        <v>30</v>
      </c>
      <c r="T707" s="18" t="s">
        <v>7251</v>
      </c>
      <c r="U707" s="18"/>
      <c r="V707" s="18"/>
      <c r="W707" s="18" t="s">
        <v>7252</v>
      </c>
      <c r="X707" s="18" t="s">
        <v>42</v>
      </c>
      <c r="Y707" s="18" t="s">
        <v>36</v>
      </c>
      <c r="Z707" s="18" t="s">
        <v>697</v>
      </c>
      <c r="AA707" s="21" t="str">
        <f>HYPERLINK("https://www.ncbi.nlm.nih.gov/nuccore/MH172262","NCBI Nucleotide")</f>
        <v>NCBI Nucleotide</v>
      </c>
    </row>
    <row r="708" spans="1:27" x14ac:dyDescent="0.35">
      <c r="A708">
        <v>1000987</v>
      </c>
      <c r="B708">
        <v>707</v>
      </c>
      <c r="C708">
        <v>1</v>
      </c>
      <c r="D708" s="17" t="s">
        <v>155</v>
      </c>
      <c r="E708" s="17"/>
      <c r="F708" s="17" t="s">
        <v>156</v>
      </c>
      <c r="G708" s="17"/>
      <c r="H708" s="17" t="s">
        <v>692</v>
      </c>
      <c r="I708" s="17"/>
      <c r="J708" s="17" t="s">
        <v>693</v>
      </c>
      <c r="K708" s="17"/>
      <c r="L708" s="17"/>
      <c r="M708" s="17"/>
      <c r="N708" s="17" t="s">
        <v>6460</v>
      </c>
      <c r="O708" s="17" t="s">
        <v>7043</v>
      </c>
      <c r="P708" s="17" t="s">
        <v>7216</v>
      </c>
      <c r="Q708" s="17"/>
      <c r="R708" s="25" t="str">
        <f>HYPERLINK("https://ictv.global/taxonomy/taxondetails?taxnode_id=202308443","Przondovirus KP32i195")</f>
        <v>Przondovirus KP32i195</v>
      </c>
      <c r="S708" s="18" t="s">
        <v>30</v>
      </c>
      <c r="T708" s="18" t="s">
        <v>7253</v>
      </c>
      <c r="U708" s="18"/>
      <c r="V708" s="18"/>
      <c r="W708" s="18" t="s">
        <v>7254</v>
      </c>
      <c r="X708" s="18" t="s">
        <v>42</v>
      </c>
      <c r="Y708" s="18" t="s">
        <v>36</v>
      </c>
      <c r="Z708" s="18" t="s">
        <v>697</v>
      </c>
      <c r="AA708" s="21" t="str">
        <f>HYPERLINK("https://www.ncbi.nlm.nih.gov/nuccore/MH172263","NCBI Nucleotide")</f>
        <v>NCBI Nucleotide</v>
      </c>
    </row>
    <row r="709" spans="1:27" x14ac:dyDescent="0.35">
      <c r="A709">
        <v>1000988</v>
      </c>
      <c r="B709">
        <v>708</v>
      </c>
      <c r="C709">
        <v>1</v>
      </c>
      <c r="D709" s="17" t="s">
        <v>155</v>
      </c>
      <c r="E709" s="17"/>
      <c r="F709" s="17" t="s">
        <v>156</v>
      </c>
      <c r="G709" s="17"/>
      <c r="H709" s="17" t="s">
        <v>692</v>
      </c>
      <c r="I709" s="17"/>
      <c r="J709" s="17" t="s">
        <v>693</v>
      </c>
      <c r="K709" s="17"/>
      <c r="L709" s="17"/>
      <c r="M709" s="17"/>
      <c r="N709" s="17" t="s">
        <v>6460</v>
      </c>
      <c r="O709" s="17" t="s">
        <v>7043</v>
      </c>
      <c r="P709" s="17" t="s">
        <v>7216</v>
      </c>
      <c r="Q709" s="17"/>
      <c r="R709" s="25" t="str">
        <f>HYPERLINK("https://ictv.global/taxonomy/taxondetails?taxnode_id=202308444","Przondovirus KP32i196")</f>
        <v>Przondovirus KP32i196</v>
      </c>
      <c r="S709" s="18" t="s">
        <v>30</v>
      </c>
      <c r="T709" s="18" t="s">
        <v>7255</v>
      </c>
      <c r="U709" s="18"/>
      <c r="V709" s="18"/>
      <c r="W709" s="18" t="s">
        <v>7256</v>
      </c>
      <c r="X709" s="18" t="s">
        <v>42</v>
      </c>
      <c r="Y709" s="18" t="s">
        <v>36</v>
      </c>
      <c r="Z709" s="18" t="s">
        <v>697</v>
      </c>
      <c r="AA709" s="21" t="str">
        <f>HYPERLINK("https://www.ncbi.nlm.nih.gov/nuccore/MH172264","NCBI Nucleotide")</f>
        <v>NCBI Nucleotide</v>
      </c>
    </row>
    <row r="710" spans="1:27" x14ac:dyDescent="0.35">
      <c r="A710">
        <v>1000989</v>
      </c>
      <c r="B710">
        <v>709</v>
      </c>
      <c r="C710">
        <v>1</v>
      </c>
      <c r="D710" s="17" t="s">
        <v>155</v>
      </c>
      <c r="E710" s="17"/>
      <c r="F710" s="17" t="s">
        <v>156</v>
      </c>
      <c r="G710" s="17"/>
      <c r="H710" s="17" t="s">
        <v>692</v>
      </c>
      <c r="I710" s="17"/>
      <c r="J710" s="17" t="s">
        <v>693</v>
      </c>
      <c r="K710" s="17"/>
      <c r="L710" s="17"/>
      <c r="M710" s="17"/>
      <c r="N710" s="17" t="s">
        <v>6460</v>
      </c>
      <c r="O710" s="17" t="s">
        <v>7043</v>
      </c>
      <c r="P710" s="17" t="s">
        <v>7216</v>
      </c>
      <c r="Q710" s="17"/>
      <c r="R710" s="25" t="str">
        <f>HYPERLINK("https://ictv.global/taxonomy/taxondetails?taxnode_id=202308446","Przondovirus kpssk3")</f>
        <v>Przondovirus kpssk3</v>
      </c>
      <c r="S710" s="18" t="s">
        <v>30</v>
      </c>
      <c r="T710" s="18" t="s">
        <v>7257</v>
      </c>
      <c r="U710" s="18"/>
      <c r="V710" s="18"/>
      <c r="W710" s="18" t="s">
        <v>7258</v>
      </c>
      <c r="X710" s="18" t="s">
        <v>42</v>
      </c>
      <c r="Y710" s="18" t="s">
        <v>36</v>
      </c>
      <c r="Z710" s="18" t="s">
        <v>697</v>
      </c>
      <c r="AA710" s="21" t="str">
        <f>HYPERLINK("https://www.ncbi.nlm.nih.gov/nuccore/MK134560","NCBI Nucleotide")</f>
        <v>NCBI Nucleotide</v>
      </c>
    </row>
    <row r="711" spans="1:27" x14ac:dyDescent="0.35">
      <c r="A711">
        <v>1000990</v>
      </c>
      <c r="B711">
        <v>710</v>
      </c>
      <c r="C711">
        <v>1</v>
      </c>
      <c r="D711" s="17" t="s">
        <v>155</v>
      </c>
      <c r="E711" s="17"/>
      <c r="F711" s="17" t="s">
        <v>156</v>
      </c>
      <c r="G711" s="17"/>
      <c r="H711" s="17" t="s">
        <v>692</v>
      </c>
      <c r="I711" s="17"/>
      <c r="J711" s="17" t="s">
        <v>693</v>
      </c>
      <c r="K711" s="17"/>
      <c r="L711" s="17"/>
      <c r="M711" s="17"/>
      <c r="N711" s="17" t="s">
        <v>6460</v>
      </c>
      <c r="O711" s="17" t="s">
        <v>7043</v>
      </c>
      <c r="P711" s="17" t="s">
        <v>7216</v>
      </c>
      <c r="Q711" s="17"/>
      <c r="R711" s="25" t="str">
        <f>HYPERLINK("https://ictv.global/taxonomy/taxondetails?taxnode_id=202300556","Przondovirus KpV289")</f>
        <v>Przondovirus KpV289</v>
      </c>
      <c r="S711" s="18" t="s">
        <v>30</v>
      </c>
      <c r="T711" s="18" t="s">
        <v>7259</v>
      </c>
      <c r="U711" s="18"/>
      <c r="V711" s="18"/>
      <c r="W711" s="18" t="s">
        <v>7260</v>
      </c>
      <c r="X711" s="18" t="s">
        <v>42</v>
      </c>
      <c r="Y711" s="18" t="s">
        <v>36</v>
      </c>
      <c r="Z711" s="18" t="s">
        <v>697</v>
      </c>
      <c r="AA711" s="21" t="str">
        <f>HYPERLINK("https://www.ncbi.nlm.nih.gov/nuccore/LN866626","NCBI Nucleotide")</f>
        <v>NCBI Nucleotide</v>
      </c>
    </row>
    <row r="712" spans="1:27" x14ac:dyDescent="0.35">
      <c r="A712">
        <v>1000991</v>
      </c>
      <c r="B712">
        <v>711</v>
      </c>
      <c r="C712">
        <v>1</v>
      </c>
      <c r="D712" s="17" t="s">
        <v>155</v>
      </c>
      <c r="E712" s="17"/>
      <c r="F712" s="17" t="s">
        <v>156</v>
      </c>
      <c r="G712" s="17"/>
      <c r="H712" s="17" t="s">
        <v>692</v>
      </c>
      <c r="I712" s="17"/>
      <c r="J712" s="17" t="s">
        <v>693</v>
      </c>
      <c r="K712" s="17"/>
      <c r="L712" s="17"/>
      <c r="M712" s="17"/>
      <c r="N712" s="17" t="s">
        <v>6460</v>
      </c>
      <c r="O712" s="17" t="s">
        <v>7043</v>
      </c>
      <c r="P712" s="17" t="s">
        <v>7216</v>
      </c>
      <c r="Q712" s="17"/>
      <c r="R712" s="25" t="str">
        <f>HYPERLINK("https://ictv.global/taxonomy/taxondetails?taxnode_id=202308431","Przondovirus KpV763")</f>
        <v>Przondovirus KpV763</v>
      </c>
      <c r="S712" s="18" t="s">
        <v>30</v>
      </c>
      <c r="T712" s="18" t="s">
        <v>7261</v>
      </c>
      <c r="U712" s="18"/>
      <c r="V712" s="18"/>
      <c r="W712" s="18" t="s">
        <v>7262</v>
      </c>
      <c r="X712" s="18" t="s">
        <v>42</v>
      </c>
      <c r="Y712" s="18" t="s">
        <v>36</v>
      </c>
      <c r="Z712" s="18" t="s">
        <v>697</v>
      </c>
      <c r="AA712" s="21" t="str">
        <f>HYPERLINK("https://www.ncbi.nlm.nih.gov/nuccore/KX591654","NCBI Nucleotide")</f>
        <v>NCBI Nucleotide</v>
      </c>
    </row>
    <row r="713" spans="1:27" x14ac:dyDescent="0.35">
      <c r="A713">
        <v>1000992</v>
      </c>
      <c r="B713">
        <v>712</v>
      </c>
      <c r="C713">
        <v>1</v>
      </c>
      <c r="D713" s="17" t="s">
        <v>155</v>
      </c>
      <c r="E713" s="17"/>
      <c r="F713" s="17" t="s">
        <v>156</v>
      </c>
      <c r="G713" s="17"/>
      <c r="H713" s="17" t="s">
        <v>692</v>
      </c>
      <c r="I713" s="17"/>
      <c r="J713" s="17" t="s">
        <v>693</v>
      </c>
      <c r="K713" s="17"/>
      <c r="L713" s="17"/>
      <c r="M713" s="17"/>
      <c r="N713" s="17" t="s">
        <v>6460</v>
      </c>
      <c r="O713" s="17" t="s">
        <v>7043</v>
      </c>
      <c r="P713" s="17" t="s">
        <v>7216</v>
      </c>
      <c r="Q713" s="17"/>
      <c r="R713" s="25" t="str">
        <f>HYPERLINK("https://ictv.global/taxonomy/taxondetails?taxnode_id=202308433","Przondovirus KpV766")</f>
        <v>Przondovirus KpV766</v>
      </c>
      <c r="S713" s="18" t="s">
        <v>30</v>
      </c>
      <c r="T713" s="18" t="s">
        <v>7263</v>
      </c>
      <c r="U713" s="18"/>
      <c r="V713" s="18"/>
      <c r="W713" s="18" t="s">
        <v>7264</v>
      </c>
      <c r="X713" s="18" t="s">
        <v>42</v>
      </c>
      <c r="Y713" s="18" t="s">
        <v>36</v>
      </c>
      <c r="Z713" s="18" t="s">
        <v>697</v>
      </c>
      <c r="AA713" s="21" t="str">
        <f>HYPERLINK("https://www.ncbi.nlm.nih.gov/nuccore/KX712071","NCBI Nucleotide")</f>
        <v>NCBI Nucleotide</v>
      </c>
    </row>
    <row r="714" spans="1:27" x14ac:dyDescent="0.35">
      <c r="A714">
        <v>1000993</v>
      </c>
      <c r="B714">
        <v>713</v>
      </c>
      <c r="C714">
        <v>1</v>
      </c>
      <c r="D714" s="17" t="s">
        <v>155</v>
      </c>
      <c r="E714" s="17"/>
      <c r="F714" s="17" t="s">
        <v>156</v>
      </c>
      <c r="G714" s="17"/>
      <c r="H714" s="17" t="s">
        <v>692</v>
      </c>
      <c r="I714" s="17"/>
      <c r="J714" s="17" t="s">
        <v>693</v>
      </c>
      <c r="K714" s="17"/>
      <c r="L714" s="17"/>
      <c r="M714" s="17"/>
      <c r="N714" s="17" t="s">
        <v>6460</v>
      </c>
      <c r="O714" s="17" t="s">
        <v>7043</v>
      </c>
      <c r="P714" s="17" t="s">
        <v>7216</v>
      </c>
      <c r="Q714" s="17"/>
      <c r="R714" s="25" t="str">
        <f>HYPERLINK("https://ictv.global/taxonomy/taxondetails?taxnode_id=202308432","Przondovirus KpV767")</f>
        <v>Przondovirus KpV767</v>
      </c>
      <c r="S714" s="18" t="s">
        <v>30</v>
      </c>
      <c r="T714" s="18" t="s">
        <v>7265</v>
      </c>
      <c r="U714" s="18"/>
      <c r="V714" s="18"/>
      <c r="W714" s="18" t="s">
        <v>7266</v>
      </c>
      <c r="X714" s="18" t="s">
        <v>42</v>
      </c>
      <c r="Y714" s="18" t="s">
        <v>36</v>
      </c>
      <c r="Z714" s="18" t="s">
        <v>697</v>
      </c>
      <c r="AA714" s="21" t="str">
        <f>HYPERLINK("https://www.ncbi.nlm.nih.gov/nuccore/KX712070","NCBI Nucleotide")</f>
        <v>NCBI Nucleotide</v>
      </c>
    </row>
    <row r="715" spans="1:27" x14ac:dyDescent="0.35">
      <c r="A715">
        <v>1024784</v>
      </c>
      <c r="B715">
        <v>714</v>
      </c>
      <c r="C715">
        <v>1</v>
      </c>
      <c r="D715" s="17" t="s">
        <v>155</v>
      </c>
      <c r="E715" s="17"/>
      <c r="F715" s="17" t="s">
        <v>156</v>
      </c>
      <c r="G715" s="17"/>
      <c r="H715" s="17" t="s">
        <v>692</v>
      </c>
      <c r="I715" s="17"/>
      <c r="J715" s="17" t="s">
        <v>693</v>
      </c>
      <c r="K715" s="17"/>
      <c r="L715" s="17"/>
      <c r="M715" s="17"/>
      <c r="N715" s="17" t="s">
        <v>6460</v>
      </c>
      <c r="O715" s="17" t="s">
        <v>7043</v>
      </c>
      <c r="P715" s="17" t="s">
        <v>7216</v>
      </c>
      <c r="Q715" s="17"/>
      <c r="R715" s="25" t="str">
        <f>HYPERLINK("https://ictv.global/taxonomy/taxondetails?taxnode_id=202319237","Przondovirus oda")</f>
        <v>Przondovirus oda</v>
      </c>
      <c r="S715" s="18" t="s">
        <v>30</v>
      </c>
      <c r="T715" s="18" t="s">
        <v>39013</v>
      </c>
      <c r="U715" s="18" t="s">
        <v>39014</v>
      </c>
      <c r="V715" s="18"/>
      <c r="W715" s="18" t="s">
        <v>39015</v>
      </c>
      <c r="X715" s="18" t="s">
        <v>42</v>
      </c>
      <c r="Y715" s="18" t="s">
        <v>36</v>
      </c>
      <c r="Z715" s="18" t="s">
        <v>697</v>
      </c>
      <c r="AA715" s="21" t="str">
        <f>HYPERLINK("https://www.ncbi.nlm.nih.gov/nuccore/OQ579023","NCBI Nucleotide")</f>
        <v>NCBI Nucleotide</v>
      </c>
    </row>
    <row r="716" spans="1:27" x14ac:dyDescent="0.35">
      <c r="A716">
        <v>1000994</v>
      </c>
      <c r="B716">
        <v>715</v>
      </c>
      <c r="C716">
        <v>1</v>
      </c>
      <c r="D716" s="17" t="s">
        <v>155</v>
      </c>
      <c r="E716" s="17"/>
      <c r="F716" s="17" t="s">
        <v>156</v>
      </c>
      <c r="G716" s="17"/>
      <c r="H716" s="17" t="s">
        <v>692</v>
      </c>
      <c r="I716" s="17"/>
      <c r="J716" s="17" t="s">
        <v>693</v>
      </c>
      <c r="K716" s="17"/>
      <c r="L716" s="17"/>
      <c r="M716" s="17"/>
      <c r="N716" s="17" t="s">
        <v>6460</v>
      </c>
      <c r="O716" s="17" t="s">
        <v>7043</v>
      </c>
      <c r="P716" s="17" t="s">
        <v>7216</v>
      </c>
      <c r="Q716" s="17"/>
      <c r="R716" s="25" t="str">
        <f>HYPERLINK("https://ictv.global/taxonomy/taxondetails?taxnode_id=202308448","Przondovirus pharr")</f>
        <v>Przondovirus pharr</v>
      </c>
      <c r="S716" s="18" t="s">
        <v>30</v>
      </c>
      <c r="T716" s="18" t="s">
        <v>7267</v>
      </c>
      <c r="U716" s="18"/>
      <c r="V716" s="18"/>
      <c r="W716" s="18" t="s">
        <v>7268</v>
      </c>
      <c r="X716" s="18" t="s">
        <v>42</v>
      </c>
      <c r="Y716" s="18" t="s">
        <v>36</v>
      </c>
      <c r="Z716" s="18" t="s">
        <v>697</v>
      </c>
      <c r="AA716" s="21" t="str">
        <f>HYPERLINK("https://www.ncbi.nlm.nih.gov/nuccore/MK618658","NCBI Nucleotide")</f>
        <v>NCBI Nucleotide</v>
      </c>
    </row>
    <row r="717" spans="1:27" x14ac:dyDescent="0.35">
      <c r="A717">
        <v>1000995</v>
      </c>
      <c r="B717">
        <v>716</v>
      </c>
      <c r="C717">
        <v>1</v>
      </c>
      <c r="D717" s="17" t="s">
        <v>155</v>
      </c>
      <c r="E717" s="17"/>
      <c r="F717" s="17" t="s">
        <v>156</v>
      </c>
      <c r="G717" s="17"/>
      <c r="H717" s="17" t="s">
        <v>692</v>
      </c>
      <c r="I717" s="17"/>
      <c r="J717" s="17" t="s">
        <v>693</v>
      </c>
      <c r="K717" s="17"/>
      <c r="L717" s="17"/>
      <c r="M717" s="17"/>
      <c r="N717" s="17" t="s">
        <v>6460</v>
      </c>
      <c r="O717" s="17" t="s">
        <v>7043</v>
      </c>
      <c r="P717" s="17" t="s">
        <v>7216</v>
      </c>
      <c r="Q717" s="17"/>
      <c r="R717" s="25" t="str">
        <f>HYPERLINK("https://ictv.global/taxonomy/taxondetails?taxnode_id=202308436","Przondovirus PRA33")</f>
        <v>Przondovirus PRA33</v>
      </c>
      <c r="S717" s="18" t="s">
        <v>30</v>
      </c>
      <c r="T717" s="18" t="s">
        <v>7269</v>
      </c>
      <c r="U717" s="18"/>
      <c r="V717" s="18"/>
      <c r="W717" s="18" t="s">
        <v>7270</v>
      </c>
      <c r="X717" s="18" t="s">
        <v>42</v>
      </c>
      <c r="Y717" s="18" t="s">
        <v>36</v>
      </c>
      <c r="Z717" s="18" t="s">
        <v>697</v>
      </c>
      <c r="AA717" s="21" t="str">
        <f>HYPERLINK("https://www.ncbi.nlm.nih.gov/nuccore/KY652723","NCBI Nucleotide")</f>
        <v>NCBI Nucleotide</v>
      </c>
    </row>
    <row r="718" spans="1:27" x14ac:dyDescent="0.35">
      <c r="A718">
        <v>1024785</v>
      </c>
      <c r="B718">
        <v>717</v>
      </c>
      <c r="C718">
        <v>1</v>
      </c>
      <c r="D718" s="17" t="s">
        <v>155</v>
      </c>
      <c r="E718" s="17"/>
      <c r="F718" s="17" t="s">
        <v>156</v>
      </c>
      <c r="G718" s="17"/>
      <c r="H718" s="17" t="s">
        <v>692</v>
      </c>
      <c r="I718" s="17"/>
      <c r="J718" s="17" t="s">
        <v>693</v>
      </c>
      <c r="K718" s="17"/>
      <c r="L718" s="17"/>
      <c r="M718" s="17"/>
      <c r="N718" s="17" t="s">
        <v>6460</v>
      </c>
      <c r="O718" s="17" t="s">
        <v>7043</v>
      </c>
      <c r="P718" s="17" t="s">
        <v>7216</v>
      </c>
      <c r="Q718" s="17"/>
      <c r="R718" s="25" t="str">
        <f>HYPERLINK("https://ictv.global/taxonomy/taxondetails?taxnode_id=202319238","Przondovirus saitama")</f>
        <v>Przondovirus saitama</v>
      </c>
      <c r="S718" s="18" t="s">
        <v>30</v>
      </c>
      <c r="T718" s="18" t="s">
        <v>39016</v>
      </c>
      <c r="U718" s="18" t="s">
        <v>39017</v>
      </c>
      <c r="V718" s="18"/>
      <c r="W718" s="18" t="s">
        <v>39018</v>
      </c>
      <c r="X718" s="18" t="s">
        <v>42</v>
      </c>
      <c r="Y718" s="18" t="s">
        <v>36</v>
      </c>
      <c r="Z718" s="18" t="s">
        <v>697</v>
      </c>
      <c r="AA718" s="21" t="str">
        <f>HYPERLINK("https://www.ncbi.nlm.nih.gov/nuccore/OQ579029","NCBI Nucleotide")</f>
        <v>NCBI Nucleotide</v>
      </c>
    </row>
    <row r="719" spans="1:27" x14ac:dyDescent="0.35">
      <c r="A719">
        <v>1000996</v>
      </c>
      <c r="B719">
        <v>718</v>
      </c>
      <c r="C719">
        <v>1</v>
      </c>
      <c r="D719" s="17" t="s">
        <v>155</v>
      </c>
      <c r="E719" s="17"/>
      <c r="F719" s="17" t="s">
        <v>156</v>
      </c>
      <c r="G719" s="17"/>
      <c r="H719" s="17" t="s">
        <v>692</v>
      </c>
      <c r="I719" s="17"/>
      <c r="J719" s="17" t="s">
        <v>693</v>
      </c>
      <c r="K719" s="17"/>
      <c r="L719" s="17"/>
      <c r="M719" s="17"/>
      <c r="N719" s="17" t="s">
        <v>6460</v>
      </c>
      <c r="O719" s="17" t="s">
        <v>7043</v>
      </c>
      <c r="P719" s="17" t="s">
        <v>7216</v>
      </c>
      <c r="Q719" s="17"/>
      <c r="R719" s="25" t="str">
        <f>HYPERLINK("https://ictv.global/taxonomy/taxondetails?taxnode_id=202308449","Przondovirus SHKp152234")</f>
        <v>Przondovirus SHKp152234</v>
      </c>
      <c r="S719" s="18" t="s">
        <v>30</v>
      </c>
      <c r="T719" s="18" t="s">
        <v>7271</v>
      </c>
      <c r="U719" s="18"/>
      <c r="V719" s="18"/>
      <c r="W719" s="18" t="s">
        <v>7272</v>
      </c>
      <c r="X719" s="18" t="s">
        <v>42</v>
      </c>
      <c r="Y719" s="18" t="s">
        <v>36</v>
      </c>
      <c r="Z719" s="18" t="s">
        <v>697</v>
      </c>
      <c r="AA719" s="21" t="str">
        <f>HYPERLINK("https://www.ncbi.nlm.nih.gov/nuccore/KY450753","NCBI Nucleotide")</f>
        <v>NCBI Nucleotide</v>
      </c>
    </row>
    <row r="720" spans="1:27" x14ac:dyDescent="0.35">
      <c r="A720">
        <v>1000997</v>
      </c>
      <c r="B720">
        <v>719</v>
      </c>
      <c r="C720">
        <v>1</v>
      </c>
      <c r="D720" s="17" t="s">
        <v>155</v>
      </c>
      <c r="E720" s="17"/>
      <c r="F720" s="17" t="s">
        <v>156</v>
      </c>
      <c r="G720" s="17"/>
      <c r="H720" s="17" t="s">
        <v>692</v>
      </c>
      <c r="I720" s="17"/>
      <c r="J720" s="17" t="s">
        <v>693</v>
      </c>
      <c r="K720" s="17"/>
      <c r="L720" s="17"/>
      <c r="M720" s="17"/>
      <c r="N720" s="17" t="s">
        <v>6460</v>
      </c>
      <c r="O720" s="17" t="s">
        <v>7043</v>
      </c>
      <c r="P720" s="17" t="s">
        <v>7216</v>
      </c>
      <c r="Q720" s="17"/>
      <c r="R720" s="25" t="str">
        <f>HYPERLINK("https://ictv.global/taxonomy/taxondetails?taxnode_id=202308440","Przondovirus SHKp152410")</f>
        <v>Przondovirus SHKp152410</v>
      </c>
      <c r="S720" s="18" t="s">
        <v>30</v>
      </c>
      <c r="T720" s="18" t="s">
        <v>7273</v>
      </c>
      <c r="U720" s="18"/>
      <c r="V720" s="18"/>
      <c r="W720" s="18" t="s">
        <v>7274</v>
      </c>
      <c r="X720" s="18" t="s">
        <v>42</v>
      </c>
      <c r="Y720" s="18" t="s">
        <v>36</v>
      </c>
      <c r="Z720" s="18" t="s">
        <v>697</v>
      </c>
      <c r="AA720" s="21" t="str">
        <f>HYPERLINK("https://www.ncbi.nlm.nih.gov/nuccore/MG835568","NCBI Nucleotide")</f>
        <v>NCBI Nucleotide</v>
      </c>
    </row>
    <row r="721" spans="1:27" x14ac:dyDescent="0.35">
      <c r="A721">
        <v>1024786</v>
      </c>
      <c r="B721">
        <v>720</v>
      </c>
      <c r="C721">
        <v>1</v>
      </c>
      <c r="D721" s="17" t="s">
        <v>155</v>
      </c>
      <c r="E721" s="17"/>
      <c r="F721" s="17" t="s">
        <v>156</v>
      </c>
      <c r="G721" s="17"/>
      <c r="H721" s="17" t="s">
        <v>692</v>
      </c>
      <c r="I721" s="17"/>
      <c r="J721" s="17" t="s">
        <v>693</v>
      </c>
      <c r="K721" s="17"/>
      <c r="L721" s="17"/>
      <c r="M721" s="17"/>
      <c r="N721" s="17" t="s">
        <v>6460</v>
      </c>
      <c r="O721" s="17" t="s">
        <v>7043</v>
      </c>
      <c r="P721" s="17" t="s">
        <v>7216</v>
      </c>
      <c r="Q721" s="17"/>
      <c r="R721" s="25" t="str">
        <f>HYPERLINK("https://ictv.global/taxonomy/taxondetails?taxnode_id=202319241","Przondovirus whistle")</f>
        <v>Przondovirus whistle</v>
      </c>
      <c r="S721" s="18" t="s">
        <v>30</v>
      </c>
      <c r="T721" s="18" t="s">
        <v>39019</v>
      </c>
      <c r="U721" s="18" t="s">
        <v>39020</v>
      </c>
      <c r="V721" s="18"/>
      <c r="W721" s="18" t="s">
        <v>39021</v>
      </c>
      <c r="X721" s="18" t="s">
        <v>42</v>
      </c>
      <c r="Y721" s="18" t="s">
        <v>36</v>
      </c>
      <c r="Z721" s="18" t="s">
        <v>697</v>
      </c>
      <c r="AA721" s="21" t="str">
        <f>HYPERLINK("https://www.ncbi.nlm.nih.gov/nuccore/OQ579032","NCBI Nucleotide")</f>
        <v>NCBI Nucleotide</v>
      </c>
    </row>
    <row r="722" spans="1:27" x14ac:dyDescent="0.35">
      <c r="A722">
        <v>1000998</v>
      </c>
      <c r="B722">
        <v>721</v>
      </c>
      <c r="C722">
        <v>1</v>
      </c>
      <c r="D722" s="17" t="s">
        <v>155</v>
      </c>
      <c r="E722" s="17"/>
      <c r="F722" s="17" t="s">
        <v>156</v>
      </c>
      <c r="G722" s="17"/>
      <c r="H722" s="17" t="s">
        <v>692</v>
      </c>
      <c r="I722" s="17"/>
      <c r="J722" s="17" t="s">
        <v>693</v>
      </c>
      <c r="K722" s="17"/>
      <c r="L722" s="17"/>
      <c r="M722" s="17"/>
      <c r="N722" s="17" t="s">
        <v>6460</v>
      </c>
      <c r="O722" s="17" t="s">
        <v>7043</v>
      </c>
      <c r="P722" s="17" t="s">
        <v>7275</v>
      </c>
      <c r="Q722" s="17"/>
      <c r="R722" s="25" t="str">
        <f>HYPERLINK("https://ictv.global/taxonomy/taxondetails?taxnode_id=202308475","Teetrevirus 2050H2")</f>
        <v>Teetrevirus 2050H2</v>
      </c>
      <c r="S722" s="18" t="s">
        <v>30</v>
      </c>
      <c r="T722" s="18" t="s">
        <v>7276</v>
      </c>
      <c r="U722" s="18"/>
      <c r="V722" s="18"/>
      <c r="W722" s="18" t="s">
        <v>7277</v>
      </c>
      <c r="X722" s="18" t="s">
        <v>42</v>
      </c>
      <c r="Y722" s="18" t="s">
        <v>36</v>
      </c>
      <c r="Z722" s="18" t="s">
        <v>697</v>
      </c>
      <c r="AA722" s="21" t="str">
        <f>HYPERLINK("https://www.ncbi.nlm.nih.gov/nuccore/MF285620","NCBI Nucleotide")</f>
        <v>NCBI Nucleotide</v>
      </c>
    </row>
    <row r="723" spans="1:27" x14ac:dyDescent="0.35">
      <c r="A723">
        <v>1000999</v>
      </c>
      <c r="B723">
        <v>722</v>
      </c>
      <c r="C723">
        <v>1</v>
      </c>
      <c r="D723" s="17" t="s">
        <v>155</v>
      </c>
      <c r="E723" s="17"/>
      <c r="F723" s="17" t="s">
        <v>156</v>
      </c>
      <c r="G723" s="17"/>
      <c r="H723" s="17" t="s">
        <v>692</v>
      </c>
      <c r="I723" s="17"/>
      <c r="J723" s="17" t="s">
        <v>693</v>
      </c>
      <c r="K723" s="17"/>
      <c r="L723" s="17"/>
      <c r="M723" s="17"/>
      <c r="N723" s="17" t="s">
        <v>6460</v>
      </c>
      <c r="O723" s="17" t="s">
        <v>7043</v>
      </c>
      <c r="P723" s="17" t="s">
        <v>7275</v>
      </c>
      <c r="Q723" s="17"/>
      <c r="R723" s="25" t="str">
        <f>HYPERLINK("https://ictv.global/taxonomy/taxondetails?taxnode_id=202308465","Teetrevirus AP5")</f>
        <v>Teetrevirus AP5</v>
      </c>
      <c r="S723" s="18" t="s">
        <v>30</v>
      </c>
      <c r="T723" s="18" t="s">
        <v>7278</v>
      </c>
      <c r="U723" s="18"/>
      <c r="V723" s="18"/>
      <c r="W723" s="18" t="s">
        <v>7279</v>
      </c>
      <c r="X723" s="18" t="s">
        <v>42</v>
      </c>
      <c r="Y723" s="18" t="s">
        <v>36</v>
      </c>
      <c r="Z723" s="18" t="s">
        <v>697</v>
      </c>
      <c r="AA723" s="21" t="str">
        <f>HYPERLINK("https://www.ncbi.nlm.nih.gov/nuccore/KM253764","NCBI Nucleotide")</f>
        <v>NCBI Nucleotide</v>
      </c>
    </row>
    <row r="724" spans="1:27" x14ac:dyDescent="0.35">
      <c r="A724">
        <v>1001000</v>
      </c>
      <c r="B724">
        <v>723</v>
      </c>
      <c r="C724">
        <v>1</v>
      </c>
      <c r="D724" s="17" t="s">
        <v>155</v>
      </c>
      <c r="E724" s="17"/>
      <c r="F724" s="17" t="s">
        <v>156</v>
      </c>
      <c r="G724" s="17"/>
      <c r="H724" s="17" t="s">
        <v>692</v>
      </c>
      <c r="I724" s="17"/>
      <c r="J724" s="17" t="s">
        <v>693</v>
      </c>
      <c r="K724" s="17"/>
      <c r="L724" s="17"/>
      <c r="M724" s="17"/>
      <c r="N724" s="17" t="s">
        <v>6460</v>
      </c>
      <c r="O724" s="17" t="s">
        <v>7043</v>
      </c>
      <c r="P724" s="17" t="s">
        <v>7275</v>
      </c>
      <c r="Q724" s="17"/>
      <c r="R724" s="25" t="str">
        <f>HYPERLINK("https://ictv.global/taxonomy/taxondetails?taxnode_id=202308466","Teetrevirus CFP1")</f>
        <v>Teetrevirus CFP1</v>
      </c>
      <c r="S724" s="18" t="s">
        <v>30</v>
      </c>
      <c r="T724" s="18" t="s">
        <v>7280</v>
      </c>
      <c r="U724" s="18"/>
      <c r="V724" s="18"/>
      <c r="W724" s="18" t="s">
        <v>7281</v>
      </c>
      <c r="X724" s="18" t="s">
        <v>42</v>
      </c>
      <c r="Y724" s="18" t="s">
        <v>36</v>
      </c>
      <c r="Z724" s="18" t="s">
        <v>697</v>
      </c>
      <c r="AA724" s="21" t="str">
        <f>HYPERLINK("https://www.ncbi.nlm.nih.gov/nuccore/KP313531","NCBI Nucleotide")</f>
        <v>NCBI Nucleotide</v>
      </c>
    </row>
    <row r="725" spans="1:27" x14ac:dyDescent="0.35">
      <c r="A725">
        <v>1001001</v>
      </c>
      <c r="B725">
        <v>724</v>
      </c>
      <c r="C725">
        <v>1</v>
      </c>
      <c r="D725" s="17" t="s">
        <v>155</v>
      </c>
      <c r="E725" s="17"/>
      <c r="F725" s="17" t="s">
        <v>156</v>
      </c>
      <c r="G725" s="17"/>
      <c r="H725" s="17" t="s">
        <v>692</v>
      </c>
      <c r="I725" s="17"/>
      <c r="J725" s="17" t="s">
        <v>693</v>
      </c>
      <c r="K725" s="17"/>
      <c r="L725" s="17"/>
      <c r="M725" s="17"/>
      <c r="N725" s="17" t="s">
        <v>6460</v>
      </c>
      <c r="O725" s="17" t="s">
        <v>7043</v>
      </c>
      <c r="P725" s="17" t="s">
        <v>7275</v>
      </c>
      <c r="Q725" s="17"/>
      <c r="R725" s="25" t="str">
        <f>HYPERLINK("https://ictv.global/taxonomy/taxondetails?taxnode_id=202308467","Teetrevirus E2")</f>
        <v>Teetrevirus E2</v>
      </c>
      <c r="S725" s="18" t="s">
        <v>30</v>
      </c>
      <c r="T725" s="18" t="s">
        <v>7282</v>
      </c>
      <c r="U725" s="18"/>
      <c r="V725" s="18"/>
      <c r="W725" s="18" t="s">
        <v>7283</v>
      </c>
      <c r="X725" s="18" t="s">
        <v>42</v>
      </c>
      <c r="Y725" s="18" t="s">
        <v>36</v>
      </c>
      <c r="Z725" s="18" t="s">
        <v>697</v>
      </c>
      <c r="AA725" s="21" t="str">
        <f>HYPERLINK("https://www.ncbi.nlm.nih.gov/nuccore/KP791805","NCBI Nucleotide")</f>
        <v>NCBI Nucleotide</v>
      </c>
    </row>
    <row r="726" spans="1:27" x14ac:dyDescent="0.35">
      <c r="A726">
        <v>1001002</v>
      </c>
      <c r="B726">
        <v>725</v>
      </c>
      <c r="C726">
        <v>1</v>
      </c>
      <c r="D726" s="17" t="s">
        <v>155</v>
      </c>
      <c r="E726" s="17"/>
      <c r="F726" s="17" t="s">
        <v>156</v>
      </c>
      <c r="G726" s="17"/>
      <c r="H726" s="17" t="s">
        <v>692</v>
      </c>
      <c r="I726" s="17"/>
      <c r="J726" s="17" t="s">
        <v>693</v>
      </c>
      <c r="K726" s="17"/>
      <c r="L726" s="17"/>
      <c r="M726" s="17"/>
      <c r="N726" s="17" t="s">
        <v>6460</v>
      </c>
      <c r="O726" s="17" t="s">
        <v>7043</v>
      </c>
      <c r="P726" s="17" t="s">
        <v>7275</v>
      </c>
      <c r="Q726" s="17"/>
      <c r="R726" s="25" t="str">
        <f>HYPERLINK("https://ictv.global/taxonomy/taxondetails?taxnode_id=202308468","Teetrevirus E3")</f>
        <v>Teetrevirus E3</v>
      </c>
      <c r="S726" s="18" t="s">
        <v>30</v>
      </c>
      <c r="T726" s="18" t="s">
        <v>7284</v>
      </c>
      <c r="U726" s="18"/>
      <c r="V726" s="18"/>
      <c r="W726" s="18" t="s">
        <v>7285</v>
      </c>
      <c r="X726" s="18" t="s">
        <v>42</v>
      </c>
      <c r="Y726" s="18" t="s">
        <v>36</v>
      </c>
      <c r="Z726" s="18" t="s">
        <v>697</v>
      </c>
      <c r="AA726" s="21" t="str">
        <f>HYPERLINK("https://www.ncbi.nlm.nih.gov/nuccore/KP791806","NCBI Nucleotide")</f>
        <v>NCBI Nucleotide</v>
      </c>
    </row>
    <row r="727" spans="1:27" x14ac:dyDescent="0.35">
      <c r="A727">
        <v>1001003</v>
      </c>
      <c r="B727">
        <v>726</v>
      </c>
      <c r="C727">
        <v>1</v>
      </c>
      <c r="D727" s="17" t="s">
        <v>155</v>
      </c>
      <c r="E727" s="17"/>
      <c r="F727" s="17" t="s">
        <v>156</v>
      </c>
      <c r="G727" s="17"/>
      <c r="H727" s="17" t="s">
        <v>692</v>
      </c>
      <c r="I727" s="17"/>
      <c r="J727" s="17" t="s">
        <v>693</v>
      </c>
      <c r="K727" s="17"/>
      <c r="L727" s="17"/>
      <c r="M727" s="17"/>
      <c r="N727" s="17" t="s">
        <v>6460</v>
      </c>
      <c r="O727" s="17" t="s">
        <v>7043</v>
      </c>
      <c r="P727" s="17" t="s">
        <v>7275</v>
      </c>
      <c r="Q727" s="17"/>
      <c r="R727" s="25" t="str">
        <f>HYPERLINK("https://ictv.global/taxonomy/taxondetails?taxnode_id=202308472","Teetrevirus ECA2")</f>
        <v>Teetrevirus ECA2</v>
      </c>
      <c r="S727" s="18" t="s">
        <v>30</v>
      </c>
      <c r="T727" s="18" t="s">
        <v>7286</v>
      </c>
      <c r="U727" s="18"/>
      <c r="V727" s="18"/>
      <c r="W727" s="18" t="s">
        <v>7287</v>
      </c>
      <c r="X727" s="18" t="s">
        <v>42</v>
      </c>
      <c r="Y727" s="18" t="s">
        <v>36</v>
      </c>
      <c r="Z727" s="18" t="s">
        <v>697</v>
      </c>
      <c r="AA727" s="21" t="str">
        <f>HYPERLINK("https://www.ncbi.nlm.nih.gov/nuccore/KX130726","NCBI Nucleotide")</f>
        <v>NCBI Nucleotide</v>
      </c>
    </row>
    <row r="728" spans="1:27" x14ac:dyDescent="0.35">
      <c r="A728">
        <v>1001004</v>
      </c>
      <c r="B728">
        <v>727</v>
      </c>
      <c r="C728">
        <v>1</v>
      </c>
      <c r="D728" s="17" t="s">
        <v>155</v>
      </c>
      <c r="E728" s="17"/>
      <c r="F728" s="17" t="s">
        <v>156</v>
      </c>
      <c r="G728" s="17"/>
      <c r="H728" s="17" t="s">
        <v>692</v>
      </c>
      <c r="I728" s="17"/>
      <c r="J728" s="17" t="s">
        <v>693</v>
      </c>
      <c r="K728" s="17"/>
      <c r="L728" s="17"/>
      <c r="M728" s="17"/>
      <c r="N728" s="17" t="s">
        <v>6460</v>
      </c>
      <c r="O728" s="17" t="s">
        <v>7043</v>
      </c>
      <c r="P728" s="17" t="s">
        <v>7275</v>
      </c>
      <c r="Q728" s="17"/>
      <c r="R728" s="25" t="str">
        <f>HYPERLINK("https://ictv.global/taxonomy/taxondetails?taxnode_id=202308477","Teetrevirus KPN3")</f>
        <v>Teetrevirus KPN3</v>
      </c>
      <c r="S728" s="18" t="s">
        <v>30</v>
      </c>
      <c r="T728" s="18" t="s">
        <v>7288</v>
      </c>
      <c r="U728" s="18"/>
      <c r="V728" s="18"/>
      <c r="W728" s="18" t="s">
        <v>7289</v>
      </c>
      <c r="X728" s="18" t="s">
        <v>42</v>
      </c>
      <c r="Y728" s="18" t="s">
        <v>36</v>
      </c>
      <c r="Z728" s="18" t="s">
        <v>697</v>
      </c>
      <c r="AA728" s="21" t="str">
        <f>HYPERLINK("https://www.ncbi.nlm.nih.gov/nuccore/KX452696","NCBI Nucleotide")</f>
        <v>NCBI Nucleotide</v>
      </c>
    </row>
    <row r="729" spans="1:27" x14ac:dyDescent="0.35">
      <c r="A729">
        <v>1001005</v>
      </c>
      <c r="B729">
        <v>728</v>
      </c>
      <c r="C729">
        <v>1</v>
      </c>
      <c r="D729" s="17" t="s">
        <v>155</v>
      </c>
      <c r="E729" s="17"/>
      <c r="F729" s="17" t="s">
        <v>156</v>
      </c>
      <c r="G729" s="17"/>
      <c r="H729" s="17" t="s">
        <v>692</v>
      </c>
      <c r="I729" s="17"/>
      <c r="J729" s="17" t="s">
        <v>693</v>
      </c>
      <c r="K729" s="17"/>
      <c r="L729" s="17"/>
      <c r="M729" s="17"/>
      <c r="N729" s="17" t="s">
        <v>6460</v>
      </c>
      <c r="O729" s="17" t="s">
        <v>7043</v>
      </c>
      <c r="P729" s="17" t="s">
        <v>7275</v>
      </c>
      <c r="Q729" s="17"/>
      <c r="R729" s="25" t="str">
        <f>HYPERLINK("https://ictv.global/taxonomy/taxondetails?taxnode_id=202308476","Teetrevirus LL2")</f>
        <v>Teetrevirus LL2</v>
      </c>
      <c r="S729" s="18" t="s">
        <v>30</v>
      </c>
      <c r="T729" s="18" t="s">
        <v>7290</v>
      </c>
      <c r="U729" s="18"/>
      <c r="V729" s="18"/>
      <c r="W729" s="18" t="s">
        <v>7291</v>
      </c>
      <c r="X729" s="18" t="s">
        <v>42</v>
      </c>
      <c r="Y729" s="18" t="s">
        <v>36</v>
      </c>
      <c r="Z729" s="18" t="s">
        <v>697</v>
      </c>
      <c r="AA729" s="21" t="str">
        <f>HYPERLINK("https://www.ncbi.nlm.nih.gov/nuccore/MH717709","NCBI Nucleotide")</f>
        <v>NCBI Nucleotide</v>
      </c>
    </row>
    <row r="730" spans="1:27" x14ac:dyDescent="0.35">
      <c r="A730">
        <v>1001006</v>
      </c>
      <c r="B730">
        <v>729</v>
      </c>
      <c r="C730">
        <v>1</v>
      </c>
      <c r="D730" s="17" t="s">
        <v>155</v>
      </c>
      <c r="E730" s="17"/>
      <c r="F730" s="17" t="s">
        <v>156</v>
      </c>
      <c r="G730" s="17"/>
      <c r="H730" s="17" t="s">
        <v>692</v>
      </c>
      <c r="I730" s="17"/>
      <c r="J730" s="17" t="s">
        <v>693</v>
      </c>
      <c r="K730" s="17"/>
      <c r="L730" s="17"/>
      <c r="M730" s="17"/>
      <c r="N730" s="17" t="s">
        <v>6460</v>
      </c>
      <c r="O730" s="17" t="s">
        <v>7043</v>
      </c>
      <c r="P730" s="17" t="s">
        <v>7275</v>
      </c>
      <c r="Q730" s="17"/>
      <c r="R730" s="25" t="str">
        <f>HYPERLINK("https://ictv.global/taxonomy/taxondetails?taxnode_id=202314551","Teetrevirus RPN15")</f>
        <v>Teetrevirus RPN15</v>
      </c>
      <c r="S730" s="18" t="s">
        <v>30</v>
      </c>
      <c r="T730" s="18" t="s">
        <v>7292</v>
      </c>
      <c r="U730" s="18"/>
      <c r="V730" s="18"/>
      <c r="W730" s="18" t="s">
        <v>7293</v>
      </c>
      <c r="X730" s="18" t="s">
        <v>42</v>
      </c>
      <c r="Y730" s="18" t="s">
        <v>36</v>
      </c>
      <c r="Z730" s="18" t="s">
        <v>697</v>
      </c>
      <c r="AA730" s="21" t="str">
        <f>HYPERLINK("https://www.ncbi.nlm.nih.gov/nuccore/OL800605","NCBI Nucleotide")</f>
        <v>NCBI Nucleotide</v>
      </c>
    </row>
    <row r="731" spans="1:27" x14ac:dyDescent="0.35">
      <c r="A731">
        <v>1001007</v>
      </c>
      <c r="B731">
        <v>730</v>
      </c>
      <c r="C731">
        <v>1</v>
      </c>
      <c r="D731" s="17" t="s">
        <v>155</v>
      </c>
      <c r="E731" s="17"/>
      <c r="F731" s="17" t="s">
        <v>156</v>
      </c>
      <c r="G731" s="17"/>
      <c r="H731" s="17" t="s">
        <v>692</v>
      </c>
      <c r="I731" s="17"/>
      <c r="J731" s="17" t="s">
        <v>693</v>
      </c>
      <c r="K731" s="17"/>
      <c r="L731" s="17"/>
      <c r="M731" s="17"/>
      <c r="N731" s="17" t="s">
        <v>6460</v>
      </c>
      <c r="O731" s="17" t="s">
        <v>7043</v>
      </c>
      <c r="P731" s="17" t="s">
        <v>7275</v>
      </c>
      <c r="Q731" s="17"/>
      <c r="R731" s="25" t="str">
        <f>HYPERLINK("https://ictv.global/taxonomy/taxondetails?taxnode_id=202308463","Teetrevirus SGJL2")</f>
        <v>Teetrevirus SGJL2</v>
      </c>
      <c r="S731" s="18" t="s">
        <v>30</v>
      </c>
      <c r="T731" s="18" t="s">
        <v>7294</v>
      </c>
      <c r="U731" s="18"/>
      <c r="V731" s="18"/>
      <c r="W731" s="18" t="s">
        <v>7295</v>
      </c>
      <c r="X731" s="18" t="s">
        <v>42</v>
      </c>
      <c r="Y731" s="18" t="s">
        <v>36</v>
      </c>
      <c r="Z731" s="18" t="s">
        <v>697</v>
      </c>
      <c r="AA731" s="21" t="str">
        <f>HYPERLINK("https://www.ncbi.nlm.nih.gov/nuccore/EU547803","NCBI Nucleotide")</f>
        <v>NCBI Nucleotide</v>
      </c>
    </row>
    <row r="732" spans="1:27" x14ac:dyDescent="0.35">
      <c r="A732">
        <v>1001008</v>
      </c>
      <c r="B732">
        <v>731</v>
      </c>
      <c r="C732">
        <v>1</v>
      </c>
      <c r="D732" s="17" t="s">
        <v>155</v>
      </c>
      <c r="E732" s="17"/>
      <c r="F732" s="17" t="s">
        <v>156</v>
      </c>
      <c r="G732" s="17"/>
      <c r="H732" s="17" t="s">
        <v>692</v>
      </c>
      <c r="I732" s="17"/>
      <c r="J732" s="17" t="s">
        <v>693</v>
      </c>
      <c r="K732" s="17"/>
      <c r="L732" s="17"/>
      <c r="M732" s="17"/>
      <c r="N732" s="17" t="s">
        <v>6460</v>
      </c>
      <c r="O732" s="17" t="s">
        <v>7043</v>
      </c>
      <c r="P732" s="17" t="s">
        <v>7275</v>
      </c>
      <c r="Q732" s="17"/>
      <c r="R732" s="25" t="str">
        <f>HYPERLINK("https://ictv.global/taxonomy/taxondetails?taxnode_id=202308470","Teetrevirus SH1")</f>
        <v>Teetrevirus SH1</v>
      </c>
      <c r="S732" s="18" t="s">
        <v>30</v>
      </c>
      <c r="T732" s="18" t="s">
        <v>7296</v>
      </c>
      <c r="U732" s="18"/>
      <c r="V732" s="18"/>
      <c r="W732" s="18" t="s">
        <v>7297</v>
      </c>
      <c r="X732" s="18" t="s">
        <v>42</v>
      </c>
      <c r="Y732" s="18" t="s">
        <v>36</v>
      </c>
      <c r="Z732" s="18" t="s">
        <v>697</v>
      </c>
      <c r="AA732" s="21" t="str">
        <f>HYPERLINK("https://www.ncbi.nlm.nih.gov/nuccore/KU687347","NCBI Nucleotide")</f>
        <v>NCBI Nucleotide</v>
      </c>
    </row>
    <row r="733" spans="1:27" x14ac:dyDescent="0.35">
      <c r="A733">
        <v>1001009</v>
      </c>
      <c r="B733">
        <v>732</v>
      </c>
      <c r="C733">
        <v>1</v>
      </c>
      <c r="D733" s="17" t="s">
        <v>155</v>
      </c>
      <c r="E733" s="17"/>
      <c r="F733" s="17" t="s">
        <v>156</v>
      </c>
      <c r="G733" s="17"/>
      <c r="H733" s="17" t="s">
        <v>692</v>
      </c>
      <c r="I733" s="17"/>
      <c r="J733" s="17" t="s">
        <v>693</v>
      </c>
      <c r="K733" s="17"/>
      <c r="L733" s="17"/>
      <c r="M733" s="17"/>
      <c r="N733" s="17" t="s">
        <v>6460</v>
      </c>
      <c r="O733" s="17" t="s">
        <v>7043</v>
      </c>
      <c r="P733" s="17" t="s">
        <v>7275</v>
      </c>
      <c r="Q733" s="17"/>
      <c r="R733" s="25" t="str">
        <f>HYPERLINK("https://ictv.global/taxonomy/taxondetails?taxnode_id=202308471","Teetrevirus SH2")</f>
        <v>Teetrevirus SH2</v>
      </c>
      <c r="S733" s="18" t="s">
        <v>30</v>
      </c>
      <c r="T733" s="18" t="s">
        <v>7298</v>
      </c>
      <c r="U733" s="18"/>
      <c r="V733" s="18"/>
      <c r="W733" s="18" t="s">
        <v>7299</v>
      </c>
      <c r="X733" s="18" t="s">
        <v>42</v>
      </c>
      <c r="Y733" s="18" t="s">
        <v>36</v>
      </c>
      <c r="Z733" s="18" t="s">
        <v>697</v>
      </c>
      <c r="AA733" s="21" t="str">
        <f>HYPERLINK("https://www.ncbi.nlm.nih.gov/nuccore/KU687348","NCBI Nucleotide")</f>
        <v>NCBI Nucleotide</v>
      </c>
    </row>
    <row r="734" spans="1:27" x14ac:dyDescent="0.35">
      <c r="A734">
        <v>1001010</v>
      </c>
      <c r="B734">
        <v>733</v>
      </c>
      <c r="C734">
        <v>1</v>
      </c>
      <c r="D734" s="17" t="s">
        <v>155</v>
      </c>
      <c r="E734" s="17"/>
      <c r="F734" s="17" t="s">
        <v>156</v>
      </c>
      <c r="G734" s="17"/>
      <c r="H734" s="17" t="s">
        <v>692</v>
      </c>
      <c r="I734" s="17"/>
      <c r="J734" s="17" t="s">
        <v>693</v>
      </c>
      <c r="K734" s="17"/>
      <c r="L734" s="17"/>
      <c r="M734" s="17"/>
      <c r="N734" s="17" t="s">
        <v>6460</v>
      </c>
      <c r="O734" s="17" t="s">
        <v>7043</v>
      </c>
      <c r="P734" s="17" t="s">
        <v>7275</v>
      </c>
      <c r="Q734" s="17"/>
      <c r="R734" s="25" t="str">
        <f>HYPERLINK("https://ictv.global/taxonomy/taxondetails?taxnode_id=202308473","Teetrevirus SM93Y")</f>
        <v>Teetrevirus SM93Y</v>
      </c>
      <c r="S734" s="18" t="s">
        <v>30</v>
      </c>
      <c r="T734" s="18" t="s">
        <v>7300</v>
      </c>
      <c r="U734" s="18"/>
      <c r="V734" s="18"/>
      <c r="W734" s="18" t="s">
        <v>7301</v>
      </c>
      <c r="X734" s="18" t="s">
        <v>42</v>
      </c>
      <c r="Y734" s="18" t="s">
        <v>36</v>
      </c>
      <c r="Z734" s="18" t="s">
        <v>697</v>
      </c>
      <c r="AA734" s="21" t="str">
        <f>HYPERLINK("https://www.ncbi.nlm.nih.gov/nuccore/KX778611","NCBI Nucleotide")</f>
        <v>NCBI Nucleotide</v>
      </c>
    </row>
    <row r="735" spans="1:27" x14ac:dyDescent="0.35">
      <c r="A735">
        <v>1001011</v>
      </c>
      <c r="B735">
        <v>734</v>
      </c>
      <c r="C735">
        <v>1</v>
      </c>
      <c r="D735" s="17" t="s">
        <v>155</v>
      </c>
      <c r="E735" s="17"/>
      <c r="F735" s="17" t="s">
        <v>156</v>
      </c>
      <c r="G735" s="17"/>
      <c r="H735" s="17" t="s">
        <v>692</v>
      </c>
      <c r="I735" s="17"/>
      <c r="J735" s="17" t="s">
        <v>693</v>
      </c>
      <c r="K735" s="17"/>
      <c r="L735" s="17"/>
      <c r="M735" s="17"/>
      <c r="N735" s="17" t="s">
        <v>6460</v>
      </c>
      <c r="O735" s="17" t="s">
        <v>7043</v>
      </c>
      <c r="P735" s="17" t="s">
        <v>7275</v>
      </c>
      <c r="Q735" s="17"/>
      <c r="R735" s="25" t="str">
        <f>HYPERLINK("https://ictv.global/taxonomy/taxondetails?taxnode_id=202308460","Teetrevirus T3")</f>
        <v>Teetrevirus T3</v>
      </c>
      <c r="S735" s="18" t="s">
        <v>30</v>
      </c>
      <c r="T735" s="18" t="s">
        <v>7302</v>
      </c>
      <c r="U735" s="18"/>
      <c r="V735" s="18"/>
      <c r="W735" s="18" t="s">
        <v>7303</v>
      </c>
      <c r="X735" s="18" t="s">
        <v>42</v>
      </c>
      <c r="Y735" s="18" t="s">
        <v>36</v>
      </c>
      <c r="Z735" s="18" t="s">
        <v>697</v>
      </c>
      <c r="AA735" s="21" t="str">
        <f>HYPERLINK("https://www.ncbi.nlm.nih.gov/nuccore/KC960671","NCBI Nucleotide")</f>
        <v>NCBI Nucleotide</v>
      </c>
    </row>
    <row r="736" spans="1:27" x14ac:dyDescent="0.35">
      <c r="A736">
        <v>1001012</v>
      </c>
      <c r="B736">
        <v>735</v>
      </c>
      <c r="C736">
        <v>1</v>
      </c>
      <c r="D736" s="17" t="s">
        <v>155</v>
      </c>
      <c r="E736" s="17"/>
      <c r="F736" s="17" t="s">
        <v>156</v>
      </c>
      <c r="G736" s="17"/>
      <c r="H736" s="17" t="s">
        <v>692</v>
      </c>
      <c r="I736" s="17"/>
      <c r="J736" s="17" t="s">
        <v>693</v>
      </c>
      <c r="K736" s="17"/>
      <c r="L736" s="17"/>
      <c r="M736" s="17"/>
      <c r="N736" s="17" t="s">
        <v>6460</v>
      </c>
      <c r="O736" s="17" t="s">
        <v>7043</v>
      </c>
      <c r="P736" s="17" t="s">
        <v>7275</v>
      </c>
      <c r="Q736" s="17"/>
      <c r="R736" s="25" t="str">
        <f>HYPERLINK("https://ictv.global/taxonomy/taxondetails?taxnode_id=202308462","Teetrevirus T3Luria")</f>
        <v>Teetrevirus T3Luria</v>
      </c>
      <c r="S736" s="18" t="s">
        <v>30</v>
      </c>
      <c r="T736" s="18" t="s">
        <v>7304</v>
      </c>
      <c r="U736" s="18"/>
      <c r="V736" s="18"/>
      <c r="W736" s="18" t="s">
        <v>7305</v>
      </c>
      <c r="X736" s="18" t="s">
        <v>42</v>
      </c>
      <c r="Y736" s="18" t="s">
        <v>36</v>
      </c>
      <c r="Z736" s="18" t="s">
        <v>697</v>
      </c>
      <c r="AA736" s="21" t="str">
        <f>HYPERLINK("https://www.ncbi.nlm.nih.gov/nuccore/AJ318471","NCBI Nucleotide")</f>
        <v>NCBI Nucleotide</v>
      </c>
    </row>
    <row r="737" spans="1:27" x14ac:dyDescent="0.35">
      <c r="A737">
        <v>1001013</v>
      </c>
      <c r="B737">
        <v>736</v>
      </c>
      <c r="C737">
        <v>1</v>
      </c>
      <c r="D737" s="17" t="s">
        <v>155</v>
      </c>
      <c r="E737" s="17"/>
      <c r="F737" s="17" t="s">
        <v>156</v>
      </c>
      <c r="G737" s="17"/>
      <c r="H737" s="17" t="s">
        <v>692</v>
      </c>
      <c r="I737" s="17"/>
      <c r="J737" s="17" t="s">
        <v>693</v>
      </c>
      <c r="K737" s="17"/>
      <c r="L737" s="17"/>
      <c r="M737" s="17"/>
      <c r="N737" s="17" t="s">
        <v>6460</v>
      </c>
      <c r="O737" s="17" t="s">
        <v>7043</v>
      </c>
      <c r="P737" s="17" t="s">
        <v>7275</v>
      </c>
      <c r="Q737" s="17"/>
      <c r="R737" s="25" t="str">
        <f>HYPERLINK("https://ictv.global/taxonomy/taxondetails?taxnode_id=202308464","Teetrevirus T7M")</f>
        <v>Teetrevirus T7M</v>
      </c>
      <c r="S737" s="18" t="s">
        <v>30</v>
      </c>
      <c r="T737" s="18" t="s">
        <v>7306</v>
      </c>
      <c r="U737" s="18"/>
      <c r="V737" s="18"/>
      <c r="W737" s="18" t="s">
        <v>7307</v>
      </c>
      <c r="X737" s="18" t="s">
        <v>42</v>
      </c>
      <c r="Y737" s="18" t="s">
        <v>36</v>
      </c>
      <c r="Z737" s="18" t="s">
        <v>697</v>
      </c>
      <c r="AA737" s="21" t="str">
        <f>HYPERLINK("https://www.ncbi.nlm.nih.gov/nuccore/JX421753","NCBI Nucleotide")</f>
        <v>NCBI Nucleotide</v>
      </c>
    </row>
    <row r="738" spans="1:27" x14ac:dyDescent="0.35">
      <c r="A738">
        <v>1001014</v>
      </c>
      <c r="B738">
        <v>737</v>
      </c>
      <c r="C738">
        <v>1</v>
      </c>
      <c r="D738" s="17" t="s">
        <v>155</v>
      </c>
      <c r="E738" s="17"/>
      <c r="F738" s="17" t="s">
        <v>156</v>
      </c>
      <c r="G738" s="17"/>
      <c r="H738" s="17" t="s">
        <v>692</v>
      </c>
      <c r="I738" s="17"/>
      <c r="J738" s="17" t="s">
        <v>693</v>
      </c>
      <c r="K738" s="17"/>
      <c r="L738" s="17"/>
      <c r="M738" s="17"/>
      <c r="N738" s="17" t="s">
        <v>6460</v>
      </c>
      <c r="O738" s="17" t="s">
        <v>7043</v>
      </c>
      <c r="P738" s="17" t="s">
        <v>7275</v>
      </c>
      <c r="Q738" s="17"/>
      <c r="R738" s="25" t="str">
        <f>HYPERLINK("https://ictv.global/taxonomy/taxondetails?taxnode_id=202308474","Teetrevirus tv10164302")</f>
        <v>Teetrevirus tv10164302</v>
      </c>
      <c r="S738" s="18" t="s">
        <v>30</v>
      </c>
      <c r="T738" s="18" t="s">
        <v>7308</v>
      </c>
      <c r="U738" s="18"/>
      <c r="V738" s="18"/>
      <c r="W738" s="18" t="s">
        <v>7309</v>
      </c>
      <c r="X738" s="18" t="s">
        <v>42</v>
      </c>
      <c r="Y738" s="18" t="s">
        <v>36</v>
      </c>
      <c r="Z738" s="18" t="s">
        <v>697</v>
      </c>
      <c r="AA738" s="21" t="str">
        <f>HYPERLINK("https://www.ncbi.nlm.nih.gov/nuccore/MF285616","NCBI Nucleotide")</f>
        <v>NCBI Nucleotide</v>
      </c>
    </row>
    <row r="739" spans="1:27" x14ac:dyDescent="0.35">
      <c r="A739">
        <v>1001015</v>
      </c>
      <c r="B739">
        <v>738</v>
      </c>
      <c r="C739">
        <v>1</v>
      </c>
      <c r="D739" s="17" t="s">
        <v>155</v>
      </c>
      <c r="E739" s="17"/>
      <c r="F739" s="17" t="s">
        <v>156</v>
      </c>
      <c r="G739" s="17"/>
      <c r="H739" s="17" t="s">
        <v>692</v>
      </c>
      <c r="I739" s="17"/>
      <c r="J739" s="17" t="s">
        <v>693</v>
      </c>
      <c r="K739" s="17"/>
      <c r="L739" s="17"/>
      <c r="M739" s="17"/>
      <c r="N739" s="17" t="s">
        <v>6460</v>
      </c>
      <c r="O739" s="17" t="s">
        <v>7043</v>
      </c>
      <c r="P739" s="17" t="s">
        <v>7275</v>
      </c>
      <c r="Q739" s="17"/>
      <c r="R739" s="25" t="str">
        <f>HYPERLINK("https://ictv.global/taxonomy/taxondetails?taxnode_id=202308469","Teetrevirus YeF10")</f>
        <v>Teetrevirus YeF10</v>
      </c>
      <c r="S739" s="18" t="s">
        <v>30</v>
      </c>
      <c r="T739" s="18" t="s">
        <v>7310</v>
      </c>
      <c r="U739" s="18"/>
      <c r="V739" s="18"/>
      <c r="W739" s="18" t="s">
        <v>7311</v>
      </c>
      <c r="X739" s="18" t="s">
        <v>42</v>
      </c>
      <c r="Y739" s="18" t="s">
        <v>36</v>
      </c>
      <c r="Z739" s="18" t="s">
        <v>697</v>
      </c>
      <c r="AA739" s="21" t="str">
        <f>HYPERLINK("https://www.ncbi.nlm.nih.gov/nuccore/KT008108","NCBI Nucleotide")</f>
        <v>NCBI Nucleotide</v>
      </c>
    </row>
    <row r="740" spans="1:27" x14ac:dyDescent="0.35">
      <c r="A740">
        <v>1001016</v>
      </c>
      <c r="B740">
        <v>739</v>
      </c>
      <c r="C740">
        <v>1</v>
      </c>
      <c r="D740" s="17" t="s">
        <v>155</v>
      </c>
      <c r="E740" s="17"/>
      <c r="F740" s="17" t="s">
        <v>156</v>
      </c>
      <c r="G740" s="17"/>
      <c r="H740" s="17" t="s">
        <v>692</v>
      </c>
      <c r="I740" s="17"/>
      <c r="J740" s="17" t="s">
        <v>693</v>
      </c>
      <c r="K740" s="17"/>
      <c r="L740" s="17"/>
      <c r="M740" s="17"/>
      <c r="N740" s="17" t="s">
        <v>6460</v>
      </c>
      <c r="O740" s="17" t="s">
        <v>7043</v>
      </c>
      <c r="P740" s="17" t="s">
        <v>7275</v>
      </c>
      <c r="Q740" s="17"/>
      <c r="R740" s="25" t="str">
        <f>HYPERLINK("https://ictv.global/taxonomy/taxondetails?taxnode_id=202308461","Teetrevirus YeO312")</f>
        <v>Teetrevirus YeO312</v>
      </c>
      <c r="S740" s="18" t="s">
        <v>30</v>
      </c>
      <c r="T740" s="18" t="s">
        <v>7312</v>
      </c>
      <c r="U740" s="18"/>
      <c r="V740" s="18"/>
      <c r="W740" s="18" t="s">
        <v>7313</v>
      </c>
      <c r="X740" s="18" t="s">
        <v>42</v>
      </c>
      <c r="Y740" s="18" t="s">
        <v>36</v>
      </c>
      <c r="Z740" s="18" t="s">
        <v>697</v>
      </c>
      <c r="AA740" s="21" t="str">
        <f>HYPERLINK("https://www.ncbi.nlm.nih.gov/nuccore/AJ251805","NCBI Nucleotide")</f>
        <v>NCBI Nucleotide</v>
      </c>
    </row>
    <row r="741" spans="1:27" x14ac:dyDescent="0.35">
      <c r="A741">
        <v>1001017</v>
      </c>
      <c r="B741">
        <v>740</v>
      </c>
      <c r="C741">
        <v>1</v>
      </c>
      <c r="D741" s="17" t="s">
        <v>155</v>
      </c>
      <c r="E741" s="17"/>
      <c r="F741" s="17" t="s">
        <v>156</v>
      </c>
      <c r="G741" s="17"/>
      <c r="H741" s="17" t="s">
        <v>692</v>
      </c>
      <c r="I741" s="17"/>
      <c r="J741" s="17" t="s">
        <v>693</v>
      </c>
      <c r="K741" s="17"/>
      <c r="L741" s="17"/>
      <c r="M741" s="17"/>
      <c r="N741" s="17" t="s">
        <v>6460</v>
      </c>
      <c r="O741" s="17" t="s">
        <v>7043</v>
      </c>
      <c r="P741" s="17" t="s">
        <v>7314</v>
      </c>
      <c r="Q741" s="17"/>
      <c r="R741" s="25" t="str">
        <f>HYPERLINK("https://ictv.global/taxonomy/taxondetails?taxnode_id=202308478","Teseptimavirus 13a")</f>
        <v>Teseptimavirus 13a</v>
      </c>
      <c r="S741" s="18" t="s">
        <v>30</v>
      </c>
      <c r="T741" s="18" t="s">
        <v>7315</v>
      </c>
      <c r="U741" s="18"/>
      <c r="V741" s="18"/>
      <c r="W741" s="18" t="s">
        <v>7316</v>
      </c>
      <c r="X741" s="18" t="s">
        <v>42</v>
      </c>
      <c r="Y741" s="18" t="s">
        <v>36</v>
      </c>
      <c r="Z741" s="18" t="s">
        <v>697</v>
      </c>
      <c r="AA741" s="21" t="str">
        <f>HYPERLINK("https://www.ncbi.nlm.nih.gov/nuccore/EU734174","NCBI Nucleotide")</f>
        <v>NCBI Nucleotide</v>
      </c>
    </row>
    <row r="742" spans="1:27" x14ac:dyDescent="0.35">
      <c r="A742">
        <v>1001018</v>
      </c>
      <c r="B742">
        <v>741</v>
      </c>
      <c r="C742">
        <v>1</v>
      </c>
      <c r="D742" s="17" t="s">
        <v>155</v>
      </c>
      <c r="E742" s="17"/>
      <c r="F742" s="17" t="s">
        <v>156</v>
      </c>
      <c r="G742" s="17"/>
      <c r="H742" s="17" t="s">
        <v>692</v>
      </c>
      <c r="I742" s="17"/>
      <c r="J742" s="17" t="s">
        <v>693</v>
      </c>
      <c r="K742" s="17"/>
      <c r="L742" s="17"/>
      <c r="M742" s="17"/>
      <c r="N742" s="17" t="s">
        <v>6460</v>
      </c>
      <c r="O742" s="17" t="s">
        <v>7043</v>
      </c>
      <c r="P742" s="17" t="s">
        <v>7314</v>
      </c>
      <c r="Q742" s="17"/>
      <c r="R742" s="25" t="str">
        <f>HYPERLINK("https://ictv.global/taxonomy/taxondetails?taxnode_id=202308490","Teseptimavirus C5")</f>
        <v>Teseptimavirus C5</v>
      </c>
      <c r="S742" s="18" t="s">
        <v>30</v>
      </c>
      <c r="T742" s="18" t="s">
        <v>7317</v>
      </c>
      <c r="U742" s="18"/>
      <c r="V742" s="18"/>
      <c r="W742" s="18" t="s">
        <v>7318</v>
      </c>
      <c r="X742" s="18" t="s">
        <v>42</v>
      </c>
      <c r="Y742" s="18" t="s">
        <v>36</v>
      </c>
      <c r="Z742" s="18" t="s">
        <v>697</v>
      </c>
      <c r="AA742" s="21" t="str">
        <f>HYPERLINK("https://www.ncbi.nlm.nih.gov/nuccore/MH717099","NCBI Nucleotide")</f>
        <v>NCBI Nucleotide</v>
      </c>
    </row>
    <row r="743" spans="1:27" x14ac:dyDescent="0.35">
      <c r="A743">
        <v>1001019</v>
      </c>
      <c r="B743">
        <v>742</v>
      </c>
      <c r="C743">
        <v>1</v>
      </c>
      <c r="D743" s="17" t="s">
        <v>155</v>
      </c>
      <c r="E743" s="17"/>
      <c r="F743" s="17" t="s">
        <v>156</v>
      </c>
      <c r="G743" s="17"/>
      <c r="H743" s="17" t="s">
        <v>692</v>
      </c>
      <c r="I743" s="17"/>
      <c r="J743" s="17" t="s">
        <v>693</v>
      </c>
      <c r="K743" s="17"/>
      <c r="L743" s="17"/>
      <c r="M743" s="17"/>
      <c r="N743" s="17" t="s">
        <v>6460</v>
      </c>
      <c r="O743" s="17" t="s">
        <v>7043</v>
      </c>
      <c r="P743" s="17" t="s">
        <v>7314</v>
      </c>
      <c r="Q743" s="17"/>
      <c r="R743" s="25" t="str">
        <f>HYPERLINK("https://ictv.global/taxonomy/taxondetails?taxnode_id=202308483","Teseptimavirus CICC80001")</f>
        <v>Teseptimavirus CICC80001</v>
      </c>
      <c r="S743" s="18" t="s">
        <v>30</v>
      </c>
      <c r="T743" s="18" t="s">
        <v>7319</v>
      </c>
      <c r="U743" s="18"/>
      <c r="V743" s="18"/>
      <c r="W743" s="18" t="s">
        <v>7320</v>
      </c>
      <c r="X743" s="18" t="s">
        <v>42</v>
      </c>
      <c r="Y743" s="18" t="s">
        <v>36</v>
      </c>
      <c r="Z743" s="18" t="s">
        <v>697</v>
      </c>
      <c r="AA743" s="21" t="str">
        <f>HYPERLINK("https://www.ncbi.nlm.nih.gov/nuccore/KM242061","NCBI Nucleotide")</f>
        <v>NCBI Nucleotide</v>
      </c>
    </row>
    <row r="744" spans="1:27" x14ac:dyDescent="0.35">
      <c r="A744">
        <v>1001020</v>
      </c>
      <c r="B744">
        <v>743</v>
      </c>
      <c r="C744">
        <v>1</v>
      </c>
      <c r="D744" s="17" t="s">
        <v>155</v>
      </c>
      <c r="E744" s="17"/>
      <c r="F744" s="17" t="s">
        <v>156</v>
      </c>
      <c r="G744" s="17"/>
      <c r="H744" s="17" t="s">
        <v>692</v>
      </c>
      <c r="I744" s="17"/>
      <c r="J744" s="17" t="s">
        <v>693</v>
      </c>
      <c r="K744" s="17"/>
      <c r="L744" s="17"/>
      <c r="M744" s="17"/>
      <c r="N744" s="17" t="s">
        <v>6460</v>
      </c>
      <c r="O744" s="17" t="s">
        <v>7043</v>
      </c>
      <c r="P744" s="17" t="s">
        <v>7314</v>
      </c>
      <c r="Q744" s="17"/>
      <c r="R744" s="25" t="str">
        <f>HYPERLINK("https://ictv.global/taxonomy/taxondetails?taxnode_id=202308487","Teseptimavirus ebrios")</f>
        <v>Teseptimavirus ebrios</v>
      </c>
      <c r="S744" s="18" t="s">
        <v>30</v>
      </c>
      <c r="T744" s="18" t="s">
        <v>7321</v>
      </c>
      <c r="U744" s="18"/>
      <c r="V744" s="18"/>
      <c r="W744" s="18" t="s">
        <v>7322</v>
      </c>
      <c r="X744" s="18" t="s">
        <v>42</v>
      </c>
      <c r="Y744" s="18" t="s">
        <v>36</v>
      </c>
      <c r="Z744" s="18" t="s">
        <v>697</v>
      </c>
      <c r="AA744" s="21" t="str">
        <f>HYPERLINK("https://www.ncbi.nlm.nih.gov/nuccore/MG966531","NCBI Nucleotide")</f>
        <v>NCBI Nucleotide</v>
      </c>
    </row>
    <row r="745" spans="1:27" x14ac:dyDescent="0.35">
      <c r="A745">
        <v>1001021</v>
      </c>
      <c r="B745">
        <v>744</v>
      </c>
      <c r="C745">
        <v>1</v>
      </c>
      <c r="D745" s="17" t="s">
        <v>155</v>
      </c>
      <c r="E745" s="17"/>
      <c r="F745" s="17" t="s">
        <v>156</v>
      </c>
      <c r="G745" s="17"/>
      <c r="H745" s="17" t="s">
        <v>692</v>
      </c>
      <c r="I745" s="17"/>
      <c r="J745" s="17" t="s">
        <v>693</v>
      </c>
      <c r="K745" s="17"/>
      <c r="L745" s="17"/>
      <c r="M745" s="17"/>
      <c r="N745" s="17" t="s">
        <v>6460</v>
      </c>
      <c r="O745" s="17" t="s">
        <v>7043</v>
      </c>
      <c r="P745" s="17" t="s">
        <v>7314</v>
      </c>
      <c r="Q745" s="17"/>
      <c r="R745" s="25" t="str">
        <f>HYPERLINK("https://ictv.global/taxonomy/taxondetails?taxnode_id=202308485","Teseptimavirus EG1")</f>
        <v>Teseptimavirus EG1</v>
      </c>
      <c r="S745" s="18" t="s">
        <v>30</v>
      </c>
      <c r="T745" s="18" t="s">
        <v>7323</v>
      </c>
      <c r="U745" s="18"/>
      <c r="V745" s="18"/>
      <c r="W745" s="18" t="s">
        <v>7324</v>
      </c>
      <c r="X745" s="18" t="s">
        <v>42</v>
      </c>
      <c r="Y745" s="18" t="s">
        <v>36</v>
      </c>
      <c r="Z745" s="18" t="s">
        <v>697</v>
      </c>
      <c r="AA745" s="21" t="str">
        <f>HYPERLINK("https://www.ncbi.nlm.nih.gov/nuccore/MG488277","NCBI Nucleotide")</f>
        <v>NCBI Nucleotide</v>
      </c>
    </row>
    <row r="746" spans="1:27" x14ac:dyDescent="0.35">
      <c r="A746">
        <v>1001022</v>
      </c>
      <c r="B746">
        <v>745</v>
      </c>
      <c r="C746">
        <v>1</v>
      </c>
      <c r="D746" s="17" t="s">
        <v>155</v>
      </c>
      <c r="E746" s="17"/>
      <c r="F746" s="17" t="s">
        <v>156</v>
      </c>
      <c r="G746" s="17"/>
      <c r="H746" s="17" t="s">
        <v>692</v>
      </c>
      <c r="I746" s="17"/>
      <c r="J746" s="17" t="s">
        <v>693</v>
      </c>
      <c r="K746" s="17"/>
      <c r="L746" s="17"/>
      <c r="M746" s="17"/>
      <c r="N746" s="17" t="s">
        <v>6460</v>
      </c>
      <c r="O746" s="17" t="s">
        <v>7043</v>
      </c>
      <c r="P746" s="17" t="s">
        <v>7314</v>
      </c>
      <c r="Q746" s="17"/>
      <c r="R746" s="25" t="str">
        <f>HYPERLINK("https://ictv.global/taxonomy/taxondetails?taxnode_id=202308486","Teseptimavirus HZ2R8")</f>
        <v>Teseptimavirus HZ2R8</v>
      </c>
      <c r="S746" s="18" t="s">
        <v>30</v>
      </c>
      <c r="T746" s="18" t="s">
        <v>7325</v>
      </c>
      <c r="U746" s="18"/>
      <c r="V746" s="18"/>
      <c r="W746" s="18" t="s">
        <v>7326</v>
      </c>
      <c r="X746" s="18" t="s">
        <v>42</v>
      </c>
      <c r="Y746" s="18" t="s">
        <v>36</v>
      </c>
      <c r="Z746" s="18" t="s">
        <v>697</v>
      </c>
      <c r="AA746" s="21" t="str">
        <f>HYPERLINK("https://www.ncbi.nlm.nih.gov/nuccore/MG832642","NCBI Nucleotide")</f>
        <v>NCBI Nucleotide</v>
      </c>
    </row>
    <row r="747" spans="1:27" x14ac:dyDescent="0.35">
      <c r="A747">
        <v>1001351</v>
      </c>
      <c r="B747">
        <v>746</v>
      </c>
      <c r="C747">
        <v>1</v>
      </c>
      <c r="D747" s="17" t="s">
        <v>155</v>
      </c>
      <c r="E747" s="17"/>
      <c r="F747" s="17" t="s">
        <v>156</v>
      </c>
      <c r="G747" s="17"/>
      <c r="H747" s="17" t="s">
        <v>692</v>
      </c>
      <c r="I747" s="17"/>
      <c r="J747" s="17" t="s">
        <v>693</v>
      </c>
      <c r="K747" s="17"/>
      <c r="L747" s="17"/>
      <c r="M747" s="17"/>
      <c r="N747" s="17" t="s">
        <v>6460</v>
      </c>
      <c r="O747" s="17" t="s">
        <v>7043</v>
      </c>
      <c r="P747" s="17" t="s">
        <v>7314</v>
      </c>
      <c r="Q747" s="17"/>
      <c r="R747" s="25" t="str">
        <f>HYPERLINK("https://ictv.global/taxonomy/taxondetails?taxnode_id=202308492","Teseptimavirus HZP2")</f>
        <v>Teseptimavirus HZP2</v>
      </c>
      <c r="S747" s="18" t="s">
        <v>30</v>
      </c>
      <c r="T747" s="18" t="s">
        <v>7327</v>
      </c>
      <c r="U747" s="18"/>
      <c r="V747" s="18"/>
      <c r="W747" s="18" t="s">
        <v>7328</v>
      </c>
      <c r="X747" s="18" t="s">
        <v>42</v>
      </c>
      <c r="Y747" s="18" t="s">
        <v>36</v>
      </c>
      <c r="Z747" s="18" t="s">
        <v>697</v>
      </c>
      <c r="AA747" s="21" t="str">
        <f>HYPERLINK("https://www.ncbi.nlm.nih.gov/nuccore/MK542821","NCBI Nucleotide")</f>
        <v>NCBI Nucleotide</v>
      </c>
    </row>
    <row r="748" spans="1:27" x14ac:dyDescent="0.35">
      <c r="A748">
        <v>1001352</v>
      </c>
      <c r="B748">
        <v>747</v>
      </c>
      <c r="C748">
        <v>1</v>
      </c>
      <c r="D748" s="17" t="s">
        <v>155</v>
      </c>
      <c r="E748" s="17"/>
      <c r="F748" s="17" t="s">
        <v>156</v>
      </c>
      <c r="G748" s="17"/>
      <c r="H748" s="17" t="s">
        <v>692</v>
      </c>
      <c r="I748" s="17"/>
      <c r="J748" s="17" t="s">
        <v>693</v>
      </c>
      <c r="K748" s="17"/>
      <c r="L748" s="17"/>
      <c r="M748" s="17"/>
      <c r="N748" s="17" t="s">
        <v>6460</v>
      </c>
      <c r="O748" s="17" t="s">
        <v>7043</v>
      </c>
      <c r="P748" s="17" t="s">
        <v>7314</v>
      </c>
      <c r="Q748" s="17"/>
      <c r="R748" s="25" t="str">
        <f>HYPERLINK("https://ictv.global/taxonomy/taxondetails?taxnode_id=202308482","Teseptimavirus IME15")</f>
        <v>Teseptimavirus IME15</v>
      </c>
      <c r="S748" s="18" t="s">
        <v>30</v>
      </c>
      <c r="T748" s="18" t="s">
        <v>7329</v>
      </c>
      <c r="U748" s="18"/>
      <c r="V748" s="18"/>
      <c r="W748" s="18" t="s">
        <v>7330</v>
      </c>
      <c r="X748" s="18" t="s">
        <v>42</v>
      </c>
      <c r="Y748" s="18" t="s">
        <v>36</v>
      </c>
      <c r="Z748" s="18" t="s">
        <v>697</v>
      </c>
      <c r="AA748" s="21" t="str">
        <f>HYPERLINK("https://www.ncbi.nlm.nih.gov/nuccore/JX872508","NCBI Nucleotide")</f>
        <v>NCBI Nucleotide</v>
      </c>
    </row>
    <row r="749" spans="1:27" x14ac:dyDescent="0.35">
      <c r="A749">
        <v>1001353</v>
      </c>
      <c r="B749">
        <v>748</v>
      </c>
      <c r="C749">
        <v>1</v>
      </c>
      <c r="D749" s="17" t="s">
        <v>155</v>
      </c>
      <c r="E749" s="17"/>
      <c r="F749" s="17" t="s">
        <v>156</v>
      </c>
      <c r="G749" s="17"/>
      <c r="H749" s="17" t="s">
        <v>692</v>
      </c>
      <c r="I749" s="17"/>
      <c r="J749" s="17" t="s">
        <v>693</v>
      </c>
      <c r="K749" s="17"/>
      <c r="L749" s="17"/>
      <c r="M749" s="17"/>
      <c r="N749" s="17" t="s">
        <v>6460</v>
      </c>
      <c r="O749" s="17" t="s">
        <v>7043</v>
      </c>
      <c r="P749" s="17" t="s">
        <v>7314</v>
      </c>
      <c r="Q749" s="17"/>
      <c r="R749" s="25" t="str">
        <f>HYPERLINK("https://ictv.global/taxonomy/taxondetails?taxnode_id=202308491","Teseptimavirus IME390")</f>
        <v>Teseptimavirus IME390</v>
      </c>
      <c r="S749" s="18" t="s">
        <v>30</v>
      </c>
      <c r="T749" s="18" t="s">
        <v>7331</v>
      </c>
      <c r="U749" s="18"/>
      <c r="V749" s="18"/>
      <c r="W749" s="18" t="s">
        <v>7332</v>
      </c>
      <c r="X749" s="18" t="s">
        <v>42</v>
      </c>
      <c r="Y749" s="18" t="s">
        <v>36</v>
      </c>
      <c r="Z749" s="18" t="s">
        <v>697</v>
      </c>
      <c r="AA749" s="21" t="str">
        <f>HYPERLINK("https://www.ncbi.nlm.nih.gov/nuccore/MH779619","NCBI Nucleotide")</f>
        <v>NCBI Nucleotide</v>
      </c>
    </row>
    <row r="750" spans="1:27" x14ac:dyDescent="0.35">
      <c r="A750">
        <v>1001354</v>
      </c>
      <c r="B750">
        <v>749</v>
      </c>
      <c r="C750">
        <v>1</v>
      </c>
      <c r="D750" s="17" t="s">
        <v>155</v>
      </c>
      <c r="E750" s="17"/>
      <c r="F750" s="17" t="s">
        <v>156</v>
      </c>
      <c r="G750" s="17"/>
      <c r="H750" s="17" t="s">
        <v>692</v>
      </c>
      <c r="I750" s="17"/>
      <c r="J750" s="17" t="s">
        <v>693</v>
      </c>
      <c r="K750" s="17"/>
      <c r="L750" s="17"/>
      <c r="M750" s="17"/>
      <c r="N750" s="17" t="s">
        <v>6460</v>
      </c>
      <c r="O750" s="17" t="s">
        <v>7043</v>
      </c>
      <c r="P750" s="17" t="s">
        <v>7314</v>
      </c>
      <c r="Q750" s="17"/>
      <c r="R750" s="25" t="str">
        <f>HYPERLINK("https://ictv.global/taxonomy/taxondetails?taxnode_id=202308489","Teseptimavirus N30")</f>
        <v>Teseptimavirus N30</v>
      </c>
      <c r="S750" s="18" t="s">
        <v>30</v>
      </c>
      <c r="T750" s="18" t="s">
        <v>7333</v>
      </c>
      <c r="U750" s="18"/>
      <c r="V750" s="18"/>
      <c r="W750" s="18" t="s">
        <v>7334</v>
      </c>
      <c r="X750" s="18" t="s">
        <v>42</v>
      </c>
      <c r="Y750" s="18" t="s">
        <v>36</v>
      </c>
      <c r="Z750" s="18" t="s">
        <v>697</v>
      </c>
      <c r="AA750" s="21" t="str">
        <f>HYPERLINK("https://www.ncbi.nlm.nih.gov/nuccore/MH717098","NCBI Nucleotide")</f>
        <v>NCBI Nucleotide</v>
      </c>
    </row>
    <row r="751" spans="1:27" x14ac:dyDescent="0.35">
      <c r="A751">
        <v>1001355</v>
      </c>
      <c r="B751">
        <v>750</v>
      </c>
      <c r="C751">
        <v>1</v>
      </c>
      <c r="D751" s="17" t="s">
        <v>155</v>
      </c>
      <c r="E751" s="17"/>
      <c r="F751" s="17" t="s">
        <v>156</v>
      </c>
      <c r="G751" s="17"/>
      <c r="H751" s="17" t="s">
        <v>692</v>
      </c>
      <c r="I751" s="17"/>
      <c r="J751" s="17" t="s">
        <v>693</v>
      </c>
      <c r="K751" s="17"/>
      <c r="L751" s="17"/>
      <c r="M751" s="17"/>
      <c r="N751" s="17" t="s">
        <v>6460</v>
      </c>
      <c r="O751" s="17" t="s">
        <v>7043</v>
      </c>
      <c r="P751" s="17" t="s">
        <v>7314</v>
      </c>
      <c r="Q751" s="17"/>
      <c r="R751" s="25" t="str">
        <f>HYPERLINK("https://ictv.global/taxonomy/taxondetails?taxnode_id=202308493","Teseptimavirus NCA")</f>
        <v>Teseptimavirus NCA</v>
      </c>
      <c r="S751" s="18" t="s">
        <v>30</v>
      </c>
      <c r="T751" s="18" t="s">
        <v>7335</v>
      </c>
      <c r="U751" s="18"/>
      <c r="V751" s="18"/>
      <c r="W751" s="18" t="s">
        <v>7336</v>
      </c>
      <c r="X751" s="18" t="s">
        <v>42</v>
      </c>
      <c r="Y751" s="18" t="s">
        <v>36</v>
      </c>
      <c r="Z751" s="18" t="s">
        <v>697</v>
      </c>
      <c r="AA751" s="21" t="str">
        <f>HYPERLINK("https://www.ncbi.nlm.nih.gov/nuccore/MK310182","NCBI Nucleotide")</f>
        <v>NCBI Nucleotide</v>
      </c>
    </row>
    <row r="752" spans="1:27" x14ac:dyDescent="0.35">
      <c r="A752">
        <v>1001356</v>
      </c>
      <c r="B752">
        <v>751</v>
      </c>
      <c r="C752">
        <v>1</v>
      </c>
      <c r="D752" s="17" t="s">
        <v>155</v>
      </c>
      <c r="E752" s="17"/>
      <c r="F752" s="17" t="s">
        <v>156</v>
      </c>
      <c r="G752" s="17"/>
      <c r="H752" s="17" t="s">
        <v>692</v>
      </c>
      <c r="I752" s="17"/>
      <c r="J752" s="17" t="s">
        <v>693</v>
      </c>
      <c r="K752" s="17"/>
      <c r="L752" s="17"/>
      <c r="M752" s="17"/>
      <c r="N752" s="17" t="s">
        <v>6460</v>
      </c>
      <c r="O752" s="17" t="s">
        <v>7043</v>
      </c>
      <c r="P752" s="17" t="s">
        <v>7314</v>
      </c>
      <c r="Q752" s="17"/>
      <c r="R752" s="25" t="str">
        <f>HYPERLINK("https://ictv.global/taxonomy/taxondetails?taxnode_id=202300583","Teseptimavirus T7")</f>
        <v>Teseptimavirus T7</v>
      </c>
      <c r="S752" s="18" t="s">
        <v>30</v>
      </c>
      <c r="T752" s="18" t="s">
        <v>7337</v>
      </c>
      <c r="U752" s="18"/>
      <c r="V752" s="18"/>
      <c r="W752" s="18" t="s">
        <v>7338</v>
      </c>
      <c r="X752" s="18" t="s">
        <v>42</v>
      </c>
      <c r="Y752" s="18" t="s">
        <v>36</v>
      </c>
      <c r="Z752" s="18" t="s">
        <v>697</v>
      </c>
      <c r="AA752" s="21" t="str">
        <f>HYPERLINK("https://www.ncbi.nlm.nih.gov/nuccore/V01146","NCBI Nucleotide")</f>
        <v>NCBI Nucleotide</v>
      </c>
    </row>
    <row r="753" spans="1:27" x14ac:dyDescent="0.35">
      <c r="A753">
        <v>1001357</v>
      </c>
      <c r="B753">
        <v>752</v>
      </c>
      <c r="C753">
        <v>1</v>
      </c>
      <c r="D753" s="17" t="s">
        <v>155</v>
      </c>
      <c r="E753" s="17"/>
      <c r="F753" s="17" t="s">
        <v>156</v>
      </c>
      <c r="G753" s="17"/>
      <c r="H753" s="17" t="s">
        <v>692</v>
      </c>
      <c r="I753" s="17"/>
      <c r="J753" s="17" t="s">
        <v>693</v>
      </c>
      <c r="K753" s="17"/>
      <c r="L753" s="17"/>
      <c r="M753" s="17"/>
      <c r="N753" s="17" t="s">
        <v>6460</v>
      </c>
      <c r="O753" s="17" t="s">
        <v>7043</v>
      </c>
      <c r="P753" s="17" t="s">
        <v>7314</v>
      </c>
      <c r="Q753" s="17"/>
      <c r="R753" s="25" t="str">
        <f>HYPERLINK("https://ictv.global/taxonomy/taxondetails?taxnode_id=202308488","Teseptimavirus tv3A8767")</f>
        <v>Teseptimavirus tv3A8767</v>
      </c>
      <c r="S753" s="18" t="s">
        <v>30</v>
      </c>
      <c r="T753" s="18" t="s">
        <v>7339</v>
      </c>
      <c r="U753" s="18"/>
      <c r="V753" s="18"/>
      <c r="W753" s="18" t="s">
        <v>7340</v>
      </c>
      <c r="X753" s="18" t="s">
        <v>42</v>
      </c>
      <c r="Y753" s="18" t="s">
        <v>36</v>
      </c>
      <c r="Z753" s="18" t="s">
        <v>697</v>
      </c>
      <c r="AA753" s="21" t="str">
        <f>HYPERLINK("https://www.ncbi.nlm.nih.gov/nuccore/MH382198","NCBI Nucleotide")</f>
        <v>NCBI Nucleotide</v>
      </c>
    </row>
    <row r="754" spans="1:27" x14ac:dyDescent="0.35">
      <c r="A754">
        <v>1001358</v>
      </c>
      <c r="B754">
        <v>753</v>
      </c>
      <c r="C754">
        <v>1</v>
      </c>
      <c r="D754" s="17" t="s">
        <v>155</v>
      </c>
      <c r="E754" s="17"/>
      <c r="F754" s="17" t="s">
        <v>156</v>
      </c>
      <c r="G754" s="17"/>
      <c r="H754" s="17" t="s">
        <v>692</v>
      </c>
      <c r="I754" s="17"/>
      <c r="J754" s="17" t="s">
        <v>693</v>
      </c>
      <c r="K754" s="17"/>
      <c r="L754" s="17"/>
      <c r="M754" s="17"/>
      <c r="N754" s="17" t="s">
        <v>6460</v>
      </c>
      <c r="O754" s="17" t="s">
        <v>7043</v>
      </c>
      <c r="P754" s="17" t="s">
        <v>7314</v>
      </c>
      <c r="Q754" s="17"/>
      <c r="R754" s="25" t="str">
        <f>HYPERLINK("https://ictv.global/taxonomy/taxondetails?taxnode_id=202308484","Teseptimavirus tv64795ec1")</f>
        <v>Teseptimavirus tv64795ec1</v>
      </c>
      <c r="S754" s="18" t="s">
        <v>30</v>
      </c>
      <c r="T754" s="18" t="s">
        <v>7341</v>
      </c>
      <c r="U754" s="18"/>
      <c r="V754" s="18"/>
      <c r="W754" s="18" t="s">
        <v>7342</v>
      </c>
      <c r="X754" s="18" t="s">
        <v>42</v>
      </c>
      <c r="Y754" s="18" t="s">
        <v>36</v>
      </c>
      <c r="Z754" s="18" t="s">
        <v>697</v>
      </c>
      <c r="AA754" s="21" t="str">
        <f>HYPERLINK("https://www.ncbi.nlm.nih.gov/nuccore/KU927499","NCBI Nucleotide")</f>
        <v>NCBI Nucleotide</v>
      </c>
    </row>
    <row r="755" spans="1:27" x14ac:dyDescent="0.35">
      <c r="A755">
        <v>1001359</v>
      </c>
      <c r="B755">
        <v>754</v>
      </c>
      <c r="C755">
        <v>1</v>
      </c>
      <c r="D755" s="17" t="s">
        <v>155</v>
      </c>
      <c r="E755" s="17"/>
      <c r="F755" s="17" t="s">
        <v>156</v>
      </c>
      <c r="G755" s="17"/>
      <c r="H755" s="17" t="s">
        <v>692</v>
      </c>
      <c r="I755" s="17"/>
      <c r="J755" s="17" t="s">
        <v>693</v>
      </c>
      <c r="K755" s="17"/>
      <c r="L755" s="17"/>
      <c r="M755" s="17"/>
      <c r="N755" s="17" t="s">
        <v>6460</v>
      </c>
      <c r="O755" s="17" t="s">
        <v>7043</v>
      </c>
      <c r="P755" s="17" t="s">
        <v>7314</v>
      </c>
      <c r="Q755" s="17"/>
      <c r="R755" s="25" t="str">
        <f>HYPERLINK("https://ictv.global/taxonomy/taxondetails?taxnode_id=202308479","Teseptimavirus Vi06")</f>
        <v>Teseptimavirus Vi06</v>
      </c>
      <c r="S755" s="18" t="s">
        <v>30</v>
      </c>
      <c r="T755" s="18" t="s">
        <v>7343</v>
      </c>
      <c r="U755" s="18"/>
      <c r="V755" s="18"/>
      <c r="W755" s="18" t="s">
        <v>7344</v>
      </c>
      <c r="X755" s="18" t="s">
        <v>42</v>
      </c>
      <c r="Y755" s="18" t="s">
        <v>36</v>
      </c>
      <c r="Z755" s="18" t="s">
        <v>697</v>
      </c>
      <c r="AA755" s="21" t="str">
        <f>HYPERLINK("https://www.ncbi.nlm.nih.gov/nuccore/FR667955","NCBI Nucleotide")</f>
        <v>NCBI Nucleotide</v>
      </c>
    </row>
    <row r="756" spans="1:27" x14ac:dyDescent="0.35">
      <c r="A756">
        <v>1001360</v>
      </c>
      <c r="B756">
        <v>755</v>
      </c>
      <c r="C756">
        <v>1</v>
      </c>
      <c r="D756" s="17" t="s">
        <v>155</v>
      </c>
      <c r="E756" s="17"/>
      <c r="F756" s="17" t="s">
        <v>156</v>
      </c>
      <c r="G756" s="17"/>
      <c r="H756" s="17" t="s">
        <v>692</v>
      </c>
      <c r="I756" s="17"/>
      <c r="J756" s="17" t="s">
        <v>693</v>
      </c>
      <c r="K756" s="17"/>
      <c r="L756" s="17"/>
      <c r="M756" s="17"/>
      <c r="N756" s="17" t="s">
        <v>6460</v>
      </c>
      <c r="O756" s="17" t="s">
        <v>7043</v>
      </c>
      <c r="P756" s="17" t="s">
        <v>7314</v>
      </c>
      <c r="Q756" s="17"/>
      <c r="R756" s="25" t="str">
        <f>HYPERLINK("https://ictv.global/taxonomy/taxondetails?taxnode_id=202308480","Teseptimavirus YpPY")</f>
        <v>Teseptimavirus YpPY</v>
      </c>
      <c r="S756" s="18" t="s">
        <v>30</v>
      </c>
      <c r="T756" s="18" t="s">
        <v>7345</v>
      </c>
      <c r="U756" s="18"/>
      <c r="V756" s="18"/>
      <c r="W756" s="18" t="s">
        <v>7346</v>
      </c>
      <c r="X756" s="18" t="s">
        <v>42</v>
      </c>
      <c r="Y756" s="18" t="s">
        <v>36</v>
      </c>
      <c r="Z756" s="18" t="s">
        <v>697</v>
      </c>
      <c r="AA756" s="21" t="str">
        <f>HYPERLINK("https://www.ncbi.nlm.nih.gov/nuccore/JQ965700","NCBI Nucleotide")</f>
        <v>NCBI Nucleotide</v>
      </c>
    </row>
    <row r="757" spans="1:27" x14ac:dyDescent="0.35">
      <c r="A757">
        <v>1001361</v>
      </c>
      <c r="B757">
        <v>756</v>
      </c>
      <c r="C757">
        <v>1</v>
      </c>
      <c r="D757" s="17" t="s">
        <v>155</v>
      </c>
      <c r="E757" s="17"/>
      <c r="F757" s="17" t="s">
        <v>156</v>
      </c>
      <c r="G757" s="17"/>
      <c r="H757" s="17" t="s">
        <v>692</v>
      </c>
      <c r="I757" s="17"/>
      <c r="J757" s="17" t="s">
        <v>693</v>
      </c>
      <c r="K757" s="17"/>
      <c r="L757" s="17"/>
      <c r="M757" s="17"/>
      <c r="N757" s="17" t="s">
        <v>6460</v>
      </c>
      <c r="O757" s="17" t="s">
        <v>7043</v>
      </c>
      <c r="P757" s="17" t="s">
        <v>7314</v>
      </c>
      <c r="Q757" s="17"/>
      <c r="R757" s="25" t="str">
        <f>HYPERLINK("https://ictv.global/taxonomy/taxondetails?taxnode_id=202308481","Teseptimavirus YpsPG")</f>
        <v>Teseptimavirus YpsPG</v>
      </c>
      <c r="S757" s="18" t="s">
        <v>30</v>
      </c>
      <c r="T757" s="18" t="s">
        <v>7347</v>
      </c>
      <c r="U757" s="18"/>
      <c r="V757" s="18"/>
      <c r="W757" s="18" t="s">
        <v>7348</v>
      </c>
      <c r="X757" s="18" t="s">
        <v>42</v>
      </c>
      <c r="Y757" s="18" t="s">
        <v>36</v>
      </c>
      <c r="Z757" s="18" t="s">
        <v>697</v>
      </c>
      <c r="AA757" s="21" t="str">
        <f>HYPERLINK("https://www.ncbi.nlm.nih.gov/nuccore/JQ965703","NCBI Nucleotide")</f>
        <v>NCBI Nucleotide</v>
      </c>
    </row>
    <row r="758" spans="1:27" x14ac:dyDescent="0.35">
      <c r="A758">
        <v>1001362</v>
      </c>
      <c r="B758">
        <v>757</v>
      </c>
      <c r="C758">
        <v>1</v>
      </c>
      <c r="D758" s="17" t="s">
        <v>155</v>
      </c>
      <c r="E758" s="17"/>
      <c r="F758" s="17" t="s">
        <v>156</v>
      </c>
      <c r="G758" s="17"/>
      <c r="H758" s="17" t="s">
        <v>692</v>
      </c>
      <c r="I758" s="17"/>
      <c r="J758" s="17" t="s">
        <v>693</v>
      </c>
      <c r="K758" s="17"/>
      <c r="L758" s="17"/>
      <c r="M758" s="17"/>
      <c r="N758" s="17" t="s">
        <v>6460</v>
      </c>
      <c r="O758" s="17" t="s">
        <v>7043</v>
      </c>
      <c r="P758" s="17" t="s">
        <v>7349</v>
      </c>
      <c r="Q758" s="17"/>
      <c r="R758" s="25" t="str">
        <f>HYPERLINK("https://ictv.global/taxonomy/taxondetails?taxnode_id=202308359","Troedvirus Phi15")</f>
        <v>Troedvirus Phi15</v>
      </c>
      <c r="S758" s="18" t="s">
        <v>30</v>
      </c>
      <c r="T758" s="18" t="s">
        <v>7350</v>
      </c>
      <c r="U758" s="18"/>
      <c r="V758" s="18"/>
      <c r="W758" s="18" t="s">
        <v>7351</v>
      </c>
      <c r="X758" s="18" t="s">
        <v>42</v>
      </c>
      <c r="Y758" s="18" t="s">
        <v>36</v>
      </c>
      <c r="Z758" s="18" t="s">
        <v>697</v>
      </c>
      <c r="AA758" s="21" t="str">
        <f>HYPERLINK("https://www.ncbi.nlm.nih.gov/nuccore/FR823298","NCBI Nucleotide")</f>
        <v>NCBI Nucleotide</v>
      </c>
    </row>
    <row r="759" spans="1:27" x14ac:dyDescent="0.35">
      <c r="A759">
        <v>1001363</v>
      </c>
      <c r="B759">
        <v>758</v>
      </c>
      <c r="C759">
        <v>1</v>
      </c>
      <c r="D759" s="17" t="s">
        <v>155</v>
      </c>
      <c r="E759" s="17"/>
      <c r="F759" s="17" t="s">
        <v>156</v>
      </c>
      <c r="G759" s="17"/>
      <c r="H759" s="17" t="s">
        <v>692</v>
      </c>
      <c r="I759" s="17"/>
      <c r="J759" s="17" t="s">
        <v>693</v>
      </c>
      <c r="K759" s="17"/>
      <c r="L759" s="17"/>
      <c r="M759" s="17"/>
      <c r="N759" s="17" t="s">
        <v>6460</v>
      </c>
      <c r="O759" s="17" t="s">
        <v>7043</v>
      </c>
      <c r="P759" s="17" t="s">
        <v>7352</v>
      </c>
      <c r="Q759" s="17"/>
      <c r="R759" s="25" t="str">
        <f>HYPERLINK("https://ictv.global/taxonomy/taxondetails?taxnode_id=202308456","Unyawovirus DUPPII")</f>
        <v>Unyawovirus DUPPII</v>
      </c>
      <c r="S759" s="18" t="s">
        <v>30</v>
      </c>
      <c r="T759" s="18" t="s">
        <v>7353</v>
      </c>
      <c r="U759" s="18"/>
      <c r="V759" s="18"/>
      <c r="W759" s="18" t="s">
        <v>7354</v>
      </c>
      <c r="X759" s="18" t="s">
        <v>42</v>
      </c>
      <c r="Y759" s="18" t="s">
        <v>36</v>
      </c>
      <c r="Z759" s="18" t="s">
        <v>697</v>
      </c>
      <c r="AA759" s="21" t="str">
        <f>HYPERLINK("https://www.ncbi.nlm.nih.gov/nuccore/MF979561","NCBI Nucleotide")</f>
        <v>NCBI Nucleotide</v>
      </c>
    </row>
    <row r="760" spans="1:27" x14ac:dyDescent="0.35">
      <c r="A760">
        <v>1001364</v>
      </c>
      <c r="B760">
        <v>759</v>
      </c>
      <c r="C760">
        <v>1</v>
      </c>
      <c r="D760" s="17" t="s">
        <v>155</v>
      </c>
      <c r="E760" s="17"/>
      <c r="F760" s="17" t="s">
        <v>156</v>
      </c>
      <c r="G760" s="17"/>
      <c r="H760" s="17" t="s">
        <v>692</v>
      </c>
      <c r="I760" s="17"/>
      <c r="J760" s="17" t="s">
        <v>693</v>
      </c>
      <c r="K760" s="17"/>
      <c r="L760" s="17"/>
      <c r="M760" s="17"/>
      <c r="N760" s="17" t="s">
        <v>6460</v>
      </c>
      <c r="O760" s="17" t="s">
        <v>7043</v>
      </c>
      <c r="P760" s="17" t="s">
        <v>7355</v>
      </c>
      <c r="Q760" s="17"/>
      <c r="R760" s="25" t="str">
        <f>HYPERLINK("https://ictv.global/taxonomy/taxondetails?taxnode_id=202312090","Warsawvirus 3MF5")</f>
        <v>Warsawvirus 3MF5</v>
      </c>
      <c r="S760" s="18" t="s">
        <v>30</v>
      </c>
      <c r="T760" s="18" t="s">
        <v>7356</v>
      </c>
      <c r="U760" s="18"/>
      <c r="V760" s="18"/>
      <c r="W760" s="18" t="s">
        <v>7357</v>
      </c>
      <c r="X760" s="18" t="s">
        <v>42</v>
      </c>
      <c r="Y760" s="18" t="s">
        <v>36</v>
      </c>
      <c r="Z760" s="18" t="s">
        <v>697</v>
      </c>
      <c r="AA760" s="21" t="str">
        <f>HYPERLINK("https://www.ncbi.nlm.nih.gov/nuccore/MT597419","NCBI Nucleotide")</f>
        <v>NCBI Nucleotide</v>
      </c>
    </row>
    <row r="761" spans="1:27" x14ac:dyDescent="0.35">
      <c r="A761">
        <v>1001365</v>
      </c>
      <c r="B761">
        <v>760</v>
      </c>
      <c r="C761">
        <v>1</v>
      </c>
      <c r="D761" s="17" t="s">
        <v>155</v>
      </c>
      <c r="E761" s="17"/>
      <c r="F761" s="17" t="s">
        <v>156</v>
      </c>
      <c r="G761" s="17"/>
      <c r="H761" s="17" t="s">
        <v>692</v>
      </c>
      <c r="I761" s="17"/>
      <c r="J761" s="17" t="s">
        <v>693</v>
      </c>
      <c r="K761" s="17"/>
      <c r="L761" s="17"/>
      <c r="M761" s="17"/>
      <c r="N761" s="17" t="s">
        <v>6460</v>
      </c>
      <c r="O761" s="17"/>
      <c r="P761" s="17" t="s">
        <v>6461</v>
      </c>
      <c r="Q761" s="17"/>
      <c r="R761" s="25" t="str">
        <f>HYPERLINK("https://ictv.global/taxonomy/taxondetails?taxnode_id=202308235","Aegirvirus SCBP42")</f>
        <v>Aegirvirus SCBP42</v>
      </c>
      <c r="S761" s="18" t="s">
        <v>30</v>
      </c>
      <c r="T761" s="18" t="s">
        <v>6462</v>
      </c>
      <c r="U761" s="18"/>
      <c r="V761" s="18"/>
      <c r="W761" s="18" t="s">
        <v>6463</v>
      </c>
      <c r="X761" s="18" t="s">
        <v>42</v>
      </c>
      <c r="Y761" s="18" t="s">
        <v>36</v>
      </c>
      <c r="Z761" s="18" t="s">
        <v>697</v>
      </c>
      <c r="AA761" s="21" t="str">
        <f>HYPERLINK("https://www.ncbi.nlm.nih.gov/nuccore/KC310805","NCBI Nucleotide")</f>
        <v>NCBI Nucleotide</v>
      </c>
    </row>
    <row r="762" spans="1:27" x14ac:dyDescent="0.35">
      <c r="A762">
        <v>1001366</v>
      </c>
      <c r="B762">
        <v>761</v>
      </c>
      <c r="C762">
        <v>1</v>
      </c>
      <c r="D762" s="17" t="s">
        <v>155</v>
      </c>
      <c r="E762" s="17"/>
      <c r="F762" s="17" t="s">
        <v>156</v>
      </c>
      <c r="G762" s="17"/>
      <c r="H762" s="17" t="s">
        <v>692</v>
      </c>
      <c r="I762" s="17"/>
      <c r="J762" s="17" t="s">
        <v>693</v>
      </c>
      <c r="K762" s="17"/>
      <c r="L762" s="17"/>
      <c r="M762" s="17"/>
      <c r="N762" s="17" t="s">
        <v>6460</v>
      </c>
      <c r="O762" s="17"/>
      <c r="P762" s="17" t="s">
        <v>6464</v>
      </c>
      <c r="Q762" s="17"/>
      <c r="R762" s="25" t="str">
        <f>HYPERLINK("https://ictv.global/taxonomy/taxondetails?taxnode_id=202311647","Anchaingvirus anchaing")</f>
        <v>Anchaingvirus anchaing</v>
      </c>
      <c r="S762" s="18" t="s">
        <v>30</v>
      </c>
      <c r="T762" s="18" t="s">
        <v>6465</v>
      </c>
      <c r="U762" s="18" t="s">
        <v>6466</v>
      </c>
      <c r="V762" s="18"/>
      <c r="W762" s="18" t="s">
        <v>6467</v>
      </c>
      <c r="X762" s="18" t="s">
        <v>42</v>
      </c>
      <c r="Y762" s="18" t="s">
        <v>36</v>
      </c>
      <c r="Z762" s="18" t="s">
        <v>697</v>
      </c>
      <c r="AA762" s="21" t="str">
        <f>HYPERLINK("https://www.ncbi.nlm.nih.gov/nuccore/MT740728","NCBI Nucleotide")</f>
        <v>NCBI Nucleotide</v>
      </c>
    </row>
    <row r="763" spans="1:27" x14ac:dyDescent="0.35">
      <c r="A763">
        <v>1001367</v>
      </c>
      <c r="B763">
        <v>762</v>
      </c>
      <c r="C763">
        <v>1</v>
      </c>
      <c r="D763" s="17" t="s">
        <v>155</v>
      </c>
      <c r="E763" s="17"/>
      <c r="F763" s="17" t="s">
        <v>156</v>
      </c>
      <c r="G763" s="17"/>
      <c r="H763" s="17" t="s">
        <v>692</v>
      </c>
      <c r="I763" s="17"/>
      <c r="J763" s="17" t="s">
        <v>693</v>
      </c>
      <c r="K763" s="17"/>
      <c r="L763" s="17"/>
      <c r="M763" s="17"/>
      <c r="N763" s="17" t="s">
        <v>6460</v>
      </c>
      <c r="O763" s="17"/>
      <c r="P763" s="17" t="s">
        <v>6468</v>
      </c>
      <c r="Q763" s="17"/>
      <c r="R763" s="25" t="str">
        <f>HYPERLINK("https://ictv.global/taxonomy/taxondetails?taxnode_id=202306761","Aqualcavirus P14")</f>
        <v>Aqualcavirus P14</v>
      </c>
      <c r="S763" s="18" t="s">
        <v>30</v>
      </c>
      <c r="T763" s="18" t="s">
        <v>6469</v>
      </c>
      <c r="U763" s="18"/>
      <c r="V763" s="18"/>
      <c r="W763" s="18" t="s">
        <v>6470</v>
      </c>
      <c r="X763" s="18" t="s">
        <v>42</v>
      </c>
      <c r="Y763" s="18" t="s">
        <v>36</v>
      </c>
      <c r="Z763" s="18" t="s">
        <v>697</v>
      </c>
      <c r="AA763" s="21" t="str">
        <f>HYPERLINK("https://www.ncbi.nlm.nih.gov/nuccore/KX660669","NCBI Nucleotide")</f>
        <v>NCBI Nucleotide</v>
      </c>
    </row>
    <row r="764" spans="1:27" x14ac:dyDescent="0.35">
      <c r="A764">
        <v>1001368</v>
      </c>
      <c r="B764">
        <v>763</v>
      </c>
      <c r="C764">
        <v>1</v>
      </c>
      <c r="D764" s="17" t="s">
        <v>155</v>
      </c>
      <c r="E764" s="17"/>
      <c r="F764" s="17" t="s">
        <v>156</v>
      </c>
      <c r="G764" s="17"/>
      <c r="H764" s="17" t="s">
        <v>692</v>
      </c>
      <c r="I764" s="17"/>
      <c r="J764" s="17" t="s">
        <v>693</v>
      </c>
      <c r="K764" s="17"/>
      <c r="L764" s="17"/>
      <c r="M764" s="17"/>
      <c r="N764" s="17" t="s">
        <v>6460</v>
      </c>
      <c r="O764" s="17"/>
      <c r="P764" s="17" t="s">
        <v>6471</v>
      </c>
      <c r="Q764" s="17"/>
      <c r="R764" s="25" t="str">
        <f>HYPERLINK("https://ictv.global/taxonomy/taxondetails?taxnode_id=202308245","Ashivirus S45C4")</f>
        <v>Ashivirus S45C4</v>
      </c>
      <c r="S764" s="18" t="s">
        <v>30</v>
      </c>
      <c r="T764" s="18" t="s">
        <v>6472</v>
      </c>
      <c r="U764" s="18"/>
      <c r="V764" s="18"/>
      <c r="W764" s="18" t="s">
        <v>6473</v>
      </c>
      <c r="X764" s="18" t="s">
        <v>42</v>
      </c>
      <c r="Y764" s="18" t="s">
        <v>36</v>
      </c>
      <c r="Z764" s="18" t="s">
        <v>697</v>
      </c>
      <c r="AA764" s="21" t="str">
        <f>HYPERLINK("https://www.ncbi.nlm.nih.gov/nuccore/AP013538","NCBI Nucleotide")</f>
        <v>NCBI Nucleotide</v>
      </c>
    </row>
    <row r="765" spans="1:27" x14ac:dyDescent="0.35">
      <c r="A765">
        <v>1001369</v>
      </c>
      <c r="B765">
        <v>764</v>
      </c>
      <c r="C765">
        <v>1</v>
      </c>
      <c r="D765" s="17" t="s">
        <v>155</v>
      </c>
      <c r="E765" s="17"/>
      <c r="F765" s="17" t="s">
        <v>156</v>
      </c>
      <c r="G765" s="17"/>
      <c r="H765" s="17" t="s">
        <v>692</v>
      </c>
      <c r="I765" s="17"/>
      <c r="J765" s="17" t="s">
        <v>693</v>
      </c>
      <c r="K765" s="17"/>
      <c r="L765" s="17"/>
      <c r="M765" s="17"/>
      <c r="N765" s="17" t="s">
        <v>6460</v>
      </c>
      <c r="O765" s="17"/>
      <c r="P765" s="17" t="s">
        <v>6474</v>
      </c>
      <c r="Q765" s="17"/>
      <c r="R765" s="25" t="str">
        <f>HYPERLINK("https://ictv.global/taxonomy/taxondetails?taxnode_id=202308213","Atuphduovirus atuph02")</f>
        <v>Atuphduovirus atuph02</v>
      </c>
      <c r="S765" s="18" t="s">
        <v>30</v>
      </c>
      <c r="T765" s="18" t="s">
        <v>6475</v>
      </c>
      <c r="U765" s="18"/>
      <c r="V765" s="18"/>
      <c r="W765" s="18" t="s">
        <v>6476</v>
      </c>
      <c r="X765" s="18" t="s">
        <v>42</v>
      </c>
      <c r="Y765" s="18" t="s">
        <v>36</v>
      </c>
      <c r="Z765" s="18" t="s">
        <v>697</v>
      </c>
      <c r="AA765" s="21" t="str">
        <f>HYPERLINK("https://www.ncbi.nlm.nih.gov/nuccore/MF403005","NCBI Nucleotide")</f>
        <v>NCBI Nucleotide</v>
      </c>
    </row>
    <row r="766" spans="1:27" x14ac:dyDescent="0.35">
      <c r="A766">
        <v>1001370</v>
      </c>
      <c r="B766">
        <v>765</v>
      </c>
      <c r="C766">
        <v>1</v>
      </c>
      <c r="D766" s="17" t="s">
        <v>155</v>
      </c>
      <c r="E766" s="17"/>
      <c r="F766" s="17" t="s">
        <v>156</v>
      </c>
      <c r="G766" s="17"/>
      <c r="H766" s="17" t="s">
        <v>692</v>
      </c>
      <c r="I766" s="17"/>
      <c r="J766" s="17" t="s">
        <v>693</v>
      </c>
      <c r="K766" s="17"/>
      <c r="L766" s="17"/>
      <c r="M766" s="17"/>
      <c r="N766" s="17" t="s">
        <v>6460</v>
      </c>
      <c r="O766" s="17"/>
      <c r="P766" s="17" t="s">
        <v>6474</v>
      </c>
      <c r="Q766" s="17"/>
      <c r="R766" s="25" t="str">
        <f>HYPERLINK("https://ictv.global/taxonomy/taxondetails?taxnode_id=202308214","Atuphduovirus atuph03")</f>
        <v>Atuphduovirus atuph03</v>
      </c>
      <c r="S766" s="18" t="s">
        <v>30</v>
      </c>
      <c r="T766" s="18" t="s">
        <v>6477</v>
      </c>
      <c r="U766" s="18"/>
      <c r="V766" s="18"/>
      <c r="W766" s="18" t="s">
        <v>6478</v>
      </c>
      <c r="X766" s="18" t="s">
        <v>42</v>
      </c>
      <c r="Y766" s="18" t="s">
        <v>36</v>
      </c>
      <c r="Z766" s="18" t="s">
        <v>697</v>
      </c>
      <c r="AA766" s="21" t="str">
        <f>HYPERLINK("https://www.ncbi.nlm.nih.gov/nuccore/MF403006","NCBI Nucleotide")</f>
        <v>NCBI Nucleotide</v>
      </c>
    </row>
    <row r="767" spans="1:27" x14ac:dyDescent="0.35">
      <c r="A767">
        <v>1001371</v>
      </c>
      <c r="B767">
        <v>766</v>
      </c>
      <c r="C767">
        <v>1</v>
      </c>
      <c r="D767" s="17" t="s">
        <v>155</v>
      </c>
      <c r="E767" s="17"/>
      <c r="F767" s="17" t="s">
        <v>156</v>
      </c>
      <c r="G767" s="17"/>
      <c r="H767" s="17" t="s">
        <v>692</v>
      </c>
      <c r="I767" s="17"/>
      <c r="J767" s="17" t="s">
        <v>693</v>
      </c>
      <c r="K767" s="17"/>
      <c r="L767" s="17"/>
      <c r="M767" s="17"/>
      <c r="N767" s="17" t="s">
        <v>6460</v>
      </c>
      <c r="O767" s="17"/>
      <c r="P767" s="17" t="s">
        <v>6479</v>
      </c>
      <c r="Q767" s="17"/>
      <c r="R767" s="25" t="str">
        <f>HYPERLINK("https://ictv.global/taxonomy/taxondetails?taxnode_id=202308249","Ayakvirus Ap1")</f>
        <v>Ayakvirus Ap1</v>
      </c>
      <c r="S767" s="18" t="s">
        <v>30</v>
      </c>
      <c r="T767" s="18" t="s">
        <v>6480</v>
      </c>
      <c r="U767" s="18"/>
      <c r="V767" s="18"/>
      <c r="W767" s="18" t="s">
        <v>6481</v>
      </c>
      <c r="X767" s="18" t="s">
        <v>42</v>
      </c>
      <c r="Y767" s="18" t="s">
        <v>36</v>
      </c>
      <c r="Z767" s="18" t="s">
        <v>697</v>
      </c>
      <c r="AA767" s="21" t="str">
        <f>HYPERLINK("https://www.ncbi.nlm.nih.gov/nuccore/KY117485","NCBI Nucleotide")</f>
        <v>NCBI Nucleotide</v>
      </c>
    </row>
    <row r="768" spans="1:27" x14ac:dyDescent="0.35">
      <c r="A768">
        <v>1001372</v>
      </c>
      <c r="B768">
        <v>767</v>
      </c>
      <c r="C768">
        <v>1</v>
      </c>
      <c r="D768" s="17" t="s">
        <v>155</v>
      </c>
      <c r="E768" s="17"/>
      <c r="F768" s="17" t="s">
        <v>156</v>
      </c>
      <c r="G768" s="17"/>
      <c r="H768" s="17" t="s">
        <v>692</v>
      </c>
      <c r="I768" s="17"/>
      <c r="J768" s="17" t="s">
        <v>693</v>
      </c>
      <c r="K768" s="17"/>
      <c r="L768" s="17"/>
      <c r="M768" s="17"/>
      <c r="N768" s="17" t="s">
        <v>6460</v>
      </c>
      <c r="O768" s="17"/>
      <c r="P768" s="17" t="s">
        <v>6482</v>
      </c>
      <c r="Q768" s="17"/>
      <c r="R768" s="25" t="str">
        <f>HYPERLINK("https://ictv.global/taxonomy/taxondetails?taxnode_id=202308284","Ayaqvirus S45C18")</f>
        <v>Ayaqvirus S45C18</v>
      </c>
      <c r="S768" s="18" t="s">
        <v>30</v>
      </c>
      <c r="T768" s="18" t="s">
        <v>6483</v>
      </c>
      <c r="U768" s="18"/>
      <c r="V768" s="18"/>
      <c r="W768" s="18" t="s">
        <v>6484</v>
      </c>
      <c r="X768" s="18" t="s">
        <v>42</v>
      </c>
      <c r="Y768" s="18" t="s">
        <v>36</v>
      </c>
      <c r="Z768" s="18" t="s">
        <v>697</v>
      </c>
      <c r="AA768" s="21" t="str">
        <f>HYPERLINK("https://www.ncbi.nlm.nih.gov/nuccore/AP013544","NCBI Nucleotide")</f>
        <v>NCBI Nucleotide</v>
      </c>
    </row>
    <row r="769" spans="1:27" x14ac:dyDescent="0.35">
      <c r="A769">
        <v>1001373</v>
      </c>
      <c r="B769">
        <v>768</v>
      </c>
      <c r="C769">
        <v>1</v>
      </c>
      <c r="D769" s="17" t="s">
        <v>155</v>
      </c>
      <c r="E769" s="17"/>
      <c r="F769" s="17" t="s">
        <v>156</v>
      </c>
      <c r="G769" s="17"/>
      <c r="H769" s="17" t="s">
        <v>692</v>
      </c>
      <c r="I769" s="17"/>
      <c r="J769" s="17" t="s">
        <v>693</v>
      </c>
      <c r="K769" s="17"/>
      <c r="L769" s="17"/>
      <c r="M769" s="17"/>
      <c r="N769" s="17" t="s">
        <v>6460</v>
      </c>
      <c r="O769" s="17"/>
      <c r="P769" s="17" t="s">
        <v>6485</v>
      </c>
      <c r="Q769" s="17"/>
      <c r="R769" s="25" t="str">
        <f>HYPERLINK("https://ictv.global/taxonomy/taxondetails?taxnode_id=202308274","Banchanvirus SS1201")</f>
        <v>Banchanvirus SS1201</v>
      </c>
      <c r="S769" s="18" t="s">
        <v>30</v>
      </c>
      <c r="T769" s="18" t="s">
        <v>6486</v>
      </c>
      <c r="U769" s="18"/>
      <c r="V769" s="18"/>
      <c r="W769" s="18" t="s">
        <v>6487</v>
      </c>
      <c r="X769" s="18" t="s">
        <v>42</v>
      </c>
      <c r="Y769" s="18" t="s">
        <v>36</v>
      </c>
      <c r="Z769" s="18" t="s">
        <v>697</v>
      </c>
      <c r="AA769" s="21" t="str">
        <f>HYPERLINK("https://www.ncbi.nlm.nih.gov/nuccore/HQ316584","NCBI Nucleotide")</f>
        <v>NCBI Nucleotide</v>
      </c>
    </row>
    <row r="770" spans="1:27" x14ac:dyDescent="0.35">
      <c r="A770">
        <v>1001374</v>
      </c>
      <c r="B770">
        <v>769</v>
      </c>
      <c r="C770">
        <v>1</v>
      </c>
      <c r="D770" s="17" t="s">
        <v>155</v>
      </c>
      <c r="E770" s="17"/>
      <c r="F770" s="17" t="s">
        <v>156</v>
      </c>
      <c r="G770" s="17"/>
      <c r="H770" s="17" t="s">
        <v>692</v>
      </c>
      <c r="I770" s="17"/>
      <c r="J770" s="17" t="s">
        <v>693</v>
      </c>
      <c r="K770" s="17"/>
      <c r="L770" s="17"/>
      <c r="M770" s="17"/>
      <c r="N770" s="17" t="s">
        <v>6460</v>
      </c>
      <c r="O770" s="17"/>
      <c r="P770" s="17" t="s">
        <v>6488</v>
      </c>
      <c r="Q770" s="17"/>
      <c r="R770" s="25" t="str">
        <f>HYPERLINK("https://ictv.global/taxonomy/taxondetails?taxnode_id=202306804","Bifseptvirus andromeda")</f>
        <v>Bifseptvirus andromeda</v>
      </c>
      <c r="S770" s="18" t="s">
        <v>30</v>
      </c>
      <c r="T770" s="18" t="s">
        <v>6489</v>
      </c>
      <c r="U770" s="18"/>
      <c r="V770" s="18"/>
      <c r="W770" s="18" t="s">
        <v>6490</v>
      </c>
      <c r="X770" s="18" t="s">
        <v>42</v>
      </c>
      <c r="Y770" s="18" t="s">
        <v>36</v>
      </c>
      <c r="Z770" s="18" t="s">
        <v>697</v>
      </c>
      <c r="AA770" s="21" t="str">
        <f>HYPERLINK("https://www.ncbi.nlm.nih.gov/nuccore/KX458241","NCBI Nucleotide")</f>
        <v>NCBI Nucleotide</v>
      </c>
    </row>
    <row r="771" spans="1:27" x14ac:dyDescent="0.35">
      <c r="A771">
        <v>1001375</v>
      </c>
      <c r="B771">
        <v>770</v>
      </c>
      <c r="C771">
        <v>1</v>
      </c>
      <c r="D771" s="17" t="s">
        <v>155</v>
      </c>
      <c r="E771" s="17"/>
      <c r="F771" s="17" t="s">
        <v>156</v>
      </c>
      <c r="G771" s="17"/>
      <c r="H771" s="17" t="s">
        <v>692</v>
      </c>
      <c r="I771" s="17"/>
      <c r="J771" s="17" t="s">
        <v>693</v>
      </c>
      <c r="K771" s="17"/>
      <c r="L771" s="17"/>
      <c r="M771" s="17"/>
      <c r="N771" s="17" t="s">
        <v>6460</v>
      </c>
      <c r="O771" s="17"/>
      <c r="P771" s="17" t="s">
        <v>6488</v>
      </c>
      <c r="Q771" s="17"/>
      <c r="R771" s="25" t="str">
        <f>HYPERLINK("https://ictv.global/taxonomy/taxondetails?taxnode_id=202306803","Bifseptvirus Bf7")</f>
        <v>Bifseptvirus Bf7</v>
      </c>
      <c r="S771" s="18" t="s">
        <v>30</v>
      </c>
      <c r="T771" s="18" t="s">
        <v>6491</v>
      </c>
      <c r="U771" s="18"/>
      <c r="V771" s="18"/>
      <c r="W771" s="18" t="s">
        <v>6492</v>
      </c>
      <c r="X771" s="18" t="s">
        <v>42</v>
      </c>
      <c r="Y771" s="18" t="s">
        <v>36</v>
      </c>
      <c r="Z771" s="18" t="s">
        <v>697</v>
      </c>
      <c r="AA771" s="21" t="str">
        <f>HYPERLINK("https://www.ncbi.nlm.nih.gov/nuccore/JN991020","NCBI Nucleotide")</f>
        <v>NCBI Nucleotide</v>
      </c>
    </row>
    <row r="772" spans="1:27" x14ac:dyDescent="0.35">
      <c r="A772">
        <v>1001376</v>
      </c>
      <c r="B772">
        <v>771</v>
      </c>
      <c r="C772">
        <v>1</v>
      </c>
      <c r="D772" s="17" t="s">
        <v>155</v>
      </c>
      <c r="E772" s="17"/>
      <c r="F772" s="17" t="s">
        <v>156</v>
      </c>
      <c r="G772" s="17"/>
      <c r="H772" s="17" t="s">
        <v>692</v>
      </c>
      <c r="I772" s="17"/>
      <c r="J772" s="17" t="s">
        <v>693</v>
      </c>
      <c r="K772" s="17"/>
      <c r="L772" s="17"/>
      <c r="M772" s="17"/>
      <c r="N772" s="17" t="s">
        <v>6460</v>
      </c>
      <c r="O772" s="17"/>
      <c r="P772" s="17" t="s">
        <v>6493</v>
      </c>
      <c r="Q772" s="17"/>
      <c r="R772" s="25" t="str">
        <f>HYPERLINK("https://ictv.global/taxonomy/taxondetails?taxnode_id=202308229","Bonnellvirus J865")</f>
        <v>Bonnellvirus J865</v>
      </c>
      <c r="S772" s="18" t="s">
        <v>30</v>
      </c>
      <c r="T772" s="18" t="s">
        <v>6494</v>
      </c>
      <c r="U772" s="18"/>
      <c r="V772" s="18"/>
      <c r="W772" s="18" t="s">
        <v>6495</v>
      </c>
      <c r="X772" s="18" t="s">
        <v>42</v>
      </c>
      <c r="Y772" s="18" t="s">
        <v>36</v>
      </c>
      <c r="Z772" s="18" t="s">
        <v>697</v>
      </c>
      <c r="AA772" s="21" t="str">
        <f>HYPERLINK("https://www.ncbi.nlm.nih.gov/nuccore/KM247287","NCBI Nucleotide")</f>
        <v>NCBI Nucleotide</v>
      </c>
    </row>
    <row r="773" spans="1:27" x14ac:dyDescent="0.35">
      <c r="A773">
        <v>1001377</v>
      </c>
      <c r="B773">
        <v>772</v>
      </c>
      <c r="C773">
        <v>1</v>
      </c>
      <c r="D773" s="17" t="s">
        <v>155</v>
      </c>
      <c r="E773" s="17"/>
      <c r="F773" s="17" t="s">
        <v>156</v>
      </c>
      <c r="G773" s="17"/>
      <c r="H773" s="17" t="s">
        <v>692</v>
      </c>
      <c r="I773" s="17"/>
      <c r="J773" s="17" t="s">
        <v>693</v>
      </c>
      <c r="K773" s="17"/>
      <c r="L773" s="17"/>
      <c r="M773" s="17"/>
      <c r="N773" s="17" t="s">
        <v>6460</v>
      </c>
      <c r="O773" s="17"/>
      <c r="P773" s="17" t="s">
        <v>6493</v>
      </c>
      <c r="Q773" s="17"/>
      <c r="R773" s="25" t="str">
        <f>HYPERLINK("https://ictv.global/taxonomy/taxondetails?taxnode_id=202308230","Bonnellvirus lidtsur")</f>
        <v>Bonnellvirus lidtsur</v>
      </c>
      <c r="S773" s="18" t="s">
        <v>30</v>
      </c>
      <c r="T773" s="18" t="s">
        <v>6496</v>
      </c>
      <c r="U773" s="18"/>
      <c r="V773" s="18"/>
      <c r="W773" s="18" t="s">
        <v>6497</v>
      </c>
      <c r="X773" s="18" t="s">
        <v>42</v>
      </c>
      <c r="Y773" s="18" t="s">
        <v>36</v>
      </c>
      <c r="Z773" s="18" t="s">
        <v>697</v>
      </c>
      <c r="AA773" s="21" t="str">
        <f>HYPERLINK("https://www.ncbi.nlm.nih.gov/nuccore/MK629528","NCBI Nucleotide")</f>
        <v>NCBI Nucleotide</v>
      </c>
    </row>
    <row r="774" spans="1:27" x14ac:dyDescent="0.35">
      <c r="A774">
        <v>1001378</v>
      </c>
      <c r="B774">
        <v>773</v>
      </c>
      <c r="C774">
        <v>1</v>
      </c>
      <c r="D774" s="17" t="s">
        <v>155</v>
      </c>
      <c r="E774" s="17"/>
      <c r="F774" s="17" t="s">
        <v>156</v>
      </c>
      <c r="G774" s="17"/>
      <c r="H774" s="17" t="s">
        <v>692</v>
      </c>
      <c r="I774" s="17"/>
      <c r="J774" s="17" t="s">
        <v>693</v>
      </c>
      <c r="K774" s="17"/>
      <c r="L774" s="17"/>
      <c r="M774" s="17"/>
      <c r="N774" s="17" t="s">
        <v>6460</v>
      </c>
      <c r="O774" s="17"/>
      <c r="P774" s="17" t="s">
        <v>6498</v>
      </c>
      <c r="Q774" s="17"/>
      <c r="R774" s="25" t="str">
        <f>HYPERLINK("https://ictv.global/taxonomy/taxondetails?taxnode_id=202308316","Cheungvirus NATL1A7")</f>
        <v>Cheungvirus NATL1A7</v>
      </c>
      <c r="S774" s="18" t="s">
        <v>30</v>
      </c>
      <c r="T774" s="18" t="s">
        <v>6499</v>
      </c>
      <c r="U774" s="18"/>
      <c r="V774" s="18"/>
      <c r="W774" s="18" t="s">
        <v>6500</v>
      </c>
      <c r="X774" s="18" t="s">
        <v>42</v>
      </c>
      <c r="Y774" s="18" t="s">
        <v>36</v>
      </c>
      <c r="Z774" s="18" t="s">
        <v>697</v>
      </c>
      <c r="AA774" s="21" t="str">
        <f>HYPERLINK("https://www.ncbi.nlm.nih.gov/nuccore/GU071102","NCBI Nucleotide")</f>
        <v>NCBI Nucleotide</v>
      </c>
    </row>
    <row r="775" spans="1:27" x14ac:dyDescent="0.35">
      <c r="A775">
        <v>1001379</v>
      </c>
      <c r="B775">
        <v>774</v>
      </c>
      <c r="C775">
        <v>1</v>
      </c>
      <c r="D775" s="17" t="s">
        <v>155</v>
      </c>
      <c r="E775" s="17"/>
      <c r="F775" s="17" t="s">
        <v>156</v>
      </c>
      <c r="G775" s="17"/>
      <c r="H775" s="17" t="s">
        <v>692</v>
      </c>
      <c r="I775" s="17"/>
      <c r="J775" s="17" t="s">
        <v>693</v>
      </c>
      <c r="K775" s="17"/>
      <c r="L775" s="17"/>
      <c r="M775" s="17"/>
      <c r="N775" s="17" t="s">
        <v>6460</v>
      </c>
      <c r="O775" s="17"/>
      <c r="P775" s="17" t="s">
        <v>6501</v>
      </c>
      <c r="Q775" s="17"/>
      <c r="R775" s="25" t="str">
        <f>HYPERLINK("https://ictv.global/taxonomy/taxondetails?taxnode_id=202308314","Chosvirus KM23C739")</f>
        <v>Chosvirus KM23C739</v>
      </c>
      <c r="S775" s="18" t="s">
        <v>30</v>
      </c>
      <c r="T775" s="18" t="s">
        <v>6502</v>
      </c>
      <c r="U775" s="18"/>
      <c r="V775" s="18"/>
      <c r="W775" s="18" t="s">
        <v>6503</v>
      </c>
      <c r="X775" s="18" t="s">
        <v>42</v>
      </c>
      <c r="Y775" s="18" t="s">
        <v>36</v>
      </c>
      <c r="Z775" s="18" t="s">
        <v>697</v>
      </c>
      <c r="AA775" s="21" t="str">
        <f>HYPERLINK("https://www.ncbi.nlm.nih.gov/nuccore/KT997847","NCBI Nucleotide")</f>
        <v>NCBI Nucleotide</v>
      </c>
    </row>
    <row r="776" spans="1:27" x14ac:dyDescent="0.35">
      <c r="A776">
        <v>1001380</v>
      </c>
      <c r="B776">
        <v>775</v>
      </c>
      <c r="C776">
        <v>1</v>
      </c>
      <c r="D776" s="17" t="s">
        <v>155</v>
      </c>
      <c r="E776" s="17"/>
      <c r="F776" s="17" t="s">
        <v>156</v>
      </c>
      <c r="G776" s="17"/>
      <c r="H776" s="17" t="s">
        <v>692</v>
      </c>
      <c r="I776" s="17"/>
      <c r="J776" s="17" t="s">
        <v>693</v>
      </c>
      <c r="K776" s="17"/>
      <c r="L776" s="17"/>
      <c r="M776" s="17"/>
      <c r="N776" s="17" t="s">
        <v>6460</v>
      </c>
      <c r="O776" s="17"/>
      <c r="P776" s="17" t="s">
        <v>6504</v>
      </c>
      <c r="Q776" s="17"/>
      <c r="R776" s="25" t="str">
        <f>HYPERLINK("https://ictv.global/taxonomy/taxondetails?taxnode_id=202308225","Cuernavacavirus RHEph02")</f>
        <v>Cuernavacavirus RHEph02</v>
      </c>
      <c r="S776" s="18" t="s">
        <v>30</v>
      </c>
      <c r="T776" s="18" t="s">
        <v>6505</v>
      </c>
      <c r="U776" s="18"/>
      <c r="V776" s="18"/>
      <c r="W776" s="18" t="s">
        <v>6506</v>
      </c>
      <c r="X776" s="18" t="s">
        <v>42</v>
      </c>
      <c r="Y776" s="18" t="s">
        <v>36</v>
      </c>
      <c r="Z776" s="18" t="s">
        <v>697</v>
      </c>
      <c r="AA776" s="21" t="str">
        <f>HYPERLINK("https://www.ncbi.nlm.nih.gov/nuccore/JX483874","NCBI Nucleotide")</f>
        <v>NCBI Nucleotide</v>
      </c>
    </row>
    <row r="777" spans="1:27" x14ac:dyDescent="0.35">
      <c r="A777">
        <v>1001381</v>
      </c>
      <c r="B777">
        <v>776</v>
      </c>
      <c r="C777">
        <v>1</v>
      </c>
      <c r="D777" s="17" t="s">
        <v>155</v>
      </c>
      <c r="E777" s="17"/>
      <c r="F777" s="17" t="s">
        <v>156</v>
      </c>
      <c r="G777" s="17"/>
      <c r="H777" s="17" t="s">
        <v>692</v>
      </c>
      <c r="I777" s="17"/>
      <c r="J777" s="17" t="s">
        <v>693</v>
      </c>
      <c r="K777" s="17"/>
      <c r="L777" s="17"/>
      <c r="M777" s="17"/>
      <c r="N777" s="17" t="s">
        <v>6460</v>
      </c>
      <c r="O777" s="17"/>
      <c r="P777" s="17" t="s">
        <v>6504</v>
      </c>
      <c r="Q777" s="17"/>
      <c r="R777" s="25" t="str">
        <f>HYPERLINK("https://ictv.global/taxonomy/taxondetails?taxnode_id=202308226","Cuernavacavirus RHEph08")</f>
        <v>Cuernavacavirus RHEph08</v>
      </c>
      <c r="S777" s="18" t="s">
        <v>30</v>
      </c>
      <c r="T777" s="18" t="s">
        <v>6507</v>
      </c>
      <c r="U777" s="18"/>
      <c r="V777" s="18"/>
      <c r="W777" s="18" t="s">
        <v>6508</v>
      </c>
      <c r="X777" s="18" t="s">
        <v>42</v>
      </c>
      <c r="Y777" s="18" t="s">
        <v>36</v>
      </c>
      <c r="Z777" s="18" t="s">
        <v>697</v>
      </c>
      <c r="AA777" s="21" t="str">
        <f>HYPERLINK("https://www.ncbi.nlm.nih.gov/nuccore/JX483879","NCBI Nucleotide")</f>
        <v>NCBI Nucleotide</v>
      </c>
    </row>
    <row r="778" spans="1:27" x14ac:dyDescent="0.35">
      <c r="A778">
        <v>1001382</v>
      </c>
      <c r="B778">
        <v>777</v>
      </c>
      <c r="C778">
        <v>1</v>
      </c>
      <c r="D778" s="17" t="s">
        <v>155</v>
      </c>
      <c r="E778" s="17"/>
      <c r="F778" s="17" t="s">
        <v>156</v>
      </c>
      <c r="G778" s="17"/>
      <c r="H778" s="17" t="s">
        <v>692</v>
      </c>
      <c r="I778" s="17"/>
      <c r="J778" s="17" t="s">
        <v>693</v>
      </c>
      <c r="K778" s="17"/>
      <c r="L778" s="17"/>
      <c r="M778" s="17"/>
      <c r="N778" s="17" t="s">
        <v>6460</v>
      </c>
      <c r="O778" s="17"/>
      <c r="P778" s="17" t="s">
        <v>6504</v>
      </c>
      <c r="Q778" s="17"/>
      <c r="R778" s="25" t="str">
        <f>HYPERLINK("https://ictv.global/taxonomy/taxondetails?taxnode_id=202308227","Cuernavacavirus RHEph09")</f>
        <v>Cuernavacavirus RHEph09</v>
      </c>
      <c r="S778" s="18" t="s">
        <v>30</v>
      </c>
      <c r="T778" s="18" t="s">
        <v>6509</v>
      </c>
      <c r="U778" s="18"/>
      <c r="V778" s="18"/>
      <c r="W778" s="18" t="s">
        <v>6510</v>
      </c>
      <c r="X778" s="18" t="s">
        <v>42</v>
      </c>
      <c r="Y778" s="18" t="s">
        <v>36</v>
      </c>
      <c r="Z778" s="18" t="s">
        <v>697</v>
      </c>
      <c r="AA778" s="21" t="str">
        <f>HYPERLINK("https://www.ncbi.nlm.nih.gov/nuccore/JX483880","NCBI Nucleotide")</f>
        <v>NCBI Nucleotide</v>
      </c>
    </row>
    <row r="779" spans="1:27" x14ac:dyDescent="0.35">
      <c r="A779">
        <v>1001383</v>
      </c>
      <c r="B779">
        <v>778</v>
      </c>
      <c r="C779">
        <v>1</v>
      </c>
      <c r="D779" s="17" t="s">
        <v>155</v>
      </c>
      <c r="E779" s="17"/>
      <c r="F779" s="17" t="s">
        <v>156</v>
      </c>
      <c r="G779" s="17"/>
      <c r="H779" s="17" t="s">
        <v>692</v>
      </c>
      <c r="I779" s="17"/>
      <c r="J779" s="17" t="s">
        <v>693</v>
      </c>
      <c r="K779" s="17"/>
      <c r="L779" s="17"/>
      <c r="M779" s="17"/>
      <c r="N779" s="17" t="s">
        <v>6460</v>
      </c>
      <c r="O779" s="17"/>
      <c r="P779" s="17" t="s">
        <v>6511</v>
      </c>
      <c r="Q779" s="17"/>
      <c r="R779" s="25" t="str">
        <f>HYPERLINK("https://ictv.global/taxonomy/taxondetails?taxnode_id=202308310","Cyclitvirus cyclit")</f>
        <v>Cyclitvirus cyclit</v>
      </c>
      <c r="S779" s="18" t="s">
        <v>30</v>
      </c>
      <c r="T779" s="18" t="s">
        <v>6512</v>
      </c>
      <c r="U779" s="18"/>
      <c r="V779" s="18"/>
      <c r="W779" s="18" t="s">
        <v>6513</v>
      </c>
      <c r="X779" s="18" t="s">
        <v>42</v>
      </c>
      <c r="Y779" s="18" t="s">
        <v>36</v>
      </c>
      <c r="Z779" s="18" t="s">
        <v>697</v>
      </c>
      <c r="AA779" s="21" t="str">
        <f>HYPERLINK("https://www.ncbi.nlm.nih.gov/nuccore/MG592574","NCBI Nucleotide")</f>
        <v>NCBI Nucleotide</v>
      </c>
    </row>
    <row r="780" spans="1:27" x14ac:dyDescent="0.35">
      <c r="A780">
        <v>1001384</v>
      </c>
      <c r="B780">
        <v>779</v>
      </c>
      <c r="C780">
        <v>1</v>
      </c>
      <c r="D780" s="17" t="s">
        <v>155</v>
      </c>
      <c r="E780" s="17"/>
      <c r="F780" s="17" t="s">
        <v>156</v>
      </c>
      <c r="G780" s="17"/>
      <c r="H780" s="17" t="s">
        <v>692</v>
      </c>
      <c r="I780" s="17"/>
      <c r="J780" s="17" t="s">
        <v>693</v>
      </c>
      <c r="K780" s="17"/>
      <c r="L780" s="17"/>
      <c r="M780" s="17"/>
      <c r="N780" s="17" t="s">
        <v>6460</v>
      </c>
      <c r="O780" s="17"/>
      <c r="P780" s="17" t="s">
        <v>6514</v>
      </c>
      <c r="Q780" s="17"/>
      <c r="R780" s="25" t="str">
        <f>HYPERLINK("https://ictv.global/taxonomy/taxondetails?taxnode_id=202308211","Ermolevavirus PGT2")</f>
        <v>Ermolevavirus PGT2</v>
      </c>
      <c r="S780" s="18" t="s">
        <v>30</v>
      </c>
      <c r="T780" s="18" t="s">
        <v>6515</v>
      </c>
      <c r="U780" s="18"/>
      <c r="V780" s="18"/>
      <c r="W780" s="18" t="s">
        <v>6516</v>
      </c>
      <c r="X780" s="18" t="s">
        <v>42</v>
      </c>
      <c r="Y780" s="18" t="s">
        <v>36</v>
      </c>
      <c r="Z780" s="18" t="s">
        <v>697</v>
      </c>
      <c r="AA780" s="21" t="str">
        <f>HYPERLINK("https://www.ncbi.nlm.nih.gov/nuccore/MG201401","NCBI Nucleotide")</f>
        <v>NCBI Nucleotide</v>
      </c>
    </row>
    <row r="781" spans="1:27" x14ac:dyDescent="0.35">
      <c r="A781">
        <v>1001385</v>
      </c>
      <c r="B781">
        <v>780</v>
      </c>
      <c r="C781">
        <v>1</v>
      </c>
      <c r="D781" s="17" t="s">
        <v>155</v>
      </c>
      <c r="E781" s="17"/>
      <c r="F781" s="17" t="s">
        <v>156</v>
      </c>
      <c r="G781" s="17"/>
      <c r="H781" s="17" t="s">
        <v>692</v>
      </c>
      <c r="I781" s="17"/>
      <c r="J781" s="17" t="s">
        <v>693</v>
      </c>
      <c r="K781" s="17"/>
      <c r="L781" s="17"/>
      <c r="M781" s="17"/>
      <c r="N781" s="17" t="s">
        <v>6460</v>
      </c>
      <c r="O781" s="17"/>
      <c r="P781" s="17" t="s">
        <v>6514</v>
      </c>
      <c r="Q781" s="17"/>
      <c r="R781" s="25" t="str">
        <f>HYPERLINK("https://ictv.global/taxonomy/taxondetails?taxnode_id=202308210","Ermolevavirus PhiKT")</f>
        <v>Ermolevavirus PhiKT</v>
      </c>
      <c r="S781" s="18" t="s">
        <v>30</v>
      </c>
      <c r="T781" s="18" t="s">
        <v>6517</v>
      </c>
      <c r="U781" s="18"/>
      <c r="V781" s="18"/>
      <c r="W781" s="18" t="s">
        <v>6518</v>
      </c>
      <c r="X781" s="18" t="s">
        <v>42</v>
      </c>
      <c r="Y781" s="18" t="s">
        <v>36</v>
      </c>
      <c r="Z781" s="18" t="s">
        <v>697</v>
      </c>
      <c r="AA781" s="21" t="str">
        <f>HYPERLINK("https://www.ncbi.nlm.nih.gov/nuccore/JN882298","NCBI Nucleotide")</f>
        <v>NCBI Nucleotide</v>
      </c>
    </row>
    <row r="782" spans="1:27" x14ac:dyDescent="0.35">
      <c r="A782">
        <v>1001386</v>
      </c>
      <c r="B782">
        <v>781</v>
      </c>
      <c r="C782">
        <v>1</v>
      </c>
      <c r="D782" s="17" t="s">
        <v>155</v>
      </c>
      <c r="E782" s="17"/>
      <c r="F782" s="17" t="s">
        <v>156</v>
      </c>
      <c r="G782" s="17"/>
      <c r="H782" s="17" t="s">
        <v>692</v>
      </c>
      <c r="I782" s="17"/>
      <c r="J782" s="17" t="s">
        <v>693</v>
      </c>
      <c r="K782" s="17"/>
      <c r="L782" s="17"/>
      <c r="M782" s="17"/>
      <c r="N782" s="17" t="s">
        <v>6460</v>
      </c>
      <c r="O782" s="17"/>
      <c r="P782" s="17" t="s">
        <v>6519</v>
      </c>
      <c r="Q782" s="17"/>
      <c r="R782" s="25" t="str">
        <f>HYPERLINK("https://ictv.global/taxonomy/taxondetails?taxnode_id=202308308","Foturvirus H44")</f>
        <v>Foturvirus H44</v>
      </c>
      <c r="S782" s="18" t="s">
        <v>30</v>
      </c>
      <c r="T782" s="18" t="s">
        <v>6520</v>
      </c>
      <c r="U782" s="18"/>
      <c r="V782" s="18"/>
      <c r="W782" s="18" t="s">
        <v>6521</v>
      </c>
      <c r="X782" s="18" t="s">
        <v>42</v>
      </c>
      <c r="Y782" s="18" t="s">
        <v>36</v>
      </c>
      <c r="Z782" s="18" t="s">
        <v>697</v>
      </c>
      <c r="AA782" s="21" t="str">
        <f>HYPERLINK("https://www.ncbi.nlm.nih.gov/nuccore/MF278336","NCBI Nucleotide")</f>
        <v>NCBI Nucleotide</v>
      </c>
    </row>
    <row r="783" spans="1:27" x14ac:dyDescent="0.35">
      <c r="A783">
        <v>1001387</v>
      </c>
      <c r="B783">
        <v>782</v>
      </c>
      <c r="C783">
        <v>1</v>
      </c>
      <c r="D783" s="17" t="s">
        <v>155</v>
      </c>
      <c r="E783" s="17"/>
      <c r="F783" s="17" t="s">
        <v>156</v>
      </c>
      <c r="G783" s="17"/>
      <c r="H783" s="17" t="s">
        <v>692</v>
      </c>
      <c r="I783" s="17"/>
      <c r="J783" s="17" t="s">
        <v>693</v>
      </c>
      <c r="K783" s="17"/>
      <c r="L783" s="17"/>
      <c r="M783" s="17"/>
      <c r="N783" s="17" t="s">
        <v>6460</v>
      </c>
      <c r="O783" s="17"/>
      <c r="P783" s="17" t="s">
        <v>6522</v>
      </c>
      <c r="Q783" s="17"/>
      <c r="R783" s="25" t="str">
        <f>HYPERLINK("https://ictv.global/taxonomy/taxondetails?taxnode_id=202308326","Foussvirus S46C10")</f>
        <v>Foussvirus S46C10</v>
      </c>
      <c r="S783" s="18" t="s">
        <v>30</v>
      </c>
      <c r="T783" s="18" t="s">
        <v>6523</v>
      </c>
      <c r="U783" s="18"/>
      <c r="V783" s="18"/>
      <c r="W783" s="18" t="s">
        <v>6524</v>
      </c>
      <c r="X783" s="18" t="s">
        <v>42</v>
      </c>
      <c r="Y783" s="18" t="s">
        <v>36</v>
      </c>
      <c r="Z783" s="18" t="s">
        <v>697</v>
      </c>
      <c r="AA783" s="21" t="str">
        <f>HYPERLINK("https://www.ncbi.nlm.nih.gov/nuccore/AP013545","NCBI Nucleotide")</f>
        <v>NCBI Nucleotide</v>
      </c>
    </row>
    <row r="784" spans="1:27" x14ac:dyDescent="0.35">
      <c r="A784">
        <v>1001388</v>
      </c>
      <c r="B784">
        <v>783</v>
      </c>
      <c r="C784">
        <v>1</v>
      </c>
      <c r="D784" s="17" t="s">
        <v>155</v>
      </c>
      <c r="E784" s="17"/>
      <c r="F784" s="17" t="s">
        <v>156</v>
      </c>
      <c r="G784" s="17"/>
      <c r="H784" s="17" t="s">
        <v>692</v>
      </c>
      <c r="I784" s="17"/>
      <c r="J784" s="17" t="s">
        <v>693</v>
      </c>
      <c r="K784" s="17"/>
      <c r="L784" s="17"/>
      <c r="M784" s="17"/>
      <c r="N784" s="17" t="s">
        <v>6460</v>
      </c>
      <c r="O784" s="17"/>
      <c r="P784" s="17" t="s">
        <v>6525</v>
      </c>
      <c r="Q784" s="17"/>
      <c r="R784" s="25" t="str">
        <f>HYPERLINK("https://ictv.global/taxonomy/taxondetails?taxnode_id=202308253","Fussvirus S30C28")</f>
        <v>Fussvirus S30C28</v>
      </c>
      <c r="S784" s="18" t="s">
        <v>30</v>
      </c>
      <c r="T784" s="18" t="s">
        <v>6526</v>
      </c>
      <c r="U784" s="18"/>
      <c r="V784" s="18"/>
      <c r="W784" s="18" t="s">
        <v>6527</v>
      </c>
      <c r="X784" s="18" t="s">
        <v>42</v>
      </c>
      <c r="Y784" s="18" t="s">
        <v>36</v>
      </c>
      <c r="Z784" s="18" t="s">
        <v>697</v>
      </c>
      <c r="AA784" s="21" t="str">
        <f>HYPERLINK("https://www.ncbi.nlm.nih.gov/nuccore/AP013543","NCBI Nucleotide")</f>
        <v>NCBI Nucleotide</v>
      </c>
    </row>
    <row r="785" spans="1:27" x14ac:dyDescent="0.35">
      <c r="A785">
        <v>1001389</v>
      </c>
      <c r="B785">
        <v>784</v>
      </c>
      <c r="C785">
        <v>1</v>
      </c>
      <c r="D785" s="17" t="s">
        <v>155</v>
      </c>
      <c r="E785" s="17"/>
      <c r="F785" s="17" t="s">
        <v>156</v>
      </c>
      <c r="G785" s="17"/>
      <c r="H785" s="17" t="s">
        <v>692</v>
      </c>
      <c r="I785" s="17"/>
      <c r="J785" s="17" t="s">
        <v>693</v>
      </c>
      <c r="K785" s="17"/>
      <c r="L785" s="17"/>
      <c r="M785" s="17"/>
      <c r="N785" s="17" t="s">
        <v>6460</v>
      </c>
      <c r="O785" s="17"/>
      <c r="P785" s="17" t="s">
        <v>6528</v>
      </c>
      <c r="Q785" s="17"/>
      <c r="R785" s="25" t="str">
        <f>HYPERLINK("https://ictv.global/taxonomy/taxondetails?taxnode_id=202308207","Gajwadongvirus ECBP5")</f>
        <v>Gajwadongvirus ECBP5</v>
      </c>
      <c r="S785" s="18" t="s">
        <v>30</v>
      </c>
      <c r="T785" s="18" t="s">
        <v>6529</v>
      </c>
      <c r="U785" s="18"/>
      <c r="V785" s="18"/>
      <c r="W785" s="18" t="s">
        <v>6530</v>
      </c>
      <c r="X785" s="18" t="s">
        <v>42</v>
      </c>
      <c r="Y785" s="18" t="s">
        <v>36</v>
      </c>
      <c r="Z785" s="18" t="s">
        <v>697</v>
      </c>
      <c r="AA785" s="21" t="str">
        <f>HYPERLINK("https://www.ncbi.nlm.nih.gov/nuccore/KJ749827","NCBI Nucleotide")</f>
        <v>NCBI Nucleotide</v>
      </c>
    </row>
    <row r="786" spans="1:27" x14ac:dyDescent="0.35">
      <c r="A786">
        <v>1001390</v>
      </c>
      <c r="B786">
        <v>785</v>
      </c>
      <c r="C786">
        <v>1</v>
      </c>
      <c r="D786" s="17" t="s">
        <v>155</v>
      </c>
      <c r="E786" s="17"/>
      <c r="F786" s="17" t="s">
        <v>156</v>
      </c>
      <c r="G786" s="17"/>
      <c r="H786" s="17" t="s">
        <v>692</v>
      </c>
      <c r="I786" s="17"/>
      <c r="J786" s="17" t="s">
        <v>693</v>
      </c>
      <c r="K786" s="17"/>
      <c r="L786" s="17"/>
      <c r="M786" s="17"/>
      <c r="N786" s="17" t="s">
        <v>6460</v>
      </c>
      <c r="O786" s="17"/>
      <c r="P786" s="17" t="s">
        <v>6528</v>
      </c>
      <c r="Q786" s="17"/>
      <c r="R786" s="25" t="str">
        <f>HYPERLINK("https://ictv.global/taxonomy/taxondetails?taxnode_id=202308208","Gajwadongvirus PP99")</f>
        <v>Gajwadongvirus PP99</v>
      </c>
      <c r="S786" s="18" t="s">
        <v>30</v>
      </c>
      <c r="T786" s="18" t="s">
        <v>6531</v>
      </c>
      <c r="U786" s="18"/>
      <c r="V786" s="18"/>
      <c r="W786" s="18" t="s">
        <v>6532</v>
      </c>
      <c r="X786" s="18" t="s">
        <v>42</v>
      </c>
      <c r="Y786" s="18" t="s">
        <v>36</v>
      </c>
      <c r="Z786" s="18" t="s">
        <v>697</v>
      </c>
      <c r="AA786" s="21" t="str">
        <f>HYPERLINK("https://www.ncbi.nlm.nih.gov/nuccore/KY250034","NCBI Nucleotide")</f>
        <v>NCBI Nucleotide</v>
      </c>
    </row>
    <row r="787" spans="1:27" x14ac:dyDescent="0.35">
      <c r="A787">
        <v>1001391</v>
      </c>
      <c r="B787">
        <v>786</v>
      </c>
      <c r="C787">
        <v>1</v>
      </c>
      <c r="D787" s="17" t="s">
        <v>155</v>
      </c>
      <c r="E787" s="17"/>
      <c r="F787" s="17" t="s">
        <v>156</v>
      </c>
      <c r="G787" s="17"/>
      <c r="H787" s="17" t="s">
        <v>692</v>
      </c>
      <c r="I787" s="17"/>
      <c r="J787" s="17" t="s">
        <v>693</v>
      </c>
      <c r="K787" s="17"/>
      <c r="L787" s="17"/>
      <c r="M787" s="17"/>
      <c r="N787" s="17" t="s">
        <v>6460</v>
      </c>
      <c r="O787" s="17"/>
      <c r="P787" s="17" t="s">
        <v>6533</v>
      </c>
      <c r="Q787" s="17"/>
      <c r="R787" s="25" t="str">
        <f>HYPERLINK("https://ictv.global/taxonomy/taxondetails?taxnode_id=202308216","Gyeongsanvirus DURPI")</f>
        <v>Gyeongsanvirus DURPI</v>
      </c>
      <c r="S787" s="18" t="s">
        <v>30</v>
      </c>
      <c r="T787" s="18" t="s">
        <v>6534</v>
      </c>
      <c r="U787" s="18"/>
      <c r="V787" s="18"/>
      <c r="W787" s="18" t="s">
        <v>6535</v>
      </c>
      <c r="X787" s="18" t="s">
        <v>42</v>
      </c>
      <c r="Y787" s="18" t="s">
        <v>36</v>
      </c>
      <c r="Z787" s="18" t="s">
        <v>697</v>
      </c>
      <c r="AA787" s="21" t="str">
        <f>HYPERLINK("https://www.ncbi.nlm.nih.gov/nuccore/MF979559","NCBI Nucleotide")</f>
        <v>NCBI Nucleotide</v>
      </c>
    </row>
    <row r="788" spans="1:27" x14ac:dyDescent="0.35">
      <c r="A788">
        <v>1001392</v>
      </c>
      <c r="B788">
        <v>787</v>
      </c>
      <c r="C788">
        <v>1</v>
      </c>
      <c r="D788" s="17" t="s">
        <v>155</v>
      </c>
      <c r="E788" s="17"/>
      <c r="F788" s="17" t="s">
        <v>156</v>
      </c>
      <c r="G788" s="17"/>
      <c r="H788" s="17" t="s">
        <v>692</v>
      </c>
      <c r="I788" s="17"/>
      <c r="J788" s="17" t="s">
        <v>693</v>
      </c>
      <c r="K788" s="17"/>
      <c r="L788" s="17"/>
      <c r="M788" s="17"/>
      <c r="N788" s="17" t="s">
        <v>6460</v>
      </c>
      <c r="O788" s="17"/>
      <c r="P788" s="17" t="s">
        <v>6533</v>
      </c>
      <c r="Q788" s="17"/>
      <c r="R788" s="25" t="str">
        <f>HYPERLINK("https://ictv.global/taxonomy/taxondetails?taxnode_id=202308217","Gyeongsanvirus RsoP1EGY")</f>
        <v>Gyeongsanvirus RsoP1EGY</v>
      </c>
      <c r="S788" s="18" t="s">
        <v>30</v>
      </c>
      <c r="T788" s="18" t="s">
        <v>6536</v>
      </c>
      <c r="U788" s="18"/>
      <c r="V788" s="18"/>
      <c r="W788" s="18" t="s">
        <v>6537</v>
      </c>
      <c r="X788" s="18" t="s">
        <v>42</v>
      </c>
      <c r="Y788" s="18" t="s">
        <v>36</v>
      </c>
      <c r="Z788" s="18" t="s">
        <v>697</v>
      </c>
      <c r="AA788" s="21" t="str">
        <f>HYPERLINK("https://www.ncbi.nlm.nih.gov/nuccore/MG711516","NCBI Nucleotide")</f>
        <v>NCBI Nucleotide</v>
      </c>
    </row>
    <row r="789" spans="1:27" x14ac:dyDescent="0.35">
      <c r="A789">
        <v>1001393</v>
      </c>
      <c r="B789">
        <v>788</v>
      </c>
      <c r="C789">
        <v>1</v>
      </c>
      <c r="D789" s="17" t="s">
        <v>155</v>
      </c>
      <c r="E789" s="17"/>
      <c r="F789" s="17" t="s">
        <v>156</v>
      </c>
      <c r="G789" s="17"/>
      <c r="H789" s="17" t="s">
        <v>692</v>
      </c>
      <c r="I789" s="17"/>
      <c r="J789" s="17" t="s">
        <v>693</v>
      </c>
      <c r="K789" s="17"/>
      <c r="L789" s="17"/>
      <c r="M789" s="17"/>
      <c r="N789" s="17" t="s">
        <v>6460</v>
      </c>
      <c r="O789" s="17"/>
      <c r="P789" s="17" t="s">
        <v>6538</v>
      </c>
      <c r="Q789" s="17"/>
      <c r="R789" s="25" t="str">
        <f>HYPERLINK("https://ictv.global/taxonomy/taxondetails?taxnode_id=202308278","Igirivirus STIP37")</f>
        <v>Igirivirus STIP37</v>
      </c>
      <c r="S789" s="18" t="s">
        <v>30</v>
      </c>
      <c r="T789" s="18" t="s">
        <v>6539</v>
      </c>
      <c r="U789" s="18"/>
      <c r="V789" s="18"/>
      <c r="W789" s="18" t="s">
        <v>6540</v>
      </c>
      <c r="X789" s="18" t="s">
        <v>42</v>
      </c>
      <c r="Y789" s="18" t="s">
        <v>36</v>
      </c>
      <c r="Z789" s="18" t="s">
        <v>697</v>
      </c>
      <c r="AA789" s="21" t="str">
        <f>HYPERLINK("https://www.ncbi.nlm.nih.gov/nuccore/MH540083","NCBI Nucleotide")</f>
        <v>NCBI Nucleotide</v>
      </c>
    </row>
    <row r="790" spans="1:27" x14ac:dyDescent="0.35">
      <c r="A790">
        <v>1001394</v>
      </c>
      <c r="B790">
        <v>789</v>
      </c>
      <c r="C790">
        <v>1</v>
      </c>
      <c r="D790" s="17" t="s">
        <v>155</v>
      </c>
      <c r="E790" s="17"/>
      <c r="F790" s="17" t="s">
        <v>156</v>
      </c>
      <c r="G790" s="17"/>
      <c r="H790" s="17" t="s">
        <v>692</v>
      </c>
      <c r="I790" s="17"/>
      <c r="J790" s="17" t="s">
        <v>693</v>
      </c>
      <c r="K790" s="17"/>
      <c r="L790" s="17"/>
      <c r="M790" s="17"/>
      <c r="N790" s="17" t="s">
        <v>6460</v>
      </c>
      <c r="O790" s="17"/>
      <c r="P790" s="17" t="s">
        <v>6541</v>
      </c>
      <c r="Q790" s="17"/>
      <c r="R790" s="25" t="str">
        <f>HYPERLINK("https://ictv.global/taxonomy/taxondetails?taxnode_id=202308296","Jalkavirus S08C159")</f>
        <v>Jalkavirus S08C159</v>
      </c>
      <c r="S790" s="18" t="s">
        <v>30</v>
      </c>
      <c r="T790" s="18" t="s">
        <v>6542</v>
      </c>
      <c r="U790" s="18"/>
      <c r="V790" s="18"/>
      <c r="W790" s="18" t="s">
        <v>6543</v>
      </c>
      <c r="X790" s="18" t="s">
        <v>154</v>
      </c>
      <c r="Y790" s="18" t="s">
        <v>36</v>
      </c>
      <c r="Z790" s="18" t="s">
        <v>697</v>
      </c>
      <c r="AA790" s="21" t="str">
        <f>HYPERLINK("https://www.ncbi.nlm.nih.gov/nuccore/GU943031","NCBI Nucleotide")</f>
        <v>NCBI Nucleotide</v>
      </c>
    </row>
    <row r="791" spans="1:27" x14ac:dyDescent="0.35">
      <c r="A791">
        <v>1001395</v>
      </c>
      <c r="B791">
        <v>790</v>
      </c>
      <c r="C791">
        <v>1</v>
      </c>
      <c r="D791" s="17" t="s">
        <v>155</v>
      </c>
      <c r="E791" s="17"/>
      <c r="F791" s="17" t="s">
        <v>156</v>
      </c>
      <c r="G791" s="17"/>
      <c r="H791" s="17" t="s">
        <v>692</v>
      </c>
      <c r="I791" s="17"/>
      <c r="J791" s="17" t="s">
        <v>693</v>
      </c>
      <c r="K791" s="17"/>
      <c r="L791" s="17"/>
      <c r="M791" s="17"/>
      <c r="N791" s="17" t="s">
        <v>6460</v>
      </c>
      <c r="O791" s="17"/>
      <c r="P791" s="17" t="s">
        <v>6544</v>
      </c>
      <c r="Q791" s="17"/>
      <c r="R791" s="25" t="str">
        <f>HYPERLINK("https://ictv.global/taxonomy/taxondetails?taxnode_id=202308247","Jiaoyazivirus RSB3")</f>
        <v>Jiaoyazivirus RSB3</v>
      </c>
      <c r="S791" s="18" t="s">
        <v>30</v>
      </c>
      <c r="T791" s="18" t="s">
        <v>6545</v>
      </c>
      <c r="U791" s="18"/>
      <c r="V791" s="18"/>
      <c r="W791" s="18" t="s">
        <v>6546</v>
      </c>
      <c r="X791" s="18" t="s">
        <v>42</v>
      </c>
      <c r="Y791" s="18" t="s">
        <v>36</v>
      </c>
      <c r="Z791" s="18" t="s">
        <v>697</v>
      </c>
      <c r="AA791" s="21" t="str">
        <f>HYPERLINK("https://www.ncbi.nlm.nih.gov/nuccore/AB854109","NCBI Nucleotide")</f>
        <v>NCBI Nucleotide</v>
      </c>
    </row>
    <row r="792" spans="1:27" x14ac:dyDescent="0.35">
      <c r="A792">
        <v>1001396</v>
      </c>
      <c r="B792">
        <v>791</v>
      </c>
      <c r="C792">
        <v>1</v>
      </c>
      <c r="D792" s="17" t="s">
        <v>155</v>
      </c>
      <c r="E792" s="17"/>
      <c r="F792" s="17" t="s">
        <v>156</v>
      </c>
      <c r="G792" s="17"/>
      <c r="H792" s="17" t="s">
        <v>692</v>
      </c>
      <c r="I792" s="17"/>
      <c r="J792" s="17" t="s">
        <v>693</v>
      </c>
      <c r="K792" s="17"/>
      <c r="L792" s="17"/>
      <c r="M792" s="17"/>
      <c r="N792" s="17" t="s">
        <v>6460</v>
      </c>
      <c r="O792" s="17"/>
      <c r="P792" s="17" t="s">
        <v>6547</v>
      </c>
      <c r="Q792" s="17"/>
      <c r="R792" s="25" t="str">
        <f>HYPERLINK("https://ictv.global/taxonomy/taxondetails?taxnode_id=202308304","Kafavirus SWcelC56")</f>
        <v>Kafavirus SWcelC56</v>
      </c>
      <c r="S792" s="18" t="s">
        <v>30</v>
      </c>
      <c r="T792" s="18" t="s">
        <v>6548</v>
      </c>
      <c r="U792" s="18"/>
      <c r="V792" s="18"/>
      <c r="W792" s="18" t="s">
        <v>6549</v>
      </c>
      <c r="X792" s="18" t="s">
        <v>42</v>
      </c>
      <c r="Y792" s="18" t="s">
        <v>36</v>
      </c>
      <c r="Z792" s="18" t="s">
        <v>697</v>
      </c>
      <c r="AA792" s="21" t="str">
        <f>HYPERLINK("https://www.ncbi.nlm.nih.gov/nuccore/KX397280","NCBI Nucleotide")</f>
        <v>NCBI Nucleotide</v>
      </c>
    </row>
    <row r="793" spans="1:27" x14ac:dyDescent="0.35">
      <c r="A793">
        <v>1001397</v>
      </c>
      <c r="B793">
        <v>792</v>
      </c>
      <c r="C793">
        <v>1</v>
      </c>
      <c r="D793" s="17" t="s">
        <v>155</v>
      </c>
      <c r="E793" s="17"/>
      <c r="F793" s="17" t="s">
        <v>156</v>
      </c>
      <c r="G793" s="17"/>
      <c r="H793" s="17" t="s">
        <v>692</v>
      </c>
      <c r="I793" s="17"/>
      <c r="J793" s="17" t="s">
        <v>693</v>
      </c>
      <c r="K793" s="17"/>
      <c r="L793" s="17"/>
      <c r="M793" s="17"/>
      <c r="N793" s="17" t="s">
        <v>6460</v>
      </c>
      <c r="O793" s="17"/>
      <c r="P793" s="17" t="s">
        <v>6550</v>
      </c>
      <c r="Q793" s="17"/>
      <c r="R793" s="25" t="str">
        <f>HYPERLINK("https://ictv.global/taxonomy/taxondetails?taxnode_id=202308322","Kajamvirus SRIP1")</f>
        <v>Kajamvirus SRIP1</v>
      </c>
      <c r="S793" s="18" t="s">
        <v>30</v>
      </c>
      <c r="T793" s="18" t="s">
        <v>6551</v>
      </c>
      <c r="U793" s="18"/>
      <c r="V793" s="18"/>
      <c r="W793" s="18" t="s">
        <v>6552</v>
      </c>
      <c r="X793" s="18" t="s">
        <v>42</v>
      </c>
      <c r="Y793" s="18" t="s">
        <v>36</v>
      </c>
      <c r="Z793" s="18" t="s">
        <v>697</v>
      </c>
      <c r="AA793" s="21" t="str">
        <f>HYPERLINK("https://www.ncbi.nlm.nih.gov/nuccore/HQ317388","NCBI Nucleotide")</f>
        <v>NCBI Nucleotide</v>
      </c>
    </row>
    <row r="794" spans="1:27" x14ac:dyDescent="0.35">
      <c r="A794">
        <v>1001398</v>
      </c>
      <c r="B794">
        <v>793</v>
      </c>
      <c r="C794">
        <v>1</v>
      </c>
      <c r="D794" s="17" t="s">
        <v>155</v>
      </c>
      <c r="E794" s="17"/>
      <c r="F794" s="17" t="s">
        <v>156</v>
      </c>
      <c r="G794" s="17"/>
      <c r="H794" s="17" t="s">
        <v>692</v>
      </c>
      <c r="I794" s="17"/>
      <c r="J794" s="17" t="s">
        <v>693</v>
      </c>
      <c r="K794" s="17"/>
      <c r="L794" s="17"/>
      <c r="M794" s="17"/>
      <c r="N794" s="17" t="s">
        <v>6460</v>
      </c>
      <c r="O794" s="17"/>
      <c r="P794" s="17" t="s">
        <v>6553</v>
      </c>
      <c r="Q794" s="17"/>
      <c r="R794" s="25" t="str">
        <f>HYPERLINK("https://ictv.global/taxonomy/taxondetails?taxnode_id=202308312","Kakivirus PS3")</f>
        <v>Kakivirus PS3</v>
      </c>
      <c r="S794" s="18" t="s">
        <v>30</v>
      </c>
      <c r="T794" s="18" t="s">
        <v>6554</v>
      </c>
      <c r="U794" s="18"/>
      <c r="V794" s="18"/>
      <c r="W794" s="18" t="s">
        <v>6555</v>
      </c>
      <c r="X794" s="18" t="s">
        <v>42</v>
      </c>
      <c r="Y794" s="18" t="s">
        <v>36</v>
      </c>
      <c r="Z794" s="18" t="s">
        <v>697</v>
      </c>
      <c r="AA794" s="21" t="str">
        <f>HYPERLINK("https://www.ncbi.nlm.nih.gov/nuccore/MK387869","NCBI Nucleotide")</f>
        <v>NCBI Nucleotide</v>
      </c>
    </row>
    <row r="795" spans="1:27" x14ac:dyDescent="0.35">
      <c r="A795">
        <v>1001399</v>
      </c>
      <c r="B795">
        <v>794</v>
      </c>
      <c r="C795">
        <v>1</v>
      </c>
      <c r="D795" s="17" t="s">
        <v>155</v>
      </c>
      <c r="E795" s="17"/>
      <c r="F795" s="17" t="s">
        <v>156</v>
      </c>
      <c r="G795" s="17"/>
      <c r="H795" s="17" t="s">
        <v>692</v>
      </c>
      <c r="I795" s="17"/>
      <c r="J795" s="17" t="s">
        <v>693</v>
      </c>
      <c r="K795" s="17"/>
      <c r="L795" s="17"/>
      <c r="M795" s="17"/>
      <c r="N795" s="17" t="s">
        <v>6460</v>
      </c>
      <c r="O795" s="17"/>
      <c r="P795" s="17" t="s">
        <v>6556</v>
      </c>
      <c r="Q795" s="17"/>
      <c r="R795" s="25" t="str">
        <f>HYPERLINK("https://ictv.global/taxonomy/taxondetails?taxnode_id=202308265","Kalppathivirus P26059B")</f>
        <v>Kalppathivirus P26059B</v>
      </c>
      <c r="S795" s="18" t="s">
        <v>30</v>
      </c>
      <c r="T795" s="18" t="s">
        <v>6557</v>
      </c>
      <c r="U795" s="18"/>
      <c r="V795" s="18"/>
      <c r="W795" s="18" t="s">
        <v>6558</v>
      </c>
      <c r="X795" s="18" t="s">
        <v>42</v>
      </c>
      <c r="Y795" s="18" t="s">
        <v>36</v>
      </c>
      <c r="Z795" s="18" t="s">
        <v>697</v>
      </c>
      <c r="AA795" s="21" t="str">
        <f>HYPERLINK("https://www.ncbi.nlm.nih.gov/nuccore/KY981272","NCBI Nucleotide")</f>
        <v>NCBI Nucleotide</v>
      </c>
    </row>
    <row r="796" spans="1:27" x14ac:dyDescent="0.35">
      <c r="A796">
        <v>1001400</v>
      </c>
      <c r="B796">
        <v>795</v>
      </c>
      <c r="C796">
        <v>1</v>
      </c>
      <c r="D796" s="17" t="s">
        <v>155</v>
      </c>
      <c r="E796" s="17"/>
      <c r="F796" s="17" t="s">
        <v>156</v>
      </c>
      <c r="G796" s="17"/>
      <c r="H796" s="17" t="s">
        <v>692</v>
      </c>
      <c r="I796" s="17"/>
      <c r="J796" s="17" t="s">
        <v>693</v>
      </c>
      <c r="K796" s="17"/>
      <c r="L796" s="17"/>
      <c r="M796" s="17"/>
      <c r="N796" s="17" t="s">
        <v>6460</v>
      </c>
      <c r="O796" s="17"/>
      <c r="P796" s="17" t="s">
        <v>6559</v>
      </c>
      <c r="Q796" s="17"/>
      <c r="R796" s="25" t="str">
        <f>HYPERLINK("https://ictv.global/taxonomy/taxondetails?taxnode_id=202308501","Kelmasvirus RSB2")</f>
        <v>Kelmasvirus RSB2</v>
      </c>
      <c r="S796" s="18" t="s">
        <v>30</v>
      </c>
      <c r="T796" s="18" t="s">
        <v>6560</v>
      </c>
      <c r="U796" s="18"/>
      <c r="V796" s="18"/>
      <c r="W796" s="18" t="s">
        <v>6561</v>
      </c>
      <c r="X796" s="18" t="s">
        <v>42</v>
      </c>
      <c r="Y796" s="18" t="s">
        <v>36</v>
      </c>
      <c r="Z796" s="18" t="s">
        <v>697</v>
      </c>
      <c r="AA796" s="21" t="str">
        <f>HYPERLINK("https://www.ncbi.nlm.nih.gov/nuccore/AB597179","NCBI Nucleotide")</f>
        <v>NCBI Nucleotide</v>
      </c>
    </row>
    <row r="797" spans="1:27" x14ac:dyDescent="0.35">
      <c r="A797">
        <v>1001401</v>
      </c>
      <c r="B797">
        <v>796</v>
      </c>
      <c r="C797">
        <v>1</v>
      </c>
      <c r="D797" s="17" t="s">
        <v>155</v>
      </c>
      <c r="E797" s="17"/>
      <c r="F797" s="17" t="s">
        <v>156</v>
      </c>
      <c r="G797" s="17"/>
      <c r="H797" s="17" t="s">
        <v>692</v>
      </c>
      <c r="I797" s="17"/>
      <c r="J797" s="17" t="s">
        <v>693</v>
      </c>
      <c r="K797" s="17"/>
      <c r="L797" s="17"/>
      <c r="M797" s="17"/>
      <c r="N797" s="17" t="s">
        <v>6460</v>
      </c>
      <c r="O797" s="17"/>
      <c r="P797" s="17" t="s">
        <v>6562</v>
      </c>
      <c r="Q797" s="17"/>
      <c r="R797" s="25" t="str">
        <f>HYPERLINK("https://ictv.global/taxonomy/taxondetails?taxnode_id=202308276","Kembevirus SCBP2")</f>
        <v>Kembevirus SCBP2</v>
      </c>
      <c r="S797" s="18" t="s">
        <v>30</v>
      </c>
      <c r="T797" s="18" t="s">
        <v>6563</v>
      </c>
      <c r="U797" s="18"/>
      <c r="V797" s="18"/>
      <c r="W797" s="18" t="s">
        <v>6564</v>
      </c>
      <c r="X797" s="18" t="s">
        <v>42</v>
      </c>
      <c r="Y797" s="18" t="s">
        <v>36</v>
      </c>
      <c r="Z797" s="18" t="s">
        <v>697</v>
      </c>
      <c r="AA797" s="21" t="str">
        <f>HYPERLINK("https://www.ncbi.nlm.nih.gov/nuccore/KC310806","NCBI Nucleotide")</f>
        <v>NCBI Nucleotide</v>
      </c>
    </row>
    <row r="798" spans="1:27" x14ac:dyDescent="0.35">
      <c r="A798">
        <v>1001402</v>
      </c>
      <c r="B798">
        <v>797</v>
      </c>
      <c r="C798">
        <v>1</v>
      </c>
      <c r="D798" s="17" t="s">
        <v>155</v>
      </c>
      <c r="E798" s="17"/>
      <c r="F798" s="17" t="s">
        <v>156</v>
      </c>
      <c r="G798" s="17"/>
      <c r="H798" s="17" t="s">
        <v>692</v>
      </c>
      <c r="I798" s="17"/>
      <c r="J798" s="17" t="s">
        <v>693</v>
      </c>
      <c r="K798" s="17"/>
      <c r="L798" s="17"/>
      <c r="M798" s="17"/>
      <c r="N798" s="17" t="s">
        <v>6460</v>
      </c>
      <c r="O798" s="17"/>
      <c r="P798" s="17" t="s">
        <v>6565</v>
      </c>
      <c r="Q798" s="17"/>
      <c r="R798" s="25" t="str">
        <f>HYPERLINK("https://ictv.global/taxonomy/taxondetails?taxnode_id=202308292","Krakvirus S39C11")</f>
        <v>Krakvirus S39C11</v>
      </c>
      <c r="S798" s="18" t="s">
        <v>30</v>
      </c>
      <c r="T798" s="18" t="s">
        <v>6566</v>
      </c>
      <c r="U798" s="18"/>
      <c r="V798" s="18"/>
      <c r="W798" s="18" t="s">
        <v>6567</v>
      </c>
      <c r="X798" s="18" t="s">
        <v>42</v>
      </c>
      <c r="Y798" s="18" t="s">
        <v>36</v>
      </c>
      <c r="Z798" s="18" t="s">
        <v>697</v>
      </c>
      <c r="AA798" s="21" t="str">
        <f>HYPERLINK("https://www.ncbi.nlm.nih.gov/nuccore/AP013549","NCBI Nucleotide")</f>
        <v>NCBI Nucleotide</v>
      </c>
    </row>
    <row r="799" spans="1:27" x14ac:dyDescent="0.35">
      <c r="A799">
        <v>1001403</v>
      </c>
      <c r="B799">
        <v>798</v>
      </c>
      <c r="C799">
        <v>1</v>
      </c>
      <c r="D799" s="17" t="s">
        <v>155</v>
      </c>
      <c r="E799" s="17"/>
      <c r="F799" s="17" t="s">
        <v>156</v>
      </c>
      <c r="G799" s="17"/>
      <c r="H799" s="17" t="s">
        <v>692</v>
      </c>
      <c r="I799" s="17"/>
      <c r="J799" s="17" t="s">
        <v>693</v>
      </c>
      <c r="K799" s="17"/>
      <c r="L799" s="17"/>
      <c r="M799" s="17"/>
      <c r="N799" s="17" t="s">
        <v>6460</v>
      </c>
      <c r="O799" s="17"/>
      <c r="P799" s="17" t="s">
        <v>6568</v>
      </c>
      <c r="Q799" s="17"/>
      <c r="R799" s="25" t="str">
        <f>HYPERLINK("https://ictv.global/taxonomy/taxondetails?taxnode_id=202308238","Lauvirus lau218")</f>
        <v>Lauvirus lau218</v>
      </c>
      <c r="S799" s="18" t="s">
        <v>30</v>
      </c>
      <c r="T799" s="18" t="s">
        <v>6569</v>
      </c>
      <c r="U799" s="18"/>
      <c r="V799" s="18" t="s">
        <v>6570</v>
      </c>
      <c r="W799" s="18" t="s">
        <v>6571</v>
      </c>
      <c r="X799" s="18" t="s">
        <v>42</v>
      </c>
      <c r="Y799" s="18" t="s">
        <v>36</v>
      </c>
      <c r="Z799" s="18" t="s">
        <v>697</v>
      </c>
      <c r="AA799" s="21" t="str">
        <f>HYPERLINK("https://www.ncbi.nlm.nih.gov/nuccore/KJ183191","NCBI Nucleotide")</f>
        <v>NCBI Nucleotide</v>
      </c>
    </row>
    <row r="800" spans="1:27" x14ac:dyDescent="0.35">
      <c r="A800">
        <v>1001404</v>
      </c>
      <c r="B800">
        <v>799</v>
      </c>
      <c r="C800">
        <v>1</v>
      </c>
      <c r="D800" s="17" t="s">
        <v>155</v>
      </c>
      <c r="E800" s="17"/>
      <c r="F800" s="17" t="s">
        <v>156</v>
      </c>
      <c r="G800" s="17"/>
      <c r="H800" s="17" t="s">
        <v>692</v>
      </c>
      <c r="I800" s="17"/>
      <c r="J800" s="17" t="s">
        <v>693</v>
      </c>
      <c r="K800" s="17"/>
      <c r="L800" s="17"/>
      <c r="M800" s="17"/>
      <c r="N800" s="17" t="s">
        <v>6460</v>
      </c>
      <c r="O800" s="17"/>
      <c r="P800" s="17" t="s">
        <v>6572</v>
      </c>
      <c r="Q800" s="17"/>
      <c r="R800" s="25" t="str">
        <f>HYPERLINK("https://ictv.global/taxonomy/taxondetails?taxnode_id=202300568","Limelightvirus limelight")</f>
        <v>Limelightvirus limelight</v>
      </c>
      <c r="S800" s="18" t="s">
        <v>30</v>
      </c>
      <c r="T800" s="18" t="s">
        <v>6573</v>
      </c>
      <c r="U800" s="18"/>
      <c r="V800" s="18"/>
      <c r="W800" s="18" t="s">
        <v>6574</v>
      </c>
      <c r="X800" s="18" t="s">
        <v>42</v>
      </c>
      <c r="Y800" s="18" t="s">
        <v>36</v>
      </c>
      <c r="Z800" s="18" t="s">
        <v>697</v>
      </c>
      <c r="AA800" s="21" t="str">
        <f>HYPERLINK("https://www.ncbi.nlm.nih.gov/nuccore/FR687252","NCBI Nucleotide")</f>
        <v>NCBI Nucleotide</v>
      </c>
    </row>
    <row r="801" spans="1:27" x14ac:dyDescent="0.35">
      <c r="A801">
        <v>1001405</v>
      </c>
      <c r="B801">
        <v>800</v>
      </c>
      <c r="C801">
        <v>1</v>
      </c>
      <c r="D801" s="17" t="s">
        <v>155</v>
      </c>
      <c r="E801" s="17"/>
      <c r="F801" s="17" t="s">
        <v>156</v>
      </c>
      <c r="G801" s="17"/>
      <c r="H801" s="17" t="s">
        <v>692</v>
      </c>
      <c r="I801" s="17"/>
      <c r="J801" s="17" t="s">
        <v>693</v>
      </c>
      <c r="K801" s="17"/>
      <c r="L801" s="17"/>
      <c r="M801" s="17"/>
      <c r="N801" s="17" t="s">
        <v>6460</v>
      </c>
      <c r="O801" s="17"/>
      <c r="P801" s="17" t="s">
        <v>6575</v>
      </c>
      <c r="Q801" s="17"/>
      <c r="R801" s="25" t="str">
        <f>HYPERLINK("https://ictv.global/taxonomy/taxondetails?taxnode_id=202308318","Lingvirus PGSP1")</f>
        <v>Lingvirus PGSP1</v>
      </c>
      <c r="S801" s="18" t="s">
        <v>30</v>
      </c>
      <c r="T801" s="18" t="s">
        <v>6576</v>
      </c>
      <c r="U801" s="18"/>
      <c r="V801" s="18"/>
      <c r="W801" s="18" t="s">
        <v>6577</v>
      </c>
      <c r="X801" s="18" t="s">
        <v>42</v>
      </c>
      <c r="Y801" s="18" t="s">
        <v>36</v>
      </c>
      <c r="Z801" s="18" t="s">
        <v>697</v>
      </c>
      <c r="AA801" s="21" t="str">
        <f>HYPERLINK("https://www.ncbi.nlm.nih.gov/nuccore/HQ332140","NCBI Nucleotide")</f>
        <v>NCBI Nucleotide</v>
      </c>
    </row>
    <row r="802" spans="1:27" x14ac:dyDescent="0.35">
      <c r="A802">
        <v>1001406</v>
      </c>
      <c r="B802">
        <v>801</v>
      </c>
      <c r="C802">
        <v>1</v>
      </c>
      <c r="D802" s="17" t="s">
        <v>155</v>
      </c>
      <c r="E802" s="17"/>
      <c r="F802" s="17" t="s">
        <v>156</v>
      </c>
      <c r="G802" s="17"/>
      <c r="H802" s="17" t="s">
        <v>692</v>
      </c>
      <c r="I802" s="17"/>
      <c r="J802" s="17" t="s">
        <v>693</v>
      </c>
      <c r="K802" s="17"/>
      <c r="L802" s="17"/>
      <c r="M802" s="17"/>
      <c r="N802" s="17" t="s">
        <v>6460</v>
      </c>
      <c r="O802" s="17"/>
      <c r="P802" s="17" t="s">
        <v>6578</v>
      </c>
      <c r="Q802" s="17"/>
      <c r="R802" s="25" t="str">
        <f>HYPERLINK("https://ictv.global/taxonomy/taxondetails?taxnode_id=202308320","Lirvirus SCBP3")</f>
        <v>Lirvirus SCBP3</v>
      </c>
      <c r="S802" s="18" t="s">
        <v>30</v>
      </c>
      <c r="T802" s="18" t="s">
        <v>6579</v>
      </c>
      <c r="U802" s="18"/>
      <c r="V802" s="18"/>
      <c r="W802" s="18" t="s">
        <v>6580</v>
      </c>
      <c r="X802" s="18" t="s">
        <v>42</v>
      </c>
      <c r="Y802" s="18" t="s">
        <v>36</v>
      </c>
      <c r="Z802" s="18" t="s">
        <v>697</v>
      </c>
      <c r="AA802" s="21" t="str">
        <f>HYPERLINK("https://www.ncbi.nlm.nih.gov/nuccore/HQ633062","NCBI Nucleotide")</f>
        <v>NCBI Nucleotide</v>
      </c>
    </row>
    <row r="803" spans="1:27" x14ac:dyDescent="0.35">
      <c r="A803">
        <v>1001407</v>
      </c>
      <c r="B803">
        <v>802</v>
      </c>
      <c r="C803">
        <v>1</v>
      </c>
      <c r="D803" s="17" t="s">
        <v>155</v>
      </c>
      <c r="E803" s="17"/>
      <c r="F803" s="17" t="s">
        <v>156</v>
      </c>
      <c r="G803" s="17"/>
      <c r="H803" s="17" t="s">
        <v>692</v>
      </c>
      <c r="I803" s="17"/>
      <c r="J803" s="17" t="s">
        <v>693</v>
      </c>
      <c r="K803" s="17"/>
      <c r="L803" s="17"/>
      <c r="M803" s="17"/>
      <c r="N803" s="17" t="s">
        <v>6460</v>
      </c>
      <c r="O803" s="17"/>
      <c r="P803" s="17" t="s">
        <v>6581</v>
      </c>
      <c r="Q803" s="17"/>
      <c r="R803" s="25" t="str">
        <f>HYPERLINK("https://ictv.global/taxonomy/taxondetails?taxnode_id=202308267","Lullwatervirus lullwater")</f>
        <v>Lullwatervirus lullwater</v>
      </c>
      <c r="S803" s="18" t="s">
        <v>30</v>
      </c>
      <c r="T803" s="18" t="s">
        <v>6582</v>
      </c>
      <c r="U803" s="18"/>
      <c r="V803" s="18"/>
      <c r="W803" s="18" t="s">
        <v>6583</v>
      </c>
      <c r="X803" s="18" t="s">
        <v>42</v>
      </c>
      <c r="Y803" s="18" t="s">
        <v>36</v>
      </c>
      <c r="Z803" s="18" t="s">
        <v>697</v>
      </c>
      <c r="AA803" s="21" t="str">
        <f>HYPERLINK("https://www.ncbi.nlm.nih.gov/nuccore/MF621978","NCBI Nucleotide")</f>
        <v>NCBI Nucleotide</v>
      </c>
    </row>
    <row r="804" spans="1:27" x14ac:dyDescent="0.35">
      <c r="A804">
        <v>1001408</v>
      </c>
      <c r="B804">
        <v>803</v>
      </c>
      <c r="C804">
        <v>1</v>
      </c>
      <c r="D804" s="17" t="s">
        <v>155</v>
      </c>
      <c r="E804" s="17"/>
      <c r="F804" s="17" t="s">
        <v>156</v>
      </c>
      <c r="G804" s="17"/>
      <c r="H804" s="17" t="s">
        <v>692</v>
      </c>
      <c r="I804" s="17"/>
      <c r="J804" s="17" t="s">
        <v>693</v>
      </c>
      <c r="K804" s="17"/>
      <c r="L804" s="17"/>
      <c r="M804" s="17"/>
      <c r="N804" s="17" t="s">
        <v>6460</v>
      </c>
      <c r="O804" s="17"/>
      <c r="P804" s="17" t="s">
        <v>6584</v>
      </c>
      <c r="Q804" s="17"/>
      <c r="R804" s="25" t="str">
        <f>HYPERLINK("https://ictv.global/taxonomy/taxondetails?taxnode_id=202308198","Maculvirus KF1")</f>
        <v>Maculvirus KF1</v>
      </c>
      <c r="S804" s="18" t="s">
        <v>30</v>
      </c>
      <c r="T804" s="18" t="s">
        <v>6585</v>
      </c>
      <c r="U804" s="18"/>
      <c r="V804" s="18"/>
      <c r="W804" s="18" t="s">
        <v>6586</v>
      </c>
      <c r="X804" s="18" t="s">
        <v>42</v>
      </c>
      <c r="Y804" s="18" t="s">
        <v>36</v>
      </c>
      <c r="Z804" s="18" t="s">
        <v>697</v>
      </c>
      <c r="AA804" s="21" t="str">
        <f>HYPERLINK("https://www.ncbi.nlm.nih.gov/nuccore/MF754111","NCBI Nucleotide")</f>
        <v>NCBI Nucleotide</v>
      </c>
    </row>
    <row r="805" spans="1:27" x14ac:dyDescent="0.35">
      <c r="A805">
        <v>1001409</v>
      </c>
      <c r="B805">
        <v>804</v>
      </c>
      <c r="C805">
        <v>1</v>
      </c>
      <c r="D805" s="17" t="s">
        <v>155</v>
      </c>
      <c r="E805" s="17"/>
      <c r="F805" s="17" t="s">
        <v>156</v>
      </c>
      <c r="G805" s="17"/>
      <c r="H805" s="17" t="s">
        <v>692</v>
      </c>
      <c r="I805" s="17"/>
      <c r="J805" s="17" t="s">
        <v>693</v>
      </c>
      <c r="K805" s="17"/>
      <c r="L805" s="17"/>
      <c r="M805" s="17"/>
      <c r="N805" s="17" t="s">
        <v>6460</v>
      </c>
      <c r="O805" s="17"/>
      <c r="P805" s="17" t="s">
        <v>6584</v>
      </c>
      <c r="Q805" s="17"/>
      <c r="R805" s="25" t="str">
        <f>HYPERLINK("https://ictv.global/taxonomy/taxondetails?taxnode_id=202308199","Maculvirus KF2")</f>
        <v>Maculvirus KF2</v>
      </c>
      <c r="S805" s="18" t="s">
        <v>30</v>
      </c>
      <c r="T805" s="18" t="s">
        <v>6587</v>
      </c>
      <c r="U805" s="18"/>
      <c r="V805" s="18"/>
      <c r="W805" s="18" t="s">
        <v>6588</v>
      </c>
      <c r="X805" s="18" t="s">
        <v>42</v>
      </c>
      <c r="Y805" s="18" t="s">
        <v>36</v>
      </c>
      <c r="Z805" s="18" t="s">
        <v>697</v>
      </c>
      <c r="AA805" s="21" t="str">
        <f>HYPERLINK("https://www.ncbi.nlm.nih.gov/nuccore/MF754112","NCBI Nucleotide")</f>
        <v>NCBI Nucleotide</v>
      </c>
    </row>
    <row r="806" spans="1:27" x14ac:dyDescent="0.35">
      <c r="A806">
        <v>1001410</v>
      </c>
      <c r="B806">
        <v>805</v>
      </c>
      <c r="C806">
        <v>1</v>
      </c>
      <c r="D806" s="17" t="s">
        <v>155</v>
      </c>
      <c r="E806" s="17"/>
      <c r="F806" s="17" t="s">
        <v>156</v>
      </c>
      <c r="G806" s="17"/>
      <c r="H806" s="17" t="s">
        <v>692</v>
      </c>
      <c r="I806" s="17"/>
      <c r="J806" s="17" t="s">
        <v>693</v>
      </c>
      <c r="K806" s="17"/>
      <c r="L806" s="17"/>
      <c r="M806" s="17"/>
      <c r="N806" s="17" t="s">
        <v>6460</v>
      </c>
      <c r="O806" s="17"/>
      <c r="P806" s="17" t="s">
        <v>6584</v>
      </c>
      <c r="Q806" s="17"/>
      <c r="R806" s="25" t="str">
        <f>HYPERLINK("https://ictv.global/taxonomy/taxondetails?taxnode_id=202308200","Maculvirus OWB")</f>
        <v>Maculvirus OWB</v>
      </c>
      <c r="S806" s="18" t="s">
        <v>30</v>
      </c>
      <c r="T806" s="18" t="s">
        <v>6589</v>
      </c>
      <c r="U806" s="18"/>
      <c r="V806" s="18"/>
      <c r="W806" s="18" t="s">
        <v>6590</v>
      </c>
      <c r="X806" s="18" t="s">
        <v>42</v>
      </c>
      <c r="Y806" s="18" t="s">
        <v>36</v>
      </c>
      <c r="Z806" s="18" t="s">
        <v>697</v>
      </c>
      <c r="AA806" s="21" t="str">
        <f>HYPERLINK("https://www.ncbi.nlm.nih.gov/nuccore/MK474470","NCBI Nucleotide")</f>
        <v>NCBI Nucleotide</v>
      </c>
    </row>
    <row r="807" spans="1:27" x14ac:dyDescent="0.35">
      <c r="A807">
        <v>1001411</v>
      </c>
      <c r="B807">
        <v>806</v>
      </c>
      <c r="C807">
        <v>1</v>
      </c>
      <c r="D807" s="17" t="s">
        <v>155</v>
      </c>
      <c r="E807" s="17"/>
      <c r="F807" s="17" t="s">
        <v>156</v>
      </c>
      <c r="G807" s="17"/>
      <c r="H807" s="17" t="s">
        <v>692</v>
      </c>
      <c r="I807" s="17"/>
      <c r="J807" s="17" t="s">
        <v>693</v>
      </c>
      <c r="K807" s="17"/>
      <c r="L807" s="17"/>
      <c r="M807" s="17"/>
      <c r="N807" s="17" t="s">
        <v>6460</v>
      </c>
      <c r="O807" s="17"/>
      <c r="P807" s="17" t="s">
        <v>6584</v>
      </c>
      <c r="Q807" s="17"/>
      <c r="R807" s="25" t="str">
        <f>HYPERLINK("https://ictv.global/taxonomy/taxondetails?taxnode_id=202308197","Maculvirus VP93")</f>
        <v>Maculvirus VP93</v>
      </c>
      <c r="S807" s="18" t="s">
        <v>30</v>
      </c>
      <c r="T807" s="18" t="s">
        <v>6591</v>
      </c>
      <c r="U807" s="18"/>
      <c r="V807" s="18"/>
      <c r="W807" s="18" t="s">
        <v>6592</v>
      </c>
      <c r="X807" s="18" t="s">
        <v>42</v>
      </c>
      <c r="Y807" s="18" t="s">
        <v>36</v>
      </c>
      <c r="Z807" s="18" t="s">
        <v>697</v>
      </c>
      <c r="AA807" s="21" t="str">
        <f>HYPERLINK("https://www.ncbi.nlm.nih.gov/nuccore/FJ896200","NCBI Nucleotide")</f>
        <v>NCBI Nucleotide</v>
      </c>
    </row>
    <row r="808" spans="1:27" x14ac:dyDescent="0.35">
      <c r="A808">
        <v>1001412</v>
      </c>
      <c r="B808">
        <v>807</v>
      </c>
      <c r="C808">
        <v>1</v>
      </c>
      <c r="D808" s="17" t="s">
        <v>155</v>
      </c>
      <c r="E808" s="17"/>
      <c r="F808" s="17" t="s">
        <v>156</v>
      </c>
      <c r="G808" s="17"/>
      <c r="H808" s="17" t="s">
        <v>692</v>
      </c>
      <c r="I808" s="17"/>
      <c r="J808" s="17" t="s">
        <v>693</v>
      </c>
      <c r="K808" s="17"/>
      <c r="L808" s="17"/>
      <c r="M808" s="17"/>
      <c r="N808" s="17" t="s">
        <v>6460</v>
      </c>
      <c r="O808" s="17"/>
      <c r="P808" s="17" t="s">
        <v>6593</v>
      </c>
      <c r="Q808" s="17"/>
      <c r="R808" s="25" t="str">
        <f>HYPERLINK("https://ictv.global/taxonomy/taxondetails?taxnode_id=202306881","Napahaivirus VSW3")</f>
        <v>Napahaivirus VSW3</v>
      </c>
      <c r="S808" s="18" t="s">
        <v>30</v>
      </c>
      <c r="T808" s="18" t="s">
        <v>6594</v>
      </c>
      <c r="U808" s="18"/>
      <c r="V808" s="18"/>
      <c r="W808" s="18" t="s">
        <v>6595</v>
      </c>
      <c r="X808" s="18" t="s">
        <v>42</v>
      </c>
      <c r="Y808" s="18" t="s">
        <v>36</v>
      </c>
      <c r="Z808" s="18" t="s">
        <v>697</v>
      </c>
      <c r="AA808" s="21" t="str">
        <f>HYPERLINK("https://www.ncbi.nlm.nih.gov/nuccore/KX066068","NCBI Nucleotide")</f>
        <v>NCBI Nucleotide</v>
      </c>
    </row>
    <row r="809" spans="1:27" x14ac:dyDescent="0.35">
      <c r="A809">
        <v>1001413</v>
      </c>
      <c r="B809">
        <v>808</v>
      </c>
      <c r="C809">
        <v>1</v>
      </c>
      <c r="D809" s="17" t="s">
        <v>155</v>
      </c>
      <c r="E809" s="17"/>
      <c r="F809" s="17" t="s">
        <v>156</v>
      </c>
      <c r="G809" s="17"/>
      <c r="H809" s="17" t="s">
        <v>692</v>
      </c>
      <c r="I809" s="17"/>
      <c r="J809" s="17" t="s">
        <v>693</v>
      </c>
      <c r="K809" s="17"/>
      <c r="L809" s="17"/>
      <c r="M809" s="17"/>
      <c r="N809" s="17" t="s">
        <v>6460</v>
      </c>
      <c r="O809" s="17"/>
      <c r="P809" s="17" t="s">
        <v>6596</v>
      </c>
      <c r="Q809" s="17"/>
      <c r="R809" s="25" t="str">
        <f>HYPERLINK("https://ictv.global/taxonomy/taxondetails?taxnode_id=202308288","Nohivirus S31C1")</f>
        <v>Nohivirus S31C1</v>
      </c>
      <c r="S809" s="18" t="s">
        <v>30</v>
      </c>
      <c r="T809" s="18" t="s">
        <v>6597</v>
      </c>
      <c r="U809" s="18"/>
      <c r="V809" s="18"/>
      <c r="W809" s="18" t="s">
        <v>6598</v>
      </c>
      <c r="X809" s="18" t="s">
        <v>42</v>
      </c>
      <c r="Y809" s="18" t="s">
        <v>36</v>
      </c>
      <c r="Z809" s="18" t="s">
        <v>697</v>
      </c>
      <c r="AA809" s="21" t="str">
        <f>HYPERLINK("https://www.ncbi.nlm.nih.gov/nuccore/AP013547","NCBI Nucleotide")</f>
        <v>NCBI Nucleotide</v>
      </c>
    </row>
    <row r="810" spans="1:27" x14ac:dyDescent="0.35">
      <c r="A810">
        <v>1001414</v>
      </c>
      <c r="B810">
        <v>809</v>
      </c>
      <c r="C810">
        <v>1</v>
      </c>
      <c r="D810" s="17" t="s">
        <v>155</v>
      </c>
      <c r="E810" s="17"/>
      <c r="F810" s="17" t="s">
        <v>156</v>
      </c>
      <c r="G810" s="17"/>
      <c r="H810" s="17" t="s">
        <v>692</v>
      </c>
      <c r="I810" s="17"/>
      <c r="J810" s="17" t="s">
        <v>693</v>
      </c>
      <c r="K810" s="17"/>
      <c r="L810" s="17"/>
      <c r="M810" s="17"/>
      <c r="N810" s="17" t="s">
        <v>6460</v>
      </c>
      <c r="O810" s="17"/>
      <c r="P810" s="17" t="s">
        <v>6599</v>
      </c>
      <c r="Q810" s="17"/>
      <c r="R810" s="25" t="str">
        <f>HYPERLINK("https://ictv.global/taxonomy/taxondetails?taxnode_id=202308286","Oinezvirus S37C6")</f>
        <v>Oinezvirus S37C6</v>
      </c>
      <c r="S810" s="18" t="s">
        <v>30</v>
      </c>
      <c r="T810" s="18" t="s">
        <v>6600</v>
      </c>
      <c r="U810" s="18"/>
      <c r="V810" s="18"/>
      <c r="W810" s="18" t="s">
        <v>6601</v>
      </c>
      <c r="X810" s="18" t="s">
        <v>42</v>
      </c>
      <c r="Y810" s="18" t="s">
        <v>36</v>
      </c>
      <c r="Z810" s="18" t="s">
        <v>697</v>
      </c>
      <c r="AA810" s="21" t="str">
        <f>HYPERLINK("https://www.ncbi.nlm.nih.gov/nuccore/AP013546","NCBI Nucleotide")</f>
        <v>NCBI Nucleotide</v>
      </c>
    </row>
    <row r="811" spans="1:27" x14ac:dyDescent="0.35">
      <c r="A811">
        <v>1001415</v>
      </c>
      <c r="B811">
        <v>810</v>
      </c>
      <c r="C811">
        <v>1</v>
      </c>
      <c r="D811" s="17" t="s">
        <v>155</v>
      </c>
      <c r="E811" s="17"/>
      <c r="F811" s="17" t="s">
        <v>156</v>
      </c>
      <c r="G811" s="17"/>
      <c r="H811" s="17" t="s">
        <v>692</v>
      </c>
      <c r="I811" s="17"/>
      <c r="J811" s="17" t="s">
        <v>693</v>
      </c>
      <c r="K811" s="17"/>
      <c r="L811" s="17"/>
      <c r="M811" s="17"/>
      <c r="N811" s="17" t="s">
        <v>6460</v>
      </c>
      <c r="O811" s="17"/>
      <c r="P811" s="17" t="s">
        <v>6602</v>
      </c>
      <c r="Q811" s="17"/>
      <c r="R811" s="25" t="str">
        <f>HYPERLINK("https://ictv.global/taxonomy/taxondetails?taxnode_id=202308257","Paadamvirus RHEph01")</f>
        <v>Paadamvirus RHEph01</v>
      </c>
      <c r="S811" s="18" t="s">
        <v>30</v>
      </c>
      <c r="T811" s="18" t="s">
        <v>6603</v>
      </c>
      <c r="U811" s="18"/>
      <c r="V811" s="18"/>
      <c r="W811" s="18" t="s">
        <v>6604</v>
      </c>
      <c r="X811" s="18" t="s">
        <v>42</v>
      </c>
      <c r="Y811" s="18" t="s">
        <v>36</v>
      </c>
      <c r="Z811" s="18" t="s">
        <v>697</v>
      </c>
      <c r="AA811" s="21" t="str">
        <f>HYPERLINK("https://www.ncbi.nlm.nih.gov/nuccore/JX483873","NCBI Nucleotide")</f>
        <v>NCBI Nucleotide</v>
      </c>
    </row>
    <row r="812" spans="1:27" x14ac:dyDescent="0.35">
      <c r="A812">
        <v>1001416</v>
      </c>
      <c r="B812">
        <v>811</v>
      </c>
      <c r="C812">
        <v>1</v>
      </c>
      <c r="D812" s="17" t="s">
        <v>155</v>
      </c>
      <c r="E812" s="17"/>
      <c r="F812" s="17" t="s">
        <v>156</v>
      </c>
      <c r="G812" s="17"/>
      <c r="H812" s="17" t="s">
        <v>692</v>
      </c>
      <c r="I812" s="17"/>
      <c r="J812" s="17" t="s">
        <v>693</v>
      </c>
      <c r="K812" s="17"/>
      <c r="L812" s="17"/>
      <c r="M812" s="17"/>
      <c r="N812" s="17" t="s">
        <v>6460</v>
      </c>
      <c r="O812" s="17"/>
      <c r="P812" s="17" t="s">
        <v>6605</v>
      </c>
      <c r="Q812" s="17"/>
      <c r="R812" s="25" t="str">
        <f>HYPERLINK("https://ictv.global/taxonomy/taxondetails?taxnode_id=202308302","Pagavirus S05C849")</f>
        <v>Pagavirus S05C849</v>
      </c>
      <c r="S812" s="18" t="s">
        <v>30</v>
      </c>
      <c r="T812" s="18" t="s">
        <v>6606</v>
      </c>
      <c r="U812" s="18"/>
      <c r="V812" s="18"/>
      <c r="W812" s="18" t="s">
        <v>6607</v>
      </c>
      <c r="X812" s="18" t="s">
        <v>154</v>
      </c>
      <c r="Y812" s="18" t="s">
        <v>36</v>
      </c>
      <c r="Z812" s="18" t="s">
        <v>697</v>
      </c>
      <c r="AA812" s="21" t="str">
        <f>HYPERLINK("https://www.ncbi.nlm.nih.gov/nuccore/GU943068","NCBI Nucleotide")</f>
        <v>NCBI Nucleotide</v>
      </c>
    </row>
    <row r="813" spans="1:27" x14ac:dyDescent="0.35">
      <c r="A813">
        <v>1001417</v>
      </c>
      <c r="B813">
        <v>812</v>
      </c>
      <c r="C813">
        <v>1</v>
      </c>
      <c r="D813" s="17" t="s">
        <v>155</v>
      </c>
      <c r="E813" s="17"/>
      <c r="F813" s="17" t="s">
        <v>156</v>
      </c>
      <c r="G813" s="17"/>
      <c r="H813" s="17" t="s">
        <v>692</v>
      </c>
      <c r="I813" s="17"/>
      <c r="J813" s="17" t="s">
        <v>693</v>
      </c>
      <c r="K813" s="17"/>
      <c r="L813" s="17"/>
      <c r="M813" s="17"/>
      <c r="N813" s="17" t="s">
        <v>6460</v>
      </c>
      <c r="O813" s="17"/>
      <c r="P813" s="17" t="s">
        <v>6608</v>
      </c>
      <c r="Q813" s="17"/>
      <c r="R813" s="25" t="str">
        <f>HYPERLINK("https://ictv.global/taxonomy/taxondetails?taxnode_id=202308259","Pairvirus Lo5R7ANS")</f>
        <v>Pairvirus Lo5R7ANS</v>
      </c>
      <c r="S813" s="18" t="s">
        <v>30</v>
      </c>
      <c r="T813" s="18" t="s">
        <v>6609</v>
      </c>
      <c r="U813" s="18"/>
      <c r="V813" s="18"/>
      <c r="W813" s="18" t="s">
        <v>6610</v>
      </c>
      <c r="X813" s="18" t="s">
        <v>42</v>
      </c>
      <c r="Y813" s="18" t="s">
        <v>36</v>
      </c>
      <c r="Z813" s="18" t="s">
        <v>697</v>
      </c>
      <c r="AA813" s="21" t="str">
        <f>HYPERLINK("https://www.ncbi.nlm.nih.gov/nuccore/KM199771","NCBI Nucleotide")</f>
        <v>NCBI Nucleotide</v>
      </c>
    </row>
    <row r="814" spans="1:27" x14ac:dyDescent="0.35">
      <c r="A814">
        <v>1001418</v>
      </c>
      <c r="B814">
        <v>813</v>
      </c>
      <c r="C814">
        <v>1</v>
      </c>
      <c r="D814" s="17" t="s">
        <v>155</v>
      </c>
      <c r="E814" s="17"/>
      <c r="F814" s="17" t="s">
        <v>156</v>
      </c>
      <c r="G814" s="17"/>
      <c r="H814" s="17" t="s">
        <v>692</v>
      </c>
      <c r="I814" s="17"/>
      <c r="J814" s="17" t="s">
        <v>693</v>
      </c>
      <c r="K814" s="17"/>
      <c r="L814" s="17"/>
      <c r="M814" s="17"/>
      <c r="N814" s="17" t="s">
        <v>6460</v>
      </c>
      <c r="O814" s="17"/>
      <c r="P814" s="17" t="s">
        <v>6611</v>
      </c>
      <c r="Q814" s="17"/>
      <c r="R814" s="25" t="str">
        <f>HYPERLINK("https://ictv.global/taxonomy/taxondetails?taxnode_id=202308324","Pedosvirus S28C3")</f>
        <v>Pedosvirus S28C3</v>
      </c>
      <c r="S814" s="18" t="s">
        <v>30</v>
      </c>
      <c r="T814" s="18" t="s">
        <v>6612</v>
      </c>
      <c r="U814" s="18"/>
      <c r="V814" s="18"/>
      <c r="W814" s="18" t="s">
        <v>6613</v>
      </c>
      <c r="X814" s="18" t="s">
        <v>42</v>
      </c>
      <c r="Y814" s="18" t="s">
        <v>36</v>
      </c>
      <c r="Z814" s="18" t="s">
        <v>697</v>
      </c>
      <c r="AA814" s="21" t="str">
        <f>HYPERLINK("https://www.ncbi.nlm.nih.gov/nuccore/AP013539","NCBI Nucleotide")</f>
        <v>NCBI Nucleotide</v>
      </c>
    </row>
    <row r="815" spans="1:27" x14ac:dyDescent="0.35">
      <c r="A815">
        <v>1001419</v>
      </c>
      <c r="B815">
        <v>814</v>
      </c>
      <c r="C815">
        <v>1</v>
      </c>
      <c r="D815" s="17" t="s">
        <v>155</v>
      </c>
      <c r="E815" s="17"/>
      <c r="F815" s="17" t="s">
        <v>156</v>
      </c>
      <c r="G815" s="17"/>
      <c r="H815" s="17" t="s">
        <v>692</v>
      </c>
      <c r="I815" s="17"/>
      <c r="J815" s="17" t="s">
        <v>693</v>
      </c>
      <c r="K815" s="17"/>
      <c r="L815" s="17"/>
      <c r="M815" s="17"/>
      <c r="N815" s="17" t="s">
        <v>6460</v>
      </c>
      <c r="O815" s="17"/>
      <c r="P815" s="17" t="s">
        <v>6614</v>
      </c>
      <c r="Q815" s="17"/>
      <c r="R815" s="25" t="str">
        <f>HYPERLINK("https://ictv.global/taxonomy/taxondetails?taxnode_id=202308298","Pekhitvirus S04C24")</f>
        <v>Pekhitvirus S04C24</v>
      </c>
      <c r="S815" s="18" t="s">
        <v>30</v>
      </c>
      <c r="T815" s="18" t="s">
        <v>6615</v>
      </c>
      <c r="U815" s="18"/>
      <c r="V815" s="18"/>
      <c r="W815" s="18" t="s">
        <v>6616</v>
      </c>
      <c r="X815" s="18" t="s">
        <v>154</v>
      </c>
      <c r="Y815" s="18" t="s">
        <v>36</v>
      </c>
      <c r="Z815" s="18" t="s">
        <v>697</v>
      </c>
      <c r="AA815" s="21" t="str">
        <f>HYPERLINK("https://www.ncbi.nlm.nih.gov/nuccore/GU943054","NCBI Nucleotide")</f>
        <v>NCBI Nucleotide</v>
      </c>
    </row>
    <row r="816" spans="1:27" x14ac:dyDescent="0.35">
      <c r="A816">
        <v>1001420</v>
      </c>
      <c r="B816">
        <v>815</v>
      </c>
      <c r="C816">
        <v>1</v>
      </c>
      <c r="D816" s="17" t="s">
        <v>155</v>
      </c>
      <c r="E816" s="17"/>
      <c r="F816" s="17" t="s">
        <v>156</v>
      </c>
      <c r="G816" s="17"/>
      <c r="H816" s="17" t="s">
        <v>692</v>
      </c>
      <c r="I816" s="17"/>
      <c r="J816" s="17" t="s">
        <v>693</v>
      </c>
      <c r="K816" s="17"/>
      <c r="L816" s="17"/>
      <c r="M816" s="17"/>
      <c r="N816" s="17" t="s">
        <v>6460</v>
      </c>
      <c r="O816" s="17"/>
      <c r="P816" s="17" t="s">
        <v>6617</v>
      </c>
      <c r="Q816" s="17"/>
      <c r="R816" s="25" t="str">
        <f>HYPERLINK("https://ictv.global/taxonomy/taxondetails?taxnode_id=202308232","Pelagivirus HTVC019P")</f>
        <v>Pelagivirus HTVC019P</v>
      </c>
      <c r="S816" s="18" t="s">
        <v>30</v>
      </c>
      <c r="T816" s="18" t="s">
        <v>6618</v>
      </c>
      <c r="U816" s="18"/>
      <c r="V816" s="18"/>
      <c r="W816" s="18" t="s">
        <v>6619</v>
      </c>
      <c r="X816" s="18" t="s">
        <v>42</v>
      </c>
      <c r="Y816" s="18" t="s">
        <v>36</v>
      </c>
      <c r="Z816" s="18" t="s">
        <v>697</v>
      </c>
      <c r="AA816" s="21" t="str">
        <f>HYPERLINK("https://www.ncbi.nlm.nih.gov/nuccore/KC465901","NCBI Nucleotide")</f>
        <v>NCBI Nucleotide</v>
      </c>
    </row>
    <row r="817" spans="1:27" x14ac:dyDescent="0.35">
      <c r="A817">
        <v>1001421</v>
      </c>
      <c r="B817">
        <v>816</v>
      </c>
      <c r="C817">
        <v>1</v>
      </c>
      <c r="D817" s="17" t="s">
        <v>155</v>
      </c>
      <c r="E817" s="17"/>
      <c r="F817" s="17" t="s">
        <v>156</v>
      </c>
      <c r="G817" s="17"/>
      <c r="H817" s="17" t="s">
        <v>692</v>
      </c>
      <c r="I817" s="17"/>
      <c r="J817" s="17" t="s">
        <v>693</v>
      </c>
      <c r="K817" s="17"/>
      <c r="L817" s="17"/>
      <c r="M817" s="17"/>
      <c r="N817" s="17" t="s">
        <v>6460</v>
      </c>
      <c r="O817" s="17"/>
      <c r="P817" s="17" t="s">
        <v>6617</v>
      </c>
      <c r="Q817" s="17"/>
      <c r="R817" s="25" t="str">
        <f>HYPERLINK("https://ictv.global/taxonomy/taxondetails?taxnode_id=202308233","Pelagivirus S35C6")</f>
        <v>Pelagivirus S35C6</v>
      </c>
      <c r="S817" s="18" t="s">
        <v>30</v>
      </c>
      <c r="T817" s="18" t="s">
        <v>6620</v>
      </c>
      <c r="U817" s="18"/>
      <c r="V817" s="18"/>
      <c r="W817" s="18" t="s">
        <v>6621</v>
      </c>
      <c r="X817" s="18" t="s">
        <v>42</v>
      </c>
      <c r="Y817" s="18" t="s">
        <v>36</v>
      </c>
      <c r="Z817" s="18" t="s">
        <v>697</v>
      </c>
      <c r="AA817" s="21" t="str">
        <f>HYPERLINK("https://www.ncbi.nlm.nih.gov/nuccore/AP013542","NCBI Nucleotide")</f>
        <v>NCBI Nucleotide</v>
      </c>
    </row>
    <row r="818" spans="1:27" x14ac:dyDescent="0.35">
      <c r="A818">
        <v>1001422</v>
      </c>
      <c r="B818">
        <v>817</v>
      </c>
      <c r="C818">
        <v>1</v>
      </c>
      <c r="D818" s="17" t="s">
        <v>155</v>
      </c>
      <c r="E818" s="17"/>
      <c r="F818" s="17" t="s">
        <v>156</v>
      </c>
      <c r="G818" s="17"/>
      <c r="H818" s="17" t="s">
        <v>692</v>
      </c>
      <c r="I818" s="17"/>
      <c r="J818" s="17" t="s">
        <v>693</v>
      </c>
      <c r="K818" s="17"/>
      <c r="L818" s="17"/>
      <c r="M818" s="17"/>
      <c r="N818" s="17" t="s">
        <v>6460</v>
      </c>
      <c r="O818" s="17"/>
      <c r="P818" s="17" t="s">
        <v>6622</v>
      </c>
      <c r="Q818" s="17"/>
      <c r="R818" s="25" t="str">
        <f>HYPERLINK("https://ictv.global/taxonomy/taxondetails?taxnode_id=202308263","Percyvirus percy")</f>
        <v>Percyvirus percy</v>
      </c>
      <c r="S818" s="18" t="s">
        <v>30</v>
      </c>
      <c r="T818" s="18" t="s">
        <v>6623</v>
      </c>
      <c r="U818" s="18"/>
      <c r="V818" s="18"/>
      <c r="W818" s="18" t="s">
        <v>6624</v>
      </c>
      <c r="X818" s="18" t="s">
        <v>42</v>
      </c>
      <c r="Y818" s="18" t="s">
        <v>36</v>
      </c>
      <c r="Z818" s="18" t="s">
        <v>697</v>
      </c>
      <c r="AA818" s="21" t="str">
        <f>HYPERLINK("https://www.ncbi.nlm.nih.gov/nuccore/KT381879","NCBI Nucleotide")</f>
        <v>NCBI Nucleotide</v>
      </c>
    </row>
    <row r="819" spans="1:27" x14ac:dyDescent="0.35">
      <c r="A819">
        <v>1001423</v>
      </c>
      <c r="B819">
        <v>818</v>
      </c>
      <c r="C819">
        <v>1</v>
      </c>
      <c r="D819" s="17" t="s">
        <v>155</v>
      </c>
      <c r="E819" s="17"/>
      <c r="F819" s="17" t="s">
        <v>156</v>
      </c>
      <c r="G819" s="17"/>
      <c r="H819" s="17" t="s">
        <v>692</v>
      </c>
      <c r="I819" s="17"/>
      <c r="J819" s="17" t="s">
        <v>693</v>
      </c>
      <c r="K819" s="17"/>
      <c r="L819" s="17"/>
      <c r="M819" s="17"/>
      <c r="N819" s="17" t="s">
        <v>6460</v>
      </c>
      <c r="O819" s="17"/>
      <c r="P819" s="17" t="s">
        <v>6625</v>
      </c>
      <c r="Q819" s="17"/>
      <c r="R819" s="25" t="str">
        <f>HYPERLINK("https://ictv.global/taxonomy/taxondetails?taxnode_id=202308261","Piedvirus IMEDE1")</f>
        <v>Piedvirus IMEDE1</v>
      </c>
      <c r="S819" s="18" t="s">
        <v>30</v>
      </c>
      <c r="T819" s="18" t="s">
        <v>6626</v>
      </c>
      <c r="U819" s="18"/>
      <c r="V819" s="18"/>
      <c r="W819" s="18" t="s">
        <v>6627</v>
      </c>
      <c r="X819" s="18" t="s">
        <v>42</v>
      </c>
      <c r="Y819" s="18" t="s">
        <v>36</v>
      </c>
      <c r="Z819" s="18" t="s">
        <v>697</v>
      </c>
      <c r="AA819" s="21" t="str">
        <f>HYPERLINK("https://www.ncbi.nlm.nih.gov/nuccore/KR153873","NCBI Nucleotide")</f>
        <v>NCBI Nucleotide</v>
      </c>
    </row>
    <row r="820" spans="1:27" x14ac:dyDescent="0.35">
      <c r="A820">
        <v>1001424</v>
      </c>
      <c r="B820">
        <v>819</v>
      </c>
      <c r="C820">
        <v>1</v>
      </c>
      <c r="D820" s="17" t="s">
        <v>155</v>
      </c>
      <c r="E820" s="17"/>
      <c r="F820" s="17" t="s">
        <v>156</v>
      </c>
      <c r="G820" s="17"/>
      <c r="H820" s="17" t="s">
        <v>692</v>
      </c>
      <c r="I820" s="17"/>
      <c r="J820" s="17" t="s">
        <v>693</v>
      </c>
      <c r="K820" s="17"/>
      <c r="L820" s="17"/>
      <c r="M820" s="17"/>
      <c r="N820" s="17" t="s">
        <v>6460</v>
      </c>
      <c r="O820" s="17"/>
      <c r="P820" s="17" t="s">
        <v>6628</v>
      </c>
      <c r="Q820" s="17"/>
      <c r="R820" s="25" t="str">
        <f>HYPERLINK("https://ictv.global/taxonomy/taxondetails?taxnode_id=202308300","Podivirus S05C243")</f>
        <v>Podivirus S05C243</v>
      </c>
      <c r="S820" s="18" t="s">
        <v>30</v>
      </c>
      <c r="T820" s="18" t="s">
        <v>6629</v>
      </c>
      <c r="U820" s="18"/>
      <c r="V820" s="18"/>
      <c r="W820" s="18" t="s">
        <v>6630</v>
      </c>
      <c r="X820" s="18" t="s">
        <v>154</v>
      </c>
      <c r="Y820" s="18" t="s">
        <v>36</v>
      </c>
      <c r="Z820" s="18" t="s">
        <v>697</v>
      </c>
      <c r="AA820" s="21" t="str">
        <f>HYPERLINK("https://www.ncbi.nlm.nih.gov/nuccore/GU943065","NCBI Nucleotide")</f>
        <v>NCBI Nucleotide</v>
      </c>
    </row>
    <row r="821" spans="1:27" x14ac:dyDescent="0.35">
      <c r="A821">
        <v>1001425</v>
      </c>
      <c r="B821">
        <v>820</v>
      </c>
      <c r="C821">
        <v>1</v>
      </c>
      <c r="D821" s="17" t="s">
        <v>155</v>
      </c>
      <c r="E821" s="17"/>
      <c r="F821" s="17" t="s">
        <v>156</v>
      </c>
      <c r="G821" s="17"/>
      <c r="H821" s="17" t="s">
        <v>692</v>
      </c>
      <c r="I821" s="17"/>
      <c r="J821" s="17" t="s">
        <v>693</v>
      </c>
      <c r="K821" s="17"/>
      <c r="L821" s="17"/>
      <c r="M821" s="17"/>
      <c r="N821" s="17" t="s">
        <v>6460</v>
      </c>
      <c r="O821" s="17"/>
      <c r="P821" s="17" t="s">
        <v>6631</v>
      </c>
      <c r="Q821" s="17"/>
      <c r="R821" s="25" t="str">
        <f>HYPERLINK("https://ictv.global/taxonomy/taxondetails?taxnode_id=202306861","Pollyceevirus pollyC")</f>
        <v>Pollyceevirus pollyC</v>
      </c>
      <c r="S821" s="18" t="s">
        <v>30</v>
      </c>
      <c r="T821" s="18" t="s">
        <v>6632</v>
      </c>
      <c r="U821" s="18"/>
      <c r="V821" s="18"/>
      <c r="W821" s="18" t="s">
        <v>6633</v>
      </c>
      <c r="X821" s="18" t="s">
        <v>42</v>
      </c>
      <c r="Y821" s="18" t="s">
        <v>36</v>
      </c>
      <c r="Z821" s="18" t="s">
        <v>697</v>
      </c>
      <c r="AA821" s="21" t="str">
        <f>HYPERLINK("https://www.ncbi.nlm.nih.gov/nuccore/MG775261","NCBI Nucleotide")</f>
        <v>NCBI Nucleotide</v>
      </c>
    </row>
    <row r="822" spans="1:27" x14ac:dyDescent="0.35">
      <c r="A822">
        <v>1001426</v>
      </c>
      <c r="B822">
        <v>821</v>
      </c>
      <c r="C822">
        <v>1</v>
      </c>
      <c r="D822" s="17" t="s">
        <v>155</v>
      </c>
      <c r="E822" s="17"/>
      <c r="F822" s="17" t="s">
        <v>156</v>
      </c>
      <c r="G822" s="17"/>
      <c r="H822" s="17" t="s">
        <v>692</v>
      </c>
      <c r="I822" s="17"/>
      <c r="J822" s="17" t="s">
        <v>693</v>
      </c>
      <c r="K822" s="17"/>
      <c r="L822" s="17"/>
      <c r="M822" s="17"/>
      <c r="N822" s="17" t="s">
        <v>6460</v>
      </c>
      <c r="O822" s="17"/>
      <c r="P822" s="17" t="s">
        <v>6634</v>
      </c>
      <c r="Q822" s="17"/>
      <c r="R822" s="25" t="str">
        <f>HYPERLINK("https://ictv.global/taxonomy/taxondetails?taxnode_id=202308202","Poseidonvirus SCBP4")</f>
        <v>Poseidonvirus SCBP4</v>
      </c>
      <c r="S822" s="18" t="s">
        <v>30</v>
      </c>
      <c r="T822" s="18" t="s">
        <v>6635</v>
      </c>
      <c r="U822" s="18"/>
      <c r="V822" s="18"/>
      <c r="W822" s="18" t="s">
        <v>6636</v>
      </c>
      <c r="X822" s="18" t="s">
        <v>42</v>
      </c>
      <c r="Y822" s="18" t="s">
        <v>36</v>
      </c>
      <c r="Z822" s="18" t="s">
        <v>697</v>
      </c>
      <c r="AA822" s="21" t="str">
        <f>HYPERLINK("https://www.ncbi.nlm.nih.gov/nuccore/HM559717","NCBI Nucleotide")</f>
        <v>NCBI Nucleotide</v>
      </c>
    </row>
    <row r="823" spans="1:27" x14ac:dyDescent="0.35">
      <c r="A823">
        <v>1001427</v>
      </c>
      <c r="B823">
        <v>822</v>
      </c>
      <c r="C823">
        <v>1</v>
      </c>
      <c r="D823" s="17" t="s">
        <v>155</v>
      </c>
      <c r="E823" s="17"/>
      <c r="F823" s="17" t="s">
        <v>156</v>
      </c>
      <c r="G823" s="17"/>
      <c r="H823" s="17" t="s">
        <v>692</v>
      </c>
      <c r="I823" s="17"/>
      <c r="J823" s="17" t="s">
        <v>693</v>
      </c>
      <c r="K823" s="17"/>
      <c r="L823" s="17"/>
      <c r="M823" s="17"/>
      <c r="N823" s="17" t="s">
        <v>6460</v>
      </c>
      <c r="O823" s="17"/>
      <c r="P823" s="17" t="s">
        <v>6637</v>
      </c>
      <c r="Q823" s="17"/>
      <c r="R823" s="25" t="str">
        <f>HYPERLINK("https://ictv.global/taxonomy/taxondetails?taxnode_id=202308272","Powvirus S08C41")</f>
        <v>Powvirus S08C41</v>
      </c>
      <c r="S823" s="18" t="s">
        <v>30</v>
      </c>
      <c r="T823" s="18" t="s">
        <v>6638</v>
      </c>
      <c r="U823" s="18"/>
      <c r="V823" s="18"/>
      <c r="W823" s="18" t="s">
        <v>6639</v>
      </c>
      <c r="X823" s="18" t="s">
        <v>154</v>
      </c>
      <c r="Y823" s="18" t="s">
        <v>36</v>
      </c>
      <c r="Z823" s="18" t="s">
        <v>697</v>
      </c>
      <c r="AA823" s="21" t="str">
        <f>HYPERLINK("https://www.ncbi.nlm.nih.gov/nuccore/GU943073","NCBI Nucleotide")</f>
        <v>NCBI Nucleotide</v>
      </c>
    </row>
    <row r="824" spans="1:27" x14ac:dyDescent="0.35">
      <c r="A824">
        <v>1001428</v>
      </c>
      <c r="B824">
        <v>823</v>
      </c>
      <c r="C824">
        <v>1</v>
      </c>
      <c r="D824" s="17" t="s">
        <v>155</v>
      </c>
      <c r="E824" s="17"/>
      <c r="F824" s="17" t="s">
        <v>156</v>
      </c>
      <c r="G824" s="17"/>
      <c r="H824" s="17" t="s">
        <v>692</v>
      </c>
      <c r="I824" s="17"/>
      <c r="J824" s="17" t="s">
        <v>693</v>
      </c>
      <c r="K824" s="17"/>
      <c r="L824" s="17"/>
      <c r="M824" s="17"/>
      <c r="N824" s="17" t="s">
        <v>6460</v>
      </c>
      <c r="O824" s="17"/>
      <c r="P824" s="17" t="s">
        <v>6640</v>
      </c>
      <c r="Q824" s="17"/>
      <c r="R824" s="25" t="str">
        <f>HYPERLINK("https://ictv.global/taxonomy/taxondetails?taxnode_id=202300573","Pradovirus f20")</f>
        <v>Pradovirus f20</v>
      </c>
      <c r="S824" s="18" t="s">
        <v>30</v>
      </c>
      <c r="T824" s="18" t="s">
        <v>6641</v>
      </c>
      <c r="U824" s="18"/>
      <c r="V824" s="18"/>
      <c r="W824" s="18" t="s">
        <v>6642</v>
      </c>
      <c r="X824" s="18" t="s">
        <v>42</v>
      </c>
      <c r="Y824" s="18" t="s">
        <v>36</v>
      </c>
      <c r="Z824" s="18" t="s">
        <v>697</v>
      </c>
      <c r="AA824" s="21" t="str">
        <f>HYPERLINK("https://www.ncbi.nlm.nih.gov/nuccore/KU595432","NCBI Nucleotide")</f>
        <v>NCBI Nucleotide</v>
      </c>
    </row>
    <row r="825" spans="1:27" x14ac:dyDescent="0.35">
      <c r="A825">
        <v>1001429</v>
      </c>
      <c r="B825">
        <v>824</v>
      </c>
      <c r="C825">
        <v>1</v>
      </c>
      <c r="D825" s="17" t="s">
        <v>155</v>
      </c>
      <c r="E825" s="17"/>
      <c r="F825" s="17" t="s">
        <v>156</v>
      </c>
      <c r="G825" s="17"/>
      <c r="H825" s="17" t="s">
        <v>692</v>
      </c>
      <c r="I825" s="17"/>
      <c r="J825" s="17" t="s">
        <v>693</v>
      </c>
      <c r="K825" s="17"/>
      <c r="L825" s="17"/>
      <c r="M825" s="17"/>
      <c r="N825" s="17" t="s">
        <v>6460</v>
      </c>
      <c r="O825" s="17"/>
      <c r="P825" s="17" t="s">
        <v>6640</v>
      </c>
      <c r="Q825" s="17"/>
      <c r="R825" s="25" t="str">
        <f>HYPERLINK("https://ictv.global/taxonomy/taxondetails?taxnode_id=202300574","Pradovirus f30")</f>
        <v>Pradovirus f30</v>
      </c>
      <c r="S825" s="18" t="s">
        <v>30</v>
      </c>
      <c r="T825" s="18" t="s">
        <v>6643</v>
      </c>
      <c r="U825" s="18"/>
      <c r="V825" s="18"/>
      <c r="W825" s="18" t="s">
        <v>6644</v>
      </c>
      <c r="X825" s="18" t="s">
        <v>42</v>
      </c>
      <c r="Y825" s="18" t="s">
        <v>36</v>
      </c>
      <c r="Z825" s="18" t="s">
        <v>697</v>
      </c>
      <c r="AA825" s="21" t="str">
        <f>HYPERLINK("https://www.ncbi.nlm.nih.gov/nuccore/KU595433","NCBI Nucleotide")</f>
        <v>NCBI Nucleotide</v>
      </c>
    </row>
    <row r="826" spans="1:27" x14ac:dyDescent="0.35">
      <c r="A826">
        <v>1001430</v>
      </c>
      <c r="B826">
        <v>825</v>
      </c>
      <c r="C826">
        <v>1</v>
      </c>
      <c r="D826" s="17" t="s">
        <v>155</v>
      </c>
      <c r="E826" s="17"/>
      <c r="F826" s="17" t="s">
        <v>156</v>
      </c>
      <c r="G826" s="17"/>
      <c r="H826" s="17" t="s">
        <v>692</v>
      </c>
      <c r="I826" s="17"/>
      <c r="J826" s="17" t="s">
        <v>693</v>
      </c>
      <c r="K826" s="17"/>
      <c r="L826" s="17"/>
      <c r="M826" s="17"/>
      <c r="N826" s="17" t="s">
        <v>6460</v>
      </c>
      <c r="O826" s="17"/>
      <c r="P826" s="17" t="s">
        <v>6640</v>
      </c>
      <c r="Q826" s="17"/>
      <c r="R826" s="25" t="str">
        <f>HYPERLINK("https://ictv.global/taxonomy/taxondetails?taxnode_id=202300575","Pradovirus prado")</f>
        <v>Pradovirus prado</v>
      </c>
      <c r="S826" s="18" t="s">
        <v>30</v>
      </c>
      <c r="T826" s="18" t="s">
        <v>6645</v>
      </c>
      <c r="U826" s="18"/>
      <c r="V826" s="18"/>
      <c r="W826" s="18" t="s">
        <v>6646</v>
      </c>
      <c r="X826" s="18" t="s">
        <v>42</v>
      </c>
      <c r="Y826" s="18" t="s">
        <v>36</v>
      </c>
      <c r="Z826" s="18" t="s">
        <v>697</v>
      </c>
      <c r="AA826" s="21" t="str">
        <f>HYPERLINK("https://www.ncbi.nlm.nih.gov/nuccore/KF626667","NCBI Nucleotide")</f>
        <v>NCBI Nucleotide</v>
      </c>
    </row>
    <row r="827" spans="1:27" x14ac:dyDescent="0.35">
      <c r="A827">
        <v>1001431</v>
      </c>
      <c r="B827">
        <v>826</v>
      </c>
      <c r="C827">
        <v>1</v>
      </c>
      <c r="D827" s="17" t="s">
        <v>155</v>
      </c>
      <c r="E827" s="17"/>
      <c r="F827" s="17" t="s">
        <v>156</v>
      </c>
      <c r="G827" s="17"/>
      <c r="H827" s="17" t="s">
        <v>692</v>
      </c>
      <c r="I827" s="17"/>
      <c r="J827" s="17" t="s">
        <v>693</v>
      </c>
      <c r="K827" s="17"/>
      <c r="L827" s="17"/>
      <c r="M827" s="17"/>
      <c r="N827" s="17" t="s">
        <v>6460</v>
      </c>
      <c r="O827" s="17"/>
      <c r="P827" s="17" t="s">
        <v>6640</v>
      </c>
      <c r="Q827" s="17"/>
      <c r="R827" s="25" t="str">
        <f>HYPERLINK("https://ictv.global/taxonomy/taxondetails?taxnode_id=202308242","Pradovirus XAJ24")</f>
        <v>Pradovirus XAJ24</v>
      </c>
      <c r="S827" s="18" t="s">
        <v>30</v>
      </c>
      <c r="T827" s="18" t="s">
        <v>6647</v>
      </c>
      <c r="U827" s="18"/>
      <c r="V827" s="18"/>
      <c r="W827" s="18" t="s">
        <v>6648</v>
      </c>
      <c r="X827" s="18" t="s">
        <v>42</v>
      </c>
      <c r="Y827" s="18" t="s">
        <v>36</v>
      </c>
      <c r="Z827" s="18" t="s">
        <v>697</v>
      </c>
      <c r="AA827" s="21" t="str">
        <f>HYPERLINK("https://www.ncbi.nlm.nih.gov/nuccore/KU197013","NCBI Nucleotide")</f>
        <v>NCBI Nucleotide</v>
      </c>
    </row>
    <row r="828" spans="1:27" x14ac:dyDescent="0.35">
      <c r="A828">
        <v>1001432</v>
      </c>
      <c r="B828">
        <v>827</v>
      </c>
      <c r="C828">
        <v>1</v>
      </c>
      <c r="D828" s="17" t="s">
        <v>155</v>
      </c>
      <c r="E828" s="17"/>
      <c r="F828" s="17" t="s">
        <v>156</v>
      </c>
      <c r="G828" s="17"/>
      <c r="H828" s="17" t="s">
        <v>692</v>
      </c>
      <c r="I828" s="17"/>
      <c r="J828" s="17" t="s">
        <v>693</v>
      </c>
      <c r="K828" s="17"/>
      <c r="L828" s="17"/>
      <c r="M828" s="17"/>
      <c r="N828" s="17" t="s">
        <v>6460</v>
      </c>
      <c r="O828" s="17"/>
      <c r="P828" s="17" t="s">
        <v>6640</v>
      </c>
      <c r="Q828" s="17"/>
      <c r="R828" s="25" t="str">
        <f>HYPERLINK("https://ictv.global/taxonomy/taxondetails?taxnode_id=202308243","Pradovirus Xc10")</f>
        <v>Pradovirus Xc10</v>
      </c>
      <c r="S828" s="18" t="s">
        <v>30</v>
      </c>
      <c r="T828" s="18" t="s">
        <v>6649</v>
      </c>
      <c r="U828" s="18"/>
      <c r="V828" s="18"/>
      <c r="W828" s="18" t="s">
        <v>6650</v>
      </c>
      <c r="X828" s="18" t="s">
        <v>42</v>
      </c>
      <c r="Y828" s="18" t="s">
        <v>36</v>
      </c>
      <c r="Z828" s="18" t="s">
        <v>697</v>
      </c>
      <c r="AA828" s="21" t="str">
        <f>HYPERLINK("https://www.ncbi.nlm.nih.gov/nuccore/MF375456","NCBI Nucleotide")</f>
        <v>NCBI Nucleotide</v>
      </c>
    </row>
    <row r="829" spans="1:27" x14ac:dyDescent="0.35">
      <c r="A829">
        <v>1001433</v>
      </c>
      <c r="B829">
        <v>828</v>
      </c>
      <c r="C829">
        <v>1</v>
      </c>
      <c r="D829" s="17" t="s">
        <v>155</v>
      </c>
      <c r="E829" s="17"/>
      <c r="F829" s="17" t="s">
        <v>156</v>
      </c>
      <c r="G829" s="17"/>
      <c r="H829" s="17" t="s">
        <v>692</v>
      </c>
      <c r="I829" s="17"/>
      <c r="J829" s="17" t="s">
        <v>693</v>
      </c>
      <c r="K829" s="17"/>
      <c r="L829" s="17"/>
      <c r="M829" s="17"/>
      <c r="N829" s="17" t="s">
        <v>6460</v>
      </c>
      <c r="O829" s="17"/>
      <c r="P829" s="17" t="s">
        <v>6651</v>
      </c>
      <c r="Q829" s="17"/>
      <c r="R829" s="25" t="str">
        <f>HYPERLINK("https://ictv.global/taxonomy/taxondetails?taxnode_id=202308280","Qadamvirus SB28")</f>
        <v>Qadamvirus SB28</v>
      </c>
      <c r="S829" s="18" t="s">
        <v>30</v>
      </c>
      <c r="T829" s="18" t="s">
        <v>6652</v>
      </c>
      <c r="U829" s="18"/>
      <c r="V829" s="18"/>
      <c r="W829" s="18" t="s">
        <v>6653</v>
      </c>
      <c r="X829" s="18" t="s">
        <v>42</v>
      </c>
      <c r="Y829" s="18" t="s">
        <v>36</v>
      </c>
      <c r="Z829" s="18" t="s">
        <v>697</v>
      </c>
      <c r="AA829" s="21" t="str">
        <f>HYPERLINK("https://www.ncbi.nlm.nih.gov/nuccore/MK016662","NCBI Nucleotide")</f>
        <v>NCBI Nucleotide</v>
      </c>
    </row>
    <row r="830" spans="1:27" x14ac:dyDescent="0.35">
      <c r="A830">
        <v>1001434</v>
      </c>
      <c r="B830">
        <v>829</v>
      </c>
      <c r="C830">
        <v>1</v>
      </c>
      <c r="D830" s="17" t="s">
        <v>155</v>
      </c>
      <c r="E830" s="17"/>
      <c r="F830" s="17" t="s">
        <v>156</v>
      </c>
      <c r="G830" s="17"/>
      <c r="H830" s="17" t="s">
        <v>692</v>
      </c>
      <c r="I830" s="17"/>
      <c r="J830" s="17" t="s">
        <v>693</v>
      </c>
      <c r="K830" s="17"/>
      <c r="L830" s="17"/>
      <c r="M830" s="17"/>
      <c r="N830" s="17" t="s">
        <v>6460</v>
      </c>
      <c r="O830" s="17"/>
      <c r="P830" s="17" t="s">
        <v>6654</v>
      </c>
      <c r="Q830" s="17"/>
      <c r="R830" s="25" t="str">
        <f>HYPERLINK("https://ictv.global/taxonomy/taxondetails?taxnode_id=202308269","Scottvirus scott")</f>
        <v>Scottvirus scott</v>
      </c>
      <c r="S830" s="18" t="s">
        <v>30</v>
      </c>
      <c r="T830" s="18" t="s">
        <v>6655</v>
      </c>
      <c r="U830" s="18"/>
      <c r="V830" s="18"/>
      <c r="W830" s="18" t="s">
        <v>6656</v>
      </c>
      <c r="X830" s="18" t="s">
        <v>42</v>
      </c>
      <c r="Y830" s="18" t="s">
        <v>36</v>
      </c>
      <c r="Z830" s="18" t="s">
        <v>697</v>
      </c>
      <c r="AA830" s="21" t="str">
        <f>HYPERLINK("https://www.ncbi.nlm.nih.gov/nuccore/MH684921","NCBI Nucleotide")</f>
        <v>NCBI Nucleotide</v>
      </c>
    </row>
    <row r="831" spans="1:27" x14ac:dyDescent="0.35">
      <c r="A831">
        <v>1001435</v>
      </c>
      <c r="B831">
        <v>830</v>
      </c>
      <c r="C831">
        <v>1</v>
      </c>
      <c r="D831" s="17" t="s">
        <v>155</v>
      </c>
      <c r="E831" s="17"/>
      <c r="F831" s="17" t="s">
        <v>156</v>
      </c>
      <c r="G831" s="17"/>
      <c r="H831" s="17" t="s">
        <v>692</v>
      </c>
      <c r="I831" s="17"/>
      <c r="J831" s="17" t="s">
        <v>693</v>
      </c>
      <c r="K831" s="17"/>
      <c r="L831" s="17"/>
      <c r="M831" s="17"/>
      <c r="N831" s="17" t="s">
        <v>6460</v>
      </c>
      <c r="O831" s="17"/>
      <c r="P831" s="17" t="s">
        <v>6657</v>
      </c>
      <c r="Q831" s="17"/>
      <c r="R831" s="25" t="str">
        <f>HYPERLINK("https://ictv.global/taxonomy/taxondetails?taxnode_id=202308219","Sednavirus SRIP2")</f>
        <v>Sednavirus SRIP2</v>
      </c>
      <c r="S831" s="18" t="s">
        <v>30</v>
      </c>
      <c r="T831" s="18" t="s">
        <v>6658</v>
      </c>
      <c r="U831" s="18"/>
      <c r="V831" s="18"/>
      <c r="W831" s="18" t="s">
        <v>6659</v>
      </c>
      <c r="X831" s="18" t="s">
        <v>42</v>
      </c>
      <c r="Y831" s="18" t="s">
        <v>36</v>
      </c>
      <c r="Z831" s="18" t="s">
        <v>697</v>
      </c>
      <c r="AA831" s="21" t="str">
        <f>HYPERLINK("https://www.ncbi.nlm.nih.gov/nuccore/HQ317389","NCBI Nucleotide")</f>
        <v>NCBI Nucleotide</v>
      </c>
    </row>
    <row r="832" spans="1:27" x14ac:dyDescent="0.35">
      <c r="A832">
        <v>1001436</v>
      </c>
      <c r="B832">
        <v>831</v>
      </c>
      <c r="C832">
        <v>1</v>
      </c>
      <c r="D832" s="17" t="s">
        <v>155</v>
      </c>
      <c r="E832" s="17"/>
      <c r="F832" s="17" t="s">
        <v>156</v>
      </c>
      <c r="G832" s="17"/>
      <c r="H832" s="17" t="s">
        <v>692</v>
      </c>
      <c r="I832" s="17"/>
      <c r="J832" s="17" t="s">
        <v>693</v>
      </c>
      <c r="K832" s="17"/>
      <c r="L832" s="17"/>
      <c r="M832" s="17"/>
      <c r="N832" s="17" t="s">
        <v>6460</v>
      </c>
      <c r="O832" s="17"/>
      <c r="P832" s="17" t="s">
        <v>6660</v>
      </c>
      <c r="Q832" s="17"/>
      <c r="R832" s="25" t="str">
        <f>HYPERLINK("https://ictv.global/taxonomy/taxondetails?taxnode_id=202308499","Serkorvirus ITL1")</f>
        <v>Serkorvirus ITL1</v>
      </c>
      <c r="S832" s="18" t="s">
        <v>30</v>
      </c>
      <c r="T832" s="18" t="s">
        <v>6661</v>
      </c>
      <c r="U832" s="18"/>
      <c r="V832" s="18"/>
      <c r="W832" s="18" t="s">
        <v>6662</v>
      </c>
      <c r="X832" s="18" t="s">
        <v>42</v>
      </c>
      <c r="Y832" s="18" t="s">
        <v>36</v>
      </c>
      <c r="Z832" s="18" t="s">
        <v>697</v>
      </c>
      <c r="AA832" s="21" t="str">
        <f>HYPERLINK("https://www.ncbi.nlm.nih.gov/nuccore/KP343639","NCBI Nucleotide")</f>
        <v>NCBI Nucleotide</v>
      </c>
    </row>
    <row r="833" spans="1:27" x14ac:dyDescent="0.35">
      <c r="A833">
        <v>1001437</v>
      </c>
      <c r="B833">
        <v>832</v>
      </c>
      <c r="C833">
        <v>1</v>
      </c>
      <c r="D833" s="17" t="s">
        <v>155</v>
      </c>
      <c r="E833" s="17"/>
      <c r="F833" s="17" t="s">
        <v>156</v>
      </c>
      <c r="G833" s="17"/>
      <c r="H833" s="17" t="s">
        <v>692</v>
      </c>
      <c r="I833" s="17"/>
      <c r="J833" s="17" t="s">
        <v>693</v>
      </c>
      <c r="K833" s="17"/>
      <c r="L833" s="17"/>
      <c r="M833" s="17"/>
      <c r="N833" s="17" t="s">
        <v>6460</v>
      </c>
      <c r="O833" s="17"/>
      <c r="P833" s="17" t="s">
        <v>6663</v>
      </c>
      <c r="Q833" s="17"/>
      <c r="R833" s="25" t="str">
        <f>HYPERLINK("https://ictv.global/taxonomy/taxondetails?taxnode_id=202308328","Sieqvirus S42C7")</f>
        <v>Sieqvirus S42C7</v>
      </c>
      <c r="S833" s="18" t="s">
        <v>30</v>
      </c>
      <c r="T833" s="18" t="s">
        <v>6664</v>
      </c>
      <c r="U833" s="18"/>
      <c r="V833" s="18"/>
      <c r="W833" s="18" t="s">
        <v>6665</v>
      </c>
      <c r="X833" s="18" t="s">
        <v>42</v>
      </c>
      <c r="Y833" s="18" t="s">
        <v>36</v>
      </c>
      <c r="Z833" s="18" t="s">
        <v>697</v>
      </c>
      <c r="AA833" s="21" t="str">
        <f>HYPERLINK("https://www.ncbi.nlm.nih.gov/nuccore/AP013541","NCBI Nucleotide")</f>
        <v>NCBI Nucleotide</v>
      </c>
    </row>
    <row r="834" spans="1:27" x14ac:dyDescent="0.35">
      <c r="A834">
        <v>1001438</v>
      </c>
      <c r="B834">
        <v>833</v>
      </c>
      <c r="C834">
        <v>1</v>
      </c>
      <c r="D834" s="17" t="s">
        <v>155</v>
      </c>
      <c r="E834" s="17"/>
      <c r="F834" s="17" t="s">
        <v>156</v>
      </c>
      <c r="G834" s="17"/>
      <c r="H834" s="17" t="s">
        <v>692</v>
      </c>
      <c r="I834" s="17"/>
      <c r="J834" s="17" t="s">
        <v>693</v>
      </c>
      <c r="K834" s="17"/>
      <c r="L834" s="17"/>
      <c r="M834" s="17"/>
      <c r="N834" s="17" t="s">
        <v>6460</v>
      </c>
      <c r="O834" s="17"/>
      <c r="P834" s="17" t="s">
        <v>6666</v>
      </c>
      <c r="Q834" s="17"/>
      <c r="R834" s="25" t="str">
        <f>HYPERLINK("https://ictv.global/taxonomy/taxondetails?taxnode_id=202308503","Stompelvirus RPSC1")</f>
        <v>Stompelvirus RPSC1</v>
      </c>
      <c r="S834" s="18" t="s">
        <v>30</v>
      </c>
      <c r="T834" s="18" t="s">
        <v>6667</v>
      </c>
      <c r="U834" s="18"/>
      <c r="V834" s="18"/>
      <c r="W834" s="18" t="s">
        <v>6668</v>
      </c>
      <c r="X834" s="18" t="s">
        <v>42</v>
      </c>
      <c r="Y834" s="18" t="s">
        <v>36</v>
      </c>
      <c r="Z834" s="18" t="s">
        <v>697</v>
      </c>
      <c r="AA834" s="21" t="str">
        <f>HYPERLINK("https://www.ncbi.nlm.nih.gov/nuccore/MF893341","NCBI Nucleotide")</f>
        <v>NCBI Nucleotide</v>
      </c>
    </row>
    <row r="835" spans="1:27" x14ac:dyDescent="0.35">
      <c r="A835">
        <v>1001439</v>
      </c>
      <c r="B835">
        <v>834</v>
      </c>
      <c r="C835">
        <v>1</v>
      </c>
      <c r="D835" s="17" t="s">
        <v>155</v>
      </c>
      <c r="E835" s="17"/>
      <c r="F835" s="17" t="s">
        <v>156</v>
      </c>
      <c r="G835" s="17"/>
      <c r="H835" s="17" t="s">
        <v>692</v>
      </c>
      <c r="I835" s="17"/>
      <c r="J835" s="17" t="s">
        <v>693</v>
      </c>
      <c r="K835" s="17"/>
      <c r="L835" s="17"/>
      <c r="M835" s="17"/>
      <c r="N835" s="17" t="s">
        <v>6460</v>
      </c>
      <c r="O835" s="17"/>
      <c r="P835" s="17" t="s">
        <v>6669</v>
      </c>
      <c r="Q835" s="17"/>
      <c r="R835" s="25" t="str">
        <f>HYPERLINK("https://ictv.global/taxonomy/taxondetails?taxnode_id=202308290","Stopalavirus S38C3")</f>
        <v>Stopalavirus S38C3</v>
      </c>
      <c r="S835" s="18" t="s">
        <v>30</v>
      </c>
      <c r="T835" s="18" t="s">
        <v>6670</v>
      </c>
      <c r="U835" s="18"/>
      <c r="V835" s="18"/>
      <c r="W835" s="18" t="s">
        <v>6671</v>
      </c>
      <c r="X835" s="18" t="s">
        <v>42</v>
      </c>
      <c r="Y835" s="18" t="s">
        <v>36</v>
      </c>
      <c r="Z835" s="18" t="s">
        <v>697</v>
      </c>
      <c r="AA835" s="21" t="str">
        <f>HYPERLINK("https://www.ncbi.nlm.nih.gov/nuccore/AP013548","NCBI Nucleotide")</f>
        <v>NCBI Nucleotide</v>
      </c>
    </row>
    <row r="836" spans="1:27" x14ac:dyDescent="0.35">
      <c r="A836">
        <v>1001440</v>
      </c>
      <c r="B836">
        <v>835</v>
      </c>
      <c r="C836">
        <v>1</v>
      </c>
      <c r="D836" s="17" t="s">
        <v>155</v>
      </c>
      <c r="E836" s="17"/>
      <c r="F836" s="17" t="s">
        <v>156</v>
      </c>
      <c r="G836" s="17"/>
      <c r="H836" s="17" t="s">
        <v>692</v>
      </c>
      <c r="I836" s="17"/>
      <c r="J836" s="17" t="s">
        <v>693</v>
      </c>
      <c r="K836" s="17"/>
      <c r="L836" s="17"/>
      <c r="M836" s="17"/>
      <c r="N836" s="17" t="s">
        <v>6460</v>
      </c>
      <c r="O836" s="17"/>
      <c r="P836" s="17" t="s">
        <v>6672</v>
      </c>
      <c r="Q836" s="17"/>
      <c r="R836" s="25" t="str">
        <f>HYPERLINK("https://ictv.global/taxonomy/taxondetails?taxnode_id=202308251","Stopavirus HTVC011P")</f>
        <v>Stopavirus HTVC011P</v>
      </c>
      <c r="S836" s="18" t="s">
        <v>30</v>
      </c>
      <c r="T836" s="18" t="s">
        <v>6673</v>
      </c>
      <c r="U836" s="18"/>
      <c r="V836" s="18"/>
      <c r="W836" s="18" t="s">
        <v>6674</v>
      </c>
      <c r="X836" s="18" t="s">
        <v>42</v>
      </c>
      <c r="Y836" s="18" t="s">
        <v>36</v>
      </c>
      <c r="Z836" s="18" t="s">
        <v>697</v>
      </c>
      <c r="AA836" s="21" t="str">
        <f>HYPERLINK("https://www.ncbi.nlm.nih.gov/nuccore/KC465900","NCBI Nucleotide")</f>
        <v>NCBI Nucleotide</v>
      </c>
    </row>
    <row r="837" spans="1:27" x14ac:dyDescent="0.35">
      <c r="A837">
        <v>1001441</v>
      </c>
      <c r="B837">
        <v>836</v>
      </c>
      <c r="C837">
        <v>1</v>
      </c>
      <c r="D837" s="17" t="s">
        <v>155</v>
      </c>
      <c r="E837" s="17"/>
      <c r="F837" s="17" t="s">
        <v>156</v>
      </c>
      <c r="G837" s="17"/>
      <c r="H837" s="17" t="s">
        <v>692</v>
      </c>
      <c r="I837" s="17"/>
      <c r="J837" s="17" t="s">
        <v>693</v>
      </c>
      <c r="K837" s="17"/>
      <c r="L837" s="17"/>
      <c r="M837" s="17"/>
      <c r="N837" s="17" t="s">
        <v>6460</v>
      </c>
      <c r="O837" s="17"/>
      <c r="P837" s="17" t="s">
        <v>6675</v>
      </c>
      <c r="Q837" s="17"/>
      <c r="R837" s="25" t="str">
        <f>HYPERLINK("https://ictv.global/taxonomy/taxondetails?taxnode_id=202308255","Stupnyavirus KM16C193")</f>
        <v>Stupnyavirus KM16C193</v>
      </c>
      <c r="S837" s="18" t="s">
        <v>30</v>
      </c>
      <c r="T837" s="18" t="s">
        <v>6676</v>
      </c>
      <c r="U837" s="18"/>
      <c r="V837" s="18"/>
      <c r="W837" s="18" t="s">
        <v>6677</v>
      </c>
      <c r="X837" s="18" t="s">
        <v>154</v>
      </c>
      <c r="Y837" s="18" t="s">
        <v>36</v>
      </c>
      <c r="Z837" s="18" t="s">
        <v>697</v>
      </c>
      <c r="AA837" s="21" t="str">
        <f>HYPERLINK("https://www.ncbi.nlm.nih.gov/nuccore/KT997876","NCBI Nucleotide")</f>
        <v>NCBI Nucleotide</v>
      </c>
    </row>
    <row r="838" spans="1:27" x14ac:dyDescent="0.35">
      <c r="A838">
        <v>1001442</v>
      </c>
      <c r="B838">
        <v>837</v>
      </c>
      <c r="C838">
        <v>1</v>
      </c>
      <c r="D838" s="17" t="s">
        <v>155</v>
      </c>
      <c r="E838" s="17"/>
      <c r="F838" s="17" t="s">
        <v>156</v>
      </c>
      <c r="G838" s="17"/>
      <c r="H838" s="17" t="s">
        <v>692</v>
      </c>
      <c r="I838" s="17"/>
      <c r="J838" s="17" t="s">
        <v>693</v>
      </c>
      <c r="K838" s="17"/>
      <c r="L838" s="17"/>
      <c r="M838" s="17"/>
      <c r="N838" s="17" t="s">
        <v>6460</v>
      </c>
      <c r="O838" s="17"/>
      <c r="P838" s="17" t="s">
        <v>6678</v>
      </c>
      <c r="Q838" s="17"/>
      <c r="R838" s="25" t="str">
        <f>HYPERLINK("https://ictv.global/taxonomy/taxondetails?taxnode_id=202308221","Tangaroavirus NATL2A133")</f>
        <v>Tangaroavirus NATL2A133</v>
      </c>
      <c r="S838" s="18" t="s">
        <v>30</v>
      </c>
      <c r="T838" s="18" t="s">
        <v>6679</v>
      </c>
      <c r="U838" s="18"/>
      <c r="V838" s="18"/>
      <c r="W838" s="18" t="s">
        <v>6680</v>
      </c>
      <c r="X838" s="18" t="s">
        <v>42</v>
      </c>
      <c r="Y838" s="18" t="s">
        <v>36</v>
      </c>
      <c r="Z838" s="18" t="s">
        <v>697</v>
      </c>
      <c r="AA838" s="21" t="str">
        <f>HYPERLINK("https://www.ncbi.nlm.nih.gov/nuccore/GU071104","NCBI Nucleotide")</f>
        <v>NCBI Nucleotide</v>
      </c>
    </row>
    <row r="839" spans="1:27" x14ac:dyDescent="0.35">
      <c r="A839">
        <v>1001443</v>
      </c>
      <c r="B839">
        <v>838</v>
      </c>
      <c r="C839">
        <v>1</v>
      </c>
      <c r="D839" s="17" t="s">
        <v>155</v>
      </c>
      <c r="E839" s="17"/>
      <c r="F839" s="17" t="s">
        <v>156</v>
      </c>
      <c r="G839" s="17"/>
      <c r="H839" s="17" t="s">
        <v>692</v>
      </c>
      <c r="I839" s="17"/>
      <c r="J839" s="17" t="s">
        <v>693</v>
      </c>
      <c r="K839" s="17"/>
      <c r="L839" s="17"/>
      <c r="M839" s="17"/>
      <c r="N839" s="17" t="s">
        <v>6460</v>
      </c>
      <c r="O839" s="17"/>
      <c r="P839" s="17" t="s">
        <v>6678</v>
      </c>
      <c r="Q839" s="17"/>
      <c r="R839" s="25" t="str">
        <f>HYPERLINK("https://ictv.global/taxonomy/taxondetails?taxnode_id=202308222","Tangaroavirus PSSP10")</f>
        <v>Tangaroavirus PSSP10</v>
      </c>
      <c r="S839" s="18" t="s">
        <v>30</v>
      </c>
      <c r="T839" s="18" t="s">
        <v>6681</v>
      </c>
      <c r="U839" s="18"/>
      <c r="V839" s="18"/>
      <c r="W839" s="18" t="s">
        <v>6682</v>
      </c>
      <c r="X839" s="18" t="s">
        <v>42</v>
      </c>
      <c r="Y839" s="18" t="s">
        <v>36</v>
      </c>
      <c r="Z839" s="18" t="s">
        <v>697</v>
      </c>
      <c r="AA839" s="21" t="str">
        <f>HYPERLINK("https://www.ncbi.nlm.nih.gov/nuccore/HQ337022","NCBI Nucleotide")</f>
        <v>NCBI Nucleotide</v>
      </c>
    </row>
    <row r="840" spans="1:27" x14ac:dyDescent="0.35">
      <c r="A840">
        <v>1001444</v>
      </c>
      <c r="B840">
        <v>839</v>
      </c>
      <c r="C840">
        <v>1</v>
      </c>
      <c r="D840" s="17" t="s">
        <v>155</v>
      </c>
      <c r="E840" s="17"/>
      <c r="F840" s="17" t="s">
        <v>156</v>
      </c>
      <c r="G840" s="17"/>
      <c r="H840" s="17" t="s">
        <v>692</v>
      </c>
      <c r="I840" s="17"/>
      <c r="J840" s="17" t="s">
        <v>693</v>
      </c>
      <c r="K840" s="17"/>
      <c r="L840" s="17"/>
      <c r="M840" s="17"/>
      <c r="N840" s="17" t="s">
        <v>6460</v>
      </c>
      <c r="O840" s="17"/>
      <c r="P840" s="17" t="s">
        <v>6678</v>
      </c>
      <c r="Q840" s="17"/>
      <c r="R840" s="25" t="str">
        <f>HYPERLINK("https://ictv.global/taxonomy/taxondetails?taxnode_id=202308223","Tangaroavirus tv951510a")</f>
        <v>Tangaroavirus tv951510a</v>
      </c>
      <c r="S840" s="18" t="s">
        <v>30</v>
      </c>
      <c r="T840" s="18" t="s">
        <v>6683</v>
      </c>
      <c r="U840" s="18"/>
      <c r="V840" s="18"/>
      <c r="W840" s="18" t="s">
        <v>6684</v>
      </c>
      <c r="X840" s="18" t="s">
        <v>42</v>
      </c>
      <c r="Y840" s="18" t="s">
        <v>36</v>
      </c>
      <c r="Z840" s="18" t="s">
        <v>697</v>
      </c>
      <c r="AA840" s="21" t="str">
        <f>HYPERLINK("https://www.ncbi.nlm.nih.gov/nuccore/GU071100","NCBI Nucleotide")</f>
        <v>NCBI Nucleotide</v>
      </c>
    </row>
    <row r="841" spans="1:27" x14ac:dyDescent="0.35">
      <c r="A841">
        <v>1001445</v>
      </c>
      <c r="B841">
        <v>840</v>
      </c>
      <c r="C841">
        <v>1</v>
      </c>
      <c r="D841" s="17" t="s">
        <v>155</v>
      </c>
      <c r="E841" s="17"/>
      <c r="F841" s="17" t="s">
        <v>156</v>
      </c>
      <c r="G841" s="17"/>
      <c r="H841" s="17" t="s">
        <v>692</v>
      </c>
      <c r="I841" s="17"/>
      <c r="J841" s="17" t="s">
        <v>693</v>
      </c>
      <c r="K841" s="17"/>
      <c r="L841" s="17"/>
      <c r="M841" s="17"/>
      <c r="N841" s="17" t="s">
        <v>6460</v>
      </c>
      <c r="O841" s="17"/>
      <c r="P841" s="17" t="s">
        <v>6685</v>
      </c>
      <c r="Q841" s="17"/>
      <c r="R841" s="25" t="str">
        <f>HYPERLINK("https://ictv.global/taxonomy/taxondetails?taxnode_id=202308306","Tawavirus JSF7")</f>
        <v>Tawavirus JSF7</v>
      </c>
      <c r="S841" s="18" t="s">
        <v>30</v>
      </c>
      <c r="T841" s="18" t="s">
        <v>6686</v>
      </c>
      <c r="U841" s="18"/>
      <c r="V841" s="18"/>
      <c r="W841" s="18" t="s">
        <v>6687</v>
      </c>
      <c r="X841" s="18" t="s">
        <v>42</v>
      </c>
      <c r="Y841" s="18" t="s">
        <v>36</v>
      </c>
      <c r="Z841" s="18" t="s">
        <v>697</v>
      </c>
      <c r="AA841" s="21" t="str">
        <f>HYPERLINK("https://www.ncbi.nlm.nih.gov/nuccore/KY065149","NCBI Nucleotide")</f>
        <v>NCBI Nucleotide</v>
      </c>
    </row>
    <row r="842" spans="1:27" x14ac:dyDescent="0.35">
      <c r="A842">
        <v>1001446</v>
      </c>
      <c r="B842">
        <v>841</v>
      </c>
      <c r="C842">
        <v>1</v>
      </c>
      <c r="D842" s="17" t="s">
        <v>155</v>
      </c>
      <c r="E842" s="17"/>
      <c r="F842" s="17" t="s">
        <v>156</v>
      </c>
      <c r="G842" s="17"/>
      <c r="H842" s="17" t="s">
        <v>692</v>
      </c>
      <c r="I842" s="17"/>
      <c r="J842" s="17" t="s">
        <v>693</v>
      </c>
      <c r="K842" s="17"/>
      <c r="L842" s="17"/>
      <c r="M842" s="17"/>
      <c r="N842" s="17" t="s">
        <v>6460</v>
      </c>
      <c r="O842" s="17"/>
      <c r="P842" s="17" t="s">
        <v>6688</v>
      </c>
      <c r="Q842" s="17"/>
      <c r="R842" s="25" t="str">
        <f>HYPERLINK("https://ictv.global/taxonomy/taxondetails?taxnode_id=202300587","Tiamatvirus PSSP7")</f>
        <v>Tiamatvirus PSSP7</v>
      </c>
      <c r="S842" s="18" t="s">
        <v>30</v>
      </c>
      <c r="T842" s="18" t="s">
        <v>6689</v>
      </c>
      <c r="U842" s="18"/>
      <c r="V842" s="18"/>
      <c r="W842" s="18" t="s">
        <v>6690</v>
      </c>
      <c r="X842" s="18" t="s">
        <v>42</v>
      </c>
      <c r="Y842" s="18" t="s">
        <v>36</v>
      </c>
      <c r="Z842" s="18" t="s">
        <v>697</v>
      </c>
      <c r="AA842" s="21" t="str">
        <f>HYPERLINK("https://www.ncbi.nlm.nih.gov/nuccore/AY939843","NCBI Nucleotide")</f>
        <v>NCBI Nucleotide</v>
      </c>
    </row>
    <row r="843" spans="1:27" x14ac:dyDescent="0.35">
      <c r="A843">
        <v>1001447</v>
      </c>
      <c r="B843">
        <v>842</v>
      </c>
      <c r="C843">
        <v>1</v>
      </c>
      <c r="D843" s="17" t="s">
        <v>155</v>
      </c>
      <c r="E843" s="17"/>
      <c r="F843" s="17" t="s">
        <v>156</v>
      </c>
      <c r="G843" s="17"/>
      <c r="H843" s="17" t="s">
        <v>692</v>
      </c>
      <c r="I843" s="17"/>
      <c r="J843" s="17" t="s">
        <v>693</v>
      </c>
      <c r="K843" s="17"/>
      <c r="L843" s="17"/>
      <c r="M843" s="17"/>
      <c r="N843" s="17" t="s">
        <v>6460</v>
      </c>
      <c r="O843" s="17"/>
      <c r="P843" s="17" t="s">
        <v>6691</v>
      </c>
      <c r="Q843" s="17"/>
      <c r="R843" s="25" t="str">
        <f>HYPERLINK("https://ictv.global/taxonomy/taxondetails?taxnode_id=202300588","Tiilvirus P60")</f>
        <v>Tiilvirus P60</v>
      </c>
      <c r="S843" s="18" t="s">
        <v>30</v>
      </c>
      <c r="T843" s="18" t="s">
        <v>6692</v>
      </c>
      <c r="U843" s="18"/>
      <c r="V843" s="18"/>
      <c r="W843" s="18" t="s">
        <v>6693</v>
      </c>
      <c r="X843" s="18" t="s">
        <v>42</v>
      </c>
      <c r="Y843" s="18" t="s">
        <v>36</v>
      </c>
      <c r="Z843" s="18" t="s">
        <v>697</v>
      </c>
      <c r="AA843" s="21" t="str">
        <f>HYPERLINK("https://www.ncbi.nlm.nih.gov/nuccore/AF338467","NCBI Nucleotide")</f>
        <v>NCBI Nucleotide</v>
      </c>
    </row>
    <row r="844" spans="1:27" x14ac:dyDescent="0.35">
      <c r="A844">
        <v>1001448</v>
      </c>
      <c r="B844">
        <v>843</v>
      </c>
      <c r="C844">
        <v>1</v>
      </c>
      <c r="D844" s="17" t="s">
        <v>155</v>
      </c>
      <c r="E844" s="17"/>
      <c r="F844" s="17" t="s">
        <v>156</v>
      </c>
      <c r="G844" s="17"/>
      <c r="H844" s="17" t="s">
        <v>692</v>
      </c>
      <c r="I844" s="17"/>
      <c r="J844" s="17" t="s">
        <v>693</v>
      </c>
      <c r="K844" s="17"/>
      <c r="L844" s="17"/>
      <c r="M844" s="17"/>
      <c r="N844" s="17" t="s">
        <v>6460</v>
      </c>
      <c r="O844" s="17"/>
      <c r="P844" s="17" t="s">
        <v>6694</v>
      </c>
      <c r="Q844" s="17"/>
      <c r="R844" s="25" t="str">
        <f>HYPERLINK("https://ictv.global/taxonomy/taxondetails?taxnode_id=202308205","Tritonvirus PSSP2")</f>
        <v>Tritonvirus PSSP2</v>
      </c>
      <c r="S844" s="18" t="s">
        <v>30</v>
      </c>
      <c r="T844" s="18" t="s">
        <v>6695</v>
      </c>
      <c r="U844" s="18"/>
      <c r="V844" s="18"/>
      <c r="W844" s="18" t="s">
        <v>6696</v>
      </c>
      <c r="X844" s="18" t="s">
        <v>42</v>
      </c>
      <c r="Y844" s="18" t="s">
        <v>36</v>
      </c>
      <c r="Z844" s="18" t="s">
        <v>697</v>
      </c>
      <c r="AA844" s="21" t="str">
        <f>HYPERLINK("https://www.ncbi.nlm.nih.gov/nuccore/GU071107","NCBI Nucleotide")</f>
        <v>NCBI Nucleotide</v>
      </c>
    </row>
    <row r="845" spans="1:27" x14ac:dyDescent="0.35">
      <c r="A845">
        <v>1001449</v>
      </c>
      <c r="B845">
        <v>844</v>
      </c>
      <c r="C845">
        <v>1</v>
      </c>
      <c r="D845" s="17" t="s">
        <v>155</v>
      </c>
      <c r="E845" s="17"/>
      <c r="F845" s="17" t="s">
        <v>156</v>
      </c>
      <c r="G845" s="17"/>
      <c r="H845" s="17" t="s">
        <v>692</v>
      </c>
      <c r="I845" s="17"/>
      <c r="J845" s="17" t="s">
        <v>693</v>
      </c>
      <c r="K845" s="17"/>
      <c r="L845" s="17"/>
      <c r="M845" s="17"/>
      <c r="N845" s="17" t="s">
        <v>6460</v>
      </c>
      <c r="O845" s="17"/>
      <c r="P845" s="17" t="s">
        <v>6694</v>
      </c>
      <c r="Q845" s="17"/>
      <c r="R845" s="25" t="str">
        <f>HYPERLINK("https://ictv.global/taxonomy/taxondetails?taxnode_id=202308204","Tritonvirus PSSP3")</f>
        <v>Tritonvirus PSSP3</v>
      </c>
      <c r="S845" s="18" t="s">
        <v>30</v>
      </c>
      <c r="T845" s="18" t="s">
        <v>6697</v>
      </c>
      <c r="U845" s="18"/>
      <c r="V845" s="18"/>
      <c r="W845" s="18" t="s">
        <v>6698</v>
      </c>
      <c r="X845" s="18" t="s">
        <v>42</v>
      </c>
      <c r="Y845" s="18" t="s">
        <v>36</v>
      </c>
      <c r="Z845" s="18" t="s">
        <v>697</v>
      </c>
      <c r="AA845" s="21" t="str">
        <f>HYPERLINK("https://www.ncbi.nlm.nih.gov/nuccore/HQ332137","NCBI Nucleotide")</f>
        <v>NCBI Nucleotide</v>
      </c>
    </row>
    <row r="846" spans="1:27" x14ac:dyDescent="0.35">
      <c r="A846">
        <v>1001450</v>
      </c>
      <c r="B846">
        <v>845</v>
      </c>
      <c r="C846">
        <v>1</v>
      </c>
      <c r="D846" s="17" t="s">
        <v>155</v>
      </c>
      <c r="E846" s="17"/>
      <c r="F846" s="17" t="s">
        <v>156</v>
      </c>
      <c r="G846" s="17"/>
      <c r="H846" s="17" t="s">
        <v>692</v>
      </c>
      <c r="I846" s="17"/>
      <c r="J846" s="17" t="s">
        <v>693</v>
      </c>
      <c r="K846" s="17"/>
      <c r="L846" s="17"/>
      <c r="M846" s="17"/>
      <c r="N846" s="17" t="s">
        <v>6460</v>
      </c>
      <c r="O846" s="17"/>
      <c r="P846" s="17" t="s">
        <v>6699</v>
      </c>
      <c r="Q846" s="17"/>
      <c r="R846" s="25" t="str">
        <f>HYPERLINK("https://ictv.global/taxonomy/taxondetails?taxnode_id=202300589","Voetvirus syn5")</f>
        <v>Voetvirus syn5</v>
      </c>
      <c r="S846" s="18" t="s">
        <v>30</v>
      </c>
      <c r="T846" s="18" t="s">
        <v>6700</v>
      </c>
      <c r="U846" s="18"/>
      <c r="V846" s="18"/>
      <c r="W846" s="18" t="s">
        <v>6701</v>
      </c>
      <c r="X846" s="18" t="s">
        <v>42</v>
      </c>
      <c r="Y846" s="18" t="s">
        <v>36</v>
      </c>
      <c r="Z846" s="18" t="s">
        <v>697</v>
      </c>
      <c r="AA846" s="21" t="str">
        <f>HYPERLINK("https://www.ncbi.nlm.nih.gov/nuccore/EF372997","NCBI Nucleotide")</f>
        <v>NCBI Nucleotide</v>
      </c>
    </row>
    <row r="847" spans="1:27" x14ac:dyDescent="0.35">
      <c r="A847">
        <v>1001451</v>
      </c>
      <c r="B847">
        <v>846</v>
      </c>
      <c r="C847">
        <v>1</v>
      </c>
      <c r="D847" s="17" t="s">
        <v>155</v>
      </c>
      <c r="E847" s="17"/>
      <c r="F847" s="17" t="s">
        <v>156</v>
      </c>
      <c r="G847" s="17"/>
      <c r="H847" s="17" t="s">
        <v>692</v>
      </c>
      <c r="I847" s="17"/>
      <c r="J847" s="17" t="s">
        <v>693</v>
      </c>
      <c r="K847" s="17"/>
      <c r="L847" s="17"/>
      <c r="M847" s="17"/>
      <c r="N847" s="17" t="s">
        <v>6460</v>
      </c>
      <c r="O847" s="17"/>
      <c r="P847" s="17" t="s">
        <v>6702</v>
      </c>
      <c r="Q847" s="17"/>
      <c r="R847" s="25" t="str">
        <f>HYPERLINK("https://ictv.global/taxonomy/taxondetails?taxnode_id=202308282","Votkovvirus S28C10")</f>
        <v>Votkovvirus S28C10</v>
      </c>
      <c r="S847" s="18" t="s">
        <v>30</v>
      </c>
      <c r="T847" s="18" t="s">
        <v>6703</v>
      </c>
      <c r="U847" s="18"/>
      <c r="V847" s="18"/>
      <c r="W847" s="18" t="s">
        <v>6704</v>
      </c>
      <c r="X847" s="18" t="s">
        <v>42</v>
      </c>
      <c r="Y847" s="18" t="s">
        <v>36</v>
      </c>
      <c r="Z847" s="18" t="s">
        <v>697</v>
      </c>
      <c r="AA847" s="21" t="str">
        <f>HYPERLINK("https://www.ncbi.nlm.nih.gov/nuccore/AP013540","NCBI Nucleotide")</f>
        <v>NCBI Nucleotide</v>
      </c>
    </row>
    <row r="848" spans="1:27" x14ac:dyDescent="0.35">
      <c r="A848">
        <v>1001452</v>
      </c>
      <c r="B848">
        <v>847</v>
      </c>
      <c r="C848">
        <v>1</v>
      </c>
      <c r="D848" s="17" t="s">
        <v>155</v>
      </c>
      <c r="E848" s="17"/>
      <c r="F848" s="17" t="s">
        <v>156</v>
      </c>
      <c r="G848" s="17"/>
      <c r="H848" s="17" t="s">
        <v>692</v>
      </c>
      <c r="I848" s="17"/>
      <c r="J848" s="17" t="s">
        <v>693</v>
      </c>
      <c r="K848" s="17"/>
      <c r="L848" s="17"/>
      <c r="M848" s="17"/>
      <c r="N848" s="17" t="s">
        <v>6460</v>
      </c>
      <c r="O848" s="17"/>
      <c r="P848" s="17" t="s">
        <v>6705</v>
      </c>
      <c r="Q848" s="17"/>
      <c r="R848" s="25" t="str">
        <f>HYPERLINK("https://ictv.global/taxonomy/taxondetails?taxnode_id=202300569","Waewaevirus limezero")</f>
        <v>Waewaevirus limezero</v>
      </c>
      <c r="S848" s="18" t="s">
        <v>30</v>
      </c>
      <c r="T848" s="18" t="s">
        <v>6706</v>
      </c>
      <c r="U848" s="18"/>
      <c r="V848" s="18"/>
      <c r="W848" s="18" t="s">
        <v>6707</v>
      </c>
      <c r="X848" s="18" t="s">
        <v>42</v>
      </c>
      <c r="Y848" s="18" t="s">
        <v>36</v>
      </c>
      <c r="Z848" s="18" t="s">
        <v>697</v>
      </c>
      <c r="AA848" s="21" t="str">
        <f>HYPERLINK("https://www.ncbi.nlm.nih.gov/nuccore/FR751545","NCBI Nucleotide")</f>
        <v>NCBI Nucleotide</v>
      </c>
    </row>
    <row r="849" spans="1:27" x14ac:dyDescent="0.35">
      <c r="A849">
        <v>1001453</v>
      </c>
      <c r="B849">
        <v>848</v>
      </c>
      <c r="C849">
        <v>1</v>
      </c>
      <c r="D849" s="17" t="s">
        <v>155</v>
      </c>
      <c r="E849" s="17"/>
      <c r="F849" s="17" t="s">
        <v>156</v>
      </c>
      <c r="G849" s="17"/>
      <c r="H849" s="17" t="s">
        <v>692</v>
      </c>
      <c r="I849" s="17"/>
      <c r="J849" s="17" t="s">
        <v>693</v>
      </c>
      <c r="K849" s="17"/>
      <c r="L849" s="17"/>
      <c r="M849" s="17"/>
      <c r="N849" s="17" t="s">
        <v>6460</v>
      </c>
      <c r="O849" s="17"/>
      <c r="P849" s="17" t="s">
        <v>6708</v>
      </c>
      <c r="Q849" s="17"/>
      <c r="R849" s="25" t="str">
        <f>HYPERLINK("https://ictv.global/taxonomy/taxondetails?taxnode_id=202308195","Wuhanvirus PHB01")</f>
        <v>Wuhanvirus PHB01</v>
      </c>
      <c r="S849" s="18" t="s">
        <v>30</v>
      </c>
      <c r="T849" s="18" t="s">
        <v>6709</v>
      </c>
      <c r="U849" s="18"/>
      <c r="V849" s="18"/>
      <c r="W849" s="18" t="s">
        <v>6710</v>
      </c>
      <c r="X849" s="18" t="s">
        <v>42</v>
      </c>
      <c r="Y849" s="18" t="s">
        <v>36</v>
      </c>
      <c r="Z849" s="18" t="s">
        <v>697</v>
      </c>
      <c r="AA849" s="21" t="str">
        <f>HYPERLINK("https://www.ncbi.nlm.nih.gov/nuccore/MF166859","NCBI Nucleotide")</f>
        <v>NCBI Nucleotide</v>
      </c>
    </row>
    <row r="850" spans="1:27" x14ac:dyDescent="0.35">
      <c r="A850">
        <v>1001454</v>
      </c>
      <c r="B850">
        <v>849</v>
      </c>
      <c r="C850">
        <v>1</v>
      </c>
      <c r="D850" s="17" t="s">
        <v>155</v>
      </c>
      <c r="E850" s="17"/>
      <c r="F850" s="17" t="s">
        <v>156</v>
      </c>
      <c r="G850" s="17"/>
      <c r="H850" s="17" t="s">
        <v>692</v>
      </c>
      <c r="I850" s="17"/>
      <c r="J850" s="17" t="s">
        <v>693</v>
      </c>
      <c r="K850" s="17"/>
      <c r="L850" s="17"/>
      <c r="M850" s="17"/>
      <c r="N850" s="17" t="s">
        <v>6460</v>
      </c>
      <c r="O850" s="17"/>
      <c r="P850" s="17" t="s">
        <v>6708</v>
      </c>
      <c r="Q850" s="17"/>
      <c r="R850" s="25" t="str">
        <f>HYPERLINK("https://ictv.global/taxonomy/taxondetails?taxnode_id=202308194","Wuhanvirus PHB02")</f>
        <v>Wuhanvirus PHB02</v>
      </c>
      <c r="S850" s="18" t="s">
        <v>30</v>
      </c>
      <c r="T850" s="18" t="s">
        <v>6711</v>
      </c>
      <c r="U850" s="18"/>
      <c r="V850" s="18"/>
      <c r="W850" s="18" t="s">
        <v>6712</v>
      </c>
      <c r="X850" s="18" t="s">
        <v>42</v>
      </c>
      <c r="Y850" s="18" t="s">
        <v>36</v>
      </c>
      <c r="Z850" s="18" t="s">
        <v>697</v>
      </c>
      <c r="AA850" s="21" t="str">
        <f>HYPERLINK("https://www.ncbi.nlm.nih.gov/nuccore/MF034659","NCBI Nucleotide")</f>
        <v>NCBI Nucleotide</v>
      </c>
    </row>
    <row r="851" spans="1:27" x14ac:dyDescent="0.35">
      <c r="A851">
        <v>1001455</v>
      </c>
      <c r="B851">
        <v>850</v>
      </c>
      <c r="C851">
        <v>1</v>
      </c>
      <c r="D851" s="17" t="s">
        <v>155</v>
      </c>
      <c r="E851" s="17"/>
      <c r="F851" s="17" t="s">
        <v>156</v>
      </c>
      <c r="G851" s="17"/>
      <c r="H851" s="17" t="s">
        <v>692</v>
      </c>
      <c r="I851" s="17"/>
      <c r="J851" s="17" t="s">
        <v>693</v>
      </c>
      <c r="K851" s="17"/>
      <c r="L851" s="17"/>
      <c r="M851" s="17"/>
      <c r="N851" s="17" t="s">
        <v>6460</v>
      </c>
      <c r="O851" s="17"/>
      <c r="P851" s="17" t="s">
        <v>6713</v>
      </c>
      <c r="Q851" s="17"/>
      <c r="R851" s="25" t="str">
        <f>HYPERLINK("https://ictv.global/taxonomy/taxondetails?taxnode_id=202314978","Youngvirus G1")</f>
        <v>Youngvirus G1</v>
      </c>
      <c r="S851" s="18" t="s">
        <v>30</v>
      </c>
      <c r="T851" s="18" t="s">
        <v>6714</v>
      </c>
      <c r="U851" s="18"/>
      <c r="V851" s="18"/>
      <c r="W851" s="18" t="s">
        <v>6715</v>
      </c>
      <c r="X851" s="18" t="s">
        <v>42</v>
      </c>
      <c r="Y851" s="18" t="s">
        <v>36</v>
      </c>
      <c r="Z851" s="18" t="s">
        <v>697</v>
      </c>
      <c r="AA851" s="21" t="str">
        <f>HYPERLINK("https://www.ncbi.nlm.nih.gov/nuccore/MZ592920","NCBI Nucleotide")</f>
        <v>NCBI Nucleotide</v>
      </c>
    </row>
    <row r="852" spans="1:27" x14ac:dyDescent="0.35">
      <c r="A852">
        <v>1001456</v>
      </c>
      <c r="B852">
        <v>851</v>
      </c>
      <c r="C852">
        <v>1</v>
      </c>
      <c r="D852" s="17" t="s">
        <v>155</v>
      </c>
      <c r="E852" s="17"/>
      <c r="F852" s="17" t="s">
        <v>156</v>
      </c>
      <c r="G852" s="17"/>
      <c r="H852" s="17" t="s">
        <v>692</v>
      </c>
      <c r="I852" s="17"/>
      <c r="J852" s="17" t="s">
        <v>693</v>
      </c>
      <c r="K852" s="17"/>
      <c r="L852" s="17"/>
      <c r="M852" s="17"/>
      <c r="N852" s="17" t="s">
        <v>7358</v>
      </c>
      <c r="O852" s="17"/>
      <c r="P852" s="17" t="s">
        <v>7359</v>
      </c>
      <c r="Q852" s="17"/>
      <c r="R852" s="25" t="str">
        <f>HYPERLINK("https://ictv.global/taxonomy/taxondetails?taxnode_id=202306759","Burkholderia virus AH2")</f>
        <v>Burkholderia virus AH2</v>
      </c>
      <c r="S852" s="18" t="s">
        <v>30</v>
      </c>
      <c r="T852" s="18" t="s">
        <v>7360</v>
      </c>
      <c r="U852" s="18"/>
      <c r="V852" s="18"/>
      <c r="W852" s="18" t="s">
        <v>7361</v>
      </c>
      <c r="X852" s="18" t="s">
        <v>42</v>
      </c>
      <c r="Y852" s="18" t="s">
        <v>36</v>
      </c>
      <c r="Z852" s="18" t="s">
        <v>697</v>
      </c>
      <c r="AA852" s="21" t="str">
        <f>HYPERLINK("https://www.ncbi.nlm.nih.gov/nuccore/JN564907","NCBI Nucleotide")</f>
        <v>NCBI Nucleotide</v>
      </c>
    </row>
    <row r="853" spans="1:27" x14ac:dyDescent="0.35">
      <c r="A853">
        <v>1001457</v>
      </c>
      <c r="B853">
        <v>852</v>
      </c>
      <c r="C853">
        <v>1</v>
      </c>
      <c r="D853" s="17" t="s">
        <v>155</v>
      </c>
      <c r="E853" s="17"/>
      <c r="F853" s="17" t="s">
        <v>156</v>
      </c>
      <c r="G853" s="17"/>
      <c r="H853" s="17" t="s">
        <v>692</v>
      </c>
      <c r="I853" s="17"/>
      <c r="J853" s="17" t="s">
        <v>693</v>
      </c>
      <c r="K853" s="17"/>
      <c r="L853" s="17"/>
      <c r="M853" s="17"/>
      <c r="N853" s="17" t="s">
        <v>7358</v>
      </c>
      <c r="O853" s="17"/>
      <c r="P853" s="17" t="s">
        <v>7362</v>
      </c>
      <c r="Q853" s="17"/>
      <c r="R853" s="25" t="str">
        <f>HYPERLINK("https://ictv.global/taxonomy/taxondetails?taxnode_id=202312990","Broinstvirus pCB2051A")</f>
        <v>Broinstvirus pCB2051A</v>
      </c>
      <c r="S853" s="18" t="s">
        <v>30</v>
      </c>
      <c r="T853" s="18" t="s">
        <v>7363</v>
      </c>
      <c r="U853" s="18"/>
      <c r="V853" s="18"/>
      <c r="W853" s="18" t="s">
        <v>7364</v>
      </c>
      <c r="X853" s="18" t="s">
        <v>42</v>
      </c>
      <c r="Y853" s="18" t="s">
        <v>36</v>
      </c>
      <c r="Z853" s="18" t="s">
        <v>697</v>
      </c>
      <c r="AA853" s="21" t="str">
        <f>HYPERLINK("https://www.ncbi.nlm.nih.gov/nuccore/HQ632859","NCBI Nucleotide")</f>
        <v>NCBI Nucleotide</v>
      </c>
    </row>
    <row r="854" spans="1:27" x14ac:dyDescent="0.35">
      <c r="A854">
        <v>1001458</v>
      </c>
      <c r="B854">
        <v>853</v>
      </c>
      <c r="C854">
        <v>1</v>
      </c>
      <c r="D854" s="17" t="s">
        <v>155</v>
      </c>
      <c r="E854" s="17"/>
      <c r="F854" s="17" t="s">
        <v>156</v>
      </c>
      <c r="G854" s="17"/>
      <c r="H854" s="17" t="s">
        <v>692</v>
      </c>
      <c r="I854" s="17"/>
      <c r="J854" s="17" t="s">
        <v>693</v>
      </c>
      <c r="K854" s="17"/>
      <c r="L854" s="17"/>
      <c r="M854" s="17"/>
      <c r="N854" s="17" t="s">
        <v>7358</v>
      </c>
      <c r="O854" s="17"/>
      <c r="P854" s="17" t="s">
        <v>7365</v>
      </c>
      <c r="Q854" s="17"/>
      <c r="R854" s="25" t="str">
        <f>HYPERLINK("https://ictv.global/taxonomy/taxondetails?taxnode_id=202313003","Cenphatecvirus saba")</f>
        <v>Cenphatecvirus saba</v>
      </c>
      <c r="S854" s="18" t="s">
        <v>30</v>
      </c>
      <c r="T854" s="18" t="s">
        <v>7366</v>
      </c>
      <c r="U854" s="18"/>
      <c r="V854" s="18"/>
      <c r="W854" s="18" t="s">
        <v>7367</v>
      </c>
      <c r="X854" s="18" t="s">
        <v>42</v>
      </c>
      <c r="Y854" s="18" t="s">
        <v>36</v>
      </c>
      <c r="Z854" s="18" t="s">
        <v>697</v>
      </c>
      <c r="AA854" s="21" t="str">
        <f>HYPERLINK("https://www.ncbi.nlm.nih.gov/nuccore/MN062188","NCBI Nucleotide")</f>
        <v>NCBI Nucleotide</v>
      </c>
    </row>
    <row r="855" spans="1:27" x14ac:dyDescent="0.35">
      <c r="A855">
        <v>1001459</v>
      </c>
      <c r="B855">
        <v>854</v>
      </c>
      <c r="C855">
        <v>1</v>
      </c>
      <c r="D855" s="17" t="s">
        <v>155</v>
      </c>
      <c r="E855" s="17"/>
      <c r="F855" s="17" t="s">
        <v>156</v>
      </c>
      <c r="G855" s="17"/>
      <c r="H855" s="17" t="s">
        <v>692</v>
      </c>
      <c r="I855" s="17"/>
      <c r="J855" s="17" t="s">
        <v>693</v>
      </c>
      <c r="K855" s="17"/>
      <c r="L855" s="17"/>
      <c r="M855" s="17"/>
      <c r="N855" s="17" t="s">
        <v>7358</v>
      </c>
      <c r="O855" s="17"/>
      <c r="P855" s="17" t="s">
        <v>7368</v>
      </c>
      <c r="Q855" s="17"/>
      <c r="R855" s="25" t="str">
        <f>HYPERLINK("https://ictv.global/taxonomy/taxondetails?taxnode_id=202309872","Chivirus BSPM4")</f>
        <v>Chivirus BSPM4</v>
      </c>
      <c r="S855" s="18" t="s">
        <v>30</v>
      </c>
      <c r="T855" s="18" t="s">
        <v>7369</v>
      </c>
      <c r="U855" s="18"/>
      <c r="V855" s="18"/>
      <c r="W855" s="18" t="s">
        <v>7370</v>
      </c>
      <c r="X855" s="18" t="s">
        <v>42</v>
      </c>
      <c r="Y855" s="18" t="s">
        <v>36</v>
      </c>
      <c r="Z855" s="18" t="s">
        <v>697</v>
      </c>
      <c r="AA855" s="21" t="str">
        <f>HYPERLINK("https://www.ncbi.nlm.nih.gov/nuccore/KY620117","NCBI Nucleotide")</f>
        <v>NCBI Nucleotide</v>
      </c>
    </row>
    <row r="856" spans="1:27" x14ac:dyDescent="0.35">
      <c r="A856">
        <v>1001460</v>
      </c>
      <c r="B856">
        <v>855</v>
      </c>
      <c r="C856">
        <v>1</v>
      </c>
      <c r="D856" s="17" t="s">
        <v>155</v>
      </c>
      <c r="E856" s="17"/>
      <c r="F856" s="17" t="s">
        <v>156</v>
      </c>
      <c r="G856" s="17"/>
      <c r="H856" s="17" t="s">
        <v>692</v>
      </c>
      <c r="I856" s="17"/>
      <c r="J856" s="17" t="s">
        <v>693</v>
      </c>
      <c r="K856" s="17"/>
      <c r="L856" s="17"/>
      <c r="M856" s="17"/>
      <c r="N856" s="17" t="s">
        <v>7358</v>
      </c>
      <c r="O856" s="17"/>
      <c r="P856" s="17" t="s">
        <v>7368</v>
      </c>
      <c r="Q856" s="17"/>
      <c r="R856" s="25" t="str">
        <f>HYPERLINK("https://ictv.global/taxonomy/taxondetails?taxnode_id=202300924","Chivirus chi")</f>
        <v>Chivirus chi</v>
      </c>
      <c r="S856" s="18" t="s">
        <v>30</v>
      </c>
      <c r="T856" s="18" t="s">
        <v>7371</v>
      </c>
      <c r="U856" s="18"/>
      <c r="V856" s="18"/>
      <c r="W856" s="18" t="s">
        <v>7372</v>
      </c>
      <c r="X856" s="18" t="s">
        <v>42</v>
      </c>
      <c r="Y856" s="18" t="s">
        <v>36</v>
      </c>
      <c r="Z856" s="18" t="s">
        <v>697</v>
      </c>
      <c r="AA856" s="21" t="str">
        <f>HYPERLINK("https://www.ncbi.nlm.nih.gov/nuccore/JX094499","NCBI Nucleotide")</f>
        <v>NCBI Nucleotide</v>
      </c>
    </row>
    <row r="857" spans="1:27" x14ac:dyDescent="0.35">
      <c r="A857">
        <v>1001462</v>
      </c>
      <c r="B857">
        <v>856</v>
      </c>
      <c r="C857">
        <v>1</v>
      </c>
      <c r="D857" s="17" t="s">
        <v>155</v>
      </c>
      <c r="E857" s="17"/>
      <c r="F857" s="17" t="s">
        <v>156</v>
      </c>
      <c r="G857" s="17"/>
      <c r="H857" s="17" t="s">
        <v>692</v>
      </c>
      <c r="I857" s="17"/>
      <c r="J857" s="17" t="s">
        <v>693</v>
      </c>
      <c r="K857" s="17"/>
      <c r="L857" s="17"/>
      <c r="M857" s="17"/>
      <c r="N857" s="17" t="s">
        <v>7358</v>
      </c>
      <c r="O857" s="17"/>
      <c r="P857" s="17" t="s">
        <v>7368</v>
      </c>
      <c r="Q857" s="17"/>
      <c r="R857" s="25" t="str">
        <f>HYPERLINK("https://ictv.global/taxonomy/taxondetails?taxnode_id=202309868","Chivirus cv35")</f>
        <v>Chivirus cv35</v>
      </c>
      <c r="S857" s="18" t="s">
        <v>30</v>
      </c>
      <c r="T857" s="18" t="s">
        <v>7375</v>
      </c>
      <c r="U857" s="18"/>
      <c r="V857" s="18"/>
      <c r="W857" s="18" t="s">
        <v>7376</v>
      </c>
      <c r="X857" s="18" t="s">
        <v>42</v>
      </c>
      <c r="Y857" s="18" t="s">
        <v>36</v>
      </c>
      <c r="Z857" s="18" t="s">
        <v>697</v>
      </c>
      <c r="AA857" s="21" t="str">
        <f>HYPERLINK("https://www.ncbi.nlm.nih.gov/nuccore/KR296689","NCBI Nucleotide")</f>
        <v>NCBI Nucleotide</v>
      </c>
    </row>
    <row r="858" spans="1:27" x14ac:dyDescent="0.35">
      <c r="A858">
        <v>1001463</v>
      </c>
      <c r="B858">
        <v>857</v>
      </c>
      <c r="C858">
        <v>1</v>
      </c>
      <c r="D858" s="17" t="s">
        <v>155</v>
      </c>
      <c r="E858" s="17"/>
      <c r="F858" s="17" t="s">
        <v>156</v>
      </c>
      <c r="G858" s="17"/>
      <c r="H858" s="17" t="s">
        <v>692</v>
      </c>
      <c r="I858" s="17"/>
      <c r="J858" s="17" t="s">
        <v>693</v>
      </c>
      <c r="K858" s="17"/>
      <c r="L858" s="17"/>
      <c r="M858" s="17"/>
      <c r="N858" s="17" t="s">
        <v>7358</v>
      </c>
      <c r="O858" s="17"/>
      <c r="P858" s="17" t="s">
        <v>7368</v>
      </c>
      <c r="Q858" s="17"/>
      <c r="R858" s="25" t="str">
        <f>HYPERLINK("https://ictv.global/taxonomy/taxondetails?taxnode_id=202309866","Chivirus cv37")</f>
        <v>Chivirus cv37</v>
      </c>
      <c r="S858" s="18" t="s">
        <v>30</v>
      </c>
      <c r="T858" s="18" t="s">
        <v>7377</v>
      </c>
      <c r="U858" s="18"/>
      <c r="V858" s="18"/>
      <c r="W858" s="18" t="s">
        <v>7378</v>
      </c>
      <c r="X858" s="18" t="s">
        <v>42</v>
      </c>
      <c r="Y858" s="18" t="s">
        <v>36</v>
      </c>
      <c r="Z858" s="18" t="s">
        <v>697</v>
      </c>
      <c r="AA858" s="21" t="str">
        <f>HYPERLINK("https://www.ncbi.nlm.nih.gov/nuccore/KR296691","NCBI Nucleotide")</f>
        <v>NCBI Nucleotide</v>
      </c>
    </row>
    <row r="859" spans="1:27" x14ac:dyDescent="0.35">
      <c r="A859">
        <v>1001461</v>
      </c>
      <c r="B859">
        <v>858</v>
      </c>
      <c r="C859">
        <v>1</v>
      </c>
      <c r="D859" s="17" t="s">
        <v>155</v>
      </c>
      <c r="E859" s="17"/>
      <c r="F859" s="17" t="s">
        <v>156</v>
      </c>
      <c r="G859" s="17"/>
      <c r="H859" s="17" t="s">
        <v>692</v>
      </c>
      <c r="I859" s="17"/>
      <c r="J859" s="17" t="s">
        <v>693</v>
      </c>
      <c r="K859" s="17"/>
      <c r="L859" s="17"/>
      <c r="M859" s="17"/>
      <c r="N859" s="17" t="s">
        <v>7358</v>
      </c>
      <c r="O859" s="17"/>
      <c r="P859" s="17" t="s">
        <v>7368</v>
      </c>
      <c r="Q859" s="17"/>
      <c r="R859" s="25" t="str">
        <f>HYPERLINK("https://ictv.global/taxonomy/taxondetails?taxnode_id=202309871","Chivirus cv118970sal1")</f>
        <v>Chivirus cv118970sal1</v>
      </c>
      <c r="S859" s="18" t="s">
        <v>30</v>
      </c>
      <c r="T859" s="18" t="s">
        <v>7373</v>
      </c>
      <c r="U859" s="18"/>
      <c r="V859" s="18"/>
      <c r="W859" s="18" t="s">
        <v>7374</v>
      </c>
      <c r="X859" s="18" t="s">
        <v>42</v>
      </c>
      <c r="Y859" s="18" t="s">
        <v>36</v>
      </c>
      <c r="Z859" s="18" t="s">
        <v>697</v>
      </c>
      <c r="AA859" s="21" t="str">
        <f>HYPERLINK("https://www.ncbi.nlm.nih.gov/nuccore/KU927500","NCBI Nucleotide")</f>
        <v>NCBI Nucleotide</v>
      </c>
    </row>
    <row r="860" spans="1:27" x14ac:dyDescent="0.35">
      <c r="A860">
        <v>1001464</v>
      </c>
      <c r="B860">
        <v>859</v>
      </c>
      <c r="C860">
        <v>1</v>
      </c>
      <c r="D860" s="17" t="s">
        <v>155</v>
      </c>
      <c r="E860" s="17"/>
      <c r="F860" s="17" t="s">
        <v>156</v>
      </c>
      <c r="G860" s="17"/>
      <c r="H860" s="17" t="s">
        <v>692</v>
      </c>
      <c r="I860" s="17"/>
      <c r="J860" s="17" t="s">
        <v>693</v>
      </c>
      <c r="K860" s="17"/>
      <c r="L860" s="17"/>
      <c r="M860" s="17"/>
      <c r="N860" s="17" t="s">
        <v>7358</v>
      </c>
      <c r="O860" s="17"/>
      <c r="P860" s="17" t="s">
        <v>7368</v>
      </c>
      <c r="Q860" s="17"/>
      <c r="R860" s="25" t="str">
        <f>HYPERLINK("https://ictv.global/taxonomy/taxondetails?taxnode_id=202312987","Chivirus ER24")</f>
        <v>Chivirus ER24</v>
      </c>
      <c r="S860" s="18" t="s">
        <v>30</v>
      </c>
      <c r="T860" s="18" t="s">
        <v>7379</v>
      </c>
      <c r="U860" s="18"/>
      <c r="V860" s="18"/>
      <c r="W860" s="18" t="s">
        <v>7380</v>
      </c>
      <c r="X860" s="18" t="s">
        <v>42</v>
      </c>
      <c r="Y860" s="18" t="s">
        <v>36</v>
      </c>
      <c r="Z860" s="18" t="s">
        <v>697</v>
      </c>
      <c r="AA860" s="21" t="str">
        <f>HYPERLINK("https://www.ncbi.nlm.nih.gov/nuccore/MW355479","NCBI Nucleotide")</f>
        <v>NCBI Nucleotide</v>
      </c>
    </row>
    <row r="861" spans="1:27" x14ac:dyDescent="0.35">
      <c r="A861">
        <v>1001465</v>
      </c>
      <c r="B861">
        <v>860</v>
      </c>
      <c r="C861">
        <v>1</v>
      </c>
      <c r="D861" s="17" t="s">
        <v>155</v>
      </c>
      <c r="E861" s="17"/>
      <c r="F861" s="17" t="s">
        <v>156</v>
      </c>
      <c r="G861" s="17"/>
      <c r="H861" s="17" t="s">
        <v>692</v>
      </c>
      <c r="I861" s="17"/>
      <c r="J861" s="17" t="s">
        <v>693</v>
      </c>
      <c r="K861" s="17"/>
      <c r="L861" s="17"/>
      <c r="M861" s="17"/>
      <c r="N861" s="17" t="s">
        <v>7358</v>
      </c>
      <c r="O861" s="17"/>
      <c r="P861" s="17" t="s">
        <v>7368</v>
      </c>
      <c r="Q861" s="17"/>
      <c r="R861" s="25" t="str">
        <f>HYPERLINK("https://ictv.global/taxonomy/taxondetails?taxnode_id=202300925","Chivirus FSLSP030")</f>
        <v>Chivirus FSLSP030</v>
      </c>
      <c r="S861" s="18" t="s">
        <v>30</v>
      </c>
      <c r="T861" s="18" t="s">
        <v>7381</v>
      </c>
      <c r="U861" s="18"/>
      <c r="V861" s="18"/>
      <c r="W861" s="18" t="s">
        <v>7382</v>
      </c>
      <c r="X861" s="18" t="s">
        <v>42</v>
      </c>
      <c r="Y861" s="18" t="s">
        <v>36</v>
      </c>
      <c r="Z861" s="18" t="s">
        <v>697</v>
      </c>
      <c r="AA861" s="21" t="str">
        <f>HYPERLINK("https://www.ncbi.nlm.nih.gov/nuccore/KC139519","NCBI Nucleotide")</f>
        <v>NCBI Nucleotide</v>
      </c>
    </row>
    <row r="862" spans="1:27" x14ac:dyDescent="0.35">
      <c r="A862">
        <v>1001466</v>
      </c>
      <c r="B862">
        <v>861</v>
      </c>
      <c r="C862">
        <v>1</v>
      </c>
      <c r="D862" s="17" t="s">
        <v>155</v>
      </c>
      <c r="E862" s="17"/>
      <c r="F862" s="17" t="s">
        <v>156</v>
      </c>
      <c r="G862" s="17"/>
      <c r="H862" s="17" t="s">
        <v>692</v>
      </c>
      <c r="I862" s="17"/>
      <c r="J862" s="17" t="s">
        <v>693</v>
      </c>
      <c r="K862" s="17"/>
      <c r="L862" s="17"/>
      <c r="M862" s="17"/>
      <c r="N862" s="17" t="s">
        <v>7358</v>
      </c>
      <c r="O862" s="17"/>
      <c r="P862" s="17" t="s">
        <v>7368</v>
      </c>
      <c r="Q862" s="17"/>
      <c r="R862" s="25" t="str">
        <f>HYPERLINK("https://ictv.global/taxonomy/taxondetails?taxnode_id=202300926","Chivirus FSLSP088")</f>
        <v>Chivirus FSLSP088</v>
      </c>
      <c r="S862" s="18" t="s">
        <v>30</v>
      </c>
      <c r="T862" s="18" t="s">
        <v>7383</v>
      </c>
      <c r="U862" s="18"/>
      <c r="V862" s="18"/>
      <c r="W862" s="18" t="s">
        <v>7384</v>
      </c>
      <c r="X862" s="18" t="s">
        <v>42</v>
      </c>
      <c r="Y862" s="18" t="s">
        <v>36</v>
      </c>
      <c r="Z862" s="18" t="s">
        <v>697</v>
      </c>
      <c r="AA862" s="21" t="str">
        <f>HYPERLINK("https://www.ncbi.nlm.nih.gov/nuccore/KC139512","NCBI Nucleotide")</f>
        <v>NCBI Nucleotide</v>
      </c>
    </row>
    <row r="863" spans="1:27" x14ac:dyDescent="0.35">
      <c r="A863">
        <v>1001467</v>
      </c>
      <c r="B863">
        <v>862</v>
      </c>
      <c r="C863">
        <v>1</v>
      </c>
      <c r="D863" s="17" t="s">
        <v>155</v>
      </c>
      <c r="E863" s="17"/>
      <c r="F863" s="17" t="s">
        <v>156</v>
      </c>
      <c r="G863" s="17"/>
      <c r="H863" s="17" t="s">
        <v>692</v>
      </c>
      <c r="I863" s="17"/>
      <c r="J863" s="17" t="s">
        <v>693</v>
      </c>
      <c r="K863" s="17"/>
      <c r="L863" s="17"/>
      <c r="M863" s="17"/>
      <c r="N863" s="17" t="s">
        <v>7358</v>
      </c>
      <c r="O863" s="17"/>
      <c r="P863" s="17" t="s">
        <v>7368</v>
      </c>
      <c r="Q863" s="17"/>
      <c r="R863" s="25" t="str">
        <f>HYPERLINK("https://ictv.global/taxonomy/taxondetails?taxnode_id=202300927","Chivirus iEPS5")</f>
        <v>Chivirus iEPS5</v>
      </c>
      <c r="S863" s="18" t="s">
        <v>30</v>
      </c>
      <c r="T863" s="18" t="s">
        <v>7385</v>
      </c>
      <c r="U863" s="18"/>
      <c r="V863" s="18"/>
      <c r="W863" s="18" t="s">
        <v>7386</v>
      </c>
      <c r="X863" s="18" t="s">
        <v>42</v>
      </c>
      <c r="Y863" s="18" t="s">
        <v>36</v>
      </c>
      <c r="Z863" s="18" t="s">
        <v>697</v>
      </c>
      <c r="AA863" s="21" t="str">
        <f>HYPERLINK("https://www.ncbi.nlm.nih.gov/nuccore/KC677662","NCBI Nucleotide")</f>
        <v>NCBI Nucleotide</v>
      </c>
    </row>
    <row r="864" spans="1:27" x14ac:dyDescent="0.35">
      <c r="A864">
        <v>1001468</v>
      </c>
      <c r="B864">
        <v>863</v>
      </c>
      <c r="C864">
        <v>1</v>
      </c>
      <c r="D864" s="17" t="s">
        <v>155</v>
      </c>
      <c r="E864" s="17"/>
      <c r="F864" s="17" t="s">
        <v>156</v>
      </c>
      <c r="G864" s="17"/>
      <c r="H864" s="17" t="s">
        <v>692</v>
      </c>
      <c r="I864" s="17"/>
      <c r="J864" s="17" t="s">
        <v>693</v>
      </c>
      <c r="K864" s="17"/>
      <c r="L864" s="17"/>
      <c r="M864" s="17"/>
      <c r="N864" s="17" t="s">
        <v>7358</v>
      </c>
      <c r="O864" s="17"/>
      <c r="P864" s="17" t="s">
        <v>7368</v>
      </c>
      <c r="Q864" s="17"/>
      <c r="R864" s="25" t="str">
        <f>HYPERLINK("https://ictv.global/taxonomy/taxondetails?taxnode_id=202309869","Chivirus KFSSE1")</f>
        <v>Chivirus KFSSE1</v>
      </c>
      <c r="S864" s="18" t="s">
        <v>30</v>
      </c>
      <c r="T864" s="18" t="s">
        <v>7387</v>
      </c>
      <c r="U864" s="18"/>
      <c r="V864" s="18"/>
      <c r="W864" s="18" t="s">
        <v>7388</v>
      </c>
      <c r="X864" s="18" t="s">
        <v>42</v>
      </c>
      <c r="Y864" s="18" t="s">
        <v>36</v>
      </c>
      <c r="Z864" s="18" t="s">
        <v>697</v>
      </c>
      <c r="AA864" s="21" t="str">
        <f>HYPERLINK("https://www.ncbi.nlm.nih.gov/nuccore/MG280946","NCBI Nucleotide")</f>
        <v>NCBI Nucleotide</v>
      </c>
    </row>
    <row r="865" spans="1:27" x14ac:dyDescent="0.35">
      <c r="A865">
        <v>1001469</v>
      </c>
      <c r="B865">
        <v>864</v>
      </c>
      <c r="C865">
        <v>1</v>
      </c>
      <c r="D865" s="17" t="s">
        <v>155</v>
      </c>
      <c r="E865" s="17"/>
      <c r="F865" s="17" t="s">
        <v>156</v>
      </c>
      <c r="G865" s="17"/>
      <c r="H865" s="17" t="s">
        <v>692</v>
      </c>
      <c r="I865" s="17"/>
      <c r="J865" s="17" t="s">
        <v>693</v>
      </c>
      <c r="K865" s="17"/>
      <c r="L865" s="17"/>
      <c r="M865" s="17"/>
      <c r="N865" s="17" t="s">
        <v>7358</v>
      </c>
      <c r="O865" s="17"/>
      <c r="P865" s="17" t="s">
        <v>7368</v>
      </c>
      <c r="Q865" s="17"/>
      <c r="R865" s="25" t="str">
        <f>HYPERLINK("https://ictv.global/taxonomy/taxondetails?taxnode_id=202312986","Chivirus KpYy141")</f>
        <v>Chivirus KpYy141</v>
      </c>
      <c r="S865" s="18" t="s">
        <v>30</v>
      </c>
      <c r="T865" s="18" t="s">
        <v>7389</v>
      </c>
      <c r="U865" s="18"/>
      <c r="V865" s="18"/>
      <c r="W865" s="18" t="s">
        <v>7390</v>
      </c>
      <c r="X865" s="18" t="s">
        <v>42</v>
      </c>
      <c r="Y865" s="18" t="s">
        <v>36</v>
      </c>
      <c r="Z865" s="18" t="s">
        <v>697</v>
      </c>
      <c r="AA865" s="21" t="str">
        <f>HYPERLINK("https://www.ncbi.nlm.nih.gov/nuccore/MN871450","NCBI Nucleotide")</f>
        <v>NCBI Nucleotide</v>
      </c>
    </row>
    <row r="866" spans="1:27" x14ac:dyDescent="0.35">
      <c r="A866">
        <v>1001470</v>
      </c>
      <c r="B866">
        <v>865</v>
      </c>
      <c r="C866">
        <v>1</v>
      </c>
      <c r="D866" s="17" t="s">
        <v>155</v>
      </c>
      <c r="E866" s="17"/>
      <c r="F866" s="17" t="s">
        <v>156</v>
      </c>
      <c r="G866" s="17"/>
      <c r="H866" s="17" t="s">
        <v>692</v>
      </c>
      <c r="I866" s="17"/>
      <c r="J866" s="17" t="s">
        <v>693</v>
      </c>
      <c r="K866" s="17"/>
      <c r="L866" s="17"/>
      <c r="M866" s="17"/>
      <c r="N866" s="17" t="s">
        <v>7358</v>
      </c>
      <c r="O866" s="17"/>
      <c r="P866" s="17" t="s">
        <v>7368</v>
      </c>
      <c r="Q866" s="17"/>
      <c r="R866" s="25" t="str">
        <f>HYPERLINK("https://ictv.global/taxonomy/taxondetails?taxnode_id=202312988","Chivirus SeWh1")</f>
        <v>Chivirus SeWh1</v>
      </c>
      <c r="S866" s="18" t="s">
        <v>30</v>
      </c>
      <c r="T866" s="18" t="s">
        <v>7391</v>
      </c>
      <c r="U866" s="18"/>
      <c r="V866" s="18"/>
      <c r="W866" s="18" t="s">
        <v>7392</v>
      </c>
      <c r="X866" s="18" t="s">
        <v>42</v>
      </c>
      <c r="Y866" s="18" t="s">
        <v>36</v>
      </c>
      <c r="Z866" s="18" t="s">
        <v>697</v>
      </c>
      <c r="AA866" s="21" t="str">
        <f>HYPERLINK("https://www.ncbi.nlm.nih.gov/nuccore/MH791395","NCBI Nucleotide")</f>
        <v>NCBI Nucleotide</v>
      </c>
    </row>
    <row r="867" spans="1:27" x14ac:dyDescent="0.35">
      <c r="A867">
        <v>1001471</v>
      </c>
      <c r="B867">
        <v>866</v>
      </c>
      <c r="C867">
        <v>1</v>
      </c>
      <c r="D867" s="17" t="s">
        <v>155</v>
      </c>
      <c r="E867" s="17"/>
      <c r="F867" s="17" t="s">
        <v>156</v>
      </c>
      <c r="G867" s="17"/>
      <c r="H867" s="17" t="s">
        <v>692</v>
      </c>
      <c r="I867" s="17"/>
      <c r="J867" s="17" t="s">
        <v>693</v>
      </c>
      <c r="K867" s="17"/>
      <c r="L867" s="17"/>
      <c r="M867" s="17"/>
      <c r="N867" s="17" t="s">
        <v>7358</v>
      </c>
      <c r="O867" s="17"/>
      <c r="P867" s="17" t="s">
        <v>7368</v>
      </c>
      <c r="Q867" s="17"/>
      <c r="R867" s="25" t="str">
        <f>HYPERLINK("https://ictv.global/taxonomy/taxondetails?taxnode_id=202309873","Chivirus siskin")</f>
        <v>Chivirus siskin</v>
      </c>
      <c r="S867" s="18" t="s">
        <v>30</v>
      </c>
      <c r="T867" s="18" t="s">
        <v>7393</v>
      </c>
      <c r="U867" s="18"/>
      <c r="V867" s="18"/>
      <c r="W867" s="18" t="s">
        <v>7394</v>
      </c>
      <c r="X867" s="18" t="s">
        <v>42</v>
      </c>
      <c r="Y867" s="18" t="s">
        <v>36</v>
      </c>
      <c r="Z867" s="18" t="s">
        <v>697</v>
      </c>
      <c r="AA867" s="21" t="str">
        <f>HYPERLINK("https://www.ncbi.nlm.nih.gov/nuccore/MH631453","NCBI Nucleotide")</f>
        <v>NCBI Nucleotide</v>
      </c>
    </row>
    <row r="868" spans="1:27" x14ac:dyDescent="0.35">
      <c r="A868">
        <v>1001472</v>
      </c>
      <c r="B868">
        <v>867</v>
      </c>
      <c r="C868">
        <v>1</v>
      </c>
      <c r="D868" s="17" t="s">
        <v>155</v>
      </c>
      <c r="E868" s="17"/>
      <c r="F868" s="17" t="s">
        <v>156</v>
      </c>
      <c r="G868" s="17"/>
      <c r="H868" s="17" t="s">
        <v>692</v>
      </c>
      <c r="I868" s="17"/>
      <c r="J868" s="17" t="s">
        <v>693</v>
      </c>
      <c r="K868" s="17"/>
      <c r="L868" s="17"/>
      <c r="M868" s="17"/>
      <c r="N868" s="17" t="s">
        <v>7358</v>
      </c>
      <c r="O868" s="17"/>
      <c r="P868" s="17" t="s">
        <v>7368</v>
      </c>
      <c r="Q868" s="17"/>
      <c r="R868" s="25" t="str">
        <f>HYPERLINK("https://ictv.global/taxonomy/taxondetails?taxnode_id=202300928","Chivirus SPN19")</f>
        <v>Chivirus SPN19</v>
      </c>
      <c r="S868" s="18" t="s">
        <v>30</v>
      </c>
      <c r="T868" s="18" t="s">
        <v>7395</v>
      </c>
      <c r="U868" s="18"/>
      <c r="V868" s="18"/>
      <c r="W868" s="18" t="s">
        <v>7396</v>
      </c>
      <c r="X868" s="18" t="s">
        <v>42</v>
      </c>
      <c r="Y868" s="18" t="s">
        <v>36</v>
      </c>
      <c r="Z868" s="18" t="s">
        <v>697</v>
      </c>
      <c r="AA868" s="21" t="str">
        <f>HYPERLINK("https://www.ncbi.nlm.nih.gov/nuccore/JN871591","NCBI Nucleotide")</f>
        <v>NCBI Nucleotide</v>
      </c>
    </row>
    <row r="869" spans="1:27" x14ac:dyDescent="0.35">
      <c r="A869">
        <v>1001473</v>
      </c>
      <c r="B869">
        <v>868</v>
      </c>
      <c r="C869">
        <v>1</v>
      </c>
      <c r="D869" s="17" t="s">
        <v>155</v>
      </c>
      <c r="E869" s="17"/>
      <c r="F869" s="17" t="s">
        <v>156</v>
      </c>
      <c r="G869" s="17"/>
      <c r="H869" s="17" t="s">
        <v>692</v>
      </c>
      <c r="I869" s="17"/>
      <c r="J869" s="17" t="s">
        <v>693</v>
      </c>
      <c r="K869" s="17"/>
      <c r="L869" s="17"/>
      <c r="M869" s="17"/>
      <c r="N869" s="17" t="s">
        <v>7358</v>
      </c>
      <c r="O869" s="17"/>
      <c r="P869" s="17" t="s">
        <v>7368</v>
      </c>
      <c r="Q869" s="17"/>
      <c r="R869" s="25" t="str">
        <f>HYPERLINK("https://ictv.global/taxonomy/taxondetails?taxnode_id=202309867","Chivirus ST101")</f>
        <v>Chivirus ST101</v>
      </c>
      <c r="S869" s="18" t="s">
        <v>30</v>
      </c>
      <c r="T869" s="18" t="s">
        <v>7397</v>
      </c>
      <c r="U869" s="18"/>
      <c r="V869" s="18"/>
      <c r="W869" s="18" t="s">
        <v>7398</v>
      </c>
      <c r="X869" s="18" t="s">
        <v>42</v>
      </c>
      <c r="Y869" s="18" t="s">
        <v>36</v>
      </c>
      <c r="Z869" s="18" t="s">
        <v>697</v>
      </c>
      <c r="AA869" s="21" t="str">
        <f>HYPERLINK("https://www.ncbi.nlm.nih.gov/nuccore/KX765862","NCBI Nucleotide")</f>
        <v>NCBI Nucleotide</v>
      </c>
    </row>
    <row r="870" spans="1:27" x14ac:dyDescent="0.35">
      <c r="A870">
        <v>1001474</v>
      </c>
      <c r="B870">
        <v>869</v>
      </c>
      <c r="C870">
        <v>1</v>
      </c>
      <c r="D870" s="17" t="s">
        <v>155</v>
      </c>
      <c r="E870" s="17"/>
      <c r="F870" s="17" t="s">
        <v>156</v>
      </c>
      <c r="G870" s="17"/>
      <c r="H870" s="17" t="s">
        <v>692</v>
      </c>
      <c r="I870" s="17"/>
      <c r="J870" s="17" t="s">
        <v>693</v>
      </c>
      <c r="K870" s="17"/>
      <c r="L870" s="17"/>
      <c r="M870" s="17"/>
      <c r="N870" s="17" t="s">
        <v>7358</v>
      </c>
      <c r="O870" s="17"/>
      <c r="P870" s="17" t="s">
        <v>7368</v>
      </c>
      <c r="Q870" s="17"/>
      <c r="R870" s="25" t="str">
        <f>HYPERLINK("https://ictv.global/taxonomy/taxondetails?taxnode_id=202309874","Chivirus YSD1")</f>
        <v>Chivirus YSD1</v>
      </c>
      <c r="S870" s="18" t="s">
        <v>30</v>
      </c>
      <c r="T870" s="18" t="s">
        <v>7399</v>
      </c>
      <c r="U870" s="18"/>
      <c r="V870" s="18"/>
      <c r="W870" s="18" t="s">
        <v>7400</v>
      </c>
      <c r="X870" s="18" t="s">
        <v>42</v>
      </c>
      <c r="Y870" s="18" t="s">
        <v>36</v>
      </c>
      <c r="Z870" s="18" t="s">
        <v>697</v>
      </c>
      <c r="AA870" s="21" t="str">
        <f>HYPERLINK("https://www.ncbi.nlm.nih.gov/nuccore/LR026998","NCBI Nucleotide")</f>
        <v>NCBI Nucleotide</v>
      </c>
    </row>
    <row r="871" spans="1:27" x14ac:dyDescent="0.35">
      <c r="A871">
        <v>1001475</v>
      </c>
      <c r="B871">
        <v>870</v>
      </c>
      <c r="C871">
        <v>1</v>
      </c>
      <c r="D871" s="17" t="s">
        <v>155</v>
      </c>
      <c r="E871" s="17"/>
      <c r="F871" s="17" t="s">
        <v>156</v>
      </c>
      <c r="G871" s="17"/>
      <c r="H871" s="17" t="s">
        <v>692</v>
      </c>
      <c r="I871" s="17"/>
      <c r="J871" s="17" t="s">
        <v>693</v>
      </c>
      <c r="K871" s="17"/>
      <c r="L871" s="17"/>
      <c r="M871" s="17"/>
      <c r="N871" s="17" t="s">
        <v>7358</v>
      </c>
      <c r="O871" s="17"/>
      <c r="P871" s="17" t="s">
        <v>7368</v>
      </c>
      <c r="Q871" s="17"/>
      <c r="R871" s="25" t="str">
        <f>HYPERLINK("https://ictv.global/taxonomy/taxondetails?taxnode_id=202309870","Salmonella virus BP12C")</f>
        <v>Salmonella virus BP12C</v>
      </c>
      <c r="S871" s="18" t="s">
        <v>30</v>
      </c>
      <c r="T871" s="18" t="s">
        <v>7401</v>
      </c>
      <c r="U871" s="18"/>
      <c r="V871" s="18"/>
      <c r="W871" s="18" t="s">
        <v>7402</v>
      </c>
      <c r="X871" s="18" t="s">
        <v>42</v>
      </c>
      <c r="Y871" s="18" t="s">
        <v>36</v>
      </c>
      <c r="Z871" s="18" t="s">
        <v>697</v>
      </c>
      <c r="AA871" s="21" t="str">
        <f>HYPERLINK("https://www.ncbi.nlm.nih.gov/nuccore/KM366098","NCBI Nucleotide")</f>
        <v>NCBI Nucleotide</v>
      </c>
    </row>
    <row r="872" spans="1:27" x14ac:dyDescent="0.35">
      <c r="A872">
        <v>1001476</v>
      </c>
      <c r="B872">
        <v>871</v>
      </c>
      <c r="C872">
        <v>1</v>
      </c>
      <c r="D872" s="17" t="s">
        <v>155</v>
      </c>
      <c r="E872" s="17"/>
      <c r="F872" s="17" t="s">
        <v>156</v>
      </c>
      <c r="G872" s="17"/>
      <c r="H872" s="17" t="s">
        <v>692</v>
      </c>
      <c r="I872" s="17"/>
      <c r="J872" s="17" t="s">
        <v>693</v>
      </c>
      <c r="K872" s="17"/>
      <c r="L872" s="17"/>
      <c r="M872" s="17"/>
      <c r="N872" s="17" t="s">
        <v>7358</v>
      </c>
      <c r="O872" s="17"/>
      <c r="P872" s="17" t="s">
        <v>7403</v>
      </c>
      <c r="Q872" s="17"/>
      <c r="R872" s="25" t="str">
        <f>HYPERLINK("https://ictv.global/taxonomy/taxondetails?taxnode_id=202313023","Dunedinvirus JS26")</f>
        <v>Dunedinvirus JS26</v>
      </c>
      <c r="S872" s="18" t="s">
        <v>30</v>
      </c>
      <c r="T872" s="18" t="s">
        <v>7404</v>
      </c>
      <c r="U872" s="18"/>
      <c r="V872" s="18"/>
      <c r="W872" s="18" t="s">
        <v>7405</v>
      </c>
      <c r="X872" s="18" t="s">
        <v>42</v>
      </c>
      <c r="Y872" s="18" t="s">
        <v>36</v>
      </c>
      <c r="Z872" s="18" t="s">
        <v>697</v>
      </c>
      <c r="AA872" s="21" t="str">
        <f>HYPERLINK("https://www.ncbi.nlm.nih.gov/nuccore/MN505213","NCBI Nucleotide")</f>
        <v>NCBI Nucleotide</v>
      </c>
    </row>
    <row r="873" spans="1:27" x14ac:dyDescent="0.35">
      <c r="A873">
        <v>1001477</v>
      </c>
      <c r="B873">
        <v>872</v>
      </c>
      <c r="C873">
        <v>1</v>
      </c>
      <c r="D873" s="17" t="s">
        <v>155</v>
      </c>
      <c r="E873" s="17"/>
      <c r="F873" s="17" t="s">
        <v>156</v>
      </c>
      <c r="G873" s="17"/>
      <c r="H873" s="17" t="s">
        <v>692</v>
      </c>
      <c r="I873" s="17"/>
      <c r="J873" s="17" t="s">
        <v>693</v>
      </c>
      <c r="K873" s="17"/>
      <c r="L873" s="17"/>
      <c r="M873" s="17"/>
      <c r="N873" s="17" t="s">
        <v>7358</v>
      </c>
      <c r="O873" s="17"/>
      <c r="P873" s="17" t="s">
        <v>7406</v>
      </c>
      <c r="Q873" s="17"/>
      <c r="R873" s="25" t="str">
        <f>HYPERLINK("https://ictv.global/taxonomy/taxondetails?taxnode_id=202313033","Enchivirus Enc34")</f>
        <v>Enchivirus Enc34</v>
      </c>
      <c r="S873" s="18" t="s">
        <v>30</v>
      </c>
      <c r="T873" s="18" t="s">
        <v>7407</v>
      </c>
      <c r="U873" s="18"/>
      <c r="V873" s="18"/>
      <c r="W873" s="18" t="s">
        <v>7408</v>
      </c>
      <c r="X873" s="18" t="s">
        <v>42</v>
      </c>
      <c r="Y873" s="18" t="s">
        <v>36</v>
      </c>
      <c r="Z873" s="18" t="s">
        <v>697</v>
      </c>
      <c r="AA873" s="21" t="str">
        <f>HYPERLINK("https://www.ncbi.nlm.nih.gov/nuccore/JQ340774","NCBI Nucleotide")</f>
        <v>NCBI Nucleotide</v>
      </c>
    </row>
    <row r="874" spans="1:27" x14ac:dyDescent="0.35">
      <c r="A874">
        <v>1001478</v>
      </c>
      <c r="B874">
        <v>873</v>
      </c>
      <c r="C874">
        <v>1</v>
      </c>
      <c r="D874" s="17" t="s">
        <v>155</v>
      </c>
      <c r="E874" s="17"/>
      <c r="F874" s="17" t="s">
        <v>156</v>
      </c>
      <c r="G874" s="17"/>
      <c r="H874" s="17" t="s">
        <v>692</v>
      </c>
      <c r="I874" s="17"/>
      <c r="J874" s="17" t="s">
        <v>693</v>
      </c>
      <c r="K874" s="17"/>
      <c r="L874" s="17"/>
      <c r="M874" s="17"/>
      <c r="N874" s="17" t="s">
        <v>7358</v>
      </c>
      <c r="O874" s="17"/>
      <c r="P874" s="17" t="s">
        <v>7409</v>
      </c>
      <c r="Q874" s="17"/>
      <c r="R874" s="25" t="str">
        <f>HYPERLINK("https://ictv.global/taxonomy/taxondetails?taxnode_id=202313027","Fengtaivirus Axp2")</f>
        <v>Fengtaivirus Axp2</v>
      </c>
      <c r="S874" s="18" t="s">
        <v>30</v>
      </c>
      <c r="T874" s="18" t="s">
        <v>7410</v>
      </c>
      <c r="U874" s="18"/>
      <c r="V874" s="18"/>
      <c r="W874" s="18" t="s">
        <v>7411</v>
      </c>
      <c r="X874" s="18" t="s">
        <v>42</v>
      </c>
      <c r="Y874" s="18" t="s">
        <v>36</v>
      </c>
      <c r="Z874" s="18" t="s">
        <v>697</v>
      </c>
      <c r="AA874" s="21" t="str">
        <f>HYPERLINK("https://www.ncbi.nlm.nih.gov/nuccore/KT321316","NCBI Nucleotide")</f>
        <v>NCBI Nucleotide</v>
      </c>
    </row>
    <row r="875" spans="1:27" x14ac:dyDescent="0.35">
      <c r="A875">
        <v>1001479</v>
      </c>
      <c r="B875">
        <v>874</v>
      </c>
      <c r="C875">
        <v>1</v>
      </c>
      <c r="D875" s="17" t="s">
        <v>155</v>
      </c>
      <c r="E875" s="17"/>
      <c r="F875" s="17" t="s">
        <v>156</v>
      </c>
      <c r="G875" s="17"/>
      <c r="H875" s="17" t="s">
        <v>692</v>
      </c>
      <c r="I875" s="17"/>
      <c r="J875" s="17" t="s">
        <v>693</v>
      </c>
      <c r="K875" s="17"/>
      <c r="L875" s="17"/>
      <c r="M875" s="17"/>
      <c r="N875" s="17" t="s">
        <v>7358</v>
      </c>
      <c r="O875" s="17"/>
      <c r="P875" s="17" t="s">
        <v>7412</v>
      </c>
      <c r="Q875" s="17"/>
      <c r="R875" s="25" t="str">
        <f>HYPERLINK("https://ictv.global/taxonomy/taxondetails?taxnode_id=202312996","Gediminasvirus AchV4")</f>
        <v>Gediminasvirus AchV4</v>
      </c>
      <c r="S875" s="18" t="s">
        <v>30</v>
      </c>
      <c r="T875" s="18" t="s">
        <v>7413</v>
      </c>
      <c r="U875" s="18"/>
      <c r="V875" s="18"/>
      <c r="W875" s="18" t="s">
        <v>7414</v>
      </c>
      <c r="X875" s="18" t="s">
        <v>42</v>
      </c>
      <c r="Y875" s="18" t="s">
        <v>36</v>
      </c>
      <c r="Z875" s="18" t="s">
        <v>697</v>
      </c>
      <c r="AA875" s="21" t="str">
        <f>HYPERLINK("https://www.ncbi.nlm.nih.gov/nuccore/MW269554","NCBI Nucleotide")</f>
        <v>NCBI Nucleotide</v>
      </c>
    </row>
    <row r="876" spans="1:27" x14ac:dyDescent="0.35">
      <c r="A876">
        <v>1001480</v>
      </c>
      <c r="B876">
        <v>875</v>
      </c>
      <c r="C876">
        <v>1</v>
      </c>
      <c r="D876" s="17" t="s">
        <v>155</v>
      </c>
      <c r="E876" s="17"/>
      <c r="F876" s="17" t="s">
        <v>156</v>
      </c>
      <c r="G876" s="17"/>
      <c r="H876" s="17" t="s">
        <v>692</v>
      </c>
      <c r="I876" s="17"/>
      <c r="J876" s="17" t="s">
        <v>693</v>
      </c>
      <c r="K876" s="17"/>
      <c r="L876" s="17"/>
      <c r="M876" s="17"/>
      <c r="N876" s="17" t="s">
        <v>7358</v>
      </c>
      <c r="O876" s="17"/>
      <c r="P876" s="17" t="s">
        <v>7415</v>
      </c>
      <c r="Q876" s="17"/>
      <c r="R876" s="25" t="str">
        <f>HYPERLINK("https://ictv.global/taxonomy/taxondetails?taxnode_id=202313025","Gwanakrovirus SNUABM08")</f>
        <v>Gwanakrovirus SNUABM08</v>
      </c>
      <c r="S876" s="18" t="s">
        <v>30</v>
      </c>
      <c r="T876" s="18" t="s">
        <v>7416</v>
      </c>
      <c r="U876" s="18"/>
      <c r="V876" s="18"/>
      <c r="W876" s="18" t="s">
        <v>7417</v>
      </c>
      <c r="X876" s="18" t="s">
        <v>42</v>
      </c>
      <c r="Y876" s="18" t="s">
        <v>36</v>
      </c>
      <c r="Z876" s="18" t="s">
        <v>697</v>
      </c>
      <c r="AA876" s="21" t="str">
        <f>HYPERLINK("https://www.ncbi.nlm.nih.gov/nuccore/MN184886","NCBI Nucleotide")</f>
        <v>NCBI Nucleotide</v>
      </c>
    </row>
    <row r="877" spans="1:27" x14ac:dyDescent="0.35">
      <c r="A877">
        <v>1001481</v>
      </c>
      <c r="B877">
        <v>876</v>
      </c>
      <c r="C877">
        <v>1</v>
      </c>
      <c r="D877" s="17" t="s">
        <v>155</v>
      </c>
      <c r="E877" s="17"/>
      <c r="F877" s="17" t="s">
        <v>156</v>
      </c>
      <c r="G877" s="17"/>
      <c r="H877" s="17" t="s">
        <v>692</v>
      </c>
      <c r="I877" s="17"/>
      <c r="J877" s="17" t="s">
        <v>693</v>
      </c>
      <c r="K877" s="17"/>
      <c r="L877" s="17"/>
      <c r="M877" s="17"/>
      <c r="N877" s="17" t="s">
        <v>7358</v>
      </c>
      <c r="O877" s="17"/>
      <c r="P877" s="17" t="s">
        <v>7418</v>
      </c>
      <c r="Q877" s="17"/>
      <c r="R877" s="25" t="str">
        <f>HYPERLINK("https://ictv.global/taxonomy/taxondetails?taxnode_id=202313015","Jacunavirus JC01")</f>
        <v>Jacunavirus JC01</v>
      </c>
      <c r="S877" s="18" t="s">
        <v>30</v>
      </c>
      <c r="T877" s="18" t="s">
        <v>7419</v>
      </c>
      <c r="U877" s="18"/>
      <c r="V877" s="18"/>
      <c r="W877" s="18" t="s">
        <v>7420</v>
      </c>
      <c r="X877" s="18" t="s">
        <v>42</v>
      </c>
      <c r="Y877" s="18" t="s">
        <v>36</v>
      </c>
      <c r="Z877" s="18" t="s">
        <v>697</v>
      </c>
      <c r="AA877" s="21" t="str">
        <f>HYPERLINK("https://www.ncbi.nlm.nih.gov/nuccore/MT330372","NCBI Nucleotide")</f>
        <v>NCBI Nucleotide</v>
      </c>
    </row>
    <row r="878" spans="1:27" x14ac:dyDescent="0.35">
      <c r="A878">
        <v>1001482</v>
      </c>
      <c r="B878">
        <v>877</v>
      </c>
      <c r="C878">
        <v>1</v>
      </c>
      <c r="D878" s="17" t="s">
        <v>155</v>
      </c>
      <c r="E878" s="17"/>
      <c r="F878" s="17" t="s">
        <v>156</v>
      </c>
      <c r="G878" s="17"/>
      <c r="H878" s="17" t="s">
        <v>692</v>
      </c>
      <c r="I878" s="17"/>
      <c r="J878" s="17" t="s">
        <v>693</v>
      </c>
      <c r="K878" s="17"/>
      <c r="L878" s="17"/>
      <c r="M878" s="17"/>
      <c r="N878" s="17" t="s">
        <v>7358</v>
      </c>
      <c r="O878" s="17"/>
      <c r="P878" s="17" t="s">
        <v>7421</v>
      </c>
      <c r="Q878" s="17"/>
      <c r="R878" s="25" t="str">
        <f>HYPERLINK("https://ictv.global/taxonomy/taxondetails?taxnode_id=202313005","Kokobelvirus kokobel1")</f>
        <v>Kokobelvirus kokobel1</v>
      </c>
      <c r="S878" s="18" t="s">
        <v>30</v>
      </c>
      <c r="T878" s="18" t="s">
        <v>7422</v>
      </c>
      <c r="U878" s="18"/>
      <c r="V878" s="18"/>
      <c r="W878" s="18" t="s">
        <v>7423</v>
      </c>
      <c r="X878" s="18" t="s">
        <v>42</v>
      </c>
      <c r="Y878" s="18" t="s">
        <v>36</v>
      </c>
      <c r="Z878" s="18" t="s">
        <v>697</v>
      </c>
      <c r="AA878" s="21" t="str">
        <f>HYPERLINK("https://www.ncbi.nlm.nih.gov/nuccore/MW145139","NCBI Nucleotide")</f>
        <v>NCBI Nucleotide</v>
      </c>
    </row>
    <row r="879" spans="1:27" x14ac:dyDescent="0.35">
      <c r="A879">
        <v>1001483</v>
      </c>
      <c r="B879">
        <v>878</v>
      </c>
      <c r="C879">
        <v>1</v>
      </c>
      <c r="D879" s="17" t="s">
        <v>155</v>
      </c>
      <c r="E879" s="17"/>
      <c r="F879" s="17" t="s">
        <v>156</v>
      </c>
      <c r="G879" s="17"/>
      <c r="H879" s="17" t="s">
        <v>692</v>
      </c>
      <c r="I879" s="17"/>
      <c r="J879" s="17" t="s">
        <v>693</v>
      </c>
      <c r="K879" s="17"/>
      <c r="L879" s="17"/>
      <c r="M879" s="17"/>
      <c r="N879" s="17" t="s">
        <v>7358</v>
      </c>
      <c r="O879" s="17"/>
      <c r="P879" s="17" t="s">
        <v>7424</v>
      </c>
      <c r="Q879" s="17"/>
      <c r="R879" s="25" t="str">
        <f>HYPERLINK("https://ictv.global/taxonomy/taxondetails?taxnode_id=202313009","Lavrentieva E21")</f>
        <v>Lavrentieva E21</v>
      </c>
      <c r="S879" s="18" t="s">
        <v>30</v>
      </c>
      <c r="T879" s="18" t="s">
        <v>7425</v>
      </c>
      <c r="U879" s="18"/>
      <c r="V879" s="18"/>
      <c r="W879" s="18" t="s">
        <v>7426</v>
      </c>
      <c r="X879" s="18" t="s">
        <v>42</v>
      </c>
      <c r="Y879" s="18" t="s">
        <v>36</v>
      </c>
      <c r="Z879" s="18" t="s">
        <v>697</v>
      </c>
      <c r="AA879" s="21" t="str">
        <f>HYPERLINK("https://www.ncbi.nlm.nih.gov/nuccore/MN604053","NCBI Nucleotide")</f>
        <v>NCBI Nucleotide</v>
      </c>
    </row>
    <row r="880" spans="1:27" x14ac:dyDescent="0.35">
      <c r="A880">
        <v>1001484</v>
      </c>
      <c r="B880">
        <v>879</v>
      </c>
      <c r="C880">
        <v>1</v>
      </c>
      <c r="D880" s="17" t="s">
        <v>155</v>
      </c>
      <c r="E880" s="17"/>
      <c r="F880" s="17" t="s">
        <v>156</v>
      </c>
      <c r="G880" s="17"/>
      <c r="H880" s="17" t="s">
        <v>692</v>
      </c>
      <c r="I880" s="17"/>
      <c r="J880" s="17" t="s">
        <v>693</v>
      </c>
      <c r="K880" s="17"/>
      <c r="L880" s="17"/>
      <c r="M880" s="17"/>
      <c r="N880" s="17" t="s">
        <v>7358</v>
      </c>
      <c r="O880" s="17"/>
      <c r="P880" s="17" t="s">
        <v>7424</v>
      </c>
      <c r="Q880" s="17"/>
      <c r="R880" s="25" t="str">
        <f>HYPERLINK("https://ictv.global/taxonomy/taxondetails?taxnode_id=202313007","Lavrentieva PM87")</f>
        <v>Lavrentieva PM87</v>
      </c>
      <c r="S880" s="18" t="s">
        <v>30</v>
      </c>
      <c r="T880" s="18" t="s">
        <v>7427</v>
      </c>
      <c r="U880" s="18"/>
      <c r="V880" s="18"/>
      <c r="W880" s="18" t="s">
        <v>7428</v>
      </c>
      <c r="X880" s="18" t="s">
        <v>42</v>
      </c>
      <c r="Y880" s="18" t="s">
        <v>36</v>
      </c>
      <c r="Z880" s="18" t="s">
        <v>697</v>
      </c>
      <c r="AA880" s="21" t="str">
        <f>HYPERLINK("https://www.ncbi.nlm.nih.gov/nuccore/MG030346","NCBI Nucleotide")</f>
        <v>NCBI Nucleotide</v>
      </c>
    </row>
    <row r="881" spans="1:27" x14ac:dyDescent="0.35">
      <c r="A881">
        <v>1001485</v>
      </c>
      <c r="B881">
        <v>880</v>
      </c>
      <c r="C881">
        <v>1</v>
      </c>
      <c r="D881" s="17" t="s">
        <v>155</v>
      </c>
      <c r="E881" s="17"/>
      <c r="F881" s="17" t="s">
        <v>156</v>
      </c>
      <c r="G881" s="17"/>
      <c r="H881" s="17" t="s">
        <v>692</v>
      </c>
      <c r="I881" s="17"/>
      <c r="J881" s="17" t="s">
        <v>693</v>
      </c>
      <c r="K881" s="17"/>
      <c r="L881" s="17"/>
      <c r="M881" s="17"/>
      <c r="N881" s="17" t="s">
        <v>7358</v>
      </c>
      <c r="O881" s="17"/>
      <c r="P881" s="17" t="s">
        <v>7424</v>
      </c>
      <c r="Q881" s="17"/>
      <c r="R881" s="25" t="str">
        <f>HYPERLINK("https://ictv.global/taxonomy/taxondetails?taxnode_id=202313008","Lavrentieva pPM01")</f>
        <v>Lavrentieva pPM01</v>
      </c>
      <c r="S881" s="18" t="s">
        <v>30</v>
      </c>
      <c r="T881" s="18" t="s">
        <v>7429</v>
      </c>
      <c r="U881" s="18"/>
      <c r="V881" s="18"/>
      <c r="W881" s="18" t="s">
        <v>7430</v>
      </c>
      <c r="X881" s="18" t="s">
        <v>42</v>
      </c>
      <c r="Y881" s="18" t="s">
        <v>36</v>
      </c>
      <c r="Z881" s="18" t="s">
        <v>697</v>
      </c>
      <c r="AA881" s="21" t="str">
        <f>HYPERLINK("https://www.ncbi.nlm.nih.gov/nuccore/KP063118","NCBI Nucleotide")</f>
        <v>NCBI Nucleotide</v>
      </c>
    </row>
    <row r="882" spans="1:27" x14ac:dyDescent="0.35">
      <c r="A882">
        <v>1001486</v>
      </c>
      <c r="B882">
        <v>881</v>
      </c>
      <c r="C882">
        <v>1</v>
      </c>
      <c r="D882" s="17" t="s">
        <v>155</v>
      </c>
      <c r="E882" s="17"/>
      <c r="F882" s="17" t="s">
        <v>156</v>
      </c>
      <c r="G882" s="17"/>
      <c r="H882" s="17" t="s">
        <v>692</v>
      </c>
      <c r="I882" s="17"/>
      <c r="J882" s="17" t="s">
        <v>693</v>
      </c>
      <c r="K882" s="17"/>
      <c r="L882" s="17"/>
      <c r="M882" s="17"/>
      <c r="N882" s="17" t="s">
        <v>7358</v>
      </c>
      <c r="O882" s="17"/>
      <c r="P882" s="17" t="s">
        <v>7431</v>
      </c>
      <c r="Q882" s="17"/>
      <c r="R882" s="25" t="str">
        <f>HYPERLINK("https://ictv.global/taxonomy/taxondetails?taxnode_id=202313029","Maxdohrnvirus SS2019XI")</f>
        <v>Maxdohrnvirus SS2019XI</v>
      </c>
      <c r="S882" s="18" t="s">
        <v>30</v>
      </c>
      <c r="T882" s="18" t="s">
        <v>7432</v>
      </c>
      <c r="U882" s="18"/>
      <c r="V882" s="18"/>
      <c r="W882" s="18" t="s">
        <v>7433</v>
      </c>
      <c r="X882" s="18" t="s">
        <v>42</v>
      </c>
      <c r="Y882" s="18" t="s">
        <v>36</v>
      </c>
      <c r="Z882" s="18" t="s">
        <v>697</v>
      </c>
      <c r="AA882" s="21" t="str">
        <f>HYPERLINK("https://www.ncbi.nlm.nih.gov/nuccore/MN536026","NCBI Nucleotide")</f>
        <v>NCBI Nucleotide</v>
      </c>
    </row>
    <row r="883" spans="1:27" x14ac:dyDescent="0.35">
      <c r="A883">
        <v>1001487</v>
      </c>
      <c r="B883">
        <v>882</v>
      </c>
      <c r="C883">
        <v>1</v>
      </c>
      <c r="D883" s="17" t="s">
        <v>155</v>
      </c>
      <c r="E883" s="17"/>
      <c r="F883" s="17" t="s">
        <v>156</v>
      </c>
      <c r="G883" s="17"/>
      <c r="H883" s="17" t="s">
        <v>692</v>
      </c>
      <c r="I883" s="17"/>
      <c r="J883" s="17" t="s">
        <v>693</v>
      </c>
      <c r="K883" s="17"/>
      <c r="L883" s="17"/>
      <c r="M883" s="17"/>
      <c r="N883" s="17" t="s">
        <v>7358</v>
      </c>
      <c r="O883" s="17"/>
      <c r="P883" s="17" t="s">
        <v>7434</v>
      </c>
      <c r="Q883" s="17"/>
      <c r="R883" s="25" t="str">
        <f>HYPERLINK("https://ictv.global/taxonomy/taxondetails?taxnode_id=202306776","Burkholderia virus BcepNazgul")</f>
        <v>Burkholderia virus BcepNazgul</v>
      </c>
      <c r="S883" s="18" t="s">
        <v>30</v>
      </c>
      <c r="T883" s="18" t="s">
        <v>7435</v>
      </c>
      <c r="U883" s="18"/>
      <c r="V883" s="18"/>
      <c r="W883" s="18" t="s">
        <v>7436</v>
      </c>
      <c r="X883" s="18" t="s">
        <v>42</v>
      </c>
      <c r="Y883" s="18" t="s">
        <v>36</v>
      </c>
      <c r="Z883" s="18" t="s">
        <v>697</v>
      </c>
      <c r="AA883" s="21" t="str">
        <f>HYPERLINK("https://www.ncbi.nlm.nih.gov/nuccore/AY357582","NCBI Nucleotide")</f>
        <v>NCBI Nucleotide</v>
      </c>
    </row>
    <row r="884" spans="1:27" x14ac:dyDescent="0.35">
      <c r="A884">
        <v>1001488</v>
      </c>
      <c r="B884">
        <v>883</v>
      </c>
      <c r="C884">
        <v>1</v>
      </c>
      <c r="D884" s="17" t="s">
        <v>155</v>
      </c>
      <c r="E884" s="17"/>
      <c r="F884" s="17" t="s">
        <v>156</v>
      </c>
      <c r="G884" s="17"/>
      <c r="H884" s="17" t="s">
        <v>692</v>
      </c>
      <c r="I884" s="17"/>
      <c r="J884" s="17" t="s">
        <v>693</v>
      </c>
      <c r="K884" s="17"/>
      <c r="L884" s="17"/>
      <c r="M884" s="17"/>
      <c r="N884" s="17" t="s">
        <v>7358</v>
      </c>
      <c r="O884" s="17"/>
      <c r="P884" s="17" t="s">
        <v>7437</v>
      </c>
      <c r="Q884" s="17"/>
      <c r="R884" s="25" t="str">
        <f>HYPERLINK("https://ictv.global/taxonomy/taxondetails?taxnode_id=202313031","Newforgelanevirus MA12")</f>
        <v>Newforgelanevirus MA12</v>
      </c>
      <c r="S884" s="18" t="s">
        <v>30</v>
      </c>
      <c r="T884" s="18" t="s">
        <v>7438</v>
      </c>
      <c r="U884" s="18"/>
      <c r="V884" s="18"/>
      <c r="W884" s="18" t="s">
        <v>7439</v>
      </c>
      <c r="X884" s="18" t="s">
        <v>42</v>
      </c>
      <c r="Y884" s="18" t="s">
        <v>36</v>
      </c>
      <c r="Z884" s="18" t="s">
        <v>697</v>
      </c>
      <c r="AA884" s="21" t="str">
        <f>HYPERLINK("https://www.ncbi.nlm.nih.gov/nuccore/MN692199","NCBI Nucleotide")</f>
        <v>NCBI Nucleotide</v>
      </c>
    </row>
    <row r="885" spans="1:27" x14ac:dyDescent="0.35">
      <c r="A885">
        <v>1001489</v>
      </c>
      <c r="B885">
        <v>884</v>
      </c>
      <c r="C885">
        <v>1</v>
      </c>
      <c r="D885" s="17" t="s">
        <v>155</v>
      </c>
      <c r="E885" s="17"/>
      <c r="F885" s="17" t="s">
        <v>156</v>
      </c>
      <c r="G885" s="17"/>
      <c r="H885" s="17" t="s">
        <v>692</v>
      </c>
      <c r="I885" s="17"/>
      <c r="J885" s="17" t="s">
        <v>693</v>
      </c>
      <c r="K885" s="17"/>
      <c r="L885" s="17"/>
      <c r="M885" s="17"/>
      <c r="N885" s="17" t="s">
        <v>7358</v>
      </c>
      <c r="O885" s="17"/>
      <c r="P885" s="17" t="s">
        <v>7440</v>
      </c>
      <c r="Q885" s="17"/>
      <c r="R885" s="25" t="str">
        <f>HYPERLINK("https://ictv.global/taxonomy/taxondetails?taxnode_id=202313000","Phobosvirus phobos")</f>
        <v>Phobosvirus phobos</v>
      </c>
      <c r="S885" s="18" t="s">
        <v>30</v>
      </c>
      <c r="T885" s="18" t="s">
        <v>7441</v>
      </c>
      <c r="U885" s="18"/>
      <c r="V885" s="18"/>
      <c r="W885" s="18" t="s">
        <v>7442</v>
      </c>
      <c r="X885" s="18" t="s">
        <v>42</v>
      </c>
      <c r="Y885" s="18" t="s">
        <v>36</v>
      </c>
      <c r="Z885" s="18" t="s">
        <v>697</v>
      </c>
      <c r="AA885" s="21" t="str">
        <f>HYPERLINK("https://www.ncbi.nlm.nih.gov/nuccore/MN478374","NCBI Nucleotide")</f>
        <v>NCBI Nucleotide</v>
      </c>
    </row>
    <row r="886" spans="1:27" x14ac:dyDescent="0.35">
      <c r="A886">
        <v>1001490</v>
      </c>
      <c r="B886">
        <v>885</v>
      </c>
      <c r="C886">
        <v>1</v>
      </c>
      <c r="D886" s="17" t="s">
        <v>155</v>
      </c>
      <c r="E886" s="17"/>
      <c r="F886" s="17" t="s">
        <v>156</v>
      </c>
      <c r="G886" s="17"/>
      <c r="H886" s="17" t="s">
        <v>692</v>
      </c>
      <c r="I886" s="17"/>
      <c r="J886" s="17" t="s">
        <v>693</v>
      </c>
      <c r="K886" s="17"/>
      <c r="L886" s="17"/>
      <c r="M886" s="17"/>
      <c r="N886" s="17" t="s">
        <v>7358</v>
      </c>
      <c r="O886" s="17"/>
      <c r="P886" s="17" t="s">
        <v>7440</v>
      </c>
      <c r="Q886" s="17"/>
      <c r="R886" s="25" t="str">
        <f>HYPERLINK("https://ictv.global/taxonomy/taxondetails?taxnode_id=202313001","Phobosvirus PspYZU01")</f>
        <v>Phobosvirus PspYZU01</v>
      </c>
      <c r="S886" s="18" t="s">
        <v>30</v>
      </c>
      <c r="T886" s="18" t="s">
        <v>7443</v>
      </c>
      <c r="U886" s="18"/>
      <c r="V886" s="18"/>
      <c r="W886" s="18" t="s">
        <v>7444</v>
      </c>
      <c r="X886" s="18" t="s">
        <v>42</v>
      </c>
      <c r="Y886" s="18" t="s">
        <v>36</v>
      </c>
      <c r="Z886" s="18" t="s">
        <v>697</v>
      </c>
      <c r="AA886" s="21" t="str">
        <f>HYPERLINK("https://www.ncbi.nlm.nih.gov/nuccore/KY971609","NCBI Nucleotide")</f>
        <v>NCBI Nucleotide</v>
      </c>
    </row>
    <row r="887" spans="1:27" x14ac:dyDescent="0.35">
      <c r="A887">
        <v>1001491</v>
      </c>
      <c r="B887">
        <v>886</v>
      </c>
      <c r="C887">
        <v>1</v>
      </c>
      <c r="D887" s="17" t="s">
        <v>155</v>
      </c>
      <c r="E887" s="17"/>
      <c r="F887" s="17" t="s">
        <v>156</v>
      </c>
      <c r="G887" s="17"/>
      <c r="H887" s="17" t="s">
        <v>692</v>
      </c>
      <c r="I887" s="17"/>
      <c r="J887" s="17" t="s">
        <v>693</v>
      </c>
      <c r="K887" s="17"/>
      <c r="L887" s="17"/>
      <c r="M887" s="17"/>
      <c r="N887" s="17" t="s">
        <v>7358</v>
      </c>
      <c r="O887" s="17"/>
      <c r="P887" s="17" t="s">
        <v>7445</v>
      </c>
      <c r="Q887" s="17"/>
      <c r="R887" s="25" t="str">
        <f>HYPERLINK("https://ictv.global/taxonomy/taxondetails?taxnode_id=202313020","Redjacvirus piberecoleta")</f>
        <v>Redjacvirus piberecoleta</v>
      </c>
      <c r="S887" s="18" t="s">
        <v>30</v>
      </c>
      <c r="T887" s="18" t="s">
        <v>7446</v>
      </c>
      <c r="U887" s="18"/>
      <c r="V887" s="18"/>
      <c r="W887" s="18" t="s">
        <v>7447</v>
      </c>
      <c r="X887" s="18" t="s">
        <v>42</v>
      </c>
      <c r="Y887" s="18" t="s">
        <v>36</v>
      </c>
      <c r="Z887" s="18" t="s">
        <v>697</v>
      </c>
      <c r="AA887" s="21" t="str">
        <f>HYPERLINK("https://www.ncbi.nlm.nih.gov/nuccore/MT675124","NCBI Nucleotide")</f>
        <v>NCBI Nucleotide</v>
      </c>
    </row>
    <row r="888" spans="1:27" x14ac:dyDescent="0.35">
      <c r="A888">
        <v>1001492</v>
      </c>
      <c r="B888">
        <v>887</v>
      </c>
      <c r="C888">
        <v>1</v>
      </c>
      <c r="D888" s="17" t="s">
        <v>155</v>
      </c>
      <c r="E888" s="17"/>
      <c r="F888" s="17" t="s">
        <v>156</v>
      </c>
      <c r="G888" s="17"/>
      <c r="H888" s="17" t="s">
        <v>692</v>
      </c>
      <c r="I888" s="17"/>
      <c r="J888" s="17" t="s">
        <v>693</v>
      </c>
      <c r="K888" s="17"/>
      <c r="L888" s="17"/>
      <c r="M888" s="17"/>
      <c r="N888" s="17" t="s">
        <v>7358</v>
      </c>
      <c r="O888" s="17"/>
      <c r="P888" s="17" t="s">
        <v>7445</v>
      </c>
      <c r="Q888" s="17"/>
      <c r="R888" s="25" t="str">
        <f>HYPERLINK("https://ictv.global/taxonomy/taxondetails?taxnode_id=202313019","Redjacvirus redjac")</f>
        <v>Redjacvirus redjac</v>
      </c>
      <c r="S888" s="18" t="s">
        <v>30</v>
      </c>
      <c r="T888" s="18" t="s">
        <v>7448</v>
      </c>
      <c r="U888" s="18"/>
      <c r="V888" s="18"/>
      <c r="W888" s="18" t="s">
        <v>7449</v>
      </c>
      <c r="X888" s="18" t="s">
        <v>42</v>
      </c>
      <c r="Y888" s="18" t="s">
        <v>36</v>
      </c>
      <c r="Z888" s="18" t="s">
        <v>697</v>
      </c>
      <c r="AA888" s="21" t="str">
        <f>HYPERLINK("https://www.ncbi.nlm.nih.gov/nuccore/JX296113","NCBI Nucleotide")</f>
        <v>NCBI Nucleotide</v>
      </c>
    </row>
    <row r="889" spans="1:27" x14ac:dyDescent="0.35">
      <c r="A889">
        <v>1001493</v>
      </c>
      <c r="B889">
        <v>888</v>
      </c>
      <c r="C889">
        <v>1</v>
      </c>
      <c r="D889" s="17" t="s">
        <v>155</v>
      </c>
      <c r="E889" s="17"/>
      <c r="F889" s="17" t="s">
        <v>156</v>
      </c>
      <c r="G889" s="17"/>
      <c r="H889" s="17" t="s">
        <v>692</v>
      </c>
      <c r="I889" s="17"/>
      <c r="J889" s="17" t="s">
        <v>693</v>
      </c>
      <c r="K889" s="17"/>
      <c r="L889" s="17"/>
      <c r="M889" s="17"/>
      <c r="N889" s="17" t="s">
        <v>7358</v>
      </c>
      <c r="O889" s="17"/>
      <c r="P889" s="17" t="s">
        <v>7445</v>
      </c>
      <c r="Q889" s="17"/>
      <c r="R889" s="25" t="str">
        <f>HYPERLINK("https://ictv.global/taxonomy/taxondetails?taxnode_id=202313021","Redjacvirus stilesk")</f>
        <v>Redjacvirus stilesk</v>
      </c>
      <c r="S889" s="18" t="s">
        <v>30</v>
      </c>
      <c r="T889" s="18" t="s">
        <v>7450</v>
      </c>
      <c r="U889" s="18"/>
      <c r="V889" s="18"/>
      <c r="W889" s="18" t="s">
        <v>7451</v>
      </c>
      <c r="X889" s="18" t="s">
        <v>42</v>
      </c>
      <c r="Y889" s="18" t="s">
        <v>36</v>
      </c>
      <c r="Z889" s="18" t="s">
        <v>697</v>
      </c>
      <c r="AA889" s="21" t="str">
        <f>HYPERLINK("https://www.ncbi.nlm.nih.gov/nuccore/MT675125","NCBI Nucleotide")</f>
        <v>NCBI Nucleotide</v>
      </c>
    </row>
    <row r="890" spans="1:27" x14ac:dyDescent="0.35">
      <c r="A890">
        <v>1001494</v>
      </c>
      <c r="B890">
        <v>889</v>
      </c>
      <c r="C890">
        <v>1</v>
      </c>
      <c r="D890" s="17" t="s">
        <v>155</v>
      </c>
      <c r="E890" s="17"/>
      <c r="F890" s="17" t="s">
        <v>156</v>
      </c>
      <c r="G890" s="17"/>
      <c r="H890" s="17" t="s">
        <v>692</v>
      </c>
      <c r="I890" s="17"/>
      <c r="J890" s="17" t="s">
        <v>693</v>
      </c>
      <c r="K890" s="17"/>
      <c r="L890" s="17"/>
      <c r="M890" s="17"/>
      <c r="N890" s="17" t="s">
        <v>7358</v>
      </c>
      <c r="O890" s="17"/>
      <c r="P890" s="17" t="s">
        <v>7452</v>
      </c>
      <c r="Q890" s="17"/>
      <c r="R890" s="25" t="str">
        <f>HYPERLINK("https://ictv.global/taxonomy/taxondetails?taxnode_id=202312994","Salvovirus bacata")</f>
        <v>Salvovirus bacata</v>
      </c>
      <c r="S890" s="18" t="s">
        <v>30</v>
      </c>
      <c r="T890" s="18" t="s">
        <v>7453</v>
      </c>
      <c r="U890" s="18"/>
      <c r="V890" s="18"/>
      <c r="W890" s="18" t="s">
        <v>7454</v>
      </c>
      <c r="X890" s="18" t="s">
        <v>42</v>
      </c>
      <c r="Y890" s="18" t="s">
        <v>36</v>
      </c>
      <c r="Z890" s="18" t="s">
        <v>697</v>
      </c>
      <c r="AA890" s="21" t="str">
        <f>HYPERLINK("https://www.ncbi.nlm.nih.gov/nuccore/LR743524","NCBI Nucleotide")</f>
        <v>NCBI Nucleotide</v>
      </c>
    </row>
    <row r="891" spans="1:27" x14ac:dyDescent="0.35">
      <c r="A891">
        <v>1001495</v>
      </c>
      <c r="B891">
        <v>890</v>
      </c>
      <c r="C891">
        <v>1</v>
      </c>
      <c r="D891" s="17" t="s">
        <v>155</v>
      </c>
      <c r="E891" s="17"/>
      <c r="F891" s="17" t="s">
        <v>156</v>
      </c>
      <c r="G891" s="17"/>
      <c r="H891" s="17" t="s">
        <v>692</v>
      </c>
      <c r="I891" s="17"/>
      <c r="J891" s="17" t="s">
        <v>693</v>
      </c>
      <c r="K891" s="17"/>
      <c r="L891" s="17"/>
      <c r="M891" s="17"/>
      <c r="N891" s="17" t="s">
        <v>7358</v>
      </c>
      <c r="O891" s="17"/>
      <c r="P891" s="17" t="s">
        <v>7452</v>
      </c>
      <c r="Q891" s="17"/>
      <c r="R891" s="25" t="str">
        <f>HYPERLINK("https://ictv.global/taxonomy/taxondetails?taxnode_id=202306884","Salvovirus salvo")</f>
        <v>Salvovirus salvo</v>
      </c>
      <c r="S891" s="18" t="s">
        <v>30</v>
      </c>
      <c r="T891" s="18" t="s">
        <v>7455</v>
      </c>
      <c r="U891" s="18"/>
      <c r="V891" s="18"/>
      <c r="W891" s="18" t="s">
        <v>7456</v>
      </c>
      <c r="X891" s="18" t="s">
        <v>42</v>
      </c>
      <c r="Y891" s="18" t="s">
        <v>36</v>
      </c>
      <c r="Z891" s="18" t="s">
        <v>697</v>
      </c>
      <c r="AA891" s="21" t="str">
        <f>HYPERLINK("https://www.ncbi.nlm.nih.gov/nuccore/KF626668","NCBI Nucleotide")</f>
        <v>NCBI Nucleotide</v>
      </c>
    </row>
    <row r="892" spans="1:27" x14ac:dyDescent="0.35">
      <c r="A892">
        <v>1001496</v>
      </c>
      <c r="B892">
        <v>891</v>
      </c>
      <c r="C892">
        <v>1</v>
      </c>
      <c r="D892" s="17" t="s">
        <v>155</v>
      </c>
      <c r="E892" s="17"/>
      <c r="F892" s="17" t="s">
        <v>156</v>
      </c>
      <c r="G892" s="17"/>
      <c r="H892" s="17" t="s">
        <v>692</v>
      </c>
      <c r="I892" s="17"/>
      <c r="J892" s="17" t="s">
        <v>693</v>
      </c>
      <c r="K892" s="17"/>
      <c r="L892" s="17"/>
      <c r="M892" s="17"/>
      <c r="N892" s="17" t="s">
        <v>7358</v>
      </c>
      <c r="O892" s="17"/>
      <c r="P892" s="17" t="s">
        <v>7457</v>
      </c>
      <c r="Q892" s="17"/>
      <c r="R892" s="25" t="str">
        <f>HYPERLINK("https://ictv.global/taxonomy/taxondetails?taxnode_id=202306883","Xylella virus Sano")</f>
        <v>Xylella virus Sano</v>
      </c>
      <c r="S892" s="18" t="s">
        <v>30</v>
      </c>
      <c r="T892" s="18" t="s">
        <v>7458</v>
      </c>
      <c r="U892" s="18"/>
      <c r="V892" s="18"/>
      <c r="W892" s="18" t="s">
        <v>7459</v>
      </c>
      <c r="X892" s="18" t="s">
        <v>42</v>
      </c>
      <c r="Y892" s="18" t="s">
        <v>36</v>
      </c>
      <c r="Z892" s="18" t="s">
        <v>697</v>
      </c>
      <c r="AA892" s="21" t="str">
        <f>HYPERLINK("https://www.ncbi.nlm.nih.gov/nuccore/KF626665","NCBI Nucleotide")</f>
        <v>NCBI Nucleotide</v>
      </c>
    </row>
    <row r="893" spans="1:27" x14ac:dyDescent="0.35">
      <c r="A893">
        <v>1001497</v>
      </c>
      <c r="B893">
        <v>892</v>
      </c>
      <c r="C893">
        <v>1</v>
      </c>
      <c r="D893" s="17" t="s">
        <v>155</v>
      </c>
      <c r="E893" s="17"/>
      <c r="F893" s="17" t="s">
        <v>156</v>
      </c>
      <c r="G893" s="17"/>
      <c r="H893" s="17" t="s">
        <v>692</v>
      </c>
      <c r="I893" s="17"/>
      <c r="J893" s="17" t="s">
        <v>693</v>
      </c>
      <c r="K893" s="17"/>
      <c r="L893" s="17"/>
      <c r="M893" s="17"/>
      <c r="N893" s="17" t="s">
        <v>7358</v>
      </c>
      <c r="O893" s="17"/>
      <c r="P893" s="17" t="s">
        <v>7460</v>
      </c>
      <c r="Q893" s="17"/>
      <c r="R893" s="25" t="str">
        <f>HYPERLINK("https://ictv.global/taxonomy/taxondetails?taxnode_id=202312998","Seodaemunguvirus YMC16-01N133")</f>
        <v>Seodaemunguvirus YMC16-01N133</v>
      </c>
      <c r="S893" s="18" t="s">
        <v>30</v>
      </c>
      <c r="T893" s="18" t="s">
        <v>7461</v>
      </c>
      <c r="U893" s="18"/>
      <c r="V893" s="18"/>
      <c r="W893" s="18" t="s">
        <v>7462</v>
      </c>
      <c r="X893" s="18" t="s">
        <v>42</v>
      </c>
      <c r="Y893" s="18" t="s">
        <v>36</v>
      </c>
      <c r="Z893" s="18" t="s">
        <v>697</v>
      </c>
      <c r="AA893" s="21" t="str">
        <f>HYPERLINK("https://www.ncbi.nlm.nih.gov/nuccore/MF476925","NCBI Nucleotide")</f>
        <v>NCBI Nucleotide</v>
      </c>
    </row>
    <row r="894" spans="1:27" x14ac:dyDescent="0.35">
      <c r="A894">
        <v>1001498</v>
      </c>
      <c r="B894">
        <v>893</v>
      </c>
      <c r="C894">
        <v>1</v>
      </c>
      <c r="D894" s="17" t="s">
        <v>155</v>
      </c>
      <c r="E894" s="17"/>
      <c r="F894" s="17" t="s">
        <v>156</v>
      </c>
      <c r="G894" s="17"/>
      <c r="H894" s="17" t="s">
        <v>692</v>
      </c>
      <c r="I894" s="17"/>
      <c r="J894" s="17" t="s">
        <v>693</v>
      </c>
      <c r="K894" s="17"/>
      <c r="L894" s="17"/>
      <c r="M894" s="17"/>
      <c r="N894" s="17" t="s">
        <v>7358</v>
      </c>
      <c r="O894" s="17"/>
      <c r="P894" s="17" t="s">
        <v>7463</v>
      </c>
      <c r="Q894" s="17"/>
      <c r="R894" s="25" t="str">
        <f>HYPERLINK("https://ictv.global/taxonomy/taxondetails?taxnode_id=202312992","Sessunavirus SESS1")</f>
        <v>Sessunavirus SESS1</v>
      </c>
      <c r="S894" s="18" t="s">
        <v>30</v>
      </c>
      <c r="T894" s="18" t="s">
        <v>7464</v>
      </c>
      <c r="U894" s="18"/>
      <c r="V894" s="18"/>
      <c r="W894" s="18" t="s">
        <v>7465</v>
      </c>
      <c r="X894" s="18" t="s">
        <v>42</v>
      </c>
      <c r="Y894" s="18" t="s">
        <v>36</v>
      </c>
      <c r="Z894" s="18" t="s">
        <v>697</v>
      </c>
      <c r="AA894" s="21" t="str">
        <f>HYPERLINK("https://www.ncbi.nlm.nih.gov/nuccore/KY249644","NCBI Nucleotide")</f>
        <v>NCBI Nucleotide</v>
      </c>
    </row>
    <row r="895" spans="1:27" x14ac:dyDescent="0.35">
      <c r="A895">
        <v>1001499</v>
      </c>
      <c r="B895">
        <v>894</v>
      </c>
      <c r="C895">
        <v>1</v>
      </c>
      <c r="D895" s="17" t="s">
        <v>155</v>
      </c>
      <c r="E895" s="17"/>
      <c r="F895" s="17" t="s">
        <v>156</v>
      </c>
      <c r="G895" s="17"/>
      <c r="H895" s="17" t="s">
        <v>692</v>
      </c>
      <c r="I895" s="17"/>
      <c r="J895" s="17" t="s">
        <v>693</v>
      </c>
      <c r="K895" s="17"/>
      <c r="L895" s="17"/>
      <c r="M895" s="17"/>
      <c r="N895" s="17" t="s">
        <v>7358</v>
      </c>
      <c r="O895" s="17"/>
      <c r="P895" s="17" t="s">
        <v>7466</v>
      </c>
      <c r="Q895" s="17"/>
      <c r="R895" s="25" t="str">
        <f>HYPERLINK("https://ictv.global/taxonomy/taxondetails?taxnode_id=202313013","Sharonstreetvirus A18P4")</f>
        <v>Sharonstreetvirus A18P4</v>
      </c>
      <c r="S895" s="18" t="s">
        <v>30</v>
      </c>
      <c r="T895" s="18" t="s">
        <v>7467</v>
      </c>
      <c r="U895" s="18"/>
      <c r="V895" s="18"/>
      <c r="W895" s="18" t="s">
        <v>7468</v>
      </c>
      <c r="X895" s="18" t="s">
        <v>42</v>
      </c>
      <c r="Y895" s="18" t="s">
        <v>36</v>
      </c>
      <c r="Z895" s="18" t="s">
        <v>697</v>
      </c>
      <c r="AA895" s="21" t="str">
        <f>HYPERLINK("https://www.ncbi.nlm.nih.gov/nuccore/MN317029","NCBI Nucleotide")</f>
        <v>NCBI Nucleotide</v>
      </c>
    </row>
    <row r="896" spans="1:27" x14ac:dyDescent="0.35">
      <c r="A896">
        <v>1001500</v>
      </c>
      <c r="B896">
        <v>895</v>
      </c>
      <c r="C896">
        <v>1</v>
      </c>
      <c r="D896" s="17" t="s">
        <v>155</v>
      </c>
      <c r="E896" s="17"/>
      <c r="F896" s="17" t="s">
        <v>156</v>
      </c>
      <c r="G896" s="17"/>
      <c r="H896" s="17" t="s">
        <v>692</v>
      </c>
      <c r="I896" s="17"/>
      <c r="J896" s="17" t="s">
        <v>693</v>
      </c>
      <c r="K896" s="17"/>
      <c r="L896" s="17"/>
      <c r="M896" s="17"/>
      <c r="N896" s="17" t="s">
        <v>7358</v>
      </c>
      <c r="O896" s="17"/>
      <c r="P896" s="17" t="s">
        <v>7466</v>
      </c>
      <c r="Q896" s="17"/>
      <c r="R896" s="25" t="str">
        <f>HYPERLINK("https://ictv.global/taxonomy/taxondetails?taxnode_id=202313012","Sharonstreetvirus BUCT551")</f>
        <v>Sharonstreetvirus BUCT551</v>
      </c>
      <c r="S896" s="18" t="s">
        <v>30</v>
      </c>
      <c r="T896" s="18" t="s">
        <v>7469</v>
      </c>
      <c r="U896" s="18"/>
      <c r="V896" s="18"/>
      <c r="W896" s="18" t="s">
        <v>7470</v>
      </c>
      <c r="X896" s="18" t="s">
        <v>42</v>
      </c>
      <c r="Y896" s="18" t="s">
        <v>36</v>
      </c>
      <c r="Z896" s="18" t="s">
        <v>697</v>
      </c>
      <c r="AA896" s="21" t="str">
        <f>HYPERLINK("https://www.ncbi.nlm.nih.gov/nuccore/MT952005","NCBI Nucleotide")</f>
        <v>NCBI Nucleotide</v>
      </c>
    </row>
    <row r="897" spans="1:27" x14ac:dyDescent="0.35">
      <c r="A897">
        <v>1001501</v>
      </c>
      <c r="B897">
        <v>896</v>
      </c>
      <c r="C897">
        <v>1</v>
      </c>
      <c r="D897" s="17" t="s">
        <v>155</v>
      </c>
      <c r="E897" s="17"/>
      <c r="F897" s="17" t="s">
        <v>156</v>
      </c>
      <c r="G897" s="17"/>
      <c r="H897" s="17" t="s">
        <v>692</v>
      </c>
      <c r="I897" s="17"/>
      <c r="J897" s="17" t="s">
        <v>693</v>
      </c>
      <c r="K897" s="17"/>
      <c r="L897" s="17"/>
      <c r="M897" s="17"/>
      <c r="N897" s="17" t="s">
        <v>7358</v>
      </c>
      <c r="O897" s="17"/>
      <c r="P897" s="17" t="s">
        <v>7466</v>
      </c>
      <c r="Q897" s="17"/>
      <c r="R897" s="25" t="str">
        <f>HYPERLINK("https://ictv.global/taxonomy/taxondetails?taxnode_id=202313011","Sharonstreetvirus LAh7")</f>
        <v>Sharonstreetvirus LAh7</v>
      </c>
      <c r="S897" s="18" t="s">
        <v>30</v>
      </c>
      <c r="T897" s="18" t="s">
        <v>7471</v>
      </c>
      <c r="U897" s="18"/>
      <c r="V897" s="18"/>
      <c r="W897" s="18" t="s">
        <v>7472</v>
      </c>
      <c r="X897" s="18" t="s">
        <v>42</v>
      </c>
      <c r="Y897" s="18" t="s">
        <v>36</v>
      </c>
      <c r="Z897" s="18" t="s">
        <v>697</v>
      </c>
      <c r="AA897" s="21" t="str">
        <f>HYPERLINK("https://www.ncbi.nlm.nih.gov/nuccore/MK838113","NCBI Nucleotide")</f>
        <v>NCBI Nucleotide</v>
      </c>
    </row>
    <row r="898" spans="1:27" x14ac:dyDescent="0.35">
      <c r="A898">
        <v>1001502</v>
      </c>
      <c r="B898">
        <v>897</v>
      </c>
      <c r="C898">
        <v>1</v>
      </c>
      <c r="D898" s="17" t="s">
        <v>155</v>
      </c>
      <c r="E898" s="17"/>
      <c r="F898" s="17" t="s">
        <v>156</v>
      </c>
      <c r="G898" s="17"/>
      <c r="H898" s="17" t="s">
        <v>692</v>
      </c>
      <c r="I898" s="17"/>
      <c r="J898" s="17" t="s">
        <v>693</v>
      </c>
      <c r="K898" s="17"/>
      <c r="L898" s="17"/>
      <c r="M898" s="17"/>
      <c r="N898" s="17" t="s">
        <v>7358</v>
      </c>
      <c r="O898" s="17"/>
      <c r="P898" s="17" t="s">
        <v>7473</v>
      </c>
      <c r="Q898" s="17"/>
      <c r="R898" s="25" t="str">
        <f>HYPERLINK("https://ictv.global/taxonomy/taxondetails?taxnode_id=202312126","Yonseivirus N137")</f>
        <v>Yonseivirus N137</v>
      </c>
      <c r="S898" s="18" t="s">
        <v>30</v>
      </c>
      <c r="T898" s="18" t="s">
        <v>7474</v>
      </c>
      <c r="U898" s="18"/>
      <c r="V898" s="18"/>
      <c r="W898" s="18" t="s">
        <v>7475</v>
      </c>
      <c r="X898" s="18" t="s">
        <v>42</v>
      </c>
      <c r="Y898" s="18" t="s">
        <v>36</v>
      </c>
      <c r="Z898" s="18" t="s">
        <v>697</v>
      </c>
      <c r="AA898" s="21" t="str">
        <f>HYPERLINK("https://www.ncbi.nlm.nih.gov/nuccore/MF415410","NCBI Nucleotide")</f>
        <v>NCBI Nucleotide</v>
      </c>
    </row>
    <row r="899" spans="1:27" x14ac:dyDescent="0.35">
      <c r="A899">
        <v>1001503</v>
      </c>
      <c r="B899">
        <v>898</v>
      </c>
      <c r="C899">
        <v>1</v>
      </c>
      <c r="D899" s="17" t="s">
        <v>155</v>
      </c>
      <c r="E899" s="17"/>
      <c r="F899" s="17" t="s">
        <v>156</v>
      </c>
      <c r="G899" s="17"/>
      <c r="H899" s="17" t="s">
        <v>692</v>
      </c>
      <c r="I899" s="17"/>
      <c r="J899" s="17" t="s">
        <v>693</v>
      </c>
      <c r="K899" s="17"/>
      <c r="L899" s="17"/>
      <c r="M899" s="17"/>
      <c r="N899" s="17" t="s">
        <v>7358</v>
      </c>
      <c r="O899" s="17"/>
      <c r="P899" s="17" t="s">
        <v>7473</v>
      </c>
      <c r="Q899" s="17"/>
      <c r="R899" s="25" t="str">
        <f>HYPERLINK("https://ictv.global/taxonomy/taxondetails?taxnode_id=202312127","Yonseivirus seifer")</f>
        <v>Yonseivirus seifer</v>
      </c>
      <c r="S899" s="18" t="s">
        <v>30</v>
      </c>
      <c r="T899" s="18" t="s">
        <v>7476</v>
      </c>
      <c r="U899" s="18"/>
      <c r="V899" s="18"/>
      <c r="W899" s="18" t="s">
        <v>7477</v>
      </c>
      <c r="X899" s="18" t="s">
        <v>42</v>
      </c>
      <c r="Y899" s="18" t="s">
        <v>36</v>
      </c>
      <c r="Z899" s="18" t="s">
        <v>697</v>
      </c>
      <c r="AA899" s="21" t="str">
        <f>HYPERLINK("https://www.ncbi.nlm.nih.gov/nuccore/MH817999","NCBI Nucleotide")</f>
        <v>NCBI Nucleotide</v>
      </c>
    </row>
    <row r="900" spans="1:27" x14ac:dyDescent="0.35">
      <c r="A900">
        <v>1001504</v>
      </c>
      <c r="B900">
        <v>899</v>
      </c>
      <c r="C900">
        <v>1</v>
      </c>
      <c r="D900" s="17" t="s">
        <v>155</v>
      </c>
      <c r="E900" s="17"/>
      <c r="F900" s="17" t="s">
        <v>156</v>
      </c>
      <c r="G900" s="17"/>
      <c r="H900" s="17" t="s">
        <v>692</v>
      </c>
      <c r="I900" s="17"/>
      <c r="J900" s="17" t="s">
        <v>693</v>
      </c>
      <c r="K900" s="17"/>
      <c r="L900" s="17"/>
      <c r="M900" s="17"/>
      <c r="N900" s="17" t="s">
        <v>7358</v>
      </c>
      <c r="O900" s="17"/>
      <c r="P900" s="17" t="s">
        <v>7473</v>
      </c>
      <c r="Q900" s="17"/>
      <c r="R900" s="25" t="str">
        <f>HYPERLINK("https://ictv.global/taxonomy/taxondetails?taxnode_id=202312128","Yonseivirus soft")</f>
        <v>Yonseivirus soft</v>
      </c>
      <c r="S900" s="18" t="s">
        <v>30</v>
      </c>
      <c r="T900" s="18" t="s">
        <v>7478</v>
      </c>
      <c r="U900" s="18"/>
      <c r="V900" s="18"/>
      <c r="W900" s="18" t="s">
        <v>7479</v>
      </c>
      <c r="X900" s="18" t="s">
        <v>42</v>
      </c>
      <c r="Y900" s="18" t="s">
        <v>36</v>
      </c>
      <c r="Z900" s="18" t="s">
        <v>697</v>
      </c>
      <c r="AA900" s="21" t="str">
        <f>HYPERLINK("https://www.ncbi.nlm.nih.gov/nuccore/MN106244","NCBI Nucleotide")</f>
        <v>NCBI Nucleotide</v>
      </c>
    </row>
    <row r="901" spans="1:27" x14ac:dyDescent="0.35">
      <c r="A901">
        <v>1001505</v>
      </c>
      <c r="B901">
        <v>900</v>
      </c>
      <c r="C901">
        <v>1</v>
      </c>
      <c r="D901" s="17" t="s">
        <v>155</v>
      </c>
      <c r="E901" s="17"/>
      <c r="F901" s="17" t="s">
        <v>156</v>
      </c>
      <c r="G901" s="17"/>
      <c r="H901" s="17" t="s">
        <v>692</v>
      </c>
      <c r="I901" s="17"/>
      <c r="J901" s="17" t="s">
        <v>693</v>
      </c>
      <c r="K901" s="17"/>
      <c r="L901" s="17"/>
      <c r="M901" s="17"/>
      <c r="N901" s="17" t="s">
        <v>7358</v>
      </c>
      <c r="O901" s="17"/>
      <c r="P901" s="17" t="s">
        <v>7480</v>
      </c>
      <c r="Q901" s="17"/>
      <c r="R901" s="25" t="str">
        <f>HYPERLINK("https://ictv.global/taxonomy/taxondetails?taxnode_id=202313017","Zhonglingvirus SAP012")</f>
        <v>Zhonglingvirus SAP012</v>
      </c>
      <c r="S901" s="18" t="s">
        <v>30</v>
      </c>
      <c r="T901" s="18" t="s">
        <v>7481</v>
      </c>
      <c r="U901" s="18"/>
      <c r="V901" s="18"/>
      <c r="W901" s="18" t="s">
        <v>7482</v>
      </c>
      <c r="X901" s="18" t="s">
        <v>42</v>
      </c>
      <c r="Y901" s="18" t="s">
        <v>36</v>
      </c>
      <c r="Z901" s="18" t="s">
        <v>697</v>
      </c>
      <c r="AA901" s="21" t="str">
        <f>HYPERLINK("https://www.ncbi.nlm.nih.gov/nuccore/LC553736","NCBI Nucleotide")</f>
        <v>NCBI Nucleotide</v>
      </c>
    </row>
    <row r="902" spans="1:27" x14ac:dyDescent="0.35">
      <c r="A902">
        <v>1024592</v>
      </c>
      <c r="B902">
        <v>901</v>
      </c>
      <c r="C902">
        <v>1</v>
      </c>
      <c r="D902" s="17" t="s">
        <v>155</v>
      </c>
      <c r="E902" s="17"/>
      <c r="F902" s="17" t="s">
        <v>156</v>
      </c>
      <c r="G902" s="17"/>
      <c r="H902" s="17" t="s">
        <v>692</v>
      </c>
      <c r="I902" s="17"/>
      <c r="J902" s="17" t="s">
        <v>693</v>
      </c>
      <c r="K902" s="17"/>
      <c r="L902" s="17"/>
      <c r="M902" s="17"/>
      <c r="N902" s="17" t="s">
        <v>7483</v>
      </c>
      <c r="O902" s="17" t="s">
        <v>7488</v>
      </c>
      <c r="P902" s="17" t="s">
        <v>7489</v>
      </c>
      <c r="Q902" s="17"/>
      <c r="R902" s="25" t="str">
        <f>HYPERLINK("https://ictv.global/taxonomy/taxondetails?taxnode_id=202318076","Carltongylesvirus Bp7")</f>
        <v>Carltongylesvirus Bp7</v>
      </c>
      <c r="S902" s="18" t="s">
        <v>30</v>
      </c>
      <c r="T902" s="18" t="s">
        <v>39022</v>
      </c>
      <c r="U902" s="18"/>
      <c r="V902" s="18"/>
      <c r="W902" s="18" t="s">
        <v>47883</v>
      </c>
      <c r="X902" s="18" t="s">
        <v>42</v>
      </c>
      <c r="Y902" s="18" t="s">
        <v>36</v>
      </c>
      <c r="Z902" s="18" t="s">
        <v>697</v>
      </c>
      <c r="AA902" s="21" t="str">
        <f>HYPERLINK("https://www.ncbi.nlm.nih.gov/nuccore/MN117721","NCBI Nucleotide")</f>
        <v>NCBI Nucleotide</v>
      </c>
    </row>
    <row r="903" spans="1:27" x14ac:dyDescent="0.35">
      <c r="A903">
        <v>1024591</v>
      </c>
      <c r="B903">
        <v>902</v>
      </c>
      <c r="C903">
        <v>1</v>
      </c>
      <c r="D903" s="17" t="s">
        <v>155</v>
      </c>
      <c r="E903" s="17"/>
      <c r="F903" s="17" t="s">
        <v>156</v>
      </c>
      <c r="G903" s="17"/>
      <c r="H903" s="17" t="s">
        <v>692</v>
      </c>
      <c r="I903" s="17"/>
      <c r="J903" s="17" t="s">
        <v>693</v>
      </c>
      <c r="K903" s="17"/>
      <c r="L903" s="17"/>
      <c r="M903" s="17"/>
      <c r="N903" s="17" t="s">
        <v>7483</v>
      </c>
      <c r="O903" s="17" t="s">
        <v>7488</v>
      </c>
      <c r="P903" s="17" t="s">
        <v>7489</v>
      </c>
      <c r="Q903" s="17"/>
      <c r="R903" s="25" t="str">
        <f>HYPERLINK("https://ictv.global/taxonomy/taxondetails?taxnode_id=202318077","Carltongylesvirus Bp10")</f>
        <v>Carltongylesvirus Bp10</v>
      </c>
      <c r="S903" s="18" t="s">
        <v>30</v>
      </c>
      <c r="T903" s="18" t="s">
        <v>39023</v>
      </c>
      <c r="U903" s="18"/>
      <c r="V903" s="18"/>
      <c r="W903" s="18" t="s">
        <v>47884</v>
      </c>
      <c r="X903" s="18" t="s">
        <v>42</v>
      </c>
      <c r="Y903" s="18" t="s">
        <v>36</v>
      </c>
      <c r="Z903" s="18" t="s">
        <v>697</v>
      </c>
      <c r="AA903" s="21" t="str">
        <f>HYPERLINK("https://www.ncbi.nlm.nih.gov/nuccore/MN122072","NCBI Nucleotide")</f>
        <v>NCBI Nucleotide</v>
      </c>
    </row>
    <row r="904" spans="1:27" x14ac:dyDescent="0.35">
      <c r="A904">
        <v>1024593</v>
      </c>
      <c r="B904">
        <v>903</v>
      </c>
      <c r="C904">
        <v>1</v>
      </c>
      <c r="D904" s="17" t="s">
        <v>155</v>
      </c>
      <c r="E904" s="17"/>
      <c r="F904" s="17" t="s">
        <v>156</v>
      </c>
      <c r="G904" s="17"/>
      <c r="H904" s="17" t="s">
        <v>692</v>
      </c>
      <c r="I904" s="17"/>
      <c r="J904" s="17" t="s">
        <v>693</v>
      </c>
      <c r="K904" s="17"/>
      <c r="L904" s="17"/>
      <c r="M904" s="17"/>
      <c r="N904" s="17" t="s">
        <v>7483</v>
      </c>
      <c r="O904" s="17" t="s">
        <v>7488</v>
      </c>
      <c r="P904" s="17" t="s">
        <v>7489</v>
      </c>
      <c r="Q904" s="17"/>
      <c r="R904" s="25" t="str">
        <f>HYPERLINK("https://ictv.global/taxonomy/taxondetails?taxnode_id=202318079","Carltongylesvirus DE15")</f>
        <v>Carltongylesvirus DE15</v>
      </c>
      <c r="S904" s="18" t="s">
        <v>30</v>
      </c>
      <c r="T904" s="18" t="s">
        <v>39024</v>
      </c>
      <c r="U904" s="18"/>
      <c r="V904" s="18"/>
      <c r="W904" s="18" t="s">
        <v>47885</v>
      </c>
      <c r="X904" s="18" t="s">
        <v>42</v>
      </c>
      <c r="Y904" s="18" t="s">
        <v>36</v>
      </c>
      <c r="Z904" s="18" t="s">
        <v>697</v>
      </c>
      <c r="AA904" s="21" t="str">
        <f>HYPERLINK("https://www.ncbi.nlm.nih.gov/nuccore/OP595144","NCBI Nucleotide")</f>
        <v>NCBI Nucleotide</v>
      </c>
    </row>
    <row r="905" spans="1:27" x14ac:dyDescent="0.35">
      <c r="A905">
        <v>1001506</v>
      </c>
      <c r="B905">
        <v>904</v>
      </c>
      <c r="C905">
        <v>1</v>
      </c>
      <c r="D905" s="17" t="s">
        <v>155</v>
      </c>
      <c r="E905" s="17"/>
      <c r="F905" s="17" t="s">
        <v>156</v>
      </c>
      <c r="G905" s="17"/>
      <c r="H905" s="17" t="s">
        <v>692</v>
      </c>
      <c r="I905" s="17"/>
      <c r="J905" s="17" t="s">
        <v>693</v>
      </c>
      <c r="K905" s="17"/>
      <c r="L905" s="17"/>
      <c r="M905" s="17"/>
      <c r="N905" s="17" t="s">
        <v>7483</v>
      </c>
      <c r="O905" s="17" t="s">
        <v>7488</v>
      </c>
      <c r="P905" s="17" t="s">
        <v>7489</v>
      </c>
      <c r="Q905" s="17"/>
      <c r="R905" s="25" t="str">
        <f>HYPERLINK("https://ictv.global/taxonomy/taxondetails?taxnode_id=202309855","Carltongylesvirus flopper")</f>
        <v>Carltongylesvirus flopper</v>
      </c>
      <c r="S905" s="18" t="s">
        <v>30</v>
      </c>
      <c r="T905" s="18" t="s">
        <v>7490</v>
      </c>
      <c r="U905" s="18"/>
      <c r="V905" s="18"/>
      <c r="W905" s="18" t="s">
        <v>7491</v>
      </c>
      <c r="X905" s="18" t="s">
        <v>42</v>
      </c>
      <c r="Y905" s="18" t="s">
        <v>36</v>
      </c>
      <c r="Z905" s="18" t="s">
        <v>697</v>
      </c>
      <c r="AA905" s="21" t="str">
        <f>HYPERLINK("https://www.ncbi.nlm.nih.gov/nuccore/MN850594","NCBI Nucleotide")</f>
        <v>NCBI Nucleotide</v>
      </c>
    </row>
    <row r="906" spans="1:27" x14ac:dyDescent="0.35">
      <c r="A906">
        <v>1001507</v>
      </c>
      <c r="B906">
        <v>905</v>
      </c>
      <c r="C906">
        <v>1</v>
      </c>
      <c r="D906" s="17" t="s">
        <v>155</v>
      </c>
      <c r="E906" s="17"/>
      <c r="F906" s="17" t="s">
        <v>156</v>
      </c>
      <c r="G906" s="17"/>
      <c r="H906" s="17" t="s">
        <v>692</v>
      </c>
      <c r="I906" s="17"/>
      <c r="J906" s="17" t="s">
        <v>693</v>
      </c>
      <c r="K906" s="17"/>
      <c r="L906" s="17"/>
      <c r="M906" s="17"/>
      <c r="N906" s="17" t="s">
        <v>7483</v>
      </c>
      <c r="O906" s="17" t="s">
        <v>7488</v>
      </c>
      <c r="P906" s="17" t="s">
        <v>7489</v>
      </c>
      <c r="Q906" s="17"/>
      <c r="R906" s="25" t="str">
        <f>HYPERLINK("https://ictv.global/taxonomy/taxondetails?taxnode_id=202307739","Carltongylesvirus GJ1")</f>
        <v>Carltongylesvirus GJ1</v>
      </c>
      <c r="S906" s="18" t="s">
        <v>30</v>
      </c>
      <c r="T906" s="18" t="s">
        <v>7492</v>
      </c>
      <c r="U906" s="18"/>
      <c r="V906" s="18"/>
      <c r="W906" s="18" t="s">
        <v>7493</v>
      </c>
      <c r="X906" s="18" t="s">
        <v>42</v>
      </c>
      <c r="Y906" s="18" t="s">
        <v>36</v>
      </c>
      <c r="Z906" s="18" t="s">
        <v>697</v>
      </c>
      <c r="AA906" s="21" t="str">
        <f>HYPERLINK("https://www.ncbi.nlm.nih.gov/nuccore/EF460875","NCBI Nucleotide")</f>
        <v>NCBI Nucleotide</v>
      </c>
    </row>
    <row r="907" spans="1:27" x14ac:dyDescent="0.35">
      <c r="A907">
        <v>1001508</v>
      </c>
      <c r="B907">
        <v>906</v>
      </c>
      <c r="C907">
        <v>1</v>
      </c>
      <c r="D907" s="17" t="s">
        <v>155</v>
      </c>
      <c r="E907" s="17"/>
      <c r="F907" s="17" t="s">
        <v>156</v>
      </c>
      <c r="G907" s="17"/>
      <c r="H907" s="17" t="s">
        <v>692</v>
      </c>
      <c r="I907" s="17"/>
      <c r="J907" s="17" t="s">
        <v>693</v>
      </c>
      <c r="K907" s="17"/>
      <c r="L907" s="17"/>
      <c r="M907" s="17"/>
      <c r="N907" s="17" t="s">
        <v>7483</v>
      </c>
      <c r="O907" s="17" t="s">
        <v>7488</v>
      </c>
      <c r="P907" s="17" t="s">
        <v>7489</v>
      </c>
      <c r="Q907" s="17"/>
      <c r="R907" s="25" t="str">
        <f>HYPERLINK("https://ictv.global/taxonomy/taxondetails?taxnode_id=202309854","Carltongylesvirus mangalitsa")</f>
        <v>Carltongylesvirus mangalitsa</v>
      </c>
      <c r="S907" s="18" t="s">
        <v>30</v>
      </c>
      <c r="T907" s="18" t="s">
        <v>7494</v>
      </c>
      <c r="U907" s="18"/>
      <c r="V907" s="18"/>
      <c r="W907" s="18" t="s">
        <v>7495</v>
      </c>
      <c r="X907" s="18" t="s">
        <v>42</v>
      </c>
      <c r="Y907" s="18" t="s">
        <v>36</v>
      </c>
      <c r="Z907" s="18" t="s">
        <v>697</v>
      </c>
      <c r="AA907" s="21" t="str">
        <f>HYPERLINK("https://www.ncbi.nlm.nih.gov/nuccore/MN045229","NCBI Nucleotide")</f>
        <v>NCBI Nucleotide</v>
      </c>
    </row>
    <row r="908" spans="1:27" x14ac:dyDescent="0.35">
      <c r="A908">
        <v>1024594</v>
      </c>
      <c r="B908">
        <v>907</v>
      </c>
      <c r="C908">
        <v>1</v>
      </c>
      <c r="D908" s="17" t="s">
        <v>155</v>
      </c>
      <c r="E908" s="17"/>
      <c r="F908" s="17" t="s">
        <v>156</v>
      </c>
      <c r="G908" s="17"/>
      <c r="H908" s="17" t="s">
        <v>692</v>
      </c>
      <c r="I908" s="17"/>
      <c r="J908" s="17" t="s">
        <v>693</v>
      </c>
      <c r="K908" s="17"/>
      <c r="L908" s="17"/>
      <c r="M908" s="17"/>
      <c r="N908" s="17" t="s">
        <v>7483</v>
      </c>
      <c r="O908" s="17" t="s">
        <v>7488</v>
      </c>
      <c r="P908" s="17" t="s">
        <v>7489</v>
      </c>
      <c r="Q908" s="17"/>
      <c r="R908" s="25" t="str">
        <f>HYPERLINK("https://ictv.global/taxonomy/taxondetails?taxnode_id=202318071","Carltongylesvirus MLP1")</f>
        <v>Carltongylesvirus MLP1</v>
      </c>
      <c r="S908" s="18" t="s">
        <v>30</v>
      </c>
      <c r="T908" s="18" t="s">
        <v>39025</v>
      </c>
      <c r="U908" s="18"/>
      <c r="V908" s="18"/>
      <c r="W908" s="18" t="s">
        <v>47886</v>
      </c>
      <c r="X908" s="18" t="s">
        <v>42</v>
      </c>
      <c r="Y908" s="18" t="s">
        <v>36</v>
      </c>
      <c r="Z908" s="18" t="s">
        <v>697</v>
      </c>
      <c r="AA908" s="21" t="str">
        <f>HYPERLINK("https://www.ncbi.nlm.nih.gov/nuccore/OK148439","NCBI Nucleotide")</f>
        <v>NCBI Nucleotide</v>
      </c>
    </row>
    <row r="909" spans="1:27" x14ac:dyDescent="0.35">
      <c r="A909">
        <v>1024595</v>
      </c>
      <c r="B909">
        <v>908</v>
      </c>
      <c r="C909">
        <v>1</v>
      </c>
      <c r="D909" s="17" t="s">
        <v>155</v>
      </c>
      <c r="E909" s="17"/>
      <c r="F909" s="17" t="s">
        <v>156</v>
      </c>
      <c r="G909" s="17"/>
      <c r="H909" s="17" t="s">
        <v>692</v>
      </c>
      <c r="I909" s="17"/>
      <c r="J909" s="17" t="s">
        <v>693</v>
      </c>
      <c r="K909" s="17"/>
      <c r="L909" s="17"/>
      <c r="M909" s="17"/>
      <c r="N909" s="17" t="s">
        <v>7483</v>
      </c>
      <c r="O909" s="17" t="s">
        <v>7488</v>
      </c>
      <c r="P909" s="17" t="s">
        <v>7489</v>
      </c>
      <c r="Q909" s="17"/>
      <c r="R909" s="25" t="str">
        <f>HYPERLINK("https://ictv.global/taxonomy/taxondetails?taxnode_id=202318070","Carltongylesvirus PO1031")</f>
        <v>Carltongylesvirus PO1031</v>
      </c>
      <c r="S909" s="18" t="s">
        <v>30</v>
      </c>
      <c r="T909" s="18" t="s">
        <v>39026</v>
      </c>
      <c r="U909" s="18"/>
      <c r="V909" s="18"/>
      <c r="W909" s="18" t="s">
        <v>47887</v>
      </c>
      <c r="X909" s="18" t="s">
        <v>42</v>
      </c>
      <c r="Y909" s="18" t="s">
        <v>36</v>
      </c>
      <c r="Z909" s="18" t="s">
        <v>697</v>
      </c>
      <c r="AA909" s="21" t="str">
        <f>HYPERLINK("https://www.ncbi.nlm.nih.gov/nuccore/ON778463","NCBI Nucleotide")</f>
        <v>NCBI Nucleotide</v>
      </c>
    </row>
    <row r="910" spans="1:27" x14ac:dyDescent="0.35">
      <c r="A910">
        <v>1024596</v>
      </c>
      <c r="B910">
        <v>909</v>
      </c>
      <c r="C910">
        <v>1</v>
      </c>
      <c r="D910" s="17" t="s">
        <v>155</v>
      </c>
      <c r="E910" s="17"/>
      <c r="F910" s="17" t="s">
        <v>156</v>
      </c>
      <c r="G910" s="17"/>
      <c r="H910" s="17" t="s">
        <v>692</v>
      </c>
      <c r="I910" s="17"/>
      <c r="J910" s="17" t="s">
        <v>693</v>
      </c>
      <c r="K910" s="17"/>
      <c r="L910" s="17"/>
      <c r="M910" s="17"/>
      <c r="N910" s="17" t="s">
        <v>7483</v>
      </c>
      <c r="O910" s="17" t="s">
        <v>7488</v>
      </c>
      <c r="P910" s="17" t="s">
        <v>7489</v>
      </c>
      <c r="Q910" s="17"/>
      <c r="R910" s="25" t="str">
        <f>HYPERLINK("https://ictv.global/taxonomy/taxondetails?taxnode_id=202318074","Carltongylesvirus PYps16N")</f>
        <v>Carltongylesvirus PYps16N</v>
      </c>
      <c r="S910" s="18" t="s">
        <v>30</v>
      </c>
      <c r="T910" s="18" t="s">
        <v>39027</v>
      </c>
      <c r="U910" s="18"/>
      <c r="V910" s="18"/>
      <c r="W910" s="18" t="s">
        <v>47888</v>
      </c>
      <c r="X910" s="18" t="s">
        <v>42</v>
      </c>
      <c r="Y910" s="18" t="s">
        <v>36</v>
      </c>
      <c r="Z910" s="18" t="s">
        <v>697</v>
      </c>
      <c r="AA910" s="21" t="str">
        <f>HYPERLINK("https://www.ncbi.nlm.nih.gov/nuccore/MW147601","NCBI Nucleotide")</f>
        <v>NCBI Nucleotide</v>
      </c>
    </row>
    <row r="911" spans="1:27" x14ac:dyDescent="0.35">
      <c r="A911">
        <v>1024597</v>
      </c>
      <c r="B911">
        <v>910</v>
      </c>
      <c r="C911">
        <v>1</v>
      </c>
      <c r="D911" s="17" t="s">
        <v>155</v>
      </c>
      <c r="E911" s="17"/>
      <c r="F911" s="17" t="s">
        <v>156</v>
      </c>
      <c r="G911" s="17"/>
      <c r="H911" s="17" t="s">
        <v>692</v>
      </c>
      <c r="I911" s="17"/>
      <c r="J911" s="17" t="s">
        <v>693</v>
      </c>
      <c r="K911" s="17"/>
      <c r="L911" s="17"/>
      <c r="M911" s="17"/>
      <c r="N911" s="17" t="s">
        <v>7483</v>
      </c>
      <c r="O911" s="17" t="s">
        <v>7488</v>
      </c>
      <c r="P911" s="17" t="s">
        <v>7489</v>
      </c>
      <c r="Q911" s="17"/>
      <c r="R911" s="25" t="str">
        <f>HYPERLINK("https://ictv.global/taxonomy/taxondetails?taxnode_id=202318073","Carltongylesvirus PYps23T")</f>
        <v>Carltongylesvirus PYps23T</v>
      </c>
      <c r="S911" s="18" t="s">
        <v>30</v>
      </c>
      <c r="T911" s="18" t="s">
        <v>39028</v>
      </c>
      <c r="U911" s="18"/>
      <c r="V911" s="18"/>
      <c r="W911" s="18" t="s">
        <v>47889</v>
      </c>
      <c r="X911" s="18" t="s">
        <v>42</v>
      </c>
      <c r="Y911" s="18" t="s">
        <v>36</v>
      </c>
      <c r="Z911" s="18" t="s">
        <v>697</v>
      </c>
      <c r="AA911" s="21" t="str">
        <f>HYPERLINK("https://www.ncbi.nlm.nih.gov/nuccore/MW147598","NCBI Nucleotide")</f>
        <v>NCBI Nucleotide</v>
      </c>
    </row>
    <row r="912" spans="1:27" x14ac:dyDescent="0.35">
      <c r="A912">
        <v>1024598</v>
      </c>
      <c r="B912">
        <v>911</v>
      </c>
      <c r="C912">
        <v>1</v>
      </c>
      <c r="D912" s="17" t="s">
        <v>155</v>
      </c>
      <c r="E912" s="17"/>
      <c r="F912" s="17" t="s">
        <v>156</v>
      </c>
      <c r="G912" s="17"/>
      <c r="H912" s="17" t="s">
        <v>692</v>
      </c>
      <c r="I912" s="17"/>
      <c r="J912" s="17" t="s">
        <v>693</v>
      </c>
      <c r="K912" s="17"/>
      <c r="L912" s="17"/>
      <c r="M912" s="17"/>
      <c r="N912" s="17" t="s">
        <v>7483</v>
      </c>
      <c r="O912" s="17" t="s">
        <v>7488</v>
      </c>
      <c r="P912" s="17" t="s">
        <v>7489</v>
      </c>
      <c r="Q912" s="17"/>
      <c r="R912" s="25" t="str">
        <f>HYPERLINK("https://ictv.global/taxonomy/taxondetails?taxnode_id=202318072","Carltongylesvirus PYps3T")</f>
        <v>Carltongylesvirus PYps3T</v>
      </c>
      <c r="S912" s="18" t="s">
        <v>30</v>
      </c>
      <c r="T912" s="18" t="s">
        <v>39029</v>
      </c>
      <c r="U912" s="18"/>
      <c r="V912" s="18"/>
      <c r="W912" s="18" t="s">
        <v>47890</v>
      </c>
      <c r="X912" s="18" t="s">
        <v>42</v>
      </c>
      <c r="Y912" s="18" t="s">
        <v>36</v>
      </c>
      <c r="Z912" s="18" t="s">
        <v>697</v>
      </c>
      <c r="AA912" s="21" t="str">
        <f>HYPERLINK("https://www.ncbi.nlm.nih.gov/nuccore/MW147599","NCBI Nucleotide")</f>
        <v>NCBI Nucleotide</v>
      </c>
    </row>
    <row r="913" spans="1:27" x14ac:dyDescent="0.35">
      <c r="A913">
        <v>1024599</v>
      </c>
      <c r="B913">
        <v>912</v>
      </c>
      <c r="C913">
        <v>1</v>
      </c>
      <c r="D913" s="17" t="s">
        <v>155</v>
      </c>
      <c r="E913" s="17"/>
      <c r="F913" s="17" t="s">
        <v>156</v>
      </c>
      <c r="G913" s="17"/>
      <c r="H913" s="17" t="s">
        <v>692</v>
      </c>
      <c r="I913" s="17"/>
      <c r="J913" s="17" t="s">
        <v>693</v>
      </c>
      <c r="K913" s="17"/>
      <c r="L913" s="17"/>
      <c r="M913" s="17"/>
      <c r="N913" s="17" t="s">
        <v>7483</v>
      </c>
      <c r="O913" s="17" t="s">
        <v>7488</v>
      </c>
      <c r="P913" s="17" t="s">
        <v>7489</v>
      </c>
      <c r="Q913" s="17"/>
      <c r="R913" s="25" t="str">
        <f>HYPERLINK("https://ictv.global/taxonomy/taxondetails?taxnode_id=202318078","Carltongylesvirus SA91KD")</f>
        <v>Carltongylesvirus SA91KD</v>
      </c>
      <c r="S913" s="18" t="s">
        <v>30</v>
      </c>
      <c r="T913" s="18" t="s">
        <v>39030</v>
      </c>
      <c r="U913" s="18"/>
      <c r="V913" s="18"/>
      <c r="W913" s="18" t="s">
        <v>47891</v>
      </c>
      <c r="X913" s="18" t="s">
        <v>42</v>
      </c>
      <c r="Y913" s="18" t="s">
        <v>36</v>
      </c>
      <c r="Z913" s="18" t="s">
        <v>697</v>
      </c>
      <c r="AA913" s="21" t="str">
        <f>HYPERLINK("https://www.ncbi.nlm.nih.gov/nuccore/OL960574","NCBI Nucleotide")</f>
        <v>NCBI Nucleotide</v>
      </c>
    </row>
    <row r="914" spans="1:27" x14ac:dyDescent="0.35">
      <c r="A914">
        <v>1024600</v>
      </c>
      <c r="B914">
        <v>913</v>
      </c>
      <c r="C914">
        <v>1</v>
      </c>
      <c r="D914" s="17" t="s">
        <v>155</v>
      </c>
      <c r="E914" s="17"/>
      <c r="F914" s="17" t="s">
        <v>156</v>
      </c>
      <c r="G914" s="17"/>
      <c r="H914" s="17" t="s">
        <v>692</v>
      </c>
      <c r="I914" s="17"/>
      <c r="J914" s="17" t="s">
        <v>693</v>
      </c>
      <c r="K914" s="17"/>
      <c r="L914" s="17"/>
      <c r="M914" s="17"/>
      <c r="N914" s="17" t="s">
        <v>7483</v>
      </c>
      <c r="O914" s="17" t="s">
        <v>7488</v>
      </c>
      <c r="P914" s="17" t="s">
        <v>7489</v>
      </c>
      <c r="Q914" s="17"/>
      <c r="R914" s="25" t="str">
        <f>HYPERLINK("https://ictv.global/taxonomy/taxondetails?taxnode_id=202318075","Carltongylesvirus SKA49")</f>
        <v>Carltongylesvirus SKA49</v>
      </c>
      <c r="S914" s="18" t="s">
        <v>30</v>
      </c>
      <c r="T914" s="18" t="s">
        <v>39031</v>
      </c>
      <c r="U914" s="18"/>
      <c r="V914" s="18"/>
      <c r="W914" s="18" t="s">
        <v>47892</v>
      </c>
      <c r="X914" s="18" t="s">
        <v>42</v>
      </c>
      <c r="Y914" s="18" t="s">
        <v>36</v>
      </c>
      <c r="Z914" s="18" t="s">
        <v>697</v>
      </c>
      <c r="AA914" s="21" t="str">
        <f>HYPERLINK("https://www.ncbi.nlm.nih.gov/nuccore/OL741059","NCBI Nucleotide")</f>
        <v>NCBI Nucleotide</v>
      </c>
    </row>
    <row r="915" spans="1:27" x14ac:dyDescent="0.35">
      <c r="A915">
        <v>1001509</v>
      </c>
      <c r="B915">
        <v>914</v>
      </c>
      <c r="C915">
        <v>1</v>
      </c>
      <c r="D915" s="17" t="s">
        <v>155</v>
      </c>
      <c r="E915" s="17"/>
      <c r="F915" s="17" t="s">
        <v>156</v>
      </c>
      <c r="G915" s="17"/>
      <c r="H915" s="17" t="s">
        <v>692</v>
      </c>
      <c r="I915" s="17"/>
      <c r="J915" s="17" t="s">
        <v>693</v>
      </c>
      <c r="K915" s="17"/>
      <c r="L915" s="17"/>
      <c r="M915" s="17"/>
      <c r="N915" s="17" t="s">
        <v>7483</v>
      </c>
      <c r="O915" s="17" t="s">
        <v>7488</v>
      </c>
      <c r="P915" s="17" t="s">
        <v>7489</v>
      </c>
      <c r="Q915" s="17"/>
      <c r="R915" s="25" t="str">
        <f>HYPERLINK("https://ictv.global/taxonomy/taxondetails?taxnode_id=202307740","Carltongylesvirus ST32")</f>
        <v>Carltongylesvirus ST32</v>
      </c>
      <c r="S915" s="18" t="s">
        <v>30</v>
      </c>
      <c r="T915" s="18" t="s">
        <v>7496</v>
      </c>
      <c r="U915" s="18"/>
      <c r="V915" s="18"/>
      <c r="W915" s="18" t="s">
        <v>7497</v>
      </c>
      <c r="X915" s="18" t="s">
        <v>42</v>
      </c>
      <c r="Y915" s="18" t="s">
        <v>36</v>
      </c>
      <c r="Z915" s="18" t="s">
        <v>697</v>
      </c>
      <c r="AA915" s="21" t="str">
        <f>HYPERLINK("https://www.ncbi.nlm.nih.gov/nuccore/MF044458","NCBI Nucleotide")</f>
        <v>NCBI Nucleotide</v>
      </c>
    </row>
    <row r="916" spans="1:27" x14ac:dyDescent="0.35">
      <c r="A916">
        <v>1001510</v>
      </c>
      <c r="B916">
        <v>915</v>
      </c>
      <c r="C916">
        <v>1</v>
      </c>
      <c r="D916" s="17" t="s">
        <v>155</v>
      </c>
      <c r="E916" s="17"/>
      <c r="F916" s="17" t="s">
        <v>156</v>
      </c>
      <c r="G916" s="17"/>
      <c r="H916" s="17" t="s">
        <v>692</v>
      </c>
      <c r="I916" s="17"/>
      <c r="J916" s="17" t="s">
        <v>693</v>
      </c>
      <c r="K916" s="17"/>
      <c r="L916" s="17"/>
      <c r="M916" s="17"/>
      <c r="N916" s="17" t="s">
        <v>7483</v>
      </c>
      <c r="O916" s="17" t="s">
        <v>7488</v>
      </c>
      <c r="P916" s="17" t="s">
        <v>7498</v>
      </c>
      <c r="Q916" s="17"/>
      <c r="R916" s="25" t="str">
        <f>HYPERLINK("https://ictv.global/taxonomy/taxondetails?taxnode_id=202307742","Faunusvirus faunus")</f>
        <v>Faunusvirus faunus</v>
      </c>
      <c r="S916" s="18" t="s">
        <v>30</v>
      </c>
      <c r="T916" s="18" t="s">
        <v>7499</v>
      </c>
      <c r="U916" s="18"/>
      <c r="V916" s="18"/>
      <c r="W916" s="18" t="s">
        <v>7500</v>
      </c>
      <c r="X916" s="18" t="s">
        <v>42</v>
      </c>
      <c r="Y916" s="18" t="s">
        <v>36</v>
      </c>
      <c r="Z916" s="18" t="s">
        <v>697</v>
      </c>
      <c r="AA916" s="21" t="str">
        <f>HYPERLINK("https://www.ncbi.nlm.nih.gov/nuccore/MH191398","NCBI Nucleotide")</f>
        <v>NCBI Nucleotide</v>
      </c>
    </row>
    <row r="917" spans="1:27" x14ac:dyDescent="0.35">
      <c r="A917">
        <v>1024552</v>
      </c>
      <c r="B917">
        <v>916</v>
      </c>
      <c r="C917">
        <v>1</v>
      </c>
      <c r="D917" s="17" t="s">
        <v>155</v>
      </c>
      <c r="E917" s="17"/>
      <c r="F917" s="17" t="s">
        <v>156</v>
      </c>
      <c r="G917" s="17"/>
      <c r="H917" s="17" t="s">
        <v>692</v>
      </c>
      <c r="I917" s="17"/>
      <c r="J917" s="17" t="s">
        <v>693</v>
      </c>
      <c r="K917" s="17"/>
      <c r="L917" s="17"/>
      <c r="M917" s="17"/>
      <c r="N917" s="17" t="s">
        <v>7483</v>
      </c>
      <c r="O917" s="17" t="s">
        <v>7488</v>
      </c>
      <c r="P917" s="17" t="s">
        <v>39032</v>
      </c>
      <c r="Q917" s="17"/>
      <c r="R917" s="25" t="str">
        <f>HYPERLINK("https://ictv.global/taxonomy/taxondetails?taxnode_id=202318069","Fifivirus fifi44")</f>
        <v>Fifivirus fifi44</v>
      </c>
      <c r="S917" s="18" t="s">
        <v>30</v>
      </c>
      <c r="T917" s="18" t="s">
        <v>39033</v>
      </c>
      <c r="U917" s="18"/>
      <c r="V917" s="18"/>
      <c r="W917" s="18" t="s">
        <v>47893</v>
      </c>
      <c r="X917" s="18" t="s">
        <v>42</v>
      </c>
      <c r="Y917" s="18" t="s">
        <v>36</v>
      </c>
      <c r="Z917" s="18" t="s">
        <v>697</v>
      </c>
      <c r="AA917" s="21" t="str">
        <f>HYPERLINK("https://www.ncbi.nlm.nih.gov/nuccore/OK073976","NCBI Nucleotide")</f>
        <v>NCBI Nucleotide</v>
      </c>
    </row>
    <row r="918" spans="1:27" x14ac:dyDescent="0.35">
      <c r="A918">
        <v>1001511</v>
      </c>
      <c r="B918">
        <v>917</v>
      </c>
      <c r="C918">
        <v>1</v>
      </c>
      <c r="D918" s="17" t="s">
        <v>155</v>
      </c>
      <c r="E918" s="17"/>
      <c r="F918" s="17" t="s">
        <v>156</v>
      </c>
      <c r="G918" s="17"/>
      <c r="H918" s="17" t="s">
        <v>692</v>
      </c>
      <c r="I918" s="17"/>
      <c r="J918" s="17" t="s">
        <v>693</v>
      </c>
      <c r="K918" s="17"/>
      <c r="L918" s="17"/>
      <c r="M918" s="17"/>
      <c r="N918" s="17" t="s">
        <v>7483</v>
      </c>
      <c r="O918" s="17" t="s">
        <v>7488</v>
      </c>
      <c r="P918" s="17" t="s">
        <v>7501</v>
      </c>
      <c r="Q918" s="17"/>
      <c r="R918" s="25" t="str">
        <f>HYPERLINK("https://ictv.global/taxonomy/taxondetails?taxnode_id=202309858","Loessnervirus SSEM1")</f>
        <v>Loessnervirus SSEM1</v>
      </c>
      <c r="S918" s="18" t="s">
        <v>30</v>
      </c>
      <c r="T918" s="18" t="s">
        <v>7502</v>
      </c>
      <c r="U918" s="18"/>
      <c r="V918" s="18"/>
      <c r="W918" s="18" t="s">
        <v>7503</v>
      </c>
      <c r="X918" s="18" t="s">
        <v>42</v>
      </c>
      <c r="Y918" s="18" t="s">
        <v>36</v>
      </c>
      <c r="Z918" s="18" t="s">
        <v>697</v>
      </c>
      <c r="AA918" s="21" t="str">
        <f>HYPERLINK("https://www.ncbi.nlm.nih.gov/nuccore/MT230534","NCBI Nucleotide")</f>
        <v>NCBI Nucleotide</v>
      </c>
    </row>
    <row r="919" spans="1:27" x14ac:dyDescent="0.35">
      <c r="A919">
        <v>1001512</v>
      </c>
      <c r="B919">
        <v>918</v>
      </c>
      <c r="C919">
        <v>1</v>
      </c>
      <c r="D919" s="17" t="s">
        <v>155</v>
      </c>
      <c r="E919" s="17"/>
      <c r="F919" s="17" t="s">
        <v>156</v>
      </c>
      <c r="G919" s="17"/>
      <c r="H919" s="17" t="s">
        <v>692</v>
      </c>
      <c r="I919" s="17"/>
      <c r="J919" s="17" t="s">
        <v>693</v>
      </c>
      <c r="K919" s="17"/>
      <c r="L919" s="17"/>
      <c r="M919" s="17"/>
      <c r="N919" s="17" t="s">
        <v>7483</v>
      </c>
      <c r="O919" s="17" t="s">
        <v>7488</v>
      </c>
      <c r="P919" s="17" t="s">
        <v>7501</v>
      </c>
      <c r="Q919" s="17"/>
      <c r="R919" s="25" t="str">
        <f>HYPERLINK("https://ictv.global/taxonomy/taxondetails?taxnode_id=202307752","Loessnervirus Y2")</f>
        <v>Loessnervirus Y2</v>
      </c>
      <c r="S919" s="18" t="s">
        <v>30</v>
      </c>
      <c r="T919" s="18" t="s">
        <v>7504</v>
      </c>
      <c r="U919" s="18"/>
      <c r="V919" s="18"/>
      <c r="W919" s="18" t="s">
        <v>7505</v>
      </c>
      <c r="X919" s="18" t="s">
        <v>42</v>
      </c>
      <c r="Y919" s="18" t="s">
        <v>36</v>
      </c>
      <c r="Z919" s="18" t="s">
        <v>697</v>
      </c>
      <c r="AA919" s="21" t="str">
        <f>HYPERLINK("https://www.ncbi.nlm.nih.gov/nuccore/HQ728264","NCBI Nucleotide")</f>
        <v>NCBI Nucleotide</v>
      </c>
    </row>
    <row r="920" spans="1:27" x14ac:dyDescent="0.35">
      <c r="A920">
        <v>1001513</v>
      </c>
      <c r="B920">
        <v>919</v>
      </c>
      <c r="C920">
        <v>1</v>
      </c>
      <c r="D920" s="17" t="s">
        <v>155</v>
      </c>
      <c r="E920" s="17"/>
      <c r="F920" s="17" t="s">
        <v>156</v>
      </c>
      <c r="G920" s="17"/>
      <c r="H920" s="17" t="s">
        <v>692</v>
      </c>
      <c r="I920" s="17"/>
      <c r="J920" s="17" t="s">
        <v>693</v>
      </c>
      <c r="K920" s="17"/>
      <c r="L920" s="17"/>
      <c r="M920" s="17"/>
      <c r="N920" s="17" t="s">
        <v>7483</v>
      </c>
      <c r="O920" s="17" t="s">
        <v>7488</v>
      </c>
      <c r="P920" s="17" t="s">
        <v>7506</v>
      </c>
      <c r="Q920" s="17"/>
      <c r="R920" s="25" t="str">
        <f>HYPERLINK("https://ictv.global/taxonomy/taxondetails?taxnode_id=202309857","Myducvirus myduc")</f>
        <v>Myducvirus myduc</v>
      </c>
      <c r="S920" s="18" t="s">
        <v>30</v>
      </c>
      <c r="T920" s="18" t="s">
        <v>7507</v>
      </c>
      <c r="U920" s="18"/>
      <c r="V920" s="18"/>
      <c r="W920" s="18" t="s">
        <v>7508</v>
      </c>
      <c r="X920" s="18" t="s">
        <v>42</v>
      </c>
      <c r="Y920" s="18" t="s">
        <v>36</v>
      </c>
      <c r="Z920" s="18" t="s">
        <v>697</v>
      </c>
      <c r="AA920" s="21" t="str">
        <f>HYPERLINK("https://www.ncbi.nlm.nih.gov/nuccore/MN098326","NCBI Nucleotide")</f>
        <v>NCBI Nucleotide</v>
      </c>
    </row>
    <row r="921" spans="1:27" x14ac:dyDescent="0.35">
      <c r="A921">
        <v>1001514</v>
      </c>
      <c r="B921">
        <v>920</v>
      </c>
      <c r="C921">
        <v>1</v>
      </c>
      <c r="D921" s="17" t="s">
        <v>155</v>
      </c>
      <c r="E921" s="17"/>
      <c r="F921" s="17" t="s">
        <v>156</v>
      </c>
      <c r="G921" s="17"/>
      <c r="H921" s="17" t="s">
        <v>692</v>
      </c>
      <c r="I921" s="17"/>
      <c r="J921" s="17" t="s">
        <v>693</v>
      </c>
      <c r="K921" s="17"/>
      <c r="L921" s="17"/>
      <c r="M921" s="17"/>
      <c r="N921" s="17" t="s">
        <v>7483</v>
      </c>
      <c r="O921" s="17" t="s">
        <v>7488</v>
      </c>
      <c r="P921" s="17" t="s">
        <v>7509</v>
      </c>
      <c r="Q921" s="17"/>
      <c r="R921" s="25" t="str">
        <f>HYPERLINK("https://ictv.global/taxonomy/taxondetails?taxnode_id=202309860","Sabourvirus sv4HA13")</f>
        <v>Sabourvirus sv4HA13</v>
      </c>
      <c r="S921" s="18" t="s">
        <v>30</v>
      </c>
      <c r="T921" s="18" t="s">
        <v>7510</v>
      </c>
      <c r="U921" s="18"/>
      <c r="V921" s="18"/>
      <c r="W921" s="18" t="s">
        <v>7511</v>
      </c>
      <c r="X921" s="18" t="s">
        <v>42</v>
      </c>
      <c r="Y921" s="18" t="s">
        <v>36</v>
      </c>
      <c r="Z921" s="18" t="s">
        <v>697</v>
      </c>
      <c r="AA921" s="21" t="str">
        <f>HYPERLINK("https://www.ncbi.nlm.nih.gov/nuccore/MN136198","NCBI Nucleotide")</f>
        <v>NCBI Nucleotide</v>
      </c>
    </row>
    <row r="922" spans="1:27" x14ac:dyDescent="0.35">
      <c r="A922">
        <v>1001515</v>
      </c>
      <c r="B922">
        <v>921</v>
      </c>
      <c r="C922">
        <v>1</v>
      </c>
      <c r="D922" s="17" t="s">
        <v>155</v>
      </c>
      <c r="E922" s="17"/>
      <c r="F922" s="17" t="s">
        <v>156</v>
      </c>
      <c r="G922" s="17"/>
      <c r="H922" s="17" t="s">
        <v>692</v>
      </c>
      <c r="I922" s="17"/>
      <c r="J922" s="17" t="s">
        <v>693</v>
      </c>
      <c r="K922" s="17"/>
      <c r="L922" s="17"/>
      <c r="M922" s="17"/>
      <c r="N922" s="17" t="s">
        <v>7483</v>
      </c>
      <c r="O922" s="17" t="s">
        <v>7488</v>
      </c>
      <c r="P922" s="17" t="s">
        <v>7512</v>
      </c>
      <c r="Q922" s="17"/>
      <c r="R922" s="25" t="str">
        <f>HYPERLINK("https://ictv.global/taxonomy/taxondetails?taxnode_id=202307744","Suwonvirus PM1")</f>
        <v>Suwonvirus PM1</v>
      </c>
      <c r="S922" s="18" t="s">
        <v>30</v>
      </c>
      <c r="T922" s="18" t="s">
        <v>7513</v>
      </c>
      <c r="U922" s="18"/>
      <c r="V922" s="18"/>
      <c r="W922" s="18" t="s">
        <v>7514</v>
      </c>
      <c r="X922" s="18" t="s">
        <v>42</v>
      </c>
      <c r="Y922" s="18" t="s">
        <v>36</v>
      </c>
      <c r="Z922" s="18" t="s">
        <v>697</v>
      </c>
      <c r="AA922" s="21" t="str">
        <f>HYPERLINK("https://www.ncbi.nlm.nih.gov/nuccore/KF534715","NCBI Nucleotide")</f>
        <v>NCBI Nucleotide</v>
      </c>
    </row>
    <row r="923" spans="1:27" x14ac:dyDescent="0.35">
      <c r="A923">
        <v>1001516</v>
      </c>
      <c r="B923">
        <v>922</v>
      </c>
      <c r="C923">
        <v>1</v>
      </c>
      <c r="D923" s="17" t="s">
        <v>155</v>
      </c>
      <c r="E923" s="17"/>
      <c r="F923" s="17" t="s">
        <v>156</v>
      </c>
      <c r="G923" s="17"/>
      <c r="H923" s="17" t="s">
        <v>692</v>
      </c>
      <c r="I923" s="17"/>
      <c r="J923" s="17" t="s">
        <v>693</v>
      </c>
      <c r="K923" s="17"/>
      <c r="L923" s="17"/>
      <c r="M923" s="17"/>
      <c r="N923" s="17" t="s">
        <v>7483</v>
      </c>
      <c r="O923" s="17" t="s">
        <v>7488</v>
      </c>
      <c r="P923" s="17" t="s">
        <v>7512</v>
      </c>
      <c r="Q923" s="17"/>
      <c r="R923" s="25" t="str">
        <f>HYPERLINK("https://ictv.global/taxonomy/taxondetails?taxnode_id=202307745","Suwonvirus PP101")</f>
        <v>Suwonvirus PP101</v>
      </c>
      <c r="S923" s="18" t="s">
        <v>30</v>
      </c>
      <c r="T923" s="18" t="s">
        <v>7515</v>
      </c>
      <c r="U923" s="18"/>
      <c r="V923" s="18"/>
      <c r="W923" s="18" t="s">
        <v>7516</v>
      </c>
      <c r="X923" s="18" t="s">
        <v>42</v>
      </c>
      <c r="Y923" s="18" t="s">
        <v>36</v>
      </c>
      <c r="Z923" s="18" t="s">
        <v>697</v>
      </c>
      <c r="AA923" s="21" t="str">
        <f>HYPERLINK("https://www.ncbi.nlm.nih.gov/nuccore/KY087898","NCBI Nucleotide")</f>
        <v>NCBI Nucleotide</v>
      </c>
    </row>
    <row r="924" spans="1:27" x14ac:dyDescent="0.35">
      <c r="A924">
        <v>1024998</v>
      </c>
      <c r="B924">
        <v>923</v>
      </c>
      <c r="C924">
        <v>1</v>
      </c>
      <c r="D924" s="17" t="s">
        <v>155</v>
      </c>
      <c r="E924" s="17"/>
      <c r="F924" s="17" t="s">
        <v>156</v>
      </c>
      <c r="G924" s="17"/>
      <c r="H924" s="17" t="s">
        <v>692</v>
      </c>
      <c r="I924" s="17"/>
      <c r="J924" s="17" t="s">
        <v>693</v>
      </c>
      <c r="K924" s="17"/>
      <c r="L924" s="17"/>
      <c r="M924" s="17"/>
      <c r="N924" s="17" t="s">
        <v>7483</v>
      </c>
      <c r="O924" s="17" t="s">
        <v>7517</v>
      </c>
      <c r="P924" s="17" t="s">
        <v>39034</v>
      </c>
      <c r="Q924" s="17"/>
      <c r="R924" s="25" t="str">
        <f>HYPERLINK("https://ictv.global/taxonomy/taxondetails?taxnode_id=202318080","Liaoningvirus VPs20")</f>
        <v>Liaoningvirus VPs20</v>
      </c>
      <c r="S924" s="18" t="s">
        <v>30</v>
      </c>
      <c r="T924" s="18" t="s">
        <v>39035</v>
      </c>
      <c r="U924" s="18"/>
      <c r="V924" s="18"/>
      <c r="W924" s="18" t="s">
        <v>47894</v>
      </c>
      <c r="X924" s="18" t="s">
        <v>42</v>
      </c>
      <c r="Y924" s="18" t="s">
        <v>36</v>
      </c>
      <c r="Z924" s="18" t="s">
        <v>697</v>
      </c>
      <c r="AA924" s="21" t="str">
        <f>HYPERLINK("https://www.ncbi.nlm.nih.gov/nuccore/OP056089","NCBI Nucleotide")</f>
        <v>NCBI Nucleotide</v>
      </c>
    </row>
    <row r="925" spans="1:27" x14ac:dyDescent="0.35">
      <c r="A925">
        <v>1024971</v>
      </c>
      <c r="B925">
        <v>924</v>
      </c>
      <c r="C925">
        <v>1</v>
      </c>
      <c r="D925" s="17" t="s">
        <v>155</v>
      </c>
      <c r="E925" s="17"/>
      <c r="F925" s="17" t="s">
        <v>156</v>
      </c>
      <c r="G925" s="17"/>
      <c r="H925" s="17" t="s">
        <v>692</v>
      </c>
      <c r="I925" s="17"/>
      <c r="J925" s="17" t="s">
        <v>693</v>
      </c>
      <c r="K925" s="17"/>
      <c r="L925" s="17"/>
      <c r="M925" s="17"/>
      <c r="N925" s="17" t="s">
        <v>7483</v>
      </c>
      <c r="O925" s="17" t="s">
        <v>7517</v>
      </c>
      <c r="P925" s="17" t="s">
        <v>39036</v>
      </c>
      <c r="Q925" s="17"/>
      <c r="R925" s="25" t="str">
        <f>HYPERLINK("https://ictv.global/taxonomy/taxondetails?taxnode_id=202318081","Longwangvirus BUCT696")</f>
        <v>Longwangvirus BUCT696</v>
      </c>
      <c r="S925" s="18" t="s">
        <v>30</v>
      </c>
      <c r="T925" s="18" t="s">
        <v>39037</v>
      </c>
      <c r="U925" s="18"/>
      <c r="V925" s="18"/>
      <c r="W925" s="18" t="s">
        <v>47895</v>
      </c>
      <c r="X925" s="18" t="s">
        <v>42</v>
      </c>
      <c r="Y925" s="18" t="s">
        <v>36</v>
      </c>
      <c r="Z925" s="18" t="s">
        <v>697</v>
      </c>
      <c r="AA925" s="21" t="str">
        <f>HYPERLINK("https://www.ncbi.nlm.nih.gov/nuccore/OL770365","NCBI Nucleotide")</f>
        <v>NCBI Nucleotide</v>
      </c>
    </row>
    <row r="926" spans="1:27" x14ac:dyDescent="0.35">
      <c r="A926">
        <v>1001517</v>
      </c>
      <c r="B926">
        <v>925</v>
      </c>
      <c r="C926">
        <v>1</v>
      </c>
      <c r="D926" s="17" t="s">
        <v>155</v>
      </c>
      <c r="E926" s="17"/>
      <c r="F926" s="17" t="s">
        <v>156</v>
      </c>
      <c r="G926" s="17"/>
      <c r="H926" s="17" t="s">
        <v>692</v>
      </c>
      <c r="I926" s="17"/>
      <c r="J926" s="17" t="s">
        <v>693</v>
      </c>
      <c r="K926" s="17"/>
      <c r="L926" s="17"/>
      <c r="M926" s="17"/>
      <c r="N926" s="17" t="s">
        <v>7483</v>
      </c>
      <c r="O926" s="17" t="s">
        <v>7517</v>
      </c>
      <c r="P926" s="17" t="s">
        <v>7518</v>
      </c>
      <c r="Q926" s="17"/>
      <c r="R926" s="25" t="str">
        <f>HYPERLINK("https://ictv.global/taxonomy/taxondetails?taxnode_id=202307750","Pahsextavirus pAh6C")</f>
        <v>Pahsextavirus pAh6C</v>
      </c>
      <c r="S926" s="18" t="s">
        <v>30</v>
      </c>
      <c r="T926" s="18" t="s">
        <v>7519</v>
      </c>
      <c r="U926" s="18"/>
      <c r="V926" s="18"/>
      <c r="W926" s="18" t="s">
        <v>7520</v>
      </c>
      <c r="X926" s="18" t="s">
        <v>42</v>
      </c>
      <c r="Y926" s="18" t="s">
        <v>36</v>
      </c>
      <c r="Z926" s="18" t="s">
        <v>697</v>
      </c>
      <c r="AA926" s="21" t="str">
        <f>HYPERLINK("https://www.ncbi.nlm.nih.gov/nuccore/KJ858521","NCBI Nucleotide")</f>
        <v>NCBI Nucleotide</v>
      </c>
    </row>
    <row r="927" spans="1:27" x14ac:dyDescent="0.35">
      <c r="A927">
        <v>1024733</v>
      </c>
      <c r="B927">
        <v>926</v>
      </c>
      <c r="C927">
        <v>1</v>
      </c>
      <c r="D927" s="17" t="s">
        <v>155</v>
      </c>
      <c r="E927" s="17"/>
      <c r="F927" s="17" t="s">
        <v>156</v>
      </c>
      <c r="G927" s="17"/>
      <c r="H927" s="17" t="s">
        <v>692</v>
      </c>
      <c r="I927" s="17"/>
      <c r="J927" s="17" t="s">
        <v>693</v>
      </c>
      <c r="K927" s="17"/>
      <c r="L927" s="17"/>
      <c r="M927" s="17"/>
      <c r="N927" s="17" t="s">
        <v>7483</v>
      </c>
      <c r="O927" s="17" t="s">
        <v>7517</v>
      </c>
      <c r="P927" s="17" t="s">
        <v>39038</v>
      </c>
      <c r="Q927" s="17"/>
      <c r="R927" s="25" t="str">
        <f>HYPERLINK("https://ictv.global/taxonomy/taxondetails?taxnode_id=202318082","Phayathaivirus pAh62TG")</f>
        <v>Phayathaivirus pAh62TG</v>
      </c>
      <c r="S927" s="18" t="s">
        <v>30</v>
      </c>
      <c r="T927" s="18" t="s">
        <v>39039</v>
      </c>
      <c r="U927" s="18"/>
      <c r="V927" s="18"/>
      <c r="W927" s="18" t="s">
        <v>47896</v>
      </c>
      <c r="X927" s="18" t="s">
        <v>42</v>
      </c>
      <c r="Y927" s="18" t="s">
        <v>36</v>
      </c>
      <c r="Z927" s="18" t="s">
        <v>697</v>
      </c>
      <c r="AA927" s="21" t="str">
        <f>HYPERLINK("https://www.ncbi.nlm.nih.gov/nuccore/MZ336020","NCBI Nucleotide")</f>
        <v>NCBI Nucleotide</v>
      </c>
    </row>
    <row r="928" spans="1:27" x14ac:dyDescent="0.35">
      <c r="A928">
        <v>1024734</v>
      </c>
      <c r="B928">
        <v>927</v>
      </c>
      <c r="C928">
        <v>1</v>
      </c>
      <c r="D928" s="17" t="s">
        <v>155</v>
      </c>
      <c r="E928" s="17"/>
      <c r="F928" s="17" t="s">
        <v>156</v>
      </c>
      <c r="G928" s="17"/>
      <c r="H928" s="17" t="s">
        <v>692</v>
      </c>
      <c r="I928" s="17"/>
      <c r="J928" s="17" t="s">
        <v>693</v>
      </c>
      <c r="K928" s="17"/>
      <c r="L928" s="17"/>
      <c r="M928" s="17"/>
      <c r="N928" s="17" t="s">
        <v>7483</v>
      </c>
      <c r="O928" s="17" t="s">
        <v>7517</v>
      </c>
      <c r="P928" s="17" t="s">
        <v>39038</v>
      </c>
      <c r="Q928" s="17"/>
      <c r="R928" s="25" t="str">
        <f>HYPERLINK("https://ictv.global/taxonomy/taxondetails?taxnode_id=202318083","Phayathaivirus PVN03")</f>
        <v>Phayathaivirus PVN03</v>
      </c>
      <c r="S928" s="18" t="s">
        <v>30</v>
      </c>
      <c r="T928" s="18" t="s">
        <v>39040</v>
      </c>
      <c r="U928" s="18"/>
      <c r="V928" s="18"/>
      <c r="W928" s="18" t="s">
        <v>47897</v>
      </c>
      <c r="X928" s="18" t="s">
        <v>42</v>
      </c>
      <c r="Y928" s="18" t="s">
        <v>36</v>
      </c>
      <c r="Z928" s="18" t="s">
        <v>697</v>
      </c>
      <c r="AA928" s="21" t="str">
        <f>HYPERLINK("https://www.ncbi.nlm.nih.gov/nuccore/MW380983","NCBI Nucleotide")</f>
        <v>NCBI Nucleotide</v>
      </c>
    </row>
    <row r="929" spans="1:27" x14ac:dyDescent="0.35">
      <c r="A929">
        <v>1001520</v>
      </c>
      <c r="B929">
        <v>928</v>
      </c>
      <c r="C929">
        <v>1</v>
      </c>
      <c r="D929" s="17" t="s">
        <v>155</v>
      </c>
      <c r="E929" s="17"/>
      <c r="F929" s="17" t="s">
        <v>156</v>
      </c>
      <c r="G929" s="17"/>
      <c r="H929" s="17" t="s">
        <v>692</v>
      </c>
      <c r="I929" s="17"/>
      <c r="J929" s="17" t="s">
        <v>693</v>
      </c>
      <c r="K929" s="17"/>
      <c r="L929" s="17"/>
      <c r="M929" s="17"/>
      <c r="N929" s="17" t="s">
        <v>7483</v>
      </c>
      <c r="O929" s="17" t="s">
        <v>7517</v>
      </c>
      <c r="P929" s="17" t="s">
        <v>7484</v>
      </c>
      <c r="Q929" s="17"/>
      <c r="R929" s="25" t="str">
        <f>HYPERLINK("https://ictv.global/taxonomy/taxondetails?taxnode_id=202314850","Shantouvirus ZPAH14")</f>
        <v>Shantouvirus ZPAH14</v>
      </c>
      <c r="S929" s="18" t="s">
        <v>30</v>
      </c>
      <c r="T929" s="18" t="s">
        <v>7485</v>
      </c>
      <c r="U929" s="18" t="s">
        <v>7486</v>
      </c>
      <c r="V929" s="18"/>
      <c r="W929" s="18" t="s">
        <v>7487</v>
      </c>
      <c r="X929" s="18" t="s">
        <v>42</v>
      </c>
      <c r="Y929" s="18" t="s">
        <v>36</v>
      </c>
      <c r="Z929" s="18" t="s">
        <v>697</v>
      </c>
      <c r="AA929" s="21" t="str">
        <f>HYPERLINK("https://www.ncbi.nlm.nih.gov/nuccore/OM810291","NCBI Nucleotide")</f>
        <v>NCBI Nucleotide</v>
      </c>
    </row>
    <row r="930" spans="1:27" x14ac:dyDescent="0.35">
      <c r="A930">
        <v>1001518</v>
      </c>
      <c r="B930">
        <v>929</v>
      </c>
      <c r="C930">
        <v>1</v>
      </c>
      <c r="D930" s="17" t="s">
        <v>155</v>
      </c>
      <c r="E930" s="17"/>
      <c r="F930" s="17" t="s">
        <v>156</v>
      </c>
      <c r="G930" s="17"/>
      <c r="H930" s="17" t="s">
        <v>692</v>
      </c>
      <c r="I930" s="17"/>
      <c r="J930" s="17" t="s">
        <v>693</v>
      </c>
      <c r="K930" s="17"/>
      <c r="L930" s="17"/>
      <c r="M930" s="17"/>
      <c r="N930" s="17" t="s">
        <v>7483</v>
      </c>
      <c r="O930" s="17" t="s">
        <v>7517</v>
      </c>
      <c r="P930" s="17" t="s">
        <v>7521</v>
      </c>
      <c r="Q930" s="17"/>
      <c r="R930" s="25" t="str">
        <f>HYPERLINK("https://ictv.global/taxonomy/taxondetails?taxnode_id=202307747","Yushanvirus Spp001")</f>
        <v>Yushanvirus Spp001</v>
      </c>
      <c r="S930" s="18" t="s">
        <v>30</v>
      </c>
      <c r="T930" s="18" t="s">
        <v>7522</v>
      </c>
      <c r="U930" s="18"/>
      <c r="V930" s="18"/>
      <c r="W930" s="18" t="s">
        <v>7523</v>
      </c>
      <c r="X930" s="18" t="s">
        <v>42</v>
      </c>
      <c r="Y930" s="18" t="s">
        <v>36</v>
      </c>
      <c r="Z930" s="18" t="s">
        <v>697</v>
      </c>
      <c r="AA930" s="21" t="str">
        <f>HYPERLINK("https://www.ncbi.nlm.nih.gov/nuccore/KJ002054","NCBI Nucleotide")</f>
        <v>NCBI Nucleotide</v>
      </c>
    </row>
    <row r="931" spans="1:27" x14ac:dyDescent="0.35">
      <c r="A931">
        <v>1001519</v>
      </c>
      <c r="B931">
        <v>930</v>
      </c>
      <c r="C931">
        <v>1</v>
      </c>
      <c r="D931" s="17" t="s">
        <v>155</v>
      </c>
      <c r="E931" s="17"/>
      <c r="F931" s="17" t="s">
        <v>156</v>
      </c>
      <c r="G931" s="17"/>
      <c r="H931" s="17" t="s">
        <v>692</v>
      </c>
      <c r="I931" s="17"/>
      <c r="J931" s="17" t="s">
        <v>693</v>
      </c>
      <c r="K931" s="17"/>
      <c r="L931" s="17"/>
      <c r="M931" s="17"/>
      <c r="N931" s="17" t="s">
        <v>7483</v>
      </c>
      <c r="O931" s="17" t="s">
        <v>7517</v>
      </c>
      <c r="P931" s="17" t="s">
        <v>7521</v>
      </c>
      <c r="Q931" s="17"/>
      <c r="R931" s="25" t="str">
        <f>HYPERLINK("https://ictv.global/taxonomy/taxondetails?taxnode_id=202307748","Yushanvirus SppYZU05")</f>
        <v>Yushanvirus SppYZU05</v>
      </c>
      <c r="S931" s="18" t="s">
        <v>30</v>
      </c>
      <c r="T931" s="18" t="s">
        <v>7524</v>
      </c>
      <c r="U931" s="18"/>
      <c r="V931" s="18"/>
      <c r="W931" s="18" t="s">
        <v>7525</v>
      </c>
      <c r="X931" s="18" t="s">
        <v>42</v>
      </c>
      <c r="Y931" s="18" t="s">
        <v>36</v>
      </c>
      <c r="Z931" s="18" t="s">
        <v>697</v>
      </c>
      <c r="AA931" s="21" t="str">
        <f>HYPERLINK("https://www.ncbi.nlm.nih.gov/nuccore/KY709296","NCBI Nucleotide")</f>
        <v>NCBI Nucleotide</v>
      </c>
    </row>
    <row r="932" spans="1:27" x14ac:dyDescent="0.35">
      <c r="A932">
        <v>1003781</v>
      </c>
      <c r="B932">
        <v>931</v>
      </c>
      <c r="C932">
        <v>1</v>
      </c>
      <c r="D932" s="17" t="s">
        <v>155</v>
      </c>
      <c r="E932" s="17"/>
      <c r="F932" s="17" t="s">
        <v>156</v>
      </c>
      <c r="G932" s="17"/>
      <c r="H932" s="17" t="s">
        <v>692</v>
      </c>
      <c r="I932" s="17"/>
      <c r="J932" s="17" t="s">
        <v>693</v>
      </c>
      <c r="K932" s="17"/>
      <c r="L932" s="17"/>
      <c r="M932" s="17"/>
      <c r="N932" s="17" t="s">
        <v>39041</v>
      </c>
      <c r="O932" s="17" t="s">
        <v>5052</v>
      </c>
      <c r="P932" s="17" t="s">
        <v>5053</v>
      </c>
      <c r="Q932" s="17"/>
      <c r="R932" s="25" t="str">
        <f>HYPERLINK("https://ictv.global/taxonomy/taxondetails?taxnode_id=202306799","Aphroditevirus aphrodite1")</f>
        <v>Aphroditevirus aphrodite1</v>
      </c>
      <c r="S932" s="18" t="s">
        <v>30</v>
      </c>
      <c r="T932" s="18" t="s">
        <v>5054</v>
      </c>
      <c r="U932" s="18"/>
      <c r="V932" s="18"/>
      <c r="W932" s="18" t="s">
        <v>5055</v>
      </c>
      <c r="X932" s="18" t="s">
        <v>42</v>
      </c>
      <c r="Y932" s="18" t="s">
        <v>36</v>
      </c>
      <c r="Z932" s="18" t="s">
        <v>697</v>
      </c>
      <c r="AA932" s="21" t="str">
        <f>HYPERLINK("https://www.ncbi.nlm.nih.gov/nuccore/MG720308","NCBI Nucleotide")</f>
        <v>NCBI Nucleotide</v>
      </c>
    </row>
    <row r="933" spans="1:27" x14ac:dyDescent="0.35">
      <c r="A933">
        <v>1003782</v>
      </c>
      <c r="B933">
        <v>932</v>
      </c>
      <c r="C933">
        <v>1</v>
      </c>
      <c r="D933" s="17" t="s">
        <v>155</v>
      </c>
      <c r="E933" s="17"/>
      <c r="F933" s="17" t="s">
        <v>156</v>
      </c>
      <c r="G933" s="17"/>
      <c r="H933" s="17" t="s">
        <v>692</v>
      </c>
      <c r="I933" s="17"/>
      <c r="J933" s="17" t="s">
        <v>693</v>
      </c>
      <c r="K933" s="17"/>
      <c r="L933" s="17"/>
      <c r="M933" s="17"/>
      <c r="N933" s="17" t="s">
        <v>39041</v>
      </c>
      <c r="O933" s="17" t="s">
        <v>5052</v>
      </c>
      <c r="P933" s="17" t="s">
        <v>5053</v>
      </c>
      <c r="Q933" s="17"/>
      <c r="R933" s="25" t="str">
        <f>HYPERLINK("https://ictv.global/taxonomy/taxondetails?taxnode_id=202310052","Aphroditevirus av2TSL2019")</f>
        <v>Aphroditevirus av2TSL2019</v>
      </c>
      <c r="S933" s="18" t="s">
        <v>30</v>
      </c>
      <c r="T933" s="18" t="s">
        <v>5056</v>
      </c>
      <c r="U933" s="18"/>
      <c r="V933" s="18"/>
      <c r="W933" s="18" t="s">
        <v>5057</v>
      </c>
      <c r="X933" s="18" t="s">
        <v>42</v>
      </c>
      <c r="Y933" s="18" t="s">
        <v>36</v>
      </c>
      <c r="Z933" s="18" t="s">
        <v>697</v>
      </c>
      <c r="AA933" s="21" t="str">
        <f>HYPERLINK("https://www.ncbi.nlm.nih.gov/nuccore/MK368614","NCBI Nucleotide")</f>
        <v>NCBI Nucleotide</v>
      </c>
    </row>
    <row r="934" spans="1:27" x14ac:dyDescent="0.35">
      <c r="A934">
        <v>1003783</v>
      </c>
      <c r="B934">
        <v>933</v>
      </c>
      <c r="C934">
        <v>1</v>
      </c>
      <c r="D934" s="17" t="s">
        <v>155</v>
      </c>
      <c r="E934" s="17"/>
      <c r="F934" s="17" t="s">
        <v>156</v>
      </c>
      <c r="G934" s="17"/>
      <c r="H934" s="17" t="s">
        <v>692</v>
      </c>
      <c r="I934" s="17"/>
      <c r="J934" s="17" t="s">
        <v>693</v>
      </c>
      <c r="K934" s="17"/>
      <c r="L934" s="17"/>
      <c r="M934" s="17"/>
      <c r="N934" s="17" t="s">
        <v>39041</v>
      </c>
      <c r="O934" s="17" t="s">
        <v>5052</v>
      </c>
      <c r="P934" s="17" t="s">
        <v>5053</v>
      </c>
      <c r="Q934" s="17"/>
      <c r="R934" s="25" t="str">
        <f>HYPERLINK("https://ictv.global/taxonomy/taxondetails?taxnode_id=202310053","Aphroditevirus PDCC1")</f>
        <v>Aphroditevirus PDCC1</v>
      </c>
      <c r="S934" s="18" t="s">
        <v>30</v>
      </c>
      <c r="T934" s="18" t="s">
        <v>5058</v>
      </c>
      <c r="U934" s="18"/>
      <c r="V934" s="18"/>
      <c r="W934" s="18" t="s">
        <v>5059</v>
      </c>
      <c r="X934" s="18" t="s">
        <v>42</v>
      </c>
      <c r="Y934" s="18" t="s">
        <v>36</v>
      </c>
      <c r="Z934" s="18" t="s">
        <v>697</v>
      </c>
      <c r="AA934" s="21" t="str">
        <f>HYPERLINK("https://www.ncbi.nlm.nih.gov/nuccore/MN562221","NCBI Nucleotide")</f>
        <v>NCBI Nucleotide</v>
      </c>
    </row>
    <row r="935" spans="1:27" x14ac:dyDescent="0.35">
      <c r="A935">
        <v>1003784</v>
      </c>
      <c r="B935">
        <v>934</v>
      </c>
      <c r="C935">
        <v>1</v>
      </c>
      <c r="D935" s="17" t="s">
        <v>155</v>
      </c>
      <c r="E935" s="17"/>
      <c r="F935" s="17" t="s">
        <v>156</v>
      </c>
      <c r="G935" s="17"/>
      <c r="H935" s="17" t="s">
        <v>692</v>
      </c>
      <c r="I935" s="17"/>
      <c r="J935" s="17" t="s">
        <v>693</v>
      </c>
      <c r="K935" s="17"/>
      <c r="L935" s="17"/>
      <c r="M935" s="17"/>
      <c r="N935" s="17" t="s">
        <v>39041</v>
      </c>
      <c r="O935" s="17" t="s">
        <v>5052</v>
      </c>
      <c r="P935" s="17" t="s">
        <v>5053</v>
      </c>
      <c r="Q935" s="17"/>
      <c r="R935" s="25" t="str">
        <f>HYPERLINK("https://ictv.global/taxonomy/taxondetails?taxnode_id=202310051","Aphroditevirus USC1")</f>
        <v>Aphroditevirus USC1</v>
      </c>
      <c r="S935" s="18" t="s">
        <v>30</v>
      </c>
      <c r="T935" s="18" t="s">
        <v>5060</v>
      </c>
      <c r="U935" s="18"/>
      <c r="V935" s="18"/>
      <c r="W935" s="18" t="s">
        <v>5061</v>
      </c>
      <c r="X935" s="18" t="s">
        <v>42</v>
      </c>
      <c r="Y935" s="18" t="s">
        <v>36</v>
      </c>
      <c r="Z935" s="18" t="s">
        <v>697</v>
      </c>
      <c r="AA935" s="21" t="str">
        <f>HYPERLINK("https://www.ncbi.nlm.nih.gov/nuccore/MK905543","NCBI Nucleotide")</f>
        <v>NCBI Nucleotide</v>
      </c>
    </row>
    <row r="936" spans="1:27" x14ac:dyDescent="0.35">
      <c r="A936">
        <v>1003785</v>
      </c>
      <c r="B936">
        <v>935</v>
      </c>
      <c r="C936">
        <v>1</v>
      </c>
      <c r="D936" s="17" t="s">
        <v>155</v>
      </c>
      <c r="E936" s="17"/>
      <c r="F936" s="17" t="s">
        <v>156</v>
      </c>
      <c r="G936" s="17"/>
      <c r="H936" s="17" t="s">
        <v>692</v>
      </c>
      <c r="I936" s="17"/>
      <c r="J936" s="17" t="s">
        <v>693</v>
      </c>
      <c r="K936" s="17"/>
      <c r="L936" s="17"/>
      <c r="M936" s="17"/>
      <c r="N936" s="17" t="s">
        <v>39041</v>
      </c>
      <c r="O936" s="17" t="s">
        <v>5052</v>
      </c>
      <c r="P936" s="17" t="s">
        <v>5062</v>
      </c>
      <c r="Q936" s="17"/>
      <c r="R936" s="25" t="str">
        <f>HYPERLINK("https://ictv.global/taxonomy/taxondetails?taxnode_id=202306892","Tidunavirus pTD1")</f>
        <v>Tidunavirus pTD1</v>
      </c>
      <c r="S936" s="18" t="s">
        <v>30</v>
      </c>
      <c r="T936" s="18" t="s">
        <v>5063</v>
      </c>
      <c r="U936" s="18"/>
      <c r="V936" s="18"/>
      <c r="W936" s="18" t="s">
        <v>5064</v>
      </c>
      <c r="X936" s="18" t="s">
        <v>42</v>
      </c>
      <c r="Y936" s="18" t="s">
        <v>36</v>
      </c>
      <c r="Z936" s="18" t="s">
        <v>697</v>
      </c>
      <c r="AA936" s="21" t="str">
        <f>HYPERLINK("https://www.ncbi.nlm.nih.gov/nuccore/AP017972","NCBI Nucleotide")</f>
        <v>NCBI Nucleotide</v>
      </c>
    </row>
    <row r="937" spans="1:27" x14ac:dyDescent="0.35">
      <c r="A937">
        <v>1003786</v>
      </c>
      <c r="B937">
        <v>936</v>
      </c>
      <c r="C937">
        <v>1</v>
      </c>
      <c r="D937" s="17" t="s">
        <v>155</v>
      </c>
      <c r="E937" s="17"/>
      <c r="F937" s="17" t="s">
        <v>156</v>
      </c>
      <c r="G937" s="17"/>
      <c r="H937" s="17" t="s">
        <v>692</v>
      </c>
      <c r="I937" s="17"/>
      <c r="J937" s="17" t="s">
        <v>693</v>
      </c>
      <c r="K937" s="17"/>
      <c r="L937" s="17"/>
      <c r="M937" s="17"/>
      <c r="N937" s="17" t="s">
        <v>39041</v>
      </c>
      <c r="O937" s="17" t="s">
        <v>5052</v>
      </c>
      <c r="P937" s="17" t="s">
        <v>5062</v>
      </c>
      <c r="Q937" s="17"/>
      <c r="R937" s="25" t="str">
        <f>HYPERLINK("https://ictv.global/taxonomy/taxondetails?taxnode_id=202306893","Tidunavirus VP4B")</f>
        <v>Tidunavirus VP4B</v>
      </c>
      <c r="S937" s="18" t="s">
        <v>30</v>
      </c>
      <c r="T937" s="18" t="s">
        <v>5065</v>
      </c>
      <c r="U937" s="18"/>
      <c r="V937" s="18"/>
      <c r="W937" s="18" t="s">
        <v>5066</v>
      </c>
      <c r="X937" s="18" t="s">
        <v>154</v>
      </c>
      <c r="Y937" s="18" t="s">
        <v>36</v>
      </c>
      <c r="Z937" s="18" t="s">
        <v>697</v>
      </c>
      <c r="AA937" s="21" t="str">
        <f>HYPERLINK("https://www.ncbi.nlm.nih.gov/nuccore/KC131130","NCBI Nucleotide")</f>
        <v>NCBI Nucleotide</v>
      </c>
    </row>
    <row r="938" spans="1:27" x14ac:dyDescent="0.35">
      <c r="A938">
        <v>1004528</v>
      </c>
      <c r="B938">
        <v>937</v>
      </c>
      <c r="C938">
        <v>1</v>
      </c>
      <c r="D938" s="17" t="s">
        <v>155</v>
      </c>
      <c r="E938" s="17"/>
      <c r="F938" s="17" t="s">
        <v>156</v>
      </c>
      <c r="G938" s="17"/>
      <c r="H938" s="17" t="s">
        <v>692</v>
      </c>
      <c r="I938" s="17"/>
      <c r="J938" s="17" t="s">
        <v>693</v>
      </c>
      <c r="K938" s="17"/>
      <c r="L938" s="17"/>
      <c r="M938" s="17"/>
      <c r="N938" s="17" t="s">
        <v>39041</v>
      </c>
      <c r="O938" s="17"/>
      <c r="P938" s="17" t="s">
        <v>712</v>
      </c>
      <c r="Q938" s="17"/>
      <c r="R938" s="25" t="str">
        <f>HYPERLINK("https://ictv.global/taxonomy/taxondetails?taxnode_id=202300371","Agricanvirus deimos")</f>
        <v>Agricanvirus deimos</v>
      </c>
      <c r="S938" s="18" t="s">
        <v>30</v>
      </c>
      <c r="T938" s="18" t="s">
        <v>713</v>
      </c>
      <c r="U938" s="18"/>
      <c r="V938" s="18"/>
      <c r="W938" s="18" t="s">
        <v>714</v>
      </c>
      <c r="X938" s="18" t="s">
        <v>42</v>
      </c>
      <c r="Y938" s="18" t="s">
        <v>36</v>
      </c>
      <c r="Z938" s="18" t="s">
        <v>697</v>
      </c>
      <c r="AA938" s="21" t="str">
        <f>HYPERLINK("https://www.ncbi.nlm.nih.gov/nuccore/KU886225","NCBI Nucleotide")</f>
        <v>NCBI Nucleotide</v>
      </c>
    </row>
    <row r="939" spans="1:27" x14ac:dyDescent="0.35">
      <c r="A939">
        <v>1004529</v>
      </c>
      <c r="B939">
        <v>938</v>
      </c>
      <c r="C939">
        <v>1</v>
      </c>
      <c r="D939" s="17" t="s">
        <v>155</v>
      </c>
      <c r="E939" s="17"/>
      <c r="F939" s="17" t="s">
        <v>156</v>
      </c>
      <c r="G939" s="17"/>
      <c r="H939" s="17" t="s">
        <v>692</v>
      </c>
      <c r="I939" s="17"/>
      <c r="J939" s="17" t="s">
        <v>693</v>
      </c>
      <c r="K939" s="17"/>
      <c r="L939" s="17"/>
      <c r="M939" s="17"/>
      <c r="N939" s="17" t="s">
        <v>39041</v>
      </c>
      <c r="O939" s="17"/>
      <c r="P939" s="17" t="s">
        <v>712</v>
      </c>
      <c r="Q939" s="17"/>
      <c r="R939" s="25" t="str">
        <f>HYPERLINK("https://ictv.global/taxonomy/taxondetails?taxnode_id=202306995","Agricanvirus desertfox")</f>
        <v>Agricanvirus desertfox</v>
      </c>
      <c r="S939" s="18" t="s">
        <v>30</v>
      </c>
      <c r="T939" s="18" t="s">
        <v>715</v>
      </c>
      <c r="U939" s="18"/>
      <c r="V939" s="18"/>
      <c r="W939" s="18" t="s">
        <v>716</v>
      </c>
      <c r="X939" s="18" t="s">
        <v>42</v>
      </c>
      <c r="Y939" s="18" t="s">
        <v>36</v>
      </c>
      <c r="Z939" s="18" t="s">
        <v>697</v>
      </c>
      <c r="AA939" s="21" t="str">
        <f>HYPERLINK("https://www.ncbi.nlm.nih.gov/nuccore/MG655268","NCBI Nucleotide")</f>
        <v>NCBI Nucleotide</v>
      </c>
    </row>
    <row r="940" spans="1:27" x14ac:dyDescent="0.35">
      <c r="A940">
        <v>1004530</v>
      </c>
      <c r="B940">
        <v>939</v>
      </c>
      <c r="C940">
        <v>1</v>
      </c>
      <c r="D940" s="17" t="s">
        <v>155</v>
      </c>
      <c r="E940" s="17"/>
      <c r="F940" s="17" t="s">
        <v>156</v>
      </c>
      <c r="G940" s="17"/>
      <c r="H940" s="17" t="s">
        <v>692</v>
      </c>
      <c r="I940" s="17"/>
      <c r="J940" s="17" t="s">
        <v>693</v>
      </c>
      <c r="K940" s="17"/>
      <c r="L940" s="17"/>
      <c r="M940" s="17"/>
      <c r="N940" s="17" t="s">
        <v>39041</v>
      </c>
      <c r="O940" s="17"/>
      <c r="P940" s="17" t="s">
        <v>712</v>
      </c>
      <c r="Q940" s="17"/>
      <c r="R940" s="25" t="str">
        <f>HYPERLINK("https://ictv.global/taxonomy/taxondetails?taxnode_id=202300372","Agricanvirus Ea3570")</f>
        <v>Agricanvirus Ea3570</v>
      </c>
      <c r="S940" s="18" t="s">
        <v>30</v>
      </c>
      <c r="T940" s="18" t="s">
        <v>717</v>
      </c>
      <c r="U940" s="18"/>
      <c r="V940" s="18"/>
      <c r="W940" s="18" t="s">
        <v>718</v>
      </c>
      <c r="X940" s="18" t="s">
        <v>42</v>
      </c>
      <c r="Y940" s="18" t="s">
        <v>36</v>
      </c>
      <c r="Z940" s="18" t="s">
        <v>697</v>
      </c>
      <c r="AA940" s="21" t="str">
        <f>HYPERLINK("https://www.ncbi.nlm.nih.gov/nuccore/KF806589","NCBI Nucleotide")</f>
        <v>NCBI Nucleotide</v>
      </c>
    </row>
    <row r="941" spans="1:27" x14ac:dyDescent="0.35">
      <c r="A941">
        <v>1004531</v>
      </c>
      <c r="B941">
        <v>940</v>
      </c>
      <c r="C941">
        <v>1</v>
      </c>
      <c r="D941" s="17" t="s">
        <v>155</v>
      </c>
      <c r="E941" s="17"/>
      <c r="F941" s="17" t="s">
        <v>156</v>
      </c>
      <c r="G941" s="17"/>
      <c r="H941" s="17" t="s">
        <v>692</v>
      </c>
      <c r="I941" s="17"/>
      <c r="J941" s="17" t="s">
        <v>693</v>
      </c>
      <c r="K941" s="17"/>
      <c r="L941" s="17"/>
      <c r="M941" s="17"/>
      <c r="N941" s="17" t="s">
        <v>39041</v>
      </c>
      <c r="O941" s="17"/>
      <c r="P941" s="17" t="s">
        <v>712</v>
      </c>
      <c r="Q941" s="17"/>
      <c r="R941" s="25" t="str">
        <f>HYPERLINK("https://ictv.global/taxonomy/taxondetails?taxnode_id=202300373","Agricanvirus ray")</f>
        <v>Agricanvirus ray</v>
      </c>
      <c r="S941" s="18" t="s">
        <v>30</v>
      </c>
      <c r="T941" s="18" t="s">
        <v>719</v>
      </c>
      <c r="U941" s="18"/>
      <c r="V941" s="18"/>
      <c r="W941" s="18" t="s">
        <v>720</v>
      </c>
      <c r="X941" s="18" t="s">
        <v>42</v>
      </c>
      <c r="Y941" s="18" t="s">
        <v>36</v>
      </c>
      <c r="Z941" s="18" t="s">
        <v>697</v>
      </c>
      <c r="AA941" s="21" t="str">
        <f>HYPERLINK("https://www.ncbi.nlm.nih.gov/nuccore/KU886224","NCBI Nucleotide")</f>
        <v>NCBI Nucleotide</v>
      </c>
    </row>
    <row r="942" spans="1:27" x14ac:dyDescent="0.35">
      <c r="A942">
        <v>1004532</v>
      </c>
      <c r="B942">
        <v>941</v>
      </c>
      <c r="C942">
        <v>1</v>
      </c>
      <c r="D942" s="17" t="s">
        <v>155</v>
      </c>
      <c r="E942" s="17"/>
      <c r="F942" s="17" t="s">
        <v>156</v>
      </c>
      <c r="G942" s="17"/>
      <c r="H942" s="17" t="s">
        <v>692</v>
      </c>
      <c r="I942" s="17"/>
      <c r="J942" s="17" t="s">
        <v>693</v>
      </c>
      <c r="K942" s="17"/>
      <c r="L942" s="17"/>
      <c r="M942" s="17"/>
      <c r="N942" s="17" t="s">
        <v>39041</v>
      </c>
      <c r="O942" s="17"/>
      <c r="P942" s="17" t="s">
        <v>712</v>
      </c>
      <c r="Q942" s="17"/>
      <c r="R942" s="25" t="str">
        <f>HYPERLINK("https://ictv.global/taxonomy/taxondetails?taxnode_id=202300374","Agricanvirus simmy50")</f>
        <v>Agricanvirus simmy50</v>
      </c>
      <c r="S942" s="18" t="s">
        <v>30</v>
      </c>
      <c r="T942" s="18" t="s">
        <v>721</v>
      </c>
      <c r="U942" s="18"/>
      <c r="V942" s="18"/>
      <c r="W942" s="18" t="s">
        <v>722</v>
      </c>
      <c r="X942" s="18" t="s">
        <v>42</v>
      </c>
      <c r="Y942" s="18" t="s">
        <v>36</v>
      </c>
      <c r="Z942" s="18" t="s">
        <v>697</v>
      </c>
      <c r="AA942" s="21" t="str">
        <f>HYPERLINK("https://www.ncbi.nlm.nih.gov/nuccore/KU886223","NCBI Nucleotide")</f>
        <v>NCBI Nucleotide</v>
      </c>
    </row>
    <row r="943" spans="1:27" x14ac:dyDescent="0.35">
      <c r="A943">
        <v>1004533</v>
      </c>
      <c r="B943">
        <v>942</v>
      </c>
      <c r="C943">
        <v>1</v>
      </c>
      <c r="D943" s="17" t="s">
        <v>155</v>
      </c>
      <c r="E943" s="17"/>
      <c r="F943" s="17" t="s">
        <v>156</v>
      </c>
      <c r="G943" s="17"/>
      <c r="H943" s="17" t="s">
        <v>692</v>
      </c>
      <c r="I943" s="17"/>
      <c r="J943" s="17" t="s">
        <v>693</v>
      </c>
      <c r="K943" s="17"/>
      <c r="L943" s="17"/>
      <c r="M943" s="17"/>
      <c r="N943" s="17" t="s">
        <v>39041</v>
      </c>
      <c r="O943" s="17"/>
      <c r="P943" s="17" t="s">
        <v>712</v>
      </c>
      <c r="Q943" s="17"/>
      <c r="R943" s="25" t="str">
        <f>HYPERLINK("https://ictv.global/taxonomy/taxondetails?taxnode_id=202300375","Agricanvirus specialG")</f>
        <v>Agricanvirus specialG</v>
      </c>
      <c r="S943" s="18" t="s">
        <v>30</v>
      </c>
      <c r="T943" s="18" t="s">
        <v>723</v>
      </c>
      <c r="U943" s="18"/>
      <c r="V943" s="18"/>
      <c r="W943" s="18" t="s">
        <v>724</v>
      </c>
      <c r="X943" s="18" t="s">
        <v>42</v>
      </c>
      <c r="Y943" s="18" t="s">
        <v>36</v>
      </c>
      <c r="Z943" s="18" t="s">
        <v>697</v>
      </c>
      <c r="AA943" s="21" t="str">
        <f>HYPERLINK("https://www.ncbi.nlm.nih.gov/nuccore/KU886222","NCBI Nucleotide")</f>
        <v>NCBI Nucleotide</v>
      </c>
    </row>
    <row r="944" spans="1:27" x14ac:dyDescent="0.35">
      <c r="A944">
        <v>1005012</v>
      </c>
      <c r="B944">
        <v>943</v>
      </c>
      <c r="C944">
        <v>1</v>
      </c>
      <c r="D944" s="17" t="s">
        <v>155</v>
      </c>
      <c r="E944" s="17"/>
      <c r="F944" s="17" t="s">
        <v>156</v>
      </c>
      <c r="G944" s="17"/>
      <c r="H944" s="17" t="s">
        <v>692</v>
      </c>
      <c r="I944" s="17"/>
      <c r="J944" s="17" t="s">
        <v>693</v>
      </c>
      <c r="K944" s="17"/>
      <c r="L944" s="17"/>
      <c r="M944" s="17"/>
      <c r="N944" s="17" t="s">
        <v>39041</v>
      </c>
      <c r="O944" s="17"/>
      <c r="P944" s="17" t="s">
        <v>1324</v>
      </c>
      <c r="Q944" s="17"/>
      <c r="R944" s="25" t="str">
        <f>HYPERLINK("https://ictv.global/taxonomy/taxondetails?taxnode_id=202300493","Chiangmaivirus RSF1")</f>
        <v>Chiangmaivirus RSF1</v>
      </c>
      <c r="S944" s="18" t="s">
        <v>30</v>
      </c>
      <c r="T944" s="18" t="s">
        <v>1325</v>
      </c>
      <c r="U944" s="18"/>
      <c r="V944" s="18"/>
      <c r="W944" s="18" t="s">
        <v>1326</v>
      </c>
      <c r="X944" s="18" t="s">
        <v>42</v>
      </c>
      <c r="Y944" s="18" t="s">
        <v>36</v>
      </c>
      <c r="Z944" s="18" t="s">
        <v>697</v>
      </c>
      <c r="AA944" s="21" t="str">
        <f>HYPERLINK("https://www.ncbi.nlm.nih.gov/nuccore/AP014927","NCBI Nucleotide")</f>
        <v>NCBI Nucleotide</v>
      </c>
    </row>
    <row r="945" spans="1:27" x14ac:dyDescent="0.35">
      <c r="A945">
        <v>1005013</v>
      </c>
      <c r="B945">
        <v>944</v>
      </c>
      <c r="C945">
        <v>1</v>
      </c>
      <c r="D945" s="17" t="s">
        <v>155</v>
      </c>
      <c r="E945" s="17"/>
      <c r="F945" s="17" t="s">
        <v>156</v>
      </c>
      <c r="G945" s="17"/>
      <c r="H945" s="17" t="s">
        <v>692</v>
      </c>
      <c r="I945" s="17"/>
      <c r="J945" s="17" t="s">
        <v>693</v>
      </c>
      <c r="K945" s="17"/>
      <c r="L945" s="17"/>
      <c r="M945" s="17"/>
      <c r="N945" s="17" t="s">
        <v>39041</v>
      </c>
      <c r="O945" s="17"/>
      <c r="P945" s="17" t="s">
        <v>1324</v>
      </c>
      <c r="Q945" s="17"/>
      <c r="R945" s="25" t="str">
        <f>HYPERLINK("https://ictv.global/taxonomy/taxondetails?taxnode_id=202300494","Chiangmaivirus RSL2")</f>
        <v>Chiangmaivirus RSL2</v>
      </c>
      <c r="S945" s="18" t="s">
        <v>30</v>
      </c>
      <c r="T945" s="18" t="s">
        <v>1327</v>
      </c>
      <c r="U945" s="18"/>
      <c r="V945" s="18"/>
      <c r="W945" s="18" t="s">
        <v>1328</v>
      </c>
      <c r="X945" s="18" t="s">
        <v>42</v>
      </c>
      <c r="Y945" s="18" t="s">
        <v>36</v>
      </c>
      <c r="Z945" s="18" t="s">
        <v>697</v>
      </c>
      <c r="AA945" s="21" t="str">
        <f>HYPERLINK("https://www.ncbi.nlm.nih.gov/nuccore/AP014693","NCBI Nucleotide")</f>
        <v>NCBI Nucleotide</v>
      </c>
    </row>
    <row r="946" spans="1:27" x14ac:dyDescent="0.35">
      <c r="A946">
        <v>1005064</v>
      </c>
      <c r="B946">
        <v>945</v>
      </c>
      <c r="C946">
        <v>1</v>
      </c>
      <c r="D946" s="17" t="s">
        <v>155</v>
      </c>
      <c r="E946" s="17"/>
      <c r="F946" s="17" t="s">
        <v>156</v>
      </c>
      <c r="G946" s="17"/>
      <c r="H946" s="17" t="s">
        <v>692</v>
      </c>
      <c r="I946" s="17"/>
      <c r="J946" s="17" t="s">
        <v>693</v>
      </c>
      <c r="K946" s="17"/>
      <c r="L946" s="17"/>
      <c r="M946" s="17"/>
      <c r="N946" s="17" t="s">
        <v>39041</v>
      </c>
      <c r="O946" s="17"/>
      <c r="P946" s="17" t="s">
        <v>1459</v>
      </c>
      <c r="Q946" s="17"/>
      <c r="R946" s="25" t="str">
        <f>HYPERLINK("https://ictv.global/taxonomy/taxondetails?taxnode_id=202307837","Derbicusvirus derbicus")</f>
        <v>Derbicusvirus derbicus</v>
      </c>
      <c r="S946" s="18" t="s">
        <v>30</v>
      </c>
      <c r="T946" s="18" t="s">
        <v>1460</v>
      </c>
      <c r="U946" s="18"/>
      <c r="V946" s="18"/>
      <c r="W946" s="18" t="s">
        <v>1461</v>
      </c>
      <c r="X946" s="18" t="s">
        <v>42</v>
      </c>
      <c r="Y946" s="18" t="s">
        <v>36</v>
      </c>
      <c r="Z946" s="18" t="s">
        <v>697</v>
      </c>
      <c r="AA946" s="21" t="str">
        <f>HYPERLINK("https://www.ncbi.nlm.nih.gov/nuccore/MK514282","NCBI Nucleotide")</f>
        <v>NCBI Nucleotide</v>
      </c>
    </row>
    <row r="947" spans="1:27" x14ac:dyDescent="0.35">
      <c r="A947">
        <v>1005118</v>
      </c>
      <c r="B947">
        <v>946</v>
      </c>
      <c r="C947">
        <v>1</v>
      </c>
      <c r="D947" s="17" t="s">
        <v>155</v>
      </c>
      <c r="E947" s="17"/>
      <c r="F947" s="17" t="s">
        <v>156</v>
      </c>
      <c r="G947" s="17"/>
      <c r="H947" s="17" t="s">
        <v>692</v>
      </c>
      <c r="I947" s="17"/>
      <c r="J947" s="17" t="s">
        <v>693</v>
      </c>
      <c r="K947" s="17"/>
      <c r="L947" s="17"/>
      <c r="M947" s="17"/>
      <c r="N947" s="17" t="s">
        <v>39041</v>
      </c>
      <c r="O947" s="17"/>
      <c r="P947" s="17" t="s">
        <v>1595</v>
      </c>
      <c r="Q947" s="17"/>
      <c r="R947" s="25" t="str">
        <f>HYPERLINK("https://ictv.global/taxonomy/taxondetails?taxnode_id=202300432","Elvirus EL")</f>
        <v>Elvirus EL</v>
      </c>
      <c r="S947" s="18" t="s">
        <v>30</v>
      </c>
      <c r="T947" s="18" t="s">
        <v>1596</v>
      </c>
      <c r="U947" s="18"/>
      <c r="V947" s="18"/>
      <c r="W947" s="18" t="s">
        <v>1597</v>
      </c>
      <c r="X947" s="18" t="s">
        <v>42</v>
      </c>
      <c r="Y947" s="18" t="s">
        <v>36</v>
      </c>
      <c r="Z947" s="18" t="s">
        <v>697</v>
      </c>
      <c r="AA947" s="21" t="str">
        <f>HYPERLINK("https://www.ncbi.nlm.nih.gov/nuccore/AJ697969","NCBI Nucleotide")</f>
        <v>NCBI Nucleotide</v>
      </c>
    </row>
    <row r="948" spans="1:27" x14ac:dyDescent="0.35">
      <c r="A948">
        <v>1005137</v>
      </c>
      <c r="B948">
        <v>947</v>
      </c>
      <c r="C948">
        <v>1</v>
      </c>
      <c r="D948" s="17" t="s">
        <v>155</v>
      </c>
      <c r="E948" s="17"/>
      <c r="F948" s="17" t="s">
        <v>156</v>
      </c>
      <c r="G948" s="17"/>
      <c r="H948" s="17" t="s">
        <v>692</v>
      </c>
      <c r="I948" s="17"/>
      <c r="J948" s="17" t="s">
        <v>693</v>
      </c>
      <c r="K948" s="17"/>
      <c r="L948" s="17"/>
      <c r="M948" s="17"/>
      <c r="N948" s="17" t="s">
        <v>39041</v>
      </c>
      <c r="O948" s="17"/>
      <c r="P948" s="17" t="s">
        <v>1643</v>
      </c>
      <c r="Q948" s="17"/>
      <c r="R948" s="25" t="str">
        <f>HYPERLINK("https://ictv.global/taxonomy/taxondetails?taxnode_id=202305480","Erskinevirus asesino")</f>
        <v>Erskinevirus asesino</v>
      </c>
      <c r="S948" s="18" t="s">
        <v>30</v>
      </c>
      <c r="T948" s="18" t="s">
        <v>1644</v>
      </c>
      <c r="U948" s="18"/>
      <c r="V948" s="18"/>
      <c r="W948" s="18" t="s">
        <v>1645</v>
      </c>
      <c r="X948" s="18" t="s">
        <v>42</v>
      </c>
      <c r="Y948" s="18" t="s">
        <v>36</v>
      </c>
      <c r="Z948" s="18" t="s">
        <v>697</v>
      </c>
      <c r="AA948" s="21" t="str">
        <f>HYPERLINK("https://www.ncbi.nlm.nih.gov/nuccore/KX397364","NCBI Nucleotide")</f>
        <v>NCBI Nucleotide</v>
      </c>
    </row>
    <row r="949" spans="1:27" x14ac:dyDescent="0.35">
      <c r="A949">
        <v>1005138</v>
      </c>
      <c r="B949">
        <v>948</v>
      </c>
      <c r="C949">
        <v>1</v>
      </c>
      <c r="D949" s="17" t="s">
        <v>155</v>
      </c>
      <c r="E949" s="17"/>
      <c r="F949" s="17" t="s">
        <v>156</v>
      </c>
      <c r="G949" s="17"/>
      <c r="H949" s="17" t="s">
        <v>692</v>
      </c>
      <c r="I949" s="17"/>
      <c r="J949" s="17" t="s">
        <v>693</v>
      </c>
      <c r="K949" s="17"/>
      <c r="L949" s="17"/>
      <c r="M949" s="17"/>
      <c r="N949" s="17" t="s">
        <v>39041</v>
      </c>
      <c r="O949" s="17"/>
      <c r="P949" s="17" t="s">
        <v>1643</v>
      </c>
      <c r="Q949" s="17"/>
      <c r="R949" s="25" t="str">
        <f>HYPERLINK("https://ictv.global/taxonomy/taxondetails?taxnode_id=202305481","Erskinevirus EaH2")</f>
        <v>Erskinevirus EaH2</v>
      </c>
      <c r="S949" s="18" t="s">
        <v>30</v>
      </c>
      <c r="T949" s="18" t="s">
        <v>1646</v>
      </c>
      <c r="U949" s="18"/>
      <c r="V949" s="18"/>
      <c r="W949" s="18" t="s">
        <v>1647</v>
      </c>
      <c r="X949" s="18" t="s">
        <v>42</v>
      </c>
      <c r="Y949" s="18" t="s">
        <v>36</v>
      </c>
      <c r="Z949" s="18" t="s">
        <v>697</v>
      </c>
      <c r="AA949" s="21" t="str">
        <f>HYPERLINK("https://www.ncbi.nlm.nih.gov/nuccore/JX316028","NCBI Nucleotide")</f>
        <v>NCBI Nucleotide</v>
      </c>
    </row>
    <row r="950" spans="1:27" x14ac:dyDescent="0.35">
      <c r="A950">
        <v>1005268</v>
      </c>
      <c r="B950">
        <v>949</v>
      </c>
      <c r="C950">
        <v>1</v>
      </c>
      <c r="D950" s="17" t="s">
        <v>155</v>
      </c>
      <c r="E950" s="17"/>
      <c r="F950" s="17" t="s">
        <v>156</v>
      </c>
      <c r="G950" s="17"/>
      <c r="H950" s="17" t="s">
        <v>692</v>
      </c>
      <c r="I950" s="17"/>
      <c r="J950" s="17" t="s">
        <v>693</v>
      </c>
      <c r="K950" s="17"/>
      <c r="L950" s="17"/>
      <c r="M950" s="17"/>
      <c r="N950" s="17" t="s">
        <v>39041</v>
      </c>
      <c r="O950" s="17"/>
      <c r="P950" s="17" t="s">
        <v>1950</v>
      </c>
      <c r="Q950" s="17"/>
      <c r="R950" s="25" t="str">
        <f>HYPERLINK("https://ictv.global/taxonomy/taxondetails?taxnode_id=202307371","Goslarvirus goslar")</f>
        <v>Goslarvirus goslar</v>
      </c>
      <c r="S950" s="18" t="s">
        <v>30</v>
      </c>
      <c r="T950" s="18" t="s">
        <v>1951</v>
      </c>
      <c r="U950" s="18"/>
      <c r="V950" s="18"/>
      <c r="W950" s="18" t="s">
        <v>1952</v>
      </c>
      <c r="X950" s="18" t="s">
        <v>42</v>
      </c>
      <c r="Y950" s="18" t="s">
        <v>36</v>
      </c>
      <c r="Z950" s="18" t="s">
        <v>697</v>
      </c>
      <c r="AA950" s="21" t="str">
        <f>HYPERLINK("https://www.ncbi.nlm.nih.gov/nuccore/MK327938","NCBI Nucleotide")</f>
        <v>NCBI Nucleotide</v>
      </c>
    </row>
    <row r="951" spans="1:27" x14ac:dyDescent="0.35">
      <c r="A951">
        <v>1005306</v>
      </c>
      <c r="B951">
        <v>950</v>
      </c>
      <c r="C951">
        <v>1</v>
      </c>
      <c r="D951" s="17" t="s">
        <v>155</v>
      </c>
      <c r="E951" s="17"/>
      <c r="F951" s="17" t="s">
        <v>156</v>
      </c>
      <c r="G951" s="17"/>
      <c r="H951" s="17" t="s">
        <v>692</v>
      </c>
      <c r="I951" s="17"/>
      <c r="J951" s="17" t="s">
        <v>693</v>
      </c>
      <c r="K951" s="17"/>
      <c r="L951" s="17"/>
      <c r="M951" s="17"/>
      <c r="N951" s="17" t="s">
        <v>39041</v>
      </c>
      <c r="O951" s="17"/>
      <c r="P951" s="17" t="s">
        <v>2048</v>
      </c>
      <c r="Q951" s="17"/>
      <c r="R951" s="25" t="str">
        <f>HYPERLINK("https://ictv.global/taxonomy/taxondetails?taxnode_id=202306317","Iapetusvirus EaH1")</f>
        <v>Iapetusvirus EaH1</v>
      </c>
      <c r="S951" s="18" t="s">
        <v>30</v>
      </c>
      <c r="T951" s="18" t="s">
        <v>2049</v>
      </c>
      <c r="U951" s="18"/>
      <c r="V951" s="18"/>
      <c r="W951" s="18" t="s">
        <v>2050</v>
      </c>
      <c r="X951" s="18" t="s">
        <v>42</v>
      </c>
      <c r="Y951" s="18" t="s">
        <v>36</v>
      </c>
      <c r="Z951" s="18" t="s">
        <v>697</v>
      </c>
      <c r="AA951" s="21" t="str">
        <f>HYPERLINK("https://www.ncbi.nlm.nih.gov/nuccore/KF623294","NCBI Nucleotide")</f>
        <v>NCBI Nucleotide</v>
      </c>
    </row>
    <row r="952" spans="1:27" x14ac:dyDescent="0.35">
      <c r="A952">
        <v>1005867</v>
      </c>
      <c r="B952">
        <v>951</v>
      </c>
      <c r="C952">
        <v>1</v>
      </c>
      <c r="D952" s="17" t="s">
        <v>155</v>
      </c>
      <c r="E952" s="17"/>
      <c r="F952" s="17" t="s">
        <v>156</v>
      </c>
      <c r="G952" s="17"/>
      <c r="H952" s="17" t="s">
        <v>692</v>
      </c>
      <c r="I952" s="17"/>
      <c r="J952" s="17" t="s">
        <v>693</v>
      </c>
      <c r="K952" s="17"/>
      <c r="L952" s="17"/>
      <c r="M952" s="17"/>
      <c r="N952" s="17" t="s">
        <v>39041</v>
      </c>
      <c r="O952" s="17"/>
      <c r="P952" s="17" t="s">
        <v>2524</v>
      </c>
      <c r="Q952" s="17"/>
      <c r="R952" s="25" t="str">
        <f>HYPERLINK("https://ictv.global/taxonomy/taxondetails?taxnode_id=202305483","Machinavirus machina")</f>
        <v>Machinavirus machina</v>
      </c>
      <c r="S952" s="18" t="s">
        <v>30</v>
      </c>
      <c r="T952" s="18" t="s">
        <v>2525</v>
      </c>
      <c r="U952" s="18"/>
      <c r="V952" s="18"/>
      <c r="W952" s="18" t="s">
        <v>2526</v>
      </c>
      <c r="X952" s="18" t="s">
        <v>42</v>
      </c>
      <c r="Y952" s="18" t="s">
        <v>36</v>
      </c>
      <c r="Z952" s="18" t="s">
        <v>697</v>
      </c>
      <c r="AA952" s="21" t="str">
        <f>HYPERLINK("https://www.ncbi.nlm.nih.gov/nuccore/KX397370","NCBI Nucleotide")</f>
        <v>NCBI Nucleotide</v>
      </c>
    </row>
    <row r="953" spans="1:27" x14ac:dyDescent="0.35">
      <c r="A953">
        <v>1005918</v>
      </c>
      <c r="B953">
        <v>952</v>
      </c>
      <c r="C953">
        <v>1</v>
      </c>
      <c r="D953" s="17" t="s">
        <v>155</v>
      </c>
      <c r="E953" s="17"/>
      <c r="F953" s="17" t="s">
        <v>156</v>
      </c>
      <c r="G953" s="17"/>
      <c r="H953" s="17" t="s">
        <v>692</v>
      </c>
      <c r="I953" s="17"/>
      <c r="J953" s="17" t="s">
        <v>693</v>
      </c>
      <c r="K953" s="17"/>
      <c r="L953" s="17"/>
      <c r="M953" s="17"/>
      <c r="N953" s="17" t="s">
        <v>39041</v>
      </c>
      <c r="O953" s="17"/>
      <c r="P953" s="17" t="s">
        <v>2654</v>
      </c>
      <c r="Q953" s="17"/>
      <c r="R953" s="25" t="str">
        <f>HYPERLINK("https://ictv.global/taxonomy/taxondetails?taxnode_id=202311539","Moabitevirus moabite")</f>
        <v>Moabitevirus moabite</v>
      </c>
      <c r="S953" s="18" t="s">
        <v>30</v>
      </c>
      <c r="T953" s="18" t="s">
        <v>2655</v>
      </c>
      <c r="U953" s="18"/>
      <c r="V953" s="18"/>
      <c r="W953" s="18" t="s">
        <v>2656</v>
      </c>
      <c r="X953" s="18" t="s">
        <v>42</v>
      </c>
      <c r="Y953" s="18" t="s">
        <v>36</v>
      </c>
      <c r="Z953" s="18" t="s">
        <v>697</v>
      </c>
      <c r="AA953" s="21" t="str">
        <f>HYPERLINK("https://www.ncbi.nlm.nih.gov/nuccore/MK994515","NCBI Nucleotide")</f>
        <v>NCBI Nucleotide</v>
      </c>
    </row>
    <row r="954" spans="1:27" x14ac:dyDescent="0.35">
      <c r="A954">
        <v>1005919</v>
      </c>
      <c r="B954">
        <v>953</v>
      </c>
      <c r="C954">
        <v>1</v>
      </c>
      <c r="D954" s="17" t="s">
        <v>155</v>
      </c>
      <c r="E954" s="17"/>
      <c r="F954" s="17" t="s">
        <v>156</v>
      </c>
      <c r="G954" s="17"/>
      <c r="H954" s="17" t="s">
        <v>692</v>
      </c>
      <c r="I954" s="17"/>
      <c r="J954" s="17" t="s">
        <v>693</v>
      </c>
      <c r="K954" s="17"/>
      <c r="L954" s="17"/>
      <c r="M954" s="17"/>
      <c r="N954" s="17" t="s">
        <v>39041</v>
      </c>
      <c r="O954" s="17"/>
      <c r="P954" s="17" t="s">
        <v>2654</v>
      </c>
      <c r="Q954" s="17"/>
      <c r="R954" s="25" t="str">
        <f>HYPERLINK("https://ictv.global/taxonomy/taxondetails?taxnode_id=202311540","Moabitevirus mv2050HW")</f>
        <v>Moabitevirus mv2050HW</v>
      </c>
      <c r="S954" s="18" t="s">
        <v>30</v>
      </c>
      <c r="T954" s="18" t="s">
        <v>2657</v>
      </c>
      <c r="U954" s="18"/>
      <c r="V954" s="18"/>
      <c r="W954" s="18" t="s">
        <v>2658</v>
      </c>
      <c r="X954" s="18" t="s">
        <v>42</v>
      </c>
      <c r="Y954" s="18" t="s">
        <v>36</v>
      </c>
      <c r="Z954" s="18" t="s">
        <v>697</v>
      </c>
      <c r="AA954" s="21" t="str">
        <f>HYPERLINK("https://www.ncbi.nlm.nih.gov/nuccore/MF285618","NCBI Nucleotide")</f>
        <v>NCBI Nucleotide</v>
      </c>
    </row>
    <row r="955" spans="1:27" x14ac:dyDescent="0.35">
      <c r="A955">
        <v>1005988</v>
      </c>
      <c r="B955">
        <v>954</v>
      </c>
      <c r="C955">
        <v>1</v>
      </c>
      <c r="D955" s="17" t="s">
        <v>155</v>
      </c>
      <c r="E955" s="17"/>
      <c r="F955" s="17" t="s">
        <v>156</v>
      </c>
      <c r="G955" s="17"/>
      <c r="H955" s="17" t="s">
        <v>692</v>
      </c>
      <c r="I955" s="17"/>
      <c r="J955" s="17" t="s">
        <v>693</v>
      </c>
      <c r="K955" s="17"/>
      <c r="L955" s="17"/>
      <c r="M955" s="17"/>
      <c r="N955" s="17" t="s">
        <v>39041</v>
      </c>
      <c r="O955" s="17"/>
      <c r="P955" s="17" t="s">
        <v>2823</v>
      </c>
      <c r="Q955" s="17"/>
      <c r="R955" s="25" t="str">
        <f>HYPERLINK("https://ictv.global/taxonomy/taxondetails?taxnode_id=202306327","Noxifervirus noxifer")</f>
        <v>Noxifervirus noxifer</v>
      </c>
      <c r="S955" s="18" t="s">
        <v>30</v>
      </c>
      <c r="T955" s="18" t="s">
        <v>2824</v>
      </c>
      <c r="U955" s="18"/>
      <c r="V955" s="18"/>
      <c r="W955" s="18" t="s">
        <v>2825</v>
      </c>
      <c r="X955" s="18" t="s">
        <v>42</v>
      </c>
      <c r="Y955" s="18" t="s">
        <v>36</v>
      </c>
      <c r="Z955" s="18" t="s">
        <v>697</v>
      </c>
      <c r="AA955" s="21" t="str">
        <f>HYPERLINK("https://www.ncbi.nlm.nih.gov/nuccore/MF063068","NCBI Nucleotide")</f>
        <v>NCBI Nucleotide</v>
      </c>
    </row>
    <row r="956" spans="1:27" x14ac:dyDescent="0.35">
      <c r="A956">
        <v>1006283</v>
      </c>
      <c r="B956">
        <v>955</v>
      </c>
      <c r="C956">
        <v>1</v>
      </c>
      <c r="D956" s="17" t="s">
        <v>155</v>
      </c>
      <c r="E956" s="17"/>
      <c r="F956" s="17" t="s">
        <v>156</v>
      </c>
      <c r="G956" s="17"/>
      <c r="H956" s="17" t="s">
        <v>692</v>
      </c>
      <c r="I956" s="17"/>
      <c r="J956" s="17" t="s">
        <v>693</v>
      </c>
      <c r="K956" s="17"/>
      <c r="L956" s="17"/>
      <c r="M956" s="17"/>
      <c r="N956" s="17" t="s">
        <v>39041</v>
      </c>
      <c r="O956" s="17"/>
      <c r="P956" s="17" t="s">
        <v>3187</v>
      </c>
      <c r="Q956" s="17"/>
      <c r="R956" s="25" t="str">
        <f>HYPERLINK("https://ictv.global/taxonomy/taxondetails?taxnode_id=202307985","Petsuvirus pEtSU")</f>
        <v>Petsuvirus pEtSU</v>
      </c>
      <c r="S956" s="18" t="s">
        <v>30</v>
      </c>
      <c r="T956" s="18" t="s">
        <v>3188</v>
      </c>
      <c r="U956" s="18"/>
      <c r="V956" s="18"/>
      <c r="W956" s="18" t="s">
        <v>3189</v>
      </c>
      <c r="X956" s="18" t="s">
        <v>42</v>
      </c>
      <c r="Y956" s="18" t="s">
        <v>36</v>
      </c>
      <c r="Z956" s="18" t="s">
        <v>697</v>
      </c>
      <c r="AA956" s="21" t="str">
        <f>HYPERLINK("https://www.ncbi.nlm.nih.gov/nuccore/MK689364","NCBI Nucleotide")</f>
        <v>NCBI Nucleotide</v>
      </c>
    </row>
    <row r="957" spans="1:27" x14ac:dyDescent="0.35">
      <c r="A957">
        <v>1006291</v>
      </c>
      <c r="B957">
        <v>956</v>
      </c>
      <c r="C957">
        <v>1</v>
      </c>
      <c r="D957" s="17" t="s">
        <v>155</v>
      </c>
      <c r="E957" s="17"/>
      <c r="F957" s="17" t="s">
        <v>156</v>
      </c>
      <c r="G957" s="17"/>
      <c r="H957" s="17" t="s">
        <v>692</v>
      </c>
      <c r="I957" s="17"/>
      <c r="J957" s="17" t="s">
        <v>693</v>
      </c>
      <c r="K957" s="17"/>
      <c r="L957" s="17"/>
      <c r="M957" s="17"/>
      <c r="N957" s="17" t="s">
        <v>39041</v>
      </c>
      <c r="O957" s="17"/>
      <c r="P957" s="17" t="s">
        <v>3208</v>
      </c>
      <c r="Q957" s="17"/>
      <c r="R957" s="25" t="str">
        <f>HYPERLINK("https://ictv.global/taxonomy/taxondetails?taxnode_id=202300488","Phikzvirus PA7")</f>
        <v>Phikzvirus PA7</v>
      </c>
      <c r="S957" s="18" t="s">
        <v>30</v>
      </c>
      <c r="T957" s="18" t="s">
        <v>3209</v>
      </c>
      <c r="U957" s="18"/>
      <c r="V957" s="18"/>
      <c r="W957" s="18" t="s">
        <v>3210</v>
      </c>
      <c r="X957" s="18" t="s">
        <v>154</v>
      </c>
      <c r="Y957" s="18" t="s">
        <v>36</v>
      </c>
      <c r="Z957" s="18" t="s">
        <v>697</v>
      </c>
      <c r="AA957" s="21" t="str">
        <f>HYPERLINK("https://www.ncbi.nlm.nih.gov/nuccore/JX233784","NCBI Nucleotide")</f>
        <v>NCBI Nucleotide</v>
      </c>
    </row>
    <row r="958" spans="1:27" x14ac:dyDescent="0.35">
      <c r="A958">
        <v>1006292</v>
      </c>
      <c r="B958">
        <v>957</v>
      </c>
      <c r="C958">
        <v>1</v>
      </c>
      <c r="D958" s="17" t="s">
        <v>155</v>
      </c>
      <c r="E958" s="17"/>
      <c r="F958" s="17" t="s">
        <v>156</v>
      </c>
      <c r="G958" s="17"/>
      <c r="H958" s="17" t="s">
        <v>692</v>
      </c>
      <c r="I958" s="17"/>
      <c r="J958" s="17" t="s">
        <v>693</v>
      </c>
      <c r="K958" s="17"/>
      <c r="L958" s="17"/>
      <c r="M958" s="17"/>
      <c r="N958" s="17" t="s">
        <v>39041</v>
      </c>
      <c r="O958" s="17"/>
      <c r="P958" s="17" t="s">
        <v>3208</v>
      </c>
      <c r="Q958" s="17"/>
      <c r="R958" s="25" t="str">
        <f>HYPERLINK("https://ictv.global/taxonomy/taxondetails?taxnode_id=202300489","Phikzvirus phiKZ")</f>
        <v>Phikzvirus phiKZ</v>
      </c>
      <c r="S958" s="18" t="s">
        <v>30</v>
      </c>
      <c r="T958" s="18" t="s">
        <v>3211</v>
      </c>
      <c r="U958" s="18"/>
      <c r="V958" s="18"/>
      <c r="W958" s="18" t="s">
        <v>3212</v>
      </c>
      <c r="X958" s="18" t="s">
        <v>42</v>
      </c>
      <c r="Y958" s="18" t="s">
        <v>36</v>
      </c>
      <c r="Z958" s="18" t="s">
        <v>697</v>
      </c>
      <c r="AA958" s="21" t="str">
        <f>HYPERLINK("https://www.ncbi.nlm.nih.gov/nuccore/AF399011","NCBI Nucleotide")</f>
        <v>NCBI Nucleotide</v>
      </c>
    </row>
    <row r="959" spans="1:27" x14ac:dyDescent="0.35">
      <c r="A959">
        <v>1006293</v>
      </c>
      <c r="B959">
        <v>958</v>
      </c>
      <c r="C959">
        <v>1</v>
      </c>
      <c r="D959" s="17" t="s">
        <v>155</v>
      </c>
      <c r="E959" s="17"/>
      <c r="F959" s="17" t="s">
        <v>156</v>
      </c>
      <c r="G959" s="17"/>
      <c r="H959" s="17" t="s">
        <v>692</v>
      </c>
      <c r="I959" s="17"/>
      <c r="J959" s="17" t="s">
        <v>693</v>
      </c>
      <c r="K959" s="17"/>
      <c r="L959" s="17"/>
      <c r="M959" s="17"/>
      <c r="N959" s="17" t="s">
        <v>39041</v>
      </c>
      <c r="O959" s="17"/>
      <c r="P959" s="17" t="s">
        <v>3208</v>
      </c>
      <c r="Q959" s="17"/>
      <c r="R959" s="25" t="str">
        <f>HYPERLINK("https://ictv.global/taxonomy/taxondetails?taxnode_id=202307032","Phikzvirus SL2")</f>
        <v>Phikzvirus SL2</v>
      </c>
      <c r="S959" s="18" t="s">
        <v>30</v>
      </c>
      <c r="T959" s="18" t="s">
        <v>3213</v>
      </c>
      <c r="U959" s="18"/>
      <c r="V959" s="18"/>
      <c r="W959" s="18" t="s">
        <v>3214</v>
      </c>
      <c r="X959" s="18" t="s">
        <v>42</v>
      </c>
      <c r="Y959" s="18" t="s">
        <v>36</v>
      </c>
      <c r="Z959" s="18" t="s">
        <v>697</v>
      </c>
      <c r="AA959" s="21" t="str">
        <f>HYPERLINK("https://www.ncbi.nlm.nih.gov/nuccore/MF805716","NCBI Nucleotide")</f>
        <v>NCBI Nucleotide</v>
      </c>
    </row>
    <row r="960" spans="1:27" x14ac:dyDescent="0.35">
      <c r="A960">
        <v>1006365</v>
      </c>
      <c r="B960">
        <v>959</v>
      </c>
      <c r="C960">
        <v>1</v>
      </c>
      <c r="D960" s="17" t="s">
        <v>155</v>
      </c>
      <c r="E960" s="17"/>
      <c r="F960" s="17" t="s">
        <v>156</v>
      </c>
      <c r="G960" s="17"/>
      <c r="H960" s="17" t="s">
        <v>692</v>
      </c>
      <c r="I960" s="17"/>
      <c r="J960" s="17" t="s">
        <v>693</v>
      </c>
      <c r="K960" s="17"/>
      <c r="L960" s="17"/>
      <c r="M960" s="17"/>
      <c r="N960" s="17" t="s">
        <v>39041</v>
      </c>
      <c r="O960" s="17"/>
      <c r="P960" s="17" t="s">
        <v>3394</v>
      </c>
      <c r="Q960" s="17"/>
      <c r="R960" s="25" t="str">
        <f>HYPERLINK("https://ictv.global/taxonomy/taxondetails?taxnode_id=202306865","Ripduovirus RP12")</f>
        <v>Ripduovirus RP12</v>
      </c>
      <c r="S960" s="18" t="s">
        <v>30</v>
      </c>
      <c r="T960" s="18" t="s">
        <v>3395</v>
      </c>
      <c r="U960" s="18"/>
      <c r="V960" s="18"/>
      <c r="W960" s="18" t="s">
        <v>3396</v>
      </c>
      <c r="X960" s="18" t="s">
        <v>42</v>
      </c>
      <c r="Y960" s="18" t="s">
        <v>36</v>
      </c>
      <c r="Z960" s="18" t="s">
        <v>697</v>
      </c>
      <c r="AA960" s="21" t="str">
        <f>HYPERLINK("https://www.ncbi.nlm.nih.gov/nuccore/AP017924","NCBI Nucleotide")</f>
        <v>NCBI Nucleotide</v>
      </c>
    </row>
    <row r="961" spans="1:27" x14ac:dyDescent="0.35">
      <c r="A961">
        <v>1006366</v>
      </c>
      <c r="B961">
        <v>960</v>
      </c>
      <c r="C961">
        <v>1</v>
      </c>
      <c r="D961" s="17" t="s">
        <v>155</v>
      </c>
      <c r="E961" s="17"/>
      <c r="F961" s="17" t="s">
        <v>156</v>
      </c>
      <c r="G961" s="17"/>
      <c r="H961" s="17" t="s">
        <v>692</v>
      </c>
      <c r="I961" s="17"/>
      <c r="J961" s="17" t="s">
        <v>693</v>
      </c>
      <c r="K961" s="17"/>
      <c r="L961" s="17"/>
      <c r="M961" s="17"/>
      <c r="N961" s="17" t="s">
        <v>39041</v>
      </c>
      <c r="O961" s="17"/>
      <c r="P961" s="17" t="s">
        <v>3397</v>
      </c>
      <c r="Q961" s="17"/>
      <c r="R961" s="25" t="str">
        <f>HYPERLINK("https://ictv.global/taxonomy/taxondetails?taxnode_id=202306867","Risingsunvirus risingsun")</f>
        <v>Risingsunvirus risingsun</v>
      </c>
      <c r="S961" s="18" t="s">
        <v>30</v>
      </c>
      <c r="T961" s="18" t="s">
        <v>3398</v>
      </c>
      <c r="U961" s="18"/>
      <c r="V961" s="18"/>
      <c r="W961" s="18" t="s">
        <v>3399</v>
      </c>
      <c r="X961" s="18" t="s">
        <v>42</v>
      </c>
      <c r="Y961" s="18" t="s">
        <v>36</v>
      </c>
      <c r="Z961" s="18" t="s">
        <v>697</v>
      </c>
      <c r="AA961" s="21" t="str">
        <f>HYPERLINK("https://www.ncbi.nlm.nih.gov/nuccore/MF459646","NCBI Nucleotide")</f>
        <v>NCBI Nucleotide</v>
      </c>
    </row>
    <row r="962" spans="1:27" x14ac:dyDescent="0.35">
      <c r="A962">
        <v>1006436</v>
      </c>
      <c r="B962">
        <v>961</v>
      </c>
      <c r="C962">
        <v>1</v>
      </c>
      <c r="D962" s="17" t="s">
        <v>155</v>
      </c>
      <c r="E962" s="17"/>
      <c r="F962" s="17" t="s">
        <v>156</v>
      </c>
      <c r="G962" s="17"/>
      <c r="H962" s="17" t="s">
        <v>692</v>
      </c>
      <c r="I962" s="17"/>
      <c r="J962" s="17" t="s">
        <v>693</v>
      </c>
      <c r="K962" s="17"/>
      <c r="L962" s="17"/>
      <c r="M962" s="17"/>
      <c r="N962" s="17" t="s">
        <v>39041</v>
      </c>
      <c r="O962" s="17"/>
      <c r="P962" s="17" t="s">
        <v>3580</v>
      </c>
      <c r="Q962" s="17"/>
      <c r="R962" s="25" t="str">
        <f>HYPERLINK("https://ictv.global/taxonomy/taxondetails?taxnode_id=202300508","Seoulvirus SPN3US")</f>
        <v>Seoulvirus SPN3US</v>
      </c>
      <c r="S962" s="18" t="s">
        <v>30</v>
      </c>
      <c r="T962" s="18" t="s">
        <v>3581</v>
      </c>
      <c r="U962" s="18"/>
      <c r="V962" s="18"/>
      <c r="W962" s="18" t="s">
        <v>3582</v>
      </c>
      <c r="X962" s="18" t="s">
        <v>42</v>
      </c>
      <c r="Y962" s="18" t="s">
        <v>36</v>
      </c>
      <c r="Z962" s="18" t="s">
        <v>697</v>
      </c>
      <c r="AA962" s="21" t="str">
        <f>HYPERLINK("https://www.ncbi.nlm.nih.gov/nuccore/JN641803","NCBI Nucleotide")</f>
        <v>NCBI Nucleotide</v>
      </c>
    </row>
    <row r="963" spans="1:27" x14ac:dyDescent="0.35">
      <c r="A963">
        <v>1006602</v>
      </c>
      <c r="B963">
        <v>962</v>
      </c>
      <c r="C963">
        <v>1</v>
      </c>
      <c r="D963" s="17" t="s">
        <v>155</v>
      </c>
      <c r="E963" s="17"/>
      <c r="F963" s="17" t="s">
        <v>156</v>
      </c>
      <c r="G963" s="17"/>
      <c r="H963" s="17" t="s">
        <v>692</v>
      </c>
      <c r="I963" s="17"/>
      <c r="J963" s="17" t="s">
        <v>693</v>
      </c>
      <c r="K963" s="17"/>
      <c r="L963" s="17"/>
      <c r="M963" s="17"/>
      <c r="N963" s="17" t="s">
        <v>39041</v>
      </c>
      <c r="O963" s="17"/>
      <c r="P963" s="17" t="s">
        <v>3956</v>
      </c>
      <c r="Q963" s="17"/>
      <c r="R963" s="25" t="str">
        <f>HYPERLINK("https://ictv.global/taxonomy/taxondetails?taxnode_id=202300514","Takahashivirus PBS1")</f>
        <v>Takahashivirus PBS1</v>
      </c>
      <c r="S963" s="18" t="s">
        <v>30</v>
      </c>
      <c r="T963" s="18" t="s">
        <v>3957</v>
      </c>
      <c r="U963" s="18"/>
      <c r="V963" s="18"/>
      <c r="W963" s="18" t="s">
        <v>3958</v>
      </c>
      <c r="X963" s="18" t="s">
        <v>42</v>
      </c>
      <c r="Y963" s="18" t="s">
        <v>36</v>
      </c>
      <c r="Z963" s="18" t="s">
        <v>697</v>
      </c>
      <c r="AA963" s="21" t="str">
        <f>HYPERLINK("https://www.ncbi.nlm.nih.gov/nuccore/MF360957","NCBI Nucleotide")</f>
        <v>NCBI Nucleotide</v>
      </c>
    </row>
    <row r="964" spans="1:27" x14ac:dyDescent="0.35">
      <c r="A964">
        <v>1006723</v>
      </c>
      <c r="B964">
        <v>963</v>
      </c>
      <c r="C964">
        <v>1</v>
      </c>
      <c r="D964" s="17" t="s">
        <v>155</v>
      </c>
      <c r="E964" s="17"/>
      <c r="F964" s="17" t="s">
        <v>156</v>
      </c>
      <c r="G964" s="17"/>
      <c r="H964" s="17" t="s">
        <v>692</v>
      </c>
      <c r="I964" s="17"/>
      <c r="J964" s="17" t="s">
        <v>693</v>
      </c>
      <c r="K964" s="17"/>
      <c r="L964" s="17"/>
      <c r="M964" s="17"/>
      <c r="N964" s="17" t="s">
        <v>39041</v>
      </c>
      <c r="O964" s="17"/>
      <c r="P964" s="17" t="s">
        <v>4237</v>
      </c>
      <c r="Q964" s="17"/>
      <c r="R964" s="25" t="str">
        <f>HYPERLINK("https://ictv.global/taxonomy/taxondetails?taxnode_id=202308072","Wellingtonvirus wellington")</f>
        <v>Wellingtonvirus wellington</v>
      </c>
      <c r="S964" s="18" t="s">
        <v>30</v>
      </c>
      <c r="T964" s="18" t="s">
        <v>4238</v>
      </c>
      <c r="U964" s="18"/>
      <c r="V964" s="18"/>
      <c r="W964" s="18" t="s">
        <v>4239</v>
      </c>
      <c r="X964" s="18" t="s">
        <v>42</v>
      </c>
      <c r="Y964" s="18" t="s">
        <v>36</v>
      </c>
      <c r="Z964" s="18" t="s">
        <v>697</v>
      </c>
      <c r="AA964" s="21" t="str">
        <f>HYPERLINK("https://www.ncbi.nlm.nih.gov/nuccore/MH426724","NCBI Nucleotide")</f>
        <v>NCBI Nucleotide</v>
      </c>
    </row>
    <row r="965" spans="1:27" x14ac:dyDescent="0.35">
      <c r="A965">
        <v>1025152</v>
      </c>
      <c r="B965">
        <v>964</v>
      </c>
      <c r="C965">
        <v>1</v>
      </c>
      <c r="D965" s="17" t="s">
        <v>155</v>
      </c>
      <c r="E965" s="17"/>
      <c r="F965" s="17" t="s">
        <v>156</v>
      </c>
      <c r="G965" s="17"/>
      <c r="H965" s="17" t="s">
        <v>692</v>
      </c>
      <c r="I965" s="17"/>
      <c r="J965" s="17" t="s">
        <v>693</v>
      </c>
      <c r="K965" s="17"/>
      <c r="L965" s="17"/>
      <c r="M965" s="17"/>
      <c r="N965" s="17" t="s">
        <v>39042</v>
      </c>
      <c r="O965" s="17"/>
      <c r="P965" s="17" t="s">
        <v>39043</v>
      </c>
      <c r="Q965" s="17"/>
      <c r="R965" s="25" t="str">
        <f>HYPERLINK("https://ictv.global/taxonomy/taxondetails?taxnode_id=202317738","Ventrumvirus gergoviense")</f>
        <v>Ventrumvirus gergoviense</v>
      </c>
      <c r="S965" s="18" t="s">
        <v>30</v>
      </c>
      <c r="T965" s="18" t="s">
        <v>39044</v>
      </c>
      <c r="U965" s="18" t="s">
        <v>39045</v>
      </c>
      <c r="V965" s="18" t="s">
        <v>39046</v>
      </c>
      <c r="W965" s="18" t="s">
        <v>39047</v>
      </c>
      <c r="X965" s="18" t="s">
        <v>42</v>
      </c>
      <c r="Y965" s="18" t="s">
        <v>36</v>
      </c>
      <c r="Z965" s="18" t="s">
        <v>37</v>
      </c>
      <c r="AA965" s="21" t="str">
        <f>HYPERLINK("https://www.ncbi.nlm.nih.gov/nuccore/BK063676","NCBI Nucleotide")</f>
        <v>NCBI Nucleotide</v>
      </c>
    </row>
    <row r="966" spans="1:27" x14ac:dyDescent="0.35">
      <c r="A966">
        <v>1001521</v>
      </c>
      <c r="B966">
        <v>965</v>
      </c>
      <c r="C966">
        <v>1</v>
      </c>
      <c r="D966" s="17" t="s">
        <v>155</v>
      </c>
      <c r="E966" s="17"/>
      <c r="F966" s="17" t="s">
        <v>156</v>
      </c>
      <c r="G966" s="17"/>
      <c r="H966" s="17" t="s">
        <v>692</v>
      </c>
      <c r="I966" s="17"/>
      <c r="J966" s="17" t="s">
        <v>693</v>
      </c>
      <c r="K966" s="17"/>
      <c r="L966" s="17"/>
      <c r="M966" s="17"/>
      <c r="N966" s="17" t="s">
        <v>7526</v>
      </c>
      <c r="O966" s="17" t="s">
        <v>7552</v>
      </c>
      <c r="P966" s="17" t="s">
        <v>7553</v>
      </c>
      <c r="Q966" s="17"/>
      <c r="R966" s="25" t="str">
        <f>HYPERLINK("https://ictv.global/taxonomy/taxondetails?taxnode_id=202307086","Cetovirus ceto")</f>
        <v>Cetovirus ceto</v>
      </c>
      <c r="S966" s="18" t="s">
        <v>30</v>
      </c>
      <c r="T966" s="18" t="s">
        <v>7554</v>
      </c>
      <c r="U966" s="18"/>
      <c r="V966" s="18"/>
      <c r="W966" s="18" t="s">
        <v>7555</v>
      </c>
      <c r="X966" s="18" t="s">
        <v>42</v>
      </c>
      <c r="Y966" s="18" t="s">
        <v>36</v>
      </c>
      <c r="Z966" s="18" t="s">
        <v>697</v>
      </c>
      <c r="AA966" s="21" t="str">
        <f>HYPERLINK("https://www.ncbi.nlm.nih.gov/nuccore/MG649966","NCBI Nucleotide")</f>
        <v>NCBI Nucleotide</v>
      </c>
    </row>
    <row r="967" spans="1:27" x14ac:dyDescent="0.35">
      <c r="A967">
        <v>1001522</v>
      </c>
      <c r="B967">
        <v>966</v>
      </c>
      <c r="C967">
        <v>1</v>
      </c>
      <c r="D967" s="17" t="s">
        <v>155</v>
      </c>
      <c r="E967" s="17"/>
      <c r="F967" s="17" t="s">
        <v>156</v>
      </c>
      <c r="G967" s="17"/>
      <c r="H967" s="17" t="s">
        <v>692</v>
      </c>
      <c r="I967" s="17"/>
      <c r="J967" s="17" t="s">
        <v>693</v>
      </c>
      <c r="K967" s="17"/>
      <c r="L967" s="17"/>
      <c r="M967" s="17"/>
      <c r="N967" s="17" t="s">
        <v>7526</v>
      </c>
      <c r="O967" s="17" t="s">
        <v>7552</v>
      </c>
      <c r="P967" s="17" t="s">
        <v>7556</v>
      </c>
      <c r="Q967" s="17"/>
      <c r="R967" s="25" t="str">
        <f>HYPERLINK("https://ictv.global/taxonomy/taxondetails?taxnode_id=202306955","Jesfedecavirus JSF10")</f>
        <v>Jesfedecavirus JSF10</v>
      </c>
      <c r="S967" s="18" t="s">
        <v>30</v>
      </c>
      <c r="T967" s="18" t="s">
        <v>7557</v>
      </c>
      <c r="U967" s="18"/>
      <c r="V967" s="18"/>
      <c r="W967" s="18" t="s">
        <v>7558</v>
      </c>
      <c r="X967" s="18" t="s">
        <v>42</v>
      </c>
      <c r="Y967" s="18" t="s">
        <v>36</v>
      </c>
      <c r="Z967" s="18" t="s">
        <v>697</v>
      </c>
      <c r="AA967" s="21" t="str">
        <f>HYPERLINK("https://www.ncbi.nlm.nih.gov/nuccore/KY883654","NCBI Nucleotide")</f>
        <v>NCBI Nucleotide</v>
      </c>
    </row>
    <row r="968" spans="1:27" x14ac:dyDescent="0.35">
      <c r="A968">
        <v>1001523</v>
      </c>
      <c r="B968">
        <v>967</v>
      </c>
      <c r="C968">
        <v>1</v>
      </c>
      <c r="D968" s="17" t="s">
        <v>155</v>
      </c>
      <c r="E968" s="17"/>
      <c r="F968" s="17" t="s">
        <v>156</v>
      </c>
      <c r="G968" s="17"/>
      <c r="H968" s="17" t="s">
        <v>692</v>
      </c>
      <c r="I968" s="17"/>
      <c r="J968" s="17" t="s">
        <v>693</v>
      </c>
      <c r="K968" s="17"/>
      <c r="L968" s="17"/>
      <c r="M968" s="17"/>
      <c r="N968" s="17" t="s">
        <v>7526</v>
      </c>
      <c r="O968" s="17" t="s">
        <v>7552</v>
      </c>
      <c r="P968" s="17" t="s">
        <v>7556</v>
      </c>
      <c r="Q968" s="17"/>
      <c r="R968" s="25" t="str">
        <f>HYPERLINK("https://ictv.global/taxonomy/taxondetails?taxnode_id=202308127","Jesfedecavirus JSF12")</f>
        <v>Jesfedecavirus JSF12</v>
      </c>
      <c r="S968" s="18" t="s">
        <v>30</v>
      </c>
      <c r="T968" s="18" t="s">
        <v>7559</v>
      </c>
      <c r="U968" s="18"/>
      <c r="V968" s="18"/>
      <c r="W968" s="18" t="s">
        <v>7560</v>
      </c>
      <c r="X968" s="18" t="s">
        <v>42</v>
      </c>
      <c r="Y968" s="18" t="s">
        <v>36</v>
      </c>
      <c r="Z968" s="18" t="s">
        <v>697</v>
      </c>
      <c r="AA968" s="21" t="str">
        <f>HYPERLINK("https://www.ncbi.nlm.nih.gov/nuccore/KY883655","NCBI Nucleotide")</f>
        <v>NCBI Nucleotide</v>
      </c>
    </row>
    <row r="969" spans="1:27" x14ac:dyDescent="0.35">
      <c r="A969">
        <v>1001524</v>
      </c>
      <c r="B969">
        <v>968</v>
      </c>
      <c r="C969">
        <v>1</v>
      </c>
      <c r="D969" s="17" t="s">
        <v>155</v>
      </c>
      <c r="E969" s="17"/>
      <c r="F969" s="17" t="s">
        <v>156</v>
      </c>
      <c r="G969" s="17"/>
      <c r="H969" s="17" t="s">
        <v>692</v>
      </c>
      <c r="I969" s="17"/>
      <c r="J969" s="17" t="s">
        <v>693</v>
      </c>
      <c r="K969" s="17"/>
      <c r="L969" s="17"/>
      <c r="M969" s="17"/>
      <c r="N969" s="17" t="s">
        <v>7526</v>
      </c>
      <c r="O969" s="17" t="s">
        <v>7552</v>
      </c>
      <c r="P969" s="17" t="s">
        <v>7556</v>
      </c>
      <c r="Q969" s="17"/>
      <c r="R969" s="25" t="str">
        <f>HYPERLINK("https://ictv.global/taxonomy/taxondetails?taxnode_id=202306956","Jesfedecavirus phi3")</f>
        <v>Jesfedecavirus phi3</v>
      </c>
      <c r="S969" s="18" t="s">
        <v>30</v>
      </c>
      <c r="T969" s="18" t="s">
        <v>7561</v>
      </c>
      <c r="U969" s="18"/>
      <c r="V969" s="18"/>
      <c r="W969" s="18" t="s">
        <v>7562</v>
      </c>
      <c r="X969" s="18" t="s">
        <v>42</v>
      </c>
      <c r="Y969" s="18" t="s">
        <v>36</v>
      </c>
      <c r="Z969" s="18" t="s">
        <v>697</v>
      </c>
      <c r="AA969" s="21" t="str">
        <f>HYPERLINK("https://www.ncbi.nlm.nih.gov/nuccore/KP280063","NCBI Nucleotide")</f>
        <v>NCBI Nucleotide</v>
      </c>
    </row>
    <row r="970" spans="1:27" x14ac:dyDescent="0.35">
      <c r="A970">
        <v>1001525</v>
      </c>
      <c r="B970">
        <v>969</v>
      </c>
      <c r="C970">
        <v>1</v>
      </c>
      <c r="D970" s="17" t="s">
        <v>155</v>
      </c>
      <c r="E970" s="17"/>
      <c r="F970" s="17" t="s">
        <v>156</v>
      </c>
      <c r="G970" s="17"/>
      <c r="H970" s="17" t="s">
        <v>692</v>
      </c>
      <c r="I970" s="17"/>
      <c r="J970" s="17" t="s">
        <v>693</v>
      </c>
      <c r="K970" s="17"/>
      <c r="L970" s="17"/>
      <c r="M970" s="17"/>
      <c r="N970" s="17" t="s">
        <v>7526</v>
      </c>
      <c r="O970" s="17" t="s">
        <v>7552</v>
      </c>
      <c r="P970" s="17" t="s">
        <v>7563</v>
      </c>
      <c r="Q970" s="17"/>
      <c r="R970" s="25" t="str">
        <f>HYPERLINK("https://ictv.global/taxonomy/taxondetails?taxnode_id=202313507","Thalassavirus achelous")</f>
        <v>Thalassavirus achelous</v>
      </c>
      <c r="S970" s="18" t="s">
        <v>30</v>
      </c>
      <c r="T970" s="18" t="s">
        <v>7564</v>
      </c>
      <c r="U970" s="18"/>
      <c r="V970" s="18"/>
      <c r="W970" s="18" t="s">
        <v>7565</v>
      </c>
      <c r="X970" s="18" t="s">
        <v>42</v>
      </c>
      <c r="Y970" s="18" t="s">
        <v>36</v>
      </c>
      <c r="Z970" s="18" t="s">
        <v>697</v>
      </c>
      <c r="AA970" s="21" t="str">
        <f>HYPERLINK("https://www.ncbi.nlm.nih.gov/nuccore/MK796244","NCBI Nucleotide")</f>
        <v>NCBI Nucleotide</v>
      </c>
    </row>
    <row r="971" spans="1:27" x14ac:dyDescent="0.35">
      <c r="A971">
        <v>1001526</v>
      </c>
      <c r="B971">
        <v>970</v>
      </c>
      <c r="C971">
        <v>1</v>
      </c>
      <c r="D971" s="17" t="s">
        <v>155</v>
      </c>
      <c r="E971" s="17"/>
      <c r="F971" s="17" t="s">
        <v>156</v>
      </c>
      <c r="G971" s="17"/>
      <c r="H971" s="17" t="s">
        <v>692</v>
      </c>
      <c r="I971" s="17"/>
      <c r="J971" s="17" t="s">
        <v>693</v>
      </c>
      <c r="K971" s="17"/>
      <c r="L971" s="17"/>
      <c r="M971" s="17"/>
      <c r="N971" s="17" t="s">
        <v>7526</v>
      </c>
      <c r="O971" s="17" t="s">
        <v>7552</v>
      </c>
      <c r="P971" s="17" t="s">
        <v>7563</v>
      </c>
      <c r="Q971" s="17"/>
      <c r="R971" s="25" t="str">
        <f>HYPERLINK("https://ictv.global/taxonomy/taxondetails?taxnode_id=202313512","Thalassavirus AG74")</f>
        <v>Thalassavirus AG74</v>
      </c>
      <c r="S971" s="18" t="s">
        <v>30</v>
      </c>
      <c r="T971" s="18" t="s">
        <v>7566</v>
      </c>
      <c r="U971" s="18"/>
      <c r="V971" s="18"/>
      <c r="W971" s="18" t="s">
        <v>7567</v>
      </c>
      <c r="X971" s="18" t="s">
        <v>42</v>
      </c>
      <c r="Y971" s="18" t="s">
        <v>36</v>
      </c>
      <c r="Z971" s="18" t="s">
        <v>697</v>
      </c>
      <c r="AA971" s="21" t="str">
        <f>HYPERLINK("https://www.ncbi.nlm.nih.gov/nuccore/MT460514","NCBI Nucleotide")</f>
        <v>NCBI Nucleotide</v>
      </c>
    </row>
    <row r="972" spans="1:27" x14ac:dyDescent="0.35">
      <c r="A972">
        <v>1001527</v>
      </c>
      <c r="B972">
        <v>971</v>
      </c>
      <c r="C972">
        <v>1</v>
      </c>
      <c r="D972" s="17" t="s">
        <v>155</v>
      </c>
      <c r="E972" s="17"/>
      <c r="F972" s="17" t="s">
        <v>156</v>
      </c>
      <c r="G972" s="17"/>
      <c r="H972" s="17" t="s">
        <v>692</v>
      </c>
      <c r="I972" s="17"/>
      <c r="J972" s="17" t="s">
        <v>693</v>
      </c>
      <c r="K972" s="17"/>
      <c r="L972" s="17"/>
      <c r="M972" s="17"/>
      <c r="N972" s="17" t="s">
        <v>7526</v>
      </c>
      <c r="O972" s="17" t="s">
        <v>7552</v>
      </c>
      <c r="P972" s="17" t="s">
        <v>7563</v>
      </c>
      <c r="Q972" s="17"/>
      <c r="R972" s="25" t="str">
        <f>HYPERLINK("https://ictv.global/taxonomy/taxondetails?taxnode_id=202313510","Thalassavirus athena")</f>
        <v>Thalassavirus athena</v>
      </c>
      <c r="S972" s="18" t="s">
        <v>30</v>
      </c>
      <c r="T972" s="18" t="s">
        <v>7568</v>
      </c>
      <c r="U972" s="18"/>
      <c r="V972" s="18"/>
      <c r="W972" s="18" t="s">
        <v>7569</v>
      </c>
      <c r="X972" s="18" t="s">
        <v>42</v>
      </c>
      <c r="Y972" s="18" t="s">
        <v>36</v>
      </c>
      <c r="Z972" s="18" t="s">
        <v>697</v>
      </c>
      <c r="AA972" s="21" t="str">
        <f>HYPERLINK("https://www.ncbi.nlm.nih.gov/nuccore/MT460517","NCBI Nucleotide")</f>
        <v>NCBI Nucleotide</v>
      </c>
    </row>
    <row r="973" spans="1:27" x14ac:dyDescent="0.35">
      <c r="A973">
        <v>1001528</v>
      </c>
      <c r="B973">
        <v>972</v>
      </c>
      <c r="C973">
        <v>1</v>
      </c>
      <c r="D973" s="17" t="s">
        <v>155</v>
      </c>
      <c r="E973" s="17"/>
      <c r="F973" s="17" t="s">
        <v>156</v>
      </c>
      <c r="G973" s="17"/>
      <c r="H973" s="17" t="s">
        <v>692</v>
      </c>
      <c r="I973" s="17"/>
      <c r="J973" s="17" t="s">
        <v>693</v>
      </c>
      <c r="K973" s="17"/>
      <c r="L973" s="17"/>
      <c r="M973" s="17"/>
      <c r="N973" s="17" t="s">
        <v>7526</v>
      </c>
      <c r="O973" s="17" t="s">
        <v>7552</v>
      </c>
      <c r="P973" s="17" t="s">
        <v>7563</v>
      </c>
      <c r="Q973" s="17"/>
      <c r="R973" s="25" t="str">
        <f>HYPERLINK("https://ictv.global/taxonomy/taxondetails?taxnode_id=202313511","Thalassavirus bennett")</f>
        <v>Thalassavirus bennett</v>
      </c>
      <c r="S973" s="18" t="s">
        <v>30</v>
      </c>
      <c r="T973" s="18" t="s">
        <v>7570</v>
      </c>
      <c r="U973" s="18"/>
      <c r="V973" s="18"/>
      <c r="W973" s="18" t="s">
        <v>7571</v>
      </c>
      <c r="X973" s="18" t="s">
        <v>42</v>
      </c>
      <c r="Y973" s="18" t="s">
        <v>36</v>
      </c>
      <c r="Z973" s="18" t="s">
        <v>697</v>
      </c>
      <c r="AA973" s="21" t="str">
        <f>HYPERLINK("https://www.ncbi.nlm.nih.gov/nuccore/MN958086","NCBI Nucleotide")</f>
        <v>NCBI Nucleotide</v>
      </c>
    </row>
    <row r="974" spans="1:27" x14ac:dyDescent="0.35">
      <c r="A974">
        <v>1001529</v>
      </c>
      <c r="B974">
        <v>973</v>
      </c>
      <c r="C974">
        <v>1</v>
      </c>
      <c r="D974" s="17" t="s">
        <v>155</v>
      </c>
      <c r="E974" s="17"/>
      <c r="F974" s="17" t="s">
        <v>156</v>
      </c>
      <c r="G974" s="17"/>
      <c r="H974" s="17" t="s">
        <v>692</v>
      </c>
      <c r="I974" s="17"/>
      <c r="J974" s="17" t="s">
        <v>693</v>
      </c>
      <c r="K974" s="17"/>
      <c r="L974" s="17"/>
      <c r="M974" s="17"/>
      <c r="N974" s="17" t="s">
        <v>7526</v>
      </c>
      <c r="O974" s="17" t="s">
        <v>7552</v>
      </c>
      <c r="P974" s="17" t="s">
        <v>7563</v>
      </c>
      <c r="Q974" s="17"/>
      <c r="R974" s="25" t="str">
        <f>HYPERLINK("https://ictv.global/taxonomy/taxondetails?taxnode_id=202313508","Thalassavirus brizo")</f>
        <v>Thalassavirus brizo</v>
      </c>
      <c r="S974" s="18" t="s">
        <v>30</v>
      </c>
      <c r="T974" s="18" t="s">
        <v>7572</v>
      </c>
      <c r="U974" s="18"/>
      <c r="V974" s="18"/>
      <c r="W974" s="18" t="s">
        <v>7573</v>
      </c>
      <c r="X974" s="18" t="s">
        <v>42</v>
      </c>
      <c r="Y974" s="18" t="s">
        <v>36</v>
      </c>
      <c r="Z974" s="18" t="s">
        <v>697</v>
      </c>
      <c r="AA974" s="21" t="str">
        <f>HYPERLINK("https://www.ncbi.nlm.nih.gov/nuccore/MK895508","NCBI Nucleotide")</f>
        <v>NCBI Nucleotide</v>
      </c>
    </row>
    <row r="975" spans="1:27" x14ac:dyDescent="0.35">
      <c r="A975">
        <v>1001530</v>
      </c>
      <c r="B975">
        <v>974</v>
      </c>
      <c r="C975">
        <v>1</v>
      </c>
      <c r="D975" s="17" t="s">
        <v>155</v>
      </c>
      <c r="E975" s="17"/>
      <c r="F975" s="17" t="s">
        <v>156</v>
      </c>
      <c r="G975" s="17"/>
      <c r="H975" s="17" t="s">
        <v>692</v>
      </c>
      <c r="I975" s="17"/>
      <c r="J975" s="17" t="s">
        <v>693</v>
      </c>
      <c r="K975" s="17"/>
      <c r="L975" s="17"/>
      <c r="M975" s="17"/>
      <c r="N975" s="17" t="s">
        <v>7526</v>
      </c>
      <c r="O975" s="17" t="s">
        <v>7552</v>
      </c>
      <c r="P975" s="17" t="s">
        <v>7563</v>
      </c>
      <c r="Q975" s="17"/>
      <c r="R975" s="25" t="str">
        <f>HYPERLINK("https://ictv.global/taxonomy/taxondetails?taxnode_id=202313513","Thalassavirus chester")</f>
        <v>Thalassavirus chester</v>
      </c>
      <c r="S975" s="18" t="s">
        <v>30</v>
      </c>
      <c r="T975" s="18" t="s">
        <v>7574</v>
      </c>
      <c r="U975" s="18"/>
      <c r="V975" s="18"/>
      <c r="W975" s="18" t="s">
        <v>7575</v>
      </c>
      <c r="X975" s="18" t="s">
        <v>42</v>
      </c>
      <c r="Y975" s="18" t="s">
        <v>36</v>
      </c>
      <c r="Z975" s="18" t="s">
        <v>697</v>
      </c>
      <c r="AA975" s="21" t="str">
        <f>HYPERLINK("https://www.ncbi.nlm.nih.gov/nuccore/MN966732","NCBI Nucleotide")</f>
        <v>NCBI Nucleotide</v>
      </c>
    </row>
    <row r="976" spans="1:27" x14ac:dyDescent="0.35">
      <c r="A976">
        <v>1001531</v>
      </c>
      <c r="B976">
        <v>975</v>
      </c>
      <c r="C976">
        <v>1</v>
      </c>
      <c r="D976" s="17" t="s">
        <v>155</v>
      </c>
      <c r="E976" s="17"/>
      <c r="F976" s="17" t="s">
        <v>156</v>
      </c>
      <c r="G976" s="17"/>
      <c r="H976" s="17" t="s">
        <v>692</v>
      </c>
      <c r="I976" s="17"/>
      <c r="J976" s="17" t="s">
        <v>693</v>
      </c>
      <c r="K976" s="17"/>
      <c r="L976" s="17"/>
      <c r="M976" s="17"/>
      <c r="N976" s="17" t="s">
        <v>7526</v>
      </c>
      <c r="O976" s="17" t="s">
        <v>7552</v>
      </c>
      <c r="P976" s="17" t="s">
        <v>7563</v>
      </c>
      <c r="Q976" s="17"/>
      <c r="R976" s="25" t="str">
        <f>HYPERLINK("https://ictv.global/taxonomy/taxondetails?taxnode_id=202313515","Thalassavirus cody")</f>
        <v>Thalassavirus cody</v>
      </c>
      <c r="S976" s="18" t="s">
        <v>30</v>
      </c>
      <c r="T976" s="18" t="s">
        <v>7576</v>
      </c>
      <c r="U976" s="18"/>
      <c r="V976" s="18"/>
      <c r="W976" s="18" t="s">
        <v>7577</v>
      </c>
      <c r="X976" s="18" t="s">
        <v>42</v>
      </c>
      <c r="Y976" s="18" t="s">
        <v>36</v>
      </c>
      <c r="Z976" s="18" t="s">
        <v>697</v>
      </c>
      <c r="AA976" s="21" t="str">
        <f>HYPERLINK("https://www.ncbi.nlm.nih.gov/nuccore/MT460515","NCBI Nucleotide")</f>
        <v>NCBI Nucleotide</v>
      </c>
    </row>
    <row r="977" spans="1:27" x14ac:dyDescent="0.35">
      <c r="A977">
        <v>1001532</v>
      </c>
      <c r="B977">
        <v>976</v>
      </c>
      <c r="C977">
        <v>1</v>
      </c>
      <c r="D977" s="17" t="s">
        <v>155</v>
      </c>
      <c r="E977" s="17"/>
      <c r="F977" s="17" t="s">
        <v>156</v>
      </c>
      <c r="G977" s="17"/>
      <c r="H977" s="17" t="s">
        <v>692</v>
      </c>
      <c r="I977" s="17"/>
      <c r="J977" s="17" t="s">
        <v>693</v>
      </c>
      <c r="K977" s="17"/>
      <c r="L977" s="17"/>
      <c r="M977" s="17"/>
      <c r="N977" s="17" t="s">
        <v>7526</v>
      </c>
      <c r="O977" s="17" t="s">
        <v>7552</v>
      </c>
      <c r="P977" s="17" t="s">
        <v>7563</v>
      </c>
      <c r="Q977" s="17"/>
      <c r="R977" s="25" t="str">
        <f>HYPERLINK("https://ictv.global/taxonomy/taxondetails?taxnode_id=202313509","Thalassavirus gary")</f>
        <v>Thalassavirus gary</v>
      </c>
      <c r="S977" s="18" t="s">
        <v>30</v>
      </c>
      <c r="T977" s="18" t="s">
        <v>7578</v>
      </c>
      <c r="U977" s="18"/>
      <c r="V977" s="18"/>
      <c r="W977" s="18" t="s">
        <v>7579</v>
      </c>
      <c r="X977" s="18" t="s">
        <v>42</v>
      </c>
      <c r="Y977" s="18" t="s">
        <v>36</v>
      </c>
      <c r="Z977" s="18" t="s">
        <v>697</v>
      </c>
      <c r="AA977" s="21" t="str">
        <f>HYPERLINK("https://www.ncbi.nlm.nih.gov/nuccore/MW344054","NCBI Nucleotide")</f>
        <v>NCBI Nucleotide</v>
      </c>
    </row>
    <row r="978" spans="1:27" x14ac:dyDescent="0.35">
      <c r="A978">
        <v>1001533</v>
      </c>
      <c r="B978">
        <v>977</v>
      </c>
      <c r="C978">
        <v>1</v>
      </c>
      <c r="D978" s="17" t="s">
        <v>155</v>
      </c>
      <c r="E978" s="17"/>
      <c r="F978" s="17" t="s">
        <v>156</v>
      </c>
      <c r="G978" s="17"/>
      <c r="H978" s="17" t="s">
        <v>692</v>
      </c>
      <c r="I978" s="17"/>
      <c r="J978" s="17" t="s">
        <v>693</v>
      </c>
      <c r="K978" s="17"/>
      <c r="L978" s="17"/>
      <c r="M978" s="17"/>
      <c r="N978" s="17" t="s">
        <v>7526</v>
      </c>
      <c r="O978" s="17" t="s">
        <v>7552</v>
      </c>
      <c r="P978" s="17" t="s">
        <v>7563</v>
      </c>
      <c r="Q978" s="17"/>
      <c r="R978" s="25" t="str">
        <f>HYPERLINK("https://ictv.global/taxonomy/taxondetails?taxnode_id=202313506","Thalassavirus pontus")</f>
        <v>Thalassavirus pontus</v>
      </c>
      <c r="S978" s="18" t="s">
        <v>30</v>
      </c>
      <c r="T978" s="18" t="s">
        <v>7580</v>
      </c>
      <c r="U978" s="18"/>
      <c r="V978" s="18"/>
      <c r="W978" s="18" t="s">
        <v>7581</v>
      </c>
      <c r="X978" s="18" t="s">
        <v>42</v>
      </c>
      <c r="Y978" s="18" t="s">
        <v>36</v>
      </c>
      <c r="Z978" s="18" t="s">
        <v>697</v>
      </c>
      <c r="AA978" s="21" t="str">
        <f>HYPERLINK("https://www.ncbi.nlm.nih.gov/nuccore/MK907780","NCBI Nucleotide")</f>
        <v>NCBI Nucleotide</v>
      </c>
    </row>
    <row r="979" spans="1:27" x14ac:dyDescent="0.35">
      <c r="A979">
        <v>1001534</v>
      </c>
      <c r="B979">
        <v>978</v>
      </c>
      <c r="C979">
        <v>1</v>
      </c>
      <c r="D979" s="17" t="s">
        <v>155</v>
      </c>
      <c r="E979" s="17"/>
      <c r="F979" s="17" t="s">
        <v>156</v>
      </c>
      <c r="G979" s="17"/>
      <c r="H979" s="17" t="s">
        <v>692</v>
      </c>
      <c r="I979" s="17"/>
      <c r="J979" s="17" t="s">
        <v>693</v>
      </c>
      <c r="K979" s="17"/>
      <c r="L979" s="17"/>
      <c r="M979" s="17"/>
      <c r="N979" s="17" t="s">
        <v>7526</v>
      </c>
      <c r="O979" s="17" t="s">
        <v>7552</v>
      </c>
      <c r="P979" s="17" t="s">
        <v>7563</v>
      </c>
      <c r="Q979" s="17"/>
      <c r="R979" s="25" t="str">
        <f>HYPERLINK("https://ictv.global/taxonomy/taxondetails?taxnode_id=202313514","Thalassavirus quinn")</f>
        <v>Thalassavirus quinn</v>
      </c>
      <c r="S979" s="18" t="s">
        <v>30</v>
      </c>
      <c r="T979" s="18" t="s">
        <v>7582</v>
      </c>
      <c r="U979" s="18"/>
      <c r="V979" s="18"/>
      <c r="W979" s="18" t="s">
        <v>7583</v>
      </c>
      <c r="X979" s="18" t="s">
        <v>42</v>
      </c>
      <c r="Y979" s="18" t="s">
        <v>36</v>
      </c>
      <c r="Z979" s="18" t="s">
        <v>697</v>
      </c>
      <c r="AA979" s="21" t="str">
        <f>HYPERLINK("https://www.ncbi.nlm.nih.gov/nuccore/MT460516","NCBI Nucleotide")</f>
        <v>NCBI Nucleotide</v>
      </c>
    </row>
    <row r="980" spans="1:27" x14ac:dyDescent="0.35">
      <c r="A980">
        <v>1001535</v>
      </c>
      <c r="B980">
        <v>979</v>
      </c>
      <c r="C980">
        <v>1</v>
      </c>
      <c r="D980" s="17" t="s">
        <v>155</v>
      </c>
      <c r="E980" s="17"/>
      <c r="F980" s="17" t="s">
        <v>156</v>
      </c>
      <c r="G980" s="17"/>
      <c r="H980" s="17" t="s">
        <v>692</v>
      </c>
      <c r="I980" s="17"/>
      <c r="J980" s="17" t="s">
        <v>693</v>
      </c>
      <c r="K980" s="17"/>
      <c r="L980" s="17"/>
      <c r="M980" s="17"/>
      <c r="N980" s="17" t="s">
        <v>7526</v>
      </c>
      <c r="O980" s="17" t="s">
        <v>7552</v>
      </c>
      <c r="P980" s="17" t="s">
        <v>7563</v>
      </c>
      <c r="Q980" s="17"/>
      <c r="R980" s="25" t="str">
        <f>HYPERLINK("https://ictv.global/taxonomy/taxondetails?taxnode_id=202313505","Thalassavirus river4")</f>
        <v>Thalassavirus river4</v>
      </c>
      <c r="S980" s="18" t="s">
        <v>30</v>
      </c>
      <c r="T980" s="18" t="s">
        <v>7584</v>
      </c>
      <c r="U980" s="18"/>
      <c r="V980" s="18"/>
      <c r="W980" s="18" t="s">
        <v>7585</v>
      </c>
      <c r="X980" s="18" t="s">
        <v>42</v>
      </c>
      <c r="Y980" s="18" t="s">
        <v>36</v>
      </c>
      <c r="Z980" s="18" t="s">
        <v>697</v>
      </c>
      <c r="AA980" s="21" t="str">
        <f>HYPERLINK("https://www.ncbi.nlm.nih.gov/nuccore/MT448617","NCBI Nucleotide")</f>
        <v>NCBI Nucleotide</v>
      </c>
    </row>
    <row r="981" spans="1:27" x14ac:dyDescent="0.35">
      <c r="A981">
        <v>1001536</v>
      </c>
      <c r="B981">
        <v>980</v>
      </c>
      <c r="C981">
        <v>1</v>
      </c>
      <c r="D981" s="17" t="s">
        <v>155</v>
      </c>
      <c r="E981" s="17"/>
      <c r="F981" s="17" t="s">
        <v>156</v>
      </c>
      <c r="G981" s="17"/>
      <c r="H981" s="17" t="s">
        <v>692</v>
      </c>
      <c r="I981" s="17"/>
      <c r="J981" s="17" t="s">
        <v>693</v>
      </c>
      <c r="K981" s="17"/>
      <c r="L981" s="17"/>
      <c r="M981" s="17"/>
      <c r="N981" s="17" t="s">
        <v>7526</v>
      </c>
      <c r="O981" s="17" t="s">
        <v>7552</v>
      </c>
      <c r="P981" s="17" t="s">
        <v>7563</v>
      </c>
      <c r="Q981" s="17"/>
      <c r="R981" s="25" t="str">
        <f>HYPERLINK("https://ictv.global/taxonomy/taxondetails?taxnode_id=202307087","Thalassavirus thalassa")</f>
        <v>Thalassavirus thalassa</v>
      </c>
      <c r="S981" s="18" t="s">
        <v>30</v>
      </c>
      <c r="T981" s="18" t="s">
        <v>7586</v>
      </c>
      <c r="U981" s="18"/>
      <c r="V981" s="18"/>
      <c r="W981" s="18" t="s">
        <v>7587</v>
      </c>
      <c r="X981" s="18" t="s">
        <v>42</v>
      </c>
      <c r="Y981" s="18" t="s">
        <v>36</v>
      </c>
      <c r="Z981" s="18" t="s">
        <v>697</v>
      </c>
      <c r="AA981" s="21" t="str">
        <f>HYPERLINK("https://www.ncbi.nlm.nih.gov/nuccore/MG649967","NCBI Nucleotide")</f>
        <v>NCBI Nucleotide</v>
      </c>
    </row>
    <row r="982" spans="1:27" x14ac:dyDescent="0.35">
      <c r="A982">
        <v>1001537</v>
      </c>
      <c r="B982">
        <v>981</v>
      </c>
      <c r="C982">
        <v>1</v>
      </c>
      <c r="D982" s="17" t="s">
        <v>155</v>
      </c>
      <c r="E982" s="17"/>
      <c r="F982" s="17" t="s">
        <v>156</v>
      </c>
      <c r="G982" s="17"/>
      <c r="H982" s="17" t="s">
        <v>692</v>
      </c>
      <c r="I982" s="17"/>
      <c r="J982" s="17" t="s">
        <v>693</v>
      </c>
      <c r="K982" s="17"/>
      <c r="L982" s="17"/>
      <c r="M982" s="17"/>
      <c r="N982" s="17" t="s">
        <v>7526</v>
      </c>
      <c r="O982" s="17" t="s">
        <v>7552</v>
      </c>
      <c r="P982" s="17" t="s">
        <v>7588</v>
      </c>
      <c r="Q982" s="17"/>
      <c r="R982" s="25" t="str">
        <f>HYPERLINK("https://ictv.global/taxonomy/taxondetails?taxnode_id=202307088","Vipunavirus pVp1")</f>
        <v>Vipunavirus pVp1</v>
      </c>
      <c r="S982" s="18" t="s">
        <v>30</v>
      </c>
      <c r="T982" s="18" t="s">
        <v>7589</v>
      </c>
      <c r="U982" s="18"/>
      <c r="V982" s="18"/>
      <c r="W982" s="18" t="s">
        <v>7590</v>
      </c>
      <c r="X982" s="18" t="s">
        <v>42</v>
      </c>
      <c r="Y982" s="18" t="s">
        <v>36</v>
      </c>
      <c r="Z982" s="18" t="s">
        <v>697</v>
      </c>
      <c r="AA982" s="21" t="str">
        <f>HYPERLINK("https://www.ncbi.nlm.nih.gov/nuccore/JQ340389","NCBI Nucleotide")</f>
        <v>NCBI Nucleotide</v>
      </c>
    </row>
    <row r="983" spans="1:27" x14ac:dyDescent="0.35">
      <c r="A983">
        <v>1001538</v>
      </c>
      <c r="B983">
        <v>982</v>
      </c>
      <c r="C983">
        <v>1</v>
      </c>
      <c r="D983" s="17" t="s">
        <v>155</v>
      </c>
      <c r="E983" s="17"/>
      <c r="F983" s="17" t="s">
        <v>156</v>
      </c>
      <c r="G983" s="17"/>
      <c r="H983" s="17" t="s">
        <v>692</v>
      </c>
      <c r="I983" s="17"/>
      <c r="J983" s="17" t="s">
        <v>693</v>
      </c>
      <c r="K983" s="17"/>
      <c r="L983" s="17"/>
      <c r="M983" s="17"/>
      <c r="N983" s="17" t="s">
        <v>7526</v>
      </c>
      <c r="O983" s="17" t="s">
        <v>7591</v>
      </c>
      <c r="P983" s="17" t="s">
        <v>7592</v>
      </c>
      <c r="Q983" s="17"/>
      <c r="R983" s="25" t="str">
        <f>HYPERLINK("https://ictv.global/taxonomy/taxondetails?taxnode_id=202309944","Epseptimavirus 100268sal2")</f>
        <v>Epseptimavirus 100268sal2</v>
      </c>
      <c r="S983" s="18" t="s">
        <v>30</v>
      </c>
      <c r="T983" s="18" t="s">
        <v>7593</v>
      </c>
      <c r="U983" s="18"/>
      <c r="V983" s="18"/>
      <c r="W983" s="18" t="s">
        <v>7594</v>
      </c>
      <c r="X983" s="18" t="s">
        <v>42</v>
      </c>
      <c r="Y983" s="18" t="s">
        <v>36</v>
      </c>
      <c r="Z983" s="18" t="s">
        <v>697</v>
      </c>
      <c r="AA983" s="21" t="str">
        <f>HYPERLINK("https://www.ncbi.nlm.nih.gov/nuccore/KU927497","NCBI Nucleotide")</f>
        <v>NCBI Nucleotide</v>
      </c>
    </row>
    <row r="984" spans="1:27" x14ac:dyDescent="0.35">
      <c r="A984">
        <v>1001539</v>
      </c>
      <c r="B984">
        <v>983</v>
      </c>
      <c r="C984">
        <v>1</v>
      </c>
      <c r="D984" s="17" t="s">
        <v>155</v>
      </c>
      <c r="E984" s="17"/>
      <c r="F984" s="17" t="s">
        <v>156</v>
      </c>
      <c r="G984" s="17"/>
      <c r="H984" s="17" t="s">
        <v>692</v>
      </c>
      <c r="I984" s="17"/>
      <c r="J984" s="17" t="s">
        <v>693</v>
      </c>
      <c r="K984" s="17"/>
      <c r="L984" s="17"/>
      <c r="M984" s="17"/>
      <c r="N984" s="17" t="s">
        <v>7526</v>
      </c>
      <c r="O984" s="17" t="s">
        <v>7591</v>
      </c>
      <c r="P984" s="17" t="s">
        <v>7592</v>
      </c>
      <c r="Q984" s="17"/>
      <c r="R984" s="25" t="str">
        <f>HYPERLINK("https://ictv.global/taxonomy/taxondetails?taxnode_id=202301329","Epseptimavirus 118970sal2")</f>
        <v>Epseptimavirus 118970sal2</v>
      </c>
      <c r="S984" s="18" t="s">
        <v>30</v>
      </c>
      <c r="T984" s="18" t="s">
        <v>7595</v>
      </c>
      <c r="U984" s="18"/>
      <c r="V984" s="18"/>
      <c r="W984" s="18" t="s">
        <v>7596</v>
      </c>
      <c r="X984" s="18" t="s">
        <v>42</v>
      </c>
      <c r="Y984" s="18" t="s">
        <v>36</v>
      </c>
      <c r="Z984" s="18" t="s">
        <v>697</v>
      </c>
      <c r="AA984" s="21" t="str">
        <f>HYPERLINK("https://www.ncbi.nlm.nih.gov/nuccore/KX017521","NCBI Nucleotide")</f>
        <v>NCBI Nucleotide</v>
      </c>
    </row>
    <row r="985" spans="1:27" x14ac:dyDescent="0.35">
      <c r="A985">
        <v>1024501</v>
      </c>
      <c r="B985">
        <v>984</v>
      </c>
      <c r="C985">
        <v>1</v>
      </c>
      <c r="D985" s="17" t="s">
        <v>155</v>
      </c>
      <c r="E985" s="17"/>
      <c r="F985" s="17" t="s">
        <v>156</v>
      </c>
      <c r="G985" s="17"/>
      <c r="H985" s="17" t="s">
        <v>692</v>
      </c>
      <c r="I985" s="17"/>
      <c r="J985" s="17" t="s">
        <v>693</v>
      </c>
      <c r="K985" s="17"/>
      <c r="L985" s="17"/>
      <c r="M985" s="17"/>
      <c r="N985" s="17" t="s">
        <v>7526</v>
      </c>
      <c r="O985" s="17" t="s">
        <v>7591</v>
      </c>
      <c r="P985" s="17" t="s">
        <v>7592</v>
      </c>
      <c r="Q985" s="17"/>
      <c r="R985" s="25" t="str">
        <f>HYPERLINK("https://ictv.global/taxonomy/taxondetails?taxnode_id=202318704","Epseptimavirus 150049")</f>
        <v>Epseptimavirus 150049</v>
      </c>
      <c r="S985" s="18" t="s">
        <v>30</v>
      </c>
      <c r="T985" s="18" t="s">
        <v>39048</v>
      </c>
      <c r="U985" s="18"/>
      <c r="V985" s="18"/>
      <c r="W985" s="18" t="s">
        <v>47898</v>
      </c>
      <c r="X985" s="18" t="s">
        <v>42</v>
      </c>
      <c r="Y985" s="18" t="s">
        <v>36</v>
      </c>
      <c r="Z985" s="18" t="s">
        <v>697</v>
      </c>
      <c r="AA985" s="21" t="str">
        <f>HYPERLINK("https://www.ncbi.nlm.nih.gov/nuccore/OP045498","NCBI Nucleotide")</f>
        <v>NCBI Nucleotide</v>
      </c>
    </row>
    <row r="986" spans="1:27" x14ac:dyDescent="0.35">
      <c r="A986">
        <v>1024502</v>
      </c>
      <c r="B986">
        <v>985</v>
      </c>
      <c r="C986">
        <v>1</v>
      </c>
      <c r="D986" s="17" t="s">
        <v>155</v>
      </c>
      <c r="E986" s="17"/>
      <c r="F986" s="17" t="s">
        <v>156</v>
      </c>
      <c r="G986" s="17"/>
      <c r="H986" s="17" t="s">
        <v>692</v>
      </c>
      <c r="I986" s="17"/>
      <c r="J986" s="17" t="s">
        <v>693</v>
      </c>
      <c r="K986" s="17"/>
      <c r="L986" s="17"/>
      <c r="M986" s="17"/>
      <c r="N986" s="17" t="s">
        <v>7526</v>
      </c>
      <c r="O986" s="17" t="s">
        <v>7591</v>
      </c>
      <c r="P986" s="17" t="s">
        <v>7592</v>
      </c>
      <c r="Q986" s="17"/>
      <c r="R986" s="25" t="str">
        <f>HYPERLINK("https://ictv.global/taxonomy/taxondetails?taxnode_id=202318700","Epseptimavirus ace")</f>
        <v>Epseptimavirus ace</v>
      </c>
      <c r="S986" s="18" t="s">
        <v>30</v>
      </c>
      <c r="T986" s="18" t="s">
        <v>39049</v>
      </c>
      <c r="U986" s="18"/>
      <c r="V986" s="18"/>
      <c r="W986" s="18" t="s">
        <v>47899</v>
      </c>
      <c r="X986" s="18" t="s">
        <v>42</v>
      </c>
      <c r="Y986" s="18" t="s">
        <v>36</v>
      </c>
      <c r="Z986" s="18" t="s">
        <v>697</v>
      </c>
      <c r="AA986" s="21" t="str">
        <f>HYPERLINK("https://www.ncbi.nlm.nih.gov/nuccore/MT833283","NCBI Nucleotide")</f>
        <v>NCBI Nucleotide</v>
      </c>
    </row>
    <row r="987" spans="1:27" x14ac:dyDescent="0.35">
      <c r="A987">
        <v>1001540</v>
      </c>
      <c r="B987">
        <v>986</v>
      </c>
      <c r="C987">
        <v>1</v>
      </c>
      <c r="D987" s="17" t="s">
        <v>155</v>
      </c>
      <c r="E987" s="17"/>
      <c r="F987" s="17" t="s">
        <v>156</v>
      </c>
      <c r="G987" s="17"/>
      <c r="H987" s="17" t="s">
        <v>692</v>
      </c>
      <c r="I987" s="17"/>
      <c r="J987" s="17" t="s">
        <v>693</v>
      </c>
      <c r="K987" s="17"/>
      <c r="L987" s="17"/>
      <c r="M987" s="17"/>
      <c r="N987" s="17" t="s">
        <v>7526</v>
      </c>
      <c r="O987" s="17" t="s">
        <v>7591</v>
      </c>
      <c r="P987" s="17" t="s">
        <v>7592</v>
      </c>
      <c r="Q987" s="17"/>
      <c r="R987" s="25" t="str">
        <f>HYPERLINK("https://ictv.global/taxonomy/taxondetails?taxnode_id=202309949","Epseptimavirus atrejo")</f>
        <v>Epseptimavirus atrejo</v>
      </c>
      <c r="S987" s="18" t="s">
        <v>30</v>
      </c>
      <c r="T987" s="18" t="s">
        <v>7597</v>
      </c>
      <c r="U987" s="18"/>
      <c r="V987" s="18"/>
      <c r="W987" s="18" t="s">
        <v>7598</v>
      </c>
      <c r="X987" s="18" t="s">
        <v>42</v>
      </c>
      <c r="Y987" s="18" t="s">
        <v>36</v>
      </c>
      <c r="Z987" s="18" t="s">
        <v>697</v>
      </c>
      <c r="AA987" s="21" t="str">
        <f>HYPERLINK("https://www.ncbi.nlm.nih.gov/nuccore/MT074466","NCBI Nucleotide")</f>
        <v>NCBI Nucleotide</v>
      </c>
    </row>
    <row r="988" spans="1:27" x14ac:dyDescent="0.35">
      <c r="A988">
        <v>1001541</v>
      </c>
      <c r="B988">
        <v>987</v>
      </c>
      <c r="C988">
        <v>1</v>
      </c>
      <c r="D988" s="17" t="s">
        <v>155</v>
      </c>
      <c r="E988" s="17"/>
      <c r="F988" s="17" t="s">
        <v>156</v>
      </c>
      <c r="G988" s="17"/>
      <c r="H988" s="17" t="s">
        <v>692</v>
      </c>
      <c r="I988" s="17"/>
      <c r="J988" s="17" t="s">
        <v>693</v>
      </c>
      <c r="K988" s="17"/>
      <c r="L988" s="17"/>
      <c r="M988" s="17"/>
      <c r="N988" s="17" t="s">
        <v>7526</v>
      </c>
      <c r="O988" s="17" t="s">
        <v>7591</v>
      </c>
      <c r="P988" s="17" t="s">
        <v>7592</v>
      </c>
      <c r="Q988" s="17"/>
      <c r="R988" s="25" t="str">
        <f>HYPERLINK("https://ictv.global/taxonomy/taxondetails?taxnode_id=202309948","Epseptimavirus bastian")</f>
        <v>Epseptimavirus bastian</v>
      </c>
      <c r="S988" s="18" t="s">
        <v>30</v>
      </c>
      <c r="T988" s="18" t="s">
        <v>7599</v>
      </c>
      <c r="U988" s="18"/>
      <c r="V988" s="18"/>
      <c r="W988" s="18" t="s">
        <v>7600</v>
      </c>
      <c r="X988" s="18" t="s">
        <v>42</v>
      </c>
      <c r="Y988" s="18" t="s">
        <v>36</v>
      </c>
      <c r="Z988" s="18" t="s">
        <v>697</v>
      </c>
      <c r="AA988" s="21" t="str">
        <f>HYPERLINK("https://www.ncbi.nlm.nih.gov/nuccore/MT074459","NCBI Nucleotide")</f>
        <v>NCBI Nucleotide</v>
      </c>
    </row>
    <row r="989" spans="1:27" x14ac:dyDescent="0.35">
      <c r="A989">
        <v>1024503</v>
      </c>
      <c r="B989">
        <v>988</v>
      </c>
      <c r="C989">
        <v>1</v>
      </c>
      <c r="D989" s="17" t="s">
        <v>155</v>
      </c>
      <c r="E989" s="17"/>
      <c r="F989" s="17" t="s">
        <v>156</v>
      </c>
      <c r="G989" s="17"/>
      <c r="H989" s="17" t="s">
        <v>692</v>
      </c>
      <c r="I989" s="17"/>
      <c r="J989" s="17" t="s">
        <v>693</v>
      </c>
      <c r="K989" s="17"/>
      <c r="L989" s="17"/>
      <c r="M989" s="17"/>
      <c r="N989" s="17" t="s">
        <v>7526</v>
      </c>
      <c r="O989" s="17" t="s">
        <v>7591</v>
      </c>
      <c r="P989" s="17" t="s">
        <v>7592</v>
      </c>
      <c r="Q989" s="17"/>
      <c r="R989" s="25" t="str">
        <f>HYPERLINK("https://ictv.global/taxonomy/taxondetails?taxnode_id=202318693","Epseptimavirus BD13")</f>
        <v>Epseptimavirus BD13</v>
      </c>
      <c r="S989" s="18" t="s">
        <v>30</v>
      </c>
      <c r="T989" s="18" t="s">
        <v>39050</v>
      </c>
      <c r="U989" s="18"/>
      <c r="V989" s="18"/>
      <c r="W989" s="18" t="s">
        <v>47900</v>
      </c>
      <c r="X989" s="18" t="s">
        <v>42</v>
      </c>
      <c r="Y989" s="18" t="s">
        <v>36</v>
      </c>
      <c r="Z989" s="18" t="s">
        <v>697</v>
      </c>
      <c r="AA989" s="21" t="str">
        <f>HYPERLINK("https://www.ncbi.nlm.nih.gov/nuccore/OL451946","NCBI Nucleotide")</f>
        <v>NCBI Nucleotide</v>
      </c>
    </row>
    <row r="990" spans="1:27" x14ac:dyDescent="0.35">
      <c r="A990">
        <v>1024504</v>
      </c>
      <c r="B990">
        <v>989</v>
      </c>
      <c r="C990">
        <v>1</v>
      </c>
      <c r="D990" s="17" t="s">
        <v>155</v>
      </c>
      <c r="E990" s="17"/>
      <c r="F990" s="17" t="s">
        <v>156</v>
      </c>
      <c r="G990" s="17"/>
      <c r="H990" s="17" t="s">
        <v>692</v>
      </c>
      <c r="I990" s="17"/>
      <c r="J990" s="17" t="s">
        <v>693</v>
      </c>
      <c r="K990" s="17"/>
      <c r="L990" s="17"/>
      <c r="M990" s="17"/>
      <c r="N990" s="17" t="s">
        <v>7526</v>
      </c>
      <c r="O990" s="17" t="s">
        <v>7591</v>
      </c>
      <c r="P990" s="17" t="s">
        <v>7592</v>
      </c>
      <c r="Q990" s="17"/>
      <c r="R990" s="25" t="str">
        <f>HYPERLINK("https://ictv.global/taxonomy/taxondetails?taxnode_id=202318686","Epseptimavirus beppo")</f>
        <v>Epseptimavirus beppo</v>
      </c>
      <c r="S990" s="18" t="s">
        <v>30</v>
      </c>
      <c r="T990" s="18" t="s">
        <v>39051</v>
      </c>
      <c r="U990" s="18"/>
      <c r="V990" s="18"/>
      <c r="W990" s="18" t="s">
        <v>47901</v>
      </c>
      <c r="X990" s="18" t="s">
        <v>42</v>
      </c>
      <c r="Y990" s="18" t="s">
        <v>36</v>
      </c>
      <c r="Z990" s="18" t="s">
        <v>697</v>
      </c>
      <c r="AA990" s="21" t="str">
        <f>HYPERLINK("https://www.ncbi.nlm.nih.gov/nuccore/MT074455","NCBI Nucleotide")</f>
        <v>NCBI Nucleotide</v>
      </c>
    </row>
    <row r="991" spans="1:27" x14ac:dyDescent="0.35">
      <c r="A991">
        <v>1024505</v>
      </c>
      <c r="B991">
        <v>990</v>
      </c>
      <c r="C991">
        <v>1</v>
      </c>
      <c r="D991" s="17" t="s">
        <v>155</v>
      </c>
      <c r="E991" s="17"/>
      <c r="F991" s="17" t="s">
        <v>156</v>
      </c>
      <c r="G991" s="17"/>
      <c r="H991" s="17" t="s">
        <v>692</v>
      </c>
      <c r="I991" s="17"/>
      <c r="J991" s="17" t="s">
        <v>693</v>
      </c>
      <c r="K991" s="17"/>
      <c r="L991" s="17"/>
      <c r="M991" s="17"/>
      <c r="N991" s="17" t="s">
        <v>7526</v>
      </c>
      <c r="O991" s="17" t="s">
        <v>7591</v>
      </c>
      <c r="P991" s="17" t="s">
        <v>7592</v>
      </c>
      <c r="Q991" s="17"/>
      <c r="R991" s="25" t="str">
        <f>HYPERLINK("https://ictv.global/taxonomy/taxondetails?taxnode_id=202318695","Epseptimavirus bobsandoy")</f>
        <v>Epseptimavirus bobsandoy</v>
      </c>
      <c r="S991" s="18" t="s">
        <v>30</v>
      </c>
      <c r="T991" s="18" t="s">
        <v>39052</v>
      </c>
      <c r="U991" s="18"/>
      <c r="V991" s="18"/>
      <c r="W991" s="18" t="s">
        <v>47902</v>
      </c>
      <c r="X991" s="18" t="s">
        <v>42</v>
      </c>
      <c r="Y991" s="18" t="s">
        <v>36</v>
      </c>
      <c r="Z991" s="18" t="s">
        <v>697</v>
      </c>
      <c r="AA991" s="21" t="str">
        <f>HYPERLINK("https://www.ncbi.nlm.nih.gov/nuccore/MT074464","NCBI Nucleotide")</f>
        <v>NCBI Nucleotide</v>
      </c>
    </row>
    <row r="992" spans="1:27" x14ac:dyDescent="0.35">
      <c r="A992">
        <v>1001542</v>
      </c>
      <c r="B992">
        <v>991</v>
      </c>
      <c r="C992">
        <v>1</v>
      </c>
      <c r="D992" s="17" t="s">
        <v>155</v>
      </c>
      <c r="E992" s="17"/>
      <c r="F992" s="17" t="s">
        <v>156</v>
      </c>
      <c r="G992" s="17"/>
      <c r="H992" s="17" t="s">
        <v>692</v>
      </c>
      <c r="I992" s="17"/>
      <c r="J992" s="17" t="s">
        <v>693</v>
      </c>
      <c r="K992" s="17"/>
      <c r="L992" s="17"/>
      <c r="M992" s="17"/>
      <c r="N992" s="17" t="s">
        <v>7526</v>
      </c>
      <c r="O992" s="17" t="s">
        <v>7591</v>
      </c>
      <c r="P992" s="17" t="s">
        <v>7592</v>
      </c>
      <c r="Q992" s="17"/>
      <c r="R992" s="25" t="str">
        <f>HYPERLINK("https://ictv.global/taxonomy/taxondetails?taxnode_id=202309943","Epseptimavirus bombadil")</f>
        <v>Epseptimavirus bombadil</v>
      </c>
      <c r="S992" s="18" t="s">
        <v>30</v>
      </c>
      <c r="T992" s="18" t="s">
        <v>7601</v>
      </c>
      <c r="U992" s="18"/>
      <c r="V992" s="18"/>
      <c r="W992" s="18" t="s">
        <v>7602</v>
      </c>
      <c r="X992" s="18" t="s">
        <v>42</v>
      </c>
      <c r="Y992" s="18" t="s">
        <v>36</v>
      </c>
      <c r="Z992" s="18" t="s">
        <v>697</v>
      </c>
      <c r="AA992" s="21" t="str">
        <f>HYPERLINK("https://www.ncbi.nlm.nih.gov/nuccore/MT074449","NCBI Nucleotide")</f>
        <v>NCBI Nucleotide</v>
      </c>
    </row>
    <row r="993" spans="1:27" x14ac:dyDescent="0.35">
      <c r="A993">
        <v>1024506</v>
      </c>
      <c r="B993">
        <v>992</v>
      </c>
      <c r="C993">
        <v>1</v>
      </c>
      <c r="D993" s="17" t="s">
        <v>155</v>
      </c>
      <c r="E993" s="17"/>
      <c r="F993" s="17" t="s">
        <v>156</v>
      </c>
      <c r="G993" s="17"/>
      <c r="H993" s="17" t="s">
        <v>692</v>
      </c>
      <c r="I993" s="17"/>
      <c r="J993" s="17" t="s">
        <v>693</v>
      </c>
      <c r="K993" s="17"/>
      <c r="L993" s="17"/>
      <c r="M993" s="17"/>
      <c r="N993" s="17" t="s">
        <v>7526</v>
      </c>
      <c r="O993" s="17" t="s">
        <v>7591</v>
      </c>
      <c r="P993" s="17" t="s">
        <v>7592</v>
      </c>
      <c r="Q993" s="17"/>
      <c r="R993" s="25" t="str">
        <f>HYPERLINK("https://ictv.global/taxonomy/taxondetails?taxnode_id=202318687","Epseptimavirus bux")</f>
        <v>Epseptimavirus bux</v>
      </c>
      <c r="S993" s="18" t="s">
        <v>30</v>
      </c>
      <c r="T993" s="18" t="s">
        <v>39053</v>
      </c>
      <c r="U993" s="18"/>
      <c r="V993" s="18"/>
      <c r="W993" s="18" t="s">
        <v>47903</v>
      </c>
      <c r="X993" s="18" t="s">
        <v>42</v>
      </c>
      <c r="Y993" s="18" t="s">
        <v>36</v>
      </c>
      <c r="Z993" s="18" t="s">
        <v>697</v>
      </c>
      <c r="AA993" s="21" t="str">
        <f>HYPERLINK("https://www.ncbi.nlm.nih.gov/nuccore/MT074460","NCBI Nucleotide")</f>
        <v>NCBI Nucleotide</v>
      </c>
    </row>
    <row r="994" spans="1:27" x14ac:dyDescent="0.35">
      <c r="A994">
        <v>1024507</v>
      </c>
      <c r="B994">
        <v>993</v>
      </c>
      <c r="C994">
        <v>1</v>
      </c>
      <c r="D994" s="17" t="s">
        <v>155</v>
      </c>
      <c r="E994" s="17"/>
      <c r="F994" s="17" t="s">
        <v>156</v>
      </c>
      <c r="G994" s="17"/>
      <c r="H994" s="17" t="s">
        <v>692</v>
      </c>
      <c r="I994" s="17"/>
      <c r="J994" s="17" t="s">
        <v>693</v>
      </c>
      <c r="K994" s="17"/>
      <c r="L994" s="17"/>
      <c r="M994" s="17"/>
      <c r="N994" s="17" t="s">
        <v>7526</v>
      </c>
      <c r="O994" s="17" t="s">
        <v>7591</v>
      </c>
      <c r="P994" s="17" t="s">
        <v>7592</v>
      </c>
      <c r="Q994" s="17"/>
      <c r="R994" s="25" t="str">
        <f>HYPERLINK("https://ictv.global/taxonomy/taxondetails?taxnode_id=202318682","Epseptimavirus ende")</f>
        <v>Epseptimavirus ende</v>
      </c>
      <c r="S994" s="18" t="s">
        <v>30</v>
      </c>
      <c r="T994" s="18" t="s">
        <v>39054</v>
      </c>
      <c r="U994" s="18"/>
      <c r="V994" s="18"/>
      <c r="W994" s="18" t="s">
        <v>47904</v>
      </c>
      <c r="X994" s="18" t="s">
        <v>42</v>
      </c>
      <c r="Y994" s="18" t="s">
        <v>36</v>
      </c>
      <c r="Z994" s="18" t="s">
        <v>697</v>
      </c>
      <c r="AA994" s="21" t="str">
        <f>HYPERLINK("https://www.ncbi.nlm.nih.gov/nuccore/MT074454","NCBI Nucleotide")</f>
        <v>NCBI Nucleotide</v>
      </c>
    </row>
    <row r="995" spans="1:27" x14ac:dyDescent="0.35">
      <c r="A995">
        <v>1001543</v>
      </c>
      <c r="B995">
        <v>994</v>
      </c>
      <c r="C995">
        <v>1</v>
      </c>
      <c r="D995" s="17" t="s">
        <v>155</v>
      </c>
      <c r="E995" s="17"/>
      <c r="F995" s="17" t="s">
        <v>156</v>
      </c>
      <c r="G995" s="17"/>
      <c r="H995" s="17" t="s">
        <v>692</v>
      </c>
      <c r="I995" s="17"/>
      <c r="J995" s="17" t="s">
        <v>693</v>
      </c>
      <c r="K995" s="17"/>
      <c r="L995" s="17"/>
      <c r="M995" s="17"/>
      <c r="N995" s="17" t="s">
        <v>7526</v>
      </c>
      <c r="O995" s="17" t="s">
        <v>7591</v>
      </c>
      <c r="P995" s="17" t="s">
        <v>7592</v>
      </c>
      <c r="Q995" s="17"/>
      <c r="R995" s="25" t="str">
        <f>HYPERLINK("https://ictv.global/taxonomy/taxondetails?taxnode_id=202301324","Epseptimavirus EPS7")</f>
        <v>Epseptimavirus EPS7</v>
      </c>
      <c r="S995" s="18" t="s">
        <v>30</v>
      </c>
      <c r="T995" s="18" t="s">
        <v>7603</v>
      </c>
      <c r="U995" s="18"/>
      <c r="V995" s="18"/>
      <c r="W995" s="18" t="s">
        <v>7604</v>
      </c>
      <c r="X995" s="18" t="s">
        <v>42</v>
      </c>
      <c r="Y995" s="18" t="s">
        <v>36</v>
      </c>
      <c r="Z995" s="18" t="s">
        <v>697</v>
      </c>
      <c r="AA995" s="21" t="str">
        <f>HYPERLINK("https://www.ncbi.nlm.nih.gov/nuccore/CP000917","NCBI Nucleotide")</f>
        <v>NCBI Nucleotide</v>
      </c>
    </row>
    <row r="996" spans="1:27" x14ac:dyDescent="0.35">
      <c r="A996">
        <v>1024508</v>
      </c>
      <c r="B996">
        <v>995</v>
      </c>
      <c r="C996">
        <v>1</v>
      </c>
      <c r="D996" s="17" t="s">
        <v>155</v>
      </c>
      <c r="E996" s="17"/>
      <c r="F996" s="17" t="s">
        <v>156</v>
      </c>
      <c r="G996" s="17"/>
      <c r="H996" s="17" t="s">
        <v>692</v>
      </c>
      <c r="I996" s="17"/>
      <c r="J996" s="17" t="s">
        <v>693</v>
      </c>
      <c r="K996" s="17"/>
      <c r="L996" s="17"/>
      <c r="M996" s="17"/>
      <c r="N996" s="17" t="s">
        <v>7526</v>
      </c>
      <c r="O996" s="17" t="s">
        <v>7591</v>
      </c>
      <c r="P996" s="17" t="s">
        <v>7592</v>
      </c>
      <c r="Q996" s="17"/>
      <c r="R996" s="25" t="str">
        <f>HYPERLINK("https://ictv.global/taxonomy/taxondetails?taxnode_id=202318706","Epseptimavirus EscoHU1")</f>
        <v>Epseptimavirus EscoHU1</v>
      </c>
      <c r="S996" s="18" t="s">
        <v>30</v>
      </c>
      <c r="T996" s="18" t="s">
        <v>39055</v>
      </c>
      <c r="U996" s="18"/>
      <c r="V996" s="18"/>
      <c r="W996" s="18" t="s">
        <v>47905</v>
      </c>
      <c r="X996" s="18" t="s">
        <v>42</v>
      </c>
      <c r="Y996" s="18" t="s">
        <v>36</v>
      </c>
      <c r="Z996" s="18" t="s">
        <v>697</v>
      </c>
      <c r="AA996" s="21" t="str">
        <f>HYPERLINK("https://www.ncbi.nlm.nih.gov/nuccore/LC659915","NCBI Nucleotide")</f>
        <v>NCBI Nucleotide</v>
      </c>
    </row>
    <row r="997" spans="1:27" x14ac:dyDescent="0.35">
      <c r="A997">
        <v>1001547</v>
      </c>
      <c r="B997">
        <v>996</v>
      </c>
      <c r="C997">
        <v>1</v>
      </c>
      <c r="D997" s="17" t="s">
        <v>155</v>
      </c>
      <c r="E997" s="17"/>
      <c r="F997" s="17" t="s">
        <v>156</v>
      </c>
      <c r="G997" s="17"/>
      <c r="H997" s="17" t="s">
        <v>692</v>
      </c>
      <c r="I997" s="17"/>
      <c r="J997" s="17" t="s">
        <v>693</v>
      </c>
      <c r="K997" s="17"/>
      <c r="L997" s="17"/>
      <c r="M997" s="17"/>
      <c r="N997" s="17" t="s">
        <v>7526</v>
      </c>
      <c r="O997" s="17" t="s">
        <v>7591</v>
      </c>
      <c r="P997" s="17" t="s">
        <v>7592</v>
      </c>
      <c r="Q997" s="17"/>
      <c r="R997" s="25" t="str">
        <f>HYPERLINK("https://ictv.global/taxonomy/taxondetails?taxnode_id=202309950","Epseptimavirus ev23")</f>
        <v>Epseptimavirus ev23</v>
      </c>
      <c r="S997" s="18" t="s">
        <v>30</v>
      </c>
      <c r="T997" s="18" t="s">
        <v>7611</v>
      </c>
      <c r="U997" s="18"/>
      <c r="V997" s="18"/>
      <c r="W997" s="18" t="s">
        <v>7612</v>
      </c>
      <c r="X997" s="18" t="s">
        <v>42</v>
      </c>
      <c r="Y997" s="18" t="s">
        <v>36</v>
      </c>
      <c r="Z997" s="18" t="s">
        <v>697</v>
      </c>
      <c r="AA997" s="21" t="str">
        <f>HYPERLINK("https://www.ncbi.nlm.nih.gov/nuccore/MN197465","NCBI Nucleotide")</f>
        <v>NCBI Nucleotide</v>
      </c>
    </row>
    <row r="998" spans="1:27" x14ac:dyDescent="0.35">
      <c r="A998">
        <v>1001544</v>
      </c>
      <c r="B998">
        <v>997</v>
      </c>
      <c r="C998">
        <v>1</v>
      </c>
      <c r="D998" s="17" t="s">
        <v>155</v>
      </c>
      <c r="E998" s="17"/>
      <c r="F998" s="17" t="s">
        <v>156</v>
      </c>
      <c r="G998" s="17"/>
      <c r="H998" s="17" t="s">
        <v>692</v>
      </c>
      <c r="I998" s="17"/>
      <c r="J998" s="17" t="s">
        <v>693</v>
      </c>
      <c r="K998" s="17"/>
      <c r="L998" s="17"/>
      <c r="M998" s="17"/>
      <c r="N998" s="17" t="s">
        <v>7526</v>
      </c>
      <c r="O998" s="17" t="s">
        <v>7591</v>
      </c>
      <c r="P998" s="17" t="s">
        <v>7592</v>
      </c>
      <c r="Q998" s="17"/>
      <c r="R998" s="25" t="str">
        <f>HYPERLINK("https://ictv.global/taxonomy/taxondetails?taxnode_id=202309938","Epseptimavirus ev119")</f>
        <v>Epseptimavirus ev119</v>
      </c>
      <c r="S998" s="18" t="s">
        <v>30</v>
      </c>
      <c r="T998" s="18" t="s">
        <v>7605</v>
      </c>
      <c r="U998" s="18"/>
      <c r="V998" s="18"/>
      <c r="W998" s="18" t="s">
        <v>7606</v>
      </c>
      <c r="X998" s="18" t="s">
        <v>42</v>
      </c>
      <c r="Y998" s="18" t="s">
        <v>36</v>
      </c>
      <c r="Z998" s="18" t="s">
        <v>697</v>
      </c>
      <c r="AA998" s="21" t="str">
        <f>HYPERLINK("https://www.ncbi.nlm.nih.gov/nuccore/MN379739","NCBI Nucleotide")</f>
        <v>NCBI Nucleotide</v>
      </c>
    </row>
    <row r="999" spans="1:27" x14ac:dyDescent="0.35">
      <c r="A999">
        <v>1001545</v>
      </c>
      <c r="B999">
        <v>998</v>
      </c>
      <c r="C999">
        <v>1</v>
      </c>
      <c r="D999" s="17" t="s">
        <v>155</v>
      </c>
      <c r="E999" s="17"/>
      <c r="F999" s="17" t="s">
        <v>156</v>
      </c>
      <c r="G999" s="17"/>
      <c r="H999" s="17" t="s">
        <v>692</v>
      </c>
      <c r="I999" s="17"/>
      <c r="J999" s="17" t="s">
        <v>693</v>
      </c>
      <c r="K999" s="17"/>
      <c r="L999" s="17"/>
      <c r="M999" s="17"/>
      <c r="N999" s="17" t="s">
        <v>7526</v>
      </c>
      <c r="O999" s="17" t="s">
        <v>7591</v>
      </c>
      <c r="P999" s="17" t="s">
        <v>7592</v>
      </c>
      <c r="Q999" s="17"/>
      <c r="R999" s="25" t="str">
        <f>HYPERLINK("https://ictv.global/taxonomy/taxondetails?taxnode_id=202308098","Epseptimavirus ev123")</f>
        <v>Epseptimavirus ev123</v>
      </c>
      <c r="S999" s="18" t="s">
        <v>30</v>
      </c>
      <c r="T999" s="18" t="s">
        <v>7607</v>
      </c>
      <c r="U999" s="18"/>
      <c r="V999" s="18"/>
      <c r="W999" s="18" t="s">
        <v>7608</v>
      </c>
      <c r="X999" s="18" t="s">
        <v>42</v>
      </c>
      <c r="Y999" s="18" t="s">
        <v>36</v>
      </c>
      <c r="Z999" s="18" t="s">
        <v>697</v>
      </c>
      <c r="AA999" s="21" t="str">
        <f>HYPERLINK("https://www.ncbi.nlm.nih.gov/nuccore/MK370036","NCBI Nucleotide")</f>
        <v>NCBI Nucleotide</v>
      </c>
    </row>
    <row r="1000" spans="1:27" x14ac:dyDescent="0.35">
      <c r="A1000">
        <v>1001546</v>
      </c>
      <c r="B1000">
        <v>999</v>
      </c>
      <c r="C1000">
        <v>1</v>
      </c>
      <c r="D1000" s="17" t="s">
        <v>155</v>
      </c>
      <c r="E1000" s="17"/>
      <c r="F1000" s="17" t="s">
        <v>156</v>
      </c>
      <c r="G1000" s="17"/>
      <c r="H1000" s="17" t="s">
        <v>692</v>
      </c>
      <c r="I1000" s="17"/>
      <c r="J1000" s="17" t="s">
        <v>693</v>
      </c>
      <c r="K1000" s="17"/>
      <c r="L1000" s="17"/>
      <c r="M1000" s="17"/>
      <c r="N1000" s="17" t="s">
        <v>7526</v>
      </c>
      <c r="O1000" s="17" t="s">
        <v>7591</v>
      </c>
      <c r="P1000" s="17" t="s">
        <v>7592</v>
      </c>
      <c r="Q1000" s="17"/>
      <c r="R1000" s="25" t="str">
        <f>HYPERLINK("https://ictv.global/taxonomy/taxondetails?taxnode_id=202309937","Epseptimavirus ev129")</f>
        <v>Epseptimavirus ev129</v>
      </c>
      <c r="S1000" s="18" t="s">
        <v>30</v>
      </c>
      <c r="T1000" s="18" t="s">
        <v>7609</v>
      </c>
      <c r="U1000" s="18"/>
      <c r="V1000" s="18"/>
      <c r="W1000" s="18" t="s">
        <v>7610</v>
      </c>
      <c r="X1000" s="18" t="s">
        <v>42</v>
      </c>
      <c r="Y1000" s="18" t="s">
        <v>36</v>
      </c>
      <c r="Z1000" s="18" t="s">
        <v>697</v>
      </c>
      <c r="AA1000" s="21" t="str">
        <f>HYPERLINK("https://www.ncbi.nlm.nih.gov/nuccore/MN218191","NCBI Nucleotide")</f>
        <v>NCBI Nucleotide</v>
      </c>
    </row>
    <row r="1001" spans="1:27" x14ac:dyDescent="0.35">
      <c r="A1001">
        <v>1001548</v>
      </c>
      <c r="B1001">
        <v>1000</v>
      </c>
      <c r="C1001">
        <v>1</v>
      </c>
      <c r="D1001" s="17" t="s">
        <v>155</v>
      </c>
      <c r="E1001" s="17"/>
      <c r="F1001" s="17" t="s">
        <v>156</v>
      </c>
      <c r="G1001" s="17"/>
      <c r="H1001" s="17" t="s">
        <v>692</v>
      </c>
      <c r="I1001" s="17"/>
      <c r="J1001" s="17" t="s">
        <v>693</v>
      </c>
      <c r="K1001" s="17"/>
      <c r="L1001" s="17"/>
      <c r="M1001" s="17"/>
      <c r="N1001" s="17" t="s">
        <v>7526</v>
      </c>
      <c r="O1001" s="17" t="s">
        <v>7591</v>
      </c>
      <c r="P1001" s="17" t="s">
        <v>7592</v>
      </c>
      <c r="Q1001" s="17"/>
      <c r="R1001" s="25" t="str">
        <f>HYPERLINK("https://ictv.global/taxonomy/taxondetails?taxnode_id=202309936","Epseptimavirus ev329")</f>
        <v>Epseptimavirus ev329</v>
      </c>
      <c r="S1001" s="18" t="s">
        <v>30</v>
      </c>
      <c r="T1001" s="18" t="s">
        <v>7613</v>
      </c>
      <c r="U1001" s="18"/>
      <c r="V1001" s="18"/>
      <c r="W1001" s="18" t="s">
        <v>7614</v>
      </c>
      <c r="X1001" s="18" t="s">
        <v>42</v>
      </c>
      <c r="Y1001" s="18" t="s">
        <v>36</v>
      </c>
      <c r="Z1001" s="18" t="s">
        <v>697</v>
      </c>
      <c r="AA1001" s="21" t="str">
        <f>HYPERLINK("https://www.ncbi.nlm.nih.gov/nuccore/MK393882","NCBI Nucleotide")</f>
        <v>NCBI Nucleotide</v>
      </c>
    </row>
    <row r="1002" spans="1:27" x14ac:dyDescent="0.35">
      <c r="A1002">
        <v>1024509</v>
      </c>
      <c r="B1002">
        <v>1001</v>
      </c>
      <c r="C1002">
        <v>1</v>
      </c>
      <c r="D1002" s="17" t="s">
        <v>155</v>
      </c>
      <c r="E1002" s="17"/>
      <c r="F1002" s="17" t="s">
        <v>156</v>
      </c>
      <c r="G1002" s="17"/>
      <c r="H1002" s="17" t="s">
        <v>692</v>
      </c>
      <c r="I1002" s="17"/>
      <c r="J1002" s="17" t="s">
        <v>693</v>
      </c>
      <c r="K1002" s="17"/>
      <c r="L1002" s="17"/>
      <c r="M1002" s="17"/>
      <c r="N1002" s="17" t="s">
        <v>7526</v>
      </c>
      <c r="O1002" s="17" t="s">
        <v>7591</v>
      </c>
      <c r="P1002" s="17" t="s">
        <v>7592</v>
      </c>
      <c r="Q1002" s="17"/>
      <c r="R1002" s="25" t="str">
        <f>HYPERLINK("https://ictv.global/taxonomy/taxondetails?taxnode_id=202318683","Epseptimavirus ev26175I")</f>
        <v>Epseptimavirus ev26175I</v>
      </c>
      <c r="S1002" s="18" t="s">
        <v>30</v>
      </c>
      <c r="T1002" s="18" t="s">
        <v>39056</v>
      </c>
      <c r="U1002" s="18"/>
      <c r="V1002" s="18"/>
      <c r="W1002" s="18" t="s">
        <v>47906</v>
      </c>
      <c r="X1002" s="18" t="s">
        <v>42</v>
      </c>
      <c r="Y1002" s="18" t="s">
        <v>36</v>
      </c>
      <c r="Z1002" s="18" t="s">
        <v>697</v>
      </c>
      <c r="AA1002" s="21" t="str">
        <f>HYPERLINK("https://www.ncbi.nlm.nih.gov/nuccore/MK907267","NCBI Nucleotide")</f>
        <v>NCBI Nucleotide</v>
      </c>
    </row>
    <row r="1003" spans="1:27" x14ac:dyDescent="0.35">
      <c r="A1003">
        <v>1001549</v>
      </c>
      <c r="B1003">
        <v>1002</v>
      </c>
      <c r="C1003">
        <v>1</v>
      </c>
      <c r="D1003" s="17" t="s">
        <v>155</v>
      </c>
      <c r="E1003" s="17"/>
      <c r="F1003" s="17" t="s">
        <v>156</v>
      </c>
      <c r="G1003" s="17"/>
      <c r="H1003" s="17" t="s">
        <v>692</v>
      </c>
      <c r="I1003" s="17"/>
      <c r="J1003" s="17" t="s">
        <v>693</v>
      </c>
      <c r="K1003" s="17"/>
      <c r="L1003" s="17"/>
      <c r="M1003" s="17"/>
      <c r="N1003" s="17" t="s">
        <v>7526</v>
      </c>
      <c r="O1003" s="17" t="s">
        <v>7591</v>
      </c>
      <c r="P1003" s="17" t="s">
        <v>7592</v>
      </c>
      <c r="Q1003" s="17"/>
      <c r="R1003" s="25" t="str">
        <f>HYPERLINK("https://ictv.global/taxonomy/taxondetails?taxnode_id=202309941","Epseptimavirus faergetype")</f>
        <v>Epseptimavirus faergetype</v>
      </c>
      <c r="S1003" s="18" t="s">
        <v>30</v>
      </c>
      <c r="T1003" s="18" t="s">
        <v>7615</v>
      </c>
      <c r="U1003" s="18"/>
      <c r="V1003" s="18"/>
      <c r="W1003" s="18" t="s">
        <v>7616</v>
      </c>
      <c r="X1003" s="18" t="s">
        <v>42</v>
      </c>
      <c r="Y1003" s="18" t="s">
        <v>36</v>
      </c>
      <c r="Z1003" s="18" t="s">
        <v>697</v>
      </c>
      <c r="AA1003" s="21" t="str">
        <f>HYPERLINK("https://www.ncbi.nlm.nih.gov/nuccore/MT074450","NCBI Nucleotide")</f>
        <v>NCBI Nucleotide</v>
      </c>
    </row>
    <row r="1004" spans="1:27" x14ac:dyDescent="0.35">
      <c r="A1004">
        <v>1024510</v>
      </c>
      <c r="B1004">
        <v>1003</v>
      </c>
      <c r="C1004">
        <v>1</v>
      </c>
      <c r="D1004" s="17" t="s">
        <v>155</v>
      </c>
      <c r="E1004" s="17"/>
      <c r="F1004" s="17" t="s">
        <v>156</v>
      </c>
      <c r="G1004" s="17"/>
      <c r="H1004" s="17" t="s">
        <v>692</v>
      </c>
      <c r="I1004" s="17"/>
      <c r="J1004" s="17" t="s">
        <v>693</v>
      </c>
      <c r="K1004" s="17"/>
      <c r="L1004" s="17"/>
      <c r="M1004" s="17"/>
      <c r="N1004" s="17" t="s">
        <v>7526</v>
      </c>
      <c r="O1004" s="17" t="s">
        <v>7591</v>
      </c>
      <c r="P1004" s="17" t="s">
        <v>7592</v>
      </c>
      <c r="Q1004" s="17"/>
      <c r="R1004" s="25" t="str">
        <f>HYPERLINK("https://ictv.global/taxonomy/taxondetails?taxnode_id=202318689","Epseptimavirus falkor")</f>
        <v>Epseptimavirus falkor</v>
      </c>
      <c r="S1004" s="18" t="s">
        <v>30</v>
      </c>
      <c r="T1004" s="18" t="s">
        <v>39057</v>
      </c>
      <c r="U1004" s="18"/>
      <c r="V1004" s="18"/>
      <c r="W1004" s="18" t="s">
        <v>47907</v>
      </c>
      <c r="X1004" s="18" t="s">
        <v>42</v>
      </c>
      <c r="Y1004" s="18" t="s">
        <v>36</v>
      </c>
      <c r="Z1004" s="18" t="s">
        <v>697</v>
      </c>
      <c r="AA1004" s="21" t="str">
        <f>HYPERLINK("https://www.ncbi.nlm.nih.gov/nuccore/MT074467","NCBI Nucleotide")</f>
        <v>NCBI Nucleotide</v>
      </c>
    </row>
    <row r="1005" spans="1:27" x14ac:dyDescent="0.35">
      <c r="A1005">
        <v>1001550</v>
      </c>
      <c r="B1005">
        <v>1004</v>
      </c>
      <c r="C1005">
        <v>1</v>
      </c>
      <c r="D1005" s="17" t="s">
        <v>155</v>
      </c>
      <c r="E1005" s="17"/>
      <c r="F1005" s="17" t="s">
        <v>156</v>
      </c>
      <c r="G1005" s="17"/>
      <c r="H1005" s="17" t="s">
        <v>692</v>
      </c>
      <c r="I1005" s="17"/>
      <c r="J1005" s="17" t="s">
        <v>693</v>
      </c>
      <c r="K1005" s="17"/>
      <c r="L1005" s="17"/>
      <c r="M1005" s="17"/>
      <c r="N1005" s="17" t="s">
        <v>7526</v>
      </c>
      <c r="O1005" s="17" t="s">
        <v>7591</v>
      </c>
      <c r="P1005" s="17" t="s">
        <v>7592</v>
      </c>
      <c r="Q1005" s="17"/>
      <c r="R1005" s="25" t="str">
        <f>HYPERLINK("https://ictv.global/taxonomy/taxondetails?taxnode_id=202309940","Epseptimavirus fuchur")</f>
        <v>Epseptimavirus fuchur</v>
      </c>
      <c r="S1005" s="18" t="s">
        <v>30</v>
      </c>
      <c r="T1005" s="18" t="s">
        <v>7617</v>
      </c>
      <c r="U1005" s="18"/>
      <c r="V1005" s="18"/>
      <c r="W1005" s="18" t="s">
        <v>7618</v>
      </c>
      <c r="X1005" s="18" t="s">
        <v>42</v>
      </c>
      <c r="Y1005" s="18" t="s">
        <v>36</v>
      </c>
      <c r="Z1005" s="18" t="s">
        <v>697</v>
      </c>
      <c r="AA1005" s="21" t="str">
        <f>HYPERLINK("https://www.ncbi.nlm.nih.gov/nuccore/MT074458","NCBI Nucleotide")</f>
        <v>NCBI Nucleotide</v>
      </c>
    </row>
    <row r="1006" spans="1:27" x14ac:dyDescent="0.35">
      <c r="A1006">
        <v>1024511</v>
      </c>
      <c r="B1006">
        <v>1005</v>
      </c>
      <c r="C1006">
        <v>1</v>
      </c>
      <c r="D1006" s="17" t="s">
        <v>155</v>
      </c>
      <c r="E1006" s="17"/>
      <c r="F1006" s="17" t="s">
        <v>156</v>
      </c>
      <c r="G1006" s="17"/>
      <c r="H1006" s="17" t="s">
        <v>692</v>
      </c>
      <c r="I1006" s="17"/>
      <c r="J1006" s="17" t="s">
        <v>693</v>
      </c>
      <c r="K1006" s="17"/>
      <c r="L1006" s="17"/>
      <c r="M1006" s="17"/>
      <c r="N1006" s="17" t="s">
        <v>7526</v>
      </c>
      <c r="O1006" s="17" t="s">
        <v>7591</v>
      </c>
      <c r="P1006" s="17" t="s">
        <v>7592</v>
      </c>
      <c r="Q1006" s="17"/>
      <c r="R1006" s="25" t="str">
        <f>HYPERLINK("https://ictv.global/taxonomy/taxondetails?taxnode_id=202318702","Epseptimavirus gretekellenberger")</f>
        <v>Epseptimavirus gretekellenberger</v>
      </c>
      <c r="S1006" s="18" t="s">
        <v>30</v>
      </c>
      <c r="T1006" s="18" t="s">
        <v>39058</v>
      </c>
      <c r="U1006" s="18"/>
      <c r="V1006" s="18"/>
      <c r="W1006" s="18" t="s">
        <v>47908</v>
      </c>
      <c r="X1006" s="18" t="s">
        <v>42</v>
      </c>
      <c r="Y1006" s="18" t="s">
        <v>36</v>
      </c>
      <c r="Z1006" s="18" t="s">
        <v>697</v>
      </c>
      <c r="AA1006" s="21" t="str">
        <f>HYPERLINK("https://www.ncbi.nlm.nih.gov/nuccore/MZ501072","NCBI Nucleotide")</f>
        <v>NCBI Nucleotide</v>
      </c>
    </row>
    <row r="1007" spans="1:27" x14ac:dyDescent="0.35">
      <c r="A1007">
        <v>1024512</v>
      </c>
      <c r="B1007">
        <v>1006</v>
      </c>
      <c r="C1007">
        <v>1</v>
      </c>
      <c r="D1007" s="17" t="s">
        <v>155</v>
      </c>
      <c r="E1007" s="17"/>
      <c r="F1007" s="17" t="s">
        <v>156</v>
      </c>
      <c r="G1007" s="17"/>
      <c r="H1007" s="17" t="s">
        <v>692</v>
      </c>
      <c r="I1007" s="17"/>
      <c r="J1007" s="17" t="s">
        <v>693</v>
      </c>
      <c r="K1007" s="17"/>
      <c r="L1007" s="17"/>
      <c r="M1007" s="17"/>
      <c r="N1007" s="17" t="s">
        <v>7526</v>
      </c>
      <c r="O1007" s="17" t="s">
        <v>7591</v>
      </c>
      <c r="P1007" s="17" t="s">
        <v>7592</v>
      </c>
      <c r="Q1007" s="17"/>
      <c r="R1007" s="25" t="str">
        <f>HYPERLINK("https://ictv.global/taxonomy/taxondetails?taxnode_id=202318696","Epseptimavirus GRNsp8")</f>
        <v>Epseptimavirus GRNsp8</v>
      </c>
      <c r="S1007" s="18" t="s">
        <v>30</v>
      </c>
      <c r="T1007" s="18" t="s">
        <v>39059</v>
      </c>
      <c r="U1007" s="18"/>
      <c r="V1007" s="18"/>
      <c r="W1007" s="18" t="s">
        <v>47909</v>
      </c>
      <c r="X1007" s="18" t="s">
        <v>42</v>
      </c>
      <c r="Y1007" s="18" t="s">
        <v>36</v>
      </c>
      <c r="Z1007" s="18" t="s">
        <v>697</v>
      </c>
      <c r="AA1007" s="21" t="str">
        <f>HYPERLINK("https://www.ncbi.nlm.nih.gov/nuccore/ON526840","NCBI Nucleotide")</f>
        <v>NCBI Nucleotide</v>
      </c>
    </row>
    <row r="1008" spans="1:27" x14ac:dyDescent="0.35">
      <c r="A1008">
        <v>1024513</v>
      </c>
      <c r="B1008">
        <v>1007</v>
      </c>
      <c r="C1008">
        <v>1</v>
      </c>
      <c r="D1008" s="17" t="s">
        <v>155</v>
      </c>
      <c r="E1008" s="17"/>
      <c r="F1008" s="17" t="s">
        <v>156</v>
      </c>
      <c r="G1008" s="17"/>
      <c r="H1008" s="17" t="s">
        <v>692</v>
      </c>
      <c r="I1008" s="17"/>
      <c r="J1008" s="17" t="s">
        <v>693</v>
      </c>
      <c r="K1008" s="17"/>
      <c r="L1008" s="17"/>
      <c r="M1008" s="17"/>
      <c r="N1008" s="17" t="s">
        <v>7526</v>
      </c>
      <c r="O1008" s="17" t="s">
        <v>7591</v>
      </c>
      <c r="P1008" s="17" t="s">
        <v>7592</v>
      </c>
      <c r="Q1008" s="17"/>
      <c r="R1008" s="25" t="str">
        <f>HYPERLINK("https://ictv.global/taxonomy/taxondetails?taxnode_id=202318699","Epseptimavirus GSP001")</f>
        <v>Epseptimavirus GSP001</v>
      </c>
      <c r="S1008" s="18" t="s">
        <v>30</v>
      </c>
      <c r="T1008" s="18" t="s">
        <v>39060</v>
      </c>
      <c r="U1008" s="18"/>
      <c r="V1008" s="18"/>
      <c r="W1008" s="18" t="s">
        <v>47910</v>
      </c>
      <c r="X1008" s="18" t="s">
        <v>42</v>
      </c>
      <c r="Y1008" s="18" t="s">
        <v>36</v>
      </c>
      <c r="Z1008" s="18" t="s">
        <v>697</v>
      </c>
      <c r="AA1008" s="21" t="str">
        <f>HYPERLINK("https://www.ncbi.nlm.nih.gov/nuccore/ON855039","NCBI Nucleotide")</f>
        <v>NCBI Nucleotide</v>
      </c>
    </row>
    <row r="1009" spans="1:27" x14ac:dyDescent="0.35">
      <c r="A1009">
        <v>1024514</v>
      </c>
      <c r="B1009">
        <v>1008</v>
      </c>
      <c r="C1009">
        <v>1</v>
      </c>
      <c r="D1009" s="17" t="s">
        <v>155</v>
      </c>
      <c r="E1009" s="17"/>
      <c r="F1009" s="17" t="s">
        <v>156</v>
      </c>
      <c r="G1009" s="17"/>
      <c r="H1009" s="17" t="s">
        <v>692</v>
      </c>
      <c r="I1009" s="17"/>
      <c r="J1009" s="17" t="s">
        <v>693</v>
      </c>
      <c r="K1009" s="17"/>
      <c r="L1009" s="17"/>
      <c r="M1009" s="17"/>
      <c r="N1009" s="17" t="s">
        <v>7526</v>
      </c>
      <c r="O1009" s="17" t="s">
        <v>7591</v>
      </c>
      <c r="P1009" s="17" t="s">
        <v>7592</v>
      </c>
      <c r="Q1009" s="17"/>
      <c r="R1009" s="25" t="str">
        <f>HYPERLINK("https://ictv.global/taxonomy/taxondetails?taxnode_id=202318671","Epseptimavirus GSW6")</f>
        <v>Epseptimavirus GSW6</v>
      </c>
      <c r="S1009" s="18" t="s">
        <v>30</v>
      </c>
      <c r="T1009" s="18" t="s">
        <v>39061</v>
      </c>
      <c r="U1009" s="18"/>
      <c r="V1009" s="18"/>
      <c r="W1009" s="18" t="s">
        <v>47911</v>
      </c>
      <c r="X1009" s="18" t="s">
        <v>42</v>
      </c>
      <c r="Y1009" s="18" t="s">
        <v>36</v>
      </c>
      <c r="Z1009" s="18" t="s">
        <v>697</v>
      </c>
      <c r="AA1009" s="21" t="str">
        <f>HYPERLINK("https://www.ncbi.nlm.nih.gov/nuccore/OQ362005","NCBI Nucleotide")</f>
        <v>NCBI Nucleotide</v>
      </c>
    </row>
    <row r="1010" spans="1:27" x14ac:dyDescent="0.35">
      <c r="A1010">
        <v>1024515</v>
      </c>
      <c r="B1010">
        <v>1009</v>
      </c>
      <c r="C1010">
        <v>1</v>
      </c>
      <c r="D1010" s="17" t="s">
        <v>155</v>
      </c>
      <c r="E1010" s="17"/>
      <c r="F1010" s="17" t="s">
        <v>156</v>
      </c>
      <c r="G1010" s="17"/>
      <c r="H1010" s="17" t="s">
        <v>692</v>
      </c>
      <c r="I1010" s="17"/>
      <c r="J1010" s="17" t="s">
        <v>693</v>
      </c>
      <c r="K1010" s="17"/>
      <c r="L1010" s="17"/>
      <c r="M1010" s="17"/>
      <c r="N1010" s="17" t="s">
        <v>7526</v>
      </c>
      <c r="O1010" s="17" t="s">
        <v>7591</v>
      </c>
      <c r="P1010" s="17" t="s">
        <v>7592</v>
      </c>
      <c r="Q1010" s="17"/>
      <c r="R1010" s="25" t="str">
        <f>HYPERLINK("https://ictv.global/taxonomy/taxondetails?taxnode_id=202318701","Epseptimavirus irmatschudi")</f>
        <v>Epseptimavirus irmatschudi</v>
      </c>
      <c r="S1010" s="18" t="s">
        <v>30</v>
      </c>
      <c r="T1010" s="18" t="s">
        <v>39062</v>
      </c>
      <c r="U1010" s="18"/>
      <c r="V1010" s="18"/>
      <c r="W1010" s="18" t="s">
        <v>47912</v>
      </c>
      <c r="X1010" s="18" t="s">
        <v>42</v>
      </c>
      <c r="Y1010" s="18" t="s">
        <v>36</v>
      </c>
      <c r="Z1010" s="18" t="s">
        <v>697</v>
      </c>
      <c r="AA1010" s="21" t="str">
        <f>HYPERLINK("https://www.ncbi.nlm.nih.gov/nuccore/MZ501076","NCBI Nucleotide")</f>
        <v>NCBI Nucleotide</v>
      </c>
    </row>
    <row r="1011" spans="1:27" x14ac:dyDescent="0.35">
      <c r="A1011">
        <v>1024516</v>
      </c>
      <c r="B1011">
        <v>1010</v>
      </c>
      <c r="C1011">
        <v>1</v>
      </c>
      <c r="D1011" s="17" t="s">
        <v>155</v>
      </c>
      <c r="E1011" s="17"/>
      <c r="F1011" s="17" t="s">
        <v>156</v>
      </c>
      <c r="G1011" s="17"/>
      <c r="H1011" s="17" t="s">
        <v>692</v>
      </c>
      <c r="I1011" s="17"/>
      <c r="J1011" s="17" t="s">
        <v>693</v>
      </c>
      <c r="K1011" s="17"/>
      <c r="L1011" s="17"/>
      <c r="M1011" s="17"/>
      <c r="N1011" s="17" t="s">
        <v>7526</v>
      </c>
      <c r="O1011" s="17" t="s">
        <v>7591</v>
      </c>
      <c r="P1011" s="17" t="s">
        <v>7592</v>
      </c>
      <c r="Q1011" s="17"/>
      <c r="R1011" s="25" t="str">
        <f>HYPERLINK("https://ictv.global/taxonomy/taxondetails?taxnode_id=202318694","Epseptimavirus JNS202001")</f>
        <v>Epseptimavirus JNS202001</v>
      </c>
      <c r="S1011" s="18" t="s">
        <v>30</v>
      </c>
      <c r="T1011" s="18" t="s">
        <v>39063</v>
      </c>
      <c r="U1011" s="18"/>
      <c r="V1011" s="18"/>
      <c r="W1011" s="18" t="s">
        <v>47913</v>
      </c>
      <c r="X1011" s="18" t="s">
        <v>42</v>
      </c>
      <c r="Y1011" s="18" t="s">
        <v>36</v>
      </c>
      <c r="Z1011" s="18" t="s">
        <v>697</v>
      </c>
      <c r="AA1011" s="21" t="str">
        <f>HYPERLINK("https://www.ncbi.nlm.nih.gov/nuccore/OL502173","NCBI Nucleotide")</f>
        <v>NCBI Nucleotide</v>
      </c>
    </row>
    <row r="1012" spans="1:27" x14ac:dyDescent="0.35">
      <c r="A1012">
        <v>1024517</v>
      </c>
      <c r="B1012">
        <v>1011</v>
      </c>
      <c r="C1012">
        <v>1</v>
      </c>
      <c r="D1012" s="17" t="s">
        <v>155</v>
      </c>
      <c r="E1012" s="17"/>
      <c r="F1012" s="17" t="s">
        <v>156</v>
      </c>
      <c r="G1012" s="17"/>
      <c r="H1012" s="17" t="s">
        <v>692</v>
      </c>
      <c r="I1012" s="17"/>
      <c r="J1012" s="17" t="s">
        <v>693</v>
      </c>
      <c r="K1012" s="17"/>
      <c r="L1012" s="17"/>
      <c r="M1012" s="17"/>
      <c r="N1012" s="17" t="s">
        <v>7526</v>
      </c>
      <c r="O1012" s="17" t="s">
        <v>7591</v>
      </c>
      <c r="P1012" s="17" t="s">
        <v>7592</v>
      </c>
      <c r="Q1012" s="17"/>
      <c r="R1012" s="25" t="str">
        <f>HYPERLINK("https://ictv.global/taxonomy/taxondetails?taxnode_id=202318705","Epseptimavirus JNwz02")</f>
        <v>Epseptimavirus JNwz02</v>
      </c>
      <c r="S1012" s="18" t="s">
        <v>30</v>
      </c>
      <c r="T1012" s="18" t="s">
        <v>39064</v>
      </c>
      <c r="U1012" s="18"/>
      <c r="V1012" s="18"/>
      <c r="W1012" s="18" t="s">
        <v>47914</v>
      </c>
      <c r="X1012" s="18" t="s">
        <v>42</v>
      </c>
      <c r="Y1012" s="18" t="s">
        <v>36</v>
      </c>
      <c r="Z1012" s="18" t="s">
        <v>697</v>
      </c>
      <c r="AA1012" s="21" t="str">
        <f>HYPERLINK("https://www.ncbi.nlm.nih.gov/nuccore/MZ570151","NCBI Nucleotide")</f>
        <v>NCBI Nucleotide</v>
      </c>
    </row>
    <row r="1013" spans="1:27" x14ac:dyDescent="0.35">
      <c r="A1013">
        <v>1024518</v>
      </c>
      <c r="B1013">
        <v>1012</v>
      </c>
      <c r="C1013">
        <v>1</v>
      </c>
      <c r="D1013" s="17" t="s">
        <v>155</v>
      </c>
      <c r="E1013" s="17"/>
      <c r="F1013" s="17" t="s">
        <v>156</v>
      </c>
      <c r="G1013" s="17"/>
      <c r="H1013" s="17" t="s">
        <v>692</v>
      </c>
      <c r="I1013" s="17"/>
      <c r="J1013" s="17" t="s">
        <v>693</v>
      </c>
      <c r="K1013" s="17"/>
      <c r="L1013" s="17"/>
      <c r="M1013" s="17"/>
      <c r="N1013" s="17" t="s">
        <v>7526</v>
      </c>
      <c r="O1013" s="17" t="s">
        <v>7591</v>
      </c>
      <c r="P1013" s="17" t="s">
        <v>7592</v>
      </c>
      <c r="Q1013" s="17"/>
      <c r="R1013" s="25" t="str">
        <f>HYPERLINK("https://ictv.global/taxonomy/taxondetails?taxnode_id=202318676","Epseptimavirus KKP")</f>
        <v>Epseptimavirus KKP</v>
      </c>
      <c r="S1013" s="18" t="s">
        <v>30</v>
      </c>
      <c r="T1013" s="18" t="s">
        <v>39065</v>
      </c>
      <c r="U1013" s="18"/>
      <c r="V1013" s="18"/>
      <c r="W1013" s="18" t="s">
        <v>47915</v>
      </c>
      <c r="X1013" s="18" t="s">
        <v>42</v>
      </c>
      <c r="Y1013" s="18" t="s">
        <v>36</v>
      </c>
      <c r="Z1013" s="18" t="s">
        <v>697</v>
      </c>
      <c r="AA1013" s="21" t="str">
        <f>HYPERLINK("https://www.ncbi.nlm.nih.gov/nuccore/OQ674103","NCBI Nucleotide")</f>
        <v>NCBI Nucleotide</v>
      </c>
    </row>
    <row r="1014" spans="1:27" x14ac:dyDescent="0.35">
      <c r="A1014">
        <v>1001551</v>
      </c>
      <c r="B1014">
        <v>1013</v>
      </c>
      <c r="C1014">
        <v>1</v>
      </c>
      <c r="D1014" s="17" t="s">
        <v>155</v>
      </c>
      <c r="E1014" s="17"/>
      <c r="F1014" s="17" t="s">
        <v>156</v>
      </c>
      <c r="G1014" s="17"/>
      <c r="H1014" s="17" t="s">
        <v>692</v>
      </c>
      <c r="I1014" s="17"/>
      <c r="J1014" s="17" t="s">
        <v>693</v>
      </c>
      <c r="K1014" s="17"/>
      <c r="L1014" s="17"/>
      <c r="M1014" s="17"/>
      <c r="N1014" s="17" t="s">
        <v>7526</v>
      </c>
      <c r="O1014" s="17" t="s">
        <v>7591</v>
      </c>
      <c r="P1014" s="17" t="s">
        <v>7592</v>
      </c>
      <c r="Q1014" s="17"/>
      <c r="R1014" s="25" t="str">
        <f>HYPERLINK("https://ictv.global/taxonomy/taxondetails?taxnode_id=202308112","Epseptimavirus LVR16A")</f>
        <v>Epseptimavirus LVR16A</v>
      </c>
      <c r="S1014" s="18" t="s">
        <v>30</v>
      </c>
      <c r="T1014" s="18" t="s">
        <v>7619</v>
      </c>
      <c r="U1014" s="18"/>
      <c r="V1014" s="18"/>
      <c r="W1014" s="18" t="s">
        <v>7620</v>
      </c>
      <c r="X1014" s="18" t="s">
        <v>42</v>
      </c>
      <c r="Y1014" s="18" t="s">
        <v>36</v>
      </c>
      <c r="Z1014" s="18" t="s">
        <v>697</v>
      </c>
      <c r="AA1014" s="21" t="str">
        <f>HYPERLINK("https://www.ncbi.nlm.nih.gov/nuccore/MF681663","NCBI Nucleotide")</f>
        <v>NCBI Nucleotide</v>
      </c>
    </row>
    <row r="1015" spans="1:27" x14ac:dyDescent="0.35">
      <c r="A1015">
        <v>1001552</v>
      </c>
      <c r="B1015">
        <v>1014</v>
      </c>
      <c r="C1015">
        <v>1</v>
      </c>
      <c r="D1015" s="17" t="s">
        <v>155</v>
      </c>
      <c r="E1015" s="17"/>
      <c r="F1015" s="17" t="s">
        <v>156</v>
      </c>
      <c r="G1015" s="17"/>
      <c r="H1015" s="17" t="s">
        <v>692</v>
      </c>
      <c r="I1015" s="17"/>
      <c r="J1015" s="17" t="s">
        <v>693</v>
      </c>
      <c r="K1015" s="17"/>
      <c r="L1015" s="17"/>
      <c r="M1015" s="17"/>
      <c r="N1015" s="17" t="s">
        <v>7526</v>
      </c>
      <c r="O1015" s="17" t="s">
        <v>7591</v>
      </c>
      <c r="P1015" s="17" t="s">
        <v>7592</v>
      </c>
      <c r="Q1015" s="17"/>
      <c r="R1015" s="25" t="str">
        <f>HYPERLINK("https://ictv.global/taxonomy/taxondetails?taxnode_id=202308097","Epseptimavirus mar003J3")</f>
        <v>Epseptimavirus mar003J3</v>
      </c>
      <c r="S1015" s="18" t="s">
        <v>30</v>
      </c>
      <c r="T1015" s="18" t="s">
        <v>7621</v>
      </c>
      <c r="U1015" s="18"/>
      <c r="V1015" s="18"/>
      <c r="W1015" s="18" t="s">
        <v>7622</v>
      </c>
      <c r="X1015" s="18" t="s">
        <v>42</v>
      </c>
      <c r="Y1015" s="18" t="s">
        <v>36</v>
      </c>
      <c r="Z1015" s="18" t="s">
        <v>697</v>
      </c>
      <c r="AA1015" s="21" t="str">
        <f>HYPERLINK("https://www.ncbi.nlm.nih.gov/nuccore/LR027389","NCBI Nucleotide")</f>
        <v>NCBI Nucleotide</v>
      </c>
    </row>
    <row r="1016" spans="1:27" x14ac:dyDescent="0.35">
      <c r="A1016">
        <v>1024519</v>
      </c>
      <c r="B1016">
        <v>1015</v>
      </c>
      <c r="C1016">
        <v>1</v>
      </c>
      <c r="D1016" s="17" t="s">
        <v>155</v>
      </c>
      <c r="E1016" s="17"/>
      <c r="F1016" s="17" t="s">
        <v>156</v>
      </c>
      <c r="G1016" s="17"/>
      <c r="H1016" s="17" t="s">
        <v>692</v>
      </c>
      <c r="I1016" s="17"/>
      <c r="J1016" s="17" t="s">
        <v>693</v>
      </c>
      <c r="K1016" s="17"/>
      <c r="L1016" s="17"/>
      <c r="M1016" s="17"/>
      <c r="N1016" s="17" t="s">
        <v>7526</v>
      </c>
      <c r="O1016" s="17" t="s">
        <v>7591</v>
      </c>
      <c r="P1016" s="17" t="s">
        <v>7592</v>
      </c>
      <c r="Q1016" s="17"/>
      <c r="R1016" s="25" t="str">
        <f>HYPERLINK("https://ictv.global/taxonomy/taxondetails?taxnode_id=202318678","Epseptimavirus METP1137112")</f>
        <v>Epseptimavirus METP1137112</v>
      </c>
      <c r="S1016" s="18" t="s">
        <v>30</v>
      </c>
      <c r="T1016" s="18" t="s">
        <v>39066</v>
      </c>
      <c r="U1016" s="18"/>
      <c r="V1016" s="18"/>
      <c r="W1016" s="18" t="s">
        <v>47916</v>
      </c>
      <c r="X1016" s="18" t="s">
        <v>42</v>
      </c>
      <c r="Y1016" s="18" t="s">
        <v>36</v>
      </c>
      <c r="Z1016" s="18" t="s">
        <v>697</v>
      </c>
      <c r="AA1016" s="21" t="str">
        <f>HYPERLINK("https://www.ncbi.nlm.nih.gov/nuccore/OQ383621","NCBI Nucleotide")</f>
        <v>NCBI Nucleotide</v>
      </c>
    </row>
    <row r="1017" spans="1:27" x14ac:dyDescent="0.35">
      <c r="A1017">
        <v>1024520</v>
      </c>
      <c r="B1017">
        <v>1016</v>
      </c>
      <c r="C1017">
        <v>1</v>
      </c>
      <c r="D1017" s="17" t="s">
        <v>155</v>
      </c>
      <c r="E1017" s="17"/>
      <c r="F1017" s="17" t="s">
        <v>156</v>
      </c>
      <c r="G1017" s="17"/>
      <c r="H1017" s="17" t="s">
        <v>692</v>
      </c>
      <c r="I1017" s="17"/>
      <c r="J1017" s="17" t="s">
        <v>693</v>
      </c>
      <c r="K1017" s="17"/>
      <c r="L1017" s="17"/>
      <c r="M1017" s="17"/>
      <c r="N1017" s="17" t="s">
        <v>7526</v>
      </c>
      <c r="O1017" s="17" t="s">
        <v>7591</v>
      </c>
      <c r="P1017" s="17" t="s">
        <v>7592</v>
      </c>
      <c r="Q1017" s="17"/>
      <c r="R1017" s="25" t="str">
        <f>HYPERLINK("https://ictv.global/taxonomy/taxondetails?taxnode_id=202318677","Epseptimavirus misterkot")</f>
        <v>Epseptimavirus misterkot</v>
      </c>
      <c r="S1017" s="18" t="s">
        <v>30</v>
      </c>
      <c r="T1017" s="18" t="s">
        <v>39067</v>
      </c>
      <c r="U1017" s="18"/>
      <c r="V1017" s="18"/>
      <c r="W1017" s="18" t="s">
        <v>47917</v>
      </c>
      <c r="X1017" s="18" t="s">
        <v>42</v>
      </c>
      <c r="Y1017" s="18" t="s">
        <v>36</v>
      </c>
      <c r="Z1017" s="18" t="s">
        <v>697</v>
      </c>
      <c r="AA1017" s="21" t="str">
        <f>HYPERLINK("https://www.ncbi.nlm.nih.gov/nuccore/MT074453","NCBI Nucleotide")</f>
        <v>NCBI Nucleotide</v>
      </c>
    </row>
    <row r="1018" spans="1:27" x14ac:dyDescent="0.35">
      <c r="A1018">
        <v>1024521</v>
      </c>
      <c r="B1018">
        <v>1017</v>
      </c>
      <c r="C1018">
        <v>1</v>
      </c>
      <c r="D1018" s="17" t="s">
        <v>155</v>
      </c>
      <c r="E1018" s="17"/>
      <c r="F1018" s="17" t="s">
        <v>156</v>
      </c>
      <c r="G1018" s="17"/>
      <c r="H1018" s="17" t="s">
        <v>692</v>
      </c>
      <c r="I1018" s="17"/>
      <c r="J1018" s="17" t="s">
        <v>693</v>
      </c>
      <c r="K1018" s="17"/>
      <c r="L1018" s="17"/>
      <c r="M1018" s="17"/>
      <c r="N1018" s="17" t="s">
        <v>7526</v>
      </c>
      <c r="O1018" s="17" t="s">
        <v>7591</v>
      </c>
      <c r="P1018" s="17" t="s">
        <v>7592</v>
      </c>
      <c r="Q1018" s="17"/>
      <c r="R1018" s="25" t="str">
        <f>HYPERLINK("https://ictv.global/taxonomy/taxondetails?taxnode_id=202318672","Epseptimavirus N3")</f>
        <v>Epseptimavirus N3</v>
      </c>
      <c r="S1018" s="18" t="s">
        <v>30</v>
      </c>
      <c r="T1018" s="18" t="s">
        <v>39068</v>
      </c>
      <c r="U1018" s="18"/>
      <c r="V1018" s="18"/>
      <c r="W1018" s="18" t="s">
        <v>47918</v>
      </c>
      <c r="X1018" s="18" t="s">
        <v>42</v>
      </c>
      <c r="Y1018" s="18" t="s">
        <v>36</v>
      </c>
      <c r="Z1018" s="18" t="s">
        <v>697</v>
      </c>
      <c r="AA1018" s="21" t="str">
        <f>HYPERLINK("https://www.ncbi.nlm.nih.gov/nuccore/MW006478","NCBI Nucleotide")</f>
        <v>NCBI Nucleotide</v>
      </c>
    </row>
    <row r="1019" spans="1:27" x14ac:dyDescent="0.35">
      <c r="A1019">
        <v>1024522</v>
      </c>
      <c r="B1019">
        <v>1018</v>
      </c>
      <c r="C1019">
        <v>1</v>
      </c>
      <c r="D1019" s="17" t="s">
        <v>155</v>
      </c>
      <c r="E1019" s="17"/>
      <c r="F1019" s="17" t="s">
        <v>156</v>
      </c>
      <c r="G1019" s="17"/>
      <c r="H1019" s="17" t="s">
        <v>692</v>
      </c>
      <c r="I1019" s="17"/>
      <c r="J1019" s="17" t="s">
        <v>693</v>
      </c>
      <c r="K1019" s="17"/>
      <c r="L1019" s="17"/>
      <c r="M1019" s="17"/>
      <c r="N1019" s="17" t="s">
        <v>7526</v>
      </c>
      <c r="O1019" s="17" t="s">
        <v>7591</v>
      </c>
      <c r="P1019" s="17" t="s">
        <v>7592</v>
      </c>
      <c r="Q1019" s="17"/>
      <c r="R1019" s="25" t="str">
        <f>HYPERLINK("https://ictv.global/taxonomy/taxondetails?taxnode_id=202318673","Epseptimavirus N7")</f>
        <v>Epseptimavirus N7</v>
      </c>
      <c r="S1019" s="18" t="s">
        <v>30</v>
      </c>
      <c r="T1019" s="18" t="s">
        <v>39069</v>
      </c>
      <c r="U1019" s="18"/>
      <c r="V1019" s="18"/>
      <c r="W1019" s="18" t="s">
        <v>47919</v>
      </c>
      <c r="X1019" s="18" t="s">
        <v>42</v>
      </c>
      <c r="Y1019" s="18" t="s">
        <v>36</v>
      </c>
      <c r="Z1019" s="18" t="s">
        <v>697</v>
      </c>
      <c r="AA1019" s="21" t="str">
        <f>HYPERLINK("https://www.ncbi.nlm.nih.gov/nuccore/MW006481","NCBI Nucleotide")</f>
        <v>NCBI Nucleotide</v>
      </c>
    </row>
    <row r="1020" spans="1:27" x14ac:dyDescent="0.35">
      <c r="A1020">
        <v>1001553</v>
      </c>
      <c r="B1020">
        <v>1019</v>
      </c>
      <c r="C1020">
        <v>1</v>
      </c>
      <c r="D1020" s="17" t="s">
        <v>155</v>
      </c>
      <c r="E1020" s="17"/>
      <c r="F1020" s="17" t="s">
        <v>156</v>
      </c>
      <c r="G1020" s="17"/>
      <c r="H1020" s="17" t="s">
        <v>692</v>
      </c>
      <c r="I1020" s="17"/>
      <c r="J1020" s="17" t="s">
        <v>693</v>
      </c>
      <c r="K1020" s="17"/>
      <c r="L1020" s="17"/>
      <c r="M1020" s="17"/>
      <c r="N1020" s="17" t="s">
        <v>7526</v>
      </c>
      <c r="O1020" s="17" t="s">
        <v>7591</v>
      </c>
      <c r="P1020" s="17" t="s">
        <v>7592</v>
      </c>
      <c r="Q1020" s="17"/>
      <c r="R1020" s="25" t="str">
        <f>HYPERLINK("https://ictv.global/taxonomy/taxondetails?taxnode_id=202309939","Epseptimavirus oselot")</f>
        <v>Epseptimavirus oselot</v>
      </c>
      <c r="S1020" s="18" t="s">
        <v>30</v>
      </c>
      <c r="T1020" s="18" t="s">
        <v>7623</v>
      </c>
      <c r="U1020" s="18"/>
      <c r="V1020" s="18"/>
      <c r="W1020" s="18" t="s">
        <v>7624</v>
      </c>
      <c r="X1020" s="18" t="s">
        <v>42</v>
      </c>
      <c r="Y1020" s="18" t="s">
        <v>36</v>
      </c>
      <c r="Z1020" s="18" t="s">
        <v>697</v>
      </c>
      <c r="AA1020" s="21" t="str">
        <f>HYPERLINK("https://www.ncbi.nlm.nih.gov/nuccore/MT074465","NCBI Nucleotide")</f>
        <v>NCBI Nucleotide</v>
      </c>
    </row>
    <row r="1021" spans="1:27" x14ac:dyDescent="0.35">
      <c r="A1021">
        <v>1001554</v>
      </c>
      <c r="B1021">
        <v>1020</v>
      </c>
      <c r="C1021">
        <v>1</v>
      </c>
      <c r="D1021" s="17" t="s">
        <v>155</v>
      </c>
      <c r="E1021" s="17"/>
      <c r="F1021" s="17" t="s">
        <v>156</v>
      </c>
      <c r="G1021" s="17"/>
      <c r="H1021" s="17" t="s">
        <v>692</v>
      </c>
      <c r="I1021" s="17"/>
      <c r="J1021" s="17" t="s">
        <v>693</v>
      </c>
      <c r="K1021" s="17"/>
      <c r="L1021" s="17"/>
      <c r="M1021" s="17"/>
      <c r="N1021" s="17" t="s">
        <v>7526</v>
      </c>
      <c r="O1021" s="17" t="s">
        <v>7591</v>
      </c>
      <c r="P1021" s="17" t="s">
        <v>7592</v>
      </c>
      <c r="Q1021" s="17"/>
      <c r="R1021" s="25" t="str">
        <f>HYPERLINK("https://ictv.global/taxonomy/taxondetails?taxnode_id=202309935","Epseptimavirus OSYSTA")</f>
        <v>Epseptimavirus OSYSTA</v>
      </c>
      <c r="S1021" s="18" t="s">
        <v>30</v>
      </c>
      <c r="T1021" s="18" t="s">
        <v>7625</v>
      </c>
      <c r="U1021" s="18"/>
      <c r="V1021" s="18"/>
      <c r="W1021" s="18" t="s">
        <v>7626</v>
      </c>
      <c r="X1021" s="18" t="s">
        <v>42</v>
      </c>
      <c r="Y1021" s="18" t="s">
        <v>36</v>
      </c>
      <c r="Z1021" s="18" t="s">
        <v>697</v>
      </c>
      <c r="AA1021" s="21" t="str">
        <f>HYPERLINK("https://www.ncbi.nlm.nih.gov/nuccore/MN187969","NCBI Nucleotide")</f>
        <v>NCBI Nucleotide</v>
      </c>
    </row>
    <row r="1022" spans="1:27" x14ac:dyDescent="0.35">
      <c r="A1022">
        <v>1024523</v>
      </c>
      <c r="B1022">
        <v>1021</v>
      </c>
      <c r="C1022">
        <v>1</v>
      </c>
      <c r="D1022" s="17" t="s">
        <v>155</v>
      </c>
      <c r="E1022" s="17"/>
      <c r="F1022" s="17" t="s">
        <v>156</v>
      </c>
      <c r="G1022" s="17"/>
      <c r="H1022" s="17" t="s">
        <v>692</v>
      </c>
      <c r="I1022" s="17"/>
      <c r="J1022" s="17" t="s">
        <v>693</v>
      </c>
      <c r="K1022" s="17"/>
      <c r="L1022" s="17"/>
      <c r="M1022" s="17"/>
      <c r="N1022" s="17" t="s">
        <v>7526</v>
      </c>
      <c r="O1022" s="17" t="s">
        <v>7591</v>
      </c>
      <c r="P1022" s="17" t="s">
        <v>7592</v>
      </c>
      <c r="Q1022" s="17"/>
      <c r="R1022" s="25" t="str">
        <f>HYPERLINK("https://ictv.global/taxonomy/taxondetails?taxnode_id=202318688","Epseptimavirus phagemcphageface")</f>
        <v>Epseptimavirus phagemcphageface</v>
      </c>
      <c r="S1022" s="18" t="s">
        <v>30</v>
      </c>
      <c r="T1022" s="18" t="s">
        <v>39070</v>
      </c>
      <c r="U1022" s="18"/>
      <c r="V1022" s="18"/>
      <c r="W1022" s="18" t="s">
        <v>47920</v>
      </c>
      <c r="X1022" s="18" t="s">
        <v>42</v>
      </c>
      <c r="Y1022" s="18" t="s">
        <v>36</v>
      </c>
      <c r="Z1022" s="18" t="s">
        <v>697</v>
      </c>
      <c r="AA1022" s="21" t="str">
        <f>HYPERLINK("https://www.ncbi.nlm.nih.gov/nuccore/MT074447","NCBI Nucleotide")</f>
        <v>NCBI Nucleotide</v>
      </c>
    </row>
    <row r="1023" spans="1:27" x14ac:dyDescent="0.35">
      <c r="A1023">
        <v>1024524</v>
      </c>
      <c r="B1023">
        <v>1022</v>
      </c>
      <c r="C1023">
        <v>1</v>
      </c>
      <c r="D1023" s="17" t="s">
        <v>155</v>
      </c>
      <c r="E1023" s="17"/>
      <c r="F1023" s="17" t="s">
        <v>156</v>
      </c>
      <c r="G1023" s="17"/>
      <c r="H1023" s="17" t="s">
        <v>692</v>
      </c>
      <c r="I1023" s="17"/>
      <c r="J1023" s="17" t="s">
        <v>693</v>
      </c>
      <c r="K1023" s="17"/>
      <c r="L1023" s="17"/>
      <c r="M1023" s="17"/>
      <c r="N1023" s="17" t="s">
        <v>7526</v>
      </c>
      <c r="O1023" s="17" t="s">
        <v>7591</v>
      </c>
      <c r="P1023" s="17" t="s">
        <v>7592</v>
      </c>
      <c r="Q1023" s="17"/>
      <c r="R1023" s="25" t="str">
        <f>HYPERLINK("https://ictv.global/taxonomy/taxondetails?taxnode_id=202318681","Epseptimavirus polluks")</f>
        <v>Epseptimavirus polluks</v>
      </c>
      <c r="S1023" s="18" t="s">
        <v>30</v>
      </c>
      <c r="T1023" s="18" t="s">
        <v>39071</v>
      </c>
      <c r="U1023" s="18"/>
      <c r="V1023" s="18"/>
      <c r="W1023" s="18" t="s">
        <v>47921</v>
      </c>
      <c r="X1023" s="18" t="s">
        <v>42</v>
      </c>
      <c r="Y1023" s="18" t="s">
        <v>36</v>
      </c>
      <c r="Z1023" s="18" t="s">
        <v>697</v>
      </c>
      <c r="AA1023" s="21" t="str">
        <f>HYPERLINK("https://www.ncbi.nlm.nih.gov/nuccore/MT074456","NCBI Nucleotide")</f>
        <v>NCBI Nucleotide</v>
      </c>
    </row>
    <row r="1024" spans="1:27" x14ac:dyDescent="0.35">
      <c r="A1024">
        <v>1024525</v>
      </c>
      <c r="B1024">
        <v>1023</v>
      </c>
      <c r="C1024">
        <v>1</v>
      </c>
      <c r="D1024" s="17" t="s">
        <v>155</v>
      </c>
      <c r="E1024" s="17"/>
      <c r="F1024" s="17" t="s">
        <v>156</v>
      </c>
      <c r="G1024" s="17"/>
      <c r="H1024" s="17" t="s">
        <v>692</v>
      </c>
      <c r="I1024" s="17"/>
      <c r="J1024" s="17" t="s">
        <v>693</v>
      </c>
      <c r="K1024" s="17"/>
      <c r="L1024" s="17"/>
      <c r="M1024" s="17"/>
      <c r="N1024" s="17" t="s">
        <v>7526</v>
      </c>
      <c r="O1024" s="17" t="s">
        <v>7591</v>
      </c>
      <c r="P1024" s="17" t="s">
        <v>7592</v>
      </c>
      <c r="Q1024" s="17"/>
      <c r="R1024" s="25" t="str">
        <f>HYPERLINK("https://ictv.global/taxonomy/taxondetails?taxnode_id=202318707","Epseptimavirus PRFSP13")</f>
        <v>Epseptimavirus PRFSP13</v>
      </c>
      <c r="S1024" s="18" t="s">
        <v>30</v>
      </c>
      <c r="T1024" s="18" t="s">
        <v>39072</v>
      </c>
      <c r="U1024" s="18"/>
      <c r="V1024" s="18"/>
      <c r="W1024" s="18" t="s">
        <v>47922</v>
      </c>
      <c r="X1024" s="18" t="s">
        <v>42</v>
      </c>
      <c r="Y1024" s="18" t="s">
        <v>36</v>
      </c>
      <c r="Z1024" s="18" t="s">
        <v>697</v>
      </c>
      <c r="AA1024" s="21" t="str">
        <f>HYPERLINK("https://www.ncbi.nlm.nih.gov/nuccore/OQ341635","NCBI Nucleotide")</f>
        <v>NCBI Nucleotide</v>
      </c>
    </row>
    <row r="1025" spans="1:27" x14ac:dyDescent="0.35">
      <c r="A1025">
        <v>1001555</v>
      </c>
      <c r="B1025">
        <v>1024</v>
      </c>
      <c r="C1025">
        <v>1</v>
      </c>
      <c r="D1025" s="17" t="s">
        <v>155</v>
      </c>
      <c r="E1025" s="17"/>
      <c r="F1025" s="17" t="s">
        <v>156</v>
      </c>
      <c r="G1025" s="17"/>
      <c r="H1025" s="17" t="s">
        <v>692</v>
      </c>
      <c r="I1025" s="17"/>
      <c r="J1025" s="17" t="s">
        <v>693</v>
      </c>
      <c r="K1025" s="17"/>
      <c r="L1025" s="17"/>
      <c r="M1025" s="17"/>
      <c r="N1025" s="17" t="s">
        <v>7526</v>
      </c>
      <c r="O1025" s="17" t="s">
        <v>7591</v>
      </c>
      <c r="P1025" s="17" t="s">
        <v>7592</v>
      </c>
      <c r="Q1025" s="17"/>
      <c r="R1025" s="25" t="str">
        <f>HYPERLINK("https://ictv.global/taxonomy/taxondetails?taxnode_id=202308114","Epseptimavirus R201")</f>
        <v>Epseptimavirus R201</v>
      </c>
      <c r="S1025" s="18" t="s">
        <v>30</v>
      </c>
      <c r="T1025" s="18" t="s">
        <v>7627</v>
      </c>
      <c r="U1025" s="18"/>
      <c r="V1025" s="18"/>
      <c r="W1025" s="18" t="s">
        <v>7628</v>
      </c>
      <c r="X1025" s="18" t="s">
        <v>42</v>
      </c>
      <c r="Y1025" s="18" t="s">
        <v>36</v>
      </c>
      <c r="Z1025" s="18" t="s">
        <v>697</v>
      </c>
      <c r="AA1025" s="21" t="str">
        <f>HYPERLINK("https://www.ncbi.nlm.nih.gov/nuccore/HE956708","NCBI Nucleotide")</f>
        <v>NCBI Nucleotide</v>
      </c>
    </row>
    <row r="1026" spans="1:27" x14ac:dyDescent="0.35">
      <c r="A1026">
        <v>1001556</v>
      </c>
      <c r="B1026">
        <v>1025</v>
      </c>
      <c r="C1026">
        <v>1</v>
      </c>
      <c r="D1026" s="17" t="s">
        <v>155</v>
      </c>
      <c r="E1026" s="17"/>
      <c r="F1026" s="17" t="s">
        <v>156</v>
      </c>
      <c r="G1026" s="17"/>
      <c r="H1026" s="17" t="s">
        <v>692</v>
      </c>
      <c r="I1026" s="17"/>
      <c r="J1026" s="17" t="s">
        <v>693</v>
      </c>
      <c r="K1026" s="17"/>
      <c r="L1026" s="17"/>
      <c r="M1026" s="17"/>
      <c r="N1026" s="17" t="s">
        <v>7526</v>
      </c>
      <c r="O1026" s="17" t="s">
        <v>7591</v>
      </c>
      <c r="P1026" s="17" t="s">
        <v>7592</v>
      </c>
      <c r="Q1026" s="17"/>
      <c r="R1026" s="25" t="str">
        <f>HYPERLINK("https://ictv.global/taxonomy/taxondetails?taxnode_id=202314493","Epseptimavirus RN29")</f>
        <v>Epseptimavirus RN29</v>
      </c>
      <c r="S1026" s="18" t="s">
        <v>30</v>
      </c>
      <c r="T1026" s="18" t="s">
        <v>7629</v>
      </c>
      <c r="U1026" s="18"/>
      <c r="V1026" s="18"/>
      <c r="W1026" s="18" t="s">
        <v>7630</v>
      </c>
      <c r="X1026" s="18" t="s">
        <v>42</v>
      </c>
      <c r="Y1026" s="18" t="s">
        <v>36</v>
      </c>
      <c r="Z1026" s="18" t="s">
        <v>697</v>
      </c>
      <c r="AA1026" s="21" t="str">
        <f>HYPERLINK("https://www.ncbi.nlm.nih.gov/nuccore/OL800604","NCBI Nucleotide")</f>
        <v>NCBI Nucleotide</v>
      </c>
    </row>
    <row r="1027" spans="1:27" x14ac:dyDescent="0.35">
      <c r="A1027">
        <v>1001557</v>
      </c>
      <c r="B1027">
        <v>1026</v>
      </c>
      <c r="C1027">
        <v>1</v>
      </c>
      <c r="D1027" s="17" t="s">
        <v>155</v>
      </c>
      <c r="E1027" s="17"/>
      <c r="F1027" s="17" t="s">
        <v>156</v>
      </c>
      <c r="G1027" s="17"/>
      <c r="H1027" s="17" t="s">
        <v>692</v>
      </c>
      <c r="I1027" s="17"/>
      <c r="J1027" s="17" t="s">
        <v>693</v>
      </c>
      <c r="K1027" s="17"/>
      <c r="L1027" s="17"/>
      <c r="M1027" s="17"/>
      <c r="N1027" s="17" t="s">
        <v>7526</v>
      </c>
      <c r="O1027" s="17" t="s">
        <v>7591</v>
      </c>
      <c r="P1027" s="17" t="s">
        <v>7592</v>
      </c>
      <c r="Q1027" s="17"/>
      <c r="R1027" s="25" t="str">
        <f>HYPERLINK("https://ictv.global/taxonomy/taxondetails?taxnode_id=202309946","Epseptimavirus rokbiter")</f>
        <v>Epseptimavirus rokbiter</v>
      </c>
      <c r="S1027" s="18" t="s">
        <v>30</v>
      </c>
      <c r="T1027" s="18" t="s">
        <v>7631</v>
      </c>
      <c r="U1027" s="18"/>
      <c r="V1027" s="18"/>
      <c r="W1027" s="18" t="s">
        <v>7632</v>
      </c>
      <c r="X1027" s="18" t="s">
        <v>42</v>
      </c>
      <c r="Y1027" s="18" t="s">
        <v>36</v>
      </c>
      <c r="Z1027" s="18" t="s">
        <v>697</v>
      </c>
      <c r="AA1027" s="21" t="str">
        <f>HYPERLINK("https://www.ncbi.nlm.nih.gov/nuccore/MT074457","NCBI Nucleotide")</f>
        <v>NCBI Nucleotide</v>
      </c>
    </row>
    <row r="1028" spans="1:27" x14ac:dyDescent="0.35">
      <c r="A1028">
        <v>1024526</v>
      </c>
      <c r="B1028">
        <v>1027</v>
      </c>
      <c r="C1028">
        <v>1</v>
      </c>
      <c r="D1028" s="17" t="s">
        <v>155</v>
      </c>
      <c r="E1028" s="17"/>
      <c r="F1028" s="17" t="s">
        <v>156</v>
      </c>
      <c r="G1028" s="17"/>
      <c r="H1028" s="17" t="s">
        <v>692</v>
      </c>
      <c r="I1028" s="17"/>
      <c r="J1028" s="17" t="s">
        <v>693</v>
      </c>
      <c r="K1028" s="17"/>
      <c r="L1028" s="17"/>
      <c r="M1028" s="17"/>
      <c r="N1028" s="17" t="s">
        <v>7526</v>
      </c>
      <c r="O1028" s="17" t="s">
        <v>7591</v>
      </c>
      <c r="P1028" s="17" t="s">
        <v>7592</v>
      </c>
      <c r="Q1028" s="17"/>
      <c r="R1028" s="25" t="str">
        <f>HYPERLINK("https://ictv.global/taxonomy/taxondetails?taxnode_id=202318679","Epseptimavirus rutana")</f>
        <v>Epseptimavirus rutana</v>
      </c>
      <c r="S1028" s="18" t="s">
        <v>30</v>
      </c>
      <c r="T1028" s="18" t="s">
        <v>39073</v>
      </c>
      <c r="U1028" s="18"/>
      <c r="V1028" s="18"/>
      <c r="W1028" s="18" t="s">
        <v>47923</v>
      </c>
      <c r="X1028" s="18" t="s">
        <v>42</v>
      </c>
      <c r="Y1028" s="18" t="s">
        <v>36</v>
      </c>
      <c r="Z1028" s="18" t="s">
        <v>697</v>
      </c>
      <c r="AA1028" s="21" t="str">
        <f>HYPERLINK("https://www.ncbi.nlm.nih.gov/nuccore/MT074468","NCBI Nucleotide")</f>
        <v>NCBI Nucleotide</v>
      </c>
    </row>
    <row r="1029" spans="1:27" x14ac:dyDescent="0.35">
      <c r="A1029">
        <v>1001558</v>
      </c>
      <c r="B1029">
        <v>1028</v>
      </c>
      <c r="C1029">
        <v>1</v>
      </c>
      <c r="D1029" s="17" t="s">
        <v>155</v>
      </c>
      <c r="E1029" s="17"/>
      <c r="F1029" s="17" t="s">
        <v>156</v>
      </c>
      <c r="G1029" s="17"/>
      <c r="H1029" s="17" t="s">
        <v>692</v>
      </c>
      <c r="I1029" s="17"/>
      <c r="J1029" s="17" t="s">
        <v>693</v>
      </c>
      <c r="K1029" s="17"/>
      <c r="L1029" s="17"/>
      <c r="M1029" s="17"/>
      <c r="N1029" s="17" t="s">
        <v>7526</v>
      </c>
      <c r="O1029" s="17" t="s">
        <v>7591</v>
      </c>
      <c r="P1029" s="17" t="s">
        <v>7592</v>
      </c>
      <c r="Q1029" s="17"/>
      <c r="R1029" s="25" t="str">
        <f>HYPERLINK("https://ictv.global/taxonomy/taxondetails?taxnode_id=202308100","Epseptimavirus S113")</f>
        <v>Epseptimavirus S113</v>
      </c>
      <c r="S1029" s="18" t="s">
        <v>30</v>
      </c>
      <c r="T1029" s="18" t="s">
        <v>7633</v>
      </c>
      <c r="U1029" s="18"/>
      <c r="V1029" s="18"/>
      <c r="W1029" s="18" t="s">
        <v>7634</v>
      </c>
      <c r="X1029" s="18" t="s">
        <v>42</v>
      </c>
      <c r="Y1029" s="18" t="s">
        <v>36</v>
      </c>
      <c r="Z1029" s="18" t="s">
        <v>697</v>
      </c>
      <c r="AA1029" s="21" t="str">
        <f>HYPERLINK("https://www.ncbi.nlm.nih.gov/nuccore/MH370366","NCBI Nucleotide")</f>
        <v>NCBI Nucleotide</v>
      </c>
    </row>
    <row r="1030" spans="1:27" x14ac:dyDescent="0.35">
      <c r="A1030">
        <v>1001559</v>
      </c>
      <c r="B1030">
        <v>1029</v>
      </c>
      <c r="C1030">
        <v>1</v>
      </c>
      <c r="D1030" s="17" t="s">
        <v>155</v>
      </c>
      <c r="E1030" s="17"/>
      <c r="F1030" s="17" t="s">
        <v>156</v>
      </c>
      <c r="G1030" s="17"/>
      <c r="H1030" s="17" t="s">
        <v>692</v>
      </c>
      <c r="I1030" s="17"/>
      <c r="J1030" s="17" t="s">
        <v>693</v>
      </c>
      <c r="K1030" s="17"/>
      <c r="L1030" s="17"/>
      <c r="M1030" s="17"/>
      <c r="N1030" s="17" t="s">
        <v>7526</v>
      </c>
      <c r="O1030" s="17" t="s">
        <v>7591</v>
      </c>
      <c r="P1030" s="17" t="s">
        <v>7592</v>
      </c>
      <c r="Q1030" s="17"/>
      <c r="R1030" s="25" t="str">
        <f>HYPERLINK("https://ictv.global/taxonomy/taxondetails?taxnode_id=202308102","Epseptimavirus S114")</f>
        <v>Epseptimavirus S114</v>
      </c>
      <c r="S1030" s="18" t="s">
        <v>30</v>
      </c>
      <c r="T1030" s="18" t="s">
        <v>7635</v>
      </c>
      <c r="U1030" s="18"/>
      <c r="V1030" s="18"/>
      <c r="W1030" s="18" t="s">
        <v>7636</v>
      </c>
      <c r="X1030" s="18" t="s">
        <v>42</v>
      </c>
      <c r="Y1030" s="18" t="s">
        <v>36</v>
      </c>
      <c r="Z1030" s="18" t="s">
        <v>697</v>
      </c>
      <c r="AA1030" s="21" t="str">
        <f>HYPERLINK("https://www.ncbi.nlm.nih.gov/nuccore/MH370367","NCBI Nucleotide")</f>
        <v>NCBI Nucleotide</v>
      </c>
    </row>
    <row r="1031" spans="1:27" x14ac:dyDescent="0.35">
      <c r="A1031">
        <v>1001560</v>
      </c>
      <c r="B1031">
        <v>1030</v>
      </c>
      <c r="C1031">
        <v>1</v>
      </c>
      <c r="D1031" s="17" t="s">
        <v>155</v>
      </c>
      <c r="E1031" s="17"/>
      <c r="F1031" s="17" t="s">
        <v>156</v>
      </c>
      <c r="G1031" s="17"/>
      <c r="H1031" s="17" t="s">
        <v>692</v>
      </c>
      <c r="I1031" s="17"/>
      <c r="J1031" s="17" t="s">
        <v>693</v>
      </c>
      <c r="K1031" s="17"/>
      <c r="L1031" s="17"/>
      <c r="M1031" s="17"/>
      <c r="N1031" s="17" t="s">
        <v>7526</v>
      </c>
      <c r="O1031" s="17" t="s">
        <v>7591</v>
      </c>
      <c r="P1031" s="17" t="s">
        <v>7592</v>
      </c>
      <c r="Q1031" s="17"/>
      <c r="R1031" s="25" t="str">
        <f>HYPERLINK("https://ictv.global/taxonomy/taxondetails?taxnode_id=202308106","Epseptimavirus S116")</f>
        <v>Epseptimavirus S116</v>
      </c>
      <c r="S1031" s="18" t="s">
        <v>30</v>
      </c>
      <c r="T1031" s="18" t="s">
        <v>7637</v>
      </c>
      <c r="U1031" s="18"/>
      <c r="V1031" s="18"/>
      <c r="W1031" s="18" t="s">
        <v>7638</v>
      </c>
      <c r="X1031" s="18" t="s">
        <v>42</v>
      </c>
      <c r="Y1031" s="18" t="s">
        <v>36</v>
      </c>
      <c r="Z1031" s="18" t="s">
        <v>697</v>
      </c>
      <c r="AA1031" s="21" t="str">
        <f>HYPERLINK("https://www.ncbi.nlm.nih.gov/nuccore/MH370369","NCBI Nucleotide")</f>
        <v>NCBI Nucleotide</v>
      </c>
    </row>
    <row r="1032" spans="1:27" x14ac:dyDescent="0.35">
      <c r="A1032">
        <v>1001561</v>
      </c>
      <c r="B1032">
        <v>1031</v>
      </c>
      <c r="C1032">
        <v>1</v>
      </c>
      <c r="D1032" s="17" t="s">
        <v>155</v>
      </c>
      <c r="E1032" s="17"/>
      <c r="F1032" s="17" t="s">
        <v>156</v>
      </c>
      <c r="G1032" s="17"/>
      <c r="H1032" s="17" t="s">
        <v>692</v>
      </c>
      <c r="I1032" s="17"/>
      <c r="J1032" s="17" t="s">
        <v>693</v>
      </c>
      <c r="K1032" s="17"/>
      <c r="L1032" s="17"/>
      <c r="M1032" s="17"/>
      <c r="N1032" s="17" t="s">
        <v>7526</v>
      </c>
      <c r="O1032" s="17" t="s">
        <v>7591</v>
      </c>
      <c r="P1032" s="17" t="s">
        <v>7592</v>
      </c>
      <c r="Q1032" s="17"/>
      <c r="R1032" s="25" t="str">
        <f>HYPERLINK("https://ictv.global/taxonomy/taxondetails?taxnode_id=202308096","Epseptimavirus S124")</f>
        <v>Epseptimavirus S124</v>
      </c>
      <c r="S1032" s="18" t="s">
        <v>30</v>
      </c>
      <c r="T1032" s="18" t="s">
        <v>7639</v>
      </c>
      <c r="U1032" s="18"/>
      <c r="V1032" s="18"/>
      <c r="W1032" s="18" t="s">
        <v>7640</v>
      </c>
      <c r="X1032" s="18" t="s">
        <v>42</v>
      </c>
      <c r="Y1032" s="18" t="s">
        <v>36</v>
      </c>
      <c r="Z1032" s="18" t="s">
        <v>697</v>
      </c>
      <c r="AA1032" s="21" t="str">
        <f>HYPERLINK("https://www.ncbi.nlm.nih.gov/nuccore/MH370375","NCBI Nucleotide")</f>
        <v>NCBI Nucleotide</v>
      </c>
    </row>
    <row r="1033" spans="1:27" x14ac:dyDescent="0.35">
      <c r="A1033">
        <v>1001562</v>
      </c>
      <c r="B1033">
        <v>1032</v>
      </c>
      <c r="C1033">
        <v>1</v>
      </c>
      <c r="D1033" s="17" t="s">
        <v>155</v>
      </c>
      <c r="E1033" s="17"/>
      <c r="F1033" s="17" t="s">
        <v>156</v>
      </c>
      <c r="G1033" s="17"/>
      <c r="H1033" s="17" t="s">
        <v>692</v>
      </c>
      <c r="I1033" s="17"/>
      <c r="J1033" s="17" t="s">
        <v>693</v>
      </c>
      <c r="K1033" s="17"/>
      <c r="L1033" s="17"/>
      <c r="M1033" s="17"/>
      <c r="N1033" s="17" t="s">
        <v>7526</v>
      </c>
      <c r="O1033" s="17" t="s">
        <v>7591</v>
      </c>
      <c r="P1033" s="17" t="s">
        <v>7592</v>
      </c>
      <c r="Q1033" s="17"/>
      <c r="R1033" s="25" t="str">
        <f>HYPERLINK("https://ictv.global/taxonomy/taxondetails?taxnode_id=202308099","Epseptimavirus S126")</f>
        <v>Epseptimavirus S126</v>
      </c>
      <c r="S1033" s="18" t="s">
        <v>30</v>
      </c>
      <c r="T1033" s="18" t="s">
        <v>7641</v>
      </c>
      <c r="U1033" s="18"/>
      <c r="V1033" s="18"/>
      <c r="W1033" s="18" t="s">
        <v>7642</v>
      </c>
      <c r="X1033" s="18" t="s">
        <v>42</v>
      </c>
      <c r="Y1033" s="18" t="s">
        <v>36</v>
      </c>
      <c r="Z1033" s="18" t="s">
        <v>697</v>
      </c>
      <c r="AA1033" s="21" t="str">
        <f>HYPERLINK("https://www.ncbi.nlm.nih.gov/nuccore/MH370376","NCBI Nucleotide")</f>
        <v>NCBI Nucleotide</v>
      </c>
    </row>
    <row r="1034" spans="1:27" x14ac:dyDescent="0.35">
      <c r="A1034">
        <v>1001563</v>
      </c>
      <c r="B1034">
        <v>1033</v>
      </c>
      <c r="C1034">
        <v>1</v>
      </c>
      <c r="D1034" s="17" t="s">
        <v>155</v>
      </c>
      <c r="E1034" s="17"/>
      <c r="F1034" s="17" t="s">
        <v>156</v>
      </c>
      <c r="G1034" s="17"/>
      <c r="H1034" s="17" t="s">
        <v>692</v>
      </c>
      <c r="I1034" s="17"/>
      <c r="J1034" s="17" t="s">
        <v>693</v>
      </c>
      <c r="K1034" s="17"/>
      <c r="L1034" s="17"/>
      <c r="M1034" s="17"/>
      <c r="N1034" s="17" t="s">
        <v>7526</v>
      </c>
      <c r="O1034" s="17" t="s">
        <v>7591</v>
      </c>
      <c r="P1034" s="17" t="s">
        <v>7592</v>
      </c>
      <c r="Q1034" s="17"/>
      <c r="R1034" s="25" t="str">
        <f>HYPERLINK("https://ictv.global/taxonomy/taxondetails?taxnode_id=202308109","Epseptimavirus S132")</f>
        <v>Epseptimavirus S132</v>
      </c>
      <c r="S1034" s="18" t="s">
        <v>30</v>
      </c>
      <c r="T1034" s="18" t="s">
        <v>7643</v>
      </c>
      <c r="U1034" s="18"/>
      <c r="V1034" s="18"/>
      <c r="W1034" s="18" t="s">
        <v>7644</v>
      </c>
      <c r="X1034" s="18" t="s">
        <v>42</v>
      </c>
      <c r="Y1034" s="18" t="s">
        <v>36</v>
      </c>
      <c r="Z1034" s="18" t="s">
        <v>697</v>
      </c>
      <c r="AA1034" s="21" t="str">
        <f>HYPERLINK("https://www.ncbi.nlm.nih.gov/nuccore/MH370379","NCBI Nucleotide")</f>
        <v>NCBI Nucleotide</v>
      </c>
    </row>
    <row r="1035" spans="1:27" x14ac:dyDescent="0.35">
      <c r="A1035">
        <v>1001564</v>
      </c>
      <c r="B1035">
        <v>1034</v>
      </c>
      <c r="C1035">
        <v>1</v>
      </c>
      <c r="D1035" s="17" t="s">
        <v>155</v>
      </c>
      <c r="E1035" s="17"/>
      <c r="F1035" s="17" t="s">
        <v>156</v>
      </c>
      <c r="G1035" s="17"/>
      <c r="H1035" s="17" t="s">
        <v>692</v>
      </c>
      <c r="I1035" s="17"/>
      <c r="J1035" s="17" t="s">
        <v>693</v>
      </c>
      <c r="K1035" s="17"/>
      <c r="L1035" s="17"/>
      <c r="M1035" s="17"/>
      <c r="N1035" s="17" t="s">
        <v>7526</v>
      </c>
      <c r="O1035" s="17" t="s">
        <v>7591</v>
      </c>
      <c r="P1035" s="17" t="s">
        <v>7592</v>
      </c>
      <c r="Q1035" s="17"/>
      <c r="R1035" s="25" t="str">
        <f>HYPERLINK("https://ictv.global/taxonomy/taxondetails?taxnode_id=202308103","Epseptimavirus S133")</f>
        <v>Epseptimavirus S133</v>
      </c>
      <c r="S1035" s="18" t="s">
        <v>30</v>
      </c>
      <c r="T1035" s="18" t="s">
        <v>7645</v>
      </c>
      <c r="U1035" s="18"/>
      <c r="V1035" s="18"/>
      <c r="W1035" s="18" t="s">
        <v>7646</v>
      </c>
      <c r="X1035" s="18" t="s">
        <v>42</v>
      </c>
      <c r="Y1035" s="18" t="s">
        <v>36</v>
      </c>
      <c r="Z1035" s="18" t="s">
        <v>697</v>
      </c>
      <c r="AA1035" s="21" t="str">
        <f>HYPERLINK("https://www.ncbi.nlm.nih.gov/nuccore/MH370380","NCBI Nucleotide")</f>
        <v>NCBI Nucleotide</v>
      </c>
    </row>
    <row r="1036" spans="1:27" x14ac:dyDescent="0.35">
      <c r="A1036">
        <v>1001565</v>
      </c>
      <c r="B1036">
        <v>1035</v>
      </c>
      <c r="C1036">
        <v>1</v>
      </c>
      <c r="D1036" s="17" t="s">
        <v>155</v>
      </c>
      <c r="E1036" s="17"/>
      <c r="F1036" s="17" t="s">
        <v>156</v>
      </c>
      <c r="G1036" s="17"/>
      <c r="H1036" s="17" t="s">
        <v>692</v>
      </c>
      <c r="I1036" s="17"/>
      <c r="J1036" s="17" t="s">
        <v>693</v>
      </c>
      <c r="K1036" s="17"/>
      <c r="L1036" s="17"/>
      <c r="M1036" s="17"/>
      <c r="N1036" s="17" t="s">
        <v>7526</v>
      </c>
      <c r="O1036" s="17" t="s">
        <v>7591</v>
      </c>
      <c r="P1036" s="17" t="s">
        <v>7592</v>
      </c>
      <c r="Q1036" s="17"/>
      <c r="R1036" s="25" t="str">
        <f>HYPERLINK("https://ictv.global/taxonomy/taxondetails?taxnode_id=202308101","Epseptimavirus S147")</f>
        <v>Epseptimavirus S147</v>
      </c>
      <c r="S1036" s="18" t="s">
        <v>30</v>
      </c>
      <c r="T1036" s="18" t="s">
        <v>7647</v>
      </c>
      <c r="U1036" s="18"/>
      <c r="V1036" s="18"/>
      <c r="W1036" s="18" t="s">
        <v>7648</v>
      </c>
      <c r="X1036" s="18" t="s">
        <v>42</v>
      </c>
      <c r="Y1036" s="18" t="s">
        <v>36</v>
      </c>
      <c r="Z1036" s="18" t="s">
        <v>697</v>
      </c>
      <c r="AA1036" s="21" t="str">
        <f>HYPERLINK("https://www.ncbi.nlm.nih.gov/nuccore/MH370386","NCBI Nucleotide")</f>
        <v>NCBI Nucleotide</v>
      </c>
    </row>
    <row r="1037" spans="1:27" x14ac:dyDescent="0.35">
      <c r="A1037">
        <v>1001566</v>
      </c>
      <c r="B1037">
        <v>1036</v>
      </c>
      <c r="C1037">
        <v>1</v>
      </c>
      <c r="D1037" s="17" t="s">
        <v>155</v>
      </c>
      <c r="E1037" s="17"/>
      <c r="F1037" s="17" t="s">
        <v>156</v>
      </c>
      <c r="G1037" s="17"/>
      <c r="H1037" s="17" t="s">
        <v>692</v>
      </c>
      <c r="I1037" s="17"/>
      <c r="J1037" s="17" t="s">
        <v>693</v>
      </c>
      <c r="K1037" s="17"/>
      <c r="L1037" s="17"/>
      <c r="M1037" s="17"/>
      <c r="N1037" s="17" t="s">
        <v>7526</v>
      </c>
      <c r="O1037" s="17" t="s">
        <v>7591</v>
      </c>
      <c r="P1037" s="17" t="s">
        <v>7592</v>
      </c>
      <c r="Q1037" s="17"/>
      <c r="R1037" s="25" t="str">
        <f>HYPERLINK("https://ictv.global/taxonomy/taxondetails?taxnode_id=202308111","Epseptimavirus saus132")</f>
        <v>Epseptimavirus saus132</v>
      </c>
      <c r="S1037" s="18" t="s">
        <v>30</v>
      </c>
      <c r="T1037" s="18" t="s">
        <v>7649</v>
      </c>
      <c r="U1037" s="18"/>
      <c r="V1037" s="18"/>
      <c r="W1037" s="18" t="s">
        <v>7650</v>
      </c>
      <c r="X1037" s="18" t="s">
        <v>42</v>
      </c>
      <c r="Y1037" s="18" t="s">
        <v>36</v>
      </c>
      <c r="Z1037" s="18" t="s">
        <v>697</v>
      </c>
      <c r="AA1037" s="21" t="str">
        <f>HYPERLINK("https://www.ncbi.nlm.nih.gov/nuccore/MF431737","NCBI Nucleotide")</f>
        <v>NCBI Nucleotide</v>
      </c>
    </row>
    <row r="1038" spans="1:27" x14ac:dyDescent="0.35">
      <c r="A1038">
        <v>1024528</v>
      </c>
      <c r="B1038">
        <v>1037</v>
      </c>
      <c r="C1038">
        <v>1</v>
      </c>
      <c r="D1038" s="17" t="s">
        <v>155</v>
      </c>
      <c r="E1038" s="17"/>
      <c r="F1038" s="17" t="s">
        <v>156</v>
      </c>
      <c r="G1038" s="17"/>
      <c r="H1038" s="17" t="s">
        <v>692</v>
      </c>
      <c r="I1038" s="17"/>
      <c r="J1038" s="17" t="s">
        <v>693</v>
      </c>
      <c r="K1038" s="17"/>
      <c r="L1038" s="17"/>
      <c r="M1038" s="17"/>
      <c r="N1038" s="17" t="s">
        <v>7526</v>
      </c>
      <c r="O1038" s="17" t="s">
        <v>7591</v>
      </c>
      <c r="P1038" s="17" t="s">
        <v>7592</v>
      </c>
      <c r="Q1038" s="17"/>
      <c r="R1038" s="25" t="str">
        <f>HYPERLINK("https://ictv.global/taxonomy/taxondetails?taxnode_id=202318698","Epseptimavirus SB9")</f>
        <v>Epseptimavirus SB9</v>
      </c>
      <c r="S1038" s="18" t="s">
        <v>30</v>
      </c>
      <c r="T1038" s="18" t="s">
        <v>39074</v>
      </c>
      <c r="U1038" s="18"/>
      <c r="V1038" s="18"/>
      <c r="W1038" s="18" t="s">
        <v>47924</v>
      </c>
      <c r="X1038" s="18" t="s">
        <v>42</v>
      </c>
      <c r="Y1038" s="18" t="s">
        <v>36</v>
      </c>
      <c r="Z1038" s="18" t="s">
        <v>697</v>
      </c>
      <c r="AA1038" s="21" t="str">
        <f>HYPERLINK("https://www.ncbi.nlm.nih.gov/nuccore/MK867835","NCBI Nucleotide")</f>
        <v>NCBI Nucleotide</v>
      </c>
    </row>
    <row r="1039" spans="1:27" x14ac:dyDescent="0.35">
      <c r="A1039">
        <v>1024527</v>
      </c>
      <c r="B1039">
        <v>1038</v>
      </c>
      <c r="C1039">
        <v>1</v>
      </c>
      <c r="D1039" s="17" t="s">
        <v>155</v>
      </c>
      <c r="E1039" s="17"/>
      <c r="F1039" s="17" t="s">
        <v>156</v>
      </c>
      <c r="G1039" s="17"/>
      <c r="H1039" s="17" t="s">
        <v>692</v>
      </c>
      <c r="I1039" s="17"/>
      <c r="J1039" s="17" t="s">
        <v>693</v>
      </c>
      <c r="K1039" s="17"/>
      <c r="L1039" s="17"/>
      <c r="M1039" s="17"/>
      <c r="N1039" s="17" t="s">
        <v>7526</v>
      </c>
      <c r="O1039" s="17" t="s">
        <v>7591</v>
      </c>
      <c r="P1039" s="17" t="s">
        <v>7592</v>
      </c>
      <c r="Q1039" s="17"/>
      <c r="R1039" s="25" t="str">
        <f>HYPERLINK("https://ictv.global/taxonomy/taxondetails?taxnode_id=202318709","Epseptimavirus SB10")</f>
        <v>Epseptimavirus SB10</v>
      </c>
      <c r="S1039" s="18" t="s">
        <v>30</v>
      </c>
      <c r="T1039" s="18" t="s">
        <v>39075</v>
      </c>
      <c r="U1039" s="18"/>
      <c r="V1039" s="18"/>
      <c r="W1039" s="18" t="s">
        <v>47925</v>
      </c>
      <c r="X1039" s="18" t="s">
        <v>42</v>
      </c>
      <c r="Y1039" s="18" t="s">
        <v>36</v>
      </c>
      <c r="Z1039" s="18" t="s">
        <v>697</v>
      </c>
      <c r="AA1039" s="21" t="str">
        <f>HYPERLINK("https://www.ncbi.nlm.nih.gov/nuccore/MK947458","NCBI Nucleotide")</f>
        <v>NCBI Nucleotide</v>
      </c>
    </row>
    <row r="1040" spans="1:27" x14ac:dyDescent="0.35">
      <c r="A1040">
        <v>1001567</v>
      </c>
      <c r="B1040">
        <v>1039</v>
      </c>
      <c r="C1040">
        <v>1</v>
      </c>
      <c r="D1040" s="17" t="s">
        <v>155</v>
      </c>
      <c r="E1040" s="17"/>
      <c r="F1040" s="17" t="s">
        <v>156</v>
      </c>
      <c r="G1040" s="17"/>
      <c r="H1040" s="17" t="s">
        <v>692</v>
      </c>
      <c r="I1040" s="17"/>
      <c r="J1040" s="17" t="s">
        <v>693</v>
      </c>
      <c r="K1040" s="17"/>
      <c r="L1040" s="17"/>
      <c r="M1040" s="17"/>
      <c r="N1040" s="17" t="s">
        <v>7526</v>
      </c>
      <c r="O1040" s="17" t="s">
        <v>7591</v>
      </c>
      <c r="P1040" s="17" t="s">
        <v>7592</v>
      </c>
      <c r="Q1040" s="17"/>
      <c r="R1040" s="25" t="str">
        <f>HYPERLINK("https://ictv.global/taxonomy/taxondetails?taxnode_id=202309942","Epseptimavirus SB13")</f>
        <v>Epseptimavirus SB13</v>
      </c>
      <c r="S1040" s="18" t="s">
        <v>30</v>
      </c>
      <c r="T1040" s="18" t="s">
        <v>7651</v>
      </c>
      <c r="U1040" s="18"/>
      <c r="V1040" s="18"/>
      <c r="W1040" s="18" t="s">
        <v>7652</v>
      </c>
      <c r="X1040" s="18" t="s">
        <v>42</v>
      </c>
      <c r="Y1040" s="18" t="s">
        <v>36</v>
      </c>
      <c r="Z1040" s="18" t="s">
        <v>697</v>
      </c>
      <c r="AA1040" s="21" t="str">
        <f>HYPERLINK("https://www.ncbi.nlm.nih.gov/nuccore/MK947459","NCBI Nucleotide")</f>
        <v>NCBI Nucleotide</v>
      </c>
    </row>
    <row r="1041" spans="1:27" x14ac:dyDescent="0.35">
      <c r="A1041">
        <v>1024529</v>
      </c>
      <c r="B1041">
        <v>1040</v>
      </c>
      <c r="C1041">
        <v>1</v>
      </c>
      <c r="D1041" s="17" t="s">
        <v>155</v>
      </c>
      <c r="E1041" s="17"/>
      <c r="F1041" s="17" t="s">
        <v>156</v>
      </c>
      <c r="G1041" s="17"/>
      <c r="H1041" s="17" t="s">
        <v>692</v>
      </c>
      <c r="I1041" s="17"/>
      <c r="J1041" s="17" t="s">
        <v>693</v>
      </c>
      <c r="K1041" s="17"/>
      <c r="L1041" s="17"/>
      <c r="M1041" s="17"/>
      <c r="N1041" s="17" t="s">
        <v>7526</v>
      </c>
      <c r="O1041" s="17" t="s">
        <v>7591</v>
      </c>
      <c r="P1041" s="17" t="s">
        <v>7592</v>
      </c>
      <c r="Q1041" s="17"/>
      <c r="R1041" s="25" t="str">
        <f>HYPERLINK("https://ictv.global/taxonomy/taxondetails?taxnode_id=202318708","Epseptimavirus Sds2")</f>
        <v>Epseptimavirus Sds2</v>
      </c>
      <c r="S1041" s="18" t="s">
        <v>30</v>
      </c>
      <c r="T1041" s="18" t="s">
        <v>39076</v>
      </c>
      <c r="U1041" s="18"/>
      <c r="V1041" s="18"/>
      <c r="W1041" s="18" t="s">
        <v>47926</v>
      </c>
      <c r="X1041" s="18" t="s">
        <v>42</v>
      </c>
      <c r="Y1041" s="18" t="s">
        <v>36</v>
      </c>
      <c r="Z1041" s="18" t="s">
        <v>697</v>
      </c>
      <c r="AA1041" s="21" t="str">
        <f>HYPERLINK("https://www.ncbi.nlm.nih.gov/nuccore/MW357609","NCBI Nucleotide")</f>
        <v>NCBI Nucleotide</v>
      </c>
    </row>
    <row r="1042" spans="1:27" x14ac:dyDescent="0.35">
      <c r="A1042">
        <v>1024530</v>
      </c>
      <c r="B1042">
        <v>1041</v>
      </c>
      <c r="C1042">
        <v>1</v>
      </c>
      <c r="D1042" s="17" t="s">
        <v>155</v>
      </c>
      <c r="E1042" s="17"/>
      <c r="F1042" s="17" t="s">
        <v>156</v>
      </c>
      <c r="G1042" s="17"/>
      <c r="H1042" s="17" t="s">
        <v>692</v>
      </c>
      <c r="I1042" s="17"/>
      <c r="J1042" s="17" t="s">
        <v>693</v>
      </c>
      <c r="K1042" s="17"/>
      <c r="L1042" s="17"/>
      <c r="M1042" s="17"/>
      <c r="N1042" s="17" t="s">
        <v>7526</v>
      </c>
      <c r="O1042" s="17" t="s">
        <v>7591</v>
      </c>
      <c r="P1042" s="17" t="s">
        <v>7592</v>
      </c>
      <c r="Q1042" s="17"/>
      <c r="R1042" s="25" t="str">
        <f>HYPERLINK("https://ictv.global/taxonomy/taxondetails?taxnode_id=202318690","Epseptimavirus SE3")</f>
        <v>Epseptimavirus SE3</v>
      </c>
      <c r="S1042" s="18" t="s">
        <v>30</v>
      </c>
      <c r="T1042" s="18" t="s">
        <v>39077</v>
      </c>
      <c r="U1042" s="18"/>
      <c r="V1042" s="18"/>
      <c r="W1042" s="18" t="s">
        <v>47927</v>
      </c>
      <c r="X1042" s="18" t="s">
        <v>42</v>
      </c>
      <c r="Y1042" s="18" t="s">
        <v>36</v>
      </c>
      <c r="Z1042" s="18" t="s">
        <v>697</v>
      </c>
      <c r="AA1042" s="21" t="str">
        <f>HYPERLINK("https://www.ncbi.nlm.nih.gov/nuccore/MK770410","NCBI Nucleotide")</f>
        <v>NCBI Nucleotide</v>
      </c>
    </row>
    <row r="1043" spans="1:27" x14ac:dyDescent="0.35">
      <c r="A1043">
        <v>1001568</v>
      </c>
      <c r="B1043">
        <v>1042</v>
      </c>
      <c r="C1043">
        <v>1</v>
      </c>
      <c r="D1043" s="17" t="s">
        <v>155</v>
      </c>
      <c r="E1043" s="17"/>
      <c r="F1043" s="17" t="s">
        <v>156</v>
      </c>
      <c r="G1043" s="17"/>
      <c r="H1043" s="17" t="s">
        <v>692</v>
      </c>
      <c r="I1043" s="17"/>
      <c r="J1043" s="17" t="s">
        <v>693</v>
      </c>
      <c r="K1043" s="17"/>
      <c r="L1043" s="17"/>
      <c r="M1043" s="17"/>
      <c r="N1043" s="17" t="s">
        <v>7526</v>
      </c>
      <c r="O1043" s="17" t="s">
        <v>7591</v>
      </c>
      <c r="P1043" s="17" t="s">
        <v>7592</v>
      </c>
      <c r="Q1043" s="17"/>
      <c r="R1043" s="25" t="str">
        <f>HYPERLINK("https://ictv.global/taxonomy/taxondetails?taxnode_id=202309947","Epseptimavirus SE24")</f>
        <v>Epseptimavirus SE24</v>
      </c>
      <c r="S1043" s="18" t="s">
        <v>30</v>
      </c>
      <c r="T1043" s="18" t="s">
        <v>7653</v>
      </c>
      <c r="U1043" s="18"/>
      <c r="V1043" s="18"/>
      <c r="W1043" s="18" t="s">
        <v>7654</v>
      </c>
      <c r="X1043" s="18" t="s">
        <v>42</v>
      </c>
      <c r="Y1043" s="18" t="s">
        <v>36</v>
      </c>
      <c r="Z1043" s="18" t="s">
        <v>697</v>
      </c>
      <c r="AA1043" s="21" t="str">
        <f>HYPERLINK("https://www.ncbi.nlm.nih.gov/nuccore/MK972707","NCBI Nucleotide")</f>
        <v>NCBI Nucleotide</v>
      </c>
    </row>
    <row r="1044" spans="1:27" x14ac:dyDescent="0.35">
      <c r="A1044">
        <v>1001569</v>
      </c>
      <c r="B1044">
        <v>1043</v>
      </c>
      <c r="C1044">
        <v>1</v>
      </c>
      <c r="D1044" s="17" t="s">
        <v>155</v>
      </c>
      <c r="E1044" s="17"/>
      <c r="F1044" s="17" t="s">
        <v>156</v>
      </c>
      <c r="G1044" s="17"/>
      <c r="H1044" s="17" t="s">
        <v>692</v>
      </c>
      <c r="I1044" s="17"/>
      <c r="J1044" s="17" t="s">
        <v>693</v>
      </c>
      <c r="K1044" s="17"/>
      <c r="L1044" s="17"/>
      <c r="M1044" s="17"/>
      <c r="N1044" s="17" t="s">
        <v>7526</v>
      </c>
      <c r="O1044" s="17" t="s">
        <v>7591</v>
      </c>
      <c r="P1044" s="17" t="s">
        <v>7592</v>
      </c>
      <c r="Q1044" s="17"/>
      <c r="R1044" s="25" t="str">
        <f>HYPERLINK("https://ictv.global/taxonomy/taxondetails?taxnode_id=202308104","Epseptimavirus seafire")</f>
        <v>Epseptimavirus seafire</v>
      </c>
      <c r="S1044" s="18" t="s">
        <v>30</v>
      </c>
      <c r="T1044" s="18" t="s">
        <v>7655</v>
      </c>
      <c r="U1044" s="18"/>
      <c r="V1044" s="18"/>
      <c r="W1044" s="18" t="s">
        <v>7656</v>
      </c>
      <c r="X1044" s="18" t="s">
        <v>42</v>
      </c>
      <c r="Y1044" s="18" t="s">
        <v>36</v>
      </c>
      <c r="Z1044" s="18" t="s">
        <v>697</v>
      </c>
      <c r="AA1044" s="21" t="str">
        <f>HYPERLINK("https://www.ncbi.nlm.nih.gov/nuccore/MK050846","NCBI Nucleotide")</f>
        <v>NCBI Nucleotide</v>
      </c>
    </row>
    <row r="1045" spans="1:27" x14ac:dyDescent="0.35">
      <c r="A1045">
        <v>1001570</v>
      </c>
      <c r="B1045">
        <v>1044</v>
      </c>
      <c r="C1045">
        <v>1</v>
      </c>
      <c r="D1045" s="17" t="s">
        <v>155</v>
      </c>
      <c r="E1045" s="17"/>
      <c r="F1045" s="17" t="s">
        <v>156</v>
      </c>
      <c r="G1045" s="17"/>
      <c r="H1045" s="17" t="s">
        <v>692</v>
      </c>
      <c r="I1045" s="17"/>
      <c r="J1045" s="17" t="s">
        <v>693</v>
      </c>
      <c r="K1045" s="17"/>
      <c r="L1045" s="17"/>
      <c r="M1045" s="17"/>
      <c r="N1045" s="17" t="s">
        <v>7526</v>
      </c>
      <c r="O1045" s="17" t="s">
        <v>7591</v>
      </c>
      <c r="P1045" s="17" t="s">
        <v>7592</v>
      </c>
      <c r="Q1045" s="17"/>
      <c r="R1045" s="25" t="str">
        <f>HYPERLINK("https://ictv.global/taxonomy/taxondetails?taxnode_id=202309945","Epseptimavirus sepoy")</f>
        <v>Epseptimavirus sepoy</v>
      </c>
      <c r="S1045" s="18" t="s">
        <v>30</v>
      </c>
      <c r="T1045" s="18" t="s">
        <v>7657</v>
      </c>
      <c r="U1045" s="18"/>
      <c r="V1045" s="18"/>
      <c r="W1045" s="18" t="s">
        <v>7658</v>
      </c>
      <c r="X1045" s="18" t="s">
        <v>42</v>
      </c>
      <c r="Y1045" s="18" t="s">
        <v>36</v>
      </c>
      <c r="Z1045" s="18" t="s">
        <v>697</v>
      </c>
      <c r="AA1045" s="21" t="str">
        <f>HYPERLINK("https://www.ncbi.nlm.nih.gov/nuccore/MK728825","NCBI Nucleotide")</f>
        <v>NCBI Nucleotide</v>
      </c>
    </row>
    <row r="1046" spans="1:27" x14ac:dyDescent="0.35">
      <c r="A1046">
        <v>1001571</v>
      </c>
      <c r="B1046">
        <v>1045</v>
      </c>
      <c r="C1046">
        <v>1</v>
      </c>
      <c r="D1046" s="17" t="s">
        <v>155</v>
      </c>
      <c r="E1046" s="17"/>
      <c r="F1046" s="17" t="s">
        <v>156</v>
      </c>
      <c r="G1046" s="17"/>
      <c r="H1046" s="17" t="s">
        <v>692</v>
      </c>
      <c r="I1046" s="17"/>
      <c r="J1046" s="17" t="s">
        <v>693</v>
      </c>
      <c r="K1046" s="17"/>
      <c r="L1046" s="17"/>
      <c r="M1046" s="17"/>
      <c r="N1046" s="17" t="s">
        <v>7526</v>
      </c>
      <c r="O1046" s="17" t="s">
        <v>7591</v>
      </c>
      <c r="P1046" s="17" t="s">
        <v>7592</v>
      </c>
      <c r="Q1046" s="17"/>
      <c r="R1046" s="25" t="str">
        <f>HYPERLINK("https://ictv.global/taxonomy/taxondetails?taxnode_id=202308107","Epseptimavirus SH9")</f>
        <v>Epseptimavirus SH9</v>
      </c>
      <c r="S1046" s="18" t="s">
        <v>30</v>
      </c>
      <c r="T1046" s="18" t="s">
        <v>7659</v>
      </c>
      <c r="U1046" s="18"/>
      <c r="V1046" s="18"/>
      <c r="W1046" s="18" t="s">
        <v>7660</v>
      </c>
      <c r="X1046" s="18" t="s">
        <v>42</v>
      </c>
      <c r="Y1046" s="18" t="s">
        <v>36</v>
      </c>
      <c r="Z1046" s="18" t="s">
        <v>697</v>
      </c>
      <c r="AA1046" s="21" t="str">
        <f>HYPERLINK("https://www.ncbi.nlm.nih.gov/nuccore/MF001363","NCBI Nucleotide")</f>
        <v>NCBI Nucleotide</v>
      </c>
    </row>
    <row r="1047" spans="1:27" x14ac:dyDescent="0.35">
      <c r="A1047">
        <v>1024531</v>
      </c>
      <c r="B1047">
        <v>1046</v>
      </c>
      <c r="C1047">
        <v>1</v>
      </c>
      <c r="D1047" s="17" t="s">
        <v>155</v>
      </c>
      <c r="E1047" s="17"/>
      <c r="F1047" s="17" t="s">
        <v>156</v>
      </c>
      <c r="G1047" s="17"/>
      <c r="H1047" s="17" t="s">
        <v>692</v>
      </c>
      <c r="I1047" s="17"/>
      <c r="J1047" s="17" t="s">
        <v>693</v>
      </c>
      <c r="K1047" s="17"/>
      <c r="L1047" s="17"/>
      <c r="M1047" s="17"/>
      <c r="N1047" s="17" t="s">
        <v>7526</v>
      </c>
      <c r="O1047" s="17" t="s">
        <v>7591</v>
      </c>
      <c r="P1047" s="17" t="s">
        <v>7592</v>
      </c>
      <c r="Q1047" s="17"/>
      <c r="R1047" s="25" t="str">
        <f>HYPERLINK("https://ictv.global/taxonomy/taxondetails?taxnode_id=202318675","Epseptimavirus smaug")</f>
        <v>Epseptimavirus smaug</v>
      </c>
      <c r="S1047" s="18" t="s">
        <v>30</v>
      </c>
      <c r="T1047" s="18" t="s">
        <v>39078</v>
      </c>
      <c r="U1047" s="18"/>
      <c r="V1047" s="18"/>
      <c r="W1047" s="18" t="s">
        <v>47928</v>
      </c>
      <c r="X1047" s="18" t="s">
        <v>42</v>
      </c>
      <c r="Y1047" s="18" t="s">
        <v>36</v>
      </c>
      <c r="Z1047" s="18" t="s">
        <v>697</v>
      </c>
      <c r="AA1047" s="21" t="str">
        <f>HYPERLINK("https://www.ncbi.nlm.nih.gov/nuccore/MT074461","NCBI Nucleotide")</f>
        <v>NCBI Nucleotide</v>
      </c>
    </row>
    <row r="1048" spans="1:27" x14ac:dyDescent="0.35">
      <c r="A1048">
        <v>1024532</v>
      </c>
      <c r="B1048">
        <v>1047</v>
      </c>
      <c r="C1048">
        <v>1</v>
      </c>
      <c r="D1048" s="17" t="s">
        <v>155</v>
      </c>
      <c r="E1048" s="17"/>
      <c r="F1048" s="17" t="s">
        <v>156</v>
      </c>
      <c r="G1048" s="17"/>
      <c r="H1048" s="17" t="s">
        <v>692</v>
      </c>
      <c r="I1048" s="17"/>
      <c r="J1048" s="17" t="s">
        <v>693</v>
      </c>
      <c r="K1048" s="17"/>
      <c r="L1048" s="17"/>
      <c r="M1048" s="17"/>
      <c r="N1048" s="17" t="s">
        <v>7526</v>
      </c>
      <c r="O1048" s="17" t="s">
        <v>7591</v>
      </c>
      <c r="P1048" s="17" t="s">
        <v>7592</v>
      </c>
      <c r="Q1048" s="17"/>
      <c r="R1048" s="25" t="str">
        <f>HYPERLINK("https://ictv.global/taxonomy/taxondetails?taxnode_id=202318692","Epseptimavirus SP76")</f>
        <v>Epseptimavirus SP76</v>
      </c>
      <c r="S1048" s="18" t="s">
        <v>30</v>
      </c>
      <c r="T1048" s="18" t="s">
        <v>39079</v>
      </c>
      <c r="U1048" s="18"/>
      <c r="V1048" s="18"/>
      <c r="W1048" s="18" t="s">
        <v>47929</v>
      </c>
      <c r="X1048" s="18" t="s">
        <v>42</v>
      </c>
      <c r="Y1048" s="18" t="s">
        <v>36</v>
      </c>
      <c r="Z1048" s="18" t="s">
        <v>697</v>
      </c>
      <c r="AA1048" s="21" t="str">
        <f>HYPERLINK("https://www.ncbi.nlm.nih.gov/nuccore/MW206381","NCBI Nucleotide")</f>
        <v>NCBI Nucleotide</v>
      </c>
    </row>
    <row r="1049" spans="1:27" x14ac:dyDescent="0.35">
      <c r="A1049">
        <v>1001572</v>
      </c>
      <c r="B1049">
        <v>1048</v>
      </c>
      <c r="C1049">
        <v>1</v>
      </c>
      <c r="D1049" s="17" t="s">
        <v>155</v>
      </c>
      <c r="E1049" s="17"/>
      <c r="F1049" s="17" t="s">
        <v>156</v>
      </c>
      <c r="G1049" s="17"/>
      <c r="H1049" s="17" t="s">
        <v>692</v>
      </c>
      <c r="I1049" s="17"/>
      <c r="J1049" s="17" t="s">
        <v>693</v>
      </c>
      <c r="K1049" s="17"/>
      <c r="L1049" s="17"/>
      <c r="M1049" s="17"/>
      <c r="N1049" s="17" t="s">
        <v>7526</v>
      </c>
      <c r="O1049" s="17" t="s">
        <v>7591</v>
      </c>
      <c r="P1049" s="17" t="s">
        <v>7592</v>
      </c>
      <c r="Q1049" s="17"/>
      <c r="R1049" s="25" t="str">
        <f>HYPERLINK("https://ictv.global/taxonomy/taxondetails?taxnode_id=202308110","Epseptimavirus STG2")</f>
        <v>Epseptimavirus STG2</v>
      </c>
      <c r="S1049" s="18" t="s">
        <v>30</v>
      </c>
      <c r="T1049" s="18" t="s">
        <v>7661</v>
      </c>
      <c r="U1049" s="18"/>
      <c r="V1049" s="18"/>
      <c r="W1049" s="18" t="s">
        <v>7662</v>
      </c>
      <c r="X1049" s="18" t="s">
        <v>42</v>
      </c>
      <c r="Y1049" s="18" t="s">
        <v>36</v>
      </c>
      <c r="Z1049" s="18" t="s">
        <v>697</v>
      </c>
      <c r="AA1049" s="21" t="str">
        <f>HYPERLINK("https://www.ncbi.nlm.nih.gov/nuccore/MK005300","NCBI Nucleotide")</f>
        <v>NCBI Nucleotide</v>
      </c>
    </row>
    <row r="1050" spans="1:27" x14ac:dyDescent="0.35">
      <c r="A1050">
        <v>1001573</v>
      </c>
      <c r="B1050">
        <v>1049</v>
      </c>
      <c r="C1050">
        <v>1</v>
      </c>
      <c r="D1050" s="17" t="s">
        <v>155</v>
      </c>
      <c r="E1050" s="17"/>
      <c r="F1050" s="17" t="s">
        <v>156</v>
      </c>
      <c r="G1050" s="17"/>
      <c r="H1050" s="17" t="s">
        <v>692</v>
      </c>
      <c r="I1050" s="17"/>
      <c r="J1050" s="17" t="s">
        <v>693</v>
      </c>
      <c r="K1050" s="17"/>
      <c r="L1050" s="17"/>
      <c r="M1050" s="17"/>
      <c r="N1050" s="17" t="s">
        <v>7526</v>
      </c>
      <c r="O1050" s="17" t="s">
        <v>7591</v>
      </c>
      <c r="P1050" s="17" t="s">
        <v>7592</v>
      </c>
      <c r="Q1050" s="17"/>
      <c r="R1050" s="25" t="str">
        <f>HYPERLINK("https://ictv.global/taxonomy/taxondetails?taxnode_id=202301332","Epseptimavirus stitch")</f>
        <v>Epseptimavirus stitch</v>
      </c>
      <c r="S1050" s="18" t="s">
        <v>30</v>
      </c>
      <c r="T1050" s="18" t="s">
        <v>7663</v>
      </c>
      <c r="U1050" s="18"/>
      <c r="V1050" s="18"/>
      <c r="W1050" s="18" t="s">
        <v>7664</v>
      </c>
      <c r="X1050" s="18" t="s">
        <v>42</v>
      </c>
      <c r="Y1050" s="18" t="s">
        <v>36</v>
      </c>
      <c r="Z1050" s="18" t="s">
        <v>697</v>
      </c>
      <c r="AA1050" s="21" t="str">
        <f>HYPERLINK("https://www.ncbi.nlm.nih.gov/nuccore/KM236244","NCBI Nucleotide")</f>
        <v>NCBI Nucleotide</v>
      </c>
    </row>
    <row r="1051" spans="1:27" x14ac:dyDescent="0.35">
      <c r="A1051">
        <v>1024533</v>
      </c>
      <c r="B1051">
        <v>1050</v>
      </c>
      <c r="C1051">
        <v>1</v>
      </c>
      <c r="D1051" s="17" t="s">
        <v>155</v>
      </c>
      <c r="E1051" s="17"/>
      <c r="F1051" s="17" t="s">
        <v>156</v>
      </c>
      <c r="G1051" s="17"/>
      <c r="H1051" s="17" t="s">
        <v>692</v>
      </c>
      <c r="I1051" s="17"/>
      <c r="J1051" s="17" t="s">
        <v>693</v>
      </c>
      <c r="K1051" s="17"/>
      <c r="L1051" s="17"/>
      <c r="M1051" s="17"/>
      <c r="N1051" s="17" t="s">
        <v>7526</v>
      </c>
      <c r="O1051" s="17" t="s">
        <v>7591</v>
      </c>
      <c r="P1051" s="17" t="s">
        <v>7592</v>
      </c>
      <c r="Q1051" s="17"/>
      <c r="R1051" s="25" t="str">
        <f>HYPERLINK("https://ictv.global/taxonomy/taxondetails?taxnode_id=202318674","Epseptimavirus STWB21")</f>
        <v>Epseptimavirus STWB21</v>
      </c>
      <c r="S1051" s="18" t="s">
        <v>30</v>
      </c>
      <c r="T1051" s="18" t="s">
        <v>39080</v>
      </c>
      <c r="U1051" s="18"/>
      <c r="V1051" s="18"/>
      <c r="W1051" s="18" t="s">
        <v>47930</v>
      </c>
      <c r="X1051" s="18" t="s">
        <v>42</v>
      </c>
      <c r="Y1051" s="18" t="s">
        <v>36</v>
      </c>
      <c r="Z1051" s="18" t="s">
        <v>697</v>
      </c>
      <c r="AA1051" s="21" t="str">
        <f>HYPERLINK("https://www.ncbi.nlm.nih.gov/nuccore/MW567727","NCBI Nucleotide")</f>
        <v>NCBI Nucleotide</v>
      </c>
    </row>
    <row r="1052" spans="1:27" x14ac:dyDescent="0.35">
      <c r="A1052">
        <v>1024534</v>
      </c>
      <c r="B1052">
        <v>1051</v>
      </c>
      <c r="C1052">
        <v>1</v>
      </c>
      <c r="D1052" s="17" t="s">
        <v>155</v>
      </c>
      <c r="E1052" s="17"/>
      <c r="F1052" s="17" t="s">
        <v>156</v>
      </c>
      <c r="G1052" s="17"/>
      <c r="H1052" s="17" t="s">
        <v>692</v>
      </c>
      <c r="I1052" s="17"/>
      <c r="J1052" s="17" t="s">
        <v>693</v>
      </c>
      <c r="K1052" s="17"/>
      <c r="L1052" s="17"/>
      <c r="M1052" s="17"/>
      <c r="N1052" s="17" t="s">
        <v>7526</v>
      </c>
      <c r="O1052" s="17" t="s">
        <v>7591</v>
      </c>
      <c r="P1052" s="17" t="s">
        <v>7592</v>
      </c>
      <c r="Q1052" s="17"/>
      <c r="R1052" s="25" t="str">
        <f>HYPERLINK("https://ictv.global/taxonomy/taxondetails?taxnode_id=202318697","Epseptimavirus STyj51")</f>
        <v>Epseptimavirus STyj51</v>
      </c>
      <c r="S1052" s="18" t="s">
        <v>30</v>
      </c>
      <c r="T1052" s="18" t="s">
        <v>39081</v>
      </c>
      <c r="U1052" s="18"/>
      <c r="V1052" s="18"/>
      <c r="W1052" s="18" t="s">
        <v>47931</v>
      </c>
      <c r="X1052" s="18" t="s">
        <v>42</v>
      </c>
      <c r="Y1052" s="18" t="s">
        <v>36</v>
      </c>
      <c r="Z1052" s="18" t="s">
        <v>697</v>
      </c>
      <c r="AA1052" s="21" t="str">
        <f>HYPERLINK("https://www.ncbi.nlm.nih.gov/nuccore/MW423798","NCBI Nucleotide")</f>
        <v>NCBI Nucleotide</v>
      </c>
    </row>
    <row r="1053" spans="1:27" x14ac:dyDescent="0.35">
      <c r="A1053">
        <v>1024535</v>
      </c>
      <c r="B1053">
        <v>1052</v>
      </c>
      <c r="C1053">
        <v>1</v>
      </c>
      <c r="D1053" s="17" t="s">
        <v>155</v>
      </c>
      <c r="E1053" s="17"/>
      <c r="F1053" s="17" t="s">
        <v>156</v>
      </c>
      <c r="G1053" s="17"/>
      <c r="H1053" s="17" t="s">
        <v>692</v>
      </c>
      <c r="I1053" s="17"/>
      <c r="J1053" s="17" t="s">
        <v>693</v>
      </c>
      <c r="K1053" s="17"/>
      <c r="L1053" s="17"/>
      <c r="M1053" s="17"/>
      <c r="N1053" s="17" t="s">
        <v>7526</v>
      </c>
      <c r="O1053" s="17" t="s">
        <v>7591</v>
      </c>
      <c r="P1053" s="17" t="s">
        <v>7592</v>
      </c>
      <c r="Q1053" s="17"/>
      <c r="R1053" s="25" t="str">
        <f>HYPERLINK("https://ictv.global/taxonomy/taxondetails?taxnode_id=202318691","Epseptimavirus supergirl")</f>
        <v>Epseptimavirus supergirl</v>
      </c>
      <c r="S1053" s="18" t="s">
        <v>30</v>
      </c>
      <c r="T1053" s="18" t="s">
        <v>39082</v>
      </c>
      <c r="U1053" s="18"/>
      <c r="V1053" s="18"/>
      <c r="W1053" s="18" t="s">
        <v>47932</v>
      </c>
      <c r="X1053" s="18" t="s">
        <v>42</v>
      </c>
      <c r="Y1053" s="18" t="s">
        <v>36</v>
      </c>
      <c r="Z1053" s="18" t="s">
        <v>697</v>
      </c>
      <c r="AA1053" s="21" t="str">
        <f>HYPERLINK("https://www.ncbi.nlm.nih.gov/nuccore/MZ501105","NCBI Nucleotide")</f>
        <v>NCBI Nucleotide</v>
      </c>
    </row>
    <row r="1054" spans="1:27" x14ac:dyDescent="0.35">
      <c r="A1054">
        <v>1001574</v>
      </c>
      <c r="B1054">
        <v>1053</v>
      </c>
      <c r="C1054">
        <v>1</v>
      </c>
      <c r="D1054" s="17" t="s">
        <v>155</v>
      </c>
      <c r="E1054" s="17"/>
      <c r="F1054" s="17" t="s">
        <v>156</v>
      </c>
      <c r="G1054" s="17"/>
      <c r="H1054" s="17" t="s">
        <v>692</v>
      </c>
      <c r="I1054" s="17"/>
      <c r="J1054" s="17" t="s">
        <v>693</v>
      </c>
      <c r="K1054" s="17"/>
      <c r="L1054" s="17"/>
      <c r="M1054" s="17"/>
      <c r="N1054" s="17" t="s">
        <v>7526</v>
      </c>
      <c r="O1054" s="17" t="s">
        <v>7591</v>
      </c>
      <c r="P1054" s="17" t="s">
        <v>7592</v>
      </c>
      <c r="Q1054" s="17"/>
      <c r="R1054" s="25" t="str">
        <f>HYPERLINK("https://ictv.global/taxonomy/taxondetails?taxnode_id=202308108","Epseptimavirus Sw2")</f>
        <v>Epseptimavirus Sw2</v>
      </c>
      <c r="S1054" s="18" t="s">
        <v>30</v>
      </c>
      <c r="T1054" s="18" t="s">
        <v>7665</v>
      </c>
      <c r="U1054" s="18"/>
      <c r="V1054" s="18"/>
      <c r="W1054" s="18" t="s">
        <v>7666</v>
      </c>
      <c r="X1054" s="18" t="s">
        <v>42</v>
      </c>
      <c r="Y1054" s="18" t="s">
        <v>36</v>
      </c>
      <c r="Z1054" s="18" t="s">
        <v>697</v>
      </c>
      <c r="AA1054" s="21" t="str">
        <f>HYPERLINK("https://www.ncbi.nlm.nih.gov/nuccore/MH631454","NCBI Nucleotide")</f>
        <v>NCBI Nucleotide</v>
      </c>
    </row>
    <row r="1055" spans="1:27" x14ac:dyDescent="0.35">
      <c r="A1055">
        <v>1024536</v>
      </c>
      <c r="B1055">
        <v>1054</v>
      </c>
      <c r="C1055">
        <v>1</v>
      </c>
      <c r="D1055" s="17" t="s">
        <v>155</v>
      </c>
      <c r="E1055" s="17"/>
      <c r="F1055" s="17" t="s">
        <v>156</v>
      </c>
      <c r="G1055" s="17"/>
      <c r="H1055" s="17" t="s">
        <v>692</v>
      </c>
      <c r="I1055" s="17"/>
      <c r="J1055" s="17" t="s">
        <v>693</v>
      </c>
      <c r="K1055" s="17"/>
      <c r="L1055" s="17"/>
      <c r="M1055" s="17"/>
      <c r="N1055" s="17" t="s">
        <v>7526</v>
      </c>
      <c r="O1055" s="17" t="s">
        <v>7591</v>
      </c>
      <c r="P1055" s="17" t="s">
        <v>7592</v>
      </c>
      <c r="Q1055" s="17"/>
      <c r="R1055" s="25" t="str">
        <f>HYPERLINK("https://ictv.global/taxonomy/taxondetails?taxnode_id=202318685","Epseptimavirus thor")</f>
        <v>Epseptimavirus thor</v>
      </c>
      <c r="S1055" s="18" t="s">
        <v>30</v>
      </c>
      <c r="T1055" s="18" t="s">
        <v>39083</v>
      </c>
      <c r="U1055" s="18"/>
      <c r="V1055" s="18"/>
      <c r="W1055" s="18" t="s">
        <v>47933</v>
      </c>
      <c r="X1055" s="18" t="s">
        <v>42</v>
      </c>
      <c r="Y1055" s="18" t="s">
        <v>36</v>
      </c>
      <c r="Z1055" s="18" t="s">
        <v>697</v>
      </c>
      <c r="AA1055" s="21" t="str">
        <f>HYPERLINK("https://www.ncbi.nlm.nih.gov/nuccore/MW411578","NCBI Nucleotide")</f>
        <v>NCBI Nucleotide</v>
      </c>
    </row>
    <row r="1056" spans="1:27" x14ac:dyDescent="0.35">
      <c r="A1056">
        <v>1024537</v>
      </c>
      <c r="B1056">
        <v>1055</v>
      </c>
      <c r="C1056">
        <v>1</v>
      </c>
      <c r="D1056" s="17" t="s">
        <v>155</v>
      </c>
      <c r="E1056" s="17"/>
      <c r="F1056" s="17" t="s">
        <v>156</v>
      </c>
      <c r="G1056" s="17"/>
      <c r="H1056" s="17" t="s">
        <v>692</v>
      </c>
      <c r="I1056" s="17"/>
      <c r="J1056" s="17" t="s">
        <v>693</v>
      </c>
      <c r="K1056" s="17"/>
      <c r="L1056" s="17"/>
      <c r="M1056" s="17"/>
      <c r="N1056" s="17" t="s">
        <v>7526</v>
      </c>
      <c r="O1056" s="17" t="s">
        <v>7591</v>
      </c>
      <c r="P1056" s="17" t="s">
        <v>7592</v>
      </c>
      <c r="Q1056" s="17"/>
      <c r="R1056" s="25" t="str">
        <f>HYPERLINK("https://ictv.global/taxonomy/taxondetails?taxnode_id=202318669","Epseptimavirus trudigerster")</f>
        <v>Epseptimavirus trudigerster</v>
      </c>
      <c r="S1056" s="18" t="s">
        <v>30</v>
      </c>
      <c r="T1056" s="18" t="s">
        <v>39084</v>
      </c>
      <c r="U1056" s="18"/>
      <c r="V1056" s="18"/>
      <c r="W1056" s="18" t="s">
        <v>47934</v>
      </c>
      <c r="X1056" s="18" t="s">
        <v>42</v>
      </c>
      <c r="Y1056" s="18" t="s">
        <v>36</v>
      </c>
      <c r="Z1056" s="18" t="s">
        <v>697</v>
      </c>
      <c r="AA1056" s="21" t="str">
        <f>HYPERLINK("https://www.ncbi.nlm.nih.gov/nuccore/MZ501108","NCBI Nucleotide")</f>
        <v>NCBI Nucleotide</v>
      </c>
    </row>
    <row r="1057" spans="1:27" x14ac:dyDescent="0.35">
      <c r="A1057">
        <v>1024538</v>
      </c>
      <c r="B1057">
        <v>1056</v>
      </c>
      <c r="C1057">
        <v>1</v>
      </c>
      <c r="D1057" s="17" t="s">
        <v>155</v>
      </c>
      <c r="E1057" s="17"/>
      <c r="F1057" s="17" t="s">
        <v>156</v>
      </c>
      <c r="G1057" s="17"/>
      <c r="H1057" s="17" t="s">
        <v>692</v>
      </c>
      <c r="I1057" s="17"/>
      <c r="J1057" s="17" t="s">
        <v>693</v>
      </c>
      <c r="K1057" s="17"/>
      <c r="L1057" s="17"/>
      <c r="M1057" s="17"/>
      <c r="N1057" s="17" t="s">
        <v>7526</v>
      </c>
      <c r="O1057" s="17" t="s">
        <v>7591</v>
      </c>
      <c r="P1057" s="17" t="s">
        <v>7592</v>
      </c>
      <c r="Q1057" s="17"/>
      <c r="R1057" s="25" t="str">
        <f>HYPERLINK("https://ictv.global/taxonomy/taxondetails?taxnode_id=202318684","Epseptimavirus trudiroth")</f>
        <v>Epseptimavirus trudiroth</v>
      </c>
      <c r="S1057" s="18" t="s">
        <v>30</v>
      </c>
      <c r="T1057" s="18" t="s">
        <v>39085</v>
      </c>
      <c r="U1057" s="18"/>
      <c r="V1057" s="18"/>
      <c r="W1057" s="18" t="s">
        <v>47935</v>
      </c>
      <c r="X1057" s="18" t="s">
        <v>42</v>
      </c>
      <c r="Y1057" s="18" t="s">
        <v>36</v>
      </c>
      <c r="Z1057" s="18" t="s">
        <v>697</v>
      </c>
      <c r="AA1057" s="21" t="str">
        <f>HYPERLINK("https://www.ncbi.nlm.nih.gov/nuccore/MZ501109","NCBI Nucleotide")</f>
        <v>NCBI Nucleotide</v>
      </c>
    </row>
    <row r="1058" spans="1:27" x14ac:dyDescent="0.35">
      <c r="A1058">
        <v>1024539</v>
      </c>
      <c r="B1058">
        <v>1057</v>
      </c>
      <c r="C1058">
        <v>1</v>
      </c>
      <c r="D1058" s="17" t="s">
        <v>155</v>
      </c>
      <c r="E1058" s="17"/>
      <c r="F1058" s="17" t="s">
        <v>156</v>
      </c>
      <c r="G1058" s="17"/>
      <c r="H1058" s="17" t="s">
        <v>692</v>
      </c>
      <c r="I1058" s="17"/>
      <c r="J1058" s="17" t="s">
        <v>693</v>
      </c>
      <c r="K1058" s="17"/>
      <c r="L1058" s="17"/>
      <c r="M1058" s="17"/>
      <c r="N1058" s="17" t="s">
        <v>7526</v>
      </c>
      <c r="O1058" s="17" t="s">
        <v>7591</v>
      </c>
      <c r="P1058" s="17" t="s">
        <v>7592</v>
      </c>
      <c r="Q1058" s="17"/>
      <c r="R1058" s="25" t="str">
        <f>HYPERLINK("https://ictv.global/taxonomy/taxondetails?taxnode_id=202318670","Epseptimavirus UTK0009")</f>
        <v>Epseptimavirus UTK0009</v>
      </c>
      <c r="S1058" s="18" t="s">
        <v>30</v>
      </c>
      <c r="T1058" s="18" t="s">
        <v>39086</v>
      </c>
      <c r="U1058" s="18"/>
      <c r="V1058" s="18"/>
      <c r="W1058" s="18" t="s">
        <v>47936</v>
      </c>
      <c r="X1058" s="18" t="s">
        <v>42</v>
      </c>
      <c r="Y1058" s="18" t="s">
        <v>36</v>
      </c>
      <c r="Z1058" s="18" t="s">
        <v>697</v>
      </c>
      <c r="AA1058" s="21" t="str">
        <f>HYPERLINK("https://www.ncbi.nlm.nih.gov/nuccore/OQ359889","NCBI Nucleotide")</f>
        <v>NCBI Nucleotide</v>
      </c>
    </row>
    <row r="1059" spans="1:27" x14ac:dyDescent="0.35">
      <c r="A1059">
        <v>1024540</v>
      </c>
      <c r="B1059">
        <v>1058</v>
      </c>
      <c r="C1059">
        <v>1</v>
      </c>
      <c r="D1059" s="17" t="s">
        <v>155</v>
      </c>
      <c r="E1059" s="17"/>
      <c r="F1059" s="17" t="s">
        <v>156</v>
      </c>
      <c r="G1059" s="17"/>
      <c r="H1059" s="17" t="s">
        <v>692</v>
      </c>
      <c r="I1059" s="17"/>
      <c r="J1059" s="17" t="s">
        <v>693</v>
      </c>
      <c r="K1059" s="17"/>
      <c r="L1059" s="17"/>
      <c r="M1059" s="17"/>
      <c r="N1059" s="17" t="s">
        <v>7526</v>
      </c>
      <c r="O1059" s="17" t="s">
        <v>7591</v>
      </c>
      <c r="P1059" s="17" t="s">
        <v>7592</v>
      </c>
      <c r="Q1059" s="17"/>
      <c r="R1059" s="25" t="str">
        <f>HYPERLINK("https://ictv.global/taxonomy/taxondetails?taxnode_id=202318703","Epseptimavirus UTK0010")</f>
        <v>Epseptimavirus UTK0010</v>
      </c>
      <c r="S1059" s="18" t="s">
        <v>30</v>
      </c>
      <c r="T1059" s="18" t="s">
        <v>39087</v>
      </c>
      <c r="U1059" s="18"/>
      <c r="V1059" s="18"/>
      <c r="W1059" s="18" t="s">
        <v>47937</v>
      </c>
      <c r="X1059" s="18" t="s">
        <v>42</v>
      </c>
      <c r="Y1059" s="18" t="s">
        <v>36</v>
      </c>
      <c r="Z1059" s="18" t="s">
        <v>697</v>
      </c>
      <c r="AA1059" s="21" t="str">
        <f>HYPERLINK("https://www.ncbi.nlm.nih.gov/nuccore/OQ359890","NCBI Nucleotide")</f>
        <v>NCBI Nucleotide</v>
      </c>
    </row>
    <row r="1060" spans="1:27" x14ac:dyDescent="0.35">
      <c r="A1060">
        <v>1024541</v>
      </c>
      <c r="B1060">
        <v>1059</v>
      </c>
      <c r="C1060">
        <v>1</v>
      </c>
      <c r="D1060" s="17" t="s">
        <v>155</v>
      </c>
      <c r="E1060" s="17"/>
      <c r="F1060" s="17" t="s">
        <v>156</v>
      </c>
      <c r="G1060" s="17"/>
      <c r="H1060" s="17" t="s">
        <v>692</v>
      </c>
      <c r="I1060" s="17"/>
      <c r="J1060" s="17" t="s">
        <v>693</v>
      </c>
      <c r="K1060" s="17"/>
      <c r="L1060" s="17"/>
      <c r="M1060" s="17"/>
      <c r="N1060" s="17" t="s">
        <v>7526</v>
      </c>
      <c r="O1060" s="17" t="s">
        <v>7591</v>
      </c>
      <c r="P1060" s="17" t="s">
        <v>7592</v>
      </c>
      <c r="Q1060" s="17"/>
      <c r="R1060" s="25" t="str">
        <f>HYPERLINK("https://ictv.global/taxonomy/taxondetails?taxnode_id=202318680","Epseptimavirus vaffelhjerte")</f>
        <v>Epseptimavirus vaffelhjerte</v>
      </c>
      <c r="S1060" s="18" t="s">
        <v>30</v>
      </c>
      <c r="T1060" s="18" t="s">
        <v>39088</v>
      </c>
      <c r="U1060" s="18"/>
      <c r="V1060" s="18"/>
      <c r="W1060" s="18" t="s">
        <v>47938</v>
      </c>
      <c r="X1060" s="18" t="s">
        <v>42</v>
      </c>
      <c r="Y1060" s="18" t="s">
        <v>36</v>
      </c>
      <c r="Z1060" s="18" t="s">
        <v>697</v>
      </c>
      <c r="AA1060" s="21" t="str">
        <f>HYPERLINK("https://www.ncbi.nlm.nih.gov/nuccore/MT074452","NCBI Nucleotide")</f>
        <v>NCBI Nucleotide</v>
      </c>
    </row>
    <row r="1061" spans="1:27" x14ac:dyDescent="0.35">
      <c r="A1061">
        <v>1024888</v>
      </c>
      <c r="B1061">
        <v>1060</v>
      </c>
      <c r="C1061">
        <v>1</v>
      </c>
      <c r="D1061" s="17" t="s">
        <v>155</v>
      </c>
      <c r="E1061" s="17"/>
      <c r="F1061" s="17" t="s">
        <v>156</v>
      </c>
      <c r="G1061" s="17"/>
      <c r="H1061" s="17" t="s">
        <v>692</v>
      </c>
      <c r="I1061" s="17"/>
      <c r="J1061" s="17" t="s">
        <v>693</v>
      </c>
      <c r="K1061" s="17"/>
      <c r="L1061" s="17"/>
      <c r="M1061" s="17"/>
      <c r="N1061" s="17" t="s">
        <v>7526</v>
      </c>
      <c r="O1061" s="17" t="s">
        <v>7591</v>
      </c>
      <c r="P1061" s="17" t="s">
        <v>7667</v>
      </c>
      <c r="Q1061" s="17"/>
      <c r="R1061" s="25" t="str">
        <f>HYPERLINK("https://ictv.global/taxonomy/taxondetails?taxnode_id=202319360","Tequintavirus ABTNLsp4")</f>
        <v>Tequintavirus ABTNLsp4</v>
      </c>
      <c r="S1061" s="18" t="s">
        <v>30</v>
      </c>
      <c r="T1061" s="18" t="s">
        <v>39089</v>
      </c>
      <c r="U1061" s="18"/>
      <c r="V1061" s="18"/>
      <c r="W1061" s="18" t="s">
        <v>47939</v>
      </c>
      <c r="X1061" s="18" t="s">
        <v>42</v>
      </c>
      <c r="Y1061" s="18" t="s">
        <v>36</v>
      </c>
      <c r="Z1061" s="18" t="s">
        <v>697</v>
      </c>
      <c r="AA1061" s="21" t="str">
        <f>HYPERLINK("https://www.ncbi.nlm.nih.gov/nuccore/MW149273","NCBI Nucleotide")</f>
        <v>NCBI Nucleotide</v>
      </c>
    </row>
    <row r="1062" spans="1:27" x14ac:dyDescent="0.35">
      <c r="A1062">
        <v>1024889</v>
      </c>
      <c r="B1062">
        <v>1061</v>
      </c>
      <c r="C1062">
        <v>1</v>
      </c>
      <c r="D1062" s="17" t="s">
        <v>155</v>
      </c>
      <c r="E1062" s="17"/>
      <c r="F1062" s="17" t="s">
        <v>156</v>
      </c>
      <c r="G1062" s="17"/>
      <c r="H1062" s="17" t="s">
        <v>692</v>
      </c>
      <c r="I1062" s="17"/>
      <c r="J1062" s="17" t="s">
        <v>693</v>
      </c>
      <c r="K1062" s="17"/>
      <c r="L1062" s="17"/>
      <c r="M1062" s="17"/>
      <c r="N1062" s="17" t="s">
        <v>7526</v>
      </c>
      <c r="O1062" s="17" t="s">
        <v>7591</v>
      </c>
      <c r="P1062" s="17" t="s">
        <v>7667</v>
      </c>
      <c r="Q1062" s="17"/>
      <c r="R1062" s="25" t="str">
        <f>HYPERLINK("https://ictv.global/taxonomy/taxondetails?taxnode_id=202319356","Tequintavirus ABTNLsp9")</f>
        <v>Tequintavirus ABTNLsp9</v>
      </c>
      <c r="S1062" s="18" t="s">
        <v>30</v>
      </c>
      <c r="T1062" s="18" t="s">
        <v>39090</v>
      </c>
      <c r="U1062" s="18"/>
      <c r="V1062" s="18"/>
      <c r="W1062" s="18" t="s">
        <v>47940</v>
      </c>
      <c r="X1062" s="18" t="s">
        <v>42</v>
      </c>
      <c r="Y1062" s="18" t="s">
        <v>36</v>
      </c>
      <c r="Z1062" s="18" t="s">
        <v>697</v>
      </c>
      <c r="AA1062" s="21" t="str">
        <f>HYPERLINK("https://www.ncbi.nlm.nih.gov/nuccore/MW149275","NCBI Nucleotide")</f>
        <v>NCBI Nucleotide</v>
      </c>
    </row>
    <row r="1063" spans="1:27" x14ac:dyDescent="0.35">
      <c r="A1063">
        <v>1001575</v>
      </c>
      <c r="B1063">
        <v>1062</v>
      </c>
      <c r="C1063">
        <v>1</v>
      </c>
      <c r="D1063" s="17" t="s">
        <v>155</v>
      </c>
      <c r="E1063" s="17"/>
      <c r="F1063" s="17" t="s">
        <v>156</v>
      </c>
      <c r="G1063" s="17"/>
      <c r="H1063" s="17" t="s">
        <v>692</v>
      </c>
      <c r="I1063" s="17"/>
      <c r="J1063" s="17" t="s">
        <v>693</v>
      </c>
      <c r="K1063" s="17"/>
      <c r="L1063" s="17"/>
      <c r="M1063" s="17"/>
      <c r="N1063" s="17" t="s">
        <v>7526</v>
      </c>
      <c r="O1063" s="17" t="s">
        <v>7591</v>
      </c>
      <c r="P1063" s="17" t="s">
        <v>7667</v>
      </c>
      <c r="Q1063" s="17"/>
      <c r="R1063" s="25" t="str">
        <f>HYPERLINK("https://ictv.global/taxonomy/taxondetails?taxnode_id=202301321","Tequintavirus AKFV33")</f>
        <v>Tequintavirus AKFV33</v>
      </c>
      <c r="S1063" s="18" t="s">
        <v>30</v>
      </c>
      <c r="T1063" s="18" t="s">
        <v>7668</v>
      </c>
      <c r="U1063" s="18"/>
      <c r="V1063" s="18"/>
      <c r="W1063" s="18" t="s">
        <v>7669</v>
      </c>
      <c r="X1063" s="18" t="s">
        <v>42</v>
      </c>
      <c r="Y1063" s="18" t="s">
        <v>36</v>
      </c>
      <c r="Z1063" s="18" t="s">
        <v>697</v>
      </c>
      <c r="AA1063" s="21" t="str">
        <f>HYPERLINK("https://www.ncbi.nlm.nih.gov/nuccore/HQ665011","NCBI Nucleotide")</f>
        <v>NCBI Nucleotide</v>
      </c>
    </row>
    <row r="1064" spans="1:27" x14ac:dyDescent="0.35">
      <c r="A1064">
        <v>1001576</v>
      </c>
      <c r="B1064">
        <v>1063</v>
      </c>
      <c r="C1064">
        <v>1</v>
      </c>
      <c r="D1064" s="17" t="s">
        <v>155</v>
      </c>
      <c r="E1064" s="17"/>
      <c r="F1064" s="17" t="s">
        <v>156</v>
      </c>
      <c r="G1064" s="17"/>
      <c r="H1064" s="17" t="s">
        <v>692</v>
      </c>
      <c r="I1064" s="17"/>
      <c r="J1064" s="17" t="s">
        <v>693</v>
      </c>
      <c r="K1064" s="17"/>
      <c r="L1064" s="17"/>
      <c r="M1064" s="17"/>
      <c r="N1064" s="17" t="s">
        <v>7526</v>
      </c>
      <c r="O1064" s="17" t="s">
        <v>7591</v>
      </c>
      <c r="P1064" s="17" t="s">
        <v>7667</v>
      </c>
      <c r="Q1064" s="17"/>
      <c r="R1064" s="25" t="str">
        <f>HYPERLINK("https://ictv.global/taxonomy/taxondetails?taxnode_id=202308092","Tequintavirus APCEc03")</f>
        <v>Tequintavirus APCEc03</v>
      </c>
      <c r="S1064" s="18" t="s">
        <v>30</v>
      </c>
      <c r="T1064" s="18" t="s">
        <v>7670</v>
      </c>
      <c r="U1064" s="18"/>
      <c r="V1064" s="18"/>
      <c r="W1064" s="18" t="s">
        <v>7671</v>
      </c>
      <c r="X1064" s="18" t="s">
        <v>42</v>
      </c>
      <c r="Y1064" s="18" t="s">
        <v>36</v>
      </c>
      <c r="Z1064" s="18" t="s">
        <v>697</v>
      </c>
      <c r="AA1064" s="21" t="str">
        <f>HYPERLINK("https://www.ncbi.nlm.nih.gov/nuccore/KR422353","NCBI Nucleotide")</f>
        <v>NCBI Nucleotide</v>
      </c>
    </row>
    <row r="1065" spans="1:27" x14ac:dyDescent="0.35">
      <c r="A1065">
        <v>1024890</v>
      </c>
      <c r="B1065">
        <v>1064</v>
      </c>
      <c r="C1065">
        <v>1</v>
      </c>
      <c r="D1065" s="17" t="s">
        <v>155</v>
      </c>
      <c r="E1065" s="17"/>
      <c r="F1065" s="17" t="s">
        <v>156</v>
      </c>
      <c r="G1065" s="17"/>
      <c r="H1065" s="17" t="s">
        <v>692</v>
      </c>
      <c r="I1065" s="17"/>
      <c r="J1065" s="17" t="s">
        <v>693</v>
      </c>
      <c r="K1065" s="17"/>
      <c r="L1065" s="17"/>
      <c r="M1065" s="17"/>
      <c r="N1065" s="17" t="s">
        <v>7526</v>
      </c>
      <c r="O1065" s="17" t="s">
        <v>7591</v>
      </c>
      <c r="P1065" s="17" t="s">
        <v>7667</v>
      </c>
      <c r="Q1065" s="17"/>
      <c r="R1065" s="25" t="str">
        <f>HYPERLINK("https://ictv.global/taxonomy/taxondetails?taxnode_id=202319380","Tequintavirus BB1")</f>
        <v>Tequintavirus BB1</v>
      </c>
      <c r="S1065" s="18" t="s">
        <v>30</v>
      </c>
      <c r="T1065" s="18" t="s">
        <v>39091</v>
      </c>
      <c r="U1065" s="18"/>
      <c r="V1065" s="18"/>
      <c r="W1065" s="18" t="s">
        <v>47941</v>
      </c>
      <c r="X1065" s="18" t="s">
        <v>42</v>
      </c>
      <c r="Y1065" s="18" t="s">
        <v>36</v>
      </c>
      <c r="Z1065" s="18" t="s">
        <v>697</v>
      </c>
      <c r="AA1065" s="21" t="str">
        <f>HYPERLINK("https://www.ncbi.nlm.nih.gov/nuccore/MT843274","NCBI Nucleotide")</f>
        <v>NCBI Nucleotide</v>
      </c>
    </row>
    <row r="1066" spans="1:27" x14ac:dyDescent="0.35">
      <c r="A1066">
        <v>1001577</v>
      </c>
      <c r="B1066">
        <v>1065</v>
      </c>
      <c r="C1066">
        <v>1</v>
      </c>
      <c r="D1066" s="17" t="s">
        <v>155</v>
      </c>
      <c r="E1066" s="17"/>
      <c r="F1066" s="17" t="s">
        <v>156</v>
      </c>
      <c r="G1066" s="17"/>
      <c r="H1066" s="17" t="s">
        <v>692</v>
      </c>
      <c r="I1066" s="17"/>
      <c r="J1066" s="17" t="s">
        <v>693</v>
      </c>
      <c r="K1066" s="17"/>
      <c r="L1066" s="17"/>
      <c r="M1066" s="17"/>
      <c r="N1066" s="17" t="s">
        <v>7526</v>
      </c>
      <c r="O1066" s="17" t="s">
        <v>7591</v>
      </c>
      <c r="P1066" s="17" t="s">
        <v>7667</v>
      </c>
      <c r="Q1066" s="17"/>
      <c r="R1066" s="25" t="str">
        <f>HYPERLINK("https://ictv.global/taxonomy/taxondetails?taxnode_id=202301322","Tequintavirus BF23")</f>
        <v>Tequintavirus BF23</v>
      </c>
      <c r="S1066" s="18" t="s">
        <v>30</v>
      </c>
      <c r="T1066" s="18" t="s">
        <v>7672</v>
      </c>
      <c r="U1066" s="18"/>
      <c r="V1066" s="18"/>
      <c r="W1066" s="18" t="s">
        <v>7673</v>
      </c>
      <c r="X1066" s="18" t="s">
        <v>154</v>
      </c>
      <c r="Y1066" s="18" t="s">
        <v>36</v>
      </c>
      <c r="Z1066" s="18" t="s">
        <v>697</v>
      </c>
      <c r="AA1066" s="21" t="str">
        <f>HYPERLINK("https://www.ncbi.nlm.nih.gov/nuccore/AJ604530","NCBI Nucleotide")</f>
        <v>NCBI Nucleotide</v>
      </c>
    </row>
    <row r="1067" spans="1:27" x14ac:dyDescent="0.35">
      <c r="A1067">
        <v>1001578</v>
      </c>
      <c r="B1067">
        <v>1066</v>
      </c>
      <c r="C1067">
        <v>1</v>
      </c>
      <c r="D1067" s="17" t="s">
        <v>155</v>
      </c>
      <c r="E1067" s="17"/>
      <c r="F1067" s="17" t="s">
        <v>156</v>
      </c>
      <c r="G1067" s="17"/>
      <c r="H1067" s="17" t="s">
        <v>692</v>
      </c>
      <c r="I1067" s="17"/>
      <c r="J1067" s="17" t="s">
        <v>693</v>
      </c>
      <c r="K1067" s="17"/>
      <c r="L1067" s="17"/>
      <c r="M1067" s="17"/>
      <c r="N1067" s="17" t="s">
        <v>7526</v>
      </c>
      <c r="O1067" s="17" t="s">
        <v>7591</v>
      </c>
      <c r="P1067" s="17" t="s">
        <v>7667</v>
      </c>
      <c r="Q1067" s="17"/>
      <c r="R1067" s="25" t="str">
        <f>HYPERLINK("https://ictv.global/taxonomy/taxondetails?taxnode_id=202308093","Tequintavirus chee24")</f>
        <v>Tequintavirus chee24</v>
      </c>
      <c r="S1067" s="18" t="s">
        <v>30</v>
      </c>
      <c r="T1067" s="18" t="s">
        <v>7674</v>
      </c>
      <c r="U1067" s="18"/>
      <c r="V1067" s="18"/>
      <c r="W1067" s="18" t="s">
        <v>7675</v>
      </c>
      <c r="X1067" s="18" t="s">
        <v>42</v>
      </c>
      <c r="Y1067" s="18" t="s">
        <v>36</v>
      </c>
      <c r="Z1067" s="18" t="s">
        <v>697</v>
      </c>
      <c r="AA1067" s="21" t="str">
        <f>HYPERLINK("https://www.ncbi.nlm.nih.gov/nuccore/MF431730","NCBI Nucleotide")</f>
        <v>NCBI Nucleotide</v>
      </c>
    </row>
    <row r="1068" spans="1:27" x14ac:dyDescent="0.35">
      <c r="A1068">
        <v>1024891</v>
      </c>
      <c r="B1068">
        <v>1067</v>
      </c>
      <c r="C1068">
        <v>1</v>
      </c>
      <c r="D1068" s="17" t="s">
        <v>155</v>
      </c>
      <c r="E1068" s="17"/>
      <c r="F1068" s="17" t="s">
        <v>156</v>
      </c>
      <c r="G1068" s="17"/>
      <c r="H1068" s="17" t="s">
        <v>692</v>
      </c>
      <c r="I1068" s="17"/>
      <c r="J1068" s="17" t="s">
        <v>693</v>
      </c>
      <c r="K1068" s="17"/>
      <c r="L1068" s="17"/>
      <c r="M1068" s="17"/>
      <c r="N1068" s="17" t="s">
        <v>7526</v>
      </c>
      <c r="O1068" s="17" t="s">
        <v>7591</v>
      </c>
      <c r="P1068" s="17" t="s">
        <v>7667</v>
      </c>
      <c r="Q1068" s="17"/>
      <c r="R1068" s="25" t="str">
        <f>HYPERLINK("https://ictv.global/taxonomy/taxondetails?taxnode_id=202319352","Tequintavirus DaisyDussoix")</f>
        <v>Tequintavirus DaisyDussoix</v>
      </c>
      <c r="S1068" s="18" t="s">
        <v>30</v>
      </c>
      <c r="T1068" s="18" t="s">
        <v>39092</v>
      </c>
      <c r="U1068" s="18"/>
      <c r="V1068" s="18"/>
      <c r="W1068" s="18" t="s">
        <v>47942</v>
      </c>
      <c r="X1068" s="18" t="s">
        <v>42</v>
      </c>
      <c r="Y1068" s="18" t="s">
        <v>36</v>
      </c>
      <c r="Z1068" s="18" t="s">
        <v>697</v>
      </c>
      <c r="AA1068" s="21" t="str">
        <f>HYPERLINK("https://www.ncbi.nlm.nih.gov/nuccore/MZ501058","NCBI Nucleotide")</f>
        <v>NCBI Nucleotide</v>
      </c>
    </row>
    <row r="1069" spans="1:27" x14ac:dyDescent="0.35">
      <c r="A1069">
        <v>1001579</v>
      </c>
      <c r="B1069">
        <v>1068</v>
      </c>
      <c r="C1069">
        <v>1</v>
      </c>
      <c r="D1069" s="17" t="s">
        <v>155</v>
      </c>
      <c r="E1069" s="17"/>
      <c r="F1069" s="17" t="s">
        <v>156</v>
      </c>
      <c r="G1069" s="17"/>
      <c r="H1069" s="17" t="s">
        <v>692</v>
      </c>
      <c r="I1069" s="17"/>
      <c r="J1069" s="17" t="s">
        <v>693</v>
      </c>
      <c r="K1069" s="17"/>
      <c r="L1069" s="17"/>
      <c r="M1069" s="17"/>
      <c r="N1069" s="17" t="s">
        <v>7526</v>
      </c>
      <c r="O1069" s="17" t="s">
        <v>7591</v>
      </c>
      <c r="P1069" s="17" t="s">
        <v>7667</v>
      </c>
      <c r="Q1069" s="17"/>
      <c r="R1069" s="25" t="str">
        <f>HYPERLINK("https://ictv.global/taxonomy/taxondetails?taxnode_id=202308083","Tequintavirus DT5712")</f>
        <v>Tequintavirus DT5712</v>
      </c>
      <c r="S1069" s="18" t="s">
        <v>30</v>
      </c>
      <c r="T1069" s="18" t="s">
        <v>7676</v>
      </c>
      <c r="U1069" s="18"/>
      <c r="V1069" s="18"/>
      <c r="W1069" s="18" t="s">
        <v>7677</v>
      </c>
      <c r="X1069" s="18" t="s">
        <v>42</v>
      </c>
      <c r="Y1069" s="18" t="s">
        <v>36</v>
      </c>
      <c r="Z1069" s="18" t="s">
        <v>697</v>
      </c>
      <c r="AA1069" s="21" t="str">
        <f>HYPERLINK("https://www.ncbi.nlm.nih.gov/nuccore/KM979355","NCBI Nucleotide")</f>
        <v>NCBI Nucleotide</v>
      </c>
    </row>
    <row r="1070" spans="1:27" x14ac:dyDescent="0.35">
      <c r="A1070">
        <v>1001580</v>
      </c>
      <c r="B1070">
        <v>1069</v>
      </c>
      <c r="C1070">
        <v>1</v>
      </c>
      <c r="D1070" s="17" t="s">
        <v>155</v>
      </c>
      <c r="E1070" s="17"/>
      <c r="F1070" s="17" t="s">
        <v>156</v>
      </c>
      <c r="G1070" s="17"/>
      <c r="H1070" s="17" t="s">
        <v>692</v>
      </c>
      <c r="I1070" s="17"/>
      <c r="J1070" s="17" t="s">
        <v>693</v>
      </c>
      <c r="K1070" s="17"/>
      <c r="L1070" s="17"/>
      <c r="M1070" s="17"/>
      <c r="N1070" s="17" t="s">
        <v>7526</v>
      </c>
      <c r="O1070" s="17" t="s">
        <v>7591</v>
      </c>
      <c r="P1070" s="17" t="s">
        <v>7667</v>
      </c>
      <c r="Q1070" s="17"/>
      <c r="R1070" s="25" t="str">
        <f>HYPERLINK("https://ictv.global/taxonomy/taxondetails?taxnode_id=202301323","Tequintavirus DT57C")</f>
        <v>Tequintavirus DT57C</v>
      </c>
      <c r="S1070" s="18" t="s">
        <v>30</v>
      </c>
      <c r="T1070" s="18" t="s">
        <v>7678</v>
      </c>
      <c r="U1070" s="18"/>
      <c r="V1070" s="18"/>
      <c r="W1070" s="18" t="s">
        <v>7679</v>
      </c>
      <c r="X1070" s="18" t="s">
        <v>42</v>
      </c>
      <c r="Y1070" s="18" t="s">
        <v>36</v>
      </c>
      <c r="Z1070" s="18" t="s">
        <v>697</v>
      </c>
      <c r="AA1070" s="21" t="str">
        <f>HYPERLINK("https://www.ncbi.nlm.nih.gov/nuccore/KM979354","NCBI Nucleotide")</f>
        <v>NCBI Nucleotide</v>
      </c>
    </row>
    <row r="1071" spans="1:27" x14ac:dyDescent="0.35">
      <c r="A1071">
        <v>1024892</v>
      </c>
      <c r="B1071">
        <v>1070</v>
      </c>
      <c r="C1071">
        <v>1</v>
      </c>
      <c r="D1071" s="17" t="s">
        <v>155</v>
      </c>
      <c r="E1071" s="17"/>
      <c r="F1071" s="17" t="s">
        <v>156</v>
      </c>
      <c r="G1071" s="17"/>
      <c r="H1071" s="17" t="s">
        <v>692</v>
      </c>
      <c r="I1071" s="17"/>
      <c r="J1071" s="17" t="s">
        <v>693</v>
      </c>
      <c r="K1071" s="17"/>
      <c r="L1071" s="17"/>
      <c r="M1071" s="17"/>
      <c r="N1071" s="17" t="s">
        <v>7526</v>
      </c>
      <c r="O1071" s="17" t="s">
        <v>7591</v>
      </c>
      <c r="P1071" s="17" t="s">
        <v>7667</v>
      </c>
      <c r="Q1071" s="17"/>
      <c r="R1071" s="25" t="str">
        <f>HYPERLINK("https://ictv.global/taxonomy/taxondetails?taxnode_id=202319358","Tequintavirus E22")</f>
        <v>Tequintavirus E22</v>
      </c>
      <c r="S1071" s="18" t="s">
        <v>30</v>
      </c>
      <c r="T1071" s="18" t="s">
        <v>39093</v>
      </c>
      <c r="U1071" s="18"/>
      <c r="V1071" s="18"/>
      <c r="W1071" s="18" t="s">
        <v>47943</v>
      </c>
      <c r="X1071" s="18" t="s">
        <v>42</v>
      </c>
      <c r="Y1071" s="18" t="s">
        <v>36</v>
      </c>
      <c r="Z1071" s="18" t="s">
        <v>697</v>
      </c>
      <c r="AA1071" s="21" t="str">
        <f>HYPERLINK("https://www.ncbi.nlm.nih.gov/nuccore/MT311645","NCBI Nucleotide")</f>
        <v>NCBI Nucleotide</v>
      </c>
    </row>
    <row r="1072" spans="1:27" x14ac:dyDescent="0.35">
      <c r="A1072">
        <v>1024893</v>
      </c>
      <c r="B1072">
        <v>1071</v>
      </c>
      <c r="C1072">
        <v>1</v>
      </c>
      <c r="D1072" s="17" t="s">
        <v>155</v>
      </c>
      <c r="E1072" s="17"/>
      <c r="F1072" s="17" t="s">
        <v>156</v>
      </c>
      <c r="G1072" s="17"/>
      <c r="H1072" s="17" t="s">
        <v>692</v>
      </c>
      <c r="I1072" s="17"/>
      <c r="J1072" s="17" t="s">
        <v>693</v>
      </c>
      <c r="K1072" s="17"/>
      <c r="L1072" s="17"/>
      <c r="M1072" s="17"/>
      <c r="N1072" s="17" t="s">
        <v>7526</v>
      </c>
      <c r="O1072" s="17" t="s">
        <v>7591</v>
      </c>
      <c r="P1072" s="17" t="s">
        <v>7667</v>
      </c>
      <c r="Q1072" s="17"/>
      <c r="R1072" s="25" t="str">
        <f>HYPERLINK("https://ictv.global/taxonomy/taxondetails?taxnode_id=202319362","Tequintavirus EC100")</f>
        <v>Tequintavirus EC100</v>
      </c>
      <c r="S1072" s="18" t="s">
        <v>30</v>
      </c>
      <c r="T1072" s="18" t="s">
        <v>39094</v>
      </c>
      <c r="U1072" s="18"/>
      <c r="V1072" s="18"/>
      <c r="W1072" s="18" t="s">
        <v>47944</v>
      </c>
      <c r="X1072" s="18" t="s">
        <v>42</v>
      </c>
      <c r="Y1072" s="18" t="s">
        <v>36</v>
      </c>
      <c r="Z1072" s="18" t="s">
        <v>697</v>
      </c>
      <c r="AA1072" s="21" t="str">
        <f>HYPERLINK("https://www.ncbi.nlm.nih.gov/nuccore/OK665835","NCBI Nucleotide")</f>
        <v>NCBI Nucleotide</v>
      </c>
    </row>
    <row r="1073" spans="1:27" x14ac:dyDescent="0.35">
      <c r="A1073">
        <v>1024894</v>
      </c>
      <c r="B1073">
        <v>1072</v>
      </c>
      <c r="C1073">
        <v>1</v>
      </c>
      <c r="D1073" s="17" t="s">
        <v>155</v>
      </c>
      <c r="E1073" s="17"/>
      <c r="F1073" s="17" t="s">
        <v>156</v>
      </c>
      <c r="G1073" s="17"/>
      <c r="H1073" s="17" t="s">
        <v>692</v>
      </c>
      <c r="I1073" s="17"/>
      <c r="J1073" s="17" t="s">
        <v>693</v>
      </c>
      <c r="K1073" s="17"/>
      <c r="L1073" s="17"/>
      <c r="M1073" s="17"/>
      <c r="N1073" s="17" t="s">
        <v>7526</v>
      </c>
      <c r="O1073" s="17" t="s">
        <v>7591</v>
      </c>
      <c r="P1073" s="17" t="s">
        <v>7667</v>
      </c>
      <c r="Q1073" s="17"/>
      <c r="R1073" s="25" t="str">
        <f>HYPERLINK("https://ictv.global/taxonomy/taxondetails?taxnode_id=202319363","Tequintavirus EC148")</f>
        <v>Tequintavirus EC148</v>
      </c>
      <c r="S1073" s="18" t="s">
        <v>30</v>
      </c>
      <c r="T1073" s="18" t="s">
        <v>39095</v>
      </c>
      <c r="U1073" s="18"/>
      <c r="V1073" s="18"/>
      <c r="W1073" s="18" t="s">
        <v>47945</v>
      </c>
      <c r="X1073" s="18" t="s">
        <v>42</v>
      </c>
      <c r="Y1073" s="18" t="s">
        <v>36</v>
      </c>
      <c r="Z1073" s="18" t="s">
        <v>697</v>
      </c>
      <c r="AA1073" s="21" t="str">
        <f>HYPERLINK("https://www.ncbi.nlm.nih.gov/nuccore/ON185585","NCBI Nucleotide")</f>
        <v>NCBI Nucleotide</v>
      </c>
    </row>
    <row r="1074" spans="1:27" x14ac:dyDescent="0.35">
      <c r="A1074">
        <v>1024895</v>
      </c>
      <c r="B1074">
        <v>1073</v>
      </c>
      <c r="C1074">
        <v>1</v>
      </c>
      <c r="D1074" s="17" t="s">
        <v>155</v>
      </c>
      <c r="E1074" s="17"/>
      <c r="F1074" s="17" t="s">
        <v>156</v>
      </c>
      <c r="G1074" s="17"/>
      <c r="H1074" s="17" t="s">
        <v>692</v>
      </c>
      <c r="I1074" s="17"/>
      <c r="J1074" s="17" t="s">
        <v>693</v>
      </c>
      <c r="K1074" s="17"/>
      <c r="L1074" s="17"/>
      <c r="M1074" s="17"/>
      <c r="N1074" s="17" t="s">
        <v>7526</v>
      </c>
      <c r="O1074" s="17" t="s">
        <v>7591</v>
      </c>
      <c r="P1074" s="17" t="s">
        <v>7667</v>
      </c>
      <c r="Q1074" s="17"/>
      <c r="R1074" s="25" t="str">
        <f>HYPERLINK("https://ictv.global/taxonomy/taxondetails?taxnode_id=202319354","Tequintavirus ECOP18")</f>
        <v>Tequintavirus ECOP18</v>
      </c>
      <c r="S1074" s="18" t="s">
        <v>30</v>
      </c>
      <c r="T1074" s="18" t="s">
        <v>39096</v>
      </c>
      <c r="U1074" s="18"/>
      <c r="V1074" s="18"/>
      <c r="W1074" s="18" t="s">
        <v>47946</v>
      </c>
      <c r="X1074" s="18" t="s">
        <v>42</v>
      </c>
      <c r="Y1074" s="18" t="s">
        <v>36</v>
      </c>
      <c r="Z1074" s="18" t="s">
        <v>697</v>
      </c>
      <c r="AA1074" s="21" t="str">
        <f>HYPERLINK("https://www.ncbi.nlm.nih.gov/nuccore/MT080103","NCBI Nucleotide")</f>
        <v>NCBI Nucleotide</v>
      </c>
    </row>
    <row r="1075" spans="1:27" x14ac:dyDescent="0.35">
      <c r="A1075">
        <v>1024896</v>
      </c>
      <c r="B1075">
        <v>1074</v>
      </c>
      <c r="C1075">
        <v>1</v>
      </c>
      <c r="D1075" s="17" t="s">
        <v>155</v>
      </c>
      <c r="E1075" s="17"/>
      <c r="F1075" s="17" t="s">
        <v>156</v>
      </c>
      <c r="G1075" s="17"/>
      <c r="H1075" s="17" t="s">
        <v>692</v>
      </c>
      <c r="I1075" s="17"/>
      <c r="J1075" s="17" t="s">
        <v>693</v>
      </c>
      <c r="K1075" s="17"/>
      <c r="L1075" s="17"/>
      <c r="M1075" s="17"/>
      <c r="N1075" s="17" t="s">
        <v>7526</v>
      </c>
      <c r="O1075" s="17" t="s">
        <v>7591</v>
      </c>
      <c r="P1075" s="17" t="s">
        <v>7667</v>
      </c>
      <c r="Q1075" s="17"/>
      <c r="R1075" s="25" t="str">
        <f>HYPERLINK("https://ictv.global/taxonomy/taxondetails?taxnode_id=202319372","Tequintavirus ESCO30")</f>
        <v>Tequintavirus ESCO30</v>
      </c>
      <c r="S1075" s="18" t="s">
        <v>30</v>
      </c>
      <c r="T1075" s="18" t="s">
        <v>39097</v>
      </c>
      <c r="U1075" s="18"/>
      <c r="V1075" s="18"/>
      <c r="W1075" s="18" t="s">
        <v>47947</v>
      </c>
      <c r="X1075" s="18" t="s">
        <v>42</v>
      </c>
      <c r="Y1075" s="18" t="s">
        <v>36</v>
      </c>
      <c r="Z1075" s="18" t="s">
        <v>697</v>
      </c>
      <c r="AA1075" s="21" t="str">
        <f>HYPERLINK("https://www.ncbi.nlm.nih.gov/nuccore/OM386657","NCBI Nucleotide")</f>
        <v>NCBI Nucleotide</v>
      </c>
    </row>
    <row r="1076" spans="1:27" x14ac:dyDescent="0.35">
      <c r="A1076">
        <v>1024897</v>
      </c>
      <c r="B1076">
        <v>1075</v>
      </c>
      <c r="C1076">
        <v>1</v>
      </c>
      <c r="D1076" s="17" t="s">
        <v>155</v>
      </c>
      <c r="E1076" s="17"/>
      <c r="F1076" s="17" t="s">
        <v>156</v>
      </c>
      <c r="G1076" s="17"/>
      <c r="H1076" s="17" t="s">
        <v>692</v>
      </c>
      <c r="I1076" s="17"/>
      <c r="J1076" s="17" t="s">
        <v>693</v>
      </c>
      <c r="K1076" s="17"/>
      <c r="L1076" s="17"/>
      <c r="M1076" s="17"/>
      <c r="N1076" s="17" t="s">
        <v>7526</v>
      </c>
      <c r="O1076" s="17" t="s">
        <v>7591</v>
      </c>
      <c r="P1076" s="17" t="s">
        <v>7667</v>
      </c>
      <c r="Q1076" s="17"/>
      <c r="R1076" s="25" t="str">
        <f>HYPERLINK("https://ictv.global/taxonomy/taxondetails?taxnode_id=202319369","Tequintavirus ESCO40")</f>
        <v>Tequintavirus ESCO40</v>
      </c>
      <c r="S1076" s="18" t="s">
        <v>30</v>
      </c>
      <c r="T1076" s="18" t="s">
        <v>39098</v>
      </c>
      <c r="U1076" s="18"/>
      <c r="V1076" s="18"/>
      <c r="W1076" s="18" t="s">
        <v>47948</v>
      </c>
      <c r="X1076" s="18" t="s">
        <v>42</v>
      </c>
      <c r="Y1076" s="18" t="s">
        <v>36</v>
      </c>
      <c r="Z1076" s="18" t="s">
        <v>697</v>
      </c>
      <c r="AA1076" s="21" t="str">
        <f>HYPERLINK("https://www.ncbi.nlm.nih.gov/nuccore/OM386660","NCBI Nucleotide")</f>
        <v>NCBI Nucleotide</v>
      </c>
    </row>
    <row r="1077" spans="1:27" x14ac:dyDescent="0.35">
      <c r="A1077">
        <v>1024898</v>
      </c>
      <c r="B1077">
        <v>1076</v>
      </c>
      <c r="C1077">
        <v>1</v>
      </c>
      <c r="D1077" s="17" t="s">
        <v>155</v>
      </c>
      <c r="E1077" s="17"/>
      <c r="F1077" s="17" t="s">
        <v>156</v>
      </c>
      <c r="G1077" s="17"/>
      <c r="H1077" s="17" t="s">
        <v>692</v>
      </c>
      <c r="I1077" s="17"/>
      <c r="J1077" s="17" t="s">
        <v>693</v>
      </c>
      <c r="K1077" s="17"/>
      <c r="L1077" s="17"/>
      <c r="M1077" s="17"/>
      <c r="N1077" s="17" t="s">
        <v>7526</v>
      </c>
      <c r="O1077" s="17" t="s">
        <v>7591</v>
      </c>
      <c r="P1077" s="17" t="s">
        <v>7667</v>
      </c>
      <c r="Q1077" s="17"/>
      <c r="R1077" s="25" t="str">
        <f>HYPERLINK("https://ictv.global/taxonomy/taxondetails?taxnode_id=202319351","Tequintavirus ev219")</f>
        <v>Tequintavirus ev219</v>
      </c>
      <c r="S1077" s="18" t="s">
        <v>30</v>
      </c>
      <c r="T1077" s="18" t="s">
        <v>39099</v>
      </c>
      <c r="U1077" s="18"/>
      <c r="V1077" s="18"/>
      <c r="W1077" s="18" t="s">
        <v>47949</v>
      </c>
      <c r="X1077" s="18" t="s">
        <v>42</v>
      </c>
      <c r="Y1077" s="18" t="s">
        <v>36</v>
      </c>
      <c r="Z1077" s="18" t="s">
        <v>697</v>
      </c>
      <c r="AA1077" s="21" t="str">
        <f>HYPERLINK("https://www.ncbi.nlm.nih.gov/nuccore/LR597655","NCBI Nucleotide")</f>
        <v>NCBI Nucleotide</v>
      </c>
    </row>
    <row r="1078" spans="1:27" x14ac:dyDescent="0.35">
      <c r="A1078">
        <v>1001581</v>
      </c>
      <c r="B1078">
        <v>1077</v>
      </c>
      <c r="C1078">
        <v>1</v>
      </c>
      <c r="D1078" s="17" t="s">
        <v>155</v>
      </c>
      <c r="E1078" s="17"/>
      <c r="F1078" s="17" t="s">
        <v>156</v>
      </c>
      <c r="G1078" s="17"/>
      <c r="H1078" s="17" t="s">
        <v>692</v>
      </c>
      <c r="I1078" s="17"/>
      <c r="J1078" s="17" t="s">
        <v>693</v>
      </c>
      <c r="K1078" s="17"/>
      <c r="L1078" s="17"/>
      <c r="M1078" s="17"/>
      <c r="N1078" s="17" t="s">
        <v>7526</v>
      </c>
      <c r="O1078" s="17" t="s">
        <v>7591</v>
      </c>
      <c r="P1078" s="17" t="s">
        <v>7667</v>
      </c>
      <c r="Q1078" s="17"/>
      <c r="R1078" s="25" t="str">
        <f>HYPERLINK("https://ictv.global/taxonomy/taxondetails?taxnode_id=202301325","Tequintavirus FFH1")</f>
        <v>Tequintavirus FFH1</v>
      </c>
      <c r="S1078" s="18" t="s">
        <v>30</v>
      </c>
      <c r="T1078" s="18" t="s">
        <v>7680</v>
      </c>
      <c r="U1078" s="18"/>
      <c r="V1078" s="18"/>
      <c r="W1078" s="18" t="s">
        <v>7681</v>
      </c>
      <c r="X1078" s="18" t="s">
        <v>42</v>
      </c>
      <c r="Y1078" s="18" t="s">
        <v>36</v>
      </c>
      <c r="Z1078" s="18" t="s">
        <v>697</v>
      </c>
      <c r="AA1078" s="21" t="str">
        <f>HYPERLINK("https://www.ncbi.nlm.nih.gov/nuccore/KJ190157","NCBI Nucleotide")</f>
        <v>NCBI Nucleotide</v>
      </c>
    </row>
    <row r="1079" spans="1:27" x14ac:dyDescent="0.35">
      <c r="A1079">
        <v>1001582</v>
      </c>
      <c r="B1079">
        <v>1078</v>
      </c>
      <c r="C1079">
        <v>1</v>
      </c>
      <c r="D1079" s="17" t="s">
        <v>155</v>
      </c>
      <c r="E1079" s="17"/>
      <c r="F1079" s="17" t="s">
        <v>156</v>
      </c>
      <c r="G1079" s="17"/>
      <c r="H1079" s="17" t="s">
        <v>692</v>
      </c>
      <c r="I1079" s="17"/>
      <c r="J1079" s="17" t="s">
        <v>693</v>
      </c>
      <c r="K1079" s="17"/>
      <c r="L1079" s="17"/>
      <c r="M1079" s="17"/>
      <c r="N1079" s="17" t="s">
        <v>7526</v>
      </c>
      <c r="O1079" s="17" t="s">
        <v>7591</v>
      </c>
      <c r="P1079" s="17" t="s">
        <v>7667</v>
      </c>
      <c r="Q1079" s="17"/>
      <c r="R1079" s="25" t="str">
        <f>HYPERLINK("https://ictv.global/taxonomy/taxondetails?taxnode_id=202309961","Tequintavirus fp01")</f>
        <v>Tequintavirus fp01</v>
      </c>
      <c r="S1079" s="18" t="s">
        <v>30</v>
      </c>
      <c r="T1079" s="18" t="s">
        <v>7682</v>
      </c>
      <c r="U1079" s="18"/>
      <c r="V1079" s="18"/>
      <c r="W1079" s="18" t="s">
        <v>7683</v>
      </c>
      <c r="X1079" s="18" t="s">
        <v>42</v>
      </c>
      <c r="Y1079" s="18" t="s">
        <v>36</v>
      </c>
      <c r="Z1079" s="18" t="s">
        <v>697</v>
      </c>
      <c r="AA1079" s="21" t="str">
        <f>HYPERLINK("https://www.ncbi.nlm.nih.gov/nuccore/MH745368","NCBI Nucleotide")</f>
        <v>NCBI Nucleotide</v>
      </c>
    </row>
    <row r="1080" spans="1:27" x14ac:dyDescent="0.35">
      <c r="A1080">
        <v>1001583</v>
      </c>
      <c r="B1080">
        <v>1079</v>
      </c>
      <c r="C1080">
        <v>1</v>
      </c>
      <c r="D1080" s="17" t="s">
        <v>155</v>
      </c>
      <c r="E1080" s="17"/>
      <c r="F1080" s="17" t="s">
        <v>156</v>
      </c>
      <c r="G1080" s="17"/>
      <c r="H1080" s="17" t="s">
        <v>692</v>
      </c>
      <c r="I1080" s="17"/>
      <c r="J1080" s="17" t="s">
        <v>693</v>
      </c>
      <c r="K1080" s="17"/>
      <c r="L1080" s="17"/>
      <c r="M1080" s="17"/>
      <c r="N1080" s="17" t="s">
        <v>7526</v>
      </c>
      <c r="O1080" s="17" t="s">
        <v>7591</v>
      </c>
      <c r="P1080" s="17" t="s">
        <v>7667</v>
      </c>
      <c r="Q1080" s="17"/>
      <c r="R1080" s="25" t="str">
        <f>HYPERLINK("https://ictv.global/taxonomy/taxondetails?taxnode_id=202308082","Tequintavirus gostya9")</f>
        <v>Tequintavirus gostya9</v>
      </c>
      <c r="S1080" s="18" t="s">
        <v>30</v>
      </c>
      <c r="T1080" s="18" t="s">
        <v>7684</v>
      </c>
      <c r="U1080" s="18"/>
      <c r="V1080" s="18"/>
      <c r="W1080" s="18" t="s">
        <v>7685</v>
      </c>
      <c r="X1080" s="18" t="s">
        <v>42</v>
      </c>
      <c r="Y1080" s="18" t="s">
        <v>36</v>
      </c>
      <c r="Z1080" s="18" t="s">
        <v>697</v>
      </c>
      <c r="AA1080" s="21" t="str">
        <f>HYPERLINK("https://www.ncbi.nlm.nih.gov/nuccore/MH203051","NCBI Nucleotide")</f>
        <v>NCBI Nucleotide</v>
      </c>
    </row>
    <row r="1081" spans="1:27" x14ac:dyDescent="0.35">
      <c r="A1081">
        <v>1024899</v>
      </c>
      <c r="B1081">
        <v>1080</v>
      </c>
      <c r="C1081">
        <v>1</v>
      </c>
      <c r="D1081" s="17" t="s">
        <v>155</v>
      </c>
      <c r="E1081" s="17"/>
      <c r="F1081" s="17" t="s">
        <v>156</v>
      </c>
      <c r="G1081" s="17"/>
      <c r="H1081" s="17" t="s">
        <v>692</v>
      </c>
      <c r="I1081" s="17"/>
      <c r="J1081" s="17" t="s">
        <v>693</v>
      </c>
      <c r="K1081" s="17"/>
      <c r="L1081" s="17"/>
      <c r="M1081" s="17"/>
      <c r="N1081" s="17" t="s">
        <v>7526</v>
      </c>
      <c r="O1081" s="17" t="s">
        <v>7591</v>
      </c>
      <c r="P1081" s="17" t="s">
        <v>7667</v>
      </c>
      <c r="Q1081" s="17"/>
      <c r="R1081" s="25" t="str">
        <f>HYPERLINK("https://ictv.global/taxonomy/taxondetails?taxnode_id=202319357","Tequintavirus GSP044")</f>
        <v>Tequintavirus GSP044</v>
      </c>
      <c r="S1081" s="18" t="s">
        <v>30</v>
      </c>
      <c r="T1081" s="18" t="s">
        <v>39100</v>
      </c>
      <c r="U1081" s="18"/>
      <c r="V1081" s="18"/>
      <c r="W1081" s="18" t="s">
        <v>47950</v>
      </c>
      <c r="X1081" s="18" t="s">
        <v>42</v>
      </c>
      <c r="Y1081" s="18" t="s">
        <v>36</v>
      </c>
      <c r="Z1081" s="18" t="s">
        <v>697</v>
      </c>
      <c r="AA1081" s="21" t="str">
        <f>HYPERLINK("https://www.ncbi.nlm.nih.gov/nuccore/OP394141","NCBI Nucleotide")</f>
        <v>NCBI Nucleotide</v>
      </c>
    </row>
    <row r="1082" spans="1:27" x14ac:dyDescent="0.35">
      <c r="A1082">
        <v>1001584</v>
      </c>
      <c r="B1082">
        <v>1081</v>
      </c>
      <c r="C1082">
        <v>1</v>
      </c>
      <c r="D1082" s="17" t="s">
        <v>155</v>
      </c>
      <c r="E1082" s="17"/>
      <c r="F1082" s="17" t="s">
        <v>156</v>
      </c>
      <c r="G1082" s="17"/>
      <c r="H1082" s="17" t="s">
        <v>692</v>
      </c>
      <c r="I1082" s="17"/>
      <c r="J1082" s="17" t="s">
        <v>693</v>
      </c>
      <c r="K1082" s="17"/>
      <c r="L1082" s="17"/>
      <c r="M1082" s="17"/>
      <c r="N1082" s="17" t="s">
        <v>7526</v>
      </c>
      <c r="O1082" s="17" t="s">
        <v>7591</v>
      </c>
      <c r="P1082" s="17" t="s">
        <v>7667</v>
      </c>
      <c r="Q1082" s="17"/>
      <c r="R1082" s="25" t="str">
        <f>HYPERLINK("https://ictv.global/taxonomy/taxondetails?taxnode_id=202301326","Tequintavirus H8")</f>
        <v>Tequintavirus H8</v>
      </c>
      <c r="S1082" s="18" t="s">
        <v>30</v>
      </c>
      <c r="T1082" s="18" t="s">
        <v>7686</v>
      </c>
      <c r="U1082" s="18"/>
      <c r="V1082" s="18"/>
      <c r="W1082" s="18" t="s">
        <v>7687</v>
      </c>
      <c r="X1082" s="18" t="s">
        <v>42</v>
      </c>
      <c r="Y1082" s="18" t="s">
        <v>36</v>
      </c>
      <c r="Z1082" s="18" t="s">
        <v>697</v>
      </c>
      <c r="AA1082" s="21" t="str">
        <f>HYPERLINK("https://www.ncbi.nlm.nih.gov/nuccore/AC171169","NCBI Nucleotide")</f>
        <v>NCBI Nucleotide</v>
      </c>
    </row>
    <row r="1083" spans="1:27" x14ac:dyDescent="0.35">
      <c r="A1083">
        <v>1024900</v>
      </c>
      <c r="B1083">
        <v>1082</v>
      </c>
      <c r="C1083">
        <v>1</v>
      </c>
      <c r="D1083" s="17" t="s">
        <v>155</v>
      </c>
      <c r="E1083" s="17"/>
      <c r="F1083" s="17" t="s">
        <v>156</v>
      </c>
      <c r="G1083" s="17"/>
      <c r="H1083" s="17" t="s">
        <v>692</v>
      </c>
      <c r="I1083" s="17"/>
      <c r="J1083" s="17" t="s">
        <v>693</v>
      </c>
      <c r="K1083" s="17"/>
      <c r="L1083" s="17"/>
      <c r="M1083" s="17"/>
      <c r="N1083" s="17" t="s">
        <v>7526</v>
      </c>
      <c r="O1083" s="17" t="s">
        <v>7591</v>
      </c>
      <c r="P1083" s="17" t="s">
        <v>7667</v>
      </c>
      <c r="Q1083" s="17"/>
      <c r="R1083" s="25" t="str">
        <f>HYPERLINK("https://ictv.global/taxonomy/taxondetails?taxnode_id=202319379","Tequintavirus HASG4")</f>
        <v>Tequintavirus HASG4</v>
      </c>
      <c r="S1083" s="18" t="s">
        <v>30</v>
      </c>
      <c r="T1083" s="18" t="s">
        <v>39101</v>
      </c>
      <c r="U1083" s="18"/>
      <c r="V1083" s="18"/>
      <c r="W1083" s="18" t="s">
        <v>47951</v>
      </c>
      <c r="X1083" s="18" t="s">
        <v>42</v>
      </c>
      <c r="Y1083" s="18" t="s">
        <v>36</v>
      </c>
      <c r="Z1083" s="18" t="s">
        <v>697</v>
      </c>
      <c r="AA1083" s="21" t="str">
        <f>HYPERLINK("https://www.ncbi.nlm.nih.gov/nuccore/MK373797","NCBI Nucleotide")</f>
        <v>NCBI Nucleotide</v>
      </c>
    </row>
    <row r="1084" spans="1:27" x14ac:dyDescent="0.35">
      <c r="A1084">
        <v>1001585</v>
      </c>
      <c r="B1084">
        <v>1083</v>
      </c>
      <c r="C1084">
        <v>1</v>
      </c>
      <c r="D1084" s="17" t="s">
        <v>155</v>
      </c>
      <c r="E1084" s="17"/>
      <c r="F1084" s="17" t="s">
        <v>156</v>
      </c>
      <c r="G1084" s="17"/>
      <c r="H1084" s="17" t="s">
        <v>692</v>
      </c>
      <c r="I1084" s="17"/>
      <c r="J1084" s="17" t="s">
        <v>693</v>
      </c>
      <c r="K1084" s="17"/>
      <c r="L1084" s="17"/>
      <c r="M1084" s="17"/>
      <c r="N1084" s="17" t="s">
        <v>7526</v>
      </c>
      <c r="O1084" s="17" t="s">
        <v>7591</v>
      </c>
      <c r="P1084" s="17" t="s">
        <v>7667</v>
      </c>
      <c r="Q1084" s="17"/>
      <c r="R1084" s="25" t="str">
        <f>HYPERLINK("https://ictv.global/taxonomy/taxondetails?taxnode_id=202309954","Tequintavirus HdH2")</f>
        <v>Tequintavirus HdH2</v>
      </c>
      <c r="S1084" s="18" t="s">
        <v>30</v>
      </c>
      <c r="T1084" s="18" t="s">
        <v>7688</v>
      </c>
      <c r="U1084" s="18"/>
      <c r="V1084" s="18"/>
      <c r="W1084" s="18" t="s">
        <v>7689</v>
      </c>
      <c r="X1084" s="18" t="s">
        <v>42</v>
      </c>
      <c r="Y1084" s="18" t="s">
        <v>36</v>
      </c>
      <c r="Z1084" s="18" t="s">
        <v>697</v>
      </c>
      <c r="AA1084" s="21" t="str">
        <f>HYPERLINK("https://www.ncbi.nlm.nih.gov/nuccore/MK373796","NCBI Nucleotide")</f>
        <v>NCBI Nucleotide</v>
      </c>
    </row>
    <row r="1085" spans="1:27" x14ac:dyDescent="0.35">
      <c r="A1085">
        <v>1024901</v>
      </c>
      <c r="B1085">
        <v>1084</v>
      </c>
      <c r="C1085">
        <v>1</v>
      </c>
      <c r="D1085" s="17" t="s">
        <v>155</v>
      </c>
      <c r="E1085" s="17"/>
      <c r="F1085" s="17" t="s">
        <v>156</v>
      </c>
      <c r="G1085" s="17"/>
      <c r="H1085" s="17" t="s">
        <v>692</v>
      </c>
      <c r="I1085" s="17"/>
      <c r="J1085" s="17" t="s">
        <v>693</v>
      </c>
      <c r="K1085" s="17"/>
      <c r="L1085" s="17"/>
      <c r="M1085" s="17"/>
      <c r="N1085" s="17" t="s">
        <v>7526</v>
      </c>
      <c r="O1085" s="17" t="s">
        <v>7591</v>
      </c>
      <c r="P1085" s="17" t="s">
        <v>7667</v>
      </c>
      <c r="Q1085" s="17"/>
      <c r="R1085" s="25" t="str">
        <f>HYPERLINK("https://ictv.global/taxonomy/taxondetails?taxnode_id=202319370","Tequintavirus hildybeyeler")</f>
        <v>Tequintavirus hildybeyeler</v>
      </c>
      <c r="S1085" s="18" t="s">
        <v>30</v>
      </c>
      <c r="T1085" s="18" t="s">
        <v>39102</v>
      </c>
      <c r="U1085" s="18"/>
      <c r="V1085" s="18"/>
      <c r="W1085" s="18" t="s">
        <v>47952</v>
      </c>
      <c r="X1085" s="18" t="s">
        <v>42</v>
      </c>
      <c r="Y1085" s="18" t="s">
        <v>36</v>
      </c>
      <c r="Z1085" s="18" t="s">
        <v>697</v>
      </c>
      <c r="AA1085" s="21" t="str">
        <f>HYPERLINK("https://www.ncbi.nlm.nih.gov/nuccore/MZ501074","NCBI Nucleotide")</f>
        <v>NCBI Nucleotide</v>
      </c>
    </row>
    <row r="1086" spans="1:27" x14ac:dyDescent="0.35">
      <c r="A1086">
        <v>1024902</v>
      </c>
      <c r="B1086">
        <v>1085</v>
      </c>
      <c r="C1086">
        <v>1</v>
      </c>
      <c r="D1086" s="17" t="s">
        <v>155</v>
      </c>
      <c r="E1086" s="17"/>
      <c r="F1086" s="17" t="s">
        <v>156</v>
      </c>
      <c r="G1086" s="17"/>
      <c r="H1086" s="17" t="s">
        <v>692</v>
      </c>
      <c r="I1086" s="17"/>
      <c r="J1086" s="17" t="s">
        <v>693</v>
      </c>
      <c r="K1086" s="17"/>
      <c r="L1086" s="17"/>
      <c r="M1086" s="17"/>
      <c r="N1086" s="17" t="s">
        <v>7526</v>
      </c>
      <c r="O1086" s="17" t="s">
        <v>7591</v>
      </c>
      <c r="P1086" s="17" t="s">
        <v>7667</v>
      </c>
      <c r="Q1086" s="17"/>
      <c r="R1086" s="25" t="str">
        <f>HYPERLINK("https://ictv.global/taxonomy/taxondetails?taxnode_id=202319365","Tequintavirus IME178")</f>
        <v>Tequintavirus IME178</v>
      </c>
      <c r="S1086" s="18" t="s">
        <v>30</v>
      </c>
      <c r="T1086" s="18" t="s">
        <v>39103</v>
      </c>
      <c r="U1086" s="18"/>
      <c r="V1086" s="18"/>
      <c r="W1086" s="18" t="s">
        <v>47953</v>
      </c>
      <c r="X1086" s="18" t="s">
        <v>42</v>
      </c>
      <c r="Y1086" s="18" t="s">
        <v>36</v>
      </c>
      <c r="Z1086" s="18" t="s">
        <v>697</v>
      </c>
      <c r="AA1086" s="21" t="str">
        <f>HYPERLINK("https://www.ncbi.nlm.nih.gov/nuccore/MZ398246","NCBI Nucleotide")</f>
        <v>NCBI Nucleotide</v>
      </c>
    </row>
    <row r="1087" spans="1:27" x14ac:dyDescent="0.35">
      <c r="A1087">
        <v>1024903</v>
      </c>
      <c r="B1087">
        <v>1086</v>
      </c>
      <c r="C1087">
        <v>1</v>
      </c>
      <c r="D1087" s="17" t="s">
        <v>155</v>
      </c>
      <c r="E1087" s="17"/>
      <c r="F1087" s="17" t="s">
        <v>156</v>
      </c>
      <c r="G1087" s="17"/>
      <c r="H1087" s="17" t="s">
        <v>692</v>
      </c>
      <c r="I1087" s="17"/>
      <c r="J1087" s="17" t="s">
        <v>693</v>
      </c>
      <c r="K1087" s="17"/>
      <c r="L1087" s="17"/>
      <c r="M1087" s="17"/>
      <c r="N1087" s="17" t="s">
        <v>7526</v>
      </c>
      <c r="O1087" s="17" t="s">
        <v>7591</v>
      </c>
      <c r="P1087" s="17" t="s">
        <v>7667</v>
      </c>
      <c r="Q1087" s="17"/>
      <c r="R1087" s="25" t="str">
        <f>HYPERLINK("https://ictv.global/taxonomy/taxondetails?taxnode_id=202319350","Tequintavirus irisvonroten")</f>
        <v>Tequintavirus irisvonroten</v>
      </c>
      <c r="S1087" s="18" t="s">
        <v>30</v>
      </c>
      <c r="T1087" s="18" t="s">
        <v>39104</v>
      </c>
      <c r="U1087" s="18"/>
      <c r="V1087" s="18"/>
      <c r="W1087" s="18" t="s">
        <v>47954</v>
      </c>
      <c r="X1087" s="18" t="s">
        <v>42</v>
      </c>
      <c r="Y1087" s="18" t="s">
        <v>36</v>
      </c>
      <c r="Z1087" s="18" t="s">
        <v>697</v>
      </c>
      <c r="AA1087" s="21" t="str">
        <f>HYPERLINK("https://www.ncbi.nlm.nih.gov/nuccore/MZ501075","NCBI Nucleotide")</f>
        <v>NCBI Nucleotide</v>
      </c>
    </row>
    <row r="1088" spans="1:27" x14ac:dyDescent="0.35">
      <c r="A1088">
        <v>1024904</v>
      </c>
      <c r="B1088">
        <v>1087</v>
      </c>
      <c r="C1088">
        <v>1</v>
      </c>
      <c r="D1088" s="17" t="s">
        <v>155</v>
      </c>
      <c r="E1088" s="17"/>
      <c r="F1088" s="17" t="s">
        <v>156</v>
      </c>
      <c r="G1088" s="17"/>
      <c r="H1088" s="17" t="s">
        <v>692</v>
      </c>
      <c r="I1088" s="17"/>
      <c r="J1088" s="17" t="s">
        <v>693</v>
      </c>
      <c r="K1088" s="17"/>
      <c r="L1088" s="17"/>
      <c r="M1088" s="17"/>
      <c r="N1088" s="17" t="s">
        <v>7526</v>
      </c>
      <c r="O1088" s="17" t="s">
        <v>7591</v>
      </c>
      <c r="P1088" s="17" t="s">
        <v>7667</v>
      </c>
      <c r="Q1088" s="17"/>
      <c r="R1088" s="25" t="str">
        <f>HYPERLINK("https://ictv.global/taxonomy/taxondetails?taxnode_id=202319364","Tequintavirus JLBYU40")</f>
        <v>Tequintavirus JLBYU40</v>
      </c>
      <c r="S1088" s="18" t="s">
        <v>30</v>
      </c>
      <c r="T1088" s="18" t="s">
        <v>39105</v>
      </c>
      <c r="U1088" s="18"/>
      <c r="V1088" s="18"/>
      <c r="W1088" s="18" t="s">
        <v>47955</v>
      </c>
      <c r="X1088" s="18" t="s">
        <v>42</v>
      </c>
      <c r="Y1088" s="18" t="s">
        <v>36</v>
      </c>
      <c r="Z1088" s="18" t="s">
        <v>697</v>
      </c>
      <c r="AA1088" s="21" t="str">
        <f>HYPERLINK("https://www.ncbi.nlm.nih.gov/nuccore/OK272480","NCBI Nucleotide")</f>
        <v>NCBI Nucleotide</v>
      </c>
    </row>
    <row r="1089" spans="1:27" x14ac:dyDescent="0.35">
      <c r="A1089">
        <v>1024905</v>
      </c>
      <c r="B1089">
        <v>1088</v>
      </c>
      <c r="C1089">
        <v>1</v>
      </c>
      <c r="D1089" s="17" t="s">
        <v>155</v>
      </c>
      <c r="E1089" s="17"/>
      <c r="F1089" s="17" t="s">
        <v>156</v>
      </c>
      <c r="G1089" s="17"/>
      <c r="H1089" s="17" t="s">
        <v>692</v>
      </c>
      <c r="I1089" s="17"/>
      <c r="J1089" s="17" t="s">
        <v>693</v>
      </c>
      <c r="K1089" s="17"/>
      <c r="L1089" s="17"/>
      <c r="M1089" s="17"/>
      <c r="N1089" s="17" t="s">
        <v>7526</v>
      </c>
      <c r="O1089" s="17" t="s">
        <v>7591</v>
      </c>
      <c r="P1089" s="17" t="s">
        <v>7667</v>
      </c>
      <c r="Q1089" s="17"/>
      <c r="R1089" s="25" t="str">
        <f>HYPERLINK("https://ictv.global/taxonomy/taxondetails?taxnode_id=202319349","Tequintavirus JLBYU43")</f>
        <v>Tequintavirus JLBYU43</v>
      </c>
      <c r="S1089" s="18" t="s">
        <v>30</v>
      </c>
      <c r="T1089" s="18" t="s">
        <v>39106</v>
      </c>
      <c r="U1089" s="18"/>
      <c r="V1089" s="18"/>
      <c r="W1089" s="18" t="s">
        <v>47956</v>
      </c>
      <c r="X1089" s="18" t="s">
        <v>42</v>
      </c>
      <c r="Y1089" s="18" t="s">
        <v>36</v>
      </c>
      <c r="Z1089" s="18" t="s">
        <v>697</v>
      </c>
      <c r="AA1089" s="21" t="str">
        <f>HYPERLINK("https://www.ncbi.nlm.nih.gov/nuccore/OK272477","NCBI Nucleotide")</f>
        <v>NCBI Nucleotide</v>
      </c>
    </row>
    <row r="1090" spans="1:27" x14ac:dyDescent="0.35">
      <c r="A1090">
        <v>1024906</v>
      </c>
      <c r="B1090">
        <v>1089</v>
      </c>
      <c r="C1090">
        <v>1</v>
      </c>
      <c r="D1090" s="17" t="s">
        <v>155</v>
      </c>
      <c r="E1090" s="17"/>
      <c r="F1090" s="17" t="s">
        <v>156</v>
      </c>
      <c r="G1090" s="17"/>
      <c r="H1090" s="17" t="s">
        <v>692</v>
      </c>
      <c r="I1090" s="17"/>
      <c r="J1090" s="17" t="s">
        <v>693</v>
      </c>
      <c r="K1090" s="17"/>
      <c r="L1090" s="17"/>
      <c r="M1090" s="17"/>
      <c r="N1090" s="17" t="s">
        <v>7526</v>
      </c>
      <c r="O1090" s="17" t="s">
        <v>7591</v>
      </c>
      <c r="P1090" s="17" t="s">
        <v>7667</v>
      </c>
      <c r="Q1090" s="17"/>
      <c r="R1090" s="25" t="str">
        <f>HYPERLINK("https://ictv.global/taxonomy/taxondetails?taxnode_id=202319355","Tequintavirus KPP2018")</f>
        <v>Tequintavirus KPP2018</v>
      </c>
      <c r="S1090" s="18" t="s">
        <v>30</v>
      </c>
      <c r="T1090" s="18" t="s">
        <v>39107</v>
      </c>
      <c r="U1090" s="18"/>
      <c r="V1090" s="18"/>
      <c r="W1090" s="18" t="s">
        <v>47957</v>
      </c>
      <c r="X1090" s="18" t="s">
        <v>42</v>
      </c>
      <c r="Y1090" s="18" t="s">
        <v>36</v>
      </c>
      <c r="Z1090" s="18" t="s">
        <v>697</v>
      </c>
      <c r="AA1090" s="21" t="str">
        <f>HYPERLINK("https://www.ncbi.nlm.nih.gov/nuccore/OQ031075","NCBI Nucleotide")</f>
        <v>NCBI Nucleotide</v>
      </c>
    </row>
    <row r="1091" spans="1:27" x14ac:dyDescent="0.35">
      <c r="A1091">
        <v>1001586</v>
      </c>
      <c r="B1091">
        <v>1090</v>
      </c>
      <c r="C1091">
        <v>1</v>
      </c>
      <c r="D1091" s="17" t="s">
        <v>155</v>
      </c>
      <c r="E1091" s="17"/>
      <c r="F1091" s="17" t="s">
        <v>156</v>
      </c>
      <c r="G1091" s="17"/>
      <c r="H1091" s="17" t="s">
        <v>692</v>
      </c>
      <c r="I1091" s="17"/>
      <c r="J1091" s="17" t="s">
        <v>693</v>
      </c>
      <c r="K1091" s="17"/>
      <c r="L1091" s="17"/>
      <c r="M1091" s="17"/>
      <c r="N1091" s="17" t="s">
        <v>7526</v>
      </c>
      <c r="O1091" s="17" t="s">
        <v>7591</v>
      </c>
      <c r="P1091" s="17" t="s">
        <v>7667</v>
      </c>
      <c r="Q1091" s="17"/>
      <c r="R1091" s="25" t="str">
        <f>HYPERLINK("https://ictv.global/taxonomy/taxondetails?taxnode_id=202309959","Tequintavirus L6jm")</f>
        <v>Tequintavirus L6jm</v>
      </c>
      <c r="S1091" s="18" t="s">
        <v>30</v>
      </c>
      <c r="T1091" s="18" t="s">
        <v>7690</v>
      </c>
      <c r="U1091" s="18"/>
      <c r="V1091" s="18"/>
      <c r="W1091" s="18" t="s">
        <v>7691</v>
      </c>
      <c r="X1091" s="18" t="s">
        <v>42</v>
      </c>
      <c r="Y1091" s="18" t="s">
        <v>36</v>
      </c>
      <c r="Z1091" s="18" t="s">
        <v>697</v>
      </c>
      <c r="AA1091" s="21" t="str">
        <f>HYPERLINK("https://www.ncbi.nlm.nih.gov/nuccore/MN956514","NCBI Nucleotide")</f>
        <v>NCBI Nucleotide</v>
      </c>
    </row>
    <row r="1092" spans="1:27" x14ac:dyDescent="0.35">
      <c r="A1092">
        <v>1024907</v>
      </c>
      <c r="B1092">
        <v>1091</v>
      </c>
      <c r="C1092">
        <v>1</v>
      </c>
      <c r="D1092" s="17" t="s">
        <v>155</v>
      </c>
      <c r="E1092" s="17"/>
      <c r="F1092" s="17" t="s">
        <v>156</v>
      </c>
      <c r="G1092" s="17"/>
      <c r="H1092" s="17" t="s">
        <v>692</v>
      </c>
      <c r="I1092" s="17"/>
      <c r="J1092" s="17" t="s">
        <v>693</v>
      </c>
      <c r="K1092" s="17"/>
      <c r="L1092" s="17"/>
      <c r="M1092" s="17"/>
      <c r="N1092" s="17" t="s">
        <v>7526</v>
      </c>
      <c r="O1092" s="17" t="s">
        <v>7591</v>
      </c>
      <c r="P1092" s="17" t="s">
        <v>7667</v>
      </c>
      <c r="Q1092" s="17"/>
      <c r="R1092" s="25" t="str">
        <f>HYPERLINK("https://ictv.global/taxonomy/taxondetails?taxnode_id=202319366","Tequintavirus lindwurm")</f>
        <v>Tequintavirus lindwurm</v>
      </c>
      <c r="S1092" s="18" t="s">
        <v>30</v>
      </c>
      <c r="T1092" s="18" t="s">
        <v>39108</v>
      </c>
      <c r="U1092" s="18"/>
      <c r="V1092" s="18"/>
      <c r="W1092" s="18" t="s">
        <v>47958</v>
      </c>
      <c r="X1092" s="18" t="s">
        <v>42</v>
      </c>
      <c r="Y1092" s="18" t="s">
        <v>36</v>
      </c>
      <c r="Z1092" s="18" t="s">
        <v>697</v>
      </c>
      <c r="AA1092" s="21" t="str">
        <f>HYPERLINK("https://www.ncbi.nlm.nih.gov/nuccore/OK143207","NCBI Nucleotide")</f>
        <v>NCBI Nucleotide</v>
      </c>
    </row>
    <row r="1093" spans="1:27" x14ac:dyDescent="0.35">
      <c r="A1093">
        <v>1001587</v>
      </c>
      <c r="B1093">
        <v>1092</v>
      </c>
      <c r="C1093">
        <v>1</v>
      </c>
      <c r="D1093" s="17" t="s">
        <v>155</v>
      </c>
      <c r="E1093" s="17"/>
      <c r="F1093" s="17" t="s">
        <v>156</v>
      </c>
      <c r="G1093" s="17"/>
      <c r="H1093" s="17" t="s">
        <v>692</v>
      </c>
      <c r="I1093" s="17"/>
      <c r="J1093" s="17" t="s">
        <v>693</v>
      </c>
      <c r="K1093" s="17"/>
      <c r="L1093" s="17"/>
      <c r="M1093" s="17"/>
      <c r="N1093" s="17" t="s">
        <v>7526</v>
      </c>
      <c r="O1093" s="17" t="s">
        <v>7591</v>
      </c>
      <c r="P1093" s="17" t="s">
        <v>7667</v>
      </c>
      <c r="Q1093" s="17"/>
      <c r="R1093" s="25" t="str">
        <f>HYPERLINK("https://ictv.global/taxonomy/taxondetails?taxnode_id=202308089","Tequintavirus LLS")</f>
        <v>Tequintavirus LLS</v>
      </c>
      <c r="S1093" s="18" t="s">
        <v>30</v>
      </c>
      <c r="T1093" s="18" t="s">
        <v>7692</v>
      </c>
      <c r="U1093" s="18"/>
      <c r="V1093" s="18"/>
      <c r="W1093" s="18" t="s">
        <v>7693</v>
      </c>
      <c r="X1093" s="18" t="s">
        <v>42</v>
      </c>
      <c r="Y1093" s="18" t="s">
        <v>36</v>
      </c>
      <c r="Z1093" s="18" t="s">
        <v>697</v>
      </c>
      <c r="AA1093" s="21" t="str">
        <f>HYPERLINK("https://www.ncbi.nlm.nih.gov/nuccore/KY677846","NCBI Nucleotide")</f>
        <v>NCBI Nucleotide</v>
      </c>
    </row>
    <row r="1094" spans="1:27" x14ac:dyDescent="0.35">
      <c r="A1094">
        <v>1024908</v>
      </c>
      <c r="B1094">
        <v>1093</v>
      </c>
      <c r="C1094">
        <v>1</v>
      </c>
      <c r="D1094" s="17" t="s">
        <v>155</v>
      </c>
      <c r="E1094" s="17"/>
      <c r="F1094" s="17" t="s">
        <v>156</v>
      </c>
      <c r="G1094" s="17"/>
      <c r="H1094" s="17" t="s">
        <v>692</v>
      </c>
      <c r="I1094" s="17"/>
      <c r="J1094" s="17" t="s">
        <v>693</v>
      </c>
      <c r="K1094" s="17"/>
      <c r="L1094" s="17"/>
      <c r="M1094" s="17"/>
      <c r="N1094" s="17" t="s">
        <v>7526</v>
      </c>
      <c r="O1094" s="17" t="s">
        <v>7591</v>
      </c>
      <c r="P1094" s="17" t="s">
        <v>7667</v>
      </c>
      <c r="Q1094" s="17"/>
      <c r="R1094" s="25" t="str">
        <f>HYPERLINK("https://ictv.global/taxonomy/taxondetails?taxnode_id=202319377","Tequintavirus LmqsSP1")</f>
        <v>Tequintavirus LmqsSP1</v>
      </c>
      <c r="S1094" s="18" t="s">
        <v>30</v>
      </c>
      <c r="T1094" s="18" t="s">
        <v>39109</v>
      </c>
      <c r="U1094" s="18"/>
      <c r="V1094" s="18"/>
      <c r="W1094" s="18" t="s">
        <v>47959</v>
      </c>
      <c r="X1094" s="18" t="s">
        <v>42</v>
      </c>
      <c r="Y1094" s="18" t="s">
        <v>36</v>
      </c>
      <c r="Z1094" s="18" t="s">
        <v>697</v>
      </c>
      <c r="AA1094" s="21" t="str">
        <f>HYPERLINK("https://www.ncbi.nlm.nih.gov/nuccore/MT577844","NCBI Nucleotide")</f>
        <v>NCBI Nucleotide</v>
      </c>
    </row>
    <row r="1095" spans="1:27" x14ac:dyDescent="0.35">
      <c r="A1095">
        <v>1001588</v>
      </c>
      <c r="B1095">
        <v>1094</v>
      </c>
      <c r="C1095">
        <v>1</v>
      </c>
      <c r="D1095" s="17" t="s">
        <v>155</v>
      </c>
      <c r="E1095" s="17"/>
      <c r="F1095" s="17" t="s">
        <v>156</v>
      </c>
      <c r="G1095" s="17"/>
      <c r="H1095" s="17" t="s">
        <v>692</v>
      </c>
      <c r="I1095" s="17"/>
      <c r="J1095" s="17" t="s">
        <v>693</v>
      </c>
      <c r="K1095" s="17"/>
      <c r="L1095" s="17"/>
      <c r="M1095" s="17"/>
      <c r="N1095" s="17" t="s">
        <v>7526</v>
      </c>
      <c r="O1095" s="17" t="s">
        <v>7591</v>
      </c>
      <c r="P1095" s="17" t="s">
        <v>7667</v>
      </c>
      <c r="Q1095" s="17"/>
      <c r="R1095" s="25" t="str">
        <f>HYPERLINK("https://ictv.global/taxonomy/taxondetails?taxnode_id=202308088","Tequintavirus mar004NP2")</f>
        <v>Tequintavirus mar004NP2</v>
      </c>
      <c r="S1095" s="18" t="s">
        <v>30</v>
      </c>
      <c r="T1095" s="18" t="s">
        <v>7694</v>
      </c>
      <c r="U1095" s="18"/>
      <c r="V1095" s="18"/>
      <c r="W1095" s="18" t="s">
        <v>7695</v>
      </c>
      <c r="X1095" s="18" t="s">
        <v>42</v>
      </c>
      <c r="Y1095" s="18" t="s">
        <v>36</v>
      </c>
      <c r="Z1095" s="18" t="s">
        <v>697</v>
      </c>
      <c r="AA1095" s="21" t="str">
        <f>HYPERLINK("https://www.ncbi.nlm.nih.gov/nuccore/LR027384","NCBI Nucleotide")</f>
        <v>NCBI Nucleotide</v>
      </c>
    </row>
    <row r="1096" spans="1:27" x14ac:dyDescent="0.35">
      <c r="A1096">
        <v>1024909</v>
      </c>
      <c r="B1096">
        <v>1095</v>
      </c>
      <c r="C1096">
        <v>1</v>
      </c>
      <c r="D1096" s="17" t="s">
        <v>155</v>
      </c>
      <c r="E1096" s="17"/>
      <c r="F1096" s="17" t="s">
        <v>156</v>
      </c>
      <c r="G1096" s="17"/>
      <c r="H1096" s="17" t="s">
        <v>692</v>
      </c>
      <c r="I1096" s="17"/>
      <c r="J1096" s="17" t="s">
        <v>693</v>
      </c>
      <c r="K1096" s="17"/>
      <c r="L1096" s="17"/>
      <c r="M1096" s="17"/>
      <c r="N1096" s="17" t="s">
        <v>7526</v>
      </c>
      <c r="O1096" s="17" t="s">
        <v>7591</v>
      </c>
      <c r="P1096" s="17" t="s">
        <v>7667</v>
      </c>
      <c r="Q1096" s="17"/>
      <c r="R1096" s="25" t="str">
        <f>HYPERLINK("https://ictv.global/taxonomy/taxondetails?taxnode_id=202319374","Tequintavirus N5")</f>
        <v>Tequintavirus N5</v>
      </c>
      <c r="S1096" s="18" t="s">
        <v>30</v>
      </c>
      <c r="T1096" s="18" t="s">
        <v>39110</v>
      </c>
      <c r="U1096" s="18"/>
      <c r="V1096" s="18"/>
      <c r="W1096" s="18" t="s">
        <v>47960</v>
      </c>
      <c r="X1096" s="18" t="s">
        <v>42</v>
      </c>
      <c r="Y1096" s="18" t="s">
        <v>36</v>
      </c>
      <c r="Z1096" s="18" t="s">
        <v>697</v>
      </c>
      <c r="AA1096" s="21" t="str">
        <f>HYPERLINK("https://www.ncbi.nlm.nih.gov/nuccore/MW006479","NCBI Nucleotide")</f>
        <v>NCBI Nucleotide</v>
      </c>
    </row>
    <row r="1097" spans="1:27" x14ac:dyDescent="0.35">
      <c r="A1097">
        <v>1001589</v>
      </c>
      <c r="B1097">
        <v>1096</v>
      </c>
      <c r="C1097">
        <v>1</v>
      </c>
      <c r="D1097" s="17" t="s">
        <v>155</v>
      </c>
      <c r="E1097" s="17"/>
      <c r="F1097" s="17" t="s">
        <v>156</v>
      </c>
      <c r="G1097" s="17"/>
      <c r="H1097" s="17" t="s">
        <v>692</v>
      </c>
      <c r="I1097" s="17"/>
      <c r="J1097" s="17" t="s">
        <v>693</v>
      </c>
      <c r="K1097" s="17"/>
      <c r="L1097" s="17"/>
      <c r="M1097" s="17"/>
      <c r="N1097" s="17" t="s">
        <v>7526</v>
      </c>
      <c r="O1097" s="17" t="s">
        <v>7591</v>
      </c>
      <c r="P1097" s="17" t="s">
        <v>7667</v>
      </c>
      <c r="Q1097" s="17"/>
      <c r="R1097" s="25" t="str">
        <f>HYPERLINK("https://ictv.global/taxonomy/taxondetails?taxnode_id=202309955","Tequintavirus NBEco001")</f>
        <v>Tequintavirus NBEco001</v>
      </c>
      <c r="S1097" s="18" t="s">
        <v>30</v>
      </c>
      <c r="T1097" s="18" t="s">
        <v>7696</v>
      </c>
      <c r="U1097" s="18"/>
      <c r="V1097" s="18"/>
      <c r="W1097" s="18" t="s">
        <v>7697</v>
      </c>
      <c r="X1097" s="18" t="s">
        <v>42</v>
      </c>
      <c r="Y1097" s="18" t="s">
        <v>36</v>
      </c>
      <c r="Z1097" s="18" t="s">
        <v>697</v>
      </c>
      <c r="AA1097" s="21" t="str">
        <f>HYPERLINK("https://www.ncbi.nlm.nih.gov/nuccore/MN970211","NCBI Nucleotide")</f>
        <v>NCBI Nucleotide</v>
      </c>
    </row>
    <row r="1098" spans="1:27" x14ac:dyDescent="0.35">
      <c r="A1098">
        <v>1001590</v>
      </c>
      <c r="B1098">
        <v>1097</v>
      </c>
      <c r="C1098">
        <v>1</v>
      </c>
      <c r="D1098" s="17" t="s">
        <v>155</v>
      </c>
      <c r="E1098" s="17"/>
      <c r="F1098" s="17" t="s">
        <v>156</v>
      </c>
      <c r="G1098" s="17"/>
      <c r="H1098" s="17" t="s">
        <v>692</v>
      </c>
      <c r="I1098" s="17"/>
      <c r="J1098" s="17" t="s">
        <v>693</v>
      </c>
      <c r="K1098" s="17"/>
      <c r="L1098" s="17"/>
      <c r="M1098" s="17"/>
      <c r="N1098" s="17" t="s">
        <v>7526</v>
      </c>
      <c r="O1098" s="17" t="s">
        <v>7591</v>
      </c>
      <c r="P1098" s="17" t="s">
        <v>7667</v>
      </c>
      <c r="Q1098" s="17"/>
      <c r="R1098" s="25" t="str">
        <f>HYPERLINK("https://ictv.global/taxonomy/taxondetails?taxnode_id=202309958","Tequintavirus NBEco002")</f>
        <v>Tequintavirus NBEco002</v>
      </c>
      <c r="S1098" s="18" t="s">
        <v>30</v>
      </c>
      <c r="T1098" s="18" t="s">
        <v>7698</v>
      </c>
      <c r="U1098" s="18"/>
      <c r="V1098" s="18"/>
      <c r="W1098" s="18" t="s">
        <v>7699</v>
      </c>
      <c r="X1098" s="18" t="s">
        <v>42</v>
      </c>
      <c r="Y1098" s="18" t="s">
        <v>36</v>
      </c>
      <c r="Z1098" s="18" t="s">
        <v>697</v>
      </c>
      <c r="AA1098" s="21" t="str">
        <f>HYPERLINK("https://www.ncbi.nlm.nih.gov/nuccore/MN994496","NCBI Nucleotide")</f>
        <v>NCBI Nucleotide</v>
      </c>
    </row>
    <row r="1099" spans="1:27" x14ac:dyDescent="0.35">
      <c r="A1099">
        <v>1001591</v>
      </c>
      <c r="B1099">
        <v>1098</v>
      </c>
      <c r="C1099">
        <v>1</v>
      </c>
      <c r="D1099" s="17" t="s">
        <v>155</v>
      </c>
      <c r="E1099" s="17"/>
      <c r="F1099" s="17" t="s">
        <v>156</v>
      </c>
      <c r="G1099" s="17"/>
      <c r="H1099" s="17" t="s">
        <v>692</v>
      </c>
      <c r="I1099" s="17"/>
      <c r="J1099" s="17" t="s">
        <v>693</v>
      </c>
      <c r="K1099" s="17"/>
      <c r="L1099" s="17"/>
      <c r="M1099" s="17"/>
      <c r="N1099" s="17" t="s">
        <v>7526</v>
      </c>
      <c r="O1099" s="17" t="s">
        <v>7591</v>
      </c>
      <c r="P1099" s="17" t="s">
        <v>7667</v>
      </c>
      <c r="Q1099" s="17"/>
      <c r="R1099" s="25" t="str">
        <f>HYPERLINK("https://ictv.global/taxonomy/taxondetails?taxnode_id=202309951","Tequintavirus NBSal003")</f>
        <v>Tequintavirus NBSal003</v>
      </c>
      <c r="S1099" s="18" t="s">
        <v>30</v>
      </c>
      <c r="T1099" s="18" t="s">
        <v>7700</v>
      </c>
      <c r="U1099" s="18"/>
      <c r="V1099" s="18"/>
      <c r="W1099" s="18" t="s">
        <v>7701</v>
      </c>
      <c r="X1099" s="18" t="s">
        <v>42</v>
      </c>
      <c r="Y1099" s="18" t="s">
        <v>36</v>
      </c>
      <c r="Z1099" s="18" t="s">
        <v>697</v>
      </c>
      <c r="AA1099" s="21" t="str">
        <f>HYPERLINK("https://www.ncbi.nlm.nih.gov/nuccore/MN994502","NCBI Nucleotide")</f>
        <v>NCBI Nucleotide</v>
      </c>
    </row>
    <row r="1100" spans="1:27" x14ac:dyDescent="0.35">
      <c r="A1100">
        <v>1001592</v>
      </c>
      <c r="B1100">
        <v>1099</v>
      </c>
      <c r="C1100">
        <v>1</v>
      </c>
      <c r="D1100" s="17" t="s">
        <v>155</v>
      </c>
      <c r="E1100" s="17"/>
      <c r="F1100" s="17" t="s">
        <v>156</v>
      </c>
      <c r="G1100" s="17"/>
      <c r="H1100" s="17" t="s">
        <v>692</v>
      </c>
      <c r="I1100" s="17"/>
      <c r="J1100" s="17" t="s">
        <v>693</v>
      </c>
      <c r="K1100" s="17"/>
      <c r="L1100" s="17"/>
      <c r="M1100" s="17"/>
      <c r="N1100" s="17" t="s">
        <v>7526</v>
      </c>
      <c r="O1100" s="17" t="s">
        <v>7591</v>
      </c>
      <c r="P1100" s="17" t="s">
        <v>7667</v>
      </c>
      <c r="Q1100" s="17"/>
      <c r="R1100" s="25" t="str">
        <f>HYPERLINK("https://ictv.global/taxonomy/taxondetails?taxnode_id=202309962","Tequintavirus NBSal005")</f>
        <v>Tequintavirus NBSal005</v>
      </c>
      <c r="S1100" s="18" t="s">
        <v>30</v>
      </c>
      <c r="T1100" s="18" t="s">
        <v>7702</v>
      </c>
      <c r="U1100" s="18"/>
      <c r="V1100" s="18"/>
      <c r="W1100" s="18" t="s">
        <v>7703</v>
      </c>
      <c r="X1100" s="18" t="s">
        <v>42</v>
      </c>
      <c r="Y1100" s="18" t="s">
        <v>36</v>
      </c>
      <c r="Z1100" s="18" t="s">
        <v>697</v>
      </c>
      <c r="AA1100" s="21" t="str">
        <f>HYPERLINK("https://www.ncbi.nlm.nih.gov/nuccore/MN994504","NCBI Nucleotide")</f>
        <v>NCBI Nucleotide</v>
      </c>
    </row>
    <row r="1101" spans="1:27" x14ac:dyDescent="0.35">
      <c r="A1101">
        <v>1001593</v>
      </c>
      <c r="B1101">
        <v>1100</v>
      </c>
      <c r="C1101">
        <v>1</v>
      </c>
      <c r="D1101" s="17" t="s">
        <v>155</v>
      </c>
      <c r="E1101" s="17"/>
      <c r="F1101" s="17" t="s">
        <v>156</v>
      </c>
      <c r="G1101" s="17"/>
      <c r="H1101" s="17" t="s">
        <v>692</v>
      </c>
      <c r="I1101" s="17"/>
      <c r="J1101" s="17" t="s">
        <v>693</v>
      </c>
      <c r="K1101" s="17"/>
      <c r="L1101" s="17"/>
      <c r="M1101" s="17"/>
      <c r="N1101" s="17" t="s">
        <v>7526</v>
      </c>
      <c r="O1101" s="17" t="s">
        <v>7591</v>
      </c>
      <c r="P1101" s="17" t="s">
        <v>7667</v>
      </c>
      <c r="Q1101" s="17"/>
      <c r="R1101" s="25" t="str">
        <f>HYPERLINK("https://ictv.global/taxonomy/taxondetails?taxnode_id=202308084","Tequintavirus NR01")</f>
        <v>Tequintavirus NR01</v>
      </c>
      <c r="S1101" s="18" t="s">
        <v>30</v>
      </c>
      <c r="T1101" s="18" t="s">
        <v>7704</v>
      </c>
      <c r="U1101" s="18"/>
      <c r="V1101" s="18"/>
      <c r="W1101" s="18" t="s">
        <v>7705</v>
      </c>
      <c r="X1101" s="18" t="s">
        <v>42</v>
      </c>
      <c r="Y1101" s="18" t="s">
        <v>36</v>
      </c>
      <c r="Z1101" s="18" t="s">
        <v>697</v>
      </c>
      <c r="AA1101" s="21" t="str">
        <f>HYPERLINK("https://www.ncbi.nlm.nih.gov/nuccore/KR233164","NCBI Nucleotide")</f>
        <v>NCBI Nucleotide</v>
      </c>
    </row>
    <row r="1102" spans="1:27" x14ac:dyDescent="0.35">
      <c r="A1102">
        <v>1001594</v>
      </c>
      <c r="B1102">
        <v>1101</v>
      </c>
      <c r="C1102">
        <v>1</v>
      </c>
      <c r="D1102" s="17" t="s">
        <v>155</v>
      </c>
      <c r="E1102" s="17"/>
      <c r="F1102" s="17" t="s">
        <v>156</v>
      </c>
      <c r="G1102" s="17"/>
      <c r="H1102" s="17" t="s">
        <v>692</v>
      </c>
      <c r="I1102" s="17"/>
      <c r="J1102" s="17" t="s">
        <v>693</v>
      </c>
      <c r="K1102" s="17"/>
      <c r="L1102" s="17"/>
      <c r="M1102" s="17"/>
      <c r="N1102" s="17" t="s">
        <v>7526</v>
      </c>
      <c r="O1102" s="17" t="s">
        <v>7591</v>
      </c>
      <c r="P1102" s="17" t="s">
        <v>7667</v>
      </c>
      <c r="Q1102" s="17"/>
      <c r="R1102" s="25" t="str">
        <f>HYPERLINK("https://ictv.global/taxonomy/taxondetails?taxnode_id=202309952","Tequintavirus oldekolle")</f>
        <v>Tequintavirus oldekolle</v>
      </c>
      <c r="S1102" s="18" t="s">
        <v>30</v>
      </c>
      <c r="T1102" s="18" t="s">
        <v>7706</v>
      </c>
      <c r="U1102" s="18"/>
      <c r="V1102" s="18"/>
      <c r="W1102" s="18" t="s">
        <v>7707</v>
      </c>
      <c r="X1102" s="18" t="s">
        <v>42</v>
      </c>
      <c r="Y1102" s="18" t="s">
        <v>36</v>
      </c>
      <c r="Z1102" s="18" t="s">
        <v>697</v>
      </c>
      <c r="AA1102" s="21" t="str">
        <f>HYPERLINK("https://www.ncbi.nlm.nih.gov/nuccore/MT074448","NCBI Nucleotide")</f>
        <v>NCBI Nucleotide</v>
      </c>
    </row>
    <row r="1103" spans="1:27" x14ac:dyDescent="0.35">
      <c r="A1103">
        <v>1001595</v>
      </c>
      <c r="B1103">
        <v>1102</v>
      </c>
      <c r="C1103">
        <v>1</v>
      </c>
      <c r="D1103" s="17" t="s">
        <v>155</v>
      </c>
      <c r="E1103" s="17"/>
      <c r="F1103" s="17" t="s">
        <v>156</v>
      </c>
      <c r="G1103" s="17"/>
      <c r="H1103" s="17" t="s">
        <v>692</v>
      </c>
      <c r="I1103" s="17"/>
      <c r="J1103" s="17" t="s">
        <v>693</v>
      </c>
      <c r="K1103" s="17"/>
      <c r="L1103" s="17"/>
      <c r="M1103" s="17"/>
      <c r="N1103" s="17" t="s">
        <v>7526</v>
      </c>
      <c r="O1103" s="17" t="s">
        <v>7591</v>
      </c>
      <c r="P1103" s="17" t="s">
        <v>7667</v>
      </c>
      <c r="Q1103" s="17"/>
      <c r="R1103" s="25" t="str">
        <f>HYPERLINK("https://ictv.global/taxonomy/taxondetails?taxnode_id=202308091","Tequintavirus OSYSP")</f>
        <v>Tequintavirus OSYSP</v>
      </c>
      <c r="S1103" s="18" t="s">
        <v>30</v>
      </c>
      <c r="T1103" s="18" t="s">
        <v>7708</v>
      </c>
      <c r="U1103" s="18"/>
      <c r="V1103" s="18"/>
      <c r="W1103" s="18" t="s">
        <v>7709</v>
      </c>
      <c r="X1103" s="18" t="s">
        <v>42</v>
      </c>
      <c r="Y1103" s="18" t="s">
        <v>36</v>
      </c>
      <c r="Z1103" s="18" t="s">
        <v>697</v>
      </c>
      <c r="AA1103" s="21" t="str">
        <f>HYPERLINK("https://www.ncbi.nlm.nih.gov/nuccore/MF402939","NCBI Nucleotide")</f>
        <v>NCBI Nucleotide</v>
      </c>
    </row>
    <row r="1104" spans="1:27" x14ac:dyDescent="0.35">
      <c r="A1104">
        <v>1024910</v>
      </c>
      <c r="B1104">
        <v>1103</v>
      </c>
      <c r="C1104">
        <v>1</v>
      </c>
      <c r="D1104" s="17" t="s">
        <v>155</v>
      </c>
      <c r="E1104" s="17"/>
      <c r="F1104" s="17" t="s">
        <v>156</v>
      </c>
      <c r="G1104" s="17"/>
      <c r="H1104" s="17" t="s">
        <v>692</v>
      </c>
      <c r="I1104" s="17"/>
      <c r="J1104" s="17" t="s">
        <v>693</v>
      </c>
      <c r="K1104" s="17"/>
      <c r="L1104" s="17"/>
      <c r="M1104" s="17"/>
      <c r="N1104" s="17" t="s">
        <v>7526</v>
      </c>
      <c r="O1104" s="17" t="s">
        <v>7591</v>
      </c>
      <c r="P1104" s="17" t="s">
        <v>7667</v>
      </c>
      <c r="Q1104" s="17"/>
      <c r="R1104" s="25" t="str">
        <f>HYPERLINK("https://ictv.global/taxonomy/taxondetails?taxnode_id=202319378","Tequintavirus P1100107")</f>
        <v>Tequintavirus P1100107</v>
      </c>
      <c r="S1104" s="18" t="s">
        <v>30</v>
      </c>
      <c r="T1104" s="18" t="s">
        <v>39111</v>
      </c>
      <c r="U1104" s="18"/>
      <c r="V1104" s="18"/>
      <c r="W1104" s="18" t="s">
        <v>47961</v>
      </c>
      <c r="X1104" s="18" t="s">
        <v>42</v>
      </c>
      <c r="Y1104" s="18" t="s">
        <v>36</v>
      </c>
      <c r="Z1104" s="18" t="s">
        <v>697</v>
      </c>
      <c r="AA1104" s="21" t="str">
        <f>HYPERLINK("https://www.ncbi.nlm.nih.gov/nuccore/OQ383620","NCBI Nucleotide")</f>
        <v>NCBI Nucleotide</v>
      </c>
    </row>
    <row r="1105" spans="1:27" x14ac:dyDescent="0.35">
      <c r="A1105">
        <v>1024911</v>
      </c>
      <c r="B1105">
        <v>1104</v>
      </c>
      <c r="C1105">
        <v>1</v>
      </c>
      <c r="D1105" s="17" t="s">
        <v>155</v>
      </c>
      <c r="E1105" s="17"/>
      <c r="F1105" s="17" t="s">
        <v>156</v>
      </c>
      <c r="G1105" s="17"/>
      <c r="H1105" s="17" t="s">
        <v>692</v>
      </c>
      <c r="I1105" s="17"/>
      <c r="J1105" s="17" t="s">
        <v>693</v>
      </c>
      <c r="K1105" s="17"/>
      <c r="L1105" s="17"/>
      <c r="M1105" s="17"/>
      <c r="N1105" s="17" t="s">
        <v>7526</v>
      </c>
      <c r="O1105" s="17" t="s">
        <v>7591</v>
      </c>
      <c r="P1105" s="17" t="s">
        <v>7667</v>
      </c>
      <c r="Q1105" s="17"/>
      <c r="R1105" s="25" t="str">
        <f>HYPERLINK("https://ictv.global/taxonomy/taxondetails?taxnode_id=202319347","Tequintavirus phA11")</f>
        <v>Tequintavirus phA11</v>
      </c>
      <c r="S1105" s="18" t="s">
        <v>30</v>
      </c>
      <c r="T1105" s="18" t="s">
        <v>39112</v>
      </c>
      <c r="U1105" s="18"/>
      <c r="V1105" s="18"/>
      <c r="W1105" s="18" t="s">
        <v>47962</v>
      </c>
      <c r="X1105" s="18" t="s">
        <v>42</v>
      </c>
      <c r="Y1105" s="18" t="s">
        <v>36</v>
      </c>
      <c r="Z1105" s="18" t="s">
        <v>697</v>
      </c>
      <c r="AA1105" s="21" t="str">
        <f>HYPERLINK("https://www.ncbi.nlm.nih.gov/nuccore/OQ680478","NCBI Nucleotide")</f>
        <v>NCBI Nucleotide</v>
      </c>
    </row>
    <row r="1106" spans="1:27" x14ac:dyDescent="0.35">
      <c r="A1106">
        <v>1024912</v>
      </c>
      <c r="B1106">
        <v>1105</v>
      </c>
      <c r="C1106">
        <v>1</v>
      </c>
      <c r="D1106" s="17" t="s">
        <v>155</v>
      </c>
      <c r="E1106" s="17"/>
      <c r="F1106" s="17" t="s">
        <v>156</v>
      </c>
      <c r="G1106" s="17"/>
      <c r="H1106" s="17" t="s">
        <v>692</v>
      </c>
      <c r="I1106" s="17"/>
      <c r="J1106" s="17" t="s">
        <v>693</v>
      </c>
      <c r="K1106" s="17"/>
      <c r="L1106" s="17"/>
      <c r="M1106" s="17"/>
      <c r="N1106" s="17" t="s">
        <v>7526</v>
      </c>
      <c r="O1106" s="17" t="s">
        <v>7591</v>
      </c>
      <c r="P1106" s="17" t="s">
        <v>7667</v>
      </c>
      <c r="Q1106" s="17"/>
      <c r="R1106" s="25" t="str">
        <f>HYPERLINK("https://ictv.global/taxonomy/taxondetails?taxnode_id=202319367","Tequintavirus phB7")</f>
        <v>Tequintavirus phB7</v>
      </c>
      <c r="S1106" s="18" t="s">
        <v>30</v>
      </c>
      <c r="T1106" s="18" t="s">
        <v>39113</v>
      </c>
      <c r="U1106" s="18"/>
      <c r="V1106" s="18"/>
      <c r="W1106" s="18" t="s">
        <v>47963</v>
      </c>
      <c r="X1106" s="18" t="s">
        <v>42</v>
      </c>
      <c r="Y1106" s="18" t="s">
        <v>36</v>
      </c>
      <c r="Z1106" s="18" t="s">
        <v>697</v>
      </c>
      <c r="AA1106" s="21" t="str">
        <f>HYPERLINK("https://www.ncbi.nlm.nih.gov/nuccore/OQ680479","NCBI Nucleotide")</f>
        <v>NCBI Nucleotide</v>
      </c>
    </row>
    <row r="1107" spans="1:27" x14ac:dyDescent="0.35">
      <c r="A1107">
        <v>1024913</v>
      </c>
      <c r="B1107">
        <v>1106</v>
      </c>
      <c r="C1107">
        <v>1</v>
      </c>
      <c r="D1107" s="17" t="s">
        <v>155</v>
      </c>
      <c r="E1107" s="17"/>
      <c r="F1107" s="17" t="s">
        <v>156</v>
      </c>
      <c r="G1107" s="17"/>
      <c r="H1107" s="17" t="s">
        <v>692</v>
      </c>
      <c r="I1107" s="17"/>
      <c r="J1107" s="17" t="s">
        <v>693</v>
      </c>
      <c r="K1107" s="17"/>
      <c r="L1107" s="17"/>
      <c r="M1107" s="17"/>
      <c r="N1107" s="17" t="s">
        <v>7526</v>
      </c>
      <c r="O1107" s="17" t="s">
        <v>7591</v>
      </c>
      <c r="P1107" s="17" t="s">
        <v>7667</v>
      </c>
      <c r="Q1107" s="17"/>
      <c r="R1107" s="25" t="str">
        <f>HYPERLINK("https://ictv.global/taxonomy/taxondetails?taxnode_id=202319368","Tequintavirus phC17")</f>
        <v>Tequintavirus phC17</v>
      </c>
      <c r="S1107" s="18" t="s">
        <v>30</v>
      </c>
      <c r="T1107" s="18" t="s">
        <v>39114</v>
      </c>
      <c r="U1107" s="18"/>
      <c r="V1107" s="18"/>
      <c r="W1107" s="18" t="s">
        <v>47964</v>
      </c>
      <c r="X1107" s="18" t="s">
        <v>42</v>
      </c>
      <c r="Y1107" s="18" t="s">
        <v>36</v>
      </c>
      <c r="Z1107" s="18" t="s">
        <v>697</v>
      </c>
      <c r="AA1107" s="21" t="str">
        <f>HYPERLINK("https://www.ncbi.nlm.nih.gov/nuccore/OQ680481","NCBI Nucleotide")</f>
        <v>NCBI Nucleotide</v>
      </c>
    </row>
    <row r="1108" spans="1:27" x14ac:dyDescent="0.35">
      <c r="A1108">
        <v>1024914</v>
      </c>
      <c r="B1108">
        <v>1107</v>
      </c>
      <c r="C1108">
        <v>1</v>
      </c>
      <c r="D1108" s="17" t="s">
        <v>155</v>
      </c>
      <c r="E1108" s="17"/>
      <c r="F1108" s="17" t="s">
        <v>156</v>
      </c>
      <c r="G1108" s="17"/>
      <c r="H1108" s="17" t="s">
        <v>692</v>
      </c>
      <c r="I1108" s="17"/>
      <c r="J1108" s="17" t="s">
        <v>693</v>
      </c>
      <c r="K1108" s="17"/>
      <c r="L1108" s="17"/>
      <c r="M1108" s="17"/>
      <c r="N1108" s="17" t="s">
        <v>7526</v>
      </c>
      <c r="O1108" s="17" t="s">
        <v>7591</v>
      </c>
      <c r="P1108" s="17" t="s">
        <v>7667</v>
      </c>
      <c r="Q1108" s="17"/>
      <c r="R1108" s="25" t="str">
        <f>HYPERLINK("https://ictv.global/taxonomy/taxondetails?taxnode_id=202319361","Tequintavirus PNJ1902")</f>
        <v>Tequintavirus PNJ1902</v>
      </c>
      <c r="S1108" s="18" t="s">
        <v>30</v>
      </c>
      <c r="T1108" s="18" t="s">
        <v>39115</v>
      </c>
      <c r="U1108" s="18"/>
      <c r="V1108" s="18"/>
      <c r="W1108" s="18" t="s">
        <v>47965</v>
      </c>
      <c r="X1108" s="18" t="s">
        <v>42</v>
      </c>
      <c r="Y1108" s="18" t="s">
        <v>36</v>
      </c>
      <c r="Z1108" s="18" t="s">
        <v>697</v>
      </c>
      <c r="AA1108" s="21" t="str">
        <f>HYPERLINK("https://www.ncbi.nlm.nih.gov/nuccore/OK254197","NCBI Nucleotide")</f>
        <v>NCBI Nucleotide</v>
      </c>
    </row>
    <row r="1109" spans="1:27" x14ac:dyDescent="0.35">
      <c r="A1109">
        <v>1024915</v>
      </c>
      <c r="B1109">
        <v>1108</v>
      </c>
      <c r="C1109">
        <v>1</v>
      </c>
      <c r="D1109" s="17" t="s">
        <v>155</v>
      </c>
      <c r="E1109" s="17"/>
      <c r="F1109" s="17" t="s">
        <v>156</v>
      </c>
      <c r="G1109" s="17"/>
      <c r="H1109" s="17" t="s">
        <v>692</v>
      </c>
      <c r="I1109" s="17"/>
      <c r="J1109" s="17" t="s">
        <v>693</v>
      </c>
      <c r="K1109" s="17"/>
      <c r="L1109" s="17"/>
      <c r="M1109" s="17"/>
      <c r="N1109" s="17" t="s">
        <v>7526</v>
      </c>
      <c r="O1109" s="17" t="s">
        <v>7591</v>
      </c>
      <c r="P1109" s="17" t="s">
        <v>7667</v>
      </c>
      <c r="Q1109" s="17"/>
      <c r="R1109" s="25" t="str">
        <f>HYPERLINK("https://ictv.global/taxonomy/taxondetails?taxnode_id=202319359","Tequintavirus S124")</f>
        <v>Tequintavirus S124</v>
      </c>
      <c r="S1109" s="18" t="s">
        <v>30</v>
      </c>
      <c r="T1109" s="18" t="s">
        <v>39116</v>
      </c>
      <c r="U1109" s="18"/>
      <c r="V1109" s="18"/>
      <c r="W1109" s="18" t="s">
        <v>47966</v>
      </c>
      <c r="X1109" s="18" t="s">
        <v>42</v>
      </c>
      <c r="Y1109" s="18" t="s">
        <v>36</v>
      </c>
      <c r="Z1109" s="18" t="s">
        <v>697</v>
      </c>
      <c r="AA1109" s="21" t="str">
        <f>HYPERLINK("https://www.ncbi.nlm.nih.gov/nuccore/OK108607","NCBI Nucleotide")</f>
        <v>NCBI Nucleotide</v>
      </c>
    </row>
    <row r="1110" spans="1:27" x14ac:dyDescent="0.35">
      <c r="A1110">
        <v>1001596</v>
      </c>
      <c r="B1110">
        <v>1109</v>
      </c>
      <c r="C1110">
        <v>1</v>
      </c>
      <c r="D1110" s="17" t="s">
        <v>155</v>
      </c>
      <c r="E1110" s="17"/>
      <c r="F1110" s="17" t="s">
        <v>156</v>
      </c>
      <c r="G1110" s="17"/>
      <c r="H1110" s="17" t="s">
        <v>692</v>
      </c>
      <c r="I1110" s="17"/>
      <c r="J1110" s="17" t="s">
        <v>693</v>
      </c>
      <c r="K1110" s="17"/>
      <c r="L1110" s="17"/>
      <c r="M1110" s="17"/>
      <c r="N1110" s="17" t="s">
        <v>7526</v>
      </c>
      <c r="O1110" s="17" t="s">
        <v>7591</v>
      </c>
      <c r="P1110" s="17" t="s">
        <v>7667</v>
      </c>
      <c r="Q1110" s="17"/>
      <c r="R1110" s="25" t="str">
        <f>HYPERLINK("https://ictv.global/taxonomy/taxondetails?taxnode_id=202308090","Tequintavirus S131")</f>
        <v>Tequintavirus S131</v>
      </c>
      <c r="S1110" s="18" t="s">
        <v>30</v>
      </c>
      <c r="T1110" s="18" t="s">
        <v>7710</v>
      </c>
      <c r="U1110" s="18"/>
      <c r="V1110" s="18"/>
      <c r="W1110" s="18" t="s">
        <v>7711</v>
      </c>
      <c r="X1110" s="18" t="s">
        <v>42</v>
      </c>
      <c r="Y1110" s="18" t="s">
        <v>36</v>
      </c>
      <c r="Z1110" s="18" t="s">
        <v>697</v>
      </c>
      <c r="AA1110" s="21" t="str">
        <f>HYPERLINK("https://www.ncbi.nlm.nih.gov/nuccore/MH370378","NCBI Nucleotide")</f>
        <v>NCBI Nucleotide</v>
      </c>
    </row>
    <row r="1111" spans="1:27" x14ac:dyDescent="0.35">
      <c r="A1111">
        <v>1024916</v>
      </c>
      <c r="B1111">
        <v>1110</v>
      </c>
      <c r="C1111">
        <v>1</v>
      </c>
      <c r="D1111" s="17" t="s">
        <v>155</v>
      </c>
      <c r="E1111" s="17"/>
      <c r="F1111" s="17" t="s">
        <v>156</v>
      </c>
      <c r="G1111" s="17"/>
      <c r="H1111" s="17" t="s">
        <v>692</v>
      </c>
      <c r="I1111" s="17"/>
      <c r="J1111" s="17" t="s">
        <v>693</v>
      </c>
      <c r="K1111" s="17"/>
      <c r="L1111" s="17"/>
      <c r="M1111" s="17"/>
      <c r="N1111" s="17" t="s">
        <v>7526</v>
      </c>
      <c r="O1111" s="17" t="s">
        <v>7591</v>
      </c>
      <c r="P1111" s="17" t="s">
        <v>7667</v>
      </c>
      <c r="Q1111" s="17"/>
      <c r="R1111" s="25" t="str">
        <f>HYPERLINK("https://ictv.global/taxonomy/taxondetails?taxnode_id=202319348","Tequintavirus SA001")</f>
        <v>Tequintavirus SA001</v>
      </c>
      <c r="S1111" s="18" t="s">
        <v>30</v>
      </c>
      <c r="T1111" s="18" t="s">
        <v>39117</v>
      </c>
      <c r="U1111" s="18"/>
      <c r="V1111" s="18"/>
      <c r="W1111" s="18" t="s">
        <v>47967</v>
      </c>
      <c r="X1111" s="18" t="s">
        <v>42</v>
      </c>
      <c r="Y1111" s="18" t="s">
        <v>36</v>
      </c>
      <c r="Z1111" s="18" t="s">
        <v>697</v>
      </c>
      <c r="AA1111" s="21" t="str">
        <f>HYPERLINK("https://www.ncbi.nlm.nih.gov/nuccore/MN445182","NCBI Nucleotide")</f>
        <v>NCBI Nucleotide</v>
      </c>
    </row>
    <row r="1112" spans="1:27" x14ac:dyDescent="0.35">
      <c r="A1112">
        <v>1001597</v>
      </c>
      <c r="B1112">
        <v>1111</v>
      </c>
      <c r="C1112">
        <v>1</v>
      </c>
      <c r="D1112" s="17" t="s">
        <v>155</v>
      </c>
      <c r="E1112" s="17"/>
      <c r="F1112" s="17" t="s">
        <v>156</v>
      </c>
      <c r="G1112" s="17"/>
      <c r="H1112" s="17" t="s">
        <v>692</v>
      </c>
      <c r="I1112" s="17"/>
      <c r="J1112" s="17" t="s">
        <v>693</v>
      </c>
      <c r="K1112" s="17"/>
      <c r="L1112" s="17"/>
      <c r="M1112" s="17"/>
      <c r="N1112" s="17" t="s">
        <v>7526</v>
      </c>
      <c r="O1112" s="17" t="s">
        <v>7591</v>
      </c>
      <c r="P1112" s="17" t="s">
        <v>7667</v>
      </c>
      <c r="Q1112" s="17"/>
      <c r="R1112" s="25" t="str">
        <f>HYPERLINK("https://ictv.global/taxonomy/taxondetails?taxnode_id=202309963","Tequintavirus SE11")</f>
        <v>Tequintavirus SE11</v>
      </c>
      <c r="S1112" s="18" t="s">
        <v>30</v>
      </c>
      <c r="T1112" s="18" t="s">
        <v>7712</v>
      </c>
      <c r="U1112" s="18"/>
      <c r="V1112" s="18"/>
      <c r="W1112" s="18" t="s">
        <v>7713</v>
      </c>
      <c r="X1112" s="18" t="s">
        <v>42</v>
      </c>
      <c r="Y1112" s="18" t="s">
        <v>36</v>
      </c>
      <c r="Z1112" s="18" t="s">
        <v>697</v>
      </c>
      <c r="AA1112" s="21" t="str">
        <f>HYPERLINK("https://www.ncbi.nlm.nih.gov/nuccore/MK972715","NCBI Nucleotide")</f>
        <v>NCBI Nucleotide</v>
      </c>
    </row>
    <row r="1113" spans="1:27" x14ac:dyDescent="0.35">
      <c r="A1113">
        <v>1024917</v>
      </c>
      <c r="B1113">
        <v>1112</v>
      </c>
      <c r="C1113">
        <v>1</v>
      </c>
      <c r="D1113" s="17" t="s">
        <v>155</v>
      </c>
      <c r="E1113" s="17"/>
      <c r="F1113" s="17" t="s">
        <v>156</v>
      </c>
      <c r="G1113" s="17"/>
      <c r="H1113" s="17" t="s">
        <v>692</v>
      </c>
      <c r="I1113" s="17"/>
      <c r="J1113" s="17" t="s">
        <v>693</v>
      </c>
      <c r="K1113" s="17"/>
      <c r="L1113" s="17"/>
      <c r="M1113" s="17"/>
      <c r="N1113" s="17" t="s">
        <v>7526</v>
      </c>
      <c r="O1113" s="17" t="s">
        <v>7591</v>
      </c>
      <c r="P1113" s="17" t="s">
        <v>7667</v>
      </c>
      <c r="Q1113" s="17"/>
      <c r="R1113" s="25" t="str">
        <f>HYPERLINK("https://ictv.global/taxonomy/taxondetails?taxnode_id=202319346","Tequintavirus selmaratti")</f>
        <v>Tequintavirus selmaratti</v>
      </c>
      <c r="S1113" s="18" t="s">
        <v>30</v>
      </c>
      <c r="T1113" s="18" t="s">
        <v>39118</v>
      </c>
      <c r="U1113" s="18"/>
      <c r="V1113" s="18"/>
      <c r="W1113" s="18" t="s">
        <v>47968</v>
      </c>
      <c r="X1113" s="18" t="s">
        <v>42</v>
      </c>
      <c r="Y1113" s="18" t="s">
        <v>36</v>
      </c>
      <c r="Z1113" s="18" t="s">
        <v>697</v>
      </c>
      <c r="AA1113" s="21" t="str">
        <f>HYPERLINK("https://www.ncbi.nlm.nih.gov/nuccore/MZ501103","NCBI Nucleotide")</f>
        <v>NCBI Nucleotide</v>
      </c>
    </row>
    <row r="1114" spans="1:27" x14ac:dyDescent="0.35">
      <c r="A1114">
        <v>1001598</v>
      </c>
      <c r="B1114">
        <v>1113</v>
      </c>
      <c r="C1114">
        <v>1</v>
      </c>
      <c r="D1114" s="17" t="s">
        <v>155</v>
      </c>
      <c r="E1114" s="17"/>
      <c r="F1114" s="17" t="s">
        <v>156</v>
      </c>
      <c r="G1114" s="17"/>
      <c r="H1114" s="17" t="s">
        <v>692</v>
      </c>
      <c r="I1114" s="17"/>
      <c r="J1114" s="17" t="s">
        <v>693</v>
      </c>
      <c r="K1114" s="17"/>
      <c r="L1114" s="17"/>
      <c r="M1114" s="17"/>
      <c r="N1114" s="17" t="s">
        <v>7526</v>
      </c>
      <c r="O1114" s="17" t="s">
        <v>7591</v>
      </c>
      <c r="P1114" s="17" t="s">
        <v>7667</v>
      </c>
      <c r="Q1114" s="17"/>
      <c r="R1114" s="25" t="str">
        <f>HYPERLINK("https://ictv.global/taxonomy/taxondetails?taxnode_id=202301330","Tequintavirus shivani")</f>
        <v>Tequintavirus shivani</v>
      </c>
      <c r="S1114" s="18" t="s">
        <v>30</v>
      </c>
      <c r="T1114" s="18" t="s">
        <v>7714</v>
      </c>
      <c r="U1114" s="18"/>
      <c r="V1114" s="18"/>
      <c r="W1114" s="18" t="s">
        <v>7715</v>
      </c>
      <c r="X1114" s="18" t="s">
        <v>42</v>
      </c>
      <c r="Y1114" s="18" t="s">
        <v>36</v>
      </c>
      <c r="Z1114" s="18" t="s">
        <v>697</v>
      </c>
      <c r="AA1114" s="21" t="str">
        <f>HYPERLINK("https://www.ncbi.nlm.nih.gov/nuccore/KP143763","NCBI Nucleotide")</f>
        <v>NCBI Nucleotide</v>
      </c>
    </row>
    <row r="1115" spans="1:27" x14ac:dyDescent="0.35">
      <c r="A1115">
        <v>1001599</v>
      </c>
      <c r="B1115">
        <v>1114</v>
      </c>
      <c r="C1115">
        <v>1</v>
      </c>
      <c r="D1115" s="17" t="s">
        <v>155</v>
      </c>
      <c r="E1115" s="17"/>
      <c r="F1115" s="17" t="s">
        <v>156</v>
      </c>
      <c r="G1115" s="17"/>
      <c r="H1115" s="17" t="s">
        <v>692</v>
      </c>
      <c r="I1115" s="17"/>
      <c r="J1115" s="17" t="s">
        <v>693</v>
      </c>
      <c r="K1115" s="17"/>
      <c r="L1115" s="17"/>
      <c r="M1115" s="17"/>
      <c r="N1115" s="17" t="s">
        <v>7526</v>
      </c>
      <c r="O1115" s="17" t="s">
        <v>7591</v>
      </c>
      <c r="P1115" s="17" t="s">
        <v>7667</v>
      </c>
      <c r="Q1115" s="17"/>
      <c r="R1115" s="25" t="str">
        <f>HYPERLINK("https://ictv.global/taxonomy/taxondetails?taxnode_id=202308094","Tequintavirus SHSML45")</f>
        <v>Tequintavirus SHSML45</v>
      </c>
      <c r="S1115" s="18" t="s">
        <v>30</v>
      </c>
      <c r="T1115" s="18" t="s">
        <v>7716</v>
      </c>
      <c r="U1115" s="18"/>
      <c r="V1115" s="18"/>
      <c r="W1115" s="18" t="s">
        <v>7717</v>
      </c>
      <c r="X1115" s="18" t="s">
        <v>42</v>
      </c>
      <c r="Y1115" s="18" t="s">
        <v>36</v>
      </c>
      <c r="Z1115" s="18" t="s">
        <v>697</v>
      </c>
      <c r="AA1115" s="21" t="str">
        <f>HYPERLINK("https://www.ncbi.nlm.nih.gov/nuccore/KX130863","NCBI Nucleotide")</f>
        <v>NCBI Nucleotide</v>
      </c>
    </row>
    <row r="1116" spans="1:27" x14ac:dyDescent="0.35">
      <c r="A1116">
        <v>1001600</v>
      </c>
      <c r="B1116">
        <v>1115</v>
      </c>
      <c r="C1116">
        <v>1</v>
      </c>
      <c r="D1116" s="17" t="s">
        <v>155</v>
      </c>
      <c r="E1116" s="17"/>
      <c r="F1116" s="17" t="s">
        <v>156</v>
      </c>
      <c r="G1116" s="17"/>
      <c r="H1116" s="17" t="s">
        <v>692</v>
      </c>
      <c r="I1116" s="17"/>
      <c r="J1116" s="17" t="s">
        <v>693</v>
      </c>
      <c r="K1116" s="17"/>
      <c r="L1116" s="17"/>
      <c r="M1116" s="17"/>
      <c r="N1116" s="17" t="s">
        <v>7526</v>
      </c>
      <c r="O1116" s="17" t="s">
        <v>7591</v>
      </c>
      <c r="P1116" s="17" t="s">
        <v>7667</v>
      </c>
      <c r="Q1116" s="17"/>
      <c r="R1116" s="25" t="str">
        <f>HYPERLINK("https://ictv.global/taxonomy/taxondetails?taxnode_id=202301327","Tequintavirus slur09")</f>
        <v>Tequintavirus slur09</v>
      </c>
      <c r="S1116" s="18" t="s">
        <v>30</v>
      </c>
      <c r="T1116" s="18" t="s">
        <v>7718</v>
      </c>
      <c r="U1116" s="18"/>
      <c r="V1116" s="18"/>
      <c r="W1116" s="18" t="s">
        <v>7719</v>
      </c>
      <c r="X1116" s="18" t="s">
        <v>42</v>
      </c>
      <c r="Y1116" s="18" t="s">
        <v>36</v>
      </c>
      <c r="Z1116" s="18" t="s">
        <v>697</v>
      </c>
      <c r="AA1116" s="21" t="str">
        <f>HYPERLINK("https://www.ncbi.nlm.nih.gov/nuccore/LN887948","NCBI Nucleotide")</f>
        <v>NCBI Nucleotide</v>
      </c>
    </row>
    <row r="1117" spans="1:27" x14ac:dyDescent="0.35">
      <c r="A1117">
        <v>1001601</v>
      </c>
      <c r="B1117">
        <v>1116</v>
      </c>
      <c r="C1117">
        <v>1</v>
      </c>
      <c r="D1117" s="17" t="s">
        <v>155</v>
      </c>
      <c r="E1117" s="17"/>
      <c r="F1117" s="17" t="s">
        <v>156</v>
      </c>
      <c r="G1117" s="17"/>
      <c r="H1117" s="17" t="s">
        <v>692</v>
      </c>
      <c r="I1117" s="17"/>
      <c r="J1117" s="17" t="s">
        <v>693</v>
      </c>
      <c r="K1117" s="17"/>
      <c r="L1117" s="17"/>
      <c r="M1117" s="17"/>
      <c r="N1117" s="17" t="s">
        <v>7526</v>
      </c>
      <c r="O1117" s="17" t="s">
        <v>7591</v>
      </c>
      <c r="P1117" s="17" t="s">
        <v>7667</v>
      </c>
      <c r="Q1117" s="17"/>
      <c r="R1117" s="25" t="str">
        <f>HYPERLINK("https://ictv.global/taxonomy/taxondetails?taxnode_id=202308086","Tequintavirus SP01")</f>
        <v>Tequintavirus SP01</v>
      </c>
      <c r="S1117" s="18" t="s">
        <v>30</v>
      </c>
      <c r="T1117" s="18" t="s">
        <v>7720</v>
      </c>
      <c r="U1117" s="18"/>
      <c r="V1117" s="18"/>
      <c r="W1117" s="18" t="s">
        <v>7721</v>
      </c>
      <c r="X1117" s="18" t="s">
        <v>42</v>
      </c>
      <c r="Y1117" s="18" t="s">
        <v>36</v>
      </c>
      <c r="Z1117" s="18" t="s">
        <v>697</v>
      </c>
      <c r="AA1117" s="21" t="str">
        <f>HYPERLINK("https://www.ncbi.nlm.nih.gov/nuccore/KY114934","NCBI Nucleotide")</f>
        <v>NCBI Nucleotide</v>
      </c>
    </row>
    <row r="1118" spans="1:27" x14ac:dyDescent="0.35">
      <c r="A1118">
        <v>1001603</v>
      </c>
      <c r="B1118">
        <v>1117</v>
      </c>
      <c r="C1118">
        <v>1</v>
      </c>
      <c r="D1118" s="17" t="s">
        <v>155</v>
      </c>
      <c r="E1118" s="17"/>
      <c r="F1118" s="17" t="s">
        <v>156</v>
      </c>
      <c r="G1118" s="17"/>
      <c r="H1118" s="17" t="s">
        <v>692</v>
      </c>
      <c r="I1118" s="17"/>
      <c r="J1118" s="17" t="s">
        <v>693</v>
      </c>
      <c r="K1118" s="17"/>
      <c r="L1118" s="17"/>
      <c r="M1118" s="17"/>
      <c r="N1118" s="17" t="s">
        <v>7526</v>
      </c>
      <c r="O1118" s="17" t="s">
        <v>7591</v>
      </c>
      <c r="P1118" s="17" t="s">
        <v>7667</v>
      </c>
      <c r="Q1118" s="17"/>
      <c r="R1118" s="25" t="str">
        <f>HYPERLINK("https://ictv.global/taxonomy/taxondetails?taxnode_id=202308085","Tequintavirus SP3")</f>
        <v>Tequintavirus SP3</v>
      </c>
      <c r="S1118" s="18" t="s">
        <v>30</v>
      </c>
      <c r="T1118" s="18" t="s">
        <v>7724</v>
      </c>
      <c r="U1118" s="18"/>
      <c r="V1118" s="18"/>
      <c r="W1118" s="18" t="s">
        <v>7725</v>
      </c>
      <c r="X1118" s="18" t="s">
        <v>154</v>
      </c>
      <c r="Y1118" s="18" t="s">
        <v>36</v>
      </c>
      <c r="Z1118" s="18" t="s">
        <v>697</v>
      </c>
      <c r="AA1118" s="21" t="str">
        <f>HYPERLINK("https://www.ncbi.nlm.nih.gov/nuccore/MG387042","NCBI Nucleotide")</f>
        <v>NCBI Nucleotide</v>
      </c>
    </row>
    <row r="1119" spans="1:27" x14ac:dyDescent="0.35">
      <c r="A1119">
        <v>1001602</v>
      </c>
      <c r="B1119">
        <v>1118</v>
      </c>
      <c r="C1119">
        <v>1</v>
      </c>
      <c r="D1119" s="17" t="s">
        <v>155</v>
      </c>
      <c r="E1119" s="17"/>
      <c r="F1119" s="17" t="s">
        <v>156</v>
      </c>
      <c r="G1119" s="17"/>
      <c r="H1119" s="17" t="s">
        <v>692</v>
      </c>
      <c r="I1119" s="17"/>
      <c r="J1119" s="17" t="s">
        <v>693</v>
      </c>
      <c r="K1119" s="17"/>
      <c r="L1119" s="17"/>
      <c r="M1119" s="17"/>
      <c r="N1119" s="17" t="s">
        <v>7526</v>
      </c>
      <c r="O1119" s="17" t="s">
        <v>7591</v>
      </c>
      <c r="P1119" s="17" t="s">
        <v>7667</v>
      </c>
      <c r="Q1119" s="17"/>
      <c r="R1119" s="25" t="str">
        <f>HYPERLINK("https://ictv.global/taxonomy/taxondetails?taxnode_id=202309960","Tequintavirus SP15")</f>
        <v>Tequintavirus SP15</v>
      </c>
      <c r="S1119" s="18" t="s">
        <v>30</v>
      </c>
      <c r="T1119" s="18" t="s">
        <v>7722</v>
      </c>
      <c r="U1119" s="18"/>
      <c r="V1119" s="18"/>
      <c r="W1119" s="18" t="s">
        <v>7723</v>
      </c>
      <c r="X1119" s="18" t="s">
        <v>42</v>
      </c>
      <c r="Y1119" s="18" t="s">
        <v>36</v>
      </c>
      <c r="Z1119" s="18" t="s">
        <v>697</v>
      </c>
      <c r="AA1119" s="21" t="str">
        <f>HYPERLINK("https://www.ncbi.nlm.nih.gov/nuccore/AP019559","NCBI Nucleotide")</f>
        <v>NCBI Nucleotide</v>
      </c>
    </row>
    <row r="1120" spans="1:27" x14ac:dyDescent="0.35">
      <c r="A1120">
        <v>1001604</v>
      </c>
      <c r="B1120">
        <v>1119</v>
      </c>
      <c r="C1120">
        <v>1</v>
      </c>
      <c r="D1120" s="17" t="s">
        <v>155</v>
      </c>
      <c r="E1120" s="17"/>
      <c r="F1120" s="17" t="s">
        <v>156</v>
      </c>
      <c r="G1120" s="17"/>
      <c r="H1120" s="17" t="s">
        <v>692</v>
      </c>
      <c r="I1120" s="17"/>
      <c r="J1120" s="17" t="s">
        <v>693</v>
      </c>
      <c r="K1120" s="17"/>
      <c r="L1120" s="17"/>
      <c r="M1120" s="17"/>
      <c r="N1120" s="17" t="s">
        <v>7526</v>
      </c>
      <c r="O1120" s="17" t="s">
        <v>7591</v>
      </c>
      <c r="P1120" s="17" t="s">
        <v>7667</v>
      </c>
      <c r="Q1120" s="17"/>
      <c r="R1120" s="25" t="str">
        <f>HYPERLINK("https://ictv.global/taxonomy/taxondetails?taxnode_id=202301331","Tequintavirus SPC35")</f>
        <v>Tequintavirus SPC35</v>
      </c>
      <c r="S1120" s="18" t="s">
        <v>30</v>
      </c>
      <c r="T1120" s="18" t="s">
        <v>7726</v>
      </c>
      <c r="U1120" s="18"/>
      <c r="V1120" s="18"/>
      <c r="W1120" s="18" t="s">
        <v>7727</v>
      </c>
      <c r="X1120" s="18" t="s">
        <v>42</v>
      </c>
      <c r="Y1120" s="18" t="s">
        <v>36</v>
      </c>
      <c r="Z1120" s="18" t="s">
        <v>697</v>
      </c>
      <c r="AA1120" s="21" t="str">
        <f>HYPERLINK("https://www.ncbi.nlm.nih.gov/nuccore/HQ406778","NCBI Nucleotide")</f>
        <v>NCBI Nucleotide</v>
      </c>
    </row>
    <row r="1121" spans="1:27" x14ac:dyDescent="0.35">
      <c r="A1121">
        <v>1001605</v>
      </c>
      <c r="B1121">
        <v>1120</v>
      </c>
      <c r="C1121">
        <v>1</v>
      </c>
      <c r="D1121" s="17" t="s">
        <v>155</v>
      </c>
      <c r="E1121" s="17"/>
      <c r="F1121" s="17" t="s">
        <v>156</v>
      </c>
      <c r="G1121" s="17"/>
      <c r="H1121" s="17" t="s">
        <v>692</v>
      </c>
      <c r="I1121" s="17"/>
      <c r="J1121" s="17" t="s">
        <v>693</v>
      </c>
      <c r="K1121" s="17"/>
      <c r="L1121" s="17"/>
      <c r="M1121" s="17"/>
      <c r="N1121" s="17" t="s">
        <v>7526</v>
      </c>
      <c r="O1121" s="17" t="s">
        <v>7591</v>
      </c>
      <c r="P1121" s="17" t="s">
        <v>7667</v>
      </c>
      <c r="Q1121" s="17"/>
      <c r="R1121" s="25" t="str">
        <f>HYPERLINK("https://ictv.global/taxonomy/taxondetails?taxnode_id=202308087","Tequintavirus SSP1")</f>
        <v>Tequintavirus SSP1</v>
      </c>
      <c r="S1121" s="18" t="s">
        <v>30</v>
      </c>
      <c r="T1121" s="18" t="s">
        <v>7728</v>
      </c>
      <c r="U1121" s="18"/>
      <c r="V1121" s="18"/>
      <c r="W1121" s="18" t="s">
        <v>7729</v>
      </c>
      <c r="X1121" s="18" t="s">
        <v>42</v>
      </c>
      <c r="Y1121" s="18" t="s">
        <v>36</v>
      </c>
      <c r="Z1121" s="18" t="s">
        <v>697</v>
      </c>
      <c r="AA1121" s="21" t="str">
        <f>HYPERLINK("https://www.ncbi.nlm.nih.gov/nuccore/KY963424","NCBI Nucleotide")</f>
        <v>NCBI Nucleotide</v>
      </c>
    </row>
    <row r="1122" spans="1:27" x14ac:dyDescent="0.35">
      <c r="A1122">
        <v>1001606</v>
      </c>
      <c r="B1122">
        <v>1121</v>
      </c>
      <c r="C1122">
        <v>1</v>
      </c>
      <c r="D1122" s="17" t="s">
        <v>155</v>
      </c>
      <c r="E1122" s="17"/>
      <c r="F1122" s="17" t="s">
        <v>156</v>
      </c>
      <c r="G1122" s="17"/>
      <c r="H1122" s="17" t="s">
        <v>692</v>
      </c>
      <c r="I1122" s="17"/>
      <c r="J1122" s="17" t="s">
        <v>693</v>
      </c>
      <c r="K1122" s="17"/>
      <c r="L1122" s="17"/>
      <c r="M1122" s="17"/>
      <c r="N1122" s="17" t="s">
        <v>7526</v>
      </c>
      <c r="O1122" s="17" t="s">
        <v>7591</v>
      </c>
      <c r="P1122" s="17" t="s">
        <v>7667</v>
      </c>
      <c r="Q1122" s="17"/>
      <c r="R1122" s="25" t="str">
        <f>HYPERLINK("https://ictv.global/taxonomy/taxondetails?taxnode_id=202301328","Tequintavirus T5")</f>
        <v>Tequintavirus T5</v>
      </c>
      <c r="S1122" s="18" t="s">
        <v>30</v>
      </c>
      <c r="T1122" s="18" t="s">
        <v>7730</v>
      </c>
      <c r="U1122" s="18"/>
      <c r="V1122" s="18"/>
      <c r="W1122" s="18" t="s">
        <v>7731</v>
      </c>
      <c r="X1122" s="18" t="s">
        <v>42</v>
      </c>
      <c r="Y1122" s="18" t="s">
        <v>36</v>
      </c>
      <c r="Z1122" s="18" t="s">
        <v>697</v>
      </c>
      <c r="AA1122" s="21" t="str">
        <f>HYPERLINK("https://www.ncbi.nlm.nih.gov/nuccore/AY543070","NCBI Nucleotide")</f>
        <v>NCBI Nucleotide</v>
      </c>
    </row>
    <row r="1123" spans="1:27" x14ac:dyDescent="0.35">
      <c r="A1123">
        <v>1001607</v>
      </c>
      <c r="B1123">
        <v>1122</v>
      </c>
      <c r="C1123">
        <v>1</v>
      </c>
      <c r="D1123" s="17" t="s">
        <v>155</v>
      </c>
      <c r="E1123" s="17"/>
      <c r="F1123" s="17" t="s">
        <v>156</v>
      </c>
      <c r="G1123" s="17"/>
      <c r="H1123" s="17" t="s">
        <v>692</v>
      </c>
      <c r="I1123" s="17"/>
      <c r="J1123" s="17" t="s">
        <v>693</v>
      </c>
      <c r="K1123" s="17"/>
      <c r="L1123" s="17"/>
      <c r="M1123" s="17"/>
      <c r="N1123" s="17" t="s">
        <v>7526</v>
      </c>
      <c r="O1123" s="17" t="s">
        <v>7591</v>
      </c>
      <c r="P1123" s="17" t="s">
        <v>7667</v>
      </c>
      <c r="Q1123" s="17"/>
      <c r="R1123" s="25" t="str">
        <f>HYPERLINK("https://ictv.global/taxonomy/taxondetails?taxnode_id=202309953","Tequintavirus Th1")</f>
        <v>Tequintavirus Th1</v>
      </c>
      <c r="S1123" s="18" t="s">
        <v>30</v>
      </c>
      <c r="T1123" s="18" t="s">
        <v>7732</v>
      </c>
      <c r="U1123" s="18"/>
      <c r="V1123" s="18"/>
      <c r="W1123" s="18" t="s">
        <v>7733</v>
      </c>
      <c r="X1123" s="18" t="s">
        <v>42</v>
      </c>
      <c r="Y1123" s="18" t="s">
        <v>36</v>
      </c>
      <c r="Z1123" s="18" t="s">
        <v>697</v>
      </c>
      <c r="AA1123" s="21" t="str">
        <f>HYPERLINK("https://www.ncbi.nlm.nih.gov/nuccore/MN026741","NCBI Nucleotide")</f>
        <v>NCBI Nucleotide</v>
      </c>
    </row>
    <row r="1124" spans="1:27" x14ac:dyDescent="0.35">
      <c r="A1124">
        <v>1024918</v>
      </c>
      <c r="B1124">
        <v>1123</v>
      </c>
      <c r="C1124">
        <v>1</v>
      </c>
      <c r="D1124" s="17" t="s">
        <v>155</v>
      </c>
      <c r="E1124" s="17"/>
      <c r="F1124" s="17" t="s">
        <v>156</v>
      </c>
      <c r="G1124" s="17"/>
      <c r="H1124" s="17" t="s">
        <v>692</v>
      </c>
      <c r="I1124" s="17"/>
      <c r="J1124" s="17" t="s">
        <v>693</v>
      </c>
      <c r="K1124" s="17"/>
      <c r="L1124" s="17"/>
      <c r="M1124" s="17"/>
      <c r="N1124" s="17" t="s">
        <v>7526</v>
      </c>
      <c r="O1124" s="17" t="s">
        <v>7591</v>
      </c>
      <c r="P1124" s="17" t="s">
        <v>7667</v>
      </c>
      <c r="Q1124" s="17"/>
      <c r="R1124" s="25" t="str">
        <f>HYPERLINK("https://ictv.global/taxonomy/taxondetails?taxnode_id=202319353","Tequintavirus tv179112")</f>
        <v>Tequintavirus tv179112</v>
      </c>
      <c r="S1124" s="18" t="s">
        <v>30</v>
      </c>
      <c r="T1124" s="18" t="s">
        <v>39119</v>
      </c>
      <c r="U1124" s="18"/>
      <c r="V1124" s="18"/>
      <c r="W1124" s="18" t="s">
        <v>47969</v>
      </c>
      <c r="X1124" s="18" t="s">
        <v>42</v>
      </c>
      <c r="Y1124" s="18" t="s">
        <v>36</v>
      </c>
      <c r="Z1124" s="18" t="s">
        <v>697</v>
      </c>
      <c r="AA1124" s="21" t="str">
        <f>HYPERLINK("https://www.ncbi.nlm.nih.gov/nuccore/OQ383622","NCBI Nucleotide")</f>
        <v>NCBI Nucleotide</v>
      </c>
    </row>
    <row r="1125" spans="1:27" x14ac:dyDescent="0.35">
      <c r="A1125">
        <v>1024919</v>
      </c>
      <c r="B1125">
        <v>1124</v>
      </c>
      <c r="C1125">
        <v>1</v>
      </c>
      <c r="D1125" s="17" t="s">
        <v>155</v>
      </c>
      <c r="E1125" s="17"/>
      <c r="F1125" s="17" t="s">
        <v>156</v>
      </c>
      <c r="G1125" s="17"/>
      <c r="H1125" s="17" t="s">
        <v>692</v>
      </c>
      <c r="I1125" s="17"/>
      <c r="J1125" s="17" t="s">
        <v>693</v>
      </c>
      <c r="K1125" s="17"/>
      <c r="L1125" s="17"/>
      <c r="M1125" s="17"/>
      <c r="N1125" s="17" t="s">
        <v>7526</v>
      </c>
      <c r="O1125" s="17" t="s">
        <v>7591</v>
      </c>
      <c r="P1125" s="17" t="s">
        <v>7667</v>
      </c>
      <c r="Q1125" s="17"/>
      <c r="R1125" s="25" t="str">
        <f>HYPERLINK("https://ictv.global/taxonomy/taxondetails?taxnode_id=202319375","Tequintavirus tv3sent1")</f>
        <v>Tequintavirus tv3sent1</v>
      </c>
      <c r="S1125" s="18" t="s">
        <v>30</v>
      </c>
      <c r="T1125" s="18" t="s">
        <v>39120</v>
      </c>
      <c r="U1125" s="18"/>
      <c r="V1125" s="18"/>
      <c r="W1125" s="18" t="s">
        <v>47970</v>
      </c>
      <c r="X1125" s="18" t="s">
        <v>42</v>
      </c>
      <c r="Y1125" s="18" t="s">
        <v>36</v>
      </c>
      <c r="Z1125" s="18" t="s">
        <v>697</v>
      </c>
      <c r="AA1125" s="21" t="str">
        <f>HYPERLINK("https://www.ncbi.nlm.nih.gov/nuccore/MT653143","NCBI Nucleotide")</f>
        <v>NCBI Nucleotide</v>
      </c>
    </row>
    <row r="1126" spans="1:27" x14ac:dyDescent="0.35">
      <c r="A1126">
        <v>1024920</v>
      </c>
      <c r="B1126">
        <v>1125</v>
      </c>
      <c r="C1126">
        <v>1</v>
      </c>
      <c r="D1126" s="17" t="s">
        <v>155</v>
      </c>
      <c r="E1126" s="17"/>
      <c r="F1126" s="17" t="s">
        <v>156</v>
      </c>
      <c r="G1126" s="17"/>
      <c r="H1126" s="17" t="s">
        <v>692</v>
      </c>
      <c r="I1126" s="17"/>
      <c r="J1126" s="17" t="s">
        <v>693</v>
      </c>
      <c r="K1126" s="17"/>
      <c r="L1126" s="17"/>
      <c r="M1126" s="17"/>
      <c r="N1126" s="17" t="s">
        <v>7526</v>
      </c>
      <c r="O1126" s="17" t="s">
        <v>7591</v>
      </c>
      <c r="P1126" s="17" t="s">
        <v>7667</v>
      </c>
      <c r="Q1126" s="17"/>
      <c r="R1126" s="25" t="str">
        <f>HYPERLINK("https://ictv.global/taxonomy/taxondetails?taxnode_id=202319376","Tequintavirus tv8sent1748")</f>
        <v>Tequintavirus tv8sent1748</v>
      </c>
      <c r="S1126" s="18" t="s">
        <v>30</v>
      </c>
      <c r="T1126" s="18" t="s">
        <v>39121</v>
      </c>
      <c r="U1126" s="18"/>
      <c r="V1126" s="18"/>
      <c r="W1126" s="18" t="s">
        <v>47971</v>
      </c>
      <c r="X1126" s="18" t="s">
        <v>42</v>
      </c>
      <c r="Y1126" s="18" t="s">
        <v>36</v>
      </c>
      <c r="Z1126" s="18" t="s">
        <v>697</v>
      </c>
      <c r="AA1126" s="21" t="str">
        <f>HYPERLINK("https://www.ncbi.nlm.nih.gov/nuccore/MT653146","NCBI Nucleotide")</f>
        <v>NCBI Nucleotide</v>
      </c>
    </row>
    <row r="1127" spans="1:27" x14ac:dyDescent="0.35">
      <c r="A1127">
        <v>1024921</v>
      </c>
      <c r="B1127">
        <v>1126</v>
      </c>
      <c r="C1127">
        <v>1</v>
      </c>
      <c r="D1127" s="17" t="s">
        <v>155</v>
      </c>
      <c r="E1127" s="17"/>
      <c r="F1127" s="17" t="s">
        <v>156</v>
      </c>
      <c r="G1127" s="17"/>
      <c r="H1127" s="17" t="s">
        <v>692</v>
      </c>
      <c r="I1127" s="17"/>
      <c r="J1127" s="17" t="s">
        <v>693</v>
      </c>
      <c r="K1127" s="17"/>
      <c r="L1127" s="17"/>
      <c r="M1127" s="17"/>
      <c r="N1127" s="17" t="s">
        <v>7526</v>
      </c>
      <c r="O1127" s="17" t="s">
        <v>7591</v>
      </c>
      <c r="P1127" s="17" t="s">
        <v>7667</v>
      </c>
      <c r="Q1127" s="17"/>
      <c r="R1127" s="25" t="str">
        <f>HYPERLINK("https://ictv.global/taxonomy/taxondetails?taxnode_id=202319373","Tequintavirus tvI1")</f>
        <v>Tequintavirus tvI1</v>
      </c>
      <c r="S1127" s="18" t="s">
        <v>30</v>
      </c>
      <c r="T1127" s="18" t="s">
        <v>39122</v>
      </c>
      <c r="U1127" s="18"/>
      <c r="V1127" s="18"/>
      <c r="W1127" s="18" t="s">
        <v>47972</v>
      </c>
      <c r="X1127" s="18" t="s">
        <v>42</v>
      </c>
      <c r="Y1127" s="18" t="s">
        <v>36</v>
      </c>
      <c r="Z1127" s="18" t="s">
        <v>697</v>
      </c>
      <c r="AA1127" s="21" t="str">
        <f>HYPERLINK("https://www.ncbi.nlm.nih.gov/nuccore/MT233524","NCBI Nucleotide")</f>
        <v>NCBI Nucleotide</v>
      </c>
    </row>
    <row r="1128" spans="1:27" x14ac:dyDescent="0.35">
      <c r="A1128">
        <v>1001608</v>
      </c>
      <c r="B1128">
        <v>1127</v>
      </c>
      <c r="C1128">
        <v>1</v>
      </c>
      <c r="D1128" s="17" t="s">
        <v>155</v>
      </c>
      <c r="E1128" s="17"/>
      <c r="F1128" s="17" t="s">
        <v>156</v>
      </c>
      <c r="G1128" s="17"/>
      <c r="H1128" s="17" t="s">
        <v>692</v>
      </c>
      <c r="I1128" s="17"/>
      <c r="J1128" s="17" t="s">
        <v>693</v>
      </c>
      <c r="K1128" s="17"/>
      <c r="L1128" s="17"/>
      <c r="M1128" s="17"/>
      <c r="N1128" s="17" t="s">
        <v>7526</v>
      </c>
      <c r="O1128" s="17" t="s">
        <v>7591</v>
      </c>
      <c r="P1128" s="17" t="s">
        <v>7667</v>
      </c>
      <c r="Q1128" s="17"/>
      <c r="R1128" s="25" t="str">
        <f>HYPERLINK("https://ictv.global/taxonomy/taxondetails?taxnode_id=202309956","Tequintavirus VEc33")</f>
        <v>Tequintavirus VEc33</v>
      </c>
      <c r="S1128" s="18" t="s">
        <v>30</v>
      </c>
      <c r="T1128" s="18" t="s">
        <v>7734</v>
      </c>
      <c r="U1128" s="18"/>
      <c r="V1128" s="18"/>
      <c r="W1128" s="18" t="s">
        <v>7735</v>
      </c>
      <c r="X1128" s="18" t="s">
        <v>42</v>
      </c>
      <c r="Y1128" s="18" t="s">
        <v>36</v>
      </c>
      <c r="Z1128" s="18" t="s">
        <v>697</v>
      </c>
      <c r="AA1128" s="21" t="str">
        <f>HYPERLINK("https://www.ncbi.nlm.nih.gov/nuccore/MN316588","NCBI Nucleotide")</f>
        <v>NCBI Nucleotide</v>
      </c>
    </row>
    <row r="1129" spans="1:27" x14ac:dyDescent="0.35">
      <c r="A1129">
        <v>1001609</v>
      </c>
      <c r="B1129">
        <v>1128</v>
      </c>
      <c r="C1129">
        <v>1</v>
      </c>
      <c r="D1129" s="17" t="s">
        <v>155</v>
      </c>
      <c r="E1129" s="17"/>
      <c r="F1129" s="17" t="s">
        <v>156</v>
      </c>
      <c r="G1129" s="17"/>
      <c r="H1129" s="17" t="s">
        <v>692</v>
      </c>
      <c r="I1129" s="17"/>
      <c r="J1129" s="17" t="s">
        <v>693</v>
      </c>
      <c r="K1129" s="17"/>
      <c r="L1129" s="17"/>
      <c r="M1129" s="17"/>
      <c r="N1129" s="17" t="s">
        <v>7526</v>
      </c>
      <c r="O1129" s="17" t="s">
        <v>7591</v>
      </c>
      <c r="P1129" s="17" t="s">
        <v>7667</v>
      </c>
      <c r="Q1129" s="17"/>
      <c r="R1129" s="25" t="str">
        <f>HYPERLINK("https://ictv.global/taxonomy/taxondetails?taxnode_id=202309957","Tequintavirus VSe12")</f>
        <v>Tequintavirus VSe12</v>
      </c>
      <c r="S1129" s="18" t="s">
        <v>30</v>
      </c>
      <c r="T1129" s="18" t="s">
        <v>7736</v>
      </c>
      <c r="U1129" s="18"/>
      <c r="V1129" s="18"/>
      <c r="W1129" s="18" t="s">
        <v>7737</v>
      </c>
      <c r="X1129" s="18" t="s">
        <v>42</v>
      </c>
      <c r="Y1129" s="18" t="s">
        <v>36</v>
      </c>
      <c r="Z1129" s="18" t="s">
        <v>697</v>
      </c>
      <c r="AA1129" s="21" t="str">
        <f>HYPERLINK("https://www.ncbi.nlm.nih.gov/nuccore/MN022787","NCBI Nucleotide")</f>
        <v>NCBI Nucleotide</v>
      </c>
    </row>
    <row r="1130" spans="1:27" x14ac:dyDescent="0.35">
      <c r="A1130">
        <v>1024922</v>
      </c>
      <c r="B1130">
        <v>1129</v>
      </c>
      <c r="C1130">
        <v>1</v>
      </c>
      <c r="D1130" s="17" t="s">
        <v>155</v>
      </c>
      <c r="E1130" s="17"/>
      <c r="F1130" s="17" t="s">
        <v>156</v>
      </c>
      <c r="G1130" s="17"/>
      <c r="H1130" s="17" t="s">
        <v>692</v>
      </c>
      <c r="I1130" s="17"/>
      <c r="J1130" s="17" t="s">
        <v>693</v>
      </c>
      <c r="K1130" s="17"/>
      <c r="L1130" s="17"/>
      <c r="M1130" s="17"/>
      <c r="N1130" s="17" t="s">
        <v>7526</v>
      </c>
      <c r="O1130" s="17" t="s">
        <v>7591</v>
      </c>
      <c r="P1130" s="17" t="s">
        <v>7667</v>
      </c>
      <c r="Q1130" s="17"/>
      <c r="R1130" s="25" t="str">
        <f>HYPERLINK("https://ictv.global/taxonomy/taxondetails?taxnode_id=202319371","Tequintavirus vVAH1")</f>
        <v>Tequintavirus vVAH1</v>
      </c>
      <c r="S1130" s="18" t="s">
        <v>30</v>
      </c>
      <c r="T1130" s="18" t="s">
        <v>39123</v>
      </c>
      <c r="U1130" s="18"/>
      <c r="V1130" s="18"/>
      <c r="W1130" s="18" t="s">
        <v>47973</v>
      </c>
      <c r="X1130" s="18" t="s">
        <v>42</v>
      </c>
      <c r="Y1130" s="18" t="s">
        <v>36</v>
      </c>
      <c r="Z1130" s="18" t="s">
        <v>697</v>
      </c>
      <c r="AA1130" s="21" t="str">
        <f>HYPERLINK("https://www.ncbi.nlm.nih.gov/nuccore/MK373792","NCBI Nucleotide")</f>
        <v>NCBI Nucleotide</v>
      </c>
    </row>
    <row r="1131" spans="1:27" x14ac:dyDescent="0.35">
      <c r="A1131">
        <v>1001610</v>
      </c>
      <c r="B1131">
        <v>1130</v>
      </c>
      <c r="C1131">
        <v>1</v>
      </c>
      <c r="D1131" s="17" t="s">
        <v>155</v>
      </c>
      <c r="E1131" s="17"/>
      <c r="F1131" s="17" t="s">
        <v>156</v>
      </c>
      <c r="G1131" s="17"/>
      <c r="H1131" s="17" t="s">
        <v>692</v>
      </c>
      <c r="I1131" s="17"/>
      <c r="J1131" s="17" t="s">
        <v>693</v>
      </c>
      <c r="K1131" s="17"/>
      <c r="L1131" s="17"/>
      <c r="M1131" s="17"/>
      <c r="N1131" s="17" t="s">
        <v>7526</v>
      </c>
      <c r="O1131" s="17" t="s">
        <v>7738</v>
      </c>
      <c r="P1131" s="17" t="s">
        <v>7739</v>
      </c>
      <c r="Q1131" s="17"/>
      <c r="R1131" s="25" t="str">
        <f>HYPERLINK("https://ictv.global/taxonomy/taxondetails?taxnode_id=202308124","Hongcheonvirus DUPPV")</f>
        <v>Hongcheonvirus DUPPV</v>
      </c>
      <c r="S1131" s="18" t="s">
        <v>30</v>
      </c>
      <c r="T1131" s="18" t="s">
        <v>7740</v>
      </c>
      <c r="U1131" s="18"/>
      <c r="V1131" s="18"/>
      <c r="W1131" s="18" t="s">
        <v>7741</v>
      </c>
      <c r="X1131" s="18" t="s">
        <v>42</v>
      </c>
      <c r="Y1131" s="18" t="s">
        <v>36</v>
      </c>
      <c r="Z1131" s="18" t="s">
        <v>697</v>
      </c>
      <c r="AA1131" s="21" t="str">
        <f>HYPERLINK("https://www.ncbi.nlm.nih.gov/nuccore/MF979564","NCBI Nucleotide")</f>
        <v>NCBI Nucleotide</v>
      </c>
    </row>
    <row r="1132" spans="1:27" x14ac:dyDescent="0.35">
      <c r="A1132">
        <v>1001611</v>
      </c>
      <c r="B1132">
        <v>1131</v>
      </c>
      <c r="C1132">
        <v>1</v>
      </c>
      <c r="D1132" s="17" t="s">
        <v>155</v>
      </c>
      <c r="E1132" s="17"/>
      <c r="F1132" s="17" t="s">
        <v>156</v>
      </c>
      <c r="G1132" s="17"/>
      <c r="H1132" s="17" t="s">
        <v>692</v>
      </c>
      <c r="I1132" s="17"/>
      <c r="J1132" s="17" t="s">
        <v>693</v>
      </c>
      <c r="K1132" s="17"/>
      <c r="L1132" s="17"/>
      <c r="M1132" s="17"/>
      <c r="N1132" s="17" t="s">
        <v>7526</v>
      </c>
      <c r="O1132" s="17" t="s">
        <v>7738</v>
      </c>
      <c r="P1132" s="17" t="s">
        <v>7742</v>
      </c>
      <c r="Q1132" s="17"/>
      <c r="R1132" s="25" t="str">
        <f>HYPERLINK("https://ictv.global/taxonomy/taxondetails?taxnode_id=202307058","Myunavirus My1")</f>
        <v>Myunavirus My1</v>
      </c>
      <c r="S1132" s="18" t="s">
        <v>30</v>
      </c>
      <c r="T1132" s="18" t="s">
        <v>7743</v>
      </c>
      <c r="U1132" s="18"/>
      <c r="V1132" s="18"/>
      <c r="W1132" s="18" t="s">
        <v>7744</v>
      </c>
      <c r="X1132" s="18" t="s">
        <v>42</v>
      </c>
      <c r="Y1132" s="18" t="s">
        <v>36</v>
      </c>
      <c r="Z1132" s="18" t="s">
        <v>697</v>
      </c>
      <c r="AA1132" s="21" t="str">
        <f>HYPERLINK("https://www.ncbi.nlm.nih.gov/nuccore/JX195166","NCBI Nucleotide")</f>
        <v>NCBI Nucleotide</v>
      </c>
    </row>
    <row r="1133" spans="1:27" x14ac:dyDescent="0.35">
      <c r="A1133">
        <v>1024988</v>
      </c>
      <c r="B1133">
        <v>1132</v>
      </c>
      <c r="C1133">
        <v>1</v>
      </c>
      <c r="D1133" s="17" t="s">
        <v>155</v>
      </c>
      <c r="E1133" s="17"/>
      <c r="F1133" s="17" t="s">
        <v>156</v>
      </c>
      <c r="G1133" s="17"/>
      <c r="H1133" s="17" t="s">
        <v>692</v>
      </c>
      <c r="I1133" s="17"/>
      <c r="J1133" s="17" t="s">
        <v>693</v>
      </c>
      <c r="K1133" s="17"/>
      <c r="L1133" s="17"/>
      <c r="M1133" s="17"/>
      <c r="N1133" s="17" t="s">
        <v>7526</v>
      </c>
      <c r="O1133" s="17"/>
      <c r="P1133" s="17" t="s">
        <v>39124</v>
      </c>
      <c r="Q1133" s="17"/>
      <c r="R1133" s="25" t="str">
        <f>HYPERLINK("https://ictv.global/taxonomy/taxondetails?taxnode_id=202319186","Keyvirus AAS21")</f>
        <v>Keyvirus AAS21</v>
      </c>
      <c r="S1133" s="18" t="s">
        <v>30</v>
      </c>
      <c r="T1133" s="18" t="s">
        <v>39125</v>
      </c>
      <c r="U1133" s="18"/>
      <c r="V1133" s="18"/>
      <c r="W1133" s="18" t="s">
        <v>47974</v>
      </c>
      <c r="X1133" s="18" t="s">
        <v>42</v>
      </c>
      <c r="Y1133" s="18" t="s">
        <v>36</v>
      </c>
      <c r="Z1133" s="18" t="s">
        <v>697</v>
      </c>
      <c r="AA1133" s="21" t="str">
        <f>HYPERLINK("https://www.ncbi.nlm.nih.gov/nuccore/MK770119","NCBI Nucleotide")</f>
        <v>NCBI Nucleotide</v>
      </c>
    </row>
    <row r="1134" spans="1:27" x14ac:dyDescent="0.35">
      <c r="A1134">
        <v>1024989</v>
      </c>
      <c r="B1134">
        <v>1133</v>
      </c>
      <c r="C1134">
        <v>1</v>
      </c>
      <c r="D1134" s="17" t="s">
        <v>155</v>
      </c>
      <c r="E1134" s="17"/>
      <c r="F1134" s="17" t="s">
        <v>156</v>
      </c>
      <c r="G1134" s="17"/>
      <c r="H1134" s="17" t="s">
        <v>692</v>
      </c>
      <c r="I1134" s="17"/>
      <c r="J1134" s="17" t="s">
        <v>693</v>
      </c>
      <c r="K1134" s="17"/>
      <c r="L1134" s="17"/>
      <c r="M1134" s="17"/>
      <c r="N1134" s="17" t="s">
        <v>7526</v>
      </c>
      <c r="O1134" s="17"/>
      <c r="P1134" s="17" t="s">
        <v>39124</v>
      </c>
      <c r="Q1134" s="17"/>
      <c r="R1134" s="25" t="str">
        <f>HYPERLINK("https://ictv.global/taxonomy/taxondetails?taxnode_id=202319187","Keyvirus key")</f>
        <v>Keyvirus key</v>
      </c>
      <c r="S1134" s="18" t="s">
        <v>30</v>
      </c>
      <c r="T1134" s="18" t="s">
        <v>39126</v>
      </c>
      <c r="U1134" s="18"/>
      <c r="V1134" s="18"/>
      <c r="W1134" s="18" t="s">
        <v>39127</v>
      </c>
      <c r="X1134" s="18" t="s">
        <v>42</v>
      </c>
      <c r="Y1134" s="18" t="s">
        <v>36</v>
      </c>
      <c r="Z1134" s="18" t="s">
        <v>697</v>
      </c>
      <c r="AA1134" s="21" t="str">
        <f>HYPERLINK("https://www.ncbi.nlm.nih.gov/nuccore/MZ616364","NCBI Nucleotide")</f>
        <v>NCBI Nucleotide</v>
      </c>
    </row>
    <row r="1135" spans="1:27" x14ac:dyDescent="0.35">
      <c r="A1135">
        <v>1001612</v>
      </c>
      <c r="B1135">
        <v>1134</v>
      </c>
      <c r="C1135">
        <v>1</v>
      </c>
      <c r="D1135" s="17" t="s">
        <v>155</v>
      </c>
      <c r="E1135" s="17"/>
      <c r="F1135" s="17" t="s">
        <v>156</v>
      </c>
      <c r="G1135" s="17"/>
      <c r="H1135" s="17" t="s">
        <v>692</v>
      </c>
      <c r="I1135" s="17"/>
      <c r="J1135" s="17" t="s">
        <v>693</v>
      </c>
      <c r="K1135" s="17"/>
      <c r="L1135" s="17"/>
      <c r="M1135" s="17"/>
      <c r="N1135" s="17" t="s">
        <v>7526</v>
      </c>
      <c r="O1135" s="17"/>
      <c r="P1135" s="17" t="s">
        <v>7527</v>
      </c>
      <c r="Q1135" s="17"/>
      <c r="R1135" s="25" t="str">
        <f>HYPERLINK("https://ictv.global/taxonomy/taxondetails?taxnode_id=202307060","Novosibvirus PM135")</f>
        <v>Novosibvirus PM135</v>
      </c>
      <c r="S1135" s="18" t="s">
        <v>30</v>
      </c>
      <c r="T1135" s="18" t="s">
        <v>7528</v>
      </c>
      <c r="U1135" s="18"/>
      <c r="V1135" s="18"/>
      <c r="W1135" s="18" t="s">
        <v>7529</v>
      </c>
      <c r="X1135" s="18" t="s">
        <v>42</v>
      </c>
      <c r="Y1135" s="18" t="s">
        <v>36</v>
      </c>
      <c r="Z1135" s="18" t="s">
        <v>697</v>
      </c>
      <c r="AA1135" s="21" t="str">
        <f>HYPERLINK("https://www.ncbi.nlm.nih.gov/nuccore/MG030347","NCBI Nucleotide")</f>
        <v>NCBI Nucleotide</v>
      </c>
    </row>
    <row r="1136" spans="1:27" x14ac:dyDescent="0.35">
      <c r="A1136">
        <v>1001613</v>
      </c>
      <c r="B1136">
        <v>1135</v>
      </c>
      <c r="C1136">
        <v>1</v>
      </c>
      <c r="D1136" s="17" t="s">
        <v>155</v>
      </c>
      <c r="E1136" s="17"/>
      <c r="F1136" s="17" t="s">
        <v>156</v>
      </c>
      <c r="G1136" s="17"/>
      <c r="H1136" s="17" t="s">
        <v>692</v>
      </c>
      <c r="I1136" s="17"/>
      <c r="J1136" s="17" t="s">
        <v>693</v>
      </c>
      <c r="K1136" s="17"/>
      <c r="L1136" s="17"/>
      <c r="M1136" s="17"/>
      <c r="N1136" s="17" t="s">
        <v>7526</v>
      </c>
      <c r="O1136" s="17"/>
      <c r="P1136" s="17" t="s">
        <v>7527</v>
      </c>
      <c r="Q1136" s="17"/>
      <c r="R1136" s="25" t="str">
        <f>HYPERLINK("https://ictv.global/taxonomy/taxondetails?taxnode_id=202308118","Novosibvirus stubb")</f>
        <v>Novosibvirus stubb</v>
      </c>
      <c r="S1136" s="18" t="s">
        <v>30</v>
      </c>
      <c r="T1136" s="18" t="s">
        <v>7530</v>
      </c>
      <c r="U1136" s="18"/>
      <c r="V1136" s="18"/>
      <c r="W1136" s="18" t="s">
        <v>7531</v>
      </c>
      <c r="X1136" s="18" t="s">
        <v>42</v>
      </c>
      <c r="Y1136" s="18" t="s">
        <v>36</v>
      </c>
      <c r="Z1136" s="18" t="s">
        <v>697</v>
      </c>
      <c r="AA1136" s="21" t="str">
        <f>HYPERLINK("https://www.ncbi.nlm.nih.gov/nuccore/MH830339","NCBI Nucleotide")</f>
        <v>NCBI Nucleotide</v>
      </c>
    </row>
    <row r="1137" spans="1:27" x14ac:dyDescent="0.35">
      <c r="A1137">
        <v>1001614</v>
      </c>
      <c r="B1137">
        <v>1136</v>
      </c>
      <c r="C1137">
        <v>1</v>
      </c>
      <c r="D1137" s="17" t="s">
        <v>155</v>
      </c>
      <c r="E1137" s="17"/>
      <c r="F1137" s="17" t="s">
        <v>156</v>
      </c>
      <c r="G1137" s="17"/>
      <c r="H1137" s="17" t="s">
        <v>692</v>
      </c>
      <c r="I1137" s="17"/>
      <c r="J1137" s="17" t="s">
        <v>693</v>
      </c>
      <c r="K1137" s="17"/>
      <c r="L1137" s="17"/>
      <c r="M1137" s="17"/>
      <c r="N1137" s="17" t="s">
        <v>7526</v>
      </c>
      <c r="O1137" s="17"/>
      <c r="P1137" s="17" t="s">
        <v>7532</v>
      </c>
      <c r="Q1137" s="17"/>
      <c r="R1137" s="25" t="str">
        <f>HYPERLINK("https://ictv.global/taxonomy/taxondetails?taxnode_id=202308120","Pogseptimavirus PG07")</f>
        <v>Pogseptimavirus PG07</v>
      </c>
      <c r="S1137" s="18" t="s">
        <v>30</v>
      </c>
      <c r="T1137" s="18" t="s">
        <v>7533</v>
      </c>
      <c r="U1137" s="18"/>
      <c r="V1137" s="18"/>
      <c r="W1137" s="18" t="s">
        <v>7534</v>
      </c>
      <c r="X1137" s="18" t="s">
        <v>42</v>
      </c>
      <c r="Y1137" s="18" t="s">
        <v>36</v>
      </c>
      <c r="Z1137" s="18" t="s">
        <v>697</v>
      </c>
      <c r="AA1137" s="21" t="str">
        <f>HYPERLINK("https://www.ncbi.nlm.nih.gov/nuccore/MH645904","NCBI Nucleotide")</f>
        <v>NCBI Nucleotide</v>
      </c>
    </row>
    <row r="1138" spans="1:27" x14ac:dyDescent="0.35">
      <c r="A1138">
        <v>1001615</v>
      </c>
      <c r="B1138">
        <v>1137</v>
      </c>
      <c r="C1138">
        <v>1</v>
      </c>
      <c r="D1138" s="17" t="s">
        <v>155</v>
      </c>
      <c r="E1138" s="17"/>
      <c r="F1138" s="17" t="s">
        <v>156</v>
      </c>
      <c r="G1138" s="17"/>
      <c r="H1138" s="17" t="s">
        <v>692</v>
      </c>
      <c r="I1138" s="17"/>
      <c r="J1138" s="17" t="s">
        <v>693</v>
      </c>
      <c r="K1138" s="17"/>
      <c r="L1138" s="17"/>
      <c r="M1138" s="17"/>
      <c r="N1138" s="17" t="s">
        <v>7526</v>
      </c>
      <c r="O1138" s="17"/>
      <c r="P1138" s="17" t="s">
        <v>7532</v>
      </c>
      <c r="Q1138" s="17"/>
      <c r="R1138" s="25" t="str">
        <f>HYPERLINK("https://ictv.global/taxonomy/taxondetails?taxnode_id=202308121","Pogseptimavirus VspSw1")</f>
        <v>Pogseptimavirus VspSw1</v>
      </c>
      <c r="S1138" s="18" t="s">
        <v>30</v>
      </c>
      <c r="T1138" s="18" t="s">
        <v>7535</v>
      </c>
      <c r="U1138" s="18"/>
      <c r="V1138" s="18"/>
      <c r="W1138" s="18" t="s">
        <v>7536</v>
      </c>
      <c r="X1138" s="18" t="s">
        <v>42</v>
      </c>
      <c r="Y1138" s="18" t="s">
        <v>36</v>
      </c>
      <c r="Z1138" s="18" t="s">
        <v>697</v>
      </c>
      <c r="AA1138" s="21" t="str">
        <f>HYPERLINK("https://www.ncbi.nlm.nih.gov/nuccore/MH925094","NCBI Nucleotide")</f>
        <v>NCBI Nucleotide</v>
      </c>
    </row>
    <row r="1139" spans="1:27" x14ac:dyDescent="0.35">
      <c r="A1139">
        <v>1001616</v>
      </c>
      <c r="B1139">
        <v>1138</v>
      </c>
      <c r="C1139">
        <v>1</v>
      </c>
      <c r="D1139" s="17" t="s">
        <v>155</v>
      </c>
      <c r="E1139" s="17"/>
      <c r="F1139" s="17" t="s">
        <v>156</v>
      </c>
      <c r="G1139" s="17"/>
      <c r="H1139" s="17" t="s">
        <v>692</v>
      </c>
      <c r="I1139" s="17"/>
      <c r="J1139" s="17" t="s">
        <v>693</v>
      </c>
      <c r="K1139" s="17"/>
      <c r="L1139" s="17"/>
      <c r="M1139" s="17"/>
      <c r="N1139" s="17" t="s">
        <v>7526</v>
      </c>
      <c r="O1139" s="17"/>
      <c r="P1139" s="17" t="s">
        <v>7537</v>
      </c>
      <c r="Q1139" s="17"/>
      <c r="R1139" s="25" t="str">
        <f>HYPERLINK("https://ictv.global/taxonomy/taxondetails?taxnode_id=202307062","Priunavirus PR1")</f>
        <v>Priunavirus PR1</v>
      </c>
      <c r="S1139" s="18" t="s">
        <v>30</v>
      </c>
      <c r="T1139" s="18" t="s">
        <v>7538</v>
      </c>
      <c r="U1139" s="18"/>
      <c r="V1139" s="18"/>
      <c r="W1139" s="18" t="s">
        <v>7539</v>
      </c>
      <c r="X1139" s="18" t="s">
        <v>42</v>
      </c>
      <c r="Y1139" s="18" t="s">
        <v>36</v>
      </c>
      <c r="Z1139" s="18" t="s">
        <v>697</v>
      </c>
      <c r="AA1139" s="21" t="str">
        <f>HYPERLINK("https://www.ncbi.nlm.nih.gov/nuccore/KY363465","NCBI Nucleotide")</f>
        <v>NCBI Nucleotide</v>
      </c>
    </row>
    <row r="1140" spans="1:27" x14ac:dyDescent="0.35">
      <c r="A1140">
        <v>1001617</v>
      </c>
      <c r="B1140">
        <v>1139</v>
      </c>
      <c r="C1140">
        <v>1</v>
      </c>
      <c r="D1140" s="17" t="s">
        <v>155</v>
      </c>
      <c r="E1140" s="17"/>
      <c r="F1140" s="17" t="s">
        <v>156</v>
      </c>
      <c r="G1140" s="17"/>
      <c r="H1140" s="17" t="s">
        <v>692</v>
      </c>
      <c r="I1140" s="17"/>
      <c r="J1140" s="17" t="s">
        <v>693</v>
      </c>
      <c r="K1140" s="17"/>
      <c r="L1140" s="17"/>
      <c r="M1140" s="17"/>
      <c r="N1140" s="17" t="s">
        <v>7526</v>
      </c>
      <c r="O1140" s="17"/>
      <c r="P1140" s="17" t="s">
        <v>7537</v>
      </c>
      <c r="Q1140" s="17"/>
      <c r="R1140" s="25" t="str">
        <f>HYPERLINK("https://ictv.global/taxonomy/taxondetails?taxnode_id=202313516","Priunavirus PSTCR5")</f>
        <v>Priunavirus PSTCR5</v>
      </c>
      <c r="S1140" s="18" t="s">
        <v>30</v>
      </c>
      <c r="T1140" s="18" t="s">
        <v>7540</v>
      </c>
      <c r="U1140" s="18"/>
      <c r="V1140" s="18"/>
      <c r="W1140" s="18" t="s">
        <v>7541</v>
      </c>
      <c r="X1140" s="18" t="s">
        <v>42</v>
      </c>
      <c r="Y1140" s="18" t="s">
        <v>36</v>
      </c>
      <c r="Z1140" s="18" t="s">
        <v>697</v>
      </c>
      <c r="AA1140" s="21" t="str">
        <f>HYPERLINK("https://www.ncbi.nlm.nih.gov/nuccore/MW057857","NCBI Nucleotide")</f>
        <v>NCBI Nucleotide</v>
      </c>
    </row>
    <row r="1141" spans="1:27" x14ac:dyDescent="0.35">
      <c r="A1141">
        <v>1001618</v>
      </c>
      <c r="B1141">
        <v>1140</v>
      </c>
      <c r="C1141">
        <v>1</v>
      </c>
      <c r="D1141" s="17" t="s">
        <v>155</v>
      </c>
      <c r="E1141" s="17"/>
      <c r="F1141" s="17" t="s">
        <v>156</v>
      </c>
      <c r="G1141" s="17"/>
      <c r="H1141" s="17" t="s">
        <v>692</v>
      </c>
      <c r="I1141" s="17"/>
      <c r="J1141" s="17" t="s">
        <v>693</v>
      </c>
      <c r="K1141" s="17"/>
      <c r="L1141" s="17"/>
      <c r="M1141" s="17"/>
      <c r="N1141" s="17" t="s">
        <v>7526</v>
      </c>
      <c r="O1141" s="17"/>
      <c r="P1141" s="17" t="s">
        <v>7542</v>
      </c>
      <c r="Q1141" s="17"/>
      <c r="R1141" s="25" t="str">
        <f>HYPERLINK("https://ictv.global/taxonomy/taxondetails?taxnode_id=202308117","Shenzhenvirus AhSzq1")</f>
        <v>Shenzhenvirus AhSzq1</v>
      </c>
      <c r="S1141" s="18" t="s">
        <v>30</v>
      </c>
      <c r="T1141" s="18" t="s">
        <v>7543</v>
      </c>
      <c r="U1141" s="18"/>
      <c r="V1141" s="18"/>
      <c r="W1141" s="18" t="s">
        <v>7544</v>
      </c>
      <c r="X1141" s="18" t="s">
        <v>154</v>
      </c>
      <c r="Y1141" s="18" t="s">
        <v>36</v>
      </c>
      <c r="Z1141" s="18" t="s">
        <v>697</v>
      </c>
      <c r="AA1141" s="21" t="str">
        <f>HYPERLINK("https://www.ncbi.nlm.nih.gov/nuccore/MG676224","NCBI Nucleotide")</f>
        <v>NCBI Nucleotide</v>
      </c>
    </row>
    <row r="1142" spans="1:27" x14ac:dyDescent="0.35">
      <c r="A1142">
        <v>1001619</v>
      </c>
      <c r="B1142">
        <v>1141</v>
      </c>
      <c r="C1142">
        <v>1</v>
      </c>
      <c r="D1142" s="17" t="s">
        <v>155</v>
      </c>
      <c r="E1142" s="17"/>
      <c r="F1142" s="17" t="s">
        <v>156</v>
      </c>
      <c r="G1142" s="17"/>
      <c r="H1142" s="17" t="s">
        <v>692</v>
      </c>
      <c r="I1142" s="17"/>
      <c r="J1142" s="17" t="s">
        <v>693</v>
      </c>
      <c r="K1142" s="17"/>
      <c r="L1142" s="17"/>
      <c r="M1142" s="17"/>
      <c r="N1142" s="17" t="s">
        <v>7526</v>
      </c>
      <c r="O1142" s="17"/>
      <c r="P1142" s="17" t="s">
        <v>7542</v>
      </c>
      <c r="Q1142" s="17"/>
      <c r="R1142" s="25" t="str">
        <f>HYPERLINK("https://ictv.global/taxonomy/taxondetails?taxnode_id=202308116","Shenzhenvirus AhSzw1")</f>
        <v>Shenzhenvirus AhSzw1</v>
      </c>
      <c r="S1142" s="18" t="s">
        <v>30</v>
      </c>
      <c r="T1142" s="18" t="s">
        <v>7545</v>
      </c>
      <c r="U1142" s="18"/>
      <c r="V1142" s="18"/>
      <c r="W1142" s="18" t="s">
        <v>7546</v>
      </c>
      <c r="X1142" s="18" t="s">
        <v>42</v>
      </c>
      <c r="Y1142" s="18" t="s">
        <v>36</v>
      </c>
      <c r="Z1142" s="18" t="s">
        <v>697</v>
      </c>
      <c r="AA1142" s="21" t="str">
        <f>HYPERLINK("https://www.ncbi.nlm.nih.gov/nuccore/MG676225","NCBI Nucleotide")</f>
        <v>NCBI Nucleotide</v>
      </c>
    </row>
    <row r="1143" spans="1:27" x14ac:dyDescent="0.35">
      <c r="A1143">
        <v>1024869</v>
      </c>
      <c r="B1143">
        <v>1142</v>
      </c>
      <c r="C1143">
        <v>1</v>
      </c>
      <c r="D1143" s="17" t="s">
        <v>155</v>
      </c>
      <c r="E1143" s="17"/>
      <c r="F1143" s="17" t="s">
        <v>156</v>
      </c>
      <c r="G1143" s="17"/>
      <c r="H1143" s="17" t="s">
        <v>692</v>
      </c>
      <c r="I1143" s="17"/>
      <c r="J1143" s="17" t="s">
        <v>693</v>
      </c>
      <c r="K1143" s="17"/>
      <c r="L1143" s="17"/>
      <c r="M1143" s="17"/>
      <c r="N1143" s="17" t="s">
        <v>7526</v>
      </c>
      <c r="O1143" s="17"/>
      <c r="P1143" s="17" t="s">
        <v>7547</v>
      </c>
      <c r="Q1143" s="17"/>
      <c r="R1143" s="25" t="str">
        <f>HYPERLINK("https://ictv.global/taxonomy/taxondetails?taxnode_id=202319298","Sugarlandvirus AmPhEK80")</f>
        <v>Sugarlandvirus AmPhEK80</v>
      </c>
      <c r="S1143" s="18" t="s">
        <v>30</v>
      </c>
      <c r="T1143" s="18" t="s">
        <v>39128</v>
      </c>
      <c r="U1143" s="18"/>
      <c r="V1143" s="18"/>
      <c r="W1143" s="18" t="s">
        <v>47975</v>
      </c>
      <c r="X1143" s="18" t="s">
        <v>42</v>
      </c>
      <c r="Y1143" s="18" t="s">
        <v>36</v>
      </c>
      <c r="Z1143" s="18" t="s">
        <v>697</v>
      </c>
      <c r="AA1143" s="21" t="str">
        <f>HYPERLINK("https://www.ncbi.nlm.nih.gov/nuccore/MN434094","NCBI Nucleotide")</f>
        <v>NCBI Nucleotide</v>
      </c>
    </row>
    <row r="1144" spans="1:27" x14ac:dyDescent="0.35">
      <c r="A1144">
        <v>1024870</v>
      </c>
      <c r="B1144">
        <v>1143</v>
      </c>
      <c r="C1144">
        <v>1</v>
      </c>
      <c r="D1144" s="17" t="s">
        <v>155</v>
      </c>
      <c r="E1144" s="17"/>
      <c r="F1144" s="17" t="s">
        <v>156</v>
      </c>
      <c r="G1144" s="17"/>
      <c r="H1144" s="17" t="s">
        <v>692</v>
      </c>
      <c r="I1144" s="17"/>
      <c r="J1144" s="17" t="s">
        <v>693</v>
      </c>
      <c r="K1144" s="17"/>
      <c r="L1144" s="17"/>
      <c r="M1144" s="17"/>
      <c r="N1144" s="17" t="s">
        <v>7526</v>
      </c>
      <c r="O1144" s="17"/>
      <c r="P1144" s="17" t="s">
        <v>7547</v>
      </c>
      <c r="Q1144" s="17"/>
      <c r="R1144" s="25" t="str">
        <f>HYPERLINK("https://ictv.global/taxonomy/taxondetails?taxnode_id=202319306","Sugarlandvirus anoxic")</f>
        <v>Sugarlandvirus anoxic</v>
      </c>
      <c r="S1144" s="18" t="s">
        <v>30</v>
      </c>
      <c r="T1144" s="18" t="s">
        <v>39129</v>
      </c>
      <c r="U1144" s="18"/>
      <c r="V1144" s="18"/>
      <c r="W1144" s="18" t="s">
        <v>47976</v>
      </c>
      <c r="X1144" s="18" t="s">
        <v>42</v>
      </c>
      <c r="Y1144" s="18" t="s">
        <v>36</v>
      </c>
      <c r="Z1144" s="18" t="s">
        <v>697</v>
      </c>
      <c r="AA1144" s="21" t="str">
        <f>HYPERLINK("https://www.ncbi.nlm.nih.gov/nuccore/LR881109","NCBI Nucleotide")</f>
        <v>NCBI Nucleotide</v>
      </c>
    </row>
    <row r="1145" spans="1:27" x14ac:dyDescent="0.35">
      <c r="A1145">
        <v>1024871</v>
      </c>
      <c r="B1145">
        <v>1144</v>
      </c>
      <c r="C1145">
        <v>1</v>
      </c>
      <c r="D1145" s="17" t="s">
        <v>155</v>
      </c>
      <c r="E1145" s="17"/>
      <c r="F1145" s="17" t="s">
        <v>156</v>
      </c>
      <c r="G1145" s="17"/>
      <c r="H1145" s="17" t="s">
        <v>692</v>
      </c>
      <c r="I1145" s="17"/>
      <c r="J1145" s="17" t="s">
        <v>693</v>
      </c>
      <c r="K1145" s="17"/>
      <c r="L1145" s="17"/>
      <c r="M1145" s="17"/>
      <c r="N1145" s="17" t="s">
        <v>7526</v>
      </c>
      <c r="O1145" s="17"/>
      <c r="P1145" s="17" t="s">
        <v>7547</v>
      </c>
      <c r="Q1145" s="17"/>
      <c r="R1145" s="25" t="str">
        <f>HYPERLINK("https://ictv.global/taxonomy/taxondetails?taxnode_id=202319307","Sugarlandvirus B01")</f>
        <v>Sugarlandvirus B01</v>
      </c>
      <c r="S1145" s="18" t="s">
        <v>30</v>
      </c>
      <c r="T1145" s="18" t="s">
        <v>39130</v>
      </c>
      <c r="U1145" s="18"/>
      <c r="V1145" s="18"/>
      <c r="W1145" s="18" t="s">
        <v>47977</v>
      </c>
      <c r="X1145" s="18" t="s">
        <v>42</v>
      </c>
      <c r="Y1145" s="18" t="s">
        <v>36</v>
      </c>
      <c r="Z1145" s="18" t="s">
        <v>697</v>
      </c>
      <c r="AA1145" s="21" t="str">
        <f>HYPERLINK("https://www.ncbi.nlm.nih.gov/nuccore/MT380195","NCBI Nucleotide")</f>
        <v>NCBI Nucleotide</v>
      </c>
    </row>
    <row r="1146" spans="1:27" x14ac:dyDescent="0.35">
      <c r="A1146">
        <v>1024872</v>
      </c>
      <c r="B1146">
        <v>1145</v>
      </c>
      <c r="C1146">
        <v>1</v>
      </c>
      <c r="D1146" s="17" t="s">
        <v>155</v>
      </c>
      <c r="E1146" s="17"/>
      <c r="F1146" s="17" t="s">
        <v>156</v>
      </c>
      <c r="G1146" s="17"/>
      <c r="H1146" s="17" t="s">
        <v>692</v>
      </c>
      <c r="I1146" s="17"/>
      <c r="J1146" s="17" t="s">
        <v>693</v>
      </c>
      <c r="K1146" s="17"/>
      <c r="L1146" s="17"/>
      <c r="M1146" s="17"/>
      <c r="N1146" s="17" t="s">
        <v>7526</v>
      </c>
      <c r="O1146" s="17"/>
      <c r="P1146" s="17" t="s">
        <v>7547</v>
      </c>
      <c r="Q1146" s="17"/>
      <c r="R1146" s="25" t="str">
        <f>HYPERLINK("https://ictv.global/taxonomy/taxondetails?taxnode_id=202319311","Sugarlandvirus FZ41")</f>
        <v>Sugarlandvirus FZ41</v>
      </c>
      <c r="S1146" s="18" t="s">
        <v>30</v>
      </c>
      <c r="T1146" s="18" t="s">
        <v>39131</v>
      </c>
      <c r="U1146" s="18"/>
      <c r="V1146" s="18"/>
      <c r="W1146" s="18" t="s">
        <v>47978</v>
      </c>
      <c r="X1146" s="18" t="s">
        <v>42</v>
      </c>
      <c r="Y1146" s="18" t="s">
        <v>36</v>
      </c>
      <c r="Z1146" s="18" t="s">
        <v>697</v>
      </c>
      <c r="AA1146" s="21" t="str">
        <f>HYPERLINK("https://www.ncbi.nlm.nih.gov/nuccore/MK521907","NCBI Nucleotide")</f>
        <v>NCBI Nucleotide</v>
      </c>
    </row>
    <row r="1147" spans="1:27" x14ac:dyDescent="0.35">
      <c r="A1147">
        <v>1024873</v>
      </c>
      <c r="B1147">
        <v>1146</v>
      </c>
      <c r="C1147">
        <v>1</v>
      </c>
      <c r="D1147" s="17" t="s">
        <v>155</v>
      </c>
      <c r="E1147" s="17"/>
      <c r="F1147" s="17" t="s">
        <v>156</v>
      </c>
      <c r="G1147" s="17"/>
      <c r="H1147" s="17" t="s">
        <v>692</v>
      </c>
      <c r="I1147" s="17"/>
      <c r="J1147" s="17" t="s">
        <v>693</v>
      </c>
      <c r="K1147" s="17"/>
      <c r="L1147" s="17"/>
      <c r="M1147" s="17"/>
      <c r="N1147" s="17" t="s">
        <v>7526</v>
      </c>
      <c r="O1147" s="17"/>
      <c r="P1147" s="17" t="s">
        <v>7547</v>
      </c>
      <c r="Q1147" s="17"/>
      <c r="R1147" s="25" t="str">
        <f>HYPERLINK("https://ictv.global/taxonomy/taxondetails?taxnode_id=202319299","Sugarlandvirus GZ8")</f>
        <v>Sugarlandvirus GZ8</v>
      </c>
      <c r="S1147" s="18" t="s">
        <v>30</v>
      </c>
      <c r="T1147" s="18" t="s">
        <v>39132</v>
      </c>
      <c r="U1147" s="18"/>
      <c r="V1147" s="18"/>
      <c r="W1147" s="18" t="s">
        <v>47979</v>
      </c>
      <c r="X1147" s="18" t="s">
        <v>42</v>
      </c>
      <c r="Y1147" s="18" t="s">
        <v>36</v>
      </c>
      <c r="Z1147" s="18" t="s">
        <v>697</v>
      </c>
      <c r="AA1147" s="21" t="str">
        <f>HYPERLINK("https://www.ncbi.nlm.nih.gov/nuccore/OP171943","NCBI Nucleotide")</f>
        <v>NCBI Nucleotide</v>
      </c>
    </row>
    <row r="1148" spans="1:27" x14ac:dyDescent="0.35">
      <c r="A1148">
        <v>1001620</v>
      </c>
      <c r="B1148">
        <v>1147</v>
      </c>
      <c r="C1148">
        <v>1</v>
      </c>
      <c r="D1148" s="17" t="s">
        <v>155</v>
      </c>
      <c r="E1148" s="17"/>
      <c r="F1148" s="17" t="s">
        <v>156</v>
      </c>
      <c r="G1148" s="17"/>
      <c r="H1148" s="17" t="s">
        <v>692</v>
      </c>
      <c r="I1148" s="17"/>
      <c r="J1148" s="17" t="s">
        <v>693</v>
      </c>
      <c r="K1148" s="17"/>
      <c r="L1148" s="17"/>
      <c r="M1148" s="17"/>
      <c r="N1148" s="17" t="s">
        <v>7526</v>
      </c>
      <c r="O1148" s="17"/>
      <c r="P1148" s="17" t="s">
        <v>7547</v>
      </c>
      <c r="Q1148" s="17"/>
      <c r="R1148" s="25" t="str">
        <f>HYPERLINK("https://ictv.global/taxonomy/taxondetails?taxnode_id=202307065","Sugarlandvirus IME260")</f>
        <v>Sugarlandvirus IME260</v>
      </c>
      <c r="S1148" s="18" t="s">
        <v>30</v>
      </c>
      <c r="T1148" s="18" t="s">
        <v>7548</v>
      </c>
      <c r="U1148" s="18"/>
      <c r="V1148" s="18"/>
      <c r="W1148" s="18" t="s">
        <v>7549</v>
      </c>
      <c r="X1148" s="18" t="s">
        <v>42</v>
      </c>
      <c r="Y1148" s="18" t="s">
        <v>36</v>
      </c>
      <c r="Z1148" s="18" t="s">
        <v>697</v>
      </c>
      <c r="AA1148" s="21" t="str">
        <f>HYPERLINK("https://www.ncbi.nlm.nih.gov/nuccore/KX845404","NCBI Nucleotide")</f>
        <v>NCBI Nucleotide</v>
      </c>
    </row>
    <row r="1149" spans="1:27" x14ac:dyDescent="0.35">
      <c r="A1149">
        <v>1024874</v>
      </c>
      <c r="B1149">
        <v>1148</v>
      </c>
      <c r="C1149">
        <v>1</v>
      </c>
      <c r="D1149" s="17" t="s">
        <v>155</v>
      </c>
      <c r="E1149" s="17"/>
      <c r="F1149" s="17" t="s">
        <v>156</v>
      </c>
      <c r="G1149" s="17"/>
      <c r="H1149" s="17" t="s">
        <v>692</v>
      </c>
      <c r="I1149" s="17"/>
      <c r="J1149" s="17" t="s">
        <v>693</v>
      </c>
      <c r="K1149" s="17"/>
      <c r="L1149" s="17"/>
      <c r="M1149" s="17"/>
      <c r="N1149" s="17" t="s">
        <v>7526</v>
      </c>
      <c r="O1149" s="17"/>
      <c r="P1149" s="17" t="s">
        <v>7547</v>
      </c>
      <c r="Q1149" s="17"/>
      <c r="R1149" s="25" t="str">
        <f>HYPERLINK("https://ictv.global/taxonomy/taxondetails?taxnode_id=202319301","Sugarlandvirus JIPhKp127")</f>
        <v>Sugarlandvirus JIPhKp127</v>
      </c>
      <c r="S1149" s="18" t="s">
        <v>30</v>
      </c>
      <c r="T1149" s="18" t="s">
        <v>39133</v>
      </c>
      <c r="U1149" s="18"/>
      <c r="V1149" s="18"/>
      <c r="W1149" s="18" t="s">
        <v>47980</v>
      </c>
      <c r="X1149" s="18" t="s">
        <v>42</v>
      </c>
      <c r="Y1149" s="18" t="s">
        <v>36</v>
      </c>
      <c r="Z1149" s="18" t="s">
        <v>697</v>
      </c>
      <c r="AA1149" s="21" t="str">
        <f>HYPERLINK("https://www.ncbi.nlm.nih.gov/nuccore/MN434096","NCBI Nucleotide")</f>
        <v>NCBI Nucleotide</v>
      </c>
    </row>
    <row r="1150" spans="1:27" x14ac:dyDescent="0.35">
      <c r="A1150">
        <v>1024875</v>
      </c>
      <c r="B1150">
        <v>1149</v>
      </c>
      <c r="C1150">
        <v>1</v>
      </c>
      <c r="D1150" s="17" t="s">
        <v>155</v>
      </c>
      <c r="E1150" s="17"/>
      <c r="F1150" s="17" t="s">
        <v>156</v>
      </c>
      <c r="G1150" s="17"/>
      <c r="H1150" s="17" t="s">
        <v>692</v>
      </c>
      <c r="I1150" s="17"/>
      <c r="J1150" s="17" t="s">
        <v>693</v>
      </c>
      <c r="K1150" s="17"/>
      <c r="L1150" s="17"/>
      <c r="M1150" s="17"/>
      <c r="N1150" s="17" t="s">
        <v>7526</v>
      </c>
      <c r="O1150" s="17"/>
      <c r="P1150" s="17" t="s">
        <v>7547</v>
      </c>
      <c r="Q1150" s="17"/>
      <c r="R1150" s="25" t="str">
        <f>HYPERLINK("https://ictv.global/taxonomy/taxondetails?taxnode_id=202319303","Sugarlandvirus KpGranit")</f>
        <v>Sugarlandvirus KpGranit</v>
      </c>
      <c r="S1150" s="18" t="s">
        <v>30</v>
      </c>
      <c r="T1150" s="18" t="s">
        <v>39134</v>
      </c>
      <c r="U1150" s="18"/>
      <c r="V1150" s="18"/>
      <c r="W1150" s="18" t="s">
        <v>47981</v>
      </c>
      <c r="X1150" s="18" t="s">
        <v>42</v>
      </c>
      <c r="Y1150" s="18" t="s">
        <v>36</v>
      </c>
      <c r="Z1150" s="18" t="s">
        <v>697</v>
      </c>
      <c r="AA1150" s="21" t="str">
        <f>HYPERLINK("https://www.ncbi.nlm.nih.gov/nuccore/MN163280","NCBI Nucleotide")</f>
        <v>NCBI Nucleotide</v>
      </c>
    </row>
    <row r="1151" spans="1:27" x14ac:dyDescent="0.35">
      <c r="A1151">
        <v>1024876</v>
      </c>
      <c r="B1151">
        <v>1150</v>
      </c>
      <c r="C1151">
        <v>1</v>
      </c>
      <c r="D1151" s="17" t="s">
        <v>155</v>
      </c>
      <c r="E1151" s="17"/>
      <c r="F1151" s="17" t="s">
        <v>156</v>
      </c>
      <c r="G1151" s="17"/>
      <c r="H1151" s="17" t="s">
        <v>692</v>
      </c>
      <c r="I1151" s="17"/>
      <c r="J1151" s="17" t="s">
        <v>693</v>
      </c>
      <c r="K1151" s="17"/>
      <c r="L1151" s="17"/>
      <c r="M1151" s="17"/>
      <c r="N1151" s="17" t="s">
        <v>7526</v>
      </c>
      <c r="O1151" s="17"/>
      <c r="P1151" s="17" t="s">
        <v>7547</v>
      </c>
      <c r="Q1151" s="17"/>
      <c r="R1151" s="25" t="str">
        <f>HYPERLINK("https://ictv.global/taxonomy/taxondetails?taxnode_id=202319300","Sugarlandvirus KPN4")</f>
        <v>Sugarlandvirus KPN4</v>
      </c>
      <c r="S1151" s="18" t="s">
        <v>30</v>
      </c>
      <c r="T1151" s="18" t="s">
        <v>39135</v>
      </c>
      <c r="U1151" s="18"/>
      <c r="V1151" s="18"/>
      <c r="W1151" s="18" t="s">
        <v>47982</v>
      </c>
      <c r="X1151" s="18" t="s">
        <v>42</v>
      </c>
      <c r="Y1151" s="18" t="s">
        <v>36</v>
      </c>
      <c r="Z1151" s="18" t="s">
        <v>697</v>
      </c>
      <c r="AA1151" s="21" t="str">
        <f>HYPERLINK("https://www.ncbi.nlm.nih.gov/nuccore/MN101228","NCBI Nucleotide")</f>
        <v>NCBI Nucleotide</v>
      </c>
    </row>
    <row r="1152" spans="1:27" x14ac:dyDescent="0.35">
      <c r="A1152">
        <v>1024877</v>
      </c>
      <c r="B1152">
        <v>1151</v>
      </c>
      <c r="C1152">
        <v>1</v>
      </c>
      <c r="D1152" s="17" t="s">
        <v>155</v>
      </c>
      <c r="E1152" s="17"/>
      <c r="F1152" s="17" t="s">
        <v>156</v>
      </c>
      <c r="G1152" s="17"/>
      <c r="H1152" s="17" t="s">
        <v>692</v>
      </c>
      <c r="I1152" s="17"/>
      <c r="J1152" s="17" t="s">
        <v>693</v>
      </c>
      <c r="K1152" s="17"/>
      <c r="L1152" s="17"/>
      <c r="M1152" s="17"/>
      <c r="N1152" s="17" t="s">
        <v>7526</v>
      </c>
      <c r="O1152" s="17"/>
      <c r="P1152" s="17" t="s">
        <v>7547</v>
      </c>
      <c r="Q1152" s="17"/>
      <c r="R1152" s="25" t="str">
        <f>HYPERLINK("https://ictv.global/taxonomy/taxondetails?taxnode_id=202319312","Sugarlandvirus PWKp9S")</f>
        <v>Sugarlandvirus PWKp9S</v>
      </c>
      <c r="S1152" s="18" t="s">
        <v>30</v>
      </c>
      <c r="T1152" s="18" t="s">
        <v>39136</v>
      </c>
      <c r="U1152" s="18"/>
      <c r="V1152" s="18"/>
      <c r="W1152" s="18" t="s">
        <v>47983</v>
      </c>
      <c r="X1152" s="18" t="s">
        <v>42</v>
      </c>
      <c r="Y1152" s="18" t="s">
        <v>36</v>
      </c>
      <c r="Z1152" s="18" t="s">
        <v>697</v>
      </c>
      <c r="AA1152" s="21" t="str">
        <f>HYPERLINK("https://www.ncbi.nlm.nih.gov/nuccore/MZ634344","NCBI Nucleotide")</f>
        <v>NCBI Nucleotide</v>
      </c>
    </row>
    <row r="1153" spans="1:27" x14ac:dyDescent="0.35">
      <c r="A1153">
        <v>1024878</v>
      </c>
      <c r="B1153">
        <v>1152</v>
      </c>
      <c r="C1153">
        <v>1</v>
      </c>
      <c r="D1153" s="17" t="s">
        <v>155</v>
      </c>
      <c r="E1153" s="17"/>
      <c r="F1153" s="17" t="s">
        <v>156</v>
      </c>
      <c r="G1153" s="17"/>
      <c r="H1153" s="17" t="s">
        <v>692</v>
      </c>
      <c r="I1153" s="17"/>
      <c r="J1153" s="17" t="s">
        <v>693</v>
      </c>
      <c r="K1153" s="17"/>
      <c r="L1153" s="17"/>
      <c r="M1153" s="17"/>
      <c r="N1153" s="17" t="s">
        <v>7526</v>
      </c>
      <c r="O1153" s="17"/>
      <c r="P1153" s="17" t="s">
        <v>7547</v>
      </c>
      <c r="Q1153" s="17"/>
      <c r="R1153" s="25" t="str">
        <f>HYPERLINK("https://ictv.global/taxonomy/taxondetails?taxnode_id=202319308","Sugarlandvirus ShaphcTDM11244")</f>
        <v>Sugarlandvirus ShaphcTDM11244</v>
      </c>
      <c r="S1153" s="18" t="s">
        <v>30</v>
      </c>
      <c r="T1153" s="18" t="s">
        <v>39137</v>
      </c>
      <c r="U1153" s="18"/>
      <c r="V1153" s="18"/>
      <c r="W1153" s="18" t="s">
        <v>47984</v>
      </c>
      <c r="X1153" s="18" t="s">
        <v>42</v>
      </c>
      <c r="Y1153" s="18" t="s">
        <v>36</v>
      </c>
      <c r="Z1153" s="18" t="s">
        <v>697</v>
      </c>
      <c r="AA1153" s="21" t="str">
        <f>HYPERLINK("https://www.ncbi.nlm.nih.gov/nuccore/MW713578","NCBI Nucleotide")</f>
        <v>NCBI Nucleotide</v>
      </c>
    </row>
    <row r="1154" spans="1:27" x14ac:dyDescent="0.35">
      <c r="A1154">
        <v>1024879</v>
      </c>
      <c r="B1154">
        <v>1153</v>
      </c>
      <c r="C1154">
        <v>1</v>
      </c>
      <c r="D1154" s="17" t="s">
        <v>155</v>
      </c>
      <c r="E1154" s="17"/>
      <c r="F1154" s="17" t="s">
        <v>156</v>
      </c>
      <c r="G1154" s="17"/>
      <c r="H1154" s="17" t="s">
        <v>692</v>
      </c>
      <c r="I1154" s="17"/>
      <c r="J1154" s="17" t="s">
        <v>693</v>
      </c>
      <c r="K1154" s="17"/>
      <c r="L1154" s="17"/>
      <c r="M1154" s="17"/>
      <c r="N1154" s="17" t="s">
        <v>7526</v>
      </c>
      <c r="O1154" s="17"/>
      <c r="P1154" s="17" t="s">
        <v>7547</v>
      </c>
      <c r="Q1154" s="17"/>
      <c r="R1154" s="25" t="str">
        <f>HYPERLINK("https://ictv.global/taxonomy/taxondetails?taxnode_id=202319305","Sugarlandvirus storm")</f>
        <v>Sugarlandvirus storm</v>
      </c>
      <c r="S1154" s="18" t="s">
        <v>30</v>
      </c>
      <c r="T1154" s="18" t="s">
        <v>39138</v>
      </c>
      <c r="U1154" s="18"/>
      <c r="V1154" s="18"/>
      <c r="W1154" s="18" t="s">
        <v>47985</v>
      </c>
      <c r="X1154" s="18" t="s">
        <v>42</v>
      </c>
      <c r="Y1154" s="18" t="s">
        <v>36</v>
      </c>
      <c r="Z1154" s="18" t="s">
        <v>697</v>
      </c>
      <c r="AA1154" s="21" t="str">
        <f>HYPERLINK("https://www.ncbi.nlm.nih.gov/nuccore/LR881112","NCBI Nucleotide")</f>
        <v>NCBI Nucleotide</v>
      </c>
    </row>
    <row r="1155" spans="1:27" x14ac:dyDescent="0.35">
      <c r="A1155">
        <v>1001621</v>
      </c>
      <c r="B1155">
        <v>1154</v>
      </c>
      <c r="C1155">
        <v>1</v>
      </c>
      <c r="D1155" s="17" t="s">
        <v>155</v>
      </c>
      <c r="E1155" s="17"/>
      <c r="F1155" s="17" t="s">
        <v>156</v>
      </c>
      <c r="G1155" s="17"/>
      <c r="H1155" s="17" t="s">
        <v>692</v>
      </c>
      <c r="I1155" s="17"/>
      <c r="J1155" s="17" t="s">
        <v>693</v>
      </c>
      <c r="K1155" s="17"/>
      <c r="L1155" s="17"/>
      <c r="M1155" s="17"/>
      <c r="N1155" s="17" t="s">
        <v>7526</v>
      </c>
      <c r="O1155" s="17"/>
      <c r="P1155" s="17" t="s">
        <v>7547</v>
      </c>
      <c r="Q1155" s="17"/>
      <c r="R1155" s="25" t="str">
        <f>HYPERLINK("https://ictv.global/taxonomy/taxondetails?taxnode_id=202307064","Sugarlandvirus sugarland")</f>
        <v>Sugarlandvirus sugarland</v>
      </c>
      <c r="S1155" s="18" t="s">
        <v>30</v>
      </c>
      <c r="T1155" s="18" t="s">
        <v>7550</v>
      </c>
      <c r="U1155" s="18"/>
      <c r="V1155" s="18"/>
      <c r="W1155" s="18" t="s">
        <v>7551</v>
      </c>
      <c r="X1155" s="18" t="s">
        <v>42</v>
      </c>
      <c r="Y1155" s="18" t="s">
        <v>36</v>
      </c>
      <c r="Z1155" s="18" t="s">
        <v>697</v>
      </c>
      <c r="AA1155" s="21" t="str">
        <f>HYPERLINK("https://www.ncbi.nlm.nih.gov/nuccore/MG459987","NCBI Nucleotide")</f>
        <v>NCBI Nucleotide</v>
      </c>
    </row>
    <row r="1156" spans="1:27" x14ac:dyDescent="0.35">
      <c r="A1156">
        <v>1024880</v>
      </c>
      <c r="B1156">
        <v>1155</v>
      </c>
      <c r="C1156">
        <v>1</v>
      </c>
      <c r="D1156" s="17" t="s">
        <v>155</v>
      </c>
      <c r="E1156" s="17"/>
      <c r="F1156" s="17" t="s">
        <v>156</v>
      </c>
      <c r="G1156" s="17"/>
      <c r="H1156" s="17" t="s">
        <v>692</v>
      </c>
      <c r="I1156" s="17"/>
      <c r="J1156" s="17" t="s">
        <v>693</v>
      </c>
      <c r="K1156" s="17"/>
      <c r="L1156" s="17"/>
      <c r="M1156" s="17"/>
      <c r="N1156" s="17" t="s">
        <v>7526</v>
      </c>
      <c r="O1156" s="17"/>
      <c r="P1156" s="17" t="s">
        <v>7547</v>
      </c>
      <c r="Q1156" s="17"/>
      <c r="R1156" s="25" t="str">
        <f>HYPERLINK("https://ictv.global/taxonomy/taxondetails?taxnode_id=202319304","Sugarlandvirus totoro")</f>
        <v>Sugarlandvirus totoro</v>
      </c>
      <c r="S1156" s="18" t="s">
        <v>30</v>
      </c>
      <c r="T1156" s="18" t="s">
        <v>39139</v>
      </c>
      <c r="U1156" s="18"/>
      <c r="V1156" s="18"/>
      <c r="W1156" s="18" t="s">
        <v>47986</v>
      </c>
      <c r="X1156" s="18" t="s">
        <v>42</v>
      </c>
      <c r="Y1156" s="18" t="s">
        <v>36</v>
      </c>
      <c r="Z1156" s="18" t="s">
        <v>697</v>
      </c>
      <c r="AA1156" s="21" t="str">
        <f>HYPERLINK("https://www.ncbi.nlm.nih.gov/nuccore/LR881113","NCBI Nucleotide")</f>
        <v>NCBI Nucleotide</v>
      </c>
    </row>
    <row r="1157" spans="1:27" x14ac:dyDescent="0.35">
      <c r="A1157">
        <v>1024881</v>
      </c>
      <c r="B1157">
        <v>1156</v>
      </c>
      <c r="C1157">
        <v>1</v>
      </c>
      <c r="D1157" s="17" t="s">
        <v>155</v>
      </c>
      <c r="E1157" s="17"/>
      <c r="F1157" s="17" t="s">
        <v>156</v>
      </c>
      <c r="G1157" s="17"/>
      <c r="H1157" s="17" t="s">
        <v>692</v>
      </c>
      <c r="I1157" s="17"/>
      <c r="J1157" s="17" t="s">
        <v>693</v>
      </c>
      <c r="K1157" s="17"/>
      <c r="L1157" s="17"/>
      <c r="M1157" s="17"/>
      <c r="N1157" s="17" t="s">
        <v>7526</v>
      </c>
      <c r="O1157" s="17"/>
      <c r="P1157" s="17" t="s">
        <v>7547</v>
      </c>
      <c r="Q1157" s="17"/>
      <c r="R1157" s="25" t="str">
        <f>HYPERLINK("https://ictv.global/taxonomy/taxondetails?taxnode_id=202319310","Sugarlandvirus Uniso31")</f>
        <v>Sugarlandvirus Uniso31</v>
      </c>
      <c r="S1157" s="18" t="s">
        <v>30</v>
      </c>
      <c r="T1157" s="18" t="s">
        <v>39140</v>
      </c>
      <c r="U1157" s="18"/>
      <c r="V1157" s="18"/>
      <c r="W1157" s="18" t="s">
        <v>47987</v>
      </c>
      <c r="X1157" s="18" t="s">
        <v>42</v>
      </c>
      <c r="Y1157" s="18" t="s">
        <v>36</v>
      </c>
      <c r="Z1157" s="18" t="s">
        <v>697</v>
      </c>
      <c r="AA1157" s="21" t="str">
        <f>HYPERLINK("https://www.ncbi.nlm.nih.gov/nuccore/ON637170","NCBI Nucleotide")</f>
        <v>NCBI Nucleotide</v>
      </c>
    </row>
    <row r="1158" spans="1:27" x14ac:dyDescent="0.35">
      <c r="A1158">
        <v>1024882</v>
      </c>
      <c r="B1158">
        <v>1157</v>
      </c>
      <c r="C1158">
        <v>1</v>
      </c>
      <c r="D1158" s="17" t="s">
        <v>155</v>
      </c>
      <c r="E1158" s="17"/>
      <c r="F1158" s="17" t="s">
        <v>156</v>
      </c>
      <c r="G1158" s="17"/>
      <c r="H1158" s="17" t="s">
        <v>692</v>
      </c>
      <c r="I1158" s="17"/>
      <c r="J1158" s="17" t="s">
        <v>693</v>
      </c>
      <c r="K1158" s="17"/>
      <c r="L1158" s="17"/>
      <c r="M1158" s="17"/>
      <c r="N1158" s="17" t="s">
        <v>7526</v>
      </c>
      <c r="O1158" s="17"/>
      <c r="P1158" s="17" t="s">
        <v>7547</v>
      </c>
      <c r="Q1158" s="17"/>
      <c r="R1158" s="25" t="str">
        <f>HYPERLINK("https://ictv.global/taxonomy/taxondetails?taxnode_id=202319309","Sugarlandvirus VAC35")</f>
        <v>Sugarlandvirus VAC35</v>
      </c>
      <c r="S1158" s="18" t="s">
        <v>30</v>
      </c>
      <c r="T1158" s="18" t="s">
        <v>39141</v>
      </c>
      <c r="U1158" s="18"/>
      <c r="V1158" s="18"/>
      <c r="W1158" s="18" t="s">
        <v>47988</v>
      </c>
      <c r="X1158" s="18" t="s">
        <v>42</v>
      </c>
      <c r="Y1158" s="18" t="s">
        <v>36</v>
      </c>
      <c r="Z1158" s="18" t="s">
        <v>697</v>
      </c>
      <c r="AA1158" s="21" t="str">
        <f>HYPERLINK("https://www.ncbi.nlm.nih.gov/nuccore/MZ571828","NCBI Nucleotide")</f>
        <v>NCBI Nucleotide</v>
      </c>
    </row>
    <row r="1159" spans="1:27" x14ac:dyDescent="0.35">
      <c r="A1159">
        <v>1024883</v>
      </c>
      <c r="B1159">
        <v>1158</v>
      </c>
      <c r="C1159">
        <v>1</v>
      </c>
      <c r="D1159" s="17" t="s">
        <v>155</v>
      </c>
      <c r="E1159" s="17"/>
      <c r="F1159" s="17" t="s">
        <v>156</v>
      </c>
      <c r="G1159" s="17"/>
      <c r="H1159" s="17" t="s">
        <v>692</v>
      </c>
      <c r="I1159" s="17"/>
      <c r="J1159" s="17" t="s">
        <v>693</v>
      </c>
      <c r="K1159" s="17"/>
      <c r="L1159" s="17"/>
      <c r="M1159" s="17"/>
      <c r="N1159" s="17" t="s">
        <v>7526</v>
      </c>
      <c r="O1159" s="17"/>
      <c r="P1159" s="17" t="s">
        <v>7547</v>
      </c>
      <c r="Q1159" s="17"/>
      <c r="R1159" s="25" t="str">
        <f>HYPERLINK("https://ictv.global/taxonomy/taxondetails?taxnode_id=202319302","Sugarlandvirus VAC51")</f>
        <v>Sugarlandvirus VAC51</v>
      </c>
      <c r="S1159" s="18" t="s">
        <v>30</v>
      </c>
      <c r="T1159" s="18" t="s">
        <v>39142</v>
      </c>
      <c r="U1159" s="18"/>
      <c r="V1159" s="18"/>
      <c r="W1159" s="18" t="s">
        <v>47989</v>
      </c>
      <c r="X1159" s="18" t="s">
        <v>42</v>
      </c>
      <c r="Y1159" s="18" t="s">
        <v>36</v>
      </c>
      <c r="Z1159" s="18" t="s">
        <v>697</v>
      </c>
      <c r="AA1159" s="21" t="str">
        <f>HYPERLINK("https://www.ncbi.nlm.nih.gov/nuccore/MZ571830","NCBI Nucleotide")</f>
        <v>NCBI Nucleotide</v>
      </c>
    </row>
    <row r="1160" spans="1:27" x14ac:dyDescent="0.35">
      <c r="A1160">
        <v>1024884</v>
      </c>
      <c r="B1160">
        <v>1159</v>
      </c>
      <c r="C1160">
        <v>1</v>
      </c>
      <c r="D1160" s="17" t="s">
        <v>155</v>
      </c>
      <c r="E1160" s="17"/>
      <c r="F1160" s="17" t="s">
        <v>156</v>
      </c>
      <c r="G1160" s="17"/>
      <c r="H1160" s="17" t="s">
        <v>692</v>
      </c>
      <c r="I1160" s="17"/>
      <c r="J1160" s="17" t="s">
        <v>693</v>
      </c>
      <c r="K1160" s="17"/>
      <c r="L1160" s="17"/>
      <c r="M1160" s="17"/>
      <c r="N1160" s="17" t="s">
        <v>7526</v>
      </c>
      <c r="O1160" s="17"/>
      <c r="P1160" s="17" t="s">
        <v>7547</v>
      </c>
      <c r="Q1160" s="17"/>
      <c r="R1160" s="25" t="str">
        <f>HYPERLINK("https://ictv.global/taxonomy/taxondetails?taxnode_id=202319297","Sugarlandvirus veronica")</f>
        <v>Sugarlandvirus veronica</v>
      </c>
      <c r="S1160" s="18" t="s">
        <v>30</v>
      </c>
      <c r="T1160" s="18" t="s">
        <v>39143</v>
      </c>
      <c r="U1160" s="18"/>
      <c r="V1160" s="18"/>
      <c r="W1160" s="18" t="s">
        <v>47990</v>
      </c>
      <c r="X1160" s="18" t="s">
        <v>42</v>
      </c>
      <c r="Y1160" s="18" t="s">
        <v>36</v>
      </c>
      <c r="Z1160" s="18" t="s">
        <v>697</v>
      </c>
      <c r="AA1160" s="21" t="str">
        <f>HYPERLINK("https://www.ncbi.nlm.nih.gov/nuccore/LR881116","NCBI Nucleotide")</f>
        <v>NCBI Nucleotide</v>
      </c>
    </row>
    <row r="1161" spans="1:27" x14ac:dyDescent="0.35">
      <c r="A1161">
        <v>1024698</v>
      </c>
      <c r="B1161">
        <v>1160</v>
      </c>
      <c r="C1161">
        <v>1</v>
      </c>
      <c r="D1161" s="17" t="s">
        <v>155</v>
      </c>
      <c r="E1161" s="17"/>
      <c r="F1161" s="17" t="s">
        <v>156</v>
      </c>
      <c r="G1161" s="17"/>
      <c r="H1161" s="17" t="s">
        <v>692</v>
      </c>
      <c r="I1161" s="17"/>
      <c r="J1161" s="17" t="s">
        <v>693</v>
      </c>
      <c r="K1161" s="17"/>
      <c r="L1161" s="17"/>
      <c r="M1161" s="17"/>
      <c r="N1161" s="17" t="s">
        <v>7745</v>
      </c>
      <c r="O1161" s="17" t="s">
        <v>7834</v>
      </c>
      <c r="P1161" s="17" t="s">
        <v>39144</v>
      </c>
      <c r="Q1161" s="17"/>
      <c r="R1161" s="25" t="str">
        <f>HYPERLINK("https://ictv.global/taxonomy/taxondetails?taxnode_id=202317952","Augustepiccardvirus augustepiccard")</f>
        <v>Augustepiccardvirus augustepiccard</v>
      </c>
      <c r="S1161" s="18" t="s">
        <v>30</v>
      </c>
      <c r="T1161" s="18" t="s">
        <v>39145</v>
      </c>
      <c r="U1161" s="18"/>
      <c r="V1161" s="18"/>
      <c r="W1161" s="18" t="s">
        <v>47991</v>
      </c>
      <c r="X1161" s="18" t="s">
        <v>42</v>
      </c>
      <c r="Y1161" s="18" t="s">
        <v>36</v>
      </c>
      <c r="Z1161" s="18" t="s">
        <v>697</v>
      </c>
      <c r="AA1161" s="21" t="str">
        <f>HYPERLINK("https://www.ncbi.nlm.nih.gov/nuccore/MZ501051","NCBI Nucleotide")</f>
        <v>NCBI Nucleotide</v>
      </c>
    </row>
    <row r="1162" spans="1:27" x14ac:dyDescent="0.35">
      <c r="A1162">
        <v>1001622</v>
      </c>
      <c r="B1162">
        <v>1161</v>
      </c>
      <c r="C1162">
        <v>1</v>
      </c>
      <c r="D1162" s="17" t="s">
        <v>155</v>
      </c>
      <c r="E1162" s="17"/>
      <c r="F1162" s="17" t="s">
        <v>156</v>
      </c>
      <c r="G1162" s="17"/>
      <c r="H1162" s="17" t="s">
        <v>692</v>
      </c>
      <c r="I1162" s="17"/>
      <c r="J1162" s="17" t="s">
        <v>693</v>
      </c>
      <c r="K1162" s="17"/>
      <c r="L1162" s="17"/>
      <c r="M1162" s="17"/>
      <c r="N1162" s="17" t="s">
        <v>7745</v>
      </c>
      <c r="O1162" s="17" t="s">
        <v>7834</v>
      </c>
      <c r="P1162" s="17" t="s">
        <v>7835</v>
      </c>
      <c r="Q1162" s="17"/>
      <c r="R1162" s="25" t="str">
        <f>HYPERLINK("https://ictv.global/taxonomy/taxondetails?taxnode_id=202308146","Christensenvirus IME542")</f>
        <v>Christensenvirus IME542</v>
      </c>
      <c r="S1162" s="18" t="s">
        <v>30</v>
      </c>
      <c r="T1162" s="18" t="s">
        <v>7836</v>
      </c>
      <c r="U1162" s="18"/>
      <c r="V1162" s="18"/>
      <c r="W1162" s="18" t="s">
        <v>7837</v>
      </c>
      <c r="X1162" s="18" t="s">
        <v>42</v>
      </c>
      <c r="Y1162" s="18" t="s">
        <v>36</v>
      </c>
      <c r="Z1162" s="18" t="s">
        <v>697</v>
      </c>
      <c r="AA1162" s="21" t="str">
        <f>HYPERLINK("https://www.ncbi.nlm.nih.gov/nuccore/MK372342","NCBI Nucleotide")</f>
        <v>NCBI Nucleotide</v>
      </c>
    </row>
    <row r="1163" spans="1:27" x14ac:dyDescent="0.35">
      <c r="A1163">
        <v>1001623</v>
      </c>
      <c r="B1163">
        <v>1162</v>
      </c>
      <c r="C1163">
        <v>1</v>
      </c>
      <c r="D1163" s="17" t="s">
        <v>155</v>
      </c>
      <c r="E1163" s="17"/>
      <c r="F1163" s="17" t="s">
        <v>156</v>
      </c>
      <c r="G1163" s="17"/>
      <c r="H1163" s="17" t="s">
        <v>692</v>
      </c>
      <c r="I1163" s="17"/>
      <c r="J1163" s="17" t="s">
        <v>693</v>
      </c>
      <c r="K1163" s="17"/>
      <c r="L1163" s="17"/>
      <c r="M1163" s="17"/>
      <c r="N1163" s="17" t="s">
        <v>7745</v>
      </c>
      <c r="O1163" s="17" t="s">
        <v>7834</v>
      </c>
      <c r="P1163" s="17" t="s">
        <v>7838</v>
      </c>
      <c r="Q1163" s="17"/>
      <c r="R1163" s="25" t="str">
        <f>HYPERLINK("https://ictv.global/taxonomy/taxondetails?taxnode_id=202300822","Guelphvirus ACGM12")</f>
        <v>Guelphvirus ACGM12</v>
      </c>
      <c r="S1163" s="18" t="s">
        <v>30</v>
      </c>
      <c r="T1163" s="18" t="s">
        <v>7839</v>
      </c>
      <c r="U1163" s="18"/>
      <c r="V1163" s="18"/>
      <c r="W1163" s="18" t="s">
        <v>7840</v>
      </c>
      <c r="X1163" s="18" t="s">
        <v>42</v>
      </c>
      <c r="Y1163" s="18" t="s">
        <v>36</v>
      </c>
      <c r="Z1163" s="18" t="s">
        <v>697</v>
      </c>
      <c r="AA1163" s="21" t="str">
        <f>HYPERLINK("https://www.ncbi.nlm.nih.gov/nuccore/JN986845","NCBI Nucleotide")</f>
        <v>NCBI Nucleotide</v>
      </c>
    </row>
    <row r="1164" spans="1:27" x14ac:dyDescent="0.35">
      <c r="A1164">
        <v>1024574</v>
      </c>
      <c r="B1164">
        <v>1163</v>
      </c>
      <c r="C1164">
        <v>1</v>
      </c>
      <c r="D1164" s="17" t="s">
        <v>155</v>
      </c>
      <c r="E1164" s="17"/>
      <c r="F1164" s="17" t="s">
        <v>156</v>
      </c>
      <c r="G1164" s="17"/>
      <c r="H1164" s="17" t="s">
        <v>692</v>
      </c>
      <c r="I1164" s="17"/>
      <c r="J1164" s="17" t="s">
        <v>693</v>
      </c>
      <c r="K1164" s="17"/>
      <c r="L1164" s="17"/>
      <c r="M1164" s="17"/>
      <c r="N1164" s="17" t="s">
        <v>7745</v>
      </c>
      <c r="O1164" s="17" t="s">
        <v>7834</v>
      </c>
      <c r="P1164" s="17" t="s">
        <v>7838</v>
      </c>
      <c r="Q1164" s="17"/>
      <c r="R1164" s="25" t="str">
        <f>HYPERLINK("https://ictv.global/taxonomy/taxondetails?taxnode_id=202317959","Guelphvirus SCS31")</f>
        <v>Guelphvirus SCS31</v>
      </c>
      <c r="S1164" s="18" t="s">
        <v>30</v>
      </c>
      <c r="T1164" s="18" t="s">
        <v>39146</v>
      </c>
      <c r="U1164" s="18"/>
      <c r="V1164" s="18"/>
      <c r="W1164" s="18" t="s">
        <v>47992</v>
      </c>
      <c r="X1164" s="18" t="s">
        <v>42</v>
      </c>
      <c r="Y1164" s="18" t="s">
        <v>36</v>
      </c>
      <c r="Z1164" s="18" t="s">
        <v>697</v>
      </c>
      <c r="AA1164" s="21" t="str">
        <f>HYPERLINK("https://www.ncbi.nlm.nih.gov/nuccore/ON081052","NCBI Nucleotide")</f>
        <v>NCBI Nucleotide</v>
      </c>
    </row>
    <row r="1165" spans="1:27" x14ac:dyDescent="0.35">
      <c r="A1165">
        <v>1025070</v>
      </c>
      <c r="B1165">
        <v>1164</v>
      </c>
      <c r="C1165">
        <v>1</v>
      </c>
      <c r="D1165" s="17" t="s">
        <v>155</v>
      </c>
      <c r="E1165" s="17"/>
      <c r="F1165" s="17" t="s">
        <v>156</v>
      </c>
      <c r="G1165" s="17"/>
      <c r="H1165" s="17" t="s">
        <v>692</v>
      </c>
      <c r="I1165" s="17"/>
      <c r="J1165" s="17" t="s">
        <v>693</v>
      </c>
      <c r="K1165" s="17"/>
      <c r="L1165" s="17"/>
      <c r="M1165" s="17"/>
      <c r="N1165" s="17" t="s">
        <v>7745</v>
      </c>
      <c r="O1165" s="17" t="s">
        <v>7834</v>
      </c>
      <c r="P1165" s="17" t="s">
        <v>39147</v>
      </c>
      <c r="Q1165" s="17"/>
      <c r="R1165" s="25" t="str">
        <f>HYPERLINK("https://ictv.global/taxonomy/taxondetails?taxnode_id=202317951","Inhoffenstrassevirus MM01")</f>
        <v>Inhoffenstrassevirus MM01</v>
      </c>
      <c r="S1165" s="18" t="s">
        <v>30</v>
      </c>
      <c r="T1165" s="18" t="s">
        <v>39148</v>
      </c>
      <c r="U1165" s="18"/>
      <c r="V1165" s="18"/>
      <c r="W1165" s="18" t="s">
        <v>47993</v>
      </c>
      <c r="X1165" s="18" t="s">
        <v>42</v>
      </c>
      <c r="Y1165" s="18" t="s">
        <v>36</v>
      </c>
      <c r="Z1165" s="18" t="s">
        <v>697</v>
      </c>
      <c r="AA1165" s="21" t="str">
        <f>HYPERLINK("https://www.ncbi.nlm.nih.gov/nuccore/MK373793","NCBI Nucleotide")</f>
        <v>NCBI Nucleotide</v>
      </c>
    </row>
    <row r="1166" spans="1:27" x14ac:dyDescent="0.35">
      <c r="A1166">
        <v>1025127</v>
      </c>
      <c r="B1166">
        <v>1165</v>
      </c>
      <c r="C1166">
        <v>1</v>
      </c>
      <c r="D1166" s="17" t="s">
        <v>155</v>
      </c>
      <c r="E1166" s="17"/>
      <c r="F1166" s="17" t="s">
        <v>156</v>
      </c>
      <c r="G1166" s="17"/>
      <c r="H1166" s="17" t="s">
        <v>692</v>
      </c>
      <c r="I1166" s="17"/>
      <c r="J1166" s="17" t="s">
        <v>693</v>
      </c>
      <c r="K1166" s="17"/>
      <c r="L1166" s="17"/>
      <c r="M1166" s="17"/>
      <c r="N1166" s="17" t="s">
        <v>7745</v>
      </c>
      <c r="O1166" s="17" t="s">
        <v>7834</v>
      </c>
      <c r="P1166" s="17" t="s">
        <v>39149</v>
      </c>
      <c r="Q1166" s="17"/>
      <c r="R1166" s="25" t="str">
        <f>HYPERLINK("https://ictv.global/taxonomy/taxondetails?taxnode_id=202317953","Julespiccardvirus julespiccard")</f>
        <v>Julespiccardvirus julespiccard</v>
      </c>
      <c r="S1166" s="18" t="s">
        <v>30</v>
      </c>
      <c r="T1166" s="18" t="s">
        <v>39150</v>
      </c>
      <c r="U1166" s="18"/>
      <c r="V1166" s="18"/>
      <c r="W1166" s="18" t="s">
        <v>47994</v>
      </c>
      <c r="X1166" s="18" t="s">
        <v>42</v>
      </c>
      <c r="Y1166" s="18" t="s">
        <v>36</v>
      </c>
      <c r="Z1166" s="18" t="s">
        <v>697</v>
      </c>
      <c r="AA1166" s="21" t="str">
        <f>HYPERLINK("https://www.ncbi.nlm.nih.gov/nuccore/MZ501087","NCBI Nucleotide")</f>
        <v>NCBI Nucleotide</v>
      </c>
    </row>
    <row r="1167" spans="1:27" x14ac:dyDescent="0.35">
      <c r="A1167">
        <v>1001625</v>
      </c>
      <c r="B1167">
        <v>1166</v>
      </c>
      <c r="C1167">
        <v>1</v>
      </c>
      <c r="D1167" s="17" t="s">
        <v>155</v>
      </c>
      <c r="E1167" s="17"/>
      <c r="F1167" s="17" t="s">
        <v>156</v>
      </c>
      <c r="G1167" s="17"/>
      <c r="H1167" s="17" t="s">
        <v>692</v>
      </c>
      <c r="I1167" s="17"/>
      <c r="J1167" s="17" t="s">
        <v>693</v>
      </c>
      <c r="K1167" s="17"/>
      <c r="L1167" s="17"/>
      <c r="M1167" s="17"/>
      <c r="N1167" s="17" t="s">
        <v>7745</v>
      </c>
      <c r="O1167" s="17" t="s">
        <v>7834</v>
      </c>
      <c r="P1167" s="17" t="s">
        <v>7843</v>
      </c>
      <c r="Q1167" s="17"/>
      <c r="R1167" s="25" t="str">
        <f>HYPERLINK("https://ictv.global/taxonomy/taxondetails?taxnode_id=202308148","Loudonvirus DTL")</f>
        <v>Loudonvirus DTL</v>
      </c>
      <c r="S1167" s="18" t="s">
        <v>30</v>
      </c>
      <c r="T1167" s="18" t="s">
        <v>7844</v>
      </c>
      <c r="U1167" s="18"/>
      <c r="V1167" s="18"/>
      <c r="W1167" s="18" t="s">
        <v>7845</v>
      </c>
      <c r="X1167" s="18" t="s">
        <v>42</v>
      </c>
      <c r="Y1167" s="18" t="s">
        <v>36</v>
      </c>
      <c r="Z1167" s="18" t="s">
        <v>697</v>
      </c>
      <c r="AA1167" s="21" t="str">
        <f>HYPERLINK("https://www.ncbi.nlm.nih.gov/nuccore/MG050172","NCBI Nucleotide")</f>
        <v>NCBI Nucleotide</v>
      </c>
    </row>
    <row r="1168" spans="1:27" x14ac:dyDescent="0.35">
      <c r="A1168">
        <v>1001624</v>
      </c>
      <c r="B1168">
        <v>1167</v>
      </c>
      <c r="C1168">
        <v>1</v>
      </c>
      <c r="D1168" s="17" t="s">
        <v>155</v>
      </c>
      <c r="E1168" s="17"/>
      <c r="F1168" s="17" t="s">
        <v>156</v>
      </c>
      <c r="G1168" s="17"/>
      <c r="H1168" s="17" t="s">
        <v>692</v>
      </c>
      <c r="I1168" s="17"/>
      <c r="J1168" s="17" t="s">
        <v>693</v>
      </c>
      <c r="K1168" s="17"/>
      <c r="L1168" s="17"/>
      <c r="M1168" s="17"/>
      <c r="N1168" s="17" t="s">
        <v>7745</v>
      </c>
      <c r="O1168" s="17" t="s">
        <v>7834</v>
      </c>
      <c r="P1168" s="17" t="s">
        <v>7843</v>
      </c>
      <c r="Q1168" s="17"/>
      <c r="R1168" s="25" t="str">
        <f>HYPERLINK("https://ictv.global/taxonomy/taxondetails?taxnode_id=202308150","Loudonvirus EC3a")</f>
        <v>Loudonvirus EC3a</v>
      </c>
      <c r="S1168" s="18" t="s">
        <v>30</v>
      </c>
      <c r="T1168" s="18" t="s">
        <v>7841</v>
      </c>
      <c r="U1168" s="18"/>
      <c r="V1168" s="18"/>
      <c r="W1168" s="18" t="s">
        <v>7842</v>
      </c>
      <c r="X1168" s="18" t="s">
        <v>42</v>
      </c>
      <c r="Y1168" s="18" t="s">
        <v>36</v>
      </c>
      <c r="Z1168" s="18" t="s">
        <v>697</v>
      </c>
      <c r="AA1168" s="21" t="str">
        <f>HYPERLINK("https://www.ncbi.nlm.nih.gov/nuccore/KY398841","NCBI Nucleotide")</f>
        <v>NCBI Nucleotide</v>
      </c>
    </row>
    <row r="1169" spans="1:27" x14ac:dyDescent="0.35">
      <c r="A1169">
        <v>1001626</v>
      </c>
      <c r="B1169">
        <v>1168</v>
      </c>
      <c r="C1169">
        <v>1</v>
      </c>
      <c r="D1169" s="17" t="s">
        <v>155</v>
      </c>
      <c r="E1169" s="17"/>
      <c r="F1169" s="17" t="s">
        <v>156</v>
      </c>
      <c r="G1169" s="17"/>
      <c r="H1169" s="17" t="s">
        <v>692</v>
      </c>
      <c r="I1169" s="17"/>
      <c r="J1169" s="17" t="s">
        <v>693</v>
      </c>
      <c r="K1169" s="17"/>
      <c r="L1169" s="17"/>
      <c r="M1169" s="17"/>
      <c r="N1169" s="17" t="s">
        <v>7745</v>
      </c>
      <c r="O1169" s="17" t="s">
        <v>7834</v>
      </c>
      <c r="P1169" s="17" t="s">
        <v>7846</v>
      </c>
      <c r="Q1169" s="17"/>
      <c r="R1169" s="25" t="str">
        <f>HYPERLINK("https://ictv.global/taxonomy/taxondetails?taxnode_id=202308144","Rtpvirus IME253")</f>
        <v>Rtpvirus IME253</v>
      </c>
      <c r="S1169" s="18" t="s">
        <v>30</v>
      </c>
      <c r="T1169" s="18" t="s">
        <v>7847</v>
      </c>
      <c r="U1169" s="18"/>
      <c r="V1169" s="18"/>
      <c r="W1169" s="18" t="s">
        <v>7848</v>
      </c>
      <c r="X1169" s="18" t="s">
        <v>42</v>
      </c>
      <c r="Y1169" s="18" t="s">
        <v>36</v>
      </c>
      <c r="Z1169" s="18" t="s">
        <v>697</v>
      </c>
      <c r="AA1169" s="21" t="str">
        <f>HYPERLINK("https://www.ncbi.nlm.nih.gov/nuccore/KX130960","NCBI Nucleotide")</f>
        <v>NCBI Nucleotide</v>
      </c>
    </row>
    <row r="1170" spans="1:27" x14ac:dyDescent="0.35">
      <c r="A1170">
        <v>1001627</v>
      </c>
      <c r="B1170">
        <v>1169</v>
      </c>
      <c r="C1170">
        <v>1</v>
      </c>
      <c r="D1170" s="17" t="s">
        <v>155</v>
      </c>
      <c r="E1170" s="17"/>
      <c r="F1170" s="17" t="s">
        <v>156</v>
      </c>
      <c r="G1170" s="17"/>
      <c r="H1170" s="17" t="s">
        <v>692</v>
      </c>
      <c r="I1170" s="17"/>
      <c r="J1170" s="17" t="s">
        <v>693</v>
      </c>
      <c r="K1170" s="17"/>
      <c r="L1170" s="17"/>
      <c r="M1170" s="17"/>
      <c r="N1170" s="17" t="s">
        <v>7745</v>
      </c>
      <c r="O1170" s="17" t="s">
        <v>7834</v>
      </c>
      <c r="P1170" s="17" t="s">
        <v>7846</v>
      </c>
      <c r="Q1170" s="17"/>
      <c r="R1170" s="25" t="str">
        <f>HYPERLINK("https://ictv.global/taxonomy/taxondetails?taxnode_id=202300823","Rtpvirus Rtp")</f>
        <v>Rtpvirus Rtp</v>
      </c>
      <c r="S1170" s="18" t="s">
        <v>30</v>
      </c>
      <c r="T1170" s="18" t="s">
        <v>7849</v>
      </c>
      <c r="U1170" s="18"/>
      <c r="V1170" s="18"/>
      <c r="W1170" s="18" t="s">
        <v>7850</v>
      </c>
      <c r="X1170" s="18" t="s">
        <v>42</v>
      </c>
      <c r="Y1170" s="18" t="s">
        <v>36</v>
      </c>
      <c r="Z1170" s="18" t="s">
        <v>697</v>
      </c>
      <c r="AA1170" s="21" t="str">
        <f>HYPERLINK("https://www.ncbi.nlm.nih.gov/nuccore/AM156909","NCBI Nucleotide")</f>
        <v>NCBI Nucleotide</v>
      </c>
    </row>
    <row r="1171" spans="1:27" x14ac:dyDescent="0.35">
      <c r="A1171">
        <v>1024799</v>
      </c>
      <c r="B1171">
        <v>1170</v>
      </c>
      <c r="C1171">
        <v>1</v>
      </c>
      <c r="D1171" s="17" t="s">
        <v>155</v>
      </c>
      <c r="E1171" s="17"/>
      <c r="F1171" s="17" t="s">
        <v>156</v>
      </c>
      <c r="G1171" s="17"/>
      <c r="H1171" s="17" t="s">
        <v>692</v>
      </c>
      <c r="I1171" s="17"/>
      <c r="J1171" s="17" t="s">
        <v>693</v>
      </c>
      <c r="K1171" s="17"/>
      <c r="L1171" s="17"/>
      <c r="M1171" s="17"/>
      <c r="N1171" s="17" t="s">
        <v>7745</v>
      </c>
      <c r="O1171" s="17" t="s">
        <v>7834</v>
      </c>
      <c r="P1171" s="17" t="s">
        <v>7846</v>
      </c>
      <c r="Q1171" s="17"/>
      <c r="R1171" s="25" t="str">
        <f>HYPERLINK("https://ictv.global/taxonomy/taxondetails?taxnode_id=202317954","Rtpvirus ZL19")</f>
        <v>Rtpvirus ZL19</v>
      </c>
      <c r="S1171" s="18" t="s">
        <v>30</v>
      </c>
      <c r="T1171" s="18" t="s">
        <v>39151</v>
      </c>
      <c r="U1171" s="18"/>
      <c r="V1171" s="18"/>
      <c r="W1171" s="18" t="s">
        <v>47995</v>
      </c>
      <c r="X1171" s="18" t="s">
        <v>42</v>
      </c>
      <c r="Y1171" s="18" t="s">
        <v>36</v>
      </c>
      <c r="Z1171" s="18" t="s">
        <v>697</v>
      </c>
      <c r="AA1171" s="21" t="str">
        <f>HYPERLINK("https://www.ncbi.nlm.nih.gov/nuccore/OM258170","NCBI Nucleotide")</f>
        <v>NCBI Nucleotide</v>
      </c>
    </row>
    <row r="1172" spans="1:27" x14ac:dyDescent="0.35">
      <c r="A1172">
        <v>1025182</v>
      </c>
      <c r="B1172">
        <v>1171</v>
      </c>
      <c r="C1172">
        <v>1</v>
      </c>
      <c r="D1172" s="17" t="s">
        <v>155</v>
      </c>
      <c r="E1172" s="17"/>
      <c r="F1172" s="17" t="s">
        <v>156</v>
      </c>
      <c r="G1172" s="17"/>
      <c r="H1172" s="17" t="s">
        <v>692</v>
      </c>
      <c r="I1172" s="17"/>
      <c r="J1172" s="17" t="s">
        <v>693</v>
      </c>
      <c r="K1172" s="17"/>
      <c r="L1172" s="17"/>
      <c r="M1172" s="17"/>
      <c r="N1172" s="17" t="s">
        <v>7745</v>
      </c>
      <c r="O1172" s="17" t="s">
        <v>7834</v>
      </c>
      <c r="P1172" s="17" t="s">
        <v>7851</v>
      </c>
      <c r="Q1172" s="17"/>
      <c r="R1172" s="25" t="str">
        <f>HYPERLINK("https://ictv.global/taxonomy/taxondetails?taxnode_id=202317955","Veterinaerplatzvirus FP")</f>
        <v>Veterinaerplatzvirus FP</v>
      </c>
      <c r="S1172" s="18" t="s">
        <v>30</v>
      </c>
      <c r="T1172" s="18" t="s">
        <v>39152</v>
      </c>
      <c r="U1172" s="18"/>
      <c r="V1172" s="18"/>
      <c r="W1172" s="18" t="s">
        <v>47996</v>
      </c>
      <c r="X1172" s="18" t="s">
        <v>42</v>
      </c>
      <c r="Y1172" s="18" t="s">
        <v>36</v>
      </c>
      <c r="Z1172" s="18" t="s">
        <v>697</v>
      </c>
      <c r="AA1172" s="21" t="str">
        <f>HYPERLINK("https://www.ncbi.nlm.nih.gov/nuccore/MT682706","NCBI Nucleotide")</f>
        <v>NCBI Nucleotide</v>
      </c>
    </row>
    <row r="1173" spans="1:27" x14ac:dyDescent="0.35">
      <c r="A1173">
        <v>1025183</v>
      </c>
      <c r="B1173">
        <v>1172</v>
      </c>
      <c r="C1173">
        <v>1</v>
      </c>
      <c r="D1173" s="17" t="s">
        <v>155</v>
      </c>
      <c r="E1173" s="17"/>
      <c r="F1173" s="17" t="s">
        <v>156</v>
      </c>
      <c r="G1173" s="17"/>
      <c r="H1173" s="17" t="s">
        <v>692</v>
      </c>
      <c r="I1173" s="17"/>
      <c r="J1173" s="17" t="s">
        <v>693</v>
      </c>
      <c r="K1173" s="17"/>
      <c r="L1173" s="17"/>
      <c r="M1173" s="17"/>
      <c r="N1173" s="17" t="s">
        <v>7745</v>
      </c>
      <c r="O1173" s="17" t="s">
        <v>7834</v>
      </c>
      <c r="P1173" s="17" t="s">
        <v>7851</v>
      </c>
      <c r="Q1173" s="17"/>
      <c r="R1173" s="25" t="str">
        <f>HYPERLINK("https://ictv.global/taxonomy/taxondetails?taxnode_id=202317956","Veterinaerplatzvirus Jeanpiccard")</f>
        <v>Veterinaerplatzvirus Jeanpiccard</v>
      </c>
      <c r="S1173" s="18" t="s">
        <v>30</v>
      </c>
      <c r="T1173" s="18" t="s">
        <v>39153</v>
      </c>
      <c r="U1173" s="18"/>
      <c r="V1173" s="18"/>
      <c r="W1173" s="18" t="s">
        <v>47997</v>
      </c>
      <c r="X1173" s="18" t="s">
        <v>42</v>
      </c>
      <c r="Y1173" s="18" t="s">
        <v>36</v>
      </c>
      <c r="Z1173" s="18" t="s">
        <v>697</v>
      </c>
      <c r="AA1173" s="21" t="str">
        <f>HYPERLINK("https://www.ncbi.nlm.nih.gov/nuccore/MZ501080","NCBI Nucleotide")</f>
        <v>NCBI Nucleotide</v>
      </c>
    </row>
    <row r="1174" spans="1:27" x14ac:dyDescent="0.35">
      <c r="A1174">
        <v>1025184</v>
      </c>
      <c r="B1174">
        <v>1173</v>
      </c>
      <c r="C1174">
        <v>1</v>
      </c>
      <c r="D1174" s="17" t="s">
        <v>155</v>
      </c>
      <c r="E1174" s="17"/>
      <c r="F1174" s="17" t="s">
        <v>156</v>
      </c>
      <c r="G1174" s="17"/>
      <c r="H1174" s="17" t="s">
        <v>692</v>
      </c>
      <c r="I1174" s="17"/>
      <c r="J1174" s="17" t="s">
        <v>693</v>
      </c>
      <c r="K1174" s="17"/>
      <c r="L1174" s="17"/>
      <c r="M1174" s="17"/>
      <c r="N1174" s="17" t="s">
        <v>7745</v>
      </c>
      <c r="O1174" s="17" t="s">
        <v>7834</v>
      </c>
      <c r="P1174" s="17" t="s">
        <v>7851</v>
      </c>
      <c r="Q1174" s="17"/>
      <c r="R1174" s="25" t="str">
        <f>HYPERLINK("https://ictv.global/taxonomy/taxondetails?taxnode_id=202317958","Veterinaerplatzvirus SU57")</f>
        <v>Veterinaerplatzvirus SU57</v>
      </c>
      <c r="S1174" s="18" t="s">
        <v>30</v>
      </c>
      <c r="T1174" s="18" t="s">
        <v>39154</v>
      </c>
      <c r="U1174" s="18"/>
      <c r="V1174" s="18"/>
      <c r="W1174" s="18" t="s">
        <v>47998</v>
      </c>
      <c r="X1174" s="18" t="s">
        <v>42</v>
      </c>
      <c r="Y1174" s="18" t="s">
        <v>36</v>
      </c>
      <c r="Z1174" s="18" t="s">
        <v>697</v>
      </c>
      <c r="AA1174" s="21" t="str">
        <f>HYPERLINK("https://www.ncbi.nlm.nih.gov/nuccore/MT511058","NCBI Nucleotide")</f>
        <v>NCBI Nucleotide</v>
      </c>
    </row>
    <row r="1175" spans="1:27" x14ac:dyDescent="0.35">
      <c r="A1175">
        <v>1001628</v>
      </c>
      <c r="B1175">
        <v>1174</v>
      </c>
      <c r="C1175">
        <v>1</v>
      </c>
      <c r="D1175" s="17" t="s">
        <v>155</v>
      </c>
      <c r="E1175" s="17"/>
      <c r="F1175" s="17" t="s">
        <v>156</v>
      </c>
      <c r="G1175" s="17"/>
      <c r="H1175" s="17" t="s">
        <v>692</v>
      </c>
      <c r="I1175" s="17"/>
      <c r="J1175" s="17" t="s">
        <v>693</v>
      </c>
      <c r="K1175" s="17"/>
      <c r="L1175" s="17"/>
      <c r="M1175" s="17"/>
      <c r="N1175" s="17" t="s">
        <v>7745</v>
      </c>
      <c r="O1175" s="17" t="s">
        <v>7834</v>
      </c>
      <c r="P1175" s="17" t="s">
        <v>7851</v>
      </c>
      <c r="Q1175" s="17"/>
      <c r="R1175" s="25" t="str">
        <f>HYPERLINK("https://ictv.global/taxonomy/taxondetails?taxnode_id=202312086","Veterinaerplatzvirus vv12210I")</f>
        <v>Veterinaerplatzvirus vv12210I</v>
      </c>
      <c r="S1175" s="18" t="s">
        <v>30</v>
      </c>
      <c r="T1175" s="18" t="s">
        <v>7852</v>
      </c>
      <c r="U1175" s="18"/>
      <c r="V1175" s="18"/>
      <c r="W1175" s="18" t="s">
        <v>7853</v>
      </c>
      <c r="X1175" s="18" t="s">
        <v>42</v>
      </c>
      <c r="Y1175" s="18" t="s">
        <v>36</v>
      </c>
      <c r="Z1175" s="18" t="s">
        <v>697</v>
      </c>
      <c r="AA1175" s="21" t="str">
        <f>HYPERLINK("https://www.ncbi.nlm.nih.gov/nuccore/MK907226","NCBI Nucleotide")</f>
        <v>NCBI Nucleotide</v>
      </c>
    </row>
    <row r="1176" spans="1:27" x14ac:dyDescent="0.35">
      <c r="A1176">
        <v>1025185</v>
      </c>
      <c r="B1176">
        <v>1175</v>
      </c>
      <c r="C1176">
        <v>1</v>
      </c>
      <c r="D1176" s="17" t="s">
        <v>155</v>
      </c>
      <c r="E1176" s="17"/>
      <c r="F1176" s="17" t="s">
        <v>156</v>
      </c>
      <c r="G1176" s="17"/>
      <c r="H1176" s="17" t="s">
        <v>692</v>
      </c>
      <c r="I1176" s="17"/>
      <c r="J1176" s="17" t="s">
        <v>693</v>
      </c>
      <c r="K1176" s="17"/>
      <c r="L1176" s="17"/>
      <c r="M1176" s="17"/>
      <c r="N1176" s="17" t="s">
        <v>7745</v>
      </c>
      <c r="O1176" s="17" t="s">
        <v>7834</v>
      </c>
      <c r="P1176" s="17" t="s">
        <v>7851</v>
      </c>
      <c r="Q1176" s="17"/>
      <c r="R1176" s="25" t="str">
        <f>HYPERLINK("https://ictv.global/taxonomy/taxondetails?taxnode_id=202317957","Veterinaerplatzvirus vv2725N25")</f>
        <v>Veterinaerplatzvirus vv2725N25</v>
      </c>
      <c r="S1176" s="18" t="s">
        <v>30</v>
      </c>
      <c r="T1176" s="18" t="s">
        <v>39155</v>
      </c>
      <c r="U1176" s="18"/>
      <c r="V1176" s="18"/>
      <c r="W1176" s="18" t="s">
        <v>47999</v>
      </c>
      <c r="X1176" s="18" t="s">
        <v>42</v>
      </c>
      <c r="Y1176" s="18" t="s">
        <v>36</v>
      </c>
      <c r="Z1176" s="18" t="s">
        <v>697</v>
      </c>
      <c r="AA1176" s="21" t="str">
        <f>HYPERLINK("https://www.ncbi.nlm.nih.gov/nuccore/MN840485","NCBI Nucleotide")</f>
        <v>NCBI Nucleotide</v>
      </c>
    </row>
    <row r="1177" spans="1:27" x14ac:dyDescent="0.35">
      <c r="A1177">
        <v>1001629</v>
      </c>
      <c r="B1177">
        <v>1176</v>
      </c>
      <c r="C1177">
        <v>1</v>
      </c>
      <c r="D1177" s="17" t="s">
        <v>155</v>
      </c>
      <c r="E1177" s="17"/>
      <c r="F1177" s="17" t="s">
        <v>156</v>
      </c>
      <c r="G1177" s="17"/>
      <c r="H1177" s="17" t="s">
        <v>692</v>
      </c>
      <c r="I1177" s="17"/>
      <c r="J1177" s="17" t="s">
        <v>693</v>
      </c>
      <c r="K1177" s="17"/>
      <c r="L1177" s="17"/>
      <c r="M1177" s="17"/>
      <c r="N1177" s="17" t="s">
        <v>7745</v>
      </c>
      <c r="O1177" s="17" t="s">
        <v>7854</v>
      </c>
      <c r="P1177" s="17" t="s">
        <v>7855</v>
      </c>
      <c r="Q1177" s="17"/>
      <c r="R1177" s="25" t="str">
        <f>HYPERLINK("https://ictv.global/taxonomy/taxondetails?taxnode_id=202308154","Eastlansingvirus Sf12")</f>
        <v>Eastlansingvirus Sf12</v>
      </c>
      <c r="S1177" s="18" t="s">
        <v>30</v>
      </c>
      <c r="T1177" s="18" t="s">
        <v>7856</v>
      </c>
      <c r="U1177" s="18"/>
      <c r="V1177" s="18"/>
      <c r="W1177" s="18" t="s">
        <v>7857</v>
      </c>
      <c r="X1177" s="18" t="s">
        <v>42</v>
      </c>
      <c r="Y1177" s="18" t="s">
        <v>36</v>
      </c>
      <c r="Z1177" s="18" t="s">
        <v>697</v>
      </c>
      <c r="AA1177" s="21" t="str">
        <f>HYPERLINK("https://www.ncbi.nlm.nih.gov/nuccore/MF158039","NCBI Nucleotide")</f>
        <v>NCBI Nucleotide</v>
      </c>
    </row>
    <row r="1178" spans="1:27" x14ac:dyDescent="0.35">
      <c r="A1178">
        <v>1001630</v>
      </c>
      <c r="B1178">
        <v>1177</v>
      </c>
      <c r="C1178">
        <v>1</v>
      </c>
      <c r="D1178" s="17" t="s">
        <v>155</v>
      </c>
      <c r="E1178" s="17"/>
      <c r="F1178" s="17" t="s">
        <v>156</v>
      </c>
      <c r="G1178" s="17"/>
      <c r="H1178" s="17" t="s">
        <v>692</v>
      </c>
      <c r="I1178" s="17"/>
      <c r="J1178" s="17" t="s">
        <v>693</v>
      </c>
      <c r="K1178" s="17"/>
      <c r="L1178" s="17"/>
      <c r="M1178" s="17"/>
      <c r="N1178" s="17" t="s">
        <v>7745</v>
      </c>
      <c r="O1178" s="17" t="s">
        <v>7854</v>
      </c>
      <c r="P1178" s="17" t="s">
        <v>7858</v>
      </c>
      <c r="Q1178" s="17"/>
      <c r="R1178" s="25" t="str">
        <f>HYPERLINK("https://ictv.global/taxonomy/taxondetails?taxnode_id=202308158","Lindendrivevirus EB49")</f>
        <v>Lindendrivevirus EB49</v>
      </c>
      <c r="S1178" s="18" t="s">
        <v>30</v>
      </c>
      <c r="T1178" s="18" t="s">
        <v>7859</v>
      </c>
      <c r="U1178" s="18"/>
      <c r="V1178" s="18"/>
      <c r="W1178" s="18" t="s">
        <v>7860</v>
      </c>
      <c r="X1178" s="18" t="s">
        <v>42</v>
      </c>
      <c r="Y1178" s="18" t="s">
        <v>36</v>
      </c>
      <c r="Z1178" s="18" t="s">
        <v>697</v>
      </c>
      <c r="AA1178" s="21" t="str">
        <f>HYPERLINK("https://www.ncbi.nlm.nih.gov/nuccore/JF770475","NCBI Nucleotide")</f>
        <v>NCBI Nucleotide</v>
      </c>
    </row>
    <row r="1179" spans="1:27" x14ac:dyDescent="0.35">
      <c r="A1179">
        <v>1001631</v>
      </c>
      <c r="B1179">
        <v>1178</v>
      </c>
      <c r="C1179">
        <v>1</v>
      </c>
      <c r="D1179" s="17" t="s">
        <v>155</v>
      </c>
      <c r="E1179" s="17"/>
      <c r="F1179" s="17" t="s">
        <v>156</v>
      </c>
      <c r="G1179" s="17"/>
      <c r="H1179" s="17" t="s">
        <v>692</v>
      </c>
      <c r="I1179" s="17"/>
      <c r="J1179" s="17" t="s">
        <v>693</v>
      </c>
      <c r="K1179" s="17"/>
      <c r="L1179" s="17"/>
      <c r="M1179" s="17"/>
      <c r="N1179" s="17" t="s">
        <v>7745</v>
      </c>
      <c r="O1179" s="17" t="s">
        <v>7854</v>
      </c>
      <c r="P1179" s="17" t="s">
        <v>7861</v>
      </c>
      <c r="Q1179" s="17"/>
      <c r="R1179" s="25" t="str">
        <f>HYPERLINK("https://ictv.global/taxonomy/taxondetails?taxnode_id=202300812","Rogunavirus AHP42")</f>
        <v>Rogunavirus AHP42</v>
      </c>
      <c r="S1179" s="18" t="s">
        <v>30</v>
      </c>
      <c r="T1179" s="18" t="s">
        <v>7862</v>
      </c>
      <c r="U1179" s="18"/>
      <c r="V1179" s="18"/>
      <c r="W1179" s="18" t="s">
        <v>7863</v>
      </c>
      <c r="X1179" s="18" t="s">
        <v>42</v>
      </c>
      <c r="Y1179" s="18" t="s">
        <v>36</v>
      </c>
      <c r="Z1179" s="18" t="s">
        <v>697</v>
      </c>
      <c r="AA1179" s="21" t="str">
        <f>HYPERLINK("https://www.ncbi.nlm.nih.gov/nuccore/KF771237","NCBI Nucleotide")</f>
        <v>NCBI Nucleotide</v>
      </c>
    </row>
    <row r="1180" spans="1:27" x14ac:dyDescent="0.35">
      <c r="A1180">
        <v>1001632</v>
      </c>
      <c r="B1180">
        <v>1179</v>
      </c>
      <c r="C1180">
        <v>1</v>
      </c>
      <c r="D1180" s="17" t="s">
        <v>155</v>
      </c>
      <c r="E1180" s="17"/>
      <c r="F1180" s="17" t="s">
        <v>156</v>
      </c>
      <c r="G1180" s="17"/>
      <c r="H1180" s="17" t="s">
        <v>692</v>
      </c>
      <c r="I1180" s="17"/>
      <c r="J1180" s="17" t="s">
        <v>693</v>
      </c>
      <c r="K1180" s="17"/>
      <c r="L1180" s="17"/>
      <c r="M1180" s="17"/>
      <c r="N1180" s="17" t="s">
        <v>7745</v>
      </c>
      <c r="O1180" s="17" t="s">
        <v>7854</v>
      </c>
      <c r="P1180" s="17" t="s">
        <v>7861</v>
      </c>
      <c r="Q1180" s="17"/>
      <c r="R1180" s="25" t="str">
        <f>HYPERLINK("https://ictv.global/taxonomy/taxondetails?taxnode_id=202300813","Rogunavirus AHS24")</f>
        <v>Rogunavirus AHS24</v>
      </c>
      <c r="S1180" s="18" t="s">
        <v>30</v>
      </c>
      <c r="T1180" s="18" t="s">
        <v>7864</v>
      </c>
      <c r="U1180" s="18"/>
      <c r="V1180" s="18"/>
      <c r="W1180" s="18" t="s">
        <v>7865</v>
      </c>
      <c r="X1180" s="18" t="s">
        <v>42</v>
      </c>
      <c r="Y1180" s="18" t="s">
        <v>36</v>
      </c>
      <c r="Z1180" s="18" t="s">
        <v>697</v>
      </c>
      <c r="AA1180" s="21" t="str">
        <f>HYPERLINK("https://www.ncbi.nlm.nih.gov/nuccore/KF771238","NCBI Nucleotide")</f>
        <v>NCBI Nucleotide</v>
      </c>
    </row>
    <row r="1181" spans="1:27" x14ac:dyDescent="0.35">
      <c r="A1181">
        <v>1001633</v>
      </c>
      <c r="B1181">
        <v>1180</v>
      </c>
      <c r="C1181">
        <v>1</v>
      </c>
      <c r="D1181" s="17" t="s">
        <v>155</v>
      </c>
      <c r="E1181" s="17"/>
      <c r="F1181" s="17" t="s">
        <v>156</v>
      </c>
      <c r="G1181" s="17"/>
      <c r="H1181" s="17" t="s">
        <v>692</v>
      </c>
      <c r="I1181" s="17"/>
      <c r="J1181" s="17" t="s">
        <v>693</v>
      </c>
      <c r="K1181" s="17"/>
      <c r="L1181" s="17"/>
      <c r="M1181" s="17"/>
      <c r="N1181" s="17" t="s">
        <v>7745</v>
      </c>
      <c r="O1181" s="17" t="s">
        <v>7854</v>
      </c>
      <c r="P1181" s="17" t="s">
        <v>7861</v>
      </c>
      <c r="Q1181" s="17"/>
      <c r="R1181" s="25" t="str">
        <f>HYPERLINK("https://ictv.global/taxonomy/taxondetails?taxnode_id=202300814","Rogunavirus AKS96")</f>
        <v>Rogunavirus AKS96</v>
      </c>
      <c r="S1181" s="18" t="s">
        <v>30</v>
      </c>
      <c r="T1181" s="18" t="s">
        <v>7866</v>
      </c>
      <c r="U1181" s="18"/>
      <c r="V1181" s="18"/>
      <c r="W1181" s="18" t="s">
        <v>7867</v>
      </c>
      <c r="X1181" s="18" t="s">
        <v>42</v>
      </c>
      <c r="Y1181" s="18" t="s">
        <v>36</v>
      </c>
      <c r="Z1181" s="18" t="s">
        <v>697</v>
      </c>
      <c r="AA1181" s="21" t="str">
        <f>HYPERLINK("https://www.ncbi.nlm.nih.gov/nuccore/KF771239","NCBI Nucleotide")</f>
        <v>NCBI Nucleotide</v>
      </c>
    </row>
    <row r="1182" spans="1:27" x14ac:dyDescent="0.35">
      <c r="A1182">
        <v>1024796</v>
      </c>
      <c r="B1182">
        <v>1181</v>
      </c>
      <c r="C1182">
        <v>1</v>
      </c>
      <c r="D1182" s="17" t="s">
        <v>155</v>
      </c>
      <c r="E1182" s="17"/>
      <c r="F1182" s="17" t="s">
        <v>156</v>
      </c>
      <c r="G1182" s="17"/>
      <c r="H1182" s="17" t="s">
        <v>692</v>
      </c>
      <c r="I1182" s="17"/>
      <c r="J1182" s="17" t="s">
        <v>693</v>
      </c>
      <c r="K1182" s="17"/>
      <c r="L1182" s="17"/>
      <c r="M1182" s="17"/>
      <c r="N1182" s="17" t="s">
        <v>7745</v>
      </c>
      <c r="O1182" s="17" t="s">
        <v>7854</v>
      </c>
      <c r="P1182" s="17" t="s">
        <v>7861</v>
      </c>
      <c r="Q1182" s="17"/>
      <c r="R1182" s="25" t="str">
        <f>HYPERLINK("https://ictv.global/taxonomy/taxondetails?taxnode_id=202319249","Rogunavirus BECP10")</f>
        <v>Rogunavirus BECP10</v>
      </c>
      <c r="S1182" s="18" t="s">
        <v>30</v>
      </c>
      <c r="T1182" s="18" t="s">
        <v>39156</v>
      </c>
      <c r="U1182" s="18"/>
      <c r="V1182" s="18"/>
      <c r="W1182" s="18" t="s">
        <v>48000</v>
      </c>
      <c r="X1182" s="18" t="s">
        <v>42</v>
      </c>
      <c r="Y1182" s="18" t="s">
        <v>36</v>
      </c>
      <c r="Z1182" s="18" t="s">
        <v>697</v>
      </c>
      <c r="AA1182" s="21" t="str">
        <f>HYPERLINK("https://www.ncbi.nlm.nih.gov/nuccore/MW286156","NCBI Nucleotide")</f>
        <v>NCBI Nucleotide</v>
      </c>
    </row>
    <row r="1183" spans="1:27" x14ac:dyDescent="0.35">
      <c r="A1183">
        <v>1001634</v>
      </c>
      <c r="B1183">
        <v>1182</v>
      </c>
      <c r="C1183">
        <v>1</v>
      </c>
      <c r="D1183" s="17" t="s">
        <v>155</v>
      </c>
      <c r="E1183" s="17"/>
      <c r="F1183" s="17" t="s">
        <v>156</v>
      </c>
      <c r="G1183" s="17"/>
      <c r="H1183" s="17" t="s">
        <v>692</v>
      </c>
      <c r="I1183" s="17"/>
      <c r="J1183" s="17" t="s">
        <v>693</v>
      </c>
      <c r="K1183" s="17"/>
      <c r="L1183" s="17"/>
      <c r="M1183" s="17"/>
      <c r="N1183" s="17" t="s">
        <v>7745</v>
      </c>
      <c r="O1183" s="17" t="s">
        <v>7854</v>
      </c>
      <c r="P1183" s="17" t="s">
        <v>7861</v>
      </c>
      <c r="Q1183" s="17"/>
      <c r="R1183" s="25" t="str">
        <f>HYPERLINK("https://ictv.global/taxonomy/taxondetails?taxnode_id=202300815","Rogunavirus C119")</f>
        <v>Rogunavirus C119</v>
      </c>
      <c r="S1183" s="18" t="s">
        <v>30</v>
      </c>
      <c r="T1183" s="18" t="s">
        <v>7868</v>
      </c>
      <c r="U1183" s="18"/>
      <c r="V1183" s="18"/>
      <c r="W1183" s="18" t="s">
        <v>7869</v>
      </c>
      <c r="X1183" s="18" t="s">
        <v>42</v>
      </c>
      <c r="Y1183" s="18" t="s">
        <v>36</v>
      </c>
      <c r="Z1183" s="18" t="s">
        <v>697</v>
      </c>
      <c r="AA1183" s="21" t="str">
        <f>HYPERLINK("https://www.ncbi.nlm.nih.gov/nuccore/KT825490","NCBI Nucleotide")</f>
        <v>NCBI Nucleotide</v>
      </c>
    </row>
    <row r="1184" spans="1:27" x14ac:dyDescent="0.35">
      <c r="A1184">
        <v>1001635</v>
      </c>
      <c r="B1184">
        <v>1183</v>
      </c>
      <c r="C1184">
        <v>1</v>
      </c>
      <c r="D1184" s="17" t="s">
        <v>155</v>
      </c>
      <c r="E1184" s="17"/>
      <c r="F1184" s="17" t="s">
        <v>156</v>
      </c>
      <c r="G1184" s="17"/>
      <c r="H1184" s="17" t="s">
        <v>692</v>
      </c>
      <c r="I1184" s="17"/>
      <c r="J1184" s="17" t="s">
        <v>693</v>
      </c>
      <c r="K1184" s="17"/>
      <c r="L1184" s="17"/>
      <c r="M1184" s="17"/>
      <c r="N1184" s="17" t="s">
        <v>7745</v>
      </c>
      <c r="O1184" s="17" t="s">
        <v>7854</v>
      </c>
      <c r="P1184" s="17" t="s">
        <v>7861</v>
      </c>
      <c r="Q1184" s="17"/>
      <c r="R1184" s="25" t="str">
        <f>HYPERLINK("https://ictv.global/taxonomy/taxondetails?taxnode_id=202300816","Rogunavirus E41c")</f>
        <v>Rogunavirus E41c</v>
      </c>
      <c r="S1184" s="18" t="s">
        <v>30</v>
      </c>
      <c r="T1184" s="18" t="s">
        <v>7870</v>
      </c>
      <c r="U1184" s="18"/>
      <c r="V1184" s="18"/>
      <c r="W1184" s="18" t="s">
        <v>7871</v>
      </c>
      <c r="X1184" s="18" t="s">
        <v>42</v>
      </c>
      <c r="Y1184" s="18" t="s">
        <v>36</v>
      </c>
      <c r="Z1184" s="18" t="s">
        <v>697</v>
      </c>
      <c r="AA1184" s="21" t="str">
        <f>HYPERLINK("https://www.ncbi.nlm.nih.gov/nuccore/KJ668713","NCBI Nucleotide")</f>
        <v>NCBI Nucleotide</v>
      </c>
    </row>
    <row r="1185" spans="1:27" x14ac:dyDescent="0.35">
      <c r="A1185">
        <v>1001636</v>
      </c>
      <c r="B1185">
        <v>1184</v>
      </c>
      <c r="C1185">
        <v>1</v>
      </c>
      <c r="D1185" s="17" t="s">
        <v>155</v>
      </c>
      <c r="E1185" s="17"/>
      <c r="F1185" s="17" t="s">
        <v>156</v>
      </c>
      <c r="G1185" s="17"/>
      <c r="H1185" s="17" t="s">
        <v>692</v>
      </c>
      <c r="I1185" s="17"/>
      <c r="J1185" s="17" t="s">
        <v>693</v>
      </c>
      <c r="K1185" s="17"/>
      <c r="L1185" s="17"/>
      <c r="M1185" s="17"/>
      <c r="N1185" s="17" t="s">
        <v>7745</v>
      </c>
      <c r="O1185" s="17" t="s">
        <v>7854</v>
      </c>
      <c r="P1185" s="17" t="s">
        <v>7861</v>
      </c>
      <c r="Q1185" s="17"/>
      <c r="R1185" s="25" t="str">
        <f>HYPERLINK("https://ictv.global/taxonomy/taxondetails?taxnode_id=202300818","Rogunavirus Jk06")</f>
        <v>Rogunavirus Jk06</v>
      </c>
      <c r="S1185" s="18" t="s">
        <v>30</v>
      </c>
      <c r="T1185" s="18" t="s">
        <v>7872</v>
      </c>
      <c r="U1185" s="18"/>
      <c r="V1185" s="18"/>
      <c r="W1185" s="18" t="s">
        <v>7873</v>
      </c>
      <c r="X1185" s="18" t="s">
        <v>42</v>
      </c>
      <c r="Y1185" s="18" t="s">
        <v>36</v>
      </c>
      <c r="Z1185" s="18" t="s">
        <v>697</v>
      </c>
      <c r="AA1185" s="21" t="str">
        <f>HYPERLINK("https://www.ncbi.nlm.nih.gov/nuccore/DQ121662","NCBI Nucleotide")</f>
        <v>NCBI Nucleotide</v>
      </c>
    </row>
    <row r="1186" spans="1:27" x14ac:dyDescent="0.35">
      <c r="A1186">
        <v>1001637</v>
      </c>
      <c r="B1186">
        <v>1185</v>
      </c>
      <c r="C1186">
        <v>1</v>
      </c>
      <c r="D1186" s="17" t="s">
        <v>155</v>
      </c>
      <c r="E1186" s="17"/>
      <c r="F1186" s="17" t="s">
        <v>156</v>
      </c>
      <c r="G1186" s="17"/>
      <c r="H1186" s="17" t="s">
        <v>692</v>
      </c>
      <c r="I1186" s="17"/>
      <c r="J1186" s="17" t="s">
        <v>693</v>
      </c>
      <c r="K1186" s="17"/>
      <c r="L1186" s="17"/>
      <c r="M1186" s="17"/>
      <c r="N1186" s="17" t="s">
        <v>7745</v>
      </c>
      <c r="O1186" s="17" t="s">
        <v>7854</v>
      </c>
      <c r="P1186" s="17" t="s">
        <v>7861</v>
      </c>
      <c r="Q1186" s="17"/>
      <c r="R1186" s="25" t="str">
        <f>HYPERLINK("https://ictv.global/taxonomy/taxondetails?taxnode_id=202308152","Rogunavirus JLA23")</f>
        <v>Rogunavirus JLA23</v>
      </c>
      <c r="S1186" s="18" t="s">
        <v>30</v>
      </c>
      <c r="T1186" s="18" t="s">
        <v>7874</v>
      </c>
      <c r="U1186" s="18"/>
      <c r="V1186" s="18"/>
      <c r="W1186" s="18" t="s">
        <v>7875</v>
      </c>
      <c r="X1186" s="18" t="s">
        <v>42</v>
      </c>
      <c r="Y1186" s="18" t="s">
        <v>36</v>
      </c>
      <c r="Z1186" s="18" t="s">
        <v>697</v>
      </c>
      <c r="AA1186" s="21" t="str">
        <f>HYPERLINK("https://www.ncbi.nlm.nih.gov/nuccore/KC333879","NCBI Nucleotide")</f>
        <v>NCBI Nucleotide</v>
      </c>
    </row>
    <row r="1187" spans="1:27" x14ac:dyDescent="0.35">
      <c r="A1187">
        <v>1001638</v>
      </c>
      <c r="B1187">
        <v>1186</v>
      </c>
      <c r="C1187">
        <v>1</v>
      </c>
      <c r="D1187" s="17" t="s">
        <v>155</v>
      </c>
      <c r="E1187" s="17"/>
      <c r="F1187" s="17" t="s">
        <v>156</v>
      </c>
      <c r="G1187" s="17"/>
      <c r="H1187" s="17" t="s">
        <v>692</v>
      </c>
      <c r="I1187" s="17"/>
      <c r="J1187" s="17" t="s">
        <v>693</v>
      </c>
      <c r="K1187" s="17"/>
      <c r="L1187" s="17"/>
      <c r="M1187" s="17"/>
      <c r="N1187" s="17" t="s">
        <v>7745</v>
      </c>
      <c r="O1187" s="17" t="s">
        <v>7854</v>
      </c>
      <c r="P1187" s="17" t="s">
        <v>7861</v>
      </c>
      <c r="Q1187" s="17"/>
      <c r="R1187" s="25" t="str">
        <f>HYPERLINK("https://ictv.global/taxonomy/taxondetails?taxnode_id=202300819","Rogunavirus KP26")</f>
        <v>Rogunavirus KP26</v>
      </c>
      <c r="S1187" s="18" t="s">
        <v>30</v>
      </c>
      <c r="T1187" s="18" t="s">
        <v>7876</v>
      </c>
      <c r="U1187" s="18"/>
      <c r="V1187" s="18"/>
      <c r="W1187" s="18" t="s">
        <v>7877</v>
      </c>
      <c r="X1187" s="18" t="s">
        <v>42</v>
      </c>
      <c r="Y1187" s="18" t="s">
        <v>36</v>
      </c>
      <c r="Z1187" s="18" t="s">
        <v>697</v>
      </c>
      <c r="AA1187" s="21" t="str">
        <f>HYPERLINK("https://www.ncbi.nlm.nih.gov/nuccore/KC579452","NCBI Nucleotide")</f>
        <v>NCBI Nucleotide</v>
      </c>
    </row>
    <row r="1188" spans="1:27" x14ac:dyDescent="0.35">
      <c r="A1188">
        <v>1001639</v>
      </c>
      <c r="B1188">
        <v>1187</v>
      </c>
      <c r="C1188">
        <v>1</v>
      </c>
      <c r="D1188" s="17" t="s">
        <v>155</v>
      </c>
      <c r="E1188" s="17"/>
      <c r="F1188" s="17" t="s">
        <v>156</v>
      </c>
      <c r="G1188" s="17"/>
      <c r="H1188" s="17" t="s">
        <v>692</v>
      </c>
      <c r="I1188" s="17"/>
      <c r="J1188" s="17" t="s">
        <v>693</v>
      </c>
      <c r="K1188" s="17"/>
      <c r="L1188" s="17"/>
      <c r="M1188" s="17"/>
      <c r="N1188" s="17" t="s">
        <v>7745</v>
      </c>
      <c r="O1188" s="17" t="s">
        <v>7854</v>
      </c>
      <c r="P1188" s="17" t="s">
        <v>7861</v>
      </c>
      <c r="Q1188" s="17"/>
      <c r="R1188" s="25" t="str">
        <f>HYPERLINK("https://ictv.global/taxonomy/taxondetails?taxnode_id=202300820","Rogunavirus rogue1")</f>
        <v>Rogunavirus rogue1</v>
      </c>
      <c r="S1188" s="18" t="s">
        <v>30</v>
      </c>
      <c r="T1188" s="18" t="s">
        <v>7878</v>
      </c>
      <c r="U1188" s="18"/>
      <c r="V1188" s="18"/>
      <c r="W1188" s="18" t="s">
        <v>7879</v>
      </c>
      <c r="X1188" s="18" t="s">
        <v>42</v>
      </c>
      <c r="Y1188" s="18" t="s">
        <v>36</v>
      </c>
      <c r="Z1188" s="18" t="s">
        <v>697</v>
      </c>
      <c r="AA1188" s="21" t="str">
        <f>HYPERLINK("https://www.ncbi.nlm.nih.gov/nuccore/JQ182736","NCBI Nucleotide")</f>
        <v>NCBI Nucleotide</v>
      </c>
    </row>
    <row r="1189" spans="1:27" x14ac:dyDescent="0.35">
      <c r="A1189">
        <v>1024797</v>
      </c>
      <c r="B1189">
        <v>1188</v>
      </c>
      <c r="C1189">
        <v>1</v>
      </c>
      <c r="D1189" s="17" t="s">
        <v>155</v>
      </c>
      <c r="E1189" s="17"/>
      <c r="F1189" s="17" t="s">
        <v>156</v>
      </c>
      <c r="G1189" s="17"/>
      <c r="H1189" s="17" t="s">
        <v>692</v>
      </c>
      <c r="I1189" s="17"/>
      <c r="J1189" s="17" t="s">
        <v>693</v>
      </c>
      <c r="K1189" s="17"/>
      <c r="L1189" s="17"/>
      <c r="M1189" s="17"/>
      <c r="N1189" s="17" t="s">
        <v>7745</v>
      </c>
      <c r="O1189" s="17" t="s">
        <v>7854</v>
      </c>
      <c r="P1189" s="17" t="s">
        <v>7861</v>
      </c>
      <c r="Q1189" s="17"/>
      <c r="R1189" s="25" t="str">
        <f>HYPERLINK("https://ictv.global/taxonomy/taxondetails?taxnode_id=202319250","Rogunavirus UDF157w")</f>
        <v>Rogunavirus UDF157w</v>
      </c>
      <c r="S1189" s="18" t="s">
        <v>30</v>
      </c>
      <c r="T1189" s="18" t="s">
        <v>39157</v>
      </c>
      <c r="U1189" s="18"/>
      <c r="V1189" s="18"/>
      <c r="W1189" s="18" t="s">
        <v>48001</v>
      </c>
      <c r="X1189" s="18" t="s">
        <v>42</v>
      </c>
      <c r="Y1189" s="18" t="s">
        <v>36</v>
      </c>
      <c r="Z1189" s="18" t="s">
        <v>697</v>
      </c>
      <c r="AA1189" s="21" t="str">
        <f>HYPERLINK("https://www.ncbi.nlm.nih.gov/nuccore/OQ243221","NCBI Nucleotide")</f>
        <v>NCBI Nucleotide</v>
      </c>
    </row>
    <row r="1190" spans="1:27" x14ac:dyDescent="0.35">
      <c r="A1190">
        <v>1024802</v>
      </c>
      <c r="B1190">
        <v>1189</v>
      </c>
      <c r="C1190">
        <v>1</v>
      </c>
      <c r="D1190" s="17" t="s">
        <v>155</v>
      </c>
      <c r="E1190" s="17"/>
      <c r="F1190" s="17" t="s">
        <v>156</v>
      </c>
      <c r="G1190" s="17"/>
      <c r="H1190" s="17" t="s">
        <v>692</v>
      </c>
      <c r="I1190" s="17"/>
      <c r="J1190" s="17" t="s">
        <v>693</v>
      </c>
      <c r="K1190" s="17"/>
      <c r="L1190" s="17"/>
      <c r="M1190" s="17"/>
      <c r="N1190" s="17" t="s">
        <v>7745</v>
      </c>
      <c r="O1190" s="17" t="s">
        <v>7854</v>
      </c>
      <c r="P1190" s="17" t="s">
        <v>39158</v>
      </c>
      <c r="Q1190" s="17"/>
      <c r="R1190" s="25" t="str">
        <f>HYPERLINK("https://ictv.global/taxonomy/taxondetails?taxnode_id=202319251","Sadiyavirus sadiya")</f>
        <v>Sadiyavirus sadiya</v>
      </c>
      <c r="S1190" s="18" t="s">
        <v>30</v>
      </c>
      <c r="T1190" s="18" t="s">
        <v>39159</v>
      </c>
      <c r="U1190" s="18"/>
      <c r="V1190" s="18"/>
      <c r="W1190" s="18" t="s">
        <v>48002</v>
      </c>
      <c r="X1190" s="18" t="s">
        <v>42</v>
      </c>
      <c r="Y1190" s="18" t="s">
        <v>36</v>
      </c>
      <c r="Z1190" s="18" t="s">
        <v>697</v>
      </c>
      <c r="AA1190" s="21" t="str">
        <f>HYPERLINK("https://www.ncbi.nlm.nih.gov/nuccore/OL539467","NCBI Nucleotide")</f>
        <v>NCBI Nucleotide</v>
      </c>
    </row>
    <row r="1191" spans="1:27" x14ac:dyDescent="0.35">
      <c r="A1191">
        <v>1001640</v>
      </c>
      <c r="B1191">
        <v>1190</v>
      </c>
      <c r="C1191">
        <v>1</v>
      </c>
      <c r="D1191" s="17" t="s">
        <v>155</v>
      </c>
      <c r="E1191" s="17"/>
      <c r="F1191" s="17" t="s">
        <v>156</v>
      </c>
      <c r="G1191" s="17"/>
      <c r="H1191" s="17" t="s">
        <v>692</v>
      </c>
      <c r="I1191" s="17"/>
      <c r="J1191" s="17" t="s">
        <v>693</v>
      </c>
      <c r="K1191" s="17"/>
      <c r="L1191" s="17"/>
      <c r="M1191" s="17"/>
      <c r="N1191" s="17" t="s">
        <v>7745</v>
      </c>
      <c r="O1191" s="17" t="s">
        <v>7854</v>
      </c>
      <c r="P1191" s="17" t="s">
        <v>7880</v>
      </c>
      <c r="Q1191" s="17"/>
      <c r="R1191" s="25" t="str">
        <f>HYPERLINK("https://ictv.global/taxonomy/taxondetails?taxnode_id=202308156","Wilsonroadvirus Sd1")</f>
        <v>Wilsonroadvirus Sd1</v>
      </c>
      <c r="S1191" s="18" t="s">
        <v>30</v>
      </c>
      <c r="T1191" s="18" t="s">
        <v>7881</v>
      </c>
      <c r="U1191" s="18"/>
      <c r="V1191" s="18"/>
      <c r="W1191" s="18" t="s">
        <v>7882</v>
      </c>
      <c r="X1191" s="18" t="s">
        <v>42</v>
      </c>
      <c r="Y1191" s="18" t="s">
        <v>36</v>
      </c>
      <c r="Z1191" s="18" t="s">
        <v>697</v>
      </c>
      <c r="AA1191" s="21" t="str">
        <f>HYPERLINK("https://www.ncbi.nlm.nih.gov/nuccore/MF158042","NCBI Nucleotide")</f>
        <v>NCBI Nucleotide</v>
      </c>
    </row>
    <row r="1192" spans="1:27" x14ac:dyDescent="0.35">
      <c r="A1192">
        <v>1001641</v>
      </c>
      <c r="B1192">
        <v>1191</v>
      </c>
      <c r="C1192">
        <v>1</v>
      </c>
      <c r="D1192" s="17" t="s">
        <v>155</v>
      </c>
      <c r="E1192" s="17"/>
      <c r="F1192" s="17" t="s">
        <v>156</v>
      </c>
      <c r="G1192" s="17"/>
      <c r="H1192" s="17" t="s">
        <v>692</v>
      </c>
      <c r="I1192" s="17"/>
      <c r="J1192" s="17" t="s">
        <v>693</v>
      </c>
      <c r="K1192" s="17"/>
      <c r="L1192" s="17"/>
      <c r="M1192" s="17"/>
      <c r="N1192" s="17" t="s">
        <v>7745</v>
      </c>
      <c r="O1192" s="17" t="s">
        <v>7883</v>
      </c>
      <c r="P1192" s="17" t="s">
        <v>39160</v>
      </c>
      <c r="Q1192" s="17"/>
      <c r="R1192" s="25" t="str">
        <f>HYPERLINK("https://ictv.global/taxonomy/taxondetails?taxnode_id=202309975","Baihuvirus PHB17")</f>
        <v>Baihuvirus PHB17</v>
      </c>
      <c r="S1192" s="18" t="s">
        <v>30</v>
      </c>
      <c r="T1192" s="18" t="s">
        <v>7885</v>
      </c>
      <c r="U1192" s="18"/>
      <c r="V1192" s="18"/>
      <c r="W1192" s="18" t="s">
        <v>7886</v>
      </c>
      <c r="X1192" s="18" t="s">
        <v>42</v>
      </c>
      <c r="Y1192" s="18" t="s">
        <v>36</v>
      </c>
      <c r="Z1192" s="18" t="s">
        <v>697</v>
      </c>
      <c r="AA1192" s="21" t="str">
        <f>HYPERLINK("https://www.ncbi.nlm.nih.gov/nuccore/MN090155","NCBI Nucleotide")</f>
        <v>NCBI Nucleotide</v>
      </c>
    </row>
    <row r="1193" spans="1:27" x14ac:dyDescent="0.35">
      <c r="A1193">
        <v>1024602</v>
      </c>
      <c r="B1193">
        <v>1192</v>
      </c>
      <c r="C1193">
        <v>1</v>
      </c>
      <c r="D1193" s="17" t="s">
        <v>155</v>
      </c>
      <c r="E1193" s="17"/>
      <c r="F1193" s="17" t="s">
        <v>156</v>
      </c>
      <c r="G1193" s="17"/>
      <c r="H1193" s="17" t="s">
        <v>692</v>
      </c>
      <c r="I1193" s="17"/>
      <c r="J1193" s="17" t="s">
        <v>693</v>
      </c>
      <c r="K1193" s="17"/>
      <c r="L1193" s="17"/>
      <c r="M1193" s="17"/>
      <c r="N1193" s="17" t="s">
        <v>7745</v>
      </c>
      <c r="O1193" s="17" t="s">
        <v>7883</v>
      </c>
      <c r="P1193" s="17" t="s">
        <v>7884</v>
      </c>
      <c r="Q1193" s="17"/>
      <c r="R1193" s="25" t="str">
        <f>HYPERLINK("https://ictv.global/taxonomy/taxondetails?taxnode_id=202319341","Changchunvirus paulsarasin")</f>
        <v>Changchunvirus paulsarasin</v>
      </c>
      <c r="S1193" s="18" t="s">
        <v>30</v>
      </c>
      <c r="T1193" s="18" t="s">
        <v>39161</v>
      </c>
      <c r="U1193" s="18"/>
      <c r="V1193" s="18"/>
      <c r="W1193" s="18" t="s">
        <v>48003</v>
      </c>
      <c r="X1193" s="18" t="s">
        <v>42</v>
      </c>
      <c r="Y1193" s="18" t="s">
        <v>36</v>
      </c>
      <c r="Z1193" s="18" t="s">
        <v>697</v>
      </c>
      <c r="AA1193" s="21" t="str">
        <f>HYPERLINK("https://www.ncbi.nlm.nih.gov/nuccore/MZ501099","NCBI Nucleotide")</f>
        <v>NCBI Nucleotide</v>
      </c>
    </row>
    <row r="1194" spans="1:27" x14ac:dyDescent="0.35">
      <c r="A1194">
        <v>1001642</v>
      </c>
      <c r="B1194">
        <v>1193</v>
      </c>
      <c r="C1194">
        <v>1</v>
      </c>
      <c r="D1194" s="17" t="s">
        <v>155</v>
      </c>
      <c r="E1194" s="17"/>
      <c r="F1194" s="17" t="s">
        <v>156</v>
      </c>
      <c r="G1194" s="17"/>
      <c r="H1194" s="17" t="s">
        <v>692</v>
      </c>
      <c r="I1194" s="17"/>
      <c r="J1194" s="17" t="s">
        <v>693</v>
      </c>
      <c r="K1194" s="17"/>
      <c r="L1194" s="17"/>
      <c r="M1194" s="17"/>
      <c r="N1194" s="17" t="s">
        <v>7745</v>
      </c>
      <c r="O1194" s="17" t="s">
        <v>7883</v>
      </c>
      <c r="P1194" s="17" t="s">
        <v>7884</v>
      </c>
      <c r="Q1194" s="17"/>
      <c r="R1194" s="25" t="str">
        <f>HYPERLINK("https://ictv.global/taxonomy/taxondetails?taxnode_id=202309974","Changchunvirus W011D")</f>
        <v>Changchunvirus W011D</v>
      </c>
      <c r="S1194" s="18" t="s">
        <v>30</v>
      </c>
      <c r="T1194" s="18" t="s">
        <v>7887</v>
      </c>
      <c r="U1194" s="18"/>
      <c r="V1194" s="18"/>
      <c r="W1194" s="18" t="s">
        <v>7888</v>
      </c>
      <c r="X1194" s="18" t="s">
        <v>42</v>
      </c>
      <c r="Y1194" s="18" t="s">
        <v>36</v>
      </c>
      <c r="Z1194" s="18" t="s">
        <v>697</v>
      </c>
      <c r="AA1194" s="21" t="str">
        <f>HYPERLINK("https://www.ncbi.nlm.nih.gov/nuccore/MK778457","NCBI Nucleotide")</f>
        <v>NCBI Nucleotide</v>
      </c>
    </row>
    <row r="1195" spans="1:27" x14ac:dyDescent="0.35">
      <c r="A1195">
        <v>1001643</v>
      </c>
      <c r="B1195">
        <v>1194</v>
      </c>
      <c r="C1195">
        <v>1</v>
      </c>
      <c r="D1195" s="17" t="s">
        <v>155</v>
      </c>
      <c r="E1195" s="17"/>
      <c r="F1195" s="17" t="s">
        <v>156</v>
      </c>
      <c r="G1195" s="17"/>
      <c r="H1195" s="17" t="s">
        <v>692</v>
      </c>
      <c r="I1195" s="17"/>
      <c r="J1195" s="17" t="s">
        <v>693</v>
      </c>
      <c r="K1195" s="17"/>
      <c r="L1195" s="17"/>
      <c r="M1195" s="17"/>
      <c r="N1195" s="17" t="s">
        <v>7745</v>
      </c>
      <c r="O1195" s="17" t="s">
        <v>7883</v>
      </c>
      <c r="P1195" s="17" t="s">
        <v>7889</v>
      </c>
      <c r="Q1195" s="17"/>
      <c r="R1195" s="25" t="str">
        <f>HYPERLINK("https://ictv.global/taxonomy/taxondetails?taxnode_id=202310090","Hanrivervirus aalborv")</f>
        <v>Hanrivervirus aalborv</v>
      </c>
      <c r="S1195" s="18" t="s">
        <v>30</v>
      </c>
      <c r="T1195" s="18" t="s">
        <v>7890</v>
      </c>
      <c r="U1195" s="18"/>
      <c r="V1195" s="18"/>
      <c r="W1195" s="18" t="s">
        <v>7891</v>
      </c>
      <c r="X1195" s="18" t="s">
        <v>42</v>
      </c>
      <c r="Y1195" s="18" t="s">
        <v>36</v>
      </c>
      <c r="Z1195" s="18" t="s">
        <v>697</v>
      </c>
      <c r="AA1195" s="21" t="str">
        <f>HYPERLINK("https://www.ncbi.nlm.nih.gov/nuccore/MN850591","NCBI Nucleotide")</f>
        <v>NCBI Nucleotide</v>
      </c>
    </row>
    <row r="1196" spans="1:27" x14ac:dyDescent="0.35">
      <c r="A1196">
        <v>1001644</v>
      </c>
      <c r="B1196">
        <v>1195</v>
      </c>
      <c r="C1196">
        <v>1</v>
      </c>
      <c r="D1196" s="17" t="s">
        <v>155</v>
      </c>
      <c r="E1196" s="17"/>
      <c r="F1196" s="17" t="s">
        <v>156</v>
      </c>
      <c r="G1196" s="17"/>
      <c r="H1196" s="17" t="s">
        <v>692</v>
      </c>
      <c r="I1196" s="17"/>
      <c r="J1196" s="17" t="s">
        <v>693</v>
      </c>
      <c r="K1196" s="17"/>
      <c r="L1196" s="17"/>
      <c r="M1196" s="17"/>
      <c r="N1196" s="17" t="s">
        <v>7745</v>
      </c>
      <c r="O1196" s="17" t="s">
        <v>7883</v>
      </c>
      <c r="P1196" s="17" t="s">
        <v>7889</v>
      </c>
      <c r="Q1196" s="17"/>
      <c r="R1196" s="25" t="str">
        <f>HYPERLINK("https://ictv.global/taxonomy/taxondetails?taxnode_id=202310087","Hanrivervirus aaroes")</f>
        <v>Hanrivervirus aaroes</v>
      </c>
      <c r="S1196" s="18" t="s">
        <v>30</v>
      </c>
      <c r="T1196" s="18" t="s">
        <v>7892</v>
      </c>
      <c r="U1196" s="18"/>
      <c r="V1196" s="18"/>
      <c r="W1196" s="18" t="s">
        <v>7893</v>
      </c>
      <c r="X1196" s="18" t="s">
        <v>42</v>
      </c>
      <c r="Y1196" s="18" t="s">
        <v>36</v>
      </c>
      <c r="Z1196" s="18" t="s">
        <v>697</v>
      </c>
      <c r="AA1196" s="21" t="str">
        <f>HYPERLINK("https://www.ncbi.nlm.nih.gov/nuccore/MN850572","NCBI Nucleotide")</f>
        <v>NCBI Nucleotide</v>
      </c>
    </row>
    <row r="1197" spans="1:27" x14ac:dyDescent="0.35">
      <c r="A1197">
        <v>1001645</v>
      </c>
      <c r="B1197">
        <v>1196</v>
      </c>
      <c r="C1197">
        <v>1</v>
      </c>
      <c r="D1197" s="17" t="s">
        <v>155</v>
      </c>
      <c r="E1197" s="17"/>
      <c r="F1197" s="17" t="s">
        <v>156</v>
      </c>
      <c r="G1197" s="17"/>
      <c r="H1197" s="17" t="s">
        <v>692</v>
      </c>
      <c r="I1197" s="17"/>
      <c r="J1197" s="17" t="s">
        <v>693</v>
      </c>
      <c r="K1197" s="17"/>
      <c r="L1197" s="17"/>
      <c r="M1197" s="17"/>
      <c r="N1197" s="17" t="s">
        <v>7745</v>
      </c>
      <c r="O1197" s="17" t="s">
        <v>7883</v>
      </c>
      <c r="P1197" s="17" t="s">
        <v>7889</v>
      </c>
      <c r="Q1197" s="17"/>
      <c r="R1197" s="25" t="str">
        <f>HYPERLINK("https://ictv.global/taxonomy/taxondetails?taxnode_id=202310088","Hanrivervirus damhaus")</f>
        <v>Hanrivervirus damhaus</v>
      </c>
      <c r="S1197" s="18" t="s">
        <v>30</v>
      </c>
      <c r="T1197" s="18" t="s">
        <v>7894</v>
      </c>
      <c r="U1197" s="18"/>
      <c r="V1197" s="18"/>
      <c r="W1197" s="18" t="s">
        <v>7895</v>
      </c>
      <c r="X1197" s="18" t="s">
        <v>42</v>
      </c>
      <c r="Y1197" s="18" t="s">
        <v>36</v>
      </c>
      <c r="Z1197" s="18" t="s">
        <v>697</v>
      </c>
      <c r="AA1197" s="21" t="str">
        <f>HYPERLINK("https://www.ncbi.nlm.nih.gov/nuccore/MN850602","NCBI Nucleotide")</f>
        <v>NCBI Nucleotide</v>
      </c>
    </row>
    <row r="1198" spans="1:27" x14ac:dyDescent="0.35">
      <c r="A1198">
        <v>1024483</v>
      </c>
      <c r="B1198">
        <v>1197</v>
      </c>
      <c r="C1198">
        <v>1</v>
      </c>
      <c r="D1198" s="17" t="s">
        <v>155</v>
      </c>
      <c r="E1198" s="17"/>
      <c r="F1198" s="17" t="s">
        <v>156</v>
      </c>
      <c r="G1198" s="17"/>
      <c r="H1198" s="17" t="s">
        <v>692</v>
      </c>
      <c r="I1198" s="17"/>
      <c r="J1198" s="17" t="s">
        <v>693</v>
      </c>
      <c r="K1198" s="17"/>
      <c r="L1198" s="17"/>
      <c r="M1198" s="17"/>
      <c r="N1198" s="17" t="s">
        <v>7745</v>
      </c>
      <c r="O1198" s="17" t="s">
        <v>7883</v>
      </c>
      <c r="P1198" s="17" t="s">
        <v>7889</v>
      </c>
      <c r="Q1198" s="17"/>
      <c r="R1198" s="25" t="str">
        <f>HYPERLINK("https://ictv.global/taxonomy/taxondetails?taxnode_id=202319329","Hanrivervirus EC147")</f>
        <v>Hanrivervirus EC147</v>
      </c>
      <c r="S1198" s="18" t="s">
        <v>30</v>
      </c>
      <c r="T1198" s="18" t="s">
        <v>39162</v>
      </c>
      <c r="U1198" s="18"/>
      <c r="V1198" s="18"/>
      <c r="W1198" s="18" t="s">
        <v>48004</v>
      </c>
      <c r="X1198" s="18" t="s">
        <v>42</v>
      </c>
      <c r="Y1198" s="18" t="s">
        <v>36</v>
      </c>
      <c r="Z1198" s="18" t="s">
        <v>697</v>
      </c>
      <c r="AA1198" s="21" t="str">
        <f>HYPERLINK("https://www.ncbi.nlm.nih.gov/nuccore/ON185589","NCBI Nucleotide")</f>
        <v>NCBI Nucleotide</v>
      </c>
    </row>
    <row r="1199" spans="1:27" x14ac:dyDescent="0.35">
      <c r="A1199">
        <v>1001646</v>
      </c>
      <c r="B1199">
        <v>1198</v>
      </c>
      <c r="C1199">
        <v>1</v>
      </c>
      <c r="D1199" s="17" t="s">
        <v>155</v>
      </c>
      <c r="E1199" s="17"/>
      <c r="F1199" s="17" t="s">
        <v>156</v>
      </c>
      <c r="G1199" s="17"/>
      <c r="H1199" s="17" t="s">
        <v>692</v>
      </c>
      <c r="I1199" s="17"/>
      <c r="J1199" s="17" t="s">
        <v>693</v>
      </c>
      <c r="K1199" s="17"/>
      <c r="L1199" s="17"/>
      <c r="M1199" s="17"/>
      <c r="N1199" s="17" t="s">
        <v>7745</v>
      </c>
      <c r="O1199" s="17" t="s">
        <v>7883</v>
      </c>
      <c r="P1199" s="17" t="s">
        <v>7889</v>
      </c>
      <c r="Q1199" s="17"/>
      <c r="R1199" s="25" t="str">
        <f>HYPERLINK("https://ictv.global/taxonomy/taxondetails?taxnode_id=202310084","Hanrivervirus egaa")</f>
        <v>Hanrivervirus egaa</v>
      </c>
      <c r="S1199" s="18" t="s">
        <v>30</v>
      </c>
      <c r="T1199" s="18" t="s">
        <v>7896</v>
      </c>
      <c r="U1199" s="18"/>
      <c r="V1199" s="18"/>
      <c r="W1199" s="18" t="s">
        <v>7897</v>
      </c>
      <c r="X1199" s="18" t="s">
        <v>42</v>
      </c>
      <c r="Y1199" s="18" t="s">
        <v>36</v>
      </c>
      <c r="Z1199" s="18" t="s">
        <v>697</v>
      </c>
      <c r="AA1199" s="21" t="str">
        <f>HYPERLINK("https://www.ncbi.nlm.nih.gov/nuccore/MN850607","NCBI Nucleotide")</f>
        <v>NCBI Nucleotide</v>
      </c>
    </row>
    <row r="1200" spans="1:27" x14ac:dyDescent="0.35">
      <c r="A1200">
        <v>1024484</v>
      </c>
      <c r="B1200">
        <v>1199</v>
      </c>
      <c r="C1200">
        <v>1</v>
      </c>
      <c r="D1200" s="17" t="s">
        <v>155</v>
      </c>
      <c r="E1200" s="17"/>
      <c r="F1200" s="17" t="s">
        <v>156</v>
      </c>
      <c r="G1200" s="17"/>
      <c r="H1200" s="17" t="s">
        <v>692</v>
      </c>
      <c r="I1200" s="17"/>
      <c r="J1200" s="17" t="s">
        <v>693</v>
      </c>
      <c r="K1200" s="17"/>
      <c r="L1200" s="17"/>
      <c r="M1200" s="17"/>
      <c r="N1200" s="17" t="s">
        <v>7745</v>
      </c>
      <c r="O1200" s="17" t="s">
        <v>7883</v>
      </c>
      <c r="P1200" s="17" t="s">
        <v>7889</v>
      </c>
      <c r="Q1200" s="17"/>
      <c r="R1200" s="25" t="str">
        <f>HYPERLINK("https://ictv.global/taxonomy/taxondetails?taxnode_id=202319331","Hanrivervirus fulano1")</f>
        <v>Hanrivervirus fulano1</v>
      </c>
      <c r="S1200" s="18" t="s">
        <v>30</v>
      </c>
      <c r="T1200" s="18" t="s">
        <v>39163</v>
      </c>
      <c r="U1200" s="18"/>
      <c r="V1200" s="18"/>
      <c r="W1200" s="18" t="s">
        <v>48005</v>
      </c>
      <c r="X1200" s="18" t="s">
        <v>42</v>
      </c>
      <c r="Y1200" s="18" t="s">
        <v>36</v>
      </c>
      <c r="Z1200" s="18" t="s">
        <v>697</v>
      </c>
      <c r="AA1200" s="21" t="str">
        <f>HYPERLINK("https://www.ncbi.nlm.nih.gov/nuccore/OL539459","NCBI Nucleotide")</f>
        <v>NCBI Nucleotide</v>
      </c>
    </row>
    <row r="1201" spans="1:27" x14ac:dyDescent="0.35">
      <c r="A1201">
        <v>1001647</v>
      </c>
      <c r="B1201">
        <v>1200</v>
      </c>
      <c r="C1201">
        <v>1</v>
      </c>
      <c r="D1201" s="17" t="s">
        <v>155</v>
      </c>
      <c r="E1201" s="17"/>
      <c r="F1201" s="17" t="s">
        <v>156</v>
      </c>
      <c r="G1201" s="17"/>
      <c r="H1201" s="17" t="s">
        <v>692</v>
      </c>
      <c r="I1201" s="17"/>
      <c r="J1201" s="17" t="s">
        <v>693</v>
      </c>
      <c r="K1201" s="17"/>
      <c r="L1201" s="17"/>
      <c r="M1201" s="17"/>
      <c r="N1201" s="17" t="s">
        <v>7745</v>
      </c>
      <c r="O1201" s="17" t="s">
        <v>7883</v>
      </c>
      <c r="P1201" s="17" t="s">
        <v>7889</v>
      </c>
      <c r="Q1201" s="17"/>
      <c r="R1201" s="25" t="str">
        <f>HYPERLINK("https://ictv.global/taxonomy/taxondetails?taxnode_id=202310081","Hanrivervirus G292")</f>
        <v>Hanrivervirus G292</v>
      </c>
      <c r="S1201" s="18" t="s">
        <v>30</v>
      </c>
      <c r="T1201" s="18" t="s">
        <v>7898</v>
      </c>
      <c r="U1201" s="18"/>
      <c r="V1201" s="18"/>
      <c r="W1201" s="18" t="s">
        <v>7899</v>
      </c>
      <c r="X1201" s="18" t="s">
        <v>42</v>
      </c>
      <c r="Y1201" s="18" t="s">
        <v>36</v>
      </c>
      <c r="Z1201" s="18" t="s">
        <v>697</v>
      </c>
      <c r="AA1201" s="21" t="str">
        <f>HYPERLINK("https://www.ncbi.nlm.nih.gov/nuccore/MK373798","NCBI Nucleotide")</f>
        <v>NCBI Nucleotide</v>
      </c>
    </row>
    <row r="1202" spans="1:27" x14ac:dyDescent="0.35">
      <c r="A1202">
        <v>1001648</v>
      </c>
      <c r="B1202">
        <v>1201</v>
      </c>
      <c r="C1202">
        <v>1</v>
      </c>
      <c r="D1202" s="17" t="s">
        <v>155</v>
      </c>
      <c r="E1202" s="17"/>
      <c r="F1202" s="17" t="s">
        <v>156</v>
      </c>
      <c r="G1202" s="17"/>
      <c r="H1202" s="17" t="s">
        <v>692</v>
      </c>
      <c r="I1202" s="17"/>
      <c r="J1202" s="17" t="s">
        <v>693</v>
      </c>
      <c r="K1202" s="17"/>
      <c r="L1202" s="17"/>
      <c r="M1202" s="17"/>
      <c r="N1202" s="17" t="s">
        <v>7745</v>
      </c>
      <c r="O1202" s="17" t="s">
        <v>7883</v>
      </c>
      <c r="P1202" s="17" t="s">
        <v>7889</v>
      </c>
      <c r="Q1202" s="17"/>
      <c r="R1202" s="25" t="str">
        <f>HYPERLINK("https://ictv.global/taxonomy/taxondetails?taxnode_id=202310086","Hanrivervirus grams")</f>
        <v>Hanrivervirus grams</v>
      </c>
      <c r="S1202" s="18" t="s">
        <v>30</v>
      </c>
      <c r="T1202" s="18" t="s">
        <v>7900</v>
      </c>
      <c r="U1202" s="18"/>
      <c r="V1202" s="18"/>
      <c r="W1202" s="18" t="s">
        <v>7901</v>
      </c>
      <c r="X1202" s="18" t="s">
        <v>42</v>
      </c>
      <c r="Y1202" s="18" t="s">
        <v>36</v>
      </c>
      <c r="Z1202" s="18" t="s">
        <v>697</v>
      </c>
      <c r="AA1202" s="21" t="str">
        <f>HYPERLINK("https://www.ncbi.nlm.nih.gov/nuccore/MN850567","NCBI Nucleotide")</f>
        <v>NCBI Nucleotide</v>
      </c>
    </row>
    <row r="1203" spans="1:27" x14ac:dyDescent="0.35">
      <c r="A1203">
        <v>1001649</v>
      </c>
      <c r="B1203">
        <v>1202</v>
      </c>
      <c r="C1203">
        <v>1</v>
      </c>
      <c r="D1203" s="17" t="s">
        <v>155</v>
      </c>
      <c r="E1203" s="17"/>
      <c r="F1203" s="17" t="s">
        <v>156</v>
      </c>
      <c r="G1203" s="17"/>
      <c r="H1203" s="17" t="s">
        <v>692</v>
      </c>
      <c r="I1203" s="17"/>
      <c r="J1203" s="17" t="s">
        <v>693</v>
      </c>
      <c r="K1203" s="17"/>
      <c r="L1203" s="17"/>
      <c r="M1203" s="17"/>
      <c r="N1203" s="17" t="s">
        <v>7745</v>
      </c>
      <c r="O1203" s="17" t="s">
        <v>7883</v>
      </c>
      <c r="P1203" s="17" t="s">
        <v>7889</v>
      </c>
      <c r="Q1203" s="17"/>
      <c r="R1203" s="25" t="str">
        <f>HYPERLINK("https://ictv.global/taxonomy/taxondetails?taxnode_id=202310089","Hanrivervirus haarsle")</f>
        <v>Hanrivervirus haarsle</v>
      </c>
      <c r="S1203" s="18" t="s">
        <v>30</v>
      </c>
      <c r="T1203" s="18" t="s">
        <v>7902</v>
      </c>
      <c r="U1203" s="18"/>
      <c r="V1203" s="18"/>
      <c r="W1203" s="18" t="s">
        <v>7903</v>
      </c>
      <c r="X1203" s="18" t="s">
        <v>42</v>
      </c>
      <c r="Y1203" s="18" t="s">
        <v>36</v>
      </c>
      <c r="Z1203" s="18" t="s">
        <v>697</v>
      </c>
      <c r="AA1203" s="21" t="str">
        <f>HYPERLINK("https://www.ncbi.nlm.nih.gov/nuccore/MN850600","NCBI Nucleotide")</f>
        <v>NCBI Nucleotide</v>
      </c>
    </row>
    <row r="1204" spans="1:27" x14ac:dyDescent="0.35">
      <c r="A1204">
        <v>1001650</v>
      </c>
      <c r="B1204">
        <v>1203</v>
      </c>
      <c r="C1204">
        <v>1</v>
      </c>
      <c r="D1204" s="17" t="s">
        <v>155</v>
      </c>
      <c r="E1204" s="17"/>
      <c r="F1204" s="17" t="s">
        <v>156</v>
      </c>
      <c r="G1204" s="17"/>
      <c r="H1204" s="17" t="s">
        <v>692</v>
      </c>
      <c r="I1204" s="17"/>
      <c r="J1204" s="17" t="s">
        <v>693</v>
      </c>
      <c r="K1204" s="17"/>
      <c r="L1204" s="17"/>
      <c r="M1204" s="17"/>
      <c r="N1204" s="17" t="s">
        <v>7745</v>
      </c>
      <c r="O1204" s="17" t="s">
        <v>7883</v>
      </c>
      <c r="P1204" s="17" t="s">
        <v>7889</v>
      </c>
      <c r="Q1204" s="17"/>
      <c r="R1204" s="25" t="str">
        <f>HYPERLINK("https://ictv.global/taxonomy/taxondetails?taxnode_id=202310085","Hanrivervirus henu8")</f>
        <v>Hanrivervirus henu8</v>
      </c>
      <c r="S1204" s="18" t="s">
        <v>30</v>
      </c>
      <c r="T1204" s="18" t="s">
        <v>7904</v>
      </c>
      <c r="U1204" s="18"/>
      <c r="V1204" s="18"/>
      <c r="W1204" s="18" t="s">
        <v>7905</v>
      </c>
      <c r="X1204" s="18" t="s">
        <v>42</v>
      </c>
      <c r="Y1204" s="18" t="s">
        <v>36</v>
      </c>
      <c r="Z1204" s="18" t="s">
        <v>697</v>
      </c>
      <c r="AA1204" s="21" t="str">
        <f>HYPERLINK("https://www.ncbi.nlm.nih.gov/nuccore/MN055691","NCBI Nucleotide")</f>
        <v>NCBI Nucleotide</v>
      </c>
    </row>
    <row r="1205" spans="1:27" x14ac:dyDescent="0.35">
      <c r="A1205">
        <v>1001651</v>
      </c>
      <c r="B1205">
        <v>1204</v>
      </c>
      <c r="C1205">
        <v>1</v>
      </c>
      <c r="D1205" s="17" t="s">
        <v>155</v>
      </c>
      <c r="E1205" s="17"/>
      <c r="F1205" s="17" t="s">
        <v>156</v>
      </c>
      <c r="G1205" s="17"/>
      <c r="H1205" s="17" t="s">
        <v>692</v>
      </c>
      <c r="I1205" s="17"/>
      <c r="J1205" s="17" t="s">
        <v>693</v>
      </c>
      <c r="K1205" s="17"/>
      <c r="L1205" s="17"/>
      <c r="M1205" s="17"/>
      <c r="N1205" s="17" t="s">
        <v>7745</v>
      </c>
      <c r="O1205" s="17" t="s">
        <v>7883</v>
      </c>
      <c r="P1205" s="17" t="s">
        <v>7889</v>
      </c>
      <c r="Q1205" s="17"/>
      <c r="R1205" s="25" t="str">
        <f>HYPERLINK("https://ictv.global/taxonomy/taxondetails?taxnode_id=202310082","Hanrivervirus herni")</f>
        <v>Hanrivervirus herni</v>
      </c>
      <c r="S1205" s="18" t="s">
        <v>30</v>
      </c>
      <c r="T1205" s="18" t="s">
        <v>7906</v>
      </c>
      <c r="U1205" s="18"/>
      <c r="V1205" s="18"/>
      <c r="W1205" s="18" t="s">
        <v>7907</v>
      </c>
      <c r="X1205" s="18" t="s">
        <v>42</v>
      </c>
      <c r="Y1205" s="18" t="s">
        <v>36</v>
      </c>
      <c r="Z1205" s="18" t="s">
        <v>697</v>
      </c>
      <c r="AA1205" s="21" t="str">
        <f>HYPERLINK("https://www.ncbi.nlm.nih.gov/nuccore/MN850640","NCBI Nucleotide")</f>
        <v>NCBI Nucleotide</v>
      </c>
    </row>
    <row r="1206" spans="1:27" x14ac:dyDescent="0.35">
      <c r="A1206">
        <v>1001652</v>
      </c>
      <c r="B1206">
        <v>1205</v>
      </c>
      <c r="C1206">
        <v>1</v>
      </c>
      <c r="D1206" s="17" t="s">
        <v>155</v>
      </c>
      <c r="E1206" s="17"/>
      <c r="F1206" s="17" t="s">
        <v>156</v>
      </c>
      <c r="G1206" s="17"/>
      <c r="H1206" s="17" t="s">
        <v>692</v>
      </c>
      <c r="I1206" s="17"/>
      <c r="J1206" s="17" t="s">
        <v>693</v>
      </c>
      <c r="K1206" s="17"/>
      <c r="L1206" s="17"/>
      <c r="M1206" s="17"/>
      <c r="N1206" s="17" t="s">
        <v>7745</v>
      </c>
      <c r="O1206" s="17" t="s">
        <v>7883</v>
      </c>
      <c r="P1206" s="17" t="s">
        <v>7889</v>
      </c>
      <c r="Q1206" s="17"/>
      <c r="R1206" s="25" t="str">
        <f>HYPERLINK("https://ictv.global/taxonomy/taxondetails?taxnode_id=202310079","Hanrivervirus hv2019SD1")</f>
        <v>Hanrivervirus hv2019SD1</v>
      </c>
      <c r="S1206" s="18" t="s">
        <v>30</v>
      </c>
      <c r="T1206" s="18" t="s">
        <v>7908</v>
      </c>
      <c r="U1206" s="18"/>
      <c r="V1206" s="18"/>
      <c r="W1206" s="18" t="s">
        <v>7909</v>
      </c>
      <c r="X1206" s="18" t="s">
        <v>42</v>
      </c>
      <c r="Y1206" s="18" t="s">
        <v>36</v>
      </c>
      <c r="Z1206" s="18" t="s">
        <v>697</v>
      </c>
      <c r="AA1206" s="21" t="str">
        <f>HYPERLINK("https://www.ncbi.nlm.nih.gov/nuccore/MT360681","NCBI Nucleotide")</f>
        <v>NCBI Nucleotide</v>
      </c>
    </row>
    <row r="1207" spans="1:27" x14ac:dyDescent="0.35">
      <c r="A1207">
        <v>1024485</v>
      </c>
      <c r="B1207">
        <v>1206</v>
      </c>
      <c r="C1207">
        <v>1</v>
      </c>
      <c r="D1207" s="17" t="s">
        <v>155</v>
      </c>
      <c r="E1207" s="17"/>
      <c r="F1207" s="17" t="s">
        <v>156</v>
      </c>
      <c r="G1207" s="17"/>
      <c r="H1207" s="17" t="s">
        <v>692</v>
      </c>
      <c r="I1207" s="17"/>
      <c r="J1207" s="17" t="s">
        <v>693</v>
      </c>
      <c r="K1207" s="17"/>
      <c r="L1207" s="17"/>
      <c r="M1207" s="17"/>
      <c r="N1207" s="17" t="s">
        <v>7745</v>
      </c>
      <c r="O1207" s="17" t="s">
        <v>7883</v>
      </c>
      <c r="P1207" s="17" t="s">
        <v>7889</v>
      </c>
      <c r="Q1207" s="17"/>
      <c r="R1207" s="25" t="str">
        <f>HYPERLINK("https://ictv.global/taxonomy/taxondetails?taxnode_id=202319330","Hanrivervirus jacobbernoulli")</f>
        <v>Hanrivervirus jacobbernoulli</v>
      </c>
      <c r="S1207" s="18" t="s">
        <v>30</v>
      </c>
      <c r="T1207" s="18" t="s">
        <v>39164</v>
      </c>
      <c r="U1207" s="18"/>
      <c r="V1207" s="18"/>
      <c r="W1207" s="18" t="s">
        <v>48006</v>
      </c>
      <c r="X1207" s="18" t="s">
        <v>42</v>
      </c>
      <c r="Y1207" s="18" t="s">
        <v>36</v>
      </c>
      <c r="Z1207" s="18" t="s">
        <v>697</v>
      </c>
      <c r="AA1207" s="21" t="str">
        <f>HYPERLINK("https://www.ncbi.nlm.nih.gov/nuccore/MZ501079","NCBI Nucleotide")</f>
        <v>NCBI Nucleotide</v>
      </c>
    </row>
    <row r="1208" spans="1:27" x14ac:dyDescent="0.35">
      <c r="A1208">
        <v>1024486</v>
      </c>
      <c r="B1208">
        <v>1207</v>
      </c>
      <c r="C1208">
        <v>1</v>
      </c>
      <c r="D1208" s="17" t="s">
        <v>155</v>
      </c>
      <c r="E1208" s="17"/>
      <c r="F1208" s="17" t="s">
        <v>156</v>
      </c>
      <c r="G1208" s="17"/>
      <c r="H1208" s="17" t="s">
        <v>692</v>
      </c>
      <c r="I1208" s="17"/>
      <c r="J1208" s="17" t="s">
        <v>693</v>
      </c>
      <c r="K1208" s="17"/>
      <c r="L1208" s="17"/>
      <c r="M1208" s="17"/>
      <c r="N1208" s="17" t="s">
        <v>7745</v>
      </c>
      <c r="O1208" s="17" t="s">
        <v>7883</v>
      </c>
      <c r="P1208" s="17" t="s">
        <v>7889</v>
      </c>
      <c r="Q1208" s="17"/>
      <c r="R1208" s="25" t="str">
        <f>HYPERLINK("https://ictv.global/taxonomy/taxondetails?taxnode_id=202319333","Hanrivervirus JLBYU41")</f>
        <v>Hanrivervirus JLBYU41</v>
      </c>
      <c r="S1208" s="18" t="s">
        <v>30</v>
      </c>
      <c r="T1208" s="18" t="s">
        <v>39165</v>
      </c>
      <c r="U1208" s="18"/>
      <c r="V1208" s="18"/>
      <c r="W1208" s="18" t="s">
        <v>48007</v>
      </c>
      <c r="X1208" s="18" t="s">
        <v>42</v>
      </c>
      <c r="Y1208" s="18" t="s">
        <v>36</v>
      </c>
      <c r="Z1208" s="18" t="s">
        <v>697</v>
      </c>
      <c r="AA1208" s="21" t="str">
        <f>HYPERLINK("https://www.ncbi.nlm.nih.gov/nuccore/OK272479","NCBI Nucleotide")</f>
        <v>NCBI Nucleotide</v>
      </c>
    </row>
    <row r="1209" spans="1:27" x14ac:dyDescent="0.35">
      <c r="A1209">
        <v>1024487</v>
      </c>
      <c r="B1209">
        <v>1208</v>
      </c>
      <c r="C1209">
        <v>1</v>
      </c>
      <c r="D1209" s="17" t="s">
        <v>155</v>
      </c>
      <c r="E1209" s="17"/>
      <c r="F1209" s="17" t="s">
        <v>156</v>
      </c>
      <c r="G1209" s="17"/>
      <c r="H1209" s="17" t="s">
        <v>692</v>
      </c>
      <c r="I1209" s="17"/>
      <c r="J1209" s="17" t="s">
        <v>693</v>
      </c>
      <c r="K1209" s="17"/>
      <c r="L1209" s="17"/>
      <c r="M1209" s="17"/>
      <c r="N1209" s="17" t="s">
        <v>7745</v>
      </c>
      <c r="O1209" s="17" t="s">
        <v>7883</v>
      </c>
      <c r="P1209" s="17" t="s">
        <v>7889</v>
      </c>
      <c r="Q1209" s="17"/>
      <c r="R1209" s="25" t="str">
        <f>HYPERLINK("https://ictv.global/taxonomy/taxondetails?taxnode_id=202319332","Hanrivervirus karljaspers")</f>
        <v>Hanrivervirus karljaspers</v>
      </c>
      <c r="S1209" s="18" t="s">
        <v>30</v>
      </c>
      <c r="T1209" s="18" t="s">
        <v>39166</v>
      </c>
      <c r="U1209" s="18"/>
      <c r="V1209" s="18"/>
      <c r="W1209" s="18" t="s">
        <v>48008</v>
      </c>
      <c r="X1209" s="18" t="s">
        <v>42</v>
      </c>
      <c r="Y1209" s="18" t="s">
        <v>36</v>
      </c>
      <c r="Z1209" s="18" t="s">
        <v>697</v>
      </c>
      <c r="AA1209" s="21" t="str">
        <f>HYPERLINK("https://www.ncbi.nlm.nih.gov/nuccore/MZ501090","NCBI Nucleotide")</f>
        <v>NCBI Nucleotide</v>
      </c>
    </row>
    <row r="1210" spans="1:27" x14ac:dyDescent="0.35">
      <c r="A1210">
        <v>1001653</v>
      </c>
      <c r="B1210">
        <v>1209</v>
      </c>
      <c r="C1210">
        <v>1</v>
      </c>
      <c r="D1210" s="17" t="s">
        <v>155</v>
      </c>
      <c r="E1210" s="17"/>
      <c r="F1210" s="17" t="s">
        <v>156</v>
      </c>
      <c r="G1210" s="17"/>
      <c r="H1210" s="17" t="s">
        <v>692</v>
      </c>
      <c r="I1210" s="17"/>
      <c r="J1210" s="17" t="s">
        <v>693</v>
      </c>
      <c r="K1210" s="17"/>
      <c r="L1210" s="17"/>
      <c r="M1210" s="17"/>
      <c r="N1210" s="17" t="s">
        <v>7745</v>
      </c>
      <c r="O1210" s="17" t="s">
        <v>7883</v>
      </c>
      <c r="P1210" s="17" t="s">
        <v>7889</v>
      </c>
      <c r="Q1210" s="17"/>
      <c r="R1210" s="25" t="str">
        <f>HYPERLINK("https://ictv.global/taxonomy/taxondetails?taxnode_id=202310091","Hanrivervirus PGN590")</f>
        <v>Hanrivervirus PGN590</v>
      </c>
      <c r="S1210" s="18" t="s">
        <v>30</v>
      </c>
      <c r="T1210" s="18" t="s">
        <v>7910</v>
      </c>
      <c r="U1210" s="18"/>
      <c r="V1210" s="18"/>
      <c r="W1210" s="18" t="s">
        <v>7911</v>
      </c>
      <c r="X1210" s="18" t="s">
        <v>42</v>
      </c>
      <c r="Y1210" s="18" t="s">
        <v>36</v>
      </c>
      <c r="Z1210" s="18" t="s">
        <v>697</v>
      </c>
      <c r="AA1210" s="21" t="str">
        <f>HYPERLINK("https://www.ncbi.nlm.nih.gov/nuccore/MT127619","NCBI Nucleotide")</f>
        <v>NCBI Nucleotide</v>
      </c>
    </row>
    <row r="1211" spans="1:27" x14ac:dyDescent="0.35">
      <c r="A1211">
        <v>1001654</v>
      </c>
      <c r="B1211">
        <v>1210</v>
      </c>
      <c r="C1211">
        <v>1</v>
      </c>
      <c r="D1211" s="17" t="s">
        <v>155</v>
      </c>
      <c r="E1211" s="17"/>
      <c r="F1211" s="17" t="s">
        <v>156</v>
      </c>
      <c r="G1211" s="17"/>
      <c r="H1211" s="17" t="s">
        <v>692</v>
      </c>
      <c r="I1211" s="17"/>
      <c r="J1211" s="17" t="s">
        <v>693</v>
      </c>
      <c r="K1211" s="17"/>
      <c r="L1211" s="17"/>
      <c r="M1211" s="17"/>
      <c r="N1211" s="17" t="s">
        <v>7745</v>
      </c>
      <c r="O1211" s="17" t="s">
        <v>7883</v>
      </c>
      <c r="P1211" s="17" t="s">
        <v>7889</v>
      </c>
      <c r="Q1211" s="17"/>
      <c r="R1211" s="25" t="str">
        <f>HYPERLINK("https://ictv.global/taxonomy/taxondetails?taxnode_id=202307069","Hanrivervirus pSf1")</f>
        <v>Hanrivervirus pSf1</v>
      </c>
      <c r="S1211" s="18" t="s">
        <v>30</v>
      </c>
      <c r="T1211" s="18" t="s">
        <v>7912</v>
      </c>
      <c r="U1211" s="18"/>
      <c r="V1211" s="18"/>
      <c r="W1211" s="18" t="s">
        <v>7913</v>
      </c>
      <c r="X1211" s="18" t="s">
        <v>42</v>
      </c>
      <c r="Y1211" s="18" t="s">
        <v>36</v>
      </c>
      <c r="Z1211" s="18" t="s">
        <v>697</v>
      </c>
      <c r="AA1211" s="21" t="str">
        <f>HYPERLINK("https://www.ncbi.nlm.nih.gov/nuccore/KC710998","NCBI Nucleotide")</f>
        <v>NCBI Nucleotide</v>
      </c>
    </row>
    <row r="1212" spans="1:27" x14ac:dyDescent="0.35">
      <c r="A1212">
        <v>1024488</v>
      </c>
      <c r="B1212">
        <v>1211</v>
      </c>
      <c r="C1212">
        <v>1</v>
      </c>
      <c r="D1212" s="17" t="s">
        <v>155</v>
      </c>
      <c r="E1212" s="17"/>
      <c r="F1212" s="17" t="s">
        <v>156</v>
      </c>
      <c r="G1212" s="17"/>
      <c r="H1212" s="17" t="s">
        <v>692</v>
      </c>
      <c r="I1212" s="17"/>
      <c r="J1212" s="17" t="s">
        <v>693</v>
      </c>
      <c r="K1212" s="17"/>
      <c r="L1212" s="17"/>
      <c r="M1212" s="17"/>
      <c r="N1212" s="17" t="s">
        <v>7745</v>
      </c>
      <c r="O1212" s="17" t="s">
        <v>7883</v>
      </c>
      <c r="P1212" s="17" t="s">
        <v>7889</v>
      </c>
      <c r="Q1212" s="17"/>
      <c r="R1212" s="25" t="str">
        <f>HYPERLINK("https://ictv.global/taxonomy/taxondetails?taxnode_id=202319334","Hanrivervirus SFP17")</f>
        <v>Hanrivervirus SFP17</v>
      </c>
      <c r="S1212" s="18" t="s">
        <v>30</v>
      </c>
      <c r="T1212" s="18" t="s">
        <v>39167</v>
      </c>
      <c r="U1212" s="18"/>
      <c r="V1212" s="18"/>
      <c r="W1212" s="18" t="s">
        <v>48009</v>
      </c>
      <c r="X1212" s="18" t="s">
        <v>42</v>
      </c>
      <c r="Y1212" s="18" t="s">
        <v>36</v>
      </c>
      <c r="Z1212" s="18" t="s">
        <v>697</v>
      </c>
      <c r="AA1212" s="21" t="str">
        <f>HYPERLINK("https://www.ncbi.nlm.nih.gov/nuccore/MN432485","NCBI Nucleotide")</f>
        <v>NCBI Nucleotide</v>
      </c>
    </row>
    <row r="1213" spans="1:27" x14ac:dyDescent="0.35">
      <c r="A1213">
        <v>1001655</v>
      </c>
      <c r="B1213">
        <v>1212</v>
      </c>
      <c r="C1213">
        <v>1</v>
      </c>
      <c r="D1213" s="17" t="s">
        <v>155</v>
      </c>
      <c r="E1213" s="17"/>
      <c r="F1213" s="17" t="s">
        <v>156</v>
      </c>
      <c r="G1213" s="17"/>
      <c r="H1213" s="17" t="s">
        <v>692</v>
      </c>
      <c r="I1213" s="17"/>
      <c r="J1213" s="17" t="s">
        <v>693</v>
      </c>
      <c r="K1213" s="17"/>
      <c r="L1213" s="17"/>
      <c r="M1213" s="17"/>
      <c r="N1213" s="17" t="s">
        <v>7745</v>
      </c>
      <c r="O1213" s="17" t="s">
        <v>7883</v>
      </c>
      <c r="P1213" s="17" t="s">
        <v>7889</v>
      </c>
      <c r="Q1213" s="17"/>
      <c r="R1213" s="25" t="str">
        <f>HYPERLINK("https://ictv.global/taxonomy/taxondetails?taxnode_id=202310080","Hanrivervirus slyngel")</f>
        <v>Hanrivervirus slyngel</v>
      </c>
      <c r="S1213" s="18" t="s">
        <v>30</v>
      </c>
      <c r="T1213" s="18" t="s">
        <v>7914</v>
      </c>
      <c r="U1213" s="18"/>
      <c r="V1213" s="18"/>
      <c r="W1213" s="18" t="s">
        <v>7915</v>
      </c>
      <c r="X1213" s="18" t="s">
        <v>42</v>
      </c>
      <c r="Y1213" s="18" t="s">
        <v>36</v>
      </c>
      <c r="Z1213" s="18" t="s">
        <v>697</v>
      </c>
      <c r="AA1213" s="21" t="str">
        <f>HYPERLINK("https://www.ncbi.nlm.nih.gov/nuccore/MT074433","NCBI Nucleotide")</f>
        <v>NCBI Nucleotide</v>
      </c>
    </row>
    <row r="1214" spans="1:27" x14ac:dyDescent="0.35">
      <c r="A1214">
        <v>1001656</v>
      </c>
      <c r="B1214">
        <v>1213</v>
      </c>
      <c r="C1214">
        <v>1</v>
      </c>
      <c r="D1214" s="17" t="s">
        <v>155</v>
      </c>
      <c r="E1214" s="17"/>
      <c r="F1214" s="17" t="s">
        <v>156</v>
      </c>
      <c r="G1214" s="17"/>
      <c r="H1214" s="17" t="s">
        <v>692</v>
      </c>
      <c r="I1214" s="17"/>
      <c r="J1214" s="17" t="s">
        <v>693</v>
      </c>
      <c r="K1214" s="17"/>
      <c r="L1214" s="17"/>
      <c r="M1214" s="17"/>
      <c r="N1214" s="17" t="s">
        <v>7745</v>
      </c>
      <c r="O1214" s="17" t="s">
        <v>7883</v>
      </c>
      <c r="P1214" s="17" t="s">
        <v>7889</v>
      </c>
      <c r="Q1214" s="17"/>
      <c r="R1214" s="25" t="str">
        <f>HYPERLINK("https://ictv.global/taxonomy/taxondetails?taxnode_id=202310083","Hanrivervirus vojen")</f>
        <v>Hanrivervirus vojen</v>
      </c>
      <c r="S1214" s="18" t="s">
        <v>30</v>
      </c>
      <c r="T1214" s="18" t="s">
        <v>7916</v>
      </c>
      <c r="U1214" s="18"/>
      <c r="V1214" s="18"/>
      <c r="W1214" s="18" t="s">
        <v>7917</v>
      </c>
      <c r="X1214" s="18" t="s">
        <v>42</v>
      </c>
      <c r="Y1214" s="18" t="s">
        <v>36</v>
      </c>
      <c r="Z1214" s="18" t="s">
        <v>697</v>
      </c>
      <c r="AA1214" s="21" t="str">
        <f>HYPERLINK("https://www.ncbi.nlm.nih.gov/nuccore/MN850569","NCBI Nucleotide")</f>
        <v>NCBI Nucleotide</v>
      </c>
    </row>
    <row r="1215" spans="1:27" x14ac:dyDescent="0.35">
      <c r="A1215">
        <v>1001657</v>
      </c>
      <c r="B1215">
        <v>1214</v>
      </c>
      <c r="C1215">
        <v>1</v>
      </c>
      <c r="D1215" s="17" t="s">
        <v>155</v>
      </c>
      <c r="E1215" s="17"/>
      <c r="F1215" s="17" t="s">
        <v>156</v>
      </c>
      <c r="G1215" s="17"/>
      <c r="H1215" s="17" t="s">
        <v>692</v>
      </c>
      <c r="I1215" s="17"/>
      <c r="J1215" s="17" t="s">
        <v>693</v>
      </c>
      <c r="K1215" s="17"/>
      <c r="L1215" s="17"/>
      <c r="M1215" s="17"/>
      <c r="N1215" s="17" t="s">
        <v>7745</v>
      </c>
      <c r="O1215" s="17" t="s">
        <v>7883</v>
      </c>
      <c r="P1215" s="17" t="s">
        <v>7918</v>
      </c>
      <c r="Q1215" s="17"/>
      <c r="R1215" s="25" t="str">
        <f>HYPERLINK("https://ictv.global/taxonomy/taxondetails?taxnode_id=202309972","Henuseptimavirus henu7")</f>
        <v>Henuseptimavirus henu7</v>
      </c>
      <c r="S1215" s="18" t="s">
        <v>30</v>
      </c>
      <c r="T1215" s="18" t="s">
        <v>7919</v>
      </c>
      <c r="U1215" s="18"/>
      <c r="V1215" s="18"/>
      <c r="W1215" s="18" t="s">
        <v>7920</v>
      </c>
      <c r="X1215" s="18" t="s">
        <v>42</v>
      </c>
      <c r="Y1215" s="18" t="s">
        <v>36</v>
      </c>
      <c r="Z1215" s="18" t="s">
        <v>697</v>
      </c>
      <c r="AA1215" s="21" t="str">
        <f>HYPERLINK("https://www.ncbi.nlm.nih.gov/nuccore/MN019128","NCBI Nucleotide")</f>
        <v>NCBI Nucleotide</v>
      </c>
    </row>
    <row r="1216" spans="1:27" x14ac:dyDescent="0.35">
      <c r="A1216">
        <v>1024490</v>
      </c>
      <c r="B1216">
        <v>1215</v>
      </c>
      <c r="C1216">
        <v>1</v>
      </c>
      <c r="D1216" s="17" t="s">
        <v>155</v>
      </c>
      <c r="E1216" s="17"/>
      <c r="F1216" s="17" t="s">
        <v>156</v>
      </c>
      <c r="G1216" s="17"/>
      <c r="H1216" s="17" t="s">
        <v>692</v>
      </c>
      <c r="I1216" s="17"/>
      <c r="J1216" s="17" t="s">
        <v>693</v>
      </c>
      <c r="K1216" s="17"/>
      <c r="L1216" s="17"/>
      <c r="M1216" s="17"/>
      <c r="N1216" s="17" t="s">
        <v>7745</v>
      </c>
      <c r="O1216" s="17" t="s">
        <v>7883</v>
      </c>
      <c r="P1216" s="17" t="s">
        <v>7918</v>
      </c>
      <c r="Q1216" s="17"/>
      <c r="R1216" s="25" t="str">
        <f>HYPERLINK("https://ictv.global/taxonomy/taxondetails?taxnode_id=202319342","Henuseptimavirus isaaklselin")</f>
        <v>Henuseptimavirus isaaklselin</v>
      </c>
      <c r="S1216" s="18" t="s">
        <v>30</v>
      </c>
      <c r="T1216" s="18" t="s">
        <v>39168</v>
      </c>
      <c r="U1216" s="18"/>
      <c r="V1216" s="18"/>
      <c r="W1216" s="18" t="s">
        <v>48010</v>
      </c>
      <c r="X1216" s="18" t="s">
        <v>42</v>
      </c>
      <c r="Y1216" s="18" t="s">
        <v>36</v>
      </c>
      <c r="Z1216" s="18" t="s">
        <v>697</v>
      </c>
      <c r="AA1216" s="21" t="str">
        <f>HYPERLINK("https://www.ncbi.nlm.nih.gov/nuccore/MZ501077","NCBI Nucleotide")</f>
        <v>NCBI Nucleotide</v>
      </c>
    </row>
    <row r="1217" spans="1:27" x14ac:dyDescent="0.35">
      <c r="A1217">
        <v>1024491</v>
      </c>
      <c r="B1217">
        <v>1216</v>
      </c>
      <c r="C1217">
        <v>1</v>
      </c>
      <c r="D1217" s="17" t="s">
        <v>155</v>
      </c>
      <c r="E1217" s="17"/>
      <c r="F1217" s="17" t="s">
        <v>156</v>
      </c>
      <c r="G1217" s="17"/>
      <c r="H1217" s="17" t="s">
        <v>692</v>
      </c>
      <c r="I1217" s="17"/>
      <c r="J1217" s="17" t="s">
        <v>693</v>
      </c>
      <c r="K1217" s="17"/>
      <c r="L1217" s="17"/>
      <c r="M1217" s="17"/>
      <c r="N1217" s="17" t="s">
        <v>7745</v>
      </c>
      <c r="O1217" s="17" t="s">
        <v>7883</v>
      </c>
      <c r="P1217" s="17" t="s">
        <v>7918</v>
      </c>
      <c r="Q1217" s="17"/>
      <c r="R1217" s="25" t="str">
        <f>HYPERLINK("https://ictv.global/taxonomy/taxondetails?taxnode_id=202319343","Henuseptimavirus johannburckhardt")</f>
        <v>Henuseptimavirus johannburckhardt</v>
      </c>
      <c r="S1217" s="18" t="s">
        <v>30</v>
      </c>
      <c r="T1217" s="18" t="s">
        <v>39169</v>
      </c>
      <c r="U1217" s="18"/>
      <c r="V1217" s="18"/>
      <c r="W1217" s="18" t="s">
        <v>48011</v>
      </c>
      <c r="X1217" s="18" t="s">
        <v>42</v>
      </c>
      <c r="Y1217" s="18" t="s">
        <v>36</v>
      </c>
      <c r="Z1217" s="18" t="s">
        <v>697</v>
      </c>
      <c r="AA1217" s="21" t="str">
        <f>HYPERLINK("https://www.ncbi.nlm.nih.gov/nuccore/MZ501085","NCBI Nucleotide")</f>
        <v>NCBI Nucleotide</v>
      </c>
    </row>
    <row r="1218" spans="1:27" x14ac:dyDescent="0.35">
      <c r="A1218">
        <v>1024492</v>
      </c>
      <c r="B1218">
        <v>1217</v>
      </c>
      <c r="C1218">
        <v>1</v>
      </c>
      <c r="D1218" s="17" t="s">
        <v>155</v>
      </c>
      <c r="E1218" s="17"/>
      <c r="F1218" s="17" t="s">
        <v>156</v>
      </c>
      <c r="G1218" s="17"/>
      <c r="H1218" s="17" t="s">
        <v>692</v>
      </c>
      <c r="I1218" s="17"/>
      <c r="J1218" s="17" t="s">
        <v>693</v>
      </c>
      <c r="K1218" s="17"/>
      <c r="L1218" s="17"/>
      <c r="M1218" s="17"/>
      <c r="N1218" s="17" t="s">
        <v>7745</v>
      </c>
      <c r="O1218" s="17" t="s">
        <v>7883</v>
      </c>
      <c r="P1218" s="17" t="s">
        <v>7918</v>
      </c>
      <c r="Q1218" s="17"/>
      <c r="R1218" s="25" t="str">
        <f>HYPERLINK("https://ictv.global/taxonomy/taxondetails?taxnode_id=202319344","Henuseptimavirus samwise")</f>
        <v>Henuseptimavirus samwise</v>
      </c>
      <c r="S1218" s="18" t="s">
        <v>30</v>
      </c>
      <c r="T1218" s="18" t="s">
        <v>39170</v>
      </c>
      <c r="U1218" s="18"/>
      <c r="V1218" s="18"/>
      <c r="W1218" s="18" t="s">
        <v>48012</v>
      </c>
      <c r="X1218" s="18" t="s">
        <v>42</v>
      </c>
      <c r="Y1218" s="18" t="s">
        <v>36</v>
      </c>
      <c r="Z1218" s="18" t="s">
        <v>697</v>
      </c>
      <c r="AA1218" s="21" t="str">
        <f>HYPERLINK("https://www.ncbi.nlm.nih.gov/nuccore/LR881107","NCBI Nucleotide")</f>
        <v>NCBI Nucleotide</v>
      </c>
    </row>
    <row r="1219" spans="1:27" x14ac:dyDescent="0.35">
      <c r="A1219">
        <v>1025125</v>
      </c>
      <c r="B1219">
        <v>1218</v>
      </c>
      <c r="C1219">
        <v>1</v>
      </c>
      <c r="D1219" s="17" t="s">
        <v>155</v>
      </c>
      <c r="E1219" s="17"/>
      <c r="F1219" s="17" t="s">
        <v>156</v>
      </c>
      <c r="G1219" s="17"/>
      <c r="H1219" s="17" t="s">
        <v>692</v>
      </c>
      <c r="I1219" s="17"/>
      <c r="J1219" s="17" t="s">
        <v>693</v>
      </c>
      <c r="K1219" s="17"/>
      <c r="L1219" s="17"/>
      <c r="M1219" s="17"/>
      <c r="N1219" s="17" t="s">
        <v>7745</v>
      </c>
      <c r="O1219" s="17" t="s">
        <v>7883</v>
      </c>
      <c r="P1219" s="17" t="s">
        <v>39171</v>
      </c>
      <c r="Q1219" s="17"/>
      <c r="R1219" s="25" t="str">
        <f>HYPERLINK("https://ictv.global/taxonomy/taxondetails?taxnode_id=202319315","Jahatvirus MG145")</f>
        <v>Jahatvirus MG145</v>
      </c>
      <c r="S1219" s="18" t="s">
        <v>30</v>
      </c>
      <c r="T1219" s="18" t="s">
        <v>39172</v>
      </c>
      <c r="U1219" s="18"/>
      <c r="V1219" s="18"/>
      <c r="W1219" s="18" t="s">
        <v>48013</v>
      </c>
      <c r="X1219" s="18" t="s">
        <v>42</v>
      </c>
      <c r="Y1219" s="18" t="s">
        <v>36</v>
      </c>
      <c r="Z1219" s="18" t="s">
        <v>697</v>
      </c>
      <c r="AA1219" s="21" t="str">
        <f>HYPERLINK("https://www.ncbi.nlm.nih.gov/nuccore/MK552105","NCBI Nucleotide")</f>
        <v>NCBI Nucleotide</v>
      </c>
    </row>
    <row r="1220" spans="1:27" x14ac:dyDescent="0.35">
      <c r="A1220">
        <v>1024732</v>
      </c>
      <c r="B1220">
        <v>1219</v>
      </c>
      <c r="C1220">
        <v>1</v>
      </c>
      <c r="D1220" s="17" t="s">
        <v>155</v>
      </c>
      <c r="E1220" s="17"/>
      <c r="F1220" s="17" t="s">
        <v>156</v>
      </c>
      <c r="G1220" s="17"/>
      <c r="H1220" s="17" t="s">
        <v>692</v>
      </c>
      <c r="I1220" s="17"/>
      <c r="J1220" s="17" t="s">
        <v>693</v>
      </c>
      <c r="K1220" s="17"/>
      <c r="L1220" s="17"/>
      <c r="M1220" s="17"/>
      <c r="N1220" s="17" t="s">
        <v>7745</v>
      </c>
      <c r="O1220" s="17" t="s">
        <v>7883</v>
      </c>
      <c r="P1220" s="17" t="s">
        <v>39173</v>
      </c>
      <c r="Q1220" s="17"/>
      <c r="R1220" s="25" t="str">
        <f>HYPERLINK("https://ictv.global/taxonomy/taxondetails?taxnode_id=202319314","Peekayseptimavirus PK7R")</f>
        <v>Peekayseptimavirus PK7R</v>
      </c>
      <c r="S1220" s="18" t="s">
        <v>30</v>
      </c>
      <c r="T1220" s="18" t="s">
        <v>39174</v>
      </c>
      <c r="U1220" s="18"/>
      <c r="V1220" s="18"/>
      <c r="W1220" s="18" t="s">
        <v>48014</v>
      </c>
      <c r="X1220" s="18" t="s">
        <v>42</v>
      </c>
      <c r="Y1220" s="18" t="s">
        <v>36</v>
      </c>
      <c r="Z1220" s="18" t="s">
        <v>697</v>
      </c>
      <c r="AA1220" s="21" t="str">
        <f>HYPERLINK("https://www.ncbi.nlm.nih.gov/nuccore/OM317910","NCBI Nucleotide")</f>
        <v>NCBI Nucleotide</v>
      </c>
    </row>
    <row r="1221" spans="1:27" x14ac:dyDescent="0.35">
      <c r="A1221">
        <v>1024780</v>
      </c>
      <c r="B1221">
        <v>1220</v>
      </c>
      <c r="C1221">
        <v>1</v>
      </c>
      <c r="D1221" s="17" t="s">
        <v>155</v>
      </c>
      <c r="E1221" s="17"/>
      <c r="F1221" s="17" t="s">
        <v>156</v>
      </c>
      <c r="G1221" s="17"/>
      <c r="H1221" s="17" t="s">
        <v>692</v>
      </c>
      <c r="I1221" s="17"/>
      <c r="J1221" s="17" t="s">
        <v>693</v>
      </c>
      <c r="K1221" s="17"/>
      <c r="L1221" s="17"/>
      <c r="M1221" s="17"/>
      <c r="N1221" s="17" t="s">
        <v>7745</v>
      </c>
      <c r="O1221" s="17" t="s">
        <v>7883</v>
      </c>
      <c r="P1221" s="17" t="s">
        <v>39175</v>
      </c>
      <c r="Q1221" s="17"/>
      <c r="R1221" s="25" t="str">
        <f>HYPERLINK("https://ictv.global/taxonomy/taxondetails?taxnode_id=202319313","Pocisvirus pocis76")</f>
        <v>Pocisvirus pocis76</v>
      </c>
      <c r="S1221" s="18" t="s">
        <v>30</v>
      </c>
      <c r="T1221" s="18" t="s">
        <v>39176</v>
      </c>
      <c r="U1221" s="18"/>
      <c r="V1221" s="18"/>
      <c r="W1221" s="18" t="s">
        <v>48015</v>
      </c>
      <c r="X1221" s="18" t="s">
        <v>42</v>
      </c>
      <c r="Y1221" s="18" t="s">
        <v>36</v>
      </c>
      <c r="Z1221" s="18" t="s">
        <v>697</v>
      </c>
      <c r="AA1221" s="21" t="str">
        <f>HYPERLINK("https://www.ncbi.nlm.nih.gov/nuccore/MW689258","NCBI Nucleotide")</f>
        <v>NCBI Nucleotide</v>
      </c>
    </row>
    <row r="1222" spans="1:27" x14ac:dyDescent="0.35">
      <c r="A1222">
        <v>1024925</v>
      </c>
      <c r="B1222">
        <v>1221</v>
      </c>
      <c r="C1222">
        <v>1</v>
      </c>
      <c r="D1222" s="17" t="s">
        <v>155</v>
      </c>
      <c r="E1222" s="17"/>
      <c r="F1222" s="17" t="s">
        <v>156</v>
      </c>
      <c r="G1222" s="17"/>
      <c r="H1222" s="17" t="s">
        <v>692</v>
      </c>
      <c r="I1222" s="17"/>
      <c r="J1222" s="17" t="s">
        <v>693</v>
      </c>
      <c r="K1222" s="17"/>
      <c r="L1222" s="17"/>
      <c r="M1222" s="17"/>
      <c r="N1222" s="17" t="s">
        <v>7745</v>
      </c>
      <c r="O1222" s="17" t="s">
        <v>7883</v>
      </c>
      <c r="P1222" s="17" t="s">
        <v>7921</v>
      </c>
      <c r="Q1222" s="17"/>
      <c r="R1222" s="25" t="str">
        <f>HYPERLINK("https://ictv.global/taxonomy/taxondetails?taxnode_id=202319322","Tlsvirus blueshaddow")</f>
        <v>Tlsvirus blueshaddow</v>
      </c>
      <c r="S1222" s="18" t="s">
        <v>30</v>
      </c>
      <c r="T1222" s="18" t="s">
        <v>39177</v>
      </c>
      <c r="U1222" s="18"/>
      <c r="V1222" s="18"/>
      <c r="W1222" s="18" t="s">
        <v>48016</v>
      </c>
      <c r="X1222" s="18" t="s">
        <v>42</v>
      </c>
      <c r="Y1222" s="18" t="s">
        <v>36</v>
      </c>
      <c r="Z1222" s="18" t="s">
        <v>697</v>
      </c>
      <c r="AA1222" s="21" t="str">
        <f>HYPERLINK("https://www.ncbi.nlm.nih.gov/nuccore/OL539462","NCBI Nucleotide")</f>
        <v>NCBI Nucleotide</v>
      </c>
    </row>
    <row r="1223" spans="1:27" x14ac:dyDescent="0.35">
      <c r="A1223">
        <v>1024926</v>
      </c>
      <c r="B1223">
        <v>1222</v>
      </c>
      <c r="C1223">
        <v>1</v>
      </c>
      <c r="D1223" s="17" t="s">
        <v>155</v>
      </c>
      <c r="E1223" s="17"/>
      <c r="F1223" s="17" t="s">
        <v>156</v>
      </c>
      <c r="G1223" s="17"/>
      <c r="H1223" s="17" t="s">
        <v>692</v>
      </c>
      <c r="I1223" s="17"/>
      <c r="J1223" s="17" t="s">
        <v>693</v>
      </c>
      <c r="K1223" s="17"/>
      <c r="L1223" s="17"/>
      <c r="M1223" s="17"/>
      <c r="N1223" s="17" t="s">
        <v>7745</v>
      </c>
      <c r="O1223" s="17" t="s">
        <v>7883</v>
      </c>
      <c r="P1223" s="17" t="s">
        <v>7921</v>
      </c>
      <c r="Q1223" s="17"/>
      <c r="R1223" s="25" t="str">
        <f>HYPERLINK("https://ictv.global/taxonomy/taxondetails?taxnode_id=202319325","Tlsvirus brooksby")</f>
        <v>Tlsvirus brooksby</v>
      </c>
      <c r="S1223" s="18" t="s">
        <v>30</v>
      </c>
      <c r="T1223" s="18" t="s">
        <v>39178</v>
      </c>
      <c r="U1223" s="18"/>
      <c r="V1223" s="18"/>
      <c r="W1223" s="18" t="s">
        <v>48017</v>
      </c>
      <c r="X1223" s="18" t="s">
        <v>42</v>
      </c>
      <c r="Y1223" s="18" t="s">
        <v>36</v>
      </c>
      <c r="Z1223" s="18" t="s">
        <v>697</v>
      </c>
      <c r="AA1223" s="21" t="str">
        <f>HYPERLINK("https://www.ncbi.nlm.nih.gov/nuccore/OL539443","NCBI Nucleotide")</f>
        <v>NCBI Nucleotide</v>
      </c>
    </row>
    <row r="1224" spans="1:27" x14ac:dyDescent="0.35">
      <c r="A1224">
        <v>1024927</v>
      </c>
      <c r="B1224">
        <v>1223</v>
      </c>
      <c r="C1224">
        <v>1</v>
      </c>
      <c r="D1224" s="17" t="s">
        <v>155</v>
      </c>
      <c r="E1224" s="17"/>
      <c r="F1224" s="17" t="s">
        <v>156</v>
      </c>
      <c r="G1224" s="17"/>
      <c r="H1224" s="17" t="s">
        <v>692</v>
      </c>
      <c r="I1224" s="17"/>
      <c r="J1224" s="17" t="s">
        <v>693</v>
      </c>
      <c r="K1224" s="17"/>
      <c r="L1224" s="17"/>
      <c r="M1224" s="17"/>
      <c r="N1224" s="17" t="s">
        <v>7745</v>
      </c>
      <c r="O1224" s="17" t="s">
        <v>7883</v>
      </c>
      <c r="P1224" s="17" t="s">
        <v>7921</v>
      </c>
      <c r="Q1224" s="17"/>
      <c r="R1224" s="25" t="str">
        <f>HYPERLINK("https://ictv.global/taxonomy/taxondetails?taxnode_id=202319327","Tlsvirus danielbernouli")</f>
        <v>Tlsvirus danielbernouli</v>
      </c>
      <c r="S1224" s="18" t="s">
        <v>30</v>
      </c>
      <c r="T1224" s="18" t="s">
        <v>39179</v>
      </c>
      <c r="U1224" s="18"/>
      <c r="V1224" s="18"/>
      <c r="W1224" s="18" t="s">
        <v>48018</v>
      </c>
      <c r="X1224" s="18" t="s">
        <v>42</v>
      </c>
      <c r="Y1224" s="18" t="s">
        <v>36</v>
      </c>
      <c r="Z1224" s="18" t="s">
        <v>697</v>
      </c>
      <c r="AA1224" s="21" t="str">
        <f>HYPERLINK("https://www.ncbi.nlm.nih.gov/nuccore/MZ501059","NCBI Nucleotide")</f>
        <v>NCBI Nucleotide</v>
      </c>
    </row>
    <row r="1225" spans="1:27" x14ac:dyDescent="0.35">
      <c r="A1225">
        <v>1001658</v>
      </c>
      <c r="B1225">
        <v>1224</v>
      </c>
      <c r="C1225">
        <v>1</v>
      </c>
      <c r="D1225" s="17" t="s">
        <v>155</v>
      </c>
      <c r="E1225" s="17"/>
      <c r="F1225" s="17" t="s">
        <v>156</v>
      </c>
      <c r="G1225" s="17"/>
      <c r="H1225" s="17" t="s">
        <v>692</v>
      </c>
      <c r="I1225" s="17"/>
      <c r="J1225" s="17" t="s">
        <v>693</v>
      </c>
      <c r="K1225" s="17"/>
      <c r="L1225" s="17"/>
      <c r="M1225" s="17"/>
      <c r="N1225" s="17" t="s">
        <v>7745</v>
      </c>
      <c r="O1225" s="17" t="s">
        <v>7883</v>
      </c>
      <c r="P1225" s="17" t="s">
        <v>7921</v>
      </c>
      <c r="Q1225" s="17"/>
      <c r="R1225" s="25" t="str">
        <f>HYPERLINK("https://ictv.global/taxonomy/taxondetails?taxnode_id=202308140","Tlsvirus DK2017")</f>
        <v>Tlsvirus DK2017</v>
      </c>
      <c r="S1225" s="18" t="s">
        <v>30</v>
      </c>
      <c r="T1225" s="18" t="s">
        <v>7922</v>
      </c>
      <c r="U1225" s="18"/>
      <c r="V1225" s="18"/>
      <c r="W1225" s="18" t="s">
        <v>7923</v>
      </c>
      <c r="X1225" s="18" t="s">
        <v>42</v>
      </c>
      <c r="Y1225" s="18" t="s">
        <v>36</v>
      </c>
      <c r="Z1225" s="18" t="s">
        <v>697</v>
      </c>
      <c r="AA1225" s="21" t="str">
        <f>HYPERLINK("https://www.ncbi.nlm.nih.gov/nuccore/KY694971","NCBI Nucleotide")</f>
        <v>NCBI Nucleotide</v>
      </c>
    </row>
    <row r="1226" spans="1:27" x14ac:dyDescent="0.35">
      <c r="A1226">
        <v>1024928</v>
      </c>
      <c r="B1226">
        <v>1225</v>
      </c>
      <c r="C1226">
        <v>1</v>
      </c>
      <c r="D1226" s="17" t="s">
        <v>155</v>
      </c>
      <c r="E1226" s="17"/>
      <c r="F1226" s="17" t="s">
        <v>156</v>
      </c>
      <c r="G1226" s="17"/>
      <c r="H1226" s="17" t="s">
        <v>692</v>
      </c>
      <c r="I1226" s="17"/>
      <c r="J1226" s="17" t="s">
        <v>693</v>
      </c>
      <c r="K1226" s="17"/>
      <c r="L1226" s="17"/>
      <c r="M1226" s="17"/>
      <c r="N1226" s="17" t="s">
        <v>7745</v>
      </c>
      <c r="O1226" s="17" t="s">
        <v>7883</v>
      </c>
      <c r="P1226" s="17" t="s">
        <v>7921</v>
      </c>
      <c r="Q1226" s="17"/>
      <c r="R1226" s="25" t="str">
        <f>HYPERLINK("https://ictv.global/taxonomy/taxondetails?taxnode_id=202319320","Tlsvirus ecorrea")</f>
        <v>Tlsvirus ecorrea</v>
      </c>
      <c r="S1226" s="18" t="s">
        <v>30</v>
      </c>
      <c r="T1226" s="18" t="s">
        <v>39180</v>
      </c>
      <c r="U1226" s="18"/>
      <c r="V1226" s="18"/>
      <c r="W1226" s="18" t="s">
        <v>48019</v>
      </c>
      <c r="X1226" s="18" t="s">
        <v>42</v>
      </c>
      <c r="Y1226" s="18" t="s">
        <v>36</v>
      </c>
      <c r="Z1226" s="18" t="s">
        <v>697</v>
      </c>
      <c r="AA1226" s="21" t="str">
        <f>HYPERLINK("https://www.ncbi.nlm.nih.gov/nuccore/OK499973","NCBI Nucleotide")</f>
        <v>NCBI Nucleotide</v>
      </c>
    </row>
    <row r="1227" spans="1:27" x14ac:dyDescent="0.35">
      <c r="A1227">
        <v>1024929</v>
      </c>
      <c r="B1227">
        <v>1226</v>
      </c>
      <c r="C1227">
        <v>1</v>
      </c>
      <c r="D1227" s="17" t="s">
        <v>155</v>
      </c>
      <c r="E1227" s="17"/>
      <c r="F1227" s="17" t="s">
        <v>156</v>
      </c>
      <c r="G1227" s="17"/>
      <c r="H1227" s="17" t="s">
        <v>692</v>
      </c>
      <c r="I1227" s="17"/>
      <c r="J1227" s="17" t="s">
        <v>693</v>
      </c>
      <c r="K1227" s="17"/>
      <c r="L1227" s="17"/>
      <c r="M1227" s="17"/>
      <c r="N1227" s="17" t="s">
        <v>7745</v>
      </c>
      <c r="O1227" s="17" t="s">
        <v>7883</v>
      </c>
      <c r="P1227" s="17" t="s">
        <v>7921</v>
      </c>
      <c r="Q1227" s="17"/>
      <c r="R1227" s="25" t="str">
        <f>HYPERLINK("https://ictv.global/taxonomy/taxondetails?taxnode_id=202319316","Tlsvirus F61")</f>
        <v>Tlsvirus F61</v>
      </c>
      <c r="S1227" s="18" t="s">
        <v>30</v>
      </c>
      <c r="T1227" s="18" t="s">
        <v>39181</v>
      </c>
      <c r="U1227" s="18"/>
      <c r="V1227" s="18"/>
      <c r="W1227" s="18" t="s">
        <v>48020</v>
      </c>
      <c r="X1227" s="18" t="s">
        <v>42</v>
      </c>
      <c r="Y1227" s="18" t="s">
        <v>36</v>
      </c>
      <c r="Z1227" s="18" t="s">
        <v>697</v>
      </c>
      <c r="AA1227" s="21" t="str">
        <f>HYPERLINK("https://www.ncbi.nlm.nih.gov/nuccore/OP292674","NCBI Nucleotide")</f>
        <v>NCBI Nucleotide</v>
      </c>
    </row>
    <row r="1228" spans="1:27" x14ac:dyDescent="0.35">
      <c r="A1228">
        <v>1024930</v>
      </c>
      <c r="B1228">
        <v>1227</v>
      </c>
      <c r="C1228">
        <v>1</v>
      </c>
      <c r="D1228" s="17" t="s">
        <v>155</v>
      </c>
      <c r="E1228" s="17"/>
      <c r="F1228" s="17" t="s">
        <v>156</v>
      </c>
      <c r="G1228" s="17"/>
      <c r="H1228" s="17" t="s">
        <v>692</v>
      </c>
      <c r="I1228" s="17"/>
      <c r="J1228" s="17" t="s">
        <v>693</v>
      </c>
      <c r="K1228" s="17"/>
      <c r="L1228" s="17"/>
      <c r="M1228" s="17"/>
      <c r="N1228" s="17" t="s">
        <v>7745</v>
      </c>
      <c r="O1228" s="17" t="s">
        <v>7883</v>
      </c>
      <c r="P1228" s="17" t="s">
        <v>7921</v>
      </c>
      <c r="Q1228" s="17"/>
      <c r="R1228" s="25" t="str">
        <f>HYPERLINK("https://ictv.global/taxonomy/taxondetails?taxnode_id=202319323","Tlsvirus GSP032")</f>
        <v>Tlsvirus GSP032</v>
      </c>
      <c r="S1228" s="18" t="s">
        <v>30</v>
      </c>
      <c r="T1228" s="18" t="s">
        <v>39182</v>
      </c>
      <c r="U1228" s="18"/>
      <c r="V1228" s="18"/>
      <c r="W1228" s="18" t="s">
        <v>48021</v>
      </c>
      <c r="X1228" s="18" t="s">
        <v>42</v>
      </c>
      <c r="Y1228" s="18" t="s">
        <v>36</v>
      </c>
      <c r="Z1228" s="18" t="s">
        <v>697</v>
      </c>
      <c r="AA1228" s="21" t="str">
        <f>HYPERLINK("https://www.ncbi.nlm.nih.gov/nuccore/ON855040","NCBI Nucleotide")</f>
        <v>NCBI Nucleotide</v>
      </c>
    </row>
    <row r="1229" spans="1:27" x14ac:dyDescent="0.35">
      <c r="A1229">
        <v>1001659</v>
      </c>
      <c r="B1229">
        <v>1228</v>
      </c>
      <c r="C1229">
        <v>1</v>
      </c>
      <c r="D1229" s="17" t="s">
        <v>155</v>
      </c>
      <c r="E1229" s="17"/>
      <c r="F1229" s="17" t="s">
        <v>156</v>
      </c>
      <c r="G1229" s="17"/>
      <c r="H1229" s="17" t="s">
        <v>692</v>
      </c>
      <c r="I1229" s="17"/>
      <c r="J1229" s="17" t="s">
        <v>693</v>
      </c>
      <c r="K1229" s="17"/>
      <c r="L1229" s="17"/>
      <c r="M1229" s="17"/>
      <c r="N1229" s="17" t="s">
        <v>7745</v>
      </c>
      <c r="O1229" s="17" t="s">
        <v>7883</v>
      </c>
      <c r="P1229" s="17" t="s">
        <v>7921</v>
      </c>
      <c r="Q1229" s="17"/>
      <c r="R1229" s="25" t="str">
        <f>HYPERLINK("https://ictv.global/taxonomy/taxondetails?taxnode_id=202308139","Tlsvirus LL5")</f>
        <v>Tlsvirus LL5</v>
      </c>
      <c r="S1229" s="18" t="s">
        <v>30</v>
      </c>
      <c r="T1229" s="18" t="s">
        <v>7924</v>
      </c>
      <c r="U1229" s="18"/>
      <c r="V1229" s="18"/>
      <c r="W1229" s="18" t="s">
        <v>7925</v>
      </c>
      <c r="X1229" s="18" t="s">
        <v>42</v>
      </c>
      <c r="Y1229" s="18" t="s">
        <v>36</v>
      </c>
      <c r="Z1229" s="18" t="s">
        <v>697</v>
      </c>
      <c r="AA1229" s="21" t="str">
        <f>HYPERLINK("https://www.ncbi.nlm.nih.gov/nuccore/MH491968","NCBI Nucleotide")</f>
        <v>NCBI Nucleotide</v>
      </c>
    </row>
    <row r="1230" spans="1:27" x14ac:dyDescent="0.35">
      <c r="A1230">
        <v>1024931</v>
      </c>
      <c r="B1230">
        <v>1229</v>
      </c>
      <c r="C1230">
        <v>1</v>
      </c>
      <c r="D1230" s="17" t="s">
        <v>155</v>
      </c>
      <c r="E1230" s="17"/>
      <c r="F1230" s="17" t="s">
        <v>156</v>
      </c>
      <c r="G1230" s="17"/>
      <c r="H1230" s="17" t="s">
        <v>692</v>
      </c>
      <c r="I1230" s="17"/>
      <c r="J1230" s="17" t="s">
        <v>693</v>
      </c>
      <c r="K1230" s="17"/>
      <c r="L1230" s="17"/>
      <c r="M1230" s="17"/>
      <c r="N1230" s="17" t="s">
        <v>7745</v>
      </c>
      <c r="O1230" s="17" t="s">
        <v>7883</v>
      </c>
      <c r="P1230" s="17" t="s">
        <v>7921</v>
      </c>
      <c r="Q1230" s="17"/>
      <c r="R1230" s="25" t="str">
        <f>HYPERLINK("https://ictv.global/taxonomy/taxondetails?taxnode_id=202319321","Tlsvirus mishy")</f>
        <v>Tlsvirus mishy</v>
      </c>
      <c r="S1230" s="18" t="s">
        <v>30</v>
      </c>
      <c r="T1230" s="18" t="s">
        <v>39183</v>
      </c>
      <c r="U1230" s="18"/>
      <c r="V1230" s="18"/>
      <c r="W1230" s="18" t="s">
        <v>48022</v>
      </c>
      <c r="X1230" s="18" t="s">
        <v>42</v>
      </c>
      <c r="Y1230" s="18" t="s">
        <v>36</v>
      </c>
      <c r="Z1230" s="18" t="s">
        <v>697</v>
      </c>
      <c r="AA1230" s="21" t="str">
        <f>HYPERLINK("https://www.ncbi.nlm.nih.gov/nuccore/OK499984","NCBI Nucleotide")</f>
        <v>NCBI Nucleotide</v>
      </c>
    </row>
    <row r="1231" spans="1:27" x14ac:dyDescent="0.35">
      <c r="A1231">
        <v>1001660</v>
      </c>
      <c r="B1231">
        <v>1230</v>
      </c>
      <c r="C1231">
        <v>1</v>
      </c>
      <c r="D1231" s="17" t="s">
        <v>155</v>
      </c>
      <c r="E1231" s="17"/>
      <c r="F1231" s="17" t="s">
        <v>156</v>
      </c>
      <c r="G1231" s="17"/>
      <c r="H1231" s="17" t="s">
        <v>692</v>
      </c>
      <c r="I1231" s="17"/>
      <c r="J1231" s="17" t="s">
        <v>693</v>
      </c>
      <c r="K1231" s="17"/>
      <c r="L1231" s="17"/>
      <c r="M1231" s="17"/>
      <c r="N1231" s="17" t="s">
        <v>7745</v>
      </c>
      <c r="O1231" s="17" t="s">
        <v>7883</v>
      </c>
      <c r="P1231" s="17" t="s">
        <v>7921</v>
      </c>
      <c r="Q1231" s="17"/>
      <c r="R1231" s="25" t="str">
        <f>HYPERLINK("https://ictv.global/taxonomy/taxondetails?taxnode_id=202308137","Tlsvirus PHB07")</f>
        <v>Tlsvirus PHB07</v>
      </c>
      <c r="S1231" s="18" t="s">
        <v>30</v>
      </c>
      <c r="T1231" s="18" t="s">
        <v>7926</v>
      </c>
      <c r="U1231" s="18"/>
      <c r="V1231" s="18"/>
      <c r="W1231" s="18" t="s">
        <v>7927</v>
      </c>
      <c r="X1231" s="18" t="s">
        <v>42</v>
      </c>
      <c r="Y1231" s="18" t="s">
        <v>36</v>
      </c>
      <c r="Z1231" s="18" t="s">
        <v>697</v>
      </c>
      <c r="AA1231" s="21" t="str">
        <f>HYPERLINK("https://www.ncbi.nlm.nih.gov/nuccore/MH102284","NCBI Nucleotide")</f>
        <v>NCBI Nucleotide</v>
      </c>
    </row>
    <row r="1232" spans="1:27" x14ac:dyDescent="0.35">
      <c r="A1232">
        <v>1001661</v>
      </c>
      <c r="B1232">
        <v>1231</v>
      </c>
      <c r="C1232">
        <v>1</v>
      </c>
      <c r="D1232" s="17" t="s">
        <v>155</v>
      </c>
      <c r="E1232" s="17"/>
      <c r="F1232" s="17" t="s">
        <v>156</v>
      </c>
      <c r="G1232" s="17"/>
      <c r="H1232" s="17" t="s">
        <v>692</v>
      </c>
      <c r="I1232" s="17"/>
      <c r="J1232" s="17" t="s">
        <v>693</v>
      </c>
      <c r="K1232" s="17"/>
      <c r="L1232" s="17"/>
      <c r="M1232" s="17"/>
      <c r="N1232" s="17" t="s">
        <v>7745</v>
      </c>
      <c r="O1232" s="17" t="s">
        <v>7883</v>
      </c>
      <c r="P1232" s="17" t="s">
        <v>7921</v>
      </c>
      <c r="Q1232" s="17"/>
      <c r="R1232" s="25" t="str">
        <f>HYPERLINK("https://ictv.global/taxonomy/taxondetails?taxnode_id=202308141","Tlsvirus phSE2")</f>
        <v>Tlsvirus phSE2</v>
      </c>
      <c r="S1232" s="18" t="s">
        <v>30</v>
      </c>
      <c r="T1232" s="18" t="s">
        <v>7928</v>
      </c>
      <c r="U1232" s="18"/>
      <c r="V1232" s="18"/>
      <c r="W1232" s="18" t="s">
        <v>7929</v>
      </c>
      <c r="X1232" s="18" t="s">
        <v>42</v>
      </c>
      <c r="Y1232" s="18" t="s">
        <v>36</v>
      </c>
      <c r="Z1232" s="18" t="s">
        <v>697</v>
      </c>
      <c r="AA1232" s="21" t="str">
        <f>HYPERLINK("https://www.ncbi.nlm.nih.gov/nuccore/KX015770","NCBI Nucleotide")</f>
        <v>NCBI Nucleotide</v>
      </c>
    </row>
    <row r="1233" spans="1:27" x14ac:dyDescent="0.35">
      <c r="A1233">
        <v>1001662</v>
      </c>
      <c r="B1233">
        <v>1232</v>
      </c>
      <c r="C1233">
        <v>1</v>
      </c>
      <c r="D1233" s="17" t="s">
        <v>155</v>
      </c>
      <c r="E1233" s="17"/>
      <c r="F1233" s="17" t="s">
        <v>156</v>
      </c>
      <c r="G1233" s="17"/>
      <c r="H1233" s="17" t="s">
        <v>692</v>
      </c>
      <c r="I1233" s="17"/>
      <c r="J1233" s="17" t="s">
        <v>693</v>
      </c>
      <c r="K1233" s="17"/>
      <c r="L1233" s="17"/>
      <c r="M1233" s="17"/>
      <c r="N1233" s="17" t="s">
        <v>7745</v>
      </c>
      <c r="O1233" s="17" t="s">
        <v>7883</v>
      </c>
      <c r="P1233" s="17" t="s">
        <v>7921</v>
      </c>
      <c r="Q1233" s="17"/>
      <c r="R1233" s="25" t="str">
        <f>HYPERLINK("https://ictv.global/taxonomy/taxondetails?taxnode_id=202308142","Tlsvirus sazh")</f>
        <v>Tlsvirus sazh</v>
      </c>
      <c r="S1233" s="18" t="s">
        <v>30</v>
      </c>
      <c r="T1233" s="18" t="s">
        <v>7930</v>
      </c>
      <c r="U1233" s="18"/>
      <c r="V1233" s="18"/>
      <c r="W1233" s="18" t="s">
        <v>7931</v>
      </c>
      <c r="X1233" s="18" t="s">
        <v>42</v>
      </c>
      <c r="Y1233" s="18" t="s">
        <v>36</v>
      </c>
      <c r="Z1233" s="18" t="s">
        <v>697</v>
      </c>
      <c r="AA1233" s="21" t="str">
        <f>HYPERLINK("https://www.ncbi.nlm.nih.gov/nuccore/MH729819","NCBI Nucleotide")</f>
        <v>NCBI Nucleotide</v>
      </c>
    </row>
    <row r="1234" spans="1:27" x14ac:dyDescent="0.35">
      <c r="A1234">
        <v>1024932</v>
      </c>
      <c r="B1234">
        <v>1233</v>
      </c>
      <c r="C1234">
        <v>1</v>
      </c>
      <c r="D1234" s="17" t="s">
        <v>155</v>
      </c>
      <c r="E1234" s="17"/>
      <c r="F1234" s="17" t="s">
        <v>156</v>
      </c>
      <c r="G1234" s="17"/>
      <c r="H1234" s="17" t="s">
        <v>692</v>
      </c>
      <c r="I1234" s="17"/>
      <c r="J1234" s="17" t="s">
        <v>693</v>
      </c>
      <c r="K1234" s="17"/>
      <c r="L1234" s="17"/>
      <c r="M1234" s="17"/>
      <c r="N1234" s="17" t="s">
        <v>7745</v>
      </c>
      <c r="O1234" s="17" t="s">
        <v>7883</v>
      </c>
      <c r="P1234" s="17" t="s">
        <v>7921</v>
      </c>
      <c r="Q1234" s="17"/>
      <c r="R1234" s="25" t="str">
        <f>HYPERLINK("https://ictv.global/taxonomy/taxondetails?taxnode_id=202319328","Tlsvirus sorkzaugg")</f>
        <v>Tlsvirus sorkzaugg</v>
      </c>
      <c r="S1234" s="18" t="s">
        <v>30</v>
      </c>
      <c r="T1234" s="18" t="s">
        <v>39184</v>
      </c>
      <c r="U1234" s="18"/>
      <c r="V1234" s="18"/>
      <c r="W1234" s="18" t="s">
        <v>48023</v>
      </c>
      <c r="X1234" s="18" t="s">
        <v>42</v>
      </c>
      <c r="Y1234" s="18" t="s">
        <v>36</v>
      </c>
      <c r="Z1234" s="18" t="s">
        <v>697</v>
      </c>
      <c r="AA1234" s="21" t="str">
        <f>HYPERLINK("https://www.ncbi.nlm.nih.gov/nuccore/OL539466","NCBI Nucleotide")</f>
        <v>NCBI Nucleotide</v>
      </c>
    </row>
    <row r="1235" spans="1:27" x14ac:dyDescent="0.35">
      <c r="A1235">
        <v>1001663</v>
      </c>
      <c r="B1235">
        <v>1234</v>
      </c>
      <c r="C1235">
        <v>1</v>
      </c>
      <c r="D1235" s="17" t="s">
        <v>155</v>
      </c>
      <c r="E1235" s="17"/>
      <c r="F1235" s="17" t="s">
        <v>156</v>
      </c>
      <c r="G1235" s="17"/>
      <c r="H1235" s="17" t="s">
        <v>692</v>
      </c>
      <c r="I1235" s="17"/>
      <c r="J1235" s="17" t="s">
        <v>693</v>
      </c>
      <c r="K1235" s="17"/>
      <c r="L1235" s="17"/>
      <c r="M1235" s="17"/>
      <c r="N1235" s="17" t="s">
        <v>7745</v>
      </c>
      <c r="O1235" s="17" t="s">
        <v>7883</v>
      </c>
      <c r="P1235" s="17" t="s">
        <v>7921</v>
      </c>
      <c r="Q1235" s="17"/>
      <c r="R1235" s="25" t="str">
        <f>HYPERLINK("https://ictv.global/taxonomy/taxondetails?taxnode_id=202300834","Tlsvirus SP126")</f>
        <v>Tlsvirus SP126</v>
      </c>
      <c r="S1235" s="18" t="s">
        <v>30</v>
      </c>
      <c r="T1235" s="18" t="s">
        <v>7932</v>
      </c>
      <c r="U1235" s="18"/>
      <c r="V1235" s="18"/>
      <c r="W1235" s="18" t="s">
        <v>7933</v>
      </c>
      <c r="X1235" s="18" t="s">
        <v>154</v>
      </c>
      <c r="Y1235" s="18" t="s">
        <v>36</v>
      </c>
      <c r="Z1235" s="18" t="s">
        <v>697</v>
      </c>
      <c r="AA1235" s="21" t="str">
        <f>HYPERLINK("https://www.ncbi.nlm.nih.gov/nuccore/KC139513","NCBI Nucleotide")</f>
        <v>NCBI Nucleotide</v>
      </c>
    </row>
    <row r="1236" spans="1:27" x14ac:dyDescent="0.35">
      <c r="A1236">
        <v>1001664</v>
      </c>
      <c r="B1236">
        <v>1235</v>
      </c>
      <c r="C1236">
        <v>1</v>
      </c>
      <c r="D1236" s="17" t="s">
        <v>155</v>
      </c>
      <c r="E1236" s="17"/>
      <c r="F1236" s="17" t="s">
        <v>156</v>
      </c>
      <c r="G1236" s="17"/>
      <c r="H1236" s="17" t="s">
        <v>692</v>
      </c>
      <c r="I1236" s="17"/>
      <c r="J1236" s="17" t="s">
        <v>693</v>
      </c>
      <c r="K1236" s="17"/>
      <c r="L1236" s="17"/>
      <c r="M1236" s="17"/>
      <c r="N1236" s="17" t="s">
        <v>7745</v>
      </c>
      <c r="O1236" s="17" t="s">
        <v>7883</v>
      </c>
      <c r="P1236" s="17" t="s">
        <v>7921</v>
      </c>
      <c r="Q1236" s="17"/>
      <c r="R1236" s="25" t="str">
        <f>HYPERLINK("https://ictv.global/taxonomy/taxondetails?taxnode_id=202300832","Tlsvirus stevie")</f>
        <v>Tlsvirus stevie</v>
      </c>
      <c r="S1236" s="18" t="s">
        <v>30</v>
      </c>
      <c r="T1236" s="18" t="s">
        <v>7934</v>
      </c>
      <c r="U1236" s="18"/>
      <c r="V1236" s="18"/>
      <c r="W1236" s="18" t="s">
        <v>7935</v>
      </c>
      <c r="X1236" s="18" t="s">
        <v>42</v>
      </c>
      <c r="Y1236" s="18" t="s">
        <v>36</v>
      </c>
      <c r="Z1236" s="18" t="s">
        <v>697</v>
      </c>
      <c r="AA1236" s="21" t="str">
        <f>HYPERLINK("https://www.ncbi.nlm.nih.gov/nuccore/KM236241","NCBI Nucleotide")</f>
        <v>NCBI Nucleotide</v>
      </c>
    </row>
    <row r="1237" spans="1:27" x14ac:dyDescent="0.35">
      <c r="A1237">
        <v>1024933</v>
      </c>
      <c r="B1237">
        <v>1236</v>
      </c>
      <c r="C1237">
        <v>1</v>
      </c>
      <c r="D1237" s="17" t="s">
        <v>155</v>
      </c>
      <c r="E1237" s="17"/>
      <c r="F1237" s="17" t="s">
        <v>156</v>
      </c>
      <c r="G1237" s="17"/>
      <c r="H1237" s="17" t="s">
        <v>692</v>
      </c>
      <c r="I1237" s="17"/>
      <c r="J1237" s="17" t="s">
        <v>693</v>
      </c>
      <c r="K1237" s="17"/>
      <c r="L1237" s="17"/>
      <c r="M1237" s="17"/>
      <c r="N1237" s="17" t="s">
        <v>7745</v>
      </c>
      <c r="O1237" s="17" t="s">
        <v>7883</v>
      </c>
      <c r="P1237" s="17" t="s">
        <v>7921</v>
      </c>
      <c r="Q1237" s="17"/>
      <c r="R1237" s="25" t="str">
        <f>HYPERLINK("https://ictv.global/taxonomy/taxondetails?taxnode_id=202319317","Tlsvirus stevie116")</f>
        <v>Tlsvirus stevie116</v>
      </c>
      <c r="S1237" s="18" t="s">
        <v>30</v>
      </c>
      <c r="T1237" s="18" t="s">
        <v>39185</v>
      </c>
      <c r="U1237" s="18"/>
      <c r="V1237" s="18"/>
      <c r="W1237" s="18" t="s">
        <v>48024</v>
      </c>
      <c r="X1237" s="18" t="s">
        <v>42</v>
      </c>
      <c r="Y1237" s="18" t="s">
        <v>36</v>
      </c>
      <c r="Z1237" s="18" t="s">
        <v>697</v>
      </c>
      <c r="AA1237" s="21" t="str">
        <f>HYPERLINK("https://www.ncbi.nlm.nih.gov/nuccore/LR597656","NCBI Nucleotide")</f>
        <v>NCBI Nucleotide</v>
      </c>
    </row>
    <row r="1238" spans="1:27" x14ac:dyDescent="0.35">
      <c r="A1238">
        <v>1001665</v>
      </c>
      <c r="B1238">
        <v>1237</v>
      </c>
      <c r="C1238">
        <v>1</v>
      </c>
      <c r="D1238" s="17" t="s">
        <v>155</v>
      </c>
      <c r="E1238" s="17"/>
      <c r="F1238" s="17" t="s">
        <v>156</v>
      </c>
      <c r="G1238" s="17"/>
      <c r="H1238" s="17" t="s">
        <v>692</v>
      </c>
      <c r="I1238" s="17"/>
      <c r="J1238" s="17" t="s">
        <v>693</v>
      </c>
      <c r="K1238" s="17"/>
      <c r="L1238" s="17"/>
      <c r="M1238" s="17"/>
      <c r="N1238" s="17" t="s">
        <v>7745</v>
      </c>
      <c r="O1238" s="17" t="s">
        <v>7883</v>
      </c>
      <c r="P1238" s="17" t="s">
        <v>7921</v>
      </c>
      <c r="Q1238" s="17"/>
      <c r="R1238" s="25" t="str">
        <f>HYPERLINK("https://ictv.global/taxonomy/taxondetails?taxnode_id=202300833","Tlsvirus TLS")</f>
        <v>Tlsvirus TLS</v>
      </c>
      <c r="S1238" s="18" t="s">
        <v>30</v>
      </c>
      <c r="T1238" s="18" t="s">
        <v>7936</v>
      </c>
      <c r="U1238" s="18"/>
      <c r="V1238" s="18"/>
      <c r="W1238" s="18" t="s">
        <v>7937</v>
      </c>
      <c r="X1238" s="18" t="s">
        <v>42</v>
      </c>
      <c r="Y1238" s="18" t="s">
        <v>36</v>
      </c>
      <c r="Z1238" s="18" t="s">
        <v>697</v>
      </c>
      <c r="AA1238" s="21" t="str">
        <f>HYPERLINK("https://www.ncbi.nlm.nih.gov/nuccore/AY308796","NCBI Nucleotide")</f>
        <v>NCBI Nucleotide</v>
      </c>
    </row>
    <row r="1239" spans="1:27" x14ac:dyDescent="0.35">
      <c r="A1239">
        <v>1024934</v>
      </c>
      <c r="B1239">
        <v>1238</v>
      </c>
      <c r="C1239">
        <v>1</v>
      </c>
      <c r="D1239" s="17" t="s">
        <v>155</v>
      </c>
      <c r="E1239" s="17"/>
      <c r="F1239" s="17" t="s">
        <v>156</v>
      </c>
      <c r="G1239" s="17"/>
      <c r="H1239" s="17" t="s">
        <v>692</v>
      </c>
      <c r="I1239" s="17"/>
      <c r="J1239" s="17" t="s">
        <v>693</v>
      </c>
      <c r="K1239" s="17"/>
      <c r="L1239" s="17"/>
      <c r="M1239" s="17"/>
      <c r="N1239" s="17" t="s">
        <v>7745</v>
      </c>
      <c r="O1239" s="17" t="s">
        <v>7883</v>
      </c>
      <c r="P1239" s="17" t="s">
        <v>7921</v>
      </c>
      <c r="Q1239" s="17"/>
      <c r="R1239" s="25" t="str">
        <f>HYPERLINK("https://ictv.global/taxonomy/taxondetails?taxnode_id=202319326","Tlsvirus tv011D2")</f>
        <v>Tlsvirus tv011D2</v>
      </c>
      <c r="S1239" s="18" t="s">
        <v>30</v>
      </c>
      <c r="T1239" s="18" t="s">
        <v>39186</v>
      </c>
      <c r="U1239" s="18"/>
      <c r="V1239" s="18"/>
      <c r="W1239" s="18" t="s">
        <v>48025</v>
      </c>
      <c r="X1239" s="18" t="s">
        <v>42</v>
      </c>
      <c r="Y1239" s="18" t="s">
        <v>36</v>
      </c>
      <c r="Z1239" s="18" t="s">
        <v>697</v>
      </c>
      <c r="AA1239" s="21" t="str">
        <f>HYPERLINK("https://www.ncbi.nlm.nih.gov/nuccore/MT478992","NCBI Nucleotide")</f>
        <v>NCBI Nucleotide</v>
      </c>
    </row>
    <row r="1240" spans="1:27" x14ac:dyDescent="0.35">
      <c r="A1240">
        <v>1024935</v>
      </c>
      <c r="B1240">
        <v>1239</v>
      </c>
      <c r="C1240">
        <v>1</v>
      </c>
      <c r="D1240" s="17" t="s">
        <v>155</v>
      </c>
      <c r="E1240" s="17"/>
      <c r="F1240" s="17" t="s">
        <v>156</v>
      </c>
      <c r="G1240" s="17"/>
      <c r="H1240" s="17" t="s">
        <v>692</v>
      </c>
      <c r="I1240" s="17"/>
      <c r="J1240" s="17" t="s">
        <v>693</v>
      </c>
      <c r="K1240" s="17"/>
      <c r="L1240" s="17"/>
      <c r="M1240" s="17"/>
      <c r="N1240" s="17" t="s">
        <v>7745</v>
      </c>
      <c r="O1240" s="17" t="s">
        <v>7883</v>
      </c>
      <c r="P1240" s="17" t="s">
        <v>7921</v>
      </c>
      <c r="Q1240" s="17"/>
      <c r="R1240" s="25" t="str">
        <f>HYPERLINK("https://ictv.global/taxonomy/taxondetails?taxnode_id=202319318","Tlsvirus U136B")</f>
        <v>Tlsvirus U136B</v>
      </c>
      <c r="S1240" s="18" t="s">
        <v>30</v>
      </c>
      <c r="T1240" s="18" t="s">
        <v>39187</v>
      </c>
      <c r="U1240" s="18"/>
      <c r="V1240" s="18"/>
      <c r="W1240" s="18" t="s">
        <v>48026</v>
      </c>
      <c r="X1240" s="18" t="s">
        <v>42</v>
      </c>
      <c r="Y1240" s="18" t="s">
        <v>36</v>
      </c>
      <c r="Z1240" s="18" t="s">
        <v>697</v>
      </c>
      <c r="AA1240" s="21" t="str">
        <f>HYPERLINK("https://www.ncbi.nlm.nih.gov/nuccore/MW598258","NCBI Nucleotide")</f>
        <v>NCBI Nucleotide</v>
      </c>
    </row>
    <row r="1241" spans="1:27" x14ac:dyDescent="0.35">
      <c r="A1241">
        <v>1024936</v>
      </c>
      <c r="B1241">
        <v>1240</v>
      </c>
      <c r="C1241">
        <v>1</v>
      </c>
      <c r="D1241" s="17" t="s">
        <v>155</v>
      </c>
      <c r="E1241" s="17"/>
      <c r="F1241" s="17" t="s">
        <v>156</v>
      </c>
      <c r="G1241" s="17"/>
      <c r="H1241" s="17" t="s">
        <v>692</v>
      </c>
      <c r="I1241" s="17"/>
      <c r="J1241" s="17" t="s">
        <v>693</v>
      </c>
      <c r="K1241" s="17"/>
      <c r="L1241" s="17"/>
      <c r="M1241" s="17"/>
      <c r="N1241" s="17" t="s">
        <v>7745</v>
      </c>
      <c r="O1241" s="17" t="s">
        <v>7883</v>
      </c>
      <c r="P1241" s="17" t="s">
        <v>7921</v>
      </c>
      <c r="Q1241" s="17"/>
      <c r="R1241" s="25" t="str">
        <f>HYPERLINK("https://ictv.global/taxonomy/taxondetails?taxnode_id=202319319","Tlsvirus UTK0006")</f>
        <v>Tlsvirus UTK0006</v>
      </c>
      <c r="S1241" s="18" t="s">
        <v>30</v>
      </c>
      <c r="T1241" s="18" t="s">
        <v>39188</v>
      </c>
      <c r="U1241" s="18"/>
      <c r="V1241" s="18"/>
      <c r="W1241" s="18" t="s">
        <v>48027</v>
      </c>
      <c r="X1241" s="18" t="s">
        <v>42</v>
      </c>
      <c r="Y1241" s="18" t="s">
        <v>36</v>
      </c>
      <c r="Z1241" s="18" t="s">
        <v>697</v>
      </c>
      <c r="AA1241" s="21" t="str">
        <f>HYPERLINK("https://www.ncbi.nlm.nih.gov/nuccore/OQ359885","NCBI Nucleotide")</f>
        <v>NCBI Nucleotide</v>
      </c>
    </row>
    <row r="1242" spans="1:27" x14ac:dyDescent="0.35">
      <c r="A1242">
        <v>1024937</v>
      </c>
      <c r="B1242">
        <v>1241</v>
      </c>
      <c r="C1242">
        <v>1</v>
      </c>
      <c r="D1242" s="17" t="s">
        <v>155</v>
      </c>
      <c r="E1242" s="17"/>
      <c r="F1242" s="17" t="s">
        <v>156</v>
      </c>
      <c r="G1242" s="17"/>
      <c r="H1242" s="17" t="s">
        <v>692</v>
      </c>
      <c r="I1242" s="17"/>
      <c r="J1242" s="17" t="s">
        <v>693</v>
      </c>
      <c r="K1242" s="17"/>
      <c r="L1242" s="17"/>
      <c r="M1242" s="17"/>
      <c r="N1242" s="17" t="s">
        <v>7745</v>
      </c>
      <c r="O1242" s="17" t="s">
        <v>7883</v>
      </c>
      <c r="P1242" s="17" t="s">
        <v>7921</v>
      </c>
      <c r="Q1242" s="17"/>
      <c r="R1242" s="25" t="str">
        <f>HYPERLINK("https://ictv.global/taxonomy/taxondetails?taxnode_id=202319324","Tlsvirus UTK0007")</f>
        <v>Tlsvirus UTK0007</v>
      </c>
      <c r="S1242" s="18" t="s">
        <v>30</v>
      </c>
      <c r="T1242" s="18" t="s">
        <v>39189</v>
      </c>
      <c r="U1242" s="18"/>
      <c r="V1242" s="18"/>
      <c r="W1242" s="18" t="s">
        <v>48028</v>
      </c>
      <c r="X1242" s="18" t="s">
        <v>42</v>
      </c>
      <c r="Y1242" s="18" t="s">
        <v>36</v>
      </c>
      <c r="Z1242" s="18" t="s">
        <v>697</v>
      </c>
      <c r="AA1242" s="21" t="str">
        <f>HYPERLINK("https://www.ncbi.nlm.nih.gov/nuccore/OQ359886","NCBI Nucleotide")</f>
        <v>NCBI Nucleotide</v>
      </c>
    </row>
    <row r="1243" spans="1:27" x14ac:dyDescent="0.35">
      <c r="A1243">
        <v>1001667</v>
      </c>
      <c r="B1243">
        <v>1242</v>
      </c>
      <c r="C1243">
        <v>1</v>
      </c>
      <c r="D1243" s="17" t="s">
        <v>155</v>
      </c>
      <c r="E1243" s="17"/>
      <c r="F1243" s="17" t="s">
        <v>156</v>
      </c>
      <c r="G1243" s="17"/>
      <c r="H1243" s="17" t="s">
        <v>692</v>
      </c>
      <c r="I1243" s="17"/>
      <c r="J1243" s="17" t="s">
        <v>693</v>
      </c>
      <c r="K1243" s="17"/>
      <c r="L1243" s="17"/>
      <c r="M1243" s="17"/>
      <c r="N1243" s="17" t="s">
        <v>7745</v>
      </c>
      <c r="O1243" s="17" t="s">
        <v>7883</v>
      </c>
      <c r="P1243" s="17" t="s">
        <v>7921</v>
      </c>
      <c r="Q1243" s="17"/>
      <c r="R1243" s="25" t="str">
        <f>HYPERLINK("https://ictv.global/taxonomy/taxondetails?taxnode_id=202308138","Tlsvirus YSP2")</f>
        <v>Tlsvirus YSP2</v>
      </c>
      <c r="S1243" s="18" t="s">
        <v>30</v>
      </c>
      <c r="T1243" s="18" t="s">
        <v>7938</v>
      </c>
      <c r="U1243" s="18"/>
      <c r="V1243" s="18"/>
      <c r="W1243" s="18" t="s">
        <v>7939</v>
      </c>
      <c r="X1243" s="18" t="s">
        <v>42</v>
      </c>
      <c r="Y1243" s="18" t="s">
        <v>36</v>
      </c>
      <c r="Z1243" s="18" t="s">
        <v>697</v>
      </c>
      <c r="AA1243" s="21" t="str">
        <f>HYPERLINK("https://www.ncbi.nlm.nih.gov/nuccore/MG241338","NCBI Nucleotide")</f>
        <v>NCBI Nucleotide</v>
      </c>
    </row>
    <row r="1244" spans="1:27" x14ac:dyDescent="0.35">
      <c r="A1244">
        <v>1001668</v>
      </c>
      <c r="B1244">
        <v>1243</v>
      </c>
      <c r="C1244">
        <v>1</v>
      </c>
      <c r="D1244" s="17" t="s">
        <v>155</v>
      </c>
      <c r="E1244" s="17"/>
      <c r="F1244" s="17" t="s">
        <v>156</v>
      </c>
      <c r="G1244" s="17"/>
      <c r="H1244" s="17" t="s">
        <v>692</v>
      </c>
      <c r="I1244" s="17"/>
      <c r="J1244" s="17" t="s">
        <v>693</v>
      </c>
      <c r="K1244" s="17"/>
      <c r="L1244" s="17"/>
      <c r="M1244" s="17"/>
      <c r="N1244" s="17" t="s">
        <v>7745</v>
      </c>
      <c r="O1244" s="17" t="s">
        <v>7883</v>
      </c>
      <c r="P1244" s="17" t="s">
        <v>7940</v>
      </c>
      <c r="Q1244" s="17"/>
      <c r="R1244" s="25" t="str">
        <f>HYPERLINK("https://ictv.global/taxonomy/taxondetails?taxnode_id=202312096","Warwickvirus atuna")</f>
        <v>Warwickvirus atuna</v>
      </c>
      <c r="S1244" s="18" t="s">
        <v>30</v>
      </c>
      <c r="T1244" s="18" t="s">
        <v>7941</v>
      </c>
      <c r="U1244" s="18"/>
      <c r="V1244" s="18"/>
      <c r="W1244" s="18" t="s">
        <v>7942</v>
      </c>
      <c r="X1244" s="18" t="s">
        <v>42</v>
      </c>
      <c r="Y1244" s="18" t="s">
        <v>36</v>
      </c>
      <c r="Z1244" s="18" t="s">
        <v>697</v>
      </c>
      <c r="AA1244" s="21" t="str">
        <f>HYPERLINK("https://www.ncbi.nlm.nih.gov/nuccore/MN850620","NCBI Nucleotide")</f>
        <v>NCBI Nucleotide</v>
      </c>
    </row>
    <row r="1245" spans="1:27" x14ac:dyDescent="0.35">
      <c r="A1245">
        <v>1025268</v>
      </c>
      <c r="B1245">
        <v>1244</v>
      </c>
      <c r="C1245">
        <v>1</v>
      </c>
      <c r="D1245" s="17" t="s">
        <v>155</v>
      </c>
      <c r="E1245" s="17"/>
      <c r="F1245" s="17" t="s">
        <v>156</v>
      </c>
      <c r="G1245" s="17"/>
      <c r="H1245" s="17" t="s">
        <v>692</v>
      </c>
      <c r="I1245" s="17"/>
      <c r="J1245" s="17" t="s">
        <v>693</v>
      </c>
      <c r="K1245" s="17"/>
      <c r="L1245" s="17"/>
      <c r="M1245" s="17"/>
      <c r="N1245" s="17" t="s">
        <v>7745</v>
      </c>
      <c r="O1245" s="17" t="s">
        <v>7883</v>
      </c>
      <c r="P1245" s="17" t="s">
        <v>7940</v>
      </c>
      <c r="Q1245" s="17"/>
      <c r="R1245" s="25" t="str">
        <f>HYPERLINK("https://ictv.global/taxonomy/taxondetails?taxnode_id=202319335","Warwickvirus ityhuna")</f>
        <v>Warwickvirus ityhuna</v>
      </c>
      <c r="S1245" s="18" t="s">
        <v>30</v>
      </c>
      <c r="T1245" s="18" t="s">
        <v>39190</v>
      </c>
      <c r="U1245" s="18"/>
      <c r="V1245" s="18"/>
      <c r="W1245" s="18" t="s">
        <v>48029</v>
      </c>
      <c r="X1245" s="18" t="s">
        <v>42</v>
      </c>
      <c r="Y1245" s="18" t="s">
        <v>36</v>
      </c>
      <c r="Z1245" s="18" t="s">
        <v>697</v>
      </c>
      <c r="AA1245" s="21" t="str">
        <f>HYPERLINK("https://www.ncbi.nlm.nih.gov/nuccore/MN850582","NCBI Nucleotide")</f>
        <v>NCBI Nucleotide</v>
      </c>
    </row>
    <row r="1246" spans="1:27" x14ac:dyDescent="0.35">
      <c r="A1246">
        <v>1001669</v>
      </c>
      <c r="B1246">
        <v>1245</v>
      </c>
      <c r="C1246">
        <v>1</v>
      </c>
      <c r="D1246" s="17" t="s">
        <v>155</v>
      </c>
      <c r="E1246" s="17"/>
      <c r="F1246" s="17" t="s">
        <v>156</v>
      </c>
      <c r="G1246" s="17"/>
      <c r="H1246" s="17" t="s">
        <v>692</v>
      </c>
      <c r="I1246" s="17"/>
      <c r="J1246" s="17" t="s">
        <v>693</v>
      </c>
      <c r="K1246" s="17"/>
      <c r="L1246" s="17"/>
      <c r="M1246" s="17"/>
      <c r="N1246" s="17" t="s">
        <v>7745</v>
      </c>
      <c r="O1246" s="17" t="s">
        <v>7883</v>
      </c>
      <c r="P1246" s="17" t="s">
        <v>7940</v>
      </c>
      <c r="Q1246" s="17"/>
      <c r="R1246" s="25" t="str">
        <f>HYPERLINK("https://ictv.global/taxonomy/taxondetails?taxnode_id=202312091","Warwickvirus JK16")</f>
        <v>Warwickvirus JK16</v>
      </c>
      <c r="S1246" s="18" t="s">
        <v>30</v>
      </c>
      <c r="T1246" s="18" t="s">
        <v>7943</v>
      </c>
      <c r="U1246" s="18"/>
      <c r="V1246" s="18"/>
      <c r="W1246" s="18" t="s">
        <v>7944</v>
      </c>
      <c r="X1246" s="18" t="s">
        <v>42</v>
      </c>
      <c r="Y1246" s="18" t="s">
        <v>36</v>
      </c>
      <c r="Z1246" s="18" t="s">
        <v>697</v>
      </c>
      <c r="AA1246" s="21" t="str">
        <f>HYPERLINK("https://www.ncbi.nlm.nih.gov/nuccore/MK962751","NCBI Nucleotide")</f>
        <v>NCBI Nucleotide</v>
      </c>
    </row>
    <row r="1247" spans="1:27" x14ac:dyDescent="0.35">
      <c r="A1247">
        <v>1025269</v>
      </c>
      <c r="B1247">
        <v>1246</v>
      </c>
      <c r="C1247">
        <v>1</v>
      </c>
      <c r="D1247" s="17" t="s">
        <v>155</v>
      </c>
      <c r="E1247" s="17"/>
      <c r="F1247" s="17" t="s">
        <v>156</v>
      </c>
      <c r="G1247" s="17"/>
      <c r="H1247" s="17" t="s">
        <v>692</v>
      </c>
      <c r="I1247" s="17"/>
      <c r="J1247" s="17" t="s">
        <v>693</v>
      </c>
      <c r="K1247" s="17"/>
      <c r="L1247" s="17"/>
      <c r="M1247" s="17"/>
      <c r="N1247" s="17" t="s">
        <v>7745</v>
      </c>
      <c r="O1247" s="17" t="s">
        <v>7883</v>
      </c>
      <c r="P1247" s="17" t="s">
        <v>7940</v>
      </c>
      <c r="Q1247" s="17"/>
      <c r="R1247" s="25" t="str">
        <f>HYPERLINK("https://ictv.global/taxonomy/taxondetails?taxnode_id=202319337","Warwickvirus JLBYU16")</f>
        <v>Warwickvirus JLBYU16</v>
      </c>
      <c r="S1247" s="18" t="s">
        <v>30</v>
      </c>
      <c r="T1247" s="18" t="s">
        <v>39191</v>
      </c>
      <c r="U1247" s="18"/>
      <c r="V1247" s="18"/>
      <c r="W1247" s="18" t="s">
        <v>48030</v>
      </c>
      <c r="X1247" s="18" t="s">
        <v>42</v>
      </c>
      <c r="Y1247" s="18" t="s">
        <v>36</v>
      </c>
      <c r="Z1247" s="18" t="s">
        <v>697</v>
      </c>
      <c r="AA1247" s="21" t="str">
        <f>HYPERLINK("https://www.ncbi.nlm.nih.gov/nuccore/OK272471","NCBI Nucleotide")</f>
        <v>NCBI Nucleotide</v>
      </c>
    </row>
    <row r="1248" spans="1:27" x14ac:dyDescent="0.35">
      <c r="A1248">
        <v>1025270</v>
      </c>
      <c r="B1248">
        <v>1247</v>
      </c>
      <c r="C1248">
        <v>1</v>
      </c>
      <c r="D1248" s="17" t="s">
        <v>155</v>
      </c>
      <c r="E1248" s="17"/>
      <c r="F1248" s="17" t="s">
        <v>156</v>
      </c>
      <c r="G1248" s="17"/>
      <c r="H1248" s="17" t="s">
        <v>692</v>
      </c>
      <c r="I1248" s="17"/>
      <c r="J1248" s="17" t="s">
        <v>693</v>
      </c>
      <c r="K1248" s="17"/>
      <c r="L1248" s="17"/>
      <c r="M1248" s="17"/>
      <c r="N1248" s="17" t="s">
        <v>7745</v>
      </c>
      <c r="O1248" s="17" t="s">
        <v>7883</v>
      </c>
      <c r="P1248" s="17" t="s">
        <v>7940</v>
      </c>
      <c r="Q1248" s="17"/>
      <c r="R1248" s="25" t="str">
        <f>HYPERLINK("https://ictv.global/taxonomy/taxondetails?taxnode_id=202319338","Warwickvirus JLBYU26")</f>
        <v>Warwickvirus JLBYU26</v>
      </c>
      <c r="S1248" s="18" t="s">
        <v>30</v>
      </c>
      <c r="T1248" s="18" t="s">
        <v>39192</v>
      </c>
      <c r="U1248" s="18"/>
      <c r="V1248" s="18"/>
      <c r="W1248" s="18" t="s">
        <v>48031</v>
      </c>
      <c r="X1248" s="18" t="s">
        <v>42</v>
      </c>
      <c r="Y1248" s="18" t="s">
        <v>36</v>
      </c>
      <c r="Z1248" s="18" t="s">
        <v>697</v>
      </c>
      <c r="AA1248" s="21" t="str">
        <f>HYPERLINK("https://www.ncbi.nlm.nih.gov/nuccore/OK272483","NCBI Nucleotide")</f>
        <v>NCBI Nucleotide</v>
      </c>
    </row>
    <row r="1249" spans="1:27" x14ac:dyDescent="0.35">
      <c r="A1249">
        <v>1001670</v>
      </c>
      <c r="B1249">
        <v>1248</v>
      </c>
      <c r="C1249">
        <v>1</v>
      </c>
      <c r="D1249" s="17" t="s">
        <v>155</v>
      </c>
      <c r="E1249" s="17"/>
      <c r="F1249" s="17" t="s">
        <v>156</v>
      </c>
      <c r="G1249" s="17"/>
      <c r="H1249" s="17" t="s">
        <v>692</v>
      </c>
      <c r="I1249" s="17"/>
      <c r="J1249" s="17" t="s">
        <v>693</v>
      </c>
      <c r="K1249" s="17"/>
      <c r="L1249" s="17"/>
      <c r="M1249" s="17"/>
      <c r="N1249" s="17" t="s">
        <v>7745</v>
      </c>
      <c r="O1249" s="17" t="s">
        <v>7883</v>
      </c>
      <c r="P1249" s="17" t="s">
        <v>7940</v>
      </c>
      <c r="Q1249" s="17"/>
      <c r="R1249" s="25" t="str">
        <f>HYPERLINK("https://ictv.global/taxonomy/taxondetails?taxnode_id=202308134","Warwickvirus mar001J1")</f>
        <v>Warwickvirus mar001J1</v>
      </c>
      <c r="S1249" s="18" t="s">
        <v>30</v>
      </c>
      <c r="T1249" s="18" t="s">
        <v>7945</v>
      </c>
      <c r="U1249" s="18"/>
      <c r="V1249" s="18"/>
      <c r="W1249" s="18" t="s">
        <v>7946</v>
      </c>
      <c r="X1249" s="18" t="s">
        <v>42</v>
      </c>
      <c r="Y1249" s="18" t="s">
        <v>36</v>
      </c>
      <c r="Z1249" s="18" t="s">
        <v>697</v>
      </c>
      <c r="AA1249" s="21" t="str">
        <f>HYPERLINK("https://www.ncbi.nlm.nih.gov/nuccore/LR027388","NCBI Nucleotide")</f>
        <v>NCBI Nucleotide</v>
      </c>
    </row>
    <row r="1250" spans="1:27" x14ac:dyDescent="0.35">
      <c r="A1250">
        <v>1025271</v>
      </c>
      <c r="B1250">
        <v>1249</v>
      </c>
      <c r="C1250">
        <v>1</v>
      </c>
      <c r="D1250" s="17" t="s">
        <v>155</v>
      </c>
      <c r="E1250" s="17"/>
      <c r="F1250" s="17" t="s">
        <v>156</v>
      </c>
      <c r="G1250" s="17"/>
      <c r="H1250" s="17" t="s">
        <v>692</v>
      </c>
      <c r="I1250" s="17"/>
      <c r="J1250" s="17" t="s">
        <v>693</v>
      </c>
      <c r="K1250" s="17"/>
      <c r="L1250" s="17"/>
      <c r="M1250" s="17"/>
      <c r="N1250" s="17" t="s">
        <v>7745</v>
      </c>
      <c r="O1250" s="17" t="s">
        <v>7883</v>
      </c>
      <c r="P1250" s="17" t="s">
        <v>7940</v>
      </c>
      <c r="Q1250" s="17"/>
      <c r="R1250" s="25" t="str">
        <f>HYPERLINK("https://ictv.global/taxonomy/taxondetails?taxnode_id=202319336","Warwickvirus orkinos")</f>
        <v>Warwickvirus orkinos</v>
      </c>
      <c r="S1250" s="18" t="s">
        <v>30</v>
      </c>
      <c r="T1250" s="18" t="s">
        <v>39193</v>
      </c>
      <c r="U1250" s="18"/>
      <c r="V1250" s="18"/>
      <c r="W1250" s="18" t="s">
        <v>48032</v>
      </c>
      <c r="X1250" s="18" t="s">
        <v>42</v>
      </c>
      <c r="Y1250" s="18" t="s">
        <v>36</v>
      </c>
      <c r="Z1250" s="18" t="s">
        <v>697</v>
      </c>
      <c r="AA1250" s="21" t="str">
        <f>HYPERLINK("https://www.ncbi.nlm.nih.gov/nuccore/MN850586","NCBI Nucleotide")</f>
        <v>NCBI Nucleotide</v>
      </c>
    </row>
    <row r="1251" spans="1:27" x14ac:dyDescent="0.35">
      <c r="A1251">
        <v>1025272</v>
      </c>
      <c r="B1251">
        <v>1250</v>
      </c>
      <c r="C1251">
        <v>1</v>
      </c>
      <c r="D1251" s="17" t="s">
        <v>155</v>
      </c>
      <c r="E1251" s="17"/>
      <c r="F1251" s="17" t="s">
        <v>156</v>
      </c>
      <c r="G1251" s="17"/>
      <c r="H1251" s="17" t="s">
        <v>692</v>
      </c>
      <c r="I1251" s="17"/>
      <c r="J1251" s="17" t="s">
        <v>693</v>
      </c>
      <c r="K1251" s="17"/>
      <c r="L1251" s="17"/>
      <c r="M1251" s="17"/>
      <c r="N1251" s="17" t="s">
        <v>7745</v>
      </c>
      <c r="O1251" s="17" t="s">
        <v>7883</v>
      </c>
      <c r="P1251" s="17" t="s">
        <v>7940</v>
      </c>
      <c r="Q1251" s="17"/>
      <c r="R1251" s="25" t="str">
        <f>HYPERLINK("https://ictv.global/taxonomy/taxondetails?taxnode_id=202319339","Warwickvirus poky")</f>
        <v>Warwickvirus poky</v>
      </c>
      <c r="S1251" s="18" t="s">
        <v>30</v>
      </c>
      <c r="T1251" s="18" t="s">
        <v>39194</v>
      </c>
      <c r="U1251" s="18"/>
      <c r="V1251" s="18"/>
      <c r="W1251" s="18" t="s">
        <v>48033</v>
      </c>
      <c r="X1251" s="18" t="s">
        <v>42</v>
      </c>
      <c r="Y1251" s="18" t="s">
        <v>36</v>
      </c>
      <c r="Z1251" s="18" t="s">
        <v>697</v>
      </c>
      <c r="AA1251" s="21" t="str">
        <f>HYPERLINK("https://www.ncbi.nlm.nih.gov/nuccore/OL539445","NCBI Nucleotide")</f>
        <v>NCBI Nucleotide</v>
      </c>
    </row>
    <row r="1252" spans="1:27" x14ac:dyDescent="0.35">
      <c r="A1252">
        <v>1001671</v>
      </c>
      <c r="B1252">
        <v>1251</v>
      </c>
      <c r="C1252">
        <v>1</v>
      </c>
      <c r="D1252" s="17" t="s">
        <v>155</v>
      </c>
      <c r="E1252" s="17"/>
      <c r="F1252" s="17" t="s">
        <v>156</v>
      </c>
      <c r="G1252" s="17"/>
      <c r="H1252" s="17" t="s">
        <v>692</v>
      </c>
      <c r="I1252" s="17"/>
      <c r="J1252" s="17" t="s">
        <v>693</v>
      </c>
      <c r="K1252" s="17"/>
      <c r="L1252" s="17"/>
      <c r="M1252" s="17"/>
      <c r="N1252" s="17" t="s">
        <v>7745</v>
      </c>
      <c r="O1252" s="17" t="s">
        <v>7883</v>
      </c>
      <c r="P1252" s="17" t="s">
        <v>7940</v>
      </c>
      <c r="Q1252" s="17"/>
      <c r="R1252" s="25" t="str">
        <f>HYPERLINK("https://ictv.global/taxonomy/taxondetails?taxnode_id=202308133","Warwickvirus SECphi27")</f>
        <v>Warwickvirus SECphi27</v>
      </c>
      <c r="S1252" s="18" t="s">
        <v>30</v>
      </c>
      <c r="T1252" s="18" t="s">
        <v>7947</v>
      </c>
      <c r="U1252" s="18"/>
      <c r="V1252" s="18"/>
      <c r="W1252" s="18" t="s">
        <v>7948</v>
      </c>
      <c r="X1252" s="18" t="s">
        <v>42</v>
      </c>
      <c r="Y1252" s="18" t="s">
        <v>36</v>
      </c>
      <c r="Z1252" s="18" t="s">
        <v>697</v>
      </c>
      <c r="AA1252" s="21" t="str">
        <f>HYPERLINK("https://www.ncbi.nlm.nih.gov/nuccore/LT961732","NCBI Nucleotide")</f>
        <v>NCBI Nucleotide</v>
      </c>
    </row>
    <row r="1253" spans="1:27" x14ac:dyDescent="0.35">
      <c r="A1253">
        <v>1025273</v>
      </c>
      <c r="B1253">
        <v>1252</v>
      </c>
      <c r="C1253">
        <v>1</v>
      </c>
      <c r="D1253" s="17" t="s">
        <v>155</v>
      </c>
      <c r="E1253" s="17"/>
      <c r="F1253" s="17" t="s">
        <v>156</v>
      </c>
      <c r="G1253" s="17"/>
      <c r="H1253" s="17" t="s">
        <v>692</v>
      </c>
      <c r="I1253" s="17"/>
      <c r="J1253" s="17" t="s">
        <v>693</v>
      </c>
      <c r="K1253" s="17"/>
      <c r="L1253" s="17"/>
      <c r="M1253" s="17"/>
      <c r="N1253" s="17" t="s">
        <v>7745</v>
      </c>
      <c r="O1253" s="17" t="s">
        <v>7883</v>
      </c>
      <c r="P1253" s="17" t="s">
        <v>7940</v>
      </c>
      <c r="Q1253" s="17"/>
      <c r="R1253" s="25" t="str">
        <f>HYPERLINK("https://ictv.global/taxonomy/taxondetails?taxnode_id=202319340","Warwickvirus sip")</f>
        <v>Warwickvirus sip</v>
      </c>
      <c r="S1253" s="18" t="s">
        <v>30</v>
      </c>
      <c r="T1253" s="18" t="s">
        <v>39195</v>
      </c>
      <c r="U1253" s="18"/>
      <c r="V1253" s="18"/>
      <c r="W1253" s="18" t="s">
        <v>48034</v>
      </c>
      <c r="X1253" s="18" t="s">
        <v>42</v>
      </c>
      <c r="Y1253" s="18" t="s">
        <v>36</v>
      </c>
      <c r="Z1253" s="18" t="s">
        <v>697</v>
      </c>
      <c r="AA1253" s="21" t="str">
        <f>HYPERLINK("https://www.ncbi.nlm.nih.gov/nuccore/OU734268","NCBI Nucleotide")</f>
        <v>NCBI Nucleotide</v>
      </c>
    </row>
    <row r="1254" spans="1:27" x14ac:dyDescent="0.35">
      <c r="A1254">
        <v>1001672</v>
      </c>
      <c r="B1254">
        <v>1253</v>
      </c>
      <c r="C1254">
        <v>1</v>
      </c>
      <c r="D1254" s="17" t="s">
        <v>155</v>
      </c>
      <c r="E1254" s="17"/>
      <c r="F1254" s="17" t="s">
        <v>156</v>
      </c>
      <c r="G1254" s="17"/>
      <c r="H1254" s="17" t="s">
        <v>692</v>
      </c>
      <c r="I1254" s="17"/>
      <c r="J1254" s="17" t="s">
        <v>693</v>
      </c>
      <c r="K1254" s="17"/>
      <c r="L1254" s="17"/>
      <c r="M1254" s="17"/>
      <c r="N1254" s="17" t="s">
        <v>7745</v>
      </c>
      <c r="O1254" s="17" t="s">
        <v>7883</v>
      </c>
      <c r="P1254" s="17" t="s">
        <v>7940</v>
      </c>
      <c r="Q1254" s="17"/>
      <c r="R1254" s="25" t="str">
        <f>HYPERLINK("https://ictv.global/taxonomy/taxondetails?taxnode_id=202312098","Warwickvirus SLUR29")</f>
        <v>Warwickvirus SLUR29</v>
      </c>
      <c r="S1254" s="18" t="s">
        <v>30</v>
      </c>
      <c r="T1254" s="18" t="s">
        <v>7949</v>
      </c>
      <c r="U1254" s="18"/>
      <c r="V1254" s="18"/>
      <c r="W1254" s="18" t="s">
        <v>7950</v>
      </c>
      <c r="X1254" s="18" t="s">
        <v>42</v>
      </c>
      <c r="Y1254" s="18" t="s">
        <v>36</v>
      </c>
      <c r="Z1254" s="18" t="s">
        <v>697</v>
      </c>
      <c r="AA1254" s="21" t="str">
        <f>HYPERLINK("https://www.ncbi.nlm.nih.gov/nuccore/LR596614","NCBI Nucleotide")</f>
        <v>NCBI Nucleotide</v>
      </c>
    </row>
    <row r="1255" spans="1:27" x14ac:dyDescent="0.35">
      <c r="A1255">
        <v>1001673</v>
      </c>
      <c r="B1255">
        <v>1254</v>
      </c>
      <c r="C1255">
        <v>1</v>
      </c>
      <c r="D1255" s="17" t="s">
        <v>155</v>
      </c>
      <c r="E1255" s="17"/>
      <c r="F1255" s="17" t="s">
        <v>156</v>
      </c>
      <c r="G1255" s="17"/>
      <c r="H1255" s="17" t="s">
        <v>692</v>
      </c>
      <c r="I1255" s="17"/>
      <c r="J1255" s="17" t="s">
        <v>693</v>
      </c>
      <c r="K1255" s="17"/>
      <c r="L1255" s="17"/>
      <c r="M1255" s="17"/>
      <c r="N1255" s="17" t="s">
        <v>7745</v>
      </c>
      <c r="O1255" s="17" t="s">
        <v>7883</v>
      </c>
      <c r="P1255" s="17" t="s">
        <v>7940</v>
      </c>
      <c r="Q1255" s="17"/>
      <c r="R1255" s="25" t="str">
        <f>HYPERLINK("https://ictv.global/taxonomy/taxondetails?taxnode_id=202308131","Warwickvirus swan01")</f>
        <v>Warwickvirus swan01</v>
      </c>
      <c r="S1255" s="18" t="s">
        <v>30</v>
      </c>
      <c r="T1255" s="18" t="s">
        <v>7951</v>
      </c>
      <c r="U1255" s="18"/>
      <c r="V1255" s="18"/>
      <c r="W1255" s="18" t="s">
        <v>7952</v>
      </c>
      <c r="X1255" s="18" t="s">
        <v>42</v>
      </c>
      <c r="Y1255" s="18" t="s">
        <v>36</v>
      </c>
      <c r="Z1255" s="18" t="s">
        <v>697</v>
      </c>
      <c r="AA1255" s="21" t="str">
        <f>HYPERLINK("https://www.ncbi.nlm.nih.gov/nuccore/LT841304","NCBI Nucleotide")</f>
        <v>NCBI Nucleotide</v>
      </c>
    </row>
    <row r="1256" spans="1:27" x14ac:dyDescent="0.35">
      <c r="A1256">
        <v>1001674</v>
      </c>
      <c r="B1256">
        <v>1255</v>
      </c>
      <c r="C1256">
        <v>1</v>
      </c>
      <c r="D1256" s="17" t="s">
        <v>155</v>
      </c>
      <c r="E1256" s="17"/>
      <c r="F1256" s="17" t="s">
        <v>156</v>
      </c>
      <c r="G1256" s="17"/>
      <c r="H1256" s="17" t="s">
        <v>692</v>
      </c>
      <c r="I1256" s="17"/>
      <c r="J1256" s="17" t="s">
        <v>693</v>
      </c>
      <c r="K1256" s="17"/>
      <c r="L1256" s="17"/>
      <c r="M1256" s="17"/>
      <c r="N1256" s="17" t="s">
        <v>7745</v>
      </c>
      <c r="O1256" s="17" t="s">
        <v>7883</v>
      </c>
      <c r="P1256" s="17" t="s">
        <v>7940</v>
      </c>
      <c r="Q1256" s="17"/>
      <c r="R1256" s="25" t="str">
        <f>HYPERLINK("https://ictv.global/taxonomy/taxondetails?taxnode_id=202312097","Warwickvirus tiwna")</f>
        <v>Warwickvirus tiwna</v>
      </c>
      <c r="S1256" s="18" t="s">
        <v>30</v>
      </c>
      <c r="T1256" s="18" t="s">
        <v>7953</v>
      </c>
      <c r="U1256" s="18"/>
      <c r="V1256" s="18"/>
      <c r="W1256" s="18" t="s">
        <v>7954</v>
      </c>
      <c r="X1256" s="18" t="s">
        <v>42</v>
      </c>
      <c r="Y1256" s="18" t="s">
        <v>36</v>
      </c>
      <c r="Z1256" s="18" t="s">
        <v>697</v>
      </c>
      <c r="AA1256" s="21" t="str">
        <f>HYPERLINK("https://www.ncbi.nlm.nih.gov/nuccore/MN850643","NCBI Nucleotide")</f>
        <v>NCBI Nucleotide</v>
      </c>
    </row>
    <row r="1257" spans="1:27" x14ac:dyDescent="0.35">
      <c r="A1257">
        <v>1001675</v>
      </c>
      <c r="B1257">
        <v>1256</v>
      </c>
      <c r="C1257">
        <v>1</v>
      </c>
      <c r="D1257" s="17" t="s">
        <v>155</v>
      </c>
      <c r="E1257" s="17"/>
      <c r="F1257" s="17" t="s">
        <v>156</v>
      </c>
      <c r="G1257" s="17"/>
      <c r="H1257" s="17" t="s">
        <v>692</v>
      </c>
      <c r="I1257" s="17"/>
      <c r="J1257" s="17" t="s">
        <v>693</v>
      </c>
      <c r="K1257" s="17"/>
      <c r="L1257" s="17"/>
      <c r="M1257" s="17"/>
      <c r="N1257" s="17" t="s">
        <v>7745</v>
      </c>
      <c r="O1257" s="17" t="s">
        <v>7883</v>
      </c>
      <c r="P1257" s="17" t="s">
        <v>7940</v>
      </c>
      <c r="Q1257" s="17"/>
      <c r="R1257" s="25" t="str">
        <f>HYPERLINK("https://ictv.global/taxonomy/taxondetails?taxnode_id=202312095","Warwickvirus tonijn")</f>
        <v>Warwickvirus tonijn</v>
      </c>
      <c r="S1257" s="18" t="s">
        <v>30</v>
      </c>
      <c r="T1257" s="18" t="s">
        <v>7955</v>
      </c>
      <c r="U1257" s="18"/>
      <c r="V1257" s="18"/>
      <c r="W1257" s="18" t="s">
        <v>7956</v>
      </c>
      <c r="X1257" s="18" t="s">
        <v>42</v>
      </c>
      <c r="Y1257" s="18" t="s">
        <v>36</v>
      </c>
      <c r="Z1257" s="18" t="s">
        <v>697</v>
      </c>
      <c r="AA1257" s="21" t="str">
        <f>HYPERLINK("https://www.ncbi.nlm.nih.gov/nuccore/MN850641","NCBI Nucleotide")</f>
        <v>NCBI Nucleotide</v>
      </c>
    </row>
    <row r="1258" spans="1:27" x14ac:dyDescent="0.35">
      <c r="A1258">
        <v>1001676</v>
      </c>
      <c r="B1258">
        <v>1257</v>
      </c>
      <c r="C1258">
        <v>1</v>
      </c>
      <c r="D1258" s="17" t="s">
        <v>155</v>
      </c>
      <c r="E1258" s="17"/>
      <c r="F1258" s="17" t="s">
        <v>156</v>
      </c>
      <c r="G1258" s="17"/>
      <c r="H1258" s="17" t="s">
        <v>692</v>
      </c>
      <c r="I1258" s="17"/>
      <c r="J1258" s="17" t="s">
        <v>693</v>
      </c>
      <c r="K1258" s="17"/>
      <c r="L1258" s="17"/>
      <c r="M1258" s="17"/>
      <c r="N1258" s="17" t="s">
        <v>7745</v>
      </c>
      <c r="O1258" s="17" t="s">
        <v>7883</v>
      </c>
      <c r="P1258" s="17" t="s">
        <v>7940</v>
      </c>
      <c r="Q1258" s="17"/>
      <c r="R1258" s="25" t="str">
        <f>HYPERLINK("https://ictv.global/taxonomy/taxondetails?taxnode_id=202312092","Warwickvirus tonn")</f>
        <v>Warwickvirus tonn</v>
      </c>
      <c r="S1258" s="18" t="s">
        <v>30</v>
      </c>
      <c r="T1258" s="18" t="s">
        <v>7957</v>
      </c>
      <c r="U1258" s="18"/>
      <c r="V1258" s="18"/>
      <c r="W1258" s="18" t="s">
        <v>7958</v>
      </c>
      <c r="X1258" s="18" t="s">
        <v>42</v>
      </c>
      <c r="Y1258" s="18" t="s">
        <v>36</v>
      </c>
      <c r="Z1258" s="18" t="s">
        <v>697</v>
      </c>
      <c r="AA1258" s="21" t="str">
        <f>HYPERLINK("https://www.ncbi.nlm.nih.gov/nuccore/MN850596","NCBI Nucleotide")</f>
        <v>NCBI Nucleotide</v>
      </c>
    </row>
    <row r="1259" spans="1:27" x14ac:dyDescent="0.35">
      <c r="A1259">
        <v>1001677</v>
      </c>
      <c r="B1259">
        <v>1258</v>
      </c>
      <c r="C1259">
        <v>1</v>
      </c>
      <c r="D1259" s="17" t="s">
        <v>155</v>
      </c>
      <c r="E1259" s="17"/>
      <c r="F1259" s="17" t="s">
        <v>156</v>
      </c>
      <c r="G1259" s="17"/>
      <c r="H1259" s="17" t="s">
        <v>692</v>
      </c>
      <c r="I1259" s="17"/>
      <c r="J1259" s="17" t="s">
        <v>693</v>
      </c>
      <c r="K1259" s="17"/>
      <c r="L1259" s="17"/>
      <c r="M1259" s="17"/>
      <c r="N1259" s="17" t="s">
        <v>7745</v>
      </c>
      <c r="O1259" s="17" t="s">
        <v>7883</v>
      </c>
      <c r="P1259" s="17" t="s">
        <v>7940</v>
      </c>
      <c r="Q1259" s="17"/>
      <c r="R1259" s="25" t="str">
        <f>HYPERLINK("https://ictv.global/taxonomy/taxondetails?taxnode_id=202312094","Warwickvirus tonnikala")</f>
        <v>Warwickvirus tonnikala</v>
      </c>
      <c r="S1259" s="18" t="s">
        <v>30</v>
      </c>
      <c r="T1259" s="18" t="s">
        <v>7959</v>
      </c>
      <c r="U1259" s="18"/>
      <c r="V1259" s="18"/>
      <c r="W1259" s="18" t="s">
        <v>7960</v>
      </c>
      <c r="X1259" s="18" t="s">
        <v>42</v>
      </c>
      <c r="Y1259" s="18" t="s">
        <v>36</v>
      </c>
      <c r="Z1259" s="18" t="s">
        <v>697</v>
      </c>
      <c r="AA1259" s="21" t="str">
        <f>HYPERLINK("https://www.ncbi.nlm.nih.gov/nuccore/MN850613","NCBI Nucleotide")</f>
        <v>NCBI Nucleotide</v>
      </c>
    </row>
    <row r="1260" spans="1:27" x14ac:dyDescent="0.35">
      <c r="A1260">
        <v>1001678</v>
      </c>
      <c r="B1260">
        <v>1259</v>
      </c>
      <c r="C1260">
        <v>1</v>
      </c>
      <c r="D1260" s="17" t="s">
        <v>155</v>
      </c>
      <c r="E1260" s="17"/>
      <c r="F1260" s="17" t="s">
        <v>156</v>
      </c>
      <c r="G1260" s="17"/>
      <c r="H1260" s="17" t="s">
        <v>692</v>
      </c>
      <c r="I1260" s="17"/>
      <c r="J1260" s="17" t="s">
        <v>693</v>
      </c>
      <c r="K1260" s="17"/>
      <c r="L1260" s="17"/>
      <c r="M1260" s="17"/>
      <c r="N1260" s="17" t="s">
        <v>7745</v>
      </c>
      <c r="O1260" s="17" t="s">
        <v>7883</v>
      </c>
      <c r="P1260" s="17" t="s">
        <v>7940</v>
      </c>
      <c r="Q1260" s="17"/>
      <c r="R1260" s="25" t="str">
        <f>HYPERLINK("https://ictv.global/taxonomy/taxondetails?taxnode_id=202312093","Warwickvirus tunus")</f>
        <v>Warwickvirus tunus</v>
      </c>
      <c r="S1260" s="18" t="s">
        <v>30</v>
      </c>
      <c r="T1260" s="18" t="s">
        <v>7961</v>
      </c>
      <c r="U1260" s="18"/>
      <c r="V1260" s="18"/>
      <c r="W1260" s="18" t="s">
        <v>7962</v>
      </c>
      <c r="X1260" s="18" t="s">
        <v>42</v>
      </c>
      <c r="Y1260" s="18" t="s">
        <v>36</v>
      </c>
      <c r="Z1260" s="18" t="s">
        <v>697</v>
      </c>
      <c r="AA1260" s="21" t="str">
        <f>HYPERLINK("https://www.ncbi.nlm.nih.gov/nuccore/MN850638","NCBI Nucleotide")</f>
        <v>NCBI Nucleotide</v>
      </c>
    </row>
    <row r="1261" spans="1:27" x14ac:dyDescent="0.35">
      <c r="A1261">
        <v>1001679</v>
      </c>
      <c r="B1261">
        <v>1260</v>
      </c>
      <c r="C1261">
        <v>1</v>
      </c>
      <c r="D1261" s="17" t="s">
        <v>155</v>
      </c>
      <c r="E1261" s="17"/>
      <c r="F1261" s="17" t="s">
        <v>156</v>
      </c>
      <c r="G1261" s="17"/>
      <c r="H1261" s="17" t="s">
        <v>692</v>
      </c>
      <c r="I1261" s="17"/>
      <c r="J1261" s="17" t="s">
        <v>693</v>
      </c>
      <c r="K1261" s="17"/>
      <c r="L1261" s="17"/>
      <c r="M1261" s="17"/>
      <c r="N1261" s="17" t="s">
        <v>7745</v>
      </c>
      <c r="O1261" s="17" t="s">
        <v>7883</v>
      </c>
      <c r="P1261" s="17" t="s">
        <v>7940</v>
      </c>
      <c r="Q1261" s="17"/>
      <c r="R1261" s="25" t="str">
        <f>HYPERLINK("https://ictv.global/taxonomy/taxondetails?taxnode_id=202308132","Warwickvirus wv95")</f>
        <v>Warwickvirus wv95</v>
      </c>
      <c r="S1261" s="18" t="s">
        <v>30</v>
      </c>
      <c r="T1261" s="18" t="s">
        <v>7963</v>
      </c>
      <c r="U1261" s="18"/>
      <c r="V1261" s="18"/>
      <c r="W1261" s="18" t="s">
        <v>7964</v>
      </c>
      <c r="X1261" s="18" t="s">
        <v>42</v>
      </c>
      <c r="Y1261" s="18" t="s">
        <v>36</v>
      </c>
      <c r="Z1261" s="18" t="s">
        <v>697</v>
      </c>
      <c r="AA1261" s="21" t="str">
        <f>HYPERLINK("https://www.ncbi.nlm.nih.gov/nuccore/MF564201","NCBI Nucleotide")</f>
        <v>NCBI Nucleotide</v>
      </c>
    </row>
    <row r="1262" spans="1:27" x14ac:dyDescent="0.35">
      <c r="A1262">
        <v>1001680</v>
      </c>
      <c r="B1262">
        <v>1261</v>
      </c>
      <c r="C1262">
        <v>1</v>
      </c>
      <c r="D1262" s="17" t="s">
        <v>155</v>
      </c>
      <c r="E1262" s="17"/>
      <c r="F1262" s="17" t="s">
        <v>156</v>
      </c>
      <c r="G1262" s="17"/>
      <c r="H1262" s="17" t="s">
        <v>692</v>
      </c>
      <c r="I1262" s="17"/>
      <c r="J1262" s="17" t="s">
        <v>693</v>
      </c>
      <c r="K1262" s="17"/>
      <c r="L1262" s="17"/>
      <c r="M1262" s="17"/>
      <c r="N1262" s="17" t="s">
        <v>7745</v>
      </c>
      <c r="O1262" s="17" t="s">
        <v>7965</v>
      </c>
      <c r="P1262" s="17" t="s">
        <v>7966</v>
      </c>
      <c r="Q1262" s="17"/>
      <c r="R1262" s="25" t="str">
        <f>HYPERLINK("https://ictv.global/taxonomy/taxondetails?taxnode_id=202308167","Badaguanvirus IME347")</f>
        <v>Badaguanvirus IME347</v>
      </c>
      <c r="S1262" s="18" t="s">
        <v>30</v>
      </c>
      <c r="T1262" s="18" t="s">
        <v>7967</v>
      </c>
      <c r="U1262" s="18"/>
      <c r="V1262" s="18"/>
      <c r="W1262" s="18" t="s">
        <v>7968</v>
      </c>
      <c r="X1262" s="18" t="s">
        <v>42</v>
      </c>
      <c r="Y1262" s="18" t="s">
        <v>36</v>
      </c>
      <c r="Z1262" s="18" t="s">
        <v>697</v>
      </c>
      <c r="AA1262" s="21" t="str">
        <f>HYPERLINK("https://www.ncbi.nlm.nih.gov/nuccore/MH051918","NCBI Nucleotide")</f>
        <v>NCBI Nucleotide</v>
      </c>
    </row>
    <row r="1263" spans="1:27" x14ac:dyDescent="0.35">
      <c r="A1263">
        <v>1024850</v>
      </c>
      <c r="B1263">
        <v>1262</v>
      </c>
      <c r="C1263">
        <v>1</v>
      </c>
      <c r="D1263" s="17" t="s">
        <v>155</v>
      </c>
      <c r="E1263" s="17"/>
      <c r="F1263" s="17" t="s">
        <v>156</v>
      </c>
      <c r="G1263" s="17"/>
      <c r="H1263" s="17" t="s">
        <v>692</v>
      </c>
      <c r="I1263" s="17"/>
      <c r="J1263" s="17" t="s">
        <v>693</v>
      </c>
      <c r="K1263" s="17"/>
      <c r="L1263" s="17"/>
      <c r="M1263" s="17"/>
      <c r="N1263" s="17" t="s">
        <v>7745</v>
      </c>
      <c r="O1263" s="17" t="s">
        <v>7965</v>
      </c>
      <c r="P1263" s="17" t="s">
        <v>7969</v>
      </c>
      <c r="Q1263" s="17"/>
      <c r="R1263" s="25" t="str">
        <f>HYPERLINK("https://ictv.global/taxonomy/taxondetails?taxnode_id=202319408","Sertoctavirus brunomanser")</f>
        <v>Sertoctavirus brunomanser</v>
      </c>
      <c r="S1263" s="18" t="s">
        <v>30</v>
      </c>
      <c r="T1263" s="18" t="s">
        <v>39196</v>
      </c>
      <c r="U1263" s="18" t="s">
        <v>39197</v>
      </c>
      <c r="V1263" s="18"/>
      <c r="W1263" s="18" t="s">
        <v>48035</v>
      </c>
      <c r="X1263" s="18" t="s">
        <v>42</v>
      </c>
      <c r="Y1263" s="18" t="s">
        <v>36</v>
      </c>
      <c r="Z1263" s="18" t="s">
        <v>697</v>
      </c>
      <c r="AA1263" s="21" t="str">
        <f>HYPERLINK("https://www.ncbi.nlm.nih.gov/nuccore/MZ501053","NCBI Nucleotide")</f>
        <v>NCBI Nucleotide</v>
      </c>
    </row>
    <row r="1264" spans="1:27" x14ac:dyDescent="0.35">
      <c r="A1264">
        <v>1001681</v>
      </c>
      <c r="B1264">
        <v>1263</v>
      </c>
      <c r="C1264">
        <v>1</v>
      </c>
      <c r="D1264" s="17" t="s">
        <v>155</v>
      </c>
      <c r="E1264" s="17"/>
      <c r="F1264" s="17" t="s">
        <v>156</v>
      </c>
      <c r="G1264" s="17"/>
      <c r="H1264" s="17" t="s">
        <v>692</v>
      </c>
      <c r="I1264" s="17"/>
      <c r="J1264" s="17" t="s">
        <v>693</v>
      </c>
      <c r="K1264" s="17"/>
      <c r="L1264" s="17"/>
      <c r="M1264" s="17"/>
      <c r="N1264" s="17" t="s">
        <v>7745</v>
      </c>
      <c r="O1264" s="17" t="s">
        <v>7965</v>
      </c>
      <c r="P1264" s="17" t="s">
        <v>7969</v>
      </c>
      <c r="Q1264" s="17"/>
      <c r="R1264" s="25" t="str">
        <f>HYPERLINK("https://ictv.global/taxonomy/taxondetails?taxnode_id=202307071","Sertoctavirus SRT8")</f>
        <v>Sertoctavirus SRT8</v>
      </c>
      <c r="S1264" s="18" t="s">
        <v>30</v>
      </c>
      <c r="T1264" s="18" t="s">
        <v>7970</v>
      </c>
      <c r="U1264" s="18"/>
      <c r="V1264" s="18"/>
      <c r="W1264" s="18" t="s">
        <v>7971</v>
      </c>
      <c r="X1264" s="18" t="s">
        <v>42</v>
      </c>
      <c r="Y1264" s="18" t="s">
        <v>36</v>
      </c>
      <c r="Z1264" s="18" t="s">
        <v>697</v>
      </c>
      <c r="AA1264" s="21" t="str">
        <f>HYPERLINK("https://www.ncbi.nlm.nih.gov/nuccore/MF996376","NCBI Nucleotide")</f>
        <v>NCBI Nucleotide</v>
      </c>
    </row>
    <row r="1265" spans="1:27" x14ac:dyDescent="0.35">
      <c r="A1265">
        <v>1001682</v>
      </c>
      <c r="B1265">
        <v>1264</v>
      </c>
      <c r="C1265">
        <v>1</v>
      </c>
      <c r="D1265" s="17" t="s">
        <v>155</v>
      </c>
      <c r="E1265" s="17"/>
      <c r="F1265" s="17" t="s">
        <v>156</v>
      </c>
      <c r="G1265" s="17"/>
      <c r="H1265" s="17" t="s">
        <v>692</v>
      </c>
      <c r="I1265" s="17"/>
      <c r="J1265" s="17" t="s">
        <v>693</v>
      </c>
      <c r="K1265" s="17"/>
      <c r="L1265" s="17"/>
      <c r="M1265" s="17"/>
      <c r="N1265" s="17" t="s">
        <v>7745</v>
      </c>
      <c r="O1265" s="17" t="s">
        <v>7965</v>
      </c>
      <c r="P1265" s="17" t="s">
        <v>7972</v>
      </c>
      <c r="Q1265" s="17"/>
      <c r="R1265" s="25" t="str">
        <f>HYPERLINK("https://ictv.global/taxonomy/taxondetails?taxnode_id=202300825","Tunavirus ADB2")</f>
        <v>Tunavirus ADB2</v>
      </c>
      <c r="S1265" s="18" t="s">
        <v>30</v>
      </c>
      <c r="T1265" s="18" t="s">
        <v>7973</v>
      </c>
      <c r="U1265" s="18"/>
      <c r="V1265" s="18"/>
      <c r="W1265" s="18" t="s">
        <v>7974</v>
      </c>
      <c r="X1265" s="18" t="s">
        <v>42</v>
      </c>
      <c r="Y1265" s="18" t="s">
        <v>36</v>
      </c>
      <c r="Z1265" s="18" t="s">
        <v>697</v>
      </c>
      <c r="AA1265" s="21" t="str">
        <f>HYPERLINK("https://www.ncbi.nlm.nih.gov/nuccore/JX912252","NCBI Nucleotide")</f>
        <v>NCBI Nucleotide</v>
      </c>
    </row>
    <row r="1266" spans="1:27" x14ac:dyDescent="0.35">
      <c r="A1266">
        <v>1001683</v>
      </c>
      <c r="B1266">
        <v>1265</v>
      </c>
      <c r="C1266">
        <v>1</v>
      </c>
      <c r="D1266" s="17" t="s">
        <v>155</v>
      </c>
      <c r="E1266" s="17"/>
      <c r="F1266" s="17" t="s">
        <v>156</v>
      </c>
      <c r="G1266" s="17"/>
      <c r="H1266" s="17" t="s">
        <v>692</v>
      </c>
      <c r="I1266" s="17"/>
      <c r="J1266" s="17" t="s">
        <v>693</v>
      </c>
      <c r="K1266" s="17"/>
      <c r="L1266" s="17"/>
      <c r="M1266" s="17"/>
      <c r="N1266" s="17" t="s">
        <v>7745</v>
      </c>
      <c r="O1266" s="17" t="s">
        <v>7965</v>
      </c>
      <c r="P1266" s="17" t="s">
        <v>7972</v>
      </c>
      <c r="Q1266" s="17"/>
      <c r="R1266" s="25" t="str">
        <f>HYPERLINK("https://ictv.global/taxonomy/taxondetails?taxnode_id=202308160","Tunavirus BIFF")</f>
        <v>Tunavirus BIFF</v>
      </c>
      <c r="S1266" s="18" t="s">
        <v>30</v>
      </c>
      <c r="T1266" s="18" t="s">
        <v>7975</v>
      </c>
      <c r="U1266" s="18"/>
      <c r="V1266" s="18"/>
      <c r="W1266" s="18" t="s">
        <v>7976</v>
      </c>
      <c r="X1266" s="18" t="s">
        <v>42</v>
      </c>
      <c r="Y1266" s="18" t="s">
        <v>36</v>
      </c>
      <c r="Z1266" s="18" t="s">
        <v>697</v>
      </c>
      <c r="AA1266" s="21" t="str">
        <f>HYPERLINK("https://www.ncbi.nlm.nih.gov/nuccore/MH285980","NCBI Nucleotide")</f>
        <v>NCBI Nucleotide</v>
      </c>
    </row>
    <row r="1267" spans="1:27" x14ac:dyDescent="0.35">
      <c r="A1267">
        <v>1024946</v>
      </c>
      <c r="B1267">
        <v>1266</v>
      </c>
      <c r="C1267">
        <v>1</v>
      </c>
      <c r="D1267" s="17" t="s">
        <v>155</v>
      </c>
      <c r="E1267" s="17"/>
      <c r="F1267" s="17" t="s">
        <v>156</v>
      </c>
      <c r="G1267" s="17"/>
      <c r="H1267" s="17" t="s">
        <v>692</v>
      </c>
      <c r="I1267" s="17"/>
      <c r="J1267" s="17" t="s">
        <v>693</v>
      </c>
      <c r="K1267" s="17"/>
      <c r="L1267" s="17"/>
      <c r="M1267" s="17"/>
      <c r="N1267" s="17" t="s">
        <v>7745</v>
      </c>
      <c r="O1267" s="17" t="s">
        <v>7965</v>
      </c>
      <c r="P1267" s="17" t="s">
        <v>7972</v>
      </c>
      <c r="Q1267" s="17"/>
      <c r="R1267" s="25" t="str">
        <f>HYPERLINK("https://ictv.global/taxonomy/taxondetails?taxnode_id=202319400","Tunavirus chapo")</f>
        <v>Tunavirus chapo</v>
      </c>
      <c r="S1267" s="18" t="s">
        <v>30</v>
      </c>
      <c r="T1267" s="18" t="s">
        <v>39198</v>
      </c>
      <c r="U1267" s="18" t="s">
        <v>39199</v>
      </c>
      <c r="V1267" s="18"/>
      <c r="W1267" s="18" t="s">
        <v>48036</v>
      </c>
      <c r="X1267" s="18" t="s">
        <v>42</v>
      </c>
      <c r="Y1267" s="18" t="s">
        <v>36</v>
      </c>
      <c r="Z1267" s="18" t="s">
        <v>697</v>
      </c>
      <c r="AA1267" s="21" t="str">
        <f>HYPERLINK("https://www.ncbi.nlm.nih.gov/nuccore/MT682715","NCBI Nucleotide")</f>
        <v>NCBI Nucleotide</v>
      </c>
    </row>
    <row r="1268" spans="1:27" x14ac:dyDescent="0.35">
      <c r="A1268">
        <v>1024947</v>
      </c>
      <c r="B1268">
        <v>1267</v>
      </c>
      <c r="C1268">
        <v>1</v>
      </c>
      <c r="D1268" s="17" t="s">
        <v>155</v>
      </c>
      <c r="E1268" s="17"/>
      <c r="F1268" s="17" t="s">
        <v>156</v>
      </c>
      <c r="G1268" s="17"/>
      <c r="H1268" s="17" t="s">
        <v>692</v>
      </c>
      <c r="I1268" s="17"/>
      <c r="J1268" s="17" t="s">
        <v>693</v>
      </c>
      <c r="K1268" s="17"/>
      <c r="L1268" s="17"/>
      <c r="M1268" s="17"/>
      <c r="N1268" s="17" t="s">
        <v>7745</v>
      </c>
      <c r="O1268" s="17" t="s">
        <v>7965</v>
      </c>
      <c r="P1268" s="17" t="s">
        <v>7972</v>
      </c>
      <c r="Q1268" s="17"/>
      <c r="R1268" s="25" t="str">
        <f>HYPERLINK("https://ictv.global/taxonomy/taxondetails?taxnode_id=202319406","Tunavirus CLBP3")</f>
        <v>Tunavirus CLBP3</v>
      </c>
      <c r="S1268" s="18" t="s">
        <v>30</v>
      </c>
      <c r="T1268" s="18" t="s">
        <v>39200</v>
      </c>
      <c r="U1268" s="18" t="s">
        <v>39201</v>
      </c>
      <c r="V1268" s="18"/>
      <c r="W1268" s="18" t="s">
        <v>48037</v>
      </c>
      <c r="X1268" s="18" t="s">
        <v>42</v>
      </c>
      <c r="Y1268" s="18" t="s">
        <v>36</v>
      </c>
      <c r="Z1268" s="18" t="s">
        <v>697</v>
      </c>
      <c r="AA1268" s="21" t="str">
        <f>HYPERLINK("https://www.ncbi.nlm.nih.gov/nuccore/OL800706","NCBI Nucleotide")</f>
        <v>NCBI Nucleotide</v>
      </c>
    </row>
    <row r="1269" spans="1:27" x14ac:dyDescent="0.35">
      <c r="A1269">
        <v>1001684</v>
      </c>
      <c r="B1269">
        <v>1268</v>
      </c>
      <c r="C1269">
        <v>1</v>
      </c>
      <c r="D1269" s="17" t="s">
        <v>155</v>
      </c>
      <c r="E1269" s="17"/>
      <c r="F1269" s="17" t="s">
        <v>156</v>
      </c>
      <c r="G1269" s="17"/>
      <c r="H1269" s="17" t="s">
        <v>692</v>
      </c>
      <c r="I1269" s="17"/>
      <c r="J1269" s="17" t="s">
        <v>693</v>
      </c>
      <c r="K1269" s="17"/>
      <c r="L1269" s="17"/>
      <c r="M1269" s="17"/>
      <c r="N1269" s="17" t="s">
        <v>7745</v>
      </c>
      <c r="O1269" s="17" t="s">
        <v>7965</v>
      </c>
      <c r="P1269" s="17" t="s">
        <v>7972</v>
      </c>
      <c r="Q1269" s="17"/>
      <c r="R1269" s="25" t="str">
        <f>HYPERLINK("https://ictv.global/taxonomy/taxondetails?taxnode_id=202312057","Tunavirus DELF2")</f>
        <v>Tunavirus DELF2</v>
      </c>
      <c r="S1269" s="18" t="s">
        <v>30</v>
      </c>
      <c r="T1269" s="18" t="s">
        <v>7977</v>
      </c>
      <c r="U1269" s="18"/>
      <c r="V1269" s="18"/>
      <c r="W1269" s="18" t="s">
        <v>7978</v>
      </c>
      <c r="X1269" s="18" t="s">
        <v>42</v>
      </c>
      <c r="Y1269" s="18" t="s">
        <v>36</v>
      </c>
      <c r="Z1269" s="18" t="s">
        <v>697</v>
      </c>
      <c r="AA1269" s="21" t="str">
        <f>HYPERLINK("https://www.ncbi.nlm.nih.gov/nuccore/LC516895","NCBI Nucleotide")</f>
        <v>NCBI Nucleotide</v>
      </c>
    </row>
    <row r="1270" spans="1:27" x14ac:dyDescent="0.35">
      <c r="A1270">
        <v>1001685</v>
      </c>
      <c r="B1270">
        <v>1269</v>
      </c>
      <c r="C1270">
        <v>1</v>
      </c>
      <c r="D1270" s="17" t="s">
        <v>155</v>
      </c>
      <c r="E1270" s="17"/>
      <c r="F1270" s="17" t="s">
        <v>156</v>
      </c>
      <c r="G1270" s="17"/>
      <c r="H1270" s="17" t="s">
        <v>692</v>
      </c>
      <c r="I1270" s="17"/>
      <c r="J1270" s="17" t="s">
        <v>693</v>
      </c>
      <c r="K1270" s="17"/>
      <c r="L1270" s="17"/>
      <c r="M1270" s="17"/>
      <c r="N1270" s="17" t="s">
        <v>7745</v>
      </c>
      <c r="O1270" s="17" t="s">
        <v>7965</v>
      </c>
      <c r="P1270" s="17" t="s">
        <v>7972</v>
      </c>
      <c r="Q1270" s="17"/>
      <c r="R1270" s="25" t="str">
        <f>HYPERLINK("https://ictv.global/taxonomy/taxondetails?taxnode_id=202308164","Tunavirus IME18")</f>
        <v>Tunavirus IME18</v>
      </c>
      <c r="S1270" s="18" t="s">
        <v>30</v>
      </c>
      <c r="T1270" s="18" t="s">
        <v>7979</v>
      </c>
      <c r="U1270" s="18"/>
      <c r="V1270" s="18"/>
      <c r="W1270" s="18" t="s">
        <v>7980</v>
      </c>
      <c r="X1270" s="18" t="s">
        <v>42</v>
      </c>
      <c r="Y1270" s="18" t="s">
        <v>36</v>
      </c>
      <c r="Z1270" s="18" t="s">
        <v>697</v>
      </c>
      <c r="AA1270" s="21" t="str">
        <f>HYPERLINK("https://www.ncbi.nlm.nih.gov/nuccore/MH051911","NCBI Nucleotide")</f>
        <v>NCBI Nucleotide</v>
      </c>
    </row>
    <row r="1271" spans="1:27" x14ac:dyDescent="0.35">
      <c r="A1271">
        <v>1001686</v>
      </c>
      <c r="B1271">
        <v>1270</v>
      </c>
      <c r="C1271">
        <v>1</v>
      </c>
      <c r="D1271" s="17" t="s">
        <v>155</v>
      </c>
      <c r="E1271" s="17"/>
      <c r="F1271" s="17" t="s">
        <v>156</v>
      </c>
      <c r="G1271" s="17"/>
      <c r="H1271" s="17" t="s">
        <v>692</v>
      </c>
      <c r="I1271" s="17"/>
      <c r="J1271" s="17" t="s">
        <v>693</v>
      </c>
      <c r="K1271" s="17"/>
      <c r="L1271" s="17"/>
      <c r="M1271" s="17"/>
      <c r="N1271" s="17" t="s">
        <v>7745</v>
      </c>
      <c r="O1271" s="17" t="s">
        <v>7965</v>
      </c>
      <c r="P1271" s="17" t="s">
        <v>7972</v>
      </c>
      <c r="Q1271" s="17"/>
      <c r="R1271" s="25" t="str">
        <f>HYPERLINK("https://ictv.global/taxonomy/taxondetails?taxnode_id=202308161","Tunavirus ISF001")</f>
        <v>Tunavirus ISF001</v>
      </c>
      <c r="S1271" s="18" t="s">
        <v>30</v>
      </c>
      <c r="T1271" s="18" t="s">
        <v>7981</v>
      </c>
      <c r="U1271" s="18"/>
      <c r="V1271" s="18"/>
      <c r="W1271" s="18" t="s">
        <v>7982</v>
      </c>
      <c r="X1271" s="18" t="s">
        <v>42</v>
      </c>
      <c r="Y1271" s="18" t="s">
        <v>36</v>
      </c>
      <c r="Z1271" s="18" t="s">
        <v>697</v>
      </c>
      <c r="AA1271" s="21" t="str">
        <f>HYPERLINK("https://www.ncbi.nlm.nih.gov/nuccore/MG049919","NCBI Nucleotide")</f>
        <v>NCBI Nucleotide</v>
      </c>
    </row>
    <row r="1272" spans="1:27" x14ac:dyDescent="0.35">
      <c r="A1272">
        <v>1001687</v>
      </c>
      <c r="B1272">
        <v>1271</v>
      </c>
      <c r="C1272">
        <v>1</v>
      </c>
      <c r="D1272" s="17" t="s">
        <v>155</v>
      </c>
      <c r="E1272" s="17"/>
      <c r="F1272" s="17" t="s">
        <v>156</v>
      </c>
      <c r="G1272" s="17"/>
      <c r="H1272" s="17" t="s">
        <v>692</v>
      </c>
      <c r="I1272" s="17"/>
      <c r="J1272" s="17" t="s">
        <v>693</v>
      </c>
      <c r="K1272" s="17"/>
      <c r="L1272" s="17"/>
      <c r="M1272" s="17"/>
      <c r="N1272" s="17" t="s">
        <v>7745</v>
      </c>
      <c r="O1272" s="17" t="s">
        <v>7965</v>
      </c>
      <c r="P1272" s="17" t="s">
        <v>7972</v>
      </c>
      <c r="Q1272" s="17"/>
      <c r="R1272" s="25" t="str">
        <f>HYPERLINK("https://ictv.global/taxonomy/taxondetails?taxnode_id=202307089","Tunavirus ISF002")</f>
        <v>Tunavirus ISF002</v>
      </c>
      <c r="S1272" s="18" t="s">
        <v>30</v>
      </c>
      <c r="T1272" s="18" t="s">
        <v>7983</v>
      </c>
      <c r="U1272" s="18"/>
      <c r="V1272" s="18"/>
      <c r="W1272" s="18" t="s">
        <v>7984</v>
      </c>
      <c r="X1272" s="18" t="s">
        <v>42</v>
      </c>
      <c r="Y1272" s="18" t="s">
        <v>36</v>
      </c>
      <c r="Z1272" s="18" t="s">
        <v>697</v>
      </c>
      <c r="AA1272" s="21" t="str">
        <f>HYPERLINK("https://www.ncbi.nlm.nih.gov/nuccore/MF093736","NCBI Nucleotide")</f>
        <v>NCBI Nucleotide</v>
      </c>
    </row>
    <row r="1273" spans="1:27" x14ac:dyDescent="0.35">
      <c r="A1273">
        <v>1001688</v>
      </c>
      <c r="B1273">
        <v>1272</v>
      </c>
      <c r="C1273">
        <v>1</v>
      </c>
      <c r="D1273" s="17" t="s">
        <v>155</v>
      </c>
      <c r="E1273" s="17"/>
      <c r="F1273" s="17" t="s">
        <v>156</v>
      </c>
      <c r="G1273" s="17"/>
      <c r="H1273" s="17" t="s">
        <v>692</v>
      </c>
      <c r="I1273" s="17"/>
      <c r="J1273" s="17" t="s">
        <v>693</v>
      </c>
      <c r="K1273" s="17"/>
      <c r="L1273" s="17"/>
      <c r="M1273" s="17"/>
      <c r="N1273" s="17" t="s">
        <v>7745</v>
      </c>
      <c r="O1273" s="17" t="s">
        <v>7965</v>
      </c>
      <c r="P1273" s="17" t="s">
        <v>7972</v>
      </c>
      <c r="Q1273" s="17"/>
      <c r="R1273" s="25" t="str">
        <f>HYPERLINK("https://ictv.global/taxonomy/taxondetails?taxnode_id=202300826","Tunavirus JMPW1")</f>
        <v>Tunavirus JMPW1</v>
      </c>
      <c r="S1273" s="18" t="s">
        <v>30</v>
      </c>
      <c r="T1273" s="18" t="s">
        <v>7985</v>
      </c>
      <c r="U1273" s="18"/>
      <c r="V1273" s="18"/>
      <c r="W1273" s="18" t="s">
        <v>7986</v>
      </c>
      <c r="X1273" s="18" t="s">
        <v>42</v>
      </c>
      <c r="Y1273" s="18" t="s">
        <v>36</v>
      </c>
      <c r="Z1273" s="18" t="s">
        <v>697</v>
      </c>
      <c r="AA1273" s="21" t="str">
        <f>HYPERLINK("https://www.ncbi.nlm.nih.gov/nuccore/KU194206","NCBI Nucleotide")</f>
        <v>NCBI Nucleotide</v>
      </c>
    </row>
    <row r="1274" spans="1:27" x14ac:dyDescent="0.35">
      <c r="A1274">
        <v>1001689</v>
      </c>
      <c r="B1274">
        <v>1273</v>
      </c>
      <c r="C1274">
        <v>1</v>
      </c>
      <c r="D1274" s="17" t="s">
        <v>155</v>
      </c>
      <c r="E1274" s="17"/>
      <c r="F1274" s="17" t="s">
        <v>156</v>
      </c>
      <c r="G1274" s="17"/>
      <c r="H1274" s="17" t="s">
        <v>692</v>
      </c>
      <c r="I1274" s="17"/>
      <c r="J1274" s="17" t="s">
        <v>693</v>
      </c>
      <c r="K1274" s="17"/>
      <c r="L1274" s="17"/>
      <c r="M1274" s="17"/>
      <c r="N1274" s="17" t="s">
        <v>7745</v>
      </c>
      <c r="O1274" s="17" t="s">
        <v>7965</v>
      </c>
      <c r="P1274" s="17" t="s">
        <v>7972</v>
      </c>
      <c r="Q1274" s="17"/>
      <c r="R1274" s="25" t="str">
        <f>HYPERLINK("https://ictv.global/taxonomy/taxondetails?taxnode_id=202300827","Tunavirus JMPW2")</f>
        <v>Tunavirus JMPW2</v>
      </c>
      <c r="S1274" s="18" t="s">
        <v>30</v>
      </c>
      <c r="T1274" s="18" t="s">
        <v>7987</v>
      </c>
      <c r="U1274" s="18"/>
      <c r="V1274" s="18"/>
      <c r="W1274" s="18" t="s">
        <v>7988</v>
      </c>
      <c r="X1274" s="18" t="s">
        <v>42</v>
      </c>
      <c r="Y1274" s="18" t="s">
        <v>36</v>
      </c>
      <c r="Z1274" s="18" t="s">
        <v>697</v>
      </c>
      <c r="AA1274" s="21" t="str">
        <f>HYPERLINK("https://www.ncbi.nlm.nih.gov/nuccore/KU194205","NCBI Nucleotide")</f>
        <v>NCBI Nucleotide</v>
      </c>
    </row>
    <row r="1275" spans="1:27" x14ac:dyDescent="0.35">
      <c r="A1275">
        <v>1024948</v>
      </c>
      <c r="B1275">
        <v>1274</v>
      </c>
      <c r="C1275">
        <v>1</v>
      </c>
      <c r="D1275" s="17" t="s">
        <v>155</v>
      </c>
      <c r="E1275" s="17"/>
      <c r="F1275" s="17" t="s">
        <v>156</v>
      </c>
      <c r="G1275" s="17"/>
      <c r="H1275" s="17" t="s">
        <v>692</v>
      </c>
      <c r="I1275" s="17"/>
      <c r="J1275" s="17" t="s">
        <v>693</v>
      </c>
      <c r="K1275" s="17"/>
      <c r="L1275" s="17"/>
      <c r="M1275" s="17"/>
      <c r="N1275" s="17" t="s">
        <v>7745</v>
      </c>
      <c r="O1275" s="17" t="s">
        <v>7965</v>
      </c>
      <c r="P1275" s="17" t="s">
        <v>7972</v>
      </c>
      <c r="Q1275" s="17"/>
      <c r="R1275" s="25" t="str">
        <f>HYPERLINK("https://ictv.global/taxonomy/taxondetails?taxnode_id=202319407","Tunavirus leonhardeuler")</f>
        <v>Tunavirus leonhardeuler</v>
      </c>
      <c r="S1275" s="18" t="s">
        <v>30</v>
      </c>
      <c r="T1275" s="18" t="s">
        <v>39202</v>
      </c>
      <c r="U1275" s="18" t="s">
        <v>39203</v>
      </c>
      <c r="V1275" s="18"/>
      <c r="W1275" s="18" t="s">
        <v>48038</v>
      </c>
      <c r="X1275" s="18" t="s">
        <v>42</v>
      </c>
      <c r="Y1275" s="18" t="s">
        <v>36</v>
      </c>
      <c r="Z1275" s="18" t="s">
        <v>697</v>
      </c>
      <c r="AA1275" s="21" t="str">
        <f>HYPERLINK("https://www.ncbi.nlm.nih.gov/nuccore/MZ501092","NCBI Nucleotide")</f>
        <v>NCBI Nucleotide</v>
      </c>
    </row>
    <row r="1276" spans="1:27" x14ac:dyDescent="0.35">
      <c r="A1276">
        <v>1024949</v>
      </c>
      <c r="B1276">
        <v>1275</v>
      </c>
      <c r="C1276">
        <v>1</v>
      </c>
      <c r="D1276" s="17" t="s">
        <v>155</v>
      </c>
      <c r="E1276" s="17"/>
      <c r="F1276" s="17" t="s">
        <v>156</v>
      </c>
      <c r="G1276" s="17"/>
      <c r="H1276" s="17" t="s">
        <v>692</v>
      </c>
      <c r="I1276" s="17"/>
      <c r="J1276" s="17" t="s">
        <v>693</v>
      </c>
      <c r="K1276" s="17"/>
      <c r="L1276" s="17"/>
      <c r="M1276" s="17"/>
      <c r="N1276" s="17" t="s">
        <v>7745</v>
      </c>
      <c r="O1276" s="17" t="s">
        <v>7965</v>
      </c>
      <c r="P1276" s="17" t="s">
        <v>7972</v>
      </c>
      <c r="Q1276" s="17"/>
      <c r="R1276" s="25" t="str">
        <f>HYPERLINK("https://ictv.global/taxonomy/taxondetails?taxnode_id=202319404","Tunavirus Lg3")</f>
        <v>Tunavirus Lg3</v>
      </c>
      <c r="S1276" s="18" t="s">
        <v>30</v>
      </c>
      <c r="T1276" s="18" t="s">
        <v>39204</v>
      </c>
      <c r="U1276" s="18" t="s">
        <v>39205</v>
      </c>
      <c r="V1276" s="18"/>
      <c r="W1276" s="18" t="s">
        <v>48039</v>
      </c>
      <c r="X1276" s="18" t="s">
        <v>42</v>
      </c>
      <c r="Y1276" s="18" t="s">
        <v>36</v>
      </c>
      <c r="Z1276" s="18" t="s">
        <v>697</v>
      </c>
      <c r="AA1276" s="21" t="str">
        <f>HYPERLINK("https://www.ncbi.nlm.nih.gov/nuccore/OP094641","NCBI Nucleotide")</f>
        <v>NCBI Nucleotide</v>
      </c>
    </row>
    <row r="1277" spans="1:27" x14ac:dyDescent="0.35">
      <c r="A1277">
        <v>1024950</v>
      </c>
      <c r="B1277">
        <v>1276</v>
      </c>
      <c r="C1277">
        <v>1</v>
      </c>
      <c r="D1277" s="17" t="s">
        <v>155</v>
      </c>
      <c r="E1277" s="17"/>
      <c r="F1277" s="17" t="s">
        <v>156</v>
      </c>
      <c r="G1277" s="17"/>
      <c r="H1277" s="17" t="s">
        <v>692</v>
      </c>
      <c r="I1277" s="17"/>
      <c r="J1277" s="17" t="s">
        <v>693</v>
      </c>
      <c r="K1277" s="17"/>
      <c r="L1277" s="17"/>
      <c r="M1277" s="17"/>
      <c r="N1277" s="17" t="s">
        <v>7745</v>
      </c>
      <c r="O1277" s="17" t="s">
        <v>7965</v>
      </c>
      <c r="P1277" s="17" t="s">
        <v>7972</v>
      </c>
      <c r="Q1277" s="17"/>
      <c r="R1277" s="25" t="str">
        <f>HYPERLINK("https://ictv.global/taxonomy/taxondetails?taxnode_id=202319405","Tunavirus LHE71")</f>
        <v>Tunavirus LHE71</v>
      </c>
      <c r="S1277" s="18" t="s">
        <v>30</v>
      </c>
      <c r="T1277" s="18" t="s">
        <v>39206</v>
      </c>
      <c r="U1277" s="18" t="s">
        <v>39207</v>
      </c>
      <c r="V1277" s="18"/>
      <c r="W1277" s="18" t="s">
        <v>48040</v>
      </c>
      <c r="X1277" s="18" t="s">
        <v>42</v>
      </c>
      <c r="Y1277" s="18" t="s">
        <v>36</v>
      </c>
      <c r="Z1277" s="18" t="s">
        <v>697</v>
      </c>
      <c r="AA1277" s="21" t="str">
        <f>HYPERLINK("https://www.ncbi.nlm.nih.gov/nuccore/OP455115","NCBI Nucleotide")</f>
        <v>NCBI Nucleotide</v>
      </c>
    </row>
    <row r="1278" spans="1:27" x14ac:dyDescent="0.35">
      <c r="A1278">
        <v>1001690</v>
      </c>
      <c r="B1278">
        <v>1277</v>
      </c>
      <c r="C1278">
        <v>1</v>
      </c>
      <c r="D1278" s="17" t="s">
        <v>155</v>
      </c>
      <c r="E1278" s="17"/>
      <c r="F1278" s="17" t="s">
        <v>156</v>
      </c>
      <c r="G1278" s="17"/>
      <c r="H1278" s="17" t="s">
        <v>692</v>
      </c>
      <c r="I1278" s="17"/>
      <c r="J1278" s="17" t="s">
        <v>693</v>
      </c>
      <c r="K1278" s="17"/>
      <c r="L1278" s="17"/>
      <c r="M1278" s="17"/>
      <c r="N1278" s="17" t="s">
        <v>7745</v>
      </c>
      <c r="O1278" s="17" t="s">
        <v>7965</v>
      </c>
      <c r="P1278" s="17" t="s">
        <v>7972</v>
      </c>
      <c r="Q1278" s="17"/>
      <c r="R1278" s="25" t="str">
        <f>HYPERLINK("https://ictv.global/taxonomy/taxondetails?taxnode_id=202300829","Tunavirus PSf2")</f>
        <v>Tunavirus PSf2</v>
      </c>
      <c r="S1278" s="18" t="s">
        <v>30</v>
      </c>
      <c r="T1278" s="18" t="s">
        <v>7989</v>
      </c>
      <c r="U1278" s="18"/>
      <c r="V1278" s="18"/>
      <c r="W1278" s="18" t="s">
        <v>7990</v>
      </c>
      <c r="X1278" s="18" t="s">
        <v>42</v>
      </c>
      <c r="Y1278" s="18" t="s">
        <v>36</v>
      </c>
      <c r="Z1278" s="18" t="s">
        <v>697</v>
      </c>
      <c r="AA1278" s="21" t="str">
        <f>HYPERLINK("https://www.ncbi.nlm.nih.gov/nuccore/KP085586","NCBI Nucleotide")</f>
        <v>NCBI Nucleotide</v>
      </c>
    </row>
    <row r="1279" spans="1:27" x14ac:dyDescent="0.35">
      <c r="A1279">
        <v>1024951</v>
      </c>
      <c r="B1279">
        <v>1278</v>
      </c>
      <c r="C1279">
        <v>1</v>
      </c>
      <c r="D1279" s="17" t="s">
        <v>155</v>
      </c>
      <c r="E1279" s="17"/>
      <c r="F1279" s="17" t="s">
        <v>156</v>
      </c>
      <c r="G1279" s="17"/>
      <c r="H1279" s="17" t="s">
        <v>692</v>
      </c>
      <c r="I1279" s="17"/>
      <c r="J1279" s="17" t="s">
        <v>693</v>
      </c>
      <c r="K1279" s="17"/>
      <c r="L1279" s="17"/>
      <c r="M1279" s="17"/>
      <c r="N1279" s="17" t="s">
        <v>7745</v>
      </c>
      <c r="O1279" s="17" t="s">
        <v>7965</v>
      </c>
      <c r="P1279" s="17" t="s">
        <v>7972</v>
      </c>
      <c r="Q1279" s="17"/>
      <c r="R1279" s="25" t="str">
        <f>HYPERLINK("https://ictv.global/taxonomy/taxondetails?taxnode_id=202319403","Tunavirus S202")</f>
        <v>Tunavirus S202</v>
      </c>
      <c r="S1279" s="18" t="s">
        <v>30</v>
      </c>
      <c r="T1279" s="18" t="s">
        <v>39208</v>
      </c>
      <c r="U1279" s="18" t="s">
        <v>39209</v>
      </c>
      <c r="V1279" s="18"/>
      <c r="W1279" s="18" t="s">
        <v>48041</v>
      </c>
      <c r="X1279" s="18" t="s">
        <v>42</v>
      </c>
      <c r="Y1279" s="18" t="s">
        <v>36</v>
      </c>
      <c r="Z1279" s="18" t="s">
        <v>697</v>
      </c>
      <c r="AA1279" s="21" t="str">
        <f>HYPERLINK("https://www.ncbi.nlm.nih.gov/nuccore/OQ223306","NCBI Nucleotide")</f>
        <v>NCBI Nucleotide</v>
      </c>
    </row>
    <row r="1280" spans="1:27" x14ac:dyDescent="0.35">
      <c r="A1280">
        <v>1024952</v>
      </c>
      <c r="B1280">
        <v>1279</v>
      </c>
      <c r="C1280">
        <v>1</v>
      </c>
      <c r="D1280" s="17" t="s">
        <v>155</v>
      </c>
      <c r="E1280" s="17"/>
      <c r="F1280" s="17" t="s">
        <v>156</v>
      </c>
      <c r="G1280" s="17"/>
      <c r="H1280" s="17" t="s">
        <v>692</v>
      </c>
      <c r="I1280" s="17"/>
      <c r="J1280" s="17" t="s">
        <v>693</v>
      </c>
      <c r="K1280" s="17"/>
      <c r="L1280" s="17"/>
      <c r="M1280" s="17"/>
      <c r="N1280" s="17" t="s">
        <v>7745</v>
      </c>
      <c r="O1280" s="17" t="s">
        <v>7965</v>
      </c>
      <c r="P1280" s="17" t="s">
        <v>7972</v>
      </c>
      <c r="Q1280" s="17"/>
      <c r="R1280" s="25" t="str">
        <f>HYPERLINK("https://ictv.global/taxonomy/taxondetails?taxnode_id=202319399","Tunavirus SA12KD")</f>
        <v>Tunavirus SA12KD</v>
      </c>
      <c r="S1280" s="18" t="s">
        <v>30</v>
      </c>
      <c r="T1280" s="18" t="s">
        <v>39210</v>
      </c>
      <c r="U1280" s="18" t="s">
        <v>39211</v>
      </c>
      <c r="V1280" s="18"/>
      <c r="W1280" s="18" t="s">
        <v>48042</v>
      </c>
      <c r="X1280" s="18" t="s">
        <v>42</v>
      </c>
      <c r="Y1280" s="18" t="s">
        <v>36</v>
      </c>
      <c r="Z1280" s="18" t="s">
        <v>697</v>
      </c>
      <c r="AA1280" s="21" t="str">
        <f>HYPERLINK("https://www.ncbi.nlm.nih.gov/nuccore/OL960582","NCBI Nucleotide")</f>
        <v>NCBI Nucleotide</v>
      </c>
    </row>
    <row r="1281" spans="1:27" x14ac:dyDescent="0.35">
      <c r="A1281">
        <v>1024953</v>
      </c>
      <c r="B1281">
        <v>1280</v>
      </c>
      <c r="C1281">
        <v>1</v>
      </c>
      <c r="D1281" s="17" t="s">
        <v>155</v>
      </c>
      <c r="E1281" s="17"/>
      <c r="F1281" s="17" t="s">
        <v>156</v>
      </c>
      <c r="G1281" s="17"/>
      <c r="H1281" s="17" t="s">
        <v>692</v>
      </c>
      <c r="I1281" s="17"/>
      <c r="J1281" s="17" t="s">
        <v>693</v>
      </c>
      <c r="K1281" s="17"/>
      <c r="L1281" s="17"/>
      <c r="M1281" s="17"/>
      <c r="N1281" s="17" t="s">
        <v>7745</v>
      </c>
      <c r="O1281" s="17" t="s">
        <v>7965</v>
      </c>
      <c r="P1281" s="17" t="s">
        <v>7972</v>
      </c>
      <c r="Q1281" s="17"/>
      <c r="R1281" s="25" t="str">
        <f>HYPERLINK("https://ictv.global/taxonomy/taxondetails?taxnode_id=202319401","Tunavirus SA30RD")</f>
        <v>Tunavirus SA30RD</v>
      </c>
      <c r="S1281" s="18" t="s">
        <v>30</v>
      </c>
      <c r="T1281" s="18" t="s">
        <v>39212</v>
      </c>
      <c r="U1281" s="18" t="s">
        <v>39213</v>
      </c>
      <c r="V1281" s="18"/>
      <c r="W1281" s="18" t="s">
        <v>48043</v>
      </c>
      <c r="X1281" s="18" t="s">
        <v>42</v>
      </c>
      <c r="Y1281" s="18" t="s">
        <v>36</v>
      </c>
      <c r="Z1281" s="18" t="s">
        <v>697</v>
      </c>
      <c r="AA1281" s="21" t="str">
        <f>HYPERLINK("https://www.ncbi.nlm.nih.gov/nuccore/OL960579","NCBI Nucleotide")</f>
        <v>NCBI Nucleotide</v>
      </c>
    </row>
    <row r="1282" spans="1:27" x14ac:dyDescent="0.35">
      <c r="A1282">
        <v>1024954</v>
      </c>
      <c r="B1282">
        <v>1281</v>
      </c>
      <c r="C1282">
        <v>1</v>
      </c>
      <c r="D1282" s="17" t="s">
        <v>155</v>
      </c>
      <c r="E1282" s="17"/>
      <c r="F1282" s="17" t="s">
        <v>156</v>
      </c>
      <c r="G1282" s="17"/>
      <c r="H1282" s="17" t="s">
        <v>692</v>
      </c>
      <c r="I1282" s="17"/>
      <c r="J1282" s="17" t="s">
        <v>693</v>
      </c>
      <c r="K1282" s="17"/>
      <c r="L1282" s="17"/>
      <c r="M1282" s="17"/>
      <c r="N1282" s="17" t="s">
        <v>7745</v>
      </c>
      <c r="O1282" s="17" t="s">
        <v>7965</v>
      </c>
      <c r="P1282" s="17" t="s">
        <v>7972</v>
      </c>
      <c r="Q1282" s="17"/>
      <c r="R1282" s="25" t="str">
        <f>HYPERLINK("https://ictv.global/taxonomy/taxondetails?taxnode_id=202319402","Tunavirus SA32RD")</f>
        <v>Tunavirus SA32RD</v>
      </c>
      <c r="S1282" s="18" t="s">
        <v>30</v>
      </c>
      <c r="T1282" s="18" t="s">
        <v>39214</v>
      </c>
      <c r="U1282" s="18" t="s">
        <v>39215</v>
      </c>
      <c r="V1282" s="18"/>
      <c r="W1282" s="18" t="s">
        <v>48044</v>
      </c>
      <c r="X1282" s="18" t="s">
        <v>42</v>
      </c>
      <c r="Y1282" s="18" t="s">
        <v>36</v>
      </c>
      <c r="Z1282" s="18" t="s">
        <v>697</v>
      </c>
      <c r="AA1282" s="21" t="str">
        <f>HYPERLINK("https://www.ncbi.nlm.nih.gov/nuccore/OL960578","NCBI Nucleotide")</f>
        <v>NCBI Nucleotide</v>
      </c>
    </row>
    <row r="1283" spans="1:27" x14ac:dyDescent="0.35">
      <c r="A1283">
        <v>1001691</v>
      </c>
      <c r="B1283">
        <v>1282</v>
      </c>
      <c r="C1283">
        <v>1</v>
      </c>
      <c r="D1283" s="17" t="s">
        <v>155</v>
      </c>
      <c r="E1283" s="17"/>
      <c r="F1283" s="17" t="s">
        <v>156</v>
      </c>
      <c r="G1283" s="17"/>
      <c r="H1283" s="17" t="s">
        <v>692</v>
      </c>
      <c r="I1283" s="17"/>
      <c r="J1283" s="17" t="s">
        <v>693</v>
      </c>
      <c r="K1283" s="17"/>
      <c r="L1283" s="17"/>
      <c r="M1283" s="17"/>
      <c r="N1283" s="17" t="s">
        <v>7745</v>
      </c>
      <c r="O1283" s="17" t="s">
        <v>7965</v>
      </c>
      <c r="P1283" s="17" t="s">
        <v>7972</v>
      </c>
      <c r="Q1283" s="17"/>
      <c r="R1283" s="25" t="str">
        <f>HYPERLINK("https://ictv.global/taxonomy/taxondetails?taxnode_id=202308163","Tunavirus Sfin1")</f>
        <v>Tunavirus Sfin1</v>
      </c>
      <c r="S1283" s="18" t="s">
        <v>30</v>
      </c>
      <c r="T1283" s="18" t="s">
        <v>7991</v>
      </c>
      <c r="U1283" s="18"/>
      <c r="V1283" s="18"/>
      <c r="W1283" s="18" t="s">
        <v>7992</v>
      </c>
      <c r="X1283" s="18" t="s">
        <v>42</v>
      </c>
      <c r="Y1283" s="18" t="s">
        <v>36</v>
      </c>
      <c r="Z1283" s="18" t="s">
        <v>697</v>
      </c>
      <c r="AA1283" s="21" t="str">
        <f>HYPERLINK("https://www.ncbi.nlm.nih.gov/nuccore/MF468274","NCBI Nucleotide")</f>
        <v>NCBI Nucleotide</v>
      </c>
    </row>
    <row r="1284" spans="1:27" x14ac:dyDescent="0.35">
      <c r="A1284">
        <v>1001692</v>
      </c>
      <c r="B1284">
        <v>1283</v>
      </c>
      <c r="C1284">
        <v>1</v>
      </c>
      <c r="D1284" s="17" t="s">
        <v>155</v>
      </c>
      <c r="E1284" s="17"/>
      <c r="F1284" s="17" t="s">
        <v>156</v>
      </c>
      <c r="G1284" s="17"/>
      <c r="H1284" s="17" t="s">
        <v>692</v>
      </c>
      <c r="I1284" s="17"/>
      <c r="J1284" s="17" t="s">
        <v>693</v>
      </c>
      <c r="K1284" s="17"/>
      <c r="L1284" s="17"/>
      <c r="M1284" s="17"/>
      <c r="N1284" s="17" t="s">
        <v>7745</v>
      </c>
      <c r="O1284" s="17" t="s">
        <v>7965</v>
      </c>
      <c r="P1284" s="17" t="s">
        <v>7972</v>
      </c>
      <c r="Q1284" s="17"/>
      <c r="R1284" s="25" t="str">
        <f>HYPERLINK("https://ictv.global/taxonomy/taxondetails?taxnode_id=202312056","Tunavirus Sfin3")</f>
        <v>Tunavirus Sfin3</v>
      </c>
      <c r="S1284" s="18" t="s">
        <v>30</v>
      </c>
      <c r="T1284" s="18" t="s">
        <v>7993</v>
      </c>
      <c r="U1284" s="18"/>
      <c r="V1284" s="18"/>
      <c r="W1284" s="18" t="s">
        <v>7994</v>
      </c>
      <c r="X1284" s="18" t="s">
        <v>42</v>
      </c>
      <c r="Y1284" s="18" t="s">
        <v>36</v>
      </c>
      <c r="Z1284" s="18" t="s">
        <v>697</v>
      </c>
      <c r="AA1284" s="21" t="str">
        <f>HYPERLINK("https://www.ncbi.nlm.nih.gov/nuccore/MN296515","NCBI Nucleotide")</f>
        <v>NCBI Nucleotide</v>
      </c>
    </row>
    <row r="1285" spans="1:27" x14ac:dyDescent="0.35">
      <c r="A1285">
        <v>1001693</v>
      </c>
      <c r="B1285">
        <v>1284</v>
      </c>
      <c r="C1285">
        <v>1</v>
      </c>
      <c r="D1285" s="17" t="s">
        <v>155</v>
      </c>
      <c r="E1285" s="17"/>
      <c r="F1285" s="17" t="s">
        <v>156</v>
      </c>
      <c r="G1285" s="17"/>
      <c r="H1285" s="17" t="s">
        <v>692</v>
      </c>
      <c r="I1285" s="17"/>
      <c r="J1285" s="17" t="s">
        <v>693</v>
      </c>
      <c r="K1285" s="17"/>
      <c r="L1285" s="17"/>
      <c r="M1285" s="17"/>
      <c r="N1285" s="17" t="s">
        <v>7745</v>
      </c>
      <c r="O1285" s="17" t="s">
        <v>7965</v>
      </c>
      <c r="P1285" s="17" t="s">
        <v>7972</v>
      </c>
      <c r="Q1285" s="17"/>
      <c r="R1285" s="25" t="str">
        <f>HYPERLINK("https://ictv.global/taxonomy/taxondetails?taxnode_id=202308165","Tunavirus SH2")</f>
        <v>Tunavirus SH2</v>
      </c>
      <c r="S1285" s="18" t="s">
        <v>30</v>
      </c>
      <c r="T1285" s="18" t="s">
        <v>7995</v>
      </c>
      <c r="U1285" s="18"/>
      <c r="V1285" s="18"/>
      <c r="W1285" s="18" t="s">
        <v>7996</v>
      </c>
      <c r="X1285" s="18" t="s">
        <v>42</v>
      </c>
      <c r="Y1285" s="18" t="s">
        <v>36</v>
      </c>
      <c r="Z1285" s="18" t="s">
        <v>697</v>
      </c>
      <c r="AA1285" s="21" t="str">
        <f>HYPERLINK("https://www.ncbi.nlm.nih.gov/nuccore/KY985004","NCBI Nucleotide")</f>
        <v>NCBI Nucleotide</v>
      </c>
    </row>
    <row r="1286" spans="1:27" x14ac:dyDescent="0.35">
      <c r="A1286">
        <v>1001694</v>
      </c>
      <c r="B1286">
        <v>1285</v>
      </c>
      <c r="C1286">
        <v>1</v>
      </c>
      <c r="D1286" s="17" t="s">
        <v>155</v>
      </c>
      <c r="E1286" s="17"/>
      <c r="F1286" s="17" t="s">
        <v>156</v>
      </c>
      <c r="G1286" s="17"/>
      <c r="H1286" s="17" t="s">
        <v>692</v>
      </c>
      <c r="I1286" s="17"/>
      <c r="J1286" s="17" t="s">
        <v>693</v>
      </c>
      <c r="K1286" s="17"/>
      <c r="L1286" s="17"/>
      <c r="M1286" s="17"/>
      <c r="N1286" s="17" t="s">
        <v>7745</v>
      </c>
      <c r="O1286" s="17" t="s">
        <v>7965</v>
      </c>
      <c r="P1286" s="17" t="s">
        <v>7972</v>
      </c>
      <c r="Q1286" s="17"/>
      <c r="R1286" s="25" t="str">
        <f>HYPERLINK("https://ictv.global/taxonomy/taxondetails?taxnode_id=202308159","Tunavirus SH6")</f>
        <v>Tunavirus SH6</v>
      </c>
      <c r="S1286" s="18" t="s">
        <v>30</v>
      </c>
      <c r="T1286" s="18" t="s">
        <v>7997</v>
      </c>
      <c r="U1286" s="18"/>
      <c r="V1286" s="18"/>
      <c r="W1286" s="18" t="s">
        <v>7998</v>
      </c>
      <c r="X1286" s="18" t="s">
        <v>42</v>
      </c>
      <c r="Y1286" s="18" t="s">
        <v>36</v>
      </c>
      <c r="Z1286" s="18" t="s">
        <v>697</v>
      </c>
      <c r="AA1286" s="21" t="str">
        <f>HYPERLINK("https://www.ncbi.nlm.nih.gov/nuccore/KX828710","NCBI Nucleotide")</f>
        <v>NCBI Nucleotide</v>
      </c>
    </row>
    <row r="1287" spans="1:27" x14ac:dyDescent="0.35">
      <c r="A1287">
        <v>1001695</v>
      </c>
      <c r="B1287">
        <v>1286</v>
      </c>
      <c r="C1287">
        <v>1</v>
      </c>
      <c r="D1287" s="17" t="s">
        <v>155</v>
      </c>
      <c r="E1287" s="17"/>
      <c r="F1287" s="17" t="s">
        <v>156</v>
      </c>
      <c r="G1287" s="17"/>
      <c r="H1287" s="17" t="s">
        <v>692</v>
      </c>
      <c r="I1287" s="17"/>
      <c r="J1287" s="17" t="s">
        <v>693</v>
      </c>
      <c r="K1287" s="17"/>
      <c r="L1287" s="17"/>
      <c r="M1287" s="17"/>
      <c r="N1287" s="17" t="s">
        <v>7745</v>
      </c>
      <c r="O1287" s="17" t="s">
        <v>7965</v>
      </c>
      <c r="P1287" s="17" t="s">
        <v>7972</v>
      </c>
      <c r="Q1287" s="17"/>
      <c r="R1287" s="25" t="str">
        <f>HYPERLINK("https://ictv.global/taxonomy/taxondetails?taxnode_id=202300830","Tunavirus Shfl1")</f>
        <v>Tunavirus Shfl1</v>
      </c>
      <c r="S1287" s="18" t="s">
        <v>30</v>
      </c>
      <c r="T1287" s="18" t="s">
        <v>7999</v>
      </c>
      <c r="U1287" s="18"/>
      <c r="V1287" s="18"/>
      <c r="W1287" s="18" t="s">
        <v>8000</v>
      </c>
      <c r="X1287" s="18" t="s">
        <v>42</v>
      </c>
      <c r="Y1287" s="18" t="s">
        <v>36</v>
      </c>
      <c r="Z1287" s="18" t="s">
        <v>697</v>
      </c>
      <c r="AA1287" s="21" t="str">
        <f>HYPERLINK("https://www.ncbi.nlm.nih.gov/nuccore/HM035024","NCBI Nucleotide")</f>
        <v>NCBI Nucleotide</v>
      </c>
    </row>
    <row r="1288" spans="1:27" x14ac:dyDescent="0.35">
      <c r="A1288">
        <v>1001696</v>
      </c>
      <c r="B1288">
        <v>1287</v>
      </c>
      <c r="C1288">
        <v>1</v>
      </c>
      <c r="D1288" s="17" t="s">
        <v>155</v>
      </c>
      <c r="E1288" s="17"/>
      <c r="F1288" s="17" t="s">
        <v>156</v>
      </c>
      <c r="G1288" s="17"/>
      <c r="H1288" s="17" t="s">
        <v>692</v>
      </c>
      <c r="I1288" s="17"/>
      <c r="J1288" s="17" t="s">
        <v>693</v>
      </c>
      <c r="K1288" s="17"/>
      <c r="L1288" s="17"/>
      <c r="M1288" s="17"/>
      <c r="N1288" s="17" t="s">
        <v>7745</v>
      </c>
      <c r="O1288" s="17" t="s">
        <v>7965</v>
      </c>
      <c r="P1288" s="17" t="s">
        <v>7972</v>
      </c>
      <c r="Q1288" s="17"/>
      <c r="R1288" s="25" t="str">
        <f>HYPERLINK("https://ictv.global/taxonomy/taxondetails?taxnode_id=202300828","Tunavirus T1")</f>
        <v>Tunavirus T1</v>
      </c>
      <c r="S1288" s="18" t="s">
        <v>30</v>
      </c>
      <c r="T1288" s="18" t="s">
        <v>8001</v>
      </c>
      <c r="U1288" s="18"/>
      <c r="V1288" s="18"/>
      <c r="W1288" s="18" t="s">
        <v>8002</v>
      </c>
      <c r="X1288" s="18" t="s">
        <v>42</v>
      </c>
      <c r="Y1288" s="18" t="s">
        <v>36</v>
      </c>
      <c r="Z1288" s="18" t="s">
        <v>697</v>
      </c>
      <c r="AA1288" s="21" t="str">
        <f>HYPERLINK("https://www.ncbi.nlm.nih.gov/nuccore/AY216660","NCBI Nucleotide")</f>
        <v>NCBI Nucleotide</v>
      </c>
    </row>
    <row r="1289" spans="1:27" x14ac:dyDescent="0.35">
      <c r="A1289">
        <v>1001698</v>
      </c>
      <c r="B1289">
        <v>1288</v>
      </c>
      <c r="C1289">
        <v>1</v>
      </c>
      <c r="D1289" s="17" t="s">
        <v>155</v>
      </c>
      <c r="E1289" s="17"/>
      <c r="F1289" s="17" t="s">
        <v>156</v>
      </c>
      <c r="G1289" s="17"/>
      <c r="H1289" s="17" t="s">
        <v>692</v>
      </c>
      <c r="I1289" s="17"/>
      <c r="J1289" s="17" t="s">
        <v>693</v>
      </c>
      <c r="K1289" s="17"/>
      <c r="L1289" s="17"/>
      <c r="M1289" s="17"/>
      <c r="N1289" s="17" t="s">
        <v>7745</v>
      </c>
      <c r="O1289" s="17"/>
      <c r="P1289" s="17" t="s">
        <v>7746</v>
      </c>
      <c r="Q1289" s="17"/>
      <c r="R1289" s="25" t="str">
        <f>HYPERLINK("https://ictv.global/taxonomy/taxondetails?taxnode_id=202307067","Eclunavirus EcL1")</f>
        <v>Eclunavirus EcL1</v>
      </c>
      <c r="S1289" s="18" t="s">
        <v>30</v>
      </c>
      <c r="T1289" s="18" t="s">
        <v>7747</v>
      </c>
      <c r="U1289" s="18"/>
      <c r="V1289" s="18"/>
      <c r="W1289" s="18" t="s">
        <v>7748</v>
      </c>
      <c r="X1289" s="18" t="s">
        <v>42</v>
      </c>
      <c r="Y1289" s="18" t="s">
        <v>36</v>
      </c>
      <c r="Z1289" s="18" t="s">
        <v>697</v>
      </c>
      <c r="AA1289" s="21" t="str">
        <f>HYPERLINK("https://www.ncbi.nlm.nih.gov/nuccore/MG732930","NCBI Nucleotide")</f>
        <v>NCBI Nucleotide</v>
      </c>
    </row>
    <row r="1290" spans="1:27" x14ac:dyDescent="0.35">
      <c r="A1290">
        <v>1001699</v>
      </c>
      <c r="B1290">
        <v>1289</v>
      </c>
      <c r="C1290">
        <v>1</v>
      </c>
      <c r="D1290" s="17" t="s">
        <v>155</v>
      </c>
      <c r="E1290" s="17"/>
      <c r="F1290" s="17" t="s">
        <v>156</v>
      </c>
      <c r="G1290" s="17"/>
      <c r="H1290" s="17" t="s">
        <v>692</v>
      </c>
      <c r="I1290" s="17"/>
      <c r="J1290" s="17" t="s">
        <v>693</v>
      </c>
      <c r="K1290" s="17"/>
      <c r="L1290" s="17"/>
      <c r="M1290" s="17"/>
      <c r="N1290" s="17" t="s">
        <v>7745</v>
      </c>
      <c r="O1290" s="17"/>
      <c r="P1290" s="17" t="s">
        <v>7749</v>
      </c>
      <c r="Q1290" s="17"/>
      <c r="R1290" s="25" t="str">
        <f>HYPERLINK("https://ictv.global/taxonomy/taxondetails?taxnode_id=202309977","Hicfunavirus HCF1")</f>
        <v>Hicfunavirus HCF1</v>
      </c>
      <c r="S1290" s="18" t="s">
        <v>30</v>
      </c>
      <c r="T1290" s="18" t="s">
        <v>7750</v>
      </c>
      <c r="U1290" s="18"/>
      <c r="V1290" s="18"/>
      <c r="W1290" s="18" t="s">
        <v>7751</v>
      </c>
      <c r="X1290" s="18" t="s">
        <v>42</v>
      </c>
      <c r="Y1290" s="18" t="s">
        <v>36</v>
      </c>
      <c r="Z1290" s="18" t="s">
        <v>697</v>
      </c>
      <c r="AA1290" s="21" t="str">
        <f>HYPERLINK("https://www.ncbi.nlm.nih.gov/nuccore/MN545971","NCBI Nucleotide")</f>
        <v>NCBI Nucleotide</v>
      </c>
    </row>
    <row r="1291" spans="1:27" x14ac:dyDescent="0.35">
      <c r="A1291">
        <v>1001700</v>
      </c>
      <c r="B1291">
        <v>1290</v>
      </c>
      <c r="C1291">
        <v>1</v>
      </c>
      <c r="D1291" s="17" t="s">
        <v>155</v>
      </c>
      <c r="E1291" s="17"/>
      <c r="F1291" s="17" t="s">
        <v>156</v>
      </c>
      <c r="G1291" s="17"/>
      <c r="H1291" s="17" t="s">
        <v>692</v>
      </c>
      <c r="I1291" s="17"/>
      <c r="J1291" s="17" t="s">
        <v>693</v>
      </c>
      <c r="K1291" s="17"/>
      <c r="L1291" s="17"/>
      <c r="M1291" s="17"/>
      <c r="N1291" s="17" t="s">
        <v>7745</v>
      </c>
      <c r="O1291" s="17"/>
      <c r="P1291" s="17" t="s">
        <v>7752</v>
      </c>
      <c r="Q1291" s="17"/>
      <c r="R1291" s="25" t="str">
        <f>HYPERLINK("https://ictv.global/taxonomy/taxondetails?taxnode_id=202309979","Jhansiroadvirus gwaliVC1")</f>
        <v>Jhansiroadvirus gwaliVC1</v>
      </c>
      <c r="S1291" s="18" t="s">
        <v>30</v>
      </c>
      <c r="T1291" s="18" t="s">
        <v>7753</v>
      </c>
      <c r="U1291" s="18"/>
      <c r="V1291" s="18"/>
      <c r="W1291" s="18" t="s">
        <v>7754</v>
      </c>
      <c r="X1291" s="18" t="s">
        <v>42</v>
      </c>
      <c r="Y1291" s="18" t="s">
        <v>36</v>
      </c>
      <c r="Z1291" s="18" t="s">
        <v>697</v>
      </c>
      <c r="AA1291" s="21" t="str">
        <f>HYPERLINK("https://www.ncbi.nlm.nih.gov/nuccore/MT360682","NCBI Nucleotide")</f>
        <v>NCBI Nucleotide</v>
      </c>
    </row>
    <row r="1292" spans="1:27" x14ac:dyDescent="0.35">
      <c r="A1292">
        <v>1001701</v>
      </c>
      <c r="B1292">
        <v>1291</v>
      </c>
      <c r="C1292">
        <v>1</v>
      </c>
      <c r="D1292" s="17" t="s">
        <v>155</v>
      </c>
      <c r="E1292" s="17"/>
      <c r="F1292" s="17" t="s">
        <v>156</v>
      </c>
      <c r="G1292" s="17"/>
      <c r="H1292" s="17" t="s">
        <v>692</v>
      </c>
      <c r="I1292" s="17"/>
      <c r="J1292" s="17" t="s">
        <v>693</v>
      </c>
      <c r="K1292" s="17"/>
      <c r="L1292" s="17"/>
      <c r="M1292" s="17"/>
      <c r="N1292" s="17" t="s">
        <v>7745</v>
      </c>
      <c r="O1292" s="17"/>
      <c r="P1292" s="17" t="s">
        <v>7755</v>
      </c>
      <c r="Q1292" s="17"/>
      <c r="R1292" s="25" t="str">
        <f>HYPERLINK("https://ictv.global/taxonomy/taxondetails?taxnode_id=202309981","Kyungwonvirus CS01")</f>
        <v>Kyungwonvirus CS01</v>
      </c>
      <c r="S1292" s="18" t="s">
        <v>30</v>
      </c>
      <c r="T1292" s="18" t="s">
        <v>7756</v>
      </c>
      <c r="U1292" s="18"/>
      <c r="V1292" s="18"/>
      <c r="W1292" s="18" t="s">
        <v>7757</v>
      </c>
      <c r="X1292" s="18" t="s">
        <v>42</v>
      </c>
      <c r="Y1292" s="18" t="s">
        <v>36</v>
      </c>
      <c r="Z1292" s="18" t="s">
        <v>697</v>
      </c>
      <c r="AA1292" s="21" t="str">
        <f>HYPERLINK("https://www.ncbi.nlm.nih.gov/nuccore/MH845412","NCBI Nucleotide")</f>
        <v>NCBI Nucleotide</v>
      </c>
    </row>
    <row r="1293" spans="1:27" x14ac:dyDescent="0.35">
      <c r="A1293">
        <v>1001702</v>
      </c>
      <c r="B1293">
        <v>1292</v>
      </c>
      <c r="C1293">
        <v>1</v>
      </c>
      <c r="D1293" s="17" t="s">
        <v>155</v>
      </c>
      <c r="E1293" s="17"/>
      <c r="F1293" s="17" t="s">
        <v>156</v>
      </c>
      <c r="G1293" s="17"/>
      <c r="H1293" s="17" t="s">
        <v>692</v>
      </c>
      <c r="I1293" s="17"/>
      <c r="J1293" s="17" t="s">
        <v>693</v>
      </c>
      <c r="K1293" s="17"/>
      <c r="L1293" s="17"/>
      <c r="M1293" s="17"/>
      <c r="N1293" s="17" t="s">
        <v>7745</v>
      </c>
      <c r="O1293" s="17"/>
      <c r="P1293" s="17" t="s">
        <v>7755</v>
      </c>
      <c r="Q1293" s="17"/>
      <c r="R1293" s="25" t="str">
        <f>HYPERLINK("https://ictv.global/taxonomy/taxondetails?taxnode_id=202300836","Kyungwonvirus Esp29491")</f>
        <v>Kyungwonvirus Esp29491</v>
      </c>
      <c r="S1293" s="18" t="s">
        <v>30</v>
      </c>
      <c r="T1293" s="18" t="s">
        <v>7758</v>
      </c>
      <c r="U1293" s="18"/>
      <c r="V1293" s="18"/>
      <c r="W1293" s="18" t="s">
        <v>7759</v>
      </c>
      <c r="X1293" s="18" t="s">
        <v>42</v>
      </c>
      <c r="Y1293" s="18" t="s">
        <v>36</v>
      </c>
      <c r="Z1293" s="18" t="s">
        <v>697</v>
      </c>
      <c r="AA1293" s="21" t="str">
        <f>HYPERLINK("https://www.ncbi.nlm.nih.gov/nuccore/JF912400","NCBI Nucleotide")</f>
        <v>NCBI Nucleotide</v>
      </c>
    </row>
    <row r="1294" spans="1:27" x14ac:dyDescent="0.35">
      <c r="A1294">
        <v>1001703</v>
      </c>
      <c r="B1294">
        <v>1293</v>
      </c>
      <c r="C1294">
        <v>1</v>
      </c>
      <c r="D1294" s="17" t="s">
        <v>155</v>
      </c>
      <c r="E1294" s="17"/>
      <c r="F1294" s="17" t="s">
        <v>156</v>
      </c>
      <c r="G1294" s="17"/>
      <c r="H1294" s="17" t="s">
        <v>692</v>
      </c>
      <c r="I1294" s="17"/>
      <c r="J1294" s="17" t="s">
        <v>693</v>
      </c>
      <c r="K1294" s="17"/>
      <c r="L1294" s="17"/>
      <c r="M1294" s="17"/>
      <c r="N1294" s="17" t="s">
        <v>7745</v>
      </c>
      <c r="O1294" s="17"/>
      <c r="P1294" s="17" t="s">
        <v>7760</v>
      </c>
      <c r="Q1294" s="17"/>
      <c r="R1294" s="25" t="str">
        <f>HYPERLINK("https://ictv.global/taxonomy/taxondetails?taxnode_id=202308172","Nouzillyvirus ESCO41")</f>
        <v>Nouzillyvirus ESCO41</v>
      </c>
      <c r="S1294" s="18" t="s">
        <v>30</v>
      </c>
      <c r="T1294" s="18" t="s">
        <v>7761</v>
      </c>
      <c r="U1294" s="18"/>
      <c r="V1294" s="18"/>
      <c r="W1294" s="18" t="s">
        <v>7762</v>
      </c>
      <c r="X1294" s="18" t="s">
        <v>42</v>
      </c>
      <c r="Y1294" s="18" t="s">
        <v>36</v>
      </c>
      <c r="Z1294" s="18" t="s">
        <v>697</v>
      </c>
      <c r="AA1294" s="21" t="str">
        <f>HYPERLINK("https://www.ncbi.nlm.nih.gov/nuccore/KY619305","NCBI Nucleotide")</f>
        <v>NCBI Nucleotide</v>
      </c>
    </row>
    <row r="1295" spans="1:27" x14ac:dyDescent="0.35">
      <c r="A1295">
        <v>1001704</v>
      </c>
      <c r="B1295">
        <v>1294</v>
      </c>
      <c r="C1295">
        <v>1</v>
      </c>
      <c r="D1295" s="17" t="s">
        <v>155</v>
      </c>
      <c r="E1295" s="17"/>
      <c r="F1295" s="17" t="s">
        <v>156</v>
      </c>
      <c r="G1295" s="17"/>
      <c r="H1295" s="17" t="s">
        <v>692</v>
      </c>
      <c r="I1295" s="17"/>
      <c r="J1295" s="17" t="s">
        <v>693</v>
      </c>
      <c r="K1295" s="17"/>
      <c r="L1295" s="17"/>
      <c r="M1295" s="17"/>
      <c r="N1295" s="17" t="s">
        <v>7745</v>
      </c>
      <c r="O1295" s="17"/>
      <c r="P1295" s="17" t="s">
        <v>7763</v>
      </c>
      <c r="Q1295" s="17"/>
      <c r="R1295" s="25" t="str">
        <f>HYPERLINK("https://ictv.global/taxonomy/taxondetails?taxnode_id=202308174","Sauletekiovirus AAS23")</f>
        <v>Sauletekiovirus AAS23</v>
      </c>
      <c r="S1295" s="18" t="s">
        <v>30</v>
      </c>
      <c r="T1295" s="18" t="s">
        <v>7764</v>
      </c>
      <c r="U1295" s="18"/>
      <c r="V1295" s="18"/>
      <c r="W1295" s="18" t="s">
        <v>7765</v>
      </c>
      <c r="X1295" s="18" t="s">
        <v>42</v>
      </c>
      <c r="Y1295" s="18" t="s">
        <v>36</v>
      </c>
      <c r="Z1295" s="18" t="s">
        <v>697</v>
      </c>
      <c r="AA1295" s="21" t="str">
        <f>HYPERLINK("https://www.ncbi.nlm.nih.gov/nuccore/MK095606","NCBI Nucleotide")</f>
        <v>NCBI Nucleotide</v>
      </c>
    </row>
    <row r="1296" spans="1:27" x14ac:dyDescent="0.35">
      <c r="A1296">
        <v>1001705</v>
      </c>
      <c r="B1296">
        <v>1295</v>
      </c>
      <c r="C1296">
        <v>1</v>
      </c>
      <c r="D1296" s="17" t="s">
        <v>155</v>
      </c>
      <c r="E1296" s="17"/>
      <c r="F1296" s="17" t="s">
        <v>156</v>
      </c>
      <c r="G1296" s="17"/>
      <c r="H1296" s="17" t="s">
        <v>692</v>
      </c>
      <c r="I1296" s="17"/>
      <c r="J1296" s="17" t="s">
        <v>693</v>
      </c>
      <c r="K1296" s="17"/>
      <c r="L1296" s="17"/>
      <c r="M1296" s="17"/>
      <c r="N1296" s="17" t="s">
        <v>7745</v>
      </c>
      <c r="O1296" s="17"/>
      <c r="P1296" s="17" t="s">
        <v>7766</v>
      </c>
      <c r="Q1296" s="17"/>
      <c r="R1296" s="25" t="str">
        <f>HYPERLINK("https://ictv.global/taxonomy/taxondetails?taxnode_id=202308717","Vilniusvirus NBD2")</f>
        <v>Vilniusvirus NBD2</v>
      </c>
      <c r="S1296" s="18" t="s">
        <v>30</v>
      </c>
      <c r="T1296" s="18" t="s">
        <v>7767</v>
      </c>
      <c r="U1296" s="18"/>
      <c r="V1296" s="18"/>
      <c r="W1296" s="18" t="s">
        <v>7768</v>
      </c>
      <c r="X1296" s="18" t="s">
        <v>42</v>
      </c>
      <c r="Y1296" s="18" t="s">
        <v>36</v>
      </c>
      <c r="Z1296" s="18" t="s">
        <v>697</v>
      </c>
      <c r="AA1296" s="21" t="str">
        <f>HYPERLINK("https://www.ncbi.nlm.nih.gov/nuccore/KX130668","NCBI Nucleotide")</f>
        <v>NCBI Nucleotide</v>
      </c>
    </row>
    <row r="1297" spans="1:27" x14ac:dyDescent="0.35">
      <c r="A1297">
        <v>1025198</v>
      </c>
      <c r="B1297">
        <v>1296</v>
      </c>
      <c r="C1297">
        <v>1</v>
      </c>
      <c r="D1297" s="17" t="s">
        <v>155</v>
      </c>
      <c r="E1297" s="17"/>
      <c r="F1297" s="17" t="s">
        <v>156</v>
      </c>
      <c r="G1297" s="17"/>
      <c r="H1297" s="17" t="s">
        <v>692</v>
      </c>
      <c r="I1297" s="17"/>
      <c r="J1297" s="17" t="s">
        <v>693</v>
      </c>
      <c r="K1297" s="17"/>
      <c r="L1297" s="17"/>
      <c r="M1297" s="17"/>
      <c r="N1297" s="17" t="s">
        <v>7745</v>
      </c>
      <c r="O1297" s="17"/>
      <c r="P1297" s="17" t="s">
        <v>7769</v>
      </c>
      <c r="Q1297" s="17"/>
      <c r="R1297" s="25" t="str">
        <f>HYPERLINK("https://ictv.global/taxonomy/taxondetails?taxnode_id=202319565","Webervirus 1086")</f>
        <v>Webervirus 1086</v>
      </c>
      <c r="S1297" s="18" t="s">
        <v>30</v>
      </c>
      <c r="T1297" s="18" t="s">
        <v>39216</v>
      </c>
      <c r="U1297" s="18">
        <v>1086</v>
      </c>
      <c r="V1297" s="18"/>
      <c r="W1297" s="18" t="s">
        <v>48045</v>
      </c>
      <c r="X1297" s="18" t="s">
        <v>42</v>
      </c>
      <c r="Y1297" s="18" t="s">
        <v>36</v>
      </c>
      <c r="Z1297" s="18" t="s">
        <v>697</v>
      </c>
      <c r="AA1297" s="21" t="str">
        <f>HYPERLINK("https://www.ncbi.nlm.nih.gov/nuccore/OL865411","NCBI Nucleotide")</f>
        <v>NCBI Nucleotide</v>
      </c>
    </row>
    <row r="1298" spans="1:27" x14ac:dyDescent="0.35">
      <c r="A1298">
        <v>1025197</v>
      </c>
      <c r="B1298">
        <v>1297</v>
      </c>
      <c r="C1298">
        <v>1</v>
      </c>
      <c r="D1298" s="17" t="s">
        <v>155</v>
      </c>
      <c r="E1298" s="17"/>
      <c r="F1298" s="17" t="s">
        <v>156</v>
      </c>
      <c r="G1298" s="17"/>
      <c r="H1298" s="17" t="s">
        <v>692</v>
      </c>
      <c r="I1298" s="17"/>
      <c r="J1298" s="17" t="s">
        <v>693</v>
      </c>
      <c r="K1298" s="17"/>
      <c r="L1298" s="17"/>
      <c r="M1298" s="17"/>
      <c r="N1298" s="17" t="s">
        <v>7745</v>
      </c>
      <c r="O1298" s="17"/>
      <c r="P1298" s="17" t="s">
        <v>7769</v>
      </c>
      <c r="Q1298" s="17"/>
      <c r="R1298" s="25" t="str">
        <f>HYPERLINK("https://ictv.global/taxonomy/taxondetails?taxnode_id=202319560","Webervirus 066039")</f>
        <v>Webervirus 066039</v>
      </c>
      <c r="S1298" s="18" t="s">
        <v>30</v>
      </c>
      <c r="T1298" s="18" t="s">
        <v>39217</v>
      </c>
      <c r="U1298" s="18">
        <v>66039</v>
      </c>
      <c r="V1298" s="18"/>
      <c r="W1298" s="18" t="s">
        <v>48046</v>
      </c>
      <c r="X1298" s="18" t="s">
        <v>42</v>
      </c>
      <c r="Y1298" s="18" t="s">
        <v>36</v>
      </c>
      <c r="Z1298" s="18" t="s">
        <v>697</v>
      </c>
      <c r="AA1298" s="21" t="str">
        <f>HYPERLINK("https://www.ncbi.nlm.nih.gov/nuccore/MW042802","NCBI Nucleotide")</f>
        <v>NCBI Nucleotide</v>
      </c>
    </row>
    <row r="1299" spans="1:27" x14ac:dyDescent="0.35">
      <c r="A1299">
        <v>1025199</v>
      </c>
      <c r="B1299">
        <v>1298</v>
      </c>
      <c r="C1299">
        <v>1</v>
      </c>
      <c r="D1299" s="17" t="s">
        <v>155</v>
      </c>
      <c r="E1299" s="17"/>
      <c r="F1299" s="17" t="s">
        <v>156</v>
      </c>
      <c r="G1299" s="17"/>
      <c r="H1299" s="17" t="s">
        <v>692</v>
      </c>
      <c r="I1299" s="17"/>
      <c r="J1299" s="17" t="s">
        <v>693</v>
      </c>
      <c r="K1299" s="17"/>
      <c r="L1299" s="17"/>
      <c r="M1299" s="17"/>
      <c r="N1299" s="17" t="s">
        <v>7745</v>
      </c>
      <c r="O1299" s="17"/>
      <c r="P1299" s="17" t="s">
        <v>7769</v>
      </c>
      <c r="Q1299" s="17"/>
      <c r="R1299" s="25" t="str">
        <f>HYPERLINK("https://ictv.global/taxonomy/taxondetails?taxnode_id=202319540","Webervirus ABTNL2")</f>
        <v>Webervirus ABTNL2</v>
      </c>
      <c r="S1299" s="18" t="s">
        <v>30</v>
      </c>
      <c r="T1299" s="18" t="s">
        <v>39218</v>
      </c>
      <c r="U1299" s="18" t="s">
        <v>39219</v>
      </c>
      <c r="V1299" s="18"/>
      <c r="W1299" s="18" t="s">
        <v>48047</v>
      </c>
      <c r="X1299" s="18" t="s">
        <v>42</v>
      </c>
      <c r="Y1299" s="18" t="s">
        <v>36</v>
      </c>
      <c r="Z1299" s="18" t="s">
        <v>697</v>
      </c>
      <c r="AA1299" s="21" t="str">
        <f>HYPERLINK("https://www.ncbi.nlm.nih.gov/nuccore/MZ221764","NCBI Nucleotide")</f>
        <v>NCBI Nucleotide</v>
      </c>
    </row>
    <row r="1300" spans="1:27" x14ac:dyDescent="0.35">
      <c r="A1300">
        <v>1001706</v>
      </c>
      <c r="B1300">
        <v>1299</v>
      </c>
      <c r="C1300">
        <v>1</v>
      </c>
      <c r="D1300" s="17" t="s">
        <v>155</v>
      </c>
      <c r="E1300" s="17"/>
      <c r="F1300" s="17" t="s">
        <v>156</v>
      </c>
      <c r="G1300" s="17"/>
      <c r="H1300" s="17" t="s">
        <v>692</v>
      </c>
      <c r="I1300" s="17"/>
      <c r="J1300" s="17" t="s">
        <v>693</v>
      </c>
      <c r="K1300" s="17"/>
      <c r="L1300" s="17"/>
      <c r="M1300" s="17"/>
      <c r="N1300" s="17" t="s">
        <v>7745</v>
      </c>
      <c r="O1300" s="17"/>
      <c r="P1300" s="17" t="s">
        <v>7769</v>
      </c>
      <c r="Q1300" s="17"/>
      <c r="R1300" s="25" t="str">
        <f>HYPERLINK("https://ictv.global/taxonomy/taxondetails?taxnode_id=202312106","Webervirus alina")</f>
        <v>Webervirus alina</v>
      </c>
      <c r="S1300" s="18" t="s">
        <v>30</v>
      </c>
      <c r="T1300" s="18" t="s">
        <v>7770</v>
      </c>
      <c r="U1300" s="18"/>
      <c r="V1300" s="18"/>
      <c r="W1300" s="18" t="s">
        <v>7771</v>
      </c>
      <c r="X1300" s="18" t="s">
        <v>42</v>
      </c>
      <c r="Y1300" s="18" t="s">
        <v>36</v>
      </c>
      <c r="Z1300" s="18" t="s">
        <v>697</v>
      </c>
      <c r="AA1300" s="21" t="str">
        <f>HYPERLINK("https://www.ncbi.nlm.nih.gov/nuccore/MN013083","NCBI Nucleotide")</f>
        <v>NCBI Nucleotide</v>
      </c>
    </row>
    <row r="1301" spans="1:27" x14ac:dyDescent="0.35">
      <c r="A1301">
        <v>1025200</v>
      </c>
      <c r="B1301">
        <v>1300</v>
      </c>
      <c r="C1301">
        <v>1</v>
      </c>
      <c r="D1301" s="17" t="s">
        <v>155</v>
      </c>
      <c r="E1301" s="17"/>
      <c r="F1301" s="17" t="s">
        <v>156</v>
      </c>
      <c r="G1301" s="17"/>
      <c r="H1301" s="17" t="s">
        <v>692</v>
      </c>
      <c r="I1301" s="17"/>
      <c r="J1301" s="17" t="s">
        <v>693</v>
      </c>
      <c r="K1301" s="17"/>
      <c r="L1301" s="17"/>
      <c r="M1301" s="17"/>
      <c r="N1301" s="17" t="s">
        <v>7745</v>
      </c>
      <c r="O1301" s="17"/>
      <c r="P1301" s="17" t="s">
        <v>7769</v>
      </c>
      <c r="Q1301" s="17"/>
      <c r="R1301" s="25" t="str">
        <f>HYPERLINK("https://ictv.global/taxonomy/taxondetails?taxnode_id=202319523","Webervirus B1")</f>
        <v>Webervirus B1</v>
      </c>
      <c r="S1301" s="18" t="s">
        <v>30</v>
      </c>
      <c r="T1301" s="18" t="s">
        <v>39220</v>
      </c>
      <c r="U1301" s="18" t="s">
        <v>19249</v>
      </c>
      <c r="V1301" s="18"/>
      <c r="W1301" s="18" t="s">
        <v>48048</v>
      </c>
      <c r="X1301" s="18" t="s">
        <v>42</v>
      </c>
      <c r="Y1301" s="18" t="s">
        <v>36</v>
      </c>
      <c r="Z1301" s="18" t="s">
        <v>697</v>
      </c>
      <c r="AA1301" s="21" t="str">
        <f>HYPERLINK("https://www.ncbi.nlm.nih.gov/nuccore/MW672037","NCBI Nucleotide")</f>
        <v>NCBI Nucleotide</v>
      </c>
    </row>
    <row r="1302" spans="1:27" x14ac:dyDescent="0.35">
      <c r="A1302">
        <v>1025201</v>
      </c>
      <c r="B1302">
        <v>1301</v>
      </c>
      <c r="C1302">
        <v>1</v>
      </c>
      <c r="D1302" s="17" t="s">
        <v>155</v>
      </c>
      <c r="E1302" s="17"/>
      <c r="F1302" s="17" t="s">
        <v>156</v>
      </c>
      <c r="G1302" s="17"/>
      <c r="H1302" s="17" t="s">
        <v>692</v>
      </c>
      <c r="I1302" s="17"/>
      <c r="J1302" s="17" t="s">
        <v>693</v>
      </c>
      <c r="K1302" s="17"/>
      <c r="L1302" s="17"/>
      <c r="M1302" s="17"/>
      <c r="N1302" s="17" t="s">
        <v>7745</v>
      </c>
      <c r="O1302" s="17"/>
      <c r="P1302" s="17" t="s">
        <v>7769</v>
      </c>
      <c r="Q1302" s="17"/>
      <c r="R1302" s="25" t="str">
        <f>HYPERLINK("https://ictv.global/taxonomy/taxondetails?taxnode_id=202319524","Webervirus BMac")</f>
        <v>Webervirus BMac</v>
      </c>
      <c r="S1302" s="18" t="s">
        <v>30</v>
      </c>
      <c r="T1302" s="18" t="s">
        <v>39221</v>
      </c>
      <c r="U1302" s="18" t="s">
        <v>39222</v>
      </c>
      <c r="V1302" s="18"/>
      <c r="W1302" s="18" t="s">
        <v>48049</v>
      </c>
      <c r="X1302" s="18" t="s">
        <v>42</v>
      </c>
      <c r="Y1302" s="18" t="s">
        <v>36</v>
      </c>
      <c r="Z1302" s="18" t="s">
        <v>697</v>
      </c>
      <c r="AA1302" s="21" t="str">
        <f>HYPERLINK("https://www.ncbi.nlm.nih.gov/nuccore/OM938992","NCBI Nucleotide")</f>
        <v>NCBI Nucleotide</v>
      </c>
    </row>
    <row r="1303" spans="1:27" x14ac:dyDescent="0.35">
      <c r="A1303">
        <v>1025203</v>
      </c>
      <c r="B1303">
        <v>1302</v>
      </c>
      <c r="C1303">
        <v>1</v>
      </c>
      <c r="D1303" s="17" t="s">
        <v>155</v>
      </c>
      <c r="E1303" s="17"/>
      <c r="F1303" s="17" t="s">
        <v>156</v>
      </c>
      <c r="G1303" s="17"/>
      <c r="H1303" s="17" t="s">
        <v>692</v>
      </c>
      <c r="I1303" s="17"/>
      <c r="J1303" s="17" t="s">
        <v>693</v>
      </c>
      <c r="K1303" s="17"/>
      <c r="L1303" s="17"/>
      <c r="M1303" s="17"/>
      <c r="N1303" s="17" t="s">
        <v>7745</v>
      </c>
      <c r="O1303" s="17"/>
      <c r="P1303" s="17" t="s">
        <v>7769</v>
      </c>
      <c r="Q1303" s="17"/>
      <c r="R1303" s="25" t="str">
        <f>HYPERLINK("https://ictv.global/taxonomy/taxondetails?taxnode_id=202319566","Webervirus BUCT705")</f>
        <v>Webervirus BUCT705</v>
      </c>
      <c r="S1303" s="18" t="s">
        <v>30</v>
      </c>
      <c r="T1303" s="18" t="s">
        <v>39223</v>
      </c>
      <c r="U1303" s="18" t="s">
        <v>39224</v>
      </c>
      <c r="V1303" s="18"/>
      <c r="W1303" s="18" t="s">
        <v>48050</v>
      </c>
      <c r="X1303" s="18" t="s">
        <v>42</v>
      </c>
      <c r="Y1303" s="18" t="s">
        <v>36</v>
      </c>
      <c r="Z1303" s="18" t="s">
        <v>697</v>
      </c>
      <c r="AA1303" s="21" t="str">
        <f>HYPERLINK("https://www.ncbi.nlm.nih.gov/nuccore/OM735690","NCBI Nucleotide")</f>
        <v>NCBI Nucleotide</v>
      </c>
    </row>
    <row r="1304" spans="1:27" x14ac:dyDescent="0.35">
      <c r="A1304">
        <v>1025202</v>
      </c>
      <c r="B1304">
        <v>1303</v>
      </c>
      <c r="C1304">
        <v>1</v>
      </c>
      <c r="D1304" s="17" t="s">
        <v>155</v>
      </c>
      <c r="E1304" s="17"/>
      <c r="F1304" s="17" t="s">
        <v>156</v>
      </c>
      <c r="G1304" s="17"/>
      <c r="H1304" s="17" t="s">
        <v>692</v>
      </c>
      <c r="I1304" s="17"/>
      <c r="J1304" s="17" t="s">
        <v>693</v>
      </c>
      <c r="K1304" s="17"/>
      <c r="L1304" s="17"/>
      <c r="M1304" s="17"/>
      <c r="N1304" s="17" t="s">
        <v>7745</v>
      </c>
      <c r="O1304" s="17"/>
      <c r="P1304" s="17" t="s">
        <v>7769</v>
      </c>
      <c r="Q1304" s="17"/>
      <c r="R1304" s="25" t="str">
        <f>HYPERLINK("https://ictv.global/taxonomy/taxondetails?taxnode_id=202319527","Webervirus BUCT556A")</f>
        <v>Webervirus BUCT556A</v>
      </c>
      <c r="S1304" s="18" t="s">
        <v>30</v>
      </c>
      <c r="T1304" s="18" t="s">
        <v>39225</v>
      </c>
      <c r="U1304" s="18" t="s">
        <v>39226</v>
      </c>
      <c r="V1304" s="18"/>
      <c r="W1304" s="18" t="s">
        <v>48051</v>
      </c>
      <c r="X1304" s="18" t="s">
        <v>42</v>
      </c>
      <c r="Y1304" s="18" t="s">
        <v>36</v>
      </c>
      <c r="Z1304" s="18" t="s">
        <v>697</v>
      </c>
      <c r="AA1304" s="21" t="str">
        <f>HYPERLINK("https://www.ncbi.nlm.nih.gov/nuccore/MZ172460","NCBI Nucleotide")</f>
        <v>NCBI Nucleotide</v>
      </c>
    </row>
    <row r="1305" spans="1:27" x14ac:dyDescent="0.35">
      <c r="A1305">
        <v>1001707</v>
      </c>
      <c r="B1305">
        <v>1304</v>
      </c>
      <c r="C1305">
        <v>1</v>
      </c>
      <c r="D1305" s="17" t="s">
        <v>155</v>
      </c>
      <c r="E1305" s="17"/>
      <c r="F1305" s="17" t="s">
        <v>156</v>
      </c>
      <c r="G1305" s="17"/>
      <c r="H1305" s="17" t="s">
        <v>692</v>
      </c>
      <c r="I1305" s="17"/>
      <c r="J1305" s="17" t="s">
        <v>693</v>
      </c>
      <c r="K1305" s="17"/>
      <c r="L1305" s="17"/>
      <c r="M1305" s="17"/>
      <c r="N1305" s="17" t="s">
        <v>7745</v>
      </c>
      <c r="O1305" s="17"/>
      <c r="P1305" s="17" t="s">
        <v>7769</v>
      </c>
      <c r="Q1305" s="17"/>
      <c r="R1305" s="25" t="str">
        <f>HYPERLINK("https://ictv.global/taxonomy/taxondetails?taxnode_id=202312105","Webervirus call")</f>
        <v>Webervirus call</v>
      </c>
      <c r="S1305" s="18" t="s">
        <v>30</v>
      </c>
      <c r="T1305" s="18" t="s">
        <v>7772</v>
      </c>
      <c r="U1305" s="18"/>
      <c r="V1305" s="18"/>
      <c r="W1305" s="18" t="s">
        <v>7773</v>
      </c>
      <c r="X1305" s="18" t="s">
        <v>42</v>
      </c>
      <c r="Y1305" s="18" t="s">
        <v>36</v>
      </c>
      <c r="Z1305" s="18" t="s">
        <v>697</v>
      </c>
      <c r="AA1305" s="21" t="str">
        <f>HYPERLINK("https://www.ncbi.nlm.nih.gov/nuccore/MN013079","NCBI Nucleotide")</f>
        <v>NCBI Nucleotide</v>
      </c>
    </row>
    <row r="1306" spans="1:27" x14ac:dyDescent="0.35">
      <c r="A1306">
        <v>1025204</v>
      </c>
      <c r="B1306">
        <v>1305</v>
      </c>
      <c r="C1306">
        <v>1</v>
      </c>
      <c r="D1306" s="17" t="s">
        <v>155</v>
      </c>
      <c r="E1306" s="17"/>
      <c r="F1306" s="17" t="s">
        <v>156</v>
      </c>
      <c r="G1306" s="17"/>
      <c r="H1306" s="17" t="s">
        <v>692</v>
      </c>
      <c r="I1306" s="17"/>
      <c r="J1306" s="17" t="s">
        <v>693</v>
      </c>
      <c r="K1306" s="17"/>
      <c r="L1306" s="17"/>
      <c r="M1306" s="17"/>
      <c r="N1306" s="17" t="s">
        <v>7745</v>
      </c>
      <c r="O1306" s="17"/>
      <c r="P1306" s="17" t="s">
        <v>7769</v>
      </c>
      <c r="Q1306" s="17"/>
      <c r="R1306" s="25" t="str">
        <f>HYPERLINK("https://ictv.global/taxonomy/taxondetails?taxnode_id=202319517","Webervirus cp1")</f>
        <v>Webervirus cp1</v>
      </c>
      <c r="S1306" s="18" t="s">
        <v>30</v>
      </c>
      <c r="T1306" s="18" t="s">
        <v>39227</v>
      </c>
      <c r="U1306" s="18" t="s">
        <v>39228</v>
      </c>
      <c r="V1306" s="18"/>
      <c r="W1306" s="18" t="s">
        <v>48052</v>
      </c>
      <c r="X1306" s="18" t="s">
        <v>42</v>
      </c>
      <c r="Y1306" s="18" t="s">
        <v>36</v>
      </c>
      <c r="Z1306" s="18" t="s">
        <v>697</v>
      </c>
      <c r="AA1306" s="21" t="str">
        <f>HYPERLINK("https://www.ncbi.nlm.nih.gov/nuccore/OX335417","NCBI Nucleotide")</f>
        <v>NCBI Nucleotide</v>
      </c>
    </row>
    <row r="1307" spans="1:27" x14ac:dyDescent="0.35">
      <c r="A1307">
        <v>1025207</v>
      </c>
      <c r="B1307">
        <v>1306</v>
      </c>
      <c r="C1307">
        <v>1</v>
      </c>
      <c r="D1307" s="17" t="s">
        <v>155</v>
      </c>
      <c r="E1307" s="17"/>
      <c r="F1307" s="17" t="s">
        <v>156</v>
      </c>
      <c r="G1307" s="17"/>
      <c r="H1307" s="17" t="s">
        <v>692</v>
      </c>
      <c r="I1307" s="17"/>
      <c r="J1307" s="17" t="s">
        <v>693</v>
      </c>
      <c r="K1307" s="17"/>
      <c r="L1307" s="17"/>
      <c r="M1307" s="17"/>
      <c r="N1307" s="17" t="s">
        <v>7745</v>
      </c>
      <c r="O1307" s="17"/>
      <c r="P1307" s="17" t="s">
        <v>7769</v>
      </c>
      <c r="Q1307" s="17"/>
      <c r="R1307" s="25" t="str">
        <f>HYPERLINK("https://ictv.global/taxonomy/taxondetails?taxnode_id=202319520","Webervirus cp3")</f>
        <v>Webervirus cp3</v>
      </c>
      <c r="S1307" s="18" t="s">
        <v>30</v>
      </c>
      <c r="T1307" s="18" t="s">
        <v>39229</v>
      </c>
      <c r="U1307" s="18" t="s">
        <v>39230</v>
      </c>
      <c r="V1307" s="18"/>
      <c r="W1307" s="18" t="s">
        <v>48053</v>
      </c>
      <c r="X1307" s="18" t="s">
        <v>42</v>
      </c>
      <c r="Y1307" s="18" t="s">
        <v>36</v>
      </c>
      <c r="Z1307" s="18" t="s">
        <v>697</v>
      </c>
      <c r="AA1307" s="21" t="str">
        <f>HYPERLINK("https://www.ncbi.nlm.nih.gov/nuccore/OX335383","NCBI Nucleotide")</f>
        <v>NCBI Nucleotide</v>
      </c>
    </row>
    <row r="1308" spans="1:27" x14ac:dyDescent="0.35">
      <c r="A1308">
        <v>1025208</v>
      </c>
      <c r="B1308">
        <v>1307</v>
      </c>
      <c r="C1308">
        <v>1</v>
      </c>
      <c r="D1308" s="17" t="s">
        <v>155</v>
      </c>
      <c r="E1308" s="17"/>
      <c r="F1308" s="17" t="s">
        <v>156</v>
      </c>
      <c r="G1308" s="17"/>
      <c r="H1308" s="17" t="s">
        <v>692</v>
      </c>
      <c r="I1308" s="17"/>
      <c r="J1308" s="17" t="s">
        <v>693</v>
      </c>
      <c r="K1308" s="17"/>
      <c r="L1308" s="17"/>
      <c r="M1308" s="17"/>
      <c r="N1308" s="17" t="s">
        <v>7745</v>
      </c>
      <c r="O1308" s="17"/>
      <c r="P1308" s="17" t="s">
        <v>7769</v>
      </c>
      <c r="Q1308" s="17"/>
      <c r="R1308" s="25" t="str">
        <f>HYPERLINK("https://ictv.global/taxonomy/taxondetails?taxnode_id=202319519","Webervirus cp5")</f>
        <v>Webervirus cp5</v>
      </c>
      <c r="S1308" s="18" t="s">
        <v>30</v>
      </c>
      <c r="T1308" s="18" t="s">
        <v>39231</v>
      </c>
      <c r="U1308" s="18" t="s">
        <v>39232</v>
      </c>
      <c r="V1308" s="18"/>
      <c r="W1308" s="18" t="s">
        <v>48054</v>
      </c>
      <c r="X1308" s="18" t="s">
        <v>42</v>
      </c>
      <c r="Y1308" s="18" t="s">
        <v>36</v>
      </c>
      <c r="Z1308" s="18" t="s">
        <v>697</v>
      </c>
      <c r="AA1308" s="21" t="str">
        <f>HYPERLINK("https://www.ncbi.nlm.nih.gov/nuccore/OX335381","NCBI Nucleotide")</f>
        <v>NCBI Nucleotide</v>
      </c>
    </row>
    <row r="1309" spans="1:27" x14ac:dyDescent="0.35">
      <c r="A1309">
        <v>1025205</v>
      </c>
      <c r="B1309">
        <v>1308</v>
      </c>
      <c r="C1309">
        <v>1</v>
      </c>
      <c r="D1309" s="17" t="s">
        <v>155</v>
      </c>
      <c r="E1309" s="17"/>
      <c r="F1309" s="17" t="s">
        <v>156</v>
      </c>
      <c r="G1309" s="17"/>
      <c r="H1309" s="17" t="s">
        <v>692</v>
      </c>
      <c r="I1309" s="17"/>
      <c r="J1309" s="17" t="s">
        <v>693</v>
      </c>
      <c r="K1309" s="17"/>
      <c r="L1309" s="17"/>
      <c r="M1309" s="17"/>
      <c r="N1309" s="17" t="s">
        <v>7745</v>
      </c>
      <c r="O1309" s="17"/>
      <c r="P1309" s="17" t="s">
        <v>7769</v>
      </c>
      <c r="Q1309" s="17"/>
      <c r="R1309" s="25" t="str">
        <f>HYPERLINK("https://ictv.global/taxonomy/taxondetails?taxnode_id=202319568","Webervirus cp17")</f>
        <v>Webervirus cp17</v>
      </c>
      <c r="S1309" s="18" t="s">
        <v>30</v>
      </c>
      <c r="T1309" s="18" t="s">
        <v>39233</v>
      </c>
      <c r="U1309" s="18" t="s">
        <v>39234</v>
      </c>
      <c r="V1309" s="18"/>
      <c r="W1309" s="18" t="s">
        <v>48055</v>
      </c>
      <c r="X1309" s="18" t="s">
        <v>42</v>
      </c>
      <c r="Y1309" s="18" t="s">
        <v>36</v>
      </c>
      <c r="Z1309" s="18" t="s">
        <v>697</v>
      </c>
      <c r="AA1309" s="21" t="str">
        <f>HYPERLINK("https://www.ncbi.nlm.nih.gov/nuccore/OX335395","NCBI Nucleotide")</f>
        <v>NCBI Nucleotide</v>
      </c>
    </row>
    <row r="1310" spans="1:27" x14ac:dyDescent="0.35">
      <c r="A1310">
        <v>1025206</v>
      </c>
      <c r="B1310">
        <v>1309</v>
      </c>
      <c r="C1310">
        <v>1</v>
      </c>
      <c r="D1310" s="17" t="s">
        <v>155</v>
      </c>
      <c r="E1310" s="17"/>
      <c r="F1310" s="17" t="s">
        <v>156</v>
      </c>
      <c r="G1310" s="17"/>
      <c r="H1310" s="17" t="s">
        <v>692</v>
      </c>
      <c r="I1310" s="17"/>
      <c r="J1310" s="17" t="s">
        <v>693</v>
      </c>
      <c r="K1310" s="17"/>
      <c r="L1310" s="17"/>
      <c r="M1310" s="17"/>
      <c r="N1310" s="17" t="s">
        <v>7745</v>
      </c>
      <c r="O1310" s="17"/>
      <c r="P1310" s="17" t="s">
        <v>7769</v>
      </c>
      <c r="Q1310" s="17"/>
      <c r="R1310" s="25" t="str">
        <f>HYPERLINK("https://ictv.global/taxonomy/taxondetails?taxnode_id=202319564","Webervirus cp24")</f>
        <v>Webervirus cp24</v>
      </c>
      <c r="S1310" s="18" t="s">
        <v>30</v>
      </c>
      <c r="T1310" s="18" t="s">
        <v>39235</v>
      </c>
      <c r="U1310" s="18" t="s">
        <v>39236</v>
      </c>
      <c r="V1310" s="18"/>
      <c r="W1310" s="18" t="s">
        <v>48056</v>
      </c>
      <c r="X1310" s="18" t="s">
        <v>42</v>
      </c>
      <c r="Y1310" s="18" t="s">
        <v>36</v>
      </c>
      <c r="Z1310" s="18" t="s">
        <v>697</v>
      </c>
      <c r="AA1310" s="21" t="str">
        <f>HYPERLINK("https://www.ncbi.nlm.nih.gov/nuccore/OX335361","NCBI Nucleotide")</f>
        <v>NCBI Nucleotide</v>
      </c>
    </row>
    <row r="1311" spans="1:27" x14ac:dyDescent="0.35">
      <c r="A1311">
        <v>1001708</v>
      </c>
      <c r="B1311">
        <v>1310</v>
      </c>
      <c r="C1311">
        <v>1</v>
      </c>
      <c r="D1311" s="17" t="s">
        <v>155</v>
      </c>
      <c r="E1311" s="17"/>
      <c r="F1311" s="17" t="s">
        <v>156</v>
      </c>
      <c r="G1311" s="17"/>
      <c r="H1311" s="17" t="s">
        <v>692</v>
      </c>
      <c r="I1311" s="17"/>
      <c r="J1311" s="17" t="s">
        <v>693</v>
      </c>
      <c r="K1311" s="17"/>
      <c r="L1311" s="17"/>
      <c r="M1311" s="17"/>
      <c r="N1311" s="17" t="s">
        <v>7745</v>
      </c>
      <c r="O1311" s="17"/>
      <c r="P1311" s="17" t="s">
        <v>7769</v>
      </c>
      <c r="Q1311" s="17"/>
      <c r="R1311" s="25" t="str">
        <f>HYPERLINK("https://ictv.global/taxonomy/taxondetails?taxnode_id=202312104","Webervirus domnhall")</f>
        <v>Webervirus domnhall</v>
      </c>
      <c r="S1311" s="18" t="s">
        <v>30</v>
      </c>
      <c r="T1311" s="18" t="s">
        <v>7774</v>
      </c>
      <c r="U1311" s="18"/>
      <c r="V1311" s="18"/>
      <c r="W1311" s="18" t="s">
        <v>7775</v>
      </c>
      <c r="X1311" s="18" t="s">
        <v>42</v>
      </c>
      <c r="Y1311" s="18" t="s">
        <v>36</v>
      </c>
      <c r="Z1311" s="18" t="s">
        <v>697</v>
      </c>
      <c r="AA1311" s="21" t="str">
        <f>HYPERLINK("https://www.ncbi.nlm.nih.gov/nuccore/MN013075","NCBI Nucleotide")</f>
        <v>NCBI Nucleotide</v>
      </c>
    </row>
    <row r="1312" spans="1:27" x14ac:dyDescent="0.35">
      <c r="A1312">
        <v>1001709</v>
      </c>
      <c r="B1312">
        <v>1311</v>
      </c>
      <c r="C1312">
        <v>1</v>
      </c>
      <c r="D1312" s="17" t="s">
        <v>155</v>
      </c>
      <c r="E1312" s="17"/>
      <c r="F1312" s="17" t="s">
        <v>156</v>
      </c>
      <c r="G1312" s="17"/>
      <c r="H1312" s="17" t="s">
        <v>692</v>
      </c>
      <c r="I1312" s="17"/>
      <c r="J1312" s="17" t="s">
        <v>693</v>
      </c>
      <c r="K1312" s="17"/>
      <c r="L1312" s="17"/>
      <c r="M1312" s="17"/>
      <c r="N1312" s="17" t="s">
        <v>7745</v>
      </c>
      <c r="O1312" s="17"/>
      <c r="P1312" s="17" t="s">
        <v>7769</v>
      </c>
      <c r="Q1312" s="17"/>
      <c r="R1312" s="25" t="str">
        <f>HYPERLINK("https://ictv.global/taxonomy/taxondetails?taxnode_id=202300805","Webervirus F20")</f>
        <v>Webervirus F20</v>
      </c>
      <c r="S1312" s="18" t="s">
        <v>30</v>
      </c>
      <c r="T1312" s="18" t="s">
        <v>7776</v>
      </c>
      <c r="U1312" s="18"/>
      <c r="V1312" s="18"/>
      <c r="W1312" s="18" t="s">
        <v>7777</v>
      </c>
      <c r="X1312" s="18" t="s">
        <v>154</v>
      </c>
      <c r="Y1312" s="18" t="s">
        <v>36</v>
      </c>
      <c r="Z1312" s="18" t="s">
        <v>697</v>
      </c>
      <c r="AA1312" s="21" t="str">
        <f>HYPERLINK("https://www.ncbi.nlm.nih.gov/nuccore/JN672684","NCBI Nucleotide")</f>
        <v>NCBI Nucleotide</v>
      </c>
    </row>
    <row r="1313" spans="1:27" x14ac:dyDescent="0.35">
      <c r="A1313">
        <v>1025209</v>
      </c>
      <c r="B1313">
        <v>1312</v>
      </c>
      <c r="C1313">
        <v>1</v>
      </c>
      <c r="D1313" s="17" t="s">
        <v>155</v>
      </c>
      <c r="E1313" s="17"/>
      <c r="F1313" s="17" t="s">
        <v>156</v>
      </c>
      <c r="G1313" s="17"/>
      <c r="H1313" s="17" t="s">
        <v>692</v>
      </c>
      <c r="I1313" s="17"/>
      <c r="J1313" s="17" t="s">
        <v>693</v>
      </c>
      <c r="K1313" s="17"/>
      <c r="L1313" s="17"/>
      <c r="M1313" s="17"/>
      <c r="N1313" s="17" t="s">
        <v>7745</v>
      </c>
      <c r="O1313" s="17"/>
      <c r="P1313" s="17" t="s">
        <v>7769</v>
      </c>
      <c r="Q1313" s="17"/>
      <c r="R1313" s="25" t="str">
        <f>HYPERLINK("https://ictv.global/taxonomy/taxondetails?taxnode_id=202319550","Webervirus F1M1D")</f>
        <v>Webervirus F1M1D</v>
      </c>
      <c r="S1313" s="18" t="s">
        <v>30</v>
      </c>
      <c r="T1313" s="18" t="s">
        <v>39237</v>
      </c>
      <c r="U1313" s="18" t="s">
        <v>39238</v>
      </c>
      <c r="V1313" s="18"/>
      <c r="W1313" s="18" t="s">
        <v>48057</v>
      </c>
      <c r="X1313" s="18" t="s">
        <v>42</v>
      </c>
      <c r="Y1313" s="18" t="s">
        <v>36</v>
      </c>
      <c r="Z1313" s="18" t="s">
        <v>697</v>
      </c>
      <c r="AA1313" s="21" t="str">
        <f>HYPERLINK("https://www.ncbi.nlm.nih.gov/nuccore/OL744210","NCBI Nucleotide")</f>
        <v>NCBI Nucleotide</v>
      </c>
    </row>
    <row r="1314" spans="1:27" x14ac:dyDescent="0.35">
      <c r="A1314">
        <v>1025210</v>
      </c>
      <c r="B1314">
        <v>1313</v>
      </c>
      <c r="C1314">
        <v>1</v>
      </c>
      <c r="D1314" s="17" t="s">
        <v>155</v>
      </c>
      <c r="E1314" s="17"/>
      <c r="F1314" s="17" t="s">
        <v>156</v>
      </c>
      <c r="G1314" s="17"/>
      <c r="H1314" s="17" t="s">
        <v>692</v>
      </c>
      <c r="I1314" s="17"/>
      <c r="J1314" s="17" t="s">
        <v>693</v>
      </c>
      <c r="K1314" s="17"/>
      <c r="L1314" s="17"/>
      <c r="M1314" s="17"/>
      <c r="N1314" s="17" t="s">
        <v>7745</v>
      </c>
      <c r="O1314" s="17"/>
      <c r="P1314" s="17" t="s">
        <v>7769</v>
      </c>
      <c r="Q1314" s="17"/>
      <c r="R1314" s="25" t="str">
        <f>HYPERLINK("https://ictv.global/taxonomy/taxondetails?taxnode_id=202319551","Webervirus F2M1D")</f>
        <v>Webervirus F2M1D</v>
      </c>
      <c r="S1314" s="18" t="s">
        <v>30</v>
      </c>
      <c r="T1314" s="18" t="s">
        <v>39239</v>
      </c>
      <c r="U1314" s="18" t="s">
        <v>39240</v>
      </c>
      <c r="V1314" s="18"/>
      <c r="W1314" s="18" t="s">
        <v>48058</v>
      </c>
      <c r="X1314" s="18" t="s">
        <v>42</v>
      </c>
      <c r="Y1314" s="18" t="s">
        <v>36</v>
      </c>
      <c r="Z1314" s="18" t="s">
        <v>697</v>
      </c>
      <c r="AA1314" s="21" t="str">
        <f>HYPERLINK("https://www.ncbi.nlm.nih.gov/nuccore/OL744213","NCBI Nucleotide")</f>
        <v>NCBI Nucleotide</v>
      </c>
    </row>
    <row r="1315" spans="1:27" x14ac:dyDescent="0.35">
      <c r="A1315">
        <v>1025211</v>
      </c>
      <c r="B1315">
        <v>1314</v>
      </c>
      <c r="C1315">
        <v>1</v>
      </c>
      <c r="D1315" s="17" t="s">
        <v>155</v>
      </c>
      <c r="E1315" s="17"/>
      <c r="F1315" s="17" t="s">
        <v>156</v>
      </c>
      <c r="G1315" s="17"/>
      <c r="H1315" s="17" t="s">
        <v>692</v>
      </c>
      <c r="I1315" s="17"/>
      <c r="J1315" s="17" t="s">
        <v>693</v>
      </c>
      <c r="K1315" s="17"/>
      <c r="L1315" s="17"/>
      <c r="M1315" s="17"/>
      <c r="N1315" s="17" t="s">
        <v>7745</v>
      </c>
      <c r="O1315" s="17"/>
      <c r="P1315" s="17" t="s">
        <v>7769</v>
      </c>
      <c r="Q1315" s="17"/>
      <c r="R1315" s="25" t="str">
        <f>HYPERLINK("https://ictv.global/taxonomy/taxondetails?taxnode_id=202319535","Webervirus fairdinkum")</f>
        <v>Webervirus fairdinkum</v>
      </c>
      <c r="S1315" s="18" t="s">
        <v>30</v>
      </c>
      <c r="T1315" s="18" t="s">
        <v>39241</v>
      </c>
      <c r="U1315" s="18" t="s">
        <v>39242</v>
      </c>
      <c r="V1315" s="18"/>
      <c r="W1315" s="18" t="s">
        <v>48059</v>
      </c>
      <c r="X1315" s="18" t="s">
        <v>42</v>
      </c>
      <c r="Y1315" s="18" t="s">
        <v>36</v>
      </c>
      <c r="Z1315" s="18" t="s">
        <v>697</v>
      </c>
      <c r="AA1315" s="21" t="str">
        <f>HYPERLINK("https://www.ncbi.nlm.nih.gov/nuccore/OL539460","NCBI Nucleotide")</f>
        <v>NCBI Nucleotide</v>
      </c>
    </row>
    <row r="1316" spans="1:27" x14ac:dyDescent="0.35">
      <c r="A1316">
        <v>1001710</v>
      </c>
      <c r="B1316">
        <v>1315</v>
      </c>
      <c r="C1316">
        <v>1</v>
      </c>
      <c r="D1316" s="17" t="s">
        <v>155</v>
      </c>
      <c r="E1316" s="17"/>
      <c r="F1316" s="17" t="s">
        <v>156</v>
      </c>
      <c r="G1316" s="17"/>
      <c r="H1316" s="17" t="s">
        <v>692</v>
      </c>
      <c r="I1316" s="17"/>
      <c r="J1316" s="17" t="s">
        <v>693</v>
      </c>
      <c r="K1316" s="17"/>
      <c r="L1316" s="17"/>
      <c r="M1316" s="17"/>
      <c r="N1316" s="17" t="s">
        <v>7745</v>
      </c>
      <c r="O1316" s="17"/>
      <c r="P1316" s="17" t="s">
        <v>7769</v>
      </c>
      <c r="Q1316" s="17"/>
      <c r="R1316" s="25" t="str">
        <f>HYPERLINK("https://ictv.global/taxonomy/taxondetails?taxnode_id=202312109","Webervirus FZ10")</f>
        <v>Webervirus FZ10</v>
      </c>
      <c r="S1316" s="18" t="s">
        <v>30</v>
      </c>
      <c r="T1316" s="18" t="s">
        <v>7778</v>
      </c>
      <c r="U1316" s="18"/>
      <c r="V1316" s="18"/>
      <c r="W1316" s="18" t="s">
        <v>7779</v>
      </c>
      <c r="X1316" s="18" t="s">
        <v>42</v>
      </c>
      <c r="Y1316" s="18" t="s">
        <v>36</v>
      </c>
      <c r="Z1316" s="18" t="s">
        <v>697</v>
      </c>
      <c r="AA1316" s="21" t="str">
        <f>HYPERLINK("https://www.ncbi.nlm.nih.gov/nuccore/MK521904","NCBI Nucleotide")</f>
        <v>NCBI Nucleotide</v>
      </c>
    </row>
    <row r="1317" spans="1:27" x14ac:dyDescent="0.35">
      <c r="A1317">
        <v>1001711</v>
      </c>
      <c r="B1317">
        <v>1316</v>
      </c>
      <c r="C1317">
        <v>1</v>
      </c>
      <c r="D1317" s="17" t="s">
        <v>155</v>
      </c>
      <c r="E1317" s="17"/>
      <c r="F1317" s="17" t="s">
        <v>156</v>
      </c>
      <c r="G1317" s="17"/>
      <c r="H1317" s="17" t="s">
        <v>692</v>
      </c>
      <c r="I1317" s="17"/>
      <c r="J1317" s="17" t="s">
        <v>693</v>
      </c>
      <c r="K1317" s="17"/>
      <c r="L1317" s="17"/>
      <c r="M1317" s="17"/>
      <c r="N1317" s="17" t="s">
        <v>7745</v>
      </c>
      <c r="O1317" s="17"/>
      <c r="P1317" s="17" t="s">
        <v>7769</v>
      </c>
      <c r="Q1317" s="17"/>
      <c r="R1317" s="25" t="str">
        <f>HYPERLINK("https://ictv.global/taxonomy/taxondetails?taxnode_id=202308186","Webervirus GHK3")</f>
        <v>Webervirus GHK3</v>
      </c>
      <c r="S1317" s="18" t="s">
        <v>30</v>
      </c>
      <c r="T1317" s="18" t="s">
        <v>7780</v>
      </c>
      <c r="U1317" s="18"/>
      <c r="V1317" s="18"/>
      <c r="W1317" s="18" t="s">
        <v>7781</v>
      </c>
      <c r="X1317" s="18" t="s">
        <v>42</v>
      </c>
      <c r="Y1317" s="18" t="s">
        <v>36</v>
      </c>
      <c r="Z1317" s="18" t="s">
        <v>697</v>
      </c>
      <c r="AA1317" s="21" t="str">
        <f>HYPERLINK("https://www.ncbi.nlm.nih.gov/nuccore/MH844531","NCBI Nucleotide")</f>
        <v>NCBI Nucleotide</v>
      </c>
    </row>
    <row r="1318" spans="1:27" x14ac:dyDescent="0.35">
      <c r="A1318">
        <v>1025212</v>
      </c>
      <c r="B1318">
        <v>1317</v>
      </c>
      <c r="C1318">
        <v>1</v>
      </c>
      <c r="D1318" s="17" t="s">
        <v>155</v>
      </c>
      <c r="E1318" s="17"/>
      <c r="F1318" s="17" t="s">
        <v>156</v>
      </c>
      <c r="G1318" s="17"/>
      <c r="H1318" s="17" t="s">
        <v>692</v>
      </c>
      <c r="I1318" s="17"/>
      <c r="J1318" s="17" t="s">
        <v>693</v>
      </c>
      <c r="K1318" s="17"/>
      <c r="L1318" s="17"/>
      <c r="M1318" s="17"/>
      <c r="N1318" s="17" t="s">
        <v>7745</v>
      </c>
      <c r="O1318" s="17"/>
      <c r="P1318" s="17" t="s">
        <v>7769</v>
      </c>
      <c r="Q1318" s="17"/>
      <c r="R1318" s="25" t="str">
        <f>HYPERLINK("https://ictv.global/taxonomy/taxondetails?taxnode_id=202319521","Webervirus GZ9")</f>
        <v>Webervirus GZ9</v>
      </c>
      <c r="S1318" s="18" t="s">
        <v>30</v>
      </c>
      <c r="T1318" s="18" t="s">
        <v>39243</v>
      </c>
      <c r="U1318" s="18" t="s">
        <v>39244</v>
      </c>
      <c r="V1318" s="18"/>
      <c r="W1318" s="18" t="s">
        <v>48060</v>
      </c>
      <c r="X1318" s="18" t="s">
        <v>42</v>
      </c>
      <c r="Y1318" s="18" t="s">
        <v>36</v>
      </c>
      <c r="Z1318" s="18" t="s">
        <v>697</v>
      </c>
      <c r="AA1318" s="21" t="str">
        <f>HYPERLINK("https://www.ncbi.nlm.nih.gov/nuccore/OP267563","NCBI Nucleotide")</f>
        <v>NCBI Nucleotide</v>
      </c>
    </row>
    <row r="1319" spans="1:27" x14ac:dyDescent="0.35">
      <c r="A1319">
        <v>1025213</v>
      </c>
      <c r="B1319">
        <v>1318</v>
      </c>
      <c r="C1319">
        <v>1</v>
      </c>
      <c r="D1319" s="17" t="s">
        <v>155</v>
      </c>
      <c r="E1319" s="17"/>
      <c r="F1319" s="17" t="s">
        <v>156</v>
      </c>
      <c r="G1319" s="17"/>
      <c r="H1319" s="17" t="s">
        <v>692</v>
      </c>
      <c r="I1319" s="17"/>
      <c r="J1319" s="17" t="s">
        <v>693</v>
      </c>
      <c r="K1319" s="17"/>
      <c r="L1319" s="17"/>
      <c r="M1319" s="17"/>
      <c r="N1319" s="17" t="s">
        <v>7745</v>
      </c>
      <c r="O1319" s="17"/>
      <c r="P1319" s="17" t="s">
        <v>7769</v>
      </c>
      <c r="Q1319" s="17"/>
      <c r="R1319" s="25" t="str">
        <f>HYPERLINK("https://ictv.global/taxonomy/taxondetails?taxnode_id=202319548","Webervirus IME268")</f>
        <v>Webervirus IME268</v>
      </c>
      <c r="S1319" s="18" t="s">
        <v>30</v>
      </c>
      <c r="T1319" s="18" t="s">
        <v>39245</v>
      </c>
      <c r="U1319" s="18" t="s">
        <v>39246</v>
      </c>
      <c r="V1319" s="18"/>
      <c r="W1319" s="18" t="s">
        <v>48061</v>
      </c>
      <c r="X1319" s="18" t="s">
        <v>42</v>
      </c>
      <c r="Y1319" s="18" t="s">
        <v>36</v>
      </c>
      <c r="Z1319" s="18" t="s">
        <v>697</v>
      </c>
      <c r="AA1319" s="21" t="str">
        <f>HYPERLINK("https://www.ncbi.nlm.nih.gov/nuccore/MZ398242","NCBI Nucleotide")</f>
        <v>NCBI Nucleotide</v>
      </c>
    </row>
    <row r="1320" spans="1:27" x14ac:dyDescent="0.35">
      <c r="A1320">
        <v>1025214</v>
      </c>
      <c r="B1320">
        <v>1319</v>
      </c>
      <c r="C1320">
        <v>1</v>
      </c>
      <c r="D1320" s="17" t="s">
        <v>155</v>
      </c>
      <c r="E1320" s="17"/>
      <c r="F1320" s="17" t="s">
        <v>156</v>
      </c>
      <c r="G1320" s="17"/>
      <c r="H1320" s="17" t="s">
        <v>692</v>
      </c>
      <c r="I1320" s="17"/>
      <c r="J1320" s="17" t="s">
        <v>693</v>
      </c>
      <c r="K1320" s="17"/>
      <c r="L1320" s="17"/>
      <c r="M1320" s="17"/>
      <c r="N1320" s="17" t="s">
        <v>7745</v>
      </c>
      <c r="O1320" s="17"/>
      <c r="P1320" s="17" t="s">
        <v>7769</v>
      </c>
      <c r="Q1320" s="17"/>
      <c r="R1320" s="25" t="str">
        <f>HYPERLINK("https://ictv.global/taxonomy/taxondetails?taxnode_id=202319547","Webervirus IME328")</f>
        <v>Webervirus IME328</v>
      </c>
      <c r="S1320" s="18" t="s">
        <v>30</v>
      </c>
      <c r="T1320" s="18" t="s">
        <v>39247</v>
      </c>
      <c r="U1320" s="18" t="s">
        <v>39248</v>
      </c>
      <c r="V1320" s="18"/>
      <c r="W1320" s="18" t="s">
        <v>48062</v>
      </c>
      <c r="X1320" s="18" t="s">
        <v>42</v>
      </c>
      <c r="Y1320" s="18" t="s">
        <v>36</v>
      </c>
      <c r="Z1320" s="18" t="s">
        <v>697</v>
      </c>
      <c r="AA1320" s="21" t="str">
        <f>HYPERLINK("https://www.ncbi.nlm.nih.gov/nuccore/OK138555","NCBI Nucleotide")</f>
        <v>NCBI Nucleotide</v>
      </c>
    </row>
    <row r="1321" spans="1:27" x14ac:dyDescent="0.35">
      <c r="A1321">
        <v>1001712</v>
      </c>
      <c r="B1321">
        <v>1320</v>
      </c>
      <c r="C1321">
        <v>1</v>
      </c>
      <c r="D1321" s="17" t="s">
        <v>155</v>
      </c>
      <c r="E1321" s="17"/>
      <c r="F1321" s="17" t="s">
        <v>156</v>
      </c>
      <c r="G1321" s="17"/>
      <c r="H1321" s="17" t="s">
        <v>692</v>
      </c>
      <c r="I1321" s="17"/>
      <c r="J1321" s="17" t="s">
        <v>693</v>
      </c>
      <c r="K1321" s="17"/>
      <c r="L1321" s="17"/>
      <c r="M1321" s="17"/>
      <c r="N1321" s="17" t="s">
        <v>7745</v>
      </c>
      <c r="O1321" s="17"/>
      <c r="P1321" s="17" t="s">
        <v>7769</v>
      </c>
      <c r="Q1321" s="17"/>
      <c r="R1321" s="25" t="str">
        <f>HYPERLINK("https://ictv.global/taxonomy/taxondetails?taxnode_id=202312103","Webervirus IMGroot")</f>
        <v>Webervirus IMGroot</v>
      </c>
      <c r="S1321" s="18" t="s">
        <v>30</v>
      </c>
      <c r="T1321" s="18" t="s">
        <v>7782</v>
      </c>
      <c r="U1321" s="18"/>
      <c r="V1321" s="18"/>
      <c r="W1321" s="18" t="s">
        <v>7783</v>
      </c>
      <c r="X1321" s="18" t="s">
        <v>42</v>
      </c>
      <c r="Y1321" s="18" t="s">
        <v>36</v>
      </c>
      <c r="Z1321" s="18" t="s">
        <v>697</v>
      </c>
      <c r="AA1321" s="21" t="str">
        <f>HYPERLINK("https://www.ncbi.nlm.nih.gov/nuccore/MN013076","NCBI Nucleotide")</f>
        <v>NCBI Nucleotide</v>
      </c>
    </row>
    <row r="1322" spans="1:27" x14ac:dyDescent="0.35">
      <c r="A1322">
        <v>1001713</v>
      </c>
      <c r="B1322">
        <v>1321</v>
      </c>
      <c r="C1322">
        <v>1</v>
      </c>
      <c r="D1322" s="17" t="s">
        <v>155</v>
      </c>
      <c r="E1322" s="17"/>
      <c r="F1322" s="17" t="s">
        <v>156</v>
      </c>
      <c r="G1322" s="17"/>
      <c r="H1322" s="17" t="s">
        <v>692</v>
      </c>
      <c r="I1322" s="17"/>
      <c r="J1322" s="17" t="s">
        <v>693</v>
      </c>
      <c r="K1322" s="17"/>
      <c r="L1322" s="17"/>
      <c r="M1322" s="17"/>
      <c r="N1322" s="17" t="s">
        <v>7745</v>
      </c>
      <c r="O1322" s="17"/>
      <c r="P1322" s="17" t="s">
        <v>7769</v>
      </c>
      <c r="Q1322" s="17"/>
      <c r="R1322" s="25" t="str">
        <f>HYPERLINK("https://ictv.global/taxonomy/taxondetails?taxnode_id=202312112","Webervirus JY917")</f>
        <v>Webervirus JY917</v>
      </c>
      <c r="S1322" s="18" t="s">
        <v>30</v>
      </c>
      <c r="T1322" s="18" t="s">
        <v>7784</v>
      </c>
      <c r="U1322" s="18"/>
      <c r="V1322" s="18"/>
      <c r="W1322" s="18" t="s">
        <v>7785</v>
      </c>
      <c r="X1322" s="18" t="s">
        <v>42</v>
      </c>
      <c r="Y1322" s="18" t="s">
        <v>36</v>
      </c>
      <c r="Z1322" s="18" t="s">
        <v>697</v>
      </c>
      <c r="AA1322" s="21" t="str">
        <f>HYPERLINK("https://www.ncbi.nlm.nih.gov/nuccore/MG894052","NCBI Nucleotide")</f>
        <v>NCBI Nucleotide</v>
      </c>
    </row>
    <row r="1323" spans="1:27" x14ac:dyDescent="0.35">
      <c r="A1323">
        <v>1025215</v>
      </c>
      <c r="B1323">
        <v>1322</v>
      </c>
      <c r="C1323">
        <v>1</v>
      </c>
      <c r="D1323" s="17" t="s">
        <v>155</v>
      </c>
      <c r="E1323" s="17"/>
      <c r="F1323" s="17" t="s">
        <v>156</v>
      </c>
      <c r="G1323" s="17"/>
      <c r="H1323" s="17" t="s">
        <v>692</v>
      </c>
      <c r="I1323" s="17"/>
      <c r="J1323" s="17" t="s">
        <v>693</v>
      </c>
      <c r="K1323" s="17"/>
      <c r="L1323" s="17"/>
      <c r="M1323" s="17"/>
      <c r="N1323" s="17" t="s">
        <v>7745</v>
      </c>
      <c r="O1323" s="17"/>
      <c r="P1323" s="17" t="s">
        <v>7769</v>
      </c>
      <c r="Q1323" s="17"/>
      <c r="R1323" s="25" t="str">
        <f>HYPERLINK("https://ictv.global/taxonomy/taxondetails?taxnode_id=202319554","Webervirus kingDDD")</f>
        <v>Webervirus kingDDD</v>
      </c>
      <c r="S1323" s="18" t="s">
        <v>30</v>
      </c>
      <c r="T1323" s="18" t="s">
        <v>39249</v>
      </c>
      <c r="U1323" s="18" t="s">
        <v>39250</v>
      </c>
      <c r="V1323" s="18"/>
      <c r="W1323" s="18" t="s">
        <v>48063</v>
      </c>
      <c r="X1323" s="18" t="s">
        <v>42</v>
      </c>
      <c r="Y1323" s="18" t="s">
        <v>36</v>
      </c>
      <c r="Z1323" s="18" t="s">
        <v>697</v>
      </c>
      <c r="AA1323" s="21" t="str">
        <f>HYPERLINK("https://www.ncbi.nlm.nih.gov/nuccore/MN013078","NCBI Nucleotide")</f>
        <v>NCBI Nucleotide</v>
      </c>
    </row>
    <row r="1324" spans="1:27" x14ac:dyDescent="0.35">
      <c r="A1324">
        <v>1001714</v>
      </c>
      <c r="B1324">
        <v>1323</v>
      </c>
      <c r="C1324">
        <v>1</v>
      </c>
      <c r="D1324" s="17" t="s">
        <v>155</v>
      </c>
      <c r="E1324" s="17"/>
      <c r="F1324" s="17" t="s">
        <v>156</v>
      </c>
      <c r="G1324" s="17"/>
      <c r="H1324" s="17" t="s">
        <v>692</v>
      </c>
      <c r="I1324" s="17"/>
      <c r="J1324" s="17" t="s">
        <v>693</v>
      </c>
      <c r="K1324" s="17"/>
      <c r="L1324" s="17"/>
      <c r="M1324" s="17"/>
      <c r="N1324" s="17" t="s">
        <v>7745</v>
      </c>
      <c r="O1324" s="17"/>
      <c r="P1324" s="17" t="s">
        <v>7769</v>
      </c>
      <c r="Q1324" s="17"/>
      <c r="R1324" s="25" t="str">
        <f>HYPERLINK("https://ictv.global/taxonomy/taxondetails?taxnode_id=202312107","Webervirus KL")</f>
        <v>Webervirus KL</v>
      </c>
      <c r="S1324" s="18" t="s">
        <v>30</v>
      </c>
      <c r="T1324" s="18" t="s">
        <v>7786</v>
      </c>
      <c r="U1324" s="18"/>
      <c r="V1324" s="18"/>
      <c r="W1324" s="18" t="s">
        <v>7787</v>
      </c>
      <c r="X1324" s="18" t="s">
        <v>42</v>
      </c>
      <c r="Y1324" s="18" t="s">
        <v>36</v>
      </c>
      <c r="Z1324" s="18" t="s">
        <v>697</v>
      </c>
      <c r="AA1324" s="21" t="str">
        <f>HYPERLINK("https://www.ncbi.nlm.nih.gov/nuccore/MN379832","NCBI Nucleotide")</f>
        <v>NCBI Nucleotide</v>
      </c>
    </row>
    <row r="1325" spans="1:27" x14ac:dyDescent="0.35">
      <c r="A1325">
        <v>1001715</v>
      </c>
      <c r="B1325">
        <v>1324</v>
      </c>
      <c r="C1325">
        <v>1</v>
      </c>
      <c r="D1325" s="17" t="s">
        <v>155</v>
      </c>
      <c r="E1325" s="17"/>
      <c r="F1325" s="17" t="s">
        <v>156</v>
      </c>
      <c r="G1325" s="17"/>
      <c r="H1325" s="17" t="s">
        <v>692</v>
      </c>
      <c r="I1325" s="17"/>
      <c r="J1325" s="17" t="s">
        <v>693</v>
      </c>
      <c r="K1325" s="17"/>
      <c r="L1325" s="17"/>
      <c r="M1325" s="17"/>
      <c r="N1325" s="17" t="s">
        <v>7745</v>
      </c>
      <c r="O1325" s="17"/>
      <c r="P1325" s="17" t="s">
        <v>7769</v>
      </c>
      <c r="Q1325" s="17"/>
      <c r="R1325" s="25" t="str">
        <f>HYPERLINK("https://ictv.global/taxonomy/taxondetails?taxnode_id=202300807","Webervirus KLPN1")</f>
        <v>Webervirus KLPN1</v>
      </c>
      <c r="S1325" s="18" t="s">
        <v>30</v>
      </c>
      <c r="T1325" s="18" t="s">
        <v>7788</v>
      </c>
      <c r="U1325" s="18"/>
      <c r="V1325" s="18"/>
      <c r="W1325" s="18" t="s">
        <v>7789</v>
      </c>
      <c r="X1325" s="18" t="s">
        <v>42</v>
      </c>
      <c r="Y1325" s="18" t="s">
        <v>36</v>
      </c>
      <c r="Z1325" s="18" t="s">
        <v>697</v>
      </c>
      <c r="AA1325" s="21" t="str">
        <f>HYPERLINK("https://www.ncbi.nlm.nih.gov/nuccore/KR262148","NCBI Nucleotide")</f>
        <v>NCBI Nucleotide</v>
      </c>
    </row>
    <row r="1326" spans="1:27" x14ac:dyDescent="0.35">
      <c r="A1326">
        <v>1001716</v>
      </c>
      <c r="B1326">
        <v>1325</v>
      </c>
      <c r="C1326">
        <v>1</v>
      </c>
      <c r="D1326" s="17" t="s">
        <v>155</v>
      </c>
      <c r="E1326" s="17"/>
      <c r="F1326" s="17" t="s">
        <v>156</v>
      </c>
      <c r="G1326" s="17"/>
      <c r="H1326" s="17" t="s">
        <v>692</v>
      </c>
      <c r="I1326" s="17"/>
      <c r="J1326" s="17" t="s">
        <v>693</v>
      </c>
      <c r="K1326" s="17"/>
      <c r="L1326" s="17"/>
      <c r="M1326" s="17"/>
      <c r="N1326" s="17" t="s">
        <v>7745</v>
      </c>
      <c r="O1326" s="17"/>
      <c r="P1326" s="17" t="s">
        <v>7769</v>
      </c>
      <c r="Q1326" s="17"/>
      <c r="R1326" s="25" t="str">
        <f>HYPERLINK("https://ictv.global/taxonomy/taxondetails?taxnode_id=202312111","Webervirus KLPPOU149")</f>
        <v>Webervirus KLPPOU149</v>
      </c>
      <c r="S1326" s="18" t="s">
        <v>30</v>
      </c>
      <c r="T1326" s="18" t="s">
        <v>7790</v>
      </c>
      <c r="U1326" s="18"/>
      <c r="V1326" s="18"/>
      <c r="W1326" s="18" t="s">
        <v>7791</v>
      </c>
      <c r="X1326" s="18" t="s">
        <v>42</v>
      </c>
      <c r="Y1326" s="18" t="s">
        <v>36</v>
      </c>
      <c r="Z1326" s="18" t="s">
        <v>697</v>
      </c>
      <c r="AA1326" s="21" t="str">
        <f>HYPERLINK("https://www.ncbi.nlm.nih.gov/nuccore/MN689779","NCBI Nucleotide")</f>
        <v>NCBI Nucleotide</v>
      </c>
    </row>
    <row r="1327" spans="1:27" x14ac:dyDescent="0.35">
      <c r="A1327">
        <v>1001717</v>
      </c>
      <c r="B1327">
        <v>1326</v>
      </c>
      <c r="C1327">
        <v>1</v>
      </c>
      <c r="D1327" s="17" t="s">
        <v>155</v>
      </c>
      <c r="E1327" s="17"/>
      <c r="F1327" s="17" t="s">
        <v>156</v>
      </c>
      <c r="G1327" s="17"/>
      <c r="H1327" s="17" t="s">
        <v>692</v>
      </c>
      <c r="I1327" s="17"/>
      <c r="J1327" s="17" t="s">
        <v>693</v>
      </c>
      <c r="K1327" s="17"/>
      <c r="L1327" s="17"/>
      <c r="M1327" s="17"/>
      <c r="N1327" s="17" t="s">
        <v>7745</v>
      </c>
      <c r="O1327" s="17"/>
      <c r="P1327" s="17" t="s">
        <v>7769</v>
      </c>
      <c r="Q1327" s="17"/>
      <c r="R1327" s="25" t="str">
        <f>HYPERLINK("https://ictv.global/taxonomy/taxondetails?taxnode_id=202308176","Webervirus KOX1")</f>
        <v>Webervirus KOX1</v>
      </c>
      <c r="S1327" s="18" t="s">
        <v>30</v>
      </c>
      <c r="T1327" s="18" t="s">
        <v>7792</v>
      </c>
      <c r="U1327" s="18"/>
      <c r="V1327" s="18"/>
      <c r="W1327" s="18" t="s">
        <v>7793</v>
      </c>
      <c r="X1327" s="18" t="s">
        <v>42</v>
      </c>
      <c r="Y1327" s="18" t="s">
        <v>36</v>
      </c>
      <c r="Z1327" s="18" t="s">
        <v>697</v>
      </c>
      <c r="AA1327" s="21" t="str">
        <f>HYPERLINK("https://www.ncbi.nlm.nih.gov/nuccore/KY780482","NCBI Nucleotide")</f>
        <v>NCBI Nucleotide</v>
      </c>
    </row>
    <row r="1328" spans="1:27" x14ac:dyDescent="0.35">
      <c r="A1328">
        <v>1001838</v>
      </c>
      <c r="B1328">
        <v>1327</v>
      </c>
      <c r="C1328">
        <v>1</v>
      </c>
      <c r="D1328" s="17" t="s">
        <v>155</v>
      </c>
      <c r="E1328" s="17"/>
      <c r="F1328" s="17" t="s">
        <v>156</v>
      </c>
      <c r="G1328" s="17"/>
      <c r="H1328" s="17" t="s">
        <v>692</v>
      </c>
      <c r="I1328" s="17"/>
      <c r="J1328" s="17" t="s">
        <v>693</v>
      </c>
      <c r="K1328" s="17"/>
      <c r="L1328" s="17"/>
      <c r="M1328" s="17"/>
      <c r="N1328" s="17" t="s">
        <v>7745</v>
      </c>
      <c r="O1328" s="17"/>
      <c r="P1328" s="17" t="s">
        <v>7769</v>
      </c>
      <c r="Q1328" s="17"/>
      <c r="R1328" s="25" t="str">
        <f>HYPERLINK("https://ictv.global/taxonomy/taxondetails?taxnode_id=202300808","Webervirus KP36")</f>
        <v>Webervirus KP36</v>
      </c>
      <c r="S1328" s="18" t="s">
        <v>30</v>
      </c>
      <c r="T1328" s="18" t="s">
        <v>7796</v>
      </c>
      <c r="U1328" s="18"/>
      <c r="V1328" s="18"/>
      <c r="W1328" s="18" t="s">
        <v>7797</v>
      </c>
      <c r="X1328" s="18" t="s">
        <v>42</v>
      </c>
      <c r="Y1328" s="18" t="s">
        <v>36</v>
      </c>
      <c r="Z1328" s="18" t="s">
        <v>697</v>
      </c>
      <c r="AA1328" s="21" t="str">
        <f>HYPERLINK("https://www.ncbi.nlm.nih.gov/nuccore/JF501022","NCBI Nucleotide")</f>
        <v>NCBI Nucleotide</v>
      </c>
    </row>
    <row r="1329" spans="1:27" x14ac:dyDescent="0.35">
      <c r="A1329">
        <v>1025216</v>
      </c>
      <c r="B1329">
        <v>1328</v>
      </c>
      <c r="C1329">
        <v>1</v>
      </c>
      <c r="D1329" s="17" t="s">
        <v>155</v>
      </c>
      <c r="E1329" s="17"/>
      <c r="F1329" s="17" t="s">
        <v>156</v>
      </c>
      <c r="G1329" s="17"/>
      <c r="H1329" s="17" t="s">
        <v>692</v>
      </c>
      <c r="I1329" s="17"/>
      <c r="J1329" s="17" t="s">
        <v>693</v>
      </c>
      <c r="K1329" s="17"/>
      <c r="L1329" s="17"/>
      <c r="M1329" s="17"/>
      <c r="N1329" s="17" t="s">
        <v>7745</v>
      </c>
      <c r="O1329" s="17"/>
      <c r="P1329" s="17" t="s">
        <v>7769</v>
      </c>
      <c r="Q1329" s="17"/>
      <c r="R1329" s="25" t="str">
        <f>HYPERLINK("https://ictv.global/taxonomy/taxondetails?taxnode_id=202319571","Webervirus KP132")</f>
        <v>Webervirus KP132</v>
      </c>
      <c r="S1329" s="18" t="s">
        <v>30</v>
      </c>
      <c r="T1329" s="18" t="s">
        <v>39251</v>
      </c>
      <c r="U1329" s="18" t="s">
        <v>39252</v>
      </c>
      <c r="V1329" s="18"/>
      <c r="W1329" s="18" t="s">
        <v>48064</v>
      </c>
      <c r="X1329" s="18" t="s">
        <v>42</v>
      </c>
      <c r="Y1329" s="18" t="s">
        <v>36</v>
      </c>
      <c r="Z1329" s="18" t="s">
        <v>697</v>
      </c>
      <c r="AA1329" s="21" t="str">
        <f>HYPERLINK("https://www.ncbi.nlm.nih.gov/nuccore/OP617742","NCBI Nucleotide")</f>
        <v>NCBI Nucleotide</v>
      </c>
    </row>
    <row r="1330" spans="1:27" x14ac:dyDescent="0.35">
      <c r="A1330">
        <v>1001837</v>
      </c>
      <c r="B1330">
        <v>1329</v>
      </c>
      <c r="C1330">
        <v>1</v>
      </c>
      <c r="D1330" s="17" t="s">
        <v>155</v>
      </c>
      <c r="E1330" s="17"/>
      <c r="F1330" s="17" t="s">
        <v>156</v>
      </c>
      <c r="G1330" s="17"/>
      <c r="H1330" s="17" t="s">
        <v>692</v>
      </c>
      <c r="I1330" s="17"/>
      <c r="J1330" s="17" t="s">
        <v>693</v>
      </c>
      <c r="K1330" s="17"/>
      <c r="L1330" s="17"/>
      <c r="M1330" s="17"/>
      <c r="N1330" s="17" t="s">
        <v>7745</v>
      </c>
      <c r="O1330" s="17"/>
      <c r="P1330" s="17" t="s">
        <v>7769</v>
      </c>
      <c r="Q1330" s="17"/>
      <c r="R1330" s="25" t="str">
        <f>HYPERLINK("https://ictv.global/taxonomy/taxondetails?taxnode_id=202312117","Webervirus KP1801")</f>
        <v>Webervirus KP1801</v>
      </c>
      <c r="S1330" s="18" t="s">
        <v>30</v>
      </c>
      <c r="T1330" s="18" t="s">
        <v>7794</v>
      </c>
      <c r="U1330" s="18"/>
      <c r="V1330" s="18"/>
      <c r="W1330" s="18" t="s">
        <v>7795</v>
      </c>
      <c r="X1330" s="18" t="s">
        <v>42</v>
      </c>
      <c r="Y1330" s="18" t="s">
        <v>36</v>
      </c>
      <c r="Z1330" s="18" t="s">
        <v>697</v>
      </c>
      <c r="AA1330" s="21" t="str">
        <f>HYPERLINK("https://www.ncbi.nlm.nih.gov/nuccore/MN783016","NCBI Nucleotide")</f>
        <v>NCBI Nucleotide</v>
      </c>
    </row>
    <row r="1331" spans="1:27" x14ac:dyDescent="0.35">
      <c r="A1331">
        <v>1001839</v>
      </c>
      <c r="B1331">
        <v>1330</v>
      </c>
      <c r="C1331">
        <v>1</v>
      </c>
      <c r="D1331" s="17" t="s">
        <v>155</v>
      </c>
      <c r="E1331" s="17"/>
      <c r="F1331" s="17" t="s">
        <v>156</v>
      </c>
      <c r="G1331" s="17"/>
      <c r="H1331" s="17" t="s">
        <v>692</v>
      </c>
      <c r="I1331" s="17"/>
      <c r="J1331" s="17" t="s">
        <v>693</v>
      </c>
      <c r="K1331" s="17"/>
      <c r="L1331" s="17"/>
      <c r="M1331" s="17"/>
      <c r="N1331" s="17" t="s">
        <v>7745</v>
      </c>
      <c r="O1331" s="17"/>
      <c r="P1331" s="17" t="s">
        <v>7769</v>
      </c>
      <c r="Q1331" s="17"/>
      <c r="R1331" s="25" t="str">
        <f>HYPERLINK("https://ictv.global/taxonomy/taxondetails?taxnode_id=202308183","Webervirus KpCol1")</f>
        <v>Webervirus KpCol1</v>
      </c>
      <c r="S1331" s="18" t="s">
        <v>30</v>
      </c>
      <c r="T1331" s="18" t="s">
        <v>7798</v>
      </c>
      <c r="U1331" s="18"/>
      <c r="V1331" s="18"/>
      <c r="W1331" s="18" t="s">
        <v>7799</v>
      </c>
      <c r="X1331" s="18" t="s">
        <v>42</v>
      </c>
      <c r="Y1331" s="18" t="s">
        <v>36</v>
      </c>
      <c r="Z1331" s="18" t="s">
        <v>697</v>
      </c>
      <c r="AA1331" s="21" t="str">
        <f>HYPERLINK("https://www.ncbi.nlm.nih.gov/nuccore/MG552615","NCBI Nucleotide")</f>
        <v>NCBI Nucleotide</v>
      </c>
    </row>
    <row r="1332" spans="1:27" x14ac:dyDescent="0.35">
      <c r="A1332">
        <v>1001840</v>
      </c>
      <c r="B1332">
        <v>1331</v>
      </c>
      <c r="C1332">
        <v>1</v>
      </c>
      <c r="D1332" s="17" t="s">
        <v>155</v>
      </c>
      <c r="E1332" s="17"/>
      <c r="F1332" s="17" t="s">
        <v>156</v>
      </c>
      <c r="G1332" s="17"/>
      <c r="H1332" s="17" t="s">
        <v>692</v>
      </c>
      <c r="I1332" s="17"/>
      <c r="J1332" s="17" t="s">
        <v>693</v>
      </c>
      <c r="K1332" s="17"/>
      <c r="L1332" s="17"/>
      <c r="M1332" s="17"/>
      <c r="N1332" s="17" t="s">
        <v>7745</v>
      </c>
      <c r="O1332" s="17"/>
      <c r="P1332" s="17" t="s">
        <v>7769</v>
      </c>
      <c r="Q1332" s="17"/>
      <c r="R1332" s="25" t="str">
        <f>HYPERLINK("https://ictv.global/taxonomy/taxondetails?taxnode_id=202308185","Webervirus KpKT21phi1")</f>
        <v>Webervirus KpKT21phi1</v>
      </c>
      <c r="S1332" s="18" t="s">
        <v>30</v>
      </c>
      <c r="T1332" s="18" t="s">
        <v>7800</v>
      </c>
      <c r="U1332" s="18"/>
      <c r="V1332" s="18"/>
      <c r="W1332" s="18" t="s">
        <v>7801</v>
      </c>
      <c r="X1332" s="18" t="s">
        <v>42</v>
      </c>
      <c r="Y1332" s="18" t="s">
        <v>36</v>
      </c>
      <c r="Z1332" s="18" t="s">
        <v>697</v>
      </c>
      <c r="AA1332" s="21" t="str">
        <f>HYPERLINK("https://www.ncbi.nlm.nih.gov/nuccore/MK278861","NCBI Nucleotide")</f>
        <v>NCBI Nucleotide</v>
      </c>
    </row>
    <row r="1333" spans="1:27" x14ac:dyDescent="0.35">
      <c r="A1333">
        <v>1025217</v>
      </c>
      <c r="B1333">
        <v>1332</v>
      </c>
      <c r="C1333">
        <v>1</v>
      </c>
      <c r="D1333" s="17" t="s">
        <v>155</v>
      </c>
      <c r="E1333" s="17"/>
      <c r="F1333" s="17" t="s">
        <v>156</v>
      </c>
      <c r="G1333" s="17"/>
      <c r="H1333" s="17" t="s">
        <v>692</v>
      </c>
      <c r="I1333" s="17"/>
      <c r="J1333" s="17" t="s">
        <v>693</v>
      </c>
      <c r="K1333" s="17"/>
      <c r="L1333" s="17"/>
      <c r="M1333" s="17"/>
      <c r="N1333" s="17" t="s">
        <v>7745</v>
      </c>
      <c r="O1333" s="17"/>
      <c r="P1333" s="17" t="s">
        <v>7769</v>
      </c>
      <c r="Q1333" s="17"/>
      <c r="R1333" s="25" t="str">
        <f>HYPERLINK("https://ictv.global/taxonomy/taxondetails?taxnode_id=202319514","Webervirus KPNHS3")</f>
        <v>Webervirus KPNHS3</v>
      </c>
      <c r="S1333" s="18" t="s">
        <v>30</v>
      </c>
      <c r="T1333" s="18" t="s">
        <v>39253</v>
      </c>
      <c r="U1333" s="18" t="s">
        <v>39254</v>
      </c>
      <c r="V1333" s="18"/>
      <c r="W1333" s="18" t="s">
        <v>48065</v>
      </c>
      <c r="X1333" s="18" t="s">
        <v>42</v>
      </c>
      <c r="Y1333" s="18" t="s">
        <v>36</v>
      </c>
      <c r="Z1333" s="18" t="s">
        <v>697</v>
      </c>
      <c r="AA1333" s="21" t="str">
        <f>HYPERLINK("https://www.ncbi.nlm.nih.gov/nuccore/OQ267592","NCBI Nucleotide")</f>
        <v>NCBI Nucleotide</v>
      </c>
    </row>
    <row r="1334" spans="1:27" x14ac:dyDescent="0.35">
      <c r="A1334">
        <v>1001841</v>
      </c>
      <c r="B1334">
        <v>1333</v>
      </c>
      <c r="C1334">
        <v>1</v>
      </c>
      <c r="D1334" s="17" t="s">
        <v>155</v>
      </c>
      <c r="E1334" s="17"/>
      <c r="F1334" s="17" t="s">
        <v>156</v>
      </c>
      <c r="G1334" s="17"/>
      <c r="H1334" s="17" t="s">
        <v>692</v>
      </c>
      <c r="I1334" s="17"/>
      <c r="J1334" s="17" t="s">
        <v>693</v>
      </c>
      <c r="K1334" s="17"/>
      <c r="L1334" s="17"/>
      <c r="M1334" s="17"/>
      <c r="N1334" s="17" t="s">
        <v>7745</v>
      </c>
      <c r="O1334" s="17"/>
      <c r="P1334" s="17" t="s">
        <v>7769</v>
      </c>
      <c r="Q1334" s="17"/>
      <c r="R1334" s="25" t="str">
        <f>HYPERLINK("https://ictv.global/taxonomy/taxondetails?taxnode_id=202312114","Webervirus KpNIH2")</f>
        <v>Webervirus KpNIH2</v>
      </c>
      <c r="S1334" s="18" t="s">
        <v>30</v>
      </c>
      <c r="T1334" s="18" t="s">
        <v>7802</v>
      </c>
      <c r="U1334" s="18"/>
      <c r="V1334" s="18"/>
      <c r="W1334" s="18" t="s">
        <v>7803</v>
      </c>
      <c r="X1334" s="18" t="s">
        <v>42</v>
      </c>
      <c r="Y1334" s="18" t="s">
        <v>36</v>
      </c>
      <c r="Z1334" s="18" t="s">
        <v>697</v>
      </c>
      <c r="AA1334" s="21" t="str">
        <f>HYPERLINK("https://www.ncbi.nlm.nih.gov/nuccore/MN395286","NCBI Nucleotide")</f>
        <v>NCBI Nucleotide</v>
      </c>
    </row>
    <row r="1335" spans="1:27" x14ac:dyDescent="0.35">
      <c r="A1335">
        <v>1025218</v>
      </c>
      <c r="B1335">
        <v>1334</v>
      </c>
      <c r="C1335">
        <v>1</v>
      </c>
      <c r="D1335" s="17" t="s">
        <v>155</v>
      </c>
      <c r="E1335" s="17"/>
      <c r="F1335" s="17" t="s">
        <v>156</v>
      </c>
      <c r="G1335" s="17"/>
      <c r="H1335" s="17" t="s">
        <v>692</v>
      </c>
      <c r="I1335" s="17"/>
      <c r="J1335" s="17" t="s">
        <v>693</v>
      </c>
      <c r="K1335" s="17"/>
      <c r="L1335" s="17"/>
      <c r="M1335" s="17"/>
      <c r="N1335" s="17" t="s">
        <v>7745</v>
      </c>
      <c r="O1335" s="17"/>
      <c r="P1335" s="17" t="s">
        <v>7769</v>
      </c>
      <c r="Q1335" s="17"/>
      <c r="R1335" s="25" t="str">
        <f>HYPERLINK("https://ictv.global/taxonomy/taxondetails?taxnode_id=202319545","Webervirus KPP2020")</f>
        <v>Webervirus KPP2020</v>
      </c>
      <c r="S1335" s="18" t="s">
        <v>30</v>
      </c>
      <c r="T1335" s="18" t="s">
        <v>39255</v>
      </c>
      <c r="U1335" s="18" t="s">
        <v>39256</v>
      </c>
      <c r="V1335" s="18"/>
      <c r="W1335" s="18" t="s">
        <v>48066</v>
      </c>
      <c r="X1335" s="18" t="s">
        <v>42</v>
      </c>
      <c r="Y1335" s="18" t="s">
        <v>36</v>
      </c>
      <c r="Z1335" s="18" t="s">
        <v>697</v>
      </c>
      <c r="AA1335" s="21" t="str">
        <f>HYPERLINK("https://www.ncbi.nlm.nih.gov/nuccore/OQ031071","NCBI Nucleotide")</f>
        <v>NCBI Nucleotide</v>
      </c>
    </row>
    <row r="1336" spans="1:27" x14ac:dyDescent="0.35">
      <c r="A1336">
        <v>1025219</v>
      </c>
      <c r="B1336">
        <v>1335</v>
      </c>
      <c r="C1336">
        <v>1</v>
      </c>
      <c r="D1336" s="17" t="s">
        <v>155</v>
      </c>
      <c r="E1336" s="17"/>
      <c r="F1336" s="17" t="s">
        <v>156</v>
      </c>
      <c r="G1336" s="17"/>
      <c r="H1336" s="17" t="s">
        <v>692</v>
      </c>
      <c r="I1336" s="17"/>
      <c r="J1336" s="17" t="s">
        <v>693</v>
      </c>
      <c r="K1336" s="17"/>
      <c r="L1336" s="17"/>
      <c r="M1336" s="17"/>
      <c r="N1336" s="17" t="s">
        <v>7745</v>
      </c>
      <c r="O1336" s="17"/>
      <c r="P1336" s="17" t="s">
        <v>7769</v>
      </c>
      <c r="Q1336" s="17"/>
      <c r="R1336" s="25" t="str">
        <f>HYPERLINK("https://ictv.global/taxonomy/taxondetails?taxnode_id=202319542","Webervirus KpS4")</f>
        <v>Webervirus KpS4</v>
      </c>
      <c r="S1336" s="18" t="s">
        <v>30</v>
      </c>
      <c r="T1336" s="18" t="s">
        <v>39257</v>
      </c>
      <c r="U1336" s="18" t="s">
        <v>39258</v>
      </c>
      <c r="V1336" s="18"/>
      <c r="W1336" s="18" t="s">
        <v>48067</v>
      </c>
      <c r="X1336" s="18" t="s">
        <v>42</v>
      </c>
      <c r="Y1336" s="18" t="s">
        <v>36</v>
      </c>
      <c r="Z1336" s="18" t="s">
        <v>697</v>
      </c>
      <c r="AA1336" s="21" t="str">
        <f>HYPERLINK("https://www.ncbi.nlm.nih.gov/nuccore/OL674249","NCBI Nucleotide")</f>
        <v>NCBI Nucleotide</v>
      </c>
    </row>
    <row r="1337" spans="1:27" x14ac:dyDescent="0.35">
      <c r="A1337">
        <v>1001842</v>
      </c>
      <c r="B1337">
        <v>1336</v>
      </c>
      <c r="C1337">
        <v>1</v>
      </c>
      <c r="D1337" s="17" t="s">
        <v>155</v>
      </c>
      <c r="E1337" s="17"/>
      <c r="F1337" s="17" t="s">
        <v>156</v>
      </c>
      <c r="G1337" s="17"/>
      <c r="H1337" s="17" t="s">
        <v>692</v>
      </c>
      <c r="I1337" s="17"/>
      <c r="J1337" s="17" t="s">
        <v>693</v>
      </c>
      <c r="K1337" s="17"/>
      <c r="L1337" s="17"/>
      <c r="M1337" s="17"/>
      <c r="N1337" s="17" t="s">
        <v>7745</v>
      </c>
      <c r="O1337" s="17"/>
      <c r="P1337" s="17" t="s">
        <v>7769</v>
      </c>
      <c r="Q1337" s="17"/>
      <c r="R1337" s="25" t="str">
        <f>HYPERLINK("https://ictv.global/taxonomy/taxondetails?taxnode_id=202308175","Webervirus KpV522")</f>
        <v>Webervirus KpV522</v>
      </c>
      <c r="S1337" s="18" t="s">
        <v>30</v>
      </c>
      <c r="T1337" s="18" t="s">
        <v>7804</v>
      </c>
      <c r="U1337" s="18"/>
      <c r="V1337" s="18"/>
      <c r="W1337" s="18" t="s">
        <v>7805</v>
      </c>
      <c r="X1337" s="18" t="s">
        <v>42</v>
      </c>
      <c r="Y1337" s="18" t="s">
        <v>36</v>
      </c>
      <c r="Z1337" s="18" t="s">
        <v>697</v>
      </c>
      <c r="AA1337" s="21" t="str">
        <f>HYPERLINK("https://www.ncbi.nlm.nih.gov/nuccore/KX237515","NCBI Nucleotide")</f>
        <v>NCBI Nucleotide</v>
      </c>
    </row>
    <row r="1338" spans="1:27" x14ac:dyDescent="0.35">
      <c r="A1338">
        <v>1025220</v>
      </c>
      <c r="B1338">
        <v>1337</v>
      </c>
      <c r="C1338">
        <v>1</v>
      </c>
      <c r="D1338" s="17" t="s">
        <v>155</v>
      </c>
      <c r="E1338" s="17"/>
      <c r="F1338" s="17" t="s">
        <v>156</v>
      </c>
      <c r="G1338" s="17"/>
      <c r="H1338" s="17" t="s">
        <v>692</v>
      </c>
      <c r="I1338" s="17"/>
      <c r="J1338" s="17" t="s">
        <v>693</v>
      </c>
      <c r="K1338" s="17"/>
      <c r="L1338" s="17"/>
      <c r="M1338" s="17"/>
      <c r="N1338" s="17" t="s">
        <v>7745</v>
      </c>
      <c r="O1338" s="17"/>
      <c r="P1338" s="17" t="s">
        <v>7769</v>
      </c>
      <c r="Q1338" s="17"/>
      <c r="R1338" s="25" t="str">
        <f>HYPERLINK("https://ictv.global/taxonomy/taxondetails?taxnode_id=202319567","Webervirus LF20")</f>
        <v>Webervirus LF20</v>
      </c>
      <c r="S1338" s="18" t="s">
        <v>30</v>
      </c>
      <c r="T1338" s="18" t="s">
        <v>39259</v>
      </c>
      <c r="U1338" s="18" t="s">
        <v>39260</v>
      </c>
      <c r="V1338" s="18"/>
      <c r="W1338" s="18" t="s">
        <v>48068</v>
      </c>
      <c r="X1338" s="18" t="s">
        <v>42</v>
      </c>
      <c r="Y1338" s="18" t="s">
        <v>36</v>
      </c>
      <c r="Z1338" s="18" t="s">
        <v>697</v>
      </c>
      <c r="AA1338" s="21" t="str">
        <f>HYPERLINK("https://www.ncbi.nlm.nih.gov/nuccore/MW417503","NCBI Nucleotide")</f>
        <v>NCBI Nucleotide</v>
      </c>
    </row>
    <row r="1339" spans="1:27" x14ac:dyDescent="0.35">
      <c r="A1339">
        <v>1001843</v>
      </c>
      <c r="B1339">
        <v>1338</v>
      </c>
      <c r="C1339">
        <v>1</v>
      </c>
      <c r="D1339" s="17" t="s">
        <v>155</v>
      </c>
      <c r="E1339" s="17"/>
      <c r="F1339" s="17" t="s">
        <v>156</v>
      </c>
      <c r="G1339" s="17"/>
      <c r="H1339" s="17" t="s">
        <v>692</v>
      </c>
      <c r="I1339" s="17"/>
      <c r="J1339" s="17" t="s">
        <v>693</v>
      </c>
      <c r="K1339" s="17"/>
      <c r="L1339" s="17"/>
      <c r="M1339" s="17"/>
      <c r="N1339" s="17" t="s">
        <v>7745</v>
      </c>
      <c r="O1339" s="17"/>
      <c r="P1339" s="17" t="s">
        <v>7769</v>
      </c>
      <c r="Q1339" s="17"/>
      <c r="R1339" s="25" t="str">
        <f>HYPERLINK("https://ictv.global/taxonomy/taxondetails?taxnode_id=202308182","Webervirus mezzogao")</f>
        <v>Webervirus mezzogao</v>
      </c>
      <c r="S1339" s="18" t="s">
        <v>30</v>
      </c>
      <c r="T1339" s="18" t="s">
        <v>7806</v>
      </c>
      <c r="U1339" s="18"/>
      <c r="V1339" s="18"/>
      <c r="W1339" s="18" t="s">
        <v>7807</v>
      </c>
      <c r="X1339" s="18" t="s">
        <v>42</v>
      </c>
      <c r="Y1339" s="18" t="s">
        <v>36</v>
      </c>
      <c r="Z1339" s="18" t="s">
        <v>697</v>
      </c>
      <c r="AA1339" s="21" t="str">
        <f>HYPERLINK("https://www.ncbi.nlm.nih.gov/nuccore/MF612072","NCBI Nucleotide")</f>
        <v>NCBI Nucleotide</v>
      </c>
    </row>
    <row r="1340" spans="1:27" x14ac:dyDescent="0.35">
      <c r="A1340">
        <v>1025221</v>
      </c>
      <c r="B1340">
        <v>1339</v>
      </c>
      <c r="C1340">
        <v>1</v>
      </c>
      <c r="D1340" s="17" t="s">
        <v>155</v>
      </c>
      <c r="E1340" s="17"/>
      <c r="F1340" s="17" t="s">
        <v>156</v>
      </c>
      <c r="G1340" s="17"/>
      <c r="H1340" s="17" t="s">
        <v>692</v>
      </c>
      <c r="I1340" s="17"/>
      <c r="J1340" s="17" t="s">
        <v>693</v>
      </c>
      <c r="K1340" s="17"/>
      <c r="L1340" s="17"/>
      <c r="M1340" s="17"/>
      <c r="N1340" s="17" t="s">
        <v>7745</v>
      </c>
      <c r="O1340" s="17"/>
      <c r="P1340" s="17" t="s">
        <v>7769</v>
      </c>
      <c r="Q1340" s="17"/>
      <c r="R1340" s="25" t="str">
        <f>HYPERLINK("https://ictv.global/taxonomy/taxondetails?taxnode_id=202319558","Webervirus mfs")</f>
        <v>Webervirus mfs</v>
      </c>
      <c r="S1340" s="18" t="s">
        <v>30</v>
      </c>
      <c r="T1340" s="18" t="s">
        <v>39261</v>
      </c>
      <c r="U1340" s="18" t="s">
        <v>39262</v>
      </c>
      <c r="V1340" s="18"/>
      <c r="W1340" s="18" t="s">
        <v>48069</v>
      </c>
      <c r="X1340" s="18" t="s">
        <v>42</v>
      </c>
      <c r="Y1340" s="18" t="s">
        <v>36</v>
      </c>
      <c r="Z1340" s="18" t="s">
        <v>697</v>
      </c>
      <c r="AA1340" s="21" t="str">
        <f>HYPERLINK("https://www.ncbi.nlm.nih.gov/nuccore/OP611406","NCBI Nucleotide")</f>
        <v>NCBI Nucleotide</v>
      </c>
    </row>
    <row r="1341" spans="1:27" x14ac:dyDescent="0.35">
      <c r="A1341">
        <v>1025222</v>
      </c>
      <c r="B1341">
        <v>1340</v>
      </c>
      <c r="C1341">
        <v>1</v>
      </c>
      <c r="D1341" s="17" t="s">
        <v>155</v>
      </c>
      <c r="E1341" s="17"/>
      <c r="F1341" s="17" t="s">
        <v>156</v>
      </c>
      <c r="G1341" s="17"/>
      <c r="H1341" s="17" t="s">
        <v>692</v>
      </c>
      <c r="I1341" s="17"/>
      <c r="J1341" s="17" t="s">
        <v>693</v>
      </c>
      <c r="K1341" s="17"/>
      <c r="L1341" s="17"/>
      <c r="M1341" s="17"/>
      <c r="N1341" s="17" t="s">
        <v>7745</v>
      </c>
      <c r="O1341" s="17"/>
      <c r="P1341" s="17" t="s">
        <v>7769</v>
      </c>
      <c r="Q1341" s="17"/>
      <c r="R1341" s="25" t="str">
        <f>HYPERLINK("https://ictv.global/taxonomy/taxondetails?taxnode_id=202319516","Webervirus MMBB")</f>
        <v>Webervirus MMBB</v>
      </c>
      <c r="S1341" s="18" t="s">
        <v>30</v>
      </c>
      <c r="T1341" s="18" t="s">
        <v>39263</v>
      </c>
      <c r="U1341" s="18" t="s">
        <v>39264</v>
      </c>
      <c r="V1341" s="18"/>
      <c r="W1341" s="18" t="s">
        <v>48070</v>
      </c>
      <c r="X1341" s="18" t="s">
        <v>42</v>
      </c>
      <c r="Y1341" s="18" t="s">
        <v>36</v>
      </c>
      <c r="Z1341" s="18" t="s">
        <v>697</v>
      </c>
      <c r="AA1341" s="21" t="str">
        <f>HYPERLINK("https://www.ncbi.nlm.nih.gov/nuccore/MT894005","NCBI Nucleotide")</f>
        <v>NCBI Nucleotide</v>
      </c>
    </row>
    <row r="1342" spans="1:27" x14ac:dyDescent="0.35">
      <c r="A1342">
        <v>1025227</v>
      </c>
      <c r="B1342">
        <v>1341</v>
      </c>
      <c r="C1342">
        <v>1</v>
      </c>
      <c r="D1342" s="17" t="s">
        <v>155</v>
      </c>
      <c r="E1342" s="17"/>
      <c r="F1342" s="17" t="s">
        <v>156</v>
      </c>
      <c r="G1342" s="17"/>
      <c r="H1342" s="17" t="s">
        <v>692</v>
      </c>
      <c r="I1342" s="17"/>
      <c r="J1342" s="17" t="s">
        <v>693</v>
      </c>
      <c r="K1342" s="17"/>
      <c r="L1342" s="17"/>
      <c r="M1342" s="17"/>
      <c r="N1342" s="17" t="s">
        <v>7745</v>
      </c>
      <c r="O1342" s="17"/>
      <c r="P1342" s="17" t="s">
        <v>7769</v>
      </c>
      <c r="Q1342" s="17"/>
      <c r="R1342" s="25" t="str">
        <f>HYPERLINK("https://ictv.global/taxonomy/taxondetails?taxnode_id=202319539","Webervirus mtp2")</f>
        <v>Webervirus mtp2</v>
      </c>
      <c r="S1342" s="18" t="s">
        <v>30</v>
      </c>
      <c r="T1342" s="18" t="s">
        <v>39265</v>
      </c>
      <c r="U1342" s="18" t="s">
        <v>39266</v>
      </c>
      <c r="V1342" s="18"/>
      <c r="W1342" s="18" t="s">
        <v>48071</v>
      </c>
      <c r="X1342" s="18" t="s">
        <v>42</v>
      </c>
      <c r="Y1342" s="18" t="s">
        <v>36</v>
      </c>
      <c r="Z1342" s="18" t="s">
        <v>697</v>
      </c>
      <c r="AA1342" s="21" t="str">
        <f>HYPERLINK("https://www.ncbi.nlm.nih.gov/nuccore/OX335370","NCBI Nucleotide")</f>
        <v>NCBI Nucleotide</v>
      </c>
    </row>
    <row r="1343" spans="1:27" x14ac:dyDescent="0.35">
      <c r="A1343">
        <v>1025223</v>
      </c>
      <c r="B1343">
        <v>1342</v>
      </c>
      <c r="C1343">
        <v>1</v>
      </c>
      <c r="D1343" s="17" t="s">
        <v>155</v>
      </c>
      <c r="E1343" s="17"/>
      <c r="F1343" s="17" t="s">
        <v>156</v>
      </c>
      <c r="G1343" s="17"/>
      <c r="H1343" s="17" t="s">
        <v>692</v>
      </c>
      <c r="I1343" s="17"/>
      <c r="J1343" s="17" t="s">
        <v>693</v>
      </c>
      <c r="K1343" s="17"/>
      <c r="L1343" s="17"/>
      <c r="M1343" s="17"/>
      <c r="N1343" s="17" t="s">
        <v>7745</v>
      </c>
      <c r="O1343" s="17"/>
      <c r="P1343" s="17" t="s">
        <v>7769</v>
      </c>
      <c r="Q1343" s="17"/>
      <c r="R1343" s="25" t="str">
        <f>HYPERLINK("https://ictv.global/taxonomy/taxondetails?taxnode_id=202319529","Webervirus mtp12")</f>
        <v>Webervirus mtp12</v>
      </c>
      <c r="S1343" s="18" t="s">
        <v>30</v>
      </c>
      <c r="T1343" s="18" t="s">
        <v>39267</v>
      </c>
      <c r="U1343" s="18" t="s">
        <v>39268</v>
      </c>
      <c r="V1343" s="18"/>
      <c r="W1343" s="18" t="s">
        <v>48072</v>
      </c>
      <c r="X1343" s="18" t="s">
        <v>42</v>
      </c>
      <c r="Y1343" s="18" t="s">
        <v>36</v>
      </c>
      <c r="Z1343" s="18" t="s">
        <v>697</v>
      </c>
      <c r="AA1343" s="21" t="str">
        <f>HYPERLINK("https://www.ncbi.nlm.nih.gov/nuccore/OX335386","NCBI Nucleotide")</f>
        <v>NCBI Nucleotide</v>
      </c>
    </row>
    <row r="1344" spans="1:27" x14ac:dyDescent="0.35">
      <c r="A1344">
        <v>1025224</v>
      </c>
      <c r="B1344">
        <v>1343</v>
      </c>
      <c r="C1344">
        <v>1</v>
      </c>
      <c r="D1344" s="17" t="s">
        <v>155</v>
      </c>
      <c r="E1344" s="17"/>
      <c r="F1344" s="17" t="s">
        <v>156</v>
      </c>
      <c r="G1344" s="17"/>
      <c r="H1344" s="17" t="s">
        <v>692</v>
      </c>
      <c r="I1344" s="17"/>
      <c r="J1344" s="17" t="s">
        <v>693</v>
      </c>
      <c r="K1344" s="17"/>
      <c r="L1344" s="17"/>
      <c r="M1344" s="17"/>
      <c r="N1344" s="17" t="s">
        <v>7745</v>
      </c>
      <c r="O1344" s="17"/>
      <c r="P1344" s="17" t="s">
        <v>7769</v>
      </c>
      <c r="Q1344" s="17"/>
      <c r="R1344" s="25" t="str">
        <f>HYPERLINK("https://ictv.global/taxonomy/taxondetails?taxnode_id=202319534","Webervirus mtp13")</f>
        <v>Webervirus mtp13</v>
      </c>
      <c r="S1344" s="18" t="s">
        <v>30</v>
      </c>
      <c r="T1344" s="18" t="s">
        <v>39269</v>
      </c>
      <c r="U1344" s="18" t="s">
        <v>39270</v>
      </c>
      <c r="V1344" s="18"/>
      <c r="W1344" s="18" t="s">
        <v>48073</v>
      </c>
      <c r="X1344" s="18" t="s">
        <v>42</v>
      </c>
      <c r="Y1344" s="18" t="s">
        <v>36</v>
      </c>
      <c r="Z1344" s="18" t="s">
        <v>697</v>
      </c>
      <c r="AA1344" s="21" t="str">
        <f>HYPERLINK("https://www.ncbi.nlm.nih.gov/nuccore/OX335430","NCBI Nucleotide")</f>
        <v>NCBI Nucleotide</v>
      </c>
    </row>
    <row r="1345" spans="1:27" x14ac:dyDescent="0.35">
      <c r="A1345">
        <v>1025225</v>
      </c>
      <c r="B1345">
        <v>1344</v>
      </c>
      <c r="C1345">
        <v>1</v>
      </c>
      <c r="D1345" s="17" t="s">
        <v>155</v>
      </c>
      <c r="E1345" s="17"/>
      <c r="F1345" s="17" t="s">
        <v>156</v>
      </c>
      <c r="G1345" s="17"/>
      <c r="H1345" s="17" t="s">
        <v>692</v>
      </c>
      <c r="I1345" s="17"/>
      <c r="J1345" s="17" t="s">
        <v>693</v>
      </c>
      <c r="K1345" s="17"/>
      <c r="L1345" s="17"/>
      <c r="M1345" s="17"/>
      <c r="N1345" s="17" t="s">
        <v>7745</v>
      </c>
      <c r="O1345" s="17"/>
      <c r="P1345" s="17" t="s">
        <v>7769</v>
      </c>
      <c r="Q1345" s="17"/>
      <c r="R1345" s="25" t="str">
        <f>HYPERLINK("https://ictv.global/taxonomy/taxondetails?taxnode_id=202319506","Webervirus mtp17")</f>
        <v>Webervirus mtp17</v>
      </c>
      <c r="S1345" s="18" t="s">
        <v>30</v>
      </c>
      <c r="T1345" s="18" t="s">
        <v>39271</v>
      </c>
      <c r="U1345" s="18" t="s">
        <v>39272</v>
      </c>
      <c r="V1345" s="18"/>
      <c r="W1345" s="18" t="s">
        <v>48074</v>
      </c>
      <c r="X1345" s="18" t="s">
        <v>42</v>
      </c>
      <c r="Y1345" s="18" t="s">
        <v>36</v>
      </c>
      <c r="Z1345" s="18" t="s">
        <v>697</v>
      </c>
      <c r="AA1345" s="21" t="str">
        <f>HYPERLINK("https://www.ncbi.nlm.nih.gov/nuccore/OX335439","NCBI Nucleotide")</f>
        <v>NCBI Nucleotide</v>
      </c>
    </row>
    <row r="1346" spans="1:27" x14ac:dyDescent="0.35">
      <c r="A1346">
        <v>1025226</v>
      </c>
      <c r="B1346">
        <v>1345</v>
      </c>
      <c r="C1346">
        <v>1</v>
      </c>
      <c r="D1346" s="17" t="s">
        <v>155</v>
      </c>
      <c r="E1346" s="17"/>
      <c r="F1346" s="17" t="s">
        <v>156</v>
      </c>
      <c r="G1346" s="17"/>
      <c r="H1346" s="17" t="s">
        <v>692</v>
      </c>
      <c r="I1346" s="17"/>
      <c r="J1346" s="17" t="s">
        <v>693</v>
      </c>
      <c r="K1346" s="17"/>
      <c r="L1346" s="17"/>
      <c r="M1346" s="17"/>
      <c r="N1346" s="17" t="s">
        <v>7745</v>
      </c>
      <c r="O1346" s="17"/>
      <c r="P1346" s="17" t="s">
        <v>7769</v>
      </c>
      <c r="Q1346" s="17"/>
      <c r="R1346" s="25" t="str">
        <f>HYPERLINK("https://ictv.global/taxonomy/taxondetails?taxnode_id=202319533","Webervirus mtp19")</f>
        <v>Webervirus mtp19</v>
      </c>
      <c r="S1346" s="18" t="s">
        <v>30</v>
      </c>
      <c r="T1346" s="18" t="s">
        <v>39273</v>
      </c>
      <c r="U1346" s="18" t="s">
        <v>39274</v>
      </c>
      <c r="V1346" s="18"/>
      <c r="W1346" s="18" t="s">
        <v>48075</v>
      </c>
      <c r="X1346" s="18" t="s">
        <v>42</v>
      </c>
      <c r="Y1346" s="18" t="s">
        <v>36</v>
      </c>
      <c r="Z1346" s="18" t="s">
        <v>697</v>
      </c>
      <c r="AA1346" s="21" t="str">
        <f>HYPERLINK("https://www.ncbi.nlm.nih.gov/nuccore/OX335422","NCBI Nucleotide")</f>
        <v>NCBI Nucleotide</v>
      </c>
    </row>
    <row r="1347" spans="1:27" x14ac:dyDescent="0.35">
      <c r="A1347">
        <v>1025228</v>
      </c>
      <c r="B1347">
        <v>1346</v>
      </c>
      <c r="C1347">
        <v>1</v>
      </c>
      <c r="D1347" s="17" t="s">
        <v>155</v>
      </c>
      <c r="E1347" s="17"/>
      <c r="F1347" s="17" t="s">
        <v>156</v>
      </c>
      <c r="G1347" s="17"/>
      <c r="H1347" s="17" t="s">
        <v>692</v>
      </c>
      <c r="I1347" s="17"/>
      <c r="J1347" s="17" t="s">
        <v>693</v>
      </c>
      <c r="K1347" s="17"/>
      <c r="L1347" s="17"/>
      <c r="M1347" s="17"/>
      <c r="N1347" s="17" t="s">
        <v>7745</v>
      </c>
      <c r="O1347" s="17"/>
      <c r="P1347" s="17" t="s">
        <v>7769</v>
      </c>
      <c r="Q1347" s="17"/>
      <c r="R1347" s="25" t="str">
        <f>HYPERLINK("https://ictv.global/taxonomy/taxondetails?taxnode_id=202319507","Webervirus mtp23")</f>
        <v>Webervirus mtp23</v>
      </c>
      <c r="S1347" s="18" t="s">
        <v>30</v>
      </c>
      <c r="T1347" s="18" t="s">
        <v>39275</v>
      </c>
      <c r="U1347" s="18" t="s">
        <v>39276</v>
      </c>
      <c r="V1347" s="18"/>
      <c r="W1347" s="18" t="s">
        <v>48076</v>
      </c>
      <c r="X1347" s="18" t="s">
        <v>42</v>
      </c>
      <c r="Y1347" s="18" t="s">
        <v>36</v>
      </c>
      <c r="Z1347" s="18" t="s">
        <v>697</v>
      </c>
      <c r="AA1347" s="21" t="str">
        <f>HYPERLINK("https://www.ncbi.nlm.nih.gov/nuccore/OX335421","NCBI Nucleotide")</f>
        <v>NCBI Nucleotide</v>
      </c>
    </row>
    <row r="1348" spans="1:27" x14ac:dyDescent="0.35">
      <c r="A1348">
        <v>1025229</v>
      </c>
      <c r="B1348">
        <v>1347</v>
      </c>
      <c r="C1348">
        <v>1</v>
      </c>
      <c r="D1348" s="17" t="s">
        <v>155</v>
      </c>
      <c r="E1348" s="17"/>
      <c r="F1348" s="17" t="s">
        <v>156</v>
      </c>
      <c r="G1348" s="17"/>
      <c r="H1348" s="17" t="s">
        <v>692</v>
      </c>
      <c r="I1348" s="17"/>
      <c r="J1348" s="17" t="s">
        <v>693</v>
      </c>
      <c r="K1348" s="17"/>
      <c r="L1348" s="17"/>
      <c r="M1348" s="17"/>
      <c r="N1348" s="17" t="s">
        <v>7745</v>
      </c>
      <c r="O1348" s="17"/>
      <c r="P1348" s="17" t="s">
        <v>7769</v>
      </c>
      <c r="Q1348" s="17"/>
      <c r="R1348" s="25" t="str">
        <f>HYPERLINK("https://ictv.global/taxonomy/taxondetails?taxnode_id=202319508","Webervirus mtp30")</f>
        <v>Webervirus mtp30</v>
      </c>
      <c r="S1348" s="18" t="s">
        <v>30</v>
      </c>
      <c r="T1348" s="18" t="s">
        <v>39277</v>
      </c>
      <c r="U1348" s="18" t="s">
        <v>39278</v>
      </c>
      <c r="V1348" s="18"/>
      <c r="W1348" s="18" t="s">
        <v>48077</v>
      </c>
      <c r="X1348" s="18" t="s">
        <v>42</v>
      </c>
      <c r="Y1348" s="18" t="s">
        <v>36</v>
      </c>
      <c r="Z1348" s="18" t="s">
        <v>697</v>
      </c>
      <c r="AA1348" s="21" t="str">
        <f>HYPERLINK("https://www.ncbi.nlm.nih.gov/nuccore/OX335411","NCBI Nucleotide")</f>
        <v>NCBI Nucleotide</v>
      </c>
    </row>
    <row r="1349" spans="1:27" x14ac:dyDescent="0.35">
      <c r="A1349">
        <v>1025230</v>
      </c>
      <c r="B1349">
        <v>1348</v>
      </c>
      <c r="C1349">
        <v>1</v>
      </c>
      <c r="D1349" s="17" t="s">
        <v>155</v>
      </c>
      <c r="E1349" s="17"/>
      <c r="F1349" s="17" t="s">
        <v>156</v>
      </c>
      <c r="G1349" s="17"/>
      <c r="H1349" s="17" t="s">
        <v>692</v>
      </c>
      <c r="I1349" s="17"/>
      <c r="J1349" s="17" t="s">
        <v>693</v>
      </c>
      <c r="K1349" s="17"/>
      <c r="L1349" s="17"/>
      <c r="M1349" s="17"/>
      <c r="N1349" s="17" t="s">
        <v>7745</v>
      </c>
      <c r="O1349" s="17"/>
      <c r="P1349" s="17" t="s">
        <v>7769</v>
      </c>
      <c r="Q1349" s="17"/>
      <c r="R1349" s="25" t="str">
        <f>HYPERLINK("https://ictv.global/taxonomy/taxondetails?taxnode_id=202319537","Webervirus mtp31")</f>
        <v>Webervirus mtp31</v>
      </c>
      <c r="S1349" s="18" t="s">
        <v>30</v>
      </c>
      <c r="T1349" s="18" t="s">
        <v>39279</v>
      </c>
      <c r="U1349" s="18" t="s">
        <v>39280</v>
      </c>
      <c r="V1349" s="18"/>
      <c r="W1349" s="18" t="s">
        <v>48078</v>
      </c>
      <c r="X1349" s="18" t="s">
        <v>42</v>
      </c>
      <c r="Y1349" s="18" t="s">
        <v>36</v>
      </c>
      <c r="Z1349" s="18" t="s">
        <v>697</v>
      </c>
      <c r="AA1349" s="21" t="str">
        <f>HYPERLINK("https://www.ncbi.nlm.nih.gov/nuccore/OX335387","NCBI Nucleotide")</f>
        <v>NCBI Nucleotide</v>
      </c>
    </row>
    <row r="1350" spans="1:27" x14ac:dyDescent="0.35">
      <c r="A1350">
        <v>1001844</v>
      </c>
      <c r="B1350">
        <v>1349</v>
      </c>
      <c r="C1350">
        <v>1</v>
      </c>
      <c r="D1350" s="17" t="s">
        <v>155</v>
      </c>
      <c r="E1350" s="17"/>
      <c r="F1350" s="17" t="s">
        <v>156</v>
      </c>
      <c r="G1350" s="17"/>
      <c r="H1350" s="17" t="s">
        <v>692</v>
      </c>
      <c r="I1350" s="17"/>
      <c r="J1350" s="17" t="s">
        <v>693</v>
      </c>
      <c r="K1350" s="17"/>
      <c r="L1350" s="17"/>
      <c r="M1350" s="17"/>
      <c r="N1350" s="17" t="s">
        <v>7745</v>
      </c>
      <c r="O1350" s="17"/>
      <c r="P1350" s="17" t="s">
        <v>7769</v>
      </c>
      <c r="Q1350" s="17"/>
      <c r="R1350" s="25" t="str">
        <f>HYPERLINK("https://ictv.global/taxonomy/taxondetails?taxnode_id=202308184","Webervirus N141")</f>
        <v>Webervirus N141</v>
      </c>
      <c r="S1350" s="18" t="s">
        <v>30</v>
      </c>
      <c r="T1350" s="18" t="s">
        <v>7808</v>
      </c>
      <c r="U1350" s="18"/>
      <c r="V1350" s="18"/>
      <c r="W1350" s="18" t="s">
        <v>7809</v>
      </c>
      <c r="X1350" s="18" t="s">
        <v>42</v>
      </c>
      <c r="Y1350" s="18" t="s">
        <v>36</v>
      </c>
      <c r="Z1350" s="18" t="s">
        <v>697</v>
      </c>
      <c r="AA1350" s="21" t="str">
        <f>HYPERLINK("https://www.ncbi.nlm.nih.gov/nuccore/MF415412","NCBI Nucleotide")</f>
        <v>NCBI Nucleotide</v>
      </c>
    </row>
    <row r="1351" spans="1:27" x14ac:dyDescent="0.35">
      <c r="A1351">
        <v>1001845</v>
      </c>
      <c r="B1351">
        <v>1350</v>
      </c>
      <c r="C1351">
        <v>1</v>
      </c>
      <c r="D1351" s="17" t="s">
        <v>155</v>
      </c>
      <c r="E1351" s="17"/>
      <c r="F1351" s="17" t="s">
        <v>156</v>
      </c>
      <c r="G1351" s="17"/>
      <c r="H1351" s="17" t="s">
        <v>692</v>
      </c>
      <c r="I1351" s="17"/>
      <c r="J1351" s="17" t="s">
        <v>693</v>
      </c>
      <c r="K1351" s="17"/>
      <c r="L1351" s="17"/>
      <c r="M1351" s="17"/>
      <c r="N1351" s="17" t="s">
        <v>7745</v>
      </c>
      <c r="O1351" s="17"/>
      <c r="P1351" s="17" t="s">
        <v>7769</v>
      </c>
      <c r="Q1351" s="17"/>
      <c r="R1351" s="25" t="str">
        <f>HYPERLINK("https://ictv.global/taxonomy/taxondetails?taxnode_id=202308178","Webervirus NJS1")</f>
        <v>Webervirus NJS1</v>
      </c>
      <c r="S1351" s="18" t="s">
        <v>30</v>
      </c>
      <c r="T1351" s="18" t="s">
        <v>7810</v>
      </c>
      <c r="U1351" s="18"/>
      <c r="V1351" s="18"/>
      <c r="W1351" s="18" t="s">
        <v>7811</v>
      </c>
      <c r="X1351" s="18" t="s">
        <v>42</v>
      </c>
      <c r="Y1351" s="18" t="s">
        <v>36</v>
      </c>
      <c r="Z1351" s="18" t="s">
        <v>697</v>
      </c>
      <c r="AA1351" s="21" t="str">
        <f>HYPERLINK("https://www.ncbi.nlm.nih.gov/nuccore/MH445453","NCBI Nucleotide")</f>
        <v>NCBI Nucleotide</v>
      </c>
    </row>
    <row r="1352" spans="1:27" x14ac:dyDescent="0.35">
      <c r="A1352">
        <v>1025231</v>
      </c>
      <c r="B1352">
        <v>1351</v>
      </c>
      <c r="C1352">
        <v>1</v>
      </c>
      <c r="D1352" s="17" t="s">
        <v>155</v>
      </c>
      <c r="E1352" s="17"/>
      <c r="F1352" s="17" t="s">
        <v>156</v>
      </c>
      <c r="G1352" s="17"/>
      <c r="H1352" s="17" t="s">
        <v>692</v>
      </c>
      <c r="I1352" s="17"/>
      <c r="J1352" s="17" t="s">
        <v>693</v>
      </c>
      <c r="K1352" s="17"/>
      <c r="L1352" s="17"/>
      <c r="M1352" s="17"/>
      <c r="N1352" s="17" t="s">
        <v>7745</v>
      </c>
      <c r="O1352" s="17"/>
      <c r="P1352" s="17" t="s">
        <v>7769</v>
      </c>
      <c r="Q1352" s="17"/>
      <c r="R1352" s="25" t="str">
        <f>HYPERLINK("https://ictv.global/taxonomy/taxondetails?taxnode_id=202319541","Webervirus NJS2")</f>
        <v>Webervirus NJS2</v>
      </c>
      <c r="S1352" s="18" t="s">
        <v>30</v>
      </c>
      <c r="T1352" s="18" t="s">
        <v>39281</v>
      </c>
      <c r="U1352" s="18" t="s">
        <v>39282</v>
      </c>
      <c r="V1352" s="18"/>
      <c r="W1352" s="18" t="s">
        <v>39283</v>
      </c>
      <c r="X1352" s="18" t="s">
        <v>42</v>
      </c>
      <c r="Y1352" s="18" t="s">
        <v>36</v>
      </c>
      <c r="Z1352" s="18" t="s">
        <v>697</v>
      </c>
      <c r="AA1352" s="21" t="str">
        <f>HYPERLINK("https://www.ncbi.nlm.nih.gov/nuccore/MH633485","NCBI Nucleotide")</f>
        <v>NCBI Nucleotide</v>
      </c>
    </row>
    <row r="1353" spans="1:27" x14ac:dyDescent="0.35">
      <c r="A1353">
        <v>1025232</v>
      </c>
      <c r="B1353">
        <v>1352</v>
      </c>
      <c r="C1353">
        <v>1</v>
      </c>
      <c r="D1353" s="17" t="s">
        <v>155</v>
      </c>
      <c r="E1353" s="17"/>
      <c r="F1353" s="17" t="s">
        <v>156</v>
      </c>
      <c r="G1353" s="17"/>
      <c r="H1353" s="17" t="s">
        <v>692</v>
      </c>
      <c r="I1353" s="17"/>
      <c r="J1353" s="17" t="s">
        <v>693</v>
      </c>
      <c r="K1353" s="17"/>
      <c r="L1353" s="17"/>
      <c r="M1353" s="17"/>
      <c r="N1353" s="17" t="s">
        <v>7745</v>
      </c>
      <c r="O1353" s="17"/>
      <c r="P1353" s="17" t="s">
        <v>7769</v>
      </c>
      <c r="Q1353" s="17"/>
      <c r="R1353" s="25" t="str">
        <f>HYPERLINK("https://ictv.global/taxonomy/taxondetails?taxnode_id=202319544","Webervirus NPat")</f>
        <v>Webervirus NPat</v>
      </c>
      <c r="S1353" s="18" t="s">
        <v>30</v>
      </c>
      <c r="T1353" s="18" t="s">
        <v>39284</v>
      </c>
      <c r="U1353" s="18" t="s">
        <v>39285</v>
      </c>
      <c r="V1353" s="18"/>
      <c r="W1353" s="18" t="s">
        <v>48079</v>
      </c>
      <c r="X1353" s="18" t="s">
        <v>42</v>
      </c>
      <c r="Y1353" s="18" t="s">
        <v>36</v>
      </c>
      <c r="Z1353" s="18" t="s">
        <v>697</v>
      </c>
      <c r="AA1353" s="21" t="str">
        <f>HYPERLINK("https://www.ncbi.nlm.nih.gov/nuccore/OM938991","NCBI Nucleotide")</f>
        <v>NCBI Nucleotide</v>
      </c>
    </row>
    <row r="1354" spans="1:27" x14ac:dyDescent="0.35">
      <c r="A1354">
        <v>1025233</v>
      </c>
      <c r="B1354">
        <v>1353</v>
      </c>
      <c r="C1354">
        <v>1</v>
      </c>
      <c r="D1354" s="17" t="s">
        <v>155</v>
      </c>
      <c r="E1354" s="17"/>
      <c r="F1354" s="17" t="s">
        <v>156</v>
      </c>
      <c r="G1354" s="17"/>
      <c r="H1354" s="17" t="s">
        <v>692</v>
      </c>
      <c r="I1354" s="17"/>
      <c r="J1354" s="17" t="s">
        <v>693</v>
      </c>
      <c r="K1354" s="17"/>
      <c r="L1354" s="17"/>
      <c r="M1354" s="17"/>
      <c r="N1354" s="17" t="s">
        <v>7745</v>
      </c>
      <c r="O1354" s="17"/>
      <c r="P1354" s="17" t="s">
        <v>7769</v>
      </c>
      <c r="Q1354" s="17"/>
      <c r="R1354" s="25" t="str">
        <f>HYPERLINK("https://ictv.global/taxonomy/taxondetails?taxnode_id=202319559","Webervirus Opt817")</f>
        <v>Webervirus Opt817</v>
      </c>
      <c r="S1354" s="18" t="s">
        <v>30</v>
      </c>
      <c r="T1354" s="18" t="s">
        <v>39286</v>
      </c>
      <c r="U1354" s="18" t="s">
        <v>39287</v>
      </c>
      <c r="V1354" s="18"/>
      <c r="W1354" s="18" t="s">
        <v>48080</v>
      </c>
      <c r="X1354" s="18" t="s">
        <v>42</v>
      </c>
      <c r="Y1354" s="18" t="s">
        <v>36</v>
      </c>
      <c r="Z1354" s="18" t="s">
        <v>697</v>
      </c>
      <c r="AA1354" s="21" t="str">
        <f>HYPERLINK("https://www.ncbi.nlm.nih.gov/nuccore/OL539450","NCBI Nucleotide")</f>
        <v>NCBI Nucleotide</v>
      </c>
    </row>
    <row r="1355" spans="1:27" x14ac:dyDescent="0.35">
      <c r="A1355">
        <v>1025234</v>
      </c>
      <c r="B1355">
        <v>1354</v>
      </c>
      <c r="C1355">
        <v>1</v>
      </c>
      <c r="D1355" s="17" t="s">
        <v>155</v>
      </c>
      <c r="E1355" s="17"/>
      <c r="F1355" s="17" t="s">
        <v>156</v>
      </c>
      <c r="G1355" s="17"/>
      <c r="H1355" s="17" t="s">
        <v>692</v>
      </c>
      <c r="I1355" s="17"/>
      <c r="J1355" s="17" t="s">
        <v>693</v>
      </c>
      <c r="K1355" s="17"/>
      <c r="L1355" s="17"/>
      <c r="M1355" s="17"/>
      <c r="N1355" s="17" t="s">
        <v>7745</v>
      </c>
      <c r="O1355" s="17"/>
      <c r="P1355" s="17" t="s">
        <v>7769</v>
      </c>
      <c r="Q1355" s="17"/>
      <c r="R1355" s="25" t="str">
        <f>HYPERLINK("https://ictv.global/taxonomy/taxondetails?taxnode_id=202319569","Webervirus P1")</f>
        <v>Webervirus P1</v>
      </c>
      <c r="S1355" s="18" t="s">
        <v>30</v>
      </c>
      <c r="T1355" s="18" t="s">
        <v>39288</v>
      </c>
      <c r="U1355" s="18" t="s">
        <v>39289</v>
      </c>
      <c r="V1355" s="18"/>
      <c r="W1355" s="18" t="s">
        <v>48081</v>
      </c>
      <c r="X1355" s="18" t="s">
        <v>42</v>
      </c>
      <c r="Y1355" s="18" t="s">
        <v>36</v>
      </c>
      <c r="Z1355" s="18" t="s">
        <v>697</v>
      </c>
      <c r="AA1355" s="21" t="str">
        <f>HYPERLINK("https://www.ncbi.nlm.nih.gov/nuccore/MZ598515","NCBI Nucleotide")</f>
        <v>NCBI Nucleotide</v>
      </c>
    </row>
    <row r="1356" spans="1:27" x14ac:dyDescent="0.35">
      <c r="A1356">
        <v>1025235</v>
      </c>
      <c r="B1356">
        <v>1355</v>
      </c>
      <c r="C1356">
        <v>1</v>
      </c>
      <c r="D1356" s="17" t="s">
        <v>155</v>
      </c>
      <c r="E1356" s="17"/>
      <c r="F1356" s="17" t="s">
        <v>156</v>
      </c>
      <c r="G1356" s="17"/>
      <c r="H1356" s="17" t="s">
        <v>692</v>
      </c>
      <c r="I1356" s="17"/>
      <c r="J1356" s="17" t="s">
        <v>693</v>
      </c>
      <c r="K1356" s="17"/>
      <c r="L1356" s="17"/>
      <c r="M1356" s="17"/>
      <c r="N1356" s="17" t="s">
        <v>7745</v>
      </c>
      <c r="O1356" s="17"/>
      <c r="P1356" s="17" t="s">
        <v>7769</v>
      </c>
      <c r="Q1356" s="17"/>
      <c r="R1356" s="25" t="str">
        <f>HYPERLINK("https://ictv.global/taxonomy/taxondetails?taxnode_id=202319557","Webervirus P528")</f>
        <v>Webervirus P528</v>
      </c>
      <c r="S1356" s="18" t="s">
        <v>30</v>
      </c>
      <c r="T1356" s="18" t="s">
        <v>39290</v>
      </c>
      <c r="U1356" s="18" t="s">
        <v>39291</v>
      </c>
      <c r="V1356" s="18"/>
      <c r="W1356" s="18" t="s">
        <v>48082</v>
      </c>
      <c r="X1356" s="18" t="s">
        <v>42</v>
      </c>
      <c r="Y1356" s="18" t="s">
        <v>36</v>
      </c>
      <c r="Z1356" s="18" t="s">
        <v>697</v>
      </c>
      <c r="AA1356" s="21" t="str">
        <f>HYPERLINK("https://www.ncbi.nlm.nih.gov/nuccore/MW021764","NCBI Nucleotide")</f>
        <v>NCBI Nucleotide</v>
      </c>
    </row>
    <row r="1357" spans="1:27" x14ac:dyDescent="0.35">
      <c r="A1357">
        <v>1025236</v>
      </c>
      <c r="B1357">
        <v>1356</v>
      </c>
      <c r="C1357">
        <v>1</v>
      </c>
      <c r="D1357" s="17" t="s">
        <v>155</v>
      </c>
      <c r="E1357" s="17"/>
      <c r="F1357" s="17" t="s">
        <v>156</v>
      </c>
      <c r="G1357" s="17"/>
      <c r="H1357" s="17" t="s">
        <v>692</v>
      </c>
      <c r="I1357" s="17"/>
      <c r="J1357" s="17" t="s">
        <v>693</v>
      </c>
      <c r="K1357" s="17"/>
      <c r="L1357" s="17"/>
      <c r="M1357" s="17"/>
      <c r="N1357" s="17" t="s">
        <v>7745</v>
      </c>
      <c r="O1357" s="17"/>
      <c r="P1357" s="17" t="s">
        <v>7769</v>
      </c>
      <c r="Q1357" s="17"/>
      <c r="R1357" s="25" t="str">
        <f>HYPERLINK("https://ictv.global/taxonomy/taxondetails?taxnode_id=202319556","Webervirus penguinator")</f>
        <v>Webervirus penguinator</v>
      </c>
      <c r="S1357" s="18" t="s">
        <v>30</v>
      </c>
      <c r="T1357" s="18" t="s">
        <v>39292</v>
      </c>
      <c r="U1357" s="18" t="s">
        <v>39293</v>
      </c>
      <c r="V1357" s="18"/>
      <c r="W1357" s="18" t="s">
        <v>48083</v>
      </c>
      <c r="X1357" s="18" t="s">
        <v>42</v>
      </c>
      <c r="Y1357" s="18" t="s">
        <v>36</v>
      </c>
      <c r="Z1357" s="18" t="s">
        <v>697</v>
      </c>
      <c r="AA1357" s="21" t="str">
        <f>HYPERLINK("https://www.ncbi.nlm.nih.gov/nuccore/MN013087","NCBI Nucleotide")</f>
        <v>NCBI Nucleotide</v>
      </c>
    </row>
    <row r="1358" spans="1:27" x14ac:dyDescent="0.35">
      <c r="A1358">
        <v>1025237</v>
      </c>
      <c r="B1358">
        <v>1357</v>
      </c>
      <c r="C1358">
        <v>1</v>
      </c>
      <c r="D1358" s="17" t="s">
        <v>155</v>
      </c>
      <c r="E1358" s="17"/>
      <c r="F1358" s="17" t="s">
        <v>156</v>
      </c>
      <c r="G1358" s="17"/>
      <c r="H1358" s="17" t="s">
        <v>692</v>
      </c>
      <c r="I1358" s="17"/>
      <c r="J1358" s="17" t="s">
        <v>693</v>
      </c>
      <c r="K1358" s="17"/>
      <c r="L1358" s="17"/>
      <c r="M1358" s="17"/>
      <c r="N1358" s="17" t="s">
        <v>7745</v>
      </c>
      <c r="O1358" s="17"/>
      <c r="P1358" s="17" t="s">
        <v>7769</v>
      </c>
      <c r="Q1358" s="17"/>
      <c r="R1358" s="25" t="str">
        <f>HYPERLINK("https://ictv.global/taxonomy/taxondetails?taxnode_id=202319536","Webervirus petecarol")</f>
        <v>Webervirus petecarol</v>
      </c>
      <c r="S1358" s="18" t="s">
        <v>30</v>
      </c>
      <c r="T1358" s="18" t="s">
        <v>39294</v>
      </c>
      <c r="U1358" s="18" t="s">
        <v>39295</v>
      </c>
      <c r="V1358" s="18"/>
      <c r="W1358" s="18" t="s">
        <v>48084</v>
      </c>
      <c r="X1358" s="18" t="s">
        <v>42</v>
      </c>
      <c r="Y1358" s="18" t="s">
        <v>36</v>
      </c>
      <c r="Z1358" s="18" t="s">
        <v>697</v>
      </c>
      <c r="AA1358" s="21" t="str">
        <f>HYPERLINK("https://www.ncbi.nlm.nih.gov/nuccore/OL539448","NCBI Nucleotide")</f>
        <v>NCBI Nucleotide</v>
      </c>
    </row>
    <row r="1359" spans="1:27" x14ac:dyDescent="0.35">
      <c r="A1359">
        <v>1025238</v>
      </c>
      <c r="B1359">
        <v>1358</v>
      </c>
      <c r="C1359">
        <v>1</v>
      </c>
      <c r="D1359" s="17" t="s">
        <v>155</v>
      </c>
      <c r="E1359" s="17"/>
      <c r="F1359" s="17" t="s">
        <v>156</v>
      </c>
      <c r="G1359" s="17"/>
      <c r="H1359" s="17" t="s">
        <v>692</v>
      </c>
      <c r="I1359" s="17"/>
      <c r="J1359" s="17" t="s">
        <v>693</v>
      </c>
      <c r="K1359" s="17"/>
      <c r="L1359" s="17"/>
      <c r="M1359" s="17"/>
      <c r="N1359" s="17" t="s">
        <v>7745</v>
      </c>
      <c r="O1359" s="17"/>
      <c r="P1359" s="17" t="s">
        <v>7769</v>
      </c>
      <c r="Q1359" s="17"/>
      <c r="R1359" s="25" t="str">
        <f>HYPERLINK("https://ictv.global/taxonomy/taxondetails?taxnode_id=202319510","Webervirus pK8")</f>
        <v>Webervirus pK8</v>
      </c>
      <c r="S1359" s="18" t="s">
        <v>30</v>
      </c>
      <c r="T1359" s="18" t="s">
        <v>39296</v>
      </c>
      <c r="U1359" s="18" t="s">
        <v>39297</v>
      </c>
      <c r="V1359" s="18"/>
      <c r="W1359" s="18" t="s">
        <v>48085</v>
      </c>
      <c r="X1359" s="18" t="s">
        <v>42</v>
      </c>
      <c r="Y1359" s="18" t="s">
        <v>36</v>
      </c>
      <c r="Z1359" s="18" t="s">
        <v>697</v>
      </c>
      <c r="AA1359" s="21" t="str">
        <f>HYPERLINK("https://www.ncbi.nlm.nih.gov/nuccore/OL702938","NCBI Nucleotide")</f>
        <v>NCBI Nucleotide</v>
      </c>
    </row>
    <row r="1360" spans="1:27" x14ac:dyDescent="0.35">
      <c r="A1360">
        <v>1001846</v>
      </c>
      <c r="B1360">
        <v>1359</v>
      </c>
      <c r="C1360">
        <v>1</v>
      </c>
      <c r="D1360" s="17" t="s">
        <v>155</v>
      </c>
      <c r="E1360" s="17"/>
      <c r="F1360" s="17" t="s">
        <v>156</v>
      </c>
      <c r="G1360" s="17"/>
      <c r="H1360" s="17" t="s">
        <v>692</v>
      </c>
      <c r="I1360" s="17"/>
      <c r="J1360" s="17" t="s">
        <v>693</v>
      </c>
      <c r="K1360" s="17"/>
      <c r="L1360" s="17"/>
      <c r="M1360" s="17"/>
      <c r="N1360" s="17" t="s">
        <v>7745</v>
      </c>
      <c r="O1360" s="17"/>
      <c r="P1360" s="17" t="s">
        <v>7769</v>
      </c>
      <c r="Q1360" s="17"/>
      <c r="R1360" s="25" t="str">
        <f>HYPERLINK("https://ictv.global/taxonomy/taxondetails?taxnode_id=202300809","Webervirus PKP126")</f>
        <v>Webervirus PKP126</v>
      </c>
      <c r="S1360" s="18" t="s">
        <v>30</v>
      </c>
      <c r="T1360" s="18" t="s">
        <v>7812</v>
      </c>
      <c r="U1360" s="18"/>
      <c r="V1360" s="18"/>
      <c r="W1360" s="18" t="s">
        <v>7813</v>
      </c>
      <c r="X1360" s="18" t="s">
        <v>42</v>
      </c>
      <c r="Y1360" s="18" t="s">
        <v>36</v>
      </c>
      <c r="Z1360" s="18" t="s">
        <v>697</v>
      </c>
      <c r="AA1360" s="21" t="str">
        <f>HYPERLINK("https://www.ncbi.nlm.nih.gov/nuccore/KR269719","NCBI Nucleotide")</f>
        <v>NCBI Nucleotide</v>
      </c>
    </row>
    <row r="1361" spans="1:27" x14ac:dyDescent="0.35">
      <c r="A1361">
        <v>1025239</v>
      </c>
      <c r="B1361">
        <v>1360</v>
      </c>
      <c r="C1361">
        <v>1</v>
      </c>
      <c r="D1361" s="17" t="s">
        <v>155</v>
      </c>
      <c r="E1361" s="17"/>
      <c r="F1361" s="17" t="s">
        <v>156</v>
      </c>
      <c r="G1361" s="17"/>
      <c r="H1361" s="17" t="s">
        <v>692</v>
      </c>
      <c r="I1361" s="17"/>
      <c r="J1361" s="17" t="s">
        <v>693</v>
      </c>
      <c r="K1361" s="17"/>
      <c r="L1361" s="17"/>
      <c r="M1361" s="17"/>
      <c r="N1361" s="17" t="s">
        <v>7745</v>
      </c>
      <c r="O1361" s="17"/>
      <c r="P1361" s="17" t="s">
        <v>7769</v>
      </c>
      <c r="Q1361" s="17"/>
      <c r="R1361" s="25" t="str">
        <f>HYPERLINK("https://ictv.global/taxonomy/taxondetails?taxnode_id=202319549","Webervirus pKPBS31711")</f>
        <v>Webervirus pKPBS31711</v>
      </c>
      <c r="S1361" s="18" t="s">
        <v>30</v>
      </c>
      <c r="T1361" s="18" t="s">
        <v>39298</v>
      </c>
      <c r="U1361" s="18" t="s">
        <v>39299</v>
      </c>
      <c r="V1361" s="18"/>
      <c r="W1361" s="18" t="s">
        <v>48086</v>
      </c>
      <c r="X1361" s="18" t="s">
        <v>42</v>
      </c>
      <c r="Y1361" s="18" t="s">
        <v>36</v>
      </c>
      <c r="Z1361" s="18" t="s">
        <v>697</v>
      </c>
      <c r="AA1361" s="21" t="str">
        <f>HYPERLINK("https://www.ncbi.nlm.nih.gov/nuccore/OP413832","NCBI Nucleotide")</f>
        <v>NCBI Nucleotide</v>
      </c>
    </row>
    <row r="1362" spans="1:27" x14ac:dyDescent="0.35">
      <c r="A1362">
        <v>1025240</v>
      </c>
      <c r="B1362">
        <v>1361</v>
      </c>
      <c r="C1362">
        <v>1</v>
      </c>
      <c r="D1362" s="17" t="s">
        <v>155</v>
      </c>
      <c r="E1362" s="17"/>
      <c r="F1362" s="17" t="s">
        <v>156</v>
      </c>
      <c r="G1362" s="17"/>
      <c r="H1362" s="17" t="s">
        <v>692</v>
      </c>
      <c r="I1362" s="17"/>
      <c r="J1362" s="17" t="s">
        <v>693</v>
      </c>
      <c r="K1362" s="17"/>
      <c r="L1362" s="17"/>
      <c r="M1362" s="17"/>
      <c r="N1362" s="17" t="s">
        <v>7745</v>
      </c>
      <c r="O1362" s="17"/>
      <c r="P1362" s="17" t="s">
        <v>7769</v>
      </c>
      <c r="Q1362" s="17"/>
      <c r="R1362" s="25" t="str">
        <f>HYPERLINK("https://ictv.global/taxonomy/taxondetails?taxnode_id=202319522","Webervirus PSKP16")</f>
        <v>Webervirus PSKP16</v>
      </c>
      <c r="S1362" s="18" t="s">
        <v>30</v>
      </c>
      <c r="T1362" s="18" t="s">
        <v>39300</v>
      </c>
      <c r="U1362" s="18" t="s">
        <v>39301</v>
      </c>
      <c r="V1362" s="18"/>
      <c r="W1362" s="18" t="s">
        <v>48087</v>
      </c>
      <c r="X1362" s="18" t="s">
        <v>42</v>
      </c>
      <c r="Y1362" s="18" t="s">
        <v>36</v>
      </c>
      <c r="Z1362" s="18" t="s">
        <v>697</v>
      </c>
      <c r="AA1362" s="21" t="str">
        <f>HYPERLINK("https://www.ncbi.nlm.nih.gov/nuccore/OW251746","NCBI Nucleotide")</f>
        <v>NCBI Nucleotide</v>
      </c>
    </row>
    <row r="1363" spans="1:27" x14ac:dyDescent="0.35">
      <c r="A1363">
        <v>1025241</v>
      </c>
      <c r="B1363">
        <v>1362</v>
      </c>
      <c r="C1363">
        <v>1</v>
      </c>
      <c r="D1363" s="17" t="s">
        <v>155</v>
      </c>
      <c r="E1363" s="17"/>
      <c r="F1363" s="17" t="s">
        <v>156</v>
      </c>
      <c r="G1363" s="17"/>
      <c r="H1363" s="17" t="s">
        <v>692</v>
      </c>
      <c r="I1363" s="17"/>
      <c r="J1363" s="17" t="s">
        <v>693</v>
      </c>
      <c r="K1363" s="17"/>
      <c r="L1363" s="17"/>
      <c r="M1363" s="17"/>
      <c r="N1363" s="17" t="s">
        <v>7745</v>
      </c>
      <c r="O1363" s="17"/>
      <c r="P1363" s="17" t="s">
        <v>7769</v>
      </c>
      <c r="Q1363" s="17"/>
      <c r="R1363" s="25" t="str">
        <f>HYPERLINK("https://ictv.global/taxonomy/taxondetails?taxnode_id=202319509","Webervirus PWKp15")</f>
        <v>Webervirus PWKp15</v>
      </c>
      <c r="S1363" s="18" t="s">
        <v>30</v>
      </c>
      <c r="T1363" s="18" t="s">
        <v>39302</v>
      </c>
      <c r="U1363" s="18" t="s">
        <v>39303</v>
      </c>
      <c r="V1363" s="18"/>
      <c r="W1363" s="18" t="s">
        <v>48088</v>
      </c>
      <c r="X1363" s="18" t="s">
        <v>42</v>
      </c>
      <c r="Y1363" s="18" t="s">
        <v>36</v>
      </c>
      <c r="Z1363" s="18" t="s">
        <v>697</v>
      </c>
      <c r="AA1363" s="21" t="str">
        <f>HYPERLINK("https://www.ncbi.nlm.nih.gov/nuccore/MZ634346","NCBI Nucleotide")</f>
        <v>NCBI Nucleotide</v>
      </c>
    </row>
    <row r="1364" spans="1:27" x14ac:dyDescent="0.35">
      <c r="A1364">
        <v>1025242</v>
      </c>
      <c r="B1364">
        <v>1363</v>
      </c>
      <c r="C1364">
        <v>1</v>
      </c>
      <c r="D1364" s="17" t="s">
        <v>155</v>
      </c>
      <c r="E1364" s="17"/>
      <c r="F1364" s="17" t="s">
        <v>156</v>
      </c>
      <c r="G1364" s="17"/>
      <c r="H1364" s="17" t="s">
        <v>692</v>
      </c>
      <c r="I1364" s="17"/>
      <c r="J1364" s="17" t="s">
        <v>693</v>
      </c>
      <c r="K1364" s="17"/>
      <c r="L1364" s="17"/>
      <c r="M1364" s="17"/>
      <c r="N1364" s="17" t="s">
        <v>7745</v>
      </c>
      <c r="O1364" s="17"/>
      <c r="P1364" s="17" t="s">
        <v>7769</v>
      </c>
      <c r="Q1364" s="17"/>
      <c r="R1364" s="25" t="str">
        <f>HYPERLINK("https://ictv.global/taxonomy/taxondetails?taxnode_id=202319561","Webervirus PWKp17")</f>
        <v>Webervirus PWKp17</v>
      </c>
      <c r="S1364" s="18" t="s">
        <v>30</v>
      </c>
      <c r="T1364" s="18" t="s">
        <v>39304</v>
      </c>
      <c r="U1364" s="18" t="s">
        <v>39305</v>
      </c>
      <c r="V1364" s="18"/>
      <c r="W1364" s="18" t="s">
        <v>48089</v>
      </c>
      <c r="X1364" s="18" t="s">
        <v>42</v>
      </c>
      <c r="Y1364" s="18" t="s">
        <v>36</v>
      </c>
      <c r="Z1364" s="18" t="s">
        <v>697</v>
      </c>
      <c r="AA1364" s="21" t="str">
        <f>HYPERLINK("https://www.ncbi.nlm.nih.gov/nuccore/MZ634348","NCBI Nucleotide")</f>
        <v>NCBI Nucleotide</v>
      </c>
    </row>
    <row r="1365" spans="1:27" x14ac:dyDescent="0.35">
      <c r="A1365">
        <v>1025243</v>
      </c>
      <c r="B1365">
        <v>1364</v>
      </c>
      <c r="C1365">
        <v>1</v>
      </c>
      <c r="D1365" s="17" t="s">
        <v>155</v>
      </c>
      <c r="E1365" s="17"/>
      <c r="F1365" s="17" t="s">
        <v>156</v>
      </c>
      <c r="G1365" s="17"/>
      <c r="H1365" s="17" t="s">
        <v>692</v>
      </c>
      <c r="I1365" s="17"/>
      <c r="J1365" s="17" t="s">
        <v>693</v>
      </c>
      <c r="K1365" s="17"/>
      <c r="L1365" s="17"/>
      <c r="M1365" s="17"/>
      <c r="N1365" s="17" t="s">
        <v>7745</v>
      </c>
      <c r="O1365" s="17"/>
      <c r="P1365" s="17" t="s">
        <v>7769</v>
      </c>
      <c r="Q1365" s="17"/>
      <c r="R1365" s="25" t="str">
        <f>HYPERLINK("https://ictv.global/taxonomy/taxondetails?taxnode_id=202319563","Webervirus PWKp20")</f>
        <v>Webervirus PWKp20</v>
      </c>
      <c r="S1365" s="18" t="s">
        <v>30</v>
      </c>
      <c r="T1365" s="18" t="s">
        <v>39306</v>
      </c>
      <c r="U1365" s="18" t="s">
        <v>39307</v>
      </c>
      <c r="V1365" s="18"/>
      <c r="W1365" s="18" t="s">
        <v>48090</v>
      </c>
      <c r="X1365" s="18" t="s">
        <v>42</v>
      </c>
      <c r="Y1365" s="18" t="s">
        <v>36</v>
      </c>
      <c r="Z1365" s="18" t="s">
        <v>697</v>
      </c>
      <c r="AA1365" s="21" t="str">
        <f>HYPERLINK("https://www.ncbi.nlm.nih.gov/nuccore/MZ634351","NCBI Nucleotide")</f>
        <v>NCBI Nucleotide</v>
      </c>
    </row>
    <row r="1366" spans="1:27" x14ac:dyDescent="0.35">
      <c r="A1366">
        <v>1025244</v>
      </c>
      <c r="B1366">
        <v>1365</v>
      </c>
      <c r="C1366">
        <v>1</v>
      </c>
      <c r="D1366" s="17" t="s">
        <v>155</v>
      </c>
      <c r="E1366" s="17"/>
      <c r="F1366" s="17" t="s">
        <v>156</v>
      </c>
      <c r="G1366" s="17"/>
      <c r="H1366" s="17" t="s">
        <v>692</v>
      </c>
      <c r="I1366" s="17"/>
      <c r="J1366" s="17" t="s">
        <v>693</v>
      </c>
      <c r="K1366" s="17"/>
      <c r="L1366" s="17"/>
      <c r="M1366" s="17"/>
      <c r="N1366" s="17" t="s">
        <v>7745</v>
      </c>
      <c r="O1366" s="17"/>
      <c r="P1366" s="17" t="s">
        <v>7769</v>
      </c>
      <c r="Q1366" s="17"/>
      <c r="R1366" s="25" t="str">
        <f>HYPERLINK("https://ictv.global/taxonomy/taxondetails?taxnode_id=202319518","Webervirus RAD2")</f>
        <v>Webervirus RAD2</v>
      </c>
      <c r="S1366" s="18" t="s">
        <v>30</v>
      </c>
      <c r="T1366" s="18" t="s">
        <v>39308</v>
      </c>
      <c r="U1366" s="18" t="s">
        <v>39309</v>
      </c>
      <c r="V1366" s="18"/>
      <c r="W1366" s="18" t="s">
        <v>39310</v>
      </c>
      <c r="X1366" s="18" t="s">
        <v>42</v>
      </c>
      <c r="Y1366" s="18" t="s">
        <v>36</v>
      </c>
      <c r="Z1366" s="18" t="s">
        <v>697</v>
      </c>
      <c r="AA1366" s="21" t="str">
        <f>HYPERLINK("https://www.ncbi.nlm.nih.gov/nuccore/MW655991","NCBI Nucleotide")</f>
        <v>NCBI Nucleotide</v>
      </c>
    </row>
    <row r="1367" spans="1:27" x14ac:dyDescent="0.35">
      <c r="A1367">
        <v>1001847</v>
      </c>
      <c r="B1367">
        <v>1366</v>
      </c>
      <c r="C1367">
        <v>1</v>
      </c>
      <c r="D1367" s="17" t="s">
        <v>155</v>
      </c>
      <c r="E1367" s="17"/>
      <c r="F1367" s="17" t="s">
        <v>156</v>
      </c>
      <c r="G1367" s="17"/>
      <c r="H1367" s="17" t="s">
        <v>692</v>
      </c>
      <c r="I1367" s="17"/>
      <c r="J1367" s="17" t="s">
        <v>693</v>
      </c>
      <c r="K1367" s="17"/>
      <c r="L1367" s="17"/>
      <c r="M1367" s="17"/>
      <c r="N1367" s="17" t="s">
        <v>7745</v>
      </c>
      <c r="O1367" s="17"/>
      <c r="P1367" s="17" t="s">
        <v>7769</v>
      </c>
      <c r="Q1367" s="17"/>
      <c r="R1367" s="25" t="str">
        <f>HYPERLINK("https://ictv.global/taxonomy/taxondetails?taxnode_id=202312102","Webervirus segescirculi")</f>
        <v>Webervirus segescirculi</v>
      </c>
      <c r="S1367" s="18" t="s">
        <v>30</v>
      </c>
      <c r="T1367" s="18" t="s">
        <v>7814</v>
      </c>
      <c r="U1367" s="18"/>
      <c r="V1367" s="18"/>
      <c r="W1367" s="18" t="s">
        <v>7815</v>
      </c>
      <c r="X1367" s="18" t="s">
        <v>42</v>
      </c>
      <c r="Y1367" s="18" t="s">
        <v>36</v>
      </c>
      <c r="Z1367" s="18" t="s">
        <v>697</v>
      </c>
      <c r="AA1367" s="21" t="str">
        <f>HYPERLINK("https://www.ncbi.nlm.nih.gov/nuccore/MN013080","NCBI Nucleotide")</f>
        <v>NCBI Nucleotide</v>
      </c>
    </row>
    <row r="1368" spans="1:27" x14ac:dyDescent="0.35">
      <c r="A1368">
        <v>1001848</v>
      </c>
      <c r="B1368">
        <v>1367</v>
      </c>
      <c r="C1368">
        <v>1</v>
      </c>
      <c r="D1368" s="17" t="s">
        <v>155</v>
      </c>
      <c r="E1368" s="17"/>
      <c r="F1368" s="17" t="s">
        <v>156</v>
      </c>
      <c r="G1368" s="17"/>
      <c r="H1368" s="17" t="s">
        <v>692</v>
      </c>
      <c r="I1368" s="17"/>
      <c r="J1368" s="17" t="s">
        <v>693</v>
      </c>
      <c r="K1368" s="17"/>
      <c r="L1368" s="17"/>
      <c r="M1368" s="17"/>
      <c r="N1368" s="17" t="s">
        <v>7745</v>
      </c>
      <c r="O1368" s="17"/>
      <c r="P1368" s="17" t="s">
        <v>7769</v>
      </c>
      <c r="Q1368" s="17"/>
      <c r="R1368" s="25" t="str">
        <f>HYPERLINK("https://ictv.global/taxonomy/taxondetails?taxnode_id=202312115","Webervirus shelby")</f>
        <v>Webervirus shelby</v>
      </c>
      <c r="S1368" s="18" t="s">
        <v>30</v>
      </c>
      <c r="T1368" s="18" t="s">
        <v>7816</v>
      </c>
      <c r="U1368" s="18"/>
      <c r="V1368" s="18"/>
      <c r="W1368" s="18" t="s">
        <v>7817</v>
      </c>
      <c r="X1368" s="18" t="s">
        <v>42</v>
      </c>
      <c r="Y1368" s="18" t="s">
        <v>36</v>
      </c>
      <c r="Z1368" s="18" t="s">
        <v>697</v>
      </c>
      <c r="AA1368" s="21" t="str">
        <f>HYPERLINK("https://www.ncbi.nlm.nih.gov/nuccore/MK931445","NCBI Nucleotide")</f>
        <v>NCBI Nucleotide</v>
      </c>
    </row>
    <row r="1369" spans="1:27" x14ac:dyDescent="0.35">
      <c r="A1369">
        <v>1001849</v>
      </c>
      <c r="B1369">
        <v>1368</v>
      </c>
      <c r="C1369">
        <v>1</v>
      </c>
      <c r="D1369" s="17" t="s">
        <v>155</v>
      </c>
      <c r="E1369" s="17"/>
      <c r="F1369" s="17" t="s">
        <v>156</v>
      </c>
      <c r="G1369" s="17"/>
      <c r="H1369" s="17" t="s">
        <v>692</v>
      </c>
      <c r="I1369" s="17"/>
      <c r="J1369" s="17" t="s">
        <v>693</v>
      </c>
      <c r="K1369" s="17"/>
      <c r="L1369" s="17"/>
      <c r="M1369" s="17"/>
      <c r="N1369" s="17" t="s">
        <v>7745</v>
      </c>
      <c r="O1369" s="17"/>
      <c r="P1369" s="17" t="s">
        <v>7769</v>
      </c>
      <c r="Q1369" s="17"/>
      <c r="R1369" s="25" t="str">
        <f>HYPERLINK("https://ictv.global/taxonomy/taxondetails?taxnode_id=202312116","Webervirus sin4")</f>
        <v>Webervirus sin4</v>
      </c>
      <c r="S1369" s="18" t="s">
        <v>30</v>
      </c>
      <c r="T1369" s="18" t="s">
        <v>7818</v>
      </c>
      <c r="U1369" s="18"/>
      <c r="V1369" s="18"/>
      <c r="W1369" s="18" t="s">
        <v>7819</v>
      </c>
      <c r="X1369" s="18" t="s">
        <v>42</v>
      </c>
      <c r="Y1369" s="18" t="s">
        <v>36</v>
      </c>
      <c r="Z1369" s="18" t="s">
        <v>697</v>
      </c>
      <c r="AA1369" s="21" t="str">
        <f>HYPERLINK("https://www.ncbi.nlm.nih.gov/nuccore/MK931442","NCBI Nucleotide")</f>
        <v>NCBI Nucleotide</v>
      </c>
    </row>
    <row r="1370" spans="1:27" x14ac:dyDescent="0.35">
      <c r="A1370">
        <v>1001850</v>
      </c>
      <c r="B1370">
        <v>1369</v>
      </c>
      <c r="C1370">
        <v>1</v>
      </c>
      <c r="D1370" s="17" t="s">
        <v>155</v>
      </c>
      <c r="E1370" s="17"/>
      <c r="F1370" s="17" t="s">
        <v>156</v>
      </c>
      <c r="G1370" s="17"/>
      <c r="H1370" s="17" t="s">
        <v>692</v>
      </c>
      <c r="I1370" s="17"/>
      <c r="J1370" s="17" t="s">
        <v>693</v>
      </c>
      <c r="K1370" s="17"/>
      <c r="L1370" s="17"/>
      <c r="M1370" s="17"/>
      <c r="N1370" s="17" t="s">
        <v>7745</v>
      </c>
      <c r="O1370" s="17"/>
      <c r="P1370" s="17" t="s">
        <v>7769</v>
      </c>
      <c r="Q1370" s="17"/>
      <c r="R1370" s="25" t="str">
        <f>HYPERLINK("https://ictv.global/taxonomy/taxondetails?taxnode_id=202312110","Webervirus skenny")</f>
        <v>Webervirus skenny</v>
      </c>
      <c r="S1370" s="18" t="s">
        <v>30</v>
      </c>
      <c r="T1370" s="18" t="s">
        <v>7820</v>
      </c>
      <c r="U1370" s="18"/>
      <c r="V1370" s="18"/>
      <c r="W1370" s="18" t="s">
        <v>7821</v>
      </c>
      <c r="X1370" s="18" t="s">
        <v>42</v>
      </c>
      <c r="Y1370" s="18" t="s">
        <v>36</v>
      </c>
      <c r="Z1370" s="18" t="s">
        <v>697</v>
      </c>
      <c r="AA1370" s="21" t="str">
        <f>HYPERLINK("https://www.ncbi.nlm.nih.gov/nuccore/MK931444","NCBI Nucleotide")</f>
        <v>NCBI Nucleotide</v>
      </c>
    </row>
    <row r="1371" spans="1:27" x14ac:dyDescent="0.35">
      <c r="A1371">
        <v>1025245</v>
      </c>
      <c r="B1371">
        <v>1370</v>
      </c>
      <c r="C1371">
        <v>1</v>
      </c>
      <c r="D1371" s="17" t="s">
        <v>155</v>
      </c>
      <c r="E1371" s="17"/>
      <c r="F1371" s="17" t="s">
        <v>156</v>
      </c>
      <c r="G1371" s="17"/>
      <c r="H1371" s="17" t="s">
        <v>692</v>
      </c>
      <c r="I1371" s="17"/>
      <c r="J1371" s="17" t="s">
        <v>693</v>
      </c>
      <c r="K1371" s="17"/>
      <c r="L1371" s="17"/>
      <c r="M1371" s="17"/>
      <c r="N1371" s="17" t="s">
        <v>7745</v>
      </c>
      <c r="O1371" s="17"/>
      <c r="P1371" s="17" t="s">
        <v>7769</v>
      </c>
      <c r="Q1371" s="17"/>
      <c r="R1371" s="25" t="str">
        <f>HYPERLINK("https://ictv.global/taxonomy/taxondetails?taxnode_id=202319553","Webervirus solomon")</f>
        <v>Webervirus solomon</v>
      </c>
      <c r="S1371" s="18" t="s">
        <v>30</v>
      </c>
      <c r="T1371" s="18" t="s">
        <v>39311</v>
      </c>
      <c r="U1371" s="18" t="s">
        <v>39312</v>
      </c>
      <c r="V1371" s="18"/>
      <c r="W1371" s="18" t="s">
        <v>48091</v>
      </c>
      <c r="X1371" s="18" t="s">
        <v>42</v>
      </c>
      <c r="Y1371" s="18" t="s">
        <v>36</v>
      </c>
      <c r="Z1371" s="18" t="s">
        <v>697</v>
      </c>
      <c r="AA1371" s="21" t="str">
        <f>HYPERLINK("https://www.ncbi.nlm.nih.gov/nuccore/MT701592","NCBI Nucleotide")</f>
        <v>NCBI Nucleotide</v>
      </c>
    </row>
    <row r="1372" spans="1:27" x14ac:dyDescent="0.35">
      <c r="A1372">
        <v>1001851</v>
      </c>
      <c r="B1372">
        <v>1371</v>
      </c>
      <c r="C1372">
        <v>1</v>
      </c>
      <c r="D1372" s="17" t="s">
        <v>155</v>
      </c>
      <c r="E1372" s="17"/>
      <c r="F1372" s="17" t="s">
        <v>156</v>
      </c>
      <c r="G1372" s="17"/>
      <c r="H1372" s="17" t="s">
        <v>692</v>
      </c>
      <c r="I1372" s="17"/>
      <c r="J1372" s="17" t="s">
        <v>693</v>
      </c>
      <c r="K1372" s="17"/>
      <c r="L1372" s="17"/>
      <c r="M1372" s="17"/>
      <c r="N1372" s="17" t="s">
        <v>7745</v>
      </c>
      <c r="O1372" s="17"/>
      <c r="P1372" s="17" t="s">
        <v>7769</v>
      </c>
      <c r="Q1372" s="17"/>
      <c r="R1372" s="25" t="str">
        <f>HYPERLINK("https://ictv.global/taxonomy/taxondetails?taxnode_id=202300810","Webervirus sushi")</f>
        <v>Webervirus sushi</v>
      </c>
      <c r="S1372" s="18" t="s">
        <v>30</v>
      </c>
      <c r="T1372" s="18" t="s">
        <v>7822</v>
      </c>
      <c r="U1372" s="18"/>
      <c r="V1372" s="18"/>
      <c r="W1372" s="18" t="s">
        <v>7823</v>
      </c>
      <c r="X1372" s="18" t="s">
        <v>42</v>
      </c>
      <c r="Y1372" s="18" t="s">
        <v>36</v>
      </c>
      <c r="Z1372" s="18" t="s">
        <v>697</v>
      </c>
      <c r="AA1372" s="21" t="str">
        <f>HYPERLINK("https://www.ncbi.nlm.nih.gov/nuccore/KT001920","NCBI Nucleotide")</f>
        <v>NCBI Nucleotide</v>
      </c>
    </row>
    <row r="1373" spans="1:27" x14ac:dyDescent="0.35">
      <c r="A1373">
        <v>1001852</v>
      </c>
      <c r="B1373">
        <v>1372</v>
      </c>
      <c r="C1373">
        <v>1</v>
      </c>
      <c r="D1373" s="17" t="s">
        <v>155</v>
      </c>
      <c r="E1373" s="17"/>
      <c r="F1373" s="17" t="s">
        <v>156</v>
      </c>
      <c r="G1373" s="17"/>
      <c r="H1373" s="17" t="s">
        <v>692</v>
      </c>
      <c r="I1373" s="17"/>
      <c r="J1373" s="17" t="s">
        <v>693</v>
      </c>
      <c r="K1373" s="17"/>
      <c r="L1373" s="17"/>
      <c r="M1373" s="17"/>
      <c r="N1373" s="17" t="s">
        <v>7745</v>
      </c>
      <c r="O1373" s="17"/>
      <c r="P1373" s="17" t="s">
        <v>7769</v>
      </c>
      <c r="Q1373" s="17"/>
      <c r="R1373" s="25" t="str">
        <f>HYPERLINK("https://ictv.global/taxonomy/taxondetails?taxnode_id=202312108","Webervirus sweeny")</f>
        <v>Webervirus sweeny</v>
      </c>
      <c r="S1373" s="18" t="s">
        <v>30</v>
      </c>
      <c r="T1373" s="18" t="s">
        <v>7824</v>
      </c>
      <c r="U1373" s="18"/>
      <c r="V1373" s="18"/>
      <c r="W1373" s="18" t="s">
        <v>7825</v>
      </c>
      <c r="X1373" s="18" t="s">
        <v>42</v>
      </c>
      <c r="Y1373" s="18" t="s">
        <v>36</v>
      </c>
      <c r="Z1373" s="18" t="s">
        <v>697</v>
      </c>
      <c r="AA1373" s="21" t="str">
        <f>HYPERLINK("https://www.ncbi.nlm.nih.gov/nuccore/MK931443","NCBI Nucleotide")</f>
        <v>NCBI Nucleotide</v>
      </c>
    </row>
    <row r="1374" spans="1:27" x14ac:dyDescent="0.35">
      <c r="A1374">
        <v>1001853</v>
      </c>
      <c r="B1374">
        <v>1373</v>
      </c>
      <c r="C1374">
        <v>1</v>
      </c>
      <c r="D1374" s="17" t="s">
        <v>155</v>
      </c>
      <c r="E1374" s="17"/>
      <c r="F1374" s="17" t="s">
        <v>156</v>
      </c>
      <c r="G1374" s="17"/>
      <c r="H1374" s="17" t="s">
        <v>692</v>
      </c>
      <c r="I1374" s="17"/>
      <c r="J1374" s="17" t="s">
        <v>693</v>
      </c>
      <c r="K1374" s="17"/>
      <c r="L1374" s="17"/>
      <c r="M1374" s="17"/>
      <c r="N1374" s="17" t="s">
        <v>7745</v>
      </c>
      <c r="O1374" s="17"/>
      <c r="P1374" s="17" t="s">
        <v>7769</v>
      </c>
      <c r="Q1374" s="17"/>
      <c r="R1374" s="25" t="str">
        <f>HYPERLINK("https://ictv.global/taxonomy/taxondetails?taxnode_id=202308180","Webervirus TAH8")</f>
        <v>Webervirus TAH8</v>
      </c>
      <c r="S1374" s="18" t="s">
        <v>30</v>
      </c>
      <c r="T1374" s="18" t="s">
        <v>7826</v>
      </c>
      <c r="U1374" s="18"/>
      <c r="V1374" s="18"/>
      <c r="W1374" s="18" t="s">
        <v>7827</v>
      </c>
      <c r="X1374" s="18" t="s">
        <v>42</v>
      </c>
      <c r="Y1374" s="18" t="s">
        <v>36</v>
      </c>
      <c r="Z1374" s="18" t="s">
        <v>697</v>
      </c>
      <c r="AA1374" s="21" t="str">
        <f>HYPERLINK("https://www.ncbi.nlm.nih.gov/nuccore/MH633484","NCBI Nucleotide")</f>
        <v>NCBI Nucleotide</v>
      </c>
    </row>
    <row r="1375" spans="1:27" x14ac:dyDescent="0.35">
      <c r="A1375">
        <v>1001854</v>
      </c>
      <c r="B1375">
        <v>1374</v>
      </c>
      <c r="C1375">
        <v>1</v>
      </c>
      <c r="D1375" s="17" t="s">
        <v>155</v>
      </c>
      <c r="E1375" s="17"/>
      <c r="F1375" s="17" t="s">
        <v>156</v>
      </c>
      <c r="G1375" s="17"/>
      <c r="H1375" s="17" t="s">
        <v>692</v>
      </c>
      <c r="I1375" s="17"/>
      <c r="J1375" s="17" t="s">
        <v>693</v>
      </c>
      <c r="K1375" s="17"/>
      <c r="L1375" s="17"/>
      <c r="M1375" s="17"/>
      <c r="N1375" s="17" t="s">
        <v>7745</v>
      </c>
      <c r="O1375" s="17"/>
      <c r="P1375" s="17" t="s">
        <v>7769</v>
      </c>
      <c r="Q1375" s="17"/>
      <c r="R1375" s="25" t="str">
        <f>HYPERLINK("https://ictv.global/taxonomy/taxondetails?taxnode_id=202308177","Webervirus TSK1")</f>
        <v>Webervirus TSK1</v>
      </c>
      <c r="S1375" s="18" t="s">
        <v>30</v>
      </c>
      <c r="T1375" s="18" t="s">
        <v>7828</v>
      </c>
      <c r="U1375" s="18"/>
      <c r="V1375" s="18"/>
      <c r="W1375" s="18" t="s">
        <v>7829</v>
      </c>
      <c r="X1375" s="18" t="s">
        <v>42</v>
      </c>
      <c r="Y1375" s="18" t="s">
        <v>36</v>
      </c>
      <c r="Z1375" s="18" t="s">
        <v>697</v>
      </c>
      <c r="AA1375" s="21" t="str">
        <f>HYPERLINK("https://www.ncbi.nlm.nih.gov/nuccore/MH688453","NCBI Nucleotide")</f>
        <v>NCBI Nucleotide</v>
      </c>
    </row>
    <row r="1376" spans="1:27" x14ac:dyDescent="0.35">
      <c r="A1376">
        <v>1025252</v>
      </c>
      <c r="B1376">
        <v>1375</v>
      </c>
      <c r="C1376">
        <v>1</v>
      </c>
      <c r="D1376" s="17" t="s">
        <v>155</v>
      </c>
      <c r="E1376" s="17"/>
      <c r="F1376" s="17" t="s">
        <v>156</v>
      </c>
      <c r="G1376" s="17"/>
      <c r="H1376" s="17" t="s">
        <v>692</v>
      </c>
      <c r="I1376" s="17"/>
      <c r="J1376" s="17" t="s">
        <v>693</v>
      </c>
      <c r="K1376" s="17"/>
      <c r="L1376" s="17"/>
      <c r="M1376" s="17"/>
      <c r="N1376" s="17" t="s">
        <v>7745</v>
      </c>
      <c r="O1376" s="17"/>
      <c r="P1376" s="17" t="s">
        <v>7769</v>
      </c>
      <c r="Q1376" s="17"/>
      <c r="R1376" s="25" t="str">
        <f>HYPERLINK("https://ictv.global/taxonomy/taxondetails?taxnode_id=202319552","Webervirus VAC2")</f>
        <v>Webervirus VAC2</v>
      </c>
      <c r="S1376" s="18" t="s">
        <v>30</v>
      </c>
      <c r="T1376" s="18" t="s">
        <v>39313</v>
      </c>
      <c r="U1376" s="18" t="s">
        <v>39314</v>
      </c>
      <c r="V1376" s="18"/>
      <c r="W1376" s="18" t="s">
        <v>48092</v>
      </c>
      <c r="X1376" s="18" t="s">
        <v>42</v>
      </c>
      <c r="Y1376" s="18" t="s">
        <v>36</v>
      </c>
      <c r="Z1376" s="18" t="s">
        <v>697</v>
      </c>
      <c r="AA1376" s="21" t="str">
        <f>HYPERLINK("https://www.ncbi.nlm.nih.gov/nuccore/MZ428221","NCBI Nucleotide")</f>
        <v>NCBI Nucleotide</v>
      </c>
    </row>
    <row r="1377" spans="1:27" x14ac:dyDescent="0.35">
      <c r="A1377">
        <v>1025253</v>
      </c>
      <c r="B1377">
        <v>1376</v>
      </c>
      <c r="C1377">
        <v>1</v>
      </c>
      <c r="D1377" s="17" t="s">
        <v>155</v>
      </c>
      <c r="E1377" s="17"/>
      <c r="F1377" s="17" t="s">
        <v>156</v>
      </c>
      <c r="G1377" s="17"/>
      <c r="H1377" s="17" t="s">
        <v>692</v>
      </c>
      <c r="I1377" s="17"/>
      <c r="J1377" s="17" t="s">
        <v>693</v>
      </c>
      <c r="K1377" s="17"/>
      <c r="L1377" s="17"/>
      <c r="M1377" s="17"/>
      <c r="N1377" s="17" t="s">
        <v>7745</v>
      </c>
      <c r="O1377" s="17"/>
      <c r="P1377" s="17" t="s">
        <v>7769</v>
      </c>
      <c r="Q1377" s="17"/>
      <c r="R1377" s="25" t="str">
        <f>HYPERLINK("https://ictv.global/taxonomy/taxondetails?taxnode_id=202319512","Webervirus VAC4")</f>
        <v>Webervirus VAC4</v>
      </c>
      <c r="S1377" s="18" t="s">
        <v>30</v>
      </c>
      <c r="T1377" s="18" t="s">
        <v>39315</v>
      </c>
      <c r="U1377" s="18" t="s">
        <v>39316</v>
      </c>
      <c r="V1377" s="18"/>
      <c r="W1377" s="18" t="s">
        <v>48093</v>
      </c>
      <c r="X1377" s="18" t="s">
        <v>42</v>
      </c>
      <c r="Y1377" s="18" t="s">
        <v>36</v>
      </c>
      <c r="Z1377" s="18" t="s">
        <v>697</v>
      </c>
      <c r="AA1377" s="21" t="str">
        <f>HYPERLINK("https://www.ncbi.nlm.nih.gov/nuccore/MZ428222","NCBI Nucleotide")</f>
        <v>NCBI Nucleotide</v>
      </c>
    </row>
    <row r="1378" spans="1:27" x14ac:dyDescent="0.35">
      <c r="A1378">
        <v>1025254</v>
      </c>
      <c r="B1378">
        <v>1377</v>
      </c>
      <c r="C1378">
        <v>1</v>
      </c>
      <c r="D1378" s="17" t="s">
        <v>155</v>
      </c>
      <c r="E1378" s="17"/>
      <c r="F1378" s="17" t="s">
        <v>156</v>
      </c>
      <c r="G1378" s="17"/>
      <c r="H1378" s="17" t="s">
        <v>692</v>
      </c>
      <c r="I1378" s="17"/>
      <c r="J1378" s="17" t="s">
        <v>693</v>
      </c>
      <c r="K1378" s="17"/>
      <c r="L1378" s="17"/>
      <c r="M1378" s="17"/>
      <c r="N1378" s="17" t="s">
        <v>7745</v>
      </c>
      <c r="O1378" s="17"/>
      <c r="P1378" s="17" t="s">
        <v>7769</v>
      </c>
      <c r="Q1378" s="17"/>
      <c r="R1378" s="25" t="str">
        <f>HYPERLINK("https://ictv.global/taxonomy/taxondetails?taxnode_id=202319532","Webervirus VAC5")</f>
        <v>Webervirus VAC5</v>
      </c>
      <c r="S1378" s="18" t="s">
        <v>30</v>
      </c>
      <c r="T1378" s="18" t="s">
        <v>39317</v>
      </c>
      <c r="U1378" s="18" t="s">
        <v>39318</v>
      </c>
      <c r="V1378" s="18"/>
      <c r="W1378" s="18" t="s">
        <v>48094</v>
      </c>
      <c r="X1378" s="18" t="s">
        <v>42</v>
      </c>
      <c r="Y1378" s="18" t="s">
        <v>36</v>
      </c>
      <c r="Z1378" s="18" t="s">
        <v>697</v>
      </c>
      <c r="AA1378" s="21" t="str">
        <f>HYPERLINK("https://www.ncbi.nlm.nih.gov/nuccore/MZ428223","NCBI Nucleotide")</f>
        <v>NCBI Nucleotide</v>
      </c>
    </row>
    <row r="1379" spans="1:27" x14ac:dyDescent="0.35">
      <c r="A1379">
        <v>1025255</v>
      </c>
      <c r="B1379">
        <v>1378</v>
      </c>
      <c r="C1379">
        <v>1</v>
      </c>
      <c r="D1379" s="17" t="s">
        <v>155</v>
      </c>
      <c r="E1379" s="17"/>
      <c r="F1379" s="17" t="s">
        <v>156</v>
      </c>
      <c r="G1379" s="17"/>
      <c r="H1379" s="17" t="s">
        <v>692</v>
      </c>
      <c r="I1379" s="17"/>
      <c r="J1379" s="17" t="s">
        <v>693</v>
      </c>
      <c r="K1379" s="17"/>
      <c r="L1379" s="17"/>
      <c r="M1379" s="17"/>
      <c r="N1379" s="17" t="s">
        <v>7745</v>
      </c>
      <c r="O1379" s="17"/>
      <c r="P1379" s="17" t="s">
        <v>7769</v>
      </c>
      <c r="Q1379" s="17"/>
      <c r="R1379" s="25" t="str">
        <f>HYPERLINK("https://ictv.global/taxonomy/taxondetails?taxnode_id=202319555","Webervirus VAC6")</f>
        <v>Webervirus VAC6</v>
      </c>
      <c r="S1379" s="18" t="s">
        <v>30</v>
      </c>
      <c r="T1379" s="18" t="s">
        <v>39319</v>
      </c>
      <c r="U1379" s="18" t="s">
        <v>39320</v>
      </c>
      <c r="V1379" s="18"/>
      <c r="W1379" s="18" t="s">
        <v>48095</v>
      </c>
      <c r="X1379" s="18" t="s">
        <v>42</v>
      </c>
      <c r="Y1379" s="18" t="s">
        <v>36</v>
      </c>
      <c r="Z1379" s="18" t="s">
        <v>697</v>
      </c>
      <c r="AA1379" s="21" t="str">
        <f>HYPERLINK("https://www.ncbi.nlm.nih.gov/nuccore/MZ428224","NCBI Nucleotide")</f>
        <v>NCBI Nucleotide</v>
      </c>
    </row>
    <row r="1380" spans="1:27" x14ac:dyDescent="0.35">
      <c r="A1380">
        <v>1025256</v>
      </c>
      <c r="B1380">
        <v>1379</v>
      </c>
      <c r="C1380">
        <v>1</v>
      </c>
      <c r="D1380" s="17" t="s">
        <v>155</v>
      </c>
      <c r="E1380" s="17"/>
      <c r="F1380" s="17" t="s">
        <v>156</v>
      </c>
      <c r="G1380" s="17"/>
      <c r="H1380" s="17" t="s">
        <v>692</v>
      </c>
      <c r="I1380" s="17"/>
      <c r="J1380" s="17" t="s">
        <v>693</v>
      </c>
      <c r="K1380" s="17"/>
      <c r="L1380" s="17"/>
      <c r="M1380" s="17"/>
      <c r="N1380" s="17" t="s">
        <v>7745</v>
      </c>
      <c r="O1380" s="17"/>
      <c r="P1380" s="17" t="s">
        <v>7769</v>
      </c>
      <c r="Q1380" s="17"/>
      <c r="R1380" s="25" t="str">
        <f>HYPERLINK("https://ictv.global/taxonomy/taxondetails?taxnode_id=202319513","Webervirus VAC7")</f>
        <v>Webervirus VAC7</v>
      </c>
      <c r="S1380" s="18" t="s">
        <v>30</v>
      </c>
      <c r="T1380" s="18" t="s">
        <v>39321</v>
      </c>
      <c r="U1380" s="18" t="s">
        <v>39322</v>
      </c>
      <c r="V1380" s="18"/>
      <c r="W1380" s="18" t="s">
        <v>48096</v>
      </c>
      <c r="X1380" s="18" t="s">
        <v>42</v>
      </c>
      <c r="Y1380" s="18" t="s">
        <v>36</v>
      </c>
      <c r="Z1380" s="18" t="s">
        <v>697</v>
      </c>
      <c r="AA1380" s="21" t="str">
        <f>HYPERLINK("https://www.ncbi.nlm.nih.gov/nuccore/MZ428225","NCBI Nucleotide")</f>
        <v>NCBI Nucleotide</v>
      </c>
    </row>
    <row r="1381" spans="1:27" x14ac:dyDescent="0.35">
      <c r="A1381">
        <v>1025258</v>
      </c>
      <c r="B1381">
        <v>1380</v>
      </c>
      <c r="C1381">
        <v>1</v>
      </c>
      <c r="D1381" s="17" t="s">
        <v>155</v>
      </c>
      <c r="E1381" s="17"/>
      <c r="F1381" s="17" t="s">
        <v>156</v>
      </c>
      <c r="G1381" s="17"/>
      <c r="H1381" s="17" t="s">
        <v>692</v>
      </c>
      <c r="I1381" s="17"/>
      <c r="J1381" s="17" t="s">
        <v>693</v>
      </c>
      <c r="K1381" s="17"/>
      <c r="L1381" s="17"/>
      <c r="M1381" s="17"/>
      <c r="N1381" s="17" t="s">
        <v>7745</v>
      </c>
      <c r="O1381" s="17"/>
      <c r="P1381" s="17" t="s">
        <v>7769</v>
      </c>
      <c r="Q1381" s="17"/>
      <c r="R1381" s="25" t="str">
        <f>HYPERLINK("https://ictv.global/taxonomy/taxondetails?taxnode_id=202319530","Webervirus VAC8")</f>
        <v>Webervirus VAC8</v>
      </c>
      <c r="S1381" s="18" t="s">
        <v>30</v>
      </c>
      <c r="T1381" s="18" t="s">
        <v>39323</v>
      </c>
      <c r="U1381" s="18" t="s">
        <v>39324</v>
      </c>
      <c r="V1381" s="18"/>
      <c r="W1381" s="18" t="s">
        <v>48097</v>
      </c>
      <c r="X1381" s="18" t="s">
        <v>42</v>
      </c>
      <c r="Y1381" s="18" t="s">
        <v>36</v>
      </c>
      <c r="Z1381" s="18" t="s">
        <v>697</v>
      </c>
      <c r="AA1381" s="21" t="str">
        <f>HYPERLINK("https://www.ncbi.nlm.nih.gov/nuccore/MZ428226","NCBI Nucleotide")</f>
        <v>NCBI Nucleotide</v>
      </c>
    </row>
    <row r="1382" spans="1:27" x14ac:dyDescent="0.35">
      <c r="A1382">
        <v>1025246</v>
      </c>
      <c r="B1382">
        <v>1381</v>
      </c>
      <c r="C1382">
        <v>1</v>
      </c>
      <c r="D1382" s="17" t="s">
        <v>155</v>
      </c>
      <c r="E1382" s="17"/>
      <c r="F1382" s="17" t="s">
        <v>156</v>
      </c>
      <c r="G1382" s="17"/>
      <c r="H1382" s="17" t="s">
        <v>692</v>
      </c>
      <c r="I1382" s="17"/>
      <c r="J1382" s="17" t="s">
        <v>693</v>
      </c>
      <c r="K1382" s="17"/>
      <c r="L1382" s="17"/>
      <c r="M1382" s="17"/>
      <c r="N1382" s="17" t="s">
        <v>7745</v>
      </c>
      <c r="O1382" s="17"/>
      <c r="P1382" s="17" t="s">
        <v>7769</v>
      </c>
      <c r="Q1382" s="17"/>
      <c r="R1382" s="25" t="str">
        <f>HYPERLINK("https://ictv.global/taxonomy/taxondetails?taxnode_id=202319531","Webervirus VAC10")</f>
        <v>Webervirus VAC10</v>
      </c>
      <c r="S1382" s="18" t="s">
        <v>30</v>
      </c>
      <c r="T1382" s="18" t="s">
        <v>39325</v>
      </c>
      <c r="U1382" s="18" t="s">
        <v>39326</v>
      </c>
      <c r="V1382" s="18"/>
      <c r="W1382" s="18" t="s">
        <v>48098</v>
      </c>
      <c r="X1382" s="18" t="s">
        <v>42</v>
      </c>
      <c r="Y1382" s="18" t="s">
        <v>36</v>
      </c>
      <c r="Z1382" s="18" t="s">
        <v>697</v>
      </c>
      <c r="AA1382" s="21" t="str">
        <f>HYPERLINK("https://www.ncbi.nlm.nih.gov/nuccore/MZ428227","NCBI Nucleotide")</f>
        <v>NCBI Nucleotide</v>
      </c>
    </row>
    <row r="1383" spans="1:27" x14ac:dyDescent="0.35">
      <c r="A1383">
        <v>1025247</v>
      </c>
      <c r="B1383">
        <v>1382</v>
      </c>
      <c r="C1383">
        <v>1</v>
      </c>
      <c r="D1383" s="17" t="s">
        <v>155</v>
      </c>
      <c r="E1383" s="17"/>
      <c r="F1383" s="17" t="s">
        <v>156</v>
      </c>
      <c r="G1383" s="17"/>
      <c r="H1383" s="17" t="s">
        <v>692</v>
      </c>
      <c r="I1383" s="17"/>
      <c r="J1383" s="17" t="s">
        <v>693</v>
      </c>
      <c r="K1383" s="17"/>
      <c r="L1383" s="17"/>
      <c r="M1383" s="17"/>
      <c r="N1383" s="17" t="s">
        <v>7745</v>
      </c>
      <c r="O1383" s="17"/>
      <c r="P1383" s="17" t="s">
        <v>7769</v>
      </c>
      <c r="Q1383" s="17"/>
      <c r="R1383" s="25" t="str">
        <f>HYPERLINK("https://ictv.global/taxonomy/taxondetails?taxnode_id=202319538","Webervirus VAC11")</f>
        <v>Webervirus VAC11</v>
      </c>
      <c r="S1383" s="18" t="s">
        <v>30</v>
      </c>
      <c r="T1383" s="18" t="s">
        <v>39327</v>
      </c>
      <c r="U1383" s="18" t="s">
        <v>39328</v>
      </c>
      <c r="V1383" s="18"/>
      <c r="W1383" s="18" t="s">
        <v>48099</v>
      </c>
      <c r="X1383" s="18" t="s">
        <v>42</v>
      </c>
      <c r="Y1383" s="18" t="s">
        <v>36</v>
      </c>
      <c r="Z1383" s="18" t="s">
        <v>697</v>
      </c>
      <c r="AA1383" s="21" t="str">
        <f>HYPERLINK("https://www.ncbi.nlm.nih.gov/nuccore/MZ428228","NCBI Nucleotide")</f>
        <v>NCBI Nucleotide</v>
      </c>
    </row>
    <row r="1384" spans="1:27" x14ac:dyDescent="0.35">
      <c r="A1384">
        <v>1025257</v>
      </c>
      <c r="B1384">
        <v>1383</v>
      </c>
      <c r="C1384">
        <v>1</v>
      </c>
      <c r="D1384" s="17" t="s">
        <v>155</v>
      </c>
      <c r="E1384" s="17"/>
      <c r="F1384" s="17" t="s">
        <v>156</v>
      </c>
      <c r="G1384" s="17"/>
      <c r="H1384" s="17" t="s">
        <v>692</v>
      </c>
      <c r="I1384" s="17"/>
      <c r="J1384" s="17" t="s">
        <v>693</v>
      </c>
      <c r="K1384" s="17"/>
      <c r="L1384" s="17"/>
      <c r="M1384" s="17"/>
      <c r="N1384" s="17" t="s">
        <v>7745</v>
      </c>
      <c r="O1384" s="17"/>
      <c r="P1384" s="17" t="s">
        <v>7769</v>
      </c>
      <c r="Q1384" s="17"/>
      <c r="R1384" s="25" t="str">
        <f>HYPERLINK("https://ictv.global/taxonomy/taxondetails?taxnode_id=202319570","Webervirus VAC70")</f>
        <v>Webervirus VAC70</v>
      </c>
      <c r="S1384" s="18" t="s">
        <v>30</v>
      </c>
      <c r="T1384" s="18" t="s">
        <v>39329</v>
      </c>
      <c r="U1384" s="18" t="s">
        <v>39330</v>
      </c>
      <c r="V1384" s="18"/>
      <c r="W1384" s="18" t="s">
        <v>48100</v>
      </c>
      <c r="X1384" s="18" t="s">
        <v>42</v>
      </c>
      <c r="Y1384" s="18" t="s">
        <v>36</v>
      </c>
      <c r="Z1384" s="18" t="s">
        <v>697</v>
      </c>
      <c r="AA1384" s="21" t="str">
        <f>HYPERLINK("https://www.ncbi.nlm.nih.gov/nuccore/MZ571831","NCBI Nucleotide")</f>
        <v>NCBI Nucleotide</v>
      </c>
    </row>
    <row r="1385" spans="1:27" x14ac:dyDescent="0.35">
      <c r="A1385">
        <v>1025248</v>
      </c>
      <c r="B1385">
        <v>1384</v>
      </c>
      <c r="C1385">
        <v>1</v>
      </c>
      <c r="D1385" s="17" t="s">
        <v>155</v>
      </c>
      <c r="E1385" s="17"/>
      <c r="F1385" s="17" t="s">
        <v>156</v>
      </c>
      <c r="G1385" s="17"/>
      <c r="H1385" s="17" t="s">
        <v>692</v>
      </c>
      <c r="I1385" s="17"/>
      <c r="J1385" s="17" t="s">
        <v>693</v>
      </c>
      <c r="K1385" s="17"/>
      <c r="L1385" s="17"/>
      <c r="M1385" s="17"/>
      <c r="N1385" s="17" t="s">
        <v>7745</v>
      </c>
      <c r="O1385" s="17"/>
      <c r="P1385" s="17" t="s">
        <v>7769</v>
      </c>
      <c r="Q1385" s="17"/>
      <c r="R1385" s="25" t="str">
        <f>HYPERLINK("https://ictv.global/taxonomy/taxondetails?taxnode_id=202319505","Webervirus VAC110")</f>
        <v>Webervirus VAC110</v>
      </c>
      <c r="S1385" s="18" t="s">
        <v>30</v>
      </c>
      <c r="T1385" s="18" t="s">
        <v>39331</v>
      </c>
      <c r="U1385" s="18" t="s">
        <v>39332</v>
      </c>
      <c r="V1385" s="18"/>
      <c r="W1385" s="18" t="s">
        <v>48101</v>
      </c>
      <c r="X1385" s="18" t="s">
        <v>42</v>
      </c>
      <c r="Y1385" s="18" t="s">
        <v>36</v>
      </c>
      <c r="Z1385" s="18" t="s">
        <v>697</v>
      </c>
      <c r="AA1385" s="21" t="str">
        <f>HYPERLINK("https://www.ncbi.nlm.nih.gov/nuccore/OM032871","NCBI Nucleotide")</f>
        <v>NCBI Nucleotide</v>
      </c>
    </row>
    <row r="1386" spans="1:27" x14ac:dyDescent="0.35">
      <c r="A1386">
        <v>1025249</v>
      </c>
      <c r="B1386">
        <v>1385</v>
      </c>
      <c r="C1386">
        <v>1</v>
      </c>
      <c r="D1386" s="17" t="s">
        <v>155</v>
      </c>
      <c r="E1386" s="17"/>
      <c r="F1386" s="17" t="s">
        <v>156</v>
      </c>
      <c r="G1386" s="17"/>
      <c r="H1386" s="17" t="s">
        <v>692</v>
      </c>
      <c r="I1386" s="17"/>
      <c r="J1386" s="17" t="s">
        <v>693</v>
      </c>
      <c r="K1386" s="17"/>
      <c r="L1386" s="17"/>
      <c r="M1386" s="17"/>
      <c r="N1386" s="17" t="s">
        <v>7745</v>
      </c>
      <c r="O1386" s="17"/>
      <c r="P1386" s="17" t="s">
        <v>7769</v>
      </c>
      <c r="Q1386" s="17"/>
      <c r="R1386" s="25" t="str">
        <f>HYPERLINK("https://ictv.global/taxonomy/taxondetails?taxnode_id=202319526","Webervirus VAC111")</f>
        <v>Webervirus VAC111</v>
      </c>
      <c r="S1386" s="18" t="s">
        <v>30</v>
      </c>
      <c r="T1386" s="18" t="s">
        <v>39333</v>
      </c>
      <c r="U1386" s="18" t="s">
        <v>39334</v>
      </c>
      <c r="V1386" s="18"/>
      <c r="W1386" s="18" t="s">
        <v>48102</v>
      </c>
      <c r="X1386" s="18" t="s">
        <v>42</v>
      </c>
      <c r="Y1386" s="18" t="s">
        <v>36</v>
      </c>
      <c r="Z1386" s="18" t="s">
        <v>697</v>
      </c>
      <c r="AA1386" s="21" t="str">
        <f>HYPERLINK("https://www.ncbi.nlm.nih.gov/nuccore/ON881905","NCBI Nucleotide")</f>
        <v>NCBI Nucleotide</v>
      </c>
    </row>
    <row r="1387" spans="1:27" x14ac:dyDescent="0.35">
      <c r="A1387">
        <v>1025250</v>
      </c>
      <c r="B1387">
        <v>1386</v>
      </c>
      <c r="C1387">
        <v>1</v>
      </c>
      <c r="D1387" s="17" t="s">
        <v>155</v>
      </c>
      <c r="E1387" s="17"/>
      <c r="F1387" s="17" t="s">
        <v>156</v>
      </c>
      <c r="G1387" s="17"/>
      <c r="H1387" s="17" t="s">
        <v>692</v>
      </c>
      <c r="I1387" s="17"/>
      <c r="J1387" s="17" t="s">
        <v>693</v>
      </c>
      <c r="K1387" s="17"/>
      <c r="L1387" s="17"/>
      <c r="M1387" s="17"/>
      <c r="N1387" s="17" t="s">
        <v>7745</v>
      </c>
      <c r="O1387" s="17"/>
      <c r="P1387" s="17" t="s">
        <v>7769</v>
      </c>
      <c r="Q1387" s="17"/>
      <c r="R1387" s="25" t="str">
        <f>HYPERLINK("https://ictv.global/taxonomy/taxondetails?taxnode_id=202319525","Webervirus VAC112")</f>
        <v>Webervirus VAC112</v>
      </c>
      <c r="S1387" s="18" t="s">
        <v>30</v>
      </c>
      <c r="T1387" s="18" t="s">
        <v>39335</v>
      </c>
      <c r="U1387" s="18" t="s">
        <v>39336</v>
      </c>
      <c r="V1387" s="18"/>
      <c r="W1387" s="18" t="s">
        <v>48103</v>
      </c>
      <c r="X1387" s="18" t="s">
        <v>42</v>
      </c>
      <c r="Y1387" s="18" t="s">
        <v>36</v>
      </c>
      <c r="Z1387" s="18" t="s">
        <v>697</v>
      </c>
      <c r="AA1387" s="21" t="str">
        <f>HYPERLINK("https://www.ncbi.nlm.nih.gov/nuccore/MZ571833","NCBI Nucleotide")</f>
        <v>NCBI Nucleotide</v>
      </c>
    </row>
    <row r="1388" spans="1:27" x14ac:dyDescent="0.35">
      <c r="A1388">
        <v>1025251</v>
      </c>
      <c r="B1388">
        <v>1387</v>
      </c>
      <c r="C1388">
        <v>1</v>
      </c>
      <c r="D1388" s="17" t="s">
        <v>155</v>
      </c>
      <c r="E1388" s="17"/>
      <c r="F1388" s="17" t="s">
        <v>156</v>
      </c>
      <c r="G1388" s="17"/>
      <c r="H1388" s="17" t="s">
        <v>692</v>
      </c>
      <c r="I1388" s="17"/>
      <c r="J1388" s="17" t="s">
        <v>693</v>
      </c>
      <c r="K1388" s="17"/>
      <c r="L1388" s="17"/>
      <c r="M1388" s="17"/>
      <c r="N1388" s="17" t="s">
        <v>7745</v>
      </c>
      <c r="O1388" s="17"/>
      <c r="P1388" s="17" t="s">
        <v>7769</v>
      </c>
      <c r="Q1388" s="17"/>
      <c r="R1388" s="25" t="str">
        <f>HYPERLINK("https://ictv.global/taxonomy/taxondetails?taxnode_id=202319504","Webervirus VAC113")</f>
        <v>Webervirus VAC113</v>
      </c>
      <c r="S1388" s="18" t="s">
        <v>30</v>
      </c>
      <c r="T1388" s="18" t="s">
        <v>39337</v>
      </c>
      <c r="U1388" s="18" t="s">
        <v>39338</v>
      </c>
      <c r="V1388" s="18"/>
      <c r="W1388" s="18" t="s">
        <v>48104</v>
      </c>
      <c r="X1388" s="18" t="s">
        <v>42</v>
      </c>
      <c r="Y1388" s="18" t="s">
        <v>36</v>
      </c>
      <c r="Z1388" s="18" t="s">
        <v>697</v>
      </c>
      <c r="AA1388" s="21" t="str">
        <f>HYPERLINK("https://www.ncbi.nlm.nih.gov/nuccore/MZ571834","NCBI Nucleotide")</f>
        <v>NCBI Nucleotide</v>
      </c>
    </row>
    <row r="1389" spans="1:27" x14ac:dyDescent="0.35">
      <c r="A1389">
        <v>1025259</v>
      </c>
      <c r="B1389">
        <v>1388</v>
      </c>
      <c r="C1389">
        <v>1</v>
      </c>
      <c r="D1389" s="17" t="s">
        <v>155</v>
      </c>
      <c r="E1389" s="17"/>
      <c r="F1389" s="17" t="s">
        <v>156</v>
      </c>
      <c r="G1389" s="17"/>
      <c r="H1389" s="17" t="s">
        <v>692</v>
      </c>
      <c r="I1389" s="17"/>
      <c r="J1389" s="17" t="s">
        <v>693</v>
      </c>
      <c r="K1389" s="17"/>
      <c r="L1389" s="17"/>
      <c r="M1389" s="17"/>
      <c r="N1389" s="17" t="s">
        <v>7745</v>
      </c>
      <c r="O1389" s="17"/>
      <c r="P1389" s="17" t="s">
        <v>7769</v>
      </c>
      <c r="Q1389" s="17"/>
      <c r="R1389" s="25" t="str">
        <f>HYPERLINK("https://ictv.global/taxonomy/taxondetails?taxnode_id=202319515","Webervirus VLCpiD7a")</f>
        <v>Webervirus VLCpiD7a</v>
      </c>
      <c r="S1389" s="18" t="s">
        <v>30</v>
      </c>
      <c r="T1389" s="18" t="s">
        <v>39339</v>
      </c>
      <c r="U1389" s="18" t="s">
        <v>39340</v>
      </c>
      <c r="V1389" s="18"/>
      <c r="W1389" s="18" t="s">
        <v>48105</v>
      </c>
      <c r="X1389" s="18" t="s">
        <v>42</v>
      </c>
      <c r="Y1389" s="18" t="s">
        <v>36</v>
      </c>
      <c r="Z1389" s="18" t="s">
        <v>697</v>
      </c>
      <c r="AA1389" s="21" t="str">
        <f>HYPERLINK("https://www.ncbi.nlm.nih.gov/nuccore/ON602741","NCBI Nucleotide")</f>
        <v>NCBI Nucleotide</v>
      </c>
    </row>
    <row r="1390" spans="1:27" x14ac:dyDescent="0.35">
      <c r="A1390">
        <v>1025260</v>
      </c>
      <c r="B1390">
        <v>1389</v>
      </c>
      <c r="C1390">
        <v>1</v>
      </c>
      <c r="D1390" s="17" t="s">
        <v>155</v>
      </c>
      <c r="E1390" s="17"/>
      <c r="F1390" s="17" t="s">
        <v>156</v>
      </c>
      <c r="G1390" s="17"/>
      <c r="H1390" s="17" t="s">
        <v>692</v>
      </c>
      <c r="I1390" s="17"/>
      <c r="J1390" s="17" t="s">
        <v>693</v>
      </c>
      <c r="K1390" s="17"/>
      <c r="L1390" s="17"/>
      <c r="M1390" s="17"/>
      <c r="N1390" s="17" t="s">
        <v>7745</v>
      </c>
      <c r="O1390" s="17"/>
      <c r="P1390" s="17" t="s">
        <v>7769</v>
      </c>
      <c r="Q1390" s="17"/>
      <c r="R1390" s="25" t="str">
        <f>HYPERLINK("https://ictv.global/taxonomy/taxondetails?taxnode_id=202319543","Webervirus VLCpiD7b")</f>
        <v>Webervirus VLCpiD7b</v>
      </c>
      <c r="S1390" s="18" t="s">
        <v>30</v>
      </c>
      <c r="T1390" s="18" t="s">
        <v>39341</v>
      </c>
      <c r="U1390" s="18" t="s">
        <v>39342</v>
      </c>
      <c r="V1390" s="18"/>
      <c r="W1390" s="18" t="s">
        <v>48106</v>
      </c>
      <c r="X1390" s="18" t="s">
        <v>42</v>
      </c>
      <c r="Y1390" s="18" t="s">
        <v>36</v>
      </c>
      <c r="Z1390" s="18" t="s">
        <v>697</v>
      </c>
      <c r="AA1390" s="21" t="str">
        <f>HYPERLINK("https://www.ncbi.nlm.nih.gov/nuccore/ON602750","NCBI Nucleotide")</f>
        <v>NCBI Nucleotide</v>
      </c>
    </row>
    <row r="1391" spans="1:27" x14ac:dyDescent="0.35">
      <c r="A1391">
        <v>1025261</v>
      </c>
      <c r="B1391">
        <v>1390</v>
      </c>
      <c r="C1391">
        <v>1</v>
      </c>
      <c r="D1391" s="17" t="s">
        <v>155</v>
      </c>
      <c r="E1391" s="17"/>
      <c r="F1391" s="17" t="s">
        <v>156</v>
      </c>
      <c r="G1391" s="17"/>
      <c r="H1391" s="17" t="s">
        <v>692</v>
      </c>
      <c r="I1391" s="17"/>
      <c r="J1391" s="17" t="s">
        <v>693</v>
      </c>
      <c r="K1391" s="17"/>
      <c r="L1391" s="17"/>
      <c r="M1391" s="17"/>
      <c r="N1391" s="17" t="s">
        <v>7745</v>
      </c>
      <c r="O1391" s="17"/>
      <c r="P1391" s="17" t="s">
        <v>7769</v>
      </c>
      <c r="Q1391" s="17"/>
      <c r="R1391" s="25" t="str">
        <f>HYPERLINK("https://ictv.global/taxonomy/taxondetails?taxnode_id=202319546","Webervirus VLCpiD7c")</f>
        <v>Webervirus VLCpiD7c</v>
      </c>
      <c r="S1391" s="18" t="s">
        <v>30</v>
      </c>
      <c r="T1391" s="18" t="s">
        <v>39343</v>
      </c>
      <c r="U1391" s="18" t="s">
        <v>39344</v>
      </c>
      <c r="V1391" s="18"/>
      <c r="W1391" s="18" t="s">
        <v>48107</v>
      </c>
      <c r="X1391" s="18" t="s">
        <v>42</v>
      </c>
      <c r="Y1391" s="18" t="s">
        <v>36</v>
      </c>
      <c r="Z1391" s="18" t="s">
        <v>697</v>
      </c>
      <c r="AA1391" s="21" t="str">
        <f>HYPERLINK("https://www.ncbi.nlm.nih.gov/nuccore/ON602735","NCBI Nucleotide")</f>
        <v>NCBI Nucleotide</v>
      </c>
    </row>
    <row r="1392" spans="1:27" x14ac:dyDescent="0.35">
      <c r="A1392">
        <v>1025262</v>
      </c>
      <c r="B1392">
        <v>1391</v>
      </c>
      <c r="C1392">
        <v>1</v>
      </c>
      <c r="D1392" s="17" t="s">
        <v>155</v>
      </c>
      <c r="E1392" s="17"/>
      <c r="F1392" s="17" t="s">
        <v>156</v>
      </c>
      <c r="G1392" s="17"/>
      <c r="H1392" s="17" t="s">
        <v>692</v>
      </c>
      <c r="I1392" s="17"/>
      <c r="J1392" s="17" t="s">
        <v>693</v>
      </c>
      <c r="K1392" s="17"/>
      <c r="L1392" s="17"/>
      <c r="M1392" s="17"/>
      <c r="N1392" s="17" t="s">
        <v>7745</v>
      </c>
      <c r="O1392" s="17"/>
      <c r="P1392" s="17" t="s">
        <v>7769</v>
      </c>
      <c r="Q1392" s="17"/>
      <c r="R1392" s="25" t="str">
        <f>HYPERLINK("https://ictv.global/taxonomy/taxondetails?taxnode_id=202319528","Webervirus W14")</f>
        <v>Webervirus W14</v>
      </c>
      <c r="S1392" s="18" t="s">
        <v>30</v>
      </c>
      <c r="T1392" s="18" t="s">
        <v>39345</v>
      </c>
      <c r="U1392" s="18" t="s">
        <v>39346</v>
      </c>
      <c r="V1392" s="18"/>
      <c r="W1392" s="18" t="s">
        <v>48108</v>
      </c>
      <c r="X1392" s="18" t="s">
        <v>42</v>
      </c>
      <c r="Y1392" s="18" t="s">
        <v>36</v>
      </c>
      <c r="Z1392" s="18" t="s">
        <v>697</v>
      </c>
      <c r="AA1392" s="21" t="str">
        <f>HYPERLINK("https://www.ncbi.nlm.nih.gov/nuccore/OK655936","NCBI Nucleotide")</f>
        <v>NCBI Nucleotide</v>
      </c>
    </row>
    <row r="1393" spans="1:27" x14ac:dyDescent="0.35">
      <c r="A1393">
        <v>1001855</v>
      </c>
      <c r="B1393">
        <v>1392</v>
      </c>
      <c r="C1393">
        <v>1</v>
      </c>
      <c r="D1393" s="17" t="s">
        <v>155</v>
      </c>
      <c r="E1393" s="17"/>
      <c r="F1393" s="17" t="s">
        <v>156</v>
      </c>
      <c r="G1393" s="17"/>
      <c r="H1393" s="17" t="s">
        <v>692</v>
      </c>
      <c r="I1393" s="17"/>
      <c r="J1393" s="17" t="s">
        <v>693</v>
      </c>
      <c r="K1393" s="17"/>
      <c r="L1393" s="17"/>
      <c r="M1393" s="17"/>
      <c r="N1393" s="17" t="s">
        <v>7745</v>
      </c>
      <c r="O1393" s="17"/>
      <c r="P1393" s="17" t="s">
        <v>7769</v>
      </c>
      <c r="Q1393" s="17"/>
      <c r="R1393" s="25" t="str">
        <f>HYPERLINK("https://ictv.global/taxonomy/taxondetails?taxnode_id=202312113","Webervirus wv13")</f>
        <v>Webervirus wv13</v>
      </c>
      <c r="S1393" s="18" t="s">
        <v>30</v>
      </c>
      <c r="T1393" s="18" t="s">
        <v>7830</v>
      </c>
      <c r="U1393" s="18"/>
      <c r="V1393" s="18"/>
      <c r="W1393" s="18" t="s">
        <v>7831</v>
      </c>
      <c r="X1393" s="18" t="s">
        <v>42</v>
      </c>
      <c r="Y1393" s="18" t="s">
        <v>36</v>
      </c>
      <c r="Z1393" s="18" t="s">
        <v>697</v>
      </c>
      <c r="AA1393" s="21" t="str">
        <f>HYPERLINK("https://www.ncbi.nlm.nih.gov/nuccore/MK170446","NCBI Nucleotide")</f>
        <v>NCBI Nucleotide</v>
      </c>
    </row>
    <row r="1394" spans="1:27" x14ac:dyDescent="0.35">
      <c r="A1394">
        <v>1001856</v>
      </c>
      <c r="B1394">
        <v>1393</v>
      </c>
      <c r="C1394">
        <v>1</v>
      </c>
      <c r="D1394" s="17" t="s">
        <v>155</v>
      </c>
      <c r="E1394" s="17"/>
      <c r="F1394" s="17" t="s">
        <v>156</v>
      </c>
      <c r="G1394" s="17"/>
      <c r="H1394" s="17" t="s">
        <v>692</v>
      </c>
      <c r="I1394" s="17"/>
      <c r="J1394" s="17" t="s">
        <v>693</v>
      </c>
      <c r="K1394" s="17"/>
      <c r="L1394" s="17"/>
      <c r="M1394" s="17"/>
      <c r="N1394" s="17" t="s">
        <v>7745</v>
      </c>
      <c r="O1394" s="17"/>
      <c r="P1394" s="17" t="s">
        <v>7769</v>
      </c>
      <c r="Q1394" s="17"/>
      <c r="R1394" s="25" t="str">
        <f>HYPERLINK("https://ictv.global/taxonomy/taxondetails?taxnode_id=202300806","Webervirus wv1513")</f>
        <v>Webervirus wv1513</v>
      </c>
      <c r="S1394" s="18" t="s">
        <v>30</v>
      </c>
      <c r="T1394" s="18" t="s">
        <v>7832</v>
      </c>
      <c r="U1394" s="18"/>
      <c r="V1394" s="18"/>
      <c r="W1394" s="18" t="s">
        <v>7833</v>
      </c>
      <c r="X1394" s="18" t="s">
        <v>42</v>
      </c>
      <c r="Y1394" s="18" t="s">
        <v>36</v>
      </c>
      <c r="Z1394" s="18" t="s">
        <v>697</v>
      </c>
      <c r="AA1394" s="21" t="str">
        <f>HYPERLINK("https://www.ncbi.nlm.nih.gov/nuccore/KP658157","NCBI Nucleotide")</f>
        <v>NCBI Nucleotide</v>
      </c>
    </row>
    <row r="1395" spans="1:27" x14ac:dyDescent="0.35">
      <c r="A1395">
        <v>1025263</v>
      </c>
      <c r="B1395">
        <v>1394</v>
      </c>
      <c r="C1395">
        <v>1</v>
      </c>
      <c r="D1395" s="17" t="s">
        <v>155</v>
      </c>
      <c r="E1395" s="17"/>
      <c r="F1395" s="17" t="s">
        <v>156</v>
      </c>
      <c r="G1395" s="17"/>
      <c r="H1395" s="17" t="s">
        <v>692</v>
      </c>
      <c r="I1395" s="17"/>
      <c r="J1395" s="17" t="s">
        <v>693</v>
      </c>
      <c r="K1395" s="17"/>
      <c r="L1395" s="17"/>
      <c r="M1395" s="17"/>
      <c r="N1395" s="17" t="s">
        <v>7745</v>
      </c>
      <c r="O1395" s="17"/>
      <c r="P1395" s="17" t="s">
        <v>7769</v>
      </c>
      <c r="Q1395" s="17"/>
      <c r="R1395" s="25" t="str">
        <f>HYPERLINK("https://ictv.global/taxonomy/taxondetails?taxnode_id=202319511","Webervirus wv2811")</f>
        <v>Webervirus wv2811</v>
      </c>
      <c r="S1395" s="18" t="s">
        <v>30</v>
      </c>
      <c r="T1395" s="18" t="s">
        <v>39347</v>
      </c>
      <c r="U1395" s="18">
        <v>2811</v>
      </c>
      <c r="V1395" s="18"/>
      <c r="W1395" s="18" t="s">
        <v>48109</v>
      </c>
      <c r="X1395" s="18" t="s">
        <v>42</v>
      </c>
      <c r="Y1395" s="18" t="s">
        <v>36</v>
      </c>
      <c r="Z1395" s="18" t="s">
        <v>697</v>
      </c>
      <c r="AA1395" s="21" t="str">
        <f>HYPERLINK("https://www.ncbi.nlm.nih.gov/nuccore/LR757892","NCBI Nucleotide")</f>
        <v>NCBI Nucleotide</v>
      </c>
    </row>
    <row r="1396" spans="1:27" x14ac:dyDescent="0.35">
      <c r="A1396">
        <v>1025264</v>
      </c>
      <c r="B1396">
        <v>1395</v>
      </c>
      <c r="C1396">
        <v>1</v>
      </c>
      <c r="D1396" s="17" t="s">
        <v>155</v>
      </c>
      <c r="E1396" s="17"/>
      <c r="F1396" s="17" t="s">
        <v>156</v>
      </c>
      <c r="G1396" s="17"/>
      <c r="H1396" s="17" t="s">
        <v>692</v>
      </c>
      <c r="I1396" s="17"/>
      <c r="J1396" s="17" t="s">
        <v>693</v>
      </c>
      <c r="K1396" s="17"/>
      <c r="L1396" s="17"/>
      <c r="M1396" s="17"/>
      <c r="N1396" s="17" t="s">
        <v>7745</v>
      </c>
      <c r="O1396" s="17"/>
      <c r="P1396" s="17" t="s">
        <v>7769</v>
      </c>
      <c r="Q1396" s="17"/>
      <c r="R1396" s="25" t="str">
        <f>HYPERLINK("https://ictv.global/taxonomy/taxondetails?taxnode_id=202319562","Webervirus ZX2")</f>
        <v>Webervirus ZX2</v>
      </c>
      <c r="S1396" s="18" t="s">
        <v>30</v>
      </c>
      <c r="T1396" s="18" t="s">
        <v>39348</v>
      </c>
      <c r="U1396" s="18" t="s">
        <v>39349</v>
      </c>
      <c r="V1396" s="18"/>
      <c r="W1396" s="18" t="s">
        <v>48110</v>
      </c>
      <c r="X1396" s="18" t="s">
        <v>42</v>
      </c>
      <c r="Y1396" s="18" t="s">
        <v>36</v>
      </c>
      <c r="Z1396" s="18" t="s">
        <v>697</v>
      </c>
      <c r="AA1396" s="21" t="str">
        <f>HYPERLINK("https://www.ncbi.nlm.nih.gov/nuccore/MW722081","NCBI Nucleotide")</f>
        <v>NCBI Nucleotide</v>
      </c>
    </row>
    <row r="1397" spans="1:27" x14ac:dyDescent="0.35">
      <c r="A1397">
        <v>1001857</v>
      </c>
      <c r="B1397">
        <v>1396</v>
      </c>
      <c r="C1397">
        <v>1</v>
      </c>
      <c r="D1397" s="17" t="s">
        <v>155</v>
      </c>
      <c r="E1397" s="17"/>
      <c r="F1397" s="17" t="s">
        <v>156</v>
      </c>
      <c r="G1397" s="17"/>
      <c r="H1397" s="17" t="s">
        <v>692</v>
      </c>
      <c r="I1397" s="17"/>
      <c r="J1397" s="17" t="s">
        <v>693</v>
      </c>
      <c r="K1397" s="17"/>
      <c r="L1397" s="17"/>
      <c r="M1397" s="17"/>
      <c r="N1397" s="17" t="s">
        <v>8003</v>
      </c>
      <c r="O1397" s="17"/>
      <c r="P1397" s="17" t="s">
        <v>8004</v>
      </c>
      <c r="Q1397" s="17"/>
      <c r="R1397" s="25" t="str">
        <f>HYPERLINK("https://ictv.global/taxonomy/taxondetails?taxnode_id=202313561","Ingelinevirus ingeline")</f>
        <v>Ingelinevirus ingeline</v>
      </c>
      <c r="S1397" s="18" t="s">
        <v>30</v>
      </c>
      <c r="T1397" s="18" t="s">
        <v>8005</v>
      </c>
      <c r="U1397" s="18" t="s">
        <v>8006</v>
      </c>
      <c r="V1397" s="18"/>
      <c r="W1397" s="18" t="s">
        <v>8007</v>
      </c>
      <c r="X1397" s="18" t="s">
        <v>42</v>
      </c>
      <c r="Y1397" s="18" t="s">
        <v>36</v>
      </c>
      <c r="Z1397" s="18" t="s">
        <v>697</v>
      </c>
      <c r="AA1397" s="21" t="str">
        <f>HYPERLINK("https://www.ncbi.nlm.nih.gov/nuccore/MT732435","NCBI Nucleotide")</f>
        <v>NCBI Nucleotide</v>
      </c>
    </row>
    <row r="1398" spans="1:27" x14ac:dyDescent="0.35">
      <c r="A1398">
        <v>1001858</v>
      </c>
      <c r="B1398">
        <v>1397</v>
      </c>
      <c r="C1398">
        <v>1</v>
      </c>
      <c r="D1398" s="17" t="s">
        <v>155</v>
      </c>
      <c r="E1398" s="17"/>
      <c r="F1398" s="17" t="s">
        <v>156</v>
      </c>
      <c r="G1398" s="17"/>
      <c r="H1398" s="17" t="s">
        <v>692</v>
      </c>
      <c r="I1398" s="17"/>
      <c r="J1398" s="17" t="s">
        <v>693</v>
      </c>
      <c r="K1398" s="17"/>
      <c r="L1398" s="17"/>
      <c r="M1398" s="17"/>
      <c r="N1398" s="17" t="s">
        <v>8003</v>
      </c>
      <c r="O1398" s="17"/>
      <c r="P1398" s="17" t="s">
        <v>8008</v>
      </c>
      <c r="Q1398" s="17"/>
      <c r="R1398" s="25" t="str">
        <f>HYPERLINK("https://ictv.global/taxonomy/taxondetails?taxnode_id=202310034","Labanvirus laban")</f>
        <v>Labanvirus laban</v>
      </c>
      <c r="S1398" s="18" t="s">
        <v>30</v>
      </c>
      <c r="T1398" s="18" t="s">
        <v>8009</v>
      </c>
      <c r="U1398" s="18"/>
      <c r="V1398" s="18"/>
      <c r="W1398" s="18" t="s">
        <v>8010</v>
      </c>
      <c r="X1398" s="18" t="s">
        <v>42</v>
      </c>
      <c r="Y1398" s="18" t="s">
        <v>36</v>
      </c>
      <c r="Z1398" s="18" t="s">
        <v>697</v>
      </c>
      <c r="AA1398" s="21" t="str">
        <f>HYPERLINK("https://www.ncbi.nlm.nih.gov/nuccore/MN812211","NCBI Nucleotide")</f>
        <v>NCBI Nucleotide</v>
      </c>
    </row>
    <row r="1399" spans="1:27" x14ac:dyDescent="0.35">
      <c r="A1399">
        <v>1001859</v>
      </c>
      <c r="B1399">
        <v>1398</v>
      </c>
      <c r="C1399">
        <v>1</v>
      </c>
      <c r="D1399" s="17" t="s">
        <v>155</v>
      </c>
      <c r="E1399" s="17"/>
      <c r="F1399" s="17" t="s">
        <v>156</v>
      </c>
      <c r="G1399" s="17"/>
      <c r="H1399" s="17" t="s">
        <v>692</v>
      </c>
      <c r="I1399" s="17"/>
      <c r="J1399" s="17" t="s">
        <v>693</v>
      </c>
      <c r="K1399" s="17"/>
      <c r="L1399" s="17"/>
      <c r="M1399" s="17"/>
      <c r="N1399" s="17" t="s">
        <v>8003</v>
      </c>
      <c r="O1399" s="17"/>
      <c r="P1399" s="17" t="s">
        <v>8011</v>
      </c>
      <c r="Q1399" s="17"/>
      <c r="R1399" s="25" t="str">
        <f>HYPERLINK("https://ictv.global/taxonomy/taxondetails?taxnode_id=202307073","Unahavirus uv1H")</f>
        <v>Unahavirus uv1H</v>
      </c>
      <c r="S1399" s="18" t="s">
        <v>30</v>
      </c>
      <c r="T1399" s="18" t="s">
        <v>8012</v>
      </c>
      <c r="U1399" s="18"/>
      <c r="V1399" s="18"/>
      <c r="W1399" s="18" t="s">
        <v>8013</v>
      </c>
      <c r="X1399" s="18" t="s">
        <v>42</v>
      </c>
      <c r="Y1399" s="18" t="s">
        <v>36</v>
      </c>
      <c r="Z1399" s="18" t="s">
        <v>697</v>
      </c>
      <c r="AA1399" s="21" t="str">
        <f>HYPERLINK("https://www.ncbi.nlm.nih.gov/nuccore/KU599889","NCBI Nucleotide")</f>
        <v>NCBI Nucleotide</v>
      </c>
    </row>
    <row r="1400" spans="1:27" x14ac:dyDescent="0.35">
      <c r="A1400">
        <v>1001860</v>
      </c>
      <c r="B1400">
        <v>1399</v>
      </c>
      <c r="C1400">
        <v>1</v>
      </c>
      <c r="D1400" s="17" t="s">
        <v>155</v>
      </c>
      <c r="E1400" s="17"/>
      <c r="F1400" s="17" t="s">
        <v>156</v>
      </c>
      <c r="G1400" s="17"/>
      <c r="H1400" s="17" t="s">
        <v>692</v>
      </c>
      <c r="I1400" s="17"/>
      <c r="J1400" s="17" t="s">
        <v>693</v>
      </c>
      <c r="K1400" s="17"/>
      <c r="L1400" s="17"/>
      <c r="M1400" s="17"/>
      <c r="N1400" s="17" t="s">
        <v>8003</v>
      </c>
      <c r="O1400" s="17"/>
      <c r="P1400" s="17" t="s">
        <v>8011</v>
      </c>
      <c r="Q1400" s="17"/>
      <c r="R1400" s="25" t="str">
        <f>HYPERLINK("https://ictv.global/taxonomy/taxondetails?taxnode_id=202307076","Unahavirus uv23T")</f>
        <v>Unahavirus uv23T</v>
      </c>
      <c r="S1400" s="18" t="s">
        <v>30</v>
      </c>
      <c r="T1400" s="18" t="s">
        <v>8014</v>
      </c>
      <c r="U1400" s="18"/>
      <c r="V1400" s="18"/>
      <c r="W1400" s="18" t="s">
        <v>8015</v>
      </c>
      <c r="X1400" s="18" t="s">
        <v>42</v>
      </c>
      <c r="Y1400" s="18" t="s">
        <v>36</v>
      </c>
      <c r="Z1400" s="18" t="s">
        <v>697</v>
      </c>
      <c r="AA1400" s="21" t="str">
        <f>HYPERLINK("https://www.ncbi.nlm.nih.gov/nuccore/KU599888","NCBI Nucleotide")</f>
        <v>NCBI Nucleotide</v>
      </c>
    </row>
    <row r="1401" spans="1:27" x14ac:dyDescent="0.35">
      <c r="A1401">
        <v>1001861</v>
      </c>
      <c r="B1401">
        <v>1400</v>
      </c>
      <c r="C1401">
        <v>1</v>
      </c>
      <c r="D1401" s="17" t="s">
        <v>155</v>
      </c>
      <c r="E1401" s="17"/>
      <c r="F1401" s="17" t="s">
        <v>156</v>
      </c>
      <c r="G1401" s="17"/>
      <c r="H1401" s="17" t="s">
        <v>692</v>
      </c>
      <c r="I1401" s="17"/>
      <c r="J1401" s="17" t="s">
        <v>693</v>
      </c>
      <c r="K1401" s="17"/>
      <c r="L1401" s="17"/>
      <c r="M1401" s="17"/>
      <c r="N1401" s="17" t="s">
        <v>8003</v>
      </c>
      <c r="O1401" s="17"/>
      <c r="P1401" s="17" t="s">
        <v>8011</v>
      </c>
      <c r="Q1401" s="17"/>
      <c r="R1401" s="25" t="str">
        <f>HYPERLINK("https://ictv.global/taxonomy/taxondetails?taxnode_id=202307075","Unahavirus uv2A")</f>
        <v>Unahavirus uv2A</v>
      </c>
      <c r="S1401" s="18" t="s">
        <v>30</v>
      </c>
      <c r="T1401" s="18" t="s">
        <v>8016</v>
      </c>
      <c r="U1401" s="18"/>
      <c r="V1401" s="18"/>
      <c r="W1401" s="18" t="s">
        <v>8017</v>
      </c>
      <c r="X1401" s="18" t="s">
        <v>42</v>
      </c>
      <c r="Y1401" s="18" t="s">
        <v>36</v>
      </c>
      <c r="Z1401" s="18" t="s">
        <v>697</v>
      </c>
      <c r="AA1401" s="21" t="str">
        <f>HYPERLINK("https://www.ncbi.nlm.nih.gov/nuccore/KU599887","NCBI Nucleotide")</f>
        <v>NCBI Nucleotide</v>
      </c>
    </row>
    <row r="1402" spans="1:27" x14ac:dyDescent="0.35">
      <c r="A1402">
        <v>1001862</v>
      </c>
      <c r="B1402">
        <v>1401</v>
      </c>
      <c r="C1402">
        <v>1</v>
      </c>
      <c r="D1402" s="17" t="s">
        <v>155</v>
      </c>
      <c r="E1402" s="17"/>
      <c r="F1402" s="17" t="s">
        <v>156</v>
      </c>
      <c r="G1402" s="17"/>
      <c r="H1402" s="17" t="s">
        <v>692</v>
      </c>
      <c r="I1402" s="17"/>
      <c r="J1402" s="17" t="s">
        <v>693</v>
      </c>
      <c r="K1402" s="17"/>
      <c r="L1402" s="17"/>
      <c r="M1402" s="17"/>
      <c r="N1402" s="17" t="s">
        <v>8003</v>
      </c>
      <c r="O1402" s="17"/>
      <c r="P1402" s="17" t="s">
        <v>8011</v>
      </c>
      <c r="Q1402" s="17"/>
      <c r="R1402" s="25" t="str">
        <f>HYPERLINK("https://ictv.global/taxonomy/taxondetails?taxnode_id=202307074","Unahavirus uv6H")</f>
        <v>Unahavirus uv6H</v>
      </c>
      <c r="S1402" s="18" t="s">
        <v>30</v>
      </c>
      <c r="T1402" s="18" t="s">
        <v>8018</v>
      </c>
      <c r="U1402" s="18"/>
      <c r="V1402" s="18"/>
      <c r="W1402" s="18" t="s">
        <v>8019</v>
      </c>
      <c r="X1402" s="18" t="s">
        <v>42</v>
      </c>
      <c r="Y1402" s="18" t="s">
        <v>36</v>
      </c>
      <c r="Z1402" s="18" t="s">
        <v>697</v>
      </c>
      <c r="AA1402" s="21" t="str">
        <f>HYPERLINK("https://www.ncbi.nlm.nih.gov/nuccore/KC959568","NCBI Nucleotide")</f>
        <v>NCBI Nucleotide</v>
      </c>
    </row>
    <row r="1403" spans="1:27" x14ac:dyDescent="0.35">
      <c r="A1403">
        <v>1001863</v>
      </c>
      <c r="B1403">
        <v>1402</v>
      </c>
      <c r="C1403">
        <v>1</v>
      </c>
      <c r="D1403" s="17" t="s">
        <v>155</v>
      </c>
      <c r="E1403" s="17"/>
      <c r="F1403" s="17" t="s">
        <v>156</v>
      </c>
      <c r="G1403" s="17"/>
      <c r="H1403" s="17" t="s">
        <v>692</v>
      </c>
      <c r="I1403" s="17"/>
      <c r="J1403" s="17" t="s">
        <v>693</v>
      </c>
      <c r="K1403" s="17"/>
      <c r="L1403" s="17"/>
      <c r="M1403" s="17"/>
      <c r="N1403" s="17" t="s">
        <v>8020</v>
      </c>
      <c r="O1403" s="17"/>
      <c r="P1403" s="17" t="s">
        <v>8021</v>
      </c>
      <c r="Q1403" s="17"/>
      <c r="R1403" s="25" t="str">
        <f>HYPERLINK("https://ictv.global/taxonomy/taxondetails?taxnode_id=202314333","Deepoceanvirus guaymasense")</f>
        <v>Deepoceanvirus guaymasense</v>
      </c>
      <c r="S1403" s="18" t="s">
        <v>30</v>
      </c>
      <c r="T1403" s="18" t="s">
        <v>8022</v>
      </c>
      <c r="U1403" s="18" t="s">
        <v>8023</v>
      </c>
      <c r="V1403" s="18"/>
      <c r="W1403" s="18" t="s">
        <v>8024</v>
      </c>
      <c r="X1403" s="18" t="s">
        <v>42</v>
      </c>
      <c r="Y1403" s="18" t="s">
        <v>36</v>
      </c>
      <c r="Z1403" s="18" t="s">
        <v>37</v>
      </c>
      <c r="AA1403" s="21" t="str">
        <f>HYPERLINK("https://www.ncbi.nlm.nih.gov/nuccore/MT711370","NCBI Nucleotide")</f>
        <v>NCBI Nucleotide</v>
      </c>
    </row>
    <row r="1404" spans="1:27" x14ac:dyDescent="0.35">
      <c r="A1404">
        <v>1001864</v>
      </c>
      <c r="B1404">
        <v>1403</v>
      </c>
      <c r="C1404">
        <v>1</v>
      </c>
      <c r="D1404" s="17" t="s">
        <v>155</v>
      </c>
      <c r="E1404" s="17"/>
      <c r="F1404" s="17" t="s">
        <v>156</v>
      </c>
      <c r="G1404" s="17"/>
      <c r="H1404" s="17" t="s">
        <v>692</v>
      </c>
      <c r="I1404" s="17"/>
      <c r="J1404" s="17" t="s">
        <v>693</v>
      </c>
      <c r="K1404" s="17"/>
      <c r="L1404" s="17"/>
      <c r="M1404" s="17"/>
      <c r="N1404" s="17" t="s">
        <v>8025</v>
      </c>
      <c r="O1404" s="17"/>
      <c r="P1404" s="17" t="s">
        <v>8026</v>
      </c>
      <c r="Q1404" s="17"/>
      <c r="R1404" s="25" t="str">
        <f>HYPERLINK("https://ictv.global/taxonomy/taxondetails?taxnode_id=202313572","Freyavirus danklef")</f>
        <v>Freyavirus danklef</v>
      </c>
      <c r="S1404" s="18" t="s">
        <v>30</v>
      </c>
      <c r="T1404" s="18" t="s">
        <v>8027</v>
      </c>
      <c r="U1404" s="18" t="s">
        <v>8028</v>
      </c>
      <c r="V1404" s="18"/>
      <c r="W1404" s="18" t="s">
        <v>8029</v>
      </c>
      <c r="X1404" s="18" t="s">
        <v>42</v>
      </c>
      <c r="Y1404" s="18" t="s">
        <v>36</v>
      </c>
      <c r="Z1404" s="18" t="s">
        <v>697</v>
      </c>
      <c r="AA1404" s="21" t="str">
        <f>HYPERLINK("https://www.ncbi.nlm.nih.gov/nuccore/MT732458","NCBI Nucleotide")</f>
        <v>NCBI Nucleotide</v>
      </c>
    </row>
    <row r="1405" spans="1:27" x14ac:dyDescent="0.35">
      <c r="A1405">
        <v>1001865</v>
      </c>
      <c r="B1405">
        <v>1404</v>
      </c>
      <c r="C1405">
        <v>1</v>
      </c>
      <c r="D1405" s="17" t="s">
        <v>155</v>
      </c>
      <c r="E1405" s="17"/>
      <c r="F1405" s="17" t="s">
        <v>156</v>
      </c>
      <c r="G1405" s="17"/>
      <c r="H1405" s="17" t="s">
        <v>692</v>
      </c>
      <c r="I1405" s="17"/>
      <c r="J1405" s="17" t="s">
        <v>693</v>
      </c>
      <c r="K1405" s="17"/>
      <c r="L1405" s="17"/>
      <c r="M1405" s="17"/>
      <c r="N1405" s="17" t="s">
        <v>8025</v>
      </c>
      <c r="O1405" s="17"/>
      <c r="P1405" s="17" t="s">
        <v>8026</v>
      </c>
      <c r="Q1405" s="17"/>
      <c r="R1405" s="25" t="str">
        <f>HYPERLINK("https://ictv.global/taxonomy/taxondetails?taxnode_id=202313571","Freyavirus freya")</f>
        <v>Freyavirus freya</v>
      </c>
      <c r="S1405" s="18" t="s">
        <v>30</v>
      </c>
      <c r="T1405" s="18" t="s">
        <v>8030</v>
      </c>
      <c r="U1405" s="18" t="s">
        <v>8031</v>
      </c>
      <c r="V1405" s="18"/>
      <c r="W1405" s="18" t="s">
        <v>8032</v>
      </c>
      <c r="X1405" s="18" t="s">
        <v>42</v>
      </c>
      <c r="Y1405" s="18" t="s">
        <v>36</v>
      </c>
      <c r="Z1405" s="18" t="s">
        <v>697</v>
      </c>
      <c r="AA1405" s="21" t="str">
        <f>HYPERLINK("https://www.ncbi.nlm.nih.gov/nuccore/MT732463","NCBI Nucleotide")</f>
        <v>NCBI Nucleotide</v>
      </c>
    </row>
    <row r="1406" spans="1:27" x14ac:dyDescent="0.35">
      <c r="A1406">
        <v>1001866</v>
      </c>
      <c r="B1406">
        <v>1405</v>
      </c>
      <c r="C1406">
        <v>1</v>
      </c>
      <c r="D1406" s="17" t="s">
        <v>155</v>
      </c>
      <c r="E1406" s="17"/>
      <c r="F1406" s="17" t="s">
        <v>156</v>
      </c>
      <c r="G1406" s="17"/>
      <c r="H1406" s="17" t="s">
        <v>692</v>
      </c>
      <c r="I1406" s="17"/>
      <c r="J1406" s="17" t="s">
        <v>693</v>
      </c>
      <c r="K1406" s="17"/>
      <c r="L1406" s="17"/>
      <c r="M1406" s="17"/>
      <c r="N1406" s="17" t="s">
        <v>8033</v>
      </c>
      <c r="O1406" s="17"/>
      <c r="P1406" s="17" t="s">
        <v>8034</v>
      </c>
      <c r="Q1406" s="17"/>
      <c r="R1406" s="25" t="str">
        <f>HYPERLINK("https://ictv.global/taxonomy/taxondetails?taxnode_id=202300706","Jamesmcgillvirus jv119X")</f>
        <v>Jamesmcgillvirus jv119X</v>
      </c>
      <c r="S1406" s="18" t="s">
        <v>30</v>
      </c>
      <c r="T1406" s="18" t="s">
        <v>8035</v>
      </c>
      <c r="U1406" s="18"/>
      <c r="V1406" s="18"/>
      <c r="W1406" s="18" t="s">
        <v>8036</v>
      </c>
      <c r="X1406" s="18" t="s">
        <v>42</v>
      </c>
      <c r="Y1406" s="18" t="s">
        <v>36</v>
      </c>
      <c r="Z1406" s="18" t="s">
        <v>697</v>
      </c>
      <c r="AA1406" s="21" t="str">
        <f>HYPERLINK("https://www.ncbi.nlm.nih.gov/nuccore/DQ163914","NCBI Nucleotide")</f>
        <v>NCBI Nucleotide</v>
      </c>
    </row>
    <row r="1407" spans="1:27" x14ac:dyDescent="0.35">
      <c r="A1407">
        <v>1001867</v>
      </c>
      <c r="B1407">
        <v>1406</v>
      </c>
      <c r="C1407">
        <v>1</v>
      </c>
      <c r="D1407" s="17" t="s">
        <v>155</v>
      </c>
      <c r="E1407" s="17"/>
      <c r="F1407" s="17" t="s">
        <v>156</v>
      </c>
      <c r="G1407" s="17"/>
      <c r="H1407" s="17" t="s">
        <v>692</v>
      </c>
      <c r="I1407" s="17"/>
      <c r="J1407" s="17" t="s">
        <v>693</v>
      </c>
      <c r="K1407" s="17"/>
      <c r="L1407" s="17"/>
      <c r="M1407" s="17"/>
      <c r="N1407" s="17" t="s">
        <v>8033</v>
      </c>
      <c r="O1407" s="17"/>
      <c r="P1407" s="17" t="s">
        <v>8034</v>
      </c>
      <c r="Q1407" s="17"/>
      <c r="R1407" s="25" t="str">
        <f>HYPERLINK("https://ictv.global/taxonomy/taxondetails?taxnode_id=202312357","Jamesmcgillvirus PaMx41")</f>
        <v>Jamesmcgillvirus PaMx41</v>
      </c>
      <c r="S1407" s="18" t="s">
        <v>30</v>
      </c>
      <c r="T1407" s="18" t="s">
        <v>8037</v>
      </c>
      <c r="U1407" s="18"/>
      <c r="V1407" s="18"/>
      <c r="W1407" s="18" t="s">
        <v>8038</v>
      </c>
      <c r="X1407" s="18" t="s">
        <v>42</v>
      </c>
      <c r="Y1407" s="18" t="s">
        <v>36</v>
      </c>
      <c r="Z1407" s="18" t="s">
        <v>697</v>
      </c>
      <c r="AA1407" s="21" t="str">
        <f>HYPERLINK("https://www.ncbi.nlm.nih.gov/nuccore/KU884563","NCBI Nucleotide")</f>
        <v>NCBI Nucleotide</v>
      </c>
    </row>
    <row r="1408" spans="1:27" x14ac:dyDescent="0.35">
      <c r="A1408">
        <v>1001868</v>
      </c>
      <c r="B1408">
        <v>1407</v>
      </c>
      <c r="C1408">
        <v>1</v>
      </c>
      <c r="D1408" s="17" t="s">
        <v>155</v>
      </c>
      <c r="E1408" s="17"/>
      <c r="F1408" s="17" t="s">
        <v>156</v>
      </c>
      <c r="G1408" s="17"/>
      <c r="H1408" s="17" t="s">
        <v>692</v>
      </c>
      <c r="I1408" s="17"/>
      <c r="J1408" s="17" t="s">
        <v>693</v>
      </c>
      <c r="K1408" s="17"/>
      <c r="L1408" s="17"/>
      <c r="M1408" s="17"/>
      <c r="N1408" s="17" t="s">
        <v>8039</v>
      </c>
      <c r="O1408" s="17"/>
      <c r="P1408" s="17" t="s">
        <v>8040</v>
      </c>
      <c r="Q1408" s="17"/>
      <c r="R1408" s="25" t="str">
        <f>HYPERLINK("https://ictv.global/taxonomy/taxondetails?taxnode_id=202314620","Crifsvirus A24")</f>
        <v>Crifsvirus A24</v>
      </c>
      <c r="S1408" s="18" t="s">
        <v>30</v>
      </c>
      <c r="T1408" s="18" t="s">
        <v>8041</v>
      </c>
      <c r="U1408" s="18"/>
      <c r="V1408" s="18"/>
      <c r="W1408" s="18" t="s">
        <v>8042</v>
      </c>
      <c r="X1408" s="18" t="s">
        <v>42</v>
      </c>
      <c r="Y1408" s="18" t="s">
        <v>36</v>
      </c>
      <c r="Z1408" s="18" t="s">
        <v>697</v>
      </c>
      <c r="AA1408" s="21" t="str">
        <f>HYPERLINK("https://www.ncbi.nlm.nih.gov/nuccore/MW343794","NCBI Nucleotide")</f>
        <v>NCBI Nucleotide</v>
      </c>
    </row>
    <row r="1409" spans="1:27" x14ac:dyDescent="0.35">
      <c r="A1409">
        <v>1001869</v>
      </c>
      <c r="B1409">
        <v>1408</v>
      </c>
      <c r="C1409">
        <v>1</v>
      </c>
      <c r="D1409" s="17" t="s">
        <v>155</v>
      </c>
      <c r="E1409" s="17"/>
      <c r="F1409" s="17" t="s">
        <v>156</v>
      </c>
      <c r="G1409" s="17"/>
      <c r="H1409" s="17" t="s">
        <v>692</v>
      </c>
      <c r="I1409" s="17"/>
      <c r="J1409" s="17" t="s">
        <v>693</v>
      </c>
      <c r="K1409" s="17"/>
      <c r="L1409" s="17"/>
      <c r="M1409" s="17"/>
      <c r="N1409" s="17" t="s">
        <v>8039</v>
      </c>
      <c r="O1409" s="17"/>
      <c r="P1409" s="17" t="s">
        <v>8040</v>
      </c>
      <c r="Q1409" s="17"/>
      <c r="R1409" s="25" t="str">
        <f>HYPERLINK("https://ictv.global/taxonomy/taxondetails?taxnode_id=202314619","Crifsvirus GAP52")</f>
        <v>Crifsvirus GAP52</v>
      </c>
      <c r="S1409" s="18" t="s">
        <v>30</v>
      </c>
      <c r="T1409" s="18" t="s">
        <v>8043</v>
      </c>
      <c r="U1409" s="18"/>
      <c r="V1409" s="18"/>
      <c r="W1409" s="18" t="s">
        <v>8044</v>
      </c>
      <c r="X1409" s="18" t="s">
        <v>42</v>
      </c>
      <c r="Y1409" s="18" t="s">
        <v>36</v>
      </c>
      <c r="Z1409" s="18" t="s">
        <v>697</v>
      </c>
      <c r="AA1409" s="21" t="str">
        <f>HYPERLINK("https://www.ncbi.nlm.nih.gov/nuccore/JN882286","NCBI Nucleotide")</f>
        <v>NCBI Nucleotide</v>
      </c>
    </row>
    <row r="1410" spans="1:27" x14ac:dyDescent="0.35">
      <c r="A1410">
        <v>1001870</v>
      </c>
      <c r="B1410">
        <v>1409</v>
      </c>
      <c r="C1410">
        <v>1</v>
      </c>
      <c r="D1410" s="17" t="s">
        <v>155</v>
      </c>
      <c r="E1410" s="17"/>
      <c r="F1410" s="17" t="s">
        <v>156</v>
      </c>
      <c r="G1410" s="17"/>
      <c r="H1410" s="17" t="s">
        <v>692</v>
      </c>
      <c r="I1410" s="17"/>
      <c r="J1410" s="17" t="s">
        <v>693</v>
      </c>
      <c r="K1410" s="17"/>
      <c r="L1410" s="17"/>
      <c r="M1410" s="17"/>
      <c r="N1410" s="17" t="s">
        <v>8039</v>
      </c>
      <c r="O1410" s="17"/>
      <c r="P1410" s="17" t="s">
        <v>8045</v>
      </c>
      <c r="Q1410" s="17"/>
      <c r="R1410" s="25" t="str">
        <f>HYPERLINK("https://ictv.global/taxonomy/taxondetails?taxnode_id=202314626","Dalianvirus R1")</f>
        <v>Dalianvirus R1</v>
      </c>
      <c r="S1410" s="18" t="s">
        <v>30</v>
      </c>
      <c r="T1410" s="18" t="s">
        <v>8046</v>
      </c>
      <c r="U1410" s="18"/>
      <c r="V1410" s="18"/>
      <c r="W1410" s="18" t="s">
        <v>8047</v>
      </c>
      <c r="X1410" s="18" t="s">
        <v>42</v>
      </c>
      <c r="Y1410" s="18" t="s">
        <v>36</v>
      </c>
      <c r="Z1410" s="18" t="s">
        <v>697</v>
      </c>
      <c r="AA1410" s="21" t="str">
        <f>HYPERLINK("https://www.ncbi.nlm.nih.gov/nuccore/MG603697","NCBI Nucleotide")</f>
        <v>NCBI Nucleotide</v>
      </c>
    </row>
    <row r="1411" spans="1:27" x14ac:dyDescent="0.35">
      <c r="A1411">
        <v>1001871</v>
      </c>
      <c r="B1411">
        <v>1410</v>
      </c>
      <c r="C1411">
        <v>1</v>
      </c>
      <c r="D1411" s="17" t="s">
        <v>155</v>
      </c>
      <c r="E1411" s="17"/>
      <c r="F1411" s="17" t="s">
        <v>156</v>
      </c>
      <c r="G1411" s="17"/>
      <c r="H1411" s="17" t="s">
        <v>692</v>
      </c>
      <c r="I1411" s="17"/>
      <c r="J1411" s="17" t="s">
        <v>693</v>
      </c>
      <c r="K1411" s="17"/>
      <c r="L1411" s="17"/>
      <c r="M1411" s="17"/>
      <c r="N1411" s="17" t="s">
        <v>8039</v>
      </c>
      <c r="O1411" s="17"/>
      <c r="P1411" s="17" t="s">
        <v>8048</v>
      </c>
      <c r="Q1411" s="17"/>
      <c r="R1411" s="25" t="str">
        <f>HYPERLINK("https://ictv.global/taxonomy/taxondetails?taxnode_id=202314625","Libingvirus BUCT695")</f>
        <v>Libingvirus BUCT695</v>
      </c>
      <c r="S1411" s="18" t="s">
        <v>30</v>
      </c>
      <c r="T1411" s="18" t="s">
        <v>8049</v>
      </c>
      <c r="U1411" s="18"/>
      <c r="V1411" s="18"/>
      <c r="W1411" s="18" t="s">
        <v>8050</v>
      </c>
      <c r="X1411" s="18" t="s">
        <v>42</v>
      </c>
      <c r="Y1411" s="18" t="s">
        <v>36</v>
      </c>
      <c r="Z1411" s="18" t="s">
        <v>697</v>
      </c>
      <c r="AA1411" s="21" t="str">
        <f>HYPERLINK("https://www.ncbi.nlm.nih.gov/nuccore/OL799327","NCBI Nucleotide")</f>
        <v>NCBI Nucleotide</v>
      </c>
    </row>
    <row r="1412" spans="1:27" x14ac:dyDescent="0.35">
      <c r="A1412">
        <v>1001872</v>
      </c>
      <c r="B1412">
        <v>1411</v>
      </c>
      <c r="C1412">
        <v>1</v>
      </c>
      <c r="D1412" s="17" t="s">
        <v>155</v>
      </c>
      <c r="E1412" s="17"/>
      <c r="F1412" s="17" t="s">
        <v>156</v>
      </c>
      <c r="G1412" s="17"/>
      <c r="H1412" s="17" t="s">
        <v>692</v>
      </c>
      <c r="I1412" s="17"/>
      <c r="J1412" s="17" t="s">
        <v>693</v>
      </c>
      <c r="K1412" s="17"/>
      <c r="L1412" s="17"/>
      <c r="M1412" s="17"/>
      <c r="N1412" s="17" t="s">
        <v>8039</v>
      </c>
      <c r="O1412" s="17"/>
      <c r="P1412" s="17" t="s">
        <v>8051</v>
      </c>
      <c r="Q1412" s="17"/>
      <c r="R1412" s="25" t="str">
        <f>HYPERLINK("https://ictv.global/taxonomy/taxondetails?taxnode_id=202314621","Moazamivirus 711")</f>
        <v>Moazamivirus 711</v>
      </c>
      <c r="S1412" s="18" t="s">
        <v>30</v>
      </c>
      <c r="T1412" s="18" t="s">
        <v>8052</v>
      </c>
      <c r="U1412" s="18"/>
      <c r="V1412" s="18"/>
      <c r="W1412" s="18" t="s">
        <v>8053</v>
      </c>
      <c r="X1412" s="18" t="s">
        <v>42</v>
      </c>
      <c r="Y1412" s="18" t="s">
        <v>36</v>
      </c>
      <c r="Z1412" s="18" t="s">
        <v>697</v>
      </c>
      <c r="AA1412" s="21" t="str">
        <f>HYPERLINK("https://www.ncbi.nlm.nih.gov/nuccore/HM997019","NCBI Nucleotide")</f>
        <v>NCBI Nucleotide</v>
      </c>
    </row>
    <row r="1413" spans="1:27" x14ac:dyDescent="0.35">
      <c r="A1413">
        <v>1001873</v>
      </c>
      <c r="B1413">
        <v>1412</v>
      </c>
      <c r="C1413">
        <v>1</v>
      </c>
      <c r="D1413" s="17" t="s">
        <v>155</v>
      </c>
      <c r="E1413" s="17"/>
      <c r="F1413" s="17" t="s">
        <v>156</v>
      </c>
      <c r="G1413" s="17"/>
      <c r="H1413" s="17" t="s">
        <v>692</v>
      </c>
      <c r="I1413" s="17"/>
      <c r="J1413" s="17" t="s">
        <v>693</v>
      </c>
      <c r="K1413" s="17"/>
      <c r="L1413" s="17"/>
      <c r="M1413" s="17"/>
      <c r="N1413" s="17" t="s">
        <v>8039</v>
      </c>
      <c r="O1413" s="17"/>
      <c r="P1413" s="17" t="s">
        <v>8051</v>
      </c>
      <c r="Q1413" s="17"/>
      <c r="R1413" s="25" t="str">
        <f>HYPERLINK("https://ictv.global/taxonomy/taxondetails?taxnode_id=202314622","Moazamivirus SE131")</f>
        <v>Moazamivirus SE131</v>
      </c>
      <c r="S1413" s="18" t="s">
        <v>30</v>
      </c>
      <c r="T1413" s="18" t="s">
        <v>8054</v>
      </c>
      <c r="U1413" s="18"/>
      <c r="V1413" s="18"/>
      <c r="W1413" s="18" t="s">
        <v>8055</v>
      </c>
      <c r="X1413" s="18" t="s">
        <v>42</v>
      </c>
      <c r="Y1413" s="18" t="s">
        <v>36</v>
      </c>
      <c r="Z1413" s="18" t="s">
        <v>697</v>
      </c>
      <c r="AA1413" s="21" t="str">
        <f>HYPERLINK("https://www.ncbi.nlm.nih.gov/nuccore/MG873442","NCBI Nucleotide")</f>
        <v>NCBI Nucleotide</v>
      </c>
    </row>
    <row r="1414" spans="1:27" x14ac:dyDescent="0.35">
      <c r="A1414">
        <v>1001874</v>
      </c>
      <c r="B1414">
        <v>1413</v>
      </c>
      <c r="C1414">
        <v>1</v>
      </c>
      <c r="D1414" s="17" t="s">
        <v>155</v>
      </c>
      <c r="E1414" s="17"/>
      <c r="F1414" s="17" t="s">
        <v>156</v>
      </c>
      <c r="G1414" s="17"/>
      <c r="H1414" s="17" t="s">
        <v>692</v>
      </c>
      <c r="I1414" s="17"/>
      <c r="J1414" s="17" t="s">
        <v>693</v>
      </c>
      <c r="K1414" s="17"/>
      <c r="L1414" s="17"/>
      <c r="M1414" s="17"/>
      <c r="N1414" s="17" t="s">
        <v>8039</v>
      </c>
      <c r="O1414" s="17"/>
      <c r="P1414" s="17" t="s">
        <v>8056</v>
      </c>
      <c r="Q1414" s="17"/>
      <c r="R1414" s="25" t="str">
        <f>HYPERLINK("https://ictv.global/taxonomy/taxondetails?taxnode_id=202314624","Privateervirus 3H1020")</f>
        <v>Privateervirus 3H1020</v>
      </c>
      <c r="S1414" s="18" t="s">
        <v>30</v>
      </c>
      <c r="T1414" s="18" t="s">
        <v>8057</v>
      </c>
      <c r="U1414" s="18"/>
      <c r="V1414" s="18"/>
      <c r="W1414" s="18" t="s">
        <v>8058</v>
      </c>
      <c r="X1414" s="18" t="s">
        <v>42</v>
      </c>
      <c r="Y1414" s="18" t="s">
        <v>36</v>
      </c>
      <c r="Z1414" s="18" t="s">
        <v>697</v>
      </c>
      <c r="AA1414" s="21" t="str">
        <f>HYPERLINK("https://www.ncbi.nlm.nih.gov/nuccore/MT740244","NCBI Nucleotide")</f>
        <v>NCBI Nucleotide</v>
      </c>
    </row>
    <row r="1415" spans="1:27" x14ac:dyDescent="0.35">
      <c r="A1415">
        <v>1001875</v>
      </c>
      <c r="B1415">
        <v>1414</v>
      </c>
      <c r="C1415">
        <v>1</v>
      </c>
      <c r="D1415" s="17" t="s">
        <v>155</v>
      </c>
      <c r="E1415" s="17"/>
      <c r="F1415" s="17" t="s">
        <v>156</v>
      </c>
      <c r="G1415" s="17"/>
      <c r="H1415" s="17" t="s">
        <v>692</v>
      </c>
      <c r="I1415" s="17"/>
      <c r="J1415" s="17" t="s">
        <v>693</v>
      </c>
      <c r="K1415" s="17"/>
      <c r="L1415" s="17"/>
      <c r="M1415" s="17"/>
      <c r="N1415" s="17" t="s">
        <v>8039</v>
      </c>
      <c r="O1415" s="17"/>
      <c r="P1415" s="17" t="s">
        <v>8056</v>
      </c>
      <c r="Q1415" s="17"/>
      <c r="R1415" s="25" t="str">
        <f>HYPERLINK("https://ictv.global/taxonomy/taxondetails?taxnode_id=202314623","Privateervirus P59")</f>
        <v>Privateervirus P59</v>
      </c>
      <c r="S1415" s="18" t="s">
        <v>30</v>
      </c>
      <c r="T1415" s="18" t="s">
        <v>8059</v>
      </c>
      <c r="U1415" s="18"/>
      <c r="V1415" s="18"/>
      <c r="W1415" s="18" t="s">
        <v>8060</v>
      </c>
      <c r="X1415" s="18" t="s">
        <v>42</v>
      </c>
      <c r="Y1415" s="18" t="s">
        <v>36</v>
      </c>
      <c r="Z1415" s="18" t="s">
        <v>697</v>
      </c>
      <c r="AA1415" s="21" t="str">
        <f>HYPERLINK("https://www.ncbi.nlm.nih.gov/nuccore/MT664722","NCBI Nucleotide")</f>
        <v>NCBI Nucleotide</v>
      </c>
    </row>
    <row r="1416" spans="1:27" x14ac:dyDescent="0.35">
      <c r="A1416">
        <v>1001876</v>
      </c>
      <c r="B1416">
        <v>1415</v>
      </c>
      <c r="C1416">
        <v>1</v>
      </c>
      <c r="D1416" s="17" t="s">
        <v>155</v>
      </c>
      <c r="E1416" s="17"/>
      <c r="F1416" s="17" t="s">
        <v>156</v>
      </c>
      <c r="G1416" s="17"/>
      <c r="H1416" s="17" t="s">
        <v>692</v>
      </c>
      <c r="I1416" s="17"/>
      <c r="J1416" s="17" t="s">
        <v>693</v>
      </c>
      <c r="K1416" s="17"/>
      <c r="L1416" s="17"/>
      <c r="M1416" s="17"/>
      <c r="N1416" s="17" t="s">
        <v>8039</v>
      </c>
      <c r="O1416" s="17"/>
      <c r="P1416" s="17" t="s">
        <v>8056</v>
      </c>
      <c r="Q1416" s="17"/>
      <c r="R1416" s="25" t="str">
        <f>HYPERLINK("https://ictv.global/taxonomy/taxondetails?taxnode_id=202311625","Privateervirus privateer")</f>
        <v>Privateervirus privateer</v>
      </c>
      <c r="S1416" s="18" t="s">
        <v>30</v>
      </c>
      <c r="T1416" s="18" t="s">
        <v>8061</v>
      </c>
      <c r="U1416" s="18"/>
      <c r="V1416" s="18"/>
      <c r="W1416" s="18" t="s">
        <v>8062</v>
      </c>
      <c r="X1416" s="18" t="s">
        <v>42</v>
      </c>
      <c r="Y1416" s="18" t="s">
        <v>36</v>
      </c>
      <c r="Z1416" s="18" t="s">
        <v>697</v>
      </c>
      <c r="AA1416" s="21" t="str">
        <f>HYPERLINK("https://www.ncbi.nlm.nih.gov/nuccore/MT028297","NCBI Nucleotide")</f>
        <v>NCBI Nucleotide</v>
      </c>
    </row>
    <row r="1417" spans="1:27" x14ac:dyDescent="0.35">
      <c r="A1417">
        <v>1001877</v>
      </c>
      <c r="B1417">
        <v>1416</v>
      </c>
      <c r="C1417">
        <v>1</v>
      </c>
      <c r="D1417" s="17" t="s">
        <v>155</v>
      </c>
      <c r="E1417" s="17"/>
      <c r="F1417" s="17" t="s">
        <v>156</v>
      </c>
      <c r="G1417" s="17"/>
      <c r="H1417" s="17" t="s">
        <v>692</v>
      </c>
      <c r="I1417" s="17"/>
      <c r="J1417" s="17" t="s">
        <v>693</v>
      </c>
      <c r="K1417" s="17"/>
      <c r="L1417" s="17"/>
      <c r="M1417" s="17"/>
      <c r="N1417" s="17" t="s">
        <v>8039</v>
      </c>
      <c r="O1417" s="17"/>
      <c r="P1417" s="17" t="s">
        <v>8056</v>
      </c>
      <c r="Q1417" s="17"/>
      <c r="R1417" s="25" t="str">
        <f>HYPERLINK("https://ictv.global/taxonomy/taxondetails?taxnode_id=202311626","Privateervirus pv009")</f>
        <v>Privateervirus pv009</v>
      </c>
      <c r="S1417" s="18" t="s">
        <v>30</v>
      </c>
      <c r="T1417" s="18" t="s">
        <v>8063</v>
      </c>
      <c r="U1417" s="18"/>
      <c r="V1417" s="18"/>
      <c r="W1417" s="18" t="s">
        <v>8064</v>
      </c>
      <c r="X1417" s="18" t="s">
        <v>42</v>
      </c>
      <c r="Y1417" s="18" t="s">
        <v>36</v>
      </c>
      <c r="Z1417" s="18" t="s">
        <v>697</v>
      </c>
      <c r="AA1417" s="21" t="str">
        <f>HYPERLINK("https://www.ncbi.nlm.nih.gov/nuccore/LC519601","NCBI Nucleotide")</f>
        <v>NCBI Nucleotide</v>
      </c>
    </row>
    <row r="1418" spans="1:27" x14ac:dyDescent="0.35">
      <c r="A1418">
        <v>1001878</v>
      </c>
      <c r="B1418">
        <v>1417</v>
      </c>
      <c r="C1418">
        <v>1</v>
      </c>
      <c r="D1418" s="17" t="s">
        <v>155</v>
      </c>
      <c r="E1418" s="17"/>
      <c r="F1418" s="17" t="s">
        <v>156</v>
      </c>
      <c r="G1418" s="17"/>
      <c r="H1418" s="17" t="s">
        <v>692</v>
      </c>
      <c r="I1418" s="17"/>
      <c r="J1418" s="17" t="s">
        <v>693</v>
      </c>
      <c r="K1418" s="17"/>
      <c r="L1418" s="17"/>
      <c r="M1418" s="17"/>
      <c r="N1418" s="17" t="s">
        <v>8065</v>
      </c>
      <c r="O1418" s="17" t="s">
        <v>8082</v>
      </c>
      <c r="P1418" s="17" t="s">
        <v>8083</v>
      </c>
      <c r="Q1418" s="17"/>
      <c r="R1418" s="25" t="str">
        <f>HYPERLINK("https://ictv.global/taxonomy/taxondetails?taxnode_id=202310061","Capvunavirus CpV1")</f>
        <v>Capvunavirus CpV1</v>
      </c>
      <c r="S1418" s="18" t="s">
        <v>30</v>
      </c>
      <c r="T1418" s="18" t="s">
        <v>8084</v>
      </c>
      <c r="U1418" s="18"/>
      <c r="V1418" s="18"/>
      <c r="W1418" s="18" t="s">
        <v>8085</v>
      </c>
      <c r="X1418" s="18" t="s">
        <v>154</v>
      </c>
      <c r="Y1418" s="18" t="s">
        <v>36</v>
      </c>
      <c r="Z1418" s="18" t="s">
        <v>697</v>
      </c>
      <c r="AA1418" s="21" t="str">
        <f>HYPERLINK("https://www.ncbi.nlm.nih.gov/nuccore/HM640230","NCBI Nucleotide")</f>
        <v>NCBI Nucleotide</v>
      </c>
    </row>
    <row r="1419" spans="1:27" x14ac:dyDescent="0.35">
      <c r="A1419">
        <v>1001879</v>
      </c>
      <c r="B1419">
        <v>1418</v>
      </c>
      <c r="C1419">
        <v>1</v>
      </c>
      <c r="D1419" s="17" t="s">
        <v>155</v>
      </c>
      <c r="E1419" s="17"/>
      <c r="F1419" s="17" t="s">
        <v>156</v>
      </c>
      <c r="G1419" s="17"/>
      <c r="H1419" s="17" t="s">
        <v>692</v>
      </c>
      <c r="I1419" s="17"/>
      <c r="J1419" s="17" t="s">
        <v>693</v>
      </c>
      <c r="K1419" s="17"/>
      <c r="L1419" s="17"/>
      <c r="M1419" s="17"/>
      <c r="N1419" s="17" t="s">
        <v>8065</v>
      </c>
      <c r="O1419" s="17" t="s">
        <v>8082</v>
      </c>
      <c r="P1419" s="17" t="s">
        <v>8086</v>
      </c>
      <c r="Q1419" s="17"/>
      <c r="R1419" s="25" t="str">
        <f>HYPERLINK("https://ictv.global/taxonomy/taxondetails?taxnode_id=202310059","Gregsiragusavirus CPD2")</f>
        <v>Gregsiragusavirus CPD2</v>
      </c>
      <c r="S1419" s="18" t="s">
        <v>30</v>
      </c>
      <c r="T1419" s="18" t="s">
        <v>8087</v>
      </c>
      <c r="U1419" s="18"/>
      <c r="V1419" s="18"/>
      <c r="W1419" s="18" t="s">
        <v>8088</v>
      </c>
      <c r="X1419" s="18" t="s">
        <v>42</v>
      </c>
      <c r="Y1419" s="18" t="s">
        <v>36</v>
      </c>
      <c r="Z1419" s="18" t="s">
        <v>697</v>
      </c>
      <c r="AA1419" s="21" t="str">
        <f>HYPERLINK("https://www.ncbi.nlm.nih.gov/nuccore/MH999279","NCBI Nucleotide")</f>
        <v>NCBI Nucleotide</v>
      </c>
    </row>
    <row r="1420" spans="1:27" x14ac:dyDescent="0.35">
      <c r="A1420">
        <v>1024571</v>
      </c>
      <c r="B1420">
        <v>1419</v>
      </c>
      <c r="C1420">
        <v>1</v>
      </c>
      <c r="D1420" s="17" t="s">
        <v>155</v>
      </c>
      <c r="E1420" s="17"/>
      <c r="F1420" s="17" t="s">
        <v>156</v>
      </c>
      <c r="G1420" s="17"/>
      <c r="H1420" s="17" t="s">
        <v>692</v>
      </c>
      <c r="I1420" s="17"/>
      <c r="J1420" s="17" t="s">
        <v>693</v>
      </c>
      <c r="K1420" s="17"/>
      <c r="L1420" s="17"/>
      <c r="M1420" s="17"/>
      <c r="N1420" s="17" t="s">
        <v>8065</v>
      </c>
      <c r="O1420" s="17" t="s">
        <v>8082</v>
      </c>
      <c r="P1420" s="17" t="s">
        <v>8086</v>
      </c>
      <c r="Q1420" s="17"/>
      <c r="R1420" s="25" t="str">
        <f>HYPERLINK("https://ictv.global/taxonomy/taxondetails?taxnode_id=202319057","Gregsiragusavirus cpp")</f>
        <v>Gregsiragusavirus cpp</v>
      </c>
      <c r="S1420" s="18" t="s">
        <v>30</v>
      </c>
      <c r="T1420" s="18" t="s">
        <v>39350</v>
      </c>
      <c r="U1420" s="18"/>
      <c r="V1420" s="18"/>
      <c r="W1420" s="18" t="s">
        <v>50855</v>
      </c>
      <c r="X1420" s="18" t="s">
        <v>42</v>
      </c>
      <c r="Y1420" s="18" t="s">
        <v>36</v>
      </c>
      <c r="Z1420" s="18" t="s">
        <v>697</v>
      </c>
      <c r="AA1420" s="21" t="str">
        <f>HYPERLINK("https://www.ncbi.nlm.nih.gov/nuccore/OQ737697","NCBI Nucleotide")</f>
        <v>NCBI Nucleotide</v>
      </c>
    </row>
    <row r="1421" spans="1:27" x14ac:dyDescent="0.35">
      <c r="A1421">
        <v>1001880</v>
      </c>
      <c r="B1421">
        <v>1420</v>
      </c>
      <c r="C1421">
        <v>1</v>
      </c>
      <c r="D1421" s="17" t="s">
        <v>155</v>
      </c>
      <c r="E1421" s="17"/>
      <c r="F1421" s="17" t="s">
        <v>156</v>
      </c>
      <c r="G1421" s="17"/>
      <c r="H1421" s="17" t="s">
        <v>692</v>
      </c>
      <c r="I1421" s="17"/>
      <c r="J1421" s="17" t="s">
        <v>693</v>
      </c>
      <c r="K1421" s="17"/>
      <c r="L1421" s="17"/>
      <c r="M1421" s="17"/>
      <c r="N1421" s="17" t="s">
        <v>8065</v>
      </c>
      <c r="O1421" s="17" t="s">
        <v>8082</v>
      </c>
      <c r="P1421" s="17" t="s">
        <v>8086</v>
      </c>
      <c r="Q1421" s="17"/>
      <c r="R1421" s="25" t="str">
        <f>HYPERLINK("https://ictv.global/taxonomy/taxondetails?taxnode_id=202310058","Gregsiragusavirus CPS1")</f>
        <v>Gregsiragusavirus CPS1</v>
      </c>
      <c r="S1421" s="18" t="s">
        <v>30</v>
      </c>
      <c r="T1421" s="18" t="s">
        <v>8089</v>
      </c>
      <c r="U1421" s="18"/>
      <c r="V1421" s="18"/>
      <c r="W1421" s="18" t="s">
        <v>8090</v>
      </c>
      <c r="X1421" s="18" t="s">
        <v>42</v>
      </c>
      <c r="Y1421" s="18" t="s">
        <v>36</v>
      </c>
      <c r="Z1421" s="18" t="s">
        <v>697</v>
      </c>
      <c r="AA1421" s="21" t="str">
        <f>HYPERLINK("https://www.ncbi.nlm.nih.gov/nuccore/KY996523","NCBI Nucleotide")</f>
        <v>NCBI Nucleotide</v>
      </c>
    </row>
    <row r="1422" spans="1:27" x14ac:dyDescent="0.35">
      <c r="A1422">
        <v>1024572</v>
      </c>
      <c r="B1422">
        <v>1421</v>
      </c>
      <c r="C1422">
        <v>1</v>
      </c>
      <c r="D1422" s="17" t="s">
        <v>155</v>
      </c>
      <c r="E1422" s="17"/>
      <c r="F1422" s="17" t="s">
        <v>156</v>
      </c>
      <c r="G1422" s="17"/>
      <c r="H1422" s="17" t="s">
        <v>692</v>
      </c>
      <c r="I1422" s="17"/>
      <c r="J1422" s="17" t="s">
        <v>693</v>
      </c>
      <c r="K1422" s="17"/>
      <c r="L1422" s="17"/>
      <c r="M1422" s="17"/>
      <c r="N1422" s="17" t="s">
        <v>8065</v>
      </c>
      <c r="O1422" s="17" t="s">
        <v>8082</v>
      </c>
      <c r="P1422" s="17" t="s">
        <v>8086</v>
      </c>
      <c r="Q1422" s="17"/>
      <c r="R1422" s="25" t="str">
        <f>HYPERLINK("https://ictv.global/taxonomy/taxondetails?taxnode_id=202319058","Gregsiragusavirus hn02")</f>
        <v>Gregsiragusavirus hn02</v>
      </c>
      <c r="S1422" s="18" t="s">
        <v>30</v>
      </c>
      <c r="T1422" s="18" t="s">
        <v>39351</v>
      </c>
      <c r="U1422" s="18"/>
      <c r="V1422" s="18"/>
      <c r="W1422" s="18" t="s">
        <v>48111</v>
      </c>
      <c r="X1422" s="18" t="s">
        <v>42</v>
      </c>
      <c r="Y1422" s="18" t="s">
        <v>36</v>
      </c>
      <c r="Z1422" s="18" t="s">
        <v>697</v>
      </c>
      <c r="AA1422" s="21" t="str">
        <f>HYPERLINK("https://www.ncbi.nlm.nih.gov/nuccore/MW815121","NCBI Nucleotide")</f>
        <v>NCBI Nucleotide</v>
      </c>
    </row>
    <row r="1423" spans="1:27" x14ac:dyDescent="0.35">
      <c r="A1423">
        <v>1001881</v>
      </c>
      <c r="B1423">
        <v>1422</v>
      </c>
      <c r="C1423">
        <v>1</v>
      </c>
      <c r="D1423" s="17" t="s">
        <v>155</v>
      </c>
      <c r="E1423" s="17"/>
      <c r="F1423" s="17" t="s">
        <v>156</v>
      </c>
      <c r="G1423" s="17"/>
      <c r="H1423" s="17" t="s">
        <v>692</v>
      </c>
      <c r="I1423" s="17"/>
      <c r="J1423" s="17" t="s">
        <v>693</v>
      </c>
      <c r="K1423" s="17"/>
      <c r="L1423" s="17"/>
      <c r="M1423" s="17"/>
      <c r="N1423" s="17" t="s">
        <v>8065</v>
      </c>
      <c r="O1423" s="17" t="s">
        <v>8082</v>
      </c>
      <c r="P1423" s="17" t="s">
        <v>8086</v>
      </c>
      <c r="Q1423" s="17"/>
      <c r="R1423" s="25" t="str">
        <f>HYPERLINK("https://ictv.global/taxonomy/taxondetails?taxnode_id=202310057","Gregsiragusavirus phi24R")</f>
        <v>Gregsiragusavirus phi24R</v>
      </c>
      <c r="S1423" s="18" t="s">
        <v>30</v>
      </c>
      <c r="T1423" s="18" t="s">
        <v>8091</v>
      </c>
      <c r="U1423" s="18"/>
      <c r="V1423" s="18"/>
      <c r="W1423" s="18" t="s">
        <v>8092</v>
      </c>
      <c r="X1423" s="18" t="s">
        <v>42</v>
      </c>
      <c r="Y1423" s="18" t="s">
        <v>36</v>
      </c>
      <c r="Z1423" s="18" t="s">
        <v>697</v>
      </c>
      <c r="AA1423" s="21" t="str">
        <f>HYPERLINK("https://www.ncbi.nlm.nih.gov/nuccore/JN800508","NCBI Nucleotide")</f>
        <v>NCBI Nucleotide</v>
      </c>
    </row>
    <row r="1424" spans="1:27" x14ac:dyDescent="0.35">
      <c r="A1424">
        <v>1024573</v>
      </c>
      <c r="B1424">
        <v>1423</v>
      </c>
      <c r="C1424">
        <v>1</v>
      </c>
      <c r="D1424" s="17" t="s">
        <v>155</v>
      </c>
      <c r="E1424" s="17"/>
      <c r="F1424" s="17" t="s">
        <v>156</v>
      </c>
      <c r="G1424" s="17"/>
      <c r="H1424" s="17" t="s">
        <v>692</v>
      </c>
      <c r="I1424" s="17"/>
      <c r="J1424" s="17" t="s">
        <v>693</v>
      </c>
      <c r="K1424" s="17"/>
      <c r="L1424" s="17"/>
      <c r="M1424" s="17"/>
      <c r="N1424" s="17" t="s">
        <v>8065</v>
      </c>
      <c r="O1424" s="17" t="s">
        <v>8082</v>
      </c>
      <c r="P1424" s="17" t="s">
        <v>8086</v>
      </c>
      <c r="Q1424" s="17"/>
      <c r="R1424" s="25" t="str">
        <f>HYPERLINK("https://ictv.global/taxonomy/taxondetails?taxnode_id=202319056","Gregsiragusavirus pm11")</f>
        <v>Gregsiragusavirus pm11</v>
      </c>
      <c r="S1424" s="18" t="s">
        <v>30</v>
      </c>
      <c r="T1424" s="18" t="s">
        <v>39352</v>
      </c>
      <c r="U1424" s="18"/>
      <c r="V1424" s="18"/>
      <c r="W1424" s="18" t="s">
        <v>48112</v>
      </c>
      <c r="X1424" s="18" t="s">
        <v>42</v>
      </c>
      <c r="Y1424" s="18" t="s">
        <v>36</v>
      </c>
      <c r="Z1424" s="18" t="s">
        <v>697</v>
      </c>
      <c r="AA1424" s="21" t="str">
        <f>HYPERLINK("https://www.ncbi.nlm.nih.gov/nuccore/OP022426","NCBI Nucleotide")</f>
        <v>NCBI Nucleotide</v>
      </c>
    </row>
    <row r="1425" spans="1:27" x14ac:dyDescent="0.35">
      <c r="A1425">
        <v>1001882</v>
      </c>
      <c r="B1425">
        <v>1424</v>
      </c>
      <c r="C1425">
        <v>1</v>
      </c>
      <c r="D1425" s="17" t="s">
        <v>155</v>
      </c>
      <c r="E1425" s="17"/>
      <c r="F1425" s="17" t="s">
        <v>156</v>
      </c>
      <c r="G1425" s="17"/>
      <c r="H1425" s="17" t="s">
        <v>692</v>
      </c>
      <c r="I1425" s="17"/>
      <c r="J1425" s="17" t="s">
        <v>693</v>
      </c>
      <c r="K1425" s="17"/>
      <c r="L1425" s="17"/>
      <c r="M1425" s="17"/>
      <c r="N1425" s="17" t="s">
        <v>8065</v>
      </c>
      <c r="O1425" s="17"/>
      <c r="P1425" s="17" t="s">
        <v>8066</v>
      </c>
      <c r="Q1425" s="17"/>
      <c r="R1425" s="25" t="str">
        <f>HYPERLINK("https://ictv.global/taxonomy/taxondetails?taxnode_id=202310063","Brucesealvirus CP7R")</f>
        <v>Brucesealvirus CP7R</v>
      </c>
      <c r="S1425" s="18" t="s">
        <v>30</v>
      </c>
      <c r="T1425" s="18" t="s">
        <v>8067</v>
      </c>
      <c r="U1425" s="18"/>
      <c r="V1425" s="18"/>
      <c r="W1425" s="18" t="s">
        <v>8068</v>
      </c>
      <c r="X1425" s="18" t="s">
        <v>42</v>
      </c>
      <c r="Y1425" s="18" t="s">
        <v>36</v>
      </c>
      <c r="Z1425" s="18" t="s">
        <v>697</v>
      </c>
      <c r="AA1425" s="21" t="str">
        <f>HYPERLINK("https://www.ncbi.nlm.nih.gov/nuccore/JQ729990","NCBI Nucleotide")</f>
        <v>NCBI Nucleotide</v>
      </c>
    </row>
    <row r="1426" spans="1:27" x14ac:dyDescent="0.35">
      <c r="A1426">
        <v>1024586</v>
      </c>
      <c r="B1426">
        <v>1425</v>
      </c>
      <c r="C1426">
        <v>1</v>
      </c>
      <c r="D1426" s="17" t="s">
        <v>155</v>
      </c>
      <c r="E1426" s="17"/>
      <c r="F1426" s="17" t="s">
        <v>156</v>
      </c>
      <c r="G1426" s="17"/>
      <c r="H1426" s="17" t="s">
        <v>692</v>
      </c>
      <c r="I1426" s="17"/>
      <c r="J1426" s="17" t="s">
        <v>693</v>
      </c>
      <c r="K1426" s="17"/>
      <c r="L1426" s="17"/>
      <c r="M1426" s="17"/>
      <c r="N1426" s="17" t="s">
        <v>8065</v>
      </c>
      <c r="O1426" s="17"/>
      <c r="P1426" s="17" t="s">
        <v>8066</v>
      </c>
      <c r="Q1426" s="17"/>
      <c r="R1426" s="25" t="str">
        <f>HYPERLINK("https://ictv.global/taxonomy/taxondetails?taxnode_id=202319060","Brucesealvirus cpq3")</f>
        <v>Brucesealvirus cpq3</v>
      </c>
      <c r="S1426" s="18" t="s">
        <v>30</v>
      </c>
      <c r="T1426" s="18" t="s">
        <v>39353</v>
      </c>
      <c r="U1426" s="18"/>
      <c r="V1426" s="18"/>
      <c r="W1426" s="18" t="s">
        <v>48113</v>
      </c>
      <c r="X1426" s="18" t="s">
        <v>42</v>
      </c>
      <c r="Y1426" s="18" t="s">
        <v>36</v>
      </c>
      <c r="Z1426" s="18" t="s">
        <v>697</v>
      </c>
      <c r="AA1426" s="21" t="str">
        <f>HYPERLINK("https://www.ncbi.nlm.nih.gov/nuccore/MZ401005","NCBI Nucleotide")</f>
        <v>NCBI Nucleotide</v>
      </c>
    </row>
    <row r="1427" spans="1:27" x14ac:dyDescent="0.35">
      <c r="A1427">
        <v>1024587</v>
      </c>
      <c r="B1427">
        <v>1426</v>
      </c>
      <c r="C1427">
        <v>1</v>
      </c>
      <c r="D1427" s="17" t="s">
        <v>155</v>
      </c>
      <c r="E1427" s="17"/>
      <c r="F1427" s="17" t="s">
        <v>156</v>
      </c>
      <c r="G1427" s="17"/>
      <c r="H1427" s="17" t="s">
        <v>692</v>
      </c>
      <c r="I1427" s="17"/>
      <c r="J1427" s="17" t="s">
        <v>693</v>
      </c>
      <c r="K1427" s="17"/>
      <c r="L1427" s="17"/>
      <c r="M1427" s="17"/>
      <c r="N1427" s="17" t="s">
        <v>8065</v>
      </c>
      <c r="O1427" s="17"/>
      <c r="P1427" s="17" t="s">
        <v>8066</v>
      </c>
      <c r="Q1427" s="17"/>
      <c r="R1427" s="25" t="str">
        <f>HYPERLINK("https://ictv.global/taxonomy/taxondetails?taxnode_id=202319059","Brucesealvirus cpq9")</f>
        <v>Brucesealvirus cpq9</v>
      </c>
      <c r="S1427" s="18" t="s">
        <v>30</v>
      </c>
      <c r="T1427" s="18" t="s">
        <v>39354</v>
      </c>
      <c r="U1427" s="18"/>
      <c r="V1427" s="18"/>
      <c r="W1427" s="18" t="s">
        <v>48114</v>
      </c>
      <c r="X1427" s="18" t="s">
        <v>42</v>
      </c>
      <c r="Y1427" s="18" t="s">
        <v>36</v>
      </c>
      <c r="Z1427" s="18" t="s">
        <v>697</v>
      </c>
      <c r="AA1427" s="21" t="str">
        <f>HYPERLINK("https://www.ncbi.nlm.nih.gov/nuccore/MZ401008","NCBI Nucleotide")</f>
        <v>NCBI Nucleotide</v>
      </c>
    </row>
    <row r="1428" spans="1:27" x14ac:dyDescent="0.35">
      <c r="A1428">
        <v>1001883</v>
      </c>
      <c r="B1428">
        <v>1427</v>
      </c>
      <c r="C1428">
        <v>1</v>
      </c>
      <c r="D1428" s="17" t="s">
        <v>155</v>
      </c>
      <c r="E1428" s="17"/>
      <c r="F1428" s="17" t="s">
        <v>156</v>
      </c>
      <c r="G1428" s="17"/>
      <c r="H1428" s="17" t="s">
        <v>692</v>
      </c>
      <c r="I1428" s="17"/>
      <c r="J1428" s="17" t="s">
        <v>693</v>
      </c>
      <c r="K1428" s="17"/>
      <c r="L1428" s="17"/>
      <c r="M1428" s="17"/>
      <c r="N1428" s="17" t="s">
        <v>8065</v>
      </c>
      <c r="O1428" s="17"/>
      <c r="P1428" s="17" t="s">
        <v>8066</v>
      </c>
      <c r="Q1428" s="17"/>
      <c r="R1428" s="25" t="str">
        <f>HYPERLINK("https://ictv.global/taxonomy/taxondetails?taxnode_id=202310066","Brucesealvirus CPS2")</f>
        <v>Brucesealvirus CPS2</v>
      </c>
      <c r="S1428" s="18" t="s">
        <v>30</v>
      </c>
      <c r="T1428" s="18" t="s">
        <v>8069</v>
      </c>
      <c r="U1428" s="18"/>
      <c r="V1428" s="18"/>
      <c r="W1428" s="18" t="s">
        <v>8070</v>
      </c>
      <c r="X1428" s="18" t="s">
        <v>42</v>
      </c>
      <c r="Y1428" s="18" t="s">
        <v>36</v>
      </c>
      <c r="Z1428" s="18" t="s">
        <v>697</v>
      </c>
      <c r="AA1428" s="21" t="str">
        <f>HYPERLINK("https://www.ncbi.nlm.nih.gov/nuccore/MH248069","NCBI Nucleotide")</f>
        <v>NCBI Nucleotide</v>
      </c>
    </row>
    <row r="1429" spans="1:27" x14ac:dyDescent="0.35">
      <c r="A1429">
        <v>1001884</v>
      </c>
      <c r="B1429">
        <v>1428</v>
      </c>
      <c r="C1429">
        <v>1</v>
      </c>
      <c r="D1429" s="17" t="s">
        <v>155</v>
      </c>
      <c r="E1429" s="17"/>
      <c r="F1429" s="17" t="s">
        <v>156</v>
      </c>
      <c r="G1429" s="17"/>
      <c r="H1429" s="17" t="s">
        <v>692</v>
      </c>
      <c r="I1429" s="17"/>
      <c r="J1429" s="17" t="s">
        <v>693</v>
      </c>
      <c r="K1429" s="17"/>
      <c r="L1429" s="17"/>
      <c r="M1429" s="17"/>
      <c r="N1429" s="17" t="s">
        <v>8065</v>
      </c>
      <c r="O1429" s="17"/>
      <c r="P1429" s="17" t="s">
        <v>8066</v>
      </c>
      <c r="Q1429" s="17"/>
      <c r="R1429" s="25" t="str">
        <f>HYPERLINK("https://ictv.global/taxonomy/taxondetails?taxnode_id=202310065","Brucesealvirus CPV4")</f>
        <v>Brucesealvirus CPV4</v>
      </c>
      <c r="S1429" s="18" t="s">
        <v>30</v>
      </c>
      <c r="T1429" s="18" t="s">
        <v>8071</v>
      </c>
      <c r="U1429" s="18"/>
      <c r="V1429" s="18"/>
      <c r="W1429" s="18" t="s">
        <v>8072</v>
      </c>
      <c r="X1429" s="18" t="s">
        <v>42</v>
      </c>
      <c r="Y1429" s="18" t="s">
        <v>36</v>
      </c>
      <c r="Z1429" s="18" t="s">
        <v>697</v>
      </c>
      <c r="AA1429" s="21" t="str">
        <f>HYPERLINK("https://www.ncbi.nlm.nih.gov/nuccore/JQ729991","NCBI Nucleotide")</f>
        <v>NCBI Nucleotide</v>
      </c>
    </row>
    <row r="1430" spans="1:27" x14ac:dyDescent="0.35">
      <c r="A1430">
        <v>1001885</v>
      </c>
      <c r="B1430">
        <v>1429</v>
      </c>
      <c r="C1430">
        <v>1</v>
      </c>
      <c r="D1430" s="17" t="s">
        <v>155</v>
      </c>
      <c r="E1430" s="17"/>
      <c r="F1430" s="17" t="s">
        <v>156</v>
      </c>
      <c r="G1430" s="17"/>
      <c r="H1430" s="17" t="s">
        <v>692</v>
      </c>
      <c r="I1430" s="17"/>
      <c r="J1430" s="17" t="s">
        <v>693</v>
      </c>
      <c r="K1430" s="17"/>
      <c r="L1430" s="17"/>
      <c r="M1430" s="17"/>
      <c r="N1430" s="17" t="s">
        <v>8065</v>
      </c>
      <c r="O1430" s="17"/>
      <c r="P1430" s="17" t="s">
        <v>8066</v>
      </c>
      <c r="Q1430" s="17"/>
      <c r="R1430" s="25" t="str">
        <f>HYPERLINK("https://ictv.global/taxonomy/taxondetails?taxnode_id=202310064","Brucesealvirus ZP2")</f>
        <v>Brucesealvirus ZP2</v>
      </c>
      <c r="S1430" s="18" t="s">
        <v>30</v>
      </c>
      <c r="T1430" s="18" t="s">
        <v>8073</v>
      </c>
      <c r="U1430" s="18"/>
      <c r="V1430" s="18"/>
      <c r="W1430" s="18" t="s">
        <v>8074</v>
      </c>
      <c r="X1430" s="18" t="s">
        <v>42</v>
      </c>
      <c r="Y1430" s="18" t="s">
        <v>36</v>
      </c>
      <c r="Z1430" s="18" t="s">
        <v>697</v>
      </c>
      <c r="AA1430" s="21" t="str">
        <f>HYPERLINK("https://www.ncbi.nlm.nih.gov/nuccore/JQ729992","NCBI Nucleotide")</f>
        <v>NCBI Nucleotide</v>
      </c>
    </row>
    <row r="1431" spans="1:27" x14ac:dyDescent="0.35">
      <c r="A1431">
        <v>1001886</v>
      </c>
      <c r="B1431">
        <v>1430</v>
      </c>
      <c r="C1431">
        <v>1</v>
      </c>
      <c r="D1431" s="17" t="s">
        <v>155</v>
      </c>
      <c r="E1431" s="17"/>
      <c r="F1431" s="17" t="s">
        <v>156</v>
      </c>
      <c r="G1431" s="17"/>
      <c r="H1431" s="17" t="s">
        <v>692</v>
      </c>
      <c r="I1431" s="17"/>
      <c r="J1431" s="17" t="s">
        <v>693</v>
      </c>
      <c r="K1431" s="17"/>
      <c r="L1431" s="17"/>
      <c r="M1431" s="17"/>
      <c r="N1431" s="17" t="s">
        <v>8065</v>
      </c>
      <c r="O1431" s="17"/>
      <c r="P1431" s="17" t="s">
        <v>8075</v>
      </c>
      <c r="Q1431" s="17"/>
      <c r="R1431" s="25" t="str">
        <f>HYPERLINK("https://ictv.global/taxonomy/taxondetails?taxnode_id=202314630","Hzauvirus LPCPA6")</f>
        <v>Hzauvirus LPCPA6</v>
      </c>
      <c r="S1431" s="18" t="s">
        <v>30</v>
      </c>
      <c r="T1431" s="18" t="s">
        <v>8076</v>
      </c>
      <c r="U1431" s="18" t="s">
        <v>8077</v>
      </c>
      <c r="V1431" s="18"/>
      <c r="W1431" s="18" t="s">
        <v>8078</v>
      </c>
      <c r="X1431" s="18" t="s">
        <v>42</v>
      </c>
      <c r="Y1431" s="18" t="s">
        <v>36</v>
      </c>
      <c r="Z1431" s="18" t="s">
        <v>697</v>
      </c>
      <c r="AA1431" s="21" t="str">
        <f>HYPERLINK("https://www.ncbi.nlm.nih.gov/nuccore/OM638104","NCBI Nucleotide")</f>
        <v>NCBI Nucleotide</v>
      </c>
    </row>
    <row r="1432" spans="1:27" x14ac:dyDescent="0.35">
      <c r="A1432">
        <v>1024885</v>
      </c>
      <c r="B1432">
        <v>1431</v>
      </c>
      <c r="C1432">
        <v>1</v>
      </c>
      <c r="D1432" s="17" t="s">
        <v>155</v>
      </c>
      <c r="E1432" s="17"/>
      <c r="F1432" s="17" t="s">
        <v>156</v>
      </c>
      <c r="G1432" s="17"/>
      <c r="H1432" s="17" t="s">
        <v>692</v>
      </c>
      <c r="I1432" s="17"/>
      <c r="J1432" s="17" t="s">
        <v>693</v>
      </c>
      <c r="K1432" s="17"/>
      <c r="L1432" s="17"/>
      <c r="M1432" s="17"/>
      <c r="N1432" s="17" t="s">
        <v>8065</v>
      </c>
      <c r="O1432" s="17"/>
      <c r="P1432" s="17" t="s">
        <v>8079</v>
      </c>
      <c r="Q1432" s="17"/>
      <c r="R1432" s="25" t="str">
        <f>HYPERLINK("https://ictv.global/taxonomy/taxondetails?taxnode_id=202319061","Susfortunavirus dcp1")</f>
        <v>Susfortunavirus dcp1</v>
      </c>
      <c r="S1432" s="18" t="s">
        <v>30</v>
      </c>
      <c r="T1432" s="18" t="s">
        <v>39355</v>
      </c>
      <c r="U1432" s="18"/>
      <c r="V1432" s="18"/>
      <c r="W1432" s="18" t="s">
        <v>48115</v>
      </c>
      <c r="X1432" s="18" t="s">
        <v>42</v>
      </c>
      <c r="Y1432" s="18" t="s">
        <v>36</v>
      </c>
      <c r="Z1432" s="18" t="s">
        <v>697</v>
      </c>
      <c r="AA1432" s="21" t="str">
        <f>HYPERLINK("https://www.ncbi.nlm.nih.gov/nuccore/OP256049","NCBI Nucleotide")</f>
        <v>NCBI Nucleotide</v>
      </c>
    </row>
    <row r="1433" spans="1:27" x14ac:dyDescent="0.35">
      <c r="A1433">
        <v>1024886</v>
      </c>
      <c r="B1433">
        <v>1432</v>
      </c>
      <c r="C1433">
        <v>1</v>
      </c>
      <c r="D1433" s="17" t="s">
        <v>155</v>
      </c>
      <c r="E1433" s="17"/>
      <c r="F1433" s="17" t="s">
        <v>156</v>
      </c>
      <c r="G1433" s="17"/>
      <c r="H1433" s="17" t="s">
        <v>692</v>
      </c>
      <c r="I1433" s="17"/>
      <c r="J1433" s="17" t="s">
        <v>693</v>
      </c>
      <c r="K1433" s="17"/>
      <c r="L1433" s="17"/>
      <c r="M1433" s="17"/>
      <c r="N1433" s="17" t="s">
        <v>8065</v>
      </c>
      <c r="O1433" s="17"/>
      <c r="P1433" s="17" t="s">
        <v>8079</v>
      </c>
      <c r="Q1433" s="17"/>
      <c r="R1433" s="25" t="str">
        <f>HYPERLINK("https://ictv.global/taxonomy/taxondetails?taxnode_id=202319062","Susfortunavirus gdyzp5")</f>
        <v>Susfortunavirus gdyzp5</v>
      </c>
      <c r="S1433" s="18" t="s">
        <v>30</v>
      </c>
      <c r="T1433" s="18" t="s">
        <v>39356</v>
      </c>
      <c r="U1433" s="18"/>
      <c r="V1433" s="18"/>
      <c r="W1433" s="18" t="s">
        <v>48116</v>
      </c>
      <c r="X1433" s="18" t="s">
        <v>42</v>
      </c>
      <c r="Y1433" s="18" t="s">
        <v>36</v>
      </c>
      <c r="Z1433" s="18" t="s">
        <v>697</v>
      </c>
      <c r="AA1433" s="21" t="str">
        <f>HYPERLINK("https://www.ncbi.nlm.nih.gov/nuccore/OP894055","NCBI Nucleotide")</f>
        <v>NCBI Nucleotide</v>
      </c>
    </row>
    <row r="1434" spans="1:27" x14ac:dyDescent="0.35">
      <c r="A1434">
        <v>1001887</v>
      </c>
      <c r="B1434">
        <v>1433</v>
      </c>
      <c r="C1434">
        <v>1</v>
      </c>
      <c r="D1434" s="17" t="s">
        <v>155</v>
      </c>
      <c r="E1434" s="17"/>
      <c r="F1434" s="17" t="s">
        <v>156</v>
      </c>
      <c r="G1434" s="17"/>
      <c r="H1434" s="17" t="s">
        <v>692</v>
      </c>
      <c r="I1434" s="17"/>
      <c r="J1434" s="17" t="s">
        <v>693</v>
      </c>
      <c r="K1434" s="17"/>
      <c r="L1434" s="17"/>
      <c r="M1434" s="17"/>
      <c r="N1434" s="17" t="s">
        <v>8065</v>
      </c>
      <c r="O1434" s="17"/>
      <c r="P1434" s="17" t="s">
        <v>8079</v>
      </c>
      <c r="Q1434" s="17"/>
      <c r="R1434" s="25" t="str">
        <f>HYPERLINK("https://ictv.global/taxonomy/taxondetails?taxnode_id=202310068","Susfortunavirus susfortuna")</f>
        <v>Susfortunavirus susfortuna</v>
      </c>
      <c r="S1434" s="18" t="s">
        <v>30</v>
      </c>
      <c r="T1434" s="18" t="s">
        <v>8080</v>
      </c>
      <c r="U1434" s="18"/>
      <c r="V1434" s="18"/>
      <c r="W1434" s="18" t="s">
        <v>8081</v>
      </c>
      <c r="X1434" s="18" t="s">
        <v>42</v>
      </c>
      <c r="Y1434" s="18" t="s">
        <v>36</v>
      </c>
      <c r="Z1434" s="18" t="s">
        <v>697</v>
      </c>
      <c r="AA1434" s="21" t="str">
        <f>HYPERLINK("https://www.ncbi.nlm.nih.gov/nuccore/MH393889","NCBI Nucleotide")</f>
        <v>NCBI Nucleotide</v>
      </c>
    </row>
    <row r="1435" spans="1:27" x14ac:dyDescent="0.35">
      <c r="A1435">
        <v>1001888</v>
      </c>
      <c r="B1435">
        <v>1434</v>
      </c>
      <c r="C1435">
        <v>1</v>
      </c>
      <c r="D1435" s="17" t="s">
        <v>155</v>
      </c>
      <c r="E1435" s="17"/>
      <c r="F1435" s="17" t="s">
        <v>156</v>
      </c>
      <c r="G1435" s="17"/>
      <c r="H1435" s="17" t="s">
        <v>692</v>
      </c>
      <c r="I1435" s="17"/>
      <c r="J1435" s="17" t="s">
        <v>693</v>
      </c>
      <c r="K1435" s="17"/>
      <c r="L1435" s="17"/>
      <c r="M1435" s="17"/>
      <c r="N1435" s="17" t="s">
        <v>8093</v>
      </c>
      <c r="O1435" s="17"/>
      <c r="P1435" s="17" t="s">
        <v>8094</v>
      </c>
      <c r="Q1435" s="17"/>
      <c r="R1435" s="25" t="str">
        <f>HYPERLINK("https://ictv.global/taxonomy/taxondetails?taxnode_id=202313558","Leefvirus Leef")</f>
        <v>Leefvirus Leef</v>
      </c>
      <c r="S1435" s="18" t="s">
        <v>30</v>
      </c>
      <c r="T1435" s="18" t="s">
        <v>8095</v>
      </c>
      <c r="U1435" s="18" t="s">
        <v>8096</v>
      </c>
      <c r="V1435" s="18"/>
      <c r="W1435" s="18" t="s">
        <v>8097</v>
      </c>
      <c r="X1435" s="18" t="s">
        <v>42</v>
      </c>
      <c r="Y1435" s="18" t="s">
        <v>36</v>
      </c>
      <c r="Z1435" s="18" t="s">
        <v>697</v>
      </c>
      <c r="AA1435" s="21" t="str">
        <f>HYPERLINK("https://www.ncbi.nlm.nih.gov/nuccore/MT732473","NCBI Nucleotide")</f>
        <v>NCBI Nucleotide</v>
      </c>
    </row>
    <row r="1436" spans="1:27" x14ac:dyDescent="0.35">
      <c r="A1436">
        <v>1001889</v>
      </c>
      <c r="B1436">
        <v>1435</v>
      </c>
      <c r="C1436">
        <v>1</v>
      </c>
      <c r="D1436" s="17" t="s">
        <v>155</v>
      </c>
      <c r="E1436" s="17"/>
      <c r="F1436" s="17" t="s">
        <v>156</v>
      </c>
      <c r="G1436" s="17"/>
      <c r="H1436" s="17" t="s">
        <v>692</v>
      </c>
      <c r="I1436" s="17"/>
      <c r="J1436" s="17" t="s">
        <v>693</v>
      </c>
      <c r="K1436" s="17"/>
      <c r="L1436" s="17"/>
      <c r="M1436" s="17"/>
      <c r="N1436" s="17" t="s">
        <v>8098</v>
      </c>
      <c r="O1436" s="17" t="s">
        <v>8133</v>
      </c>
      <c r="P1436" s="17" t="s">
        <v>8134</v>
      </c>
      <c r="Q1436" s="17"/>
      <c r="R1436" s="25" t="str">
        <f>HYPERLINK("https://ictv.global/taxonomy/taxondetails?taxnode_id=202300367","Agatevirus agate")</f>
        <v>Agatevirus agate</v>
      </c>
      <c r="S1436" s="18" t="s">
        <v>30</v>
      </c>
      <c r="T1436" s="18" t="s">
        <v>8135</v>
      </c>
      <c r="U1436" s="18"/>
      <c r="V1436" s="18"/>
      <c r="W1436" s="18" t="s">
        <v>8136</v>
      </c>
      <c r="X1436" s="18" t="s">
        <v>42</v>
      </c>
      <c r="Y1436" s="18" t="s">
        <v>36</v>
      </c>
      <c r="Z1436" s="18" t="s">
        <v>697</v>
      </c>
      <c r="AA1436" s="21" t="str">
        <f>HYPERLINK("https://www.ncbi.nlm.nih.gov/nuccore/JX238501","NCBI Nucleotide")</f>
        <v>NCBI Nucleotide</v>
      </c>
    </row>
    <row r="1437" spans="1:27" x14ac:dyDescent="0.35">
      <c r="A1437">
        <v>1001890</v>
      </c>
      <c r="B1437">
        <v>1436</v>
      </c>
      <c r="C1437">
        <v>1</v>
      </c>
      <c r="D1437" s="17" t="s">
        <v>155</v>
      </c>
      <c r="E1437" s="17"/>
      <c r="F1437" s="17" t="s">
        <v>156</v>
      </c>
      <c r="G1437" s="17"/>
      <c r="H1437" s="17" t="s">
        <v>692</v>
      </c>
      <c r="I1437" s="17"/>
      <c r="J1437" s="17" t="s">
        <v>693</v>
      </c>
      <c r="K1437" s="17"/>
      <c r="L1437" s="17"/>
      <c r="M1437" s="17"/>
      <c r="N1437" s="17" t="s">
        <v>8098</v>
      </c>
      <c r="O1437" s="17" t="s">
        <v>8133</v>
      </c>
      <c r="P1437" s="17" t="s">
        <v>8134</v>
      </c>
      <c r="Q1437" s="17"/>
      <c r="R1437" s="25" t="str">
        <f>HYPERLINK("https://ictv.global/taxonomy/taxondetails?taxnode_id=202300368","Agatevirus bobb")</f>
        <v>Agatevirus bobb</v>
      </c>
      <c r="S1437" s="18" t="s">
        <v>30</v>
      </c>
      <c r="T1437" s="18" t="s">
        <v>8137</v>
      </c>
      <c r="U1437" s="18"/>
      <c r="V1437" s="18"/>
      <c r="W1437" s="18" t="s">
        <v>8138</v>
      </c>
      <c r="X1437" s="18" t="s">
        <v>42</v>
      </c>
      <c r="Y1437" s="18" t="s">
        <v>36</v>
      </c>
      <c r="Z1437" s="18" t="s">
        <v>697</v>
      </c>
      <c r="AA1437" s="21" t="str">
        <f>HYPERLINK("https://www.ncbi.nlm.nih.gov/nuccore/KM051843","NCBI Nucleotide")</f>
        <v>NCBI Nucleotide</v>
      </c>
    </row>
    <row r="1438" spans="1:27" x14ac:dyDescent="0.35">
      <c r="A1438">
        <v>1001891</v>
      </c>
      <c r="B1438">
        <v>1437</v>
      </c>
      <c r="C1438">
        <v>1</v>
      </c>
      <c r="D1438" s="17" t="s">
        <v>155</v>
      </c>
      <c r="E1438" s="17"/>
      <c r="F1438" s="17" t="s">
        <v>156</v>
      </c>
      <c r="G1438" s="17"/>
      <c r="H1438" s="17" t="s">
        <v>692</v>
      </c>
      <c r="I1438" s="17"/>
      <c r="J1438" s="17" t="s">
        <v>693</v>
      </c>
      <c r="K1438" s="17"/>
      <c r="L1438" s="17"/>
      <c r="M1438" s="17"/>
      <c r="N1438" s="17" t="s">
        <v>8098</v>
      </c>
      <c r="O1438" s="17" t="s">
        <v>8133</v>
      </c>
      <c r="P1438" s="17" t="s">
        <v>8134</v>
      </c>
      <c r="Q1438" s="17"/>
      <c r="R1438" s="25" t="str">
        <f>HYPERLINK("https://ictv.global/taxonomy/taxondetails?taxnode_id=202300369","Agatevirus Bp8pC")</f>
        <v>Agatevirus Bp8pC</v>
      </c>
      <c r="S1438" s="18" t="s">
        <v>30</v>
      </c>
      <c r="T1438" s="18" t="s">
        <v>8139</v>
      </c>
      <c r="U1438" s="18"/>
      <c r="V1438" s="18"/>
      <c r="W1438" s="18" t="s">
        <v>8140</v>
      </c>
      <c r="X1438" s="18" t="s">
        <v>42</v>
      </c>
      <c r="Y1438" s="18" t="s">
        <v>36</v>
      </c>
      <c r="Z1438" s="18" t="s">
        <v>697</v>
      </c>
      <c r="AA1438" s="21" t="str">
        <f>HYPERLINK("https://www.ncbi.nlm.nih.gov/nuccore/KJ010547","NCBI Nucleotide")</f>
        <v>NCBI Nucleotide</v>
      </c>
    </row>
    <row r="1439" spans="1:27" x14ac:dyDescent="0.35">
      <c r="A1439">
        <v>1011640</v>
      </c>
      <c r="B1439">
        <v>1437</v>
      </c>
      <c r="C1439">
        <v>2</v>
      </c>
      <c r="D1439" s="17" t="s">
        <v>155</v>
      </c>
      <c r="E1439" s="17"/>
      <c r="F1439" s="17" t="s">
        <v>156</v>
      </c>
      <c r="G1439" s="17"/>
      <c r="H1439" s="17" t="s">
        <v>692</v>
      </c>
      <c r="I1439" s="17"/>
      <c r="J1439" s="17" t="s">
        <v>693</v>
      </c>
      <c r="K1439" s="17"/>
      <c r="L1439" s="17"/>
      <c r="M1439" s="17"/>
      <c r="N1439" s="17" t="s">
        <v>8098</v>
      </c>
      <c r="O1439" s="17" t="s">
        <v>8133</v>
      </c>
      <c r="P1439" s="17" t="s">
        <v>8134</v>
      </c>
      <c r="Q1439" s="17"/>
      <c r="R1439" s="25" t="str">
        <f>HYPERLINK("https://ictv.global/taxonomy/taxondetails?taxnode_id=202300369","Agatevirus Bp8pC")</f>
        <v>Agatevirus Bp8pC</v>
      </c>
      <c r="S1439" s="18" t="s">
        <v>8141</v>
      </c>
      <c r="T1439" s="18" t="s">
        <v>8142</v>
      </c>
      <c r="U1439" s="18"/>
      <c r="V1439" s="18"/>
      <c r="W1439" s="18" t="s">
        <v>48731</v>
      </c>
      <c r="X1439" s="18" t="s">
        <v>42</v>
      </c>
      <c r="Y1439" s="18" t="s">
        <v>36</v>
      </c>
      <c r="Z1439" s="18" t="s">
        <v>697</v>
      </c>
      <c r="AA1439" s="21" t="str">
        <f>HYPERLINK("https://www.ncbi.nlm.nih.gov/nuccore/KJ010548","NCBI Nucleotide")</f>
        <v>NCBI Nucleotide</v>
      </c>
    </row>
    <row r="1440" spans="1:27" x14ac:dyDescent="0.35">
      <c r="A1440">
        <v>1001892</v>
      </c>
      <c r="B1440">
        <v>1438</v>
      </c>
      <c r="C1440">
        <v>1</v>
      </c>
      <c r="D1440" s="17" t="s">
        <v>155</v>
      </c>
      <c r="E1440" s="17"/>
      <c r="F1440" s="17" t="s">
        <v>156</v>
      </c>
      <c r="G1440" s="17"/>
      <c r="H1440" s="17" t="s">
        <v>692</v>
      </c>
      <c r="I1440" s="17"/>
      <c r="J1440" s="17" t="s">
        <v>693</v>
      </c>
      <c r="K1440" s="17"/>
      <c r="L1440" s="17"/>
      <c r="M1440" s="17"/>
      <c r="N1440" s="17" t="s">
        <v>8098</v>
      </c>
      <c r="O1440" s="17" t="s">
        <v>8133</v>
      </c>
      <c r="P1440" s="17" t="s">
        <v>8143</v>
      </c>
      <c r="Q1440" s="17"/>
      <c r="R1440" s="25" t="str">
        <f>HYPERLINK("https://ictv.global/taxonomy/taxondetails?taxnode_id=202300392","Bastillevirus bastille")</f>
        <v>Bastillevirus bastille</v>
      </c>
      <c r="S1440" s="18" t="s">
        <v>30</v>
      </c>
      <c r="T1440" s="18" t="s">
        <v>8144</v>
      </c>
      <c r="U1440" s="18"/>
      <c r="V1440" s="18"/>
      <c r="W1440" s="18" t="s">
        <v>8145</v>
      </c>
      <c r="X1440" s="18" t="s">
        <v>42</v>
      </c>
      <c r="Y1440" s="18" t="s">
        <v>36</v>
      </c>
      <c r="Z1440" s="18" t="s">
        <v>697</v>
      </c>
      <c r="AA1440" s="21" t="str">
        <f>HYPERLINK("https://www.ncbi.nlm.nih.gov/nuccore/JF966203","NCBI Nucleotide")</f>
        <v>NCBI Nucleotide</v>
      </c>
    </row>
    <row r="1441" spans="1:27" x14ac:dyDescent="0.35">
      <c r="A1441">
        <v>1001893</v>
      </c>
      <c r="B1441">
        <v>1439</v>
      </c>
      <c r="C1441">
        <v>1</v>
      </c>
      <c r="D1441" s="17" t="s">
        <v>155</v>
      </c>
      <c r="E1441" s="17"/>
      <c r="F1441" s="17" t="s">
        <v>156</v>
      </c>
      <c r="G1441" s="17"/>
      <c r="H1441" s="17" t="s">
        <v>692</v>
      </c>
      <c r="I1441" s="17"/>
      <c r="J1441" s="17" t="s">
        <v>693</v>
      </c>
      <c r="K1441" s="17"/>
      <c r="L1441" s="17"/>
      <c r="M1441" s="17"/>
      <c r="N1441" s="17" t="s">
        <v>8098</v>
      </c>
      <c r="O1441" s="17" t="s">
        <v>8133</v>
      </c>
      <c r="P1441" s="17" t="s">
        <v>8143</v>
      </c>
      <c r="Q1441" s="17"/>
      <c r="R1441" s="25" t="str">
        <f>HYPERLINK("https://ictv.global/taxonomy/taxondetails?taxnode_id=202300393","Bastillevirus CAM003")</f>
        <v>Bastillevirus CAM003</v>
      </c>
      <c r="S1441" s="18" t="s">
        <v>30</v>
      </c>
      <c r="T1441" s="18" t="s">
        <v>8146</v>
      </c>
      <c r="U1441" s="18"/>
      <c r="V1441" s="18"/>
      <c r="W1441" s="18" t="s">
        <v>8147</v>
      </c>
      <c r="X1441" s="18" t="s">
        <v>42</v>
      </c>
      <c r="Y1441" s="18" t="s">
        <v>36</v>
      </c>
      <c r="Z1441" s="18" t="s">
        <v>697</v>
      </c>
      <c r="AA1441" s="21" t="str">
        <f>HYPERLINK("https://www.ncbi.nlm.nih.gov/nuccore/KJ489397","NCBI Nucleotide")</f>
        <v>NCBI Nucleotide</v>
      </c>
    </row>
    <row r="1442" spans="1:27" x14ac:dyDescent="0.35">
      <c r="A1442">
        <v>1001894</v>
      </c>
      <c r="B1442">
        <v>1440</v>
      </c>
      <c r="C1442">
        <v>1</v>
      </c>
      <c r="D1442" s="17" t="s">
        <v>155</v>
      </c>
      <c r="E1442" s="17"/>
      <c r="F1442" s="17" t="s">
        <v>156</v>
      </c>
      <c r="G1442" s="17"/>
      <c r="H1442" s="17" t="s">
        <v>692</v>
      </c>
      <c r="I1442" s="17"/>
      <c r="J1442" s="17" t="s">
        <v>693</v>
      </c>
      <c r="K1442" s="17"/>
      <c r="L1442" s="17"/>
      <c r="M1442" s="17"/>
      <c r="N1442" s="17" t="s">
        <v>8098</v>
      </c>
      <c r="O1442" s="17" t="s">
        <v>8133</v>
      </c>
      <c r="P1442" s="17" t="s">
        <v>8143</v>
      </c>
      <c r="Q1442" s="17"/>
      <c r="R1442" s="25" t="str">
        <f>HYPERLINK("https://ictv.global/taxonomy/taxondetails?taxnode_id=202306960","Bastillevirus evoli")</f>
        <v>Bastillevirus evoli</v>
      </c>
      <c r="S1442" s="18" t="s">
        <v>30</v>
      </c>
      <c r="T1442" s="18" t="s">
        <v>8148</v>
      </c>
      <c r="U1442" s="18"/>
      <c r="V1442" s="18"/>
      <c r="W1442" s="18" t="s">
        <v>8149</v>
      </c>
      <c r="X1442" s="18" t="s">
        <v>42</v>
      </c>
      <c r="Y1442" s="18" t="s">
        <v>36</v>
      </c>
      <c r="Z1442" s="18" t="s">
        <v>697</v>
      </c>
      <c r="AA1442" s="21" t="str">
        <f>HYPERLINK("https://www.ncbi.nlm.nih.gov/nuccore/KJ489398","NCBI Nucleotide")</f>
        <v>NCBI Nucleotide</v>
      </c>
    </row>
    <row r="1443" spans="1:27" x14ac:dyDescent="0.35">
      <c r="A1443">
        <v>1001895</v>
      </c>
      <c r="B1443">
        <v>1441</v>
      </c>
      <c r="C1443">
        <v>1</v>
      </c>
      <c r="D1443" s="17" t="s">
        <v>155</v>
      </c>
      <c r="E1443" s="17"/>
      <c r="F1443" s="17" t="s">
        <v>156</v>
      </c>
      <c r="G1443" s="17"/>
      <c r="H1443" s="17" t="s">
        <v>692</v>
      </c>
      <c r="I1443" s="17"/>
      <c r="J1443" s="17" t="s">
        <v>693</v>
      </c>
      <c r="K1443" s="17"/>
      <c r="L1443" s="17"/>
      <c r="M1443" s="17"/>
      <c r="N1443" s="17" t="s">
        <v>8098</v>
      </c>
      <c r="O1443" s="17" t="s">
        <v>8133</v>
      </c>
      <c r="P1443" s="17" t="s">
        <v>8143</v>
      </c>
      <c r="Q1443" s="17"/>
      <c r="R1443" s="25" t="str">
        <f>HYPERLINK("https://ictv.global/taxonomy/taxondetails?taxnode_id=202306961","Bastillevirus hoodyT")</f>
        <v>Bastillevirus hoodyT</v>
      </c>
      <c r="S1443" s="18" t="s">
        <v>30</v>
      </c>
      <c r="T1443" s="18" t="s">
        <v>8150</v>
      </c>
      <c r="U1443" s="18"/>
      <c r="V1443" s="18"/>
      <c r="W1443" s="18" t="s">
        <v>8151</v>
      </c>
      <c r="X1443" s="18" t="s">
        <v>42</v>
      </c>
      <c r="Y1443" s="18" t="s">
        <v>36</v>
      </c>
      <c r="Z1443" s="18" t="s">
        <v>697</v>
      </c>
      <c r="AA1443" s="21" t="str">
        <f>HYPERLINK("https://www.ncbi.nlm.nih.gov/nuccore/KJ489400","NCBI Nucleotide")</f>
        <v>NCBI Nucleotide</v>
      </c>
    </row>
    <row r="1444" spans="1:27" x14ac:dyDescent="0.35">
      <c r="A1444">
        <v>1001896</v>
      </c>
      <c r="B1444">
        <v>1442</v>
      </c>
      <c r="C1444">
        <v>1</v>
      </c>
      <c r="D1444" s="17" t="s">
        <v>155</v>
      </c>
      <c r="E1444" s="17"/>
      <c r="F1444" s="17" t="s">
        <v>156</v>
      </c>
      <c r="G1444" s="17"/>
      <c r="H1444" s="17" t="s">
        <v>692</v>
      </c>
      <c r="I1444" s="17"/>
      <c r="J1444" s="17" t="s">
        <v>693</v>
      </c>
      <c r="K1444" s="17"/>
      <c r="L1444" s="17"/>
      <c r="M1444" s="17"/>
      <c r="N1444" s="17" t="s">
        <v>8098</v>
      </c>
      <c r="O1444" s="17" t="s">
        <v>8133</v>
      </c>
      <c r="P1444" s="17" t="s">
        <v>8152</v>
      </c>
      <c r="Q1444" s="17"/>
      <c r="R1444" s="25" t="str">
        <f>HYPERLINK("https://ictv.global/taxonomy/taxondetails?taxnode_id=202300385","Bequatrovirus avesobmore")</f>
        <v>Bequatrovirus avesobmore</v>
      </c>
      <c r="S1444" s="18" t="s">
        <v>30</v>
      </c>
      <c r="T1444" s="18" t="s">
        <v>8153</v>
      </c>
      <c r="U1444" s="18"/>
      <c r="V1444" s="18"/>
      <c r="W1444" s="18" t="s">
        <v>8154</v>
      </c>
      <c r="X1444" s="18" t="s">
        <v>42</v>
      </c>
      <c r="Y1444" s="18" t="s">
        <v>36</v>
      </c>
      <c r="Z1444" s="18" t="s">
        <v>697</v>
      </c>
      <c r="AA1444" s="21" t="str">
        <f>HYPERLINK("https://www.ncbi.nlm.nih.gov/nuccore/KT307976","NCBI Nucleotide")</f>
        <v>NCBI Nucleotide</v>
      </c>
    </row>
    <row r="1445" spans="1:27" x14ac:dyDescent="0.35">
      <c r="A1445">
        <v>1001897</v>
      </c>
      <c r="B1445">
        <v>1443</v>
      </c>
      <c r="C1445">
        <v>1</v>
      </c>
      <c r="D1445" s="17" t="s">
        <v>155</v>
      </c>
      <c r="E1445" s="17"/>
      <c r="F1445" s="17" t="s">
        <v>156</v>
      </c>
      <c r="G1445" s="17"/>
      <c r="H1445" s="17" t="s">
        <v>692</v>
      </c>
      <c r="I1445" s="17"/>
      <c r="J1445" s="17" t="s">
        <v>693</v>
      </c>
      <c r="K1445" s="17"/>
      <c r="L1445" s="17"/>
      <c r="M1445" s="17"/>
      <c r="N1445" s="17" t="s">
        <v>8098</v>
      </c>
      <c r="O1445" s="17" t="s">
        <v>8133</v>
      </c>
      <c r="P1445" s="17" t="s">
        <v>8152</v>
      </c>
      <c r="Q1445" s="17"/>
      <c r="R1445" s="25" t="str">
        <f>HYPERLINK("https://ictv.global/taxonomy/taxondetails?taxnode_id=202300386","Bequatrovirus B4")</f>
        <v>Bequatrovirus B4</v>
      </c>
      <c r="S1445" s="18" t="s">
        <v>30</v>
      </c>
      <c r="T1445" s="18" t="s">
        <v>8155</v>
      </c>
      <c r="U1445" s="18"/>
      <c r="V1445" s="18"/>
      <c r="W1445" s="18" t="s">
        <v>8156</v>
      </c>
      <c r="X1445" s="18" t="s">
        <v>42</v>
      </c>
      <c r="Y1445" s="18" t="s">
        <v>36</v>
      </c>
      <c r="Z1445" s="18" t="s">
        <v>697</v>
      </c>
      <c r="AA1445" s="21" t="str">
        <f>HYPERLINK("https://www.ncbi.nlm.nih.gov/nuccore/JN790865","NCBI Nucleotide")</f>
        <v>NCBI Nucleotide</v>
      </c>
    </row>
    <row r="1446" spans="1:27" x14ac:dyDescent="0.35">
      <c r="A1446">
        <v>1011641</v>
      </c>
      <c r="B1446">
        <v>1443</v>
      </c>
      <c r="C1446">
        <v>2</v>
      </c>
      <c r="D1446" s="17" t="s">
        <v>155</v>
      </c>
      <c r="E1446" s="17"/>
      <c r="F1446" s="17" t="s">
        <v>156</v>
      </c>
      <c r="G1446" s="17"/>
      <c r="H1446" s="17" t="s">
        <v>692</v>
      </c>
      <c r="I1446" s="17"/>
      <c r="J1446" s="17" t="s">
        <v>693</v>
      </c>
      <c r="K1446" s="17"/>
      <c r="L1446" s="17"/>
      <c r="M1446" s="17"/>
      <c r="N1446" s="17" t="s">
        <v>8098</v>
      </c>
      <c r="O1446" s="17" t="s">
        <v>8133</v>
      </c>
      <c r="P1446" s="17" t="s">
        <v>8152</v>
      </c>
      <c r="Q1446" s="17"/>
      <c r="R1446" s="25" t="str">
        <f>HYPERLINK("https://ictv.global/taxonomy/taxondetails?taxnode_id=202300386","Bequatrovirus B4")</f>
        <v>Bequatrovirus B4</v>
      </c>
      <c r="S1446" s="18" t="s">
        <v>8141</v>
      </c>
      <c r="T1446" s="18" t="s">
        <v>8157</v>
      </c>
      <c r="U1446" s="18"/>
      <c r="V1446" s="18"/>
      <c r="W1446" s="18" t="s">
        <v>48732</v>
      </c>
      <c r="X1446" s="18" t="s">
        <v>42</v>
      </c>
      <c r="Y1446" s="18" t="s">
        <v>36</v>
      </c>
      <c r="Z1446" s="18" t="s">
        <v>697</v>
      </c>
      <c r="AA1446" s="21" t="str">
        <f>HYPERLINK("https://www.ncbi.nlm.nih.gov/nuccore/JN797796","NCBI Nucleotide")</f>
        <v>NCBI Nucleotide</v>
      </c>
    </row>
    <row r="1447" spans="1:27" x14ac:dyDescent="0.35">
      <c r="A1447">
        <v>1001898</v>
      </c>
      <c r="B1447">
        <v>1444</v>
      </c>
      <c r="C1447">
        <v>1</v>
      </c>
      <c r="D1447" s="17" t="s">
        <v>155</v>
      </c>
      <c r="E1447" s="17"/>
      <c r="F1447" s="17" t="s">
        <v>156</v>
      </c>
      <c r="G1447" s="17"/>
      <c r="H1447" s="17" t="s">
        <v>692</v>
      </c>
      <c r="I1447" s="17"/>
      <c r="J1447" s="17" t="s">
        <v>693</v>
      </c>
      <c r="K1447" s="17"/>
      <c r="L1447" s="17"/>
      <c r="M1447" s="17"/>
      <c r="N1447" s="17" t="s">
        <v>8098</v>
      </c>
      <c r="O1447" s="17" t="s">
        <v>8133</v>
      </c>
      <c r="P1447" s="17" t="s">
        <v>8152</v>
      </c>
      <c r="Q1447" s="17"/>
      <c r="R1447" s="25" t="str">
        <f>HYPERLINK("https://ictv.global/taxonomy/taxondetails?taxnode_id=202300387","Bequatrovirus bigbertha")</f>
        <v>Bequatrovirus bigbertha</v>
      </c>
      <c r="S1447" s="18" t="s">
        <v>30</v>
      </c>
      <c r="T1447" s="18" t="s">
        <v>8158</v>
      </c>
      <c r="U1447" s="18"/>
      <c r="V1447" s="18"/>
      <c r="W1447" s="18" t="s">
        <v>8159</v>
      </c>
      <c r="X1447" s="18" t="s">
        <v>42</v>
      </c>
      <c r="Y1447" s="18" t="s">
        <v>36</v>
      </c>
      <c r="Z1447" s="18" t="s">
        <v>697</v>
      </c>
      <c r="AA1447" s="21" t="str">
        <f>HYPERLINK("https://www.ncbi.nlm.nih.gov/nuccore/KF669647","NCBI Nucleotide")</f>
        <v>NCBI Nucleotide</v>
      </c>
    </row>
    <row r="1448" spans="1:27" x14ac:dyDescent="0.35">
      <c r="A1448">
        <v>1001899</v>
      </c>
      <c r="B1448">
        <v>1445</v>
      </c>
      <c r="C1448">
        <v>1</v>
      </c>
      <c r="D1448" s="17" t="s">
        <v>155</v>
      </c>
      <c r="E1448" s="17"/>
      <c r="F1448" s="17" t="s">
        <v>156</v>
      </c>
      <c r="G1448" s="17"/>
      <c r="H1448" s="17" t="s">
        <v>692</v>
      </c>
      <c r="I1448" s="17"/>
      <c r="J1448" s="17" t="s">
        <v>693</v>
      </c>
      <c r="K1448" s="17"/>
      <c r="L1448" s="17"/>
      <c r="M1448" s="17"/>
      <c r="N1448" s="17" t="s">
        <v>8098</v>
      </c>
      <c r="O1448" s="17" t="s">
        <v>8133</v>
      </c>
      <c r="P1448" s="17" t="s">
        <v>8152</v>
      </c>
      <c r="Q1448" s="17"/>
      <c r="R1448" s="25" t="str">
        <f>HYPERLINK("https://ictv.global/taxonomy/taxondetails?taxnode_id=202300388","Bequatrovirus riley")</f>
        <v>Bequatrovirus riley</v>
      </c>
      <c r="S1448" s="18" t="s">
        <v>30</v>
      </c>
      <c r="T1448" s="18" t="s">
        <v>8160</v>
      </c>
      <c r="U1448" s="18"/>
      <c r="V1448" s="18"/>
      <c r="W1448" s="18" t="s">
        <v>8161</v>
      </c>
      <c r="X1448" s="18" t="s">
        <v>42</v>
      </c>
      <c r="Y1448" s="18" t="s">
        <v>36</v>
      </c>
      <c r="Z1448" s="18" t="s">
        <v>697</v>
      </c>
      <c r="AA1448" s="21" t="str">
        <f>HYPERLINK("https://www.ncbi.nlm.nih.gov/nuccore/KJ489402","NCBI Nucleotide")</f>
        <v>NCBI Nucleotide</v>
      </c>
    </row>
    <row r="1449" spans="1:27" x14ac:dyDescent="0.35">
      <c r="A1449">
        <v>1001900</v>
      </c>
      <c r="B1449">
        <v>1446</v>
      </c>
      <c r="C1449">
        <v>1</v>
      </c>
      <c r="D1449" s="17" t="s">
        <v>155</v>
      </c>
      <c r="E1449" s="17"/>
      <c r="F1449" s="17" t="s">
        <v>156</v>
      </c>
      <c r="G1449" s="17"/>
      <c r="H1449" s="17" t="s">
        <v>692</v>
      </c>
      <c r="I1449" s="17"/>
      <c r="J1449" s="17" t="s">
        <v>693</v>
      </c>
      <c r="K1449" s="17"/>
      <c r="L1449" s="17"/>
      <c r="M1449" s="17"/>
      <c r="N1449" s="17" t="s">
        <v>8098</v>
      </c>
      <c r="O1449" s="17" t="s">
        <v>8133</v>
      </c>
      <c r="P1449" s="17" t="s">
        <v>8152</v>
      </c>
      <c r="Q1449" s="17"/>
      <c r="R1449" s="25" t="str">
        <f>HYPERLINK("https://ictv.global/taxonomy/taxondetails?taxnode_id=202300389","Bequatrovirus spock")</f>
        <v>Bequatrovirus spock</v>
      </c>
      <c r="S1449" s="18" t="s">
        <v>30</v>
      </c>
      <c r="T1449" s="18" t="s">
        <v>8162</v>
      </c>
      <c r="U1449" s="18"/>
      <c r="V1449" s="18"/>
      <c r="W1449" s="18" t="s">
        <v>8163</v>
      </c>
      <c r="X1449" s="18" t="s">
        <v>42</v>
      </c>
      <c r="Y1449" s="18" t="s">
        <v>36</v>
      </c>
      <c r="Z1449" s="18" t="s">
        <v>697</v>
      </c>
      <c r="AA1449" s="21" t="str">
        <f>HYPERLINK("https://www.ncbi.nlm.nih.gov/nuccore/KF669662","NCBI Nucleotide")</f>
        <v>NCBI Nucleotide</v>
      </c>
    </row>
    <row r="1450" spans="1:27" x14ac:dyDescent="0.35">
      <c r="A1450">
        <v>1001901</v>
      </c>
      <c r="B1450">
        <v>1447</v>
      </c>
      <c r="C1450">
        <v>1</v>
      </c>
      <c r="D1450" s="17" t="s">
        <v>155</v>
      </c>
      <c r="E1450" s="17"/>
      <c r="F1450" s="17" t="s">
        <v>156</v>
      </c>
      <c r="G1450" s="17"/>
      <c r="H1450" s="17" t="s">
        <v>692</v>
      </c>
      <c r="I1450" s="17"/>
      <c r="J1450" s="17" t="s">
        <v>693</v>
      </c>
      <c r="K1450" s="17"/>
      <c r="L1450" s="17"/>
      <c r="M1450" s="17"/>
      <c r="N1450" s="17" t="s">
        <v>8098</v>
      </c>
      <c r="O1450" s="17" t="s">
        <v>8133</v>
      </c>
      <c r="P1450" s="17" t="s">
        <v>8152</v>
      </c>
      <c r="Q1450" s="17"/>
      <c r="R1450" s="25" t="str">
        <f>HYPERLINK("https://ictv.global/taxonomy/taxondetails?taxnode_id=202300390","Bequatrovirus troll")</f>
        <v>Bequatrovirus troll</v>
      </c>
      <c r="S1450" s="18" t="s">
        <v>30</v>
      </c>
      <c r="T1450" s="18" t="s">
        <v>8164</v>
      </c>
      <c r="U1450" s="18"/>
      <c r="V1450" s="18"/>
      <c r="W1450" s="18" t="s">
        <v>8165</v>
      </c>
      <c r="X1450" s="18" t="s">
        <v>42</v>
      </c>
      <c r="Y1450" s="18" t="s">
        <v>36</v>
      </c>
      <c r="Z1450" s="18" t="s">
        <v>697</v>
      </c>
      <c r="AA1450" s="21" t="str">
        <f>HYPERLINK("https://www.ncbi.nlm.nih.gov/nuccore/KF208639","NCBI Nucleotide")</f>
        <v>NCBI Nucleotide</v>
      </c>
    </row>
    <row r="1451" spans="1:27" x14ac:dyDescent="0.35">
      <c r="A1451">
        <v>1001902</v>
      </c>
      <c r="B1451">
        <v>1448</v>
      </c>
      <c r="C1451">
        <v>1</v>
      </c>
      <c r="D1451" s="17" t="s">
        <v>155</v>
      </c>
      <c r="E1451" s="17"/>
      <c r="F1451" s="17" t="s">
        <v>156</v>
      </c>
      <c r="G1451" s="17"/>
      <c r="H1451" s="17" t="s">
        <v>692</v>
      </c>
      <c r="I1451" s="17"/>
      <c r="J1451" s="17" t="s">
        <v>693</v>
      </c>
      <c r="K1451" s="17"/>
      <c r="L1451" s="17"/>
      <c r="M1451" s="17"/>
      <c r="N1451" s="17" t="s">
        <v>8098</v>
      </c>
      <c r="O1451" s="17" t="s">
        <v>8133</v>
      </c>
      <c r="P1451" s="17" t="s">
        <v>8166</v>
      </c>
      <c r="Q1451" s="17"/>
      <c r="R1451" s="25" t="str">
        <f>HYPERLINK("https://ictv.global/taxonomy/taxondetails?taxnode_id=202300395","Caeruleovirus Bc431")</f>
        <v>Caeruleovirus Bc431</v>
      </c>
      <c r="S1451" s="18" t="s">
        <v>30</v>
      </c>
      <c r="T1451" s="18" t="s">
        <v>8167</v>
      </c>
      <c r="U1451" s="18"/>
      <c r="V1451" s="18"/>
      <c r="W1451" s="18" t="s">
        <v>8168</v>
      </c>
      <c r="X1451" s="18" t="s">
        <v>42</v>
      </c>
      <c r="Y1451" s="18" t="s">
        <v>36</v>
      </c>
      <c r="Z1451" s="18" t="s">
        <v>697</v>
      </c>
      <c r="AA1451" s="21" t="str">
        <f>HYPERLINK("https://www.ncbi.nlm.nih.gov/nuccore/JX094431","NCBI Nucleotide")</f>
        <v>NCBI Nucleotide</v>
      </c>
    </row>
    <row r="1452" spans="1:27" x14ac:dyDescent="0.35">
      <c r="A1452">
        <v>1001903</v>
      </c>
      <c r="B1452">
        <v>1449</v>
      </c>
      <c r="C1452">
        <v>1</v>
      </c>
      <c r="D1452" s="17" t="s">
        <v>155</v>
      </c>
      <c r="E1452" s="17"/>
      <c r="F1452" s="17" t="s">
        <v>156</v>
      </c>
      <c r="G1452" s="17"/>
      <c r="H1452" s="17" t="s">
        <v>692</v>
      </c>
      <c r="I1452" s="17"/>
      <c r="J1452" s="17" t="s">
        <v>693</v>
      </c>
      <c r="K1452" s="17"/>
      <c r="L1452" s="17"/>
      <c r="M1452" s="17"/>
      <c r="N1452" s="17" t="s">
        <v>8098</v>
      </c>
      <c r="O1452" s="17" t="s">
        <v>8133</v>
      </c>
      <c r="P1452" s="17" t="s">
        <v>8166</v>
      </c>
      <c r="Q1452" s="17"/>
      <c r="R1452" s="25" t="str">
        <f>HYPERLINK("https://ictv.global/taxonomy/taxondetails?taxnode_id=202300396","Caeruleovirus Bcp1")</f>
        <v>Caeruleovirus Bcp1</v>
      </c>
      <c r="S1452" s="18" t="s">
        <v>30</v>
      </c>
      <c r="T1452" s="18" t="s">
        <v>8169</v>
      </c>
      <c r="U1452" s="18"/>
      <c r="V1452" s="18"/>
      <c r="W1452" s="18" t="s">
        <v>8170</v>
      </c>
      <c r="X1452" s="18" t="s">
        <v>42</v>
      </c>
      <c r="Y1452" s="18" t="s">
        <v>36</v>
      </c>
      <c r="Z1452" s="18" t="s">
        <v>697</v>
      </c>
      <c r="AA1452" s="21" t="str">
        <f>HYPERLINK("https://www.ncbi.nlm.nih.gov/nuccore/KJ451625","NCBI Nucleotide")</f>
        <v>NCBI Nucleotide</v>
      </c>
    </row>
    <row r="1453" spans="1:27" x14ac:dyDescent="0.35">
      <c r="A1453">
        <v>1001904</v>
      </c>
      <c r="B1453">
        <v>1450</v>
      </c>
      <c r="C1453">
        <v>1</v>
      </c>
      <c r="D1453" s="17" t="s">
        <v>155</v>
      </c>
      <c r="E1453" s="17"/>
      <c r="F1453" s="17" t="s">
        <v>156</v>
      </c>
      <c r="G1453" s="17"/>
      <c r="H1453" s="17" t="s">
        <v>692</v>
      </c>
      <c r="I1453" s="17"/>
      <c r="J1453" s="17" t="s">
        <v>693</v>
      </c>
      <c r="K1453" s="17"/>
      <c r="L1453" s="17"/>
      <c r="M1453" s="17"/>
      <c r="N1453" s="17" t="s">
        <v>8098</v>
      </c>
      <c r="O1453" s="17" t="s">
        <v>8133</v>
      </c>
      <c r="P1453" s="17" t="s">
        <v>8166</v>
      </c>
      <c r="Q1453" s="17"/>
      <c r="R1453" s="25" t="str">
        <f>HYPERLINK("https://ictv.global/taxonomy/taxondetails?taxnode_id=202300397","Caeruleovirus BCP82")</f>
        <v>Caeruleovirus BCP82</v>
      </c>
      <c r="S1453" s="18" t="s">
        <v>30</v>
      </c>
      <c r="T1453" s="18" t="s">
        <v>8171</v>
      </c>
      <c r="U1453" s="18"/>
      <c r="V1453" s="18"/>
      <c r="W1453" s="18" t="s">
        <v>8172</v>
      </c>
      <c r="X1453" s="18" t="s">
        <v>42</v>
      </c>
      <c r="Y1453" s="18" t="s">
        <v>36</v>
      </c>
      <c r="Z1453" s="18" t="s">
        <v>697</v>
      </c>
      <c r="AA1453" s="21" t="str">
        <f>HYPERLINK("https://www.ncbi.nlm.nih.gov/nuccore/KJ081346","NCBI Nucleotide")</f>
        <v>NCBI Nucleotide</v>
      </c>
    </row>
    <row r="1454" spans="1:27" x14ac:dyDescent="0.35">
      <c r="A1454">
        <v>1001905</v>
      </c>
      <c r="B1454">
        <v>1451</v>
      </c>
      <c r="C1454">
        <v>1</v>
      </c>
      <c r="D1454" s="17" t="s">
        <v>155</v>
      </c>
      <c r="E1454" s="17"/>
      <c r="F1454" s="17" t="s">
        <v>156</v>
      </c>
      <c r="G1454" s="17"/>
      <c r="H1454" s="17" t="s">
        <v>692</v>
      </c>
      <c r="I1454" s="17"/>
      <c r="J1454" s="17" t="s">
        <v>693</v>
      </c>
      <c r="K1454" s="17"/>
      <c r="L1454" s="17"/>
      <c r="M1454" s="17"/>
      <c r="N1454" s="17" t="s">
        <v>8098</v>
      </c>
      <c r="O1454" s="17" t="s">
        <v>8133</v>
      </c>
      <c r="P1454" s="17" t="s">
        <v>8166</v>
      </c>
      <c r="Q1454" s="17"/>
      <c r="R1454" s="25" t="str">
        <f>HYPERLINK("https://ictv.global/taxonomy/taxondetails?taxnode_id=202300398","Caeruleovirus BM15")</f>
        <v>Caeruleovirus BM15</v>
      </c>
      <c r="S1454" s="18" t="s">
        <v>30</v>
      </c>
      <c r="T1454" s="18" t="s">
        <v>8173</v>
      </c>
      <c r="U1454" s="18"/>
      <c r="V1454" s="18"/>
      <c r="W1454" s="18" t="s">
        <v>8174</v>
      </c>
      <c r="X1454" s="18" t="s">
        <v>42</v>
      </c>
      <c r="Y1454" s="18" t="s">
        <v>36</v>
      </c>
      <c r="Z1454" s="18" t="s">
        <v>697</v>
      </c>
      <c r="AA1454" s="21" t="str">
        <f>HYPERLINK("https://www.ncbi.nlm.nih.gov/nuccore/KT995480","NCBI Nucleotide")</f>
        <v>NCBI Nucleotide</v>
      </c>
    </row>
    <row r="1455" spans="1:27" x14ac:dyDescent="0.35">
      <c r="A1455">
        <v>1001906</v>
      </c>
      <c r="B1455">
        <v>1452</v>
      </c>
      <c r="C1455">
        <v>1</v>
      </c>
      <c r="D1455" s="17" t="s">
        <v>155</v>
      </c>
      <c r="E1455" s="17"/>
      <c r="F1455" s="17" t="s">
        <v>156</v>
      </c>
      <c r="G1455" s="17"/>
      <c r="H1455" s="17" t="s">
        <v>692</v>
      </c>
      <c r="I1455" s="17"/>
      <c r="J1455" s="17" t="s">
        <v>693</v>
      </c>
      <c r="K1455" s="17"/>
      <c r="L1455" s="17"/>
      <c r="M1455" s="17"/>
      <c r="N1455" s="17" t="s">
        <v>8098</v>
      </c>
      <c r="O1455" s="17" t="s">
        <v>8133</v>
      </c>
      <c r="P1455" s="17" t="s">
        <v>8166</v>
      </c>
      <c r="Q1455" s="17"/>
      <c r="R1455" s="25" t="str">
        <f>HYPERLINK("https://ictv.global/taxonomy/taxondetails?taxnode_id=202300399","Caeruleovirus deepblue")</f>
        <v>Caeruleovirus deepblue</v>
      </c>
      <c r="S1455" s="18" t="s">
        <v>30</v>
      </c>
      <c r="T1455" s="18" t="s">
        <v>8175</v>
      </c>
      <c r="U1455" s="18"/>
      <c r="V1455" s="18"/>
      <c r="W1455" s="18" t="s">
        <v>8176</v>
      </c>
      <c r="X1455" s="18" t="s">
        <v>42</v>
      </c>
      <c r="Y1455" s="18" t="s">
        <v>36</v>
      </c>
      <c r="Z1455" s="18" t="s">
        <v>697</v>
      </c>
      <c r="AA1455" s="21" t="str">
        <f>HYPERLINK("https://www.ncbi.nlm.nih.gov/nuccore/KU577463","NCBI Nucleotide")</f>
        <v>NCBI Nucleotide</v>
      </c>
    </row>
    <row r="1456" spans="1:27" x14ac:dyDescent="0.35">
      <c r="A1456">
        <v>1001907</v>
      </c>
      <c r="B1456">
        <v>1453</v>
      </c>
      <c r="C1456">
        <v>1</v>
      </c>
      <c r="D1456" s="17" t="s">
        <v>155</v>
      </c>
      <c r="E1456" s="17"/>
      <c r="F1456" s="17" t="s">
        <v>156</v>
      </c>
      <c r="G1456" s="17"/>
      <c r="H1456" s="17" t="s">
        <v>692</v>
      </c>
      <c r="I1456" s="17"/>
      <c r="J1456" s="17" t="s">
        <v>693</v>
      </c>
      <c r="K1456" s="17"/>
      <c r="L1456" s="17"/>
      <c r="M1456" s="17"/>
      <c r="N1456" s="17" t="s">
        <v>8098</v>
      </c>
      <c r="O1456" s="17" t="s">
        <v>8133</v>
      </c>
      <c r="P1456" s="17" t="s">
        <v>8166</v>
      </c>
      <c r="Q1456" s="17"/>
      <c r="R1456" s="25" t="str">
        <f>HYPERLINK("https://ictv.global/taxonomy/taxondetails?taxnode_id=202300400","Caeruleovirus JBP901")</f>
        <v>Caeruleovirus JBP901</v>
      </c>
      <c r="S1456" s="18" t="s">
        <v>30</v>
      </c>
      <c r="T1456" s="18" t="s">
        <v>8177</v>
      </c>
      <c r="U1456" s="18"/>
      <c r="V1456" s="18"/>
      <c r="W1456" s="18" t="s">
        <v>8178</v>
      </c>
      <c r="X1456" s="18" t="s">
        <v>42</v>
      </c>
      <c r="Y1456" s="18" t="s">
        <v>36</v>
      </c>
      <c r="Z1456" s="18" t="s">
        <v>697</v>
      </c>
      <c r="AA1456" s="21" t="str">
        <f>HYPERLINK("https://www.ncbi.nlm.nih.gov/nuccore/KJ676859","NCBI Nucleotide")</f>
        <v>NCBI Nucleotide</v>
      </c>
    </row>
    <row r="1457" spans="1:27" x14ac:dyDescent="0.35">
      <c r="A1457">
        <v>1001908</v>
      </c>
      <c r="B1457">
        <v>1454</v>
      </c>
      <c r="C1457">
        <v>1</v>
      </c>
      <c r="D1457" s="17" t="s">
        <v>155</v>
      </c>
      <c r="E1457" s="17"/>
      <c r="F1457" s="17" t="s">
        <v>156</v>
      </c>
      <c r="G1457" s="17"/>
      <c r="H1457" s="17" t="s">
        <v>692</v>
      </c>
      <c r="I1457" s="17"/>
      <c r="J1457" s="17" t="s">
        <v>693</v>
      </c>
      <c r="K1457" s="17"/>
      <c r="L1457" s="17"/>
      <c r="M1457" s="17"/>
      <c r="N1457" s="17" t="s">
        <v>8098</v>
      </c>
      <c r="O1457" s="17" t="s">
        <v>8133</v>
      </c>
      <c r="P1457" s="17" t="s">
        <v>8179</v>
      </c>
      <c r="Q1457" s="17"/>
      <c r="R1457" s="25" t="str">
        <f>HYPERLINK("https://ictv.global/taxonomy/taxondetails?taxnode_id=202310113","Eldridgevirus eldridge")</f>
        <v>Eldridgevirus eldridge</v>
      </c>
      <c r="S1457" s="18" t="s">
        <v>30</v>
      </c>
      <c r="T1457" s="18" t="s">
        <v>8180</v>
      </c>
      <c r="U1457" s="18"/>
      <c r="V1457" s="18"/>
      <c r="W1457" s="18" t="s">
        <v>8181</v>
      </c>
      <c r="X1457" s="18" t="s">
        <v>42</v>
      </c>
      <c r="Y1457" s="18" t="s">
        <v>36</v>
      </c>
      <c r="Z1457" s="18" t="s">
        <v>697</v>
      </c>
      <c r="AA1457" s="21" t="str">
        <f>HYPERLINK("https://www.ncbi.nlm.nih.gov/nuccore/KU253712","NCBI Nucleotide")</f>
        <v>NCBI Nucleotide</v>
      </c>
    </row>
    <row r="1458" spans="1:27" x14ac:dyDescent="0.35">
      <c r="A1458">
        <v>1001909</v>
      </c>
      <c r="B1458">
        <v>1455</v>
      </c>
      <c r="C1458">
        <v>1</v>
      </c>
      <c r="D1458" s="17" t="s">
        <v>155</v>
      </c>
      <c r="E1458" s="17"/>
      <c r="F1458" s="17" t="s">
        <v>156</v>
      </c>
      <c r="G1458" s="17"/>
      <c r="H1458" s="17" t="s">
        <v>692</v>
      </c>
      <c r="I1458" s="17"/>
      <c r="J1458" s="17" t="s">
        <v>693</v>
      </c>
      <c r="K1458" s="17"/>
      <c r="L1458" s="17"/>
      <c r="M1458" s="17"/>
      <c r="N1458" s="17" t="s">
        <v>8098</v>
      </c>
      <c r="O1458" s="17" t="s">
        <v>8133</v>
      </c>
      <c r="P1458" s="17" t="s">
        <v>8182</v>
      </c>
      <c r="Q1458" s="17"/>
      <c r="R1458" s="25" t="str">
        <f>HYPERLINK("https://ictv.global/taxonomy/taxondetails?taxnode_id=202310117","Goettingenvirus goe8")</f>
        <v>Goettingenvirus goe8</v>
      </c>
      <c r="S1458" s="18" t="s">
        <v>30</v>
      </c>
      <c r="T1458" s="18" t="s">
        <v>8183</v>
      </c>
      <c r="U1458" s="18"/>
      <c r="V1458" s="18"/>
      <c r="W1458" s="18" t="s">
        <v>8184</v>
      </c>
      <c r="X1458" s="18" t="s">
        <v>42</v>
      </c>
      <c r="Y1458" s="18" t="s">
        <v>36</v>
      </c>
      <c r="Z1458" s="18" t="s">
        <v>697</v>
      </c>
      <c r="AA1458" s="21" t="str">
        <f>HYPERLINK("https://www.ncbi.nlm.nih.gov/nuccore/MN043729","NCBI Nucleotide")</f>
        <v>NCBI Nucleotide</v>
      </c>
    </row>
    <row r="1459" spans="1:27" x14ac:dyDescent="0.35">
      <c r="A1459">
        <v>1001910</v>
      </c>
      <c r="B1459">
        <v>1456</v>
      </c>
      <c r="C1459">
        <v>1</v>
      </c>
      <c r="D1459" s="17" t="s">
        <v>155</v>
      </c>
      <c r="E1459" s="17"/>
      <c r="F1459" s="17" t="s">
        <v>156</v>
      </c>
      <c r="G1459" s="17"/>
      <c r="H1459" s="17" t="s">
        <v>692</v>
      </c>
      <c r="I1459" s="17"/>
      <c r="J1459" s="17" t="s">
        <v>693</v>
      </c>
      <c r="K1459" s="17"/>
      <c r="L1459" s="17"/>
      <c r="M1459" s="17"/>
      <c r="N1459" s="17" t="s">
        <v>8098</v>
      </c>
      <c r="O1459" s="17" t="s">
        <v>8133</v>
      </c>
      <c r="P1459" s="17" t="s">
        <v>8185</v>
      </c>
      <c r="Q1459" s="17"/>
      <c r="R1459" s="25" t="str">
        <f>HYPERLINK("https://ictv.global/taxonomy/taxondetails?taxnode_id=202310111","Grisebachstrassevirus goe3")</f>
        <v>Grisebachstrassevirus goe3</v>
      </c>
      <c r="S1459" s="18" t="s">
        <v>30</v>
      </c>
      <c r="T1459" s="18" t="s">
        <v>8186</v>
      </c>
      <c r="U1459" s="18"/>
      <c r="V1459" s="18"/>
      <c r="W1459" s="18" t="s">
        <v>8187</v>
      </c>
      <c r="X1459" s="18" t="s">
        <v>42</v>
      </c>
      <c r="Y1459" s="18" t="s">
        <v>36</v>
      </c>
      <c r="Z1459" s="18" t="s">
        <v>697</v>
      </c>
      <c r="AA1459" s="21" t="str">
        <f>HYPERLINK("https://www.ncbi.nlm.nih.gov/nuccore/KY368640","NCBI Nucleotide")</f>
        <v>NCBI Nucleotide</v>
      </c>
    </row>
    <row r="1460" spans="1:27" x14ac:dyDescent="0.35">
      <c r="A1460">
        <v>1001911</v>
      </c>
      <c r="B1460">
        <v>1457</v>
      </c>
      <c r="C1460">
        <v>1</v>
      </c>
      <c r="D1460" s="17" t="s">
        <v>155</v>
      </c>
      <c r="E1460" s="17"/>
      <c r="F1460" s="17" t="s">
        <v>156</v>
      </c>
      <c r="G1460" s="17"/>
      <c r="H1460" s="17" t="s">
        <v>692</v>
      </c>
      <c r="I1460" s="17"/>
      <c r="J1460" s="17" t="s">
        <v>693</v>
      </c>
      <c r="K1460" s="17"/>
      <c r="L1460" s="17"/>
      <c r="M1460" s="17"/>
      <c r="N1460" s="17" t="s">
        <v>8098</v>
      </c>
      <c r="O1460" s="17" t="s">
        <v>8133</v>
      </c>
      <c r="P1460" s="17" t="s">
        <v>8188</v>
      </c>
      <c r="Q1460" s="17"/>
      <c r="R1460" s="25" t="str">
        <f>HYPERLINK("https://ictv.global/taxonomy/taxondetails?taxnode_id=202310115","Jeonjuvirus BSP38")</f>
        <v>Jeonjuvirus BSP38</v>
      </c>
      <c r="S1460" s="18" t="s">
        <v>30</v>
      </c>
      <c r="T1460" s="18" t="s">
        <v>8189</v>
      </c>
      <c r="U1460" s="18"/>
      <c r="V1460" s="18"/>
      <c r="W1460" s="18" t="s">
        <v>8190</v>
      </c>
      <c r="X1460" s="18" t="s">
        <v>42</v>
      </c>
      <c r="Y1460" s="18" t="s">
        <v>36</v>
      </c>
      <c r="Z1460" s="18" t="s">
        <v>697</v>
      </c>
      <c r="AA1460" s="21" t="str">
        <f>HYPERLINK("https://www.ncbi.nlm.nih.gov/nuccore/MH606185","NCBI Nucleotide")</f>
        <v>NCBI Nucleotide</v>
      </c>
    </row>
    <row r="1461" spans="1:27" x14ac:dyDescent="0.35">
      <c r="A1461">
        <v>1001912</v>
      </c>
      <c r="B1461">
        <v>1458</v>
      </c>
      <c r="C1461">
        <v>1</v>
      </c>
      <c r="D1461" s="17" t="s">
        <v>155</v>
      </c>
      <c r="E1461" s="17"/>
      <c r="F1461" s="17" t="s">
        <v>156</v>
      </c>
      <c r="G1461" s="17"/>
      <c r="H1461" s="17" t="s">
        <v>692</v>
      </c>
      <c r="I1461" s="17"/>
      <c r="J1461" s="17" t="s">
        <v>693</v>
      </c>
      <c r="K1461" s="17"/>
      <c r="L1461" s="17"/>
      <c r="M1461" s="17"/>
      <c r="N1461" s="17" t="s">
        <v>8098</v>
      </c>
      <c r="O1461" s="17" t="s">
        <v>8133</v>
      </c>
      <c r="P1461" s="17" t="s">
        <v>8191</v>
      </c>
      <c r="Q1461" s="17"/>
      <c r="R1461" s="25" t="str">
        <f>HYPERLINK("https://ictv.global/taxonomy/taxondetails?taxnode_id=202306963","Matervirus mater")</f>
        <v>Matervirus mater</v>
      </c>
      <c r="S1461" s="18" t="s">
        <v>30</v>
      </c>
      <c r="T1461" s="18" t="s">
        <v>8192</v>
      </c>
      <c r="U1461" s="18"/>
      <c r="V1461" s="18"/>
      <c r="W1461" s="18" t="s">
        <v>8193</v>
      </c>
      <c r="X1461" s="18" t="s">
        <v>42</v>
      </c>
      <c r="Y1461" s="18" t="s">
        <v>36</v>
      </c>
      <c r="Z1461" s="18" t="s">
        <v>697</v>
      </c>
      <c r="AA1461" s="21" t="str">
        <f>HYPERLINK("https://www.ncbi.nlm.nih.gov/nuccore/KM236245","NCBI Nucleotide")</f>
        <v>NCBI Nucleotide</v>
      </c>
    </row>
    <row r="1462" spans="1:27" x14ac:dyDescent="0.35">
      <c r="A1462">
        <v>1001913</v>
      </c>
      <c r="B1462">
        <v>1459</v>
      </c>
      <c r="C1462">
        <v>1</v>
      </c>
      <c r="D1462" s="17" t="s">
        <v>155</v>
      </c>
      <c r="E1462" s="17"/>
      <c r="F1462" s="17" t="s">
        <v>156</v>
      </c>
      <c r="G1462" s="17"/>
      <c r="H1462" s="17" t="s">
        <v>692</v>
      </c>
      <c r="I1462" s="17"/>
      <c r="J1462" s="17" t="s">
        <v>693</v>
      </c>
      <c r="K1462" s="17"/>
      <c r="L1462" s="17"/>
      <c r="M1462" s="17"/>
      <c r="N1462" s="17" t="s">
        <v>8098</v>
      </c>
      <c r="O1462" s="17" t="s">
        <v>8133</v>
      </c>
      <c r="P1462" s="17" t="s">
        <v>8194</v>
      </c>
      <c r="Q1462" s="17"/>
      <c r="R1462" s="25" t="str">
        <f>HYPERLINK("https://ictv.global/taxonomy/taxondetails?taxnode_id=202306964","Moonbeamvirus moonbeam")</f>
        <v>Moonbeamvirus moonbeam</v>
      </c>
      <c r="S1462" s="18" t="s">
        <v>30</v>
      </c>
      <c r="T1462" s="18" t="s">
        <v>8195</v>
      </c>
      <c r="U1462" s="18"/>
      <c r="V1462" s="18"/>
      <c r="W1462" s="18" t="s">
        <v>8196</v>
      </c>
      <c r="X1462" s="18" t="s">
        <v>42</v>
      </c>
      <c r="Y1462" s="18" t="s">
        <v>36</v>
      </c>
      <c r="Z1462" s="18" t="s">
        <v>697</v>
      </c>
      <c r="AA1462" s="21" t="str">
        <f>HYPERLINK("https://www.ncbi.nlm.nih.gov/nuccore/KM236246","NCBI Nucleotide")</f>
        <v>NCBI Nucleotide</v>
      </c>
    </row>
    <row r="1463" spans="1:27" x14ac:dyDescent="0.35">
      <c r="A1463">
        <v>1001914</v>
      </c>
      <c r="B1463">
        <v>1460</v>
      </c>
      <c r="C1463">
        <v>1</v>
      </c>
      <c r="D1463" s="17" t="s">
        <v>155</v>
      </c>
      <c r="E1463" s="17"/>
      <c r="F1463" s="17" t="s">
        <v>156</v>
      </c>
      <c r="G1463" s="17"/>
      <c r="H1463" s="17" t="s">
        <v>692</v>
      </c>
      <c r="I1463" s="17"/>
      <c r="J1463" s="17" t="s">
        <v>693</v>
      </c>
      <c r="K1463" s="17"/>
      <c r="L1463" s="17"/>
      <c r="M1463" s="17"/>
      <c r="N1463" s="17" t="s">
        <v>8098</v>
      </c>
      <c r="O1463" s="17" t="s">
        <v>8133</v>
      </c>
      <c r="P1463" s="17" t="s">
        <v>8197</v>
      </c>
      <c r="Q1463" s="17"/>
      <c r="R1463" s="25" t="str">
        <f>HYPERLINK("https://ictv.global/taxonomy/taxondetails?taxnode_id=202300461","Nitunavirus grass")</f>
        <v>Nitunavirus grass</v>
      </c>
      <c r="S1463" s="18" t="s">
        <v>30</v>
      </c>
      <c r="T1463" s="18" t="s">
        <v>8198</v>
      </c>
      <c r="U1463" s="18"/>
      <c r="V1463" s="18"/>
      <c r="W1463" s="18" t="s">
        <v>8199</v>
      </c>
      <c r="X1463" s="18" t="s">
        <v>42</v>
      </c>
      <c r="Y1463" s="18" t="s">
        <v>36</v>
      </c>
      <c r="Z1463" s="18" t="s">
        <v>697</v>
      </c>
      <c r="AA1463" s="21" t="str">
        <f>HYPERLINK("https://www.ncbi.nlm.nih.gov/nuccore/KF669652","NCBI Nucleotide")</f>
        <v>NCBI Nucleotide</v>
      </c>
    </row>
    <row r="1464" spans="1:27" x14ac:dyDescent="0.35">
      <c r="A1464">
        <v>1001915</v>
      </c>
      <c r="B1464">
        <v>1461</v>
      </c>
      <c r="C1464">
        <v>1</v>
      </c>
      <c r="D1464" s="17" t="s">
        <v>155</v>
      </c>
      <c r="E1464" s="17"/>
      <c r="F1464" s="17" t="s">
        <v>156</v>
      </c>
      <c r="G1464" s="17"/>
      <c r="H1464" s="17" t="s">
        <v>692</v>
      </c>
      <c r="I1464" s="17"/>
      <c r="J1464" s="17" t="s">
        <v>693</v>
      </c>
      <c r="K1464" s="17"/>
      <c r="L1464" s="17"/>
      <c r="M1464" s="17"/>
      <c r="N1464" s="17" t="s">
        <v>8098</v>
      </c>
      <c r="O1464" s="17" t="s">
        <v>8133</v>
      </c>
      <c r="P1464" s="17" t="s">
        <v>8197</v>
      </c>
      <c r="Q1464" s="17"/>
      <c r="R1464" s="25" t="str">
        <f>HYPERLINK("https://ictv.global/taxonomy/taxondetails?taxnode_id=202300462","Nitunavirus NIT1")</f>
        <v>Nitunavirus NIT1</v>
      </c>
      <c r="S1464" s="18" t="s">
        <v>30</v>
      </c>
      <c r="T1464" s="18" t="s">
        <v>8200</v>
      </c>
      <c r="U1464" s="18"/>
      <c r="V1464" s="18"/>
      <c r="W1464" s="18" t="s">
        <v>8201</v>
      </c>
      <c r="X1464" s="18" t="s">
        <v>42</v>
      </c>
      <c r="Y1464" s="18" t="s">
        <v>36</v>
      </c>
      <c r="Z1464" s="18" t="s">
        <v>697</v>
      </c>
      <c r="AA1464" s="21" t="str">
        <f>HYPERLINK("https://www.ncbi.nlm.nih.gov/nuccore/AP013029","NCBI Nucleotide")</f>
        <v>NCBI Nucleotide</v>
      </c>
    </row>
    <row r="1465" spans="1:27" x14ac:dyDescent="0.35">
      <c r="A1465">
        <v>1001916</v>
      </c>
      <c r="B1465">
        <v>1462</v>
      </c>
      <c r="C1465">
        <v>1</v>
      </c>
      <c r="D1465" s="17" t="s">
        <v>155</v>
      </c>
      <c r="E1465" s="17"/>
      <c r="F1465" s="17" t="s">
        <v>156</v>
      </c>
      <c r="G1465" s="17"/>
      <c r="H1465" s="17" t="s">
        <v>692</v>
      </c>
      <c r="I1465" s="17"/>
      <c r="J1465" s="17" t="s">
        <v>693</v>
      </c>
      <c r="K1465" s="17"/>
      <c r="L1465" s="17"/>
      <c r="M1465" s="17"/>
      <c r="N1465" s="17" t="s">
        <v>8098</v>
      </c>
      <c r="O1465" s="17" t="s">
        <v>8133</v>
      </c>
      <c r="P1465" s="17" t="s">
        <v>8197</v>
      </c>
      <c r="Q1465" s="17"/>
      <c r="R1465" s="25" t="str">
        <f>HYPERLINK("https://ictv.global/taxonomy/taxondetails?taxnode_id=202300463","Nitunavirus SPG24")</f>
        <v>Nitunavirus SPG24</v>
      </c>
      <c r="S1465" s="18" t="s">
        <v>30</v>
      </c>
      <c r="T1465" s="18" t="s">
        <v>8202</v>
      </c>
      <c r="U1465" s="18"/>
      <c r="V1465" s="18"/>
      <c r="W1465" s="18" t="s">
        <v>8203</v>
      </c>
      <c r="X1465" s="18" t="s">
        <v>42</v>
      </c>
      <c r="Y1465" s="18" t="s">
        <v>36</v>
      </c>
      <c r="Z1465" s="18" t="s">
        <v>697</v>
      </c>
      <c r="AA1465" s="21" t="str">
        <f>HYPERLINK("https://www.ncbi.nlm.nih.gov/nuccore/AB930182","NCBI Nucleotide")</f>
        <v>NCBI Nucleotide</v>
      </c>
    </row>
    <row r="1466" spans="1:27" x14ac:dyDescent="0.35">
      <c r="A1466">
        <v>1001917</v>
      </c>
      <c r="B1466">
        <v>1463</v>
      </c>
      <c r="C1466">
        <v>1</v>
      </c>
      <c r="D1466" s="17" t="s">
        <v>155</v>
      </c>
      <c r="E1466" s="17"/>
      <c r="F1466" s="17" t="s">
        <v>156</v>
      </c>
      <c r="G1466" s="17"/>
      <c r="H1466" s="17" t="s">
        <v>692</v>
      </c>
      <c r="I1466" s="17"/>
      <c r="J1466" s="17" t="s">
        <v>693</v>
      </c>
      <c r="K1466" s="17"/>
      <c r="L1466" s="17"/>
      <c r="M1466" s="17"/>
      <c r="N1466" s="17" t="s">
        <v>8098</v>
      </c>
      <c r="O1466" s="17" t="s">
        <v>8133</v>
      </c>
      <c r="P1466" s="17" t="s">
        <v>8204</v>
      </c>
      <c r="Q1466" s="17"/>
      <c r="R1466" s="25" t="str">
        <f>HYPERLINK("https://ictv.global/taxonomy/taxondetails?taxnode_id=202306989","Shalavirus Shbh1")</f>
        <v>Shalavirus Shbh1</v>
      </c>
      <c r="S1466" s="18" t="s">
        <v>30</v>
      </c>
      <c r="T1466" s="18" t="s">
        <v>8205</v>
      </c>
      <c r="U1466" s="18"/>
      <c r="V1466" s="18"/>
      <c r="W1466" s="18" t="s">
        <v>8206</v>
      </c>
      <c r="X1466" s="18" t="s">
        <v>42</v>
      </c>
      <c r="Y1466" s="18" t="s">
        <v>36</v>
      </c>
      <c r="Z1466" s="18" t="s">
        <v>697</v>
      </c>
      <c r="AA1466" s="21" t="str">
        <f>HYPERLINK("https://www.ncbi.nlm.nih.gov/nuccore/KU640380","NCBI Nucleotide")</f>
        <v>NCBI Nucleotide</v>
      </c>
    </row>
    <row r="1467" spans="1:27" x14ac:dyDescent="0.35">
      <c r="A1467">
        <v>1001918</v>
      </c>
      <c r="B1467">
        <v>1464</v>
      </c>
      <c r="C1467">
        <v>1</v>
      </c>
      <c r="D1467" s="17" t="s">
        <v>155</v>
      </c>
      <c r="E1467" s="17"/>
      <c r="F1467" s="17" t="s">
        <v>156</v>
      </c>
      <c r="G1467" s="17"/>
      <c r="H1467" s="17" t="s">
        <v>692</v>
      </c>
      <c r="I1467" s="17"/>
      <c r="J1467" s="17" t="s">
        <v>693</v>
      </c>
      <c r="K1467" s="17"/>
      <c r="L1467" s="17"/>
      <c r="M1467" s="17"/>
      <c r="N1467" s="17" t="s">
        <v>8098</v>
      </c>
      <c r="O1467" s="17" t="s">
        <v>8133</v>
      </c>
      <c r="P1467" s="17" t="s">
        <v>8207</v>
      </c>
      <c r="Q1467" s="17"/>
      <c r="R1467" s="25" t="str">
        <f>HYPERLINK("https://ictv.global/taxonomy/taxondetails?taxnode_id=202306965","Siophivirus SIOphi")</f>
        <v>Siophivirus SIOphi</v>
      </c>
      <c r="S1467" s="18" t="s">
        <v>30</v>
      </c>
      <c r="T1467" s="18" t="s">
        <v>8208</v>
      </c>
      <c r="U1467" s="18"/>
      <c r="V1467" s="18"/>
      <c r="W1467" s="18" t="s">
        <v>8209</v>
      </c>
      <c r="X1467" s="18" t="s">
        <v>42</v>
      </c>
      <c r="Y1467" s="18" t="s">
        <v>36</v>
      </c>
      <c r="Z1467" s="18" t="s">
        <v>697</v>
      </c>
      <c r="AA1467" s="21" t="str">
        <f>HYPERLINK("https://www.ncbi.nlm.nih.gov/nuccore/KC699836","NCBI Nucleotide")</f>
        <v>NCBI Nucleotide</v>
      </c>
    </row>
    <row r="1468" spans="1:27" x14ac:dyDescent="0.35">
      <c r="A1468">
        <v>1001919</v>
      </c>
      <c r="B1468">
        <v>1465</v>
      </c>
      <c r="C1468">
        <v>1</v>
      </c>
      <c r="D1468" s="17" t="s">
        <v>155</v>
      </c>
      <c r="E1468" s="17"/>
      <c r="F1468" s="17" t="s">
        <v>156</v>
      </c>
      <c r="G1468" s="17"/>
      <c r="H1468" s="17" t="s">
        <v>692</v>
      </c>
      <c r="I1468" s="17"/>
      <c r="J1468" s="17" t="s">
        <v>693</v>
      </c>
      <c r="K1468" s="17"/>
      <c r="L1468" s="17"/>
      <c r="M1468" s="17"/>
      <c r="N1468" s="17" t="s">
        <v>8098</v>
      </c>
      <c r="O1468" s="17" t="s">
        <v>8133</v>
      </c>
      <c r="P1468" s="17" t="s">
        <v>8210</v>
      </c>
      <c r="Q1468" s="17"/>
      <c r="R1468" s="25" t="str">
        <f>HYPERLINK("https://ictv.global/taxonomy/taxondetails?taxnode_id=202300270","Tsarbombavirus BCP78")</f>
        <v>Tsarbombavirus BCP78</v>
      </c>
      <c r="S1468" s="18" t="s">
        <v>30</v>
      </c>
      <c r="T1468" s="18" t="s">
        <v>8211</v>
      </c>
      <c r="U1468" s="18"/>
      <c r="V1468" s="18"/>
      <c r="W1468" s="18" t="s">
        <v>8212</v>
      </c>
      <c r="X1468" s="18" t="s">
        <v>42</v>
      </c>
      <c r="Y1468" s="18" t="s">
        <v>36</v>
      </c>
      <c r="Z1468" s="18" t="s">
        <v>697</v>
      </c>
      <c r="AA1468" s="21" t="str">
        <f>HYPERLINK("https://www.ncbi.nlm.nih.gov/nuccore/JN797797","NCBI Nucleotide")</f>
        <v>NCBI Nucleotide</v>
      </c>
    </row>
    <row r="1469" spans="1:27" x14ac:dyDescent="0.35">
      <c r="A1469">
        <v>1011642</v>
      </c>
      <c r="B1469">
        <v>1465</v>
      </c>
      <c r="C1469">
        <v>2</v>
      </c>
      <c r="D1469" s="17" t="s">
        <v>155</v>
      </c>
      <c r="E1469" s="17"/>
      <c r="F1469" s="17" t="s">
        <v>156</v>
      </c>
      <c r="G1469" s="17"/>
      <c r="H1469" s="17" t="s">
        <v>692</v>
      </c>
      <c r="I1469" s="17"/>
      <c r="J1469" s="17" t="s">
        <v>693</v>
      </c>
      <c r="K1469" s="17"/>
      <c r="L1469" s="17"/>
      <c r="M1469" s="17"/>
      <c r="N1469" s="17" t="s">
        <v>8098</v>
      </c>
      <c r="O1469" s="17" t="s">
        <v>8133</v>
      </c>
      <c r="P1469" s="17" t="s">
        <v>8210</v>
      </c>
      <c r="Q1469" s="17"/>
      <c r="R1469" s="25" t="str">
        <f>HYPERLINK("https://ictv.global/taxonomy/taxondetails?taxnode_id=202300270","Tsarbombavirus BCP78")</f>
        <v>Tsarbombavirus BCP78</v>
      </c>
      <c r="S1469" s="18" t="s">
        <v>8141</v>
      </c>
      <c r="T1469" s="18" t="s">
        <v>8213</v>
      </c>
      <c r="U1469" s="18"/>
      <c r="V1469" s="18"/>
      <c r="W1469" s="18" t="s">
        <v>48733</v>
      </c>
      <c r="X1469" s="18" t="s">
        <v>42</v>
      </c>
      <c r="Y1469" s="18" t="s">
        <v>36</v>
      </c>
      <c r="Z1469" s="18" t="s">
        <v>697</v>
      </c>
      <c r="AA1469" s="21" t="str">
        <f>HYPERLINK("https://www.ncbi.nlm.nih.gov/nuccore/JN797798","NCBI Nucleotide")</f>
        <v>NCBI Nucleotide</v>
      </c>
    </row>
    <row r="1470" spans="1:27" x14ac:dyDescent="0.35">
      <c r="A1470">
        <v>1001920</v>
      </c>
      <c r="B1470">
        <v>1466</v>
      </c>
      <c r="C1470">
        <v>1</v>
      </c>
      <c r="D1470" s="17" t="s">
        <v>155</v>
      </c>
      <c r="E1470" s="17"/>
      <c r="F1470" s="17" t="s">
        <v>156</v>
      </c>
      <c r="G1470" s="17"/>
      <c r="H1470" s="17" t="s">
        <v>692</v>
      </c>
      <c r="I1470" s="17"/>
      <c r="J1470" s="17" t="s">
        <v>693</v>
      </c>
      <c r="K1470" s="17"/>
      <c r="L1470" s="17"/>
      <c r="M1470" s="17"/>
      <c r="N1470" s="17" t="s">
        <v>8098</v>
      </c>
      <c r="O1470" s="17" t="s">
        <v>8133</v>
      </c>
      <c r="P1470" s="17" t="s">
        <v>8210</v>
      </c>
      <c r="Q1470" s="17"/>
      <c r="R1470" s="25" t="str">
        <f>HYPERLINK("https://ictv.global/taxonomy/taxondetails?taxnode_id=202300271","Tsarbombavirus tsarbomba")</f>
        <v>Tsarbombavirus tsarbomba</v>
      </c>
      <c r="S1470" s="18" t="s">
        <v>30</v>
      </c>
      <c r="T1470" s="18" t="s">
        <v>8214</v>
      </c>
      <c r="U1470" s="18"/>
      <c r="V1470" s="18"/>
      <c r="W1470" s="18" t="s">
        <v>8215</v>
      </c>
      <c r="X1470" s="18" t="s">
        <v>42</v>
      </c>
      <c r="Y1470" s="18" t="s">
        <v>36</v>
      </c>
      <c r="Z1470" s="18" t="s">
        <v>697</v>
      </c>
      <c r="AA1470" s="21" t="str">
        <f>HYPERLINK("https://www.ncbi.nlm.nih.gov/nuccore/KT224359","NCBI Nucleotide")</f>
        <v>NCBI Nucleotide</v>
      </c>
    </row>
    <row r="1471" spans="1:27" x14ac:dyDescent="0.35">
      <c r="A1471">
        <v>1001922</v>
      </c>
      <c r="B1471">
        <v>1467</v>
      </c>
      <c r="C1471">
        <v>1</v>
      </c>
      <c r="D1471" s="17" t="s">
        <v>155</v>
      </c>
      <c r="E1471" s="17"/>
      <c r="F1471" s="17" t="s">
        <v>156</v>
      </c>
      <c r="G1471" s="17"/>
      <c r="H1471" s="17" t="s">
        <v>692</v>
      </c>
      <c r="I1471" s="17"/>
      <c r="J1471" s="17" t="s">
        <v>693</v>
      </c>
      <c r="K1471" s="17"/>
      <c r="L1471" s="17"/>
      <c r="M1471" s="17"/>
      <c r="N1471" s="17" t="s">
        <v>8098</v>
      </c>
      <c r="O1471" s="17" t="s">
        <v>8133</v>
      </c>
      <c r="P1471" s="17" t="s">
        <v>8216</v>
      </c>
      <c r="Q1471" s="17"/>
      <c r="R1471" s="25" t="str">
        <f>HYPERLINK("https://ictv.global/taxonomy/taxondetails?taxnode_id=202300536","Wphvirus BPS13")</f>
        <v>Wphvirus BPS13</v>
      </c>
      <c r="S1471" s="18" t="s">
        <v>30</v>
      </c>
      <c r="T1471" s="18" t="s">
        <v>8219</v>
      </c>
      <c r="U1471" s="18"/>
      <c r="V1471" s="18"/>
      <c r="W1471" s="18" t="s">
        <v>8220</v>
      </c>
      <c r="X1471" s="18" t="s">
        <v>42</v>
      </c>
      <c r="Y1471" s="18" t="s">
        <v>36</v>
      </c>
      <c r="Z1471" s="18" t="s">
        <v>697</v>
      </c>
      <c r="AA1471" s="21" t="str">
        <f>HYPERLINK("https://www.ncbi.nlm.nih.gov/nuccore/JN654439","NCBI Nucleotide")</f>
        <v>NCBI Nucleotide</v>
      </c>
    </row>
    <row r="1472" spans="1:27" x14ac:dyDescent="0.35">
      <c r="A1472">
        <v>1001921</v>
      </c>
      <c r="B1472">
        <v>1468</v>
      </c>
      <c r="C1472">
        <v>1</v>
      </c>
      <c r="D1472" s="17" t="s">
        <v>155</v>
      </c>
      <c r="E1472" s="17"/>
      <c r="F1472" s="17" t="s">
        <v>156</v>
      </c>
      <c r="G1472" s="17"/>
      <c r="H1472" s="17" t="s">
        <v>692</v>
      </c>
      <c r="I1472" s="17"/>
      <c r="J1472" s="17" t="s">
        <v>693</v>
      </c>
      <c r="K1472" s="17"/>
      <c r="L1472" s="17"/>
      <c r="M1472" s="17"/>
      <c r="N1472" s="17" t="s">
        <v>8098</v>
      </c>
      <c r="O1472" s="17" t="s">
        <v>8133</v>
      </c>
      <c r="P1472" s="17" t="s">
        <v>8216</v>
      </c>
      <c r="Q1472" s="17"/>
      <c r="R1472" s="25" t="str">
        <f>HYPERLINK("https://ictv.global/taxonomy/taxondetails?taxnode_id=202306962","Wphvirus BPS10C")</f>
        <v>Wphvirus BPS10C</v>
      </c>
      <c r="S1472" s="18" t="s">
        <v>30</v>
      </c>
      <c r="T1472" s="18" t="s">
        <v>8217</v>
      </c>
      <c r="U1472" s="18"/>
      <c r="V1472" s="18"/>
      <c r="W1472" s="18" t="s">
        <v>8218</v>
      </c>
      <c r="X1472" s="18" t="s">
        <v>42</v>
      </c>
      <c r="Y1472" s="18" t="s">
        <v>36</v>
      </c>
      <c r="Z1472" s="18" t="s">
        <v>697</v>
      </c>
      <c r="AA1472" s="21" t="str">
        <f>HYPERLINK("https://www.ncbi.nlm.nih.gov/nuccore/KC430106","NCBI Nucleotide")</f>
        <v>NCBI Nucleotide</v>
      </c>
    </row>
    <row r="1473" spans="1:27" x14ac:dyDescent="0.35">
      <c r="A1473">
        <v>1001923</v>
      </c>
      <c r="B1473">
        <v>1469</v>
      </c>
      <c r="C1473">
        <v>1</v>
      </c>
      <c r="D1473" s="17" t="s">
        <v>155</v>
      </c>
      <c r="E1473" s="17"/>
      <c r="F1473" s="17" t="s">
        <v>156</v>
      </c>
      <c r="G1473" s="17"/>
      <c r="H1473" s="17" t="s">
        <v>692</v>
      </c>
      <c r="I1473" s="17"/>
      <c r="J1473" s="17" t="s">
        <v>693</v>
      </c>
      <c r="K1473" s="17"/>
      <c r="L1473" s="17"/>
      <c r="M1473" s="17"/>
      <c r="N1473" s="17" t="s">
        <v>8098</v>
      </c>
      <c r="O1473" s="17" t="s">
        <v>8133</v>
      </c>
      <c r="P1473" s="17" t="s">
        <v>8216</v>
      </c>
      <c r="Q1473" s="17"/>
      <c r="R1473" s="25" t="str">
        <f>HYPERLINK("https://ictv.global/taxonomy/taxondetails?taxnode_id=202300537","Wphvirus hakuna")</f>
        <v>Wphvirus hakuna</v>
      </c>
      <c r="S1473" s="18" t="s">
        <v>30</v>
      </c>
      <c r="T1473" s="18" t="s">
        <v>8221</v>
      </c>
      <c r="U1473" s="18"/>
      <c r="V1473" s="18"/>
      <c r="W1473" s="18" t="s">
        <v>8222</v>
      </c>
      <c r="X1473" s="18" t="s">
        <v>42</v>
      </c>
      <c r="Y1473" s="18" t="s">
        <v>36</v>
      </c>
      <c r="Z1473" s="18" t="s">
        <v>697</v>
      </c>
      <c r="AA1473" s="21" t="str">
        <f>HYPERLINK("https://www.ncbi.nlm.nih.gov/nuccore/KJ489399","NCBI Nucleotide")</f>
        <v>NCBI Nucleotide</v>
      </c>
    </row>
    <row r="1474" spans="1:27" x14ac:dyDescent="0.35">
      <c r="A1474">
        <v>1001924</v>
      </c>
      <c r="B1474">
        <v>1470</v>
      </c>
      <c r="C1474">
        <v>1</v>
      </c>
      <c r="D1474" s="17" t="s">
        <v>155</v>
      </c>
      <c r="E1474" s="17"/>
      <c r="F1474" s="17" t="s">
        <v>156</v>
      </c>
      <c r="G1474" s="17"/>
      <c r="H1474" s="17" t="s">
        <v>692</v>
      </c>
      <c r="I1474" s="17"/>
      <c r="J1474" s="17" t="s">
        <v>693</v>
      </c>
      <c r="K1474" s="17"/>
      <c r="L1474" s="17"/>
      <c r="M1474" s="17"/>
      <c r="N1474" s="17" t="s">
        <v>8098</v>
      </c>
      <c r="O1474" s="17" t="s">
        <v>8133</v>
      </c>
      <c r="P1474" s="17" t="s">
        <v>8216</v>
      </c>
      <c r="Q1474" s="17"/>
      <c r="R1474" s="25" t="str">
        <f>HYPERLINK("https://ictv.global/taxonomy/taxondetails?taxnode_id=202300538","Wphvirus megatron")</f>
        <v>Wphvirus megatron</v>
      </c>
      <c r="S1474" s="18" t="s">
        <v>30</v>
      </c>
      <c r="T1474" s="18" t="s">
        <v>8223</v>
      </c>
      <c r="U1474" s="18"/>
      <c r="V1474" s="18"/>
      <c r="W1474" s="18" t="s">
        <v>8224</v>
      </c>
      <c r="X1474" s="18" t="s">
        <v>42</v>
      </c>
      <c r="Y1474" s="18" t="s">
        <v>36</v>
      </c>
      <c r="Z1474" s="18" t="s">
        <v>697</v>
      </c>
      <c r="AA1474" s="21" t="str">
        <f>HYPERLINK("https://www.ncbi.nlm.nih.gov/nuccore/KJ489401","NCBI Nucleotide")</f>
        <v>NCBI Nucleotide</v>
      </c>
    </row>
    <row r="1475" spans="1:27" x14ac:dyDescent="0.35">
      <c r="A1475">
        <v>1011643</v>
      </c>
      <c r="B1475">
        <v>1470</v>
      </c>
      <c r="C1475">
        <v>2</v>
      </c>
      <c r="D1475" s="17" t="s">
        <v>155</v>
      </c>
      <c r="E1475" s="17"/>
      <c r="F1475" s="17" t="s">
        <v>156</v>
      </c>
      <c r="G1475" s="17"/>
      <c r="H1475" s="17" t="s">
        <v>692</v>
      </c>
      <c r="I1475" s="17"/>
      <c r="J1475" s="17" t="s">
        <v>693</v>
      </c>
      <c r="K1475" s="17"/>
      <c r="L1475" s="17"/>
      <c r="M1475" s="17"/>
      <c r="N1475" s="17" t="s">
        <v>8098</v>
      </c>
      <c r="O1475" s="17" t="s">
        <v>8133</v>
      </c>
      <c r="P1475" s="17" t="s">
        <v>8216</v>
      </c>
      <c r="Q1475" s="17"/>
      <c r="R1475" s="25" t="str">
        <f>HYPERLINK("https://ictv.global/taxonomy/taxondetails?taxnode_id=202300538","Wphvirus megatron")</f>
        <v>Wphvirus megatron</v>
      </c>
      <c r="S1475" s="18" t="s">
        <v>8141</v>
      </c>
      <c r="T1475" s="18" t="s">
        <v>8225</v>
      </c>
      <c r="U1475" s="18"/>
      <c r="V1475" s="18"/>
      <c r="W1475" s="18" t="s">
        <v>48734</v>
      </c>
      <c r="X1475" s="18" t="s">
        <v>42</v>
      </c>
      <c r="Y1475" s="18" t="s">
        <v>36</v>
      </c>
      <c r="Z1475" s="18" t="s">
        <v>697</v>
      </c>
      <c r="AA1475" s="21" t="str">
        <f>HYPERLINK("https://www.ncbi.nlm.nih.gov/nuccore/KT207918","NCBI Nucleotide")</f>
        <v>NCBI Nucleotide</v>
      </c>
    </row>
    <row r="1476" spans="1:27" x14ac:dyDescent="0.35">
      <c r="A1476">
        <v>1001925</v>
      </c>
      <c r="B1476">
        <v>1471</v>
      </c>
      <c r="C1476">
        <v>1</v>
      </c>
      <c r="D1476" s="17" t="s">
        <v>155</v>
      </c>
      <c r="E1476" s="17"/>
      <c r="F1476" s="17" t="s">
        <v>156</v>
      </c>
      <c r="G1476" s="17"/>
      <c r="H1476" s="17" t="s">
        <v>692</v>
      </c>
      <c r="I1476" s="17"/>
      <c r="J1476" s="17" t="s">
        <v>693</v>
      </c>
      <c r="K1476" s="17"/>
      <c r="L1476" s="17"/>
      <c r="M1476" s="17"/>
      <c r="N1476" s="17" t="s">
        <v>8098</v>
      </c>
      <c r="O1476" s="17" t="s">
        <v>8133</v>
      </c>
      <c r="P1476" s="17" t="s">
        <v>8216</v>
      </c>
      <c r="Q1476" s="17"/>
      <c r="R1476" s="25" t="str">
        <f>HYPERLINK("https://ictv.global/taxonomy/taxondetails?taxnode_id=202300539","Wphvirus WPh")</f>
        <v>Wphvirus WPh</v>
      </c>
      <c r="S1476" s="18" t="s">
        <v>30</v>
      </c>
      <c r="T1476" s="18" t="s">
        <v>8226</v>
      </c>
      <c r="U1476" s="18"/>
      <c r="V1476" s="18"/>
      <c r="W1476" s="18" t="s">
        <v>8227</v>
      </c>
      <c r="X1476" s="18" t="s">
        <v>42</v>
      </c>
      <c r="Y1476" s="18" t="s">
        <v>36</v>
      </c>
      <c r="Z1476" s="18" t="s">
        <v>697</v>
      </c>
      <c r="AA1476" s="21" t="str">
        <f>HYPERLINK("https://www.ncbi.nlm.nih.gov/nuccore/HM144387","NCBI Nucleotide")</f>
        <v>NCBI Nucleotide</v>
      </c>
    </row>
    <row r="1477" spans="1:27" x14ac:dyDescent="0.35">
      <c r="A1477">
        <v>1025140</v>
      </c>
      <c r="B1477">
        <v>1472</v>
      </c>
      <c r="C1477">
        <v>1</v>
      </c>
      <c r="D1477" s="17" t="s">
        <v>155</v>
      </c>
      <c r="E1477" s="17"/>
      <c r="F1477" s="17" t="s">
        <v>156</v>
      </c>
      <c r="G1477" s="17"/>
      <c r="H1477" s="17" t="s">
        <v>692</v>
      </c>
      <c r="I1477" s="17"/>
      <c r="J1477" s="17" t="s">
        <v>693</v>
      </c>
      <c r="K1477" s="17"/>
      <c r="L1477" s="17"/>
      <c r="M1477" s="17"/>
      <c r="N1477" s="17" t="s">
        <v>8098</v>
      </c>
      <c r="O1477" s="17" t="s">
        <v>8228</v>
      </c>
      <c r="P1477" s="17" t="s">
        <v>8229</v>
      </c>
      <c r="Q1477" s="17"/>
      <c r="R1477" s="25" t="str">
        <f>HYPERLINK("https://ictv.global/taxonomy/taxondetails?taxnode_id=202318057","Kochikohdavirus bob")</f>
        <v>Kochikohdavirus bob</v>
      </c>
      <c r="S1477" s="18" t="s">
        <v>30</v>
      </c>
      <c r="T1477" s="18" t="s">
        <v>39357</v>
      </c>
      <c r="U1477" s="18"/>
      <c r="V1477" s="18"/>
      <c r="W1477" s="18" t="s">
        <v>48117</v>
      </c>
      <c r="X1477" s="18" t="s">
        <v>42</v>
      </c>
      <c r="Y1477" s="18" t="s">
        <v>36</v>
      </c>
      <c r="Z1477" s="18" t="s">
        <v>697</v>
      </c>
      <c r="AA1477" s="21" t="str">
        <f>HYPERLINK("https://www.ncbi.nlm.nih.gov/nuccore/ON113169","NCBI Nucleotide")</f>
        <v>NCBI Nucleotide</v>
      </c>
    </row>
    <row r="1478" spans="1:27" x14ac:dyDescent="0.35">
      <c r="A1478">
        <v>1025141</v>
      </c>
      <c r="B1478">
        <v>1473</v>
      </c>
      <c r="C1478">
        <v>1</v>
      </c>
      <c r="D1478" s="17" t="s">
        <v>155</v>
      </c>
      <c r="E1478" s="17"/>
      <c r="F1478" s="17" t="s">
        <v>156</v>
      </c>
      <c r="G1478" s="17"/>
      <c r="H1478" s="17" t="s">
        <v>692</v>
      </c>
      <c r="I1478" s="17"/>
      <c r="J1478" s="17" t="s">
        <v>693</v>
      </c>
      <c r="K1478" s="17"/>
      <c r="L1478" s="17"/>
      <c r="M1478" s="17"/>
      <c r="N1478" s="17" t="s">
        <v>8098</v>
      </c>
      <c r="O1478" s="17" t="s">
        <v>8228</v>
      </c>
      <c r="P1478" s="17" t="s">
        <v>8229</v>
      </c>
      <c r="Q1478" s="17"/>
      <c r="R1478" s="25" t="str">
        <f>HYPERLINK("https://ictv.global/taxonomy/taxondetails?taxnode_id=202318054","Kochikohdavirus car")</f>
        <v>Kochikohdavirus car</v>
      </c>
      <c r="S1478" s="18" t="s">
        <v>30</v>
      </c>
      <c r="T1478" s="18" t="s">
        <v>39358</v>
      </c>
      <c r="U1478" s="18"/>
      <c r="V1478" s="18"/>
      <c r="W1478" s="18" t="s">
        <v>48118</v>
      </c>
      <c r="X1478" s="18" t="s">
        <v>42</v>
      </c>
      <c r="Y1478" s="18" t="s">
        <v>36</v>
      </c>
      <c r="Z1478" s="18" t="s">
        <v>697</v>
      </c>
      <c r="AA1478" s="21" t="str">
        <f>HYPERLINK("https://www.ncbi.nlm.nih.gov/nuccore/ON113168","NCBI Nucleotide")</f>
        <v>NCBI Nucleotide</v>
      </c>
    </row>
    <row r="1479" spans="1:27" x14ac:dyDescent="0.35">
      <c r="A1479">
        <v>1001926</v>
      </c>
      <c r="B1479">
        <v>1474</v>
      </c>
      <c r="C1479">
        <v>1</v>
      </c>
      <c r="D1479" s="17" t="s">
        <v>155</v>
      </c>
      <c r="E1479" s="17"/>
      <c r="F1479" s="17" t="s">
        <v>156</v>
      </c>
      <c r="G1479" s="17"/>
      <c r="H1479" s="17" t="s">
        <v>692</v>
      </c>
      <c r="I1479" s="17"/>
      <c r="J1479" s="17" t="s">
        <v>693</v>
      </c>
      <c r="K1479" s="17"/>
      <c r="L1479" s="17"/>
      <c r="M1479" s="17"/>
      <c r="N1479" s="17" t="s">
        <v>8098</v>
      </c>
      <c r="O1479" s="17" t="s">
        <v>8228</v>
      </c>
      <c r="P1479" s="17" t="s">
        <v>8229</v>
      </c>
      <c r="Q1479" s="17"/>
      <c r="R1479" s="25" t="str">
        <f>HYPERLINK("https://ictv.global/taxonomy/taxondetails?taxnode_id=202306968","Kochikohdavirus ECP3")</f>
        <v>Kochikohdavirus ECP3</v>
      </c>
      <c r="S1479" s="18" t="s">
        <v>30</v>
      </c>
      <c r="T1479" s="18" t="s">
        <v>8230</v>
      </c>
      <c r="U1479" s="18"/>
      <c r="V1479" s="18"/>
      <c r="W1479" s="18" t="s">
        <v>8231</v>
      </c>
      <c r="X1479" s="18" t="s">
        <v>42</v>
      </c>
      <c r="Y1479" s="18" t="s">
        <v>36</v>
      </c>
      <c r="Z1479" s="18" t="s">
        <v>697</v>
      </c>
      <c r="AA1479" s="21" t="str">
        <f>HYPERLINK("https://www.ncbi.nlm.nih.gov/nuccore/KJ801817","NCBI Nucleotide")</f>
        <v>NCBI Nucleotide</v>
      </c>
    </row>
    <row r="1480" spans="1:27" x14ac:dyDescent="0.35">
      <c r="A1480">
        <v>1025144</v>
      </c>
      <c r="B1480">
        <v>1475</v>
      </c>
      <c r="C1480">
        <v>1</v>
      </c>
      <c r="D1480" s="17" t="s">
        <v>155</v>
      </c>
      <c r="E1480" s="17"/>
      <c r="F1480" s="17" t="s">
        <v>156</v>
      </c>
      <c r="G1480" s="17"/>
      <c r="H1480" s="17" t="s">
        <v>692</v>
      </c>
      <c r="I1480" s="17"/>
      <c r="J1480" s="17" t="s">
        <v>693</v>
      </c>
      <c r="K1480" s="17"/>
      <c r="L1480" s="17"/>
      <c r="M1480" s="17"/>
      <c r="N1480" s="17" t="s">
        <v>8098</v>
      </c>
      <c r="O1480" s="17" t="s">
        <v>8228</v>
      </c>
      <c r="P1480" s="17" t="s">
        <v>8229</v>
      </c>
      <c r="Q1480" s="17"/>
      <c r="R1480" s="25" t="str">
        <f>HYPERLINK("https://ictv.global/taxonomy/taxondetails?taxnode_id=202318049","Kochikohdavirus Ef23")</f>
        <v>Kochikohdavirus Ef23</v>
      </c>
      <c r="S1480" s="18" t="s">
        <v>30</v>
      </c>
      <c r="T1480" s="18" t="s">
        <v>39359</v>
      </c>
      <c r="U1480" s="18"/>
      <c r="V1480" s="18"/>
      <c r="W1480" s="18" t="s">
        <v>48119</v>
      </c>
      <c r="X1480" s="18" t="s">
        <v>42</v>
      </c>
      <c r="Y1480" s="18" t="s">
        <v>36</v>
      </c>
      <c r="Z1480" s="18" t="s">
        <v>697</v>
      </c>
      <c r="AA1480" s="21" t="str">
        <f>HYPERLINK("https://www.ncbi.nlm.nih.gov/nuccore/MK721192","NCBI Nucleotide")</f>
        <v>NCBI Nucleotide</v>
      </c>
    </row>
    <row r="1481" spans="1:27" x14ac:dyDescent="0.35">
      <c r="A1481">
        <v>1025142</v>
      </c>
      <c r="B1481">
        <v>1476</v>
      </c>
      <c r="C1481">
        <v>1</v>
      </c>
      <c r="D1481" s="17" t="s">
        <v>155</v>
      </c>
      <c r="E1481" s="17"/>
      <c r="F1481" s="17" t="s">
        <v>156</v>
      </c>
      <c r="G1481" s="17"/>
      <c r="H1481" s="17" t="s">
        <v>692</v>
      </c>
      <c r="I1481" s="17"/>
      <c r="J1481" s="17" t="s">
        <v>693</v>
      </c>
      <c r="K1481" s="17"/>
      <c r="L1481" s="17"/>
      <c r="M1481" s="17"/>
      <c r="N1481" s="17" t="s">
        <v>8098</v>
      </c>
      <c r="O1481" s="17" t="s">
        <v>8228</v>
      </c>
      <c r="P1481" s="17" t="s">
        <v>8229</v>
      </c>
      <c r="Q1481" s="17"/>
      <c r="R1481" s="25" t="str">
        <f>HYPERLINK("https://ictv.global/taxonomy/taxondetails?taxnode_id=202318051","Kochikohdavirus Ef17h")</f>
        <v>Kochikohdavirus Ef17h</v>
      </c>
      <c r="S1481" s="18" t="s">
        <v>30</v>
      </c>
      <c r="T1481" s="18" t="s">
        <v>39360</v>
      </c>
      <c r="U1481" s="18"/>
      <c r="V1481" s="18"/>
      <c r="W1481" s="18" t="s">
        <v>48120</v>
      </c>
      <c r="X1481" s="18" t="s">
        <v>42</v>
      </c>
      <c r="Y1481" s="18" t="s">
        <v>36</v>
      </c>
      <c r="Z1481" s="18" t="s">
        <v>697</v>
      </c>
      <c r="AA1481" s="21" t="str">
        <f>HYPERLINK("https://www.ncbi.nlm.nih.gov/nuccore/AP018714","NCBI Nucleotide")</f>
        <v>NCBI Nucleotide</v>
      </c>
    </row>
    <row r="1482" spans="1:27" x14ac:dyDescent="0.35">
      <c r="A1482">
        <v>1025143</v>
      </c>
      <c r="B1482">
        <v>1477</v>
      </c>
      <c r="C1482">
        <v>1</v>
      </c>
      <c r="D1482" s="17" t="s">
        <v>155</v>
      </c>
      <c r="E1482" s="17"/>
      <c r="F1482" s="17" t="s">
        <v>156</v>
      </c>
      <c r="G1482" s="17"/>
      <c r="H1482" s="17" t="s">
        <v>692</v>
      </c>
      <c r="I1482" s="17"/>
      <c r="J1482" s="17" t="s">
        <v>693</v>
      </c>
      <c r="K1482" s="17"/>
      <c r="L1482" s="17"/>
      <c r="M1482" s="17"/>
      <c r="N1482" s="17" t="s">
        <v>8098</v>
      </c>
      <c r="O1482" s="17" t="s">
        <v>8228</v>
      </c>
      <c r="P1482" s="17" t="s">
        <v>8229</v>
      </c>
      <c r="Q1482" s="17"/>
      <c r="R1482" s="25" t="str">
        <f>HYPERLINK("https://ictv.global/taxonomy/taxondetails?taxnode_id=202318052","Kochikohdavirus Ef19g")</f>
        <v>Kochikohdavirus Ef19g</v>
      </c>
      <c r="S1482" s="18" t="s">
        <v>30</v>
      </c>
      <c r="T1482" s="18" t="s">
        <v>39361</v>
      </c>
      <c r="U1482" s="18"/>
      <c r="V1482" s="18"/>
      <c r="W1482" s="18" t="s">
        <v>48121</v>
      </c>
      <c r="X1482" s="18" t="s">
        <v>42</v>
      </c>
      <c r="Y1482" s="18" t="s">
        <v>36</v>
      </c>
      <c r="Z1482" s="18" t="s">
        <v>697</v>
      </c>
      <c r="AA1482" s="21" t="str">
        <f>HYPERLINK("https://www.ncbi.nlm.nih.gov/nuccore/LC596379","NCBI Nucleotide")</f>
        <v>NCBI Nucleotide</v>
      </c>
    </row>
    <row r="1483" spans="1:27" x14ac:dyDescent="0.35">
      <c r="A1483">
        <v>1001927</v>
      </c>
      <c r="B1483">
        <v>1478</v>
      </c>
      <c r="C1483">
        <v>1</v>
      </c>
      <c r="D1483" s="17" t="s">
        <v>155</v>
      </c>
      <c r="E1483" s="17"/>
      <c r="F1483" s="17" t="s">
        <v>156</v>
      </c>
      <c r="G1483" s="17"/>
      <c r="H1483" s="17" t="s">
        <v>692</v>
      </c>
      <c r="I1483" s="17"/>
      <c r="J1483" s="17" t="s">
        <v>693</v>
      </c>
      <c r="K1483" s="17"/>
      <c r="L1483" s="17"/>
      <c r="M1483" s="17"/>
      <c r="N1483" s="17" t="s">
        <v>8098</v>
      </c>
      <c r="O1483" s="17" t="s">
        <v>8228</v>
      </c>
      <c r="P1483" s="17" t="s">
        <v>8229</v>
      </c>
      <c r="Q1483" s="17"/>
      <c r="R1483" s="25" t="str">
        <f>HYPERLINK("https://ictv.global/taxonomy/taxondetails?taxnode_id=202300275","Kochikohdavirus EF24C")</f>
        <v>Kochikohdavirus EF24C</v>
      </c>
      <c r="S1483" s="18" t="s">
        <v>30</v>
      </c>
      <c r="T1483" s="18" t="s">
        <v>8232</v>
      </c>
      <c r="U1483" s="18"/>
      <c r="V1483" s="18"/>
      <c r="W1483" s="18" t="s">
        <v>8233</v>
      </c>
      <c r="X1483" s="18" t="s">
        <v>42</v>
      </c>
      <c r="Y1483" s="18" t="s">
        <v>36</v>
      </c>
      <c r="Z1483" s="18" t="s">
        <v>697</v>
      </c>
      <c r="AA1483" s="21" t="str">
        <f>HYPERLINK("https://www.ncbi.nlm.nih.gov/nuccore/AP009390","NCBI Nucleotide")</f>
        <v>NCBI Nucleotide</v>
      </c>
    </row>
    <row r="1484" spans="1:27" x14ac:dyDescent="0.35">
      <c r="A1484">
        <v>1025145</v>
      </c>
      <c r="B1484">
        <v>1479</v>
      </c>
      <c r="C1484">
        <v>1</v>
      </c>
      <c r="D1484" s="17" t="s">
        <v>155</v>
      </c>
      <c r="E1484" s="17"/>
      <c r="F1484" s="17" t="s">
        <v>156</v>
      </c>
      <c r="G1484" s="17"/>
      <c r="H1484" s="17" t="s">
        <v>692</v>
      </c>
      <c r="I1484" s="17"/>
      <c r="J1484" s="17" t="s">
        <v>693</v>
      </c>
      <c r="K1484" s="17"/>
      <c r="L1484" s="17"/>
      <c r="M1484" s="17"/>
      <c r="N1484" s="17" t="s">
        <v>8098</v>
      </c>
      <c r="O1484" s="17" t="s">
        <v>8228</v>
      </c>
      <c r="P1484" s="17" t="s">
        <v>8229</v>
      </c>
      <c r="Q1484" s="17"/>
      <c r="R1484" s="25" t="str">
        <f>HYPERLINK("https://ictv.global/taxonomy/taxondetails?taxnode_id=202318058","Kochikohdavirus EF24CP2")</f>
        <v>Kochikohdavirus EF24CP2</v>
      </c>
      <c r="S1484" s="18" t="s">
        <v>30</v>
      </c>
      <c r="T1484" s="18" t="s">
        <v>8234</v>
      </c>
      <c r="U1484" s="18"/>
      <c r="V1484" s="18"/>
      <c r="W1484" s="18" t="s">
        <v>8235</v>
      </c>
      <c r="X1484" s="18" t="s">
        <v>42</v>
      </c>
      <c r="Y1484" s="18" t="s">
        <v>36</v>
      </c>
      <c r="Z1484" s="18" t="s">
        <v>697</v>
      </c>
      <c r="AA1484" s="21" t="str">
        <f>HYPERLINK("https://www.ncbi.nlm.nih.gov/nuccore/AB609718","NCBI Nucleotide")</f>
        <v>NCBI Nucleotide</v>
      </c>
    </row>
    <row r="1485" spans="1:27" x14ac:dyDescent="0.35">
      <c r="A1485">
        <v>1001928</v>
      </c>
      <c r="B1485">
        <v>1480</v>
      </c>
      <c r="C1485">
        <v>1</v>
      </c>
      <c r="D1485" s="17" t="s">
        <v>155</v>
      </c>
      <c r="E1485" s="17"/>
      <c r="F1485" s="17" t="s">
        <v>156</v>
      </c>
      <c r="G1485" s="17"/>
      <c r="H1485" s="17" t="s">
        <v>692</v>
      </c>
      <c r="I1485" s="17"/>
      <c r="J1485" s="17" t="s">
        <v>693</v>
      </c>
      <c r="K1485" s="17"/>
      <c r="L1485" s="17"/>
      <c r="M1485" s="17"/>
      <c r="N1485" s="17" t="s">
        <v>8098</v>
      </c>
      <c r="O1485" s="17" t="s">
        <v>8228</v>
      </c>
      <c r="P1485" s="17" t="s">
        <v>8229</v>
      </c>
      <c r="Q1485" s="17"/>
      <c r="R1485" s="25" t="str">
        <f>HYPERLINK("https://ictv.global/taxonomy/taxondetails?taxnode_id=202306969","Kochikohdavirus EFLK1")</f>
        <v>Kochikohdavirus EFLK1</v>
      </c>
      <c r="S1485" s="18" t="s">
        <v>30</v>
      </c>
      <c r="T1485" s="18" t="s">
        <v>8236</v>
      </c>
      <c r="U1485" s="18"/>
      <c r="V1485" s="18"/>
      <c r="W1485" s="18" t="s">
        <v>8237</v>
      </c>
      <c r="X1485" s="18" t="s">
        <v>42</v>
      </c>
      <c r="Y1485" s="18" t="s">
        <v>36</v>
      </c>
      <c r="Z1485" s="18" t="s">
        <v>697</v>
      </c>
      <c r="AA1485" s="21" t="str">
        <f>HYPERLINK("https://www.ncbi.nlm.nih.gov/nuccore/KR049063","NCBI Nucleotide")</f>
        <v>NCBI Nucleotide</v>
      </c>
    </row>
    <row r="1486" spans="1:27" x14ac:dyDescent="0.35">
      <c r="A1486">
        <v>1025147</v>
      </c>
      <c r="B1486">
        <v>1481</v>
      </c>
      <c r="C1486">
        <v>1</v>
      </c>
      <c r="D1486" s="17" t="s">
        <v>155</v>
      </c>
      <c r="E1486" s="17"/>
      <c r="F1486" s="17" t="s">
        <v>156</v>
      </c>
      <c r="G1486" s="17"/>
      <c r="H1486" s="17" t="s">
        <v>692</v>
      </c>
      <c r="I1486" s="17"/>
      <c r="J1486" s="17" t="s">
        <v>693</v>
      </c>
      <c r="K1486" s="17"/>
      <c r="L1486" s="17"/>
      <c r="M1486" s="17"/>
      <c r="N1486" s="17" t="s">
        <v>8098</v>
      </c>
      <c r="O1486" s="17" t="s">
        <v>8228</v>
      </c>
      <c r="P1486" s="17" t="s">
        <v>8229</v>
      </c>
      <c r="Q1486" s="17"/>
      <c r="R1486" s="25" t="str">
        <f>HYPERLINK("https://ictv.global/taxonomy/taxondetails?taxnode_id=202318056","Kochikohdavirus kv53")</f>
        <v>Kochikohdavirus kv53</v>
      </c>
      <c r="S1486" s="18" t="s">
        <v>30</v>
      </c>
      <c r="T1486" s="18" t="s">
        <v>39362</v>
      </c>
      <c r="U1486" s="18"/>
      <c r="V1486" s="18"/>
      <c r="W1486" s="18" t="s">
        <v>48122</v>
      </c>
      <c r="X1486" s="18" t="s">
        <v>42</v>
      </c>
      <c r="Y1486" s="18" t="s">
        <v>36</v>
      </c>
      <c r="Z1486" s="18" t="s">
        <v>697</v>
      </c>
      <c r="AA1486" s="21" t="str">
        <f>HYPERLINK("https://www.ncbi.nlm.nih.gov/nuccore/OQ420427","NCBI Nucleotide")</f>
        <v>NCBI Nucleotide</v>
      </c>
    </row>
    <row r="1487" spans="1:27" x14ac:dyDescent="0.35">
      <c r="A1487">
        <v>1025146</v>
      </c>
      <c r="B1487">
        <v>1482</v>
      </c>
      <c r="C1487">
        <v>1</v>
      </c>
      <c r="D1487" s="17" t="s">
        <v>155</v>
      </c>
      <c r="E1487" s="17"/>
      <c r="F1487" s="17" t="s">
        <v>156</v>
      </c>
      <c r="G1487" s="17"/>
      <c r="H1487" s="17" t="s">
        <v>692</v>
      </c>
      <c r="I1487" s="17"/>
      <c r="J1487" s="17" t="s">
        <v>693</v>
      </c>
      <c r="K1487" s="17"/>
      <c r="L1487" s="17"/>
      <c r="M1487" s="17"/>
      <c r="N1487" s="17" t="s">
        <v>8098</v>
      </c>
      <c r="O1487" s="17" t="s">
        <v>8228</v>
      </c>
      <c r="P1487" s="17" t="s">
        <v>8229</v>
      </c>
      <c r="Q1487" s="17"/>
      <c r="R1487" s="25" t="str">
        <f>HYPERLINK("https://ictv.global/taxonomy/taxondetails?taxnode_id=202318048","Kochikohdavirus kv149")</f>
        <v>Kochikohdavirus kv149</v>
      </c>
      <c r="S1487" s="18" t="s">
        <v>30</v>
      </c>
      <c r="T1487" s="18" t="s">
        <v>39363</v>
      </c>
      <c r="U1487" s="18"/>
      <c r="V1487" s="18"/>
      <c r="W1487" s="18" t="s">
        <v>48123</v>
      </c>
      <c r="X1487" s="18" t="s">
        <v>42</v>
      </c>
      <c r="Y1487" s="18" t="s">
        <v>36</v>
      </c>
      <c r="Z1487" s="18" t="s">
        <v>697</v>
      </c>
      <c r="AA1487" s="21" t="str">
        <f>HYPERLINK("https://www.ncbi.nlm.nih.gov/nuccore/CAJDJZ010000002","NCBI Nucleotide")</f>
        <v>NCBI Nucleotide</v>
      </c>
    </row>
    <row r="1488" spans="1:27" x14ac:dyDescent="0.35">
      <c r="A1488">
        <v>1025148</v>
      </c>
      <c r="B1488">
        <v>1483</v>
      </c>
      <c r="C1488">
        <v>1</v>
      </c>
      <c r="D1488" s="17" t="s">
        <v>155</v>
      </c>
      <c r="E1488" s="17"/>
      <c r="F1488" s="17" t="s">
        <v>156</v>
      </c>
      <c r="G1488" s="17"/>
      <c r="H1488" s="17" t="s">
        <v>692</v>
      </c>
      <c r="I1488" s="17"/>
      <c r="J1488" s="17" t="s">
        <v>693</v>
      </c>
      <c r="K1488" s="17"/>
      <c r="L1488" s="17"/>
      <c r="M1488" s="17"/>
      <c r="N1488" s="17" t="s">
        <v>8098</v>
      </c>
      <c r="O1488" s="17" t="s">
        <v>8228</v>
      </c>
      <c r="P1488" s="17" t="s">
        <v>8229</v>
      </c>
      <c r="Q1488" s="17"/>
      <c r="R1488" s="25" t="str">
        <f>HYPERLINK("https://ictv.global/taxonomy/taxondetails?taxnode_id=202318055","Kochikohdavirus mda2")</f>
        <v>Kochikohdavirus mda2</v>
      </c>
      <c r="S1488" s="18" t="s">
        <v>30</v>
      </c>
      <c r="T1488" s="18" t="s">
        <v>39364</v>
      </c>
      <c r="U1488" s="18"/>
      <c r="V1488" s="18"/>
      <c r="W1488" s="18" t="s">
        <v>48124</v>
      </c>
      <c r="X1488" s="18" t="s">
        <v>42</v>
      </c>
      <c r="Y1488" s="18" t="s">
        <v>36</v>
      </c>
      <c r="Z1488" s="18" t="s">
        <v>697</v>
      </c>
      <c r="AA1488" s="21" t="str">
        <f>HYPERLINK("https://www.ncbi.nlm.nih.gov/nuccore/MW633168","NCBI Nucleotide")</f>
        <v>NCBI Nucleotide</v>
      </c>
    </row>
    <row r="1489" spans="1:27" x14ac:dyDescent="0.35">
      <c r="A1489">
        <v>1025149</v>
      </c>
      <c r="B1489">
        <v>1484</v>
      </c>
      <c r="C1489">
        <v>1</v>
      </c>
      <c r="D1489" s="17" t="s">
        <v>155</v>
      </c>
      <c r="E1489" s="17"/>
      <c r="F1489" s="17" t="s">
        <v>156</v>
      </c>
      <c r="G1489" s="17"/>
      <c r="H1489" s="17" t="s">
        <v>692</v>
      </c>
      <c r="I1489" s="17"/>
      <c r="J1489" s="17" t="s">
        <v>693</v>
      </c>
      <c r="K1489" s="17"/>
      <c r="L1489" s="17"/>
      <c r="M1489" s="17"/>
      <c r="N1489" s="17" t="s">
        <v>8098</v>
      </c>
      <c r="O1489" s="17" t="s">
        <v>8228</v>
      </c>
      <c r="P1489" s="17" t="s">
        <v>8229</v>
      </c>
      <c r="Q1489" s="17"/>
      <c r="R1489" s="25" t="str">
        <f>HYPERLINK("https://ictv.global/taxonomy/taxondetails?taxnode_id=202318053","Kochikohdavirus PBEF19")</f>
        <v>Kochikohdavirus PBEF19</v>
      </c>
      <c r="S1489" s="18" t="s">
        <v>30</v>
      </c>
      <c r="T1489" s="18" t="s">
        <v>39365</v>
      </c>
      <c r="U1489" s="18"/>
      <c r="V1489" s="18"/>
      <c r="W1489" s="18" t="s">
        <v>48125</v>
      </c>
      <c r="X1489" s="18" t="s">
        <v>42</v>
      </c>
      <c r="Y1489" s="18" t="s">
        <v>36</v>
      </c>
      <c r="Z1489" s="18" t="s">
        <v>697</v>
      </c>
      <c r="AA1489" s="21" t="str">
        <f>HYPERLINK("https://www.ncbi.nlm.nih.gov/nuccore/MN854830","NCBI Nucleotide")</f>
        <v>NCBI Nucleotide</v>
      </c>
    </row>
    <row r="1490" spans="1:27" x14ac:dyDescent="0.35">
      <c r="A1490">
        <v>1025150</v>
      </c>
      <c r="B1490">
        <v>1485</v>
      </c>
      <c r="C1490">
        <v>1</v>
      </c>
      <c r="D1490" s="17" t="s">
        <v>155</v>
      </c>
      <c r="E1490" s="17"/>
      <c r="F1490" s="17" t="s">
        <v>156</v>
      </c>
      <c r="G1490" s="17"/>
      <c r="H1490" s="17" t="s">
        <v>692</v>
      </c>
      <c r="I1490" s="17"/>
      <c r="J1490" s="17" t="s">
        <v>693</v>
      </c>
      <c r="K1490" s="17"/>
      <c r="L1490" s="17"/>
      <c r="M1490" s="17"/>
      <c r="N1490" s="17" t="s">
        <v>8098</v>
      </c>
      <c r="O1490" s="17" t="s">
        <v>8228</v>
      </c>
      <c r="P1490" s="17" t="s">
        <v>8229</v>
      </c>
      <c r="Q1490" s="17"/>
      <c r="R1490" s="25" t="str">
        <f>HYPERLINK("https://ictv.global/taxonomy/taxondetails?taxnode_id=202318050","Kochikohdavirus Sw5")</f>
        <v>Kochikohdavirus Sw5</v>
      </c>
      <c r="S1490" s="18" t="s">
        <v>30</v>
      </c>
      <c r="T1490" s="18" t="s">
        <v>39366</v>
      </c>
      <c r="U1490" s="18"/>
      <c r="V1490" s="18"/>
      <c r="W1490" s="18" t="s">
        <v>48126</v>
      </c>
      <c r="X1490" s="18" t="s">
        <v>42</v>
      </c>
      <c r="Y1490" s="18" t="s">
        <v>36</v>
      </c>
      <c r="Z1490" s="18" t="s">
        <v>697</v>
      </c>
      <c r="AA1490" s="21" t="str">
        <f>HYPERLINK("https://www.ncbi.nlm.nih.gov/nuccore/ON286976","NCBI Nucleotide")</f>
        <v>NCBI Nucleotide</v>
      </c>
    </row>
    <row r="1491" spans="1:27" x14ac:dyDescent="0.35">
      <c r="A1491">
        <v>1024803</v>
      </c>
      <c r="B1491">
        <v>1486</v>
      </c>
      <c r="C1491">
        <v>1</v>
      </c>
      <c r="D1491" s="17" t="s">
        <v>155</v>
      </c>
      <c r="E1491" s="17"/>
      <c r="F1491" s="17" t="s">
        <v>156</v>
      </c>
      <c r="G1491" s="17"/>
      <c r="H1491" s="17" t="s">
        <v>692</v>
      </c>
      <c r="I1491" s="17"/>
      <c r="J1491" s="17" t="s">
        <v>693</v>
      </c>
      <c r="K1491" s="17"/>
      <c r="L1491" s="17"/>
      <c r="M1491" s="17"/>
      <c r="N1491" s="17" t="s">
        <v>8098</v>
      </c>
      <c r="O1491" s="17" t="s">
        <v>8228</v>
      </c>
      <c r="P1491" s="17" t="s">
        <v>8238</v>
      </c>
      <c r="Q1491" s="17"/>
      <c r="R1491" s="25" t="str">
        <f>HYPERLINK("https://ictv.global/taxonomy/taxondetails?taxnode_id=202318042","Schiekvirus 163")</f>
        <v>Schiekvirus 163</v>
      </c>
      <c r="S1491" s="18" t="s">
        <v>30</v>
      </c>
      <c r="T1491" s="18" t="s">
        <v>39367</v>
      </c>
      <c r="U1491" s="18"/>
      <c r="V1491" s="18"/>
      <c r="W1491" s="18" t="s">
        <v>48127</v>
      </c>
      <c r="X1491" s="18" t="s">
        <v>42</v>
      </c>
      <c r="Y1491" s="18" t="s">
        <v>36</v>
      </c>
      <c r="Z1491" s="18" t="s">
        <v>697</v>
      </c>
      <c r="AA1491" s="21" t="str">
        <f>HYPERLINK("https://www.ncbi.nlm.nih.gov/nuccore/CAJDKA010000002","NCBI Nucleotide")</f>
        <v>NCBI Nucleotide</v>
      </c>
    </row>
    <row r="1492" spans="1:27" x14ac:dyDescent="0.35">
      <c r="A1492">
        <v>1024804</v>
      </c>
      <c r="B1492">
        <v>1487</v>
      </c>
      <c r="C1492">
        <v>1</v>
      </c>
      <c r="D1492" s="17" t="s">
        <v>155</v>
      </c>
      <c r="E1492" s="17"/>
      <c r="F1492" s="17" t="s">
        <v>156</v>
      </c>
      <c r="G1492" s="17"/>
      <c r="H1492" s="17" t="s">
        <v>692</v>
      </c>
      <c r="I1492" s="17"/>
      <c r="J1492" s="17" t="s">
        <v>693</v>
      </c>
      <c r="K1492" s="17"/>
      <c r="L1492" s="17"/>
      <c r="M1492" s="17"/>
      <c r="N1492" s="17" t="s">
        <v>8098</v>
      </c>
      <c r="O1492" s="17" t="s">
        <v>8228</v>
      </c>
      <c r="P1492" s="17" t="s">
        <v>8238</v>
      </c>
      <c r="Q1492" s="17"/>
      <c r="R1492" s="25" t="str">
        <f>HYPERLINK("https://ictv.global/taxonomy/taxondetails?taxnode_id=202318038","Schiekvirus A2")</f>
        <v>Schiekvirus A2</v>
      </c>
      <c r="S1492" s="18" t="s">
        <v>30</v>
      </c>
      <c r="T1492" s="18" t="s">
        <v>39368</v>
      </c>
      <c r="U1492" s="18"/>
      <c r="V1492" s="18"/>
      <c r="W1492" s="18" t="s">
        <v>48128</v>
      </c>
      <c r="X1492" s="18" t="s">
        <v>42</v>
      </c>
      <c r="Y1492" s="18" t="s">
        <v>36</v>
      </c>
      <c r="Z1492" s="18" t="s">
        <v>697</v>
      </c>
      <c r="AA1492" s="21" t="str">
        <f>HYPERLINK("https://www.ncbi.nlm.nih.gov/nuccore/MT856905","NCBI Nucleotide")</f>
        <v>NCBI Nucleotide</v>
      </c>
    </row>
    <row r="1493" spans="1:27" x14ac:dyDescent="0.35">
      <c r="A1493">
        <v>1024805</v>
      </c>
      <c r="B1493">
        <v>1488</v>
      </c>
      <c r="C1493">
        <v>1</v>
      </c>
      <c r="D1493" s="17" t="s">
        <v>155</v>
      </c>
      <c r="E1493" s="17"/>
      <c r="F1493" s="17" t="s">
        <v>156</v>
      </c>
      <c r="G1493" s="17"/>
      <c r="H1493" s="17" t="s">
        <v>692</v>
      </c>
      <c r="I1493" s="17"/>
      <c r="J1493" s="17" t="s">
        <v>693</v>
      </c>
      <c r="K1493" s="17"/>
      <c r="L1493" s="17"/>
      <c r="M1493" s="17"/>
      <c r="N1493" s="17" t="s">
        <v>8098</v>
      </c>
      <c r="O1493" s="17" t="s">
        <v>8228</v>
      </c>
      <c r="P1493" s="17" t="s">
        <v>8238</v>
      </c>
      <c r="Q1493" s="17"/>
      <c r="R1493" s="25" t="str">
        <f>HYPERLINK("https://ictv.global/taxonomy/taxondetails?taxnode_id=202318041","Schiekvirus ben")</f>
        <v>Schiekvirus ben</v>
      </c>
      <c r="S1493" s="18" t="s">
        <v>30</v>
      </c>
      <c r="T1493" s="18" t="s">
        <v>39369</v>
      </c>
      <c r="U1493" s="18"/>
      <c r="V1493" s="18"/>
      <c r="W1493" s="18" t="s">
        <v>48129</v>
      </c>
      <c r="X1493" s="18" t="s">
        <v>42</v>
      </c>
      <c r="Y1493" s="18" t="s">
        <v>36</v>
      </c>
      <c r="Z1493" s="18" t="s">
        <v>697</v>
      </c>
      <c r="AA1493" s="21" t="str">
        <f>HYPERLINK("https://www.ncbi.nlm.nih.gov/nuccore/MN027503","NCBI Nucleotide")</f>
        <v>NCBI Nucleotide</v>
      </c>
    </row>
    <row r="1494" spans="1:27" x14ac:dyDescent="0.35">
      <c r="A1494">
        <v>1024806</v>
      </c>
      <c r="B1494">
        <v>1489</v>
      </c>
      <c r="C1494">
        <v>1</v>
      </c>
      <c r="D1494" s="17" t="s">
        <v>155</v>
      </c>
      <c r="E1494" s="17"/>
      <c r="F1494" s="17" t="s">
        <v>156</v>
      </c>
      <c r="G1494" s="17"/>
      <c r="H1494" s="17" t="s">
        <v>692</v>
      </c>
      <c r="I1494" s="17"/>
      <c r="J1494" s="17" t="s">
        <v>693</v>
      </c>
      <c r="K1494" s="17"/>
      <c r="L1494" s="17"/>
      <c r="M1494" s="17"/>
      <c r="N1494" s="17" t="s">
        <v>8098</v>
      </c>
      <c r="O1494" s="17" t="s">
        <v>8228</v>
      </c>
      <c r="P1494" s="17" t="s">
        <v>8238</v>
      </c>
      <c r="Q1494" s="17"/>
      <c r="R1494" s="25" t="str">
        <f>HYPERLINK("https://ictv.global/taxonomy/taxondetails?taxnode_id=202318034","Schiekvirus bill")</f>
        <v>Schiekvirus bill</v>
      </c>
      <c r="S1494" s="18" t="s">
        <v>30</v>
      </c>
      <c r="T1494" s="18" t="s">
        <v>39370</v>
      </c>
      <c r="U1494" s="18"/>
      <c r="V1494" s="18"/>
      <c r="W1494" s="18" t="s">
        <v>48130</v>
      </c>
      <c r="X1494" s="18" t="s">
        <v>42</v>
      </c>
      <c r="Y1494" s="18" t="s">
        <v>36</v>
      </c>
      <c r="Z1494" s="18" t="s">
        <v>697</v>
      </c>
      <c r="AA1494" s="21" t="str">
        <f>HYPERLINK("https://www.ncbi.nlm.nih.gov/nuccore/OM966901","NCBI Nucleotide")</f>
        <v>NCBI Nucleotide</v>
      </c>
    </row>
    <row r="1495" spans="1:27" x14ac:dyDescent="0.35">
      <c r="A1495">
        <v>1024807</v>
      </c>
      <c r="B1495">
        <v>1490</v>
      </c>
      <c r="C1495">
        <v>1</v>
      </c>
      <c r="D1495" s="17" t="s">
        <v>155</v>
      </c>
      <c r="E1495" s="17"/>
      <c r="F1495" s="17" t="s">
        <v>156</v>
      </c>
      <c r="G1495" s="17"/>
      <c r="H1495" s="17" t="s">
        <v>692</v>
      </c>
      <c r="I1495" s="17"/>
      <c r="J1495" s="17" t="s">
        <v>693</v>
      </c>
      <c r="K1495" s="17"/>
      <c r="L1495" s="17"/>
      <c r="M1495" s="17"/>
      <c r="N1495" s="17" t="s">
        <v>8098</v>
      </c>
      <c r="O1495" s="17" t="s">
        <v>8228</v>
      </c>
      <c r="P1495" s="17" t="s">
        <v>8238</v>
      </c>
      <c r="Q1495" s="17"/>
      <c r="R1495" s="25" t="str">
        <f>HYPERLINK("https://ictv.global/taxonomy/taxondetails?taxnode_id=202318040","Schiekvirus bop")</f>
        <v>Schiekvirus bop</v>
      </c>
      <c r="S1495" s="18" t="s">
        <v>30</v>
      </c>
      <c r="T1495" s="18" t="s">
        <v>39371</v>
      </c>
      <c r="U1495" s="18"/>
      <c r="V1495" s="18"/>
      <c r="W1495" s="18" t="s">
        <v>48131</v>
      </c>
      <c r="X1495" s="18" t="s">
        <v>42</v>
      </c>
      <c r="Y1495" s="18" t="s">
        <v>36</v>
      </c>
      <c r="Z1495" s="18" t="s">
        <v>697</v>
      </c>
      <c r="AA1495" s="21" t="str">
        <f>HYPERLINK("https://www.ncbi.nlm.nih.gov/nuccore/ON125307","NCBI Nucleotide")</f>
        <v>NCBI Nucleotide</v>
      </c>
    </row>
    <row r="1496" spans="1:27" x14ac:dyDescent="0.35">
      <c r="A1496">
        <v>1024808</v>
      </c>
      <c r="B1496">
        <v>1491</v>
      </c>
      <c r="C1496">
        <v>1</v>
      </c>
      <c r="D1496" s="17" t="s">
        <v>155</v>
      </c>
      <c r="E1496" s="17"/>
      <c r="F1496" s="17" t="s">
        <v>156</v>
      </c>
      <c r="G1496" s="17"/>
      <c r="H1496" s="17" t="s">
        <v>692</v>
      </c>
      <c r="I1496" s="17"/>
      <c r="J1496" s="17" t="s">
        <v>693</v>
      </c>
      <c r="K1496" s="17"/>
      <c r="L1496" s="17"/>
      <c r="M1496" s="17"/>
      <c r="N1496" s="17" t="s">
        <v>8098</v>
      </c>
      <c r="O1496" s="17" t="s">
        <v>8228</v>
      </c>
      <c r="P1496" s="17" t="s">
        <v>8238</v>
      </c>
      <c r="Q1496" s="17"/>
      <c r="R1496" s="25" t="str">
        <f>HYPERLINK("https://ictv.global/taxonomy/taxondetails?taxnode_id=202318043","Schiekvirus Ccs1")</f>
        <v>Schiekvirus Ccs1</v>
      </c>
      <c r="S1496" s="18" t="s">
        <v>30</v>
      </c>
      <c r="T1496" s="18" t="s">
        <v>39372</v>
      </c>
      <c r="U1496" s="18"/>
      <c r="V1496" s="18"/>
      <c r="W1496" s="18" t="s">
        <v>48132</v>
      </c>
      <c r="X1496" s="18" t="s">
        <v>42</v>
      </c>
      <c r="Y1496" s="18" t="s">
        <v>36</v>
      </c>
      <c r="Z1496" s="18" t="s">
        <v>697</v>
      </c>
      <c r="AA1496" s="21" t="str">
        <f>HYPERLINK("https://www.ncbi.nlm.nih.gov/nuccore/ON113170","NCBI Nucleotide")</f>
        <v>NCBI Nucleotide</v>
      </c>
    </row>
    <row r="1497" spans="1:27" x14ac:dyDescent="0.35">
      <c r="A1497">
        <v>1001929</v>
      </c>
      <c r="B1497">
        <v>1492</v>
      </c>
      <c r="C1497">
        <v>1</v>
      </c>
      <c r="D1497" s="17" t="s">
        <v>155</v>
      </c>
      <c r="E1497" s="17"/>
      <c r="F1497" s="17" t="s">
        <v>156</v>
      </c>
      <c r="G1497" s="17"/>
      <c r="H1497" s="17" t="s">
        <v>692</v>
      </c>
      <c r="I1497" s="17"/>
      <c r="J1497" s="17" t="s">
        <v>693</v>
      </c>
      <c r="K1497" s="17"/>
      <c r="L1497" s="17"/>
      <c r="M1497" s="17"/>
      <c r="N1497" s="17" t="s">
        <v>8098</v>
      </c>
      <c r="O1497" s="17" t="s">
        <v>8228</v>
      </c>
      <c r="P1497" s="17" t="s">
        <v>8238</v>
      </c>
      <c r="Q1497" s="17"/>
      <c r="R1497" s="25" t="str">
        <f>HYPERLINK("https://ictv.global/taxonomy/taxondetails?taxnode_id=202306970","Schiekvirus EFDG1")</f>
        <v>Schiekvirus EFDG1</v>
      </c>
      <c r="S1497" s="18" t="s">
        <v>30</v>
      </c>
      <c r="T1497" s="18" t="s">
        <v>8239</v>
      </c>
      <c r="U1497" s="18"/>
      <c r="V1497" s="18"/>
      <c r="W1497" s="18" t="s">
        <v>8240</v>
      </c>
      <c r="X1497" s="18" t="s">
        <v>42</v>
      </c>
      <c r="Y1497" s="18" t="s">
        <v>36</v>
      </c>
      <c r="Z1497" s="18" t="s">
        <v>697</v>
      </c>
      <c r="AA1497" s="21" t="str">
        <f>HYPERLINK("https://www.ncbi.nlm.nih.gov/nuccore/KP339049","NCBI Nucleotide")</f>
        <v>NCBI Nucleotide</v>
      </c>
    </row>
    <row r="1498" spans="1:27" x14ac:dyDescent="0.35">
      <c r="A1498">
        <v>1024809</v>
      </c>
      <c r="B1498">
        <v>1493</v>
      </c>
      <c r="C1498">
        <v>1</v>
      </c>
      <c r="D1498" s="17" t="s">
        <v>155</v>
      </c>
      <c r="E1498" s="17"/>
      <c r="F1498" s="17" t="s">
        <v>156</v>
      </c>
      <c r="G1498" s="17"/>
      <c r="H1498" s="17" t="s">
        <v>692</v>
      </c>
      <c r="I1498" s="17"/>
      <c r="J1498" s="17" t="s">
        <v>693</v>
      </c>
      <c r="K1498" s="17"/>
      <c r="L1498" s="17"/>
      <c r="M1498" s="17"/>
      <c r="N1498" s="17" t="s">
        <v>8098</v>
      </c>
      <c r="O1498" s="17" t="s">
        <v>8228</v>
      </c>
      <c r="P1498" s="17" t="s">
        <v>8238</v>
      </c>
      <c r="Q1498" s="17"/>
      <c r="R1498" s="25" t="str">
        <f>HYPERLINK("https://ictv.global/taxonomy/taxondetails?taxnode_id=202318037","Schiekvirus Efgrng")</f>
        <v>Schiekvirus Efgrng</v>
      </c>
      <c r="S1498" s="18" t="s">
        <v>30</v>
      </c>
      <c r="T1498" s="18" t="s">
        <v>39373</v>
      </c>
      <c r="U1498" s="18"/>
      <c r="V1498" s="18"/>
      <c r="W1498" s="18" t="s">
        <v>48133</v>
      </c>
      <c r="X1498" s="18" t="s">
        <v>42</v>
      </c>
      <c r="Y1498" s="18" t="s">
        <v>36</v>
      </c>
      <c r="Z1498" s="18" t="s">
        <v>697</v>
      </c>
      <c r="AA1498" s="21" t="str">
        <f>HYPERLINK("https://www.ncbi.nlm.nih.gov/nuccore/MW004545","NCBI Nucleotide")</f>
        <v>NCBI Nucleotide</v>
      </c>
    </row>
    <row r="1499" spans="1:27" x14ac:dyDescent="0.35">
      <c r="A1499">
        <v>1001930</v>
      </c>
      <c r="B1499">
        <v>1494</v>
      </c>
      <c r="C1499">
        <v>1</v>
      </c>
      <c r="D1499" s="17" t="s">
        <v>155</v>
      </c>
      <c r="E1499" s="17"/>
      <c r="F1499" s="17" t="s">
        <v>156</v>
      </c>
      <c r="G1499" s="17"/>
      <c r="H1499" s="17" t="s">
        <v>692</v>
      </c>
      <c r="I1499" s="17"/>
      <c r="J1499" s="17" t="s">
        <v>693</v>
      </c>
      <c r="K1499" s="17"/>
      <c r="L1499" s="17"/>
      <c r="M1499" s="17"/>
      <c r="N1499" s="17" t="s">
        <v>8098</v>
      </c>
      <c r="O1499" s="17" t="s">
        <v>8228</v>
      </c>
      <c r="P1499" s="17" t="s">
        <v>8238</v>
      </c>
      <c r="Q1499" s="17"/>
      <c r="R1499" s="25" t="str">
        <f>HYPERLINK("https://ictv.global/taxonomy/taxondetails?taxnode_id=202307662","Schiekvirus EFP01")</f>
        <v>Schiekvirus EFP01</v>
      </c>
      <c r="S1499" s="18" t="s">
        <v>30</v>
      </c>
      <c r="T1499" s="18" t="s">
        <v>8241</v>
      </c>
      <c r="U1499" s="18"/>
      <c r="V1499" s="18"/>
      <c r="W1499" s="18" t="s">
        <v>8242</v>
      </c>
      <c r="X1499" s="18" t="s">
        <v>42</v>
      </c>
      <c r="Y1499" s="18" t="s">
        <v>36</v>
      </c>
      <c r="Z1499" s="18" t="s">
        <v>697</v>
      </c>
      <c r="AA1499" s="21" t="str">
        <f>HYPERLINK("https://www.ncbi.nlm.nih.gov/nuccore/KY549443","NCBI Nucleotide")</f>
        <v>NCBI Nucleotide</v>
      </c>
    </row>
    <row r="1500" spans="1:27" x14ac:dyDescent="0.35">
      <c r="A1500">
        <v>1024810</v>
      </c>
      <c r="B1500">
        <v>1495</v>
      </c>
      <c r="C1500">
        <v>1</v>
      </c>
      <c r="D1500" s="17" t="s">
        <v>155</v>
      </c>
      <c r="E1500" s="17"/>
      <c r="F1500" s="17" t="s">
        <v>156</v>
      </c>
      <c r="G1500" s="17"/>
      <c r="H1500" s="17" t="s">
        <v>692</v>
      </c>
      <c r="I1500" s="17"/>
      <c r="J1500" s="17" t="s">
        <v>693</v>
      </c>
      <c r="K1500" s="17"/>
      <c r="L1500" s="17"/>
      <c r="M1500" s="17"/>
      <c r="N1500" s="17" t="s">
        <v>8098</v>
      </c>
      <c r="O1500" s="17" t="s">
        <v>8228</v>
      </c>
      <c r="P1500" s="17" t="s">
        <v>8238</v>
      </c>
      <c r="Q1500" s="17"/>
      <c r="R1500" s="25" t="str">
        <f>HYPERLINK("https://ictv.global/taxonomy/taxondetails?taxnode_id=202318031","Schiekvirus Efsszw1")</f>
        <v>Schiekvirus Efsszw1</v>
      </c>
      <c r="S1500" s="18" t="s">
        <v>30</v>
      </c>
      <c r="T1500" s="18" t="s">
        <v>39374</v>
      </c>
      <c r="U1500" s="18"/>
      <c r="V1500" s="18"/>
      <c r="W1500" s="18" t="s">
        <v>48134</v>
      </c>
      <c r="X1500" s="18" t="s">
        <v>42</v>
      </c>
      <c r="Y1500" s="18" t="s">
        <v>36</v>
      </c>
      <c r="Z1500" s="18" t="s">
        <v>697</v>
      </c>
      <c r="AA1500" s="21" t="str">
        <f>HYPERLINK("https://www.ncbi.nlm.nih.gov/nuccore/MH791397","NCBI Nucleotide")</f>
        <v>NCBI Nucleotide</v>
      </c>
    </row>
    <row r="1501" spans="1:27" x14ac:dyDescent="0.35">
      <c r="A1501">
        <v>1001931</v>
      </c>
      <c r="B1501">
        <v>1496</v>
      </c>
      <c r="C1501">
        <v>1</v>
      </c>
      <c r="D1501" s="17" t="s">
        <v>155</v>
      </c>
      <c r="E1501" s="17"/>
      <c r="F1501" s="17" t="s">
        <v>156</v>
      </c>
      <c r="G1501" s="17"/>
      <c r="H1501" s="17" t="s">
        <v>692</v>
      </c>
      <c r="I1501" s="17"/>
      <c r="J1501" s="17" t="s">
        <v>693</v>
      </c>
      <c r="K1501" s="17"/>
      <c r="L1501" s="17"/>
      <c r="M1501" s="17"/>
      <c r="N1501" s="17" t="s">
        <v>8098</v>
      </c>
      <c r="O1501" s="17" t="s">
        <v>8228</v>
      </c>
      <c r="P1501" s="17" t="s">
        <v>8238</v>
      </c>
      <c r="Q1501" s="17"/>
      <c r="R1501" s="25" t="str">
        <f>HYPERLINK("https://ictv.global/taxonomy/taxondetails?taxnode_id=202307661","Schiekvirus EfV12")</f>
        <v>Schiekvirus EfV12</v>
      </c>
      <c r="S1501" s="18" t="s">
        <v>30</v>
      </c>
      <c r="T1501" s="18" t="s">
        <v>8243</v>
      </c>
      <c r="U1501" s="18"/>
      <c r="V1501" s="18"/>
      <c r="W1501" s="18" t="s">
        <v>8244</v>
      </c>
      <c r="X1501" s="18" t="s">
        <v>42</v>
      </c>
      <c r="Y1501" s="18" t="s">
        <v>36</v>
      </c>
      <c r="Z1501" s="18" t="s">
        <v>697</v>
      </c>
      <c r="AA1501" s="21" t="str">
        <f>HYPERLINK("https://www.ncbi.nlm.nih.gov/nuccore/MH880817","NCBI Nucleotide")</f>
        <v>NCBI Nucleotide</v>
      </c>
    </row>
    <row r="1502" spans="1:27" x14ac:dyDescent="0.35">
      <c r="A1502">
        <v>1024811</v>
      </c>
      <c r="B1502">
        <v>1497</v>
      </c>
      <c r="C1502">
        <v>1</v>
      </c>
      <c r="D1502" s="17" t="s">
        <v>155</v>
      </c>
      <c r="E1502" s="17"/>
      <c r="F1502" s="17" t="s">
        <v>156</v>
      </c>
      <c r="G1502" s="17"/>
      <c r="H1502" s="17" t="s">
        <v>692</v>
      </c>
      <c r="I1502" s="17"/>
      <c r="J1502" s="17" t="s">
        <v>693</v>
      </c>
      <c r="K1502" s="17"/>
      <c r="L1502" s="17"/>
      <c r="M1502" s="17"/>
      <c r="N1502" s="17" t="s">
        <v>8098</v>
      </c>
      <c r="O1502" s="17" t="s">
        <v>8228</v>
      </c>
      <c r="P1502" s="17" t="s">
        <v>8238</v>
      </c>
      <c r="Q1502" s="17"/>
      <c r="R1502" s="25" t="str">
        <f>HYPERLINK("https://ictv.global/taxonomy/taxondetails?taxnode_id=202318035","Schiekvirus Gvesp1")</f>
        <v>Schiekvirus Gvesp1</v>
      </c>
      <c r="S1502" s="18" t="s">
        <v>30</v>
      </c>
      <c r="T1502" s="18" t="s">
        <v>39375</v>
      </c>
      <c r="U1502" s="18"/>
      <c r="V1502" s="18"/>
      <c r="W1502" s="18" t="s">
        <v>48135</v>
      </c>
      <c r="X1502" s="18" t="s">
        <v>42</v>
      </c>
      <c r="Y1502" s="18" t="s">
        <v>36</v>
      </c>
      <c r="Z1502" s="18" t="s">
        <v>697</v>
      </c>
      <c r="AA1502" s="21" t="str">
        <f>HYPERLINK("https://www.ncbi.nlm.nih.gov/nuccore/MZ333462","NCBI Nucleotide")</f>
        <v>NCBI Nucleotide</v>
      </c>
    </row>
    <row r="1503" spans="1:27" x14ac:dyDescent="0.35">
      <c r="A1503">
        <v>1024812</v>
      </c>
      <c r="B1503">
        <v>1498</v>
      </c>
      <c r="C1503">
        <v>1</v>
      </c>
      <c r="D1503" s="17" t="s">
        <v>155</v>
      </c>
      <c r="E1503" s="17"/>
      <c r="F1503" s="17" t="s">
        <v>156</v>
      </c>
      <c r="G1503" s="17"/>
      <c r="H1503" s="17" t="s">
        <v>692</v>
      </c>
      <c r="I1503" s="17"/>
      <c r="J1503" s="17" t="s">
        <v>693</v>
      </c>
      <c r="K1503" s="17"/>
      <c r="L1503" s="17"/>
      <c r="M1503" s="17"/>
      <c r="N1503" s="17" t="s">
        <v>8098</v>
      </c>
      <c r="O1503" s="17" t="s">
        <v>8228</v>
      </c>
      <c r="P1503" s="17" t="s">
        <v>8238</v>
      </c>
      <c r="Q1503" s="17"/>
      <c r="R1503" s="25" t="str">
        <f>HYPERLINK("https://ictv.global/taxonomy/taxondetails?taxnode_id=202318046","Schiekvirus if6")</f>
        <v>Schiekvirus if6</v>
      </c>
      <c r="S1503" s="18" t="s">
        <v>30</v>
      </c>
      <c r="T1503" s="18" t="s">
        <v>39376</v>
      </c>
      <c r="U1503" s="18"/>
      <c r="V1503" s="18"/>
      <c r="W1503" s="18" t="s">
        <v>48136</v>
      </c>
      <c r="X1503" s="18" t="s">
        <v>42</v>
      </c>
      <c r="Y1503" s="18" t="s">
        <v>36</v>
      </c>
      <c r="Z1503" s="18" t="s">
        <v>697</v>
      </c>
      <c r="AA1503" s="21" t="str">
        <f>HYPERLINK("https://www.ncbi.nlm.nih.gov/nuccore/MT909815","NCBI Nucleotide")</f>
        <v>NCBI Nucleotide</v>
      </c>
    </row>
    <row r="1504" spans="1:27" x14ac:dyDescent="0.35">
      <c r="A1504">
        <v>1024813</v>
      </c>
      <c r="B1504">
        <v>1499</v>
      </c>
      <c r="C1504">
        <v>1</v>
      </c>
      <c r="D1504" s="17" t="s">
        <v>155</v>
      </c>
      <c r="E1504" s="17"/>
      <c r="F1504" s="17" t="s">
        <v>156</v>
      </c>
      <c r="G1504" s="17"/>
      <c r="H1504" s="17" t="s">
        <v>692</v>
      </c>
      <c r="I1504" s="17"/>
      <c r="J1504" s="17" t="s">
        <v>693</v>
      </c>
      <c r="K1504" s="17"/>
      <c r="L1504" s="17"/>
      <c r="M1504" s="17"/>
      <c r="N1504" s="17" t="s">
        <v>8098</v>
      </c>
      <c r="O1504" s="17" t="s">
        <v>8228</v>
      </c>
      <c r="P1504" s="17" t="s">
        <v>8238</v>
      </c>
      <c r="Q1504" s="17"/>
      <c r="R1504" s="25" t="str">
        <f>HYPERLINK("https://ictv.global/taxonomy/taxondetails?taxnode_id=202318036","Schiekvirus Pef771")</f>
        <v>Schiekvirus Pef771</v>
      </c>
      <c r="S1504" s="18" t="s">
        <v>30</v>
      </c>
      <c r="T1504" s="18" t="s">
        <v>39377</v>
      </c>
      <c r="U1504" s="18"/>
      <c r="V1504" s="18"/>
      <c r="W1504" s="18" t="s">
        <v>48137</v>
      </c>
      <c r="X1504" s="18" t="s">
        <v>42</v>
      </c>
      <c r="Y1504" s="18" t="s">
        <v>36</v>
      </c>
      <c r="Z1504" s="18" t="s">
        <v>697</v>
      </c>
      <c r="AA1504" s="21" t="str">
        <f>HYPERLINK("https://www.ncbi.nlm.nih.gov/nuccore/MN241318","NCBI Nucleotide")</f>
        <v>NCBI Nucleotide</v>
      </c>
    </row>
    <row r="1505" spans="1:27" x14ac:dyDescent="0.35">
      <c r="A1505">
        <v>1024814</v>
      </c>
      <c r="B1505">
        <v>1500</v>
      </c>
      <c r="C1505">
        <v>1</v>
      </c>
      <c r="D1505" s="17" t="s">
        <v>155</v>
      </c>
      <c r="E1505" s="17"/>
      <c r="F1505" s="17" t="s">
        <v>156</v>
      </c>
      <c r="G1505" s="17"/>
      <c r="H1505" s="17" t="s">
        <v>692</v>
      </c>
      <c r="I1505" s="17"/>
      <c r="J1505" s="17" t="s">
        <v>693</v>
      </c>
      <c r="K1505" s="17"/>
      <c r="L1505" s="17"/>
      <c r="M1505" s="17"/>
      <c r="N1505" s="17" t="s">
        <v>8098</v>
      </c>
      <c r="O1505" s="17" t="s">
        <v>8228</v>
      </c>
      <c r="P1505" s="17" t="s">
        <v>8238</v>
      </c>
      <c r="Q1505" s="17"/>
      <c r="R1505" s="25" t="str">
        <f>HYPERLINK("https://ictv.global/taxonomy/taxondetails?taxnode_id=202318044","Schiekvirus Porthos")</f>
        <v>Schiekvirus Porthos</v>
      </c>
      <c r="S1505" s="18" t="s">
        <v>30</v>
      </c>
      <c r="T1505" s="18" t="s">
        <v>39378</v>
      </c>
      <c r="U1505" s="18"/>
      <c r="V1505" s="18"/>
      <c r="W1505" s="18" t="s">
        <v>48138</v>
      </c>
      <c r="X1505" s="18" t="s">
        <v>42</v>
      </c>
      <c r="Y1505" s="18" t="s">
        <v>36</v>
      </c>
      <c r="Z1505" s="18" t="s">
        <v>697</v>
      </c>
      <c r="AA1505" s="21" t="str">
        <f>HYPERLINK("https://www.ncbi.nlm.nih.gov/nuccore/LR990835","NCBI Nucleotide")</f>
        <v>NCBI Nucleotide</v>
      </c>
    </row>
    <row r="1506" spans="1:27" x14ac:dyDescent="0.35">
      <c r="A1506">
        <v>1024815</v>
      </c>
      <c r="B1506">
        <v>1501</v>
      </c>
      <c r="C1506">
        <v>1</v>
      </c>
      <c r="D1506" s="17" t="s">
        <v>155</v>
      </c>
      <c r="E1506" s="17"/>
      <c r="F1506" s="17" t="s">
        <v>156</v>
      </c>
      <c r="G1506" s="17"/>
      <c r="H1506" s="17" t="s">
        <v>692</v>
      </c>
      <c r="I1506" s="17"/>
      <c r="J1506" s="17" t="s">
        <v>693</v>
      </c>
      <c r="K1506" s="17"/>
      <c r="L1506" s="17"/>
      <c r="M1506" s="17"/>
      <c r="N1506" s="17" t="s">
        <v>8098</v>
      </c>
      <c r="O1506" s="17" t="s">
        <v>8228</v>
      </c>
      <c r="P1506" s="17" t="s">
        <v>8238</v>
      </c>
      <c r="Q1506" s="17"/>
      <c r="R1506" s="25" t="str">
        <f>HYPERLINK("https://ictv.global/taxonomy/taxondetails?taxnode_id=202318032","Schiekvirus Shef13")</f>
        <v>Schiekvirus Shef13</v>
      </c>
      <c r="S1506" s="18" t="s">
        <v>30</v>
      </c>
      <c r="T1506" s="18" t="s">
        <v>39379</v>
      </c>
      <c r="U1506" s="18"/>
      <c r="V1506" s="18"/>
      <c r="W1506" s="18" t="s">
        <v>48139</v>
      </c>
      <c r="X1506" s="18" t="s">
        <v>42</v>
      </c>
      <c r="Y1506" s="18" t="s">
        <v>36</v>
      </c>
      <c r="Z1506" s="18" t="s">
        <v>697</v>
      </c>
      <c r="AA1506" s="21" t="str">
        <f>HYPERLINK("https://www.ncbi.nlm.nih.gov/nuccore/OL799258","NCBI Nucleotide")</f>
        <v>NCBI Nucleotide</v>
      </c>
    </row>
    <row r="1507" spans="1:27" x14ac:dyDescent="0.35">
      <c r="A1507">
        <v>1024816</v>
      </c>
      <c r="B1507">
        <v>1502</v>
      </c>
      <c r="C1507">
        <v>1</v>
      </c>
      <c r="D1507" s="17" t="s">
        <v>155</v>
      </c>
      <c r="E1507" s="17"/>
      <c r="F1507" s="17" t="s">
        <v>156</v>
      </c>
      <c r="G1507" s="17"/>
      <c r="H1507" s="17" t="s">
        <v>692</v>
      </c>
      <c r="I1507" s="17"/>
      <c r="J1507" s="17" t="s">
        <v>693</v>
      </c>
      <c r="K1507" s="17"/>
      <c r="L1507" s="17"/>
      <c r="M1507" s="17"/>
      <c r="N1507" s="17" t="s">
        <v>8098</v>
      </c>
      <c r="O1507" s="17" t="s">
        <v>8228</v>
      </c>
      <c r="P1507" s="17" t="s">
        <v>8238</v>
      </c>
      <c r="Q1507" s="17"/>
      <c r="R1507" s="25" t="str">
        <f>HYPERLINK("https://ictv.global/taxonomy/taxondetails?taxnode_id=202318045","Schiekvirus Shef16")</f>
        <v>Schiekvirus Shef16</v>
      </c>
      <c r="S1507" s="18" t="s">
        <v>30</v>
      </c>
      <c r="T1507" s="18" t="s">
        <v>39380</v>
      </c>
      <c r="U1507" s="18"/>
      <c r="V1507" s="18"/>
      <c r="W1507" s="18" t="s">
        <v>48140</v>
      </c>
      <c r="X1507" s="18" t="s">
        <v>42</v>
      </c>
      <c r="Y1507" s="18" t="s">
        <v>36</v>
      </c>
      <c r="Z1507" s="18" t="s">
        <v>697</v>
      </c>
      <c r="AA1507" s="21" t="str">
        <f>HYPERLINK("https://www.ncbi.nlm.nih.gov/nuccore/OL799260","NCBI Nucleotide")</f>
        <v>NCBI Nucleotide</v>
      </c>
    </row>
    <row r="1508" spans="1:27" x14ac:dyDescent="0.35">
      <c r="A1508">
        <v>1024817</v>
      </c>
      <c r="B1508">
        <v>1503</v>
      </c>
      <c r="C1508">
        <v>1</v>
      </c>
      <c r="D1508" s="17" t="s">
        <v>155</v>
      </c>
      <c r="E1508" s="17"/>
      <c r="F1508" s="17" t="s">
        <v>156</v>
      </c>
      <c r="G1508" s="17"/>
      <c r="H1508" s="17" t="s">
        <v>692</v>
      </c>
      <c r="I1508" s="17"/>
      <c r="J1508" s="17" t="s">
        <v>693</v>
      </c>
      <c r="K1508" s="17"/>
      <c r="L1508" s="17"/>
      <c r="M1508" s="17"/>
      <c r="N1508" s="17" t="s">
        <v>8098</v>
      </c>
      <c r="O1508" s="17" t="s">
        <v>8228</v>
      </c>
      <c r="P1508" s="17" t="s">
        <v>8238</v>
      </c>
      <c r="Q1508" s="17"/>
      <c r="R1508" s="25" t="str">
        <f>HYPERLINK("https://ictv.global/taxonomy/taxondetails?taxnode_id=202318047","Schiekvirus sv113")</f>
        <v>Schiekvirus sv113</v>
      </c>
      <c r="S1508" s="18" t="s">
        <v>30</v>
      </c>
      <c r="T1508" s="18" t="s">
        <v>39381</v>
      </c>
      <c r="U1508" s="18"/>
      <c r="V1508" s="18"/>
      <c r="W1508" s="18" t="s">
        <v>48141</v>
      </c>
      <c r="X1508" s="18" t="s">
        <v>42</v>
      </c>
      <c r="Y1508" s="18" t="s">
        <v>36</v>
      </c>
      <c r="Z1508" s="18" t="s">
        <v>697</v>
      </c>
      <c r="AA1508" s="21" t="str">
        <f>HYPERLINK("https://www.ncbi.nlm.nih.gov/nuccore/MZ147816","NCBI Nucleotide")</f>
        <v>NCBI Nucleotide</v>
      </c>
    </row>
    <row r="1509" spans="1:27" x14ac:dyDescent="0.35">
      <c r="A1509">
        <v>1024818</v>
      </c>
      <c r="B1509">
        <v>1504</v>
      </c>
      <c r="C1509">
        <v>1</v>
      </c>
      <c r="D1509" s="17" t="s">
        <v>155</v>
      </c>
      <c r="E1509" s="17"/>
      <c r="F1509" s="17" t="s">
        <v>156</v>
      </c>
      <c r="G1509" s="17"/>
      <c r="H1509" s="17" t="s">
        <v>692</v>
      </c>
      <c r="I1509" s="17"/>
      <c r="J1509" s="17" t="s">
        <v>693</v>
      </c>
      <c r="K1509" s="17"/>
      <c r="L1509" s="17"/>
      <c r="M1509" s="17"/>
      <c r="N1509" s="17" t="s">
        <v>8098</v>
      </c>
      <c r="O1509" s="17" t="s">
        <v>8228</v>
      </c>
      <c r="P1509" s="17" t="s">
        <v>8238</v>
      </c>
      <c r="Q1509" s="17"/>
      <c r="R1509" s="25" t="str">
        <f>HYPERLINK("https://ictv.global/taxonomy/taxondetails?taxnode_id=202318033","Schiekvirus Tje1")</f>
        <v>Schiekvirus Tje1</v>
      </c>
      <c r="S1509" s="18" t="s">
        <v>30</v>
      </c>
      <c r="T1509" s="18" t="s">
        <v>39382</v>
      </c>
      <c r="U1509" s="18"/>
      <c r="V1509" s="18"/>
      <c r="W1509" s="18" t="s">
        <v>48142</v>
      </c>
      <c r="X1509" s="18" t="s">
        <v>42</v>
      </c>
      <c r="Y1509" s="18" t="s">
        <v>36</v>
      </c>
      <c r="Z1509" s="18" t="s">
        <v>697</v>
      </c>
      <c r="AA1509" s="21" t="str">
        <f>HYPERLINK("https://www.ncbi.nlm.nih.gov/nuccore/ON506927","NCBI Nucleotide")</f>
        <v>NCBI Nucleotide</v>
      </c>
    </row>
    <row r="1510" spans="1:27" x14ac:dyDescent="0.35">
      <c r="A1510">
        <v>1024819</v>
      </c>
      <c r="B1510">
        <v>1505</v>
      </c>
      <c r="C1510">
        <v>1</v>
      </c>
      <c r="D1510" s="17" t="s">
        <v>155</v>
      </c>
      <c r="E1510" s="17"/>
      <c r="F1510" s="17" t="s">
        <v>156</v>
      </c>
      <c r="G1510" s="17"/>
      <c r="H1510" s="17" t="s">
        <v>692</v>
      </c>
      <c r="I1510" s="17"/>
      <c r="J1510" s="17" t="s">
        <v>693</v>
      </c>
      <c r="K1510" s="17"/>
      <c r="L1510" s="17"/>
      <c r="M1510" s="17"/>
      <c r="N1510" s="17" t="s">
        <v>8098</v>
      </c>
      <c r="O1510" s="17" t="s">
        <v>8228</v>
      </c>
      <c r="P1510" s="17" t="s">
        <v>8238</v>
      </c>
      <c r="Q1510" s="17"/>
      <c r="R1510" s="25" t="str">
        <f>HYPERLINK("https://ictv.global/taxonomy/taxondetails?taxnode_id=202318039","Schiekvirus Tje2")</f>
        <v>Schiekvirus Tje2</v>
      </c>
      <c r="S1510" s="18" t="s">
        <v>30</v>
      </c>
      <c r="T1510" s="18" t="s">
        <v>39383</v>
      </c>
      <c r="U1510" s="18"/>
      <c r="V1510" s="18"/>
      <c r="W1510" s="18" t="s">
        <v>48143</v>
      </c>
      <c r="X1510" s="18" t="s">
        <v>42</v>
      </c>
      <c r="Y1510" s="18" t="s">
        <v>36</v>
      </c>
      <c r="Z1510" s="18" t="s">
        <v>697</v>
      </c>
      <c r="AA1510" s="21" t="str">
        <f>HYPERLINK("https://www.ncbi.nlm.nih.gov/nuccore/ON506928","NCBI Nucleotide")</f>
        <v>NCBI Nucleotide</v>
      </c>
    </row>
    <row r="1511" spans="1:27" x14ac:dyDescent="0.35">
      <c r="A1511">
        <v>1001932</v>
      </c>
      <c r="B1511">
        <v>1506</v>
      </c>
      <c r="C1511">
        <v>1</v>
      </c>
      <c r="D1511" s="17" t="s">
        <v>155</v>
      </c>
      <c r="E1511" s="17"/>
      <c r="F1511" s="17" t="s">
        <v>156</v>
      </c>
      <c r="G1511" s="17"/>
      <c r="H1511" s="17" t="s">
        <v>692</v>
      </c>
      <c r="I1511" s="17"/>
      <c r="J1511" s="17" t="s">
        <v>693</v>
      </c>
      <c r="K1511" s="17"/>
      <c r="L1511" s="17"/>
      <c r="M1511" s="17"/>
      <c r="N1511" s="17" t="s">
        <v>8098</v>
      </c>
      <c r="O1511" s="17" t="s">
        <v>39384</v>
      </c>
      <c r="P1511" s="17" t="s">
        <v>8245</v>
      </c>
      <c r="Q1511" s="17"/>
      <c r="R1511" s="25" t="str">
        <f>HYPERLINK("https://ictv.global/taxonomy/taxondetails?taxnode_id=202300260","Pecentumvirus A511")</f>
        <v>Pecentumvirus A511</v>
      </c>
      <c r="S1511" s="18" t="s">
        <v>30</v>
      </c>
      <c r="T1511" s="18" t="s">
        <v>8246</v>
      </c>
      <c r="U1511" s="18"/>
      <c r="V1511" s="18"/>
      <c r="W1511" s="18" t="s">
        <v>8247</v>
      </c>
      <c r="X1511" s="18" t="s">
        <v>42</v>
      </c>
      <c r="Y1511" s="18" t="s">
        <v>36</v>
      </c>
      <c r="Z1511" s="18" t="s">
        <v>697</v>
      </c>
      <c r="AA1511" s="21" t="str">
        <f>HYPERLINK("https://www.ncbi.nlm.nih.gov/nuccore/DQ003638","NCBI Nucleotide")</f>
        <v>NCBI Nucleotide</v>
      </c>
    </row>
    <row r="1512" spans="1:27" x14ac:dyDescent="0.35">
      <c r="A1512">
        <v>1001933</v>
      </c>
      <c r="B1512">
        <v>1507</v>
      </c>
      <c r="C1512">
        <v>1</v>
      </c>
      <c r="D1512" s="17" t="s">
        <v>155</v>
      </c>
      <c r="E1512" s="17"/>
      <c r="F1512" s="17" t="s">
        <v>156</v>
      </c>
      <c r="G1512" s="17"/>
      <c r="H1512" s="17" t="s">
        <v>692</v>
      </c>
      <c r="I1512" s="17"/>
      <c r="J1512" s="17" t="s">
        <v>693</v>
      </c>
      <c r="K1512" s="17"/>
      <c r="L1512" s="17"/>
      <c r="M1512" s="17"/>
      <c r="N1512" s="17" t="s">
        <v>8098</v>
      </c>
      <c r="O1512" s="17" t="s">
        <v>39384</v>
      </c>
      <c r="P1512" s="17" t="s">
        <v>8245</v>
      </c>
      <c r="Q1512" s="17"/>
      <c r="R1512" s="25" t="str">
        <f>HYPERLINK("https://ictv.global/taxonomy/taxondetails?taxnode_id=202306979","Pecentumvirus AG20")</f>
        <v>Pecentumvirus AG20</v>
      </c>
      <c r="S1512" s="18" t="s">
        <v>30</v>
      </c>
      <c r="T1512" s="18" t="s">
        <v>8248</v>
      </c>
      <c r="U1512" s="18"/>
      <c r="V1512" s="18"/>
      <c r="W1512" s="18" t="s">
        <v>8249</v>
      </c>
      <c r="X1512" s="18" t="s">
        <v>42</v>
      </c>
      <c r="Y1512" s="18" t="s">
        <v>36</v>
      </c>
      <c r="Z1512" s="18" t="s">
        <v>697</v>
      </c>
      <c r="AA1512" s="21" t="str">
        <f>HYPERLINK("https://www.ncbi.nlm.nih.gov/nuccore/JQ797329","NCBI Nucleotide")</f>
        <v>NCBI Nucleotide</v>
      </c>
    </row>
    <row r="1513" spans="1:27" x14ac:dyDescent="0.35">
      <c r="A1513">
        <v>1001934</v>
      </c>
      <c r="B1513">
        <v>1508</v>
      </c>
      <c r="C1513">
        <v>1</v>
      </c>
      <c r="D1513" s="17" t="s">
        <v>155</v>
      </c>
      <c r="E1513" s="17"/>
      <c r="F1513" s="17" t="s">
        <v>156</v>
      </c>
      <c r="G1513" s="17"/>
      <c r="H1513" s="17" t="s">
        <v>692</v>
      </c>
      <c r="I1513" s="17"/>
      <c r="J1513" s="17" t="s">
        <v>693</v>
      </c>
      <c r="K1513" s="17"/>
      <c r="L1513" s="17"/>
      <c r="M1513" s="17"/>
      <c r="N1513" s="17" t="s">
        <v>8098</v>
      </c>
      <c r="O1513" s="17" t="s">
        <v>39384</v>
      </c>
      <c r="P1513" s="17" t="s">
        <v>8245</v>
      </c>
      <c r="Q1513" s="17"/>
      <c r="R1513" s="25" t="str">
        <f>HYPERLINK("https://ictv.global/taxonomy/taxondetails?taxnode_id=202306972","Pecentumvirus list36")</f>
        <v>Pecentumvirus list36</v>
      </c>
      <c r="S1513" s="18" t="s">
        <v>30</v>
      </c>
      <c r="T1513" s="18" t="s">
        <v>8250</v>
      </c>
      <c r="U1513" s="18"/>
      <c r="V1513" s="18"/>
      <c r="W1513" s="18" t="s">
        <v>8251</v>
      </c>
      <c r="X1513" s="18" t="s">
        <v>42</v>
      </c>
      <c r="Y1513" s="18" t="s">
        <v>36</v>
      </c>
      <c r="Z1513" s="18" t="s">
        <v>697</v>
      </c>
      <c r="AA1513" s="21" t="str">
        <f>HYPERLINK("https://www.ncbi.nlm.nih.gov/nuccore/KJ535721","NCBI Nucleotide")</f>
        <v>NCBI Nucleotide</v>
      </c>
    </row>
    <row r="1514" spans="1:27" x14ac:dyDescent="0.35">
      <c r="A1514">
        <v>1001935</v>
      </c>
      <c r="B1514">
        <v>1509</v>
      </c>
      <c r="C1514">
        <v>1</v>
      </c>
      <c r="D1514" s="17" t="s">
        <v>155</v>
      </c>
      <c r="E1514" s="17"/>
      <c r="F1514" s="17" t="s">
        <v>156</v>
      </c>
      <c r="G1514" s="17"/>
      <c r="H1514" s="17" t="s">
        <v>692</v>
      </c>
      <c r="I1514" s="17"/>
      <c r="J1514" s="17" t="s">
        <v>693</v>
      </c>
      <c r="K1514" s="17"/>
      <c r="L1514" s="17"/>
      <c r="M1514" s="17"/>
      <c r="N1514" s="17" t="s">
        <v>8098</v>
      </c>
      <c r="O1514" s="17" t="s">
        <v>39384</v>
      </c>
      <c r="P1514" s="17" t="s">
        <v>8245</v>
      </c>
      <c r="Q1514" s="17"/>
      <c r="R1514" s="25" t="str">
        <f>HYPERLINK("https://ictv.global/taxonomy/taxondetails?taxnode_id=202306973","Pecentumvirus LMSP25")</f>
        <v>Pecentumvirus LMSP25</v>
      </c>
      <c r="S1514" s="18" t="s">
        <v>30</v>
      </c>
      <c r="T1514" s="18" t="s">
        <v>8252</v>
      </c>
      <c r="U1514" s="18"/>
      <c r="V1514" s="18"/>
      <c r="W1514" s="18" t="s">
        <v>8253</v>
      </c>
      <c r="X1514" s="18" t="s">
        <v>42</v>
      </c>
      <c r="Y1514" s="18" t="s">
        <v>36</v>
      </c>
      <c r="Z1514" s="18" t="s">
        <v>697</v>
      </c>
      <c r="AA1514" s="21" t="str">
        <f>HYPERLINK("https://www.ncbi.nlm.nih.gov/nuccore/KJ535722","NCBI Nucleotide")</f>
        <v>NCBI Nucleotide</v>
      </c>
    </row>
    <row r="1515" spans="1:27" x14ac:dyDescent="0.35">
      <c r="A1515">
        <v>1011645</v>
      </c>
      <c r="B1515">
        <v>1509</v>
      </c>
      <c r="C1515">
        <v>2</v>
      </c>
      <c r="D1515" s="17" t="s">
        <v>155</v>
      </c>
      <c r="E1515" s="17"/>
      <c r="F1515" s="17" t="s">
        <v>156</v>
      </c>
      <c r="G1515" s="17"/>
      <c r="H1515" s="17" t="s">
        <v>692</v>
      </c>
      <c r="I1515" s="17"/>
      <c r="J1515" s="17" t="s">
        <v>693</v>
      </c>
      <c r="K1515" s="17"/>
      <c r="L1515" s="17"/>
      <c r="M1515" s="17"/>
      <c r="N1515" s="17" t="s">
        <v>8098</v>
      </c>
      <c r="O1515" s="17" t="s">
        <v>39384</v>
      </c>
      <c r="P1515" s="17" t="s">
        <v>8245</v>
      </c>
      <c r="Q1515" s="17"/>
      <c r="R1515" s="25" t="str">
        <f>HYPERLINK("https://ictv.global/taxonomy/taxondetails?taxnode_id=202306973","Pecentumvirus LMSP25")</f>
        <v>Pecentumvirus LMSP25</v>
      </c>
      <c r="S1515" s="18" t="s">
        <v>8141</v>
      </c>
      <c r="T1515" s="18" t="s">
        <v>8254</v>
      </c>
      <c r="U1515" s="18"/>
      <c r="V1515" s="18"/>
      <c r="W1515" s="18" t="s">
        <v>48735</v>
      </c>
      <c r="X1515" s="18" t="s">
        <v>42</v>
      </c>
      <c r="Y1515" s="18" t="s">
        <v>36</v>
      </c>
      <c r="Z1515" s="18" t="s">
        <v>697</v>
      </c>
      <c r="AA1515" s="21" t="str">
        <f>HYPERLINK("https://www.ncbi.nlm.nih.gov/nuccore/KJ591605","NCBI Nucleotide")</f>
        <v>NCBI Nucleotide</v>
      </c>
    </row>
    <row r="1516" spans="1:27" x14ac:dyDescent="0.35">
      <c r="A1516">
        <v>1011646</v>
      </c>
      <c r="B1516">
        <v>1509</v>
      </c>
      <c r="C1516">
        <v>3</v>
      </c>
      <c r="D1516" s="17" t="s">
        <v>155</v>
      </c>
      <c r="E1516" s="17"/>
      <c r="F1516" s="17" t="s">
        <v>156</v>
      </c>
      <c r="G1516" s="17"/>
      <c r="H1516" s="17" t="s">
        <v>692</v>
      </c>
      <c r="I1516" s="17"/>
      <c r="J1516" s="17" t="s">
        <v>693</v>
      </c>
      <c r="K1516" s="17"/>
      <c r="L1516" s="17"/>
      <c r="M1516" s="17"/>
      <c r="N1516" s="17" t="s">
        <v>8098</v>
      </c>
      <c r="O1516" s="17" t="s">
        <v>39384</v>
      </c>
      <c r="P1516" s="17" t="s">
        <v>8245</v>
      </c>
      <c r="Q1516" s="17"/>
      <c r="R1516" s="25" t="str">
        <f>HYPERLINK("https://ictv.global/taxonomy/taxondetails?taxnode_id=202306973","Pecentumvirus LMSP25")</f>
        <v>Pecentumvirus LMSP25</v>
      </c>
      <c r="S1516" s="18" t="s">
        <v>8141</v>
      </c>
      <c r="T1516" s="18" t="s">
        <v>8255</v>
      </c>
      <c r="U1516" s="18"/>
      <c r="V1516" s="18"/>
      <c r="W1516" s="18" t="s">
        <v>48736</v>
      </c>
      <c r="X1516" s="18" t="s">
        <v>42</v>
      </c>
      <c r="Y1516" s="18" t="s">
        <v>36</v>
      </c>
      <c r="Z1516" s="18" t="s">
        <v>697</v>
      </c>
      <c r="AA1516" s="21" t="str">
        <f>HYPERLINK("https://www.ncbi.nlm.nih.gov/nuccore/KJ586795","NCBI Nucleotide")</f>
        <v>NCBI Nucleotide</v>
      </c>
    </row>
    <row r="1517" spans="1:27" x14ac:dyDescent="0.35">
      <c r="A1517">
        <v>1001937</v>
      </c>
      <c r="B1517">
        <v>1510</v>
      </c>
      <c r="C1517">
        <v>1</v>
      </c>
      <c r="D1517" s="17" t="s">
        <v>155</v>
      </c>
      <c r="E1517" s="17"/>
      <c r="F1517" s="17" t="s">
        <v>156</v>
      </c>
      <c r="G1517" s="17"/>
      <c r="H1517" s="17" t="s">
        <v>692</v>
      </c>
      <c r="I1517" s="17"/>
      <c r="J1517" s="17" t="s">
        <v>693</v>
      </c>
      <c r="K1517" s="17"/>
      <c r="L1517" s="17"/>
      <c r="M1517" s="17"/>
      <c r="N1517" s="17" t="s">
        <v>8098</v>
      </c>
      <c r="O1517" s="17" t="s">
        <v>39384</v>
      </c>
      <c r="P1517" s="17" t="s">
        <v>8245</v>
      </c>
      <c r="Q1517" s="17"/>
      <c r="R1517" s="25" t="str">
        <f>HYPERLINK("https://ictv.global/taxonomy/taxondetails?taxnode_id=202306975","Pecentumvirus LMTA34")</f>
        <v>Pecentumvirus LMTA34</v>
      </c>
      <c r="S1517" s="18" t="s">
        <v>30</v>
      </c>
      <c r="T1517" s="18" t="s">
        <v>8258</v>
      </c>
      <c r="U1517" s="18"/>
      <c r="V1517" s="18"/>
      <c r="W1517" s="18" t="s">
        <v>8259</v>
      </c>
      <c r="X1517" s="18" t="s">
        <v>154</v>
      </c>
      <c r="Y1517" s="18" t="s">
        <v>36</v>
      </c>
      <c r="Z1517" s="18" t="s">
        <v>697</v>
      </c>
      <c r="AA1517" s="21" t="str">
        <f>HYPERLINK("https://www.ncbi.nlm.nih.gov/nuccore/KJ586794","NCBI Nucleotide")</f>
        <v>NCBI Nucleotide</v>
      </c>
    </row>
    <row r="1518" spans="1:27" x14ac:dyDescent="0.35">
      <c r="A1518">
        <v>1001936</v>
      </c>
      <c r="B1518">
        <v>1511</v>
      </c>
      <c r="C1518">
        <v>1</v>
      </c>
      <c r="D1518" s="17" t="s">
        <v>155</v>
      </c>
      <c r="E1518" s="17"/>
      <c r="F1518" s="17" t="s">
        <v>156</v>
      </c>
      <c r="G1518" s="17"/>
      <c r="H1518" s="17" t="s">
        <v>692</v>
      </c>
      <c r="I1518" s="17"/>
      <c r="J1518" s="17" t="s">
        <v>693</v>
      </c>
      <c r="K1518" s="17"/>
      <c r="L1518" s="17"/>
      <c r="M1518" s="17"/>
      <c r="N1518" s="17" t="s">
        <v>8098</v>
      </c>
      <c r="O1518" s="17" t="s">
        <v>39384</v>
      </c>
      <c r="P1518" s="17" t="s">
        <v>8245</v>
      </c>
      <c r="Q1518" s="17"/>
      <c r="R1518" s="25" t="str">
        <f>HYPERLINK("https://ictv.global/taxonomy/taxondetails?taxnode_id=202306974","Pecentumvirus LMTA148")</f>
        <v>Pecentumvirus LMTA148</v>
      </c>
      <c r="S1518" s="18" t="s">
        <v>30</v>
      </c>
      <c r="T1518" s="18" t="s">
        <v>8256</v>
      </c>
      <c r="U1518" s="18"/>
      <c r="V1518" s="18"/>
      <c r="W1518" s="18" t="s">
        <v>8257</v>
      </c>
      <c r="X1518" s="18" t="s">
        <v>42</v>
      </c>
      <c r="Y1518" s="18" t="s">
        <v>36</v>
      </c>
      <c r="Z1518" s="18" t="s">
        <v>697</v>
      </c>
      <c r="AA1518" s="21" t="str">
        <f>HYPERLINK("https://www.ncbi.nlm.nih.gov/nuccore/KJ591604","NCBI Nucleotide")</f>
        <v>NCBI Nucleotide</v>
      </c>
    </row>
    <row r="1519" spans="1:27" x14ac:dyDescent="0.35">
      <c r="A1519">
        <v>1001938</v>
      </c>
      <c r="B1519">
        <v>1512</v>
      </c>
      <c r="C1519">
        <v>1</v>
      </c>
      <c r="D1519" s="17" t="s">
        <v>155</v>
      </c>
      <c r="E1519" s="17"/>
      <c r="F1519" s="17" t="s">
        <v>156</v>
      </c>
      <c r="G1519" s="17"/>
      <c r="H1519" s="17" t="s">
        <v>692</v>
      </c>
      <c r="I1519" s="17"/>
      <c r="J1519" s="17" t="s">
        <v>693</v>
      </c>
      <c r="K1519" s="17"/>
      <c r="L1519" s="17"/>
      <c r="M1519" s="17"/>
      <c r="N1519" s="17" t="s">
        <v>8098</v>
      </c>
      <c r="O1519" s="17" t="s">
        <v>39384</v>
      </c>
      <c r="P1519" s="17" t="s">
        <v>8245</v>
      </c>
      <c r="Q1519" s="17"/>
      <c r="R1519" s="25" t="str">
        <f>HYPERLINK("https://ictv.global/taxonomy/taxondetails?taxnode_id=202306976","Pecentumvirus LP048")</f>
        <v>Pecentumvirus LP048</v>
      </c>
      <c r="S1519" s="18" t="s">
        <v>30</v>
      </c>
      <c r="T1519" s="18" t="s">
        <v>8260</v>
      </c>
      <c r="U1519" s="18"/>
      <c r="V1519" s="18"/>
      <c r="W1519" s="18" t="s">
        <v>8261</v>
      </c>
      <c r="X1519" s="18" t="s">
        <v>42</v>
      </c>
      <c r="Y1519" s="18" t="s">
        <v>36</v>
      </c>
      <c r="Z1519" s="18" t="s">
        <v>697</v>
      </c>
      <c r="AA1519" s="21" t="str">
        <f>HYPERLINK("https://www.ncbi.nlm.nih.gov/nuccore/KJ094033","NCBI Nucleotide")</f>
        <v>NCBI Nucleotide</v>
      </c>
    </row>
    <row r="1520" spans="1:27" x14ac:dyDescent="0.35">
      <c r="A1520">
        <v>1001939</v>
      </c>
      <c r="B1520">
        <v>1513</v>
      </c>
      <c r="C1520">
        <v>1</v>
      </c>
      <c r="D1520" s="17" t="s">
        <v>155</v>
      </c>
      <c r="E1520" s="17"/>
      <c r="F1520" s="17" t="s">
        <v>156</v>
      </c>
      <c r="G1520" s="17"/>
      <c r="H1520" s="17" t="s">
        <v>692</v>
      </c>
      <c r="I1520" s="17"/>
      <c r="J1520" s="17" t="s">
        <v>693</v>
      </c>
      <c r="K1520" s="17"/>
      <c r="L1520" s="17"/>
      <c r="M1520" s="17"/>
      <c r="N1520" s="17" t="s">
        <v>8098</v>
      </c>
      <c r="O1520" s="17" t="s">
        <v>39384</v>
      </c>
      <c r="P1520" s="17" t="s">
        <v>8245</v>
      </c>
      <c r="Q1520" s="17"/>
      <c r="R1520" s="25" t="str">
        <f>HYPERLINK("https://ictv.global/taxonomy/taxondetails?taxnode_id=202306977","Pecentumvirus LP064")</f>
        <v>Pecentumvirus LP064</v>
      </c>
      <c r="S1520" s="18" t="s">
        <v>30</v>
      </c>
      <c r="T1520" s="18" t="s">
        <v>8262</v>
      </c>
      <c r="U1520" s="18"/>
      <c r="V1520" s="18"/>
      <c r="W1520" s="18" t="s">
        <v>8263</v>
      </c>
      <c r="X1520" s="18" t="s">
        <v>42</v>
      </c>
      <c r="Y1520" s="18" t="s">
        <v>36</v>
      </c>
      <c r="Z1520" s="18" t="s">
        <v>697</v>
      </c>
      <c r="AA1520" s="21" t="str">
        <f>HYPERLINK("https://www.ncbi.nlm.nih.gov/nuccore/KJ094029","NCBI Nucleotide")</f>
        <v>NCBI Nucleotide</v>
      </c>
    </row>
    <row r="1521" spans="1:27" x14ac:dyDescent="0.35">
      <c r="A1521">
        <v>1011647</v>
      </c>
      <c r="B1521">
        <v>1513</v>
      </c>
      <c r="C1521">
        <v>2</v>
      </c>
      <c r="D1521" s="17" t="s">
        <v>155</v>
      </c>
      <c r="E1521" s="17"/>
      <c r="F1521" s="17" t="s">
        <v>156</v>
      </c>
      <c r="G1521" s="17"/>
      <c r="H1521" s="17" t="s">
        <v>692</v>
      </c>
      <c r="I1521" s="17"/>
      <c r="J1521" s="17" t="s">
        <v>693</v>
      </c>
      <c r="K1521" s="17"/>
      <c r="L1521" s="17"/>
      <c r="M1521" s="17"/>
      <c r="N1521" s="17" t="s">
        <v>8098</v>
      </c>
      <c r="O1521" s="17" t="s">
        <v>39384</v>
      </c>
      <c r="P1521" s="17" t="s">
        <v>8245</v>
      </c>
      <c r="Q1521" s="17"/>
      <c r="R1521" s="25" t="str">
        <f>HYPERLINK("https://ictv.global/taxonomy/taxondetails?taxnode_id=202306977","Pecentumvirus LP064")</f>
        <v>Pecentumvirus LP064</v>
      </c>
      <c r="S1521" s="18" t="s">
        <v>8141</v>
      </c>
      <c r="T1521" s="18" t="s">
        <v>8264</v>
      </c>
      <c r="U1521" s="18"/>
      <c r="V1521" s="18"/>
      <c r="W1521" s="18" t="s">
        <v>48737</v>
      </c>
      <c r="X1521" s="18" t="s">
        <v>42</v>
      </c>
      <c r="Y1521" s="18" t="s">
        <v>36</v>
      </c>
      <c r="Z1521" s="18" t="s">
        <v>697</v>
      </c>
      <c r="AA1521" s="21" t="str">
        <f>HYPERLINK("https://www.ncbi.nlm.nih.gov/nuccore/KJ094031","NCBI Nucleotide")</f>
        <v>NCBI Nucleotide</v>
      </c>
    </row>
    <row r="1522" spans="1:27" x14ac:dyDescent="0.35">
      <c r="A1522">
        <v>1001940</v>
      </c>
      <c r="B1522">
        <v>1514</v>
      </c>
      <c r="C1522">
        <v>1</v>
      </c>
      <c r="D1522" s="17" t="s">
        <v>155</v>
      </c>
      <c r="E1522" s="17"/>
      <c r="F1522" s="17" t="s">
        <v>156</v>
      </c>
      <c r="G1522" s="17"/>
      <c r="H1522" s="17" t="s">
        <v>692</v>
      </c>
      <c r="I1522" s="17"/>
      <c r="J1522" s="17" t="s">
        <v>693</v>
      </c>
      <c r="K1522" s="17"/>
      <c r="L1522" s="17"/>
      <c r="M1522" s="17"/>
      <c r="N1522" s="17" t="s">
        <v>8098</v>
      </c>
      <c r="O1522" s="17" t="s">
        <v>39384</v>
      </c>
      <c r="P1522" s="17" t="s">
        <v>8245</v>
      </c>
      <c r="Q1522" s="17"/>
      <c r="R1522" s="25" t="str">
        <f>HYPERLINK("https://ictv.global/taxonomy/taxondetails?taxnode_id=202306978","Pecentumvirus LP0832")</f>
        <v>Pecentumvirus LP0832</v>
      </c>
      <c r="S1522" s="18" t="s">
        <v>30</v>
      </c>
      <c r="T1522" s="18" t="s">
        <v>8265</v>
      </c>
      <c r="U1522" s="18"/>
      <c r="V1522" s="18"/>
      <c r="W1522" s="18" t="s">
        <v>8266</v>
      </c>
      <c r="X1522" s="18" t="s">
        <v>42</v>
      </c>
      <c r="Y1522" s="18" t="s">
        <v>36</v>
      </c>
      <c r="Z1522" s="18" t="s">
        <v>697</v>
      </c>
      <c r="AA1522" s="21" t="str">
        <f>HYPERLINK("https://www.ncbi.nlm.nih.gov/nuccore/KJ094030","NCBI Nucleotide")</f>
        <v>NCBI Nucleotide</v>
      </c>
    </row>
    <row r="1523" spans="1:27" x14ac:dyDescent="0.35">
      <c r="A1523">
        <v>1011648</v>
      </c>
      <c r="B1523">
        <v>1514</v>
      </c>
      <c r="C1523">
        <v>2</v>
      </c>
      <c r="D1523" s="17" t="s">
        <v>155</v>
      </c>
      <c r="E1523" s="17"/>
      <c r="F1523" s="17" t="s">
        <v>156</v>
      </c>
      <c r="G1523" s="17"/>
      <c r="H1523" s="17" t="s">
        <v>692</v>
      </c>
      <c r="I1523" s="17"/>
      <c r="J1523" s="17" t="s">
        <v>693</v>
      </c>
      <c r="K1523" s="17"/>
      <c r="L1523" s="17"/>
      <c r="M1523" s="17"/>
      <c r="N1523" s="17" t="s">
        <v>8098</v>
      </c>
      <c r="O1523" s="17" t="s">
        <v>39384</v>
      </c>
      <c r="P1523" s="17" t="s">
        <v>8245</v>
      </c>
      <c r="Q1523" s="17"/>
      <c r="R1523" s="25" t="str">
        <f>HYPERLINK("https://ictv.global/taxonomy/taxondetails?taxnode_id=202306978","Pecentumvirus LP0832")</f>
        <v>Pecentumvirus LP0832</v>
      </c>
      <c r="S1523" s="18" t="s">
        <v>8141</v>
      </c>
      <c r="T1523" s="18" t="s">
        <v>8267</v>
      </c>
      <c r="U1523" s="18"/>
      <c r="V1523" s="18"/>
      <c r="W1523" s="18" t="s">
        <v>48738</v>
      </c>
      <c r="X1523" s="18" t="s">
        <v>42</v>
      </c>
      <c r="Y1523" s="18" t="s">
        <v>36</v>
      </c>
      <c r="Z1523" s="18" t="s">
        <v>697</v>
      </c>
      <c r="AA1523" s="21" t="str">
        <f>HYPERLINK("https://www.ncbi.nlm.nih.gov/nuccore/JX126918","NCBI Nucleotide")</f>
        <v>NCBI Nucleotide</v>
      </c>
    </row>
    <row r="1524" spans="1:27" x14ac:dyDescent="0.35">
      <c r="A1524">
        <v>1001941</v>
      </c>
      <c r="B1524">
        <v>1515</v>
      </c>
      <c r="C1524">
        <v>1</v>
      </c>
      <c r="D1524" s="17" t="s">
        <v>155</v>
      </c>
      <c r="E1524" s="17"/>
      <c r="F1524" s="17" t="s">
        <v>156</v>
      </c>
      <c r="G1524" s="17"/>
      <c r="H1524" s="17" t="s">
        <v>692</v>
      </c>
      <c r="I1524" s="17"/>
      <c r="J1524" s="17" t="s">
        <v>693</v>
      </c>
      <c r="K1524" s="17"/>
      <c r="L1524" s="17"/>
      <c r="M1524" s="17"/>
      <c r="N1524" s="17" t="s">
        <v>8098</v>
      </c>
      <c r="O1524" s="17" t="s">
        <v>39384</v>
      </c>
      <c r="P1524" s="17" t="s">
        <v>8245</v>
      </c>
      <c r="Q1524" s="17"/>
      <c r="R1524" s="25" t="str">
        <f>HYPERLINK("https://ictv.global/taxonomy/taxondetails?taxnode_id=202300261","Pecentumvirus P100")</f>
        <v>Pecentumvirus P100</v>
      </c>
      <c r="S1524" s="18" t="s">
        <v>30</v>
      </c>
      <c r="T1524" s="18" t="s">
        <v>8268</v>
      </c>
      <c r="U1524" s="18"/>
      <c r="V1524" s="18"/>
      <c r="W1524" s="18" t="s">
        <v>8269</v>
      </c>
      <c r="X1524" s="18" t="s">
        <v>42</v>
      </c>
      <c r="Y1524" s="18" t="s">
        <v>36</v>
      </c>
      <c r="Z1524" s="18" t="s">
        <v>697</v>
      </c>
      <c r="AA1524" s="21" t="str">
        <f>HYPERLINK("https://www.ncbi.nlm.nih.gov/nuccore/DQ004855","NCBI Nucleotide")</f>
        <v>NCBI Nucleotide</v>
      </c>
    </row>
    <row r="1525" spans="1:27" x14ac:dyDescent="0.35">
      <c r="A1525">
        <v>1001943</v>
      </c>
      <c r="B1525">
        <v>1516</v>
      </c>
      <c r="C1525">
        <v>1</v>
      </c>
      <c r="D1525" s="17" t="s">
        <v>155</v>
      </c>
      <c r="E1525" s="17"/>
      <c r="F1525" s="17" t="s">
        <v>156</v>
      </c>
      <c r="G1525" s="17"/>
      <c r="H1525" s="17" t="s">
        <v>692</v>
      </c>
      <c r="I1525" s="17"/>
      <c r="J1525" s="17" t="s">
        <v>693</v>
      </c>
      <c r="K1525" s="17"/>
      <c r="L1525" s="17"/>
      <c r="M1525" s="17"/>
      <c r="N1525" s="17" t="s">
        <v>8098</v>
      </c>
      <c r="O1525" s="17" t="s">
        <v>8270</v>
      </c>
      <c r="P1525" s="17" t="s">
        <v>8271</v>
      </c>
      <c r="Q1525" s="17"/>
      <c r="R1525" s="25" t="str">
        <f>HYPERLINK("https://ictv.global/taxonomy/taxondetails?taxnode_id=202300267","Okubovirus camphawk")</f>
        <v>Okubovirus camphawk</v>
      </c>
      <c r="S1525" s="18" t="s">
        <v>30</v>
      </c>
      <c r="T1525" s="18" t="s">
        <v>8272</v>
      </c>
      <c r="U1525" s="18"/>
      <c r="V1525" s="18"/>
      <c r="W1525" s="18" t="s">
        <v>8273</v>
      </c>
      <c r="X1525" s="18" t="s">
        <v>42</v>
      </c>
      <c r="Y1525" s="18" t="s">
        <v>36</v>
      </c>
      <c r="Z1525" s="18" t="s">
        <v>697</v>
      </c>
      <c r="AA1525" s="21" t="str">
        <f>HYPERLINK("https://www.ncbi.nlm.nih.gov/nuccore/KF669649","NCBI Nucleotide")</f>
        <v>NCBI Nucleotide</v>
      </c>
    </row>
    <row r="1526" spans="1:27" x14ac:dyDescent="0.35">
      <c r="A1526">
        <v>1001944</v>
      </c>
      <c r="B1526">
        <v>1517</v>
      </c>
      <c r="C1526">
        <v>1</v>
      </c>
      <c r="D1526" s="17" t="s">
        <v>155</v>
      </c>
      <c r="E1526" s="17"/>
      <c r="F1526" s="17" t="s">
        <v>156</v>
      </c>
      <c r="G1526" s="17"/>
      <c r="H1526" s="17" t="s">
        <v>692</v>
      </c>
      <c r="I1526" s="17"/>
      <c r="J1526" s="17" t="s">
        <v>693</v>
      </c>
      <c r="K1526" s="17"/>
      <c r="L1526" s="17"/>
      <c r="M1526" s="17"/>
      <c r="N1526" s="17" t="s">
        <v>8098</v>
      </c>
      <c r="O1526" s="17" t="s">
        <v>8270</v>
      </c>
      <c r="P1526" s="17" t="s">
        <v>8271</v>
      </c>
      <c r="Q1526" s="17"/>
      <c r="R1526" s="25" t="str">
        <f>HYPERLINK("https://ictv.global/taxonomy/taxondetails?taxnode_id=202300268","Okubovirus SPO1")</f>
        <v>Okubovirus SPO1</v>
      </c>
      <c r="S1526" s="18" t="s">
        <v>30</v>
      </c>
      <c r="T1526" s="18" t="s">
        <v>8274</v>
      </c>
      <c r="U1526" s="18"/>
      <c r="V1526" s="18"/>
      <c r="W1526" s="18" t="s">
        <v>8275</v>
      </c>
      <c r="X1526" s="18" t="s">
        <v>42</v>
      </c>
      <c r="Y1526" s="18" t="s">
        <v>36</v>
      </c>
      <c r="Z1526" s="18" t="s">
        <v>697</v>
      </c>
      <c r="AA1526" s="21" t="str">
        <f>HYPERLINK("https://www.ncbi.nlm.nih.gov/nuccore/FJ230960","NCBI Nucleotide")</f>
        <v>NCBI Nucleotide</v>
      </c>
    </row>
    <row r="1527" spans="1:27" x14ac:dyDescent="0.35">
      <c r="A1527">
        <v>1001945</v>
      </c>
      <c r="B1527">
        <v>1518</v>
      </c>
      <c r="C1527">
        <v>1</v>
      </c>
      <c r="D1527" s="17" t="s">
        <v>155</v>
      </c>
      <c r="E1527" s="17"/>
      <c r="F1527" s="17" t="s">
        <v>156</v>
      </c>
      <c r="G1527" s="17"/>
      <c r="H1527" s="17" t="s">
        <v>692</v>
      </c>
      <c r="I1527" s="17"/>
      <c r="J1527" s="17" t="s">
        <v>693</v>
      </c>
      <c r="K1527" s="17"/>
      <c r="L1527" s="17"/>
      <c r="M1527" s="17"/>
      <c r="N1527" s="17" t="s">
        <v>8098</v>
      </c>
      <c r="O1527" s="17" t="s">
        <v>8270</v>
      </c>
      <c r="P1527" s="17" t="s">
        <v>8276</v>
      </c>
      <c r="Q1527" s="17"/>
      <c r="R1527" s="25" t="str">
        <f>HYPERLINK("https://ictv.global/taxonomy/taxondetails?taxnode_id=202300425","Siminovitchvirus CP51")</f>
        <v>Siminovitchvirus CP51</v>
      </c>
      <c r="S1527" s="18" t="s">
        <v>30</v>
      </c>
      <c r="T1527" s="18" t="s">
        <v>8277</v>
      </c>
      <c r="U1527" s="18"/>
      <c r="V1527" s="18"/>
      <c r="W1527" s="18" t="s">
        <v>8278</v>
      </c>
      <c r="X1527" s="18" t="s">
        <v>42</v>
      </c>
      <c r="Y1527" s="18" t="s">
        <v>36</v>
      </c>
      <c r="Z1527" s="18" t="s">
        <v>697</v>
      </c>
      <c r="AA1527" s="21" t="str">
        <f>HYPERLINK("https://www.ncbi.nlm.nih.gov/nuccore/KF554508","NCBI Nucleotide")</f>
        <v>NCBI Nucleotide</v>
      </c>
    </row>
    <row r="1528" spans="1:27" x14ac:dyDescent="0.35">
      <c r="A1528">
        <v>1001946</v>
      </c>
      <c r="B1528">
        <v>1519</v>
      </c>
      <c r="C1528">
        <v>1</v>
      </c>
      <c r="D1528" s="17" t="s">
        <v>155</v>
      </c>
      <c r="E1528" s="17"/>
      <c r="F1528" s="17" t="s">
        <v>156</v>
      </c>
      <c r="G1528" s="17"/>
      <c r="H1528" s="17" t="s">
        <v>692</v>
      </c>
      <c r="I1528" s="17"/>
      <c r="J1528" s="17" t="s">
        <v>693</v>
      </c>
      <c r="K1528" s="17"/>
      <c r="L1528" s="17"/>
      <c r="M1528" s="17"/>
      <c r="N1528" s="17" t="s">
        <v>8098</v>
      </c>
      <c r="O1528" s="17" t="s">
        <v>8270</v>
      </c>
      <c r="P1528" s="17" t="s">
        <v>8276</v>
      </c>
      <c r="Q1528" s="17"/>
      <c r="R1528" s="25" t="str">
        <f>HYPERLINK("https://ictv.global/taxonomy/taxondetails?taxnode_id=202300426","Siminovitchvirus JL")</f>
        <v>Siminovitchvirus JL</v>
      </c>
      <c r="S1528" s="18" t="s">
        <v>30</v>
      </c>
      <c r="T1528" s="18" t="s">
        <v>8279</v>
      </c>
      <c r="U1528" s="18"/>
      <c r="V1528" s="18"/>
      <c r="W1528" s="18" t="s">
        <v>8280</v>
      </c>
      <c r="X1528" s="18" t="s">
        <v>42</v>
      </c>
      <c r="Y1528" s="18" t="s">
        <v>36</v>
      </c>
      <c r="Z1528" s="18" t="s">
        <v>697</v>
      </c>
      <c r="AA1528" s="21" t="str">
        <f>HYPERLINK("https://www.ncbi.nlm.nih.gov/nuccore/KC595512","NCBI Nucleotide")</f>
        <v>NCBI Nucleotide</v>
      </c>
    </row>
    <row r="1529" spans="1:27" x14ac:dyDescent="0.35">
      <c r="A1529">
        <v>1001947</v>
      </c>
      <c r="B1529">
        <v>1520</v>
      </c>
      <c r="C1529">
        <v>1</v>
      </c>
      <c r="D1529" s="17" t="s">
        <v>155</v>
      </c>
      <c r="E1529" s="17"/>
      <c r="F1529" s="17" t="s">
        <v>156</v>
      </c>
      <c r="G1529" s="17"/>
      <c r="H1529" s="17" t="s">
        <v>692</v>
      </c>
      <c r="I1529" s="17"/>
      <c r="J1529" s="17" t="s">
        <v>693</v>
      </c>
      <c r="K1529" s="17"/>
      <c r="L1529" s="17"/>
      <c r="M1529" s="17"/>
      <c r="N1529" s="17" t="s">
        <v>8098</v>
      </c>
      <c r="O1529" s="17" t="s">
        <v>8270</v>
      </c>
      <c r="P1529" s="17" t="s">
        <v>8276</v>
      </c>
      <c r="Q1529" s="17"/>
      <c r="R1529" s="25" t="str">
        <f>HYPERLINK("https://ictv.global/taxonomy/taxondetails?taxnode_id=202300427","Siminovitchvirus shanette")</f>
        <v>Siminovitchvirus shanette</v>
      </c>
      <c r="S1529" s="18" t="s">
        <v>30</v>
      </c>
      <c r="T1529" s="18" t="s">
        <v>8281</v>
      </c>
      <c r="U1529" s="18"/>
      <c r="V1529" s="18"/>
      <c r="W1529" s="18" t="s">
        <v>8282</v>
      </c>
      <c r="X1529" s="18" t="s">
        <v>42</v>
      </c>
      <c r="Y1529" s="18" t="s">
        <v>36</v>
      </c>
      <c r="Z1529" s="18" t="s">
        <v>697</v>
      </c>
      <c r="AA1529" s="21" t="str">
        <f>HYPERLINK("https://www.ncbi.nlm.nih.gov/nuccore/KC595513","NCBI Nucleotide")</f>
        <v>NCBI Nucleotide</v>
      </c>
    </row>
    <row r="1530" spans="1:27" x14ac:dyDescent="0.35">
      <c r="A1530">
        <v>1001948</v>
      </c>
      <c r="B1530">
        <v>1521</v>
      </c>
      <c r="C1530">
        <v>1</v>
      </c>
      <c r="D1530" s="17" t="s">
        <v>155</v>
      </c>
      <c r="E1530" s="17"/>
      <c r="F1530" s="17" t="s">
        <v>156</v>
      </c>
      <c r="G1530" s="17"/>
      <c r="H1530" s="17" t="s">
        <v>692</v>
      </c>
      <c r="I1530" s="17"/>
      <c r="J1530" s="17" t="s">
        <v>693</v>
      </c>
      <c r="K1530" s="17"/>
      <c r="L1530" s="17"/>
      <c r="M1530" s="17"/>
      <c r="N1530" s="17" t="s">
        <v>8098</v>
      </c>
      <c r="O1530" s="17" t="s">
        <v>8283</v>
      </c>
      <c r="P1530" s="17" t="s">
        <v>8284</v>
      </c>
      <c r="Q1530" s="17"/>
      <c r="R1530" s="25" t="str">
        <f>HYPERLINK("https://ictv.global/taxonomy/taxondetails?taxnode_id=202307732","Baoshanvirus BS1")</f>
        <v>Baoshanvirus BS1</v>
      </c>
      <c r="S1530" s="18" t="s">
        <v>30</v>
      </c>
      <c r="T1530" s="18" t="s">
        <v>8285</v>
      </c>
      <c r="U1530" s="18" t="s">
        <v>8286</v>
      </c>
      <c r="V1530" s="18"/>
      <c r="W1530" s="18" t="s">
        <v>8287</v>
      </c>
      <c r="X1530" s="18" t="s">
        <v>42</v>
      </c>
      <c r="Y1530" s="18" t="s">
        <v>36</v>
      </c>
      <c r="Z1530" s="18" t="s">
        <v>697</v>
      </c>
      <c r="AA1530" s="21" t="str">
        <f>HYPERLINK("https://www.ncbi.nlm.nih.gov/nuccore/MH078572","NCBI Nucleotide")</f>
        <v>NCBI Nucleotide</v>
      </c>
    </row>
    <row r="1531" spans="1:27" x14ac:dyDescent="0.35">
      <c r="A1531">
        <v>1001949</v>
      </c>
      <c r="B1531">
        <v>1522</v>
      </c>
      <c r="C1531">
        <v>1</v>
      </c>
      <c r="D1531" s="17" t="s">
        <v>155</v>
      </c>
      <c r="E1531" s="17"/>
      <c r="F1531" s="17" t="s">
        <v>156</v>
      </c>
      <c r="G1531" s="17"/>
      <c r="H1531" s="17" t="s">
        <v>692</v>
      </c>
      <c r="I1531" s="17"/>
      <c r="J1531" s="17" t="s">
        <v>693</v>
      </c>
      <c r="K1531" s="17"/>
      <c r="L1531" s="17"/>
      <c r="M1531" s="17"/>
      <c r="N1531" s="17" t="s">
        <v>8098</v>
      </c>
      <c r="O1531" s="17" t="s">
        <v>8283</v>
      </c>
      <c r="P1531" s="17" t="s">
        <v>8284</v>
      </c>
      <c r="Q1531" s="17"/>
      <c r="R1531" s="25" t="str">
        <f>HYPERLINK("https://ictv.global/taxonomy/taxondetails?taxnode_id=202307731","Baoshanvirus BS2")</f>
        <v>Baoshanvirus BS2</v>
      </c>
      <c r="S1531" s="18" t="s">
        <v>30</v>
      </c>
      <c r="T1531" s="18" t="s">
        <v>8288</v>
      </c>
      <c r="U1531" s="18" t="s">
        <v>8289</v>
      </c>
      <c r="V1531" s="18"/>
      <c r="W1531" s="18" t="s">
        <v>8290</v>
      </c>
      <c r="X1531" s="18" t="s">
        <v>42</v>
      </c>
      <c r="Y1531" s="18" t="s">
        <v>36</v>
      </c>
      <c r="Z1531" s="18" t="s">
        <v>697</v>
      </c>
      <c r="AA1531" s="21" t="str">
        <f>HYPERLINK("https://www.ncbi.nlm.nih.gov/nuccore/MH028956","NCBI Nucleotide")</f>
        <v>NCBI Nucleotide</v>
      </c>
    </row>
    <row r="1532" spans="1:27" x14ac:dyDescent="0.35">
      <c r="A1532">
        <v>1001950</v>
      </c>
      <c r="B1532">
        <v>1523</v>
      </c>
      <c r="C1532">
        <v>1</v>
      </c>
      <c r="D1532" s="17" t="s">
        <v>155</v>
      </c>
      <c r="E1532" s="17"/>
      <c r="F1532" s="17" t="s">
        <v>156</v>
      </c>
      <c r="G1532" s="17"/>
      <c r="H1532" s="17" t="s">
        <v>692</v>
      </c>
      <c r="I1532" s="17"/>
      <c r="J1532" s="17" t="s">
        <v>693</v>
      </c>
      <c r="K1532" s="17"/>
      <c r="L1532" s="17"/>
      <c r="M1532" s="17"/>
      <c r="N1532" s="17" t="s">
        <v>8098</v>
      </c>
      <c r="O1532" s="17" t="s">
        <v>8283</v>
      </c>
      <c r="P1532" s="17" t="s">
        <v>8291</v>
      </c>
      <c r="Q1532" s="17"/>
      <c r="R1532" s="25" t="str">
        <f t="shared" ref="R1532:R1546" si="0">HYPERLINK("https://ictv.global/taxonomy/taxondetails?taxnode_id=202300249","Kayvirus G1")</f>
        <v>Kayvirus G1</v>
      </c>
      <c r="S1532" s="18" t="s">
        <v>30</v>
      </c>
      <c r="T1532" s="18" t="s">
        <v>8292</v>
      </c>
      <c r="U1532" s="18"/>
      <c r="V1532" s="18"/>
      <c r="W1532" s="18" t="s">
        <v>8293</v>
      </c>
      <c r="X1532" s="18" t="s">
        <v>42</v>
      </c>
      <c r="Y1532" s="18" t="s">
        <v>36</v>
      </c>
      <c r="Z1532" s="18" t="s">
        <v>697</v>
      </c>
      <c r="AA1532" s="21" t="str">
        <f>HYPERLINK("https://www.ncbi.nlm.nih.gov/nuccore/AY954969","NCBI Nucleotide")</f>
        <v>NCBI Nucleotide</v>
      </c>
    </row>
    <row r="1533" spans="1:27" x14ac:dyDescent="0.35">
      <c r="A1533">
        <v>1011649</v>
      </c>
      <c r="B1533">
        <v>1523</v>
      </c>
      <c r="C1533">
        <v>2</v>
      </c>
      <c r="D1533" s="17" t="s">
        <v>155</v>
      </c>
      <c r="E1533" s="17"/>
      <c r="F1533" s="17" t="s">
        <v>156</v>
      </c>
      <c r="G1533" s="17"/>
      <c r="H1533" s="17" t="s">
        <v>692</v>
      </c>
      <c r="I1533" s="17"/>
      <c r="J1533" s="17" t="s">
        <v>693</v>
      </c>
      <c r="K1533" s="17"/>
      <c r="L1533" s="17"/>
      <c r="M1533" s="17"/>
      <c r="N1533" s="17" t="s">
        <v>8098</v>
      </c>
      <c r="O1533" s="17" t="s">
        <v>8283</v>
      </c>
      <c r="P1533" s="17" t="s">
        <v>8291</v>
      </c>
      <c r="Q1533" s="17"/>
      <c r="R1533" s="25" t="str">
        <f t="shared" si="0"/>
        <v>Kayvirus G1</v>
      </c>
      <c r="S1533" s="18" t="s">
        <v>8141</v>
      </c>
      <c r="T1533" s="18" t="s">
        <v>8294</v>
      </c>
      <c r="U1533" s="18"/>
      <c r="V1533" s="18"/>
      <c r="W1533" s="18" t="s">
        <v>48739</v>
      </c>
      <c r="X1533" s="18" t="s">
        <v>42</v>
      </c>
      <c r="Y1533" s="18" t="s">
        <v>36</v>
      </c>
      <c r="Z1533" s="18" t="s">
        <v>697</v>
      </c>
      <c r="AA1533" s="21" t="str">
        <f>HYPERLINK("https://www.ncbi.nlm.nih.gov/nuccore/JX080302","NCBI Nucleotide")</f>
        <v>NCBI Nucleotide</v>
      </c>
    </row>
    <row r="1534" spans="1:27" x14ac:dyDescent="0.35">
      <c r="A1534">
        <v>1011650</v>
      </c>
      <c r="B1534">
        <v>1523</v>
      </c>
      <c r="C1534">
        <v>3</v>
      </c>
      <c r="D1534" s="17" t="s">
        <v>155</v>
      </c>
      <c r="E1534" s="17"/>
      <c r="F1534" s="17" t="s">
        <v>156</v>
      </c>
      <c r="G1534" s="17"/>
      <c r="H1534" s="17" t="s">
        <v>692</v>
      </c>
      <c r="I1534" s="17"/>
      <c r="J1534" s="17" t="s">
        <v>693</v>
      </c>
      <c r="K1534" s="17"/>
      <c r="L1534" s="17"/>
      <c r="M1534" s="17"/>
      <c r="N1534" s="17" t="s">
        <v>8098</v>
      </c>
      <c r="O1534" s="17" t="s">
        <v>8283</v>
      </c>
      <c r="P1534" s="17" t="s">
        <v>8291</v>
      </c>
      <c r="Q1534" s="17"/>
      <c r="R1534" s="25" t="str">
        <f t="shared" si="0"/>
        <v>Kayvirus G1</v>
      </c>
      <c r="S1534" s="18" t="s">
        <v>8141</v>
      </c>
      <c r="T1534" s="18" t="s">
        <v>8295</v>
      </c>
      <c r="U1534" s="18"/>
      <c r="V1534" s="18"/>
      <c r="W1534" s="18" t="s">
        <v>48740</v>
      </c>
      <c r="X1534" s="18" t="s">
        <v>42</v>
      </c>
      <c r="Y1534" s="18" t="s">
        <v>36</v>
      </c>
      <c r="Z1534" s="18" t="s">
        <v>697</v>
      </c>
      <c r="AA1534" s="21" t="str">
        <f>HYPERLINK("https://www.ncbi.nlm.nih.gov/nuccore/JX080301","NCBI Nucleotide")</f>
        <v>NCBI Nucleotide</v>
      </c>
    </row>
    <row r="1535" spans="1:27" x14ac:dyDescent="0.35">
      <c r="A1535">
        <v>1011651</v>
      </c>
      <c r="B1535">
        <v>1523</v>
      </c>
      <c r="C1535">
        <v>4</v>
      </c>
      <c r="D1535" s="17" t="s">
        <v>155</v>
      </c>
      <c r="E1535" s="17"/>
      <c r="F1535" s="17" t="s">
        <v>156</v>
      </c>
      <c r="G1535" s="17"/>
      <c r="H1535" s="17" t="s">
        <v>692</v>
      </c>
      <c r="I1535" s="17"/>
      <c r="J1535" s="17" t="s">
        <v>693</v>
      </c>
      <c r="K1535" s="17"/>
      <c r="L1535" s="17"/>
      <c r="M1535" s="17"/>
      <c r="N1535" s="17" t="s">
        <v>8098</v>
      </c>
      <c r="O1535" s="17" t="s">
        <v>8283</v>
      </c>
      <c r="P1535" s="17" t="s">
        <v>8291</v>
      </c>
      <c r="Q1535" s="17"/>
      <c r="R1535" s="25" t="str">
        <f t="shared" si="0"/>
        <v>Kayvirus G1</v>
      </c>
      <c r="S1535" s="18" t="s">
        <v>8141</v>
      </c>
      <c r="T1535" s="18" t="s">
        <v>8296</v>
      </c>
      <c r="U1535" s="18"/>
      <c r="V1535" s="18"/>
      <c r="W1535" s="18" t="s">
        <v>48741</v>
      </c>
      <c r="X1535" s="18" t="s">
        <v>42</v>
      </c>
      <c r="Y1535" s="18" t="s">
        <v>36</v>
      </c>
      <c r="Z1535" s="18" t="s">
        <v>697</v>
      </c>
      <c r="AA1535" s="21" t="str">
        <f>HYPERLINK("https://www.ncbi.nlm.nih.gov/nuccore/EU418428","NCBI Nucleotide")</f>
        <v>NCBI Nucleotide</v>
      </c>
    </row>
    <row r="1536" spans="1:27" x14ac:dyDescent="0.35">
      <c r="A1536">
        <v>1011652</v>
      </c>
      <c r="B1536">
        <v>1523</v>
      </c>
      <c r="C1536">
        <v>5</v>
      </c>
      <c r="D1536" s="17" t="s">
        <v>155</v>
      </c>
      <c r="E1536" s="17"/>
      <c r="F1536" s="17" t="s">
        <v>156</v>
      </c>
      <c r="G1536" s="17"/>
      <c r="H1536" s="17" t="s">
        <v>692</v>
      </c>
      <c r="I1536" s="17"/>
      <c r="J1536" s="17" t="s">
        <v>693</v>
      </c>
      <c r="K1536" s="17"/>
      <c r="L1536" s="17"/>
      <c r="M1536" s="17"/>
      <c r="N1536" s="17" t="s">
        <v>8098</v>
      </c>
      <c r="O1536" s="17" t="s">
        <v>8283</v>
      </c>
      <c r="P1536" s="17" t="s">
        <v>8291</v>
      </c>
      <c r="Q1536" s="17"/>
      <c r="R1536" s="25" t="str">
        <f t="shared" si="0"/>
        <v>Kayvirus G1</v>
      </c>
      <c r="S1536" s="18" t="s">
        <v>8141</v>
      </c>
      <c r="T1536" s="18" t="s">
        <v>8297</v>
      </c>
      <c r="U1536" s="18"/>
      <c r="V1536" s="18"/>
      <c r="W1536" s="18" t="s">
        <v>48742</v>
      </c>
      <c r="X1536" s="18" t="s">
        <v>42</v>
      </c>
      <c r="Y1536" s="18" t="s">
        <v>36</v>
      </c>
      <c r="Z1536" s="18" t="s">
        <v>697</v>
      </c>
      <c r="AA1536" s="21" t="str">
        <f>HYPERLINK("https://www.ncbi.nlm.nih.gov/nuccore/JX080303","NCBI Nucleotide")</f>
        <v>NCBI Nucleotide</v>
      </c>
    </row>
    <row r="1537" spans="1:27" x14ac:dyDescent="0.35">
      <c r="A1537">
        <v>1011653</v>
      </c>
      <c r="B1537">
        <v>1523</v>
      </c>
      <c r="C1537">
        <v>6</v>
      </c>
      <c r="D1537" s="17" t="s">
        <v>155</v>
      </c>
      <c r="E1537" s="17"/>
      <c r="F1537" s="17" t="s">
        <v>156</v>
      </c>
      <c r="G1537" s="17"/>
      <c r="H1537" s="17" t="s">
        <v>692</v>
      </c>
      <c r="I1537" s="17"/>
      <c r="J1537" s="17" t="s">
        <v>693</v>
      </c>
      <c r="K1537" s="17"/>
      <c r="L1537" s="17"/>
      <c r="M1537" s="17"/>
      <c r="N1537" s="17" t="s">
        <v>8098</v>
      </c>
      <c r="O1537" s="17" t="s">
        <v>8283</v>
      </c>
      <c r="P1537" s="17" t="s">
        <v>8291</v>
      </c>
      <c r="Q1537" s="17"/>
      <c r="R1537" s="25" t="str">
        <f t="shared" si="0"/>
        <v>Kayvirus G1</v>
      </c>
      <c r="S1537" s="18" t="s">
        <v>8141</v>
      </c>
      <c r="T1537" s="18" t="s">
        <v>8298</v>
      </c>
      <c r="U1537" s="18"/>
      <c r="V1537" s="18"/>
      <c r="W1537" s="18" t="s">
        <v>48743</v>
      </c>
      <c r="X1537" s="18" t="s">
        <v>42</v>
      </c>
      <c r="Y1537" s="18" t="s">
        <v>36</v>
      </c>
      <c r="Z1537" s="18" t="s">
        <v>697</v>
      </c>
      <c r="AA1537" s="21" t="str">
        <f>HYPERLINK("https://www.ncbi.nlm.nih.gov/nuccore/KP687431","NCBI Nucleotide")</f>
        <v>NCBI Nucleotide</v>
      </c>
    </row>
    <row r="1538" spans="1:27" x14ac:dyDescent="0.35">
      <c r="A1538">
        <v>1011656</v>
      </c>
      <c r="B1538">
        <v>1523</v>
      </c>
      <c r="C1538">
        <v>7</v>
      </c>
      <c r="D1538" s="17" t="s">
        <v>155</v>
      </c>
      <c r="E1538" s="17"/>
      <c r="F1538" s="17" t="s">
        <v>156</v>
      </c>
      <c r="G1538" s="17"/>
      <c r="H1538" s="17" t="s">
        <v>692</v>
      </c>
      <c r="I1538" s="17"/>
      <c r="J1538" s="17" t="s">
        <v>693</v>
      </c>
      <c r="K1538" s="17"/>
      <c r="L1538" s="17"/>
      <c r="M1538" s="17"/>
      <c r="N1538" s="17" t="s">
        <v>8098</v>
      </c>
      <c r="O1538" s="17" t="s">
        <v>8283</v>
      </c>
      <c r="P1538" s="17" t="s">
        <v>8291</v>
      </c>
      <c r="Q1538" s="17"/>
      <c r="R1538" s="25" t="str">
        <f t="shared" si="0"/>
        <v>Kayvirus G1</v>
      </c>
      <c r="S1538" s="18" t="s">
        <v>8141</v>
      </c>
      <c r="T1538" s="18" t="s">
        <v>8301</v>
      </c>
      <c r="U1538" s="18"/>
      <c r="V1538" s="18"/>
      <c r="W1538" s="18" t="s">
        <v>48744</v>
      </c>
      <c r="X1538" s="18" t="s">
        <v>42</v>
      </c>
      <c r="Y1538" s="18" t="s">
        <v>36</v>
      </c>
      <c r="Z1538" s="18" t="s">
        <v>697</v>
      </c>
      <c r="AA1538" s="21" t="str">
        <f>HYPERLINK("https://www.ncbi.nlm.nih.gov/nuccore/KP687432","NCBI Nucleotide")</f>
        <v>NCBI Nucleotide</v>
      </c>
    </row>
    <row r="1539" spans="1:27" x14ac:dyDescent="0.35">
      <c r="A1539">
        <v>1011654</v>
      </c>
      <c r="B1539">
        <v>1523</v>
      </c>
      <c r="C1539">
        <v>8</v>
      </c>
      <c r="D1539" s="17" t="s">
        <v>155</v>
      </c>
      <c r="E1539" s="17"/>
      <c r="F1539" s="17" t="s">
        <v>156</v>
      </c>
      <c r="G1539" s="17"/>
      <c r="H1539" s="17" t="s">
        <v>692</v>
      </c>
      <c r="I1539" s="17"/>
      <c r="J1539" s="17" t="s">
        <v>693</v>
      </c>
      <c r="K1539" s="17"/>
      <c r="L1539" s="17"/>
      <c r="M1539" s="17"/>
      <c r="N1539" s="17" t="s">
        <v>8098</v>
      </c>
      <c r="O1539" s="17" t="s">
        <v>8283</v>
      </c>
      <c r="P1539" s="17" t="s">
        <v>8291</v>
      </c>
      <c r="Q1539" s="17"/>
      <c r="R1539" s="25" t="str">
        <f t="shared" si="0"/>
        <v>Kayvirus G1</v>
      </c>
      <c r="S1539" s="18" t="s">
        <v>8141</v>
      </c>
      <c r="T1539" s="18" t="s">
        <v>8299</v>
      </c>
      <c r="U1539" s="18"/>
      <c r="V1539" s="18"/>
      <c r="W1539" s="18" t="s">
        <v>48745</v>
      </c>
      <c r="X1539" s="18" t="s">
        <v>42</v>
      </c>
      <c r="Y1539" s="18" t="s">
        <v>36</v>
      </c>
      <c r="Z1539" s="18" t="s">
        <v>697</v>
      </c>
      <c r="AA1539" s="21" t="str">
        <f>HYPERLINK("https://www.ncbi.nlm.nih.gov/nuccore/KR902361","NCBI Nucleotide")</f>
        <v>NCBI Nucleotide</v>
      </c>
    </row>
    <row r="1540" spans="1:27" x14ac:dyDescent="0.35">
      <c r="A1540">
        <v>1011655</v>
      </c>
      <c r="B1540">
        <v>1523</v>
      </c>
      <c r="C1540">
        <v>9</v>
      </c>
      <c r="D1540" s="17" t="s">
        <v>155</v>
      </c>
      <c r="E1540" s="17"/>
      <c r="F1540" s="17" t="s">
        <v>156</v>
      </c>
      <c r="G1540" s="17"/>
      <c r="H1540" s="17" t="s">
        <v>692</v>
      </c>
      <c r="I1540" s="17"/>
      <c r="J1540" s="17" t="s">
        <v>693</v>
      </c>
      <c r="K1540" s="17"/>
      <c r="L1540" s="17"/>
      <c r="M1540" s="17"/>
      <c r="N1540" s="17" t="s">
        <v>8098</v>
      </c>
      <c r="O1540" s="17" t="s">
        <v>8283</v>
      </c>
      <c r="P1540" s="17" t="s">
        <v>8291</v>
      </c>
      <c r="Q1540" s="17"/>
      <c r="R1540" s="25" t="str">
        <f t="shared" si="0"/>
        <v>Kayvirus G1</v>
      </c>
      <c r="S1540" s="18" t="s">
        <v>8141</v>
      </c>
      <c r="T1540" s="18" t="s">
        <v>8300</v>
      </c>
      <c r="U1540" s="18"/>
      <c r="V1540" s="18"/>
      <c r="W1540" s="18" t="s">
        <v>48746</v>
      </c>
      <c r="X1540" s="18" t="s">
        <v>42</v>
      </c>
      <c r="Y1540" s="18" t="s">
        <v>36</v>
      </c>
      <c r="Z1540" s="18" t="s">
        <v>697</v>
      </c>
      <c r="AA1540" s="21" t="str">
        <f>HYPERLINK("https://www.ncbi.nlm.nih.gov/nuccore/KR908644","NCBI Nucleotide")</f>
        <v>NCBI Nucleotide</v>
      </c>
    </row>
    <row r="1541" spans="1:27" x14ac:dyDescent="0.35">
      <c r="A1541">
        <v>1011657</v>
      </c>
      <c r="B1541">
        <v>1523</v>
      </c>
      <c r="C1541">
        <v>10</v>
      </c>
      <c r="D1541" s="17" t="s">
        <v>155</v>
      </c>
      <c r="E1541" s="17"/>
      <c r="F1541" s="17" t="s">
        <v>156</v>
      </c>
      <c r="G1541" s="17"/>
      <c r="H1541" s="17" t="s">
        <v>692</v>
      </c>
      <c r="I1541" s="17"/>
      <c r="J1541" s="17" t="s">
        <v>693</v>
      </c>
      <c r="K1541" s="17"/>
      <c r="L1541" s="17"/>
      <c r="M1541" s="17"/>
      <c r="N1541" s="17" t="s">
        <v>8098</v>
      </c>
      <c r="O1541" s="17" t="s">
        <v>8283</v>
      </c>
      <c r="P1541" s="17" t="s">
        <v>8291</v>
      </c>
      <c r="Q1541" s="17"/>
      <c r="R1541" s="25" t="str">
        <f t="shared" si="0"/>
        <v>Kayvirus G1</v>
      </c>
      <c r="S1541" s="18" t="s">
        <v>8141</v>
      </c>
      <c r="T1541" s="18" t="s">
        <v>8302</v>
      </c>
      <c r="U1541" s="18"/>
      <c r="V1541" s="18"/>
      <c r="W1541" s="18" t="s">
        <v>48747</v>
      </c>
      <c r="X1541" s="18" t="s">
        <v>42</v>
      </c>
      <c r="Y1541" s="18" t="s">
        <v>36</v>
      </c>
      <c r="Z1541" s="18" t="s">
        <v>697</v>
      </c>
      <c r="AA1541" s="21" t="str">
        <f>HYPERLINK("https://www.ncbi.nlm.nih.gov/nuccore/FR852584","NCBI Nucleotide")</f>
        <v>NCBI Nucleotide</v>
      </c>
    </row>
    <row r="1542" spans="1:27" x14ac:dyDescent="0.35">
      <c r="A1542">
        <v>1011658</v>
      </c>
      <c r="B1542">
        <v>1523</v>
      </c>
      <c r="C1542">
        <v>11</v>
      </c>
      <c r="D1542" s="17" t="s">
        <v>155</v>
      </c>
      <c r="E1542" s="17"/>
      <c r="F1542" s="17" t="s">
        <v>156</v>
      </c>
      <c r="G1542" s="17"/>
      <c r="H1542" s="17" t="s">
        <v>692</v>
      </c>
      <c r="I1542" s="17"/>
      <c r="J1542" s="17" t="s">
        <v>693</v>
      </c>
      <c r="K1542" s="17"/>
      <c r="L1542" s="17"/>
      <c r="M1542" s="17"/>
      <c r="N1542" s="17" t="s">
        <v>8098</v>
      </c>
      <c r="O1542" s="17" t="s">
        <v>8283</v>
      </c>
      <c r="P1542" s="17" t="s">
        <v>8291</v>
      </c>
      <c r="Q1542" s="17"/>
      <c r="R1542" s="25" t="str">
        <f t="shared" si="0"/>
        <v>Kayvirus G1</v>
      </c>
      <c r="S1542" s="18" t="s">
        <v>8141</v>
      </c>
      <c r="T1542" s="18" t="s">
        <v>8303</v>
      </c>
      <c r="U1542" s="18"/>
      <c r="V1542" s="18"/>
      <c r="W1542" s="18" t="s">
        <v>48748</v>
      </c>
      <c r="X1542" s="18" t="s">
        <v>42</v>
      </c>
      <c r="Y1542" s="18" t="s">
        <v>36</v>
      </c>
      <c r="Z1542" s="18" t="s">
        <v>697</v>
      </c>
      <c r="AA1542" s="21" t="str">
        <f>HYPERLINK("https://www.ncbi.nlm.nih.gov/nuccore/JX080304","NCBI Nucleotide")</f>
        <v>NCBI Nucleotide</v>
      </c>
    </row>
    <row r="1543" spans="1:27" x14ac:dyDescent="0.35">
      <c r="A1543">
        <v>1011659</v>
      </c>
      <c r="B1543">
        <v>1523</v>
      </c>
      <c r="C1543">
        <v>12</v>
      </c>
      <c r="D1543" s="17" t="s">
        <v>155</v>
      </c>
      <c r="E1543" s="17"/>
      <c r="F1543" s="17" t="s">
        <v>156</v>
      </c>
      <c r="G1543" s="17"/>
      <c r="H1543" s="17" t="s">
        <v>692</v>
      </c>
      <c r="I1543" s="17"/>
      <c r="J1543" s="17" t="s">
        <v>693</v>
      </c>
      <c r="K1543" s="17"/>
      <c r="L1543" s="17"/>
      <c r="M1543" s="17"/>
      <c r="N1543" s="17" t="s">
        <v>8098</v>
      </c>
      <c r="O1543" s="17" t="s">
        <v>8283</v>
      </c>
      <c r="P1543" s="17" t="s">
        <v>8291</v>
      </c>
      <c r="Q1543" s="17"/>
      <c r="R1543" s="25" t="str">
        <f t="shared" si="0"/>
        <v>Kayvirus G1</v>
      </c>
      <c r="S1543" s="18" t="s">
        <v>8141</v>
      </c>
      <c r="T1543" s="18" t="s">
        <v>8304</v>
      </c>
      <c r="U1543" s="18"/>
      <c r="V1543" s="18"/>
      <c r="W1543" s="18" t="s">
        <v>48749</v>
      </c>
      <c r="X1543" s="18" t="s">
        <v>42</v>
      </c>
      <c r="Y1543" s="18" t="s">
        <v>36</v>
      </c>
      <c r="Z1543" s="18" t="s">
        <v>697</v>
      </c>
      <c r="AA1543" s="21" t="str">
        <f>HYPERLINK("https://www.ncbi.nlm.nih.gov/nuccore/JX080305","NCBI Nucleotide")</f>
        <v>NCBI Nucleotide</v>
      </c>
    </row>
    <row r="1544" spans="1:27" x14ac:dyDescent="0.35">
      <c r="A1544">
        <v>1011660</v>
      </c>
      <c r="B1544">
        <v>1523</v>
      </c>
      <c r="C1544">
        <v>13</v>
      </c>
      <c r="D1544" s="17" t="s">
        <v>155</v>
      </c>
      <c r="E1544" s="17"/>
      <c r="F1544" s="17" t="s">
        <v>156</v>
      </c>
      <c r="G1544" s="17"/>
      <c r="H1544" s="17" t="s">
        <v>692</v>
      </c>
      <c r="I1544" s="17"/>
      <c r="J1544" s="17" t="s">
        <v>693</v>
      </c>
      <c r="K1544" s="17"/>
      <c r="L1544" s="17"/>
      <c r="M1544" s="17"/>
      <c r="N1544" s="17" t="s">
        <v>8098</v>
      </c>
      <c r="O1544" s="17" t="s">
        <v>8283</v>
      </c>
      <c r="P1544" s="17" t="s">
        <v>8291</v>
      </c>
      <c r="Q1544" s="17"/>
      <c r="R1544" s="25" t="str">
        <f t="shared" si="0"/>
        <v>Kayvirus G1</v>
      </c>
      <c r="S1544" s="18" t="s">
        <v>8141</v>
      </c>
      <c r="T1544" s="18" t="s">
        <v>8305</v>
      </c>
      <c r="U1544" s="18"/>
      <c r="V1544" s="18"/>
      <c r="W1544" s="18" t="s">
        <v>48750</v>
      </c>
      <c r="X1544" s="18" t="s">
        <v>42</v>
      </c>
      <c r="Y1544" s="18" t="s">
        <v>36</v>
      </c>
      <c r="Z1544" s="18" t="s">
        <v>697</v>
      </c>
      <c r="AA1544" s="21" t="str">
        <f>HYPERLINK("https://www.ncbi.nlm.nih.gov/nuccore/JX875065","NCBI Nucleotide")</f>
        <v>NCBI Nucleotide</v>
      </c>
    </row>
    <row r="1545" spans="1:27" x14ac:dyDescent="0.35">
      <c r="A1545">
        <v>1011661</v>
      </c>
      <c r="B1545">
        <v>1523</v>
      </c>
      <c r="C1545">
        <v>14</v>
      </c>
      <c r="D1545" s="17" t="s">
        <v>155</v>
      </c>
      <c r="E1545" s="17"/>
      <c r="F1545" s="17" t="s">
        <v>156</v>
      </c>
      <c r="G1545" s="17"/>
      <c r="H1545" s="17" t="s">
        <v>692</v>
      </c>
      <c r="I1545" s="17"/>
      <c r="J1545" s="17" t="s">
        <v>693</v>
      </c>
      <c r="K1545" s="17"/>
      <c r="L1545" s="17"/>
      <c r="M1545" s="17"/>
      <c r="N1545" s="17" t="s">
        <v>8098</v>
      </c>
      <c r="O1545" s="17" t="s">
        <v>8283</v>
      </c>
      <c r="P1545" s="17" t="s">
        <v>8291</v>
      </c>
      <c r="Q1545" s="17"/>
      <c r="R1545" s="25" t="str">
        <f t="shared" si="0"/>
        <v>Kayvirus G1</v>
      </c>
      <c r="S1545" s="18" t="s">
        <v>8141</v>
      </c>
      <c r="T1545" s="18" t="s">
        <v>8306</v>
      </c>
      <c r="U1545" s="18"/>
      <c r="V1545" s="18"/>
      <c r="W1545" s="18" t="s">
        <v>48751</v>
      </c>
      <c r="X1545" s="18" t="s">
        <v>42</v>
      </c>
      <c r="Y1545" s="18" t="s">
        <v>36</v>
      </c>
      <c r="Z1545" s="18" t="s">
        <v>697</v>
      </c>
      <c r="AA1545" s="21" t="str">
        <f>HYPERLINK("https://www.ncbi.nlm.nih.gov/nuccore/JX080300","NCBI Nucleotide")</f>
        <v>NCBI Nucleotide</v>
      </c>
    </row>
    <row r="1546" spans="1:27" x14ac:dyDescent="0.35">
      <c r="A1546">
        <v>1011662</v>
      </c>
      <c r="B1546">
        <v>1523</v>
      </c>
      <c r="C1546">
        <v>15</v>
      </c>
      <c r="D1546" s="17" t="s">
        <v>155</v>
      </c>
      <c r="E1546" s="17"/>
      <c r="F1546" s="17" t="s">
        <v>156</v>
      </c>
      <c r="G1546" s="17"/>
      <c r="H1546" s="17" t="s">
        <v>692</v>
      </c>
      <c r="I1546" s="17"/>
      <c r="J1546" s="17" t="s">
        <v>693</v>
      </c>
      <c r="K1546" s="17"/>
      <c r="L1546" s="17"/>
      <c r="M1546" s="17"/>
      <c r="N1546" s="17" t="s">
        <v>8098</v>
      </c>
      <c r="O1546" s="17" t="s">
        <v>8283</v>
      </c>
      <c r="P1546" s="17" t="s">
        <v>8291</v>
      </c>
      <c r="Q1546" s="17"/>
      <c r="R1546" s="25" t="str">
        <f t="shared" si="0"/>
        <v>Kayvirus G1</v>
      </c>
      <c r="S1546" s="18" t="s">
        <v>8141</v>
      </c>
      <c r="T1546" s="18" t="s">
        <v>8307</v>
      </c>
      <c r="U1546" s="18"/>
      <c r="V1546" s="18"/>
      <c r="W1546" s="18" t="s">
        <v>48752</v>
      </c>
      <c r="X1546" s="18" t="s">
        <v>42</v>
      </c>
      <c r="Y1546" s="18" t="s">
        <v>36</v>
      </c>
      <c r="Z1546" s="18" t="s">
        <v>697</v>
      </c>
      <c r="AA1546" s="21" t="str">
        <f>HYPERLINK("https://www.ncbi.nlm.nih.gov/nuccore/KC012913","NCBI Nucleotide")</f>
        <v>NCBI Nucleotide</v>
      </c>
    </row>
    <row r="1547" spans="1:27" x14ac:dyDescent="0.35">
      <c r="A1547">
        <v>1001951</v>
      </c>
      <c r="B1547">
        <v>1524</v>
      </c>
      <c r="C1547">
        <v>1</v>
      </c>
      <c r="D1547" s="17" t="s">
        <v>155</v>
      </c>
      <c r="E1547" s="17"/>
      <c r="F1547" s="17" t="s">
        <v>156</v>
      </c>
      <c r="G1547" s="17"/>
      <c r="H1547" s="17" t="s">
        <v>692</v>
      </c>
      <c r="I1547" s="17"/>
      <c r="J1547" s="17" t="s">
        <v>693</v>
      </c>
      <c r="K1547" s="17"/>
      <c r="L1547" s="17"/>
      <c r="M1547" s="17"/>
      <c r="N1547" s="17" t="s">
        <v>8098</v>
      </c>
      <c r="O1547" s="17" t="s">
        <v>8283</v>
      </c>
      <c r="P1547" s="17" t="s">
        <v>8291</v>
      </c>
      <c r="Q1547" s="17"/>
      <c r="R1547" s="25" t="str">
        <f>HYPERLINK("https://ictv.global/taxonomy/taxondetails?taxnode_id=202300250","Kayvirus G15")</f>
        <v>Kayvirus G15</v>
      </c>
      <c r="S1547" s="18" t="s">
        <v>30</v>
      </c>
      <c r="T1547" s="18" t="s">
        <v>8308</v>
      </c>
      <c r="U1547" s="18"/>
      <c r="V1547" s="18"/>
      <c r="W1547" s="18" t="s">
        <v>8309</v>
      </c>
      <c r="X1547" s="18" t="s">
        <v>42</v>
      </c>
      <c r="Y1547" s="18" t="s">
        <v>36</v>
      </c>
      <c r="Z1547" s="18" t="s">
        <v>697</v>
      </c>
      <c r="AA1547" s="21" t="str">
        <f>HYPERLINK("https://www.ncbi.nlm.nih.gov/nuccore/JQ686190","NCBI Nucleotide")</f>
        <v>NCBI Nucleotide</v>
      </c>
    </row>
    <row r="1548" spans="1:27" x14ac:dyDescent="0.35">
      <c r="A1548">
        <v>1001952</v>
      </c>
      <c r="B1548">
        <v>1525</v>
      </c>
      <c r="C1548">
        <v>1</v>
      </c>
      <c r="D1548" s="17" t="s">
        <v>155</v>
      </c>
      <c r="E1548" s="17"/>
      <c r="F1548" s="17" t="s">
        <v>156</v>
      </c>
      <c r="G1548" s="17"/>
      <c r="H1548" s="17" t="s">
        <v>692</v>
      </c>
      <c r="I1548" s="17"/>
      <c r="J1548" s="17" t="s">
        <v>693</v>
      </c>
      <c r="K1548" s="17"/>
      <c r="L1548" s="17"/>
      <c r="M1548" s="17"/>
      <c r="N1548" s="17" t="s">
        <v>8098</v>
      </c>
      <c r="O1548" s="17" t="s">
        <v>8283</v>
      </c>
      <c r="P1548" s="17" t="s">
        <v>8291</v>
      </c>
      <c r="Q1548" s="17"/>
      <c r="R1548" s="25" t="str">
        <f>HYPERLINK("https://ictv.global/taxonomy/taxondetails?taxnode_id=202300251","Kayvirus JD7")</f>
        <v>Kayvirus JD7</v>
      </c>
      <c r="S1548" s="18" t="s">
        <v>30</v>
      </c>
      <c r="T1548" s="18" t="s">
        <v>8310</v>
      </c>
      <c r="U1548" s="18"/>
      <c r="V1548" s="18"/>
      <c r="W1548" s="18" t="s">
        <v>8311</v>
      </c>
      <c r="X1548" s="18" t="s">
        <v>42</v>
      </c>
      <c r="Y1548" s="18" t="s">
        <v>36</v>
      </c>
      <c r="Z1548" s="18" t="s">
        <v>697</v>
      </c>
      <c r="AA1548" s="21" t="str">
        <f>HYPERLINK("https://www.ncbi.nlm.nih.gov/nuccore/JX878671","NCBI Nucleotide")</f>
        <v>NCBI Nucleotide</v>
      </c>
    </row>
    <row r="1549" spans="1:27" x14ac:dyDescent="0.35">
      <c r="A1549">
        <v>1001953</v>
      </c>
      <c r="B1549">
        <v>1526</v>
      </c>
      <c r="C1549">
        <v>1</v>
      </c>
      <c r="D1549" s="17" t="s">
        <v>155</v>
      </c>
      <c r="E1549" s="17"/>
      <c r="F1549" s="17" t="s">
        <v>156</v>
      </c>
      <c r="G1549" s="17"/>
      <c r="H1549" s="17" t="s">
        <v>692</v>
      </c>
      <c r="I1549" s="17"/>
      <c r="J1549" s="17" t="s">
        <v>693</v>
      </c>
      <c r="K1549" s="17"/>
      <c r="L1549" s="17"/>
      <c r="M1549" s="17"/>
      <c r="N1549" s="17" t="s">
        <v>8098</v>
      </c>
      <c r="O1549" s="17" t="s">
        <v>8283</v>
      </c>
      <c r="P1549" s="17" t="s">
        <v>8291</v>
      </c>
      <c r="Q1549" s="17"/>
      <c r="R1549" s="25" t="str">
        <f>HYPERLINK("https://ictv.global/taxonomy/taxondetails?taxnode_id=202300252","Kayvirus kay")</f>
        <v>Kayvirus kay</v>
      </c>
      <c r="S1549" s="18" t="s">
        <v>30</v>
      </c>
      <c r="T1549" s="18" t="s">
        <v>8312</v>
      </c>
      <c r="U1549" s="18"/>
      <c r="V1549" s="18"/>
      <c r="W1549" s="18" t="s">
        <v>8313</v>
      </c>
      <c r="X1549" s="18" t="s">
        <v>42</v>
      </c>
      <c r="Y1549" s="18" t="s">
        <v>36</v>
      </c>
      <c r="Z1549" s="18" t="s">
        <v>697</v>
      </c>
      <c r="AA1549" s="21" t="str">
        <f>HYPERLINK("https://www.ncbi.nlm.nih.gov/nuccore/KF766114","NCBI Nucleotide")</f>
        <v>NCBI Nucleotide</v>
      </c>
    </row>
    <row r="1550" spans="1:27" x14ac:dyDescent="0.35">
      <c r="A1550">
        <v>1001954</v>
      </c>
      <c r="B1550">
        <v>1527</v>
      </c>
      <c r="C1550">
        <v>1</v>
      </c>
      <c r="D1550" s="17" t="s">
        <v>155</v>
      </c>
      <c r="E1550" s="17"/>
      <c r="F1550" s="17" t="s">
        <v>156</v>
      </c>
      <c r="G1550" s="17"/>
      <c r="H1550" s="17" t="s">
        <v>692</v>
      </c>
      <c r="I1550" s="17"/>
      <c r="J1550" s="17" t="s">
        <v>693</v>
      </c>
      <c r="K1550" s="17"/>
      <c r="L1550" s="17"/>
      <c r="M1550" s="17"/>
      <c r="N1550" s="17" t="s">
        <v>8098</v>
      </c>
      <c r="O1550" s="17" t="s">
        <v>8283</v>
      </c>
      <c r="P1550" s="17" t="s">
        <v>8291</v>
      </c>
      <c r="Q1550" s="17"/>
      <c r="R1550" s="25" t="str">
        <f>HYPERLINK("https://ictv.global/taxonomy/taxondetails?taxnode_id=202300253","Kayvirus MCE2014")</f>
        <v>Kayvirus MCE2014</v>
      </c>
      <c r="S1550" s="18" t="s">
        <v>30</v>
      </c>
      <c r="T1550" s="18" t="s">
        <v>8314</v>
      </c>
      <c r="U1550" s="18"/>
      <c r="V1550" s="18"/>
      <c r="W1550" s="18" t="s">
        <v>8315</v>
      </c>
      <c r="X1550" s="18" t="s">
        <v>42</v>
      </c>
      <c r="Y1550" s="18" t="s">
        <v>36</v>
      </c>
      <c r="Z1550" s="18" t="s">
        <v>697</v>
      </c>
      <c r="AA1550" s="21" t="str">
        <f>HYPERLINK("https://www.ncbi.nlm.nih.gov/nuccore/KJ888149","NCBI Nucleotide")</f>
        <v>NCBI Nucleotide</v>
      </c>
    </row>
    <row r="1551" spans="1:27" x14ac:dyDescent="0.35">
      <c r="A1551">
        <v>1001955</v>
      </c>
      <c r="B1551">
        <v>1528</v>
      </c>
      <c r="C1551">
        <v>1</v>
      </c>
      <c r="D1551" s="17" t="s">
        <v>155</v>
      </c>
      <c r="E1551" s="17"/>
      <c r="F1551" s="17" t="s">
        <v>156</v>
      </c>
      <c r="G1551" s="17"/>
      <c r="H1551" s="17" t="s">
        <v>692</v>
      </c>
      <c r="I1551" s="17"/>
      <c r="J1551" s="17" t="s">
        <v>693</v>
      </c>
      <c r="K1551" s="17"/>
      <c r="L1551" s="17"/>
      <c r="M1551" s="17"/>
      <c r="N1551" s="17" t="s">
        <v>8098</v>
      </c>
      <c r="O1551" s="17" t="s">
        <v>8283</v>
      </c>
      <c r="P1551" s="17" t="s">
        <v>8291</v>
      </c>
      <c r="Q1551" s="17"/>
      <c r="R1551" s="25" t="str">
        <f>HYPERLINK("https://ictv.global/taxonomy/taxondetails?taxnode_id=202300254","Kayvirus P108")</f>
        <v>Kayvirus P108</v>
      </c>
      <c r="S1551" s="18" t="s">
        <v>30</v>
      </c>
      <c r="T1551" s="18" t="s">
        <v>8316</v>
      </c>
      <c r="U1551" s="18"/>
      <c r="V1551" s="18"/>
      <c r="W1551" s="18" t="s">
        <v>8317</v>
      </c>
      <c r="X1551" s="18" t="s">
        <v>42</v>
      </c>
      <c r="Y1551" s="18" t="s">
        <v>36</v>
      </c>
      <c r="Z1551" s="18" t="s">
        <v>697</v>
      </c>
      <c r="AA1551" s="21" t="str">
        <f>HYPERLINK("https://www.ncbi.nlm.nih.gov/nuccore/KM216423","NCBI Nucleotide")</f>
        <v>NCBI Nucleotide</v>
      </c>
    </row>
    <row r="1552" spans="1:27" x14ac:dyDescent="0.35">
      <c r="A1552">
        <v>1001956</v>
      </c>
      <c r="B1552">
        <v>1529</v>
      </c>
      <c r="C1552">
        <v>1</v>
      </c>
      <c r="D1552" s="17" t="s">
        <v>155</v>
      </c>
      <c r="E1552" s="17"/>
      <c r="F1552" s="17" t="s">
        <v>156</v>
      </c>
      <c r="G1552" s="17"/>
      <c r="H1552" s="17" t="s">
        <v>692</v>
      </c>
      <c r="I1552" s="17"/>
      <c r="J1552" s="17" t="s">
        <v>693</v>
      </c>
      <c r="K1552" s="17"/>
      <c r="L1552" s="17"/>
      <c r="M1552" s="17"/>
      <c r="N1552" s="17" t="s">
        <v>8098</v>
      </c>
      <c r="O1552" s="17" t="s">
        <v>8283</v>
      </c>
      <c r="P1552" s="17" t="s">
        <v>8291</v>
      </c>
      <c r="Q1552" s="17"/>
      <c r="R1552" s="25" t="str">
        <f>HYPERLINK("https://ictv.global/taxonomy/taxondetails?taxnode_id=202300255","Kayvirus rodi")</f>
        <v>Kayvirus rodi</v>
      </c>
      <c r="S1552" s="18" t="s">
        <v>30</v>
      </c>
      <c r="T1552" s="18" t="s">
        <v>8318</v>
      </c>
      <c r="U1552" s="18"/>
      <c r="V1552" s="18"/>
      <c r="W1552" s="18" t="s">
        <v>8319</v>
      </c>
      <c r="X1552" s="18" t="s">
        <v>42</v>
      </c>
      <c r="Y1552" s="18" t="s">
        <v>36</v>
      </c>
      <c r="Z1552" s="18" t="s">
        <v>697</v>
      </c>
      <c r="AA1552" s="21" t="str">
        <f>HYPERLINK("https://www.ncbi.nlm.nih.gov/nuccore/KP027446","NCBI Nucleotide")</f>
        <v>NCBI Nucleotide</v>
      </c>
    </row>
    <row r="1553" spans="1:27" x14ac:dyDescent="0.35">
      <c r="A1553">
        <v>1001957</v>
      </c>
      <c r="B1553">
        <v>1530</v>
      </c>
      <c r="C1553">
        <v>1</v>
      </c>
      <c r="D1553" s="17" t="s">
        <v>155</v>
      </c>
      <c r="E1553" s="17"/>
      <c r="F1553" s="17" t="s">
        <v>156</v>
      </c>
      <c r="G1553" s="17"/>
      <c r="H1553" s="17" t="s">
        <v>692</v>
      </c>
      <c r="I1553" s="17"/>
      <c r="J1553" s="17" t="s">
        <v>693</v>
      </c>
      <c r="K1553" s="17"/>
      <c r="L1553" s="17"/>
      <c r="M1553" s="17"/>
      <c r="N1553" s="17" t="s">
        <v>8098</v>
      </c>
      <c r="O1553" s="17" t="s">
        <v>8283</v>
      </c>
      <c r="P1553" s="17" t="s">
        <v>8291</v>
      </c>
      <c r="Q1553" s="17"/>
      <c r="R1553" s="25" t="str">
        <f>HYPERLINK("https://ictv.global/taxonomy/taxondetails?taxnode_id=202300256","Kayvirus S253")</f>
        <v>Kayvirus S253</v>
      </c>
      <c r="S1553" s="18" t="s">
        <v>30</v>
      </c>
      <c r="T1553" s="18" t="s">
        <v>8320</v>
      </c>
      <c r="U1553" s="18"/>
      <c r="V1553" s="18"/>
      <c r="W1553" s="18" t="s">
        <v>8321</v>
      </c>
      <c r="X1553" s="18" t="s">
        <v>42</v>
      </c>
      <c r="Y1553" s="18" t="s">
        <v>36</v>
      </c>
      <c r="Z1553" s="18" t="s">
        <v>697</v>
      </c>
      <c r="AA1553" s="21" t="str">
        <f>HYPERLINK("https://www.ncbi.nlm.nih.gov/nuccore/AB853330","NCBI Nucleotide")</f>
        <v>NCBI Nucleotide</v>
      </c>
    </row>
    <row r="1554" spans="1:27" x14ac:dyDescent="0.35">
      <c r="A1554">
        <v>1001958</v>
      </c>
      <c r="B1554">
        <v>1531</v>
      </c>
      <c r="C1554">
        <v>1</v>
      </c>
      <c r="D1554" s="17" t="s">
        <v>155</v>
      </c>
      <c r="E1554" s="17"/>
      <c r="F1554" s="17" t="s">
        <v>156</v>
      </c>
      <c r="G1554" s="17"/>
      <c r="H1554" s="17" t="s">
        <v>692</v>
      </c>
      <c r="I1554" s="17"/>
      <c r="J1554" s="17" t="s">
        <v>693</v>
      </c>
      <c r="K1554" s="17"/>
      <c r="L1554" s="17"/>
      <c r="M1554" s="17"/>
      <c r="N1554" s="17" t="s">
        <v>8098</v>
      </c>
      <c r="O1554" s="17" t="s">
        <v>8283</v>
      </c>
      <c r="P1554" s="17" t="s">
        <v>8291</v>
      </c>
      <c r="Q1554" s="17"/>
      <c r="R1554" s="25" t="str">
        <f>HYPERLINK("https://ictv.global/taxonomy/taxondetails?taxnode_id=202300257","Kayvirus S254")</f>
        <v>Kayvirus S254</v>
      </c>
      <c r="S1554" s="18" t="s">
        <v>30</v>
      </c>
      <c r="T1554" s="18" t="s">
        <v>8322</v>
      </c>
      <c r="U1554" s="18"/>
      <c r="V1554" s="18"/>
      <c r="W1554" s="18" t="s">
        <v>8323</v>
      </c>
      <c r="X1554" s="18" t="s">
        <v>42</v>
      </c>
      <c r="Y1554" s="18" t="s">
        <v>36</v>
      </c>
      <c r="Z1554" s="18" t="s">
        <v>697</v>
      </c>
      <c r="AA1554" s="21" t="str">
        <f>HYPERLINK("https://www.ncbi.nlm.nih.gov/nuccore/AB853331","NCBI Nucleotide")</f>
        <v>NCBI Nucleotide</v>
      </c>
    </row>
    <row r="1555" spans="1:27" x14ac:dyDescent="0.35">
      <c r="A1555">
        <v>1001959</v>
      </c>
      <c r="B1555">
        <v>1532</v>
      </c>
      <c r="C1555">
        <v>1</v>
      </c>
      <c r="D1555" s="17" t="s">
        <v>155</v>
      </c>
      <c r="E1555" s="17"/>
      <c r="F1555" s="17" t="s">
        <v>156</v>
      </c>
      <c r="G1555" s="17"/>
      <c r="H1555" s="17" t="s">
        <v>692</v>
      </c>
      <c r="I1555" s="17"/>
      <c r="J1555" s="17" t="s">
        <v>693</v>
      </c>
      <c r="K1555" s="17"/>
      <c r="L1555" s="17"/>
      <c r="M1555" s="17"/>
      <c r="N1555" s="17" t="s">
        <v>8098</v>
      </c>
      <c r="O1555" s="17" t="s">
        <v>8283</v>
      </c>
      <c r="P1555" s="17" t="s">
        <v>8291</v>
      </c>
      <c r="Q1555" s="17"/>
      <c r="R1555" s="25" t="str">
        <f>HYPERLINK("https://ictv.global/taxonomy/taxondetails?taxnode_id=202300258","Kayvirus SA12")</f>
        <v>Kayvirus SA12</v>
      </c>
      <c r="S1555" s="18" t="s">
        <v>30</v>
      </c>
      <c r="T1555" s="18" t="s">
        <v>8324</v>
      </c>
      <c r="U1555" s="18"/>
      <c r="V1555" s="18"/>
      <c r="W1555" s="18" t="s">
        <v>8325</v>
      </c>
      <c r="X1555" s="18" t="s">
        <v>42</v>
      </c>
      <c r="Y1555" s="18" t="s">
        <v>36</v>
      </c>
      <c r="Z1555" s="18" t="s">
        <v>697</v>
      </c>
      <c r="AA1555" s="21" t="str">
        <f>HYPERLINK("https://www.ncbi.nlm.nih.gov/nuccore/AB903967","NCBI Nucleotide")</f>
        <v>NCBI Nucleotide</v>
      </c>
    </row>
    <row r="1556" spans="1:27" x14ac:dyDescent="0.35">
      <c r="A1556">
        <v>1001960</v>
      </c>
      <c r="B1556">
        <v>1533</v>
      </c>
      <c r="C1556">
        <v>1</v>
      </c>
      <c r="D1556" s="17" t="s">
        <v>155</v>
      </c>
      <c r="E1556" s="17"/>
      <c r="F1556" s="17" t="s">
        <v>156</v>
      </c>
      <c r="G1556" s="17"/>
      <c r="H1556" s="17" t="s">
        <v>692</v>
      </c>
      <c r="I1556" s="17"/>
      <c r="J1556" s="17" t="s">
        <v>693</v>
      </c>
      <c r="K1556" s="17"/>
      <c r="L1556" s="17"/>
      <c r="M1556" s="17"/>
      <c r="N1556" s="17" t="s">
        <v>8098</v>
      </c>
      <c r="O1556" s="17" t="s">
        <v>8283</v>
      </c>
      <c r="P1556" s="17" t="s">
        <v>8291</v>
      </c>
      <c r="Q1556" s="17"/>
      <c r="R1556" s="25" t="str">
        <f>HYPERLINK("https://ictv.global/taxonomy/taxondetails?taxnode_id=202306982","Kayvirus Sb1")</f>
        <v>Kayvirus Sb1</v>
      </c>
      <c r="S1556" s="18" t="s">
        <v>30</v>
      </c>
      <c r="T1556" s="18" t="s">
        <v>8326</v>
      </c>
      <c r="U1556" s="18"/>
      <c r="V1556" s="18"/>
      <c r="W1556" s="18" t="s">
        <v>8327</v>
      </c>
      <c r="X1556" s="18" t="s">
        <v>42</v>
      </c>
      <c r="Y1556" s="18" t="s">
        <v>36</v>
      </c>
      <c r="Z1556" s="18" t="s">
        <v>697</v>
      </c>
      <c r="AA1556" s="21" t="str">
        <f>HYPERLINK("https://www.ncbi.nlm.nih.gov/nuccore/HQ163896","NCBI Nucleotide")</f>
        <v>NCBI Nucleotide</v>
      </c>
    </row>
    <row r="1557" spans="1:27" x14ac:dyDescent="0.35">
      <c r="A1557">
        <v>1001961</v>
      </c>
      <c r="B1557">
        <v>1534</v>
      </c>
      <c r="C1557">
        <v>1</v>
      </c>
      <c r="D1557" s="17" t="s">
        <v>155</v>
      </c>
      <c r="E1557" s="17"/>
      <c r="F1557" s="17" t="s">
        <v>156</v>
      </c>
      <c r="G1557" s="17"/>
      <c r="H1557" s="17" t="s">
        <v>692</v>
      </c>
      <c r="I1557" s="17"/>
      <c r="J1557" s="17" t="s">
        <v>693</v>
      </c>
      <c r="K1557" s="17"/>
      <c r="L1557" s="17"/>
      <c r="M1557" s="17"/>
      <c r="N1557" s="17" t="s">
        <v>8098</v>
      </c>
      <c r="O1557" s="17" t="s">
        <v>8283</v>
      </c>
      <c r="P1557" s="17" t="s">
        <v>8328</v>
      </c>
      <c r="Q1557" s="17"/>
      <c r="R1557" s="25" t="str">
        <f>HYPERLINK("https://ictv.global/taxonomy/taxondetails?taxnode_id=202308033","Sciuriunavirus SscM1")</f>
        <v>Sciuriunavirus SscM1</v>
      </c>
      <c r="S1557" s="18" t="s">
        <v>30</v>
      </c>
      <c r="T1557" s="18" t="s">
        <v>8329</v>
      </c>
      <c r="U1557" s="18"/>
      <c r="V1557" s="18"/>
      <c r="W1557" s="18" t="s">
        <v>8330</v>
      </c>
      <c r="X1557" s="18" t="s">
        <v>42</v>
      </c>
      <c r="Y1557" s="18" t="s">
        <v>36</v>
      </c>
      <c r="Z1557" s="18" t="s">
        <v>697</v>
      </c>
      <c r="AA1557" s="21" t="str">
        <f>HYPERLINK("https://www.ncbi.nlm.nih.gov/nuccore/KX171212","NCBI Nucleotide")</f>
        <v>NCBI Nucleotide</v>
      </c>
    </row>
    <row r="1558" spans="1:27" x14ac:dyDescent="0.35">
      <c r="A1558">
        <v>1001962</v>
      </c>
      <c r="B1558">
        <v>1535</v>
      </c>
      <c r="C1558">
        <v>1</v>
      </c>
      <c r="D1558" s="17" t="s">
        <v>155</v>
      </c>
      <c r="E1558" s="17"/>
      <c r="F1558" s="17" t="s">
        <v>156</v>
      </c>
      <c r="G1558" s="17"/>
      <c r="H1558" s="17" t="s">
        <v>692</v>
      </c>
      <c r="I1558" s="17"/>
      <c r="J1558" s="17" t="s">
        <v>693</v>
      </c>
      <c r="K1558" s="17"/>
      <c r="L1558" s="17"/>
      <c r="M1558" s="17"/>
      <c r="N1558" s="17" t="s">
        <v>8098</v>
      </c>
      <c r="O1558" s="17" t="s">
        <v>8283</v>
      </c>
      <c r="P1558" s="17" t="s">
        <v>8331</v>
      </c>
      <c r="Q1558" s="17"/>
      <c r="R1558" s="25" t="str">
        <f>HYPERLINK("https://ictv.global/taxonomy/taxondetails?taxnode_id=202300505","Sepunavirus IPLAC1C")</f>
        <v>Sepunavirus IPLAC1C</v>
      </c>
      <c r="S1558" s="18" t="s">
        <v>30</v>
      </c>
      <c r="T1558" s="18" t="s">
        <v>8332</v>
      </c>
      <c r="U1558" s="18"/>
      <c r="V1558" s="18"/>
      <c r="W1558" s="18" t="s">
        <v>8333</v>
      </c>
      <c r="X1558" s="18" t="s">
        <v>42</v>
      </c>
      <c r="Y1558" s="18" t="s">
        <v>36</v>
      </c>
      <c r="Z1558" s="18" t="s">
        <v>697</v>
      </c>
      <c r="AA1558" s="21" t="str">
        <f>HYPERLINK("https://www.ncbi.nlm.nih.gov/nuccore/KP027447","NCBI Nucleotide")</f>
        <v>NCBI Nucleotide</v>
      </c>
    </row>
    <row r="1559" spans="1:27" x14ac:dyDescent="0.35">
      <c r="A1559">
        <v>1001963</v>
      </c>
      <c r="B1559">
        <v>1536</v>
      </c>
      <c r="C1559">
        <v>1</v>
      </c>
      <c r="D1559" s="17" t="s">
        <v>155</v>
      </c>
      <c r="E1559" s="17"/>
      <c r="F1559" s="17" t="s">
        <v>156</v>
      </c>
      <c r="G1559" s="17"/>
      <c r="H1559" s="17" t="s">
        <v>692</v>
      </c>
      <c r="I1559" s="17"/>
      <c r="J1559" s="17" t="s">
        <v>693</v>
      </c>
      <c r="K1559" s="17"/>
      <c r="L1559" s="17"/>
      <c r="M1559" s="17"/>
      <c r="N1559" s="17" t="s">
        <v>8098</v>
      </c>
      <c r="O1559" s="17" t="s">
        <v>8283</v>
      </c>
      <c r="P1559" s="17" t="s">
        <v>8331</v>
      </c>
      <c r="Q1559" s="17"/>
      <c r="R1559" s="25" t="str">
        <f>HYPERLINK("https://ictv.global/taxonomy/taxondetails?taxnode_id=202300506","Sepunavirus SEP1")</f>
        <v>Sepunavirus SEP1</v>
      </c>
      <c r="S1559" s="18" t="s">
        <v>30</v>
      </c>
      <c r="T1559" s="18" t="s">
        <v>8334</v>
      </c>
      <c r="U1559" s="18"/>
      <c r="V1559" s="18"/>
      <c r="W1559" s="18" t="s">
        <v>8335</v>
      </c>
      <c r="X1559" s="18" t="s">
        <v>42</v>
      </c>
      <c r="Y1559" s="18" t="s">
        <v>36</v>
      </c>
      <c r="Z1559" s="18" t="s">
        <v>697</v>
      </c>
      <c r="AA1559" s="21" t="str">
        <f>HYPERLINK("https://www.ncbi.nlm.nih.gov/nuccore/KF021268","NCBI Nucleotide")</f>
        <v>NCBI Nucleotide</v>
      </c>
    </row>
    <row r="1560" spans="1:27" x14ac:dyDescent="0.35">
      <c r="A1560">
        <v>1001964</v>
      </c>
      <c r="B1560">
        <v>1537</v>
      </c>
      <c r="C1560">
        <v>1</v>
      </c>
      <c r="D1560" s="17" t="s">
        <v>155</v>
      </c>
      <c r="E1560" s="17"/>
      <c r="F1560" s="17" t="s">
        <v>156</v>
      </c>
      <c r="G1560" s="17"/>
      <c r="H1560" s="17" t="s">
        <v>692</v>
      </c>
      <c r="I1560" s="17"/>
      <c r="J1560" s="17" t="s">
        <v>693</v>
      </c>
      <c r="K1560" s="17"/>
      <c r="L1560" s="17"/>
      <c r="M1560" s="17"/>
      <c r="N1560" s="17" t="s">
        <v>8098</v>
      </c>
      <c r="O1560" s="17" t="s">
        <v>8283</v>
      </c>
      <c r="P1560" s="17" t="s">
        <v>8336</v>
      </c>
      <c r="Q1560" s="17"/>
      <c r="R1560" s="25" t="str">
        <f>HYPERLINK("https://ictv.global/taxonomy/taxondetails?taxnode_id=202300263","Silviavirus remus")</f>
        <v>Silviavirus remus</v>
      </c>
      <c r="S1560" s="18" t="s">
        <v>30</v>
      </c>
      <c r="T1560" s="18" t="s">
        <v>8337</v>
      </c>
      <c r="U1560" s="18"/>
      <c r="V1560" s="18"/>
      <c r="W1560" s="18" t="s">
        <v>8338</v>
      </c>
      <c r="X1560" s="18" t="s">
        <v>42</v>
      </c>
      <c r="Y1560" s="18" t="s">
        <v>36</v>
      </c>
      <c r="Z1560" s="18" t="s">
        <v>697</v>
      </c>
      <c r="AA1560" s="21" t="str">
        <f>HYPERLINK("https://www.ncbi.nlm.nih.gov/nuccore/JX846612","NCBI Nucleotide")</f>
        <v>NCBI Nucleotide</v>
      </c>
    </row>
    <row r="1561" spans="1:27" x14ac:dyDescent="0.35">
      <c r="A1561">
        <v>1011663</v>
      </c>
      <c r="B1561">
        <v>1537</v>
      </c>
      <c r="C1561">
        <v>2</v>
      </c>
      <c r="D1561" s="17" t="s">
        <v>155</v>
      </c>
      <c r="E1561" s="17"/>
      <c r="F1561" s="17" t="s">
        <v>156</v>
      </c>
      <c r="G1561" s="17"/>
      <c r="H1561" s="17" t="s">
        <v>692</v>
      </c>
      <c r="I1561" s="17"/>
      <c r="J1561" s="17" t="s">
        <v>693</v>
      </c>
      <c r="K1561" s="17"/>
      <c r="L1561" s="17"/>
      <c r="M1561" s="17"/>
      <c r="N1561" s="17" t="s">
        <v>8098</v>
      </c>
      <c r="O1561" s="17" t="s">
        <v>8283</v>
      </c>
      <c r="P1561" s="17" t="s">
        <v>8336</v>
      </c>
      <c r="Q1561" s="17"/>
      <c r="R1561" s="25" t="str">
        <f>HYPERLINK("https://ictv.global/taxonomy/taxondetails?taxnode_id=202300263","Silviavirus remus")</f>
        <v>Silviavirus remus</v>
      </c>
      <c r="S1561" s="18" t="s">
        <v>8141</v>
      </c>
      <c r="T1561" s="18" t="s">
        <v>8339</v>
      </c>
      <c r="U1561" s="18"/>
      <c r="V1561" s="18"/>
      <c r="W1561" s="18" t="s">
        <v>48753</v>
      </c>
      <c r="X1561" s="18" t="s">
        <v>42</v>
      </c>
      <c r="Y1561" s="18" t="s">
        <v>36</v>
      </c>
      <c r="Z1561" s="18" t="s">
        <v>697</v>
      </c>
      <c r="AA1561" s="21" t="str">
        <f>HYPERLINK("https://www.ncbi.nlm.nih.gov/nuccore/JX846613","NCBI Nucleotide")</f>
        <v>NCBI Nucleotide</v>
      </c>
    </row>
    <row r="1562" spans="1:27" x14ac:dyDescent="0.35">
      <c r="A1562">
        <v>1001965</v>
      </c>
      <c r="B1562">
        <v>1538</v>
      </c>
      <c r="C1562">
        <v>1</v>
      </c>
      <c r="D1562" s="17" t="s">
        <v>155</v>
      </c>
      <c r="E1562" s="17"/>
      <c r="F1562" s="17" t="s">
        <v>156</v>
      </c>
      <c r="G1562" s="17"/>
      <c r="H1562" s="17" t="s">
        <v>692</v>
      </c>
      <c r="I1562" s="17"/>
      <c r="J1562" s="17" t="s">
        <v>693</v>
      </c>
      <c r="K1562" s="17"/>
      <c r="L1562" s="17"/>
      <c r="M1562" s="17"/>
      <c r="N1562" s="17" t="s">
        <v>8098</v>
      </c>
      <c r="O1562" s="17" t="s">
        <v>8283</v>
      </c>
      <c r="P1562" s="17" t="s">
        <v>8336</v>
      </c>
      <c r="Q1562" s="17"/>
      <c r="R1562" s="25" t="str">
        <f>HYPERLINK("https://ictv.global/taxonomy/taxondetails?taxnode_id=202300264","Silviavirus SA11")</f>
        <v>Silviavirus SA11</v>
      </c>
      <c r="S1562" s="18" t="s">
        <v>30</v>
      </c>
      <c r="T1562" s="18" t="s">
        <v>8340</v>
      </c>
      <c r="U1562" s="18"/>
      <c r="V1562" s="18"/>
      <c r="W1562" s="18" t="s">
        <v>8341</v>
      </c>
      <c r="X1562" s="18" t="s">
        <v>42</v>
      </c>
      <c r="Y1562" s="18" t="s">
        <v>36</v>
      </c>
      <c r="Z1562" s="18" t="s">
        <v>697</v>
      </c>
      <c r="AA1562" s="21" t="str">
        <f>HYPERLINK("https://www.ncbi.nlm.nih.gov/nuccore/JX194239","NCBI Nucleotide")</f>
        <v>NCBI Nucleotide</v>
      </c>
    </row>
    <row r="1563" spans="1:27" x14ac:dyDescent="0.35">
      <c r="A1563">
        <v>1001966</v>
      </c>
      <c r="B1563">
        <v>1539</v>
      </c>
      <c r="C1563">
        <v>1</v>
      </c>
      <c r="D1563" s="17" t="s">
        <v>155</v>
      </c>
      <c r="E1563" s="17"/>
      <c r="F1563" s="17" t="s">
        <v>156</v>
      </c>
      <c r="G1563" s="17"/>
      <c r="H1563" s="17" t="s">
        <v>692</v>
      </c>
      <c r="I1563" s="17"/>
      <c r="J1563" s="17" t="s">
        <v>693</v>
      </c>
      <c r="K1563" s="17"/>
      <c r="L1563" s="17"/>
      <c r="M1563" s="17"/>
      <c r="N1563" s="17" t="s">
        <v>8098</v>
      </c>
      <c r="O1563" s="17" t="s">
        <v>8283</v>
      </c>
      <c r="P1563" s="17" t="s">
        <v>8336</v>
      </c>
      <c r="Q1563" s="17"/>
      <c r="R1563" s="25" t="str">
        <f>HYPERLINK("https://ictv.global/taxonomy/taxondetails?taxnode_id=202300265","Silviavirus stau2")</f>
        <v>Silviavirus stau2</v>
      </c>
      <c r="S1563" s="18" t="s">
        <v>30</v>
      </c>
      <c r="T1563" s="18" t="s">
        <v>8342</v>
      </c>
      <c r="U1563" s="18"/>
      <c r="V1563" s="18"/>
      <c r="W1563" s="18" t="s">
        <v>8343</v>
      </c>
      <c r="X1563" s="18" t="s">
        <v>42</v>
      </c>
      <c r="Y1563" s="18" t="s">
        <v>36</v>
      </c>
      <c r="Z1563" s="18" t="s">
        <v>697</v>
      </c>
      <c r="AA1563" s="21" t="str">
        <f>HYPERLINK("https://www.ncbi.nlm.nih.gov/nuccore/KP881332","NCBI Nucleotide")</f>
        <v>NCBI Nucleotide</v>
      </c>
    </row>
    <row r="1564" spans="1:27" x14ac:dyDescent="0.35">
      <c r="A1564">
        <v>1001967</v>
      </c>
      <c r="B1564">
        <v>1540</v>
      </c>
      <c r="C1564">
        <v>1</v>
      </c>
      <c r="D1564" s="17" t="s">
        <v>155</v>
      </c>
      <c r="E1564" s="17"/>
      <c r="F1564" s="17" t="s">
        <v>156</v>
      </c>
      <c r="G1564" s="17"/>
      <c r="H1564" s="17" t="s">
        <v>692</v>
      </c>
      <c r="I1564" s="17"/>
      <c r="J1564" s="17" t="s">
        <v>693</v>
      </c>
      <c r="K1564" s="17"/>
      <c r="L1564" s="17"/>
      <c r="M1564" s="17"/>
      <c r="N1564" s="17" t="s">
        <v>8098</v>
      </c>
      <c r="O1564" s="17" t="s">
        <v>8283</v>
      </c>
      <c r="P1564" s="17" t="s">
        <v>8344</v>
      </c>
      <c r="Q1564" s="17"/>
      <c r="R1564" s="25" t="str">
        <f>HYPERLINK("https://ictv.global/taxonomy/taxondetails?taxnode_id=202300273","Twortvirus twort")</f>
        <v>Twortvirus twort</v>
      </c>
      <c r="S1564" s="18" t="s">
        <v>30</v>
      </c>
      <c r="T1564" s="18" t="s">
        <v>8345</v>
      </c>
      <c r="U1564" s="18"/>
      <c r="V1564" s="18"/>
      <c r="W1564" s="18" t="s">
        <v>8346</v>
      </c>
      <c r="X1564" s="18" t="s">
        <v>42</v>
      </c>
      <c r="Y1564" s="18" t="s">
        <v>36</v>
      </c>
      <c r="Z1564" s="18" t="s">
        <v>697</v>
      </c>
      <c r="AA1564" s="21" t="str">
        <f>HYPERLINK("https://www.ncbi.nlm.nih.gov/nuccore/AY954970","NCBI Nucleotide")</f>
        <v>NCBI Nucleotide</v>
      </c>
    </row>
    <row r="1565" spans="1:27" x14ac:dyDescent="0.35">
      <c r="A1565">
        <v>1001968</v>
      </c>
      <c r="B1565">
        <v>1541</v>
      </c>
      <c r="C1565">
        <v>1</v>
      </c>
      <c r="D1565" s="17" t="s">
        <v>155</v>
      </c>
      <c r="E1565" s="17"/>
      <c r="F1565" s="17" t="s">
        <v>156</v>
      </c>
      <c r="G1565" s="17"/>
      <c r="H1565" s="17" t="s">
        <v>692</v>
      </c>
      <c r="I1565" s="17"/>
      <c r="J1565" s="17" t="s">
        <v>693</v>
      </c>
      <c r="K1565" s="17"/>
      <c r="L1565" s="17"/>
      <c r="M1565" s="17"/>
      <c r="N1565" s="17" t="s">
        <v>8098</v>
      </c>
      <c r="O1565" s="17"/>
      <c r="P1565" s="17" t="s">
        <v>8099</v>
      </c>
      <c r="Q1565" s="17"/>
      <c r="R1565" s="25" t="str">
        <f>HYPERLINK("https://ictv.global/taxonomy/taxondetails?taxnode_id=202310119","Elpedvirus LpeD")</f>
        <v>Elpedvirus LpeD</v>
      </c>
      <c r="S1565" s="18" t="s">
        <v>30</v>
      </c>
      <c r="T1565" s="18" t="s">
        <v>8100</v>
      </c>
      <c r="U1565" s="18"/>
      <c r="V1565" s="18"/>
      <c r="W1565" s="18" t="s">
        <v>8101</v>
      </c>
      <c r="X1565" s="18" t="s">
        <v>42</v>
      </c>
      <c r="Y1565" s="18" t="s">
        <v>36</v>
      </c>
      <c r="Z1565" s="18" t="s">
        <v>697</v>
      </c>
      <c r="AA1565" s="21" t="str">
        <f>HYPERLINK("https://www.ncbi.nlm.nih.gov/nuccore/MF787246","NCBI Nucleotide")</f>
        <v>NCBI Nucleotide</v>
      </c>
    </row>
    <row r="1566" spans="1:27" x14ac:dyDescent="0.35">
      <c r="A1566">
        <v>1001969</v>
      </c>
      <c r="B1566">
        <v>1542</v>
      </c>
      <c r="C1566">
        <v>1</v>
      </c>
      <c r="D1566" s="17" t="s">
        <v>155</v>
      </c>
      <c r="E1566" s="17"/>
      <c r="F1566" s="17" t="s">
        <v>156</v>
      </c>
      <c r="G1566" s="17"/>
      <c r="H1566" s="17" t="s">
        <v>692</v>
      </c>
      <c r="I1566" s="17"/>
      <c r="J1566" s="17" t="s">
        <v>693</v>
      </c>
      <c r="K1566" s="17"/>
      <c r="L1566" s="17"/>
      <c r="M1566" s="17"/>
      <c r="N1566" s="17" t="s">
        <v>8098</v>
      </c>
      <c r="O1566" s="17"/>
      <c r="P1566" s="17" t="s">
        <v>8102</v>
      </c>
      <c r="Q1566" s="17"/>
      <c r="R1566" s="25" t="str">
        <f>HYPERLINK("https://ictv.global/taxonomy/taxondetails?taxnode_id=202307402","Harbinvirus bacchae")</f>
        <v>Harbinvirus bacchae</v>
      </c>
      <c r="S1566" s="18" t="s">
        <v>30</v>
      </c>
      <c r="T1566" s="18" t="s">
        <v>8103</v>
      </c>
      <c r="U1566" s="18"/>
      <c r="V1566" s="18"/>
      <c r="W1566" s="18" t="s">
        <v>8104</v>
      </c>
      <c r="X1566" s="18" t="s">
        <v>42</v>
      </c>
      <c r="Y1566" s="18" t="s">
        <v>36</v>
      </c>
      <c r="Z1566" s="18" t="s">
        <v>697</v>
      </c>
      <c r="AA1566" s="21" t="str">
        <f>HYPERLINK("https://www.ncbi.nlm.nih.gov/nuccore/MG765277","NCBI Nucleotide")</f>
        <v>NCBI Nucleotide</v>
      </c>
    </row>
    <row r="1567" spans="1:27" x14ac:dyDescent="0.35">
      <c r="A1567">
        <v>1001970</v>
      </c>
      <c r="B1567">
        <v>1543</v>
      </c>
      <c r="C1567">
        <v>1</v>
      </c>
      <c r="D1567" s="17" t="s">
        <v>155</v>
      </c>
      <c r="E1567" s="17"/>
      <c r="F1567" s="17" t="s">
        <v>156</v>
      </c>
      <c r="G1567" s="17"/>
      <c r="H1567" s="17" t="s">
        <v>692</v>
      </c>
      <c r="I1567" s="17"/>
      <c r="J1567" s="17" t="s">
        <v>693</v>
      </c>
      <c r="K1567" s="17"/>
      <c r="L1567" s="17"/>
      <c r="M1567" s="17"/>
      <c r="N1567" s="17" t="s">
        <v>8098</v>
      </c>
      <c r="O1567" s="17"/>
      <c r="P1567" s="17" t="s">
        <v>8102</v>
      </c>
      <c r="Q1567" s="17"/>
      <c r="R1567" s="25" t="str">
        <f>HYPERLINK("https://ictv.global/taxonomy/taxondetails?taxnode_id=202307401","Harbinvirus bromius")</f>
        <v>Harbinvirus bromius</v>
      </c>
      <c r="S1567" s="18" t="s">
        <v>30</v>
      </c>
      <c r="T1567" s="18" t="s">
        <v>8105</v>
      </c>
      <c r="U1567" s="18"/>
      <c r="V1567" s="18"/>
      <c r="W1567" s="18" t="s">
        <v>8106</v>
      </c>
      <c r="X1567" s="18" t="s">
        <v>42</v>
      </c>
      <c r="Y1567" s="18" t="s">
        <v>36</v>
      </c>
      <c r="Z1567" s="18" t="s">
        <v>697</v>
      </c>
      <c r="AA1567" s="21" t="str">
        <f>HYPERLINK("https://www.ncbi.nlm.nih.gov/nuccore/MH809531","NCBI Nucleotide")</f>
        <v>NCBI Nucleotide</v>
      </c>
    </row>
    <row r="1568" spans="1:27" x14ac:dyDescent="0.35">
      <c r="A1568">
        <v>1001971</v>
      </c>
      <c r="B1568">
        <v>1544</v>
      </c>
      <c r="C1568">
        <v>1</v>
      </c>
      <c r="D1568" s="17" t="s">
        <v>155</v>
      </c>
      <c r="E1568" s="17"/>
      <c r="F1568" s="17" t="s">
        <v>156</v>
      </c>
      <c r="G1568" s="17"/>
      <c r="H1568" s="17" t="s">
        <v>692</v>
      </c>
      <c r="I1568" s="17"/>
      <c r="J1568" s="17" t="s">
        <v>693</v>
      </c>
      <c r="K1568" s="17"/>
      <c r="L1568" s="17"/>
      <c r="M1568" s="17"/>
      <c r="N1568" s="17" t="s">
        <v>8098</v>
      </c>
      <c r="O1568" s="17"/>
      <c r="P1568" s="17" t="s">
        <v>8102</v>
      </c>
      <c r="Q1568" s="17"/>
      <c r="R1568" s="25" t="str">
        <f>HYPERLINK("https://ictv.global/taxonomy/taxondetails?taxnode_id=202307403","Harbinvirus iacchus")</f>
        <v>Harbinvirus iacchus</v>
      </c>
      <c r="S1568" s="18" t="s">
        <v>30</v>
      </c>
      <c r="T1568" s="18" t="s">
        <v>8107</v>
      </c>
      <c r="U1568" s="18"/>
      <c r="V1568" s="18"/>
      <c r="W1568" s="18" t="s">
        <v>8108</v>
      </c>
      <c r="X1568" s="18" t="s">
        <v>42</v>
      </c>
      <c r="Y1568" s="18" t="s">
        <v>36</v>
      </c>
      <c r="Z1568" s="18" t="s">
        <v>697</v>
      </c>
      <c r="AA1568" s="21" t="str">
        <f>HYPERLINK("https://www.ncbi.nlm.nih.gov/nuccore/MH809529","NCBI Nucleotide")</f>
        <v>NCBI Nucleotide</v>
      </c>
    </row>
    <row r="1569" spans="1:27" x14ac:dyDescent="0.35">
      <c r="A1569">
        <v>1001972</v>
      </c>
      <c r="B1569">
        <v>1545</v>
      </c>
      <c r="C1569">
        <v>1</v>
      </c>
      <c r="D1569" s="17" t="s">
        <v>155</v>
      </c>
      <c r="E1569" s="17"/>
      <c r="F1569" s="17" t="s">
        <v>156</v>
      </c>
      <c r="G1569" s="17"/>
      <c r="H1569" s="17" t="s">
        <v>692</v>
      </c>
      <c r="I1569" s="17"/>
      <c r="J1569" s="17" t="s">
        <v>693</v>
      </c>
      <c r="K1569" s="17"/>
      <c r="L1569" s="17"/>
      <c r="M1569" s="17"/>
      <c r="N1569" s="17" t="s">
        <v>8098</v>
      </c>
      <c r="O1569" s="17"/>
      <c r="P1569" s="17" t="s">
        <v>8102</v>
      </c>
      <c r="Q1569" s="17"/>
      <c r="R1569" s="25" t="str">
        <f>HYPERLINK("https://ictv.global/taxonomy/taxondetails?taxnode_id=202307400","Harbinvirus Lpa804")</f>
        <v>Harbinvirus Lpa804</v>
      </c>
      <c r="S1569" s="18" t="s">
        <v>30</v>
      </c>
      <c r="T1569" s="18" t="s">
        <v>8109</v>
      </c>
      <c r="U1569" s="18"/>
      <c r="V1569" s="18"/>
      <c r="W1569" s="18" t="s">
        <v>8110</v>
      </c>
      <c r="X1569" s="18" t="s">
        <v>42</v>
      </c>
      <c r="Y1569" s="18" t="s">
        <v>36</v>
      </c>
      <c r="Z1569" s="18" t="s">
        <v>697</v>
      </c>
      <c r="AA1569" s="21" t="str">
        <f>HYPERLINK("https://www.ncbi.nlm.nih.gov/nuccore/MG557979","NCBI Nucleotide")</f>
        <v>NCBI Nucleotide</v>
      </c>
    </row>
    <row r="1570" spans="1:27" x14ac:dyDescent="0.35">
      <c r="A1570">
        <v>1001973</v>
      </c>
      <c r="B1570">
        <v>1546</v>
      </c>
      <c r="C1570">
        <v>1</v>
      </c>
      <c r="D1570" s="17" t="s">
        <v>155</v>
      </c>
      <c r="E1570" s="17"/>
      <c r="F1570" s="17" t="s">
        <v>156</v>
      </c>
      <c r="G1570" s="17"/>
      <c r="H1570" s="17" t="s">
        <v>692</v>
      </c>
      <c r="I1570" s="17"/>
      <c r="J1570" s="17" t="s">
        <v>693</v>
      </c>
      <c r="K1570" s="17"/>
      <c r="L1570" s="17"/>
      <c r="M1570" s="17"/>
      <c r="N1570" s="17" t="s">
        <v>8098</v>
      </c>
      <c r="O1570" s="17"/>
      <c r="P1570" s="17" t="s">
        <v>8102</v>
      </c>
      <c r="Q1570" s="17"/>
      <c r="R1570" s="25" t="str">
        <f>HYPERLINK("https://ictv.global/taxonomy/taxondetails?taxnode_id=202307404","Harbinvirus semele")</f>
        <v>Harbinvirus semele</v>
      </c>
      <c r="S1570" s="18" t="s">
        <v>30</v>
      </c>
      <c r="T1570" s="18" t="s">
        <v>8111</v>
      </c>
      <c r="U1570" s="18"/>
      <c r="V1570" s="18"/>
      <c r="W1570" s="18" t="s">
        <v>8112</v>
      </c>
      <c r="X1570" s="18" t="s">
        <v>42</v>
      </c>
      <c r="Y1570" s="18" t="s">
        <v>36</v>
      </c>
      <c r="Z1570" s="18" t="s">
        <v>697</v>
      </c>
      <c r="AA1570" s="21" t="str">
        <f>HYPERLINK("https://www.ncbi.nlm.nih.gov/nuccore/MG765279","NCBI Nucleotide")</f>
        <v>NCBI Nucleotide</v>
      </c>
    </row>
    <row r="1571" spans="1:27" x14ac:dyDescent="0.35">
      <c r="A1571">
        <v>1001974</v>
      </c>
      <c r="B1571">
        <v>1547</v>
      </c>
      <c r="C1571">
        <v>1</v>
      </c>
      <c r="D1571" s="17" t="s">
        <v>155</v>
      </c>
      <c r="E1571" s="17"/>
      <c r="F1571" s="17" t="s">
        <v>156</v>
      </c>
      <c r="G1571" s="17"/>
      <c r="H1571" s="17" t="s">
        <v>692</v>
      </c>
      <c r="I1571" s="17"/>
      <c r="J1571" s="17" t="s">
        <v>693</v>
      </c>
      <c r="K1571" s="17"/>
      <c r="L1571" s="17"/>
      <c r="M1571" s="17"/>
      <c r="N1571" s="17" t="s">
        <v>8098</v>
      </c>
      <c r="O1571" s="17"/>
      <c r="P1571" s="17" t="s">
        <v>8113</v>
      </c>
      <c r="Q1571" s="17"/>
      <c r="R1571" s="25" t="str">
        <f>HYPERLINK("https://ictv.global/taxonomy/taxondetails?taxnode_id=202310127","Hopescreekvirus LfeInf")</f>
        <v>Hopescreekvirus LfeInf</v>
      </c>
      <c r="S1571" s="18" t="s">
        <v>30</v>
      </c>
      <c r="T1571" s="18" t="s">
        <v>8114</v>
      </c>
      <c r="U1571" s="18"/>
      <c r="V1571" s="18"/>
      <c r="W1571" s="18" t="s">
        <v>8115</v>
      </c>
      <c r="X1571" s="18" t="s">
        <v>42</v>
      </c>
      <c r="Y1571" s="18" t="s">
        <v>36</v>
      </c>
      <c r="Z1571" s="18" t="s">
        <v>697</v>
      </c>
      <c r="AA1571" s="21" t="str">
        <f>HYPERLINK("https://www.ncbi.nlm.nih.gov/nuccore/KP054477","NCBI Nucleotide")</f>
        <v>NCBI Nucleotide</v>
      </c>
    </row>
    <row r="1572" spans="1:27" x14ac:dyDescent="0.35">
      <c r="A1572">
        <v>1001975</v>
      </c>
      <c r="B1572">
        <v>1548</v>
      </c>
      <c r="C1572">
        <v>1</v>
      </c>
      <c r="D1572" s="17" t="s">
        <v>155</v>
      </c>
      <c r="E1572" s="17"/>
      <c r="F1572" s="17" t="s">
        <v>156</v>
      </c>
      <c r="G1572" s="17"/>
      <c r="H1572" s="17" t="s">
        <v>692</v>
      </c>
      <c r="I1572" s="17"/>
      <c r="J1572" s="17" t="s">
        <v>693</v>
      </c>
      <c r="K1572" s="17"/>
      <c r="L1572" s="17"/>
      <c r="M1572" s="17"/>
      <c r="N1572" s="17" t="s">
        <v>8098</v>
      </c>
      <c r="O1572" s="17"/>
      <c r="P1572" s="17" t="s">
        <v>8116</v>
      </c>
      <c r="Q1572" s="17"/>
      <c r="R1572" s="25" t="str">
        <f>HYPERLINK("https://ictv.global/taxonomy/taxondetails?taxnode_id=202306983","Klumppvirus A9")</f>
        <v>Klumppvirus A9</v>
      </c>
      <c r="S1572" s="18" t="s">
        <v>30</v>
      </c>
      <c r="T1572" s="18" t="s">
        <v>8117</v>
      </c>
      <c r="U1572" s="18"/>
      <c r="V1572" s="18"/>
      <c r="W1572" s="18" t="s">
        <v>8118</v>
      </c>
      <c r="X1572" s="18" t="s">
        <v>42</v>
      </c>
      <c r="Y1572" s="18" t="s">
        <v>36</v>
      </c>
      <c r="Z1572" s="18" t="s">
        <v>697</v>
      </c>
      <c r="AA1572" s="21" t="str">
        <f>HYPERLINK("https://www.ncbi.nlm.nih.gov/nuccore/HM242243","NCBI Nucleotide")</f>
        <v>NCBI Nucleotide</v>
      </c>
    </row>
    <row r="1573" spans="1:27" x14ac:dyDescent="0.35">
      <c r="A1573">
        <v>1001976</v>
      </c>
      <c r="B1573">
        <v>1549</v>
      </c>
      <c r="C1573">
        <v>1</v>
      </c>
      <c r="D1573" s="17" t="s">
        <v>155</v>
      </c>
      <c r="E1573" s="17"/>
      <c r="F1573" s="17" t="s">
        <v>156</v>
      </c>
      <c r="G1573" s="17"/>
      <c r="H1573" s="17" t="s">
        <v>692</v>
      </c>
      <c r="I1573" s="17"/>
      <c r="J1573" s="17" t="s">
        <v>693</v>
      </c>
      <c r="K1573" s="17"/>
      <c r="L1573" s="17"/>
      <c r="M1573" s="17"/>
      <c r="N1573" s="17" t="s">
        <v>8098</v>
      </c>
      <c r="O1573" s="17"/>
      <c r="P1573" s="17" t="s">
        <v>8119</v>
      </c>
      <c r="Q1573" s="17"/>
      <c r="R1573" s="25" t="str">
        <f>HYPERLINK("https://ictv.global/taxonomy/taxondetails?taxnode_id=202300276","Mooreparkvirus Lb3381")</f>
        <v>Mooreparkvirus Lb3381</v>
      </c>
      <c r="S1573" s="18" t="s">
        <v>30</v>
      </c>
      <c r="T1573" s="18" t="s">
        <v>8120</v>
      </c>
      <c r="U1573" s="18"/>
      <c r="V1573" s="18"/>
      <c r="W1573" s="18" t="s">
        <v>8121</v>
      </c>
      <c r="X1573" s="18" t="s">
        <v>42</v>
      </c>
      <c r="Y1573" s="18" t="s">
        <v>36</v>
      </c>
      <c r="Z1573" s="18" t="s">
        <v>697</v>
      </c>
      <c r="AA1573" s="21" t="str">
        <f>HYPERLINK("https://www.ncbi.nlm.nih.gov/nuccore/FJ822135","NCBI Nucleotide")</f>
        <v>NCBI Nucleotide</v>
      </c>
    </row>
    <row r="1574" spans="1:27" x14ac:dyDescent="0.35">
      <c r="A1574">
        <v>1001977</v>
      </c>
      <c r="B1574">
        <v>1550</v>
      </c>
      <c r="C1574">
        <v>1</v>
      </c>
      <c r="D1574" s="17" t="s">
        <v>155</v>
      </c>
      <c r="E1574" s="17"/>
      <c r="F1574" s="17" t="s">
        <v>156</v>
      </c>
      <c r="G1574" s="17"/>
      <c r="H1574" s="17" t="s">
        <v>692</v>
      </c>
      <c r="I1574" s="17"/>
      <c r="J1574" s="17" t="s">
        <v>693</v>
      </c>
      <c r="K1574" s="17"/>
      <c r="L1574" s="17"/>
      <c r="M1574" s="17"/>
      <c r="N1574" s="17" t="s">
        <v>8098</v>
      </c>
      <c r="O1574" s="17"/>
      <c r="P1574" s="17" t="s">
        <v>8122</v>
      </c>
      <c r="Q1574" s="17"/>
      <c r="R1574" s="25" t="str">
        <f>HYPERLINK("https://ictv.global/taxonomy/taxondetails?taxnode_id=202300277","Salchichonvirus LP65")</f>
        <v>Salchichonvirus LP65</v>
      </c>
      <c r="S1574" s="18" t="s">
        <v>30</v>
      </c>
      <c r="T1574" s="18" t="s">
        <v>8123</v>
      </c>
      <c r="U1574" s="18"/>
      <c r="V1574" s="18"/>
      <c r="W1574" s="18" t="s">
        <v>8124</v>
      </c>
      <c r="X1574" s="18" t="s">
        <v>42</v>
      </c>
      <c r="Y1574" s="18" t="s">
        <v>36</v>
      </c>
      <c r="Z1574" s="18" t="s">
        <v>697</v>
      </c>
      <c r="AA1574" s="21" t="str">
        <f>HYPERLINK("https://www.ncbi.nlm.nih.gov/nuccore/AY682195","NCBI Nucleotide")</f>
        <v>NCBI Nucleotide</v>
      </c>
    </row>
    <row r="1575" spans="1:27" x14ac:dyDescent="0.35">
      <c r="A1575">
        <v>1001978</v>
      </c>
      <c r="B1575">
        <v>1551</v>
      </c>
      <c r="C1575">
        <v>1</v>
      </c>
      <c r="D1575" s="17" t="s">
        <v>155</v>
      </c>
      <c r="E1575" s="17"/>
      <c r="F1575" s="17" t="s">
        <v>156</v>
      </c>
      <c r="G1575" s="17"/>
      <c r="H1575" s="17" t="s">
        <v>692</v>
      </c>
      <c r="I1575" s="17"/>
      <c r="J1575" s="17" t="s">
        <v>693</v>
      </c>
      <c r="K1575" s="17"/>
      <c r="L1575" s="17"/>
      <c r="M1575" s="17"/>
      <c r="N1575" s="17" t="s">
        <v>8098</v>
      </c>
      <c r="O1575" s="17"/>
      <c r="P1575" s="17" t="s">
        <v>8125</v>
      </c>
      <c r="Q1575" s="17"/>
      <c r="R1575" s="25" t="str">
        <f>HYPERLINK("https://ictv.global/taxonomy/taxondetails?taxnode_id=202310125","Tybeckvirus SAC12B")</f>
        <v>Tybeckvirus SAC12B</v>
      </c>
      <c r="S1575" s="18" t="s">
        <v>30</v>
      </c>
      <c r="T1575" s="18" t="s">
        <v>8126</v>
      </c>
      <c r="U1575" s="18"/>
      <c r="V1575" s="18"/>
      <c r="W1575" s="18" t="s">
        <v>8127</v>
      </c>
      <c r="X1575" s="18" t="s">
        <v>42</v>
      </c>
      <c r="Y1575" s="18" t="s">
        <v>36</v>
      </c>
      <c r="Z1575" s="18" t="s">
        <v>697</v>
      </c>
      <c r="AA1575" s="21" t="str">
        <f>HYPERLINK("https://www.ncbi.nlm.nih.gov/nuccore/MK504446","NCBI Nucleotide")</f>
        <v>NCBI Nucleotide</v>
      </c>
    </row>
    <row r="1576" spans="1:27" x14ac:dyDescent="0.35">
      <c r="A1576">
        <v>1001979</v>
      </c>
      <c r="B1576">
        <v>1552</v>
      </c>
      <c r="C1576">
        <v>1</v>
      </c>
      <c r="D1576" s="17" t="s">
        <v>155</v>
      </c>
      <c r="E1576" s="17"/>
      <c r="F1576" s="17" t="s">
        <v>156</v>
      </c>
      <c r="G1576" s="17"/>
      <c r="H1576" s="17" t="s">
        <v>692</v>
      </c>
      <c r="I1576" s="17"/>
      <c r="J1576" s="17" t="s">
        <v>693</v>
      </c>
      <c r="K1576" s="17"/>
      <c r="L1576" s="17"/>
      <c r="M1576" s="17"/>
      <c r="N1576" s="17" t="s">
        <v>8098</v>
      </c>
      <c r="O1576" s="17"/>
      <c r="P1576" s="17" t="s">
        <v>8125</v>
      </c>
      <c r="Q1576" s="17"/>
      <c r="R1576" s="25" t="str">
        <f>HYPERLINK("https://ictv.global/taxonomy/taxondetails?taxnode_id=202310124","Tybeckvirus tv521B")</f>
        <v>Tybeckvirus tv521B</v>
      </c>
      <c r="S1576" s="18" t="s">
        <v>30</v>
      </c>
      <c r="T1576" s="18" t="s">
        <v>8128</v>
      </c>
      <c r="U1576" s="18"/>
      <c r="V1576" s="18"/>
      <c r="W1576" s="18" t="s">
        <v>8129</v>
      </c>
      <c r="X1576" s="18" t="s">
        <v>42</v>
      </c>
      <c r="Y1576" s="18" t="s">
        <v>36</v>
      </c>
      <c r="Z1576" s="18" t="s">
        <v>697</v>
      </c>
      <c r="AA1576" s="21" t="str">
        <f>HYPERLINK("https://www.ncbi.nlm.nih.gov/nuccore/MK504443","NCBI Nucleotide")</f>
        <v>NCBI Nucleotide</v>
      </c>
    </row>
    <row r="1577" spans="1:27" x14ac:dyDescent="0.35">
      <c r="A1577">
        <v>1001980</v>
      </c>
      <c r="B1577">
        <v>1553</v>
      </c>
      <c r="C1577">
        <v>1</v>
      </c>
      <c r="D1577" s="17" t="s">
        <v>155</v>
      </c>
      <c r="E1577" s="17"/>
      <c r="F1577" s="17" t="s">
        <v>156</v>
      </c>
      <c r="G1577" s="17"/>
      <c r="H1577" s="17" t="s">
        <v>692</v>
      </c>
      <c r="I1577" s="17"/>
      <c r="J1577" s="17" t="s">
        <v>693</v>
      </c>
      <c r="K1577" s="17"/>
      <c r="L1577" s="17"/>
      <c r="M1577" s="17"/>
      <c r="N1577" s="17" t="s">
        <v>8098</v>
      </c>
      <c r="O1577" s="17"/>
      <c r="P1577" s="17" t="s">
        <v>8130</v>
      </c>
      <c r="Q1577" s="17"/>
      <c r="R1577" s="25" t="str">
        <f>HYPERLINK("https://ictv.global/taxonomy/taxondetails?taxnode_id=202310122","Watanabevirus wv3521")</f>
        <v>Watanabevirus wv3521</v>
      </c>
      <c r="S1577" s="18" t="s">
        <v>30</v>
      </c>
      <c r="T1577" s="18" t="s">
        <v>8131</v>
      </c>
      <c r="U1577" s="18"/>
      <c r="V1577" s="18"/>
      <c r="W1577" s="18" t="s">
        <v>8132</v>
      </c>
      <c r="X1577" s="18" t="s">
        <v>42</v>
      </c>
      <c r="Y1577" s="18" t="s">
        <v>36</v>
      </c>
      <c r="Z1577" s="18" t="s">
        <v>697</v>
      </c>
      <c r="AA1577" s="21" t="str">
        <f>HYPERLINK("https://www.ncbi.nlm.nih.gov/nuccore/MK504444","NCBI Nucleotide")</f>
        <v>NCBI Nucleotide</v>
      </c>
    </row>
    <row r="1578" spans="1:27" x14ac:dyDescent="0.35">
      <c r="A1578">
        <v>1001981</v>
      </c>
      <c r="B1578">
        <v>1554</v>
      </c>
      <c r="C1578">
        <v>1</v>
      </c>
      <c r="D1578" s="17" t="s">
        <v>155</v>
      </c>
      <c r="E1578" s="17"/>
      <c r="F1578" s="17" t="s">
        <v>156</v>
      </c>
      <c r="G1578" s="17"/>
      <c r="H1578" s="17" t="s">
        <v>692</v>
      </c>
      <c r="I1578" s="17"/>
      <c r="J1578" s="17" t="s">
        <v>693</v>
      </c>
      <c r="K1578" s="17"/>
      <c r="L1578" s="17"/>
      <c r="M1578" s="17"/>
      <c r="N1578" s="17" t="s">
        <v>8347</v>
      </c>
      <c r="O1578" s="17"/>
      <c r="P1578" s="17" t="s">
        <v>8348</v>
      </c>
      <c r="Q1578" s="17"/>
      <c r="R1578" s="25" t="str">
        <f>HYPERLINK("https://ictv.global/taxonomy/taxondetails?taxnode_id=202314642","Cuauhnahuacvirus TM30")</f>
        <v>Cuauhnahuacvirus TM30</v>
      </c>
      <c r="S1578" s="18" t="s">
        <v>30</v>
      </c>
      <c r="T1578" s="18" t="s">
        <v>8349</v>
      </c>
      <c r="U1578" s="18"/>
      <c r="V1578" s="18"/>
      <c r="W1578" s="18" t="s">
        <v>8350</v>
      </c>
      <c r="X1578" s="18" t="s">
        <v>42</v>
      </c>
      <c r="Y1578" s="18" t="s">
        <v>36</v>
      </c>
      <c r="Z1578" s="18" t="s">
        <v>697</v>
      </c>
      <c r="AA1578" s="21" t="str">
        <f>HYPERLINK("https://www.ncbi.nlm.nih.gov/nuccore/MN988521","NCBI Nucleotide")</f>
        <v>NCBI Nucleotide</v>
      </c>
    </row>
    <row r="1579" spans="1:27" x14ac:dyDescent="0.35">
      <c r="A1579">
        <v>1001982</v>
      </c>
      <c r="B1579">
        <v>1555</v>
      </c>
      <c r="C1579">
        <v>1</v>
      </c>
      <c r="D1579" s="17" t="s">
        <v>155</v>
      </c>
      <c r="E1579" s="17"/>
      <c r="F1579" s="17" t="s">
        <v>156</v>
      </c>
      <c r="G1579" s="17"/>
      <c r="H1579" s="17" t="s">
        <v>692</v>
      </c>
      <c r="I1579" s="17"/>
      <c r="J1579" s="17" t="s">
        <v>693</v>
      </c>
      <c r="K1579" s="17"/>
      <c r="L1579" s="17"/>
      <c r="M1579" s="17"/>
      <c r="N1579" s="17" t="s">
        <v>8347</v>
      </c>
      <c r="O1579" s="17"/>
      <c r="P1579" s="17" t="s">
        <v>8348</v>
      </c>
      <c r="Q1579" s="17"/>
      <c r="R1579" s="25" t="str">
        <f>HYPERLINK("https://ictv.global/taxonomy/taxondetails?taxnode_id=202314643","Cuauhnahuacvirus Y65")</f>
        <v>Cuauhnahuacvirus Y65</v>
      </c>
      <c r="S1579" s="18" t="s">
        <v>30</v>
      </c>
      <c r="T1579" s="18" t="s">
        <v>8351</v>
      </c>
      <c r="U1579" s="18"/>
      <c r="V1579" s="18"/>
      <c r="W1579" s="18" t="s">
        <v>8352</v>
      </c>
      <c r="X1579" s="18" t="s">
        <v>42</v>
      </c>
      <c r="Y1579" s="18" t="s">
        <v>36</v>
      </c>
      <c r="Z1579" s="18" t="s">
        <v>697</v>
      </c>
      <c r="AA1579" s="21" t="str">
        <f>HYPERLINK("https://www.ncbi.nlm.nih.gov/nuccore/MN988525","NCBI Nucleotide")</f>
        <v>NCBI Nucleotide</v>
      </c>
    </row>
    <row r="1580" spans="1:27" x14ac:dyDescent="0.35">
      <c r="A1580">
        <v>1024661</v>
      </c>
      <c r="B1580">
        <v>1556</v>
      </c>
      <c r="C1580">
        <v>1</v>
      </c>
      <c r="D1580" s="17" t="s">
        <v>155</v>
      </c>
      <c r="E1580" s="17"/>
      <c r="F1580" s="17" t="s">
        <v>156</v>
      </c>
      <c r="G1580" s="17"/>
      <c r="H1580" s="17" t="s">
        <v>692</v>
      </c>
      <c r="I1580" s="17"/>
      <c r="J1580" s="17" t="s">
        <v>693</v>
      </c>
      <c r="K1580" s="17"/>
      <c r="L1580" s="17"/>
      <c r="M1580" s="17"/>
      <c r="N1580" s="17" t="s">
        <v>39385</v>
      </c>
      <c r="O1580" s="17"/>
      <c r="P1580" s="17" t="s">
        <v>39386</v>
      </c>
      <c r="Q1580" s="17"/>
      <c r="R1580" s="25" t="str">
        <f>HYPERLINK("https://ictv.global/taxonomy/taxondetails?taxnode_id=202319189","Akedovirus syoka")</f>
        <v>Akedovirus syoka</v>
      </c>
      <c r="S1580" s="18" t="s">
        <v>30</v>
      </c>
      <c r="T1580" s="18" t="s">
        <v>39387</v>
      </c>
      <c r="U1580" s="18"/>
      <c r="V1580" s="18"/>
      <c r="W1580" s="18" t="s">
        <v>48144</v>
      </c>
      <c r="X1580" s="18" t="s">
        <v>42</v>
      </c>
      <c r="Y1580" s="18" t="s">
        <v>36</v>
      </c>
      <c r="Z1580" s="18" t="s">
        <v>697</v>
      </c>
      <c r="AA1580" s="21" t="str">
        <f>HYPERLINK("https://www.ncbi.nlm.nih.gov/nuccore/OP072332","NCBI Nucleotide")</f>
        <v>NCBI Nucleotide</v>
      </c>
    </row>
    <row r="1581" spans="1:27" x14ac:dyDescent="0.35">
      <c r="A1581">
        <v>1024825</v>
      </c>
      <c r="B1581">
        <v>1557</v>
      </c>
      <c r="C1581">
        <v>1</v>
      </c>
      <c r="D1581" s="17" t="s">
        <v>155</v>
      </c>
      <c r="E1581" s="17"/>
      <c r="F1581" s="17" t="s">
        <v>156</v>
      </c>
      <c r="G1581" s="17"/>
      <c r="H1581" s="17" t="s">
        <v>692</v>
      </c>
      <c r="I1581" s="17"/>
      <c r="J1581" s="17" t="s">
        <v>693</v>
      </c>
      <c r="K1581" s="17"/>
      <c r="L1581" s="17"/>
      <c r="M1581" s="17"/>
      <c r="N1581" s="17" t="s">
        <v>39385</v>
      </c>
      <c r="O1581" s="17"/>
      <c r="P1581" s="17" t="s">
        <v>39388</v>
      </c>
      <c r="Q1581" s="17"/>
      <c r="R1581" s="25" t="str">
        <f>HYPERLINK("https://ictv.global/taxonomy/taxondetails?taxnode_id=202319188","Satomivirus wayo")</f>
        <v>Satomivirus wayo</v>
      </c>
      <c r="S1581" s="18" t="s">
        <v>30</v>
      </c>
      <c r="T1581" s="18" t="s">
        <v>39389</v>
      </c>
      <c r="U1581" s="18"/>
      <c r="V1581" s="18"/>
      <c r="W1581" s="18" t="s">
        <v>48145</v>
      </c>
      <c r="X1581" s="18" t="s">
        <v>42</v>
      </c>
      <c r="Y1581" s="18" t="s">
        <v>36</v>
      </c>
      <c r="Z1581" s="18" t="s">
        <v>697</v>
      </c>
      <c r="AA1581" s="21" t="str">
        <f>HYPERLINK("https://www.ncbi.nlm.nih.gov/nuccore/OP031061","NCBI Nucleotide")</f>
        <v>NCBI Nucleotide</v>
      </c>
    </row>
    <row r="1582" spans="1:27" x14ac:dyDescent="0.35">
      <c r="A1582">
        <v>1024852</v>
      </c>
      <c r="B1582">
        <v>1558</v>
      </c>
      <c r="C1582">
        <v>1</v>
      </c>
      <c r="D1582" s="17" t="s">
        <v>155</v>
      </c>
      <c r="E1582" s="17"/>
      <c r="F1582" s="17" t="s">
        <v>156</v>
      </c>
      <c r="G1582" s="17"/>
      <c r="H1582" s="17" t="s">
        <v>692</v>
      </c>
      <c r="I1582" s="17"/>
      <c r="J1582" s="17" t="s">
        <v>693</v>
      </c>
      <c r="K1582" s="17"/>
      <c r="L1582" s="17"/>
      <c r="M1582" s="17"/>
      <c r="N1582" s="17" t="s">
        <v>39385</v>
      </c>
      <c r="O1582" s="17"/>
      <c r="P1582" s="17" t="s">
        <v>39390</v>
      </c>
      <c r="Q1582" s="17"/>
      <c r="R1582" s="25" t="str">
        <f>HYPERLINK("https://ictv.global/taxonomy/taxondetails?taxnode_id=202319190","Shienvirus iryou")</f>
        <v>Shienvirus iryou</v>
      </c>
      <c r="S1582" s="18" t="s">
        <v>30</v>
      </c>
      <c r="T1582" s="18" t="s">
        <v>39391</v>
      </c>
      <c r="U1582" s="18"/>
      <c r="V1582" s="18"/>
      <c r="W1582" s="18" t="s">
        <v>48146</v>
      </c>
      <c r="X1582" s="18" t="s">
        <v>42</v>
      </c>
      <c r="Y1582" s="18" t="s">
        <v>36</v>
      </c>
      <c r="Z1582" s="18" t="s">
        <v>697</v>
      </c>
      <c r="AA1582" s="21" t="str">
        <f>HYPERLINK("https://www.ncbi.nlm.nih.gov/nuccore/OP073416","NCBI Nucleotide")</f>
        <v>NCBI Nucleotide</v>
      </c>
    </row>
    <row r="1583" spans="1:27" x14ac:dyDescent="0.35">
      <c r="A1583">
        <v>1001983</v>
      </c>
      <c r="B1583">
        <v>1559</v>
      </c>
      <c r="C1583">
        <v>1</v>
      </c>
      <c r="D1583" s="17" t="s">
        <v>155</v>
      </c>
      <c r="E1583" s="17"/>
      <c r="F1583" s="17" t="s">
        <v>156</v>
      </c>
      <c r="G1583" s="17"/>
      <c r="H1583" s="17" t="s">
        <v>692</v>
      </c>
      <c r="I1583" s="17"/>
      <c r="J1583" s="17" t="s">
        <v>693</v>
      </c>
      <c r="K1583" s="17"/>
      <c r="L1583" s="17"/>
      <c r="M1583" s="17"/>
      <c r="N1583" s="17" t="s">
        <v>8353</v>
      </c>
      <c r="O1583" s="17"/>
      <c r="P1583" s="17" t="s">
        <v>8354</v>
      </c>
      <c r="Q1583" s="17"/>
      <c r="R1583" s="25" t="str">
        <f>HYPERLINK("https://ictv.global/taxonomy/taxondetails?taxnode_id=202307799","Acionnavirus monteraybay")</f>
        <v>Acionnavirus monteraybay</v>
      </c>
      <c r="S1583" s="18" t="s">
        <v>30</v>
      </c>
      <c r="T1583" s="18" t="s">
        <v>8355</v>
      </c>
      <c r="U1583" s="18"/>
      <c r="V1583" s="18"/>
      <c r="W1583" s="18" t="s">
        <v>8356</v>
      </c>
      <c r="X1583" s="18" t="s">
        <v>42</v>
      </c>
      <c r="Y1583" s="18" t="s">
        <v>36</v>
      </c>
      <c r="Z1583" s="18" t="s">
        <v>697</v>
      </c>
      <c r="AA1583" s="21" t="str">
        <f>HYPERLINK("https://www.ncbi.nlm.nih.gov/nuccore/KF156340","NCBI Nucleotide")</f>
        <v>NCBI Nucleotide</v>
      </c>
    </row>
    <row r="1584" spans="1:27" x14ac:dyDescent="0.35">
      <c r="A1584">
        <v>1001984</v>
      </c>
      <c r="B1584">
        <v>1560</v>
      </c>
      <c r="C1584">
        <v>1</v>
      </c>
      <c r="D1584" s="17" t="s">
        <v>155</v>
      </c>
      <c r="E1584" s="17"/>
      <c r="F1584" s="17" t="s">
        <v>156</v>
      </c>
      <c r="G1584" s="17"/>
      <c r="H1584" s="17" t="s">
        <v>692</v>
      </c>
      <c r="I1584" s="17"/>
      <c r="J1584" s="17" t="s">
        <v>693</v>
      </c>
      <c r="K1584" s="17"/>
      <c r="L1584" s="17"/>
      <c r="M1584" s="17"/>
      <c r="N1584" s="17" t="s">
        <v>8353</v>
      </c>
      <c r="O1584" s="17"/>
      <c r="P1584" s="17" t="s">
        <v>8357</v>
      </c>
      <c r="Q1584" s="17"/>
      <c r="R1584" s="25" t="str">
        <f>HYPERLINK("https://ictv.global/taxonomy/taxondetails?taxnode_id=202307803","Ahtivirus sagseatwo")</f>
        <v>Ahtivirus sagseatwo</v>
      </c>
      <c r="S1584" s="18" t="s">
        <v>30</v>
      </c>
      <c r="T1584" s="18" t="s">
        <v>8358</v>
      </c>
      <c r="U1584" s="18"/>
      <c r="V1584" s="18"/>
      <c r="W1584" s="18" t="s">
        <v>8359</v>
      </c>
      <c r="X1584" s="18" t="s">
        <v>42</v>
      </c>
      <c r="Y1584" s="18" t="s">
        <v>36</v>
      </c>
      <c r="Z1584" s="18" t="s">
        <v>697</v>
      </c>
      <c r="AA1584" s="21" t="str">
        <f>HYPERLINK("https://www.ncbi.nlm.nih.gov/nuccore/GU071096","NCBI Nucleotide")</f>
        <v>NCBI Nucleotide</v>
      </c>
    </row>
    <row r="1585" spans="1:27" x14ac:dyDescent="0.35">
      <c r="A1585">
        <v>1001985</v>
      </c>
      <c r="B1585">
        <v>1561</v>
      </c>
      <c r="C1585">
        <v>1</v>
      </c>
      <c r="D1585" s="17" t="s">
        <v>155</v>
      </c>
      <c r="E1585" s="17"/>
      <c r="F1585" s="17" t="s">
        <v>156</v>
      </c>
      <c r="G1585" s="17"/>
      <c r="H1585" s="17" t="s">
        <v>692</v>
      </c>
      <c r="I1585" s="17"/>
      <c r="J1585" s="17" t="s">
        <v>693</v>
      </c>
      <c r="K1585" s="17"/>
      <c r="L1585" s="17"/>
      <c r="M1585" s="17"/>
      <c r="N1585" s="17" t="s">
        <v>8353</v>
      </c>
      <c r="O1585" s="17"/>
      <c r="P1585" s="17" t="s">
        <v>8360</v>
      </c>
      <c r="Q1585" s="17"/>
      <c r="R1585" s="25" t="str">
        <f>HYPERLINK("https://ictv.global/taxonomy/taxondetails?taxnode_id=202313997","Alisovirus socal22")</f>
        <v>Alisovirus socal22</v>
      </c>
      <c r="S1585" s="18" t="s">
        <v>30</v>
      </c>
      <c r="T1585" s="18" t="s">
        <v>8361</v>
      </c>
      <c r="U1585" s="18"/>
      <c r="V1585" s="18"/>
      <c r="W1585" s="18" t="s">
        <v>8362</v>
      </c>
      <c r="X1585" s="18" t="s">
        <v>42</v>
      </c>
      <c r="Y1585" s="18" t="s">
        <v>36</v>
      </c>
      <c r="Z1585" s="18" t="s">
        <v>697</v>
      </c>
      <c r="AA1585" s="21" t="str">
        <f>HYPERLINK("https://www.ncbi.nlm.nih.gov/nuccore/KU686207","NCBI Nucleotide")</f>
        <v>NCBI Nucleotide</v>
      </c>
    </row>
    <row r="1586" spans="1:27" x14ac:dyDescent="0.35">
      <c r="A1586">
        <v>1001986</v>
      </c>
      <c r="B1586">
        <v>1562</v>
      </c>
      <c r="C1586">
        <v>1</v>
      </c>
      <c r="D1586" s="17" t="s">
        <v>155</v>
      </c>
      <c r="E1586" s="17"/>
      <c r="F1586" s="17" t="s">
        <v>156</v>
      </c>
      <c r="G1586" s="17"/>
      <c r="H1586" s="17" t="s">
        <v>692</v>
      </c>
      <c r="I1586" s="17"/>
      <c r="J1586" s="17" t="s">
        <v>693</v>
      </c>
      <c r="K1586" s="17"/>
      <c r="L1586" s="17"/>
      <c r="M1586" s="17"/>
      <c r="N1586" s="17" t="s">
        <v>8353</v>
      </c>
      <c r="O1586" s="17"/>
      <c r="P1586" s="17" t="s">
        <v>8363</v>
      </c>
      <c r="Q1586" s="17"/>
      <c r="R1586" s="25" t="str">
        <f>HYPERLINK("https://ictv.global/taxonomy/taxondetails?taxnode_id=202307772","Anaposvirus socalone")</f>
        <v>Anaposvirus socalone</v>
      </c>
      <c r="S1586" s="18" t="s">
        <v>30</v>
      </c>
      <c r="T1586" s="18" t="s">
        <v>8364</v>
      </c>
      <c r="U1586" s="18"/>
      <c r="V1586" s="18"/>
      <c r="W1586" s="18" t="s">
        <v>8365</v>
      </c>
      <c r="X1586" s="18" t="s">
        <v>42</v>
      </c>
      <c r="Y1586" s="18" t="s">
        <v>36</v>
      </c>
      <c r="Z1586" s="18" t="s">
        <v>697</v>
      </c>
      <c r="AA1586" s="21" t="str">
        <f>HYPERLINK("https://www.ncbi.nlm.nih.gov/nuccore/HQ634177","NCBI Nucleotide")</f>
        <v>NCBI Nucleotide</v>
      </c>
    </row>
    <row r="1587" spans="1:27" x14ac:dyDescent="0.35">
      <c r="A1587">
        <v>1001987</v>
      </c>
      <c r="B1587">
        <v>1563</v>
      </c>
      <c r="C1587">
        <v>1</v>
      </c>
      <c r="D1587" s="17" t="s">
        <v>155</v>
      </c>
      <c r="E1587" s="17"/>
      <c r="F1587" s="17" t="s">
        <v>156</v>
      </c>
      <c r="G1587" s="17"/>
      <c r="H1587" s="17" t="s">
        <v>692</v>
      </c>
      <c r="I1587" s="17"/>
      <c r="J1587" s="17" t="s">
        <v>693</v>
      </c>
      <c r="K1587" s="17"/>
      <c r="L1587" s="17"/>
      <c r="M1587" s="17"/>
      <c r="N1587" s="17" t="s">
        <v>8353</v>
      </c>
      <c r="O1587" s="17"/>
      <c r="P1587" s="17" t="s">
        <v>8366</v>
      </c>
      <c r="Q1587" s="17"/>
      <c r="R1587" s="25" t="str">
        <f>HYPERLINK("https://ictv.global/taxonomy/taxondetails?taxnode_id=202307754","Atlauavirus acg2014f")</f>
        <v>Atlauavirus acg2014f</v>
      </c>
      <c r="S1587" s="18" t="s">
        <v>30</v>
      </c>
      <c r="T1587" s="18" t="s">
        <v>8367</v>
      </c>
      <c r="U1587" s="18"/>
      <c r="V1587" s="18"/>
      <c r="W1587" s="18" t="s">
        <v>8368</v>
      </c>
      <c r="X1587" s="18" t="s">
        <v>42</v>
      </c>
      <c r="Y1587" s="18" t="s">
        <v>36</v>
      </c>
      <c r="Z1587" s="18" t="s">
        <v>697</v>
      </c>
      <c r="AA1587" s="21" t="str">
        <f>HYPERLINK("https://www.ncbi.nlm.nih.gov/nuccore/KJ019052","NCBI Nucleotide")</f>
        <v>NCBI Nucleotide</v>
      </c>
    </row>
    <row r="1588" spans="1:27" x14ac:dyDescent="0.35">
      <c r="A1588">
        <v>1001988</v>
      </c>
      <c r="B1588">
        <v>1564</v>
      </c>
      <c r="C1588">
        <v>1</v>
      </c>
      <c r="D1588" s="17" t="s">
        <v>155</v>
      </c>
      <c r="E1588" s="17"/>
      <c r="F1588" s="17" t="s">
        <v>156</v>
      </c>
      <c r="G1588" s="17"/>
      <c r="H1588" s="17" t="s">
        <v>692</v>
      </c>
      <c r="I1588" s="17"/>
      <c r="J1588" s="17" t="s">
        <v>693</v>
      </c>
      <c r="K1588" s="17"/>
      <c r="L1588" s="17"/>
      <c r="M1588" s="17"/>
      <c r="N1588" s="17" t="s">
        <v>8353</v>
      </c>
      <c r="O1588" s="17"/>
      <c r="P1588" s="17" t="s">
        <v>8366</v>
      </c>
      <c r="Q1588" s="17"/>
      <c r="R1588" s="25" t="str">
        <f>HYPERLINK("https://ictv.global/taxonomy/taxondetails?taxnode_id=202307756","Atlauavirus caeruleum")</f>
        <v>Atlauavirus caeruleum</v>
      </c>
      <c r="S1588" s="18" t="s">
        <v>30</v>
      </c>
      <c r="T1588" s="18" t="s">
        <v>8369</v>
      </c>
      <c r="U1588" s="18"/>
      <c r="V1588" s="18"/>
      <c r="W1588" s="18" t="s">
        <v>8370</v>
      </c>
      <c r="X1588" s="18" t="s">
        <v>42</v>
      </c>
      <c r="Y1588" s="18" t="s">
        <v>36</v>
      </c>
      <c r="Z1588" s="18" t="s">
        <v>697</v>
      </c>
      <c r="AA1588" s="21" t="str">
        <f>HYPERLINK("https://www.ncbi.nlm.nih.gov/nuccore/KJ019091","NCBI Nucleotide")</f>
        <v>NCBI Nucleotide</v>
      </c>
    </row>
    <row r="1589" spans="1:27" x14ac:dyDescent="0.35">
      <c r="A1589">
        <v>1001989</v>
      </c>
      <c r="B1589">
        <v>1565</v>
      </c>
      <c r="C1589">
        <v>1</v>
      </c>
      <c r="D1589" s="17" t="s">
        <v>155</v>
      </c>
      <c r="E1589" s="17"/>
      <c r="F1589" s="17" t="s">
        <v>156</v>
      </c>
      <c r="G1589" s="17"/>
      <c r="H1589" s="17" t="s">
        <v>692</v>
      </c>
      <c r="I1589" s="17"/>
      <c r="J1589" s="17" t="s">
        <v>693</v>
      </c>
      <c r="K1589" s="17"/>
      <c r="L1589" s="17"/>
      <c r="M1589" s="17"/>
      <c r="N1589" s="17" t="s">
        <v>8353</v>
      </c>
      <c r="O1589" s="17"/>
      <c r="P1589" s="17" t="s">
        <v>8366</v>
      </c>
      <c r="Q1589" s="17"/>
      <c r="R1589" s="25" t="str">
        <f>HYPERLINK("https://ictv.global/taxonomy/taxondetails?taxnode_id=202307755","Atlauavirus tusconc8")</f>
        <v>Atlauavirus tusconc8</v>
      </c>
      <c r="S1589" s="18" t="s">
        <v>30</v>
      </c>
      <c r="T1589" s="18" t="s">
        <v>8371</v>
      </c>
      <c r="U1589" s="18"/>
      <c r="V1589" s="18"/>
      <c r="W1589" s="18" t="s">
        <v>8372</v>
      </c>
      <c r="X1589" s="18" t="s">
        <v>42</v>
      </c>
      <c r="Y1589" s="18" t="s">
        <v>36</v>
      </c>
      <c r="Z1589" s="18" t="s">
        <v>697</v>
      </c>
      <c r="AA1589" s="21" t="str">
        <f>HYPERLINK("https://www.ncbi.nlm.nih.gov/nuccore/KJ019058","NCBI Nucleotide")</f>
        <v>NCBI Nucleotide</v>
      </c>
    </row>
    <row r="1590" spans="1:27" x14ac:dyDescent="0.35">
      <c r="A1590">
        <v>1001990</v>
      </c>
      <c r="B1590">
        <v>1566</v>
      </c>
      <c r="C1590">
        <v>1</v>
      </c>
      <c r="D1590" s="17" t="s">
        <v>155</v>
      </c>
      <c r="E1590" s="17"/>
      <c r="F1590" s="17" t="s">
        <v>156</v>
      </c>
      <c r="G1590" s="17"/>
      <c r="H1590" s="17" t="s">
        <v>692</v>
      </c>
      <c r="I1590" s="17"/>
      <c r="J1590" s="17" t="s">
        <v>693</v>
      </c>
      <c r="K1590" s="17"/>
      <c r="L1590" s="17"/>
      <c r="M1590" s="17"/>
      <c r="N1590" s="17" t="s">
        <v>8353</v>
      </c>
      <c r="O1590" s="17"/>
      <c r="P1590" s="17" t="s">
        <v>8373</v>
      </c>
      <c r="Q1590" s="17"/>
      <c r="R1590" s="25" t="str">
        <f>HYPERLINK("https://ictv.global/taxonomy/taxondetails?taxnode_id=202307785","Bellamyvirus bellamy")</f>
        <v>Bellamyvirus bellamy</v>
      </c>
      <c r="S1590" s="18" t="s">
        <v>30</v>
      </c>
      <c r="T1590" s="18" t="s">
        <v>8374</v>
      </c>
      <c r="U1590" s="18"/>
      <c r="V1590" s="18"/>
      <c r="W1590" s="18" t="s">
        <v>8375</v>
      </c>
      <c r="X1590" s="18" t="s">
        <v>42</v>
      </c>
      <c r="Y1590" s="18" t="s">
        <v>36</v>
      </c>
      <c r="Z1590" s="18" t="s">
        <v>697</v>
      </c>
      <c r="AA1590" s="21" t="str">
        <f>HYPERLINK("https://www.ncbi.nlm.nih.gov/nuccore/MF351863","NCBI Nucleotide")</f>
        <v>NCBI Nucleotide</v>
      </c>
    </row>
    <row r="1591" spans="1:27" x14ac:dyDescent="0.35">
      <c r="A1591">
        <v>1001991</v>
      </c>
      <c r="B1591">
        <v>1567</v>
      </c>
      <c r="C1591">
        <v>1</v>
      </c>
      <c r="D1591" s="17" t="s">
        <v>155</v>
      </c>
      <c r="E1591" s="17"/>
      <c r="F1591" s="17" t="s">
        <v>156</v>
      </c>
      <c r="G1591" s="17"/>
      <c r="H1591" s="17" t="s">
        <v>692</v>
      </c>
      <c r="I1591" s="17"/>
      <c r="J1591" s="17" t="s">
        <v>693</v>
      </c>
      <c r="K1591" s="17"/>
      <c r="L1591" s="17"/>
      <c r="M1591" s="17"/>
      <c r="N1591" s="17" t="s">
        <v>8353</v>
      </c>
      <c r="O1591" s="17"/>
      <c r="P1591" s="17" t="s">
        <v>8376</v>
      </c>
      <c r="Q1591" s="17"/>
      <c r="R1591" s="25" t="str">
        <f>HYPERLINK("https://ictv.global/taxonomy/taxondetails?taxnode_id=202312608","Bristolvirus rhodeisland")</f>
        <v>Bristolvirus rhodeisland</v>
      </c>
      <c r="S1591" s="18" t="s">
        <v>30</v>
      </c>
      <c r="T1591" s="18" t="s">
        <v>8377</v>
      </c>
      <c r="U1591" s="18"/>
      <c r="V1591" s="18"/>
      <c r="W1591" s="18" t="s">
        <v>8378</v>
      </c>
      <c r="X1591" s="18" t="s">
        <v>42</v>
      </c>
      <c r="Y1591" s="18" t="s">
        <v>36</v>
      </c>
      <c r="Z1591" s="18" t="s">
        <v>697</v>
      </c>
      <c r="AA1591" s="21" t="str">
        <f>HYPERLINK("https://www.ncbi.nlm.nih.gov/nuccore/KU594606","NCBI Nucleotide")</f>
        <v>NCBI Nucleotide</v>
      </c>
    </row>
    <row r="1592" spans="1:27" x14ac:dyDescent="0.35">
      <c r="A1592">
        <v>1001992</v>
      </c>
      <c r="B1592">
        <v>1568</v>
      </c>
      <c r="C1592">
        <v>1</v>
      </c>
      <c r="D1592" s="17" t="s">
        <v>155</v>
      </c>
      <c r="E1592" s="17"/>
      <c r="F1592" s="17" t="s">
        <v>156</v>
      </c>
      <c r="G1592" s="17"/>
      <c r="H1592" s="17" t="s">
        <v>692</v>
      </c>
      <c r="I1592" s="17"/>
      <c r="J1592" s="17" t="s">
        <v>693</v>
      </c>
      <c r="K1592" s="17"/>
      <c r="L1592" s="17"/>
      <c r="M1592" s="17"/>
      <c r="N1592" s="17" t="s">
        <v>8353</v>
      </c>
      <c r="O1592" s="17"/>
      <c r="P1592" s="17" t="s">
        <v>8379</v>
      </c>
      <c r="Q1592" s="17"/>
      <c r="R1592" s="25" t="str">
        <f>HYPERLINK("https://ictv.global/taxonomy/taxondetails?taxnode_id=202307791","Brizovirus rhodeisland01")</f>
        <v>Brizovirus rhodeisland01</v>
      </c>
      <c r="S1592" s="18" t="s">
        <v>30</v>
      </c>
      <c r="T1592" s="18" t="s">
        <v>8380</v>
      </c>
      <c r="U1592" s="18"/>
      <c r="V1592" s="18"/>
      <c r="W1592" s="18" t="s">
        <v>8381</v>
      </c>
      <c r="X1592" s="18" t="s">
        <v>42</v>
      </c>
      <c r="Y1592" s="18" t="s">
        <v>36</v>
      </c>
      <c r="Z1592" s="18" t="s">
        <v>697</v>
      </c>
      <c r="AA1592" s="21" t="str">
        <f>HYPERLINK("https://www.ncbi.nlm.nih.gov/nuccore/KX349310","NCBI Nucleotide")</f>
        <v>NCBI Nucleotide</v>
      </c>
    </row>
    <row r="1593" spans="1:27" x14ac:dyDescent="0.35">
      <c r="A1593">
        <v>1001993</v>
      </c>
      <c r="B1593">
        <v>1569</v>
      </c>
      <c r="C1593">
        <v>1</v>
      </c>
      <c r="D1593" s="17" t="s">
        <v>155</v>
      </c>
      <c r="E1593" s="17"/>
      <c r="F1593" s="17" t="s">
        <v>156</v>
      </c>
      <c r="G1593" s="17"/>
      <c r="H1593" s="17" t="s">
        <v>692</v>
      </c>
      <c r="I1593" s="17"/>
      <c r="J1593" s="17" t="s">
        <v>693</v>
      </c>
      <c r="K1593" s="17"/>
      <c r="L1593" s="17"/>
      <c r="M1593" s="17"/>
      <c r="N1593" s="17" t="s">
        <v>8353</v>
      </c>
      <c r="O1593" s="17"/>
      <c r="P1593" s="17" t="s">
        <v>8379</v>
      </c>
      <c r="Q1593" s="17"/>
      <c r="R1593" s="25" t="str">
        <f>HYPERLINK("https://ictv.global/taxonomy/taxondetails?taxnode_id=202307792","Brizovirus rhodeisland06")</f>
        <v>Brizovirus rhodeisland06</v>
      </c>
      <c r="S1593" s="18" t="s">
        <v>30</v>
      </c>
      <c r="T1593" s="18" t="s">
        <v>8382</v>
      </c>
      <c r="U1593" s="18"/>
      <c r="V1593" s="18"/>
      <c r="W1593" s="18" t="s">
        <v>8383</v>
      </c>
      <c r="X1593" s="18" t="s">
        <v>42</v>
      </c>
      <c r="Y1593" s="18" t="s">
        <v>36</v>
      </c>
      <c r="Z1593" s="18" t="s">
        <v>697</v>
      </c>
      <c r="AA1593" s="21" t="str">
        <f>HYPERLINK("https://www.ncbi.nlm.nih.gov/nuccore/KX349313","NCBI Nucleotide")</f>
        <v>NCBI Nucleotide</v>
      </c>
    </row>
    <row r="1594" spans="1:27" x14ac:dyDescent="0.35">
      <c r="A1594">
        <v>1001994</v>
      </c>
      <c r="B1594">
        <v>1570</v>
      </c>
      <c r="C1594">
        <v>1</v>
      </c>
      <c r="D1594" s="17" t="s">
        <v>155</v>
      </c>
      <c r="E1594" s="17"/>
      <c r="F1594" s="17" t="s">
        <v>156</v>
      </c>
      <c r="G1594" s="17"/>
      <c r="H1594" s="17" t="s">
        <v>692</v>
      </c>
      <c r="I1594" s="17"/>
      <c r="J1594" s="17" t="s">
        <v>693</v>
      </c>
      <c r="K1594" s="17"/>
      <c r="L1594" s="17"/>
      <c r="M1594" s="17"/>
      <c r="N1594" s="17" t="s">
        <v>8353</v>
      </c>
      <c r="O1594" s="17"/>
      <c r="P1594" s="17" t="s">
        <v>8379</v>
      </c>
      <c r="Q1594" s="17"/>
      <c r="R1594" s="25" t="str">
        <f>HYPERLINK("https://ictv.global/taxonomy/taxondetails?taxnode_id=202307793","Brizovirus syn33")</f>
        <v>Brizovirus syn33</v>
      </c>
      <c r="S1594" s="18" t="s">
        <v>30</v>
      </c>
      <c r="T1594" s="18" t="s">
        <v>8384</v>
      </c>
      <c r="U1594" s="18"/>
      <c r="V1594" s="18"/>
      <c r="W1594" s="18" t="s">
        <v>8385</v>
      </c>
      <c r="X1594" s="18" t="s">
        <v>42</v>
      </c>
      <c r="Y1594" s="18" t="s">
        <v>36</v>
      </c>
      <c r="Z1594" s="18" t="s">
        <v>697</v>
      </c>
      <c r="AA1594" s="21" t="str">
        <f>HYPERLINK("https://www.ncbi.nlm.nih.gov/nuccore/GU071108","NCBI Nucleotide")</f>
        <v>NCBI Nucleotide</v>
      </c>
    </row>
    <row r="1595" spans="1:27" x14ac:dyDescent="0.35">
      <c r="A1595">
        <v>1001995</v>
      </c>
      <c r="B1595">
        <v>1571</v>
      </c>
      <c r="C1595">
        <v>1</v>
      </c>
      <c r="D1595" s="17" t="s">
        <v>155</v>
      </c>
      <c r="E1595" s="17"/>
      <c r="F1595" s="17" t="s">
        <v>156</v>
      </c>
      <c r="G1595" s="17"/>
      <c r="H1595" s="17" t="s">
        <v>692</v>
      </c>
      <c r="I1595" s="17"/>
      <c r="J1595" s="17" t="s">
        <v>693</v>
      </c>
      <c r="K1595" s="17"/>
      <c r="L1595" s="17"/>
      <c r="M1595" s="17"/>
      <c r="N1595" s="17" t="s">
        <v>8353</v>
      </c>
      <c r="O1595" s="17"/>
      <c r="P1595" s="17" t="s">
        <v>8386</v>
      </c>
      <c r="Q1595" s="17"/>
      <c r="R1595" s="25" t="str">
        <f>HYPERLINK("https://ictv.global/taxonomy/taxondetails?taxnode_id=202313964","Chalconvirus acg2014e")</f>
        <v>Chalconvirus acg2014e</v>
      </c>
      <c r="S1595" s="18" t="s">
        <v>30</v>
      </c>
      <c r="T1595" s="18" t="s">
        <v>8387</v>
      </c>
      <c r="U1595" s="18"/>
      <c r="V1595" s="18"/>
      <c r="W1595" s="18" t="s">
        <v>8388</v>
      </c>
      <c r="X1595" s="18" t="s">
        <v>42</v>
      </c>
      <c r="Y1595" s="18" t="s">
        <v>36</v>
      </c>
      <c r="Z1595" s="18" t="s">
        <v>697</v>
      </c>
      <c r="AA1595" s="21" t="str">
        <f>HYPERLINK("https://www.ncbi.nlm.nih.gov/nuccore/KJ019054","NCBI Nucleotide")</f>
        <v>NCBI Nucleotide</v>
      </c>
    </row>
    <row r="1596" spans="1:27" x14ac:dyDescent="0.35">
      <c r="A1596">
        <v>1001996</v>
      </c>
      <c r="B1596">
        <v>1572</v>
      </c>
      <c r="C1596">
        <v>1</v>
      </c>
      <c r="D1596" s="17" t="s">
        <v>155</v>
      </c>
      <c r="E1596" s="17"/>
      <c r="F1596" s="17" t="s">
        <v>156</v>
      </c>
      <c r="G1596" s="17"/>
      <c r="H1596" s="17" t="s">
        <v>692</v>
      </c>
      <c r="I1596" s="17"/>
      <c r="J1596" s="17" t="s">
        <v>693</v>
      </c>
      <c r="K1596" s="17"/>
      <c r="L1596" s="17"/>
      <c r="M1596" s="17"/>
      <c r="N1596" s="17" t="s">
        <v>8353</v>
      </c>
      <c r="O1596" s="17"/>
      <c r="P1596" s="17" t="s">
        <v>8386</v>
      </c>
      <c r="Q1596" s="17"/>
      <c r="R1596" s="25" t="str">
        <f>HYPERLINK("https://ictv.global/taxonomy/taxondetails?taxnode_id=202313965","Chalconvirus acg2014i")</f>
        <v>Chalconvirus acg2014i</v>
      </c>
      <c r="S1596" s="18" t="s">
        <v>30</v>
      </c>
      <c r="T1596" s="18" t="s">
        <v>8389</v>
      </c>
      <c r="U1596" s="18"/>
      <c r="V1596" s="18"/>
      <c r="W1596" s="18" t="s">
        <v>8390</v>
      </c>
      <c r="X1596" s="18" t="s">
        <v>42</v>
      </c>
      <c r="Y1596" s="18" t="s">
        <v>36</v>
      </c>
      <c r="Z1596" s="18" t="s">
        <v>697</v>
      </c>
      <c r="AA1596" s="21" t="str">
        <f>HYPERLINK("https://www.ncbi.nlm.nih.gov/nuccore/KJ019082","NCBI Nucleotide")</f>
        <v>NCBI Nucleotide</v>
      </c>
    </row>
    <row r="1597" spans="1:27" x14ac:dyDescent="0.35">
      <c r="A1597">
        <v>1001997</v>
      </c>
      <c r="B1597">
        <v>1573</v>
      </c>
      <c r="C1597">
        <v>1</v>
      </c>
      <c r="D1597" s="17" t="s">
        <v>155</v>
      </c>
      <c r="E1597" s="17"/>
      <c r="F1597" s="17" t="s">
        <v>156</v>
      </c>
      <c r="G1597" s="17"/>
      <c r="H1597" s="17" t="s">
        <v>692</v>
      </c>
      <c r="I1597" s="17"/>
      <c r="J1597" s="17" t="s">
        <v>693</v>
      </c>
      <c r="K1597" s="17"/>
      <c r="L1597" s="17"/>
      <c r="M1597" s="17"/>
      <c r="N1597" s="17" t="s">
        <v>8353</v>
      </c>
      <c r="O1597" s="17"/>
      <c r="P1597" s="17" t="s">
        <v>8391</v>
      </c>
      <c r="Q1597" s="17"/>
      <c r="R1597" s="25" t="str">
        <f>HYPERLINK("https://ictv.global/taxonomy/taxondetails?taxnode_id=202307774","Charybdisvirus scam3")</f>
        <v>Charybdisvirus scam3</v>
      </c>
      <c r="S1597" s="18" t="s">
        <v>30</v>
      </c>
      <c r="T1597" s="18" t="s">
        <v>8392</v>
      </c>
      <c r="U1597" s="18"/>
      <c r="V1597" s="18"/>
      <c r="W1597" s="18" t="s">
        <v>8393</v>
      </c>
      <c r="X1597" s="18" t="s">
        <v>42</v>
      </c>
      <c r="Y1597" s="18" t="s">
        <v>36</v>
      </c>
      <c r="Z1597" s="18" t="s">
        <v>697</v>
      </c>
      <c r="AA1597" s="21" t="str">
        <f>HYPERLINK("https://www.ncbi.nlm.nih.gov/nuccore/KU686199","NCBI Nucleotide")</f>
        <v>NCBI Nucleotide</v>
      </c>
    </row>
    <row r="1598" spans="1:27" x14ac:dyDescent="0.35">
      <c r="A1598">
        <v>1001998</v>
      </c>
      <c r="B1598">
        <v>1574</v>
      </c>
      <c r="C1598">
        <v>1</v>
      </c>
      <c r="D1598" s="17" t="s">
        <v>155</v>
      </c>
      <c r="E1598" s="17"/>
      <c r="F1598" s="17" t="s">
        <v>156</v>
      </c>
      <c r="G1598" s="17"/>
      <c r="H1598" s="17" t="s">
        <v>692</v>
      </c>
      <c r="I1598" s="17"/>
      <c r="J1598" s="17" t="s">
        <v>693</v>
      </c>
      <c r="K1598" s="17"/>
      <c r="L1598" s="17"/>
      <c r="M1598" s="17"/>
      <c r="N1598" s="17" t="s">
        <v>8353</v>
      </c>
      <c r="O1598" s="17"/>
      <c r="P1598" s="17" t="s">
        <v>8394</v>
      </c>
      <c r="Q1598" s="17"/>
      <c r="R1598" s="25" t="str">
        <f>HYPERLINK("https://ictv.global/taxonomy/taxondetails?taxnode_id=202307776","Cymopoleiavirus swam2")</f>
        <v>Cymopoleiavirus swam2</v>
      </c>
      <c r="S1598" s="18" t="s">
        <v>30</v>
      </c>
      <c r="T1598" s="18" t="s">
        <v>8395</v>
      </c>
      <c r="U1598" s="18"/>
      <c r="V1598" s="18" t="s">
        <v>8396</v>
      </c>
      <c r="W1598" s="18" t="s">
        <v>8397</v>
      </c>
      <c r="X1598" s="18" t="s">
        <v>42</v>
      </c>
      <c r="Y1598" s="18" t="s">
        <v>36</v>
      </c>
      <c r="Z1598" s="18" t="s">
        <v>697</v>
      </c>
      <c r="AA1598" s="21" t="str">
        <f>HYPERLINK("https://www.ncbi.nlm.nih.gov/nuccore/KU686211","NCBI Nucleotide")</f>
        <v>NCBI Nucleotide</v>
      </c>
    </row>
    <row r="1599" spans="1:27" x14ac:dyDescent="0.35">
      <c r="A1599">
        <v>1001999</v>
      </c>
      <c r="B1599">
        <v>1575</v>
      </c>
      <c r="C1599">
        <v>1</v>
      </c>
      <c r="D1599" s="17" t="s">
        <v>155</v>
      </c>
      <c r="E1599" s="17"/>
      <c r="F1599" s="17" t="s">
        <v>156</v>
      </c>
      <c r="G1599" s="17"/>
      <c r="H1599" s="17" t="s">
        <v>692</v>
      </c>
      <c r="I1599" s="17"/>
      <c r="J1599" s="17" t="s">
        <v>693</v>
      </c>
      <c r="K1599" s="17"/>
      <c r="L1599" s="17"/>
      <c r="M1599" s="17"/>
      <c r="N1599" s="17" t="s">
        <v>8353</v>
      </c>
      <c r="O1599" s="17"/>
      <c r="P1599" s="17" t="s">
        <v>8398</v>
      </c>
      <c r="Q1599" s="17"/>
      <c r="R1599" s="25" t="str">
        <f>HYPERLINK("https://ictv.global/taxonomy/taxondetails?taxnode_id=202313991","Emcearvirus gerard")</f>
        <v>Emcearvirus gerard</v>
      </c>
      <c r="S1599" s="18" t="s">
        <v>30</v>
      </c>
      <c r="T1599" s="18" t="s">
        <v>8399</v>
      </c>
      <c r="U1599" s="18"/>
      <c r="V1599" s="18"/>
      <c r="W1599" s="18" t="s">
        <v>8400</v>
      </c>
      <c r="X1599" s="18" t="s">
        <v>42</v>
      </c>
      <c r="Y1599" s="18" t="s">
        <v>36</v>
      </c>
      <c r="Z1599" s="18" t="s">
        <v>697</v>
      </c>
      <c r="AA1599" s="21" t="str">
        <f>HYPERLINK("https://www.ncbi.nlm.nih.gov/nuccore/HQ634175","NCBI Nucleotide")</f>
        <v>NCBI Nucleotide</v>
      </c>
    </row>
    <row r="1600" spans="1:27" x14ac:dyDescent="0.35">
      <c r="A1600">
        <v>1002000</v>
      </c>
      <c r="B1600">
        <v>1576</v>
      </c>
      <c r="C1600">
        <v>1</v>
      </c>
      <c r="D1600" s="17" t="s">
        <v>155</v>
      </c>
      <c r="E1600" s="17"/>
      <c r="F1600" s="17" t="s">
        <v>156</v>
      </c>
      <c r="G1600" s="17"/>
      <c r="H1600" s="17" t="s">
        <v>692</v>
      </c>
      <c r="I1600" s="17"/>
      <c r="J1600" s="17" t="s">
        <v>693</v>
      </c>
      <c r="K1600" s="17"/>
      <c r="L1600" s="17"/>
      <c r="M1600" s="17"/>
      <c r="N1600" s="17" t="s">
        <v>8353</v>
      </c>
      <c r="O1600" s="17"/>
      <c r="P1600" s="17" t="s">
        <v>8401</v>
      </c>
      <c r="Q1600" s="17"/>
      <c r="R1600" s="25" t="str">
        <f>HYPERLINK("https://ictv.global/taxonomy/taxondetails?taxnode_id=202313993","Galenevirus mbcm1")</f>
        <v>Galenevirus mbcm1</v>
      </c>
      <c r="S1600" s="18" t="s">
        <v>30</v>
      </c>
      <c r="T1600" s="18" t="s">
        <v>8402</v>
      </c>
      <c r="U1600" s="18"/>
      <c r="V1600" s="18"/>
      <c r="W1600" s="18" t="s">
        <v>8403</v>
      </c>
      <c r="X1600" s="18" t="s">
        <v>42</v>
      </c>
      <c r="Y1600" s="18" t="s">
        <v>36</v>
      </c>
      <c r="Z1600" s="18" t="s">
        <v>697</v>
      </c>
      <c r="AA1600" s="21" t="str">
        <f>HYPERLINK("https://www.ncbi.nlm.nih.gov/nuccore/JN371769","NCBI Nucleotide")</f>
        <v>NCBI Nucleotide</v>
      </c>
    </row>
    <row r="1601" spans="1:27" x14ac:dyDescent="0.35">
      <c r="A1601">
        <v>1002001</v>
      </c>
      <c r="B1601">
        <v>1577</v>
      </c>
      <c r="C1601">
        <v>1</v>
      </c>
      <c r="D1601" s="17" t="s">
        <v>155</v>
      </c>
      <c r="E1601" s="17"/>
      <c r="F1601" s="17" t="s">
        <v>156</v>
      </c>
      <c r="G1601" s="17"/>
      <c r="H1601" s="17" t="s">
        <v>692</v>
      </c>
      <c r="I1601" s="17"/>
      <c r="J1601" s="17" t="s">
        <v>693</v>
      </c>
      <c r="K1601" s="17"/>
      <c r="L1601" s="17"/>
      <c r="M1601" s="17"/>
      <c r="N1601" s="17" t="s">
        <v>8353</v>
      </c>
      <c r="O1601" s="17"/>
      <c r="P1601" s="17" t="s">
        <v>8404</v>
      </c>
      <c r="Q1601" s="17"/>
      <c r="R1601" s="25" t="str">
        <f>HYPERLINK("https://ictv.global/taxonomy/taxondetails?taxnode_id=202313962","Gibbetvirus rsm4")</f>
        <v>Gibbetvirus rsm4</v>
      </c>
      <c r="S1601" s="18" t="s">
        <v>30</v>
      </c>
      <c r="T1601" s="18" t="s">
        <v>8405</v>
      </c>
      <c r="U1601" s="18"/>
      <c r="V1601" s="18"/>
      <c r="W1601" s="18" t="s">
        <v>8406</v>
      </c>
      <c r="X1601" s="18" t="s">
        <v>42</v>
      </c>
      <c r="Y1601" s="18" t="s">
        <v>36</v>
      </c>
      <c r="Z1601" s="18" t="s">
        <v>697</v>
      </c>
      <c r="AA1601" s="21" t="str">
        <f>HYPERLINK("https://www.ncbi.nlm.nih.gov/nuccore/FM207411","NCBI Nucleotide")</f>
        <v>NCBI Nucleotide</v>
      </c>
    </row>
    <row r="1602" spans="1:27" x14ac:dyDescent="0.35">
      <c r="A1602">
        <v>1002002</v>
      </c>
      <c r="B1602">
        <v>1578</v>
      </c>
      <c r="C1602">
        <v>1</v>
      </c>
      <c r="D1602" s="17" t="s">
        <v>155</v>
      </c>
      <c r="E1602" s="17"/>
      <c r="F1602" s="17" t="s">
        <v>156</v>
      </c>
      <c r="G1602" s="17"/>
      <c r="H1602" s="17" t="s">
        <v>692</v>
      </c>
      <c r="I1602" s="17"/>
      <c r="J1602" s="17" t="s">
        <v>693</v>
      </c>
      <c r="K1602" s="17"/>
      <c r="L1602" s="17"/>
      <c r="M1602" s="17"/>
      <c r="N1602" s="17" t="s">
        <v>8353</v>
      </c>
      <c r="O1602" s="17"/>
      <c r="P1602" s="17" t="s">
        <v>8407</v>
      </c>
      <c r="Q1602" s="17"/>
      <c r="R1602" s="25" t="str">
        <f>HYPERLINK("https://ictv.global/taxonomy/taxondetails?taxnode_id=202313995","Glaucusvirus ssm5")</f>
        <v>Glaucusvirus ssm5</v>
      </c>
      <c r="S1602" s="18" t="s">
        <v>30</v>
      </c>
      <c r="T1602" s="18" t="s">
        <v>8408</v>
      </c>
      <c r="U1602" s="18"/>
      <c r="V1602" s="18"/>
      <c r="W1602" s="18" t="s">
        <v>8409</v>
      </c>
      <c r="X1602" s="18" t="s">
        <v>42</v>
      </c>
      <c r="Y1602" s="18" t="s">
        <v>36</v>
      </c>
      <c r="Z1602" s="18" t="s">
        <v>697</v>
      </c>
      <c r="AA1602" s="21" t="str">
        <f>HYPERLINK("https://www.ncbi.nlm.nih.gov/nuccore/GU071097","NCBI Nucleotide")</f>
        <v>NCBI Nucleotide</v>
      </c>
    </row>
    <row r="1603" spans="1:27" x14ac:dyDescent="0.35">
      <c r="A1603">
        <v>1002003</v>
      </c>
      <c r="B1603">
        <v>1579</v>
      </c>
      <c r="C1603">
        <v>1</v>
      </c>
      <c r="D1603" s="17" t="s">
        <v>155</v>
      </c>
      <c r="E1603" s="17"/>
      <c r="F1603" s="17" t="s">
        <v>156</v>
      </c>
      <c r="G1603" s="17"/>
      <c r="H1603" s="17" t="s">
        <v>692</v>
      </c>
      <c r="I1603" s="17"/>
      <c r="J1603" s="17" t="s">
        <v>693</v>
      </c>
      <c r="K1603" s="17"/>
      <c r="L1603" s="17"/>
      <c r="M1603" s="17"/>
      <c r="N1603" s="17" t="s">
        <v>8353</v>
      </c>
      <c r="O1603" s="17"/>
      <c r="P1603" s="17" t="s">
        <v>8410</v>
      </c>
      <c r="Q1603" s="17"/>
      <c r="R1603" s="25" t="str">
        <f>HYPERLINK("https://ictv.global/taxonomy/taxondetails?taxnode_id=202313984","Greenvirus ssm4")</f>
        <v>Greenvirus ssm4</v>
      </c>
      <c r="S1603" s="18" t="s">
        <v>30</v>
      </c>
      <c r="T1603" s="18" t="s">
        <v>8411</v>
      </c>
      <c r="U1603" s="18"/>
      <c r="V1603" s="18"/>
      <c r="W1603" s="18" t="s">
        <v>8412</v>
      </c>
      <c r="X1603" s="18" t="s">
        <v>42</v>
      </c>
      <c r="Y1603" s="18" t="s">
        <v>36</v>
      </c>
      <c r="Z1603" s="18" t="s">
        <v>697</v>
      </c>
      <c r="AA1603" s="21" t="str">
        <f>HYPERLINK("https://www.ncbi.nlm.nih.gov/nuccore/HQ316583","NCBI Nucleotide")</f>
        <v>NCBI Nucleotide</v>
      </c>
    </row>
    <row r="1604" spans="1:27" x14ac:dyDescent="0.35">
      <c r="A1604">
        <v>1002004</v>
      </c>
      <c r="B1604">
        <v>1580</v>
      </c>
      <c r="C1604">
        <v>1</v>
      </c>
      <c r="D1604" s="17" t="s">
        <v>155</v>
      </c>
      <c r="E1604" s="17"/>
      <c r="F1604" s="17" t="s">
        <v>156</v>
      </c>
      <c r="G1604" s="17"/>
      <c r="H1604" s="17" t="s">
        <v>692</v>
      </c>
      <c r="I1604" s="17"/>
      <c r="J1604" s="17" t="s">
        <v>693</v>
      </c>
      <c r="K1604" s="17"/>
      <c r="L1604" s="17"/>
      <c r="M1604" s="17"/>
      <c r="N1604" s="17" t="s">
        <v>8353</v>
      </c>
      <c r="O1604" s="17"/>
      <c r="P1604" s="17" t="s">
        <v>8413</v>
      </c>
      <c r="Q1604" s="17"/>
      <c r="R1604" s="25" t="str">
        <f>HYPERLINK("https://ictv.global/taxonomy/taxondetails?taxnode_id=202313976","Haifavirus tim68")</f>
        <v>Haifavirus tim68</v>
      </c>
      <c r="S1604" s="18" t="s">
        <v>30</v>
      </c>
      <c r="T1604" s="18" t="s">
        <v>8414</v>
      </c>
      <c r="U1604" s="18"/>
      <c r="V1604" s="18"/>
      <c r="W1604" s="18" t="s">
        <v>8415</v>
      </c>
      <c r="X1604" s="18" t="s">
        <v>42</v>
      </c>
      <c r="Y1604" s="18" t="s">
        <v>36</v>
      </c>
      <c r="Z1604" s="18" t="s">
        <v>697</v>
      </c>
      <c r="AA1604" s="21" t="str">
        <f>HYPERLINK("https://www.ncbi.nlm.nih.gov/nuccore/KM359505","NCBI Nucleotide")</f>
        <v>NCBI Nucleotide</v>
      </c>
    </row>
    <row r="1605" spans="1:27" x14ac:dyDescent="0.35">
      <c r="A1605">
        <v>1002005</v>
      </c>
      <c r="B1605">
        <v>1581</v>
      </c>
      <c r="C1605">
        <v>1</v>
      </c>
      <c r="D1605" s="17" t="s">
        <v>155</v>
      </c>
      <c r="E1605" s="17"/>
      <c r="F1605" s="17" t="s">
        <v>156</v>
      </c>
      <c r="G1605" s="17"/>
      <c r="H1605" s="17" t="s">
        <v>692</v>
      </c>
      <c r="I1605" s="17"/>
      <c r="J1605" s="17" t="s">
        <v>693</v>
      </c>
      <c r="K1605" s="17"/>
      <c r="L1605" s="17"/>
      <c r="M1605" s="17"/>
      <c r="N1605" s="17" t="s">
        <v>8353</v>
      </c>
      <c r="O1605" s="17"/>
      <c r="P1605" s="17" t="s">
        <v>8416</v>
      </c>
      <c r="Q1605" s="17"/>
      <c r="R1605" s="25" t="str">
        <f>HYPERLINK("https://ictv.global/taxonomy/taxondetails?taxnode_id=202314651","Huanghaivirus snothree")</f>
        <v>Huanghaivirus snothree</v>
      </c>
      <c r="S1605" s="18" t="s">
        <v>30</v>
      </c>
      <c r="T1605" s="18" t="s">
        <v>8417</v>
      </c>
      <c r="U1605" s="18"/>
      <c r="V1605" s="18"/>
      <c r="W1605" s="18" t="s">
        <v>8418</v>
      </c>
      <c r="X1605" s="18" t="s">
        <v>42</v>
      </c>
      <c r="Y1605" s="18" t="s">
        <v>36</v>
      </c>
      <c r="Z1605" s="18" t="s">
        <v>697</v>
      </c>
      <c r="AA1605" s="21" t="str">
        <f>HYPERLINK("https://www.ncbi.nlm.nih.gov/nuccore/MT162466","NCBI Nucleotide")</f>
        <v>NCBI Nucleotide</v>
      </c>
    </row>
    <row r="1606" spans="1:27" x14ac:dyDescent="0.35">
      <c r="A1606">
        <v>1002006</v>
      </c>
      <c r="B1606">
        <v>1582</v>
      </c>
      <c r="C1606">
        <v>1</v>
      </c>
      <c r="D1606" s="17" t="s">
        <v>155</v>
      </c>
      <c r="E1606" s="17"/>
      <c r="F1606" s="17" t="s">
        <v>156</v>
      </c>
      <c r="G1606" s="17"/>
      <c r="H1606" s="17" t="s">
        <v>692</v>
      </c>
      <c r="I1606" s="17"/>
      <c r="J1606" s="17" t="s">
        <v>693</v>
      </c>
      <c r="K1606" s="17"/>
      <c r="L1606" s="17"/>
      <c r="M1606" s="17"/>
      <c r="N1606" s="17" t="s">
        <v>8353</v>
      </c>
      <c r="O1606" s="17"/>
      <c r="P1606" s="17" t="s">
        <v>8419</v>
      </c>
      <c r="Q1606" s="17"/>
      <c r="R1606" s="25" t="str">
        <f>HYPERLINK("https://ictv.global/taxonomy/taxondetails?taxnode_id=202307805","Kanaloavirus scam9")</f>
        <v>Kanaloavirus scam9</v>
      </c>
      <c r="S1606" s="18" t="s">
        <v>30</v>
      </c>
      <c r="T1606" s="18" t="s">
        <v>8420</v>
      </c>
      <c r="U1606" s="18"/>
      <c r="V1606" s="18" t="s">
        <v>8421</v>
      </c>
      <c r="W1606" s="18" t="s">
        <v>8422</v>
      </c>
      <c r="X1606" s="18" t="s">
        <v>42</v>
      </c>
      <c r="Y1606" s="18" t="s">
        <v>36</v>
      </c>
      <c r="Z1606" s="18" t="s">
        <v>697</v>
      </c>
      <c r="AA1606" s="21" t="str">
        <f>HYPERLINK("https://www.ncbi.nlm.nih.gov/nuccore/KU686206","NCBI Nucleotide")</f>
        <v>NCBI Nucleotide</v>
      </c>
    </row>
    <row r="1607" spans="1:27" x14ac:dyDescent="0.35">
      <c r="A1607">
        <v>1002007</v>
      </c>
      <c r="B1607">
        <v>1583</v>
      </c>
      <c r="C1607">
        <v>1</v>
      </c>
      <c r="D1607" s="17" t="s">
        <v>155</v>
      </c>
      <c r="E1607" s="17"/>
      <c r="F1607" s="17" t="s">
        <v>156</v>
      </c>
      <c r="G1607" s="17"/>
      <c r="H1607" s="17" t="s">
        <v>692</v>
      </c>
      <c r="I1607" s="17"/>
      <c r="J1607" s="17" t="s">
        <v>693</v>
      </c>
      <c r="K1607" s="17"/>
      <c r="L1607" s="17"/>
      <c r="M1607" s="17"/>
      <c r="N1607" s="17" t="s">
        <v>8353</v>
      </c>
      <c r="O1607" s="17"/>
      <c r="P1607" s="17" t="s">
        <v>8423</v>
      </c>
      <c r="Q1607" s="17"/>
      <c r="R1607" s="25" t="str">
        <f>HYPERLINK("https://ictv.global/taxonomy/taxondetails?taxnode_id=202307814","Leucotheavirus sp4")</f>
        <v>Leucotheavirus sp4</v>
      </c>
      <c r="S1607" s="18" t="s">
        <v>30</v>
      </c>
      <c r="T1607" s="18" t="s">
        <v>8424</v>
      </c>
      <c r="U1607" s="18"/>
      <c r="V1607" s="18"/>
      <c r="W1607" s="18" t="s">
        <v>8425</v>
      </c>
      <c r="X1607" s="18" t="s">
        <v>154</v>
      </c>
      <c r="Y1607" s="18" t="s">
        <v>36</v>
      </c>
      <c r="Z1607" s="18" t="s">
        <v>697</v>
      </c>
      <c r="AA1607" s="21" t="str">
        <f>HYPERLINK("https://www.ncbi.nlm.nih.gov/nuccore/MH920639","NCBI Nucleotide")</f>
        <v>NCBI Nucleotide</v>
      </c>
    </row>
    <row r="1608" spans="1:27" x14ac:dyDescent="0.35">
      <c r="A1608">
        <v>1002008</v>
      </c>
      <c r="B1608">
        <v>1584</v>
      </c>
      <c r="C1608">
        <v>1</v>
      </c>
      <c r="D1608" s="17" t="s">
        <v>155</v>
      </c>
      <c r="E1608" s="17"/>
      <c r="F1608" s="17" t="s">
        <v>156</v>
      </c>
      <c r="G1608" s="17"/>
      <c r="H1608" s="17" t="s">
        <v>692</v>
      </c>
      <c r="I1608" s="17"/>
      <c r="J1608" s="17" t="s">
        <v>693</v>
      </c>
      <c r="K1608" s="17"/>
      <c r="L1608" s="17"/>
      <c r="M1608" s="17"/>
      <c r="N1608" s="17" t="s">
        <v>8353</v>
      </c>
      <c r="O1608" s="17"/>
      <c r="P1608" s="17" t="s">
        <v>8423</v>
      </c>
      <c r="Q1608" s="17"/>
      <c r="R1608" s="25" t="str">
        <f>HYPERLINK("https://ictv.global/taxonomy/taxondetails?taxnode_id=202307813","Leucotheavirus syn30")</f>
        <v>Leucotheavirus syn30</v>
      </c>
      <c r="S1608" s="18" t="s">
        <v>30</v>
      </c>
      <c r="T1608" s="18" t="s">
        <v>8426</v>
      </c>
      <c r="U1608" s="18"/>
      <c r="V1608" s="18"/>
      <c r="W1608" s="18" t="s">
        <v>8427</v>
      </c>
      <c r="X1608" s="18" t="s">
        <v>42</v>
      </c>
      <c r="Y1608" s="18" t="s">
        <v>36</v>
      </c>
      <c r="Z1608" s="18" t="s">
        <v>697</v>
      </c>
      <c r="AA1608" s="21" t="str">
        <f>HYPERLINK("https://www.ncbi.nlm.nih.gov/nuccore/HQ634189","NCBI Nucleotide")</f>
        <v>NCBI Nucleotide</v>
      </c>
    </row>
    <row r="1609" spans="1:27" x14ac:dyDescent="0.35">
      <c r="A1609">
        <v>1002009</v>
      </c>
      <c r="B1609">
        <v>1585</v>
      </c>
      <c r="C1609">
        <v>1</v>
      </c>
      <c r="D1609" s="17" t="s">
        <v>155</v>
      </c>
      <c r="E1609" s="17"/>
      <c r="F1609" s="17" t="s">
        <v>156</v>
      </c>
      <c r="G1609" s="17"/>
      <c r="H1609" s="17" t="s">
        <v>692</v>
      </c>
      <c r="I1609" s="17"/>
      <c r="J1609" s="17" t="s">
        <v>693</v>
      </c>
      <c r="K1609" s="17"/>
      <c r="L1609" s="17"/>
      <c r="M1609" s="17"/>
      <c r="N1609" s="17" t="s">
        <v>8353</v>
      </c>
      <c r="O1609" s="17"/>
      <c r="P1609" s="17" t="s">
        <v>8428</v>
      </c>
      <c r="Q1609" s="17"/>
      <c r="R1609" s="25" t="str">
        <f>HYPERLINK("https://ictv.global/taxonomy/taxondetails?taxnode_id=202307821","Libanvirus ptim40")</f>
        <v>Libanvirus ptim40</v>
      </c>
      <c r="S1609" s="18" t="s">
        <v>30</v>
      </c>
      <c r="T1609" s="18" t="s">
        <v>8429</v>
      </c>
      <c r="U1609" s="18"/>
      <c r="V1609" s="18"/>
      <c r="W1609" s="18" t="s">
        <v>8430</v>
      </c>
      <c r="X1609" s="18" t="s">
        <v>42</v>
      </c>
      <c r="Y1609" s="18" t="s">
        <v>36</v>
      </c>
      <c r="Z1609" s="18" t="s">
        <v>697</v>
      </c>
      <c r="AA1609" s="21" t="str">
        <f>HYPERLINK("https://www.ncbi.nlm.nih.gov/nuccore/KP211958","NCBI Nucleotide")</f>
        <v>NCBI Nucleotide</v>
      </c>
    </row>
    <row r="1610" spans="1:27" x14ac:dyDescent="0.35">
      <c r="A1610">
        <v>1002010</v>
      </c>
      <c r="B1610">
        <v>1586</v>
      </c>
      <c r="C1610">
        <v>1</v>
      </c>
      <c r="D1610" s="17" t="s">
        <v>155</v>
      </c>
      <c r="E1610" s="17"/>
      <c r="F1610" s="17" t="s">
        <v>156</v>
      </c>
      <c r="G1610" s="17"/>
      <c r="H1610" s="17" t="s">
        <v>692</v>
      </c>
      <c r="I1610" s="17"/>
      <c r="J1610" s="17" t="s">
        <v>693</v>
      </c>
      <c r="K1610" s="17"/>
      <c r="L1610" s="17"/>
      <c r="M1610" s="17"/>
      <c r="N1610" s="17" t="s">
        <v>8353</v>
      </c>
      <c r="O1610" s="17"/>
      <c r="P1610" s="17" t="s">
        <v>8431</v>
      </c>
      <c r="Q1610" s="17"/>
      <c r="R1610" s="25" t="str">
        <f>HYPERLINK("https://ictv.global/taxonomy/taxondetails?taxnode_id=202313970","Lipsvirus ssm7")</f>
        <v>Lipsvirus ssm7</v>
      </c>
      <c r="S1610" s="18" t="s">
        <v>30</v>
      </c>
      <c r="T1610" s="18" t="s">
        <v>8432</v>
      </c>
      <c r="U1610" s="18"/>
      <c r="V1610" s="18"/>
      <c r="W1610" s="18" t="s">
        <v>8433</v>
      </c>
      <c r="X1610" s="18" t="s">
        <v>42</v>
      </c>
      <c r="Y1610" s="18" t="s">
        <v>36</v>
      </c>
      <c r="Z1610" s="18" t="s">
        <v>697</v>
      </c>
      <c r="AA1610" s="21" t="str">
        <f>HYPERLINK("https://www.ncbi.nlm.nih.gov/nuccore/GU071098","NCBI Nucleotide")</f>
        <v>NCBI Nucleotide</v>
      </c>
    </row>
    <row r="1611" spans="1:27" x14ac:dyDescent="0.35">
      <c r="A1611">
        <v>1002011</v>
      </c>
      <c r="B1611">
        <v>1587</v>
      </c>
      <c r="C1611">
        <v>1</v>
      </c>
      <c r="D1611" s="17" t="s">
        <v>155</v>
      </c>
      <c r="E1611" s="17"/>
      <c r="F1611" s="17" t="s">
        <v>156</v>
      </c>
      <c r="G1611" s="17"/>
      <c r="H1611" s="17" t="s">
        <v>692</v>
      </c>
      <c r="I1611" s="17"/>
      <c r="J1611" s="17" t="s">
        <v>693</v>
      </c>
      <c r="K1611" s="17"/>
      <c r="L1611" s="17"/>
      <c r="M1611" s="17"/>
      <c r="N1611" s="17" t="s">
        <v>8353</v>
      </c>
      <c r="O1611" s="17"/>
      <c r="P1611" s="17" t="s">
        <v>8434</v>
      </c>
      <c r="Q1611" s="17"/>
      <c r="R1611" s="25" t="str">
        <f>HYPERLINK("https://ictv.global/taxonomy/taxondetails?taxnode_id=202313972","Lowelvirus tuscon4d")</f>
        <v>Lowelvirus tuscon4d</v>
      </c>
      <c r="S1611" s="18" t="s">
        <v>30</v>
      </c>
      <c r="T1611" s="18" t="s">
        <v>8435</v>
      </c>
      <c r="U1611" s="18"/>
      <c r="V1611" s="18"/>
      <c r="W1611" s="18" t="s">
        <v>8436</v>
      </c>
      <c r="X1611" s="18" t="s">
        <v>42</v>
      </c>
      <c r="Y1611" s="18" t="s">
        <v>36</v>
      </c>
      <c r="Z1611" s="18" t="s">
        <v>697</v>
      </c>
      <c r="AA1611" s="21" t="str">
        <f>HYPERLINK("https://www.ncbi.nlm.nih.gov/nuccore/KJ019028","NCBI Nucleotide")</f>
        <v>NCBI Nucleotide</v>
      </c>
    </row>
    <row r="1612" spans="1:27" x14ac:dyDescent="0.35">
      <c r="A1612">
        <v>1002012</v>
      </c>
      <c r="B1612">
        <v>1588</v>
      </c>
      <c r="C1612">
        <v>1</v>
      </c>
      <c r="D1612" s="17" t="s">
        <v>155</v>
      </c>
      <c r="E1612" s="17"/>
      <c r="F1612" s="17" t="s">
        <v>156</v>
      </c>
      <c r="G1612" s="17"/>
      <c r="H1612" s="17" t="s">
        <v>692</v>
      </c>
      <c r="I1612" s="17"/>
      <c r="J1612" s="17" t="s">
        <v>693</v>
      </c>
      <c r="K1612" s="17"/>
      <c r="L1612" s="17"/>
      <c r="M1612" s="17"/>
      <c r="N1612" s="17" t="s">
        <v>8353</v>
      </c>
      <c r="O1612" s="17"/>
      <c r="P1612" s="17" t="s">
        <v>8437</v>
      </c>
      <c r="Q1612" s="17"/>
      <c r="R1612" s="25" t="str">
        <f>HYPERLINK("https://ictv.global/taxonomy/taxondetails?taxnode_id=202313982","Macariavirus tuscon14g")</f>
        <v>Macariavirus tuscon14g</v>
      </c>
      <c r="S1612" s="18" t="s">
        <v>30</v>
      </c>
      <c r="T1612" s="18" t="s">
        <v>8438</v>
      </c>
      <c r="U1612" s="18"/>
      <c r="V1612" s="18"/>
      <c r="W1612" s="18" t="s">
        <v>8439</v>
      </c>
      <c r="X1612" s="18" t="s">
        <v>42</v>
      </c>
      <c r="Y1612" s="18" t="s">
        <v>36</v>
      </c>
      <c r="Z1612" s="18" t="s">
        <v>697</v>
      </c>
      <c r="AA1612" s="21" t="str">
        <f>HYPERLINK("https://www.ncbi.nlm.nih.gov/nuccore/KJ019071","NCBI Nucleotide")</f>
        <v>NCBI Nucleotide</v>
      </c>
    </row>
    <row r="1613" spans="1:27" x14ac:dyDescent="0.35">
      <c r="A1613">
        <v>1002013</v>
      </c>
      <c r="B1613">
        <v>1589</v>
      </c>
      <c r="C1613">
        <v>1</v>
      </c>
      <c r="D1613" s="17" t="s">
        <v>155</v>
      </c>
      <c r="E1613" s="17"/>
      <c r="F1613" s="17" t="s">
        <v>156</v>
      </c>
      <c r="G1613" s="17"/>
      <c r="H1613" s="17" t="s">
        <v>692</v>
      </c>
      <c r="I1613" s="17"/>
      <c r="J1613" s="17" t="s">
        <v>693</v>
      </c>
      <c r="K1613" s="17"/>
      <c r="L1613" s="17"/>
      <c r="M1613" s="17"/>
      <c r="N1613" s="17" t="s">
        <v>8353</v>
      </c>
      <c r="O1613" s="17"/>
      <c r="P1613" s="17" t="s">
        <v>8440</v>
      </c>
      <c r="Q1613" s="17"/>
      <c r="R1613" s="25" t="str">
        <f>HYPERLINK("https://ictv.global/taxonomy/taxondetails?taxnode_id=202314657","Makaravirus thirtyfour")</f>
        <v>Makaravirus thirtyfour</v>
      </c>
      <c r="S1613" s="18" t="s">
        <v>30</v>
      </c>
      <c r="T1613" s="18" t="s">
        <v>8441</v>
      </c>
      <c r="U1613" s="18"/>
      <c r="V1613" s="18"/>
      <c r="W1613" s="18" t="s">
        <v>8442</v>
      </c>
      <c r="X1613" s="18" t="s">
        <v>42</v>
      </c>
      <c r="Y1613" s="18" t="s">
        <v>36</v>
      </c>
      <c r="Z1613" s="18" t="s">
        <v>697</v>
      </c>
      <c r="AA1613" s="21" t="str">
        <f>HYPERLINK("https://www.ncbi.nlm.nih.gov/nuccore/MT162467","NCBI Nucleotide")</f>
        <v>NCBI Nucleotide</v>
      </c>
    </row>
    <row r="1614" spans="1:27" x14ac:dyDescent="0.35">
      <c r="A1614">
        <v>1002014</v>
      </c>
      <c r="B1614">
        <v>1590</v>
      </c>
      <c r="C1614">
        <v>1</v>
      </c>
      <c r="D1614" s="17" t="s">
        <v>155</v>
      </c>
      <c r="E1614" s="17"/>
      <c r="F1614" s="17" t="s">
        <v>156</v>
      </c>
      <c r="G1614" s="17"/>
      <c r="H1614" s="17" t="s">
        <v>692</v>
      </c>
      <c r="I1614" s="17"/>
      <c r="J1614" s="17" t="s">
        <v>693</v>
      </c>
      <c r="K1614" s="17"/>
      <c r="L1614" s="17"/>
      <c r="M1614" s="17"/>
      <c r="N1614" s="17" t="s">
        <v>8353</v>
      </c>
      <c r="O1614" s="17"/>
      <c r="P1614" s="17" t="s">
        <v>8443</v>
      </c>
      <c r="Q1614" s="17"/>
      <c r="R1614" s="25" t="str">
        <f>HYPERLINK("https://ictv.global/taxonomy/taxondetails?taxnode_id=202313974","Makelovirus prm1")</f>
        <v>Makelovirus prm1</v>
      </c>
      <c r="S1614" s="18" t="s">
        <v>30</v>
      </c>
      <c r="T1614" s="18" t="s">
        <v>8444</v>
      </c>
      <c r="U1614" s="18"/>
      <c r="V1614" s="18"/>
      <c r="W1614" s="18" t="s">
        <v>8445</v>
      </c>
      <c r="X1614" s="18" t="s">
        <v>42</v>
      </c>
      <c r="Y1614" s="18" t="s">
        <v>36</v>
      </c>
      <c r="Z1614" s="18" t="s">
        <v>697</v>
      </c>
      <c r="AA1614" s="21" t="str">
        <f>HYPERLINK("https://www.ncbi.nlm.nih.gov/nuccore/MH629685","NCBI Nucleotide")</f>
        <v>NCBI Nucleotide</v>
      </c>
    </row>
    <row r="1615" spans="1:27" x14ac:dyDescent="0.35">
      <c r="A1615">
        <v>1002015</v>
      </c>
      <c r="B1615">
        <v>1591</v>
      </c>
      <c r="C1615">
        <v>1</v>
      </c>
      <c r="D1615" s="17" t="s">
        <v>155</v>
      </c>
      <c r="E1615" s="17"/>
      <c r="F1615" s="17" t="s">
        <v>156</v>
      </c>
      <c r="G1615" s="17"/>
      <c r="H1615" s="17" t="s">
        <v>692</v>
      </c>
      <c r="I1615" s="17"/>
      <c r="J1615" s="17" t="s">
        <v>693</v>
      </c>
      <c r="K1615" s="17"/>
      <c r="L1615" s="17"/>
      <c r="M1615" s="17"/>
      <c r="N1615" s="17" t="s">
        <v>8353</v>
      </c>
      <c r="O1615" s="17"/>
      <c r="P1615" s="17" t="s">
        <v>8446</v>
      </c>
      <c r="Q1615" s="17"/>
      <c r="R1615" s="25" t="str">
        <f>HYPERLINK("https://ictv.global/taxonomy/taxondetails?taxnode_id=202307760","Mazuvirus scam7")</f>
        <v>Mazuvirus scam7</v>
      </c>
      <c r="S1615" s="18" t="s">
        <v>30</v>
      </c>
      <c r="T1615" s="18" t="s">
        <v>8447</v>
      </c>
      <c r="U1615" s="18"/>
      <c r="V1615" s="18"/>
      <c r="W1615" s="18" t="s">
        <v>8448</v>
      </c>
      <c r="X1615" s="18" t="s">
        <v>42</v>
      </c>
      <c r="Y1615" s="18" t="s">
        <v>36</v>
      </c>
      <c r="Z1615" s="18" t="s">
        <v>697</v>
      </c>
      <c r="AA1615" s="21" t="str">
        <f>HYPERLINK("https://www.ncbi.nlm.nih.gov/nuccore/KU686212","NCBI Nucleotide")</f>
        <v>NCBI Nucleotide</v>
      </c>
    </row>
    <row r="1616" spans="1:27" x14ac:dyDescent="0.35">
      <c r="A1616">
        <v>1002016</v>
      </c>
      <c r="B1616">
        <v>1592</v>
      </c>
      <c r="C1616">
        <v>1</v>
      </c>
      <c r="D1616" s="17" t="s">
        <v>155</v>
      </c>
      <c r="E1616" s="17"/>
      <c r="F1616" s="17" t="s">
        <v>156</v>
      </c>
      <c r="G1616" s="17"/>
      <c r="H1616" s="17" t="s">
        <v>692</v>
      </c>
      <c r="I1616" s="17"/>
      <c r="J1616" s="17" t="s">
        <v>693</v>
      </c>
      <c r="K1616" s="17"/>
      <c r="L1616" s="17"/>
      <c r="M1616" s="17"/>
      <c r="N1616" s="17" t="s">
        <v>8353</v>
      </c>
      <c r="O1616" s="17"/>
      <c r="P1616" s="17" t="s">
        <v>8449</v>
      </c>
      <c r="Q1616" s="17"/>
      <c r="R1616" s="25" t="str">
        <f>HYPERLINK("https://ictv.global/taxonomy/taxondetails?taxnode_id=202307801","Namakavirus smbcm6")</f>
        <v>Namakavirus smbcm6</v>
      </c>
      <c r="S1616" s="18" t="s">
        <v>30</v>
      </c>
      <c r="T1616" s="18" t="s">
        <v>8450</v>
      </c>
      <c r="U1616" s="18"/>
      <c r="V1616" s="18"/>
      <c r="W1616" s="18" t="s">
        <v>8451</v>
      </c>
      <c r="X1616" s="18" t="s">
        <v>42</v>
      </c>
      <c r="Y1616" s="18" t="s">
        <v>36</v>
      </c>
      <c r="Z1616" s="18" t="s">
        <v>697</v>
      </c>
      <c r="AA1616" s="21" t="str">
        <f>HYPERLINK("https://www.ncbi.nlm.nih.gov/nuccore/JN371768","NCBI Nucleotide")</f>
        <v>NCBI Nucleotide</v>
      </c>
    </row>
    <row r="1617" spans="1:27" x14ac:dyDescent="0.35">
      <c r="A1617">
        <v>1002017</v>
      </c>
      <c r="B1617">
        <v>1593</v>
      </c>
      <c r="C1617">
        <v>1</v>
      </c>
      <c r="D1617" s="17" t="s">
        <v>155</v>
      </c>
      <c r="E1617" s="17"/>
      <c r="F1617" s="17" t="s">
        <v>156</v>
      </c>
      <c r="G1617" s="17"/>
      <c r="H1617" s="17" t="s">
        <v>692</v>
      </c>
      <c r="I1617" s="17"/>
      <c r="J1617" s="17" t="s">
        <v>693</v>
      </c>
      <c r="K1617" s="17"/>
      <c r="L1617" s="17"/>
      <c r="M1617" s="17"/>
      <c r="N1617" s="17" t="s">
        <v>8353</v>
      </c>
      <c r="O1617" s="17"/>
      <c r="P1617" s="17" t="s">
        <v>8452</v>
      </c>
      <c r="Q1617" s="17"/>
      <c r="R1617" s="25" t="str">
        <f>HYPERLINK("https://ictv.global/taxonomy/taxondetails?taxnode_id=202307782","Neptunevirus srim18")</f>
        <v>Neptunevirus srim18</v>
      </c>
      <c r="S1617" s="18" t="s">
        <v>30</v>
      </c>
      <c r="T1617" s="18" t="s">
        <v>8453</v>
      </c>
      <c r="U1617" s="18"/>
      <c r="V1617" s="18" t="s">
        <v>8454</v>
      </c>
      <c r="W1617" s="18" t="s">
        <v>8455</v>
      </c>
      <c r="X1617" s="18" t="s">
        <v>42</v>
      </c>
      <c r="Y1617" s="18" t="s">
        <v>36</v>
      </c>
      <c r="Z1617" s="18" t="s">
        <v>697</v>
      </c>
      <c r="AA1617" s="21" t="str">
        <f>HYPERLINK("https://www.ncbi.nlm.nih.gov/nuccore/KX349289","NCBI Nucleotide")</f>
        <v>NCBI Nucleotide</v>
      </c>
    </row>
    <row r="1618" spans="1:27" x14ac:dyDescent="0.35">
      <c r="A1618">
        <v>1002018</v>
      </c>
      <c r="B1618">
        <v>1594</v>
      </c>
      <c r="C1618">
        <v>1</v>
      </c>
      <c r="D1618" s="17" t="s">
        <v>155</v>
      </c>
      <c r="E1618" s="17"/>
      <c r="F1618" s="17" t="s">
        <v>156</v>
      </c>
      <c r="G1618" s="17"/>
      <c r="H1618" s="17" t="s">
        <v>692</v>
      </c>
      <c r="I1618" s="17"/>
      <c r="J1618" s="17" t="s">
        <v>693</v>
      </c>
      <c r="K1618" s="17"/>
      <c r="L1618" s="17"/>
      <c r="M1618" s="17"/>
      <c r="N1618" s="17" t="s">
        <v>8353</v>
      </c>
      <c r="O1618" s="17"/>
      <c r="P1618" s="17" t="s">
        <v>8452</v>
      </c>
      <c r="Q1618" s="17"/>
      <c r="R1618" s="25" t="str">
        <f>HYPERLINK("https://ictv.global/taxonomy/taxondetails?taxnode_id=202307783","Neptunevirus srim50")</f>
        <v>Neptunevirus srim50</v>
      </c>
      <c r="S1618" s="18" t="s">
        <v>30</v>
      </c>
      <c r="T1618" s="18" t="s">
        <v>8456</v>
      </c>
      <c r="U1618" s="18"/>
      <c r="V1618" s="18" t="s">
        <v>8457</v>
      </c>
      <c r="W1618" s="18" t="s">
        <v>8458</v>
      </c>
      <c r="X1618" s="18" t="s">
        <v>42</v>
      </c>
      <c r="Y1618" s="18" t="s">
        <v>36</v>
      </c>
      <c r="Z1618" s="18" t="s">
        <v>697</v>
      </c>
      <c r="AA1618" s="21" t="str">
        <f>HYPERLINK("https://www.ncbi.nlm.nih.gov/nuccore/KU594605","NCBI Nucleotide")</f>
        <v>NCBI Nucleotide</v>
      </c>
    </row>
    <row r="1619" spans="1:27" x14ac:dyDescent="0.35">
      <c r="A1619">
        <v>1002019</v>
      </c>
      <c r="B1619">
        <v>1595</v>
      </c>
      <c r="C1619">
        <v>1</v>
      </c>
      <c r="D1619" s="17" t="s">
        <v>155</v>
      </c>
      <c r="E1619" s="17"/>
      <c r="F1619" s="17" t="s">
        <v>156</v>
      </c>
      <c r="G1619" s="17"/>
      <c r="H1619" s="17" t="s">
        <v>692</v>
      </c>
      <c r="I1619" s="17"/>
      <c r="J1619" s="17" t="s">
        <v>693</v>
      </c>
      <c r="K1619" s="17"/>
      <c r="L1619" s="17"/>
      <c r="M1619" s="17"/>
      <c r="N1619" s="17" t="s">
        <v>8353</v>
      </c>
      <c r="O1619" s="17"/>
      <c r="P1619" s="17" t="s">
        <v>8459</v>
      </c>
      <c r="Q1619" s="17"/>
      <c r="R1619" s="25" t="str">
        <f>HYPERLINK("https://ictv.global/taxonomy/taxondetails?taxnode_id=202307796","Nereusvirus tusconc4")</f>
        <v>Nereusvirus tusconc4</v>
      </c>
      <c r="S1619" s="18" t="s">
        <v>30</v>
      </c>
      <c r="T1619" s="18" t="s">
        <v>8460</v>
      </c>
      <c r="U1619" s="18"/>
      <c r="V1619" s="18" t="s">
        <v>8461</v>
      </c>
      <c r="W1619" s="18" t="s">
        <v>8462</v>
      </c>
      <c r="X1619" s="18" t="s">
        <v>42</v>
      </c>
      <c r="Y1619" s="18" t="s">
        <v>36</v>
      </c>
      <c r="Z1619" s="18" t="s">
        <v>697</v>
      </c>
      <c r="AA1619" s="21" t="str">
        <f>HYPERLINK("https://www.ncbi.nlm.nih.gov/nuccore/KJ019133","NCBI Nucleotide")</f>
        <v>NCBI Nucleotide</v>
      </c>
    </row>
    <row r="1620" spans="1:27" x14ac:dyDescent="0.35">
      <c r="A1620">
        <v>1002020</v>
      </c>
      <c r="B1620">
        <v>1596</v>
      </c>
      <c r="C1620">
        <v>1</v>
      </c>
      <c r="D1620" s="17" t="s">
        <v>155</v>
      </c>
      <c r="E1620" s="17"/>
      <c r="F1620" s="17" t="s">
        <v>156</v>
      </c>
      <c r="G1620" s="17"/>
      <c r="H1620" s="17" t="s">
        <v>692</v>
      </c>
      <c r="I1620" s="17"/>
      <c r="J1620" s="17" t="s">
        <v>693</v>
      </c>
      <c r="K1620" s="17"/>
      <c r="L1620" s="17"/>
      <c r="M1620" s="17"/>
      <c r="N1620" s="17" t="s">
        <v>8353</v>
      </c>
      <c r="O1620" s="17"/>
      <c r="P1620" s="17" t="s">
        <v>8459</v>
      </c>
      <c r="Q1620" s="17"/>
      <c r="R1620" s="25" t="str">
        <f>HYPERLINK("https://ictv.global/taxonomy/taxondetails?taxnode_id=202307797","Nereusvirus tusconc61")</f>
        <v>Nereusvirus tusconc61</v>
      </c>
      <c r="S1620" s="18" t="s">
        <v>30</v>
      </c>
      <c r="T1620" s="18" t="s">
        <v>8460</v>
      </c>
      <c r="U1620" s="18"/>
      <c r="V1620" s="18" t="s">
        <v>8463</v>
      </c>
      <c r="W1620" s="18" t="s">
        <v>8464</v>
      </c>
      <c r="X1620" s="18" t="s">
        <v>42</v>
      </c>
      <c r="Y1620" s="18" t="s">
        <v>36</v>
      </c>
      <c r="Z1620" s="18" t="s">
        <v>697</v>
      </c>
      <c r="AA1620" s="21" t="str">
        <f>HYPERLINK("https://www.ncbi.nlm.nih.gov/nuccore/KJ019040","NCBI Nucleotide")</f>
        <v>NCBI Nucleotide</v>
      </c>
    </row>
    <row r="1621" spans="1:27" x14ac:dyDescent="0.35">
      <c r="A1621">
        <v>1002021</v>
      </c>
      <c r="B1621">
        <v>1597</v>
      </c>
      <c r="C1621">
        <v>1</v>
      </c>
      <c r="D1621" s="17" t="s">
        <v>155</v>
      </c>
      <c r="E1621" s="17"/>
      <c r="F1621" s="17" t="s">
        <v>156</v>
      </c>
      <c r="G1621" s="17"/>
      <c r="H1621" s="17" t="s">
        <v>692</v>
      </c>
      <c r="I1621" s="17"/>
      <c r="J1621" s="17" t="s">
        <v>693</v>
      </c>
      <c r="K1621" s="17"/>
      <c r="L1621" s="17"/>
      <c r="M1621" s="17"/>
      <c r="N1621" s="17" t="s">
        <v>8353</v>
      </c>
      <c r="O1621" s="17"/>
      <c r="P1621" s="17" t="s">
        <v>8465</v>
      </c>
      <c r="Q1621" s="17"/>
      <c r="R1621" s="25" t="str">
        <f>HYPERLINK("https://ictv.global/taxonomy/taxondetails?taxnode_id=202313999","Neritesvirus scam8")</f>
        <v>Neritesvirus scam8</v>
      </c>
      <c r="S1621" s="18" t="s">
        <v>30</v>
      </c>
      <c r="T1621" s="18" t="s">
        <v>8466</v>
      </c>
      <c r="U1621" s="18"/>
      <c r="V1621" s="18"/>
      <c r="W1621" s="18" t="s">
        <v>8467</v>
      </c>
      <c r="X1621" s="18" t="s">
        <v>42</v>
      </c>
      <c r="Y1621" s="18" t="s">
        <v>36</v>
      </c>
      <c r="Z1621" s="18" t="s">
        <v>697</v>
      </c>
      <c r="AA1621" s="21" t="str">
        <f>HYPERLINK("https://www.ncbi.nlm.nih.gov/nuccore/HQ634178","NCBI Nucleotide")</f>
        <v>NCBI Nucleotide</v>
      </c>
    </row>
    <row r="1622" spans="1:27" x14ac:dyDescent="0.35">
      <c r="A1622">
        <v>1002022</v>
      </c>
      <c r="B1622">
        <v>1598</v>
      </c>
      <c r="C1622">
        <v>1</v>
      </c>
      <c r="D1622" s="17" t="s">
        <v>155</v>
      </c>
      <c r="E1622" s="17"/>
      <c r="F1622" s="17" t="s">
        <v>156</v>
      </c>
      <c r="G1622" s="17"/>
      <c r="H1622" s="17" t="s">
        <v>692</v>
      </c>
      <c r="I1622" s="17"/>
      <c r="J1622" s="17" t="s">
        <v>693</v>
      </c>
      <c r="K1622" s="17"/>
      <c r="L1622" s="17"/>
      <c r="M1622" s="17"/>
      <c r="N1622" s="17" t="s">
        <v>8353</v>
      </c>
      <c r="O1622" s="17"/>
      <c r="P1622" s="17" t="s">
        <v>8468</v>
      </c>
      <c r="Q1622" s="17"/>
      <c r="R1622" s="25" t="str">
        <f>HYPERLINK("https://ictv.global/taxonomy/taxondetails?taxnode_id=202307789","Nerrivikvirus srim2")</f>
        <v>Nerrivikvirus srim2</v>
      </c>
      <c r="S1622" s="18" t="s">
        <v>30</v>
      </c>
      <c r="T1622" s="18" t="s">
        <v>8469</v>
      </c>
      <c r="U1622" s="18"/>
      <c r="V1622" s="18"/>
      <c r="W1622" s="18" t="s">
        <v>8470</v>
      </c>
      <c r="X1622" s="18" t="s">
        <v>42</v>
      </c>
      <c r="Y1622" s="18" t="s">
        <v>36</v>
      </c>
      <c r="Z1622" s="18" t="s">
        <v>697</v>
      </c>
      <c r="AA1622" s="21" t="str">
        <f>HYPERLINK("https://www.ncbi.nlm.nih.gov/nuccore/HQ317292","NCBI Nucleotide")</f>
        <v>NCBI Nucleotide</v>
      </c>
    </row>
    <row r="1623" spans="1:27" x14ac:dyDescent="0.35">
      <c r="A1623">
        <v>1002023</v>
      </c>
      <c r="B1623">
        <v>1599</v>
      </c>
      <c r="C1623">
        <v>1</v>
      </c>
      <c r="D1623" s="17" t="s">
        <v>155</v>
      </c>
      <c r="E1623" s="17"/>
      <c r="F1623" s="17" t="s">
        <v>156</v>
      </c>
      <c r="G1623" s="17"/>
      <c r="H1623" s="17" t="s">
        <v>692</v>
      </c>
      <c r="I1623" s="17"/>
      <c r="J1623" s="17" t="s">
        <v>693</v>
      </c>
      <c r="K1623" s="17"/>
      <c r="L1623" s="17"/>
      <c r="M1623" s="17"/>
      <c r="N1623" s="17" t="s">
        <v>8353</v>
      </c>
      <c r="O1623" s="17"/>
      <c r="P1623" s="17" t="s">
        <v>8471</v>
      </c>
      <c r="Q1623" s="17"/>
      <c r="R1623" s="25" t="str">
        <f>HYPERLINK("https://ictv.global/taxonomy/taxondetails?taxnode_id=202313978","Nilusvirus ssm2")</f>
        <v>Nilusvirus ssm2</v>
      </c>
      <c r="S1623" s="18" t="s">
        <v>30</v>
      </c>
      <c r="T1623" s="18" t="s">
        <v>8472</v>
      </c>
      <c r="U1623" s="18"/>
      <c r="V1623" s="18"/>
      <c r="W1623" s="18" t="s">
        <v>8473</v>
      </c>
      <c r="X1623" s="18" t="s">
        <v>42</v>
      </c>
      <c r="Y1623" s="18" t="s">
        <v>36</v>
      </c>
      <c r="Z1623" s="18" t="s">
        <v>697</v>
      </c>
      <c r="AA1623" s="21" t="str">
        <f>HYPERLINK("https://www.ncbi.nlm.nih.gov/nuccore/GU071095","NCBI Nucleotide")</f>
        <v>NCBI Nucleotide</v>
      </c>
    </row>
    <row r="1624" spans="1:27" x14ac:dyDescent="0.35">
      <c r="A1624">
        <v>1002024</v>
      </c>
      <c r="B1624">
        <v>1600</v>
      </c>
      <c r="C1624">
        <v>1</v>
      </c>
      <c r="D1624" s="17" t="s">
        <v>155</v>
      </c>
      <c r="E1624" s="17"/>
      <c r="F1624" s="17" t="s">
        <v>156</v>
      </c>
      <c r="G1624" s="17"/>
      <c r="H1624" s="17" t="s">
        <v>692</v>
      </c>
      <c r="I1624" s="17"/>
      <c r="J1624" s="17" t="s">
        <v>693</v>
      </c>
      <c r="K1624" s="17"/>
      <c r="L1624" s="17"/>
      <c r="M1624" s="17"/>
      <c r="N1624" s="17" t="s">
        <v>8353</v>
      </c>
      <c r="O1624" s="17"/>
      <c r="P1624" s="17" t="s">
        <v>8474</v>
      </c>
      <c r="Q1624" s="17"/>
      <c r="R1624" s="25" t="str">
        <f>HYPERLINK("https://ictv.global/taxonomy/taxondetails?taxnode_id=202307768","Nodensvirus spm2")</f>
        <v>Nodensvirus spm2</v>
      </c>
      <c r="S1624" s="18" t="s">
        <v>30</v>
      </c>
      <c r="T1624" s="18" t="s">
        <v>8475</v>
      </c>
      <c r="U1624" s="18"/>
      <c r="V1624" s="18"/>
      <c r="W1624" s="18" t="s">
        <v>8476</v>
      </c>
      <c r="X1624" s="18" t="s">
        <v>42</v>
      </c>
      <c r="Y1624" s="18" t="s">
        <v>36</v>
      </c>
      <c r="Z1624" s="18" t="s">
        <v>697</v>
      </c>
      <c r="AA1624" s="21" t="str">
        <f>HYPERLINK("https://www.ncbi.nlm.nih.gov/nuccore/AJ630128","NCBI Nucleotide")</f>
        <v>NCBI Nucleotide</v>
      </c>
    </row>
    <row r="1625" spans="1:27" x14ac:dyDescent="0.35">
      <c r="A1625">
        <v>1002025</v>
      </c>
      <c r="B1625">
        <v>1601</v>
      </c>
      <c r="C1625">
        <v>1</v>
      </c>
      <c r="D1625" s="17" t="s">
        <v>155</v>
      </c>
      <c r="E1625" s="17"/>
      <c r="F1625" s="17" t="s">
        <v>156</v>
      </c>
      <c r="G1625" s="17"/>
      <c r="H1625" s="17" t="s">
        <v>692</v>
      </c>
      <c r="I1625" s="17"/>
      <c r="J1625" s="17" t="s">
        <v>693</v>
      </c>
      <c r="K1625" s="17"/>
      <c r="L1625" s="17"/>
      <c r="M1625" s="17"/>
      <c r="N1625" s="17" t="s">
        <v>8353</v>
      </c>
      <c r="O1625" s="17"/>
      <c r="P1625" s="17" t="s">
        <v>8477</v>
      </c>
      <c r="Q1625" s="17"/>
      <c r="R1625" s="25" t="str">
        <f>HYPERLINK("https://ictv.global/taxonomy/taxondetails?taxnode_id=202313986","Ormenosvirus syn9")</f>
        <v>Ormenosvirus syn9</v>
      </c>
      <c r="S1625" s="18" t="s">
        <v>30</v>
      </c>
      <c r="T1625" s="18" t="s">
        <v>8478</v>
      </c>
      <c r="U1625" s="18"/>
      <c r="V1625" s="18"/>
      <c r="W1625" s="18" t="s">
        <v>8479</v>
      </c>
      <c r="X1625" s="18" t="s">
        <v>42</v>
      </c>
      <c r="Y1625" s="18" t="s">
        <v>36</v>
      </c>
      <c r="Z1625" s="18" t="s">
        <v>697</v>
      </c>
      <c r="AA1625" s="21" t="str">
        <f>HYPERLINK("https://www.ncbi.nlm.nih.gov/nuccore/DQ149023","NCBI Nucleotide")</f>
        <v>NCBI Nucleotide</v>
      </c>
    </row>
    <row r="1626" spans="1:27" x14ac:dyDescent="0.35">
      <c r="A1626">
        <v>1002026</v>
      </c>
      <c r="B1626">
        <v>1602</v>
      </c>
      <c r="C1626">
        <v>1</v>
      </c>
      <c r="D1626" s="17" t="s">
        <v>155</v>
      </c>
      <c r="E1626" s="17"/>
      <c r="F1626" s="17" t="s">
        <v>156</v>
      </c>
      <c r="G1626" s="17"/>
      <c r="H1626" s="17" t="s">
        <v>692</v>
      </c>
      <c r="I1626" s="17"/>
      <c r="J1626" s="17" t="s">
        <v>693</v>
      </c>
      <c r="K1626" s="17"/>
      <c r="L1626" s="17"/>
      <c r="M1626" s="17"/>
      <c r="N1626" s="17" t="s">
        <v>8353</v>
      </c>
      <c r="O1626" s="17"/>
      <c r="P1626" s="17" t="s">
        <v>8480</v>
      </c>
      <c r="Q1626" s="17"/>
      <c r="R1626" s="25" t="str">
        <f>HYPERLINK("https://ictv.global/taxonomy/taxondetails?taxnode_id=202307816","Palaemonvirus pssm7")</f>
        <v>Palaemonvirus pssm7</v>
      </c>
      <c r="S1626" s="18" t="s">
        <v>30</v>
      </c>
      <c r="T1626" s="18" t="s">
        <v>8481</v>
      </c>
      <c r="U1626" s="18"/>
      <c r="V1626" s="18"/>
      <c r="W1626" s="18" t="s">
        <v>8482</v>
      </c>
      <c r="X1626" s="18" t="s">
        <v>42</v>
      </c>
      <c r="Y1626" s="18" t="s">
        <v>36</v>
      </c>
      <c r="Z1626" s="18" t="s">
        <v>697</v>
      </c>
      <c r="AA1626" s="21" t="str">
        <f>HYPERLINK("https://www.ncbi.nlm.nih.gov/nuccore/GU071103","NCBI Nucleotide")</f>
        <v>NCBI Nucleotide</v>
      </c>
    </row>
    <row r="1627" spans="1:27" x14ac:dyDescent="0.35">
      <c r="A1627">
        <v>1002027</v>
      </c>
      <c r="B1627">
        <v>1603</v>
      </c>
      <c r="C1627">
        <v>1</v>
      </c>
      <c r="D1627" s="17" t="s">
        <v>155</v>
      </c>
      <c r="E1627" s="17"/>
      <c r="F1627" s="17" t="s">
        <v>156</v>
      </c>
      <c r="G1627" s="17"/>
      <c r="H1627" s="17" t="s">
        <v>692</v>
      </c>
      <c r="I1627" s="17"/>
      <c r="J1627" s="17" t="s">
        <v>693</v>
      </c>
      <c r="K1627" s="17"/>
      <c r="L1627" s="17"/>
      <c r="M1627" s="17"/>
      <c r="N1627" s="17" t="s">
        <v>8353</v>
      </c>
      <c r="O1627" s="17"/>
      <c r="P1627" s="17" t="s">
        <v>8483</v>
      </c>
      <c r="Q1627" s="17"/>
      <c r="R1627" s="25" t="str">
        <f>HYPERLINK("https://ictv.global/taxonomy/taxondetails?taxnode_id=202307811","Pontusvirus syn19")</f>
        <v>Pontusvirus syn19</v>
      </c>
      <c r="S1627" s="18" t="s">
        <v>30</v>
      </c>
      <c r="T1627" s="18" t="s">
        <v>8484</v>
      </c>
      <c r="U1627" s="18"/>
      <c r="V1627" s="18"/>
      <c r="W1627" s="18" t="s">
        <v>8485</v>
      </c>
      <c r="X1627" s="18" t="s">
        <v>42</v>
      </c>
      <c r="Y1627" s="18" t="s">
        <v>36</v>
      </c>
      <c r="Z1627" s="18" t="s">
        <v>697</v>
      </c>
      <c r="AA1627" s="21" t="str">
        <f>HYPERLINK("https://www.ncbi.nlm.nih.gov/nuccore/GU071106","NCBI Nucleotide")</f>
        <v>NCBI Nucleotide</v>
      </c>
    </row>
    <row r="1628" spans="1:27" x14ac:dyDescent="0.35">
      <c r="A1628">
        <v>1002028</v>
      </c>
      <c r="B1628">
        <v>1604</v>
      </c>
      <c r="C1628">
        <v>1</v>
      </c>
      <c r="D1628" s="17" t="s">
        <v>155</v>
      </c>
      <c r="E1628" s="17"/>
      <c r="F1628" s="17" t="s">
        <v>156</v>
      </c>
      <c r="G1628" s="17"/>
      <c r="H1628" s="17" t="s">
        <v>692</v>
      </c>
      <c r="I1628" s="17"/>
      <c r="J1628" s="17" t="s">
        <v>693</v>
      </c>
      <c r="K1628" s="17"/>
      <c r="L1628" s="17"/>
      <c r="M1628" s="17"/>
      <c r="N1628" s="17" t="s">
        <v>8353</v>
      </c>
      <c r="O1628" s="17"/>
      <c r="P1628" s="17" t="s">
        <v>8486</v>
      </c>
      <c r="Q1628" s="17"/>
      <c r="R1628" s="25" t="str">
        <f>HYPERLINK("https://ictv.global/taxonomy/taxondetails?taxnode_id=202313967","Potamoivirus cam4")</f>
        <v>Potamoivirus cam4</v>
      </c>
      <c r="S1628" s="18" t="s">
        <v>30</v>
      </c>
      <c r="T1628" s="18" t="s">
        <v>8487</v>
      </c>
      <c r="U1628" s="18"/>
      <c r="V1628" s="18"/>
      <c r="W1628" s="18" t="s">
        <v>8488</v>
      </c>
      <c r="X1628" s="18" t="s">
        <v>42</v>
      </c>
      <c r="Y1628" s="18" t="s">
        <v>36</v>
      </c>
      <c r="Z1628" s="18" t="s">
        <v>697</v>
      </c>
      <c r="AA1628" s="21" t="str">
        <f>HYPERLINK("https://www.ncbi.nlm.nih.gov/nuccore/KU686201","NCBI Nucleotide")</f>
        <v>NCBI Nucleotide</v>
      </c>
    </row>
    <row r="1629" spans="1:27" x14ac:dyDescent="0.35">
      <c r="A1629">
        <v>1002029</v>
      </c>
      <c r="B1629">
        <v>1605</v>
      </c>
      <c r="C1629">
        <v>1</v>
      </c>
      <c r="D1629" s="17" t="s">
        <v>155</v>
      </c>
      <c r="E1629" s="17"/>
      <c r="F1629" s="17" t="s">
        <v>156</v>
      </c>
      <c r="G1629" s="17"/>
      <c r="H1629" s="17" t="s">
        <v>692</v>
      </c>
      <c r="I1629" s="17"/>
      <c r="J1629" s="17" t="s">
        <v>693</v>
      </c>
      <c r="K1629" s="17"/>
      <c r="L1629" s="17"/>
      <c r="M1629" s="17"/>
      <c r="N1629" s="17" t="s">
        <v>8353</v>
      </c>
      <c r="O1629" s="17"/>
      <c r="P1629" s="17" t="s">
        <v>8486</v>
      </c>
      <c r="Q1629" s="17"/>
      <c r="R1629" s="25" t="str">
        <f>HYPERLINK("https://ictv.global/taxonomy/taxondetails?taxnode_id=202313968","Potamoivirus tusconj")</f>
        <v>Potamoivirus tusconj</v>
      </c>
      <c r="S1629" s="18" t="s">
        <v>30</v>
      </c>
      <c r="T1629" s="18" t="s">
        <v>8489</v>
      </c>
      <c r="U1629" s="18"/>
      <c r="V1629" s="18"/>
      <c r="W1629" s="18" t="s">
        <v>8490</v>
      </c>
      <c r="X1629" s="18" t="s">
        <v>42</v>
      </c>
      <c r="Y1629" s="18" t="s">
        <v>36</v>
      </c>
      <c r="Z1629" s="18" t="s">
        <v>697</v>
      </c>
      <c r="AA1629" s="21" t="str">
        <f>HYPERLINK("https://www.ncbi.nlm.nih.gov/nuccore/KJ019089","NCBI Nucleotide")</f>
        <v>NCBI Nucleotide</v>
      </c>
    </row>
    <row r="1630" spans="1:27" x14ac:dyDescent="0.35">
      <c r="A1630">
        <v>1002030</v>
      </c>
      <c r="B1630">
        <v>1606</v>
      </c>
      <c r="C1630">
        <v>1</v>
      </c>
      <c r="D1630" s="17" t="s">
        <v>155</v>
      </c>
      <c r="E1630" s="17"/>
      <c r="F1630" s="17" t="s">
        <v>156</v>
      </c>
      <c r="G1630" s="17"/>
      <c r="H1630" s="17" t="s">
        <v>692</v>
      </c>
      <c r="I1630" s="17"/>
      <c r="J1630" s="17" t="s">
        <v>693</v>
      </c>
      <c r="K1630" s="17"/>
      <c r="L1630" s="17"/>
      <c r="M1630" s="17"/>
      <c r="N1630" s="17" t="s">
        <v>8353</v>
      </c>
      <c r="O1630" s="17"/>
      <c r="P1630" s="17" t="s">
        <v>8491</v>
      </c>
      <c r="Q1630" s="17"/>
      <c r="R1630" s="25" t="str">
        <f>HYPERLINK("https://ictv.global/taxonomy/taxondetails?taxnode_id=202311680","Ronodorvirus pssm3")</f>
        <v>Ronodorvirus pssm3</v>
      </c>
      <c r="S1630" s="18" t="s">
        <v>30</v>
      </c>
      <c r="T1630" s="18" t="s">
        <v>8492</v>
      </c>
      <c r="U1630" s="18"/>
      <c r="V1630" s="18"/>
      <c r="W1630" s="18" t="s">
        <v>8493</v>
      </c>
      <c r="X1630" s="18" t="s">
        <v>42</v>
      </c>
      <c r="Y1630" s="18" t="s">
        <v>36</v>
      </c>
      <c r="Z1630" s="18" t="s">
        <v>697</v>
      </c>
      <c r="AA1630" s="21" t="str">
        <f>HYPERLINK("https://www.ncbi.nlm.nih.gov/nuccore/HQ337021","NCBI Nucleotide")</f>
        <v>NCBI Nucleotide</v>
      </c>
    </row>
    <row r="1631" spans="1:27" x14ac:dyDescent="0.35">
      <c r="A1631">
        <v>1002031</v>
      </c>
      <c r="B1631">
        <v>1607</v>
      </c>
      <c r="C1631">
        <v>1</v>
      </c>
      <c r="D1631" s="17" t="s">
        <v>155</v>
      </c>
      <c r="E1631" s="17"/>
      <c r="F1631" s="17" t="s">
        <v>156</v>
      </c>
      <c r="G1631" s="17"/>
      <c r="H1631" s="17" t="s">
        <v>692</v>
      </c>
      <c r="I1631" s="17"/>
      <c r="J1631" s="17" t="s">
        <v>693</v>
      </c>
      <c r="K1631" s="17"/>
      <c r="L1631" s="17"/>
      <c r="M1631" s="17"/>
      <c r="N1631" s="17" t="s">
        <v>8353</v>
      </c>
      <c r="O1631" s="17"/>
      <c r="P1631" s="17" t="s">
        <v>8491</v>
      </c>
      <c r="Q1631" s="17"/>
      <c r="R1631" s="25" t="str">
        <f>HYPERLINK("https://ictv.global/taxonomy/taxondetails?taxnode_id=202311681","Ronodorvirus ssm4")</f>
        <v>Ronodorvirus ssm4</v>
      </c>
      <c r="S1631" s="18" t="s">
        <v>30</v>
      </c>
      <c r="T1631" s="18" t="s">
        <v>8494</v>
      </c>
      <c r="U1631" s="18"/>
      <c r="V1631" s="18"/>
      <c r="W1631" s="18" t="s">
        <v>8495</v>
      </c>
      <c r="X1631" s="18" t="s">
        <v>42</v>
      </c>
      <c r="Y1631" s="18" t="s">
        <v>36</v>
      </c>
      <c r="Z1631" s="18" t="s">
        <v>697</v>
      </c>
      <c r="AA1631" s="21" t="str">
        <f>HYPERLINK("https://www.ncbi.nlm.nih.gov/nuccore/AY940168","NCBI Nucleotide")</f>
        <v>NCBI Nucleotide</v>
      </c>
    </row>
    <row r="1632" spans="1:27" x14ac:dyDescent="0.35">
      <c r="A1632">
        <v>1002032</v>
      </c>
      <c r="B1632">
        <v>1608</v>
      </c>
      <c r="C1632">
        <v>1</v>
      </c>
      <c r="D1632" s="17" t="s">
        <v>155</v>
      </c>
      <c r="E1632" s="17"/>
      <c r="F1632" s="17" t="s">
        <v>156</v>
      </c>
      <c r="G1632" s="17"/>
      <c r="H1632" s="17" t="s">
        <v>692</v>
      </c>
      <c r="I1632" s="17"/>
      <c r="J1632" s="17" t="s">
        <v>693</v>
      </c>
      <c r="K1632" s="17"/>
      <c r="L1632" s="17"/>
      <c r="M1632" s="17"/>
      <c r="N1632" s="17" t="s">
        <v>8353</v>
      </c>
      <c r="O1632" s="17"/>
      <c r="P1632" s="17" t="s">
        <v>8496</v>
      </c>
      <c r="Q1632" s="17"/>
      <c r="R1632" s="25" t="str">
        <f>HYPERLINK("https://ictv.global/taxonomy/taxondetails?taxnode_id=202307787","Salacisavirus pssm2")</f>
        <v>Salacisavirus pssm2</v>
      </c>
      <c r="S1632" s="18" t="s">
        <v>30</v>
      </c>
      <c r="T1632" s="18" t="s">
        <v>8497</v>
      </c>
      <c r="U1632" s="18"/>
      <c r="V1632" s="18"/>
      <c r="W1632" s="18" t="s">
        <v>8498</v>
      </c>
      <c r="X1632" s="18" t="s">
        <v>42</v>
      </c>
      <c r="Y1632" s="18" t="s">
        <v>36</v>
      </c>
      <c r="Z1632" s="18" t="s">
        <v>697</v>
      </c>
      <c r="AA1632" s="21" t="str">
        <f>HYPERLINK("https://www.ncbi.nlm.nih.gov/nuccore/AY939844","NCBI Nucleotide")</f>
        <v>NCBI Nucleotide</v>
      </c>
    </row>
    <row r="1633" spans="1:27" x14ac:dyDescent="0.35">
      <c r="A1633">
        <v>1002033</v>
      </c>
      <c r="B1633">
        <v>1609</v>
      </c>
      <c r="C1633">
        <v>1</v>
      </c>
      <c r="D1633" s="17" t="s">
        <v>155</v>
      </c>
      <c r="E1633" s="17"/>
      <c r="F1633" s="17" t="s">
        <v>156</v>
      </c>
      <c r="G1633" s="17"/>
      <c r="H1633" s="17" t="s">
        <v>692</v>
      </c>
      <c r="I1633" s="17"/>
      <c r="J1633" s="17" t="s">
        <v>693</v>
      </c>
      <c r="K1633" s="17"/>
      <c r="L1633" s="17"/>
      <c r="M1633" s="17"/>
      <c r="N1633" s="17" t="s">
        <v>8353</v>
      </c>
      <c r="O1633" s="17"/>
      <c r="P1633" s="17" t="s">
        <v>8499</v>
      </c>
      <c r="Q1633" s="17"/>
      <c r="R1633" s="25" t="str">
        <f>HYPERLINK("https://ictv.global/taxonomy/taxondetails?taxnode_id=202314653","Scyllavirus aitchnine")</f>
        <v>Scyllavirus aitchnine</v>
      </c>
      <c r="S1633" s="18" t="s">
        <v>30</v>
      </c>
      <c r="T1633" s="18" t="s">
        <v>8500</v>
      </c>
      <c r="U1633" s="18"/>
      <c r="V1633" s="18"/>
      <c r="W1633" s="18" t="s">
        <v>8501</v>
      </c>
      <c r="X1633" s="18" t="s">
        <v>42</v>
      </c>
      <c r="Y1633" s="18" t="s">
        <v>36</v>
      </c>
      <c r="Z1633" s="18" t="s">
        <v>697</v>
      </c>
      <c r="AA1633" s="21" t="str">
        <f>HYPERLINK("https://www.ncbi.nlm.nih.gov/nuccore/MW117966","NCBI Nucleotide")</f>
        <v>NCBI Nucleotide</v>
      </c>
    </row>
    <row r="1634" spans="1:27" x14ac:dyDescent="0.35">
      <c r="A1634">
        <v>1002034</v>
      </c>
      <c r="B1634">
        <v>1610</v>
      </c>
      <c r="C1634">
        <v>1</v>
      </c>
      <c r="D1634" s="17" t="s">
        <v>155</v>
      </c>
      <c r="E1634" s="17"/>
      <c r="F1634" s="17" t="s">
        <v>156</v>
      </c>
      <c r="G1634" s="17"/>
      <c r="H1634" s="17" t="s">
        <v>692</v>
      </c>
      <c r="I1634" s="17"/>
      <c r="J1634" s="17" t="s">
        <v>693</v>
      </c>
      <c r="K1634" s="17"/>
      <c r="L1634" s="17"/>
      <c r="M1634" s="17"/>
      <c r="N1634" s="17" t="s">
        <v>8353</v>
      </c>
      <c r="O1634" s="17"/>
      <c r="P1634" s="17" t="s">
        <v>8502</v>
      </c>
      <c r="Q1634" s="17"/>
      <c r="R1634" s="25" t="str">
        <f>HYPERLINK("https://ictv.global/taxonomy/taxondetails?taxnode_id=202313960","Sedonavirus tusconh")</f>
        <v>Sedonavirus tusconh</v>
      </c>
      <c r="S1634" s="18" t="s">
        <v>30</v>
      </c>
      <c r="T1634" s="18" t="s">
        <v>8503</v>
      </c>
      <c r="U1634" s="18"/>
      <c r="V1634" s="18"/>
      <c r="W1634" s="18" t="s">
        <v>8504</v>
      </c>
      <c r="X1634" s="18" t="s">
        <v>42</v>
      </c>
      <c r="Y1634" s="18" t="s">
        <v>36</v>
      </c>
      <c r="Z1634" s="18" t="s">
        <v>697</v>
      </c>
      <c r="AA1634" s="21" t="str">
        <f>HYPERLINK("https://www.ncbi.nlm.nih.gov/nuccore/KF156338","NCBI Nucleotide")</f>
        <v>NCBI Nucleotide</v>
      </c>
    </row>
    <row r="1635" spans="1:27" x14ac:dyDescent="0.35">
      <c r="A1635">
        <v>1002035</v>
      </c>
      <c r="B1635">
        <v>1611</v>
      </c>
      <c r="C1635">
        <v>1</v>
      </c>
      <c r="D1635" s="17" t="s">
        <v>155</v>
      </c>
      <c r="E1635" s="17"/>
      <c r="F1635" s="17" t="s">
        <v>156</v>
      </c>
      <c r="G1635" s="17"/>
      <c r="H1635" s="17" t="s">
        <v>692</v>
      </c>
      <c r="I1635" s="17"/>
      <c r="J1635" s="17" t="s">
        <v>693</v>
      </c>
      <c r="K1635" s="17"/>
      <c r="L1635" s="17"/>
      <c r="M1635" s="17"/>
      <c r="N1635" s="17" t="s">
        <v>8353</v>
      </c>
      <c r="O1635" s="17"/>
      <c r="P1635" s="17" t="s">
        <v>8505</v>
      </c>
      <c r="Q1635" s="17"/>
      <c r="R1635" s="25" t="str">
        <f>HYPERLINK("https://ictv.global/taxonomy/taxondetails?taxnode_id=202314655","Serangoonvirus essarone")</f>
        <v>Serangoonvirus essarone</v>
      </c>
      <c r="S1635" s="18" t="s">
        <v>30</v>
      </c>
      <c r="T1635" s="18" t="s">
        <v>8506</v>
      </c>
      <c r="U1635" s="18"/>
      <c r="V1635" s="18"/>
      <c r="W1635" s="18" t="s">
        <v>8507</v>
      </c>
      <c r="X1635" s="18" t="s">
        <v>42</v>
      </c>
      <c r="Y1635" s="18" t="s">
        <v>36</v>
      </c>
      <c r="Z1635" s="18" t="s">
        <v>697</v>
      </c>
      <c r="AA1635" s="21" t="str">
        <f>HYPERLINK("https://www.ncbi.nlm.nih.gov/nuccore/MW015081","NCBI Nucleotide")</f>
        <v>NCBI Nucleotide</v>
      </c>
    </row>
    <row r="1636" spans="1:27" x14ac:dyDescent="0.35">
      <c r="A1636">
        <v>1002036</v>
      </c>
      <c r="B1636">
        <v>1612</v>
      </c>
      <c r="C1636">
        <v>1</v>
      </c>
      <c r="D1636" s="17" t="s">
        <v>155</v>
      </c>
      <c r="E1636" s="17"/>
      <c r="F1636" s="17" t="s">
        <v>156</v>
      </c>
      <c r="G1636" s="17"/>
      <c r="H1636" s="17" t="s">
        <v>692</v>
      </c>
      <c r="I1636" s="17"/>
      <c r="J1636" s="17" t="s">
        <v>693</v>
      </c>
      <c r="K1636" s="17"/>
      <c r="L1636" s="17"/>
      <c r="M1636" s="17"/>
      <c r="N1636" s="17" t="s">
        <v>8353</v>
      </c>
      <c r="O1636" s="17"/>
      <c r="P1636" s="17" t="s">
        <v>8508</v>
      </c>
      <c r="Q1636" s="17"/>
      <c r="R1636" s="25" t="str">
        <f>HYPERLINK("https://ictv.global/taxonomy/taxondetails?taxnode_id=202313989","Shandvirus sb64")</f>
        <v>Shandvirus sb64</v>
      </c>
      <c r="S1636" s="18" t="s">
        <v>30</v>
      </c>
      <c r="T1636" s="18" t="s">
        <v>8509</v>
      </c>
      <c r="U1636" s="18"/>
      <c r="V1636" s="18"/>
      <c r="W1636" s="18" t="s">
        <v>8510</v>
      </c>
      <c r="X1636" s="18" t="s">
        <v>42</v>
      </c>
      <c r="Y1636" s="18" t="s">
        <v>36</v>
      </c>
      <c r="Z1636" s="18" t="s">
        <v>697</v>
      </c>
      <c r="AA1636" s="21" t="str">
        <f>HYPERLINK("https://www.ncbi.nlm.nih.gov/nuccore/MH107246","NCBI Nucleotide")</f>
        <v>NCBI Nucleotide</v>
      </c>
    </row>
    <row r="1637" spans="1:27" x14ac:dyDescent="0.35">
      <c r="A1637">
        <v>1002037</v>
      </c>
      <c r="B1637">
        <v>1613</v>
      </c>
      <c r="C1637">
        <v>1</v>
      </c>
      <c r="D1637" s="17" t="s">
        <v>155</v>
      </c>
      <c r="E1637" s="17"/>
      <c r="F1637" s="17" t="s">
        <v>156</v>
      </c>
      <c r="G1637" s="17"/>
      <c r="H1637" s="17" t="s">
        <v>692</v>
      </c>
      <c r="I1637" s="17"/>
      <c r="J1637" s="17" t="s">
        <v>693</v>
      </c>
      <c r="K1637" s="17"/>
      <c r="L1637" s="17"/>
      <c r="M1637" s="17"/>
      <c r="N1637" s="17" t="s">
        <v>8353</v>
      </c>
      <c r="O1637" s="17"/>
      <c r="P1637" s="17" t="s">
        <v>8508</v>
      </c>
      <c r="Q1637" s="17"/>
      <c r="R1637" s="25" t="str">
        <f>HYPERLINK("https://ictv.global/taxonomy/taxondetails?taxnode_id=202313988","Shandvirus sh35")</f>
        <v>Shandvirus sh35</v>
      </c>
      <c r="S1637" s="18" t="s">
        <v>30</v>
      </c>
      <c r="T1637" s="18" t="s">
        <v>8511</v>
      </c>
      <c r="U1637" s="18"/>
      <c r="V1637" s="18"/>
      <c r="W1637" s="18" t="s">
        <v>8512</v>
      </c>
      <c r="X1637" s="18" t="s">
        <v>42</v>
      </c>
      <c r="Y1637" s="18" t="s">
        <v>36</v>
      </c>
      <c r="Z1637" s="18" t="s">
        <v>697</v>
      </c>
      <c r="AA1637" s="21" t="str">
        <f>HYPERLINK("https://www.ncbi.nlm.nih.gov/nuccore/KY945241","NCBI Nucleotide")</f>
        <v>NCBI Nucleotide</v>
      </c>
    </row>
    <row r="1638" spans="1:27" x14ac:dyDescent="0.35">
      <c r="A1638">
        <v>1002038</v>
      </c>
      <c r="B1638">
        <v>1614</v>
      </c>
      <c r="C1638">
        <v>1</v>
      </c>
      <c r="D1638" s="17" t="s">
        <v>155</v>
      </c>
      <c r="E1638" s="17"/>
      <c r="F1638" s="17" t="s">
        <v>156</v>
      </c>
      <c r="G1638" s="17"/>
      <c r="H1638" s="17" t="s">
        <v>692</v>
      </c>
      <c r="I1638" s="17"/>
      <c r="J1638" s="17" t="s">
        <v>693</v>
      </c>
      <c r="K1638" s="17"/>
      <c r="L1638" s="17"/>
      <c r="M1638" s="17"/>
      <c r="N1638" s="17" t="s">
        <v>8353</v>
      </c>
      <c r="O1638" s="17"/>
      <c r="P1638" s="17" t="s">
        <v>8513</v>
      </c>
      <c r="Q1638" s="17"/>
      <c r="R1638" s="25" t="str">
        <f>HYPERLINK("https://ictv.global/taxonomy/taxondetails?taxnode_id=202314852","Shenzhenivirus sszbm1")</f>
        <v>Shenzhenivirus sszbm1</v>
      </c>
      <c r="S1638" s="18" t="s">
        <v>30</v>
      </c>
      <c r="T1638" s="18" t="s">
        <v>8514</v>
      </c>
      <c r="U1638" s="18"/>
      <c r="V1638" s="18"/>
      <c r="W1638" s="18" t="s">
        <v>8515</v>
      </c>
      <c r="X1638" s="18" t="s">
        <v>42</v>
      </c>
      <c r="Y1638" s="18" t="s">
        <v>36</v>
      </c>
      <c r="Z1638" s="18" t="s">
        <v>697</v>
      </c>
      <c r="AA1638" s="21" t="str">
        <f>HYPERLINK("https://www.ncbi.nlm.nih.gov/nuccore/OL473597","NCBI Nucleotide")</f>
        <v>NCBI Nucleotide</v>
      </c>
    </row>
    <row r="1639" spans="1:27" x14ac:dyDescent="0.35">
      <c r="A1639">
        <v>1002039</v>
      </c>
      <c r="B1639">
        <v>1615</v>
      </c>
      <c r="C1639">
        <v>1</v>
      </c>
      <c r="D1639" s="17" t="s">
        <v>155</v>
      </c>
      <c r="E1639" s="17"/>
      <c r="F1639" s="17" t="s">
        <v>156</v>
      </c>
      <c r="G1639" s="17"/>
      <c r="H1639" s="17" t="s">
        <v>692</v>
      </c>
      <c r="I1639" s="17"/>
      <c r="J1639" s="17" t="s">
        <v>693</v>
      </c>
      <c r="K1639" s="17"/>
      <c r="L1639" s="17"/>
      <c r="M1639" s="17"/>
      <c r="N1639" s="17" t="s">
        <v>8353</v>
      </c>
      <c r="O1639" s="17"/>
      <c r="P1639" s="17" t="s">
        <v>8516</v>
      </c>
      <c r="Q1639" s="17"/>
      <c r="R1639" s="25" t="str">
        <f>HYPERLINK("https://ictv.global/taxonomy/taxondetails?taxnode_id=202313980","Sokavirus swam1")</f>
        <v>Sokavirus swam1</v>
      </c>
      <c r="S1639" s="18" t="s">
        <v>30</v>
      </c>
      <c r="T1639" s="18" t="s">
        <v>8517</v>
      </c>
      <c r="U1639" s="18"/>
      <c r="V1639" s="18"/>
      <c r="W1639" s="18" t="s">
        <v>8518</v>
      </c>
      <c r="X1639" s="18" t="s">
        <v>42</v>
      </c>
      <c r="Y1639" s="18" t="s">
        <v>36</v>
      </c>
      <c r="Z1639" s="18" t="s">
        <v>697</v>
      </c>
      <c r="AA1639" s="21" t="str">
        <f>HYPERLINK("https://www.ncbi.nlm.nih.gov/nuccore/KU686210","NCBI Nucleotide")</f>
        <v>NCBI Nucleotide</v>
      </c>
    </row>
    <row r="1640" spans="1:27" x14ac:dyDescent="0.35">
      <c r="A1640">
        <v>1002040</v>
      </c>
      <c r="B1640">
        <v>1616</v>
      </c>
      <c r="C1640">
        <v>1</v>
      </c>
      <c r="D1640" s="17" t="s">
        <v>155</v>
      </c>
      <c r="E1640" s="17"/>
      <c r="F1640" s="17" t="s">
        <v>156</v>
      </c>
      <c r="G1640" s="17"/>
      <c r="H1640" s="17" t="s">
        <v>692</v>
      </c>
      <c r="I1640" s="17"/>
      <c r="J1640" s="17" t="s">
        <v>693</v>
      </c>
      <c r="K1640" s="17"/>
      <c r="L1640" s="17"/>
      <c r="M1640" s="17"/>
      <c r="N1640" s="17" t="s">
        <v>8353</v>
      </c>
      <c r="O1640" s="17"/>
      <c r="P1640" s="17" t="s">
        <v>8519</v>
      </c>
      <c r="Q1640" s="17"/>
      <c r="R1640" s="25" t="str">
        <f>HYPERLINK("https://ictv.global/taxonomy/taxondetails?taxnode_id=202307762","Tamkungvirus ST4")</f>
        <v>Tamkungvirus ST4</v>
      </c>
      <c r="S1640" s="18" t="s">
        <v>30</v>
      </c>
      <c r="T1640" s="18" t="s">
        <v>8520</v>
      </c>
      <c r="U1640" s="18"/>
      <c r="V1640" s="18"/>
      <c r="W1640" s="18" t="s">
        <v>8521</v>
      </c>
      <c r="X1640" s="18" t="s">
        <v>42</v>
      </c>
      <c r="Y1640" s="18" t="s">
        <v>36</v>
      </c>
      <c r="Z1640" s="18" t="s">
        <v>697</v>
      </c>
      <c r="AA1640" s="21" t="str">
        <f>HYPERLINK("https://www.ncbi.nlm.nih.gov/nuccore/MH412654","NCBI Nucleotide")</f>
        <v>NCBI Nucleotide</v>
      </c>
    </row>
    <row r="1641" spans="1:27" x14ac:dyDescent="0.35">
      <c r="A1641">
        <v>1002041</v>
      </c>
      <c r="B1641">
        <v>1617</v>
      </c>
      <c r="C1641">
        <v>1</v>
      </c>
      <c r="D1641" s="17" t="s">
        <v>155</v>
      </c>
      <c r="E1641" s="17"/>
      <c r="F1641" s="17" t="s">
        <v>156</v>
      </c>
      <c r="G1641" s="17"/>
      <c r="H1641" s="17" t="s">
        <v>692</v>
      </c>
      <c r="I1641" s="17"/>
      <c r="J1641" s="17" t="s">
        <v>693</v>
      </c>
      <c r="K1641" s="17"/>
      <c r="L1641" s="17"/>
      <c r="M1641" s="17"/>
      <c r="N1641" s="17" t="s">
        <v>8353</v>
      </c>
      <c r="O1641" s="17"/>
      <c r="P1641" s="17" t="s">
        <v>8522</v>
      </c>
      <c r="Q1641" s="17"/>
      <c r="R1641" s="25" t="str">
        <f>HYPERLINK("https://ictv.global/taxonomy/taxondetails?taxnode_id=202307770","Tefnutvirus siom18")</f>
        <v>Tefnutvirus siom18</v>
      </c>
      <c r="S1641" s="18" t="s">
        <v>30</v>
      </c>
      <c r="T1641" s="18" t="s">
        <v>8523</v>
      </c>
      <c r="U1641" s="18"/>
      <c r="V1641" s="18"/>
      <c r="W1641" s="18" t="s">
        <v>8524</v>
      </c>
      <c r="X1641" s="18" t="s">
        <v>42</v>
      </c>
      <c r="Y1641" s="18" t="s">
        <v>36</v>
      </c>
      <c r="Z1641" s="18" t="s">
        <v>697</v>
      </c>
      <c r="AA1641" s="21" t="str">
        <f>HYPERLINK("https://www.ncbi.nlm.nih.gov/nuccore/HQ317383","NCBI Nucleotide")</f>
        <v>NCBI Nucleotide</v>
      </c>
    </row>
    <row r="1642" spans="1:27" x14ac:dyDescent="0.35">
      <c r="A1642">
        <v>1002042</v>
      </c>
      <c r="B1642">
        <v>1618</v>
      </c>
      <c r="C1642">
        <v>1</v>
      </c>
      <c r="D1642" s="17" t="s">
        <v>155</v>
      </c>
      <c r="E1642" s="17"/>
      <c r="F1642" s="17" t="s">
        <v>156</v>
      </c>
      <c r="G1642" s="17"/>
      <c r="H1642" s="17" t="s">
        <v>692</v>
      </c>
      <c r="I1642" s="17"/>
      <c r="J1642" s="17" t="s">
        <v>693</v>
      </c>
      <c r="K1642" s="17"/>
      <c r="L1642" s="17"/>
      <c r="M1642" s="17"/>
      <c r="N1642" s="17" t="s">
        <v>8353</v>
      </c>
      <c r="O1642" s="17"/>
      <c r="P1642" s="17" t="s">
        <v>8525</v>
      </c>
      <c r="Q1642" s="17"/>
      <c r="R1642" s="25" t="str">
        <f>HYPERLINK("https://ictv.global/taxonomy/taxondetails?taxnode_id=202307809","Thaumasvirus stim4")</f>
        <v>Thaumasvirus stim4</v>
      </c>
      <c r="S1642" s="18" t="s">
        <v>30</v>
      </c>
      <c r="T1642" s="18" t="s">
        <v>8526</v>
      </c>
      <c r="U1642" s="18"/>
      <c r="V1642" s="18"/>
      <c r="W1642" s="18" t="s">
        <v>8527</v>
      </c>
      <c r="X1642" s="18" t="s">
        <v>42</v>
      </c>
      <c r="Y1642" s="18" t="s">
        <v>36</v>
      </c>
      <c r="Z1642" s="18" t="s">
        <v>697</v>
      </c>
      <c r="AA1642" s="21" t="str">
        <f>HYPERLINK("https://www.ncbi.nlm.nih.gov/nuccore/MH512890","NCBI Nucleotide")</f>
        <v>NCBI Nucleotide</v>
      </c>
    </row>
    <row r="1643" spans="1:27" x14ac:dyDescent="0.35">
      <c r="A1643">
        <v>1002043</v>
      </c>
      <c r="B1643">
        <v>1619</v>
      </c>
      <c r="C1643">
        <v>1</v>
      </c>
      <c r="D1643" s="17" t="s">
        <v>155</v>
      </c>
      <c r="E1643" s="17"/>
      <c r="F1643" s="17" t="s">
        <v>156</v>
      </c>
      <c r="G1643" s="17"/>
      <c r="H1643" s="17" t="s">
        <v>692</v>
      </c>
      <c r="I1643" s="17"/>
      <c r="J1643" s="17" t="s">
        <v>693</v>
      </c>
      <c r="K1643" s="17"/>
      <c r="L1643" s="17"/>
      <c r="M1643" s="17"/>
      <c r="N1643" s="17" t="s">
        <v>8353</v>
      </c>
      <c r="O1643" s="17"/>
      <c r="P1643" s="17" t="s">
        <v>8528</v>
      </c>
      <c r="Q1643" s="17"/>
      <c r="R1643" s="25" t="str">
        <f>HYPERLINK("https://ictv.global/taxonomy/taxondetails?taxnode_id=202307807","Thetisvirus ssm1")</f>
        <v>Thetisvirus ssm1</v>
      </c>
      <c r="S1643" s="18" t="s">
        <v>30</v>
      </c>
      <c r="T1643" s="18" t="s">
        <v>8529</v>
      </c>
      <c r="U1643" s="18"/>
      <c r="V1643" s="18"/>
      <c r="W1643" s="18" t="s">
        <v>8530</v>
      </c>
      <c r="X1643" s="18" t="s">
        <v>42</v>
      </c>
      <c r="Y1643" s="18" t="s">
        <v>36</v>
      </c>
      <c r="Z1643" s="18" t="s">
        <v>697</v>
      </c>
      <c r="AA1643" s="21" t="str">
        <f>HYPERLINK("https://www.ncbi.nlm.nih.gov/nuccore/GU071094","NCBI Nucleotide")</f>
        <v>NCBI Nucleotide</v>
      </c>
    </row>
    <row r="1644" spans="1:27" x14ac:dyDescent="0.35">
      <c r="A1644">
        <v>1002044</v>
      </c>
      <c r="B1644">
        <v>1620</v>
      </c>
      <c r="C1644">
        <v>1</v>
      </c>
      <c r="D1644" s="17" t="s">
        <v>155</v>
      </c>
      <c r="E1644" s="17"/>
      <c r="F1644" s="17" t="s">
        <v>156</v>
      </c>
      <c r="G1644" s="17"/>
      <c r="H1644" s="17" t="s">
        <v>692</v>
      </c>
      <c r="I1644" s="17"/>
      <c r="J1644" s="17" t="s">
        <v>693</v>
      </c>
      <c r="K1644" s="17"/>
      <c r="L1644" s="17"/>
      <c r="M1644" s="17"/>
      <c r="N1644" s="17" t="s">
        <v>8353</v>
      </c>
      <c r="O1644" s="17"/>
      <c r="P1644" s="17" t="s">
        <v>8531</v>
      </c>
      <c r="Q1644" s="17"/>
      <c r="R1644" s="25" t="str">
        <f>HYPERLINK("https://ictv.global/taxonomy/taxondetails?taxnode_id=202307819","Vellamovirus rhodeisland44")</f>
        <v>Vellamovirus rhodeisland44</v>
      </c>
      <c r="S1644" s="18" t="s">
        <v>30</v>
      </c>
      <c r="T1644" s="18" t="s">
        <v>8532</v>
      </c>
      <c r="U1644" s="18"/>
      <c r="V1644" s="18" t="s">
        <v>8533</v>
      </c>
      <c r="W1644" s="18" t="s">
        <v>8534</v>
      </c>
      <c r="X1644" s="18" t="s">
        <v>42</v>
      </c>
      <c r="Y1644" s="18" t="s">
        <v>36</v>
      </c>
      <c r="Z1644" s="18" t="s">
        <v>697</v>
      </c>
      <c r="AA1644" s="21" t="str">
        <f>HYPERLINK("https://www.ncbi.nlm.nih.gov/nuccore/KX349294","NCBI Nucleotide")</f>
        <v>NCBI Nucleotide</v>
      </c>
    </row>
    <row r="1645" spans="1:27" x14ac:dyDescent="0.35">
      <c r="A1645">
        <v>1002045</v>
      </c>
      <c r="B1645">
        <v>1621</v>
      </c>
      <c r="C1645">
        <v>1</v>
      </c>
      <c r="D1645" s="17" t="s">
        <v>155</v>
      </c>
      <c r="E1645" s="17"/>
      <c r="F1645" s="17" t="s">
        <v>156</v>
      </c>
      <c r="G1645" s="17"/>
      <c r="H1645" s="17" t="s">
        <v>692</v>
      </c>
      <c r="I1645" s="17"/>
      <c r="J1645" s="17" t="s">
        <v>693</v>
      </c>
      <c r="K1645" s="17"/>
      <c r="L1645" s="17"/>
      <c r="M1645" s="17"/>
      <c r="N1645" s="17" t="s">
        <v>8353</v>
      </c>
      <c r="O1645" s="17"/>
      <c r="P1645" s="17" t="s">
        <v>8531</v>
      </c>
      <c r="Q1645" s="17"/>
      <c r="R1645" s="25" t="str">
        <f>HYPERLINK("https://ictv.global/taxonomy/taxondetails?taxnode_id=202307818","Vellamovirus syn1")</f>
        <v>Vellamovirus syn1</v>
      </c>
      <c r="S1645" s="18" t="s">
        <v>30</v>
      </c>
      <c r="T1645" s="18" t="s">
        <v>8535</v>
      </c>
      <c r="U1645" s="18"/>
      <c r="V1645" s="18"/>
      <c r="W1645" s="18" t="s">
        <v>8536</v>
      </c>
      <c r="X1645" s="18" t="s">
        <v>42</v>
      </c>
      <c r="Y1645" s="18" t="s">
        <v>36</v>
      </c>
      <c r="Z1645" s="18" t="s">
        <v>697</v>
      </c>
      <c r="AA1645" s="21" t="str">
        <f>HYPERLINK("https://www.ncbi.nlm.nih.gov/nuccore/GU071105","NCBI Nucleotide")</f>
        <v>NCBI Nucleotide</v>
      </c>
    </row>
    <row r="1646" spans="1:27" x14ac:dyDescent="0.35">
      <c r="A1646">
        <v>1002046</v>
      </c>
      <c r="B1646">
        <v>1622</v>
      </c>
      <c r="C1646">
        <v>1</v>
      </c>
      <c r="D1646" s="17" t="s">
        <v>155</v>
      </c>
      <c r="E1646" s="17"/>
      <c r="F1646" s="17" t="s">
        <v>156</v>
      </c>
      <c r="G1646" s="17"/>
      <c r="H1646" s="17" t="s">
        <v>692</v>
      </c>
      <c r="I1646" s="17"/>
      <c r="J1646" s="17" t="s">
        <v>693</v>
      </c>
      <c r="K1646" s="17"/>
      <c r="L1646" s="17"/>
      <c r="M1646" s="17"/>
      <c r="N1646" s="17" t="s">
        <v>8353</v>
      </c>
      <c r="O1646" s="17"/>
      <c r="P1646" s="17" t="s">
        <v>8537</v>
      </c>
      <c r="Q1646" s="17"/>
      <c r="R1646" s="25" t="str">
        <f>HYPERLINK("https://ictv.global/taxonomy/taxondetails?taxnode_id=202314656","Yellowseavirus thirtyeight")</f>
        <v>Yellowseavirus thirtyeight</v>
      </c>
      <c r="S1646" s="18" t="s">
        <v>30</v>
      </c>
      <c r="T1646" s="18" t="s">
        <v>8538</v>
      </c>
      <c r="U1646" s="18"/>
      <c r="V1646" s="18"/>
      <c r="W1646" s="18" t="s">
        <v>8539</v>
      </c>
      <c r="X1646" s="18" t="s">
        <v>42</v>
      </c>
      <c r="Y1646" s="18" t="s">
        <v>36</v>
      </c>
      <c r="Z1646" s="18" t="s">
        <v>697</v>
      </c>
      <c r="AA1646" s="21" t="str">
        <f>HYPERLINK("https://www.ncbi.nlm.nih.gov/nuccore/MW117965","NCBI Nucleotide")</f>
        <v>NCBI Nucleotide</v>
      </c>
    </row>
    <row r="1647" spans="1:27" x14ac:dyDescent="0.35">
      <c r="A1647">
        <v>1002047</v>
      </c>
      <c r="B1647">
        <v>1623</v>
      </c>
      <c r="C1647">
        <v>1</v>
      </c>
      <c r="D1647" s="17" t="s">
        <v>155</v>
      </c>
      <c r="E1647" s="17"/>
      <c r="F1647" s="17" t="s">
        <v>156</v>
      </c>
      <c r="G1647" s="17"/>
      <c r="H1647" s="17" t="s">
        <v>692</v>
      </c>
      <c r="I1647" s="17"/>
      <c r="J1647" s="17" t="s">
        <v>693</v>
      </c>
      <c r="K1647" s="17"/>
      <c r="L1647" s="17"/>
      <c r="M1647" s="17"/>
      <c r="N1647" s="17" t="s">
        <v>8353</v>
      </c>
      <c r="O1647" s="17"/>
      <c r="P1647" s="17" t="s">
        <v>8540</v>
      </c>
      <c r="Q1647" s="17"/>
      <c r="R1647" s="25" t="str">
        <f>HYPERLINK("https://ictv.global/taxonomy/taxondetails?taxnode_id=202314652","Yushanluvirus satich")</f>
        <v>Yushanluvirus satich</v>
      </c>
      <c r="S1647" s="18" t="s">
        <v>30</v>
      </c>
      <c r="T1647" s="18" t="s">
        <v>8541</v>
      </c>
      <c r="U1647" s="18"/>
      <c r="V1647" s="18"/>
      <c r="W1647" s="18" t="s">
        <v>8542</v>
      </c>
      <c r="X1647" s="18" t="s">
        <v>42</v>
      </c>
      <c r="Y1647" s="18" t="s">
        <v>36</v>
      </c>
      <c r="Z1647" s="18" t="s">
        <v>697</v>
      </c>
      <c r="AA1647" s="21" t="str">
        <f>HYPERLINK("https://www.ncbi.nlm.nih.gov/nuccore/MW147367","NCBI Nucleotide")</f>
        <v>NCBI Nucleotide</v>
      </c>
    </row>
    <row r="1648" spans="1:27" x14ac:dyDescent="0.35">
      <c r="A1648">
        <v>1002048</v>
      </c>
      <c r="B1648">
        <v>1624</v>
      </c>
      <c r="C1648">
        <v>1</v>
      </c>
      <c r="D1648" s="17" t="s">
        <v>155</v>
      </c>
      <c r="E1648" s="17"/>
      <c r="F1648" s="17" t="s">
        <v>156</v>
      </c>
      <c r="G1648" s="17"/>
      <c r="H1648" s="17" t="s">
        <v>692</v>
      </c>
      <c r="I1648" s="17"/>
      <c r="J1648" s="17" t="s">
        <v>693</v>
      </c>
      <c r="K1648" s="17"/>
      <c r="L1648" s="17"/>
      <c r="M1648" s="17"/>
      <c r="N1648" s="17" t="s">
        <v>8353</v>
      </c>
      <c r="O1648" s="17"/>
      <c r="P1648" s="17" t="s">
        <v>8543</v>
      </c>
      <c r="Q1648" s="17"/>
      <c r="R1648" s="25" t="str">
        <f>HYPERLINK("https://ictv.global/taxonomy/taxondetails?taxnode_id=202314654","Zhoulongquanvirus esscess")</f>
        <v>Zhoulongquanvirus esscess</v>
      </c>
      <c r="S1648" s="18" t="s">
        <v>30</v>
      </c>
      <c r="T1648" s="18" t="s">
        <v>8544</v>
      </c>
      <c r="U1648" s="18"/>
      <c r="V1648" s="18"/>
      <c r="W1648" s="18" t="s">
        <v>8545</v>
      </c>
      <c r="X1648" s="18" t="s">
        <v>42</v>
      </c>
      <c r="Y1648" s="18" t="s">
        <v>36</v>
      </c>
      <c r="Z1648" s="18" t="s">
        <v>697</v>
      </c>
      <c r="AA1648" s="21" t="str">
        <f>HYPERLINK("https://www.ncbi.nlm.nih.gov/nuccore/MK867354","NCBI Nucleotide")</f>
        <v>NCBI Nucleotide</v>
      </c>
    </row>
    <row r="1649" spans="1:27" x14ac:dyDescent="0.35">
      <c r="A1649">
        <v>1024605</v>
      </c>
      <c r="B1649">
        <v>1625</v>
      </c>
      <c r="C1649">
        <v>1</v>
      </c>
      <c r="D1649" s="17" t="s">
        <v>155</v>
      </c>
      <c r="E1649" s="17"/>
      <c r="F1649" s="17" t="s">
        <v>156</v>
      </c>
      <c r="G1649" s="17"/>
      <c r="H1649" s="17" t="s">
        <v>692</v>
      </c>
      <c r="I1649" s="17"/>
      <c r="J1649" s="17" t="s">
        <v>693</v>
      </c>
      <c r="K1649" s="17"/>
      <c r="L1649" s="17"/>
      <c r="M1649" s="17"/>
      <c r="N1649" s="17" t="s">
        <v>39392</v>
      </c>
      <c r="O1649" s="17"/>
      <c r="P1649" s="17" t="s">
        <v>39393</v>
      </c>
      <c r="Q1649" s="17"/>
      <c r="R1649" s="25" t="str">
        <f>HYPERLINK("https://ictv.global/taxonomy/taxondetails?taxnode_id=202317739","Classicovirus victor")</f>
        <v>Classicovirus victor</v>
      </c>
      <c r="S1649" s="18" t="s">
        <v>30</v>
      </c>
      <c r="T1649" s="18" t="s">
        <v>39394</v>
      </c>
      <c r="U1649" s="18" t="s">
        <v>39395</v>
      </c>
      <c r="V1649" s="18" t="s">
        <v>39396</v>
      </c>
      <c r="W1649" s="18" t="s">
        <v>39397</v>
      </c>
      <c r="X1649" s="18" t="s">
        <v>42</v>
      </c>
      <c r="Y1649" s="18" t="s">
        <v>36</v>
      </c>
      <c r="Z1649" s="18" t="s">
        <v>37</v>
      </c>
      <c r="AA1649" s="21" t="str">
        <f>HYPERLINK("https://www.ncbi.nlm.nih.gov/nuccore/BK063680","NCBI Nucleotide")</f>
        <v>NCBI Nucleotide</v>
      </c>
    </row>
    <row r="1650" spans="1:27" x14ac:dyDescent="0.35">
      <c r="A1650">
        <v>1002049</v>
      </c>
      <c r="B1650">
        <v>1626</v>
      </c>
      <c r="C1650">
        <v>1</v>
      </c>
      <c r="D1650" s="17" t="s">
        <v>155</v>
      </c>
      <c r="E1650" s="17"/>
      <c r="F1650" s="17" t="s">
        <v>156</v>
      </c>
      <c r="G1650" s="17"/>
      <c r="H1650" s="17" t="s">
        <v>692</v>
      </c>
      <c r="I1650" s="17"/>
      <c r="J1650" s="17" t="s">
        <v>693</v>
      </c>
      <c r="K1650" s="17"/>
      <c r="L1650" s="17"/>
      <c r="M1650" s="17"/>
      <c r="N1650" s="17" t="s">
        <v>8546</v>
      </c>
      <c r="O1650" s="17"/>
      <c r="P1650" s="17" t="s">
        <v>8547</v>
      </c>
      <c r="Q1650" s="17"/>
      <c r="R1650" s="25" t="str">
        <f>HYPERLINK("https://ictv.global/taxonomy/taxondetails?taxnode_id=202312179","Clampvirus italiense")</f>
        <v>Clampvirus italiense</v>
      </c>
      <c r="S1650" s="18" t="s">
        <v>30</v>
      </c>
      <c r="T1650" s="18" t="s">
        <v>8548</v>
      </c>
      <c r="U1650" s="18" t="s">
        <v>8549</v>
      </c>
      <c r="V1650" s="18"/>
      <c r="W1650" s="18" t="s">
        <v>8550</v>
      </c>
      <c r="X1650" s="18" t="s">
        <v>42</v>
      </c>
      <c r="Y1650" s="18" t="s">
        <v>36</v>
      </c>
      <c r="Z1650" s="18" t="s">
        <v>37</v>
      </c>
      <c r="AA1650" s="21" t="str">
        <f>HYPERLINK("https://www.ncbi.nlm.nih.gov/nuccore/KC292025","NCBI Nucleotide")</f>
        <v>NCBI Nucleotide</v>
      </c>
    </row>
    <row r="1651" spans="1:27" x14ac:dyDescent="0.35">
      <c r="A1651">
        <v>1002398</v>
      </c>
      <c r="B1651">
        <v>1627</v>
      </c>
      <c r="C1651">
        <v>1</v>
      </c>
      <c r="D1651" s="17" t="s">
        <v>155</v>
      </c>
      <c r="E1651" s="17"/>
      <c r="F1651" s="17" t="s">
        <v>156</v>
      </c>
      <c r="G1651" s="17"/>
      <c r="H1651" s="17" t="s">
        <v>692</v>
      </c>
      <c r="I1651" s="17"/>
      <c r="J1651" s="17" t="s">
        <v>693</v>
      </c>
      <c r="K1651" s="17"/>
      <c r="L1651" s="17"/>
      <c r="M1651" s="17"/>
      <c r="N1651" s="17" t="s">
        <v>39398</v>
      </c>
      <c r="O1651" s="17"/>
      <c r="P1651" s="17" t="s">
        <v>9076</v>
      </c>
      <c r="Q1651" s="17"/>
      <c r="R1651" s="25" t="str">
        <f>HYPERLINK("https://ictv.global/taxonomy/taxondetails?taxnode_id=202300592","Cepunavirus Cp1")</f>
        <v>Cepunavirus Cp1</v>
      </c>
      <c r="S1651" s="18" t="s">
        <v>30</v>
      </c>
      <c r="T1651" s="18" t="s">
        <v>9077</v>
      </c>
      <c r="U1651" s="18"/>
      <c r="V1651" s="18"/>
      <c r="W1651" s="18" t="s">
        <v>9078</v>
      </c>
      <c r="X1651" s="18" t="s">
        <v>42</v>
      </c>
      <c r="Y1651" s="18" t="s">
        <v>36</v>
      </c>
      <c r="Z1651" s="18" t="s">
        <v>697</v>
      </c>
      <c r="AA1651" s="21" t="str">
        <f>HYPERLINK("https://www.ncbi.nlm.nih.gov/nuccore/Z47794","NCBI Nucleotide")</f>
        <v>NCBI Nucleotide</v>
      </c>
    </row>
    <row r="1652" spans="1:27" x14ac:dyDescent="0.35">
      <c r="A1652">
        <v>1002399</v>
      </c>
      <c r="B1652">
        <v>1628</v>
      </c>
      <c r="C1652">
        <v>1</v>
      </c>
      <c r="D1652" s="17" t="s">
        <v>155</v>
      </c>
      <c r="E1652" s="17"/>
      <c r="F1652" s="17" t="s">
        <v>156</v>
      </c>
      <c r="G1652" s="17"/>
      <c r="H1652" s="17" t="s">
        <v>692</v>
      </c>
      <c r="I1652" s="17"/>
      <c r="J1652" s="17" t="s">
        <v>693</v>
      </c>
      <c r="K1652" s="17"/>
      <c r="L1652" s="17"/>
      <c r="M1652" s="17"/>
      <c r="N1652" s="17" t="s">
        <v>39398</v>
      </c>
      <c r="O1652" s="17"/>
      <c r="P1652" s="17" t="s">
        <v>9076</v>
      </c>
      <c r="Q1652" s="17"/>
      <c r="R1652" s="25" t="str">
        <f>HYPERLINK("https://ictv.global/taxonomy/taxondetails?taxnode_id=202300593","Cepunavirus Cp7")</f>
        <v>Cepunavirus Cp7</v>
      </c>
      <c r="S1652" s="18" t="s">
        <v>30</v>
      </c>
      <c r="T1652" s="18" t="s">
        <v>9079</v>
      </c>
      <c r="U1652" s="18"/>
      <c r="V1652" s="18"/>
      <c r="W1652" s="18" t="s">
        <v>9080</v>
      </c>
      <c r="X1652" s="18" t="s">
        <v>42</v>
      </c>
      <c r="Y1652" s="18" t="s">
        <v>36</v>
      </c>
      <c r="Z1652" s="18" t="s">
        <v>697</v>
      </c>
      <c r="AA1652" s="21" t="str">
        <f>HYPERLINK("https://www.ncbi.nlm.nih.gov/nuccore/LK392619","NCBI Nucleotide")</f>
        <v>NCBI Nucleotide</v>
      </c>
    </row>
    <row r="1653" spans="1:27" x14ac:dyDescent="0.35">
      <c r="A1653">
        <v>1002050</v>
      </c>
      <c r="B1653">
        <v>1629</v>
      </c>
      <c r="C1653">
        <v>1</v>
      </c>
      <c r="D1653" s="17" t="s">
        <v>155</v>
      </c>
      <c r="E1653" s="17"/>
      <c r="F1653" s="17" t="s">
        <v>156</v>
      </c>
      <c r="G1653" s="17"/>
      <c r="H1653" s="17" t="s">
        <v>692</v>
      </c>
      <c r="I1653" s="17"/>
      <c r="J1653" s="17" t="s">
        <v>693</v>
      </c>
      <c r="K1653" s="17"/>
      <c r="L1653" s="17"/>
      <c r="M1653" s="17"/>
      <c r="N1653" s="17" t="s">
        <v>8551</v>
      </c>
      <c r="O1653" s="17" t="s">
        <v>8555</v>
      </c>
      <c r="P1653" s="17" t="s">
        <v>8556</v>
      </c>
      <c r="Q1653" s="17"/>
      <c r="R1653" s="25" t="str">
        <f>HYPERLINK("https://ictv.global/taxonomy/taxondetails?taxnode_id=202312412","Abidjanvirus ZC01")</f>
        <v>Abidjanvirus ZC01</v>
      </c>
      <c r="S1653" s="18" t="s">
        <v>30</v>
      </c>
      <c r="T1653" s="18" t="s">
        <v>8557</v>
      </c>
      <c r="U1653" s="18"/>
      <c r="V1653" s="18"/>
      <c r="W1653" s="18" t="s">
        <v>8558</v>
      </c>
      <c r="X1653" s="18" t="s">
        <v>42</v>
      </c>
      <c r="Y1653" s="18" t="s">
        <v>36</v>
      </c>
      <c r="Z1653" s="18" t="s">
        <v>697</v>
      </c>
      <c r="AA1653" s="21" t="str">
        <f>HYPERLINK("https://www.ncbi.nlm.nih.gov/nuccore/KU356689","NCBI Nucleotide")</f>
        <v>NCBI Nucleotide</v>
      </c>
    </row>
    <row r="1654" spans="1:27" x14ac:dyDescent="0.35">
      <c r="A1654">
        <v>1002051</v>
      </c>
      <c r="B1654">
        <v>1630</v>
      </c>
      <c r="C1654">
        <v>1</v>
      </c>
      <c r="D1654" s="17" t="s">
        <v>155</v>
      </c>
      <c r="E1654" s="17"/>
      <c r="F1654" s="17" t="s">
        <v>156</v>
      </c>
      <c r="G1654" s="17"/>
      <c r="H1654" s="17" t="s">
        <v>692</v>
      </c>
      <c r="I1654" s="17"/>
      <c r="J1654" s="17" t="s">
        <v>693</v>
      </c>
      <c r="K1654" s="17"/>
      <c r="L1654" s="17"/>
      <c r="M1654" s="17"/>
      <c r="N1654" s="17" t="s">
        <v>8551</v>
      </c>
      <c r="O1654" s="17" t="s">
        <v>8555</v>
      </c>
      <c r="P1654" s="17" t="s">
        <v>8556</v>
      </c>
      <c r="Q1654" s="17"/>
      <c r="R1654" s="25" t="str">
        <f>HYPERLINK("https://ictv.global/taxonomy/taxondetails?taxnode_id=202300839","Pseudomonas virus Ab18")</f>
        <v>Pseudomonas virus Ab18</v>
      </c>
      <c r="S1654" s="18" t="s">
        <v>30</v>
      </c>
      <c r="T1654" s="18" t="s">
        <v>8559</v>
      </c>
      <c r="U1654" s="18"/>
      <c r="V1654" s="18"/>
      <c r="W1654" s="18" t="s">
        <v>8560</v>
      </c>
      <c r="X1654" s="18" t="s">
        <v>42</v>
      </c>
      <c r="Y1654" s="18" t="s">
        <v>36</v>
      </c>
      <c r="Z1654" s="18" t="s">
        <v>697</v>
      </c>
      <c r="AA1654" s="21" t="str">
        <f>HYPERLINK("https://www.ncbi.nlm.nih.gov/nuccore/LN610577","NCBI Nucleotide")</f>
        <v>NCBI Nucleotide</v>
      </c>
    </row>
    <row r="1655" spans="1:27" x14ac:dyDescent="0.35">
      <c r="A1655">
        <v>1002052</v>
      </c>
      <c r="B1655">
        <v>1631</v>
      </c>
      <c r="C1655">
        <v>1</v>
      </c>
      <c r="D1655" s="17" t="s">
        <v>155</v>
      </c>
      <c r="E1655" s="17"/>
      <c r="F1655" s="17" t="s">
        <v>156</v>
      </c>
      <c r="G1655" s="17"/>
      <c r="H1655" s="17" t="s">
        <v>692</v>
      </c>
      <c r="I1655" s="17"/>
      <c r="J1655" s="17" t="s">
        <v>693</v>
      </c>
      <c r="K1655" s="17"/>
      <c r="L1655" s="17"/>
      <c r="M1655" s="17"/>
      <c r="N1655" s="17" t="s">
        <v>8551</v>
      </c>
      <c r="O1655" s="17" t="s">
        <v>8555</v>
      </c>
      <c r="P1655" s="17" t="s">
        <v>8556</v>
      </c>
      <c r="Q1655" s="17"/>
      <c r="R1655" s="25" t="str">
        <f>HYPERLINK("https://ictv.global/taxonomy/taxondetails?taxnode_id=202300840","Pseudomonas virus Ab19")</f>
        <v>Pseudomonas virus Ab19</v>
      </c>
      <c r="S1655" s="18" t="s">
        <v>30</v>
      </c>
      <c r="T1655" s="18" t="s">
        <v>8561</v>
      </c>
      <c r="U1655" s="18"/>
      <c r="V1655" s="18"/>
      <c r="W1655" s="18" t="s">
        <v>8562</v>
      </c>
      <c r="X1655" s="18" t="s">
        <v>42</v>
      </c>
      <c r="Y1655" s="18" t="s">
        <v>36</v>
      </c>
      <c r="Z1655" s="18" t="s">
        <v>697</v>
      </c>
      <c r="AA1655" s="21" t="str">
        <f>HYPERLINK("https://www.ncbi.nlm.nih.gov/nuccore/LN610584","NCBI Nucleotide")</f>
        <v>NCBI Nucleotide</v>
      </c>
    </row>
    <row r="1656" spans="1:27" x14ac:dyDescent="0.35">
      <c r="A1656">
        <v>1002053</v>
      </c>
      <c r="B1656">
        <v>1632</v>
      </c>
      <c r="C1656">
        <v>1</v>
      </c>
      <c r="D1656" s="17" t="s">
        <v>155</v>
      </c>
      <c r="E1656" s="17"/>
      <c r="F1656" s="17" t="s">
        <v>156</v>
      </c>
      <c r="G1656" s="17"/>
      <c r="H1656" s="17" t="s">
        <v>692</v>
      </c>
      <c r="I1656" s="17"/>
      <c r="J1656" s="17" t="s">
        <v>693</v>
      </c>
      <c r="K1656" s="17"/>
      <c r="L1656" s="17"/>
      <c r="M1656" s="17"/>
      <c r="N1656" s="17" t="s">
        <v>8551</v>
      </c>
      <c r="O1656" s="17" t="s">
        <v>8555</v>
      </c>
      <c r="P1656" s="17" t="s">
        <v>8556</v>
      </c>
      <c r="Q1656" s="17"/>
      <c r="R1656" s="25" t="str">
        <f>HYPERLINK("https://ictv.global/taxonomy/taxondetails?taxnode_id=202300841","Pseudomonas virus PaMx11")</f>
        <v>Pseudomonas virus PaMx11</v>
      </c>
      <c r="S1656" s="18" t="s">
        <v>30</v>
      </c>
      <c r="T1656" s="18" t="s">
        <v>8563</v>
      </c>
      <c r="U1656" s="18"/>
      <c r="V1656" s="18"/>
      <c r="W1656" s="18" t="s">
        <v>8564</v>
      </c>
      <c r="X1656" s="18" t="s">
        <v>42</v>
      </c>
      <c r="Y1656" s="18" t="s">
        <v>36</v>
      </c>
      <c r="Z1656" s="18" t="s">
        <v>697</v>
      </c>
      <c r="AA1656" s="21" t="str">
        <f>HYPERLINK("https://www.ncbi.nlm.nih.gov/nuccore/JQ067087","NCBI Nucleotide")</f>
        <v>NCBI Nucleotide</v>
      </c>
    </row>
    <row r="1657" spans="1:27" x14ac:dyDescent="0.35">
      <c r="A1657">
        <v>1024581</v>
      </c>
      <c r="B1657">
        <v>1633</v>
      </c>
      <c r="C1657">
        <v>1</v>
      </c>
      <c r="D1657" s="17" t="s">
        <v>155</v>
      </c>
      <c r="E1657" s="17"/>
      <c r="F1657" s="17" t="s">
        <v>156</v>
      </c>
      <c r="G1657" s="17"/>
      <c r="H1657" s="17" t="s">
        <v>692</v>
      </c>
      <c r="I1657" s="17"/>
      <c r="J1657" s="17" t="s">
        <v>693</v>
      </c>
      <c r="K1657" s="17"/>
      <c r="L1657" s="17"/>
      <c r="M1657" s="17"/>
      <c r="N1657" s="17" t="s">
        <v>8551</v>
      </c>
      <c r="O1657" s="17" t="s">
        <v>8555</v>
      </c>
      <c r="P1657" s="17" t="s">
        <v>8565</v>
      </c>
      <c r="Q1657" s="17"/>
      <c r="R1657" s="25" t="str">
        <f>HYPERLINK("https://ictv.global/taxonomy/taxondetails?taxnode_id=202317943","Bosavirus Axl1")</f>
        <v>Bosavirus Axl1</v>
      </c>
      <c r="S1657" s="18" t="s">
        <v>30</v>
      </c>
      <c r="T1657" s="18" t="s">
        <v>39399</v>
      </c>
      <c r="U1657" s="18"/>
      <c r="V1657" s="18"/>
      <c r="W1657" s="18" t="s">
        <v>48147</v>
      </c>
      <c r="X1657" s="18" t="s">
        <v>42</v>
      </c>
      <c r="Y1657" s="18" t="s">
        <v>36</v>
      </c>
      <c r="Z1657" s="18" t="s">
        <v>697</v>
      </c>
      <c r="AA1657" s="21" t="str">
        <f>HYPERLINK("https://www.ncbi.nlm.nih.gov/nuccore/OL674541","NCBI Nucleotide")</f>
        <v>NCBI Nucleotide</v>
      </c>
    </row>
    <row r="1658" spans="1:27" x14ac:dyDescent="0.35">
      <c r="A1658">
        <v>1002054</v>
      </c>
      <c r="B1658">
        <v>1634</v>
      </c>
      <c r="C1658">
        <v>1</v>
      </c>
      <c r="D1658" s="17" t="s">
        <v>155</v>
      </c>
      <c r="E1658" s="17"/>
      <c r="F1658" s="17" t="s">
        <v>156</v>
      </c>
      <c r="G1658" s="17"/>
      <c r="H1658" s="17" t="s">
        <v>692</v>
      </c>
      <c r="I1658" s="17"/>
      <c r="J1658" s="17" t="s">
        <v>693</v>
      </c>
      <c r="K1658" s="17"/>
      <c r="L1658" s="17"/>
      <c r="M1658" s="17"/>
      <c r="N1658" s="17" t="s">
        <v>8551</v>
      </c>
      <c r="O1658" s="17" t="s">
        <v>8555</v>
      </c>
      <c r="P1658" s="17" t="s">
        <v>8565</v>
      </c>
      <c r="Q1658" s="17"/>
      <c r="R1658" s="25" t="str">
        <f>HYPERLINK("https://ictv.global/taxonomy/taxondetails?taxnode_id=202312416","Bosavirus bosa")</f>
        <v>Bosavirus bosa</v>
      </c>
      <c r="S1658" s="18" t="s">
        <v>30</v>
      </c>
      <c r="T1658" s="18" t="s">
        <v>8566</v>
      </c>
      <c r="U1658" s="18"/>
      <c r="V1658" s="18"/>
      <c r="W1658" s="18" t="s">
        <v>8567</v>
      </c>
      <c r="X1658" s="18" t="s">
        <v>42</v>
      </c>
      <c r="Y1658" s="18" t="s">
        <v>36</v>
      </c>
      <c r="Z1658" s="18" t="s">
        <v>697</v>
      </c>
      <c r="AA1658" s="21" t="str">
        <f>HYPERLINK("https://www.ncbi.nlm.nih.gov/nuccore/LR743532","NCBI Nucleotide")</f>
        <v>NCBI Nucleotide</v>
      </c>
    </row>
    <row r="1659" spans="1:27" x14ac:dyDescent="0.35">
      <c r="A1659">
        <v>1024583</v>
      </c>
      <c r="B1659">
        <v>1635</v>
      </c>
      <c r="C1659">
        <v>1</v>
      </c>
      <c r="D1659" s="17" t="s">
        <v>155</v>
      </c>
      <c r="E1659" s="17"/>
      <c r="F1659" s="17" t="s">
        <v>156</v>
      </c>
      <c r="G1659" s="17"/>
      <c r="H1659" s="17" t="s">
        <v>692</v>
      </c>
      <c r="I1659" s="17"/>
      <c r="J1659" s="17" t="s">
        <v>693</v>
      </c>
      <c r="K1659" s="17"/>
      <c r="L1659" s="17"/>
      <c r="M1659" s="17"/>
      <c r="N1659" s="17" t="s">
        <v>8551</v>
      </c>
      <c r="O1659" s="17" t="s">
        <v>8555</v>
      </c>
      <c r="P1659" s="17" t="s">
        <v>8565</v>
      </c>
      <c r="Q1659" s="17"/>
      <c r="R1659" s="25" t="str">
        <f>HYPERLINK("https://ictv.global/taxonomy/taxondetails?taxnode_id=202317944","Bosavirus Doca6")</f>
        <v>Bosavirus Doca6</v>
      </c>
      <c r="S1659" s="18" t="s">
        <v>30</v>
      </c>
      <c r="T1659" s="18" t="s">
        <v>39400</v>
      </c>
      <c r="U1659" s="18"/>
      <c r="V1659" s="18"/>
      <c r="W1659" s="18" t="s">
        <v>48148</v>
      </c>
      <c r="X1659" s="18" t="s">
        <v>42</v>
      </c>
      <c r="Y1659" s="18" t="s">
        <v>36</v>
      </c>
      <c r="Z1659" s="18" t="s">
        <v>697</v>
      </c>
      <c r="AA1659" s="21" t="str">
        <f>HYPERLINK("https://www.ncbi.nlm.nih.gov/nuccore/ON932080","NCBI Nucleotide")</f>
        <v>NCBI Nucleotide</v>
      </c>
    </row>
    <row r="1660" spans="1:27" x14ac:dyDescent="0.35">
      <c r="A1660">
        <v>1024582</v>
      </c>
      <c r="B1660">
        <v>1636</v>
      </c>
      <c r="C1660">
        <v>1</v>
      </c>
      <c r="D1660" s="17" t="s">
        <v>155</v>
      </c>
      <c r="E1660" s="17"/>
      <c r="F1660" s="17" t="s">
        <v>156</v>
      </c>
      <c r="G1660" s="17"/>
      <c r="H1660" s="17" t="s">
        <v>692</v>
      </c>
      <c r="I1660" s="17"/>
      <c r="J1660" s="17" t="s">
        <v>693</v>
      </c>
      <c r="K1660" s="17"/>
      <c r="L1660" s="17"/>
      <c r="M1660" s="17"/>
      <c r="N1660" s="17" t="s">
        <v>8551</v>
      </c>
      <c r="O1660" s="17" t="s">
        <v>8555</v>
      </c>
      <c r="P1660" s="17" t="s">
        <v>8565</v>
      </c>
      <c r="Q1660" s="17"/>
      <c r="R1660" s="25" t="str">
        <f>HYPERLINK("https://ictv.global/taxonomy/taxondetails?taxnode_id=202317945","Bosavirus Doca10")</f>
        <v>Bosavirus Doca10</v>
      </c>
      <c r="S1660" s="18" t="s">
        <v>30</v>
      </c>
      <c r="T1660" s="18" t="s">
        <v>39401</v>
      </c>
      <c r="U1660" s="18"/>
      <c r="V1660" s="18"/>
      <c r="W1660" s="18" t="s">
        <v>48149</v>
      </c>
      <c r="X1660" s="18" t="s">
        <v>42</v>
      </c>
      <c r="Y1660" s="18" t="s">
        <v>36</v>
      </c>
      <c r="Z1660" s="18" t="s">
        <v>697</v>
      </c>
      <c r="AA1660" s="21" t="str">
        <f>HYPERLINK("https://www.ncbi.nlm.nih.gov/nuccore/ON932084","NCBI Nucleotide")</f>
        <v>NCBI Nucleotide</v>
      </c>
    </row>
    <row r="1661" spans="1:27" x14ac:dyDescent="0.35">
      <c r="A1661">
        <v>1024584</v>
      </c>
      <c r="B1661">
        <v>1637</v>
      </c>
      <c r="C1661">
        <v>1</v>
      </c>
      <c r="D1661" s="17" t="s">
        <v>155</v>
      </c>
      <c r="E1661" s="17"/>
      <c r="F1661" s="17" t="s">
        <v>156</v>
      </c>
      <c r="G1661" s="17"/>
      <c r="H1661" s="17" t="s">
        <v>692</v>
      </c>
      <c r="I1661" s="17"/>
      <c r="J1661" s="17" t="s">
        <v>693</v>
      </c>
      <c r="K1661" s="17"/>
      <c r="L1661" s="17"/>
      <c r="M1661" s="17"/>
      <c r="N1661" s="17" t="s">
        <v>8551</v>
      </c>
      <c r="O1661" s="17" t="s">
        <v>8555</v>
      </c>
      <c r="P1661" s="17" t="s">
        <v>8565</v>
      </c>
      <c r="Q1661" s="17"/>
      <c r="R1661" s="25" t="str">
        <f>HYPERLINK("https://ictv.global/taxonomy/taxondetails?taxnode_id=202317941","Bosavirus FMYAK")</f>
        <v>Bosavirus FMYAK</v>
      </c>
      <c r="S1661" s="18" t="s">
        <v>30</v>
      </c>
      <c r="T1661" s="18" t="s">
        <v>39402</v>
      </c>
      <c r="U1661" s="18"/>
      <c r="V1661" s="18"/>
      <c r="W1661" s="18" t="s">
        <v>48150</v>
      </c>
      <c r="X1661" s="18" t="s">
        <v>42</v>
      </c>
      <c r="Y1661" s="18" t="s">
        <v>36</v>
      </c>
      <c r="Z1661" s="18" t="s">
        <v>697</v>
      </c>
      <c r="AA1661" s="21" t="str">
        <f>HYPERLINK("https://www.ncbi.nlm.nih.gov/nuccore/OK275492","NCBI Nucleotide")</f>
        <v>NCBI Nucleotide</v>
      </c>
    </row>
    <row r="1662" spans="1:27" x14ac:dyDescent="0.35">
      <c r="A1662">
        <v>1024585</v>
      </c>
      <c r="B1662">
        <v>1638</v>
      </c>
      <c r="C1662">
        <v>1</v>
      </c>
      <c r="D1662" s="17" t="s">
        <v>155</v>
      </c>
      <c r="E1662" s="17"/>
      <c r="F1662" s="17" t="s">
        <v>156</v>
      </c>
      <c r="G1662" s="17"/>
      <c r="H1662" s="17" t="s">
        <v>692</v>
      </c>
      <c r="I1662" s="17"/>
      <c r="J1662" s="17" t="s">
        <v>693</v>
      </c>
      <c r="K1662" s="17"/>
      <c r="L1662" s="17"/>
      <c r="M1662" s="17"/>
      <c r="N1662" s="17" t="s">
        <v>8551</v>
      </c>
      <c r="O1662" s="17" t="s">
        <v>8555</v>
      </c>
      <c r="P1662" s="17" t="s">
        <v>8565</v>
      </c>
      <c r="Q1662" s="17"/>
      <c r="R1662" s="25" t="str">
        <f>HYPERLINK("https://ictv.global/taxonomy/taxondetails?taxnode_id=202317942","Bosavirus Xp12")</f>
        <v>Bosavirus Xp12</v>
      </c>
      <c r="S1662" s="18" t="s">
        <v>30</v>
      </c>
      <c r="T1662" s="18" t="s">
        <v>39403</v>
      </c>
      <c r="U1662" s="18"/>
      <c r="V1662" s="18"/>
      <c r="W1662" s="18" t="s">
        <v>48151</v>
      </c>
      <c r="X1662" s="18" t="s">
        <v>42</v>
      </c>
      <c r="Y1662" s="18" t="s">
        <v>36</v>
      </c>
      <c r="Z1662" s="18" t="s">
        <v>697</v>
      </c>
      <c r="AA1662" s="21" t="str">
        <f>HYPERLINK("https://www.ncbi.nlm.nih.gov/nuccore/MT664984","NCBI Nucleotide")</f>
        <v>NCBI Nucleotide</v>
      </c>
    </row>
    <row r="1663" spans="1:27" x14ac:dyDescent="0.35">
      <c r="A1663">
        <v>1006228</v>
      </c>
      <c r="B1663">
        <v>1639</v>
      </c>
      <c r="C1663">
        <v>1</v>
      </c>
      <c r="D1663" s="17" t="s">
        <v>155</v>
      </c>
      <c r="E1663" s="17"/>
      <c r="F1663" s="17" t="s">
        <v>156</v>
      </c>
      <c r="G1663" s="17"/>
      <c r="H1663" s="17" t="s">
        <v>692</v>
      </c>
      <c r="I1663" s="17"/>
      <c r="J1663" s="17" t="s">
        <v>693</v>
      </c>
      <c r="K1663" s="17"/>
      <c r="L1663" s="17"/>
      <c r="M1663" s="17"/>
      <c r="N1663" s="17" t="s">
        <v>8551</v>
      </c>
      <c r="O1663" s="17" t="s">
        <v>8555</v>
      </c>
      <c r="P1663" s="17" t="s">
        <v>39404</v>
      </c>
      <c r="Q1663" s="17"/>
      <c r="R1663" s="25" t="str">
        <f>HYPERLINK("https://ictv.global/taxonomy/taxondetails?taxnode_id=202301176","Cinvestavvirus PaMx74")</f>
        <v>Cinvestavvirus PaMx74</v>
      </c>
      <c r="S1663" s="18" t="s">
        <v>30</v>
      </c>
      <c r="T1663" s="18" t="s">
        <v>3065</v>
      </c>
      <c r="U1663" s="18"/>
      <c r="V1663" s="18"/>
      <c r="W1663" s="18" t="s">
        <v>3066</v>
      </c>
      <c r="X1663" s="18" t="s">
        <v>154</v>
      </c>
      <c r="Y1663" s="18" t="s">
        <v>36</v>
      </c>
      <c r="Z1663" s="18" t="s">
        <v>697</v>
      </c>
      <c r="AA1663" s="21" t="str">
        <f>HYPERLINK("https://www.ncbi.nlm.nih.gov/nuccore/JQ067093","NCBI Nucleotide")</f>
        <v>NCBI Nucleotide</v>
      </c>
    </row>
    <row r="1664" spans="1:27" x14ac:dyDescent="0.35">
      <c r="A1664">
        <v>1024497</v>
      </c>
      <c r="B1664">
        <v>1640</v>
      </c>
      <c r="C1664">
        <v>1</v>
      </c>
      <c r="D1664" s="17" t="s">
        <v>155</v>
      </c>
      <c r="E1664" s="17"/>
      <c r="F1664" s="17" t="s">
        <v>156</v>
      </c>
      <c r="G1664" s="17"/>
      <c r="H1664" s="17" t="s">
        <v>692</v>
      </c>
      <c r="I1664" s="17"/>
      <c r="J1664" s="17" t="s">
        <v>693</v>
      </c>
      <c r="K1664" s="17"/>
      <c r="L1664" s="17"/>
      <c r="M1664" s="17"/>
      <c r="N1664" s="17" t="s">
        <v>8551</v>
      </c>
      <c r="O1664" s="17" t="s">
        <v>8555</v>
      </c>
      <c r="P1664" s="17" t="s">
        <v>39405</v>
      </c>
      <c r="Q1664" s="17"/>
      <c r="R1664" s="25" t="str">
        <f>HYPERLINK("https://ictv.global/taxonomy/taxondetails?taxnode_id=202317935","Docaquintavirus doca5")</f>
        <v>Docaquintavirus doca5</v>
      </c>
      <c r="S1664" s="18" t="s">
        <v>30</v>
      </c>
      <c r="T1664" s="18" t="s">
        <v>39406</v>
      </c>
      <c r="U1664" s="18"/>
      <c r="V1664" s="18"/>
      <c r="W1664" s="18" t="s">
        <v>48152</v>
      </c>
      <c r="X1664" s="18" t="s">
        <v>42</v>
      </c>
      <c r="Y1664" s="18" t="s">
        <v>36</v>
      </c>
      <c r="Z1664" s="18" t="s">
        <v>697</v>
      </c>
      <c r="AA1664" s="21" t="str">
        <f>HYPERLINK("https://www.ncbi.nlm.nih.gov/nuccore/ON932079","NCBI Nucleotide")</f>
        <v>NCBI Nucleotide</v>
      </c>
    </row>
    <row r="1665" spans="1:27" x14ac:dyDescent="0.35">
      <c r="A1665">
        <v>1024499</v>
      </c>
      <c r="B1665">
        <v>1641</v>
      </c>
      <c r="C1665">
        <v>1</v>
      </c>
      <c r="D1665" s="17" t="s">
        <v>155</v>
      </c>
      <c r="E1665" s="17"/>
      <c r="F1665" s="17" t="s">
        <v>156</v>
      </c>
      <c r="G1665" s="17"/>
      <c r="H1665" s="17" t="s">
        <v>692</v>
      </c>
      <c r="I1665" s="17"/>
      <c r="J1665" s="17" t="s">
        <v>693</v>
      </c>
      <c r="K1665" s="17"/>
      <c r="L1665" s="17"/>
      <c r="M1665" s="17"/>
      <c r="N1665" s="17" t="s">
        <v>8551</v>
      </c>
      <c r="O1665" s="17" t="s">
        <v>8555</v>
      </c>
      <c r="P1665" s="17" t="s">
        <v>39407</v>
      </c>
      <c r="Q1665" s="17"/>
      <c r="R1665" s="25" t="str">
        <f>HYPERLINK("https://ictv.global/taxonomy/taxondetails?taxnode_id=202317940","Donnerlittchenvirus donnerlittchenvirus")</f>
        <v>Donnerlittchenvirus donnerlittchenvirus</v>
      </c>
      <c r="S1665" s="18" t="s">
        <v>30</v>
      </c>
      <c r="T1665" s="18" t="s">
        <v>39408</v>
      </c>
      <c r="U1665" s="18"/>
      <c r="V1665" s="18"/>
      <c r="W1665" s="18" t="s">
        <v>48153</v>
      </c>
      <c r="X1665" s="18" t="s">
        <v>42</v>
      </c>
      <c r="Y1665" s="18" t="s">
        <v>36</v>
      </c>
      <c r="Z1665" s="18" t="s">
        <v>697</v>
      </c>
      <c r="AA1665" s="21" t="str">
        <f>HYPERLINK("https://www.ncbi.nlm.nih.gov/nuccore/ON529854","NCBI Nucleotide")</f>
        <v>NCBI Nucleotide</v>
      </c>
    </row>
    <row r="1666" spans="1:27" x14ac:dyDescent="0.35">
      <c r="A1666">
        <v>1024549</v>
      </c>
      <c r="B1666">
        <v>1642</v>
      </c>
      <c r="C1666">
        <v>1</v>
      </c>
      <c r="D1666" s="17" t="s">
        <v>155</v>
      </c>
      <c r="E1666" s="17"/>
      <c r="F1666" s="17" t="s">
        <v>156</v>
      </c>
      <c r="G1666" s="17"/>
      <c r="H1666" s="17" t="s">
        <v>692</v>
      </c>
      <c r="I1666" s="17"/>
      <c r="J1666" s="17" t="s">
        <v>693</v>
      </c>
      <c r="K1666" s="17"/>
      <c r="L1666" s="17"/>
      <c r="M1666" s="17"/>
      <c r="N1666" s="17" t="s">
        <v>8551</v>
      </c>
      <c r="O1666" s="17" t="s">
        <v>8555</v>
      </c>
      <c r="P1666" s="17" t="s">
        <v>39409</v>
      </c>
      <c r="Q1666" s="17"/>
      <c r="R1666" s="25" t="str">
        <f>HYPERLINK("https://ictv.global/taxonomy/taxondetails?taxnode_id=202317938","Elanorvirus elanor")</f>
        <v>Elanorvirus elanor</v>
      </c>
      <c r="S1666" s="18" t="s">
        <v>30</v>
      </c>
      <c r="T1666" s="18" t="s">
        <v>39410</v>
      </c>
      <c r="U1666" s="18"/>
      <c r="V1666" s="18"/>
      <c r="W1666" s="18" t="s">
        <v>48154</v>
      </c>
      <c r="X1666" s="18" t="s">
        <v>42</v>
      </c>
      <c r="Y1666" s="18" t="s">
        <v>36</v>
      </c>
      <c r="Z1666" s="18" t="s">
        <v>697</v>
      </c>
      <c r="AA1666" s="21" t="str">
        <f>HYPERLINK("https://www.ncbi.nlm.nih.gov/nuccore/ON189045","NCBI Nucleotide")</f>
        <v>NCBI Nucleotide</v>
      </c>
    </row>
    <row r="1667" spans="1:27" x14ac:dyDescent="0.35">
      <c r="A1667">
        <v>1002055</v>
      </c>
      <c r="B1667">
        <v>1643</v>
      </c>
      <c r="C1667">
        <v>1</v>
      </c>
      <c r="D1667" s="17" t="s">
        <v>155</v>
      </c>
      <c r="E1667" s="17"/>
      <c r="F1667" s="17" t="s">
        <v>156</v>
      </c>
      <c r="G1667" s="17"/>
      <c r="H1667" s="17" t="s">
        <v>692</v>
      </c>
      <c r="I1667" s="17"/>
      <c r="J1667" s="17" t="s">
        <v>693</v>
      </c>
      <c r="K1667" s="17"/>
      <c r="L1667" s="17"/>
      <c r="M1667" s="17"/>
      <c r="N1667" s="17" t="s">
        <v>8551</v>
      </c>
      <c r="O1667" s="17" t="s">
        <v>8555</v>
      </c>
      <c r="P1667" s="17" t="s">
        <v>8568</v>
      </c>
      <c r="Q1667" s="17"/>
      <c r="R1667" s="25" t="str">
        <f>HYPERLINK("https://ictv.global/taxonomy/taxondetails?taxnode_id=202312411","Epaquintavirus Epa5")</f>
        <v>Epaquintavirus Epa5</v>
      </c>
      <c r="S1667" s="18" t="s">
        <v>30</v>
      </c>
      <c r="T1667" s="18" t="s">
        <v>8569</v>
      </c>
      <c r="U1667" s="18"/>
      <c r="V1667" s="18"/>
      <c r="W1667" s="18" t="s">
        <v>8570</v>
      </c>
      <c r="X1667" s="18" t="s">
        <v>42</v>
      </c>
      <c r="Y1667" s="18" t="s">
        <v>36</v>
      </c>
      <c r="Z1667" s="18" t="s">
        <v>697</v>
      </c>
      <c r="AA1667" s="21" t="str">
        <f>HYPERLINK("https://www.ncbi.nlm.nih.gov/nuccore/MT108725","NCBI Nucleotide")</f>
        <v>NCBI Nucleotide</v>
      </c>
    </row>
    <row r="1668" spans="1:27" x14ac:dyDescent="0.35">
      <c r="A1668">
        <v>1024556</v>
      </c>
      <c r="B1668">
        <v>1644</v>
      </c>
      <c r="C1668">
        <v>1</v>
      </c>
      <c r="D1668" s="17" t="s">
        <v>155</v>
      </c>
      <c r="E1668" s="17"/>
      <c r="F1668" s="17" t="s">
        <v>156</v>
      </c>
      <c r="G1668" s="17"/>
      <c r="H1668" s="17" t="s">
        <v>692</v>
      </c>
      <c r="I1668" s="17"/>
      <c r="J1668" s="17" t="s">
        <v>693</v>
      </c>
      <c r="K1668" s="17"/>
      <c r="L1668" s="17"/>
      <c r="M1668" s="17"/>
      <c r="N1668" s="17" t="s">
        <v>8551</v>
      </c>
      <c r="O1668" s="17" t="s">
        <v>8555</v>
      </c>
      <c r="P1668" s="17" t="s">
        <v>39411</v>
      </c>
      <c r="Q1668" s="17"/>
      <c r="R1668" s="25" t="str">
        <f>HYPERLINK("https://ictv.global/taxonomy/taxondetails?taxnode_id=202317936","Ghuizhouvirus A1432")</f>
        <v>Ghuizhouvirus A1432</v>
      </c>
      <c r="S1668" s="18" t="s">
        <v>30</v>
      </c>
      <c r="T1668" s="18" t="s">
        <v>39412</v>
      </c>
      <c r="U1668" s="18"/>
      <c r="V1668" s="18"/>
      <c r="W1668" s="18" t="s">
        <v>48155</v>
      </c>
      <c r="X1668" s="18" t="s">
        <v>42</v>
      </c>
      <c r="Y1668" s="18" t="s">
        <v>36</v>
      </c>
      <c r="Z1668" s="18" t="s">
        <v>697</v>
      </c>
      <c r="AA1668" s="21" t="str">
        <f>HYPERLINK("https://www.ncbi.nlm.nih.gov/nuccore/ON005621","NCBI Nucleotide")</f>
        <v>NCBI Nucleotide</v>
      </c>
    </row>
    <row r="1669" spans="1:27" x14ac:dyDescent="0.35">
      <c r="A1669">
        <v>1024974</v>
      </c>
      <c r="B1669">
        <v>1645</v>
      </c>
      <c r="C1669">
        <v>1</v>
      </c>
      <c r="D1669" s="17" t="s">
        <v>155</v>
      </c>
      <c r="E1669" s="17"/>
      <c r="F1669" s="17" t="s">
        <v>156</v>
      </c>
      <c r="G1669" s="17"/>
      <c r="H1669" s="17" t="s">
        <v>692</v>
      </c>
      <c r="I1669" s="17"/>
      <c r="J1669" s="17" t="s">
        <v>693</v>
      </c>
      <c r="K1669" s="17"/>
      <c r="L1669" s="17"/>
      <c r="M1669" s="17"/>
      <c r="N1669" s="17" t="s">
        <v>8551</v>
      </c>
      <c r="O1669" s="17" t="s">
        <v>8555</v>
      </c>
      <c r="P1669" s="17" t="s">
        <v>39413</v>
      </c>
      <c r="Q1669" s="17"/>
      <c r="R1669" s="25" t="str">
        <f>HYPERLINK("https://ictv.global/taxonomy/taxondetails?taxnode_id=202317939","Mallosvirus mallos")</f>
        <v>Mallosvirus mallos</v>
      </c>
      <c r="S1669" s="18" t="s">
        <v>30</v>
      </c>
      <c r="T1669" s="18" t="s">
        <v>39414</v>
      </c>
      <c r="U1669" s="18"/>
      <c r="V1669" s="18"/>
      <c r="W1669" s="18" t="s">
        <v>48156</v>
      </c>
      <c r="X1669" s="18" t="s">
        <v>42</v>
      </c>
      <c r="Y1669" s="18" t="s">
        <v>36</v>
      </c>
      <c r="Z1669" s="18" t="s">
        <v>697</v>
      </c>
      <c r="AA1669" s="21" t="str">
        <f>HYPERLINK("https://www.ncbi.nlm.nih.gov/nuccore/ON189047","NCBI Nucleotide")</f>
        <v>NCBI Nucleotide</v>
      </c>
    </row>
    <row r="1670" spans="1:27" x14ac:dyDescent="0.35">
      <c r="A1670">
        <v>1024759</v>
      </c>
      <c r="B1670">
        <v>1646</v>
      </c>
      <c r="C1670">
        <v>1</v>
      </c>
      <c r="D1670" s="17" t="s">
        <v>155</v>
      </c>
      <c r="E1670" s="17"/>
      <c r="F1670" s="17" t="s">
        <v>156</v>
      </c>
      <c r="G1670" s="17"/>
      <c r="H1670" s="17" t="s">
        <v>692</v>
      </c>
      <c r="I1670" s="17"/>
      <c r="J1670" s="17" t="s">
        <v>693</v>
      </c>
      <c r="K1670" s="17"/>
      <c r="L1670" s="17"/>
      <c r="M1670" s="17"/>
      <c r="N1670" s="17" t="s">
        <v>8551</v>
      </c>
      <c r="O1670" s="17" t="s">
        <v>8555</v>
      </c>
      <c r="P1670" s="17" t="s">
        <v>3062</v>
      </c>
      <c r="Q1670" s="17"/>
      <c r="R1670" s="25" t="str">
        <f>HYPERLINK("https://ictv.global/taxonomy/taxondetails?taxnode_id=202317947","Pamexvirus AAT1")</f>
        <v>Pamexvirus AAT1</v>
      </c>
      <c r="S1670" s="18" t="s">
        <v>30</v>
      </c>
      <c r="T1670" s="18" t="s">
        <v>39415</v>
      </c>
      <c r="U1670" s="18"/>
      <c r="V1670" s="18"/>
      <c r="W1670" s="18" t="s">
        <v>48157</v>
      </c>
      <c r="X1670" s="18" t="s">
        <v>42</v>
      </c>
      <c r="Y1670" s="18" t="s">
        <v>36</v>
      </c>
      <c r="Z1670" s="18" t="s">
        <v>697</v>
      </c>
      <c r="AA1670" s="21" t="str">
        <f>HYPERLINK("https://www.ncbi.nlm.nih.gov/nuccore/KU204984","NCBI Nucleotide")</f>
        <v>NCBI Nucleotide</v>
      </c>
    </row>
    <row r="1671" spans="1:27" x14ac:dyDescent="0.35">
      <c r="A1671">
        <v>1006227</v>
      </c>
      <c r="B1671">
        <v>1647</v>
      </c>
      <c r="C1671">
        <v>1</v>
      </c>
      <c r="D1671" s="17" t="s">
        <v>155</v>
      </c>
      <c r="E1671" s="17"/>
      <c r="F1671" s="17" t="s">
        <v>156</v>
      </c>
      <c r="G1671" s="17"/>
      <c r="H1671" s="17" t="s">
        <v>692</v>
      </c>
      <c r="I1671" s="17"/>
      <c r="J1671" s="17" t="s">
        <v>693</v>
      </c>
      <c r="K1671" s="17"/>
      <c r="L1671" s="17"/>
      <c r="M1671" s="17"/>
      <c r="N1671" s="17" t="s">
        <v>8551</v>
      </c>
      <c r="O1671" s="17" t="s">
        <v>8555</v>
      </c>
      <c r="P1671" s="17" t="s">
        <v>3062</v>
      </c>
      <c r="Q1671" s="17"/>
      <c r="R1671" s="25" t="str">
        <f>HYPERLINK("https://ictv.global/taxonomy/taxondetails?taxnode_id=202301175","Pamexvirus PaMx28")</f>
        <v>Pamexvirus PaMx28</v>
      </c>
      <c r="S1671" s="18" t="s">
        <v>30</v>
      </c>
      <c r="T1671" s="18" t="s">
        <v>3063</v>
      </c>
      <c r="U1671" s="18"/>
      <c r="V1671" s="18"/>
      <c r="W1671" s="18" t="s">
        <v>3064</v>
      </c>
      <c r="X1671" s="18" t="s">
        <v>42</v>
      </c>
      <c r="Y1671" s="18" t="s">
        <v>36</v>
      </c>
      <c r="Z1671" s="18" t="s">
        <v>697</v>
      </c>
      <c r="AA1671" s="21" t="str">
        <f>HYPERLINK("https://www.ncbi.nlm.nih.gov/nuccore/JQ067089","NCBI Nucleotide")</f>
        <v>NCBI Nucleotide</v>
      </c>
    </row>
    <row r="1672" spans="1:27" x14ac:dyDescent="0.35">
      <c r="A1672">
        <v>1024760</v>
      </c>
      <c r="B1672">
        <v>1648</v>
      </c>
      <c r="C1672">
        <v>1</v>
      </c>
      <c r="D1672" s="17" t="s">
        <v>155</v>
      </c>
      <c r="E1672" s="17"/>
      <c r="F1672" s="17" t="s">
        <v>156</v>
      </c>
      <c r="G1672" s="17"/>
      <c r="H1672" s="17" t="s">
        <v>692</v>
      </c>
      <c r="I1672" s="17"/>
      <c r="J1672" s="17" t="s">
        <v>693</v>
      </c>
      <c r="K1672" s="17"/>
      <c r="L1672" s="17"/>
      <c r="M1672" s="17"/>
      <c r="N1672" s="17" t="s">
        <v>8551</v>
      </c>
      <c r="O1672" s="17" t="s">
        <v>8555</v>
      </c>
      <c r="P1672" s="17" t="s">
        <v>3062</v>
      </c>
      <c r="Q1672" s="17"/>
      <c r="R1672" s="25" t="str">
        <f>HYPERLINK("https://ictv.global/taxonomy/taxondetails?taxnode_id=202317948","Pamexvirus phiH1")</f>
        <v>Pamexvirus phiH1</v>
      </c>
      <c r="S1672" s="18" t="s">
        <v>30</v>
      </c>
      <c r="T1672" s="18" t="s">
        <v>39416</v>
      </c>
      <c r="U1672" s="18"/>
      <c r="V1672" s="18"/>
      <c r="W1672" s="18" t="s">
        <v>48158</v>
      </c>
      <c r="X1672" s="18" t="s">
        <v>42</v>
      </c>
      <c r="Y1672" s="18" t="s">
        <v>36</v>
      </c>
      <c r="Z1672" s="18" t="s">
        <v>697</v>
      </c>
      <c r="AA1672" s="21" t="str">
        <f>HYPERLINK("https://www.ncbi.nlm.nih.gov/nuccore/OP380269","NCBI Nucleotide")</f>
        <v>NCBI Nucleotide</v>
      </c>
    </row>
    <row r="1673" spans="1:27" x14ac:dyDescent="0.35">
      <c r="A1673">
        <v>1024761</v>
      </c>
      <c r="B1673">
        <v>1649</v>
      </c>
      <c r="C1673">
        <v>1</v>
      </c>
      <c r="D1673" s="17" t="s">
        <v>155</v>
      </c>
      <c r="E1673" s="17"/>
      <c r="F1673" s="17" t="s">
        <v>156</v>
      </c>
      <c r="G1673" s="17"/>
      <c r="H1673" s="17" t="s">
        <v>692</v>
      </c>
      <c r="I1673" s="17"/>
      <c r="J1673" s="17" t="s">
        <v>693</v>
      </c>
      <c r="K1673" s="17"/>
      <c r="L1673" s="17"/>
      <c r="M1673" s="17"/>
      <c r="N1673" s="17" t="s">
        <v>8551</v>
      </c>
      <c r="O1673" s="17" t="s">
        <v>8555</v>
      </c>
      <c r="P1673" s="17" t="s">
        <v>3062</v>
      </c>
      <c r="Q1673" s="17"/>
      <c r="R1673" s="25" t="str">
        <f>HYPERLINK("https://ictv.global/taxonomy/taxondetails?taxnode_id=202317946","Pamexvirus phiH2")</f>
        <v>Pamexvirus phiH2</v>
      </c>
      <c r="S1673" s="18" t="s">
        <v>30</v>
      </c>
      <c r="T1673" s="18" t="s">
        <v>39417</v>
      </c>
      <c r="U1673" s="18"/>
      <c r="V1673" s="18"/>
      <c r="W1673" s="18" t="s">
        <v>48159</v>
      </c>
      <c r="X1673" s="18" t="s">
        <v>42</v>
      </c>
      <c r="Y1673" s="18" t="s">
        <v>36</v>
      </c>
      <c r="Z1673" s="18" t="s">
        <v>697</v>
      </c>
      <c r="AA1673" s="21" t="str">
        <f>HYPERLINK("https://www.ncbi.nlm.nih.gov/nuccore/OP361299","NCBI Nucleotide")</f>
        <v>NCBI Nucleotide</v>
      </c>
    </row>
    <row r="1674" spans="1:27" x14ac:dyDescent="0.35">
      <c r="A1674">
        <v>1025277</v>
      </c>
      <c r="B1674">
        <v>1650</v>
      </c>
      <c r="C1674">
        <v>1</v>
      </c>
      <c r="D1674" s="17" t="s">
        <v>155</v>
      </c>
      <c r="E1674" s="17"/>
      <c r="F1674" s="17" t="s">
        <v>156</v>
      </c>
      <c r="G1674" s="17"/>
      <c r="H1674" s="17" t="s">
        <v>692</v>
      </c>
      <c r="I1674" s="17"/>
      <c r="J1674" s="17" t="s">
        <v>693</v>
      </c>
      <c r="K1674" s="17"/>
      <c r="L1674" s="17"/>
      <c r="M1674" s="17"/>
      <c r="N1674" s="17" t="s">
        <v>8551</v>
      </c>
      <c r="O1674" s="17" t="s">
        <v>8555</v>
      </c>
      <c r="P1674" s="17" t="s">
        <v>8571</v>
      </c>
      <c r="Q1674" s="17"/>
      <c r="R1674" s="25" t="str">
        <f>HYPERLINK("https://ictv.global/taxonomy/taxondetails?taxnode_id=202317937","Xooduovirus QDWS359")</f>
        <v>Xooduovirus QDWS359</v>
      </c>
      <c r="S1674" s="18" t="s">
        <v>30</v>
      </c>
      <c r="T1674" s="18" t="s">
        <v>39418</v>
      </c>
      <c r="U1674" s="18"/>
      <c r="V1674" s="18"/>
      <c r="W1674" s="18" t="s">
        <v>48160</v>
      </c>
      <c r="X1674" s="18" t="s">
        <v>42</v>
      </c>
      <c r="Y1674" s="18" t="s">
        <v>36</v>
      </c>
      <c r="Z1674" s="18" t="s">
        <v>697</v>
      </c>
      <c r="AA1674" s="21" t="str">
        <f>HYPERLINK("https://www.ncbi.nlm.nih.gov/nuccore/ON331942","NCBI Nucleotide")</f>
        <v>NCBI Nucleotide</v>
      </c>
    </row>
    <row r="1675" spans="1:27" x14ac:dyDescent="0.35">
      <c r="A1675">
        <v>1002056</v>
      </c>
      <c r="B1675">
        <v>1651</v>
      </c>
      <c r="C1675">
        <v>1</v>
      </c>
      <c r="D1675" s="17" t="s">
        <v>155</v>
      </c>
      <c r="E1675" s="17"/>
      <c r="F1675" s="17" t="s">
        <v>156</v>
      </c>
      <c r="G1675" s="17"/>
      <c r="H1675" s="17" t="s">
        <v>692</v>
      </c>
      <c r="I1675" s="17"/>
      <c r="J1675" s="17" t="s">
        <v>693</v>
      </c>
      <c r="K1675" s="17"/>
      <c r="L1675" s="17"/>
      <c r="M1675" s="17"/>
      <c r="N1675" s="17" t="s">
        <v>8551</v>
      </c>
      <c r="O1675" s="17" t="s">
        <v>8555</v>
      </c>
      <c r="P1675" s="17" t="s">
        <v>8571</v>
      </c>
      <c r="Q1675" s="17"/>
      <c r="R1675" s="25" t="str">
        <f>HYPERLINK("https://ictv.global/taxonomy/taxondetails?taxnode_id=202312414","Xooduovirus Xoosp2")</f>
        <v>Xooduovirus Xoosp2</v>
      </c>
      <c r="S1675" s="18" t="s">
        <v>30</v>
      </c>
      <c r="T1675" s="18" t="s">
        <v>8572</v>
      </c>
      <c r="U1675" s="18"/>
      <c r="V1675" s="18"/>
      <c r="W1675" s="18" t="s">
        <v>8573</v>
      </c>
      <c r="X1675" s="18" t="s">
        <v>42</v>
      </c>
      <c r="Y1675" s="18" t="s">
        <v>36</v>
      </c>
      <c r="Z1675" s="18" t="s">
        <v>697</v>
      </c>
      <c r="AA1675" s="21" t="str">
        <f>HYPERLINK("https://www.ncbi.nlm.nih.gov/nuccore/KX241618","NCBI Nucleotide")</f>
        <v>NCBI Nucleotide</v>
      </c>
    </row>
    <row r="1676" spans="1:27" x14ac:dyDescent="0.35">
      <c r="A1676">
        <v>1002057</v>
      </c>
      <c r="B1676">
        <v>1652</v>
      </c>
      <c r="C1676">
        <v>1</v>
      </c>
      <c r="D1676" s="17" t="s">
        <v>155</v>
      </c>
      <c r="E1676" s="17"/>
      <c r="F1676" s="17" t="s">
        <v>156</v>
      </c>
      <c r="G1676" s="17"/>
      <c r="H1676" s="17" t="s">
        <v>692</v>
      </c>
      <c r="I1676" s="17"/>
      <c r="J1676" s="17" t="s">
        <v>693</v>
      </c>
      <c r="K1676" s="17"/>
      <c r="L1676" s="17"/>
      <c r="M1676" s="17"/>
      <c r="N1676" s="17" t="s">
        <v>8551</v>
      </c>
      <c r="O1676" s="17" t="s">
        <v>8574</v>
      </c>
      <c r="P1676" s="17" t="s">
        <v>8575</v>
      </c>
      <c r="Q1676" s="17"/>
      <c r="R1676" s="25" t="str">
        <f>HYPERLINK("https://ictv.global/taxonomy/taxondetails?taxnode_id=202308070","Bordetella virus CN1")</f>
        <v>Bordetella virus CN1</v>
      </c>
      <c r="S1676" s="18" t="s">
        <v>30</v>
      </c>
      <c r="T1676" s="18" t="s">
        <v>8576</v>
      </c>
      <c r="U1676" s="18"/>
      <c r="V1676" s="18"/>
      <c r="W1676" s="18" t="s">
        <v>8577</v>
      </c>
      <c r="X1676" s="18" t="s">
        <v>42</v>
      </c>
      <c r="Y1676" s="18" t="s">
        <v>36</v>
      </c>
      <c r="Z1676" s="18" t="s">
        <v>697</v>
      </c>
      <c r="AA1676" s="21" t="str">
        <f>HYPERLINK("https://www.ncbi.nlm.nih.gov/nuccore/KY000218","NCBI Nucleotide")</f>
        <v>NCBI Nucleotide</v>
      </c>
    </row>
    <row r="1677" spans="1:27" x14ac:dyDescent="0.35">
      <c r="A1677">
        <v>1002058</v>
      </c>
      <c r="B1677">
        <v>1653</v>
      </c>
      <c r="C1677">
        <v>1</v>
      </c>
      <c r="D1677" s="17" t="s">
        <v>155</v>
      </c>
      <c r="E1677" s="17"/>
      <c r="F1677" s="17" t="s">
        <v>156</v>
      </c>
      <c r="G1677" s="17"/>
      <c r="H1677" s="17" t="s">
        <v>692</v>
      </c>
      <c r="I1677" s="17"/>
      <c r="J1677" s="17" t="s">
        <v>693</v>
      </c>
      <c r="K1677" s="17"/>
      <c r="L1677" s="17"/>
      <c r="M1677" s="17"/>
      <c r="N1677" s="17" t="s">
        <v>8551</v>
      </c>
      <c r="O1677" s="17" t="s">
        <v>8574</v>
      </c>
      <c r="P1677" s="17" t="s">
        <v>8575</v>
      </c>
      <c r="Q1677" s="17"/>
      <c r="R1677" s="25" t="str">
        <f>HYPERLINK("https://ictv.global/taxonomy/taxondetails?taxnode_id=202308067","Bordetella virus CN2")</f>
        <v>Bordetella virus CN2</v>
      </c>
      <c r="S1677" s="18" t="s">
        <v>30</v>
      </c>
      <c r="T1677" s="18" t="s">
        <v>8578</v>
      </c>
      <c r="U1677" s="18"/>
      <c r="V1677" s="18"/>
      <c r="W1677" s="18" t="s">
        <v>8579</v>
      </c>
      <c r="X1677" s="18" t="s">
        <v>42</v>
      </c>
      <c r="Y1677" s="18" t="s">
        <v>36</v>
      </c>
      <c r="Z1677" s="18" t="s">
        <v>697</v>
      </c>
      <c r="AA1677" s="21" t="str">
        <f>HYPERLINK("https://www.ncbi.nlm.nih.gov/nuccore/KY000219","NCBI Nucleotide")</f>
        <v>NCBI Nucleotide</v>
      </c>
    </row>
    <row r="1678" spans="1:27" x14ac:dyDescent="0.35">
      <c r="A1678">
        <v>1002059</v>
      </c>
      <c r="B1678">
        <v>1654</v>
      </c>
      <c r="C1678">
        <v>1</v>
      </c>
      <c r="D1678" s="17" t="s">
        <v>155</v>
      </c>
      <c r="E1678" s="17"/>
      <c r="F1678" s="17" t="s">
        <v>156</v>
      </c>
      <c r="G1678" s="17"/>
      <c r="H1678" s="17" t="s">
        <v>692</v>
      </c>
      <c r="I1678" s="17"/>
      <c r="J1678" s="17" t="s">
        <v>693</v>
      </c>
      <c r="K1678" s="17"/>
      <c r="L1678" s="17"/>
      <c r="M1678" s="17"/>
      <c r="N1678" s="17" t="s">
        <v>8551</v>
      </c>
      <c r="O1678" s="17" t="s">
        <v>8574</v>
      </c>
      <c r="P1678" s="17" t="s">
        <v>8575</v>
      </c>
      <c r="Q1678" s="17"/>
      <c r="R1678" s="25" t="str">
        <f>HYPERLINK("https://ictv.global/taxonomy/taxondetails?taxnode_id=202308068","Bordetella virus FP1")</f>
        <v>Bordetella virus FP1</v>
      </c>
      <c r="S1678" s="18" t="s">
        <v>30</v>
      </c>
      <c r="T1678" s="18" t="s">
        <v>8580</v>
      </c>
      <c r="U1678" s="18"/>
      <c r="V1678" s="18"/>
      <c r="W1678" s="18" t="s">
        <v>8581</v>
      </c>
      <c r="X1678" s="18" t="s">
        <v>42</v>
      </c>
      <c r="Y1678" s="18" t="s">
        <v>36</v>
      </c>
      <c r="Z1678" s="18" t="s">
        <v>697</v>
      </c>
      <c r="AA1678" s="21" t="str">
        <f>HYPERLINK("https://www.ncbi.nlm.nih.gov/nuccore/KY000220","NCBI Nucleotide")</f>
        <v>NCBI Nucleotide</v>
      </c>
    </row>
    <row r="1679" spans="1:27" x14ac:dyDescent="0.35">
      <c r="A1679">
        <v>1002060</v>
      </c>
      <c r="B1679">
        <v>1655</v>
      </c>
      <c r="C1679">
        <v>1</v>
      </c>
      <c r="D1679" s="17" t="s">
        <v>155</v>
      </c>
      <c r="E1679" s="17"/>
      <c r="F1679" s="17" t="s">
        <v>156</v>
      </c>
      <c r="G1679" s="17"/>
      <c r="H1679" s="17" t="s">
        <v>692</v>
      </c>
      <c r="I1679" s="17"/>
      <c r="J1679" s="17" t="s">
        <v>693</v>
      </c>
      <c r="K1679" s="17"/>
      <c r="L1679" s="17"/>
      <c r="M1679" s="17"/>
      <c r="N1679" s="17" t="s">
        <v>8551</v>
      </c>
      <c r="O1679" s="17" t="s">
        <v>8574</v>
      </c>
      <c r="P1679" s="17" t="s">
        <v>8575</v>
      </c>
      <c r="Q1679" s="17"/>
      <c r="R1679" s="25" t="str">
        <f>HYPERLINK("https://ictv.global/taxonomy/taxondetails?taxnode_id=202308069","Bordetella virus MW2")</f>
        <v>Bordetella virus MW2</v>
      </c>
      <c r="S1679" s="18" t="s">
        <v>30</v>
      </c>
      <c r="T1679" s="18" t="s">
        <v>8582</v>
      </c>
      <c r="U1679" s="18"/>
      <c r="V1679" s="18"/>
      <c r="W1679" s="18" t="s">
        <v>8583</v>
      </c>
      <c r="X1679" s="18" t="s">
        <v>42</v>
      </c>
      <c r="Y1679" s="18" t="s">
        <v>36</v>
      </c>
      <c r="Z1679" s="18" t="s">
        <v>697</v>
      </c>
      <c r="AA1679" s="21" t="str">
        <f>HYPERLINK("https://www.ncbi.nlm.nih.gov/nuccore/KY000221","NCBI Nucleotide")</f>
        <v>NCBI Nucleotide</v>
      </c>
    </row>
    <row r="1680" spans="1:27" x14ac:dyDescent="0.35">
      <c r="A1680">
        <v>1002061</v>
      </c>
      <c r="B1680">
        <v>1656</v>
      </c>
      <c r="C1680">
        <v>1</v>
      </c>
      <c r="D1680" s="17" t="s">
        <v>155</v>
      </c>
      <c r="E1680" s="17"/>
      <c r="F1680" s="17" t="s">
        <v>156</v>
      </c>
      <c r="G1680" s="17"/>
      <c r="H1680" s="17" t="s">
        <v>692</v>
      </c>
      <c r="I1680" s="17"/>
      <c r="J1680" s="17" t="s">
        <v>693</v>
      </c>
      <c r="K1680" s="17"/>
      <c r="L1680" s="17"/>
      <c r="M1680" s="17"/>
      <c r="N1680" s="17" t="s">
        <v>8551</v>
      </c>
      <c r="O1680" s="17" t="s">
        <v>8574</v>
      </c>
      <c r="P1680" s="17" t="s">
        <v>8584</v>
      </c>
      <c r="Q1680" s="17"/>
      <c r="R1680" s="25" t="str">
        <f>HYPERLINK("https://ictv.global/taxonomy/taxondetails?taxnode_id=202301387","Pseudomonas virus LKO4")</f>
        <v>Pseudomonas virus LKO4</v>
      </c>
      <c r="S1680" s="18" t="s">
        <v>30</v>
      </c>
      <c r="T1680" s="18" t="s">
        <v>8585</v>
      </c>
      <c r="U1680" s="18"/>
      <c r="V1680" s="18"/>
      <c r="W1680" s="18" t="s">
        <v>8586</v>
      </c>
      <c r="X1680" s="18" t="s">
        <v>42</v>
      </c>
      <c r="Y1680" s="18" t="s">
        <v>36</v>
      </c>
      <c r="Z1680" s="18" t="s">
        <v>697</v>
      </c>
      <c r="AA1680" s="21" t="str">
        <f>HYPERLINK("https://www.ncbi.nlm.nih.gov/nuccore/KC758116","NCBI Nucleotide")</f>
        <v>NCBI Nucleotide</v>
      </c>
    </row>
    <row r="1681" spans="1:27" x14ac:dyDescent="0.35">
      <c r="A1681">
        <v>1002062</v>
      </c>
      <c r="B1681">
        <v>1657</v>
      </c>
      <c r="C1681">
        <v>1</v>
      </c>
      <c r="D1681" s="17" t="s">
        <v>155</v>
      </c>
      <c r="E1681" s="17"/>
      <c r="F1681" s="17" t="s">
        <v>156</v>
      </c>
      <c r="G1681" s="17"/>
      <c r="H1681" s="17" t="s">
        <v>692</v>
      </c>
      <c r="I1681" s="17"/>
      <c r="J1681" s="17" t="s">
        <v>693</v>
      </c>
      <c r="K1681" s="17"/>
      <c r="L1681" s="17"/>
      <c r="M1681" s="17"/>
      <c r="N1681" s="17" t="s">
        <v>8551</v>
      </c>
      <c r="O1681" s="17" t="s">
        <v>8574</v>
      </c>
      <c r="P1681" s="17" t="s">
        <v>8584</v>
      </c>
      <c r="Q1681" s="17"/>
      <c r="R1681" s="25" t="str">
        <f>HYPERLINK("https://ictv.global/taxonomy/taxondetails?taxnode_id=202301388","Pseudomonas virus M6")</f>
        <v>Pseudomonas virus M6</v>
      </c>
      <c r="S1681" s="18" t="s">
        <v>30</v>
      </c>
      <c r="T1681" s="18" t="s">
        <v>8587</v>
      </c>
      <c r="U1681" s="18"/>
      <c r="V1681" s="18"/>
      <c r="W1681" s="18" t="s">
        <v>8588</v>
      </c>
      <c r="X1681" s="18" t="s">
        <v>42</v>
      </c>
      <c r="Y1681" s="18" t="s">
        <v>36</v>
      </c>
      <c r="Z1681" s="18" t="s">
        <v>697</v>
      </c>
      <c r="AA1681" s="21" t="str">
        <f>HYPERLINK("https://www.ncbi.nlm.nih.gov/nuccore/DQ163916","NCBI Nucleotide")</f>
        <v>NCBI Nucleotide</v>
      </c>
    </row>
    <row r="1682" spans="1:27" x14ac:dyDescent="0.35">
      <c r="A1682">
        <v>1002063</v>
      </c>
      <c r="B1682">
        <v>1658</v>
      </c>
      <c r="C1682">
        <v>1</v>
      </c>
      <c r="D1682" s="17" t="s">
        <v>155</v>
      </c>
      <c r="E1682" s="17"/>
      <c r="F1682" s="17" t="s">
        <v>156</v>
      </c>
      <c r="G1682" s="17"/>
      <c r="H1682" s="17" t="s">
        <v>692</v>
      </c>
      <c r="I1682" s="17"/>
      <c r="J1682" s="17" t="s">
        <v>693</v>
      </c>
      <c r="K1682" s="17"/>
      <c r="L1682" s="17"/>
      <c r="M1682" s="17"/>
      <c r="N1682" s="17" t="s">
        <v>8551</v>
      </c>
      <c r="O1682" s="17" t="s">
        <v>8574</v>
      </c>
      <c r="P1682" s="17" t="s">
        <v>8584</v>
      </c>
      <c r="Q1682" s="17"/>
      <c r="R1682" s="25" t="str">
        <f>HYPERLINK("https://ictv.global/taxonomy/taxondetails?taxnode_id=202301389","Pseudomonas virus MP1412")</f>
        <v>Pseudomonas virus MP1412</v>
      </c>
      <c r="S1682" s="18" t="s">
        <v>30</v>
      </c>
      <c r="T1682" s="18" t="s">
        <v>8589</v>
      </c>
      <c r="U1682" s="18"/>
      <c r="V1682" s="18"/>
      <c r="W1682" s="18" t="s">
        <v>8590</v>
      </c>
      <c r="X1682" s="18" t="s">
        <v>42</v>
      </c>
      <c r="Y1682" s="18" t="s">
        <v>36</v>
      </c>
      <c r="Z1682" s="18" t="s">
        <v>697</v>
      </c>
      <c r="AA1682" s="21" t="str">
        <f>HYPERLINK("https://www.ncbi.nlm.nih.gov/nuccore/JX131330","NCBI Nucleotide")</f>
        <v>NCBI Nucleotide</v>
      </c>
    </row>
    <row r="1683" spans="1:27" x14ac:dyDescent="0.35">
      <c r="A1683">
        <v>1002064</v>
      </c>
      <c r="B1683">
        <v>1659</v>
      </c>
      <c r="C1683">
        <v>1</v>
      </c>
      <c r="D1683" s="17" t="s">
        <v>155</v>
      </c>
      <c r="E1683" s="17"/>
      <c r="F1683" s="17" t="s">
        <v>156</v>
      </c>
      <c r="G1683" s="17"/>
      <c r="H1683" s="17" t="s">
        <v>692</v>
      </c>
      <c r="I1683" s="17"/>
      <c r="J1683" s="17" t="s">
        <v>693</v>
      </c>
      <c r="K1683" s="17"/>
      <c r="L1683" s="17"/>
      <c r="M1683" s="17"/>
      <c r="N1683" s="17" t="s">
        <v>8551</v>
      </c>
      <c r="O1683" s="17" t="s">
        <v>8574</v>
      </c>
      <c r="P1683" s="17" t="s">
        <v>8584</v>
      </c>
      <c r="Q1683" s="17"/>
      <c r="R1683" s="25" t="str">
        <f>HYPERLINK("https://ictv.global/taxonomy/taxondetails?taxnode_id=202301390","Pseudomonas virus PAE1")</f>
        <v>Pseudomonas virus PAE1</v>
      </c>
      <c r="S1683" s="18" t="s">
        <v>30</v>
      </c>
      <c r="T1683" s="18" t="s">
        <v>8591</v>
      </c>
      <c r="U1683" s="18"/>
      <c r="V1683" s="18"/>
      <c r="W1683" s="18" t="s">
        <v>8592</v>
      </c>
      <c r="X1683" s="18" t="s">
        <v>42</v>
      </c>
      <c r="Y1683" s="18" t="s">
        <v>36</v>
      </c>
      <c r="Z1683" s="18" t="s">
        <v>697</v>
      </c>
      <c r="AA1683" s="21" t="str">
        <f>HYPERLINK("https://www.ncbi.nlm.nih.gov/nuccore/KT734862","NCBI Nucleotide")</f>
        <v>NCBI Nucleotide</v>
      </c>
    </row>
    <row r="1684" spans="1:27" x14ac:dyDescent="0.35">
      <c r="A1684">
        <v>1002065</v>
      </c>
      <c r="B1684">
        <v>1660</v>
      </c>
      <c r="C1684">
        <v>1</v>
      </c>
      <c r="D1684" s="17" t="s">
        <v>155</v>
      </c>
      <c r="E1684" s="17"/>
      <c r="F1684" s="17" t="s">
        <v>156</v>
      </c>
      <c r="G1684" s="17"/>
      <c r="H1684" s="17" t="s">
        <v>692</v>
      </c>
      <c r="I1684" s="17"/>
      <c r="J1684" s="17" t="s">
        <v>693</v>
      </c>
      <c r="K1684" s="17"/>
      <c r="L1684" s="17"/>
      <c r="M1684" s="17"/>
      <c r="N1684" s="17" t="s">
        <v>8551</v>
      </c>
      <c r="O1684" s="17" t="s">
        <v>8574</v>
      </c>
      <c r="P1684" s="17" t="s">
        <v>8584</v>
      </c>
      <c r="Q1684" s="17"/>
      <c r="R1684" s="25" t="str">
        <f>HYPERLINK("https://ictv.global/taxonomy/taxondetails?taxnode_id=202301391","Pseudomonas virus Yua")</f>
        <v>Pseudomonas virus Yua</v>
      </c>
      <c r="S1684" s="18" t="s">
        <v>30</v>
      </c>
      <c r="T1684" s="18" t="s">
        <v>8593</v>
      </c>
      <c r="U1684" s="18"/>
      <c r="V1684" s="18"/>
      <c r="W1684" s="18" t="s">
        <v>8594</v>
      </c>
      <c r="X1684" s="18" t="s">
        <v>42</v>
      </c>
      <c r="Y1684" s="18" t="s">
        <v>36</v>
      </c>
      <c r="Z1684" s="18" t="s">
        <v>697</v>
      </c>
      <c r="AA1684" s="21" t="str">
        <f>HYPERLINK("https://www.ncbi.nlm.nih.gov/nuccore/AM749441","NCBI Nucleotide")</f>
        <v>NCBI Nucleotide</v>
      </c>
    </row>
    <row r="1685" spans="1:27" x14ac:dyDescent="0.35">
      <c r="A1685">
        <v>1002066</v>
      </c>
      <c r="B1685">
        <v>1661</v>
      </c>
      <c r="C1685">
        <v>1</v>
      </c>
      <c r="D1685" s="17" t="s">
        <v>155</v>
      </c>
      <c r="E1685" s="17"/>
      <c r="F1685" s="17" t="s">
        <v>156</v>
      </c>
      <c r="G1685" s="17"/>
      <c r="H1685" s="17" t="s">
        <v>692</v>
      </c>
      <c r="I1685" s="17"/>
      <c r="J1685" s="17" t="s">
        <v>693</v>
      </c>
      <c r="K1685" s="17"/>
      <c r="L1685" s="17"/>
      <c r="M1685" s="17"/>
      <c r="N1685" s="17" t="s">
        <v>8551</v>
      </c>
      <c r="O1685" s="17"/>
      <c r="P1685" s="17" t="s">
        <v>8552</v>
      </c>
      <c r="Q1685" s="17"/>
      <c r="R1685" s="25" t="str">
        <f>HYPERLINK("https://ictv.global/taxonomy/taxondetails?taxnode_id=202301386","Keylargovirus JL001")</f>
        <v>Keylargovirus JL001</v>
      </c>
      <c r="S1685" s="18" t="s">
        <v>30</v>
      </c>
      <c r="T1685" s="18" t="s">
        <v>8553</v>
      </c>
      <c r="U1685" s="18"/>
      <c r="V1685" s="18"/>
      <c r="W1685" s="18" t="s">
        <v>8554</v>
      </c>
      <c r="X1685" s="18" t="s">
        <v>42</v>
      </c>
      <c r="Y1685" s="18" t="s">
        <v>36</v>
      </c>
      <c r="Z1685" s="18" t="s">
        <v>697</v>
      </c>
      <c r="AA1685" s="21" t="str">
        <f>HYPERLINK("https://www.ncbi.nlm.nih.gov/nuccore/AY576273","NCBI Nucleotide")</f>
        <v>NCBI Nucleotide</v>
      </c>
    </row>
    <row r="1686" spans="1:27" x14ac:dyDescent="0.35">
      <c r="A1686">
        <v>1002067</v>
      </c>
      <c r="B1686">
        <v>1662</v>
      </c>
      <c r="C1686">
        <v>1</v>
      </c>
      <c r="D1686" s="17" t="s">
        <v>155</v>
      </c>
      <c r="E1686" s="17"/>
      <c r="F1686" s="17" t="s">
        <v>156</v>
      </c>
      <c r="G1686" s="17"/>
      <c r="H1686" s="17" t="s">
        <v>692</v>
      </c>
      <c r="I1686" s="17"/>
      <c r="J1686" s="17" t="s">
        <v>693</v>
      </c>
      <c r="K1686" s="17"/>
      <c r="L1686" s="17"/>
      <c r="M1686" s="17"/>
      <c r="N1686" s="17" t="s">
        <v>8595</v>
      </c>
      <c r="O1686" s="17"/>
      <c r="P1686" s="17" t="s">
        <v>8596</v>
      </c>
      <c r="Q1686" s="17"/>
      <c r="R1686" s="25" t="str">
        <f>HYPERLINK("https://ictv.global/taxonomy/taxondetails?taxnode_id=202313565","Mollyvirus colly")</f>
        <v>Mollyvirus colly</v>
      </c>
      <c r="S1686" s="18" t="s">
        <v>30</v>
      </c>
      <c r="T1686" s="18" t="s">
        <v>8597</v>
      </c>
      <c r="U1686" s="18" t="s">
        <v>8598</v>
      </c>
      <c r="V1686" s="18"/>
      <c r="W1686" s="18" t="s">
        <v>8599</v>
      </c>
      <c r="X1686" s="18" t="s">
        <v>42</v>
      </c>
      <c r="Y1686" s="18" t="s">
        <v>36</v>
      </c>
      <c r="Z1686" s="18" t="s">
        <v>697</v>
      </c>
      <c r="AA1686" s="21" t="str">
        <f>HYPERLINK("https://www.ncbi.nlm.nih.gov/nuccore/MT732450","NCBI Nucleotide")</f>
        <v>NCBI Nucleotide</v>
      </c>
    </row>
    <row r="1687" spans="1:27" x14ac:dyDescent="0.35">
      <c r="A1687">
        <v>1002068</v>
      </c>
      <c r="B1687">
        <v>1663</v>
      </c>
      <c r="C1687">
        <v>1</v>
      </c>
      <c r="D1687" s="17" t="s">
        <v>155</v>
      </c>
      <c r="E1687" s="17"/>
      <c r="F1687" s="17" t="s">
        <v>156</v>
      </c>
      <c r="G1687" s="17"/>
      <c r="H1687" s="17" t="s">
        <v>692</v>
      </c>
      <c r="I1687" s="17"/>
      <c r="J1687" s="17" t="s">
        <v>693</v>
      </c>
      <c r="K1687" s="17"/>
      <c r="L1687" s="17"/>
      <c r="M1687" s="17"/>
      <c r="N1687" s="17" t="s">
        <v>8595</v>
      </c>
      <c r="O1687" s="17"/>
      <c r="P1687" s="17" t="s">
        <v>8596</v>
      </c>
      <c r="Q1687" s="17"/>
      <c r="R1687" s="25" t="str">
        <f>HYPERLINK("https://ictv.global/taxonomy/taxondetails?taxnode_id=202313564","Mollyvirus molly")</f>
        <v>Mollyvirus molly</v>
      </c>
      <c r="S1687" s="18" t="s">
        <v>30</v>
      </c>
      <c r="T1687" s="18" t="s">
        <v>8600</v>
      </c>
      <c r="U1687" s="18" t="s">
        <v>8601</v>
      </c>
      <c r="V1687" s="18"/>
      <c r="W1687" s="18" t="s">
        <v>8602</v>
      </c>
      <c r="X1687" s="18" t="s">
        <v>42</v>
      </c>
      <c r="Y1687" s="18" t="s">
        <v>36</v>
      </c>
      <c r="Z1687" s="18" t="s">
        <v>697</v>
      </c>
      <c r="AA1687" s="21" t="str">
        <f>HYPERLINK("https://www.ncbi.nlm.nih.gov/nuccore/MT732451","NCBI Nucleotide")</f>
        <v>NCBI Nucleotide</v>
      </c>
    </row>
    <row r="1688" spans="1:27" x14ac:dyDescent="0.35">
      <c r="A1688">
        <v>1002069</v>
      </c>
      <c r="B1688">
        <v>1664</v>
      </c>
      <c r="C1688">
        <v>1</v>
      </c>
      <c r="D1688" s="17" t="s">
        <v>155</v>
      </c>
      <c r="E1688" s="17"/>
      <c r="F1688" s="17" t="s">
        <v>156</v>
      </c>
      <c r="G1688" s="17"/>
      <c r="H1688" s="17" t="s">
        <v>692</v>
      </c>
      <c r="I1688" s="17"/>
      <c r="J1688" s="17" t="s">
        <v>693</v>
      </c>
      <c r="K1688" s="17"/>
      <c r="L1688" s="17"/>
      <c r="M1688" s="17"/>
      <c r="N1688" s="17" t="s">
        <v>8603</v>
      </c>
      <c r="O1688" s="17"/>
      <c r="P1688" s="17" t="s">
        <v>8604</v>
      </c>
      <c r="Q1688" s="17"/>
      <c r="R1688" s="25" t="str">
        <f>HYPERLINK("https://ictv.global/taxonomy/taxondetails?taxnode_id=202312773","Noahvirus arc")</f>
        <v>Noahvirus arc</v>
      </c>
      <c r="S1688" s="18" t="s">
        <v>30</v>
      </c>
      <c r="T1688" s="18" t="s">
        <v>8605</v>
      </c>
      <c r="U1688" s="18"/>
      <c r="V1688" s="18"/>
      <c r="W1688" s="18" t="s">
        <v>8606</v>
      </c>
      <c r="X1688" s="18" t="s">
        <v>42</v>
      </c>
      <c r="Y1688" s="18" t="s">
        <v>36</v>
      </c>
      <c r="Z1688" s="18" t="s">
        <v>697</v>
      </c>
      <c r="AA1688" s="21" t="str">
        <f>HYPERLINK("https://www.ncbi.nlm.nih.gov/nuccore/MN602266","NCBI Nucleotide")</f>
        <v>NCBI Nucleotide</v>
      </c>
    </row>
    <row r="1689" spans="1:27" x14ac:dyDescent="0.35">
      <c r="A1689">
        <v>1002070</v>
      </c>
      <c r="B1689">
        <v>1665</v>
      </c>
      <c r="C1689">
        <v>1</v>
      </c>
      <c r="D1689" s="17" t="s">
        <v>155</v>
      </c>
      <c r="E1689" s="17"/>
      <c r="F1689" s="17" t="s">
        <v>156</v>
      </c>
      <c r="G1689" s="17"/>
      <c r="H1689" s="17" t="s">
        <v>692</v>
      </c>
      <c r="I1689" s="17"/>
      <c r="J1689" s="17" t="s">
        <v>693</v>
      </c>
      <c r="K1689" s="17"/>
      <c r="L1689" s="17"/>
      <c r="M1689" s="17"/>
      <c r="N1689" s="17" t="s">
        <v>8607</v>
      </c>
      <c r="O1689" s="17" t="s">
        <v>8608</v>
      </c>
      <c r="P1689" s="17" t="s">
        <v>8609</v>
      </c>
      <c r="Q1689" s="17"/>
      <c r="R1689" s="25" t="str">
        <f>HYPERLINK("https://ictv.global/taxonomy/taxondetails?taxnode_id=202312802","Bonaevitae bonaevitae")</f>
        <v>Bonaevitae bonaevitae</v>
      </c>
      <c r="S1689" s="18" t="s">
        <v>30</v>
      </c>
      <c r="T1689" s="18" t="s">
        <v>8610</v>
      </c>
      <c r="U1689" s="18"/>
      <c r="V1689" s="18"/>
      <c r="W1689" s="18" t="s">
        <v>8611</v>
      </c>
      <c r="X1689" s="18" t="s">
        <v>42</v>
      </c>
      <c r="Y1689" s="18" t="s">
        <v>36</v>
      </c>
      <c r="Z1689" s="18" t="s">
        <v>697</v>
      </c>
      <c r="AA1689" s="21" t="str">
        <f>HYPERLINK("https://www.ncbi.nlm.nih.gov/nuccore/MH045556","NCBI Nucleotide")</f>
        <v>NCBI Nucleotide</v>
      </c>
    </row>
    <row r="1690" spans="1:27" x14ac:dyDescent="0.35">
      <c r="A1690">
        <v>1002071</v>
      </c>
      <c r="B1690">
        <v>1666</v>
      </c>
      <c r="C1690">
        <v>1</v>
      </c>
      <c r="D1690" s="17" t="s">
        <v>155</v>
      </c>
      <c r="E1690" s="17"/>
      <c r="F1690" s="17" t="s">
        <v>156</v>
      </c>
      <c r="G1690" s="17"/>
      <c r="H1690" s="17" t="s">
        <v>692</v>
      </c>
      <c r="I1690" s="17"/>
      <c r="J1690" s="17" t="s">
        <v>693</v>
      </c>
      <c r="K1690" s="17"/>
      <c r="L1690" s="17"/>
      <c r="M1690" s="17"/>
      <c r="N1690" s="17" t="s">
        <v>8607</v>
      </c>
      <c r="O1690" s="17" t="s">
        <v>8608</v>
      </c>
      <c r="P1690" s="17" t="s">
        <v>8612</v>
      </c>
      <c r="Q1690" s="17"/>
      <c r="R1690" s="25" t="str">
        <f>HYPERLINK("https://ictv.global/taxonomy/taxondetails?taxnode_id=202312804","Efkovirus efeko")</f>
        <v>Efkovirus efeko</v>
      </c>
      <c r="S1690" s="18" t="s">
        <v>30</v>
      </c>
      <c r="T1690" s="18" t="s">
        <v>8613</v>
      </c>
      <c r="U1690" s="18"/>
      <c r="V1690" s="18"/>
      <c r="W1690" s="18" t="s">
        <v>8614</v>
      </c>
      <c r="X1690" s="18" t="s">
        <v>42</v>
      </c>
      <c r="Y1690" s="18" t="s">
        <v>36</v>
      </c>
      <c r="Z1690" s="18" t="s">
        <v>697</v>
      </c>
      <c r="AA1690" s="21" t="str">
        <f>HYPERLINK("https://www.ncbi.nlm.nih.gov/nuccore/MH825700","NCBI Nucleotide")</f>
        <v>NCBI Nucleotide</v>
      </c>
    </row>
    <row r="1691" spans="1:27" x14ac:dyDescent="0.35">
      <c r="A1691">
        <v>1002072</v>
      </c>
      <c r="B1691">
        <v>1667</v>
      </c>
      <c r="C1691">
        <v>1</v>
      </c>
      <c r="D1691" s="17" t="s">
        <v>155</v>
      </c>
      <c r="E1691" s="17"/>
      <c r="F1691" s="17" t="s">
        <v>156</v>
      </c>
      <c r="G1691" s="17"/>
      <c r="H1691" s="17" t="s">
        <v>692</v>
      </c>
      <c r="I1691" s="17"/>
      <c r="J1691" s="17" t="s">
        <v>693</v>
      </c>
      <c r="K1691" s="17"/>
      <c r="L1691" s="17"/>
      <c r="M1691" s="17"/>
      <c r="N1691" s="17" t="s">
        <v>8607</v>
      </c>
      <c r="O1691" s="17" t="s">
        <v>8608</v>
      </c>
      <c r="P1691" s="17" t="s">
        <v>8615</v>
      </c>
      <c r="Q1691" s="17"/>
      <c r="R1691" s="25" t="str">
        <f>HYPERLINK("https://ictv.global/taxonomy/taxondetails?taxnode_id=202312794","Paopuvirus azizam")</f>
        <v>Paopuvirus azizam</v>
      </c>
      <c r="S1691" s="18" t="s">
        <v>30</v>
      </c>
      <c r="T1691" s="18" t="s">
        <v>8616</v>
      </c>
      <c r="U1691" s="18"/>
      <c r="V1691" s="18"/>
      <c r="W1691" s="18" t="s">
        <v>8617</v>
      </c>
      <c r="X1691" s="18" t="s">
        <v>42</v>
      </c>
      <c r="Y1691" s="18" t="s">
        <v>36</v>
      </c>
      <c r="Z1691" s="18" t="s">
        <v>697</v>
      </c>
      <c r="AA1691" s="21" t="str">
        <f>HYPERLINK("https://www.ncbi.nlm.nih.gov/nuccore/MN585990","NCBI Nucleotide")</f>
        <v>NCBI Nucleotide</v>
      </c>
    </row>
    <row r="1692" spans="1:27" x14ac:dyDescent="0.35">
      <c r="A1692">
        <v>1002073</v>
      </c>
      <c r="B1692">
        <v>1668</v>
      </c>
      <c r="C1692">
        <v>1</v>
      </c>
      <c r="D1692" s="17" t="s">
        <v>155</v>
      </c>
      <c r="E1692" s="17"/>
      <c r="F1692" s="17" t="s">
        <v>156</v>
      </c>
      <c r="G1692" s="17"/>
      <c r="H1692" s="17" t="s">
        <v>692</v>
      </c>
      <c r="I1692" s="17"/>
      <c r="J1692" s="17" t="s">
        <v>693</v>
      </c>
      <c r="K1692" s="17"/>
      <c r="L1692" s="17"/>
      <c r="M1692" s="17"/>
      <c r="N1692" s="17" t="s">
        <v>8607</v>
      </c>
      <c r="O1692" s="17" t="s">
        <v>8608</v>
      </c>
      <c r="P1692" s="17" t="s">
        <v>8615</v>
      </c>
      <c r="Q1692" s="17"/>
      <c r="R1692" s="25" t="str">
        <f>HYPERLINK("https://ictv.global/taxonomy/taxondetails?taxnode_id=202312795","Paopuvirus bri160")</f>
        <v>Paopuvirus bri160</v>
      </c>
      <c r="S1692" s="18" t="s">
        <v>30</v>
      </c>
      <c r="T1692" s="18" t="s">
        <v>8618</v>
      </c>
      <c r="U1692" s="18"/>
      <c r="V1692" s="18"/>
      <c r="W1692" s="18" t="s">
        <v>8619</v>
      </c>
      <c r="X1692" s="18" t="s">
        <v>42</v>
      </c>
      <c r="Y1692" s="18" t="s">
        <v>36</v>
      </c>
      <c r="Z1692" s="18" t="s">
        <v>697</v>
      </c>
      <c r="AA1692" s="21" t="str">
        <f>HYPERLINK("https://www.ncbi.nlm.nih.gov/nuccore/MT521990","NCBI Nucleotide")</f>
        <v>NCBI Nucleotide</v>
      </c>
    </row>
    <row r="1693" spans="1:27" x14ac:dyDescent="0.35">
      <c r="A1693">
        <v>1002074</v>
      </c>
      <c r="B1693">
        <v>1669</v>
      </c>
      <c r="C1693">
        <v>1</v>
      </c>
      <c r="D1693" s="17" t="s">
        <v>155</v>
      </c>
      <c r="E1693" s="17"/>
      <c r="F1693" s="17" t="s">
        <v>156</v>
      </c>
      <c r="G1693" s="17"/>
      <c r="H1693" s="17" t="s">
        <v>692</v>
      </c>
      <c r="I1693" s="17"/>
      <c r="J1693" s="17" t="s">
        <v>693</v>
      </c>
      <c r="K1693" s="17"/>
      <c r="L1693" s="17"/>
      <c r="M1693" s="17"/>
      <c r="N1693" s="17" t="s">
        <v>8607</v>
      </c>
      <c r="O1693" s="17" t="s">
        <v>8608</v>
      </c>
      <c r="P1693" s="17" t="s">
        <v>8615</v>
      </c>
      <c r="Q1693" s="17"/>
      <c r="R1693" s="25" t="str">
        <f>HYPERLINK("https://ictv.global/taxonomy/taxondetails?taxnode_id=202312796","Paopuvirus kaijohn")</f>
        <v>Paopuvirus kaijohn</v>
      </c>
      <c r="S1693" s="18" t="s">
        <v>30</v>
      </c>
      <c r="T1693" s="18" t="s">
        <v>8620</v>
      </c>
      <c r="U1693" s="18"/>
      <c r="V1693" s="18"/>
      <c r="W1693" s="18" t="s">
        <v>8621</v>
      </c>
      <c r="X1693" s="18" t="s">
        <v>42</v>
      </c>
      <c r="Y1693" s="18" t="s">
        <v>36</v>
      </c>
      <c r="Z1693" s="18" t="s">
        <v>697</v>
      </c>
      <c r="AA1693" s="21" t="str">
        <f>HYPERLINK("https://www.ncbi.nlm.nih.gov/nuccore/MN369745","NCBI Nucleotide")</f>
        <v>NCBI Nucleotide</v>
      </c>
    </row>
    <row r="1694" spans="1:27" x14ac:dyDescent="0.35">
      <c r="A1694">
        <v>1002075</v>
      </c>
      <c r="B1694">
        <v>1670</v>
      </c>
      <c r="C1694">
        <v>1</v>
      </c>
      <c r="D1694" s="17" t="s">
        <v>155</v>
      </c>
      <c r="E1694" s="17"/>
      <c r="F1694" s="17" t="s">
        <v>156</v>
      </c>
      <c r="G1694" s="17"/>
      <c r="H1694" s="17" t="s">
        <v>692</v>
      </c>
      <c r="I1694" s="17"/>
      <c r="J1694" s="17" t="s">
        <v>693</v>
      </c>
      <c r="K1694" s="17"/>
      <c r="L1694" s="17"/>
      <c r="M1694" s="17"/>
      <c r="N1694" s="17" t="s">
        <v>8607</v>
      </c>
      <c r="O1694" s="17" t="s">
        <v>8608</v>
      </c>
      <c r="P1694" s="17" t="s">
        <v>8615</v>
      </c>
      <c r="Q1694" s="17"/>
      <c r="R1694" s="25" t="str">
        <f>HYPERLINK("https://ictv.global/taxonomy/taxondetails?taxnode_id=202312797","Paopuvirus nobel")</f>
        <v>Paopuvirus nobel</v>
      </c>
      <c r="S1694" s="18" t="s">
        <v>30</v>
      </c>
      <c r="T1694" s="18" t="s">
        <v>8622</v>
      </c>
      <c r="U1694" s="18"/>
      <c r="V1694" s="18"/>
      <c r="W1694" s="18" t="s">
        <v>8623</v>
      </c>
      <c r="X1694" s="18" t="s">
        <v>42</v>
      </c>
      <c r="Y1694" s="18" t="s">
        <v>36</v>
      </c>
      <c r="Z1694" s="18" t="s">
        <v>697</v>
      </c>
      <c r="AA1694" s="21" t="str">
        <f>HYPERLINK("https://www.ncbi.nlm.nih.gov/nuccore/MT310864","NCBI Nucleotide")</f>
        <v>NCBI Nucleotide</v>
      </c>
    </row>
    <row r="1695" spans="1:27" x14ac:dyDescent="0.35">
      <c r="A1695">
        <v>1002076</v>
      </c>
      <c r="B1695">
        <v>1671</v>
      </c>
      <c r="C1695">
        <v>1</v>
      </c>
      <c r="D1695" s="17" t="s">
        <v>155</v>
      </c>
      <c r="E1695" s="17"/>
      <c r="F1695" s="17" t="s">
        <v>156</v>
      </c>
      <c r="G1695" s="17"/>
      <c r="H1695" s="17" t="s">
        <v>692</v>
      </c>
      <c r="I1695" s="17"/>
      <c r="J1695" s="17" t="s">
        <v>693</v>
      </c>
      <c r="K1695" s="17"/>
      <c r="L1695" s="17"/>
      <c r="M1695" s="17"/>
      <c r="N1695" s="17" t="s">
        <v>8607</v>
      </c>
      <c r="O1695" s="17" t="s">
        <v>8608</v>
      </c>
      <c r="P1695" s="17" t="s">
        <v>8615</v>
      </c>
      <c r="Q1695" s="17"/>
      <c r="R1695" s="25" t="str">
        <f>HYPERLINK("https://ictv.global/taxonomy/taxondetails?taxnode_id=202312798","Paopuvirus noelani")</f>
        <v>Paopuvirus noelani</v>
      </c>
      <c r="S1695" s="18" t="s">
        <v>30</v>
      </c>
      <c r="T1695" s="18" t="s">
        <v>8624</v>
      </c>
      <c r="U1695" s="18"/>
      <c r="V1695" s="18"/>
      <c r="W1695" s="18" t="s">
        <v>8625</v>
      </c>
      <c r="X1695" s="18" t="s">
        <v>42</v>
      </c>
      <c r="Y1695" s="18" t="s">
        <v>36</v>
      </c>
      <c r="Z1695" s="18" t="s">
        <v>697</v>
      </c>
      <c r="AA1695" s="21" t="str">
        <f>HYPERLINK("https://www.ncbi.nlm.nih.gov/nuccore/MH399783","NCBI Nucleotide")</f>
        <v>NCBI Nucleotide</v>
      </c>
    </row>
    <row r="1696" spans="1:27" x14ac:dyDescent="0.35">
      <c r="A1696">
        <v>1002077</v>
      </c>
      <c r="B1696">
        <v>1672</v>
      </c>
      <c r="C1696">
        <v>1</v>
      </c>
      <c r="D1696" s="17" t="s">
        <v>155</v>
      </c>
      <c r="E1696" s="17"/>
      <c r="F1696" s="17" t="s">
        <v>156</v>
      </c>
      <c r="G1696" s="17"/>
      <c r="H1696" s="17" t="s">
        <v>692</v>
      </c>
      <c r="I1696" s="17"/>
      <c r="J1696" s="17" t="s">
        <v>693</v>
      </c>
      <c r="K1696" s="17"/>
      <c r="L1696" s="17"/>
      <c r="M1696" s="17"/>
      <c r="N1696" s="17" t="s">
        <v>8607</v>
      </c>
      <c r="O1696" s="17" t="s">
        <v>8608</v>
      </c>
      <c r="P1696" s="17" t="s">
        <v>8615</v>
      </c>
      <c r="Q1696" s="17"/>
      <c r="R1696" s="25" t="str">
        <f>HYPERLINK("https://ictv.global/taxonomy/taxondetails?taxnode_id=202312793","Paopuvirus paopu")</f>
        <v>Paopuvirus paopu</v>
      </c>
      <c r="S1696" s="18" t="s">
        <v>30</v>
      </c>
      <c r="T1696" s="18" t="s">
        <v>8626</v>
      </c>
      <c r="U1696" s="18"/>
      <c r="V1696" s="18"/>
      <c r="W1696" s="18" t="s">
        <v>8627</v>
      </c>
      <c r="X1696" s="18" t="s">
        <v>42</v>
      </c>
      <c r="Y1696" s="18" t="s">
        <v>36</v>
      </c>
      <c r="Z1696" s="18" t="s">
        <v>697</v>
      </c>
      <c r="AA1696" s="21" t="str">
        <f>HYPERLINK("https://www.ncbi.nlm.nih.gov/nuccore/MH045561","NCBI Nucleotide")</f>
        <v>NCBI Nucleotide</v>
      </c>
    </row>
    <row r="1697" spans="1:27" x14ac:dyDescent="0.35">
      <c r="A1697">
        <v>1002078</v>
      </c>
      <c r="B1697">
        <v>1673</v>
      </c>
      <c r="C1697">
        <v>1</v>
      </c>
      <c r="D1697" s="17" t="s">
        <v>155</v>
      </c>
      <c r="E1697" s="17"/>
      <c r="F1697" s="17" t="s">
        <v>156</v>
      </c>
      <c r="G1697" s="17"/>
      <c r="H1697" s="17" t="s">
        <v>692</v>
      </c>
      <c r="I1697" s="17"/>
      <c r="J1697" s="17" t="s">
        <v>693</v>
      </c>
      <c r="K1697" s="17"/>
      <c r="L1697" s="17"/>
      <c r="M1697" s="17"/>
      <c r="N1697" s="17" t="s">
        <v>8607</v>
      </c>
      <c r="O1697" s="17" t="s">
        <v>8608</v>
      </c>
      <c r="P1697" s="17" t="s">
        <v>8615</v>
      </c>
      <c r="Q1697" s="17"/>
      <c r="R1697" s="25" t="str">
        <f>HYPERLINK("https://ictv.global/taxonomy/taxondetails?taxnode_id=202312799","Paopuvirus poranda")</f>
        <v>Paopuvirus poranda</v>
      </c>
      <c r="S1697" s="18" t="s">
        <v>30</v>
      </c>
      <c r="T1697" s="18" t="s">
        <v>8628</v>
      </c>
      <c r="U1697" s="18"/>
      <c r="V1697" s="18"/>
      <c r="W1697" s="18" t="s">
        <v>8629</v>
      </c>
      <c r="X1697" s="18" t="s">
        <v>42</v>
      </c>
      <c r="Y1697" s="18" t="s">
        <v>36</v>
      </c>
      <c r="Z1697" s="18" t="s">
        <v>697</v>
      </c>
      <c r="AA1697" s="21" t="str">
        <f>HYPERLINK("https://www.ncbi.nlm.nih.gov/nuccore/MT498065","NCBI Nucleotide")</f>
        <v>NCBI Nucleotide</v>
      </c>
    </row>
    <row r="1698" spans="1:27" x14ac:dyDescent="0.35">
      <c r="A1698">
        <v>1002079</v>
      </c>
      <c r="B1698">
        <v>1674</v>
      </c>
      <c r="C1698">
        <v>1</v>
      </c>
      <c r="D1698" s="17" t="s">
        <v>155</v>
      </c>
      <c r="E1698" s="17"/>
      <c r="F1698" s="17" t="s">
        <v>156</v>
      </c>
      <c r="G1698" s="17"/>
      <c r="H1698" s="17" t="s">
        <v>692</v>
      </c>
      <c r="I1698" s="17"/>
      <c r="J1698" s="17" t="s">
        <v>693</v>
      </c>
      <c r="K1698" s="17"/>
      <c r="L1698" s="17"/>
      <c r="M1698" s="17"/>
      <c r="N1698" s="17" t="s">
        <v>8607</v>
      </c>
      <c r="O1698" s="17" t="s">
        <v>8608</v>
      </c>
      <c r="P1698" s="17" t="s">
        <v>8615</v>
      </c>
      <c r="Q1698" s="17"/>
      <c r="R1698" s="25" t="str">
        <f>HYPERLINK("https://ictv.global/taxonomy/taxondetails?taxnode_id=202312800","Paopuvirus quaker")</f>
        <v>Paopuvirus quaker</v>
      </c>
      <c r="S1698" s="18" t="s">
        <v>30</v>
      </c>
      <c r="T1698" s="18" t="s">
        <v>8630</v>
      </c>
      <c r="U1698" s="18"/>
      <c r="V1698" s="18"/>
      <c r="W1698" s="18" t="s">
        <v>8631</v>
      </c>
      <c r="X1698" s="18" t="s">
        <v>42</v>
      </c>
      <c r="Y1698" s="18" t="s">
        <v>36</v>
      </c>
      <c r="Z1698" s="18" t="s">
        <v>697</v>
      </c>
      <c r="AA1698" s="21" t="str">
        <f>HYPERLINK("https://www.ncbi.nlm.nih.gov/nuccore/MH371111","NCBI Nucleotide")</f>
        <v>NCBI Nucleotide</v>
      </c>
    </row>
    <row r="1699" spans="1:27" x14ac:dyDescent="0.35">
      <c r="A1699">
        <v>1002080</v>
      </c>
      <c r="B1699">
        <v>1675</v>
      </c>
      <c r="C1699">
        <v>1</v>
      </c>
      <c r="D1699" s="17" t="s">
        <v>155</v>
      </c>
      <c r="E1699" s="17"/>
      <c r="F1699" s="17" t="s">
        <v>156</v>
      </c>
      <c r="G1699" s="17"/>
      <c r="H1699" s="17" t="s">
        <v>692</v>
      </c>
      <c r="I1699" s="17"/>
      <c r="J1699" s="17" t="s">
        <v>693</v>
      </c>
      <c r="K1699" s="17"/>
      <c r="L1699" s="17"/>
      <c r="M1699" s="17"/>
      <c r="N1699" s="17" t="s">
        <v>8607</v>
      </c>
      <c r="O1699" s="17" t="s">
        <v>8608</v>
      </c>
      <c r="P1699" s="17" t="s">
        <v>8615</v>
      </c>
      <c r="Q1699" s="17"/>
      <c r="R1699" s="25" t="str">
        <f>HYPERLINK("https://ictv.global/taxonomy/taxondetails?taxnode_id=202312805","Paopuvirus Scamander")</f>
        <v>Paopuvirus Scamander</v>
      </c>
      <c r="S1699" s="18" t="s">
        <v>30</v>
      </c>
      <c r="T1699" s="18" t="s">
        <v>8632</v>
      </c>
      <c r="U1699" s="18"/>
      <c r="V1699" s="18"/>
      <c r="W1699" s="18" t="s">
        <v>8633</v>
      </c>
      <c r="X1699" s="18" t="s">
        <v>42</v>
      </c>
      <c r="Y1699" s="18" t="s">
        <v>36</v>
      </c>
      <c r="Z1699" s="18" t="s">
        <v>697</v>
      </c>
      <c r="AA1699" s="21" t="str">
        <f>HYPERLINK("https://www.ncbi.nlm.nih.gov/nuccore/MH576963","NCBI Nucleotide")</f>
        <v>NCBI Nucleotide</v>
      </c>
    </row>
    <row r="1700" spans="1:27" x14ac:dyDescent="0.35">
      <c r="A1700">
        <v>1002081</v>
      </c>
      <c r="B1700">
        <v>1676</v>
      </c>
      <c r="C1700">
        <v>1</v>
      </c>
      <c r="D1700" s="17" t="s">
        <v>155</v>
      </c>
      <c r="E1700" s="17"/>
      <c r="F1700" s="17" t="s">
        <v>156</v>
      </c>
      <c r="G1700" s="17"/>
      <c r="H1700" s="17" t="s">
        <v>692</v>
      </c>
      <c r="I1700" s="17"/>
      <c r="J1700" s="17" t="s">
        <v>693</v>
      </c>
      <c r="K1700" s="17"/>
      <c r="L1700" s="17"/>
      <c r="M1700" s="17"/>
      <c r="N1700" s="17" t="s">
        <v>8634</v>
      </c>
      <c r="O1700" s="17"/>
      <c r="P1700" s="17" t="s">
        <v>8635</v>
      </c>
      <c r="Q1700" s="17"/>
      <c r="R1700" s="25" t="str">
        <f>HYPERLINK("https://ictv.global/taxonomy/taxondetails?taxnode_id=202313544","Bacelvirus phi46tres")</f>
        <v>Bacelvirus phi46tres</v>
      </c>
      <c r="S1700" s="18" t="s">
        <v>30</v>
      </c>
      <c r="T1700" s="18" t="s">
        <v>8636</v>
      </c>
      <c r="U1700" s="18" t="s">
        <v>8637</v>
      </c>
      <c r="V1700" s="18"/>
      <c r="W1700" s="18" t="s">
        <v>8638</v>
      </c>
      <c r="X1700" s="18" t="s">
        <v>42</v>
      </c>
      <c r="Y1700" s="18" t="s">
        <v>36</v>
      </c>
      <c r="Z1700" s="18" t="s">
        <v>697</v>
      </c>
      <c r="AA1700" s="21" t="str">
        <f>HYPERLINK("https://www.ncbi.nlm.nih.gov/nuccore/KC821622","NCBI Nucleotide")</f>
        <v>NCBI Nucleotide</v>
      </c>
    </row>
    <row r="1701" spans="1:27" x14ac:dyDescent="0.35">
      <c r="A1701">
        <v>1002082</v>
      </c>
      <c r="B1701">
        <v>1677</v>
      </c>
      <c r="C1701">
        <v>1</v>
      </c>
      <c r="D1701" s="17" t="s">
        <v>155</v>
      </c>
      <c r="E1701" s="17"/>
      <c r="F1701" s="17" t="s">
        <v>156</v>
      </c>
      <c r="G1701" s="17"/>
      <c r="H1701" s="17" t="s">
        <v>692</v>
      </c>
      <c r="I1701" s="17"/>
      <c r="J1701" s="17" t="s">
        <v>693</v>
      </c>
      <c r="K1701" s="17"/>
      <c r="L1701" s="17"/>
      <c r="M1701" s="17"/>
      <c r="N1701" s="17" t="s">
        <v>8634</v>
      </c>
      <c r="O1701" s="17"/>
      <c r="P1701" s="17" t="s">
        <v>8639</v>
      </c>
      <c r="Q1701" s="17"/>
      <c r="R1701" s="25" t="str">
        <f>HYPERLINK("https://ictv.global/taxonomy/taxondetails?taxnode_id=202313541","Baltivirus phi13duo")</f>
        <v>Baltivirus phi13duo</v>
      </c>
      <c r="S1701" s="18" t="s">
        <v>30</v>
      </c>
      <c r="T1701" s="18" t="s">
        <v>8640</v>
      </c>
      <c r="U1701" s="18" t="s">
        <v>8641</v>
      </c>
      <c r="V1701" s="18"/>
      <c r="W1701" s="18" t="s">
        <v>8642</v>
      </c>
      <c r="X1701" s="18" t="s">
        <v>42</v>
      </c>
      <c r="Y1701" s="18" t="s">
        <v>36</v>
      </c>
      <c r="Z1701" s="18" t="s">
        <v>697</v>
      </c>
      <c r="AA1701" s="21" t="str">
        <f>HYPERLINK("https://www.ncbi.nlm.nih.gov/nuccore/KC821633","NCBI Nucleotide")</f>
        <v>NCBI Nucleotide</v>
      </c>
    </row>
    <row r="1702" spans="1:27" x14ac:dyDescent="0.35">
      <c r="A1702">
        <v>1002083</v>
      </c>
      <c r="B1702">
        <v>1678</v>
      </c>
      <c r="C1702">
        <v>1</v>
      </c>
      <c r="D1702" s="17" t="s">
        <v>155</v>
      </c>
      <c r="E1702" s="17"/>
      <c r="F1702" s="17" t="s">
        <v>156</v>
      </c>
      <c r="G1702" s="17"/>
      <c r="H1702" s="17" t="s">
        <v>692</v>
      </c>
      <c r="I1702" s="17"/>
      <c r="J1702" s="17" t="s">
        <v>693</v>
      </c>
      <c r="K1702" s="17"/>
      <c r="L1702" s="17"/>
      <c r="M1702" s="17"/>
      <c r="N1702" s="17" t="s">
        <v>8634</v>
      </c>
      <c r="O1702" s="17"/>
      <c r="P1702" s="17" t="s">
        <v>8639</v>
      </c>
      <c r="Q1702" s="17"/>
      <c r="R1702" s="25" t="str">
        <f>HYPERLINK("https://ictv.global/taxonomy/taxondetails?taxnode_id=202313542","Baltivirus phi18tres")</f>
        <v>Baltivirus phi18tres</v>
      </c>
      <c r="S1702" s="18" t="s">
        <v>30</v>
      </c>
      <c r="T1702" s="18" t="s">
        <v>8643</v>
      </c>
      <c r="U1702" s="18" t="s">
        <v>8644</v>
      </c>
      <c r="V1702" s="18"/>
      <c r="W1702" s="18" t="s">
        <v>8645</v>
      </c>
      <c r="X1702" s="18" t="s">
        <v>42</v>
      </c>
      <c r="Y1702" s="18" t="s">
        <v>36</v>
      </c>
      <c r="Z1702" s="18" t="s">
        <v>697</v>
      </c>
      <c r="AA1702" s="21" t="str">
        <f>HYPERLINK("https://www.ncbi.nlm.nih.gov/nuccore/KC821620","NCBI Nucleotide")</f>
        <v>NCBI Nucleotide</v>
      </c>
    </row>
    <row r="1703" spans="1:27" x14ac:dyDescent="0.35">
      <c r="A1703">
        <v>1002084</v>
      </c>
      <c r="B1703">
        <v>1679</v>
      </c>
      <c r="C1703">
        <v>1</v>
      </c>
      <c r="D1703" s="17" t="s">
        <v>155</v>
      </c>
      <c r="E1703" s="17"/>
      <c r="F1703" s="17" t="s">
        <v>156</v>
      </c>
      <c r="G1703" s="17"/>
      <c r="H1703" s="17" t="s">
        <v>692</v>
      </c>
      <c r="I1703" s="17"/>
      <c r="J1703" s="17" t="s">
        <v>693</v>
      </c>
      <c r="K1703" s="17"/>
      <c r="L1703" s="17"/>
      <c r="M1703" s="17"/>
      <c r="N1703" s="17" t="s">
        <v>8634</v>
      </c>
      <c r="O1703" s="17"/>
      <c r="P1703" s="17" t="s">
        <v>8639</v>
      </c>
      <c r="Q1703" s="17"/>
      <c r="R1703" s="25" t="str">
        <f>HYPERLINK("https://ictv.global/taxonomy/taxondetails?taxnode_id=202313540","Baltivirus phi19tres")</f>
        <v>Baltivirus phi19tres</v>
      </c>
      <c r="S1703" s="18" t="s">
        <v>30</v>
      </c>
      <c r="T1703" s="18" t="s">
        <v>8646</v>
      </c>
      <c r="U1703" s="18" t="s">
        <v>8647</v>
      </c>
      <c r="V1703" s="18"/>
      <c r="W1703" s="18" t="s">
        <v>8648</v>
      </c>
      <c r="X1703" s="18" t="s">
        <v>42</v>
      </c>
      <c r="Y1703" s="18" t="s">
        <v>36</v>
      </c>
      <c r="Z1703" s="18" t="s">
        <v>697</v>
      </c>
      <c r="AA1703" s="21" t="str">
        <f>HYPERLINK("https://www.ncbi.nlm.nih.gov/nuccore/KC821608","NCBI Nucleotide")</f>
        <v>NCBI Nucleotide</v>
      </c>
    </row>
    <row r="1704" spans="1:27" x14ac:dyDescent="0.35">
      <c r="A1704">
        <v>1002085</v>
      </c>
      <c r="B1704">
        <v>1680</v>
      </c>
      <c r="C1704">
        <v>1</v>
      </c>
      <c r="D1704" s="17" t="s">
        <v>155</v>
      </c>
      <c r="E1704" s="17"/>
      <c r="F1704" s="17" t="s">
        <v>156</v>
      </c>
      <c r="G1704" s="17"/>
      <c r="H1704" s="17" t="s">
        <v>692</v>
      </c>
      <c r="I1704" s="17"/>
      <c r="J1704" s="17" t="s">
        <v>693</v>
      </c>
      <c r="K1704" s="17"/>
      <c r="L1704" s="17"/>
      <c r="M1704" s="17"/>
      <c r="N1704" s="17" t="s">
        <v>8634</v>
      </c>
      <c r="O1704" s="17"/>
      <c r="P1704" s="17" t="s">
        <v>8649</v>
      </c>
      <c r="Q1704" s="17"/>
      <c r="R1704" s="25" t="str">
        <f>HYPERLINK("https://ictv.global/taxonomy/taxondetails?taxnode_id=202313538","Gundelvirus Gundel")</f>
        <v>Gundelvirus Gundel</v>
      </c>
      <c r="S1704" s="18" t="s">
        <v>30</v>
      </c>
      <c r="T1704" s="18" t="s">
        <v>8650</v>
      </c>
      <c r="U1704" s="18" t="s">
        <v>8651</v>
      </c>
      <c r="V1704" s="18"/>
      <c r="W1704" s="18" t="s">
        <v>8652</v>
      </c>
      <c r="X1704" s="18" t="s">
        <v>42</v>
      </c>
      <c r="Y1704" s="18" t="s">
        <v>36</v>
      </c>
      <c r="Z1704" s="18" t="s">
        <v>697</v>
      </c>
      <c r="AA1704" s="21" t="str">
        <f>HYPERLINK("https://www.ncbi.nlm.nih.gov/nuccore/MT732474","NCBI Nucleotide")</f>
        <v>NCBI Nucleotide</v>
      </c>
    </row>
    <row r="1705" spans="1:27" x14ac:dyDescent="0.35">
      <c r="A1705">
        <v>1002086</v>
      </c>
      <c r="B1705">
        <v>1681</v>
      </c>
      <c r="C1705">
        <v>1</v>
      </c>
      <c r="D1705" s="17" t="s">
        <v>155</v>
      </c>
      <c r="E1705" s="17"/>
      <c r="F1705" s="17" t="s">
        <v>156</v>
      </c>
      <c r="G1705" s="17"/>
      <c r="H1705" s="17" t="s">
        <v>692</v>
      </c>
      <c r="I1705" s="17"/>
      <c r="J1705" s="17" t="s">
        <v>693</v>
      </c>
      <c r="K1705" s="17"/>
      <c r="L1705" s="17"/>
      <c r="M1705" s="17"/>
      <c r="N1705" s="17" t="s">
        <v>8653</v>
      </c>
      <c r="O1705" s="17"/>
      <c r="P1705" s="17" t="s">
        <v>8654</v>
      </c>
      <c r="Q1705" s="17"/>
      <c r="R1705" s="25" t="str">
        <f>HYPERLINK("https://ictv.global/taxonomy/taxondetails?taxnode_id=202307980","Aptresvirus AP3")</f>
        <v>Aptresvirus AP3</v>
      </c>
      <c r="S1705" s="18" t="s">
        <v>30</v>
      </c>
      <c r="T1705" s="18" t="s">
        <v>8655</v>
      </c>
      <c r="U1705" s="18"/>
      <c r="V1705" s="18"/>
      <c r="W1705" s="18" t="s">
        <v>8656</v>
      </c>
      <c r="X1705" s="18" t="s">
        <v>42</v>
      </c>
      <c r="Y1705" s="18" t="s">
        <v>36</v>
      </c>
      <c r="Z1705" s="18" t="s">
        <v>697</v>
      </c>
      <c r="AA1705" s="21" t="str">
        <f>HYPERLINK("https://www.ncbi.nlm.nih.gov/nuccore/KP966108","NCBI Nucleotide")</f>
        <v>NCBI Nucleotide</v>
      </c>
    </row>
    <row r="1706" spans="1:27" x14ac:dyDescent="0.35">
      <c r="A1706">
        <v>1002087</v>
      </c>
      <c r="B1706">
        <v>1682</v>
      </c>
      <c r="C1706">
        <v>1</v>
      </c>
      <c r="D1706" s="17" t="s">
        <v>155</v>
      </c>
      <c r="E1706" s="17"/>
      <c r="F1706" s="17" t="s">
        <v>156</v>
      </c>
      <c r="G1706" s="17"/>
      <c r="H1706" s="17" t="s">
        <v>692</v>
      </c>
      <c r="I1706" s="17"/>
      <c r="J1706" s="17" t="s">
        <v>693</v>
      </c>
      <c r="K1706" s="17"/>
      <c r="L1706" s="17"/>
      <c r="M1706" s="17"/>
      <c r="N1706" s="17" t="s">
        <v>8653</v>
      </c>
      <c r="O1706" s="17"/>
      <c r="P1706" s="17" t="s">
        <v>8654</v>
      </c>
      <c r="Q1706" s="17"/>
      <c r="R1706" s="25" t="str">
        <f>HYPERLINK("https://ictv.global/taxonomy/taxondetails?taxnode_id=202312846","Aptresvirus mana")</f>
        <v>Aptresvirus mana</v>
      </c>
      <c r="S1706" s="18" t="s">
        <v>30</v>
      </c>
      <c r="T1706" s="18" t="s">
        <v>8657</v>
      </c>
      <c r="U1706" s="18"/>
      <c r="V1706" s="18"/>
      <c r="W1706" s="18" t="s">
        <v>8658</v>
      </c>
      <c r="X1706" s="18" t="s">
        <v>42</v>
      </c>
      <c r="Y1706" s="18" t="s">
        <v>36</v>
      </c>
      <c r="Z1706" s="18" t="s">
        <v>697</v>
      </c>
      <c r="AA1706" s="21" t="str">
        <f>HYPERLINK("https://www.ncbi.nlm.nih.gov/nuccore/MT701591","NCBI Nucleotide")</f>
        <v>NCBI Nucleotide</v>
      </c>
    </row>
    <row r="1707" spans="1:27" x14ac:dyDescent="0.35">
      <c r="A1707">
        <v>1002088</v>
      </c>
      <c r="B1707">
        <v>1683</v>
      </c>
      <c r="C1707">
        <v>1</v>
      </c>
      <c r="D1707" s="17" t="s">
        <v>155</v>
      </c>
      <c r="E1707" s="17"/>
      <c r="F1707" s="17" t="s">
        <v>156</v>
      </c>
      <c r="G1707" s="17"/>
      <c r="H1707" s="17" t="s">
        <v>692</v>
      </c>
      <c r="I1707" s="17"/>
      <c r="J1707" s="17" t="s">
        <v>693</v>
      </c>
      <c r="K1707" s="17"/>
      <c r="L1707" s="17"/>
      <c r="M1707" s="17"/>
      <c r="N1707" s="17" t="s">
        <v>8653</v>
      </c>
      <c r="O1707" s="17"/>
      <c r="P1707" s="17" t="s">
        <v>8659</v>
      </c>
      <c r="Q1707" s="17"/>
      <c r="R1707" s="25" t="str">
        <f>HYPERLINK("https://ictv.global/taxonomy/taxondetails?taxnode_id=202300242","Aresaunavirus RSA1")</f>
        <v>Aresaunavirus RSA1</v>
      </c>
      <c r="S1707" s="18" t="s">
        <v>30</v>
      </c>
      <c r="T1707" s="18" t="s">
        <v>8660</v>
      </c>
      <c r="U1707" s="18"/>
      <c r="V1707" s="18"/>
      <c r="W1707" s="18" t="s">
        <v>8661</v>
      </c>
      <c r="X1707" s="18" t="s">
        <v>42</v>
      </c>
      <c r="Y1707" s="18" t="s">
        <v>36</v>
      </c>
      <c r="Z1707" s="18" t="s">
        <v>697</v>
      </c>
      <c r="AA1707" s="21" t="str">
        <f>HYPERLINK("https://www.ncbi.nlm.nih.gov/nuccore/AB276040","NCBI Nucleotide")</f>
        <v>NCBI Nucleotide</v>
      </c>
    </row>
    <row r="1708" spans="1:27" x14ac:dyDescent="0.35">
      <c r="A1708">
        <v>1002089</v>
      </c>
      <c r="B1708">
        <v>1684</v>
      </c>
      <c r="C1708">
        <v>1</v>
      </c>
      <c r="D1708" s="17" t="s">
        <v>155</v>
      </c>
      <c r="E1708" s="17"/>
      <c r="F1708" s="17" t="s">
        <v>156</v>
      </c>
      <c r="G1708" s="17"/>
      <c r="H1708" s="17" t="s">
        <v>692</v>
      </c>
      <c r="I1708" s="17"/>
      <c r="J1708" s="17" t="s">
        <v>693</v>
      </c>
      <c r="K1708" s="17"/>
      <c r="L1708" s="17"/>
      <c r="M1708" s="17"/>
      <c r="N1708" s="17" t="s">
        <v>8653</v>
      </c>
      <c r="O1708" s="17"/>
      <c r="P1708" s="17" t="s">
        <v>8659</v>
      </c>
      <c r="Q1708" s="17"/>
      <c r="R1708" s="25" t="str">
        <f>HYPERLINK("https://ictv.global/taxonomy/taxondetails?taxnode_id=202311582","Aresaunavirus RsoM1USA")</f>
        <v>Aresaunavirus RsoM1USA</v>
      </c>
      <c r="S1708" s="18" t="s">
        <v>30</v>
      </c>
      <c r="T1708" s="18" t="s">
        <v>8662</v>
      </c>
      <c r="U1708" s="18"/>
      <c r="V1708" s="18"/>
      <c r="W1708" s="18" t="s">
        <v>8663</v>
      </c>
      <c r="X1708" s="18" t="s">
        <v>42</v>
      </c>
      <c r="Y1708" s="18" t="s">
        <v>36</v>
      </c>
      <c r="Z1708" s="18" t="s">
        <v>697</v>
      </c>
      <c r="AA1708" s="21" t="str">
        <f>HYPERLINK("https://www.ncbi.nlm.nih.gov/nuccore/MG747435","NCBI Nucleotide")</f>
        <v>NCBI Nucleotide</v>
      </c>
    </row>
    <row r="1709" spans="1:27" x14ac:dyDescent="0.35">
      <c r="A1709">
        <v>1002090</v>
      </c>
      <c r="B1709">
        <v>1685</v>
      </c>
      <c r="C1709">
        <v>1</v>
      </c>
      <c r="D1709" s="17" t="s">
        <v>155</v>
      </c>
      <c r="E1709" s="17"/>
      <c r="F1709" s="17" t="s">
        <v>156</v>
      </c>
      <c r="G1709" s="17"/>
      <c r="H1709" s="17" t="s">
        <v>692</v>
      </c>
      <c r="I1709" s="17"/>
      <c r="J1709" s="17" t="s">
        <v>693</v>
      </c>
      <c r="K1709" s="17"/>
      <c r="L1709" s="17"/>
      <c r="M1709" s="17"/>
      <c r="N1709" s="17" t="s">
        <v>8653</v>
      </c>
      <c r="O1709" s="17"/>
      <c r="P1709" s="17" t="s">
        <v>8664</v>
      </c>
      <c r="Q1709" s="17"/>
      <c r="R1709" s="25" t="str">
        <f>HYPERLINK("https://ictv.global/taxonomy/taxondetails?taxnode_id=202314744","Arsenicumvirus M163")</f>
        <v>Arsenicumvirus M163</v>
      </c>
      <c r="S1709" s="18" t="s">
        <v>30</v>
      </c>
      <c r="T1709" s="18" t="s">
        <v>8665</v>
      </c>
      <c r="U1709" s="18"/>
      <c r="V1709" s="18"/>
      <c r="W1709" s="18" t="s">
        <v>8666</v>
      </c>
      <c r="X1709" s="18" t="s">
        <v>42</v>
      </c>
      <c r="Y1709" s="18" t="s">
        <v>36</v>
      </c>
      <c r="Z1709" s="18" t="s">
        <v>697</v>
      </c>
      <c r="AA1709" s="21" t="str">
        <f>HYPERLINK("https://www.ncbi.nlm.nih.gov/nuccore/MZ568829","NCBI Nucleotide")</f>
        <v>NCBI Nucleotide</v>
      </c>
    </row>
    <row r="1710" spans="1:27" x14ac:dyDescent="0.35">
      <c r="A1710">
        <v>1002091</v>
      </c>
      <c r="B1710">
        <v>1686</v>
      </c>
      <c r="C1710">
        <v>1</v>
      </c>
      <c r="D1710" s="17" t="s">
        <v>155</v>
      </c>
      <c r="E1710" s="17"/>
      <c r="F1710" s="17" t="s">
        <v>156</v>
      </c>
      <c r="G1710" s="17"/>
      <c r="H1710" s="17" t="s">
        <v>692</v>
      </c>
      <c r="I1710" s="17"/>
      <c r="J1710" s="17" t="s">
        <v>693</v>
      </c>
      <c r="K1710" s="17"/>
      <c r="L1710" s="17"/>
      <c r="M1710" s="17"/>
      <c r="N1710" s="17" t="s">
        <v>8653</v>
      </c>
      <c r="O1710" s="17"/>
      <c r="P1710" s="17" t="s">
        <v>8667</v>
      </c>
      <c r="Q1710" s="17"/>
      <c r="R1710" s="25" t="str">
        <f>HYPERLINK("https://ictv.global/taxonomy/taxondetails?taxnode_id=202307982","Arsyunavirus RSY1")</f>
        <v>Arsyunavirus RSY1</v>
      </c>
      <c r="S1710" s="18" t="s">
        <v>30</v>
      </c>
      <c r="T1710" s="18" t="s">
        <v>8668</v>
      </c>
      <c r="U1710" s="18"/>
      <c r="V1710" s="18"/>
      <c r="W1710" s="18" t="s">
        <v>8669</v>
      </c>
      <c r="X1710" s="18" t="s">
        <v>42</v>
      </c>
      <c r="Y1710" s="18" t="s">
        <v>36</v>
      </c>
      <c r="Z1710" s="18" t="s">
        <v>697</v>
      </c>
      <c r="AA1710" s="21" t="str">
        <f>HYPERLINK("https://www.ncbi.nlm.nih.gov/nuccore/AB981169","NCBI Nucleotide")</f>
        <v>NCBI Nucleotide</v>
      </c>
    </row>
    <row r="1711" spans="1:27" x14ac:dyDescent="0.35">
      <c r="A1711">
        <v>1002092</v>
      </c>
      <c r="B1711">
        <v>1687</v>
      </c>
      <c r="C1711">
        <v>1</v>
      </c>
      <c r="D1711" s="17" t="s">
        <v>155</v>
      </c>
      <c r="E1711" s="17"/>
      <c r="F1711" s="17" t="s">
        <v>156</v>
      </c>
      <c r="G1711" s="17"/>
      <c r="H1711" s="17" t="s">
        <v>692</v>
      </c>
      <c r="I1711" s="17"/>
      <c r="J1711" s="17" t="s">
        <v>693</v>
      </c>
      <c r="K1711" s="17"/>
      <c r="L1711" s="17"/>
      <c r="M1711" s="17"/>
      <c r="N1711" s="17" t="s">
        <v>8653</v>
      </c>
      <c r="O1711" s="17"/>
      <c r="P1711" s="17" t="s">
        <v>8670</v>
      </c>
      <c r="Q1711" s="17"/>
      <c r="R1711" s="25" t="str">
        <f>HYPERLINK("https://ictv.global/taxonomy/taxondetails?taxnode_id=202307975","Baylorvirus bv1127AP1")</f>
        <v>Baylorvirus bv1127AP1</v>
      </c>
      <c r="S1711" s="18" t="s">
        <v>30</v>
      </c>
      <c r="T1711" s="18" t="s">
        <v>8671</v>
      </c>
      <c r="U1711" s="18"/>
      <c r="V1711" s="18"/>
      <c r="W1711" s="18" t="s">
        <v>8672</v>
      </c>
      <c r="X1711" s="18" t="s">
        <v>42</v>
      </c>
      <c r="Y1711" s="18" t="s">
        <v>36</v>
      </c>
      <c r="Z1711" s="18" t="s">
        <v>697</v>
      </c>
      <c r="AA1711" s="21" t="str">
        <f>HYPERLINK("https://www.ncbi.nlm.nih.gov/nuccore/KP137436","NCBI Nucleotide")</f>
        <v>NCBI Nucleotide</v>
      </c>
    </row>
    <row r="1712" spans="1:27" x14ac:dyDescent="0.35">
      <c r="A1712">
        <v>1002093</v>
      </c>
      <c r="B1712">
        <v>1688</v>
      </c>
      <c r="C1712">
        <v>1</v>
      </c>
      <c r="D1712" s="17" t="s">
        <v>155</v>
      </c>
      <c r="E1712" s="17"/>
      <c r="F1712" s="17" t="s">
        <v>156</v>
      </c>
      <c r="G1712" s="17"/>
      <c r="H1712" s="17" t="s">
        <v>692</v>
      </c>
      <c r="I1712" s="17"/>
      <c r="J1712" s="17" t="s">
        <v>693</v>
      </c>
      <c r="K1712" s="17"/>
      <c r="L1712" s="17"/>
      <c r="M1712" s="17"/>
      <c r="N1712" s="17" t="s">
        <v>8653</v>
      </c>
      <c r="O1712" s="17"/>
      <c r="P1712" s="17" t="s">
        <v>8670</v>
      </c>
      <c r="Q1712" s="17"/>
      <c r="R1712" s="25" t="str">
        <f>HYPERLINK("https://ictv.global/taxonomy/taxondetails?taxnode_id=202300240","Baylorvirus PHL101")</f>
        <v>Baylorvirus PHL101</v>
      </c>
      <c r="S1712" s="18" t="s">
        <v>30</v>
      </c>
      <c r="T1712" s="18" t="s">
        <v>8673</v>
      </c>
      <c r="U1712" s="18"/>
      <c r="V1712" s="18"/>
      <c r="W1712" s="18" t="s">
        <v>8674</v>
      </c>
      <c r="X1712" s="18" t="s">
        <v>42</v>
      </c>
      <c r="Y1712" s="18" t="s">
        <v>36</v>
      </c>
      <c r="Z1712" s="18" t="s">
        <v>697</v>
      </c>
      <c r="AA1712" s="21" t="str">
        <f>HYPERLINK("https://www.ncbi.nlm.nih.gov/nuccore/DQ426904","NCBI Nucleotide")</f>
        <v>NCBI Nucleotide</v>
      </c>
    </row>
    <row r="1713" spans="1:27" x14ac:dyDescent="0.35">
      <c r="A1713">
        <v>1024712</v>
      </c>
      <c r="B1713">
        <v>1689</v>
      </c>
      <c r="C1713">
        <v>1</v>
      </c>
      <c r="D1713" s="17" t="s">
        <v>155</v>
      </c>
      <c r="E1713" s="17"/>
      <c r="F1713" s="17" t="s">
        <v>156</v>
      </c>
      <c r="G1713" s="17"/>
      <c r="H1713" s="17" t="s">
        <v>692</v>
      </c>
      <c r="I1713" s="17"/>
      <c r="J1713" s="17" t="s">
        <v>693</v>
      </c>
      <c r="K1713" s="17"/>
      <c r="L1713" s="17"/>
      <c r="M1713" s="17"/>
      <c r="N1713" s="17" t="s">
        <v>8653</v>
      </c>
      <c r="O1713" s="17"/>
      <c r="P1713" s="17" t="s">
        <v>8675</v>
      </c>
      <c r="Q1713" s="17"/>
      <c r="R1713" s="25" t="str">
        <f>HYPERLINK("https://ictv.global/taxonomy/taxondetails?taxnode_id=202319226","Bielevirus A051")</f>
        <v>Bielevirus A051</v>
      </c>
      <c r="S1713" s="18" t="s">
        <v>30</v>
      </c>
      <c r="T1713" s="18" t="s">
        <v>39419</v>
      </c>
      <c r="U1713" s="18"/>
      <c r="V1713" s="18"/>
      <c r="W1713" s="18" t="s">
        <v>48161</v>
      </c>
      <c r="X1713" s="18" t="s">
        <v>42</v>
      </c>
      <c r="Y1713" s="18" t="s">
        <v>36</v>
      </c>
      <c r="Z1713" s="18" t="s">
        <v>697</v>
      </c>
      <c r="AA1713" s="21" t="str">
        <f>HYPERLINK("https://www.ncbi.nlm.nih.gov/nuccore/OP484843","NCBI Nucleotide")</f>
        <v>NCBI Nucleotide</v>
      </c>
    </row>
    <row r="1714" spans="1:27" x14ac:dyDescent="0.35">
      <c r="A1714">
        <v>1002094</v>
      </c>
      <c r="B1714">
        <v>1690</v>
      </c>
      <c r="C1714">
        <v>1</v>
      </c>
      <c r="D1714" s="17" t="s">
        <v>155</v>
      </c>
      <c r="E1714" s="17"/>
      <c r="F1714" s="17" t="s">
        <v>156</v>
      </c>
      <c r="G1714" s="17"/>
      <c r="H1714" s="17" t="s">
        <v>692</v>
      </c>
      <c r="I1714" s="17"/>
      <c r="J1714" s="17" t="s">
        <v>693</v>
      </c>
      <c r="K1714" s="17"/>
      <c r="L1714" s="17"/>
      <c r="M1714" s="17"/>
      <c r="N1714" s="17" t="s">
        <v>8653</v>
      </c>
      <c r="O1714" s="17"/>
      <c r="P1714" s="17" t="s">
        <v>8675</v>
      </c>
      <c r="Q1714" s="17"/>
      <c r="R1714" s="25" t="str">
        <f>HYPERLINK("https://ictv.global/taxonomy/taxondetails?taxnode_id=202300227","Bielevirus phiO18P")</f>
        <v>Bielevirus phiO18P</v>
      </c>
      <c r="S1714" s="18" t="s">
        <v>30</v>
      </c>
      <c r="T1714" s="18" t="s">
        <v>8676</v>
      </c>
      <c r="U1714" s="18"/>
      <c r="V1714" s="18"/>
      <c r="W1714" s="18" t="s">
        <v>8677</v>
      </c>
      <c r="X1714" s="18" t="s">
        <v>42</v>
      </c>
      <c r="Y1714" s="18" t="s">
        <v>36</v>
      </c>
      <c r="Z1714" s="18" t="s">
        <v>697</v>
      </c>
      <c r="AA1714" s="21" t="str">
        <f>HYPERLINK("https://www.ncbi.nlm.nih.gov/nuccore/DQ674738","NCBI Nucleotide")</f>
        <v>NCBI Nucleotide</v>
      </c>
    </row>
    <row r="1715" spans="1:27" x14ac:dyDescent="0.35">
      <c r="A1715">
        <v>1002095</v>
      </c>
      <c r="B1715">
        <v>1691</v>
      </c>
      <c r="C1715">
        <v>1</v>
      </c>
      <c r="D1715" s="17" t="s">
        <v>155</v>
      </c>
      <c r="E1715" s="17"/>
      <c r="F1715" s="17" t="s">
        <v>156</v>
      </c>
      <c r="G1715" s="17"/>
      <c r="H1715" s="17" t="s">
        <v>692</v>
      </c>
      <c r="I1715" s="17"/>
      <c r="J1715" s="17" t="s">
        <v>693</v>
      </c>
      <c r="K1715" s="17"/>
      <c r="L1715" s="17"/>
      <c r="M1715" s="17"/>
      <c r="N1715" s="17" t="s">
        <v>8653</v>
      </c>
      <c r="O1715" s="17"/>
      <c r="P1715" s="17" t="s">
        <v>8678</v>
      </c>
      <c r="Q1715" s="17"/>
      <c r="R1715" s="25" t="str">
        <f>HYPERLINK("https://ictv.global/taxonomy/taxondetails?taxnode_id=202312852","Bracchivirus U2F1")</f>
        <v>Bracchivirus U2F1</v>
      </c>
      <c r="S1715" s="18" t="s">
        <v>30</v>
      </c>
      <c r="T1715" s="18" t="s">
        <v>8679</v>
      </c>
      <c r="U1715" s="18"/>
      <c r="V1715" s="18"/>
      <c r="W1715" s="18" t="s">
        <v>8680</v>
      </c>
      <c r="X1715" s="18" t="s">
        <v>42</v>
      </c>
      <c r="Y1715" s="18" t="s">
        <v>36</v>
      </c>
      <c r="Z1715" s="18" t="s">
        <v>697</v>
      </c>
      <c r="AA1715" s="21" t="str">
        <f>HYPERLINK("https://www.ncbi.nlm.nih.gov/nuccore/MF417929","NCBI Nucleotide")</f>
        <v>NCBI Nucleotide</v>
      </c>
    </row>
    <row r="1716" spans="1:27" x14ac:dyDescent="0.35">
      <c r="A1716">
        <v>1002096</v>
      </c>
      <c r="B1716">
        <v>1692</v>
      </c>
      <c r="C1716">
        <v>1</v>
      </c>
      <c r="D1716" s="17" t="s">
        <v>155</v>
      </c>
      <c r="E1716" s="17"/>
      <c r="F1716" s="17" t="s">
        <v>156</v>
      </c>
      <c r="G1716" s="17"/>
      <c r="H1716" s="17" t="s">
        <v>692</v>
      </c>
      <c r="I1716" s="17"/>
      <c r="J1716" s="17" t="s">
        <v>693</v>
      </c>
      <c r="K1716" s="17"/>
      <c r="L1716" s="17"/>
      <c r="M1716" s="17"/>
      <c r="N1716" s="17" t="s">
        <v>8653</v>
      </c>
      <c r="O1716" s="17"/>
      <c r="P1716" s="17" t="s">
        <v>8681</v>
      </c>
      <c r="Q1716" s="17"/>
      <c r="R1716" s="25" t="str">
        <f>HYPERLINK("https://ictv.global/taxonomy/taxondetails?taxnode_id=202307970","Canoevirus canoe")</f>
        <v>Canoevirus canoe</v>
      </c>
      <c r="S1716" s="18" t="s">
        <v>30</v>
      </c>
      <c r="T1716" s="18" t="s">
        <v>8682</v>
      </c>
      <c r="U1716" s="18"/>
      <c r="V1716" s="18"/>
      <c r="W1716" s="18" t="s">
        <v>8683</v>
      </c>
      <c r="X1716" s="18" t="s">
        <v>154</v>
      </c>
      <c r="Y1716" s="18" t="s">
        <v>36</v>
      </c>
      <c r="Z1716" s="18" t="s">
        <v>697</v>
      </c>
      <c r="AA1716" s="21" t="str">
        <f>HYPERLINK("https://www.ncbi.nlm.nih.gov/nuccore/MG592573","NCBI Nucleotide")</f>
        <v>NCBI Nucleotide</v>
      </c>
    </row>
    <row r="1717" spans="1:27" x14ac:dyDescent="0.35">
      <c r="A1717">
        <v>1002097</v>
      </c>
      <c r="B1717">
        <v>1693</v>
      </c>
      <c r="C1717">
        <v>1</v>
      </c>
      <c r="D1717" s="17" t="s">
        <v>155</v>
      </c>
      <c r="E1717" s="17"/>
      <c r="F1717" s="17" t="s">
        <v>156</v>
      </c>
      <c r="G1717" s="17"/>
      <c r="H1717" s="17" t="s">
        <v>692</v>
      </c>
      <c r="I1717" s="17"/>
      <c r="J1717" s="17" t="s">
        <v>693</v>
      </c>
      <c r="K1717" s="17"/>
      <c r="L1717" s="17"/>
      <c r="M1717" s="17"/>
      <c r="N1717" s="17" t="s">
        <v>8653</v>
      </c>
      <c r="O1717" s="17"/>
      <c r="P1717" s="17" t="s">
        <v>8684</v>
      </c>
      <c r="Q1717" s="17"/>
      <c r="R1717" s="25" t="str">
        <f>HYPERLINK("https://ictv.global/taxonomy/taxondetails?taxnode_id=202307946","Catalunyavirus C5a")</f>
        <v>Catalunyavirus C5a</v>
      </c>
      <c r="S1717" s="18" t="s">
        <v>30</v>
      </c>
      <c r="T1717" s="18" t="s">
        <v>8685</v>
      </c>
      <c r="U1717" s="18"/>
      <c r="V1717" s="18"/>
      <c r="W1717" s="18" t="s">
        <v>8686</v>
      </c>
      <c r="X1717" s="18" t="s">
        <v>42</v>
      </c>
      <c r="Y1717" s="18" t="s">
        <v>36</v>
      </c>
      <c r="Z1717" s="18" t="s">
        <v>697</v>
      </c>
      <c r="AA1717" s="21" t="str">
        <f>HYPERLINK("https://www.ncbi.nlm.nih.gov/nuccore/KY045851","NCBI Nucleotide")</f>
        <v>NCBI Nucleotide</v>
      </c>
    </row>
    <row r="1718" spans="1:27" x14ac:dyDescent="0.35">
      <c r="A1718">
        <v>1002098</v>
      </c>
      <c r="B1718">
        <v>1694</v>
      </c>
      <c r="C1718">
        <v>1</v>
      </c>
      <c r="D1718" s="17" t="s">
        <v>155</v>
      </c>
      <c r="E1718" s="17"/>
      <c r="F1718" s="17" t="s">
        <v>156</v>
      </c>
      <c r="G1718" s="17"/>
      <c r="H1718" s="17" t="s">
        <v>692</v>
      </c>
      <c r="I1718" s="17"/>
      <c r="J1718" s="17" t="s">
        <v>693</v>
      </c>
      <c r="K1718" s="17"/>
      <c r="L1718" s="17"/>
      <c r="M1718" s="17"/>
      <c r="N1718" s="17" t="s">
        <v>8653</v>
      </c>
      <c r="O1718" s="17"/>
      <c r="P1718" s="17" t="s">
        <v>8687</v>
      </c>
      <c r="Q1718" s="17"/>
      <c r="R1718" s="25" t="str">
        <f>HYPERLINK("https://ictv.global/taxonomy/taxondetails?taxnode_id=202312868","Citexvirus BR319A")</f>
        <v>Citexvirus BR319A</v>
      </c>
      <c r="S1718" s="18" t="s">
        <v>30</v>
      </c>
      <c r="T1718" s="18" t="s">
        <v>8688</v>
      </c>
      <c r="U1718" s="18"/>
      <c r="V1718" s="18"/>
      <c r="W1718" s="18" t="s">
        <v>8689</v>
      </c>
      <c r="X1718" s="18" t="s">
        <v>154</v>
      </c>
      <c r="Y1718" s="18" t="s">
        <v>36</v>
      </c>
      <c r="Z1718" s="18" t="s">
        <v>697</v>
      </c>
      <c r="AA1718" s="21" t="str">
        <f>HYPERLINK("https://www.ncbi.nlm.nih.gov/nuccore/MK511066","NCBI Nucleotide")</f>
        <v>NCBI Nucleotide</v>
      </c>
    </row>
    <row r="1719" spans="1:27" x14ac:dyDescent="0.35">
      <c r="A1719">
        <v>1002099</v>
      </c>
      <c r="B1719">
        <v>1695</v>
      </c>
      <c r="C1719">
        <v>1</v>
      </c>
      <c r="D1719" s="17" t="s">
        <v>155</v>
      </c>
      <c r="E1719" s="17"/>
      <c r="F1719" s="17" t="s">
        <v>156</v>
      </c>
      <c r="G1719" s="17"/>
      <c r="H1719" s="17" t="s">
        <v>692</v>
      </c>
      <c r="I1719" s="17"/>
      <c r="J1719" s="17" t="s">
        <v>693</v>
      </c>
      <c r="K1719" s="17"/>
      <c r="L1719" s="17"/>
      <c r="M1719" s="17"/>
      <c r="N1719" s="17" t="s">
        <v>8653</v>
      </c>
      <c r="O1719" s="17"/>
      <c r="P1719" s="17" t="s">
        <v>8687</v>
      </c>
      <c r="Q1719" s="17"/>
      <c r="R1719" s="25" t="str">
        <f>HYPERLINK("https://ictv.global/taxonomy/taxondetails?taxnode_id=202307962","Citexvirus dobby")</f>
        <v>Citexvirus dobby</v>
      </c>
      <c r="S1719" s="18" t="s">
        <v>30</v>
      </c>
      <c r="T1719" s="18" t="s">
        <v>8690</v>
      </c>
      <c r="U1719" s="18"/>
      <c r="V1719" s="18"/>
      <c r="W1719" s="18" t="s">
        <v>8691</v>
      </c>
      <c r="X1719" s="18" t="s">
        <v>42</v>
      </c>
      <c r="Y1719" s="18" t="s">
        <v>36</v>
      </c>
      <c r="Z1719" s="18" t="s">
        <v>697</v>
      </c>
      <c r="AA1719" s="21" t="str">
        <f>HYPERLINK("https://www.ncbi.nlm.nih.gov/nuccore/MK034952","NCBI Nucleotide")</f>
        <v>NCBI Nucleotide</v>
      </c>
    </row>
    <row r="1720" spans="1:27" x14ac:dyDescent="0.35">
      <c r="A1720">
        <v>1002100</v>
      </c>
      <c r="B1720">
        <v>1696</v>
      </c>
      <c r="C1720">
        <v>1</v>
      </c>
      <c r="D1720" s="17" t="s">
        <v>155</v>
      </c>
      <c r="E1720" s="17"/>
      <c r="F1720" s="17" t="s">
        <v>156</v>
      </c>
      <c r="G1720" s="17"/>
      <c r="H1720" s="17" t="s">
        <v>692</v>
      </c>
      <c r="I1720" s="17"/>
      <c r="J1720" s="17" t="s">
        <v>693</v>
      </c>
      <c r="K1720" s="17"/>
      <c r="L1720" s="17"/>
      <c r="M1720" s="17"/>
      <c r="N1720" s="17" t="s">
        <v>8653</v>
      </c>
      <c r="O1720" s="17"/>
      <c r="P1720" s="17" t="s">
        <v>8687</v>
      </c>
      <c r="Q1720" s="17"/>
      <c r="R1720" s="25" t="str">
        <f>HYPERLINK("https://ictv.global/taxonomy/taxondetails?taxnode_id=202300241","Citexvirus phiCTX")</f>
        <v>Citexvirus phiCTX</v>
      </c>
      <c r="S1720" s="18" t="s">
        <v>30</v>
      </c>
      <c r="T1720" s="18" t="s">
        <v>8692</v>
      </c>
      <c r="U1720" s="18"/>
      <c r="V1720" s="18"/>
      <c r="W1720" s="18" t="s">
        <v>8693</v>
      </c>
      <c r="X1720" s="18" t="s">
        <v>42</v>
      </c>
      <c r="Y1720" s="18" t="s">
        <v>36</v>
      </c>
      <c r="Z1720" s="18" t="s">
        <v>697</v>
      </c>
      <c r="AA1720" s="21" t="str">
        <f>HYPERLINK("https://www.ncbi.nlm.nih.gov/nuccore/AB008550","NCBI Nucleotide")</f>
        <v>NCBI Nucleotide</v>
      </c>
    </row>
    <row r="1721" spans="1:27" x14ac:dyDescent="0.35">
      <c r="A1721">
        <v>1002101</v>
      </c>
      <c r="B1721">
        <v>1697</v>
      </c>
      <c r="C1721">
        <v>1</v>
      </c>
      <c r="D1721" s="17" t="s">
        <v>155</v>
      </c>
      <c r="E1721" s="17"/>
      <c r="F1721" s="17" t="s">
        <v>156</v>
      </c>
      <c r="G1721" s="17"/>
      <c r="H1721" s="17" t="s">
        <v>692</v>
      </c>
      <c r="I1721" s="17"/>
      <c r="J1721" s="17" t="s">
        <v>693</v>
      </c>
      <c r="K1721" s="17"/>
      <c r="L1721" s="17"/>
      <c r="M1721" s="17"/>
      <c r="N1721" s="17" t="s">
        <v>8653</v>
      </c>
      <c r="O1721" s="17"/>
      <c r="P1721" s="17" t="s">
        <v>8687</v>
      </c>
      <c r="Q1721" s="17"/>
      <c r="R1721" s="25" t="str">
        <f>HYPERLINK("https://ictv.global/taxonomy/taxondetails?taxnode_id=202312867","Citexvirus PS75V")</f>
        <v>Citexvirus PS75V</v>
      </c>
      <c r="S1721" s="18" t="s">
        <v>30</v>
      </c>
      <c r="T1721" s="18" t="s">
        <v>8694</v>
      </c>
      <c r="U1721" s="18"/>
      <c r="V1721" s="18"/>
      <c r="W1721" s="18" t="s">
        <v>8695</v>
      </c>
      <c r="X1721" s="18" t="s">
        <v>42</v>
      </c>
      <c r="Y1721" s="18" t="s">
        <v>36</v>
      </c>
      <c r="Z1721" s="18" t="s">
        <v>697</v>
      </c>
      <c r="AA1721" s="21" t="str">
        <f>HYPERLINK("https://www.ncbi.nlm.nih.gov/nuccore/KK213166","NCBI Nucleotide")</f>
        <v>NCBI Nucleotide</v>
      </c>
    </row>
    <row r="1722" spans="1:27" x14ac:dyDescent="0.35">
      <c r="A1722">
        <v>1002102</v>
      </c>
      <c r="B1722">
        <v>1698</v>
      </c>
      <c r="C1722">
        <v>1</v>
      </c>
      <c r="D1722" s="17" t="s">
        <v>155</v>
      </c>
      <c r="E1722" s="17"/>
      <c r="F1722" s="17" t="s">
        <v>156</v>
      </c>
      <c r="G1722" s="17"/>
      <c r="H1722" s="17" t="s">
        <v>692</v>
      </c>
      <c r="I1722" s="17"/>
      <c r="J1722" s="17" t="s">
        <v>693</v>
      </c>
      <c r="K1722" s="17"/>
      <c r="L1722" s="17"/>
      <c r="M1722" s="17"/>
      <c r="N1722" s="17" t="s">
        <v>8653</v>
      </c>
      <c r="O1722" s="17"/>
      <c r="P1722" s="17" t="s">
        <v>8696</v>
      </c>
      <c r="Q1722" s="17"/>
      <c r="R1722" s="25" t="str">
        <f>HYPERLINK("https://ictv.global/taxonomy/taxondetails?taxnode_id=202311599","Dagavirus ST13OXA48phi121")</f>
        <v>Dagavirus ST13OXA48phi121</v>
      </c>
      <c r="S1722" s="18" t="s">
        <v>30</v>
      </c>
      <c r="T1722" s="18" t="s">
        <v>8697</v>
      </c>
      <c r="U1722" s="18"/>
      <c r="V1722" s="18"/>
      <c r="W1722" s="18" t="s">
        <v>8698</v>
      </c>
      <c r="X1722" s="18" t="s">
        <v>42</v>
      </c>
      <c r="Y1722" s="18" t="s">
        <v>36</v>
      </c>
      <c r="Z1722" s="18" t="s">
        <v>697</v>
      </c>
      <c r="AA1722" s="21" t="str">
        <f>HYPERLINK("https://www.ncbi.nlm.nih.gov/nuccore/MK422453","NCBI Nucleotide")</f>
        <v>NCBI Nucleotide</v>
      </c>
    </row>
    <row r="1723" spans="1:27" x14ac:dyDescent="0.35">
      <c r="A1723">
        <v>1002103</v>
      </c>
      <c r="B1723">
        <v>1699</v>
      </c>
      <c r="C1723">
        <v>1</v>
      </c>
      <c r="D1723" s="17" t="s">
        <v>155</v>
      </c>
      <c r="E1723" s="17"/>
      <c r="F1723" s="17" t="s">
        <v>156</v>
      </c>
      <c r="G1723" s="17"/>
      <c r="H1723" s="17" t="s">
        <v>692</v>
      </c>
      <c r="I1723" s="17"/>
      <c r="J1723" s="17" t="s">
        <v>693</v>
      </c>
      <c r="K1723" s="17"/>
      <c r="L1723" s="17"/>
      <c r="M1723" s="17"/>
      <c r="N1723" s="17" t="s">
        <v>8653</v>
      </c>
      <c r="O1723" s="17"/>
      <c r="P1723" s="17" t="s">
        <v>8699</v>
      </c>
      <c r="Q1723" s="17"/>
      <c r="R1723" s="25" t="str">
        <f>HYPERLINK("https://ictv.global/taxonomy/taxondetails?taxnode_id=202300235","Duodecimduovirus phiE122")</f>
        <v>Duodecimduovirus phiE122</v>
      </c>
      <c r="S1723" s="18" t="s">
        <v>30</v>
      </c>
      <c r="T1723" s="18" t="s">
        <v>8700</v>
      </c>
      <c r="U1723" s="18"/>
      <c r="V1723" s="18"/>
      <c r="W1723" s="18" t="s">
        <v>8701</v>
      </c>
      <c r="X1723" s="18" t="s">
        <v>42</v>
      </c>
      <c r="Y1723" s="18" t="s">
        <v>36</v>
      </c>
      <c r="Z1723" s="18" t="s">
        <v>697</v>
      </c>
      <c r="AA1723" s="21" t="str">
        <f>HYPERLINK("https://www.ncbi.nlm.nih.gov/nuccore/CP000624","NCBI Nucleotide")</f>
        <v>NCBI Nucleotide</v>
      </c>
    </row>
    <row r="1724" spans="1:27" x14ac:dyDescent="0.35">
      <c r="A1724">
        <v>1002106</v>
      </c>
      <c r="B1724">
        <v>1700</v>
      </c>
      <c r="C1724">
        <v>1</v>
      </c>
      <c r="D1724" s="17" t="s">
        <v>155</v>
      </c>
      <c r="E1724" s="17"/>
      <c r="F1724" s="17" t="s">
        <v>156</v>
      </c>
      <c r="G1724" s="17"/>
      <c r="H1724" s="17" t="s">
        <v>692</v>
      </c>
      <c r="I1724" s="17"/>
      <c r="J1724" s="17" t="s">
        <v>693</v>
      </c>
      <c r="K1724" s="17"/>
      <c r="L1724" s="17"/>
      <c r="M1724" s="17"/>
      <c r="N1724" s="17" t="s">
        <v>8653</v>
      </c>
      <c r="O1724" s="17"/>
      <c r="P1724" s="17" t="s">
        <v>8702</v>
      </c>
      <c r="Q1724" s="17"/>
      <c r="R1724" s="25" t="str">
        <f>HYPERLINK("https://ictv.global/taxonomy/taxondetails?taxnode_id=202314739","Duonihilunusvirus YenM5617")</f>
        <v>Duonihilunusvirus YenM5617</v>
      </c>
      <c r="S1724" s="18" t="s">
        <v>30</v>
      </c>
      <c r="T1724" s="18" t="s">
        <v>8707</v>
      </c>
      <c r="U1724" s="18"/>
      <c r="V1724" s="18"/>
      <c r="W1724" s="18" t="s">
        <v>8708</v>
      </c>
      <c r="X1724" s="18" t="s">
        <v>42</v>
      </c>
      <c r="Y1724" s="18" t="s">
        <v>36</v>
      </c>
      <c r="Z1724" s="18" t="s">
        <v>697</v>
      </c>
      <c r="AA1724" s="21" t="str">
        <f>HYPERLINK("https://www.ncbi.nlm.nih.gov/nuccore/OM046627","NCBI Nucleotide")</f>
        <v>NCBI Nucleotide</v>
      </c>
    </row>
    <row r="1725" spans="1:27" x14ac:dyDescent="0.35">
      <c r="A1725">
        <v>1002104</v>
      </c>
      <c r="B1725">
        <v>1701</v>
      </c>
      <c r="C1725">
        <v>1</v>
      </c>
      <c r="D1725" s="17" t="s">
        <v>155</v>
      </c>
      <c r="E1725" s="17"/>
      <c r="F1725" s="17" t="s">
        <v>156</v>
      </c>
      <c r="G1725" s="17"/>
      <c r="H1725" s="17" t="s">
        <v>692</v>
      </c>
      <c r="I1725" s="17"/>
      <c r="J1725" s="17" t="s">
        <v>693</v>
      </c>
      <c r="K1725" s="17"/>
      <c r="L1725" s="17"/>
      <c r="M1725" s="17"/>
      <c r="N1725" s="17" t="s">
        <v>8653</v>
      </c>
      <c r="O1725" s="17"/>
      <c r="P1725" s="17" t="s">
        <v>8702</v>
      </c>
      <c r="Q1725" s="17"/>
      <c r="R1725" s="25" t="str">
        <f>HYPERLINK("https://ictv.global/taxonomy/taxondetails?taxnode_id=202314740","Duonihilunusvirus YenM06162")</f>
        <v>Duonihilunusvirus YenM06162</v>
      </c>
      <c r="S1725" s="18" t="s">
        <v>30</v>
      </c>
      <c r="T1725" s="18" t="s">
        <v>8703</v>
      </c>
      <c r="U1725" s="18"/>
      <c r="V1725" s="18"/>
      <c r="W1725" s="18" t="s">
        <v>8704</v>
      </c>
      <c r="X1725" s="18" t="s">
        <v>42</v>
      </c>
      <c r="Y1725" s="18" t="s">
        <v>36</v>
      </c>
      <c r="Z1725" s="18" t="s">
        <v>697</v>
      </c>
      <c r="AA1725" s="21" t="str">
        <f>HYPERLINK("https://www.ncbi.nlm.nih.gov/nuccore/OM046626","NCBI Nucleotide")</f>
        <v>NCBI Nucleotide</v>
      </c>
    </row>
    <row r="1726" spans="1:27" x14ac:dyDescent="0.35">
      <c r="A1726">
        <v>1002105</v>
      </c>
      <c r="B1726">
        <v>1702</v>
      </c>
      <c r="C1726">
        <v>1</v>
      </c>
      <c r="D1726" s="17" t="s">
        <v>155</v>
      </c>
      <c r="E1726" s="17"/>
      <c r="F1726" s="17" t="s">
        <v>156</v>
      </c>
      <c r="G1726" s="17"/>
      <c r="H1726" s="17" t="s">
        <v>692</v>
      </c>
      <c r="I1726" s="17"/>
      <c r="J1726" s="17" t="s">
        <v>693</v>
      </c>
      <c r="K1726" s="17"/>
      <c r="L1726" s="17"/>
      <c r="M1726" s="17"/>
      <c r="N1726" s="17" t="s">
        <v>8653</v>
      </c>
      <c r="O1726" s="17"/>
      <c r="P1726" s="17" t="s">
        <v>8702</v>
      </c>
      <c r="Q1726" s="17"/>
      <c r="R1726" s="25" t="str">
        <f>HYPERLINK("https://ictv.global/taxonomy/taxondetails?taxnode_id=202314738","Duonihilunusvirus YenM20116")</f>
        <v>Duonihilunusvirus YenM20116</v>
      </c>
      <c r="S1726" s="18" t="s">
        <v>30</v>
      </c>
      <c r="T1726" s="18" t="s">
        <v>8705</v>
      </c>
      <c r="U1726" s="18"/>
      <c r="V1726" s="18"/>
      <c r="W1726" s="18" t="s">
        <v>8706</v>
      </c>
      <c r="X1726" s="18" t="s">
        <v>42</v>
      </c>
      <c r="Y1726" s="18" t="s">
        <v>36</v>
      </c>
      <c r="Z1726" s="18" t="s">
        <v>697</v>
      </c>
      <c r="AA1726" s="21" t="str">
        <f>HYPERLINK("https://www.ncbi.nlm.nih.gov/nuccore/OM046628","NCBI Nucleotide")</f>
        <v>NCBI Nucleotide</v>
      </c>
    </row>
    <row r="1727" spans="1:27" x14ac:dyDescent="0.35">
      <c r="A1727">
        <v>1002107</v>
      </c>
      <c r="B1727">
        <v>1703</v>
      </c>
      <c r="C1727">
        <v>1</v>
      </c>
      <c r="D1727" s="17" t="s">
        <v>155</v>
      </c>
      <c r="E1727" s="17"/>
      <c r="F1727" s="17" t="s">
        <v>156</v>
      </c>
      <c r="G1727" s="17"/>
      <c r="H1727" s="17" t="s">
        <v>692</v>
      </c>
      <c r="I1727" s="17"/>
      <c r="J1727" s="17" t="s">
        <v>693</v>
      </c>
      <c r="K1727" s="17"/>
      <c r="L1727" s="17"/>
      <c r="M1727" s="17"/>
      <c r="N1727" s="17" t="s">
        <v>8653</v>
      </c>
      <c r="O1727" s="17"/>
      <c r="P1727" s="17" t="s">
        <v>8709</v>
      </c>
      <c r="Q1727" s="17"/>
      <c r="R1727" s="25" t="str">
        <f>HYPERLINK("https://ictv.global/taxonomy/taxondetails?taxnode_id=202314735","Eganvirus BIS20")</f>
        <v>Eganvirus BIS20</v>
      </c>
      <c r="S1727" s="18" t="s">
        <v>30</v>
      </c>
      <c r="T1727" s="18" t="s">
        <v>8710</v>
      </c>
      <c r="U1727" s="18"/>
      <c r="V1727" s="18"/>
      <c r="W1727" s="18" t="s">
        <v>8711</v>
      </c>
      <c r="X1727" s="18" t="s">
        <v>42</v>
      </c>
      <c r="Y1727" s="18" t="s">
        <v>36</v>
      </c>
      <c r="Z1727" s="18" t="s">
        <v>697</v>
      </c>
      <c r="AA1727" s="21" t="str">
        <f>HYPERLINK("https://www.ncbi.nlm.nih.gov/nuccore/MZ520833","NCBI Nucleotide")</f>
        <v>NCBI Nucleotide</v>
      </c>
    </row>
    <row r="1728" spans="1:27" x14ac:dyDescent="0.35">
      <c r="A1728">
        <v>1002108</v>
      </c>
      <c r="B1728">
        <v>1704</v>
      </c>
      <c r="C1728">
        <v>1</v>
      </c>
      <c r="D1728" s="17" t="s">
        <v>155</v>
      </c>
      <c r="E1728" s="17"/>
      <c r="F1728" s="17" t="s">
        <v>156</v>
      </c>
      <c r="G1728" s="17"/>
      <c r="H1728" s="17" t="s">
        <v>692</v>
      </c>
      <c r="I1728" s="17"/>
      <c r="J1728" s="17" t="s">
        <v>693</v>
      </c>
      <c r="K1728" s="17"/>
      <c r="L1728" s="17"/>
      <c r="M1728" s="17"/>
      <c r="N1728" s="17" t="s">
        <v>8653</v>
      </c>
      <c r="O1728" s="17"/>
      <c r="P1728" s="17" t="s">
        <v>8709</v>
      </c>
      <c r="Q1728" s="17"/>
      <c r="R1728" s="25" t="str">
        <f>HYPERLINK("https://ictv.global/taxonomy/taxondetails?taxnode_id=202307973","Eganvirus EtG")</f>
        <v>Eganvirus EtG</v>
      </c>
      <c r="S1728" s="18" t="s">
        <v>30</v>
      </c>
      <c r="T1728" s="18" t="s">
        <v>8712</v>
      </c>
      <c r="U1728" s="18"/>
      <c r="V1728" s="18"/>
      <c r="W1728" s="18" t="s">
        <v>8713</v>
      </c>
      <c r="X1728" s="18" t="s">
        <v>42</v>
      </c>
      <c r="Y1728" s="18" t="s">
        <v>36</v>
      </c>
      <c r="Z1728" s="18" t="s">
        <v>697</v>
      </c>
      <c r="AA1728" s="21" t="str">
        <f>HYPERLINK("https://www.ncbi.nlm.nih.gov/nuccore/MF276773","NCBI Nucleotide")</f>
        <v>NCBI Nucleotide</v>
      </c>
    </row>
    <row r="1729" spans="1:27" x14ac:dyDescent="0.35">
      <c r="A1729">
        <v>1002109</v>
      </c>
      <c r="B1729">
        <v>1705</v>
      </c>
      <c r="C1729">
        <v>1</v>
      </c>
      <c r="D1729" s="17" t="s">
        <v>155</v>
      </c>
      <c r="E1729" s="17"/>
      <c r="F1729" s="17" t="s">
        <v>156</v>
      </c>
      <c r="G1729" s="17"/>
      <c r="H1729" s="17" t="s">
        <v>692</v>
      </c>
      <c r="I1729" s="17"/>
      <c r="J1729" s="17" t="s">
        <v>693</v>
      </c>
      <c r="K1729" s="17"/>
      <c r="L1729" s="17"/>
      <c r="M1729" s="17"/>
      <c r="N1729" s="17" t="s">
        <v>8653</v>
      </c>
      <c r="O1729" s="17"/>
      <c r="P1729" s="17" t="s">
        <v>8709</v>
      </c>
      <c r="Q1729" s="17"/>
      <c r="R1729" s="25" t="str">
        <f>HYPERLINK("https://ictv.global/taxonomy/taxondetails?taxnode_id=202300237","Eganvirus ev186")</f>
        <v>Eganvirus ev186</v>
      </c>
      <c r="S1729" s="18" t="s">
        <v>30</v>
      </c>
      <c r="T1729" s="18" t="s">
        <v>8714</v>
      </c>
      <c r="U1729" s="18"/>
      <c r="V1729" s="18"/>
      <c r="W1729" s="18" t="s">
        <v>8715</v>
      </c>
      <c r="X1729" s="18" t="s">
        <v>42</v>
      </c>
      <c r="Y1729" s="18" t="s">
        <v>36</v>
      </c>
      <c r="Z1729" s="18" t="s">
        <v>697</v>
      </c>
      <c r="AA1729" s="21" t="str">
        <f>HYPERLINK("https://www.ncbi.nlm.nih.gov/nuccore/U32222","NCBI Nucleotide")</f>
        <v>NCBI Nucleotide</v>
      </c>
    </row>
    <row r="1730" spans="1:27" x14ac:dyDescent="0.35">
      <c r="A1730">
        <v>1002110</v>
      </c>
      <c r="B1730">
        <v>1706</v>
      </c>
      <c r="C1730">
        <v>1</v>
      </c>
      <c r="D1730" s="17" t="s">
        <v>155</v>
      </c>
      <c r="E1730" s="17"/>
      <c r="F1730" s="17" t="s">
        <v>156</v>
      </c>
      <c r="G1730" s="17"/>
      <c r="H1730" s="17" t="s">
        <v>692</v>
      </c>
      <c r="I1730" s="17"/>
      <c r="J1730" s="17" t="s">
        <v>693</v>
      </c>
      <c r="K1730" s="17"/>
      <c r="L1730" s="17"/>
      <c r="M1730" s="17"/>
      <c r="N1730" s="17" t="s">
        <v>8653</v>
      </c>
      <c r="O1730" s="17"/>
      <c r="P1730" s="17" t="s">
        <v>8709</v>
      </c>
      <c r="Q1730" s="17"/>
      <c r="R1730" s="25" t="str">
        <f>HYPERLINK("https://ictv.global/taxonomy/taxondetails?taxnode_id=202300244","Eganvirus PsP3")</f>
        <v>Eganvirus PsP3</v>
      </c>
      <c r="S1730" s="18" t="s">
        <v>30</v>
      </c>
      <c r="T1730" s="18" t="s">
        <v>8716</v>
      </c>
      <c r="U1730" s="18"/>
      <c r="V1730" s="18"/>
      <c r="W1730" s="18" t="s">
        <v>8717</v>
      </c>
      <c r="X1730" s="18" t="s">
        <v>42</v>
      </c>
      <c r="Y1730" s="18" t="s">
        <v>36</v>
      </c>
      <c r="Z1730" s="18" t="s">
        <v>697</v>
      </c>
      <c r="AA1730" s="21" t="str">
        <f>HYPERLINK("https://www.ncbi.nlm.nih.gov/nuccore/AY135486","NCBI Nucleotide")</f>
        <v>NCBI Nucleotide</v>
      </c>
    </row>
    <row r="1731" spans="1:27" x14ac:dyDescent="0.35">
      <c r="A1731">
        <v>1002111</v>
      </c>
      <c r="B1731">
        <v>1707</v>
      </c>
      <c r="C1731">
        <v>1</v>
      </c>
      <c r="D1731" s="17" t="s">
        <v>155</v>
      </c>
      <c r="E1731" s="17"/>
      <c r="F1731" s="17" t="s">
        <v>156</v>
      </c>
      <c r="G1731" s="17"/>
      <c r="H1731" s="17" t="s">
        <v>692</v>
      </c>
      <c r="I1731" s="17"/>
      <c r="J1731" s="17" t="s">
        <v>693</v>
      </c>
      <c r="K1731" s="17"/>
      <c r="L1731" s="17"/>
      <c r="M1731" s="17"/>
      <c r="N1731" s="17" t="s">
        <v>8653</v>
      </c>
      <c r="O1731" s="17"/>
      <c r="P1731" s="17" t="s">
        <v>8709</v>
      </c>
      <c r="Q1731" s="17"/>
      <c r="R1731" s="25" t="str">
        <f>HYPERLINK("https://ictv.global/taxonomy/taxondetails?taxnode_id=202307972","Eganvirus SEN1")</f>
        <v>Eganvirus SEN1</v>
      </c>
      <c r="S1731" s="18" t="s">
        <v>30</v>
      </c>
      <c r="T1731" s="18" t="s">
        <v>8718</v>
      </c>
      <c r="U1731" s="18"/>
      <c r="V1731" s="18"/>
      <c r="W1731" s="18" t="s">
        <v>8719</v>
      </c>
      <c r="X1731" s="18" t="s">
        <v>42</v>
      </c>
      <c r="Y1731" s="18" t="s">
        <v>36</v>
      </c>
      <c r="Z1731" s="18" t="s">
        <v>697</v>
      </c>
      <c r="AA1731" s="21" t="str">
        <f>HYPERLINK("https://www.ncbi.nlm.nih.gov/nuccore/KT630644","NCBI Nucleotide")</f>
        <v>NCBI Nucleotide</v>
      </c>
    </row>
    <row r="1732" spans="1:27" x14ac:dyDescent="0.35">
      <c r="A1732">
        <v>1002112</v>
      </c>
      <c r="B1732">
        <v>1708</v>
      </c>
      <c r="C1732">
        <v>1</v>
      </c>
      <c r="D1732" s="17" t="s">
        <v>155</v>
      </c>
      <c r="E1732" s="17"/>
      <c r="F1732" s="17" t="s">
        <v>156</v>
      </c>
      <c r="G1732" s="17"/>
      <c r="H1732" s="17" t="s">
        <v>692</v>
      </c>
      <c r="I1732" s="17"/>
      <c r="J1732" s="17" t="s">
        <v>693</v>
      </c>
      <c r="K1732" s="17"/>
      <c r="L1732" s="17"/>
      <c r="M1732" s="17"/>
      <c r="N1732" s="17" t="s">
        <v>8653</v>
      </c>
      <c r="O1732" s="17"/>
      <c r="P1732" s="17" t="s">
        <v>8709</v>
      </c>
      <c r="Q1732" s="17"/>
      <c r="R1732" s="25" t="str">
        <f>HYPERLINK("https://ictv.global/taxonomy/taxondetails?taxnode_id=202311607","Eganvirus SW9")</f>
        <v>Eganvirus SW9</v>
      </c>
      <c r="S1732" s="18" t="s">
        <v>30</v>
      </c>
      <c r="T1732" s="18" t="s">
        <v>8720</v>
      </c>
      <c r="U1732" s="18"/>
      <c r="V1732" s="18"/>
      <c r="W1732" s="18" t="s">
        <v>8721</v>
      </c>
      <c r="X1732" s="18" t="s">
        <v>42</v>
      </c>
      <c r="Y1732" s="18" t="s">
        <v>36</v>
      </c>
      <c r="Z1732" s="18" t="s">
        <v>697</v>
      </c>
      <c r="AA1732" s="21" t="str">
        <f>HYPERLINK("https://www.ncbi.nlm.nih.gov/nuccore/MK972711","NCBI Nucleotide")</f>
        <v>NCBI Nucleotide</v>
      </c>
    </row>
    <row r="1733" spans="1:27" x14ac:dyDescent="0.35">
      <c r="A1733">
        <v>1002113</v>
      </c>
      <c r="B1733">
        <v>1709</v>
      </c>
      <c r="C1733">
        <v>1</v>
      </c>
      <c r="D1733" s="17" t="s">
        <v>155</v>
      </c>
      <c r="E1733" s="17"/>
      <c r="F1733" s="17" t="s">
        <v>156</v>
      </c>
      <c r="G1733" s="17"/>
      <c r="H1733" s="17" t="s">
        <v>692</v>
      </c>
      <c r="I1733" s="17"/>
      <c r="J1733" s="17" t="s">
        <v>693</v>
      </c>
      <c r="K1733" s="17"/>
      <c r="L1733" s="17"/>
      <c r="M1733" s="17"/>
      <c r="N1733" s="17" t="s">
        <v>8653</v>
      </c>
      <c r="O1733" s="17"/>
      <c r="P1733" s="17" t="s">
        <v>8722</v>
      </c>
      <c r="Q1733" s="17"/>
      <c r="R1733" s="25" t="str">
        <f>HYPERLINK("https://ictv.global/taxonomy/taxondetails?taxnode_id=202307956","Elveevirus 4LV2017")</f>
        <v>Elveevirus 4LV2017</v>
      </c>
      <c r="S1733" s="18" t="s">
        <v>30</v>
      </c>
      <c r="T1733" s="18" t="s">
        <v>8723</v>
      </c>
      <c r="U1733" s="18"/>
      <c r="V1733" s="18"/>
      <c r="W1733" s="18" t="s">
        <v>8724</v>
      </c>
      <c r="X1733" s="18" t="s">
        <v>42</v>
      </c>
      <c r="Y1733" s="18" t="s">
        <v>36</v>
      </c>
      <c r="Z1733" s="18" t="s">
        <v>697</v>
      </c>
      <c r="AA1733" s="21" t="str">
        <f>HYPERLINK("https://www.ncbi.nlm.nih.gov/nuccore/KY271398","NCBI Nucleotide")</f>
        <v>NCBI Nucleotide</v>
      </c>
    </row>
    <row r="1734" spans="1:27" x14ac:dyDescent="0.35">
      <c r="A1734">
        <v>1002114</v>
      </c>
      <c r="B1734">
        <v>1710</v>
      </c>
      <c r="C1734">
        <v>1</v>
      </c>
      <c r="D1734" s="17" t="s">
        <v>155</v>
      </c>
      <c r="E1734" s="17"/>
      <c r="F1734" s="17" t="s">
        <v>156</v>
      </c>
      <c r="G1734" s="17"/>
      <c r="H1734" s="17" t="s">
        <v>692</v>
      </c>
      <c r="I1734" s="17"/>
      <c r="J1734" s="17" t="s">
        <v>693</v>
      </c>
      <c r="K1734" s="17"/>
      <c r="L1734" s="17"/>
      <c r="M1734" s="17"/>
      <c r="N1734" s="17" t="s">
        <v>8653</v>
      </c>
      <c r="O1734" s="17"/>
      <c r="P1734" s="17" t="s">
        <v>8722</v>
      </c>
      <c r="Q1734" s="17"/>
      <c r="R1734" s="25" t="str">
        <f>HYPERLINK("https://ictv.global/taxonomy/taxondetails?taxnode_id=202314733","Elveevirus cartapus")</f>
        <v>Elveevirus cartapus</v>
      </c>
      <c r="S1734" s="18" t="s">
        <v>30</v>
      </c>
      <c r="T1734" s="18" t="s">
        <v>8725</v>
      </c>
      <c r="U1734" s="18"/>
      <c r="V1734" s="18"/>
      <c r="W1734" s="18" t="s">
        <v>8726</v>
      </c>
      <c r="X1734" s="18" t="s">
        <v>42</v>
      </c>
      <c r="Y1734" s="18" t="s">
        <v>36</v>
      </c>
      <c r="Z1734" s="18" t="s">
        <v>697</v>
      </c>
      <c r="AA1734" s="21" t="str">
        <f>HYPERLINK("https://www.ncbi.nlm.nih.gov/nuccore/OV696611","NCBI Nucleotide")</f>
        <v>NCBI Nucleotide</v>
      </c>
    </row>
    <row r="1735" spans="1:27" x14ac:dyDescent="0.35">
      <c r="A1735">
        <v>1002311</v>
      </c>
      <c r="B1735">
        <v>1711</v>
      </c>
      <c r="C1735">
        <v>1</v>
      </c>
      <c r="D1735" s="17" t="s">
        <v>155</v>
      </c>
      <c r="E1735" s="17"/>
      <c r="F1735" s="17" t="s">
        <v>156</v>
      </c>
      <c r="G1735" s="17"/>
      <c r="H1735" s="17" t="s">
        <v>692</v>
      </c>
      <c r="I1735" s="17"/>
      <c r="J1735" s="17" t="s">
        <v>693</v>
      </c>
      <c r="K1735" s="17"/>
      <c r="L1735" s="17"/>
      <c r="M1735" s="17"/>
      <c r="N1735" s="17" t="s">
        <v>8653</v>
      </c>
      <c r="O1735" s="17"/>
      <c r="P1735" s="17" t="s">
        <v>8722</v>
      </c>
      <c r="Q1735" s="17"/>
      <c r="R1735" s="25" t="str">
        <f>HYPERLINK("https://ictv.global/taxonomy/taxondetails?taxnode_id=202312872","Elveevirus V13P477T2")</f>
        <v>Elveevirus V13P477T2</v>
      </c>
      <c r="S1735" s="18" t="s">
        <v>30</v>
      </c>
      <c r="T1735" s="18" t="s">
        <v>8923</v>
      </c>
      <c r="U1735" s="18"/>
      <c r="V1735" s="18"/>
      <c r="W1735" s="18" t="s">
        <v>8924</v>
      </c>
      <c r="X1735" s="18" t="s">
        <v>42</v>
      </c>
      <c r="Y1735" s="18" t="s">
        <v>36</v>
      </c>
      <c r="Z1735" s="18" t="s">
        <v>697</v>
      </c>
      <c r="AA1735" s="21" t="str">
        <f>HYPERLINK("https://www.ncbi.nlm.nih.gov/nuccore/CP019275","NCBI Nucleotide")</f>
        <v>NCBI Nucleotide</v>
      </c>
    </row>
    <row r="1736" spans="1:27" x14ac:dyDescent="0.35">
      <c r="A1736">
        <v>1002115</v>
      </c>
      <c r="B1736">
        <v>1712</v>
      </c>
      <c r="C1736">
        <v>1</v>
      </c>
      <c r="D1736" s="17" t="s">
        <v>155</v>
      </c>
      <c r="E1736" s="17"/>
      <c r="F1736" s="17" t="s">
        <v>156</v>
      </c>
      <c r="G1736" s="17"/>
      <c r="H1736" s="17" t="s">
        <v>692</v>
      </c>
      <c r="I1736" s="17"/>
      <c r="J1736" s="17" t="s">
        <v>693</v>
      </c>
      <c r="K1736" s="17"/>
      <c r="L1736" s="17"/>
      <c r="M1736" s="17"/>
      <c r="N1736" s="17" t="s">
        <v>8653</v>
      </c>
      <c r="O1736" s="17"/>
      <c r="P1736" s="17" t="s">
        <v>8727</v>
      </c>
      <c r="Q1736" s="17"/>
      <c r="R1736" s="25" t="str">
        <f>HYPERLINK("https://ictv.global/taxonomy/taxondetails?taxnode_id=202307950","Entnonagintavirus ENT90")</f>
        <v>Entnonagintavirus ENT90</v>
      </c>
      <c r="S1736" s="18" t="s">
        <v>30</v>
      </c>
      <c r="T1736" s="18" t="s">
        <v>8728</v>
      </c>
      <c r="U1736" s="18"/>
      <c r="V1736" s="18"/>
      <c r="W1736" s="18" t="s">
        <v>8729</v>
      </c>
      <c r="X1736" s="18" t="s">
        <v>42</v>
      </c>
      <c r="Y1736" s="18" t="s">
        <v>36</v>
      </c>
      <c r="Z1736" s="18" t="s">
        <v>697</v>
      </c>
      <c r="AA1736" s="21" t="str">
        <f>HYPERLINK("https://www.ncbi.nlm.nih.gov/nuccore/HQ110084","NCBI Nucleotide")</f>
        <v>NCBI Nucleotide</v>
      </c>
    </row>
    <row r="1737" spans="1:27" x14ac:dyDescent="0.35">
      <c r="A1737">
        <v>1002116</v>
      </c>
      <c r="B1737">
        <v>1713</v>
      </c>
      <c r="C1737">
        <v>1</v>
      </c>
      <c r="D1737" s="17" t="s">
        <v>155</v>
      </c>
      <c r="E1737" s="17"/>
      <c r="F1737" s="17" t="s">
        <v>156</v>
      </c>
      <c r="G1737" s="17"/>
      <c r="H1737" s="17" t="s">
        <v>692</v>
      </c>
      <c r="I1737" s="17"/>
      <c r="J1737" s="17" t="s">
        <v>693</v>
      </c>
      <c r="K1737" s="17"/>
      <c r="L1737" s="17"/>
      <c r="M1737" s="17"/>
      <c r="N1737" s="17" t="s">
        <v>8653</v>
      </c>
      <c r="O1737" s="17"/>
      <c r="P1737" s="17" t="s">
        <v>8730</v>
      </c>
      <c r="Q1737" s="17"/>
      <c r="R1737" s="25" t="str">
        <f>HYPERLINK("https://ictv.global/taxonomy/taxondetails?taxnode_id=202311587","Evevirus ev239")</f>
        <v>Evevirus ev239</v>
      </c>
      <c r="S1737" s="18" t="s">
        <v>30</v>
      </c>
      <c r="T1737" s="18" t="s">
        <v>8731</v>
      </c>
      <c r="U1737" s="18"/>
      <c r="V1737" s="18"/>
      <c r="W1737" s="18" t="s">
        <v>8732</v>
      </c>
      <c r="X1737" s="18" t="s">
        <v>42</v>
      </c>
      <c r="Y1737" s="18" t="s">
        <v>36</v>
      </c>
      <c r="Z1737" s="18" t="s">
        <v>697</v>
      </c>
      <c r="AA1737" s="21" t="str">
        <f>HYPERLINK("https://www.ncbi.nlm.nih.gov/nuccore/LR597637","NCBI Nucleotide")</f>
        <v>NCBI Nucleotide</v>
      </c>
    </row>
    <row r="1738" spans="1:27" x14ac:dyDescent="0.35">
      <c r="A1738">
        <v>1002117</v>
      </c>
      <c r="B1738">
        <v>1714</v>
      </c>
      <c r="C1738">
        <v>1</v>
      </c>
      <c r="D1738" s="17" t="s">
        <v>155</v>
      </c>
      <c r="E1738" s="17"/>
      <c r="F1738" s="17" t="s">
        <v>156</v>
      </c>
      <c r="G1738" s="17"/>
      <c r="H1738" s="17" t="s">
        <v>692</v>
      </c>
      <c r="I1738" s="17"/>
      <c r="J1738" s="17" t="s">
        <v>693</v>
      </c>
      <c r="K1738" s="17"/>
      <c r="L1738" s="17"/>
      <c r="M1738" s="17"/>
      <c r="N1738" s="17" t="s">
        <v>8653</v>
      </c>
      <c r="O1738" s="17"/>
      <c r="P1738" s="17" t="s">
        <v>8733</v>
      </c>
      <c r="Q1738" s="17"/>
      <c r="R1738" s="25" t="str">
        <f>HYPERLINK("https://ictv.global/taxonomy/taxondetails?taxnode_id=202300243","Felsduovirus Fels2")</f>
        <v>Felsduovirus Fels2</v>
      </c>
      <c r="S1738" s="18" t="s">
        <v>30</v>
      </c>
      <c r="T1738" s="18" t="s">
        <v>8734</v>
      </c>
      <c r="U1738" s="18"/>
      <c r="V1738" s="18"/>
      <c r="W1738" s="18" t="s">
        <v>8735</v>
      </c>
      <c r="X1738" s="18" t="s">
        <v>42</v>
      </c>
      <c r="Y1738" s="18" t="s">
        <v>36</v>
      </c>
      <c r="Z1738" s="18" t="s">
        <v>697</v>
      </c>
      <c r="AA1738" s="21" t="str">
        <f>HYPERLINK("https://www.ncbi.nlm.nih.gov/nuccore/AE006468","NCBI Nucleotide")</f>
        <v>NCBI Nucleotide</v>
      </c>
    </row>
    <row r="1739" spans="1:27" x14ac:dyDescent="0.35">
      <c r="A1739">
        <v>1002118</v>
      </c>
      <c r="B1739">
        <v>1715</v>
      </c>
      <c r="C1739">
        <v>1</v>
      </c>
      <c r="D1739" s="17" t="s">
        <v>155</v>
      </c>
      <c r="E1739" s="17"/>
      <c r="F1739" s="17" t="s">
        <v>156</v>
      </c>
      <c r="G1739" s="17"/>
      <c r="H1739" s="17" t="s">
        <v>692</v>
      </c>
      <c r="I1739" s="17"/>
      <c r="J1739" s="17" t="s">
        <v>693</v>
      </c>
      <c r="K1739" s="17"/>
      <c r="L1739" s="17"/>
      <c r="M1739" s="17"/>
      <c r="N1739" s="17" t="s">
        <v>8653</v>
      </c>
      <c r="O1739" s="17"/>
      <c r="P1739" s="17" t="s">
        <v>8733</v>
      </c>
      <c r="Q1739" s="17"/>
      <c r="R1739" s="25" t="str">
        <f>HYPERLINK("https://ictv.global/taxonomy/taxondetails?taxnode_id=202312871","Felsduovirus IN60")</f>
        <v>Felsduovirus IN60</v>
      </c>
      <c r="S1739" s="18" t="s">
        <v>30</v>
      </c>
      <c r="T1739" s="18" t="s">
        <v>8736</v>
      </c>
      <c r="U1739" s="18"/>
      <c r="V1739" s="18"/>
      <c r="W1739" s="18" t="s">
        <v>8737</v>
      </c>
      <c r="X1739" s="18" t="s">
        <v>42</v>
      </c>
      <c r="Y1739" s="18" t="s">
        <v>36</v>
      </c>
      <c r="Z1739" s="18" t="s">
        <v>697</v>
      </c>
      <c r="AA1739" s="21" t="str">
        <f>HYPERLINK("https://www.ncbi.nlm.nih.gov/nuccore/QUVN01000024","NCBI Nucleotide")</f>
        <v>NCBI Nucleotide</v>
      </c>
    </row>
    <row r="1740" spans="1:27" x14ac:dyDescent="0.35">
      <c r="A1740">
        <v>1002119</v>
      </c>
      <c r="B1740">
        <v>1716</v>
      </c>
      <c r="C1740">
        <v>1</v>
      </c>
      <c r="D1740" s="17" t="s">
        <v>155</v>
      </c>
      <c r="E1740" s="17"/>
      <c r="F1740" s="17" t="s">
        <v>156</v>
      </c>
      <c r="G1740" s="17"/>
      <c r="H1740" s="17" t="s">
        <v>692</v>
      </c>
      <c r="I1740" s="17"/>
      <c r="J1740" s="17" t="s">
        <v>693</v>
      </c>
      <c r="K1740" s="17"/>
      <c r="L1740" s="17"/>
      <c r="M1740" s="17"/>
      <c r="N1740" s="17" t="s">
        <v>8653</v>
      </c>
      <c r="O1740" s="17"/>
      <c r="P1740" s="17" t="s">
        <v>8733</v>
      </c>
      <c r="Q1740" s="17"/>
      <c r="R1740" s="25" t="str">
        <f>HYPERLINK("https://ictv.global/taxonomy/taxondetails?taxnode_id=202307957","Felsduovirus RE2010")</f>
        <v>Felsduovirus RE2010</v>
      </c>
      <c r="S1740" s="18" t="s">
        <v>30</v>
      </c>
      <c r="T1740" s="18" t="s">
        <v>8738</v>
      </c>
      <c r="U1740" s="18"/>
      <c r="V1740" s="18"/>
      <c r="W1740" s="18" t="s">
        <v>8739</v>
      </c>
      <c r="X1740" s="18" t="s">
        <v>42</v>
      </c>
      <c r="Y1740" s="18" t="s">
        <v>36</v>
      </c>
      <c r="Z1740" s="18" t="s">
        <v>697</v>
      </c>
      <c r="AA1740" s="21" t="str">
        <f>HYPERLINK("https://www.ncbi.nlm.nih.gov/nuccore/HM770079","NCBI Nucleotide")</f>
        <v>NCBI Nucleotide</v>
      </c>
    </row>
    <row r="1741" spans="1:27" x14ac:dyDescent="0.35">
      <c r="A1741">
        <v>1002120</v>
      </c>
      <c r="B1741">
        <v>1717</v>
      </c>
      <c r="C1741">
        <v>1</v>
      </c>
      <c r="D1741" s="17" t="s">
        <v>155</v>
      </c>
      <c r="E1741" s="17"/>
      <c r="F1741" s="17" t="s">
        <v>156</v>
      </c>
      <c r="G1741" s="17"/>
      <c r="H1741" s="17" t="s">
        <v>692</v>
      </c>
      <c r="I1741" s="17"/>
      <c r="J1741" s="17" t="s">
        <v>693</v>
      </c>
      <c r="K1741" s="17"/>
      <c r="L1741" s="17"/>
      <c r="M1741" s="17"/>
      <c r="N1741" s="17" t="s">
        <v>8653</v>
      </c>
      <c r="O1741" s="17"/>
      <c r="P1741" s="17" t="s">
        <v>8733</v>
      </c>
      <c r="Q1741" s="17"/>
      <c r="R1741" s="25" t="str">
        <f>HYPERLINK("https://ictv.global/taxonomy/taxondetails?taxnode_id=202307958","Felsduovirus SEN8")</f>
        <v>Felsduovirus SEN8</v>
      </c>
      <c r="S1741" s="18" t="s">
        <v>30</v>
      </c>
      <c r="T1741" s="18" t="s">
        <v>8740</v>
      </c>
      <c r="U1741" s="18"/>
      <c r="V1741" s="18"/>
      <c r="W1741" s="18" t="s">
        <v>8741</v>
      </c>
      <c r="X1741" s="18" t="s">
        <v>42</v>
      </c>
      <c r="Y1741" s="18" t="s">
        <v>36</v>
      </c>
      <c r="Z1741" s="18" t="s">
        <v>697</v>
      </c>
      <c r="AA1741" s="21" t="str">
        <f>HYPERLINK("https://www.ncbi.nlm.nih.gov/nuccore/KT630647","NCBI Nucleotide")</f>
        <v>NCBI Nucleotide</v>
      </c>
    </row>
    <row r="1742" spans="1:27" x14ac:dyDescent="0.35">
      <c r="A1742">
        <v>1002121</v>
      </c>
      <c r="B1742">
        <v>1718</v>
      </c>
      <c r="C1742">
        <v>1</v>
      </c>
      <c r="D1742" s="17" t="s">
        <v>155</v>
      </c>
      <c r="E1742" s="17"/>
      <c r="F1742" s="17" t="s">
        <v>156</v>
      </c>
      <c r="G1742" s="17"/>
      <c r="H1742" s="17" t="s">
        <v>692</v>
      </c>
      <c r="I1742" s="17"/>
      <c r="J1742" s="17" t="s">
        <v>693</v>
      </c>
      <c r="K1742" s="17"/>
      <c r="L1742" s="17"/>
      <c r="M1742" s="17"/>
      <c r="N1742" s="17" t="s">
        <v>8653</v>
      </c>
      <c r="O1742" s="17"/>
      <c r="P1742" s="17" t="s">
        <v>8733</v>
      </c>
      <c r="Q1742" s="17"/>
      <c r="R1742" s="25" t="str">
        <f>HYPERLINK("https://ictv.global/taxonomy/taxondetails?taxnode_id=202300245","Felsduovirus SopEphi")</f>
        <v>Felsduovirus SopEphi</v>
      </c>
      <c r="S1742" s="18" t="s">
        <v>30</v>
      </c>
      <c r="T1742" s="18" t="s">
        <v>8742</v>
      </c>
      <c r="U1742" s="18"/>
      <c r="V1742" s="18"/>
      <c r="W1742" s="18" t="s">
        <v>8743</v>
      </c>
      <c r="X1742" s="18" t="s">
        <v>42</v>
      </c>
      <c r="Y1742" s="18" t="s">
        <v>36</v>
      </c>
      <c r="Z1742" s="18" t="s">
        <v>697</v>
      </c>
      <c r="AA1742" s="21" t="str">
        <f>HYPERLINK("https://www.ncbi.nlm.nih.gov/nuccore/AY319521","NCBI Nucleotide")</f>
        <v>NCBI Nucleotide</v>
      </c>
    </row>
    <row r="1743" spans="1:27" x14ac:dyDescent="0.35">
      <c r="A1743">
        <v>1002123</v>
      </c>
      <c r="B1743">
        <v>1719</v>
      </c>
      <c r="C1743">
        <v>1</v>
      </c>
      <c r="D1743" s="17" t="s">
        <v>155</v>
      </c>
      <c r="E1743" s="17"/>
      <c r="F1743" s="17" t="s">
        <v>156</v>
      </c>
      <c r="G1743" s="17"/>
      <c r="H1743" s="17" t="s">
        <v>692</v>
      </c>
      <c r="I1743" s="17"/>
      <c r="J1743" s="17" t="s">
        <v>693</v>
      </c>
      <c r="K1743" s="17"/>
      <c r="L1743" s="17"/>
      <c r="M1743" s="17"/>
      <c r="N1743" s="17" t="s">
        <v>8653</v>
      </c>
      <c r="O1743" s="17"/>
      <c r="P1743" s="17" t="s">
        <v>8744</v>
      </c>
      <c r="Q1743" s="17"/>
      <c r="R1743" s="25" t="str">
        <f>HYPERLINK("https://ictv.global/taxonomy/taxondetails?taxnode_id=202312864","Finvirus FIN13")</f>
        <v>Finvirus FIN13</v>
      </c>
      <c r="S1743" s="18" t="s">
        <v>30</v>
      </c>
      <c r="T1743" s="18" t="s">
        <v>8745</v>
      </c>
      <c r="U1743" s="18"/>
      <c r="V1743" s="18"/>
      <c r="W1743" s="18" t="s">
        <v>8746</v>
      </c>
      <c r="X1743" s="18" t="s">
        <v>42</v>
      </c>
      <c r="Y1743" s="18" t="s">
        <v>36</v>
      </c>
      <c r="Z1743" s="18" t="s">
        <v>697</v>
      </c>
      <c r="AA1743" s="21" t="str">
        <f>HYPERLINK("https://www.ncbi.nlm.nih.gov/nuccore/CP038625","NCBI Nucleotide")</f>
        <v>NCBI Nucleotide</v>
      </c>
    </row>
    <row r="1744" spans="1:27" x14ac:dyDescent="0.35">
      <c r="A1744">
        <v>1002124</v>
      </c>
      <c r="B1744">
        <v>1720</v>
      </c>
      <c r="C1744">
        <v>1</v>
      </c>
      <c r="D1744" s="17" t="s">
        <v>155</v>
      </c>
      <c r="E1744" s="17"/>
      <c r="F1744" s="17" t="s">
        <v>156</v>
      </c>
      <c r="G1744" s="17"/>
      <c r="H1744" s="17" t="s">
        <v>692</v>
      </c>
      <c r="I1744" s="17"/>
      <c r="J1744" s="17" t="s">
        <v>693</v>
      </c>
      <c r="K1744" s="17"/>
      <c r="L1744" s="17"/>
      <c r="M1744" s="17"/>
      <c r="N1744" s="17" t="s">
        <v>8653</v>
      </c>
      <c r="O1744" s="17"/>
      <c r="P1744" s="17" t="s">
        <v>8747</v>
      </c>
      <c r="Q1744" s="17"/>
      <c r="R1744" s="25" t="str">
        <f>HYPERLINK("https://ictv.global/taxonomy/taxondetails?taxnode_id=202314737","Firavirus YenM4218")</f>
        <v>Firavirus YenM4218</v>
      </c>
      <c r="S1744" s="18" t="s">
        <v>30</v>
      </c>
      <c r="T1744" s="18" t="s">
        <v>8748</v>
      </c>
      <c r="U1744" s="18"/>
      <c r="V1744" s="18"/>
      <c r="W1744" s="18" t="s">
        <v>8749</v>
      </c>
      <c r="X1744" s="18" t="s">
        <v>42</v>
      </c>
      <c r="Y1744" s="18" t="s">
        <v>36</v>
      </c>
      <c r="Z1744" s="18" t="s">
        <v>697</v>
      </c>
      <c r="AA1744" s="21" t="str">
        <f>HYPERLINK("https://www.ncbi.nlm.nih.gov/nuccore/OM046624","NCBI Nucleotide")</f>
        <v>NCBI Nucleotide</v>
      </c>
    </row>
    <row r="1745" spans="1:27" x14ac:dyDescent="0.35">
      <c r="A1745">
        <v>1002125</v>
      </c>
      <c r="B1745">
        <v>1721</v>
      </c>
      <c r="C1745">
        <v>1</v>
      </c>
      <c r="D1745" s="17" t="s">
        <v>155</v>
      </c>
      <c r="E1745" s="17"/>
      <c r="F1745" s="17" t="s">
        <v>156</v>
      </c>
      <c r="G1745" s="17"/>
      <c r="H1745" s="17" t="s">
        <v>692</v>
      </c>
      <c r="I1745" s="17"/>
      <c r="J1745" s="17" t="s">
        <v>693</v>
      </c>
      <c r="K1745" s="17"/>
      <c r="L1745" s="17"/>
      <c r="M1745" s="17"/>
      <c r="N1745" s="17" t="s">
        <v>8653</v>
      </c>
      <c r="O1745" s="17"/>
      <c r="P1745" s="17" t="s">
        <v>8750</v>
      </c>
      <c r="Q1745" s="17"/>
      <c r="R1745" s="25" t="str">
        <f>HYPERLINK("https://ictv.global/taxonomy/taxondetails?taxnode_id=202311603","Gegavirus ST15OXA48phi141")</f>
        <v>Gegavirus ST15OXA48phi141</v>
      </c>
      <c r="S1745" s="18" t="s">
        <v>30</v>
      </c>
      <c r="T1745" s="18" t="s">
        <v>8751</v>
      </c>
      <c r="U1745" s="18"/>
      <c r="V1745" s="18"/>
      <c r="W1745" s="18" t="s">
        <v>8752</v>
      </c>
      <c r="X1745" s="18" t="s">
        <v>42</v>
      </c>
      <c r="Y1745" s="18" t="s">
        <v>36</v>
      </c>
      <c r="Z1745" s="18" t="s">
        <v>697</v>
      </c>
      <c r="AA1745" s="21" t="str">
        <f>HYPERLINK("https://www.ncbi.nlm.nih.gov/nuccore/MK433578","NCBI Nucleotide")</f>
        <v>NCBI Nucleotide</v>
      </c>
    </row>
    <row r="1746" spans="1:27" x14ac:dyDescent="0.35">
      <c r="A1746">
        <v>1002126</v>
      </c>
      <c r="B1746">
        <v>1722</v>
      </c>
      <c r="C1746">
        <v>1</v>
      </c>
      <c r="D1746" s="17" t="s">
        <v>155</v>
      </c>
      <c r="E1746" s="17"/>
      <c r="F1746" s="17" t="s">
        <v>156</v>
      </c>
      <c r="G1746" s="17"/>
      <c r="H1746" s="17" t="s">
        <v>692</v>
      </c>
      <c r="I1746" s="17"/>
      <c r="J1746" s="17" t="s">
        <v>693</v>
      </c>
      <c r="K1746" s="17"/>
      <c r="L1746" s="17"/>
      <c r="M1746" s="17"/>
      <c r="N1746" s="17" t="s">
        <v>8653</v>
      </c>
      <c r="O1746" s="17"/>
      <c r="P1746" s="17" t="s">
        <v>8753</v>
      </c>
      <c r="Q1746" s="17"/>
      <c r="R1746" s="25" t="str">
        <f>HYPERLINK("https://ictv.global/taxonomy/taxondetails?taxnode_id=202311604","Gegevirus ST437OXA245phi41")</f>
        <v>Gegevirus ST437OXA245phi41</v>
      </c>
      <c r="S1746" s="18" t="s">
        <v>30</v>
      </c>
      <c r="T1746" s="18" t="s">
        <v>8754</v>
      </c>
      <c r="U1746" s="18"/>
      <c r="V1746" s="18"/>
      <c r="W1746" s="18" t="s">
        <v>8755</v>
      </c>
      <c r="X1746" s="18" t="s">
        <v>42</v>
      </c>
      <c r="Y1746" s="18" t="s">
        <v>36</v>
      </c>
      <c r="Z1746" s="18" t="s">
        <v>697</v>
      </c>
      <c r="AA1746" s="21" t="str">
        <f>HYPERLINK("https://www.ncbi.nlm.nih.gov/nuccore/MK416011","NCBI Nucleotide")</f>
        <v>NCBI Nucleotide</v>
      </c>
    </row>
    <row r="1747" spans="1:27" x14ac:dyDescent="0.35">
      <c r="A1747">
        <v>1002127</v>
      </c>
      <c r="B1747">
        <v>1723</v>
      </c>
      <c r="C1747">
        <v>1</v>
      </c>
      <c r="D1747" s="17" t="s">
        <v>155</v>
      </c>
      <c r="E1747" s="17"/>
      <c r="F1747" s="17" t="s">
        <v>156</v>
      </c>
      <c r="G1747" s="17"/>
      <c r="H1747" s="17" t="s">
        <v>692</v>
      </c>
      <c r="I1747" s="17"/>
      <c r="J1747" s="17" t="s">
        <v>693</v>
      </c>
      <c r="K1747" s="17"/>
      <c r="L1747" s="17"/>
      <c r="M1747" s="17"/>
      <c r="N1747" s="17" t="s">
        <v>8653</v>
      </c>
      <c r="O1747" s="17"/>
      <c r="P1747" s="17" t="s">
        <v>8756</v>
      </c>
      <c r="Q1747" s="17"/>
      <c r="R1747" s="25" t="str">
        <f>HYPERLINK("https://ictv.global/taxonomy/taxondetails?taxnode_id=202311591","Gemsvirus gv5004652")</f>
        <v>Gemsvirus gv5004652</v>
      </c>
      <c r="S1747" s="18" t="s">
        <v>30</v>
      </c>
      <c r="T1747" s="18" t="s">
        <v>8757</v>
      </c>
      <c r="U1747" s="18"/>
      <c r="V1747" s="18"/>
      <c r="W1747" s="18" t="s">
        <v>8758</v>
      </c>
      <c r="X1747" s="18" t="s">
        <v>42</v>
      </c>
      <c r="Y1747" s="18" t="s">
        <v>36</v>
      </c>
      <c r="Z1747" s="18" t="s">
        <v>697</v>
      </c>
      <c r="AA1747" s="21" t="str">
        <f>HYPERLINK("https://www.ncbi.nlm.nih.gov/nuccore/CP025901","NCBI Nucleotide")</f>
        <v>NCBI Nucleotide</v>
      </c>
    </row>
    <row r="1748" spans="1:27" x14ac:dyDescent="0.35">
      <c r="A1748">
        <v>1002128</v>
      </c>
      <c r="B1748">
        <v>1724</v>
      </c>
      <c r="C1748">
        <v>1</v>
      </c>
      <c r="D1748" s="17" t="s">
        <v>155</v>
      </c>
      <c r="E1748" s="17"/>
      <c r="F1748" s="17" t="s">
        <v>156</v>
      </c>
      <c r="G1748" s="17"/>
      <c r="H1748" s="17" t="s">
        <v>692</v>
      </c>
      <c r="I1748" s="17"/>
      <c r="J1748" s="17" t="s">
        <v>693</v>
      </c>
      <c r="K1748" s="17"/>
      <c r="L1748" s="17"/>
      <c r="M1748" s="17"/>
      <c r="N1748" s="17" t="s">
        <v>8653</v>
      </c>
      <c r="O1748" s="17"/>
      <c r="P1748" s="17" t="s">
        <v>8759</v>
      </c>
      <c r="Q1748" s="17"/>
      <c r="R1748" s="25" t="str">
        <f>HYPERLINK("https://ictv.global/taxonomy/taxondetails?taxnode_id=202314742","Graikaemvirus YenM3117")</f>
        <v>Graikaemvirus YenM3117</v>
      </c>
      <c r="S1748" s="18" t="s">
        <v>30</v>
      </c>
      <c r="T1748" s="18" t="s">
        <v>8760</v>
      </c>
      <c r="U1748" s="18"/>
      <c r="V1748" s="18"/>
      <c r="W1748" s="18" t="s">
        <v>8761</v>
      </c>
      <c r="X1748" s="18" t="s">
        <v>42</v>
      </c>
      <c r="Y1748" s="18" t="s">
        <v>36</v>
      </c>
      <c r="Z1748" s="18" t="s">
        <v>697</v>
      </c>
      <c r="AA1748" s="21" t="str">
        <f>HYPERLINK("https://www.ncbi.nlm.nih.gov/nuccore/OM140653","NCBI Nucleotide")</f>
        <v>NCBI Nucleotide</v>
      </c>
    </row>
    <row r="1749" spans="1:27" x14ac:dyDescent="0.35">
      <c r="A1749">
        <v>1002129</v>
      </c>
      <c r="B1749">
        <v>1725</v>
      </c>
      <c r="C1749">
        <v>1</v>
      </c>
      <c r="D1749" s="17" t="s">
        <v>155</v>
      </c>
      <c r="E1749" s="17"/>
      <c r="F1749" s="17" t="s">
        <v>156</v>
      </c>
      <c r="G1749" s="17"/>
      <c r="H1749" s="17" t="s">
        <v>692</v>
      </c>
      <c r="I1749" s="17"/>
      <c r="J1749" s="17" t="s">
        <v>693</v>
      </c>
      <c r="K1749" s="17"/>
      <c r="L1749" s="17"/>
      <c r="M1749" s="17"/>
      <c r="N1749" s="17" t="s">
        <v>8653</v>
      </c>
      <c r="O1749" s="17"/>
      <c r="P1749" s="17" t="s">
        <v>8762</v>
      </c>
      <c r="Q1749" s="17"/>
      <c r="R1749" s="25" t="str">
        <f>HYPERLINK("https://ictv.global/taxonomy/taxondetails?taxnode_id=202300228","Hpunavirus HP1")</f>
        <v>Hpunavirus HP1</v>
      </c>
      <c r="S1749" s="18" t="s">
        <v>30</v>
      </c>
      <c r="T1749" s="18" t="s">
        <v>8763</v>
      </c>
      <c r="U1749" s="18"/>
      <c r="V1749" s="18"/>
      <c r="W1749" s="18" t="s">
        <v>8764</v>
      </c>
      <c r="X1749" s="18" t="s">
        <v>42</v>
      </c>
      <c r="Y1749" s="18" t="s">
        <v>36</v>
      </c>
      <c r="Z1749" s="18" t="s">
        <v>697</v>
      </c>
      <c r="AA1749" s="21" t="str">
        <f>HYPERLINK("https://www.ncbi.nlm.nih.gov/nuccore/U24159","NCBI Nucleotide")</f>
        <v>NCBI Nucleotide</v>
      </c>
    </row>
    <row r="1750" spans="1:27" x14ac:dyDescent="0.35">
      <c r="A1750">
        <v>1002130</v>
      </c>
      <c r="B1750">
        <v>1726</v>
      </c>
      <c r="C1750">
        <v>1</v>
      </c>
      <c r="D1750" s="17" t="s">
        <v>155</v>
      </c>
      <c r="E1750" s="17"/>
      <c r="F1750" s="17" t="s">
        <v>156</v>
      </c>
      <c r="G1750" s="17"/>
      <c r="H1750" s="17" t="s">
        <v>692</v>
      </c>
      <c r="I1750" s="17"/>
      <c r="J1750" s="17" t="s">
        <v>693</v>
      </c>
      <c r="K1750" s="17"/>
      <c r="L1750" s="17"/>
      <c r="M1750" s="17"/>
      <c r="N1750" s="17" t="s">
        <v>8653</v>
      </c>
      <c r="O1750" s="17"/>
      <c r="P1750" s="17" t="s">
        <v>8762</v>
      </c>
      <c r="Q1750" s="17"/>
      <c r="R1750" s="25" t="str">
        <f>HYPERLINK("https://ictv.global/taxonomy/taxondetails?taxnode_id=202300229","Hpunavirus HP2")</f>
        <v>Hpunavirus HP2</v>
      </c>
      <c r="S1750" s="18" t="s">
        <v>30</v>
      </c>
      <c r="T1750" s="18" t="s">
        <v>8765</v>
      </c>
      <c r="U1750" s="18"/>
      <c r="V1750" s="18"/>
      <c r="W1750" s="18" t="s">
        <v>8766</v>
      </c>
      <c r="X1750" s="18" t="s">
        <v>42</v>
      </c>
      <c r="Y1750" s="18" t="s">
        <v>36</v>
      </c>
      <c r="Z1750" s="18" t="s">
        <v>697</v>
      </c>
      <c r="AA1750" s="21" t="str">
        <f>HYPERLINK("https://www.ncbi.nlm.nih.gov/nuccore/AY027935","NCBI Nucleotide")</f>
        <v>NCBI Nucleotide</v>
      </c>
    </row>
    <row r="1751" spans="1:27" x14ac:dyDescent="0.35">
      <c r="A1751">
        <v>1025071</v>
      </c>
      <c r="B1751">
        <v>1727</v>
      </c>
      <c r="C1751">
        <v>1</v>
      </c>
      <c r="D1751" s="17" t="s">
        <v>155</v>
      </c>
      <c r="E1751" s="17"/>
      <c r="F1751" s="17" t="s">
        <v>156</v>
      </c>
      <c r="G1751" s="17"/>
      <c r="H1751" s="17" t="s">
        <v>692</v>
      </c>
      <c r="I1751" s="17"/>
      <c r="J1751" s="17" t="s">
        <v>693</v>
      </c>
      <c r="K1751" s="17"/>
      <c r="L1751" s="17"/>
      <c r="M1751" s="17"/>
      <c r="N1751" s="17" t="s">
        <v>8653</v>
      </c>
      <c r="O1751" s="17"/>
      <c r="P1751" s="17" t="s">
        <v>39420</v>
      </c>
      <c r="Q1751" s="17"/>
      <c r="R1751" s="25" t="str">
        <f>HYPERLINK("https://ictv.global/taxonomy/taxondetails?taxnode_id=202319225","Inibicvirus 613R3")</f>
        <v>Inibicvirus 613R3</v>
      </c>
      <c r="S1751" s="18" t="s">
        <v>30</v>
      </c>
      <c r="T1751" s="18" t="s">
        <v>39421</v>
      </c>
      <c r="U1751" s="18"/>
      <c r="V1751" s="18"/>
      <c r="W1751" s="18" t="s">
        <v>48162</v>
      </c>
      <c r="X1751" s="18" t="s">
        <v>42</v>
      </c>
      <c r="Y1751" s="18" t="s">
        <v>36</v>
      </c>
      <c r="Z1751" s="18" t="s">
        <v>697</v>
      </c>
      <c r="AA1751" s="21" t="str">
        <f>HYPERLINK("https://www.ncbi.nlm.nih.gov/nuccore/ON470592","NCBI Nucleotide")</f>
        <v>NCBI Nucleotide</v>
      </c>
    </row>
    <row r="1752" spans="1:27" x14ac:dyDescent="0.35">
      <c r="A1752">
        <v>1002131</v>
      </c>
      <c r="B1752">
        <v>1728</v>
      </c>
      <c r="C1752">
        <v>1</v>
      </c>
      <c r="D1752" s="17" t="s">
        <v>155</v>
      </c>
      <c r="E1752" s="17"/>
      <c r="F1752" s="17" t="s">
        <v>156</v>
      </c>
      <c r="G1752" s="17"/>
      <c r="H1752" s="17" t="s">
        <v>692</v>
      </c>
      <c r="I1752" s="17"/>
      <c r="J1752" s="17" t="s">
        <v>693</v>
      </c>
      <c r="K1752" s="17"/>
      <c r="L1752" s="17"/>
      <c r="M1752" s="17"/>
      <c r="N1752" s="17" t="s">
        <v>8653</v>
      </c>
      <c r="O1752" s="17"/>
      <c r="P1752" s="17" t="s">
        <v>8767</v>
      </c>
      <c r="Q1752" s="17"/>
      <c r="R1752" s="25" t="str">
        <f>HYPERLINK("https://ictv.global/taxonomy/taxondetails?taxnode_id=202311586","Irrigatiovirus SI7")</f>
        <v>Irrigatiovirus SI7</v>
      </c>
      <c r="S1752" s="18" t="s">
        <v>30</v>
      </c>
      <c r="T1752" s="18" t="s">
        <v>8768</v>
      </c>
      <c r="U1752" s="18"/>
      <c r="V1752" s="18"/>
      <c r="W1752" s="18" t="s">
        <v>8769</v>
      </c>
      <c r="X1752" s="18" t="s">
        <v>42</v>
      </c>
      <c r="Y1752" s="18" t="s">
        <v>36</v>
      </c>
      <c r="Z1752" s="18" t="s">
        <v>697</v>
      </c>
      <c r="AA1752" s="21" t="str">
        <f>HYPERLINK("https://www.ncbi.nlm.nih.gov/nuccore/MK972712","NCBI Nucleotide")</f>
        <v>NCBI Nucleotide</v>
      </c>
    </row>
    <row r="1753" spans="1:27" x14ac:dyDescent="0.35">
      <c r="A1753">
        <v>1025124</v>
      </c>
      <c r="B1753">
        <v>1729</v>
      </c>
      <c r="C1753">
        <v>1</v>
      </c>
      <c r="D1753" s="17" t="s">
        <v>155</v>
      </c>
      <c r="E1753" s="17"/>
      <c r="F1753" s="17" t="s">
        <v>156</v>
      </c>
      <c r="G1753" s="17"/>
      <c r="H1753" s="17" t="s">
        <v>692</v>
      </c>
      <c r="I1753" s="17"/>
      <c r="J1753" s="17" t="s">
        <v>693</v>
      </c>
      <c r="K1753" s="17"/>
      <c r="L1753" s="17"/>
      <c r="M1753" s="17"/>
      <c r="N1753" s="17" t="s">
        <v>8653</v>
      </c>
      <c r="O1753" s="17"/>
      <c r="P1753" s="17" t="s">
        <v>8770</v>
      </c>
      <c r="Q1753" s="17"/>
      <c r="R1753" s="25" t="str">
        <f>HYPERLINK("https://ictv.global/taxonomy/taxondetails?taxnode_id=202319227","Irtavirus CFP3")</f>
        <v>Irtavirus CFP3</v>
      </c>
      <c r="S1753" s="18" t="s">
        <v>30</v>
      </c>
      <c r="T1753" s="18" t="s">
        <v>39422</v>
      </c>
      <c r="U1753" s="18"/>
      <c r="V1753" s="18"/>
      <c r="W1753" s="18" t="s">
        <v>48163</v>
      </c>
      <c r="X1753" s="18" t="s">
        <v>42</v>
      </c>
      <c r="Y1753" s="18" t="s">
        <v>36</v>
      </c>
      <c r="Z1753" s="18" t="s">
        <v>697</v>
      </c>
      <c r="AA1753" s="21" t="str">
        <f>HYPERLINK("https://www.ncbi.nlm.nih.gov/nuccore/OQ025560","NCBI Nucleotide")</f>
        <v>NCBI Nucleotide</v>
      </c>
    </row>
    <row r="1754" spans="1:27" x14ac:dyDescent="0.35">
      <c r="A1754">
        <v>1002132</v>
      </c>
      <c r="B1754">
        <v>1730</v>
      </c>
      <c r="C1754">
        <v>1</v>
      </c>
      <c r="D1754" s="17" t="s">
        <v>155</v>
      </c>
      <c r="E1754" s="17"/>
      <c r="F1754" s="17" t="s">
        <v>156</v>
      </c>
      <c r="G1754" s="17"/>
      <c r="H1754" s="17" t="s">
        <v>692</v>
      </c>
      <c r="I1754" s="17"/>
      <c r="J1754" s="17" t="s">
        <v>693</v>
      </c>
      <c r="K1754" s="17"/>
      <c r="L1754" s="17"/>
      <c r="M1754" s="17"/>
      <c r="N1754" s="17" t="s">
        <v>8653</v>
      </c>
      <c r="O1754" s="17"/>
      <c r="P1754" s="17" t="s">
        <v>8770</v>
      </c>
      <c r="Q1754" s="17"/>
      <c r="R1754" s="25" t="str">
        <f>HYPERLINK("https://ictv.global/taxonomy/taxondetails?taxnode_id=202300230","Irtavirus F108")</f>
        <v>Irtavirus F108</v>
      </c>
      <c r="S1754" s="18" t="s">
        <v>30</v>
      </c>
      <c r="T1754" s="18" t="s">
        <v>8771</v>
      </c>
      <c r="U1754" s="18"/>
      <c r="V1754" s="18"/>
      <c r="W1754" s="18" t="s">
        <v>8772</v>
      </c>
      <c r="X1754" s="18" t="s">
        <v>42</v>
      </c>
      <c r="Y1754" s="18" t="s">
        <v>36</v>
      </c>
      <c r="Z1754" s="18" t="s">
        <v>697</v>
      </c>
      <c r="AA1754" s="21" t="str">
        <f>HYPERLINK("https://www.ncbi.nlm.nih.gov/nuccore/DQ114220","NCBI Nucleotide")</f>
        <v>NCBI Nucleotide</v>
      </c>
    </row>
    <row r="1755" spans="1:27" x14ac:dyDescent="0.35">
      <c r="A1755">
        <v>1002133</v>
      </c>
      <c r="B1755">
        <v>1731</v>
      </c>
      <c r="C1755">
        <v>1</v>
      </c>
      <c r="D1755" s="17" t="s">
        <v>155</v>
      </c>
      <c r="E1755" s="17"/>
      <c r="F1755" s="17" t="s">
        <v>156</v>
      </c>
      <c r="G1755" s="17"/>
      <c r="H1755" s="17" t="s">
        <v>692</v>
      </c>
      <c r="I1755" s="17"/>
      <c r="J1755" s="17" t="s">
        <v>693</v>
      </c>
      <c r="K1755" s="17"/>
      <c r="L1755" s="17"/>
      <c r="M1755" s="17"/>
      <c r="N1755" s="17" t="s">
        <v>8653</v>
      </c>
      <c r="O1755" s="17"/>
      <c r="P1755" s="17" t="s">
        <v>8773</v>
      </c>
      <c r="Q1755" s="17"/>
      <c r="R1755" s="25" t="str">
        <f>HYPERLINK("https://ictv.global/taxonomy/taxondetails?taxnode_id=202311602","Kapieceevirus ST512KPC3phi132")</f>
        <v>Kapieceevirus ST512KPC3phi132</v>
      </c>
      <c r="S1755" s="18" t="s">
        <v>30</v>
      </c>
      <c r="T1755" s="18" t="s">
        <v>8774</v>
      </c>
      <c r="U1755" s="18"/>
      <c r="V1755" s="18"/>
      <c r="W1755" s="18" t="s">
        <v>8775</v>
      </c>
      <c r="X1755" s="18" t="s">
        <v>42</v>
      </c>
      <c r="Y1755" s="18" t="s">
        <v>36</v>
      </c>
      <c r="Z1755" s="18" t="s">
        <v>697</v>
      </c>
      <c r="AA1755" s="21" t="str">
        <f>HYPERLINK("https://www.ncbi.nlm.nih.gov/nuccore/MK422449","NCBI Nucleotide")</f>
        <v>NCBI Nucleotide</v>
      </c>
    </row>
    <row r="1756" spans="1:27" x14ac:dyDescent="0.35">
      <c r="A1756">
        <v>1002134</v>
      </c>
      <c r="B1756">
        <v>1732</v>
      </c>
      <c r="C1756">
        <v>1</v>
      </c>
      <c r="D1756" s="17" t="s">
        <v>155</v>
      </c>
      <c r="E1756" s="17"/>
      <c r="F1756" s="17" t="s">
        <v>156</v>
      </c>
      <c r="G1756" s="17"/>
      <c r="H1756" s="17" t="s">
        <v>692</v>
      </c>
      <c r="I1756" s="17"/>
      <c r="J1756" s="17" t="s">
        <v>693</v>
      </c>
      <c r="K1756" s="17"/>
      <c r="L1756" s="17"/>
      <c r="M1756" s="17"/>
      <c r="N1756" s="17" t="s">
        <v>8653</v>
      </c>
      <c r="O1756" s="17"/>
      <c r="P1756" s="17" t="s">
        <v>8776</v>
      </c>
      <c r="Q1756" s="17"/>
      <c r="R1756" s="25" t="str">
        <f>HYPERLINK("https://ictv.global/taxonomy/taxondetails?taxnode_id=202307977","Kayeltresvirus KL3")</f>
        <v>Kayeltresvirus KL3</v>
      </c>
      <c r="S1756" s="18" t="s">
        <v>30</v>
      </c>
      <c r="T1756" s="18" t="s">
        <v>8777</v>
      </c>
      <c r="U1756" s="18"/>
      <c r="V1756" s="18"/>
      <c r="W1756" s="18" t="s">
        <v>8778</v>
      </c>
      <c r="X1756" s="18" t="s">
        <v>42</v>
      </c>
      <c r="Y1756" s="18" t="s">
        <v>36</v>
      </c>
      <c r="Z1756" s="18" t="s">
        <v>697</v>
      </c>
      <c r="AA1756" s="21" t="str">
        <f>HYPERLINK("https://www.ncbi.nlm.nih.gov/nuccore/GU911304","NCBI Nucleotide")</f>
        <v>NCBI Nucleotide</v>
      </c>
    </row>
    <row r="1757" spans="1:27" x14ac:dyDescent="0.35">
      <c r="A1757">
        <v>1025134</v>
      </c>
      <c r="B1757">
        <v>1733</v>
      </c>
      <c r="C1757">
        <v>1</v>
      </c>
      <c r="D1757" s="17" t="s">
        <v>155</v>
      </c>
      <c r="E1757" s="17"/>
      <c r="F1757" s="17" t="s">
        <v>156</v>
      </c>
      <c r="G1757" s="17"/>
      <c r="H1757" s="17" t="s">
        <v>692</v>
      </c>
      <c r="I1757" s="17"/>
      <c r="J1757" s="17" t="s">
        <v>693</v>
      </c>
      <c r="K1757" s="17"/>
      <c r="L1757" s="17"/>
      <c r="M1757" s="17"/>
      <c r="N1757" s="17" t="s">
        <v>8653</v>
      </c>
      <c r="O1757" s="17"/>
      <c r="P1757" s="17" t="s">
        <v>8776</v>
      </c>
      <c r="Q1757" s="17"/>
      <c r="R1757" s="25" t="str">
        <f>HYPERLINK("https://ictv.global/taxonomy/taxondetails?taxnode_id=202319230","Kayeltresvirus menos")</f>
        <v>Kayeltresvirus menos</v>
      </c>
      <c r="S1757" s="18" t="s">
        <v>30</v>
      </c>
      <c r="T1757" s="18" t="s">
        <v>39423</v>
      </c>
      <c r="U1757" s="18"/>
      <c r="V1757" s="18"/>
      <c r="W1757" s="18" t="s">
        <v>48164</v>
      </c>
      <c r="X1757" s="18" t="s">
        <v>42</v>
      </c>
      <c r="Y1757" s="18" t="s">
        <v>36</v>
      </c>
      <c r="Z1757" s="18" t="s">
        <v>697</v>
      </c>
      <c r="AA1757" s="21" t="str">
        <f>HYPERLINK("https://www.ncbi.nlm.nih.gov/nuccore/OM638610","NCBI Nucleotide")</f>
        <v>NCBI Nucleotide</v>
      </c>
    </row>
    <row r="1758" spans="1:27" x14ac:dyDescent="0.35">
      <c r="A1758">
        <v>1025135</v>
      </c>
      <c r="B1758">
        <v>1734</v>
      </c>
      <c r="C1758">
        <v>1</v>
      </c>
      <c r="D1758" s="17" t="s">
        <v>155</v>
      </c>
      <c r="E1758" s="17"/>
      <c r="F1758" s="17" t="s">
        <v>156</v>
      </c>
      <c r="G1758" s="17"/>
      <c r="H1758" s="17" t="s">
        <v>692</v>
      </c>
      <c r="I1758" s="17"/>
      <c r="J1758" s="17" t="s">
        <v>693</v>
      </c>
      <c r="K1758" s="17"/>
      <c r="L1758" s="17"/>
      <c r="M1758" s="17"/>
      <c r="N1758" s="17" t="s">
        <v>8653</v>
      </c>
      <c r="O1758" s="17"/>
      <c r="P1758" s="17" t="s">
        <v>8776</v>
      </c>
      <c r="Q1758" s="17"/>
      <c r="R1758" s="25" t="str">
        <f>HYPERLINK("https://ictv.global/taxonomy/taxondetails?taxnode_id=202319231","Kayeltresvirus milagro")</f>
        <v>Kayeltresvirus milagro</v>
      </c>
      <c r="S1758" s="18" t="s">
        <v>30</v>
      </c>
      <c r="T1758" s="18" t="s">
        <v>39424</v>
      </c>
      <c r="U1758" s="18"/>
      <c r="V1758" s="18"/>
      <c r="W1758" s="18" t="s">
        <v>48165</v>
      </c>
      <c r="X1758" s="18" t="s">
        <v>42</v>
      </c>
      <c r="Y1758" s="18" t="s">
        <v>36</v>
      </c>
      <c r="Z1758" s="18" t="s">
        <v>697</v>
      </c>
      <c r="AA1758" s="21" t="str">
        <f>HYPERLINK("https://www.ncbi.nlm.nih.gov/nuccore/OM638609","NCBI Nucleotide")</f>
        <v>NCBI Nucleotide</v>
      </c>
    </row>
    <row r="1759" spans="1:27" x14ac:dyDescent="0.35">
      <c r="A1759">
        <v>1025136</v>
      </c>
      <c r="B1759">
        <v>1735</v>
      </c>
      <c r="C1759">
        <v>1</v>
      </c>
      <c r="D1759" s="17" t="s">
        <v>155</v>
      </c>
      <c r="E1759" s="17"/>
      <c r="F1759" s="17" t="s">
        <v>156</v>
      </c>
      <c r="G1759" s="17"/>
      <c r="H1759" s="17" t="s">
        <v>692</v>
      </c>
      <c r="I1759" s="17"/>
      <c r="J1759" s="17" t="s">
        <v>693</v>
      </c>
      <c r="K1759" s="17"/>
      <c r="L1759" s="17"/>
      <c r="M1759" s="17"/>
      <c r="N1759" s="17" t="s">
        <v>8653</v>
      </c>
      <c r="O1759" s="17"/>
      <c r="P1759" s="17" t="s">
        <v>8776</v>
      </c>
      <c r="Q1759" s="17"/>
      <c r="R1759" s="25" t="str">
        <f>HYPERLINK("https://ictv.global/taxonomy/taxondetails?taxnode_id=202319229","Kayeltresvirus momento")</f>
        <v>Kayeltresvirus momento</v>
      </c>
      <c r="S1759" s="18" t="s">
        <v>30</v>
      </c>
      <c r="T1759" s="18" t="s">
        <v>39425</v>
      </c>
      <c r="U1759" s="18"/>
      <c r="V1759" s="18"/>
      <c r="W1759" s="18" t="s">
        <v>48166</v>
      </c>
      <c r="X1759" s="18" t="s">
        <v>42</v>
      </c>
      <c r="Y1759" s="18" t="s">
        <v>36</v>
      </c>
      <c r="Z1759" s="18" t="s">
        <v>697</v>
      </c>
      <c r="AA1759" s="21" t="str">
        <f>HYPERLINK("https://www.ncbi.nlm.nih.gov/nuccore/OM638611","NCBI Nucleotide")</f>
        <v>NCBI Nucleotide</v>
      </c>
    </row>
    <row r="1760" spans="1:27" x14ac:dyDescent="0.35">
      <c r="A1760">
        <v>1025137</v>
      </c>
      <c r="B1760">
        <v>1736</v>
      </c>
      <c r="C1760">
        <v>1</v>
      </c>
      <c r="D1760" s="17" t="s">
        <v>155</v>
      </c>
      <c r="E1760" s="17"/>
      <c r="F1760" s="17" t="s">
        <v>156</v>
      </c>
      <c r="G1760" s="17"/>
      <c r="H1760" s="17" t="s">
        <v>692</v>
      </c>
      <c r="I1760" s="17"/>
      <c r="J1760" s="17" t="s">
        <v>693</v>
      </c>
      <c r="K1760" s="17"/>
      <c r="L1760" s="17"/>
      <c r="M1760" s="17"/>
      <c r="N1760" s="17" t="s">
        <v>8653</v>
      </c>
      <c r="O1760" s="17"/>
      <c r="P1760" s="17" t="s">
        <v>8776</v>
      </c>
      <c r="Q1760" s="17"/>
      <c r="R1760" s="25" t="str">
        <f>HYPERLINK("https://ictv.global/taxonomy/taxondetails?taxnode_id=202319232","Kayeltresvirus musica")</f>
        <v>Kayeltresvirus musica</v>
      </c>
      <c r="S1760" s="18" t="s">
        <v>30</v>
      </c>
      <c r="T1760" s="18" t="s">
        <v>39426</v>
      </c>
      <c r="U1760" s="18"/>
      <c r="V1760" s="18"/>
      <c r="W1760" s="18" t="s">
        <v>48167</v>
      </c>
      <c r="X1760" s="18" t="s">
        <v>42</v>
      </c>
      <c r="Y1760" s="18" t="s">
        <v>36</v>
      </c>
      <c r="Z1760" s="18" t="s">
        <v>697</v>
      </c>
      <c r="AA1760" s="21" t="str">
        <f>HYPERLINK("https://www.ncbi.nlm.nih.gov/nuccore/OM638608","NCBI Nucleotide")</f>
        <v>NCBI Nucleotide</v>
      </c>
    </row>
    <row r="1761" spans="1:27" x14ac:dyDescent="0.35">
      <c r="A1761">
        <v>1002136</v>
      </c>
      <c r="B1761">
        <v>1737</v>
      </c>
      <c r="C1761">
        <v>1</v>
      </c>
      <c r="D1761" s="17" t="s">
        <v>155</v>
      </c>
      <c r="E1761" s="17"/>
      <c r="F1761" s="17" t="s">
        <v>156</v>
      </c>
      <c r="G1761" s="17"/>
      <c r="H1761" s="17" t="s">
        <v>692</v>
      </c>
      <c r="I1761" s="17"/>
      <c r="J1761" s="17" t="s">
        <v>693</v>
      </c>
      <c r="K1761" s="17"/>
      <c r="L1761" s="17"/>
      <c r="M1761" s="17"/>
      <c r="N1761" s="17" t="s">
        <v>8653</v>
      </c>
      <c r="O1761" s="17"/>
      <c r="P1761" s="17" t="s">
        <v>8779</v>
      </c>
      <c r="Q1761" s="17"/>
      <c r="R1761" s="25" t="str">
        <f>HYPERLINK("https://ictv.global/taxonomy/taxondetails?taxnode_id=202312869","Kisquattuordecimvirus FLC5")</f>
        <v>Kisquattuordecimvirus FLC5</v>
      </c>
      <c r="S1761" s="18" t="s">
        <v>30</v>
      </c>
      <c r="T1761" s="18" t="s">
        <v>8782</v>
      </c>
      <c r="U1761" s="18"/>
      <c r="V1761" s="18"/>
      <c r="W1761" s="18" t="s">
        <v>8783</v>
      </c>
      <c r="X1761" s="18" t="s">
        <v>42</v>
      </c>
      <c r="Y1761" s="18" t="s">
        <v>36</v>
      </c>
      <c r="Z1761" s="18" t="s">
        <v>697</v>
      </c>
      <c r="AA1761" s="21" t="str">
        <f>HYPERLINK("https://www.ncbi.nlm.nih.gov/nuccore/LC528882","NCBI Nucleotide")</f>
        <v>NCBI Nucleotide</v>
      </c>
    </row>
    <row r="1762" spans="1:27" x14ac:dyDescent="0.35">
      <c r="A1762">
        <v>1002135</v>
      </c>
      <c r="B1762">
        <v>1738</v>
      </c>
      <c r="C1762">
        <v>1</v>
      </c>
      <c r="D1762" s="17" t="s">
        <v>155</v>
      </c>
      <c r="E1762" s="17"/>
      <c r="F1762" s="17" t="s">
        <v>156</v>
      </c>
      <c r="G1762" s="17"/>
      <c r="H1762" s="17" t="s">
        <v>692</v>
      </c>
      <c r="I1762" s="17"/>
      <c r="J1762" s="17" t="s">
        <v>693</v>
      </c>
      <c r="K1762" s="17"/>
      <c r="L1762" s="17"/>
      <c r="M1762" s="17"/>
      <c r="N1762" s="17" t="s">
        <v>8653</v>
      </c>
      <c r="O1762" s="17"/>
      <c r="P1762" s="17" t="s">
        <v>8779</v>
      </c>
      <c r="Q1762" s="17"/>
      <c r="R1762" s="25" t="str">
        <f>HYPERLINK("https://ictv.global/taxonomy/taxondetails?taxnode_id=202314734","Kisquattuordecimvirus FLC10")</f>
        <v>Kisquattuordecimvirus FLC10</v>
      </c>
      <c r="S1762" s="18" t="s">
        <v>30</v>
      </c>
      <c r="T1762" s="18" t="s">
        <v>8780</v>
      </c>
      <c r="U1762" s="18"/>
      <c r="V1762" s="18"/>
      <c r="W1762" s="18" t="s">
        <v>8781</v>
      </c>
      <c r="X1762" s="18" t="s">
        <v>42</v>
      </c>
      <c r="Y1762" s="18" t="s">
        <v>36</v>
      </c>
      <c r="Z1762" s="18" t="s">
        <v>697</v>
      </c>
      <c r="AA1762" s="21" t="str">
        <f>HYPERLINK("https://www.ncbi.nlm.nih.gov/nuccore/LC667452","NCBI Nucleotide")</f>
        <v>NCBI Nucleotide</v>
      </c>
    </row>
    <row r="1763" spans="1:27" x14ac:dyDescent="0.35">
      <c r="A1763">
        <v>1002137</v>
      </c>
      <c r="B1763">
        <v>1739</v>
      </c>
      <c r="C1763">
        <v>1</v>
      </c>
      <c r="D1763" s="17" t="s">
        <v>155</v>
      </c>
      <c r="E1763" s="17"/>
      <c r="F1763" s="17" t="s">
        <v>156</v>
      </c>
      <c r="G1763" s="17"/>
      <c r="H1763" s="17" t="s">
        <v>692</v>
      </c>
      <c r="I1763" s="17"/>
      <c r="J1763" s="17" t="s">
        <v>693</v>
      </c>
      <c r="K1763" s="17"/>
      <c r="L1763" s="17"/>
      <c r="M1763" s="17"/>
      <c r="N1763" s="17" t="s">
        <v>8653</v>
      </c>
      <c r="O1763" s="17"/>
      <c r="P1763" s="17" t="s">
        <v>8779</v>
      </c>
      <c r="Q1763" s="17"/>
      <c r="R1763" s="25" t="str">
        <f>HYPERLINK("https://ictv.global/taxonomy/taxondetails?taxnode_id=202307964","Kisquattuordecimvirus KS14")</f>
        <v>Kisquattuordecimvirus KS14</v>
      </c>
      <c r="S1763" s="18" t="s">
        <v>30</v>
      </c>
      <c r="T1763" s="18" t="s">
        <v>8784</v>
      </c>
      <c r="U1763" s="18"/>
      <c r="V1763" s="18"/>
      <c r="W1763" s="18" t="s">
        <v>8785</v>
      </c>
      <c r="X1763" s="18" t="s">
        <v>42</v>
      </c>
      <c r="Y1763" s="18" t="s">
        <v>36</v>
      </c>
      <c r="Z1763" s="18" t="s">
        <v>697</v>
      </c>
      <c r="AA1763" s="21" t="str">
        <f>HYPERLINK("https://www.ncbi.nlm.nih.gov/nuccore/HM461982","NCBI Nucleotide")</f>
        <v>NCBI Nucleotide</v>
      </c>
    </row>
    <row r="1764" spans="1:27" x14ac:dyDescent="0.35">
      <c r="A1764">
        <v>1025139</v>
      </c>
      <c r="B1764">
        <v>1740</v>
      </c>
      <c r="C1764">
        <v>1</v>
      </c>
      <c r="D1764" s="17" t="s">
        <v>155</v>
      </c>
      <c r="E1764" s="17"/>
      <c r="F1764" s="17" t="s">
        <v>156</v>
      </c>
      <c r="G1764" s="17"/>
      <c r="H1764" s="17" t="s">
        <v>692</v>
      </c>
      <c r="I1764" s="17"/>
      <c r="J1764" s="17" t="s">
        <v>693</v>
      </c>
      <c r="K1764" s="17"/>
      <c r="L1764" s="17"/>
      <c r="M1764" s="17"/>
      <c r="N1764" s="17" t="s">
        <v>8653</v>
      </c>
      <c r="O1764" s="17"/>
      <c r="P1764" s="17" t="s">
        <v>8786</v>
      </c>
      <c r="Q1764" s="17"/>
      <c r="R1764" s="25" t="str">
        <f>HYPERLINK("https://ictv.global/taxonomy/taxondetails?taxnode_id=202319228","Kisquinquevirus Carl1")</f>
        <v>Kisquinquevirus Carl1</v>
      </c>
      <c r="S1764" s="18" t="s">
        <v>30</v>
      </c>
      <c r="T1764" s="18" t="s">
        <v>39427</v>
      </c>
      <c r="U1764" s="18"/>
      <c r="V1764" s="18"/>
      <c r="W1764" s="18" t="s">
        <v>48168</v>
      </c>
      <c r="X1764" s="18" t="s">
        <v>42</v>
      </c>
      <c r="Y1764" s="18" t="s">
        <v>36</v>
      </c>
      <c r="Z1764" s="18" t="s">
        <v>697</v>
      </c>
      <c r="AA1764" s="21" t="str">
        <f>HYPERLINK("https://www.ncbi.nlm.nih.gov/nuccore/ON642070","NCBI Nucleotide")</f>
        <v>NCBI Nucleotide</v>
      </c>
    </row>
    <row r="1765" spans="1:27" x14ac:dyDescent="0.35">
      <c r="A1765">
        <v>1002138</v>
      </c>
      <c r="B1765">
        <v>1741</v>
      </c>
      <c r="C1765">
        <v>1</v>
      </c>
      <c r="D1765" s="17" t="s">
        <v>155</v>
      </c>
      <c r="E1765" s="17"/>
      <c r="F1765" s="17" t="s">
        <v>156</v>
      </c>
      <c r="G1765" s="17"/>
      <c r="H1765" s="17" t="s">
        <v>692</v>
      </c>
      <c r="I1765" s="17"/>
      <c r="J1765" s="17" t="s">
        <v>693</v>
      </c>
      <c r="K1765" s="17"/>
      <c r="L1765" s="17"/>
      <c r="M1765" s="17"/>
      <c r="N1765" s="17" t="s">
        <v>8653</v>
      </c>
      <c r="O1765" s="17"/>
      <c r="P1765" s="17" t="s">
        <v>8786</v>
      </c>
      <c r="Q1765" s="17"/>
      <c r="R1765" s="25" t="str">
        <f>HYPERLINK("https://ictv.global/taxonomy/taxondetails?taxnode_id=202307979","Kisquinquevirus KS5")</f>
        <v>Kisquinquevirus KS5</v>
      </c>
      <c r="S1765" s="18" t="s">
        <v>30</v>
      </c>
      <c r="T1765" s="18" t="s">
        <v>8787</v>
      </c>
      <c r="U1765" s="18"/>
      <c r="V1765" s="18"/>
      <c r="W1765" s="18" t="s">
        <v>8788</v>
      </c>
      <c r="X1765" s="18" t="s">
        <v>42</v>
      </c>
      <c r="Y1765" s="18" t="s">
        <v>36</v>
      </c>
      <c r="Z1765" s="18" t="s">
        <v>697</v>
      </c>
      <c r="AA1765" s="21" t="str">
        <f>HYPERLINK("https://www.ncbi.nlm.nih.gov/nuccore/GU911303","NCBI Nucleotide")</f>
        <v>NCBI Nucleotide</v>
      </c>
    </row>
    <row r="1766" spans="1:27" x14ac:dyDescent="0.35">
      <c r="A1766">
        <v>1002139</v>
      </c>
      <c r="B1766">
        <v>1742</v>
      </c>
      <c r="C1766">
        <v>1</v>
      </c>
      <c r="D1766" s="17" t="s">
        <v>155</v>
      </c>
      <c r="E1766" s="17"/>
      <c r="F1766" s="17" t="s">
        <v>156</v>
      </c>
      <c r="G1766" s="17"/>
      <c r="H1766" s="17" t="s">
        <v>692</v>
      </c>
      <c r="I1766" s="17"/>
      <c r="J1766" s="17" t="s">
        <v>693</v>
      </c>
      <c r="K1766" s="17"/>
      <c r="L1766" s="17"/>
      <c r="M1766" s="17"/>
      <c r="N1766" s="17" t="s">
        <v>8653</v>
      </c>
      <c r="O1766" s="17"/>
      <c r="P1766" s="17" t="s">
        <v>8789</v>
      </c>
      <c r="Q1766" s="17"/>
      <c r="R1766" s="25" t="str">
        <f>HYPERLINK("https://ictv.global/taxonomy/taxondetails?taxnode_id=202300231","Longwoodvirus K139")</f>
        <v>Longwoodvirus K139</v>
      </c>
      <c r="S1766" s="18" t="s">
        <v>30</v>
      </c>
      <c r="T1766" s="18" t="s">
        <v>8790</v>
      </c>
      <c r="U1766" s="18"/>
      <c r="V1766" s="18"/>
      <c r="W1766" s="18" t="s">
        <v>8791</v>
      </c>
      <c r="X1766" s="18" t="s">
        <v>42</v>
      </c>
      <c r="Y1766" s="18" t="s">
        <v>36</v>
      </c>
      <c r="Z1766" s="18" t="s">
        <v>697</v>
      </c>
      <c r="AA1766" s="21" t="str">
        <f>HYPERLINK("https://www.ncbi.nlm.nih.gov/nuccore/AF125163","NCBI Nucleotide")</f>
        <v>NCBI Nucleotide</v>
      </c>
    </row>
    <row r="1767" spans="1:27" x14ac:dyDescent="0.35">
      <c r="A1767">
        <v>1002140</v>
      </c>
      <c r="B1767">
        <v>1743</v>
      </c>
      <c r="C1767">
        <v>1</v>
      </c>
      <c r="D1767" s="17" t="s">
        <v>155</v>
      </c>
      <c r="E1767" s="17"/>
      <c r="F1767" s="17" t="s">
        <v>156</v>
      </c>
      <c r="G1767" s="17"/>
      <c r="H1767" s="17" t="s">
        <v>692</v>
      </c>
      <c r="I1767" s="17"/>
      <c r="J1767" s="17" t="s">
        <v>693</v>
      </c>
      <c r="K1767" s="17"/>
      <c r="L1767" s="17"/>
      <c r="M1767" s="17"/>
      <c r="N1767" s="17" t="s">
        <v>8653</v>
      </c>
      <c r="O1767" s="17"/>
      <c r="P1767" s="17" t="s">
        <v>8792</v>
      </c>
      <c r="Q1767" s="17"/>
      <c r="R1767" s="25" t="str">
        <f>HYPERLINK("https://ictv.global/taxonomy/taxondetails?taxnode_id=202312850","Maltschvirus maltsch")</f>
        <v>Maltschvirus maltsch</v>
      </c>
      <c r="S1767" s="18" t="s">
        <v>30</v>
      </c>
      <c r="T1767" s="18" t="s">
        <v>8793</v>
      </c>
      <c r="U1767" s="18"/>
      <c r="V1767" s="18"/>
      <c r="W1767" s="18" t="s">
        <v>8794</v>
      </c>
      <c r="X1767" s="18" t="s">
        <v>42</v>
      </c>
      <c r="Y1767" s="18" t="s">
        <v>36</v>
      </c>
      <c r="Z1767" s="18" t="s">
        <v>697</v>
      </c>
      <c r="AA1767" s="21" t="str">
        <f>HYPERLINK("https://www.ncbi.nlm.nih.gov/nuccore/LR797314","NCBI Nucleotide")</f>
        <v>NCBI Nucleotide</v>
      </c>
    </row>
    <row r="1768" spans="1:27" x14ac:dyDescent="0.35">
      <c r="A1768">
        <v>1002141</v>
      </c>
      <c r="B1768">
        <v>1744</v>
      </c>
      <c r="C1768">
        <v>1</v>
      </c>
      <c r="D1768" s="17" t="s">
        <v>155</v>
      </c>
      <c r="E1768" s="17"/>
      <c r="F1768" s="17" t="s">
        <v>156</v>
      </c>
      <c r="G1768" s="17"/>
      <c r="H1768" s="17" t="s">
        <v>692</v>
      </c>
      <c r="I1768" s="17"/>
      <c r="J1768" s="17" t="s">
        <v>693</v>
      </c>
      <c r="K1768" s="17"/>
      <c r="L1768" s="17"/>
      <c r="M1768" s="17"/>
      <c r="N1768" s="17" t="s">
        <v>8653</v>
      </c>
      <c r="O1768" s="17"/>
      <c r="P1768" s="17" t="s">
        <v>8795</v>
      </c>
      <c r="Q1768" s="17"/>
      <c r="R1768" s="25" t="str">
        <f>HYPERLINK("https://ictv.global/taxonomy/taxondetails?taxnode_id=202312866","Mersinvirus YA0848V")</f>
        <v>Mersinvirus YA0848V</v>
      </c>
      <c r="S1768" s="18" t="s">
        <v>30</v>
      </c>
      <c r="T1768" s="18" t="s">
        <v>8796</v>
      </c>
      <c r="U1768" s="18"/>
      <c r="V1768" s="18"/>
      <c r="W1768" s="18" t="s">
        <v>8797</v>
      </c>
      <c r="X1768" s="18" t="s">
        <v>42</v>
      </c>
      <c r="Y1768" s="18" t="s">
        <v>36</v>
      </c>
      <c r="Z1768" s="18" t="s">
        <v>697</v>
      </c>
      <c r="AA1768" s="21" t="str">
        <f>HYPERLINK("https://www.ncbi.nlm.nih.gov/nuccore/JAEILC010000038","NCBI Nucleotide")</f>
        <v>NCBI Nucleotide</v>
      </c>
    </row>
    <row r="1769" spans="1:27" x14ac:dyDescent="0.35">
      <c r="A1769">
        <v>1002142</v>
      </c>
      <c r="B1769">
        <v>1745</v>
      </c>
      <c r="C1769">
        <v>1</v>
      </c>
      <c r="D1769" s="17" t="s">
        <v>155</v>
      </c>
      <c r="E1769" s="17"/>
      <c r="F1769" s="17" t="s">
        <v>156</v>
      </c>
      <c r="G1769" s="17"/>
      <c r="H1769" s="17" t="s">
        <v>692</v>
      </c>
      <c r="I1769" s="17"/>
      <c r="J1769" s="17" t="s">
        <v>693</v>
      </c>
      <c r="K1769" s="17"/>
      <c r="L1769" s="17"/>
      <c r="M1769" s="17"/>
      <c r="N1769" s="17" t="s">
        <v>8653</v>
      </c>
      <c r="O1769" s="17"/>
      <c r="P1769" s="17" t="s">
        <v>8798</v>
      </c>
      <c r="Q1769" s="17"/>
      <c r="R1769" s="25" t="str">
        <f>HYPERLINK("https://ictv.global/taxonomy/taxondetails?taxnode_id=202307968","Nampongvirus ST79")</f>
        <v>Nampongvirus ST79</v>
      </c>
      <c r="S1769" s="18" t="s">
        <v>30</v>
      </c>
      <c r="T1769" s="18" t="s">
        <v>8799</v>
      </c>
      <c r="U1769" s="18"/>
      <c r="V1769" s="18"/>
      <c r="W1769" s="18" t="s">
        <v>8800</v>
      </c>
      <c r="X1769" s="18" t="s">
        <v>42</v>
      </c>
      <c r="Y1769" s="18" t="s">
        <v>36</v>
      </c>
      <c r="Z1769" s="18" t="s">
        <v>697</v>
      </c>
      <c r="AA1769" s="21" t="str">
        <f>HYPERLINK("https://www.ncbi.nlm.nih.gov/nuccore/KC462197","NCBI Nucleotide")</f>
        <v>NCBI Nucleotide</v>
      </c>
    </row>
    <row r="1770" spans="1:27" x14ac:dyDescent="0.35">
      <c r="A1770">
        <v>1002143</v>
      </c>
      <c r="B1770">
        <v>1746</v>
      </c>
      <c r="C1770">
        <v>1</v>
      </c>
      <c r="D1770" s="17" t="s">
        <v>155</v>
      </c>
      <c r="E1770" s="17"/>
      <c r="F1770" s="17" t="s">
        <v>156</v>
      </c>
      <c r="G1770" s="17"/>
      <c r="H1770" s="17" t="s">
        <v>692</v>
      </c>
      <c r="I1770" s="17"/>
      <c r="J1770" s="17" t="s">
        <v>693</v>
      </c>
      <c r="K1770" s="17"/>
      <c r="L1770" s="17"/>
      <c r="M1770" s="17"/>
      <c r="N1770" s="17" t="s">
        <v>8653</v>
      </c>
      <c r="O1770" s="17"/>
      <c r="P1770" s="17" t="s">
        <v>8801</v>
      </c>
      <c r="Q1770" s="17"/>
      <c r="R1770" s="25" t="str">
        <f>HYPERLINK("https://ictv.global/taxonomy/taxondetails?taxnode_id=202311598","Novemvirus T5282H")</f>
        <v>Novemvirus T5282H</v>
      </c>
      <c r="S1770" s="18" t="s">
        <v>30</v>
      </c>
      <c r="T1770" s="18" t="s">
        <v>8802</v>
      </c>
      <c r="U1770" s="18"/>
      <c r="V1770" s="18"/>
      <c r="W1770" s="18" t="s">
        <v>8803</v>
      </c>
      <c r="X1770" s="18" t="s">
        <v>42</v>
      </c>
      <c r="Y1770" s="18" t="s">
        <v>36</v>
      </c>
      <c r="Z1770" s="18" t="s">
        <v>697</v>
      </c>
      <c r="AA1770" s="21" t="str">
        <f>HYPERLINK("https://www.ncbi.nlm.nih.gov/nuccore/MG589387","NCBI Nucleotide")</f>
        <v>NCBI Nucleotide</v>
      </c>
    </row>
    <row r="1771" spans="1:27" x14ac:dyDescent="0.35">
      <c r="A1771">
        <v>1002144</v>
      </c>
      <c r="B1771">
        <v>1747</v>
      </c>
      <c r="C1771">
        <v>1</v>
      </c>
      <c r="D1771" s="17" t="s">
        <v>155</v>
      </c>
      <c r="E1771" s="17"/>
      <c r="F1771" s="17" t="s">
        <v>156</v>
      </c>
      <c r="G1771" s="17"/>
      <c r="H1771" s="17" t="s">
        <v>692</v>
      </c>
      <c r="I1771" s="17"/>
      <c r="J1771" s="17" t="s">
        <v>693</v>
      </c>
      <c r="K1771" s="17"/>
      <c r="L1771" s="17"/>
      <c r="M1771" s="17"/>
      <c r="N1771" s="17" t="s">
        <v>8653</v>
      </c>
      <c r="O1771" s="17"/>
      <c r="P1771" s="17" t="s">
        <v>8804</v>
      </c>
      <c r="Q1771" s="17"/>
      <c r="R1771" s="25" t="str">
        <f>HYPERLINK("https://ictv.global/taxonomy/taxondetails?taxnode_id=202314726","Peduovirus 11W")</f>
        <v>Peduovirus 11W</v>
      </c>
      <c r="S1771" s="18" t="s">
        <v>30</v>
      </c>
      <c r="T1771" s="18" t="s">
        <v>8805</v>
      </c>
      <c r="U1771" s="18"/>
      <c r="V1771" s="18"/>
      <c r="W1771" s="18" t="s">
        <v>8806</v>
      </c>
      <c r="X1771" s="18" t="s">
        <v>35</v>
      </c>
      <c r="Y1771" s="18" t="s">
        <v>36</v>
      </c>
      <c r="Z1771" s="18" t="s">
        <v>697</v>
      </c>
      <c r="AA1771" s="21" t="str">
        <f>HYPERLINK("https://www.ncbi.nlm.nih.gov/nuccore/OM475429","NCBI Nucleotide")</f>
        <v>NCBI Nucleotide</v>
      </c>
    </row>
    <row r="1772" spans="1:27" x14ac:dyDescent="0.35">
      <c r="A1772">
        <v>1002145</v>
      </c>
      <c r="B1772">
        <v>1748</v>
      </c>
      <c r="C1772">
        <v>1</v>
      </c>
      <c r="D1772" s="17" t="s">
        <v>155</v>
      </c>
      <c r="E1772" s="17"/>
      <c r="F1772" s="17" t="s">
        <v>156</v>
      </c>
      <c r="G1772" s="17"/>
      <c r="H1772" s="17" t="s">
        <v>692</v>
      </c>
      <c r="I1772" s="17"/>
      <c r="J1772" s="17" t="s">
        <v>693</v>
      </c>
      <c r="K1772" s="17"/>
      <c r="L1772" s="17"/>
      <c r="M1772" s="17"/>
      <c r="N1772" s="17" t="s">
        <v>8653</v>
      </c>
      <c r="O1772" s="17"/>
      <c r="P1772" s="17" t="s">
        <v>8804</v>
      </c>
      <c r="Q1772" s="17"/>
      <c r="R1772" s="25" t="str">
        <f>HYPERLINK("https://ictv.global/taxonomy/taxondetails?taxnode_id=202314727","Peduovirus AC1")</f>
        <v>Peduovirus AC1</v>
      </c>
      <c r="S1772" s="18" t="s">
        <v>30</v>
      </c>
      <c r="T1772" s="18" t="s">
        <v>8807</v>
      </c>
      <c r="U1772" s="18"/>
      <c r="V1772" s="18"/>
      <c r="W1772" s="18" t="s">
        <v>8808</v>
      </c>
      <c r="X1772" s="18" t="s">
        <v>42</v>
      </c>
      <c r="Y1772" s="18" t="s">
        <v>36</v>
      </c>
      <c r="Z1772" s="18" t="s">
        <v>697</v>
      </c>
      <c r="AA1772" s="21" t="str">
        <f>HYPERLINK("https://www.ncbi.nlm.nih.gov/nuccore/OV192280","NCBI Nucleotide")</f>
        <v>NCBI Nucleotide</v>
      </c>
    </row>
    <row r="1773" spans="1:27" x14ac:dyDescent="0.35">
      <c r="A1773">
        <v>1002146</v>
      </c>
      <c r="B1773">
        <v>1749</v>
      </c>
      <c r="C1773">
        <v>1</v>
      </c>
      <c r="D1773" s="17" t="s">
        <v>155</v>
      </c>
      <c r="E1773" s="17"/>
      <c r="F1773" s="17" t="s">
        <v>156</v>
      </c>
      <c r="G1773" s="17"/>
      <c r="H1773" s="17" t="s">
        <v>692</v>
      </c>
      <c r="I1773" s="17"/>
      <c r="J1773" s="17" t="s">
        <v>693</v>
      </c>
      <c r="K1773" s="17"/>
      <c r="L1773" s="17"/>
      <c r="M1773" s="17"/>
      <c r="N1773" s="17" t="s">
        <v>8653</v>
      </c>
      <c r="O1773" s="17"/>
      <c r="P1773" s="17" t="s">
        <v>8804</v>
      </c>
      <c r="Q1773" s="17"/>
      <c r="R1773" s="25" t="str">
        <f>HYPERLINK("https://ictv.global/taxonomy/taxondetails?taxnode_id=202314729","Peduovirus DC1")</f>
        <v>Peduovirus DC1</v>
      </c>
      <c r="S1773" s="18" t="s">
        <v>30</v>
      </c>
      <c r="T1773" s="18" t="s">
        <v>8809</v>
      </c>
      <c r="U1773" s="18"/>
      <c r="V1773" s="18"/>
      <c r="W1773" s="18" t="s">
        <v>8810</v>
      </c>
      <c r="X1773" s="18" t="s">
        <v>42</v>
      </c>
      <c r="Y1773" s="18" t="s">
        <v>36</v>
      </c>
      <c r="Z1773" s="18" t="s">
        <v>697</v>
      </c>
      <c r="AA1773" s="21" t="str">
        <f>HYPERLINK("https://www.ncbi.nlm.nih.gov/nuccore/OU784750","NCBI Nucleotide")</f>
        <v>NCBI Nucleotide</v>
      </c>
    </row>
    <row r="1774" spans="1:27" x14ac:dyDescent="0.35">
      <c r="A1774">
        <v>1002147</v>
      </c>
      <c r="B1774">
        <v>1750</v>
      </c>
      <c r="C1774">
        <v>1</v>
      </c>
      <c r="D1774" s="17" t="s">
        <v>155</v>
      </c>
      <c r="E1774" s="17"/>
      <c r="F1774" s="17" t="s">
        <v>156</v>
      </c>
      <c r="G1774" s="17"/>
      <c r="H1774" s="17" t="s">
        <v>692</v>
      </c>
      <c r="I1774" s="17"/>
      <c r="J1774" s="17" t="s">
        <v>693</v>
      </c>
      <c r="K1774" s="17"/>
      <c r="L1774" s="17"/>
      <c r="M1774" s="17"/>
      <c r="N1774" s="17" t="s">
        <v>8653</v>
      </c>
      <c r="O1774" s="17"/>
      <c r="P1774" s="17" t="s">
        <v>8804</v>
      </c>
      <c r="Q1774" s="17"/>
      <c r="R1774" s="25" t="str">
        <f>HYPERLINK("https://ictv.global/taxonomy/taxondetails?taxnode_id=202307028","Peduovirus fiAA91ss")</f>
        <v>Peduovirus fiAA91ss</v>
      </c>
      <c r="S1774" s="18" t="s">
        <v>30</v>
      </c>
      <c r="T1774" s="18" t="s">
        <v>8811</v>
      </c>
      <c r="U1774" s="18"/>
      <c r="V1774" s="18"/>
      <c r="W1774" s="18" t="s">
        <v>8812</v>
      </c>
      <c r="X1774" s="18" t="s">
        <v>42</v>
      </c>
      <c r="Y1774" s="18" t="s">
        <v>36</v>
      </c>
      <c r="Z1774" s="18" t="s">
        <v>697</v>
      </c>
      <c r="AA1774" s="21" t="str">
        <f>HYPERLINK("https://www.ncbi.nlm.nih.gov/nuccore/KF322032","NCBI Nucleotide")</f>
        <v>NCBI Nucleotide</v>
      </c>
    </row>
    <row r="1775" spans="1:27" x14ac:dyDescent="0.35">
      <c r="A1775">
        <v>1002302</v>
      </c>
      <c r="B1775">
        <v>1751</v>
      </c>
      <c r="C1775">
        <v>1</v>
      </c>
      <c r="D1775" s="17" t="s">
        <v>155</v>
      </c>
      <c r="E1775" s="17"/>
      <c r="F1775" s="17" t="s">
        <v>156</v>
      </c>
      <c r="G1775" s="17"/>
      <c r="H1775" s="17" t="s">
        <v>692</v>
      </c>
      <c r="I1775" s="17"/>
      <c r="J1775" s="17" t="s">
        <v>693</v>
      </c>
      <c r="K1775" s="17"/>
      <c r="L1775" s="17"/>
      <c r="M1775" s="17"/>
      <c r="N1775" s="17" t="s">
        <v>8653</v>
      </c>
      <c r="O1775" s="17"/>
      <c r="P1775" s="17" t="s">
        <v>8804</v>
      </c>
      <c r="Q1775" s="17"/>
      <c r="R1775" s="25" t="str">
        <f>HYPERLINK("https://ictv.global/taxonomy/taxondetails?taxnode_id=202307031","Peduovirus FSLSP004")</f>
        <v>Peduovirus FSLSP004</v>
      </c>
      <c r="S1775" s="18" t="s">
        <v>30</v>
      </c>
      <c r="T1775" s="18" t="s">
        <v>8899</v>
      </c>
      <c r="U1775" s="18"/>
      <c r="V1775" s="18"/>
      <c r="W1775" s="18" t="s">
        <v>8900</v>
      </c>
      <c r="X1775" s="18" t="s">
        <v>42</v>
      </c>
      <c r="Y1775" s="18" t="s">
        <v>36</v>
      </c>
      <c r="Z1775" s="18" t="s">
        <v>697</v>
      </c>
      <c r="AA1775" s="21" t="str">
        <f>HYPERLINK("https://www.ncbi.nlm.nih.gov/nuccore/KC139521","NCBI Nucleotide")</f>
        <v>NCBI Nucleotide</v>
      </c>
    </row>
    <row r="1776" spans="1:27" x14ac:dyDescent="0.35">
      <c r="A1776">
        <v>1024729</v>
      </c>
      <c r="B1776">
        <v>1752</v>
      </c>
      <c r="C1776">
        <v>1</v>
      </c>
      <c r="D1776" s="17" t="s">
        <v>155</v>
      </c>
      <c r="E1776" s="17"/>
      <c r="F1776" s="17" t="s">
        <v>156</v>
      </c>
      <c r="G1776" s="17"/>
      <c r="H1776" s="17" t="s">
        <v>692</v>
      </c>
      <c r="I1776" s="17"/>
      <c r="J1776" s="17" t="s">
        <v>693</v>
      </c>
      <c r="K1776" s="17"/>
      <c r="L1776" s="17"/>
      <c r="M1776" s="17"/>
      <c r="N1776" s="17" t="s">
        <v>8653</v>
      </c>
      <c r="O1776" s="17"/>
      <c r="P1776" s="17" t="s">
        <v>8804</v>
      </c>
      <c r="Q1776" s="17"/>
      <c r="R1776" s="25" t="str">
        <f>HYPERLINK("https://ictv.global/taxonomy/taxondetails?taxnode_id=202319234","Peduovirus GMG73")</f>
        <v>Peduovirus GMG73</v>
      </c>
      <c r="S1776" s="18" t="s">
        <v>30</v>
      </c>
      <c r="T1776" s="18" t="s">
        <v>39428</v>
      </c>
      <c r="U1776" s="18"/>
      <c r="V1776" s="18"/>
      <c r="W1776" s="18" t="s">
        <v>48169</v>
      </c>
      <c r="X1776" s="18" t="s">
        <v>42</v>
      </c>
      <c r="Y1776" s="18" t="s">
        <v>36</v>
      </c>
      <c r="Z1776" s="18" t="s">
        <v>697</v>
      </c>
      <c r="AA1776" s="21" t="str">
        <f>HYPERLINK("https://www.ncbi.nlm.nih.gov/nuccore/OP880301","NCBI Nucleotide")</f>
        <v>NCBI Nucleotide</v>
      </c>
    </row>
    <row r="1777" spans="1:27" x14ac:dyDescent="0.35">
      <c r="A1777">
        <v>1024730</v>
      </c>
      <c r="B1777">
        <v>1753</v>
      </c>
      <c r="C1777">
        <v>1</v>
      </c>
      <c r="D1777" s="17" t="s">
        <v>155</v>
      </c>
      <c r="E1777" s="17"/>
      <c r="F1777" s="17" t="s">
        <v>156</v>
      </c>
      <c r="G1777" s="17"/>
      <c r="H1777" s="17" t="s">
        <v>692</v>
      </c>
      <c r="I1777" s="17"/>
      <c r="J1777" s="17" t="s">
        <v>693</v>
      </c>
      <c r="K1777" s="17"/>
      <c r="L1777" s="17"/>
      <c r="M1777" s="17"/>
      <c r="N1777" s="17" t="s">
        <v>8653</v>
      </c>
      <c r="O1777" s="17"/>
      <c r="P1777" s="17" t="s">
        <v>8804</v>
      </c>
      <c r="Q1777" s="17"/>
      <c r="R1777" s="25" t="str">
        <f>HYPERLINK("https://ictv.global/taxonomy/taxondetails?taxnode_id=202319235","Peduovirus GMS190")</f>
        <v>Peduovirus GMS190</v>
      </c>
      <c r="S1777" s="18" t="s">
        <v>30</v>
      </c>
      <c r="T1777" s="18" t="s">
        <v>39429</v>
      </c>
      <c r="U1777" s="18"/>
      <c r="V1777" s="18"/>
      <c r="W1777" s="18" t="s">
        <v>48170</v>
      </c>
      <c r="X1777" s="18" t="s">
        <v>42</v>
      </c>
      <c r="Y1777" s="18" t="s">
        <v>36</v>
      </c>
      <c r="Z1777" s="18" t="s">
        <v>697</v>
      </c>
      <c r="AA1777" s="21" t="str">
        <f>HYPERLINK("https://www.ncbi.nlm.nih.gov/nuccore/OP880302","NCBI Nucleotide")</f>
        <v>NCBI Nucleotide</v>
      </c>
    </row>
    <row r="1778" spans="1:27" x14ac:dyDescent="0.35">
      <c r="A1778">
        <v>1002148</v>
      </c>
      <c r="B1778">
        <v>1754</v>
      </c>
      <c r="C1778">
        <v>1</v>
      </c>
      <c r="D1778" s="17" t="s">
        <v>155</v>
      </c>
      <c r="E1778" s="17"/>
      <c r="F1778" s="17" t="s">
        <v>156</v>
      </c>
      <c r="G1778" s="17"/>
      <c r="H1778" s="17" t="s">
        <v>692</v>
      </c>
      <c r="I1778" s="17"/>
      <c r="J1778" s="17" t="s">
        <v>693</v>
      </c>
      <c r="K1778" s="17"/>
      <c r="L1778" s="17"/>
      <c r="M1778" s="17"/>
      <c r="N1778" s="17" t="s">
        <v>8653</v>
      </c>
      <c r="O1778" s="17"/>
      <c r="P1778" s="17" t="s">
        <v>8804</v>
      </c>
      <c r="Q1778" s="17"/>
      <c r="R1778" s="25" t="str">
        <f>HYPERLINK("https://ictv.global/taxonomy/taxondetails?taxnode_id=202314732","Peduovirus HQ103")</f>
        <v>Peduovirus HQ103</v>
      </c>
      <c r="S1778" s="18" t="s">
        <v>30</v>
      </c>
      <c r="T1778" s="18" t="s">
        <v>8813</v>
      </c>
      <c r="U1778" s="18"/>
      <c r="V1778" s="18"/>
      <c r="W1778" s="18" t="s">
        <v>8814</v>
      </c>
      <c r="X1778" s="18" t="s">
        <v>42</v>
      </c>
      <c r="Y1778" s="18" t="s">
        <v>36</v>
      </c>
      <c r="Z1778" s="18" t="s">
        <v>697</v>
      </c>
      <c r="AA1778" s="21" t="str">
        <f>HYPERLINK("https://www.ncbi.nlm.nih.gov/nuccore/MZ420230","NCBI Nucleotide")</f>
        <v>NCBI Nucleotide</v>
      </c>
    </row>
    <row r="1779" spans="1:27" x14ac:dyDescent="0.35">
      <c r="A1779">
        <v>1002149</v>
      </c>
      <c r="B1779">
        <v>1755</v>
      </c>
      <c r="C1779">
        <v>1</v>
      </c>
      <c r="D1779" s="17" t="s">
        <v>155</v>
      </c>
      <c r="E1779" s="17"/>
      <c r="F1779" s="17" t="s">
        <v>156</v>
      </c>
      <c r="G1779" s="17"/>
      <c r="H1779" s="17" t="s">
        <v>692</v>
      </c>
      <c r="I1779" s="17"/>
      <c r="J1779" s="17" t="s">
        <v>693</v>
      </c>
      <c r="K1779" s="17"/>
      <c r="L1779" s="17"/>
      <c r="M1779" s="17"/>
      <c r="N1779" s="17" t="s">
        <v>8653</v>
      </c>
      <c r="O1779" s="17"/>
      <c r="P1779" s="17" t="s">
        <v>8804</v>
      </c>
      <c r="Q1779" s="17"/>
      <c r="R1779" s="25" t="str">
        <f>HYPERLINK("https://ictv.global/taxonomy/taxondetails?taxnode_id=202300246","Peduovirus L413C")</f>
        <v>Peduovirus L413C</v>
      </c>
      <c r="S1779" s="18" t="s">
        <v>30</v>
      </c>
      <c r="T1779" s="18" t="s">
        <v>8815</v>
      </c>
      <c r="U1779" s="18"/>
      <c r="V1779" s="18"/>
      <c r="W1779" s="18" t="s">
        <v>8816</v>
      </c>
      <c r="X1779" s="18" t="s">
        <v>42</v>
      </c>
      <c r="Y1779" s="18" t="s">
        <v>36</v>
      </c>
      <c r="Z1779" s="18" t="s">
        <v>697</v>
      </c>
      <c r="AA1779" s="21" t="str">
        <f>HYPERLINK("https://www.ncbi.nlm.nih.gov/nuccore/AY251033","NCBI Nucleotide")</f>
        <v>NCBI Nucleotide</v>
      </c>
    </row>
    <row r="1780" spans="1:27" x14ac:dyDescent="0.35">
      <c r="A1780">
        <v>1002150</v>
      </c>
      <c r="B1780">
        <v>1756</v>
      </c>
      <c r="C1780">
        <v>1</v>
      </c>
      <c r="D1780" s="17" t="s">
        <v>155</v>
      </c>
      <c r="E1780" s="17"/>
      <c r="F1780" s="17" t="s">
        <v>156</v>
      </c>
      <c r="G1780" s="17"/>
      <c r="H1780" s="17" t="s">
        <v>692</v>
      </c>
      <c r="I1780" s="17"/>
      <c r="J1780" s="17" t="s">
        <v>693</v>
      </c>
      <c r="K1780" s="17"/>
      <c r="L1780" s="17"/>
      <c r="M1780" s="17"/>
      <c r="N1780" s="17" t="s">
        <v>8653</v>
      </c>
      <c r="O1780" s="17"/>
      <c r="P1780" s="17" t="s">
        <v>8804</v>
      </c>
      <c r="Q1780" s="17"/>
      <c r="R1780" s="25" t="str">
        <f>HYPERLINK("https://ictv.global/taxonomy/taxondetails?taxnode_id=202311581","Peduovirus magyaro")</f>
        <v>Peduovirus magyaro</v>
      </c>
      <c r="S1780" s="18" t="s">
        <v>30</v>
      </c>
      <c r="T1780" s="18" t="s">
        <v>8817</v>
      </c>
      <c r="U1780" s="18"/>
      <c r="V1780" s="18"/>
      <c r="W1780" s="18" t="s">
        <v>8818</v>
      </c>
      <c r="X1780" s="18" t="s">
        <v>42</v>
      </c>
      <c r="Y1780" s="18" t="s">
        <v>36</v>
      </c>
      <c r="Z1780" s="18" t="s">
        <v>697</v>
      </c>
      <c r="AA1780" s="21" t="str">
        <f>HYPERLINK("https://www.ncbi.nlm.nih.gov/nuccore/KC618326","NCBI Nucleotide")</f>
        <v>NCBI Nucleotide</v>
      </c>
    </row>
    <row r="1781" spans="1:27" x14ac:dyDescent="0.35">
      <c r="A1781">
        <v>1002151</v>
      </c>
      <c r="B1781">
        <v>1757</v>
      </c>
      <c r="C1781">
        <v>1</v>
      </c>
      <c r="D1781" s="17" t="s">
        <v>155</v>
      </c>
      <c r="E1781" s="17"/>
      <c r="F1781" s="17" t="s">
        <v>156</v>
      </c>
      <c r="G1781" s="17"/>
      <c r="H1781" s="17" t="s">
        <v>692</v>
      </c>
      <c r="I1781" s="17"/>
      <c r="J1781" s="17" t="s">
        <v>693</v>
      </c>
      <c r="K1781" s="17"/>
      <c r="L1781" s="17"/>
      <c r="M1781" s="17"/>
      <c r="N1781" s="17" t="s">
        <v>8653</v>
      </c>
      <c r="O1781" s="17"/>
      <c r="P1781" s="17" t="s">
        <v>8804</v>
      </c>
      <c r="Q1781" s="17"/>
      <c r="R1781" s="25" t="str">
        <f>HYPERLINK("https://ictv.global/taxonomy/taxondetails?taxnode_id=202300238","Peduovirus P2")</f>
        <v>Peduovirus P2</v>
      </c>
      <c r="S1781" s="18" t="s">
        <v>30</v>
      </c>
      <c r="T1781" s="18" t="s">
        <v>8819</v>
      </c>
      <c r="U1781" s="18" t="s">
        <v>8820</v>
      </c>
      <c r="V1781" s="18"/>
      <c r="W1781" s="18" t="s">
        <v>8821</v>
      </c>
      <c r="X1781" s="18" t="s">
        <v>42</v>
      </c>
      <c r="Y1781" s="18" t="s">
        <v>36</v>
      </c>
      <c r="Z1781" s="18" t="s">
        <v>697</v>
      </c>
      <c r="AA1781" s="21" t="str">
        <f>HYPERLINK("https://www.ncbi.nlm.nih.gov/nuccore/AF063097","NCBI Nucleotide")</f>
        <v>NCBI Nucleotide</v>
      </c>
    </row>
    <row r="1782" spans="1:27" x14ac:dyDescent="0.35">
      <c r="A1782">
        <v>1002158</v>
      </c>
      <c r="B1782">
        <v>1758</v>
      </c>
      <c r="C1782">
        <v>1</v>
      </c>
      <c r="D1782" s="17" t="s">
        <v>155</v>
      </c>
      <c r="E1782" s="17"/>
      <c r="F1782" s="17" t="s">
        <v>156</v>
      </c>
      <c r="G1782" s="17"/>
      <c r="H1782" s="17" t="s">
        <v>692</v>
      </c>
      <c r="I1782" s="17"/>
      <c r="J1782" s="17" t="s">
        <v>693</v>
      </c>
      <c r="K1782" s="17"/>
      <c r="L1782" s="17"/>
      <c r="M1782" s="17"/>
      <c r="N1782" s="17" t="s">
        <v>8653</v>
      </c>
      <c r="O1782" s="17"/>
      <c r="P1782" s="17" t="s">
        <v>8804</v>
      </c>
      <c r="Q1782" s="17"/>
      <c r="R1782" s="25" t="str">
        <f>HYPERLINK("https://ictv.global/taxonomy/taxondetails?taxnode_id=202314731","Peduovirus P37")</f>
        <v>Peduovirus P37</v>
      </c>
      <c r="S1782" s="18" t="s">
        <v>30</v>
      </c>
      <c r="T1782" s="18" t="s">
        <v>8834</v>
      </c>
      <c r="U1782" s="18"/>
      <c r="V1782" s="18"/>
      <c r="W1782" s="18" t="s">
        <v>8835</v>
      </c>
      <c r="X1782" s="18" t="s">
        <v>42</v>
      </c>
      <c r="Y1782" s="18" t="s">
        <v>36</v>
      </c>
      <c r="Z1782" s="18" t="s">
        <v>697</v>
      </c>
      <c r="AA1782" s="21" t="str">
        <f>HYPERLINK("https://www.ncbi.nlm.nih.gov/nuccore/MT239398","NCBI Nucleotide")</f>
        <v>NCBI Nucleotide</v>
      </c>
    </row>
    <row r="1783" spans="1:27" x14ac:dyDescent="0.35">
      <c r="A1783">
        <v>1024731</v>
      </c>
      <c r="B1783">
        <v>1759</v>
      </c>
      <c r="C1783">
        <v>1</v>
      </c>
      <c r="D1783" s="17" t="s">
        <v>155</v>
      </c>
      <c r="E1783" s="17"/>
      <c r="F1783" s="17" t="s">
        <v>156</v>
      </c>
      <c r="G1783" s="17"/>
      <c r="H1783" s="17" t="s">
        <v>692</v>
      </c>
      <c r="I1783" s="17"/>
      <c r="J1783" s="17" t="s">
        <v>693</v>
      </c>
      <c r="K1783" s="17"/>
      <c r="L1783" s="17"/>
      <c r="M1783" s="17"/>
      <c r="N1783" s="17" t="s">
        <v>8653</v>
      </c>
      <c r="O1783" s="17"/>
      <c r="P1783" s="17" t="s">
        <v>8804</v>
      </c>
      <c r="Q1783" s="17"/>
      <c r="R1783" s="25" t="str">
        <f>HYPERLINK("https://ictv.global/taxonomy/taxondetails?taxnode_id=202319233","Peduovirus P110331")</f>
        <v>Peduovirus P110331</v>
      </c>
      <c r="S1783" s="18" t="s">
        <v>30</v>
      </c>
      <c r="T1783" s="18" t="s">
        <v>39430</v>
      </c>
      <c r="U1783" s="18"/>
      <c r="V1783" s="18"/>
      <c r="W1783" s="18" t="s">
        <v>48171</v>
      </c>
      <c r="X1783" s="18" t="s">
        <v>42</v>
      </c>
      <c r="Y1783" s="18" t="s">
        <v>36</v>
      </c>
      <c r="Z1783" s="18" t="s">
        <v>697</v>
      </c>
      <c r="AA1783" s="21" t="str">
        <f>HYPERLINK("https://www.ncbi.nlm.nih.gov/nuccore/OQ383618","NCBI Nucleotide")</f>
        <v>NCBI Nucleotide</v>
      </c>
    </row>
    <row r="1784" spans="1:27" x14ac:dyDescent="0.35">
      <c r="A1784">
        <v>1002152</v>
      </c>
      <c r="B1784">
        <v>1760</v>
      </c>
      <c r="C1784">
        <v>1</v>
      </c>
      <c r="D1784" s="17" t="s">
        <v>155</v>
      </c>
      <c r="E1784" s="17"/>
      <c r="F1784" s="17" t="s">
        <v>156</v>
      </c>
      <c r="G1784" s="17"/>
      <c r="H1784" s="17" t="s">
        <v>692</v>
      </c>
      <c r="I1784" s="17"/>
      <c r="J1784" s="17" t="s">
        <v>693</v>
      </c>
      <c r="K1784" s="17"/>
      <c r="L1784" s="17"/>
      <c r="M1784" s="17"/>
      <c r="N1784" s="17" t="s">
        <v>8653</v>
      </c>
      <c r="O1784" s="17"/>
      <c r="P1784" s="17" t="s">
        <v>8804</v>
      </c>
      <c r="Q1784" s="17"/>
      <c r="R1784" s="25" t="str">
        <f>HYPERLINK("https://ictv.global/taxonomy/taxondetails?taxnode_id=202311615","Peduovirus P22H1")</f>
        <v>Peduovirus P22H1</v>
      </c>
      <c r="S1784" s="18" t="s">
        <v>30</v>
      </c>
      <c r="T1784" s="18" t="s">
        <v>8822</v>
      </c>
      <c r="U1784" s="18"/>
      <c r="V1784" s="18"/>
      <c r="W1784" s="18" t="s">
        <v>8823</v>
      </c>
      <c r="X1784" s="18" t="s">
        <v>42</v>
      </c>
      <c r="Y1784" s="18" t="s">
        <v>36</v>
      </c>
      <c r="Z1784" s="18" t="s">
        <v>697</v>
      </c>
      <c r="AA1784" s="21" t="str">
        <f>HYPERLINK("https://www.ncbi.nlm.nih.gov/nuccore/LR595870","NCBI Nucleotide")</f>
        <v>NCBI Nucleotide</v>
      </c>
    </row>
    <row r="1785" spans="1:27" x14ac:dyDescent="0.35">
      <c r="A1785">
        <v>1002153</v>
      </c>
      <c r="B1785">
        <v>1761</v>
      </c>
      <c r="C1785">
        <v>1</v>
      </c>
      <c r="D1785" s="17" t="s">
        <v>155</v>
      </c>
      <c r="E1785" s="17"/>
      <c r="F1785" s="17" t="s">
        <v>156</v>
      </c>
      <c r="G1785" s="17"/>
      <c r="H1785" s="17" t="s">
        <v>692</v>
      </c>
      <c r="I1785" s="17"/>
      <c r="J1785" s="17" t="s">
        <v>693</v>
      </c>
      <c r="K1785" s="17"/>
      <c r="L1785" s="17"/>
      <c r="M1785" s="17"/>
      <c r="N1785" s="17" t="s">
        <v>8653</v>
      </c>
      <c r="O1785" s="17"/>
      <c r="P1785" s="17" t="s">
        <v>8804</v>
      </c>
      <c r="Q1785" s="17"/>
      <c r="R1785" s="25" t="str">
        <f>HYPERLINK("https://ictv.global/taxonomy/taxondetails?taxnode_id=202311611","Peduovirus P22H4")</f>
        <v>Peduovirus P22H4</v>
      </c>
      <c r="S1785" s="18" t="s">
        <v>30</v>
      </c>
      <c r="T1785" s="18" t="s">
        <v>8824</v>
      </c>
      <c r="U1785" s="18"/>
      <c r="V1785" s="18"/>
      <c r="W1785" s="18" t="s">
        <v>8825</v>
      </c>
      <c r="X1785" s="18" t="s">
        <v>42</v>
      </c>
      <c r="Y1785" s="18" t="s">
        <v>36</v>
      </c>
      <c r="Z1785" s="18" t="s">
        <v>697</v>
      </c>
      <c r="AA1785" s="21" t="str">
        <f>HYPERLINK("https://www.ncbi.nlm.nih.gov/nuccore/LR595869","NCBI Nucleotide")</f>
        <v>NCBI Nucleotide</v>
      </c>
    </row>
    <row r="1786" spans="1:27" x14ac:dyDescent="0.35">
      <c r="A1786">
        <v>1002154</v>
      </c>
      <c r="B1786">
        <v>1762</v>
      </c>
      <c r="C1786">
        <v>1</v>
      </c>
      <c r="D1786" s="17" t="s">
        <v>155</v>
      </c>
      <c r="E1786" s="17"/>
      <c r="F1786" s="17" t="s">
        <v>156</v>
      </c>
      <c r="G1786" s="17"/>
      <c r="H1786" s="17" t="s">
        <v>692</v>
      </c>
      <c r="I1786" s="17"/>
      <c r="J1786" s="17" t="s">
        <v>693</v>
      </c>
      <c r="K1786" s="17"/>
      <c r="L1786" s="17"/>
      <c r="M1786" s="17"/>
      <c r="N1786" s="17" t="s">
        <v>8653</v>
      </c>
      <c r="O1786" s="17"/>
      <c r="P1786" s="17" t="s">
        <v>8804</v>
      </c>
      <c r="Q1786" s="17"/>
      <c r="R1786" s="25" t="str">
        <f>HYPERLINK("https://ictv.global/taxonomy/taxondetails?taxnode_id=202311609","Peduovirus P24A7b")</f>
        <v>Peduovirus P24A7b</v>
      </c>
      <c r="S1786" s="18" t="s">
        <v>30</v>
      </c>
      <c r="T1786" s="18" t="s">
        <v>8826</v>
      </c>
      <c r="U1786" s="18"/>
      <c r="V1786" s="18"/>
      <c r="W1786" s="18" t="s">
        <v>8827</v>
      </c>
      <c r="X1786" s="18" t="s">
        <v>42</v>
      </c>
      <c r="Y1786" s="18" t="s">
        <v>36</v>
      </c>
      <c r="Z1786" s="18" t="s">
        <v>697</v>
      </c>
      <c r="AA1786" s="21" t="str">
        <f>HYPERLINK("https://www.ncbi.nlm.nih.gov/nuccore/LR595887","NCBI Nucleotide")</f>
        <v>NCBI Nucleotide</v>
      </c>
    </row>
    <row r="1787" spans="1:27" x14ac:dyDescent="0.35">
      <c r="A1787">
        <v>1002155</v>
      </c>
      <c r="B1787">
        <v>1763</v>
      </c>
      <c r="C1787">
        <v>1</v>
      </c>
      <c r="D1787" s="17" t="s">
        <v>155</v>
      </c>
      <c r="E1787" s="17"/>
      <c r="F1787" s="17" t="s">
        <v>156</v>
      </c>
      <c r="G1787" s="17"/>
      <c r="H1787" s="17" t="s">
        <v>692</v>
      </c>
      <c r="I1787" s="17"/>
      <c r="J1787" s="17" t="s">
        <v>693</v>
      </c>
      <c r="K1787" s="17"/>
      <c r="L1787" s="17"/>
      <c r="M1787" s="17"/>
      <c r="N1787" s="17" t="s">
        <v>8653</v>
      </c>
      <c r="O1787" s="17"/>
      <c r="P1787" s="17" t="s">
        <v>8804</v>
      </c>
      <c r="Q1787" s="17"/>
      <c r="R1787" s="25" t="str">
        <f>HYPERLINK("https://ictv.global/taxonomy/taxondetails?taxnode_id=202311612","Peduovirus P24B2")</f>
        <v>Peduovirus P24B2</v>
      </c>
      <c r="S1787" s="18" t="s">
        <v>30</v>
      </c>
      <c r="T1787" s="18" t="s">
        <v>8828</v>
      </c>
      <c r="U1787" s="18"/>
      <c r="V1787" s="18"/>
      <c r="W1787" s="18" t="s">
        <v>8829</v>
      </c>
      <c r="X1787" s="18" t="s">
        <v>42</v>
      </c>
      <c r="Y1787" s="18" t="s">
        <v>36</v>
      </c>
      <c r="Z1787" s="18" t="s">
        <v>697</v>
      </c>
      <c r="AA1787" s="21" t="str">
        <f>HYPERLINK("https://www.ncbi.nlm.nih.gov/nuccore/LR595873","NCBI Nucleotide")</f>
        <v>NCBI Nucleotide</v>
      </c>
    </row>
    <row r="1788" spans="1:27" x14ac:dyDescent="0.35">
      <c r="A1788">
        <v>1002156</v>
      </c>
      <c r="B1788">
        <v>1764</v>
      </c>
      <c r="C1788">
        <v>1</v>
      </c>
      <c r="D1788" s="17" t="s">
        <v>155</v>
      </c>
      <c r="E1788" s="17"/>
      <c r="F1788" s="17" t="s">
        <v>156</v>
      </c>
      <c r="G1788" s="17"/>
      <c r="H1788" s="17" t="s">
        <v>692</v>
      </c>
      <c r="I1788" s="17"/>
      <c r="J1788" s="17" t="s">
        <v>693</v>
      </c>
      <c r="K1788" s="17"/>
      <c r="L1788" s="17"/>
      <c r="M1788" s="17"/>
      <c r="N1788" s="17" t="s">
        <v>8653</v>
      </c>
      <c r="O1788" s="17"/>
      <c r="P1788" s="17" t="s">
        <v>8804</v>
      </c>
      <c r="Q1788" s="17"/>
      <c r="R1788" s="25" t="str">
        <f>HYPERLINK("https://ictv.global/taxonomy/taxondetails?taxnode_id=202311614","Peduovirus P24C9")</f>
        <v>Peduovirus P24C9</v>
      </c>
      <c r="S1788" s="18" t="s">
        <v>30</v>
      </c>
      <c r="T1788" s="18" t="s">
        <v>8830</v>
      </c>
      <c r="U1788" s="18"/>
      <c r="V1788" s="18"/>
      <c r="W1788" s="18" t="s">
        <v>8831</v>
      </c>
      <c r="X1788" s="18" t="s">
        <v>42</v>
      </c>
      <c r="Y1788" s="18" t="s">
        <v>36</v>
      </c>
      <c r="Z1788" s="18" t="s">
        <v>697</v>
      </c>
      <c r="AA1788" s="21" t="str">
        <f>HYPERLINK("https://www.ncbi.nlm.nih.gov/nuccore/LR595883","NCBI Nucleotide")</f>
        <v>NCBI Nucleotide</v>
      </c>
    </row>
    <row r="1789" spans="1:27" x14ac:dyDescent="0.35">
      <c r="A1789">
        <v>1002157</v>
      </c>
      <c r="B1789">
        <v>1765</v>
      </c>
      <c r="C1789">
        <v>1</v>
      </c>
      <c r="D1789" s="17" t="s">
        <v>155</v>
      </c>
      <c r="E1789" s="17"/>
      <c r="F1789" s="17" t="s">
        <v>156</v>
      </c>
      <c r="G1789" s="17"/>
      <c r="H1789" s="17" t="s">
        <v>692</v>
      </c>
      <c r="I1789" s="17"/>
      <c r="J1789" s="17" t="s">
        <v>693</v>
      </c>
      <c r="K1789" s="17"/>
      <c r="L1789" s="17"/>
      <c r="M1789" s="17"/>
      <c r="N1789" s="17" t="s">
        <v>8653</v>
      </c>
      <c r="O1789" s="17"/>
      <c r="P1789" s="17" t="s">
        <v>8804</v>
      </c>
      <c r="Q1789" s="17"/>
      <c r="R1789" s="25" t="str">
        <f>HYPERLINK("https://ictv.global/taxonomy/taxondetails?taxnode_id=202311613","Peduovirus P24E6b")</f>
        <v>Peduovirus P24E6b</v>
      </c>
      <c r="S1789" s="18" t="s">
        <v>30</v>
      </c>
      <c r="T1789" s="18" t="s">
        <v>8832</v>
      </c>
      <c r="U1789" s="18"/>
      <c r="V1789" s="18"/>
      <c r="W1789" s="18" t="s">
        <v>8833</v>
      </c>
      <c r="X1789" s="18" t="s">
        <v>42</v>
      </c>
      <c r="Y1789" s="18" t="s">
        <v>36</v>
      </c>
      <c r="Z1789" s="18" t="s">
        <v>697</v>
      </c>
      <c r="AA1789" s="21" t="str">
        <f>HYPERLINK("https://www.ncbi.nlm.nih.gov/nuccore/LR595885","NCBI Nucleotide")</f>
        <v>NCBI Nucleotide</v>
      </c>
    </row>
    <row r="1790" spans="1:27" x14ac:dyDescent="0.35">
      <c r="A1790">
        <v>1002159</v>
      </c>
      <c r="B1790">
        <v>1766</v>
      </c>
      <c r="C1790">
        <v>1</v>
      </c>
      <c r="D1790" s="17" t="s">
        <v>155</v>
      </c>
      <c r="E1790" s="17"/>
      <c r="F1790" s="17" t="s">
        <v>156</v>
      </c>
      <c r="G1790" s="17"/>
      <c r="H1790" s="17" t="s">
        <v>692</v>
      </c>
      <c r="I1790" s="17"/>
      <c r="J1790" s="17" t="s">
        <v>693</v>
      </c>
      <c r="K1790" s="17"/>
      <c r="L1790" s="17"/>
      <c r="M1790" s="17"/>
      <c r="N1790" s="17" t="s">
        <v>8653</v>
      </c>
      <c r="O1790" s="17"/>
      <c r="P1790" s="17" t="s">
        <v>8804</v>
      </c>
      <c r="Q1790" s="17"/>
      <c r="R1790" s="25" t="str">
        <f>HYPERLINK("https://ictv.global/taxonomy/taxondetails?taxnode_id=202307029","Peduovirus pro147")</f>
        <v>Peduovirus pro147</v>
      </c>
      <c r="S1790" s="18" t="s">
        <v>30</v>
      </c>
      <c r="T1790" s="18" t="s">
        <v>8836</v>
      </c>
      <c r="U1790" s="18"/>
      <c r="V1790" s="18"/>
      <c r="W1790" s="18" t="s">
        <v>8837</v>
      </c>
      <c r="X1790" s="18" t="s">
        <v>42</v>
      </c>
      <c r="Y1790" s="18" t="s">
        <v>36</v>
      </c>
      <c r="Z1790" s="18" t="s">
        <v>697</v>
      </c>
      <c r="AA1790" s="21" t="str">
        <f>HYPERLINK("https://www.ncbi.nlm.nih.gov/nuccore/KR073660","NCBI Nucleotide")</f>
        <v>NCBI Nucleotide</v>
      </c>
    </row>
    <row r="1791" spans="1:27" x14ac:dyDescent="0.35">
      <c r="A1791">
        <v>1002160</v>
      </c>
      <c r="B1791">
        <v>1767</v>
      </c>
      <c r="C1791">
        <v>1</v>
      </c>
      <c r="D1791" s="17" t="s">
        <v>155</v>
      </c>
      <c r="E1791" s="17"/>
      <c r="F1791" s="17" t="s">
        <v>156</v>
      </c>
      <c r="G1791" s="17"/>
      <c r="H1791" s="17" t="s">
        <v>692</v>
      </c>
      <c r="I1791" s="17"/>
      <c r="J1791" s="17" t="s">
        <v>693</v>
      </c>
      <c r="K1791" s="17"/>
      <c r="L1791" s="17"/>
      <c r="M1791" s="17"/>
      <c r="N1791" s="17" t="s">
        <v>8653</v>
      </c>
      <c r="O1791" s="17"/>
      <c r="P1791" s="17" t="s">
        <v>8804</v>
      </c>
      <c r="Q1791" s="17"/>
      <c r="R1791" s="25" t="str">
        <f>HYPERLINK("https://ictv.global/taxonomy/taxondetails?taxnode_id=202307030","Peduovirus pro483")</f>
        <v>Peduovirus pro483</v>
      </c>
      <c r="S1791" s="18" t="s">
        <v>30</v>
      </c>
      <c r="T1791" s="18" t="s">
        <v>8838</v>
      </c>
      <c r="U1791" s="18"/>
      <c r="V1791" s="18"/>
      <c r="W1791" s="18" t="s">
        <v>8839</v>
      </c>
      <c r="X1791" s="18" t="s">
        <v>42</v>
      </c>
      <c r="Y1791" s="18" t="s">
        <v>36</v>
      </c>
      <c r="Z1791" s="18" t="s">
        <v>697</v>
      </c>
      <c r="AA1791" s="21" t="str">
        <f>HYPERLINK("https://www.ncbi.nlm.nih.gov/nuccore/KR073661","NCBI Nucleotide")</f>
        <v>NCBI Nucleotide</v>
      </c>
    </row>
    <row r="1792" spans="1:27" x14ac:dyDescent="0.35">
      <c r="A1792">
        <v>1002161</v>
      </c>
      <c r="B1792">
        <v>1768</v>
      </c>
      <c r="C1792">
        <v>1</v>
      </c>
      <c r="D1792" s="17" t="s">
        <v>155</v>
      </c>
      <c r="E1792" s="17"/>
      <c r="F1792" s="17" t="s">
        <v>156</v>
      </c>
      <c r="G1792" s="17"/>
      <c r="H1792" s="17" t="s">
        <v>692</v>
      </c>
      <c r="I1792" s="17"/>
      <c r="J1792" s="17" t="s">
        <v>693</v>
      </c>
      <c r="K1792" s="17"/>
      <c r="L1792" s="17"/>
      <c r="M1792" s="17"/>
      <c r="N1792" s="17" t="s">
        <v>8653</v>
      </c>
      <c r="O1792" s="17"/>
      <c r="P1792" s="17" t="s">
        <v>8804</v>
      </c>
      <c r="Q1792" s="17"/>
      <c r="R1792" s="25" t="str">
        <f>HYPERLINK("https://ictv.global/taxonomy/taxondetails?taxnode_id=202311608","Peduovirus pv12474III")</f>
        <v>Peduovirus pv12474III</v>
      </c>
      <c r="S1792" s="18" t="s">
        <v>30</v>
      </c>
      <c r="T1792" s="18" t="s">
        <v>8840</v>
      </c>
      <c r="U1792" s="18"/>
      <c r="V1792" s="18"/>
      <c r="W1792" s="18" t="s">
        <v>8841</v>
      </c>
      <c r="X1792" s="18" t="s">
        <v>42</v>
      </c>
      <c r="Y1792" s="18" t="s">
        <v>36</v>
      </c>
      <c r="Z1792" s="18" t="s">
        <v>697</v>
      </c>
      <c r="AA1792" s="21" t="str">
        <f>HYPERLINK("https://www.ncbi.nlm.nih.gov/nuccore/MK907237","NCBI Nucleotide")</f>
        <v>NCBI Nucleotide</v>
      </c>
    </row>
    <row r="1793" spans="1:27" x14ac:dyDescent="0.35">
      <c r="A1793">
        <v>1002162</v>
      </c>
      <c r="B1793">
        <v>1769</v>
      </c>
      <c r="C1793">
        <v>1</v>
      </c>
      <c r="D1793" s="17" t="s">
        <v>155</v>
      </c>
      <c r="E1793" s="17"/>
      <c r="F1793" s="17" t="s">
        <v>156</v>
      </c>
      <c r="G1793" s="17"/>
      <c r="H1793" s="17" t="s">
        <v>692</v>
      </c>
      <c r="I1793" s="17"/>
      <c r="J1793" s="17" t="s">
        <v>693</v>
      </c>
      <c r="K1793" s="17"/>
      <c r="L1793" s="17"/>
      <c r="M1793" s="17"/>
      <c r="N1793" s="17" t="s">
        <v>8653</v>
      </c>
      <c r="O1793" s="17"/>
      <c r="P1793" s="17" t="s">
        <v>8804</v>
      </c>
      <c r="Q1793" s="17"/>
      <c r="R1793" s="25" t="str">
        <f>HYPERLINK("https://ictv.global/taxonomy/taxondetails?taxnode_id=202311610","Peduovirus R18C")</f>
        <v>Peduovirus R18C</v>
      </c>
      <c r="S1793" s="18" t="s">
        <v>30</v>
      </c>
      <c r="T1793" s="18" t="s">
        <v>8842</v>
      </c>
      <c r="U1793" s="18"/>
      <c r="V1793" s="18"/>
      <c r="W1793" s="18" t="s">
        <v>8843</v>
      </c>
      <c r="X1793" s="18" t="s">
        <v>42</v>
      </c>
      <c r="Y1793" s="18" t="s">
        <v>36</v>
      </c>
      <c r="Z1793" s="18" t="s">
        <v>697</v>
      </c>
      <c r="AA1793" s="21" t="str">
        <f>HYPERLINK("https://www.ncbi.nlm.nih.gov/nuccore/MN016939","NCBI Nucleotide")</f>
        <v>NCBI Nucleotide</v>
      </c>
    </row>
    <row r="1794" spans="1:27" x14ac:dyDescent="0.35">
      <c r="A1794">
        <v>1002163</v>
      </c>
      <c r="B1794">
        <v>1770</v>
      </c>
      <c r="C1794">
        <v>1</v>
      </c>
      <c r="D1794" s="17" t="s">
        <v>155</v>
      </c>
      <c r="E1794" s="17"/>
      <c r="F1794" s="17" t="s">
        <v>156</v>
      </c>
      <c r="G1794" s="17"/>
      <c r="H1794" s="17" t="s">
        <v>692</v>
      </c>
      <c r="I1794" s="17"/>
      <c r="J1794" s="17" t="s">
        <v>693</v>
      </c>
      <c r="K1794" s="17"/>
      <c r="L1794" s="17"/>
      <c r="M1794" s="17"/>
      <c r="N1794" s="17" t="s">
        <v>8653</v>
      </c>
      <c r="O1794" s="17"/>
      <c r="P1794" s="17" t="s">
        <v>8804</v>
      </c>
      <c r="Q1794" s="17"/>
      <c r="R1794" s="25" t="str">
        <f>HYPERLINK("https://ictv.global/taxonomy/taxondetails?taxnode_id=202314728","Peduovirus SIAC10")</f>
        <v>Peduovirus SIAC10</v>
      </c>
      <c r="S1794" s="18" t="s">
        <v>30</v>
      </c>
      <c r="T1794" s="18" t="s">
        <v>8844</v>
      </c>
      <c r="U1794" s="18"/>
      <c r="V1794" s="18"/>
      <c r="W1794" s="18" t="s">
        <v>8845</v>
      </c>
      <c r="X1794" s="18" t="s">
        <v>42</v>
      </c>
      <c r="Y1794" s="18" t="s">
        <v>36</v>
      </c>
      <c r="Z1794" s="18" t="s">
        <v>697</v>
      </c>
      <c r="AA1794" s="21" t="str">
        <f>HYPERLINK("https://www.ncbi.nlm.nih.gov/nuccore/OU784549","NCBI Nucleotide")</f>
        <v>NCBI Nucleotide</v>
      </c>
    </row>
    <row r="1795" spans="1:27" x14ac:dyDescent="0.35">
      <c r="A1795">
        <v>1002164</v>
      </c>
      <c r="B1795">
        <v>1771</v>
      </c>
      <c r="C1795">
        <v>1</v>
      </c>
      <c r="D1795" s="17" t="s">
        <v>155</v>
      </c>
      <c r="E1795" s="17"/>
      <c r="F1795" s="17" t="s">
        <v>156</v>
      </c>
      <c r="G1795" s="17"/>
      <c r="H1795" s="17" t="s">
        <v>692</v>
      </c>
      <c r="I1795" s="17"/>
      <c r="J1795" s="17" t="s">
        <v>693</v>
      </c>
      <c r="K1795" s="17"/>
      <c r="L1795" s="17"/>
      <c r="M1795" s="17"/>
      <c r="N1795" s="17" t="s">
        <v>8653</v>
      </c>
      <c r="O1795" s="17"/>
      <c r="P1795" s="17" t="s">
        <v>8804</v>
      </c>
      <c r="Q1795" s="17"/>
      <c r="R1795" s="25" t="str">
        <f>HYPERLINK("https://ictv.global/taxonomy/taxondetails?taxnode_id=202314730","Peduovirus SIDE7")</f>
        <v>Peduovirus SIDE7</v>
      </c>
      <c r="S1795" s="18" t="s">
        <v>30</v>
      </c>
      <c r="T1795" s="18" t="s">
        <v>8846</v>
      </c>
      <c r="U1795" s="18"/>
      <c r="V1795" s="18"/>
      <c r="W1795" s="18" t="s">
        <v>8847</v>
      </c>
      <c r="X1795" s="18" t="s">
        <v>42</v>
      </c>
      <c r="Y1795" s="18" t="s">
        <v>36</v>
      </c>
      <c r="Z1795" s="18" t="s">
        <v>697</v>
      </c>
      <c r="AA1795" s="21" t="str">
        <f>HYPERLINK("https://www.ncbi.nlm.nih.gov/nuccore/OU784746","NCBI Nucleotide")</f>
        <v>NCBI Nucleotide</v>
      </c>
    </row>
    <row r="1796" spans="1:27" x14ac:dyDescent="0.35">
      <c r="A1796">
        <v>1002165</v>
      </c>
      <c r="B1796">
        <v>1772</v>
      </c>
      <c r="C1796">
        <v>1</v>
      </c>
      <c r="D1796" s="17" t="s">
        <v>155</v>
      </c>
      <c r="E1796" s="17"/>
      <c r="F1796" s="17" t="s">
        <v>156</v>
      </c>
      <c r="G1796" s="17"/>
      <c r="H1796" s="17" t="s">
        <v>692</v>
      </c>
      <c r="I1796" s="17"/>
      <c r="J1796" s="17" t="s">
        <v>693</v>
      </c>
      <c r="K1796" s="17"/>
      <c r="L1796" s="17"/>
      <c r="M1796" s="17"/>
      <c r="N1796" s="17" t="s">
        <v>8653</v>
      </c>
      <c r="O1796" s="17"/>
      <c r="P1796" s="17" t="s">
        <v>8804</v>
      </c>
      <c r="Q1796" s="17"/>
      <c r="R1796" s="25" t="str">
        <f>HYPERLINK("https://ictv.global/taxonomy/taxondetails?taxnode_id=202312873","Peduovirus STYP1")</f>
        <v>Peduovirus STYP1</v>
      </c>
      <c r="S1796" s="18" t="s">
        <v>30</v>
      </c>
      <c r="T1796" s="18" t="s">
        <v>8848</v>
      </c>
      <c r="U1796" s="18"/>
      <c r="V1796" s="18"/>
      <c r="W1796" s="18" t="s">
        <v>8849</v>
      </c>
      <c r="X1796" s="18" t="s">
        <v>42</v>
      </c>
      <c r="Y1796" s="18" t="s">
        <v>36</v>
      </c>
      <c r="Z1796" s="18" t="s">
        <v>697</v>
      </c>
      <c r="AA1796" s="21" t="str">
        <f>HYPERLINK("https://www.ncbi.nlm.nih.gov/nuccore/KX833211","NCBI Nucleotide")</f>
        <v>NCBI Nucleotide</v>
      </c>
    </row>
    <row r="1797" spans="1:27" x14ac:dyDescent="0.35">
      <c r="A1797">
        <v>1002166</v>
      </c>
      <c r="B1797">
        <v>1773</v>
      </c>
      <c r="C1797">
        <v>1</v>
      </c>
      <c r="D1797" s="17" t="s">
        <v>155</v>
      </c>
      <c r="E1797" s="17"/>
      <c r="F1797" s="17" t="s">
        <v>156</v>
      </c>
      <c r="G1797" s="17"/>
      <c r="H1797" s="17" t="s">
        <v>692</v>
      </c>
      <c r="I1797" s="17"/>
      <c r="J1797" s="17" t="s">
        <v>693</v>
      </c>
      <c r="K1797" s="17"/>
      <c r="L1797" s="17"/>
      <c r="M1797" s="17"/>
      <c r="N1797" s="17" t="s">
        <v>8653</v>
      </c>
      <c r="O1797" s="17"/>
      <c r="P1797" s="17" t="s">
        <v>8804</v>
      </c>
      <c r="Q1797" s="17"/>
      <c r="R1797" s="25" t="str">
        <f>HYPERLINK("https://ictv.global/taxonomy/taxondetails?taxnode_id=202300239","Peduovirus Wphi")</f>
        <v>Peduovirus Wphi</v>
      </c>
      <c r="S1797" s="18" t="s">
        <v>30</v>
      </c>
      <c r="T1797" s="18" t="s">
        <v>8850</v>
      </c>
      <c r="U1797" s="18"/>
      <c r="V1797" s="18"/>
      <c r="W1797" s="18" t="s">
        <v>8851</v>
      </c>
      <c r="X1797" s="18" t="s">
        <v>42</v>
      </c>
      <c r="Y1797" s="18" t="s">
        <v>36</v>
      </c>
      <c r="Z1797" s="18" t="s">
        <v>697</v>
      </c>
      <c r="AA1797" s="21" t="str">
        <f>HYPERLINK("https://www.ncbi.nlm.nih.gov/nuccore/AY135739","NCBI Nucleotide")</f>
        <v>NCBI Nucleotide</v>
      </c>
    </row>
    <row r="1798" spans="1:27" x14ac:dyDescent="0.35">
      <c r="A1798">
        <v>1002167</v>
      </c>
      <c r="B1798">
        <v>1774</v>
      </c>
      <c r="C1798">
        <v>1</v>
      </c>
      <c r="D1798" s="17" t="s">
        <v>155</v>
      </c>
      <c r="E1798" s="17"/>
      <c r="F1798" s="17" t="s">
        <v>156</v>
      </c>
      <c r="G1798" s="17"/>
      <c r="H1798" s="17" t="s">
        <v>692</v>
      </c>
      <c r="I1798" s="17"/>
      <c r="J1798" s="17" t="s">
        <v>693</v>
      </c>
      <c r="K1798" s="17"/>
      <c r="L1798" s="17"/>
      <c r="M1798" s="17"/>
      <c r="N1798" s="17" t="s">
        <v>8653</v>
      </c>
      <c r="O1798" s="17"/>
      <c r="P1798" s="17" t="s">
        <v>8804</v>
      </c>
      <c r="Q1798" s="17"/>
      <c r="R1798" s="25" t="str">
        <f>HYPERLINK("https://ictv.global/taxonomy/taxondetails?taxnode_id=202312874","Peduovirus YPM22")</f>
        <v>Peduovirus YPM22</v>
      </c>
      <c r="S1798" s="18" t="s">
        <v>30</v>
      </c>
      <c r="T1798" s="18" t="s">
        <v>8852</v>
      </c>
      <c r="U1798" s="18"/>
      <c r="V1798" s="18"/>
      <c r="W1798" s="18" t="s">
        <v>8853</v>
      </c>
      <c r="X1798" s="18" t="s">
        <v>42</v>
      </c>
      <c r="Y1798" s="18" t="s">
        <v>36</v>
      </c>
      <c r="Z1798" s="18" t="s">
        <v>697</v>
      </c>
      <c r="AA1798" s="21" t="str">
        <f>HYPERLINK("https://www.ncbi.nlm.nih.gov/nuccore/MT374855","NCBI Nucleotide")</f>
        <v>NCBI Nucleotide</v>
      </c>
    </row>
    <row r="1799" spans="1:27" x14ac:dyDescent="0.35">
      <c r="A1799">
        <v>1002168</v>
      </c>
      <c r="B1799">
        <v>1775</v>
      </c>
      <c r="C1799">
        <v>1</v>
      </c>
      <c r="D1799" s="17" t="s">
        <v>155</v>
      </c>
      <c r="E1799" s="17"/>
      <c r="F1799" s="17" t="s">
        <v>156</v>
      </c>
      <c r="G1799" s="17"/>
      <c r="H1799" s="17" t="s">
        <v>692</v>
      </c>
      <c r="I1799" s="17"/>
      <c r="J1799" s="17" t="s">
        <v>693</v>
      </c>
      <c r="K1799" s="17"/>
      <c r="L1799" s="17"/>
      <c r="M1799" s="17"/>
      <c r="N1799" s="17" t="s">
        <v>8653</v>
      </c>
      <c r="O1799" s="17"/>
      <c r="P1799" s="17" t="s">
        <v>8804</v>
      </c>
      <c r="Q1799" s="17"/>
      <c r="R1799" s="25" t="str">
        <f>HYPERLINK("https://ictv.global/taxonomy/taxondetails?taxnode_id=202312876","Peduovirus YPM46")</f>
        <v>Peduovirus YPM46</v>
      </c>
      <c r="S1799" s="18" t="s">
        <v>30</v>
      </c>
      <c r="T1799" s="18" t="s">
        <v>8854</v>
      </c>
      <c r="U1799" s="18"/>
      <c r="V1799" s="18"/>
      <c r="W1799" s="18" t="s">
        <v>8855</v>
      </c>
      <c r="X1799" s="18" t="s">
        <v>42</v>
      </c>
      <c r="Y1799" s="18" t="s">
        <v>36</v>
      </c>
      <c r="Z1799" s="18" t="s">
        <v>697</v>
      </c>
      <c r="AA1799" s="21" t="str">
        <f>HYPERLINK("https://www.ncbi.nlm.nih.gov/nuccore/MT374857","NCBI Nucleotide")</f>
        <v>NCBI Nucleotide</v>
      </c>
    </row>
    <row r="1800" spans="1:27" x14ac:dyDescent="0.35">
      <c r="A1800">
        <v>1002169</v>
      </c>
      <c r="B1800">
        <v>1776</v>
      </c>
      <c r="C1800">
        <v>1</v>
      </c>
      <c r="D1800" s="17" t="s">
        <v>155</v>
      </c>
      <c r="E1800" s="17"/>
      <c r="F1800" s="17" t="s">
        <v>156</v>
      </c>
      <c r="G1800" s="17"/>
      <c r="H1800" s="17" t="s">
        <v>692</v>
      </c>
      <c r="I1800" s="17"/>
      <c r="J1800" s="17" t="s">
        <v>693</v>
      </c>
      <c r="K1800" s="17"/>
      <c r="L1800" s="17"/>
      <c r="M1800" s="17"/>
      <c r="N1800" s="17" t="s">
        <v>8653</v>
      </c>
      <c r="O1800" s="17"/>
      <c r="P1800" s="17" t="s">
        <v>8804</v>
      </c>
      <c r="Q1800" s="17"/>
      <c r="R1800" s="25" t="str">
        <f>HYPERLINK("https://ictv.global/taxonomy/taxondetails?taxnode_id=202312875","Peduovirus YPM50")</f>
        <v>Peduovirus YPM50</v>
      </c>
      <c r="S1800" s="18" t="s">
        <v>30</v>
      </c>
      <c r="T1800" s="18" t="s">
        <v>8856</v>
      </c>
      <c r="U1800" s="18"/>
      <c r="V1800" s="18"/>
      <c r="W1800" s="18" t="s">
        <v>8857</v>
      </c>
      <c r="X1800" s="18" t="s">
        <v>42</v>
      </c>
      <c r="Y1800" s="18" t="s">
        <v>36</v>
      </c>
      <c r="Z1800" s="18" t="s">
        <v>697</v>
      </c>
      <c r="AA1800" s="21" t="str">
        <f>HYPERLINK("https://www.ncbi.nlm.nih.gov/nuccore/MT374858","NCBI Nucleotide")</f>
        <v>NCBI Nucleotide</v>
      </c>
    </row>
    <row r="1801" spans="1:27" x14ac:dyDescent="0.35">
      <c r="A1801">
        <v>1002170</v>
      </c>
      <c r="B1801">
        <v>1777</v>
      </c>
      <c r="C1801">
        <v>1</v>
      </c>
      <c r="D1801" s="17" t="s">
        <v>155</v>
      </c>
      <c r="E1801" s="17"/>
      <c r="F1801" s="17" t="s">
        <v>156</v>
      </c>
      <c r="G1801" s="17"/>
      <c r="H1801" s="17" t="s">
        <v>692</v>
      </c>
      <c r="I1801" s="17"/>
      <c r="J1801" s="17" t="s">
        <v>693</v>
      </c>
      <c r="K1801" s="17"/>
      <c r="L1801" s="17"/>
      <c r="M1801" s="17"/>
      <c r="N1801" s="17" t="s">
        <v>8653</v>
      </c>
      <c r="O1801" s="17"/>
      <c r="P1801" s="17" t="s">
        <v>8858</v>
      </c>
      <c r="Q1801" s="17"/>
      <c r="R1801" s="25" t="str">
        <f>HYPERLINK("https://ictv.global/taxonomy/taxondetails?taxnode_id=202307948","Phitrevirus phi3")</f>
        <v>Phitrevirus phi3</v>
      </c>
      <c r="S1801" s="18" t="s">
        <v>30</v>
      </c>
      <c r="T1801" s="18" t="s">
        <v>8859</v>
      </c>
      <c r="U1801" s="18"/>
      <c r="V1801" s="18"/>
      <c r="W1801" s="18" t="s">
        <v>8860</v>
      </c>
      <c r="X1801" s="18" t="s">
        <v>42</v>
      </c>
      <c r="Y1801" s="18" t="s">
        <v>36</v>
      </c>
      <c r="Z1801" s="18" t="s">
        <v>697</v>
      </c>
      <c r="AA1801" s="21" t="str">
        <f>HYPERLINK("https://www.ncbi.nlm.nih.gov/nuccore/KT887559","NCBI Nucleotide")</f>
        <v>NCBI Nucleotide</v>
      </c>
    </row>
    <row r="1802" spans="1:27" x14ac:dyDescent="0.35">
      <c r="A1802">
        <v>1002171</v>
      </c>
      <c r="B1802">
        <v>1778</v>
      </c>
      <c r="C1802">
        <v>1</v>
      </c>
      <c r="D1802" s="17" t="s">
        <v>155</v>
      </c>
      <c r="E1802" s="17"/>
      <c r="F1802" s="17" t="s">
        <v>156</v>
      </c>
      <c r="G1802" s="17"/>
      <c r="H1802" s="17" t="s">
        <v>692</v>
      </c>
      <c r="I1802" s="17"/>
      <c r="J1802" s="17" t="s">
        <v>693</v>
      </c>
      <c r="K1802" s="17"/>
      <c r="L1802" s="17"/>
      <c r="M1802" s="17"/>
      <c r="N1802" s="17" t="s">
        <v>8653</v>
      </c>
      <c r="O1802" s="17"/>
      <c r="P1802" s="17" t="s">
        <v>8861</v>
      </c>
      <c r="Q1802" s="17"/>
      <c r="R1802" s="25" t="str">
        <f>HYPERLINK("https://ictv.global/taxonomy/taxondetails?taxnode_id=202314743","Piscesmortuivirus LPM4")</f>
        <v>Piscesmortuivirus LPM4</v>
      </c>
      <c r="S1802" s="18" t="s">
        <v>30</v>
      </c>
      <c r="T1802" s="18" t="s">
        <v>8862</v>
      </c>
      <c r="U1802" s="18"/>
      <c r="V1802" s="18"/>
      <c r="W1802" s="18" t="s">
        <v>8863</v>
      </c>
      <c r="X1802" s="18" t="s">
        <v>42</v>
      </c>
      <c r="Y1802" s="18" t="s">
        <v>36</v>
      </c>
      <c r="Z1802" s="18" t="s">
        <v>697</v>
      </c>
      <c r="AA1802" s="21" t="str">
        <f>HYPERLINK("https://www.ncbi.nlm.nih.gov/nuccore/OL348188","NCBI Nucleotide")</f>
        <v>NCBI Nucleotide</v>
      </c>
    </row>
    <row r="1803" spans="1:27" x14ac:dyDescent="0.35">
      <c r="A1803">
        <v>1002172</v>
      </c>
      <c r="B1803">
        <v>1779</v>
      </c>
      <c r="C1803">
        <v>1</v>
      </c>
      <c r="D1803" s="17" t="s">
        <v>155</v>
      </c>
      <c r="E1803" s="17"/>
      <c r="F1803" s="17" t="s">
        <v>156</v>
      </c>
      <c r="G1803" s="17"/>
      <c r="H1803" s="17" t="s">
        <v>692</v>
      </c>
      <c r="I1803" s="17"/>
      <c r="J1803" s="17" t="s">
        <v>693</v>
      </c>
      <c r="K1803" s="17"/>
      <c r="L1803" s="17"/>
      <c r="M1803" s="17"/>
      <c r="N1803" s="17" t="s">
        <v>8653</v>
      </c>
      <c r="O1803" s="17"/>
      <c r="P1803" s="17" t="s">
        <v>8864</v>
      </c>
      <c r="Q1803" s="17"/>
      <c r="R1803" s="25" t="str">
        <f>HYPERLINK("https://ictv.global/taxonomy/taxondetails?taxnode_id=202307941","Playavirus SMHB1")</f>
        <v>Playavirus SMHB1</v>
      </c>
      <c r="S1803" s="18" t="s">
        <v>30</v>
      </c>
      <c r="T1803" s="18" t="s">
        <v>8865</v>
      </c>
      <c r="U1803" s="18"/>
      <c r="V1803" s="18"/>
      <c r="W1803" s="18" t="s">
        <v>8866</v>
      </c>
      <c r="X1803" s="18" t="s">
        <v>42</v>
      </c>
      <c r="Y1803" s="18" t="s">
        <v>36</v>
      </c>
      <c r="Z1803" s="18" t="s">
        <v>697</v>
      </c>
      <c r="AA1803" s="21" t="str">
        <f>HYPERLINK("https://www.ncbi.nlm.nih.gov/nuccore/KX774374","NCBI Nucleotide")</f>
        <v>NCBI Nucleotide</v>
      </c>
    </row>
    <row r="1804" spans="1:27" x14ac:dyDescent="0.35">
      <c r="A1804">
        <v>1002173</v>
      </c>
      <c r="B1804">
        <v>1780</v>
      </c>
      <c r="C1804">
        <v>1</v>
      </c>
      <c r="D1804" s="17" t="s">
        <v>155</v>
      </c>
      <c r="E1804" s="17"/>
      <c r="F1804" s="17" t="s">
        <v>156</v>
      </c>
      <c r="G1804" s="17"/>
      <c r="H1804" s="17" t="s">
        <v>692</v>
      </c>
      <c r="I1804" s="17"/>
      <c r="J1804" s="17" t="s">
        <v>693</v>
      </c>
      <c r="K1804" s="17"/>
      <c r="L1804" s="17"/>
      <c r="M1804" s="17"/>
      <c r="N1804" s="17" t="s">
        <v>8653</v>
      </c>
      <c r="O1804" s="17"/>
      <c r="P1804" s="17" t="s">
        <v>8867</v>
      </c>
      <c r="Q1804" s="17"/>
      <c r="R1804" s="25" t="str">
        <f>HYPERLINK("https://ictv.global/taxonomy/taxondetails?taxnode_id=202312856","Plazymidvirus ZM36")</f>
        <v>Plazymidvirus ZM36</v>
      </c>
      <c r="S1804" s="18" t="s">
        <v>30</v>
      </c>
      <c r="T1804" s="18" t="s">
        <v>8868</v>
      </c>
      <c r="U1804" s="18"/>
      <c r="V1804" s="18"/>
      <c r="W1804" s="18" t="s">
        <v>8869</v>
      </c>
      <c r="X1804" s="18" t="s">
        <v>42</v>
      </c>
      <c r="Y1804" s="18" t="s">
        <v>36</v>
      </c>
      <c r="Z1804" s="18" t="s">
        <v>697</v>
      </c>
      <c r="AA1804" s="21" t="str">
        <f>HYPERLINK("https://www.ncbi.nlm.nih.gov/nuccore/CP023680","NCBI Nucleotide")</f>
        <v>NCBI Nucleotide</v>
      </c>
    </row>
    <row r="1805" spans="1:27" x14ac:dyDescent="0.35">
      <c r="A1805">
        <v>1002175</v>
      </c>
      <c r="B1805">
        <v>1781</v>
      </c>
      <c r="C1805">
        <v>1</v>
      </c>
      <c r="D1805" s="17" t="s">
        <v>155</v>
      </c>
      <c r="E1805" s="17"/>
      <c r="F1805" s="17" t="s">
        <v>156</v>
      </c>
      <c r="G1805" s="17"/>
      <c r="H1805" s="17" t="s">
        <v>692</v>
      </c>
      <c r="I1805" s="17"/>
      <c r="J1805" s="17" t="s">
        <v>693</v>
      </c>
      <c r="K1805" s="17"/>
      <c r="L1805" s="17"/>
      <c r="M1805" s="17"/>
      <c r="N1805" s="17" t="s">
        <v>8653</v>
      </c>
      <c r="O1805" s="17"/>
      <c r="P1805" s="17" t="s">
        <v>8867</v>
      </c>
      <c r="Q1805" s="17"/>
      <c r="R1805" s="25" t="str">
        <f>HYPERLINK("https://ictv.global/taxonomy/taxondetails?taxnode_id=202312855","Plazymidvirus ZM41")</f>
        <v>Plazymidvirus ZM41</v>
      </c>
      <c r="S1805" s="18" t="s">
        <v>30</v>
      </c>
      <c r="T1805" s="18" t="s">
        <v>8872</v>
      </c>
      <c r="U1805" s="18"/>
      <c r="V1805" s="18"/>
      <c r="W1805" s="18" t="s">
        <v>8873</v>
      </c>
      <c r="X1805" s="18" t="s">
        <v>42</v>
      </c>
      <c r="Y1805" s="18" t="s">
        <v>36</v>
      </c>
      <c r="Z1805" s="18" t="s">
        <v>697</v>
      </c>
      <c r="AA1805" s="21" t="str">
        <f>HYPERLINK("https://www.ncbi.nlm.nih.gov/nuccore/CP023686","NCBI Nucleotide")</f>
        <v>NCBI Nucleotide</v>
      </c>
    </row>
    <row r="1806" spans="1:27" x14ac:dyDescent="0.35">
      <c r="A1806">
        <v>1002174</v>
      </c>
      <c r="B1806">
        <v>1782</v>
      </c>
      <c r="C1806">
        <v>1</v>
      </c>
      <c r="D1806" s="17" t="s">
        <v>155</v>
      </c>
      <c r="E1806" s="17"/>
      <c r="F1806" s="17" t="s">
        <v>156</v>
      </c>
      <c r="G1806" s="17"/>
      <c r="H1806" s="17" t="s">
        <v>692</v>
      </c>
      <c r="I1806" s="17"/>
      <c r="J1806" s="17" t="s">
        <v>693</v>
      </c>
      <c r="K1806" s="17"/>
      <c r="L1806" s="17"/>
      <c r="M1806" s="17"/>
      <c r="N1806" s="17" t="s">
        <v>8653</v>
      </c>
      <c r="O1806" s="17"/>
      <c r="P1806" s="17" t="s">
        <v>8867</v>
      </c>
      <c r="Q1806" s="17"/>
      <c r="R1806" s="25" t="str">
        <f>HYPERLINK("https://ictv.global/taxonomy/taxondetails?taxnode_id=202312854","Plazymidvirus ZM401")</f>
        <v>Plazymidvirus ZM401</v>
      </c>
      <c r="S1806" s="18" t="s">
        <v>30</v>
      </c>
      <c r="T1806" s="18" t="s">
        <v>8870</v>
      </c>
      <c r="U1806" s="18"/>
      <c r="V1806" s="18"/>
      <c r="W1806" s="18" t="s">
        <v>8871</v>
      </c>
      <c r="X1806" s="18" t="s">
        <v>42</v>
      </c>
      <c r="Y1806" s="18" t="s">
        <v>36</v>
      </c>
      <c r="Z1806" s="18" t="s">
        <v>697</v>
      </c>
      <c r="AA1806" s="21" t="str">
        <f>HYPERLINK("https://www.ncbi.nlm.nih.gov/nuccore/CP006891","NCBI Nucleotide")</f>
        <v>NCBI Nucleotide</v>
      </c>
    </row>
    <row r="1807" spans="1:27" x14ac:dyDescent="0.35">
      <c r="A1807">
        <v>1002176</v>
      </c>
      <c r="B1807">
        <v>1783</v>
      </c>
      <c r="C1807">
        <v>1</v>
      </c>
      <c r="D1807" s="17" t="s">
        <v>155</v>
      </c>
      <c r="E1807" s="17"/>
      <c r="F1807" s="17" t="s">
        <v>156</v>
      </c>
      <c r="G1807" s="17"/>
      <c r="H1807" s="17" t="s">
        <v>692</v>
      </c>
      <c r="I1807" s="17"/>
      <c r="J1807" s="17" t="s">
        <v>693</v>
      </c>
      <c r="K1807" s="17"/>
      <c r="L1807" s="17"/>
      <c r="M1807" s="17"/>
      <c r="N1807" s="17" t="s">
        <v>8653</v>
      </c>
      <c r="O1807" s="17"/>
      <c r="P1807" s="17" t="s">
        <v>8874</v>
      </c>
      <c r="Q1807" s="17"/>
      <c r="R1807" s="25" t="str">
        <f>HYPERLINK("https://ictv.global/taxonomy/taxondetails?taxnode_id=202311588","Quadragintavirus ev015")</f>
        <v>Quadragintavirus ev015</v>
      </c>
      <c r="S1807" s="18" t="s">
        <v>30</v>
      </c>
      <c r="T1807" s="18" t="s">
        <v>8875</v>
      </c>
      <c r="U1807" s="18"/>
      <c r="V1807" s="18"/>
      <c r="W1807" s="18" t="s">
        <v>8876</v>
      </c>
      <c r="X1807" s="18" t="s">
        <v>42</v>
      </c>
      <c r="Y1807" s="18" t="s">
        <v>36</v>
      </c>
      <c r="Z1807" s="18" t="s">
        <v>697</v>
      </c>
      <c r="AA1807" s="21" t="str">
        <f>HYPERLINK("https://www.ncbi.nlm.nih.gov/nuccore/LR597649","NCBI Nucleotide")</f>
        <v>NCBI Nucleotide</v>
      </c>
    </row>
    <row r="1808" spans="1:27" x14ac:dyDescent="0.35">
      <c r="A1808">
        <v>1002177</v>
      </c>
      <c r="B1808">
        <v>1784</v>
      </c>
      <c r="C1808">
        <v>1</v>
      </c>
      <c r="D1808" s="17" t="s">
        <v>155</v>
      </c>
      <c r="E1808" s="17"/>
      <c r="F1808" s="17" t="s">
        <v>156</v>
      </c>
      <c r="G1808" s="17"/>
      <c r="H1808" s="17" t="s">
        <v>692</v>
      </c>
      <c r="I1808" s="17"/>
      <c r="J1808" s="17" t="s">
        <v>693</v>
      </c>
      <c r="K1808" s="17"/>
      <c r="L1808" s="17"/>
      <c r="M1808" s="17"/>
      <c r="N1808" s="17" t="s">
        <v>8653</v>
      </c>
      <c r="O1808" s="17"/>
      <c r="P1808" s="17" t="s">
        <v>8874</v>
      </c>
      <c r="Q1808" s="17"/>
      <c r="R1808" s="25" t="str">
        <f>HYPERLINK("https://ictv.global/taxonomy/taxondetails?taxnode_id=202311590","Quadragintavirus ev040")</f>
        <v>Quadragintavirus ev040</v>
      </c>
      <c r="S1808" s="18" t="s">
        <v>30</v>
      </c>
      <c r="T1808" s="18" t="s">
        <v>8877</v>
      </c>
      <c r="U1808" s="18"/>
      <c r="V1808" s="18"/>
      <c r="W1808" s="18" t="s">
        <v>8878</v>
      </c>
      <c r="X1808" s="18" t="s">
        <v>42</v>
      </c>
      <c r="Y1808" s="18" t="s">
        <v>36</v>
      </c>
      <c r="Z1808" s="18" t="s">
        <v>697</v>
      </c>
      <c r="AA1808" s="21" t="str">
        <f>HYPERLINK("https://www.ncbi.nlm.nih.gov/nuccore/LR597638","NCBI Nucleotide")</f>
        <v>NCBI Nucleotide</v>
      </c>
    </row>
    <row r="1809" spans="1:27" x14ac:dyDescent="0.35">
      <c r="A1809">
        <v>1002178</v>
      </c>
      <c r="B1809">
        <v>1785</v>
      </c>
      <c r="C1809">
        <v>1</v>
      </c>
      <c r="D1809" s="17" t="s">
        <v>155</v>
      </c>
      <c r="E1809" s="17"/>
      <c r="F1809" s="17" t="s">
        <v>156</v>
      </c>
      <c r="G1809" s="17"/>
      <c r="H1809" s="17" t="s">
        <v>692</v>
      </c>
      <c r="I1809" s="17"/>
      <c r="J1809" s="17" t="s">
        <v>693</v>
      </c>
      <c r="K1809" s="17"/>
      <c r="L1809" s="17"/>
      <c r="M1809" s="17"/>
      <c r="N1809" s="17" t="s">
        <v>8653</v>
      </c>
      <c r="O1809" s="17"/>
      <c r="P1809" s="17" t="s">
        <v>8874</v>
      </c>
      <c r="Q1809" s="17"/>
      <c r="R1809" s="25" t="str">
        <f>HYPERLINK("https://ictv.global/taxonomy/taxondetails?taxnode_id=202311589","Quadragintavirus ev129")</f>
        <v>Quadragintavirus ev129</v>
      </c>
      <c r="S1809" s="18" t="s">
        <v>30</v>
      </c>
      <c r="T1809" s="18" t="s">
        <v>8879</v>
      </c>
      <c r="U1809" s="18"/>
      <c r="V1809" s="18"/>
      <c r="W1809" s="18" t="s">
        <v>8880</v>
      </c>
      <c r="X1809" s="18" t="s">
        <v>42</v>
      </c>
      <c r="Y1809" s="18" t="s">
        <v>36</v>
      </c>
      <c r="Z1809" s="18" t="s">
        <v>697</v>
      </c>
      <c r="AA1809" s="21" t="str">
        <f>HYPERLINK("https://www.ncbi.nlm.nih.gov/nuccore/LR597640","NCBI Nucleotide")</f>
        <v>NCBI Nucleotide</v>
      </c>
    </row>
    <row r="1810" spans="1:27" x14ac:dyDescent="0.35">
      <c r="A1810">
        <v>1002179</v>
      </c>
      <c r="B1810">
        <v>1786</v>
      </c>
      <c r="C1810">
        <v>1</v>
      </c>
      <c r="D1810" s="17" t="s">
        <v>155</v>
      </c>
      <c r="E1810" s="17"/>
      <c r="F1810" s="17" t="s">
        <v>156</v>
      </c>
      <c r="G1810" s="17"/>
      <c r="H1810" s="17" t="s">
        <v>692</v>
      </c>
      <c r="I1810" s="17"/>
      <c r="J1810" s="17" t="s">
        <v>693</v>
      </c>
      <c r="K1810" s="17"/>
      <c r="L1810" s="17"/>
      <c r="M1810" s="17"/>
      <c r="N1810" s="17" t="s">
        <v>8653</v>
      </c>
      <c r="O1810" s="17"/>
      <c r="P1810" s="17" t="s">
        <v>8881</v>
      </c>
      <c r="Q1810" s="17"/>
      <c r="R1810" s="25" t="str">
        <f>HYPERLINK("https://ictv.global/taxonomy/taxondetails?taxnode_id=202307954","Reginaelenavirus rv3LV2017")</f>
        <v>Reginaelenavirus rv3LV2017</v>
      </c>
      <c r="S1810" s="18" t="s">
        <v>30</v>
      </c>
      <c r="T1810" s="18" t="s">
        <v>8882</v>
      </c>
      <c r="U1810" s="18"/>
      <c r="V1810" s="18"/>
      <c r="W1810" s="18" t="s">
        <v>8883</v>
      </c>
      <c r="X1810" s="18" t="s">
        <v>42</v>
      </c>
      <c r="Y1810" s="18" t="s">
        <v>36</v>
      </c>
      <c r="Z1810" s="18" t="s">
        <v>697</v>
      </c>
      <c r="AA1810" s="21" t="str">
        <f>HYPERLINK("https://www.ncbi.nlm.nih.gov/nuccore/KY271397","NCBI Nucleotide")</f>
        <v>NCBI Nucleotide</v>
      </c>
    </row>
    <row r="1811" spans="1:27" x14ac:dyDescent="0.35">
      <c r="A1811">
        <v>1002297</v>
      </c>
      <c r="B1811">
        <v>1787</v>
      </c>
      <c r="C1811">
        <v>1</v>
      </c>
      <c r="D1811" s="17" t="s">
        <v>155</v>
      </c>
      <c r="E1811" s="17"/>
      <c r="F1811" s="17" t="s">
        <v>156</v>
      </c>
      <c r="G1811" s="17"/>
      <c r="H1811" s="17" t="s">
        <v>692</v>
      </c>
      <c r="I1811" s="17"/>
      <c r="J1811" s="17" t="s">
        <v>693</v>
      </c>
      <c r="K1811" s="17"/>
      <c r="L1811" s="17"/>
      <c r="M1811" s="17"/>
      <c r="N1811" s="17" t="s">
        <v>8653</v>
      </c>
      <c r="O1811" s="17"/>
      <c r="P1811" s="17" t="s">
        <v>8884</v>
      </c>
      <c r="Q1811" s="17"/>
      <c r="R1811" s="25" t="str">
        <f>HYPERLINK("https://ictv.global/taxonomy/taxondetails?taxnode_id=202311596","Reipivirus ST16OXA48phi54")</f>
        <v>Reipivirus ST16OXA48phi54</v>
      </c>
      <c r="S1811" s="18" t="s">
        <v>30</v>
      </c>
      <c r="T1811" s="18" t="s">
        <v>8885</v>
      </c>
      <c r="U1811" s="18"/>
      <c r="V1811" s="18"/>
      <c r="W1811" s="18" t="s">
        <v>8886</v>
      </c>
      <c r="X1811" s="18" t="s">
        <v>42</v>
      </c>
      <c r="Y1811" s="18" t="s">
        <v>36</v>
      </c>
      <c r="Z1811" s="18" t="s">
        <v>697</v>
      </c>
      <c r="AA1811" s="21" t="str">
        <f>HYPERLINK("https://www.ncbi.nlm.nih.gov/nuccore/MK416015","NCBI Nucleotide")</f>
        <v>NCBI Nucleotide</v>
      </c>
    </row>
    <row r="1812" spans="1:27" x14ac:dyDescent="0.35">
      <c r="A1812">
        <v>1002298</v>
      </c>
      <c r="B1812">
        <v>1788</v>
      </c>
      <c r="C1812">
        <v>1</v>
      </c>
      <c r="D1812" s="17" t="s">
        <v>155</v>
      </c>
      <c r="E1812" s="17"/>
      <c r="F1812" s="17" t="s">
        <v>156</v>
      </c>
      <c r="G1812" s="17"/>
      <c r="H1812" s="17" t="s">
        <v>692</v>
      </c>
      <c r="I1812" s="17"/>
      <c r="J1812" s="17" t="s">
        <v>693</v>
      </c>
      <c r="K1812" s="17"/>
      <c r="L1812" s="17"/>
      <c r="M1812" s="17"/>
      <c r="N1812" s="17" t="s">
        <v>8653</v>
      </c>
      <c r="O1812" s="17"/>
      <c r="P1812" s="17" t="s">
        <v>8887</v>
      </c>
      <c r="Q1812" s="17"/>
      <c r="R1812" s="25" t="str">
        <f>HYPERLINK("https://ictv.global/taxonomy/taxondetails?taxnode_id=202312858","Sanguivirus H5569V")</f>
        <v>Sanguivirus H5569V</v>
      </c>
      <c r="S1812" s="18" t="s">
        <v>30</v>
      </c>
      <c r="T1812" s="18" t="s">
        <v>8888</v>
      </c>
      <c r="U1812" s="18"/>
      <c r="V1812" s="18"/>
      <c r="W1812" s="18" t="s">
        <v>8889</v>
      </c>
      <c r="X1812" s="18" t="s">
        <v>42</v>
      </c>
      <c r="Y1812" s="18" t="s">
        <v>36</v>
      </c>
      <c r="Z1812" s="18" t="s">
        <v>697</v>
      </c>
      <c r="AA1812" s="21" t="str">
        <f>HYPERLINK("https://www.ncbi.nlm.nih.gov/nuccore/CP014526","NCBI Nucleotide")</f>
        <v>NCBI Nucleotide</v>
      </c>
    </row>
    <row r="1813" spans="1:27" x14ac:dyDescent="0.35">
      <c r="A1813">
        <v>1002299</v>
      </c>
      <c r="B1813">
        <v>1789</v>
      </c>
      <c r="C1813">
        <v>1</v>
      </c>
      <c r="D1813" s="17" t="s">
        <v>155</v>
      </c>
      <c r="E1813" s="17"/>
      <c r="F1813" s="17" t="s">
        <v>156</v>
      </c>
      <c r="G1813" s="17"/>
      <c r="H1813" s="17" t="s">
        <v>692</v>
      </c>
      <c r="I1813" s="17"/>
      <c r="J1813" s="17" t="s">
        <v>693</v>
      </c>
      <c r="K1813" s="17"/>
      <c r="L1813" s="17"/>
      <c r="M1813" s="17"/>
      <c r="N1813" s="17" t="s">
        <v>8653</v>
      </c>
      <c r="O1813" s="17"/>
      <c r="P1813" s="17" t="s">
        <v>8890</v>
      </c>
      <c r="Q1813" s="17"/>
      <c r="R1813" s="25" t="str">
        <f>HYPERLINK("https://ictv.global/taxonomy/taxondetails?taxnode_id=202307960","Senquatrovirus SEN4")</f>
        <v>Senquatrovirus SEN4</v>
      </c>
      <c r="S1813" s="18" t="s">
        <v>30</v>
      </c>
      <c r="T1813" s="18" t="s">
        <v>8891</v>
      </c>
      <c r="U1813" s="18"/>
      <c r="V1813" s="18"/>
      <c r="W1813" s="18" t="s">
        <v>8892</v>
      </c>
      <c r="X1813" s="18" t="s">
        <v>42</v>
      </c>
      <c r="Y1813" s="18" t="s">
        <v>36</v>
      </c>
      <c r="Z1813" s="18" t="s">
        <v>697</v>
      </c>
      <c r="AA1813" s="21" t="str">
        <f>HYPERLINK("https://www.ncbi.nlm.nih.gov/nuccore/KT630645","NCBI Nucleotide")</f>
        <v>NCBI Nucleotide</v>
      </c>
    </row>
    <row r="1814" spans="1:27" x14ac:dyDescent="0.35">
      <c r="A1814">
        <v>1002300</v>
      </c>
      <c r="B1814">
        <v>1790</v>
      </c>
      <c r="C1814">
        <v>1</v>
      </c>
      <c r="D1814" s="17" t="s">
        <v>155</v>
      </c>
      <c r="E1814" s="17"/>
      <c r="F1814" s="17" t="s">
        <v>156</v>
      </c>
      <c r="G1814" s="17"/>
      <c r="H1814" s="17" t="s">
        <v>692</v>
      </c>
      <c r="I1814" s="17"/>
      <c r="J1814" s="17" t="s">
        <v>693</v>
      </c>
      <c r="K1814" s="17"/>
      <c r="L1814" s="17"/>
      <c r="M1814" s="17"/>
      <c r="N1814" s="17" t="s">
        <v>8653</v>
      </c>
      <c r="O1814" s="17"/>
      <c r="P1814" s="17" t="s">
        <v>8893</v>
      </c>
      <c r="Q1814" s="17"/>
      <c r="R1814" s="25" t="str">
        <f>HYPERLINK("https://ictv.global/taxonomy/taxondetails?taxnode_id=202307944","Seongnamvirus ESSI2")</f>
        <v>Seongnamvirus ESSI2</v>
      </c>
      <c r="S1814" s="18" t="s">
        <v>30</v>
      </c>
      <c r="T1814" s="18" t="s">
        <v>8894</v>
      </c>
      <c r="U1814" s="18"/>
      <c r="V1814" s="18"/>
      <c r="W1814" s="18" t="s">
        <v>8895</v>
      </c>
      <c r="X1814" s="18" t="s">
        <v>42</v>
      </c>
      <c r="Y1814" s="18" t="s">
        <v>36</v>
      </c>
      <c r="Z1814" s="18" t="s">
        <v>697</v>
      </c>
      <c r="AA1814" s="21" t="str">
        <f>HYPERLINK("https://www.ncbi.nlm.nih.gov/nuccore/HQ110083","NCBI Nucleotide")</f>
        <v>NCBI Nucleotide</v>
      </c>
    </row>
    <row r="1815" spans="1:27" x14ac:dyDescent="0.35">
      <c r="A1815">
        <v>1002301</v>
      </c>
      <c r="B1815">
        <v>1791</v>
      </c>
      <c r="C1815">
        <v>1</v>
      </c>
      <c r="D1815" s="17" t="s">
        <v>155</v>
      </c>
      <c r="E1815" s="17"/>
      <c r="F1815" s="17" t="s">
        <v>156</v>
      </c>
      <c r="G1815" s="17"/>
      <c r="H1815" s="17" t="s">
        <v>692</v>
      </c>
      <c r="I1815" s="17"/>
      <c r="J1815" s="17" t="s">
        <v>693</v>
      </c>
      <c r="K1815" s="17"/>
      <c r="L1815" s="17"/>
      <c r="M1815" s="17"/>
      <c r="N1815" s="17" t="s">
        <v>8653</v>
      </c>
      <c r="O1815" s="17"/>
      <c r="P1815" s="17" t="s">
        <v>8896</v>
      </c>
      <c r="Q1815" s="17"/>
      <c r="R1815" s="25" t="str">
        <f>HYPERLINK("https://ictv.global/taxonomy/taxondetails?taxnode_id=202307966","Simpcentumvirus Smp131")</f>
        <v>Simpcentumvirus Smp131</v>
      </c>
      <c r="S1815" s="18" t="s">
        <v>30</v>
      </c>
      <c r="T1815" s="18" t="s">
        <v>8897</v>
      </c>
      <c r="U1815" s="18"/>
      <c r="V1815" s="18"/>
      <c r="W1815" s="18" t="s">
        <v>8898</v>
      </c>
      <c r="X1815" s="18" t="s">
        <v>42</v>
      </c>
      <c r="Y1815" s="18" t="s">
        <v>36</v>
      </c>
      <c r="Z1815" s="18" t="s">
        <v>697</v>
      </c>
      <c r="AA1815" s="21" t="str">
        <f>HYPERLINK("https://www.ncbi.nlm.nih.gov/nuccore/JQ809663","NCBI Nucleotide")</f>
        <v>NCBI Nucleotide</v>
      </c>
    </row>
    <row r="1816" spans="1:27" x14ac:dyDescent="0.35">
      <c r="A1816">
        <v>1002303</v>
      </c>
      <c r="B1816">
        <v>1792</v>
      </c>
      <c r="C1816">
        <v>1</v>
      </c>
      <c r="D1816" s="17" t="s">
        <v>155</v>
      </c>
      <c r="E1816" s="17"/>
      <c r="F1816" s="17" t="s">
        <v>156</v>
      </c>
      <c r="G1816" s="17"/>
      <c r="H1816" s="17" t="s">
        <v>692</v>
      </c>
      <c r="I1816" s="17"/>
      <c r="J1816" s="17" t="s">
        <v>693</v>
      </c>
      <c r="K1816" s="17"/>
      <c r="L1816" s="17"/>
      <c r="M1816" s="17"/>
      <c r="N1816" s="17" t="s">
        <v>8653</v>
      </c>
      <c r="O1816" s="17"/>
      <c r="P1816" s="17" t="s">
        <v>8901</v>
      </c>
      <c r="Q1816" s="17"/>
      <c r="R1816" s="25" t="str">
        <f>HYPERLINK("https://ictv.global/taxonomy/taxondetails?taxnode_id=202314736","Tigrvirus BP822")</f>
        <v>Tigrvirus BP822</v>
      </c>
      <c r="S1816" s="18" t="s">
        <v>30</v>
      </c>
      <c r="T1816" s="18" t="s">
        <v>8902</v>
      </c>
      <c r="U1816" s="18"/>
      <c r="V1816" s="18"/>
      <c r="W1816" s="18" t="s">
        <v>8903</v>
      </c>
      <c r="X1816" s="18" t="s">
        <v>42</v>
      </c>
      <c r="Y1816" s="18" t="s">
        <v>36</v>
      </c>
      <c r="Z1816" s="18" t="s">
        <v>697</v>
      </c>
      <c r="AA1816" s="21" t="str">
        <f>HYPERLINK("https://www.ncbi.nlm.nih.gov/nuccore/OM304382","NCBI Nucleotide")</f>
        <v>NCBI Nucleotide</v>
      </c>
    </row>
    <row r="1817" spans="1:27" x14ac:dyDescent="0.35">
      <c r="A1817">
        <v>1002304</v>
      </c>
      <c r="B1817">
        <v>1793</v>
      </c>
      <c r="C1817">
        <v>1</v>
      </c>
      <c r="D1817" s="17" t="s">
        <v>155</v>
      </c>
      <c r="E1817" s="17"/>
      <c r="F1817" s="17" t="s">
        <v>156</v>
      </c>
      <c r="G1817" s="17"/>
      <c r="H1817" s="17" t="s">
        <v>692</v>
      </c>
      <c r="I1817" s="17"/>
      <c r="J1817" s="17" t="s">
        <v>693</v>
      </c>
      <c r="K1817" s="17"/>
      <c r="L1817" s="17"/>
      <c r="M1817" s="17"/>
      <c r="N1817" s="17" t="s">
        <v>8653</v>
      </c>
      <c r="O1817" s="17"/>
      <c r="P1817" s="17" t="s">
        <v>8901</v>
      </c>
      <c r="Q1817" s="17"/>
      <c r="R1817" s="25" t="str">
        <f>HYPERLINK("https://ictv.global/taxonomy/taxondetails?taxnode_id=202300236","Tigrvirus E202")</f>
        <v>Tigrvirus E202</v>
      </c>
      <c r="S1817" s="18" t="s">
        <v>30</v>
      </c>
      <c r="T1817" s="18" t="s">
        <v>8904</v>
      </c>
      <c r="U1817" s="18"/>
      <c r="V1817" s="18"/>
      <c r="W1817" s="18" t="s">
        <v>8905</v>
      </c>
      <c r="X1817" s="18" t="s">
        <v>42</v>
      </c>
      <c r="Y1817" s="18" t="s">
        <v>36</v>
      </c>
      <c r="Z1817" s="18" t="s">
        <v>697</v>
      </c>
      <c r="AA1817" s="21" t="str">
        <f>HYPERLINK("https://www.ncbi.nlm.nih.gov/nuccore/CP000623","NCBI Nucleotide")</f>
        <v>NCBI Nucleotide</v>
      </c>
    </row>
    <row r="1818" spans="1:27" x14ac:dyDescent="0.35">
      <c r="A1818">
        <v>1002305</v>
      </c>
      <c r="B1818">
        <v>1794</v>
      </c>
      <c r="C1818">
        <v>1</v>
      </c>
      <c r="D1818" s="17" t="s">
        <v>155</v>
      </c>
      <c r="E1818" s="17"/>
      <c r="F1818" s="17" t="s">
        <v>156</v>
      </c>
      <c r="G1818" s="17"/>
      <c r="H1818" s="17" t="s">
        <v>692</v>
      </c>
      <c r="I1818" s="17"/>
      <c r="J1818" s="17" t="s">
        <v>693</v>
      </c>
      <c r="K1818" s="17"/>
      <c r="L1818" s="17"/>
      <c r="M1818" s="17"/>
      <c r="N1818" s="17" t="s">
        <v>8653</v>
      </c>
      <c r="O1818" s="17"/>
      <c r="P1818" s="17" t="s">
        <v>8901</v>
      </c>
      <c r="Q1818" s="17"/>
      <c r="R1818" s="25" t="str">
        <f>HYPERLINK("https://ictv.global/taxonomy/taxondetails?taxnode_id=202300234","Tigrvirus phi52237")</f>
        <v>Tigrvirus phi52237</v>
      </c>
      <c r="S1818" s="18" t="s">
        <v>30</v>
      </c>
      <c r="T1818" s="18" t="s">
        <v>8906</v>
      </c>
      <c r="U1818" s="18"/>
      <c r="V1818" s="18"/>
      <c r="W1818" s="18" t="s">
        <v>8907</v>
      </c>
      <c r="X1818" s="18" t="s">
        <v>42</v>
      </c>
      <c r="Y1818" s="18" t="s">
        <v>36</v>
      </c>
      <c r="Z1818" s="18" t="s">
        <v>697</v>
      </c>
      <c r="AA1818" s="21" t="str">
        <f>HYPERLINK("https://www.ncbi.nlm.nih.gov/nuccore/DQ087285","NCBI Nucleotide")</f>
        <v>NCBI Nucleotide</v>
      </c>
    </row>
    <row r="1819" spans="1:27" x14ac:dyDescent="0.35">
      <c r="A1819">
        <v>1002306</v>
      </c>
      <c r="B1819">
        <v>1795</v>
      </c>
      <c r="C1819">
        <v>1</v>
      </c>
      <c r="D1819" s="17" t="s">
        <v>155</v>
      </c>
      <c r="E1819" s="17"/>
      <c r="F1819" s="17" t="s">
        <v>156</v>
      </c>
      <c r="G1819" s="17"/>
      <c r="H1819" s="17" t="s">
        <v>692</v>
      </c>
      <c r="I1819" s="17"/>
      <c r="J1819" s="17" t="s">
        <v>693</v>
      </c>
      <c r="K1819" s="17"/>
      <c r="L1819" s="17"/>
      <c r="M1819" s="17"/>
      <c r="N1819" s="17" t="s">
        <v>8653</v>
      </c>
      <c r="O1819" s="17"/>
      <c r="P1819" s="17" t="s">
        <v>8901</v>
      </c>
      <c r="Q1819" s="17"/>
      <c r="R1819" s="25" t="str">
        <f>HYPERLINK("https://ictv.global/taxonomy/taxondetails?taxnode_id=202312870","Tigrvirus phiE094")</f>
        <v>Tigrvirus phiE094</v>
      </c>
      <c r="S1819" s="18" t="s">
        <v>30</v>
      </c>
      <c r="T1819" s="18" t="s">
        <v>8908</v>
      </c>
      <c r="U1819" s="18"/>
      <c r="V1819" s="18"/>
      <c r="W1819" s="18" t="s">
        <v>8909</v>
      </c>
      <c r="X1819" s="18" t="s">
        <v>42</v>
      </c>
      <c r="Y1819" s="18" t="s">
        <v>36</v>
      </c>
      <c r="Z1819" s="18" t="s">
        <v>697</v>
      </c>
      <c r="AA1819" s="21" t="str">
        <f>HYPERLINK("https://www.ncbi.nlm.nih.gov/nuccore/MW072790","NCBI Nucleotide")</f>
        <v>NCBI Nucleotide</v>
      </c>
    </row>
    <row r="1820" spans="1:27" x14ac:dyDescent="0.35">
      <c r="A1820">
        <v>1002307</v>
      </c>
      <c r="B1820">
        <v>1796</v>
      </c>
      <c r="C1820">
        <v>1</v>
      </c>
      <c r="D1820" s="17" t="s">
        <v>155</v>
      </c>
      <c r="E1820" s="17"/>
      <c r="F1820" s="17" t="s">
        <v>156</v>
      </c>
      <c r="G1820" s="17"/>
      <c r="H1820" s="17" t="s">
        <v>692</v>
      </c>
      <c r="I1820" s="17"/>
      <c r="J1820" s="17" t="s">
        <v>693</v>
      </c>
      <c r="K1820" s="17"/>
      <c r="L1820" s="17"/>
      <c r="M1820" s="17"/>
      <c r="N1820" s="17" t="s">
        <v>8653</v>
      </c>
      <c r="O1820" s="17"/>
      <c r="P1820" s="17" t="s">
        <v>8910</v>
      </c>
      <c r="Q1820" s="17"/>
      <c r="R1820" s="25" t="str">
        <f>HYPERLINK("https://ictv.global/taxonomy/taxondetails?taxnode_id=202314741","Tresduoquattuorvirus YenM324")</f>
        <v>Tresduoquattuorvirus YenM324</v>
      </c>
      <c r="S1820" s="18" t="s">
        <v>30</v>
      </c>
      <c r="T1820" s="18" t="s">
        <v>8911</v>
      </c>
      <c r="U1820" s="18"/>
      <c r="V1820" s="18"/>
      <c r="W1820" s="18" t="s">
        <v>8912</v>
      </c>
      <c r="X1820" s="18" t="s">
        <v>42</v>
      </c>
      <c r="Y1820" s="18" t="s">
        <v>36</v>
      </c>
      <c r="Z1820" s="18" t="s">
        <v>697</v>
      </c>
      <c r="AA1820" s="21" t="str">
        <f>HYPERLINK("https://www.ncbi.nlm.nih.gov/nuccore/OM095401","NCBI Nucleotide")</f>
        <v>NCBI Nucleotide</v>
      </c>
    </row>
    <row r="1821" spans="1:27" x14ac:dyDescent="0.35">
      <c r="A1821">
        <v>1002308</v>
      </c>
      <c r="B1821">
        <v>1797</v>
      </c>
      <c r="C1821">
        <v>1</v>
      </c>
      <c r="D1821" s="17" t="s">
        <v>155</v>
      </c>
      <c r="E1821" s="17"/>
      <c r="F1821" s="17" t="s">
        <v>156</v>
      </c>
      <c r="G1821" s="17"/>
      <c r="H1821" s="17" t="s">
        <v>692</v>
      </c>
      <c r="I1821" s="17"/>
      <c r="J1821" s="17" t="s">
        <v>693</v>
      </c>
      <c r="K1821" s="17"/>
      <c r="L1821" s="17"/>
      <c r="M1821" s="17"/>
      <c r="N1821" s="17" t="s">
        <v>8653</v>
      </c>
      <c r="O1821" s="17"/>
      <c r="P1821" s="17" t="s">
        <v>8913</v>
      </c>
      <c r="Q1821" s="17"/>
      <c r="R1821" s="25" t="str">
        <f>HYPERLINK("https://ictv.global/taxonomy/taxondetails?taxnode_id=202312860","Valbvirus ValB1MD2")</f>
        <v>Valbvirus ValB1MD2</v>
      </c>
      <c r="S1821" s="18" t="s">
        <v>30</v>
      </c>
      <c r="T1821" s="18" t="s">
        <v>8914</v>
      </c>
      <c r="U1821" s="18"/>
      <c r="V1821" s="18"/>
      <c r="W1821" s="18" t="s">
        <v>8915</v>
      </c>
      <c r="X1821" s="18" t="s">
        <v>42</v>
      </c>
      <c r="Y1821" s="18" t="s">
        <v>36</v>
      </c>
      <c r="Z1821" s="18" t="s">
        <v>697</v>
      </c>
      <c r="AA1821" s="21" t="str">
        <f>HYPERLINK("https://www.ncbi.nlm.nih.gov/nuccore/MT662115","NCBI Nucleotide")</f>
        <v>NCBI Nucleotide</v>
      </c>
    </row>
    <row r="1822" spans="1:27" x14ac:dyDescent="0.35">
      <c r="A1822">
        <v>1002309</v>
      </c>
      <c r="B1822">
        <v>1798</v>
      </c>
      <c r="C1822">
        <v>1</v>
      </c>
      <c r="D1822" s="17" t="s">
        <v>155</v>
      </c>
      <c r="E1822" s="17"/>
      <c r="F1822" s="17" t="s">
        <v>156</v>
      </c>
      <c r="G1822" s="17"/>
      <c r="H1822" s="17" t="s">
        <v>692</v>
      </c>
      <c r="I1822" s="17"/>
      <c r="J1822" s="17" t="s">
        <v>693</v>
      </c>
      <c r="K1822" s="17"/>
      <c r="L1822" s="17"/>
      <c r="M1822" s="17"/>
      <c r="N1822" s="17" t="s">
        <v>8653</v>
      </c>
      <c r="O1822" s="17"/>
      <c r="P1822" s="17" t="s">
        <v>8916</v>
      </c>
      <c r="Q1822" s="17"/>
      <c r="R1822" s="25" t="str">
        <f>HYPERLINK("https://ictv.global/taxonomy/taxondetails?taxnode_id=202311606","Vimunumvirus ST147VIM1phi71")</f>
        <v>Vimunumvirus ST147VIM1phi71</v>
      </c>
      <c r="S1822" s="18" t="s">
        <v>30</v>
      </c>
      <c r="T1822" s="18" t="s">
        <v>8917</v>
      </c>
      <c r="U1822" s="18"/>
      <c r="V1822" s="18"/>
      <c r="W1822" s="18" t="s">
        <v>8918</v>
      </c>
      <c r="X1822" s="18" t="s">
        <v>42</v>
      </c>
      <c r="Y1822" s="18" t="s">
        <v>36</v>
      </c>
      <c r="Z1822" s="18" t="s">
        <v>697</v>
      </c>
      <c r="AA1822" s="21" t="str">
        <f>HYPERLINK("https://www.ncbi.nlm.nih.gov/nuccore/MK416018","NCBI Nucleotide")</f>
        <v>NCBI Nucleotide</v>
      </c>
    </row>
    <row r="1823" spans="1:27" x14ac:dyDescent="0.35">
      <c r="A1823">
        <v>1002310</v>
      </c>
      <c r="B1823">
        <v>1799</v>
      </c>
      <c r="C1823">
        <v>1</v>
      </c>
      <c r="D1823" s="17" t="s">
        <v>155</v>
      </c>
      <c r="E1823" s="17"/>
      <c r="F1823" s="17" t="s">
        <v>156</v>
      </c>
      <c r="G1823" s="17"/>
      <c r="H1823" s="17" t="s">
        <v>692</v>
      </c>
      <c r="I1823" s="17"/>
      <c r="J1823" s="17" t="s">
        <v>693</v>
      </c>
      <c r="K1823" s="17"/>
      <c r="L1823" s="17"/>
      <c r="M1823" s="17"/>
      <c r="N1823" s="17" t="s">
        <v>8653</v>
      </c>
      <c r="O1823" s="17"/>
      <c r="P1823" s="17" t="s">
        <v>8919</v>
      </c>
      <c r="Q1823" s="17"/>
      <c r="R1823" s="25" t="str">
        <f>HYPERLINK("https://ictv.global/taxonomy/taxondetails?taxnode_id=202307939","Vulnificusvirus PV94")</f>
        <v>Vulnificusvirus PV94</v>
      </c>
      <c r="S1823" s="18" t="s">
        <v>30</v>
      </c>
      <c r="T1823" s="18" t="s">
        <v>8920</v>
      </c>
      <c r="U1823" s="18"/>
      <c r="V1823" s="18"/>
      <c r="W1823" s="18" t="s">
        <v>8921</v>
      </c>
      <c r="X1823" s="18" t="s">
        <v>42</v>
      </c>
      <c r="Y1823" s="18" t="s">
        <v>36</v>
      </c>
      <c r="Z1823" s="18" t="s">
        <v>697</v>
      </c>
      <c r="AA1823" s="21" t="str">
        <f>HYPERLINK("https://www.ncbi.nlm.nih.gov/nuccore/HG803181","NCBI Nucleotide")</f>
        <v>NCBI Nucleotide</v>
      </c>
    </row>
    <row r="1824" spans="1:27" x14ac:dyDescent="0.35">
      <c r="A1824">
        <v>1002312</v>
      </c>
      <c r="B1824">
        <v>1800</v>
      </c>
      <c r="C1824">
        <v>1</v>
      </c>
      <c r="D1824" s="17" t="s">
        <v>155</v>
      </c>
      <c r="E1824" s="17"/>
      <c r="F1824" s="17" t="s">
        <v>156</v>
      </c>
      <c r="G1824" s="17"/>
      <c r="H1824" s="17" t="s">
        <v>692</v>
      </c>
      <c r="I1824" s="17"/>
      <c r="J1824" s="17" t="s">
        <v>693</v>
      </c>
      <c r="K1824" s="17"/>
      <c r="L1824" s="17"/>
      <c r="M1824" s="17"/>
      <c r="N1824" s="17" t="s">
        <v>8653</v>
      </c>
      <c r="O1824" s="17"/>
      <c r="P1824" s="17" t="s">
        <v>8922</v>
      </c>
      <c r="Q1824" s="17"/>
      <c r="R1824" s="25" t="str">
        <f>HYPERLINK("https://ictv.global/taxonomy/taxondetails?taxnode_id=202311600","Wadgaonvirus wv5004651")</f>
        <v>Wadgaonvirus wv5004651</v>
      </c>
      <c r="S1824" s="18" t="s">
        <v>30</v>
      </c>
      <c r="T1824" s="18" t="s">
        <v>8925</v>
      </c>
      <c r="U1824" s="18"/>
      <c r="V1824" s="18"/>
      <c r="W1824" s="18" t="s">
        <v>8926</v>
      </c>
      <c r="X1824" s="18" t="s">
        <v>42</v>
      </c>
      <c r="Y1824" s="18" t="s">
        <v>36</v>
      </c>
      <c r="Z1824" s="18" t="s">
        <v>697</v>
      </c>
      <c r="AA1824" s="21" t="str">
        <f>HYPERLINK("https://www.ncbi.nlm.nih.gov/nuccore/CP025900","NCBI Nucleotide")</f>
        <v>NCBI Nucleotide</v>
      </c>
    </row>
    <row r="1825" spans="1:27" x14ac:dyDescent="0.35">
      <c r="A1825">
        <v>1002313</v>
      </c>
      <c r="B1825">
        <v>1801</v>
      </c>
      <c r="C1825">
        <v>1</v>
      </c>
      <c r="D1825" s="17" t="s">
        <v>155</v>
      </c>
      <c r="E1825" s="17"/>
      <c r="F1825" s="17" t="s">
        <v>156</v>
      </c>
      <c r="G1825" s="17"/>
      <c r="H1825" s="17" t="s">
        <v>692</v>
      </c>
      <c r="I1825" s="17"/>
      <c r="J1825" s="17" t="s">
        <v>693</v>
      </c>
      <c r="K1825" s="17"/>
      <c r="L1825" s="17"/>
      <c r="M1825" s="17"/>
      <c r="N1825" s="17" t="s">
        <v>8653</v>
      </c>
      <c r="O1825" s="17"/>
      <c r="P1825" s="17" t="s">
        <v>8927</v>
      </c>
      <c r="Q1825" s="17"/>
      <c r="R1825" s="25" t="str">
        <f>HYPERLINK("https://ictv.global/taxonomy/taxondetails?taxnode_id=202307952","Xuanwuvirus P88")</f>
        <v>Xuanwuvirus P88</v>
      </c>
      <c r="S1825" s="18" t="s">
        <v>30</v>
      </c>
      <c r="T1825" s="18" t="s">
        <v>8928</v>
      </c>
      <c r="U1825" s="18"/>
      <c r="V1825" s="18"/>
      <c r="W1825" s="18" t="s">
        <v>8929</v>
      </c>
      <c r="X1825" s="18" t="s">
        <v>42</v>
      </c>
      <c r="Y1825" s="18" t="s">
        <v>36</v>
      </c>
      <c r="Z1825" s="18" t="s">
        <v>697</v>
      </c>
      <c r="AA1825" s="21" t="str">
        <f>HYPERLINK("https://www.ncbi.nlm.nih.gov/nuccore/KP063541","NCBI Nucleotide")</f>
        <v>NCBI Nucleotide</v>
      </c>
    </row>
    <row r="1826" spans="1:27" x14ac:dyDescent="0.35">
      <c r="A1826">
        <v>1002314</v>
      </c>
      <c r="B1826">
        <v>1802</v>
      </c>
      <c r="C1826">
        <v>1</v>
      </c>
      <c r="D1826" s="17" t="s">
        <v>155</v>
      </c>
      <c r="E1826" s="17"/>
      <c r="F1826" s="17" t="s">
        <v>156</v>
      </c>
      <c r="G1826" s="17"/>
      <c r="H1826" s="17" t="s">
        <v>692</v>
      </c>
      <c r="I1826" s="17"/>
      <c r="J1826" s="17" t="s">
        <v>693</v>
      </c>
      <c r="K1826" s="17"/>
      <c r="L1826" s="17"/>
      <c r="M1826" s="17"/>
      <c r="N1826" s="17" t="s">
        <v>8653</v>
      </c>
      <c r="O1826" s="17"/>
      <c r="P1826" s="17" t="s">
        <v>8927</v>
      </c>
      <c r="Q1826" s="17"/>
      <c r="R1826" s="25" t="str">
        <f>HYPERLINK("https://ictv.global/taxonomy/taxondetails?taxnode_id=202311594","Xuanwuvirus P884B11")</f>
        <v>Xuanwuvirus P884B11</v>
      </c>
      <c r="S1826" s="18" t="s">
        <v>30</v>
      </c>
      <c r="T1826" s="18" t="s">
        <v>8930</v>
      </c>
      <c r="U1826" s="18"/>
      <c r="V1826" s="18"/>
      <c r="W1826" s="18" t="s">
        <v>8931</v>
      </c>
      <c r="X1826" s="18" t="s">
        <v>42</v>
      </c>
      <c r="Y1826" s="18" t="s">
        <v>36</v>
      </c>
      <c r="Z1826" s="18" t="s">
        <v>697</v>
      </c>
      <c r="AA1826" s="21" t="str">
        <f>HYPERLINK("https://www.ncbi.nlm.nih.gov/nuccore/LR595891","NCBI Nucleotide")</f>
        <v>NCBI Nucleotide</v>
      </c>
    </row>
    <row r="1827" spans="1:27" x14ac:dyDescent="0.35">
      <c r="A1827">
        <v>1002315</v>
      </c>
      <c r="B1827">
        <v>1803</v>
      </c>
      <c r="C1827">
        <v>1</v>
      </c>
      <c r="D1827" s="17" t="s">
        <v>155</v>
      </c>
      <c r="E1827" s="17"/>
      <c r="F1827" s="17" t="s">
        <v>156</v>
      </c>
      <c r="G1827" s="17"/>
      <c r="H1827" s="17" t="s">
        <v>692</v>
      </c>
      <c r="I1827" s="17"/>
      <c r="J1827" s="17" t="s">
        <v>693</v>
      </c>
      <c r="K1827" s="17"/>
      <c r="L1827" s="17"/>
      <c r="M1827" s="17"/>
      <c r="N1827" s="17" t="s">
        <v>8653</v>
      </c>
      <c r="O1827" s="17"/>
      <c r="P1827" s="17" t="s">
        <v>8927</v>
      </c>
      <c r="Q1827" s="17"/>
      <c r="R1827" s="25" t="str">
        <f>HYPERLINK("https://ictv.global/taxonomy/taxondetails?taxnode_id=202311592","Xuanwuvirus xv503458")</f>
        <v>Xuanwuvirus xv503458</v>
      </c>
      <c r="S1827" s="18" t="s">
        <v>30</v>
      </c>
      <c r="T1827" s="18" t="s">
        <v>8932</v>
      </c>
      <c r="U1827" s="18"/>
      <c r="V1827" s="18"/>
      <c r="W1827" s="18" t="s">
        <v>8933</v>
      </c>
      <c r="X1827" s="18" t="s">
        <v>42</v>
      </c>
      <c r="Y1827" s="18" t="s">
        <v>36</v>
      </c>
      <c r="Z1827" s="18" t="s">
        <v>697</v>
      </c>
      <c r="AA1827" s="21" t="str">
        <f>HYPERLINK("https://www.ncbi.nlm.nih.gov/nuccore/CP025874","NCBI Nucleotide")</f>
        <v>NCBI Nucleotide</v>
      </c>
    </row>
    <row r="1828" spans="1:27" x14ac:dyDescent="0.35">
      <c r="A1828">
        <v>1002316</v>
      </c>
      <c r="B1828">
        <v>1804</v>
      </c>
      <c r="C1828">
        <v>1</v>
      </c>
      <c r="D1828" s="17" t="s">
        <v>155</v>
      </c>
      <c r="E1828" s="17"/>
      <c r="F1828" s="17" t="s">
        <v>156</v>
      </c>
      <c r="G1828" s="17"/>
      <c r="H1828" s="17" t="s">
        <v>692</v>
      </c>
      <c r="I1828" s="17"/>
      <c r="J1828" s="17" t="s">
        <v>693</v>
      </c>
      <c r="K1828" s="17"/>
      <c r="L1828" s="17"/>
      <c r="M1828" s="17"/>
      <c r="N1828" s="17" t="s">
        <v>8653</v>
      </c>
      <c r="O1828" s="17"/>
      <c r="P1828" s="17" t="s">
        <v>8927</v>
      </c>
      <c r="Q1828" s="17"/>
      <c r="R1828" s="25" t="str">
        <f>HYPERLINK("https://ictv.global/taxonomy/taxondetails?taxnode_id=202311593","Xuanwuvirus xv520873")</f>
        <v>Xuanwuvirus xv520873</v>
      </c>
      <c r="S1828" s="18" t="s">
        <v>30</v>
      </c>
      <c r="T1828" s="18" t="s">
        <v>8934</v>
      </c>
      <c r="U1828" s="18"/>
      <c r="V1828" s="18"/>
      <c r="W1828" s="18" t="s">
        <v>8935</v>
      </c>
      <c r="X1828" s="18" t="s">
        <v>42</v>
      </c>
      <c r="Y1828" s="18" t="s">
        <v>36</v>
      </c>
      <c r="Z1828" s="18" t="s">
        <v>697</v>
      </c>
      <c r="AA1828" s="21" t="str">
        <f>HYPERLINK("https://www.ncbi.nlm.nih.gov/nuccore/CP025923","NCBI Nucleotide")</f>
        <v>NCBI Nucleotide</v>
      </c>
    </row>
    <row r="1829" spans="1:27" x14ac:dyDescent="0.35">
      <c r="A1829">
        <v>1002317</v>
      </c>
      <c r="B1829">
        <v>1805</v>
      </c>
      <c r="C1829">
        <v>1</v>
      </c>
      <c r="D1829" s="17" t="s">
        <v>155</v>
      </c>
      <c r="E1829" s="17"/>
      <c r="F1829" s="17" t="s">
        <v>156</v>
      </c>
      <c r="G1829" s="17"/>
      <c r="H1829" s="17" t="s">
        <v>692</v>
      </c>
      <c r="I1829" s="17"/>
      <c r="J1829" s="17" t="s">
        <v>693</v>
      </c>
      <c r="K1829" s="17"/>
      <c r="L1829" s="17"/>
      <c r="M1829" s="17"/>
      <c r="N1829" s="17" t="s">
        <v>8653</v>
      </c>
      <c r="O1829" s="17"/>
      <c r="P1829" s="17" t="s">
        <v>8936</v>
      </c>
      <c r="Q1829" s="17"/>
      <c r="R1829" s="25" t="str">
        <f>HYPERLINK("https://ictv.global/taxonomy/taxondetails?taxnode_id=202311584","Yongunavirus yong1")</f>
        <v>Yongunavirus yong1</v>
      </c>
      <c r="S1829" s="18" t="s">
        <v>30</v>
      </c>
      <c r="T1829" s="18" t="s">
        <v>8937</v>
      </c>
      <c r="U1829" s="18"/>
      <c r="V1829" s="18"/>
      <c r="W1829" s="18" t="s">
        <v>8938</v>
      </c>
      <c r="X1829" s="18" t="s">
        <v>42</v>
      </c>
      <c r="Y1829" s="18" t="s">
        <v>36</v>
      </c>
      <c r="Z1829" s="18" t="s">
        <v>697</v>
      </c>
      <c r="AA1829" s="21" t="str">
        <f>HYPERLINK("https://www.ncbi.nlm.nih.gov/nuccore/MN563793","NCBI Nucleotide")</f>
        <v>NCBI Nucleotide</v>
      </c>
    </row>
    <row r="1830" spans="1:27" x14ac:dyDescent="0.35">
      <c r="A1830">
        <v>1002318</v>
      </c>
      <c r="B1830">
        <v>1806</v>
      </c>
      <c r="C1830">
        <v>1</v>
      </c>
      <c r="D1830" s="17" t="s">
        <v>155</v>
      </c>
      <c r="E1830" s="17"/>
      <c r="F1830" s="17" t="s">
        <v>156</v>
      </c>
      <c r="G1830" s="17"/>
      <c r="H1830" s="17" t="s">
        <v>692</v>
      </c>
      <c r="I1830" s="17"/>
      <c r="J1830" s="17" t="s">
        <v>693</v>
      </c>
      <c r="K1830" s="17"/>
      <c r="L1830" s="17"/>
      <c r="M1830" s="17"/>
      <c r="N1830" s="17" t="s">
        <v>8653</v>
      </c>
      <c r="O1830" s="17"/>
      <c r="P1830" s="17" t="s">
        <v>8939</v>
      </c>
      <c r="Q1830" s="17"/>
      <c r="R1830" s="25" t="str">
        <f>HYPERLINK("https://ictv.global/taxonomy/taxondetails?taxnode_id=202312862","Yulgyerivirus E16KP0115V")</f>
        <v>Yulgyerivirus E16KP0115V</v>
      </c>
      <c r="S1830" s="18" t="s">
        <v>30</v>
      </c>
      <c r="T1830" s="18" t="s">
        <v>8940</v>
      </c>
      <c r="U1830" s="18"/>
      <c r="V1830" s="18"/>
      <c r="W1830" s="18" t="s">
        <v>8941</v>
      </c>
      <c r="X1830" s="18" t="s">
        <v>42</v>
      </c>
      <c r="Y1830" s="18" t="s">
        <v>36</v>
      </c>
      <c r="Z1830" s="18" t="s">
        <v>697</v>
      </c>
      <c r="AA1830" s="21" t="str">
        <f>HYPERLINK("https://www.ncbi.nlm.nih.gov/nuccore/CP052639","NCBI Nucleotide")</f>
        <v>NCBI Nucleotide</v>
      </c>
    </row>
    <row r="1831" spans="1:27" x14ac:dyDescent="0.35">
      <c r="A1831">
        <v>1002319</v>
      </c>
      <c r="B1831">
        <v>1807</v>
      </c>
      <c r="C1831">
        <v>1</v>
      </c>
      <c r="D1831" s="17" t="s">
        <v>155</v>
      </c>
      <c r="E1831" s="17"/>
      <c r="F1831" s="17" t="s">
        <v>156</v>
      </c>
      <c r="G1831" s="17"/>
      <c r="H1831" s="17" t="s">
        <v>692</v>
      </c>
      <c r="I1831" s="17"/>
      <c r="J1831" s="17" t="s">
        <v>693</v>
      </c>
      <c r="K1831" s="17"/>
      <c r="L1831" s="17"/>
      <c r="M1831" s="17"/>
      <c r="N1831" s="17" t="s">
        <v>8942</v>
      </c>
      <c r="O1831" s="17"/>
      <c r="P1831" s="17" t="s">
        <v>8943</v>
      </c>
      <c r="Q1831" s="17"/>
      <c r="R1831" s="25" t="str">
        <f>HYPERLINK("https://ictv.global/taxonomy/taxondetails?taxnode_id=202313547","Callevirus Calle")</f>
        <v>Callevirus Calle</v>
      </c>
      <c r="S1831" s="18" t="s">
        <v>30</v>
      </c>
      <c r="T1831" s="18" t="s">
        <v>8944</v>
      </c>
      <c r="U1831" s="18" t="s">
        <v>8945</v>
      </c>
      <c r="V1831" s="18"/>
      <c r="W1831" s="18" t="s">
        <v>8946</v>
      </c>
      <c r="X1831" s="18" t="s">
        <v>42</v>
      </c>
      <c r="Y1831" s="18" t="s">
        <v>36</v>
      </c>
      <c r="Z1831" s="18" t="s">
        <v>697</v>
      </c>
      <c r="AA1831" s="21" t="str">
        <f>HYPERLINK("https://www.ncbi.nlm.nih.gov/nuccore/MT732432","NCBI Nucleotide")</f>
        <v>NCBI Nucleotide</v>
      </c>
    </row>
    <row r="1832" spans="1:27" x14ac:dyDescent="0.35">
      <c r="A1832">
        <v>1002320</v>
      </c>
      <c r="B1832">
        <v>1808</v>
      </c>
      <c r="C1832">
        <v>1</v>
      </c>
      <c r="D1832" s="17" t="s">
        <v>155</v>
      </c>
      <c r="E1832" s="17"/>
      <c r="F1832" s="17" t="s">
        <v>156</v>
      </c>
      <c r="G1832" s="17"/>
      <c r="H1832" s="17" t="s">
        <v>692</v>
      </c>
      <c r="I1832" s="17"/>
      <c r="J1832" s="17" t="s">
        <v>693</v>
      </c>
      <c r="K1832" s="17"/>
      <c r="L1832" s="17"/>
      <c r="M1832" s="17"/>
      <c r="N1832" s="17" t="s">
        <v>8942</v>
      </c>
      <c r="O1832" s="17"/>
      <c r="P1832" s="17" t="s">
        <v>8943</v>
      </c>
      <c r="Q1832" s="17"/>
      <c r="R1832" s="25" t="str">
        <f>HYPERLINK("https://ictv.global/taxonomy/taxondetails?taxnode_id=202313548","Callevirus phi38una")</f>
        <v>Callevirus phi38una</v>
      </c>
      <c r="S1832" s="18" t="s">
        <v>30</v>
      </c>
      <c r="T1832" s="18" t="s">
        <v>8947</v>
      </c>
      <c r="U1832" s="18" t="s">
        <v>8948</v>
      </c>
      <c r="V1832" s="18"/>
      <c r="W1832" s="18" t="s">
        <v>8949</v>
      </c>
      <c r="X1832" s="18" t="s">
        <v>42</v>
      </c>
      <c r="Y1832" s="18" t="s">
        <v>36</v>
      </c>
      <c r="Z1832" s="18" t="s">
        <v>697</v>
      </c>
      <c r="AA1832" s="21" t="str">
        <f>HYPERLINK("https://www.ncbi.nlm.nih.gov/nuccore/KC821614","NCBI Nucleotide")</f>
        <v>NCBI Nucleotide</v>
      </c>
    </row>
    <row r="1833" spans="1:27" x14ac:dyDescent="0.35">
      <c r="A1833">
        <v>1002321</v>
      </c>
      <c r="B1833">
        <v>1809</v>
      </c>
      <c r="C1833">
        <v>1</v>
      </c>
      <c r="D1833" s="17" t="s">
        <v>155</v>
      </c>
      <c r="E1833" s="17"/>
      <c r="F1833" s="17" t="s">
        <v>156</v>
      </c>
      <c r="G1833" s="17"/>
      <c r="H1833" s="17" t="s">
        <v>692</v>
      </c>
      <c r="I1833" s="17"/>
      <c r="J1833" s="17" t="s">
        <v>693</v>
      </c>
      <c r="K1833" s="17"/>
      <c r="L1833" s="17"/>
      <c r="M1833" s="17"/>
      <c r="N1833" s="17" t="s">
        <v>8950</v>
      </c>
      <c r="O1833" s="17" t="s">
        <v>8971</v>
      </c>
      <c r="P1833" s="17" t="s">
        <v>8972</v>
      </c>
      <c r="Q1833" s="17"/>
      <c r="R1833" s="25" t="str">
        <f>HYPERLINK("https://ictv.global/taxonomy/taxondetails?taxnode_id=202314769","Trinifflemingvirus I19")</f>
        <v>Trinifflemingvirus I19</v>
      </c>
      <c r="S1833" s="18" t="s">
        <v>30</v>
      </c>
      <c r="T1833" s="18" t="s">
        <v>8973</v>
      </c>
      <c r="U1833" s="18"/>
      <c r="V1833" s="18"/>
      <c r="W1833" s="18" t="s">
        <v>8974</v>
      </c>
      <c r="X1833" s="18" t="s">
        <v>42</v>
      </c>
      <c r="Y1833" s="18" t="s">
        <v>36</v>
      </c>
      <c r="Z1833" s="18" t="s">
        <v>697</v>
      </c>
      <c r="AA1833" s="21" t="str">
        <f>HYPERLINK("https://www.ncbi.nlm.nih.gov/nuccore/MN988532","NCBI Nucleotide")</f>
        <v>NCBI Nucleotide</v>
      </c>
    </row>
    <row r="1834" spans="1:27" x14ac:dyDescent="0.35">
      <c r="A1834">
        <v>1002322</v>
      </c>
      <c r="B1834">
        <v>1810</v>
      </c>
      <c r="C1834">
        <v>1</v>
      </c>
      <c r="D1834" s="17" t="s">
        <v>155</v>
      </c>
      <c r="E1834" s="17"/>
      <c r="F1834" s="17" t="s">
        <v>156</v>
      </c>
      <c r="G1834" s="17"/>
      <c r="H1834" s="17" t="s">
        <v>692</v>
      </c>
      <c r="I1834" s="17"/>
      <c r="J1834" s="17" t="s">
        <v>693</v>
      </c>
      <c r="K1834" s="17"/>
      <c r="L1834" s="17"/>
      <c r="M1834" s="17"/>
      <c r="N1834" s="17" t="s">
        <v>8950</v>
      </c>
      <c r="O1834" s="17" t="s">
        <v>8971</v>
      </c>
      <c r="P1834" s="17" t="s">
        <v>8972</v>
      </c>
      <c r="Q1834" s="17"/>
      <c r="R1834" s="25" t="str">
        <f>HYPERLINK("https://ictv.global/taxonomy/taxondetails?taxnode_id=202314768","Trinifflemingvirus N34")</f>
        <v>Trinifflemingvirus N34</v>
      </c>
      <c r="S1834" s="18" t="s">
        <v>30</v>
      </c>
      <c r="T1834" s="18" t="s">
        <v>8975</v>
      </c>
      <c r="U1834" s="18"/>
      <c r="V1834" s="18"/>
      <c r="W1834" s="18" t="s">
        <v>8976</v>
      </c>
      <c r="X1834" s="18" t="s">
        <v>42</v>
      </c>
      <c r="Y1834" s="18" t="s">
        <v>36</v>
      </c>
      <c r="Z1834" s="18" t="s">
        <v>697</v>
      </c>
      <c r="AA1834" s="21" t="str">
        <f>HYPERLINK("https://www.ncbi.nlm.nih.gov/nuccore/MN988534","NCBI Nucleotide")</f>
        <v>NCBI Nucleotide</v>
      </c>
    </row>
    <row r="1835" spans="1:27" x14ac:dyDescent="0.35">
      <c r="A1835">
        <v>1002323</v>
      </c>
      <c r="B1835">
        <v>1811</v>
      </c>
      <c r="C1835">
        <v>1</v>
      </c>
      <c r="D1835" s="17" t="s">
        <v>155</v>
      </c>
      <c r="E1835" s="17"/>
      <c r="F1835" s="17" t="s">
        <v>156</v>
      </c>
      <c r="G1835" s="17"/>
      <c r="H1835" s="17" t="s">
        <v>692</v>
      </c>
      <c r="I1835" s="17"/>
      <c r="J1835" s="17" t="s">
        <v>693</v>
      </c>
      <c r="K1835" s="17"/>
      <c r="L1835" s="17"/>
      <c r="M1835" s="17"/>
      <c r="N1835" s="17" t="s">
        <v>8950</v>
      </c>
      <c r="O1835" s="17" t="s">
        <v>8971</v>
      </c>
      <c r="P1835" s="17" t="s">
        <v>8972</v>
      </c>
      <c r="Q1835" s="17"/>
      <c r="R1835" s="25" t="str">
        <f>HYPERLINK("https://ictv.global/taxonomy/taxondetails?taxnode_id=202314767","Trinifflemingvirus Y68")</f>
        <v>Trinifflemingvirus Y68</v>
      </c>
      <c r="S1835" s="18" t="s">
        <v>30</v>
      </c>
      <c r="T1835" s="18" t="s">
        <v>8977</v>
      </c>
      <c r="U1835" s="18"/>
      <c r="V1835" s="18"/>
      <c r="W1835" s="18" t="s">
        <v>8978</v>
      </c>
      <c r="X1835" s="18" t="s">
        <v>42</v>
      </c>
      <c r="Y1835" s="18" t="s">
        <v>36</v>
      </c>
      <c r="Z1835" s="18" t="s">
        <v>697</v>
      </c>
      <c r="AA1835" s="21" t="str">
        <f>HYPERLINK("https://www.ncbi.nlm.nih.gov/nuccore/MN988486","NCBI Nucleotide")</f>
        <v>NCBI Nucleotide</v>
      </c>
    </row>
    <row r="1836" spans="1:27" x14ac:dyDescent="0.35">
      <c r="A1836">
        <v>1002324</v>
      </c>
      <c r="B1836">
        <v>1812</v>
      </c>
      <c r="C1836">
        <v>1</v>
      </c>
      <c r="D1836" s="17" t="s">
        <v>155</v>
      </c>
      <c r="E1836" s="17"/>
      <c r="F1836" s="17" t="s">
        <v>156</v>
      </c>
      <c r="G1836" s="17"/>
      <c r="H1836" s="17" t="s">
        <v>692</v>
      </c>
      <c r="I1836" s="17"/>
      <c r="J1836" s="17" t="s">
        <v>693</v>
      </c>
      <c r="K1836" s="17"/>
      <c r="L1836" s="17"/>
      <c r="M1836" s="17"/>
      <c r="N1836" s="17" t="s">
        <v>8950</v>
      </c>
      <c r="O1836" s="17"/>
      <c r="P1836" s="17" t="s">
        <v>8951</v>
      </c>
      <c r="Q1836" s="17"/>
      <c r="R1836" s="25" t="str">
        <f>HYPERLINK("https://ictv.global/taxonomy/taxondetails?taxnode_id=202314775","Emnonavirus phiM9")</f>
        <v>Emnonavirus phiM9</v>
      </c>
      <c r="S1836" s="18" t="s">
        <v>30</v>
      </c>
      <c r="T1836" s="18" t="s">
        <v>8952</v>
      </c>
      <c r="U1836" s="18"/>
      <c r="V1836" s="18"/>
      <c r="W1836" s="18" t="s">
        <v>8953</v>
      </c>
      <c r="X1836" s="18" t="s">
        <v>42</v>
      </c>
      <c r="Y1836" s="18" t="s">
        <v>36</v>
      </c>
      <c r="Z1836" s="18" t="s">
        <v>697</v>
      </c>
      <c r="AA1836" s="21" t="str">
        <f>HYPERLINK("https://www.ncbi.nlm.nih.gov/nuccore/KP881232","NCBI Nucleotide")</f>
        <v>NCBI Nucleotide</v>
      </c>
    </row>
    <row r="1837" spans="1:27" x14ac:dyDescent="0.35">
      <c r="A1837">
        <v>1002325</v>
      </c>
      <c r="B1837">
        <v>1813</v>
      </c>
      <c r="C1837">
        <v>1</v>
      </c>
      <c r="D1837" s="17" t="s">
        <v>155</v>
      </c>
      <c r="E1837" s="17"/>
      <c r="F1837" s="17" t="s">
        <v>156</v>
      </c>
      <c r="G1837" s="17"/>
      <c r="H1837" s="17" t="s">
        <v>692</v>
      </c>
      <c r="I1837" s="17"/>
      <c r="J1837" s="17" t="s">
        <v>693</v>
      </c>
      <c r="K1837" s="17"/>
      <c r="L1837" s="17"/>
      <c r="M1837" s="17"/>
      <c r="N1837" s="17" t="s">
        <v>8950</v>
      </c>
      <c r="O1837" s="17"/>
      <c r="P1837" s="17" t="s">
        <v>8954</v>
      </c>
      <c r="Q1837" s="17"/>
      <c r="R1837" s="25" t="str">
        <f>HYPERLINK("https://ictv.global/taxonomy/taxondetails?taxnode_id=202312785","Heverleevirus OLIVR5")</f>
        <v>Heverleevirus OLIVR5</v>
      </c>
      <c r="S1837" s="18" t="s">
        <v>30</v>
      </c>
      <c r="T1837" s="18" t="s">
        <v>8955</v>
      </c>
      <c r="U1837" s="18"/>
      <c r="V1837" s="18"/>
      <c r="W1837" s="18" t="s">
        <v>8956</v>
      </c>
      <c r="X1837" s="18" t="s">
        <v>35</v>
      </c>
      <c r="Y1837" s="18" t="s">
        <v>36</v>
      </c>
      <c r="Z1837" s="18" t="s">
        <v>697</v>
      </c>
      <c r="AA1837" s="21" t="str">
        <f>HYPERLINK("https://www.ncbi.nlm.nih.gov/nuccore/MT234342","NCBI Nucleotide")</f>
        <v>NCBI Nucleotide</v>
      </c>
    </row>
    <row r="1838" spans="1:27" x14ac:dyDescent="0.35">
      <c r="A1838">
        <v>1002326</v>
      </c>
      <c r="B1838">
        <v>1814</v>
      </c>
      <c r="C1838">
        <v>1</v>
      </c>
      <c r="D1838" s="17" t="s">
        <v>155</v>
      </c>
      <c r="E1838" s="17"/>
      <c r="F1838" s="17" t="s">
        <v>156</v>
      </c>
      <c r="G1838" s="17"/>
      <c r="H1838" s="17" t="s">
        <v>692</v>
      </c>
      <c r="I1838" s="17"/>
      <c r="J1838" s="17" t="s">
        <v>693</v>
      </c>
      <c r="K1838" s="17"/>
      <c r="L1838" s="17"/>
      <c r="M1838" s="17"/>
      <c r="N1838" s="17" t="s">
        <v>8950</v>
      </c>
      <c r="O1838" s="17"/>
      <c r="P1838" s="17" t="s">
        <v>8957</v>
      </c>
      <c r="Q1838" s="17"/>
      <c r="R1838" s="25" t="str">
        <f>HYPERLINK("https://ictv.global/taxonomy/taxondetails?taxnode_id=202314772","Innesvirus AF3")</f>
        <v>Innesvirus AF3</v>
      </c>
      <c r="S1838" s="18" t="s">
        <v>30</v>
      </c>
      <c r="T1838" s="18" t="s">
        <v>8958</v>
      </c>
      <c r="U1838" s="18"/>
      <c r="V1838" s="18"/>
      <c r="W1838" s="18" t="s">
        <v>8959</v>
      </c>
      <c r="X1838" s="18" t="s">
        <v>42</v>
      </c>
      <c r="Y1838" s="18" t="s">
        <v>36</v>
      </c>
      <c r="Z1838" s="18" t="s">
        <v>697</v>
      </c>
      <c r="AA1838" s="21" t="str">
        <f>HYPERLINK("https://www.ncbi.nlm.nih.gov/nuccore/MT778837","NCBI Nucleotide")</f>
        <v>NCBI Nucleotide</v>
      </c>
    </row>
    <row r="1839" spans="1:27" x14ac:dyDescent="0.35">
      <c r="A1839">
        <v>1002327</v>
      </c>
      <c r="B1839">
        <v>1815</v>
      </c>
      <c r="C1839">
        <v>1</v>
      </c>
      <c r="D1839" s="17" t="s">
        <v>155</v>
      </c>
      <c r="E1839" s="17"/>
      <c r="F1839" s="17" t="s">
        <v>156</v>
      </c>
      <c r="G1839" s="17"/>
      <c r="H1839" s="17" t="s">
        <v>692</v>
      </c>
      <c r="I1839" s="17"/>
      <c r="J1839" s="17" t="s">
        <v>693</v>
      </c>
      <c r="K1839" s="17"/>
      <c r="L1839" s="17"/>
      <c r="M1839" s="17"/>
      <c r="N1839" s="17" t="s">
        <v>8950</v>
      </c>
      <c r="O1839" s="17"/>
      <c r="P1839" s="17" t="s">
        <v>8957</v>
      </c>
      <c r="Q1839" s="17"/>
      <c r="R1839" s="25" t="str">
        <f>HYPERLINK("https://ictv.global/taxonomy/taxondetails?taxnode_id=202314771","Innesvirus P10VF")</f>
        <v>Innesvirus P10VF</v>
      </c>
      <c r="S1839" s="18" t="s">
        <v>30</v>
      </c>
      <c r="T1839" s="18" t="s">
        <v>8960</v>
      </c>
      <c r="U1839" s="18"/>
      <c r="V1839" s="18"/>
      <c r="W1839" s="18" t="s">
        <v>8961</v>
      </c>
      <c r="X1839" s="18" t="s">
        <v>42</v>
      </c>
      <c r="Y1839" s="18" t="s">
        <v>36</v>
      </c>
      <c r="Z1839" s="18" t="s">
        <v>697</v>
      </c>
      <c r="AA1839" s="21" t="str">
        <f>HYPERLINK("https://www.ncbi.nlm.nih.gov/nuccore/KM199770","NCBI Nucleotide")</f>
        <v>NCBI Nucleotide</v>
      </c>
    </row>
    <row r="1840" spans="1:27" x14ac:dyDescent="0.35">
      <c r="A1840">
        <v>1002328</v>
      </c>
      <c r="B1840">
        <v>1816</v>
      </c>
      <c r="C1840">
        <v>1</v>
      </c>
      <c r="D1840" s="17" t="s">
        <v>155</v>
      </c>
      <c r="E1840" s="17"/>
      <c r="F1840" s="17" t="s">
        <v>156</v>
      </c>
      <c r="G1840" s="17"/>
      <c r="H1840" s="17" t="s">
        <v>692</v>
      </c>
      <c r="I1840" s="17"/>
      <c r="J1840" s="17" t="s">
        <v>693</v>
      </c>
      <c r="K1840" s="17"/>
      <c r="L1840" s="17"/>
      <c r="M1840" s="17"/>
      <c r="N1840" s="17" t="s">
        <v>8950</v>
      </c>
      <c r="O1840" s="17"/>
      <c r="P1840" s="17" t="s">
        <v>8957</v>
      </c>
      <c r="Q1840" s="17"/>
      <c r="R1840" s="25" t="str">
        <f>HYPERLINK("https://ictv.global/taxonomy/taxondetails?taxnode_id=202314770","Innesvirus P9VFCI")</f>
        <v>Innesvirus P9VFCI</v>
      </c>
      <c r="S1840" s="18" t="s">
        <v>30</v>
      </c>
      <c r="T1840" s="18" t="s">
        <v>8962</v>
      </c>
      <c r="U1840" s="18"/>
      <c r="V1840" s="18"/>
      <c r="W1840" s="18" t="s">
        <v>8963</v>
      </c>
      <c r="X1840" s="18" t="s">
        <v>42</v>
      </c>
      <c r="Y1840" s="18" t="s">
        <v>36</v>
      </c>
      <c r="Z1840" s="18" t="s">
        <v>697</v>
      </c>
      <c r="AA1840" s="21" t="str">
        <f>HYPERLINK("https://www.ncbi.nlm.nih.gov/nuccore/MT778839","NCBI Nucleotide")</f>
        <v>NCBI Nucleotide</v>
      </c>
    </row>
    <row r="1841" spans="1:27" x14ac:dyDescent="0.35">
      <c r="A1841">
        <v>1002329</v>
      </c>
      <c r="B1841">
        <v>1817</v>
      </c>
      <c r="C1841">
        <v>1</v>
      </c>
      <c r="D1841" s="17" t="s">
        <v>155</v>
      </c>
      <c r="E1841" s="17"/>
      <c r="F1841" s="17" t="s">
        <v>156</v>
      </c>
      <c r="G1841" s="17"/>
      <c r="H1841" s="17" t="s">
        <v>692</v>
      </c>
      <c r="I1841" s="17"/>
      <c r="J1841" s="17" t="s">
        <v>693</v>
      </c>
      <c r="K1841" s="17"/>
      <c r="L1841" s="17"/>
      <c r="M1841" s="17"/>
      <c r="N1841" s="17" t="s">
        <v>8950</v>
      </c>
      <c r="O1841" s="17"/>
      <c r="P1841" s="17" t="s">
        <v>8957</v>
      </c>
      <c r="Q1841" s="17"/>
      <c r="R1841" s="25" t="str">
        <f>HYPERLINK("https://ictv.global/taxonomy/taxondetails?taxnode_id=202314774","Innesvirus RL2RES")</f>
        <v>Innesvirus RL2RES</v>
      </c>
      <c r="S1841" s="18" t="s">
        <v>30</v>
      </c>
      <c r="T1841" s="18" t="s">
        <v>8964</v>
      </c>
      <c r="U1841" s="18"/>
      <c r="V1841" s="18"/>
      <c r="W1841" s="18" t="s">
        <v>8965</v>
      </c>
      <c r="X1841" s="18" t="s">
        <v>42</v>
      </c>
      <c r="Y1841" s="18" t="s">
        <v>36</v>
      </c>
      <c r="Z1841" s="18" t="s">
        <v>697</v>
      </c>
      <c r="AA1841" s="21" t="str">
        <f>HYPERLINK("https://www.ncbi.nlm.nih.gov/nuccore/MN549361","NCBI Nucleotide")</f>
        <v>NCBI Nucleotide</v>
      </c>
    </row>
    <row r="1842" spans="1:27" x14ac:dyDescent="0.35">
      <c r="A1842">
        <v>1002330</v>
      </c>
      <c r="B1842">
        <v>1818</v>
      </c>
      <c r="C1842">
        <v>1</v>
      </c>
      <c r="D1842" s="17" t="s">
        <v>155</v>
      </c>
      <c r="E1842" s="17"/>
      <c r="F1842" s="17" t="s">
        <v>156</v>
      </c>
      <c r="G1842" s="17"/>
      <c r="H1842" s="17" t="s">
        <v>692</v>
      </c>
      <c r="I1842" s="17"/>
      <c r="J1842" s="17" t="s">
        <v>693</v>
      </c>
      <c r="K1842" s="17"/>
      <c r="L1842" s="17"/>
      <c r="M1842" s="17"/>
      <c r="N1842" s="17" t="s">
        <v>8950</v>
      </c>
      <c r="O1842" s="17"/>
      <c r="P1842" s="17" t="s">
        <v>8957</v>
      </c>
      <c r="Q1842" s="17"/>
      <c r="R1842" s="25" t="str">
        <f>HYPERLINK("https://ictv.global/taxonomy/taxondetails?taxnode_id=202314773","Innesvirus RL38J1")</f>
        <v>Innesvirus RL38J1</v>
      </c>
      <c r="S1842" s="18" t="s">
        <v>30</v>
      </c>
      <c r="T1842" s="18" t="s">
        <v>8966</v>
      </c>
      <c r="U1842" s="18"/>
      <c r="V1842" s="18"/>
      <c r="W1842" s="18" t="s">
        <v>8967</v>
      </c>
      <c r="X1842" s="18" t="s">
        <v>42</v>
      </c>
      <c r="Y1842" s="18" t="s">
        <v>36</v>
      </c>
      <c r="Z1842" s="18" t="s">
        <v>697</v>
      </c>
      <c r="AA1842" s="21" t="str">
        <f>HYPERLINK("https://www.ncbi.nlm.nih.gov/nuccore/MN549360","NCBI Nucleotide")</f>
        <v>NCBI Nucleotide</v>
      </c>
    </row>
    <row r="1843" spans="1:27" x14ac:dyDescent="0.35">
      <c r="A1843">
        <v>1002331</v>
      </c>
      <c r="B1843">
        <v>1819</v>
      </c>
      <c r="C1843">
        <v>1</v>
      </c>
      <c r="D1843" s="17" t="s">
        <v>155</v>
      </c>
      <c r="E1843" s="17"/>
      <c r="F1843" s="17" t="s">
        <v>156</v>
      </c>
      <c r="G1843" s="17"/>
      <c r="H1843" s="17" t="s">
        <v>692</v>
      </c>
      <c r="I1843" s="17"/>
      <c r="J1843" s="17" t="s">
        <v>693</v>
      </c>
      <c r="K1843" s="17"/>
      <c r="L1843" s="17"/>
      <c r="M1843" s="17"/>
      <c r="N1843" s="17" t="s">
        <v>8950</v>
      </c>
      <c r="O1843" s="17"/>
      <c r="P1843" s="17" t="s">
        <v>8968</v>
      </c>
      <c r="Q1843" s="17"/>
      <c r="R1843" s="25" t="str">
        <f>HYPERLINK("https://ictv.global/taxonomy/taxondetails?taxnode_id=202314776","Rollinsvirus ph04")</f>
        <v>Rollinsvirus ph04</v>
      </c>
      <c r="S1843" s="18" t="s">
        <v>30</v>
      </c>
      <c r="T1843" s="18" t="s">
        <v>8969</v>
      </c>
      <c r="U1843" s="18"/>
      <c r="V1843" s="18"/>
      <c r="W1843" s="18" t="s">
        <v>8970</v>
      </c>
      <c r="X1843" s="18" t="s">
        <v>42</v>
      </c>
      <c r="Y1843" s="18" t="s">
        <v>36</v>
      </c>
      <c r="Z1843" s="18" t="s">
        <v>697</v>
      </c>
      <c r="AA1843" s="21" t="str">
        <f>HYPERLINK("https://www.ncbi.nlm.nih.gov/nuccore/MF403007","NCBI Nucleotide")</f>
        <v>NCBI Nucleotide</v>
      </c>
    </row>
    <row r="1844" spans="1:27" x14ac:dyDescent="0.35">
      <c r="A1844">
        <v>1002332</v>
      </c>
      <c r="B1844">
        <v>1820</v>
      </c>
      <c r="C1844">
        <v>1</v>
      </c>
      <c r="D1844" s="17" t="s">
        <v>155</v>
      </c>
      <c r="E1844" s="17"/>
      <c r="F1844" s="17" t="s">
        <v>156</v>
      </c>
      <c r="G1844" s="17"/>
      <c r="H1844" s="17" t="s">
        <v>692</v>
      </c>
      <c r="I1844" s="17"/>
      <c r="J1844" s="17" t="s">
        <v>693</v>
      </c>
      <c r="K1844" s="17"/>
      <c r="L1844" s="17"/>
      <c r="M1844" s="17"/>
      <c r="N1844" s="17" t="s">
        <v>8979</v>
      </c>
      <c r="O1844" s="17"/>
      <c r="P1844" s="17" t="s">
        <v>8980</v>
      </c>
      <c r="Q1844" s="17"/>
      <c r="R1844" s="25" t="str">
        <f>HYPERLINK("https://ictv.global/taxonomy/taxondetails?taxnode_id=202314334","Flagovirus limi")</f>
        <v>Flagovirus limi</v>
      </c>
      <c r="S1844" s="18" t="s">
        <v>30</v>
      </c>
      <c r="T1844" s="18" t="s">
        <v>8981</v>
      </c>
      <c r="U1844" s="18" t="s">
        <v>8982</v>
      </c>
      <c r="V1844" s="18"/>
      <c r="W1844" s="18" t="s">
        <v>8983</v>
      </c>
      <c r="X1844" s="18" t="s">
        <v>42</v>
      </c>
      <c r="Y1844" s="18" t="s">
        <v>36</v>
      </c>
      <c r="Z1844" s="18" t="s">
        <v>37</v>
      </c>
      <c r="AA1844" s="21" t="str">
        <f>HYPERLINK("https://www.ncbi.nlm.nih.gov/nuccore/MZ171369","NCBI Nucleotide")</f>
        <v>NCBI Nucleotide</v>
      </c>
    </row>
    <row r="1845" spans="1:27" x14ac:dyDescent="0.35">
      <c r="A1845">
        <v>1002333</v>
      </c>
      <c r="B1845">
        <v>1821</v>
      </c>
      <c r="C1845">
        <v>1</v>
      </c>
      <c r="D1845" s="17" t="s">
        <v>155</v>
      </c>
      <c r="E1845" s="17"/>
      <c r="F1845" s="17" t="s">
        <v>156</v>
      </c>
      <c r="G1845" s="17"/>
      <c r="H1845" s="17" t="s">
        <v>692</v>
      </c>
      <c r="I1845" s="17"/>
      <c r="J1845" s="17" t="s">
        <v>693</v>
      </c>
      <c r="K1845" s="17"/>
      <c r="L1845" s="17"/>
      <c r="M1845" s="17"/>
      <c r="N1845" s="17" t="s">
        <v>8984</v>
      </c>
      <c r="O1845" s="17" t="s">
        <v>8991</v>
      </c>
      <c r="P1845" s="17" t="s">
        <v>8992</v>
      </c>
      <c r="Q1845" s="17"/>
      <c r="R1845" s="25" t="str">
        <f>HYPERLINK("https://ictv.global/taxonomy/taxondetails?taxnode_id=202308003","Andhravirus andhra")</f>
        <v>Andhravirus andhra</v>
      </c>
      <c r="S1845" s="18" t="s">
        <v>30</v>
      </c>
      <c r="T1845" s="18" t="s">
        <v>8993</v>
      </c>
      <c r="U1845" s="18"/>
      <c r="V1845" s="18"/>
      <c r="W1845" s="18" t="s">
        <v>8994</v>
      </c>
      <c r="X1845" s="18" t="s">
        <v>42</v>
      </c>
      <c r="Y1845" s="18" t="s">
        <v>36</v>
      </c>
      <c r="Z1845" s="18" t="s">
        <v>697</v>
      </c>
      <c r="AA1845" s="21" t="str">
        <f>HYPERLINK("https://www.ncbi.nlm.nih.gov/nuccore/KY442063","NCBI Nucleotide")</f>
        <v>NCBI Nucleotide</v>
      </c>
    </row>
    <row r="1846" spans="1:27" x14ac:dyDescent="0.35">
      <c r="A1846">
        <v>1002334</v>
      </c>
      <c r="B1846">
        <v>1822</v>
      </c>
      <c r="C1846">
        <v>1</v>
      </c>
      <c r="D1846" s="17" t="s">
        <v>155</v>
      </c>
      <c r="E1846" s="17"/>
      <c r="F1846" s="17" t="s">
        <v>156</v>
      </c>
      <c r="G1846" s="17"/>
      <c r="H1846" s="17" t="s">
        <v>692</v>
      </c>
      <c r="I1846" s="17"/>
      <c r="J1846" s="17" t="s">
        <v>693</v>
      </c>
      <c r="K1846" s="17"/>
      <c r="L1846" s="17"/>
      <c r="M1846" s="17"/>
      <c r="N1846" s="17" t="s">
        <v>8984</v>
      </c>
      <c r="O1846" s="17" t="s">
        <v>8991</v>
      </c>
      <c r="P1846" s="17" t="s">
        <v>8992</v>
      </c>
      <c r="Q1846" s="17"/>
      <c r="R1846" s="25" t="str">
        <f>HYPERLINK("https://ictv.global/taxonomy/taxondetails?taxnode_id=202314790","Andhravirus besep3")</f>
        <v>Andhravirus besep3</v>
      </c>
      <c r="S1846" s="18" t="s">
        <v>30</v>
      </c>
      <c r="T1846" s="18" t="s">
        <v>8995</v>
      </c>
      <c r="U1846" s="18"/>
      <c r="V1846" s="18"/>
      <c r="W1846" s="18" t="s">
        <v>8996</v>
      </c>
      <c r="X1846" s="18" t="s">
        <v>42</v>
      </c>
      <c r="Y1846" s="18" t="s">
        <v>36</v>
      </c>
      <c r="Z1846" s="18" t="s">
        <v>697</v>
      </c>
      <c r="AA1846" s="21" t="str">
        <f>HYPERLINK("https://www.ncbi.nlm.nih.gov/nuccore/MT596500","NCBI Nucleotide")</f>
        <v>NCBI Nucleotide</v>
      </c>
    </row>
    <row r="1847" spans="1:27" x14ac:dyDescent="0.35">
      <c r="A1847">
        <v>1002335</v>
      </c>
      <c r="B1847">
        <v>1823</v>
      </c>
      <c r="C1847">
        <v>1</v>
      </c>
      <c r="D1847" s="17" t="s">
        <v>155</v>
      </c>
      <c r="E1847" s="17"/>
      <c r="F1847" s="17" t="s">
        <v>156</v>
      </c>
      <c r="G1847" s="17"/>
      <c r="H1847" s="17" t="s">
        <v>692</v>
      </c>
      <c r="I1847" s="17"/>
      <c r="J1847" s="17" t="s">
        <v>693</v>
      </c>
      <c r="K1847" s="17"/>
      <c r="L1847" s="17"/>
      <c r="M1847" s="17"/>
      <c r="N1847" s="17" t="s">
        <v>8984</v>
      </c>
      <c r="O1847" s="17" t="s">
        <v>8991</v>
      </c>
      <c r="P1847" s="17" t="s">
        <v>8992</v>
      </c>
      <c r="Q1847" s="17"/>
      <c r="R1847" s="25" t="str">
        <f>HYPERLINK("https://ictv.global/taxonomy/taxondetails?taxnode_id=202314791","Andhravirus sealphi")</f>
        <v>Andhravirus sealphi</v>
      </c>
      <c r="S1847" s="18" t="s">
        <v>30</v>
      </c>
      <c r="T1847" s="18" t="s">
        <v>8997</v>
      </c>
      <c r="U1847" s="18"/>
      <c r="V1847" s="18"/>
      <c r="W1847" s="18" t="s">
        <v>8998</v>
      </c>
      <c r="X1847" s="18" t="s">
        <v>42</v>
      </c>
      <c r="Y1847" s="18" t="s">
        <v>36</v>
      </c>
      <c r="Z1847" s="18" t="s">
        <v>697</v>
      </c>
      <c r="AA1847" s="21" t="str">
        <f>HYPERLINK("https://www.ncbi.nlm.nih.gov/nuccore/MZ152915","NCBI Nucleotide")</f>
        <v>NCBI Nucleotide</v>
      </c>
    </row>
    <row r="1848" spans="1:27" x14ac:dyDescent="0.35">
      <c r="A1848">
        <v>1002336</v>
      </c>
      <c r="B1848">
        <v>1824</v>
      </c>
      <c r="C1848">
        <v>1</v>
      </c>
      <c r="D1848" s="17" t="s">
        <v>155</v>
      </c>
      <c r="E1848" s="17"/>
      <c r="F1848" s="17" t="s">
        <v>156</v>
      </c>
      <c r="G1848" s="17"/>
      <c r="H1848" s="17" t="s">
        <v>692</v>
      </c>
      <c r="I1848" s="17"/>
      <c r="J1848" s="17" t="s">
        <v>693</v>
      </c>
      <c r="K1848" s="17"/>
      <c r="L1848" s="17"/>
      <c r="M1848" s="17"/>
      <c r="N1848" s="17" t="s">
        <v>8984</v>
      </c>
      <c r="O1848" s="17" t="s">
        <v>8991</v>
      </c>
      <c r="P1848" s="17" t="s">
        <v>8992</v>
      </c>
      <c r="Q1848" s="17"/>
      <c r="R1848" s="25" t="str">
        <f>HYPERLINK("https://ictv.global/taxonomy/taxondetails?taxnode_id=202308004","Andhravirus St134")</f>
        <v>Andhravirus St134</v>
      </c>
      <c r="S1848" s="18" t="s">
        <v>30</v>
      </c>
      <c r="T1848" s="18" t="s">
        <v>8999</v>
      </c>
      <c r="U1848" s="18"/>
      <c r="V1848" s="18"/>
      <c r="W1848" s="18" t="s">
        <v>9000</v>
      </c>
      <c r="X1848" s="18" t="s">
        <v>42</v>
      </c>
      <c r="Y1848" s="18" t="s">
        <v>36</v>
      </c>
      <c r="Z1848" s="18" t="s">
        <v>697</v>
      </c>
      <c r="AA1848" s="21" t="str">
        <f>HYPERLINK("https://www.ncbi.nlm.nih.gov/nuccore/KY471386","NCBI Nucleotide")</f>
        <v>NCBI Nucleotide</v>
      </c>
    </row>
    <row r="1849" spans="1:27" x14ac:dyDescent="0.35">
      <c r="A1849">
        <v>1002337</v>
      </c>
      <c r="B1849">
        <v>1825</v>
      </c>
      <c r="C1849">
        <v>1</v>
      </c>
      <c r="D1849" s="17" t="s">
        <v>155</v>
      </c>
      <c r="E1849" s="17"/>
      <c r="F1849" s="17" t="s">
        <v>156</v>
      </c>
      <c r="G1849" s="17"/>
      <c r="H1849" s="17" t="s">
        <v>692</v>
      </c>
      <c r="I1849" s="17"/>
      <c r="J1849" s="17" t="s">
        <v>693</v>
      </c>
      <c r="K1849" s="17"/>
      <c r="L1849" s="17"/>
      <c r="M1849" s="17"/>
      <c r="N1849" s="17" t="s">
        <v>8984</v>
      </c>
      <c r="O1849" s="17" t="s">
        <v>8991</v>
      </c>
      <c r="P1849" s="17" t="s">
        <v>9001</v>
      </c>
      <c r="Q1849" s="17"/>
      <c r="R1849" s="25" t="str">
        <f>HYPERLINK("https://ictv.global/taxonomy/taxondetails?taxnode_id=202308011","Rosenblumvirus AGO13")</f>
        <v>Rosenblumvirus AGO13</v>
      </c>
      <c r="S1849" s="18" t="s">
        <v>30</v>
      </c>
      <c r="T1849" s="18" t="s">
        <v>9002</v>
      </c>
      <c r="U1849" s="18"/>
      <c r="V1849" s="18"/>
      <c r="W1849" s="18" t="s">
        <v>9003</v>
      </c>
      <c r="X1849" s="18" t="s">
        <v>42</v>
      </c>
      <c r="Y1849" s="18" t="s">
        <v>36</v>
      </c>
      <c r="Z1849" s="18" t="s">
        <v>697</v>
      </c>
      <c r="AA1849" s="21" t="str">
        <f>HYPERLINK("https://www.ncbi.nlm.nih.gov/nuccore/MG766218","NCBI Nucleotide")</f>
        <v>NCBI Nucleotide</v>
      </c>
    </row>
    <row r="1850" spans="1:27" x14ac:dyDescent="0.35">
      <c r="A1850">
        <v>1002338</v>
      </c>
      <c r="B1850">
        <v>1826</v>
      </c>
      <c r="C1850">
        <v>1</v>
      </c>
      <c r="D1850" s="17" t="s">
        <v>155</v>
      </c>
      <c r="E1850" s="17"/>
      <c r="F1850" s="17" t="s">
        <v>156</v>
      </c>
      <c r="G1850" s="17"/>
      <c r="H1850" s="17" t="s">
        <v>692</v>
      </c>
      <c r="I1850" s="17"/>
      <c r="J1850" s="17" t="s">
        <v>693</v>
      </c>
      <c r="K1850" s="17"/>
      <c r="L1850" s="17"/>
      <c r="M1850" s="17"/>
      <c r="N1850" s="17" t="s">
        <v>8984</v>
      </c>
      <c r="O1850" s="17" t="s">
        <v>8991</v>
      </c>
      <c r="P1850" s="17" t="s">
        <v>9001</v>
      </c>
      <c r="Q1850" s="17"/>
      <c r="R1850" s="25" t="str">
        <f>HYPERLINK("https://ictv.global/taxonomy/taxondetails?taxnode_id=202308009","Rosenblumvirus BP39")</f>
        <v>Rosenblumvirus BP39</v>
      </c>
      <c r="S1850" s="18" t="s">
        <v>30</v>
      </c>
      <c r="T1850" s="18" t="s">
        <v>9004</v>
      </c>
      <c r="U1850" s="18"/>
      <c r="V1850" s="18"/>
      <c r="W1850" s="18" t="s">
        <v>9005</v>
      </c>
      <c r="X1850" s="18" t="s">
        <v>42</v>
      </c>
      <c r="Y1850" s="18" t="s">
        <v>36</v>
      </c>
      <c r="Z1850" s="18" t="s">
        <v>697</v>
      </c>
      <c r="AA1850" s="21" t="str">
        <f>HYPERLINK("https://www.ncbi.nlm.nih.gov/nuccore/KM366100","NCBI Nucleotide")</f>
        <v>NCBI Nucleotide</v>
      </c>
    </row>
    <row r="1851" spans="1:27" x14ac:dyDescent="0.35">
      <c r="A1851">
        <v>1002339</v>
      </c>
      <c r="B1851">
        <v>1827</v>
      </c>
      <c r="C1851">
        <v>1</v>
      </c>
      <c r="D1851" s="17" t="s">
        <v>155</v>
      </c>
      <c r="E1851" s="17"/>
      <c r="F1851" s="17" t="s">
        <v>156</v>
      </c>
      <c r="G1851" s="17"/>
      <c r="H1851" s="17" t="s">
        <v>692</v>
      </c>
      <c r="I1851" s="17"/>
      <c r="J1851" s="17" t="s">
        <v>693</v>
      </c>
      <c r="K1851" s="17"/>
      <c r="L1851" s="17"/>
      <c r="M1851" s="17"/>
      <c r="N1851" s="17" t="s">
        <v>8984</v>
      </c>
      <c r="O1851" s="17" t="s">
        <v>8991</v>
      </c>
      <c r="P1851" s="17" t="s">
        <v>9001</v>
      </c>
      <c r="Q1851" s="17"/>
      <c r="R1851" s="25" t="str">
        <f>HYPERLINK("https://ictv.global/taxonomy/taxondetails?taxnode_id=202308015","Rosenblumvirus CSA13")</f>
        <v>Rosenblumvirus CSA13</v>
      </c>
      <c r="S1851" s="18" t="s">
        <v>30</v>
      </c>
      <c r="T1851" s="18" t="s">
        <v>9006</v>
      </c>
      <c r="U1851" s="18"/>
      <c r="V1851" s="18"/>
      <c r="W1851" s="18" t="s">
        <v>9007</v>
      </c>
      <c r="X1851" s="18" t="s">
        <v>42</v>
      </c>
      <c r="Y1851" s="18" t="s">
        <v>36</v>
      </c>
      <c r="Z1851" s="18" t="s">
        <v>697</v>
      </c>
      <c r="AA1851" s="21" t="str">
        <f>HYPERLINK("https://www.ncbi.nlm.nih.gov/nuccore/MH107118","NCBI Nucleotide")</f>
        <v>NCBI Nucleotide</v>
      </c>
    </row>
    <row r="1852" spans="1:27" x14ac:dyDescent="0.35">
      <c r="A1852">
        <v>1002340</v>
      </c>
      <c r="B1852">
        <v>1828</v>
      </c>
      <c r="C1852">
        <v>1</v>
      </c>
      <c r="D1852" s="17" t="s">
        <v>155</v>
      </c>
      <c r="E1852" s="17"/>
      <c r="F1852" s="17" t="s">
        <v>156</v>
      </c>
      <c r="G1852" s="17"/>
      <c r="H1852" s="17" t="s">
        <v>692</v>
      </c>
      <c r="I1852" s="17"/>
      <c r="J1852" s="17" t="s">
        <v>693</v>
      </c>
      <c r="K1852" s="17"/>
      <c r="L1852" s="17"/>
      <c r="M1852" s="17"/>
      <c r="N1852" s="17" t="s">
        <v>8984</v>
      </c>
      <c r="O1852" s="17" t="s">
        <v>8991</v>
      </c>
      <c r="P1852" s="17" t="s">
        <v>9001</v>
      </c>
      <c r="Q1852" s="17"/>
      <c r="R1852" s="25" t="str">
        <f>HYPERLINK("https://ictv.global/taxonomy/taxondetails?taxnode_id=202312900","Rosenblumvirus EBHT")</f>
        <v>Rosenblumvirus EBHT</v>
      </c>
      <c r="S1852" s="18" t="s">
        <v>30</v>
      </c>
      <c r="T1852" s="18" t="s">
        <v>9008</v>
      </c>
      <c r="U1852" s="18"/>
      <c r="V1852" s="18"/>
      <c r="W1852" s="18" t="s">
        <v>9009</v>
      </c>
      <c r="X1852" s="18" t="s">
        <v>42</v>
      </c>
      <c r="Y1852" s="18" t="s">
        <v>36</v>
      </c>
      <c r="Z1852" s="18" t="s">
        <v>697</v>
      </c>
      <c r="AA1852" s="21" t="str">
        <f>HYPERLINK("https://www.ncbi.nlm.nih.gov/nuccore/MT926124","NCBI Nucleotide")</f>
        <v>NCBI Nucleotide</v>
      </c>
    </row>
    <row r="1853" spans="1:27" x14ac:dyDescent="0.35">
      <c r="A1853">
        <v>1002341</v>
      </c>
      <c r="B1853">
        <v>1829</v>
      </c>
      <c r="C1853">
        <v>1</v>
      </c>
      <c r="D1853" s="17" t="s">
        <v>155</v>
      </c>
      <c r="E1853" s="17"/>
      <c r="F1853" s="17" t="s">
        <v>156</v>
      </c>
      <c r="G1853" s="17"/>
      <c r="H1853" s="17" t="s">
        <v>692</v>
      </c>
      <c r="I1853" s="17"/>
      <c r="J1853" s="17" t="s">
        <v>693</v>
      </c>
      <c r="K1853" s="17"/>
      <c r="L1853" s="17"/>
      <c r="M1853" s="17"/>
      <c r="N1853" s="17" t="s">
        <v>8984</v>
      </c>
      <c r="O1853" s="17" t="s">
        <v>8991</v>
      </c>
      <c r="P1853" s="17" t="s">
        <v>9001</v>
      </c>
      <c r="Q1853" s="17"/>
      <c r="R1853" s="25" t="str">
        <f>HYPERLINK("https://ictv.global/taxonomy/taxondetails?taxnode_id=202308008","Rosenblumvirus GRCS")</f>
        <v>Rosenblumvirus GRCS</v>
      </c>
      <c r="S1853" s="18" t="s">
        <v>30</v>
      </c>
      <c r="T1853" s="18" t="s">
        <v>9010</v>
      </c>
      <c r="U1853" s="18"/>
      <c r="V1853" s="18"/>
      <c r="W1853" s="18" t="s">
        <v>9011</v>
      </c>
      <c r="X1853" s="18" t="s">
        <v>42</v>
      </c>
      <c r="Y1853" s="18" t="s">
        <v>36</v>
      </c>
      <c r="Z1853" s="18" t="s">
        <v>697</v>
      </c>
      <c r="AA1853" s="21" t="str">
        <f>HYPERLINK("https://www.ncbi.nlm.nih.gov/nuccore/KJ210330","NCBI Nucleotide")</f>
        <v>NCBI Nucleotide</v>
      </c>
    </row>
    <row r="1854" spans="1:27" x14ac:dyDescent="0.35">
      <c r="A1854">
        <v>1002342</v>
      </c>
      <c r="B1854">
        <v>1830</v>
      </c>
      <c r="C1854">
        <v>1</v>
      </c>
      <c r="D1854" s="17" t="s">
        <v>155</v>
      </c>
      <c r="E1854" s="17"/>
      <c r="F1854" s="17" t="s">
        <v>156</v>
      </c>
      <c r="G1854" s="17"/>
      <c r="H1854" s="17" t="s">
        <v>692</v>
      </c>
      <c r="I1854" s="17"/>
      <c r="J1854" s="17" t="s">
        <v>693</v>
      </c>
      <c r="K1854" s="17"/>
      <c r="L1854" s="17"/>
      <c r="M1854" s="17"/>
      <c r="N1854" s="17" t="s">
        <v>8984</v>
      </c>
      <c r="O1854" s="17" t="s">
        <v>8991</v>
      </c>
      <c r="P1854" s="17" t="s">
        <v>9001</v>
      </c>
      <c r="Q1854" s="17"/>
      <c r="R1854" s="25" t="str">
        <f>HYPERLINK("https://ictv.global/taxonomy/taxondetails?taxnode_id=202314789","Rosenblumvirus jpl50")</f>
        <v>Rosenblumvirus jpl50</v>
      </c>
      <c r="S1854" s="18" t="s">
        <v>30</v>
      </c>
      <c r="T1854" s="18" t="s">
        <v>9012</v>
      </c>
      <c r="U1854" s="18"/>
      <c r="V1854" s="18"/>
      <c r="W1854" s="18" t="s">
        <v>9013</v>
      </c>
      <c r="X1854" s="18" t="s">
        <v>42</v>
      </c>
      <c r="Y1854" s="18" t="s">
        <v>36</v>
      </c>
      <c r="Z1854" s="18" t="s">
        <v>697</v>
      </c>
      <c r="AA1854" s="21" t="str">
        <f>HYPERLINK("https://www.ncbi.nlm.nih.gov/nuccore/MZ359091","NCBI Nucleotide")</f>
        <v>NCBI Nucleotide</v>
      </c>
    </row>
    <row r="1855" spans="1:27" x14ac:dyDescent="0.35">
      <c r="A1855">
        <v>1002343</v>
      </c>
      <c r="B1855">
        <v>1831</v>
      </c>
      <c r="C1855">
        <v>1</v>
      </c>
      <c r="D1855" s="17" t="s">
        <v>155</v>
      </c>
      <c r="E1855" s="17"/>
      <c r="F1855" s="17" t="s">
        <v>156</v>
      </c>
      <c r="G1855" s="17"/>
      <c r="H1855" s="17" t="s">
        <v>692</v>
      </c>
      <c r="I1855" s="17"/>
      <c r="J1855" s="17" t="s">
        <v>693</v>
      </c>
      <c r="K1855" s="17"/>
      <c r="L1855" s="17"/>
      <c r="M1855" s="17"/>
      <c r="N1855" s="17" t="s">
        <v>8984</v>
      </c>
      <c r="O1855" s="17" t="s">
        <v>8991</v>
      </c>
      <c r="P1855" s="17" t="s">
        <v>9001</v>
      </c>
      <c r="Q1855" s="17"/>
      <c r="R1855" s="25" t="str">
        <f>HYPERLINK("https://ictv.global/taxonomy/taxondetails?taxnode_id=202312901","Rosenblumvirus LSA2366")</f>
        <v>Rosenblumvirus LSA2366</v>
      </c>
      <c r="S1855" s="18" t="s">
        <v>30</v>
      </c>
      <c r="T1855" s="18" t="s">
        <v>9014</v>
      </c>
      <c r="U1855" s="18"/>
      <c r="V1855" s="18"/>
      <c r="W1855" s="18" t="s">
        <v>9015</v>
      </c>
      <c r="X1855" s="18" t="s">
        <v>42</v>
      </c>
      <c r="Y1855" s="18" t="s">
        <v>36</v>
      </c>
      <c r="Z1855" s="18" t="s">
        <v>697</v>
      </c>
      <c r="AA1855" s="21" t="str">
        <f>HYPERLINK("https://www.ncbi.nlm.nih.gov/nuccore/MW363799","NCBI Nucleotide")</f>
        <v>NCBI Nucleotide</v>
      </c>
    </row>
    <row r="1856" spans="1:27" x14ac:dyDescent="0.35">
      <c r="A1856">
        <v>1002344</v>
      </c>
      <c r="B1856">
        <v>1832</v>
      </c>
      <c r="C1856">
        <v>1</v>
      </c>
      <c r="D1856" s="17" t="s">
        <v>155</v>
      </c>
      <c r="E1856" s="17"/>
      <c r="F1856" s="17" t="s">
        <v>156</v>
      </c>
      <c r="G1856" s="17"/>
      <c r="H1856" s="17" t="s">
        <v>692</v>
      </c>
      <c r="I1856" s="17"/>
      <c r="J1856" s="17" t="s">
        <v>693</v>
      </c>
      <c r="K1856" s="17"/>
      <c r="L1856" s="17"/>
      <c r="M1856" s="17"/>
      <c r="N1856" s="17" t="s">
        <v>8984</v>
      </c>
      <c r="O1856" s="17" t="s">
        <v>8991</v>
      </c>
      <c r="P1856" s="17" t="s">
        <v>9001</v>
      </c>
      <c r="Q1856" s="17"/>
      <c r="R1856" s="25" t="str">
        <f>HYPERLINK("https://ictv.global/taxonomy/taxondetails?taxnode_id=202308005","Rosenblumvirus pabna")</f>
        <v>Rosenblumvirus pabna</v>
      </c>
      <c r="S1856" s="18" t="s">
        <v>30</v>
      </c>
      <c r="T1856" s="18" t="s">
        <v>9016</v>
      </c>
      <c r="U1856" s="18"/>
      <c r="V1856" s="18"/>
      <c r="W1856" s="18" t="s">
        <v>9017</v>
      </c>
      <c r="X1856" s="18" t="s">
        <v>42</v>
      </c>
      <c r="Y1856" s="18" t="s">
        <v>36</v>
      </c>
      <c r="Z1856" s="18" t="s">
        <v>697</v>
      </c>
      <c r="AA1856" s="21" t="str">
        <f>HYPERLINK("https://www.ncbi.nlm.nih.gov/nuccore/MH972260","NCBI Nucleotide")</f>
        <v>NCBI Nucleotide</v>
      </c>
    </row>
    <row r="1857" spans="1:27" x14ac:dyDescent="0.35">
      <c r="A1857">
        <v>1002345</v>
      </c>
      <c r="B1857">
        <v>1833</v>
      </c>
      <c r="C1857">
        <v>1</v>
      </c>
      <c r="D1857" s="17" t="s">
        <v>155</v>
      </c>
      <c r="E1857" s="17"/>
      <c r="F1857" s="17" t="s">
        <v>156</v>
      </c>
      <c r="G1857" s="17"/>
      <c r="H1857" s="17" t="s">
        <v>692</v>
      </c>
      <c r="I1857" s="17"/>
      <c r="J1857" s="17" t="s">
        <v>693</v>
      </c>
      <c r="K1857" s="17"/>
      <c r="L1857" s="17"/>
      <c r="M1857" s="17"/>
      <c r="N1857" s="17" t="s">
        <v>8984</v>
      </c>
      <c r="O1857" s="17" t="s">
        <v>8991</v>
      </c>
      <c r="P1857" s="17" t="s">
        <v>9001</v>
      </c>
      <c r="Q1857" s="17"/>
      <c r="R1857" s="25" t="str">
        <f>HYPERLINK("https://ictv.global/taxonomy/taxondetails?taxnode_id=202312899","Rosenblumvirus portland")</f>
        <v>Rosenblumvirus portland</v>
      </c>
      <c r="S1857" s="18" t="s">
        <v>30</v>
      </c>
      <c r="T1857" s="18" t="s">
        <v>9008</v>
      </c>
      <c r="U1857" s="18"/>
      <c r="V1857" s="18"/>
      <c r="W1857" s="18" t="s">
        <v>9018</v>
      </c>
      <c r="X1857" s="18" t="s">
        <v>42</v>
      </c>
      <c r="Y1857" s="18" t="s">
        <v>36</v>
      </c>
      <c r="Z1857" s="18" t="s">
        <v>697</v>
      </c>
      <c r="AA1857" s="21" t="str">
        <f>HYPERLINK("https://www.ncbi.nlm.nih.gov/nuccore/MN098325","NCBI Nucleotide")</f>
        <v>NCBI Nucleotide</v>
      </c>
    </row>
    <row r="1858" spans="1:27" x14ac:dyDescent="0.35">
      <c r="A1858">
        <v>1002346</v>
      </c>
      <c r="B1858">
        <v>1834</v>
      </c>
      <c r="C1858">
        <v>1</v>
      </c>
      <c r="D1858" s="17" t="s">
        <v>155</v>
      </c>
      <c r="E1858" s="17"/>
      <c r="F1858" s="17" t="s">
        <v>156</v>
      </c>
      <c r="G1858" s="17"/>
      <c r="H1858" s="17" t="s">
        <v>692</v>
      </c>
      <c r="I1858" s="17"/>
      <c r="J1858" s="17" t="s">
        <v>693</v>
      </c>
      <c r="K1858" s="17"/>
      <c r="L1858" s="17"/>
      <c r="M1858" s="17"/>
      <c r="N1858" s="17" t="s">
        <v>8984</v>
      </c>
      <c r="O1858" s="17" t="s">
        <v>8991</v>
      </c>
      <c r="P1858" s="17" t="s">
        <v>9001</v>
      </c>
      <c r="Q1858" s="17"/>
      <c r="R1858" s="25" t="str">
        <f>HYPERLINK("https://ictv.global/taxonomy/taxondetails?taxnode_id=202308013","Rosenblumvirus PSa3")</f>
        <v>Rosenblumvirus PSa3</v>
      </c>
      <c r="S1858" s="18" t="s">
        <v>30</v>
      </c>
      <c r="T1858" s="18" t="s">
        <v>9019</v>
      </c>
      <c r="U1858" s="18"/>
      <c r="V1858" s="18"/>
      <c r="W1858" s="18" t="s">
        <v>9020</v>
      </c>
      <c r="X1858" s="18" t="s">
        <v>42</v>
      </c>
      <c r="Y1858" s="18" t="s">
        <v>36</v>
      </c>
      <c r="Z1858" s="18" t="s">
        <v>697</v>
      </c>
      <c r="AA1858" s="21" t="str">
        <f>HYPERLINK("https://www.ncbi.nlm.nih.gov/nuccore/HF937074","NCBI Nucleotide")</f>
        <v>NCBI Nucleotide</v>
      </c>
    </row>
    <row r="1859" spans="1:27" x14ac:dyDescent="0.35">
      <c r="A1859">
        <v>1002348</v>
      </c>
      <c r="B1859">
        <v>1835</v>
      </c>
      <c r="C1859">
        <v>1</v>
      </c>
      <c r="D1859" s="17" t="s">
        <v>155</v>
      </c>
      <c r="E1859" s="17"/>
      <c r="F1859" s="17" t="s">
        <v>156</v>
      </c>
      <c r="G1859" s="17"/>
      <c r="H1859" s="17" t="s">
        <v>692</v>
      </c>
      <c r="I1859" s="17"/>
      <c r="J1859" s="17" t="s">
        <v>693</v>
      </c>
      <c r="K1859" s="17"/>
      <c r="L1859" s="17"/>
      <c r="M1859" s="17"/>
      <c r="N1859" s="17" t="s">
        <v>8984</v>
      </c>
      <c r="O1859" s="17" t="s">
        <v>8991</v>
      </c>
      <c r="P1859" s="17" t="s">
        <v>9001</v>
      </c>
      <c r="Q1859" s="17"/>
      <c r="R1859" s="25" t="str">
        <f>HYPERLINK("https://ictv.global/taxonomy/taxondetails?taxnode_id=202308006","Rosenblumvirus rv66")</f>
        <v>Rosenblumvirus rv66</v>
      </c>
      <c r="S1859" s="18" t="s">
        <v>30</v>
      </c>
      <c r="T1859" s="18" t="s">
        <v>9023</v>
      </c>
      <c r="U1859" s="18"/>
      <c r="V1859" s="18"/>
      <c r="W1859" s="18" t="s">
        <v>9024</v>
      </c>
      <c r="X1859" s="18" t="s">
        <v>42</v>
      </c>
      <c r="Y1859" s="18" t="s">
        <v>36</v>
      </c>
      <c r="Z1859" s="18" t="s">
        <v>697</v>
      </c>
      <c r="AA1859" s="21" t="str">
        <f>HYPERLINK("https://www.ncbi.nlm.nih.gov/nuccore/AY954949","NCBI Nucleotide")</f>
        <v>NCBI Nucleotide</v>
      </c>
    </row>
    <row r="1860" spans="1:27" x14ac:dyDescent="0.35">
      <c r="A1860">
        <v>1002347</v>
      </c>
      <c r="B1860">
        <v>1836</v>
      </c>
      <c r="C1860">
        <v>1</v>
      </c>
      <c r="D1860" s="17" t="s">
        <v>155</v>
      </c>
      <c r="E1860" s="17"/>
      <c r="F1860" s="17" t="s">
        <v>156</v>
      </c>
      <c r="G1860" s="17"/>
      <c r="H1860" s="17" t="s">
        <v>692</v>
      </c>
      <c r="I1860" s="17"/>
      <c r="J1860" s="17" t="s">
        <v>693</v>
      </c>
      <c r="K1860" s="17"/>
      <c r="L1860" s="17"/>
      <c r="M1860" s="17"/>
      <c r="N1860" s="17" t="s">
        <v>8984</v>
      </c>
      <c r="O1860" s="17" t="s">
        <v>8991</v>
      </c>
      <c r="P1860" s="17" t="s">
        <v>9001</v>
      </c>
      <c r="Q1860" s="17"/>
      <c r="R1860" s="25" t="str">
        <f>HYPERLINK("https://ictv.global/taxonomy/taxondetails?taxnode_id=202300595","Rosenblumvirus rv44AHJD")</f>
        <v>Rosenblumvirus rv44AHJD</v>
      </c>
      <c r="S1860" s="18" t="s">
        <v>30</v>
      </c>
      <c r="T1860" s="18" t="s">
        <v>9021</v>
      </c>
      <c r="U1860" s="18"/>
      <c r="V1860" s="18"/>
      <c r="W1860" s="18" t="s">
        <v>9022</v>
      </c>
      <c r="X1860" s="18" t="s">
        <v>42</v>
      </c>
      <c r="Y1860" s="18" t="s">
        <v>36</v>
      </c>
      <c r="Z1860" s="18" t="s">
        <v>697</v>
      </c>
      <c r="AA1860" s="21" t="str">
        <f>HYPERLINK("https://www.ncbi.nlm.nih.gov/nuccore/AF513032","NCBI Nucleotide")</f>
        <v>NCBI Nucleotide</v>
      </c>
    </row>
    <row r="1861" spans="1:27" x14ac:dyDescent="0.35">
      <c r="A1861">
        <v>1002349</v>
      </c>
      <c r="B1861">
        <v>1837</v>
      </c>
      <c r="C1861">
        <v>1</v>
      </c>
      <c r="D1861" s="17" t="s">
        <v>155</v>
      </c>
      <c r="E1861" s="17"/>
      <c r="F1861" s="17" t="s">
        <v>156</v>
      </c>
      <c r="G1861" s="17"/>
      <c r="H1861" s="17" t="s">
        <v>692</v>
      </c>
      <c r="I1861" s="17"/>
      <c r="J1861" s="17" t="s">
        <v>693</v>
      </c>
      <c r="K1861" s="17"/>
      <c r="L1861" s="17"/>
      <c r="M1861" s="17"/>
      <c r="N1861" s="17" t="s">
        <v>8984</v>
      </c>
      <c r="O1861" s="17" t="s">
        <v>8991</v>
      </c>
      <c r="P1861" s="17" t="s">
        <v>9001</v>
      </c>
      <c r="Q1861" s="17"/>
      <c r="R1861" s="25" t="str">
        <f>HYPERLINK("https://ictv.global/taxonomy/taxondetails?taxnode_id=202308007","Rosenblumvirus S241")</f>
        <v>Rosenblumvirus S241</v>
      </c>
      <c r="S1861" s="18" t="s">
        <v>30</v>
      </c>
      <c r="T1861" s="18" t="s">
        <v>9025</v>
      </c>
      <c r="U1861" s="18"/>
      <c r="V1861" s="18"/>
      <c r="W1861" s="18" t="s">
        <v>9026</v>
      </c>
      <c r="X1861" s="18" t="s">
        <v>42</v>
      </c>
      <c r="Y1861" s="18" t="s">
        <v>36</v>
      </c>
      <c r="Z1861" s="18" t="s">
        <v>697</v>
      </c>
      <c r="AA1861" s="21" t="str">
        <f>HYPERLINK("https://www.ncbi.nlm.nih.gov/nuccore/AB626962","NCBI Nucleotide")</f>
        <v>NCBI Nucleotide</v>
      </c>
    </row>
    <row r="1862" spans="1:27" x14ac:dyDescent="0.35">
      <c r="A1862">
        <v>1002350</v>
      </c>
      <c r="B1862">
        <v>1838</v>
      </c>
      <c r="C1862">
        <v>1</v>
      </c>
      <c r="D1862" s="17" t="s">
        <v>155</v>
      </c>
      <c r="E1862" s="17"/>
      <c r="F1862" s="17" t="s">
        <v>156</v>
      </c>
      <c r="G1862" s="17"/>
      <c r="H1862" s="17" t="s">
        <v>692</v>
      </c>
      <c r="I1862" s="17"/>
      <c r="J1862" s="17" t="s">
        <v>693</v>
      </c>
      <c r="K1862" s="17"/>
      <c r="L1862" s="17"/>
      <c r="M1862" s="17"/>
      <c r="N1862" s="17" t="s">
        <v>8984</v>
      </c>
      <c r="O1862" s="17" t="s">
        <v>8991</v>
      </c>
      <c r="P1862" s="17" t="s">
        <v>9001</v>
      </c>
      <c r="Q1862" s="17"/>
      <c r="R1862" s="25" t="str">
        <f>HYPERLINK("https://ictv.global/taxonomy/taxondetails?taxnode_id=202312898","Rosenblumvirus SA46CL1")</f>
        <v>Rosenblumvirus SA46CL1</v>
      </c>
      <c r="S1862" s="18" t="s">
        <v>30</v>
      </c>
      <c r="T1862" s="18" t="s">
        <v>9027</v>
      </c>
      <c r="U1862" s="18"/>
      <c r="V1862" s="18"/>
      <c r="W1862" s="18" t="s">
        <v>9028</v>
      </c>
      <c r="X1862" s="18" t="s">
        <v>42</v>
      </c>
      <c r="Y1862" s="18" t="s">
        <v>36</v>
      </c>
      <c r="Z1862" s="18" t="s">
        <v>697</v>
      </c>
      <c r="AA1862" s="21" t="str">
        <f>HYPERLINK("https://www.ncbi.nlm.nih.gov/nuccore/MK936476","NCBI Nucleotide")</f>
        <v>NCBI Nucleotide</v>
      </c>
    </row>
    <row r="1863" spans="1:27" x14ac:dyDescent="0.35">
      <c r="A1863">
        <v>1002351</v>
      </c>
      <c r="B1863">
        <v>1839</v>
      </c>
      <c r="C1863">
        <v>1</v>
      </c>
      <c r="D1863" s="17" t="s">
        <v>155</v>
      </c>
      <c r="E1863" s="17"/>
      <c r="F1863" s="17" t="s">
        <v>156</v>
      </c>
      <c r="G1863" s="17"/>
      <c r="H1863" s="17" t="s">
        <v>692</v>
      </c>
      <c r="I1863" s="17"/>
      <c r="J1863" s="17" t="s">
        <v>693</v>
      </c>
      <c r="K1863" s="17"/>
      <c r="L1863" s="17"/>
      <c r="M1863" s="17"/>
      <c r="N1863" s="17" t="s">
        <v>8984</v>
      </c>
      <c r="O1863" s="17" t="s">
        <v>8991</v>
      </c>
      <c r="P1863" s="17" t="s">
        <v>9001</v>
      </c>
      <c r="Q1863" s="17"/>
      <c r="R1863" s="25" t="str">
        <f>HYPERLINK("https://ictv.global/taxonomy/taxondetails?taxnode_id=202308012","Rosenblumvirus SAP2")</f>
        <v>Rosenblumvirus SAP2</v>
      </c>
      <c r="S1863" s="18" t="s">
        <v>30</v>
      </c>
      <c r="T1863" s="18" t="s">
        <v>9029</v>
      </c>
      <c r="U1863" s="18"/>
      <c r="V1863" s="18"/>
      <c r="W1863" s="18" t="s">
        <v>9030</v>
      </c>
      <c r="X1863" s="18" t="s">
        <v>42</v>
      </c>
      <c r="Y1863" s="18" t="s">
        <v>36</v>
      </c>
      <c r="Z1863" s="18" t="s">
        <v>697</v>
      </c>
      <c r="AA1863" s="21" t="str">
        <f>HYPERLINK("https://www.ncbi.nlm.nih.gov/nuccore/EU136189","NCBI Nucleotide")</f>
        <v>NCBI Nucleotide</v>
      </c>
    </row>
    <row r="1864" spans="1:27" x14ac:dyDescent="0.35">
      <c r="A1864">
        <v>1002352</v>
      </c>
      <c r="B1864">
        <v>1840</v>
      </c>
      <c r="C1864">
        <v>1</v>
      </c>
      <c r="D1864" s="17" t="s">
        <v>155</v>
      </c>
      <c r="E1864" s="17"/>
      <c r="F1864" s="17" t="s">
        <v>156</v>
      </c>
      <c r="G1864" s="17"/>
      <c r="H1864" s="17" t="s">
        <v>692</v>
      </c>
      <c r="I1864" s="17"/>
      <c r="J1864" s="17" t="s">
        <v>693</v>
      </c>
      <c r="K1864" s="17"/>
      <c r="L1864" s="17"/>
      <c r="M1864" s="17"/>
      <c r="N1864" s="17" t="s">
        <v>8984</v>
      </c>
      <c r="O1864" s="17" t="s">
        <v>8991</v>
      </c>
      <c r="P1864" s="17" t="s">
        <v>9001</v>
      </c>
      <c r="Q1864" s="17"/>
      <c r="R1864" s="25" t="str">
        <f>HYPERLINK("https://ictv.global/taxonomy/taxondetails?taxnode_id=202308010","Rosenblumvirus SCH1")</f>
        <v>Rosenblumvirus SCH1</v>
      </c>
      <c r="S1864" s="18" t="s">
        <v>30</v>
      </c>
      <c r="T1864" s="18" t="s">
        <v>9031</v>
      </c>
      <c r="U1864" s="18"/>
      <c r="V1864" s="18"/>
      <c r="W1864" s="18" t="s">
        <v>9032</v>
      </c>
      <c r="X1864" s="18" t="s">
        <v>42</v>
      </c>
      <c r="Y1864" s="18" t="s">
        <v>36</v>
      </c>
      <c r="Z1864" s="18" t="s">
        <v>697</v>
      </c>
      <c r="AA1864" s="21" t="str">
        <f>HYPERLINK("https://www.ncbi.nlm.nih.gov/nuccore/KY000084","NCBI Nucleotide")</f>
        <v>NCBI Nucleotide</v>
      </c>
    </row>
    <row r="1865" spans="1:27" x14ac:dyDescent="0.35">
      <c r="A1865">
        <v>1002353</v>
      </c>
      <c r="B1865">
        <v>1841</v>
      </c>
      <c r="C1865">
        <v>1</v>
      </c>
      <c r="D1865" s="17" t="s">
        <v>155</v>
      </c>
      <c r="E1865" s="17"/>
      <c r="F1865" s="17" t="s">
        <v>156</v>
      </c>
      <c r="G1865" s="17"/>
      <c r="H1865" s="17" t="s">
        <v>692</v>
      </c>
      <c r="I1865" s="17"/>
      <c r="J1865" s="17" t="s">
        <v>693</v>
      </c>
      <c r="K1865" s="17"/>
      <c r="L1865" s="17"/>
      <c r="M1865" s="17"/>
      <c r="N1865" s="17" t="s">
        <v>8984</v>
      </c>
      <c r="O1865" s="17" t="s">
        <v>8991</v>
      </c>
      <c r="P1865" s="17" t="s">
        <v>9001</v>
      </c>
      <c r="Q1865" s="17"/>
      <c r="R1865" s="25" t="str">
        <f>HYPERLINK("https://ictv.global/taxonomy/taxondetails?taxnode_id=202308014","Rosenblumvirus SLPW")</f>
        <v>Rosenblumvirus SLPW</v>
      </c>
      <c r="S1865" s="18" t="s">
        <v>30</v>
      </c>
      <c r="T1865" s="18" t="s">
        <v>9033</v>
      </c>
      <c r="U1865" s="18"/>
      <c r="V1865" s="18"/>
      <c r="W1865" s="18" t="s">
        <v>9034</v>
      </c>
      <c r="X1865" s="18" t="s">
        <v>42</v>
      </c>
      <c r="Y1865" s="18" t="s">
        <v>36</v>
      </c>
      <c r="Z1865" s="18" t="s">
        <v>697</v>
      </c>
      <c r="AA1865" s="21" t="str">
        <f>HYPERLINK("https://www.ncbi.nlm.nih.gov/nuccore/KU992911","NCBI Nucleotide")</f>
        <v>NCBI Nucleotide</v>
      </c>
    </row>
    <row r="1866" spans="1:27" x14ac:dyDescent="0.35">
      <c r="A1866">
        <v>1002354</v>
      </c>
      <c r="B1866">
        <v>1842</v>
      </c>
      <c r="C1866">
        <v>1</v>
      </c>
      <c r="D1866" s="17" t="s">
        <v>155</v>
      </c>
      <c r="E1866" s="17"/>
      <c r="F1866" s="17" t="s">
        <v>156</v>
      </c>
      <c r="G1866" s="17"/>
      <c r="H1866" s="17" t="s">
        <v>692</v>
      </c>
      <c r="I1866" s="17"/>
      <c r="J1866" s="17" t="s">
        <v>693</v>
      </c>
      <c r="K1866" s="17"/>
      <c r="L1866" s="17"/>
      <c r="M1866" s="17"/>
      <c r="N1866" s="17" t="s">
        <v>8984</v>
      </c>
      <c r="O1866" s="17" t="s">
        <v>9035</v>
      </c>
      <c r="P1866" s="17" t="s">
        <v>9036</v>
      </c>
      <c r="Q1866" s="17"/>
      <c r="R1866" s="25" t="str">
        <f>HYPERLINK("https://ictv.global/taxonomy/taxondetails?taxnode_id=202313054","Copernicusvirus AE417")</f>
        <v>Copernicusvirus AE417</v>
      </c>
      <c r="S1866" s="18" t="s">
        <v>30</v>
      </c>
      <c r="T1866" s="18" t="s">
        <v>9037</v>
      </c>
      <c r="U1866" s="18"/>
      <c r="V1866" s="18"/>
      <c r="W1866" s="18" t="s">
        <v>9038</v>
      </c>
      <c r="X1866" s="18" t="s">
        <v>42</v>
      </c>
      <c r="Y1866" s="18" t="s">
        <v>36</v>
      </c>
      <c r="Z1866" s="18" t="s">
        <v>697</v>
      </c>
      <c r="AA1866" s="21" t="str">
        <f>HYPERLINK("https://www.ncbi.nlm.nih.gov/nuccore/MT757399","NCBI Nucleotide")</f>
        <v>NCBI Nucleotide</v>
      </c>
    </row>
    <row r="1867" spans="1:27" x14ac:dyDescent="0.35">
      <c r="A1867">
        <v>1002355</v>
      </c>
      <c r="B1867">
        <v>1843</v>
      </c>
      <c r="C1867">
        <v>1</v>
      </c>
      <c r="D1867" s="17" t="s">
        <v>155</v>
      </c>
      <c r="E1867" s="17"/>
      <c r="F1867" s="17" t="s">
        <v>156</v>
      </c>
      <c r="G1867" s="17"/>
      <c r="H1867" s="17" t="s">
        <v>692</v>
      </c>
      <c r="I1867" s="17"/>
      <c r="J1867" s="17" t="s">
        <v>693</v>
      </c>
      <c r="K1867" s="17"/>
      <c r="L1867" s="17"/>
      <c r="M1867" s="17"/>
      <c r="N1867" s="17" t="s">
        <v>8984</v>
      </c>
      <c r="O1867" s="17" t="s">
        <v>9035</v>
      </c>
      <c r="P1867" s="17" t="s">
        <v>9036</v>
      </c>
      <c r="Q1867" s="17"/>
      <c r="R1867" s="25" t="str">
        <f>HYPERLINK("https://ictv.global/taxonomy/taxondetails?taxnode_id=202311693","Copernicusvirus Ef62")</f>
        <v>Copernicusvirus Ef62</v>
      </c>
      <c r="S1867" s="18" t="s">
        <v>30</v>
      </c>
      <c r="T1867" s="18" t="s">
        <v>9039</v>
      </c>
      <c r="U1867" s="18"/>
      <c r="V1867" s="18"/>
      <c r="W1867" s="18" t="s">
        <v>9040</v>
      </c>
      <c r="X1867" s="18" t="s">
        <v>42</v>
      </c>
      <c r="Y1867" s="18" t="s">
        <v>36</v>
      </c>
      <c r="Z1867" s="18" t="s">
        <v>697</v>
      </c>
      <c r="AA1867" s="21" t="str">
        <f>HYPERLINK("https://www.ncbi.nlm.nih.gov/nuccore/MK721188","NCBI Nucleotide")</f>
        <v>NCBI Nucleotide</v>
      </c>
    </row>
    <row r="1868" spans="1:27" x14ac:dyDescent="0.35">
      <c r="A1868">
        <v>1002356</v>
      </c>
      <c r="B1868">
        <v>1844</v>
      </c>
      <c r="C1868">
        <v>1</v>
      </c>
      <c r="D1868" s="17" t="s">
        <v>155</v>
      </c>
      <c r="E1868" s="17"/>
      <c r="F1868" s="17" t="s">
        <v>156</v>
      </c>
      <c r="G1868" s="17"/>
      <c r="H1868" s="17" t="s">
        <v>692</v>
      </c>
      <c r="I1868" s="17"/>
      <c r="J1868" s="17" t="s">
        <v>693</v>
      </c>
      <c r="K1868" s="17"/>
      <c r="L1868" s="17"/>
      <c r="M1868" s="17"/>
      <c r="N1868" s="17" t="s">
        <v>8984</v>
      </c>
      <c r="O1868" s="17" t="s">
        <v>9035</v>
      </c>
      <c r="P1868" s="17" t="s">
        <v>9036</v>
      </c>
      <c r="Q1868" s="17"/>
      <c r="R1868" s="25" t="str">
        <f>HYPERLINK("https://ictv.global/taxonomy/taxondetails?taxnode_id=202311694","Copernicusvirus Ef63")</f>
        <v>Copernicusvirus Ef63</v>
      </c>
      <c r="S1868" s="18" t="s">
        <v>30</v>
      </c>
      <c r="T1868" s="18" t="s">
        <v>9041</v>
      </c>
      <c r="U1868" s="18"/>
      <c r="V1868" s="18"/>
      <c r="W1868" s="18" t="s">
        <v>9042</v>
      </c>
      <c r="X1868" s="18" t="s">
        <v>42</v>
      </c>
      <c r="Y1868" s="18" t="s">
        <v>36</v>
      </c>
      <c r="Z1868" s="18" t="s">
        <v>697</v>
      </c>
      <c r="AA1868" s="21" t="str">
        <f>HYPERLINK("https://www.ncbi.nlm.nih.gov/nuccore/MK721196","NCBI Nucleotide")</f>
        <v>NCBI Nucleotide</v>
      </c>
    </row>
    <row r="1869" spans="1:27" x14ac:dyDescent="0.35">
      <c r="A1869">
        <v>1002357</v>
      </c>
      <c r="B1869">
        <v>1845</v>
      </c>
      <c r="C1869">
        <v>1</v>
      </c>
      <c r="D1869" s="17" t="s">
        <v>155</v>
      </c>
      <c r="E1869" s="17"/>
      <c r="F1869" s="17" t="s">
        <v>156</v>
      </c>
      <c r="G1869" s="17"/>
      <c r="H1869" s="17" t="s">
        <v>692</v>
      </c>
      <c r="I1869" s="17"/>
      <c r="J1869" s="17" t="s">
        <v>693</v>
      </c>
      <c r="K1869" s="17"/>
      <c r="L1869" s="17"/>
      <c r="M1869" s="17"/>
      <c r="N1869" s="17" t="s">
        <v>8984</v>
      </c>
      <c r="O1869" s="17" t="s">
        <v>9035</v>
      </c>
      <c r="P1869" s="17" t="s">
        <v>9036</v>
      </c>
      <c r="Q1869" s="17"/>
      <c r="R1869" s="25" t="str">
        <f>HYPERLINK("https://ictv.global/taxonomy/taxondetails?taxnode_id=202311695","Copernicusvirus Ef72")</f>
        <v>Copernicusvirus Ef72</v>
      </c>
      <c r="S1869" s="18" t="s">
        <v>30</v>
      </c>
      <c r="T1869" s="18" t="s">
        <v>9043</v>
      </c>
      <c r="U1869" s="18"/>
      <c r="V1869" s="18"/>
      <c r="W1869" s="18" t="s">
        <v>9044</v>
      </c>
      <c r="X1869" s="18" t="s">
        <v>42</v>
      </c>
      <c r="Y1869" s="18" t="s">
        <v>36</v>
      </c>
      <c r="Z1869" s="18" t="s">
        <v>697</v>
      </c>
      <c r="AA1869" s="21" t="str">
        <f>HYPERLINK("https://www.ncbi.nlm.nih.gov/nuccore/MK721183","NCBI Nucleotide")</f>
        <v>NCBI Nucleotide</v>
      </c>
    </row>
    <row r="1870" spans="1:27" x14ac:dyDescent="0.35">
      <c r="A1870">
        <v>1002358</v>
      </c>
      <c r="B1870">
        <v>1846</v>
      </c>
      <c r="C1870">
        <v>1</v>
      </c>
      <c r="D1870" s="17" t="s">
        <v>155</v>
      </c>
      <c r="E1870" s="17"/>
      <c r="F1870" s="17" t="s">
        <v>156</v>
      </c>
      <c r="G1870" s="17"/>
      <c r="H1870" s="17" t="s">
        <v>692</v>
      </c>
      <c r="I1870" s="17"/>
      <c r="J1870" s="17" t="s">
        <v>693</v>
      </c>
      <c r="K1870" s="17"/>
      <c r="L1870" s="17"/>
      <c r="M1870" s="17"/>
      <c r="N1870" s="17" t="s">
        <v>8984</v>
      </c>
      <c r="O1870" s="17" t="s">
        <v>9035</v>
      </c>
      <c r="P1870" s="17" t="s">
        <v>9036</v>
      </c>
      <c r="Q1870" s="17"/>
      <c r="R1870" s="25" t="str">
        <f>HYPERLINK("https://ictv.global/taxonomy/taxondetails?taxnode_id=202311701","Copernicusvirus Ef73")</f>
        <v>Copernicusvirus Ef73</v>
      </c>
      <c r="S1870" s="18" t="s">
        <v>30</v>
      </c>
      <c r="T1870" s="18" t="s">
        <v>9045</v>
      </c>
      <c r="U1870" s="18"/>
      <c r="V1870" s="18"/>
      <c r="W1870" s="18" t="s">
        <v>9046</v>
      </c>
      <c r="X1870" s="18" t="s">
        <v>42</v>
      </c>
      <c r="Y1870" s="18" t="s">
        <v>36</v>
      </c>
      <c r="Z1870" s="18" t="s">
        <v>697</v>
      </c>
      <c r="AA1870" s="21" t="str">
        <f>HYPERLINK("https://www.ncbi.nlm.nih.gov/nuccore/MK721184","NCBI Nucleotide")</f>
        <v>NCBI Nucleotide</v>
      </c>
    </row>
    <row r="1871" spans="1:27" x14ac:dyDescent="0.35">
      <c r="A1871">
        <v>1002359</v>
      </c>
      <c r="B1871">
        <v>1847</v>
      </c>
      <c r="C1871">
        <v>1</v>
      </c>
      <c r="D1871" s="17" t="s">
        <v>155</v>
      </c>
      <c r="E1871" s="17"/>
      <c r="F1871" s="17" t="s">
        <v>156</v>
      </c>
      <c r="G1871" s="17"/>
      <c r="H1871" s="17" t="s">
        <v>692</v>
      </c>
      <c r="I1871" s="17"/>
      <c r="J1871" s="17" t="s">
        <v>693</v>
      </c>
      <c r="K1871" s="17"/>
      <c r="L1871" s="17"/>
      <c r="M1871" s="17"/>
      <c r="N1871" s="17" t="s">
        <v>8984</v>
      </c>
      <c r="O1871" s="17" t="s">
        <v>9035</v>
      </c>
      <c r="P1871" s="17" t="s">
        <v>9036</v>
      </c>
      <c r="Q1871" s="17"/>
      <c r="R1871" s="25" t="str">
        <f>HYPERLINK("https://ictv.global/taxonomy/taxondetails?taxnode_id=202311702","Copernicusvirus Ef74")</f>
        <v>Copernicusvirus Ef74</v>
      </c>
      <c r="S1871" s="18" t="s">
        <v>30</v>
      </c>
      <c r="T1871" s="18" t="s">
        <v>9047</v>
      </c>
      <c r="U1871" s="18"/>
      <c r="V1871" s="18"/>
      <c r="W1871" s="18" t="s">
        <v>9048</v>
      </c>
      <c r="X1871" s="18" t="s">
        <v>42</v>
      </c>
      <c r="Y1871" s="18" t="s">
        <v>36</v>
      </c>
      <c r="Z1871" s="18" t="s">
        <v>697</v>
      </c>
      <c r="AA1871" s="21" t="str">
        <f>HYPERLINK("https://www.ncbi.nlm.nih.gov/nuccore/MK721198","NCBI Nucleotide")</f>
        <v>NCBI Nucleotide</v>
      </c>
    </row>
    <row r="1872" spans="1:27" x14ac:dyDescent="0.35">
      <c r="A1872">
        <v>1002360</v>
      </c>
      <c r="B1872">
        <v>1848</v>
      </c>
      <c r="C1872">
        <v>1</v>
      </c>
      <c r="D1872" s="17" t="s">
        <v>155</v>
      </c>
      <c r="E1872" s="17"/>
      <c r="F1872" s="17" t="s">
        <v>156</v>
      </c>
      <c r="G1872" s="17"/>
      <c r="H1872" s="17" t="s">
        <v>692</v>
      </c>
      <c r="I1872" s="17"/>
      <c r="J1872" s="17" t="s">
        <v>693</v>
      </c>
      <c r="K1872" s="17"/>
      <c r="L1872" s="17"/>
      <c r="M1872" s="17"/>
      <c r="N1872" s="17" t="s">
        <v>8984</v>
      </c>
      <c r="O1872" s="17" t="s">
        <v>9035</v>
      </c>
      <c r="P1872" s="17" t="s">
        <v>9036</v>
      </c>
      <c r="Q1872" s="17"/>
      <c r="R1872" s="25" t="str">
        <f>HYPERLINK("https://ictv.global/taxonomy/taxondetails?taxnode_id=202311692","Copernicusvirus Efae230P4")</f>
        <v>Copernicusvirus Efae230P4</v>
      </c>
      <c r="S1872" s="18" t="s">
        <v>30</v>
      </c>
      <c r="T1872" s="18" t="s">
        <v>9049</v>
      </c>
      <c r="U1872" s="18"/>
      <c r="V1872" s="18"/>
      <c r="W1872" s="18" t="s">
        <v>9050</v>
      </c>
      <c r="X1872" s="18" t="s">
        <v>42</v>
      </c>
      <c r="Y1872" s="18" t="s">
        <v>36</v>
      </c>
      <c r="Z1872" s="18" t="s">
        <v>697</v>
      </c>
      <c r="AA1872" s="21" t="str">
        <f>HYPERLINK("https://www.ncbi.nlm.nih.gov/nuccore/JQ309827","NCBI Nucleotide")</f>
        <v>NCBI Nucleotide</v>
      </c>
    </row>
    <row r="1873" spans="1:27" x14ac:dyDescent="0.35">
      <c r="A1873">
        <v>1002361</v>
      </c>
      <c r="B1873">
        <v>1849</v>
      </c>
      <c r="C1873">
        <v>1</v>
      </c>
      <c r="D1873" s="17" t="s">
        <v>155</v>
      </c>
      <c r="E1873" s="17"/>
      <c r="F1873" s="17" t="s">
        <v>156</v>
      </c>
      <c r="G1873" s="17"/>
      <c r="H1873" s="17" t="s">
        <v>692</v>
      </c>
      <c r="I1873" s="17"/>
      <c r="J1873" s="17" t="s">
        <v>693</v>
      </c>
      <c r="K1873" s="17"/>
      <c r="L1873" s="17"/>
      <c r="M1873" s="17"/>
      <c r="N1873" s="17" t="s">
        <v>8984</v>
      </c>
      <c r="O1873" s="17" t="s">
        <v>9035</v>
      </c>
      <c r="P1873" s="17" t="s">
        <v>9036</v>
      </c>
      <c r="Q1873" s="17"/>
      <c r="R1873" s="25" t="str">
        <f>HYPERLINK("https://ictv.global/taxonomy/taxondetails?taxnode_id=202311699","Copernicusvirus Efmus1")</f>
        <v>Copernicusvirus Efmus1</v>
      </c>
      <c r="S1873" s="18" t="s">
        <v>30</v>
      </c>
      <c r="T1873" s="18" t="s">
        <v>9051</v>
      </c>
      <c r="U1873" s="18"/>
      <c r="V1873" s="18"/>
      <c r="W1873" s="18" t="s">
        <v>9052</v>
      </c>
      <c r="X1873" s="18" t="s">
        <v>42</v>
      </c>
      <c r="Y1873" s="18" t="s">
        <v>36</v>
      </c>
      <c r="Z1873" s="18" t="s">
        <v>697</v>
      </c>
      <c r="AA1873" s="21" t="str">
        <f>HYPERLINK("https://www.ncbi.nlm.nih.gov/nuccore/MK721195","NCBI Nucleotide")</f>
        <v>NCBI Nucleotide</v>
      </c>
    </row>
    <row r="1874" spans="1:27" x14ac:dyDescent="0.35">
      <c r="A1874">
        <v>1002362</v>
      </c>
      <c r="B1874">
        <v>1850</v>
      </c>
      <c r="C1874">
        <v>1</v>
      </c>
      <c r="D1874" s="17" t="s">
        <v>155</v>
      </c>
      <c r="E1874" s="17"/>
      <c r="F1874" s="17" t="s">
        <v>156</v>
      </c>
      <c r="G1874" s="17"/>
      <c r="H1874" s="17" t="s">
        <v>692</v>
      </c>
      <c r="I1874" s="17"/>
      <c r="J1874" s="17" t="s">
        <v>693</v>
      </c>
      <c r="K1874" s="17"/>
      <c r="L1874" s="17"/>
      <c r="M1874" s="17"/>
      <c r="N1874" s="17" t="s">
        <v>8984</v>
      </c>
      <c r="O1874" s="17" t="s">
        <v>9035</v>
      </c>
      <c r="P1874" s="17" t="s">
        <v>9036</v>
      </c>
      <c r="Q1874" s="17"/>
      <c r="R1874" s="25" t="str">
        <f>HYPERLINK("https://ictv.global/taxonomy/taxondetails?taxnode_id=202311697","Copernicusvirus Efmus3")</f>
        <v>Copernicusvirus Efmus3</v>
      </c>
      <c r="S1874" s="18" t="s">
        <v>30</v>
      </c>
      <c r="T1874" s="18" t="s">
        <v>9053</v>
      </c>
      <c r="U1874" s="18"/>
      <c r="V1874" s="18"/>
      <c r="W1874" s="18" t="s">
        <v>9054</v>
      </c>
      <c r="X1874" s="18" t="s">
        <v>42</v>
      </c>
      <c r="Y1874" s="18" t="s">
        <v>36</v>
      </c>
      <c r="Z1874" s="18" t="s">
        <v>697</v>
      </c>
      <c r="AA1874" s="21" t="str">
        <f>HYPERLINK("https://www.ncbi.nlm.nih.gov/nuccore/MK721185","NCBI Nucleotide")</f>
        <v>NCBI Nucleotide</v>
      </c>
    </row>
    <row r="1875" spans="1:27" x14ac:dyDescent="0.35">
      <c r="A1875">
        <v>1002363</v>
      </c>
      <c r="B1875">
        <v>1851</v>
      </c>
      <c r="C1875">
        <v>1</v>
      </c>
      <c r="D1875" s="17" t="s">
        <v>155</v>
      </c>
      <c r="E1875" s="17"/>
      <c r="F1875" s="17" t="s">
        <v>156</v>
      </c>
      <c r="G1875" s="17"/>
      <c r="H1875" s="17" t="s">
        <v>692</v>
      </c>
      <c r="I1875" s="17"/>
      <c r="J1875" s="17" t="s">
        <v>693</v>
      </c>
      <c r="K1875" s="17"/>
      <c r="L1875" s="17"/>
      <c r="M1875" s="17"/>
      <c r="N1875" s="17" t="s">
        <v>8984</v>
      </c>
      <c r="O1875" s="17" t="s">
        <v>9035</v>
      </c>
      <c r="P1875" s="17" t="s">
        <v>9036</v>
      </c>
      <c r="Q1875" s="17"/>
      <c r="R1875" s="25" t="str">
        <f>HYPERLINK("https://ictv.global/taxonomy/taxondetails?taxnode_id=202311696","Copernicusvirus Efmus4")</f>
        <v>Copernicusvirus Efmus4</v>
      </c>
      <c r="S1875" s="18" t="s">
        <v>30</v>
      </c>
      <c r="T1875" s="18" t="s">
        <v>9055</v>
      </c>
      <c r="U1875" s="18"/>
      <c r="V1875" s="18"/>
      <c r="W1875" s="18" t="s">
        <v>9056</v>
      </c>
      <c r="X1875" s="18" t="s">
        <v>42</v>
      </c>
      <c r="Y1875" s="18" t="s">
        <v>36</v>
      </c>
      <c r="Z1875" s="18" t="s">
        <v>697</v>
      </c>
      <c r="AA1875" s="21" t="str">
        <f>HYPERLINK("https://www.ncbi.nlm.nih.gov/nuccore/MK721193","NCBI Nucleotide")</f>
        <v>NCBI Nucleotide</v>
      </c>
    </row>
    <row r="1876" spans="1:27" x14ac:dyDescent="0.35">
      <c r="A1876">
        <v>1002364</v>
      </c>
      <c r="B1876">
        <v>1852</v>
      </c>
      <c r="C1876">
        <v>1</v>
      </c>
      <c r="D1876" s="17" t="s">
        <v>155</v>
      </c>
      <c r="E1876" s="17"/>
      <c r="F1876" s="17" t="s">
        <v>156</v>
      </c>
      <c r="G1876" s="17"/>
      <c r="H1876" s="17" t="s">
        <v>692</v>
      </c>
      <c r="I1876" s="17"/>
      <c r="J1876" s="17" t="s">
        <v>693</v>
      </c>
      <c r="K1876" s="17"/>
      <c r="L1876" s="17"/>
      <c r="M1876" s="17"/>
      <c r="N1876" s="17" t="s">
        <v>8984</v>
      </c>
      <c r="O1876" s="17" t="s">
        <v>9035</v>
      </c>
      <c r="P1876" s="17" t="s">
        <v>9036</v>
      </c>
      <c r="Q1876" s="17"/>
      <c r="R1876" s="25" t="str">
        <f>HYPERLINK("https://ictv.global/taxonomy/taxondetails?taxnode_id=202311698","Copernicusvirus Idefix")</f>
        <v>Copernicusvirus Idefix</v>
      </c>
      <c r="S1876" s="18" t="s">
        <v>30</v>
      </c>
      <c r="T1876" s="18" t="s">
        <v>9057</v>
      </c>
      <c r="U1876" s="18"/>
      <c r="V1876" s="18"/>
      <c r="W1876" s="18" t="s">
        <v>9058</v>
      </c>
      <c r="X1876" s="18" t="s">
        <v>42</v>
      </c>
      <c r="Y1876" s="18" t="s">
        <v>36</v>
      </c>
      <c r="Z1876" s="18" t="s">
        <v>697</v>
      </c>
      <c r="AA1876" s="21" t="str">
        <f>HYPERLINK("https://www.ncbi.nlm.nih.gov/nuccore/LT630001","NCBI Nucleotide")</f>
        <v>NCBI Nucleotide</v>
      </c>
    </row>
    <row r="1877" spans="1:27" x14ac:dyDescent="0.35">
      <c r="A1877">
        <v>1002365</v>
      </c>
      <c r="B1877">
        <v>1853</v>
      </c>
      <c r="C1877">
        <v>1</v>
      </c>
      <c r="D1877" s="17" t="s">
        <v>155</v>
      </c>
      <c r="E1877" s="17"/>
      <c r="F1877" s="17" t="s">
        <v>156</v>
      </c>
      <c r="G1877" s="17"/>
      <c r="H1877" s="17" t="s">
        <v>692</v>
      </c>
      <c r="I1877" s="17"/>
      <c r="J1877" s="17" t="s">
        <v>693</v>
      </c>
      <c r="K1877" s="17"/>
      <c r="L1877" s="17"/>
      <c r="M1877" s="17"/>
      <c r="N1877" s="17" t="s">
        <v>8984</v>
      </c>
      <c r="O1877" s="17" t="s">
        <v>9035</v>
      </c>
      <c r="P1877" s="17" t="s">
        <v>9036</v>
      </c>
      <c r="Q1877" s="17"/>
      <c r="R1877" s="25" t="str">
        <f>HYPERLINK("https://ictv.global/taxonomy/taxondetails?taxnode_id=202311700","Copernicusvirus IME195")</f>
        <v>Copernicusvirus IME195</v>
      </c>
      <c r="S1877" s="18" t="s">
        <v>30</v>
      </c>
      <c r="T1877" s="18" t="s">
        <v>9059</v>
      </c>
      <c r="U1877" s="18"/>
      <c r="V1877" s="18"/>
      <c r="W1877" s="18" t="s">
        <v>9060</v>
      </c>
      <c r="X1877" s="18" t="s">
        <v>42</v>
      </c>
      <c r="Y1877" s="18" t="s">
        <v>36</v>
      </c>
      <c r="Z1877" s="18" t="s">
        <v>697</v>
      </c>
      <c r="AA1877" s="21" t="str">
        <f>HYPERLINK("https://www.ncbi.nlm.nih.gov/nuccore/KT932700","NCBI Nucleotide")</f>
        <v>NCBI Nucleotide</v>
      </c>
    </row>
    <row r="1878" spans="1:27" x14ac:dyDescent="0.35">
      <c r="A1878">
        <v>1002366</v>
      </c>
      <c r="B1878">
        <v>1854</v>
      </c>
      <c r="C1878">
        <v>1</v>
      </c>
      <c r="D1878" s="17" t="s">
        <v>155</v>
      </c>
      <c r="E1878" s="17"/>
      <c r="F1878" s="17" t="s">
        <v>156</v>
      </c>
      <c r="G1878" s="17"/>
      <c r="H1878" s="17" t="s">
        <v>692</v>
      </c>
      <c r="I1878" s="17"/>
      <c r="J1878" s="17" t="s">
        <v>693</v>
      </c>
      <c r="K1878" s="17"/>
      <c r="L1878" s="17"/>
      <c r="M1878" s="17"/>
      <c r="N1878" s="17" t="s">
        <v>8984</v>
      </c>
      <c r="O1878" s="17" t="s">
        <v>9035</v>
      </c>
      <c r="P1878" s="17" t="s">
        <v>9036</v>
      </c>
      <c r="Q1878" s="17"/>
      <c r="R1878" s="25" t="str">
        <f>HYPERLINK("https://ictv.global/taxonomy/taxondetails?taxnode_id=202314564","Copernicusvirus mda1")</f>
        <v>Copernicusvirus mda1</v>
      </c>
      <c r="S1878" s="18" t="s">
        <v>30</v>
      </c>
      <c r="T1878" s="18" t="s">
        <v>9061</v>
      </c>
      <c r="U1878" s="18"/>
      <c r="V1878" s="18"/>
      <c r="W1878" s="18" t="s">
        <v>9062</v>
      </c>
      <c r="X1878" s="18" t="s">
        <v>42</v>
      </c>
      <c r="Y1878" s="18" t="s">
        <v>36</v>
      </c>
      <c r="Z1878" s="18" t="s">
        <v>697</v>
      </c>
      <c r="AA1878" s="21" t="str">
        <f>HYPERLINK("https://www.ncbi.nlm.nih.gov/nuccore/MW623430","NCBI Nucleotide")</f>
        <v>NCBI Nucleotide</v>
      </c>
    </row>
    <row r="1879" spans="1:27" x14ac:dyDescent="0.35">
      <c r="A1879">
        <v>1002367</v>
      </c>
      <c r="B1879">
        <v>1855</v>
      </c>
      <c r="C1879">
        <v>1</v>
      </c>
      <c r="D1879" s="17" t="s">
        <v>155</v>
      </c>
      <c r="E1879" s="17"/>
      <c r="F1879" s="17" t="s">
        <v>156</v>
      </c>
      <c r="G1879" s="17"/>
      <c r="H1879" s="17" t="s">
        <v>692</v>
      </c>
      <c r="I1879" s="17"/>
      <c r="J1879" s="17" t="s">
        <v>693</v>
      </c>
      <c r="K1879" s="17"/>
      <c r="L1879" s="17"/>
      <c r="M1879" s="17"/>
      <c r="N1879" s="17" t="s">
        <v>8984</v>
      </c>
      <c r="O1879" s="17" t="s">
        <v>9035</v>
      </c>
      <c r="P1879" s="17" t="s">
        <v>9063</v>
      </c>
      <c r="Q1879" s="17"/>
      <c r="R1879" s="25" t="str">
        <f>HYPERLINK("https://ictv.global/taxonomy/taxondetails?taxnode_id=202311690","Minhovirus IME199")</f>
        <v>Minhovirus IME199</v>
      </c>
      <c r="S1879" s="18" t="s">
        <v>30</v>
      </c>
      <c r="T1879" s="18" t="s">
        <v>9064</v>
      </c>
      <c r="U1879" s="18"/>
      <c r="V1879" s="18"/>
      <c r="W1879" s="18" t="s">
        <v>9065</v>
      </c>
      <c r="X1879" s="18" t="s">
        <v>42</v>
      </c>
      <c r="Y1879" s="18" t="s">
        <v>36</v>
      </c>
      <c r="Z1879" s="18" t="s">
        <v>697</v>
      </c>
      <c r="AA1879" s="21" t="str">
        <f>HYPERLINK("https://www.ncbi.nlm.nih.gov/nuccore/KT945995","NCBI Nucleotide")</f>
        <v>NCBI Nucleotide</v>
      </c>
    </row>
    <row r="1880" spans="1:27" x14ac:dyDescent="0.35">
      <c r="A1880">
        <v>1002368</v>
      </c>
      <c r="B1880">
        <v>1856</v>
      </c>
      <c r="C1880">
        <v>1</v>
      </c>
      <c r="D1880" s="17" t="s">
        <v>155</v>
      </c>
      <c r="E1880" s="17"/>
      <c r="F1880" s="17" t="s">
        <v>156</v>
      </c>
      <c r="G1880" s="17"/>
      <c r="H1880" s="17" t="s">
        <v>692</v>
      </c>
      <c r="I1880" s="17"/>
      <c r="J1880" s="17" t="s">
        <v>693</v>
      </c>
      <c r="K1880" s="17"/>
      <c r="L1880" s="17"/>
      <c r="M1880" s="17"/>
      <c r="N1880" s="17" t="s">
        <v>8984</v>
      </c>
      <c r="O1880" s="17" t="s">
        <v>9035</v>
      </c>
      <c r="P1880" s="17" t="s">
        <v>9063</v>
      </c>
      <c r="Q1880" s="17"/>
      <c r="R1880" s="25" t="str">
        <f>HYPERLINK("https://ictv.global/taxonomy/taxondetails?taxnode_id=202311689","Minhovirus zip")</f>
        <v>Minhovirus zip</v>
      </c>
      <c r="S1880" s="18" t="s">
        <v>30</v>
      </c>
      <c r="T1880" s="18" t="s">
        <v>9066</v>
      </c>
      <c r="U1880" s="18"/>
      <c r="V1880" s="18"/>
      <c r="W1880" s="18" t="s">
        <v>9067</v>
      </c>
      <c r="X1880" s="18" t="s">
        <v>42</v>
      </c>
      <c r="Y1880" s="18" t="s">
        <v>36</v>
      </c>
      <c r="Z1880" s="18" t="s">
        <v>697</v>
      </c>
      <c r="AA1880" s="21" t="str">
        <f>HYPERLINK("https://www.ncbi.nlm.nih.gov/nuccore/MK360025","NCBI Nucleotide")</f>
        <v>NCBI Nucleotide</v>
      </c>
    </row>
    <row r="1881" spans="1:27" x14ac:dyDescent="0.35">
      <c r="A1881">
        <v>1002369</v>
      </c>
      <c r="B1881">
        <v>1857</v>
      </c>
      <c r="C1881">
        <v>1</v>
      </c>
      <c r="D1881" s="17" t="s">
        <v>155</v>
      </c>
      <c r="E1881" s="17"/>
      <c r="F1881" s="17" t="s">
        <v>156</v>
      </c>
      <c r="G1881" s="17"/>
      <c r="H1881" s="17" t="s">
        <v>692</v>
      </c>
      <c r="I1881" s="17"/>
      <c r="J1881" s="17" t="s">
        <v>693</v>
      </c>
      <c r="K1881" s="17"/>
      <c r="L1881" s="17"/>
      <c r="M1881" s="17"/>
      <c r="N1881" s="17" t="s">
        <v>8984</v>
      </c>
      <c r="O1881" s="17"/>
      <c r="P1881" s="17" t="s">
        <v>8985</v>
      </c>
      <c r="Q1881" s="17"/>
      <c r="R1881" s="25" t="str">
        <f>HYPERLINK("https://ictv.global/taxonomy/taxondetails?taxnode_id=202300596","Fischettivirus C1")</f>
        <v>Fischettivirus C1</v>
      </c>
      <c r="S1881" s="18" t="s">
        <v>30</v>
      </c>
      <c r="T1881" s="18" t="s">
        <v>8986</v>
      </c>
      <c r="U1881" s="18"/>
      <c r="V1881" s="18"/>
      <c r="W1881" s="18" t="s">
        <v>8987</v>
      </c>
      <c r="X1881" s="18" t="s">
        <v>42</v>
      </c>
      <c r="Y1881" s="18" t="s">
        <v>36</v>
      </c>
      <c r="Z1881" s="18" t="s">
        <v>697</v>
      </c>
      <c r="AA1881" s="21" t="str">
        <f>HYPERLINK("https://www.ncbi.nlm.nih.gov/nuccore/AY212251","NCBI Nucleotide")</f>
        <v>NCBI Nucleotide</v>
      </c>
    </row>
    <row r="1882" spans="1:27" x14ac:dyDescent="0.35">
      <c r="A1882">
        <v>1002370</v>
      </c>
      <c r="B1882">
        <v>1858</v>
      </c>
      <c r="C1882">
        <v>1</v>
      </c>
      <c r="D1882" s="17" t="s">
        <v>155</v>
      </c>
      <c r="E1882" s="17"/>
      <c r="F1882" s="17" t="s">
        <v>156</v>
      </c>
      <c r="G1882" s="17"/>
      <c r="H1882" s="17" t="s">
        <v>692</v>
      </c>
      <c r="I1882" s="17"/>
      <c r="J1882" s="17" t="s">
        <v>693</v>
      </c>
      <c r="K1882" s="17"/>
      <c r="L1882" s="17"/>
      <c r="M1882" s="17"/>
      <c r="N1882" s="17" t="s">
        <v>8984</v>
      </c>
      <c r="O1882" s="17"/>
      <c r="P1882" s="17" t="s">
        <v>8988</v>
      </c>
      <c r="Q1882" s="17"/>
      <c r="R1882" s="25" t="str">
        <f>HYPERLINK("https://ictv.global/taxonomy/taxondetails?taxnode_id=202306293","Negarvirus WP2")</f>
        <v>Negarvirus WP2</v>
      </c>
      <c r="S1882" s="18" t="s">
        <v>30</v>
      </c>
      <c r="T1882" s="18" t="s">
        <v>8989</v>
      </c>
      <c r="U1882" s="18"/>
      <c r="V1882" s="18"/>
      <c r="W1882" s="18" t="s">
        <v>8990</v>
      </c>
      <c r="X1882" s="18" t="s">
        <v>42</v>
      </c>
      <c r="Y1882" s="18" t="s">
        <v>36</v>
      </c>
      <c r="Z1882" s="18" t="s">
        <v>697</v>
      </c>
      <c r="AA1882" s="21" t="str">
        <f>HYPERLINK("https://www.ncbi.nlm.nih.gov/nuccore/KJ528544","NCBI Nucleotide")</f>
        <v>NCBI Nucleotide</v>
      </c>
    </row>
    <row r="1883" spans="1:27" x14ac:dyDescent="0.35">
      <c r="A1883">
        <v>1024687</v>
      </c>
      <c r="B1883">
        <v>1859</v>
      </c>
      <c r="C1883">
        <v>1</v>
      </c>
      <c r="D1883" s="17" t="s">
        <v>155</v>
      </c>
      <c r="E1883" s="17"/>
      <c r="F1883" s="17" t="s">
        <v>156</v>
      </c>
      <c r="G1883" s="17"/>
      <c r="H1883" s="17" t="s">
        <v>692</v>
      </c>
      <c r="I1883" s="17"/>
      <c r="J1883" s="17" t="s">
        <v>693</v>
      </c>
      <c r="K1883" s="17"/>
      <c r="L1883" s="17"/>
      <c r="M1883" s="17"/>
      <c r="N1883" s="17" t="s">
        <v>39431</v>
      </c>
      <c r="O1883" s="17"/>
      <c r="P1883" s="17" t="s">
        <v>39432</v>
      </c>
      <c r="Q1883" s="17"/>
      <c r="R1883" s="25" t="str">
        <f>HYPERLINK("https://ictv.global/taxonomy/taxondetails?taxnode_id=202319259","Arthrovirus TR020")</f>
        <v>Arthrovirus TR020</v>
      </c>
      <c r="S1883" s="18" t="s">
        <v>30</v>
      </c>
      <c r="T1883" s="18" t="s">
        <v>39433</v>
      </c>
      <c r="U1883" s="18" t="s">
        <v>39434</v>
      </c>
      <c r="V1883" s="18"/>
      <c r="W1883" s="18" t="s">
        <v>48172</v>
      </c>
      <c r="X1883" s="18" t="s">
        <v>42</v>
      </c>
      <c r="Y1883" s="18" t="s">
        <v>36</v>
      </c>
      <c r="Z1883" s="18" t="s">
        <v>697</v>
      </c>
      <c r="AA1883" s="21" t="str">
        <f>HYPERLINK("https://www.ncbi.nlm.nih.gov/nuccore/MT457475","NCBI Nucleotide")</f>
        <v>NCBI Nucleotide</v>
      </c>
    </row>
    <row r="1884" spans="1:27" x14ac:dyDescent="0.35">
      <c r="A1884">
        <v>1005769</v>
      </c>
      <c r="B1884">
        <v>1860</v>
      </c>
      <c r="C1884">
        <v>1</v>
      </c>
      <c r="D1884" s="17" t="s">
        <v>155</v>
      </c>
      <c r="E1884" s="17"/>
      <c r="F1884" s="17" t="s">
        <v>156</v>
      </c>
      <c r="G1884" s="17"/>
      <c r="H1884" s="17" t="s">
        <v>692</v>
      </c>
      <c r="I1884" s="17"/>
      <c r="J1884" s="17" t="s">
        <v>693</v>
      </c>
      <c r="K1884" s="17"/>
      <c r="L1884" s="17"/>
      <c r="M1884" s="17"/>
      <c r="N1884" s="17" t="s">
        <v>39431</v>
      </c>
      <c r="O1884" s="17"/>
      <c r="P1884" s="17" t="s">
        <v>2283</v>
      </c>
      <c r="Q1884" s="17"/>
      <c r="R1884" s="25" t="str">
        <f>HYPERLINK("https://ictv.global/taxonomy/taxondetails?taxnode_id=202310153","Kozyakovvirus A4L")</f>
        <v>Kozyakovvirus A4L</v>
      </c>
      <c r="S1884" s="18" t="s">
        <v>30</v>
      </c>
      <c r="T1884" s="18" t="s">
        <v>2284</v>
      </c>
      <c r="U1884" s="18"/>
      <c r="V1884" s="18"/>
      <c r="W1884" s="18" t="s">
        <v>2285</v>
      </c>
      <c r="X1884" s="18" t="s">
        <v>42</v>
      </c>
      <c r="Y1884" s="18" t="s">
        <v>36</v>
      </c>
      <c r="Z1884" s="18" t="s">
        <v>697</v>
      </c>
      <c r="AA1884" s="21" t="str">
        <f>HYPERLINK("https://www.ncbi.nlm.nih.gov/nuccore/KF356198","NCBI Nucleotide")</f>
        <v>NCBI Nucleotide</v>
      </c>
    </row>
    <row r="1885" spans="1:27" x14ac:dyDescent="0.35">
      <c r="A1885">
        <v>1025049</v>
      </c>
      <c r="B1885">
        <v>1861</v>
      </c>
      <c r="C1885">
        <v>1</v>
      </c>
      <c r="D1885" s="17" t="s">
        <v>155</v>
      </c>
      <c r="E1885" s="17"/>
      <c r="F1885" s="17" t="s">
        <v>156</v>
      </c>
      <c r="G1885" s="17"/>
      <c r="H1885" s="17" t="s">
        <v>692</v>
      </c>
      <c r="I1885" s="17"/>
      <c r="J1885" s="17" t="s">
        <v>693</v>
      </c>
      <c r="K1885" s="17"/>
      <c r="L1885" s="17"/>
      <c r="M1885" s="17"/>
      <c r="N1885" s="17" t="s">
        <v>39431</v>
      </c>
      <c r="O1885" s="17"/>
      <c r="P1885" s="17" t="s">
        <v>39435</v>
      </c>
      <c r="Q1885" s="17"/>
      <c r="R1885" s="25" t="str">
        <f>HYPERLINK("https://ictv.global/taxonomy/taxondetails?taxnode_id=202319262","Morrisvirus JingP1")</f>
        <v>Morrisvirus JingP1</v>
      </c>
      <c r="S1885" s="18" t="s">
        <v>30</v>
      </c>
      <c r="T1885" s="18" t="s">
        <v>39436</v>
      </c>
      <c r="U1885" s="18" t="s">
        <v>39437</v>
      </c>
      <c r="V1885" s="18"/>
      <c r="W1885" s="18" t="s">
        <v>48173</v>
      </c>
      <c r="X1885" s="18" t="s">
        <v>42</v>
      </c>
      <c r="Y1885" s="18" t="s">
        <v>36</v>
      </c>
      <c r="Z1885" s="18" t="s">
        <v>697</v>
      </c>
      <c r="AA1885" s="21" t="str">
        <f>HYPERLINK("https://www.ncbi.nlm.nih.gov/nuccore/ON677538","NCBI Nucleotide")</f>
        <v>NCBI Nucleotide</v>
      </c>
    </row>
    <row r="1886" spans="1:27" x14ac:dyDescent="0.35">
      <c r="A1886">
        <v>1025050</v>
      </c>
      <c r="B1886">
        <v>1862</v>
      </c>
      <c r="C1886">
        <v>1</v>
      </c>
      <c r="D1886" s="17" t="s">
        <v>155</v>
      </c>
      <c r="E1886" s="17"/>
      <c r="F1886" s="17" t="s">
        <v>156</v>
      </c>
      <c r="G1886" s="17"/>
      <c r="H1886" s="17" t="s">
        <v>692</v>
      </c>
      <c r="I1886" s="17"/>
      <c r="J1886" s="17" t="s">
        <v>693</v>
      </c>
      <c r="K1886" s="17"/>
      <c r="L1886" s="17"/>
      <c r="M1886" s="17"/>
      <c r="N1886" s="17" t="s">
        <v>39431</v>
      </c>
      <c r="O1886" s="17"/>
      <c r="P1886" s="17" t="s">
        <v>39435</v>
      </c>
      <c r="Q1886" s="17"/>
      <c r="R1886" s="25" t="str">
        <f>HYPERLINK("https://ictv.global/taxonomy/taxondetails?taxnode_id=202319257","Morrisvirus LPP1")</f>
        <v>Morrisvirus LPP1</v>
      </c>
      <c r="S1886" s="18" t="s">
        <v>30</v>
      </c>
      <c r="T1886" s="18" t="s">
        <v>39438</v>
      </c>
      <c r="U1886" s="18" t="s">
        <v>39439</v>
      </c>
      <c r="V1886" s="18"/>
      <c r="W1886" s="18" t="s">
        <v>48174</v>
      </c>
      <c r="X1886" s="18" t="s">
        <v>42</v>
      </c>
      <c r="Y1886" s="18" t="s">
        <v>36</v>
      </c>
      <c r="Z1886" s="18" t="s">
        <v>697</v>
      </c>
      <c r="AA1886" s="21" t="str">
        <f>HYPERLINK("https://www.ncbi.nlm.nih.gov/nuccore/OP589309","NCBI Nucleotide")</f>
        <v>NCBI Nucleotide</v>
      </c>
    </row>
    <row r="1887" spans="1:27" x14ac:dyDescent="0.35">
      <c r="A1887">
        <v>1025051</v>
      </c>
      <c r="B1887">
        <v>1863</v>
      </c>
      <c r="C1887">
        <v>1</v>
      </c>
      <c r="D1887" s="17" t="s">
        <v>155</v>
      </c>
      <c r="E1887" s="17"/>
      <c r="F1887" s="17" t="s">
        <v>156</v>
      </c>
      <c r="G1887" s="17"/>
      <c r="H1887" s="17" t="s">
        <v>692</v>
      </c>
      <c r="I1887" s="17"/>
      <c r="J1887" s="17" t="s">
        <v>693</v>
      </c>
      <c r="K1887" s="17"/>
      <c r="L1887" s="17"/>
      <c r="M1887" s="17"/>
      <c r="N1887" s="17" t="s">
        <v>39431</v>
      </c>
      <c r="O1887" s="17"/>
      <c r="P1887" s="17" t="s">
        <v>39435</v>
      </c>
      <c r="Q1887" s="17"/>
      <c r="R1887" s="25" t="str">
        <f>HYPERLINK("https://ictv.global/taxonomy/taxondetails?taxnode_id=202319261","Morrisvirus Pboyong3")</f>
        <v>Morrisvirus Pboyong3</v>
      </c>
      <c r="S1887" s="18" t="s">
        <v>30</v>
      </c>
      <c r="T1887" s="18" t="s">
        <v>39440</v>
      </c>
      <c r="U1887" s="18" t="s">
        <v>39441</v>
      </c>
      <c r="V1887" s="18"/>
      <c r="W1887" s="18" t="s">
        <v>48175</v>
      </c>
      <c r="X1887" s="18" t="s">
        <v>42</v>
      </c>
      <c r="Y1887" s="18" t="s">
        <v>36</v>
      </c>
      <c r="Z1887" s="18" t="s">
        <v>697</v>
      </c>
      <c r="AA1887" s="21" t="str">
        <f>HYPERLINK("https://www.ncbi.nlm.nih.gov/nuccore/OP056300","NCBI Nucleotide")</f>
        <v>NCBI Nucleotide</v>
      </c>
    </row>
    <row r="1888" spans="1:27" x14ac:dyDescent="0.35">
      <c r="A1888">
        <v>1025274</v>
      </c>
      <c r="B1888">
        <v>1864</v>
      </c>
      <c r="C1888">
        <v>1</v>
      </c>
      <c r="D1888" s="17" t="s">
        <v>155</v>
      </c>
      <c r="E1888" s="17"/>
      <c r="F1888" s="17" t="s">
        <v>156</v>
      </c>
      <c r="G1888" s="17"/>
      <c r="H1888" s="17" t="s">
        <v>692</v>
      </c>
      <c r="I1888" s="17"/>
      <c r="J1888" s="17" t="s">
        <v>693</v>
      </c>
      <c r="K1888" s="17"/>
      <c r="L1888" s="17"/>
      <c r="M1888" s="17"/>
      <c r="N1888" s="17" t="s">
        <v>39431</v>
      </c>
      <c r="O1888" s="17"/>
      <c r="P1888" s="17" t="s">
        <v>4308</v>
      </c>
      <c r="Q1888" s="17"/>
      <c r="R1888" s="25" t="str">
        <f>HYPERLINK("https://ictv.global/taxonomy/taxondetails?taxnode_id=202319260","Wumpquatrovirus Lbo240yong1")</f>
        <v>Wumpquatrovirus Lbo240yong1</v>
      </c>
      <c r="S1888" s="18" t="s">
        <v>30</v>
      </c>
      <c r="T1888" s="18" t="s">
        <v>39442</v>
      </c>
      <c r="U1888" s="18" t="s">
        <v>39443</v>
      </c>
      <c r="V1888" s="18"/>
      <c r="W1888" s="18" t="s">
        <v>48176</v>
      </c>
      <c r="X1888" s="18" t="s">
        <v>42</v>
      </c>
      <c r="Y1888" s="18" t="s">
        <v>36</v>
      </c>
      <c r="Z1888" s="18" t="s">
        <v>697</v>
      </c>
      <c r="AA1888" s="21" t="str">
        <f>HYPERLINK("https://www.ncbi.nlm.nih.gov/nuccore/OM897575","NCBI Nucleotide")</f>
        <v>NCBI Nucleotide</v>
      </c>
    </row>
    <row r="1889" spans="1:27" x14ac:dyDescent="0.35">
      <c r="A1889">
        <v>1006754</v>
      </c>
      <c r="B1889">
        <v>1865</v>
      </c>
      <c r="C1889">
        <v>1</v>
      </c>
      <c r="D1889" s="17" t="s">
        <v>155</v>
      </c>
      <c r="E1889" s="17"/>
      <c r="F1889" s="17" t="s">
        <v>156</v>
      </c>
      <c r="G1889" s="17"/>
      <c r="H1889" s="17" t="s">
        <v>692</v>
      </c>
      <c r="I1889" s="17"/>
      <c r="J1889" s="17" t="s">
        <v>693</v>
      </c>
      <c r="K1889" s="17"/>
      <c r="L1889" s="17"/>
      <c r="M1889" s="17"/>
      <c r="N1889" s="17" t="s">
        <v>39431</v>
      </c>
      <c r="O1889" s="17"/>
      <c r="P1889" s="17" t="s">
        <v>4308</v>
      </c>
      <c r="Q1889" s="17"/>
      <c r="R1889" s="25" t="str">
        <f>HYPERLINK("https://ictv.global/taxonomy/taxondetails?taxnode_id=202300705","Wumpquatrovirus WMP4")</f>
        <v>Wumpquatrovirus WMP4</v>
      </c>
      <c r="S1889" s="18" t="s">
        <v>30</v>
      </c>
      <c r="T1889" s="18" t="s">
        <v>4309</v>
      </c>
      <c r="U1889" s="18"/>
      <c r="V1889" s="18"/>
      <c r="W1889" s="18" t="s">
        <v>4310</v>
      </c>
      <c r="X1889" s="18" t="s">
        <v>42</v>
      </c>
      <c r="Y1889" s="18" t="s">
        <v>36</v>
      </c>
      <c r="Z1889" s="18" t="s">
        <v>697</v>
      </c>
      <c r="AA1889" s="21" t="str">
        <f>HYPERLINK("https://www.ncbi.nlm.nih.gov/nuccore/DQ875742","NCBI Nucleotide")</f>
        <v>NCBI Nucleotide</v>
      </c>
    </row>
    <row r="1890" spans="1:27" x14ac:dyDescent="0.35">
      <c r="A1890">
        <v>1025275</v>
      </c>
      <c r="B1890">
        <v>1866</v>
      </c>
      <c r="C1890">
        <v>1</v>
      </c>
      <c r="D1890" s="17" t="s">
        <v>155</v>
      </c>
      <c r="E1890" s="17"/>
      <c r="F1890" s="17" t="s">
        <v>156</v>
      </c>
      <c r="G1890" s="17"/>
      <c r="H1890" s="17" t="s">
        <v>692</v>
      </c>
      <c r="I1890" s="17"/>
      <c r="J1890" s="17" t="s">
        <v>693</v>
      </c>
      <c r="K1890" s="17"/>
      <c r="L1890" s="17"/>
      <c r="M1890" s="17"/>
      <c r="N1890" s="17" t="s">
        <v>39431</v>
      </c>
      <c r="O1890" s="17"/>
      <c r="P1890" s="17" t="s">
        <v>4311</v>
      </c>
      <c r="Q1890" s="17"/>
      <c r="R1890" s="25" t="str">
        <f>HYPERLINK("https://ictv.global/taxonomy/taxondetails?taxnode_id=202319258","Wumptrevirus LPP2")</f>
        <v>Wumptrevirus LPP2</v>
      </c>
      <c r="S1890" s="18" t="s">
        <v>30</v>
      </c>
      <c r="T1890" s="18" t="s">
        <v>39444</v>
      </c>
      <c r="U1890" s="18" t="s">
        <v>39445</v>
      </c>
      <c r="V1890" s="18"/>
      <c r="W1890" s="18" t="s">
        <v>48177</v>
      </c>
      <c r="X1890" s="18" t="s">
        <v>42</v>
      </c>
      <c r="Y1890" s="18" t="s">
        <v>36</v>
      </c>
      <c r="Z1890" s="18" t="s">
        <v>697</v>
      </c>
      <c r="AA1890" s="21" t="str">
        <f>HYPERLINK("https://www.ncbi.nlm.nih.gov/nuccore/OP590147","NCBI Nucleotide")</f>
        <v>NCBI Nucleotide</v>
      </c>
    </row>
    <row r="1891" spans="1:27" x14ac:dyDescent="0.35">
      <c r="A1891">
        <v>1006755</v>
      </c>
      <c r="B1891">
        <v>1867</v>
      </c>
      <c r="C1891">
        <v>1</v>
      </c>
      <c r="D1891" s="17" t="s">
        <v>155</v>
      </c>
      <c r="E1891" s="17"/>
      <c r="F1891" s="17" t="s">
        <v>156</v>
      </c>
      <c r="G1891" s="17"/>
      <c r="H1891" s="17" t="s">
        <v>692</v>
      </c>
      <c r="I1891" s="17"/>
      <c r="J1891" s="17" t="s">
        <v>693</v>
      </c>
      <c r="K1891" s="17"/>
      <c r="L1891" s="17"/>
      <c r="M1891" s="17"/>
      <c r="N1891" s="17" t="s">
        <v>39431</v>
      </c>
      <c r="O1891" s="17"/>
      <c r="P1891" s="17" t="s">
        <v>4311</v>
      </c>
      <c r="Q1891" s="17"/>
      <c r="R1891" s="25" t="str">
        <f>HYPERLINK("https://ictv.global/taxonomy/taxondetails?taxnode_id=202312124","Wumptrevirus PP")</f>
        <v>Wumptrevirus PP</v>
      </c>
      <c r="S1891" s="18" t="s">
        <v>30</v>
      </c>
      <c r="T1891" s="18" t="s">
        <v>4312</v>
      </c>
      <c r="U1891" s="18"/>
      <c r="V1891" s="18"/>
      <c r="W1891" s="18" t="s">
        <v>4313</v>
      </c>
      <c r="X1891" s="18" t="s">
        <v>42</v>
      </c>
      <c r="Y1891" s="18" t="s">
        <v>36</v>
      </c>
      <c r="Z1891" s="18" t="s">
        <v>697</v>
      </c>
      <c r="AA1891" s="21" t="str">
        <f>HYPERLINK("https://www.ncbi.nlm.nih.gov/nuccore/KF598865","NCBI Nucleotide")</f>
        <v>NCBI Nucleotide</v>
      </c>
    </row>
    <row r="1892" spans="1:27" x14ac:dyDescent="0.35">
      <c r="A1892">
        <v>1006756</v>
      </c>
      <c r="B1892">
        <v>1868</v>
      </c>
      <c r="C1892">
        <v>1</v>
      </c>
      <c r="D1892" s="17" t="s">
        <v>155</v>
      </c>
      <c r="E1892" s="17"/>
      <c r="F1892" s="17" t="s">
        <v>156</v>
      </c>
      <c r="G1892" s="17"/>
      <c r="H1892" s="17" t="s">
        <v>692</v>
      </c>
      <c r="I1892" s="17"/>
      <c r="J1892" s="17" t="s">
        <v>693</v>
      </c>
      <c r="K1892" s="17"/>
      <c r="L1892" s="17"/>
      <c r="M1892" s="17"/>
      <c r="N1892" s="17" t="s">
        <v>39431</v>
      </c>
      <c r="O1892" s="17"/>
      <c r="P1892" s="17" t="s">
        <v>4311</v>
      </c>
      <c r="Q1892" s="17"/>
      <c r="R1892" s="25" t="str">
        <f>HYPERLINK("https://ictv.global/taxonomy/taxondetails?taxnode_id=202300704","Wumptrevirus WMP3")</f>
        <v>Wumptrevirus WMP3</v>
      </c>
      <c r="S1892" s="18" t="s">
        <v>30</v>
      </c>
      <c r="T1892" s="18" t="s">
        <v>4314</v>
      </c>
      <c r="U1892" s="18"/>
      <c r="V1892" s="18"/>
      <c r="W1892" s="18" t="s">
        <v>4315</v>
      </c>
      <c r="X1892" s="18" t="s">
        <v>42</v>
      </c>
      <c r="Y1892" s="18" t="s">
        <v>36</v>
      </c>
      <c r="Z1892" s="18" t="s">
        <v>697</v>
      </c>
      <c r="AA1892" s="21" t="str">
        <f>HYPERLINK("https://www.ncbi.nlm.nih.gov/nuccore/EF537008","NCBI Nucleotide")</f>
        <v>NCBI Nucleotide</v>
      </c>
    </row>
    <row r="1893" spans="1:27" x14ac:dyDescent="0.35">
      <c r="A1893">
        <v>1002371</v>
      </c>
      <c r="B1893">
        <v>1869</v>
      </c>
      <c r="C1893">
        <v>1</v>
      </c>
      <c r="D1893" s="17" t="s">
        <v>155</v>
      </c>
      <c r="E1893" s="17"/>
      <c r="F1893" s="17" t="s">
        <v>156</v>
      </c>
      <c r="G1893" s="17"/>
      <c r="H1893" s="17" t="s">
        <v>692</v>
      </c>
      <c r="I1893" s="17"/>
      <c r="J1893" s="17" t="s">
        <v>693</v>
      </c>
      <c r="K1893" s="17"/>
      <c r="L1893" s="17"/>
      <c r="M1893" s="17"/>
      <c r="N1893" s="17" t="s">
        <v>9068</v>
      </c>
      <c r="O1893" s="17" t="s">
        <v>9092</v>
      </c>
      <c r="P1893" s="17" t="s">
        <v>9093</v>
      </c>
      <c r="Q1893" s="17"/>
      <c r="R1893" s="25" t="str">
        <f>HYPERLINK("https://ictv.global/taxonomy/taxondetails?taxnode_id=202311740","Claudivirus aurora")</f>
        <v>Claudivirus aurora</v>
      </c>
      <c r="S1893" s="18" t="s">
        <v>30</v>
      </c>
      <c r="T1893" s="18" t="s">
        <v>9094</v>
      </c>
      <c r="U1893" s="18"/>
      <c r="V1893" s="18"/>
      <c r="W1893" s="18" t="s">
        <v>9095</v>
      </c>
      <c r="X1893" s="18" t="s">
        <v>42</v>
      </c>
      <c r="Y1893" s="18" t="s">
        <v>36</v>
      </c>
      <c r="Z1893" s="18" t="s">
        <v>697</v>
      </c>
      <c r="AA1893" s="21" t="str">
        <f>HYPERLINK("https://www.ncbi.nlm.nih.gov/nuccore/KX349899","NCBI Nucleotide")</f>
        <v>NCBI Nucleotide</v>
      </c>
    </row>
    <row r="1894" spans="1:27" x14ac:dyDescent="0.35">
      <c r="A1894">
        <v>1002372</v>
      </c>
      <c r="B1894">
        <v>1870</v>
      </c>
      <c r="C1894">
        <v>1</v>
      </c>
      <c r="D1894" s="17" t="s">
        <v>155</v>
      </c>
      <c r="E1894" s="17"/>
      <c r="F1894" s="17" t="s">
        <v>156</v>
      </c>
      <c r="G1894" s="17"/>
      <c r="H1894" s="17" t="s">
        <v>692</v>
      </c>
      <c r="I1894" s="17"/>
      <c r="J1894" s="17" t="s">
        <v>693</v>
      </c>
      <c r="K1894" s="17"/>
      <c r="L1894" s="17"/>
      <c r="M1894" s="17"/>
      <c r="N1894" s="17" t="s">
        <v>9068</v>
      </c>
      <c r="O1894" s="17" t="s">
        <v>9092</v>
      </c>
      <c r="P1894" s="17" t="s">
        <v>9093</v>
      </c>
      <c r="Q1894" s="17"/>
      <c r="R1894" s="25" t="str">
        <f>HYPERLINK("https://ictv.global/taxonomy/taxondetails?taxnode_id=202313049","Claudivirus baseballfield")</f>
        <v>Claudivirus baseballfield</v>
      </c>
      <c r="S1894" s="18" t="s">
        <v>30</v>
      </c>
      <c r="T1894" s="18" t="s">
        <v>9096</v>
      </c>
      <c r="U1894" s="18"/>
      <c r="V1894" s="18"/>
      <c r="W1894" s="18" t="s">
        <v>9097</v>
      </c>
      <c r="X1894" s="18" t="s">
        <v>42</v>
      </c>
      <c r="Y1894" s="18" t="s">
        <v>36</v>
      </c>
      <c r="Z1894" s="18" t="s">
        <v>697</v>
      </c>
      <c r="AA1894" s="21" t="str">
        <f>HYPERLINK("https://www.ncbi.nlm.nih.gov/nuccore/MT777452","NCBI Nucleotide")</f>
        <v>NCBI Nucleotide</v>
      </c>
    </row>
    <row r="1895" spans="1:27" x14ac:dyDescent="0.35">
      <c r="A1895">
        <v>1002373</v>
      </c>
      <c r="B1895">
        <v>1871</v>
      </c>
      <c r="C1895">
        <v>1</v>
      </c>
      <c r="D1895" s="17" t="s">
        <v>155</v>
      </c>
      <c r="E1895" s="17"/>
      <c r="F1895" s="17" t="s">
        <v>156</v>
      </c>
      <c r="G1895" s="17"/>
      <c r="H1895" s="17" t="s">
        <v>692</v>
      </c>
      <c r="I1895" s="17"/>
      <c r="J1895" s="17" t="s">
        <v>693</v>
      </c>
      <c r="K1895" s="17"/>
      <c r="L1895" s="17"/>
      <c r="M1895" s="17"/>
      <c r="N1895" s="17" t="s">
        <v>9068</v>
      </c>
      <c r="O1895" s="17" t="s">
        <v>9092</v>
      </c>
      <c r="P1895" s="17" t="s">
        <v>9093</v>
      </c>
      <c r="Q1895" s="17"/>
      <c r="R1895" s="25" t="str">
        <f>HYPERLINK("https://ictv.global/taxonomy/taxondetails?taxnode_id=202311736","Claudivirus claudi")</f>
        <v>Claudivirus claudi</v>
      </c>
      <c r="S1895" s="18" t="s">
        <v>30</v>
      </c>
      <c r="T1895" s="18" t="s">
        <v>9098</v>
      </c>
      <c r="U1895" s="18"/>
      <c r="V1895" s="18"/>
      <c r="W1895" s="18" t="s">
        <v>9099</v>
      </c>
      <c r="X1895" s="18" t="s">
        <v>42</v>
      </c>
      <c r="Y1895" s="18" t="s">
        <v>36</v>
      </c>
      <c r="Z1895" s="18" t="s">
        <v>697</v>
      </c>
      <c r="AA1895" s="21" t="str">
        <f>HYPERLINK("https://www.ncbi.nlm.nih.gov/nuccore/KX349900","NCBI Nucleotide")</f>
        <v>NCBI Nucleotide</v>
      </c>
    </row>
    <row r="1896" spans="1:27" x14ac:dyDescent="0.35">
      <c r="A1896">
        <v>1002374</v>
      </c>
      <c r="B1896">
        <v>1872</v>
      </c>
      <c r="C1896">
        <v>1</v>
      </c>
      <c r="D1896" s="17" t="s">
        <v>155</v>
      </c>
      <c r="E1896" s="17"/>
      <c r="F1896" s="17" t="s">
        <v>156</v>
      </c>
      <c r="G1896" s="17"/>
      <c r="H1896" s="17" t="s">
        <v>692</v>
      </c>
      <c r="I1896" s="17"/>
      <c r="J1896" s="17" t="s">
        <v>693</v>
      </c>
      <c r="K1896" s="17"/>
      <c r="L1896" s="17"/>
      <c r="M1896" s="17"/>
      <c r="N1896" s="17" t="s">
        <v>9068</v>
      </c>
      <c r="O1896" s="17" t="s">
        <v>9092</v>
      </c>
      <c r="P1896" s="17" t="s">
        <v>9093</v>
      </c>
      <c r="Q1896" s="17"/>
      <c r="R1896" s="25" t="str">
        <f>HYPERLINK("https://ictv.global/taxonomy/taxondetails?taxnode_id=202311739","Claudivirus Goe4")</f>
        <v>Claudivirus Goe4</v>
      </c>
      <c r="S1896" s="18" t="s">
        <v>30</v>
      </c>
      <c r="T1896" s="18" t="s">
        <v>9100</v>
      </c>
      <c r="U1896" s="18"/>
      <c r="V1896" s="18"/>
      <c r="W1896" s="18" t="s">
        <v>9101</v>
      </c>
      <c r="X1896" s="18" t="s">
        <v>42</v>
      </c>
      <c r="Y1896" s="18" t="s">
        <v>36</v>
      </c>
      <c r="Z1896" s="18" t="s">
        <v>697</v>
      </c>
      <c r="AA1896" s="21" t="str">
        <f>HYPERLINK("https://www.ncbi.nlm.nih.gov/nuccore/MH817022","NCBI Nucleotide")</f>
        <v>NCBI Nucleotide</v>
      </c>
    </row>
    <row r="1897" spans="1:27" x14ac:dyDescent="0.35">
      <c r="A1897">
        <v>1002375</v>
      </c>
      <c r="B1897">
        <v>1873</v>
      </c>
      <c r="C1897">
        <v>1</v>
      </c>
      <c r="D1897" s="17" t="s">
        <v>155</v>
      </c>
      <c r="E1897" s="17"/>
      <c r="F1897" s="17" t="s">
        <v>156</v>
      </c>
      <c r="G1897" s="17"/>
      <c r="H1897" s="17" t="s">
        <v>692</v>
      </c>
      <c r="I1897" s="17"/>
      <c r="J1897" s="17" t="s">
        <v>693</v>
      </c>
      <c r="K1897" s="17"/>
      <c r="L1897" s="17"/>
      <c r="M1897" s="17"/>
      <c r="N1897" s="17" t="s">
        <v>9068</v>
      </c>
      <c r="O1897" s="17" t="s">
        <v>9092</v>
      </c>
      <c r="P1897" s="17" t="s">
        <v>9093</v>
      </c>
      <c r="Q1897" s="17"/>
      <c r="R1897" s="25" t="str">
        <f>HYPERLINK("https://ictv.global/taxonomy/taxondetails?taxnode_id=202311742","Claudivirus juan")</f>
        <v>Claudivirus juan</v>
      </c>
      <c r="S1897" s="18" t="s">
        <v>30</v>
      </c>
      <c r="T1897" s="18" t="s">
        <v>9102</v>
      </c>
      <c r="U1897" s="18"/>
      <c r="V1897" s="18"/>
      <c r="W1897" s="18" t="s">
        <v>9103</v>
      </c>
      <c r="X1897" s="18" t="s">
        <v>42</v>
      </c>
      <c r="Y1897" s="18" t="s">
        <v>36</v>
      </c>
      <c r="Z1897" s="18" t="s">
        <v>697</v>
      </c>
      <c r="AA1897" s="21" t="str">
        <f>HYPERLINK("https://www.ncbi.nlm.nih.gov/nuccore/MF156577","NCBI Nucleotide")</f>
        <v>NCBI Nucleotide</v>
      </c>
    </row>
    <row r="1898" spans="1:27" x14ac:dyDescent="0.35">
      <c r="A1898">
        <v>1002376</v>
      </c>
      <c r="B1898">
        <v>1874</v>
      </c>
      <c r="C1898">
        <v>1</v>
      </c>
      <c r="D1898" s="17" t="s">
        <v>155</v>
      </c>
      <c r="E1898" s="17"/>
      <c r="F1898" s="17" t="s">
        <v>156</v>
      </c>
      <c r="G1898" s="17"/>
      <c r="H1898" s="17" t="s">
        <v>692</v>
      </c>
      <c r="I1898" s="17"/>
      <c r="J1898" s="17" t="s">
        <v>693</v>
      </c>
      <c r="K1898" s="17"/>
      <c r="L1898" s="17"/>
      <c r="M1898" s="17"/>
      <c r="N1898" s="17" t="s">
        <v>9068</v>
      </c>
      <c r="O1898" s="17" t="s">
        <v>9092</v>
      </c>
      <c r="P1898" s="17" t="s">
        <v>9093</v>
      </c>
      <c r="Q1898" s="17"/>
      <c r="R1898" s="25" t="str">
        <f>HYPERLINK("https://ictv.global/taxonomy/taxondetails?taxnode_id=202311762","Claudivirus konjotrouble")</f>
        <v>Claudivirus konjotrouble</v>
      </c>
      <c r="S1898" s="18" t="s">
        <v>30</v>
      </c>
      <c r="T1898" s="18" t="s">
        <v>9104</v>
      </c>
      <c r="U1898" s="18"/>
      <c r="V1898" s="18"/>
      <c r="W1898" s="18" t="s">
        <v>9105</v>
      </c>
      <c r="X1898" s="18" t="s">
        <v>42</v>
      </c>
      <c r="Y1898" s="18" t="s">
        <v>36</v>
      </c>
      <c r="Z1898" s="18" t="s">
        <v>697</v>
      </c>
      <c r="AA1898" s="21" t="str">
        <f>HYPERLINK("https://www.ncbi.nlm.nih.gov/nuccore/MF156578","NCBI Nucleotide")</f>
        <v>NCBI Nucleotide</v>
      </c>
    </row>
    <row r="1899" spans="1:27" x14ac:dyDescent="0.35">
      <c r="A1899">
        <v>1002377</v>
      </c>
      <c r="B1899">
        <v>1875</v>
      </c>
      <c r="C1899">
        <v>1</v>
      </c>
      <c r="D1899" s="17" t="s">
        <v>155</v>
      </c>
      <c r="E1899" s="17"/>
      <c r="F1899" s="17" t="s">
        <v>156</v>
      </c>
      <c r="G1899" s="17"/>
      <c r="H1899" s="17" t="s">
        <v>692</v>
      </c>
      <c r="I1899" s="17"/>
      <c r="J1899" s="17" t="s">
        <v>693</v>
      </c>
      <c r="K1899" s="17"/>
      <c r="L1899" s="17"/>
      <c r="M1899" s="17"/>
      <c r="N1899" s="17" t="s">
        <v>9068</v>
      </c>
      <c r="O1899" s="17" t="s">
        <v>9092</v>
      </c>
      <c r="P1899" s="17" t="s">
        <v>9093</v>
      </c>
      <c r="Q1899" s="17"/>
      <c r="R1899" s="25" t="str">
        <f>HYPERLINK("https://ictv.global/taxonomy/taxondetails?taxnode_id=202311741","Claudivirus QCM11")</f>
        <v>Claudivirus QCM11</v>
      </c>
      <c r="S1899" s="18" t="s">
        <v>30</v>
      </c>
      <c r="T1899" s="18" t="s">
        <v>9106</v>
      </c>
      <c r="U1899" s="18"/>
      <c r="V1899" s="18"/>
      <c r="W1899" s="18" t="s">
        <v>9107</v>
      </c>
      <c r="X1899" s="18" t="s">
        <v>42</v>
      </c>
      <c r="Y1899" s="18" t="s">
        <v>36</v>
      </c>
      <c r="Z1899" s="18" t="s">
        <v>697</v>
      </c>
      <c r="AA1899" s="21" t="str">
        <f>HYPERLINK("https://www.ncbi.nlm.nih.gov/nuccore/KX961631","NCBI Nucleotide")</f>
        <v>NCBI Nucleotide</v>
      </c>
    </row>
    <row r="1900" spans="1:27" x14ac:dyDescent="0.35">
      <c r="A1900">
        <v>1002378</v>
      </c>
      <c r="B1900">
        <v>1876</v>
      </c>
      <c r="C1900">
        <v>1</v>
      </c>
      <c r="D1900" s="17" t="s">
        <v>155</v>
      </c>
      <c r="E1900" s="17"/>
      <c r="F1900" s="17" t="s">
        <v>156</v>
      </c>
      <c r="G1900" s="17"/>
      <c r="H1900" s="17" t="s">
        <v>692</v>
      </c>
      <c r="I1900" s="17"/>
      <c r="J1900" s="17" t="s">
        <v>693</v>
      </c>
      <c r="K1900" s="17"/>
      <c r="L1900" s="17"/>
      <c r="M1900" s="17"/>
      <c r="N1900" s="17" t="s">
        <v>9068</v>
      </c>
      <c r="O1900" s="17" t="s">
        <v>9092</v>
      </c>
      <c r="P1900" s="17" t="s">
        <v>9093</v>
      </c>
      <c r="Q1900" s="17"/>
      <c r="R1900" s="25" t="str">
        <f>HYPERLINK("https://ictv.global/taxonomy/taxondetails?taxnode_id=202311737","Claudivirus serpounce")</f>
        <v>Claudivirus serpounce</v>
      </c>
      <c r="S1900" s="18" t="s">
        <v>30</v>
      </c>
      <c r="T1900" s="18" t="s">
        <v>9108</v>
      </c>
      <c r="U1900" s="18"/>
      <c r="V1900" s="18"/>
      <c r="W1900" s="18" t="s">
        <v>9109</v>
      </c>
      <c r="X1900" s="18" t="s">
        <v>42</v>
      </c>
      <c r="Y1900" s="18" t="s">
        <v>36</v>
      </c>
      <c r="Z1900" s="18" t="s">
        <v>697</v>
      </c>
      <c r="AA1900" s="21" t="str">
        <f>HYPERLINK("https://www.ncbi.nlm.nih.gov/nuccore/KY947509","NCBI Nucleotide")</f>
        <v>NCBI Nucleotide</v>
      </c>
    </row>
    <row r="1901" spans="1:27" x14ac:dyDescent="0.35">
      <c r="A1901">
        <v>1002379</v>
      </c>
      <c r="B1901">
        <v>1877</v>
      </c>
      <c r="C1901">
        <v>1</v>
      </c>
      <c r="D1901" s="17" t="s">
        <v>155</v>
      </c>
      <c r="E1901" s="17"/>
      <c r="F1901" s="17" t="s">
        <v>156</v>
      </c>
      <c r="G1901" s="17"/>
      <c r="H1901" s="17" t="s">
        <v>692</v>
      </c>
      <c r="I1901" s="17"/>
      <c r="J1901" s="17" t="s">
        <v>693</v>
      </c>
      <c r="K1901" s="17"/>
      <c r="L1901" s="17"/>
      <c r="M1901" s="17"/>
      <c r="N1901" s="17" t="s">
        <v>9068</v>
      </c>
      <c r="O1901" s="17" t="s">
        <v>9092</v>
      </c>
      <c r="P1901" s="17" t="s">
        <v>9093</v>
      </c>
      <c r="Q1901" s="17"/>
      <c r="R1901" s="25" t="str">
        <f>HYPERLINK("https://ictv.global/taxonomy/taxondetails?taxnode_id=202311738","Claudivirus stitch")</f>
        <v>Claudivirus stitch</v>
      </c>
      <c r="S1901" s="18" t="s">
        <v>30</v>
      </c>
      <c r="T1901" s="18" t="s">
        <v>9110</v>
      </c>
      <c r="U1901" s="18"/>
      <c r="V1901" s="18"/>
      <c r="W1901" s="18" t="s">
        <v>9111</v>
      </c>
      <c r="X1901" s="18" t="s">
        <v>42</v>
      </c>
      <c r="Y1901" s="18" t="s">
        <v>36</v>
      </c>
      <c r="Z1901" s="18" t="s">
        <v>697</v>
      </c>
      <c r="AA1901" s="21" t="str">
        <f>HYPERLINK("https://www.ncbi.nlm.nih.gov/nuccore/KX349901","NCBI Nucleotide")</f>
        <v>NCBI Nucleotide</v>
      </c>
    </row>
    <row r="1902" spans="1:27" x14ac:dyDescent="0.35">
      <c r="A1902">
        <v>1002380</v>
      </c>
      <c r="B1902">
        <v>1878</v>
      </c>
      <c r="C1902">
        <v>1</v>
      </c>
      <c r="D1902" s="17" t="s">
        <v>155</v>
      </c>
      <c r="E1902" s="17"/>
      <c r="F1902" s="17" t="s">
        <v>156</v>
      </c>
      <c r="G1902" s="17"/>
      <c r="H1902" s="17" t="s">
        <v>692</v>
      </c>
      <c r="I1902" s="17"/>
      <c r="J1902" s="17" t="s">
        <v>693</v>
      </c>
      <c r="K1902" s="17"/>
      <c r="L1902" s="17"/>
      <c r="M1902" s="17"/>
      <c r="N1902" s="17" t="s">
        <v>9068</v>
      </c>
      <c r="O1902" s="17" t="s">
        <v>9092</v>
      </c>
      <c r="P1902" s="17" t="s">
        <v>9093</v>
      </c>
      <c r="Q1902" s="17"/>
      <c r="R1902" s="25" t="str">
        <f>HYPERLINK("https://ictv.global/taxonomy/taxondetails?taxnode_id=202313048","Claudivirus thornton")</f>
        <v>Claudivirus thornton</v>
      </c>
      <c r="S1902" s="18" t="s">
        <v>30</v>
      </c>
      <c r="T1902" s="18" t="s">
        <v>9112</v>
      </c>
      <c r="U1902" s="18"/>
      <c r="V1902" s="18"/>
      <c r="W1902" s="18" t="s">
        <v>9113</v>
      </c>
      <c r="X1902" s="18" t="s">
        <v>42</v>
      </c>
      <c r="Y1902" s="18" t="s">
        <v>36</v>
      </c>
      <c r="Z1902" s="18" t="s">
        <v>697</v>
      </c>
      <c r="AA1902" s="21" t="str">
        <f>HYPERLINK("https://www.ncbi.nlm.nih.gov/nuccore/MW348917","NCBI Nucleotide")</f>
        <v>NCBI Nucleotide</v>
      </c>
    </row>
    <row r="1903" spans="1:27" x14ac:dyDescent="0.35">
      <c r="A1903">
        <v>1024493</v>
      </c>
      <c r="B1903">
        <v>1879</v>
      </c>
      <c r="C1903">
        <v>1</v>
      </c>
      <c r="D1903" s="17" t="s">
        <v>155</v>
      </c>
      <c r="E1903" s="17"/>
      <c r="F1903" s="17" t="s">
        <v>156</v>
      </c>
      <c r="G1903" s="17"/>
      <c r="H1903" s="17" t="s">
        <v>692</v>
      </c>
      <c r="I1903" s="17"/>
      <c r="J1903" s="17" t="s">
        <v>693</v>
      </c>
      <c r="K1903" s="17"/>
      <c r="L1903" s="17"/>
      <c r="M1903" s="17"/>
      <c r="N1903" s="17" t="s">
        <v>9068</v>
      </c>
      <c r="O1903" s="17" t="s">
        <v>9092</v>
      </c>
      <c r="P1903" s="17" t="s">
        <v>9114</v>
      </c>
      <c r="Q1903" s="17"/>
      <c r="R1903" s="25" t="str">
        <f>HYPERLINK("https://ictv.global/taxonomy/taxondetails?taxnode_id=202319265","Hemphillvirus bece5")</f>
        <v>Hemphillvirus bece5</v>
      </c>
      <c r="S1903" s="18" t="s">
        <v>30</v>
      </c>
      <c r="T1903" s="18" t="s">
        <v>39446</v>
      </c>
      <c r="U1903" s="18"/>
      <c r="V1903" s="18"/>
      <c r="W1903" s="18" t="s">
        <v>48178</v>
      </c>
      <c r="X1903" s="18" t="s">
        <v>42</v>
      </c>
      <c r="Y1903" s="18" t="s">
        <v>36</v>
      </c>
      <c r="Z1903" s="18" t="s">
        <v>697</v>
      </c>
      <c r="AA1903" s="21" t="str">
        <f>HYPERLINK("https://www.ncbi.nlm.nih.gov/nuccore/OQ187816","NCBI Nucleotide")</f>
        <v>NCBI Nucleotide</v>
      </c>
    </row>
    <row r="1904" spans="1:27" x14ac:dyDescent="0.35">
      <c r="A1904">
        <v>1002381</v>
      </c>
      <c r="B1904">
        <v>1880</v>
      </c>
      <c r="C1904">
        <v>1</v>
      </c>
      <c r="D1904" s="17" t="s">
        <v>155</v>
      </c>
      <c r="E1904" s="17"/>
      <c r="F1904" s="17" t="s">
        <v>156</v>
      </c>
      <c r="G1904" s="17"/>
      <c r="H1904" s="17" t="s">
        <v>692</v>
      </c>
      <c r="I1904" s="17"/>
      <c r="J1904" s="17" t="s">
        <v>693</v>
      </c>
      <c r="K1904" s="17"/>
      <c r="L1904" s="17"/>
      <c r="M1904" s="17"/>
      <c r="N1904" s="17" t="s">
        <v>9068</v>
      </c>
      <c r="O1904" s="17" t="s">
        <v>9092</v>
      </c>
      <c r="P1904" s="17" t="s">
        <v>9114</v>
      </c>
      <c r="Q1904" s="17"/>
      <c r="R1904" s="25" t="str">
        <f>HYPERLINK("https://ictv.global/taxonomy/taxondetails?taxnode_id=202311746","Hemphillvirus DK1")</f>
        <v>Hemphillvirus DK1</v>
      </c>
      <c r="S1904" s="18" t="s">
        <v>30</v>
      </c>
      <c r="T1904" s="18" t="s">
        <v>9115</v>
      </c>
      <c r="U1904" s="18"/>
      <c r="V1904" s="18"/>
      <c r="W1904" s="18" t="s">
        <v>9116</v>
      </c>
      <c r="X1904" s="18" t="s">
        <v>42</v>
      </c>
      <c r="Y1904" s="18" t="s">
        <v>36</v>
      </c>
      <c r="Z1904" s="18" t="s">
        <v>697</v>
      </c>
      <c r="AA1904" s="21" t="str">
        <f>HYPERLINK("https://www.ncbi.nlm.nih.gov/nuccore/MK284526","NCBI Nucleotide")</f>
        <v>NCBI Nucleotide</v>
      </c>
    </row>
    <row r="1905" spans="1:27" x14ac:dyDescent="0.35">
      <c r="A1905">
        <v>1002382</v>
      </c>
      <c r="B1905">
        <v>1881</v>
      </c>
      <c r="C1905">
        <v>1</v>
      </c>
      <c r="D1905" s="17" t="s">
        <v>155</v>
      </c>
      <c r="E1905" s="17"/>
      <c r="F1905" s="17" t="s">
        <v>156</v>
      </c>
      <c r="G1905" s="17"/>
      <c r="H1905" s="17" t="s">
        <v>692</v>
      </c>
      <c r="I1905" s="17"/>
      <c r="J1905" s="17" t="s">
        <v>693</v>
      </c>
      <c r="K1905" s="17"/>
      <c r="L1905" s="17"/>
      <c r="M1905" s="17"/>
      <c r="N1905" s="17" t="s">
        <v>9068</v>
      </c>
      <c r="O1905" s="17" t="s">
        <v>9092</v>
      </c>
      <c r="P1905" s="17" t="s">
        <v>9114</v>
      </c>
      <c r="Q1905" s="17"/>
      <c r="R1905" s="25" t="str">
        <f>HYPERLINK("https://ictv.global/taxonomy/taxondetails?taxnode_id=202311747","Hemphillvirus DK2")</f>
        <v>Hemphillvirus DK2</v>
      </c>
      <c r="S1905" s="18" t="s">
        <v>30</v>
      </c>
      <c r="T1905" s="18" t="s">
        <v>9117</v>
      </c>
      <c r="U1905" s="18"/>
      <c r="V1905" s="18"/>
      <c r="W1905" s="18" t="s">
        <v>9118</v>
      </c>
      <c r="X1905" s="18" t="s">
        <v>42</v>
      </c>
      <c r="Y1905" s="18" t="s">
        <v>36</v>
      </c>
      <c r="Z1905" s="18" t="s">
        <v>697</v>
      </c>
      <c r="AA1905" s="21" t="str">
        <f>HYPERLINK("https://www.ncbi.nlm.nih.gov/nuccore/MK284527","NCBI Nucleotide")</f>
        <v>NCBI Nucleotide</v>
      </c>
    </row>
    <row r="1906" spans="1:27" x14ac:dyDescent="0.35">
      <c r="A1906">
        <v>1002383</v>
      </c>
      <c r="B1906">
        <v>1882</v>
      </c>
      <c r="C1906">
        <v>1</v>
      </c>
      <c r="D1906" s="17" t="s">
        <v>155</v>
      </c>
      <c r="E1906" s="17"/>
      <c r="F1906" s="17" t="s">
        <v>156</v>
      </c>
      <c r="G1906" s="17"/>
      <c r="H1906" s="17" t="s">
        <v>692</v>
      </c>
      <c r="I1906" s="17"/>
      <c r="J1906" s="17" t="s">
        <v>693</v>
      </c>
      <c r="K1906" s="17"/>
      <c r="L1906" s="17"/>
      <c r="M1906" s="17"/>
      <c r="N1906" s="17" t="s">
        <v>9068</v>
      </c>
      <c r="O1906" s="17" t="s">
        <v>9092</v>
      </c>
      <c r="P1906" s="17" t="s">
        <v>9114</v>
      </c>
      <c r="Q1906" s="17"/>
      <c r="R1906" s="25" t="str">
        <f>HYPERLINK("https://ictv.global/taxonomy/taxondetails?taxnode_id=202311748","Hemphillvirus DK3")</f>
        <v>Hemphillvirus DK3</v>
      </c>
      <c r="S1906" s="18" t="s">
        <v>30</v>
      </c>
      <c r="T1906" s="18" t="s">
        <v>9119</v>
      </c>
      <c r="U1906" s="18"/>
      <c r="V1906" s="18"/>
      <c r="W1906" s="18" t="s">
        <v>9120</v>
      </c>
      <c r="X1906" s="18" t="s">
        <v>42</v>
      </c>
      <c r="Y1906" s="18" t="s">
        <v>36</v>
      </c>
      <c r="Z1906" s="18" t="s">
        <v>697</v>
      </c>
      <c r="AA1906" s="21" t="str">
        <f>HYPERLINK("https://www.ncbi.nlm.nih.gov/nuccore/MK284528","NCBI Nucleotide")</f>
        <v>NCBI Nucleotide</v>
      </c>
    </row>
    <row r="1907" spans="1:27" x14ac:dyDescent="0.35">
      <c r="A1907">
        <v>1002384</v>
      </c>
      <c r="B1907">
        <v>1883</v>
      </c>
      <c r="C1907">
        <v>1</v>
      </c>
      <c r="D1907" s="17" t="s">
        <v>155</v>
      </c>
      <c r="E1907" s="17"/>
      <c r="F1907" s="17" t="s">
        <v>156</v>
      </c>
      <c r="G1907" s="17"/>
      <c r="H1907" s="17" t="s">
        <v>692</v>
      </c>
      <c r="I1907" s="17"/>
      <c r="J1907" s="17" t="s">
        <v>693</v>
      </c>
      <c r="K1907" s="17"/>
      <c r="L1907" s="17"/>
      <c r="M1907" s="17"/>
      <c r="N1907" s="17" t="s">
        <v>9068</v>
      </c>
      <c r="O1907" s="17" t="s">
        <v>9092</v>
      </c>
      <c r="P1907" s="17" t="s">
        <v>9121</v>
      </c>
      <c r="Q1907" s="17"/>
      <c r="R1907" s="25" t="str">
        <f>HYPERLINK("https://ictv.global/taxonomy/taxondetails?taxnode_id=202311744","Klosterneuburgvirus MGB1")</f>
        <v>Klosterneuburgvirus MGB1</v>
      </c>
      <c r="S1907" s="18" t="s">
        <v>30</v>
      </c>
      <c r="T1907" s="18" t="s">
        <v>9122</v>
      </c>
      <c r="U1907" s="18"/>
      <c r="V1907" s="18"/>
      <c r="W1907" s="18" t="s">
        <v>9123</v>
      </c>
      <c r="X1907" s="18" t="s">
        <v>42</v>
      </c>
      <c r="Y1907" s="18" t="s">
        <v>36</v>
      </c>
      <c r="Z1907" s="18" t="s">
        <v>697</v>
      </c>
      <c r="AA1907" s="21" t="str">
        <f>HYPERLINK("https://www.ncbi.nlm.nih.gov/nuccore/KC685370","NCBI Nucleotide")</f>
        <v>NCBI Nucleotide</v>
      </c>
    </row>
    <row r="1908" spans="1:27" x14ac:dyDescent="0.35">
      <c r="A1908">
        <v>1024997</v>
      </c>
      <c r="B1908">
        <v>1884</v>
      </c>
      <c r="C1908">
        <v>1</v>
      </c>
      <c r="D1908" s="17" t="s">
        <v>155</v>
      </c>
      <c r="E1908" s="17"/>
      <c r="F1908" s="17" t="s">
        <v>156</v>
      </c>
      <c r="G1908" s="17"/>
      <c r="H1908" s="17" t="s">
        <v>692</v>
      </c>
      <c r="I1908" s="17"/>
      <c r="J1908" s="17" t="s">
        <v>693</v>
      </c>
      <c r="K1908" s="17"/>
      <c r="L1908" s="17"/>
      <c r="M1908" s="17"/>
      <c r="N1908" s="17" t="s">
        <v>9068</v>
      </c>
      <c r="O1908" s="17" t="s">
        <v>9092</v>
      </c>
      <c r="P1908" s="17" t="s">
        <v>39447</v>
      </c>
      <c r="Q1908" s="17"/>
      <c r="R1908" s="25" t="str">
        <f>HYPERLINK("https://ictv.global/taxonomy/taxondetails?taxnode_id=202319208","Layangcvirus LY3")</f>
        <v>Layangcvirus LY3</v>
      </c>
      <c r="S1908" s="18" t="s">
        <v>30</v>
      </c>
      <c r="T1908" s="18" t="s">
        <v>39448</v>
      </c>
      <c r="U1908" s="18" t="s">
        <v>39449</v>
      </c>
      <c r="V1908" s="18"/>
      <c r="W1908" s="18" t="s">
        <v>39450</v>
      </c>
      <c r="X1908" s="18" t="s">
        <v>42</v>
      </c>
      <c r="Y1908" s="18" t="s">
        <v>36</v>
      </c>
      <c r="Z1908" s="18" t="s">
        <v>697</v>
      </c>
      <c r="AA1908" s="21" t="str">
        <f>HYPERLINK("https://www.ncbi.nlm.nih.gov/nuccore/ON366412","NCBI Nucleotide")</f>
        <v>NCBI Nucleotide</v>
      </c>
    </row>
    <row r="1909" spans="1:27" x14ac:dyDescent="0.35">
      <c r="A1909">
        <v>1024701</v>
      </c>
      <c r="B1909">
        <v>1885</v>
      </c>
      <c r="C1909">
        <v>1</v>
      </c>
      <c r="D1909" s="17" t="s">
        <v>155</v>
      </c>
      <c r="E1909" s="17"/>
      <c r="F1909" s="17" t="s">
        <v>156</v>
      </c>
      <c r="G1909" s="17"/>
      <c r="H1909" s="17" t="s">
        <v>692</v>
      </c>
      <c r="I1909" s="17"/>
      <c r="J1909" s="17" t="s">
        <v>693</v>
      </c>
      <c r="K1909" s="17"/>
      <c r="L1909" s="17"/>
      <c r="M1909" s="17"/>
      <c r="N1909" s="17" t="s">
        <v>9068</v>
      </c>
      <c r="O1909" s="17" t="s">
        <v>9124</v>
      </c>
      <c r="P1909" s="17" t="s">
        <v>39451</v>
      </c>
      <c r="Q1909" s="17"/>
      <c r="R1909" s="25" t="str">
        <f>HYPERLINK("https://ictv.global/taxonomy/taxondetails?taxnode_id=202319263","Bahkauvirus chedec")</f>
        <v>Bahkauvirus chedec</v>
      </c>
      <c r="S1909" s="18" t="s">
        <v>30</v>
      </c>
      <c r="T1909" s="18" t="s">
        <v>39452</v>
      </c>
      <c r="U1909" s="18"/>
      <c r="V1909" s="18"/>
      <c r="W1909" s="18" t="s">
        <v>48179</v>
      </c>
      <c r="X1909" s="18" t="s">
        <v>42</v>
      </c>
      <c r="Y1909" s="18" t="s">
        <v>36</v>
      </c>
      <c r="Z1909" s="18" t="s">
        <v>697</v>
      </c>
      <c r="AA1909" s="21" t="str">
        <f>HYPERLINK("https://www.ncbi.nlm.nih.gov/nuccore/ON042750","NCBI Nucleotide")</f>
        <v>NCBI Nucleotide</v>
      </c>
    </row>
    <row r="1910" spans="1:27" x14ac:dyDescent="0.35">
      <c r="A1910">
        <v>1002385</v>
      </c>
      <c r="B1910">
        <v>1886</v>
      </c>
      <c r="C1910">
        <v>1</v>
      </c>
      <c r="D1910" s="17" t="s">
        <v>155</v>
      </c>
      <c r="E1910" s="17"/>
      <c r="F1910" s="17" t="s">
        <v>156</v>
      </c>
      <c r="G1910" s="17"/>
      <c r="H1910" s="17" t="s">
        <v>692</v>
      </c>
      <c r="I1910" s="17"/>
      <c r="J1910" s="17" t="s">
        <v>693</v>
      </c>
      <c r="K1910" s="17"/>
      <c r="L1910" s="17"/>
      <c r="M1910" s="17"/>
      <c r="N1910" s="17" t="s">
        <v>9068</v>
      </c>
      <c r="O1910" s="17" t="s">
        <v>9124</v>
      </c>
      <c r="P1910" s="17" t="s">
        <v>9125</v>
      </c>
      <c r="Q1910" s="17"/>
      <c r="R1910" s="25" t="str">
        <f>HYPERLINK("https://ictv.global/taxonomy/taxondetails?taxnode_id=202300598","Beecentumtrevirus B103")</f>
        <v>Beecentumtrevirus B103</v>
      </c>
      <c r="S1910" s="18" t="s">
        <v>30</v>
      </c>
      <c r="T1910" s="18" t="s">
        <v>9126</v>
      </c>
      <c r="U1910" s="18"/>
      <c r="V1910" s="18"/>
      <c r="W1910" s="18" t="s">
        <v>9127</v>
      </c>
      <c r="X1910" s="18" t="s">
        <v>42</v>
      </c>
      <c r="Y1910" s="18" t="s">
        <v>36</v>
      </c>
      <c r="Z1910" s="18" t="s">
        <v>697</v>
      </c>
      <c r="AA1910" s="21" t="str">
        <f>HYPERLINK("https://www.ncbi.nlm.nih.gov/nuccore/X99260","NCBI Nucleotide")</f>
        <v>NCBI Nucleotide</v>
      </c>
    </row>
    <row r="1911" spans="1:27" x14ac:dyDescent="0.35">
      <c r="A1911">
        <v>1002386</v>
      </c>
      <c r="B1911">
        <v>1887</v>
      </c>
      <c r="C1911">
        <v>1</v>
      </c>
      <c r="D1911" s="17" t="s">
        <v>155</v>
      </c>
      <c r="E1911" s="17"/>
      <c r="F1911" s="17" t="s">
        <v>156</v>
      </c>
      <c r="G1911" s="17"/>
      <c r="H1911" s="17" t="s">
        <v>692</v>
      </c>
      <c r="I1911" s="17"/>
      <c r="J1911" s="17" t="s">
        <v>693</v>
      </c>
      <c r="K1911" s="17"/>
      <c r="L1911" s="17"/>
      <c r="M1911" s="17"/>
      <c r="N1911" s="17" t="s">
        <v>9068</v>
      </c>
      <c r="O1911" s="17" t="s">
        <v>9124</v>
      </c>
      <c r="P1911" s="17" t="s">
        <v>9125</v>
      </c>
      <c r="Q1911" s="17"/>
      <c r="R1911" s="25" t="str">
        <f>HYPERLINK("https://ictv.global/taxonomy/taxondetails?taxnode_id=202311729","Beecentumtrevirus Goe1")</f>
        <v>Beecentumtrevirus Goe1</v>
      </c>
      <c r="S1911" s="18" t="s">
        <v>30</v>
      </c>
      <c r="T1911" s="18" t="s">
        <v>9128</v>
      </c>
      <c r="U1911" s="18"/>
      <c r="V1911" s="18"/>
      <c r="W1911" s="18" t="s">
        <v>9129</v>
      </c>
      <c r="X1911" s="18" t="s">
        <v>42</v>
      </c>
      <c r="Y1911" s="18" t="s">
        <v>36</v>
      </c>
      <c r="Z1911" s="18" t="s">
        <v>697</v>
      </c>
      <c r="AA1911" s="21" t="str">
        <f>HYPERLINK("https://www.ncbi.nlm.nih.gov/nuccore/KU831549","NCBI Nucleotide")</f>
        <v>NCBI Nucleotide</v>
      </c>
    </row>
    <row r="1912" spans="1:27" x14ac:dyDescent="0.35">
      <c r="A1912">
        <v>1002387</v>
      </c>
      <c r="B1912">
        <v>1888</v>
      </c>
      <c r="C1912">
        <v>1</v>
      </c>
      <c r="D1912" s="17" t="s">
        <v>155</v>
      </c>
      <c r="E1912" s="17"/>
      <c r="F1912" s="17" t="s">
        <v>156</v>
      </c>
      <c r="G1912" s="17"/>
      <c r="H1912" s="17" t="s">
        <v>692</v>
      </c>
      <c r="I1912" s="17"/>
      <c r="J1912" s="17" t="s">
        <v>693</v>
      </c>
      <c r="K1912" s="17"/>
      <c r="L1912" s="17"/>
      <c r="M1912" s="17"/>
      <c r="N1912" s="17" t="s">
        <v>9068</v>
      </c>
      <c r="O1912" s="17" t="s">
        <v>9124</v>
      </c>
      <c r="P1912" s="17" t="s">
        <v>9125</v>
      </c>
      <c r="Q1912" s="17"/>
      <c r="R1912" s="25" t="str">
        <f>HYPERLINK("https://ictv.global/taxonomy/taxondetails?taxnode_id=202311730","Beecentumtrevirus Nf")</f>
        <v>Beecentumtrevirus Nf</v>
      </c>
      <c r="S1912" s="18" t="s">
        <v>30</v>
      </c>
      <c r="T1912" s="18" t="s">
        <v>9130</v>
      </c>
      <c r="U1912" s="18"/>
      <c r="V1912" s="18"/>
      <c r="W1912" s="18" t="s">
        <v>9131</v>
      </c>
      <c r="X1912" s="18" t="s">
        <v>42</v>
      </c>
      <c r="Y1912" s="18" t="s">
        <v>36</v>
      </c>
      <c r="Z1912" s="18" t="s">
        <v>697</v>
      </c>
      <c r="AA1912" s="21" t="str">
        <f>HYPERLINK("https://www.ncbi.nlm.nih.gov/nuccore/EU622808","NCBI Nucleotide")</f>
        <v>NCBI Nucleotide</v>
      </c>
    </row>
    <row r="1913" spans="1:27" x14ac:dyDescent="0.35">
      <c r="A1913">
        <v>1002388</v>
      </c>
      <c r="B1913">
        <v>1889</v>
      </c>
      <c r="C1913">
        <v>1</v>
      </c>
      <c r="D1913" s="17" t="s">
        <v>155</v>
      </c>
      <c r="E1913" s="17"/>
      <c r="F1913" s="17" t="s">
        <v>156</v>
      </c>
      <c r="G1913" s="17"/>
      <c r="H1913" s="17" t="s">
        <v>692</v>
      </c>
      <c r="I1913" s="17"/>
      <c r="J1913" s="17" t="s">
        <v>693</v>
      </c>
      <c r="K1913" s="17"/>
      <c r="L1913" s="17"/>
      <c r="M1913" s="17"/>
      <c r="N1913" s="17" t="s">
        <v>9068</v>
      </c>
      <c r="O1913" s="17" t="s">
        <v>9124</v>
      </c>
      <c r="P1913" s="17" t="s">
        <v>9132</v>
      </c>
      <c r="Q1913" s="17"/>
      <c r="R1913" s="25" t="str">
        <f>HYPERLINK("https://ictv.global/taxonomy/taxondetails?taxnode_id=202311732","Salasvirus Goe6")</f>
        <v>Salasvirus Goe6</v>
      </c>
      <c r="S1913" s="18" t="s">
        <v>30</v>
      </c>
      <c r="T1913" s="18" t="s">
        <v>9133</v>
      </c>
      <c r="U1913" s="18"/>
      <c r="V1913" s="18"/>
      <c r="W1913" s="18" t="s">
        <v>9134</v>
      </c>
      <c r="X1913" s="18" t="s">
        <v>42</v>
      </c>
      <c r="Y1913" s="18" t="s">
        <v>36</v>
      </c>
      <c r="Z1913" s="18" t="s">
        <v>697</v>
      </c>
      <c r="AA1913" s="21" t="str">
        <f>HYPERLINK("https://www.ncbi.nlm.nih.gov/nuccore/MF407276","NCBI Nucleotide")</f>
        <v>NCBI Nucleotide</v>
      </c>
    </row>
    <row r="1914" spans="1:27" x14ac:dyDescent="0.35">
      <c r="A1914">
        <v>1002389</v>
      </c>
      <c r="B1914">
        <v>1890</v>
      </c>
      <c r="C1914">
        <v>1</v>
      </c>
      <c r="D1914" s="17" t="s">
        <v>155</v>
      </c>
      <c r="E1914" s="17"/>
      <c r="F1914" s="17" t="s">
        <v>156</v>
      </c>
      <c r="G1914" s="17"/>
      <c r="H1914" s="17" t="s">
        <v>692</v>
      </c>
      <c r="I1914" s="17"/>
      <c r="J1914" s="17" t="s">
        <v>693</v>
      </c>
      <c r="K1914" s="17"/>
      <c r="L1914" s="17"/>
      <c r="M1914" s="17"/>
      <c r="N1914" s="17" t="s">
        <v>9068</v>
      </c>
      <c r="O1914" s="17" t="s">
        <v>9124</v>
      </c>
      <c r="P1914" s="17" t="s">
        <v>9132</v>
      </c>
      <c r="Q1914" s="17"/>
      <c r="R1914" s="25" t="str">
        <f>HYPERLINK("https://ictv.global/taxonomy/taxondetails?taxnode_id=202311733","Salasvirus Gxv1")</f>
        <v>Salasvirus Gxv1</v>
      </c>
      <c r="S1914" s="18" t="s">
        <v>30</v>
      </c>
      <c r="T1914" s="18" t="s">
        <v>9135</v>
      </c>
      <c r="U1914" s="18"/>
      <c r="V1914" s="18"/>
      <c r="W1914" s="18" t="s">
        <v>9136</v>
      </c>
      <c r="X1914" s="18" t="s">
        <v>42</v>
      </c>
      <c r="Y1914" s="18" t="s">
        <v>36</v>
      </c>
      <c r="Z1914" s="18" t="s">
        <v>697</v>
      </c>
      <c r="AA1914" s="21" t="str">
        <f>HYPERLINK("https://www.ncbi.nlm.nih.gov/nuccore/MT459794","NCBI Nucleotide")</f>
        <v>NCBI Nucleotide</v>
      </c>
    </row>
    <row r="1915" spans="1:27" x14ac:dyDescent="0.35">
      <c r="A1915">
        <v>1002390</v>
      </c>
      <c r="B1915">
        <v>1891</v>
      </c>
      <c r="C1915">
        <v>1</v>
      </c>
      <c r="D1915" s="17" t="s">
        <v>155</v>
      </c>
      <c r="E1915" s="17"/>
      <c r="F1915" s="17" t="s">
        <v>156</v>
      </c>
      <c r="G1915" s="17"/>
      <c r="H1915" s="17" t="s">
        <v>692</v>
      </c>
      <c r="I1915" s="17"/>
      <c r="J1915" s="17" t="s">
        <v>693</v>
      </c>
      <c r="K1915" s="17"/>
      <c r="L1915" s="17"/>
      <c r="M1915" s="17"/>
      <c r="N1915" s="17" t="s">
        <v>9068</v>
      </c>
      <c r="O1915" s="17" t="s">
        <v>9124</v>
      </c>
      <c r="P1915" s="17" t="s">
        <v>9132</v>
      </c>
      <c r="Q1915" s="17"/>
      <c r="R1915" s="25" t="str">
        <f>HYPERLINK("https://ictv.global/taxonomy/taxondetails?taxnode_id=202300600","Salasvirus phi29")</f>
        <v>Salasvirus phi29</v>
      </c>
      <c r="S1915" s="18" t="s">
        <v>30</v>
      </c>
      <c r="T1915" s="18" t="s">
        <v>9137</v>
      </c>
      <c r="U1915" s="18"/>
      <c r="V1915" s="18"/>
      <c r="W1915" s="18" t="s">
        <v>9138</v>
      </c>
      <c r="X1915" s="18" t="s">
        <v>42</v>
      </c>
      <c r="Y1915" s="18" t="s">
        <v>36</v>
      </c>
      <c r="Z1915" s="18" t="s">
        <v>697</v>
      </c>
      <c r="AA1915" s="21" t="str">
        <f>HYPERLINK("https://www.ncbi.nlm.nih.gov/nuccore/EU771092","NCBI Nucleotide")</f>
        <v>NCBI Nucleotide</v>
      </c>
    </row>
    <row r="1916" spans="1:27" x14ac:dyDescent="0.35">
      <c r="A1916">
        <v>1002391</v>
      </c>
      <c r="B1916">
        <v>1892</v>
      </c>
      <c r="C1916">
        <v>1</v>
      </c>
      <c r="D1916" s="17" t="s">
        <v>155</v>
      </c>
      <c r="E1916" s="17"/>
      <c r="F1916" s="17" t="s">
        <v>156</v>
      </c>
      <c r="G1916" s="17"/>
      <c r="H1916" s="17" t="s">
        <v>692</v>
      </c>
      <c r="I1916" s="17"/>
      <c r="J1916" s="17" t="s">
        <v>693</v>
      </c>
      <c r="K1916" s="17"/>
      <c r="L1916" s="17"/>
      <c r="M1916" s="17"/>
      <c r="N1916" s="17" t="s">
        <v>9068</v>
      </c>
      <c r="O1916" s="17" t="s">
        <v>9124</v>
      </c>
      <c r="P1916" s="17" t="s">
        <v>9132</v>
      </c>
      <c r="Q1916" s="17"/>
      <c r="R1916" s="25" t="str">
        <f>HYPERLINK("https://ictv.global/taxonomy/taxondetails?taxnode_id=202311731","Salasvirus PZA")</f>
        <v>Salasvirus PZA</v>
      </c>
      <c r="S1916" s="18" t="s">
        <v>30</v>
      </c>
      <c r="T1916" s="18" t="s">
        <v>9139</v>
      </c>
      <c r="U1916" s="18"/>
      <c r="V1916" s="18"/>
      <c r="W1916" s="18" t="s">
        <v>9140</v>
      </c>
      <c r="X1916" s="18" t="s">
        <v>42</v>
      </c>
      <c r="Y1916" s="18" t="s">
        <v>36</v>
      </c>
      <c r="Z1916" s="18" t="s">
        <v>697</v>
      </c>
      <c r="AA1916" s="21" t="str">
        <f>HYPERLINK("https://www.ncbi.nlm.nih.gov/nuccore/M11813","NCBI Nucleotide")</f>
        <v>NCBI Nucleotide</v>
      </c>
    </row>
    <row r="1917" spans="1:27" x14ac:dyDescent="0.35">
      <c r="A1917">
        <v>1002392</v>
      </c>
      <c r="B1917">
        <v>1893</v>
      </c>
      <c r="C1917">
        <v>1</v>
      </c>
      <c r="D1917" s="17" t="s">
        <v>155</v>
      </c>
      <c r="E1917" s="17"/>
      <c r="F1917" s="17" t="s">
        <v>156</v>
      </c>
      <c r="G1917" s="17"/>
      <c r="H1917" s="17" t="s">
        <v>692</v>
      </c>
      <c r="I1917" s="17"/>
      <c r="J1917" s="17" t="s">
        <v>693</v>
      </c>
      <c r="K1917" s="17"/>
      <c r="L1917" s="17"/>
      <c r="M1917" s="17"/>
      <c r="N1917" s="17" t="s">
        <v>9068</v>
      </c>
      <c r="O1917" s="17" t="s">
        <v>9141</v>
      </c>
      <c r="P1917" s="17" t="s">
        <v>9142</v>
      </c>
      <c r="Q1917" s="17"/>
      <c r="R1917" s="25" t="str">
        <f>HYPERLINK("https://ictv.global/taxonomy/taxondetails?taxnode_id=202300599","Gaunavirus GA1")</f>
        <v>Gaunavirus GA1</v>
      </c>
      <c r="S1917" s="18" t="s">
        <v>30</v>
      </c>
      <c r="T1917" s="18" t="s">
        <v>9143</v>
      </c>
      <c r="U1917" s="18"/>
      <c r="V1917" s="18"/>
      <c r="W1917" s="18" t="s">
        <v>9144</v>
      </c>
      <c r="X1917" s="18" t="s">
        <v>42</v>
      </c>
      <c r="Y1917" s="18" t="s">
        <v>36</v>
      </c>
      <c r="Z1917" s="18" t="s">
        <v>697</v>
      </c>
      <c r="AA1917" s="21" t="str">
        <f>HYPERLINK("https://www.ncbi.nlm.nih.gov/nuccore/X96987","NCBI Nucleotide")</f>
        <v>NCBI Nucleotide</v>
      </c>
    </row>
    <row r="1918" spans="1:27" x14ac:dyDescent="0.35">
      <c r="A1918">
        <v>1002393</v>
      </c>
      <c r="B1918">
        <v>1894</v>
      </c>
      <c r="C1918">
        <v>1</v>
      </c>
      <c r="D1918" s="17" t="s">
        <v>155</v>
      </c>
      <c r="E1918" s="17"/>
      <c r="F1918" s="17" t="s">
        <v>156</v>
      </c>
      <c r="G1918" s="17"/>
      <c r="H1918" s="17" t="s">
        <v>692</v>
      </c>
      <c r="I1918" s="17"/>
      <c r="J1918" s="17" t="s">
        <v>693</v>
      </c>
      <c r="K1918" s="17"/>
      <c r="L1918" s="17"/>
      <c r="M1918" s="17"/>
      <c r="N1918" s="17" t="s">
        <v>9068</v>
      </c>
      <c r="O1918" s="17" t="s">
        <v>9141</v>
      </c>
      <c r="P1918" s="17" t="s">
        <v>9142</v>
      </c>
      <c r="Q1918" s="17"/>
      <c r="R1918" s="25" t="str">
        <f>HYPERLINK("https://ictv.global/taxonomy/taxondetails?taxnode_id=202311753","Gaunavirus SRT01hs")</f>
        <v>Gaunavirus SRT01hs</v>
      </c>
      <c r="S1918" s="18" t="s">
        <v>30</v>
      </c>
      <c r="T1918" s="18" t="s">
        <v>9145</v>
      </c>
      <c r="U1918" s="18"/>
      <c r="V1918" s="18"/>
      <c r="W1918" s="18" t="s">
        <v>9146</v>
      </c>
      <c r="X1918" s="18" t="s">
        <v>42</v>
      </c>
      <c r="Y1918" s="18" t="s">
        <v>36</v>
      </c>
      <c r="Z1918" s="18" t="s">
        <v>697</v>
      </c>
      <c r="AA1918" s="21" t="str">
        <f>HYPERLINK("https://www.ncbi.nlm.nih.gov/nuccore/MN857617","NCBI Nucleotide")</f>
        <v>NCBI Nucleotide</v>
      </c>
    </row>
    <row r="1919" spans="1:27" x14ac:dyDescent="0.35">
      <c r="A1919">
        <v>1024569</v>
      </c>
      <c r="B1919">
        <v>1895</v>
      </c>
      <c r="C1919">
        <v>1</v>
      </c>
      <c r="D1919" s="17" t="s">
        <v>155</v>
      </c>
      <c r="E1919" s="17"/>
      <c r="F1919" s="17" t="s">
        <v>156</v>
      </c>
      <c r="G1919" s="17"/>
      <c r="H1919" s="17" t="s">
        <v>692</v>
      </c>
      <c r="I1919" s="17"/>
      <c r="J1919" s="17" t="s">
        <v>693</v>
      </c>
      <c r="K1919" s="17"/>
      <c r="L1919" s="17"/>
      <c r="M1919" s="17"/>
      <c r="N1919" s="17" t="s">
        <v>9068</v>
      </c>
      <c r="O1919" s="17" t="s">
        <v>9141</v>
      </c>
      <c r="P1919" s="17" t="s">
        <v>9142</v>
      </c>
      <c r="Q1919" s="17"/>
      <c r="R1919" s="25" t="str">
        <f>HYPERLINK("https://ictv.global/taxonomy/taxondetails?taxnode_id=202319264","Gaunavirus syybuna")</f>
        <v>Gaunavirus syybuna</v>
      </c>
      <c r="S1919" s="18" t="s">
        <v>30</v>
      </c>
      <c r="T1919" s="18" t="s">
        <v>39453</v>
      </c>
      <c r="U1919" s="18"/>
      <c r="V1919" s="18"/>
      <c r="W1919" s="18" t="s">
        <v>48180</v>
      </c>
      <c r="X1919" s="18" t="s">
        <v>42</v>
      </c>
      <c r="Y1919" s="18" t="s">
        <v>36</v>
      </c>
      <c r="Z1919" s="18" t="s">
        <v>697</v>
      </c>
      <c r="AA1919" s="21" t="str">
        <f>HYPERLINK("https://www.ncbi.nlm.nih.gov/nuccore/OP433492","NCBI Nucleotide")</f>
        <v>NCBI Nucleotide</v>
      </c>
    </row>
    <row r="1920" spans="1:27" x14ac:dyDescent="0.35">
      <c r="A1920">
        <v>1002394</v>
      </c>
      <c r="B1920">
        <v>1896</v>
      </c>
      <c r="C1920">
        <v>1</v>
      </c>
      <c r="D1920" s="17" t="s">
        <v>155</v>
      </c>
      <c r="E1920" s="17"/>
      <c r="F1920" s="17" t="s">
        <v>156</v>
      </c>
      <c r="G1920" s="17"/>
      <c r="H1920" s="17" t="s">
        <v>692</v>
      </c>
      <c r="I1920" s="17"/>
      <c r="J1920" s="17" t="s">
        <v>693</v>
      </c>
      <c r="K1920" s="17"/>
      <c r="L1920" s="17"/>
      <c r="M1920" s="17"/>
      <c r="N1920" s="17" t="s">
        <v>9068</v>
      </c>
      <c r="O1920" s="17" t="s">
        <v>9141</v>
      </c>
      <c r="P1920" s="17" t="s">
        <v>9147</v>
      </c>
      <c r="Q1920" s="17"/>
      <c r="R1920" s="25" t="str">
        <f>HYPERLINK("https://ictv.global/taxonomy/taxondetails?taxnode_id=202311751","Karezivirus karezi")</f>
        <v>Karezivirus karezi</v>
      </c>
      <c r="S1920" s="18" t="s">
        <v>30</v>
      </c>
      <c r="T1920" s="18" t="s">
        <v>9148</v>
      </c>
      <c r="U1920" s="18"/>
      <c r="V1920" s="18"/>
      <c r="W1920" s="18" t="s">
        <v>9149</v>
      </c>
      <c r="X1920" s="18" t="s">
        <v>42</v>
      </c>
      <c r="Y1920" s="18" t="s">
        <v>36</v>
      </c>
      <c r="Z1920" s="18" t="s">
        <v>697</v>
      </c>
      <c r="AA1920" s="21" t="str">
        <f>HYPERLINK("https://www.ncbi.nlm.nih.gov/nuccore/MN082625","NCBI Nucleotide")</f>
        <v>NCBI Nucleotide</v>
      </c>
    </row>
    <row r="1921" spans="1:27" x14ac:dyDescent="0.35">
      <c r="A1921">
        <v>1002395</v>
      </c>
      <c r="B1921">
        <v>1897</v>
      </c>
      <c r="C1921">
        <v>1</v>
      </c>
      <c r="D1921" s="17" t="s">
        <v>155</v>
      </c>
      <c r="E1921" s="17"/>
      <c r="F1921" s="17" t="s">
        <v>156</v>
      </c>
      <c r="G1921" s="17"/>
      <c r="H1921" s="17" t="s">
        <v>692</v>
      </c>
      <c r="I1921" s="17"/>
      <c r="J1921" s="17" t="s">
        <v>693</v>
      </c>
      <c r="K1921" s="17"/>
      <c r="L1921" s="17"/>
      <c r="M1921" s="17"/>
      <c r="N1921" s="17" t="s">
        <v>9068</v>
      </c>
      <c r="O1921" s="17"/>
      <c r="P1921" s="17" t="s">
        <v>9069</v>
      </c>
      <c r="Q1921" s="17"/>
      <c r="R1921" s="25" t="str">
        <f>HYPERLINK("https://ictv.global/taxonomy/taxondetails?taxnode_id=202311755","Bundooravirus PumA1")</f>
        <v>Bundooravirus PumA1</v>
      </c>
      <c r="S1921" s="18" t="s">
        <v>30</v>
      </c>
      <c r="T1921" s="18" t="s">
        <v>9070</v>
      </c>
      <c r="U1921" s="18"/>
      <c r="V1921" s="18"/>
      <c r="W1921" s="18" t="s">
        <v>9071</v>
      </c>
      <c r="X1921" s="18" t="s">
        <v>42</v>
      </c>
      <c r="Y1921" s="18" t="s">
        <v>36</v>
      </c>
      <c r="Z1921" s="18" t="s">
        <v>697</v>
      </c>
      <c r="AA1921" s="21" t="str">
        <f>HYPERLINK("https://www.ncbi.nlm.nih.gov/nuccore/MN524844","NCBI Nucleotide")</f>
        <v>NCBI Nucleotide</v>
      </c>
    </row>
    <row r="1922" spans="1:27" x14ac:dyDescent="0.35">
      <c r="A1922">
        <v>1002396</v>
      </c>
      <c r="B1922">
        <v>1898</v>
      </c>
      <c r="C1922">
        <v>1</v>
      </c>
      <c r="D1922" s="17" t="s">
        <v>155</v>
      </c>
      <c r="E1922" s="17"/>
      <c r="F1922" s="17" t="s">
        <v>156</v>
      </c>
      <c r="G1922" s="17"/>
      <c r="H1922" s="17" t="s">
        <v>692</v>
      </c>
      <c r="I1922" s="17"/>
      <c r="J1922" s="17" t="s">
        <v>693</v>
      </c>
      <c r="K1922" s="17"/>
      <c r="L1922" s="17"/>
      <c r="M1922" s="17"/>
      <c r="N1922" s="17" t="s">
        <v>9068</v>
      </c>
      <c r="O1922" s="17"/>
      <c r="P1922" s="17" t="s">
        <v>9069</v>
      </c>
      <c r="Q1922" s="17"/>
      <c r="R1922" s="25" t="str">
        <f>HYPERLINK("https://ictv.global/taxonomy/taxondetails?taxnode_id=202311756","Bundooravirus PumA2")</f>
        <v>Bundooravirus PumA2</v>
      </c>
      <c r="S1922" s="18" t="s">
        <v>30</v>
      </c>
      <c r="T1922" s="18" t="s">
        <v>9072</v>
      </c>
      <c r="U1922" s="18"/>
      <c r="V1922" s="18"/>
      <c r="W1922" s="18" t="s">
        <v>9073</v>
      </c>
      <c r="X1922" s="18" t="s">
        <v>42</v>
      </c>
      <c r="Y1922" s="18" t="s">
        <v>36</v>
      </c>
      <c r="Z1922" s="18" t="s">
        <v>697</v>
      </c>
      <c r="AA1922" s="21" t="str">
        <f>HYPERLINK("https://www.ncbi.nlm.nih.gov/nuccore/MN524845","NCBI Nucleotide")</f>
        <v>NCBI Nucleotide</v>
      </c>
    </row>
    <row r="1923" spans="1:27" x14ac:dyDescent="0.35">
      <c r="A1923">
        <v>1002397</v>
      </c>
      <c r="B1923">
        <v>1899</v>
      </c>
      <c r="C1923">
        <v>1</v>
      </c>
      <c r="D1923" s="17" t="s">
        <v>155</v>
      </c>
      <c r="E1923" s="17"/>
      <c r="F1923" s="17" t="s">
        <v>156</v>
      </c>
      <c r="G1923" s="17"/>
      <c r="H1923" s="17" t="s">
        <v>692</v>
      </c>
      <c r="I1923" s="17"/>
      <c r="J1923" s="17" t="s">
        <v>693</v>
      </c>
      <c r="K1923" s="17"/>
      <c r="L1923" s="17"/>
      <c r="M1923" s="17"/>
      <c r="N1923" s="17" t="s">
        <v>9068</v>
      </c>
      <c r="O1923" s="17"/>
      <c r="P1923" s="17" t="s">
        <v>9069</v>
      </c>
      <c r="Q1923" s="17"/>
      <c r="R1923" s="25" t="str">
        <f>HYPERLINK("https://ictv.global/taxonomy/taxondetails?taxnode_id=202312983","Bundooravirus whyphy")</f>
        <v>Bundooravirus whyphy</v>
      </c>
      <c r="S1923" s="18" t="s">
        <v>30</v>
      </c>
      <c r="T1923" s="18" t="s">
        <v>9074</v>
      </c>
      <c r="U1923" s="18"/>
      <c r="V1923" s="18"/>
      <c r="W1923" s="18" t="s">
        <v>9075</v>
      </c>
      <c r="X1923" s="18" t="s">
        <v>42</v>
      </c>
      <c r="Y1923" s="18" t="s">
        <v>36</v>
      </c>
      <c r="Z1923" s="18" t="s">
        <v>697</v>
      </c>
      <c r="AA1923" s="21" t="str">
        <f>HYPERLINK("https://www.ncbi.nlm.nih.gov/nuccore/MW419775","NCBI Nucleotide")</f>
        <v>NCBI Nucleotide</v>
      </c>
    </row>
    <row r="1924" spans="1:27" x14ac:dyDescent="0.35">
      <c r="A1924">
        <v>1002400</v>
      </c>
      <c r="B1924">
        <v>1900</v>
      </c>
      <c r="C1924">
        <v>1</v>
      </c>
      <c r="D1924" s="17" t="s">
        <v>155</v>
      </c>
      <c r="E1924" s="17"/>
      <c r="F1924" s="17" t="s">
        <v>156</v>
      </c>
      <c r="G1924" s="17"/>
      <c r="H1924" s="17" t="s">
        <v>692</v>
      </c>
      <c r="I1924" s="17"/>
      <c r="J1924" s="17" t="s">
        <v>693</v>
      </c>
      <c r="K1924" s="17"/>
      <c r="L1924" s="17"/>
      <c r="M1924" s="17"/>
      <c r="N1924" s="17" t="s">
        <v>9068</v>
      </c>
      <c r="O1924" s="17"/>
      <c r="P1924" s="17" t="s">
        <v>9081</v>
      </c>
      <c r="Q1924" s="17"/>
      <c r="R1924" s="25" t="str">
        <f>HYPERLINK("https://ictv.global/taxonomy/taxondetails?taxnode_id=202311761","Harambevirus beachbum")</f>
        <v>Harambevirus beachbum</v>
      </c>
      <c r="S1924" s="18" t="s">
        <v>30</v>
      </c>
      <c r="T1924" s="18" t="s">
        <v>9082</v>
      </c>
      <c r="U1924" s="18"/>
      <c r="V1924" s="18"/>
      <c r="W1924" s="18" t="s">
        <v>9083</v>
      </c>
      <c r="X1924" s="18" t="s">
        <v>42</v>
      </c>
      <c r="Y1924" s="18" t="s">
        <v>36</v>
      </c>
      <c r="Z1924" s="18" t="s">
        <v>697</v>
      </c>
      <c r="AA1924" s="21" t="str">
        <f>HYPERLINK("https://www.ncbi.nlm.nih.gov/nuccore/KY921761","NCBI Nucleotide")</f>
        <v>NCBI Nucleotide</v>
      </c>
    </row>
    <row r="1925" spans="1:27" x14ac:dyDescent="0.35">
      <c r="A1925">
        <v>1002401</v>
      </c>
      <c r="B1925">
        <v>1901</v>
      </c>
      <c r="C1925">
        <v>1</v>
      </c>
      <c r="D1925" s="17" t="s">
        <v>155</v>
      </c>
      <c r="E1925" s="17"/>
      <c r="F1925" s="17" t="s">
        <v>156</v>
      </c>
      <c r="G1925" s="17"/>
      <c r="H1925" s="17" t="s">
        <v>692</v>
      </c>
      <c r="I1925" s="17"/>
      <c r="J1925" s="17" t="s">
        <v>693</v>
      </c>
      <c r="K1925" s="17"/>
      <c r="L1925" s="17"/>
      <c r="M1925" s="17"/>
      <c r="N1925" s="17" t="s">
        <v>9068</v>
      </c>
      <c r="O1925" s="17"/>
      <c r="P1925" s="17" t="s">
        <v>9081</v>
      </c>
      <c r="Q1925" s="17"/>
      <c r="R1925" s="25" t="str">
        <f>HYPERLINK("https://ictv.global/taxonomy/taxondetails?taxnode_id=202311760","Harambevirus harambe")</f>
        <v>Harambevirus harambe</v>
      </c>
      <c r="S1925" s="18" t="s">
        <v>30</v>
      </c>
      <c r="T1925" s="18" t="s">
        <v>9084</v>
      </c>
      <c r="U1925" s="18"/>
      <c r="V1925" s="18"/>
      <c r="W1925" s="18" t="s">
        <v>9085</v>
      </c>
      <c r="X1925" s="18" t="s">
        <v>42</v>
      </c>
      <c r="Y1925" s="18" t="s">
        <v>36</v>
      </c>
      <c r="Z1925" s="18" t="s">
        <v>697</v>
      </c>
      <c r="AA1925" s="21" t="str">
        <f>HYPERLINK("https://www.ncbi.nlm.nih.gov/nuccore/KY821088","NCBI Nucleotide")</f>
        <v>NCBI Nucleotide</v>
      </c>
    </row>
    <row r="1926" spans="1:27" x14ac:dyDescent="0.35">
      <c r="A1926">
        <v>1002402</v>
      </c>
      <c r="B1926">
        <v>1902</v>
      </c>
      <c r="C1926">
        <v>1</v>
      </c>
      <c r="D1926" s="17" t="s">
        <v>155</v>
      </c>
      <c r="E1926" s="17"/>
      <c r="F1926" s="17" t="s">
        <v>156</v>
      </c>
      <c r="G1926" s="17"/>
      <c r="H1926" s="17" t="s">
        <v>692</v>
      </c>
      <c r="I1926" s="17"/>
      <c r="J1926" s="17" t="s">
        <v>693</v>
      </c>
      <c r="K1926" s="17"/>
      <c r="L1926" s="17"/>
      <c r="M1926" s="17"/>
      <c r="N1926" s="17" t="s">
        <v>9068</v>
      </c>
      <c r="O1926" s="17"/>
      <c r="P1926" s="17" t="s">
        <v>9086</v>
      </c>
      <c r="Q1926" s="17"/>
      <c r="R1926" s="25" t="str">
        <f>HYPERLINK("https://ictv.global/taxonomy/taxondetails?taxnode_id=202312346","Huangshavirus dlcuna")</f>
        <v>Huangshavirus dlcuna</v>
      </c>
      <c r="S1926" s="18" t="s">
        <v>30</v>
      </c>
      <c r="T1926" s="18" t="s">
        <v>9087</v>
      </c>
      <c r="U1926" s="18"/>
      <c r="V1926" s="18"/>
      <c r="W1926" s="18" t="s">
        <v>9088</v>
      </c>
      <c r="X1926" s="18" t="s">
        <v>42</v>
      </c>
      <c r="Y1926" s="18" t="s">
        <v>36</v>
      </c>
      <c r="Z1926" s="18" t="s">
        <v>697</v>
      </c>
      <c r="AA1926" s="21" t="str">
        <f>HYPERLINK("https://www.ncbi.nlm.nih.gov/nuccore/MW012634","NCBI Nucleotide")</f>
        <v>NCBI Nucleotide</v>
      </c>
    </row>
    <row r="1927" spans="1:27" x14ac:dyDescent="0.35">
      <c r="A1927">
        <v>1002403</v>
      </c>
      <c r="B1927">
        <v>1903</v>
      </c>
      <c r="C1927">
        <v>1</v>
      </c>
      <c r="D1927" s="17" t="s">
        <v>155</v>
      </c>
      <c r="E1927" s="17"/>
      <c r="F1927" s="17" t="s">
        <v>156</v>
      </c>
      <c r="G1927" s="17"/>
      <c r="H1927" s="17" t="s">
        <v>692</v>
      </c>
      <c r="I1927" s="17"/>
      <c r="J1927" s="17" t="s">
        <v>693</v>
      </c>
      <c r="K1927" s="17"/>
      <c r="L1927" s="17"/>
      <c r="M1927" s="17"/>
      <c r="N1927" s="17" t="s">
        <v>9068</v>
      </c>
      <c r="O1927" s="17"/>
      <c r="P1927" s="17" t="s">
        <v>9089</v>
      </c>
      <c r="Q1927" s="17"/>
      <c r="R1927" s="25" t="str">
        <f>HYPERLINK("https://ictv.global/taxonomy/taxondetails?taxnode_id=202311758","Mingyongvirus VMY22")</f>
        <v>Mingyongvirus VMY22</v>
      </c>
      <c r="S1927" s="18" t="s">
        <v>30</v>
      </c>
      <c r="T1927" s="18" t="s">
        <v>9090</v>
      </c>
      <c r="U1927" s="18"/>
      <c r="V1927" s="18"/>
      <c r="W1927" s="18" t="s">
        <v>9091</v>
      </c>
      <c r="X1927" s="18" t="s">
        <v>42</v>
      </c>
      <c r="Y1927" s="18" t="s">
        <v>36</v>
      </c>
      <c r="Z1927" s="18" t="s">
        <v>697</v>
      </c>
      <c r="AA1927" s="21" t="str">
        <f>HYPERLINK("https://www.ncbi.nlm.nih.gov/nuccore/KT780304","NCBI Nucleotide")</f>
        <v>NCBI Nucleotide</v>
      </c>
    </row>
    <row r="1928" spans="1:27" x14ac:dyDescent="0.35">
      <c r="A1928">
        <v>1002404</v>
      </c>
      <c r="B1928">
        <v>1904</v>
      </c>
      <c r="C1928">
        <v>1</v>
      </c>
      <c r="D1928" s="17" t="s">
        <v>155</v>
      </c>
      <c r="E1928" s="17"/>
      <c r="F1928" s="17" t="s">
        <v>156</v>
      </c>
      <c r="G1928" s="17"/>
      <c r="H1928" s="17" t="s">
        <v>692</v>
      </c>
      <c r="I1928" s="17"/>
      <c r="J1928" s="17" t="s">
        <v>693</v>
      </c>
      <c r="K1928" s="17"/>
      <c r="L1928" s="17"/>
      <c r="M1928" s="17"/>
      <c r="N1928" s="17" t="s">
        <v>9150</v>
      </c>
      <c r="O1928" s="17"/>
      <c r="P1928" s="17" t="s">
        <v>9151</v>
      </c>
      <c r="Q1928" s="17"/>
      <c r="R1928" s="25" t="str">
        <f>HYPERLINK("https://ictv.global/taxonomy/taxondetails?taxnode_id=202312177","Halohivirus suolae")</f>
        <v>Halohivirus suolae</v>
      </c>
      <c r="S1928" s="18" t="s">
        <v>30</v>
      </c>
      <c r="T1928" s="18" t="s">
        <v>9152</v>
      </c>
      <c r="U1928" s="18" t="s">
        <v>9153</v>
      </c>
      <c r="V1928" s="18"/>
      <c r="W1928" s="18" t="s">
        <v>9154</v>
      </c>
      <c r="X1928" s="18" t="s">
        <v>42</v>
      </c>
      <c r="Y1928" s="18" t="s">
        <v>36</v>
      </c>
      <c r="Z1928" s="18" t="s">
        <v>37</v>
      </c>
      <c r="AA1928" s="21" t="str">
        <f>HYPERLINK("https://www.ncbi.nlm.nih.gov/nuccore/KC292024","NCBI Nucleotide")</f>
        <v>NCBI Nucleotide</v>
      </c>
    </row>
    <row r="1929" spans="1:27" x14ac:dyDescent="0.35">
      <c r="A1929">
        <v>1002405</v>
      </c>
      <c r="B1929">
        <v>1905</v>
      </c>
      <c r="C1929">
        <v>1</v>
      </c>
      <c r="D1929" s="17" t="s">
        <v>155</v>
      </c>
      <c r="E1929" s="17"/>
      <c r="F1929" s="17" t="s">
        <v>156</v>
      </c>
      <c r="G1929" s="17"/>
      <c r="H1929" s="17" t="s">
        <v>692</v>
      </c>
      <c r="I1929" s="17"/>
      <c r="J1929" s="17" t="s">
        <v>693</v>
      </c>
      <c r="K1929" s="17"/>
      <c r="L1929" s="17"/>
      <c r="M1929" s="17"/>
      <c r="N1929" s="17" t="s">
        <v>9150</v>
      </c>
      <c r="O1929" s="17"/>
      <c r="P1929" s="17" t="s">
        <v>9155</v>
      </c>
      <c r="Q1929" s="17"/>
      <c r="R1929" s="25" t="str">
        <f>HYPERLINK("https://ictv.global/taxonomy/taxondetails?taxnode_id=202312176","Samsavirus crystalli")</f>
        <v>Samsavirus crystalli</v>
      </c>
      <c r="S1929" s="18" t="s">
        <v>30</v>
      </c>
      <c r="T1929" s="18" t="s">
        <v>9156</v>
      </c>
      <c r="U1929" s="18" t="s">
        <v>9157</v>
      </c>
      <c r="V1929" s="18"/>
      <c r="W1929" s="18" t="s">
        <v>9158</v>
      </c>
      <c r="X1929" s="18" t="s">
        <v>42</v>
      </c>
      <c r="Y1929" s="18" t="s">
        <v>36</v>
      </c>
      <c r="Z1929" s="18" t="s">
        <v>37</v>
      </c>
      <c r="AA1929" s="21" t="str">
        <f>HYPERLINK("https://www.ncbi.nlm.nih.gov/nuccore/KC292028","NCBI Nucleotide")</f>
        <v>NCBI Nucleotide</v>
      </c>
    </row>
    <row r="1930" spans="1:27" x14ac:dyDescent="0.35">
      <c r="A1930">
        <v>1002406</v>
      </c>
      <c r="B1930">
        <v>1906</v>
      </c>
      <c r="C1930">
        <v>1</v>
      </c>
      <c r="D1930" s="17" t="s">
        <v>155</v>
      </c>
      <c r="E1930" s="17"/>
      <c r="F1930" s="17" t="s">
        <v>156</v>
      </c>
      <c r="G1930" s="17"/>
      <c r="H1930" s="17" t="s">
        <v>692</v>
      </c>
      <c r="I1930" s="17"/>
      <c r="J1930" s="17" t="s">
        <v>693</v>
      </c>
      <c r="K1930" s="17"/>
      <c r="L1930" s="17"/>
      <c r="M1930" s="17"/>
      <c r="N1930" s="17" t="s">
        <v>9159</v>
      </c>
      <c r="O1930" s="17" t="s">
        <v>9271</v>
      </c>
      <c r="P1930" s="17" t="s">
        <v>9272</v>
      </c>
      <c r="Q1930" s="17"/>
      <c r="R1930" s="25" t="str">
        <f>HYPERLINK("https://ictv.global/taxonomy/taxondetails?taxnode_id=202314819","Acanvirus Rheph16")</f>
        <v>Acanvirus Rheph16</v>
      </c>
      <c r="S1930" s="18" t="s">
        <v>30</v>
      </c>
      <c r="T1930" s="18" t="s">
        <v>9273</v>
      </c>
      <c r="U1930" s="18"/>
      <c r="V1930" s="18"/>
      <c r="W1930" s="18" t="s">
        <v>9274</v>
      </c>
      <c r="X1930" s="18" t="s">
        <v>42</v>
      </c>
      <c r="Y1930" s="18" t="s">
        <v>36</v>
      </c>
      <c r="Z1930" s="18" t="s">
        <v>697</v>
      </c>
      <c r="AA1930" s="21" t="str">
        <f>HYPERLINK("https://www.ncbi.nlm.nih.gov/nuccore/MW980066","NCBI Nucleotide")</f>
        <v>NCBI Nucleotide</v>
      </c>
    </row>
    <row r="1931" spans="1:27" x14ac:dyDescent="0.35">
      <c r="A1931">
        <v>1002407</v>
      </c>
      <c r="B1931">
        <v>1907</v>
      </c>
      <c r="C1931">
        <v>1</v>
      </c>
      <c r="D1931" s="17" t="s">
        <v>155</v>
      </c>
      <c r="E1931" s="17"/>
      <c r="F1931" s="17" t="s">
        <v>156</v>
      </c>
      <c r="G1931" s="17"/>
      <c r="H1931" s="17" t="s">
        <v>692</v>
      </c>
      <c r="I1931" s="17"/>
      <c r="J1931" s="17" t="s">
        <v>693</v>
      </c>
      <c r="K1931" s="17"/>
      <c r="L1931" s="17"/>
      <c r="M1931" s="17"/>
      <c r="N1931" s="17" t="s">
        <v>9159</v>
      </c>
      <c r="O1931" s="17" t="s">
        <v>9271</v>
      </c>
      <c r="P1931" s="17" t="s">
        <v>9272</v>
      </c>
      <c r="Q1931" s="17"/>
      <c r="R1931" s="25" t="str">
        <f>HYPERLINK("https://ictv.global/taxonomy/taxondetails?taxnode_id=202314818","Acanvirus Rheph22")</f>
        <v>Acanvirus Rheph22</v>
      </c>
      <c r="S1931" s="18" t="s">
        <v>30</v>
      </c>
      <c r="T1931" s="18" t="s">
        <v>9275</v>
      </c>
      <c r="U1931" s="18"/>
      <c r="V1931" s="18"/>
      <c r="W1931" s="18" t="s">
        <v>9276</v>
      </c>
      <c r="X1931" s="18" t="s">
        <v>42</v>
      </c>
      <c r="Y1931" s="18" t="s">
        <v>36</v>
      </c>
      <c r="Z1931" s="18" t="s">
        <v>697</v>
      </c>
      <c r="AA1931" s="21" t="str">
        <f>HYPERLINK("https://www.ncbi.nlm.nih.gov/nuccore/MW980071","NCBI Nucleotide")</f>
        <v>NCBI Nucleotide</v>
      </c>
    </row>
    <row r="1932" spans="1:27" x14ac:dyDescent="0.35">
      <c r="A1932">
        <v>1002408</v>
      </c>
      <c r="B1932">
        <v>1908</v>
      </c>
      <c r="C1932">
        <v>1</v>
      </c>
      <c r="D1932" s="17" t="s">
        <v>155</v>
      </c>
      <c r="E1932" s="17"/>
      <c r="F1932" s="17" t="s">
        <v>156</v>
      </c>
      <c r="G1932" s="17"/>
      <c r="H1932" s="17" t="s">
        <v>692</v>
      </c>
      <c r="I1932" s="17"/>
      <c r="J1932" s="17" t="s">
        <v>693</v>
      </c>
      <c r="K1932" s="17"/>
      <c r="L1932" s="17"/>
      <c r="M1932" s="17"/>
      <c r="N1932" s="17" t="s">
        <v>9159</v>
      </c>
      <c r="O1932" s="17" t="s">
        <v>9271</v>
      </c>
      <c r="P1932" s="17" t="s">
        <v>9272</v>
      </c>
      <c r="Q1932" s="17"/>
      <c r="R1932" s="25" t="str">
        <f>HYPERLINK("https://ictv.global/taxonomy/taxondetails?taxnode_id=202314817","Acanvirus Y26")</f>
        <v>Acanvirus Y26</v>
      </c>
      <c r="S1932" s="18" t="s">
        <v>30</v>
      </c>
      <c r="T1932" s="18" t="s">
        <v>9277</v>
      </c>
      <c r="U1932" s="18"/>
      <c r="V1932" s="18"/>
      <c r="W1932" s="18" t="s">
        <v>9278</v>
      </c>
      <c r="X1932" s="18" t="s">
        <v>42</v>
      </c>
      <c r="Y1932" s="18" t="s">
        <v>36</v>
      </c>
      <c r="Z1932" s="18" t="s">
        <v>697</v>
      </c>
      <c r="AA1932" s="21" t="str">
        <f>HYPERLINK("https://www.ncbi.nlm.nih.gov/nuccore/MN988497","NCBI Nucleotide")</f>
        <v>NCBI Nucleotide</v>
      </c>
    </row>
    <row r="1933" spans="1:27" x14ac:dyDescent="0.35">
      <c r="A1933">
        <v>1002409</v>
      </c>
      <c r="B1933">
        <v>1909</v>
      </c>
      <c r="C1933">
        <v>1</v>
      </c>
      <c r="D1933" s="17" t="s">
        <v>155</v>
      </c>
      <c r="E1933" s="17"/>
      <c r="F1933" s="17" t="s">
        <v>156</v>
      </c>
      <c r="G1933" s="17"/>
      <c r="H1933" s="17" t="s">
        <v>692</v>
      </c>
      <c r="I1933" s="17"/>
      <c r="J1933" s="17" t="s">
        <v>693</v>
      </c>
      <c r="K1933" s="17"/>
      <c r="L1933" s="17"/>
      <c r="M1933" s="17"/>
      <c r="N1933" s="17" t="s">
        <v>9159</v>
      </c>
      <c r="O1933" s="17" t="s">
        <v>9271</v>
      </c>
      <c r="P1933" s="17" t="s">
        <v>9272</v>
      </c>
      <c r="Q1933" s="17"/>
      <c r="R1933" s="25" t="str">
        <f>HYPERLINK("https://ictv.global/taxonomy/taxondetails?taxnode_id=202314816","Acanvirus Y38")</f>
        <v>Acanvirus Y38</v>
      </c>
      <c r="S1933" s="18" t="s">
        <v>30</v>
      </c>
      <c r="T1933" s="18" t="s">
        <v>9279</v>
      </c>
      <c r="U1933" s="18"/>
      <c r="V1933" s="18"/>
      <c r="W1933" s="18" t="s">
        <v>9280</v>
      </c>
      <c r="X1933" s="18" t="s">
        <v>42</v>
      </c>
      <c r="Y1933" s="18" t="s">
        <v>36</v>
      </c>
      <c r="Z1933" s="18" t="s">
        <v>697</v>
      </c>
      <c r="AA1933" s="21" t="str">
        <f>HYPERLINK("https://www.ncbi.nlm.nih.gov/nuccore/MN988483","NCBI Nucleotide")</f>
        <v>NCBI Nucleotide</v>
      </c>
    </row>
    <row r="1934" spans="1:27" x14ac:dyDescent="0.35">
      <c r="A1934">
        <v>1002410</v>
      </c>
      <c r="B1934">
        <v>1910</v>
      </c>
      <c r="C1934">
        <v>1</v>
      </c>
      <c r="D1934" s="17" t="s">
        <v>155</v>
      </c>
      <c r="E1934" s="17"/>
      <c r="F1934" s="17" t="s">
        <v>156</v>
      </c>
      <c r="G1934" s="17"/>
      <c r="H1934" s="17" t="s">
        <v>692</v>
      </c>
      <c r="I1934" s="17"/>
      <c r="J1934" s="17" t="s">
        <v>693</v>
      </c>
      <c r="K1934" s="17"/>
      <c r="L1934" s="17"/>
      <c r="M1934" s="17"/>
      <c r="N1934" s="17" t="s">
        <v>9159</v>
      </c>
      <c r="O1934" s="17" t="s">
        <v>9271</v>
      </c>
      <c r="P1934" s="17" t="s">
        <v>9281</v>
      </c>
      <c r="Q1934" s="17"/>
      <c r="R1934" s="25" t="str">
        <f>HYPERLINK("https://ictv.global/taxonomy/taxondetails?taxnode_id=202314815","Cyamitesvirus I16")</f>
        <v>Cyamitesvirus I16</v>
      </c>
      <c r="S1934" s="18" t="s">
        <v>30</v>
      </c>
      <c r="T1934" s="18" t="s">
        <v>9282</v>
      </c>
      <c r="U1934" s="18"/>
      <c r="V1934" s="18"/>
      <c r="W1934" s="18" t="s">
        <v>9283</v>
      </c>
      <c r="X1934" s="18" t="s">
        <v>42</v>
      </c>
      <c r="Y1934" s="18" t="s">
        <v>36</v>
      </c>
      <c r="Z1934" s="18" t="s">
        <v>697</v>
      </c>
      <c r="AA1934" s="21" t="str">
        <f>HYPERLINK("https://www.ncbi.nlm.nih.gov/nuccore/MN988555","NCBI Nucleotide")</f>
        <v>NCBI Nucleotide</v>
      </c>
    </row>
    <row r="1935" spans="1:27" x14ac:dyDescent="0.35">
      <c r="A1935">
        <v>1002411</v>
      </c>
      <c r="B1935">
        <v>1911</v>
      </c>
      <c r="C1935">
        <v>1</v>
      </c>
      <c r="D1935" s="17" t="s">
        <v>155</v>
      </c>
      <c r="E1935" s="17"/>
      <c r="F1935" s="17" t="s">
        <v>156</v>
      </c>
      <c r="G1935" s="17"/>
      <c r="H1935" s="17" t="s">
        <v>692</v>
      </c>
      <c r="I1935" s="17"/>
      <c r="J1935" s="17" t="s">
        <v>693</v>
      </c>
      <c r="K1935" s="17"/>
      <c r="L1935" s="17"/>
      <c r="M1935" s="17"/>
      <c r="N1935" s="17" t="s">
        <v>9159</v>
      </c>
      <c r="O1935" s="17" t="s">
        <v>9271</v>
      </c>
      <c r="P1935" s="17" t="s">
        <v>9281</v>
      </c>
      <c r="Q1935" s="17"/>
      <c r="R1935" s="25" t="str">
        <f>HYPERLINK("https://ictv.global/taxonomy/taxondetails?taxnode_id=202314814","Cyamitesvirus N38")</f>
        <v>Cyamitesvirus N38</v>
      </c>
      <c r="S1935" s="18" t="s">
        <v>30</v>
      </c>
      <c r="T1935" s="18" t="s">
        <v>9284</v>
      </c>
      <c r="U1935" s="18"/>
      <c r="V1935" s="18"/>
      <c r="W1935" s="18" t="s">
        <v>9285</v>
      </c>
      <c r="X1935" s="18" t="s">
        <v>42</v>
      </c>
      <c r="Y1935" s="18" t="s">
        <v>36</v>
      </c>
      <c r="Z1935" s="18" t="s">
        <v>697</v>
      </c>
      <c r="AA1935" s="21" t="str">
        <f>HYPERLINK("https://www.ncbi.nlm.nih.gov/nuccore/MN988517","NCBI Nucleotide")</f>
        <v>NCBI Nucleotide</v>
      </c>
    </row>
    <row r="1936" spans="1:27" x14ac:dyDescent="0.35">
      <c r="A1936">
        <v>1002412</v>
      </c>
      <c r="B1936">
        <v>1912</v>
      </c>
      <c r="C1936">
        <v>1</v>
      </c>
      <c r="D1936" s="17" t="s">
        <v>155</v>
      </c>
      <c r="E1936" s="17"/>
      <c r="F1936" s="17" t="s">
        <v>156</v>
      </c>
      <c r="G1936" s="17"/>
      <c r="H1936" s="17" t="s">
        <v>692</v>
      </c>
      <c r="I1936" s="17"/>
      <c r="J1936" s="17" t="s">
        <v>693</v>
      </c>
      <c r="K1936" s="17"/>
      <c r="L1936" s="17"/>
      <c r="M1936" s="17"/>
      <c r="N1936" s="17" t="s">
        <v>9159</v>
      </c>
      <c r="O1936" s="17" t="s">
        <v>9286</v>
      </c>
      <c r="P1936" s="17" t="s">
        <v>9287</v>
      </c>
      <c r="Q1936" s="17"/>
      <c r="R1936" s="25" t="str">
        <f>HYPERLINK("https://ictv.global/taxonomy/taxondetails?taxnode_id=202300672","Enquatrovirus N4")</f>
        <v>Enquatrovirus N4</v>
      </c>
      <c r="S1936" s="18" t="s">
        <v>30</v>
      </c>
      <c r="T1936" s="18" t="s">
        <v>9288</v>
      </c>
      <c r="U1936" s="18"/>
      <c r="V1936" s="18"/>
      <c r="W1936" s="18" t="s">
        <v>9289</v>
      </c>
      <c r="X1936" s="18" t="s">
        <v>42</v>
      </c>
      <c r="Y1936" s="18" t="s">
        <v>36</v>
      </c>
      <c r="Z1936" s="18" t="s">
        <v>697</v>
      </c>
      <c r="AA1936" s="21" t="str">
        <f>HYPERLINK("https://www.ncbi.nlm.nih.gov/nuccore/EF056009","NCBI Nucleotide")</f>
        <v>NCBI Nucleotide</v>
      </c>
    </row>
    <row r="1937" spans="1:27" x14ac:dyDescent="0.35">
      <c r="A1937">
        <v>1002413</v>
      </c>
      <c r="B1937">
        <v>1913</v>
      </c>
      <c r="C1937">
        <v>1</v>
      </c>
      <c r="D1937" s="17" t="s">
        <v>155</v>
      </c>
      <c r="E1937" s="17"/>
      <c r="F1937" s="17" t="s">
        <v>156</v>
      </c>
      <c r="G1937" s="17"/>
      <c r="H1937" s="17" t="s">
        <v>692</v>
      </c>
      <c r="I1937" s="17"/>
      <c r="J1937" s="17" t="s">
        <v>693</v>
      </c>
      <c r="K1937" s="17"/>
      <c r="L1937" s="17"/>
      <c r="M1937" s="17"/>
      <c r="N1937" s="17" t="s">
        <v>9159</v>
      </c>
      <c r="O1937" s="17" t="s">
        <v>9286</v>
      </c>
      <c r="P1937" s="17" t="s">
        <v>9290</v>
      </c>
      <c r="Q1937" s="17"/>
      <c r="R1937" s="25" t="str">
        <f>HYPERLINK("https://ictv.global/taxonomy/taxondetails?taxnode_id=202300643","Gamaleyavirus APEC5")</f>
        <v>Gamaleyavirus APEC5</v>
      </c>
      <c r="S1937" s="18" t="s">
        <v>30</v>
      </c>
      <c r="T1937" s="18" t="s">
        <v>9291</v>
      </c>
      <c r="U1937" s="18"/>
      <c r="V1937" s="18"/>
      <c r="W1937" s="18" t="s">
        <v>9292</v>
      </c>
      <c r="X1937" s="18" t="s">
        <v>42</v>
      </c>
      <c r="Y1937" s="18" t="s">
        <v>36</v>
      </c>
      <c r="Z1937" s="18" t="s">
        <v>697</v>
      </c>
      <c r="AA1937" s="21" t="str">
        <f>HYPERLINK("https://www.ncbi.nlm.nih.gov/nuccore/KF192075","NCBI Nucleotide")</f>
        <v>NCBI Nucleotide</v>
      </c>
    </row>
    <row r="1938" spans="1:27" x14ac:dyDescent="0.35">
      <c r="A1938">
        <v>1002414</v>
      </c>
      <c r="B1938">
        <v>1914</v>
      </c>
      <c r="C1938">
        <v>1</v>
      </c>
      <c r="D1938" s="17" t="s">
        <v>155</v>
      </c>
      <c r="E1938" s="17"/>
      <c r="F1938" s="17" t="s">
        <v>156</v>
      </c>
      <c r="G1938" s="17"/>
      <c r="H1938" s="17" t="s">
        <v>692</v>
      </c>
      <c r="I1938" s="17"/>
      <c r="J1938" s="17" t="s">
        <v>693</v>
      </c>
      <c r="K1938" s="17"/>
      <c r="L1938" s="17"/>
      <c r="M1938" s="17"/>
      <c r="N1938" s="17" t="s">
        <v>9159</v>
      </c>
      <c r="O1938" s="17" t="s">
        <v>9286</v>
      </c>
      <c r="P1938" s="17" t="s">
        <v>9290</v>
      </c>
      <c r="Q1938" s="17"/>
      <c r="R1938" s="25" t="str">
        <f>HYPERLINK("https://ictv.global/taxonomy/taxondetails?taxnode_id=202300644","Gamaleyavirus APEC7")</f>
        <v>Gamaleyavirus APEC7</v>
      </c>
      <c r="S1938" s="18" t="s">
        <v>30</v>
      </c>
      <c r="T1938" s="18" t="s">
        <v>9293</v>
      </c>
      <c r="U1938" s="18"/>
      <c r="V1938" s="18"/>
      <c r="W1938" s="18" t="s">
        <v>9294</v>
      </c>
      <c r="X1938" s="18" t="s">
        <v>42</v>
      </c>
      <c r="Y1938" s="18" t="s">
        <v>36</v>
      </c>
      <c r="Z1938" s="18" t="s">
        <v>697</v>
      </c>
      <c r="AA1938" s="21" t="str">
        <f>HYPERLINK("https://www.ncbi.nlm.nih.gov/nuccore/KF562340","NCBI Nucleotide")</f>
        <v>NCBI Nucleotide</v>
      </c>
    </row>
    <row r="1939" spans="1:27" x14ac:dyDescent="0.35">
      <c r="A1939">
        <v>1002415</v>
      </c>
      <c r="B1939">
        <v>1915</v>
      </c>
      <c r="C1939">
        <v>1</v>
      </c>
      <c r="D1939" s="17" t="s">
        <v>155</v>
      </c>
      <c r="E1939" s="17"/>
      <c r="F1939" s="17" t="s">
        <v>156</v>
      </c>
      <c r="G1939" s="17"/>
      <c r="H1939" s="17" t="s">
        <v>692</v>
      </c>
      <c r="I1939" s="17"/>
      <c r="J1939" s="17" t="s">
        <v>693</v>
      </c>
      <c r="K1939" s="17"/>
      <c r="L1939" s="17"/>
      <c r="M1939" s="17"/>
      <c r="N1939" s="17" t="s">
        <v>9159</v>
      </c>
      <c r="O1939" s="17" t="s">
        <v>9286</v>
      </c>
      <c r="P1939" s="17" t="s">
        <v>9290</v>
      </c>
      <c r="Q1939" s="17"/>
      <c r="R1939" s="25" t="str">
        <f>HYPERLINK("https://ictv.global/taxonomy/taxondetails?taxnode_id=202300645","Gamaleyavirus Bp4")</f>
        <v>Gamaleyavirus Bp4</v>
      </c>
      <c r="S1939" s="18" t="s">
        <v>30</v>
      </c>
      <c r="T1939" s="18" t="s">
        <v>9295</v>
      </c>
      <c r="U1939" s="18"/>
      <c r="V1939" s="18"/>
      <c r="W1939" s="18" t="s">
        <v>9296</v>
      </c>
      <c r="X1939" s="18" t="s">
        <v>42</v>
      </c>
      <c r="Y1939" s="18" t="s">
        <v>36</v>
      </c>
      <c r="Z1939" s="18" t="s">
        <v>697</v>
      </c>
      <c r="AA1939" s="21" t="str">
        <f>HYPERLINK("https://www.ncbi.nlm.nih.gov/nuccore/KJ135004","NCBI Nucleotide")</f>
        <v>NCBI Nucleotide</v>
      </c>
    </row>
    <row r="1940" spans="1:27" x14ac:dyDescent="0.35">
      <c r="A1940">
        <v>1002416</v>
      </c>
      <c r="B1940">
        <v>1916</v>
      </c>
      <c r="C1940">
        <v>1</v>
      </c>
      <c r="D1940" s="17" t="s">
        <v>155</v>
      </c>
      <c r="E1940" s="17"/>
      <c r="F1940" s="17" t="s">
        <v>156</v>
      </c>
      <c r="G1940" s="17"/>
      <c r="H1940" s="17" t="s">
        <v>692</v>
      </c>
      <c r="I1940" s="17"/>
      <c r="J1940" s="17" t="s">
        <v>693</v>
      </c>
      <c r="K1940" s="17"/>
      <c r="L1940" s="17"/>
      <c r="M1940" s="17"/>
      <c r="N1940" s="17" t="s">
        <v>9159</v>
      </c>
      <c r="O1940" s="17" t="s">
        <v>9286</v>
      </c>
      <c r="P1940" s="17" t="s">
        <v>9290</v>
      </c>
      <c r="Q1940" s="17"/>
      <c r="R1940" s="25" t="str">
        <f>HYPERLINK("https://ictv.global/taxonomy/taxondetails?taxnode_id=202300646","Gamaleyavirus EC1UPM")</f>
        <v>Gamaleyavirus EC1UPM</v>
      </c>
      <c r="S1940" s="18" t="s">
        <v>30</v>
      </c>
      <c r="T1940" s="18" t="s">
        <v>9297</v>
      </c>
      <c r="U1940" s="18"/>
      <c r="V1940" s="18"/>
      <c r="W1940" s="18" t="s">
        <v>9298</v>
      </c>
      <c r="X1940" s="18" t="s">
        <v>42</v>
      </c>
      <c r="Y1940" s="18" t="s">
        <v>36</v>
      </c>
      <c r="Z1940" s="18" t="s">
        <v>697</v>
      </c>
      <c r="AA1940" s="21" t="str">
        <f>HYPERLINK("https://www.ncbi.nlm.nih.gov/nuccore/KC206276","NCBI Nucleotide")</f>
        <v>NCBI Nucleotide</v>
      </c>
    </row>
    <row r="1941" spans="1:27" x14ac:dyDescent="0.35">
      <c r="A1941">
        <v>1002417</v>
      </c>
      <c r="B1941">
        <v>1917</v>
      </c>
      <c r="C1941">
        <v>1</v>
      </c>
      <c r="D1941" s="17" t="s">
        <v>155</v>
      </c>
      <c r="E1941" s="17"/>
      <c r="F1941" s="17" t="s">
        <v>156</v>
      </c>
      <c r="G1941" s="17"/>
      <c r="H1941" s="17" t="s">
        <v>692</v>
      </c>
      <c r="I1941" s="17"/>
      <c r="J1941" s="17" t="s">
        <v>693</v>
      </c>
      <c r="K1941" s="17"/>
      <c r="L1941" s="17"/>
      <c r="M1941" s="17"/>
      <c r="N1941" s="17" t="s">
        <v>9159</v>
      </c>
      <c r="O1941" s="17" t="s">
        <v>9286</v>
      </c>
      <c r="P1941" s="17" t="s">
        <v>9290</v>
      </c>
      <c r="Q1941" s="17"/>
      <c r="R1941" s="25" t="str">
        <f>HYPERLINK("https://ictv.global/taxonomy/taxondetails?taxnode_id=202300647","Gamaleyavirus ECBP1")</f>
        <v>Gamaleyavirus ECBP1</v>
      </c>
      <c r="S1941" s="18" t="s">
        <v>30</v>
      </c>
      <c r="T1941" s="18" t="s">
        <v>9299</v>
      </c>
      <c r="U1941" s="18"/>
      <c r="V1941" s="18"/>
      <c r="W1941" s="18" t="s">
        <v>9300</v>
      </c>
      <c r="X1941" s="18" t="s">
        <v>42</v>
      </c>
      <c r="Y1941" s="18" t="s">
        <v>36</v>
      </c>
      <c r="Z1941" s="18" t="s">
        <v>697</v>
      </c>
      <c r="AA1941" s="21" t="str">
        <f>HYPERLINK("https://www.ncbi.nlm.nih.gov/nuccore/JX415535","NCBI Nucleotide")</f>
        <v>NCBI Nucleotide</v>
      </c>
    </row>
    <row r="1942" spans="1:27" x14ac:dyDescent="0.35">
      <c r="A1942">
        <v>1002418</v>
      </c>
      <c r="B1942">
        <v>1918</v>
      </c>
      <c r="C1942">
        <v>1</v>
      </c>
      <c r="D1942" s="17" t="s">
        <v>155</v>
      </c>
      <c r="E1942" s="17"/>
      <c r="F1942" s="17" t="s">
        <v>156</v>
      </c>
      <c r="G1942" s="17"/>
      <c r="H1942" s="17" t="s">
        <v>692</v>
      </c>
      <c r="I1942" s="17"/>
      <c r="J1942" s="17" t="s">
        <v>693</v>
      </c>
      <c r="K1942" s="17"/>
      <c r="L1942" s="17"/>
      <c r="M1942" s="17"/>
      <c r="N1942" s="17" t="s">
        <v>9159</v>
      </c>
      <c r="O1942" s="17" t="s">
        <v>9286</v>
      </c>
      <c r="P1942" s="17" t="s">
        <v>9290</v>
      </c>
      <c r="Q1942" s="17"/>
      <c r="R1942" s="25" t="str">
        <f>HYPERLINK("https://ictv.global/taxonomy/taxondetails?taxnode_id=202314835","Gamaleyavirus G17")</f>
        <v>Gamaleyavirus G17</v>
      </c>
      <c r="S1942" s="18" t="s">
        <v>30</v>
      </c>
      <c r="T1942" s="18" t="s">
        <v>9301</v>
      </c>
      <c r="U1942" s="18"/>
      <c r="V1942" s="18"/>
      <c r="W1942" s="18" t="s">
        <v>9302</v>
      </c>
      <c r="X1942" s="18" t="s">
        <v>42</v>
      </c>
      <c r="Y1942" s="18" t="s">
        <v>36</v>
      </c>
      <c r="Z1942" s="18" t="s">
        <v>697</v>
      </c>
      <c r="AA1942" s="21" t="str">
        <f>HYPERLINK("https://www.ncbi.nlm.nih.gov/nuccore/MH358458","NCBI Nucleotide")</f>
        <v>NCBI Nucleotide</v>
      </c>
    </row>
    <row r="1943" spans="1:27" x14ac:dyDescent="0.35">
      <c r="A1943">
        <v>1002419</v>
      </c>
      <c r="B1943">
        <v>1919</v>
      </c>
      <c r="C1943">
        <v>1</v>
      </c>
      <c r="D1943" s="17" t="s">
        <v>155</v>
      </c>
      <c r="E1943" s="17"/>
      <c r="F1943" s="17" t="s">
        <v>156</v>
      </c>
      <c r="G1943" s="17"/>
      <c r="H1943" s="17" t="s">
        <v>692</v>
      </c>
      <c r="I1943" s="17"/>
      <c r="J1943" s="17" t="s">
        <v>693</v>
      </c>
      <c r="K1943" s="17"/>
      <c r="L1943" s="17"/>
      <c r="M1943" s="17"/>
      <c r="N1943" s="17" t="s">
        <v>9159</v>
      </c>
      <c r="O1943" s="17" t="s">
        <v>9286</v>
      </c>
      <c r="P1943" s="17" t="s">
        <v>9290</v>
      </c>
      <c r="Q1943" s="17"/>
      <c r="R1943" s="25" t="str">
        <f>HYPERLINK("https://ictv.global/taxonomy/taxondetails?taxnode_id=202300648","Gamaleyavirus G7C")</f>
        <v>Gamaleyavirus G7C</v>
      </c>
      <c r="S1943" s="18" t="s">
        <v>30</v>
      </c>
      <c r="T1943" s="18" t="s">
        <v>9303</v>
      </c>
      <c r="U1943" s="18"/>
      <c r="V1943" s="18"/>
      <c r="W1943" s="18" t="s">
        <v>9304</v>
      </c>
      <c r="X1943" s="18" t="s">
        <v>42</v>
      </c>
      <c r="Y1943" s="18" t="s">
        <v>36</v>
      </c>
      <c r="Z1943" s="18" t="s">
        <v>697</v>
      </c>
      <c r="AA1943" s="21" t="str">
        <f>HYPERLINK("https://www.ncbi.nlm.nih.gov/nuccore/HQ259105","NCBI Nucleotide")</f>
        <v>NCBI Nucleotide</v>
      </c>
    </row>
    <row r="1944" spans="1:27" x14ac:dyDescent="0.35">
      <c r="A1944">
        <v>1002420</v>
      </c>
      <c r="B1944">
        <v>1920</v>
      </c>
      <c r="C1944">
        <v>1</v>
      </c>
      <c r="D1944" s="17" t="s">
        <v>155</v>
      </c>
      <c r="E1944" s="17"/>
      <c r="F1944" s="17" t="s">
        <v>156</v>
      </c>
      <c r="G1944" s="17"/>
      <c r="H1944" s="17" t="s">
        <v>692</v>
      </c>
      <c r="I1944" s="17"/>
      <c r="J1944" s="17" t="s">
        <v>693</v>
      </c>
      <c r="K1944" s="17"/>
      <c r="L1944" s="17"/>
      <c r="M1944" s="17"/>
      <c r="N1944" s="17" t="s">
        <v>9159</v>
      </c>
      <c r="O1944" s="17" t="s">
        <v>9286</v>
      </c>
      <c r="P1944" s="17" t="s">
        <v>9290</v>
      </c>
      <c r="Q1944" s="17"/>
      <c r="R1944" s="25" t="str">
        <f>HYPERLINK("https://ictv.global/taxonomy/taxondetails?taxnode_id=202300649","Gamaleyavirus IME11")</f>
        <v>Gamaleyavirus IME11</v>
      </c>
      <c r="S1944" s="18" t="s">
        <v>30</v>
      </c>
      <c r="T1944" s="18" t="s">
        <v>9305</v>
      </c>
      <c r="U1944" s="18"/>
      <c r="V1944" s="18"/>
      <c r="W1944" s="18" t="s">
        <v>9306</v>
      </c>
      <c r="X1944" s="18" t="s">
        <v>42</v>
      </c>
      <c r="Y1944" s="18" t="s">
        <v>36</v>
      </c>
      <c r="Z1944" s="18" t="s">
        <v>697</v>
      </c>
      <c r="AA1944" s="21" t="str">
        <f>HYPERLINK("https://www.ncbi.nlm.nih.gov/nuccore/JX880034","NCBI Nucleotide")</f>
        <v>NCBI Nucleotide</v>
      </c>
    </row>
    <row r="1945" spans="1:27" x14ac:dyDescent="0.35">
      <c r="A1945">
        <v>1002421</v>
      </c>
      <c r="B1945">
        <v>1921</v>
      </c>
      <c r="C1945">
        <v>1</v>
      </c>
      <c r="D1945" s="17" t="s">
        <v>155</v>
      </c>
      <c r="E1945" s="17"/>
      <c r="F1945" s="17" t="s">
        <v>156</v>
      </c>
      <c r="G1945" s="17"/>
      <c r="H1945" s="17" t="s">
        <v>692</v>
      </c>
      <c r="I1945" s="17"/>
      <c r="J1945" s="17" t="s">
        <v>693</v>
      </c>
      <c r="K1945" s="17"/>
      <c r="L1945" s="17"/>
      <c r="M1945" s="17"/>
      <c r="N1945" s="17" t="s">
        <v>9159</v>
      </c>
      <c r="O1945" s="17" t="s">
        <v>9286</v>
      </c>
      <c r="P1945" s="17" t="s">
        <v>9290</v>
      </c>
      <c r="Q1945" s="17"/>
      <c r="R1945" s="25" t="str">
        <f>HYPERLINK("https://ictv.global/taxonomy/taxondetails?taxnode_id=202314836","Gamaleyavirus Pgn8291")</f>
        <v>Gamaleyavirus Pgn8291</v>
      </c>
      <c r="S1945" s="18" t="s">
        <v>30</v>
      </c>
      <c r="T1945" s="18" t="s">
        <v>9307</v>
      </c>
      <c r="U1945" s="18"/>
      <c r="V1945" s="18"/>
      <c r="W1945" s="18" t="s">
        <v>9308</v>
      </c>
      <c r="X1945" s="18" t="s">
        <v>42</v>
      </c>
      <c r="Y1945" s="18" t="s">
        <v>36</v>
      </c>
      <c r="Z1945" s="18" t="s">
        <v>697</v>
      </c>
      <c r="AA1945" s="21" t="str">
        <f>HYPERLINK("https://www.ncbi.nlm.nih.gov/nuccore/MH733496","NCBI Nucleotide")</f>
        <v>NCBI Nucleotide</v>
      </c>
    </row>
    <row r="1946" spans="1:27" x14ac:dyDescent="0.35">
      <c r="A1946">
        <v>1002422</v>
      </c>
      <c r="B1946">
        <v>1922</v>
      </c>
      <c r="C1946">
        <v>1</v>
      </c>
      <c r="D1946" s="17" t="s">
        <v>155</v>
      </c>
      <c r="E1946" s="17"/>
      <c r="F1946" s="17" t="s">
        <v>156</v>
      </c>
      <c r="G1946" s="17"/>
      <c r="H1946" s="17" t="s">
        <v>692</v>
      </c>
      <c r="I1946" s="17"/>
      <c r="J1946" s="17" t="s">
        <v>693</v>
      </c>
      <c r="K1946" s="17"/>
      <c r="L1946" s="17"/>
      <c r="M1946" s="17"/>
      <c r="N1946" s="17" t="s">
        <v>9159</v>
      </c>
      <c r="O1946" s="17" t="s">
        <v>9286</v>
      </c>
      <c r="P1946" s="17" t="s">
        <v>9290</v>
      </c>
      <c r="Q1946" s="17"/>
      <c r="R1946" s="25" t="str">
        <f>HYPERLINK("https://ictv.global/taxonomy/taxondetails?taxnode_id=202300650","Gamaleyavirus Sb1")</f>
        <v>Gamaleyavirus Sb1</v>
      </c>
      <c r="S1946" s="18" t="s">
        <v>30</v>
      </c>
      <c r="T1946" s="18" t="s">
        <v>9309</v>
      </c>
      <c r="U1946" s="18"/>
      <c r="V1946" s="18"/>
      <c r="W1946" s="18" t="s">
        <v>9310</v>
      </c>
      <c r="X1946" s="18" t="s">
        <v>42</v>
      </c>
      <c r="Y1946" s="18" t="s">
        <v>36</v>
      </c>
      <c r="Z1946" s="18" t="s">
        <v>697</v>
      </c>
      <c r="AA1946" s="21" t="str">
        <f>HYPERLINK("https://www.ncbi.nlm.nih.gov/nuccore/KF620435","NCBI Nucleotide")</f>
        <v>NCBI Nucleotide</v>
      </c>
    </row>
    <row r="1947" spans="1:27" x14ac:dyDescent="0.35">
      <c r="A1947">
        <v>1002423</v>
      </c>
      <c r="B1947">
        <v>1923</v>
      </c>
      <c r="C1947">
        <v>1</v>
      </c>
      <c r="D1947" s="17" t="s">
        <v>155</v>
      </c>
      <c r="E1947" s="17"/>
      <c r="F1947" s="17" t="s">
        <v>156</v>
      </c>
      <c r="G1947" s="17"/>
      <c r="H1947" s="17" t="s">
        <v>692</v>
      </c>
      <c r="I1947" s="17"/>
      <c r="J1947" s="17" t="s">
        <v>693</v>
      </c>
      <c r="K1947" s="17"/>
      <c r="L1947" s="17"/>
      <c r="M1947" s="17"/>
      <c r="N1947" s="17" t="s">
        <v>9159</v>
      </c>
      <c r="O1947" s="17" t="s">
        <v>9286</v>
      </c>
      <c r="P1947" s="17" t="s">
        <v>9290</v>
      </c>
      <c r="Q1947" s="17"/>
      <c r="R1947" s="25" t="str">
        <f>HYPERLINK("https://ictv.global/taxonomy/taxondetails?taxnode_id=202314834","Gamaleyavirus Sp5m")</f>
        <v>Gamaleyavirus Sp5m</v>
      </c>
      <c r="S1947" s="18" t="s">
        <v>30</v>
      </c>
      <c r="T1947" s="18" t="s">
        <v>9311</v>
      </c>
      <c r="U1947" s="18"/>
      <c r="V1947" s="18"/>
      <c r="W1947" s="18" t="s">
        <v>9312</v>
      </c>
      <c r="X1947" s="18" t="s">
        <v>42</v>
      </c>
      <c r="Y1947" s="18" t="s">
        <v>36</v>
      </c>
      <c r="Z1947" s="18" t="s">
        <v>697</v>
      </c>
      <c r="AA1947" s="21" t="str">
        <f>HYPERLINK("https://www.ncbi.nlm.nih.gov/nuccore/MT682708","NCBI Nucleotide")</f>
        <v>NCBI Nucleotide</v>
      </c>
    </row>
    <row r="1948" spans="1:27" x14ac:dyDescent="0.35">
      <c r="A1948">
        <v>1002424</v>
      </c>
      <c r="B1948">
        <v>1924</v>
      </c>
      <c r="C1948">
        <v>1</v>
      </c>
      <c r="D1948" s="17" t="s">
        <v>155</v>
      </c>
      <c r="E1948" s="17"/>
      <c r="F1948" s="17" t="s">
        <v>156</v>
      </c>
      <c r="G1948" s="17"/>
      <c r="H1948" s="17" t="s">
        <v>692</v>
      </c>
      <c r="I1948" s="17"/>
      <c r="J1948" s="17" t="s">
        <v>693</v>
      </c>
      <c r="K1948" s="17"/>
      <c r="L1948" s="17"/>
      <c r="M1948" s="17"/>
      <c r="N1948" s="17" t="s">
        <v>9159</v>
      </c>
      <c r="O1948" s="17" t="s">
        <v>9286</v>
      </c>
      <c r="P1948" s="17" t="s">
        <v>9290</v>
      </c>
      <c r="Q1948" s="17"/>
      <c r="R1948" s="25" t="str">
        <f>HYPERLINK("https://ictv.global/taxonomy/taxondetails?taxnode_id=202314838","Gamaleyavirus St11ph5")</f>
        <v>Gamaleyavirus St11ph5</v>
      </c>
      <c r="S1948" s="18" t="s">
        <v>30</v>
      </c>
      <c r="T1948" s="18" t="s">
        <v>9313</v>
      </c>
      <c r="U1948" s="18"/>
      <c r="V1948" s="18"/>
      <c r="W1948" s="18" t="s">
        <v>9314</v>
      </c>
      <c r="X1948" s="18" t="s">
        <v>42</v>
      </c>
      <c r="Y1948" s="18" t="s">
        <v>36</v>
      </c>
      <c r="Z1948" s="18" t="s">
        <v>697</v>
      </c>
      <c r="AA1948" s="21" t="str">
        <f>HYPERLINK("https://www.ncbi.nlm.nih.gov/nuccore/MG208881","NCBI Nucleotide")</f>
        <v>NCBI Nucleotide</v>
      </c>
    </row>
    <row r="1949" spans="1:27" x14ac:dyDescent="0.35">
      <c r="A1949">
        <v>1002425</v>
      </c>
      <c r="B1949">
        <v>1925</v>
      </c>
      <c r="C1949">
        <v>1</v>
      </c>
      <c r="D1949" s="17" t="s">
        <v>155</v>
      </c>
      <c r="E1949" s="17"/>
      <c r="F1949" s="17" t="s">
        <v>156</v>
      </c>
      <c r="G1949" s="17"/>
      <c r="H1949" s="17" t="s">
        <v>692</v>
      </c>
      <c r="I1949" s="17"/>
      <c r="J1949" s="17" t="s">
        <v>693</v>
      </c>
      <c r="K1949" s="17"/>
      <c r="L1949" s="17"/>
      <c r="M1949" s="17"/>
      <c r="N1949" s="17" t="s">
        <v>9159</v>
      </c>
      <c r="O1949" s="17" t="s">
        <v>9286</v>
      </c>
      <c r="P1949" s="17" t="s">
        <v>9290</v>
      </c>
      <c r="Q1949" s="17"/>
      <c r="R1949" s="25" t="str">
        <f>HYPERLINK("https://ictv.global/taxonomy/taxondetails?taxnode_id=202314837","Gamaleyavirus U1g")</f>
        <v>Gamaleyavirus U1g</v>
      </c>
      <c r="S1949" s="18" t="s">
        <v>30</v>
      </c>
      <c r="T1949" s="18" t="s">
        <v>9315</v>
      </c>
      <c r="U1949" s="18"/>
      <c r="V1949" s="18"/>
      <c r="W1949" s="18" t="s">
        <v>9316</v>
      </c>
      <c r="X1949" s="18" t="s">
        <v>42</v>
      </c>
      <c r="Y1949" s="18" t="s">
        <v>36</v>
      </c>
      <c r="Z1949" s="18" t="s">
        <v>697</v>
      </c>
      <c r="AA1949" s="21" t="str">
        <f>HYPERLINK("https://www.ncbi.nlm.nih.gov/nuccore/MZ394712","NCBI Nucleotide")</f>
        <v>NCBI Nucleotide</v>
      </c>
    </row>
    <row r="1950" spans="1:27" x14ac:dyDescent="0.35">
      <c r="A1950">
        <v>1002426</v>
      </c>
      <c r="B1950">
        <v>1926</v>
      </c>
      <c r="C1950">
        <v>1</v>
      </c>
      <c r="D1950" s="17" t="s">
        <v>155</v>
      </c>
      <c r="E1950" s="17"/>
      <c r="F1950" s="17" t="s">
        <v>156</v>
      </c>
      <c r="G1950" s="17"/>
      <c r="H1950" s="17" t="s">
        <v>692</v>
      </c>
      <c r="I1950" s="17"/>
      <c r="J1950" s="17" t="s">
        <v>693</v>
      </c>
      <c r="K1950" s="17"/>
      <c r="L1950" s="17"/>
      <c r="M1950" s="17"/>
      <c r="N1950" s="17" t="s">
        <v>9159</v>
      </c>
      <c r="O1950" s="17" t="s">
        <v>9286</v>
      </c>
      <c r="P1950" s="17" t="s">
        <v>9290</v>
      </c>
      <c r="Q1950" s="17"/>
      <c r="R1950" s="25" t="str">
        <f>HYPERLINK("https://ictv.global/taxonomy/taxondetails?taxnode_id=202314839","Gamaleyavirus Zq2")</f>
        <v>Gamaleyavirus Zq2</v>
      </c>
      <c r="S1950" s="18" t="s">
        <v>30</v>
      </c>
      <c r="T1950" s="18" t="s">
        <v>9317</v>
      </c>
      <c r="U1950" s="18"/>
      <c r="V1950" s="18"/>
      <c r="W1950" s="18" t="s">
        <v>9318</v>
      </c>
      <c r="X1950" s="18" t="s">
        <v>42</v>
      </c>
      <c r="Y1950" s="18" t="s">
        <v>36</v>
      </c>
      <c r="Z1950" s="18" t="s">
        <v>697</v>
      </c>
      <c r="AA1950" s="21" t="str">
        <f>HYPERLINK("https://www.ncbi.nlm.nih.gov/nuccore/MW630115","NCBI Nucleotide")</f>
        <v>NCBI Nucleotide</v>
      </c>
    </row>
    <row r="1951" spans="1:27" x14ac:dyDescent="0.35">
      <c r="A1951">
        <v>1002427</v>
      </c>
      <c r="B1951">
        <v>1927</v>
      </c>
      <c r="C1951">
        <v>1</v>
      </c>
      <c r="D1951" s="17" t="s">
        <v>155</v>
      </c>
      <c r="E1951" s="17"/>
      <c r="F1951" s="17" t="s">
        <v>156</v>
      </c>
      <c r="G1951" s="17"/>
      <c r="H1951" s="17" t="s">
        <v>692</v>
      </c>
      <c r="I1951" s="17"/>
      <c r="J1951" s="17" t="s">
        <v>693</v>
      </c>
      <c r="K1951" s="17"/>
      <c r="L1951" s="17"/>
      <c r="M1951" s="17"/>
      <c r="N1951" s="17" t="s">
        <v>9159</v>
      </c>
      <c r="O1951" s="17" t="s">
        <v>9286</v>
      </c>
      <c r="P1951" s="17" t="s">
        <v>9319</v>
      </c>
      <c r="Q1951" s="17"/>
      <c r="R1951" s="25" t="str">
        <f>HYPERLINK("https://ictv.global/taxonomy/taxondetails?taxnode_id=202311771","Kaypoctavirus KP8")</f>
        <v>Kaypoctavirus KP8</v>
      </c>
      <c r="S1951" s="18" t="s">
        <v>30</v>
      </c>
      <c r="T1951" s="18" t="s">
        <v>9320</v>
      </c>
      <c r="U1951" s="18"/>
      <c r="V1951" s="18"/>
      <c r="W1951" s="18" t="s">
        <v>9321</v>
      </c>
      <c r="X1951" s="18" t="s">
        <v>42</v>
      </c>
      <c r="Y1951" s="18" t="s">
        <v>36</v>
      </c>
      <c r="Z1951" s="18" t="s">
        <v>697</v>
      </c>
      <c r="AA1951" s="21" t="str">
        <f>HYPERLINK("https://www.ncbi.nlm.nih.gov/nuccore/MG922974","NCBI Nucleotide")</f>
        <v>NCBI Nucleotide</v>
      </c>
    </row>
    <row r="1952" spans="1:27" x14ac:dyDescent="0.35">
      <c r="A1952">
        <v>1002428</v>
      </c>
      <c r="B1952">
        <v>1928</v>
      </c>
      <c r="C1952">
        <v>1</v>
      </c>
      <c r="D1952" s="17" t="s">
        <v>155</v>
      </c>
      <c r="E1952" s="17"/>
      <c r="F1952" s="17" t="s">
        <v>156</v>
      </c>
      <c r="G1952" s="17"/>
      <c r="H1952" s="17" t="s">
        <v>692</v>
      </c>
      <c r="I1952" s="17"/>
      <c r="J1952" s="17" t="s">
        <v>693</v>
      </c>
      <c r="K1952" s="17"/>
      <c r="L1952" s="17"/>
      <c r="M1952" s="17"/>
      <c r="N1952" s="17" t="s">
        <v>9159</v>
      </c>
      <c r="O1952" s="17" t="s">
        <v>9286</v>
      </c>
      <c r="P1952" s="17" t="s">
        <v>9322</v>
      </c>
      <c r="Q1952" s="17"/>
      <c r="R1952" s="25" t="str">
        <f>HYPERLINK("https://ictv.global/taxonomy/taxondetails?taxnode_id=202314813","Moovirus moo")</f>
        <v>Moovirus moo</v>
      </c>
      <c r="S1952" s="18" t="s">
        <v>30</v>
      </c>
      <c r="T1952" s="18" t="s">
        <v>9323</v>
      </c>
      <c r="U1952" s="18"/>
      <c r="V1952" s="18"/>
      <c r="W1952" s="18" t="s">
        <v>9324</v>
      </c>
      <c r="X1952" s="18" t="s">
        <v>42</v>
      </c>
      <c r="Y1952" s="18" t="s">
        <v>36</v>
      </c>
      <c r="Z1952" s="18" t="s">
        <v>697</v>
      </c>
      <c r="AA1952" s="21" t="str">
        <f>HYPERLINK("https://www.ncbi.nlm.nih.gov/nuccore/MZ358387","NCBI Nucleotide")</f>
        <v>NCBI Nucleotide</v>
      </c>
    </row>
    <row r="1953" spans="1:27" x14ac:dyDescent="0.35">
      <c r="A1953">
        <v>1002429</v>
      </c>
      <c r="B1953">
        <v>1929</v>
      </c>
      <c r="C1953">
        <v>1</v>
      </c>
      <c r="D1953" s="17" t="s">
        <v>155</v>
      </c>
      <c r="E1953" s="17"/>
      <c r="F1953" s="17" t="s">
        <v>156</v>
      </c>
      <c r="G1953" s="17"/>
      <c r="H1953" s="17" t="s">
        <v>692</v>
      </c>
      <c r="I1953" s="17"/>
      <c r="J1953" s="17" t="s">
        <v>693</v>
      </c>
      <c r="K1953" s="17"/>
      <c r="L1953" s="17"/>
      <c r="M1953" s="17"/>
      <c r="N1953" s="17" t="s">
        <v>9159</v>
      </c>
      <c r="O1953" s="17" t="s">
        <v>9325</v>
      </c>
      <c r="P1953" s="17" t="s">
        <v>9326</v>
      </c>
      <c r="Q1953" s="17"/>
      <c r="R1953" s="25" t="str">
        <f>HYPERLINK("https://ictv.global/taxonomy/taxondetails?taxnode_id=202300633","Johnsonvirus Ea92")</f>
        <v>Johnsonvirus Ea92</v>
      </c>
      <c r="S1953" s="18" t="s">
        <v>30</v>
      </c>
      <c r="T1953" s="18" t="s">
        <v>9327</v>
      </c>
      <c r="U1953" s="18"/>
      <c r="V1953" s="18"/>
      <c r="W1953" s="18" t="s">
        <v>9328</v>
      </c>
      <c r="X1953" s="18" t="s">
        <v>42</v>
      </c>
      <c r="Y1953" s="18" t="s">
        <v>36</v>
      </c>
      <c r="Z1953" s="18" t="s">
        <v>697</v>
      </c>
      <c r="AA1953" s="21" t="str">
        <f>HYPERLINK("https://www.ncbi.nlm.nih.gov/nuccore/KF806588","NCBI Nucleotide")</f>
        <v>NCBI Nucleotide</v>
      </c>
    </row>
    <row r="1954" spans="1:27" x14ac:dyDescent="0.35">
      <c r="A1954">
        <v>1002430</v>
      </c>
      <c r="B1954">
        <v>1930</v>
      </c>
      <c r="C1954">
        <v>1</v>
      </c>
      <c r="D1954" s="17" t="s">
        <v>155</v>
      </c>
      <c r="E1954" s="17"/>
      <c r="F1954" s="17" t="s">
        <v>156</v>
      </c>
      <c r="G1954" s="17"/>
      <c r="H1954" s="17" t="s">
        <v>692</v>
      </c>
      <c r="I1954" s="17"/>
      <c r="J1954" s="17" t="s">
        <v>693</v>
      </c>
      <c r="K1954" s="17"/>
      <c r="L1954" s="17"/>
      <c r="M1954" s="17"/>
      <c r="N1954" s="17" t="s">
        <v>9159</v>
      </c>
      <c r="O1954" s="17" t="s">
        <v>9325</v>
      </c>
      <c r="P1954" s="17" t="s">
        <v>9326</v>
      </c>
      <c r="Q1954" s="17"/>
      <c r="R1954" s="25" t="str">
        <f>HYPERLINK("https://ictv.global/taxonomy/taxondetails?taxnode_id=202300634","Johnsonvirus frozen")</f>
        <v>Johnsonvirus frozen</v>
      </c>
      <c r="S1954" s="18" t="s">
        <v>30</v>
      </c>
      <c r="T1954" s="18" t="s">
        <v>9329</v>
      </c>
      <c r="U1954" s="18"/>
      <c r="V1954" s="18"/>
      <c r="W1954" s="18" t="s">
        <v>9330</v>
      </c>
      <c r="X1954" s="18" t="s">
        <v>42</v>
      </c>
      <c r="Y1954" s="18" t="s">
        <v>36</v>
      </c>
      <c r="Z1954" s="18" t="s">
        <v>697</v>
      </c>
      <c r="AA1954" s="21" t="str">
        <f>HYPERLINK("https://www.ncbi.nlm.nih.gov/nuccore/KX098389","NCBI Nucleotide")</f>
        <v>NCBI Nucleotide</v>
      </c>
    </row>
    <row r="1955" spans="1:27" x14ac:dyDescent="0.35">
      <c r="A1955">
        <v>1002431</v>
      </c>
      <c r="B1955">
        <v>1931</v>
      </c>
      <c r="C1955">
        <v>1</v>
      </c>
      <c r="D1955" s="17" t="s">
        <v>155</v>
      </c>
      <c r="E1955" s="17"/>
      <c r="F1955" s="17" t="s">
        <v>156</v>
      </c>
      <c r="G1955" s="17"/>
      <c r="H1955" s="17" t="s">
        <v>692</v>
      </c>
      <c r="I1955" s="17"/>
      <c r="J1955" s="17" t="s">
        <v>693</v>
      </c>
      <c r="K1955" s="17"/>
      <c r="L1955" s="17"/>
      <c r="M1955" s="17"/>
      <c r="N1955" s="17" t="s">
        <v>9159</v>
      </c>
      <c r="O1955" s="17" t="s">
        <v>9325</v>
      </c>
      <c r="P1955" s="17" t="s">
        <v>9331</v>
      </c>
      <c r="Q1955" s="17"/>
      <c r="R1955" s="25" t="str">
        <f>HYPERLINK("https://ictv.global/taxonomy/taxondetails?taxnode_id=202311774","Yonginvirus EaP8")</f>
        <v>Yonginvirus EaP8</v>
      </c>
      <c r="S1955" s="18" t="s">
        <v>30</v>
      </c>
      <c r="T1955" s="18" t="s">
        <v>9332</v>
      </c>
      <c r="U1955" s="18"/>
      <c r="V1955" s="18"/>
      <c r="W1955" s="18" t="s">
        <v>9333</v>
      </c>
      <c r="X1955" s="18" t="s">
        <v>42</v>
      </c>
      <c r="Y1955" s="18" t="s">
        <v>36</v>
      </c>
      <c r="Z1955" s="18" t="s">
        <v>697</v>
      </c>
      <c r="AA1955" s="21" t="str">
        <f>HYPERLINK("https://www.ncbi.nlm.nih.gov/nuccore/MH160392","NCBI Nucleotide")</f>
        <v>NCBI Nucleotide</v>
      </c>
    </row>
    <row r="1956" spans="1:27" x14ac:dyDescent="0.35">
      <c r="A1956">
        <v>1002432</v>
      </c>
      <c r="B1956">
        <v>1932</v>
      </c>
      <c r="C1956">
        <v>1</v>
      </c>
      <c r="D1956" s="17" t="s">
        <v>155</v>
      </c>
      <c r="E1956" s="17"/>
      <c r="F1956" s="17" t="s">
        <v>156</v>
      </c>
      <c r="G1956" s="17"/>
      <c r="H1956" s="17" t="s">
        <v>692</v>
      </c>
      <c r="I1956" s="17"/>
      <c r="J1956" s="17" t="s">
        <v>693</v>
      </c>
      <c r="K1956" s="17"/>
      <c r="L1956" s="17"/>
      <c r="M1956" s="17"/>
      <c r="N1956" s="17" t="s">
        <v>9159</v>
      </c>
      <c r="O1956" s="17" t="s">
        <v>9334</v>
      </c>
      <c r="P1956" s="17" t="s">
        <v>9335</v>
      </c>
      <c r="Q1956" s="17"/>
      <c r="R1956" s="25" t="str">
        <f>HYPERLINK("https://ictv.global/taxonomy/taxondetails?taxnode_id=202311779","Matsuvirus pYD6A")</f>
        <v>Matsuvirus pYD6A</v>
      </c>
      <c r="S1956" s="18" t="s">
        <v>30</v>
      </c>
      <c r="T1956" s="18" t="s">
        <v>9336</v>
      </c>
      <c r="U1956" s="18"/>
      <c r="V1956" s="18"/>
      <c r="W1956" s="18" t="s">
        <v>9337</v>
      </c>
      <c r="X1956" s="18" t="s">
        <v>42</v>
      </c>
      <c r="Y1956" s="18" t="s">
        <v>36</v>
      </c>
      <c r="Z1956" s="18" t="s">
        <v>697</v>
      </c>
      <c r="AA1956" s="21" t="str">
        <f>HYPERLINK("https://www.ncbi.nlm.nih.gov/nuccore/JF974296","NCBI Nucleotide")</f>
        <v>NCBI Nucleotide</v>
      </c>
    </row>
    <row r="1957" spans="1:27" x14ac:dyDescent="0.35">
      <c r="A1957">
        <v>1002433</v>
      </c>
      <c r="B1957">
        <v>1933</v>
      </c>
      <c r="C1957">
        <v>1</v>
      </c>
      <c r="D1957" s="17" t="s">
        <v>155</v>
      </c>
      <c r="E1957" s="17"/>
      <c r="F1957" s="17" t="s">
        <v>156</v>
      </c>
      <c r="G1957" s="17"/>
      <c r="H1957" s="17" t="s">
        <v>692</v>
      </c>
      <c r="I1957" s="17"/>
      <c r="J1957" s="17" t="s">
        <v>693</v>
      </c>
      <c r="K1957" s="17"/>
      <c r="L1957" s="17"/>
      <c r="M1957" s="17"/>
      <c r="N1957" s="17" t="s">
        <v>9159</v>
      </c>
      <c r="O1957" s="17" t="s">
        <v>9334</v>
      </c>
      <c r="P1957" s="17" t="s">
        <v>9338</v>
      </c>
      <c r="Q1957" s="17"/>
      <c r="R1957" s="25" t="str">
        <f>HYPERLINK("https://ictv.global/taxonomy/taxondetails?taxnode_id=202311777","Stoningtonvirus VBP47")</f>
        <v>Stoningtonvirus VBP47</v>
      </c>
      <c r="S1957" s="18" t="s">
        <v>30</v>
      </c>
      <c r="T1957" s="18" t="s">
        <v>9339</v>
      </c>
      <c r="U1957" s="18"/>
      <c r="V1957" s="18"/>
      <c r="W1957" s="18" t="s">
        <v>9340</v>
      </c>
      <c r="X1957" s="18" t="s">
        <v>42</v>
      </c>
      <c r="Y1957" s="18" t="s">
        <v>36</v>
      </c>
      <c r="Z1957" s="18" t="s">
        <v>697</v>
      </c>
      <c r="AA1957" s="21" t="str">
        <f>HYPERLINK("https://www.ncbi.nlm.nih.gov/nuccore/HQ634194","NCBI Nucleotide")</f>
        <v>NCBI Nucleotide</v>
      </c>
    </row>
    <row r="1958" spans="1:27" x14ac:dyDescent="0.35">
      <c r="A1958">
        <v>1002434</v>
      </c>
      <c r="B1958">
        <v>1934</v>
      </c>
      <c r="C1958">
        <v>1</v>
      </c>
      <c r="D1958" s="17" t="s">
        <v>155</v>
      </c>
      <c r="E1958" s="17"/>
      <c r="F1958" s="17" t="s">
        <v>156</v>
      </c>
      <c r="G1958" s="17"/>
      <c r="H1958" s="17" t="s">
        <v>692</v>
      </c>
      <c r="I1958" s="17"/>
      <c r="J1958" s="17" t="s">
        <v>693</v>
      </c>
      <c r="K1958" s="17"/>
      <c r="L1958" s="17"/>
      <c r="M1958" s="17"/>
      <c r="N1958" s="17" t="s">
        <v>9159</v>
      </c>
      <c r="O1958" s="17" t="s">
        <v>9341</v>
      </c>
      <c r="P1958" s="17" t="s">
        <v>9342</v>
      </c>
      <c r="Q1958" s="17"/>
      <c r="R1958" s="25" t="str">
        <f>HYPERLINK("https://ictv.global/taxonomy/taxondetails?taxnode_id=202305495","Ithacavirus SP058")</f>
        <v>Ithacavirus SP058</v>
      </c>
      <c r="S1958" s="18" t="s">
        <v>30</v>
      </c>
      <c r="T1958" s="18" t="s">
        <v>9343</v>
      </c>
      <c r="U1958" s="18"/>
      <c r="V1958" s="18"/>
      <c r="W1958" s="18" t="s">
        <v>9344</v>
      </c>
      <c r="X1958" s="18" t="s">
        <v>42</v>
      </c>
      <c r="Y1958" s="18" t="s">
        <v>36</v>
      </c>
      <c r="Z1958" s="18" t="s">
        <v>697</v>
      </c>
      <c r="AA1958" s="21" t="str">
        <f>HYPERLINK("https://www.ncbi.nlm.nih.gov/nuccore/KC139517","NCBI Nucleotide")</f>
        <v>NCBI Nucleotide</v>
      </c>
    </row>
    <row r="1959" spans="1:27" x14ac:dyDescent="0.35">
      <c r="A1959">
        <v>1002435</v>
      </c>
      <c r="B1959">
        <v>1935</v>
      </c>
      <c r="C1959">
        <v>1</v>
      </c>
      <c r="D1959" s="17" t="s">
        <v>155</v>
      </c>
      <c r="E1959" s="17"/>
      <c r="F1959" s="17" t="s">
        <v>156</v>
      </c>
      <c r="G1959" s="17"/>
      <c r="H1959" s="17" t="s">
        <v>692</v>
      </c>
      <c r="I1959" s="17"/>
      <c r="J1959" s="17" t="s">
        <v>693</v>
      </c>
      <c r="K1959" s="17"/>
      <c r="L1959" s="17"/>
      <c r="M1959" s="17"/>
      <c r="N1959" s="17" t="s">
        <v>9159</v>
      </c>
      <c r="O1959" s="17" t="s">
        <v>9341</v>
      </c>
      <c r="P1959" s="17" t="s">
        <v>9342</v>
      </c>
      <c r="Q1959" s="17"/>
      <c r="R1959" s="25" t="str">
        <f>HYPERLINK("https://ictv.global/taxonomy/taxondetails?taxnode_id=202305496","Ithacavirus SP076")</f>
        <v>Ithacavirus SP076</v>
      </c>
      <c r="S1959" s="18" t="s">
        <v>30</v>
      </c>
      <c r="T1959" s="18" t="s">
        <v>9345</v>
      </c>
      <c r="U1959" s="18"/>
      <c r="V1959" s="18"/>
      <c r="W1959" s="18" t="s">
        <v>9346</v>
      </c>
      <c r="X1959" s="18" t="s">
        <v>42</v>
      </c>
      <c r="Y1959" s="18" t="s">
        <v>36</v>
      </c>
      <c r="Z1959" s="18" t="s">
        <v>697</v>
      </c>
      <c r="AA1959" s="21" t="str">
        <f>HYPERLINK("https://www.ncbi.nlm.nih.gov/nuccore/KC139520","NCBI Nucleotide")</f>
        <v>NCBI Nucleotide</v>
      </c>
    </row>
    <row r="1960" spans="1:27" x14ac:dyDescent="0.35">
      <c r="A1960">
        <v>1002436</v>
      </c>
      <c r="B1960">
        <v>1936</v>
      </c>
      <c r="C1960">
        <v>1</v>
      </c>
      <c r="D1960" s="17" t="s">
        <v>155</v>
      </c>
      <c r="E1960" s="17"/>
      <c r="F1960" s="17" t="s">
        <v>156</v>
      </c>
      <c r="G1960" s="17"/>
      <c r="H1960" s="17" t="s">
        <v>692</v>
      </c>
      <c r="I1960" s="17"/>
      <c r="J1960" s="17" t="s">
        <v>693</v>
      </c>
      <c r="K1960" s="17"/>
      <c r="L1960" s="17"/>
      <c r="M1960" s="17"/>
      <c r="N1960" s="17" t="s">
        <v>9159</v>
      </c>
      <c r="O1960" s="17" t="s">
        <v>9341</v>
      </c>
      <c r="P1960" s="17" t="s">
        <v>9347</v>
      </c>
      <c r="Q1960" s="17"/>
      <c r="R1960" s="25" t="str">
        <f>HYPERLINK("https://ictv.global/taxonomy/taxondetails?taxnode_id=202305494","Pollockvirus pollock")</f>
        <v>Pollockvirus pollock</v>
      </c>
      <c r="S1960" s="18" t="s">
        <v>30</v>
      </c>
      <c r="T1960" s="18" t="s">
        <v>9348</v>
      </c>
      <c r="U1960" s="18"/>
      <c r="V1960" s="18"/>
      <c r="W1960" s="18" t="s">
        <v>9349</v>
      </c>
      <c r="X1960" s="18" t="s">
        <v>42</v>
      </c>
      <c r="Y1960" s="18" t="s">
        <v>36</v>
      </c>
      <c r="Z1960" s="18" t="s">
        <v>697</v>
      </c>
      <c r="AA1960" s="21" t="str">
        <f>HYPERLINK("https://www.ncbi.nlm.nih.gov/nuccore/KM236242","NCBI Nucleotide")</f>
        <v>NCBI Nucleotide</v>
      </c>
    </row>
    <row r="1961" spans="1:27" x14ac:dyDescent="0.35">
      <c r="A1961">
        <v>1002437</v>
      </c>
      <c r="B1961">
        <v>1937</v>
      </c>
      <c r="C1961">
        <v>1</v>
      </c>
      <c r="D1961" s="17" t="s">
        <v>155</v>
      </c>
      <c r="E1961" s="17"/>
      <c r="F1961" s="17" t="s">
        <v>156</v>
      </c>
      <c r="G1961" s="17"/>
      <c r="H1961" s="17" t="s">
        <v>692</v>
      </c>
      <c r="I1961" s="17"/>
      <c r="J1961" s="17" t="s">
        <v>693</v>
      </c>
      <c r="K1961" s="17"/>
      <c r="L1961" s="17"/>
      <c r="M1961" s="17"/>
      <c r="N1961" s="17" t="s">
        <v>9159</v>
      </c>
      <c r="O1961" s="17" t="s">
        <v>9341</v>
      </c>
      <c r="P1961" s="17" t="s">
        <v>9350</v>
      </c>
      <c r="Q1961" s="17"/>
      <c r="R1961" s="25" t="str">
        <f>HYPERLINK("https://ictv.global/taxonomy/taxondetails?taxnode_id=202311637","Pylasvirus KpCHEMY26")</f>
        <v>Pylasvirus KpCHEMY26</v>
      </c>
      <c r="S1961" s="18" t="s">
        <v>30</v>
      </c>
      <c r="T1961" s="18" t="s">
        <v>9351</v>
      </c>
      <c r="U1961" s="18"/>
      <c r="V1961" s="18"/>
      <c r="W1961" s="18" t="s">
        <v>9352</v>
      </c>
      <c r="X1961" s="18" t="s">
        <v>42</v>
      </c>
      <c r="Y1961" s="18" t="s">
        <v>36</v>
      </c>
      <c r="Z1961" s="18" t="s">
        <v>697</v>
      </c>
      <c r="AA1961" s="21" t="str">
        <f>HYPERLINK("https://www.ncbi.nlm.nih.gov/nuccore/MN163281","NCBI Nucleotide")</f>
        <v>NCBI Nucleotide</v>
      </c>
    </row>
    <row r="1962" spans="1:27" x14ac:dyDescent="0.35">
      <c r="A1962">
        <v>1002438</v>
      </c>
      <c r="B1962">
        <v>1938</v>
      </c>
      <c r="C1962">
        <v>1</v>
      </c>
      <c r="D1962" s="17" t="s">
        <v>155</v>
      </c>
      <c r="E1962" s="17"/>
      <c r="F1962" s="17" t="s">
        <v>156</v>
      </c>
      <c r="G1962" s="17"/>
      <c r="H1962" s="17" t="s">
        <v>692</v>
      </c>
      <c r="I1962" s="17"/>
      <c r="J1962" s="17" t="s">
        <v>693</v>
      </c>
      <c r="K1962" s="17"/>
      <c r="L1962" s="17"/>
      <c r="M1962" s="17"/>
      <c r="N1962" s="17" t="s">
        <v>9159</v>
      </c>
      <c r="O1962" s="17" t="s">
        <v>9341</v>
      </c>
      <c r="P1962" s="17" t="s">
        <v>9350</v>
      </c>
      <c r="Q1962" s="17"/>
      <c r="R1962" s="25" t="str">
        <f>HYPERLINK("https://ictv.global/taxonomy/taxondetails?taxnode_id=202311636","Pylasvirus pylas")</f>
        <v>Pylasvirus pylas</v>
      </c>
      <c r="S1962" s="18" t="s">
        <v>30</v>
      </c>
      <c r="T1962" s="18" t="s">
        <v>9353</v>
      </c>
      <c r="U1962" s="18"/>
      <c r="V1962" s="18"/>
      <c r="W1962" s="18" t="s">
        <v>9354</v>
      </c>
      <c r="X1962" s="18" t="s">
        <v>42</v>
      </c>
      <c r="Y1962" s="18" t="s">
        <v>36</v>
      </c>
      <c r="Z1962" s="18" t="s">
        <v>697</v>
      </c>
      <c r="AA1962" s="21" t="str">
        <f>HYPERLINK("https://www.ncbi.nlm.nih.gov/nuccore/MH899585","NCBI Nucleotide")</f>
        <v>NCBI Nucleotide</v>
      </c>
    </row>
    <row r="1963" spans="1:27" x14ac:dyDescent="0.35">
      <c r="A1963">
        <v>1002439</v>
      </c>
      <c r="B1963">
        <v>1939</v>
      </c>
      <c r="C1963">
        <v>1</v>
      </c>
      <c r="D1963" s="17" t="s">
        <v>155</v>
      </c>
      <c r="E1963" s="17"/>
      <c r="F1963" s="17" t="s">
        <v>156</v>
      </c>
      <c r="G1963" s="17"/>
      <c r="H1963" s="17" t="s">
        <v>692</v>
      </c>
      <c r="I1963" s="17"/>
      <c r="J1963" s="17" t="s">
        <v>693</v>
      </c>
      <c r="K1963" s="17"/>
      <c r="L1963" s="17"/>
      <c r="M1963" s="17"/>
      <c r="N1963" s="17" t="s">
        <v>9159</v>
      </c>
      <c r="O1963" s="17" t="s">
        <v>9355</v>
      </c>
      <c r="P1963" s="17" t="s">
        <v>9356</v>
      </c>
      <c r="Q1963" s="17"/>
      <c r="R1963" s="25" t="str">
        <f>HYPERLINK("https://ictv.global/taxonomy/taxondetails?taxnode_id=202300657","Litunavirus Ab09")</f>
        <v>Litunavirus Ab09</v>
      </c>
      <c r="S1963" s="18" t="s">
        <v>30</v>
      </c>
      <c r="T1963" s="18" t="s">
        <v>9357</v>
      </c>
      <c r="U1963" s="18"/>
      <c r="V1963" s="18"/>
      <c r="W1963" s="18" t="s">
        <v>9358</v>
      </c>
      <c r="X1963" s="18" t="s">
        <v>42</v>
      </c>
      <c r="Y1963" s="18" t="s">
        <v>36</v>
      </c>
      <c r="Z1963" s="18" t="s">
        <v>697</v>
      </c>
      <c r="AA1963" s="21" t="str">
        <f>HYPERLINK("https://www.ncbi.nlm.nih.gov/nuccore/HG962375","NCBI Nucleotide")</f>
        <v>NCBI Nucleotide</v>
      </c>
    </row>
    <row r="1964" spans="1:27" x14ac:dyDescent="0.35">
      <c r="A1964">
        <v>1002440</v>
      </c>
      <c r="B1964">
        <v>1940</v>
      </c>
      <c r="C1964">
        <v>1</v>
      </c>
      <c r="D1964" s="17" t="s">
        <v>155</v>
      </c>
      <c r="E1964" s="17"/>
      <c r="F1964" s="17" t="s">
        <v>156</v>
      </c>
      <c r="G1964" s="17"/>
      <c r="H1964" s="17" t="s">
        <v>692</v>
      </c>
      <c r="I1964" s="17"/>
      <c r="J1964" s="17" t="s">
        <v>693</v>
      </c>
      <c r="K1964" s="17"/>
      <c r="L1964" s="17"/>
      <c r="M1964" s="17"/>
      <c r="N1964" s="17" t="s">
        <v>9159</v>
      </c>
      <c r="O1964" s="17" t="s">
        <v>9355</v>
      </c>
      <c r="P1964" s="17" t="s">
        <v>9356</v>
      </c>
      <c r="Q1964" s="17"/>
      <c r="R1964" s="25" t="str">
        <f>HYPERLINK("https://ictv.global/taxonomy/taxondetails?taxnode_id=202300658","Litunavirus LIT1")</f>
        <v>Litunavirus LIT1</v>
      </c>
      <c r="S1964" s="18" t="s">
        <v>30</v>
      </c>
      <c r="T1964" s="18" t="s">
        <v>9359</v>
      </c>
      <c r="U1964" s="18"/>
      <c r="V1964" s="18"/>
      <c r="W1964" s="18" t="s">
        <v>9360</v>
      </c>
      <c r="X1964" s="18" t="s">
        <v>42</v>
      </c>
      <c r="Y1964" s="18" t="s">
        <v>36</v>
      </c>
      <c r="Z1964" s="18" t="s">
        <v>697</v>
      </c>
      <c r="AA1964" s="21" t="str">
        <f>HYPERLINK("https://www.ncbi.nlm.nih.gov/nuccore/FN422399","NCBI Nucleotide")</f>
        <v>NCBI Nucleotide</v>
      </c>
    </row>
    <row r="1965" spans="1:27" x14ac:dyDescent="0.35">
      <c r="A1965">
        <v>1002441</v>
      </c>
      <c r="B1965">
        <v>1941</v>
      </c>
      <c r="C1965">
        <v>1</v>
      </c>
      <c r="D1965" s="17" t="s">
        <v>155</v>
      </c>
      <c r="E1965" s="17"/>
      <c r="F1965" s="17" t="s">
        <v>156</v>
      </c>
      <c r="G1965" s="17"/>
      <c r="H1965" s="17" t="s">
        <v>692</v>
      </c>
      <c r="I1965" s="17"/>
      <c r="J1965" s="17" t="s">
        <v>693</v>
      </c>
      <c r="K1965" s="17"/>
      <c r="L1965" s="17"/>
      <c r="M1965" s="17"/>
      <c r="N1965" s="17" t="s">
        <v>9159</v>
      </c>
      <c r="O1965" s="17" t="s">
        <v>9355</v>
      </c>
      <c r="P1965" s="17" t="s">
        <v>9356</v>
      </c>
      <c r="Q1965" s="17"/>
      <c r="R1965" s="25" t="str">
        <f>HYPERLINK("https://ictv.global/taxonomy/taxondetails?taxnode_id=202314827","Litunavirus Mag4")</f>
        <v>Litunavirus Mag4</v>
      </c>
      <c r="S1965" s="18" t="s">
        <v>30</v>
      </c>
      <c r="T1965" s="18" t="s">
        <v>9361</v>
      </c>
      <c r="U1965" s="18"/>
      <c r="V1965" s="18"/>
      <c r="W1965" s="18" t="s">
        <v>9362</v>
      </c>
      <c r="X1965" s="18" t="s">
        <v>42</v>
      </c>
      <c r="Y1965" s="18" t="s">
        <v>36</v>
      </c>
      <c r="Z1965" s="18" t="s">
        <v>697</v>
      </c>
      <c r="AA1965" s="21" t="str">
        <f>HYPERLINK("https://www.ncbi.nlm.nih.gov/nuccore/KR052142","NCBI Nucleotide")</f>
        <v>NCBI Nucleotide</v>
      </c>
    </row>
    <row r="1966" spans="1:27" x14ac:dyDescent="0.35">
      <c r="A1966">
        <v>1002442</v>
      </c>
      <c r="B1966">
        <v>1942</v>
      </c>
      <c r="C1966">
        <v>1</v>
      </c>
      <c r="D1966" s="17" t="s">
        <v>155</v>
      </c>
      <c r="E1966" s="17"/>
      <c r="F1966" s="17" t="s">
        <v>156</v>
      </c>
      <c r="G1966" s="17"/>
      <c r="H1966" s="17" t="s">
        <v>692</v>
      </c>
      <c r="I1966" s="17"/>
      <c r="J1966" s="17" t="s">
        <v>693</v>
      </c>
      <c r="K1966" s="17"/>
      <c r="L1966" s="17"/>
      <c r="M1966" s="17"/>
      <c r="N1966" s="17" t="s">
        <v>9159</v>
      </c>
      <c r="O1966" s="17" t="s">
        <v>9355</v>
      </c>
      <c r="P1966" s="17" t="s">
        <v>9356</v>
      </c>
      <c r="Q1966" s="17"/>
      <c r="R1966" s="25" t="str">
        <f>HYPERLINK("https://ictv.global/taxonomy/taxondetails?taxnode_id=202314828","Litunavirus P121")</f>
        <v>Litunavirus P121</v>
      </c>
      <c r="S1966" s="18" t="s">
        <v>30</v>
      </c>
      <c r="T1966" s="18" t="s">
        <v>9363</v>
      </c>
      <c r="U1966" s="18"/>
      <c r="V1966" s="18"/>
      <c r="W1966" s="18" t="s">
        <v>9364</v>
      </c>
      <c r="X1966" s="18" t="s">
        <v>42</v>
      </c>
      <c r="Y1966" s="18" t="s">
        <v>36</v>
      </c>
      <c r="Z1966" s="18" t="s">
        <v>697</v>
      </c>
      <c r="AA1966" s="21" t="str">
        <f>HYPERLINK("https://www.ncbi.nlm.nih.gov/nuccore/MZ955867","NCBI Nucleotide")</f>
        <v>NCBI Nucleotide</v>
      </c>
    </row>
    <row r="1967" spans="1:27" x14ac:dyDescent="0.35">
      <c r="A1967">
        <v>1002443</v>
      </c>
      <c r="B1967">
        <v>1943</v>
      </c>
      <c r="C1967">
        <v>1</v>
      </c>
      <c r="D1967" s="17" t="s">
        <v>155</v>
      </c>
      <c r="E1967" s="17"/>
      <c r="F1967" s="17" t="s">
        <v>156</v>
      </c>
      <c r="G1967" s="17"/>
      <c r="H1967" s="17" t="s">
        <v>692</v>
      </c>
      <c r="I1967" s="17"/>
      <c r="J1967" s="17" t="s">
        <v>693</v>
      </c>
      <c r="K1967" s="17"/>
      <c r="L1967" s="17"/>
      <c r="M1967" s="17"/>
      <c r="N1967" s="17" t="s">
        <v>9159</v>
      </c>
      <c r="O1967" s="17" t="s">
        <v>9355</v>
      </c>
      <c r="P1967" s="17" t="s">
        <v>9356</v>
      </c>
      <c r="Q1967" s="17"/>
      <c r="R1967" s="25" t="str">
        <f>HYPERLINK("https://ictv.global/taxonomy/taxondetails?taxnode_id=202300659","Litunavirus PA26")</f>
        <v>Litunavirus PA26</v>
      </c>
      <c r="S1967" s="18" t="s">
        <v>30</v>
      </c>
      <c r="T1967" s="18" t="s">
        <v>9365</v>
      </c>
      <c r="U1967" s="18"/>
      <c r="V1967" s="18"/>
      <c r="W1967" s="18" t="s">
        <v>9366</v>
      </c>
      <c r="X1967" s="18" t="s">
        <v>42</v>
      </c>
      <c r="Y1967" s="18" t="s">
        <v>36</v>
      </c>
      <c r="Z1967" s="18" t="s">
        <v>697</v>
      </c>
      <c r="AA1967" s="21" t="str">
        <f>HYPERLINK("https://www.ncbi.nlm.nih.gov/nuccore/JX194238","NCBI Nucleotide")</f>
        <v>NCBI Nucleotide</v>
      </c>
    </row>
    <row r="1968" spans="1:27" x14ac:dyDescent="0.35">
      <c r="A1968">
        <v>1002444</v>
      </c>
      <c r="B1968">
        <v>1944</v>
      </c>
      <c r="C1968">
        <v>1</v>
      </c>
      <c r="D1968" s="17" t="s">
        <v>155</v>
      </c>
      <c r="E1968" s="17"/>
      <c r="F1968" s="17" t="s">
        <v>156</v>
      </c>
      <c r="G1968" s="17"/>
      <c r="H1968" s="17" t="s">
        <v>692</v>
      </c>
      <c r="I1968" s="17"/>
      <c r="J1968" s="17" t="s">
        <v>693</v>
      </c>
      <c r="K1968" s="17"/>
      <c r="L1968" s="17"/>
      <c r="M1968" s="17"/>
      <c r="N1968" s="17" t="s">
        <v>9159</v>
      </c>
      <c r="O1968" s="17" t="s">
        <v>9355</v>
      </c>
      <c r="P1968" s="17" t="s">
        <v>9356</v>
      </c>
      <c r="Q1968" s="17"/>
      <c r="R1968" s="25" t="str">
        <f>HYPERLINK("https://ictv.global/taxonomy/taxondetails?taxnode_id=202314830","Litunavirus Pae575p3")</f>
        <v>Litunavirus Pae575p3</v>
      </c>
      <c r="S1968" s="18" t="s">
        <v>30</v>
      </c>
      <c r="T1968" s="18" t="s">
        <v>9367</v>
      </c>
      <c r="U1968" s="18"/>
      <c r="V1968" s="18"/>
      <c r="W1968" s="18" t="s">
        <v>9368</v>
      </c>
      <c r="X1968" s="18" t="s">
        <v>42</v>
      </c>
      <c r="Y1968" s="18" t="s">
        <v>36</v>
      </c>
      <c r="Z1968" s="18" t="s">
        <v>697</v>
      </c>
      <c r="AA1968" s="21" t="str">
        <f>HYPERLINK("https://www.ncbi.nlm.nih.gov/nuccore/KX171209","NCBI Nucleotide")</f>
        <v>NCBI Nucleotide</v>
      </c>
    </row>
    <row r="1969" spans="1:27" x14ac:dyDescent="0.35">
      <c r="A1969">
        <v>1002445</v>
      </c>
      <c r="B1969">
        <v>1945</v>
      </c>
      <c r="C1969">
        <v>1</v>
      </c>
      <c r="D1969" s="17" t="s">
        <v>155</v>
      </c>
      <c r="E1969" s="17"/>
      <c r="F1969" s="17" t="s">
        <v>156</v>
      </c>
      <c r="G1969" s="17"/>
      <c r="H1969" s="17" t="s">
        <v>692</v>
      </c>
      <c r="I1969" s="17"/>
      <c r="J1969" s="17" t="s">
        <v>693</v>
      </c>
      <c r="K1969" s="17"/>
      <c r="L1969" s="17"/>
      <c r="M1969" s="17"/>
      <c r="N1969" s="17" t="s">
        <v>9159</v>
      </c>
      <c r="O1969" s="17" t="s">
        <v>9355</v>
      </c>
      <c r="P1969" s="17" t="s">
        <v>9356</v>
      </c>
      <c r="Q1969" s="17"/>
      <c r="R1969" s="25" t="str">
        <f>HYPERLINK("https://ictv.global/taxonomy/taxondetails?taxnode_id=202314829","Litunavirus Pap02")</f>
        <v>Litunavirus Pap02</v>
      </c>
      <c r="S1969" s="18" t="s">
        <v>30</v>
      </c>
      <c r="T1969" s="18" t="s">
        <v>9369</v>
      </c>
      <c r="U1969" s="18"/>
      <c r="V1969" s="18"/>
      <c r="W1969" s="18" t="s">
        <v>9370</v>
      </c>
      <c r="X1969" s="18" t="s">
        <v>42</v>
      </c>
      <c r="Y1969" s="18" t="s">
        <v>36</v>
      </c>
      <c r="Z1969" s="18" t="s">
        <v>697</v>
      </c>
      <c r="AA1969" s="21" t="str">
        <f>HYPERLINK("https://www.ncbi.nlm.nih.gov/nuccore/MT080102","NCBI Nucleotide")</f>
        <v>NCBI Nucleotide</v>
      </c>
    </row>
    <row r="1970" spans="1:27" x14ac:dyDescent="0.35">
      <c r="A1970">
        <v>1002446</v>
      </c>
      <c r="B1970">
        <v>1946</v>
      </c>
      <c r="C1970">
        <v>1</v>
      </c>
      <c r="D1970" s="17" t="s">
        <v>155</v>
      </c>
      <c r="E1970" s="17"/>
      <c r="F1970" s="17" t="s">
        <v>156</v>
      </c>
      <c r="G1970" s="17"/>
      <c r="H1970" s="17" t="s">
        <v>692</v>
      </c>
      <c r="I1970" s="17"/>
      <c r="J1970" s="17" t="s">
        <v>693</v>
      </c>
      <c r="K1970" s="17"/>
      <c r="L1970" s="17"/>
      <c r="M1970" s="17"/>
      <c r="N1970" s="17" t="s">
        <v>9159</v>
      </c>
      <c r="O1970" s="17" t="s">
        <v>9355</v>
      </c>
      <c r="P1970" s="17" t="s">
        <v>9356</v>
      </c>
      <c r="Q1970" s="17"/>
      <c r="R1970" s="25" t="str">
        <f>HYPERLINK("https://ictv.global/taxonomy/taxondetails?taxnode_id=202314825","Litunavirus Vl1")</f>
        <v>Litunavirus Vl1</v>
      </c>
      <c r="S1970" s="18" t="s">
        <v>30</v>
      </c>
      <c r="T1970" s="18" t="s">
        <v>9371</v>
      </c>
      <c r="U1970" s="18"/>
      <c r="V1970" s="18"/>
      <c r="W1970" s="18" t="s">
        <v>9372</v>
      </c>
      <c r="X1970" s="18" t="s">
        <v>42</v>
      </c>
      <c r="Y1970" s="18" t="s">
        <v>36</v>
      </c>
      <c r="Z1970" s="18" t="s">
        <v>697</v>
      </c>
      <c r="AA1970" s="21" t="str">
        <f>HYPERLINK("https://www.ncbi.nlm.nih.gov/nuccore/OK665488","NCBI Nucleotide")</f>
        <v>NCBI Nucleotide</v>
      </c>
    </row>
    <row r="1971" spans="1:27" x14ac:dyDescent="0.35">
      <c r="A1971">
        <v>1002447</v>
      </c>
      <c r="B1971">
        <v>1947</v>
      </c>
      <c r="C1971">
        <v>1</v>
      </c>
      <c r="D1971" s="17" t="s">
        <v>155</v>
      </c>
      <c r="E1971" s="17"/>
      <c r="F1971" s="17" t="s">
        <v>156</v>
      </c>
      <c r="G1971" s="17"/>
      <c r="H1971" s="17" t="s">
        <v>692</v>
      </c>
      <c r="I1971" s="17"/>
      <c r="J1971" s="17" t="s">
        <v>693</v>
      </c>
      <c r="K1971" s="17"/>
      <c r="L1971" s="17"/>
      <c r="M1971" s="17"/>
      <c r="N1971" s="17" t="s">
        <v>9159</v>
      </c>
      <c r="O1971" s="17" t="s">
        <v>9355</v>
      </c>
      <c r="P1971" s="17" t="s">
        <v>9356</v>
      </c>
      <c r="Q1971" s="17"/>
      <c r="R1971" s="25" t="str">
        <f>HYPERLINK("https://ictv.global/taxonomy/taxondetails?taxnode_id=202314826","Litunavirus Yh6")</f>
        <v>Litunavirus Yh6</v>
      </c>
      <c r="S1971" s="18" t="s">
        <v>30</v>
      </c>
      <c r="T1971" s="18" t="s">
        <v>9373</v>
      </c>
      <c r="U1971" s="18"/>
      <c r="V1971" s="18"/>
      <c r="W1971" s="18" t="s">
        <v>9374</v>
      </c>
      <c r="X1971" s="18" t="s">
        <v>42</v>
      </c>
      <c r="Y1971" s="18" t="s">
        <v>36</v>
      </c>
      <c r="Z1971" s="18" t="s">
        <v>697</v>
      </c>
      <c r="AA1971" s="21" t="str">
        <f>HYPERLINK("https://www.ncbi.nlm.nih.gov/nuccore/KM974184","NCBI Nucleotide")</f>
        <v>NCBI Nucleotide</v>
      </c>
    </row>
    <row r="1972" spans="1:27" x14ac:dyDescent="0.35">
      <c r="A1972">
        <v>1002448</v>
      </c>
      <c r="B1972">
        <v>1948</v>
      </c>
      <c r="C1972">
        <v>1</v>
      </c>
      <c r="D1972" s="17" t="s">
        <v>155</v>
      </c>
      <c r="E1972" s="17"/>
      <c r="F1972" s="17" t="s">
        <v>156</v>
      </c>
      <c r="G1972" s="17"/>
      <c r="H1972" s="17" t="s">
        <v>692</v>
      </c>
      <c r="I1972" s="17"/>
      <c r="J1972" s="17" t="s">
        <v>693</v>
      </c>
      <c r="K1972" s="17"/>
      <c r="L1972" s="17"/>
      <c r="M1972" s="17"/>
      <c r="N1972" s="17" t="s">
        <v>9159</v>
      </c>
      <c r="O1972" s="17" t="s">
        <v>9355</v>
      </c>
      <c r="P1972" s="17" t="s">
        <v>9375</v>
      </c>
      <c r="Q1972" s="17"/>
      <c r="R1972" s="25" t="str">
        <f>HYPERLINK("https://ictv.global/taxonomy/taxondetails?taxnode_id=202300669","Luzseptimavirus KPP21")</f>
        <v>Luzseptimavirus KPP21</v>
      </c>
      <c r="S1972" s="18" t="s">
        <v>30</v>
      </c>
      <c r="T1972" s="18" t="s">
        <v>9376</v>
      </c>
      <c r="U1972" s="18"/>
      <c r="V1972" s="18"/>
      <c r="W1972" s="18" t="s">
        <v>9377</v>
      </c>
      <c r="X1972" s="18" t="s">
        <v>42</v>
      </c>
      <c r="Y1972" s="18" t="s">
        <v>36</v>
      </c>
      <c r="Z1972" s="18" t="s">
        <v>697</v>
      </c>
      <c r="AA1972" s="21" t="str">
        <f>HYPERLINK("https://www.ncbi.nlm.nih.gov/nuccore/LC064302","NCBI Nucleotide")</f>
        <v>NCBI Nucleotide</v>
      </c>
    </row>
    <row r="1973" spans="1:27" x14ac:dyDescent="0.35">
      <c r="A1973">
        <v>1002449</v>
      </c>
      <c r="B1973">
        <v>1949</v>
      </c>
      <c r="C1973">
        <v>1</v>
      </c>
      <c r="D1973" s="17" t="s">
        <v>155</v>
      </c>
      <c r="E1973" s="17"/>
      <c r="F1973" s="17" t="s">
        <v>156</v>
      </c>
      <c r="G1973" s="17"/>
      <c r="H1973" s="17" t="s">
        <v>692</v>
      </c>
      <c r="I1973" s="17"/>
      <c r="J1973" s="17" t="s">
        <v>693</v>
      </c>
      <c r="K1973" s="17"/>
      <c r="L1973" s="17"/>
      <c r="M1973" s="17"/>
      <c r="N1973" s="17" t="s">
        <v>9159</v>
      </c>
      <c r="O1973" s="17" t="s">
        <v>9355</v>
      </c>
      <c r="P1973" s="17" t="s">
        <v>9375</v>
      </c>
      <c r="Q1973" s="17"/>
      <c r="R1973" s="25" t="str">
        <f>HYPERLINK("https://ictv.global/taxonomy/taxondetails?taxnode_id=202300670","Luzseptimavirus LUZ7")</f>
        <v>Luzseptimavirus LUZ7</v>
      </c>
      <c r="S1973" s="18" t="s">
        <v>30</v>
      </c>
      <c r="T1973" s="18" t="s">
        <v>9378</v>
      </c>
      <c r="U1973" s="18"/>
      <c r="V1973" s="18"/>
      <c r="W1973" s="18" t="s">
        <v>9379</v>
      </c>
      <c r="X1973" s="18" t="s">
        <v>42</v>
      </c>
      <c r="Y1973" s="18" t="s">
        <v>36</v>
      </c>
      <c r="Z1973" s="18" t="s">
        <v>697</v>
      </c>
      <c r="AA1973" s="21" t="str">
        <f>HYPERLINK("https://www.ncbi.nlm.nih.gov/nuccore/FN422398","NCBI Nucleotide")</f>
        <v>NCBI Nucleotide</v>
      </c>
    </row>
    <row r="1974" spans="1:27" x14ac:dyDescent="0.35">
      <c r="A1974">
        <v>1002450</v>
      </c>
      <c r="B1974">
        <v>1950</v>
      </c>
      <c r="C1974">
        <v>1</v>
      </c>
      <c r="D1974" s="17" t="s">
        <v>155</v>
      </c>
      <c r="E1974" s="17"/>
      <c r="F1974" s="17" t="s">
        <v>156</v>
      </c>
      <c r="G1974" s="17"/>
      <c r="H1974" s="17" t="s">
        <v>692</v>
      </c>
      <c r="I1974" s="17"/>
      <c r="J1974" s="17" t="s">
        <v>693</v>
      </c>
      <c r="K1974" s="17"/>
      <c r="L1974" s="17"/>
      <c r="M1974" s="17"/>
      <c r="N1974" s="17" t="s">
        <v>9159</v>
      </c>
      <c r="O1974" s="17" t="s">
        <v>9380</v>
      </c>
      <c r="P1974" s="17" t="s">
        <v>9381</v>
      </c>
      <c r="Q1974" s="17"/>
      <c r="R1974" s="25" t="str">
        <f>HYPERLINK("https://ictv.global/taxonomy/taxondetails?taxnode_id=202311786","Dorisvirus 49B3")</f>
        <v>Dorisvirus 49B3</v>
      </c>
      <c r="S1974" s="18" t="s">
        <v>30</v>
      </c>
      <c r="T1974" s="18" t="s">
        <v>9382</v>
      </c>
      <c r="U1974" s="18"/>
      <c r="V1974" s="18"/>
      <c r="W1974" s="18" t="s">
        <v>9383</v>
      </c>
      <c r="X1974" s="18" t="s">
        <v>154</v>
      </c>
      <c r="Y1974" s="18" t="s">
        <v>36</v>
      </c>
      <c r="Z1974" s="18" t="s">
        <v>697</v>
      </c>
      <c r="AA1974" s="21" t="str">
        <f>HYPERLINK("https://www.ncbi.nlm.nih.gov/nuccore/MG592470","NCBI Nucleotide")</f>
        <v>NCBI Nucleotide</v>
      </c>
    </row>
    <row r="1975" spans="1:27" x14ac:dyDescent="0.35">
      <c r="A1975">
        <v>1002451</v>
      </c>
      <c r="B1975">
        <v>1951</v>
      </c>
      <c r="C1975">
        <v>1</v>
      </c>
      <c r="D1975" s="17" t="s">
        <v>155</v>
      </c>
      <c r="E1975" s="17"/>
      <c r="F1975" s="17" t="s">
        <v>156</v>
      </c>
      <c r="G1975" s="17"/>
      <c r="H1975" s="17" t="s">
        <v>692</v>
      </c>
      <c r="I1975" s="17"/>
      <c r="J1975" s="17" t="s">
        <v>693</v>
      </c>
      <c r="K1975" s="17"/>
      <c r="L1975" s="17"/>
      <c r="M1975" s="17"/>
      <c r="N1975" s="17" t="s">
        <v>9159</v>
      </c>
      <c r="O1975" s="17" t="s">
        <v>9380</v>
      </c>
      <c r="P1975" s="17" t="s">
        <v>9384</v>
      </c>
      <c r="Q1975" s="17"/>
      <c r="R1975" s="25" t="str">
        <f>HYPERLINK("https://ictv.global/taxonomy/taxondetails?taxnode_id=202311788","Galateavirus PVA5")</f>
        <v>Galateavirus PVA5</v>
      </c>
      <c r="S1975" s="18" t="s">
        <v>30</v>
      </c>
      <c r="T1975" s="18" t="s">
        <v>9385</v>
      </c>
      <c r="U1975" s="18"/>
      <c r="V1975" s="18"/>
      <c r="W1975" s="18" t="s">
        <v>9386</v>
      </c>
      <c r="X1975" s="18" t="s">
        <v>42</v>
      </c>
      <c r="Y1975" s="18" t="s">
        <v>36</v>
      </c>
      <c r="Z1975" s="18" t="s">
        <v>697</v>
      </c>
      <c r="AA1975" s="21" t="str">
        <f>HYPERLINK("https://www.ncbi.nlm.nih.gov/nuccore/KX889068","NCBI Nucleotide")</f>
        <v>NCBI Nucleotide</v>
      </c>
    </row>
    <row r="1976" spans="1:27" x14ac:dyDescent="0.35">
      <c r="A1976">
        <v>1002452</v>
      </c>
      <c r="B1976">
        <v>1952</v>
      </c>
      <c r="C1976">
        <v>1</v>
      </c>
      <c r="D1976" s="17" t="s">
        <v>155</v>
      </c>
      <c r="E1976" s="17"/>
      <c r="F1976" s="17" t="s">
        <v>156</v>
      </c>
      <c r="G1976" s="17"/>
      <c r="H1976" s="17" t="s">
        <v>692</v>
      </c>
      <c r="I1976" s="17"/>
      <c r="J1976" s="17" t="s">
        <v>693</v>
      </c>
      <c r="K1976" s="17"/>
      <c r="L1976" s="17"/>
      <c r="M1976" s="17"/>
      <c r="N1976" s="17" t="s">
        <v>9159</v>
      </c>
      <c r="O1976" s="17" t="s">
        <v>9380</v>
      </c>
      <c r="P1976" s="17" t="s">
        <v>9387</v>
      </c>
      <c r="Q1976" s="17"/>
      <c r="R1976" s="25" t="str">
        <f>HYPERLINK("https://ictv.global/taxonomy/taxondetails?taxnode_id=202311784","Nahantvirus 49C7")</f>
        <v>Nahantvirus 49C7</v>
      </c>
      <c r="S1976" s="18" t="s">
        <v>30</v>
      </c>
      <c r="T1976" s="18" t="s">
        <v>9388</v>
      </c>
      <c r="U1976" s="18"/>
      <c r="V1976" s="18"/>
      <c r="W1976" s="18" t="s">
        <v>9389</v>
      </c>
      <c r="X1976" s="18" t="s">
        <v>154</v>
      </c>
      <c r="Y1976" s="18" t="s">
        <v>36</v>
      </c>
      <c r="Z1976" s="18" t="s">
        <v>697</v>
      </c>
      <c r="AA1976" s="21" t="str">
        <f>HYPERLINK("https://www.ncbi.nlm.nih.gov/nuccore/MG592410","NCBI Nucleotide")</f>
        <v>NCBI Nucleotide</v>
      </c>
    </row>
    <row r="1977" spans="1:27" x14ac:dyDescent="0.35">
      <c r="A1977">
        <v>1002453</v>
      </c>
      <c r="B1977">
        <v>1953</v>
      </c>
      <c r="C1977">
        <v>1</v>
      </c>
      <c r="D1977" s="17" t="s">
        <v>155</v>
      </c>
      <c r="E1977" s="17"/>
      <c r="F1977" s="17" t="s">
        <v>156</v>
      </c>
      <c r="G1977" s="17"/>
      <c r="H1977" s="17" t="s">
        <v>692</v>
      </c>
      <c r="I1977" s="17"/>
      <c r="J1977" s="17" t="s">
        <v>693</v>
      </c>
      <c r="K1977" s="17"/>
      <c r="L1977" s="17"/>
      <c r="M1977" s="17"/>
      <c r="N1977" s="17" t="s">
        <v>9159</v>
      </c>
      <c r="O1977" s="17" t="s">
        <v>9390</v>
      </c>
      <c r="P1977" s="17" t="s">
        <v>9391</v>
      </c>
      <c r="Q1977" s="17"/>
      <c r="R1977" s="25" t="str">
        <f>HYPERLINK("https://ictv.global/taxonomy/taxondetails?taxnode_id=202311797","Aoqinvirus RD1410W101")</f>
        <v>Aoqinvirus RD1410W101</v>
      </c>
      <c r="S1977" s="18" t="s">
        <v>30</v>
      </c>
      <c r="T1977" s="18" t="s">
        <v>9392</v>
      </c>
      <c r="U1977" s="18"/>
      <c r="V1977" s="18"/>
      <c r="W1977" s="18" t="s">
        <v>9393</v>
      </c>
      <c r="X1977" s="18" t="s">
        <v>154</v>
      </c>
      <c r="Y1977" s="18" t="s">
        <v>36</v>
      </c>
      <c r="Z1977" s="18" t="s">
        <v>697</v>
      </c>
      <c r="AA1977" s="21" t="str">
        <f>HYPERLINK("https://www.ncbi.nlm.nih.gov/nuccore/KU885989","NCBI Nucleotide")</f>
        <v>NCBI Nucleotide</v>
      </c>
    </row>
    <row r="1978" spans="1:27" x14ac:dyDescent="0.35">
      <c r="A1978">
        <v>1002454</v>
      </c>
      <c r="B1978">
        <v>1954</v>
      </c>
      <c r="C1978">
        <v>1</v>
      </c>
      <c r="D1978" s="17" t="s">
        <v>155</v>
      </c>
      <c r="E1978" s="17"/>
      <c r="F1978" s="17" t="s">
        <v>156</v>
      </c>
      <c r="G1978" s="17"/>
      <c r="H1978" s="17" t="s">
        <v>692</v>
      </c>
      <c r="I1978" s="17"/>
      <c r="J1978" s="17" t="s">
        <v>693</v>
      </c>
      <c r="K1978" s="17"/>
      <c r="L1978" s="17"/>
      <c r="M1978" s="17"/>
      <c r="N1978" s="17" t="s">
        <v>9159</v>
      </c>
      <c r="O1978" s="17" t="s">
        <v>9390</v>
      </c>
      <c r="P1978" s="17" t="s">
        <v>9394</v>
      </c>
      <c r="Q1978" s="17"/>
      <c r="R1978" s="25" t="str">
        <f>HYPERLINK("https://ictv.global/taxonomy/taxondetails?taxnode_id=202311801","Aorunvirus EE36phi1")</f>
        <v>Aorunvirus EE36phi1</v>
      </c>
      <c r="S1978" s="18" t="s">
        <v>30</v>
      </c>
      <c r="T1978" s="18" t="s">
        <v>9395</v>
      </c>
      <c r="U1978" s="18"/>
      <c r="V1978" s="18"/>
      <c r="W1978" s="18" t="s">
        <v>9396</v>
      </c>
      <c r="X1978" s="18" t="s">
        <v>42</v>
      </c>
      <c r="Y1978" s="18" t="s">
        <v>36</v>
      </c>
      <c r="Z1978" s="18" t="s">
        <v>697</v>
      </c>
      <c r="AA1978" s="21" t="str">
        <f>HYPERLINK("https://www.ncbi.nlm.nih.gov/nuccore/FJ591094","NCBI Nucleotide")</f>
        <v>NCBI Nucleotide</v>
      </c>
    </row>
    <row r="1979" spans="1:27" x14ac:dyDescent="0.35">
      <c r="A1979">
        <v>1002455</v>
      </c>
      <c r="B1979">
        <v>1955</v>
      </c>
      <c r="C1979">
        <v>1</v>
      </c>
      <c r="D1979" s="17" t="s">
        <v>155</v>
      </c>
      <c r="E1979" s="17"/>
      <c r="F1979" s="17" t="s">
        <v>156</v>
      </c>
      <c r="G1979" s="17"/>
      <c r="H1979" s="17" t="s">
        <v>692</v>
      </c>
      <c r="I1979" s="17"/>
      <c r="J1979" s="17" t="s">
        <v>693</v>
      </c>
      <c r="K1979" s="17"/>
      <c r="L1979" s="17"/>
      <c r="M1979" s="17"/>
      <c r="N1979" s="17" t="s">
        <v>9159</v>
      </c>
      <c r="O1979" s="17" t="s">
        <v>9390</v>
      </c>
      <c r="P1979" s="17" t="s">
        <v>9394</v>
      </c>
      <c r="Q1979" s="17"/>
      <c r="R1979" s="25" t="str">
        <f>HYPERLINK("https://ictv.global/taxonomy/taxondetails?taxnode_id=202311802","Aorunvirus V12")</f>
        <v>Aorunvirus V12</v>
      </c>
      <c r="S1979" s="18" t="s">
        <v>30</v>
      </c>
      <c r="T1979" s="18" t="s">
        <v>9397</v>
      </c>
      <c r="U1979" s="18"/>
      <c r="V1979" s="18"/>
      <c r="W1979" s="18" t="s">
        <v>9398</v>
      </c>
      <c r="X1979" s="18" t="s">
        <v>42</v>
      </c>
      <c r="Y1979" s="18" t="s">
        <v>36</v>
      </c>
      <c r="Z1979" s="18" t="s">
        <v>697</v>
      </c>
      <c r="AA1979" s="21" t="str">
        <f>HYPERLINK("https://www.ncbi.nlm.nih.gov/nuccore/MH015250","NCBI Nucleotide")</f>
        <v>NCBI Nucleotide</v>
      </c>
    </row>
    <row r="1980" spans="1:27" x14ac:dyDescent="0.35">
      <c r="A1980">
        <v>1002456</v>
      </c>
      <c r="B1980">
        <v>1956</v>
      </c>
      <c r="C1980">
        <v>1</v>
      </c>
      <c r="D1980" s="17" t="s">
        <v>155</v>
      </c>
      <c r="E1980" s="17"/>
      <c r="F1980" s="17" t="s">
        <v>156</v>
      </c>
      <c r="G1980" s="17"/>
      <c r="H1980" s="17" t="s">
        <v>692</v>
      </c>
      <c r="I1980" s="17"/>
      <c r="J1980" s="17" t="s">
        <v>693</v>
      </c>
      <c r="K1980" s="17"/>
      <c r="L1980" s="17"/>
      <c r="M1980" s="17"/>
      <c r="N1980" s="17" t="s">
        <v>9159</v>
      </c>
      <c r="O1980" s="17" t="s">
        <v>9390</v>
      </c>
      <c r="P1980" s="17" t="s">
        <v>9399</v>
      </c>
      <c r="Q1980" s="17"/>
      <c r="R1980" s="25" t="str">
        <f>HYPERLINK("https://ictv.global/taxonomy/taxondetails?taxnode_id=202305488","Baltimorevirus DFL12")</f>
        <v>Baltimorevirus DFL12</v>
      </c>
      <c r="S1980" s="18" t="s">
        <v>30</v>
      </c>
      <c r="T1980" s="18" t="s">
        <v>9400</v>
      </c>
      <c r="U1980" s="18"/>
      <c r="V1980" s="18"/>
      <c r="W1980" s="18" t="s">
        <v>9401</v>
      </c>
      <c r="X1980" s="18" t="s">
        <v>42</v>
      </c>
      <c r="Y1980" s="18" t="s">
        <v>36</v>
      </c>
      <c r="Z1980" s="18" t="s">
        <v>697</v>
      </c>
      <c r="AA1980" s="21" t="str">
        <f>HYPERLINK("https://www.ncbi.nlm.nih.gov/nuccore/KJ621082","NCBI Nucleotide")</f>
        <v>NCBI Nucleotide</v>
      </c>
    </row>
    <row r="1981" spans="1:27" x14ac:dyDescent="0.35">
      <c r="A1981">
        <v>1002457</v>
      </c>
      <c r="B1981">
        <v>1957</v>
      </c>
      <c r="C1981">
        <v>1</v>
      </c>
      <c r="D1981" s="17" t="s">
        <v>155</v>
      </c>
      <c r="E1981" s="17"/>
      <c r="F1981" s="17" t="s">
        <v>156</v>
      </c>
      <c r="G1981" s="17"/>
      <c r="H1981" s="17" t="s">
        <v>692</v>
      </c>
      <c r="I1981" s="17"/>
      <c r="J1981" s="17" t="s">
        <v>693</v>
      </c>
      <c r="K1981" s="17"/>
      <c r="L1981" s="17"/>
      <c r="M1981" s="17"/>
      <c r="N1981" s="17" t="s">
        <v>9159</v>
      </c>
      <c r="O1981" s="17" t="s">
        <v>9390</v>
      </c>
      <c r="P1981" s="17" t="s">
        <v>9402</v>
      </c>
      <c r="Q1981" s="17"/>
      <c r="R1981" s="25" t="str">
        <f>HYPERLINK("https://ictv.global/taxonomy/taxondetails?taxnode_id=202314822","Gonggongvirus R7l")</f>
        <v>Gonggongvirus R7l</v>
      </c>
      <c r="S1981" s="18" t="s">
        <v>30</v>
      </c>
      <c r="T1981" s="18" t="s">
        <v>9403</v>
      </c>
      <c r="U1981" s="18"/>
      <c r="V1981" s="18"/>
      <c r="W1981" s="18" t="s">
        <v>9404</v>
      </c>
      <c r="X1981" s="18" t="s">
        <v>42</v>
      </c>
      <c r="Y1981" s="18" t="s">
        <v>36</v>
      </c>
      <c r="Z1981" s="18" t="s">
        <v>697</v>
      </c>
      <c r="AA1981" s="21" t="str">
        <f>HYPERLINK("https://www.ncbi.nlm.nih.gov/nuccore/MZ773648","NCBI Nucleotide")</f>
        <v>NCBI Nucleotide</v>
      </c>
    </row>
    <row r="1982" spans="1:27" x14ac:dyDescent="0.35">
      <c r="A1982">
        <v>1002458</v>
      </c>
      <c r="B1982">
        <v>1958</v>
      </c>
      <c r="C1982">
        <v>1</v>
      </c>
      <c r="D1982" s="17" t="s">
        <v>155</v>
      </c>
      <c r="E1982" s="17"/>
      <c r="F1982" s="17" t="s">
        <v>156</v>
      </c>
      <c r="G1982" s="17"/>
      <c r="H1982" s="17" t="s">
        <v>692</v>
      </c>
      <c r="I1982" s="17"/>
      <c r="J1982" s="17" t="s">
        <v>693</v>
      </c>
      <c r="K1982" s="17"/>
      <c r="L1982" s="17"/>
      <c r="M1982" s="17"/>
      <c r="N1982" s="17" t="s">
        <v>9159</v>
      </c>
      <c r="O1982" s="17" t="s">
        <v>9390</v>
      </c>
      <c r="P1982" s="17" t="s">
        <v>9405</v>
      </c>
      <c r="Q1982" s="17"/>
      <c r="R1982" s="25" t="str">
        <f>HYPERLINK("https://ictv.global/taxonomy/taxondetails?taxnode_id=202311791","Plymouthvirus RPP1")</f>
        <v>Plymouthvirus RPP1</v>
      </c>
      <c r="S1982" s="18" t="s">
        <v>30</v>
      </c>
      <c r="T1982" s="18" t="s">
        <v>9406</v>
      </c>
      <c r="U1982" s="18"/>
      <c r="V1982" s="18"/>
      <c r="W1982" s="18" t="s">
        <v>9407</v>
      </c>
      <c r="X1982" s="18" t="s">
        <v>154</v>
      </c>
      <c r="Y1982" s="18" t="s">
        <v>36</v>
      </c>
      <c r="Z1982" s="18" t="s">
        <v>697</v>
      </c>
      <c r="AA1982" s="21" t="str">
        <f>HYPERLINK("https://www.ncbi.nlm.nih.gov/nuccore/FR719956","NCBI Nucleotide")</f>
        <v>NCBI Nucleotide</v>
      </c>
    </row>
    <row r="1983" spans="1:27" x14ac:dyDescent="0.35">
      <c r="A1983">
        <v>1002459</v>
      </c>
      <c r="B1983">
        <v>1959</v>
      </c>
      <c r="C1983">
        <v>1</v>
      </c>
      <c r="D1983" s="17" t="s">
        <v>155</v>
      </c>
      <c r="E1983" s="17"/>
      <c r="F1983" s="17" t="s">
        <v>156</v>
      </c>
      <c r="G1983" s="17"/>
      <c r="H1983" s="17" t="s">
        <v>692</v>
      </c>
      <c r="I1983" s="17"/>
      <c r="J1983" s="17" t="s">
        <v>693</v>
      </c>
      <c r="K1983" s="17"/>
      <c r="L1983" s="17"/>
      <c r="M1983" s="17"/>
      <c r="N1983" s="17" t="s">
        <v>9159</v>
      </c>
      <c r="O1983" s="17" t="s">
        <v>9390</v>
      </c>
      <c r="P1983" s="17" t="s">
        <v>9408</v>
      </c>
      <c r="Q1983" s="17"/>
      <c r="R1983" s="25" t="str">
        <f>HYPERLINK("https://ictv.global/taxonomy/taxondetails?taxnode_id=202311795","Pomeroyivirus V13")</f>
        <v>Pomeroyivirus V13</v>
      </c>
      <c r="S1983" s="18" t="s">
        <v>30</v>
      </c>
      <c r="T1983" s="18" t="s">
        <v>9409</v>
      </c>
      <c r="U1983" s="18"/>
      <c r="V1983" s="18"/>
      <c r="W1983" s="18" t="s">
        <v>9410</v>
      </c>
      <c r="X1983" s="18" t="s">
        <v>42</v>
      </c>
      <c r="Y1983" s="18" t="s">
        <v>36</v>
      </c>
      <c r="Z1983" s="18" t="s">
        <v>697</v>
      </c>
      <c r="AA1983" s="21" t="str">
        <f>HYPERLINK("https://www.ncbi.nlm.nih.gov/nuccore/MH015256","NCBI Nucleotide")</f>
        <v>NCBI Nucleotide</v>
      </c>
    </row>
    <row r="1984" spans="1:27" x14ac:dyDescent="0.35">
      <c r="A1984">
        <v>1002460</v>
      </c>
      <c r="B1984">
        <v>1960</v>
      </c>
      <c r="C1984">
        <v>1</v>
      </c>
      <c r="D1984" s="17" t="s">
        <v>155</v>
      </c>
      <c r="E1984" s="17"/>
      <c r="F1984" s="17" t="s">
        <v>156</v>
      </c>
      <c r="G1984" s="17"/>
      <c r="H1984" s="17" t="s">
        <v>692</v>
      </c>
      <c r="I1984" s="17"/>
      <c r="J1984" s="17" t="s">
        <v>693</v>
      </c>
      <c r="K1984" s="17"/>
      <c r="L1984" s="17"/>
      <c r="M1984" s="17"/>
      <c r="N1984" s="17" t="s">
        <v>9159</v>
      </c>
      <c r="O1984" s="17" t="s">
        <v>9390</v>
      </c>
      <c r="P1984" s="17" t="s">
        <v>9411</v>
      </c>
      <c r="Q1984" s="17"/>
      <c r="R1984" s="25" t="str">
        <f>HYPERLINK("https://ictv.global/taxonomy/taxondetails?taxnode_id=202311799","Raunefjordenvirus CB2047B")</f>
        <v>Raunefjordenvirus CB2047B</v>
      </c>
      <c r="S1984" s="18" t="s">
        <v>30</v>
      </c>
      <c r="T1984" s="18" t="s">
        <v>9412</v>
      </c>
      <c r="U1984" s="18"/>
      <c r="V1984" s="18"/>
      <c r="W1984" s="18" t="s">
        <v>9413</v>
      </c>
      <c r="X1984" s="18" t="s">
        <v>42</v>
      </c>
      <c r="Y1984" s="18" t="s">
        <v>36</v>
      </c>
      <c r="Z1984" s="18" t="s">
        <v>697</v>
      </c>
      <c r="AA1984" s="21" t="str">
        <f>HYPERLINK("https://www.ncbi.nlm.nih.gov/nuccore/HQ317387","NCBI Nucleotide")</f>
        <v>NCBI Nucleotide</v>
      </c>
    </row>
    <row r="1985" spans="1:27" x14ac:dyDescent="0.35">
      <c r="A1985">
        <v>1002461</v>
      </c>
      <c r="B1985">
        <v>1961</v>
      </c>
      <c r="C1985">
        <v>1</v>
      </c>
      <c r="D1985" s="17" t="s">
        <v>155</v>
      </c>
      <c r="E1985" s="17"/>
      <c r="F1985" s="17" t="s">
        <v>156</v>
      </c>
      <c r="G1985" s="17"/>
      <c r="H1985" s="17" t="s">
        <v>692</v>
      </c>
      <c r="I1985" s="17"/>
      <c r="J1985" s="17" t="s">
        <v>693</v>
      </c>
      <c r="K1985" s="17"/>
      <c r="L1985" s="17"/>
      <c r="M1985" s="17"/>
      <c r="N1985" s="17" t="s">
        <v>9159</v>
      </c>
      <c r="O1985" s="17" t="s">
        <v>9390</v>
      </c>
      <c r="P1985" s="17" t="s">
        <v>9414</v>
      </c>
      <c r="Q1985" s="17"/>
      <c r="R1985" s="25" t="str">
        <f>HYPERLINK("https://ictv.global/taxonomy/taxondetails?taxnode_id=202311793","Sanyabayvirus DS1410Ws06")</f>
        <v>Sanyabayvirus DS1410Ws06</v>
      </c>
      <c r="S1985" s="18" t="s">
        <v>30</v>
      </c>
      <c r="T1985" s="18" t="s">
        <v>9415</v>
      </c>
      <c r="U1985" s="18"/>
      <c r="V1985" s="18"/>
      <c r="W1985" s="18" t="s">
        <v>9416</v>
      </c>
      <c r="X1985" s="18" t="s">
        <v>154</v>
      </c>
      <c r="Y1985" s="18" t="s">
        <v>36</v>
      </c>
      <c r="Z1985" s="18" t="s">
        <v>697</v>
      </c>
      <c r="AA1985" s="21" t="str">
        <f>HYPERLINK("https://www.ncbi.nlm.nih.gov/nuccore/KU885988","NCBI Nucleotide")</f>
        <v>NCBI Nucleotide</v>
      </c>
    </row>
    <row r="1986" spans="1:27" x14ac:dyDescent="0.35">
      <c r="A1986">
        <v>1002462</v>
      </c>
      <c r="B1986">
        <v>1962</v>
      </c>
      <c r="C1986">
        <v>1</v>
      </c>
      <c r="D1986" s="17" t="s">
        <v>155</v>
      </c>
      <c r="E1986" s="17"/>
      <c r="F1986" s="17" t="s">
        <v>156</v>
      </c>
      <c r="G1986" s="17"/>
      <c r="H1986" s="17" t="s">
        <v>692</v>
      </c>
      <c r="I1986" s="17"/>
      <c r="J1986" s="17" t="s">
        <v>693</v>
      </c>
      <c r="K1986" s="17"/>
      <c r="L1986" s="17"/>
      <c r="M1986" s="17"/>
      <c r="N1986" s="17" t="s">
        <v>9159</v>
      </c>
      <c r="O1986" s="17" t="s">
        <v>9417</v>
      </c>
      <c r="P1986" s="17" t="s">
        <v>9418</v>
      </c>
      <c r="Q1986" s="17"/>
      <c r="R1986" s="25" t="str">
        <f>HYPERLINK("https://ictv.global/taxonomy/taxondetails?taxnode_id=202311810","Dongdastvirus Axp3")</f>
        <v>Dongdastvirus Axp3</v>
      </c>
      <c r="S1986" s="18" t="s">
        <v>30</v>
      </c>
      <c r="T1986" s="18" t="s">
        <v>9419</v>
      </c>
      <c r="U1986" s="18"/>
      <c r="V1986" s="18"/>
      <c r="W1986" s="18" t="s">
        <v>9420</v>
      </c>
      <c r="X1986" s="18" t="s">
        <v>42</v>
      </c>
      <c r="Y1986" s="18" t="s">
        <v>36</v>
      </c>
      <c r="Z1986" s="18" t="s">
        <v>697</v>
      </c>
      <c r="AA1986" s="21" t="str">
        <f>HYPERLINK("https://www.ncbi.nlm.nih.gov/nuccore/KT321317","NCBI Nucleotide")</f>
        <v>NCBI Nucleotide</v>
      </c>
    </row>
    <row r="1987" spans="1:27" x14ac:dyDescent="0.35">
      <c r="A1987">
        <v>1002463</v>
      </c>
      <c r="B1987">
        <v>1963</v>
      </c>
      <c r="C1987">
        <v>1</v>
      </c>
      <c r="D1987" s="17" t="s">
        <v>155</v>
      </c>
      <c r="E1987" s="17"/>
      <c r="F1987" s="17" t="s">
        <v>156</v>
      </c>
      <c r="G1987" s="17"/>
      <c r="H1987" s="17" t="s">
        <v>692</v>
      </c>
      <c r="I1987" s="17"/>
      <c r="J1987" s="17" t="s">
        <v>693</v>
      </c>
      <c r="K1987" s="17"/>
      <c r="L1987" s="17"/>
      <c r="M1987" s="17"/>
      <c r="N1987" s="17" t="s">
        <v>9159</v>
      </c>
      <c r="O1987" s="17" t="s">
        <v>9417</v>
      </c>
      <c r="P1987" s="17" t="s">
        <v>9418</v>
      </c>
      <c r="Q1987" s="17"/>
      <c r="R1987" s="25" t="str">
        <f>HYPERLINK("https://ictv.global/taxonomy/taxondetails?taxnode_id=202311811","Dongdastvirus Axy04")</f>
        <v>Dongdastvirus Axy04</v>
      </c>
      <c r="S1987" s="18" t="s">
        <v>30</v>
      </c>
      <c r="T1987" s="18" t="s">
        <v>9421</v>
      </c>
      <c r="U1987" s="18"/>
      <c r="V1987" s="18"/>
      <c r="W1987" s="18" t="s">
        <v>9422</v>
      </c>
      <c r="X1987" s="18" t="s">
        <v>42</v>
      </c>
      <c r="Y1987" s="18" t="s">
        <v>36</v>
      </c>
      <c r="Z1987" s="18" t="s">
        <v>697</v>
      </c>
      <c r="AA1987" s="21" t="str">
        <f>HYPERLINK("https://www.ncbi.nlm.nih.gov/nuccore/MK962626","NCBI Nucleotide")</f>
        <v>NCBI Nucleotide</v>
      </c>
    </row>
    <row r="1988" spans="1:27" x14ac:dyDescent="0.35">
      <c r="A1988">
        <v>1002464</v>
      </c>
      <c r="B1988">
        <v>1964</v>
      </c>
      <c r="C1988">
        <v>1</v>
      </c>
      <c r="D1988" s="17" t="s">
        <v>155</v>
      </c>
      <c r="E1988" s="17"/>
      <c r="F1988" s="17" t="s">
        <v>156</v>
      </c>
      <c r="G1988" s="17"/>
      <c r="H1988" s="17" t="s">
        <v>692</v>
      </c>
      <c r="I1988" s="17"/>
      <c r="J1988" s="17" t="s">
        <v>693</v>
      </c>
      <c r="K1988" s="17"/>
      <c r="L1988" s="17"/>
      <c r="M1988" s="17"/>
      <c r="N1988" s="17" t="s">
        <v>9159</v>
      </c>
      <c r="O1988" s="17" t="s">
        <v>9417</v>
      </c>
      <c r="P1988" s="17" t="s">
        <v>9418</v>
      </c>
      <c r="Q1988" s="17"/>
      <c r="R1988" s="25" t="str">
        <f>HYPERLINK("https://ictv.global/taxonomy/taxondetails?taxnode_id=202311812","Dongdastvirus Axy12")</f>
        <v>Dongdastvirus Axy12</v>
      </c>
      <c r="S1988" s="18" t="s">
        <v>30</v>
      </c>
      <c r="T1988" s="18" t="s">
        <v>9423</v>
      </c>
      <c r="U1988" s="18"/>
      <c r="V1988" s="18"/>
      <c r="W1988" s="18" t="s">
        <v>9424</v>
      </c>
      <c r="X1988" s="18" t="s">
        <v>42</v>
      </c>
      <c r="Y1988" s="18" t="s">
        <v>36</v>
      </c>
      <c r="Z1988" s="18" t="s">
        <v>697</v>
      </c>
      <c r="AA1988" s="21" t="str">
        <f>HYPERLINK("https://www.ncbi.nlm.nih.gov/nuccore/MK962631","NCBI Nucleotide")</f>
        <v>NCBI Nucleotide</v>
      </c>
    </row>
    <row r="1989" spans="1:27" x14ac:dyDescent="0.35">
      <c r="A1989">
        <v>1002465</v>
      </c>
      <c r="B1989">
        <v>1965</v>
      </c>
      <c r="C1989">
        <v>1</v>
      </c>
      <c r="D1989" s="17" t="s">
        <v>155</v>
      </c>
      <c r="E1989" s="17"/>
      <c r="F1989" s="17" t="s">
        <v>156</v>
      </c>
      <c r="G1989" s="17"/>
      <c r="H1989" s="17" t="s">
        <v>692</v>
      </c>
      <c r="I1989" s="17"/>
      <c r="J1989" s="17" t="s">
        <v>693</v>
      </c>
      <c r="K1989" s="17"/>
      <c r="L1989" s="17"/>
      <c r="M1989" s="17"/>
      <c r="N1989" s="17" t="s">
        <v>9159</v>
      </c>
      <c r="O1989" s="17" t="s">
        <v>9417</v>
      </c>
      <c r="P1989" s="17" t="s">
        <v>9418</v>
      </c>
      <c r="Q1989" s="17"/>
      <c r="R1989" s="25" t="str">
        <f>HYPERLINK("https://ictv.global/taxonomy/taxondetails?taxnode_id=202311813","Dongdastvirus Axy24")</f>
        <v>Dongdastvirus Axy24</v>
      </c>
      <c r="S1989" s="18" t="s">
        <v>30</v>
      </c>
      <c r="T1989" s="18" t="s">
        <v>9425</v>
      </c>
      <c r="U1989" s="18"/>
      <c r="V1989" s="18"/>
      <c r="W1989" s="18" t="s">
        <v>9426</v>
      </c>
      <c r="X1989" s="18" t="s">
        <v>42</v>
      </c>
      <c r="Y1989" s="18" t="s">
        <v>36</v>
      </c>
      <c r="Z1989" s="18" t="s">
        <v>697</v>
      </c>
      <c r="AA1989" s="21" t="str">
        <f>HYPERLINK("https://www.ncbi.nlm.nih.gov/nuccore/MK962641","NCBI Nucleotide")</f>
        <v>NCBI Nucleotide</v>
      </c>
    </row>
    <row r="1990" spans="1:27" x14ac:dyDescent="0.35">
      <c r="A1990">
        <v>1002466</v>
      </c>
      <c r="B1990">
        <v>1966</v>
      </c>
      <c r="C1990">
        <v>1</v>
      </c>
      <c r="D1990" s="17" t="s">
        <v>155</v>
      </c>
      <c r="E1990" s="17"/>
      <c r="F1990" s="17" t="s">
        <v>156</v>
      </c>
      <c r="G1990" s="17"/>
      <c r="H1990" s="17" t="s">
        <v>692</v>
      </c>
      <c r="I1990" s="17"/>
      <c r="J1990" s="17" t="s">
        <v>693</v>
      </c>
      <c r="K1990" s="17"/>
      <c r="L1990" s="17"/>
      <c r="M1990" s="17"/>
      <c r="N1990" s="17" t="s">
        <v>9159</v>
      </c>
      <c r="O1990" s="17" t="s">
        <v>9417</v>
      </c>
      <c r="P1990" s="17" t="s">
        <v>9427</v>
      </c>
      <c r="Q1990" s="17"/>
      <c r="R1990" s="25" t="str">
        <f>HYPERLINK("https://ictv.global/taxonomy/taxondetails?taxnode_id=202311808","Inbricusvirus inbricus")</f>
        <v>Inbricusvirus inbricus</v>
      </c>
      <c r="S1990" s="18" t="s">
        <v>30</v>
      </c>
      <c r="T1990" s="18" t="s">
        <v>9428</v>
      </c>
      <c r="U1990" s="18"/>
      <c r="V1990" s="18"/>
      <c r="W1990" s="18" t="s">
        <v>9429</v>
      </c>
      <c r="X1990" s="18" t="s">
        <v>42</v>
      </c>
      <c r="Y1990" s="18" t="s">
        <v>36</v>
      </c>
      <c r="Z1990" s="18" t="s">
        <v>697</v>
      </c>
      <c r="AA1990" s="21" t="str">
        <f>HYPERLINK("https://www.ncbi.nlm.nih.gov/nuccore/MG018928","NCBI Nucleotide")</f>
        <v>NCBI Nucleotide</v>
      </c>
    </row>
    <row r="1991" spans="1:27" x14ac:dyDescent="0.35">
      <c r="A1991">
        <v>1002467</v>
      </c>
      <c r="B1991">
        <v>1967</v>
      </c>
      <c r="C1991">
        <v>1</v>
      </c>
      <c r="D1991" s="17" t="s">
        <v>155</v>
      </c>
      <c r="E1991" s="17"/>
      <c r="F1991" s="17" t="s">
        <v>156</v>
      </c>
      <c r="G1991" s="17"/>
      <c r="H1991" s="17" t="s">
        <v>692</v>
      </c>
      <c r="I1991" s="17"/>
      <c r="J1991" s="17" t="s">
        <v>693</v>
      </c>
      <c r="K1991" s="17"/>
      <c r="L1991" s="17"/>
      <c r="M1991" s="17"/>
      <c r="N1991" s="17" t="s">
        <v>9159</v>
      </c>
      <c r="O1991" s="17" t="s">
        <v>9417</v>
      </c>
      <c r="P1991" s="17" t="s">
        <v>9430</v>
      </c>
      <c r="Q1991" s="17"/>
      <c r="R1991" s="25" t="str">
        <f>HYPERLINK("https://ictv.global/taxonomy/taxondetails?taxnode_id=202305491","Jwalphavirus jwalpha")</f>
        <v>Jwalphavirus jwalpha</v>
      </c>
      <c r="S1991" s="18" t="s">
        <v>30</v>
      </c>
      <c r="T1991" s="18" t="s">
        <v>9431</v>
      </c>
      <c r="U1991" s="18"/>
      <c r="V1991" s="18"/>
      <c r="W1991" s="18" t="s">
        <v>9432</v>
      </c>
      <c r="X1991" s="18" t="s">
        <v>42</v>
      </c>
      <c r="Y1991" s="18" t="s">
        <v>36</v>
      </c>
      <c r="Z1991" s="18" t="s">
        <v>697</v>
      </c>
      <c r="AA1991" s="21" t="str">
        <f>HYPERLINK("https://www.ncbi.nlm.nih.gov/nuccore/KF787095","NCBI Nucleotide")</f>
        <v>NCBI Nucleotide</v>
      </c>
    </row>
    <row r="1992" spans="1:27" x14ac:dyDescent="0.35">
      <c r="A1992">
        <v>1002468</v>
      </c>
      <c r="B1992">
        <v>1968</v>
      </c>
      <c r="C1992">
        <v>1</v>
      </c>
      <c r="D1992" s="17" t="s">
        <v>155</v>
      </c>
      <c r="E1992" s="17"/>
      <c r="F1992" s="17" t="s">
        <v>156</v>
      </c>
      <c r="G1992" s="17"/>
      <c r="H1992" s="17" t="s">
        <v>692</v>
      </c>
      <c r="I1992" s="17"/>
      <c r="J1992" s="17" t="s">
        <v>693</v>
      </c>
      <c r="K1992" s="17"/>
      <c r="L1992" s="17"/>
      <c r="M1992" s="17"/>
      <c r="N1992" s="17" t="s">
        <v>9159</v>
      </c>
      <c r="O1992" s="17" t="s">
        <v>9417</v>
      </c>
      <c r="P1992" s="17" t="s">
        <v>9433</v>
      </c>
      <c r="Q1992" s="17"/>
      <c r="R1992" s="25" t="str">
        <f>HYPERLINK("https://ictv.global/taxonomy/taxondetails?taxnode_id=202311805","Pourcelvirus Axy10")</f>
        <v>Pourcelvirus Axy10</v>
      </c>
      <c r="S1992" s="18" t="s">
        <v>30</v>
      </c>
      <c r="T1992" s="18" t="s">
        <v>9434</v>
      </c>
      <c r="U1992" s="18"/>
      <c r="V1992" s="18"/>
      <c r="W1992" s="18" t="s">
        <v>9435</v>
      </c>
      <c r="X1992" s="18" t="s">
        <v>42</v>
      </c>
      <c r="Y1992" s="18" t="s">
        <v>36</v>
      </c>
      <c r="Z1992" s="18" t="s">
        <v>697</v>
      </c>
      <c r="AA1992" s="21" t="str">
        <f>HYPERLINK("https://www.ncbi.nlm.nih.gov/nuccore/MK962629","NCBI Nucleotide")</f>
        <v>NCBI Nucleotide</v>
      </c>
    </row>
    <row r="1993" spans="1:27" x14ac:dyDescent="0.35">
      <c r="A1993">
        <v>1002469</v>
      </c>
      <c r="B1993">
        <v>1969</v>
      </c>
      <c r="C1993">
        <v>1</v>
      </c>
      <c r="D1993" s="17" t="s">
        <v>155</v>
      </c>
      <c r="E1993" s="17"/>
      <c r="F1993" s="17" t="s">
        <v>156</v>
      </c>
      <c r="G1993" s="17"/>
      <c r="H1993" s="17" t="s">
        <v>692</v>
      </c>
      <c r="I1993" s="17"/>
      <c r="J1993" s="17" t="s">
        <v>693</v>
      </c>
      <c r="K1993" s="17"/>
      <c r="L1993" s="17"/>
      <c r="M1993" s="17"/>
      <c r="N1993" s="17" t="s">
        <v>9159</v>
      </c>
      <c r="O1993" s="17" t="s">
        <v>9417</v>
      </c>
      <c r="P1993" s="17" t="s">
        <v>9433</v>
      </c>
      <c r="Q1993" s="17"/>
      <c r="R1993" s="25" t="str">
        <f>HYPERLINK("https://ictv.global/taxonomy/taxondetails?taxnode_id=202311806","Pourcelvirus Axy11")</f>
        <v>Pourcelvirus Axy11</v>
      </c>
      <c r="S1993" s="18" t="s">
        <v>30</v>
      </c>
      <c r="T1993" s="18" t="s">
        <v>9436</v>
      </c>
      <c r="U1993" s="18"/>
      <c r="V1993" s="18"/>
      <c r="W1993" s="18" t="s">
        <v>9437</v>
      </c>
      <c r="X1993" s="18" t="s">
        <v>42</v>
      </c>
      <c r="Y1993" s="18" t="s">
        <v>36</v>
      </c>
      <c r="Z1993" s="18" t="s">
        <v>697</v>
      </c>
      <c r="AA1993" s="21" t="str">
        <f>HYPERLINK("https://www.ncbi.nlm.nih.gov/nuccore/MK962630","NCBI Nucleotide")</f>
        <v>NCBI Nucleotide</v>
      </c>
    </row>
    <row r="1994" spans="1:27" x14ac:dyDescent="0.35">
      <c r="A1994">
        <v>1002470</v>
      </c>
      <c r="B1994">
        <v>1970</v>
      </c>
      <c r="C1994">
        <v>1</v>
      </c>
      <c r="D1994" s="17" t="s">
        <v>155</v>
      </c>
      <c r="E1994" s="17"/>
      <c r="F1994" s="17" t="s">
        <v>156</v>
      </c>
      <c r="G1994" s="17"/>
      <c r="H1994" s="17" t="s">
        <v>692</v>
      </c>
      <c r="I1994" s="17"/>
      <c r="J1994" s="17" t="s">
        <v>693</v>
      </c>
      <c r="K1994" s="17"/>
      <c r="L1994" s="17"/>
      <c r="M1994" s="17"/>
      <c r="N1994" s="17" t="s">
        <v>9159</v>
      </c>
      <c r="O1994" s="17"/>
      <c r="P1994" s="17" t="s">
        <v>9160</v>
      </c>
      <c r="Q1994" s="17"/>
      <c r="R1994" s="25" t="str">
        <f>HYPERLINK("https://ictv.global/taxonomy/taxondetails?taxnode_id=202314821","Cavevirus C121")</f>
        <v>Cavevirus C121</v>
      </c>
      <c r="S1994" s="18" t="s">
        <v>30</v>
      </c>
      <c r="T1994" s="18" t="s">
        <v>9161</v>
      </c>
      <c r="U1994" s="18"/>
      <c r="V1994" s="18"/>
      <c r="W1994" s="18" t="s">
        <v>9162</v>
      </c>
      <c r="X1994" s="18" t="s">
        <v>42</v>
      </c>
      <c r="Y1994" s="18" t="s">
        <v>36</v>
      </c>
      <c r="Z1994" s="18" t="s">
        <v>697</v>
      </c>
      <c r="AA1994" s="21" t="str">
        <f>HYPERLINK("https://www.ncbi.nlm.nih.gov/nuccore/OM158235","NCBI Nucleotide")</f>
        <v>NCBI Nucleotide</v>
      </c>
    </row>
    <row r="1995" spans="1:27" x14ac:dyDescent="0.35">
      <c r="A1995">
        <v>1002471</v>
      </c>
      <c r="B1995">
        <v>1971</v>
      </c>
      <c r="C1995">
        <v>1</v>
      </c>
      <c r="D1995" s="17" t="s">
        <v>155</v>
      </c>
      <c r="E1995" s="17"/>
      <c r="F1995" s="17" t="s">
        <v>156</v>
      </c>
      <c r="G1995" s="17"/>
      <c r="H1995" s="17" t="s">
        <v>692</v>
      </c>
      <c r="I1995" s="17"/>
      <c r="J1995" s="17" t="s">
        <v>693</v>
      </c>
      <c r="K1995" s="17"/>
      <c r="L1995" s="17"/>
      <c r="M1995" s="17"/>
      <c r="N1995" s="17" t="s">
        <v>9159</v>
      </c>
      <c r="O1995" s="17"/>
      <c r="P1995" s="17" t="s">
        <v>9163</v>
      </c>
      <c r="Q1995" s="17"/>
      <c r="R1995" s="25" t="str">
        <f>HYPERLINK("https://ictv.global/taxonomy/taxondetails?taxnode_id=202311818","Cbunavirus A41")</f>
        <v>Cbunavirus A41</v>
      </c>
      <c r="S1995" s="18" t="s">
        <v>30</v>
      </c>
      <c r="T1995" s="18" t="s">
        <v>9164</v>
      </c>
      <c r="U1995" s="18"/>
      <c r="V1995" s="18"/>
      <c r="W1995" s="18" t="s">
        <v>9165</v>
      </c>
      <c r="X1995" s="18" t="s">
        <v>42</v>
      </c>
      <c r="Y1995" s="18" t="s">
        <v>36</v>
      </c>
      <c r="Z1995" s="18" t="s">
        <v>697</v>
      </c>
      <c r="AA1995" s="21" t="str">
        <f>HYPERLINK("https://www.ncbi.nlm.nih.gov/nuccore/KY769270","NCBI Nucleotide")</f>
        <v>NCBI Nucleotide</v>
      </c>
    </row>
    <row r="1996" spans="1:27" x14ac:dyDescent="0.35">
      <c r="A1996">
        <v>1002472</v>
      </c>
      <c r="B1996">
        <v>1972</v>
      </c>
      <c r="C1996">
        <v>1</v>
      </c>
      <c r="D1996" s="17" t="s">
        <v>155</v>
      </c>
      <c r="E1996" s="17"/>
      <c r="F1996" s="17" t="s">
        <v>156</v>
      </c>
      <c r="G1996" s="17"/>
      <c r="H1996" s="17" t="s">
        <v>692</v>
      </c>
      <c r="I1996" s="17"/>
      <c r="J1996" s="17" t="s">
        <v>693</v>
      </c>
      <c r="K1996" s="17"/>
      <c r="L1996" s="17"/>
      <c r="M1996" s="17"/>
      <c r="N1996" s="17" t="s">
        <v>9159</v>
      </c>
      <c r="O1996" s="17"/>
      <c r="P1996" s="17" t="s">
        <v>9163</v>
      </c>
      <c r="Q1996" s="17"/>
      <c r="R1996" s="25" t="str">
        <f>HYPERLINK("https://ictv.global/taxonomy/taxondetails?taxnode_id=202311815","Cbunavirus CB1")</f>
        <v>Cbunavirus CB1</v>
      </c>
      <c r="S1996" s="18" t="s">
        <v>30</v>
      </c>
      <c r="T1996" s="18" t="s">
        <v>9166</v>
      </c>
      <c r="U1996" s="18"/>
      <c r="V1996" s="18"/>
      <c r="W1996" s="18" t="s">
        <v>9167</v>
      </c>
      <c r="X1996" s="18" t="s">
        <v>42</v>
      </c>
      <c r="Y1996" s="18" t="s">
        <v>36</v>
      </c>
      <c r="Z1996" s="18" t="s">
        <v>697</v>
      </c>
      <c r="AA1996" s="21" t="str">
        <f>HYPERLINK("https://www.ncbi.nlm.nih.gov/nuccore/KY514264","NCBI Nucleotide")</f>
        <v>NCBI Nucleotide</v>
      </c>
    </row>
    <row r="1997" spans="1:27" x14ac:dyDescent="0.35">
      <c r="A1997">
        <v>1002473</v>
      </c>
      <c r="B1997">
        <v>1973</v>
      </c>
      <c r="C1997">
        <v>1</v>
      </c>
      <c r="D1997" s="17" t="s">
        <v>155</v>
      </c>
      <c r="E1997" s="17"/>
      <c r="F1997" s="17" t="s">
        <v>156</v>
      </c>
      <c r="G1997" s="17"/>
      <c r="H1997" s="17" t="s">
        <v>692</v>
      </c>
      <c r="I1997" s="17"/>
      <c r="J1997" s="17" t="s">
        <v>693</v>
      </c>
      <c r="K1997" s="17"/>
      <c r="L1997" s="17"/>
      <c r="M1997" s="17"/>
      <c r="N1997" s="17" t="s">
        <v>9159</v>
      </c>
      <c r="O1997" s="17"/>
      <c r="P1997" s="17" t="s">
        <v>9163</v>
      </c>
      <c r="Q1997" s="17"/>
      <c r="R1997" s="25" t="str">
        <f>HYPERLINK("https://ictv.global/taxonomy/taxondetails?taxnode_id=202311816","Cbunavirus CB4")</f>
        <v>Cbunavirus CB4</v>
      </c>
      <c r="S1997" s="18" t="s">
        <v>30</v>
      </c>
      <c r="T1997" s="18" t="s">
        <v>9168</v>
      </c>
      <c r="U1997" s="18"/>
      <c r="V1997" s="18"/>
      <c r="W1997" s="18" t="s">
        <v>9169</v>
      </c>
      <c r="X1997" s="18" t="s">
        <v>42</v>
      </c>
      <c r="Y1997" s="18" t="s">
        <v>36</v>
      </c>
      <c r="Z1997" s="18" t="s">
        <v>697</v>
      </c>
      <c r="AA1997" s="21" t="str">
        <f>HYPERLINK("https://www.ncbi.nlm.nih.gov/nuccore/KY549659","NCBI Nucleotide")</f>
        <v>NCBI Nucleotide</v>
      </c>
    </row>
    <row r="1998" spans="1:27" x14ac:dyDescent="0.35">
      <c r="A1998">
        <v>1002474</v>
      </c>
      <c r="B1998">
        <v>1974</v>
      </c>
      <c r="C1998">
        <v>1</v>
      </c>
      <c r="D1998" s="17" t="s">
        <v>155</v>
      </c>
      <c r="E1998" s="17"/>
      <c r="F1998" s="17" t="s">
        <v>156</v>
      </c>
      <c r="G1998" s="17"/>
      <c r="H1998" s="17" t="s">
        <v>692</v>
      </c>
      <c r="I1998" s="17"/>
      <c r="J1998" s="17" t="s">
        <v>693</v>
      </c>
      <c r="K1998" s="17"/>
      <c r="L1998" s="17"/>
      <c r="M1998" s="17"/>
      <c r="N1998" s="17" t="s">
        <v>9159</v>
      </c>
      <c r="O1998" s="17"/>
      <c r="P1998" s="17" t="s">
        <v>9163</v>
      </c>
      <c r="Q1998" s="17"/>
      <c r="R1998" s="25" t="str">
        <f>HYPERLINK("https://ictv.global/taxonomy/taxondetails?taxnode_id=202314824","Cbunavirus Kc283")</f>
        <v>Cbunavirus Kc283</v>
      </c>
      <c r="S1998" s="18" t="s">
        <v>30</v>
      </c>
      <c r="T1998" s="18" t="s">
        <v>9170</v>
      </c>
      <c r="U1998" s="18"/>
      <c r="V1998" s="18"/>
      <c r="W1998" s="18" t="s">
        <v>9171</v>
      </c>
      <c r="X1998" s="18" t="s">
        <v>42</v>
      </c>
      <c r="Y1998" s="18" t="s">
        <v>36</v>
      </c>
      <c r="Z1998" s="18" t="s">
        <v>697</v>
      </c>
      <c r="AA1998" s="21" t="str">
        <f>HYPERLINK("https://www.ncbi.nlm.nih.gov/nuccore/MZ348421","NCBI Nucleotide")</f>
        <v>NCBI Nucleotide</v>
      </c>
    </row>
    <row r="1999" spans="1:27" x14ac:dyDescent="0.35">
      <c r="A1999">
        <v>1002475</v>
      </c>
      <c r="B1999">
        <v>1975</v>
      </c>
      <c r="C1999">
        <v>1</v>
      </c>
      <c r="D1999" s="17" t="s">
        <v>155</v>
      </c>
      <c r="E1999" s="17"/>
      <c r="F1999" s="17" t="s">
        <v>156</v>
      </c>
      <c r="G1999" s="17"/>
      <c r="H1999" s="17" t="s">
        <v>692</v>
      </c>
      <c r="I1999" s="17"/>
      <c r="J1999" s="17" t="s">
        <v>693</v>
      </c>
      <c r="K1999" s="17"/>
      <c r="L1999" s="17"/>
      <c r="M1999" s="17"/>
      <c r="N1999" s="17" t="s">
        <v>9159</v>
      </c>
      <c r="O1999" s="17"/>
      <c r="P1999" s="17" t="s">
        <v>9163</v>
      </c>
      <c r="Q1999" s="17"/>
      <c r="R1999" s="25" t="str">
        <f>HYPERLINK("https://ictv.global/taxonomy/taxondetails?taxnode_id=202311817","Cbunavirus nepra")</f>
        <v>Cbunavirus nepra</v>
      </c>
      <c r="S1999" s="18" t="s">
        <v>30</v>
      </c>
      <c r="T1999" s="18" t="s">
        <v>9172</v>
      </c>
      <c r="U1999" s="18"/>
      <c r="V1999" s="18"/>
      <c r="W1999" s="18" t="s">
        <v>9173</v>
      </c>
      <c r="X1999" s="18" t="s">
        <v>42</v>
      </c>
      <c r="Y1999" s="18" t="s">
        <v>36</v>
      </c>
      <c r="Z1999" s="18" t="s">
        <v>697</v>
      </c>
      <c r="AA1999" s="21" t="str">
        <f>HYPERLINK("https://www.ncbi.nlm.nih.gov/nuccore/MH059638","NCBI Nucleotide")</f>
        <v>NCBI Nucleotide</v>
      </c>
    </row>
    <row r="2000" spans="1:27" x14ac:dyDescent="0.35">
      <c r="A2000">
        <v>1002476</v>
      </c>
      <c r="B2000">
        <v>1976</v>
      </c>
      <c r="C2000">
        <v>1</v>
      </c>
      <c r="D2000" s="17" t="s">
        <v>155</v>
      </c>
      <c r="E2000" s="17"/>
      <c r="F2000" s="17" t="s">
        <v>156</v>
      </c>
      <c r="G2000" s="17"/>
      <c r="H2000" s="17" t="s">
        <v>692</v>
      </c>
      <c r="I2000" s="17"/>
      <c r="J2000" s="17" t="s">
        <v>693</v>
      </c>
      <c r="K2000" s="17"/>
      <c r="L2000" s="17"/>
      <c r="M2000" s="17"/>
      <c r="N2000" s="17" t="s">
        <v>9159</v>
      </c>
      <c r="O2000" s="17"/>
      <c r="P2000" s="17" t="s">
        <v>9163</v>
      </c>
      <c r="Q2000" s="17"/>
      <c r="R2000" s="25" t="str">
        <f>HYPERLINK("https://ictv.global/taxonomy/taxondetails?taxnode_id=202314823","Cbunavirus possum")</f>
        <v>Cbunavirus possum</v>
      </c>
      <c r="S2000" s="18" t="s">
        <v>30</v>
      </c>
      <c r="T2000" s="18" t="s">
        <v>9174</v>
      </c>
      <c r="U2000" s="18"/>
      <c r="V2000" s="18"/>
      <c r="W2000" s="18" t="s">
        <v>9175</v>
      </c>
      <c r="X2000" s="18" t="s">
        <v>154</v>
      </c>
      <c r="Y2000" s="18" t="s">
        <v>36</v>
      </c>
      <c r="Z2000" s="18" t="s">
        <v>697</v>
      </c>
      <c r="AA2000" s="21" t="str">
        <f>HYPERLINK("https://www.ncbi.nlm.nih.gov/nuccore/MN812687","NCBI Nucleotide")</f>
        <v>NCBI Nucleotide</v>
      </c>
    </row>
    <row r="2001" spans="1:27" x14ac:dyDescent="0.35">
      <c r="A2001">
        <v>1002477</v>
      </c>
      <c r="B2001">
        <v>1977</v>
      </c>
      <c r="C2001">
        <v>1</v>
      </c>
      <c r="D2001" s="17" t="s">
        <v>155</v>
      </c>
      <c r="E2001" s="17"/>
      <c r="F2001" s="17" t="s">
        <v>156</v>
      </c>
      <c r="G2001" s="17"/>
      <c r="H2001" s="17" t="s">
        <v>692</v>
      </c>
      <c r="I2001" s="17"/>
      <c r="J2001" s="17" t="s">
        <v>693</v>
      </c>
      <c r="K2001" s="17"/>
      <c r="L2001" s="17"/>
      <c r="M2001" s="17"/>
      <c r="N2001" s="17" t="s">
        <v>9159</v>
      </c>
      <c r="O2001" s="17"/>
      <c r="P2001" s="17" t="s">
        <v>9176</v>
      </c>
      <c r="Q2001" s="17"/>
      <c r="R2001" s="25" t="str">
        <f>HYPERLINK("https://ictv.global/taxonomy/taxondetails?taxnode_id=202311842","Dendoorenvirus RG2014")</f>
        <v>Dendoorenvirus RG2014</v>
      </c>
      <c r="S2001" s="18" t="s">
        <v>30</v>
      </c>
      <c r="T2001" s="18" t="s">
        <v>9177</v>
      </c>
      <c r="U2001" s="18"/>
      <c r="V2001" s="18"/>
      <c r="W2001" s="18" t="s">
        <v>9178</v>
      </c>
      <c r="X2001" s="18" t="s">
        <v>42</v>
      </c>
      <c r="Y2001" s="18" t="s">
        <v>36</v>
      </c>
      <c r="Z2001" s="18" t="s">
        <v>697</v>
      </c>
      <c r="AA2001" s="21" t="str">
        <f>HYPERLINK("https://www.ncbi.nlm.nih.gov/nuccore/KM879221","NCBI Nucleotide")</f>
        <v>NCBI Nucleotide</v>
      </c>
    </row>
    <row r="2002" spans="1:27" x14ac:dyDescent="0.35">
      <c r="A2002">
        <v>1002478</v>
      </c>
      <c r="B2002">
        <v>1978</v>
      </c>
      <c r="C2002">
        <v>1</v>
      </c>
      <c r="D2002" s="17" t="s">
        <v>155</v>
      </c>
      <c r="E2002" s="17"/>
      <c r="F2002" s="17" t="s">
        <v>156</v>
      </c>
      <c r="G2002" s="17"/>
      <c r="H2002" s="17" t="s">
        <v>692</v>
      </c>
      <c r="I2002" s="17"/>
      <c r="J2002" s="17" t="s">
        <v>693</v>
      </c>
      <c r="K2002" s="17"/>
      <c r="L2002" s="17"/>
      <c r="M2002" s="17"/>
      <c r="N2002" s="17" t="s">
        <v>9159</v>
      </c>
      <c r="O2002" s="17"/>
      <c r="P2002" s="17" t="s">
        <v>9179</v>
      </c>
      <c r="Q2002" s="17"/>
      <c r="R2002" s="25" t="str">
        <f>HYPERLINK("https://ictv.global/taxonomy/taxondetails?taxnode_id=202311820","Eceepunavirus EcP1")</f>
        <v>Eceepunavirus EcP1</v>
      </c>
      <c r="S2002" s="18" t="s">
        <v>30</v>
      </c>
      <c r="T2002" s="18" t="s">
        <v>9180</v>
      </c>
      <c r="U2002" s="18"/>
      <c r="V2002" s="18"/>
      <c r="W2002" s="18" t="s">
        <v>9181</v>
      </c>
      <c r="X2002" s="18" t="s">
        <v>42</v>
      </c>
      <c r="Y2002" s="18" t="s">
        <v>36</v>
      </c>
      <c r="Z2002" s="18" t="s">
        <v>697</v>
      </c>
      <c r="AA2002" s="21" t="str">
        <f>HYPERLINK("https://www.ncbi.nlm.nih.gov/nuccore/HQ641380","NCBI Nucleotide")</f>
        <v>NCBI Nucleotide</v>
      </c>
    </row>
    <row r="2003" spans="1:27" x14ac:dyDescent="0.35">
      <c r="A2003">
        <v>1002479</v>
      </c>
      <c r="B2003">
        <v>1979</v>
      </c>
      <c r="C2003">
        <v>1</v>
      </c>
      <c r="D2003" s="17" t="s">
        <v>155</v>
      </c>
      <c r="E2003" s="17"/>
      <c r="F2003" s="17" t="s">
        <v>156</v>
      </c>
      <c r="G2003" s="17"/>
      <c r="H2003" s="17" t="s">
        <v>692</v>
      </c>
      <c r="I2003" s="17"/>
      <c r="J2003" s="17" t="s">
        <v>693</v>
      </c>
      <c r="K2003" s="17"/>
      <c r="L2003" s="17"/>
      <c r="M2003" s="17"/>
      <c r="N2003" s="17" t="s">
        <v>9159</v>
      </c>
      <c r="O2003" s="17"/>
      <c r="P2003" s="17" t="s">
        <v>9182</v>
      </c>
      <c r="Q2003" s="17"/>
      <c r="R2003" s="25" t="str">
        <f>HYPERLINK("https://ictv.global/taxonomy/taxondetails?taxnode_id=202312917","Efbeekayvirus Fbkp27")</f>
        <v>Efbeekayvirus Fbkp27</v>
      </c>
      <c r="S2003" s="18" t="s">
        <v>30</v>
      </c>
      <c r="T2003" s="18" t="s">
        <v>9183</v>
      </c>
      <c r="U2003" s="18"/>
      <c r="V2003" s="18"/>
      <c r="W2003" s="18" t="s">
        <v>9184</v>
      </c>
      <c r="X2003" s="18" t="s">
        <v>42</v>
      </c>
      <c r="Y2003" s="18" t="s">
        <v>36</v>
      </c>
      <c r="Z2003" s="18" t="s">
        <v>697</v>
      </c>
      <c r="AA2003" s="21" t="str">
        <f>HYPERLINK("https://www.ncbi.nlm.nih.gov/nuccore/MW394388","NCBI Nucleotide")</f>
        <v>NCBI Nucleotide</v>
      </c>
    </row>
    <row r="2004" spans="1:27" x14ac:dyDescent="0.35">
      <c r="A2004">
        <v>1002480</v>
      </c>
      <c r="B2004">
        <v>1980</v>
      </c>
      <c r="C2004">
        <v>1</v>
      </c>
      <c r="D2004" s="17" t="s">
        <v>155</v>
      </c>
      <c r="E2004" s="17"/>
      <c r="F2004" s="17" t="s">
        <v>156</v>
      </c>
      <c r="G2004" s="17"/>
      <c r="H2004" s="17" t="s">
        <v>692</v>
      </c>
      <c r="I2004" s="17"/>
      <c r="J2004" s="17" t="s">
        <v>693</v>
      </c>
      <c r="K2004" s="17"/>
      <c r="L2004" s="17"/>
      <c r="M2004" s="17"/>
      <c r="N2004" s="17" t="s">
        <v>9159</v>
      </c>
      <c r="O2004" s="17"/>
      <c r="P2004" s="17" t="s">
        <v>9182</v>
      </c>
      <c r="Q2004" s="17"/>
      <c r="R2004" s="25" t="str">
        <f>HYPERLINK("https://ictv.global/taxonomy/taxondetails?taxnode_id=202312918","Efbeekayvirus P184")</f>
        <v>Efbeekayvirus P184</v>
      </c>
      <c r="S2004" s="18" t="s">
        <v>30</v>
      </c>
      <c r="T2004" s="18" t="s">
        <v>9185</v>
      </c>
      <c r="U2004" s="18"/>
      <c r="V2004" s="18"/>
      <c r="W2004" s="18" t="s">
        <v>9186</v>
      </c>
      <c r="X2004" s="18" t="s">
        <v>42</v>
      </c>
      <c r="Y2004" s="18" t="s">
        <v>36</v>
      </c>
      <c r="Z2004" s="18" t="s">
        <v>697</v>
      </c>
      <c r="AA2004" s="21" t="str">
        <f>HYPERLINK("https://www.ncbi.nlm.nih.gov/nuccore/MW495044","NCBI Nucleotide")</f>
        <v>NCBI Nucleotide</v>
      </c>
    </row>
    <row r="2005" spans="1:27" x14ac:dyDescent="0.35">
      <c r="A2005">
        <v>1002481</v>
      </c>
      <c r="B2005">
        <v>1981</v>
      </c>
      <c r="C2005">
        <v>1</v>
      </c>
      <c r="D2005" s="17" t="s">
        <v>155</v>
      </c>
      <c r="E2005" s="17"/>
      <c r="F2005" s="17" t="s">
        <v>156</v>
      </c>
      <c r="G2005" s="17"/>
      <c r="H2005" s="17" t="s">
        <v>692</v>
      </c>
      <c r="I2005" s="17"/>
      <c r="J2005" s="17" t="s">
        <v>693</v>
      </c>
      <c r="K2005" s="17"/>
      <c r="L2005" s="17"/>
      <c r="M2005" s="17"/>
      <c r="N2005" s="17" t="s">
        <v>9159</v>
      </c>
      <c r="O2005" s="17"/>
      <c r="P2005" s="17" t="s">
        <v>9187</v>
      </c>
      <c r="Q2005" s="17"/>
      <c r="R2005" s="25" t="str">
        <f>HYPERLINK("https://ictv.global/taxonomy/taxondetails?taxnode_id=202313605","Electravirus Sbp1")</f>
        <v>Electravirus Sbp1</v>
      </c>
      <c r="S2005" s="18" t="s">
        <v>30</v>
      </c>
      <c r="T2005" s="18" t="s">
        <v>9188</v>
      </c>
      <c r="U2005" s="18"/>
      <c r="V2005" s="18"/>
      <c r="W2005" s="18" t="s">
        <v>9189</v>
      </c>
      <c r="X2005" s="18" t="s">
        <v>42</v>
      </c>
      <c r="Y2005" s="18" t="s">
        <v>36</v>
      </c>
      <c r="Z2005" s="18" t="s">
        <v>697</v>
      </c>
      <c r="AA2005" s="21" t="str">
        <f>HYPERLINK("https://www.ncbi.nlm.nih.gov/nuccore/MK301608","NCBI Nucleotide")</f>
        <v>NCBI Nucleotide</v>
      </c>
    </row>
    <row r="2006" spans="1:27" x14ac:dyDescent="0.35">
      <c r="A2006">
        <v>1002482</v>
      </c>
      <c r="B2006">
        <v>1982</v>
      </c>
      <c r="C2006">
        <v>1</v>
      </c>
      <c r="D2006" s="17" t="s">
        <v>155</v>
      </c>
      <c r="E2006" s="17"/>
      <c r="F2006" s="17" t="s">
        <v>156</v>
      </c>
      <c r="G2006" s="17"/>
      <c r="H2006" s="17" t="s">
        <v>692</v>
      </c>
      <c r="I2006" s="17"/>
      <c r="J2006" s="17" t="s">
        <v>693</v>
      </c>
      <c r="K2006" s="17"/>
      <c r="L2006" s="17"/>
      <c r="M2006" s="17"/>
      <c r="N2006" s="17" t="s">
        <v>9159</v>
      </c>
      <c r="O2006" s="17"/>
      <c r="P2006" s="17" t="s">
        <v>9190</v>
      </c>
      <c r="Q2006" s="17"/>
      <c r="R2006" s="25" t="str">
        <f>HYPERLINK("https://ictv.global/taxonomy/taxondetails?taxnode_id=202313612","Exceevirus Xc38")</f>
        <v>Exceevirus Xc38</v>
      </c>
      <c r="S2006" s="18" t="s">
        <v>30</v>
      </c>
      <c r="T2006" s="18" t="s">
        <v>9191</v>
      </c>
      <c r="U2006" s="18"/>
      <c r="V2006" s="18"/>
      <c r="W2006" s="18" t="s">
        <v>9192</v>
      </c>
      <c r="X2006" s="18" t="s">
        <v>42</v>
      </c>
      <c r="Y2006" s="18" t="s">
        <v>36</v>
      </c>
      <c r="Z2006" s="18" t="s">
        <v>697</v>
      </c>
      <c r="AA2006" s="21" t="str">
        <f>HYPERLINK("https://www.ncbi.nlm.nih.gov/nuccore/MN508356","NCBI Nucleotide")</f>
        <v>NCBI Nucleotide</v>
      </c>
    </row>
    <row r="2007" spans="1:27" x14ac:dyDescent="0.35">
      <c r="A2007">
        <v>1002483</v>
      </c>
      <c r="B2007">
        <v>1983</v>
      </c>
      <c r="C2007">
        <v>1</v>
      </c>
      <c r="D2007" s="17" t="s">
        <v>155</v>
      </c>
      <c r="E2007" s="17"/>
      <c r="F2007" s="17" t="s">
        <v>156</v>
      </c>
      <c r="G2007" s="17"/>
      <c r="H2007" s="17" t="s">
        <v>692</v>
      </c>
      <c r="I2007" s="17"/>
      <c r="J2007" s="17" t="s">
        <v>693</v>
      </c>
      <c r="K2007" s="17"/>
      <c r="L2007" s="17"/>
      <c r="M2007" s="17"/>
      <c r="N2007" s="17" t="s">
        <v>9159</v>
      </c>
      <c r="O2007" s="17"/>
      <c r="P2007" s="17" t="s">
        <v>9193</v>
      </c>
      <c r="Q2007" s="17"/>
      <c r="R2007" s="25" t="str">
        <f>HYPERLINK("https://ictv.global/taxonomy/taxondetails?taxnode_id=202311834","Huelvavirus ort11")</f>
        <v>Huelvavirus ort11</v>
      </c>
      <c r="S2007" s="18" t="s">
        <v>30</v>
      </c>
      <c r="T2007" s="18" t="s">
        <v>9194</v>
      </c>
      <c r="U2007" s="18"/>
      <c r="V2007" s="18"/>
      <c r="W2007" s="18" t="s">
        <v>9195</v>
      </c>
      <c r="X2007" s="18" t="s">
        <v>42</v>
      </c>
      <c r="Y2007" s="18" t="s">
        <v>36</v>
      </c>
      <c r="Z2007" s="18" t="s">
        <v>697</v>
      </c>
      <c r="AA2007" s="21" t="str">
        <f>HYPERLINK("https://www.ncbi.nlm.nih.gov/nuccore/MN228696","NCBI Nucleotide")</f>
        <v>NCBI Nucleotide</v>
      </c>
    </row>
    <row r="2008" spans="1:27" x14ac:dyDescent="0.35">
      <c r="A2008">
        <v>1002484</v>
      </c>
      <c r="B2008">
        <v>1984</v>
      </c>
      <c r="C2008">
        <v>1</v>
      </c>
      <c r="D2008" s="17" t="s">
        <v>155</v>
      </c>
      <c r="E2008" s="17"/>
      <c r="F2008" s="17" t="s">
        <v>156</v>
      </c>
      <c r="G2008" s="17"/>
      <c r="H2008" s="17" t="s">
        <v>692</v>
      </c>
      <c r="I2008" s="17"/>
      <c r="J2008" s="17" t="s">
        <v>693</v>
      </c>
      <c r="K2008" s="17"/>
      <c r="L2008" s="17"/>
      <c r="M2008" s="17"/>
      <c r="N2008" s="17" t="s">
        <v>9159</v>
      </c>
      <c r="O2008" s="17"/>
      <c r="P2008" s="17" t="s">
        <v>9196</v>
      </c>
      <c r="Q2008" s="17"/>
      <c r="R2008" s="25" t="str">
        <f>HYPERLINK("https://ictv.global/taxonomy/taxondetails?taxnode_id=202314831","Littlefixvirus 98Pflur60pp")</f>
        <v>Littlefixvirus 98Pflur60pp</v>
      </c>
      <c r="S2008" s="18" t="s">
        <v>30</v>
      </c>
      <c r="T2008" s="18" t="s">
        <v>9197</v>
      </c>
      <c r="U2008" s="18"/>
      <c r="V2008" s="18"/>
      <c r="W2008" s="18" t="s">
        <v>9198</v>
      </c>
      <c r="X2008" s="18" t="s">
        <v>42</v>
      </c>
      <c r="Y2008" s="18" t="s">
        <v>36</v>
      </c>
      <c r="Z2008" s="18" t="s">
        <v>697</v>
      </c>
      <c r="AA2008" s="21" t="str">
        <f>HYPERLINK("https://www.ncbi.nlm.nih.gov/nuccore/MH179480","NCBI Nucleotide")</f>
        <v>NCBI Nucleotide</v>
      </c>
    </row>
    <row r="2009" spans="1:27" x14ac:dyDescent="0.35">
      <c r="A2009">
        <v>1002485</v>
      </c>
      <c r="B2009">
        <v>1985</v>
      </c>
      <c r="C2009">
        <v>1</v>
      </c>
      <c r="D2009" s="17" t="s">
        <v>155</v>
      </c>
      <c r="E2009" s="17"/>
      <c r="F2009" s="17" t="s">
        <v>156</v>
      </c>
      <c r="G2009" s="17"/>
      <c r="H2009" s="17" t="s">
        <v>692</v>
      </c>
      <c r="I2009" s="17"/>
      <c r="J2009" s="17" t="s">
        <v>693</v>
      </c>
      <c r="K2009" s="17"/>
      <c r="L2009" s="17"/>
      <c r="M2009" s="17"/>
      <c r="N2009" s="17" t="s">
        <v>9159</v>
      </c>
      <c r="O2009" s="17"/>
      <c r="P2009" s="17" t="s">
        <v>9196</v>
      </c>
      <c r="Q2009" s="17"/>
      <c r="R2009" s="25" t="str">
        <f>HYPERLINK("https://ictv.global/taxonomy/taxondetails?taxnode_id=202311830","Littlefixvirus littlefix")</f>
        <v>Littlefixvirus littlefix</v>
      </c>
      <c r="S2009" s="18" t="s">
        <v>30</v>
      </c>
      <c r="T2009" s="18" t="s">
        <v>9199</v>
      </c>
      <c r="U2009" s="18"/>
      <c r="V2009" s="18"/>
      <c r="W2009" s="18" t="s">
        <v>9200</v>
      </c>
      <c r="X2009" s="18" t="s">
        <v>42</v>
      </c>
      <c r="Y2009" s="18" t="s">
        <v>36</v>
      </c>
      <c r="Z2009" s="18" t="s">
        <v>697</v>
      </c>
      <c r="AA2009" s="21" t="str">
        <f>HYPERLINK("https://www.ncbi.nlm.nih.gov/nuccore/MG775260","NCBI Nucleotide")</f>
        <v>NCBI Nucleotide</v>
      </c>
    </row>
    <row r="2010" spans="1:27" x14ac:dyDescent="0.35">
      <c r="A2010">
        <v>1002486</v>
      </c>
      <c r="B2010">
        <v>1986</v>
      </c>
      <c r="C2010">
        <v>1</v>
      </c>
      <c r="D2010" s="17" t="s">
        <v>155</v>
      </c>
      <c r="E2010" s="17"/>
      <c r="F2010" s="17" t="s">
        <v>156</v>
      </c>
      <c r="G2010" s="17"/>
      <c r="H2010" s="17" t="s">
        <v>692</v>
      </c>
      <c r="I2010" s="17"/>
      <c r="J2010" s="17" t="s">
        <v>693</v>
      </c>
      <c r="K2010" s="17"/>
      <c r="L2010" s="17"/>
      <c r="M2010" s="17"/>
      <c r="N2010" s="17" t="s">
        <v>9159</v>
      </c>
      <c r="O2010" s="17"/>
      <c r="P2010" s="17" t="s">
        <v>9201</v>
      </c>
      <c r="Q2010" s="17"/>
      <c r="R2010" s="25" t="str">
        <f>HYPERLINK("https://ictv.global/taxonomy/taxondetails?taxnode_id=202307900","Mukerjeevirus mv48B1")</f>
        <v>Mukerjeevirus mv48B1</v>
      </c>
      <c r="S2010" s="18" t="s">
        <v>30</v>
      </c>
      <c r="T2010" s="18" t="s">
        <v>9202</v>
      </c>
      <c r="U2010" s="18"/>
      <c r="V2010" s="18"/>
      <c r="W2010" s="18" t="s">
        <v>9203</v>
      </c>
      <c r="X2010" s="18" t="s">
        <v>154</v>
      </c>
      <c r="Y2010" s="18" t="s">
        <v>36</v>
      </c>
      <c r="Z2010" s="18" t="s">
        <v>697</v>
      </c>
      <c r="AA2010" s="21" t="str">
        <f>HYPERLINK("https://www.ncbi.nlm.nih.gov/nuccore/MG592591","NCBI Nucleotide")</f>
        <v>NCBI Nucleotide</v>
      </c>
    </row>
    <row r="2011" spans="1:27" x14ac:dyDescent="0.35">
      <c r="A2011">
        <v>1002487</v>
      </c>
      <c r="B2011">
        <v>1987</v>
      </c>
      <c r="C2011">
        <v>1</v>
      </c>
      <c r="D2011" s="17" t="s">
        <v>155</v>
      </c>
      <c r="E2011" s="17"/>
      <c r="F2011" s="17" t="s">
        <v>156</v>
      </c>
      <c r="G2011" s="17"/>
      <c r="H2011" s="17" t="s">
        <v>692</v>
      </c>
      <c r="I2011" s="17"/>
      <c r="J2011" s="17" t="s">
        <v>693</v>
      </c>
      <c r="K2011" s="17"/>
      <c r="L2011" s="17"/>
      <c r="M2011" s="17"/>
      <c r="N2011" s="17" t="s">
        <v>9159</v>
      </c>
      <c r="O2011" s="17"/>
      <c r="P2011" s="17" t="s">
        <v>9201</v>
      </c>
      <c r="Q2011" s="17"/>
      <c r="R2011" s="25" t="str">
        <f>HYPERLINK("https://ictv.global/taxonomy/taxondetails?taxnode_id=202307903","Mukerjeevirus mv51A6")</f>
        <v>Mukerjeevirus mv51A6</v>
      </c>
      <c r="S2011" s="18" t="s">
        <v>30</v>
      </c>
      <c r="T2011" s="18" t="s">
        <v>9204</v>
      </c>
      <c r="U2011" s="18"/>
      <c r="V2011" s="18"/>
      <c r="W2011" s="18" t="s">
        <v>9205</v>
      </c>
      <c r="X2011" s="18" t="s">
        <v>154</v>
      </c>
      <c r="Y2011" s="18" t="s">
        <v>36</v>
      </c>
      <c r="Z2011" s="18" t="s">
        <v>697</v>
      </c>
      <c r="AA2011" s="21" t="str">
        <f>HYPERLINK("https://www.ncbi.nlm.nih.gov/nuccore/MG592554","NCBI Nucleotide")</f>
        <v>NCBI Nucleotide</v>
      </c>
    </row>
    <row r="2012" spans="1:27" x14ac:dyDescent="0.35">
      <c r="A2012">
        <v>1002488</v>
      </c>
      <c r="B2012">
        <v>1988</v>
      </c>
      <c r="C2012">
        <v>1</v>
      </c>
      <c r="D2012" s="17" t="s">
        <v>155</v>
      </c>
      <c r="E2012" s="17"/>
      <c r="F2012" s="17" t="s">
        <v>156</v>
      </c>
      <c r="G2012" s="17"/>
      <c r="H2012" s="17" t="s">
        <v>692</v>
      </c>
      <c r="I2012" s="17"/>
      <c r="J2012" s="17" t="s">
        <v>693</v>
      </c>
      <c r="K2012" s="17"/>
      <c r="L2012" s="17"/>
      <c r="M2012" s="17"/>
      <c r="N2012" s="17" t="s">
        <v>9159</v>
      </c>
      <c r="O2012" s="17"/>
      <c r="P2012" s="17" t="s">
        <v>9201</v>
      </c>
      <c r="Q2012" s="17"/>
      <c r="R2012" s="25" t="str">
        <f>HYPERLINK("https://ictv.global/taxonomy/taxondetails?taxnode_id=202307901","Mukerjeevirus mv51A7")</f>
        <v>Mukerjeevirus mv51A7</v>
      </c>
      <c r="S2012" s="18" t="s">
        <v>30</v>
      </c>
      <c r="T2012" s="18" t="s">
        <v>9206</v>
      </c>
      <c r="U2012" s="18"/>
      <c r="V2012" s="18"/>
      <c r="W2012" s="18" t="s">
        <v>9207</v>
      </c>
      <c r="X2012" s="18" t="s">
        <v>154</v>
      </c>
      <c r="Y2012" s="18" t="s">
        <v>36</v>
      </c>
      <c r="Z2012" s="18" t="s">
        <v>697</v>
      </c>
      <c r="AA2012" s="21" t="str">
        <f>HYPERLINK("https://www.ncbi.nlm.nih.gov/nuccore/MG592625","NCBI Nucleotide")</f>
        <v>NCBI Nucleotide</v>
      </c>
    </row>
    <row r="2013" spans="1:27" x14ac:dyDescent="0.35">
      <c r="A2013">
        <v>1002489</v>
      </c>
      <c r="B2013">
        <v>1989</v>
      </c>
      <c r="C2013">
        <v>1</v>
      </c>
      <c r="D2013" s="17" t="s">
        <v>155</v>
      </c>
      <c r="E2013" s="17"/>
      <c r="F2013" s="17" t="s">
        <v>156</v>
      </c>
      <c r="G2013" s="17"/>
      <c r="H2013" s="17" t="s">
        <v>692</v>
      </c>
      <c r="I2013" s="17"/>
      <c r="J2013" s="17" t="s">
        <v>693</v>
      </c>
      <c r="K2013" s="17"/>
      <c r="L2013" s="17"/>
      <c r="M2013" s="17"/>
      <c r="N2013" s="17" t="s">
        <v>9159</v>
      </c>
      <c r="O2013" s="17"/>
      <c r="P2013" s="17" t="s">
        <v>9201</v>
      </c>
      <c r="Q2013" s="17"/>
      <c r="R2013" s="25" t="str">
        <f>HYPERLINK("https://ictv.global/taxonomy/taxondetails?taxnode_id=202307902","Mukerjeevirus mv52B1")</f>
        <v>Mukerjeevirus mv52B1</v>
      </c>
      <c r="S2013" s="18" t="s">
        <v>30</v>
      </c>
      <c r="T2013" s="18" t="s">
        <v>9208</v>
      </c>
      <c r="U2013" s="18"/>
      <c r="V2013" s="18"/>
      <c r="W2013" s="18" t="s">
        <v>9209</v>
      </c>
      <c r="X2013" s="18" t="s">
        <v>154</v>
      </c>
      <c r="Y2013" s="18" t="s">
        <v>36</v>
      </c>
      <c r="Z2013" s="18" t="s">
        <v>697</v>
      </c>
      <c r="AA2013" s="21" t="str">
        <f>HYPERLINK("https://www.ncbi.nlm.nih.gov/nuccore/MG592536","NCBI Nucleotide")</f>
        <v>NCBI Nucleotide</v>
      </c>
    </row>
    <row r="2014" spans="1:27" x14ac:dyDescent="0.35">
      <c r="A2014">
        <v>1002490</v>
      </c>
      <c r="B2014">
        <v>1990</v>
      </c>
      <c r="C2014">
        <v>1</v>
      </c>
      <c r="D2014" s="17" t="s">
        <v>155</v>
      </c>
      <c r="E2014" s="17"/>
      <c r="F2014" s="17" t="s">
        <v>156</v>
      </c>
      <c r="G2014" s="17"/>
      <c r="H2014" s="17" t="s">
        <v>692</v>
      </c>
      <c r="I2014" s="17"/>
      <c r="J2014" s="17" t="s">
        <v>693</v>
      </c>
      <c r="K2014" s="17"/>
      <c r="L2014" s="17"/>
      <c r="M2014" s="17"/>
      <c r="N2014" s="17" t="s">
        <v>9159</v>
      </c>
      <c r="O2014" s="17"/>
      <c r="P2014" s="17" t="s">
        <v>9210</v>
      </c>
      <c r="Q2014" s="17"/>
      <c r="R2014" s="25" t="str">
        <f>HYPERLINK("https://ictv.global/taxonomy/taxondetails?taxnode_id=202312789","Oliverunavirus OLIVR1")</f>
        <v>Oliverunavirus OLIVR1</v>
      </c>
      <c r="S2014" s="18" t="s">
        <v>30</v>
      </c>
      <c r="T2014" s="18" t="s">
        <v>9211</v>
      </c>
      <c r="U2014" s="18"/>
      <c r="V2014" s="18"/>
      <c r="W2014" s="18" t="s">
        <v>9212</v>
      </c>
      <c r="X2014" s="18" t="s">
        <v>35</v>
      </c>
      <c r="Y2014" s="18" t="s">
        <v>36</v>
      </c>
      <c r="Z2014" s="18" t="s">
        <v>697</v>
      </c>
      <c r="AA2014" s="21" t="str">
        <f>HYPERLINK("https://www.ncbi.nlm.nih.gov/nuccore/MT234338","NCBI Nucleotide")</f>
        <v>NCBI Nucleotide</v>
      </c>
    </row>
    <row r="2015" spans="1:27" x14ac:dyDescent="0.35">
      <c r="A2015">
        <v>1002491</v>
      </c>
      <c r="B2015">
        <v>1991</v>
      </c>
      <c r="C2015">
        <v>1</v>
      </c>
      <c r="D2015" s="17" t="s">
        <v>155</v>
      </c>
      <c r="E2015" s="17"/>
      <c r="F2015" s="17" t="s">
        <v>156</v>
      </c>
      <c r="G2015" s="17"/>
      <c r="H2015" s="17" t="s">
        <v>692</v>
      </c>
      <c r="I2015" s="17"/>
      <c r="J2015" s="17" t="s">
        <v>693</v>
      </c>
      <c r="K2015" s="17"/>
      <c r="L2015" s="17"/>
      <c r="M2015" s="17"/>
      <c r="N2015" s="17" t="s">
        <v>9159</v>
      </c>
      <c r="O2015" s="17"/>
      <c r="P2015" s="17" t="s">
        <v>9213</v>
      </c>
      <c r="Q2015" s="17"/>
      <c r="R2015" s="25" t="str">
        <f>HYPERLINK("https://ictv.global/taxonomy/taxondetails?taxnode_id=202311823","Pacinivirus phi1")</f>
        <v>Pacinivirus phi1</v>
      </c>
      <c r="S2015" s="18" t="s">
        <v>30</v>
      </c>
      <c r="T2015" s="18" t="s">
        <v>9214</v>
      </c>
      <c r="U2015" s="18"/>
      <c r="V2015" s="18"/>
      <c r="W2015" s="18" t="s">
        <v>9215</v>
      </c>
      <c r="X2015" s="18" t="s">
        <v>42</v>
      </c>
      <c r="Y2015" s="18" t="s">
        <v>36</v>
      </c>
      <c r="Z2015" s="18" t="s">
        <v>697</v>
      </c>
      <c r="AA2015" s="21" t="str">
        <f>HYPERLINK("https://www.ncbi.nlm.nih.gov/nuccore/KP280062","NCBI Nucleotide")</f>
        <v>NCBI Nucleotide</v>
      </c>
    </row>
    <row r="2016" spans="1:27" x14ac:dyDescent="0.35">
      <c r="A2016">
        <v>1002492</v>
      </c>
      <c r="B2016">
        <v>1992</v>
      </c>
      <c r="C2016">
        <v>1</v>
      </c>
      <c r="D2016" s="17" t="s">
        <v>155</v>
      </c>
      <c r="E2016" s="17"/>
      <c r="F2016" s="17" t="s">
        <v>156</v>
      </c>
      <c r="G2016" s="17"/>
      <c r="H2016" s="17" t="s">
        <v>692</v>
      </c>
      <c r="I2016" s="17"/>
      <c r="J2016" s="17" t="s">
        <v>693</v>
      </c>
      <c r="K2016" s="17"/>
      <c r="L2016" s="17"/>
      <c r="M2016" s="17"/>
      <c r="N2016" s="17" t="s">
        <v>9159</v>
      </c>
      <c r="O2016" s="17"/>
      <c r="P2016" s="17" t="s">
        <v>9213</v>
      </c>
      <c r="Q2016" s="17"/>
      <c r="R2016" s="25" t="str">
        <f>HYPERLINK("https://ictv.global/taxonomy/taxondetails?taxnode_id=202311822","Pacinivirus VCO139")</f>
        <v>Pacinivirus VCO139</v>
      </c>
      <c r="S2016" s="18" t="s">
        <v>30</v>
      </c>
      <c r="T2016" s="18" t="s">
        <v>9216</v>
      </c>
      <c r="U2016" s="18"/>
      <c r="V2016" s="18"/>
      <c r="W2016" s="18" t="s">
        <v>9217</v>
      </c>
      <c r="X2016" s="18" t="s">
        <v>42</v>
      </c>
      <c r="Y2016" s="18" t="s">
        <v>36</v>
      </c>
      <c r="Z2016" s="18" t="s">
        <v>697</v>
      </c>
      <c r="AA2016" s="21" t="str">
        <f>HYPERLINK("https://www.ncbi.nlm.nih.gov/nuccore/KC438283","NCBI Nucleotide")</f>
        <v>NCBI Nucleotide</v>
      </c>
    </row>
    <row r="2017" spans="1:27" x14ac:dyDescent="0.35">
      <c r="A2017">
        <v>1002493</v>
      </c>
      <c r="B2017">
        <v>1993</v>
      </c>
      <c r="C2017">
        <v>1</v>
      </c>
      <c r="D2017" s="17" t="s">
        <v>155</v>
      </c>
      <c r="E2017" s="17"/>
      <c r="F2017" s="17" t="s">
        <v>156</v>
      </c>
      <c r="G2017" s="17"/>
      <c r="H2017" s="17" t="s">
        <v>692</v>
      </c>
      <c r="I2017" s="17"/>
      <c r="J2017" s="17" t="s">
        <v>693</v>
      </c>
      <c r="K2017" s="17"/>
      <c r="L2017" s="17"/>
      <c r="M2017" s="17"/>
      <c r="N2017" s="17" t="s">
        <v>9159</v>
      </c>
      <c r="O2017" s="17"/>
      <c r="P2017" s="17" t="s">
        <v>9218</v>
      </c>
      <c r="Q2017" s="17"/>
      <c r="R2017" s="25" t="str">
        <f>HYPERLINK("https://ictv.global/taxonomy/taxondetails?taxnode_id=202313608","Pariacacavirus 1238A")</f>
        <v>Pariacacavirus 1238A</v>
      </c>
      <c r="S2017" s="18" t="s">
        <v>30</v>
      </c>
      <c r="T2017" s="18" t="s">
        <v>9219</v>
      </c>
      <c r="U2017" s="18"/>
      <c r="V2017" s="18"/>
      <c r="W2017" s="18" t="s">
        <v>9220</v>
      </c>
      <c r="X2017" s="18" t="s">
        <v>154</v>
      </c>
      <c r="Y2017" s="18" t="s">
        <v>36</v>
      </c>
      <c r="Z2017" s="18" t="s">
        <v>697</v>
      </c>
      <c r="AA2017" s="21" t="str">
        <f>HYPERLINK("https://www.ncbi.nlm.nih.gov/nuccore/MG592603","NCBI Nucleotide")</f>
        <v>NCBI Nucleotide</v>
      </c>
    </row>
    <row r="2018" spans="1:27" x14ac:dyDescent="0.35">
      <c r="A2018">
        <v>1002494</v>
      </c>
      <c r="B2018">
        <v>1994</v>
      </c>
      <c r="C2018">
        <v>1</v>
      </c>
      <c r="D2018" s="17" t="s">
        <v>155</v>
      </c>
      <c r="E2018" s="17"/>
      <c r="F2018" s="17" t="s">
        <v>156</v>
      </c>
      <c r="G2018" s="17"/>
      <c r="H2018" s="17" t="s">
        <v>692</v>
      </c>
      <c r="I2018" s="17"/>
      <c r="J2018" s="17" t="s">
        <v>693</v>
      </c>
      <c r="K2018" s="17"/>
      <c r="L2018" s="17"/>
      <c r="M2018" s="17"/>
      <c r="N2018" s="17" t="s">
        <v>9159</v>
      </c>
      <c r="O2018" s="17"/>
      <c r="P2018" s="17" t="s">
        <v>9218</v>
      </c>
      <c r="Q2018" s="17"/>
      <c r="R2018" s="25" t="str">
        <f>HYPERLINK("https://ictv.global/taxonomy/taxondetails?taxnode_id=202313607","Pariacacavirus 1245O")</f>
        <v>Pariacacavirus 1245O</v>
      </c>
      <c r="S2018" s="18" t="s">
        <v>30</v>
      </c>
      <c r="T2018" s="18" t="s">
        <v>9221</v>
      </c>
      <c r="U2018" s="18"/>
      <c r="V2018" s="18"/>
      <c r="W2018" s="18" t="s">
        <v>9222</v>
      </c>
      <c r="X2018" s="18" t="s">
        <v>154</v>
      </c>
      <c r="Y2018" s="18" t="s">
        <v>36</v>
      </c>
      <c r="Z2018" s="18" t="s">
        <v>697</v>
      </c>
      <c r="AA2018" s="21" t="str">
        <f>HYPERLINK("https://www.ncbi.nlm.nih.gov/nuccore/MG592610","NCBI Nucleotide")</f>
        <v>NCBI Nucleotide</v>
      </c>
    </row>
    <row r="2019" spans="1:27" x14ac:dyDescent="0.35">
      <c r="A2019">
        <v>1002495</v>
      </c>
      <c r="B2019">
        <v>1995</v>
      </c>
      <c r="C2019">
        <v>1</v>
      </c>
      <c r="D2019" s="17" t="s">
        <v>155</v>
      </c>
      <c r="E2019" s="17"/>
      <c r="F2019" s="17" t="s">
        <v>156</v>
      </c>
      <c r="G2019" s="17"/>
      <c r="H2019" s="17" t="s">
        <v>692</v>
      </c>
      <c r="I2019" s="17"/>
      <c r="J2019" s="17" t="s">
        <v>693</v>
      </c>
      <c r="K2019" s="17"/>
      <c r="L2019" s="17"/>
      <c r="M2019" s="17"/>
      <c r="N2019" s="17" t="s">
        <v>9159</v>
      </c>
      <c r="O2019" s="17"/>
      <c r="P2019" s="17" t="s">
        <v>9223</v>
      </c>
      <c r="Q2019" s="17"/>
      <c r="R2019" s="25" t="str">
        <f>HYPERLINK("https://ictv.global/taxonomy/taxondetails?taxnode_id=202312920","Penintadodekavirus 5012")</f>
        <v>Penintadodekavirus 5012</v>
      </c>
      <c r="S2019" s="18" t="s">
        <v>30</v>
      </c>
      <c r="T2019" s="18" t="s">
        <v>9224</v>
      </c>
      <c r="U2019" s="18"/>
      <c r="V2019" s="18"/>
      <c r="W2019" s="18" t="s">
        <v>9225</v>
      </c>
      <c r="X2019" s="18" t="s">
        <v>42</v>
      </c>
      <c r="Y2019" s="18" t="s">
        <v>36</v>
      </c>
      <c r="Z2019" s="18" t="s">
        <v>697</v>
      </c>
      <c r="AA2019" s="21" t="str">
        <f>HYPERLINK("https://www.ncbi.nlm.nih.gov/nuccore/MN584918","NCBI Nucleotide")</f>
        <v>NCBI Nucleotide</v>
      </c>
    </row>
    <row r="2020" spans="1:27" x14ac:dyDescent="0.35">
      <c r="A2020">
        <v>1002496</v>
      </c>
      <c r="B2020">
        <v>1996</v>
      </c>
      <c r="C2020">
        <v>1</v>
      </c>
      <c r="D2020" s="17" t="s">
        <v>155</v>
      </c>
      <c r="E2020" s="17"/>
      <c r="F2020" s="17" t="s">
        <v>156</v>
      </c>
      <c r="G2020" s="17"/>
      <c r="H2020" s="17" t="s">
        <v>692</v>
      </c>
      <c r="I2020" s="17"/>
      <c r="J2020" s="17" t="s">
        <v>693</v>
      </c>
      <c r="K2020" s="17"/>
      <c r="L2020" s="17"/>
      <c r="M2020" s="17"/>
      <c r="N2020" s="17" t="s">
        <v>9159</v>
      </c>
      <c r="O2020" s="17"/>
      <c r="P2020" s="17" t="s">
        <v>9226</v>
      </c>
      <c r="Q2020" s="17"/>
      <c r="R2020" s="25" t="str">
        <f>HYPERLINK("https://ictv.global/taxonomy/taxondetails?taxnode_id=202314812","Petruschkyvirus QDWS595")</f>
        <v>Petruschkyvirus QDWS595</v>
      </c>
      <c r="S2020" s="18" t="s">
        <v>30</v>
      </c>
      <c r="T2020" s="18" t="s">
        <v>9227</v>
      </c>
      <c r="U2020" s="18"/>
      <c r="V2020" s="18"/>
      <c r="W2020" s="18" t="s">
        <v>9228</v>
      </c>
      <c r="X2020" s="18" t="s">
        <v>42</v>
      </c>
      <c r="Y2020" s="18" t="s">
        <v>36</v>
      </c>
      <c r="Z2020" s="18" t="s">
        <v>697</v>
      </c>
      <c r="AA2020" s="21" t="str">
        <f>HYPERLINK("https://www.ncbi.nlm.nih.gov/nuccore/OK149171","NCBI Nucleotide")</f>
        <v>NCBI Nucleotide</v>
      </c>
    </row>
    <row r="2021" spans="1:27" x14ac:dyDescent="0.35">
      <c r="A2021">
        <v>1002497</v>
      </c>
      <c r="B2021">
        <v>1997</v>
      </c>
      <c r="C2021">
        <v>1</v>
      </c>
      <c r="D2021" s="17" t="s">
        <v>155</v>
      </c>
      <c r="E2021" s="17"/>
      <c r="F2021" s="17" t="s">
        <v>156</v>
      </c>
      <c r="G2021" s="17"/>
      <c r="H2021" s="17" t="s">
        <v>692</v>
      </c>
      <c r="I2021" s="17"/>
      <c r="J2021" s="17" t="s">
        <v>693</v>
      </c>
      <c r="K2021" s="17"/>
      <c r="L2021" s="17"/>
      <c r="M2021" s="17"/>
      <c r="N2021" s="17" t="s">
        <v>9159</v>
      </c>
      <c r="O2021" s="17"/>
      <c r="P2021" s="17" t="s">
        <v>9229</v>
      </c>
      <c r="Q2021" s="17"/>
      <c r="R2021" s="25" t="str">
        <f>HYPERLINK("https://ictv.global/taxonomy/taxondetails?taxnode_id=202314810","Philippevirus philippe")</f>
        <v>Philippevirus philippe</v>
      </c>
      <c r="S2021" s="18" t="s">
        <v>30</v>
      </c>
      <c r="T2021" s="18" t="s">
        <v>9230</v>
      </c>
      <c r="U2021" s="18"/>
      <c r="V2021" s="18"/>
      <c r="W2021" s="18" t="s">
        <v>9231</v>
      </c>
      <c r="X2021" s="18" t="s">
        <v>42</v>
      </c>
      <c r="Y2021" s="18" t="s">
        <v>36</v>
      </c>
      <c r="Z2021" s="18" t="s">
        <v>697</v>
      </c>
      <c r="AA2021" s="21" t="str">
        <f>HYPERLINK("https://www.ncbi.nlm.nih.gov/nuccore/MZ326861","NCBI Nucleotide")</f>
        <v>NCBI Nucleotide</v>
      </c>
    </row>
    <row r="2022" spans="1:27" x14ac:dyDescent="0.35">
      <c r="A2022">
        <v>1002498</v>
      </c>
      <c r="B2022">
        <v>1998</v>
      </c>
      <c r="C2022">
        <v>1</v>
      </c>
      <c r="D2022" s="17" t="s">
        <v>155</v>
      </c>
      <c r="E2022" s="17"/>
      <c r="F2022" s="17" t="s">
        <v>156</v>
      </c>
      <c r="G2022" s="17"/>
      <c r="H2022" s="17" t="s">
        <v>692</v>
      </c>
      <c r="I2022" s="17"/>
      <c r="J2022" s="17" t="s">
        <v>693</v>
      </c>
      <c r="K2022" s="17"/>
      <c r="L2022" s="17"/>
      <c r="M2022" s="17"/>
      <c r="N2022" s="17" t="s">
        <v>9159</v>
      </c>
      <c r="O2022" s="17"/>
      <c r="P2022" s="17" t="s">
        <v>9232</v>
      </c>
      <c r="Q2022" s="17"/>
      <c r="R2022" s="25" t="str">
        <f>HYPERLINK("https://ictv.global/taxonomy/taxondetails?taxnode_id=202314832","Pokkenvirus paxi")</f>
        <v>Pokkenvirus paxi</v>
      </c>
      <c r="S2022" s="18" t="s">
        <v>30</v>
      </c>
      <c r="T2022" s="18" t="s">
        <v>9233</v>
      </c>
      <c r="U2022" s="18"/>
      <c r="V2022" s="18"/>
      <c r="W2022" s="18" t="s">
        <v>9234</v>
      </c>
      <c r="X2022" s="18" t="s">
        <v>42</v>
      </c>
      <c r="Y2022" s="18" t="s">
        <v>36</v>
      </c>
      <c r="Z2022" s="18" t="s">
        <v>697</v>
      </c>
      <c r="AA2022" s="21" t="str">
        <f>HYPERLINK("https://www.ncbi.nlm.nih.gov/nuccore/MZ326856","NCBI Nucleotide")</f>
        <v>NCBI Nucleotide</v>
      </c>
    </row>
    <row r="2023" spans="1:27" x14ac:dyDescent="0.35">
      <c r="A2023">
        <v>1002499</v>
      </c>
      <c r="B2023">
        <v>1999</v>
      </c>
      <c r="C2023">
        <v>1</v>
      </c>
      <c r="D2023" s="17" t="s">
        <v>155</v>
      </c>
      <c r="E2023" s="17"/>
      <c r="F2023" s="17" t="s">
        <v>156</v>
      </c>
      <c r="G2023" s="17"/>
      <c r="H2023" s="17" t="s">
        <v>692</v>
      </c>
      <c r="I2023" s="17"/>
      <c r="J2023" s="17" t="s">
        <v>693</v>
      </c>
      <c r="K2023" s="17"/>
      <c r="L2023" s="17"/>
      <c r="M2023" s="17"/>
      <c r="N2023" s="17" t="s">
        <v>9159</v>
      </c>
      <c r="O2023" s="17"/>
      <c r="P2023" s="17" t="s">
        <v>9232</v>
      </c>
      <c r="Q2023" s="17"/>
      <c r="R2023" s="25" t="str">
        <f>HYPERLINK("https://ictv.global/taxonomy/taxondetails?taxnode_id=202314833","Pokkenvirus piffle")</f>
        <v>Pokkenvirus piffle</v>
      </c>
      <c r="S2023" s="18" t="s">
        <v>30</v>
      </c>
      <c r="T2023" s="18" t="s">
        <v>9235</v>
      </c>
      <c r="U2023" s="18"/>
      <c r="V2023" s="18"/>
      <c r="W2023" s="18" t="s">
        <v>9236</v>
      </c>
      <c r="X2023" s="18" t="s">
        <v>42</v>
      </c>
      <c r="Y2023" s="18" t="s">
        <v>36</v>
      </c>
      <c r="Z2023" s="18" t="s">
        <v>697</v>
      </c>
      <c r="AA2023" s="21" t="str">
        <f>HYPERLINK("https://www.ncbi.nlm.nih.gov/nuccore/MZ326857","NCBI Nucleotide")</f>
        <v>NCBI Nucleotide</v>
      </c>
    </row>
    <row r="2024" spans="1:27" x14ac:dyDescent="0.35">
      <c r="A2024">
        <v>1002500</v>
      </c>
      <c r="B2024">
        <v>2000</v>
      </c>
      <c r="C2024">
        <v>1</v>
      </c>
      <c r="D2024" s="17" t="s">
        <v>155</v>
      </c>
      <c r="E2024" s="17"/>
      <c r="F2024" s="17" t="s">
        <v>156</v>
      </c>
      <c r="G2024" s="17"/>
      <c r="H2024" s="17" t="s">
        <v>692</v>
      </c>
      <c r="I2024" s="17"/>
      <c r="J2024" s="17" t="s">
        <v>693</v>
      </c>
      <c r="K2024" s="17"/>
      <c r="L2024" s="17"/>
      <c r="M2024" s="17"/>
      <c r="N2024" s="17" t="s">
        <v>9159</v>
      </c>
      <c r="O2024" s="17"/>
      <c r="P2024" s="17" t="s">
        <v>9232</v>
      </c>
      <c r="Q2024" s="17"/>
      <c r="R2024" s="25" t="str">
        <f>HYPERLINK("https://ictv.global/taxonomy/taxondetails?taxnode_id=202311840","Pokkenvirus pokken")</f>
        <v>Pokkenvirus pokken</v>
      </c>
      <c r="S2024" s="18" t="s">
        <v>30</v>
      </c>
      <c r="T2024" s="18" t="s">
        <v>9237</v>
      </c>
      <c r="U2024" s="18"/>
      <c r="V2024" s="18"/>
      <c r="W2024" s="18" t="s">
        <v>9238</v>
      </c>
      <c r="X2024" s="18" t="s">
        <v>42</v>
      </c>
      <c r="Y2024" s="18" t="s">
        <v>36</v>
      </c>
      <c r="Z2024" s="18" t="s">
        <v>697</v>
      </c>
      <c r="AA2024" s="21" t="str">
        <f>HYPERLINK("https://www.ncbi.nlm.nih.gov/nuccore/MN062186","NCBI Nucleotide")</f>
        <v>NCBI Nucleotide</v>
      </c>
    </row>
    <row r="2025" spans="1:27" x14ac:dyDescent="0.35">
      <c r="A2025">
        <v>1002501</v>
      </c>
      <c r="B2025">
        <v>2001</v>
      </c>
      <c r="C2025">
        <v>1</v>
      </c>
      <c r="D2025" s="17" t="s">
        <v>155</v>
      </c>
      <c r="E2025" s="17"/>
      <c r="F2025" s="17" t="s">
        <v>156</v>
      </c>
      <c r="G2025" s="17"/>
      <c r="H2025" s="17" t="s">
        <v>692</v>
      </c>
      <c r="I2025" s="17"/>
      <c r="J2025" s="17" t="s">
        <v>693</v>
      </c>
      <c r="K2025" s="17"/>
      <c r="L2025" s="17"/>
      <c r="M2025" s="17"/>
      <c r="N2025" s="17" t="s">
        <v>9159</v>
      </c>
      <c r="O2025" s="17"/>
      <c r="P2025" s="17" t="s">
        <v>9239</v>
      </c>
      <c r="Q2025" s="17"/>
      <c r="R2025" s="25" t="str">
        <f>HYPERLINK("https://ictv.global/taxonomy/taxondetails?taxnode_id=202311828","Presleyvirus presley")</f>
        <v>Presleyvirus presley</v>
      </c>
      <c r="S2025" s="18" t="s">
        <v>30</v>
      </c>
      <c r="T2025" s="18" t="s">
        <v>9240</v>
      </c>
      <c r="U2025" s="18"/>
      <c r="V2025" s="18"/>
      <c r="W2025" s="18" t="s">
        <v>9241</v>
      </c>
      <c r="X2025" s="18" t="s">
        <v>42</v>
      </c>
      <c r="Y2025" s="18" t="s">
        <v>36</v>
      </c>
      <c r="Z2025" s="18" t="s">
        <v>697</v>
      </c>
      <c r="AA2025" s="21" t="str">
        <f>HYPERLINK("https://www.ncbi.nlm.nih.gov/nuccore/KF669658","NCBI Nucleotide")</f>
        <v>NCBI Nucleotide</v>
      </c>
    </row>
    <row r="2026" spans="1:27" x14ac:dyDescent="0.35">
      <c r="A2026">
        <v>1002502</v>
      </c>
      <c r="B2026">
        <v>2002</v>
      </c>
      <c r="C2026">
        <v>1</v>
      </c>
      <c r="D2026" s="17" t="s">
        <v>155</v>
      </c>
      <c r="E2026" s="17"/>
      <c r="F2026" s="17" t="s">
        <v>156</v>
      </c>
      <c r="G2026" s="17"/>
      <c r="H2026" s="17" t="s">
        <v>692</v>
      </c>
      <c r="I2026" s="17"/>
      <c r="J2026" s="17" t="s">
        <v>693</v>
      </c>
      <c r="K2026" s="17"/>
      <c r="L2026" s="17"/>
      <c r="M2026" s="17"/>
      <c r="N2026" s="17" t="s">
        <v>9159</v>
      </c>
      <c r="O2026" s="17"/>
      <c r="P2026" s="17" t="s">
        <v>9242</v>
      </c>
      <c r="Q2026" s="17"/>
      <c r="R2026" s="25" t="str">
        <f>HYPERLINK("https://ictv.global/taxonomy/taxondetails?taxnode_id=202311838","Riverridervirus riverrider")</f>
        <v>Riverridervirus riverrider</v>
      </c>
      <c r="S2026" s="18" t="s">
        <v>30</v>
      </c>
      <c r="T2026" s="18" t="s">
        <v>9243</v>
      </c>
      <c r="U2026" s="18"/>
      <c r="V2026" s="18"/>
      <c r="W2026" s="18" t="s">
        <v>9244</v>
      </c>
      <c r="X2026" s="18" t="s">
        <v>42</v>
      </c>
      <c r="Y2026" s="18" t="s">
        <v>36</v>
      </c>
      <c r="Z2026" s="18" t="s">
        <v>697</v>
      </c>
      <c r="AA2026" s="21" t="str">
        <f>HYPERLINK("https://www.ncbi.nlm.nih.gov/nuccore/MG983743","NCBI Nucleotide")</f>
        <v>NCBI Nucleotide</v>
      </c>
    </row>
    <row r="2027" spans="1:27" x14ac:dyDescent="0.35">
      <c r="A2027">
        <v>1002503</v>
      </c>
      <c r="B2027">
        <v>2003</v>
      </c>
      <c r="C2027">
        <v>1</v>
      </c>
      <c r="D2027" s="17" t="s">
        <v>155</v>
      </c>
      <c r="E2027" s="17"/>
      <c r="F2027" s="17" t="s">
        <v>156</v>
      </c>
      <c r="G2027" s="17"/>
      <c r="H2027" s="17" t="s">
        <v>692</v>
      </c>
      <c r="I2027" s="17"/>
      <c r="J2027" s="17" t="s">
        <v>693</v>
      </c>
      <c r="K2027" s="17"/>
      <c r="L2027" s="17"/>
      <c r="M2027" s="17"/>
      <c r="N2027" s="17" t="s">
        <v>9159</v>
      </c>
      <c r="O2027" s="17"/>
      <c r="P2027" s="17" t="s">
        <v>9245</v>
      </c>
      <c r="Q2027" s="17"/>
      <c r="R2027" s="25" t="str">
        <f>HYPERLINK("https://ictv.global/taxonomy/taxondetails?taxnode_id=202307691","Shizishanvirus phCDa")</f>
        <v>Shizishanvirus phCDa</v>
      </c>
      <c r="S2027" s="18" t="s">
        <v>30</v>
      </c>
      <c r="T2027" s="18" t="s">
        <v>9246</v>
      </c>
      <c r="U2027" s="18"/>
      <c r="V2027" s="18"/>
      <c r="W2027" s="18" t="s">
        <v>9247</v>
      </c>
      <c r="X2027" s="18" t="s">
        <v>42</v>
      </c>
      <c r="Y2027" s="18" t="s">
        <v>36</v>
      </c>
      <c r="Z2027" s="18" t="s">
        <v>697</v>
      </c>
      <c r="AA2027" s="21" t="str">
        <f>HYPERLINK("https://www.ncbi.nlm.nih.gov/nuccore/MH382836","NCBI Nucleotide")</f>
        <v>NCBI Nucleotide</v>
      </c>
    </row>
    <row r="2028" spans="1:27" x14ac:dyDescent="0.35">
      <c r="A2028">
        <v>1002504</v>
      </c>
      <c r="B2028">
        <v>2004</v>
      </c>
      <c r="C2028">
        <v>1</v>
      </c>
      <c r="D2028" s="17" t="s">
        <v>155</v>
      </c>
      <c r="E2028" s="17"/>
      <c r="F2028" s="17" t="s">
        <v>156</v>
      </c>
      <c r="G2028" s="17"/>
      <c r="H2028" s="17" t="s">
        <v>692</v>
      </c>
      <c r="I2028" s="17"/>
      <c r="J2028" s="17" t="s">
        <v>693</v>
      </c>
      <c r="K2028" s="17"/>
      <c r="L2028" s="17"/>
      <c r="M2028" s="17"/>
      <c r="N2028" s="17" t="s">
        <v>9159</v>
      </c>
      <c r="O2028" s="17"/>
      <c r="P2028" s="17" t="s">
        <v>9248</v>
      </c>
      <c r="Q2028" s="17"/>
      <c r="R2028" s="25" t="str">
        <f>HYPERLINK("https://ictv.global/taxonomy/taxondetails?taxnode_id=202313610","Triduovirus Tr2")</f>
        <v>Triduovirus Tr2</v>
      </c>
      <c r="S2028" s="18" t="s">
        <v>30</v>
      </c>
      <c r="T2028" s="18" t="s">
        <v>9249</v>
      </c>
      <c r="U2028" s="18"/>
      <c r="V2028" s="18"/>
      <c r="W2028" s="18" t="s">
        <v>9250</v>
      </c>
      <c r="X2028" s="18" t="s">
        <v>42</v>
      </c>
      <c r="Y2028" s="18" t="s">
        <v>36</v>
      </c>
      <c r="Z2028" s="18" t="s">
        <v>697</v>
      </c>
      <c r="AA2028" s="21" t="str">
        <f>HYPERLINK("https://www.ncbi.nlm.nih.gov/nuccore/MW544066","NCBI Nucleotide")</f>
        <v>NCBI Nucleotide</v>
      </c>
    </row>
    <row r="2029" spans="1:27" x14ac:dyDescent="0.35">
      <c r="A2029">
        <v>1002505</v>
      </c>
      <c r="B2029">
        <v>2005</v>
      </c>
      <c r="C2029">
        <v>1</v>
      </c>
      <c r="D2029" s="17" t="s">
        <v>155</v>
      </c>
      <c r="E2029" s="17"/>
      <c r="F2029" s="17" t="s">
        <v>156</v>
      </c>
      <c r="G2029" s="17"/>
      <c r="H2029" s="17" t="s">
        <v>692</v>
      </c>
      <c r="I2029" s="17"/>
      <c r="J2029" s="17" t="s">
        <v>693</v>
      </c>
      <c r="K2029" s="17"/>
      <c r="L2029" s="17"/>
      <c r="M2029" s="17"/>
      <c r="N2029" s="17" t="s">
        <v>9159</v>
      </c>
      <c r="O2029" s="17"/>
      <c r="P2029" s="17" t="s">
        <v>9251</v>
      </c>
      <c r="Q2029" s="17"/>
      <c r="R2029" s="25" t="str">
        <f>HYPERLINK("https://ictv.global/taxonomy/taxondetails?taxnode_id=202314811","Varunavirus BUCT194")</f>
        <v>Varunavirus BUCT194</v>
      </c>
      <c r="S2029" s="18" t="s">
        <v>30</v>
      </c>
      <c r="T2029" s="18" t="s">
        <v>9252</v>
      </c>
      <c r="U2029" s="18"/>
      <c r="V2029" s="18"/>
      <c r="W2029" s="18" t="s">
        <v>9253</v>
      </c>
      <c r="X2029" s="18" t="s">
        <v>42</v>
      </c>
      <c r="Y2029" s="18" t="s">
        <v>36</v>
      </c>
      <c r="Z2029" s="18" t="s">
        <v>697</v>
      </c>
      <c r="AA2029" s="21" t="str">
        <f>HYPERLINK("https://www.ncbi.nlm.nih.gov/nuccore/MZ447858","NCBI Nucleotide")</f>
        <v>NCBI Nucleotide</v>
      </c>
    </row>
    <row r="2030" spans="1:27" x14ac:dyDescent="0.35">
      <c r="A2030">
        <v>1002506</v>
      </c>
      <c r="B2030">
        <v>2006</v>
      </c>
      <c r="C2030">
        <v>1</v>
      </c>
      <c r="D2030" s="17" t="s">
        <v>155</v>
      </c>
      <c r="E2030" s="17"/>
      <c r="F2030" s="17" t="s">
        <v>156</v>
      </c>
      <c r="G2030" s="17"/>
      <c r="H2030" s="17" t="s">
        <v>692</v>
      </c>
      <c r="I2030" s="17"/>
      <c r="J2030" s="17" t="s">
        <v>693</v>
      </c>
      <c r="K2030" s="17"/>
      <c r="L2030" s="17"/>
      <c r="M2030" s="17"/>
      <c r="N2030" s="17" t="s">
        <v>9159</v>
      </c>
      <c r="O2030" s="17"/>
      <c r="P2030" s="17" t="s">
        <v>9254</v>
      </c>
      <c r="Q2030" s="17"/>
      <c r="R2030" s="25" t="str">
        <f>HYPERLINK("https://ictv.global/taxonomy/taxondetails?taxnode_id=202312922","Vicoquintavirus Pvco5")</f>
        <v>Vicoquintavirus Pvco5</v>
      </c>
      <c r="S2030" s="18" t="s">
        <v>30</v>
      </c>
      <c r="T2030" s="18" t="s">
        <v>9255</v>
      </c>
      <c r="U2030" s="18"/>
      <c r="V2030" s="18"/>
      <c r="W2030" s="18" t="s">
        <v>9256</v>
      </c>
      <c r="X2030" s="18" t="s">
        <v>42</v>
      </c>
      <c r="Y2030" s="18" t="s">
        <v>36</v>
      </c>
      <c r="Z2030" s="18" t="s">
        <v>697</v>
      </c>
      <c r="AA2030" s="21" t="str">
        <f>HYPERLINK("https://www.ncbi.nlm.nih.gov/nuccore/KY612839","NCBI Nucleotide")</f>
        <v>NCBI Nucleotide</v>
      </c>
    </row>
    <row r="2031" spans="1:27" x14ac:dyDescent="0.35">
      <c r="A2031">
        <v>1002507</v>
      </c>
      <c r="B2031">
        <v>2007</v>
      </c>
      <c r="C2031">
        <v>1</v>
      </c>
      <c r="D2031" s="17" t="s">
        <v>155</v>
      </c>
      <c r="E2031" s="17"/>
      <c r="F2031" s="17" t="s">
        <v>156</v>
      </c>
      <c r="G2031" s="17"/>
      <c r="H2031" s="17" t="s">
        <v>692</v>
      </c>
      <c r="I2031" s="17"/>
      <c r="J2031" s="17" t="s">
        <v>693</v>
      </c>
      <c r="K2031" s="17"/>
      <c r="L2031" s="17"/>
      <c r="M2031" s="17"/>
      <c r="N2031" s="17" t="s">
        <v>9159</v>
      </c>
      <c r="O2031" s="17"/>
      <c r="P2031" s="17" t="s">
        <v>9257</v>
      </c>
      <c r="Q2031" s="17"/>
      <c r="R2031" s="25" t="str">
        <f>HYPERLINK("https://ictv.global/taxonomy/taxondetails?taxnode_id=202311832","Waedenswilvirus S6")</f>
        <v>Waedenswilvirus S6</v>
      </c>
      <c r="S2031" s="18" t="s">
        <v>30</v>
      </c>
      <c r="T2031" s="18" t="s">
        <v>9258</v>
      </c>
      <c r="U2031" s="18"/>
      <c r="V2031" s="18"/>
      <c r="W2031" s="18" t="s">
        <v>9259</v>
      </c>
      <c r="X2031" s="18" t="s">
        <v>42</v>
      </c>
      <c r="Y2031" s="18" t="s">
        <v>36</v>
      </c>
      <c r="Z2031" s="18" t="s">
        <v>697</v>
      </c>
      <c r="AA2031" s="21" t="str">
        <f>HYPERLINK("https://www.ncbi.nlm.nih.gov/nuccore/HQ728266","NCBI Nucleotide")</f>
        <v>NCBI Nucleotide</v>
      </c>
    </row>
    <row r="2032" spans="1:27" x14ac:dyDescent="0.35">
      <c r="A2032">
        <v>1002508</v>
      </c>
      <c r="B2032">
        <v>2008</v>
      </c>
      <c r="C2032">
        <v>1</v>
      </c>
      <c r="D2032" s="17" t="s">
        <v>155</v>
      </c>
      <c r="E2032" s="17"/>
      <c r="F2032" s="17" t="s">
        <v>156</v>
      </c>
      <c r="G2032" s="17"/>
      <c r="H2032" s="17" t="s">
        <v>692</v>
      </c>
      <c r="I2032" s="17"/>
      <c r="J2032" s="17" t="s">
        <v>693</v>
      </c>
      <c r="K2032" s="17"/>
      <c r="L2032" s="17"/>
      <c r="M2032" s="17"/>
      <c r="N2032" s="17" t="s">
        <v>9159</v>
      </c>
      <c r="O2032" s="17"/>
      <c r="P2032" s="17" t="s">
        <v>9260</v>
      </c>
      <c r="Q2032" s="17"/>
      <c r="R2032" s="25" t="str">
        <f>HYPERLINK("https://ictv.global/taxonomy/taxondetails?taxnode_id=202314820","Xoxocotlavirus X228B")</f>
        <v>Xoxocotlavirus X228B</v>
      </c>
      <c r="S2032" s="18" t="s">
        <v>30</v>
      </c>
      <c r="T2032" s="18" t="s">
        <v>9261</v>
      </c>
      <c r="U2032" s="18"/>
      <c r="V2032" s="18"/>
      <c r="W2032" s="18" t="s">
        <v>9262</v>
      </c>
      <c r="X2032" s="18" t="s">
        <v>42</v>
      </c>
      <c r="Y2032" s="18" t="s">
        <v>36</v>
      </c>
      <c r="Z2032" s="18" t="s">
        <v>697</v>
      </c>
      <c r="AA2032" s="21" t="str">
        <f>HYPERLINK("https://www.ncbi.nlm.nih.gov/nuccore/MW960036","NCBI Nucleotide")</f>
        <v>NCBI Nucleotide</v>
      </c>
    </row>
    <row r="2033" spans="1:27" x14ac:dyDescent="0.35">
      <c r="A2033">
        <v>1002509</v>
      </c>
      <c r="B2033">
        <v>2009</v>
      </c>
      <c r="C2033">
        <v>1</v>
      </c>
      <c r="D2033" s="17" t="s">
        <v>155</v>
      </c>
      <c r="E2033" s="17"/>
      <c r="F2033" s="17" t="s">
        <v>156</v>
      </c>
      <c r="G2033" s="17"/>
      <c r="H2033" s="17" t="s">
        <v>692</v>
      </c>
      <c r="I2033" s="17"/>
      <c r="J2033" s="17" t="s">
        <v>693</v>
      </c>
      <c r="K2033" s="17"/>
      <c r="L2033" s="17"/>
      <c r="M2033" s="17"/>
      <c r="N2033" s="17" t="s">
        <v>9159</v>
      </c>
      <c r="O2033" s="17"/>
      <c r="P2033" s="17" t="s">
        <v>9263</v>
      </c>
      <c r="Q2033" s="17"/>
      <c r="R2033" s="25" t="str">
        <f>HYPERLINK("https://ictv.global/taxonomy/taxondetails?taxnode_id=202311825","Zicotriavirus ZC03")</f>
        <v>Zicotriavirus ZC03</v>
      </c>
      <c r="S2033" s="18" t="s">
        <v>30</v>
      </c>
      <c r="T2033" s="18" t="s">
        <v>9264</v>
      </c>
      <c r="U2033" s="18"/>
      <c r="V2033" s="18"/>
      <c r="W2033" s="18" t="s">
        <v>9265</v>
      </c>
      <c r="X2033" s="18" t="s">
        <v>42</v>
      </c>
      <c r="Y2033" s="18" t="s">
        <v>36</v>
      </c>
      <c r="Z2033" s="18" t="s">
        <v>697</v>
      </c>
      <c r="AA2033" s="21" t="str">
        <f>HYPERLINK("https://www.ncbi.nlm.nih.gov/nuccore/KU356690","NCBI Nucleotide")</f>
        <v>NCBI Nucleotide</v>
      </c>
    </row>
    <row r="2034" spans="1:27" x14ac:dyDescent="0.35">
      <c r="A2034">
        <v>1002510</v>
      </c>
      <c r="B2034">
        <v>2010</v>
      </c>
      <c r="C2034">
        <v>1</v>
      </c>
      <c r="D2034" s="17" t="s">
        <v>155</v>
      </c>
      <c r="E2034" s="17"/>
      <c r="F2034" s="17" t="s">
        <v>156</v>
      </c>
      <c r="G2034" s="17"/>
      <c r="H2034" s="17" t="s">
        <v>692</v>
      </c>
      <c r="I2034" s="17"/>
      <c r="J2034" s="17" t="s">
        <v>693</v>
      </c>
      <c r="K2034" s="17"/>
      <c r="L2034" s="17"/>
      <c r="M2034" s="17"/>
      <c r="N2034" s="17" t="s">
        <v>9159</v>
      </c>
      <c r="O2034" s="17"/>
      <c r="P2034" s="17" t="s">
        <v>9263</v>
      </c>
      <c r="Q2034" s="17"/>
      <c r="R2034" s="25" t="str">
        <f>HYPERLINK("https://ictv.global/taxonomy/taxondetails?taxnode_id=202311826","Zicotriavirus ZC08")</f>
        <v>Zicotriavirus ZC08</v>
      </c>
      <c r="S2034" s="18" t="s">
        <v>30</v>
      </c>
      <c r="T2034" s="18" t="s">
        <v>9266</v>
      </c>
      <c r="U2034" s="18"/>
      <c r="V2034" s="18"/>
      <c r="W2034" s="18" t="s">
        <v>9267</v>
      </c>
      <c r="X2034" s="18" t="s">
        <v>42</v>
      </c>
      <c r="Y2034" s="18" t="s">
        <v>36</v>
      </c>
      <c r="Z2034" s="18" t="s">
        <v>697</v>
      </c>
      <c r="AA2034" s="21" t="str">
        <f>HYPERLINK("https://www.ncbi.nlm.nih.gov/nuccore/KU356691","NCBI Nucleotide")</f>
        <v>NCBI Nucleotide</v>
      </c>
    </row>
    <row r="2035" spans="1:27" x14ac:dyDescent="0.35">
      <c r="A2035">
        <v>1002511</v>
      </c>
      <c r="B2035">
        <v>2011</v>
      </c>
      <c r="C2035">
        <v>1</v>
      </c>
      <c r="D2035" s="17" t="s">
        <v>155</v>
      </c>
      <c r="E2035" s="17"/>
      <c r="F2035" s="17" t="s">
        <v>156</v>
      </c>
      <c r="G2035" s="17"/>
      <c r="H2035" s="17" t="s">
        <v>692</v>
      </c>
      <c r="I2035" s="17"/>
      <c r="J2035" s="17" t="s">
        <v>693</v>
      </c>
      <c r="K2035" s="17"/>
      <c r="L2035" s="17"/>
      <c r="M2035" s="17"/>
      <c r="N2035" s="17" t="s">
        <v>9159</v>
      </c>
      <c r="O2035" s="17"/>
      <c r="P2035" s="17" t="s">
        <v>9268</v>
      </c>
      <c r="Q2035" s="17"/>
      <c r="R2035" s="25" t="str">
        <f>HYPERLINK("https://ictv.global/taxonomy/taxondetails?taxnode_id=202311836","Zurivirus zuri")</f>
        <v>Zurivirus zuri</v>
      </c>
      <c r="S2035" s="18" t="s">
        <v>30</v>
      </c>
      <c r="T2035" s="18" t="s">
        <v>9269</v>
      </c>
      <c r="U2035" s="18"/>
      <c r="V2035" s="18"/>
      <c r="W2035" s="18" t="s">
        <v>9270</v>
      </c>
      <c r="X2035" s="18" t="s">
        <v>42</v>
      </c>
      <c r="Y2035" s="18" t="s">
        <v>36</v>
      </c>
      <c r="Z2035" s="18" t="s">
        <v>697</v>
      </c>
      <c r="AA2035" s="21" t="str">
        <f>HYPERLINK("https://www.ncbi.nlm.nih.gov/nuccore/MK863032","NCBI Nucleotide")</f>
        <v>NCBI Nucleotide</v>
      </c>
    </row>
    <row r="2036" spans="1:27" x14ac:dyDescent="0.35">
      <c r="A2036">
        <v>1002512</v>
      </c>
      <c r="B2036">
        <v>2012</v>
      </c>
      <c r="C2036">
        <v>1</v>
      </c>
      <c r="D2036" s="17" t="s">
        <v>155</v>
      </c>
      <c r="E2036" s="17"/>
      <c r="F2036" s="17" t="s">
        <v>156</v>
      </c>
      <c r="G2036" s="17"/>
      <c r="H2036" s="17" t="s">
        <v>692</v>
      </c>
      <c r="I2036" s="17"/>
      <c r="J2036" s="17" t="s">
        <v>693</v>
      </c>
      <c r="K2036" s="17"/>
      <c r="L2036" s="17"/>
      <c r="M2036" s="17"/>
      <c r="N2036" s="17" t="s">
        <v>9438</v>
      </c>
      <c r="O2036" s="17"/>
      <c r="P2036" s="17" t="s">
        <v>9439</v>
      </c>
      <c r="Q2036" s="17"/>
      <c r="R2036" s="25" t="str">
        <f>HYPERLINK("https://ictv.global/taxonomy/taxondetails?taxnode_id=202314335","Glazvirus inraei")</f>
        <v>Glazvirus inraei</v>
      </c>
      <c r="S2036" s="18" t="s">
        <v>30</v>
      </c>
      <c r="T2036" s="18" t="s">
        <v>9440</v>
      </c>
      <c r="U2036" s="18" t="s">
        <v>9441</v>
      </c>
      <c r="V2036" s="18"/>
      <c r="W2036" s="18" t="s">
        <v>9442</v>
      </c>
      <c r="X2036" s="18" t="s">
        <v>42</v>
      </c>
      <c r="Y2036" s="18" t="s">
        <v>36</v>
      </c>
      <c r="Z2036" s="18" t="s">
        <v>37</v>
      </c>
      <c r="AA2036" s="21" t="str">
        <f>HYPERLINK("https://www.ncbi.nlm.nih.gov/nuccore/OX365879","NCBI Nucleotide")</f>
        <v>NCBI Nucleotide</v>
      </c>
    </row>
    <row r="2037" spans="1:27" x14ac:dyDescent="0.35">
      <c r="A2037">
        <v>1002513</v>
      </c>
      <c r="B2037">
        <v>2013</v>
      </c>
      <c r="C2037">
        <v>1</v>
      </c>
      <c r="D2037" s="17" t="s">
        <v>155</v>
      </c>
      <c r="E2037" s="17"/>
      <c r="F2037" s="17" t="s">
        <v>156</v>
      </c>
      <c r="G2037" s="17"/>
      <c r="H2037" s="17" t="s">
        <v>692</v>
      </c>
      <c r="I2037" s="17"/>
      <c r="J2037" s="17" t="s">
        <v>693</v>
      </c>
      <c r="K2037" s="17"/>
      <c r="L2037" s="17"/>
      <c r="M2037" s="17"/>
      <c r="N2037" s="17" t="s">
        <v>9443</v>
      </c>
      <c r="O2037" s="17" t="s">
        <v>9444</v>
      </c>
      <c r="P2037" s="17" t="s">
        <v>9445</v>
      </c>
      <c r="Q2037" s="17"/>
      <c r="R2037" s="25" t="str">
        <f>HYPERLINK("https://ictv.global/taxonomy/taxondetails?taxnode_id=202314932","Coruscantvirus coruscant")</f>
        <v>Coruscantvirus coruscant</v>
      </c>
      <c r="S2037" s="18" t="s">
        <v>30</v>
      </c>
      <c r="T2037" s="18" t="s">
        <v>9446</v>
      </c>
      <c r="U2037" s="18"/>
      <c r="V2037" s="18"/>
      <c r="W2037" s="18" t="s">
        <v>9447</v>
      </c>
      <c r="X2037" s="18" t="s">
        <v>42</v>
      </c>
      <c r="Y2037" s="18" t="s">
        <v>36</v>
      </c>
      <c r="Z2037" s="18" t="s">
        <v>697</v>
      </c>
      <c r="AA2037" s="21" t="str">
        <f>HYPERLINK("https://www.ncbi.nlm.nih.gov/nuccore/MT711976","NCBI Nucleotide")</f>
        <v>NCBI Nucleotide</v>
      </c>
    </row>
    <row r="2038" spans="1:27" x14ac:dyDescent="0.35">
      <c r="A2038">
        <v>1002514</v>
      </c>
      <c r="B2038">
        <v>2014</v>
      </c>
      <c r="C2038">
        <v>1</v>
      </c>
      <c r="D2038" s="17" t="s">
        <v>155</v>
      </c>
      <c r="E2038" s="17"/>
      <c r="F2038" s="17" t="s">
        <v>156</v>
      </c>
      <c r="G2038" s="17"/>
      <c r="H2038" s="17" t="s">
        <v>692</v>
      </c>
      <c r="I2038" s="17"/>
      <c r="J2038" s="17" t="s">
        <v>693</v>
      </c>
      <c r="K2038" s="17"/>
      <c r="L2038" s="17"/>
      <c r="M2038" s="17"/>
      <c r="N2038" s="17" t="s">
        <v>9443</v>
      </c>
      <c r="O2038" s="17" t="s">
        <v>9444</v>
      </c>
      <c r="P2038" s="17" t="s">
        <v>9448</v>
      </c>
      <c r="Q2038" s="17"/>
      <c r="R2038" s="25" t="str">
        <f>HYPERLINK("https://ictv.global/taxonomy/taxondetails?taxnode_id=202310145","Streptomyces virus Karimac")</f>
        <v>Streptomyces virus Karimac</v>
      </c>
      <c r="S2038" s="18" t="s">
        <v>30</v>
      </c>
      <c r="T2038" s="18" t="s">
        <v>9449</v>
      </c>
      <c r="U2038" s="18"/>
      <c r="V2038" s="18"/>
      <c r="W2038" s="18" t="s">
        <v>9450</v>
      </c>
      <c r="X2038" s="18" t="s">
        <v>42</v>
      </c>
      <c r="Y2038" s="18" t="s">
        <v>36</v>
      </c>
      <c r="Z2038" s="18" t="s">
        <v>697</v>
      </c>
      <c r="AA2038" s="21" t="str">
        <f>HYPERLINK("https://www.ncbi.nlm.nih.gov/nuccore/MH590599","NCBI Nucleotide")</f>
        <v>NCBI Nucleotide</v>
      </c>
    </row>
    <row r="2039" spans="1:27" x14ac:dyDescent="0.35">
      <c r="A2039">
        <v>1002515</v>
      </c>
      <c r="B2039">
        <v>2015</v>
      </c>
      <c r="C2039">
        <v>1</v>
      </c>
      <c r="D2039" s="17" t="s">
        <v>155</v>
      </c>
      <c r="E2039" s="17"/>
      <c r="F2039" s="17" t="s">
        <v>156</v>
      </c>
      <c r="G2039" s="17"/>
      <c r="H2039" s="17" t="s">
        <v>692</v>
      </c>
      <c r="I2039" s="17"/>
      <c r="J2039" s="17" t="s">
        <v>693</v>
      </c>
      <c r="K2039" s="17"/>
      <c r="L2039" s="17"/>
      <c r="M2039" s="17"/>
      <c r="N2039" s="17" t="s">
        <v>9443</v>
      </c>
      <c r="O2039" s="17" t="s">
        <v>9444</v>
      </c>
      <c r="P2039" s="17" t="s">
        <v>9448</v>
      </c>
      <c r="Q2039" s="17"/>
      <c r="R2039" s="25" t="str">
        <f>HYPERLINK("https://ictv.global/taxonomy/taxondetails?taxnode_id=202310146","Streptomyces virus LukeCage")</f>
        <v>Streptomyces virus LukeCage</v>
      </c>
      <c r="S2039" s="18" t="s">
        <v>30</v>
      </c>
      <c r="T2039" s="18" t="s">
        <v>9451</v>
      </c>
      <c r="U2039" s="18"/>
      <c r="V2039" s="18"/>
      <c r="W2039" s="18" t="s">
        <v>9452</v>
      </c>
      <c r="X2039" s="18" t="s">
        <v>42</v>
      </c>
      <c r="Y2039" s="18" t="s">
        <v>36</v>
      </c>
      <c r="Z2039" s="18" t="s">
        <v>697</v>
      </c>
      <c r="AA2039" s="21" t="str">
        <f>HYPERLINK("https://www.ncbi.nlm.nih.gov/nuccore/MH590597","NCBI Nucleotide")</f>
        <v>NCBI Nucleotide</v>
      </c>
    </row>
    <row r="2040" spans="1:27" x14ac:dyDescent="0.35">
      <c r="A2040">
        <v>1002516</v>
      </c>
      <c r="B2040">
        <v>2016</v>
      </c>
      <c r="C2040">
        <v>1</v>
      </c>
      <c r="D2040" s="17" t="s">
        <v>155</v>
      </c>
      <c r="E2040" s="17"/>
      <c r="F2040" s="17" t="s">
        <v>156</v>
      </c>
      <c r="G2040" s="17"/>
      <c r="H2040" s="17" t="s">
        <v>692</v>
      </c>
      <c r="I2040" s="17"/>
      <c r="J2040" s="17" t="s">
        <v>693</v>
      </c>
      <c r="K2040" s="17"/>
      <c r="L2040" s="17"/>
      <c r="M2040" s="17"/>
      <c r="N2040" s="17" t="s">
        <v>9443</v>
      </c>
      <c r="O2040" s="17" t="s">
        <v>9444</v>
      </c>
      <c r="P2040" s="17" t="s">
        <v>9448</v>
      </c>
      <c r="Q2040" s="17"/>
      <c r="R2040" s="25" t="str">
        <f>HYPERLINK("https://ictv.global/taxonomy/taxondetails?taxnode_id=202310147","Streptomyces virus StarPlatinum")</f>
        <v>Streptomyces virus StarPlatinum</v>
      </c>
      <c r="S2040" s="18" t="s">
        <v>30</v>
      </c>
      <c r="T2040" s="18" t="s">
        <v>9453</v>
      </c>
      <c r="U2040" s="18"/>
      <c r="V2040" s="18"/>
      <c r="W2040" s="18" t="s">
        <v>9454</v>
      </c>
      <c r="X2040" s="18" t="s">
        <v>42</v>
      </c>
      <c r="Y2040" s="18" t="s">
        <v>36</v>
      </c>
      <c r="Z2040" s="18" t="s">
        <v>697</v>
      </c>
      <c r="AA2040" s="21" t="str">
        <f>HYPERLINK("https://www.ncbi.nlm.nih.gov/nuccore/MH576965","NCBI Nucleotide")</f>
        <v>NCBI Nucleotide</v>
      </c>
    </row>
    <row r="2041" spans="1:27" x14ac:dyDescent="0.35">
      <c r="A2041">
        <v>1002517</v>
      </c>
      <c r="B2041">
        <v>2017</v>
      </c>
      <c r="C2041">
        <v>1</v>
      </c>
      <c r="D2041" s="17" t="s">
        <v>155</v>
      </c>
      <c r="E2041" s="17"/>
      <c r="F2041" s="17" t="s">
        <v>156</v>
      </c>
      <c r="G2041" s="17"/>
      <c r="H2041" s="17" t="s">
        <v>692</v>
      </c>
      <c r="I2041" s="17"/>
      <c r="J2041" s="17" t="s">
        <v>693</v>
      </c>
      <c r="K2041" s="17"/>
      <c r="L2041" s="17"/>
      <c r="M2041" s="17"/>
      <c r="N2041" s="17" t="s">
        <v>9443</v>
      </c>
      <c r="O2041" s="17" t="s">
        <v>9444</v>
      </c>
      <c r="P2041" s="17" t="s">
        <v>9448</v>
      </c>
      <c r="Q2041" s="17"/>
      <c r="R2041" s="25" t="str">
        <f>HYPERLINK("https://ictv.global/taxonomy/taxondetails?taxnode_id=202310149","Streptomyces virus Wollford")</f>
        <v>Streptomyces virus Wollford</v>
      </c>
      <c r="S2041" s="18" t="s">
        <v>30</v>
      </c>
      <c r="T2041" s="18" t="s">
        <v>9455</v>
      </c>
      <c r="U2041" s="18"/>
      <c r="V2041" s="18"/>
      <c r="W2041" s="18" t="s">
        <v>9456</v>
      </c>
      <c r="X2041" s="18" t="s">
        <v>42</v>
      </c>
      <c r="Y2041" s="18" t="s">
        <v>36</v>
      </c>
      <c r="Z2041" s="18" t="s">
        <v>697</v>
      </c>
      <c r="AA2041" s="21" t="str">
        <f>HYPERLINK("https://www.ncbi.nlm.nih.gov/nuccore/MH576968","NCBI Nucleotide")</f>
        <v>NCBI Nucleotide</v>
      </c>
    </row>
    <row r="2042" spans="1:27" x14ac:dyDescent="0.35">
      <c r="A2042">
        <v>1002518</v>
      </c>
      <c r="B2042">
        <v>2018</v>
      </c>
      <c r="C2042">
        <v>1</v>
      </c>
      <c r="D2042" s="17" t="s">
        <v>155</v>
      </c>
      <c r="E2042" s="17"/>
      <c r="F2042" s="17" t="s">
        <v>156</v>
      </c>
      <c r="G2042" s="17"/>
      <c r="H2042" s="17" t="s">
        <v>692</v>
      </c>
      <c r="I2042" s="17"/>
      <c r="J2042" s="17" t="s">
        <v>693</v>
      </c>
      <c r="K2042" s="17"/>
      <c r="L2042" s="17"/>
      <c r="M2042" s="17"/>
      <c r="N2042" s="17" t="s">
        <v>9443</v>
      </c>
      <c r="O2042" s="17" t="s">
        <v>9444</v>
      </c>
      <c r="P2042" s="17" t="s">
        <v>9448</v>
      </c>
      <c r="Q2042" s="17"/>
      <c r="R2042" s="25" t="str">
        <f>HYPERLINK("https://ictv.global/taxonomy/taxondetails?taxnode_id=202310148","Streptomyces virus Yaboi")</f>
        <v>Streptomyces virus Yaboi</v>
      </c>
      <c r="S2042" s="18" t="s">
        <v>30</v>
      </c>
      <c r="T2042" s="18" t="s">
        <v>9457</v>
      </c>
      <c r="U2042" s="18"/>
      <c r="V2042" s="18"/>
      <c r="W2042" s="18" t="s">
        <v>9458</v>
      </c>
      <c r="X2042" s="18" t="s">
        <v>42</v>
      </c>
      <c r="Y2042" s="18" t="s">
        <v>36</v>
      </c>
      <c r="Z2042" s="18" t="s">
        <v>697</v>
      </c>
      <c r="AA2042" s="21" t="str">
        <f>HYPERLINK("https://www.ncbi.nlm.nih.gov/nuccore/MH727564","NCBI Nucleotide")</f>
        <v>NCBI Nucleotide</v>
      </c>
    </row>
    <row r="2043" spans="1:27" x14ac:dyDescent="0.35">
      <c r="A2043">
        <v>1002519</v>
      </c>
      <c r="B2043">
        <v>2019</v>
      </c>
      <c r="C2043">
        <v>1</v>
      </c>
      <c r="D2043" s="17" t="s">
        <v>155</v>
      </c>
      <c r="E2043" s="17"/>
      <c r="F2043" s="17" t="s">
        <v>156</v>
      </c>
      <c r="G2043" s="17"/>
      <c r="H2043" s="17" t="s">
        <v>692</v>
      </c>
      <c r="I2043" s="17"/>
      <c r="J2043" s="17" t="s">
        <v>693</v>
      </c>
      <c r="K2043" s="17"/>
      <c r="L2043" s="17"/>
      <c r="M2043" s="17"/>
      <c r="N2043" s="17" t="s">
        <v>9443</v>
      </c>
      <c r="O2043" s="17" t="s">
        <v>9444</v>
      </c>
      <c r="P2043" s="17" t="s">
        <v>9459</v>
      </c>
      <c r="Q2043" s="17"/>
      <c r="R2043" s="25" t="str">
        <f>HYPERLINK("https://ictv.global/taxonomy/taxondetails?taxnode_id=202312977","Samistivirus bmoc")</f>
        <v>Samistivirus bmoc</v>
      </c>
      <c r="S2043" s="18" t="s">
        <v>30</v>
      </c>
      <c r="T2043" s="18" t="s">
        <v>9460</v>
      </c>
      <c r="U2043" s="18"/>
      <c r="V2043" s="18"/>
      <c r="W2043" s="18" t="s">
        <v>9461</v>
      </c>
      <c r="X2043" s="18" t="s">
        <v>42</v>
      </c>
      <c r="Y2043" s="18" t="s">
        <v>36</v>
      </c>
      <c r="Z2043" s="18" t="s">
        <v>697</v>
      </c>
      <c r="AA2043" s="21" t="str">
        <f>HYPERLINK("https://www.ncbi.nlm.nih.gov/nuccore/MT310865","NCBI Nucleotide")</f>
        <v>NCBI Nucleotide</v>
      </c>
    </row>
    <row r="2044" spans="1:27" x14ac:dyDescent="0.35">
      <c r="A2044">
        <v>1002520</v>
      </c>
      <c r="B2044">
        <v>2020</v>
      </c>
      <c r="C2044">
        <v>1</v>
      </c>
      <c r="D2044" s="17" t="s">
        <v>155</v>
      </c>
      <c r="E2044" s="17"/>
      <c r="F2044" s="17" t="s">
        <v>156</v>
      </c>
      <c r="G2044" s="17"/>
      <c r="H2044" s="17" t="s">
        <v>692</v>
      </c>
      <c r="I2044" s="17"/>
      <c r="J2044" s="17" t="s">
        <v>693</v>
      </c>
      <c r="K2044" s="17"/>
      <c r="L2044" s="17"/>
      <c r="M2044" s="17"/>
      <c r="N2044" s="17" t="s">
        <v>9443</v>
      </c>
      <c r="O2044" s="17" t="s">
        <v>9444</v>
      </c>
      <c r="P2044" s="17" t="s">
        <v>9459</v>
      </c>
      <c r="Q2044" s="17"/>
      <c r="R2044" s="25" t="str">
        <f>HYPERLINK("https://ictv.global/taxonomy/taxondetails?taxnode_id=202312980","Samistivirus braelyn")</f>
        <v>Samistivirus braelyn</v>
      </c>
      <c r="S2044" s="18" t="s">
        <v>30</v>
      </c>
      <c r="T2044" s="18" t="s">
        <v>9462</v>
      </c>
      <c r="U2044" s="18"/>
      <c r="V2044" s="18"/>
      <c r="W2044" s="18" t="s">
        <v>9463</v>
      </c>
      <c r="X2044" s="18" t="s">
        <v>42</v>
      </c>
      <c r="Y2044" s="18" t="s">
        <v>36</v>
      </c>
      <c r="Z2044" s="18" t="s">
        <v>697</v>
      </c>
      <c r="AA2044" s="21" t="str">
        <f>HYPERLINK("https://www.ncbi.nlm.nih.gov/nuccore/MN096371","NCBI Nucleotide")</f>
        <v>NCBI Nucleotide</v>
      </c>
    </row>
    <row r="2045" spans="1:27" x14ac:dyDescent="0.35">
      <c r="A2045">
        <v>1002521</v>
      </c>
      <c r="B2045">
        <v>2021</v>
      </c>
      <c r="C2045">
        <v>1</v>
      </c>
      <c r="D2045" s="17" t="s">
        <v>155</v>
      </c>
      <c r="E2045" s="17"/>
      <c r="F2045" s="17" t="s">
        <v>156</v>
      </c>
      <c r="G2045" s="17"/>
      <c r="H2045" s="17" t="s">
        <v>692</v>
      </c>
      <c r="I2045" s="17"/>
      <c r="J2045" s="17" t="s">
        <v>693</v>
      </c>
      <c r="K2045" s="17"/>
      <c r="L2045" s="17"/>
      <c r="M2045" s="17"/>
      <c r="N2045" s="17" t="s">
        <v>9443</v>
      </c>
      <c r="O2045" s="17" t="s">
        <v>9444</v>
      </c>
      <c r="P2045" s="17" t="s">
        <v>9459</v>
      </c>
      <c r="Q2045" s="17"/>
      <c r="R2045" s="25" t="str">
        <f>HYPERLINK("https://ictv.global/taxonomy/taxondetails?taxnode_id=202312976","Samistivirus daubenski")</f>
        <v>Samistivirus daubenski</v>
      </c>
      <c r="S2045" s="18" t="s">
        <v>30</v>
      </c>
      <c r="T2045" s="18" t="s">
        <v>9464</v>
      </c>
      <c r="U2045" s="18"/>
      <c r="V2045" s="18"/>
      <c r="W2045" s="18" t="s">
        <v>9465</v>
      </c>
      <c r="X2045" s="18" t="s">
        <v>42</v>
      </c>
      <c r="Y2045" s="18" t="s">
        <v>36</v>
      </c>
      <c r="Z2045" s="18" t="s">
        <v>697</v>
      </c>
      <c r="AA2045" s="21" t="str">
        <f>HYPERLINK("https://www.ncbi.nlm.nih.gov/nuccore/MN444876","NCBI Nucleotide")</f>
        <v>NCBI Nucleotide</v>
      </c>
    </row>
    <row r="2046" spans="1:27" x14ac:dyDescent="0.35">
      <c r="A2046">
        <v>1002522</v>
      </c>
      <c r="B2046">
        <v>2022</v>
      </c>
      <c r="C2046">
        <v>1</v>
      </c>
      <c r="D2046" s="17" t="s">
        <v>155</v>
      </c>
      <c r="E2046" s="17"/>
      <c r="F2046" s="17" t="s">
        <v>156</v>
      </c>
      <c r="G2046" s="17"/>
      <c r="H2046" s="17" t="s">
        <v>692</v>
      </c>
      <c r="I2046" s="17"/>
      <c r="J2046" s="17" t="s">
        <v>693</v>
      </c>
      <c r="K2046" s="17"/>
      <c r="L2046" s="17"/>
      <c r="M2046" s="17"/>
      <c r="N2046" s="17" t="s">
        <v>9443</v>
      </c>
      <c r="O2046" s="17" t="s">
        <v>9444</v>
      </c>
      <c r="P2046" s="17" t="s">
        <v>9459</v>
      </c>
      <c r="Q2046" s="17"/>
      <c r="R2046" s="25" t="str">
        <f>HYPERLINK("https://ictv.global/taxonomy/taxondetails?taxnode_id=202312978","Samistivirus egole")</f>
        <v>Samistivirus egole</v>
      </c>
      <c r="S2046" s="18" t="s">
        <v>30</v>
      </c>
      <c r="T2046" s="18" t="s">
        <v>9466</v>
      </c>
      <c r="U2046" s="18"/>
      <c r="V2046" s="18"/>
      <c r="W2046" s="18" t="s">
        <v>9467</v>
      </c>
      <c r="X2046" s="18" t="s">
        <v>42</v>
      </c>
      <c r="Y2046" s="18" t="s">
        <v>36</v>
      </c>
      <c r="Z2046" s="18" t="s">
        <v>697</v>
      </c>
      <c r="AA2046" s="21" t="str">
        <f>HYPERLINK("https://www.ncbi.nlm.nih.gov/nuccore/MK494112","NCBI Nucleotide")</f>
        <v>NCBI Nucleotide</v>
      </c>
    </row>
    <row r="2047" spans="1:27" x14ac:dyDescent="0.35">
      <c r="A2047">
        <v>1002523</v>
      </c>
      <c r="B2047">
        <v>2023</v>
      </c>
      <c r="C2047">
        <v>1</v>
      </c>
      <c r="D2047" s="17" t="s">
        <v>155</v>
      </c>
      <c r="E2047" s="17"/>
      <c r="F2047" s="17" t="s">
        <v>156</v>
      </c>
      <c r="G2047" s="17"/>
      <c r="H2047" s="17" t="s">
        <v>692</v>
      </c>
      <c r="I2047" s="17"/>
      <c r="J2047" s="17" t="s">
        <v>693</v>
      </c>
      <c r="K2047" s="17"/>
      <c r="L2047" s="17"/>
      <c r="M2047" s="17"/>
      <c r="N2047" s="17" t="s">
        <v>9443</v>
      </c>
      <c r="O2047" s="17" t="s">
        <v>9444</v>
      </c>
      <c r="P2047" s="17" t="s">
        <v>9459</v>
      </c>
      <c r="Q2047" s="17"/>
      <c r="R2047" s="25" t="str">
        <f>HYPERLINK("https://ictv.global/taxonomy/taxondetails?taxnode_id=202312979","Samistivirus evy")</f>
        <v>Samistivirus evy</v>
      </c>
      <c r="S2047" s="18" t="s">
        <v>30</v>
      </c>
      <c r="T2047" s="18" t="s">
        <v>9468</v>
      </c>
      <c r="U2047" s="18"/>
      <c r="V2047" s="18"/>
      <c r="W2047" s="18" t="s">
        <v>9469</v>
      </c>
      <c r="X2047" s="18" t="s">
        <v>42</v>
      </c>
      <c r="Y2047" s="18" t="s">
        <v>36</v>
      </c>
      <c r="Z2047" s="18" t="s">
        <v>697</v>
      </c>
      <c r="AA2047" s="21" t="str">
        <f>HYPERLINK("https://www.ncbi.nlm.nih.gov/nuccore/MK977711","NCBI Nucleotide")</f>
        <v>NCBI Nucleotide</v>
      </c>
    </row>
    <row r="2048" spans="1:27" x14ac:dyDescent="0.35">
      <c r="A2048">
        <v>1002524</v>
      </c>
      <c r="B2048">
        <v>2024</v>
      </c>
      <c r="C2048">
        <v>1</v>
      </c>
      <c r="D2048" s="17" t="s">
        <v>155</v>
      </c>
      <c r="E2048" s="17"/>
      <c r="F2048" s="17" t="s">
        <v>156</v>
      </c>
      <c r="G2048" s="17"/>
      <c r="H2048" s="17" t="s">
        <v>692</v>
      </c>
      <c r="I2048" s="17"/>
      <c r="J2048" s="17" t="s">
        <v>693</v>
      </c>
      <c r="K2048" s="17"/>
      <c r="L2048" s="17"/>
      <c r="M2048" s="17"/>
      <c r="N2048" s="17" t="s">
        <v>9443</v>
      </c>
      <c r="O2048" s="17" t="s">
        <v>9444</v>
      </c>
      <c r="P2048" s="17" t="s">
        <v>9459</v>
      </c>
      <c r="Q2048" s="17"/>
      <c r="R2048" s="25" t="str">
        <f>HYPERLINK("https://ictv.global/taxonomy/taxondetails?taxnode_id=202306783","Samistivirus jay2jay")</f>
        <v>Samistivirus jay2jay</v>
      </c>
      <c r="S2048" s="18" t="s">
        <v>30</v>
      </c>
      <c r="T2048" s="18" t="s">
        <v>9470</v>
      </c>
      <c r="U2048" s="18"/>
      <c r="V2048" s="18"/>
      <c r="W2048" s="18" t="s">
        <v>9471</v>
      </c>
      <c r="X2048" s="18" t="s">
        <v>42</v>
      </c>
      <c r="Y2048" s="18" t="s">
        <v>36</v>
      </c>
      <c r="Z2048" s="18" t="s">
        <v>697</v>
      </c>
      <c r="AA2048" s="21" t="str">
        <f>HYPERLINK("https://www.ncbi.nlm.nih.gov/nuccore/KM652554","NCBI Nucleotide")</f>
        <v>NCBI Nucleotide</v>
      </c>
    </row>
    <row r="2049" spans="1:27" x14ac:dyDescent="0.35">
      <c r="A2049">
        <v>1002525</v>
      </c>
      <c r="B2049">
        <v>2025</v>
      </c>
      <c r="C2049">
        <v>1</v>
      </c>
      <c r="D2049" s="17" t="s">
        <v>155</v>
      </c>
      <c r="E2049" s="17"/>
      <c r="F2049" s="17" t="s">
        <v>156</v>
      </c>
      <c r="G2049" s="17"/>
      <c r="H2049" s="17" t="s">
        <v>692</v>
      </c>
      <c r="I2049" s="17"/>
      <c r="J2049" s="17" t="s">
        <v>693</v>
      </c>
      <c r="K2049" s="17"/>
      <c r="L2049" s="17"/>
      <c r="M2049" s="17"/>
      <c r="N2049" s="17" t="s">
        <v>9443</v>
      </c>
      <c r="O2049" s="17" t="s">
        <v>9444</v>
      </c>
      <c r="P2049" s="17" t="s">
        <v>9459</v>
      </c>
      <c r="Q2049" s="17"/>
      <c r="R2049" s="25" t="str">
        <f>HYPERLINK("https://ictv.global/taxonomy/taxondetails?taxnode_id=202306785","Samistivirus mildred21")</f>
        <v>Samistivirus mildred21</v>
      </c>
      <c r="S2049" s="18" t="s">
        <v>30</v>
      </c>
      <c r="T2049" s="18" t="s">
        <v>9472</v>
      </c>
      <c r="U2049" s="18"/>
      <c r="V2049" s="18"/>
      <c r="W2049" s="18" t="s">
        <v>9473</v>
      </c>
      <c r="X2049" s="18" t="s">
        <v>42</v>
      </c>
      <c r="Y2049" s="18" t="s">
        <v>36</v>
      </c>
      <c r="Z2049" s="18" t="s">
        <v>697</v>
      </c>
      <c r="AA2049" s="21" t="str">
        <f>HYPERLINK("https://www.ncbi.nlm.nih.gov/nuccore/MF155946","NCBI Nucleotide")</f>
        <v>NCBI Nucleotide</v>
      </c>
    </row>
    <row r="2050" spans="1:27" x14ac:dyDescent="0.35">
      <c r="A2050">
        <v>1002526</v>
      </c>
      <c r="B2050">
        <v>2026</v>
      </c>
      <c r="C2050">
        <v>1</v>
      </c>
      <c r="D2050" s="17" t="s">
        <v>155</v>
      </c>
      <c r="E2050" s="17"/>
      <c r="F2050" s="17" t="s">
        <v>156</v>
      </c>
      <c r="G2050" s="17"/>
      <c r="H2050" s="17" t="s">
        <v>692</v>
      </c>
      <c r="I2050" s="17"/>
      <c r="J2050" s="17" t="s">
        <v>693</v>
      </c>
      <c r="K2050" s="17"/>
      <c r="L2050" s="17"/>
      <c r="M2050" s="17"/>
      <c r="N2050" s="17" t="s">
        <v>9443</v>
      </c>
      <c r="O2050" s="17" t="s">
        <v>9444</v>
      </c>
      <c r="P2050" s="17" t="s">
        <v>9459</v>
      </c>
      <c r="Q2050" s="17"/>
      <c r="R2050" s="25" t="str">
        <f>HYPERLINK("https://ictv.global/taxonomy/taxondetails?taxnode_id=202306784","Samistivirus nootnoot")</f>
        <v>Samistivirus nootnoot</v>
      </c>
      <c r="S2050" s="18" t="s">
        <v>30</v>
      </c>
      <c r="T2050" s="18" t="s">
        <v>9474</v>
      </c>
      <c r="U2050" s="18"/>
      <c r="V2050" s="18"/>
      <c r="W2050" s="18" t="s">
        <v>9475</v>
      </c>
      <c r="X2050" s="18" t="s">
        <v>42</v>
      </c>
      <c r="Y2050" s="18" t="s">
        <v>36</v>
      </c>
      <c r="Z2050" s="18" t="s">
        <v>697</v>
      </c>
      <c r="AA2050" s="21" t="str">
        <f>HYPERLINK("https://www.ncbi.nlm.nih.gov/nuccore/MF347636","NCBI Nucleotide")</f>
        <v>NCBI Nucleotide</v>
      </c>
    </row>
    <row r="2051" spans="1:27" x14ac:dyDescent="0.35">
      <c r="A2051">
        <v>1002527</v>
      </c>
      <c r="B2051">
        <v>2027</v>
      </c>
      <c r="C2051">
        <v>1</v>
      </c>
      <c r="D2051" s="17" t="s">
        <v>155</v>
      </c>
      <c r="E2051" s="17"/>
      <c r="F2051" s="17" t="s">
        <v>156</v>
      </c>
      <c r="G2051" s="17"/>
      <c r="H2051" s="17" t="s">
        <v>692</v>
      </c>
      <c r="I2051" s="17"/>
      <c r="J2051" s="17" t="s">
        <v>693</v>
      </c>
      <c r="K2051" s="17"/>
      <c r="L2051" s="17"/>
      <c r="M2051" s="17"/>
      <c r="N2051" s="17" t="s">
        <v>9443</v>
      </c>
      <c r="O2051" s="17" t="s">
        <v>9444</v>
      </c>
      <c r="P2051" s="17" t="s">
        <v>9459</v>
      </c>
      <c r="Q2051" s="17"/>
      <c r="R2051" s="25" t="str">
        <f>HYPERLINK("https://ictv.global/taxonomy/taxondetails?taxnode_id=202306782","Samistivirus paradiddles")</f>
        <v>Samistivirus paradiddles</v>
      </c>
      <c r="S2051" s="18" t="s">
        <v>30</v>
      </c>
      <c r="T2051" s="18" t="s">
        <v>9476</v>
      </c>
      <c r="U2051" s="18"/>
      <c r="V2051" s="18"/>
      <c r="W2051" s="18" t="s">
        <v>9477</v>
      </c>
      <c r="X2051" s="18" t="s">
        <v>42</v>
      </c>
      <c r="Y2051" s="18" t="s">
        <v>36</v>
      </c>
      <c r="Z2051" s="18" t="s">
        <v>697</v>
      </c>
      <c r="AA2051" s="21" t="str">
        <f>HYPERLINK("https://www.ncbi.nlm.nih.gov/nuccore/MF347637","NCBI Nucleotide")</f>
        <v>NCBI Nucleotide</v>
      </c>
    </row>
    <row r="2052" spans="1:27" x14ac:dyDescent="0.35">
      <c r="A2052">
        <v>1002528</v>
      </c>
      <c r="B2052">
        <v>2028</v>
      </c>
      <c r="C2052">
        <v>1</v>
      </c>
      <c r="D2052" s="17" t="s">
        <v>155</v>
      </c>
      <c r="E2052" s="17"/>
      <c r="F2052" s="17" t="s">
        <v>156</v>
      </c>
      <c r="G2052" s="17"/>
      <c r="H2052" s="17" t="s">
        <v>692</v>
      </c>
      <c r="I2052" s="17"/>
      <c r="J2052" s="17" t="s">
        <v>693</v>
      </c>
      <c r="K2052" s="17"/>
      <c r="L2052" s="17"/>
      <c r="M2052" s="17"/>
      <c r="N2052" s="17" t="s">
        <v>9443</v>
      </c>
      <c r="O2052" s="17" t="s">
        <v>9444</v>
      </c>
      <c r="P2052" s="17" t="s">
        <v>9459</v>
      </c>
      <c r="Q2052" s="17"/>
      <c r="R2052" s="25" t="str">
        <f>HYPERLINK("https://ictv.global/taxonomy/taxondetails?taxnode_id=202306781","Samistivirus peebs")</f>
        <v>Samistivirus peebs</v>
      </c>
      <c r="S2052" s="18" t="s">
        <v>30</v>
      </c>
      <c r="T2052" s="18" t="s">
        <v>9478</v>
      </c>
      <c r="U2052" s="18"/>
      <c r="V2052" s="18"/>
      <c r="W2052" s="18" t="s">
        <v>9479</v>
      </c>
      <c r="X2052" s="18" t="s">
        <v>42</v>
      </c>
      <c r="Y2052" s="18" t="s">
        <v>36</v>
      </c>
      <c r="Z2052" s="18" t="s">
        <v>697</v>
      </c>
      <c r="AA2052" s="21" t="str">
        <f>HYPERLINK("https://www.ncbi.nlm.nih.gov/nuccore/MF347638","NCBI Nucleotide")</f>
        <v>NCBI Nucleotide</v>
      </c>
    </row>
    <row r="2053" spans="1:27" x14ac:dyDescent="0.35">
      <c r="A2053">
        <v>1002529</v>
      </c>
      <c r="B2053">
        <v>2029</v>
      </c>
      <c r="C2053">
        <v>1</v>
      </c>
      <c r="D2053" s="17" t="s">
        <v>155</v>
      </c>
      <c r="E2053" s="17"/>
      <c r="F2053" s="17" t="s">
        <v>156</v>
      </c>
      <c r="G2053" s="17"/>
      <c r="H2053" s="17" t="s">
        <v>692</v>
      </c>
      <c r="I2053" s="17"/>
      <c r="J2053" s="17" t="s">
        <v>693</v>
      </c>
      <c r="K2053" s="17"/>
      <c r="L2053" s="17"/>
      <c r="M2053" s="17"/>
      <c r="N2053" s="17" t="s">
        <v>9443</v>
      </c>
      <c r="O2053" s="17" t="s">
        <v>9444</v>
      </c>
      <c r="P2053" s="17" t="s">
        <v>9459</v>
      </c>
      <c r="Q2053" s="17"/>
      <c r="R2053" s="25" t="str">
        <f>HYPERLINK("https://ictv.global/taxonomy/taxondetails?taxnode_id=202306780","Samistivirus samisti12")</f>
        <v>Samistivirus samisti12</v>
      </c>
      <c r="S2053" s="18" t="s">
        <v>30</v>
      </c>
      <c r="T2053" s="18" t="s">
        <v>9480</v>
      </c>
      <c r="U2053" s="18"/>
      <c r="V2053" s="18"/>
      <c r="W2053" s="18" t="s">
        <v>9481</v>
      </c>
      <c r="X2053" s="18" t="s">
        <v>42</v>
      </c>
      <c r="Y2053" s="18" t="s">
        <v>36</v>
      </c>
      <c r="Z2053" s="18" t="s">
        <v>697</v>
      </c>
      <c r="AA2053" s="21" t="str">
        <f>HYPERLINK("https://www.ncbi.nlm.nih.gov/nuccore/MF347639","NCBI Nucleotide")</f>
        <v>NCBI Nucleotide</v>
      </c>
    </row>
    <row r="2054" spans="1:27" x14ac:dyDescent="0.35">
      <c r="A2054">
        <v>1002530</v>
      </c>
      <c r="B2054">
        <v>2030</v>
      </c>
      <c r="C2054">
        <v>1</v>
      </c>
      <c r="D2054" s="17" t="s">
        <v>155</v>
      </c>
      <c r="E2054" s="17"/>
      <c r="F2054" s="17" t="s">
        <v>156</v>
      </c>
      <c r="G2054" s="17"/>
      <c r="H2054" s="17" t="s">
        <v>692</v>
      </c>
      <c r="I2054" s="17"/>
      <c r="J2054" s="17" t="s">
        <v>693</v>
      </c>
      <c r="K2054" s="17"/>
      <c r="L2054" s="17"/>
      <c r="M2054" s="17"/>
      <c r="N2054" s="17" t="s">
        <v>9443</v>
      </c>
      <c r="O2054" s="17" t="s">
        <v>9444</v>
      </c>
      <c r="P2054" s="17" t="s">
        <v>9482</v>
      </c>
      <c r="Q2054" s="17"/>
      <c r="R2054" s="25" t="str">
        <f>HYPERLINK("https://ictv.global/taxonomy/taxondetails?taxnode_id=202314931","Tomasvirus tomas")</f>
        <v>Tomasvirus tomas</v>
      </c>
      <c r="S2054" s="18" t="s">
        <v>30</v>
      </c>
      <c r="T2054" s="18" t="s">
        <v>9483</v>
      </c>
      <c r="U2054" s="18"/>
      <c r="V2054" s="18"/>
      <c r="W2054" s="18" t="s">
        <v>9484</v>
      </c>
      <c r="X2054" s="18" t="s">
        <v>42</v>
      </c>
      <c r="Y2054" s="18" t="s">
        <v>36</v>
      </c>
      <c r="Z2054" s="18" t="s">
        <v>697</v>
      </c>
      <c r="AA2054" s="21" t="str">
        <f>HYPERLINK("https://www.ncbi.nlm.nih.gov/nuccore/OL829978","NCBI Nucleotide")</f>
        <v>NCBI Nucleotide</v>
      </c>
    </row>
    <row r="2055" spans="1:27" x14ac:dyDescent="0.35">
      <c r="A2055">
        <v>1002531</v>
      </c>
      <c r="B2055">
        <v>2031</v>
      </c>
      <c r="C2055">
        <v>1</v>
      </c>
      <c r="D2055" s="17" t="s">
        <v>155</v>
      </c>
      <c r="E2055" s="17"/>
      <c r="F2055" s="17" t="s">
        <v>156</v>
      </c>
      <c r="G2055" s="17"/>
      <c r="H2055" s="17" t="s">
        <v>692</v>
      </c>
      <c r="I2055" s="17"/>
      <c r="J2055" s="17" t="s">
        <v>693</v>
      </c>
      <c r="K2055" s="17"/>
      <c r="L2055" s="17"/>
      <c r="M2055" s="17"/>
      <c r="N2055" s="17" t="s">
        <v>9443</v>
      </c>
      <c r="O2055" s="17" t="s">
        <v>9485</v>
      </c>
      <c r="P2055" s="17" t="s">
        <v>9486</v>
      </c>
      <c r="Q2055" s="17"/>
      <c r="R2055" s="25" t="str">
        <f>HYPERLINK("https://ictv.global/taxonomy/taxondetails?taxnode_id=202309262","Annadreamyvirus annadreamy")</f>
        <v>Annadreamyvirus annadreamy</v>
      </c>
      <c r="S2055" s="18" t="s">
        <v>30</v>
      </c>
      <c r="T2055" s="18" t="s">
        <v>9487</v>
      </c>
      <c r="U2055" s="18"/>
      <c r="V2055" s="18"/>
      <c r="W2055" s="18" t="s">
        <v>9488</v>
      </c>
      <c r="X2055" s="18" t="s">
        <v>42</v>
      </c>
      <c r="Y2055" s="18" t="s">
        <v>36</v>
      </c>
      <c r="Z2055" s="18" t="s">
        <v>697</v>
      </c>
      <c r="AA2055" s="21" t="str">
        <f>HYPERLINK("https://www.ncbi.nlm.nih.gov/nuccore/MH536811","NCBI Nucleotide")</f>
        <v>NCBI Nucleotide</v>
      </c>
    </row>
    <row r="2056" spans="1:27" x14ac:dyDescent="0.35">
      <c r="A2056">
        <v>1002532</v>
      </c>
      <c r="B2056">
        <v>2032</v>
      </c>
      <c r="C2056">
        <v>1</v>
      </c>
      <c r="D2056" s="17" t="s">
        <v>155</v>
      </c>
      <c r="E2056" s="17"/>
      <c r="F2056" s="17" t="s">
        <v>156</v>
      </c>
      <c r="G2056" s="17"/>
      <c r="H2056" s="17" t="s">
        <v>692</v>
      </c>
      <c r="I2056" s="17"/>
      <c r="J2056" s="17" t="s">
        <v>693</v>
      </c>
      <c r="K2056" s="17"/>
      <c r="L2056" s="17"/>
      <c r="M2056" s="17"/>
      <c r="N2056" s="17" t="s">
        <v>9443</v>
      </c>
      <c r="O2056" s="17" t="s">
        <v>9485</v>
      </c>
      <c r="P2056" s="17" t="s">
        <v>9486</v>
      </c>
      <c r="Q2056" s="17"/>
      <c r="R2056" s="25" t="str">
        <f>HYPERLINK("https://ictv.global/taxonomy/taxondetails?taxnode_id=202309263","Annadreamyvirus blueeyedbeauty")</f>
        <v>Annadreamyvirus blueeyedbeauty</v>
      </c>
      <c r="S2056" s="18" t="s">
        <v>30</v>
      </c>
      <c r="T2056" s="18" t="s">
        <v>9489</v>
      </c>
      <c r="U2056" s="18"/>
      <c r="V2056" s="18"/>
      <c r="W2056" s="18" t="s">
        <v>9490</v>
      </c>
      <c r="X2056" s="18" t="s">
        <v>42</v>
      </c>
      <c r="Y2056" s="18" t="s">
        <v>36</v>
      </c>
      <c r="Z2056" s="18" t="s">
        <v>697</v>
      </c>
      <c r="AA2056" s="21" t="str">
        <f>HYPERLINK("https://www.ncbi.nlm.nih.gov/nuccore/MH536814","NCBI Nucleotide")</f>
        <v>NCBI Nucleotide</v>
      </c>
    </row>
    <row r="2057" spans="1:27" x14ac:dyDescent="0.35">
      <c r="A2057">
        <v>1002533</v>
      </c>
      <c r="B2057">
        <v>2033</v>
      </c>
      <c r="C2057">
        <v>1</v>
      </c>
      <c r="D2057" s="17" t="s">
        <v>155</v>
      </c>
      <c r="E2057" s="17"/>
      <c r="F2057" s="17" t="s">
        <v>156</v>
      </c>
      <c r="G2057" s="17"/>
      <c r="H2057" s="17" t="s">
        <v>692</v>
      </c>
      <c r="I2057" s="17"/>
      <c r="J2057" s="17" t="s">
        <v>693</v>
      </c>
      <c r="K2057" s="17"/>
      <c r="L2057" s="17"/>
      <c r="M2057" s="17"/>
      <c r="N2057" s="17" t="s">
        <v>9443</v>
      </c>
      <c r="O2057" s="17" t="s">
        <v>9485</v>
      </c>
      <c r="P2057" s="17" t="s">
        <v>9491</v>
      </c>
      <c r="Q2057" s="17"/>
      <c r="R2057" s="25" t="str">
        <f>HYPERLINK("https://ictv.global/taxonomy/taxondetails?taxnode_id=202314933","Faustvirus faust")</f>
        <v>Faustvirus faust</v>
      </c>
      <c r="S2057" s="18" t="s">
        <v>30</v>
      </c>
      <c r="T2057" s="18" t="s">
        <v>9492</v>
      </c>
      <c r="U2057" s="18"/>
      <c r="V2057" s="18"/>
      <c r="W2057" s="18" t="s">
        <v>9493</v>
      </c>
      <c r="X2057" s="18" t="s">
        <v>42</v>
      </c>
      <c r="Y2057" s="18" t="s">
        <v>36</v>
      </c>
      <c r="Z2057" s="18" t="s">
        <v>697</v>
      </c>
      <c r="AA2057" s="21" t="str">
        <f>HYPERLINK("https://www.ncbi.nlm.nih.gov/nuccore/MT684598","NCBI Nucleotide")</f>
        <v>NCBI Nucleotide</v>
      </c>
    </row>
    <row r="2058" spans="1:27" x14ac:dyDescent="0.35">
      <c r="A2058">
        <v>1002534</v>
      </c>
      <c r="B2058">
        <v>2034</v>
      </c>
      <c r="C2058">
        <v>1</v>
      </c>
      <c r="D2058" s="17" t="s">
        <v>155</v>
      </c>
      <c r="E2058" s="17"/>
      <c r="F2058" s="17" t="s">
        <v>156</v>
      </c>
      <c r="G2058" s="17"/>
      <c r="H2058" s="17" t="s">
        <v>692</v>
      </c>
      <c r="I2058" s="17"/>
      <c r="J2058" s="17" t="s">
        <v>693</v>
      </c>
      <c r="K2058" s="17"/>
      <c r="L2058" s="17"/>
      <c r="M2058" s="17"/>
      <c r="N2058" s="17" t="s">
        <v>9443</v>
      </c>
      <c r="O2058" s="17" t="s">
        <v>9485</v>
      </c>
      <c r="P2058" s="17" t="s">
        <v>9491</v>
      </c>
      <c r="Q2058" s="17"/>
      <c r="R2058" s="25" t="str">
        <f>HYPERLINK("https://ictv.global/taxonomy/taxondetails?taxnode_id=202314934","Faustvirus tunatartare")</f>
        <v>Faustvirus tunatartare</v>
      </c>
      <c r="S2058" s="18" t="s">
        <v>30</v>
      </c>
      <c r="T2058" s="18" t="s">
        <v>9494</v>
      </c>
      <c r="U2058" s="18"/>
      <c r="V2058" s="18"/>
      <c r="W2058" s="18" t="s">
        <v>9495</v>
      </c>
      <c r="X2058" s="18" t="s">
        <v>42</v>
      </c>
      <c r="Y2058" s="18" t="s">
        <v>36</v>
      </c>
      <c r="Z2058" s="18" t="s">
        <v>697</v>
      </c>
      <c r="AA2058" s="21" t="str">
        <f>HYPERLINK("https://www.ncbi.nlm.nih.gov/nuccore/MW822145","NCBI Nucleotide")</f>
        <v>NCBI Nucleotide</v>
      </c>
    </row>
    <row r="2059" spans="1:27" x14ac:dyDescent="0.35">
      <c r="A2059">
        <v>1002535</v>
      </c>
      <c r="B2059">
        <v>2035</v>
      </c>
      <c r="C2059">
        <v>1</v>
      </c>
      <c r="D2059" s="17" t="s">
        <v>155</v>
      </c>
      <c r="E2059" s="17"/>
      <c r="F2059" s="17" t="s">
        <v>156</v>
      </c>
      <c r="G2059" s="17"/>
      <c r="H2059" s="17" t="s">
        <v>692</v>
      </c>
      <c r="I2059" s="17"/>
      <c r="J2059" s="17" t="s">
        <v>693</v>
      </c>
      <c r="K2059" s="17"/>
      <c r="L2059" s="17"/>
      <c r="M2059" s="17"/>
      <c r="N2059" s="17" t="s">
        <v>9443</v>
      </c>
      <c r="O2059" s="17" t="s">
        <v>9485</v>
      </c>
      <c r="P2059" s="17" t="s">
        <v>9496</v>
      </c>
      <c r="Q2059" s="17"/>
      <c r="R2059" s="25" t="str">
        <f>HYPERLINK("https://ictv.global/taxonomy/taxondetails?taxnode_id=202310042","Gilsonvirus comrade")</f>
        <v>Gilsonvirus comrade</v>
      </c>
      <c r="S2059" s="18" t="s">
        <v>30</v>
      </c>
      <c r="T2059" s="18" t="s">
        <v>9497</v>
      </c>
      <c r="U2059" s="18"/>
      <c r="V2059" s="18"/>
      <c r="W2059" s="18" t="s">
        <v>9498</v>
      </c>
      <c r="X2059" s="18" t="s">
        <v>42</v>
      </c>
      <c r="Y2059" s="18" t="s">
        <v>36</v>
      </c>
      <c r="Z2059" s="18" t="s">
        <v>697</v>
      </c>
      <c r="AA2059" s="21" t="str">
        <f>HYPERLINK("https://www.ncbi.nlm.nih.gov/nuccore/MH651172","NCBI Nucleotide")</f>
        <v>NCBI Nucleotide</v>
      </c>
    </row>
    <row r="2060" spans="1:27" x14ac:dyDescent="0.35">
      <c r="A2060">
        <v>1002536</v>
      </c>
      <c r="B2060">
        <v>2036</v>
      </c>
      <c r="C2060">
        <v>1</v>
      </c>
      <c r="D2060" s="17" t="s">
        <v>155</v>
      </c>
      <c r="E2060" s="17"/>
      <c r="F2060" s="17" t="s">
        <v>156</v>
      </c>
      <c r="G2060" s="17"/>
      <c r="H2060" s="17" t="s">
        <v>692</v>
      </c>
      <c r="I2060" s="17"/>
      <c r="J2060" s="17" t="s">
        <v>693</v>
      </c>
      <c r="K2060" s="17"/>
      <c r="L2060" s="17"/>
      <c r="M2060" s="17"/>
      <c r="N2060" s="17" t="s">
        <v>9443</v>
      </c>
      <c r="O2060" s="17" t="s">
        <v>9485</v>
      </c>
      <c r="P2060" s="17" t="s">
        <v>9496</v>
      </c>
      <c r="Q2060" s="17"/>
      <c r="R2060" s="25" t="str">
        <f>HYPERLINK("https://ictv.global/taxonomy/taxondetails?taxnode_id=202310041","Gilsonvirus gilson")</f>
        <v>Gilsonvirus gilson</v>
      </c>
      <c r="S2060" s="18" t="s">
        <v>30</v>
      </c>
      <c r="T2060" s="18" t="s">
        <v>9499</v>
      </c>
      <c r="U2060" s="18"/>
      <c r="V2060" s="18"/>
      <c r="W2060" s="18" t="s">
        <v>9500</v>
      </c>
      <c r="X2060" s="18" t="s">
        <v>42</v>
      </c>
      <c r="Y2060" s="18" t="s">
        <v>36</v>
      </c>
      <c r="Z2060" s="18" t="s">
        <v>697</v>
      </c>
      <c r="AA2060" s="21" t="str">
        <f>HYPERLINK("https://www.ncbi.nlm.nih.gov/nuccore/MK061412","NCBI Nucleotide")</f>
        <v>NCBI Nucleotide</v>
      </c>
    </row>
    <row r="2061" spans="1:27" x14ac:dyDescent="0.35">
      <c r="A2061">
        <v>1002537</v>
      </c>
      <c r="B2061">
        <v>2037</v>
      </c>
      <c r="C2061">
        <v>1</v>
      </c>
      <c r="D2061" s="17" t="s">
        <v>155</v>
      </c>
      <c r="E2061" s="17"/>
      <c r="F2061" s="17" t="s">
        <v>156</v>
      </c>
      <c r="G2061" s="17"/>
      <c r="H2061" s="17" t="s">
        <v>692</v>
      </c>
      <c r="I2061" s="17"/>
      <c r="J2061" s="17" t="s">
        <v>693</v>
      </c>
      <c r="K2061" s="17"/>
      <c r="L2061" s="17"/>
      <c r="M2061" s="17"/>
      <c r="N2061" s="17" t="s">
        <v>9443</v>
      </c>
      <c r="O2061" s="17" t="s">
        <v>9485</v>
      </c>
      <c r="P2061" s="17" t="s">
        <v>9501</v>
      </c>
      <c r="Q2061" s="17"/>
      <c r="R2061" s="25" t="str">
        <f>HYPERLINK("https://ictv.global/taxonomy/taxondetails?taxnode_id=202314936","Wakandavirus muntaha")</f>
        <v>Wakandavirus muntaha</v>
      </c>
      <c r="S2061" s="18" t="s">
        <v>30</v>
      </c>
      <c r="T2061" s="18" t="s">
        <v>9502</v>
      </c>
      <c r="U2061" s="18"/>
      <c r="V2061" s="18"/>
      <c r="W2061" s="18" t="s">
        <v>9503</v>
      </c>
      <c r="X2061" s="18" t="s">
        <v>42</v>
      </c>
      <c r="Y2061" s="18" t="s">
        <v>36</v>
      </c>
      <c r="Z2061" s="18" t="s">
        <v>697</v>
      </c>
      <c r="AA2061" s="21" t="str">
        <f>HYPERLINK("https://www.ncbi.nlm.nih.gov/nuccore/MT024872","NCBI Nucleotide")</f>
        <v>NCBI Nucleotide</v>
      </c>
    </row>
    <row r="2062" spans="1:27" x14ac:dyDescent="0.35">
      <c r="A2062">
        <v>1002538</v>
      </c>
      <c r="B2062">
        <v>2038</v>
      </c>
      <c r="C2062">
        <v>1</v>
      </c>
      <c r="D2062" s="17" t="s">
        <v>155</v>
      </c>
      <c r="E2062" s="17"/>
      <c r="F2062" s="17" t="s">
        <v>156</v>
      </c>
      <c r="G2062" s="17"/>
      <c r="H2062" s="17" t="s">
        <v>692</v>
      </c>
      <c r="I2062" s="17"/>
      <c r="J2062" s="17" t="s">
        <v>693</v>
      </c>
      <c r="K2062" s="17"/>
      <c r="L2062" s="17"/>
      <c r="M2062" s="17"/>
      <c r="N2062" s="17" t="s">
        <v>9443</v>
      </c>
      <c r="O2062" s="17" t="s">
        <v>9485</v>
      </c>
      <c r="P2062" s="17" t="s">
        <v>9501</v>
      </c>
      <c r="Q2062" s="17"/>
      <c r="R2062" s="25" t="str">
        <f>HYPERLINK("https://ictv.global/taxonomy/taxondetails?taxnode_id=202314935","Wakandavirus wakanda")</f>
        <v>Wakandavirus wakanda</v>
      </c>
      <c r="S2062" s="18" t="s">
        <v>30</v>
      </c>
      <c r="T2062" s="18" t="s">
        <v>9504</v>
      </c>
      <c r="U2062" s="18"/>
      <c r="V2062" s="18"/>
      <c r="W2062" s="18" t="s">
        <v>9505</v>
      </c>
      <c r="X2062" s="18" t="s">
        <v>42</v>
      </c>
      <c r="Y2062" s="18" t="s">
        <v>36</v>
      </c>
      <c r="Z2062" s="18" t="s">
        <v>697</v>
      </c>
      <c r="AA2062" s="21" t="str">
        <f>HYPERLINK("https://www.ncbi.nlm.nih.gov/nuccore/MT024865","NCBI Nucleotide")</f>
        <v>NCBI Nucleotide</v>
      </c>
    </row>
    <row r="2063" spans="1:27" x14ac:dyDescent="0.35">
      <c r="A2063">
        <v>1002539</v>
      </c>
      <c r="B2063">
        <v>2039</v>
      </c>
      <c r="C2063">
        <v>1</v>
      </c>
      <c r="D2063" s="17" t="s">
        <v>155</v>
      </c>
      <c r="E2063" s="17"/>
      <c r="F2063" s="17" t="s">
        <v>156</v>
      </c>
      <c r="G2063" s="17"/>
      <c r="H2063" s="17" t="s">
        <v>692</v>
      </c>
      <c r="I2063" s="17"/>
      <c r="J2063" s="17" t="s">
        <v>693</v>
      </c>
      <c r="K2063" s="17"/>
      <c r="L2063" s="17"/>
      <c r="M2063" s="17"/>
      <c r="N2063" s="17" t="s">
        <v>9443</v>
      </c>
      <c r="O2063" s="17" t="s">
        <v>9485</v>
      </c>
      <c r="P2063" s="17" t="s">
        <v>9506</v>
      </c>
      <c r="Q2063" s="17"/>
      <c r="R2063" s="25" t="str">
        <f>HYPERLINK("https://ictv.global/taxonomy/taxondetails?taxnode_id=202306797","Wilnyevirus billnye")</f>
        <v>Wilnyevirus billnye</v>
      </c>
      <c r="S2063" s="18" t="s">
        <v>30</v>
      </c>
      <c r="T2063" s="18" t="s">
        <v>9507</v>
      </c>
      <c r="U2063" s="18"/>
      <c r="V2063" s="18"/>
      <c r="W2063" s="18" t="s">
        <v>9508</v>
      </c>
      <c r="X2063" s="18" t="s">
        <v>42</v>
      </c>
      <c r="Y2063" s="18" t="s">
        <v>36</v>
      </c>
      <c r="Z2063" s="18" t="s">
        <v>697</v>
      </c>
      <c r="AA2063" s="21" t="str">
        <f>HYPERLINK("https://www.ncbi.nlm.nih.gov/nuccore/MG757153","NCBI Nucleotide")</f>
        <v>NCBI Nucleotide</v>
      </c>
    </row>
    <row r="2064" spans="1:27" x14ac:dyDescent="0.35">
      <c r="A2064">
        <v>1002540</v>
      </c>
      <c r="B2064">
        <v>2040</v>
      </c>
      <c r="C2064">
        <v>1</v>
      </c>
      <c r="D2064" s="17" t="s">
        <v>155</v>
      </c>
      <c r="E2064" s="17"/>
      <c r="F2064" s="17" t="s">
        <v>156</v>
      </c>
      <c r="G2064" s="17"/>
      <c r="H2064" s="17" t="s">
        <v>692</v>
      </c>
      <c r="I2064" s="17"/>
      <c r="J2064" s="17" t="s">
        <v>693</v>
      </c>
      <c r="K2064" s="17"/>
      <c r="L2064" s="17"/>
      <c r="M2064" s="17"/>
      <c r="N2064" s="17" t="s">
        <v>9509</v>
      </c>
      <c r="O2064" s="17" t="s">
        <v>9613</v>
      </c>
      <c r="P2064" s="17" t="s">
        <v>9614</v>
      </c>
      <c r="Q2064" s="17"/>
      <c r="R2064" s="25" t="str">
        <f>HYPERLINK("https://ictv.global/taxonomy/taxondetails?taxnode_id=202309997","Ceceduovirus assw")</f>
        <v>Ceceduovirus assw</v>
      </c>
      <c r="S2064" s="18" t="s">
        <v>30</v>
      </c>
      <c r="T2064" s="18" t="s">
        <v>9615</v>
      </c>
      <c r="U2064" s="18"/>
      <c r="V2064" s="18"/>
      <c r="W2064" s="18" t="s">
        <v>9616</v>
      </c>
      <c r="X2064" s="18" t="s">
        <v>154</v>
      </c>
      <c r="Y2064" s="18" t="s">
        <v>36</v>
      </c>
      <c r="Z2064" s="18" t="s">
        <v>697</v>
      </c>
      <c r="AA2064" s="21" t="str">
        <f>HYPERLINK("https://www.ncbi.nlm.nih.gov/nuccore/MF498775","NCBI Nucleotide")</f>
        <v>NCBI Nucleotide</v>
      </c>
    </row>
    <row r="2065" spans="1:27" x14ac:dyDescent="0.35">
      <c r="A2065">
        <v>1002541</v>
      </c>
      <c r="B2065">
        <v>2041</v>
      </c>
      <c r="C2065">
        <v>1</v>
      </c>
      <c r="D2065" s="17" t="s">
        <v>155</v>
      </c>
      <c r="E2065" s="17"/>
      <c r="F2065" s="17" t="s">
        <v>156</v>
      </c>
      <c r="G2065" s="17"/>
      <c r="H2065" s="17" t="s">
        <v>692</v>
      </c>
      <c r="I2065" s="17"/>
      <c r="J2065" s="17" t="s">
        <v>693</v>
      </c>
      <c r="K2065" s="17"/>
      <c r="L2065" s="17"/>
      <c r="M2065" s="17"/>
      <c r="N2065" s="17" t="s">
        <v>9509</v>
      </c>
      <c r="O2065" s="17" t="s">
        <v>9613</v>
      </c>
      <c r="P2065" s="17" t="s">
        <v>9614</v>
      </c>
      <c r="Q2065" s="17"/>
      <c r="R2065" s="25" t="str">
        <f>HYPERLINK("https://ictv.global/taxonomy/taxondetails?taxnode_id=202309996","Ceceduovirus aszj")</f>
        <v>Ceceduovirus aszj</v>
      </c>
      <c r="S2065" s="18" t="s">
        <v>30</v>
      </c>
      <c r="T2065" s="18" t="s">
        <v>9617</v>
      </c>
      <c r="U2065" s="18"/>
      <c r="V2065" s="18"/>
      <c r="W2065" s="18" t="s">
        <v>9618</v>
      </c>
      <c r="X2065" s="18" t="s">
        <v>42</v>
      </c>
      <c r="Y2065" s="18" t="s">
        <v>36</v>
      </c>
      <c r="Z2065" s="18" t="s">
        <v>697</v>
      </c>
      <c r="AA2065" s="21" t="str">
        <f>HYPERLINK("https://www.ncbi.nlm.nih.gov/nuccore/MF448340","NCBI Nucleotide")</f>
        <v>NCBI Nucleotide</v>
      </c>
    </row>
    <row r="2066" spans="1:27" x14ac:dyDescent="0.35">
      <c r="A2066">
        <v>1002542</v>
      </c>
      <c r="B2066">
        <v>2042</v>
      </c>
      <c r="C2066">
        <v>1</v>
      </c>
      <c r="D2066" s="17" t="s">
        <v>155</v>
      </c>
      <c r="E2066" s="17"/>
      <c r="F2066" s="17" t="s">
        <v>156</v>
      </c>
      <c r="G2066" s="17"/>
      <c r="H2066" s="17" t="s">
        <v>692</v>
      </c>
      <c r="I2066" s="17"/>
      <c r="J2066" s="17" t="s">
        <v>693</v>
      </c>
      <c r="K2066" s="17"/>
      <c r="L2066" s="17"/>
      <c r="M2066" s="17"/>
      <c r="N2066" s="17" t="s">
        <v>9509</v>
      </c>
      <c r="O2066" s="17" t="s">
        <v>9613</v>
      </c>
      <c r="P2066" s="17" t="s">
        <v>9614</v>
      </c>
      <c r="Q2066" s="17"/>
      <c r="R2066" s="25" t="str">
        <f>HYPERLINK("https://ictv.global/taxonomy/taxondetails?taxnode_id=202309995","Ceceduovirus cc2")</f>
        <v>Ceceduovirus cc2</v>
      </c>
      <c r="S2066" s="18" t="s">
        <v>30</v>
      </c>
      <c r="T2066" s="18" t="s">
        <v>9619</v>
      </c>
      <c r="U2066" s="18"/>
      <c r="V2066" s="18"/>
      <c r="W2066" s="18" t="s">
        <v>9620</v>
      </c>
      <c r="X2066" s="18" t="s">
        <v>42</v>
      </c>
      <c r="Y2066" s="18" t="s">
        <v>36</v>
      </c>
      <c r="Z2066" s="18" t="s">
        <v>697</v>
      </c>
      <c r="AA2066" s="21" t="str">
        <f>HYPERLINK("https://www.ncbi.nlm.nih.gov/nuccore/JX123262","NCBI Nucleotide")</f>
        <v>NCBI Nucleotide</v>
      </c>
    </row>
    <row r="2067" spans="1:27" x14ac:dyDescent="0.35">
      <c r="A2067">
        <v>1002543</v>
      </c>
      <c r="B2067">
        <v>2043</v>
      </c>
      <c r="C2067">
        <v>1</v>
      </c>
      <c r="D2067" s="17" t="s">
        <v>155</v>
      </c>
      <c r="E2067" s="17"/>
      <c r="F2067" s="17" t="s">
        <v>156</v>
      </c>
      <c r="G2067" s="17"/>
      <c r="H2067" s="17" t="s">
        <v>692</v>
      </c>
      <c r="I2067" s="17"/>
      <c r="J2067" s="17" t="s">
        <v>693</v>
      </c>
      <c r="K2067" s="17"/>
      <c r="L2067" s="17"/>
      <c r="M2067" s="17"/>
      <c r="N2067" s="17" t="s">
        <v>9509</v>
      </c>
      <c r="O2067" s="17" t="s">
        <v>9613</v>
      </c>
      <c r="P2067" s="17" t="s">
        <v>9621</v>
      </c>
      <c r="Q2067" s="17"/>
      <c r="R2067" s="25" t="str">
        <f>HYPERLINK("https://ictv.global/taxonomy/taxondetails?taxnode_id=202300339","Ishigurovirus osborne")</f>
        <v>Ishigurovirus osborne</v>
      </c>
      <c r="S2067" s="18" t="s">
        <v>30</v>
      </c>
      <c r="T2067" s="18" t="s">
        <v>9622</v>
      </c>
      <c r="U2067" s="18"/>
      <c r="V2067" s="18"/>
      <c r="W2067" s="18" t="s">
        <v>9623</v>
      </c>
      <c r="X2067" s="18" t="s">
        <v>42</v>
      </c>
      <c r="Y2067" s="18" t="s">
        <v>36</v>
      </c>
      <c r="Z2067" s="18" t="s">
        <v>697</v>
      </c>
      <c r="AA2067" s="21" t="str">
        <f>HYPERLINK("https://www.ncbi.nlm.nih.gov/nuccore/GU459069","NCBI Nucleotide")</f>
        <v>NCBI Nucleotide</v>
      </c>
    </row>
    <row r="2068" spans="1:27" x14ac:dyDescent="0.35">
      <c r="A2068">
        <v>1002544</v>
      </c>
      <c r="B2068">
        <v>2044</v>
      </c>
      <c r="C2068">
        <v>1</v>
      </c>
      <c r="D2068" s="17" t="s">
        <v>155</v>
      </c>
      <c r="E2068" s="17"/>
      <c r="F2068" s="17" t="s">
        <v>156</v>
      </c>
      <c r="G2068" s="17"/>
      <c r="H2068" s="17" t="s">
        <v>692</v>
      </c>
      <c r="I2068" s="17"/>
      <c r="J2068" s="17" t="s">
        <v>693</v>
      </c>
      <c r="K2068" s="17"/>
      <c r="L2068" s="17"/>
      <c r="M2068" s="17"/>
      <c r="N2068" s="17" t="s">
        <v>9509</v>
      </c>
      <c r="O2068" s="17" t="s">
        <v>9624</v>
      </c>
      <c r="P2068" s="17" t="s">
        <v>9627</v>
      </c>
      <c r="Q2068" s="17"/>
      <c r="R2068" s="25" t="str">
        <f>HYPERLINK("https://ictv.global/taxonomy/taxondetails?taxnode_id=202313693","Dhakavirus anyang")</f>
        <v>Dhakavirus anyang</v>
      </c>
      <c r="S2068" s="18" t="s">
        <v>30</v>
      </c>
      <c r="T2068" s="18" t="s">
        <v>9628</v>
      </c>
      <c r="U2068" s="18"/>
      <c r="V2068" s="18"/>
      <c r="W2068" s="18" t="s">
        <v>9629</v>
      </c>
      <c r="X2068" s="18" t="s">
        <v>42</v>
      </c>
      <c r="Y2068" s="18" t="s">
        <v>36</v>
      </c>
      <c r="Z2068" s="18" t="s">
        <v>697</v>
      </c>
      <c r="AA2068" s="21" t="str">
        <f>HYPERLINK("https://www.ncbi.nlm.nih.gov/nuccore/MK234886","NCBI Nucleotide")</f>
        <v>NCBI Nucleotide</v>
      </c>
    </row>
    <row r="2069" spans="1:27" x14ac:dyDescent="0.35">
      <c r="A2069">
        <v>1002545</v>
      </c>
      <c r="B2069">
        <v>2045</v>
      </c>
      <c r="C2069">
        <v>1</v>
      </c>
      <c r="D2069" s="17" t="s">
        <v>155</v>
      </c>
      <c r="E2069" s="17"/>
      <c r="F2069" s="17" t="s">
        <v>156</v>
      </c>
      <c r="G2069" s="17"/>
      <c r="H2069" s="17" t="s">
        <v>692</v>
      </c>
      <c r="I2069" s="17"/>
      <c r="J2069" s="17" t="s">
        <v>693</v>
      </c>
      <c r="K2069" s="17"/>
      <c r="L2069" s="17"/>
      <c r="M2069" s="17"/>
      <c r="N2069" s="17" t="s">
        <v>9509</v>
      </c>
      <c r="O2069" s="17" t="s">
        <v>9624</v>
      </c>
      <c r="P2069" s="17" t="s">
        <v>9627</v>
      </c>
      <c r="Q2069" s="17"/>
      <c r="R2069" s="25" t="str">
        <f>HYPERLINK("https://ictv.global/taxonomy/taxondetails?taxnode_id=202300286","Dhakavirus bp7")</f>
        <v>Dhakavirus bp7</v>
      </c>
      <c r="S2069" s="18" t="s">
        <v>30</v>
      </c>
      <c r="T2069" s="18" t="s">
        <v>9630</v>
      </c>
      <c r="U2069" s="18"/>
      <c r="V2069" s="18"/>
      <c r="W2069" s="18" t="s">
        <v>9631</v>
      </c>
      <c r="X2069" s="18" t="s">
        <v>42</v>
      </c>
      <c r="Y2069" s="18" t="s">
        <v>36</v>
      </c>
      <c r="Z2069" s="18" t="s">
        <v>697</v>
      </c>
      <c r="AA2069" s="21" t="str">
        <f>HYPERLINK("https://www.ncbi.nlm.nih.gov/nuccore/HQ829472","NCBI Nucleotide")</f>
        <v>NCBI Nucleotide</v>
      </c>
    </row>
    <row r="2070" spans="1:27" x14ac:dyDescent="0.35">
      <c r="A2070">
        <v>1002546</v>
      </c>
      <c r="B2070">
        <v>2046</v>
      </c>
      <c r="C2070">
        <v>1</v>
      </c>
      <c r="D2070" s="17" t="s">
        <v>155</v>
      </c>
      <c r="E2070" s="17"/>
      <c r="F2070" s="17" t="s">
        <v>156</v>
      </c>
      <c r="G2070" s="17"/>
      <c r="H2070" s="17" t="s">
        <v>692</v>
      </c>
      <c r="I2070" s="17"/>
      <c r="J2070" s="17" t="s">
        <v>693</v>
      </c>
      <c r="K2070" s="17"/>
      <c r="L2070" s="17"/>
      <c r="M2070" s="17"/>
      <c r="N2070" s="17" t="s">
        <v>9509</v>
      </c>
      <c r="O2070" s="17" t="s">
        <v>9624</v>
      </c>
      <c r="P2070" s="17" t="s">
        <v>9627</v>
      </c>
      <c r="Q2070" s="17"/>
      <c r="R2070" s="25" t="str">
        <f>HYPERLINK("https://ictv.global/taxonomy/taxondetails?taxnode_id=202313694","Dhakavirus ecom005")</f>
        <v>Dhakavirus ecom005</v>
      </c>
      <c r="S2070" s="18" t="s">
        <v>30</v>
      </c>
      <c r="T2070" s="18" t="s">
        <v>9632</v>
      </c>
      <c r="U2070" s="18"/>
      <c r="V2070" s="18"/>
      <c r="W2070" s="18" t="s">
        <v>9633</v>
      </c>
      <c r="X2070" s="18" t="s">
        <v>42</v>
      </c>
      <c r="Y2070" s="18" t="s">
        <v>36</v>
      </c>
      <c r="Z2070" s="18" t="s">
        <v>697</v>
      </c>
      <c r="AA2070" s="21" t="str">
        <f>HYPERLINK("https://www.ncbi.nlm.nih.gov/nuccore/MK295203","NCBI Nucleotide")</f>
        <v>NCBI Nucleotide</v>
      </c>
    </row>
    <row r="2071" spans="1:27" x14ac:dyDescent="0.35">
      <c r="A2071">
        <v>1002547</v>
      </c>
      <c r="B2071">
        <v>2047</v>
      </c>
      <c r="C2071">
        <v>1</v>
      </c>
      <c r="D2071" s="17" t="s">
        <v>155</v>
      </c>
      <c r="E2071" s="17"/>
      <c r="F2071" s="17" t="s">
        <v>156</v>
      </c>
      <c r="G2071" s="17"/>
      <c r="H2071" s="17" t="s">
        <v>692</v>
      </c>
      <c r="I2071" s="17"/>
      <c r="J2071" s="17" t="s">
        <v>693</v>
      </c>
      <c r="K2071" s="17"/>
      <c r="L2071" s="17"/>
      <c r="M2071" s="17"/>
      <c r="N2071" s="17" t="s">
        <v>9509</v>
      </c>
      <c r="O2071" s="17" t="s">
        <v>9624</v>
      </c>
      <c r="P2071" s="17" t="s">
        <v>9627</v>
      </c>
      <c r="Q2071" s="17"/>
      <c r="R2071" s="25" t="str">
        <f>HYPERLINK("https://ictv.global/taxonomy/taxondetails?taxnode_id=202300287","Dhakavirus ime08")</f>
        <v>Dhakavirus ime08</v>
      </c>
      <c r="S2071" s="18" t="s">
        <v>30</v>
      </c>
      <c r="T2071" s="18" t="s">
        <v>9634</v>
      </c>
      <c r="U2071" s="18"/>
      <c r="V2071" s="18"/>
      <c r="W2071" s="18" t="s">
        <v>9635</v>
      </c>
      <c r="X2071" s="18" t="s">
        <v>42</v>
      </c>
      <c r="Y2071" s="18" t="s">
        <v>36</v>
      </c>
      <c r="Z2071" s="18" t="s">
        <v>697</v>
      </c>
      <c r="AA2071" s="21" t="str">
        <f>HYPERLINK("https://www.ncbi.nlm.nih.gov/nuccore/HM071924","NCBI Nucleotide")</f>
        <v>NCBI Nucleotide</v>
      </c>
    </row>
    <row r="2072" spans="1:27" x14ac:dyDescent="0.35">
      <c r="A2072">
        <v>1002548</v>
      </c>
      <c r="B2072">
        <v>2048</v>
      </c>
      <c r="C2072">
        <v>1</v>
      </c>
      <c r="D2072" s="17" t="s">
        <v>155</v>
      </c>
      <c r="E2072" s="17"/>
      <c r="F2072" s="17" t="s">
        <v>156</v>
      </c>
      <c r="G2072" s="17"/>
      <c r="H2072" s="17" t="s">
        <v>692</v>
      </c>
      <c r="I2072" s="17"/>
      <c r="J2072" s="17" t="s">
        <v>693</v>
      </c>
      <c r="K2072" s="17"/>
      <c r="L2072" s="17"/>
      <c r="M2072" s="17"/>
      <c r="N2072" s="17" t="s">
        <v>9509</v>
      </c>
      <c r="O2072" s="17" t="s">
        <v>9624</v>
      </c>
      <c r="P2072" s="17" t="s">
        <v>9627</v>
      </c>
      <c r="Q2072" s="17"/>
      <c r="R2072" s="25" t="str">
        <f>HYPERLINK("https://ictv.global/taxonomy/taxondetails?taxnode_id=202313691","Dhakavirus ime281")</f>
        <v>Dhakavirus ime281</v>
      </c>
      <c r="S2072" s="18" t="s">
        <v>30</v>
      </c>
      <c r="T2072" s="18" t="s">
        <v>9636</v>
      </c>
      <c r="U2072" s="18"/>
      <c r="V2072" s="18"/>
      <c r="W2072" s="18" t="s">
        <v>9637</v>
      </c>
      <c r="X2072" s="18" t="s">
        <v>42</v>
      </c>
      <c r="Y2072" s="18" t="s">
        <v>36</v>
      </c>
      <c r="Z2072" s="18" t="s">
        <v>697</v>
      </c>
      <c r="AA2072" s="21" t="str">
        <f>HYPERLINK("https://www.ncbi.nlm.nih.gov/nuccore/MH051913","NCBI Nucleotide")</f>
        <v>NCBI Nucleotide</v>
      </c>
    </row>
    <row r="2073" spans="1:27" x14ac:dyDescent="0.35">
      <c r="A2073">
        <v>1002549</v>
      </c>
      <c r="B2073">
        <v>2049</v>
      </c>
      <c r="C2073">
        <v>1</v>
      </c>
      <c r="D2073" s="17" t="s">
        <v>155</v>
      </c>
      <c r="E2073" s="17"/>
      <c r="F2073" s="17" t="s">
        <v>156</v>
      </c>
      <c r="G2073" s="17"/>
      <c r="H2073" s="17" t="s">
        <v>692</v>
      </c>
      <c r="I2073" s="17"/>
      <c r="J2073" s="17" t="s">
        <v>693</v>
      </c>
      <c r="K2073" s="17"/>
      <c r="L2073" s="17"/>
      <c r="M2073" s="17"/>
      <c r="N2073" s="17" t="s">
        <v>9509</v>
      </c>
      <c r="O2073" s="17" t="s">
        <v>9624</v>
      </c>
      <c r="P2073" s="17" t="s">
        <v>9627</v>
      </c>
      <c r="Q2073" s="17"/>
      <c r="R2073" s="25" t="str">
        <f>HYPERLINK("https://ictv.global/taxonomy/taxondetails?taxnode_id=202313692","Dhakavirus ime348")</f>
        <v>Dhakavirus ime348</v>
      </c>
      <c r="S2073" s="18" t="s">
        <v>30</v>
      </c>
      <c r="T2073" s="18" t="s">
        <v>9638</v>
      </c>
      <c r="U2073" s="18"/>
      <c r="V2073" s="18"/>
      <c r="W2073" s="18" t="s">
        <v>9639</v>
      </c>
      <c r="X2073" s="18" t="s">
        <v>42</v>
      </c>
      <c r="Y2073" s="18" t="s">
        <v>36</v>
      </c>
      <c r="Z2073" s="18" t="s">
        <v>697</v>
      </c>
      <c r="AA2073" s="21" t="str">
        <f>HYPERLINK("https://www.ncbi.nlm.nih.gov/nuccore/MH051917","NCBI Nucleotide")</f>
        <v>NCBI Nucleotide</v>
      </c>
    </row>
    <row r="2074" spans="1:27" x14ac:dyDescent="0.35">
      <c r="A2074">
        <v>1002550</v>
      </c>
      <c r="B2074">
        <v>2050</v>
      </c>
      <c r="C2074">
        <v>1</v>
      </c>
      <c r="D2074" s="17" t="s">
        <v>155</v>
      </c>
      <c r="E2074" s="17"/>
      <c r="F2074" s="17" t="s">
        <v>156</v>
      </c>
      <c r="G2074" s="17"/>
      <c r="H2074" s="17" t="s">
        <v>692</v>
      </c>
      <c r="I2074" s="17"/>
      <c r="J2074" s="17" t="s">
        <v>693</v>
      </c>
      <c r="K2074" s="17"/>
      <c r="L2074" s="17"/>
      <c r="M2074" s="17"/>
      <c r="N2074" s="17" t="s">
        <v>9509</v>
      </c>
      <c r="O2074" s="17" t="s">
        <v>9624</v>
      </c>
      <c r="P2074" s="17" t="s">
        <v>9627</v>
      </c>
      <c r="Q2074" s="17"/>
      <c r="R2074" s="25" t="str">
        <f>HYPERLINK("https://ictv.global/taxonomy/taxondetails?taxnode_id=202300288","Dhakavirus JS10")</f>
        <v>Dhakavirus JS10</v>
      </c>
      <c r="S2074" s="18" t="s">
        <v>30</v>
      </c>
      <c r="T2074" s="18" t="s">
        <v>9640</v>
      </c>
      <c r="U2074" s="18"/>
      <c r="V2074" s="18"/>
      <c r="W2074" s="18" t="s">
        <v>9641</v>
      </c>
      <c r="X2074" s="18" t="s">
        <v>42</v>
      </c>
      <c r="Y2074" s="18" t="s">
        <v>36</v>
      </c>
      <c r="Z2074" s="18" t="s">
        <v>697</v>
      </c>
      <c r="AA2074" s="21" t="str">
        <f>HYPERLINK("https://www.ncbi.nlm.nih.gov/nuccore/EU863409","NCBI Nucleotide")</f>
        <v>NCBI Nucleotide</v>
      </c>
    </row>
    <row r="2075" spans="1:27" x14ac:dyDescent="0.35">
      <c r="A2075">
        <v>1002551</v>
      </c>
      <c r="B2075">
        <v>2051</v>
      </c>
      <c r="C2075">
        <v>1</v>
      </c>
      <c r="D2075" s="17" t="s">
        <v>155</v>
      </c>
      <c r="E2075" s="17"/>
      <c r="F2075" s="17" t="s">
        <v>156</v>
      </c>
      <c r="G2075" s="17"/>
      <c r="H2075" s="17" t="s">
        <v>692</v>
      </c>
      <c r="I2075" s="17"/>
      <c r="J2075" s="17" t="s">
        <v>693</v>
      </c>
      <c r="K2075" s="17"/>
      <c r="L2075" s="17"/>
      <c r="M2075" s="17"/>
      <c r="N2075" s="17" t="s">
        <v>9509</v>
      </c>
      <c r="O2075" s="17" t="s">
        <v>9624</v>
      </c>
      <c r="P2075" s="17" t="s">
        <v>9627</v>
      </c>
      <c r="Q2075" s="17"/>
      <c r="R2075" s="25" t="str">
        <f>HYPERLINK("https://ictv.global/taxonomy/taxondetails?taxnode_id=202300289","Dhakavirus JS98")</f>
        <v>Dhakavirus JS98</v>
      </c>
      <c r="S2075" s="18" t="s">
        <v>30</v>
      </c>
      <c r="T2075" s="18" t="s">
        <v>9642</v>
      </c>
      <c r="U2075" s="18"/>
      <c r="V2075" s="18"/>
      <c r="W2075" s="18" t="s">
        <v>9643</v>
      </c>
      <c r="X2075" s="18" t="s">
        <v>42</v>
      </c>
      <c r="Y2075" s="18" t="s">
        <v>36</v>
      </c>
      <c r="Z2075" s="18" t="s">
        <v>697</v>
      </c>
      <c r="AA2075" s="21" t="str">
        <f>HYPERLINK("https://www.ncbi.nlm.nih.gov/nuccore/EF469154","NCBI Nucleotide")</f>
        <v>NCBI Nucleotide</v>
      </c>
    </row>
    <row r="2076" spans="1:27" x14ac:dyDescent="0.35">
      <c r="A2076">
        <v>1002552</v>
      </c>
      <c r="B2076">
        <v>2052</v>
      </c>
      <c r="C2076">
        <v>1</v>
      </c>
      <c r="D2076" s="17" t="s">
        <v>155</v>
      </c>
      <c r="E2076" s="17"/>
      <c r="F2076" s="17" t="s">
        <v>156</v>
      </c>
      <c r="G2076" s="17"/>
      <c r="H2076" s="17" t="s">
        <v>692</v>
      </c>
      <c r="I2076" s="17"/>
      <c r="J2076" s="17" t="s">
        <v>693</v>
      </c>
      <c r="K2076" s="17"/>
      <c r="L2076" s="17"/>
      <c r="M2076" s="17"/>
      <c r="N2076" s="17" t="s">
        <v>9509</v>
      </c>
      <c r="O2076" s="17" t="s">
        <v>9624</v>
      </c>
      <c r="P2076" s="17" t="s">
        <v>9627</v>
      </c>
      <c r="Q2076" s="17"/>
      <c r="R2076" s="25" t="str">
        <f>HYPERLINK("https://ictv.global/taxonomy/taxondetails?taxnode_id=202307034","Dhakavirus mx01")</f>
        <v>Dhakavirus mx01</v>
      </c>
      <c r="S2076" s="18" t="s">
        <v>30</v>
      </c>
      <c r="T2076" s="18" t="s">
        <v>9644</v>
      </c>
      <c r="U2076" s="18"/>
      <c r="V2076" s="18"/>
      <c r="W2076" s="18" t="s">
        <v>9645</v>
      </c>
      <c r="X2076" s="18" t="s">
        <v>42</v>
      </c>
      <c r="Y2076" s="18" t="s">
        <v>36</v>
      </c>
      <c r="Z2076" s="18" t="s">
        <v>697</v>
      </c>
      <c r="AA2076" s="21" t="str">
        <f>HYPERLINK("https://www.ncbi.nlm.nih.gov/nuccore/KU878969","NCBI Nucleotide")</f>
        <v>NCBI Nucleotide</v>
      </c>
    </row>
    <row r="2077" spans="1:27" x14ac:dyDescent="0.35">
      <c r="A2077">
        <v>1002553</v>
      </c>
      <c r="B2077">
        <v>2053</v>
      </c>
      <c r="C2077">
        <v>1</v>
      </c>
      <c r="D2077" s="17" t="s">
        <v>155</v>
      </c>
      <c r="E2077" s="17"/>
      <c r="F2077" s="17" t="s">
        <v>156</v>
      </c>
      <c r="G2077" s="17"/>
      <c r="H2077" s="17" t="s">
        <v>692</v>
      </c>
      <c r="I2077" s="17"/>
      <c r="J2077" s="17" t="s">
        <v>693</v>
      </c>
      <c r="K2077" s="17"/>
      <c r="L2077" s="17"/>
      <c r="M2077" s="17"/>
      <c r="N2077" s="17" t="s">
        <v>9509</v>
      </c>
      <c r="O2077" s="17" t="s">
        <v>9624</v>
      </c>
      <c r="P2077" s="17" t="s">
        <v>9627</v>
      </c>
      <c r="Q2077" s="17"/>
      <c r="R2077" s="25" t="str">
        <f>HYPERLINK("https://ictv.global/taxonomy/taxondetails?taxnode_id=202300290","Dhakavirus ql01")</f>
        <v>Dhakavirus ql01</v>
      </c>
      <c r="S2077" s="18" t="s">
        <v>30</v>
      </c>
      <c r="T2077" s="18" t="s">
        <v>9646</v>
      </c>
      <c r="U2077" s="18"/>
      <c r="V2077" s="18"/>
      <c r="W2077" s="18" t="s">
        <v>9647</v>
      </c>
      <c r="X2077" s="18" t="s">
        <v>42</v>
      </c>
      <c r="Y2077" s="18" t="s">
        <v>36</v>
      </c>
      <c r="Z2077" s="18" t="s">
        <v>697</v>
      </c>
      <c r="AA2077" s="21" t="str">
        <f>HYPERLINK("https://www.ncbi.nlm.nih.gov/nuccore/KT176190","NCBI Nucleotide")</f>
        <v>NCBI Nucleotide</v>
      </c>
    </row>
    <row r="2078" spans="1:27" x14ac:dyDescent="0.35">
      <c r="A2078">
        <v>1002554</v>
      </c>
      <c r="B2078">
        <v>2054</v>
      </c>
      <c r="C2078">
        <v>1</v>
      </c>
      <c r="D2078" s="17" t="s">
        <v>155</v>
      </c>
      <c r="E2078" s="17"/>
      <c r="F2078" s="17" t="s">
        <v>156</v>
      </c>
      <c r="G2078" s="17"/>
      <c r="H2078" s="17" t="s">
        <v>692</v>
      </c>
      <c r="I2078" s="17"/>
      <c r="J2078" s="17" t="s">
        <v>693</v>
      </c>
      <c r="K2078" s="17"/>
      <c r="L2078" s="17"/>
      <c r="M2078" s="17"/>
      <c r="N2078" s="17" t="s">
        <v>9509</v>
      </c>
      <c r="O2078" s="17" t="s">
        <v>9624</v>
      </c>
      <c r="P2078" s="17" t="s">
        <v>9627</v>
      </c>
      <c r="Q2078" s="17"/>
      <c r="R2078" s="25" t="str">
        <f>HYPERLINK("https://ictv.global/taxonomy/taxondetails?taxnode_id=202300291","Dhakavirus vr5")</f>
        <v>Dhakavirus vr5</v>
      </c>
      <c r="S2078" s="18" t="s">
        <v>30</v>
      </c>
      <c r="T2078" s="18" t="s">
        <v>9648</v>
      </c>
      <c r="U2078" s="18"/>
      <c r="V2078" s="18"/>
      <c r="W2078" s="18" t="s">
        <v>9649</v>
      </c>
      <c r="X2078" s="18" t="s">
        <v>42</v>
      </c>
      <c r="Y2078" s="18" t="s">
        <v>36</v>
      </c>
      <c r="Z2078" s="18" t="s">
        <v>697</v>
      </c>
      <c r="AA2078" s="21" t="str">
        <f>HYPERLINK("https://www.ncbi.nlm.nih.gov/nuccore/KP007359","NCBI Nucleotide")</f>
        <v>NCBI Nucleotide</v>
      </c>
    </row>
    <row r="2079" spans="1:27" x14ac:dyDescent="0.35">
      <c r="A2079">
        <v>1002555</v>
      </c>
      <c r="B2079">
        <v>2055</v>
      </c>
      <c r="C2079">
        <v>1</v>
      </c>
      <c r="D2079" s="17" t="s">
        <v>155</v>
      </c>
      <c r="E2079" s="17"/>
      <c r="F2079" s="17" t="s">
        <v>156</v>
      </c>
      <c r="G2079" s="17"/>
      <c r="H2079" s="17" t="s">
        <v>692</v>
      </c>
      <c r="I2079" s="17"/>
      <c r="J2079" s="17" t="s">
        <v>693</v>
      </c>
      <c r="K2079" s="17"/>
      <c r="L2079" s="17"/>
      <c r="M2079" s="17"/>
      <c r="N2079" s="17" t="s">
        <v>9509</v>
      </c>
      <c r="O2079" s="17" t="s">
        <v>9624</v>
      </c>
      <c r="P2079" s="17" t="s">
        <v>9627</v>
      </c>
      <c r="Q2079" s="17"/>
      <c r="R2079" s="25" t="str">
        <f>HYPERLINK("https://ictv.global/taxonomy/taxondetails?taxnode_id=202307035","Dhakavirus wg01")</f>
        <v>Dhakavirus wg01</v>
      </c>
      <c r="S2079" s="18" t="s">
        <v>30</v>
      </c>
      <c r="T2079" s="18" t="s">
        <v>9650</v>
      </c>
      <c r="U2079" s="18"/>
      <c r="V2079" s="18"/>
      <c r="W2079" s="18" t="s">
        <v>9651</v>
      </c>
      <c r="X2079" s="18" t="s">
        <v>42</v>
      </c>
      <c r="Y2079" s="18" t="s">
        <v>36</v>
      </c>
      <c r="Z2079" s="18" t="s">
        <v>697</v>
      </c>
      <c r="AA2079" s="21" t="str">
        <f>HYPERLINK("https://www.ncbi.nlm.nih.gov/nuccore/KU878968","NCBI Nucleotide")</f>
        <v>NCBI Nucleotide</v>
      </c>
    </row>
    <row r="2080" spans="1:27" x14ac:dyDescent="0.35">
      <c r="A2080">
        <v>1002556</v>
      </c>
      <c r="B2080">
        <v>2056</v>
      </c>
      <c r="C2080">
        <v>1</v>
      </c>
      <c r="D2080" s="17" t="s">
        <v>155</v>
      </c>
      <c r="E2080" s="17"/>
      <c r="F2080" s="17" t="s">
        <v>156</v>
      </c>
      <c r="G2080" s="17"/>
      <c r="H2080" s="17" t="s">
        <v>692</v>
      </c>
      <c r="I2080" s="17"/>
      <c r="J2080" s="17" t="s">
        <v>693</v>
      </c>
      <c r="K2080" s="17"/>
      <c r="L2080" s="17"/>
      <c r="M2080" s="17"/>
      <c r="N2080" s="17" t="s">
        <v>9509</v>
      </c>
      <c r="O2080" s="17" t="s">
        <v>9624</v>
      </c>
      <c r="P2080" s="17" t="s">
        <v>9652</v>
      </c>
      <c r="Q2080" s="17"/>
      <c r="R2080" s="25" t="str">
        <f>HYPERLINK("https://ictv.global/taxonomy/taxondetails?taxnode_id=202314943","Gaprivervirus arezed")</f>
        <v>Gaprivervirus arezed</v>
      </c>
      <c r="S2080" s="18" t="s">
        <v>30</v>
      </c>
      <c r="T2080" s="18" t="s">
        <v>9653</v>
      </c>
      <c r="U2080" s="18"/>
      <c r="V2080" s="18"/>
      <c r="W2080" s="18" t="s">
        <v>9654</v>
      </c>
      <c r="X2080" s="18" t="s">
        <v>42</v>
      </c>
      <c r="Y2080" s="18" t="s">
        <v>36</v>
      </c>
      <c r="Z2080" s="18" t="s">
        <v>697</v>
      </c>
      <c r="AA2080" s="21" t="str">
        <f>HYPERLINK("https://www.ncbi.nlm.nih.gov/nuccore/MW598459","NCBI Nucleotide")</f>
        <v>NCBI Nucleotide</v>
      </c>
    </row>
    <row r="2081" spans="1:27" x14ac:dyDescent="0.35">
      <c r="A2081">
        <v>1002557</v>
      </c>
      <c r="B2081">
        <v>2057</v>
      </c>
      <c r="C2081">
        <v>1</v>
      </c>
      <c r="D2081" s="17" t="s">
        <v>155</v>
      </c>
      <c r="E2081" s="17"/>
      <c r="F2081" s="17" t="s">
        <v>156</v>
      </c>
      <c r="G2081" s="17"/>
      <c r="H2081" s="17" t="s">
        <v>692</v>
      </c>
      <c r="I2081" s="17"/>
      <c r="J2081" s="17" t="s">
        <v>693</v>
      </c>
      <c r="K2081" s="17"/>
      <c r="L2081" s="17"/>
      <c r="M2081" s="17"/>
      <c r="N2081" s="17" t="s">
        <v>9509</v>
      </c>
      <c r="O2081" s="17" t="s">
        <v>9624</v>
      </c>
      <c r="P2081" s="17" t="s">
        <v>9652</v>
      </c>
      <c r="Q2081" s="17"/>
      <c r="R2081" s="25" t="str">
        <f>HYPERLINK("https://ictv.global/taxonomy/taxondetails?taxnode_id=202300322","Gaprivervirus sp18")</f>
        <v>Gaprivervirus sp18</v>
      </c>
      <c r="S2081" s="18" t="s">
        <v>30</v>
      </c>
      <c r="T2081" s="18" t="s">
        <v>9655</v>
      </c>
      <c r="U2081" s="18"/>
      <c r="V2081" s="18"/>
      <c r="W2081" s="18" t="s">
        <v>9656</v>
      </c>
      <c r="X2081" s="18" t="s">
        <v>42</v>
      </c>
      <c r="Y2081" s="18" t="s">
        <v>36</v>
      </c>
      <c r="Z2081" s="18" t="s">
        <v>697</v>
      </c>
      <c r="AA2081" s="21" t="str">
        <f>HYPERLINK("https://www.ncbi.nlm.nih.gov/nuccore/GQ981382","NCBI Nucleotide")</f>
        <v>NCBI Nucleotide</v>
      </c>
    </row>
    <row r="2082" spans="1:27" x14ac:dyDescent="0.35">
      <c r="A2082">
        <v>1002561</v>
      </c>
      <c r="B2082">
        <v>2058</v>
      </c>
      <c r="C2082">
        <v>1</v>
      </c>
      <c r="D2082" s="17" t="s">
        <v>155</v>
      </c>
      <c r="E2082" s="17"/>
      <c r="F2082" s="17" t="s">
        <v>156</v>
      </c>
      <c r="G2082" s="17"/>
      <c r="H2082" s="17" t="s">
        <v>692</v>
      </c>
      <c r="I2082" s="17"/>
      <c r="J2082" s="17" t="s">
        <v>693</v>
      </c>
      <c r="K2082" s="17"/>
      <c r="L2082" s="17"/>
      <c r="M2082" s="17"/>
      <c r="N2082" s="17" t="s">
        <v>9509</v>
      </c>
      <c r="O2082" s="17" t="s">
        <v>9624</v>
      </c>
      <c r="P2082" s="17" t="s">
        <v>9652</v>
      </c>
      <c r="Q2082" s="17"/>
      <c r="R2082" s="25" t="str">
        <f>HYPERLINK("https://ictv.global/taxonomy/taxondetails?taxnode_id=202300318","Gaprivervirus vr7")</f>
        <v>Gaprivervirus vr7</v>
      </c>
      <c r="S2082" s="18" t="s">
        <v>30</v>
      </c>
      <c r="T2082" s="18" t="s">
        <v>9663</v>
      </c>
      <c r="U2082" s="18"/>
      <c r="V2082" s="18"/>
      <c r="W2082" s="18" t="s">
        <v>9664</v>
      </c>
      <c r="X2082" s="18" t="s">
        <v>42</v>
      </c>
      <c r="Y2082" s="18" t="s">
        <v>36</v>
      </c>
      <c r="Z2082" s="18" t="s">
        <v>697</v>
      </c>
      <c r="AA2082" s="21" t="str">
        <f>HYPERLINK("https://www.ncbi.nlm.nih.gov/nuccore/HM563683","NCBI Nucleotide")</f>
        <v>NCBI Nucleotide</v>
      </c>
    </row>
    <row r="2083" spans="1:27" x14ac:dyDescent="0.35">
      <c r="A2083">
        <v>1002558</v>
      </c>
      <c r="B2083">
        <v>2059</v>
      </c>
      <c r="C2083">
        <v>1</v>
      </c>
      <c r="D2083" s="17" t="s">
        <v>155</v>
      </c>
      <c r="E2083" s="17"/>
      <c r="F2083" s="17" t="s">
        <v>156</v>
      </c>
      <c r="G2083" s="17"/>
      <c r="H2083" s="17" t="s">
        <v>692</v>
      </c>
      <c r="I2083" s="17"/>
      <c r="J2083" s="17" t="s">
        <v>693</v>
      </c>
      <c r="K2083" s="17"/>
      <c r="L2083" s="17"/>
      <c r="M2083" s="17"/>
      <c r="N2083" s="17" t="s">
        <v>9509</v>
      </c>
      <c r="O2083" s="17" t="s">
        <v>9624</v>
      </c>
      <c r="P2083" s="17" t="s">
        <v>9652</v>
      </c>
      <c r="Q2083" s="17"/>
      <c r="R2083" s="25" t="str">
        <f>HYPERLINK("https://ictv.global/taxonomy/taxondetails?taxnode_id=202300319","Gaprivervirus vr20")</f>
        <v>Gaprivervirus vr20</v>
      </c>
      <c r="S2083" s="18" t="s">
        <v>30</v>
      </c>
      <c r="T2083" s="18" t="s">
        <v>9657</v>
      </c>
      <c r="U2083" s="18"/>
      <c r="V2083" s="18"/>
      <c r="W2083" s="18" t="s">
        <v>9658</v>
      </c>
      <c r="X2083" s="18" t="s">
        <v>42</v>
      </c>
      <c r="Y2083" s="18" t="s">
        <v>36</v>
      </c>
      <c r="Z2083" s="18" t="s">
        <v>697</v>
      </c>
      <c r="AA2083" s="21" t="str">
        <f>HYPERLINK("https://www.ncbi.nlm.nih.gov/nuccore/KP007360","NCBI Nucleotide")</f>
        <v>NCBI Nucleotide</v>
      </c>
    </row>
    <row r="2084" spans="1:27" x14ac:dyDescent="0.35">
      <c r="A2084">
        <v>1002559</v>
      </c>
      <c r="B2084">
        <v>2060</v>
      </c>
      <c r="C2084">
        <v>1</v>
      </c>
      <c r="D2084" s="17" t="s">
        <v>155</v>
      </c>
      <c r="E2084" s="17"/>
      <c r="F2084" s="17" t="s">
        <v>156</v>
      </c>
      <c r="G2084" s="17"/>
      <c r="H2084" s="17" t="s">
        <v>692</v>
      </c>
      <c r="I2084" s="17"/>
      <c r="J2084" s="17" t="s">
        <v>693</v>
      </c>
      <c r="K2084" s="17"/>
      <c r="L2084" s="17"/>
      <c r="M2084" s="17"/>
      <c r="N2084" s="17" t="s">
        <v>9509</v>
      </c>
      <c r="O2084" s="17" t="s">
        <v>9624</v>
      </c>
      <c r="P2084" s="17" t="s">
        <v>9652</v>
      </c>
      <c r="Q2084" s="17"/>
      <c r="R2084" s="25" t="str">
        <f>HYPERLINK("https://ictv.global/taxonomy/taxondetails?taxnode_id=202300320","Gaprivervirus vr25")</f>
        <v>Gaprivervirus vr25</v>
      </c>
      <c r="S2084" s="18" t="s">
        <v>30</v>
      </c>
      <c r="T2084" s="18" t="s">
        <v>9659</v>
      </c>
      <c r="U2084" s="18"/>
      <c r="V2084" s="18"/>
      <c r="W2084" s="18" t="s">
        <v>9660</v>
      </c>
      <c r="X2084" s="18" t="s">
        <v>42</v>
      </c>
      <c r="Y2084" s="18" t="s">
        <v>36</v>
      </c>
      <c r="Z2084" s="18" t="s">
        <v>697</v>
      </c>
      <c r="AA2084" s="21" t="str">
        <f>HYPERLINK("https://www.ncbi.nlm.nih.gov/nuccore/KP007361","NCBI Nucleotide")</f>
        <v>NCBI Nucleotide</v>
      </c>
    </row>
    <row r="2085" spans="1:27" x14ac:dyDescent="0.35">
      <c r="A2085">
        <v>1002560</v>
      </c>
      <c r="B2085">
        <v>2061</v>
      </c>
      <c r="C2085">
        <v>1</v>
      </c>
      <c r="D2085" s="17" t="s">
        <v>155</v>
      </c>
      <c r="E2085" s="17"/>
      <c r="F2085" s="17" t="s">
        <v>156</v>
      </c>
      <c r="G2085" s="17"/>
      <c r="H2085" s="17" t="s">
        <v>692</v>
      </c>
      <c r="I2085" s="17"/>
      <c r="J2085" s="17" t="s">
        <v>693</v>
      </c>
      <c r="K2085" s="17"/>
      <c r="L2085" s="17"/>
      <c r="M2085" s="17"/>
      <c r="N2085" s="17" t="s">
        <v>9509</v>
      </c>
      <c r="O2085" s="17" t="s">
        <v>9624</v>
      </c>
      <c r="P2085" s="17" t="s">
        <v>9652</v>
      </c>
      <c r="Q2085" s="17"/>
      <c r="R2085" s="25" t="str">
        <f>HYPERLINK("https://ictv.global/taxonomy/taxondetails?taxnode_id=202300321","Gaprivervirus vr26")</f>
        <v>Gaprivervirus vr26</v>
      </c>
      <c r="S2085" s="18" t="s">
        <v>30</v>
      </c>
      <c r="T2085" s="18" t="s">
        <v>9661</v>
      </c>
      <c r="U2085" s="18"/>
      <c r="V2085" s="18"/>
      <c r="W2085" s="18" t="s">
        <v>9662</v>
      </c>
      <c r="X2085" s="18" t="s">
        <v>42</v>
      </c>
      <c r="Y2085" s="18" t="s">
        <v>36</v>
      </c>
      <c r="Z2085" s="18" t="s">
        <v>697</v>
      </c>
      <c r="AA2085" s="21" t="str">
        <f>HYPERLINK("https://www.ncbi.nlm.nih.gov/nuccore/KP007362","NCBI Nucleotide")</f>
        <v>NCBI Nucleotide</v>
      </c>
    </row>
    <row r="2086" spans="1:27" x14ac:dyDescent="0.35">
      <c r="A2086">
        <v>1002562</v>
      </c>
      <c r="B2086">
        <v>2062</v>
      </c>
      <c r="C2086">
        <v>1</v>
      </c>
      <c r="D2086" s="17" t="s">
        <v>155</v>
      </c>
      <c r="E2086" s="17"/>
      <c r="F2086" s="17" t="s">
        <v>156</v>
      </c>
      <c r="G2086" s="17"/>
      <c r="H2086" s="17" t="s">
        <v>692</v>
      </c>
      <c r="I2086" s="17"/>
      <c r="J2086" s="17" t="s">
        <v>693</v>
      </c>
      <c r="K2086" s="17"/>
      <c r="L2086" s="17"/>
      <c r="M2086" s="17"/>
      <c r="N2086" s="17" t="s">
        <v>9509</v>
      </c>
      <c r="O2086" s="17" t="s">
        <v>9624</v>
      </c>
      <c r="P2086" s="17" t="s">
        <v>9665</v>
      </c>
      <c r="Q2086" s="17"/>
      <c r="R2086" s="25" t="str">
        <f>HYPERLINK("https://ictv.global/taxonomy/taxondetails?taxnode_id=202313703","Gelderlandvirus cgg41")</f>
        <v>Gelderlandvirus cgg41</v>
      </c>
      <c r="S2086" s="18" t="s">
        <v>30</v>
      </c>
      <c r="T2086" s="18" t="s">
        <v>9666</v>
      </c>
      <c r="U2086" s="18"/>
      <c r="V2086" s="18"/>
      <c r="W2086" s="18" t="s">
        <v>9667</v>
      </c>
      <c r="X2086" s="18" t="s">
        <v>42</v>
      </c>
      <c r="Y2086" s="18" t="s">
        <v>36</v>
      </c>
      <c r="Z2086" s="18" t="s">
        <v>697</v>
      </c>
      <c r="AA2086" s="21" t="str">
        <f>HYPERLINK("https://www.ncbi.nlm.nih.gov/nuccore/KU867307","NCBI Nucleotide")</f>
        <v>NCBI Nucleotide</v>
      </c>
    </row>
    <row r="2087" spans="1:27" x14ac:dyDescent="0.35">
      <c r="A2087">
        <v>1002563</v>
      </c>
      <c r="B2087">
        <v>2063</v>
      </c>
      <c r="C2087">
        <v>1</v>
      </c>
      <c r="D2087" s="17" t="s">
        <v>155</v>
      </c>
      <c r="E2087" s="17"/>
      <c r="F2087" s="17" t="s">
        <v>156</v>
      </c>
      <c r="G2087" s="17"/>
      <c r="H2087" s="17" t="s">
        <v>692</v>
      </c>
      <c r="I2087" s="17"/>
      <c r="J2087" s="17" t="s">
        <v>693</v>
      </c>
      <c r="K2087" s="17"/>
      <c r="L2087" s="17"/>
      <c r="M2087" s="17"/>
      <c r="N2087" s="17" t="s">
        <v>9509</v>
      </c>
      <c r="O2087" s="17" t="s">
        <v>9624</v>
      </c>
      <c r="P2087" s="17" t="s">
        <v>9665</v>
      </c>
      <c r="Q2087" s="17"/>
      <c r="R2087" s="25" t="str">
        <f>HYPERLINK("https://ictv.global/taxonomy/taxondetails?taxnode_id=202307047","Gelderlandvirus melville")</f>
        <v>Gelderlandvirus melville</v>
      </c>
      <c r="S2087" s="18" t="s">
        <v>30</v>
      </c>
      <c r="T2087" s="18" t="s">
        <v>9668</v>
      </c>
      <c r="U2087" s="18"/>
      <c r="V2087" s="18"/>
      <c r="W2087" s="18" t="s">
        <v>9669</v>
      </c>
      <c r="X2087" s="18" t="s">
        <v>42</v>
      </c>
      <c r="Y2087" s="18" t="s">
        <v>36</v>
      </c>
      <c r="Z2087" s="18" t="s">
        <v>697</v>
      </c>
      <c r="AA2087" s="21" t="str">
        <f>HYPERLINK("https://www.ncbi.nlm.nih.gov/nuccore/MF957259","NCBI Nucleotide")</f>
        <v>NCBI Nucleotide</v>
      </c>
    </row>
    <row r="2088" spans="1:27" x14ac:dyDescent="0.35">
      <c r="A2088">
        <v>1002564</v>
      </c>
      <c r="B2088">
        <v>2064</v>
      </c>
      <c r="C2088">
        <v>1</v>
      </c>
      <c r="D2088" s="17" t="s">
        <v>155</v>
      </c>
      <c r="E2088" s="17"/>
      <c r="F2088" s="17" t="s">
        <v>156</v>
      </c>
      <c r="G2088" s="17"/>
      <c r="H2088" s="17" t="s">
        <v>692</v>
      </c>
      <c r="I2088" s="17"/>
      <c r="J2088" s="17" t="s">
        <v>693</v>
      </c>
      <c r="K2088" s="17"/>
      <c r="L2088" s="17"/>
      <c r="M2088" s="17"/>
      <c r="N2088" s="17" t="s">
        <v>9509</v>
      </c>
      <c r="O2088" s="17" t="s">
        <v>9624</v>
      </c>
      <c r="P2088" s="17" t="s">
        <v>9665</v>
      </c>
      <c r="Q2088" s="17"/>
      <c r="R2088" s="25" t="str">
        <f>HYPERLINK("https://ictv.global/taxonomy/taxondetails?taxnode_id=202300311","Gelderlandvirus s16")</f>
        <v>Gelderlandvirus s16</v>
      </c>
      <c r="S2088" s="18" t="s">
        <v>30</v>
      </c>
      <c r="T2088" s="18" t="s">
        <v>9670</v>
      </c>
      <c r="U2088" s="18"/>
      <c r="V2088" s="18"/>
      <c r="W2088" s="18" t="s">
        <v>9671</v>
      </c>
      <c r="X2088" s="18" t="s">
        <v>42</v>
      </c>
      <c r="Y2088" s="18" t="s">
        <v>36</v>
      </c>
      <c r="Z2088" s="18" t="s">
        <v>697</v>
      </c>
      <c r="AA2088" s="21" t="str">
        <f>HYPERLINK("https://www.ncbi.nlm.nih.gov/nuccore/HQ331142","NCBI Nucleotide")</f>
        <v>NCBI Nucleotide</v>
      </c>
    </row>
    <row r="2089" spans="1:27" x14ac:dyDescent="0.35">
      <c r="A2089">
        <v>1002565</v>
      </c>
      <c r="B2089">
        <v>2065</v>
      </c>
      <c r="C2089">
        <v>1</v>
      </c>
      <c r="D2089" s="17" t="s">
        <v>155</v>
      </c>
      <c r="E2089" s="17"/>
      <c r="F2089" s="17" t="s">
        <v>156</v>
      </c>
      <c r="G2089" s="17"/>
      <c r="H2089" s="17" t="s">
        <v>692</v>
      </c>
      <c r="I2089" s="17"/>
      <c r="J2089" s="17" t="s">
        <v>693</v>
      </c>
      <c r="K2089" s="17"/>
      <c r="L2089" s="17"/>
      <c r="M2089" s="17"/>
      <c r="N2089" s="17" t="s">
        <v>9509</v>
      </c>
      <c r="O2089" s="17" t="s">
        <v>9624</v>
      </c>
      <c r="P2089" s="17" t="s">
        <v>9665</v>
      </c>
      <c r="Q2089" s="17"/>
      <c r="R2089" s="25" t="str">
        <f>HYPERLINK("https://ictv.global/taxonomy/taxondetails?taxnode_id=202300312","Gelderlandvirus stml198")</f>
        <v>Gelderlandvirus stml198</v>
      </c>
      <c r="S2089" s="18" t="s">
        <v>30</v>
      </c>
      <c r="T2089" s="18" t="s">
        <v>9672</v>
      </c>
      <c r="U2089" s="18"/>
      <c r="V2089" s="18"/>
      <c r="W2089" s="18" t="s">
        <v>9673</v>
      </c>
      <c r="X2089" s="18" t="s">
        <v>42</v>
      </c>
      <c r="Y2089" s="18" t="s">
        <v>36</v>
      </c>
      <c r="Z2089" s="18" t="s">
        <v>697</v>
      </c>
      <c r="AA2089" s="21" t="str">
        <f>HYPERLINK("https://www.ncbi.nlm.nih.gov/nuccore/JX181825","NCBI Nucleotide")</f>
        <v>NCBI Nucleotide</v>
      </c>
    </row>
    <row r="2090" spans="1:27" x14ac:dyDescent="0.35">
      <c r="A2090">
        <v>1002566</v>
      </c>
      <c r="B2090">
        <v>2066</v>
      </c>
      <c r="C2090">
        <v>1</v>
      </c>
      <c r="D2090" s="17" t="s">
        <v>155</v>
      </c>
      <c r="E2090" s="17"/>
      <c r="F2090" s="17" t="s">
        <v>156</v>
      </c>
      <c r="G2090" s="17"/>
      <c r="H2090" s="17" t="s">
        <v>692</v>
      </c>
      <c r="I2090" s="17"/>
      <c r="J2090" s="17" t="s">
        <v>693</v>
      </c>
      <c r="K2090" s="17"/>
      <c r="L2090" s="17"/>
      <c r="M2090" s="17"/>
      <c r="N2090" s="17" t="s">
        <v>9509</v>
      </c>
      <c r="O2090" s="17" t="s">
        <v>9624</v>
      </c>
      <c r="P2090" s="17" t="s">
        <v>9665</v>
      </c>
      <c r="Q2090" s="17"/>
      <c r="R2090" s="25" t="str">
        <f>HYPERLINK("https://ictv.global/taxonomy/taxondetails?taxnode_id=202307048","Gelderlandvirus stp4a")</f>
        <v>Gelderlandvirus stp4a</v>
      </c>
      <c r="S2090" s="18" t="s">
        <v>30</v>
      </c>
      <c r="T2090" s="18" t="s">
        <v>9674</v>
      </c>
      <c r="U2090" s="18"/>
      <c r="V2090" s="18"/>
      <c r="W2090" s="18" t="s">
        <v>9675</v>
      </c>
      <c r="X2090" s="18" t="s">
        <v>42</v>
      </c>
      <c r="Y2090" s="18" t="s">
        <v>36</v>
      </c>
      <c r="Z2090" s="18" t="s">
        <v>697</v>
      </c>
      <c r="AA2090" s="21" t="str">
        <f>HYPERLINK("https://www.ncbi.nlm.nih.gov/nuccore/KJ000058","NCBI Nucleotide")</f>
        <v>NCBI Nucleotide</v>
      </c>
    </row>
    <row r="2091" spans="1:27" x14ac:dyDescent="0.35">
      <c r="A2091">
        <v>1002567</v>
      </c>
      <c r="B2091">
        <v>2067</v>
      </c>
      <c r="C2091">
        <v>1</v>
      </c>
      <c r="D2091" s="17" t="s">
        <v>155</v>
      </c>
      <c r="E2091" s="17"/>
      <c r="F2091" s="17" t="s">
        <v>156</v>
      </c>
      <c r="G2091" s="17"/>
      <c r="H2091" s="17" t="s">
        <v>692</v>
      </c>
      <c r="I2091" s="17"/>
      <c r="J2091" s="17" t="s">
        <v>693</v>
      </c>
      <c r="K2091" s="17"/>
      <c r="L2091" s="17"/>
      <c r="M2091" s="17"/>
      <c r="N2091" s="17" t="s">
        <v>9509</v>
      </c>
      <c r="O2091" s="17" t="s">
        <v>9624</v>
      </c>
      <c r="P2091" s="17" t="s">
        <v>9676</v>
      </c>
      <c r="Q2091" s="17"/>
      <c r="R2091" s="25" t="str">
        <f>HYPERLINK("https://ictv.global/taxonomy/taxondetails?taxnode_id=202300283","Jiaodavirus jd18")</f>
        <v>Jiaodavirus jd18</v>
      </c>
      <c r="S2091" s="18" t="s">
        <v>30</v>
      </c>
      <c r="T2091" s="18" t="s">
        <v>9677</v>
      </c>
      <c r="U2091" s="18"/>
      <c r="V2091" s="18"/>
      <c r="W2091" s="18" t="s">
        <v>9678</v>
      </c>
      <c r="X2091" s="18" t="s">
        <v>42</v>
      </c>
      <c r="Y2091" s="18" t="s">
        <v>36</v>
      </c>
      <c r="Z2091" s="18" t="s">
        <v>697</v>
      </c>
      <c r="AA2091" s="21" t="str">
        <f>HYPERLINK("https://www.ncbi.nlm.nih.gov/nuccore/KT239446","NCBI Nucleotide")</f>
        <v>NCBI Nucleotide</v>
      </c>
    </row>
    <row r="2092" spans="1:27" x14ac:dyDescent="0.35">
      <c r="A2092">
        <v>1002568</v>
      </c>
      <c r="B2092">
        <v>2068</v>
      </c>
      <c r="C2092">
        <v>1</v>
      </c>
      <c r="D2092" s="17" t="s">
        <v>155</v>
      </c>
      <c r="E2092" s="17"/>
      <c r="F2092" s="17" t="s">
        <v>156</v>
      </c>
      <c r="G2092" s="17"/>
      <c r="H2092" s="17" t="s">
        <v>692</v>
      </c>
      <c r="I2092" s="17"/>
      <c r="J2092" s="17" t="s">
        <v>693</v>
      </c>
      <c r="K2092" s="17"/>
      <c r="L2092" s="17"/>
      <c r="M2092" s="17"/>
      <c r="N2092" s="17" t="s">
        <v>9509</v>
      </c>
      <c r="O2092" s="17" t="s">
        <v>9624</v>
      </c>
      <c r="P2092" s="17" t="s">
        <v>9676</v>
      </c>
      <c r="Q2092" s="17"/>
      <c r="R2092" s="25" t="str">
        <f>HYPERLINK("https://ictv.global/taxonomy/taxondetails?taxnode_id=202313700","Jiaodavirus kp179")</f>
        <v>Jiaodavirus kp179</v>
      </c>
      <c r="S2092" s="18" t="s">
        <v>30</v>
      </c>
      <c r="T2092" s="18" t="s">
        <v>9679</v>
      </c>
      <c r="U2092" s="18"/>
      <c r="V2092" s="18"/>
      <c r="W2092" s="18" t="s">
        <v>9680</v>
      </c>
      <c r="X2092" s="18" t="s">
        <v>42</v>
      </c>
      <c r="Y2092" s="18" t="s">
        <v>36</v>
      </c>
      <c r="Z2092" s="18" t="s">
        <v>697</v>
      </c>
      <c r="AA2092" s="21" t="str">
        <f>HYPERLINK("https://www.ncbi.nlm.nih.gov/nuccore/MH729874","NCBI Nucleotide")</f>
        <v>NCBI Nucleotide</v>
      </c>
    </row>
    <row r="2093" spans="1:27" x14ac:dyDescent="0.35">
      <c r="A2093">
        <v>1002569</v>
      </c>
      <c r="B2093">
        <v>2069</v>
      </c>
      <c r="C2093">
        <v>1</v>
      </c>
      <c r="D2093" s="17" t="s">
        <v>155</v>
      </c>
      <c r="E2093" s="17"/>
      <c r="F2093" s="17" t="s">
        <v>156</v>
      </c>
      <c r="G2093" s="17"/>
      <c r="H2093" s="17" t="s">
        <v>692</v>
      </c>
      <c r="I2093" s="17"/>
      <c r="J2093" s="17" t="s">
        <v>693</v>
      </c>
      <c r="K2093" s="17"/>
      <c r="L2093" s="17"/>
      <c r="M2093" s="17"/>
      <c r="N2093" s="17" t="s">
        <v>9509</v>
      </c>
      <c r="O2093" s="17" t="s">
        <v>9624</v>
      </c>
      <c r="P2093" s="17" t="s">
        <v>9676</v>
      </c>
      <c r="Q2093" s="17"/>
      <c r="R2093" s="25" t="str">
        <f>HYPERLINK("https://ictv.global/taxonomy/taxondetails?taxnode_id=202313698","Jiaodavirus kppv15")</f>
        <v>Jiaodavirus kppv15</v>
      </c>
      <c r="S2093" s="18" t="s">
        <v>30</v>
      </c>
      <c r="T2093" s="18" t="s">
        <v>9681</v>
      </c>
      <c r="U2093" s="18"/>
      <c r="V2093" s="18"/>
      <c r="W2093" s="18" t="s">
        <v>9682</v>
      </c>
      <c r="X2093" s="18" t="s">
        <v>42</v>
      </c>
      <c r="Y2093" s="18" t="s">
        <v>36</v>
      </c>
      <c r="Z2093" s="18" t="s">
        <v>697</v>
      </c>
      <c r="AA2093" s="21" t="str">
        <f>HYPERLINK("https://www.ncbi.nlm.nih.gov/nuccore/KY000080","NCBI Nucleotide")</f>
        <v>NCBI Nucleotide</v>
      </c>
    </row>
    <row r="2094" spans="1:27" x14ac:dyDescent="0.35">
      <c r="A2094">
        <v>1002570</v>
      </c>
      <c r="B2094">
        <v>2070</v>
      </c>
      <c r="C2094">
        <v>1</v>
      </c>
      <c r="D2094" s="17" t="s">
        <v>155</v>
      </c>
      <c r="E2094" s="17"/>
      <c r="F2094" s="17" t="s">
        <v>156</v>
      </c>
      <c r="G2094" s="17"/>
      <c r="H2094" s="17" t="s">
        <v>692</v>
      </c>
      <c r="I2094" s="17"/>
      <c r="J2094" s="17" t="s">
        <v>693</v>
      </c>
      <c r="K2094" s="17"/>
      <c r="L2094" s="17"/>
      <c r="M2094" s="17"/>
      <c r="N2094" s="17" t="s">
        <v>9509</v>
      </c>
      <c r="O2094" s="17" t="s">
        <v>9624</v>
      </c>
      <c r="P2094" s="17" t="s">
        <v>9676</v>
      </c>
      <c r="Q2094" s="17"/>
      <c r="R2094" s="25" t="str">
        <f>HYPERLINK("https://ictv.global/taxonomy/taxondetails?taxnode_id=202313697","Jiaodavirus kpv477")</f>
        <v>Jiaodavirus kpv477</v>
      </c>
      <c r="S2094" s="18" t="s">
        <v>30</v>
      </c>
      <c r="T2094" s="18" t="s">
        <v>9683</v>
      </c>
      <c r="U2094" s="18"/>
      <c r="V2094" s="18"/>
      <c r="W2094" s="18" t="s">
        <v>9684</v>
      </c>
      <c r="X2094" s="18" t="s">
        <v>42</v>
      </c>
      <c r="Y2094" s="18" t="s">
        <v>36</v>
      </c>
      <c r="Z2094" s="18" t="s">
        <v>697</v>
      </c>
      <c r="AA2094" s="21" t="str">
        <f>HYPERLINK("https://www.ncbi.nlm.nih.gov/nuccore/KX258185","NCBI Nucleotide")</f>
        <v>NCBI Nucleotide</v>
      </c>
    </row>
    <row r="2095" spans="1:27" x14ac:dyDescent="0.35">
      <c r="A2095">
        <v>1002571</v>
      </c>
      <c r="B2095">
        <v>2071</v>
      </c>
      <c r="C2095">
        <v>1</v>
      </c>
      <c r="D2095" s="17" t="s">
        <v>155</v>
      </c>
      <c r="E2095" s="17"/>
      <c r="F2095" s="17" t="s">
        <v>156</v>
      </c>
      <c r="G2095" s="17"/>
      <c r="H2095" s="17" t="s">
        <v>692</v>
      </c>
      <c r="I2095" s="17"/>
      <c r="J2095" s="17" t="s">
        <v>693</v>
      </c>
      <c r="K2095" s="17"/>
      <c r="L2095" s="17"/>
      <c r="M2095" s="17"/>
      <c r="N2095" s="17" t="s">
        <v>9509</v>
      </c>
      <c r="O2095" s="17" t="s">
        <v>9624</v>
      </c>
      <c r="P2095" s="17" t="s">
        <v>9676</v>
      </c>
      <c r="Q2095" s="17"/>
      <c r="R2095" s="25" t="str">
        <f>HYPERLINK("https://ictv.global/taxonomy/taxondetails?taxnode_id=202313699","Jiaodavirus mineola")</f>
        <v>Jiaodavirus mineola</v>
      </c>
      <c r="S2095" s="18" t="s">
        <v>30</v>
      </c>
      <c r="T2095" s="18" t="s">
        <v>9685</v>
      </c>
      <c r="U2095" s="18"/>
      <c r="V2095" s="18"/>
      <c r="W2095" s="18" t="s">
        <v>9686</v>
      </c>
      <c r="X2095" s="18" t="s">
        <v>42</v>
      </c>
      <c r="Y2095" s="18" t="s">
        <v>36</v>
      </c>
      <c r="Z2095" s="18" t="s">
        <v>697</v>
      </c>
      <c r="AA2095" s="21" t="str">
        <f>HYPERLINK("https://www.ncbi.nlm.nih.gov/nuccore/MH333064","NCBI Nucleotide")</f>
        <v>NCBI Nucleotide</v>
      </c>
    </row>
    <row r="2096" spans="1:27" x14ac:dyDescent="0.35">
      <c r="A2096">
        <v>1002572</v>
      </c>
      <c r="B2096">
        <v>2072</v>
      </c>
      <c r="C2096">
        <v>1</v>
      </c>
      <c r="D2096" s="17" t="s">
        <v>155</v>
      </c>
      <c r="E2096" s="17"/>
      <c r="F2096" s="17" t="s">
        <v>156</v>
      </c>
      <c r="G2096" s="17"/>
      <c r="H2096" s="17" t="s">
        <v>692</v>
      </c>
      <c r="I2096" s="17"/>
      <c r="J2096" s="17" t="s">
        <v>693</v>
      </c>
      <c r="K2096" s="17"/>
      <c r="L2096" s="17"/>
      <c r="M2096" s="17"/>
      <c r="N2096" s="17" t="s">
        <v>9509</v>
      </c>
      <c r="O2096" s="17" t="s">
        <v>9624</v>
      </c>
      <c r="P2096" s="17" t="s">
        <v>9676</v>
      </c>
      <c r="Q2096" s="17"/>
      <c r="R2096" s="25" t="str">
        <f>HYPERLINK("https://ictv.global/taxonomy/taxondetails?taxnode_id=202300284","Jiaodavirus pko111")</f>
        <v>Jiaodavirus pko111</v>
      </c>
      <c r="S2096" s="18" t="s">
        <v>30</v>
      </c>
      <c r="T2096" s="18" t="s">
        <v>9687</v>
      </c>
      <c r="U2096" s="18"/>
      <c r="V2096" s="18"/>
      <c r="W2096" s="18" t="s">
        <v>9688</v>
      </c>
      <c r="X2096" s="18" t="s">
        <v>42</v>
      </c>
      <c r="Y2096" s="18" t="s">
        <v>36</v>
      </c>
      <c r="Z2096" s="18" t="s">
        <v>697</v>
      </c>
      <c r="AA2096" s="21" t="str">
        <f>HYPERLINK("https://www.ncbi.nlm.nih.gov/nuccore/KR269720","NCBI Nucleotide")</f>
        <v>NCBI Nucleotide</v>
      </c>
    </row>
    <row r="2097" spans="1:27" x14ac:dyDescent="0.35">
      <c r="A2097">
        <v>1002573</v>
      </c>
      <c r="B2097">
        <v>2073</v>
      </c>
      <c r="C2097">
        <v>1</v>
      </c>
      <c r="D2097" s="17" t="s">
        <v>155</v>
      </c>
      <c r="E2097" s="17"/>
      <c r="F2097" s="17" t="s">
        <v>156</v>
      </c>
      <c r="G2097" s="17"/>
      <c r="H2097" s="17" t="s">
        <v>692</v>
      </c>
      <c r="I2097" s="17"/>
      <c r="J2097" s="17" t="s">
        <v>693</v>
      </c>
      <c r="K2097" s="17"/>
      <c r="L2097" s="17"/>
      <c r="M2097" s="17"/>
      <c r="N2097" s="17" t="s">
        <v>9509</v>
      </c>
      <c r="O2097" s="17" t="s">
        <v>9624</v>
      </c>
      <c r="P2097" s="17" t="s">
        <v>9689</v>
      </c>
      <c r="Q2097" s="17"/>
      <c r="R2097" s="25" t="str">
        <f>HYPERLINK("https://ictv.global/taxonomy/taxondetails?taxnode_id=202313687","Kagamiyamavirus ecs1")</f>
        <v>Kagamiyamavirus ecs1</v>
      </c>
      <c r="S2097" s="18" t="s">
        <v>30</v>
      </c>
      <c r="T2097" s="18" t="s">
        <v>9690</v>
      </c>
      <c r="U2097" s="18"/>
      <c r="V2097" s="18"/>
      <c r="W2097" s="18" t="s">
        <v>9691</v>
      </c>
      <c r="X2097" s="18" t="s">
        <v>42</v>
      </c>
      <c r="Y2097" s="18" t="s">
        <v>36</v>
      </c>
      <c r="Z2097" s="18" t="s">
        <v>697</v>
      </c>
      <c r="AA2097" s="21" t="str">
        <f>HYPERLINK("https://www.ncbi.nlm.nih.gov/nuccore/LC371242","NCBI Nucleotide")</f>
        <v>NCBI Nucleotide</v>
      </c>
    </row>
    <row r="2098" spans="1:27" x14ac:dyDescent="0.35">
      <c r="A2098">
        <v>1002574</v>
      </c>
      <c r="B2098">
        <v>2074</v>
      </c>
      <c r="C2098">
        <v>1</v>
      </c>
      <c r="D2098" s="17" t="s">
        <v>155</v>
      </c>
      <c r="E2098" s="17"/>
      <c r="F2098" s="17" t="s">
        <v>156</v>
      </c>
      <c r="G2098" s="17"/>
      <c r="H2098" s="17" t="s">
        <v>692</v>
      </c>
      <c r="I2098" s="17"/>
      <c r="J2098" s="17" t="s">
        <v>693</v>
      </c>
      <c r="K2098" s="17"/>
      <c r="L2098" s="17"/>
      <c r="M2098" s="17"/>
      <c r="N2098" s="17" t="s">
        <v>9509</v>
      </c>
      <c r="O2098" s="17" t="s">
        <v>9624</v>
      </c>
      <c r="P2098" s="17" t="s">
        <v>9692</v>
      </c>
      <c r="Q2098" s="17"/>
      <c r="R2098" s="25" t="str">
        <f>HYPERLINK("https://ictv.global/taxonomy/taxondetails?taxnode_id=202310143","Kanagawavirus cipnine")</f>
        <v>Kanagawavirus cipnine</v>
      </c>
      <c r="S2098" s="18" t="s">
        <v>30</v>
      </c>
      <c r="T2098" s="18" t="s">
        <v>9693</v>
      </c>
      <c r="U2098" s="18"/>
      <c r="V2098" s="18"/>
      <c r="W2098" s="18" t="s">
        <v>9694</v>
      </c>
      <c r="X2098" s="18" t="s">
        <v>42</v>
      </c>
      <c r="Y2098" s="18" t="s">
        <v>36</v>
      </c>
      <c r="Z2098" s="18" t="s">
        <v>697</v>
      </c>
      <c r="AA2098" s="21" t="str">
        <f>HYPERLINK("https://www.ncbi.nlm.nih.gov/nuccore/MN882610","NCBI Nucleotide")</f>
        <v>NCBI Nucleotide</v>
      </c>
    </row>
    <row r="2099" spans="1:27" x14ac:dyDescent="0.35">
      <c r="A2099">
        <v>1002575</v>
      </c>
      <c r="B2099">
        <v>2075</v>
      </c>
      <c r="C2099">
        <v>1</v>
      </c>
      <c r="D2099" s="17" t="s">
        <v>155</v>
      </c>
      <c r="E2099" s="17"/>
      <c r="F2099" s="17" t="s">
        <v>156</v>
      </c>
      <c r="G2099" s="17"/>
      <c r="H2099" s="17" t="s">
        <v>692</v>
      </c>
      <c r="I2099" s="17"/>
      <c r="J2099" s="17" t="s">
        <v>693</v>
      </c>
      <c r="K2099" s="17"/>
      <c r="L2099" s="17"/>
      <c r="M2099" s="17"/>
      <c r="N2099" s="17" t="s">
        <v>9509</v>
      </c>
      <c r="O2099" s="17" t="s">
        <v>9624</v>
      </c>
      <c r="P2099" s="17" t="s">
        <v>9692</v>
      </c>
      <c r="Q2099" s="17"/>
      <c r="R2099" s="25" t="str">
        <f>HYPERLINK("https://ictv.global/taxonomy/taxondetails?taxnode_id=202314940","Kanagawavirus eclm")</f>
        <v>Kanagawavirus eclm</v>
      </c>
      <c r="S2099" s="18" t="s">
        <v>30</v>
      </c>
      <c r="T2099" s="18" t="s">
        <v>9695</v>
      </c>
      <c r="U2099" s="18"/>
      <c r="V2099" s="18"/>
      <c r="W2099" s="18" t="s">
        <v>9696</v>
      </c>
      <c r="X2099" s="18" t="s">
        <v>42</v>
      </c>
      <c r="Y2099" s="18" t="s">
        <v>36</v>
      </c>
      <c r="Z2099" s="18" t="s">
        <v>697</v>
      </c>
      <c r="AA2099" s="21" t="str">
        <f>HYPERLINK("https://www.ncbi.nlm.nih.gov/nuccore/MN087708","NCBI Nucleotide")</f>
        <v>NCBI Nucleotide</v>
      </c>
    </row>
    <row r="2100" spans="1:27" x14ac:dyDescent="0.35">
      <c r="A2100">
        <v>1002576</v>
      </c>
      <c r="B2100">
        <v>2076</v>
      </c>
      <c r="C2100">
        <v>1</v>
      </c>
      <c r="D2100" s="17" t="s">
        <v>155</v>
      </c>
      <c r="E2100" s="17"/>
      <c r="F2100" s="17" t="s">
        <v>156</v>
      </c>
      <c r="G2100" s="17"/>
      <c r="H2100" s="17" t="s">
        <v>692</v>
      </c>
      <c r="I2100" s="17"/>
      <c r="J2100" s="17" t="s">
        <v>693</v>
      </c>
      <c r="K2100" s="17"/>
      <c r="L2100" s="17"/>
      <c r="M2100" s="17"/>
      <c r="N2100" s="17" t="s">
        <v>9509</v>
      </c>
      <c r="O2100" s="17" t="s">
        <v>9624</v>
      </c>
      <c r="P2100" s="17" t="s">
        <v>9692</v>
      </c>
      <c r="Q2100" s="17"/>
      <c r="R2100" s="25" t="str">
        <f>HYPERLINK("https://ictv.global/taxonomy/taxondetails?taxnode_id=202314941","Kanagawavirus mime")</f>
        <v>Kanagawavirus mime</v>
      </c>
      <c r="S2100" s="18" t="s">
        <v>30</v>
      </c>
      <c r="T2100" s="18" t="s">
        <v>9697</v>
      </c>
      <c r="U2100" s="18"/>
      <c r="V2100" s="18"/>
      <c r="W2100" s="18" t="s">
        <v>9698</v>
      </c>
      <c r="X2100" s="18" t="s">
        <v>42</v>
      </c>
      <c r="Y2100" s="18" t="s">
        <v>36</v>
      </c>
      <c r="Z2100" s="18" t="s">
        <v>697</v>
      </c>
      <c r="AA2100" s="21" t="str">
        <f>HYPERLINK("https://www.ncbi.nlm.nih.gov/nuccore/OL989991","NCBI Nucleotide")</f>
        <v>NCBI Nucleotide</v>
      </c>
    </row>
    <row r="2101" spans="1:27" x14ac:dyDescent="0.35">
      <c r="A2101">
        <v>1002577</v>
      </c>
      <c r="B2101">
        <v>2077</v>
      </c>
      <c r="C2101">
        <v>1</v>
      </c>
      <c r="D2101" s="17" t="s">
        <v>155</v>
      </c>
      <c r="E2101" s="17"/>
      <c r="F2101" s="17" t="s">
        <v>156</v>
      </c>
      <c r="G2101" s="17"/>
      <c r="H2101" s="17" t="s">
        <v>692</v>
      </c>
      <c r="I2101" s="17"/>
      <c r="J2101" s="17" t="s">
        <v>693</v>
      </c>
      <c r="K2101" s="17"/>
      <c r="L2101" s="17"/>
      <c r="M2101" s="17"/>
      <c r="N2101" s="17" t="s">
        <v>9509</v>
      </c>
      <c r="O2101" s="17" t="s">
        <v>9624</v>
      </c>
      <c r="P2101" s="17" t="s">
        <v>9692</v>
      </c>
      <c r="Q2101" s="17"/>
      <c r="R2101" s="25" t="str">
        <f>HYPERLINK("https://ictv.global/taxonomy/taxondetails?taxnode_id=202310142","Kanagawavirus pei20")</f>
        <v>Kanagawavirus pei20</v>
      </c>
      <c r="S2101" s="18" t="s">
        <v>30</v>
      </c>
      <c r="T2101" s="18" t="s">
        <v>9699</v>
      </c>
      <c r="U2101" s="18"/>
      <c r="V2101" s="18"/>
      <c r="W2101" s="18" t="s">
        <v>9700</v>
      </c>
      <c r="X2101" s="18" t="s">
        <v>42</v>
      </c>
      <c r="Y2101" s="18" t="s">
        <v>36</v>
      </c>
      <c r="Z2101" s="18" t="s">
        <v>697</v>
      </c>
      <c r="AA2101" s="21" t="str">
        <f>HYPERLINK("https://www.ncbi.nlm.nih.gov/nuccore/AP014714","NCBI Nucleotide")</f>
        <v>NCBI Nucleotide</v>
      </c>
    </row>
    <row r="2102" spans="1:27" x14ac:dyDescent="0.35">
      <c r="A2102">
        <v>1002578</v>
      </c>
      <c r="B2102">
        <v>2078</v>
      </c>
      <c r="C2102">
        <v>1</v>
      </c>
      <c r="D2102" s="17" t="s">
        <v>155</v>
      </c>
      <c r="E2102" s="17"/>
      <c r="F2102" s="17" t="s">
        <v>156</v>
      </c>
      <c r="G2102" s="17"/>
      <c r="H2102" s="17" t="s">
        <v>692</v>
      </c>
      <c r="I2102" s="17"/>
      <c r="J2102" s="17" t="s">
        <v>693</v>
      </c>
      <c r="K2102" s="17"/>
      <c r="L2102" s="17"/>
      <c r="M2102" s="17"/>
      <c r="N2102" s="17" t="s">
        <v>9509</v>
      </c>
      <c r="O2102" s="17" t="s">
        <v>9624</v>
      </c>
      <c r="P2102" s="17" t="s">
        <v>9692</v>
      </c>
      <c r="Q2102" s="17"/>
      <c r="R2102" s="25" t="str">
        <f>HYPERLINK("https://ictv.global/taxonomy/taxondetails?taxnode_id=202314939","Kanagawavirus threeohfive")</f>
        <v>Kanagawavirus threeohfive</v>
      </c>
      <c r="S2102" s="18" t="s">
        <v>30</v>
      </c>
      <c r="T2102" s="18" t="s">
        <v>9701</v>
      </c>
      <c r="U2102" s="18"/>
      <c r="V2102" s="18"/>
      <c r="W2102" s="18" t="s">
        <v>9702</v>
      </c>
      <c r="X2102" s="18" t="s">
        <v>42</v>
      </c>
      <c r="Y2102" s="18" t="s">
        <v>36</v>
      </c>
      <c r="Z2102" s="18" t="s">
        <v>697</v>
      </c>
      <c r="AA2102" s="21" t="str">
        <f>HYPERLINK("https://www.ncbi.nlm.nih.gov/nuccore/MZ348423","NCBI Nucleotide")</f>
        <v>NCBI Nucleotide</v>
      </c>
    </row>
    <row r="2103" spans="1:27" x14ac:dyDescent="0.35">
      <c r="A2103">
        <v>1002579</v>
      </c>
      <c r="B2103">
        <v>2079</v>
      </c>
      <c r="C2103">
        <v>1</v>
      </c>
      <c r="D2103" s="17" t="s">
        <v>155</v>
      </c>
      <c r="E2103" s="17"/>
      <c r="F2103" s="17" t="s">
        <v>156</v>
      </c>
      <c r="G2103" s="17"/>
      <c r="H2103" s="17" t="s">
        <v>692</v>
      </c>
      <c r="I2103" s="17"/>
      <c r="J2103" s="17" t="s">
        <v>693</v>
      </c>
      <c r="K2103" s="17"/>
      <c r="L2103" s="17"/>
      <c r="M2103" s="17"/>
      <c r="N2103" s="17" t="s">
        <v>9509</v>
      </c>
      <c r="O2103" s="17" t="s">
        <v>9624</v>
      </c>
      <c r="P2103" s="17" t="s">
        <v>9703</v>
      </c>
      <c r="Q2103" s="17"/>
      <c r="R2103" s="25" t="str">
        <f>HYPERLINK("https://ictv.global/taxonomy/taxondetails?taxnode_id=202300281","Karamvirus cc31")</f>
        <v>Karamvirus cc31</v>
      </c>
      <c r="S2103" s="18" t="s">
        <v>30</v>
      </c>
      <c r="T2103" s="18" t="s">
        <v>9704</v>
      </c>
      <c r="U2103" s="18"/>
      <c r="V2103" s="18"/>
      <c r="W2103" s="18" t="s">
        <v>9705</v>
      </c>
      <c r="X2103" s="18" t="s">
        <v>42</v>
      </c>
      <c r="Y2103" s="18" t="s">
        <v>36</v>
      </c>
      <c r="Z2103" s="18" t="s">
        <v>697</v>
      </c>
      <c r="AA2103" s="21" t="str">
        <f>HYPERLINK("https://www.ncbi.nlm.nih.gov/nuccore/GU323318","NCBI Nucleotide")</f>
        <v>NCBI Nucleotide</v>
      </c>
    </row>
    <row r="2104" spans="1:27" x14ac:dyDescent="0.35">
      <c r="A2104">
        <v>1002580</v>
      </c>
      <c r="B2104">
        <v>2080</v>
      </c>
      <c r="C2104">
        <v>1</v>
      </c>
      <c r="D2104" s="17" t="s">
        <v>155</v>
      </c>
      <c r="E2104" s="17"/>
      <c r="F2104" s="17" t="s">
        <v>156</v>
      </c>
      <c r="G2104" s="17"/>
      <c r="H2104" s="17" t="s">
        <v>692</v>
      </c>
      <c r="I2104" s="17"/>
      <c r="J2104" s="17" t="s">
        <v>693</v>
      </c>
      <c r="K2104" s="17"/>
      <c r="L2104" s="17"/>
      <c r="M2104" s="17"/>
      <c r="N2104" s="17" t="s">
        <v>9509</v>
      </c>
      <c r="O2104" s="17" t="s">
        <v>9624</v>
      </c>
      <c r="P2104" s="17" t="s">
        <v>9703</v>
      </c>
      <c r="Q2104" s="17"/>
      <c r="R2104" s="25" t="str">
        <f>HYPERLINK("https://ictv.global/taxonomy/taxondetails?taxnode_id=202313702","Karamvirus mypsh1140")</f>
        <v>Karamvirus mypsh1140</v>
      </c>
      <c r="S2104" s="18" t="s">
        <v>30</v>
      </c>
      <c r="T2104" s="18" t="s">
        <v>9706</v>
      </c>
      <c r="U2104" s="18"/>
      <c r="V2104" s="18"/>
      <c r="W2104" s="18" t="s">
        <v>9707</v>
      </c>
      <c r="X2104" s="18" t="s">
        <v>42</v>
      </c>
      <c r="Y2104" s="18" t="s">
        <v>36</v>
      </c>
      <c r="Z2104" s="18" t="s">
        <v>697</v>
      </c>
      <c r="AA2104" s="21" t="str">
        <f>HYPERLINK("https://www.ncbi.nlm.nih.gov/nuccore/MG999954","NCBI Nucleotide")</f>
        <v>NCBI Nucleotide</v>
      </c>
    </row>
    <row r="2105" spans="1:27" x14ac:dyDescent="0.35">
      <c r="A2105">
        <v>1002581</v>
      </c>
      <c r="B2105">
        <v>2081</v>
      </c>
      <c r="C2105">
        <v>1</v>
      </c>
      <c r="D2105" s="17" t="s">
        <v>155</v>
      </c>
      <c r="E2105" s="17"/>
      <c r="F2105" s="17" t="s">
        <v>156</v>
      </c>
      <c r="G2105" s="17"/>
      <c r="H2105" s="17" t="s">
        <v>692</v>
      </c>
      <c r="I2105" s="17"/>
      <c r="J2105" s="17" t="s">
        <v>693</v>
      </c>
      <c r="K2105" s="17"/>
      <c r="L2105" s="17"/>
      <c r="M2105" s="17"/>
      <c r="N2105" s="17" t="s">
        <v>9509</v>
      </c>
      <c r="O2105" s="17" t="s">
        <v>9624</v>
      </c>
      <c r="P2105" s="17" t="s">
        <v>9703</v>
      </c>
      <c r="Q2105" s="17"/>
      <c r="R2105" s="25" t="str">
        <f>HYPERLINK("https://ictv.global/taxonomy/taxondetails?taxnode_id=202313701","Karamvirus petcm34")</f>
        <v>Karamvirus petcm34</v>
      </c>
      <c r="S2105" s="18" t="s">
        <v>30</v>
      </c>
      <c r="T2105" s="18" t="s">
        <v>9708</v>
      </c>
      <c r="U2105" s="18"/>
      <c r="V2105" s="18"/>
      <c r="W2105" s="18" t="s">
        <v>9709</v>
      </c>
      <c r="X2105" s="18" t="s">
        <v>42</v>
      </c>
      <c r="Y2105" s="18" t="s">
        <v>36</v>
      </c>
      <c r="Z2105" s="18" t="s">
        <v>697</v>
      </c>
      <c r="AA2105" s="21" t="str">
        <f>HYPERLINK("https://www.ncbi.nlm.nih.gov/nuccore/LT614807","NCBI Nucleotide")</f>
        <v>NCBI Nucleotide</v>
      </c>
    </row>
    <row r="2106" spans="1:27" x14ac:dyDescent="0.35">
      <c r="A2106">
        <v>1002582</v>
      </c>
      <c r="B2106">
        <v>2082</v>
      </c>
      <c r="C2106">
        <v>1</v>
      </c>
      <c r="D2106" s="17" t="s">
        <v>155</v>
      </c>
      <c r="E2106" s="17"/>
      <c r="F2106" s="17" t="s">
        <v>156</v>
      </c>
      <c r="G2106" s="17"/>
      <c r="H2106" s="17" t="s">
        <v>692</v>
      </c>
      <c r="I2106" s="17"/>
      <c r="J2106" s="17" t="s">
        <v>693</v>
      </c>
      <c r="K2106" s="17"/>
      <c r="L2106" s="17"/>
      <c r="M2106" s="17"/>
      <c r="N2106" s="17" t="s">
        <v>9509</v>
      </c>
      <c r="O2106" s="17" t="s">
        <v>9624</v>
      </c>
      <c r="P2106" s="17" t="s">
        <v>9703</v>
      </c>
      <c r="Q2106" s="17"/>
      <c r="R2106" s="25" t="str">
        <f>HYPERLINK("https://ictv.global/taxonomy/taxondetails?taxnode_id=202300280","Karamvirus pg7")</f>
        <v>Karamvirus pg7</v>
      </c>
      <c r="S2106" s="18" t="s">
        <v>30</v>
      </c>
      <c r="T2106" s="18" t="s">
        <v>9710</v>
      </c>
      <c r="U2106" s="18"/>
      <c r="V2106" s="18"/>
      <c r="W2106" s="18" t="s">
        <v>9711</v>
      </c>
      <c r="X2106" s="18" t="s">
        <v>42</v>
      </c>
      <c r="Y2106" s="18" t="s">
        <v>36</v>
      </c>
      <c r="Z2106" s="18" t="s">
        <v>697</v>
      </c>
      <c r="AA2106" s="21" t="str">
        <f>HYPERLINK("https://www.ncbi.nlm.nih.gov/nuccore/KJ101592","NCBI Nucleotide")</f>
        <v>NCBI Nucleotide</v>
      </c>
    </row>
    <row r="2107" spans="1:27" x14ac:dyDescent="0.35">
      <c r="A2107">
        <v>1002583</v>
      </c>
      <c r="B2107">
        <v>2083</v>
      </c>
      <c r="C2107">
        <v>1</v>
      </c>
      <c r="D2107" s="17" t="s">
        <v>155</v>
      </c>
      <c r="E2107" s="17"/>
      <c r="F2107" s="17" t="s">
        <v>156</v>
      </c>
      <c r="G2107" s="17"/>
      <c r="H2107" s="17" t="s">
        <v>692</v>
      </c>
      <c r="I2107" s="17"/>
      <c r="J2107" s="17" t="s">
        <v>693</v>
      </c>
      <c r="K2107" s="17"/>
      <c r="L2107" s="17"/>
      <c r="M2107" s="17"/>
      <c r="N2107" s="17" t="s">
        <v>9509</v>
      </c>
      <c r="O2107" s="17" t="s">
        <v>9624</v>
      </c>
      <c r="P2107" s="17" t="s">
        <v>9712</v>
      </c>
      <c r="Q2107" s="17"/>
      <c r="R2107" s="25" t="str">
        <f>HYPERLINK("https://ictv.global/taxonomy/taxondetails?taxnode_id=202307037","Moonvirus cf1")</f>
        <v>Moonvirus cf1</v>
      </c>
      <c r="S2107" s="18" t="s">
        <v>30</v>
      </c>
      <c r="T2107" s="18" t="s">
        <v>9713</v>
      </c>
      <c r="U2107" s="18"/>
      <c r="V2107" s="18"/>
      <c r="W2107" s="18" t="s">
        <v>9714</v>
      </c>
      <c r="X2107" s="18" t="s">
        <v>42</v>
      </c>
      <c r="Y2107" s="18" t="s">
        <v>36</v>
      </c>
      <c r="Z2107" s="18" t="s">
        <v>697</v>
      </c>
      <c r="AA2107" s="21" t="str">
        <f>HYPERLINK("https://www.ncbi.nlm.nih.gov/nuccore/MG250484","NCBI Nucleotide")</f>
        <v>NCBI Nucleotide</v>
      </c>
    </row>
    <row r="2108" spans="1:27" x14ac:dyDescent="0.35">
      <c r="A2108">
        <v>1002584</v>
      </c>
      <c r="B2108">
        <v>2084</v>
      </c>
      <c r="C2108">
        <v>1</v>
      </c>
      <c r="D2108" s="17" t="s">
        <v>155</v>
      </c>
      <c r="E2108" s="17"/>
      <c r="F2108" s="17" t="s">
        <v>156</v>
      </c>
      <c r="G2108" s="17"/>
      <c r="H2108" s="17" t="s">
        <v>692</v>
      </c>
      <c r="I2108" s="17"/>
      <c r="J2108" s="17" t="s">
        <v>693</v>
      </c>
      <c r="K2108" s="17"/>
      <c r="L2108" s="17"/>
      <c r="M2108" s="17"/>
      <c r="N2108" s="17" t="s">
        <v>9509</v>
      </c>
      <c r="O2108" s="17" t="s">
        <v>9624</v>
      </c>
      <c r="P2108" s="17" t="s">
        <v>9712</v>
      </c>
      <c r="Q2108" s="17"/>
      <c r="R2108" s="25" t="str">
        <f>HYPERLINK("https://ictv.global/taxonomy/taxondetails?taxnode_id=202314942","Moonvirus kayemsixteen")</f>
        <v>Moonvirus kayemsixteen</v>
      </c>
      <c r="S2108" s="18" t="s">
        <v>30</v>
      </c>
      <c r="T2108" s="18" t="s">
        <v>9715</v>
      </c>
      <c r="U2108" s="18"/>
      <c r="V2108" s="18"/>
      <c r="W2108" s="18" t="s">
        <v>9716</v>
      </c>
      <c r="X2108" s="18" t="s">
        <v>42</v>
      </c>
      <c r="Y2108" s="18" t="s">
        <v>36</v>
      </c>
      <c r="Z2108" s="18" t="s">
        <v>697</v>
      </c>
      <c r="AA2108" s="21" t="str">
        <f>HYPERLINK("https://www.ncbi.nlm.nih.gov/nuccore/MW325771","NCBI Nucleotide")</f>
        <v>NCBI Nucleotide</v>
      </c>
    </row>
    <row r="2109" spans="1:27" x14ac:dyDescent="0.35">
      <c r="A2109">
        <v>1002585</v>
      </c>
      <c r="B2109">
        <v>2085</v>
      </c>
      <c r="C2109">
        <v>1</v>
      </c>
      <c r="D2109" s="17" t="s">
        <v>155</v>
      </c>
      <c r="E2109" s="17"/>
      <c r="F2109" s="17" t="s">
        <v>156</v>
      </c>
      <c r="G2109" s="17"/>
      <c r="H2109" s="17" t="s">
        <v>692</v>
      </c>
      <c r="I2109" s="17"/>
      <c r="J2109" s="17" t="s">
        <v>693</v>
      </c>
      <c r="K2109" s="17"/>
      <c r="L2109" s="17"/>
      <c r="M2109" s="17"/>
      <c r="N2109" s="17" t="s">
        <v>9509</v>
      </c>
      <c r="O2109" s="17" t="s">
        <v>9624</v>
      </c>
      <c r="P2109" s="17" t="s">
        <v>9712</v>
      </c>
      <c r="Q2109" s="17"/>
      <c r="R2109" s="25" t="str">
        <f>HYPERLINK("https://ictv.global/taxonomy/taxondetails?taxnode_id=202300299","Moonvirus merlin")</f>
        <v>Moonvirus merlin</v>
      </c>
      <c r="S2109" s="18" t="s">
        <v>30</v>
      </c>
      <c r="T2109" s="18" t="s">
        <v>9717</v>
      </c>
      <c r="U2109" s="18"/>
      <c r="V2109" s="18"/>
      <c r="W2109" s="18" t="s">
        <v>9718</v>
      </c>
      <c r="X2109" s="18" t="s">
        <v>42</v>
      </c>
      <c r="Y2109" s="18" t="s">
        <v>36</v>
      </c>
      <c r="Z2109" s="18" t="s">
        <v>697</v>
      </c>
      <c r="AA2109" s="21" t="str">
        <f>HYPERLINK("https://www.ncbi.nlm.nih.gov/nuccore/KT001915","NCBI Nucleotide")</f>
        <v>NCBI Nucleotide</v>
      </c>
    </row>
    <row r="2110" spans="1:27" x14ac:dyDescent="0.35">
      <c r="A2110">
        <v>1002586</v>
      </c>
      <c r="B2110">
        <v>2086</v>
      </c>
      <c r="C2110">
        <v>1</v>
      </c>
      <c r="D2110" s="17" t="s">
        <v>155</v>
      </c>
      <c r="E2110" s="17"/>
      <c r="F2110" s="17" t="s">
        <v>156</v>
      </c>
      <c r="G2110" s="17"/>
      <c r="H2110" s="17" t="s">
        <v>692</v>
      </c>
      <c r="I2110" s="17"/>
      <c r="J2110" s="17" t="s">
        <v>693</v>
      </c>
      <c r="K2110" s="17"/>
      <c r="L2110" s="17"/>
      <c r="M2110" s="17"/>
      <c r="N2110" s="17" t="s">
        <v>9509</v>
      </c>
      <c r="O2110" s="17" t="s">
        <v>9624</v>
      </c>
      <c r="P2110" s="17" t="s">
        <v>9712</v>
      </c>
      <c r="Q2110" s="17"/>
      <c r="R2110" s="25" t="str">
        <f>HYPERLINK("https://ictv.global/taxonomy/taxondetails?taxnode_id=202300300","Moonvirus moon")</f>
        <v>Moonvirus moon</v>
      </c>
      <c r="S2110" s="18" t="s">
        <v>30</v>
      </c>
      <c r="T2110" s="18" t="s">
        <v>9719</v>
      </c>
      <c r="U2110" s="18"/>
      <c r="V2110" s="18"/>
      <c r="W2110" s="18" t="s">
        <v>9720</v>
      </c>
      <c r="X2110" s="18" t="s">
        <v>42</v>
      </c>
      <c r="Y2110" s="18" t="s">
        <v>36</v>
      </c>
      <c r="Z2110" s="18" t="s">
        <v>697</v>
      </c>
      <c r="AA2110" s="21" t="str">
        <f>HYPERLINK("https://www.ncbi.nlm.nih.gov/nuccore/KM236240","NCBI Nucleotide")</f>
        <v>NCBI Nucleotide</v>
      </c>
    </row>
    <row r="2111" spans="1:27" x14ac:dyDescent="0.35">
      <c r="A2111">
        <v>1002587</v>
      </c>
      <c r="B2111">
        <v>2087</v>
      </c>
      <c r="C2111">
        <v>1</v>
      </c>
      <c r="D2111" s="17" t="s">
        <v>155</v>
      </c>
      <c r="E2111" s="17"/>
      <c r="F2111" s="17" t="s">
        <v>156</v>
      </c>
      <c r="G2111" s="17"/>
      <c r="H2111" s="17" t="s">
        <v>692</v>
      </c>
      <c r="I2111" s="17"/>
      <c r="J2111" s="17" t="s">
        <v>693</v>
      </c>
      <c r="K2111" s="17"/>
      <c r="L2111" s="17"/>
      <c r="M2111" s="17"/>
      <c r="N2111" s="17" t="s">
        <v>9509</v>
      </c>
      <c r="O2111" s="17" t="s">
        <v>9624</v>
      </c>
      <c r="P2111" s="17" t="s">
        <v>9721</v>
      </c>
      <c r="Q2111" s="17"/>
      <c r="R2111" s="25" t="str">
        <f>HYPERLINK("https://ictv.global/taxonomy/taxondetails?taxnode_id=202307045","Mosigvirus 0157tp3")</f>
        <v>Mosigvirus 0157tp3</v>
      </c>
      <c r="S2111" s="18" t="s">
        <v>30</v>
      </c>
      <c r="T2111" s="18" t="s">
        <v>9722</v>
      </c>
      <c r="U2111" s="18"/>
      <c r="V2111" s="18"/>
      <c r="W2111" s="18" t="s">
        <v>9723</v>
      </c>
      <c r="X2111" s="18" t="s">
        <v>42</v>
      </c>
      <c r="Y2111" s="18" t="s">
        <v>36</v>
      </c>
      <c r="Z2111" s="18" t="s">
        <v>697</v>
      </c>
      <c r="AA2111" s="21" t="str">
        <f>HYPERLINK("https://www.ncbi.nlm.nih.gov/nuccore/KP869101","NCBI Nucleotide")</f>
        <v>NCBI Nucleotide</v>
      </c>
    </row>
    <row r="2112" spans="1:27" x14ac:dyDescent="0.35">
      <c r="A2112">
        <v>1002588</v>
      </c>
      <c r="B2112">
        <v>2088</v>
      </c>
      <c r="C2112">
        <v>1</v>
      </c>
      <c r="D2112" s="17" t="s">
        <v>155</v>
      </c>
      <c r="E2112" s="17"/>
      <c r="F2112" s="17" t="s">
        <v>156</v>
      </c>
      <c r="G2112" s="17"/>
      <c r="H2112" s="17" t="s">
        <v>692</v>
      </c>
      <c r="I2112" s="17"/>
      <c r="J2112" s="17" t="s">
        <v>693</v>
      </c>
      <c r="K2112" s="17"/>
      <c r="L2112" s="17"/>
      <c r="M2112" s="17"/>
      <c r="N2112" s="17" t="s">
        <v>9509</v>
      </c>
      <c r="O2112" s="17" t="s">
        <v>9624</v>
      </c>
      <c r="P2112" s="17" t="s">
        <v>9721</v>
      </c>
      <c r="Q2112" s="17"/>
      <c r="R2112" s="25" t="str">
        <f>HYPERLINK("https://ictv.global/taxonomy/taxondetails?taxnode_id=202313706","Mosigvirus 25307")</f>
        <v>Mosigvirus 25307</v>
      </c>
      <c r="S2112" s="18" t="s">
        <v>30</v>
      </c>
      <c r="T2112" s="18" t="s">
        <v>9724</v>
      </c>
      <c r="U2112" s="18"/>
      <c r="V2112" s="18"/>
      <c r="W2112" s="18" t="s">
        <v>9725</v>
      </c>
      <c r="X2112" s="18" t="s">
        <v>42</v>
      </c>
      <c r="Y2112" s="18" t="s">
        <v>36</v>
      </c>
      <c r="Z2112" s="18" t="s">
        <v>697</v>
      </c>
      <c r="AA2112" s="21" t="str">
        <f>HYPERLINK("https://www.ncbi.nlm.nih.gov/nuccore/MG589383","NCBI Nucleotide")</f>
        <v>NCBI Nucleotide</v>
      </c>
    </row>
    <row r="2113" spans="1:27" x14ac:dyDescent="0.35">
      <c r="A2113">
        <v>1002589</v>
      </c>
      <c r="B2113">
        <v>2089</v>
      </c>
      <c r="C2113">
        <v>1</v>
      </c>
      <c r="D2113" s="17" t="s">
        <v>155</v>
      </c>
      <c r="E2113" s="17"/>
      <c r="F2113" s="17" t="s">
        <v>156</v>
      </c>
      <c r="G2113" s="17"/>
      <c r="H2113" s="17" t="s">
        <v>692</v>
      </c>
      <c r="I2113" s="17"/>
      <c r="J2113" s="17" t="s">
        <v>693</v>
      </c>
      <c r="K2113" s="17"/>
      <c r="L2113" s="17"/>
      <c r="M2113" s="17"/>
      <c r="N2113" s="17" t="s">
        <v>9509</v>
      </c>
      <c r="O2113" s="17" t="s">
        <v>9624</v>
      </c>
      <c r="P2113" s="17" t="s">
        <v>9721</v>
      </c>
      <c r="Q2113" s="17"/>
      <c r="R2113" s="25" t="str">
        <f>HYPERLINK("https://ictv.global/taxonomy/taxondetails?taxnode_id=202313704","Mosigvirus atk47")</f>
        <v>Mosigvirus atk47</v>
      </c>
      <c r="S2113" s="18" t="s">
        <v>30</v>
      </c>
      <c r="T2113" s="18" t="s">
        <v>9726</v>
      </c>
      <c r="U2113" s="18"/>
      <c r="V2113" s="18"/>
      <c r="W2113" s="18" t="s">
        <v>9727</v>
      </c>
      <c r="X2113" s="18" t="s">
        <v>42</v>
      </c>
      <c r="Y2113" s="18" t="s">
        <v>36</v>
      </c>
      <c r="Z2113" s="18" t="s">
        <v>697</v>
      </c>
      <c r="AA2113" s="21" t="str">
        <f>HYPERLINK("https://www.ncbi.nlm.nih.gov/nuccore/KT184309","NCBI Nucleotide")</f>
        <v>NCBI Nucleotide</v>
      </c>
    </row>
    <row r="2114" spans="1:27" x14ac:dyDescent="0.35">
      <c r="A2114">
        <v>1002590</v>
      </c>
      <c r="B2114">
        <v>2090</v>
      </c>
      <c r="C2114">
        <v>1</v>
      </c>
      <c r="D2114" s="17" t="s">
        <v>155</v>
      </c>
      <c r="E2114" s="17"/>
      <c r="F2114" s="17" t="s">
        <v>156</v>
      </c>
      <c r="G2114" s="17"/>
      <c r="H2114" s="17" t="s">
        <v>692</v>
      </c>
      <c r="I2114" s="17"/>
      <c r="J2114" s="17" t="s">
        <v>693</v>
      </c>
      <c r="K2114" s="17"/>
      <c r="L2114" s="17"/>
      <c r="M2114" s="17"/>
      <c r="N2114" s="17" t="s">
        <v>9509</v>
      </c>
      <c r="O2114" s="17" t="s">
        <v>9624</v>
      </c>
      <c r="P2114" s="17" t="s">
        <v>9721</v>
      </c>
      <c r="Q2114" s="17"/>
      <c r="R2114" s="25" t="str">
        <f>HYPERLINK("https://ictv.global/taxonomy/taxondetails?taxnode_id=202313705","Mosigvirus c120")</f>
        <v>Mosigvirus c120</v>
      </c>
      <c r="S2114" s="18" t="s">
        <v>30</v>
      </c>
      <c r="T2114" s="18" t="s">
        <v>9728</v>
      </c>
      <c r="U2114" s="18"/>
      <c r="V2114" s="18"/>
      <c r="W2114" s="18" t="s">
        <v>9729</v>
      </c>
      <c r="X2114" s="18" t="s">
        <v>42</v>
      </c>
      <c r="Y2114" s="18" t="s">
        <v>36</v>
      </c>
      <c r="Z2114" s="18" t="s">
        <v>697</v>
      </c>
      <c r="AA2114" s="21" t="str">
        <f>HYPERLINK("https://www.ncbi.nlm.nih.gov/nuccore/KY703222","NCBI Nucleotide")</f>
        <v>NCBI Nucleotide</v>
      </c>
    </row>
    <row r="2115" spans="1:27" x14ac:dyDescent="0.35">
      <c r="A2115">
        <v>1002591</v>
      </c>
      <c r="B2115">
        <v>2091</v>
      </c>
      <c r="C2115">
        <v>1</v>
      </c>
      <c r="D2115" s="17" t="s">
        <v>155</v>
      </c>
      <c r="E2115" s="17"/>
      <c r="F2115" s="17" t="s">
        <v>156</v>
      </c>
      <c r="G2115" s="17"/>
      <c r="H2115" s="17" t="s">
        <v>692</v>
      </c>
      <c r="I2115" s="17"/>
      <c r="J2115" s="17" t="s">
        <v>693</v>
      </c>
      <c r="K2115" s="17"/>
      <c r="L2115" s="17"/>
      <c r="M2115" s="17"/>
      <c r="N2115" s="17" t="s">
        <v>9509</v>
      </c>
      <c r="O2115" s="17" t="s">
        <v>9624</v>
      </c>
      <c r="P2115" s="17" t="s">
        <v>9721</v>
      </c>
      <c r="Q2115" s="17"/>
      <c r="R2115" s="25" t="str">
        <f>HYPERLINK("https://ictv.global/taxonomy/taxondetails?taxnode_id=202300306","Mosigvirus HX01")</f>
        <v>Mosigvirus HX01</v>
      </c>
      <c r="S2115" s="18" t="s">
        <v>30</v>
      </c>
      <c r="T2115" s="18" t="s">
        <v>9730</v>
      </c>
      <c r="U2115" s="18"/>
      <c r="V2115" s="18"/>
      <c r="W2115" s="18" t="s">
        <v>9731</v>
      </c>
      <c r="X2115" s="18" t="s">
        <v>42</v>
      </c>
      <c r="Y2115" s="18" t="s">
        <v>36</v>
      </c>
      <c r="Z2115" s="18" t="s">
        <v>697</v>
      </c>
      <c r="AA2115" s="21" t="str">
        <f>HYPERLINK("https://www.ncbi.nlm.nih.gov/nuccore/JX536493","NCBI Nucleotide")</f>
        <v>NCBI Nucleotide</v>
      </c>
    </row>
    <row r="2116" spans="1:27" x14ac:dyDescent="0.35">
      <c r="A2116">
        <v>1002592</v>
      </c>
      <c r="B2116">
        <v>2092</v>
      </c>
      <c r="C2116">
        <v>1</v>
      </c>
      <c r="D2116" s="17" t="s">
        <v>155</v>
      </c>
      <c r="E2116" s="17"/>
      <c r="F2116" s="17" t="s">
        <v>156</v>
      </c>
      <c r="G2116" s="17"/>
      <c r="H2116" s="17" t="s">
        <v>692</v>
      </c>
      <c r="I2116" s="17"/>
      <c r="J2116" s="17" t="s">
        <v>693</v>
      </c>
      <c r="K2116" s="17"/>
      <c r="L2116" s="17"/>
      <c r="M2116" s="17"/>
      <c r="N2116" s="17" t="s">
        <v>9509</v>
      </c>
      <c r="O2116" s="17" t="s">
        <v>9624</v>
      </c>
      <c r="P2116" s="17" t="s">
        <v>9721</v>
      </c>
      <c r="Q2116" s="17"/>
      <c r="R2116" s="25" t="str">
        <f>HYPERLINK("https://ictv.global/taxonomy/taxondetails?taxnode_id=202300307","Mosigvirus JS09")</f>
        <v>Mosigvirus JS09</v>
      </c>
      <c r="S2116" s="18" t="s">
        <v>30</v>
      </c>
      <c r="T2116" s="18" t="s">
        <v>9732</v>
      </c>
      <c r="U2116" s="18"/>
      <c r="V2116" s="18"/>
      <c r="W2116" s="18" t="s">
        <v>9733</v>
      </c>
      <c r="X2116" s="18" t="s">
        <v>42</v>
      </c>
      <c r="Y2116" s="18" t="s">
        <v>36</v>
      </c>
      <c r="Z2116" s="18" t="s">
        <v>697</v>
      </c>
      <c r="AA2116" s="21" t="str">
        <f>HYPERLINK("https://www.ncbi.nlm.nih.gov/nuccore/KF582788","NCBI Nucleotide")</f>
        <v>NCBI Nucleotide</v>
      </c>
    </row>
    <row r="2117" spans="1:27" x14ac:dyDescent="0.35">
      <c r="A2117">
        <v>1002593</v>
      </c>
      <c r="B2117">
        <v>2093</v>
      </c>
      <c r="C2117">
        <v>1</v>
      </c>
      <c r="D2117" s="17" t="s">
        <v>155</v>
      </c>
      <c r="E2117" s="17"/>
      <c r="F2117" s="17" t="s">
        <v>156</v>
      </c>
      <c r="G2117" s="17"/>
      <c r="H2117" s="17" t="s">
        <v>692</v>
      </c>
      <c r="I2117" s="17"/>
      <c r="J2117" s="17" t="s">
        <v>693</v>
      </c>
      <c r="K2117" s="17"/>
      <c r="L2117" s="17"/>
      <c r="M2117" s="17"/>
      <c r="N2117" s="17" t="s">
        <v>9509</v>
      </c>
      <c r="O2117" s="17" t="s">
        <v>9624</v>
      </c>
      <c r="P2117" s="17" t="s">
        <v>9721</v>
      </c>
      <c r="Q2117" s="17"/>
      <c r="R2117" s="25" t="str">
        <f>HYPERLINK("https://ictv.global/taxonomy/taxondetails?taxnode_id=202307042","Mosigvirus mar005p1")</f>
        <v>Mosigvirus mar005p1</v>
      </c>
      <c r="S2117" s="18" t="s">
        <v>30</v>
      </c>
      <c r="T2117" s="18" t="s">
        <v>9734</v>
      </c>
      <c r="U2117" s="18"/>
      <c r="V2117" s="18"/>
      <c r="W2117" s="18" t="s">
        <v>9735</v>
      </c>
      <c r="X2117" s="18" t="s">
        <v>42</v>
      </c>
      <c r="Y2117" s="18" t="s">
        <v>36</v>
      </c>
      <c r="Z2117" s="18" t="s">
        <v>697</v>
      </c>
      <c r="AA2117" s="21" t="str">
        <f>HYPERLINK("https://www.ncbi.nlm.nih.gov/nuccore/KR422352","NCBI Nucleotide")</f>
        <v>NCBI Nucleotide</v>
      </c>
    </row>
    <row r="2118" spans="1:27" x14ac:dyDescent="0.35">
      <c r="A2118">
        <v>1002594</v>
      </c>
      <c r="B2118">
        <v>2094</v>
      </c>
      <c r="C2118">
        <v>1</v>
      </c>
      <c r="D2118" s="17" t="s">
        <v>155</v>
      </c>
      <c r="E2118" s="17"/>
      <c r="F2118" s="17" t="s">
        <v>156</v>
      </c>
      <c r="G2118" s="17"/>
      <c r="H2118" s="17" t="s">
        <v>692</v>
      </c>
      <c r="I2118" s="17"/>
      <c r="J2118" s="17" t="s">
        <v>693</v>
      </c>
      <c r="K2118" s="17"/>
      <c r="L2118" s="17"/>
      <c r="M2118" s="17"/>
      <c r="N2118" s="17" t="s">
        <v>9509</v>
      </c>
      <c r="O2118" s="17" t="s">
        <v>9624</v>
      </c>
      <c r="P2118" s="17" t="s">
        <v>9721</v>
      </c>
      <c r="Q2118" s="17"/>
      <c r="R2118" s="25" t="str">
        <f>HYPERLINK("https://ictv.global/taxonomy/taxondetails?taxnode_id=202313708","Mosigvirus p000v")</f>
        <v>Mosigvirus p000v</v>
      </c>
      <c r="S2118" s="18" t="s">
        <v>30</v>
      </c>
      <c r="T2118" s="18" t="s">
        <v>9736</v>
      </c>
      <c r="U2118" s="18"/>
      <c r="V2118" s="18"/>
      <c r="W2118" s="18" t="s">
        <v>9737</v>
      </c>
      <c r="X2118" s="18" t="s">
        <v>42</v>
      </c>
      <c r="Y2118" s="18" t="s">
        <v>36</v>
      </c>
      <c r="Z2118" s="18" t="s">
        <v>697</v>
      </c>
      <c r="AA2118" s="21" t="str">
        <f>HYPERLINK("https://www.ncbi.nlm.nih.gov/nuccore/MK047717","NCBI Nucleotide")</f>
        <v>NCBI Nucleotide</v>
      </c>
    </row>
    <row r="2119" spans="1:27" x14ac:dyDescent="0.35">
      <c r="A2119">
        <v>1002595</v>
      </c>
      <c r="B2119">
        <v>2095</v>
      </c>
      <c r="C2119">
        <v>1</v>
      </c>
      <c r="D2119" s="17" t="s">
        <v>155</v>
      </c>
      <c r="E2119" s="17"/>
      <c r="F2119" s="17" t="s">
        <v>156</v>
      </c>
      <c r="G2119" s="17"/>
      <c r="H2119" s="17" t="s">
        <v>692</v>
      </c>
      <c r="I2119" s="17"/>
      <c r="J2119" s="17" t="s">
        <v>693</v>
      </c>
      <c r="K2119" s="17"/>
      <c r="L2119" s="17"/>
      <c r="M2119" s="17"/>
      <c r="N2119" s="17" t="s">
        <v>9509</v>
      </c>
      <c r="O2119" s="17" t="s">
        <v>9624</v>
      </c>
      <c r="P2119" s="17" t="s">
        <v>9721</v>
      </c>
      <c r="Q2119" s="17"/>
      <c r="R2119" s="25" t="str">
        <f>HYPERLINK("https://ictv.global/taxonomy/taxondetails?taxnode_id=202307040","Mosigvirus phapec2")</f>
        <v>Mosigvirus phapec2</v>
      </c>
      <c r="S2119" s="18" t="s">
        <v>30</v>
      </c>
      <c r="T2119" s="18" t="s">
        <v>9738</v>
      </c>
      <c r="U2119" s="18"/>
      <c r="V2119" s="18"/>
      <c r="W2119" s="18" t="s">
        <v>9739</v>
      </c>
      <c r="X2119" s="18" t="s">
        <v>42</v>
      </c>
      <c r="Y2119" s="18" t="s">
        <v>36</v>
      </c>
      <c r="Z2119" s="18" t="s">
        <v>697</v>
      </c>
      <c r="AA2119" s="21" t="str">
        <f>HYPERLINK("https://www.ncbi.nlm.nih.gov/nuccore/KF562341","NCBI Nucleotide")</f>
        <v>NCBI Nucleotide</v>
      </c>
    </row>
    <row r="2120" spans="1:27" x14ac:dyDescent="0.35">
      <c r="A2120">
        <v>1002596</v>
      </c>
      <c r="B2120">
        <v>2096</v>
      </c>
      <c r="C2120">
        <v>1</v>
      </c>
      <c r="D2120" s="17" t="s">
        <v>155</v>
      </c>
      <c r="E2120" s="17"/>
      <c r="F2120" s="17" t="s">
        <v>156</v>
      </c>
      <c r="G2120" s="17"/>
      <c r="H2120" s="17" t="s">
        <v>692</v>
      </c>
      <c r="I2120" s="17"/>
      <c r="J2120" s="17" t="s">
        <v>693</v>
      </c>
      <c r="K2120" s="17"/>
      <c r="L2120" s="17"/>
      <c r="M2120" s="17"/>
      <c r="N2120" s="17" t="s">
        <v>9509</v>
      </c>
      <c r="O2120" s="17" t="s">
        <v>9624</v>
      </c>
      <c r="P2120" s="17" t="s">
        <v>9721</v>
      </c>
      <c r="Q2120" s="17"/>
      <c r="R2120" s="25" t="str">
        <f>HYPERLINK("https://ictv.global/taxonomy/taxondetails?taxnode_id=202300308","Mosigvirus RB69")</f>
        <v>Mosigvirus RB69</v>
      </c>
      <c r="S2120" s="18" t="s">
        <v>30</v>
      </c>
      <c r="T2120" s="18" t="s">
        <v>9740</v>
      </c>
      <c r="U2120" s="18"/>
      <c r="V2120" s="18"/>
      <c r="W2120" s="18" t="s">
        <v>9741</v>
      </c>
      <c r="X2120" s="18" t="s">
        <v>42</v>
      </c>
      <c r="Y2120" s="18" t="s">
        <v>36</v>
      </c>
      <c r="Z2120" s="18" t="s">
        <v>697</v>
      </c>
      <c r="AA2120" s="21" t="str">
        <f>HYPERLINK("https://www.ncbi.nlm.nih.gov/nuccore/AY303349","NCBI Nucleotide")</f>
        <v>NCBI Nucleotide</v>
      </c>
    </row>
    <row r="2121" spans="1:27" x14ac:dyDescent="0.35">
      <c r="A2121">
        <v>1002597</v>
      </c>
      <c r="B2121">
        <v>2097</v>
      </c>
      <c r="C2121">
        <v>1</v>
      </c>
      <c r="D2121" s="17" t="s">
        <v>155</v>
      </c>
      <c r="E2121" s="17"/>
      <c r="F2121" s="17" t="s">
        <v>156</v>
      </c>
      <c r="G2121" s="17"/>
      <c r="H2121" s="17" t="s">
        <v>692</v>
      </c>
      <c r="I2121" s="17"/>
      <c r="J2121" s="17" t="s">
        <v>693</v>
      </c>
      <c r="K2121" s="17"/>
      <c r="L2121" s="17"/>
      <c r="M2121" s="17"/>
      <c r="N2121" s="17" t="s">
        <v>9509</v>
      </c>
      <c r="O2121" s="17" t="s">
        <v>9624</v>
      </c>
      <c r="P2121" s="17" t="s">
        <v>9721</v>
      </c>
      <c r="Q2121" s="17"/>
      <c r="R2121" s="25" t="str">
        <f>HYPERLINK("https://ictv.global/taxonomy/taxondetails?taxnode_id=202313707","Mosigvirus sf")</f>
        <v>Mosigvirus sf</v>
      </c>
      <c r="S2121" s="18" t="s">
        <v>30</v>
      </c>
      <c r="T2121" s="18" t="s">
        <v>9742</v>
      </c>
      <c r="U2121" s="18"/>
      <c r="V2121" s="18"/>
      <c r="W2121" s="18" t="s">
        <v>9743</v>
      </c>
      <c r="X2121" s="18" t="s">
        <v>42</v>
      </c>
      <c r="Y2121" s="18" t="s">
        <v>36</v>
      </c>
      <c r="Z2121" s="18" t="s">
        <v>697</v>
      </c>
      <c r="AA2121" s="21" t="str">
        <f>HYPERLINK("https://www.ncbi.nlm.nih.gov/nuccore/MH359124","NCBI Nucleotide")</f>
        <v>NCBI Nucleotide</v>
      </c>
    </row>
    <row r="2122" spans="1:27" x14ac:dyDescent="0.35">
      <c r="A2122">
        <v>1002598</v>
      </c>
      <c r="B2122">
        <v>2098</v>
      </c>
      <c r="C2122">
        <v>1</v>
      </c>
      <c r="D2122" s="17" t="s">
        <v>155</v>
      </c>
      <c r="E2122" s="17"/>
      <c r="F2122" s="17" t="s">
        <v>156</v>
      </c>
      <c r="G2122" s="17"/>
      <c r="H2122" s="17" t="s">
        <v>692</v>
      </c>
      <c r="I2122" s="17"/>
      <c r="J2122" s="17" t="s">
        <v>693</v>
      </c>
      <c r="K2122" s="17"/>
      <c r="L2122" s="17"/>
      <c r="M2122" s="17"/>
      <c r="N2122" s="17" t="s">
        <v>9509</v>
      </c>
      <c r="O2122" s="17" t="s">
        <v>9624</v>
      </c>
      <c r="P2122" s="17" t="s">
        <v>9721</v>
      </c>
      <c r="Q2122" s="17"/>
      <c r="R2122" s="25" t="str">
        <f>HYPERLINK("https://ictv.global/taxonomy/taxondetails?taxnode_id=202307044","Mosigvirus shsm521")</f>
        <v>Mosigvirus shsm521</v>
      </c>
      <c r="S2122" s="18" t="s">
        <v>30</v>
      </c>
      <c r="T2122" s="18" t="s">
        <v>9744</v>
      </c>
      <c r="U2122" s="18"/>
      <c r="V2122" s="18"/>
      <c r="W2122" s="18" t="s">
        <v>9745</v>
      </c>
      <c r="X2122" s="18" t="s">
        <v>42</v>
      </c>
      <c r="Y2122" s="18" t="s">
        <v>36</v>
      </c>
      <c r="Z2122" s="18" t="s">
        <v>697</v>
      </c>
      <c r="AA2122" s="21" t="str">
        <f>HYPERLINK("https://www.ncbi.nlm.nih.gov/nuccore/KX130865","NCBI Nucleotide")</f>
        <v>NCBI Nucleotide</v>
      </c>
    </row>
    <row r="2123" spans="1:27" x14ac:dyDescent="0.35">
      <c r="A2123">
        <v>1002599</v>
      </c>
      <c r="B2123">
        <v>2099</v>
      </c>
      <c r="C2123">
        <v>1</v>
      </c>
      <c r="D2123" s="17" t="s">
        <v>155</v>
      </c>
      <c r="E2123" s="17"/>
      <c r="F2123" s="17" t="s">
        <v>156</v>
      </c>
      <c r="G2123" s="17"/>
      <c r="H2123" s="17" t="s">
        <v>692</v>
      </c>
      <c r="I2123" s="17"/>
      <c r="J2123" s="17" t="s">
        <v>693</v>
      </c>
      <c r="K2123" s="17"/>
      <c r="L2123" s="17"/>
      <c r="M2123" s="17"/>
      <c r="N2123" s="17" t="s">
        <v>9509</v>
      </c>
      <c r="O2123" s="17" t="s">
        <v>9624</v>
      </c>
      <c r="P2123" s="17" t="s">
        <v>9721</v>
      </c>
      <c r="Q2123" s="17"/>
      <c r="R2123" s="25" t="str">
        <f>HYPERLINK("https://ictv.global/taxonomy/taxondetails?taxnode_id=202300309","Mosigvirus utam")</f>
        <v>Mosigvirus utam</v>
      </c>
      <c r="S2123" s="18" t="s">
        <v>30</v>
      </c>
      <c r="T2123" s="18" t="s">
        <v>9746</v>
      </c>
      <c r="U2123" s="18"/>
      <c r="V2123" s="18"/>
      <c r="W2123" s="18" t="s">
        <v>9747</v>
      </c>
      <c r="X2123" s="18" t="s">
        <v>42</v>
      </c>
      <c r="Y2123" s="18" t="s">
        <v>36</v>
      </c>
      <c r="Z2123" s="18" t="s">
        <v>697</v>
      </c>
      <c r="AA2123" s="21" t="str">
        <f>HYPERLINK("https://www.ncbi.nlm.nih.gov/nuccore/KM407600","NCBI Nucleotide")</f>
        <v>NCBI Nucleotide</v>
      </c>
    </row>
    <row r="2124" spans="1:27" x14ac:dyDescent="0.35">
      <c r="A2124">
        <v>1002600</v>
      </c>
      <c r="B2124">
        <v>2100</v>
      </c>
      <c r="C2124">
        <v>1</v>
      </c>
      <c r="D2124" s="17" t="s">
        <v>155</v>
      </c>
      <c r="E2124" s="17"/>
      <c r="F2124" s="17" t="s">
        <v>156</v>
      </c>
      <c r="G2124" s="17"/>
      <c r="H2124" s="17" t="s">
        <v>692</v>
      </c>
      <c r="I2124" s="17"/>
      <c r="J2124" s="17" t="s">
        <v>693</v>
      </c>
      <c r="K2124" s="17"/>
      <c r="L2124" s="17"/>
      <c r="M2124" s="17"/>
      <c r="N2124" s="17" t="s">
        <v>9509</v>
      </c>
      <c r="O2124" s="17" t="s">
        <v>9624</v>
      </c>
      <c r="P2124" s="17" t="s">
        <v>9748</v>
      </c>
      <c r="Q2124" s="17"/>
      <c r="R2124" s="25" t="str">
        <f>HYPERLINK("https://ictv.global/taxonomy/taxondetails?taxnode_id=202313690","Mosugukvirus pm2")</f>
        <v>Mosugukvirus pm2</v>
      </c>
      <c r="S2124" s="18" t="s">
        <v>30</v>
      </c>
      <c r="T2124" s="18" t="s">
        <v>9749</v>
      </c>
      <c r="U2124" s="18"/>
      <c r="V2124" s="18"/>
      <c r="W2124" s="18" t="s">
        <v>9750</v>
      </c>
      <c r="X2124" s="18" t="s">
        <v>42</v>
      </c>
      <c r="Y2124" s="18" t="s">
        <v>36</v>
      </c>
      <c r="Z2124" s="18" t="s">
        <v>697</v>
      </c>
      <c r="AA2124" s="21" t="str">
        <f>HYPERLINK("https://www.ncbi.nlm.nih.gov/nuccore/KF835987","NCBI Nucleotide")</f>
        <v>NCBI Nucleotide</v>
      </c>
    </row>
    <row r="2125" spans="1:27" x14ac:dyDescent="0.35">
      <c r="A2125">
        <v>1002601</v>
      </c>
      <c r="B2125">
        <v>2101</v>
      </c>
      <c r="C2125">
        <v>1</v>
      </c>
      <c r="D2125" s="17" t="s">
        <v>155</v>
      </c>
      <c r="E2125" s="17"/>
      <c r="F2125" s="17" t="s">
        <v>156</v>
      </c>
      <c r="G2125" s="17"/>
      <c r="H2125" s="17" t="s">
        <v>692</v>
      </c>
      <c r="I2125" s="17"/>
      <c r="J2125" s="17" t="s">
        <v>693</v>
      </c>
      <c r="K2125" s="17"/>
      <c r="L2125" s="17"/>
      <c r="M2125" s="17"/>
      <c r="N2125" s="17" t="s">
        <v>9509</v>
      </c>
      <c r="O2125" s="17" t="s">
        <v>9624</v>
      </c>
      <c r="P2125" s="17" t="s">
        <v>9751</v>
      </c>
      <c r="Q2125" s="17"/>
      <c r="R2125" s="25" t="str">
        <f>HYPERLINK("https://ictv.global/taxonomy/taxondetails?taxnode_id=202313696","Roskildevirus cronus")</f>
        <v>Roskildevirus cronus</v>
      </c>
      <c r="S2125" s="18" t="s">
        <v>30</v>
      </c>
      <c r="T2125" s="18" t="s">
        <v>9752</v>
      </c>
      <c r="U2125" s="18"/>
      <c r="V2125" s="18"/>
      <c r="W2125" s="18" t="s">
        <v>9753</v>
      </c>
      <c r="X2125" s="18" t="s">
        <v>42</v>
      </c>
      <c r="Y2125" s="18" t="s">
        <v>36</v>
      </c>
      <c r="Z2125" s="18" t="s">
        <v>697</v>
      </c>
      <c r="AA2125" s="21" t="str">
        <f>HYPERLINK("https://www.ncbi.nlm.nih.gov/nuccore/MH059636","NCBI Nucleotide")</f>
        <v>NCBI Nucleotide</v>
      </c>
    </row>
    <row r="2126" spans="1:27" x14ac:dyDescent="0.35">
      <c r="A2126">
        <v>1002602</v>
      </c>
      <c r="B2126">
        <v>2102</v>
      </c>
      <c r="C2126">
        <v>1</v>
      </c>
      <c r="D2126" s="17" t="s">
        <v>155</v>
      </c>
      <c r="E2126" s="17"/>
      <c r="F2126" s="17" t="s">
        <v>156</v>
      </c>
      <c r="G2126" s="17"/>
      <c r="H2126" s="17" t="s">
        <v>692</v>
      </c>
      <c r="I2126" s="17"/>
      <c r="J2126" s="17" t="s">
        <v>693</v>
      </c>
      <c r="K2126" s="17"/>
      <c r="L2126" s="17"/>
      <c r="M2126" s="17"/>
      <c r="N2126" s="17" t="s">
        <v>9509</v>
      </c>
      <c r="O2126" s="17" t="s">
        <v>9624</v>
      </c>
      <c r="P2126" s="17" t="s">
        <v>9754</v>
      </c>
      <c r="Q2126" s="17"/>
      <c r="R2126" s="25" t="str">
        <f>HYPERLINK("https://ictv.global/taxonomy/taxondetails?taxnode_id=202313685","Tegunavirus fheyen901")</f>
        <v>Tegunavirus fheyen901</v>
      </c>
      <c r="S2126" s="18" t="s">
        <v>30</v>
      </c>
      <c r="T2126" s="18" t="s">
        <v>9755</v>
      </c>
      <c r="U2126" s="18"/>
      <c r="V2126" s="18"/>
      <c r="W2126" s="18" t="s">
        <v>9756</v>
      </c>
      <c r="X2126" s="18" t="s">
        <v>42</v>
      </c>
      <c r="Y2126" s="18" t="s">
        <v>36</v>
      </c>
      <c r="Z2126" s="18" t="s">
        <v>697</v>
      </c>
      <c r="AA2126" s="21" t="str">
        <f>HYPERLINK("https://www.ncbi.nlm.nih.gov/nuccore/KY593455","NCBI Nucleotide")</f>
        <v>NCBI Nucleotide</v>
      </c>
    </row>
    <row r="2127" spans="1:27" x14ac:dyDescent="0.35">
      <c r="A2127">
        <v>1002603</v>
      </c>
      <c r="B2127">
        <v>2103</v>
      </c>
      <c r="C2127">
        <v>1</v>
      </c>
      <c r="D2127" s="17" t="s">
        <v>155</v>
      </c>
      <c r="E2127" s="17"/>
      <c r="F2127" s="17" t="s">
        <v>156</v>
      </c>
      <c r="G2127" s="17"/>
      <c r="H2127" s="17" t="s">
        <v>692</v>
      </c>
      <c r="I2127" s="17"/>
      <c r="J2127" s="17" t="s">
        <v>693</v>
      </c>
      <c r="K2127" s="17"/>
      <c r="L2127" s="17"/>
      <c r="M2127" s="17"/>
      <c r="N2127" s="17" t="s">
        <v>9509</v>
      </c>
      <c r="O2127" s="17" t="s">
        <v>9624</v>
      </c>
      <c r="P2127" s="17" t="s">
        <v>9754</v>
      </c>
      <c r="Q2127" s="17"/>
      <c r="R2127" s="25" t="str">
        <f>HYPERLINK("https://ictv.global/taxonomy/taxondetails?taxnode_id=202300510","Tegunavirus r1rt")</f>
        <v>Tegunavirus r1rt</v>
      </c>
      <c r="S2127" s="18" t="s">
        <v>30</v>
      </c>
      <c r="T2127" s="18" t="s">
        <v>9757</v>
      </c>
      <c r="U2127" s="18"/>
      <c r="V2127" s="18"/>
      <c r="W2127" s="18" t="s">
        <v>9758</v>
      </c>
      <c r="X2127" s="18" t="s">
        <v>42</v>
      </c>
      <c r="Y2127" s="18" t="s">
        <v>36</v>
      </c>
      <c r="Z2127" s="18" t="s">
        <v>697</v>
      </c>
      <c r="AA2127" s="21" t="str">
        <f>HYPERLINK("https://www.ncbi.nlm.nih.gov/nuccore/HE956709","NCBI Nucleotide")</f>
        <v>NCBI Nucleotide</v>
      </c>
    </row>
    <row r="2128" spans="1:27" x14ac:dyDescent="0.35">
      <c r="A2128">
        <v>1002604</v>
      </c>
      <c r="B2128">
        <v>2104</v>
      </c>
      <c r="C2128">
        <v>1</v>
      </c>
      <c r="D2128" s="17" t="s">
        <v>155</v>
      </c>
      <c r="E2128" s="17"/>
      <c r="F2128" s="17" t="s">
        <v>156</v>
      </c>
      <c r="G2128" s="17"/>
      <c r="H2128" s="17" t="s">
        <v>692</v>
      </c>
      <c r="I2128" s="17"/>
      <c r="J2128" s="17" t="s">
        <v>693</v>
      </c>
      <c r="K2128" s="17"/>
      <c r="L2128" s="17"/>
      <c r="M2128" s="17"/>
      <c r="N2128" s="17" t="s">
        <v>9509</v>
      </c>
      <c r="O2128" s="17" t="s">
        <v>9624</v>
      </c>
      <c r="P2128" s="17" t="s">
        <v>9754</v>
      </c>
      <c r="Q2128" s="17"/>
      <c r="R2128" s="25" t="str">
        <f>HYPERLINK("https://ictv.global/taxonomy/taxondetails?taxnode_id=202300511","Tegunavirus yenmtg1")</f>
        <v>Tegunavirus yenmtg1</v>
      </c>
      <c r="S2128" s="18" t="s">
        <v>30</v>
      </c>
      <c r="T2128" s="18" t="s">
        <v>9759</v>
      </c>
      <c r="U2128" s="18"/>
      <c r="V2128" s="18"/>
      <c r="W2128" s="18" t="s">
        <v>9760</v>
      </c>
      <c r="X2128" s="18" t="s">
        <v>42</v>
      </c>
      <c r="Y2128" s="18" t="s">
        <v>36</v>
      </c>
      <c r="Z2128" s="18" t="s">
        <v>697</v>
      </c>
      <c r="AA2128" s="21" t="str">
        <f>HYPERLINK("https://www.ncbi.nlm.nih.gov/nuccore/KP202158","NCBI Nucleotide")</f>
        <v>NCBI Nucleotide</v>
      </c>
    </row>
    <row r="2129" spans="1:27" x14ac:dyDescent="0.35">
      <c r="A2129">
        <v>1002605</v>
      </c>
      <c r="B2129">
        <v>2105</v>
      </c>
      <c r="C2129">
        <v>1</v>
      </c>
      <c r="D2129" s="17" t="s">
        <v>155</v>
      </c>
      <c r="E2129" s="17"/>
      <c r="F2129" s="17" t="s">
        <v>156</v>
      </c>
      <c r="G2129" s="17"/>
      <c r="H2129" s="17" t="s">
        <v>692</v>
      </c>
      <c r="I2129" s="17"/>
      <c r="J2129" s="17" t="s">
        <v>693</v>
      </c>
      <c r="K2129" s="17"/>
      <c r="L2129" s="17"/>
      <c r="M2129" s="17"/>
      <c r="N2129" s="17" t="s">
        <v>9509</v>
      </c>
      <c r="O2129" s="17" t="s">
        <v>9624</v>
      </c>
      <c r="P2129" s="17" t="s">
        <v>9761</v>
      </c>
      <c r="Q2129" s="17"/>
      <c r="R2129" s="25" t="str">
        <f>HYPERLINK("https://ictv.global/taxonomy/taxondetails?taxnode_id=202307051","Escherichia virus CF2")</f>
        <v>Escherichia virus CF2</v>
      </c>
      <c r="S2129" s="18" t="s">
        <v>30</v>
      </c>
      <c r="T2129" s="18" t="s">
        <v>9762</v>
      </c>
      <c r="U2129" s="18"/>
      <c r="V2129" s="18"/>
      <c r="W2129" s="18" t="s">
        <v>9763</v>
      </c>
      <c r="X2129" s="18" t="s">
        <v>42</v>
      </c>
      <c r="Y2129" s="18" t="s">
        <v>36</v>
      </c>
      <c r="Z2129" s="18" t="s">
        <v>697</v>
      </c>
      <c r="AA2129" s="21" t="str">
        <f>HYPERLINK("https://www.ncbi.nlm.nih.gov/nuccore/KY608967","NCBI Nucleotide")</f>
        <v>NCBI Nucleotide</v>
      </c>
    </row>
    <row r="2130" spans="1:27" x14ac:dyDescent="0.35">
      <c r="A2130">
        <v>1002606</v>
      </c>
      <c r="B2130">
        <v>2106</v>
      </c>
      <c r="C2130">
        <v>1</v>
      </c>
      <c r="D2130" s="17" t="s">
        <v>155</v>
      </c>
      <c r="E2130" s="17"/>
      <c r="F2130" s="17" t="s">
        <v>156</v>
      </c>
      <c r="G2130" s="17"/>
      <c r="H2130" s="17" t="s">
        <v>692</v>
      </c>
      <c r="I2130" s="17"/>
      <c r="J2130" s="17" t="s">
        <v>693</v>
      </c>
      <c r="K2130" s="17"/>
      <c r="L2130" s="17"/>
      <c r="M2130" s="17"/>
      <c r="N2130" s="17" t="s">
        <v>9509</v>
      </c>
      <c r="O2130" s="17" t="s">
        <v>9624</v>
      </c>
      <c r="P2130" s="17" t="s">
        <v>9761</v>
      </c>
      <c r="Q2130" s="17"/>
      <c r="R2130" s="25" t="str">
        <f>HYPERLINK("https://ictv.global/taxonomy/taxondetails?taxnode_id=202311969","Tequatrovirus aplgate")</f>
        <v>Tequatrovirus aplgate</v>
      </c>
      <c r="S2130" s="18" t="s">
        <v>30</v>
      </c>
      <c r="T2130" s="18" t="s">
        <v>9764</v>
      </c>
      <c r="U2130" s="18"/>
      <c r="V2130" s="18"/>
      <c r="W2130" s="18" t="s">
        <v>9765</v>
      </c>
      <c r="X2130" s="18" t="s">
        <v>42</v>
      </c>
      <c r="Y2130" s="18" t="s">
        <v>36</v>
      </c>
      <c r="Z2130" s="18" t="s">
        <v>697</v>
      </c>
      <c r="AA2130" s="21" t="str">
        <f>HYPERLINK("https://www.ncbi.nlm.nih.gov/nuccore/KT184308","NCBI Nucleotide")</f>
        <v>NCBI Nucleotide</v>
      </c>
    </row>
    <row r="2131" spans="1:27" x14ac:dyDescent="0.35">
      <c r="A2131">
        <v>1002607</v>
      </c>
      <c r="B2131">
        <v>2107</v>
      </c>
      <c r="C2131">
        <v>1</v>
      </c>
      <c r="D2131" s="17" t="s">
        <v>155</v>
      </c>
      <c r="E2131" s="17"/>
      <c r="F2131" s="17" t="s">
        <v>156</v>
      </c>
      <c r="G2131" s="17"/>
      <c r="H2131" s="17" t="s">
        <v>692</v>
      </c>
      <c r="I2131" s="17"/>
      <c r="J2131" s="17" t="s">
        <v>693</v>
      </c>
      <c r="K2131" s="17"/>
      <c r="L2131" s="17"/>
      <c r="M2131" s="17"/>
      <c r="N2131" s="17" t="s">
        <v>9509</v>
      </c>
      <c r="O2131" s="17" t="s">
        <v>9624</v>
      </c>
      <c r="P2131" s="17" t="s">
        <v>9761</v>
      </c>
      <c r="Q2131" s="17"/>
      <c r="R2131" s="25" t="str">
        <f>HYPERLINK("https://ictv.global/taxonomy/taxondetails?taxnode_id=202300324","Tequatrovirus ar1")</f>
        <v>Tequatrovirus ar1</v>
      </c>
      <c r="S2131" s="18" t="s">
        <v>30</v>
      </c>
      <c r="T2131" s="18" t="s">
        <v>9766</v>
      </c>
      <c r="U2131" s="18"/>
      <c r="V2131" s="18"/>
      <c r="W2131" s="18" t="s">
        <v>9767</v>
      </c>
      <c r="X2131" s="18" t="s">
        <v>42</v>
      </c>
      <c r="Y2131" s="18" t="s">
        <v>36</v>
      </c>
      <c r="Z2131" s="18" t="s">
        <v>697</v>
      </c>
      <c r="AA2131" s="21" t="str">
        <f>HYPERLINK("https://www.ncbi.nlm.nih.gov/nuccore/AP011113","NCBI Nucleotide")</f>
        <v>NCBI Nucleotide</v>
      </c>
    </row>
    <row r="2132" spans="1:27" x14ac:dyDescent="0.35">
      <c r="A2132">
        <v>1002608</v>
      </c>
      <c r="B2132">
        <v>2108</v>
      </c>
      <c r="C2132">
        <v>1</v>
      </c>
      <c r="D2132" s="17" t="s">
        <v>155</v>
      </c>
      <c r="E2132" s="17"/>
      <c r="F2132" s="17" t="s">
        <v>156</v>
      </c>
      <c r="G2132" s="17"/>
      <c r="H2132" s="17" t="s">
        <v>692</v>
      </c>
      <c r="I2132" s="17"/>
      <c r="J2132" s="17" t="s">
        <v>693</v>
      </c>
      <c r="K2132" s="17"/>
      <c r="L2132" s="17"/>
      <c r="M2132" s="17"/>
      <c r="N2132" s="17" t="s">
        <v>9509</v>
      </c>
      <c r="O2132" s="17" t="s">
        <v>9624</v>
      </c>
      <c r="P2132" s="17" t="s">
        <v>9761</v>
      </c>
      <c r="Q2132" s="17"/>
      <c r="R2132" s="25" t="str">
        <f>HYPERLINK("https://ictv.global/taxonomy/taxondetails?taxnode_id=202300325","Tequatrovirus c40")</f>
        <v>Tequatrovirus c40</v>
      </c>
      <c r="S2132" s="18" t="s">
        <v>30</v>
      </c>
      <c r="T2132" s="18" t="s">
        <v>9768</v>
      </c>
      <c r="U2132" s="18"/>
      <c r="V2132" s="18"/>
      <c r="W2132" s="18" t="s">
        <v>9769</v>
      </c>
      <c r="X2132" s="18" t="s">
        <v>42</v>
      </c>
      <c r="Y2132" s="18" t="s">
        <v>36</v>
      </c>
      <c r="Z2132" s="18" t="s">
        <v>697</v>
      </c>
      <c r="AA2132" s="21" t="str">
        <f>HYPERLINK("https://www.ncbi.nlm.nih.gov/nuccore/JN986846","NCBI Nucleotide")</f>
        <v>NCBI Nucleotide</v>
      </c>
    </row>
    <row r="2133" spans="1:27" x14ac:dyDescent="0.35">
      <c r="A2133">
        <v>1002609</v>
      </c>
      <c r="B2133">
        <v>2109</v>
      </c>
      <c r="C2133">
        <v>1</v>
      </c>
      <c r="D2133" s="17" t="s">
        <v>155</v>
      </c>
      <c r="E2133" s="17"/>
      <c r="F2133" s="17" t="s">
        <v>156</v>
      </c>
      <c r="G2133" s="17"/>
      <c r="H2133" s="17" t="s">
        <v>692</v>
      </c>
      <c r="I2133" s="17"/>
      <c r="J2133" s="17" t="s">
        <v>693</v>
      </c>
      <c r="K2133" s="17"/>
      <c r="L2133" s="17"/>
      <c r="M2133" s="17"/>
      <c r="N2133" s="17" t="s">
        <v>9509</v>
      </c>
      <c r="O2133" s="17" t="s">
        <v>9624</v>
      </c>
      <c r="P2133" s="17" t="s">
        <v>9761</v>
      </c>
      <c r="Q2133" s="17"/>
      <c r="R2133" s="25" t="str">
        <f>HYPERLINK("https://ictv.global/taxonomy/taxondetails?taxnode_id=202312009","Tequatrovirus cm8")</f>
        <v>Tequatrovirus cm8</v>
      </c>
      <c r="S2133" s="18" t="s">
        <v>30</v>
      </c>
      <c r="T2133" s="18" t="s">
        <v>9770</v>
      </c>
      <c r="U2133" s="18"/>
      <c r="V2133" s="18"/>
      <c r="W2133" s="18" t="s">
        <v>9771</v>
      </c>
      <c r="X2133" s="18" t="s">
        <v>42</v>
      </c>
      <c r="Y2133" s="18" t="s">
        <v>36</v>
      </c>
      <c r="Z2133" s="18" t="s">
        <v>697</v>
      </c>
      <c r="AA2133" s="21" t="str">
        <f>HYPERLINK("https://www.ncbi.nlm.nih.gov/nuccore/MK962750","NCBI Nucleotide")</f>
        <v>NCBI Nucleotide</v>
      </c>
    </row>
    <row r="2134" spans="1:27" x14ac:dyDescent="0.35">
      <c r="A2134">
        <v>1002610</v>
      </c>
      <c r="B2134">
        <v>2110</v>
      </c>
      <c r="C2134">
        <v>1</v>
      </c>
      <c r="D2134" s="17" t="s">
        <v>155</v>
      </c>
      <c r="E2134" s="17"/>
      <c r="F2134" s="17" t="s">
        <v>156</v>
      </c>
      <c r="G2134" s="17"/>
      <c r="H2134" s="17" t="s">
        <v>692</v>
      </c>
      <c r="I2134" s="17"/>
      <c r="J2134" s="17" t="s">
        <v>693</v>
      </c>
      <c r="K2134" s="17"/>
      <c r="L2134" s="17"/>
      <c r="M2134" s="17"/>
      <c r="N2134" s="17" t="s">
        <v>9509</v>
      </c>
      <c r="O2134" s="17" t="s">
        <v>9624</v>
      </c>
      <c r="P2134" s="17" t="s">
        <v>9761</v>
      </c>
      <c r="Q2134" s="17"/>
      <c r="R2134" s="25" t="str">
        <f>HYPERLINK("https://ictv.global/taxonomy/taxondetails?taxnode_id=202311968","Tequatrovirus cromcrrp10")</f>
        <v>Tequatrovirus cromcrrp10</v>
      </c>
      <c r="S2134" s="18" t="s">
        <v>30</v>
      </c>
      <c r="T2134" s="18" t="s">
        <v>9772</v>
      </c>
      <c r="U2134" s="18"/>
      <c r="V2134" s="18"/>
      <c r="W2134" s="18" t="s">
        <v>9773</v>
      </c>
      <c r="X2134" s="18" t="s">
        <v>42</v>
      </c>
      <c r="Y2134" s="18" t="s">
        <v>36</v>
      </c>
      <c r="Z2134" s="18" t="s">
        <v>697</v>
      </c>
      <c r="AA2134" s="21" t="str">
        <f>HYPERLINK("https://www.ncbi.nlm.nih.gov/nuccore/MG775043","NCBI Nucleotide")</f>
        <v>NCBI Nucleotide</v>
      </c>
    </row>
    <row r="2135" spans="1:27" x14ac:dyDescent="0.35">
      <c r="A2135">
        <v>1002611</v>
      </c>
      <c r="B2135">
        <v>2111</v>
      </c>
      <c r="C2135">
        <v>1</v>
      </c>
      <c r="D2135" s="17" t="s">
        <v>155</v>
      </c>
      <c r="E2135" s="17"/>
      <c r="F2135" s="17" t="s">
        <v>156</v>
      </c>
      <c r="G2135" s="17"/>
      <c r="H2135" s="17" t="s">
        <v>692</v>
      </c>
      <c r="I2135" s="17"/>
      <c r="J2135" s="17" t="s">
        <v>693</v>
      </c>
      <c r="K2135" s="17"/>
      <c r="L2135" s="17"/>
      <c r="M2135" s="17"/>
      <c r="N2135" s="17" t="s">
        <v>9509</v>
      </c>
      <c r="O2135" s="17" t="s">
        <v>9624</v>
      </c>
      <c r="P2135" s="17" t="s">
        <v>9761</v>
      </c>
      <c r="Q2135" s="17"/>
      <c r="R2135" s="25" t="str">
        <f>HYPERLINK("https://ictv.global/taxonomy/taxondetails?taxnode_id=202300335","Tequatrovirus deeone")</f>
        <v>Tequatrovirus deeone</v>
      </c>
      <c r="S2135" s="18" t="s">
        <v>30</v>
      </c>
      <c r="T2135" s="18" t="s">
        <v>9774</v>
      </c>
      <c r="U2135" s="18"/>
      <c r="V2135" s="18"/>
      <c r="W2135" s="18" t="s">
        <v>9775</v>
      </c>
      <c r="X2135" s="18" t="s">
        <v>42</v>
      </c>
      <c r="Y2135" s="18" t="s">
        <v>36</v>
      </c>
      <c r="Z2135" s="18" t="s">
        <v>697</v>
      </c>
      <c r="AA2135" s="21" t="str">
        <f>HYPERLINK("https://www.ncbi.nlm.nih.gov/nuccore/HE956711","NCBI Nucleotide")</f>
        <v>NCBI Nucleotide</v>
      </c>
    </row>
    <row r="2136" spans="1:27" x14ac:dyDescent="0.35">
      <c r="A2136">
        <v>1002612</v>
      </c>
      <c r="B2136">
        <v>2112</v>
      </c>
      <c r="C2136">
        <v>1</v>
      </c>
      <c r="D2136" s="17" t="s">
        <v>155</v>
      </c>
      <c r="E2136" s="17"/>
      <c r="F2136" s="17" t="s">
        <v>156</v>
      </c>
      <c r="G2136" s="17"/>
      <c r="H2136" s="17" t="s">
        <v>692</v>
      </c>
      <c r="I2136" s="17"/>
      <c r="J2136" s="17" t="s">
        <v>693</v>
      </c>
      <c r="K2136" s="17"/>
      <c r="L2136" s="17"/>
      <c r="M2136" s="17"/>
      <c r="N2136" s="17" t="s">
        <v>9509</v>
      </c>
      <c r="O2136" s="17" t="s">
        <v>9624</v>
      </c>
      <c r="P2136" s="17" t="s">
        <v>9761</v>
      </c>
      <c r="Q2136" s="17"/>
      <c r="R2136" s="25" t="str">
        <f>HYPERLINK("https://ictv.global/taxonomy/taxondetails?taxnode_id=202300326","Tequatrovirus e112")</f>
        <v>Tequatrovirus e112</v>
      </c>
      <c r="S2136" s="18" t="s">
        <v>30</v>
      </c>
      <c r="T2136" s="18" t="s">
        <v>9776</v>
      </c>
      <c r="U2136" s="18"/>
      <c r="V2136" s="18"/>
      <c r="W2136" s="18" t="s">
        <v>9777</v>
      </c>
      <c r="X2136" s="18" t="s">
        <v>42</v>
      </c>
      <c r="Y2136" s="18" t="s">
        <v>36</v>
      </c>
      <c r="Z2136" s="18" t="s">
        <v>697</v>
      </c>
      <c r="AA2136" s="21" t="str">
        <f>HYPERLINK("https://www.ncbi.nlm.nih.gov/nuccore/KJ668714","NCBI Nucleotide")</f>
        <v>NCBI Nucleotide</v>
      </c>
    </row>
    <row r="2137" spans="1:27" x14ac:dyDescent="0.35">
      <c r="A2137">
        <v>1002613</v>
      </c>
      <c r="B2137">
        <v>2113</v>
      </c>
      <c r="C2137">
        <v>1</v>
      </c>
      <c r="D2137" s="17" t="s">
        <v>155</v>
      </c>
      <c r="E2137" s="17"/>
      <c r="F2137" s="17" t="s">
        <v>156</v>
      </c>
      <c r="G2137" s="17"/>
      <c r="H2137" s="17" t="s">
        <v>692</v>
      </c>
      <c r="I2137" s="17"/>
      <c r="J2137" s="17" t="s">
        <v>693</v>
      </c>
      <c r="K2137" s="17"/>
      <c r="L2137" s="17"/>
      <c r="M2137" s="17"/>
      <c r="N2137" s="17" t="s">
        <v>9509</v>
      </c>
      <c r="O2137" s="17" t="s">
        <v>9624</v>
      </c>
      <c r="P2137" s="17" t="s">
        <v>9761</v>
      </c>
      <c r="Q2137" s="17"/>
      <c r="R2137" s="25" t="str">
        <f>HYPERLINK("https://ictv.global/taxonomy/taxondetails?taxnode_id=202311978","Tequatrovirus ec04")</f>
        <v>Tequatrovirus ec04</v>
      </c>
      <c r="S2137" s="18" t="s">
        <v>30</v>
      </c>
      <c r="T2137" s="18" t="s">
        <v>9778</v>
      </c>
      <c r="U2137" s="18"/>
      <c r="V2137" s="18"/>
      <c r="W2137" s="18" t="s">
        <v>9779</v>
      </c>
      <c r="X2137" s="18" t="s">
        <v>42</v>
      </c>
      <c r="Y2137" s="18" t="s">
        <v>36</v>
      </c>
      <c r="Z2137" s="18" t="s">
        <v>697</v>
      </c>
      <c r="AA2137" s="21" t="str">
        <f>HYPERLINK("https://www.ncbi.nlm.nih.gov/nuccore/MF001360","NCBI Nucleotide")</f>
        <v>NCBI Nucleotide</v>
      </c>
    </row>
    <row r="2138" spans="1:27" x14ac:dyDescent="0.35">
      <c r="A2138">
        <v>1002614</v>
      </c>
      <c r="B2138">
        <v>2114</v>
      </c>
      <c r="C2138">
        <v>1</v>
      </c>
      <c r="D2138" s="17" t="s">
        <v>155</v>
      </c>
      <c r="E2138" s="17"/>
      <c r="F2138" s="17" t="s">
        <v>156</v>
      </c>
      <c r="G2138" s="17"/>
      <c r="H2138" s="17" t="s">
        <v>692</v>
      </c>
      <c r="I2138" s="17"/>
      <c r="J2138" s="17" t="s">
        <v>693</v>
      </c>
      <c r="K2138" s="17"/>
      <c r="L2138" s="17"/>
      <c r="M2138" s="17"/>
      <c r="N2138" s="17" t="s">
        <v>9509</v>
      </c>
      <c r="O2138" s="17" t="s">
        <v>9624</v>
      </c>
      <c r="P2138" s="17" t="s">
        <v>9761</v>
      </c>
      <c r="Q2138" s="17"/>
      <c r="R2138" s="25" t="str">
        <f>HYPERLINK("https://ictv.global/taxonomy/taxondetails?taxnode_id=202311976","Tequatrovirus ec121")</f>
        <v>Tequatrovirus ec121</v>
      </c>
      <c r="S2138" s="18" t="s">
        <v>30</v>
      </c>
      <c r="T2138" s="18" t="s">
        <v>9780</v>
      </c>
      <c r="U2138" s="18"/>
      <c r="V2138" s="18"/>
      <c r="W2138" s="18" t="s">
        <v>9781</v>
      </c>
      <c r="X2138" s="18" t="s">
        <v>42</v>
      </c>
      <c r="Y2138" s="18" t="s">
        <v>36</v>
      </c>
      <c r="Z2138" s="18" t="s">
        <v>697</v>
      </c>
      <c r="AA2138" s="21" t="str">
        <f>HYPERLINK("https://www.ncbi.nlm.nih.gov/nuccore/MF001359","NCBI Nucleotide")</f>
        <v>NCBI Nucleotide</v>
      </c>
    </row>
    <row r="2139" spans="1:27" x14ac:dyDescent="0.35">
      <c r="A2139">
        <v>1002615</v>
      </c>
      <c r="B2139">
        <v>2115</v>
      </c>
      <c r="C2139">
        <v>1</v>
      </c>
      <c r="D2139" s="17" t="s">
        <v>155</v>
      </c>
      <c r="E2139" s="17"/>
      <c r="F2139" s="17" t="s">
        <v>156</v>
      </c>
      <c r="G2139" s="17"/>
      <c r="H2139" s="17" t="s">
        <v>692</v>
      </c>
      <c r="I2139" s="17"/>
      <c r="J2139" s="17" t="s">
        <v>693</v>
      </c>
      <c r="K2139" s="17"/>
      <c r="L2139" s="17"/>
      <c r="M2139" s="17"/>
      <c r="N2139" s="17" t="s">
        <v>9509</v>
      </c>
      <c r="O2139" s="17" t="s">
        <v>9624</v>
      </c>
      <c r="P2139" s="17" t="s">
        <v>9761</v>
      </c>
      <c r="Q2139" s="17"/>
      <c r="R2139" s="25" t="str">
        <f>HYPERLINK("https://ictv.global/taxonomy/taxondetails?taxnode_id=202300327","Tequatrovirus ecml134")</f>
        <v>Tequatrovirus ecml134</v>
      </c>
      <c r="S2139" s="18" t="s">
        <v>30</v>
      </c>
      <c r="T2139" s="18" t="s">
        <v>9782</v>
      </c>
      <c r="U2139" s="18"/>
      <c r="V2139" s="18"/>
      <c r="W2139" s="18" t="s">
        <v>9783</v>
      </c>
      <c r="X2139" s="18" t="s">
        <v>42</v>
      </c>
      <c r="Y2139" s="18" t="s">
        <v>36</v>
      </c>
      <c r="Z2139" s="18" t="s">
        <v>697</v>
      </c>
      <c r="AA2139" s="21" t="str">
        <f>HYPERLINK("https://www.ncbi.nlm.nih.gov/nuccore/JX128259","NCBI Nucleotide")</f>
        <v>NCBI Nucleotide</v>
      </c>
    </row>
    <row r="2140" spans="1:27" x14ac:dyDescent="0.35">
      <c r="A2140">
        <v>1002616</v>
      </c>
      <c r="B2140">
        <v>2116</v>
      </c>
      <c r="C2140">
        <v>1</v>
      </c>
      <c r="D2140" s="17" t="s">
        <v>155</v>
      </c>
      <c r="E2140" s="17"/>
      <c r="F2140" s="17" t="s">
        <v>156</v>
      </c>
      <c r="G2140" s="17"/>
      <c r="H2140" s="17" t="s">
        <v>692</v>
      </c>
      <c r="I2140" s="17"/>
      <c r="J2140" s="17" t="s">
        <v>693</v>
      </c>
      <c r="K2140" s="17"/>
      <c r="L2140" s="17"/>
      <c r="M2140" s="17"/>
      <c r="N2140" s="17" t="s">
        <v>9509</v>
      </c>
      <c r="O2140" s="17" t="s">
        <v>9624</v>
      </c>
      <c r="P2140" s="17" t="s">
        <v>9761</v>
      </c>
      <c r="Q2140" s="17"/>
      <c r="R2140" s="25" t="str">
        <f>HYPERLINK("https://ictv.global/taxonomy/taxondetails?taxnode_id=202311977","Tequatrovirus ecnp1")</f>
        <v>Tequatrovirus ecnp1</v>
      </c>
      <c r="S2140" s="18" t="s">
        <v>30</v>
      </c>
      <c r="T2140" s="18" t="s">
        <v>9784</v>
      </c>
      <c r="U2140" s="18"/>
      <c r="V2140" s="18"/>
      <c r="W2140" s="18" t="s">
        <v>9785</v>
      </c>
      <c r="X2140" s="18" t="s">
        <v>42</v>
      </c>
      <c r="Y2140" s="18" t="s">
        <v>36</v>
      </c>
      <c r="Z2140" s="18" t="s">
        <v>697</v>
      </c>
      <c r="AA2140" s="21" t="str">
        <f>HYPERLINK("https://www.ncbi.nlm.nih.gov/nuccore/MK886800","NCBI Nucleotide")</f>
        <v>NCBI Nucleotide</v>
      </c>
    </row>
    <row r="2141" spans="1:27" x14ac:dyDescent="0.35">
      <c r="A2141">
        <v>1002617</v>
      </c>
      <c r="B2141">
        <v>2117</v>
      </c>
      <c r="C2141">
        <v>1</v>
      </c>
      <c r="D2141" s="17" t="s">
        <v>155</v>
      </c>
      <c r="E2141" s="17"/>
      <c r="F2141" s="17" t="s">
        <v>156</v>
      </c>
      <c r="G2141" s="17"/>
      <c r="H2141" s="17" t="s">
        <v>692</v>
      </c>
      <c r="I2141" s="17"/>
      <c r="J2141" s="17" t="s">
        <v>693</v>
      </c>
      <c r="K2141" s="17"/>
      <c r="L2141" s="17"/>
      <c r="M2141" s="17"/>
      <c r="N2141" s="17" t="s">
        <v>9509</v>
      </c>
      <c r="O2141" s="17" t="s">
        <v>9624</v>
      </c>
      <c r="P2141" s="17" t="s">
        <v>9761</v>
      </c>
      <c r="Q2141" s="17"/>
      <c r="R2141" s="25" t="str">
        <f>HYPERLINK("https://ictv.global/taxonomy/taxondetails?taxnode_id=202312001","Tequatrovirus ecombl75")</f>
        <v>Tequatrovirus ecombl75</v>
      </c>
      <c r="S2141" s="18" t="s">
        <v>30</v>
      </c>
      <c r="T2141" s="18" t="s">
        <v>9786</v>
      </c>
      <c r="U2141" s="18"/>
      <c r="V2141" s="18"/>
      <c r="W2141" s="18" t="s">
        <v>9787</v>
      </c>
      <c r="X2141" s="18" t="s">
        <v>42</v>
      </c>
      <c r="Y2141" s="18" t="s">
        <v>36</v>
      </c>
      <c r="Z2141" s="18" t="s">
        <v>697</v>
      </c>
      <c r="AA2141" s="21" t="str">
        <f>HYPERLINK("https://www.ncbi.nlm.nih.gov/nuccore/MG781190","NCBI Nucleotide")</f>
        <v>NCBI Nucleotide</v>
      </c>
    </row>
    <row r="2142" spans="1:27" x14ac:dyDescent="0.35">
      <c r="A2142">
        <v>1002618</v>
      </c>
      <c r="B2142">
        <v>2118</v>
      </c>
      <c r="C2142">
        <v>1</v>
      </c>
      <c r="D2142" s="17" t="s">
        <v>155</v>
      </c>
      <c r="E2142" s="17"/>
      <c r="F2142" s="17" t="s">
        <v>156</v>
      </c>
      <c r="G2142" s="17"/>
      <c r="H2142" s="17" t="s">
        <v>692</v>
      </c>
      <c r="I2142" s="17"/>
      <c r="J2142" s="17" t="s">
        <v>693</v>
      </c>
      <c r="K2142" s="17"/>
      <c r="L2142" s="17"/>
      <c r="M2142" s="17"/>
      <c r="N2142" s="17" t="s">
        <v>9509</v>
      </c>
      <c r="O2142" s="17" t="s">
        <v>9624</v>
      </c>
      <c r="P2142" s="17" t="s">
        <v>9761</v>
      </c>
      <c r="Q2142" s="17"/>
      <c r="R2142" s="25" t="str">
        <f>HYPERLINK("https://ictv.global/taxonomy/taxondetails?taxnode_id=202311988","Tequatrovirus ecomdalca")</f>
        <v>Tequatrovirus ecomdalca</v>
      </c>
      <c r="S2142" s="18" t="s">
        <v>30</v>
      </c>
      <c r="T2142" s="18" t="s">
        <v>9788</v>
      </c>
      <c r="U2142" s="18"/>
      <c r="V2142" s="18"/>
      <c r="W2142" s="18" t="s">
        <v>9789</v>
      </c>
      <c r="X2142" s="18" t="s">
        <v>42</v>
      </c>
      <c r="Y2142" s="18" t="s">
        <v>36</v>
      </c>
      <c r="Z2142" s="18" t="s">
        <v>697</v>
      </c>
      <c r="AA2142" s="21" t="str">
        <f>HYPERLINK("https://www.ncbi.nlm.nih.gov/nuccore/MH992510","NCBI Nucleotide")</f>
        <v>NCBI Nucleotide</v>
      </c>
    </row>
    <row r="2143" spans="1:27" x14ac:dyDescent="0.35">
      <c r="A2143">
        <v>1002619</v>
      </c>
      <c r="B2143">
        <v>2119</v>
      </c>
      <c r="C2143">
        <v>1</v>
      </c>
      <c r="D2143" s="17" t="s">
        <v>155</v>
      </c>
      <c r="E2143" s="17"/>
      <c r="F2143" s="17" t="s">
        <v>156</v>
      </c>
      <c r="G2143" s="17"/>
      <c r="H2143" s="17" t="s">
        <v>692</v>
      </c>
      <c r="I2143" s="17"/>
      <c r="J2143" s="17" t="s">
        <v>693</v>
      </c>
      <c r="K2143" s="17"/>
      <c r="L2143" s="17"/>
      <c r="M2143" s="17"/>
      <c r="N2143" s="17" t="s">
        <v>9509</v>
      </c>
      <c r="O2143" s="17" t="s">
        <v>9624</v>
      </c>
      <c r="P2143" s="17" t="s">
        <v>9761</v>
      </c>
      <c r="Q2143" s="17"/>
      <c r="R2143" s="25" t="str">
        <f>HYPERLINK("https://ictv.global/taxonomy/taxondetails?taxnode_id=202312002","Tequatrovirus ecomg28")</f>
        <v>Tequatrovirus ecomg28</v>
      </c>
      <c r="S2143" s="18" t="s">
        <v>30</v>
      </c>
      <c r="T2143" s="18" t="s">
        <v>9790</v>
      </c>
      <c r="U2143" s="18"/>
      <c r="V2143" s="18"/>
      <c r="W2143" s="18" t="s">
        <v>9791</v>
      </c>
      <c r="X2143" s="18" t="s">
        <v>42</v>
      </c>
      <c r="Y2143" s="18" t="s">
        <v>36</v>
      </c>
      <c r="Z2143" s="18" t="s">
        <v>697</v>
      </c>
      <c r="AA2143" s="21" t="str">
        <f>HYPERLINK("https://www.ncbi.nlm.nih.gov/nuccore/MG867727","NCBI Nucleotide")</f>
        <v>NCBI Nucleotide</v>
      </c>
    </row>
    <row r="2144" spans="1:27" x14ac:dyDescent="0.35">
      <c r="A2144">
        <v>1002620</v>
      </c>
      <c r="B2144">
        <v>2120</v>
      </c>
      <c r="C2144">
        <v>1</v>
      </c>
      <c r="D2144" s="17" t="s">
        <v>155</v>
      </c>
      <c r="E2144" s="17"/>
      <c r="F2144" s="17" t="s">
        <v>156</v>
      </c>
      <c r="G2144" s="17"/>
      <c r="H2144" s="17" t="s">
        <v>692</v>
      </c>
      <c r="I2144" s="17"/>
      <c r="J2144" s="17" t="s">
        <v>693</v>
      </c>
      <c r="K2144" s="17"/>
      <c r="L2144" s="17"/>
      <c r="M2144" s="17"/>
      <c r="N2144" s="17" t="s">
        <v>9509</v>
      </c>
      <c r="O2144" s="17" t="s">
        <v>9624</v>
      </c>
      <c r="P2144" s="17" t="s">
        <v>9761</v>
      </c>
      <c r="Q2144" s="17"/>
      <c r="R2144" s="25" t="str">
        <f>HYPERLINK("https://ictv.global/taxonomy/taxondetails?taxnode_id=202313952","Tequatrovirus ecomim339")</f>
        <v>Tequatrovirus ecomim339</v>
      </c>
      <c r="S2144" s="18" t="s">
        <v>30</v>
      </c>
      <c r="T2144" s="18" t="s">
        <v>9792</v>
      </c>
      <c r="U2144" s="18"/>
      <c r="V2144" s="18"/>
      <c r="W2144" s="18" t="s">
        <v>9793</v>
      </c>
      <c r="X2144" s="18" t="s">
        <v>42</v>
      </c>
      <c r="Y2144" s="18" t="s">
        <v>36</v>
      </c>
      <c r="Z2144" s="18" t="s">
        <v>697</v>
      </c>
      <c r="AA2144" s="21" t="str">
        <f>HYPERLINK("https://www.ncbi.nlm.nih.gov/nuccore/MH051915","NCBI Nucleotide")</f>
        <v>NCBI Nucleotide</v>
      </c>
    </row>
    <row r="2145" spans="1:27" x14ac:dyDescent="0.35">
      <c r="A2145">
        <v>1002621</v>
      </c>
      <c r="B2145">
        <v>2121</v>
      </c>
      <c r="C2145">
        <v>1</v>
      </c>
      <c r="D2145" s="17" t="s">
        <v>155</v>
      </c>
      <c r="E2145" s="17"/>
      <c r="F2145" s="17" t="s">
        <v>156</v>
      </c>
      <c r="G2145" s="17"/>
      <c r="H2145" s="17" t="s">
        <v>692</v>
      </c>
      <c r="I2145" s="17"/>
      <c r="J2145" s="17" t="s">
        <v>693</v>
      </c>
      <c r="K2145" s="17"/>
      <c r="L2145" s="17"/>
      <c r="M2145" s="17"/>
      <c r="N2145" s="17" t="s">
        <v>9509</v>
      </c>
      <c r="O2145" s="17" t="s">
        <v>9624</v>
      </c>
      <c r="P2145" s="17" t="s">
        <v>9761</v>
      </c>
      <c r="Q2145" s="17"/>
      <c r="R2145" s="25" t="str">
        <f>HYPERLINK("https://ictv.global/taxonomy/taxondetails?taxnode_id=202311975","Tequatrovirus ecomime340")</f>
        <v>Tequatrovirus ecomime340</v>
      </c>
      <c r="S2145" s="18" t="s">
        <v>30</v>
      </c>
      <c r="T2145" s="18" t="s">
        <v>9794</v>
      </c>
      <c r="U2145" s="18"/>
      <c r="V2145" s="18"/>
      <c r="W2145" s="18" t="s">
        <v>9795</v>
      </c>
      <c r="X2145" s="18" t="s">
        <v>42</v>
      </c>
      <c r="Y2145" s="18" t="s">
        <v>36</v>
      </c>
      <c r="Z2145" s="18" t="s">
        <v>697</v>
      </c>
      <c r="AA2145" s="21" t="str">
        <f>HYPERLINK("https://www.ncbi.nlm.nih.gov/nuccore/MH051916","NCBI Nucleotide")</f>
        <v>NCBI Nucleotide</v>
      </c>
    </row>
    <row r="2146" spans="1:27" x14ac:dyDescent="0.35">
      <c r="A2146">
        <v>1002622</v>
      </c>
      <c r="B2146">
        <v>2122</v>
      </c>
      <c r="C2146">
        <v>1</v>
      </c>
      <c r="D2146" s="17" t="s">
        <v>155</v>
      </c>
      <c r="E2146" s="17"/>
      <c r="F2146" s="17" t="s">
        <v>156</v>
      </c>
      <c r="G2146" s="17"/>
      <c r="H2146" s="17" t="s">
        <v>692</v>
      </c>
      <c r="I2146" s="17"/>
      <c r="J2146" s="17" t="s">
        <v>693</v>
      </c>
      <c r="K2146" s="17"/>
      <c r="L2146" s="17"/>
      <c r="M2146" s="17"/>
      <c r="N2146" s="17" t="s">
        <v>9509</v>
      </c>
      <c r="O2146" s="17" t="s">
        <v>9624</v>
      </c>
      <c r="P2146" s="17" t="s">
        <v>9761</v>
      </c>
      <c r="Q2146" s="17"/>
      <c r="R2146" s="25" t="str">
        <f>HYPERLINK("https://ictv.global/taxonomy/taxondetails?taxnode_id=202311998","Tequatrovirus ecomnbg2")</f>
        <v>Tequatrovirus ecomnbg2</v>
      </c>
      <c r="S2146" s="18" t="s">
        <v>30</v>
      </c>
      <c r="T2146" s="18" t="s">
        <v>9796</v>
      </c>
      <c r="U2146" s="18"/>
      <c r="V2146" s="18"/>
      <c r="W2146" s="18" t="s">
        <v>9797</v>
      </c>
      <c r="X2146" s="18" t="s">
        <v>42</v>
      </c>
      <c r="Y2146" s="18" t="s">
        <v>36</v>
      </c>
      <c r="Z2146" s="18" t="s">
        <v>697</v>
      </c>
      <c r="AA2146" s="21" t="str">
        <f>HYPERLINK("https://www.ncbi.nlm.nih.gov/nuccore/MH243439","NCBI Nucleotide")</f>
        <v>NCBI Nucleotide</v>
      </c>
    </row>
    <row r="2147" spans="1:27" x14ac:dyDescent="0.35">
      <c r="A2147">
        <v>1002623</v>
      </c>
      <c r="B2147">
        <v>2123</v>
      </c>
      <c r="C2147">
        <v>1</v>
      </c>
      <c r="D2147" s="17" t="s">
        <v>155</v>
      </c>
      <c r="E2147" s="17"/>
      <c r="F2147" s="17" t="s">
        <v>156</v>
      </c>
      <c r="G2147" s="17"/>
      <c r="H2147" s="17" t="s">
        <v>692</v>
      </c>
      <c r="I2147" s="17"/>
      <c r="J2147" s="17" t="s">
        <v>693</v>
      </c>
      <c r="K2147" s="17"/>
      <c r="L2147" s="17"/>
      <c r="M2147" s="17"/>
      <c r="N2147" s="17" t="s">
        <v>9509</v>
      </c>
      <c r="O2147" s="17" t="s">
        <v>9624</v>
      </c>
      <c r="P2147" s="17" t="s">
        <v>9761</v>
      </c>
      <c r="Q2147" s="17"/>
      <c r="R2147" s="25" t="str">
        <f>HYPERLINK("https://ictv.global/taxonomy/taxondetails?taxnode_id=202313947","Tequatrovirus ecomufv133")</f>
        <v>Tequatrovirus ecomufv133</v>
      </c>
      <c r="S2147" s="18" t="s">
        <v>30</v>
      </c>
      <c r="T2147" s="18" t="s">
        <v>9798</v>
      </c>
      <c r="U2147" s="18"/>
      <c r="V2147" s="18"/>
      <c r="W2147" s="18" t="s">
        <v>9799</v>
      </c>
      <c r="X2147" s="18" t="s">
        <v>42</v>
      </c>
      <c r="Y2147" s="18" t="s">
        <v>36</v>
      </c>
      <c r="Z2147" s="18" t="s">
        <v>697</v>
      </c>
      <c r="AA2147" s="21" t="str">
        <f>HYPERLINK("https://www.ncbi.nlm.nih.gov/nuccore/KU867876","NCBI Nucleotide")</f>
        <v>NCBI Nucleotide</v>
      </c>
    </row>
    <row r="2148" spans="1:27" x14ac:dyDescent="0.35">
      <c r="A2148">
        <v>1002624</v>
      </c>
      <c r="B2148">
        <v>2124</v>
      </c>
      <c r="C2148">
        <v>1</v>
      </c>
      <c r="D2148" s="17" t="s">
        <v>155</v>
      </c>
      <c r="E2148" s="17"/>
      <c r="F2148" s="17" t="s">
        <v>156</v>
      </c>
      <c r="G2148" s="17"/>
      <c r="H2148" s="17" t="s">
        <v>692</v>
      </c>
      <c r="I2148" s="17"/>
      <c r="J2148" s="17" t="s">
        <v>693</v>
      </c>
      <c r="K2148" s="17"/>
      <c r="L2148" s="17"/>
      <c r="M2148" s="17"/>
      <c r="N2148" s="17" t="s">
        <v>9509</v>
      </c>
      <c r="O2148" s="17" t="s">
        <v>9624</v>
      </c>
      <c r="P2148" s="17" t="s">
        <v>9761</v>
      </c>
      <c r="Q2148" s="17"/>
      <c r="R2148" s="25" t="str">
        <f>HYPERLINK("https://ictv.global/taxonomy/taxondetails?taxnode_id=202311989","Tequatrovirus effone")</f>
        <v>Tequatrovirus effone</v>
      </c>
      <c r="S2148" s="18" t="s">
        <v>30</v>
      </c>
      <c r="T2148" s="18" t="s">
        <v>9800</v>
      </c>
      <c r="U2148" s="18"/>
      <c r="V2148" s="18"/>
      <c r="W2148" s="18" t="s">
        <v>9801</v>
      </c>
      <c r="X2148" s="18" t="s">
        <v>42</v>
      </c>
      <c r="Y2148" s="18" t="s">
        <v>36</v>
      </c>
      <c r="Z2148" s="18" t="s">
        <v>697</v>
      </c>
      <c r="AA2148" s="21" t="str">
        <f>HYPERLINK("https://www.ncbi.nlm.nih.gov/nuccore/MT682712","NCBI Nucleotide")</f>
        <v>NCBI Nucleotide</v>
      </c>
    </row>
    <row r="2149" spans="1:27" x14ac:dyDescent="0.35">
      <c r="A2149">
        <v>1002625</v>
      </c>
      <c r="B2149">
        <v>2125</v>
      </c>
      <c r="C2149">
        <v>1</v>
      </c>
      <c r="D2149" s="17" t="s">
        <v>155</v>
      </c>
      <c r="E2149" s="17"/>
      <c r="F2149" s="17" t="s">
        <v>156</v>
      </c>
      <c r="G2149" s="17"/>
      <c r="H2149" s="17" t="s">
        <v>692</v>
      </c>
      <c r="I2149" s="17"/>
      <c r="J2149" s="17" t="s">
        <v>693</v>
      </c>
      <c r="K2149" s="17"/>
      <c r="L2149" s="17"/>
      <c r="M2149" s="17"/>
      <c r="N2149" s="17" t="s">
        <v>9509</v>
      </c>
      <c r="O2149" s="17" t="s">
        <v>9624</v>
      </c>
      <c r="P2149" s="17" t="s">
        <v>9761</v>
      </c>
      <c r="Q2149" s="17"/>
      <c r="R2149" s="25" t="str">
        <f>HYPERLINK("https://ictv.global/taxonomy/taxondetails?taxnode_id=202311979","Tequatrovirus efftwo")</f>
        <v>Tequatrovirus efftwo</v>
      </c>
      <c r="S2149" s="18" t="s">
        <v>30</v>
      </c>
      <c r="T2149" s="18" t="s">
        <v>9802</v>
      </c>
      <c r="U2149" s="18"/>
      <c r="V2149" s="18"/>
      <c r="W2149" s="18" t="s">
        <v>9803</v>
      </c>
      <c r="X2149" s="18" t="s">
        <v>42</v>
      </c>
      <c r="Y2149" s="18" t="s">
        <v>36</v>
      </c>
      <c r="Z2149" s="18" t="s">
        <v>697</v>
      </c>
      <c r="AA2149" s="21" t="str">
        <f>HYPERLINK("https://www.ncbi.nlm.nih.gov/nuccore/MN864145","NCBI Nucleotide")</f>
        <v>NCBI Nucleotide</v>
      </c>
    </row>
    <row r="2150" spans="1:27" x14ac:dyDescent="0.35">
      <c r="A2150">
        <v>1002626</v>
      </c>
      <c r="B2150">
        <v>2126</v>
      </c>
      <c r="C2150">
        <v>1</v>
      </c>
      <c r="D2150" s="17" t="s">
        <v>155</v>
      </c>
      <c r="E2150" s="17"/>
      <c r="F2150" s="17" t="s">
        <v>156</v>
      </c>
      <c r="G2150" s="17"/>
      <c r="H2150" s="17" t="s">
        <v>692</v>
      </c>
      <c r="I2150" s="17"/>
      <c r="J2150" s="17" t="s">
        <v>693</v>
      </c>
      <c r="K2150" s="17"/>
      <c r="L2150" s="17"/>
      <c r="M2150" s="17"/>
      <c r="N2150" s="17" t="s">
        <v>9509</v>
      </c>
      <c r="O2150" s="17" t="s">
        <v>9624</v>
      </c>
      <c r="P2150" s="17" t="s">
        <v>9761</v>
      </c>
      <c r="Q2150" s="17"/>
      <c r="R2150" s="25" t="str">
        <f>HYPERLINK("https://ictv.global/taxonomy/taxondetails?taxnode_id=202312016","Tequatrovirus fps2")</f>
        <v>Tequatrovirus fps2</v>
      </c>
      <c r="S2150" s="18" t="s">
        <v>30</v>
      </c>
      <c r="T2150" s="18" t="s">
        <v>9804</v>
      </c>
      <c r="U2150" s="18"/>
      <c r="V2150" s="18"/>
      <c r="W2150" s="18" t="s">
        <v>9805</v>
      </c>
      <c r="X2150" s="18" t="s">
        <v>42</v>
      </c>
      <c r="Y2150" s="18" t="s">
        <v>36</v>
      </c>
      <c r="Z2150" s="18" t="s">
        <v>697</v>
      </c>
      <c r="AA2150" s="21" t="str">
        <f>HYPERLINK("https://www.ncbi.nlm.nih.gov/nuccore/LR215722","NCBI Nucleotide")</f>
        <v>NCBI Nucleotide</v>
      </c>
    </row>
    <row r="2151" spans="1:27" x14ac:dyDescent="0.35">
      <c r="A2151">
        <v>1002627</v>
      </c>
      <c r="B2151">
        <v>2127</v>
      </c>
      <c r="C2151">
        <v>1</v>
      </c>
      <c r="D2151" s="17" t="s">
        <v>155</v>
      </c>
      <c r="E2151" s="17"/>
      <c r="F2151" s="17" t="s">
        <v>156</v>
      </c>
      <c r="G2151" s="17"/>
      <c r="H2151" s="17" t="s">
        <v>692</v>
      </c>
      <c r="I2151" s="17"/>
      <c r="J2151" s="17" t="s">
        <v>693</v>
      </c>
      <c r="K2151" s="17"/>
      <c r="L2151" s="17"/>
      <c r="M2151" s="17"/>
      <c r="N2151" s="17" t="s">
        <v>9509</v>
      </c>
      <c r="O2151" s="17" t="s">
        <v>9624</v>
      </c>
      <c r="P2151" s="17" t="s">
        <v>9761</v>
      </c>
      <c r="Q2151" s="17"/>
      <c r="R2151" s="25" t="str">
        <f>HYPERLINK("https://ictv.global/taxonomy/taxondetails?taxnode_id=202313954","Tequatrovirus fps65")</f>
        <v>Tequatrovirus fps65</v>
      </c>
      <c r="S2151" s="18" t="s">
        <v>30</v>
      </c>
      <c r="T2151" s="18" t="s">
        <v>9806</v>
      </c>
      <c r="U2151" s="18"/>
      <c r="V2151" s="18"/>
      <c r="W2151" s="18" t="s">
        <v>9807</v>
      </c>
      <c r="X2151" s="18" t="s">
        <v>42</v>
      </c>
      <c r="Y2151" s="18" t="s">
        <v>36</v>
      </c>
      <c r="Z2151" s="18" t="s">
        <v>697</v>
      </c>
      <c r="AA2151" s="21" t="str">
        <f>HYPERLINK("https://www.ncbi.nlm.nih.gov/nuccore/LR215724","NCBI Nucleotide")</f>
        <v>NCBI Nucleotide</v>
      </c>
    </row>
    <row r="2152" spans="1:27" x14ac:dyDescent="0.35">
      <c r="A2152">
        <v>1002628</v>
      </c>
      <c r="B2152">
        <v>2128</v>
      </c>
      <c r="C2152">
        <v>1</v>
      </c>
      <c r="D2152" s="17" t="s">
        <v>155</v>
      </c>
      <c r="E2152" s="17"/>
      <c r="F2152" s="17" t="s">
        <v>156</v>
      </c>
      <c r="G2152" s="17"/>
      <c r="H2152" s="17" t="s">
        <v>692</v>
      </c>
      <c r="I2152" s="17"/>
      <c r="J2152" s="17" t="s">
        <v>693</v>
      </c>
      <c r="K2152" s="17"/>
      <c r="L2152" s="17"/>
      <c r="M2152" s="17"/>
      <c r="N2152" s="17" t="s">
        <v>9509</v>
      </c>
      <c r="O2152" s="17" t="s">
        <v>9624</v>
      </c>
      <c r="P2152" s="17" t="s">
        <v>9761</v>
      </c>
      <c r="Q2152" s="17"/>
      <c r="R2152" s="25" t="str">
        <f>HYPERLINK("https://ictv.global/taxonomy/taxondetails?taxnode_id=202313951","Tequatrovirus fps90")</f>
        <v>Tequatrovirus fps90</v>
      </c>
      <c r="S2152" s="18" t="s">
        <v>30</v>
      </c>
      <c r="T2152" s="18" t="s">
        <v>9808</v>
      </c>
      <c r="U2152" s="18"/>
      <c r="V2152" s="18"/>
      <c r="W2152" s="18" t="s">
        <v>9809</v>
      </c>
      <c r="X2152" s="18" t="s">
        <v>42</v>
      </c>
      <c r="Y2152" s="18" t="s">
        <v>36</v>
      </c>
      <c r="Z2152" s="18" t="s">
        <v>697</v>
      </c>
      <c r="AA2152" s="21" t="str">
        <f>HYPERLINK("https://www.ncbi.nlm.nih.gov/nuccore/LR215723","NCBI Nucleotide")</f>
        <v>NCBI Nucleotide</v>
      </c>
    </row>
    <row r="2153" spans="1:27" x14ac:dyDescent="0.35">
      <c r="A2153">
        <v>1002631</v>
      </c>
      <c r="B2153">
        <v>2129</v>
      </c>
      <c r="C2153">
        <v>1</v>
      </c>
      <c r="D2153" s="17" t="s">
        <v>155</v>
      </c>
      <c r="E2153" s="17"/>
      <c r="F2153" s="17" t="s">
        <v>156</v>
      </c>
      <c r="G2153" s="17"/>
      <c r="H2153" s="17" t="s">
        <v>692</v>
      </c>
      <c r="I2153" s="17"/>
      <c r="J2153" s="17" t="s">
        <v>693</v>
      </c>
      <c r="K2153" s="17"/>
      <c r="L2153" s="17"/>
      <c r="M2153" s="17"/>
      <c r="N2153" s="17" t="s">
        <v>9509</v>
      </c>
      <c r="O2153" s="17" t="s">
        <v>9624</v>
      </c>
      <c r="P2153" s="17" t="s">
        <v>9761</v>
      </c>
      <c r="Q2153" s="17"/>
      <c r="R2153" s="25" t="str">
        <f>HYPERLINK("https://ictv.global/taxonomy/taxondetails?taxnode_id=202311992","Tequatrovirus gee50")</f>
        <v>Tequatrovirus gee50</v>
      </c>
      <c r="S2153" s="18" t="s">
        <v>30</v>
      </c>
      <c r="T2153" s="18" t="s">
        <v>9814</v>
      </c>
      <c r="U2153" s="18"/>
      <c r="V2153" s="18"/>
      <c r="W2153" s="18" t="s">
        <v>9815</v>
      </c>
      <c r="X2153" s="18" t="s">
        <v>42</v>
      </c>
      <c r="Y2153" s="18" t="s">
        <v>36</v>
      </c>
      <c r="Z2153" s="18" t="s">
        <v>697</v>
      </c>
      <c r="AA2153" s="21" t="str">
        <f>HYPERLINK("https://www.ncbi.nlm.nih.gov/nuccore/MK327942","NCBI Nucleotide")</f>
        <v>NCBI Nucleotide</v>
      </c>
    </row>
    <row r="2154" spans="1:27" x14ac:dyDescent="0.35">
      <c r="A2154">
        <v>1002629</v>
      </c>
      <c r="B2154">
        <v>2130</v>
      </c>
      <c r="C2154">
        <v>1</v>
      </c>
      <c r="D2154" s="17" t="s">
        <v>155</v>
      </c>
      <c r="E2154" s="17"/>
      <c r="F2154" s="17" t="s">
        <v>156</v>
      </c>
      <c r="G2154" s="17"/>
      <c r="H2154" s="17" t="s">
        <v>692</v>
      </c>
      <c r="I2154" s="17"/>
      <c r="J2154" s="17" t="s">
        <v>693</v>
      </c>
      <c r="K2154" s="17"/>
      <c r="L2154" s="17"/>
      <c r="M2154" s="17"/>
      <c r="N2154" s="17" t="s">
        <v>9509</v>
      </c>
      <c r="O2154" s="17" t="s">
        <v>9624</v>
      </c>
      <c r="P2154" s="17" t="s">
        <v>9761</v>
      </c>
      <c r="Q2154" s="17"/>
      <c r="R2154" s="25" t="str">
        <f>HYPERLINK("https://ictv.global/taxonomy/taxondetails?taxnode_id=202311990","Tequatrovirus gee4498")</f>
        <v>Tequatrovirus gee4498</v>
      </c>
      <c r="S2154" s="18" t="s">
        <v>30</v>
      </c>
      <c r="T2154" s="18" t="s">
        <v>9810</v>
      </c>
      <c r="U2154" s="18"/>
      <c r="V2154" s="18"/>
      <c r="W2154" s="18" t="s">
        <v>9811</v>
      </c>
      <c r="X2154" s="18" t="s">
        <v>42</v>
      </c>
      <c r="Y2154" s="18" t="s">
        <v>36</v>
      </c>
      <c r="Z2154" s="18" t="s">
        <v>697</v>
      </c>
      <c r="AA2154" s="21" t="str">
        <f>HYPERLINK("https://www.ncbi.nlm.nih.gov/nuccore/MK327939","NCBI Nucleotide")</f>
        <v>NCBI Nucleotide</v>
      </c>
    </row>
    <row r="2155" spans="1:27" x14ac:dyDescent="0.35">
      <c r="A2155">
        <v>1002630</v>
      </c>
      <c r="B2155">
        <v>2131</v>
      </c>
      <c r="C2155">
        <v>1</v>
      </c>
      <c r="D2155" s="17" t="s">
        <v>155</v>
      </c>
      <c r="E2155" s="17"/>
      <c r="F2155" s="17" t="s">
        <v>156</v>
      </c>
      <c r="G2155" s="17"/>
      <c r="H2155" s="17" t="s">
        <v>692</v>
      </c>
      <c r="I2155" s="17"/>
      <c r="J2155" s="17" t="s">
        <v>693</v>
      </c>
      <c r="K2155" s="17"/>
      <c r="L2155" s="17"/>
      <c r="M2155" s="17"/>
      <c r="N2155" s="17" t="s">
        <v>9509</v>
      </c>
      <c r="O2155" s="17" t="s">
        <v>9624</v>
      </c>
      <c r="P2155" s="17" t="s">
        <v>9761</v>
      </c>
      <c r="Q2155" s="17"/>
      <c r="R2155" s="25" t="str">
        <f>HYPERLINK("https://ictv.global/taxonomy/taxondetails?taxnode_id=202311991","Tequatrovirus gee4507")</f>
        <v>Tequatrovirus gee4507</v>
      </c>
      <c r="S2155" s="18" t="s">
        <v>30</v>
      </c>
      <c r="T2155" s="18" t="s">
        <v>9812</v>
      </c>
      <c r="U2155" s="18"/>
      <c r="V2155" s="18"/>
      <c r="W2155" s="18" t="s">
        <v>9813</v>
      </c>
      <c r="X2155" s="18" t="s">
        <v>42</v>
      </c>
      <c r="Y2155" s="18" t="s">
        <v>36</v>
      </c>
      <c r="Z2155" s="18" t="s">
        <v>697</v>
      </c>
      <c r="AA2155" s="21" t="str">
        <f>HYPERLINK("https://www.ncbi.nlm.nih.gov/nuccore/MK327946","NCBI Nucleotide")</f>
        <v>NCBI Nucleotide</v>
      </c>
    </row>
    <row r="2156" spans="1:27" x14ac:dyDescent="0.35">
      <c r="A2156">
        <v>1002632</v>
      </c>
      <c r="B2156">
        <v>2132</v>
      </c>
      <c r="C2156">
        <v>1</v>
      </c>
      <c r="D2156" s="17" t="s">
        <v>155</v>
      </c>
      <c r="E2156" s="17"/>
      <c r="F2156" s="17" t="s">
        <v>156</v>
      </c>
      <c r="G2156" s="17"/>
      <c r="H2156" s="17" t="s">
        <v>692</v>
      </c>
      <c r="I2156" s="17"/>
      <c r="J2156" s="17" t="s">
        <v>693</v>
      </c>
      <c r="K2156" s="17"/>
      <c r="L2156" s="17"/>
      <c r="M2156" s="17"/>
      <c r="N2156" s="17" t="s">
        <v>9509</v>
      </c>
      <c r="O2156" s="17" t="s">
        <v>9624</v>
      </c>
      <c r="P2156" s="17" t="s">
        <v>9761</v>
      </c>
      <c r="Q2156" s="17"/>
      <c r="R2156" s="25" t="str">
        <f>HYPERLINK("https://ictv.global/taxonomy/taxondetails?taxnode_id=202311994","Tequatrovirus gee9062")</f>
        <v>Tequatrovirus gee9062</v>
      </c>
      <c r="S2156" s="18" t="s">
        <v>30</v>
      </c>
      <c r="T2156" s="18" t="s">
        <v>9816</v>
      </c>
      <c r="U2156" s="18"/>
      <c r="V2156" s="18"/>
      <c r="W2156" s="18" t="s">
        <v>9817</v>
      </c>
      <c r="X2156" s="18" t="s">
        <v>42</v>
      </c>
      <c r="Y2156" s="18" t="s">
        <v>36</v>
      </c>
      <c r="Z2156" s="18" t="s">
        <v>697</v>
      </c>
      <c r="AA2156" s="21" t="str">
        <f>HYPERLINK("https://www.ncbi.nlm.nih.gov/nuccore/MK373779","NCBI Nucleotide")</f>
        <v>NCBI Nucleotide</v>
      </c>
    </row>
    <row r="2157" spans="1:27" x14ac:dyDescent="0.35">
      <c r="A2157">
        <v>1002633</v>
      </c>
      <c r="B2157">
        <v>2133</v>
      </c>
      <c r="C2157">
        <v>1</v>
      </c>
      <c r="D2157" s="17" t="s">
        <v>155</v>
      </c>
      <c r="E2157" s="17"/>
      <c r="F2157" s="17" t="s">
        <v>156</v>
      </c>
      <c r="G2157" s="17"/>
      <c r="H2157" s="17" t="s">
        <v>692</v>
      </c>
      <c r="I2157" s="17"/>
      <c r="J2157" s="17" t="s">
        <v>693</v>
      </c>
      <c r="K2157" s="17"/>
      <c r="L2157" s="17"/>
      <c r="M2157" s="17"/>
      <c r="N2157" s="17" t="s">
        <v>9509</v>
      </c>
      <c r="O2157" s="17" t="s">
        <v>9624</v>
      </c>
      <c r="P2157" s="17" t="s">
        <v>9761</v>
      </c>
      <c r="Q2157" s="17"/>
      <c r="R2157" s="25" t="str">
        <f>HYPERLINK("https://ictv.global/taxonomy/taxondetails?taxnode_id=202311993","Tequatrovirus geeight")</f>
        <v>Tequatrovirus geeight</v>
      </c>
      <c r="S2157" s="18" t="s">
        <v>30</v>
      </c>
      <c r="T2157" s="18" t="s">
        <v>9818</v>
      </c>
      <c r="U2157" s="18"/>
      <c r="V2157" s="18"/>
      <c r="W2157" s="18" t="s">
        <v>9819</v>
      </c>
      <c r="X2157" s="18" t="s">
        <v>42</v>
      </c>
      <c r="Y2157" s="18" t="s">
        <v>36</v>
      </c>
      <c r="Z2157" s="18" t="s">
        <v>697</v>
      </c>
      <c r="AA2157" s="21" t="str">
        <f>HYPERLINK("https://www.ncbi.nlm.nih.gov/nuccore/MK373787","NCBI Nucleotide")</f>
        <v>NCBI Nucleotide</v>
      </c>
    </row>
    <row r="2158" spans="1:27" x14ac:dyDescent="0.35">
      <c r="A2158">
        <v>1002634</v>
      </c>
      <c r="B2158">
        <v>2134</v>
      </c>
      <c r="C2158">
        <v>1</v>
      </c>
      <c r="D2158" s="17" t="s">
        <v>155</v>
      </c>
      <c r="E2158" s="17"/>
      <c r="F2158" s="17" t="s">
        <v>156</v>
      </c>
      <c r="G2158" s="17"/>
      <c r="H2158" s="17" t="s">
        <v>692</v>
      </c>
      <c r="I2158" s="17"/>
      <c r="J2158" s="17" t="s">
        <v>693</v>
      </c>
      <c r="K2158" s="17"/>
      <c r="L2158" s="17"/>
      <c r="M2158" s="17"/>
      <c r="N2158" s="17" t="s">
        <v>9509</v>
      </c>
      <c r="O2158" s="17" t="s">
        <v>9624</v>
      </c>
      <c r="P2158" s="17" t="s">
        <v>9761</v>
      </c>
      <c r="Q2158" s="17"/>
      <c r="R2158" s="25" t="str">
        <f>HYPERLINK("https://ictv.global/taxonomy/taxondetails?taxnode_id=202311970","Tequatrovirus gizh")</f>
        <v>Tequatrovirus gizh</v>
      </c>
      <c r="S2158" s="18" t="s">
        <v>30</v>
      </c>
      <c r="T2158" s="18" t="s">
        <v>9820</v>
      </c>
      <c r="U2158" s="18"/>
      <c r="V2158" s="18"/>
      <c r="W2158" s="18" t="s">
        <v>9821</v>
      </c>
      <c r="X2158" s="18" t="s">
        <v>42</v>
      </c>
      <c r="Y2158" s="18" t="s">
        <v>36</v>
      </c>
      <c r="Z2158" s="18" t="s">
        <v>697</v>
      </c>
      <c r="AA2158" s="21" t="str">
        <f>HYPERLINK("https://www.ncbi.nlm.nih.gov/nuccore/KT184311","NCBI Nucleotide")</f>
        <v>NCBI Nucleotide</v>
      </c>
    </row>
    <row r="2159" spans="1:27" x14ac:dyDescent="0.35">
      <c r="A2159">
        <v>1002635</v>
      </c>
      <c r="B2159">
        <v>2135</v>
      </c>
      <c r="C2159">
        <v>1</v>
      </c>
      <c r="D2159" s="17" t="s">
        <v>155</v>
      </c>
      <c r="E2159" s="17"/>
      <c r="F2159" s="17" t="s">
        <v>156</v>
      </c>
      <c r="G2159" s="17"/>
      <c r="H2159" s="17" t="s">
        <v>692</v>
      </c>
      <c r="I2159" s="17"/>
      <c r="J2159" s="17" t="s">
        <v>693</v>
      </c>
      <c r="K2159" s="17"/>
      <c r="L2159" s="17"/>
      <c r="M2159" s="17"/>
      <c r="N2159" s="17" t="s">
        <v>9509</v>
      </c>
      <c r="O2159" s="17" t="s">
        <v>9624</v>
      </c>
      <c r="P2159" s="17" t="s">
        <v>9761</v>
      </c>
      <c r="Q2159" s="17"/>
      <c r="R2159" s="25" t="str">
        <f>HYPERLINK("https://ictv.global/taxonomy/taxondetails?taxnode_id=202300328","Tequatrovirus hy01")</f>
        <v>Tequatrovirus hy01</v>
      </c>
      <c r="S2159" s="18" t="s">
        <v>30</v>
      </c>
      <c r="T2159" s="18" t="s">
        <v>9822</v>
      </c>
      <c r="U2159" s="18"/>
      <c r="V2159" s="18"/>
      <c r="W2159" s="18" t="s">
        <v>9823</v>
      </c>
      <c r="X2159" s="18" t="s">
        <v>42</v>
      </c>
      <c r="Y2159" s="18" t="s">
        <v>36</v>
      </c>
      <c r="Z2159" s="18" t="s">
        <v>697</v>
      </c>
      <c r="AA2159" s="21" t="str">
        <f>HYPERLINK("https://www.ncbi.nlm.nih.gov/nuccore/KF925357","NCBI Nucleotide")</f>
        <v>NCBI Nucleotide</v>
      </c>
    </row>
    <row r="2160" spans="1:27" x14ac:dyDescent="0.35">
      <c r="A2160">
        <v>1002636</v>
      </c>
      <c r="B2160">
        <v>2136</v>
      </c>
      <c r="C2160">
        <v>1</v>
      </c>
      <c r="D2160" s="17" t="s">
        <v>155</v>
      </c>
      <c r="E2160" s="17"/>
      <c r="F2160" s="17" t="s">
        <v>156</v>
      </c>
      <c r="G2160" s="17"/>
      <c r="H2160" s="17" t="s">
        <v>692</v>
      </c>
      <c r="I2160" s="17"/>
      <c r="J2160" s="17" t="s">
        <v>693</v>
      </c>
      <c r="K2160" s="17"/>
      <c r="L2160" s="17"/>
      <c r="M2160" s="17"/>
      <c r="N2160" s="17" t="s">
        <v>9509</v>
      </c>
      <c r="O2160" s="17" t="s">
        <v>9624</v>
      </c>
      <c r="P2160" s="17" t="s">
        <v>9761</v>
      </c>
      <c r="Q2160" s="17"/>
      <c r="R2160" s="25" t="str">
        <f>HYPERLINK("https://ictv.global/taxonomy/taxondetails?taxnode_id=202307049","Tequatrovirus hy03")</f>
        <v>Tequatrovirus hy03</v>
      </c>
      <c r="S2160" s="18" t="s">
        <v>30</v>
      </c>
      <c r="T2160" s="18" t="s">
        <v>9824</v>
      </c>
      <c r="U2160" s="18"/>
      <c r="V2160" s="18"/>
      <c r="W2160" s="18" t="s">
        <v>9825</v>
      </c>
      <c r="X2160" s="18" t="s">
        <v>42</v>
      </c>
      <c r="Y2160" s="18" t="s">
        <v>36</v>
      </c>
      <c r="Z2160" s="18" t="s">
        <v>697</v>
      </c>
      <c r="AA2160" s="21" t="str">
        <f>HYPERLINK("https://www.ncbi.nlm.nih.gov/nuccore/KR269718","NCBI Nucleotide")</f>
        <v>NCBI Nucleotide</v>
      </c>
    </row>
    <row r="2161" spans="1:27" x14ac:dyDescent="0.35">
      <c r="A2161">
        <v>1002637</v>
      </c>
      <c r="B2161">
        <v>2137</v>
      </c>
      <c r="C2161">
        <v>1</v>
      </c>
      <c r="D2161" s="17" t="s">
        <v>155</v>
      </c>
      <c r="E2161" s="17"/>
      <c r="F2161" s="17" t="s">
        <v>156</v>
      </c>
      <c r="G2161" s="17"/>
      <c r="H2161" s="17" t="s">
        <v>692</v>
      </c>
      <c r="I2161" s="17"/>
      <c r="J2161" s="17" t="s">
        <v>693</v>
      </c>
      <c r="K2161" s="17"/>
      <c r="L2161" s="17"/>
      <c r="M2161" s="17"/>
      <c r="N2161" s="17" t="s">
        <v>9509</v>
      </c>
      <c r="O2161" s="17" t="s">
        <v>9624</v>
      </c>
      <c r="P2161" s="17" t="s">
        <v>9761</v>
      </c>
      <c r="Q2161" s="17"/>
      <c r="R2161" s="25" t="str">
        <f>HYPERLINK("https://ictv.global/taxonomy/taxondetails?taxnode_id=202300329","Tequatrovirus ime09")</f>
        <v>Tequatrovirus ime09</v>
      </c>
      <c r="S2161" s="18" t="s">
        <v>30</v>
      </c>
      <c r="T2161" s="18" t="s">
        <v>9826</v>
      </c>
      <c r="U2161" s="18"/>
      <c r="V2161" s="18"/>
      <c r="W2161" s="18" t="s">
        <v>9827</v>
      </c>
      <c r="X2161" s="18" t="s">
        <v>42</v>
      </c>
      <c r="Y2161" s="18" t="s">
        <v>36</v>
      </c>
      <c r="Z2161" s="18" t="s">
        <v>697</v>
      </c>
      <c r="AA2161" s="21" t="str">
        <f>HYPERLINK("https://www.ncbi.nlm.nih.gov/nuccore/JN202312","NCBI Nucleotide")</f>
        <v>NCBI Nucleotide</v>
      </c>
    </row>
    <row r="2162" spans="1:27" x14ac:dyDescent="0.35">
      <c r="A2162">
        <v>1002638</v>
      </c>
      <c r="B2162">
        <v>2138</v>
      </c>
      <c r="C2162">
        <v>1</v>
      </c>
      <c r="D2162" s="17" t="s">
        <v>155</v>
      </c>
      <c r="E2162" s="17"/>
      <c r="F2162" s="17" t="s">
        <v>156</v>
      </c>
      <c r="G2162" s="17"/>
      <c r="H2162" s="17" t="s">
        <v>692</v>
      </c>
      <c r="I2162" s="17"/>
      <c r="J2162" s="17" t="s">
        <v>693</v>
      </c>
      <c r="K2162" s="17"/>
      <c r="L2162" s="17"/>
      <c r="M2162" s="17"/>
      <c r="N2162" s="17" t="s">
        <v>9509</v>
      </c>
      <c r="O2162" s="17" t="s">
        <v>9624</v>
      </c>
      <c r="P2162" s="17" t="s">
        <v>9761</v>
      </c>
      <c r="Q2162" s="17"/>
      <c r="R2162" s="25" t="str">
        <f>HYPERLINK("https://ictv.global/taxonomy/taxondetails?taxnode_id=202311995","Tequatrovirus ime537")</f>
        <v>Tequatrovirus ime537</v>
      </c>
      <c r="S2162" s="18" t="s">
        <v>30</v>
      </c>
      <c r="T2162" s="18" t="s">
        <v>9828</v>
      </c>
      <c r="U2162" s="18"/>
      <c r="V2162" s="18"/>
      <c r="W2162" s="18" t="s">
        <v>9829</v>
      </c>
      <c r="X2162" s="18" t="s">
        <v>42</v>
      </c>
      <c r="Y2162" s="18" t="s">
        <v>36</v>
      </c>
      <c r="Z2162" s="18" t="s">
        <v>697</v>
      </c>
      <c r="AA2162" s="21" t="str">
        <f>HYPERLINK("https://www.ncbi.nlm.nih.gov/nuccore/MT179807","NCBI Nucleotide")</f>
        <v>NCBI Nucleotide</v>
      </c>
    </row>
    <row r="2163" spans="1:27" x14ac:dyDescent="0.35">
      <c r="A2163">
        <v>1002639</v>
      </c>
      <c r="B2163">
        <v>2139</v>
      </c>
      <c r="C2163">
        <v>1</v>
      </c>
      <c r="D2163" s="17" t="s">
        <v>155</v>
      </c>
      <c r="E2163" s="17"/>
      <c r="F2163" s="17" t="s">
        <v>156</v>
      </c>
      <c r="G2163" s="17"/>
      <c r="H2163" s="17" t="s">
        <v>692</v>
      </c>
      <c r="I2163" s="17"/>
      <c r="J2163" s="17" t="s">
        <v>693</v>
      </c>
      <c r="K2163" s="17"/>
      <c r="L2163" s="17"/>
      <c r="M2163" s="17"/>
      <c r="N2163" s="17" t="s">
        <v>9509</v>
      </c>
      <c r="O2163" s="17" t="s">
        <v>9624</v>
      </c>
      <c r="P2163" s="17" t="s">
        <v>9761</v>
      </c>
      <c r="Q2163" s="17"/>
      <c r="R2163" s="25" t="str">
        <f>HYPERLINK("https://ictv.global/taxonomy/taxondetails?taxnode_id=202312010","Tequatrovirus jaykay")</f>
        <v>Tequatrovirus jaykay</v>
      </c>
      <c r="S2163" s="18" t="s">
        <v>30</v>
      </c>
      <c r="T2163" s="18" t="s">
        <v>9830</v>
      </c>
      <c r="U2163" s="18"/>
      <c r="V2163" s="18"/>
      <c r="W2163" s="18" t="s">
        <v>9831</v>
      </c>
      <c r="X2163" s="18" t="s">
        <v>42</v>
      </c>
      <c r="Y2163" s="18" t="s">
        <v>36</v>
      </c>
      <c r="Z2163" s="18" t="s">
        <v>697</v>
      </c>
      <c r="AA2163" s="21" t="str">
        <f>HYPERLINK("https://www.ncbi.nlm.nih.gov/nuccore/MK962757","NCBI Nucleotide")</f>
        <v>NCBI Nucleotide</v>
      </c>
    </row>
    <row r="2164" spans="1:27" x14ac:dyDescent="0.35">
      <c r="A2164">
        <v>1002640</v>
      </c>
      <c r="B2164">
        <v>2140</v>
      </c>
      <c r="C2164">
        <v>1</v>
      </c>
      <c r="D2164" s="17" t="s">
        <v>155</v>
      </c>
      <c r="E2164" s="17"/>
      <c r="F2164" s="17" t="s">
        <v>156</v>
      </c>
      <c r="G2164" s="17"/>
      <c r="H2164" s="17" t="s">
        <v>692</v>
      </c>
      <c r="I2164" s="17"/>
      <c r="J2164" s="17" t="s">
        <v>693</v>
      </c>
      <c r="K2164" s="17"/>
      <c r="L2164" s="17"/>
      <c r="M2164" s="17"/>
      <c r="N2164" s="17" t="s">
        <v>9509</v>
      </c>
      <c r="O2164" s="17" t="s">
        <v>9624</v>
      </c>
      <c r="P2164" s="17" t="s">
        <v>9761</v>
      </c>
      <c r="Q2164" s="17"/>
      <c r="R2164" s="25" t="str">
        <f>HYPERLINK("https://ictv.global/taxonomy/taxondetails?taxnode_id=202311996","Tequatrovirus kaw")</f>
        <v>Tequatrovirus kaw</v>
      </c>
      <c r="S2164" s="18" t="s">
        <v>30</v>
      </c>
      <c r="T2164" s="18" t="s">
        <v>9832</v>
      </c>
      <c r="U2164" s="18"/>
      <c r="V2164" s="18"/>
      <c r="W2164" s="18" t="s">
        <v>9833</v>
      </c>
      <c r="X2164" s="18" t="s">
        <v>42</v>
      </c>
      <c r="Y2164" s="18" t="s">
        <v>36</v>
      </c>
      <c r="Z2164" s="18" t="s">
        <v>697</v>
      </c>
      <c r="AA2164" s="21" t="str">
        <f>HYPERLINK("https://www.ncbi.nlm.nih.gov/nuccore/MK373781","NCBI Nucleotide")</f>
        <v>NCBI Nucleotide</v>
      </c>
    </row>
    <row r="2165" spans="1:27" x14ac:dyDescent="0.35">
      <c r="A2165">
        <v>1002641</v>
      </c>
      <c r="B2165">
        <v>2141</v>
      </c>
      <c r="C2165">
        <v>1</v>
      </c>
      <c r="D2165" s="17" t="s">
        <v>155</v>
      </c>
      <c r="E2165" s="17"/>
      <c r="F2165" s="17" t="s">
        <v>156</v>
      </c>
      <c r="G2165" s="17"/>
      <c r="H2165" s="17" t="s">
        <v>692</v>
      </c>
      <c r="I2165" s="17"/>
      <c r="J2165" s="17" t="s">
        <v>693</v>
      </c>
      <c r="K2165" s="17"/>
      <c r="L2165" s="17"/>
      <c r="M2165" s="17"/>
      <c r="N2165" s="17" t="s">
        <v>9509</v>
      </c>
      <c r="O2165" s="17" t="s">
        <v>9624</v>
      </c>
      <c r="P2165" s="17" t="s">
        <v>9761</v>
      </c>
      <c r="Q2165" s="17"/>
      <c r="R2165" s="25" t="str">
        <f>HYPERLINK("https://ictv.global/taxonomy/taxondetails?taxnode_id=202311971","Tequatrovirus kha5h")</f>
        <v>Tequatrovirus kha5h</v>
      </c>
      <c r="S2165" s="18" t="s">
        <v>30</v>
      </c>
      <c r="T2165" s="18" t="s">
        <v>9834</v>
      </c>
      <c r="U2165" s="18"/>
      <c r="V2165" s="18"/>
      <c r="W2165" s="18" t="s">
        <v>9835</v>
      </c>
      <c r="X2165" s="18" t="s">
        <v>42</v>
      </c>
      <c r="Y2165" s="18" t="s">
        <v>36</v>
      </c>
      <c r="Z2165" s="18" t="s">
        <v>697</v>
      </c>
      <c r="AA2165" s="21" t="str">
        <f>HYPERLINK("https://www.ncbi.nlm.nih.gov/nuccore/KT184312","NCBI Nucleotide")</f>
        <v>NCBI Nucleotide</v>
      </c>
    </row>
    <row r="2166" spans="1:27" x14ac:dyDescent="0.35">
      <c r="A2166">
        <v>1002642</v>
      </c>
      <c r="B2166">
        <v>2142</v>
      </c>
      <c r="C2166">
        <v>1</v>
      </c>
      <c r="D2166" s="17" t="s">
        <v>155</v>
      </c>
      <c r="E2166" s="17"/>
      <c r="F2166" s="17" t="s">
        <v>156</v>
      </c>
      <c r="G2166" s="17"/>
      <c r="H2166" s="17" t="s">
        <v>692</v>
      </c>
      <c r="I2166" s="17"/>
      <c r="J2166" s="17" t="s">
        <v>693</v>
      </c>
      <c r="K2166" s="17"/>
      <c r="L2166" s="17"/>
      <c r="M2166" s="17"/>
      <c r="N2166" s="17" t="s">
        <v>9509</v>
      </c>
      <c r="O2166" s="17" t="s">
        <v>9624</v>
      </c>
      <c r="P2166" s="17" t="s">
        <v>9761</v>
      </c>
      <c r="Q2166" s="17"/>
      <c r="R2166" s="25" t="str">
        <f>HYPERLINK("https://ictv.global/taxonomy/taxondetails?taxnode_id=202311980","Tequatrovirus kit03")</f>
        <v>Tequatrovirus kit03</v>
      </c>
      <c r="S2166" s="18" t="s">
        <v>30</v>
      </c>
      <c r="T2166" s="18" t="s">
        <v>9836</v>
      </c>
      <c r="U2166" s="18"/>
      <c r="V2166" s="18"/>
      <c r="W2166" s="18" t="s">
        <v>9837</v>
      </c>
      <c r="X2166" s="18" t="s">
        <v>42</v>
      </c>
      <c r="Y2166" s="18" t="s">
        <v>36</v>
      </c>
      <c r="Z2166" s="18" t="s">
        <v>697</v>
      </c>
      <c r="AA2166" s="21" t="str">
        <f>HYPERLINK("https://www.ncbi.nlm.nih.gov/nuccore/AP018932","NCBI Nucleotide")</f>
        <v>NCBI Nucleotide</v>
      </c>
    </row>
    <row r="2167" spans="1:27" x14ac:dyDescent="0.35">
      <c r="A2167">
        <v>1002643</v>
      </c>
      <c r="B2167">
        <v>2143</v>
      </c>
      <c r="C2167">
        <v>1</v>
      </c>
      <c r="D2167" s="17" t="s">
        <v>155</v>
      </c>
      <c r="E2167" s="17"/>
      <c r="F2167" s="17" t="s">
        <v>156</v>
      </c>
      <c r="G2167" s="17"/>
      <c r="H2167" s="17" t="s">
        <v>692</v>
      </c>
      <c r="I2167" s="17"/>
      <c r="J2167" s="17" t="s">
        <v>693</v>
      </c>
      <c r="K2167" s="17"/>
      <c r="L2167" s="17"/>
      <c r="M2167" s="17"/>
      <c r="N2167" s="17" t="s">
        <v>9509</v>
      </c>
      <c r="O2167" s="17" t="s">
        <v>9624</v>
      </c>
      <c r="P2167" s="17" t="s">
        <v>9761</v>
      </c>
      <c r="Q2167" s="17"/>
      <c r="R2167" s="25" t="str">
        <f>HYPERLINK("https://ictv.global/taxonomy/taxondetails?taxnode_id=202313948","Tequatrovirus knp5")</f>
        <v>Tequatrovirus knp5</v>
      </c>
      <c r="S2167" s="18" t="s">
        <v>30</v>
      </c>
      <c r="T2167" s="18" t="s">
        <v>9838</v>
      </c>
      <c r="U2167" s="18"/>
      <c r="V2167" s="18"/>
      <c r="W2167" s="18" t="s">
        <v>9839</v>
      </c>
      <c r="X2167" s="18" t="s">
        <v>42</v>
      </c>
      <c r="Y2167" s="18" t="s">
        <v>36</v>
      </c>
      <c r="Z2167" s="18" t="s">
        <v>697</v>
      </c>
      <c r="AA2167" s="21" t="str">
        <f>HYPERLINK("https://www.ncbi.nlm.nih.gov/nuccore/KX452698","NCBI Nucleotide")</f>
        <v>NCBI Nucleotide</v>
      </c>
    </row>
    <row r="2168" spans="1:27" x14ac:dyDescent="0.35">
      <c r="A2168">
        <v>1002644</v>
      </c>
      <c r="B2168">
        <v>2144</v>
      </c>
      <c r="C2168">
        <v>1</v>
      </c>
      <c r="D2168" s="17" t="s">
        <v>155</v>
      </c>
      <c r="E2168" s="17"/>
      <c r="F2168" s="17" t="s">
        <v>156</v>
      </c>
      <c r="G2168" s="17"/>
      <c r="H2168" s="17" t="s">
        <v>692</v>
      </c>
      <c r="I2168" s="17"/>
      <c r="J2168" s="17" t="s">
        <v>693</v>
      </c>
      <c r="K2168" s="17"/>
      <c r="L2168" s="17"/>
      <c r="M2168" s="17"/>
      <c r="N2168" s="17" t="s">
        <v>9509</v>
      </c>
      <c r="O2168" s="17" t="s">
        <v>9624</v>
      </c>
      <c r="P2168" s="17" t="s">
        <v>9761</v>
      </c>
      <c r="Q2168" s="17"/>
      <c r="R2168" s="25" t="str">
        <f>HYPERLINK("https://ictv.global/taxonomy/taxondetails?taxnode_id=202311997","Tequatrovirus lutter")</f>
        <v>Tequatrovirus lutter</v>
      </c>
      <c r="S2168" s="18" t="s">
        <v>30</v>
      </c>
      <c r="T2168" s="18" t="s">
        <v>9840</v>
      </c>
      <c r="U2168" s="18"/>
      <c r="V2168" s="18"/>
      <c r="W2168" s="18" t="s">
        <v>9841</v>
      </c>
      <c r="X2168" s="18" t="s">
        <v>42</v>
      </c>
      <c r="Y2168" s="18" t="s">
        <v>36</v>
      </c>
      <c r="Z2168" s="18" t="s">
        <v>697</v>
      </c>
      <c r="AA2168" s="21" t="str">
        <f>HYPERLINK("https://www.ncbi.nlm.nih.gov/nuccore/MT682714","NCBI Nucleotide")</f>
        <v>NCBI Nucleotide</v>
      </c>
    </row>
    <row r="2169" spans="1:27" x14ac:dyDescent="0.35">
      <c r="A2169">
        <v>1002645</v>
      </c>
      <c r="B2169">
        <v>2145</v>
      </c>
      <c r="C2169">
        <v>1</v>
      </c>
      <c r="D2169" s="17" t="s">
        <v>155</v>
      </c>
      <c r="E2169" s="17"/>
      <c r="F2169" s="17" t="s">
        <v>156</v>
      </c>
      <c r="G2169" s="17"/>
      <c r="H2169" s="17" t="s">
        <v>692</v>
      </c>
      <c r="I2169" s="17"/>
      <c r="J2169" s="17" t="s">
        <v>693</v>
      </c>
      <c r="K2169" s="17"/>
      <c r="L2169" s="17"/>
      <c r="M2169" s="17"/>
      <c r="N2169" s="17" t="s">
        <v>9509</v>
      </c>
      <c r="O2169" s="17" t="s">
        <v>9624</v>
      </c>
      <c r="P2169" s="17" t="s">
        <v>9761</v>
      </c>
      <c r="Q2169" s="17"/>
      <c r="R2169" s="25" t="str">
        <f>HYPERLINK("https://ictv.global/taxonomy/taxondetails?taxnode_id=202313953","Tequatrovirus mlf4")</f>
        <v>Tequatrovirus mlf4</v>
      </c>
      <c r="S2169" s="18" t="s">
        <v>30</v>
      </c>
      <c r="T2169" s="18" t="s">
        <v>9842</v>
      </c>
      <c r="U2169" s="18"/>
      <c r="V2169" s="18"/>
      <c r="W2169" s="18" t="s">
        <v>9843</v>
      </c>
      <c r="X2169" s="18" t="s">
        <v>42</v>
      </c>
      <c r="Y2169" s="18" t="s">
        <v>36</v>
      </c>
      <c r="Z2169" s="18" t="s">
        <v>697</v>
      </c>
      <c r="AA2169" s="21" t="str">
        <f>HYPERLINK("https://www.ncbi.nlm.nih.gov/nuccore/MH992121","NCBI Nucleotide")</f>
        <v>NCBI Nucleotide</v>
      </c>
    </row>
    <row r="2170" spans="1:27" x14ac:dyDescent="0.35">
      <c r="A2170">
        <v>1002646</v>
      </c>
      <c r="B2170">
        <v>2146</v>
      </c>
      <c r="C2170">
        <v>1</v>
      </c>
      <c r="D2170" s="17" t="s">
        <v>155</v>
      </c>
      <c r="E2170" s="17"/>
      <c r="F2170" s="17" t="s">
        <v>156</v>
      </c>
      <c r="G2170" s="17"/>
      <c r="H2170" s="17" t="s">
        <v>692</v>
      </c>
      <c r="I2170" s="17"/>
      <c r="J2170" s="17" t="s">
        <v>693</v>
      </c>
      <c r="K2170" s="17"/>
      <c r="L2170" s="17"/>
      <c r="M2170" s="17"/>
      <c r="N2170" s="17" t="s">
        <v>9509</v>
      </c>
      <c r="O2170" s="17" t="s">
        <v>9624</v>
      </c>
      <c r="P2170" s="17" t="s">
        <v>9761</v>
      </c>
      <c r="Q2170" s="17"/>
      <c r="R2170" s="25" t="str">
        <f>HYPERLINK("https://ictv.global/taxonomy/taxondetails?taxnode_id=202312005","Tequatrovirus nbeco")</f>
        <v>Tequatrovirus nbeco</v>
      </c>
      <c r="S2170" s="18" t="s">
        <v>30</v>
      </c>
      <c r="T2170" s="18" t="s">
        <v>9844</v>
      </c>
      <c r="U2170" s="18"/>
      <c r="V2170" s="18"/>
      <c r="W2170" s="18" t="s">
        <v>9845</v>
      </c>
      <c r="X2170" s="18" t="s">
        <v>42</v>
      </c>
      <c r="Y2170" s="18" t="s">
        <v>36</v>
      </c>
      <c r="Z2170" s="18" t="s">
        <v>697</v>
      </c>
      <c r="AA2170" s="21" t="str">
        <f>HYPERLINK("https://www.ncbi.nlm.nih.gov/nuccore/MN994497","NCBI Nucleotide")</f>
        <v>NCBI Nucleotide</v>
      </c>
    </row>
    <row r="2171" spans="1:27" x14ac:dyDescent="0.35">
      <c r="A2171">
        <v>1002647</v>
      </c>
      <c r="B2171">
        <v>2147</v>
      </c>
      <c r="C2171">
        <v>1</v>
      </c>
      <c r="D2171" s="17" t="s">
        <v>155</v>
      </c>
      <c r="E2171" s="17"/>
      <c r="F2171" s="17" t="s">
        <v>156</v>
      </c>
      <c r="G2171" s="17"/>
      <c r="H2171" s="17" t="s">
        <v>692</v>
      </c>
      <c r="I2171" s="17"/>
      <c r="J2171" s="17" t="s">
        <v>693</v>
      </c>
      <c r="K2171" s="17"/>
      <c r="L2171" s="17"/>
      <c r="M2171" s="17"/>
      <c r="N2171" s="17" t="s">
        <v>9509</v>
      </c>
      <c r="O2171" s="17" t="s">
        <v>9624</v>
      </c>
      <c r="P2171" s="17" t="s">
        <v>9761</v>
      </c>
      <c r="Q2171" s="17"/>
      <c r="R2171" s="25" t="str">
        <f>HYPERLINK("https://ictv.global/taxonomy/taxondetails?taxnode_id=202311999","Tequatrovirus oe5505")</f>
        <v>Tequatrovirus oe5505</v>
      </c>
      <c r="S2171" s="18" t="s">
        <v>30</v>
      </c>
      <c r="T2171" s="18" t="s">
        <v>9846</v>
      </c>
      <c r="U2171" s="18"/>
      <c r="V2171" s="18"/>
      <c r="W2171" s="18" t="s">
        <v>9847</v>
      </c>
      <c r="X2171" s="18" t="s">
        <v>42</v>
      </c>
      <c r="Y2171" s="18" t="s">
        <v>36</v>
      </c>
      <c r="Z2171" s="18" t="s">
        <v>697</v>
      </c>
      <c r="AA2171" s="21" t="str">
        <f>HYPERLINK("https://www.ncbi.nlm.nih.gov/nuccore/MK373785","NCBI Nucleotide")</f>
        <v>NCBI Nucleotide</v>
      </c>
    </row>
    <row r="2172" spans="1:27" x14ac:dyDescent="0.35">
      <c r="A2172">
        <v>1002648</v>
      </c>
      <c r="B2172">
        <v>2148</v>
      </c>
      <c r="C2172">
        <v>1</v>
      </c>
      <c r="D2172" s="17" t="s">
        <v>155</v>
      </c>
      <c r="E2172" s="17"/>
      <c r="F2172" s="17" t="s">
        <v>156</v>
      </c>
      <c r="G2172" s="17"/>
      <c r="H2172" s="17" t="s">
        <v>692</v>
      </c>
      <c r="I2172" s="17"/>
      <c r="J2172" s="17" t="s">
        <v>693</v>
      </c>
      <c r="K2172" s="17"/>
      <c r="L2172" s="17"/>
      <c r="M2172" s="17"/>
      <c r="N2172" s="17" t="s">
        <v>9509</v>
      </c>
      <c r="O2172" s="17" t="s">
        <v>9624</v>
      </c>
      <c r="P2172" s="17" t="s">
        <v>9761</v>
      </c>
      <c r="Q2172" s="17"/>
      <c r="R2172" s="25" t="str">
        <f>HYPERLINK("https://ictv.global/taxonomy/taxondetails?taxnode_id=202312000","Tequatrovirus ozark")</f>
        <v>Tequatrovirus ozark</v>
      </c>
      <c r="S2172" s="18" t="s">
        <v>30</v>
      </c>
      <c r="T2172" s="18" t="s">
        <v>9848</v>
      </c>
      <c r="U2172" s="18"/>
      <c r="V2172" s="18"/>
      <c r="W2172" s="18" t="s">
        <v>9849</v>
      </c>
      <c r="X2172" s="18" t="s">
        <v>42</v>
      </c>
      <c r="Y2172" s="18" t="s">
        <v>36</v>
      </c>
      <c r="Z2172" s="18" t="s">
        <v>697</v>
      </c>
      <c r="AA2172" s="21" t="str">
        <f>HYPERLINK("https://www.ncbi.nlm.nih.gov/nuccore/MT682713","NCBI Nucleotide")</f>
        <v>NCBI Nucleotide</v>
      </c>
    </row>
    <row r="2173" spans="1:27" x14ac:dyDescent="0.35">
      <c r="A2173">
        <v>1002649</v>
      </c>
      <c r="B2173">
        <v>2149</v>
      </c>
      <c r="C2173">
        <v>1</v>
      </c>
      <c r="D2173" s="17" t="s">
        <v>155</v>
      </c>
      <c r="E2173" s="17"/>
      <c r="F2173" s="17" t="s">
        <v>156</v>
      </c>
      <c r="G2173" s="17"/>
      <c r="H2173" s="17" t="s">
        <v>692</v>
      </c>
      <c r="I2173" s="17"/>
      <c r="J2173" s="17" t="s">
        <v>693</v>
      </c>
      <c r="K2173" s="17"/>
      <c r="L2173" s="17"/>
      <c r="M2173" s="17"/>
      <c r="N2173" s="17" t="s">
        <v>9509</v>
      </c>
      <c r="O2173" s="17" t="s">
        <v>9624</v>
      </c>
      <c r="P2173" s="17" t="s">
        <v>9761</v>
      </c>
      <c r="Q2173" s="17"/>
      <c r="R2173" s="25" t="str">
        <f>HYPERLINK("https://ictv.global/taxonomy/taxondetails?taxnode_id=202312003","Tequatrovirus pd112")</f>
        <v>Tequatrovirus pd112</v>
      </c>
      <c r="S2173" s="18" t="s">
        <v>30</v>
      </c>
      <c r="T2173" s="18" t="s">
        <v>9850</v>
      </c>
      <c r="U2173" s="18"/>
      <c r="V2173" s="18"/>
      <c r="W2173" s="18" t="s">
        <v>9851</v>
      </c>
      <c r="X2173" s="18" t="s">
        <v>42</v>
      </c>
      <c r="Y2173" s="18" t="s">
        <v>36</v>
      </c>
      <c r="Z2173" s="18" t="s">
        <v>697</v>
      </c>
      <c r="AA2173" s="21" t="str">
        <f>HYPERLINK("https://www.ncbi.nlm.nih.gov/nuccore/MH837626","NCBI Nucleotide")</f>
        <v>NCBI Nucleotide</v>
      </c>
    </row>
    <row r="2174" spans="1:27" x14ac:dyDescent="0.35">
      <c r="A2174">
        <v>1002650</v>
      </c>
      <c r="B2174">
        <v>2150</v>
      </c>
      <c r="C2174">
        <v>1</v>
      </c>
      <c r="D2174" s="17" t="s">
        <v>155</v>
      </c>
      <c r="E2174" s="17"/>
      <c r="F2174" s="17" t="s">
        <v>156</v>
      </c>
      <c r="G2174" s="17"/>
      <c r="H2174" s="17" t="s">
        <v>692</v>
      </c>
      <c r="I2174" s="17"/>
      <c r="J2174" s="17" t="s">
        <v>693</v>
      </c>
      <c r="K2174" s="17"/>
      <c r="L2174" s="17"/>
      <c r="M2174" s="17"/>
      <c r="N2174" s="17" t="s">
        <v>9509</v>
      </c>
      <c r="O2174" s="17" t="s">
        <v>9624</v>
      </c>
      <c r="P2174" s="17" t="s">
        <v>9761</v>
      </c>
      <c r="Q2174" s="17"/>
      <c r="R2174" s="25" t="str">
        <f>HYPERLINK("https://ictv.global/taxonomy/taxondetails?taxnode_id=202311981","Tequatrovirus pe37")</f>
        <v>Tequatrovirus pe37</v>
      </c>
      <c r="S2174" s="18" t="s">
        <v>30</v>
      </c>
      <c r="T2174" s="18" t="s">
        <v>9852</v>
      </c>
      <c r="U2174" s="18"/>
      <c r="V2174" s="18"/>
      <c r="W2174" s="18" t="s">
        <v>9853</v>
      </c>
      <c r="X2174" s="18" t="s">
        <v>42</v>
      </c>
      <c r="Y2174" s="18" t="s">
        <v>36</v>
      </c>
      <c r="Z2174" s="18" t="s">
        <v>697</v>
      </c>
      <c r="AA2174" s="21" t="str">
        <f>HYPERLINK("https://www.ncbi.nlm.nih.gov/nuccore/KU925172","NCBI Nucleotide")</f>
        <v>NCBI Nucleotide</v>
      </c>
    </row>
    <row r="2175" spans="1:27" x14ac:dyDescent="0.35">
      <c r="A2175">
        <v>1002651</v>
      </c>
      <c r="B2175">
        <v>2151</v>
      </c>
      <c r="C2175">
        <v>1</v>
      </c>
      <c r="D2175" s="17" t="s">
        <v>155</v>
      </c>
      <c r="E2175" s="17"/>
      <c r="F2175" s="17" t="s">
        <v>156</v>
      </c>
      <c r="G2175" s="17"/>
      <c r="H2175" s="17" t="s">
        <v>692</v>
      </c>
      <c r="I2175" s="17"/>
      <c r="J2175" s="17" t="s">
        <v>693</v>
      </c>
      <c r="K2175" s="17"/>
      <c r="L2175" s="17"/>
      <c r="M2175" s="17"/>
      <c r="N2175" s="17" t="s">
        <v>9509</v>
      </c>
      <c r="O2175" s="17" t="s">
        <v>9624</v>
      </c>
      <c r="P2175" s="17" t="s">
        <v>9761</v>
      </c>
      <c r="Q2175" s="17"/>
      <c r="R2175" s="25" t="str">
        <f>HYPERLINK("https://ictv.global/taxonomy/taxondetails?taxnode_id=202311982","Tequatrovirus pp01")</f>
        <v>Tequatrovirus pp01</v>
      </c>
      <c r="S2175" s="18" t="s">
        <v>30</v>
      </c>
      <c r="T2175" s="18" t="s">
        <v>9854</v>
      </c>
      <c r="U2175" s="18"/>
      <c r="V2175" s="18"/>
      <c r="W2175" s="18" t="s">
        <v>9855</v>
      </c>
      <c r="X2175" s="18" t="s">
        <v>42</v>
      </c>
      <c r="Y2175" s="18" t="s">
        <v>36</v>
      </c>
      <c r="Z2175" s="18" t="s">
        <v>697</v>
      </c>
      <c r="AA2175" s="21" t="str">
        <f>HYPERLINK("https://www.ncbi.nlm.nih.gov/nuccore/LC348379","NCBI Nucleotide")</f>
        <v>NCBI Nucleotide</v>
      </c>
    </row>
    <row r="2176" spans="1:27" x14ac:dyDescent="0.35">
      <c r="A2176">
        <v>1002652</v>
      </c>
      <c r="B2176">
        <v>2152</v>
      </c>
      <c r="C2176">
        <v>1</v>
      </c>
      <c r="D2176" s="17" t="s">
        <v>155</v>
      </c>
      <c r="E2176" s="17"/>
      <c r="F2176" s="17" t="s">
        <v>156</v>
      </c>
      <c r="G2176" s="17"/>
      <c r="H2176" s="17" t="s">
        <v>692</v>
      </c>
      <c r="I2176" s="17"/>
      <c r="J2176" s="17" t="s">
        <v>693</v>
      </c>
      <c r="K2176" s="17"/>
      <c r="L2176" s="17"/>
      <c r="M2176" s="17"/>
      <c r="N2176" s="17" t="s">
        <v>9509</v>
      </c>
      <c r="O2176" s="17" t="s">
        <v>9624</v>
      </c>
      <c r="P2176" s="17" t="s">
        <v>9761</v>
      </c>
      <c r="Q2176" s="17"/>
      <c r="R2176" s="25" t="str">
        <f>HYPERLINK("https://ictv.global/taxonomy/taxondetails?taxnode_id=202300333","Tequatrovirus pss1")</f>
        <v>Tequatrovirus pss1</v>
      </c>
      <c r="S2176" s="18" t="s">
        <v>30</v>
      </c>
      <c r="T2176" s="18" t="s">
        <v>9856</v>
      </c>
      <c r="U2176" s="18"/>
      <c r="V2176" s="18"/>
      <c r="W2176" s="18" t="s">
        <v>9857</v>
      </c>
      <c r="X2176" s="18" t="s">
        <v>42</v>
      </c>
      <c r="Y2176" s="18" t="s">
        <v>36</v>
      </c>
      <c r="Z2176" s="18" t="s">
        <v>697</v>
      </c>
      <c r="AA2176" s="21" t="str">
        <f>HYPERLINK("https://www.ncbi.nlm.nih.gov/nuccore/KM501444","NCBI Nucleotide")</f>
        <v>NCBI Nucleotide</v>
      </c>
    </row>
    <row r="2177" spans="1:27" x14ac:dyDescent="0.35">
      <c r="A2177">
        <v>1002653</v>
      </c>
      <c r="B2177">
        <v>2153</v>
      </c>
      <c r="C2177">
        <v>1</v>
      </c>
      <c r="D2177" s="17" t="s">
        <v>155</v>
      </c>
      <c r="E2177" s="17"/>
      <c r="F2177" s="17" t="s">
        <v>156</v>
      </c>
      <c r="G2177" s="17"/>
      <c r="H2177" s="17" t="s">
        <v>692</v>
      </c>
      <c r="I2177" s="17"/>
      <c r="J2177" s="17" t="s">
        <v>693</v>
      </c>
      <c r="K2177" s="17"/>
      <c r="L2177" s="17"/>
      <c r="M2177" s="17"/>
      <c r="N2177" s="17" t="s">
        <v>9509</v>
      </c>
      <c r="O2177" s="17" t="s">
        <v>9624</v>
      </c>
      <c r="P2177" s="17" t="s">
        <v>9761</v>
      </c>
      <c r="Q2177" s="17"/>
      <c r="R2177" s="25" t="str">
        <f>HYPERLINK("https://ictv.global/taxonomy/taxondetails?taxnode_id=202300336","Tequatrovirus pst")</f>
        <v>Tequatrovirus pst</v>
      </c>
      <c r="S2177" s="18" t="s">
        <v>30</v>
      </c>
      <c r="T2177" s="18" t="s">
        <v>9858</v>
      </c>
      <c r="U2177" s="18"/>
      <c r="V2177" s="18"/>
      <c r="W2177" s="18" t="s">
        <v>9859</v>
      </c>
      <c r="X2177" s="18" t="s">
        <v>42</v>
      </c>
      <c r="Y2177" s="18" t="s">
        <v>36</v>
      </c>
      <c r="Z2177" s="18" t="s">
        <v>697</v>
      </c>
      <c r="AA2177" s="21" t="str">
        <f>HYPERLINK("https://www.ncbi.nlm.nih.gov/nuccore/KF208315","NCBI Nucleotide")</f>
        <v>NCBI Nucleotide</v>
      </c>
    </row>
    <row r="2178" spans="1:27" x14ac:dyDescent="0.35">
      <c r="A2178">
        <v>1002654</v>
      </c>
      <c r="B2178">
        <v>2154</v>
      </c>
      <c r="C2178">
        <v>1</v>
      </c>
      <c r="D2178" s="17" t="s">
        <v>155</v>
      </c>
      <c r="E2178" s="17"/>
      <c r="F2178" s="17" t="s">
        <v>156</v>
      </c>
      <c r="G2178" s="17"/>
      <c r="H2178" s="17" t="s">
        <v>692</v>
      </c>
      <c r="I2178" s="17"/>
      <c r="J2178" s="17" t="s">
        <v>693</v>
      </c>
      <c r="K2178" s="17"/>
      <c r="L2178" s="17"/>
      <c r="M2178" s="17"/>
      <c r="N2178" s="17" t="s">
        <v>9509</v>
      </c>
      <c r="O2178" s="17" t="s">
        <v>9624</v>
      </c>
      <c r="P2178" s="17" t="s">
        <v>9761</v>
      </c>
      <c r="Q2178" s="17"/>
      <c r="R2178" s="25" t="str">
        <f>HYPERLINK("https://ictv.global/taxonomy/taxondetails?taxnode_id=202312017","Tequatrovirus pyps2t")</f>
        <v>Tequatrovirus pyps2t</v>
      </c>
      <c r="S2178" s="18" t="s">
        <v>30</v>
      </c>
      <c r="T2178" s="18" t="s">
        <v>9860</v>
      </c>
      <c r="U2178" s="18"/>
      <c r="V2178" s="18"/>
      <c r="W2178" s="18" t="s">
        <v>9861</v>
      </c>
      <c r="X2178" s="18" t="s">
        <v>42</v>
      </c>
      <c r="Y2178" s="18" t="s">
        <v>36</v>
      </c>
      <c r="Z2178" s="18" t="s">
        <v>697</v>
      </c>
      <c r="AA2178" s="21" t="str">
        <f>HYPERLINK("https://www.ncbi.nlm.nih.gov/nuccore/MH809535","NCBI Nucleotide")</f>
        <v>NCBI Nucleotide</v>
      </c>
    </row>
    <row r="2179" spans="1:27" x14ac:dyDescent="0.35">
      <c r="A2179">
        <v>1002658</v>
      </c>
      <c r="B2179">
        <v>2155</v>
      </c>
      <c r="C2179">
        <v>1</v>
      </c>
      <c r="D2179" s="17" t="s">
        <v>155</v>
      </c>
      <c r="E2179" s="17"/>
      <c r="F2179" s="17" t="s">
        <v>156</v>
      </c>
      <c r="G2179" s="17"/>
      <c r="H2179" s="17" t="s">
        <v>692</v>
      </c>
      <c r="I2179" s="17"/>
      <c r="J2179" s="17" t="s">
        <v>693</v>
      </c>
      <c r="K2179" s="17"/>
      <c r="L2179" s="17"/>
      <c r="M2179" s="17"/>
      <c r="N2179" s="17" t="s">
        <v>9509</v>
      </c>
      <c r="O2179" s="17" t="s">
        <v>9624</v>
      </c>
      <c r="P2179" s="17" t="s">
        <v>9761</v>
      </c>
      <c r="Q2179" s="17"/>
      <c r="R2179" s="25" t="str">
        <f>HYPERLINK("https://ictv.global/taxonomy/taxondetails?taxnode_id=202300330","Tequatrovirus RB3")</f>
        <v>Tequatrovirus RB3</v>
      </c>
      <c r="S2179" s="18" t="s">
        <v>30</v>
      </c>
      <c r="T2179" s="18" t="s">
        <v>9868</v>
      </c>
      <c r="U2179" s="18"/>
      <c r="V2179" s="18"/>
      <c r="W2179" s="18" t="s">
        <v>9869</v>
      </c>
      <c r="X2179" s="18" t="s">
        <v>42</v>
      </c>
      <c r="Y2179" s="18" t="s">
        <v>36</v>
      </c>
      <c r="Z2179" s="18" t="s">
        <v>697</v>
      </c>
      <c r="AA2179" s="21" t="str">
        <f>HYPERLINK("https://www.ncbi.nlm.nih.gov/nuccore/KM606994","NCBI Nucleotide")</f>
        <v>NCBI Nucleotide</v>
      </c>
    </row>
    <row r="2180" spans="1:27" x14ac:dyDescent="0.35">
      <c r="A2180">
        <v>1002655</v>
      </c>
      <c r="B2180">
        <v>2156</v>
      </c>
      <c r="C2180">
        <v>1</v>
      </c>
      <c r="D2180" s="17" t="s">
        <v>155</v>
      </c>
      <c r="E2180" s="17"/>
      <c r="F2180" s="17" t="s">
        <v>156</v>
      </c>
      <c r="G2180" s="17"/>
      <c r="H2180" s="17" t="s">
        <v>692</v>
      </c>
      <c r="I2180" s="17"/>
      <c r="J2180" s="17" t="s">
        <v>693</v>
      </c>
      <c r="K2180" s="17"/>
      <c r="L2180" s="17"/>
      <c r="M2180" s="17"/>
      <c r="N2180" s="17" t="s">
        <v>9509</v>
      </c>
      <c r="O2180" s="17" t="s">
        <v>9624</v>
      </c>
      <c r="P2180" s="17" t="s">
        <v>9761</v>
      </c>
      <c r="Q2180" s="17"/>
      <c r="R2180" s="25" t="str">
        <f>HYPERLINK("https://ictv.global/taxonomy/taxondetails?taxnode_id=202300331","Tequatrovirus RB14")</f>
        <v>Tequatrovirus RB14</v>
      </c>
      <c r="S2180" s="18" t="s">
        <v>30</v>
      </c>
      <c r="T2180" s="18" t="s">
        <v>9862</v>
      </c>
      <c r="U2180" s="18"/>
      <c r="V2180" s="18"/>
      <c r="W2180" s="18" t="s">
        <v>9863</v>
      </c>
      <c r="X2180" s="18" t="s">
        <v>42</v>
      </c>
      <c r="Y2180" s="18" t="s">
        <v>36</v>
      </c>
      <c r="Z2180" s="18" t="s">
        <v>697</v>
      </c>
      <c r="AA2180" s="21" t="str">
        <f>HYPERLINK("https://www.ncbi.nlm.nih.gov/nuccore/FJ839692","NCBI Nucleotide")</f>
        <v>NCBI Nucleotide</v>
      </c>
    </row>
    <row r="2181" spans="1:27" x14ac:dyDescent="0.35">
      <c r="A2181">
        <v>1002656</v>
      </c>
      <c r="B2181">
        <v>2157</v>
      </c>
      <c r="C2181">
        <v>1</v>
      </c>
      <c r="D2181" s="17" t="s">
        <v>155</v>
      </c>
      <c r="E2181" s="17"/>
      <c r="F2181" s="17" t="s">
        <v>156</v>
      </c>
      <c r="G2181" s="17"/>
      <c r="H2181" s="17" t="s">
        <v>692</v>
      </c>
      <c r="I2181" s="17"/>
      <c r="J2181" s="17" t="s">
        <v>693</v>
      </c>
      <c r="K2181" s="17"/>
      <c r="L2181" s="17"/>
      <c r="M2181" s="17"/>
      <c r="N2181" s="17" t="s">
        <v>9509</v>
      </c>
      <c r="O2181" s="17" t="s">
        <v>9624</v>
      </c>
      <c r="P2181" s="17" t="s">
        <v>9761</v>
      </c>
      <c r="Q2181" s="17"/>
      <c r="R2181" s="25" t="str">
        <f>HYPERLINK("https://ictv.global/taxonomy/taxondetails?taxnode_id=202311972","Tequatrovirus RB18")</f>
        <v>Tequatrovirus RB18</v>
      </c>
      <c r="S2181" s="18" t="s">
        <v>30</v>
      </c>
      <c r="T2181" s="18" t="s">
        <v>9864</v>
      </c>
      <c r="U2181" s="18"/>
      <c r="V2181" s="18"/>
      <c r="W2181" s="18" t="s">
        <v>9865</v>
      </c>
      <c r="X2181" s="18" t="s">
        <v>42</v>
      </c>
      <c r="Y2181" s="18" t="s">
        <v>36</v>
      </c>
      <c r="Z2181" s="18" t="s">
        <v>697</v>
      </c>
      <c r="AA2181" s="21" t="str">
        <f>HYPERLINK("https://www.ncbi.nlm.nih.gov/nuccore/MH553563","NCBI Nucleotide")</f>
        <v>NCBI Nucleotide</v>
      </c>
    </row>
    <row r="2182" spans="1:27" x14ac:dyDescent="0.35">
      <c r="A2182">
        <v>1002657</v>
      </c>
      <c r="B2182">
        <v>2158</v>
      </c>
      <c r="C2182">
        <v>1</v>
      </c>
      <c r="D2182" s="17" t="s">
        <v>155</v>
      </c>
      <c r="E2182" s="17"/>
      <c r="F2182" s="17" t="s">
        <v>156</v>
      </c>
      <c r="G2182" s="17"/>
      <c r="H2182" s="17" t="s">
        <v>692</v>
      </c>
      <c r="I2182" s="17"/>
      <c r="J2182" s="17" t="s">
        <v>693</v>
      </c>
      <c r="K2182" s="17"/>
      <c r="L2182" s="17"/>
      <c r="M2182" s="17"/>
      <c r="N2182" s="17" t="s">
        <v>9509</v>
      </c>
      <c r="O2182" s="17" t="s">
        <v>9624</v>
      </c>
      <c r="P2182" s="17" t="s">
        <v>9761</v>
      </c>
      <c r="Q2182" s="17"/>
      <c r="R2182" s="25" t="str">
        <f>HYPERLINK("https://ictv.global/taxonomy/taxondetails?taxnode_id=202311973","Tequatrovirus RB27")</f>
        <v>Tequatrovirus RB27</v>
      </c>
      <c r="S2182" s="18" t="s">
        <v>30</v>
      </c>
      <c r="T2182" s="18" t="s">
        <v>9866</v>
      </c>
      <c r="U2182" s="18"/>
      <c r="V2182" s="18"/>
      <c r="W2182" s="18" t="s">
        <v>9867</v>
      </c>
      <c r="X2182" s="18" t="s">
        <v>42</v>
      </c>
      <c r="Y2182" s="18" t="s">
        <v>36</v>
      </c>
      <c r="Z2182" s="18" t="s">
        <v>697</v>
      </c>
      <c r="AA2182" s="21" t="str">
        <f>HYPERLINK("https://www.ncbi.nlm.nih.gov/nuccore/KM607000","NCBI Nucleotide")</f>
        <v>NCBI Nucleotide</v>
      </c>
    </row>
    <row r="2183" spans="1:27" x14ac:dyDescent="0.35">
      <c r="A2183">
        <v>1002659</v>
      </c>
      <c r="B2183">
        <v>2159</v>
      </c>
      <c r="C2183">
        <v>1</v>
      </c>
      <c r="D2183" s="17" t="s">
        <v>155</v>
      </c>
      <c r="E2183" s="17"/>
      <c r="F2183" s="17" t="s">
        <v>156</v>
      </c>
      <c r="G2183" s="17"/>
      <c r="H2183" s="17" t="s">
        <v>692</v>
      </c>
      <c r="I2183" s="17"/>
      <c r="J2183" s="17" t="s">
        <v>693</v>
      </c>
      <c r="K2183" s="17"/>
      <c r="L2183" s="17"/>
      <c r="M2183" s="17"/>
      <c r="N2183" s="17" t="s">
        <v>9509</v>
      </c>
      <c r="O2183" s="17" t="s">
        <v>9624</v>
      </c>
      <c r="P2183" s="17" t="s">
        <v>9761</v>
      </c>
      <c r="Q2183" s="17"/>
      <c r="R2183" s="25" t="str">
        <f>HYPERLINK("https://ictv.global/taxonomy/taxondetails?taxnode_id=202300342","Tequatrovirus RB32")</f>
        <v>Tequatrovirus RB32</v>
      </c>
      <c r="S2183" s="18" t="s">
        <v>30</v>
      </c>
      <c r="T2183" s="18" t="s">
        <v>9870</v>
      </c>
      <c r="U2183" s="18"/>
      <c r="V2183" s="18"/>
      <c r="W2183" s="18" t="s">
        <v>9871</v>
      </c>
      <c r="X2183" s="18" t="s">
        <v>42</v>
      </c>
      <c r="Y2183" s="18" t="s">
        <v>36</v>
      </c>
      <c r="Z2183" s="18" t="s">
        <v>697</v>
      </c>
      <c r="AA2183" s="21" t="str">
        <f>HYPERLINK("https://www.ncbi.nlm.nih.gov/nuccore/DQ904452","NCBI Nucleotide")</f>
        <v>NCBI Nucleotide</v>
      </c>
    </row>
    <row r="2184" spans="1:27" x14ac:dyDescent="0.35">
      <c r="A2184">
        <v>1002660</v>
      </c>
      <c r="B2184">
        <v>2160</v>
      </c>
      <c r="C2184">
        <v>1</v>
      </c>
      <c r="D2184" s="17" t="s">
        <v>155</v>
      </c>
      <c r="E2184" s="17"/>
      <c r="F2184" s="17" t="s">
        <v>156</v>
      </c>
      <c r="G2184" s="17"/>
      <c r="H2184" s="17" t="s">
        <v>692</v>
      </c>
      <c r="I2184" s="17"/>
      <c r="J2184" s="17" t="s">
        <v>693</v>
      </c>
      <c r="K2184" s="17"/>
      <c r="L2184" s="17"/>
      <c r="M2184" s="17"/>
      <c r="N2184" s="17" t="s">
        <v>9509</v>
      </c>
      <c r="O2184" s="17" t="s">
        <v>9624</v>
      </c>
      <c r="P2184" s="17" t="s">
        <v>9761</v>
      </c>
      <c r="Q2184" s="17"/>
      <c r="R2184" s="25" t="str">
        <f>HYPERLINK("https://ictv.global/taxonomy/taxondetails?taxnode_id=202313945","Tequatrovirus RB51")</f>
        <v>Tequatrovirus RB51</v>
      </c>
      <c r="S2184" s="18" t="s">
        <v>30</v>
      </c>
      <c r="T2184" s="18" t="s">
        <v>9872</v>
      </c>
      <c r="U2184" s="18"/>
      <c r="V2184" s="18"/>
      <c r="W2184" s="18" t="s">
        <v>9873</v>
      </c>
      <c r="X2184" s="18" t="s">
        <v>42</v>
      </c>
      <c r="Y2184" s="18" t="s">
        <v>36</v>
      </c>
      <c r="Z2184" s="18" t="s">
        <v>697</v>
      </c>
      <c r="AA2184" s="21" t="str">
        <f>HYPERLINK("https://www.ncbi.nlm.nih.gov/nuccore/FJ839693","NCBI Nucleotide")</f>
        <v>NCBI Nucleotide</v>
      </c>
    </row>
    <row r="2185" spans="1:27" x14ac:dyDescent="0.35">
      <c r="A2185">
        <v>1002661</v>
      </c>
      <c r="B2185">
        <v>2161</v>
      </c>
      <c r="C2185">
        <v>1</v>
      </c>
      <c r="D2185" s="17" t="s">
        <v>155</v>
      </c>
      <c r="E2185" s="17"/>
      <c r="F2185" s="17" t="s">
        <v>156</v>
      </c>
      <c r="G2185" s="17"/>
      <c r="H2185" s="17" t="s">
        <v>692</v>
      </c>
      <c r="I2185" s="17"/>
      <c r="J2185" s="17" t="s">
        <v>693</v>
      </c>
      <c r="K2185" s="17"/>
      <c r="L2185" s="17"/>
      <c r="M2185" s="17"/>
      <c r="N2185" s="17" t="s">
        <v>9509</v>
      </c>
      <c r="O2185" s="17" t="s">
        <v>9624</v>
      </c>
      <c r="P2185" s="17" t="s">
        <v>9761</v>
      </c>
      <c r="Q2185" s="17"/>
      <c r="R2185" s="25" t="str">
        <f>HYPERLINK("https://ictv.global/taxonomy/taxondetails?taxnode_id=202307050","Tequatrovirus sf21")</f>
        <v>Tequatrovirus sf21</v>
      </c>
      <c r="S2185" s="18" t="s">
        <v>30</v>
      </c>
      <c r="T2185" s="18" t="s">
        <v>9874</v>
      </c>
      <c r="U2185" s="18"/>
      <c r="V2185" s="18"/>
      <c r="W2185" s="18" t="s">
        <v>9875</v>
      </c>
      <c r="X2185" s="18" t="s">
        <v>42</v>
      </c>
      <c r="Y2185" s="18" t="s">
        <v>36</v>
      </c>
      <c r="Z2185" s="18" t="s">
        <v>697</v>
      </c>
      <c r="AA2185" s="21" t="str">
        <f>HYPERLINK("https://www.ncbi.nlm.nih.gov/nuccore/MF327007","NCBI Nucleotide")</f>
        <v>NCBI Nucleotide</v>
      </c>
    </row>
    <row r="2186" spans="1:27" x14ac:dyDescent="0.35">
      <c r="A2186">
        <v>1002662</v>
      </c>
      <c r="B2186">
        <v>2162</v>
      </c>
      <c r="C2186">
        <v>1</v>
      </c>
      <c r="D2186" s="17" t="s">
        <v>155</v>
      </c>
      <c r="E2186" s="17"/>
      <c r="F2186" s="17" t="s">
        <v>156</v>
      </c>
      <c r="G2186" s="17"/>
      <c r="H2186" s="17" t="s">
        <v>692</v>
      </c>
      <c r="I2186" s="17"/>
      <c r="J2186" s="17" t="s">
        <v>693</v>
      </c>
      <c r="K2186" s="17"/>
      <c r="L2186" s="17"/>
      <c r="M2186" s="17"/>
      <c r="N2186" s="17" t="s">
        <v>9509</v>
      </c>
      <c r="O2186" s="17" t="s">
        <v>9624</v>
      </c>
      <c r="P2186" s="17" t="s">
        <v>9761</v>
      </c>
      <c r="Q2186" s="17"/>
      <c r="R2186" s="25" t="str">
        <f>HYPERLINK("https://ictv.global/taxonomy/taxondetails?taxnode_id=202307052","Tequatrovirus sf22")</f>
        <v>Tequatrovirus sf22</v>
      </c>
      <c r="S2186" s="18" t="s">
        <v>30</v>
      </c>
      <c r="T2186" s="18" t="s">
        <v>9876</v>
      </c>
      <c r="U2186" s="18"/>
      <c r="V2186" s="18"/>
      <c r="W2186" s="18" t="s">
        <v>9877</v>
      </c>
      <c r="X2186" s="18" t="s">
        <v>42</v>
      </c>
      <c r="Y2186" s="18" t="s">
        <v>36</v>
      </c>
      <c r="Z2186" s="18" t="s">
        <v>697</v>
      </c>
      <c r="AA2186" s="21" t="str">
        <f>HYPERLINK("https://www.ncbi.nlm.nih.gov/nuccore/MF158045","NCBI Nucleotide")</f>
        <v>NCBI Nucleotide</v>
      </c>
    </row>
    <row r="2187" spans="1:27" x14ac:dyDescent="0.35">
      <c r="A2187">
        <v>1002663</v>
      </c>
      <c r="B2187">
        <v>2163</v>
      </c>
      <c r="C2187">
        <v>1</v>
      </c>
      <c r="D2187" s="17" t="s">
        <v>155</v>
      </c>
      <c r="E2187" s="17"/>
      <c r="F2187" s="17" t="s">
        <v>156</v>
      </c>
      <c r="G2187" s="17"/>
      <c r="H2187" s="17" t="s">
        <v>692</v>
      </c>
      <c r="I2187" s="17"/>
      <c r="J2187" s="17" t="s">
        <v>693</v>
      </c>
      <c r="K2187" s="17"/>
      <c r="L2187" s="17"/>
      <c r="M2187" s="17"/>
      <c r="N2187" s="17" t="s">
        <v>9509</v>
      </c>
      <c r="O2187" s="17" t="s">
        <v>9624</v>
      </c>
      <c r="P2187" s="17" t="s">
        <v>9761</v>
      </c>
      <c r="Q2187" s="17"/>
      <c r="R2187" s="25" t="str">
        <f>HYPERLINK("https://ictv.global/taxonomy/taxondetails?taxnode_id=202312011","Tequatrovirus sf23")</f>
        <v>Tequatrovirus sf23</v>
      </c>
      <c r="S2187" s="18" t="s">
        <v>30</v>
      </c>
      <c r="T2187" s="18" t="s">
        <v>9878</v>
      </c>
      <c r="U2187" s="18"/>
      <c r="V2187" s="18"/>
      <c r="W2187" s="18" t="s">
        <v>9879</v>
      </c>
      <c r="X2187" s="18" t="s">
        <v>42</v>
      </c>
      <c r="Y2187" s="18" t="s">
        <v>36</v>
      </c>
      <c r="Z2187" s="18" t="s">
        <v>697</v>
      </c>
      <c r="AA2187" s="21" t="str">
        <f>HYPERLINK("https://www.ncbi.nlm.nih.gov/nuccore/MF158046","NCBI Nucleotide")</f>
        <v>NCBI Nucleotide</v>
      </c>
    </row>
    <row r="2188" spans="1:27" x14ac:dyDescent="0.35">
      <c r="A2188">
        <v>1003005</v>
      </c>
      <c r="B2188">
        <v>2164</v>
      </c>
      <c r="C2188">
        <v>1</v>
      </c>
      <c r="D2188" s="17" t="s">
        <v>155</v>
      </c>
      <c r="E2188" s="17"/>
      <c r="F2188" s="17" t="s">
        <v>156</v>
      </c>
      <c r="G2188" s="17"/>
      <c r="H2188" s="17" t="s">
        <v>692</v>
      </c>
      <c r="I2188" s="17"/>
      <c r="J2188" s="17" t="s">
        <v>693</v>
      </c>
      <c r="K2188" s="17"/>
      <c r="L2188" s="17"/>
      <c r="M2188" s="17"/>
      <c r="N2188" s="17" t="s">
        <v>9509</v>
      </c>
      <c r="O2188" s="17" t="s">
        <v>9624</v>
      </c>
      <c r="P2188" s="17" t="s">
        <v>9761</v>
      </c>
      <c r="Q2188" s="17"/>
      <c r="R2188" s="25" t="str">
        <f>HYPERLINK("https://ictv.global/taxonomy/taxondetails?taxnode_id=202307053","Tequatrovirus sf24")</f>
        <v>Tequatrovirus sf24</v>
      </c>
      <c r="S2188" s="18" t="s">
        <v>30</v>
      </c>
      <c r="T2188" s="18" t="s">
        <v>9880</v>
      </c>
      <c r="U2188" s="18"/>
      <c r="V2188" s="18"/>
      <c r="W2188" s="18" t="s">
        <v>9881</v>
      </c>
      <c r="X2188" s="18" t="s">
        <v>42</v>
      </c>
      <c r="Y2188" s="18" t="s">
        <v>36</v>
      </c>
      <c r="Z2188" s="18" t="s">
        <v>697</v>
      </c>
      <c r="AA2188" s="21" t="str">
        <f>HYPERLINK("https://www.ncbi.nlm.nih.gov/nuccore/MF327008","NCBI Nucleotide")</f>
        <v>NCBI Nucleotide</v>
      </c>
    </row>
    <row r="2189" spans="1:27" x14ac:dyDescent="0.35">
      <c r="A2189">
        <v>1003006</v>
      </c>
      <c r="B2189">
        <v>2165</v>
      </c>
      <c r="C2189">
        <v>1</v>
      </c>
      <c r="D2189" s="17" t="s">
        <v>155</v>
      </c>
      <c r="E2189" s="17"/>
      <c r="F2189" s="17" t="s">
        <v>156</v>
      </c>
      <c r="G2189" s="17"/>
      <c r="H2189" s="17" t="s">
        <v>692</v>
      </c>
      <c r="I2189" s="17"/>
      <c r="J2189" s="17" t="s">
        <v>693</v>
      </c>
      <c r="K2189" s="17"/>
      <c r="L2189" s="17"/>
      <c r="M2189" s="17"/>
      <c r="N2189" s="17" t="s">
        <v>9509</v>
      </c>
      <c r="O2189" s="17" t="s">
        <v>9624</v>
      </c>
      <c r="P2189" s="17" t="s">
        <v>9761</v>
      </c>
      <c r="Q2189" s="17"/>
      <c r="R2189" s="25" t="str">
        <f>HYPERLINK("https://ictv.global/taxonomy/taxondetails?taxnode_id=202312007","Tequatrovirus sgallinarium")</f>
        <v>Tequatrovirus sgallinarium</v>
      </c>
      <c r="S2189" s="18" t="s">
        <v>30</v>
      </c>
      <c r="T2189" s="18" t="s">
        <v>9882</v>
      </c>
      <c r="U2189" s="18"/>
      <c r="V2189" s="18"/>
      <c r="W2189" s="18" t="s">
        <v>9883</v>
      </c>
      <c r="X2189" s="18" t="s">
        <v>154</v>
      </c>
      <c r="Y2189" s="18" t="s">
        <v>36</v>
      </c>
      <c r="Z2189" s="18" t="s">
        <v>697</v>
      </c>
      <c r="AA2189" s="21" t="str">
        <f>HYPERLINK("https://www.ncbi.nlm.nih.gov/nuccore/MF001354","NCBI Nucleotide")</f>
        <v>NCBI Nucleotide</v>
      </c>
    </row>
    <row r="2190" spans="1:27" x14ac:dyDescent="0.35">
      <c r="A2190">
        <v>1003007</v>
      </c>
      <c r="B2190">
        <v>2166</v>
      </c>
      <c r="C2190">
        <v>1</v>
      </c>
      <c r="D2190" s="17" t="s">
        <v>155</v>
      </c>
      <c r="E2190" s="17"/>
      <c r="F2190" s="17" t="s">
        <v>156</v>
      </c>
      <c r="G2190" s="17"/>
      <c r="H2190" s="17" t="s">
        <v>692</v>
      </c>
      <c r="I2190" s="17"/>
      <c r="J2190" s="17" t="s">
        <v>693</v>
      </c>
      <c r="K2190" s="17"/>
      <c r="L2190" s="17"/>
      <c r="M2190" s="17"/>
      <c r="N2190" s="17" t="s">
        <v>9509</v>
      </c>
      <c r="O2190" s="17" t="s">
        <v>9624</v>
      </c>
      <c r="P2190" s="17" t="s">
        <v>9761</v>
      </c>
      <c r="Q2190" s="17"/>
      <c r="R2190" s="25" t="str">
        <f>HYPERLINK("https://ictv.global/taxonomy/taxondetails?taxnode_id=202312012","Tequatrovirus sh7")</f>
        <v>Tequatrovirus sh7</v>
      </c>
      <c r="S2190" s="18" t="s">
        <v>30</v>
      </c>
      <c r="T2190" s="18" t="s">
        <v>9884</v>
      </c>
      <c r="U2190" s="18"/>
      <c r="V2190" s="18"/>
      <c r="W2190" s="18" t="s">
        <v>9885</v>
      </c>
      <c r="X2190" s="18" t="s">
        <v>42</v>
      </c>
      <c r="Y2190" s="18" t="s">
        <v>36</v>
      </c>
      <c r="Z2190" s="18" t="s">
        <v>697</v>
      </c>
      <c r="AA2190" s="21" t="str">
        <f>HYPERLINK("https://www.ncbi.nlm.nih.gov/nuccore/KX828711","NCBI Nucleotide")</f>
        <v>NCBI Nucleotide</v>
      </c>
    </row>
    <row r="2191" spans="1:27" x14ac:dyDescent="0.35">
      <c r="A2191">
        <v>1003008</v>
      </c>
      <c r="B2191">
        <v>2167</v>
      </c>
      <c r="C2191">
        <v>1</v>
      </c>
      <c r="D2191" s="17" t="s">
        <v>155</v>
      </c>
      <c r="E2191" s="17"/>
      <c r="F2191" s="17" t="s">
        <v>156</v>
      </c>
      <c r="G2191" s="17"/>
      <c r="H2191" s="17" t="s">
        <v>692</v>
      </c>
      <c r="I2191" s="17"/>
      <c r="J2191" s="17" t="s">
        <v>693</v>
      </c>
      <c r="K2191" s="17"/>
      <c r="L2191" s="17"/>
      <c r="M2191" s="17"/>
      <c r="N2191" s="17" t="s">
        <v>9509</v>
      </c>
      <c r="O2191" s="17" t="s">
        <v>9624</v>
      </c>
      <c r="P2191" s="17" t="s">
        <v>9761</v>
      </c>
      <c r="Q2191" s="17"/>
      <c r="R2191" s="25" t="str">
        <f>HYPERLINK("https://ictv.global/taxonomy/taxondetails?taxnode_id=202307055","Tequatrovirus SHBML501")</f>
        <v>Tequatrovirus SHBML501</v>
      </c>
      <c r="S2191" s="18" t="s">
        <v>30</v>
      </c>
      <c r="T2191" s="18" t="s">
        <v>9886</v>
      </c>
      <c r="U2191" s="18"/>
      <c r="V2191" s="18"/>
      <c r="W2191" s="18" t="s">
        <v>9887</v>
      </c>
      <c r="X2191" s="18" t="s">
        <v>42</v>
      </c>
      <c r="Y2191" s="18" t="s">
        <v>36</v>
      </c>
      <c r="Z2191" s="18" t="s">
        <v>697</v>
      </c>
      <c r="AA2191" s="21" t="str">
        <f>HYPERLINK("https://www.ncbi.nlm.nih.gov/nuccore/KX130864","NCBI Nucleotide")</f>
        <v>NCBI Nucleotide</v>
      </c>
    </row>
    <row r="2192" spans="1:27" x14ac:dyDescent="0.35">
      <c r="A2192">
        <v>1003009</v>
      </c>
      <c r="B2192">
        <v>2168</v>
      </c>
      <c r="C2192">
        <v>1</v>
      </c>
      <c r="D2192" s="17" t="s">
        <v>155</v>
      </c>
      <c r="E2192" s="17"/>
      <c r="F2192" s="17" t="s">
        <v>156</v>
      </c>
      <c r="G2192" s="17"/>
      <c r="H2192" s="17" t="s">
        <v>692</v>
      </c>
      <c r="I2192" s="17"/>
      <c r="J2192" s="17" t="s">
        <v>693</v>
      </c>
      <c r="K2192" s="17"/>
      <c r="L2192" s="17"/>
      <c r="M2192" s="17"/>
      <c r="N2192" s="17" t="s">
        <v>9509</v>
      </c>
      <c r="O2192" s="17" t="s">
        <v>9624</v>
      </c>
      <c r="P2192" s="17" t="s">
        <v>9761</v>
      </c>
      <c r="Q2192" s="17"/>
      <c r="R2192" s="25" t="str">
        <f>HYPERLINK("https://ictv.global/taxonomy/taxondetails?taxnode_id=202300334","Tequatrovirus shfl2")</f>
        <v>Tequatrovirus shfl2</v>
      </c>
      <c r="S2192" s="18" t="s">
        <v>30</v>
      </c>
      <c r="T2192" s="18" t="s">
        <v>9888</v>
      </c>
      <c r="U2192" s="18"/>
      <c r="V2192" s="18"/>
      <c r="W2192" s="18" t="s">
        <v>9889</v>
      </c>
      <c r="X2192" s="18" t="s">
        <v>42</v>
      </c>
      <c r="Y2192" s="18" t="s">
        <v>36</v>
      </c>
      <c r="Z2192" s="18" t="s">
        <v>697</v>
      </c>
      <c r="AA2192" s="21" t="str">
        <f>HYPERLINK("https://www.ncbi.nlm.nih.gov/nuccore/HM035025","NCBI Nucleotide")</f>
        <v>NCBI Nucleotide</v>
      </c>
    </row>
    <row r="2193" spans="1:27" x14ac:dyDescent="0.35">
      <c r="A2193">
        <v>1003010</v>
      </c>
      <c r="B2193">
        <v>2169</v>
      </c>
      <c r="C2193">
        <v>1</v>
      </c>
      <c r="D2193" s="17" t="s">
        <v>155</v>
      </c>
      <c r="E2193" s="17"/>
      <c r="F2193" s="17" t="s">
        <v>156</v>
      </c>
      <c r="G2193" s="17"/>
      <c r="H2193" s="17" t="s">
        <v>692</v>
      </c>
      <c r="I2193" s="17"/>
      <c r="J2193" s="17" t="s">
        <v>693</v>
      </c>
      <c r="K2193" s="17"/>
      <c r="L2193" s="17"/>
      <c r="M2193" s="17"/>
      <c r="N2193" s="17" t="s">
        <v>9509</v>
      </c>
      <c r="O2193" s="17" t="s">
        <v>9624</v>
      </c>
      <c r="P2193" s="17" t="s">
        <v>9761</v>
      </c>
      <c r="Q2193" s="17"/>
      <c r="R2193" s="25" t="str">
        <f>HYPERLINK("https://ictv.global/taxonomy/taxondetails?taxnode_id=202312014","Tequatrovirus shfml11")</f>
        <v>Tequatrovirus shfml11</v>
      </c>
      <c r="S2193" s="18" t="s">
        <v>30</v>
      </c>
      <c r="T2193" s="18" t="s">
        <v>9890</v>
      </c>
      <c r="U2193" s="18"/>
      <c r="V2193" s="18"/>
      <c r="W2193" s="18" t="s">
        <v>9891</v>
      </c>
      <c r="X2193" s="18" t="s">
        <v>42</v>
      </c>
      <c r="Y2193" s="18" t="s">
        <v>36</v>
      </c>
      <c r="Z2193" s="18" t="s">
        <v>697</v>
      </c>
      <c r="AA2193" s="21" t="str">
        <f>HYPERLINK("https://www.ncbi.nlm.nih.gov/nuccore/KX130861","NCBI Nucleotide")</f>
        <v>NCBI Nucleotide</v>
      </c>
    </row>
    <row r="2194" spans="1:27" x14ac:dyDescent="0.35">
      <c r="A2194">
        <v>1003011</v>
      </c>
      <c r="B2194">
        <v>2170</v>
      </c>
      <c r="C2194">
        <v>1</v>
      </c>
      <c r="D2194" s="17" t="s">
        <v>155</v>
      </c>
      <c r="E2194" s="17"/>
      <c r="F2194" s="17" t="s">
        <v>156</v>
      </c>
      <c r="G2194" s="17"/>
      <c r="H2194" s="17" t="s">
        <v>692</v>
      </c>
      <c r="I2194" s="17"/>
      <c r="J2194" s="17" t="s">
        <v>693</v>
      </c>
      <c r="K2194" s="17"/>
      <c r="L2194" s="17"/>
      <c r="M2194" s="17"/>
      <c r="N2194" s="17" t="s">
        <v>9509</v>
      </c>
      <c r="O2194" s="17" t="s">
        <v>9624</v>
      </c>
      <c r="P2194" s="17" t="s">
        <v>9761</v>
      </c>
      <c r="Q2194" s="17"/>
      <c r="R2194" s="25" t="str">
        <f>HYPERLINK("https://ictv.global/taxonomy/taxondetails?taxnode_id=202312015","Tequatrovirus shfml26")</f>
        <v>Tequatrovirus shfml26</v>
      </c>
      <c r="S2194" s="18" t="s">
        <v>30</v>
      </c>
      <c r="T2194" s="18" t="s">
        <v>9892</v>
      </c>
      <c r="U2194" s="18"/>
      <c r="V2194" s="18"/>
      <c r="W2194" s="18" t="s">
        <v>9893</v>
      </c>
      <c r="X2194" s="18" t="s">
        <v>42</v>
      </c>
      <c r="Y2194" s="18" t="s">
        <v>36</v>
      </c>
      <c r="Z2194" s="18" t="s">
        <v>697</v>
      </c>
      <c r="AA2194" s="21" t="str">
        <f>HYPERLINK("https://www.ncbi.nlm.nih.gov/nuccore/KX130862","NCBI Nucleotide")</f>
        <v>NCBI Nucleotide</v>
      </c>
    </row>
    <row r="2195" spans="1:27" x14ac:dyDescent="0.35">
      <c r="A2195">
        <v>1003012</v>
      </c>
      <c r="B2195">
        <v>2171</v>
      </c>
      <c r="C2195">
        <v>1</v>
      </c>
      <c r="D2195" s="17" t="s">
        <v>155</v>
      </c>
      <c r="E2195" s="17"/>
      <c r="F2195" s="17" t="s">
        <v>156</v>
      </c>
      <c r="G2195" s="17"/>
      <c r="H2195" s="17" t="s">
        <v>692</v>
      </c>
      <c r="I2195" s="17"/>
      <c r="J2195" s="17" t="s">
        <v>693</v>
      </c>
      <c r="K2195" s="17"/>
      <c r="L2195" s="17"/>
      <c r="M2195" s="17"/>
      <c r="N2195" s="17" t="s">
        <v>9509</v>
      </c>
      <c r="O2195" s="17" t="s">
        <v>9624</v>
      </c>
      <c r="P2195" s="17" t="s">
        <v>9761</v>
      </c>
      <c r="Q2195" s="17"/>
      <c r="R2195" s="25" t="str">
        <f>HYPERLINK("https://ictv.global/taxonomy/taxondetails?taxnode_id=202313949","Tequatrovirus slur02")</f>
        <v>Tequatrovirus slur02</v>
      </c>
      <c r="S2195" s="18" t="s">
        <v>30</v>
      </c>
      <c r="T2195" s="18" t="s">
        <v>9894</v>
      </c>
      <c r="U2195" s="18"/>
      <c r="V2195" s="18"/>
      <c r="W2195" s="18" t="s">
        <v>9895</v>
      </c>
      <c r="X2195" s="18" t="s">
        <v>42</v>
      </c>
      <c r="Y2195" s="18" t="s">
        <v>36</v>
      </c>
      <c r="Z2195" s="18" t="s">
        <v>697</v>
      </c>
      <c r="AA2195" s="21" t="str">
        <f>HYPERLINK("https://www.ncbi.nlm.nih.gov/nuccore/LN881726","NCBI Nucleotide")</f>
        <v>NCBI Nucleotide</v>
      </c>
    </row>
    <row r="2196" spans="1:27" x14ac:dyDescent="0.35">
      <c r="A2196">
        <v>1003013</v>
      </c>
      <c r="B2196">
        <v>2172</v>
      </c>
      <c r="C2196">
        <v>1</v>
      </c>
      <c r="D2196" s="17" t="s">
        <v>155</v>
      </c>
      <c r="E2196" s="17"/>
      <c r="F2196" s="17" t="s">
        <v>156</v>
      </c>
      <c r="G2196" s="17"/>
      <c r="H2196" s="17" t="s">
        <v>692</v>
      </c>
      <c r="I2196" s="17"/>
      <c r="J2196" s="17" t="s">
        <v>693</v>
      </c>
      <c r="K2196" s="17"/>
      <c r="L2196" s="17"/>
      <c r="M2196" s="17"/>
      <c r="N2196" s="17" t="s">
        <v>9509</v>
      </c>
      <c r="O2196" s="17" t="s">
        <v>9624</v>
      </c>
      <c r="P2196" s="17" t="s">
        <v>9761</v>
      </c>
      <c r="Q2196" s="17"/>
      <c r="R2196" s="25" t="str">
        <f>HYPERLINK("https://ictv.global/taxonomy/taxondetails?taxnode_id=202307054","Tequatrovirus slur03")</f>
        <v>Tequatrovirus slur03</v>
      </c>
      <c r="S2196" s="18" t="s">
        <v>30</v>
      </c>
      <c r="T2196" s="18" t="s">
        <v>9896</v>
      </c>
      <c r="U2196" s="18"/>
      <c r="V2196" s="18"/>
      <c r="W2196" s="18" t="s">
        <v>9897</v>
      </c>
      <c r="X2196" s="18" t="s">
        <v>42</v>
      </c>
      <c r="Y2196" s="18" t="s">
        <v>36</v>
      </c>
      <c r="Z2196" s="18" t="s">
        <v>697</v>
      </c>
      <c r="AA2196" s="21" t="str">
        <f>HYPERLINK("https://www.ncbi.nlm.nih.gov/nuccore/LN881728","NCBI Nucleotide")</f>
        <v>NCBI Nucleotide</v>
      </c>
    </row>
    <row r="2197" spans="1:27" x14ac:dyDescent="0.35">
      <c r="A2197">
        <v>1003014</v>
      </c>
      <c r="B2197">
        <v>2173</v>
      </c>
      <c r="C2197">
        <v>1</v>
      </c>
      <c r="D2197" s="17" t="s">
        <v>155</v>
      </c>
      <c r="E2197" s="17"/>
      <c r="F2197" s="17" t="s">
        <v>156</v>
      </c>
      <c r="G2197" s="17"/>
      <c r="H2197" s="17" t="s">
        <v>692</v>
      </c>
      <c r="I2197" s="17"/>
      <c r="J2197" s="17" t="s">
        <v>693</v>
      </c>
      <c r="K2197" s="17"/>
      <c r="L2197" s="17"/>
      <c r="M2197" s="17"/>
      <c r="N2197" s="17" t="s">
        <v>9509</v>
      </c>
      <c r="O2197" s="17" t="s">
        <v>9624</v>
      </c>
      <c r="P2197" s="17" t="s">
        <v>9761</v>
      </c>
      <c r="Q2197" s="17"/>
      <c r="R2197" s="25" t="str">
        <f>HYPERLINK("https://ictv.global/taxonomy/taxondetails?taxnode_id=202313950","Tequatrovirus slur07")</f>
        <v>Tequatrovirus slur07</v>
      </c>
      <c r="S2197" s="18" t="s">
        <v>30</v>
      </c>
      <c r="T2197" s="18" t="s">
        <v>9898</v>
      </c>
      <c r="U2197" s="18"/>
      <c r="V2197" s="18"/>
      <c r="W2197" s="18" t="s">
        <v>9899</v>
      </c>
      <c r="X2197" s="18" t="s">
        <v>42</v>
      </c>
      <c r="Y2197" s="18" t="s">
        <v>36</v>
      </c>
      <c r="Z2197" s="18" t="s">
        <v>697</v>
      </c>
      <c r="AA2197" s="21" t="str">
        <f>HYPERLINK("https://www.ncbi.nlm.nih.gov/nuccore/LN881732","NCBI Nucleotide")</f>
        <v>NCBI Nucleotide</v>
      </c>
    </row>
    <row r="2198" spans="1:27" x14ac:dyDescent="0.35">
      <c r="A2198">
        <v>1003015</v>
      </c>
      <c r="B2198">
        <v>2174</v>
      </c>
      <c r="C2198">
        <v>1</v>
      </c>
      <c r="D2198" s="17" t="s">
        <v>155</v>
      </c>
      <c r="E2198" s="17"/>
      <c r="F2198" s="17" t="s">
        <v>156</v>
      </c>
      <c r="G2198" s="17"/>
      <c r="H2198" s="17" t="s">
        <v>692</v>
      </c>
      <c r="I2198" s="17"/>
      <c r="J2198" s="17" t="s">
        <v>693</v>
      </c>
      <c r="K2198" s="17"/>
      <c r="L2198" s="17"/>
      <c r="M2198" s="17"/>
      <c r="N2198" s="17" t="s">
        <v>9509</v>
      </c>
      <c r="O2198" s="17" t="s">
        <v>9624</v>
      </c>
      <c r="P2198" s="17" t="s">
        <v>9761</v>
      </c>
      <c r="Q2198" s="17"/>
      <c r="R2198" s="25" t="str">
        <f>HYPERLINK("https://ictv.global/taxonomy/taxondetails?taxnode_id=202312006","Tequatrovirus snuabm")</f>
        <v>Tequatrovirus snuabm</v>
      </c>
      <c r="S2198" s="18" t="s">
        <v>30</v>
      </c>
      <c r="T2198" s="18" t="s">
        <v>9900</v>
      </c>
      <c r="U2198" s="18"/>
      <c r="V2198" s="18"/>
      <c r="W2198" s="18" t="s">
        <v>9901</v>
      </c>
      <c r="X2198" s="18" t="s">
        <v>42</v>
      </c>
      <c r="Y2198" s="18" t="s">
        <v>36</v>
      </c>
      <c r="Z2198" s="18" t="s">
        <v>697</v>
      </c>
      <c r="AA2198" s="21" t="str">
        <f>HYPERLINK("https://www.ncbi.nlm.nih.gov/nuccore/MN580668","NCBI Nucleotide")</f>
        <v>NCBI Nucleotide</v>
      </c>
    </row>
    <row r="2199" spans="1:27" x14ac:dyDescent="0.35">
      <c r="A2199">
        <v>1003016</v>
      </c>
      <c r="B2199">
        <v>2175</v>
      </c>
      <c r="C2199">
        <v>1</v>
      </c>
      <c r="D2199" s="17" t="s">
        <v>155</v>
      </c>
      <c r="E2199" s="17"/>
      <c r="F2199" s="17" t="s">
        <v>156</v>
      </c>
      <c r="G2199" s="17"/>
      <c r="H2199" s="17" t="s">
        <v>692</v>
      </c>
      <c r="I2199" s="17"/>
      <c r="J2199" s="17" t="s">
        <v>693</v>
      </c>
      <c r="K2199" s="17"/>
      <c r="L2199" s="17"/>
      <c r="M2199" s="17"/>
      <c r="N2199" s="17" t="s">
        <v>9509</v>
      </c>
      <c r="O2199" s="17" t="s">
        <v>9624</v>
      </c>
      <c r="P2199" s="17" t="s">
        <v>9761</v>
      </c>
      <c r="Q2199" s="17"/>
      <c r="R2199" s="25" t="str">
        <f>HYPERLINK("https://ictv.global/taxonomy/taxondetails?taxnode_id=202311983","Tequatrovirus T2")</f>
        <v>Tequatrovirus T2</v>
      </c>
      <c r="S2199" s="18" t="s">
        <v>30</v>
      </c>
      <c r="T2199" s="18" t="s">
        <v>9902</v>
      </c>
      <c r="U2199" s="18"/>
      <c r="V2199" s="18"/>
      <c r="W2199" s="18" t="s">
        <v>9903</v>
      </c>
      <c r="X2199" s="18" t="s">
        <v>42</v>
      </c>
      <c r="Y2199" s="18" t="s">
        <v>36</v>
      </c>
      <c r="Z2199" s="18" t="s">
        <v>697</v>
      </c>
      <c r="AA2199" s="21" t="str">
        <f>HYPERLINK("https://www.ncbi.nlm.nih.gov/nuccore/LC348380","NCBI Nucleotide")</f>
        <v>NCBI Nucleotide</v>
      </c>
    </row>
    <row r="2200" spans="1:27" x14ac:dyDescent="0.35">
      <c r="A2200">
        <v>1003017</v>
      </c>
      <c r="B2200">
        <v>2176</v>
      </c>
      <c r="C2200">
        <v>1</v>
      </c>
      <c r="D2200" s="17" t="s">
        <v>155</v>
      </c>
      <c r="E2200" s="17"/>
      <c r="F2200" s="17" t="s">
        <v>156</v>
      </c>
      <c r="G2200" s="17"/>
      <c r="H2200" s="17" t="s">
        <v>692</v>
      </c>
      <c r="I2200" s="17"/>
      <c r="J2200" s="17" t="s">
        <v>693</v>
      </c>
      <c r="K2200" s="17"/>
      <c r="L2200" s="17"/>
      <c r="M2200" s="17"/>
      <c r="N2200" s="17" t="s">
        <v>9509</v>
      </c>
      <c r="O2200" s="17" t="s">
        <v>9624</v>
      </c>
      <c r="P2200" s="17" t="s">
        <v>9761</v>
      </c>
      <c r="Q2200" s="17"/>
      <c r="R2200" s="25" t="str">
        <f>HYPERLINK("https://ictv.global/taxonomy/taxondetails?taxnode_id=202300332","Tequatrovirus T4")</f>
        <v>Tequatrovirus T4</v>
      </c>
      <c r="S2200" s="18" t="s">
        <v>30</v>
      </c>
      <c r="T2200" s="18" t="s">
        <v>9904</v>
      </c>
      <c r="U2200" s="18"/>
      <c r="V2200" s="18"/>
      <c r="W2200" s="18" t="s">
        <v>9905</v>
      </c>
      <c r="X2200" s="18" t="s">
        <v>42</v>
      </c>
      <c r="Y2200" s="18" t="s">
        <v>36</v>
      </c>
      <c r="Z2200" s="18" t="s">
        <v>697</v>
      </c>
      <c r="AA2200" s="21" t="str">
        <f>HYPERLINK("https://www.ncbi.nlm.nih.gov/nuccore/AF158101","NCBI Nucleotide")</f>
        <v>NCBI Nucleotide</v>
      </c>
    </row>
    <row r="2201" spans="1:27" x14ac:dyDescent="0.35">
      <c r="A2201">
        <v>1003018</v>
      </c>
      <c r="B2201">
        <v>2177</v>
      </c>
      <c r="C2201">
        <v>1</v>
      </c>
      <c r="D2201" s="17" t="s">
        <v>155</v>
      </c>
      <c r="E2201" s="17"/>
      <c r="F2201" s="17" t="s">
        <v>156</v>
      </c>
      <c r="G2201" s="17"/>
      <c r="H2201" s="17" t="s">
        <v>692</v>
      </c>
      <c r="I2201" s="17"/>
      <c r="J2201" s="17" t="s">
        <v>693</v>
      </c>
      <c r="K2201" s="17"/>
      <c r="L2201" s="17"/>
      <c r="M2201" s="17"/>
      <c r="N2201" s="17" t="s">
        <v>9509</v>
      </c>
      <c r="O2201" s="17" t="s">
        <v>9624</v>
      </c>
      <c r="P2201" s="17" t="s">
        <v>9761</v>
      </c>
      <c r="Q2201" s="17"/>
      <c r="R2201" s="25" t="str">
        <f>HYPERLINK("https://ictv.global/taxonomy/taxondetails?taxnode_id=202311974","Tequatrovirus T6")</f>
        <v>Tequatrovirus T6</v>
      </c>
      <c r="S2201" s="18" t="s">
        <v>30</v>
      </c>
      <c r="T2201" s="18" t="s">
        <v>9906</v>
      </c>
      <c r="U2201" s="18"/>
      <c r="V2201" s="18"/>
      <c r="W2201" s="18" t="s">
        <v>9907</v>
      </c>
      <c r="X2201" s="18" t="s">
        <v>42</v>
      </c>
      <c r="Y2201" s="18" t="s">
        <v>36</v>
      </c>
      <c r="Z2201" s="18" t="s">
        <v>697</v>
      </c>
      <c r="AA2201" s="21" t="str">
        <f>HYPERLINK("https://www.ncbi.nlm.nih.gov/nuccore/AP018814","NCBI Nucleotide")</f>
        <v>NCBI Nucleotide</v>
      </c>
    </row>
    <row r="2202" spans="1:27" x14ac:dyDescent="0.35">
      <c r="A2202">
        <v>1003019</v>
      </c>
      <c r="B2202">
        <v>2178</v>
      </c>
      <c r="C2202">
        <v>1</v>
      </c>
      <c r="D2202" s="17" t="s">
        <v>155</v>
      </c>
      <c r="E2202" s="17"/>
      <c r="F2202" s="17" t="s">
        <v>156</v>
      </c>
      <c r="G2202" s="17"/>
      <c r="H2202" s="17" t="s">
        <v>692</v>
      </c>
      <c r="I2202" s="17"/>
      <c r="J2202" s="17" t="s">
        <v>693</v>
      </c>
      <c r="K2202" s="17"/>
      <c r="L2202" s="17"/>
      <c r="M2202" s="17"/>
      <c r="N2202" s="17" t="s">
        <v>9509</v>
      </c>
      <c r="O2202" s="17" t="s">
        <v>9624</v>
      </c>
      <c r="P2202" s="17" t="s">
        <v>9761</v>
      </c>
      <c r="Q2202" s="17"/>
      <c r="R2202" s="25" t="str">
        <f>HYPERLINK("https://ictv.global/taxonomy/taxondetails?taxnode_id=202311984","Tequatrovirus teqdroes")</f>
        <v>Tequatrovirus teqdroes</v>
      </c>
      <c r="S2202" s="18" t="s">
        <v>30</v>
      </c>
      <c r="T2202" s="18" t="s">
        <v>9908</v>
      </c>
      <c r="U2202" s="18"/>
      <c r="V2202" s="18"/>
      <c r="W2202" s="18" t="s">
        <v>9909</v>
      </c>
      <c r="X2202" s="18" t="s">
        <v>42</v>
      </c>
      <c r="Y2202" s="18" t="s">
        <v>36</v>
      </c>
      <c r="Z2202" s="18" t="s">
        <v>697</v>
      </c>
      <c r="AA2202" s="21" t="str">
        <f>HYPERLINK("https://www.ncbi.nlm.nih.gov/nuccore/MN895438","NCBI Nucleotide")</f>
        <v>NCBI Nucleotide</v>
      </c>
    </row>
    <row r="2203" spans="1:27" x14ac:dyDescent="0.35">
      <c r="A2203">
        <v>1003020</v>
      </c>
      <c r="B2203">
        <v>2179</v>
      </c>
      <c r="C2203">
        <v>1</v>
      </c>
      <c r="D2203" s="17" t="s">
        <v>155</v>
      </c>
      <c r="E2203" s="17"/>
      <c r="F2203" s="17" t="s">
        <v>156</v>
      </c>
      <c r="G2203" s="17"/>
      <c r="H2203" s="17" t="s">
        <v>692</v>
      </c>
      <c r="I2203" s="17"/>
      <c r="J2203" s="17" t="s">
        <v>693</v>
      </c>
      <c r="K2203" s="17"/>
      <c r="L2203" s="17"/>
      <c r="M2203" s="17"/>
      <c r="N2203" s="17" t="s">
        <v>9509</v>
      </c>
      <c r="O2203" s="17" t="s">
        <v>9624</v>
      </c>
      <c r="P2203" s="17" t="s">
        <v>9761</v>
      </c>
      <c r="Q2203" s="17"/>
      <c r="R2203" s="25" t="str">
        <f>HYPERLINK("https://ictv.global/taxonomy/taxondetails?taxnode_id=202311985","Tequatrovirus teqhad")</f>
        <v>Tequatrovirus teqhad</v>
      </c>
      <c r="S2203" s="18" t="s">
        <v>30</v>
      </c>
      <c r="T2203" s="18" t="s">
        <v>9910</v>
      </c>
      <c r="U2203" s="18"/>
      <c r="V2203" s="18"/>
      <c r="W2203" s="18" t="s">
        <v>9911</v>
      </c>
      <c r="X2203" s="18" t="s">
        <v>42</v>
      </c>
      <c r="Y2203" s="18" t="s">
        <v>36</v>
      </c>
      <c r="Z2203" s="18" t="s">
        <v>697</v>
      </c>
      <c r="AA2203" s="21" t="str">
        <f>HYPERLINK("https://www.ncbi.nlm.nih.gov/nuccore/MN895434","NCBI Nucleotide")</f>
        <v>NCBI Nucleotide</v>
      </c>
    </row>
    <row r="2204" spans="1:27" x14ac:dyDescent="0.35">
      <c r="A2204">
        <v>1003021</v>
      </c>
      <c r="B2204">
        <v>2180</v>
      </c>
      <c r="C2204">
        <v>1</v>
      </c>
      <c r="D2204" s="17" t="s">
        <v>155</v>
      </c>
      <c r="E2204" s="17"/>
      <c r="F2204" s="17" t="s">
        <v>156</v>
      </c>
      <c r="G2204" s="17"/>
      <c r="H2204" s="17" t="s">
        <v>692</v>
      </c>
      <c r="I2204" s="17"/>
      <c r="J2204" s="17" t="s">
        <v>693</v>
      </c>
      <c r="K2204" s="17"/>
      <c r="L2204" s="17"/>
      <c r="M2204" s="17"/>
      <c r="N2204" s="17" t="s">
        <v>9509</v>
      </c>
      <c r="O2204" s="17" t="s">
        <v>9624</v>
      </c>
      <c r="P2204" s="17" t="s">
        <v>9761</v>
      </c>
      <c r="Q2204" s="17"/>
      <c r="R2204" s="25" t="str">
        <f>HYPERLINK("https://ictv.global/taxonomy/taxondetails?taxnode_id=202311986","Tequatrovirus teqskov")</f>
        <v>Tequatrovirus teqskov</v>
      </c>
      <c r="S2204" s="18" t="s">
        <v>30</v>
      </c>
      <c r="T2204" s="18" t="s">
        <v>9912</v>
      </c>
      <c r="U2204" s="18"/>
      <c r="V2204" s="18"/>
      <c r="W2204" s="18" t="s">
        <v>9913</v>
      </c>
      <c r="X2204" s="18" t="s">
        <v>42</v>
      </c>
      <c r="Y2204" s="18" t="s">
        <v>36</v>
      </c>
      <c r="Z2204" s="18" t="s">
        <v>697</v>
      </c>
      <c r="AA2204" s="21" t="str">
        <f>HYPERLINK("https://www.ncbi.nlm.nih.gov/nuccore/MN895437","NCBI Nucleotide")</f>
        <v>NCBI Nucleotide</v>
      </c>
    </row>
    <row r="2205" spans="1:27" x14ac:dyDescent="0.35">
      <c r="A2205">
        <v>1003022</v>
      </c>
      <c r="B2205">
        <v>2181</v>
      </c>
      <c r="C2205">
        <v>1</v>
      </c>
      <c r="D2205" s="17" t="s">
        <v>155</v>
      </c>
      <c r="E2205" s="17"/>
      <c r="F2205" s="17" t="s">
        <v>156</v>
      </c>
      <c r="G2205" s="17"/>
      <c r="H2205" s="17" t="s">
        <v>692</v>
      </c>
      <c r="I2205" s="17"/>
      <c r="J2205" s="17" t="s">
        <v>693</v>
      </c>
      <c r="K2205" s="17"/>
      <c r="L2205" s="17"/>
      <c r="M2205" s="17"/>
      <c r="N2205" s="17" t="s">
        <v>9509</v>
      </c>
      <c r="O2205" s="17" t="s">
        <v>9624</v>
      </c>
      <c r="P2205" s="17" t="s">
        <v>9761</v>
      </c>
      <c r="Q2205" s="17"/>
      <c r="R2205" s="25" t="str">
        <f>HYPERLINK("https://ictv.global/taxonomy/taxondetails?taxnode_id=202311987","Tequatrovirus ufvareg1")</f>
        <v>Tequatrovirus ufvareg1</v>
      </c>
      <c r="S2205" s="18" t="s">
        <v>30</v>
      </c>
      <c r="T2205" s="18" t="s">
        <v>9914</v>
      </c>
      <c r="U2205" s="18"/>
      <c r="V2205" s="18"/>
      <c r="W2205" s="18" t="s">
        <v>9915</v>
      </c>
      <c r="X2205" s="18" t="s">
        <v>42</v>
      </c>
      <c r="Y2205" s="18" t="s">
        <v>36</v>
      </c>
      <c r="Z2205" s="18" t="s">
        <v>697</v>
      </c>
      <c r="AA2205" s="21" t="str">
        <f>HYPERLINK("https://www.ncbi.nlm.nih.gov/nuccore/KX009778","NCBI Nucleotide")</f>
        <v>NCBI Nucleotide</v>
      </c>
    </row>
    <row r="2206" spans="1:27" x14ac:dyDescent="0.35">
      <c r="A2206">
        <v>1024887</v>
      </c>
      <c r="B2206">
        <v>2182</v>
      </c>
      <c r="C2206">
        <v>1</v>
      </c>
      <c r="D2206" s="17" t="s">
        <v>155</v>
      </c>
      <c r="E2206" s="17"/>
      <c r="F2206" s="17" t="s">
        <v>156</v>
      </c>
      <c r="G2206" s="17"/>
      <c r="H2206" s="17" t="s">
        <v>692</v>
      </c>
      <c r="I2206" s="17"/>
      <c r="J2206" s="17" t="s">
        <v>693</v>
      </c>
      <c r="K2206" s="17"/>
      <c r="L2206" s="17"/>
      <c r="M2206" s="17"/>
      <c r="N2206" s="17" t="s">
        <v>9509</v>
      </c>
      <c r="O2206" s="17" t="s">
        <v>9624</v>
      </c>
      <c r="P2206" s="17" t="s">
        <v>9761</v>
      </c>
      <c r="Q2206" s="17"/>
      <c r="R2206" s="25" t="str">
        <f>HYPERLINK("https://ictv.global/taxonomy/taxondetails?taxnode_id=202319345","Tequatrovirus vipecoom")</f>
        <v>Tequatrovirus vipecoom</v>
      </c>
      <c r="S2206" s="18" t="s">
        <v>30</v>
      </c>
      <c r="T2206" s="18" t="s">
        <v>39454</v>
      </c>
      <c r="U2206" s="18"/>
      <c r="V2206" s="18" t="s">
        <v>39455</v>
      </c>
      <c r="W2206" s="18" t="s">
        <v>50387</v>
      </c>
      <c r="X2206" s="18" t="s">
        <v>42</v>
      </c>
      <c r="Y2206" s="18" t="s">
        <v>36</v>
      </c>
      <c r="Z2206" s="18" t="s">
        <v>697</v>
      </c>
      <c r="AA2206" s="21" t="str">
        <f>HYPERLINK("https://www.ncbi.nlm.nih.gov/nuccore/OQ721911","NCBI Nucleotide")</f>
        <v>NCBI Nucleotide</v>
      </c>
    </row>
    <row r="2207" spans="1:27" x14ac:dyDescent="0.35">
      <c r="A2207">
        <v>1003023</v>
      </c>
      <c r="B2207">
        <v>2183</v>
      </c>
      <c r="C2207">
        <v>1</v>
      </c>
      <c r="D2207" s="17" t="s">
        <v>155</v>
      </c>
      <c r="E2207" s="17"/>
      <c r="F2207" s="17" t="s">
        <v>156</v>
      </c>
      <c r="G2207" s="17"/>
      <c r="H2207" s="17" t="s">
        <v>692</v>
      </c>
      <c r="I2207" s="17"/>
      <c r="J2207" s="17" t="s">
        <v>693</v>
      </c>
      <c r="K2207" s="17"/>
      <c r="L2207" s="17"/>
      <c r="M2207" s="17"/>
      <c r="N2207" s="17" t="s">
        <v>9509</v>
      </c>
      <c r="O2207" s="17" t="s">
        <v>9624</v>
      </c>
      <c r="P2207" s="17" t="s">
        <v>9761</v>
      </c>
      <c r="Q2207" s="17"/>
      <c r="R2207" s="25" t="str">
        <f>HYPERLINK("https://ictv.global/taxonomy/taxondetails?taxnode_id=202313946","Tequatrovirus vtec")</f>
        <v>Tequatrovirus vtec</v>
      </c>
      <c r="S2207" s="18" t="s">
        <v>30</v>
      </c>
      <c r="T2207" s="18" t="s">
        <v>9916</v>
      </c>
      <c r="U2207" s="18"/>
      <c r="V2207" s="18"/>
      <c r="W2207" s="18" t="s">
        <v>9917</v>
      </c>
      <c r="X2207" s="18" t="s">
        <v>42</v>
      </c>
      <c r="Y2207" s="18" t="s">
        <v>36</v>
      </c>
      <c r="Z2207" s="18" t="s">
        <v>697</v>
      </c>
      <c r="AA2207" s="21" t="str">
        <f>HYPERLINK("https://www.ncbi.nlm.nih.gov/nuccore/HM997020","NCBI Nucleotide")</f>
        <v>NCBI Nucleotide</v>
      </c>
    </row>
    <row r="2208" spans="1:27" x14ac:dyDescent="0.35">
      <c r="A2208">
        <v>1003024</v>
      </c>
      <c r="B2208">
        <v>2184</v>
      </c>
      <c r="C2208">
        <v>1</v>
      </c>
      <c r="D2208" s="17" t="s">
        <v>155</v>
      </c>
      <c r="E2208" s="17"/>
      <c r="F2208" s="17" t="s">
        <v>156</v>
      </c>
      <c r="G2208" s="17"/>
      <c r="H2208" s="17" t="s">
        <v>692</v>
      </c>
      <c r="I2208" s="17"/>
      <c r="J2208" s="17" t="s">
        <v>693</v>
      </c>
      <c r="K2208" s="17"/>
      <c r="L2208" s="17"/>
      <c r="M2208" s="17"/>
      <c r="N2208" s="17" t="s">
        <v>9509</v>
      </c>
      <c r="O2208" s="17" t="s">
        <v>9624</v>
      </c>
      <c r="P2208" s="17" t="s">
        <v>9761</v>
      </c>
      <c r="Q2208" s="17"/>
      <c r="R2208" s="25" t="str">
        <f>HYPERLINK("https://ictv.global/taxonomy/taxondetails?taxnode_id=202314944","Tequatrovirus yueel1")</f>
        <v>Tequatrovirus yueel1</v>
      </c>
      <c r="S2208" s="18" t="s">
        <v>30</v>
      </c>
      <c r="T2208" s="18" t="s">
        <v>9918</v>
      </c>
      <c r="U2208" s="18"/>
      <c r="V2208" s="18"/>
      <c r="W2208" s="18" t="s">
        <v>9919</v>
      </c>
      <c r="X2208" s="18" t="s">
        <v>42</v>
      </c>
      <c r="Y2208" s="18" t="s">
        <v>36</v>
      </c>
      <c r="Z2208" s="18" t="s">
        <v>697</v>
      </c>
      <c r="AA2208" s="21" t="str">
        <f>HYPERLINK("https://www.ncbi.nlm.nih.gov/nuccore/KY290975","NCBI Nucleotide")</f>
        <v>NCBI Nucleotide</v>
      </c>
    </row>
    <row r="2209" spans="1:27" x14ac:dyDescent="0.35">
      <c r="A2209">
        <v>1003025</v>
      </c>
      <c r="B2209">
        <v>2185</v>
      </c>
      <c r="C2209">
        <v>1</v>
      </c>
      <c r="D2209" s="17" t="s">
        <v>155</v>
      </c>
      <c r="E2209" s="17"/>
      <c r="F2209" s="17" t="s">
        <v>156</v>
      </c>
      <c r="G2209" s="17"/>
      <c r="H2209" s="17" t="s">
        <v>692</v>
      </c>
      <c r="I2209" s="17"/>
      <c r="J2209" s="17" t="s">
        <v>693</v>
      </c>
      <c r="K2209" s="17"/>
      <c r="L2209" s="17"/>
      <c r="M2209" s="17"/>
      <c r="N2209" s="17" t="s">
        <v>9509</v>
      </c>
      <c r="O2209" s="17" t="s">
        <v>9624</v>
      </c>
      <c r="P2209" s="17" t="s">
        <v>9761</v>
      </c>
      <c r="Q2209" s="17"/>
      <c r="R2209" s="25" t="str">
        <f>HYPERLINK("https://ictv.global/taxonomy/taxondetails?taxnode_id=202312018","Tequatrovirus zeen18")</f>
        <v>Tequatrovirus zeen18</v>
      </c>
      <c r="S2209" s="18" t="s">
        <v>30</v>
      </c>
      <c r="T2209" s="18" t="s">
        <v>9920</v>
      </c>
      <c r="U2209" s="18"/>
      <c r="V2209" s="18"/>
      <c r="W2209" s="18" t="s">
        <v>9921</v>
      </c>
      <c r="X2209" s="18" t="s">
        <v>42</v>
      </c>
      <c r="Y2209" s="18" t="s">
        <v>36</v>
      </c>
      <c r="Z2209" s="18" t="s">
        <v>697</v>
      </c>
      <c r="AA2209" s="21" t="str">
        <f>HYPERLINK("https://www.ncbi.nlm.nih.gov/nuccore/MN716856","NCBI Nucleotide")</f>
        <v>NCBI Nucleotide</v>
      </c>
    </row>
    <row r="2210" spans="1:27" x14ac:dyDescent="0.35">
      <c r="A2210">
        <v>1003026</v>
      </c>
      <c r="B2210">
        <v>2186</v>
      </c>
      <c r="C2210">
        <v>1</v>
      </c>
      <c r="D2210" s="17" t="s">
        <v>155</v>
      </c>
      <c r="E2210" s="17"/>
      <c r="F2210" s="17" t="s">
        <v>156</v>
      </c>
      <c r="G2210" s="17"/>
      <c r="H2210" s="17" t="s">
        <v>692</v>
      </c>
      <c r="I2210" s="17"/>
      <c r="J2210" s="17" t="s">
        <v>693</v>
      </c>
      <c r="K2210" s="17"/>
      <c r="L2210" s="17"/>
      <c r="M2210" s="17"/>
      <c r="N2210" s="17" t="s">
        <v>9509</v>
      </c>
      <c r="O2210" s="17" t="s">
        <v>9624</v>
      </c>
      <c r="P2210" s="17" t="s">
        <v>9761</v>
      </c>
      <c r="Q2210" s="17"/>
      <c r="R2210" s="25" t="str">
        <f>HYPERLINK("https://ictv.global/taxonomy/taxondetails?taxnode_id=202311966","Tequatrovirus zeezee23")</f>
        <v>Tequatrovirus zeezee23</v>
      </c>
      <c r="S2210" s="18" t="s">
        <v>30</v>
      </c>
      <c r="T2210" s="18" t="s">
        <v>9922</v>
      </c>
      <c r="U2210" s="18"/>
      <c r="V2210" s="18"/>
      <c r="W2210" s="18" t="s">
        <v>9923</v>
      </c>
      <c r="X2210" s="18" t="s">
        <v>42</v>
      </c>
      <c r="Y2210" s="18" t="s">
        <v>36</v>
      </c>
      <c r="Z2210" s="18" t="s">
        <v>697</v>
      </c>
      <c r="AA2210" s="21" t="str">
        <f>HYPERLINK("https://www.ncbi.nlm.nih.gov/nuccore/MT176425","NCBI Nucleotide")</f>
        <v>NCBI Nucleotide</v>
      </c>
    </row>
    <row r="2211" spans="1:27" x14ac:dyDescent="0.35">
      <c r="A2211">
        <v>1003027</v>
      </c>
      <c r="B2211">
        <v>2187</v>
      </c>
      <c r="C2211">
        <v>1</v>
      </c>
      <c r="D2211" s="17" t="s">
        <v>155</v>
      </c>
      <c r="E2211" s="17"/>
      <c r="F2211" s="17" t="s">
        <v>156</v>
      </c>
      <c r="G2211" s="17"/>
      <c r="H2211" s="17" t="s">
        <v>692</v>
      </c>
      <c r="I2211" s="17"/>
      <c r="J2211" s="17" t="s">
        <v>693</v>
      </c>
      <c r="K2211" s="17"/>
      <c r="L2211" s="17"/>
      <c r="M2211" s="17"/>
      <c r="N2211" s="17" t="s">
        <v>9509</v>
      </c>
      <c r="O2211" s="17" t="s">
        <v>9624</v>
      </c>
      <c r="P2211" s="17" t="s">
        <v>9761</v>
      </c>
      <c r="Q2211" s="17"/>
      <c r="R2211" s="25" t="str">
        <f>HYPERLINK("https://ictv.global/taxonomy/taxondetails?taxnode_id=202311967","Tequatrovirus zeezeesix")</f>
        <v>Tequatrovirus zeezeesix</v>
      </c>
      <c r="S2211" s="18" t="s">
        <v>30</v>
      </c>
      <c r="T2211" s="18" t="s">
        <v>9924</v>
      </c>
      <c r="U2211" s="18"/>
      <c r="V2211" s="18"/>
      <c r="W2211" s="18" t="s">
        <v>9925</v>
      </c>
      <c r="X2211" s="18" t="s">
        <v>42</v>
      </c>
      <c r="Y2211" s="18" t="s">
        <v>36</v>
      </c>
      <c r="Z2211" s="18" t="s">
        <v>697</v>
      </c>
      <c r="AA2211" s="21" t="str">
        <f>HYPERLINK("https://www.ncbi.nlm.nih.gov/nuccore/MT176424","NCBI Nucleotide")</f>
        <v>NCBI Nucleotide</v>
      </c>
    </row>
    <row r="2212" spans="1:27" x14ac:dyDescent="0.35">
      <c r="A2212">
        <v>1003028</v>
      </c>
      <c r="B2212">
        <v>2188</v>
      </c>
      <c r="C2212">
        <v>1</v>
      </c>
      <c r="D2212" s="17" t="s">
        <v>155</v>
      </c>
      <c r="E2212" s="17"/>
      <c r="F2212" s="17" t="s">
        <v>156</v>
      </c>
      <c r="G2212" s="17"/>
      <c r="H2212" s="17" t="s">
        <v>692</v>
      </c>
      <c r="I2212" s="17"/>
      <c r="J2212" s="17" t="s">
        <v>693</v>
      </c>
      <c r="K2212" s="17"/>
      <c r="L2212" s="17"/>
      <c r="M2212" s="17"/>
      <c r="N2212" s="17" t="s">
        <v>9509</v>
      </c>
      <c r="O2212" s="17" t="s">
        <v>9624</v>
      </c>
      <c r="P2212" s="17" t="s">
        <v>9761</v>
      </c>
      <c r="Q2212" s="17"/>
      <c r="R2212" s="25" t="str">
        <f>HYPERLINK("https://ictv.global/taxonomy/taxondetails?taxnode_id=202312008","Tequatrovirus zeezeethirty")</f>
        <v>Tequatrovirus zeezeethirty</v>
      </c>
      <c r="S2212" s="18" t="s">
        <v>30</v>
      </c>
      <c r="T2212" s="18" t="s">
        <v>9926</v>
      </c>
      <c r="U2212" s="18"/>
      <c r="V2212" s="18"/>
      <c r="W2212" s="18" t="s">
        <v>9927</v>
      </c>
      <c r="X2212" s="18" t="s">
        <v>42</v>
      </c>
      <c r="Y2212" s="18" t="s">
        <v>36</v>
      </c>
      <c r="Z2212" s="18" t="s">
        <v>697</v>
      </c>
      <c r="AA2212" s="21" t="str">
        <f>HYPERLINK("https://www.ncbi.nlm.nih.gov/nuccore/MT176426","NCBI Nucleotide")</f>
        <v>NCBI Nucleotide</v>
      </c>
    </row>
    <row r="2213" spans="1:27" x14ac:dyDescent="0.35">
      <c r="A2213">
        <v>1003029</v>
      </c>
      <c r="B2213">
        <v>2189</v>
      </c>
      <c r="C2213">
        <v>1</v>
      </c>
      <c r="D2213" s="17" t="s">
        <v>155</v>
      </c>
      <c r="E2213" s="17"/>
      <c r="F2213" s="17" t="s">
        <v>156</v>
      </c>
      <c r="G2213" s="17"/>
      <c r="H2213" s="17" t="s">
        <v>692</v>
      </c>
      <c r="I2213" s="17"/>
      <c r="J2213" s="17" t="s">
        <v>693</v>
      </c>
      <c r="K2213" s="17"/>
      <c r="L2213" s="17"/>
      <c r="M2213" s="17"/>
      <c r="N2213" s="17" t="s">
        <v>9509</v>
      </c>
      <c r="O2213" s="17" t="s">
        <v>9624</v>
      </c>
      <c r="P2213" s="17" t="s">
        <v>9928</v>
      </c>
      <c r="Q2213" s="17"/>
      <c r="R2213" s="25" t="str">
        <f>HYPERLINK("https://ictv.global/taxonomy/taxondetails?taxnode_id=202306871","Winklervirus chi14")</f>
        <v>Winklervirus chi14</v>
      </c>
      <c r="S2213" s="18" t="s">
        <v>30</v>
      </c>
      <c r="T2213" s="18" t="s">
        <v>9929</v>
      </c>
      <c r="U2213" s="18"/>
      <c r="V2213" s="18"/>
      <c r="W2213" s="18" t="s">
        <v>9930</v>
      </c>
      <c r="X2213" s="18" t="s">
        <v>42</v>
      </c>
      <c r="Y2213" s="18" t="s">
        <v>36</v>
      </c>
      <c r="Z2213" s="18" t="s">
        <v>697</v>
      </c>
      <c r="AA2213" s="21" t="str">
        <f>HYPERLINK("https://www.ncbi.nlm.nih.gov/nuccore/MF036690","NCBI Nucleotide")</f>
        <v>NCBI Nucleotide</v>
      </c>
    </row>
    <row r="2214" spans="1:27" x14ac:dyDescent="0.35">
      <c r="A2214">
        <v>1003030</v>
      </c>
      <c r="B2214">
        <v>2190</v>
      </c>
      <c r="C2214">
        <v>1</v>
      </c>
      <c r="D2214" s="17" t="s">
        <v>155</v>
      </c>
      <c r="E2214" s="17"/>
      <c r="F2214" s="17" t="s">
        <v>156</v>
      </c>
      <c r="G2214" s="17"/>
      <c r="H2214" s="17" t="s">
        <v>692</v>
      </c>
      <c r="I2214" s="17"/>
      <c r="J2214" s="17" t="s">
        <v>693</v>
      </c>
      <c r="K2214" s="17"/>
      <c r="L2214" s="17"/>
      <c r="M2214" s="17"/>
      <c r="N2214" s="17" t="s">
        <v>9509</v>
      </c>
      <c r="O2214" s="17" t="s">
        <v>9624</v>
      </c>
      <c r="P2214" s="17" t="s">
        <v>9928</v>
      </c>
      <c r="Q2214" s="17"/>
      <c r="R2214" s="25" t="str">
        <f>HYPERLINK("https://ictv.global/taxonomy/taxondetails?taxnode_id=202313688","Winklervirus xtwenty")</f>
        <v>Winklervirus xtwenty</v>
      </c>
      <c r="S2214" s="18" t="s">
        <v>30</v>
      </c>
      <c r="T2214" s="18" t="s">
        <v>9931</v>
      </c>
      <c r="U2214" s="18"/>
      <c r="V2214" s="18"/>
      <c r="W2214" s="18" t="s">
        <v>9932</v>
      </c>
      <c r="X2214" s="18" t="s">
        <v>42</v>
      </c>
      <c r="Y2214" s="18" t="s">
        <v>36</v>
      </c>
      <c r="Z2214" s="18" t="s">
        <v>697</v>
      </c>
      <c r="AA2214" s="21" t="str">
        <f>HYPERLINK("https://www.ncbi.nlm.nih.gov/nuccore/MF036692","NCBI Nucleotide")</f>
        <v>NCBI Nucleotide</v>
      </c>
    </row>
    <row r="2215" spans="1:27" x14ac:dyDescent="0.35">
      <c r="A2215">
        <v>1003031</v>
      </c>
      <c r="B2215">
        <v>2191</v>
      </c>
      <c r="C2215">
        <v>1</v>
      </c>
      <c r="D2215" s="17" t="s">
        <v>155</v>
      </c>
      <c r="E2215" s="17"/>
      <c r="F2215" s="17" t="s">
        <v>156</v>
      </c>
      <c r="G2215" s="17"/>
      <c r="H2215" s="17" t="s">
        <v>692</v>
      </c>
      <c r="I2215" s="17"/>
      <c r="J2215" s="17" t="s">
        <v>693</v>
      </c>
      <c r="K2215" s="17"/>
      <c r="L2215" s="17"/>
      <c r="M2215" s="17"/>
      <c r="N2215" s="17" t="s">
        <v>9509</v>
      </c>
      <c r="O2215" s="17" t="s">
        <v>9624</v>
      </c>
      <c r="P2215" s="17"/>
      <c r="Q2215" s="17"/>
      <c r="R2215" s="25" t="str">
        <f>HYPERLINK("https://ictv.global/taxonomy/taxondetails?taxnode_id=202300338","Acinetobacter virus 133")</f>
        <v>Acinetobacter virus 133</v>
      </c>
      <c r="S2215" s="18" t="s">
        <v>30</v>
      </c>
      <c r="T2215" s="18" t="s">
        <v>9625</v>
      </c>
      <c r="U2215" s="18"/>
      <c r="V2215" s="18"/>
      <c r="W2215" s="18" t="s">
        <v>9626</v>
      </c>
      <c r="X2215" s="18" t="s">
        <v>42</v>
      </c>
      <c r="Y2215" s="18" t="s">
        <v>36</v>
      </c>
      <c r="Z2215" s="18" t="s">
        <v>697</v>
      </c>
      <c r="AA2215" s="21" t="str">
        <f>HYPERLINK("https://www.ncbi.nlm.nih.gov/nuccore/HM114315","NCBI Nucleotide")</f>
        <v>NCBI Nucleotide</v>
      </c>
    </row>
    <row r="2216" spans="1:27" x14ac:dyDescent="0.35">
      <c r="A2216">
        <v>1003032</v>
      </c>
      <c r="B2216">
        <v>2192</v>
      </c>
      <c r="C2216">
        <v>1</v>
      </c>
      <c r="D2216" s="17" t="s">
        <v>155</v>
      </c>
      <c r="E2216" s="17"/>
      <c r="F2216" s="17" t="s">
        <v>156</v>
      </c>
      <c r="G2216" s="17"/>
      <c r="H2216" s="17" t="s">
        <v>692</v>
      </c>
      <c r="I2216" s="17"/>
      <c r="J2216" s="17" t="s">
        <v>693</v>
      </c>
      <c r="K2216" s="17"/>
      <c r="L2216" s="17"/>
      <c r="M2216" s="17"/>
      <c r="N2216" s="17" t="s">
        <v>9509</v>
      </c>
      <c r="O2216" s="17" t="s">
        <v>9933</v>
      </c>
      <c r="P2216" s="17" t="s">
        <v>9934</v>
      </c>
      <c r="Q2216" s="17"/>
      <c r="R2216" s="25" t="str">
        <f>HYPERLINK("https://ictv.global/taxonomy/taxondetails?taxnode_id=202312076","Acajnonavirus acj9")</f>
        <v>Acajnonavirus acj9</v>
      </c>
      <c r="S2216" s="18" t="s">
        <v>30</v>
      </c>
      <c r="T2216" s="18" t="s">
        <v>9935</v>
      </c>
      <c r="U2216" s="18"/>
      <c r="V2216" s="18"/>
      <c r="W2216" s="18" t="s">
        <v>9936</v>
      </c>
      <c r="X2216" s="18" t="s">
        <v>42</v>
      </c>
      <c r="Y2216" s="18" t="s">
        <v>36</v>
      </c>
      <c r="Z2216" s="18" t="s">
        <v>697</v>
      </c>
      <c r="AA2216" s="21" t="str">
        <f>HYPERLINK("https://www.ncbi.nlm.nih.gov/nuccore/HM004124","NCBI Nucleotide")</f>
        <v>NCBI Nucleotide</v>
      </c>
    </row>
    <row r="2217" spans="1:27" x14ac:dyDescent="0.35">
      <c r="A2217">
        <v>1003033</v>
      </c>
      <c r="B2217">
        <v>2193</v>
      </c>
      <c r="C2217">
        <v>1</v>
      </c>
      <c r="D2217" s="17" t="s">
        <v>155</v>
      </c>
      <c r="E2217" s="17"/>
      <c r="F2217" s="17" t="s">
        <v>156</v>
      </c>
      <c r="G2217" s="17"/>
      <c r="H2217" s="17" t="s">
        <v>692</v>
      </c>
      <c r="I2217" s="17"/>
      <c r="J2217" s="17" t="s">
        <v>693</v>
      </c>
      <c r="K2217" s="17"/>
      <c r="L2217" s="17"/>
      <c r="M2217" s="17"/>
      <c r="N2217" s="17" t="s">
        <v>9509</v>
      </c>
      <c r="O2217" s="17" t="s">
        <v>9933</v>
      </c>
      <c r="P2217" s="17" t="s">
        <v>9937</v>
      </c>
      <c r="Q2217" s="17"/>
      <c r="R2217" s="25" t="str">
        <f>HYPERLINK("https://ictv.global/taxonomy/taxondetails?taxnode_id=202312064","Hadassahvirus azbtza1")</f>
        <v>Hadassahvirus azbtza1</v>
      </c>
      <c r="S2217" s="18" t="s">
        <v>30</v>
      </c>
      <c r="T2217" s="18" t="s">
        <v>9938</v>
      </c>
      <c r="U2217" s="18"/>
      <c r="V2217" s="18"/>
      <c r="W2217" s="18" t="s">
        <v>9939</v>
      </c>
      <c r="X2217" s="18" t="s">
        <v>42</v>
      </c>
      <c r="Y2217" s="18" t="s">
        <v>36</v>
      </c>
      <c r="Z2217" s="18" t="s">
        <v>697</v>
      </c>
      <c r="AA2217" s="21" t="str">
        <f>HYPERLINK("https://www.ncbi.nlm.nih.gov/nuccore/MK278860","NCBI Nucleotide")</f>
        <v>NCBI Nucleotide</v>
      </c>
    </row>
    <row r="2218" spans="1:27" x14ac:dyDescent="0.35">
      <c r="A2218">
        <v>1003034</v>
      </c>
      <c r="B2218">
        <v>2194</v>
      </c>
      <c r="C2218">
        <v>1</v>
      </c>
      <c r="D2218" s="17" t="s">
        <v>155</v>
      </c>
      <c r="E2218" s="17"/>
      <c r="F2218" s="17" t="s">
        <v>156</v>
      </c>
      <c r="G2218" s="17"/>
      <c r="H2218" s="17" t="s">
        <v>692</v>
      </c>
      <c r="I2218" s="17"/>
      <c r="J2218" s="17" t="s">
        <v>693</v>
      </c>
      <c r="K2218" s="17"/>
      <c r="L2218" s="17"/>
      <c r="M2218" s="17"/>
      <c r="N2218" s="17" t="s">
        <v>9509</v>
      </c>
      <c r="O2218" s="17" t="s">
        <v>9933</v>
      </c>
      <c r="P2218" s="17" t="s">
        <v>9937</v>
      </c>
      <c r="Q2218" s="17"/>
      <c r="R2218" s="25" t="str">
        <f>HYPERLINK("https://ictv.global/taxonomy/taxondetails?taxnode_id=202312065","Hadassahvirus pht2")</f>
        <v>Hadassahvirus pht2</v>
      </c>
      <c r="S2218" s="18" t="s">
        <v>30</v>
      </c>
      <c r="T2218" s="18" t="s">
        <v>9940</v>
      </c>
      <c r="U2218" s="18"/>
      <c r="V2218" s="18"/>
      <c r="W2218" s="18" t="s">
        <v>9941</v>
      </c>
      <c r="X2218" s="18" t="s">
        <v>42</v>
      </c>
      <c r="Y2218" s="18" t="s">
        <v>36</v>
      </c>
      <c r="Z2218" s="18" t="s">
        <v>697</v>
      </c>
      <c r="AA2218" s="21" t="str">
        <f>HYPERLINK("https://www.ncbi.nlm.nih.gov/nuccore/MN864865","NCBI Nucleotide")</f>
        <v>NCBI Nucleotide</v>
      </c>
    </row>
    <row r="2219" spans="1:27" x14ac:dyDescent="0.35">
      <c r="A2219">
        <v>1003035</v>
      </c>
      <c r="B2219">
        <v>2195</v>
      </c>
      <c r="C2219">
        <v>1</v>
      </c>
      <c r="D2219" s="17" t="s">
        <v>155</v>
      </c>
      <c r="E2219" s="17"/>
      <c r="F2219" s="17" t="s">
        <v>156</v>
      </c>
      <c r="G2219" s="17"/>
      <c r="H2219" s="17" t="s">
        <v>692</v>
      </c>
      <c r="I2219" s="17"/>
      <c r="J2219" s="17" t="s">
        <v>693</v>
      </c>
      <c r="K2219" s="17"/>
      <c r="L2219" s="17"/>
      <c r="M2219" s="17"/>
      <c r="N2219" s="17" t="s">
        <v>9509</v>
      </c>
      <c r="O2219" s="17" t="s">
        <v>9933</v>
      </c>
      <c r="P2219" s="17" t="s">
        <v>9942</v>
      </c>
      <c r="Q2219" s="17"/>
      <c r="R2219" s="25" t="str">
        <f>HYPERLINK("https://ictv.global/taxonomy/taxondetails?taxnode_id=202312062","Acinetobacter virus Acj61")</f>
        <v>Acinetobacter virus Acj61</v>
      </c>
      <c r="S2219" s="18" t="s">
        <v>30</v>
      </c>
      <c r="T2219" s="18" t="s">
        <v>9943</v>
      </c>
      <c r="U2219" s="18"/>
      <c r="V2219" s="18"/>
      <c r="W2219" s="18" t="s">
        <v>9944</v>
      </c>
      <c r="X2219" s="18" t="s">
        <v>42</v>
      </c>
      <c r="Y2219" s="18" t="s">
        <v>36</v>
      </c>
      <c r="Z2219" s="18" t="s">
        <v>697</v>
      </c>
      <c r="AA2219" s="21" t="str">
        <f>HYPERLINK("https://www.ncbi.nlm.nih.gov/nuccore/GU911519","NCBI Nucleotide")</f>
        <v>NCBI Nucleotide</v>
      </c>
    </row>
    <row r="2220" spans="1:27" x14ac:dyDescent="0.35">
      <c r="A2220">
        <v>1003036</v>
      </c>
      <c r="B2220">
        <v>2196</v>
      </c>
      <c r="C2220">
        <v>1</v>
      </c>
      <c r="D2220" s="17" t="s">
        <v>155</v>
      </c>
      <c r="E2220" s="17"/>
      <c r="F2220" s="17" t="s">
        <v>156</v>
      </c>
      <c r="G2220" s="17"/>
      <c r="H2220" s="17" t="s">
        <v>692</v>
      </c>
      <c r="I2220" s="17"/>
      <c r="J2220" s="17" t="s">
        <v>693</v>
      </c>
      <c r="K2220" s="17"/>
      <c r="L2220" s="17"/>
      <c r="M2220" s="17"/>
      <c r="N2220" s="17" t="s">
        <v>9509</v>
      </c>
      <c r="O2220" s="17" t="s">
        <v>9933</v>
      </c>
      <c r="P2220" s="17" t="s">
        <v>9945</v>
      </c>
      <c r="Q2220" s="17"/>
      <c r="R2220" s="25" t="str">
        <f>HYPERLINK("https://ictv.global/taxonomy/taxondetails?taxnode_id=202312070","Lazarusvirus am101")</f>
        <v>Lazarusvirus am101</v>
      </c>
      <c r="S2220" s="18" t="s">
        <v>30</v>
      </c>
      <c r="T2220" s="18" t="s">
        <v>9946</v>
      </c>
      <c r="U2220" s="18"/>
      <c r="V2220" s="18"/>
      <c r="W2220" s="18" t="s">
        <v>9947</v>
      </c>
      <c r="X2220" s="18" t="s">
        <v>42</v>
      </c>
      <c r="Y2220" s="18" t="s">
        <v>36</v>
      </c>
      <c r="Z2220" s="18" t="s">
        <v>697</v>
      </c>
      <c r="AA2220" s="21" t="str">
        <f>HYPERLINK("https://www.ncbi.nlm.nih.gov/nuccore/MH165274","NCBI Nucleotide")</f>
        <v>NCBI Nucleotide</v>
      </c>
    </row>
    <row r="2221" spans="1:27" x14ac:dyDescent="0.35">
      <c r="A2221">
        <v>1003037</v>
      </c>
      <c r="B2221">
        <v>2197</v>
      </c>
      <c r="C2221">
        <v>1</v>
      </c>
      <c r="D2221" s="17" t="s">
        <v>155</v>
      </c>
      <c r="E2221" s="17"/>
      <c r="F2221" s="17" t="s">
        <v>156</v>
      </c>
      <c r="G2221" s="17"/>
      <c r="H2221" s="17" t="s">
        <v>692</v>
      </c>
      <c r="I2221" s="17"/>
      <c r="J2221" s="17" t="s">
        <v>693</v>
      </c>
      <c r="K2221" s="17"/>
      <c r="L2221" s="17"/>
      <c r="M2221" s="17"/>
      <c r="N2221" s="17" t="s">
        <v>9509</v>
      </c>
      <c r="O2221" s="17" t="s">
        <v>9933</v>
      </c>
      <c r="P2221" s="17" t="s">
        <v>9945</v>
      </c>
      <c r="Q2221" s="17"/>
      <c r="R2221" s="25" t="str">
        <f>HYPERLINK("https://ictv.global/taxonomy/taxondetails?taxnode_id=202312069","Lazarusvirus apostate")</f>
        <v>Lazarusvirus apostate</v>
      </c>
      <c r="S2221" s="18" t="s">
        <v>30</v>
      </c>
      <c r="T2221" s="18" t="s">
        <v>9948</v>
      </c>
      <c r="U2221" s="18"/>
      <c r="V2221" s="18"/>
      <c r="W2221" s="18" t="s">
        <v>9949</v>
      </c>
      <c r="X2221" s="18" t="s">
        <v>42</v>
      </c>
      <c r="Y2221" s="18" t="s">
        <v>36</v>
      </c>
      <c r="Z2221" s="18" t="s">
        <v>697</v>
      </c>
      <c r="AA2221" s="21" t="str">
        <f>HYPERLINK("https://www.ncbi.nlm.nih.gov/nuccore/MN723850","NCBI Nucleotide")</f>
        <v>NCBI Nucleotide</v>
      </c>
    </row>
    <row r="2222" spans="1:27" x14ac:dyDescent="0.35">
      <c r="A2222">
        <v>1003038</v>
      </c>
      <c r="B2222">
        <v>2198</v>
      </c>
      <c r="C2222">
        <v>1</v>
      </c>
      <c r="D2222" s="17" t="s">
        <v>155</v>
      </c>
      <c r="E2222" s="17"/>
      <c r="F2222" s="17" t="s">
        <v>156</v>
      </c>
      <c r="G2222" s="17"/>
      <c r="H2222" s="17" t="s">
        <v>692</v>
      </c>
      <c r="I2222" s="17"/>
      <c r="J2222" s="17" t="s">
        <v>693</v>
      </c>
      <c r="K2222" s="17"/>
      <c r="L2222" s="17"/>
      <c r="M2222" s="17"/>
      <c r="N2222" s="17" t="s">
        <v>9509</v>
      </c>
      <c r="O2222" s="17" t="s">
        <v>9933</v>
      </c>
      <c r="P2222" s="17" t="s">
        <v>9945</v>
      </c>
      <c r="Q2222" s="17"/>
      <c r="R2222" s="25" t="str">
        <f>HYPERLINK("https://ictv.global/taxonomy/taxondetails?taxnode_id=202312071","Lazarusvirus berthold")</f>
        <v>Lazarusvirus berthold</v>
      </c>
      <c r="S2222" s="18" t="s">
        <v>30</v>
      </c>
      <c r="T2222" s="18" t="s">
        <v>9950</v>
      </c>
      <c r="U2222" s="18"/>
      <c r="V2222" s="18"/>
      <c r="W2222" s="18" t="s">
        <v>9951</v>
      </c>
      <c r="X2222" s="18" t="s">
        <v>42</v>
      </c>
      <c r="Y2222" s="18" t="s">
        <v>36</v>
      </c>
      <c r="Z2222" s="18" t="s">
        <v>697</v>
      </c>
      <c r="AA2222" s="21" t="str">
        <f>HYPERLINK("https://www.ncbi.nlm.nih.gov/nuccore/MN709128","NCBI Nucleotide")</f>
        <v>NCBI Nucleotide</v>
      </c>
    </row>
    <row r="2223" spans="1:27" x14ac:dyDescent="0.35">
      <c r="A2223">
        <v>1003039</v>
      </c>
      <c r="B2223">
        <v>2199</v>
      </c>
      <c r="C2223">
        <v>1</v>
      </c>
      <c r="D2223" s="17" t="s">
        <v>155</v>
      </c>
      <c r="E2223" s="17"/>
      <c r="F2223" s="17" t="s">
        <v>156</v>
      </c>
      <c r="G2223" s="17"/>
      <c r="H2223" s="17" t="s">
        <v>692</v>
      </c>
      <c r="I2223" s="17"/>
      <c r="J2223" s="17" t="s">
        <v>693</v>
      </c>
      <c r="K2223" s="17"/>
      <c r="L2223" s="17"/>
      <c r="M2223" s="17"/>
      <c r="N2223" s="17" t="s">
        <v>9509</v>
      </c>
      <c r="O2223" s="17" t="s">
        <v>9933</v>
      </c>
      <c r="P2223" s="17" t="s">
        <v>9945</v>
      </c>
      <c r="Q2223" s="17"/>
      <c r="R2223" s="25" t="str">
        <f>HYPERLINK("https://ictv.global/taxonomy/taxondetails?taxnode_id=202312068","Lazarusvirus fhyacithree")</f>
        <v>Lazarusvirus fhyacithree</v>
      </c>
      <c r="S2223" s="18" t="s">
        <v>30</v>
      </c>
      <c r="T2223" s="18" t="s">
        <v>9952</v>
      </c>
      <c r="U2223" s="18"/>
      <c r="V2223" s="18"/>
      <c r="W2223" s="18" t="s">
        <v>9953</v>
      </c>
      <c r="X2223" s="18" t="s">
        <v>42</v>
      </c>
      <c r="Y2223" s="18" t="s">
        <v>36</v>
      </c>
      <c r="Z2223" s="18" t="s">
        <v>697</v>
      </c>
      <c r="AA2223" s="21" t="str">
        <f>HYPERLINK("https://www.ncbi.nlm.nih.gov/nuccore/MH460829","NCBI Nucleotide")</f>
        <v>NCBI Nucleotide</v>
      </c>
    </row>
    <row r="2224" spans="1:27" x14ac:dyDescent="0.35">
      <c r="A2224">
        <v>1003040</v>
      </c>
      <c r="B2224">
        <v>2200</v>
      </c>
      <c r="C2224">
        <v>1</v>
      </c>
      <c r="D2224" s="17" t="s">
        <v>155</v>
      </c>
      <c r="E2224" s="17"/>
      <c r="F2224" s="17" t="s">
        <v>156</v>
      </c>
      <c r="G2224" s="17"/>
      <c r="H2224" s="17" t="s">
        <v>692</v>
      </c>
      <c r="I2224" s="17"/>
      <c r="J2224" s="17" t="s">
        <v>693</v>
      </c>
      <c r="K2224" s="17"/>
      <c r="L2224" s="17"/>
      <c r="M2224" s="17"/>
      <c r="N2224" s="17" t="s">
        <v>9509</v>
      </c>
      <c r="O2224" s="17" t="s">
        <v>9933</v>
      </c>
      <c r="P2224" s="17" t="s">
        <v>9945</v>
      </c>
      <c r="Q2224" s="17"/>
      <c r="R2224" s="25" t="str">
        <f>HYPERLINK("https://ictv.global/taxonomy/taxondetails?taxnode_id=202312072","Lazarusvirus karl")</f>
        <v>Lazarusvirus karl</v>
      </c>
      <c r="S2224" s="18" t="s">
        <v>30</v>
      </c>
      <c r="T2224" s="18" t="s">
        <v>9954</v>
      </c>
      <c r="U2224" s="18"/>
      <c r="V2224" s="18"/>
      <c r="W2224" s="18" t="s">
        <v>9955</v>
      </c>
      <c r="X2224" s="18" t="s">
        <v>42</v>
      </c>
      <c r="Y2224" s="18" t="s">
        <v>36</v>
      </c>
      <c r="Z2224" s="18" t="s">
        <v>697</v>
      </c>
      <c r="AA2224" s="21" t="str">
        <f>HYPERLINK("https://www.ncbi.nlm.nih.gov/nuccore/MH713599","NCBI Nucleotide")</f>
        <v>NCBI Nucleotide</v>
      </c>
    </row>
    <row r="2225" spans="1:27" x14ac:dyDescent="0.35">
      <c r="A2225">
        <v>1003041</v>
      </c>
      <c r="B2225">
        <v>2201</v>
      </c>
      <c r="C2225">
        <v>1</v>
      </c>
      <c r="D2225" s="17" t="s">
        <v>155</v>
      </c>
      <c r="E2225" s="17"/>
      <c r="F2225" s="17" t="s">
        <v>156</v>
      </c>
      <c r="G2225" s="17"/>
      <c r="H2225" s="17" t="s">
        <v>692</v>
      </c>
      <c r="I2225" s="17"/>
      <c r="J2225" s="17" t="s">
        <v>693</v>
      </c>
      <c r="K2225" s="17"/>
      <c r="L2225" s="17"/>
      <c r="M2225" s="17"/>
      <c r="N2225" s="17" t="s">
        <v>9509</v>
      </c>
      <c r="O2225" s="17" t="s">
        <v>9933</v>
      </c>
      <c r="P2225" s="17" t="s">
        <v>9945</v>
      </c>
      <c r="Q2225" s="17"/>
      <c r="R2225" s="25" t="str">
        <f>HYPERLINK("https://ictv.global/taxonomy/taxondetails?taxnode_id=202312074","Lazarusvirus kimel")</f>
        <v>Lazarusvirus kimel</v>
      </c>
      <c r="S2225" s="18" t="s">
        <v>30</v>
      </c>
      <c r="T2225" s="18" t="s">
        <v>9956</v>
      </c>
      <c r="U2225" s="18"/>
      <c r="V2225" s="18"/>
      <c r="W2225" s="18" t="s">
        <v>9957</v>
      </c>
      <c r="X2225" s="18" t="s">
        <v>42</v>
      </c>
      <c r="Y2225" s="18" t="s">
        <v>36</v>
      </c>
      <c r="Z2225" s="18" t="s">
        <v>697</v>
      </c>
      <c r="AA2225" s="21" t="str">
        <f>HYPERLINK("https://www.ncbi.nlm.nih.gov/nuccore/MN732883","NCBI Nucleotide")</f>
        <v>NCBI Nucleotide</v>
      </c>
    </row>
    <row r="2226" spans="1:27" x14ac:dyDescent="0.35">
      <c r="A2226">
        <v>1003042</v>
      </c>
      <c r="B2226">
        <v>2202</v>
      </c>
      <c r="C2226">
        <v>1</v>
      </c>
      <c r="D2226" s="17" t="s">
        <v>155</v>
      </c>
      <c r="E2226" s="17"/>
      <c r="F2226" s="17" t="s">
        <v>156</v>
      </c>
      <c r="G2226" s="17"/>
      <c r="H2226" s="17" t="s">
        <v>692</v>
      </c>
      <c r="I2226" s="17"/>
      <c r="J2226" s="17" t="s">
        <v>693</v>
      </c>
      <c r="K2226" s="17"/>
      <c r="L2226" s="17"/>
      <c r="M2226" s="17"/>
      <c r="N2226" s="17" t="s">
        <v>9509</v>
      </c>
      <c r="O2226" s="17" t="s">
        <v>9933</v>
      </c>
      <c r="P2226" s="17" t="s">
        <v>9945</v>
      </c>
      <c r="Q2226" s="17"/>
      <c r="R2226" s="25" t="str">
        <f>HYPERLINK("https://ictv.global/taxonomy/taxondetails?taxnode_id=202312073","Lazarusvirus kronadin")</f>
        <v>Lazarusvirus kronadin</v>
      </c>
      <c r="S2226" s="18" t="s">
        <v>30</v>
      </c>
      <c r="T2226" s="18" t="s">
        <v>9958</v>
      </c>
      <c r="U2226" s="18"/>
      <c r="V2226" s="18"/>
      <c r="W2226" s="18" t="s">
        <v>9959</v>
      </c>
      <c r="X2226" s="18" t="s">
        <v>42</v>
      </c>
      <c r="Y2226" s="18" t="s">
        <v>36</v>
      </c>
      <c r="Z2226" s="18" t="s">
        <v>697</v>
      </c>
      <c r="AA2226" s="21" t="str">
        <f>HYPERLINK("https://www.ncbi.nlm.nih.gov/nuccore/MN648195","NCBI Nucleotide")</f>
        <v>NCBI Nucleotide</v>
      </c>
    </row>
    <row r="2227" spans="1:27" x14ac:dyDescent="0.35">
      <c r="A2227">
        <v>1003043</v>
      </c>
      <c r="B2227">
        <v>2203</v>
      </c>
      <c r="C2227">
        <v>1</v>
      </c>
      <c r="D2227" s="17" t="s">
        <v>155</v>
      </c>
      <c r="E2227" s="17"/>
      <c r="F2227" s="17" t="s">
        <v>156</v>
      </c>
      <c r="G2227" s="17"/>
      <c r="H2227" s="17" t="s">
        <v>692</v>
      </c>
      <c r="I2227" s="17"/>
      <c r="J2227" s="17" t="s">
        <v>693</v>
      </c>
      <c r="K2227" s="17"/>
      <c r="L2227" s="17"/>
      <c r="M2227" s="17"/>
      <c r="N2227" s="17" t="s">
        <v>9509</v>
      </c>
      <c r="O2227" s="17" t="s">
        <v>9933</v>
      </c>
      <c r="P2227" s="17" t="s">
        <v>9945</v>
      </c>
      <c r="Q2227" s="17"/>
      <c r="R2227" s="25" t="str">
        <f>HYPERLINK("https://ictv.global/taxonomy/taxondetails?taxnode_id=202312067","Lazarusvirus lazarus")</f>
        <v>Lazarusvirus lazarus</v>
      </c>
      <c r="S2227" s="18" t="s">
        <v>30</v>
      </c>
      <c r="T2227" s="18" t="s">
        <v>9960</v>
      </c>
      <c r="U2227" s="18"/>
      <c r="V2227" s="18"/>
      <c r="W2227" s="18" t="s">
        <v>9961</v>
      </c>
      <c r="X2227" s="18" t="s">
        <v>42</v>
      </c>
      <c r="Y2227" s="18" t="s">
        <v>36</v>
      </c>
      <c r="Z2227" s="18" t="s">
        <v>697</v>
      </c>
      <c r="AA2227" s="21" t="str">
        <f>HYPERLINK("https://www.ncbi.nlm.nih.gov/nuccore/MN782535","NCBI Nucleotide")</f>
        <v>NCBI Nucleotide</v>
      </c>
    </row>
    <row r="2228" spans="1:27" x14ac:dyDescent="0.35">
      <c r="A2228">
        <v>1003044</v>
      </c>
      <c r="B2228">
        <v>2204</v>
      </c>
      <c r="C2228">
        <v>1</v>
      </c>
      <c r="D2228" s="17" t="s">
        <v>155</v>
      </c>
      <c r="E2228" s="17"/>
      <c r="F2228" s="17" t="s">
        <v>156</v>
      </c>
      <c r="G2228" s="17"/>
      <c r="H2228" s="17" t="s">
        <v>692</v>
      </c>
      <c r="I2228" s="17"/>
      <c r="J2228" s="17" t="s">
        <v>693</v>
      </c>
      <c r="K2228" s="17"/>
      <c r="L2228" s="17"/>
      <c r="M2228" s="17"/>
      <c r="N2228" s="17" t="s">
        <v>9509</v>
      </c>
      <c r="O2228" s="17" t="s">
        <v>9933</v>
      </c>
      <c r="P2228" s="17" t="s">
        <v>9962</v>
      </c>
      <c r="Q2228" s="17"/>
      <c r="R2228" s="25" t="str">
        <f>HYPERLINK("https://ictv.global/taxonomy/taxondetails?taxnode_id=202312060","Zedzedvirus zz1")</f>
        <v>Zedzedvirus zz1</v>
      </c>
      <c r="S2228" s="18" t="s">
        <v>30</v>
      </c>
      <c r="T2228" s="18" t="s">
        <v>9963</v>
      </c>
      <c r="U2228" s="18"/>
      <c r="V2228" s="18"/>
      <c r="W2228" s="18" t="s">
        <v>9964</v>
      </c>
      <c r="X2228" s="18" t="s">
        <v>42</v>
      </c>
      <c r="Y2228" s="18" t="s">
        <v>36</v>
      </c>
      <c r="Z2228" s="18" t="s">
        <v>697</v>
      </c>
      <c r="AA2228" s="21" t="str">
        <f>HYPERLINK("https://www.ncbi.nlm.nih.gov/nuccore/HQ698922","NCBI Nucleotide")</f>
        <v>NCBI Nucleotide</v>
      </c>
    </row>
    <row r="2229" spans="1:27" x14ac:dyDescent="0.35">
      <c r="A2229">
        <v>1003045</v>
      </c>
      <c r="B2229">
        <v>2205</v>
      </c>
      <c r="C2229">
        <v>1</v>
      </c>
      <c r="D2229" s="17" t="s">
        <v>155</v>
      </c>
      <c r="E2229" s="17"/>
      <c r="F2229" s="17" t="s">
        <v>156</v>
      </c>
      <c r="G2229" s="17"/>
      <c r="H2229" s="17" t="s">
        <v>692</v>
      </c>
      <c r="I2229" s="17"/>
      <c r="J2229" s="17" t="s">
        <v>693</v>
      </c>
      <c r="K2229" s="17"/>
      <c r="L2229" s="17"/>
      <c r="M2229" s="17"/>
      <c r="N2229" s="17" t="s">
        <v>9509</v>
      </c>
      <c r="O2229" s="17"/>
      <c r="P2229" s="17" t="s">
        <v>9510</v>
      </c>
      <c r="Q2229" s="17"/>
      <c r="R2229" s="25" t="str">
        <f>HYPERLINK("https://ictv.global/taxonomy/taxondetails?taxnode_id=202313672","Angelvirus px29")</f>
        <v>Angelvirus px29</v>
      </c>
      <c r="S2229" s="18" t="s">
        <v>30</v>
      </c>
      <c r="T2229" s="18" t="s">
        <v>9511</v>
      </c>
      <c r="U2229" s="18"/>
      <c r="V2229" s="18"/>
      <c r="W2229" s="18" t="s">
        <v>9512</v>
      </c>
      <c r="X2229" s="18" t="s">
        <v>42</v>
      </c>
      <c r="Y2229" s="18" t="s">
        <v>36</v>
      </c>
      <c r="Z2229" s="18" t="s">
        <v>697</v>
      </c>
      <c r="AA2229" s="21" t="str">
        <f>HYPERLINK("https://www.ncbi.nlm.nih.gov/nuccore/GU396103","NCBI Nucleotide")</f>
        <v>NCBI Nucleotide</v>
      </c>
    </row>
    <row r="2230" spans="1:27" x14ac:dyDescent="0.35">
      <c r="A2230">
        <v>1003046</v>
      </c>
      <c r="B2230">
        <v>2206</v>
      </c>
      <c r="C2230">
        <v>1</v>
      </c>
      <c r="D2230" s="17" t="s">
        <v>155</v>
      </c>
      <c r="E2230" s="17"/>
      <c r="F2230" s="17" t="s">
        <v>156</v>
      </c>
      <c r="G2230" s="17"/>
      <c r="H2230" s="17" t="s">
        <v>692</v>
      </c>
      <c r="I2230" s="17"/>
      <c r="J2230" s="17" t="s">
        <v>693</v>
      </c>
      <c r="K2230" s="17"/>
      <c r="L2230" s="17"/>
      <c r="M2230" s="17"/>
      <c r="N2230" s="17" t="s">
        <v>9509</v>
      </c>
      <c r="O2230" s="17"/>
      <c r="P2230" s="17" t="s">
        <v>9513</v>
      </c>
      <c r="Q2230" s="17"/>
      <c r="R2230" s="25" t="str">
        <f>HYPERLINK("https://ictv.global/taxonomy/taxondetails?taxnode_id=202300411","Biquartavirus 44RR2")</f>
        <v>Biquartavirus 44RR2</v>
      </c>
      <c r="S2230" s="18" t="s">
        <v>30</v>
      </c>
      <c r="T2230" s="18" t="s">
        <v>9514</v>
      </c>
      <c r="U2230" s="18"/>
      <c r="V2230" s="18"/>
      <c r="W2230" s="18" t="s">
        <v>9515</v>
      </c>
      <c r="X2230" s="18" t="s">
        <v>42</v>
      </c>
      <c r="Y2230" s="18" t="s">
        <v>36</v>
      </c>
      <c r="Z2230" s="18" t="s">
        <v>697</v>
      </c>
      <c r="AA2230" s="21" t="str">
        <f>HYPERLINK("https://www.ncbi.nlm.nih.gov/nuccore/AY375531","NCBI Nucleotide")</f>
        <v>NCBI Nucleotide</v>
      </c>
    </row>
    <row r="2231" spans="1:27" x14ac:dyDescent="0.35">
      <c r="A2231">
        <v>1003047</v>
      </c>
      <c r="B2231">
        <v>2207</v>
      </c>
      <c r="C2231">
        <v>1</v>
      </c>
      <c r="D2231" s="17" t="s">
        <v>155</v>
      </c>
      <c r="E2231" s="17"/>
      <c r="F2231" s="17" t="s">
        <v>156</v>
      </c>
      <c r="G2231" s="17"/>
      <c r="H2231" s="17" t="s">
        <v>692</v>
      </c>
      <c r="I2231" s="17"/>
      <c r="J2231" s="17" t="s">
        <v>693</v>
      </c>
      <c r="K2231" s="17"/>
      <c r="L2231" s="17"/>
      <c r="M2231" s="17"/>
      <c r="N2231" s="17" t="s">
        <v>9509</v>
      </c>
      <c r="O2231" s="17"/>
      <c r="P2231" s="17" t="s">
        <v>9516</v>
      </c>
      <c r="Q2231" s="17"/>
      <c r="R2231" s="25" t="str">
        <f>HYPERLINK("https://ictv.global/taxonomy/taxondetails?taxnode_id=202313682","Bragavirus p43")</f>
        <v>Bragavirus p43</v>
      </c>
      <c r="S2231" s="18" t="s">
        <v>30</v>
      </c>
      <c r="T2231" s="18" t="s">
        <v>9517</v>
      </c>
      <c r="U2231" s="18"/>
      <c r="V2231" s="18"/>
      <c r="W2231" s="18" t="s">
        <v>9518</v>
      </c>
      <c r="X2231" s="18" t="s">
        <v>42</v>
      </c>
      <c r="Y2231" s="18" t="s">
        <v>36</v>
      </c>
      <c r="Z2231" s="18" t="s">
        <v>697</v>
      </c>
      <c r="AA2231" s="21" t="str">
        <f>HYPERLINK("https://www.ncbi.nlm.nih.gov/nuccore/MG696114","NCBI Nucleotide")</f>
        <v>NCBI Nucleotide</v>
      </c>
    </row>
    <row r="2232" spans="1:27" x14ac:dyDescent="0.35">
      <c r="A2232">
        <v>1003048</v>
      </c>
      <c r="B2232">
        <v>2208</v>
      </c>
      <c r="C2232">
        <v>1</v>
      </c>
      <c r="D2232" s="17" t="s">
        <v>155</v>
      </c>
      <c r="E2232" s="17"/>
      <c r="F2232" s="17" t="s">
        <v>156</v>
      </c>
      <c r="G2232" s="17"/>
      <c r="H2232" s="17" t="s">
        <v>692</v>
      </c>
      <c r="I2232" s="17"/>
      <c r="J2232" s="17" t="s">
        <v>693</v>
      </c>
      <c r="K2232" s="17"/>
      <c r="L2232" s="17"/>
      <c r="M2232" s="17"/>
      <c r="N2232" s="17" t="s">
        <v>9509</v>
      </c>
      <c r="O2232" s="17"/>
      <c r="P2232" s="17" t="s">
        <v>9516</v>
      </c>
      <c r="Q2232" s="17"/>
      <c r="R2232" s="25" t="str">
        <f>HYPERLINK("https://ictv.global/taxonomy/taxondetails?taxnode_id=202313681","Bragavirus pm2")</f>
        <v>Bragavirus pm2</v>
      </c>
      <c r="S2232" s="18" t="s">
        <v>30</v>
      </c>
      <c r="T2232" s="18" t="s">
        <v>9519</v>
      </c>
      <c r="U2232" s="18"/>
      <c r="V2232" s="18"/>
      <c r="W2232" s="18" t="s">
        <v>9520</v>
      </c>
      <c r="X2232" s="18" t="s">
        <v>42</v>
      </c>
      <c r="Y2232" s="18" t="s">
        <v>36</v>
      </c>
      <c r="Z2232" s="18" t="s">
        <v>697</v>
      </c>
      <c r="AA2232" s="21" t="str">
        <f>HYPERLINK("https://www.ncbi.nlm.nih.gov/nuccore/MF001355","NCBI Nucleotide")</f>
        <v>NCBI Nucleotide</v>
      </c>
    </row>
    <row r="2233" spans="1:27" x14ac:dyDescent="0.35">
      <c r="A2233">
        <v>1003049</v>
      </c>
      <c r="B2233">
        <v>2209</v>
      </c>
      <c r="C2233">
        <v>1</v>
      </c>
      <c r="D2233" s="17" t="s">
        <v>155</v>
      </c>
      <c r="E2233" s="17"/>
      <c r="F2233" s="17" t="s">
        <v>156</v>
      </c>
      <c r="G2233" s="17"/>
      <c r="H2233" s="17" t="s">
        <v>692</v>
      </c>
      <c r="I2233" s="17"/>
      <c r="J2233" s="17" t="s">
        <v>693</v>
      </c>
      <c r="K2233" s="17"/>
      <c r="L2233" s="17"/>
      <c r="M2233" s="17"/>
      <c r="N2233" s="17" t="s">
        <v>9509</v>
      </c>
      <c r="O2233" s="17"/>
      <c r="P2233" s="17" t="s">
        <v>9516</v>
      </c>
      <c r="Q2233" s="17"/>
      <c r="R2233" s="25" t="str">
        <f>HYPERLINK("https://ictv.global/taxonomy/taxondetails?taxnode_id=202313680","Bragavirus pm5461")</f>
        <v>Bragavirus pm5461</v>
      </c>
      <c r="S2233" s="18" t="s">
        <v>30</v>
      </c>
      <c r="T2233" s="18" t="s">
        <v>9521</v>
      </c>
      <c r="U2233" s="18"/>
      <c r="V2233" s="18"/>
      <c r="W2233" s="18" t="s">
        <v>9522</v>
      </c>
      <c r="X2233" s="18" t="s">
        <v>42</v>
      </c>
      <c r="Y2233" s="18" t="s">
        <v>36</v>
      </c>
      <c r="Z2233" s="18" t="s">
        <v>697</v>
      </c>
      <c r="AA2233" s="21" t="str">
        <f>HYPERLINK("https://www.ncbi.nlm.nih.gov/nuccore/KP890823","NCBI Nucleotide")</f>
        <v>NCBI Nucleotide</v>
      </c>
    </row>
    <row r="2234" spans="1:27" x14ac:dyDescent="0.35">
      <c r="A2234">
        <v>1003050</v>
      </c>
      <c r="B2234">
        <v>2210</v>
      </c>
      <c r="C2234">
        <v>1</v>
      </c>
      <c r="D2234" s="17" t="s">
        <v>155</v>
      </c>
      <c r="E2234" s="17"/>
      <c r="F2234" s="17" t="s">
        <v>156</v>
      </c>
      <c r="G2234" s="17"/>
      <c r="H2234" s="17" t="s">
        <v>692</v>
      </c>
      <c r="I2234" s="17"/>
      <c r="J2234" s="17" t="s">
        <v>693</v>
      </c>
      <c r="K2234" s="17"/>
      <c r="L2234" s="17"/>
      <c r="M2234" s="17"/>
      <c r="N2234" s="17" t="s">
        <v>9509</v>
      </c>
      <c r="O2234" s="17"/>
      <c r="P2234" s="17" t="s">
        <v>9523</v>
      </c>
      <c r="Q2234" s="17"/>
      <c r="R2234" s="25" t="str">
        <f>HYPERLINK("https://ictv.global/taxonomy/taxondetails?taxnode_id=202313958","Carettavirus e142")</f>
        <v>Carettavirus e142</v>
      </c>
      <c r="S2234" s="18" t="s">
        <v>30</v>
      </c>
      <c r="T2234" s="18" t="s">
        <v>9524</v>
      </c>
      <c r="U2234" s="18"/>
      <c r="V2234" s="18"/>
      <c r="W2234" s="18" t="s">
        <v>9525</v>
      </c>
      <c r="X2234" s="18" t="s">
        <v>42</v>
      </c>
      <c r="Y2234" s="18" t="s">
        <v>36</v>
      </c>
      <c r="Z2234" s="18" t="s">
        <v>697</v>
      </c>
      <c r="AA2234" s="21" t="str">
        <f>HYPERLINK("https://www.ncbi.nlm.nih.gov/nuccore/KU255730","NCBI Nucleotide")</f>
        <v>NCBI Nucleotide</v>
      </c>
    </row>
    <row r="2235" spans="1:27" x14ac:dyDescent="0.35">
      <c r="A2235">
        <v>1003051</v>
      </c>
      <c r="B2235">
        <v>2211</v>
      </c>
      <c r="C2235">
        <v>1</v>
      </c>
      <c r="D2235" s="17" t="s">
        <v>155</v>
      </c>
      <c r="E2235" s="17"/>
      <c r="F2235" s="17" t="s">
        <v>156</v>
      </c>
      <c r="G2235" s="17"/>
      <c r="H2235" s="17" t="s">
        <v>692</v>
      </c>
      <c r="I2235" s="17"/>
      <c r="J2235" s="17" t="s">
        <v>693</v>
      </c>
      <c r="K2235" s="17"/>
      <c r="L2235" s="17"/>
      <c r="M2235" s="17"/>
      <c r="N2235" s="17" t="s">
        <v>9509</v>
      </c>
      <c r="O2235" s="17"/>
      <c r="P2235" s="17" t="s">
        <v>9526</v>
      </c>
      <c r="Q2235" s="17"/>
      <c r="R2235" s="25" t="str">
        <f>HYPERLINK("https://ictv.global/taxonomy/taxondetails?taxnode_id=202313668","Chrysonvirus as5")</f>
        <v>Chrysonvirus as5</v>
      </c>
      <c r="S2235" s="18" t="s">
        <v>30</v>
      </c>
      <c r="T2235" s="18" t="s">
        <v>9527</v>
      </c>
      <c r="U2235" s="18"/>
      <c r="V2235" s="18"/>
      <c r="W2235" s="18" t="s">
        <v>9528</v>
      </c>
      <c r="X2235" s="18" t="s">
        <v>42</v>
      </c>
      <c r="Y2235" s="18" t="s">
        <v>36</v>
      </c>
      <c r="Z2235" s="18" t="s">
        <v>697</v>
      </c>
      <c r="AA2235" s="21" t="str">
        <f>HYPERLINK("https://www.ncbi.nlm.nih.gov/nuccore/HM452126","NCBI Nucleotide")</f>
        <v>NCBI Nucleotide</v>
      </c>
    </row>
    <row r="2236" spans="1:27" x14ac:dyDescent="0.35">
      <c r="A2236">
        <v>1003052</v>
      </c>
      <c r="B2236">
        <v>2212</v>
      </c>
      <c r="C2236">
        <v>1</v>
      </c>
      <c r="D2236" s="17" t="s">
        <v>155</v>
      </c>
      <c r="E2236" s="17"/>
      <c r="F2236" s="17" t="s">
        <v>156</v>
      </c>
      <c r="G2236" s="17"/>
      <c r="H2236" s="17" t="s">
        <v>692</v>
      </c>
      <c r="I2236" s="17"/>
      <c r="J2236" s="17" t="s">
        <v>693</v>
      </c>
      <c r="K2236" s="17"/>
      <c r="L2236" s="17"/>
      <c r="M2236" s="17"/>
      <c r="N2236" s="17" t="s">
        <v>9509</v>
      </c>
      <c r="O2236" s="17"/>
      <c r="P2236" s="17" t="s">
        <v>9529</v>
      </c>
      <c r="Q2236" s="17"/>
      <c r="R2236" s="25" t="str">
        <f>HYPERLINK("https://ictv.global/taxonomy/taxondetails?taxnode_id=202300340","Cinqassovirus aeh1")</f>
        <v>Cinqassovirus aeh1</v>
      </c>
      <c r="S2236" s="18" t="s">
        <v>30</v>
      </c>
      <c r="T2236" s="18" t="s">
        <v>9530</v>
      </c>
      <c r="U2236" s="18"/>
      <c r="V2236" s="18"/>
      <c r="W2236" s="18" t="s">
        <v>9531</v>
      </c>
      <c r="X2236" s="18" t="s">
        <v>42</v>
      </c>
      <c r="Y2236" s="18" t="s">
        <v>36</v>
      </c>
      <c r="Z2236" s="18" t="s">
        <v>697</v>
      </c>
      <c r="AA2236" s="21" t="str">
        <f>HYPERLINK("https://www.ncbi.nlm.nih.gov/nuccore/AY266303","NCBI Nucleotide")</f>
        <v>NCBI Nucleotide</v>
      </c>
    </row>
    <row r="2237" spans="1:27" x14ac:dyDescent="0.35">
      <c r="A2237">
        <v>1003053</v>
      </c>
      <c r="B2237">
        <v>2213</v>
      </c>
      <c r="C2237">
        <v>1</v>
      </c>
      <c r="D2237" s="17" t="s">
        <v>155</v>
      </c>
      <c r="E2237" s="17"/>
      <c r="F2237" s="17" t="s">
        <v>156</v>
      </c>
      <c r="G2237" s="17"/>
      <c r="H2237" s="17" t="s">
        <v>692</v>
      </c>
      <c r="I2237" s="17"/>
      <c r="J2237" s="17" t="s">
        <v>693</v>
      </c>
      <c r="K2237" s="17"/>
      <c r="L2237" s="17"/>
      <c r="M2237" s="17"/>
      <c r="N2237" s="17" t="s">
        <v>9509</v>
      </c>
      <c r="O2237" s="17"/>
      <c r="P2237" s="17" t="s">
        <v>9529</v>
      </c>
      <c r="Q2237" s="17"/>
      <c r="R2237" s="25" t="str">
        <f>HYPERLINK("https://ictv.global/taxonomy/taxondetails?taxnode_id=202313670","Cinqassovirus ah1")</f>
        <v>Cinqassovirus ah1</v>
      </c>
      <c r="S2237" s="18" t="s">
        <v>30</v>
      </c>
      <c r="T2237" s="18" t="s">
        <v>9532</v>
      </c>
      <c r="U2237" s="18"/>
      <c r="V2237" s="18"/>
      <c r="W2237" s="18" t="s">
        <v>9533</v>
      </c>
      <c r="X2237" s="18" t="s">
        <v>42</v>
      </c>
      <c r="Y2237" s="18" t="s">
        <v>36</v>
      </c>
      <c r="Z2237" s="18" t="s">
        <v>697</v>
      </c>
      <c r="AA2237" s="21" t="str">
        <f>HYPERLINK("https://www.ncbi.nlm.nih.gov/nuccore/MG250483","NCBI Nucleotide")</f>
        <v>NCBI Nucleotide</v>
      </c>
    </row>
    <row r="2238" spans="1:27" x14ac:dyDescent="0.35">
      <c r="A2238">
        <v>1003054</v>
      </c>
      <c r="B2238">
        <v>2214</v>
      </c>
      <c r="C2238">
        <v>1</v>
      </c>
      <c r="D2238" s="17" t="s">
        <v>155</v>
      </c>
      <c r="E2238" s="17"/>
      <c r="F2238" s="17" t="s">
        <v>156</v>
      </c>
      <c r="G2238" s="17"/>
      <c r="H2238" s="17" t="s">
        <v>692</v>
      </c>
      <c r="I2238" s="17"/>
      <c r="J2238" s="17" t="s">
        <v>693</v>
      </c>
      <c r="K2238" s="17"/>
      <c r="L2238" s="17"/>
      <c r="M2238" s="17"/>
      <c r="N2238" s="17" t="s">
        <v>9509</v>
      </c>
      <c r="O2238" s="17"/>
      <c r="P2238" s="17" t="s">
        <v>9534</v>
      </c>
      <c r="Q2238" s="17"/>
      <c r="R2238" s="25" t="str">
        <f>HYPERLINK("https://ictv.global/taxonomy/taxondetails?taxnode_id=202313678","Gualtarvirus mp1")</f>
        <v>Gualtarvirus mp1</v>
      </c>
      <c r="S2238" s="18" t="s">
        <v>30</v>
      </c>
      <c r="T2238" s="18" t="s">
        <v>9535</v>
      </c>
      <c r="U2238" s="18"/>
      <c r="V2238" s="18"/>
      <c r="W2238" s="18" t="s">
        <v>9536</v>
      </c>
      <c r="X2238" s="18" t="s">
        <v>42</v>
      </c>
      <c r="Y2238" s="18" t="s">
        <v>36</v>
      </c>
      <c r="Z2238" s="18" t="s">
        <v>697</v>
      </c>
      <c r="AA2238" s="21" t="str">
        <f>HYPERLINK("https://www.ncbi.nlm.nih.gov/nuccore/KX078569","NCBI Nucleotide")</f>
        <v>NCBI Nucleotide</v>
      </c>
    </row>
    <row r="2239" spans="1:27" x14ac:dyDescent="0.35">
      <c r="A2239">
        <v>1003055</v>
      </c>
      <c r="B2239">
        <v>2215</v>
      </c>
      <c r="C2239">
        <v>1</v>
      </c>
      <c r="D2239" s="17" t="s">
        <v>155</v>
      </c>
      <c r="E2239" s="17"/>
      <c r="F2239" s="17" t="s">
        <v>156</v>
      </c>
      <c r="G2239" s="17"/>
      <c r="H2239" s="17" t="s">
        <v>692</v>
      </c>
      <c r="I2239" s="17"/>
      <c r="J2239" s="17" t="s">
        <v>693</v>
      </c>
      <c r="K2239" s="17"/>
      <c r="L2239" s="17"/>
      <c r="M2239" s="17"/>
      <c r="N2239" s="17" t="s">
        <v>9509</v>
      </c>
      <c r="O2239" s="17"/>
      <c r="P2239" s="17" t="s">
        <v>9537</v>
      </c>
      <c r="Q2239" s="17"/>
      <c r="R2239" s="25" t="str">
        <f>HYPERLINK("https://ictv.global/taxonomy/taxondetails?taxnode_id=202313684","Jiangsuvirus pspyzu05")</f>
        <v>Jiangsuvirus pspyzu05</v>
      </c>
      <c r="S2239" s="18" t="s">
        <v>30</v>
      </c>
      <c r="T2239" s="18" t="s">
        <v>9538</v>
      </c>
      <c r="U2239" s="18"/>
      <c r="V2239" s="18"/>
      <c r="W2239" s="18" t="s">
        <v>9539</v>
      </c>
      <c r="X2239" s="18" t="s">
        <v>42</v>
      </c>
      <c r="Y2239" s="18" t="s">
        <v>36</v>
      </c>
      <c r="Z2239" s="18" t="s">
        <v>697</v>
      </c>
      <c r="AA2239" s="21" t="str">
        <f>HYPERLINK("https://www.ncbi.nlm.nih.gov/nuccore/KY971610","NCBI Nucleotide")</f>
        <v>NCBI Nucleotide</v>
      </c>
    </row>
    <row r="2240" spans="1:27" x14ac:dyDescent="0.35">
      <c r="A2240">
        <v>1003056</v>
      </c>
      <c r="B2240">
        <v>2216</v>
      </c>
      <c r="C2240">
        <v>1</v>
      </c>
      <c r="D2240" s="17" t="s">
        <v>155</v>
      </c>
      <c r="E2240" s="17"/>
      <c r="F2240" s="17" t="s">
        <v>156</v>
      </c>
      <c r="G2240" s="17"/>
      <c r="H2240" s="17" t="s">
        <v>692</v>
      </c>
      <c r="I2240" s="17"/>
      <c r="J2240" s="17" t="s">
        <v>693</v>
      </c>
      <c r="K2240" s="17"/>
      <c r="L2240" s="17"/>
      <c r="M2240" s="17"/>
      <c r="N2240" s="17" t="s">
        <v>9509</v>
      </c>
      <c r="O2240" s="17"/>
      <c r="P2240" s="17" t="s">
        <v>9540</v>
      </c>
      <c r="Q2240" s="17"/>
      <c r="R2240" s="25" t="str">
        <f>HYPERLINK("https://ictv.global/taxonomy/taxondetails?taxnode_id=202307038","Krischvirus ecd7")</f>
        <v>Krischvirus ecd7</v>
      </c>
      <c r="S2240" s="18" t="s">
        <v>30</v>
      </c>
      <c r="T2240" s="18" t="s">
        <v>9541</v>
      </c>
      <c r="U2240" s="18"/>
      <c r="V2240" s="18"/>
      <c r="W2240" s="18" t="s">
        <v>9542</v>
      </c>
      <c r="X2240" s="18" t="s">
        <v>42</v>
      </c>
      <c r="Y2240" s="18" t="s">
        <v>36</v>
      </c>
      <c r="Z2240" s="18" t="s">
        <v>697</v>
      </c>
      <c r="AA2240" s="21" t="str">
        <f>HYPERLINK("https://www.ncbi.nlm.nih.gov/nuccore/KY683735","NCBI Nucleotide")</f>
        <v>NCBI Nucleotide</v>
      </c>
    </row>
    <row r="2241" spans="1:27" x14ac:dyDescent="0.35">
      <c r="A2241">
        <v>1003057</v>
      </c>
      <c r="B2241">
        <v>2217</v>
      </c>
      <c r="C2241">
        <v>1</v>
      </c>
      <c r="D2241" s="17" t="s">
        <v>155</v>
      </c>
      <c r="E2241" s="17"/>
      <c r="F2241" s="17" t="s">
        <v>156</v>
      </c>
      <c r="G2241" s="17"/>
      <c r="H2241" s="17" t="s">
        <v>692</v>
      </c>
      <c r="I2241" s="17"/>
      <c r="J2241" s="17" t="s">
        <v>693</v>
      </c>
      <c r="K2241" s="17"/>
      <c r="L2241" s="17"/>
      <c r="M2241" s="17"/>
      <c r="N2241" s="17" t="s">
        <v>9509</v>
      </c>
      <c r="O2241" s="17"/>
      <c r="P2241" s="17" t="s">
        <v>9540</v>
      </c>
      <c r="Q2241" s="17"/>
      <c r="R2241" s="25" t="str">
        <f>HYPERLINK("https://ictv.global/taxonomy/taxondetails?taxnode_id=202307039","Krischvirus gec3s")</f>
        <v>Krischvirus gec3s</v>
      </c>
      <c r="S2241" s="18" t="s">
        <v>30</v>
      </c>
      <c r="T2241" s="18" t="s">
        <v>9543</v>
      </c>
      <c r="U2241" s="18"/>
      <c r="V2241" s="18"/>
      <c r="W2241" s="18" t="s">
        <v>9544</v>
      </c>
      <c r="X2241" s="18" t="s">
        <v>42</v>
      </c>
      <c r="Y2241" s="18" t="s">
        <v>36</v>
      </c>
      <c r="Z2241" s="18" t="s">
        <v>697</v>
      </c>
      <c r="AA2241" s="21" t="str">
        <f>HYPERLINK("https://www.ncbi.nlm.nih.gov/nuccore/HE978309","NCBI Nucleotide")</f>
        <v>NCBI Nucleotide</v>
      </c>
    </row>
    <row r="2242" spans="1:27" x14ac:dyDescent="0.35">
      <c r="A2242">
        <v>1003058</v>
      </c>
      <c r="B2242">
        <v>2218</v>
      </c>
      <c r="C2242">
        <v>1</v>
      </c>
      <c r="D2242" s="17" t="s">
        <v>155</v>
      </c>
      <c r="E2242" s="17"/>
      <c r="F2242" s="17" t="s">
        <v>156</v>
      </c>
      <c r="G2242" s="17"/>
      <c r="H2242" s="17" t="s">
        <v>692</v>
      </c>
      <c r="I2242" s="17"/>
      <c r="J2242" s="17" t="s">
        <v>693</v>
      </c>
      <c r="K2242" s="17"/>
      <c r="L2242" s="17"/>
      <c r="M2242" s="17"/>
      <c r="N2242" s="17" t="s">
        <v>9509</v>
      </c>
      <c r="O2242" s="17"/>
      <c r="P2242" s="17" t="s">
        <v>9540</v>
      </c>
      <c r="Q2242" s="17"/>
      <c r="R2242" s="25" t="str">
        <f>HYPERLINK("https://ictv.global/taxonomy/taxondetails?taxnode_id=202300303","Krischvirus georgiaone")</f>
        <v>Krischvirus georgiaone</v>
      </c>
      <c r="S2242" s="18" t="s">
        <v>30</v>
      </c>
      <c r="T2242" s="18" t="s">
        <v>9545</v>
      </c>
      <c r="U2242" s="18"/>
      <c r="V2242" s="18"/>
      <c r="W2242" s="18" t="s">
        <v>9546</v>
      </c>
      <c r="X2242" s="18" t="s">
        <v>42</v>
      </c>
      <c r="Y2242" s="18" t="s">
        <v>36</v>
      </c>
      <c r="Z2242" s="18" t="s">
        <v>697</v>
      </c>
      <c r="AA2242" s="21" t="str">
        <f>HYPERLINK("https://www.ncbi.nlm.nih.gov/nuccore/EF437941","NCBI Nucleotide")</f>
        <v>NCBI Nucleotide</v>
      </c>
    </row>
    <row r="2243" spans="1:27" x14ac:dyDescent="0.35">
      <c r="A2243">
        <v>1003059</v>
      </c>
      <c r="B2243">
        <v>2219</v>
      </c>
      <c r="C2243">
        <v>1</v>
      </c>
      <c r="D2243" s="17" t="s">
        <v>155</v>
      </c>
      <c r="E2243" s="17"/>
      <c r="F2243" s="17" t="s">
        <v>156</v>
      </c>
      <c r="G2243" s="17"/>
      <c r="H2243" s="17" t="s">
        <v>692</v>
      </c>
      <c r="I2243" s="17"/>
      <c r="J2243" s="17" t="s">
        <v>693</v>
      </c>
      <c r="K2243" s="17"/>
      <c r="L2243" s="17"/>
      <c r="M2243" s="17"/>
      <c r="N2243" s="17" t="s">
        <v>9509</v>
      </c>
      <c r="O2243" s="17"/>
      <c r="P2243" s="17" t="s">
        <v>9540</v>
      </c>
      <c r="Q2243" s="17"/>
      <c r="R2243" s="25" t="str">
        <f>HYPERLINK("https://ictv.global/taxonomy/taxondetails?taxnode_id=202300302","Krischvirus jse")</f>
        <v>Krischvirus jse</v>
      </c>
      <c r="S2243" s="18" t="s">
        <v>30</v>
      </c>
      <c r="T2243" s="18" t="s">
        <v>9547</v>
      </c>
      <c r="U2243" s="18"/>
      <c r="V2243" s="18"/>
      <c r="W2243" s="18" t="s">
        <v>9548</v>
      </c>
      <c r="X2243" s="18" t="s">
        <v>42</v>
      </c>
      <c r="Y2243" s="18" t="s">
        <v>36</v>
      </c>
      <c r="Z2243" s="18" t="s">
        <v>697</v>
      </c>
      <c r="AA2243" s="21" t="str">
        <f>HYPERLINK("https://www.ncbi.nlm.nih.gov/nuccore/EU863408","NCBI Nucleotide")</f>
        <v>NCBI Nucleotide</v>
      </c>
    </row>
    <row r="2244" spans="1:27" x14ac:dyDescent="0.35">
      <c r="A2244">
        <v>1003060</v>
      </c>
      <c r="B2244">
        <v>2220</v>
      </c>
      <c r="C2244">
        <v>1</v>
      </c>
      <c r="D2244" s="17" t="s">
        <v>155</v>
      </c>
      <c r="E2244" s="17"/>
      <c r="F2244" s="17" t="s">
        <v>156</v>
      </c>
      <c r="G2244" s="17"/>
      <c r="H2244" s="17" t="s">
        <v>692</v>
      </c>
      <c r="I2244" s="17"/>
      <c r="J2244" s="17" t="s">
        <v>693</v>
      </c>
      <c r="K2244" s="17"/>
      <c r="L2244" s="17"/>
      <c r="M2244" s="17"/>
      <c r="N2244" s="17" t="s">
        <v>9509</v>
      </c>
      <c r="O2244" s="17"/>
      <c r="P2244" s="17" t="s">
        <v>9540</v>
      </c>
      <c r="Q2244" s="17"/>
      <c r="R2244" s="25" t="str">
        <f>HYPERLINK("https://ictv.global/taxonomy/taxondetails?taxnode_id=202313676","Krischvirus kfsec")</f>
        <v>Krischvirus kfsec</v>
      </c>
      <c r="S2244" s="18" t="s">
        <v>30</v>
      </c>
      <c r="T2244" s="18" t="s">
        <v>9549</v>
      </c>
      <c r="U2244" s="18"/>
      <c r="V2244" s="18"/>
      <c r="W2244" s="18" t="s">
        <v>9550</v>
      </c>
      <c r="X2244" s="18" t="s">
        <v>42</v>
      </c>
      <c r="Y2244" s="18" t="s">
        <v>36</v>
      </c>
      <c r="Z2244" s="18" t="s">
        <v>697</v>
      </c>
      <c r="AA2244" s="21" t="str">
        <f>HYPERLINK("https://www.ncbi.nlm.nih.gov/nuccore/MH560358","NCBI Nucleotide")</f>
        <v>NCBI Nucleotide</v>
      </c>
    </row>
    <row r="2245" spans="1:27" x14ac:dyDescent="0.35">
      <c r="A2245">
        <v>1003061</v>
      </c>
      <c r="B2245">
        <v>2221</v>
      </c>
      <c r="C2245">
        <v>1</v>
      </c>
      <c r="D2245" s="17" t="s">
        <v>155</v>
      </c>
      <c r="E2245" s="17"/>
      <c r="F2245" s="17" t="s">
        <v>156</v>
      </c>
      <c r="G2245" s="17"/>
      <c r="H2245" s="17" t="s">
        <v>692</v>
      </c>
      <c r="I2245" s="17"/>
      <c r="J2245" s="17" t="s">
        <v>693</v>
      </c>
      <c r="K2245" s="17"/>
      <c r="L2245" s="17"/>
      <c r="M2245" s="17"/>
      <c r="N2245" s="17" t="s">
        <v>9509</v>
      </c>
      <c r="O2245" s="17"/>
      <c r="P2245" s="17" t="s">
        <v>9540</v>
      </c>
      <c r="Q2245" s="17"/>
      <c r="R2245" s="25" t="str">
        <f>HYPERLINK("https://ictv.global/taxonomy/taxondetails?taxnode_id=202300304","Krischvirus RB49")</f>
        <v>Krischvirus RB49</v>
      </c>
      <c r="S2245" s="18" t="s">
        <v>30</v>
      </c>
      <c r="T2245" s="18" t="s">
        <v>9551</v>
      </c>
      <c r="U2245" s="18"/>
      <c r="V2245" s="18"/>
      <c r="W2245" s="18" t="s">
        <v>9552</v>
      </c>
      <c r="X2245" s="18" t="s">
        <v>42</v>
      </c>
      <c r="Y2245" s="18" t="s">
        <v>36</v>
      </c>
      <c r="Z2245" s="18" t="s">
        <v>697</v>
      </c>
      <c r="AA2245" s="21" t="str">
        <f>HYPERLINK("https://www.ncbi.nlm.nih.gov/nuccore/AY343333","NCBI Nucleotide")</f>
        <v>NCBI Nucleotide</v>
      </c>
    </row>
    <row r="2246" spans="1:27" x14ac:dyDescent="0.35">
      <c r="A2246">
        <v>1003062</v>
      </c>
      <c r="B2246">
        <v>2222</v>
      </c>
      <c r="C2246">
        <v>1</v>
      </c>
      <c r="D2246" s="17" t="s">
        <v>155</v>
      </c>
      <c r="E2246" s="17"/>
      <c r="F2246" s="17" t="s">
        <v>156</v>
      </c>
      <c r="G2246" s="17"/>
      <c r="H2246" s="17" t="s">
        <v>692</v>
      </c>
      <c r="I2246" s="17"/>
      <c r="J2246" s="17" t="s">
        <v>693</v>
      </c>
      <c r="K2246" s="17"/>
      <c r="L2246" s="17"/>
      <c r="M2246" s="17"/>
      <c r="N2246" s="17" t="s">
        <v>9509</v>
      </c>
      <c r="O2246" s="17"/>
      <c r="P2246" s="17" t="s">
        <v>9553</v>
      </c>
      <c r="Q2246" s="17"/>
      <c r="R2246" s="25" t="str">
        <f>HYPERLINK("https://ictv.global/taxonomy/taxondetails?taxnode_id=202300315","Mylasvirus persius")</f>
        <v>Mylasvirus persius</v>
      </c>
      <c r="S2246" s="18" t="s">
        <v>30</v>
      </c>
      <c r="T2246" s="18" t="s">
        <v>9554</v>
      </c>
      <c r="U2246" s="18"/>
      <c r="V2246" s="18"/>
      <c r="W2246" s="18" t="s">
        <v>9555</v>
      </c>
      <c r="X2246" s="18" t="s">
        <v>42</v>
      </c>
      <c r="Y2246" s="18" t="s">
        <v>36</v>
      </c>
      <c r="Z2246" s="18" t="s">
        <v>697</v>
      </c>
      <c r="AA2246" s="21" t="str">
        <f>HYPERLINK("https://www.ncbi.nlm.nih.gov/nuccore/HQ317393","NCBI Nucleotide")</f>
        <v>NCBI Nucleotide</v>
      </c>
    </row>
    <row r="2247" spans="1:27" x14ac:dyDescent="0.35">
      <c r="A2247">
        <v>1003063</v>
      </c>
      <c r="B2247">
        <v>2223</v>
      </c>
      <c r="C2247">
        <v>1</v>
      </c>
      <c r="D2247" s="17" t="s">
        <v>155</v>
      </c>
      <c r="E2247" s="17"/>
      <c r="F2247" s="17" t="s">
        <v>156</v>
      </c>
      <c r="G2247" s="17"/>
      <c r="H2247" s="17" t="s">
        <v>692</v>
      </c>
      <c r="I2247" s="17"/>
      <c r="J2247" s="17" t="s">
        <v>693</v>
      </c>
      <c r="K2247" s="17"/>
      <c r="L2247" s="17"/>
      <c r="M2247" s="17"/>
      <c r="N2247" s="17" t="s">
        <v>9509</v>
      </c>
      <c r="O2247" s="17"/>
      <c r="P2247" s="17" t="s">
        <v>9556</v>
      </c>
      <c r="Q2247" s="17"/>
      <c r="R2247" s="25" t="str">
        <f>HYPERLINK("https://ictv.global/taxonomy/taxondetails?taxnode_id=202314692","Nanhuvirus LPCS28")</f>
        <v>Nanhuvirus LPCS28</v>
      </c>
      <c r="S2247" s="18" t="s">
        <v>30</v>
      </c>
      <c r="T2247" s="18" t="s">
        <v>9557</v>
      </c>
      <c r="U2247" s="18"/>
      <c r="V2247" s="18"/>
      <c r="W2247" s="18" t="s">
        <v>9558</v>
      </c>
      <c r="X2247" s="18" t="s">
        <v>42</v>
      </c>
      <c r="Y2247" s="18" t="s">
        <v>36</v>
      </c>
      <c r="Z2247" s="18" t="s">
        <v>697</v>
      </c>
      <c r="AA2247" s="21" t="str">
        <f>HYPERLINK("https://www.ncbi.nlm.nih.gov/nuccore/OM638103","NCBI Nucleotide")</f>
        <v>NCBI Nucleotide</v>
      </c>
    </row>
    <row r="2248" spans="1:27" x14ac:dyDescent="0.35">
      <c r="A2248">
        <v>1003064</v>
      </c>
      <c r="B2248">
        <v>2224</v>
      </c>
      <c r="C2248">
        <v>1</v>
      </c>
      <c r="D2248" s="17" t="s">
        <v>155</v>
      </c>
      <c r="E2248" s="17"/>
      <c r="F2248" s="17" t="s">
        <v>156</v>
      </c>
      <c r="G2248" s="17"/>
      <c r="H2248" s="17" t="s">
        <v>692</v>
      </c>
      <c r="I2248" s="17"/>
      <c r="J2248" s="17" t="s">
        <v>693</v>
      </c>
      <c r="K2248" s="17"/>
      <c r="L2248" s="17"/>
      <c r="M2248" s="17"/>
      <c r="N2248" s="17" t="s">
        <v>9509</v>
      </c>
      <c r="O2248" s="17"/>
      <c r="P2248" s="17" t="s">
        <v>9559</v>
      </c>
      <c r="Q2248" s="17"/>
      <c r="R2248" s="25" t="str">
        <f>HYPERLINK("https://ictv.global/taxonomy/taxondetails?taxnode_id=202311630","Pseudotevenvirus gap161")</f>
        <v>Pseudotevenvirus gap161</v>
      </c>
      <c r="S2248" s="18" t="s">
        <v>30</v>
      </c>
      <c r="T2248" s="18" t="s">
        <v>9560</v>
      </c>
      <c r="U2248" s="18"/>
      <c r="V2248" s="18"/>
      <c r="W2248" s="18" t="s">
        <v>9561</v>
      </c>
      <c r="X2248" s="18" t="s">
        <v>42</v>
      </c>
      <c r="Y2248" s="18" t="s">
        <v>36</v>
      </c>
      <c r="Z2248" s="18" t="s">
        <v>697</v>
      </c>
      <c r="AA2248" s="21" t="str">
        <f>HYPERLINK("https://www.ncbi.nlm.nih.gov/nuccore/JN882287","NCBI Nucleotide")</f>
        <v>NCBI Nucleotide</v>
      </c>
    </row>
    <row r="2249" spans="1:27" x14ac:dyDescent="0.35">
      <c r="A2249">
        <v>1003065</v>
      </c>
      <c r="B2249">
        <v>2225</v>
      </c>
      <c r="C2249">
        <v>1</v>
      </c>
      <c r="D2249" s="17" t="s">
        <v>155</v>
      </c>
      <c r="E2249" s="17"/>
      <c r="F2249" s="17" t="s">
        <v>156</v>
      </c>
      <c r="G2249" s="17"/>
      <c r="H2249" s="17" t="s">
        <v>692</v>
      </c>
      <c r="I2249" s="17"/>
      <c r="J2249" s="17" t="s">
        <v>693</v>
      </c>
      <c r="K2249" s="17"/>
      <c r="L2249" s="17"/>
      <c r="M2249" s="17"/>
      <c r="N2249" s="17" t="s">
        <v>9509</v>
      </c>
      <c r="O2249" s="17"/>
      <c r="P2249" s="17" t="s">
        <v>9559</v>
      </c>
      <c r="Q2249" s="17"/>
      <c r="R2249" s="25" t="str">
        <f>HYPERLINK("https://ictv.global/taxonomy/taxondetails?taxnode_id=202311632","Pseudotevenvirus imecf2")</f>
        <v>Pseudotevenvirus imecf2</v>
      </c>
      <c r="S2249" s="18" t="s">
        <v>30</v>
      </c>
      <c r="T2249" s="18" t="s">
        <v>9562</v>
      </c>
      <c r="U2249" s="18"/>
      <c r="V2249" s="18"/>
      <c r="W2249" s="18" t="s">
        <v>9563</v>
      </c>
      <c r="X2249" s="18" t="s">
        <v>42</v>
      </c>
      <c r="Y2249" s="18" t="s">
        <v>36</v>
      </c>
      <c r="Z2249" s="18" t="s">
        <v>697</v>
      </c>
      <c r="AA2249" s="21" t="str">
        <f>HYPERLINK("https://www.ncbi.nlm.nih.gov/nuccore/KR869820","NCBI Nucleotide")</f>
        <v>NCBI Nucleotide</v>
      </c>
    </row>
    <row r="2250" spans="1:27" x14ac:dyDescent="0.35">
      <c r="A2250">
        <v>1003066</v>
      </c>
      <c r="B2250">
        <v>2226</v>
      </c>
      <c r="C2250">
        <v>1</v>
      </c>
      <c r="D2250" s="17" t="s">
        <v>155</v>
      </c>
      <c r="E2250" s="17"/>
      <c r="F2250" s="17" t="s">
        <v>156</v>
      </c>
      <c r="G2250" s="17"/>
      <c r="H2250" s="17" t="s">
        <v>692</v>
      </c>
      <c r="I2250" s="17"/>
      <c r="J2250" s="17" t="s">
        <v>693</v>
      </c>
      <c r="K2250" s="17"/>
      <c r="L2250" s="17"/>
      <c r="M2250" s="17"/>
      <c r="N2250" s="17" t="s">
        <v>9509</v>
      </c>
      <c r="O2250" s="17"/>
      <c r="P2250" s="17" t="s">
        <v>9559</v>
      </c>
      <c r="Q2250" s="17"/>
      <c r="R2250" s="25" t="str">
        <f>HYPERLINK("https://ictv.global/taxonomy/taxondetails?taxnode_id=202311629","Pseudotevenvirus leb")</f>
        <v>Pseudotevenvirus leb</v>
      </c>
      <c r="S2250" s="18" t="s">
        <v>30</v>
      </c>
      <c r="T2250" s="18" t="s">
        <v>9564</v>
      </c>
      <c r="U2250" s="18"/>
      <c r="V2250" s="18"/>
      <c r="W2250" s="18" t="s">
        <v>9565</v>
      </c>
      <c r="X2250" s="18" t="s">
        <v>42</v>
      </c>
      <c r="Y2250" s="18" t="s">
        <v>36</v>
      </c>
      <c r="Z2250" s="18" t="s">
        <v>697</v>
      </c>
      <c r="AA2250" s="21" t="str">
        <f>HYPERLINK("https://www.ncbi.nlm.nih.gov/nuccore/KX431559","NCBI Nucleotide")</f>
        <v>NCBI Nucleotide</v>
      </c>
    </row>
    <row r="2251" spans="1:27" x14ac:dyDescent="0.35">
      <c r="A2251">
        <v>1003067</v>
      </c>
      <c r="B2251">
        <v>2227</v>
      </c>
      <c r="C2251">
        <v>1</v>
      </c>
      <c r="D2251" s="17" t="s">
        <v>155</v>
      </c>
      <c r="E2251" s="17"/>
      <c r="F2251" s="17" t="s">
        <v>156</v>
      </c>
      <c r="G2251" s="17"/>
      <c r="H2251" s="17" t="s">
        <v>692</v>
      </c>
      <c r="I2251" s="17"/>
      <c r="J2251" s="17" t="s">
        <v>693</v>
      </c>
      <c r="K2251" s="17"/>
      <c r="L2251" s="17"/>
      <c r="M2251" s="17"/>
      <c r="N2251" s="17" t="s">
        <v>9509</v>
      </c>
      <c r="O2251" s="17"/>
      <c r="P2251" s="17" t="s">
        <v>9559</v>
      </c>
      <c r="Q2251" s="17"/>
      <c r="R2251" s="25" t="str">
        <f>HYPERLINK("https://ictv.global/taxonomy/taxondetails?taxnode_id=202311631","Pseudotevenvirus lee")</f>
        <v>Pseudotevenvirus lee</v>
      </c>
      <c r="S2251" s="18" t="s">
        <v>30</v>
      </c>
      <c r="T2251" s="18" t="s">
        <v>9566</v>
      </c>
      <c r="U2251" s="18"/>
      <c r="V2251" s="18"/>
      <c r="W2251" s="18" t="s">
        <v>9567</v>
      </c>
      <c r="X2251" s="18" t="s">
        <v>42</v>
      </c>
      <c r="Y2251" s="18" t="s">
        <v>36</v>
      </c>
      <c r="Z2251" s="18" t="s">
        <v>697</v>
      </c>
      <c r="AA2251" s="21" t="str">
        <f>HYPERLINK("https://www.ncbi.nlm.nih.gov/nuccore/KX443552","NCBI Nucleotide")</f>
        <v>NCBI Nucleotide</v>
      </c>
    </row>
    <row r="2252" spans="1:27" x14ac:dyDescent="0.35">
      <c r="A2252">
        <v>1003068</v>
      </c>
      <c r="B2252">
        <v>2228</v>
      </c>
      <c r="C2252">
        <v>1</v>
      </c>
      <c r="D2252" s="17" t="s">
        <v>155</v>
      </c>
      <c r="E2252" s="17"/>
      <c r="F2252" s="17" t="s">
        <v>156</v>
      </c>
      <c r="G2252" s="17"/>
      <c r="H2252" s="17" t="s">
        <v>692</v>
      </c>
      <c r="I2252" s="17"/>
      <c r="J2252" s="17" t="s">
        <v>693</v>
      </c>
      <c r="K2252" s="17"/>
      <c r="L2252" s="17"/>
      <c r="M2252" s="17"/>
      <c r="N2252" s="17" t="s">
        <v>9509</v>
      </c>
      <c r="O2252" s="17"/>
      <c r="P2252" s="17" t="s">
        <v>9559</v>
      </c>
      <c r="Q2252" s="17"/>
      <c r="R2252" s="25" t="str">
        <f>HYPERLINK("https://ictv.global/taxonomy/taxondetails?taxnode_id=202311634","Pseudotevenvirus lw1")</f>
        <v>Pseudotevenvirus lw1</v>
      </c>
      <c r="S2252" s="18" t="s">
        <v>30</v>
      </c>
      <c r="T2252" s="18" t="s">
        <v>9568</v>
      </c>
      <c r="U2252" s="18"/>
      <c r="V2252" s="18"/>
      <c r="W2252" s="18" t="s">
        <v>9569</v>
      </c>
      <c r="X2252" s="18" t="s">
        <v>42</v>
      </c>
      <c r="Y2252" s="18" t="s">
        <v>36</v>
      </c>
      <c r="Z2252" s="18" t="s">
        <v>697</v>
      </c>
      <c r="AA2252" s="21" t="str">
        <f>HYPERLINK("https://www.ncbi.nlm.nih.gov/nuccore/KC801932","NCBI Nucleotide")</f>
        <v>NCBI Nucleotide</v>
      </c>
    </row>
    <row r="2253" spans="1:27" x14ac:dyDescent="0.35">
      <c r="A2253">
        <v>1003069</v>
      </c>
      <c r="B2253">
        <v>2229</v>
      </c>
      <c r="C2253">
        <v>1</v>
      </c>
      <c r="D2253" s="17" t="s">
        <v>155</v>
      </c>
      <c r="E2253" s="17"/>
      <c r="F2253" s="17" t="s">
        <v>156</v>
      </c>
      <c r="G2253" s="17"/>
      <c r="H2253" s="17" t="s">
        <v>692</v>
      </c>
      <c r="I2253" s="17"/>
      <c r="J2253" s="17" t="s">
        <v>693</v>
      </c>
      <c r="K2253" s="17"/>
      <c r="L2253" s="17"/>
      <c r="M2253" s="17"/>
      <c r="N2253" s="17" t="s">
        <v>9509</v>
      </c>
      <c r="O2253" s="17"/>
      <c r="P2253" s="17" t="s">
        <v>9559</v>
      </c>
      <c r="Q2253" s="17"/>
      <c r="R2253" s="25" t="str">
        <f>HYPERLINK("https://ictv.global/taxonomy/taxondetails?taxnode_id=202311628","Pseudotevenvirus margaery")</f>
        <v>Pseudotevenvirus margaery</v>
      </c>
      <c r="S2253" s="18" t="s">
        <v>30</v>
      </c>
      <c r="T2253" s="18" t="s">
        <v>9570</v>
      </c>
      <c r="U2253" s="18"/>
      <c r="V2253" s="18"/>
      <c r="W2253" s="18" t="s">
        <v>9571</v>
      </c>
      <c r="X2253" s="18" t="s">
        <v>42</v>
      </c>
      <c r="Y2253" s="18" t="s">
        <v>36</v>
      </c>
      <c r="Z2253" s="18" t="s">
        <v>697</v>
      </c>
      <c r="AA2253" s="21" t="str">
        <f>HYPERLINK("https://www.ncbi.nlm.nih.gov/nuccore/KT381880","NCBI Nucleotide")</f>
        <v>NCBI Nucleotide</v>
      </c>
    </row>
    <row r="2254" spans="1:27" x14ac:dyDescent="0.35">
      <c r="A2254">
        <v>1003070</v>
      </c>
      <c r="B2254">
        <v>2230</v>
      </c>
      <c r="C2254">
        <v>1</v>
      </c>
      <c r="D2254" s="17" t="s">
        <v>155</v>
      </c>
      <c r="E2254" s="17"/>
      <c r="F2254" s="17" t="s">
        <v>156</v>
      </c>
      <c r="G2254" s="17"/>
      <c r="H2254" s="17" t="s">
        <v>692</v>
      </c>
      <c r="I2254" s="17"/>
      <c r="J2254" s="17" t="s">
        <v>693</v>
      </c>
      <c r="K2254" s="17"/>
      <c r="L2254" s="17"/>
      <c r="M2254" s="17"/>
      <c r="N2254" s="17" t="s">
        <v>9509</v>
      </c>
      <c r="O2254" s="17"/>
      <c r="P2254" s="17" t="s">
        <v>9559</v>
      </c>
      <c r="Q2254" s="17"/>
      <c r="R2254" s="25" t="str">
        <f>HYPERLINK("https://ictv.global/taxonomy/taxondetails?taxnode_id=202311633","Pseudotevenvirus miller")</f>
        <v>Pseudotevenvirus miller</v>
      </c>
      <c r="S2254" s="18" t="s">
        <v>30</v>
      </c>
      <c r="T2254" s="18" t="s">
        <v>9572</v>
      </c>
      <c r="U2254" s="18"/>
      <c r="V2254" s="18"/>
      <c r="W2254" s="18" t="s">
        <v>9573</v>
      </c>
      <c r="X2254" s="18" t="s">
        <v>42</v>
      </c>
      <c r="Y2254" s="18" t="s">
        <v>36</v>
      </c>
      <c r="Z2254" s="18" t="s">
        <v>697</v>
      </c>
      <c r="AA2254" s="21" t="str">
        <f>HYPERLINK("https://www.ncbi.nlm.nih.gov/nuccore/KM236237","NCBI Nucleotide")</f>
        <v>NCBI Nucleotide</v>
      </c>
    </row>
    <row r="2255" spans="1:27" x14ac:dyDescent="0.35">
      <c r="A2255">
        <v>1003071</v>
      </c>
      <c r="B2255">
        <v>2231</v>
      </c>
      <c r="C2255">
        <v>1</v>
      </c>
      <c r="D2255" s="17" t="s">
        <v>155</v>
      </c>
      <c r="E2255" s="17"/>
      <c r="F2255" s="17" t="s">
        <v>156</v>
      </c>
      <c r="G2255" s="17"/>
      <c r="H2255" s="17" t="s">
        <v>692</v>
      </c>
      <c r="I2255" s="17"/>
      <c r="J2255" s="17" t="s">
        <v>693</v>
      </c>
      <c r="K2255" s="17"/>
      <c r="L2255" s="17"/>
      <c r="M2255" s="17"/>
      <c r="N2255" s="17" t="s">
        <v>9509</v>
      </c>
      <c r="O2255" s="17"/>
      <c r="P2255" s="17" t="s">
        <v>9559</v>
      </c>
      <c r="Q2255" s="17"/>
      <c r="R2255" s="25" t="str">
        <f>HYPERLINK("https://ictv.global/taxonomy/taxondetails?taxnode_id=202300341","Pseudotevenvirus RB16")</f>
        <v>Pseudotevenvirus RB16</v>
      </c>
      <c r="S2255" s="18" t="s">
        <v>30</v>
      </c>
      <c r="T2255" s="18" t="s">
        <v>9574</v>
      </c>
      <c r="U2255" s="18"/>
      <c r="V2255" s="18"/>
      <c r="W2255" s="18" t="s">
        <v>9575</v>
      </c>
      <c r="X2255" s="18" t="s">
        <v>42</v>
      </c>
      <c r="Y2255" s="18" t="s">
        <v>36</v>
      </c>
      <c r="Z2255" s="18" t="s">
        <v>697</v>
      </c>
      <c r="AA2255" s="21" t="str">
        <f>HYPERLINK("https://www.ncbi.nlm.nih.gov/nuccore/HM134276","NCBI Nucleotide")</f>
        <v>NCBI Nucleotide</v>
      </c>
    </row>
    <row r="2256" spans="1:27" x14ac:dyDescent="0.35">
      <c r="A2256">
        <v>1003072</v>
      </c>
      <c r="B2256">
        <v>2232</v>
      </c>
      <c r="C2256">
        <v>1</v>
      </c>
      <c r="D2256" s="17" t="s">
        <v>155</v>
      </c>
      <c r="E2256" s="17"/>
      <c r="F2256" s="17" t="s">
        <v>156</v>
      </c>
      <c r="G2256" s="17"/>
      <c r="H2256" s="17" t="s">
        <v>692</v>
      </c>
      <c r="I2256" s="17"/>
      <c r="J2256" s="17" t="s">
        <v>693</v>
      </c>
      <c r="K2256" s="17"/>
      <c r="L2256" s="17"/>
      <c r="M2256" s="17"/>
      <c r="N2256" s="17" t="s">
        <v>9509</v>
      </c>
      <c r="O2256" s="17"/>
      <c r="P2256" s="17" t="s">
        <v>9559</v>
      </c>
      <c r="Q2256" s="17"/>
      <c r="R2256" s="25" t="str">
        <f>HYPERLINK("https://ictv.global/taxonomy/taxondetails?taxnode_id=202300343","Pseudotevenvirus RB43")</f>
        <v>Pseudotevenvirus RB43</v>
      </c>
      <c r="S2256" s="18" t="s">
        <v>30</v>
      </c>
      <c r="T2256" s="18" t="s">
        <v>9576</v>
      </c>
      <c r="U2256" s="18"/>
      <c r="V2256" s="18"/>
      <c r="W2256" s="18" t="s">
        <v>9577</v>
      </c>
      <c r="X2256" s="18" t="s">
        <v>42</v>
      </c>
      <c r="Y2256" s="18" t="s">
        <v>36</v>
      </c>
      <c r="Z2256" s="18" t="s">
        <v>697</v>
      </c>
      <c r="AA2256" s="21" t="str">
        <f>HYPERLINK("https://www.ncbi.nlm.nih.gov/nuccore/AY967407","NCBI Nucleotide")</f>
        <v>NCBI Nucleotide</v>
      </c>
    </row>
    <row r="2257" spans="1:27" x14ac:dyDescent="0.35">
      <c r="A2257">
        <v>1003073</v>
      </c>
      <c r="B2257">
        <v>2233</v>
      </c>
      <c r="C2257">
        <v>1</v>
      </c>
      <c r="D2257" s="17" t="s">
        <v>155</v>
      </c>
      <c r="E2257" s="17"/>
      <c r="F2257" s="17" t="s">
        <v>156</v>
      </c>
      <c r="G2257" s="17"/>
      <c r="H2257" s="17" t="s">
        <v>692</v>
      </c>
      <c r="I2257" s="17"/>
      <c r="J2257" s="17" t="s">
        <v>693</v>
      </c>
      <c r="K2257" s="17"/>
      <c r="L2257" s="17"/>
      <c r="M2257" s="17"/>
      <c r="N2257" s="17" t="s">
        <v>9509</v>
      </c>
      <c r="O2257" s="17"/>
      <c r="P2257" s="17" t="s">
        <v>9578</v>
      </c>
      <c r="Q2257" s="17"/>
      <c r="R2257" s="25" t="str">
        <f>HYPERLINK("https://ictv.global/taxonomy/taxondetails?taxnode_id=202300314","Schizotequatrovirus KVP40")</f>
        <v>Schizotequatrovirus KVP40</v>
      </c>
      <c r="S2257" s="18" t="s">
        <v>30</v>
      </c>
      <c r="T2257" s="18" t="s">
        <v>9579</v>
      </c>
      <c r="U2257" s="18"/>
      <c r="V2257" s="18"/>
      <c r="W2257" s="18" t="s">
        <v>9580</v>
      </c>
      <c r="X2257" s="18" t="s">
        <v>42</v>
      </c>
      <c r="Y2257" s="18" t="s">
        <v>36</v>
      </c>
      <c r="Z2257" s="18" t="s">
        <v>697</v>
      </c>
      <c r="AA2257" s="21" t="str">
        <f>HYPERLINK("https://www.ncbi.nlm.nih.gov/nuccore/AY283928","NCBI Nucleotide")</f>
        <v>NCBI Nucleotide</v>
      </c>
    </row>
    <row r="2258" spans="1:27" x14ac:dyDescent="0.35">
      <c r="A2258">
        <v>1003074</v>
      </c>
      <c r="B2258">
        <v>2234</v>
      </c>
      <c r="C2258">
        <v>1</v>
      </c>
      <c r="D2258" s="17" t="s">
        <v>155</v>
      </c>
      <c r="E2258" s="17"/>
      <c r="F2258" s="17" t="s">
        <v>156</v>
      </c>
      <c r="G2258" s="17"/>
      <c r="H2258" s="17" t="s">
        <v>692</v>
      </c>
      <c r="I2258" s="17"/>
      <c r="J2258" s="17" t="s">
        <v>693</v>
      </c>
      <c r="K2258" s="17"/>
      <c r="L2258" s="17"/>
      <c r="M2258" s="17"/>
      <c r="N2258" s="17" t="s">
        <v>9509</v>
      </c>
      <c r="O2258" s="17"/>
      <c r="P2258" s="17" t="s">
        <v>9578</v>
      </c>
      <c r="Q2258" s="17"/>
      <c r="R2258" s="25" t="str">
        <f>HYPERLINK("https://ictv.global/taxonomy/taxondetails?taxnode_id=202300316","Schizotequatrovirus valkk3")</f>
        <v>Schizotequatrovirus valkk3</v>
      </c>
      <c r="S2258" s="18" t="s">
        <v>30</v>
      </c>
      <c r="T2258" s="18" t="s">
        <v>9581</v>
      </c>
      <c r="U2258" s="18"/>
      <c r="V2258" s="18"/>
      <c r="W2258" s="18" t="s">
        <v>9582</v>
      </c>
      <c r="X2258" s="18" t="s">
        <v>42</v>
      </c>
      <c r="Y2258" s="18" t="s">
        <v>36</v>
      </c>
      <c r="Z2258" s="18" t="s">
        <v>697</v>
      </c>
      <c r="AA2258" s="21" t="str">
        <f>HYPERLINK("https://www.ncbi.nlm.nih.gov/nuccore/KP671755","NCBI Nucleotide")</f>
        <v>NCBI Nucleotide</v>
      </c>
    </row>
    <row r="2259" spans="1:27" x14ac:dyDescent="0.35">
      <c r="A2259">
        <v>1003075</v>
      </c>
      <c r="B2259">
        <v>2235</v>
      </c>
      <c r="C2259">
        <v>1</v>
      </c>
      <c r="D2259" s="17" t="s">
        <v>155</v>
      </c>
      <c r="E2259" s="17"/>
      <c r="F2259" s="17" t="s">
        <v>156</v>
      </c>
      <c r="G2259" s="17"/>
      <c r="H2259" s="17" t="s">
        <v>692</v>
      </c>
      <c r="I2259" s="17"/>
      <c r="J2259" s="17" t="s">
        <v>693</v>
      </c>
      <c r="K2259" s="17"/>
      <c r="L2259" s="17"/>
      <c r="M2259" s="17"/>
      <c r="N2259" s="17" t="s">
        <v>9509</v>
      </c>
      <c r="O2259" s="17"/>
      <c r="P2259" s="17" t="s">
        <v>9578</v>
      </c>
      <c r="Q2259" s="17"/>
      <c r="R2259" s="25" t="str">
        <f>HYPERLINK("https://ictv.global/taxonomy/taxondetails?taxnode_id=202313673","Schizotequatrovirus vh7d")</f>
        <v>Schizotequatrovirus vh7d</v>
      </c>
      <c r="S2259" s="18" t="s">
        <v>30</v>
      </c>
      <c r="T2259" s="18" t="s">
        <v>9583</v>
      </c>
      <c r="U2259" s="18"/>
      <c r="V2259" s="18"/>
      <c r="W2259" s="18" t="s">
        <v>9584</v>
      </c>
      <c r="X2259" s="18" t="s">
        <v>42</v>
      </c>
      <c r="Y2259" s="18" t="s">
        <v>36</v>
      </c>
      <c r="Z2259" s="18" t="s">
        <v>697</v>
      </c>
      <c r="AA2259" s="21" t="str">
        <f>HYPERLINK("https://www.ncbi.nlm.nih.gov/nuccore/KC131129","NCBI Nucleotide")</f>
        <v>NCBI Nucleotide</v>
      </c>
    </row>
    <row r="2260" spans="1:27" x14ac:dyDescent="0.35">
      <c r="A2260">
        <v>1003076</v>
      </c>
      <c r="B2260">
        <v>2236</v>
      </c>
      <c r="C2260">
        <v>1</v>
      </c>
      <c r="D2260" s="17" t="s">
        <v>155</v>
      </c>
      <c r="E2260" s="17"/>
      <c r="F2260" s="17" t="s">
        <v>156</v>
      </c>
      <c r="G2260" s="17"/>
      <c r="H2260" s="17" t="s">
        <v>692</v>
      </c>
      <c r="I2260" s="17"/>
      <c r="J2260" s="17" t="s">
        <v>693</v>
      </c>
      <c r="K2260" s="17"/>
      <c r="L2260" s="17"/>
      <c r="M2260" s="17"/>
      <c r="N2260" s="17" t="s">
        <v>9509</v>
      </c>
      <c r="O2260" s="17"/>
      <c r="P2260" s="17" t="s">
        <v>9585</v>
      </c>
      <c r="Q2260" s="17"/>
      <c r="R2260" s="25" t="str">
        <f>HYPERLINK("https://ictv.global/taxonomy/taxondetails?taxnode_id=202300293","Slopekvirus eap3")</f>
        <v>Slopekvirus eap3</v>
      </c>
      <c r="S2260" s="18" t="s">
        <v>30</v>
      </c>
      <c r="T2260" s="18" t="s">
        <v>9586</v>
      </c>
      <c r="U2260" s="18"/>
      <c r="V2260" s="18"/>
      <c r="W2260" s="18" t="s">
        <v>9587</v>
      </c>
      <c r="X2260" s="18" t="s">
        <v>42</v>
      </c>
      <c r="Y2260" s="18" t="s">
        <v>36</v>
      </c>
      <c r="Z2260" s="18" t="s">
        <v>697</v>
      </c>
      <c r="AA2260" s="21" t="str">
        <f>HYPERLINK("https://www.ncbi.nlm.nih.gov/nuccore/KT321315","NCBI Nucleotide")</f>
        <v>NCBI Nucleotide</v>
      </c>
    </row>
    <row r="2261" spans="1:27" x14ac:dyDescent="0.35">
      <c r="A2261">
        <v>1003077</v>
      </c>
      <c r="B2261">
        <v>2237</v>
      </c>
      <c r="C2261">
        <v>1</v>
      </c>
      <c r="D2261" s="17" t="s">
        <v>155</v>
      </c>
      <c r="E2261" s="17"/>
      <c r="F2261" s="17" t="s">
        <v>156</v>
      </c>
      <c r="G2261" s="17"/>
      <c r="H2261" s="17" t="s">
        <v>692</v>
      </c>
      <c r="I2261" s="17"/>
      <c r="J2261" s="17" t="s">
        <v>693</v>
      </c>
      <c r="K2261" s="17"/>
      <c r="L2261" s="17"/>
      <c r="M2261" s="17"/>
      <c r="N2261" s="17" t="s">
        <v>9509</v>
      </c>
      <c r="O2261" s="17"/>
      <c r="P2261" s="17" t="s">
        <v>9585</v>
      </c>
      <c r="Q2261" s="17"/>
      <c r="R2261" s="25" t="str">
        <f>HYPERLINK("https://ictv.global/taxonomy/taxondetails?taxnode_id=202300294","Slopekvirus kp15")</f>
        <v>Slopekvirus kp15</v>
      </c>
      <c r="S2261" s="18" t="s">
        <v>30</v>
      </c>
      <c r="T2261" s="18" t="s">
        <v>9588</v>
      </c>
      <c r="U2261" s="18"/>
      <c r="V2261" s="18"/>
      <c r="W2261" s="18" t="s">
        <v>9589</v>
      </c>
      <c r="X2261" s="18" t="s">
        <v>42</v>
      </c>
      <c r="Y2261" s="18" t="s">
        <v>36</v>
      </c>
      <c r="Z2261" s="18" t="s">
        <v>697</v>
      </c>
      <c r="AA2261" s="21" t="str">
        <f>HYPERLINK("https://www.ncbi.nlm.nih.gov/nuccore/GU295964","NCBI Nucleotide")</f>
        <v>NCBI Nucleotide</v>
      </c>
    </row>
    <row r="2262" spans="1:27" x14ac:dyDescent="0.35">
      <c r="A2262">
        <v>1003078</v>
      </c>
      <c r="B2262">
        <v>2238</v>
      </c>
      <c r="C2262">
        <v>1</v>
      </c>
      <c r="D2262" s="17" t="s">
        <v>155</v>
      </c>
      <c r="E2262" s="17"/>
      <c r="F2262" s="17" t="s">
        <v>156</v>
      </c>
      <c r="G2262" s="17"/>
      <c r="H2262" s="17" t="s">
        <v>692</v>
      </c>
      <c r="I2262" s="17"/>
      <c r="J2262" s="17" t="s">
        <v>693</v>
      </c>
      <c r="K2262" s="17"/>
      <c r="L2262" s="17"/>
      <c r="M2262" s="17"/>
      <c r="N2262" s="17" t="s">
        <v>9509</v>
      </c>
      <c r="O2262" s="17"/>
      <c r="P2262" s="17" t="s">
        <v>9585</v>
      </c>
      <c r="Q2262" s="17"/>
      <c r="R2262" s="25" t="str">
        <f>HYPERLINK("https://ictv.global/taxonomy/taxondetails?taxnode_id=202300295","Slopekvirus kp27")</f>
        <v>Slopekvirus kp27</v>
      </c>
      <c r="S2262" s="18" t="s">
        <v>30</v>
      </c>
      <c r="T2262" s="18" t="s">
        <v>9590</v>
      </c>
      <c r="U2262" s="18"/>
      <c r="V2262" s="18"/>
      <c r="W2262" s="18" t="s">
        <v>9591</v>
      </c>
      <c r="X2262" s="18" t="s">
        <v>42</v>
      </c>
      <c r="Y2262" s="18" t="s">
        <v>36</v>
      </c>
      <c r="Z2262" s="18" t="s">
        <v>697</v>
      </c>
      <c r="AA2262" s="21" t="str">
        <f>HYPERLINK("https://www.ncbi.nlm.nih.gov/nuccore/HQ918180","NCBI Nucleotide")</f>
        <v>NCBI Nucleotide</v>
      </c>
    </row>
    <row r="2263" spans="1:27" x14ac:dyDescent="0.35">
      <c r="A2263">
        <v>1003079</v>
      </c>
      <c r="B2263">
        <v>2239</v>
      </c>
      <c r="C2263">
        <v>1</v>
      </c>
      <c r="D2263" s="17" t="s">
        <v>155</v>
      </c>
      <c r="E2263" s="17"/>
      <c r="F2263" s="17" t="s">
        <v>156</v>
      </c>
      <c r="G2263" s="17"/>
      <c r="H2263" s="17" t="s">
        <v>692</v>
      </c>
      <c r="I2263" s="17"/>
      <c r="J2263" s="17" t="s">
        <v>693</v>
      </c>
      <c r="K2263" s="17"/>
      <c r="L2263" s="17"/>
      <c r="M2263" s="17"/>
      <c r="N2263" s="17" t="s">
        <v>9509</v>
      </c>
      <c r="O2263" s="17"/>
      <c r="P2263" s="17" t="s">
        <v>9585</v>
      </c>
      <c r="Q2263" s="17"/>
      <c r="R2263" s="25" t="str">
        <f>HYPERLINK("https://ictv.global/taxonomy/taxondetails?taxnode_id=202300296","Slopekvirus matisse")</f>
        <v>Slopekvirus matisse</v>
      </c>
      <c r="S2263" s="18" t="s">
        <v>30</v>
      </c>
      <c r="T2263" s="18" t="s">
        <v>9592</v>
      </c>
      <c r="U2263" s="18"/>
      <c r="V2263" s="18"/>
      <c r="W2263" s="18" t="s">
        <v>9593</v>
      </c>
      <c r="X2263" s="18" t="s">
        <v>42</v>
      </c>
      <c r="Y2263" s="18" t="s">
        <v>36</v>
      </c>
      <c r="Z2263" s="18" t="s">
        <v>697</v>
      </c>
      <c r="AA2263" s="21" t="str">
        <f>HYPERLINK("https://www.ncbi.nlm.nih.gov/nuccore/KT001918","NCBI Nucleotide")</f>
        <v>NCBI Nucleotide</v>
      </c>
    </row>
    <row r="2264" spans="1:27" x14ac:dyDescent="0.35">
      <c r="A2264">
        <v>1003080</v>
      </c>
      <c r="B2264">
        <v>2240</v>
      </c>
      <c r="C2264">
        <v>1</v>
      </c>
      <c r="D2264" s="17" t="s">
        <v>155</v>
      </c>
      <c r="E2264" s="17"/>
      <c r="F2264" s="17" t="s">
        <v>156</v>
      </c>
      <c r="G2264" s="17"/>
      <c r="H2264" s="17" t="s">
        <v>692</v>
      </c>
      <c r="I2264" s="17"/>
      <c r="J2264" s="17" t="s">
        <v>693</v>
      </c>
      <c r="K2264" s="17"/>
      <c r="L2264" s="17"/>
      <c r="M2264" s="17"/>
      <c r="N2264" s="17" t="s">
        <v>9509</v>
      </c>
      <c r="O2264" s="17"/>
      <c r="P2264" s="17" t="s">
        <v>9585</v>
      </c>
      <c r="Q2264" s="17"/>
      <c r="R2264" s="25" t="str">
        <f>HYPERLINK("https://ictv.global/taxonomy/taxondetails?taxnode_id=202313675","Slopekvirus pht4A")</f>
        <v>Slopekvirus pht4A</v>
      </c>
      <c r="S2264" s="18" t="s">
        <v>30</v>
      </c>
      <c r="T2264" s="18" t="s">
        <v>9594</v>
      </c>
      <c r="U2264" s="18"/>
      <c r="V2264" s="18"/>
      <c r="W2264" s="18" t="s">
        <v>9595</v>
      </c>
      <c r="X2264" s="18" t="s">
        <v>42</v>
      </c>
      <c r="Y2264" s="18" t="s">
        <v>36</v>
      </c>
      <c r="Z2264" s="18" t="s">
        <v>697</v>
      </c>
      <c r="AA2264" s="21" t="str">
        <f>HYPERLINK("https://www.ncbi.nlm.nih.gov/nuccore/KX130727","NCBI Nucleotide")</f>
        <v>NCBI Nucleotide</v>
      </c>
    </row>
    <row r="2265" spans="1:27" x14ac:dyDescent="0.35">
      <c r="A2265">
        <v>1003081</v>
      </c>
      <c r="B2265">
        <v>2241</v>
      </c>
      <c r="C2265">
        <v>1</v>
      </c>
      <c r="D2265" s="17" t="s">
        <v>155</v>
      </c>
      <c r="E2265" s="17"/>
      <c r="F2265" s="17" t="s">
        <v>156</v>
      </c>
      <c r="G2265" s="17"/>
      <c r="H2265" s="17" t="s">
        <v>692</v>
      </c>
      <c r="I2265" s="17"/>
      <c r="J2265" s="17" t="s">
        <v>693</v>
      </c>
      <c r="K2265" s="17"/>
      <c r="L2265" s="17"/>
      <c r="M2265" s="17"/>
      <c r="N2265" s="17" t="s">
        <v>9509</v>
      </c>
      <c r="O2265" s="17"/>
      <c r="P2265" s="17" t="s">
        <v>9596</v>
      </c>
      <c r="Q2265" s="17"/>
      <c r="R2265" s="25" t="str">
        <f>HYPERLINK("https://ictv.global/taxonomy/taxondetails?taxnode_id=202300503","Tuaanevirus ime13")</f>
        <v>Tuaanevirus ime13</v>
      </c>
      <c r="S2265" s="18" t="s">
        <v>30</v>
      </c>
      <c r="T2265" s="18" t="s">
        <v>9597</v>
      </c>
      <c r="U2265" s="18"/>
      <c r="V2265" s="18"/>
      <c r="W2265" s="18" t="s">
        <v>9598</v>
      </c>
      <c r="X2265" s="18" t="s">
        <v>42</v>
      </c>
      <c r="Y2265" s="18" t="s">
        <v>36</v>
      </c>
      <c r="Z2265" s="18" t="s">
        <v>697</v>
      </c>
      <c r="AA2265" s="21" t="str">
        <f>HYPERLINK("https://www.ncbi.nlm.nih.gov/nuccore/JX306041","NCBI Nucleotide")</f>
        <v>NCBI Nucleotide</v>
      </c>
    </row>
    <row r="2266" spans="1:27" x14ac:dyDescent="0.35">
      <c r="A2266">
        <v>1003082</v>
      </c>
      <c r="B2266">
        <v>2242</v>
      </c>
      <c r="C2266">
        <v>1</v>
      </c>
      <c r="D2266" s="17" t="s">
        <v>155</v>
      </c>
      <c r="E2266" s="17"/>
      <c r="F2266" s="17" t="s">
        <v>156</v>
      </c>
      <c r="G2266" s="17"/>
      <c r="H2266" s="17" t="s">
        <v>692</v>
      </c>
      <c r="I2266" s="17"/>
      <c r="J2266" s="17" t="s">
        <v>693</v>
      </c>
      <c r="K2266" s="17"/>
      <c r="L2266" s="17"/>
      <c r="M2266" s="17"/>
      <c r="N2266" s="17" t="s">
        <v>9509</v>
      </c>
      <c r="O2266" s="17"/>
      <c r="P2266" s="17" t="s">
        <v>9596</v>
      </c>
      <c r="Q2266" s="17"/>
      <c r="R2266" s="25" t="str">
        <f>HYPERLINK("https://ictv.global/taxonomy/taxondetails?taxnode_id=202313955","Tulanevirus 50ahydr13pp")</f>
        <v>Tulanevirus 50ahydr13pp</v>
      </c>
      <c r="S2266" s="18" t="s">
        <v>30</v>
      </c>
      <c r="T2266" s="18" t="s">
        <v>9599</v>
      </c>
      <c r="U2266" s="18"/>
      <c r="V2266" s="18"/>
      <c r="W2266" s="18" t="s">
        <v>9600</v>
      </c>
      <c r="X2266" s="18" t="s">
        <v>42</v>
      </c>
      <c r="Y2266" s="18" t="s">
        <v>36</v>
      </c>
      <c r="Z2266" s="18" t="s">
        <v>697</v>
      </c>
      <c r="AA2266" s="21" t="str">
        <f>HYPERLINK("https://www.ncbi.nlm.nih.gov/nuccore/MH179476","NCBI Nucleotide")</f>
        <v>NCBI Nucleotide</v>
      </c>
    </row>
    <row r="2267" spans="1:27" x14ac:dyDescent="0.35">
      <c r="A2267">
        <v>1003083</v>
      </c>
      <c r="B2267">
        <v>2243</v>
      </c>
      <c r="C2267">
        <v>1</v>
      </c>
      <c r="D2267" s="17" t="s">
        <v>155</v>
      </c>
      <c r="E2267" s="17"/>
      <c r="F2267" s="17" t="s">
        <v>156</v>
      </c>
      <c r="G2267" s="17"/>
      <c r="H2267" s="17" t="s">
        <v>692</v>
      </c>
      <c r="I2267" s="17"/>
      <c r="J2267" s="17" t="s">
        <v>693</v>
      </c>
      <c r="K2267" s="17"/>
      <c r="L2267" s="17"/>
      <c r="M2267" s="17"/>
      <c r="N2267" s="17" t="s">
        <v>9509</v>
      </c>
      <c r="O2267" s="17"/>
      <c r="P2267" s="17" t="s">
        <v>9596</v>
      </c>
      <c r="Q2267" s="17"/>
      <c r="R2267" s="25" t="str">
        <f>HYPERLINK("https://ictv.global/taxonomy/taxondetails?taxnode_id=202313956","Tulanevirus 60ahydrpp")</f>
        <v>Tulanevirus 60ahydrpp</v>
      </c>
      <c r="S2267" s="18" t="s">
        <v>30</v>
      </c>
      <c r="T2267" s="18" t="s">
        <v>9601</v>
      </c>
      <c r="U2267" s="18"/>
      <c r="V2267" s="18"/>
      <c r="W2267" s="18" t="s">
        <v>9602</v>
      </c>
      <c r="X2267" s="18" t="s">
        <v>42</v>
      </c>
      <c r="Y2267" s="18" t="s">
        <v>36</v>
      </c>
      <c r="Z2267" s="18" t="s">
        <v>697</v>
      </c>
      <c r="AA2267" s="21" t="str">
        <f>HYPERLINK("https://www.ncbi.nlm.nih.gov/nuccore/MH179477","NCBI Nucleotide")</f>
        <v>NCBI Nucleotide</v>
      </c>
    </row>
    <row r="2268" spans="1:27" x14ac:dyDescent="0.35">
      <c r="A2268">
        <v>1003084</v>
      </c>
      <c r="B2268">
        <v>2244</v>
      </c>
      <c r="C2268">
        <v>1</v>
      </c>
      <c r="D2268" s="17" t="s">
        <v>155</v>
      </c>
      <c r="E2268" s="17"/>
      <c r="F2268" s="17" t="s">
        <v>156</v>
      </c>
      <c r="G2268" s="17"/>
      <c r="H2268" s="17" t="s">
        <v>692</v>
      </c>
      <c r="I2268" s="17"/>
      <c r="J2268" s="17" t="s">
        <v>693</v>
      </c>
      <c r="K2268" s="17"/>
      <c r="L2268" s="17"/>
      <c r="M2268" s="17"/>
      <c r="N2268" s="17" t="s">
        <v>9509</v>
      </c>
      <c r="O2268" s="17"/>
      <c r="P2268" s="17" t="s">
        <v>9596</v>
      </c>
      <c r="Q2268" s="17"/>
      <c r="R2268" s="25" t="str">
        <f>HYPERLINK("https://ictv.global/taxonomy/taxondetails?taxnode_id=202300500","Tulanevirus aes12")</f>
        <v>Tulanevirus aes12</v>
      </c>
      <c r="S2268" s="18" t="s">
        <v>30</v>
      </c>
      <c r="T2268" s="18" t="s">
        <v>9603</v>
      </c>
      <c r="U2268" s="18"/>
      <c r="V2268" s="18"/>
      <c r="W2268" s="18" t="s">
        <v>9604</v>
      </c>
      <c r="X2268" s="18" t="s">
        <v>42</v>
      </c>
      <c r="Y2268" s="18" t="s">
        <v>36</v>
      </c>
      <c r="Z2268" s="18" t="s">
        <v>697</v>
      </c>
      <c r="AA2268" s="21" t="str">
        <f>HYPERLINK("https://www.ncbi.nlm.nih.gov/nuccore/JN377895","NCBI Nucleotide")</f>
        <v>NCBI Nucleotide</v>
      </c>
    </row>
    <row r="2269" spans="1:27" x14ac:dyDescent="0.35">
      <c r="A2269">
        <v>1003085</v>
      </c>
      <c r="B2269">
        <v>2245</v>
      </c>
      <c r="C2269">
        <v>1</v>
      </c>
      <c r="D2269" s="17" t="s">
        <v>155</v>
      </c>
      <c r="E2269" s="17"/>
      <c r="F2269" s="17" t="s">
        <v>156</v>
      </c>
      <c r="G2269" s="17"/>
      <c r="H2269" s="17" t="s">
        <v>692</v>
      </c>
      <c r="I2269" s="17"/>
      <c r="J2269" s="17" t="s">
        <v>693</v>
      </c>
      <c r="K2269" s="17"/>
      <c r="L2269" s="17"/>
      <c r="M2269" s="17"/>
      <c r="N2269" s="17" t="s">
        <v>9509</v>
      </c>
      <c r="O2269" s="17"/>
      <c r="P2269" s="17" t="s">
        <v>9596</v>
      </c>
      <c r="Q2269" s="17"/>
      <c r="R2269" s="25" t="str">
        <f>HYPERLINK("https://ictv.global/taxonomy/taxondetails?taxnode_id=202300501","Tulanevirus aes508")</f>
        <v>Tulanevirus aes508</v>
      </c>
      <c r="S2269" s="18" t="s">
        <v>30</v>
      </c>
      <c r="T2269" s="18" t="s">
        <v>9605</v>
      </c>
      <c r="U2269" s="18"/>
      <c r="V2269" s="18"/>
      <c r="W2269" s="18" t="s">
        <v>9606</v>
      </c>
      <c r="X2269" s="18" t="s">
        <v>42</v>
      </c>
      <c r="Y2269" s="18" t="s">
        <v>36</v>
      </c>
      <c r="Z2269" s="18" t="s">
        <v>697</v>
      </c>
      <c r="AA2269" s="21" t="str">
        <f>HYPERLINK("https://www.ncbi.nlm.nih.gov/nuccore/JN377894","NCBI Nucleotide")</f>
        <v>NCBI Nucleotide</v>
      </c>
    </row>
    <row r="2270" spans="1:27" x14ac:dyDescent="0.35">
      <c r="A2270">
        <v>1003086</v>
      </c>
      <c r="B2270">
        <v>2246</v>
      </c>
      <c r="C2270">
        <v>1</v>
      </c>
      <c r="D2270" s="17" t="s">
        <v>155</v>
      </c>
      <c r="E2270" s="17"/>
      <c r="F2270" s="17" t="s">
        <v>156</v>
      </c>
      <c r="G2270" s="17"/>
      <c r="H2270" s="17" t="s">
        <v>692</v>
      </c>
      <c r="I2270" s="17"/>
      <c r="J2270" s="17" t="s">
        <v>693</v>
      </c>
      <c r="K2270" s="17"/>
      <c r="L2270" s="17"/>
      <c r="M2270" s="17"/>
      <c r="N2270" s="17" t="s">
        <v>9509</v>
      </c>
      <c r="O2270" s="17"/>
      <c r="P2270" s="17" t="s">
        <v>9596</v>
      </c>
      <c r="Q2270" s="17"/>
      <c r="R2270" s="25" t="str">
        <f>HYPERLINK("https://ictv.global/taxonomy/taxondetails?taxnode_id=202300502","Tulanevirus as4")</f>
        <v>Tulanevirus as4</v>
      </c>
      <c r="S2270" s="18" t="s">
        <v>30</v>
      </c>
      <c r="T2270" s="18" t="s">
        <v>9607</v>
      </c>
      <c r="U2270" s="18"/>
      <c r="V2270" s="18"/>
      <c r="W2270" s="18" t="s">
        <v>9608</v>
      </c>
      <c r="X2270" s="18" t="s">
        <v>42</v>
      </c>
      <c r="Y2270" s="18" t="s">
        <v>36</v>
      </c>
      <c r="Z2270" s="18" t="s">
        <v>697</v>
      </c>
      <c r="AA2270" s="21" t="str">
        <f>HYPERLINK("https://www.ncbi.nlm.nih.gov/nuccore/HM452125","NCBI Nucleotide")</f>
        <v>NCBI Nucleotide</v>
      </c>
    </row>
    <row r="2271" spans="1:27" x14ac:dyDescent="0.35">
      <c r="A2271">
        <v>1003087</v>
      </c>
      <c r="B2271">
        <v>2247</v>
      </c>
      <c r="C2271">
        <v>1</v>
      </c>
      <c r="D2271" s="17" t="s">
        <v>155</v>
      </c>
      <c r="E2271" s="17"/>
      <c r="F2271" s="17" t="s">
        <v>156</v>
      </c>
      <c r="G2271" s="17"/>
      <c r="H2271" s="17" t="s">
        <v>692</v>
      </c>
      <c r="I2271" s="17"/>
      <c r="J2271" s="17" t="s">
        <v>693</v>
      </c>
      <c r="K2271" s="17"/>
      <c r="L2271" s="17"/>
      <c r="M2271" s="17"/>
      <c r="N2271" s="17" t="s">
        <v>9509</v>
      </c>
      <c r="O2271" s="17"/>
      <c r="P2271" s="17" t="s">
        <v>9596</v>
      </c>
      <c r="Q2271" s="17"/>
      <c r="R2271" s="25" t="str">
        <f>HYPERLINK("https://ictv.global/taxonomy/taxondetails?taxnode_id=202307033","Tulanevirus asgz")</f>
        <v>Tulanevirus asgz</v>
      </c>
      <c r="S2271" s="18" t="s">
        <v>30</v>
      </c>
      <c r="T2271" s="18" t="s">
        <v>9609</v>
      </c>
      <c r="U2271" s="18"/>
      <c r="V2271" s="18"/>
      <c r="W2271" s="18" t="s">
        <v>9610</v>
      </c>
      <c r="X2271" s="18" t="s">
        <v>42</v>
      </c>
      <c r="Y2271" s="18" t="s">
        <v>36</v>
      </c>
      <c r="Z2271" s="18" t="s">
        <v>697</v>
      </c>
      <c r="AA2271" s="21" t="str">
        <f>HYPERLINK("https://www.ncbi.nlm.nih.gov/nuccore/MF479730","NCBI Nucleotide")</f>
        <v>NCBI Nucleotide</v>
      </c>
    </row>
    <row r="2272" spans="1:27" x14ac:dyDescent="0.35">
      <c r="A2272">
        <v>1003088</v>
      </c>
      <c r="B2272">
        <v>2248</v>
      </c>
      <c r="C2272">
        <v>1</v>
      </c>
      <c r="D2272" s="17" t="s">
        <v>155</v>
      </c>
      <c r="E2272" s="17"/>
      <c r="F2272" s="17" t="s">
        <v>156</v>
      </c>
      <c r="G2272" s="17"/>
      <c r="H2272" s="17" t="s">
        <v>692</v>
      </c>
      <c r="I2272" s="17"/>
      <c r="J2272" s="17" t="s">
        <v>693</v>
      </c>
      <c r="K2272" s="17"/>
      <c r="L2272" s="17"/>
      <c r="M2272" s="17"/>
      <c r="N2272" s="17" t="s">
        <v>9509</v>
      </c>
      <c r="O2272" s="17"/>
      <c r="P2272" s="17" t="s">
        <v>9596</v>
      </c>
      <c r="Q2272" s="17"/>
      <c r="R2272" s="25" t="str">
        <f>HYPERLINK("https://ictv.global/taxonomy/taxondetails?taxnode_id=202300498","Tulanevirus bteighttwo")</f>
        <v>Tulanevirus bteighttwo</v>
      </c>
      <c r="S2272" s="18" t="s">
        <v>30</v>
      </c>
      <c r="T2272" s="18" t="s">
        <v>9611</v>
      </c>
      <c r="U2272" s="18"/>
      <c r="V2272" s="18"/>
      <c r="W2272" s="18" t="s">
        <v>9612</v>
      </c>
      <c r="X2272" s="18" t="s">
        <v>42</v>
      </c>
      <c r="Y2272" s="18" t="s">
        <v>36</v>
      </c>
      <c r="Z2272" s="18" t="s">
        <v>697</v>
      </c>
      <c r="AA2272" s="21" t="str">
        <f>HYPERLINK("https://www.ncbi.nlm.nih.gov/nuccore/DQ529280","NCBI Nucleotide")</f>
        <v>NCBI Nucleotide</v>
      </c>
    </row>
    <row r="2273" spans="1:27" x14ac:dyDescent="0.35">
      <c r="A2273">
        <v>1003089</v>
      </c>
      <c r="B2273">
        <v>2249</v>
      </c>
      <c r="C2273">
        <v>1</v>
      </c>
      <c r="D2273" s="17" t="s">
        <v>155</v>
      </c>
      <c r="E2273" s="17"/>
      <c r="F2273" s="17" t="s">
        <v>156</v>
      </c>
      <c r="G2273" s="17"/>
      <c r="H2273" s="17" t="s">
        <v>692</v>
      </c>
      <c r="I2273" s="17"/>
      <c r="J2273" s="17" t="s">
        <v>693</v>
      </c>
      <c r="K2273" s="17"/>
      <c r="L2273" s="17"/>
      <c r="M2273" s="17"/>
      <c r="N2273" s="17" t="s">
        <v>9965</v>
      </c>
      <c r="O2273" s="17"/>
      <c r="P2273" s="17" t="s">
        <v>9966</v>
      </c>
      <c r="Q2273" s="17"/>
      <c r="R2273" s="25" t="str">
        <f>HYPERLINK("https://ictv.global/taxonomy/taxondetails?taxnode_id=202312173","Pormufvirus salinum")</f>
        <v>Pormufvirus salinum</v>
      </c>
      <c r="S2273" s="18" t="s">
        <v>30</v>
      </c>
      <c r="T2273" s="18" t="s">
        <v>9967</v>
      </c>
      <c r="U2273" s="18" t="s">
        <v>9968</v>
      </c>
      <c r="V2273" s="18"/>
      <c r="W2273" s="18" t="s">
        <v>9969</v>
      </c>
      <c r="X2273" s="18" t="s">
        <v>42</v>
      </c>
      <c r="Y2273" s="18" t="s">
        <v>36</v>
      </c>
      <c r="Z2273" s="18" t="s">
        <v>37</v>
      </c>
      <c r="AA2273" s="21" t="str">
        <f>HYPERLINK("https://www.ncbi.nlm.nih.gov/nuccore/MZ334528","NCBI Nucleotide")</f>
        <v>NCBI Nucleotide</v>
      </c>
    </row>
    <row r="2274" spans="1:27" x14ac:dyDescent="0.35">
      <c r="A2274">
        <v>1024955</v>
      </c>
      <c r="B2274">
        <v>2250</v>
      </c>
      <c r="C2274">
        <v>1</v>
      </c>
      <c r="D2274" s="17" t="s">
        <v>155</v>
      </c>
      <c r="E2274" s="17"/>
      <c r="F2274" s="17" t="s">
        <v>156</v>
      </c>
      <c r="G2274" s="17"/>
      <c r="H2274" s="17" t="s">
        <v>692</v>
      </c>
      <c r="I2274" s="17"/>
      <c r="J2274" s="17" t="s">
        <v>693</v>
      </c>
      <c r="K2274" s="17"/>
      <c r="L2274" s="17"/>
      <c r="M2274" s="17"/>
      <c r="N2274" s="17" t="s">
        <v>39456</v>
      </c>
      <c r="O2274" s="17"/>
      <c r="P2274" s="17" t="s">
        <v>39457</v>
      </c>
      <c r="Q2274" s="17"/>
      <c r="R2274" s="25" t="str">
        <f>HYPERLINK("https://ictv.global/taxonomy/taxondetails?taxnode_id=202319389","Totsukavirus waseda")</f>
        <v>Totsukavirus waseda</v>
      </c>
      <c r="S2274" s="18" t="s">
        <v>30</v>
      </c>
      <c r="T2274" s="18" t="s">
        <v>39458</v>
      </c>
      <c r="U2274" s="18"/>
      <c r="V2274" s="18"/>
      <c r="W2274" s="18" t="s">
        <v>48181</v>
      </c>
      <c r="X2274" s="18" t="s">
        <v>42</v>
      </c>
      <c r="Y2274" s="18" t="s">
        <v>36</v>
      </c>
      <c r="Z2274" s="18" t="s">
        <v>697</v>
      </c>
      <c r="AA2274" s="21" t="str">
        <f>HYPERLINK("https://www.ncbi.nlm.nih.gov/nuccore/OP074812","NCBI Nucleotide")</f>
        <v>NCBI Nucleotide</v>
      </c>
    </row>
    <row r="2275" spans="1:27" x14ac:dyDescent="0.35">
      <c r="A2275">
        <v>1024957</v>
      </c>
      <c r="B2275">
        <v>2251</v>
      </c>
      <c r="C2275">
        <v>1</v>
      </c>
      <c r="D2275" s="17" t="s">
        <v>155</v>
      </c>
      <c r="E2275" s="17"/>
      <c r="F2275" s="17" t="s">
        <v>156</v>
      </c>
      <c r="G2275" s="17"/>
      <c r="H2275" s="17" t="s">
        <v>692</v>
      </c>
      <c r="I2275" s="17"/>
      <c r="J2275" s="17" t="s">
        <v>693</v>
      </c>
      <c r="K2275" s="17"/>
      <c r="L2275" s="17"/>
      <c r="M2275" s="17"/>
      <c r="N2275" s="17" t="s">
        <v>39456</v>
      </c>
      <c r="O2275" s="17"/>
      <c r="P2275" s="17" t="s">
        <v>39459</v>
      </c>
      <c r="Q2275" s="17"/>
      <c r="R2275" s="25" t="str">
        <f>HYPERLINK("https://ictv.global/taxonomy/taxondetails?taxnode_id=202319387","Ushigomevirus gakusyuin")</f>
        <v>Ushigomevirus gakusyuin</v>
      </c>
      <c r="S2275" s="18" t="s">
        <v>30</v>
      </c>
      <c r="T2275" s="18" t="s">
        <v>39460</v>
      </c>
      <c r="U2275" s="18"/>
      <c r="V2275" s="18"/>
      <c r="W2275" s="18" t="s">
        <v>48182</v>
      </c>
      <c r="X2275" s="18" t="s">
        <v>42</v>
      </c>
      <c r="Y2275" s="18" t="s">
        <v>36</v>
      </c>
      <c r="Z2275" s="18" t="s">
        <v>697</v>
      </c>
      <c r="AA2275" s="21" t="str">
        <f>HYPERLINK("https://www.ncbi.nlm.nih.gov/nuccore/OP030930","NCBI Nucleotide")</f>
        <v>NCBI Nucleotide</v>
      </c>
    </row>
    <row r="2276" spans="1:27" x14ac:dyDescent="0.35">
      <c r="A2276">
        <v>1025265</v>
      </c>
      <c r="B2276">
        <v>2252</v>
      </c>
      <c r="C2276">
        <v>1</v>
      </c>
      <c r="D2276" s="17" t="s">
        <v>155</v>
      </c>
      <c r="E2276" s="17"/>
      <c r="F2276" s="17" t="s">
        <v>156</v>
      </c>
      <c r="G2276" s="17"/>
      <c r="H2276" s="17" t="s">
        <v>692</v>
      </c>
      <c r="I2276" s="17"/>
      <c r="J2276" s="17" t="s">
        <v>693</v>
      </c>
      <c r="K2276" s="17"/>
      <c r="L2276" s="17"/>
      <c r="M2276" s="17"/>
      <c r="N2276" s="17" t="s">
        <v>39456</v>
      </c>
      <c r="O2276" s="17"/>
      <c r="P2276" s="17" t="s">
        <v>39461</v>
      </c>
      <c r="Q2276" s="17"/>
      <c r="R2276" s="25" t="str">
        <f>HYPERLINK("https://ictv.global/taxonomy/taxondetails?taxnode_id=202319388","Wadatovirus soudai")</f>
        <v>Wadatovirus soudai</v>
      </c>
      <c r="S2276" s="18" t="s">
        <v>30</v>
      </c>
      <c r="T2276" s="18" t="s">
        <v>39462</v>
      </c>
      <c r="U2276" s="18"/>
      <c r="V2276" s="18"/>
      <c r="W2276" s="18" t="s">
        <v>48183</v>
      </c>
      <c r="X2276" s="18" t="s">
        <v>42</v>
      </c>
      <c r="Y2276" s="18" t="s">
        <v>36</v>
      </c>
      <c r="Z2276" s="18" t="s">
        <v>697</v>
      </c>
      <c r="AA2276" s="21" t="str">
        <f>HYPERLINK("https://www.ncbi.nlm.nih.gov/nuccore/OP072217","NCBI Nucleotide")</f>
        <v>NCBI Nucleotide</v>
      </c>
    </row>
    <row r="2277" spans="1:27" x14ac:dyDescent="0.35">
      <c r="A2277">
        <v>1025039</v>
      </c>
      <c r="B2277">
        <v>2253</v>
      </c>
      <c r="C2277">
        <v>1</v>
      </c>
      <c r="D2277" s="17" t="s">
        <v>155</v>
      </c>
      <c r="E2277" s="17"/>
      <c r="F2277" s="17" t="s">
        <v>156</v>
      </c>
      <c r="G2277" s="17"/>
      <c r="H2277" s="17" t="s">
        <v>692</v>
      </c>
      <c r="I2277" s="17"/>
      <c r="J2277" s="17" t="s">
        <v>693</v>
      </c>
      <c r="K2277" s="17"/>
      <c r="L2277" s="17"/>
      <c r="M2277" s="17"/>
      <c r="N2277" s="17" t="s">
        <v>39463</v>
      </c>
      <c r="O2277" s="17"/>
      <c r="P2277" s="17" t="s">
        <v>39464</v>
      </c>
      <c r="Q2277" s="17"/>
      <c r="R2277" s="25" t="str">
        <f>HYPERLINK("https://ictv.global/taxonomy/taxondetails?taxnode_id=202319454","Moriyavirus dochi")</f>
        <v>Moriyavirus dochi</v>
      </c>
      <c r="S2277" s="18" t="s">
        <v>30</v>
      </c>
      <c r="T2277" s="18" t="s">
        <v>39465</v>
      </c>
      <c r="U2277" s="18"/>
      <c r="V2277" s="18"/>
      <c r="W2277" s="18" t="s">
        <v>48184</v>
      </c>
      <c r="X2277" s="18" t="s">
        <v>42</v>
      </c>
      <c r="Y2277" s="18" t="s">
        <v>36</v>
      </c>
      <c r="Z2277" s="18" t="s">
        <v>697</v>
      </c>
      <c r="AA2277" s="21" t="str">
        <f>HYPERLINK("https://www.ncbi.nlm.nih.gov/nuccore/OP072523","NCBI Nucleotide")</f>
        <v>NCBI Nucleotide</v>
      </c>
    </row>
    <row r="2278" spans="1:27" x14ac:dyDescent="0.35">
      <c r="A2278">
        <v>1025040</v>
      </c>
      <c r="B2278">
        <v>2254</v>
      </c>
      <c r="C2278">
        <v>1</v>
      </c>
      <c r="D2278" s="17" t="s">
        <v>155</v>
      </c>
      <c r="E2278" s="17"/>
      <c r="F2278" s="17" t="s">
        <v>156</v>
      </c>
      <c r="G2278" s="17"/>
      <c r="H2278" s="17" t="s">
        <v>692</v>
      </c>
      <c r="I2278" s="17"/>
      <c r="J2278" s="17" t="s">
        <v>693</v>
      </c>
      <c r="K2278" s="17"/>
      <c r="L2278" s="17"/>
      <c r="M2278" s="17"/>
      <c r="N2278" s="17" t="s">
        <v>39463</v>
      </c>
      <c r="O2278" s="17"/>
      <c r="P2278" s="17" t="s">
        <v>39464</v>
      </c>
      <c r="Q2278" s="17"/>
      <c r="R2278" s="25" t="str">
        <f>HYPERLINK("https://ictv.global/taxonomy/taxondetails?taxnode_id=202319455","Moriyavirus gosyo")</f>
        <v>Moriyavirus gosyo</v>
      </c>
      <c r="S2278" s="18" t="s">
        <v>30</v>
      </c>
      <c r="T2278" s="18" t="s">
        <v>39466</v>
      </c>
      <c r="U2278" s="18"/>
      <c r="V2278" s="18"/>
      <c r="W2278" s="18" t="s">
        <v>48185</v>
      </c>
      <c r="X2278" s="18" t="s">
        <v>42</v>
      </c>
      <c r="Y2278" s="18" t="s">
        <v>36</v>
      </c>
      <c r="Z2278" s="18" t="s">
        <v>697</v>
      </c>
      <c r="AA2278" s="21" t="str">
        <f>HYPERLINK("https://www.ncbi.nlm.nih.gov/nuccore/OP072636","NCBI Nucleotide")</f>
        <v>NCBI Nucleotide</v>
      </c>
    </row>
    <row r="2279" spans="1:27" x14ac:dyDescent="0.35">
      <c r="A2279">
        <v>1025041</v>
      </c>
      <c r="B2279">
        <v>2255</v>
      </c>
      <c r="C2279">
        <v>1</v>
      </c>
      <c r="D2279" s="17" t="s">
        <v>155</v>
      </c>
      <c r="E2279" s="17"/>
      <c r="F2279" s="17" t="s">
        <v>156</v>
      </c>
      <c r="G2279" s="17"/>
      <c r="H2279" s="17" t="s">
        <v>692</v>
      </c>
      <c r="I2279" s="17"/>
      <c r="J2279" s="17" t="s">
        <v>693</v>
      </c>
      <c r="K2279" s="17"/>
      <c r="L2279" s="17"/>
      <c r="M2279" s="17"/>
      <c r="N2279" s="17" t="s">
        <v>39463</v>
      </c>
      <c r="O2279" s="17"/>
      <c r="P2279" s="17" t="s">
        <v>39464</v>
      </c>
      <c r="Q2279" s="17"/>
      <c r="R2279" s="25" t="str">
        <f>HYPERLINK("https://ictv.global/taxonomy/taxondetails?taxnode_id=202319456","Moriyavirus koyama")</f>
        <v>Moriyavirus koyama</v>
      </c>
      <c r="S2279" s="18" t="s">
        <v>30</v>
      </c>
      <c r="T2279" s="18" t="s">
        <v>39467</v>
      </c>
      <c r="U2279" s="18"/>
      <c r="V2279" s="18"/>
      <c r="W2279" s="18" t="s">
        <v>48186</v>
      </c>
      <c r="X2279" s="18" t="s">
        <v>42</v>
      </c>
      <c r="Y2279" s="18" t="s">
        <v>36</v>
      </c>
      <c r="Z2279" s="18" t="s">
        <v>697</v>
      </c>
      <c r="AA2279" s="21" t="str">
        <f>HYPERLINK("https://www.ncbi.nlm.nih.gov/nuccore/OP072641","NCBI Nucleotide")</f>
        <v>NCBI Nucleotide</v>
      </c>
    </row>
    <row r="2280" spans="1:27" x14ac:dyDescent="0.35">
      <c r="A2280">
        <v>1025042</v>
      </c>
      <c r="B2280">
        <v>2256</v>
      </c>
      <c r="C2280">
        <v>1</v>
      </c>
      <c r="D2280" s="17" t="s">
        <v>155</v>
      </c>
      <c r="E2280" s="17"/>
      <c r="F2280" s="17" t="s">
        <v>156</v>
      </c>
      <c r="G2280" s="17"/>
      <c r="H2280" s="17" t="s">
        <v>692</v>
      </c>
      <c r="I2280" s="17"/>
      <c r="J2280" s="17" t="s">
        <v>693</v>
      </c>
      <c r="K2280" s="17"/>
      <c r="L2280" s="17"/>
      <c r="M2280" s="17"/>
      <c r="N2280" s="17" t="s">
        <v>39463</v>
      </c>
      <c r="O2280" s="17"/>
      <c r="P2280" s="17" t="s">
        <v>39464</v>
      </c>
      <c r="Q2280" s="17"/>
      <c r="R2280" s="25" t="str">
        <f>HYPERLINK("https://ictv.global/taxonomy/taxondetails?taxnode_id=202319457","Moriyavirus kubo")</f>
        <v>Moriyavirus kubo</v>
      </c>
      <c r="S2280" s="18" t="s">
        <v>30</v>
      </c>
      <c r="T2280" s="18" t="s">
        <v>39468</v>
      </c>
      <c r="U2280" s="18"/>
      <c r="V2280" s="18"/>
      <c r="W2280" s="18" t="s">
        <v>48187</v>
      </c>
      <c r="X2280" s="18" t="s">
        <v>42</v>
      </c>
      <c r="Y2280" s="18" t="s">
        <v>36</v>
      </c>
      <c r="Z2280" s="18" t="s">
        <v>697</v>
      </c>
      <c r="AA2280" s="21" t="str">
        <f>HYPERLINK("https://www.ncbi.nlm.nih.gov/nuccore/OP031033","NCBI Nucleotide")</f>
        <v>NCBI Nucleotide</v>
      </c>
    </row>
    <row r="2281" spans="1:27" x14ac:dyDescent="0.35">
      <c r="A2281">
        <v>1025043</v>
      </c>
      <c r="B2281">
        <v>2257</v>
      </c>
      <c r="C2281">
        <v>1</v>
      </c>
      <c r="D2281" s="17" t="s">
        <v>155</v>
      </c>
      <c r="E2281" s="17"/>
      <c r="F2281" s="17" t="s">
        <v>156</v>
      </c>
      <c r="G2281" s="17"/>
      <c r="H2281" s="17" t="s">
        <v>692</v>
      </c>
      <c r="I2281" s="17"/>
      <c r="J2281" s="17" t="s">
        <v>693</v>
      </c>
      <c r="K2281" s="17"/>
      <c r="L2281" s="17"/>
      <c r="M2281" s="17"/>
      <c r="N2281" s="17" t="s">
        <v>39463</v>
      </c>
      <c r="O2281" s="17"/>
      <c r="P2281" s="17" t="s">
        <v>39464</v>
      </c>
      <c r="Q2281" s="17"/>
      <c r="R2281" s="25" t="str">
        <f>HYPERLINK("https://ictv.global/taxonomy/taxondetails?taxnode_id=202319458","Moriyavirus midori")</f>
        <v>Moriyavirus midori</v>
      </c>
      <c r="S2281" s="18" t="s">
        <v>30</v>
      </c>
      <c r="T2281" s="18" t="s">
        <v>39469</v>
      </c>
      <c r="U2281" s="18"/>
      <c r="V2281" s="18"/>
      <c r="W2281" s="18" t="s">
        <v>48188</v>
      </c>
      <c r="X2281" s="18" t="s">
        <v>42</v>
      </c>
      <c r="Y2281" s="18" t="s">
        <v>36</v>
      </c>
      <c r="Z2281" s="18" t="s">
        <v>697</v>
      </c>
      <c r="AA2281" s="21" t="str">
        <f>HYPERLINK("https://www.ncbi.nlm.nih.gov/nuccore/OP072219","NCBI Nucleotide")</f>
        <v>NCBI Nucleotide</v>
      </c>
    </row>
    <row r="2282" spans="1:27" x14ac:dyDescent="0.35">
      <c r="A2282">
        <v>1025044</v>
      </c>
      <c r="B2282">
        <v>2258</v>
      </c>
      <c r="C2282">
        <v>1</v>
      </c>
      <c r="D2282" s="17" t="s">
        <v>155</v>
      </c>
      <c r="E2282" s="17"/>
      <c r="F2282" s="17" t="s">
        <v>156</v>
      </c>
      <c r="G2282" s="17"/>
      <c r="H2282" s="17" t="s">
        <v>692</v>
      </c>
      <c r="I2282" s="17"/>
      <c r="J2282" s="17" t="s">
        <v>693</v>
      </c>
      <c r="K2282" s="17"/>
      <c r="L2282" s="17"/>
      <c r="M2282" s="17"/>
      <c r="N2282" s="17" t="s">
        <v>39463</v>
      </c>
      <c r="O2282" s="17"/>
      <c r="P2282" s="17" t="s">
        <v>39464</v>
      </c>
      <c r="Q2282" s="17"/>
      <c r="R2282" s="25" t="str">
        <f>HYPERLINK("https://ictv.global/taxonomy/taxondetails?taxnode_id=202319463","Moriyavirus misono")</f>
        <v>Moriyavirus misono</v>
      </c>
      <c r="S2282" s="18" t="s">
        <v>30</v>
      </c>
      <c r="T2282" s="18" t="s">
        <v>39470</v>
      </c>
      <c r="U2282" s="18"/>
      <c r="V2282" s="18"/>
      <c r="W2282" s="18" t="s">
        <v>48189</v>
      </c>
      <c r="X2282" s="18" t="s">
        <v>42</v>
      </c>
      <c r="Y2282" s="18" t="s">
        <v>36</v>
      </c>
      <c r="Z2282" s="18" t="s">
        <v>697</v>
      </c>
      <c r="AA2282" s="21" t="str">
        <f>HYPERLINK("https://www.ncbi.nlm.nih.gov/nuccore/MK415409","NCBI Nucleotide")</f>
        <v>NCBI Nucleotide</v>
      </c>
    </row>
    <row r="2283" spans="1:27" x14ac:dyDescent="0.35">
      <c r="A2283">
        <v>1025045</v>
      </c>
      <c r="B2283">
        <v>2259</v>
      </c>
      <c r="C2283">
        <v>1</v>
      </c>
      <c r="D2283" s="17" t="s">
        <v>155</v>
      </c>
      <c r="E2283" s="17"/>
      <c r="F2283" s="17" t="s">
        <v>156</v>
      </c>
      <c r="G2283" s="17"/>
      <c r="H2283" s="17" t="s">
        <v>692</v>
      </c>
      <c r="I2283" s="17"/>
      <c r="J2283" s="17" t="s">
        <v>693</v>
      </c>
      <c r="K2283" s="17"/>
      <c r="L2283" s="17"/>
      <c r="M2283" s="17"/>
      <c r="N2283" s="17" t="s">
        <v>39463</v>
      </c>
      <c r="O2283" s="17"/>
      <c r="P2283" s="17" t="s">
        <v>39464</v>
      </c>
      <c r="Q2283" s="17"/>
      <c r="R2283" s="25" t="str">
        <f>HYPERLINK("https://ictv.global/taxonomy/taxondetails?taxnode_id=202319459","Moriyavirus ogoto")</f>
        <v>Moriyavirus ogoto</v>
      </c>
      <c r="S2283" s="18" t="s">
        <v>30</v>
      </c>
      <c r="T2283" s="18" t="s">
        <v>39471</v>
      </c>
      <c r="U2283" s="18"/>
      <c r="V2283" s="18"/>
      <c r="W2283" s="18" t="s">
        <v>48190</v>
      </c>
      <c r="X2283" s="18" t="s">
        <v>42</v>
      </c>
      <c r="Y2283" s="18" t="s">
        <v>36</v>
      </c>
      <c r="Z2283" s="18" t="s">
        <v>697</v>
      </c>
      <c r="AA2283" s="21" t="str">
        <f>HYPERLINK("https://www.ncbi.nlm.nih.gov/nuccore/OP072788","NCBI Nucleotide")</f>
        <v>NCBI Nucleotide</v>
      </c>
    </row>
    <row r="2284" spans="1:27" x14ac:dyDescent="0.35">
      <c r="A2284">
        <v>1025046</v>
      </c>
      <c r="B2284">
        <v>2260</v>
      </c>
      <c r="C2284">
        <v>1</v>
      </c>
      <c r="D2284" s="17" t="s">
        <v>155</v>
      </c>
      <c r="E2284" s="17"/>
      <c r="F2284" s="17" t="s">
        <v>156</v>
      </c>
      <c r="G2284" s="17"/>
      <c r="H2284" s="17" t="s">
        <v>692</v>
      </c>
      <c r="I2284" s="17"/>
      <c r="J2284" s="17" t="s">
        <v>693</v>
      </c>
      <c r="K2284" s="17"/>
      <c r="L2284" s="17"/>
      <c r="M2284" s="17"/>
      <c r="N2284" s="17" t="s">
        <v>39463</v>
      </c>
      <c r="O2284" s="17"/>
      <c r="P2284" s="17" t="s">
        <v>39464</v>
      </c>
      <c r="Q2284" s="17"/>
      <c r="R2284" s="25" t="str">
        <f>HYPERLINK("https://ictv.global/taxonomy/taxondetails?taxnode_id=202319460","Moriyavirus oki")</f>
        <v>Moriyavirus oki</v>
      </c>
      <c r="S2284" s="18" t="s">
        <v>30</v>
      </c>
      <c r="T2284" s="18" t="s">
        <v>39472</v>
      </c>
      <c r="U2284" s="18"/>
      <c r="V2284" s="18"/>
      <c r="W2284" s="18" t="s">
        <v>48191</v>
      </c>
      <c r="X2284" s="18" t="s">
        <v>42</v>
      </c>
      <c r="Y2284" s="18" t="s">
        <v>36</v>
      </c>
      <c r="Z2284" s="18" t="s">
        <v>697</v>
      </c>
      <c r="AA2284" s="21" t="str">
        <f>HYPERLINK("https://www.ncbi.nlm.nih.gov/nuccore/OP072320","NCBI Nucleotide")</f>
        <v>NCBI Nucleotide</v>
      </c>
    </row>
    <row r="2285" spans="1:27" x14ac:dyDescent="0.35">
      <c r="A2285">
        <v>1025047</v>
      </c>
      <c r="B2285">
        <v>2261</v>
      </c>
      <c r="C2285">
        <v>1</v>
      </c>
      <c r="D2285" s="17" t="s">
        <v>155</v>
      </c>
      <c r="E2285" s="17"/>
      <c r="F2285" s="17" t="s">
        <v>156</v>
      </c>
      <c r="G2285" s="17"/>
      <c r="H2285" s="17" t="s">
        <v>692</v>
      </c>
      <c r="I2285" s="17"/>
      <c r="J2285" s="17" t="s">
        <v>693</v>
      </c>
      <c r="K2285" s="17"/>
      <c r="L2285" s="17"/>
      <c r="M2285" s="17"/>
      <c r="N2285" s="17" t="s">
        <v>39463</v>
      </c>
      <c r="O2285" s="17"/>
      <c r="P2285" s="17" t="s">
        <v>39464</v>
      </c>
      <c r="Q2285" s="17"/>
      <c r="R2285" s="25" t="str">
        <f>HYPERLINK("https://ictv.global/taxonomy/taxondetails?taxnode_id=202319461","Moriyavirus yakushi")</f>
        <v>Moriyavirus yakushi</v>
      </c>
      <c r="S2285" s="18" t="s">
        <v>30</v>
      </c>
      <c r="T2285" s="18" t="s">
        <v>39473</v>
      </c>
      <c r="U2285" s="18"/>
      <c r="V2285" s="18"/>
      <c r="W2285" s="18" t="s">
        <v>48192</v>
      </c>
      <c r="X2285" s="18" t="s">
        <v>42</v>
      </c>
      <c r="Y2285" s="18" t="s">
        <v>36</v>
      </c>
      <c r="Z2285" s="18" t="s">
        <v>697</v>
      </c>
      <c r="AA2285" s="21" t="str">
        <f>HYPERLINK("https://www.ncbi.nlm.nih.gov/nuccore/OP031074","NCBI Nucleotide")</f>
        <v>NCBI Nucleotide</v>
      </c>
    </row>
    <row r="2286" spans="1:27" x14ac:dyDescent="0.35">
      <c r="A2286">
        <v>1025048</v>
      </c>
      <c r="B2286">
        <v>2262</v>
      </c>
      <c r="C2286">
        <v>1</v>
      </c>
      <c r="D2286" s="17" t="s">
        <v>155</v>
      </c>
      <c r="E2286" s="17"/>
      <c r="F2286" s="17" t="s">
        <v>156</v>
      </c>
      <c r="G2286" s="17"/>
      <c r="H2286" s="17" t="s">
        <v>692</v>
      </c>
      <c r="I2286" s="17"/>
      <c r="J2286" s="17" t="s">
        <v>693</v>
      </c>
      <c r="K2286" s="17"/>
      <c r="L2286" s="17"/>
      <c r="M2286" s="17"/>
      <c r="N2286" s="17" t="s">
        <v>39463</v>
      </c>
      <c r="O2286" s="17"/>
      <c r="P2286" s="17" t="s">
        <v>39464</v>
      </c>
      <c r="Q2286" s="17"/>
      <c r="R2286" s="25" t="str">
        <f>HYPERLINK("https://ictv.global/taxonomy/taxondetails?taxnode_id=202319462","Moriyavirus yuri")</f>
        <v>Moriyavirus yuri</v>
      </c>
      <c r="S2286" s="18" t="s">
        <v>30</v>
      </c>
      <c r="T2286" s="18" t="s">
        <v>39474</v>
      </c>
      <c r="U2286" s="18"/>
      <c r="V2286" s="18"/>
      <c r="W2286" s="18" t="s">
        <v>48193</v>
      </c>
      <c r="X2286" s="18" t="s">
        <v>42</v>
      </c>
      <c r="Y2286" s="18" t="s">
        <v>36</v>
      </c>
      <c r="Z2286" s="18" t="s">
        <v>697</v>
      </c>
      <c r="AA2286" s="21" t="str">
        <f>HYPERLINK("https://www.ncbi.nlm.nih.gov/nuccore/OP072371","NCBI Nucleotide")</f>
        <v>NCBI Nucleotide</v>
      </c>
    </row>
    <row r="2287" spans="1:27" x14ac:dyDescent="0.35">
      <c r="A2287">
        <v>1025000</v>
      </c>
      <c r="B2287">
        <v>2263</v>
      </c>
      <c r="C2287">
        <v>1</v>
      </c>
      <c r="D2287" s="17" t="s">
        <v>155</v>
      </c>
      <c r="E2287" s="17"/>
      <c r="F2287" s="17" t="s">
        <v>156</v>
      </c>
      <c r="G2287" s="17"/>
      <c r="H2287" s="17" t="s">
        <v>692</v>
      </c>
      <c r="I2287" s="17"/>
      <c r="J2287" s="17" t="s">
        <v>693</v>
      </c>
      <c r="K2287" s="17"/>
      <c r="L2287" s="17"/>
      <c r="M2287" s="17"/>
      <c r="N2287" s="17" t="s">
        <v>39463</v>
      </c>
      <c r="O2287" s="17"/>
      <c r="P2287" s="17" t="s">
        <v>39475</v>
      </c>
      <c r="Q2287" s="17"/>
      <c r="R2287" s="25" t="str">
        <f>HYPERLINK("https://ictv.global/taxonomy/taxondetails?taxnode_id=202319409","Namikivirus ajiki")</f>
        <v>Namikivirus ajiki</v>
      </c>
      <c r="S2287" s="18" t="s">
        <v>30</v>
      </c>
      <c r="T2287" s="18" t="s">
        <v>39476</v>
      </c>
      <c r="U2287" s="18"/>
      <c r="V2287" s="18"/>
      <c r="W2287" s="18" t="s">
        <v>48194</v>
      </c>
      <c r="X2287" s="18" t="s">
        <v>42</v>
      </c>
      <c r="Y2287" s="18" t="s">
        <v>36</v>
      </c>
      <c r="Z2287" s="18" t="s">
        <v>697</v>
      </c>
      <c r="AA2287" s="21" t="str">
        <f>HYPERLINK("https://www.ncbi.nlm.nih.gov/nuccore/OP072489","NCBI Nucleotide")</f>
        <v>NCBI Nucleotide</v>
      </c>
    </row>
    <row r="2288" spans="1:27" x14ac:dyDescent="0.35">
      <c r="A2288">
        <v>1025001</v>
      </c>
      <c r="B2288">
        <v>2264</v>
      </c>
      <c r="C2288">
        <v>1</v>
      </c>
      <c r="D2288" s="17" t="s">
        <v>155</v>
      </c>
      <c r="E2288" s="17"/>
      <c r="F2288" s="17" t="s">
        <v>156</v>
      </c>
      <c r="G2288" s="17"/>
      <c r="H2288" s="17" t="s">
        <v>692</v>
      </c>
      <c r="I2288" s="17"/>
      <c r="J2288" s="17" t="s">
        <v>693</v>
      </c>
      <c r="K2288" s="17"/>
      <c r="L2288" s="17"/>
      <c r="M2288" s="17"/>
      <c r="N2288" s="17" t="s">
        <v>39463</v>
      </c>
      <c r="O2288" s="17"/>
      <c r="P2288" s="17" t="s">
        <v>39475</v>
      </c>
      <c r="Q2288" s="17"/>
      <c r="R2288" s="25" t="str">
        <f>HYPERLINK("https://ictv.global/taxonomy/taxondetails?taxnode_id=202319410","Namikivirus akeshi")</f>
        <v>Namikivirus akeshi</v>
      </c>
      <c r="S2288" s="18" t="s">
        <v>30</v>
      </c>
      <c r="T2288" s="18" t="s">
        <v>39477</v>
      </c>
      <c r="U2288" s="18"/>
      <c r="V2288" s="18"/>
      <c r="W2288" s="18" t="s">
        <v>48195</v>
      </c>
      <c r="X2288" s="18" t="s">
        <v>42</v>
      </c>
      <c r="Y2288" s="18" t="s">
        <v>36</v>
      </c>
      <c r="Z2288" s="18" t="s">
        <v>697</v>
      </c>
      <c r="AA2288" s="21" t="str">
        <f>HYPERLINK("https://www.ncbi.nlm.nih.gov/nuccore/OP072486","NCBI Nucleotide")</f>
        <v>NCBI Nucleotide</v>
      </c>
    </row>
    <row r="2289" spans="1:27" x14ac:dyDescent="0.35">
      <c r="A2289">
        <v>1025002</v>
      </c>
      <c r="B2289">
        <v>2265</v>
      </c>
      <c r="C2289">
        <v>1</v>
      </c>
      <c r="D2289" s="17" t="s">
        <v>155</v>
      </c>
      <c r="E2289" s="17"/>
      <c r="F2289" s="17" t="s">
        <v>156</v>
      </c>
      <c r="G2289" s="17"/>
      <c r="H2289" s="17" t="s">
        <v>692</v>
      </c>
      <c r="I2289" s="17"/>
      <c r="J2289" s="17" t="s">
        <v>693</v>
      </c>
      <c r="K2289" s="17"/>
      <c r="L2289" s="17"/>
      <c r="M2289" s="17"/>
      <c r="N2289" s="17" t="s">
        <v>39463</v>
      </c>
      <c r="O2289" s="17"/>
      <c r="P2289" s="17" t="s">
        <v>39475</v>
      </c>
      <c r="Q2289" s="17"/>
      <c r="R2289" s="25" t="str">
        <f>HYPERLINK("https://ictv.global/taxonomy/taxondetails?taxnode_id=202319411","Namikivirus bouchi")</f>
        <v>Namikivirus bouchi</v>
      </c>
      <c r="S2289" s="18" t="s">
        <v>30</v>
      </c>
      <c r="T2289" s="18" t="s">
        <v>39478</v>
      </c>
      <c r="U2289" s="18"/>
      <c r="V2289" s="18"/>
      <c r="W2289" s="18" t="s">
        <v>48196</v>
      </c>
      <c r="X2289" s="18" t="s">
        <v>42</v>
      </c>
      <c r="Y2289" s="18" t="s">
        <v>36</v>
      </c>
      <c r="Z2289" s="18" t="s">
        <v>697</v>
      </c>
      <c r="AA2289" s="21" t="str">
        <f>HYPERLINK("https://www.ncbi.nlm.nih.gov/nuccore/OP030994","NCBI Nucleotide")</f>
        <v>NCBI Nucleotide</v>
      </c>
    </row>
    <row r="2290" spans="1:27" x14ac:dyDescent="0.35">
      <c r="A2290">
        <v>1025003</v>
      </c>
      <c r="B2290">
        <v>2266</v>
      </c>
      <c r="C2290">
        <v>1</v>
      </c>
      <c r="D2290" s="17" t="s">
        <v>155</v>
      </c>
      <c r="E2290" s="17"/>
      <c r="F2290" s="17" t="s">
        <v>156</v>
      </c>
      <c r="G2290" s="17"/>
      <c r="H2290" s="17" t="s">
        <v>692</v>
      </c>
      <c r="I2290" s="17"/>
      <c r="J2290" s="17" t="s">
        <v>693</v>
      </c>
      <c r="K2290" s="17"/>
      <c r="L2290" s="17"/>
      <c r="M2290" s="17"/>
      <c r="N2290" s="17" t="s">
        <v>39463</v>
      </c>
      <c r="O2290" s="17"/>
      <c r="P2290" s="17" t="s">
        <v>39475</v>
      </c>
      <c r="Q2290" s="17"/>
      <c r="R2290" s="25" t="str">
        <f>HYPERLINK("https://ictv.global/taxonomy/taxondetails?taxnode_id=202319416","Namikivirus furuku")</f>
        <v>Namikivirus furuku</v>
      </c>
      <c r="S2290" s="18" t="s">
        <v>30</v>
      </c>
      <c r="T2290" s="18" t="s">
        <v>39479</v>
      </c>
      <c r="U2290" s="18"/>
      <c r="V2290" s="18"/>
      <c r="W2290" s="18" t="s">
        <v>48197</v>
      </c>
      <c r="X2290" s="18" t="s">
        <v>42</v>
      </c>
      <c r="Y2290" s="18" t="s">
        <v>36</v>
      </c>
      <c r="Z2290" s="18" t="s">
        <v>697</v>
      </c>
      <c r="AA2290" s="21" t="str">
        <f>HYPERLINK("https://www.ncbi.nlm.nih.gov/nuccore/OP072887","NCBI Nucleotide")</f>
        <v>NCBI Nucleotide</v>
      </c>
    </row>
    <row r="2291" spans="1:27" x14ac:dyDescent="0.35">
      <c r="A2291">
        <v>1025004</v>
      </c>
      <c r="B2291">
        <v>2267</v>
      </c>
      <c r="C2291">
        <v>1</v>
      </c>
      <c r="D2291" s="17" t="s">
        <v>155</v>
      </c>
      <c r="E2291" s="17"/>
      <c r="F2291" s="17" t="s">
        <v>156</v>
      </c>
      <c r="G2291" s="17"/>
      <c r="H2291" s="17" t="s">
        <v>692</v>
      </c>
      <c r="I2291" s="17"/>
      <c r="J2291" s="17" t="s">
        <v>693</v>
      </c>
      <c r="K2291" s="17"/>
      <c r="L2291" s="17"/>
      <c r="M2291" s="17"/>
      <c r="N2291" s="17" t="s">
        <v>39463</v>
      </c>
      <c r="O2291" s="17"/>
      <c r="P2291" s="17" t="s">
        <v>39475</v>
      </c>
      <c r="Q2291" s="17"/>
      <c r="R2291" s="25" t="str">
        <f>HYPERLINK("https://ictv.global/taxonomy/taxondetails?taxnode_id=202319412","Namikivirus hakke")</f>
        <v>Namikivirus hakke</v>
      </c>
      <c r="S2291" s="18" t="s">
        <v>30</v>
      </c>
      <c r="T2291" s="18" t="s">
        <v>39480</v>
      </c>
      <c r="U2291" s="18"/>
      <c r="V2291" s="18"/>
      <c r="W2291" s="18" t="s">
        <v>48198</v>
      </c>
      <c r="X2291" s="18" t="s">
        <v>42</v>
      </c>
      <c r="Y2291" s="18" t="s">
        <v>36</v>
      </c>
      <c r="Z2291" s="18" t="s">
        <v>697</v>
      </c>
      <c r="AA2291" s="21" t="str">
        <f>HYPERLINK("https://www.ncbi.nlm.nih.gov/nuccore/OP031127","NCBI Nucleotide")</f>
        <v>NCBI Nucleotide</v>
      </c>
    </row>
    <row r="2292" spans="1:27" x14ac:dyDescent="0.35">
      <c r="A2292">
        <v>1025005</v>
      </c>
      <c r="B2292">
        <v>2268</v>
      </c>
      <c r="C2292">
        <v>1</v>
      </c>
      <c r="D2292" s="17" t="s">
        <v>155</v>
      </c>
      <c r="E2292" s="17"/>
      <c r="F2292" s="17" t="s">
        <v>156</v>
      </c>
      <c r="G2292" s="17"/>
      <c r="H2292" s="17" t="s">
        <v>692</v>
      </c>
      <c r="I2292" s="17"/>
      <c r="J2292" s="17" t="s">
        <v>693</v>
      </c>
      <c r="K2292" s="17"/>
      <c r="L2292" s="17"/>
      <c r="M2292" s="17"/>
      <c r="N2292" s="17" t="s">
        <v>39463</v>
      </c>
      <c r="O2292" s="17"/>
      <c r="P2292" s="17" t="s">
        <v>39475</v>
      </c>
      <c r="Q2292" s="17"/>
      <c r="R2292" s="25" t="str">
        <f>HYPERLINK("https://ictv.global/taxonomy/taxondetails?taxnode_id=202319413","Namikivirus hasaki")</f>
        <v>Namikivirus hasaki</v>
      </c>
      <c r="S2292" s="18" t="s">
        <v>30</v>
      </c>
      <c r="T2292" s="18" t="s">
        <v>39481</v>
      </c>
      <c r="U2292" s="18"/>
      <c r="V2292" s="18"/>
      <c r="W2292" s="18" t="s">
        <v>48199</v>
      </c>
      <c r="X2292" s="18" t="s">
        <v>42</v>
      </c>
      <c r="Y2292" s="18" t="s">
        <v>36</v>
      </c>
      <c r="Z2292" s="18" t="s">
        <v>697</v>
      </c>
      <c r="AA2292" s="21" t="str">
        <f>HYPERLINK("https://www.ncbi.nlm.nih.gov/nuccore/OP030894","NCBI Nucleotide")</f>
        <v>NCBI Nucleotide</v>
      </c>
    </row>
    <row r="2293" spans="1:27" x14ac:dyDescent="0.35">
      <c r="A2293">
        <v>1025006</v>
      </c>
      <c r="B2293">
        <v>2269</v>
      </c>
      <c r="C2293">
        <v>1</v>
      </c>
      <c r="D2293" s="17" t="s">
        <v>155</v>
      </c>
      <c r="E2293" s="17"/>
      <c r="F2293" s="17" t="s">
        <v>156</v>
      </c>
      <c r="G2293" s="17"/>
      <c r="H2293" s="17" t="s">
        <v>692</v>
      </c>
      <c r="I2293" s="17"/>
      <c r="J2293" s="17" t="s">
        <v>693</v>
      </c>
      <c r="K2293" s="17"/>
      <c r="L2293" s="17"/>
      <c r="M2293" s="17"/>
      <c r="N2293" s="17" t="s">
        <v>39463</v>
      </c>
      <c r="O2293" s="17"/>
      <c r="P2293" s="17" t="s">
        <v>39475</v>
      </c>
      <c r="Q2293" s="17"/>
      <c r="R2293" s="25" t="str">
        <f>HYPERLINK("https://ictv.global/taxonomy/taxondetails?taxnode_id=202319414","Namikivirus horage")</f>
        <v>Namikivirus horage</v>
      </c>
      <c r="S2293" s="18" t="s">
        <v>30</v>
      </c>
      <c r="T2293" s="18" t="s">
        <v>39482</v>
      </c>
      <c r="U2293" s="18"/>
      <c r="V2293" s="18"/>
      <c r="W2293" s="18" t="s">
        <v>48200</v>
      </c>
      <c r="X2293" s="18" t="s">
        <v>42</v>
      </c>
      <c r="Y2293" s="18" t="s">
        <v>36</v>
      </c>
      <c r="Z2293" s="18" t="s">
        <v>697</v>
      </c>
      <c r="AA2293" s="21" t="str">
        <f>HYPERLINK("https://www.ncbi.nlm.nih.gov/nuccore/OP072800","NCBI Nucleotide")</f>
        <v>NCBI Nucleotide</v>
      </c>
    </row>
    <row r="2294" spans="1:27" x14ac:dyDescent="0.35">
      <c r="A2294">
        <v>1025007</v>
      </c>
      <c r="B2294">
        <v>2270</v>
      </c>
      <c r="C2294">
        <v>1</v>
      </c>
      <c r="D2294" s="17" t="s">
        <v>155</v>
      </c>
      <c r="E2294" s="17"/>
      <c r="F2294" s="17" t="s">
        <v>156</v>
      </c>
      <c r="G2294" s="17"/>
      <c r="H2294" s="17" t="s">
        <v>692</v>
      </c>
      <c r="I2294" s="17"/>
      <c r="J2294" s="17" t="s">
        <v>693</v>
      </c>
      <c r="K2294" s="17"/>
      <c r="L2294" s="17"/>
      <c r="M2294" s="17"/>
      <c r="N2294" s="17" t="s">
        <v>39463</v>
      </c>
      <c r="O2294" s="17"/>
      <c r="P2294" s="17" t="s">
        <v>39475</v>
      </c>
      <c r="Q2294" s="17"/>
      <c r="R2294" s="25" t="str">
        <f>HYPERLINK("https://ictv.global/taxonomy/taxondetails?taxnode_id=202319415","Namikivirus hosomi")</f>
        <v>Namikivirus hosomi</v>
      </c>
      <c r="S2294" s="18" t="s">
        <v>30</v>
      </c>
      <c r="T2294" s="18" t="s">
        <v>39483</v>
      </c>
      <c r="U2294" s="18"/>
      <c r="V2294" s="18"/>
      <c r="W2294" s="18" t="s">
        <v>48201</v>
      </c>
      <c r="X2294" s="18" t="s">
        <v>42</v>
      </c>
      <c r="Y2294" s="18" t="s">
        <v>36</v>
      </c>
      <c r="Z2294" s="18" t="s">
        <v>697</v>
      </c>
      <c r="AA2294" s="21" t="str">
        <f>HYPERLINK("https://www.ncbi.nlm.nih.gov/nuccore/OP030953","NCBI Nucleotide")</f>
        <v>NCBI Nucleotide</v>
      </c>
    </row>
    <row r="2295" spans="1:27" x14ac:dyDescent="0.35">
      <c r="A2295">
        <v>1025008</v>
      </c>
      <c r="B2295">
        <v>2271</v>
      </c>
      <c r="C2295">
        <v>1</v>
      </c>
      <c r="D2295" s="17" t="s">
        <v>155</v>
      </c>
      <c r="E2295" s="17"/>
      <c r="F2295" s="17" t="s">
        <v>156</v>
      </c>
      <c r="G2295" s="17"/>
      <c r="H2295" s="17" t="s">
        <v>692</v>
      </c>
      <c r="I2295" s="17"/>
      <c r="J2295" s="17" t="s">
        <v>693</v>
      </c>
      <c r="K2295" s="17"/>
      <c r="L2295" s="17"/>
      <c r="M2295" s="17"/>
      <c r="N2295" s="17" t="s">
        <v>39463</v>
      </c>
      <c r="O2295" s="17"/>
      <c r="P2295" s="17" t="s">
        <v>39475</v>
      </c>
      <c r="Q2295" s="17"/>
      <c r="R2295" s="25" t="str">
        <f>HYPERLINK("https://ictv.global/taxonomy/taxondetails?taxnode_id=202319417","Namikivirus ikeda")</f>
        <v>Namikivirus ikeda</v>
      </c>
      <c r="S2295" s="18" t="s">
        <v>30</v>
      </c>
      <c r="T2295" s="18" t="s">
        <v>39484</v>
      </c>
      <c r="U2295" s="18"/>
      <c r="V2295" s="18"/>
      <c r="W2295" s="18" t="s">
        <v>48202</v>
      </c>
      <c r="X2295" s="18" t="s">
        <v>42</v>
      </c>
      <c r="Y2295" s="18" t="s">
        <v>36</v>
      </c>
      <c r="Z2295" s="18" t="s">
        <v>697</v>
      </c>
      <c r="AA2295" s="21" t="str">
        <f>HYPERLINK("https://www.ncbi.nlm.nih.gov/nuccore/OP072690","NCBI Nucleotide")</f>
        <v>NCBI Nucleotide</v>
      </c>
    </row>
    <row r="2296" spans="1:27" x14ac:dyDescent="0.35">
      <c r="A2296">
        <v>1025009</v>
      </c>
      <c r="B2296">
        <v>2272</v>
      </c>
      <c r="C2296">
        <v>1</v>
      </c>
      <c r="D2296" s="17" t="s">
        <v>155</v>
      </c>
      <c r="E2296" s="17"/>
      <c r="F2296" s="17" t="s">
        <v>156</v>
      </c>
      <c r="G2296" s="17"/>
      <c r="H2296" s="17" t="s">
        <v>692</v>
      </c>
      <c r="I2296" s="17"/>
      <c r="J2296" s="17" t="s">
        <v>693</v>
      </c>
      <c r="K2296" s="17"/>
      <c r="L2296" s="17"/>
      <c r="M2296" s="17"/>
      <c r="N2296" s="17" t="s">
        <v>39463</v>
      </c>
      <c r="O2296" s="17"/>
      <c r="P2296" s="17" t="s">
        <v>39475</v>
      </c>
      <c r="Q2296" s="17"/>
      <c r="R2296" s="25" t="str">
        <f>HYPERLINK("https://ictv.global/taxonomy/taxondetails?taxnode_id=202319418","Namikivirus isobe")</f>
        <v>Namikivirus isobe</v>
      </c>
      <c r="S2296" s="18" t="s">
        <v>30</v>
      </c>
      <c r="T2296" s="18" t="s">
        <v>39485</v>
      </c>
      <c r="U2296" s="18"/>
      <c r="V2296" s="18"/>
      <c r="W2296" s="18" t="s">
        <v>48203</v>
      </c>
      <c r="X2296" s="18" t="s">
        <v>42</v>
      </c>
      <c r="Y2296" s="18" t="s">
        <v>36</v>
      </c>
      <c r="Z2296" s="18" t="s">
        <v>697</v>
      </c>
      <c r="AA2296" s="21" t="str">
        <f>HYPERLINK("https://www.ncbi.nlm.nih.gov/nuccore/OP072785","NCBI Nucleotide")</f>
        <v>NCBI Nucleotide</v>
      </c>
    </row>
    <row r="2297" spans="1:27" x14ac:dyDescent="0.35">
      <c r="A2297">
        <v>1025010</v>
      </c>
      <c r="B2297">
        <v>2273</v>
      </c>
      <c r="C2297">
        <v>1</v>
      </c>
      <c r="D2297" s="17" t="s">
        <v>155</v>
      </c>
      <c r="E2297" s="17"/>
      <c r="F2297" s="17" t="s">
        <v>156</v>
      </c>
      <c r="G2297" s="17"/>
      <c r="H2297" s="17" t="s">
        <v>692</v>
      </c>
      <c r="I2297" s="17"/>
      <c r="J2297" s="17" t="s">
        <v>693</v>
      </c>
      <c r="K2297" s="17"/>
      <c r="L2297" s="17"/>
      <c r="M2297" s="17"/>
      <c r="N2297" s="17" t="s">
        <v>39463</v>
      </c>
      <c r="O2297" s="17"/>
      <c r="P2297" s="17" t="s">
        <v>39475</v>
      </c>
      <c r="Q2297" s="17"/>
      <c r="R2297" s="25" t="str">
        <f>HYPERLINK("https://ictv.global/taxonomy/taxondetails?taxnode_id=202319419","Namikivirus izumi")</f>
        <v>Namikivirus izumi</v>
      </c>
      <c r="S2297" s="18" t="s">
        <v>30</v>
      </c>
      <c r="T2297" s="18" t="s">
        <v>39486</v>
      </c>
      <c r="U2297" s="18"/>
      <c r="V2297" s="18"/>
      <c r="W2297" s="18" t="s">
        <v>48204</v>
      </c>
      <c r="X2297" s="18" t="s">
        <v>42</v>
      </c>
      <c r="Y2297" s="18" t="s">
        <v>36</v>
      </c>
      <c r="Z2297" s="18" t="s">
        <v>697</v>
      </c>
      <c r="AA2297" s="21" t="str">
        <f>HYPERLINK("https://www.ncbi.nlm.nih.gov/nuccore/OP072662","NCBI Nucleotide")</f>
        <v>NCBI Nucleotide</v>
      </c>
    </row>
    <row r="2298" spans="1:27" x14ac:dyDescent="0.35">
      <c r="A2298">
        <v>1025011</v>
      </c>
      <c r="B2298">
        <v>2274</v>
      </c>
      <c r="C2298">
        <v>1</v>
      </c>
      <c r="D2298" s="17" t="s">
        <v>155</v>
      </c>
      <c r="E2298" s="17"/>
      <c r="F2298" s="17" t="s">
        <v>156</v>
      </c>
      <c r="G2298" s="17"/>
      <c r="H2298" s="17" t="s">
        <v>692</v>
      </c>
      <c r="I2298" s="17"/>
      <c r="J2298" s="17" t="s">
        <v>693</v>
      </c>
      <c r="K2298" s="17"/>
      <c r="L2298" s="17"/>
      <c r="M2298" s="17"/>
      <c r="N2298" s="17" t="s">
        <v>39463</v>
      </c>
      <c r="O2298" s="17"/>
      <c r="P2298" s="17" t="s">
        <v>39475</v>
      </c>
      <c r="Q2298" s="17"/>
      <c r="R2298" s="25" t="str">
        <f>HYPERLINK("https://ictv.global/taxonomy/taxondetails?taxnode_id=202319420","Namikivirus kaname")</f>
        <v>Namikivirus kaname</v>
      </c>
      <c r="S2298" s="18" t="s">
        <v>30</v>
      </c>
      <c r="T2298" s="18" t="s">
        <v>39487</v>
      </c>
      <c r="U2298" s="18"/>
      <c r="V2298" s="18"/>
      <c r="W2298" s="18" t="s">
        <v>48205</v>
      </c>
      <c r="X2298" s="18" t="s">
        <v>42</v>
      </c>
      <c r="Y2298" s="18" t="s">
        <v>36</v>
      </c>
      <c r="Z2298" s="18" t="s">
        <v>697</v>
      </c>
      <c r="AA2298" s="21" t="str">
        <f>HYPERLINK("https://www.ncbi.nlm.nih.gov/nuccore/OP031095","NCBI Nucleotide")</f>
        <v>NCBI Nucleotide</v>
      </c>
    </row>
    <row r="2299" spans="1:27" x14ac:dyDescent="0.35">
      <c r="A2299">
        <v>1025012</v>
      </c>
      <c r="B2299">
        <v>2275</v>
      </c>
      <c r="C2299">
        <v>1</v>
      </c>
      <c r="D2299" s="17" t="s">
        <v>155</v>
      </c>
      <c r="E2299" s="17"/>
      <c r="F2299" s="17" t="s">
        <v>156</v>
      </c>
      <c r="G2299" s="17"/>
      <c r="H2299" s="17" t="s">
        <v>692</v>
      </c>
      <c r="I2299" s="17"/>
      <c r="J2299" s="17" t="s">
        <v>693</v>
      </c>
      <c r="K2299" s="17"/>
      <c r="L2299" s="17"/>
      <c r="M2299" s="17"/>
      <c r="N2299" s="17" t="s">
        <v>39463</v>
      </c>
      <c r="O2299" s="17"/>
      <c r="P2299" s="17" t="s">
        <v>39475</v>
      </c>
      <c r="Q2299" s="17"/>
      <c r="R2299" s="25" t="str">
        <f>HYPERLINK("https://ictv.global/taxonomy/taxondetails?taxnode_id=202319421","Namikivirus konda")</f>
        <v>Namikivirus konda</v>
      </c>
      <c r="S2299" s="18" t="s">
        <v>30</v>
      </c>
      <c r="T2299" s="18" t="s">
        <v>39488</v>
      </c>
      <c r="U2299" s="18"/>
      <c r="V2299" s="18"/>
      <c r="W2299" s="18" t="s">
        <v>48206</v>
      </c>
      <c r="X2299" s="18" t="s">
        <v>42</v>
      </c>
      <c r="Y2299" s="18" t="s">
        <v>36</v>
      </c>
      <c r="Z2299" s="18" t="s">
        <v>697</v>
      </c>
      <c r="AA2299" s="21" t="str">
        <f>HYPERLINK("https://www.ncbi.nlm.nih.gov/nuccore/OP072884","NCBI Nucleotide")</f>
        <v>NCBI Nucleotide</v>
      </c>
    </row>
    <row r="2300" spans="1:27" x14ac:dyDescent="0.35">
      <c r="A2300">
        <v>1025013</v>
      </c>
      <c r="B2300">
        <v>2276</v>
      </c>
      <c r="C2300">
        <v>1</v>
      </c>
      <c r="D2300" s="17" t="s">
        <v>155</v>
      </c>
      <c r="E2300" s="17"/>
      <c r="F2300" s="17" t="s">
        <v>156</v>
      </c>
      <c r="G2300" s="17"/>
      <c r="H2300" s="17" t="s">
        <v>692</v>
      </c>
      <c r="I2300" s="17"/>
      <c r="J2300" s="17" t="s">
        <v>693</v>
      </c>
      <c r="K2300" s="17"/>
      <c r="L2300" s="17"/>
      <c r="M2300" s="17"/>
      <c r="N2300" s="17" t="s">
        <v>39463</v>
      </c>
      <c r="O2300" s="17"/>
      <c r="P2300" s="17" t="s">
        <v>39475</v>
      </c>
      <c r="Q2300" s="17"/>
      <c r="R2300" s="25" t="str">
        <f>HYPERLINK("https://ictv.global/taxonomy/taxondetails?taxnode_id=202319422","Namikivirus koya")</f>
        <v>Namikivirus koya</v>
      </c>
      <c r="S2300" s="18" t="s">
        <v>30</v>
      </c>
      <c r="T2300" s="18" t="s">
        <v>39489</v>
      </c>
      <c r="U2300" s="18"/>
      <c r="V2300" s="18"/>
      <c r="W2300" s="18" t="s">
        <v>48207</v>
      </c>
      <c r="X2300" s="18" t="s">
        <v>42</v>
      </c>
      <c r="Y2300" s="18" t="s">
        <v>36</v>
      </c>
      <c r="Z2300" s="18" t="s">
        <v>697</v>
      </c>
      <c r="AA2300" s="21" t="str">
        <f>HYPERLINK("https://www.ncbi.nlm.nih.gov/nuccore/OP072241","NCBI Nucleotide")</f>
        <v>NCBI Nucleotide</v>
      </c>
    </row>
    <row r="2301" spans="1:27" x14ac:dyDescent="0.35">
      <c r="A2301">
        <v>1025014</v>
      </c>
      <c r="B2301">
        <v>2277</v>
      </c>
      <c r="C2301">
        <v>1</v>
      </c>
      <c r="D2301" s="17" t="s">
        <v>155</v>
      </c>
      <c r="E2301" s="17"/>
      <c r="F2301" s="17" t="s">
        <v>156</v>
      </c>
      <c r="G2301" s="17"/>
      <c r="H2301" s="17" t="s">
        <v>692</v>
      </c>
      <c r="I2301" s="17"/>
      <c r="J2301" s="17" t="s">
        <v>693</v>
      </c>
      <c r="K2301" s="17"/>
      <c r="L2301" s="17"/>
      <c r="M2301" s="17"/>
      <c r="N2301" s="17" t="s">
        <v>39463</v>
      </c>
      <c r="O2301" s="17"/>
      <c r="P2301" s="17" t="s">
        <v>39475</v>
      </c>
      <c r="Q2301" s="17"/>
      <c r="R2301" s="25" t="str">
        <f>HYPERLINK("https://ictv.global/taxonomy/taxondetails?taxnode_id=202319423","Namikivirus koyama")</f>
        <v>Namikivirus koyama</v>
      </c>
      <c r="S2301" s="18" t="s">
        <v>30</v>
      </c>
      <c r="T2301" s="18" t="s">
        <v>39490</v>
      </c>
      <c r="U2301" s="18"/>
      <c r="V2301" s="18"/>
      <c r="W2301" s="18" t="s">
        <v>48208</v>
      </c>
      <c r="X2301" s="18" t="s">
        <v>42</v>
      </c>
      <c r="Y2301" s="18" t="s">
        <v>36</v>
      </c>
      <c r="Z2301" s="18" t="s">
        <v>697</v>
      </c>
      <c r="AA2301" s="21" t="str">
        <f>HYPERLINK("https://www.ncbi.nlm.nih.gov/nuccore/OP030980","NCBI Nucleotide")</f>
        <v>NCBI Nucleotide</v>
      </c>
    </row>
    <row r="2302" spans="1:27" x14ac:dyDescent="0.35">
      <c r="A2302">
        <v>1025015</v>
      </c>
      <c r="B2302">
        <v>2278</v>
      </c>
      <c r="C2302">
        <v>1</v>
      </c>
      <c r="D2302" s="17" t="s">
        <v>155</v>
      </c>
      <c r="E2302" s="17"/>
      <c r="F2302" s="17" t="s">
        <v>156</v>
      </c>
      <c r="G2302" s="17"/>
      <c r="H2302" s="17" t="s">
        <v>692</v>
      </c>
      <c r="I2302" s="17"/>
      <c r="J2302" s="17" t="s">
        <v>693</v>
      </c>
      <c r="K2302" s="17"/>
      <c r="L2302" s="17"/>
      <c r="M2302" s="17"/>
      <c r="N2302" s="17" t="s">
        <v>39463</v>
      </c>
      <c r="O2302" s="17"/>
      <c r="P2302" s="17" t="s">
        <v>39475</v>
      </c>
      <c r="Q2302" s="17"/>
      <c r="R2302" s="25" t="str">
        <f>HYPERLINK("https://ictv.global/taxonomy/taxondetails?taxnode_id=202319424","Namikivirus maeno")</f>
        <v>Namikivirus maeno</v>
      </c>
      <c r="S2302" s="18" t="s">
        <v>30</v>
      </c>
      <c r="T2302" s="18" t="s">
        <v>39491</v>
      </c>
      <c r="U2302" s="18"/>
      <c r="V2302" s="18"/>
      <c r="W2302" s="18" t="s">
        <v>48209</v>
      </c>
      <c r="X2302" s="18" t="s">
        <v>42</v>
      </c>
      <c r="Y2302" s="18" t="s">
        <v>36</v>
      </c>
      <c r="Z2302" s="18" t="s">
        <v>697</v>
      </c>
      <c r="AA2302" s="21" t="str">
        <f>HYPERLINK("https://www.ncbi.nlm.nih.gov/nuccore/OP072470","NCBI Nucleotide")</f>
        <v>NCBI Nucleotide</v>
      </c>
    </row>
    <row r="2303" spans="1:27" x14ac:dyDescent="0.35">
      <c r="A2303">
        <v>1025016</v>
      </c>
      <c r="B2303">
        <v>2279</v>
      </c>
      <c r="C2303">
        <v>1</v>
      </c>
      <c r="D2303" s="17" t="s">
        <v>155</v>
      </c>
      <c r="E2303" s="17"/>
      <c r="F2303" s="17" t="s">
        <v>156</v>
      </c>
      <c r="G2303" s="17"/>
      <c r="H2303" s="17" t="s">
        <v>692</v>
      </c>
      <c r="I2303" s="17"/>
      <c r="J2303" s="17" t="s">
        <v>693</v>
      </c>
      <c r="K2303" s="17"/>
      <c r="L2303" s="17"/>
      <c r="M2303" s="17"/>
      <c r="N2303" s="17" t="s">
        <v>39463</v>
      </c>
      <c r="O2303" s="17"/>
      <c r="P2303" s="17" t="s">
        <v>39475</v>
      </c>
      <c r="Q2303" s="17"/>
      <c r="R2303" s="25" t="str">
        <f>HYPERLINK("https://ictv.global/taxonomy/taxondetails?taxnode_id=202319425","Namikivirus mase")</f>
        <v>Namikivirus mase</v>
      </c>
      <c r="S2303" s="18" t="s">
        <v>30</v>
      </c>
      <c r="T2303" s="18" t="s">
        <v>39492</v>
      </c>
      <c r="U2303" s="18"/>
      <c r="V2303" s="18"/>
      <c r="W2303" s="18" t="s">
        <v>48210</v>
      </c>
      <c r="X2303" s="18" t="s">
        <v>42</v>
      </c>
      <c r="Y2303" s="18" t="s">
        <v>36</v>
      </c>
      <c r="Z2303" s="18" t="s">
        <v>697</v>
      </c>
      <c r="AA2303" s="21" t="str">
        <f>HYPERLINK("https://www.ncbi.nlm.nih.gov/nuccore/OP072369","NCBI Nucleotide")</f>
        <v>NCBI Nucleotide</v>
      </c>
    </row>
    <row r="2304" spans="1:27" x14ac:dyDescent="0.35">
      <c r="A2304">
        <v>1025017</v>
      </c>
      <c r="B2304">
        <v>2280</v>
      </c>
      <c r="C2304">
        <v>1</v>
      </c>
      <c r="D2304" s="17" t="s">
        <v>155</v>
      </c>
      <c r="E2304" s="17"/>
      <c r="F2304" s="17" t="s">
        <v>156</v>
      </c>
      <c r="G2304" s="17"/>
      <c r="H2304" s="17" t="s">
        <v>692</v>
      </c>
      <c r="I2304" s="17"/>
      <c r="J2304" s="17" t="s">
        <v>693</v>
      </c>
      <c r="K2304" s="17"/>
      <c r="L2304" s="17"/>
      <c r="M2304" s="17"/>
      <c r="N2304" s="17" t="s">
        <v>39463</v>
      </c>
      <c r="O2304" s="17"/>
      <c r="P2304" s="17" t="s">
        <v>39475</v>
      </c>
      <c r="Q2304" s="17"/>
      <c r="R2304" s="25" t="str">
        <f>HYPERLINK("https://ictv.global/taxonomy/taxondetails?taxnode_id=202319426","Namikivirus mimori")</f>
        <v>Namikivirus mimori</v>
      </c>
      <c r="S2304" s="18" t="s">
        <v>30</v>
      </c>
      <c r="T2304" s="18" t="s">
        <v>39493</v>
      </c>
      <c r="U2304" s="18"/>
      <c r="V2304" s="18"/>
      <c r="W2304" s="18" t="s">
        <v>48211</v>
      </c>
      <c r="X2304" s="18" t="s">
        <v>42</v>
      </c>
      <c r="Y2304" s="18" t="s">
        <v>36</v>
      </c>
      <c r="Z2304" s="18" t="s">
        <v>697</v>
      </c>
      <c r="AA2304" s="21" t="str">
        <f>HYPERLINK("https://www.ncbi.nlm.nih.gov/nuccore/OP072718","NCBI Nucleotide")</f>
        <v>NCBI Nucleotide</v>
      </c>
    </row>
    <row r="2305" spans="1:27" x14ac:dyDescent="0.35">
      <c r="A2305">
        <v>1025018</v>
      </c>
      <c r="B2305">
        <v>2281</v>
      </c>
      <c r="C2305">
        <v>1</v>
      </c>
      <c r="D2305" s="17" t="s">
        <v>155</v>
      </c>
      <c r="E2305" s="17"/>
      <c r="F2305" s="17" t="s">
        <v>156</v>
      </c>
      <c r="G2305" s="17"/>
      <c r="H2305" s="17" t="s">
        <v>692</v>
      </c>
      <c r="I2305" s="17"/>
      <c r="J2305" s="17" t="s">
        <v>693</v>
      </c>
      <c r="K2305" s="17"/>
      <c r="L2305" s="17"/>
      <c r="M2305" s="17"/>
      <c r="N2305" s="17" t="s">
        <v>39463</v>
      </c>
      <c r="O2305" s="17"/>
      <c r="P2305" s="17" t="s">
        <v>39475</v>
      </c>
      <c r="Q2305" s="17"/>
      <c r="R2305" s="25" t="str">
        <f>HYPERLINK("https://ictv.global/taxonomy/taxondetails?taxnode_id=202319427","Namikivirus myojin")</f>
        <v>Namikivirus myojin</v>
      </c>
      <c r="S2305" s="18" t="s">
        <v>30</v>
      </c>
      <c r="T2305" s="18" t="s">
        <v>39494</v>
      </c>
      <c r="U2305" s="18"/>
      <c r="V2305" s="18"/>
      <c r="W2305" s="18" t="s">
        <v>48212</v>
      </c>
      <c r="X2305" s="18" t="s">
        <v>42</v>
      </c>
      <c r="Y2305" s="18" t="s">
        <v>36</v>
      </c>
      <c r="Z2305" s="18" t="s">
        <v>697</v>
      </c>
      <c r="AA2305" s="21" t="str">
        <f>HYPERLINK("https://www.ncbi.nlm.nih.gov/nuccore/OP030808","NCBI Nucleotide")</f>
        <v>NCBI Nucleotide</v>
      </c>
    </row>
    <row r="2306" spans="1:27" x14ac:dyDescent="0.35">
      <c r="A2306">
        <v>1025019</v>
      </c>
      <c r="B2306">
        <v>2282</v>
      </c>
      <c r="C2306">
        <v>1</v>
      </c>
      <c r="D2306" s="17" t="s">
        <v>155</v>
      </c>
      <c r="E2306" s="17"/>
      <c r="F2306" s="17" t="s">
        <v>156</v>
      </c>
      <c r="G2306" s="17"/>
      <c r="H2306" s="17" t="s">
        <v>692</v>
      </c>
      <c r="I2306" s="17"/>
      <c r="J2306" s="17" t="s">
        <v>693</v>
      </c>
      <c r="K2306" s="17"/>
      <c r="L2306" s="17"/>
      <c r="M2306" s="17"/>
      <c r="N2306" s="17" t="s">
        <v>39463</v>
      </c>
      <c r="O2306" s="17"/>
      <c r="P2306" s="17" t="s">
        <v>39475</v>
      </c>
      <c r="Q2306" s="17"/>
      <c r="R2306" s="25" t="str">
        <f>HYPERLINK("https://ictv.global/taxonomy/taxondetails?taxnode_id=202319428","Namikivirus nakane")</f>
        <v>Namikivirus nakane</v>
      </c>
      <c r="S2306" s="18" t="s">
        <v>30</v>
      </c>
      <c r="T2306" s="18" t="s">
        <v>39495</v>
      </c>
      <c r="U2306" s="18"/>
      <c r="V2306" s="18"/>
      <c r="W2306" s="18" t="s">
        <v>48213</v>
      </c>
      <c r="X2306" s="18" t="s">
        <v>42</v>
      </c>
      <c r="Y2306" s="18" t="s">
        <v>36</v>
      </c>
      <c r="Z2306" s="18" t="s">
        <v>697</v>
      </c>
      <c r="AA2306" s="21" t="str">
        <f>HYPERLINK("https://www.ncbi.nlm.nih.gov/nuccore/OP072856","NCBI Nucleotide")</f>
        <v>NCBI Nucleotide</v>
      </c>
    </row>
    <row r="2307" spans="1:27" x14ac:dyDescent="0.35">
      <c r="A2307">
        <v>1025020</v>
      </c>
      <c r="B2307">
        <v>2283</v>
      </c>
      <c r="C2307">
        <v>1</v>
      </c>
      <c r="D2307" s="17" t="s">
        <v>155</v>
      </c>
      <c r="E2307" s="17"/>
      <c r="F2307" s="17" t="s">
        <v>156</v>
      </c>
      <c r="G2307" s="17"/>
      <c r="H2307" s="17" t="s">
        <v>692</v>
      </c>
      <c r="I2307" s="17"/>
      <c r="J2307" s="17" t="s">
        <v>693</v>
      </c>
      <c r="K2307" s="17"/>
      <c r="L2307" s="17"/>
      <c r="M2307" s="17"/>
      <c r="N2307" s="17" t="s">
        <v>39463</v>
      </c>
      <c r="O2307" s="17"/>
      <c r="P2307" s="17" t="s">
        <v>39475</v>
      </c>
      <c r="Q2307" s="17"/>
      <c r="R2307" s="25" t="str">
        <f>HYPERLINK("https://ictv.global/taxonomy/taxondetails?taxnode_id=202319429","Namikivirus nishioi")</f>
        <v>Namikivirus nishioi</v>
      </c>
      <c r="S2307" s="18" t="s">
        <v>30</v>
      </c>
      <c r="T2307" s="18" t="s">
        <v>39496</v>
      </c>
      <c r="U2307" s="18"/>
      <c r="V2307" s="18"/>
      <c r="W2307" s="18" t="s">
        <v>48214</v>
      </c>
      <c r="X2307" s="18" t="s">
        <v>42</v>
      </c>
      <c r="Y2307" s="18" t="s">
        <v>36</v>
      </c>
      <c r="Z2307" s="18" t="s">
        <v>697</v>
      </c>
      <c r="AA2307" s="21" t="str">
        <f>HYPERLINK("https://www.ncbi.nlm.nih.gov/nuccore/OP030874","NCBI Nucleotide")</f>
        <v>NCBI Nucleotide</v>
      </c>
    </row>
    <row r="2308" spans="1:27" x14ac:dyDescent="0.35">
      <c r="A2308">
        <v>1025021</v>
      </c>
      <c r="B2308">
        <v>2284</v>
      </c>
      <c r="C2308">
        <v>1</v>
      </c>
      <c r="D2308" s="17" t="s">
        <v>155</v>
      </c>
      <c r="E2308" s="17"/>
      <c r="F2308" s="17" t="s">
        <v>156</v>
      </c>
      <c r="G2308" s="17"/>
      <c r="H2308" s="17" t="s">
        <v>692</v>
      </c>
      <c r="I2308" s="17"/>
      <c r="J2308" s="17" t="s">
        <v>693</v>
      </c>
      <c r="K2308" s="17"/>
      <c r="L2308" s="17"/>
      <c r="M2308" s="17"/>
      <c r="N2308" s="17" t="s">
        <v>39463</v>
      </c>
      <c r="O2308" s="17"/>
      <c r="P2308" s="17" t="s">
        <v>39475</v>
      </c>
      <c r="Q2308" s="17"/>
      <c r="R2308" s="25" t="str">
        <f>HYPERLINK("https://ictv.global/taxonomy/taxondetails?taxnode_id=202319430","Namikivirus nobata")</f>
        <v>Namikivirus nobata</v>
      </c>
      <c r="S2308" s="18" t="s">
        <v>30</v>
      </c>
      <c r="T2308" s="18" t="s">
        <v>39497</v>
      </c>
      <c r="U2308" s="18"/>
      <c r="V2308" s="18"/>
      <c r="W2308" s="18" t="s">
        <v>48215</v>
      </c>
      <c r="X2308" s="18" t="s">
        <v>42</v>
      </c>
      <c r="Y2308" s="18" t="s">
        <v>36</v>
      </c>
      <c r="Z2308" s="18" t="s">
        <v>697</v>
      </c>
      <c r="AA2308" s="21" t="str">
        <f>HYPERLINK("https://www.ncbi.nlm.nih.gov/nuccore/OP072247","NCBI Nucleotide")</f>
        <v>NCBI Nucleotide</v>
      </c>
    </row>
    <row r="2309" spans="1:27" x14ac:dyDescent="0.35">
      <c r="A2309">
        <v>1025022</v>
      </c>
      <c r="B2309">
        <v>2285</v>
      </c>
      <c r="C2309">
        <v>1</v>
      </c>
      <c r="D2309" s="17" t="s">
        <v>155</v>
      </c>
      <c r="E2309" s="17"/>
      <c r="F2309" s="17" t="s">
        <v>156</v>
      </c>
      <c r="G2309" s="17"/>
      <c r="H2309" s="17" t="s">
        <v>692</v>
      </c>
      <c r="I2309" s="17"/>
      <c r="J2309" s="17" t="s">
        <v>693</v>
      </c>
      <c r="K2309" s="17"/>
      <c r="L2309" s="17"/>
      <c r="M2309" s="17"/>
      <c r="N2309" s="17" t="s">
        <v>39463</v>
      </c>
      <c r="O2309" s="17"/>
      <c r="P2309" s="17" t="s">
        <v>39475</v>
      </c>
      <c r="Q2309" s="17"/>
      <c r="R2309" s="25" t="str">
        <f>HYPERLINK("https://ictv.global/taxonomy/taxondetails?taxnode_id=202319431","Namikivirus numata")</f>
        <v>Namikivirus numata</v>
      </c>
      <c r="S2309" s="18" t="s">
        <v>30</v>
      </c>
      <c r="T2309" s="18" t="s">
        <v>39498</v>
      </c>
      <c r="U2309" s="18"/>
      <c r="V2309" s="18"/>
      <c r="W2309" s="18" t="s">
        <v>48216</v>
      </c>
      <c r="X2309" s="18" t="s">
        <v>42</v>
      </c>
      <c r="Y2309" s="18" t="s">
        <v>36</v>
      </c>
      <c r="Z2309" s="18" t="s">
        <v>697</v>
      </c>
      <c r="AA2309" s="21" t="str">
        <f>HYPERLINK("https://www.ncbi.nlm.nih.gov/nuccore/OP072826","NCBI Nucleotide")</f>
        <v>NCBI Nucleotide</v>
      </c>
    </row>
    <row r="2310" spans="1:27" x14ac:dyDescent="0.35">
      <c r="A2310">
        <v>1025023</v>
      </c>
      <c r="B2310">
        <v>2286</v>
      </c>
      <c r="C2310">
        <v>1</v>
      </c>
      <c r="D2310" s="17" t="s">
        <v>155</v>
      </c>
      <c r="E2310" s="17"/>
      <c r="F2310" s="17" t="s">
        <v>156</v>
      </c>
      <c r="G2310" s="17"/>
      <c r="H2310" s="17" t="s">
        <v>692</v>
      </c>
      <c r="I2310" s="17"/>
      <c r="J2310" s="17" t="s">
        <v>693</v>
      </c>
      <c r="K2310" s="17"/>
      <c r="L2310" s="17"/>
      <c r="M2310" s="17"/>
      <c r="N2310" s="17" t="s">
        <v>39463</v>
      </c>
      <c r="O2310" s="17"/>
      <c r="P2310" s="17" t="s">
        <v>39475</v>
      </c>
      <c r="Q2310" s="17"/>
      <c r="R2310" s="25" t="str">
        <f>HYPERLINK("https://ictv.global/taxonomy/taxondetails?taxnode_id=202319432","Namikivirus oda")</f>
        <v>Namikivirus oda</v>
      </c>
      <c r="S2310" s="18" t="s">
        <v>30</v>
      </c>
      <c r="T2310" s="18" t="s">
        <v>39499</v>
      </c>
      <c r="U2310" s="18"/>
      <c r="V2310" s="18"/>
      <c r="W2310" s="18" t="s">
        <v>48217</v>
      </c>
      <c r="X2310" s="18" t="s">
        <v>42</v>
      </c>
      <c r="Y2310" s="18" t="s">
        <v>36</v>
      </c>
      <c r="Z2310" s="18" t="s">
        <v>697</v>
      </c>
      <c r="AA2310" s="21" t="str">
        <f>HYPERLINK("https://www.ncbi.nlm.nih.gov/nuccore/OP072555","NCBI Nucleotide")</f>
        <v>NCBI Nucleotide</v>
      </c>
    </row>
    <row r="2311" spans="1:27" x14ac:dyDescent="0.35">
      <c r="A2311">
        <v>1025024</v>
      </c>
      <c r="B2311">
        <v>2287</v>
      </c>
      <c r="C2311">
        <v>1</v>
      </c>
      <c r="D2311" s="17" t="s">
        <v>155</v>
      </c>
      <c r="E2311" s="17"/>
      <c r="F2311" s="17" t="s">
        <v>156</v>
      </c>
      <c r="G2311" s="17"/>
      <c r="H2311" s="17" t="s">
        <v>692</v>
      </c>
      <c r="I2311" s="17"/>
      <c r="J2311" s="17" t="s">
        <v>693</v>
      </c>
      <c r="K2311" s="17"/>
      <c r="L2311" s="17"/>
      <c r="M2311" s="17"/>
      <c r="N2311" s="17" t="s">
        <v>39463</v>
      </c>
      <c r="O2311" s="17"/>
      <c r="P2311" s="17" t="s">
        <v>39475</v>
      </c>
      <c r="Q2311" s="17"/>
      <c r="R2311" s="25" t="str">
        <f>HYPERLINK("https://ictv.global/taxonomy/taxondetails?taxnode_id=202319433","Namikivirus oguki")</f>
        <v>Namikivirus oguki</v>
      </c>
      <c r="S2311" s="18" t="s">
        <v>30</v>
      </c>
      <c r="T2311" s="18" t="s">
        <v>39500</v>
      </c>
      <c r="U2311" s="18"/>
      <c r="V2311" s="18"/>
      <c r="W2311" s="18" t="s">
        <v>48218</v>
      </c>
      <c r="X2311" s="18" t="s">
        <v>42</v>
      </c>
      <c r="Y2311" s="18" t="s">
        <v>36</v>
      </c>
      <c r="Z2311" s="18" t="s">
        <v>697</v>
      </c>
      <c r="AA2311" s="21" t="str">
        <f>HYPERLINK("https://www.ncbi.nlm.nih.gov/nuccore/OP030794","NCBI Nucleotide")</f>
        <v>NCBI Nucleotide</v>
      </c>
    </row>
    <row r="2312" spans="1:27" x14ac:dyDescent="0.35">
      <c r="A2312">
        <v>1025025</v>
      </c>
      <c r="B2312">
        <v>2288</v>
      </c>
      <c r="C2312">
        <v>1</v>
      </c>
      <c r="D2312" s="17" t="s">
        <v>155</v>
      </c>
      <c r="E2312" s="17"/>
      <c r="F2312" s="17" t="s">
        <v>156</v>
      </c>
      <c r="G2312" s="17"/>
      <c r="H2312" s="17" t="s">
        <v>692</v>
      </c>
      <c r="I2312" s="17"/>
      <c r="J2312" s="17" t="s">
        <v>693</v>
      </c>
      <c r="K2312" s="17"/>
      <c r="L2312" s="17"/>
      <c r="M2312" s="17"/>
      <c r="N2312" s="17" t="s">
        <v>39463</v>
      </c>
      <c r="O2312" s="17"/>
      <c r="P2312" s="17" t="s">
        <v>39475</v>
      </c>
      <c r="Q2312" s="17"/>
      <c r="R2312" s="25" t="str">
        <f>HYPERLINK("https://ictv.global/taxonomy/taxondetails?taxnode_id=202319434","Namikivirus ohi")</f>
        <v>Namikivirus ohi</v>
      </c>
      <c r="S2312" s="18" t="s">
        <v>30</v>
      </c>
      <c r="T2312" s="18" t="s">
        <v>39501</v>
      </c>
      <c r="U2312" s="18"/>
      <c r="V2312" s="18"/>
      <c r="W2312" s="18" t="s">
        <v>48219</v>
      </c>
      <c r="X2312" s="18" t="s">
        <v>42</v>
      </c>
      <c r="Y2312" s="18" t="s">
        <v>36</v>
      </c>
      <c r="Z2312" s="18" t="s">
        <v>697</v>
      </c>
      <c r="AA2312" s="21" t="str">
        <f>HYPERLINK("https://www.ncbi.nlm.nih.gov/nuccore/OP030734","NCBI Nucleotide")</f>
        <v>NCBI Nucleotide</v>
      </c>
    </row>
    <row r="2313" spans="1:27" x14ac:dyDescent="0.35">
      <c r="A2313">
        <v>1025026</v>
      </c>
      <c r="B2313">
        <v>2289</v>
      </c>
      <c r="C2313">
        <v>1</v>
      </c>
      <c r="D2313" s="17" t="s">
        <v>155</v>
      </c>
      <c r="E2313" s="17"/>
      <c r="F2313" s="17" t="s">
        <v>156</v>
      </c>
      <c r="G2313" s="17"/>
      <c r="H2313" s="17" t="s">
        <v>692</v>
      </c>
      <c r="I2313" s="17"/>
      <c r="J2313" s="17" t="s">
        <v>693</v>
      </c>
      <c r="K2313" s="17"/>
      <c r="L2313" s="17"/>
      <c r="M2313" s="17"/>
      <c r="N2313" s="17" t="s">
        <v>39463</v>
      </c>
      <c r="O2313" s="17"/>
      <c r="P2313" s="17" t="s">
        <v>39475</v>
      </c>
      <c r="Q2313" s="17"/>
      <c r="R2313" s="25" t="str">
        <f>HYPERLINK("https://ictv.global/taxonomy/taxondetails?taxnode_id=202319435","Namikivirus osuna")</f>
        <v>Namikivirus osuna</v>
      </c>
      <c r="S2313" s="18" t="s">
        <v>30</v>
      </c>
      <c r="T2313" s="18" t="s">
        <v>39502</v>
      </c>
      <c r="U2313" s="18"/>
      <c r="V2313" s="18"/>
      <c r="W2313" s="18" t="s">
        <v>48220</v>
      </c>
      <c r="X2313" s="18" t="s">
        <v>42</v>
      </c>
      <c r="Y2313" s="18" t="s">
        <v>36</v>
      </c>
      <c r="Z2313" s="18" t="s">
        <v>697</v>
      </c>
      <c r="AA2313" s="21" t="str">
        <f>HYPERLINK("https://www.ncbi.nlm.nih.gov/nuccore/OP031003","NCBI Nucleotide")</f>
        <v>NCBI Nucleotide</v>
      </c>
    </row>
    <row r="2314" spans="1:27" x14ac:dyDescent="0.35">
      <c r="A2314">
        <v>1025027</v>
      </c>
      <c r="B2314">
        <v>2290</v>
      </c>
      <c r="C2314">
        <v>1</v>
      </c>
      <c r="D2314" s="17" t="s">
        <v>155</v>
      </c>
      <c r="E2314" s="17"/>
      <c r="F2314" s="17" t="s">
        <v>156</v>
      </c>
      <c r="G2314" s="17"/>
      <c r="H2314" s="17" t="s">
        <v>692</v>
      </c>
      <c r="I2314" s="17"/>
      <c r="J2314" s="17" t="s">
        <v>693</v>
      </c>
      <c r="K2314" s="17"/>
      <c r="L2314" s="17"/>
      <c r="M2314" s="17"/>
      <c r="N2314" s="17" t="s">
        <v>39463</v>
      </c>
      <c r="O2314" s="17"/>
      <c r="P2314" s="17" t="s">
        <v>39475</v>
      </c>
      <c r="Q2314" s="17"/>
      <c r="R2314" s="25" t="str">
        <f>HYPERLINK("https://ictv.global/taxonomy/taxondetails?taxnode_id=202319436","Namikivirus ozawa")</f>
        <v>Namikivirus ozawa</v>
      </c>
      <c r="S2314" s="18" t="s">
        <v>30</v>
      </c>
      <c r="T2314" s="18" t="s">
        <v>39503</v>
      </c>
      <c r="U2314" s="18"/>
      <c r="V2314" s="18"/>
      <c r="W2314" s="18" t="s">
        <v>48221</v>
      </c>
      <c r="X2314" s="18" t="s">
        <v>42</v>
      </c>
      <c r="Y2314" s="18" t="s">
        <v>36</v>
      </c>
      <c r="Z2314" s="18" t="s">
        <v>697</v>
      </c>
      <c r="AA2314" s="21" t="str">
        <f>HYPERLINK("https://www.ncbi.nlm.nih.gov/nuccore/OP072506","NCBI Nucleotide")</f>
        <v>NCBI Nucleotide</v>
      </c>
    </row>
    <row r="2315" spans="1:27" x14ac:dyDescent="0.35">
      <c r="A2315">
        <v>1025028</v>
      </c>
      <c r="B2315">
        <v>2291</v>
      </c>
      <c r="C2315">
        <v>1</v>
      </c>
      <c r="D2315" s="17" t="s">
        <v>155</v>
      </c>
      <c r="E2315" s="17"/>
      <c r="F2315" s="17" t="s">
        <v>156</v>
      </c>
      <c r="G2315" s="17"/>
      <c r="H2315" s="17" t="s">
        <v>692</v>
      </c>
      <c r="I2315" s="17"/>
      <c r="J2315" s="17" t="s">
        <v>693</v>
      </c>
      <c r="K2315" s="17"/>
      <c r="L2315" s="17"/>
      <c r="M2315" s="17"/>
      <c r="N2315" s="17" t="s">
        <v>39463</v>
      </c>
      <c r="O2315" s="17"/>
      <c r="P2315" s="17" t="s">
        <v>39475</v>
      </c>
      <c r="Q2315" s="17"/>
      <c r="R2315" s="25" t="str">
        <f>HYPERLINK("https://ictv.global/taxonomy/taxondetails?taxnode_id=202319437","Namikivirus rokuto")</f>
        <v>Namikivirus rokuto</v>
      </c>
      <c r="S2315" s="18" t="s">
        <v>30</v>
      </c>
      <c r="T2315" s="18" t="s">
        <v>39504</v>
      </c>
      <c r="U2315" s="18"/>
      <c r="V2315" s="18"/>
      <c r="W2315" s="18" t="s">
        <v>48222</v>
      </c>
      <c r="X2315" s="18" t="s">
        <v>42</v>
      </c>
      <c r="Y2315" s="18" t="s">
        <v>36</v>
      </c>
      <c r="Z2315" s="18" t="s">
        <v>697</v>
      </c>
      <c r="AA2315" s="21" t="str">
        <f>HYPERLINK("https://www.ncbi.nlm.nih.gov/nuccore/OP030816","NCBI Nucleotide")</f>
        <v>NCBI Nucleotide</v>
      </c>
    </row>
    <row r="2316" spans="1:27" x14ac:dyDescent="0.35">
      <c r="A2316">
        <v>1025029</v>
      </c>
      <c r="B2316">
        <v>2292</v>
      </c>
      <c r="C2316">
        <v>1</v>
      </c>
      <c r="D2316" s="17" t="s">
        <v>155</v>
      </c>
      <c r="E2316" s="17"/>
      <c r="F2316" s="17" t="s">
        <v>156</v>
      </c>
      <c r="G2316" s="17"/>
      <c r="H2316" s="17" t="s">
        <v>692</v>
      </c>
      <c r="I2316" s="17"/>
      <c r="J2316" s="17" t="s">
        <v>693</v>
      </c>
      <c r="K2316" s="17"/>
      <c r="L2316" s="17"/>
      <c r="M2316" s="17"/>
      <c r="N2316" s="17" t="s">
        <v>39463</v>
      </c>
      <c r="O2316" s="17"/>
      <c r="P2316" s="17" t="s">
        <v>39475</v>
      </c>
      <c r="Q2316" s="17"/>
      <c r="R2316" s="25" t="str">
        <f>HYPERLINK("https://ictv.global/taxonomy/taxondetails?taxnode_id=202319438","Namikivirus sakae")</f>
        <v>Namikivirus sakae</v>
      </c>
      <c r="S2316" s="18" t="s">
        <v>30</v>
      </c>
      <c r="T2316" s="18" t="s">
        <v>39505</v>
      </c>
      <c r="U2316" s="18"/>
      <c r="V2316" s="18"/>
      <c r="W2316" s="18" t="s">
        <v>48223</v>
      </c>
      <c r="X2316" s="18" t="s">
        <v>42</v>
      </c>
      <c r="Y2316" s="18" t="s">
        <v>36</v>
      </c>
      <c r="Z2316" s="18" t="s">
        <v>697</v>
      </c>
      <c r="AA2316" s="21" t="str">
        <f>HYPERLINK("https://www.ncbi.nlm.nih.gov/nuccore/OP072867","NCBI Nucleotide")</f>
        <v>NCBI Nucleotide</v>
      </c>
    </row>
    <row r="2317" spans="1:27" x14ac:dyDescent="0.35">
      <c r="A2317">
        <v>1025030</v>
      </c>
      <c r="B2317">
        <v>2293</v>
      </c>
      <c r="C2317">
        <v>1</v>
      </c>
      <c r="D2317" s="17" t="s">
        <v>155</v>
      </c>
      <c r="E2317" s="17"/>
      <c r="F2317" s="17" t="s">
        <v>156</v>
      </c>
      <c r="G2317" s="17"/>
      <c r="H2317" s="17" t="s">
        <v>692</v>
      </c>
      <c r="I2317" s="17"/>
      <c r="J2317" s="17" t="s">
        <v>693</v>
      </c>
      <c r="K2317" s="17"/>
      <c r="L2317" s="17"/>
      <c r="M2317" s="17"/>
      <c r="N2317" s="17" t="s">
        <v>39463</v>
      </c>
      <c r="O2317" s="17"/>
      <c r="P2317" s="17" t="s">
        <v>39475</v>
      </c>
      <c r="Q2317" s="17"/>
      <c r="R2317" s="25" t="str">
        <f>HYPERLINK("https://ictv.global/taxonomy/taxondetails?taxnode_id=202319439","Namikivirus sakura")</f>
        <v>Namikivirus sakura</v>
      </c>
      <c r="S2317" s="18" t="s">
        <v>30</v>
      </c>
      <c r="T2317" s="18" t="s">
        <v>39506</v>
      </c>
      <c r="U2317" s="18"/>
      <c r="V2317" s="18"/>
      <c r="W2317" s="18" t="s">
        <v>48224</v>
      </c>
      <c r="X2317" s="18" t="s">
        <v>42</v>
      </c>
      <c r="Y2317" s="18" t="s">
        <v>36</v>
      </c>
      <c r="Z2317" s="18" t="s">
        <v>697</v>
      </c>
      <c r="AA2317" s="21" t="str">
        <f>HYPERLINK("https://www.ncbi.nlm.nih.gov/nuccore/OP072845","NCBI Nucleotide")</f>
        <v>NCBI Nucleotide</v>
      </c>
    </row>
    <row r="2318" spans="1:27" x14ac:dyDescent="0.35">
      <c r="A2318">
        <v>1025031</v>
      </c>
      <c r="B2318">
        <v>2294</v>
      </c>
      <c r="C2318">
        <v>1</v>
      </c>
      <c r="D2318" s="17" t="s">
        <v>155</v>
      </c>
      <c r="E2318" s="17"/>
      <c r="F2318" s="17" t="s">
        <v>156</v>
      </c>
      <c r="G2318" s="17"/>
      <c r="H2318" s="17" t="s">
        <v>692</v>
      </c>
      <c r="I2318" s="17"/>
      <c r="J2318" s="17" t="s">
        <v>693</v>
      </c>
      <c r="K2318" s="17"/>
      <c r="L2318" s="17"/>
      <c r="M2318" s="17"/>
      <c r="N2318" s="17" t="s">
        <v>39463</v>
      </c>
      <c r="O2318" s="17"/>
      <c r="P2318" s="17" t="s">
        <v>39475</v>
      </c>
      <c r="Q2318" s="17"/>
      <c r="R2318" s="25" t="str">
        <f>HYPERLINK("https://ictv.global/taxonomy/taxondetails?taxnode_id=202319440","Namikivirus shimana")</f>
        <v>Namikivirus shimana</v>
      </c>
      <c r="S2318" s="18" t="s">
        <v>30</v>
      </c>
      <c r="T2318" s="18" t="s">
        <v>39507</v>
      </c>
      <c r="U2318" s="18"/>
      <c r="V2318" s="18"/>
      <c r="W2318" s="18" t="s">
        <v>48225</v>
      </c>
      <c r="X2318" s="18" t="s">
        <v>42</v>
      </c>
      <c r="Y2318" s="18" t="s">
        <v>36</v>
      </c>
      <c r="Z2318" s="18" t="s">
        <v>697</v>
      </c>
      <c r="AA2318" s="21" t="str">
        <f>HYPERLINK("https://www.ncbi.nlm.nih.gov/nuccore/OP072337","NCBI Nucleotide")</f>
        <v>NCBI Nucleotide</v>
      </c>
    </row>
    <row r="2319" spans="1:27" x14ac:dyDescent="0.35">
      <c r="A2319">
        <v>1025032</v>
      </c>
      <c r="B2319">
        <v>2295</v>
      </c>
      <c r="C2319">
        <v>1</v>
      </c>
      <c r="D2319" s="17" t="s">
        <v>155</v>
      </c>
      <c r="E2319" s="17"/>
      <c r="F2319" s="17" t="s">
        <v>156</v>
      </c>
      <c r="G2319" s="17"/>
      <c r="H2319" s="17" t="s">
        <v>692</v>
      </c>
      <c r="I2319" s="17"/>
      <c r="J2319" s="17" t="s">
        <v>693</v>
      </c>
      <c r="K2319" s="17"/>
      <c r="L2319" s="17"/>
      <c r="M2319" s="17"/>
      <c r="N2319" s="17" t="s">
        <v>39463</v>
      </c>
      <c r="O2319" s="17"/>
      <c r="P2319" s="17" t="s">
        <v>39475</v>
      </c>
      <c r="Q2319" s="17"/>
      <c r="R2319" s="25" t="str">
        <f>HYPERLINK("https://ictv.global/taxonomy/taxondetails?taxnode_id=202319441","Namikivirus sugama")</f>
        <v>Namikivirus sugama</v>
      </c>
      <c r="S2319" s="18" t="s">
        <v>30</v>
      </c>
      <c r="T2319" s="18" t="s">
        <v>39508</v>
      </c>
      <c r="U2319" s="18"/>
      <c r="V2319" s="18"/>
      <c r="W2319" s="18" t="s">
        <v>48226</v>
      </c>
      <c r="X2319" s="18" t="s">
        <v>42</v>
      </c>
      <c r="Y2319" s="18" t="s">
        <v>36</v>
      </c>
      <c r="Z2319" s="18" t="s">
        <v>697</v>
      </c>
      <c r="AA2319" s="21" t="str">
        <f>HYPERLINK("https://www.ncbi.nlm.nih.gov/nuccore/OP030742","NCBI Nucleotide")</f>
        <v>NCBI Nucleotide</v>
      </c>
    </row>
    <row r="2320" spans="1:27" x14ac:dyDescent="0.35">
      <c r="A2320">
        <v>1025033</v>
      </c>
      <c r="B2320">
        <v>2296</v>
      </c>
      <c r="C2320">
        <v>1</v>
      </c>
      <c r="D2320" s="17" t="s">
        <v>155</v>
      </c>
      <c r="E2320" s="17"/>
      <c r="F2320" s="17" t="s">
        <v>156</v>
      </c>
      <c r="G2320" s="17"/>
      <c r="H2320" s="17" t="s">
        <v>692</v>
      </c>
      <c r="I2320" s="17"/>
      <c r="J2320" s="17" t="s">
        <v>693</v>
      </c>
      <c r="K2320" s="17"/>
      <c r="L2320" s="17"/>
      <c r="M2320" s="17"/>
      <c r="N2320" s="17" t="s">
        <v>39463</v>
      </c>
      <c r="O2320" s="17"/>
      <c r="P2320" s="17" t="s">
        <v>39475</v>
      </c>
      <c r="Q2320" s="17"/>
      <c r="R2320" s="25" t="str">
        <f>HYPERLINK("https://ictv.global/taxonomy/taxondetails?taxnode_id=202319442","Namikivirus suwa")</f>
        <v>Namikivirus suwa</v>
      </c>
      <c r="S2320" s="18" t="s">
        <v>30</v>
      </c>
      <c r="T2320" s="18" t="s">
        <v>39509</v>
      </c>
      <c r="U2320" s="18"/>
      <c r="V2320" s="18"/>
      <c r="W2320" s="18" t="s">
        <v>48227</v>
      </c>
      <c r="X2320" s="18" t="s">
        <v>42</v>
      </c>
      <c r="Y2320" s="18" t="s">
        <v>36</v>
      </c>
      <c r="Z2320" s="18" t="s">
        <v>697</v>
      </c>
      <c r="AA2320" s="21" t="str">
        <f>HYPERLINK("https://www.ncbi.nlm.nih.gov/nuccore/OP072391","NCBI Nucleotide")</f>
        <v>NCBI Nucleotide</v>
      </c>
    </row>
    <row r="2321" spans="1:27" x14ac:dyDescent="0.35">
      <c r="A2321">
        <v>1025034</v>
      </c>
      <c r="B2321">
        <v>2297</v>
      </c>
      <c r="C2321">
        <v>1</v>
      </c>
      <c r="D2321" s="17" t="s">
        <v>155</v>
      </c>
      <c r="E2321" s="17"/>
      <c r="F2321" s="17" t="s">
        <v>156</v>
      </c>
      <c r="G2321" s="17"/>
      <c r="H2321" s="17" t="s">
        <v>692</v>
      </c>
      <c r="I2321" s="17"/>
      <c r="J2321" s="17" t="s">
        <v>693</v>
      </c>
      <c r="K2321" s="17"/>
      <c r="L2321" s="17"/>
      <c r="M2321" s="17"/>
      <c r="N2321" s="17" t="s">
        <v>39463</v>
      </c>
      <c r="O2321" s="17"/>
      <c r="P2321" s="17" t="s">
        <v>39475</v>
      </c>
      <c r="Q2321" s="17"/>
      <c r="R2321" s="25" t="str">
        <f>HYPERLINK("https://ictv.global/taxonomy/taxondetails?taxnode_id=202319443","Namikivirus takata")</f>
        <v>Namikivirus takata</v>
      </c>
      <c r="S2321" s="18" t="s">
        <v>30</v>
      </c>
      <c r="T2321" s="18" t="s">
        <v>39510</v>
      </c>
      <c r="U2321" s="18"/>
      <c r="V2321" s="18"/>
      <c r="W2321" s="18" t="s">
        <v>48228</v>
      </c>
      <c r="X2321" s="18" t="s">
        <v>42</v>
      </c>
      <c r="Y2321" s="18" t="s">
        <v>36</v>
      </c>
      <c r="Z2321" s="18" t="s">
        <v>697</v>
      </c>
      <c r="AA2321" s="21" t="str">
        <f>HYPERLINK("https://www.ncbi.nlm.nih.gov/nuccore/OP072326","NCBI Nucleotide")</f>
        <v>NCBI Nucleotide</v>
      </c>
    </row>
    <row r="2322" spans="1:27" x14ac:dyDescent="0.35">
      <c r="A2322">
        <v>1025035</v>
      </c>
      <c r="B2322">
        <v>2298</v>
      </c>
      <c r="C2322">
        <v>1</v>
      </c>
      <c r="D2322" s="17" t="s">
        <v>155</v>
      </c>
      <c r="E2322" s="17"/>
      <c r="F2322" s="17" t="s">
        <v>156</v>
      </c>
      <c r="G2322" s="17"/>
      <c r="H2322" s="17" t="s">
        <v>692</v>
      </c>
      <c r="I2322" s="17"/>
      <c r="J2322" s="17" t="s">
        <v>693</v>
      </c>
      <c r="K2322" s="17"/>
      <c r="L2322" s="17"/>
      <c r="M2322" s="17"/>
      <c r="N2322" s="17" t="s">
        <v>39463</v>
      </c>
      <c r="O2322" s="17"/>
      <c r="P2322" s="17" t="s">
        <v>39475</v>
      </c>
      <c r="Q2322" s="17"/>
      <c r="R2322" s="25" t="str">
        <f>HYPERLINK("https://ictv.global/taxonomy/taxondetails?taxnode_id=202319444","Namikivirus takura")</f>
        <v>Namikivirus takura</v>
      </c>
      <c r="S2322" s="18" t="s">
        <v>30</v>
      </c>
      <c r="T2322" s="18" t="s">
        <v>39511</v>
      </c>
      <c r="U2322" s="18"/>
      <c r="V2322" s="18"/>
      <c r="W2322" s="18" t="s">
        <v>48229</v>
      </c>
      <c r="X2322" s="18" t="s">
        <v>42</v>
      </c>
      <c r="Y2322" s="18" t="s">
        <v>36</v>
      </c>
      <c r="Z2322" s="18" t="s">
        <v>697</v>
      </c>
      <c r="AA2322" s="21" t="str">
        <f>HYPERLINK("https://www.ncbi.nlm.nih.gov/nuccore/OP031048","NCBI Nucleotide")</f>
        <v>NCBI Nucleotide</v>
      </c>
    </row>
    <row r="2323" spans="1:27" x14ac:dyDescent="0.35">
      <c r="A2323">
        <v>1025036</v>
      </c>
      <c r="B2323">
        <v>2299</v>
      </c>
      <c r="C2323">
        <v>1</v>
      </c>
      <c r="D2323" s="17" t="s">
        <v>155</v>
      </c>
      <c r="E2323" s="17"/>
      <c r="F2323" s="17" t="s">
        <v>156</v>
      </c>
      <c r="G2323" s="17"/>
      <c r="H2323" s="17" t="s">
        <v>692</v>
      </c>
      <c r="I2323" s="17"/>
      <c r="J2323" s="17" t="s">
        <v>693</v>
      </c>
      <c r="K2323" s="17"/>
      <c r="L2323" s="17"/>
      <c r="M2323" s="17"/>
      <c r="N2323" s="17" t="s">
        <v>39463</v>
      </c>
      <c r="O2323" s="17"/>
      <c r="P2323" s="17" t="s">
        <v>39475</v>
      </c>
      <c r="Q2323" s="17"/>
      <c r="R2323" s="25" t="str">
        <f>HYPERLINK("https://ictv.global/taxonomy/taxondetails?taxnode_id=202319445","Namikivirus tanaka")</f>
        <v>Namikivirus tanaka</v>
      </c>
      <c r="S2323" s="18" t="s">
        <v>30</v>
      </c>
      <c r="T2323" s="18" t="s">
        <v>39512</v>
      </c>
      <c r="U2323" s="18"/>
      <c r="V2323" s="18"/>
      <c r="W2323" s="18" t="s">
        <v>48230</v>
      </c>
      <c r="X2323" s="18" t="s">
        <v>42</v>
      </c>
      <c r="Y2323" s="18" t="s">
        <v>36</v>
      </c>
      <c r="Z2323" s="18" t="s">
        <v>697</v>
      </c>
      <c r="AA2323" s="21" t="str">
        <f>HYPERLINK("https://www.ncbi.nlm.nih.gov/nuccore/OP072697","NCBI Nucleotide")</f>
        <v>NCBI Nucleotide</v>
      </c>
    </row>
    <row r="2324" spans="1:27" x14ac:dyDescent="0.35">
      <c r="A2324">
        <v>1025037</v>
      </c>
      <c r="B2324">
        <v>2300</v>
      </c>
      <c r="C2324">
        <v>1</v>
      </c>
      <c r="D2324" s="17" t="s">
        <v>155</v>
      </c>
      <c r="E2324" s="17"/>
      <c r="F2324" s="17" t="s">
        <v>156</v>
      </c>
      <c r="G2324" s="17"/>
      <c r="H2324" s="17" t="s">
        <v>692</v>
      </c>
      <c r="I2324" s="17"/>
      <c r="J2324" s="17" t="s">
        <v>693</v>
      </c>
      <c r="K2324" s="17"/>
      <c r="L2324" s="17"/>
      <c r="M2324" s="17"/>
      <c r="N2324" s="17" t="s">
        <v>39463</v>
      </c>
      <c r="O2324" s="17"/>
      <c r="P2324" s="17" t="s">
        <v>39475</v>
      </c>
      <c r="Q2324" s="17"/>
      <c r="R2324" s="25" t="str">
        <f>HYPERLINK("https://ictv.global/taxonomy/taxondetails?taxnode_id=202319446","Namikivirus teragu")</f>
        <v>Namikivirus teragu</v>
      </c>
      <c r="S2324" s="18" t="s">
        <v>30</v>
      </c>
      <c r="T2324" s="18" t="s">
        <v>39513</v>
      </c>
      <c r="U2324" s="18"/>
      <c r="V2324" s="18"/>
      <c r="W2324" s="18" t="s">
        <v>48231</v>
      </c>
      <c r="X2324" s="18" t="s">
        <v>42</v>
      </c>
      <c r="Y2324" s="18" t="s">
        <v>36</v>
      </c>
      <c r="Z2324" s="18" t="s">
        <v>697</v>
      </c>
      <c r="AA2324" s="21" t="str">
        <f>HYPERLINK("https://www.ncbi.nlm.nih.gov/nuccore/OP072480","NCBI Nucleotide")</f>
        <v>NCBI Nucleotide</v>
      </c>
    </row>
    <row r="2325" spans="1:27" x14ac:dyDescent="0.35">
      <c r="A2325">
        <v>1025038</v>
      </c>
      <c r="B2325">
        <v>2301</v>
      </c>
      <c r="C2325">
        <v>1</v>
      </c>
      <c r="D2325" s="17" t="s">
        <v>155</v>
      </c>
      <c r="E2325" s="17"/>
      <c r="F2325" s="17" t="s">
        <v>156</v>
      </c>
      <c r="G2325" s="17"/>
      <c r="H2325" s="17" t="s">
        <v>692</v>
      </c>
      <c r="I2325" s="17"/>
      <c r="J2325" s="17" t="s">
        <v>693</v>
      </c>
      <c r="K2325" s="17"/>
      <c r="L2325" s="17"/>
      <c r="M2325" s="17"/>
      <c r="N2325" s="17" t="s">
        <v>39463</v>
      </c>
      <c r="O2325" s="17"/>
      <c r="P2325" s="17" t="s">
        <v>39475</v>
      </c>
      <c r="Q2325" s="17"/>
      <c r="R2325" s="25" t="str">
        <f>HYPERLINK("https://ictv.global/taxonomy/taxondetails?taxnode_id=202319447","Namikivirus tsukuho")</f>
        <v>Namikivirus tsukuho</v>
      </c>
      <c r="S2325" s="18" t="s">
        <v>30</v>
      </c>
      <c r="T2325" s="18" t="s">
        <v>39514</v>
      </c>
      <c r="U2325" s="18"/>
      <c r="V2325" s="18"/>
      <c r="W2325" s="18" t="s">
        <v>48232</v>
      </c>
      <c r="X2325" s="18" t="s">
        <v>42</v>
      </c>
      <c r="Y2325" s="18" t="s">
        <v>36</v>
      </c>
      <c r="Z2325" s="18" t="s">
        <v>697</v>
      </c>
      <c r="AA2325" s="21" t="str">
        <f>HYPERLINK("https://www.ncbi.nlm.nih.gov/nuccore/OP072408","NCBI Nucleotide")</f>
        <v>NCBI Nucleotide</v>
      </c>
    </row>
    <row r="2326" spans="1:27" x14ac:dyDescent="0.35">
      <c r="A2326">
        <v>1024768</v>
      </c>
      <c r="B2326">
        <v>2302</v>
      </c>
      <c r="C2326">
        <v>1</v>
      </c>
      <c r="D2326" s="17" t="s">
        <v>155</v>
      </c>
      <c r="E2326" s="17"/>
      <c r="F2326" s="17" t="s">
        <v>156</v>
      </c>
      <c r="G2326" s="17"/>
      <c r="H2326" s="17" t="s">
        <v>692</v>
      </c>
      <c r="I2326" s="17"/>
      <c r="J2326" s="17" t="s">
        <v>693</v>
      </c>
      <c r="K2326" s="17"/>
      <c r="L2326" s="17"/>
      <c r="M2326" s="17"/>
      <c r="N2326" s="17" t="s">
        <v>39463</v>
      </c>
      <c r="O2326" s="17"/>
      <c r="P2326" s="17" t="s">
        <v>39475</v>
      </c>
      <c r="Q2326" s="17"/>
      <c r="R2326" s="25" t="str">
        <f>HYPERLINK("https://ictv.global/taxonomy/taxondetails?taxnode_id=202319448","Namikivirus tushida")</f>
        <v>Namikivirus tushida</v>
      </c>
      <c r="S2326" s="18" t="s">
        <v>30</v>
      </c>
      <c r="T2326" s="18" t="s">
        <v>39515</v>
      </c>
      <c r="U2326" s="18"/>
      <c r="V2326" s="18"/>
      <c r="W2326" s="18" t="s">
        <v>48233</v>
      </c>
      <c r="X2326" s="18" t="s">
        <v>42</v>
      </c>
      <c r="Y2326" s="18" t="s">
        <v>36</v>
      </c>
      <c r="Z2326" s="18" t="s">
        <v>697</v>
      </c>
      <c r="AA2326" s="21" t="str">
        <f>HYPERLINK("https://www.ncbi.nlm.nih.gov/nuccore/OP031115","NCBI Nucleotide")</f>
        <v>NCBI Nucleotide</v>
      </c>
    </row>
    <row r="2327" spans="1:27" x14ac:dyDescent="0.35">
      <c r="A2327">
        <v>1024769</v>
      </c>
      <c r="B2327">
        <v>2303</v>
      </c>
      <c r="C2327">
        <v>1</v>
      </c>
      <c r="D2327" s="17" t="s">
        <v>155</v>
      </c>
      <c r="E2327" s="17"/>
      <c r="F2327" s="17" t="s">
        <v>156</v>
      </c>
      <c r="G2327" s="17"/>
      <c r="H2327" s="17" t="s">
        <v>692</v>
      </c>
      <c r="I2327" s="17"/>
      <c r="J2327" s="17" t="s">
        <v>693</v>
      </c>
      <c r="K2327" s="17"/>
      <c r="L2327" s="17"/>
      <c r="M2327" s="17"/>
      <c r="N2327" s="17" t="s">
        <v>39463</v>
      </c>
      <c r="O2327" s="17"/>
      <c r="P2327" s="17" t="s">
        <v>39475</v>
      </c>
      <c r="Q2327" s="17"/>
      <c r="R2327" s="25" t="str">
        <f>HYPERLINK("https://ictv.global/taxonomy/taxondetails?taxnode_id=202319449","Namikivirus ueno")</f>
        <v>Namikivirus ueno</v>
      </c>
      <c r="S2327" s="18" t="s">
        <v>30</v>
      </c>
      <c r="T2327" s="18" t="s">
        <v>39516</v>
      </c>
      <c r="U2327" s="18"/>
      <c r="V2327" s="18"/>
      <c r="W2327" s="18" t="s">
        <v>48234</v>
      </c>
      <c r="X2327" s="18" t="s">
        <v>42</v>
      </c>
      <c r="Y2327" s="18" t="s">
        <v>36</v>
      </c>
      <c r="Z2327" s="18" t="s">
        <v>697</v>
      </c>
      <c r="AA2327" s="21" t="str">
        <f>HYPERLINK("https://www.ncbi.nlm.nih.gov/nuccore/OP072827","NCBI Nucleotide")</f>
        <v>NCBI Nucleotide</v>
      </c>
    </row>
    <row r="2328" spans="1:27" x14ac:dyDescent="0.35">
      <c r="A2328">
        <v>1024770</v>
      </c>
      <c r="B2328">
        <v>2304</v>
      </c>
      <c r="C2328">
        <v>1</v>
      </c>
      <c r="D2328" s="17" t="s">
        <v>155</v>
      </c>
      <c r="E2328" s="17"/>
      <c r="F2328" s="17" t="s">
        <v>156</v>
      </c>
      <c r="G2328" s="17"/>
      <c r="H2328" s="17" t="s">
        <v>692</v>
      </c>
      <c r="I2328" s="17"/>
      <c r="J2328" s="17" t="s">
        <v>693</v>
      </c>
      <c r="K2328" s="17"/>
      <c r="L2328" s="17"/>
      <c r="M2328" s="17"/>
      <c r="N2328" s="17" t="s">
        <v>39463</v>
      </c>
      <c r="O2328" s="17"/>
      <c r="P2328" s="17" t="s">
        <v>39475</v>
      </c>
      <c r="Q2328" s="17"/>
      <c r="R2328" s="25" t="str">
        <f>HYPERLINK("https://ictv.global/taxonomy/taxondetails?taxnode_id=202319450","Namikivirus usui")</f>
        <v>Namikivirus usui</v>
      </c>
      <c r="S2328" s="18" t="s">
        <v>30</v>
      </c>
      <c r="T2328" s="18" t="s">
        <v>39517</v>
      </c>
      <c r="U2328" s="18"/>
      <c r="V2328" s="18"/>
      <c r="W2328" s="18" t="s">
        <v>48235</v>
      </c>
      <c r="X2328" s="18" t="s">
        <v>42</v>
      </c>
      <c r="Y2328" s="18" t="s">
        <v>36</v>
      </c>
      <c r="Z2328" s="18" t="s">
        <v>697</v>
      </c>
      <c r="AA2328" s="21" t="str">
        <f>HYPERLINK("https://www.ncbi.nlm.nih.gov/nuccore/OP072491","NCBI Nucleotide")</f>
        <v>NCBI Nucleotide</v>
      </c>
    </row>
    <row r="2329" spans="1:27" x14ac:dyDescent="0.35">
      <c r="A2329">
        <v>1024771</v>
      </c>
      <c r="B2329">
        <v>2305</v>
      </c>
      <c r="C2329">
        <v>1</v>
      </c>
      <c r="D2329" s="17" t="s">
        <v>155</v>
      </c>
      <c r="E2329" s="17"/>
      <c r="F2329" s="17" t="s">
        <v>156</v>
      </c>
      <c r="G2329" s="17"/>
      <c r="H2329" s="17" t="s">
        <v>692</v>
      </c>
      <c r="I2329" s="17"/>
      <c r="J2329" s="17" t="s">
        <v>693</v>
      </c>
      <c r="K2329" s="17"/>
      <c r="L2329" s="17"/>
      <c r="M2329" s="17"/>
      <c r="N2329" s="17" t="s">
        <v>39463</v>
      </c>
      <c r="O2329" s="17"/>
      <c r="P2329" s="17" t="s">
        <v>39475</v>
      </c>
      <c r="Q2329" s="17"/>
      <c r="R2329" s="25" t="str">
        <f>HYPERLINK("https://ictv.global/taxonomy/taxondetails?taxnode_id=202319451","Namikivirus wadai")</f>
        <v>Namikivirus wadai</v>
      </c>
      <c r="S2329" s="18" t="s">
        <v>30</v>
      </c>
      <c r="T2329" s="18" t="s">
        <v>39518</v>
      </c>
      <c r="U2329" s="18"/>
      <c r="V2329" s="18"/>
      <c r="W2329" s="18" t="s">
        <v>48236</v>
      </c>
      <c r="X2329" s="18" t="s">
        <v>42</v>
      </c>
      <c r="Y2329" s="18" t="s">
        <v>36</v>
      </c>
      <c r="Z2329" s="18" t="s">
        <v>697</v>
      </c>
      <c r="AA2329" s="21" t="str">
        <f>HYPERLINK("https://www.ncbi.nlm.nih.gov/nuccore/OP072766","NCBI Nucleotide")</f>
        <v>NCBI Nucleotide</v>
      </c>
    </row>
    <row r="2330" spans="1:27" x14ac:dyDescent="0.35">
      <c r="A2330">
        <v>1024772</v>
      </c>
      <c r="B2330">
        <v>2306</v>
      </c>
      <c r="C2330">
        <v>1</v>
      </c>
      <c r="D2330" s="17" t="s">
        <v>155</v>
      </c>
      <c r="E2330" s="17"/>
      <c r="F2330" s="17" t="s">
        <v>156</v>
      </c>
      <c r="G2330" s="17"/>
      <c r="H2330" s="17" t="s">
        <v>692</v>
      </c>
      <c r="I2330" s="17"/>
      <c r="J2330" s="17" t="s">
        <v>693</v>
      </c>
      <c r="K2330" s="17"/>
      <c r="L2330" s="17"/>
      <c r="M2330" s="17"/>
      <c r="N2330" s="17" t="s">
        <v>39463</v>
      </c>
      <c r="O2330" s="17"/>
      <c r="P2330" s="17" t="s">
        <v>39475</v>
      </c>
      <c r="Q2330" s="17"/>
      <c r="R2330" s="25" t="str">
        <f>HYPERLINK("https://ictv.global/taxonomy/taxondetails?taxnode_id=202319452","Namikivirus wakaba")</f>
        <v>Namikivirus wakaba</v>
      </c>
      <c r="S2330" s="18" t="s">
        <v>30</v>
      </c>
      <c r="T2330" s="18" t="s">
        <v>39519</v>
      </c>
      <c r="U2330" s="18"/>
      <c r="V2330" s="18"/>
      <c r="W2330" s="18" t="s">
        <v>48237</v>
      </c>
      <c r="X2330" s="18" t="s">
        <v>42</v>
      </c>
      <c r="Y2330" s="18" t="s">
        <v>36</v>
      </c>
      <c r="Z2330" s="18" t="s">
        <v>697</v>
      </c>
      <c r="AA2330" s="21" t="str">
        <f>HYPERLINK("https://www.ncbi.nlm.nih.gov/nuccore/OP030766","NCBI Nucleotide")</f>
        <v>NCBI Nucleotide</v>
      </c>
    </row>
    <row r="2331" spans="1:27" x14ac:dyDescent="0.35">
      <c r="A2331">
        <v>1024773</v>
      </c>
      <c r="B2331">
        <v>2307</v>
      </c>
      <c r="C2331">
        <v>1</v>
      </c>
      <c r="D2331" s="17" t="s">
        <v>155</v>
      </c>
      <c r="E2331" s="17"/>
      <c r="F2331" s="17" t="s">
        <v>156</v>
      </c>
      <c r="G2331" s="17"/>
      <c r="H2331" s="17" t="s">
        <v>692</v>
      </c>
      <c r="I2331" s="17"/>
      <c r="J2331" s="17" t="s">
        <v>693</v>
      </c>
      <c r="K2331" s="17"/>
      <c r="L2331" s="17"/>
      <c r="M2331" s="17"/>
      <c r="N2331" s="17" t="s">
        <v>39463</v>
      </c>
      <c r="O2331" s="17"/>
      <c r="P2331" s="17" t="s">
        <v>39475</v>
      </c>
      <c r="Q2331" s="17"/>
      <c r="R2331" s="25" t="str">
        <f>HYPERLINK("https://ictv.global/taxonomy/taxondetails?taxnode_id=202319453","Namikivirus yamaki")</f>
        <v>Namikivirus yamaki</v>
      </c>
      <c r="S2331" s="18" t="s">
        <v>30</v>
      </c>
      <c r="T2331" s="18" t="s">
        <v>39520</v>
      </c>
      <c r="U2331" s="18"/>
      <c r="V2331" s="18"/>
      <c r="W2331" s="18" t="s">
        <v>48238</v>
      </c>
      <c r="X2331" s="18" t="s">
        <v>42</v>
      </c>
      <c r="Y2331" s="18" t="s">
        <v>36</v>
      </c>
      <c r="Z2331" s="18" t="s">
        <v>697</v>
      </c>
      <c r="AA2331" s="21" t="str">
        <f>HYPERLINK("https://www.ncbi.nlm.nih.gov/nuccore/OP072603","NCBI Nucleotide")</f>
        <v>NCBI Nucleotide</v>
      </c>
    </row>
    <row r="2332" spans="1:27" x14ac:dyDescent="0.35">
      <c r="A2332">
        <v>1003090</v>
      </c>
      <c r="B2332">
        <v>2308</v>
      </c>
      <c r="C2332">
        <v>1</v>
      </c>
      <c r="D2332" s="17" t="s">
        <v>155</v>
      </c>
      <c r="E2332" s="17"/>
      <c r="F2332" s="17" t="s">
        <v>156</v>
      </c>
      <c r="G2332" s="17"/>
      <c r="H2332" s="17" t="s">
        <v>692</v>
      </c>
      <c r="I2332" s="17"/>
      <c r="J2332" s="17" t="s">
        <v>693</v>
      </c>
      <c r="K2332" s="17"/>
      <c r="L2332" s="17"/>
      <c r="M2332" s="17"/>
      <c r="N2332" s="17" t="s">
        <v>9970</v>
      </c>
      <c r="O2332" s="17"/>
      <c r="P2332" s="17" t="s">
        <v>9971</v>
      </c>
      <c r="Q2332" s="17"/>
      <c r="R2332" s="25" t="str">
        <f>HYPERLINK("https://ictv.global/taxonomy/taxondetails?taxnode_id=202314309","Dolusvirus pacificense")</f>
        <v>Dolusvirus pacificense</v>
      </c>
      <c r="S2332" s="18" t="s">
        <v>30</v>
      </c>
      <c r="T2332" s="18" t="s">
        <v>9972</v>
      </c>
      <c r="U2332" s="18" t="s">
        <v>9973</v>
      </c>
      <c r="V2332" s="18"/>
      <c r="W2332" s="18" t="s">
        <v>9974</v>
      </c>
      <c r="X2332" s="18" t="s">
        <v>42</v>
      </c>
      <c r="Y2332" s="18" t="s">
        <v>36</v>
      </c>
      <c r="Z2332" s="18" t="s">
        <v>37</v>
      </c>
      <c r="AA2332" s="21" t="str">
        <f>HYPERLINK("https://www.ncbi.nlm.nih.gov/nuccore/LC711080","NCBI Nucleotide")</f>
        <v>NCBI Nucleotide</v>
      </c>
    </row>
    <row r="2333" spans="1:27" x14ac:dyDescent="0.35">
      <c r="A2333">
        <v>1003091</v>
      </c>
      <c r="B2333">
        <v>2309</v>
      </c>
      <c r="C2333">
        <v>1</v>
      </c>
      <c r="D2333" s="17" t="s">
        <v>155</v>
      </c>
      <c r="E2333" s="17"/>
      <c r="F2333" s="17" t="s">
        <v>156</v>
      </c>
      <c r="G2333" s="17"/>
      <c r="H2333" s="17" t="s">
        <v>692</v>
      </c>
      <c r="I2333" s="17"/>
      <c r="J2333" s="17" t="s">
        <v>693</v>
      </c>
      <c r="K2333" s="17"/>
      <c r="L2333" s="17"/>
      <c r="M2333" s="17"/>
      <c r="N2333" s="17" t="s">
        <v>9970</v>
      </c>
      <c r="O2333" s="17"/>
      <c r="P2333" s="17" t="s">
        <v>9971</v>
      </c>
      <c r="Q2333" s="17"/>
      <c r="R2333" s="25" t="str">
        <f>HYPERLINK("https://ictv.global/taxonomy/taxondetails?taxnode_id=202314308","Dolusvirus shimokitaense")</f>
        <v>Dolusvirus shimokitaense</v>
      </c>
      <c r="S2333" s="18" t="s">
        <v>30</v>
      </c>
      <c r="T2333" s="18" t="s">
        <v>9975</v>
      </c>
      <c r="U2333" s="18" t="s">
        <v>9976</v>
      </c>
      <c r="V2333" s="18"/>
      <c r="W2333" s="18" t="s">
        <v>9977</v>
      </c>
      <c r="X2333" s="18" t="s">
        <v>42</v>
      </c>
      <c r="Y2333" s="18" t="s">
        <v>36</v>
      </c>
      <c r="Z2333" s="18" t="s">
        <v>37</v>
      </c>
      <c r="AA2333" s="21" t="str">
        <f>HYPERLINK("https://www.ncbi.nlm.nih.gov/nuccore/LC711077","NCBI Nucleotide")</f>
        <v>NCBI Nucleotide</v>
      </c>
    </row>
    <row r="2334" spans="1:27" x14ac:dyDescent="0.35">
      <c r="A2334">
        <v>1003092</v>
      </c>
      <c r="B2334">
        <v>2310</v>
      </c>
      <c r="C2334">
        <v>1</v>
      </c>
      <c r="D2334" s="17" t="s">
        <v>155</v>
      </c>
      <c r="E2334" s="17"/>
      <c r="F2334" s="17" t="s">
        <v>156</v>
      </c>
      <c r="G2334" s="17"/>
      <c r="H2334" s="17" t="s">
        <v>692</v>
      </c>
      <c r="I2334" s="17"/>
      <c r="J2334" s="17" t="s">
        <v>693</v>
      </c>
      <c r="K2334" s="17"/>
      <c r="L2334" s="17"/>
      <c r="M2334" s="17"/>
      <c r="N2334" s="17" t="s">
        <v>9970</v>
      </c>
      <c r="O2334" s="17"/>
      <c r="P2334" s="17" t="s">
        <v>9978</v>
      </c>
      <c r="Q2334" s="17"/>
      <c r="R2334" s="25" t="str">
        <f>HYPERLINK("https://ictv.global/taxonomy/taxondetails?taxnode_id=202314307","Tonitrusvirus shimokitaense")</f>
        <v>Tonitrusvirus shimokitaense</v>
      </c>
      <c r="S2334" s="18" t="s">
        <v>30</v>
      </c>
      <c r="T2334" s="18" t="s">
        <v>9979</v>
      </c>
      <c r="U2334" s="18" t="s">
        <v>9980</v>
      </c>
      <c r="V2334" s="18"/>
      <c r="W2334" s="18" t="s">
        <v>9981</v>
      </c>
      <c r="X2334" s="18" t="s">
        <v>42</v>
      </c>
      <c r="Y2334" s="18" t="s">
        <v>36</v>
      </c>
      <c r="Z2334" s="18" t="s">
        <v>37</v>
      </c>
      <c r="AA2334" s="21" t="str">
        <f>HYPERLINK("https://www.ncbi.nlm.nih.gov/nuccore/LC711078","NCBI Nucleotide")</f>
        <v>NCBI Nucleotide</v>
      </c>
    </row>
    <row r="2335" spans="1:27" x14ac:dyDescent="0.35">
      <c r="A2335">
        <v>1003093</v>
      </c>
      <c r="B2335">
        <v>2311</v>
      </c>
      <c r="C2335">
        <v>1</v>
      </c>
      <c r="D2335" s="17" t="s">
        <v>155</v>
      </c>
      <c r="E2335" s="17"/>
      <c r="F2335" s="17" t="s">
        <v>156</v>
      </c>
      <c r="G2335" s="17"/>
      <c r="H2335" s="17" t="s">
        <v>692</v>
      </c>
      <c r="I2335" s="17"/>
      <c r="J2335" s="17" t="s">
        <v>693</v>
      </c>
      <c r="K2335" s="17"/>
      <c r="L2335" s="17"/>
      <c r="M2335" s="17"/>
      <c r="N2335" s="17" t="s">
        <v>9982</v>
      </c>
      <c r="O2335" s="17"/>
      <c r="P2335" s="17" t="s">
        <v>9983</v>
      </c>
      <c r="Q2335" s="17"/>
      <c r="R2335" s="25" t="str">
        <f>HYPERLINK("https://ictv.global/taxonomy/taxondetails?taxnode_id=202308718","Chaovirus bigenum")</f>
        <v>Chaovirus bigenum</v>
      </c>
      <c r="S2335" s="18" t="s">
        <v>30</v>
      </c>
      <c r="T2335" s="18" t="s">
        <v>9984</v>
      </c>
      <c r="U2335" s="18" t="s">
        <v>9985</v>
      </c>
      <c r="V2335" s="18"/>
      <c r="W2335" s="18" t="s">
        <v>9986</v>
      </c>
      <c r="X2335" s="18" t="s">
        <v>42</v>
      </c>
      <c r="Y2335" s="18" t="s">
        <v>36</v>
      </c>
      <c r="Z2335" s="18" t="s">
        <v>37</v>
      </c>
      <c r="AA2335" s="21" t="str">
        <f>HYPERLINK("https://www.ncbi.nlm.nih.gov/nuccore/MK310226","NCBI Nucleotide")</f>
        <v>NCBI Nucleotide</v>
      </c>
    </row>
    <row r="2336" spans="1:27" x14ac:dyDescent="0.35">
      <c r="A2336">
        <v>1003094</v>
      </c>
      <c r="B2336">
        <v>2312</v>
      </c>
      <c r="C2336">
        <v>1</v>
      </c>
      <c r="D2336" s="17" t="s">
        <v>155</v>
      </c>
      <c r="E2336" s="17"/>
      <c r="F2336" s="17" t="s">
        <v>156</v>
      </c>
      <c r="G2336" s="17"/>
      <c r="H2336" s="17" t="s">
        <v>692</v>
      </c>
      <c r="I2336" s="17"/>
      <c r="J2336" s="17" t="s">
        <v>693</v>
      </c>
      <c r="K2336" s="17"/>
      <c r="L2336" s="17"/>
      <c r="M2336" s="17"/>
      <c r="N2336" s="17" t="s">
        <v>9982</v>
      </c>
      <c r="O2336" s="17"/>
      <c r="P2336" s="17" t="s">
        <v>9987</v>
      </c>
      <c r="Q2336" s="17"/>
      <c r="R2336" s="25" t="str">
        <f>HYPERLINK("https://ictv.global/taxonomy/taxondetails?taxnode_id=202308719","Myohalovirus alkaliphilum")</f>
        <v>Myohalovirus alkaliphilum</v>
      </c>
      <c r="S2336" s="18" t="s">
        <v>30</v>
      </c>
      <c r="T2336" s="18" t="s">
        <v>9988</v>
      </c>
      <c r="U2336" s="18" t="s">
        <v>9989</v>
      </c>
      <c r="V2336" s="18"/>
      <c r="W2336" s="18" t="s">
        <v>9990</v>
      </c>
      <c r="X2336" s="18" t="s">
        <v>42</v>
      </c>
      <c r="Y2336" s="18" t="s">
        <v>36</v>
      </c>
      <c r="Z2336" s="18" t="s">
        <v>37</v>
      </c>
      <c r="AA2336" s="21" t="str">
        <f>HYPERLINK("https://www.ncbi.nlm.nih.gov/nuccore/MK450543","NCBI Nucleotide")</f>
        <v>NCBI Nucleotide</v>
      </c>
    </row>
    <row r="2337" spans="1:27" x14ac:dyDescent="0.35">
      <c r="A2337">
        <v>1003095</v>
      </c>
      <c r="B2337">
        <v>2313</v>
      </c>
      <c r="C2337">
        <v>1</v>
      </c>
      <c r="D2337" s="17" t="s">
        <v>155</v>
      </c>
      <c r="E2337" s="17"/>
      <c r="F2337" s="17" t="s">
        <v>156</v>
      </c>
      <c r="G2337" s="17"/>
      <c r="H2337" s="17" t="s">
        <v>692</v>
      </c>
      <c r="I2337" s="17"/>
      <c r="J2337" s="17" t="s">
        <v>693</v>
      </c>
      <c r="K2337" s="17"/>
      <c r="L2337" s="17"/>
      <c r="M2337" s="17"/>
      <c r="N2337" s="17" t="s">
        <v>9982</v>
      </c>
      <c r="O2337" s="17"/>
      <c r="P2337" s="17" t="s">
        <v>9987</v>
      </c>
      <c r="Q2337" s="17"/>
      <c r="R2337" s="25" t="str">
        <f>HYPERLINK("https://ictv.global/taxonomy/taxondetails?taxnode_id=202300459","Myohalovirus spontanei")</f>
        <v>Myohalovirus spontanei</v>
      </c>
      <c r="S2337" s="18" t="s">
        <v>30</v>
      </c>
      <c r="T2337" s="18" t="s">
        <v>9991</v>
      </c>
      <c r="U2337" s="18"/>
      <c r="V2337" s="18" t="s">
        <v>9992</v>
      </c>
      <c r="W2337" s="18" t="s">
        <v>9993</v>
      </c>
      <c r="X2337" s="18" t="s">
        <v>42</v>
      </c>
      <c r="Y2337" s="18" t="s">
        <v>36</v>
      </c>
      <c r="Z2337" s="18" t="s">
        <v>37</v>
      </c>
      <c r="AA2337" s="21" t="str">
        <f>HYPERLINK("https://www.ncbi.nlm.nih.gov/nuccore/MK002701","NCBI Nucleotide")</f>
        <v>NCBI Nucleotide</v>
      </c>
    </row>
    <row r="2338" spans="1:27" x14ac:dyDescent="0.35">
      <c r="A2338">
        <v>1003096</v>
      </c>
      <c r="B2338">
        <v>2314</v>
      </c>
      <c r="C2338">
        <v>1</v>
      </c>
      <c r="D2338" s="17" t="s">
        <v>155</v>
      </c>
      <c r="E2338" s="17"/>
      <c r="F2338" s="17" t="s">
        <v>156</v>
      </c>
      <c r="G2338" s="17"/>
      <c r="H2338" s="17" t="s">
        <v>692</v>
      </c>
      <c r="I2338" s="17"/>
      <c r="J2338" s="17" t="s">
        <v>693</v>
      </c>
      <c r="K2338" s="17"/>
      <c r="L2338" s="17"/>
      <c r="M2338" s="17"/>
      <c r="N2338" s="17" t="s">
        <v>9994</v>
      </c>
      <c r="O2338" s="17" t="s">
        <v>10001</v>
      </c>
      <c r="P2338" s="17" t="s">
        <v>10002</v>
      </c>
      <c r="Q2338" s="17"/>
      <c r="R2338" s="25" t="str">
        <f>HYPERLINK("https://ictv.global/taxonomy/taxondetails?taxnode_id=202312672","Bromdenvirus bromden")</f>
        <v>Bromdenvirus bromden</v>
      </c>
      <c r="S2338" s="18" t="s">
        <v>30</v>
      </c>
      <c r="T2338" s="18" t="s">
        <v>10003</v>
      </c>
      <c r="U2338" s="18"/>
      <c r="V2338" s="18"/>
      <c r="W2338" s="18" t="s">
        <v>10004</v>
      </c>
      <c r="X2338" s="18" t="s">
        <v>42</v>
      </c>
      <c r="Y2338" s="18" t="s">
        <v>36</v>
      </c>
      <c r="Z2338" s="18" t="s">
        <v>697</v>
      </c>
      <c r="AA2338" s="21" t="str">
        <f>HYPERLINK("https://www.ncbi.nlm.nih.gov/nuccore/MH576973","NCBI Nucleotide")</f>
        <v>NCBI Nucleotide</v>
      </c>
    </row>
    <row r="2339" spans="1:27" x14ac:dyDescent="0.35">
      <c r="A2339">
        <v>1003097</v>
      </c>
      <c r="B2339">
        <v>2315</v>
      </c>
      <c r="C2339">
        <v>1</v>
      </c>
      <c r="D2339" s="17" t="s">
        <v>155</v>
      </c>
      <c r="E2339" s="17"/>
      <c r="F2339" s="17" t="s">
        <v>156</v>
      </c>
      <c r="G2339" s="17"/>
      <c r="H2339" s="17" t="s">
        <v>692</v>
      </c>
      <c r="I2339" s="17"/>
      <c r="J2339" s="17" t="s">
        <v>693</v>
      </c>
      <c r="K2339" s="17"/>
      <c r="L2339" s="17"/>
      <c r="M2339" s="17"/>
      <c r="N2339" s="17" t="s">
        <v>9994</v>
      </c>
      <c r="O2339" s="17" t="s">
        <v>10001</v>
      </c>
      <c r="P2339" s="17" t="s">
        <v>10002</v>
      </c>
      <c r="Q2339" s="17"/>
      <c r="R2339" s="25" t="str">
        <f>HYPERLINK("https://ictv.global/taxonomy/taxondetails?taxnode_id=202312673","Bromdenvirus dyoedafos")</f>
        <v>Bromdenvirus dyoedafos</v>
      </c>
      <c r="S2339" s="18" t="s">
        <v>30</v>
      </c>
      <c r="T2339" s="18" t="s">
        <v>10005</v>
      </c>
      <c r="U2339" s="18"/>
      <c r="V2339" s="18"/>
      <c r="W2339" s="18" t="s">
        <v>10006</v>
      </c>
      <c r="X2339" s="18" t="s">
        <v>42</v>
      </c>
      <c r="Y2339" s="18" t="s">
        <v>36</v>
      </c>
      <c r="Z2339" s="18" t="s">
        <v>697</v>
      </c>
      <c r="AA2339" s="21" t="str">
        <f>HYPERLINK("https://www.ncbi.nlm.nih.gov/nuccore/MN234187","NCBI Nucleotide")</f>
        <v>NCBI Nucleotide</v>
      </c>
    </row>
    <row r="2340" spans="1:27" x14ac:dyDescent="0.35">
      <c r="A2340">
        <v>1003098</v>
      </c>
      <c r="B2340">
        <v>2316</v>
      </c>
      <c r="C2340">
        <v>1</v>
      </c>
      <c r="D2340" s="17" t="s">
        <v>155</v>
      </c>
      <c r="E2340" s="17"/>
      <c r="F2340" s="17" t="s">
        <v>156</v>
      </c>
      <c r="G2340" s="17"/>
      <c r="H2340" s="17" t="s">
        <v>692</v>
      </c>
      <c r="I2340" s="17"/>
      <c r="J2340" s="17" t="s">
        <v>693</v>
      </c>
      <c r="K2340" s="17"/>
      <c r="L2340" s="17"/>
      <c r="M2340" s="17"/>
      <c r="N2340" s="17" t="s">
        <v>9994</v>
      </c>
      <c r="O2340" s="17" t="s">
        <v>10001</v>
      </c>
      <c r="P2340" s="17" t="s">
        <v>10007</v>
      </c>
      <c r="Q2340" s="17"/>
      <c r="R2340" s="25" t="str">
        <f>HYPERLINK("https://ictv.global/taxonomy/taxondetails?taxnode_id=202312683","Bronvirus cicholasnage")</f>
        <v>Bronvirus cicholasnage</v>
      </c>
      <c r="S2340" s="18" t="s">
        <v>30</v>
      </c>
      <c r="T2340" s="18" t="s">
        <v>10008</v>
      </c>
      <c r="U2340" s="18"/>
      <c r="V2340" s="18"/>
      <c r="W2340" s="18" t="s">
        <v>10009</v>
      </c>
      <c r="X2340" s="18" t="s">
        <v>42</v>
      </c>
      <c r="Y2340" s="18" t="s">
        <v>36</v>
      </c>
      <c r="Z2340" s="18" t="s">
        <v>697</v>
      </c>
      <c r="AA2340" s="21" t="str">
        <f>HYPERLINK("https://www.ncbi.nlm.nih.gov/nuccore/MK310144","NCBI Nucleotide")</f>
        <v>NCBI Nucleotide</v>
      </c>
    </row>
    <row r="2341" spans="1:27" x14ac:dyDescent="0.35">
      <c r="A2341">
        <v>1003099</v>
      </c>
      <c r="B2341">
        <v>2317</v>
      </c>
      <c r="C2341">
        <v>1</v>
      </c>
      <c r="D2341" s="17" t="s">
        <v>155</v>
      </c>
      <c r="E2341" s="17"/>
      <c r="F2341" s="17" t="s">
        <v>156</v>
      </c>
      <c r="G2341" s="17"/>
      <c r="H2341" s="17" t="s">
        <v>692</v>
      </c>
      <c r="I2341" s="17"/>
      <c r="J2341" s="17" t="s">
        <v>693</v>
      </c>
      <c r="K2341" s="17"/>
      <c r="L2341" s="17"/>
      <c r="M2341" s="17"/>
      <c r="N2341" s="17" t="s">
        <v>9994</v>
      </c>
      <c r="O2341" s="17" t="s">
        <v>10001</v>
      </c>
      <c r="P2341" s="17" t="s">
        <v>10007</v>
      </c>
      <c r="Q2341" s="17"/>
      <c r="R2341" s="25" t="str">
        <f>HYPERLINK("https://ictv.global/taxonomy/taxondetails?taxnode_id=202312681","Bronvirus dirkdirk")</f>
        <v>Bronvirus dirkdirk</v>
      </c>
      <c r="S2341" s="18" t="s">
        <v>30</v>
      </c>
      <c r="T2341" s="18" t="s">
        <v>10010</v>
      </c>
      <c r="U2341" s="18"/>
      <c r="V2341" s="18"/>
      <c r="W2341" s="18" t="s">
        <v>10011</v>
      </c>
      <c r="X2341" s="18" t="s">
        <v>42</v>
      </c>
      <c r="Y2341" s="18" t="s">
        <v>36</v>
      </c>
      <c r="Z2341" s="18" t="s">
        <v>697</v>
      </c>
      <c r="AA2341" s="21" t="str">
        <f>HYPERLINK("https://www.ncbi.nlm.nih.gov/nuccore/MN617841","NCBI Nucleotide")</f>
        <v>NCBI Nucleotide</v>
      </c>
    </row>
    <row r="2342" spans="1:27" x14ac:dyDescent="0.35">
      <c r="A2342">
        <v>1003100</v>
      </c>
      <c r="B2342">
        <v>2318</v>
      </c>
      <c r="C2342">
        <v>1</v>
      </c>
      <c r="D2342" s="17" t="s">
        <v>155</v>
      </c>
      <c r="E2342" s="17"/>
      <c r="F2342" s="17" t="s">
        <v>156</v>
      </c>
      <c r="G2342" s="17"/>
      <c r="H2342" s="17" t="s">
        <v>692</v>
      </c>
      <c r="I2342" s="17"/>
      <c r="J2342" s="17" t="s">
        <v>693</v>
      </c>
      <c r="K2342" s="17"/>
      <c r="L2342" s="17"/>
      <c r="M2342" s="17"/>
      <c r="N2342" s="17" t="s">
        <v>9994</v>
      </c>
      <c r="O2342" s="17" t="s">
        <v>10001</v>
      </c>
      <c r="P2342" s="17" t="s">
        <v>10007</v>
      </c>
      <c r="Q2342" s="17"/>
      <c r="R2342" s="25" t="str">
        <f>HYPERLINK("https://ictv.global/taxonomy/taxondetails?taxnode_id=202312682","Bronvirus ohshaghennessy")</f>
        <v>Bronvirus ohshaghennessy</v>
      </c>
      <c r="S2342" s="18" t="s">
        <v>30</v>
      </c>
      <c r="T2342" s="18" t="s">
        <v>10012</v>
      </c>
      <c r="U2342" s="18"/>
      <c r="V2342" s="18"/>
      <c r="W2342" s="18" t="s">
        <v>10013</v>
      </c>
      <c r="X2342" s="18" t="s">
        <v>42</v>
      </c>
      <c r="Y2342" s="18" t="s">
        <v>36</v>
      </c>
      <c r="Z2342" s="18" t="s">
        <v>697</v>
      </c>
      <c r="AA2342" s="21" t="str">
        <f>HYPERLINK("https://www.ncbi.nlm.nih.gov/nuccore/MW435855","NCBI Nucleotide")</f>
        <v>NCBI Nucleotide</v>
      </c>
    </row>
    <row r="2343" spans="1:27" x14ac:dyDescent="0.35">
      <c r="A2343">
        <v>1003101</v>
      </c>
      <c r="B2343">
        <v>2319</v>
      </c>
      <c r="C2343">
        <v>1</v>
      </c>
      <c r="D2343" s="17" t="s">
        <v>155</v>
      </c>
      <c r="E2343" s="17"/>
      <c r="F2343" s="17" t="s">
        <v>156</v>
      </c>
      <c r="G2343" s="17"/>
      <c r="H2343" s="17" t="s">
        <v>692</v>
      </c>
      <c r="I2343" s="17"/>
      <c r="J2343" s="17" t="s">
        <v>693</v>
      </c>
      <c r="K2343" s="17"/>
      <c r="L2343" s="17"/>
      <c r="M2343" s="17"/>
      <c r="N2343" s="17" t="s">
        <v>9994</v>
      </c>
      <c r="O2343" s="17" t="s">
        <v>10001</v>
      </c>
      <c r="P2343" s="17" t="s">
        <v>10007</v>
      </c>
      <c r="Q2343" s="17"/>
      <c r="R2343" s="25" t="str">
        <f>HYPERLINK("https://ictv.global/taxonomy/taxondetails?taxnode_id=202312680","Bronvirus silverleaf")</f>
        <v>Bronvirus silverleaf</v>
      </c>
      <c r="S2343" s="18" t="s">
        <v>30</v>
      </c>
      <c r="T2343" s="18" t="s">
        <v>10014</v>
      </c>
      <c r="U2343" s="18"/>
      <c r="V2343" s="18"/>
      <c r="W2343" s="18" t="s">
        <v>10015</v>
      </c>
      <c r="X2343" s="18" t="s">
        <v>42</v>
      </c>
      <c r="Y2343" s="18" t="s">
        <v>36</v>
      </c>
      <c r="Z2343" s="18" t="s">
        <v>697</v>
      </c>
      <c r="AA2343" s="21" t="str">
        <f>HYPERLINK("https://www.ncbi.nlm.nih.gov/nuccore/MK494092","NCBI Nucleotide")</f>
        <v>NCBI Nucleotide</v>
      </c>
    </row>
    <row r="2344" spans="1:27" x14ac:dyDescent="0.35">
      <c r="A2344">
        <v>1003102</v>
      </c>
      <c r="B2344">
        <v>2320</v>
      </c>
      <c r="C2344">
        <v>1</v>
      </c>
      <c r="D2344" s="17" t="s">
        <v>155</v>
      </c>
      <c r="E2344" s="17"/>
      <c r="F2344" s="17" t="s">
        <v>156</v>
      </c>
      <c r="G2344" s="17"/>
      <c r="H2344" s="17" t="s">
        <v>692</v>
      </c>
      <c r="I2344" s="17"/>
      <c r="J2344" s="17" t="s">
        <v>693</v>
      </c>
      <c r="K2344" s="17"/>
      <c r="L2344" s="17"/>
      <c r="M2344" s="17"/>
      <c r="N2344" s="17" t="s">
        <v>9994</v>
      </c>
      <c r="O2344" s="17" t="s">
        <v>10001</v>
      </c>
      <c r="P2344" s="17" t="s">
        <v>10007</v>
      </c>
      <c r="Q2344" s="17"/>
      <c r="R2344" s="25" t="str">
        <f>HYPERLINK("https://ictv.global/taxonomy/taxondetails?taxnode_id=202300864","Mycobacterium virus Bron")</f>
        <v>Mycobacterium virus Bron</v>
      </c>
      <c r="S2344" s="18" t="s">
        <v>30</v>
      </c>
      <c r="T2344" s="18" t="s">
        <v>10016</v>
      </c>
      <c r="U2344" s="18"/>
      <c r="V2344" s="18"/>
      <c r="W2344" s="18" t="s">
        <v>10017</v>
      </c>
      <c r="X2344" s="18" t="s">
        <v>42</v>
      </c>
      <c r="Y2344" s="18" t="s">
        <v>36</v>
      </c>
      <c r="Z2344" s="18" t="s">
        <v>697</v>
      </c>
      <c r="AA2344" s="21" t="str">
        <f>HYPERLINK("https://www.ncbi.nlm.nih.gov/nuccore/HM152763","NCBI Nucleotide")</f>
        <v>NCBI Nucleotide</v>
      </c>
    </row>
    <row r="2345" spans="1:27" x14ac:dyDescent="0.35">
      <c r="A2345">
        <v>1003103</v>
      </c>
      <c r="B2345">
        <v>2321</v>
      </c>
      <c r="C2345">
        <v>1</v>
      </c>
      <c r="D2345" s="17" t="s">
        <v>155</v>
      </c>
      <c r="E2345" s="17"/>
      <c r="F2345" s="17" t="s">
        <v>156</v>
      </c>
      <c r="G2345" s="17"/>
      <c r="H2345" s="17" t="s">
        <v>692</v>
      </c>
      <c r="I2345" s="17"/>
      <c r="J2345" s="17" t="s">
        <v>693</v>
      </c>
      <c r="K2345" s="17"/>
      <c r="L2345" s="17"/>
      <c r="M2345" s="17"/>
      <c r="N2345" s="17" t="s">
        <v>9994</v>
      </c>
      <c r="O2345" s="17" t="s">
        <v>10001</v>
      </c>
      <c r="P2345" s="17" t="s">
        <v>10007</v>
      </c>
      <c r="Q2345" s="17"/>
      <c r="R2345" s="25" t="str">
        <f>HYPERLINK("https://ictv.global/taxonomy/taxondetails?taxnode_id=202300866","Mycobacterium virus JoeDirt")</f>
        <v>Mycobacterium virus JoeDirt</v>
      </c>
      <c r="S2345" s="18" t="s">
        <v>30</v>
      </c>
      <c r="T2345" s="18" t="s">
        <v>10018</v>
      </c>
      <c r="U2345" s="18"/>
      <c r="V2345" s="18"/>
      <c r="W2345" s="18" t="s">
        <v>10019</v>
      </c>
      <c r="X2345" s="18" t="s">
        <v>42</v>
      </c>
      <c r="Y2345" s="18" t="s">
        <v>36</v>
      </c>
      <c r="Z2345" s="18" t="s">
        <v>697</v>
      </c>
      <c r="AA2345" s="21" t="str">
        <f>HYPERLINK("https://www.ncbi.nlm.nih.gov/nuccore/JF704108","NCBI Nucleotide")</f>
        <v>NCBI Nucleotide</v>
      </c>
    </row>
    <row r="2346" spans="1:27" x14ac:dyDescent="0.35">
      <c r="A2346">
        <v>1003104</v>
      </c>
      <c r="B2346">
        <v>2322</v>
      </c>
      <c r="C2346">
        <v>1</v>
      </c>
      <c r="D2346" s="17" t="s">
        <v>155</v>
      </c>
      <c r="E2346" s="17"/>
      <c r="F2346" s="17" t="s">
        <v>156</v>
      </c>
      <c r="G2346" s="17"/>
      <c r="H2346" s="17" t="s">
        <v>692</v>
      </c>
      <c r="I2346" s="17"/>
      <c r="J2346" s="17" t="s">
        <v>693</v>
      </c>
      <c r="K2346" s="17"/>
      <c r="L2346" s="17"/>
      <c r="M2346" s="17"/>
      <c r="N2346" s="17" t="s">
        <v>9994</v>
      </c>
      <c r="O2346" s="17" t="s">
        <v>10001</v>
      </c>
      <c r="P2346" s="17" t="s">
        <v>10020</v>
      </c>
      <c r="Q2346" s="17"/>
      <c r="R2346" s="25" t="str">
        <f>HYPERLINK("https://ictv.global/taxonomy/taxondetails?taxnode_id=202312666","Faithunavirus archie")</f>
        <v>Faithunavirus archie</v>
      </c>
      <c r="S2346" s="18" t="s">
        <v>30</v>
      </c>
      <c r="T2346" s="18" t="s">
        <v>10021</v>
      </c>
      <c r="U2346" s="18"/>
      <c r="V2346" s="18"/>
      <c r="W2346" s="18" t="s">
        <v>10022</v>
      </c>
      <c r="X2346" s="18" t="s">
        <v>42</v>
      </c>
      <c r="Y2346" s="18" t="s">
        <v>36</v>
      </c>
      <c r="Z2346" s="18" t="s">
        <v>697</v>
      </c>
      <c r="AA2346" s="21" t="str">
        <f>HYPERLINK("https://www.ncbi.nlm.nih.gov/nuccore/KT591489","NCBI Nucleotide")</f>
        <v>NCBI Nucleotide</v>
      </c>
    </row>
    <row r="2347" spans="1:27" x14ac:dyDescent="0.35">
      <c r="A2347">
        <v>1003105</v>
      </c>
      <c r="B2347">
        <v>2323</v>
      </c>
      <c r="C2347">
        <v>1</v>
      </c>
      <c r="D2347" s="17" t="s">
        <v>155</v>
      </c>
      <c r="E2347" s="17"/>
      <c r="F2347" s="17" t="s">
        <v>156</v>
      </c>
      <c r="G2347" s="17"/>
      <c r="H2347" s="17" t="s">
        <v>692</v>
      </c>
      <c r="I2347" s="17"/>
      <c r="J2347" s="17" t="s">
        <v>693</v>
      </c>
      <c r="K2347" s="17"/>
      <c r="L2347" s="17"/>
      <c r="M2347" s="17"/>
      <c r="N2347" s="17" t="s">
        <v>9994</v>
      </c>
      <c r="O2347" s="17" t="s">
        <v>10001</v>
      </c>
      <c r="P2347" s="17" t="s">
        <v>10020</v>
      </c>
      <c r="Q2347" s="17"/>
      <c r="R2347" s="25" t="str">
        <f>HYPERLINK("https://ictv.global/taxonomy/taxondetails?taxnode_id=202312667","Faithunavirus CELFI")</f>
        <v>Faithunavirus CELFI</v>
      </c>
      <c r="S2347" s="18" t="s">
        <v>30</v>
      </c>
      <c r="T2347" s="18" t="s">
        <v>10023</v>
      </c>
      <c r="U2347" s="18"/>
      <c r="V2347" s="18"/>
      <c r="W2347" s="18" t="s">
        <v>10024</v>
      </c>
      <c r="X2347" s="18" t="s">
        <v>42</v>
      </c>
      <c r="Y2347" s="18" t="s">
        <v>36</v>
      </c>
      <c r="Z2347" s="18" t="s">
        <v>697</v>
      </c>
      <c r="AA2347" s="21" t="str">
        <f>HYPERLINK("https://www.ncbi.nlm.nih.gov/nuccore/MT758688","NCBI Nucleotide")</f>
        <v>NCBI Nucleotide</v>
      </c>
    </row>
    <row r="2348" spans="1:27" x14ac:dyDescent="0.35">
      <c r="A2348">
        <v>1003106</v>
      </c>
      <c r="B2348">
        <v>2324</v>
      </c>
      <c r="C2348">
        <v>1</v>
      </c>
      <c r="D2348" s="17" t="s">
        <v>155</v>
      </c>
      <c r="E2348" s="17"/>
      <c r="F2348" s="17" t="s">
        <v>156</v>
      </c>
      <c r="G2348" s="17"/>
      <c r="H2348" s="17" t="s">
        <v>692</v>
      </c>
      <c r="I2348" s="17"/>
      <c r="J2348" s="17" t="s">
        <v>693</v>
      </c>
      <c r="K2348" s="17"/>
      <c r="L2348" s="17"/>
      <c r="M2348" s="17"/>
      <c r="N2348" s="17" t="s">
        <v>9994</v>
      </c>
      <c r="O2348" s="17" t="s">
        <v>10001</v>
      </c>
      <c r="P2348" s="17" t="s">
        <v>10020</v>
      </c>
      <c r="Q2348" s="17"/>
      <c r="R2348" s="25" t="str">
        <f>HYPERLINK("https://ictv.global/taxonomy/taxondetails?taxnode_id=202300865","Faithunavirus faith1")</f>
        <v>Faithunavirus faith1</v>
      </c>
      <c r="S2348" s="18" t="s">
        <v>30</v>
      </c>
      <c r="T2348" s="18" t="s">
        <v>10025</v>
      </c>
      <c r="U2348" s="18"/>
      <c r="V2348" s="18"/>
      <c r="W2348" s="18" t="s">
        <v>10026</v>
      </c>
      <c r="X2348" s="18" t="s">
        <v>42</v>
      </c>
      <c r="Y2348" s="18" t="s">
        <v>36</v>
      </c>
      <c r="Z2348" s="18" t="s">
        <v>697</v>
      </c>
      <c r="AA2348" s="21" t="str">
        <f>HYPERLINK("https://www.ncbi.nlm.nih.gov/nuccore/JF744988","NCBI Nucleotide")</f>
        <v>NCBI Nucleotide</v>
      </c>
    </row>
    <row r="2349" spans="1:27" x14ac:dyDescent="0.35">
      <c r="A2349">
        <v>1003107</v>
      </c>
      <c r="B2349">
        <v>2325</v>
      </c>
      <c r="C2349">
        <v>1</v>
      </c>
      <c r="D2349" s="17" t="s">
        <v>155</v>
      </c>
      <c r="E2349" s="17"/>
      <c r="F2349" s="17" t="s">
        <v>156</v>
      </c>
      <c r="G2349" s="17"/>
      <c r="H2349" s="17" t="s">
        <v>692</v>
      </c>
      <c r="I2349" s="17"/>
      <c r="J2349" s="17" t="s">
        <v>693</v>
      </c>
      <c r="K2349" s="17"/>
      <c r="L2349" s="17"/>
      <c r="M2349" s="17"/>
      <c r="N2349" s="17" t="s">
        <v>9994</v>
      </c>
      <c r="O2349" s="17" t="s">
        <v>10001</v>
      </c>
      <c r="P2349" s="17" t="s">
        <v>10020</v>
      </c>
      <c r="Q2349" s="17"/>
      <c r="R2349" s="25" t="str">
        <f>HYPERLINK("https://ictv.global/taxonomy/taxondetails?taxnode_id=202312668","Faithunavirus finemlucis")</f>
        <v>Faithunavirus finemlucis</v>
      </c>
      <c r="S2349" s="18" t="s">
        <v>30</v>
      </c>
      <c r="T2349" s="18" t="s">
        <v>10027</v>
      </c>
      <c r="U2349" s="18"/>
      <c r="V2349" s="18"/>
      <c r="W2349" s="18" t="s">
        <v>10028</v>
      </c>
      <c r="X2349" s="18" t="s">
        <v>42</v>
      </c>
      <c r="Y2349" s="18" t="s">
        <v>36</v>
      </c>
      <c r="Z2349" s="18" t="s">
        <v>697</v>
      </c>
      <c r="AA2349" s="21" t="str">
        <f>HYPERLINK("https://www.ncbi.nlm.nih.gov/nuccore/MF185728","NCBI Nucleotide")</f>
        <v>NCBI Nucleotide</v>
      </c>
    </row>
    <row r="2350" spans="1:27" x14ac:dyDescent="0.35">
      <c r="A2350">
        <v>1003108</v>
      </c>
      <c r="B2350">
        <v>2326</v>
      </c>
      <c r="C2350">
        <v>1</v>
      </c>
      <c r="D2350" s="17" t="s">
        <v>155</v>
      </c>
      <c r="E2350" s="17"/>
      <c r="F2350" s="17" t="s">
        <v>156</v>
      </c>
      <c r="G2350" s="17"/>
      <c r="H2350" s="17" t="s">
        <v>692</v>
      </c>
      <c r="I2350" s="17"/>
      <c r="J2350" s="17" t="s">
        <v>693</v>
      </c>
      <c r="K2350" s="17"/>
      <c r="L2350" s="17"/>
      <c r="M2350" s="17"/>
      <c r="N2350" s="17" t="s">
        <v>9994</v>
      </c>
      <c r="O2350" s="17" t="s">
        <v>10001</v>
      </c>
      <c r="P2350" s="17" t="s">
        <v>10020</v>
      </c>
      <c r="Q2350" s="17"/>
      <c r="R2350" s="25" t="str">
        <f>HYPERLINK("https://ictv.global/taxonomy/taxondetails?taxnode_id=202312669","Faithunavirus guuelaD")</f>
        <v>Faithunavirus guuelaD</v>
      </c>
      <c r="S2350" s="18" t="s">
        <v>30</v>
      </c>
      <c r="T2350" s="18" t="s">
        <v>10029</v>
      </c>
      <c r="U2350" s="18"/>
      <c r="V2350" s="18"/>
      <c r="W2350" s="18" t="s">
        <v>10030</v>
      </c>
      <c r="X2350" s="18" t="s">
        <v>42</v>
      </c>
      <c r="Y2350" s="18" t="s">
        <v>36</v>
      </c>
      <c r="Z2350" s="18" t="s">
        <v>697</v>
      </c>
      <c r="AA2350" s="21" t="str">
        <f>HYPERLINK("https://www.ncbi.nlm.nih.gov/nuccore/MF324910","NCBI Nucleotide")</f>
        <v>NCBI Nucleotide</v>
      </c>
    </row>
    <row r="2351" spans="1:27" x14ac:dyDescent="0.35">
      <c r="A2351">
        <v>1003109</v>
      </c>
      <c r="B2351">
        <v>2327</v>
      </c>
      <c r="C2351">
        <v>1</v>
      </c>
      <c r="D2351" s="17" t="s">
        <v>155</v>
      </c>
      <c r="E2351" s="17"/>
      <c r="F2351" s="17" t="s">
        <v>156</v>
      </c>
      <c r="G2351" s="17"/>
      <c r="H2351" s="17" t="s">
        <v>692</v>
      </c>
      <c r="I2351" s="17"/>
      <c r="J2351" s="17" t="s">
        <v>693</v>
      </c>
      <c r="K2351" s="17"/>
      <c r="L2351" s="17"/>
      <c r="M2351" s="17"/>
      <c r="N2351" s="17" t="s">
        <v>9994</v>
      </c>
      <c r="O2351" s="17" t="s">
        <v>10001</v>
      </c>
      <c r="P2351" s="17" t="s">
        <v>10020</v>
      </c>
      <c r="Q2351" s="17"/>
      <c r="R2351" s="25" t="str">
        <f>HYPERLINK("https://ictv.global/taxonomy/taxondetails?taxnode_id=202300867","Faithunavirus rumpelstiltskin")</f>
        <v>Faithunavirus rumpelstiltskin</v>
      </c>
      <c r="S2351" s="18" t="s">
        <v>30</v>
      </c>
      <c r="T2351" s="18" t="s">
        <v>10031</v>
      </c>
      <c r="U2351" s="18"/>
      <c r="V2351" s="18"/>
      <c r="W2351" s="18" t="s">
        <v>10032</v>
      </c>
      <c r="X2351" s="18" t="s">
        <v>42</v>
      </c>
      <c r="Y2351" s="18" t="s">
        <v>36</v>
      </c>
      <c r="Z2351" s="18" t="s">
        <v>697</v>
      </c>
      <c r="AA2351" s="21" t="str">
        <f>HYPERLINK("https://www.ncbi.nlm.nih.gov/nuccore/JN680858","NCBI Nucleotide")</f>
        <v>NCBI Nucleotide</v>
      </c>
    </row>
    <row r="2352" spans="1:27" x14ac:dyDescent="0.35">
      <c r="A2352">
        <v>1003110</v>
      </c>
      <c r="B2352">
        <v>2328</v>
      </c>
      <c r="C2352">
        <v>1</v>
      </c>
      <c r="D2352" s="17" t="s">
        <v>155</v>
      </c>
      <c r="E2352" s="17"/>
      <c r="F2352" s="17" t="s">
        <v>156</v>
      </c>
      <c r="G2352" s="17"/>
      <c r="H2352" s="17" t="s">
        <v>692</v>
      </c>
      <c r="I2352" s="17"/>
      <c r="J2352" s="17" t="s">
        <v>693</v>
      </c>
      <c r="K2352" s="17"/>
      <c r="L2352" s="17"/>
      <c r="M2352" s="17"/>
      <c r="N2352" s="17" t="s">
        <v>9994</v>
      </c>
      <c r="O2352" s="17" t="s">
        <v>10001</v>
      </c>
      <c r="P2352" s="17" t="s">
        <v>10020</v>
      </c>
      <c r="Q2352" s="17"/>
      <c r="R2352" s="25" t="str">
        <f>HYPERLINK("https://ictv.global/taxonomy/taxondetails?taxnode_id=202312670","Faithunavirus tourach")</f>
        <v>Faithunavirus tourach</v>
      </c>
      <c r="S2352" s="18" t="s">
        <v>30</v>
      </c>
      <c r="T2352" s="18" t="s">
        <v>10033</v>
      </c>
      <c r="U2352" s="18"/>
      <c r="V2352" s="18"/>
      <c r="W2352" s="18" t="s">
        <v>10034</v>
      </c>
      <c r="X2352" s="18" t="s">
        <v>42</v>
      </c>
      <c r="Y2352" s="18" t="s">
        <v>36</v>
      </c>
      <c r="Z2352" s="18" t="s">
        <v>697</v>
      </c>
      <c r="AA2352" s="21" t="str">
        <f>HYPERLINK("https://www.ncbi.nlm.nih.gov/nuccore/MN234228","NCBI Nucleotide")</f>
        <v>NCBI Nucleotide</v>
      </c>
    </row>
    <row r="2353" spans="1:27" x14ac:dyDescent="0.35">
      <c r="A2353">
        <v>1003111</v>
      </c>
      <c r="B2353">
        <v>2329</v>
      </c>
      <c r="C2353">
        <v>1</v>
      </c>
      <c r="D2353" s="17" t="s">
        <v>155</v>
      </c>
      <c r="E2353" s="17"/>
      <c r="F2353" s="17" t="s">
        <v>156</v>
      </c>
      <c r="G2353" s="17"/>
      <c r="H2353" s="17" t="s">
        <v>692</v>
      </c>
      <c r="I2353" s="17"/>
      <c r="J2353" s="17" t="s">
        <v>693</v>
      </c>
      <c r="K2353" s="17"/>
      <c r="L2353" s="17"/>
      <c r="M2353" s="17"/>
      <c r="N2353" s="17" t="s">
        <v>9994</v>
      </c>
      <c r="O2353" s="17" t="s">
        <v>10001</v>
      </c>
      <c r="P2353" s="17" t="s">
        <v>10035</v>
      </c>
      <c r="Q2353" s="17"/>
      <c r="R2353" s="25" t="str">
        <f>HYPERLINK("https://ictv.global/taxonomy/taxondetails?taxnode_id=202312664","Lumosvirus krypton555")</f>
        <v>Lumosvirus krypton555</v>
      </c>
      <c r="S2353" s="18" t="s">
        <v>30</v>
      </c>
      <c r="T2353" s="18" t="s">
        <v>10036</v>
      </c>
      <c r="U2353" s="18"/>
      <c r="V2353" s="18"/>
      <c r="W2353" s="18" t="s">
        <v>10037</v>
      </c>
      <c r="X2353" s="18" t="s">
        <v>42</v>
      </c>
      <c r="Y2353" s="18" t="s">
        <v>36</v>
      </c>
      <c r="Z2353" s="18" t="s">
        <v>697</v>
      </c>
      <c r="AA2353" s="21" t="str">
        <f>HYPERLINK("https://www.ncbi.nlm.nih.gov/nuccore/MF140414","NCBI Nucleotide")</f>
        <v>NCBI Nucleotide</v>
      </c>
    </row>
    <row r="2354" spans="1:27" x14ac:dyDescent="0.35">
      <c r="A2354">
        <v>1003112</v>
      </c>
      <c r="B2354">
        <v>2330</v>
      </c>
      <c r="C2354">
        <v>1</v>
      </c>
      <c r="D2354" s="17" t="s">
        <v>155</v>
      </c>
      <c r="E2354" s="17"/>
      <c r="F2354" s="17" t="s">
        <v>156</v>
      </c>
      <c r="G2354" s="17"/>
      <c r="H2354" s="17" t="s">
        <v>692</v>
      </c>
      <c r="I2354" s="17"/>
      <c r="J2354" s="17" t="s">
        <v>693</v>
      </c>
      <c r="K2354" s="17"/>
      <c r="L2354" s="17"/>
      <c r="M2354" s="17"/>
      <c r="N2354" s="17" t="s">
        <v>9994</v>
      </c>
      <c r="O2354" s="17" t="s">
        <v>10001</v>
      </c>
      <c r="P2354" s="17" t="s">
        <v>10035</v>
      </c>
      <c r="Q2354" s="17"/>
      <c r="R2354" s="25" t="str">
        <f>HYPERLINK("https://ictv.global/taxonomy/taxondetails?taxnode_id=202312662","Lumosvirus lolly9")</f>
        <v>Lumosvirus lolly9</v>
      </c>
      <c r="S2354" s="18" t="s">
        <v>30</v>
      </c>
      <c r="T2354" s="18" t="s">
        <v>10038</v>
      </c>
      <c r="U2354" s="18"/>
      <c r="V2354" s="18"/>
      <c r="W2354" s="18" t="s">
        <v>10039</v>
      </c>
      <c r="X2354" s="18" t="s">
        <v>42</v>
      </c>
      <c r="Y2354" s="18" t="s">
        <v>36</v>
      </c>
      <c r="Z2354" s="18" t="s">
        <v>697</v>
      </c>
      <c r="AA2354" s="21" t="str">
        <f>HYPERLINK("https://www.ncbi.nlm.nih.gov/nuccore/KT281791","NCBI Nucleotide")</f>
        <v>NCBI Nucleotide</v>
      </c>
    </row>
    <row r="2355" spans="1:27" x14ac:dyDescent="0.35">
      <c r="A2355">
        <v>1003113</v>
      </c>
      <c r="B2355">
        <v>2331</v>
      </c>
      <c r="C2355">
        <v>1</v>
      </c>
      <c r="D2355" s="17" t="s">
        <v>155</v>
      </c>
      <c r="E2355" s="17"/>
      <c r="F2355" s="17" t="s">
        <v>156</v>
      </c>
      <c r="G2355" s="17"/>
      <c r="H2355" s="17" t="s">
        <v>692</v>
      </c>
      <c r="I2355" s="17"/>
      <c r="J2355" s="17" t="s">
        <v>693</v>
      </c>
      <c r="K2355" s="17"/>
      <c r="L2355" s="17"/>
      <c r="M2355" s="17"/>
      <c r="N2355" s="17" t="s">
        <v>9994</v>
      </c>
      <c r="O2355" s="17" t="s">
        <v>10001</v>
      </c>
      <c r="P2355" s="17" t="s">
        <v>10035</v>
      </c>
      <c r="Q2355" s="17"/>
      <c r="R2355" s="25" t="str">
        <f>HYPERLINK("https://ictv.global/taxonomy/taxondetails?taxnode_id=202312661","Lumosvirus lumos")</f>
        <v>Lumosvirus lumos</v>
      </c>
      <c r="S2355" s="18" t="s">
        <v>30</v>
      </c>
      <c r="T2355" s="18" t="s">
        <v>10040</v>
      </c>
      <c r="U2355" s="18"/>
      <c r="V2355" s="18"/>
      <c r="W2355" s="18" t="s">
        <v>10041</v>
      </c>
      <c r="X2355" s="18" t="s">
        <v>42</v>
      </c>
      <c r="Y2355" s="18" t="s">
        <v>36</v>
      </c>
      <c r="Z2355" s="18" t="s">
        <v>697</v>
      </c>
      <c r="AA2355" s="21" t="str">
        <f>HYPERLINK("https://www.ncbi.nlm.nih.gov/nuccore/KT372003","NCBI Nucleotide")</f>
        <v>NCBI Nucleotide</v>
      </c>
    </row>
    <row r="2356" spans="1:27" x14ac:dyDescent="0.35">
      <c r="A2356">
        <v>1003114</v>
      </c>
      <c r="B2356">
        <v>2332</v>
      </c>
      <c r="C2356">
        <v>1</v>
      </c>
      <c r="D2356" s="17" t="s">
        <v>155</v>
      </c>
      <c r="E2356" s="17"/>
      <c r="F2356" s="17" t="s">
        <v>156</v>
      </c>
      <c r="G2356" s="17"/>
      <c r="H2356" s="17" t="s">
        <v>692</v>
      </c>
      <c r="I2356" s="17"/>
      <c r="J2356" s="17" t="s">
        <v>693</v>
      </c>
      <c r="K2356" s="17"/>
      <c r="L2356" s="17"/>
      <c r="M2356" s="17"/>
      <c r="N2356" s="17" t="s">
        <v>9994</v>
      </c>
      <c r="O2356" s="17" t="s">
        <v>10001</v>
      </c>
      <c r="P2356" s="17" t="s">
        <v>10035</v>
      </c>
      <c r="Q2356" s="17"/>
      <c r="R2356" s="25" t="str">
        <f>HYPERLINK("https://ictv.global/taxonomy/taxondetails?taxnode_id=202312663","Lumosvirus whirlwind")</f>
        <v>Lumosvirus whirlwind</v>
      </c>
      <c r="S2356" s="18" t="s">
        <v>30</v>
      </c>
      <c r="T2356" s="18" t="s">
        <v>10042</v>
      </c>
      <c r="U2356" s="18"/>
      <c r="V2356" s="18"/>
      <c r="W2356" s="18" t="s">
        <v>10043</v>
      </c>
      <c r="X2356" s="18" t="s">
        <v>42</v>
      </c>
      <c r="Y2356" s="18" t="s">
        <v>36</v>
      </c>
      <c r="Z2356" s="18" t="s">
        <v>697</v>
      </c>
      <c r="AA2356" s="21" t="str">
        <f>HYPERLINK("https://www.ncbi.nlm.nih.gov/nuccore/KF024725","NCBI Nucleotide")</f>
        <v>NCBI Nucleotide</v>
      </c>
    </row>
    <row r="2357" spans="1:27" x14ac:dyDescent="0.35">
      <c r="A2357">
        <v>1003115</v>
      </c>
      <c r="B2357">
        <v>2333</v>
      </c>
      <c r="C2357">
        <v>1</v>
      </c>
      <c r="D2357" s="17" t="s">
        <v>155</v>
      </c>
      <c r="E2357" s="17"/>
      <c r="F2357" s="17" t="s">
        <v>156</v>
      </c>
      <c r="G2357" s="17"/>
      <c r="H2357" s="17" t="s">
        <v>692</v>
      </c>
      <c r="I2357" s="17"/>
      <c r="J2357" s="17" t="s">
        <v>693</v>
      </c>
      <c r="K2357" s="17"/>
      <c r="L2357" s="17"/>
      <c r="M2357" s="17"/>
      <c r="N2357" s="17" t="s">
        <v>9994</v>
      </c>
      <c r="O2357" s="17" t="s">
        <v>10044</v>
      </c>
      <c r="P2357" s="17" t="s">
        <v>10045</v>
      </c>
      <c r="Q2357" s="17"/>
      <c r="R2357" s="25" t="str">
        <f>HYPERLINK("https://ictv.global/taxonomy/taxondetails?taxnode_id=202300789","Bongovirus bongo")</f>
        <v>Bongovirus bongo</v>
      </c>
      <c r="S2357" s="18" t="s">
        <v>30</v>
      </c>
      <c r="T2357" s="18" t="s">
        <v>10046</v>
      </c>
      <c r="U2357" s="18"/>
      <c r="V2357" s="18"/>
      <c r="W2357" s="18" t="s">
        <v>10047</v>
      </c>
      <c r="X2357" s="18" t="s">
        <v>42</v>
      </c>
      <c r="Y2357" s="18" t="s">
        <v>36</v>
      </c>
      <c r="Z2357" s="18" t="s">
        <v>697</v>
      </c>
      <c r="AA2357" s="21" t="str">
        <f>HYPERLINK("https://www.ncbi.nlm.nih.gov/nuccore/JN699628","NCBI Nucleotide")</f>
        <v>NCBI Nucleotide</v>
      </c>
    </row>
    <row r="2358" spans="1:27" x14ac:dyDescent="0.35">
      <c r="A2358">
        <v>1003116</v>
      </c>
      <c r="B2358">
        <v>2334</v>
      </c>
      <c r="C2358">
        <v>1</v>
      </c>
      <c r="D2358" s="17" t="s">
        <v>155</v>
      </c>
      <c r="E2358" s="17"/>
      <c r="F2358" s="17" t="s">
        <v>156</v>
      </c>
      <c r="G2358" s="17"/>
      <c r="H2358" s="17" t="s">
        <v>692</v>
      </c>
      <c r="I2358" s="17"/>
      <c r="J2358" s="17" t="s">
        <v>693</v>
      </c>
      <c r="K2358" s="17"/>
      <c r="L2358" s="17"/>
      <c r="M2358" s="17"/>
      <c r="N2358" s="17" t="s">
        <v>9994</v>
      </c>
      <c r="O2358" s="17" t="s">
        <v>10044</v>
      </c>
      <c r="P2358" s="17" t="s">
        <v>10045</v>
      </c>
      <c r="Q2358" s="17"/>
      <c r="R2358" s="25" t="str">
        <f>HYPERLINK("https://ictv.global/taxonomy/taxondetails?taxnode_id=202312679","Bongovirus reindeer")</f>
        <v>Bongovirus reindeer</v>
      </c>
      <c r="S2358" s="18" t="s">
        <v>30</v>
      </c>
      <c r="T2358" s="18" t="s">
        <v>10048</v>
      </c>
      <c r="U2358" s="18"/>
      <c r="V2358" s="18"/>
      <c r="W2358" s="18" t="s">
        <v>10049</v>
      </c>
      <c r="X2358" s="18" t="s">
        <v>42</v>
      </c>
      <c r="Y2358" s="18" t="s">
        <v>36</v>
      </c>
      <c r="Z2358" s="18" t="s">
        <v>697</v>
      </c>
      <c r="AA2358" s="21" t="str">
        <f>HYPERLINK("https://www.ncbi.nlm.nih.gov/nuccore/MT658803","NCBI Nucleotide")</f>
        <v>NCBI Nucleotide</v>
      </c>
    </row>
    <row r="2359" spans="1:27" x14ac:dyDescent="0.35">
      <c r="A2359">
        <v>1003117</v>
      </c>
      <c r="B2359">
        <v>2335</v>
      </c>
      <c r="C2359">
        <v>1</v>
      </c>
      <c r="D2359" s="17" t="s">
        <v>155</v>
      </c>
      <c r="E2359" s="17"/>
      <c r="F2359" s="17" t="s">
        <v>156</v>
      </c>
      <c r="G2359" s="17"/>
      <c r="H2359" s="17" t="s">
        <v>692</v>
      </c>
      <c r="I2359" s="17"/>
      <c r="J2359" s="17" t="s">
        <v>693</v>
      </c>
      <c r="K2359" s="17"/>
      <c r="L2359" s="17"/>
      <c r="M2359" s="17"/>
      <c r="N2359" s="17" t="s">
        <v>9994</v>
      </c>
      <c r="O2359" s="17" t="s">
        <v>10044</v>
      </c>
      <c r="P2359" s="17" t="s">
        <v>10050</v>
      </c>
      <c r="Q2359" s="17"/>
      <c r="R2359" s="25" t="str">
        <f>HYPERLINK("https://ictv.global/taxonomy/taxondetails?taxnode_id=202312676","Reyvirus aziz")</f>
        <v>Reyvirus aziz</v>
      </c>
      <c r="S2359" s="18" t="s">
        <v>30</v>
      </c>
      <c r="T2359" s="18" t="s">
        <v>10051</v>
      </c>
      <c r="U2359" s="18"/>
      <c r="V2359" s="18"/>
      <c r="W2359" s="18" t="s">
        <v>10052</v>
      </c>
      <c r="X2359" s="18" t="s">
        <v>42</v>
      </c>
      <c r="Y2359" s="18" t="s">
        <v>36</v>
      </c>
      <c r="Z2359" s="18" t="s">
        <v>697</v>
      </c>
      <c r="AA2359" s="21" t="str">
        <f>HYPERLINK("https://www.ncbi.nlm.nih.gov/nuccore/MT658802","NCBI Nucleotide")</f>
        <v>NCBI Nucleotide</v>
      </c>
    </row>
    <row r="2360" spans="1:27" x14ac:dyDescent="0.35">
      <c r="A2360">
        <v>1003118</v>
      </c>
      <c r="B2360">
        <v>2336</v>
      </c>
      <c r="C2360">
        <v>1</v>
      </c>
      <c r="D2360" s="17" t="s">
        <v>155</v>
      </c>
      <c r="E2360" s="17"/>
      <c r="F2360" s="17" t="s">
        <v>156</v>
      </c>
      <c r="G2360" s="17"/>
      <c r="H2360" s="17" t="s">
        <v>692</v>
      </c>
      <c r="I2360" s="17"/>
      <c r="J2360" s="17" t="s">
        <v>693</v>
      </c>
      <c r="K2360" s="17"/>
      <c r="L2360" s="17"/>
      <c r="M2360" s="17"/>
      <c r="N2360" s="17" t="s">
        <v>9994</v>
      </c>
      <c r="O2360" s="17" t="s">
        <v>10044</v>
      </c>
      <c r="P2360" s="17" t="s">
        <v>10050</v>
      </c>
      <c r="Q2360" s="17"/>
      <c r="R2360" s="25" t="str">
        <f>HYPERLINK("https://ictv.global/taxonomy/taxondetails?taxnode_id=202312677","Reyvirus estes")</f>
        <v>Reyvirus estes</v>
      </c>
      <c r="S2360" s="18" t="s">
        <v>30</v>
      </c>
      <c r="T2360" s="18" t="s">
        <v>10053</v>
      </c>
      <c r="U2360" s="18"/>
      <c r="V2360" s="18"/>
      <c r="W2360" s="18" t="s">
        <v>10054</v>
      </c>
      <c r="X2360" s="18" t="s">
        <v>42</v>
      </c>
      <c r="Y2360" s="18" t="s">
        <v>36</v>
      </c>
      <c r="Z2360" s="18" t="s">
        <v>697</v>
      </c>
      <c r="AA2360" s="21" t="str">
        <f>HYPERLINK("https://www.ncbi.nlm.nih.gov/nuccore/MT657341","NCBI Nucleotide")</f>
        <v>NCBI Nucleotide</v>
      </c>
    </row>
    <row r="2361" spans="1:27" x14ac:dyDescent="0.35">
      <c r="A2361">
        <v>1003119</v>
      </c>
      <c r="B2361">
        <v>2337</v>
      </c>
      <c r="C2361">
        <v>1</v>
      </c>
      <c r="D2361" s="17" t="s">
        <v>155</v>
      </c>
      <c r="E2361" s="17"/>
      <c r="F2361" s="17" t="s">
        <v>156</v>
      </c>
      <c r="G2361" s="17"/>
      <c r="H2361" s="17" t="s">
        <v>692</v>
      </c>
      <c r="I2361" s="17"/>
      <c r="J2361" s="17" t="s">
        <v>693</v>
      </c>
      <c r="K2361" s="17"/>
      <c r="L2361" s="17"/>
      <c r="M2361" s="17"/>
      <c r="N2361" s="17" t="s">
        <v>9994</v>
      </c>
      <c r="O2361" s="17" t="s">
        <v>10044</v>
      </c>
      <c r="P2361" s="17" t="s">
        <v>10050</v>
      </c>
      <c r="Q2361" s="17"/>
      <c r="R2361" s="25" t="str">
        <f>HYPERLINK("https://ictv.global/taxonomy/taxondetails?taxnode_id=202312678","Reyvirus mrmagoo")</f>
        <v>Reyvirus mrmagoo</v>
      </c>
      <c r="S2361" s="18" t="s">
        <v>30</v>
      </c>
      <c r="T2361" s="18" t="s">
        <v>10055</v>
      </c>
      <c r="U2361" s="18"/>
      <c r="V2361" s="18"/>
      <c r="W2361" s="18" t="s">
        <v>10056</v>
      </c>
      <c r="X2361" s="18" t="s">
        <v>42</v>
      </c>
      <c r="Y2361" s="18" t="s">
        <v>36</v>
      </c>
      <c r="Z2361" s="18" t="s">
        <v>697</v>
      </c>
      <c r="AA2361" s="21" t="str">
        <f>HYPERLINK("https://www.ncbi.nlm.nih.gov/nuccore/KY223999","NCBI Nucleotide")</f>
        <v>NCBI Nucleotide</v>
      </c>
    </row>
    <row r="2362" spans="1:27" x14ac:dyDescent="0.35">
      <c r="A2362">
        <v>1003120</v>
      </c>
      <c r="B2362">
        <v>2338</v>
      </c>
      <c r="C2362">
        <v>1</v>
      </c>
      <c r="D2362" s="17" t="s">
        <v>155</v>
      </c>
      <c r="E2362" s="17"/>
      <c r="F2362" s="17" t="s">
        <v>156</v>
      </c>
      <c r="G2362" s="17"/>
      <c r="H2362" s="17" t="s">
        <v>692</v>
      </c>
      <c r="I2362" s="17"/>
      <c r="J2362" s="17" t="s">
        <v>693</v>
      </c>
      <c r="K2362" s="17"/>
      <c r="L2362" s="17"/>
      <c r="M2362" s="17"/>
      <c r="N2362" s="17" t="s">
        <v>9994</v>
      </c>
      <c r="O2362" s="17" t="s">
        <v>10044</v>
      </c>
      <c r="P2362" s="17" t="s">
        <v>10050</v>
      </c>
      <c r="Q2362" s="17"/>
      <c r="R2362" s="25" t="str">
        <f>HYPERLINK("https://ictv.global/taxonomy/taxondetails?taxnode_id=202300791","Reyvirus rey")</f>
        <v>Reyvirus rey</v>
      </c>
      <c r="S2362" s="18" t="s">
        <v>30</v>
      </c>
      <c r="T2362" s="18" t="s">
        <v>10057</v>
      </c>
      <c r="U2362" s="18"/>
      <c r="V2362" s="18"/>
      <c r="W2362" s="18" t="s">
        <v>10058</v>
      </c>
      <c r="X2362" s="18" t="s">
        <v>42</v>
      </c>
      <c r="Y2362" s="18" t="s">
        <v>36</v>
      </c>
      <c r="Z2362" s="18" t="s">
        <v>697</v>
      </c>
      <c r="AA2362" s="21" t="str">
        <f>HYPERLINK("https://www.ncbi.nlm.nih.gov/nuccore/JF937105","NCBI Nucleotide")</f>
        <v>NCBI Nucleotide</v>
      </c>
    </row>
    <row r="2363" spans="1:27" x14ac:dyDescent="0.35">
      <c r="A2363">
        <v>1003121</v>
      </c>
      <c r="B2363">
        <v>2339</v>
      </c>
      <c r="C2363">
        <v>1</v>
      </c>
      <c r="D2363" s="17" t="s">
        <v>155</v>
      </c>
      <c r="E2363" s="17"/>
      <c r="F2363" s="17" t="s">
        <v>156</v>
      </c>
      <c r="G2363" s="17"/>
      <c r="H2363" s="17" t="s">
        <v>692</v>
      </c>
      <c r="I2363" s="17"/>
      <c r="J2363" s="17" t="s">
        <v>693</v>
      </c>
      <c r="K2363" s="17"/>
      <c r="L2363" s="17"/>
      <c r="M2363" s="17"/>
      <c r="N2363" s="17" t="s">
        <v>9994</v>
      </c>
      <c r="O2363" s="17"/>
      <c r="P2363" s="17" t="s">
        <v>9995</v>
      </c>
      <c r="Q2363" s="17"/>
      <c r="R2363" s="25" t="str">
        <f>HYPERLINK("https://ictv.global/taxonomy/taxondetails?taxnode_id=202312675","Kumaovirus kumao")</f>
        <v>Kumaovirus kumao</v>
      </c>
      <c r="S2363" s="18" t="s">
        <v>30</v>
      </c>
      <c r="T2363" s="18" t="s">
        <v>9996</v>
      </c>
      <c r="U2363" s="18"/>
      <c r="V2363" s="18"/>
      <c r="W2363" s="18" t="s">
        <v>9997</v>
      </c>
      <c r="X2363" s="18" t="s">
        <v>42</v>
      </c>
      <c r="Y2363" s="18" t="s">
        <v>36</v>
      </c>
      <c r="Z2363" s="18" t="s">
        <v>697</v>
      </c>
      <c r="AA2363" s="21" t="str">
        <f>HYPERLINK("https://www.ncbi.nlm.nih.gov/nuccore/MG009575","NCBI Nucleotide")</f>
        <v>NCBI Nucleotide</v>
      </c>
    </row>
    <row r="2364" spans="1:27" x14ac:dyDescent="0.35">
      <c r="A2364">
        <v>1003122</v>
      </c>
      <c r="B2364">
        <v>2340</v>
      </c>
      <c r="C2364">
        <v>1</v>
      </c>
      <c r="D2364" s="17" t="s">
        <v>155</v>
      </c>
      <c r="E2364" s="17"/>
      <c r="F2364" s="17" t="s">
        <v>156</v>
      </c>
      <c r="G2364" s="17"/>
      <c r="H2364" s="17" t="s">
        <v>692</v>
      </c>
      <c r="I2364" s="17"/>
      <c r="J2364" s="17" t="s">
        <v>693</v>
      </c>
      <c r="K2364" s="17"/>
      <c r="L2364" s="17"/>
      <c r="M2364" s="17"/>
      <c r="N2364" s="17" t="s">
        <v>9994</v>
      </c>
      <c r="O2364" s="17"/>
      <c r="P2364" s="17" t="s">
        <v>9998</v>
      </c>
      <c r="Q2364" s="17"/>
      <c r="R2364" s="25" t="str">
        <f>HYPERLINK("https://ictv.global/taxonomy/taxondetails?taxnode_id=202301371","Mycobacterium virus Wildcat")</f>
        <v>Mycobacterium virus Wildcat</v>
      </c>
      <c r="S2364" s="18" t="s">
        <v>30</v>
      </c>
      <c r="T2364" s="18" t="s">
        <v>9999</v>
      </c>
      <c r="U2364" s="18"/>
      <c r="V2364" s="18"/>
      <c r="W2364" s="18" t="s">
        <v>10000</v>
      </c>
      <c r="X2364" s="18" t="s">
        <v>42</v>
      </c>
      <c r="Y2364" s="18" t="s">
        <v>36</v>
      </c>
      <c r="Z2364" s="18" t="s">
        <v>697</v>
      </c>
      <c r="AA2364" s="21" t="str">
        <f>HYPERLINK("https://www.ncbi.nlm.nih.gov/nuccore/DQ398052","NCBI Nucleotide")</f>
        <v>NCBI Nucleotide</v>
      </c>
    </row>
    <row r="2365" spans="1:27" x14ac:dyDescent="0.35">
      <c r="A2365">
        <v>1003123</v>
      </c>
      <c r="B2365">
        <v>2341</v>
      </c>
      <c r="C2365">
        <v>1</v>
      </c>
      <c r="D2365" s="17" t="s">
        <v>155</v>
      </c>
      <c r="E2365" s="17"/>
      <c r="F2365" s="17" t="s">
        <v>156</v>
      </c>
      <c r="G2365" s="17"/>
      <c r="H2365" s="17" t="s">
        <v>692</v>
      </c>
      <c r="I2365" s="17"/>
      <c r="J2365" s="17" t="s">
        <v>693</v>
      </c>
      <c r="K2365" s="17"/>
      <c r="L2365" s="17"/>
      <c r="M2365" s="17"/>
      <c r="N2365" s="17" t="s">
        <v>10059</v>
      </c>
      <c r="O2365" s="17"/>
      <c r="P2365" s="17" t="s">
        <v>10060</v>
      </c>
      <c r="Q2365" s="17"/>
      <c r="R2365" s="25" t="str">
        <f>HYPERLINK("https://ictv.global/taxonomy/taxondetails?taxnode_id=202313568","Peternellavirus peternella")</f>
        <v>Peternellavirus peternella</v>
      </c>
      <c r="S2365" s="18" t="s">
        <v>30</v>
      </c>
      <c r="T2365" s="18" t="s">
        <v>10061</v>
      </c>
      <c r="U2365" s="18" t="s">
        <v>10062</v>
      </c>
      <c r="V2365" s="18"/>
      <c r="W2365" s="18" t="s">
        <v>10063</v>
      </c>
      <c r="X2365" s="18" t="s">
        <v>42</v>
      </c>
      <c r="Y2365" s="18" t="s">
        <v>36</v>
      </c>
      <c r="Z2365" s="18" t="s">
        <v>697</v>
      </c>
      <c r="AA2365" s="21" t="str">
        <f>HYPERLINK("https://www.ncbi.nlm.nih.gov/nuccore/MT732475","NCBI Nucleotide")</f>
        <v>NCBI Nucleotide</v>
      </c>
    </row>
    <row r="2366" spans="1:27" x14ac:dyDescent="0.35">
      <c r="A2366">
        <v>1003124</v>
      </c>
      <c r="B2366">
        <v>2342</v>
      </c>
      <c r="C2366">
        <v>1</v>
      </c>
      <c r="D2366" s="17" t="s">
        <v>155</v>
      </c>
      <c r="E2366" s="17"/>
      <c r="F2366" s="17" t="s">
        <v>156</v>
      </c>
      <c r="G2366" s="17"/>
      <c r="H2366" s="17" t="s">
        <v>692</v>
      </c>
      <c r="I2366" s="17"/>
      <c r="J2366" s="17" t="s">
        <v>693</v>
      </c>
      <c r="K2366" s="17"/>
      <c r="L2366" s="17"/>
      <c r="M2366" s="17"/>
      <c r="N2366" s="17" t="s">
        <v>10059</v>
      </c>
      <c r="O2366" s="17"/>
      <c r="P2366" s="17" t="s">
        <v>10064</v>
      </c>
      <c r="Q2366" s="17"/>
      <c r="R2366" s="25" t="str">
        <f>HYPERLINK("https://ictv.global/taxonomy/taxondetails?taxnode_id=202310015","Pippivirus lotta")</f>
        <v>Pippivirus lotta</v>
      </c>
      <c r="S2366" s="18" t="s">
        <v>30</v>
      </c>
      <c r="T2366" s="18" t="s">
        <v>10065</v>
      </c>
      <c r="U2366" s="18"/>
      <c r="V2366" s="18"/>
      <c r="W2366" s="18" t="s">
        <v>10066</v>
      </c>
      <c r="X2366" s="18" t="s">
        <v>42</v>
      </c>
      <c r="Y2366" s="18" t="s">
        <v>36</v>
      </c>
      <c r="Z2366" s="18" t="s">
        <v>697</v>
      </c>
      <c r="AA2366" s="21" t="str">
        <f>HYPERLINK("https://www.ncbi.nlm.nih.gov/nuccore/MN812203","NCBI Nucleotide")</f>
        <v>NCBI Nucleotide</v>
      </c>
    </row>
    <row r="2367" spans="1:27" x14ac:dyDescent="0.35">
      <c r="A2367">
        <v>1003125</v>
      </c>
      <c r="B2367">
        <v>2343</v>
      </c>
      <c r="C2367">
        <v>1</v>
      </c>
      <c r="D2367" s="17" t="s">
        <v>155</v>
      </c>
      <c r="E2367" s="17"/>
      <c r="F2367" s="17" t="s">
        <v>156</v>
      </c>
      <c r="G2367" s="17"/>
      <c r="H2367" s="17" t="s">
        <v>692</v>
      </c>
      <c r="I2367" s="17"/>
      <c r="J2367" s="17" t="s">
        <v>693</v>
      </c>
      <c r="K2367" s="17"/>
      <c r="L2367" s="17"/>
      <c r="M2367" s="17"/>
      <c r="N2367" s="17" t="s">
        <v>10059</v>
      </c>
      <c r="O2367" s="17"/>
      <c r="P2367" s="17" t="s">
        <v>10064</v>
      </c>
      <c r="Q2367" s="17"/>
      <c r="R2367" s="25" t="str">
        <f>HYPERLINK("https://ictv.global/taxonomy/taxondetails?taxnode_id=202310014","Pippivirus pippi")</f>
        <v>Pippivirus pippi</v>
      </c>
      <c r="S2367" s="18" t="s">
        <v>30</v>
      </c>
      <c r="T2367" s="18" t="s">
        <v>10067</v>
      </c>
      <c r="U2367" s="18"/>
      <c r="V2367" s="18"/>
      <c r="W2367" s="18" t="s">
        <v>10068</v>
      </c>
      <c r="X2367" s="18" t="s">
        <v>42</v>
      </c>
      <c r="Y2367" s="18" t="s">
        <v>36</v>
      </c>
      <c r="Z2367" s="18" t="s">
        <v>697</v>
      </c>
      <c r="AA2367" s="21" t="str">
        <f>HYPERLINK("https://www.ncbi.nlm.nih.gov/nuccore/MN812205","NCBI Nucleotide")</f>
        <v>NCBI Nucleotide</v>
      </c>
    </row>
    <row r="2368" spans="1:27" x14ac:dyDescent="0.35">
      <c r="A2368">
        <v>1024606</v>
      </c>
      <c r="B2368">
        <v>2344</v>
      </c>
      <c r="C2368">
        <v>1</v>
      </c>
      <c r="D2368" s="17" t="s">
        <v>155</v>
      </c>
      <c r="E2368" s="17"/>
      <c r="F2368" s="17" t="s">
        <v>156</v>
      </c>
      <c r="G2368" s="17"/>
      <c r="H2368" s="17" t="s">
        <v>692</v>
      </c>
      <c r="I2368" s="17"/>
      <c r="J2368" s="17" t="s">
        <v>693</v>
      </c>
      <c r="K2368" s="17"/>
      <c r="L2368" s="17"/>
      <c r="M2368" s="17"/>
      <c r="N2368" s="17" t="s">
        <v>10069</v>
      </c>
      <c r="O2368" s="17" t="s">
        <v>10070</v>
      </c>
      <c r="P2368" s="17" t="s">
        <v>39521</v>
      </c>
      <c r="Q2368" s="17"/>
      <c r="R2368" s="25" t="str">
        <f>HYPERLINK("https://ictv.global/taxonomy/taxondetails?taxnode_id=202318264","Commandariavirus commandaria")</f>
        <v>Commandariavirus commandaria</v>
      </c>
      <c r="S2368" s="18" t="s">
        <v>30</v>
      </c>
      <c r="T2368" s="18" t="s">
        <v>39522</v>
      </c>
      <c r="U2368" s="18"/>
      <c r="V2368" s="18"/>
      <c r="W2368" s="18" t="s">
        <v>48239</v>
      </c>
      <c r="X2368" s="18" t="s">
        <v>42</v>
      </c>
      <c r="Y2368" s="18" t="s">
        <v>36</v>
      </c>
      <c r="Z2368" s="18" t="s">
        <v>697</v>
      </c>
      <c r="AA2368" s="21" t="str">
        <f>HYPERLINK("https://www.ncbi.nlm.nih.gov/nuccore/OQ709208","NCBI Nucleotide")</f>
        <v>NCBI Nucleotide</v>
      </c>
    </row>
    <row r="2369" spans="1:27" x14ac:dyDescent="0.35">
      <c r="A2369">
        <v>1003126</v>
      </c>
      <c r="B2369">
        <v>2345</v>
      </c>
      <c r="C2369">
        <v>1</v>
      </c>
      <c r="D2369" s="17" t="s">
        <v>155</v>
      </c>
      <c r="E2369" s="17"/>
      <c r="F2369" s="17" t="s">
        <v>156</v>
      </c>
      <c r="G2369" s="17"/>
      <c r="H2369" s="17" t="s">
        <v>692</v>
      </c>
      <c r="I2369" s="17"/>
      <c r="J2369" s="17" t="s">
        <v>693</v>
      </c>
      <c r="K2369" s="17"/>
      <c r="L2369" s="17"/>
      <c r="M2369" s="17"/>
      <c r="N2369" s="17" t="s">
        <v>10069</v>
      </c>
      <c r="O2369" s="17" t="s">
        <v>10070</v>
      </c>
      <c r="P2369" s="17" t="s">
        <v>10071</v>
      </c>
      <c r="Q2369" s="17"/>
      <c r="R2369" s="25" t="str">
        <f>HYPERLINK("https://ictv.global/taxonomy/taxondetails?taxnode_id=202313403","Foxborovirus emianna")</f>
        <v>Foxborovirus emianna</v>
      </c>
      <c r="S2369" s="18" t="s">
        <v>30</v>
      </c>
      <c r="T2369" s="18" t="s">
        <v>10072</v>
      </c>
      <c r="U2369" s="18"/>
      <c r="V2369" s="18"/>
      <c r="W2369" s="18" t="s">
        <v>10073</v>
      </c>
      <c r="X2369" s="18" t="s">
        <v>42</v>
      </c>
      <c r="Y2369" s="18" t="s">
        <v>36</v>
      </c>
      <c r="Z2369" s="18" t="s">
        <v>697</v>
      </c>
      <c r="AA2369" s="21" t="str">
        <f>HYPERLINK("https://www.ncbi.nlm.nih.gov/nuccore/MH779501","NCBI Nucleotide")</f>
        <v>NCBI Nucleotide</v>
      </c>
    </row>
    <row r="2370" spans="1:27" x14ac:dyDescent="0.35">
      <c r="A2370">
        <v>1003127</v>
      </c>
      <c r="B2370">
        <v>2346</v>
      </c>
      <c r="C2370">
        <v>1</v>
      </c>
      <c r="D2370" s="17" t="s">
        <v>155</v>
      </c>
      <c r="E2370" s="17"/>
      <c r="F2370" s="17" t="s">
        <v>156</v>
      </c>
      <c r="G2370" s="17"/>
      <c r="H2370" s="17" t="s">
        <v>692</v>
      </c>
      <c r="I2370" s="17"/>
      <c r="J2370" s="17" t="s">
        <v>693</v>
      </c>
      <c r="K2370" s="17"/>
      <c r="L2370" s="17"/>
      <c r="M2370" s="17"/>
      <c r="N2370" s="17" t="s">
        <v>10069</v>
      </c>
      <c r="O2370" s="17" t="s">
        <v>10070</v>
      </c>
      <c r="P2370" s="17" t="s">
        <v>10071</v>
      </c>
      <c r="Q2370" s="17"/>
      <c r="R2370" s="25" t="str">
        <f>HYPERLINK("https://ictv.global/taxonomy/taxondetails?taxnode_id=202313400","Foxborovirus foxboro")</f>
        <v>Foxborovirus foxboro</v>
      </c>
      <c r="S2370" s="18" t="s">
        <v>30</v>
      </c>
      <c r="T2370" s="18" t="s">
        <v>10074</v>
      </c>
      <c r="U2370" s="18"/>
      <c r="V2370" s="18"/>
      <c r="W2370" s="18" t="s">
        <v>10075</v>
      </c>
      <c r="X2370" s="18" t="s">
        <v>42</v>
      </c>
      <c r="Y2370" s="18" t="s">
        <v>36</v>
      </c>
      <c r="Z2370" s="18" t="s">
        <v>697</v>
      </c>
      <c r="AA2370" s="21" t="str">
        <f>HYPERLINK("https://www.ncbi.nlm.nih.gov/nuccore/MH727547","NCBI Nucleotide")</f>
        <v>NCBI Nucleotide</v>
      </c>
    </row>
    <row r="2371" spans="1:27" x14ac:dyDescent="0.35">
      <c r="A2371">
        <v>1003128</v>
      </c>
      <c r="B2371">
        <v>2347</v>
      </c>
      <c r="C2371">
        <v>1</v>
      </c>
      <c r="D2371" s="17" t="s">
        <v>155</v>
      </c>
      <c r="E2371" s="17"/>
      <c r="F2371" s="17" t="s">
        <v>156</v>
      </c>
      <c r="G2371" s="17"/>
      <c r="H2371" s="17" t="s">
        <v>692</v>
      </c>
      <c r="I2371" s="17"/>
      <c r="J2371" s="17" t="s">
        <v>693</v>
      </c>
      <c r="K2371" s="17"/>
      <c r="L2371" s="17"/>
      <c r="M2371" s="17"/>
      <c r="N2371" s="17" t="s">
        <v>10069</v>
      </c>
      <c r="O2371" s="17" t="s">
        <v>10070</v>
      </c>
      <c r="P2371" s="17" t="s">
        <v>10071</v>
      </c>
      <c r="Q2371" s="17"/>
      <c r="R2371" s="25" t="str">
        <f>HYPERLINK("https://ictv.global/taxonomy/taxondetails?taxnode_id=202313401","Foxborovirus GTE8")</f>
        <v>Foxborovirus GTE8</v>
      </c>
      <c r="S2371" s="18" t="s">
        <v>30</v>
      </c>
      <c r="T2371" s="18" t="s">
        <v>10076</v>
      </c>
      <c r="U2371" s="18"/>
      <c r="V2371" s="18"/>
      <c r="W2371" s="18" t="s">
        <v>10077</v>
      </c>
      <c r="X2371" s="18" t="s">
        <v>42</v>
      </c>
      <c r="Y2371" s="18" t="s">
        <v>36</v>
      </c>
      <c r="Z2371" s="18" t="s">
        <v>697</v>
      </c>
      <c r="AA2371" s="21" t="str">
        <f>HYPERLINK("https://www.ncbi.nlm.nih.gov/nuccore/KR053201","NCBI Nucleotide")</f>
        <v>NCBI Nucleotide</v>
      </c>
    </row>
    <row r="2372" spans="1:27" x14ac:dyDescent="0.35">
      <c r="A2372">
        <v>1003129</v>
      </c>
      <c r="B2372">
        <v>2348</v>
      </c>
      <c r="C2372">
        <v>1</v>
      </c>
      <c r="D2372" s="17" t="s">
        <v>155</v>
      </c>
      <c r="E2372" s="17"/>
      <c r="F2372" s="17" t="s">
        <v>156</v>
      </c>
      <c r="G2372" s="17"/>
      <c r="H2372" s="17" t="s">
        <v>692</v>
      </c>
      <c r="I2372" s="17"/>
      <c r="J2372" s="17" t="s">
        <v>693</v>
      </c>
      <c r="K2372" s="17"/>
      <c r="L2372" s="17"/>
      <c r="M2372" s="17"/>
      <c r="N2372" s="17" t="s">
        <v>10069</v>
      </c>
      <c r="O2372" s="17" t="s">
        <v>10070</v>
      </c>
      <c r="P2372" s="17" t="s">
        <v>10071</v>
      </c>
      <c r="Q2372" s="17"/>
      <c r="R2372" s="25" t="str">
        <f>HYPERLINK("https://ictv.global/taxonomy/taxondetails?taxnode_id=202313402","Foxborovirus kidneybean")</f>
        <v>Foxborovirus kidneybean</v>
      </c>
      <c r="S2372" s="18" t="s">
        <v>30</v>
      </c>
      <c r="T2372" s="18" t="s">
        <v>10078</v>
      </c>
      <c r="U2372" s="18"/>
      <c r="V2372" s="18"/>
      <c r="W2372" s="18" t="s">
        <v>10079</v>
      </c>
      <c r="X2372" s="18" t="s">
        <v>42</v>
      </c>
      <c r="Y2372" s="18" t="s">
        <v>36</v>
      </c>
      <c r="Z2372" s="18" t="s">
        <v>697</v>
      </c>
      <c r="AA2372" s="21" t="str">
        <f>HYPERLINK("https://www.ncbi.nlm.nih.gov/nuccore/MH727552","NCBI Nucleotide")</f>
        <v>NCBI Nucleotide</v>
      </c>
    </row>
    <row r="2373" spans="1:27" x14ac:dyDescent="0.35">
      <c r="A2373">
        <v>1003130</v>
      </c>
      <c r="B2373">
        <v>2349</v>
      </c>
      <c r="C2373">
        <v>1</v>
      </c>
      <c r="D2373" s="17" t="s">
        <v>155</v>
      </c>
      <c r="E2373" s="17"/>
      <c r="F2373" s="17" t="s">
        <v>156</v>
      </c>
      <c r="G2373" s="17"/>
      <c r="H2373" s="17" t="s">
        <v>692</v>
      </c>
      <c r="I2373" s="17"/>
      <c r="J2373" s="17" t="s">
        <v>693</v>
      </c>
      <c r="K2373" s="17"/>
      <c r="L2373" s="17"/>
      <c r="M2373" s="17"/>
      <c r="N2373" s="17" t="s">
        <v>10069</v>
      </c>
      <c r="O2373" s="17" t="s">
        <v>10070</v>
      </c>
      <c r="P2373" s="17" t="s">
        <v>10071</v>
      </c>
      <c r="Q2373" s="17"/>
      <c r="R2373" s="25" t="str">
        <f>HYPERLINK("https://ictv.global/taxonomy/taxondetails?taxnode_id=202313404","Foxborovirus NatB6")</f>
        <v>Foxborovirus NatB6</v>
      </c>
      <c r="S2373" s="18" t="s">
        <v>30</v>
      </c>
      <c r="T2373" s="18" t="s">
        <v>10080</v>
      </c>
      <c r="U2373" s="18"/>
      <c r="V2373" s="18"/>
      <c r="W2373" s="18" t="s">
        <v>10081</v>
      </c>
      <c r="X2373" s="18" t="s">
        <v>42</v>
      </c>
      <c r="Y2373" s="18" t="s">
        <v>36</v>
      </c>
      <c r="Z2373" s="18" t="s">
        <v>697</v>
      </c>
      <c r="AA2373" s="21" t="str">
        <f>HYPERLINK("https://www.ncbi.nlm.nih.gov/nuccore/MH536824","NCBI Nucleotide")</f>
        <v>NCBI Nucleotide</v>
      </c>
    </row>
    <row r="2374" spans="1:27" x14ac:dyDescent="0.35">
      <c r="A2374">
        <v>1003131</v>
      </c>
      <c r="B2374">
        <v>2350</v>
      </c>
      <c r="C2374">
        <v>1</v>
      </c>
      <c r="D2374" s="17" t="s">
        <v>155</v>
      </c>
      <c r="E2374" s="17"/>
      <c r="F2374" s="17" t="s">
        <v>156</v>
      </c>
      <c r="G2374" s="17"/>
      <c r="H2374" s="17" t="s">
        <v>692</v>
      </c>
      <c r="I2374" s="17"/>
      <c r="J2374" s="17" t="s">
        <v>693</v>
      </c>
      <c r="K2374" s="17"/>
      <c r="L2374" s="17"/>
      <c r="M2374" s="17"/>
      <c r="N2374" s="17" t="s">
        <v>10069</v>
      </c>
      <c r="O2374" s="17" t="s">
        <v>10070</v>
      </c>
      <c r="P2374" s="17" t="s">
        <v>10082</v>
      </c>
      <c r="Q2374" s="17"/>
      <c r="R2374" s="25" t="str">
        <f>HYPERLINK("https://ictv.global/taxonomy/taxondetails?taxnode_id=202313415","Gruunavirus flapper")</f>
        <v>Gruunavirus flapper</v>
      </c>
      <c r="S2374" s="18" t="s">
        <v>30</v>
      </c>
      <c r="T2374" s="18" t="s">
        <v>10083</v>
      </c>
      <c r="U2374" s="18"/>
      <c r="V2374" s="18"/>
      <c r="W2374" s="18" t="s">
        <v>10084</v>
      </c>
      <c r="X2374" s="18" t="s">
        <v>42</v>
      </c>
      <c r="Y2374" s="18" t="s">
        <v>36</v>
      </c>
      <c r="Z2374" s="18" t="s">
        <v>697</v>
      </c>
      <c r="AA2374" s="21" t="str">
        <f>HYPERLINK("https://www.ncbi.nlm.nih.gov/nuccore/MG757157","NCBI Nucleotide")</f>
        <v>NCBI Nucleotide</v>
      </c>
    </row>
    <row r="2375" spans="1:27" x14ac:dyDescent="0.35">
      <c r="A2375">
        <v>1003132</v>
      </c>
      <c r="B2375">
        <v>2351</v>
      </c>
      <c r="C2375">
        <v>1</v>
      </c>
      <c r="D2375" s="17" t="s">
        <v>155</v>
      </c>
      <c r="E2375" s="17"/>
      <c r="F2375" s="17" t="s">
        <v>156</v>
      </c>
      <c r="G2375" s="17"/>
      <c r="H2375" s="17" t="s">
        <v>692</v>
      </c>
      <c r="I2375" s="17"/>
      <c r="J2375" s="17" t="s">
        <v>693</v>
      </c>
      <c r="K2375" s="17"/>
      <c r="L2375" s="17"/>
      <c r="M2375" s="17"/>
      <c r="N2375" s="17" t="s">
        <v>10069</v>
      </c>
      <c r="O2375" s="17" t="s">
        <v>10070</v>
      </c>
      <c r="P2375" s="17" t="s">
        <v>10082</v>
      </c>
      <c r="Q2375" s="17"/>
      <c r="R2375" s="25" t="str">
        <f>HYPERLINK("https://ictv.global/taxonomy/taxondetails?taxnode_id=202313412","Gruunavirus GRU1")</f>
        <v>Gruunavirus GRU1</v>
      </c>
      <c r="S2375" s="18" t="s">
        <v>30</v>
      </c>
      <c r="T2375" s="18" t="s">
        <v>10085</v>
      </c>
      <c r="U2375" s="18"/>
      <c r="V2375" s="18"/>
      <c r="W2375" s="18" t="s">
        <v>10086</v>
      </c>
      <c r="X2375" s="18" t="s">
        <v>42</v>
      </c>
      <c r="Y2375" s="18" t="s">
        <v>36</v>
      </c>
      <c r="Z2375" s="18" t="s">
        <v>697</v>
      </c>
      <c r="AA2375" s="21" t="str">
        <f>HYPERLINK("https://www.ncbi.nlm.nih.gov/nuccore/JF923797","NCBI Nucleotide")</f>
        <v>NCBI Nucleotide</v>
      </c>
    </row>
    <row r="2376" spans="1:27" x14ac:dyDescent="0.35">
      <c r="A2376">
        <v>1003133</v>
      </c>
      <c r="B2376">
        <v>2352</v>
      </c>
      <c r="C2376">
        <v>1</v>
      </c>
      <c r="D2376" s="17" t="s">
        <v>155</v>
      </c>
      <c r="E2376" s="17"/>
      <c r="F2376" s="17" t="s">
        <v>156</v>
      </c>
      <c r="G2376" s="17"/>
      <c r="H2376" s="17" t="s">
        <v>692</v>
      </c>
      <c r="I2376" s="17"/>
      <c r="J2376" s="17" t="s">
        <v>693</v>
      </c>
      <c r="K2376" s="17"/>
      <c r="L2376" s="17"/>
      <c r="M2376" s="17"/>
      <c r="N2376" s="17" t="s">
        <v>10069</v>
      </c>
      <c r="O2376" s="17" t="s">
        <v>10070</v>
      </c>
      <c r="P2376" s="17" t="s">
        <v>10082</v>
      </c>
      <c r="Q2376" s="17"/>
      <c r="R2376" s="25" t="str">
        <f>HYPERLINK("https://ictv.global/taxonomy/taxondetails?taxnode_id=202313414","Gruunavirus GTE5")</f>
        <v>Gruunavirus GTE5</v>
      </c>
      <c r="S2376" s="18" t="s">
        <v>30</v>
      </c>
      <c r="T2376" s="18" t="s">
        <v>10087</v>
      </c>
      <c r="U2376" s="18"/>
      <c r="V2376" s="18"/>
      <c r="W2376" s="18" t="s">
        <v>10088</v>
      </c>
      <c r="X2376" s="18" t="s">
        <v>42</v>
      </c>
      <c r="Y2376" s="18" t="s">
        <v>36</v>
      </c>
      <c r="Z2376" s="18" t="s">
        <v>697</v>
      </c>
      <c r="AA2376" s="21" t="str">
        <f>HYPERLINK("https://www.ncbi.nlm.nih.gov/nuccore/JF923796","NCBI Nucleotide")</f>
        <v>NCBI Nucleotide</v>
      </c>
    </row>
    <row r="2377" spans="1:27" x14ac:dyDescent="0.35">
      <c r="A2377">
        <v>1003134</v>
      </c>
      <c r="B2377">
        <v>2353</v>
      </c>
      <c r="C2377">
        <v>1</v>
      </c>
      <c r="D2377" s="17" t="s">
        <v>155</v>
      </c>
      <c r="E2377" s="17"/>
      <c r="F2377" s="17" t="s">
        <v>156</v>
      </c>
      <c r="G2377" s="17"/>
      <c r="H2377" s="17" t="s">
        <v>692</v>
      </c>
      <c r="I2377" s="17"/>
      <c r="J2377" s="17" t="s">
        <v>693</v>
      </c>
      <c r="K2377" s="17"/>
      <c r="L2377" s="17"/>
      <c r="M2377" s="17"/>
      <c r="N2377" s="17" t="s">
        <v>10069</v>
      </c>
      <c r="O2377" s="17" t="s">
        <v>10070</v>
      </c>
      <c r="P2377" s="17" t="s">
        <v>10082</v>
      </c>
      <c r="Q2377" s="17"/>
      <c r="R2377" s="25" t="str">
        <f>HYPERLINK("https://ictv.global/taxonomy/taxondetails?taxnode_id=202313413","Gruunavirus turuncu")</f>
        <v>Gruunavirus turuncu</v>
      </c>
      <c r="S2377" s="18" t="s">
        <v>30</v>
      </c>
      <c r="T2377" s="18" t="s">
        <v>10089</v>
      </c>
      <c r="U2377" s="18"/>
      <c r="V2377" s="18"/>
      <c r="W2377" s="18" t="s">
        <v>10090</v>
      </c>
      <c r="X2377" s="18" t="s">
        <v>42</v>
      </c>
      <c r="Y2377" s="18" t="s">
        <v>36</v>
      </c>
      <c r="Z2377" s="18" t="s">
        <v>697</v>
      </c>
      <c r="AA2377" s="21" t="str">
        <f>HYPERLINK("https://www.ncbi.nlm.nih.gov/nuccore/MH744424","NCBI Nucleotide")</f>
        <v>NCBI Nucleotide</v>
      </c>
    </row>
    <row r="2378" spans="1:27" x14ac:dyDescent="0.35">
      <c r="A2378">
        <v>1003135</v>
      </c>
      <c r="B2378">
        <v>2354</v>
      </c>
      <c r="C2378">
        <v>1</v>
      </c>
      <c r="D2378" s="17" t="s">
        <v>155</v>
      </c>
      <c r="E2378" s="17"/>
      <c r="F2378" s="17" t="s">
        <v>156</v>
      </c>
      <c r="G2378" s="17"/>
      <c r="H2378" s="17" t="s">
        <v>692</v>
      </c>
      <c r="I2378" s="17"/>
      <c r="J2378" s="17" t="s">
        <v>693</v>
      </c>
      <c r="K2378" s="17"/>
      <c r="L2378" s="17"/>
      <c r="M2378" s="17"/>
      <c r="N2378" s="17" t="s">
        <v>10069</v>
      </c>
      <c r="O2378" s="17" t="s">
        <v>10070</v>
      </c>
      <c r="P2378" s="17" t="s">
        <v>10091</v>
      </c>
      <c r="Q2378" s="17"/>
      <c r="R2378" s="25" t="str">
        <f>HYPERLINK("https://ictv.global/taxonomy/taxondetails?taxnode_id=202313397","Kablunavirus buggaboo")</f>
        <v>Kablunavirus buggaboo</v>
      </c>
      <c r="S2378" s="18" t="s">
        <v>30</v>
      </c>
      <c r="T2378" s="18" t="s">
        <v>10092</v>
      </c>
      <c r="U2378" s="18"/>
      <c r="V2378" s="18"/>
      <c r="W2378" s="18" t="s">
        <v>10093</v>
      </c>
      <c r="X2378" s="18" t="s">
        <v>42</v>
      </c>
      <c r="Y2378" s="18" t="s">
        <v>36</v>
      </c>
      <c r="Z2378" s="18" t="s">
        <v>697</v>
      </c>
      <c r="AA2378" s="21" t="str">
        <f>HYPERLINK("https://www.ncbi.nlm.nih.gov/nuccore/MH779499","NCBI Nucleotide")</f>
        <v>NCBI Nucleotide</v>
      </c>
    </row>
    <row r="2379" spans="1:27" x14ac:dyDescent="0.35">
      <c r="A2379">
        <v>1003136</v>
      </c>
      <c r="B2379">
        <v>2355</v>
      </c>
      <c r="C2379">
        <v>1</v>
      </c>
      <c r="D2379" s="17" t="s">
        <v>155</v>
      </c>
      <c r="E2379" s="17"/>
      <c r="F2379" s="17" t="s">
        <v>156</v>
      </c>
      <c r="G2379" s="17"/>
      <c r="H2379" s="17" t="s">
        <v>692</v>
      </c>
      <c r="I2379" s="17"/>
      <c r="J2379" s="17" t="s">
        <v>693</v>
      </c>
      <c r="K2379" s="17"/>
      <c r="L2379" s="17"/>
      <c r="M2379" s="17"/>
      <c r="N2379" s="17" t="s">
        <v>10069</v>
      </c>
      <c r="O2379" s="17" t="s">
        <v>10070</v>
      </c>
      <c r="P2379" s="17" t="s">
        <v>10091</v>
      </c>
      <c r="Q2379" s="17"/>
      <c r="R2379" s="25" t="str">
        <f>HYPERLINK("https://ictv.global/taxonomy/taxondetails?taxnode_id=202313396","Kablunavirus kabluna")</f>
        <v>Kablunavirus kabluna</v>
      </c>
      <c r="S2379" s="18" t="s">
        <v>30</v>
      </c>
      <c r="T2379" s="18" t="s">
        <v>10094</v>
      </c>
      <c r="U2379" s="18"/>
      <c r="V2379" s="18"/>
      <c r="W2379" s="18" t="s">
        <v>10095</v>
      </c>
      <c r="X2379" s="18" t="s">
        <v>42</v>
      </c>
      <c r="Y2379" s="18" t="s">
        <v>36</v>
      </c>
      <c r="Z2379" s="18" t="s">
        <v>697</v>
      </c>
      <c r="AA2379" s="21" t="str">
        <f>HYPERLINK("https://www.ncbi.nlm.nih.gov/nuccore/MF919510","NCBI Nucleotide")</f>
        <v>NCBI Nucleotide</v>
      </c>
    </row>
    <row r="2380" spans="1:27" x14ac:dyDescent="0.35">
      <c r="A2380">
        <v>1003137</v>
      </c>
      <c r="B2380">
        <v>2356</v>
      </c>
      <c r="C2380">
        <v>1</v>
      </c>
      <c r="D2380" s="17" t="s">
        <v>155</v>
      </c>
      <c r="E2380" s="17"/>
      <c r="F2380" s="17" t="s">
        <v>156</v>
      </c>
      <c r="G2380" s="17"/>
      <c r="H2380" s="17" t="s">
        <v>692</v>
      </c>
      <c r="I2380" s="17"/>
      <c r="J2380" s="17" t="s">
        <v>693</v>
      </c>
      <c r="K2380" s="17"/>
      <c r="L2380" s="17"/>
      <c r="M2380" s="17"/>
      <c r="N2380" s="17" t="s">
        <v>10069</v>
      </c>
      <c r="O2380" s="17" t="s">
        <v>10070</v>
      </c>
      <c r="P2380" s="17" t="s">
        <v>10091</v>
      </c>
      <c r="Q2380" s="17"/>
      <c r="R2380" s="25" t="str">
        <f>HYPERLINK("https://ictv.global/taxonomy/taxondetails?taxnode_id=202313398","Kablunavirus nosilaM")</f>
        <v>Kablunavirus nosilaM</v>
      </c>
      <c r="S2380" s="18" t="s">
        <v>30</v>
      </c>
      <c r="T2380" s="18" t="s">
        <v>10096</v>
      </c>
      <c r="U2380" s="18"/>
      <c r="V2380" s="18"/>
      <c r="W2380" s="18" t="s">
        <v>10097</v>
      </c>
      <c r="X2380" s="18" t="s">
        <v>42</v>
      </c>
      <c r="Y2380" s="18" t="s">
        <v>36</v>
      </c>
      <c r="Z2380" s="18" t="s">
        <v>697</v>
      </c>
      <c r="AA2380" s="21" t="str">
        <f>HYPERLINK("https://www.ncbi.nlm.nih.gov/nuccore/MK376962","NCBI Nucleotide")</f>
        <v>NCBI Nucleotide</v>
      </c>
    </row>
    <row r="2381" spans="1:27" x14ac:dyDescent="0.35">
      <c r="A2381">
        <v>1003138</v>
      </c>
      <c r="B2381">
        <v>2357</v>
      </c>
      <c r="C2381">
        <v>1</v>
      </c>
      <c r="D2381" s="17" t="s">
        <v>155</v>
      </c>
      <c r="E2381" s="17"/>
      <c r="F2381" s="17" t="s">
        <v>156</v>
      </c>
      <c r="G2381" s="17"/>
      <c r="H2381" s="17" t="s">
        <v>692</v>
      </c>
      <c r="I2381" s="17"/>
      <c r="J2381" s="17" t="s">
        <v>693</v>
      </c>
      <c r="K2381" s="17"/>
      <c r="L2381" s="17"/>
      <c r="M2381" s="17"/>
      <c r="N2381" s="17" t="s">
        <v>10069</v>
      </c>
      <c r="O2381" s="17" t="s">
        <v>10070</v>
      </c>
      <c r="P2381" s="17" t="s">
        <v>10098</v>
      </c>
      <c r="Q2381" s="17"/>
      <c r="R2381" s="25" t="str">
        <f>HYPERLINK("https://ictv.global/taxonomy/taxondetails?taxnode_id=202313406","Pleakleyvirus pleakley")</f>
        <v>Pleakleyvirus pleakley</v>
      </c>
      <c r="S2381" s="18" t="s">
        <v>30</v>
      </c>
      <c r="T2381" s="18" t="s">
        <v>10099</v>
      </c>
      <c r="U2381" s="18"/>
      <c r="V2381" s="18"/>
      <c r="W2381" s="18" t="s">
        <v>10100</v>
      </c>
      <c r="X2381" s="18" t="s">
        <v>42</v>
      </c>
      <c r="Y2381" s="18" t="s">
        <v>36</v>
      </c>
      <c r="Z2381" s="18" t="s">
        <v>697</v>
      </c>
      <c r="AA2381" s="21" t="str">
        <f>HYPERLINK("https://www.ncbi.nlm.nih.gov/nuccore/MH576960","NCBI Nucleotide")</f>
        <v>NCBI Nucleotide</v>
      </c>
    </row>
    <row r="2382" spans="1:27" x14ac:dyDescent="0.35">
      <c r="A2382">
        <v>1003139</v>
      </c>
      <c r="B2382">
        <v>2358</v>
      </c>
      <c r="C2382">
        <v>1</v>
      </c>
      <c r="D2382" s="17" t="s">
        <v>155</v>
      </c>
      <c r="E2382" s="17"/>
      <c r="F2382" s="17" t="s">
        <v>156</v>
      </c>
      <c r="G2382" s="17"/>
      <c r="H2382" s="17" t="s">
        <v>692</v>
      </c>
      <c r="I2382" s="17"/>
      <c r="J2382" s="17" t="s">
        <v>693</v>
      </c>
      <c r="K2382" s="17"/>
      <c r="L2382" s="17"/>
      <c r="M2382" s="17"/>
      <c r="N2382" s="17" t="s">
        <v>10069</v>
      </c>
      <c r="O2382" s="17" t="s">
        <v>10070</v>
      </c>
      <c r="P2382" s="17" t="s">
        <v>10101</v>
      </c>
      <c r="Q2382" s="17"/>
      <c r="R2382" s="25" t="str">
        <f>HYPERLINK("https://ictv.global/taxonomy/taxondetails?taxnode_id=202313410","Skysandvirus lollipop1437")</f>
        <v>Skysandvirus lollipop1437</v>
      </c>
      <c r="S2382" s="18" t="s">
        <v>30</v>
      </c>
      <c r="T2382" s="18" t="s">
        <v>10102</v>
      </c>
      <c r="U2382" s="18"/>
      <c r="V2382" s="18"/>
      <c r="W2382" s="18" t="s">
        <v>10103</v>
      </c>
      <c r="X2382" s="18" t="s">
        <v>42</v>
      </c>
      <c r="Y2382" s="18" t="s">
        <v>36</v>
      </c>
      <c r="Z2382" s="18" t="s">
        <v>697</v>
      </c>
      <c r="AA2382" s="21" t="str">
        <f>HYPERLINK("https://www.ncbi.nlm.nih.gov/nuccore/MK977699","NCBI Nucleotide")</f>
        <v>NCBI Nucleotide</v>
      </c>
    </row>
    <row r="2383" spans="1:27" x14ac:dyDescent="0.35">
      <c r="A2383">
        <v>1003140</v>
      </c>
      <c r="B2383">
        <v>2359</v>
      </c>
      <c r="C2383">
        <v>1</v>
      </c>
      <c r="D2383" s="17" t="s">
        <v>155</v>
      </c>
      <c r="E2383" s="17"/>
      <c r="F2383" s="17" t="s">
        <v>156</v>
      </c>
      <c r="G2383" s="17"/>
      <c r="H2383" s="17" t="s">
        <v>692</v>
      </c>
      <c r="I2383" s="17"/>
      <c r="J2383" s="17" t="s">
        <v>693</v>
      </c>
      <c r="K2383" s="17"/>
      <c r="L2383" s="17"/>
      <c r="M2383" s="17"/>
      <c r="N2383" s="17" t="s">
        <v>10069</v>
      </c>
      <c r="O2383" s="17" t="s">
        <v>10070</v>
      </c>
      <c r="P2383" s="17" t="s">
        <v>10101</v>
      </c>
      <c r="Q2383" s="17"/>
      <c r="R2383" s="25" t="str">
        <f>HYPERLINK("https://ictv.global/taxonomy/taxondetails?taxnode_id=202313409","Skysandvirus patio")</f>
        <v>Skysandvirus patio</v>
      </c>
      <c r="S2383" s="18" t="s">
        <v>30</v>
      </c>
      <c r="T2383" s="18" t="s">
        <v>10104</v>
      </c>
      <c r="U2383" s="18"/>
      <c r="V2383" s="18"/>
      <c r="W2383" s="18" t="s">
        <v>10105</v>
      </c>
      <c r="X2383" s="18" t="s">
        <v>42</v>
      </c>
      <c r="Y2383" s="18" t="s">
        <v>36</v>
      </c>
      <c r="Z2383" s="18" t="s">
        <v>697</v>
      </c>
      <c r="AA2383" s="21" t="str">
        <f>HYPERLINK("https://www.ncbi.nlm.nih.gov/nuccore/MF919542","NCBI Nucleotide")</f>
        <v>NCBI Nucleotide</v>
      </c>
    </row>
    <row r="2384" spans="1:27" x14ac:dyDescent="0.35">
      <c r="A2384">
        <v>1003141</v>
      </c>
      <c r="B2384">
        <v>2360</v>
      </c>
      <c r="C2384">
        <v>1</v>
      </c>
      <c r="D2384" s="17" t="s">
        <v>155</v>
      </c>
      <c r="E2384" s="17"/>
      <c r="F2384" s="17" t="s">
        <v>156</v>
      </c>
      <c r="G2384" s="17"/>
      <c r="H2384" s="17" t="s">
        <v>692</v>
      </c>
      <c r="I2384" s="17"/>
      <c r="J2384" s="17" t="s">
        <v>693</v>
      </c>
      <c r="K2384" s="17"/>
      <c r="L2384" s="17"/>
      <c r="M2384" s="17"/>
      <c r="N2384" s="17" t="s">
        <v>10069</v>
      </c>
      <c r="O2384" s="17" t="s">
        <v>10070</v>
      </c>
      <c r="P2384" s="17" t="s">
        <v>10101</v>
      </c>
      <c r="Q2384" s="17"/>
      <c r="R2384" s="25" t="str">
        <f>HYPERLINK("https://ictv.global/taxonomy/taxondetails?taxnode_id=202313408","Skysandvirus skysand")</f>
        <v>Skysandvirus skysand</v>
      </c>
      <c r="S2384" s="18" t="s">
        <v>30</v>
      </c>
      <c r="T2384" s="18" t="s">
        <v>10106</v>
      </c>
      <c r="U2384" s="18"/>
      <c r="V2384" s="18"/>
      <c r="W2384" s="18" t="s">
        <v>10107</v>
      </c>
      <c r="X2384" s="18" t="s">
        <v>42</v>
      </c>
      <c r="Y2384" s="18" t="s">
        <v>36</v>
      </c>
      <c r="Z2384" s="18" t="s">
        <v>697</v>
      </c>
      <c r="AA2384" s="21" t="str">
        <f>HYPERLINK("https://www.ncbi.nlm.nih.gov/nuccore/MH669013","NCBI Nucleotide")</f>
        <v>NCBI Nucleotide</v>
      </c>
    </row>
    <row r="2385" spans="1:27" x14ac:dyDescent="0.35">
      <c r="A2385">
        <v>1003142</v>
      </c>
      <c r="B2385">
        <v>2361</v>
      </c>
      <c r="C2385">
        <v>1</v>
      </c>
      <c r="D2385" s="17" t="s">
        <v>155</v>
      </c>
      <c r="E2385" s="17"/>
      <c r="F2385" s="17" t="s">
        <v>156</v>
      </c>
      <c r="G2385" s="17"/>
      <c r="H2385" s="17" t="s">
        <v>692</v>
      </c>
      <c r="I2385" s="17"/>
      <c r="J2385" s="17" t="s">
        <v>693</v>
      </c>
      <c r="K2385" s="17"/>
      <c r="L2385" s="17"/>
      <c r="M2385" s="17"/>
      <c r="N2385" s="17" t="s">
        <v>10069</v>
      </c>
      <c r="O2385" s="17" t="s">
        <v>10070</v>
      </c>
      <c r="P2385" s="17" t="s">
        <v>10108</v>
      </c>
      <c r="Q2385" s="17"/>
      <c r="R2385" s="25" t="str">
        <f>HYPERLINK("https://ictv.global/taxonomy/taxondetails?taxnode_id=202313392","Sukkupivirus idyn")</f>
        <v>Sukkupivirus idyn</v>
      </c>
      <c r="S2385" s="18" t="s">
        <v>30</v>
      </c>
      <c r="T2385" s="18" t="s">
        <v>10109</v>
      </c>
      <c r="U2385" s="18"/>
      <c r="V2385" s="18"/>
      <c r="W2385" s="18" t="s">
        <v>10110</v>
      </c>
      <c r="X2385" s="18" t="s">
        <v>42</v>
      </c>
      <c r="Y2385" s="18" t="s">
        <v>36</v>
      </c>
      <c r="Z2385" s="18" t="s">
        <v>697</v>
      </c>
      <c r="AA2385" s="21" t="str">
        <f>HYPERLINK("https://www.ncbi.nlm.nih.gov/nuccore/MK433272","NCBI Nucleotide")</f>
        <v>NCBI Nucleotide</v>
      </c>
    </row>
    <row r="2386" spans="1:27" x14ac:dyDescent="0.35">
      <c r="A2386">
        <v>1003143</v>
      </c>
      <c r="B2386">
        <v>2362</v>
      </c>
      <c r="C2386">
        <v>1</v>
      </c>
      <c r="D2386" s="17" t="s">
        <v>155</v>
      </c>
      <c r="E2386" s="17"/>
      <c r="F2386" s="17" t="s">
        <v>156</v>
      </c>
      <c r="G2386" s="17"/>
      <c r="H2386" s="17" t="s">
        <v>692</v>
      </c>
      <c r="I2386" s="17"/>
      <c r="J2386" s="17" t="s">
        <v>693</v>
      </c>
      <c r="K2386" s="17"/>
      <c r="L2386" s="17"/>
      <c r="M2386" s="17"/>
      <c r="N2386" s="17" t="s">
        <v>10069</v>
      </c>
      <c r="O2386" s="17" t="s">
        <v>10070</v>
      </c>
      <c r="P2386" s="17" t="s">
        <v>10108</v>
      </c>
      <c r="Q2386" s="17"/>
      <c r="R2386" s="25" t="str">
        <f>HYPERLINK("https://ictv.global/taxonomy/taxondetails?taxnode_id=202313394","Sukkupivirus marietta")</f>
        <v>Sukkupivirus marietta</v>
      </c>
      <c r="S2386" s="18" t="s">
        <v>30</v>
      </c>
      <c r="T2386" s="18" t="s">
        <v>10111</v>
      </c>
      <c r="U2386" s="18"/>
      <c r="V2386" s="18"/>
      <c r="W2386" s="18" t="s">
        <v>10112</v>
      </c>
      <c r="X2386" s="18" t="s">
        <v>42</v>
      </c>
      <c r="Y2386" s="18" t="s">
        <v>36</v>
      </c>
      <c r="Z2386" s="18" t="s">
        <v>697</v>
      </c>
      <c r="AA2386" s="21" t="str">
        <f>HYPERLINK("https://www.ncbi.nlm.nih.gov/nuccore/MH669007","NCBI Nucleotide")</f>
        <v>NCBI Nucleotide</v>
      </c>
    </row>
    <row r="2387" spans="1:27" x14ac:dyDescent="0.35">
      <c r="A2387">
        <v>1003144</v>
      </c>
      <c r="B2387">
        <v>2363</v>
      </c>
      <c r="C2387">
        <v>1</v>
      </c>
      <c r="D2387" s="17" t="s">
        <v>155</v>
      </c>
      <c r="E2387" s="17"/>
      <c r="F2387" s="17" t="s">
        <v>156</v>
      </c>
      <c r="G2387" s="17"/>
      <c r="H2387" s="17" t="s">
        <v>692</v>
      </c>
      <c r="I2387" s="17"/>
      <c r="J2387" s="17" t="s">
        <v>693</v>
      </c>
      <c r="K2387" s="17"/>
      <c r="L2387" s="17"/>
      <c r="M2387" s="17"/>
      <c r="N2387" s="17" t="s">
        <v>10069</v>
      </c>
      <c r="O2387" s="17" t="s">
        <v>10070</v>
      </c>
      <c r="P2387" s="17" t="s">
        <v>10108</v>
      </c>
      <c r="Q2387" s="17"/>
      <c r="R2387" s="25" t="str">
        <f>HYPERLINK("https://ictv.global/taxonomy/taxondetails?taxnode_id=202313393","Sukkupivirus nadinerae")</f>
        <v>Sukkupivirus nadinerae</v>
      </c>
      <c r="S2387" s="18" t="s">
        <v>30</v>
      </c>
      <c r="T2387" s="18" t="s">
        <v>10113</v>
      </c>
      <c r="U2387" s="18"/>
      <c r="V2387" s="18"/>
      <c r="W2387" s="18" t="s">
        <v>10114</v>
      </c>
      <c r="X2387" s="18" t="s">
        <v>42</v>
      </c>
      <c r="Y2387" s="18" t="s">
        <v>36</v>
      </c>
      <c r="Z2387" s="18" t="s">
        <v>697</v>
      </c>
      <c r="AA2387" s="21" t="str">
        <f>HYPERLINK("https://www.ncbi.nlm.nih.gov/nuccore/MN428063","NCBI Nucleotide")</f>
        <v>NCBI Nucleotide</v>
      </c>
    </row>
    <row r="2388" spans="1:27" x14ac:dyDescent="0.35">
      <c r="A2388">
        <v>1003145</v>
      </c>
      <c r="B2388">
        <v>2364</v>
      </c>
      <c r="C2388">
        <v>1</v>
      </c>
      <c r="D2388" s="17" t="s">
        <v>155</v>
      </c>
      <c r="E2388" s="17"/>
      <c r="F2388" s="17" t="s">
        <v>156</v>
      </c>
      <c r="G2388" s="17"/>
      <c r="H2388" s="17" t="s">
        <v>692</v>
      </c>
      <c r="I2388" s="17"/>
      <c r="J2388" s="17" t="s">
        <v>693</v>
      </c>
      <c r="K2388" s="17"/>
      <c r="L2388" s="17"/>
      <c r="M2388" s="17"/>
      <c r="N2388" s="17" t="s">
        <v>10069</v>
      </c>
      <c r="O2388" s="17" t="s">
        <v>10070</v>
      </c>
      <c r="P2388" s="17" t="s">
        <v>10108</v>
      </c>
      <c r="Q2388" s="17"/>
      <c r="R2388" s="25" t="str">
        <f>HYPERLINK("https://ictv.global/taxonomy/taxondetails?taxnode_id=202313391","Sukkupivirus sukkupi")</f>
        <v>Sukkupivirus sukkupi</v>
      </c>
      <c r="S2388" s="18" t="s">
        <v>30</v>
      </c>
      <c r="T2388" s="18" t="s">
        <v>10115</v>
      </c>
      <c r="U2388" s="18"/>
      <c r="V2388" s="18"/>
      <c r="W2388" s="18" t="s">
        <v>10116</v>
      </c>
      <c r="X2388" s="18" t="s">
        <v>42</v>
      </c>
      <c r="Y2388" s="18" t="s">
        <v>36</v>
      </c>
      <c r="Z2388" s="18" t="s">
        <v>697</v>
      </c>
      <c r="AA2388" s="21" t="str">
        <f>HYPERLINK("https://www.ncbi.nlm.nih.gov/nuccore/MN369753","NCBI Nucleotide")</f>
        <v>NCBI Nucleotide</v>
      </c>
    </row>
    <row r="2389" spans="1:27" x14ac:dyDescent="0.35">
      <c r="A2389">
        <v>1003146</v>
      </c>
      <c r="B2389">
        <v>2365</v>
      </c>
      <c r="C2389">
        <v>1</v>
      </c>
      <c r="D2389" s="17" t="s">
        <v>155</v>
      </c>
      <c r="E2389" s="17"/>
      <c r="F2389" s="17" t="s">
        <v>156</v>
      </c>
      <c r="G2389" s="17"/>
      <c r="H2389" s="17" t="s">
        <v>692</v>
      </c>
      <c r="I2389" s="17"/>
      <c r="J2389" s="17" t="s">
        <v>693</v>
      </c>
      <c r="K2389" s="17"/>
      <c r="L2389" s="17"/>
      <c r="M2389" s="17"/>
      <c r="N2389" s="17" t="s">
        <v>10069</v>
      </c>
      <c r="O2389" s="17" t="s">
        <v>10117</v>
      </c>
      <c r="P2389" s="17" t="s">
        <v>10118</v>
      </c>
      <c r="Q2389" s="17"/>
      <c r="R2389" s="25" t="str">
        <f>HYPERLINK("https://ictv.global/taxonomy/taxondetails?taxnode_id=202313417","Ceetrepovirus kimchi1738")</f>
        <v>Ceetrepovirus kimchi1738</v>
      </c>
      <c r="S2389" s="18" t="s">
        <v>30</v>
      </c>
      <c r="T2389" s="18" t="s">
        <v>10119</v>
      </c>
      <c r="U2389" s="18"/>
      <c r="V2389" s="18"/>
      <c r="W2389" s="18" t="s">
        <v>10120</v>
      </c>
      <c r="X2389" s="18" t="s">
        <v>42</v>
      </c>
      <c r="Y2389" s="18" t="s">
        <v>36</v>
      </c>
      <c r="Z2389" s="18" t="s">
        <v>697</v>
      </c>
      <c r="AA2389" s="21" t="str">
        <f>HYPERLINK("https://www.ncbi.nlm.nih.gov/nuccore/MH926057","NCBI Nucleotide")</f>
        <v>NCBI Nucleotide</v>
      </c>
    </row>
    <row r="2390" spans="1:27" x14ac:dyDescent="0.35">
      <c r="A2390">
        <v>1003147</v>
      </c>
      <c r="B2390">
        <v>2366</v>
      </c>
      <c r="C2390">
        <v>1</v>
      </c>
      <c r="D2390" s="17" t="s">
        <v>155</v>
      </c>
      <c r="E2390" s="17"/>
      <c r="F2390" s="17" t="s">
        <v>156</v>
      </c>
      <c r="G2390" s="17"/>
      <c r="H2390" s="17" t="s">
        <v>692</v>
      </c>
      <c r="I2390" s="17"/>
      <c r="J2390" s="17" t="s">
        <v>693</v>
      </c>
      <c r="K2390" s="17"/>
      <c r="L2390" s="17"/>
      <c r="M2390" s="17"/>
      <c r="N2390" s="17" t="s">
        <v>10069</v>
      </c>
      <c r="O2390" s="17" t="s">
        <v>10117</v>
      </c>
      <c r="P2390" s="17" t="s">
        <v>10118</v>
      </c>
      <c r="Q2390" s="17"/>
      <c r="R2390" s="25" t="str">
        <f>HYPERLINK("https://ictv.global/taxonomy/taxondetails?taxnode_id=202313418","Ceetrepovirus stickynote")</f>
        <v>Ceetrepovirus stickynote</v>
      </c>
      <c r="S2390" s="18" t="s">
        <v>30</v>
      </c>
      <c r="T2390" s="18" t="s">
        <v>10121</v>
      </c>
      <c r="U2390" s="18"/>
      <c r="V2390" s="18"/>
      <c r="W2390" s="18" t="s">
        <v>10122</v>
      </c>
      <c r="X2390" s="18" t="s">
        <v>42</v>
      </c>
      <c r="Y2390" s="18" t="s">
        <v>36</v>
      </c>
      <c r="Z2390" s="18" t="s">
        <v>697</v>
      </c>
      <c r="AA2390" s="21" t="str">
        <f>HYPERLINK("https://www.ncbi.nlm.nih.gov/nuccore/MK977700","NCBI Nucleotide")</f>
        <v>NCBI Nucleotide</v>
      </c>
    </row>
    <row r="2391" spans="1:27" x14ac:dyDescent="0.35">
      <c r="A2391">
        <v>1003148</v>
      </c>
      <c r="B2391">
        <v>2367</v>
      </c>
      <c r="C2391">
        <v>1</v>
      </c>
      <c r="D2391" s="17" t="s">
        <v>155</v>
      </c>
      <c r="E2391" s="17"/>
      <c r="F2391" s="17" t="s">
        <v>156</v>
      </c>
      <c r="G2391" s="17"/>
      <c r="H2391" s="17" t="s">
        <v>692</v>
      </c>
      <c r="I2391" s="17"/>
      <c r="J2391" s="17" t="s">
        <v>693</v>
      </c>
      <c r="K2391" s="17"/>
      <c r="L2391" s="17"/>
      <c r="M2391" s="17"/>
      <c r="N2391" s="17" t="s">
        <v>10069</v>
      </c>
      <c r="O2391" s="17" t="s">
        <v>10117</v>
      </c>
      <c r="P2391" s="17" t="s">
        <v>10118</v>
      </c>
      <c r="Q2391" s="17"/>
      <c r="R2391" s="25" t="str">
        <f>HYPERLINK("https://ictv.global/taxonomy/taxondetails?taxnode_id=202306763","Corynebacterium virus C3PO")</f>
        <v>Corynebacterium virus C3PO</v>
      </c>
      <c r="S2391" s="18" t="s">
        <v>30</v>
      </c>
      <c r="T2391" s="18" t="s">
        <v>10123</v>
      </c>
      <c r="U2391" s="18"/>
      <c r="V2391" s="18"/>
      <c r="W2391" s="18" t="s">
        <v>10124</v>
      </c>
      <c r="X2391" s="18" t="s">
        <v>42</v>
      </c>
      <c r="Y2391" s="18" t="s">
        <v>36</v>
      </c>
      <c r="Z2391" s="18" t="s">
        <v>697</v>
      </c>
      <c r="AA2391" s="21" t="str">
        <f>HYPERLINK("https://www.ncbi.nlm.nih.gov/nuccore/MG198776","NCBI Nucleotide")</f>
        <v>NCBI Nucleotide</v>
      </c>
    </row>
    <row r="2392" spans="1:27" x14ac:dyDescent="0.35">
      <c r="A2392">
        <v>1003149</v>
      </c>
      <c r="B2392">
        <v>2368</v>
      </c>
      <c r="C2392">
        <v>1</v>
      </c>
      <c r="D2392" s="17" t="s">
        <v>155</v>
      </c>
      <c r="E2392" s="17"/>
      <c r="F2392" s="17" t="s">
        <v>156</v>
      </c>
      <c r="G2392" s="17"/>
      <c r="H2392" s="17" t="s">
        <v>692</v>
      </c>
      <c r="I2392" s="17"/>
      <c r="J2392" s="17" t="s">
        <v>693</v>
      </c>
      <c r="K2392" s="17"/>
      <c r="L2392" s="17"/>
      <c r="M2392" s="17"/>
      <c r="N2392" s="17" t="s">
        <v>10069</v>
      </c>
      <c r="O2392" s="17" t="s">
        <v>10117</v>
      </c>
      <c r="P2392" s="17" t="s">
        <v>10118</v>
      </c>
      <c r="Q2392" s="17"/>
      <c r="R2392" s="25" t="str">
        <f>HYPERLINK("https://ictv.global/taxonomy/taxondetails?taxnode_id=202306765","Corynebacterium virus Darwin")</f>
        <v>Corynebacterium virus Darwin</v>
      </c>
      <c r="S2392" s="18" t="s">
        <v>30</v>
      </c>
      <c r="T2392" s="18" t="s">
        <v>10125</v>
      </c>
      <c r="U2392" s="18"/>
      <c r="V2392" s="18"/>
      <c r="W2392" s="18" t="s">
        <v>10126</v>
      </c>
      <c r="X2392" s="18" t="s">
        <v>42</v>
      </c>
      <c r="Y2392" s="18" t="s">
        <v>36</v>
      </c>
      <c r="Z2392" s="18" t="s">
        <v>697</v>
      </c>
      <c r="AA2392" s="21" t="str">
        <f>HYPERLINK("https://www.ncbi.nlm.nih.gov/nuccore/MG198777","NCBI Nucleotide")</f>
        <v>NCBI Nucleotide</v>
      </c>
    </row>
    <row r="2393" spans="1:27" x14ac:dyDescent="0.35">
      <c r="A2393">
        <v>1003150</v>
      </c>
      <c r="B2393">
        <v>2369</v>
      </c>
      <c r="C2393">
        <v>1</v>
      </c>
      <c r="D2393" s="17" t="s">
        <v>155</v>
      </c>
      <c r="E2393" s="17"/>
      <c r="F2393" s="17" t="s">
        <v>156</v>
      </c>
      <c r="G2393" s="17"/>
      <c r="H2393" s="17" t="s">
        <v>692</v>
      </c>
      <c r="I2393" s="17"/>
      <c r="J2393" s="17" t="s">
        <v>693</v>
      </c>
      <c r="K2393" s="17"/>
      <c r="L2393" s="17"/>
      <c r="M2393" s="17"/>
      <c r="N2393" s="17" t="s">
        <v>10069</v>
      </c>
      <c r="O2393" s="17" t="s">
        <v>10117</v>
      </c>
      <c r="P2393" s="17" t="s">
        <v>10118</v>
      </c>
      <c r="Q2393" s="17"/>
      <c r="R2393" s="25" t="str">
        <f>HYPERLINK("https://ictv.global/taxonomy/taxondetails?taxnode_id=202306764","Corynebacterium virus Zion")</f>
        <v>Corynebacterium virus Zion</v>
      </c>
      <c r="S2393" s="18" t="s">
        <v>30</v>
      </c>
      <c r="T2393" s="18" t="s">
        <v>10127</v>
      </c>
      <c r="U2393" s="18"/>
      <c r="V2393" s="18"/>
      <c r="W2393" s="18" t="s">
        <v>10128</v>
      </c>
      <c r="X2393" s="18" t="s">
        <v>42</v>
      </c>
      <c r="Y2393" s="18" t="s">
        <v>36</v>
      </c>
      <c r="Z2393" s="18" t="s">
        <v>697</v>
      </c>
      <c r="AA2393" s="21" t="str">
        <f>HYPERLINK("https://www.ncbi.nlm.nih.gov/nuccore/MG198780","NCBI Nucleotide")</f>
        <v>NCBI Nucleotide</v>
      </c>
    </row>
    <row r="2394" spans="1:27" x14ac:dyDescent="0.35">
      <c r="A2394">
        <v>1003151</v>
      </c>
      <c r="B2394">
        <v>2370</v>
      </c>
      <c r="C2394">
        <v>1</v>
      </c>
      <c r="D2394" s="17" t="s">
        <v>155</v>
      </c>
      <c r="E2394" s="17"/>
      <c r="F2394" s="17" t="s">
        <v>156</v>
      </c>
      <c r="G2394" s="17"/>
      <c r="H2394" s="17" t="s">
        <v>692</v>
      </c>
      <c r="I2394" s="17"/>
      <c r="J2394" s="17" t="s">
        <v>693</v>
      </c>
      <c r="K2394" s="17"/>
      <c r="L2394" s="17"/>
      <c r="M2394" s="17"/>
      <c r="N2394" s="17" t="s">
        <v>10069</v>
      </c>
      <c r="O2394" s="17" t="s">
        <v>10117</v>
      </c>
      <c r="P2394" s="17" t="s">
        <v>10129</v>
      </c>
      <c r="Q2394" s="17"/>
      <c r="R2394" s="25" t="str">
        <f>HYPERLINK("https://ictv.global/taxonomy/taxondetails?taxnode_id=202306767","Corynebacterium virus P1201")</f>
        <v>Corynebacterium virus P1201</v>
      </c>
      <c r="S2394" s="18" t="s">
        <v>30</v>
      </c>
      <c r="T2394" s="18" t="s">
        <v>10130</v>
      </c>
      <c r="U2394" s="18"/>
      <c r="V2394" s="18"/>
      <c r="W2394" s="18" t="s">
        <v>10131</v>
      </c>
      <c r="X2394" s="18" t="s">
        <v>42</v>
      </c>
      <c r="Y2394" s="18" t="s">
        <v>36</v>
      </c>
      <c r="Z2394" s="18" t="s">
        <v>697</v>
      </c>
      <c r="AA2394" s="21" t="str">
        <f>HYPERLINK("https://www.ncbi.nlm.nih.gov/nuccore/DQ499600","NCBI Nucleotide")</f>
        <v>NCBI Nucleotide</v>
      </c>
    </row>
    <row r="2395" spans="1:27" x14ac:dyDescent="0.35">
      <c r="A2395">
        <v>1003152</v>
      </c>
      <c r="B2395">
        <v>2371</v>
      </c>
      <c r="C2395">
        <v>1</v>
      </c>
      <c r="D2395" s="17" t="s">
        <v>155</v>
      </c>
      <c r="E2395" s="17"/>
      <c r="F2395" s="17" t="s">
        <v>156</v>
      </c>
      <c r="G2395" s="17"/>
      <c r="H2395" s="17" t="s">
        <v>692</v>
      </c>
      <c r="I2395" s="17"/>
      <c r="J2395" s="17" t="s">
        <v>693</v>
      </c>
      <c r="K2395" s="17"/>
      <c r="L2395" s="17"/>
      <c r="M2395" s="17"/>
      <c r="N2395" s="17" t="s">
        <v>10132</v>
      </c>
      <c r="O2395" s="17" t="s">
        <v>10153</v>
      </c>
      <c r="P2395" s="17" t="s">
        <v>10154</v>
      </c>
      <c r="Q2395" s="17"/>
      <c r="R2395" s="25" t="str">
        <f>HYPERLINK("https://ictv.global/taxonomy/taxondetails?taxnode_id=202300707","Siovirus americense")</f>
        <v>Siovirus americense</v>
      </c>
      <c r="S2395" s="18" t="s">
        <v>30</v>
      </c>
      <c r="T2395" s="18" t="s">
        <v>10155</v>
      </c>
      <c r="U2395" s="18"/>
      <c r="V2395" s="18"/>
      <c r="W2395" s="18" t="s">
        <v>10156</v>
      </c>
      <c r="X2395" s="18" t="s">
        <v>42</v>
      </c>
      <c r="Y2395" s="18" t="s">
        <v>36</v>
      </c>
      <c r="Z2395" s="18" t="s">
        <v>697</v>
      </c>
      <c r="AA2395" s="21" t="str">
        <f>HYPERLINK("https://www.ncbi.nlm.nih.gov/nuccore/AF189021","NCBI Nucleotide")</f>
        <v>NCBI Nucleotide</v>
      </c>
    </row>
    <row r="2396" spans="1:27" x14ac:dyDescent="0.35">
      <c r="A2396">
        <v>1003153</v>
      </c>
      <c r="B2396">
        <v>2372</v>
      </c>
      <c r="C2396">
        <v>1</v>
      </c>
      <c r="D2396" s="17" t="s">
        <v>155</v>
      </c>
      <c r="E2396" s="17"/>
      <c r="F2396" s="17" t="s">
        <v>156</v>
      </c>
      <c r="G2396" s="17"/>
      <c r="H2396" s="17" t="s">
        <v>692</v>
      </c>
      <c r="I2396" s="17"/>
      <c r="J2396" s="17" t="s">
        <v>693</v>
      </c>
      <c r="K2396" s="17"/>
      <c r="L2396" s="17"/>
      <c r="M2396" s="17"/>
      <c r="N2396" s="17" t="s">
        <v>10132</v>
      </c>
      <c r="O2396" s="17" t="s">
        <v>10153</v>
      </c>
      <c r="P2396" s="17" t="s">
        <v>10154</v>
      </c>
      <c r="Q2396" s="17"/>
      <c r="R2396" s="25" t="str">
        <f>HYPERLINK("https://ictv.global/taxonomy/taxondetails?taxnode_id=202312138","Siovirus coreense")</f>
        <v>Siovirus coreense</v>
      </c>
      <c r="S2396" s="18" t="s">
        <v>30</v>
      </c>
      <c r="T2396" s="18" t="s">
        <v>10157</v>
      </c>
      <c r="U2396" s="18"/>
      <c r="V2396" s="18"/>
      <c r="W2396" s="18" t="s">
        <v>10158</v>
      </c>
      <c r="X2396" s="18" t="s">
        <v>42</v>
      </c>
      <c r="Y2396" s="18" t="s">
        <v>36</v>
      </c>
      <c r="Z2396" s="18" t="s">
        <v>697</v>
      </c>
      <c r="AA2396" s="21" t="str">
        <f>HYPERLINK("https://www.ncbi.nlm.nih.gov/nuccore/JQ809650","NCBI Nucleotide")</f>
        <v>NCBI Nucleotide</v>
      </c>
    </row>
    <row r="2397" spans="1:27" x14ac:dyDescent="0.35">
      <c r="A2397">
        <v>1003154</v>
      </c>
      <c r="B2397">
        <v>2373</v>
      </c>
      <c r="C2397">
        <v>1</v>
      </c>
      <c r="D2397" s="17" t="s">
        <v>155</v>
      </c>
      <c r="E2397" s="17"/>
      <c r="F2397" s="17" t="s">
        <v>156</v>
      </c>
      <c r="G2397" s="17"/>
      <c r="H2397" s="17" t="s">
        <v>692</v>
      </c>
      <c r="I2397" s="17"/>
      <c r="J2397" s="17" t="s">
        <v>693</v>
      </c>
      <c r="K2397" s="17"/>
      <c r="L2397" s="17"/>
      <c r="M2397" s="17"/>
      <c r="N2397" s="17" t="s">
        <v>10132</v>
      </c>
      <c r="O2397" s="17" t="s">
        <v>10153</v>
      </c>
      <c r="P2397" s="17" t="s">
        <v>10154</v>
      </c>
      <c r="Q2397" s="17"/>
      <c r="R2397" s="25" t="str">
        <f>HYPERLINK("https://ictv.global/taxonomy/taxondetails?taxnode_id=202312137","Siovirus germanense")</f>
        <v>Siovirus germanense</v>
      </c>
      <c r="S2397" s="18" t="s">
        <v>30</v>
      </c>
      <c r="T2397" s="18" t="s">
        <v>10159</v>
      </c>
      <c r="U2397" s="18" t="s">
        <v>10160</v>
      </c>
      <c r="V2397" s="18"/>
      <c r="W2397" s="18" t="s">
        <v>10161</v>
      </c>
      <c r="X2397" s="18" t="s">
        <v>42</v>
      </c>
      <c r="Y2397" s="18" t="s">
        <v>36</v>
      </c>
      <c r="Z2397" s="18" t="s">
        <v>697</v>
      </c>
      <c r="AA2397" s="21" t="str">
        <f>HYPERLINK("https://www.ncbi.nlm.nih.gov/nuccore/MF431617","NCBI Nucleotide")</f>
        <v>NCBI Nucleotide</v>
      </c>
    </row>
    <row r="2398" spans="1:27" x14ac:dyDescent="0.35">
      <c r="A2398">
        <v>1003155</v>
      </c>
      <c r="B2398">
        <v>2374</v>
      </c>
      <c r="C2398">
        <v>1</v>
      </c>
      <c r="D2398" s="17" t="s">
        <v>155</v>
      </c>
      <c r="E2398" s="17"/>
      <c r="F2398" s="17" t="s">
        <v>156</v>
      </c>
      <c r="G2398" s="17"/>
      <c r="H2398" s="17" t="s">
        <v>692</v>
      </c>
      <c r="I2398" s="17"/>
      <c r="J2398" s="17" t="s">
        <v>693</v>
      </c>
      <c r="K2398" s="17"/>
      <c r="L2398" s="17"/>
      <c r="M2398" s="17"/>
      <c r="N2398" s="17" t="s">
        <v>10132</v>
      </c>
      <c r="O2398" s="17" t="s">
        <v>10153</v>
      </c>
      <c r="P2398" s="17" t="s">
        <v>10162</v>
      </c>
      <c r="Q2398" s="17"/>
      <c r="R2398" s="25" t="str">
        <f>HYPERLINK("https://ictv.global/taxonomy/taxondetails?taxnode_id=202312140","Veravirus septentrionalis")</f>
        <v>Veravirus septentrionalis</v>
      </c>
      <c r="S2398" s="18" t="s">
        <v>30</v>
      </c>
      <c r="T2398" s="18" t="s">
        <v>10163</v>
      </c>
      <c r="U2398" s="18" t="s">
        <v>10164</v>
      </c>
      <c r="V2398" s="18"/>
      <c r="W2398" s="18" t="s">
        <v>10165</v>
      </c>
      <c r="X2398" s="18" t="s">
        <v>42</v>
      </c>
      <c r="Y2398" s="18" t="s">
        <v>36</v>
      </c>
      <c r="Z2398" s="18" t="s">
        <v>697</v>
      </c>
      <c r="AA2398" s="21" t="str">
        <f>HYPERLINK("https://www.ncbi.nlm.nih.gov/nuccore/MF431616","NCBI Nucleotide")</f>
        <v>NCBI Nucleotide</v>
      </c>
    </row>
    <row r="2399" spans="1:27" x14ac:dyDescent="0.35">
      <c r="A2399">
        <v>1003156</v>
      </c>
      <c r="B2399">
        <v>2375</v>
      </c>
      <c r="C2399">
        <v>1</v>
      </c>
      <c r="D2399" s="17" t="s">
        <v>155</v>
      </c>
      <c r="E2399" s="17"/>
      <c r="F2399" s="17" t="s">
        <v>156</v>
      </c>
      <c r="G2399" s="17"/>
      <c r="H2399" s="17" t="s">
        <v>692</v>
      </c>
      <c r="I2399" s="17"/>
      <c r="J2399" s="17" t="s">
        <v>693</v>
      </c>
      <c r="K2399" s="17"/>
      <c r="L2399" s="17"/>
      <c r="M2399" s="17"/>
      <c r="N2399" s="17" t="s">
        <v>10132</v>
      </c>
      <c r="O2399" s="17"/>
      <c r="P2399" s="17" t="s">
        <v>10133</v>
      </c>
      <c r="Q2399" s="17"/>
      <c r="R2399" s="25" t="str">
        <f>HYPERLINK("https://ictv.global/taxonomy/taxondetails?taxnode_id=202312147","Citrovirus coptotermitis")</f>
        <v>Citrovirus coptotermitis</v>
      </c>
      <c r="S2399" s="18" t="s">
        <v>30</v>
      </c>
      <c r="T2399" s="18" t="s">
        <v>10134</v>
      </c>
      <c r="U2399" s="18"/>
      <c r="V2399" s="18"/>
      <c r="W2399" s="18" t="s">
        <v>10135</v>
      </c>
      <c r="X2399" s="18" t="s">
        <v>42</v>
      </c>
      <c r="Y2399" s="18" t="s">
        <v>36</v>
      </c>
      <c r="Z2399" s="18" t="s">
        <v>697</v>
      </c>
      <c r="AA2399" s="21" t="str">
        <f>HYPERLINK("https://www.ncbi.nlm.nih.gov/nuccore/KP774835","NCBI Nucleotide")</f>
        <v>NCBI Nucleotide</v>
      </c>
    </row>
    <row r="2400" spans="1:27" x14ac:dyDescent="0.35">
      <c r="A2400">
        <v>1003157</v>
      </c>
      <c r="B2400">
        <v>2376</v>
      </c>
      <c r="C2400">
        <v>1</v>
      </c>
      <c r="D2400" s="17" t="s">
        <v>155</v>
      </c>
      <c r="E2400" s="17"/>
      <c r="F2400" s="17" t="s">
        <v>156</v>
      </c>
      <c r="G2400" s="17"/>
      <c r="H2400" s="17" t="s">
        <v>692</v>
      </c>
      <c r="I2400" s="17"/>
      <c r="J2400" s="17" t="s">
        <v>693</v>
      </c>
      <c r="K2400" s="17"/>
      <c r="L2400" s="17"/>
      <c r="M2400" s="17"/>
      <c r="N2400" s="17" t="s">
        <v>10132</v>
      </c>
      <c r="O2400" s="17"/>
      <c r="P2400" s="17" t="s">
        <v>10136</v>
      </c>
      <c r="Q2400" s="17"/>
      <c r="R2400" s="25" t="str">
        <f>HYPERLINK("https://ictv.global/taxonomy/taxondetails?taxnode_id=202312142","Icepovirus bengalense")</f>
        <v>Icepovirus bengalense</v>
      </c>
      <c r="S2400" s="18" t="s">
        <v>30</v>
      </c>
      <c r="T2400" s="18" t="s">
        <v>10137</v>
      </c>
      <c r="U2400" s="18"/>
      <c r="V2400" s="18"/>
      <c r="W2400" s="18" t="s">
        <v>10138</v>
      </c>
      <c r="X2400" s="18" t="s">
        <v>42</v>
      </c>
      <c r="Y2400" s="18" t="s">
        <v>36</v>
      </c>
      <c r="Z2400" s="18" t="s">
        <v>697</v>
      </c>
      <c r="AA2400" s="21" t="str">
        <f>HYPERLINK("https://www.ncbi.nlm.nih.gov/nuccore/HQ641345","NCBI Nucleotide")</f>
        <v>NCBI Nucleotide</v>
      </c>
    </row>
    <row r="2401" spans="1:27" x14ac:dyDescent="0.35">
      <c r="A2401">
        <v>1003158</v>
      </c>
      <c r="B2401">
        <v>2377</v>
      </c>
      <c r="C2401">
        <v>1</v>
      </c>
      <c r="D2401" s="17" t="s">
        <v>155</v>
      </c>
      <c r="E2401" s="17"/>
      <c r="F2401" s="17" t="s">
        <v>156</v>
      </c>
      <c r="G2401" s="17"/>
      <c r="H2401" s="17" t="s">
        <v>692</v>
      </c>
      <c r="I2401" s="17"/>
      <c r="J2401" s="17" t="s">
        <v>693</v>
      </c>
      <c r="K2401" s="17"/>
      <c r="L2401" s="17"/>
      <c r="M2401" s="17"/>
      <c r="N2401" s="17" t="s">
        <v>10132</v>
      </c>
      <c r="O2401" s="17"/>
      <c r="P2401" s="17" t="s">
        <v>10139</v>
      </c>
      <c r="Q2401" s="17"/>
      <c r="R2401" s="25" t="str">
        <f>HYPERLINK("https://ictv.global/taxonomy/taxondetails?taxnode_id=202312152","Melvirus helgolandense")</f>
        <v>Melvirus helgolandense</v>
      </c>
      <c r="S2401" s="18" t="s">
        <v>30</v>
      </c>
      <c r="T2401" s="18" t="s">
        <v>10140</v>
      </c>
      <c r="U2401" s="18"/>
      <c r="V2401" s="18"/>
      <c r="W2401" s="18" t="s">
        <v>10141</v>
      </c>
      <c r="X2401" s="18" t="s">
        <v>42</v>
      </c>
      <c r="Y2401" s="18" t="s">
        <v>36</v>
      </c>
      <c r="Z2401" s="18" t="s">
        <v>697</v>
      </c>
      <c r="AA2401" s="21" t="str">
        <f>HYPERLINK("https://www.ncbi.nlm.nih.gov/nuccore/KF302037","NCBI Nucleotide")</f>
        <v>NCBI Nucleotide</v>
      </c>
    </row>
    <row r="2402" spans="1:27" x14ac:dyDescent="0.35">
      <c r="A2402">
        <v>1003159</v>
      </c>
      <c r="B2402">
        <v>2378</v>
      </c>
      <c r="C2402">
        <v>1</v>
      </c>
      <c r="D2402" s="17" t="s">
        <v>155</v>
      </c>
      <c r="E2402" s="17"/>
      <c r="F2402" s="17" t="s">
        <v>156</v>
      </c>
      <c r="G2402" s="17"/>
      <c r="H2402" s="17" t="s">
        <v>692</v>
      </c>
      <c r="I2402" s="17"/>
      <c r="J2402" s="17" t="s">
        <v>693</v>
      </c>
      <c r="K2402" s="17"/>
      <c r="L2402" s="17"/>
      <c r="M2402" s="17"/>
      <c r="N2402" s="17" t="s">
        <v>10132</v>
      </c>
      <c r="O2402" s="17"/>
      <c r="P2402" s="17" t="s">
        <v>10139</v>
      </c>
      <c r="Q2402" s="17"/>
      <c r="R2402" s="25" t="str">
        <f>HYPERLINK("https://ictv.global/taxonomy/taxondetails?taxnode_id=202312151","Melvirus orientalis")</f>
        <v>Melvirus orientalis</v>
      </c>
      <c r="S2402" s="18" t="s">
        <v>30</v>
      </c>
      <c r="T2402" s="18" t="s">
        <v>10142</v>
      </c>
      <c r="U2402" s="18"/>
      <c r="V2402" s="18"/>
      <c r="W2402" s="18" t="s">
        <v>10143</v>
      </c>
      <c r="X2402" s="18" t="s">
        <v>42</v>
      </c>
      <c r="Y2402" s="18" t="s">
        <v>36</v>
      </c>
      <c r="Z2402" s="18" t="s">
        <v>697</v>
      </c>
      <c r="AA2402" s="21" t="str">
        <f>HYPERLINK("https://www.ncbi.nlm.nih.gov/nuccore/KC751414","NCBI Nucleotide")</f>
        <v>NCBI Nucleotide</v>
      </c>
    </row>
    <row r="2403" spans="1:27" x14ac:dyDescent="0.35">
      <c r="A2403">
        <v>1003160</v>
      </c>
      <c r="B2403">
        <v>2379</v>
      </c>
      <c r="C2403">
        <v>1</v>
      </c>
      <c r="D2403" s="17" t="s">
        <v>155</v>
      </c>
      <c r="E2403" s="17"/>
      <c r="F2403" s="17" t="s">
        <v>156</v>
      </c>
      <c r="G2403" s="17"/>
      <c r="H2403" s="17" t="s">
        <v>692</v>
      </c>
      <c r="I2403" s="17"/>
      <c r="J2403" s="17" t="s">
        <v>693</v>
      </c>
      <c r="K2403" s="17"/>
      <c r="L2403" s="17"/>
      <c r="M2403" s="17"/>
      <c r="N2403" s="17" t="s">
        <v>10132</v>
      </c>
      <c r="O2403" s="17"/>
      <c r="P2403" s="17" t="s">
        <v>10144</v>
      </c>
      <c r="Q2403" s="17"/>
      <c r="R2403" s="25" t="str">
        <f>HYPERLINK("https://ictv.global/taxonomy/taxondetails?taxnode_id=202312149","Paundecimvirus PA11")</f>
        <v>Paundecimvirus PA11</v>
      </c>
      <c r="S2403" s="18" t="s">
        <v>30</v>
      </c>
      <c r="T2403" s="18" t="s">
        <v>10145</v>
      </c>
      <c r="U2403" s="18"/>
      <c r="V2403" s="18"/>
      <c r="W2403" s="18" t="s">
        <v>10146</v>
      </c>
      <c r="X2403" s="18" t="s">
        <v>42</v>
      </c>
      <c r="Y2403" s="18" t="s">
        <v>36</v>
      </c>
      <c r="Z2403" s="18" t="s">
        <v>697</v>
      </c>
      <c r="AA2403" s="21" t="str">
        <f>HYPERLINK("https://www.ncbi.nlm.nih.gov/nuccore/DQ163915","NCBI Nucleotide")</f>
        <v>NCBI Nucleotide</v>
      </c>
    </row>
    <row r="2404" spans="1:27" x14ac:dyDescent="0.35">
      <c r="A2404">
        <v>1003161</v>
      </c>
      <c r="B2404">
        <v>2380</v>
      </c>
      <c r="C2404">
        <v>1</v>
      </c>
      <c r="D2404" s="17" t="s">
        <v>155</v>
      </c>
      <c r="E2404" s="17"/>
      <c r="F2404" s="17" t="s">
        <v>156</v>
      </c>
      <c r="G2404" s="17"/>
      <c r="H2404" s="17" t="s">
        <v>692</v>
      </c>
      <c r="I2404" s="17"/>
      <c r="J2404" s="17" t="s">
        <v>693</v>
      </c>
      <c r="K2404" s="17"/>
      <c r="L2404" s="17"/>
      <c r="M2404" s="17"/>
      <c r="N2404" s="17" t="s">
        <v>10132</v>
      </c>
      <c r="O2404" s="17"/>
      <c r="P2404" s="17" t="s">
        <v>10147</v>
      </c>
      <c r="Q2404" s="17"/>
      <c r="R2404" s="25" t="str">
        <f>HYPERLINK("https://ictv.global/taxonomy/taxondetails?taxnode_id=202312145","Salinovirus utanense")</f>
        <v>Salinovirus utanense</v>
      </c>
      <c r="S2404" s="18" t="s">
        <v>30</v>
      </c>
      <c r="T2404" s="18" t="s">
        <v>10148</v>
      </c>
      <c r="U2404" s="18"/>
      <c r="V2404" s="18"/>
      <c r="W2404" s="18" t="s">
        <v>10149</v>
      </c>
      <c r="X2404" s="18" t="s">
        <v>42</v>
      </c>
      <c r="Y2404" s="18" t="s">
        <v>36</v>
      </c>
      <c r="Z2404" s="18" t="s">
        <v>697</v>
      </c>
      <c r="AA2404" s="21" t="str">
        <f>HYPERLINK("https://www.ncbi.nlm.nih.gov/nuccore/JQ446452","NCBI Nucleotide")</f>
        <v>NCBI Nucleotide</v>
      </c>
    </row>
    <row r="2405" spans="1:27" x14ac:dyDescent="0.35">
      <c r="A2405">
        <v>1003162</v>
      </c>
      <c r="B2405">
        <v>2381</v>
      </c>
      <c r="C2405">
        <v>1</v>
      </c>
      <c r="D2405" s="17" t="s">
        <v>155</v>
      </c>
      <c r="E2405" s="17"/>
      <c r="F2405" s="17" t="s">
        <v>156</v>
      </c>
      <c r="G2405" s="17"/>
      <c r="H2405" s="17" t="s">
        <v>692</v>
      </c>
      <c r="I2405" s="17"/>
      <c r="J2405" s="17" t="s">
        <v>693</v>
      </c>
      <c r="K2405" s="17"/>
      <c r="L2405" s="17"/>
      <c r="M2405" s="17"/>
      <c r="N2405" s="17" t="s">
        <v>10132</v>
      </c>
      <c r="O2405" s="17"/>
      <c r="P2405" s="17" t="s">
        <v>10150</v>
      </c>
      <c r="Q2405" s="17"/>
      <c r="R2405" s="25" t="str">
        <f>HYPERLINK("https://ictv.global/taxonomy/taxondetails?taxnode_id=202300708","Vipivirus canadense")</f>
        <v>Vipivirus canadense</v>
      </c>
      <c r="S2405" s="18" t="s">
        <v>30</v>
      </c>
      <c r="T2405" s="18" t="s">
        <v>10151</v>
      </c>
      <c r="U2405" s="18"/>
      <c r="V2405" s="18"/>
      <c r="W2405" s="18" t="s">
        <v>10152</v>
      </c>
      <c r="X2405" s="18" t="s">
        <v>42</v>
      </c>
      <c r="Y2405" s="18" t="s">
        <v>36</v>
      </c>
      <c r="Z2405" s="18" t="s">
        <v>697</v>
      </c>
      <c r="AA2405" s="21" t="str">
        <f>HYPERLINK("https://www.ncbi.nlm.nih.gov/nuccore/AY095314","NCBI Nucleotide")</f>
        <v>NCBI Nucleotide</v>
      </c>
    </row>
    <row r="2406" spans="1:27" x14ac:dyDescent="0.35">
      <c r="A2406">
        <v>1003163</v>
      </c>
      <c r="B2406">
        <v>2382</v>
      </c>
      <c r="C2406">
        <v>1</v>
      </c>
      <c r="D2406" s="17" t="s">
        <v>155</v>
      </c>
      <c r="E2406" s="17"/>
      <c r="F2406" s="17" t="s">
        <v>156</v>
      </c>
      <c r="G2406" s="17"/>
      <c r="H2406" s="17" t="s">
        <v>692</v>
      </c>
      <c r="I2406" s="17"/>
      <c r="J2406" s="17" t="s">
        <v>693</v>
      </c>
      <c r="K2406" s="17"/>
      <c r="L2406" s="17"/>
      <c r="M2406" s="17"/>
      <c r="N2406" s="17"/>
      <c r="O2406" s="17" t="s">
        <v>4378</v>
      </c>
      <c r="P2406" s="17" t="s">
        <v>4379</v>
      </c>
      <c r="Q2406" s="17"/>
      <c r="R2406" s="25" t="str">
        <f>HYPERLINK("https://ictv.global/taxonomy/taxondetails?taxnode_id=202314475","Haetaevirus PBC2")</f>
        <v>Haetaevirus PBC2</v>
      </c>
      <c r="S2406" s="18" t="s">
        <v>30</v>
      </c>
      <c r="T2406" s="18" t="s">
        <v>4380</v>
      </c>
      <c r="U2406" s="18"/>
      <c r="V2406" s="18"/>
      <c r="W2406" s="18" t="s">
        <v>4381</v>
      </c>
      <c r="X2406" s="18" t="s">
        <v>42</v>
      </c>
      <c r="Y2406" s="18" t="s">
        <v>36</v>
      </c>
      <c r="Z2406" s="18" t="s">
        <v>697</v>
      </c>
      <c r="AA2406" s="21" t="str">
        <f>HYPERLINK("https://www.ncbi.nlm.nih.gov/nuccore/KT070867","NCBI Nucleotide")</f>
        <v>NCBI Nucleotide</v>
      </c>
    </row>
    <row r="2407" spans="1:27" x14ac:dyDescent="0.35">
      <c r="A2407">
        <v>1003164</v>
      </c>
      <c r="B2407">
        <v>2383</v>
      </c>
      <c r="C2407">
        <v>1</v>
      </c>
      <c r="D2407" s="17" t="s">
        <v>155</v>
      </c>
      <c r="E2407" s="17"/>
      <c r="F2407" s="17" t="s">
        <v>156</v>
      </c>
      <c r="G2407" s="17"/>
      <c r="H2407" s="17" t="s">
        <v>692</v>
      </c>
      <c r="I2407" s="17"/>
      <c r="J2407" s="17" t="s">
        <v>693</v>
      </c>
      <c r="K2407" s="17"/>
      <c r="L2407" s="17"/>
      <c r="M2407" s="17"/>
      <c r="N2407" s="17"/>
      <c r="O2407" s="17" t="s">
        <v>4378</v>
      </c>
      <c r="P2407" s="17" t="s">
        <v>4382</v>
      </c>
      <c r="Q2407" s="17"/>
      <c r="R2407" s="25" t="str">
        <f>HYPERLINK("https://ictv.global/taxonomy/taxondetails?taxnode_id=202314476","Kirovvirus kirov")</f>
        <v>Kirovvirus kirov</v>
      </c>
      <c r="S2407" s="18" t="s">
        <v>30</v>
      </c>
      <c r="T2407" s="18" t="s">
        <v>4383</v>
      </c>
      <c r="U2407" s="18"/>
      <c r="V2407" s="18"/>
      <c r="W2407" s="18" t="s">
        <v>4384</v>
      </c>
      <c r="X2407" s="18" t="s">
        <v>42</v>
      </c>
      <c r="Y2407" s="18" t="s">
        <v>36</v>
      </c>
      <c r="Z2407" s="18" t="s">
        <v>697</v>
      </c>
      <c r="AA2407" s="21" t="str">
        <f>HYPERLINK("https://www.ncbi.nlm.nih.gov/nuccore/MW084976","NCBI Nucleotide")</f>
        <v>NCBI Nucleotide</v>
      </c>
    </row>
    <row r="2408" spans="1:27" x14ac:dyDescent="0.35">
      <c r="A2408">
        <v>1003165</v>
      </c>
      <c r="B2408">
        <v>2384</v>
      </c>
      <c r="C2408">
        <v>1</v>
      </c>
      <c r="D2408" s="17" t="s">
        <v>155</v>
      </c>
      <c r="E2408" s="17"/>
      <c r="F2408" s="17" t="s">
        <v>156</v>
      </c>
      <c r="G2408" s="17"/>
      <c r="H2408" s="17" t="s">
        <v>692</v>
      </c>
      <c r="I2408" s="17"/>
      <c r="J2408" s="17" t="s">
        <v>693</v>
      </c>
      <c r="K2408" s="17"/>
      <c r="L2408" s="17"/>
      <c r="M2408" s="17"/>
      <c r="N2408" s="17"/>
      <c r="O2408" s="17" t="s">
        <v>4385</v>
      </c>
      <c r="P2408" s="17" t="s">
        <v>4386</v>
      </c>
      <c r="Q2408" s="17"/>
      <c r="R2408" s="25" t="str">
        <f>HYPERLINK("https://ictv.global/taxonomy/taxondetails?taxnode_id=202313119","Denvervirus dv9183")</f>
        <v>Denvervirus dv9183</v>
      </c>
      <c r="S2408" s="18" t="s">
        <v>30</v>
      </c>
      <c r="T2408" s="18" t="s">
        <v>4387</v>
      </c>
      <c r="U2408" s="18"/>
      <c r="V2408" s="18"/>
      <c r="W2408" s="18" t="s">
        <v>4388</v>
      </c>
      <c r="X2408" s="18" t="s">
        <v>42</v>
      </c>
      <c r="Y2408" s="18" t="s">
        <v>36</v>
      </c>
      <c r="Z2408" s="18" t="s">
        <v>697</v>
      </c>
      <c r="AA2408" s="21" t="str">
        <f>HYPERLINK("https://www.ncbi.nlm.nih.gov/nuccore/MT939241","NCBI Nucleotide")</f>
        <v>NCBI Nucleotide</v>
      </c>
    </row>
    <row r="2409" spans="1:27" x14ac:dyDescent="0.35">
      <c r="A2409">
        <v>1003166</v>
      </c>
      <c r="B2409">
        <v>2385</v>
      </c>
      <c r="C2409">
        <v>1</v>
      </c>
      <c r="D2409" s="17" t="s">
        <v>155</v>
      </c>
      <c r="E2409" s="17"/>
      <c r="F2409" s="17" t="s">
        <v>156</v>
      </c>
      <c r="G2409" s="17"/>
      <c r="H2409" s="17" t="s">
        <v>692</v>
      </c>
      <c r="I2409" s="17"/>
      <c r="J2409" s="17" t="s">
        <v>693</v>
      </c>
      <c r="K2409" s="17"/>
      <c r="L2409" s="17"/>
      <c r="M2409" s="17"/>
      <c r="N2409" s="17"/>
      <c r="O2409" s="17" t="s">
        <v>4385</v>
      </c>
      <c r="P2409" s="17" t="s">
        <v>4389</v>
      </c>
      <c r="Q2409" s="17"/>
      <c r="R2409" s="25" t="str">
        <f>HYPERLINK("https://ictv.global/taxonomy/taxondetails?taxnode_id=202313123","Vipetofemvirus nattely")</f>
        <v>Vipetofemvirus nattely</v>
      </c>
      <c r="S2409" s="18" t="s">
        <v>30</v>
      </c>
      <c r="T2409" s="18" t="s">
        <v>4390</v>
      </c>
      <c r="U2409" s="18"/>
      <c r="V2409" s="18"/>
      <c r="W2409" s="18" t="s">
        <v>4391</v>
      </c>
      <c r="X2409" s="18" t="s">
        <v>42</v>
      </c>
      <c r="Y2409" s="18" t="s">
        <v>36</v>
      </c>
      <c r="Z2409" s="18" t="s">
        <v>697</v>
      </c>
      <c r="AA2409" s="21" t="str">
        <f>HYPERLINK("https://www.ncbi.nlm.nih.gov/nuccore/MT119360","NCBI Nucleotide")</f>
        <v>NCBI Nucleotide</v>
      </c>
    </row>
    <row r="2410" spans="1:27" x14ac:dyDescent="0.35">
      <c r="A2410">
        <v>1003167</v>
      </c>
      <c r="B2410">
        <v>2386</v>
      </c>
      <c r="C2410">
        <v>1</v>
      </c>
      <c r="D2410" s="17" t="s">
        <v>155</v>
      </c>
      <c r="E2410" s="17"/>
      <c r="F2410" s="17" t="s">
        <v>156</v>
      </c>
      <c r="G2410" s="17"/>
      <c r="H2410" s="17" t="s">
        <v>692</v>
      </c>
      <c r="I2410" s="17"/>
      <c r="J2410" s="17" t="s">
        <v>693</v>
      </c>
      <c r="K2410" s="17"/>
      <c r="L2410" s="17"/>
      <c r="M2410" s="17"/>
      <c r="N2410" s="17"/>
      <c r="O2410" s="17" t="s">
        <v>4385</v>
      </c>
      <c r="P2410" s="17" t="s">
        <v>4389</v>
      </c>
      <c r="Q2410" s="17"/>
      <c r="R2410" s="25" t="str">
        <f>HYPERLINK("https://ictv.global/taxonomy/taxondetails?taxnode_id=202313121","Vipetofemvirus vipetofem")</f>
        <v>Vipetofemvirus vipetofem</v>
      </c>
      <c r="S2410" s="18" t="s">
        <v>30</v>
      </c>
      <c r="T2410" s="18" t="s">
        <v>4392</v>
      </c>
      <c r="U2410" s="18"/>
      <c r="V2410" s="18"/>
      <c r="W2410" s="18" t="s">
        <v>4393</v>
      </c>
      <c r="X2410" s="18" t="s">
        <v>42</v>
      </c>
      <c r="Y2410" s="18" t="s">
        <v>36</v>
      </c>
      <c r="Z2410" s="18" t="s">
        <v>697</v>
      </c>
      <c r="AA2410" s="21" t="str">
        <f>HYPERLINK("https://www.ncbi.nlm.nih.gov/nuccore/MT119361","NCBI Nucleotide")</f>
        <v>NCBI Nucleotide</v>
      </c>
    </row>
    <row r="2411" spans="1:27" x14ac:dyDescent="0.35">
      <c r="A2411">
        <v>1003168</v>
      </c>
      <c r="B2411">
        <v>2387</v>
      </c>
      <c r="C2411">
        <v>1</v>
      </c>
      <c r="D2411" s="17" t="s">
        <v>155</v>
      </c>
      <c r="E2411" s="17"/>
      <c r="F2411" s="17" t="s">
        <v>156</v>
      </c>
      <c r="G2411" s="17"/>
      <c r="H2411" s="17" t="s">
        <v>692</v>
      </c>
      <c r="I2411" s="17"/>
      <c r="J2411" s="17" t="s">
        <v>693</v>
      </c>
      <c r="K2411" s="17"/>
      <c r="L2411" s="17"/>
      <c r="M2411" s="17"/>
      <c r="N2411" s="17"/>
      <c r="O2411" s="17" t="s">
        <v>4385</v>
      </c>
      <c r="P2411" s="17" t="s">
        <v>4389</v>
      </c>
      <c r="Q2411" s="17"/>
      <c r="R2411" s="25" t="str">
        <f>HYPERLINK("https://ictv.global/taxonomy/taxondetails?taxnode_id=202313122","Vipetofemvirus vv140")</f>
        <v>Vipetofemvirus vv140</v>
      </c>
      <c r="S2411" s="18" t="s">
        <v>30</v>
      </c>
      <c r="T2411" s="18" t="s">
        <v>4394</v>
      </c>
      <c r="U2411" s="18"/>
      <c r="V2411" s="18"/>
      <c r="W2411" s="18" t="s">
        <v>4395</v>
      </c>
      <c r="X2411" s="18" t="s">
        <v>42</v>
      </c>
      <c r="Y2411" s="18" t="s">
        <v>36</v>
      </c>
      <c r="Z2411" s="18" t="s">
        <v>697</v>
      </c>
      <c r="AA2411" s="21" t="str">
        <f>HYPERLINK("https://www.ncbi.nlm.nih.gov/nuccore/CAJCJZ010000002","NCBI Nucleotide")</f>
        <v>NCBI Nucleotide</v>
      </c>
    </row>
    <row r="2412" spans="1:27" x14ac:dyDescent="0.35">
      <c r="A2412">
        <v>1003169</v>
      </c>
      <c r="B2412">
        <v>2388</v>
      </c>
      <c r="C2412">
        <v>1</v>
      </c>
      <c r="D2412" s="17" t="s">
        <v>155</v>
      </c>
      <c r="E2412" s="17"/>
      <c r="F2412" s="17" t="s">
        <v>156</v>
      </c>
      <c r="G2412" s="17"/>
      <c r="H2412" s="17" t="s">
        <v>692</v>
      </c>
      <c r="I2412" s="17"/>
      <c r="J2412" s="17" t="s">
        <v>693</v>
      </c>
      <c r="K2412" s="17"/>
      <c r="L2412" s="17"/>
      <c r="M2412" s="17"/>
      <c r="N2412" s="17"/>
      <c r="O2412" s="17" t="s">
        <v>4396</v>
      </c>
      <c r="P2412" s="17" t="s">
        <v>4397</v>
      </c>
      <c r="Q2412" s="17"/>
      <c r="R2412" s="25" t="str">
        <f>HYPERLINK("https://ictv.global/taxonomy/taxondetails?taxnode_id=202300729","Arequatrovirus ELB20")</f>
        <v>Arequatrovirus ELB20</v>
      </c>
      <c r="S2412" s="18" t="s">
        <v>30</v>
      </c>
      <c r="T2412" s="18" t="s">
        <v>4398</v>
      </c>
      <c r="U2412" s="18"/>
      <c r="V2412" s="18"/>
      <c r="W2412" s="18" t="s">
        <v>4399</v>
      </c>
      <c r="X2412" s="18" t="s">
        <v>42</v>
      </c>
      <c r="Y2412" s="18" t="s">
        <v>36</v>
      </c>
      <c r="Z2412" s="18" t="s">
        <v>697</v>
      </c>
      <c r="AA2412" s="21" t="str">
        <f>HYPERLINK("https://www.ncbi.nlm.nih.gov/nuccore/JX262376","NCBI Nucleotide")</f>
        <v>NCBI Nucleotide</v>
      </c>
    </row>
    <row r="2413" spans="1:27" x14ac:dyDescent="0.35">
      <c r="A2413">
        <v>1003170</v>
      </c>
      <c r="B2413">
        <v>2389</v>
      </c>
      <c r="C2413">
        <v>1</v>
      </c>
      <c r="D2413" s="17" t="s">
        <v>155</v>
      </c>
      <c r="E2413" s="17"/>
      <c r="F2413" s="17" t="s">
        <v>156</v>
      </c>
      <c r="G2413" s="17"/>
      <c r="H2413" s="17" t="s">
        <v>692</v>
      </c>
      <c r="I2413" s="17"/>
      <c r="J2413" s="17" t="s">
        <v>693</v>
      </c>
      <c r="K2413" s="17"/>
      <c r="L2413" s="17"/>
      <c r="M2413" s="17"/>
      <c r="N2413" s="17"/>
      <c r="O2413" s="17" t="s">
        <v>4396</v>
      </c>
      <c r="P2413" s="17" t="s">
        <v>4397</v>
      </c>
      <c r="Q2413" s="17"/>
      <c r="R2413" s="25" t="str">
        <f>HYPERLINK("https://ictv.global/taxonomy/taxondetails?taxnode_id=202313152","Arequatrovirus paedore")</f>
        <v>Arequatrovirus paedore</v>
      </c>
      <c r="S2413" s="18" t="s">
        <v>30</v>
      </c>
      <c r="T2413" s="18" t="s">
        <v>4400</v>
      </c>
      <c r="U2413" s="18"/>
      <c r="V2413" s="18"/>
      <c r="W2413" s="18" t="s">
        <v>4401</v>
      </c>
      <c r="X2413" s="18" t="s">
        <v>42</v>
      </c>
      <c r="Y2413" s="18" t="s">
        <v>36</v>
      </c>
      <c r="Z2413" s="18" t="s">
        <v>697</v>
      </c>
      <c r="AA2413" s="21" t="str">
        <f>HYPERLINK("https://www.ncbi.nlm.nih.gov/nuccore/MH001460","NCBI Nucleotide")</f>
        <v>NCBI Nucleotide</v>
      </c>
    </row>
    <row r="2414" spans="1:27" x14ac:dyDescent="0.35">
      <c r="A2414">
        <v>1003171</v>
      </c>
      <c r="B2414">
        <v>2390</v>
      </c>
      <c r="C2414">
        <v>1</v>
      </c>
      <c r="D2414" s="17" t="s">
        <v>155</v>
      </c>
      <c r="E2414" s="17"/>
      <c r="F2414" s="17" t="s">
        <v>156</v>
      </c>
      <c r="G2414" s="17"/>
      <c r="H2414" s="17" t="s">
        <v>692</v>
      </c>
      <c r="I2414" s="17"/>
      <c r="J2414" s="17" t="s">
        <v>693</v>
      </c>
      <c r="K2414" s="17"/>
      <c r="L2414" s="17"/>
      <c r="M2414" s="17"/>
      <c r="N2414" s="17"/>
      <c r="O2414" s="17" t="s">
        <v>4396</v>
      </c>
      <c r="P2414" s="17" t="s">
        <v>4397</v>
      </c>
      <c r="Q2414" s="17"/>
      <c r="R2414" s="25" t="str">
        <f>HYPERLINK("https://ictv.global/taxonomy/taxondetails?taxnode_id=202300730","Arequatrovirus R4")</f>
        <v>Arequatrovirus R4</v>
      </c>
      <c r="S2414" s="18" t="s">
        <v>30</v>
      </c>
      <c r="T2414" s="18" t="s">
        <v>4402</v>
      </c>
      <c r="U2414" s="18"/>
      <c r="V2414" s="18"/>
      <c r="W2414" s="18" t="s">
        <v>4403</v>
      </c>
      <c r="X2414" s="18" t="s">
        <v>42</v>
      </c>
      <c r="Y2414" s="18" t="s">
        <v>36</v>
      </c>
      <c r="Z2414" s="18" t="s">
        <v>697</v>
      </c>
      <c r="AA2414" s="21" t="str">
        <f>HYPERLINK("https://www.ncbi.nlm.nih.gov/nuccore/JX182370","NCBI Nucleotide")</f>
        <v>NCBI Nucleotide</v>
      </c>
    </row>
    <row r="2415" spans="1:27" x14ac:dyDescent="0.35">
      <c r="A2415">
        <v>1003172</v>
      </c>
      <c r="B2415">
        <v>2391</v>
      </c>
      <c r="C2415">
        <v>1</v>
      </c>
      <c r="D2415" s="17" t="s">
        <v>155</v>
      </c>
      <c r="E2415" s="17"/>
      <c r="F2415" s="17" t="s">
        <v>156</v>
      </c>
      <c r="G2415" s="17"/>
      <c r="H2415" s="17" t="s">
        <v>692</v>
      </c>
      <c r="I2415" s="17"/>
      <c r="J2415" s="17" t="s">
        <v>693</v>
      </c>
      <c r="K2415" s="17"/>
      <c r="L2415" s="17"/>
      <c r="M2415" s="17"/>
      <c r="N2415" s="17"/>
      <c r="O2415" s="17" t="s">
        <v>4396</v>
      </c>
      <c r="P2415" s="17" t="s">
        <v>4404</v>
      </c>
      <c r="Q2415" s="17"/>
      <c r="R2415" s="25" t="str">
        <f>HYPERLINK("https://ictv.global/taxonomy/taxondetails?taxnode_id=202313150","Caelumvirus alvy")</f>
        <v>Caelumvirus alvy</v>
      </c>
      <c r="S2415" s="18" t="s">
        <v>30</v>
      </c>
      <c r="T2415" s="18" t="s">
        <v>4405</v>
      </c>
      <c r="U2415" s="18"/>
      <c r="V2415" s="18"/>
      <c r="W2415" s="18" t="s">
        <v>4406</v>
      </c>
      <c r="X2415" s="18" t="s">
        <v>42</v>
      </c>
      <c r="Y2415" s="18" t="s">
        <v>36</v>
      </c>
      <c r="Z2415" s="18" t="s">
        <v>697</v>
      </c>
      <c r="AA2415" s="21" t="str">
        <f>HYPERLINK("https://www.ncbi.nlm.nih.gov/nuccore/MN234208","NCBI Nucleotide")</f>
        <v>NCBI Nucleotide</v>
      </c>
    </row>
    <row r="2416" spans="1:27" x14ac:dyDescent="0.35">
      <c r="A2416">
        <v>1003173</v>
      </c>
      <c r="B2416">
        <v>2392</v>
      </c>
      <c r="C2416">
        <v>1</v>
      </c>
      <c r="D2416" s="17" t="s">
        <v>155</v>
      </c>
      <c r="E2416" s="17"/>
      <c r="F2416" s="17" t="s">
        <v>156</v>
      </c>
      <c r="G2416" s="17"/>
      <c r="H2416" s="17" t="s">
        <v>692</v>
      </c>
      <c r="I2416" s="17"/>
      <c r="J2416" s="17" t="s">
        <v>693</v>
      </c>
      <c r="K2416" s="17"/>
      <c r="L2416" s="17"/>
      <c r="M2416" s="17"/>
      <c r="N2416" s="17"/>
      <c r="O2416" s="17" t="s">
        <v>4396</v>
      </c>
      <c r="P2416" s="17" t="s">
        <v>4404</v>
      </c>
      <c r="Q2416" s="17"/>
      <c r="R2416" s="25" t="str">
        <f>HYPERLINK("https://ictv.global/taxonomy/taxondetails?taxnode_id=202313147","Caelumvirus caelum")</f>
        <v>Caelumvirus caelum</v>
      </c>
      <c r="S2416" s="18" t="s">
        <v>30</v>
      </c>
      <c r="T2416" s="18" t="s">
        <v>4407</v>
      </c>
      <c r="U2416" s="18"/>
      <c r="V2416" s="18"/>
      <c r="W2416" s="18" t="s">
        <v>4408</v>
      </c>
      <c r="X2416" s="18" t="s">
        <v>42</v>
      </c>
      <c r="Y2416" s="18" t="s">
        <v>36</v>
      </c>
      <c r="Z2416" s="18" t="s">
        <v>697</v>
      </c>
      <c r="AA2416" s="21" t="str">
        <f>HYPERLINK("https://www.ncbi.nlm.nih.gov/nuccore/MK524524","NCBI Nucleotide")</f>
        <v>NCBI Nucleotide</v>
      </c>
    </row>
    <row r="2417" spans="1:27" x14ac:dyDescent="0.35">
      <c r="A2417">
        <v>1003174</v>
      </c>
      <c r="B2417">
        <v>2393</v>
      </c>
      <c r="C2417">
        <v>1</v>
      </c>
      <c r="D2417" s="17" t="s">
        <v>155</v>
      </c>
      <c r="E2417" s="17"/>
      <c r="F2417" s="17" t="s">
        <v>156</v>
      </c>
      <c r="G2417" s="17"/>
      <c r="H2417" s="17" t="s">
        <v>692</v>
      </c>
      <c r="I2417" s="17"/>
      <c r="J2417" s="17" t="s">
        <v>693</v>
      </c>
      <c r="K2417" s="17"/>
      <c r="L2417" s="17"/>
      <c r="M2417" s="17"/>
      <c r="N2417" s="17"/>
      <c r="O2417" s="17" t="s">
        <v>4396</v>
      </c>
      <c r="P2417" s="17" t="s">
        <v>4404</v>
      </c>
      <c r="Q2417" s="17"/>
      <c r="R2417" s="25" t="str">
        <f>HYPERLINK("https://ictv.global/taxonomy/taxondetails?taxnode_id=202313149","Caelumvirus daudau")</f>
        <v>Caelumvirus daudau</v>
      </c>
      <c r="S2417" s="18" t="s">
        <v>30</v>
      </c>
      <c r="T2417" s="18" t="s">
        <v>4409</v>
      </c>
      <c r="U2417" s="18"/>
      <c r="V2417" s="18"/>
      <c r="W2417" s="18" t="s">
        <v>4410</v>
      </c>
      <c r="X2417" s="18" t="s">
        <v>42</v>
      </c>
      <c r="Y2417" s="18" t="s">
        <v>36</v>
      </c>
      <c r="Z2417" s="18" t="s">
        <v>697</v>
      </c>
      <c r="AA2417" s="21" t="str">
        <f>HYPERLINK("https://www.ncbi.nlm.nih.gov/nuccore/MF766045","NCBI Nucleotide")</f>
        <v>NCBI Nucleotide</v>
      </c>
    </row>
    <row r="2418" spans="1:27" x14ac:dyDescent="0.35">
      <c r="A2418">
        <v>1003175</v>
      </c>
      <c r="B2418">
        <v>2394</v>
      </c>
      <c r="C2418">
        <v>1</v>
      </c>
      <c r="D2418" s="17" t="s">
        <v>155</v>
      </c>
      <c r="E2418" s="17"/>
      <c r="F2418" s="17" t="s">
        <v>156</v>
      </c>
      <c r="G2418" s="17"/>
      <c r="H2418" s="17" t="s">
        <v>692</v>
      </c>
      <c r="I2418" s="17"/>
      <c r="J2418" s="17" t="s">
        <v>693</v>
      </c>
      <c r="K2418" s="17"/>
      <c r="L2418" s="17"/>
      <c r="M2418" s="17"/>
      <c r="N2418" s="17"/>
      <c r="O2418" s="17" t="s">
        <v>4396</v>
      </c>
      <c r="P2418" s="17" t="s">
        <v>4404</v>
      </c>
      <c r="Q2418" s="17"/>
      <c r="R2418" s="25" t="str">
        <f>HYPERLINK("https://ictv.global/taxonomy/taxondetails?taxnode_id=202313148","Caelumvirus issmi")</f>
        <v>Caelumvirus issmi</v>
      </c>
      <c r="S2418" s="18" t="s">
        <v>30</v>
      </c>
      <c r="T2418" s="18" t="s">
        <v>4411</v>
      </c>
      <c r="U2418" s="18"/>
      <c r="V2418" s="18"/>
      <c r="W2418" s="18" t="s">
        <v>4412</v>
      </c>
      <c r="X2418" s="18" t="s">
        <v>42</v>
      </c>
      <c r="Y2418" s="18" t="s">
        <v>36</v>
      </c>
      <c r="Z2418" s="18" t="s">
        <v>697</v>
      </c>
      <c r="AA2418" s="21" t="str">
        <f>HYPERLINK("https://www.ncbi.nlm.nih.gov/nuccore/MT310863","NCBI Nucleotide")</f>
        <v>NCBI Nucleotide</v>
      </c>
    </row>
    <row r="2419" spans="1:27" x14ac:dyDescent="0.35">
      <c r="A2419">
        <v>1003176</v>
      </c>
      <c r="B2419">
        <v>2395</v>
      </c>
      <c r="C2419">
        <v>1</v>
      </c>
      <c r="D2419" s="17" t="s">
        <v>155</v>
      </c>
      <c r="E2419" s="17"/>
      <c r="F2419" s="17" t="s">
        <v>156</v>
      </c>
      <c r="G2419" s="17"/>
      <c r="H2419" s="17" t="s">
        <v>692</v>
      </c>
      <c r="I2419" s="17"/>
      <c r="J2419" s="17" t="s">
        <v>693</v>
      </c>
      <c r="K2419" s="17"/>
      <c r="L2419" s="17"/>
      <c r="M2419" s="17"/>
      <c r="N2419" s="17"/>
      <c r="O2419" s="17" t="s">
        <v>4396</v>
      </c>
      <c r="P2419" s="17" t="s">
        <v>4404</v>
      </c>
      <c r="Q2419" s="17"/>
      <c r="R2419" s="25" t="str">
        <f>HYPERLINK("https://ictv.global/taxonomy/taxondetails?taxnode_id=202313151","Caelumvirus thestral")</f>
        <v>Caelumvirus thestral</v>
      </c>
      <c r="S2419" s="18" t="s">
        <v>30</v>
      </c>
      <c r="T2419" s="18" t="s">
        <v>4413</v>
      </c>
      <c r="U2419" s="18"/>
      <c r="V2419" s="18"/>
      <c r="W2419" s="18" t="s">
        <v>4414</v>
      </c>
      <c r="X2419" s="18" t="s">
        <v>42</v>
      </c>
      <c r="Y2419" s="18" t="s">
        <v>36</v>
      </c>
      <c r="Z2419" s="18" t="s">
        <v>697</v>
      </c>
      <c r="AA2419" s="21" t="str">
        <f>HYPERLINK("https://www.ncbi.nlm.nih.gov/nuccore/MH651190","NCBI Nucleotide")</f>
        <v>NCBI Nucleotide</v>
      </c>
    </row>
    <row r="2420" spans="1:27" x14ac:dyDescent="0.35">
      <c r="A2420">
        <v>1003177</v>
      </c>
      <c r="B2420">
        <v>2396</v>
      </c>
      <c r="C2420">
        <v>1</v>
      </c>
      <c r="D2420" s="17" t="s">
        <v>155</v>
      </c>
      <c r="E2420" s="17"/>
      <c r="F2420" s="17" t="s">
        <v>156</v>
      </c>
      <c r="G2420" s="17"/>
      <c r="H2420" s="17" t="s">
        <v>692</v>
      </c>
      <c r="I2420" s="17"/>
      <c r="J2420" s="17" t="s">
        <v>693</v>
      </c>
      <c r="K2420" s="17"/>
      <c r="L2420" s="17"/>
      <c r="M2420" s="17"/>
      <c r="N2420" s="17"/>
      <c r="O2420" s="17" t="s">
        <v>4396</v>
      </c>
      <c r="P2420" s="17" t="s">
        <v>4415</v>
      </c>
      <c r="Q2420" s="17"/>
      <c r="R2420" s="25" t="str">
        <f>HYPERLINK("https://ictv.global/taxonomy/taxondetails?taxnode_id=202313158","Camvirus alsaber")</f>
        <v>Camvirus alsaber</v>
      </c>
      <c r="S2420" s="18" t="s">
        <v>30</v>
      </c>
      <c r="T2420" s="18" t="s">
        <v>4416</v>
      </c>
      <c r="U2420" s="18"/>
      <c r="V2420" s="18"/>
      <c r="W2420" s="18" t="s">
        <v>4417</v>
      </c>
      <c r="X2420" s="18" t="s">
        <v>42</v>
      </c>
      <c r="Y2420" s="18" t="s">
        <v>36</v>
      </c>
      <c r="Z2420" s="18" t="s">
        <v>697</v>
      </c>
      <c r="AA2420" s="21" t="str">
        <f>HYPERLINK("https://www.ncbi.nlm.nih.gov/nuccore/MG298964","NCBI Nucleotide")</f>
        <v>NCBI Nucleotide</v>
      </c>
    </row>
    <row r="2421" spans="1:27" x14ac:dyDescent="0.35">
      <c r="A2421">
        <v>1003178</v>
      </c>
      <c r="B2421">
        <v>2397</v>
      </c>
      <c r="C2421">
        <v>1</v>
      </c>
      <c r="D2421" s="17" t="s">
        <v>155</v>
      </c>
      <c r="E2421" s="17"/>
      <c r="F2421" s="17" t="s">
        <v>156</v>
      </c>
      <c r="G2421" s="17"/>
      <c r="H2421" s="17" t="s">
        <v>692</v>
      </c>
      <c r="I2421" s="17"/>
      <c r="J2421" s="17" t="s">
        <v>693</v>
      </c>
      <c r="K2421" s="17"/>
      <c r="L2421" s="17"/>
      <c r="M2421" s="17"/>
      <c r="N2421" s="17"/>
      <c r="O2421" s="17" t="s">
        <v>4396</v>
      </c>
      <c r="P2421" s="17" t="s">
        <v>4415</v>
      </c>
      <c r="Q2421" s="17"/>
      <c r="R2421" s="25" t="str">
        <f>HYPERLINK("https://ictv.global/taxonomy/taxondetails?taxnode_id=202300716","Camvirus amela")</f>
        <v>Camvirus amela</v>
      </c>
      <c r="S2421" s="18" t="s">
        <v>30</v>
      </c>
      <c r="T2421" s="18" t="s">
        <v>4418</v>
      </c>
      <c r="U2421" s="18"/>
      <c r="V2421" s="18"/>
      <c r="W2421" s="18" t="s">
        <v>4419</v>
      </c>
      <c r="X2421" s="18" t="s">
        <v>42</v>
      </c>
      <c r="Y2421" s="18" t="s">
        <v>36</v>
      </c>
      <c r="Z2421" s="18" t="s">
        <v>697</v>
      </c>
      <c r="AA2421" s="21" t="str">
        <f>HYPERLINK("https://www.ncbi.nlm.nih.gov/nuccore/KT186228","NCBI Nucleotide")</f>
        <v>NCBI Nucleotide</v>
      </c>
    </row>
    <row r="2422" spans="1:27" x14ac:dyDescent="0.35">
      <c r="A2422">
        <v>1003179</v>
      </c>
      <c r="B2422">
        <v>2398</v>
      </c>
      <c r="C2422">
        <v>1</v>
      </c>
      <c r="D2422" s="17" t="s">
        <v>155</v>
      </c>
      <c r="E2422" s="17"/>
      <c r="F2422" s="17" t="s">
        <v>156</v>
      </c>
      <c r="G2422" s="17"/>
      <c r="H2422" s="17" t="s">
        <v>692</v>
      </c>
      <c r="I2422" s="17"/>
      <c r="J2422" s="17" t="s">
        <v>693</v>
      </c>
      <c r="K2422" s="17"/>
      <c r="L2422" s="17"/>
      <c r="M2422" s="17"/>
      <c r="N2422" s="17"/>
      <c r="O2422" s="17" t="s">
        <v>4396</v>
      </c>
      <c r="P2422" s="17" t="s">
        <v>4415</v>
      </c>
      <c r="Q2422" s="17"/>
      <c r="R2422" s="25" t="str">
        <f>HYPERLINK("https://ictv.global/taxonomy/taxondetails?taxnode_id=202300717","Camvirus CAM")</f>
        <v>Camvirus CAM</v>
      </c>
      <c r="S2422" s="18" t="s">
        <v>30</v>
      </c>
      <c r="T2422" s="18" t="s">
        <v>4420</v>
      </c>
      <c r="U2422" s="18"/>
      <c r="V2422" s="18"/>
      <c r="W2422" s="18" t="s">
        <v>4421</v>
      </c>
      <c r="X2422" s="18" t="s">
        <v>42</v>
      </c>
      <c r="Y2422" s="18" t="s">
        <v>36</v>
      </c>
      <c r="Z2422" s="18" t="s">
        <v>697</v>
      </c>
      <c r="AA2422" s="21" t="str">
        <f>HYPERLINK("https://www.ncbi.nlm.nih.gov/nuccore/JX889246","NCBI Nucleotide")</f>
        <v>NCBI Nucleotide</v>
      </c>
    </row>
    <row r="2423" spans="1:27" x14ac:dyDescent="0.35">
      <c r="A2423">
        <v>1003180</v>
      </c>
      <c r="B2423">
        <v>2399</v>
      </c>
      <c r="C2423">
        <v>1</v>
      </c>
      <c r="D2423" s="17" t="s">
        <v>155</v>
      </c>
      <c r="E2423" s="17"/>
      <c r="F2423" s="17" t="s">
        <v>156</v>
      </c>
      <c r="G2423" s="17"/>
      <c r="H2423" s="17" t="s">
        <v>692</v>
      </c>
      <c r="I2423" s="17"/>
      <c r="J2423" s="17" t="s">
        <v>693</v>
      </c>
      <c r="K2423" s="17"/>
      <c r="L2423" s="17"/>
      <c r="M2423" s="17"/>
      <c r="N2423" s="17"/>
      <c r="O2423" s="17" t="s">
        <v>4396</v>
      </c>
      <c r="P2423" s="17" t="s">
        <v>4415</v>
      </c>
      <c r="Q2423" s="17"/>
      <c r="R2423" s="25" t="str">
        <f>HYPERLINK("https://ictv.global/taxonomy/taxondetails?taxnode_id=202313153","Camvirus endor1")</f>
        <v>Camvirus endor1</v>
      </c>
      <c r="S2423" s="18" t="s">
        <v>30</v>
      </c>
      <c r="T2423" s="18" t="s">
        <v>4422</v>
      </c>
      <c r="U2423" s="18"/>
      <c r="V2423" s="18"/>
      <c r="W2423" s="18" t="s">
        <v>4423</v>
      </c>
      <c r="X2423" s="18" t="s">
        <v>42</v>
      </c>
      <c r="Y2423" s="18" t="s">
        <v>36</v>
      </c>
      <c r="Z2423" s="18" t="s">
        <v>697</v>
      </c>
      <c r="AA2423" s="21" t="str">
        <f>HYPERLINK("https://www.ncbi.nlm.nih.gov/nuccore/MT711978","NCBI Nucleotide")</f>
        <v>NCBI Nucleotide</v>
      </c>
    </row>
    <row r="2424" spans="1:27" x14ac:dyDescent="0.35">
      <c r="A2424">
        <v>1003181</v>
      </c>
      <c r="B2424">
        <v>2400</v>
      </c>
      <c r="C2424">
        <v>1</v>
      </c>
      <c r="D2424" s="17" t="s">
        <v>155</v>
      </c>
      <c r="E2424" s="17"/>
      <c r="F2424" s="17" t="s">
        <v>156</v>
      </c>
      <c r="G2424" s="17"/>
      <c r="H2424" s="17" t="s">
        <v>692</v>
      </c>
      <c r="I2424" s="17"/>
      <c r="J2424" s="17" t="s">
        <v>693</v>
      </c>
      <c r="K2424" s="17"/>
      <c r="L2424" s="17"/>
      <c r="M2424" s="17"/>
      <c r="N2424" s="17"/>
      <c r="O2424" s="17" t="s">
        <v>4396</v>
      </c>
      <c r="P2424" s="17" t="s">
        <v>4415</v>
      </c>
      <c r="Q2424" s="17"/>
      <c r="R2424" s="25" t="str">
        <f>HYPERLINK("https://ictv.global/taxonomy/taxondetails?taxnode_id=202313154","Camvirus endor2")</f>
        <v>Camvirus endor2</v>
      </c>
      <c r="S2424" s="18" t="s">
        <v>30</v>
      </c>
      <c r="T2424" s="18" t="s">
        <v>4424</v>
      </c>
      <c r="U2424" s="18"/>
      <c r="V2424" s="18"/>
      <c r="W2424" s="18" t="s">
        <v>4425</v>
      </c>
      <c r="X2424" s="18" t="s">
        <v>42</v>
      </c>
      <c r="Y2424" s="18" t="s">
        <v>36</v>
      </c>
      <c r="Z2424" s="18" t="s">
        <v>697</v>
      </c>
      <c r="AA2424" s="21" t="str">
        <f>HYPERLINK("https://www.ncbi.nlm.nih.gov/nuccore/MT711979","NCBI Nucleotide")</f>
        <v>NCBI Nucleotide</v>
      </c>
    </row>
    <row r="2425" spans="1:27" x14ac:dyDescent="0.35">
      <c r="A2425">
        <v>1003182</v>
      </c>
      <c r="B2425">
        <v>2401</v>
      </c>
      <c r="C2425">
        <v>1</v>
      </c>
      <c r="D2425" s="17" t="s">
        <v>155</v>
      </c>
      <c r="E2425" s="17"/>
      <c r="F2425" s="17" t="s">
        <v>156</v>
      </c>
      <c r="G2425" s="17"/>
      <c r="H2425" s="17" t="s">
        <v>692</v>
      </c>
      <c r="I2425" s="17"/>
      <c r="J2425" s="17" t="s">
        <v>693</v>
      </c>
      <c r="K2425" s="17"/>
      <c r="L2425" s="17"/>
      <c r="M2425" s="17"/>
      <c r="N2425" s="17"/>
      <c r="O2425" s="17" t="s">
        <v>4396</v>
      </c>
      <c r="P2425" s="17" t="s">
        <v>4415</v>
      </c>
      <c r="Q2425" s="17"/>
      <c r="R2425" s="25" t="str">
        <f>HYPERLINK("https://ictv.global/taxonomy/taxondetails?taxnode_id=202313155","Camvirus joe")</f>
        <v>Camvirus joe</v>
      </c>
      <c r="S2425" s="18" t="s">
        <v>30</v>
      </c>
      <c r="T2425" s="18" t="s">
        <v>4426</v>
      </c>
      <c r="U2425" s="18"/>
      <c r="V2425" s="18"/>
      <c r="W2425" s="18" t="s">
        <v>4427</v>
      </c>
      <c r="X2425" s="18" t="s">
        <v>42</v>
      </c>
      <c r="Y2425" s="18" t="s">
        <v>36</v>
      </c>
      <c r="Z2425" s="18" t="s">
        <v>697</v>
      </c>
      <c r="AA2425" s="21" t="str">
        <f>HYPERLINK("https://www.ncbi.nlm.nih.gov/nuccore/KX815338","NCBI Nucleotide")</f>
        <v>NCBI Nucleotide</v>
      </c>
    </row>
    <row r="2426" spans="1:27" x14ac:dyDescent="0.35">
      <c r="A2426">
        <v>1003183</v>
      </c>
      <c r="B2426">
        <v>2402</v>
      </c>
      <c r="C2426">
        <v>1</v>
      </c>
      <c r="D2426" s="17" t="s">
        <v>155</v>
      </c>
      <c r="E2426" s="17"/>
      <c r="F2426" s="17" t="s">
        <v>156</v>
      </c>
      <c r="G2426" s="17"/>
      <c r="H2426" s="17" t="s">
        <v>692</v>
      </c>
      <c r="I2426" s="17"/>
      <c r="J2426" s="17" t="s">
        <v>693</v>
      </c>
      <c r="K2426" s="17"/>
      <c r="L2426" s="17"/>
      <c r="M2426" s="17"/>
      <c r="N2426" s="17"/>
      <c r="O2426" s="17" t="s">
        <v>4396</v>
      </c>
      <c r="P2426" s="17" t="s">
        <v>4415</v>
      </c>
      <c r="Q2426" s="17"/>
      <c r="R2426" s="25" t="str">
        <f>HYPERLINK("https://ictv.global/taxonomy/taxondetails?taxnode_id=202313156","Camvirus saftant")</f>
        <v>Camvirus saftant</v>
      </c>
      <c r="S2426" s="18" t="s">
        <v>30</v>
      </c>
      <c r="T2426" s="18" t="s">
        <v>4428</v>
      </c>
      <c r="U2426" s="18"/>
      <c r="V2426" s="18"/>
      <c r="W2426" s="18" t="s">
        <v>4429</v>
      </c>
      <c r="X2426" s="18" t="s">
        <v>42</v>
      </c>
      <c r="Y2426" s="18" t="s">
        <v>36</v>
      </c>
      <c r="Z2426" s="18" t="s">
        <v>697</v>
      </c>
      <c r="AA2426" s="21" t="str">
        <f>HYPERLINK("https://www.ncbi.nlm.nih.gov/nuccore/MN204498","NCBI Nucleotide")</f>
        <v>NCBI Nucleotide</v>
      </c>
    </row>
    <row r="2427" spans="1:27" x14ac:dyDescent="0.35">
      <c r="A2427">
        <v>1003184</v>
      </c>
      <c r="B2427">
        <v>2403</v>
      </c>
      <c r="C2427">
        <v>1</v>
      </c>
      <c r="D2427" s="17" t="s">
        <v>155</v>
      </c>
      <c r="E2427" s="17"/>
      <c r="F2427" s="17" t="s">
        <v>156</v>
      </c>
      <c r="G2427" s="17"/>
      <c r="H2427" s="17" t="s">
        <v>692</v>
      </c>
      <c r="I2427" s="17"/>
      <c r="J2427" s="17" t="s">
        <v>693</v>
      </c>
      <c r="K2427" s="17"/>
      <c r="L2427" s="17"/>
      <c r="M2427" s="17"/>
      <c r="N2427" s="17"/>
      <c r="O2427" s="17" t="s">
        <v>4396</v>
      </c>
      <c r="P2427" s="17" t="s">
        <v>4415</v>
      </c>
      <c r="Q2427" s="17"/>
      <c r="R2427" s="25" t="str">
        <f>HYPERLINK("https://ictv.global/taxonomy/taxondetails?taxnode_id=202313157","Camvirus sitrop")</f>
        <v>Camvirus sitrop</v>
      </c>
      <c r="S2427" s="18" t="s">
        <v>30</v>
      </c>
      <c r="T2427" s="18" t="s">
        <v>4430</v>
      </c>
      <c r="U2427" s="18"/>
      <c r="V2427" s="18"/>
      <c r="W2427" s="18" t="s">
        <v>4431</v>
      </c>
      <c r="X2427" s="18" t="s">
        <v>42</v>
      </c>
      <c r="Y2427" s="18" t="s">
        <v>36</v>
      </c>
      <c r="Z2427" s="18" t="s">
        <v>697</v>
      </c>
      <c r="AA2427" s="21" t="str">
        <f>HYPERLINK("https://www.ncbi.nlm.nih.gov/nuccore/MT701598","NCBI Nucleotide")</f>
        <v>NCBI Nucleotide</v>
      </c>
    </row>
    <row r="2428" spans="1:27" x14ac:dyDescent="0.35">
      <c r="A2428">
        <v>1003185</v>
      </c>
      <c r="B2428">
        <v>2404</v>
      </c>
      <c r="C2428">
        <v>1</v>
      </c>
      <c r="D2428" s="17" t="s">
        <v>155</v>
      </c>
      <c r="E2428" s="17"/>
      <c r="F2428" s="17" t="s">
        <v>156</v>
      </c>
      <c r="G2428" s="17"/>
      <c r="H2428" s="17" t="s">
        <v>692</v>
      </c>
      <c r="I2428" s="17"/>
      <c r="J2428" s="17" t="s">
        <v>693</v>
      </c>
      <c r="K2428" s="17"/>
      <c r="L2428" s="17"/>
      <c r="M2428" s="17"/>
      <c r="N2428" s="17"/>
      <c r="O2428" s="17" t="s">
        <v>4396</v>
      </c>
      <c r="P2428" s="17" t="s">
        <v>4432</v>
      </c>
      <c r="Q2428" s="17"/>
      <c r="R2428" s="25" t="str">
        <f>HYPERLINK("https://ictv.global/taxonomy/taxondetails?taxnode_id=202313129","Celiavirus celia")</f>
        <v>Celiavirus celia</v>
      </c>
      <c r="S2428" s="18" t="s">
        <v>30</v>
      </c>
      <c r="T2428" s="18" t="s">
        <v>4433</v>
      </c>
      <c r="U2428" s="18"/>
      <c r="V2428" s="18"/>
      <c r="W2428" s="18" t="s">
        <v>4434</v>
      </c>
      <c r="X2428" s="18" t="s">
        <v>42</v>
      </c>
      <c r="Y2428" s="18" t="s">
        <v>36</v>
      </c>
      <c r="Z2428" s="18" t="s">
        <v>697</v>
      </c>
      <c r="AA2428" s="21" t="str">
        <f>HYPERLINK("https://www.ncbi.nlm.nih.gov/nuccore/MN062705","NCBI Nucleotide")</f>
        <v>NCBI Nucleotide</v>
      </c>
    </row>
    <row r="2429" spans="1:27" x14ac:dyDescent="0.35">
      <c r="A2429">
        <v>1003186</v>
      </c>
      <c r="B2429">
        <v>2405</v>
      </c>
      <c r="C2429">
        <v>1</v>
      </c>
      <c r="D2429" s="17" t="s">
        <v>155</v>
      </c>
      <c r="E2429" s="17"/>
      <c r="F2429" s="17" t="s">
        <v>156</v>
      </c>
      <c r="G2429" s="17"/>
      <c r="H2429" s="17" t="s">
        <v>692</v>
      </c>
      <c r="I2429" s="17"/>
      <c r="J2429" s="17" t="s">
        <v>693</v>
      </c>
      <c r="K2429" s="17"/>
      <c r="L2429" s="17"/>
      <c r="M2429" s="17"/>
      <c r="N2429" s="17"/>
      <c r="O2429" s="17" t="s">
        <v>4396</v>
      </c>
      <c r="P2429" s="17" t="s">
        <v>4435</v>
      </c>
      <c r="Q2429" s="17"/>
      <c r="R2429" s="25" t="str">
        <f>HYPERLINK("https://ictv.global/taxonomy/taxondetails?taxnode_id=202300732","Hautrevirus hau3")</f>
        <v>Hautrevirus hau3</v>
      </c>
      <c r="S2429" s="18" t="s">
        <v>30</v>
      </c>
      <c r="T2429" s="18" t="s">
        <v>4436</v>
      </c>
      <c r="U2429" s="18"/>
      <c r="V2429" s="18"/>
      <c r="W2429" s="18" t="s">
        <v>4437</v>
      </c>
      <c r="X2429" s="18" t="s">
        <v>42</v>
      </c>
      <c r="Y2429" s="18" t="s">
        <v>36</v>
      </c>
      <c r="Z2429" s="18" t="s">
        <v>697</v>
      </c>
      <c r="AA2429" s="21" t="str">
        <f>HYPERLINK("https://www.ncbi.nlm.nih.gov/nuccore/JX182369","NCBI Nucleotide")</f>
        <v>NCBI Nucleotide</v>
      </c>
    </row>
    <row r="2430" spans="1:27" x14ac:dyDescent="0.35">
      <c r="A2430">
        <v>1003187</v>
      </c>
      <c r="B2430">
        <v>2406</v>
      </c>
      <c r="C2430">
        <v>1</v>
      </c>
      <c r="D2430" s="17" t="s">
        <v>155</v>
      </c>
      <c r="E2430" s="17"/>
      <c r="F2430" s="17" t="s">
        <v>156</v>
      </c>
      <c r="G2430" s="17"/>
      <c r="H2430" s="17" t="s">
        <v>692</v>
      </c>
      <c r="I2430" s="17"/>
      <c r="J2430" s="17" t="s">
        <v>693</v>
      </c>
      <c r="K2430" s="17"/>
      <c r="L2430" s="17"/>
      <c r="M2430" s="17"/>
      <c r="N2430" s="17"/>
      <c r="O2430" s="17" t="s">
        <v>4396</v>
      </c>
      <c r="P2430" s="17" t="s">
        <v>4438</v>
      </c>
      <c r="Q2430" s="17"/>
      <c r="R2430" s="25" t="str">
        <f>HYPERLINK("https://ictv.global/taxonomy/taxondetails?taxnode_id=202313140","Janusvirus hank144")</f>
        <v>Janusvirus hank144</v>
      </c>
      <c r="S2430" s="18" t="s">
        <v>30</v>
      </c>
      <c r="T2430" s="18" t="s">
        <v>4439</v>
      </c>
      <c r="U2430" s="18"/>
      <c r="V2430" s="18"/>
      <c r="W2430" s="18" t="s">
        <v>4440</v>
      </c>
      <c r="X2430" s="18" t="s">
        <v>42</v>
      </c>
      <c r="Y2430" s="18" t="s">
        <v>36</v>
      </c>
      <c r="Z2430" s="18" t="s">
        <v>697</v>
      </c>
      <c r="AA2430" s="21" t="str">
        <f>HYPERLINK("https://www.ncbi.nlm.nih.gov/nuccore/MH669004","NCBI Nucleotide")</f>
        <v>NCBI Nucleotide</v>
      </c>
    </row>
    <row r="2431" spans="1:27" x14ac:dyDescent="0.35">
      <c r="A2431">
        <v>1003188</v>
      </c>
      <c r="B2431">
        <v>2407</v>
      </c>
      <c r="C2431">
        <v>1</v>
      </c>
      <c r="D2431" s="17" t="s">
        <v>155</v>
      </c>
      <c r="E2431" s="17"/>
      <c r="F2431" s="17" t="s">
        <v>156</v>
      </c>
      <c r="G2431" s="17"/>
      <c r="H2431" s="17" t="s">
        <v>692</v>
      </c>
      <c r="I2431" s="17"/>
      <c r="J2431" s="17" t="s">
        <v>693</v>
      </c>
      <c r="K2431" s="17"/>
      <c r="L2431" s="17"/>
      <c r="M2431" s="17"/>
      <c r="N2431" s="17"/>
      <c r="O2431" s="17" t="s">
        <v>4396</v>
      </c>
      <c r="P2431" s="17" t="s">
        <v>4438</v>
      </c>
      <c r="Q2431" s="17"/>
      <c r="R2431" s="25" t="str">
        <f>HYPERLINK("https://ictv.global/taxonomy/taxondetails?taxnode_id=202313139","Janusvirus janus")</f>
        <v>Janusvirus janus</v>
      </c>
      <c r="S2431" s="18" t="s">
        <v>30</v>
      </c>
      <c r="T2431" s="18" t="s">
        <v>4441</v>
      </c>
      <c r="U2431" s="18"/>
      <c r="V2431" s="18"/>
      <c r="W2431" s="18" t="s">
        <v>4442</v>
      </c>
      <c r="X2431" s="18" t="s">
        <v>42</v>
      </c>
      <c r="Y2431" s="18" t="s">
        <v>36</v>
      </c>
      <c r="Z2431" s="18" t="s">
        <v>697</v>
      </c>
      <c r="AA2431" s="21" t="str">
        <f>HYPERLINK("https://www.ncbi.nlm.nih.gov/nuccore/MK392366","NCBI Nucleotide")</f>
        <v>NCBI Nucleotide</v>
      </c>
    </row>
    <row r="2432" spans="1:27" x14ac:dyDescent="0.35">
      <c r="A2432">
        <v>1003189</v>
      </c>
      <c r="B2432">
        <v>2408</v>
      </c>
      <c r="C2432">
        <v>1</v>
      </c>
      <c r="D2432" s="17" t="s">
        <v>155</v>
      </c>
      <c r="E2432" s="17"/>
      <c r="F2432" s="17" t="s">
        <v>156</v>
      </c>
      <c r="G2432" s="17"/>
      <c r="H2432" s="17" t="s">
        <v>692</v>
      </c>
      <c r="I2432" s="17"/>
      <c r="J2432" s="17" t="s">
        <v>693</v>
      </c>
      <c r="K2432" s="17"/>
      <c r="L2432" s="17"/>
      <c r="M2432" s="17"/>
      <c r="N2432" s="17"/>
      <c r="O2432" s="17" t="s">
        <v>4396</v>
      </c>
      <c r="P2432" s="17" t="s">
        <v>4438</v>
      </c>
      <c r="Q2432" s="17"/>
      <c r="R2432" s="25" t="str">
        <f>HYPERLINK("https://ictv.global/taxonomy/taxondetails?taxnode_id=202314639","Janusvirus pablito")</f>
        <v>Janusvirus pablito</v>
      </c>
      <c r="S2432" s="18" t="s">
        <v>30</v>
      </c>
      <c r="T2432" s="18" t="s">
        <v>4443</v>
      </c>
      <c r="U2432" s="18"/>
      <c r="V2432" s="18"/>
      <c r="W2432" s="18" t="s">
        <v>4444</v>
      </c>
      <c r="X2432" s="18" t="s">
        <v>42</v>
      </c>
      <c r="Y2432" s="18" t="s">
        <v>36</v>
      </c>
      <c r="Z2432" s="18" t="s">
        <v>697</v>
      </c>
      <c r="AA2432" s="21" t="str">
        <f>HYPERLINK("https://www.ncbi.nlm.nih.gov/nuccore/OK412919","NCBI Nucleotide")</f>
        <v>NCBI Nucleotide</v>
      </c>
    </row>
    <row r="2433" spans="1:27" x14ac:dyDescent="0.35">
      <c r="A2433">
        <v>1003190</v>
      </c>
      <c r="B2433">
        <v>2409</v>
      </c>
      <c r="C2433">
        <v>1</v>
      </c>
      <c r="D2433" s="17" t="s">
        <v>155</v>
      </c>
      <c r="E2433" s="17"/>
      <c r="F2433" s="17" t="s">
        <v>156</v>
      </c>
      <c r="G2433" s="17"/>
      <c r="H2433" s="17" t="s">
        <v>692</v>
      </c>
      <c r="I2433" s="17"/>
      <c r="J2433" s="17" t="s">
        <v>693</v>
      </c>
      <c r="K2433" s="17"/>
      <c r="L2433" s="17"/>
      <c r="M2433" s="17"/>
      <c r="N2433" s="17"/>
      <c r="O2433" s="17" t="s">
        <v>4396</v>
      </c>
      <c r="P2433" s="17" t="s">
        <v>4445</v>
      </c>
      <c r="Q2433" s="17"/>
      <c r="R2433" s="25" t="str">
        <f>HYPERLINK("https://ictv.global/taxonomy/taxondetails?taxnode_id=202300719","Likavirus aaronocolus")</f>
        <v>Likavirus aaronocolus</v>
      </c>
      <c r="S2433" s="18" t="s">
        <v>30</v>
      </c>
      <c r="T2433" s="18" t="s">
        <v>4446</v>
      </c>
      <c r="U2433" s="18"/>
      <c r="V2433" s="18"/>
      <c r="W2433" s="18" t="s">
        <v>4447</v>
      </c>
      <c r="X2433" s="18" t="s">
        <v>42</v>
      </c>
      <c r="Y2433" s="18" t="s">
        <v>36</v>
      </c>
      <c r="Z2433" s="18" t="s">
        <v>697</v>
      </c>
      <c r="AA2433" s="21" t="str">
        <f>HYPERLINK("https://www.ncbi.nlm.nih.gov/nuccore/KT124227","NCBI Nucleotide")</f>
        <v>NCBI Nucleotide</v>
      </c>
    </row>
    <row r="2434" spans="1:27" x14ac:dyDescent="0.35">
      <c r="A2434">
        <v>1003191</v>
      </c>
      <c r="B2434">
        <v>2410</v>
      </c>
      <c r="C2434">
        <v>1</v>
      </c>
      <c r="D2434" s="17" t="s">
        <v>155</v>
      </c>
      <c r="E2434" s="17"/>
      <c r="F2434" s="17" t="s">
        <v>156</v>
      </c>
      <c r="G2434" s="17"/>
      <c r="H2434" s="17" t="s">
        <v>692</v>
      </c>
      <c r="I2434" s="17"/>
      <c r="J2434" s="17" t="s">
        <v>693</v>
      </c>
      <c r="K2434" s="17"/>
      <c r="L2434" s="17"/>
      <c r="M2434" s="17"/>
      <c r="N2434" s="17"/>
      <c r="O2434" s="17" t="s">
        <v>4396</v>
      </c>
      <c r="P2434" s="17" t="s">
        <v>4445</v>
      </c>
      <c r="Q2434" s="17"/>
      <c r="R2434" s="25" t="str">
        <f>HYPERLINK("https://ictv.global/taxonomy/taxondetails?taxnode_id=202300720","Likavirus caliburn")</f>
        <v>Likavirus caliburn</v>
      </c>
      <c r="S2434" s="18" t="s">
        <v>30</v>
      </c>
      <c r="T2434" s="18" t="s">
        <v>4448</v>
      </c>
      <c r="U2434" s="18"/>
      <c r="V2434" s="18"/>
      <c r="W2434" s="18" t="s">
        <v>4449</v>
      </c>
      <c r="X2434" s="18" t="s">
        <v>42</v>
      </c>
      <c r="Y2434" s="18" t="s">
        <v>36</v>
      </c>
      <c r="Z2434" s="18" t="s">
        <v>697</v>
      </c>
      <c r="AA2434" s="21" t="str">
        <f>HYPERLINK("https://www.ncbi.nlm.nih.gov/nuccore/KT152029","NCBI Nucleotide")</f>
        <v>NCBI Nucleotide</v>
      </c>
    </row>
    <row r="2435" spans="1:27" x14ac:dyDescent="0.35">
      <c r="A2435">
        <v>1003192</v>
      </c>
      <c r="B2435">
        <v>2411</v>
      </c>
      <c r="C2435">
        <v>1</v>
      </c>
      <c r="D2435" s="17" t="s">
        <v>155</v>
      </c>
      <c r="E2435" s="17"/>
      <c r="F2435" s="17" t="s">
        <v>156</v>
      </c>
      <c r="G2435" s="17"/>
      <c r="H2435" s="17" t="s">
        <v>692</v>
      </c>
      <c r="I2435" s="17"/>
      <c r="J2435" s="17" t="s">
        <v>693</v>
      </c>
      <c r="K2435" s="17"/>
      <c r="L2435" s="17"/>
      <c r="M2435" s="17"/>
      <c r="N2435" s="17"/>
      <c r="O2435" s="17" t="s">
        <v>4396</v>
      </c>
      <c r="P2435" s="17" t="s">
        <v>4445</v>
      </c>
      <c r="Q2435" s="17"/>
      <c r="R2435" s="25" t="str">
        <f>HYPERLINK("https://ictv.global/taxonomy/taxondetails?taxnode_id=202300721","Likavirus danzina")</f>
        <v>Likavirus danzina</v>
      </c>
      <c r="S2435" s="18" t="s">
        <v>30</v>
      </c>
      <c r="T2435" s="18" t="s">
        <v>4450</v>
      </c>
      <c r="U2435" s="18"/>
      <c r="V2435" s="18"/>
      <c r="W2435" s="18" t="s">
        <v>4451</v>
      </c>
      <c r="X2435" s="18" t="s">
        <v>42</v>
      </c>
      <c r="Y2435" s="18" t="s">
        <v>36</v>
      </c>
      <c r="Z2435" s="18" t="s">
        <v>697</v>
      </c>
      <c r="AA2435" s="21" t="str">
        <f>HYPERLINK("https://www.ncbi.nlm.nih.gov/nuccore/KT124228","NCBI Nucleotide")</f>
        <v>NCBI Nucleotide</v>
      </c>
    </row>
    <row r="2436" spans="1:27" x14ac:dyDescent="0.35">
      <c r="A2436">
        <v>1003193</v>
      </c>
      <c r="B2436">
        <v>2412</v>
      </c>
      <c r="C2436">
        <v>1</v>
      </c>
      <c r="D2436" s="17" t="s">
        <v>155</v>
      </c>
      <c r="E2436" s="17"/>
      <c r="F2436" s="17" t="s">
        <v>156</v>
      </c>
      <c r="G2436" s="17"/>
      <c r="H2436" s="17" t="s">
        <v>692</v>
      </c>
      <c r="I2436" s="17"/>
      <c r="J2436" s="17" t="s">
        <v>693</v>
      </c>
      <c r="K2436" s="17"/>
      <c r="L2436" s="17"/>
      <c r="M2436" s="17"/>
      <c r="N2436" s="17"/>
      <c r="O2436" s="17" t="s">
        <v>4396</v>
      </c>
      <c r="P2436" s="17" t="s">
        <v>4445</v>
      </c>
      <c r="Q2436" s="17"/>
      <c r="R2436" s="25" t="str">
        <f>HYPERLINK("https://ictv.global/taxonomy/taxondetails?taxnode_id=202313161","Likavirus goby")</f>
        <v>Likavirus goby</v>
      </c>
      <c r="S2436" s="18" t="s">
        <v>30</v>
      </c>
      <c r="T2436" s="18" t="s">
        <v>4452</v>
      </c>
      <c r="U2436" s="18"/>
      <c r="V2436" s="18"/>
      <c r="W2436" s="18" t="s">
        <v>4453</v>
      </c>
      <c r="X2436" s="18" t="s">
        <v>42</v>
      </c>
      <c r="Y2436" s="18" t="s">
        <v>36</v>
      </c>
      <c r="Z2436" s="18" t="s">
        <v>697</v>
      </c>
      <c r="AA2436" s="21" t="str">
        <f>HYPERLINK("https://www.ncbi.nlm.nih.gov/nuccore/MH171097","NCBI Nucleotide")</f>
        <v>NCBI Nucleotide</v>
      </c>
    </row>
    <row r="2437" spans="1:27" x14ac:dyDescent="0.35">
      <c r="A2437">
        <v>1003194</v>
      </c>
      <c r="B2437">
        <v>2413</v>
      </c>
      <c r="C2437">
        <v>1</v>
      </c>
      <c r="D2437" s="17" t="s">
        <v>155</v>
      </c>
      <c r="E2437" s="17"/>
      <c r="F2437" s="17" t="s">
        <v>156</v>
      </c>
      <c r="G2437" s="17"/>
      <c r="H2437" s="17" t="s">
        <v>692</v>
      </c>
      <c r="I2437" s="17"/>
      <c r="J2437" s="17" t="s">
        <v>693</v>
      </c>
      <c r="K2437" s="17"/>
      <c r="L2437" s="17"/>
      <c r="M2437" s="17"/>
      <c r="N2437" s="17"/>
      <c r="O2437" s="17" t="s">
        <v>4396</v>
      </c>
      <c r="P2437" s="17" t="s">
        <v>4445</v>
      </c>
      <c r="Q2437" s="17"/>
      <c r="R2437" s="25" t="str">
        <f>HYPERLINK("https://ictv.global/taxonomy/taxondetails?taxnode_id=202300722","Likavirus hydra")</f>
        <v>Likavirus hydra</v>
      </c>
      <c r="S2437" s="18" t="s">
        <v>30</v>
      </c>
      <c r="T2437" s="18" t="s">
        <v>4454</v>
      </c>
      <c r="U2437" s="18"/>
      <c r="V2437" s="18"/>
      <c r="W2437" s="18" t="s">
        <v>4455</v>
      </c>
      <c r="X2437" s="18" t="s">
        <v>42</v>
      </c>
      <c r="Y2437" s="18" t="s">
        <v>36</v>
      </c>
      <c r="Z2437" s="18" t="s">
        <v>697</v>
      </c>
      <c r="AA2437" s="21" t="str">
        <f>HYPERLINK("https://www.ncbi.nlm.nih.gov/nuccore/KT124229","NCBI Nucleotide")</f>
        <v>NCBI Nucleotide</v>
      </c>
    </row>
    <row r="2438" spans="1:27" x14ac:dyDescent="0.35">
      <c r="A2438">
        <v>1003195</v>
      </c>
      <c r="B2438">
        <v>2414</v>
      </c>
      <c r="C2438">
        <v>1</v>
      </c>
      <c r="D2438" s="17" t="s">
        <v>155</v>
      </c>
      <c r="E2438" s="17"/>
      <c r="F2438" s="17" t="s">
        <v>156</v>
      </c>
      <c r="G2438" s="17"/>
      <c r="H2438" s="17" t="s">
        <v>692</v>
      </c>
      <c r="I2438" s="17"/>
      <c r="J2438" s="17" t="s">
        <v>693</v>
      </c>
      <c r="K2438" s="17"/>
      <c r="L2438" s="17"/>
      <c r="M2438" s="17"/>
      <c r="N2438" s="17"/>
      <c r="O2438" s="17" t="s">
        <v>4396</v>
      </c>
      <c r="P2438" s="17" t="s">
        <v>4445</v>
      </c>
      <c r="Q2438" s="17"/>
      <c r="R2438" s="25" t="str">
        <f>HYPERLINK("https://ictv.global/taxonomy/taxondetails?taxnode_id=202300723","Likavirus izzy")</f>
        <v>Likavirus izzy</v>
      </c>
      <c r="S2438" s="18" t="s">
        <v>30</v>
      </c>
      <c r="T2438" s="18" t="s">
        <v>4456</v>
      </c>
      <c r="U2438" s="18"/>
      <c r="V2438" s="18"/>
      <c r="W2438" s="18" t="s">
        <v>4457</v>
      </c>
      <c r="X2438" s="18" t="s">
        <v>42</v>
      </c>
      <c r="Y2438" s="18" t="s">
        <v>36</v>
      </c>
      <c r="Z2438" s="18" t="s">
        <v>697</v>
      </c>
      <c r="AA2438" s="21" t="str">
        <f>HYPERLINK("https://www.ncbi.nlm.nih.gov/nuccore/KT184390","NCBI Nucleotide")</f>
        <v>NCBI Nucleotide</v>
      </c>
    </row>
    <row r="2439" spans="1:27" x14ac:dyDescent="0.35">
      <c r="A2439">
        <v>1003196</v>
      </c>
      <c r="B2439">
        <v>2415</v>
      </c>
      <c r="C2439">
        <v>1</v>
      </c>
      <c r="D2439" s="17" t="s">
        <v>155</v>
      </c>
      <c r="E2439" s="17"/>
      <c r="F2439" s="17" t="s">
        <v>156</v>
      </c>
      <c r="G2439" s="17"/>
      <c r="H2439" s="17" t="s">
        <v>692</v>
      </c>
      <c r="I2439" s="17"/>
      <c r="J2439" s="17" t="s">
        <v>693</v>
      </c>
      <c r="K2439" s="17"/>
      <c r="L2439" s="17"/>
      <c r="M2439" s="17"/>
      <c r="N2439" s="17"/>
      <c r="O2439" s="17" t="s">
        <v>4396</v>
      </c>
      <c r="P2439" s="17" t="s">
        <v>4445</v>
      </c>
      <c r="Q2439" s="17"/>
      <c r="R2439" s="25" t="str">
        <f>HYPERLINK("https://ictv.global/taxonomy/taxondetails?taxnode_id=202300724","Likavirus lannister")</f>
        <v>Likavirus lannister</v>
      </c>
      <c r="S2439" s="18" t="s">
        <v>30</v>
      </c>
      <c r="T2439" s="18" t="s">
        <v>4458</v>
      </c>
      <c r="U2439" s="18"/>
      <c r="V2439" s="18"/>
      <c r="W2439" s="18" t="s">
        <v>4459</v>
      </c>
      <c r="X2439" s="18" t="s">
        <v>42</v>
      </c>
      <c r="Y2439" s="18" t="s">
        <v>36</v>
      </c>
      <c r="Z2439" s="18" t="s">
        <v>697</v>
      </c>
      <c r="AA2439" s="21" t="str">
        <f>HYPERLINK("https://www.ncbi.nlm.nih.gov/nuccore/KT184391","NCBI Nucleotide")</f>
        <v>NCBI Nucleotide</v>
      </c>
    </row>
    <row r="2440" spans="1:27" x14ac:dyDescent="0.35">
      <c r="A2440">
        <v>1003197</v>
      </c>
      <c r="B2440">
        <v>2416</v>
      </c>
      <c r="C2440">
        <v>1</v>
      </c>
      <c r="D2440" s="17" t="s">
        <v>155</v>
      </c>
      <c r="E2440" s="17"/>
      <c r="F2440" s="17" t="s">
        <v>156</v>
      </c>
      <c r="G2440" s="17"/>
      <c r="H2440" s="17" t="s">
        <v>692</v>
      </c>
      <c r="I2440" s="17"/>
      <c r="J2440" s="17" t="s">
        <v>693</v>
      </c>
      <c r="K2440" s="17"/>
      <c r="L2440" s="17"/>
      <c r="M2440" s="17"/>
      <c r="N2440" s="17"/>
      <c r="O2440" s="17" t="s">
        <v>4396</v>
      </c>
      <c r="P2440" s="17" t="s">
        <v>4445</v>
      </c>
      <c r="Q2440" s="17"/>
      <c r="R2440" s="25" t="str">
        <f>HYPERLINK("https://ictv.global/taxonomy/taxondetails?taxnode_id=202300725","Likavirus lika")</f>
        <v>Likavirus lika</v>
      </c>
      <c r="S2440" s="18" t="s">
        <v>30</v>
      </c>
      <c r="T2440" s="18" t="s">
        <v>4460</v>
      </c>
      <c r="U2440" s="18"/>
      <c r="V2440" s="18"/>
      <c r="W2440" s="18" t="s">
        <v>4461</v>
      </c>
      <c r="X2440" s="18" t="s">
        <v>42</v>
      </c>
      <c r="Y2440" s="18" t="s">
        <v>36</v>
      </c>
      <c r="Z2440" s="18" t="s">
        <v>697</v>
      </c>
      <c r="AA2440" s="21" t="str">
        <f>HYPERLINK("https://www.ncbi.nlm.nih.gov/nuccore/KC700556","NCBI Nucleotide")</f>
        <v>NCBI Nucleotide</v>
      </c>
    </row>
    <row r="2441" spans="1:27" x14ac:dyDescent="0.35">
      <c r="A2441">
        <v>1003198</v>
      </c>
      <c r="B2441">
        <v>2417</v>
      </c>
      <c r="C2441">
        <v>1</v>
      </c>
      <c r="D2441" s="17" t="s">
        <v>155</v>
      </c>
      <c r="E2441" s="17"/>
      <c r="F2441" s="17" t="s">
        <v>156</v>
      </c>
      <c r="G2441" s="17"/>
      <c r="H2441" s="17" t="s">
        <v>692</v>
      </c>
      <c r="I2441" s="17"/>
      <c r="J2441" s="17" t="s">
        <v>693</v>
      </c>
      <c r="K2441" s="17"/>
      <c r="L2441" s="17"/>
      <c r="M2441" s="17"/>
      <c r="N2441" s="17"/>
      <c r="O2441" s="17" t="s">
        <v>4396</v>
      </c>
      <c r="P2441" s="17" t="s">
        <v>4445</v>
      </c>
      <c r="Q2441" s="17"/>
      <c r="R2441" s="25" t="str">
        <f>HYPERLINK("https://ictv.global/taxonomy/taxondetails?taxnode_id=202313162","Likavirus lorelei")</f>
        <v>Likavirus lorelei</v>
      </c>
      <c r="S2441" s="18" t="s">
        <v>30</v>
      </c>
      <c r="T2441" s="18" t="s">
        <v>4462</v>
      </c>
      <c r="U2441" s="18"/>
      <c r="V2441" s="18"/>
      <c r="W2441" s="18" t="s">
        <v>4463</v>
      </c>
      <c r="X2441" s="18" t="s">
        <v>42</v>
      </c>
      <c r="Y2441" s="18" t="s">
        <v>36</v>
      </c>
      <c r="Z2441" s="18" t="s">
        <v>697</v>
      </c>
      <c r="AA2441" s="21" t="str">
        <f>HYPERLINK("https://www.ncbi.nlm.nih.gov/nuccore/KX507343","NCBI Nucleotide")</f>
        <v>NCBI Nucleotide</v>
      </c>
    </row>
    <row r="2442" spans="1:27" x14ac:dyDescent="0.35">
      <c r="A2442">
        <v>1003199</v>
      </c>
      <c r="B2442">
        <v>2418</v>
      </c>
      <c r="C2442">
        <v>1</v>
      </c>
      <c r="D2442" s="17" t="s">
        <v>155</v>
      </c>
      <c r="E2442" s="17"/>
      <c r="F2442" s="17" t="s">
        <v>156</v>
      </c>
      <c r="G2442" s="17"/>
      <c r="H2442" s="17" t="s">
        <v>692</v>
      </c>
      <c r="I2442" s="17"/>
      <c r="J2442" s="17" t="s">
        <v>693</v>
      </c>
      <c r="K2442" s="17"/>
      <c r="L2442" s="17"/>
      <c r="M2442" s="17"/>
      <c r="N2442" s="17"/>
      <c r="O2442" s="17" t="s">
        <v>4396</v>
      </c>
      <c r="P2442" s="17" t="s">
        <v>4445</v>
      </c>
      <c r="Q2442" s="17"/>
      <c r="R2442" s="25" t="str">
        <f>HYPERLINK("https://ictv.global/taxonomy/taxondetails?taxnode_id=202313163","Likavirus nanodon")</f>
        <v>Likavirus nanodon</v>
      </c>
      <c r="S2442" s="18" t="s">
        <v>30</v>
      </c>
      <c r="T2442" s="18" t="s">
        <v>4464</v>
      </c>
      <c r="U2442" s="18"/>
      <c r="V2442" s="18"/>
      <c r="W2442" s="18" t="s">
        <v>4465</v>
      </c>
      <c r="X2442" s="18" t="s">
        <v>42</v>
      </c>
      <c r="Y2442" s="18" t="s">
        <v>36</v>
      </c>
      <c r="Z2442" s="18" t="s">
        <v>697</v>
      </c>
      <c r="AA2442" s="21" t="str">
        <f>HYPERLINK("https://www.ncbi.nlm.nih.gov/nuccore/KX344445","NCBI Nucleotide")</f>
        <v>NCBI Nucleotide</v>
      </c>
    </row>
    <row r="2443" spans="1:27" x14ac:dyDescent="0.35">
      <c r="A2443">
        <v>1003200</v>
      </c>
      <c r="B2443">
        <v>2419</v>
      </c>
      <c r="C2443">
        <v>1</v>
      </c>
      <c r="D2443" s="17" t="s">
        <v>155</v>
      </c>
      <c r="E2443" s="17"/>
      <c r="F2443" s="17" t="s">
        <v>156</v>
      </c>
      <c r="G2443" s="17"/>
      <c r="H2443" s="17" t="s">
        <v>692</v>
      </c>
      <c r="I2443" s="17"/>
      <c r="J2443" s="17" t="s">
        <v>693</v>
      </c>
      <c r="K2443" s="17"/>
      <c r="L2443" s="17"/>
      <c r="M2443" s="17"/>
      <c r="N2443" s="17"/>
      <c r="O2443" s="17" t="s">
        <v>4396</v>
      </c>
      <c r="P2443" s="17" t="s">
        <v>4445</v>
      </c>
      <c r="Q2443" s="17"/>
      <c r="R2443" s="25" t="str">
        <f>HYPERLINK("https://ictv.global/taxonomy/taxondetails?taxnode_id=202300726","Likavirus sujidade")</f>
        <v>Likavirus sujidade</v>
      </c>
      <c r="S2443" s="18" t="s">
        <v>30</v>
      </c>
      <c r="T2443" s="18" t="s">
        <v>4466</v>
      </c>
      <c r="U2443" s="18"/>
      <c r="V2443" s="18"/>
      <c r="W2443" s="18" t="s">
        <v>4467</v>
      </c>
      <c r="X2443" s="18" t="s">
        <v>42</v>
      </c>
      <c r="Y2443" s="18" t="s">
        <v>36</v>
      </c>
      <c r="Z2443" s="18" t="s">
        <v>697</v>
      </c>
      <c r="AA2443" s="21" t="str">
        <f>HYPERLINK("https://www.ncbi.nlm.nih.gov/nuccore/KC700557","NCBI Nucleotide")</f>
        <v>NCBI Nucleotide</v>
      </c>
    </row>
    <row r="2444" spans="1:27" x14ac:dyDescent="0.35">
      <c r="A2444">
        <v>1003201</v>
      </c>
      <c r="B2444">
        <v>2420</v>
      </c>
      <c r="C2444">
        <v>1</v>
      </c>
      <c r="D2444" s="17" t="s">
        <v>155</v>
      </c>
      <c r="E2444" s="17"/>
      <c r="F2444" s="17" t="s">
        <v>156</v>
      </c>
      <c r="G2444" s="17"/>
      <c r="H2444" s="17" t="s">
        <v>692</v>
      </c>
      <c r="I2444" s="17"/>
      <c r="J2444" s="17" t="s">
        <v>693</v>
      </c>
      <c r="K2444" s="17"/>
      <c r="L2444" s="17"/>
      <c r="M2444" s="17"/>
      <c r="N2444" s="17"/>
      <c r="O2444" s="17" t="s">
        <v>4396</v>
      </c>
      <c r="P2444" s="17" t="s">
        <v>4445</v>
      </c>
      <c r="Q2444" s="17"/>
      <c r="R2444" s="25" t="str">
        <f>HYPERLINK("https://ictv.global/taxonomy/taxondetails?taxnode_id=202313160","Likavirus werner")</f>
        <v>Likavirus werner</v>
      </c>
      <c r="S2444" s="18" t="s">
        <v>30</v>
      </c>
      <c r="T2444" s="18" t="s">
        <v>4468</v>
      </c>
      <c r="U2444" s="18"/>
      <c r="V2444" s="18"/>
      <c r="W2444" s="18" t="s">
        <v>4469</v>
      </c>
      <c r="X2444" s="18" t="s">
        <v>42</v>
      </c>
      <c r="Y2444" s="18" t="s">
        <v>36</v>
      </c>
      <c r="Z2444" s="18" t="s">
        <v>697</v>
      </c>
      <c r="AA2444" s="21" t="str">
        <f>HYPERLINK("https://www.ncbi.nlm.nih.gov/nuccore/MW435856","NCBI Nucleotide")</f>
        <v>NCBI Nucleotide</v>
      </c>
    </row>
    <row r="2445" spans="1:27" x14ac:dyDescent="0.35">
      <c r="A2445">
        <v>1003202</v>
      </c>
      <c r="B2445">
        <v>2421</v>
      </c>
      <c r="C2445">
        <v>1</v>
      </c>
      <c r="D2445" s="17" t="s">
        <v>155</v>
      </c>
      <c r="E2445" s="17"/>
      <c r="F2445" s="17" t="s">
        <v>156</v>
      </c>
      <c r="G2445" s="17"/>
      <c r="H2445" s="17" t="s">
        <v>692</v>
      </c>
      <c r="I2445" s="17"/>
      <c r="J2445" s="17" t="s">
        <v>693</v>
      </c>
      <c r="K2445" s="17"/>
      <c r="L2445" s="17"/>
      <c r="M2445" s="17"/>
      <c r="N2445" s="17"/>
      <c r="O2445" s="17" t="s">
        <v>4396</v>
      </c>
      <c r="P2445" s="17" t="s">
        <v>4445</v>
      </c>
      <c r="Q2445" s="17"/>
      <c r="R2445" s="25" t="str">
        <f>HYPERLINK("https://ictv.global/taxonomy/taxondetails?taxnode_id=202313159","Likavirus yasdnil")</f>
        <v>Likavirus yasdnil</v>
      </c>
      <c r="S2445" s="18" t="s">
        <v>30</v>
      </c>
      <c r="T2445" s="18" t="s">
        <v>4470</v>
      </c>
      <c r="U2445" s="18"/>
      <c r="V2445" s="18"/>
      <c r="W2445" s="18" t="s">
        <v>4471</v>
      </c>
      <c r="X2445" s="18" t="s">
        <v>42</v>
      </c>
      <c r="Y2445" s="18" t="s">
        <v>36</v>
      </c>
      <c r="Z2445" s="18" t="s">
        <v>697</v>
      </c>
      <c r="AA2445" s="21" t="str">
        <f>HYPERLINK("https://www.ncbi.nlm.nih.gov/nuccore/MN096379","NCBI Nucleotide")</f>
        <v>NCBI Nucleotide</v>
      </c>
    </row>
    <row r="2446" spans="1:27" x14ac:dyDescent="0.35">
      <c r="A2446">
        <v>1003203</v>
      </c>
      <c r="B2446">
        <v>2422</v>
      </c>
      <c r="C2446">
        <v>1</v>
      </c>
      <c r="D2446" s="17" t="s">
        <v>155</v>
      </c>
      <c r="E2446" s="17"/>
      <c r="F2446" s="17" t="s">
        <v>156</v>
      </c>
      <c r="G2446" s="17"/>
      <c r="H2446" s="17" t="s">
        <v>692</v>
      </c>
      <c r="I2446" s="17"/>
      <c r="J2446" s="17" t="s">
        <v>693</v>
      </c>
      <c r="K2446" s="17"/>
      <c r="L2446" s="17"/>
      <c r="M2446" s="17"/>
      <c r="N2446" s="17"/>
      <c r="O2446" s="17" t="s">
        <v>4396</v>
      </c>
      <c r="P2446" s="17" t="s">
        <v>4445</v>
      </c>
      <c r="Q2446" s="17"/>
      <c r="R2446" s="25" t="str">
        <f>HYPERLINK("https://ictv.global/taxonomy/taxondetails?taxnode_id=202300727","Likavirus zemlya")</f>
        <v>Likavirus zemlya</v>
      </c>
      <c r="S2446" s="18" t="s">
        <v>30</v>
      </c>
      <c r="T2446" s="18" t="s">
        <v>4472</v>
      </c>
      <c r="U2446" s="18"/>
      <c r="V2446" s="18"/>
      <c r="W2446" s="18" t="s">
        <v>4473</v>
      </c>
      <c r="X2446" s="18" t="s">
        <v>42</v>
      </c>
      <c r="Y2446" s="18" t="s">
        <v>36</v>
      </c>
      <c r="Z2446" s="18" t="s">
        <v>697</v>
      </c>
      <c r="AA2446" s="21" t="str">
        <f>HYPERLINK("https://www.ncbi.nlm.nih.gov/nuccore/KC700558","NCBI Nucleotide")</f>
        <v>NCBI Nucleotide</v>
      </c>
    </row>
    <row r="2447" spans="1:27" x14ac:dyDescent="0.35">
      <c r="A2447">
        <v>1003204</v>
      </c>
      <c r="B2447">
        <v>2423</v>
      </c>
      <c r="C2447">
        <v>1</v>
      </c>
      <c r="D2447" s="17" t="s">
        <v>155</v>
      </c>
      <c r="E2447" s="17"/>
      <c r="F2447" s="17" t="s">
        <v>156</v>
      </c>
      <c r="G2447" s="17"/>
      <c r="H2447" s="17" t="s">
        <v>692</v>
      </c>
      <c r="I2447" s="17"/>
      <c r="J2447" s="17" t="s">
        <v>693</v>
      </c>
      <c r="K2447" s="17"/>
      <c r="L2447" s="17"/>
      <c r="M2447" s="17"/>
      <c r="N2447" s="17"/>
      <c r="O2447" s="17" t="s">
        <v>4396</v>
      </c>
      <c r="P2447" s="17" t="s">
        <v>4474</v>
      </c>
      <c r="Q2447" s="17"/>
      <c r="R2447" s="25" t="str">
        <f>HYPERLINK("https://ictv.global/taxonomy/taxondetails?taxnode_id=202313144","Omarvirus amethyst")</f>
        <v>Omarvirus amethyst</v>
      </c>
      <c r="S2447" s="18" t="s">
        <v>30</v>
      </c>
      <c r="T2447" s="18" t="s">
        <v>4475</v>
      </c>
      <c r="U2447" s="18"/>
      <c r="V2447" s="18"/>
      <c r="W2447" s="18" t="s">
        <v>4476</v>
      </c>
      <c r="X2447" s="18" t="s">
        <v>42</v>
      </c>
      <c r="Y2447" s="18" t="s">
        <v>36</v>
      </c>
      <c r="Z2447" s="18" t="s">
        <v>697</v>
      </c>
      <c r="AA2447" s="21" t="str">
        <f>HYPERLINK("https://www.ncbi.nlm.nih.gov/nuccore/MF766044","NCBI Nucleotide")</f>
        <v>NCBI Nucleotide</v>
      </c>
    </row>
    <row r="2448" spans="1:27" x14ac:dyDescent="0.35">
      <c r="A2448">
        <v>1003205</v>
      </c>
      <c r="B2448">
        <v>2424</v>
      </c>
      <c r="C2448">
        <v>1</v>
      </c>
      <c r="D2448" s="17" t="s">
        <v>155</v>
      </c>
      <c r="E2448" s="17"/>
      <c r="F2448" s="17" t="s">
        <v>156</v>
      </c>
      <c r="G2448" s="17"/>
      <c r="H2448" s="17" t="s">
        <v>692</v>
      </c>
      <c r="I2448" s="17"/>
      <c r="J2448" s="17" t="s">
        <v>693</v>
      </c>
      <c r="K2448" s="17"/>
      <c r="L2448" s="17"/>
      <c r="M2448" s="17"/>
      <c r="N2448" s="17"/>
      <c r="O2448" s="17" t="s">
        <v>4396</v>
      </c>
      <c r="P2448" s="17" t="s">
        <v>4474</v>
      </c>
      <c r="Q2448" s="17"/>
      <c r="R2448" s="25" t="str">
        <f>HYPERLINK("https://ictv.global/taxonomy/taxondetails?taxnode_id=202313143","Omarvirus diane")</f>
        <v>Omarvirus diane</v>
      </c>
      <c r="S2448" s="18" t="s">
        <v>30</v>
      </c>
      <c r="T2448" s="18" t="s">
        <v>4477</v>
      </c>
      <c r="U2448" s="18"/>
      <c r="V2448" s="18"/>
      <c r="W2448" s="18" t="s">
        <v>4478</v>
      </c>
      <c r="X2448" s="18" t="s">
        <v>42</v>
      </c>
      <c r="Y2448" s="18" t="s">
        <v>36</v>
      </c>
      <c r="Z2448" s="18" t="s">
        <v>697</v>
      </c>
      <c r="AA2448" s="21" t="str">
        <f>HYPERLINK("https://www.ncbi.nlm.nih.gov/nuccore/MF766046","NCBI Nucleotide")</f>
        <v>NCBI Nucleotide</v>
      </c>
    </row>
    <row r="2449" spans="1:27" x14ac:dyDescent="0.35">
      <c r="A2449">
        <v>1003206</v>
      </c>
      <c r="B2449">
        <v>2425</v>
      </c>
      <c r="C2449">
        <v>1</v>
      </c>
      <c r="D2449" s="17" t="s">
        <v>155</v>
      </c>
      <c r="E2449" s="17"/>
      <c r="F2449" s="17" t="s">
        <v>156</v>
      </c>
      <c r="G2449" s="17"/>
      <c r="H2449" s="17" t="s">
        <v>692</v>
      </c>
      <c r="I2449" s="17"/>
      <c r="J2449" s="17" t="s">
        <v>693</v>
      </c>
      <c r="K2449" s="17"/>
      <c r="L2449" s="17"/>
      <c r="M2449" s="17"/>
      <c r="N2449" s="17"/>
      <c r="O2449" s="17" t="s">
        <v>4396</v>
      </c>
      <c r="P2449" s="17" t="s">
        <v>4474</v>
      </c>
      <c r="Q2449" s="17"/>
      <c r="R2449" s="25" t="str">
        <f>HYPERLINK("https://ictv.global/taxonomy/taxondetails?taxnode_id=202313142","Omarvirus omar")</f>
        <v>Omarvirus omar</v>
      </c>
      <c r="S2449" s="18" t="s">
        <v>30</v>
      </c>
      <c r="T2449" s="18" t="s">
        <v>4479</v>
      </c>
      <c r="U2449" s="18"/>
      <c r="V2449" s="18"/>
      <c r="W2449" s="18" t="s">
        <v>4480</v>
      </c>
      <c r="X2449" s="18" t="s">
        <v>42</v>
      </c>
      <c r="Y2449" s="18" t="s">
        <v>36</v>
      </c>
      <c r="Z2449" s="18" t="s">
        <v>697</v>
      </c>
      <c r="AA2449" s="21" t="str">
        <f>HYPERLINK("https://www.ncbi.nlm.nih.gov/nuccore/MG593802","NCBI Nucleotide")</f>
        <v>NCBI Nucleotide</v>
      </c>
    </row>
    <row r="2450" spans="1:27" x14ac:dyDescent="0.35">
      <c r="A2450">
        <v>1003207</v>
      </c>
      <c r="B2450">
        <v>2426</v>
      </c>
      <c r="C2450">
        <v>1</v>
      </c>
      <c r="D2450" s="17" t="s">
        <v>155</v>
      </c>
      <c r="E2450" s="17"/>
      <c r="F2450" s="17" t="s">
        <v>156</v>
      </c>
      <c r="G2450" s="17"/>
      <c r="H2450" s="17" t="s">
        <v>692</v>
      </c>
      <c r="I2450" s="17"/>
      <c r="J2450" s="17" t="s">
        <v>693</v>
      </c>
      <c r="K2450" s="17"/>
      <c r="L2450" s="17"/>
      <c r="M2450" s="17"/>
      <c r="N2450" s="17"/>
      <c r="O2450" s="17" t="s">
        <v>4396</v>
      </c>
      <c r="P2450" s="17" t="s">
        <v>4474</v>
      </c>
      <c r="Q2450" s="17"/>
      <c r="R2450" s="25" t="str">
        <f>HYPERLINK("https://ictv.global/taxonomy/taxondetails?taxnode_id=202313145","Omarvirus tefunt")</f>
        <v>Omarvirus tefunt</v>
      </c>
      <c r="S2450" s="18" t="s">
        <v>30</v>
      </c>
      <c r="T2450" s="18" t="s">
        <v>4481</v>
      </c>
      <c r="U2450" s="18"/>
      <c r="V2450" s="18"/>
      <c r="W2450" s="18" t="s">
        <v>4482</v>
      </c>
      <c r="X2450" s="18" t="s">
        <v>42</v>
      </c>
      <c r="Y2450" s="18" t="s">
        <v>36</v>
      </c>
      <c r="Z2450" s="18" t="s">
        <v>697</v>
      </c>
      <c r="AA2450" s="21" t="str">
        <f>HYPERLINK("https://www.ncbi.nlm.nih.gov/nuccore/MF766048","NCBI Nucleotide")</f>
        <v>NCBI Nucleotide</v>
      </c>
    </row>
    <row r="2451" spans="1:27" x14ac:dyDescent="0.35">
      <c r="A2451">
        <v>1003208</v>
      </c>
      <c r="B2451">
        <v>2427</v>
      </c>
      <c r="C2451">
        <v>1</v>
      </c>
      <c r="D2451" s="17" t="s">
        <v>155</v>
      </c>
      <c r="E2451" s="17"/>
      <c r="F2451" s="17" t="s">
        <v>156</v>
      </c>
      <c r="G2451" s="17"/>
      <c r="H2451" s="17" t="s">
        <v>692</v>
      </c>
      <c r="I2451" s="17"/>
      <c r="J2451" s="17" t="s">
        <v>693</v>
      </c>
      <c r="K2451" s="17"/>
      <c r="L2451" s="17"/>
      <c r="M2451" s="17"/>
      <c r="N2451" s="17"/>
      <c r="O2451" s="17" t="s">
        <v>4396</v>
      </c>
      <c r="P2451" s="17" t="s">
        <v>4483</v>
      </c>
      <c r="Q2451" s="17"/>
      <c r="R2451" s="25" t="str">
        <f>HYPERLINK("https://ictv.global/taxonomy/taxondetails?taxnode_id=202313134","Salutenavirus salutena")</f>
        <v>Salutenavirus salutena</v>
      </c>
      <c r="S2451" s="18" t="s">
        <v>30</v>
      </c>
      <c r="T2451" s="18" t="s">
        <v>4484</v>
      </c>
      <c r="U2451" s="18"/>
      <c r="V2451" s="18"/>
      <c r="W2451" s="18" t="s">
        <v>4485</v>
      </c>
      <c r="X2451" s="18" t="s">
        <v>42</v>
      </c>
      <c r="Y2451" s="18" t="s">
        <v>36</v>
      </c>
      <c r="Z2451" s="18" t="s">
        <v>697</v>
      </c>
      <c r="AA2451" s="21" t="str">
        <f>HYPERLINK("https://www.ncbi.nlm.nih.gov/nuccore/MT708548","NCBI Nucleotide")</f>
        <v>NCBI Nucleotide</v>
      </c>
    </row>
    <row r="2452" spans="1:27" x14ac:dyDescent="0.35">
      <c r="A2452">
        <v>1003209</v>
      </c>
      <c r="B2452">
        <v>2428</v>
      </c>
      <c r="C2452">
        <v>1</v>
      </c>
      <c r="D2452" s="17" t="s">
        <v>155</v>
      </c>
      <c r="E2452" s="17"/>
      <c r="F2452" s="17" t="s">
        <v>156</v>
      </c>
      <c r="G2452" s="17"/>
      <c r="H2452" s="17" t="s">
        <v>692</v>
      </c>
      <c r="I2452" s="17"/>
      <c r="J2452" s="17" t="s">
        <v>693</v>
      </c>
      <c r="K2452" s="17"/>
      <c r="L2452" s="17"/>
      <c r="M2452" s="17"/>
      <c r="N2452" s="17"/>
      <c r="O2452" s="17" t="s">
        <v>4396</v>
      </c>
      <c r="P2452" s="17" t="s">
        <v>4486</v>
      </c>
      <c r="Q2452" s="17"/>
      <c r="R2452" s="25" t="str">
        <f>HYPERLINK("https://ictv.global/taxonomy/taxondetails?taxnode_id=202313136","Sentinelvirus sentinel")</f>
        <v>Sentinelvirus sentinel</v>
      </c>
      <c r="S2452" s="18" t="s">
        <v>30</v>
      </c>
      <c r="T2452" s="18" t="s">
        <v>4487</v>
      </c>
      <c r="U2452" s="18"/>
      <c r="V2452" s="18"/>
      <c r="W2452" s="18" t="s">
        <v>4488</v>
      </c>
      <c r="X2452" s="18" t="s">
        <v>42</v>
      </c>
      <c r="Y2452" s="18" t="s">
        <v>36</v>
      </c>
      <c r="Z2452" s="18" t="s">
        <v>697</v>
      </c>
      <c r="AA2452" s="21" t="str">
        <f>HYPERLINK("https://www.ncbi.nlm.nih.gov/nuccore/MT701597","NCBI Nucleotide")</f>
        <v>NCBI Nucleotide</v>
      </c>
    </row>
    <row r="2453" spans="1:27" x14ac:dyDescent="0.35">
      <c r="A2453">
        <v>1003210</v>
      </c>
      <c r="B2453">
        <v>2429</v>
      </c>
      <c r="C2453">
        <v>1</v>
      </c>
      <c r="D2453" s="17" t="s">
        <v>155</v>
      </c>
      <c r="E2453" s="17"/>
      <c r="F2453" s="17" t="s">
        <v>156</v>
      </c>
      <c r="G2453" s="17"/>
      <c r="H2453" s="17" t="s">
        <v>692</v>
      </c>
      <c r="I2453" s="17"/>
      <c r="J2453" s="17" t="s">
        <v>693</v>
      </c>
      <c r="K2453" s="17"/>
      <c r="L2453" s="17"/>
      <c r="M2453" s="17"/>
      <c r="N2453" s="17"/>
      <c r="O2453" s="17" t="s">
        <v>4396</v>
      </c>
      <c r="P2453" s="17" t="s">
        <v>4486</v>
      </c>
      <c r="Q2453" s="17"/>
      <c r="R2453" s="25" t="str">
        <f>HYPERLINK("https://ictv.global/taxonomy/taxondetails?taxnode_id=202313137","Sentinelvirus spernnie")</f>
        <v>Sentinelvirus spernnie</v>
      </c>
      <c r="S2453" s="18" t="s">
        <v>30</v>
      </c>
      <c r="T2453" s="18" t="s">
        <v>4489</v>
      </c>
      <c r="U2453" s="18"/>
      <c r="V2453" s="18"/>
      <c r="W2453" s="18" t="s">
        <v>4490</v>
      </c>
      <c r="X2453" s="18" t="s">
        <v>42</v>
      </c>
      <c r="Y2453" s="18" t="s">
        <v>36</v>
      </c>
      <c r="Z2453" s="18" t="s">
        <v>697</v>
      </c>
      <c r="AA2453" s="21" t="str">
        <f>HYPERLINK("https://www.ncbi.nlm.nih.gov/nuccore/MT701594","NCBI Nucleotide")</f>
        <v>NCBI Nucleotide</v>
      </c>
    </row>
    <row r="2454" spans="1:27" x14ac:dyDescent="0.35">
      <c r="A2454">
        <v>1003211</v>
      </c>
      <c r="B2454">
        <v>2430</v>
      </c>
      <c r="C2454">
        <v>1</v>
      </c>
      <c r="D2454" s="17" t="s">
        <v>155</v>
      </c>
      <c r="E2454" s="17"/>
      <c r="F2454" s="17" t="s">
        <v>156</v>
      </c>
      <c r="G2454" s="17"/>
      <c r="H2454" s="17" t="s">
        <v>692</v>
      </c>
      <c r="I2454" s="17"/>
      <c r="J2454" s="17" t="s">
        <v>693</v>
      </c>
      <c r="K2454" s="17"/>
      <c r="L2454" s="17"/>
      <c r="M2454" s="17"/>
      <c r="N2454" s="17"/>
      <c r="O2454" s="17" t="s">
        <v>4396</v>
      </c>
      <c r="P2454" s="17" t="s">
        <v>4491</v>
      </c>
      <c r="Q2454" s="17"/>
      <c r="R2454" s="25" t="str">
        <f>HYPERLINK("https://ictv.global/taxonomy/taxondetails?taxnode_id=202313132","Yosifvirus yosif")</f>
        <v>Yosifvirus yosif</v>
      </c>
      <c r="S2454" s="18" t="s">
        <v>30</v>
      </c>
      <c r="T2454" s="18" t="s">
        <v>4492</v>
      </c>
      <c r="U2454" s="18"/>
      <c r="V2454" s="18"/>
      <c r="W2454" s="18" t="s">
        <v>4493</v>
      </c>
      <c r="X2454" s="18" t="s">
        <v>42</v>
      </c>
      <c r="Y2454" s="18" t="s">
        <v>36</v>
      </c>
      <c r="Z2454" s="18" t="s">
        <v>697</v>
      </c>
      <c r="AA2454" s="21" t="str">
        <f>HYPERLINK("https://www.ncbi.nlm.nih.gov/nuccore/MH248947","NCBI Nucleotide")</f>
        <v>NCBI Nucleotide</v>
      </c>
    </row>
    <row r="2455" spans="1:27" x14ac:dyDescent="0.35">
      <c r="A2455">
        <v>1003212</v>
      </c>
      <c r="B2455">
        <v>2431</v>
      </c>
      <c r="C2455">
        <v>1</v>
      </c>
      <c r="D2455" s="17" t="s">
        <v>155</v>
      </c>
      <c r="E2455" s="17"/>
      <c r="F2455" s="17" t="s">
        <v>156</v>
      </c>
      <c r="G2455" s="17"/>
      <c r="H2455" s="17" t="s">
        <v>692</v>
      </c>
      <c r="I2455" s="17"/>
      <c r="J2455" s="17" t="s">
        <v>693</v>
      </c>
      <c r="K2455" s="17"/>
      <c r="L2455" s="17"/>
      <c r="M2455" s="17"/>
      <c r="N2455" s="17"/>
      <c r="O2455" s="17" t="s">
        <v>4494</v>
      </c>
      <c r="P2455" s="17" t="s">
        <v>4495</v>
      </c>
      <c r="Q2455" s="17"/>
      <c r="R2455" s="25" t="str">
        <f>HYPERLINK("https://ictv.global/taxonomy/taxondetails?taxnode_id=202314510","Galvastonvirus tweety19")</f>
        <v>Galvastonvirus tweety19</v>
      </c>
      <c r="S2455" s="18" t="s">
        <v>30</v>
      </c>
      <c r="T2455" s="18" t="s">
        <v>4496</v>
      </c>
      <c r="U2455" s="18"/>
      <c r="V2455" s="18"/>
      <c r="W2455" s="18" t="s">
        <v>4497</v>
      </c>
      <c r="X2455" s="18" t="s">
        <v>42</v>
      </c>
      <c r="Y2455" s="18" t="s">
        <v>36</v>
      </c>
      <c r="Z2455" s="18" t="s">
        <v>697</v>
      </c>
      <c r="AA2455" s="21" t="str">
        <f>HYPERLINK("https://www.ncbi.nlm.nih.gov/nuccore/MT897906","NCBI Nucleotide")</f>
        <v>NCBI Nucleotide</v>
      </c>
    </row>
    <row r="2456" spans="1:27" x14ac:dyDescent="0.35">
      <c r="A2456">
        <v>1003213</v>
      </c>
      <c r="B2456">
        <v>2432</v>
      </c>
      <c r="C2456">
        <v>1</v>
      </c>
      <c r="D2456" s="17" t="s">
        <v>155</v>
      </c>
      <c r="E2456" s="17"/>
      <c r="F2456" s="17" t="s">
        <v>156</v>
      </c>
      <c r="G2456" s="17"/>
      <c r="H2456" s="17" t="s">
        <v>692</v>
      </c>
      <c r="I2456" s="17"/>
      <c r="J2456" s="17" t="s">
        <v>693</v>
      </c>
      <c r="K2456" s="17"/>
      <c r="L2456" s="17"/>
      <c r="M2456" s="17"/>
      <c r="N2456" s="17"/>
      <c r="O2456" s="17" t="s">
        <v>4494</v>
      </c>
      <c r="P2456" s="17" t="s">
        <v>4498</v>
      </c>
      <c r="Q2456" s="17"/>
      <c r="R2456" s="25" t="str">
        <f>HYPERLINK("https://ictv.global/taxonomy/taxondetails?taxnode_id=202308063","Arthrobacter virus Liebe")</f>
        <v>Arthrobacter virus Liebe</v>
      </c>
      <c r="S2456" s="18" t="s">
        <v>30</v>
      </c>
      <c r="T2456" s="18" t="s">
        <v>4499</v>
      </c>
      <c r="U2456" s="18"/>
      <c r="V2456" s="18"/>
      <c r="W2456" s="18" t="s">
        <v>4500</v>
      </c>
      <c r="X2456" s="18" t="s">
        <v>42</v>
      </c>
      <c r="Y2456" s="18" t="s">
        <v>36</v>
      </c>
      <c r="Z2456" s="18" t="s">
        <v>697</v>
      </c>
      <c r="AA2456" s="21" t="str">
        <f>HYPERLINK("https://www.ncbi.nlm.nih.gov/nuccore/MK061413","NCBI Nucleotide")</f>
        <v>NCBI Nucleotide</v>
      </c>
    </row>
    <row r="2457" spans="1:27" x14ac:dyDescent="0.35">
      <c r="A2457">
        <v>1003214</v>
      </c>
      <c r="B2457">
        <v>2433</v>
      </c>
      <c r="C2457">
        <v>1</v>
      </c>
      <c r="D2457" s="17" t="s">
        <v>155</v>
      </c>
      <c r="E2457" s="17"/>
      <c r="F2457" s="17" t="s">
        <v>156</v>
      </c>
      <c r="G2457" s="17"/>
      <c r="H2457" s="17" t="s">
        <v>692</v>
      </c>
      <c r="I2457" s="17"/>
      <c r="J2457" s="17" t="s">
        <v>693</v>
      </c>
      <c r="K2457" s="17"/>
      <c r="L2457" s="17"/>
      <c r="M2457" s="17"/>
      <c r="N2457" s="17"/>
      <c r="O2457" s="17" t="s">
        <v>4494</v>
      </c>
      <c r="P2457" s="17" t="s">
        <v>4501</v>
      </c>
      <c r="Q2457" s="17"/>
      <c r="R2457" s="25" t="str">
        <f>HYPERLINK("https://ictv.global/taxonomy/taxondetails?taxnode_id=202314508","Manhattanvirus crewmate")</f>
        <v>Manhattanvirus crewmate</v>
      </c>
      <c r="S2457" s="18" t="s">
        <v>30</v>
      </c>
      <c r="T2457" s="18" t="s">
        <v>4502</v>
      </c>
      <c r="U2457" s="18"/>
      <c r="V2457" s="18"/>
      <c r="W2457" s="18" t="s">
        <v>4503</v>
      </c>
      <c r="X2457" s="18" t="s">
        <v>42</v>
      </c>
      <c r="Y2457" s="18" t="s">
        <v>36</v>
      </c>
      <c r="Z2457" s="18" t="s">
        <v>697</v>
      </c>
      <c r="AA2457" s="21" t="str">
        <f>HYPERLINK("https://www.ncbi.nlm.nih.gov/nuccore/OL549189","NCBI Nucleotide")</f>
        <v>NCBI Nucleotide</v>
      </c>
    </row>
    <row r="2458" spans="1:27" x14ac:dyDescent="0.35">
      <c r="A2458">
        <v>1003215</v>
      </c>
      <c r="B2458">
        <v>2434</v>
      </c>
      <c r="C2458">
        <v>1</v>
      </c>
      <c r="D2458" s="17" t="s">
        <v>155</v>
      </c>
      <c r="E2458" s="17"/>
      <c r="F2458" s="17" t="s">
        <v>156</v>
      </c>
      <c r="G2458" s="17"/>
      <c r="H2458" s="17" t="s">
        <v>692</v>
      </c>
      <c r="I2458" s="17"/>
      <c r="J2458" s="17" t="s">
        <v>693</v>
      </c>
      <c r="K2458" s="17"/>
      <c r="L2458" s="17"/>
      <c r="M2458" s="17"/>
      <c r="N2458" s="17"/>
      <c r="O2458" s="17" t="s">
        <v>4494</v>
      </c>
      <c r="P2458" s="17" t="s">
        <v>4501</v>
      </c>
      <c r="Q2458" s="17"/>
      <c r="R2458" s="25" t="str">
        <f>HYPERLINK("https://ictv.global/taxonomy/taxondetails?taxnode_id=202308065","Manhattanvirus drmanhattan")</f>
        <v>Manhattanvirus drmanhattan</v>
      </c>
      <c r="S2458" s="18" t="s">
        <v>30</v>
      </c>
      <c r="T2458" s="18" t="s">
        <v>4504</v>
      </c>
      <c r="U2458" s="18"/>
      <c r="V2458" s="18"/>
      <c r="W2458" s="18" t="s">
        <v>4505</v>
      </c>
      <c r="X2458" s="18" t="s">
        <v>42</v>
      </c>
      <c r="Y2458" s="18" t="s">
        <v>36</v>
      </c>
      <c r="Z2458" s="18" t="s">
        <v>697</v>
      </c>
      <c r="AA2458" s="21" t="str">
        <f>HYPERLINK("https://www.ncbi.nlm.nih.gov/nuccore/MH834610","NCBI Nucleotide")</f>
        <v>NCBI Nucleotide</v>
      </c>
    </row>
    <row r="2459" spans="1:27" x14ac:dyDescent="0.35">
      <c r="A2459">
        <v>1003216</v>
      </c>
      <c r="B2459">
        <v>2435</v>
      </c>
      <c r="C2459">
        <v>1</v>
      </c>
      <c r="D2459" s="17" t="s">
        <v>155</v>
      </c>
      <c r="E2459" s="17"/>
      <c r="F2459" s="17" t="s">
        <v>156</v>
      </c>
      <c r="G2459" s="17"/>
      <c r="H2459" s="17" t="s">
        <v>692</v>
      </c>
      <c r="I2459" s="17"/>
      <c r="J2459" s="17" t="s">
        <v>693</v>
      </c>
      <c r="K2459" s="17"/>
      <c r="L2459" s="17"/>
      <c r="M2459" s="17"/>
      <c r="N2459" s="17"/>
      <c r="O2459" s="17" t="s">
        <v>4494</v>
      </c>
      <c r="P2459" s="17" t="s">
        <v>4501</v>
      </c>
      <c r="Q2459" s="17"/>
      <c r="R2459" s="25" t="str">
        <f>HYPERLINK("https://ictv.global/taxonomy/taxondetails?taxnode_id=202314509","Manhattanvirus drsierra")</f>
        <v>Manhattanvirus drsierra</v>
      </c>
      <c r="S2459" s="18" t="s">
        <v>30</v>
      </c>
      <c r="T2459" s="18" t="s">
        <v>4506</v>
      </c>
      <c r="U2459" s="18"/>
      <c r="V2459" s="18"/>
      <c r="W2459" s="18" t="s">
        <v>4507</v>
      </c>
      <c r="X2459" s="18" t="s">
        <v>42</v>
      </c>
      <c r="Y2459" s="18" t="s">
        <v>36</v>
      </c>
      <c r="Z2459" s="18" t="s">
        <v>697</v>
      </c>
      <c r="AA2459" s="21" t="str">
        <f>HYPERLINK("https://www.ncbi.nlm.nih.gov/nuccore/MN908689","NCBI Nucleotide")</f>
        <v>NCBI Nucleotide</v>
      </c>
    </row>
    <row r="2460" spans="1:27" x14ac:dyDescent="0.35">
      <c r="A2460">
        <v>1003217</v>
      </c>
      <c r="B2460">
        <v>2436</v>
      </c>
      <c r="C2460">
        <v>1</v>
      </c>
      <c r="D2460" s="17" t="s">
        <v>155</v>
      </c>
      <c r="E2460" s="17"/>
      <c r="F2460" s="17" t="s">
        <v>156</v>
      </c>
      <c r="G2460" s="17"/>
      <c r="H2460" s="17" t="s">
        <v>692</v>
      </c>
      <c r="I2460" s="17"/>
      <c r="J2460" s="17" t="s">
        <v>693</v>
      </c>
      <c r="K2460" s="17"/>
      <c r="L2460" s="17"/>
      <c r="M2460" s="17"/>
      <c r="N2460" s="17"/>
      <c r="O2460" s="17" t="s">
        <v>4494</v>
      </c>
      <c r="P2460" s="17" t="s">
        <v>4501</v>
      </c>
      <c r="Q2460" s="17"/>
      <c r="R2460" s="25" t="str">
        <f>HYPERLINK("https://ictv.global/taxonomy/taxondetails?taxnode_id=202314506","Manhattanvirus kealii")</f>
        <v>Manhattanvirus kealii</v>
      </c>
      <c r="S2460" s="18" t="s">
        <v>30</v>
      </c>
      <c r="T2460" s="18" t="s">
        <v>4508</v>
      </c>
      <c r="U2460" s="18"/>
      <c r="V2460" s="18"/>
      <c r="W2460" s="18" t="s">
        <v>4509</v>
      </c>
      <c r="X2460" s="18" t="s">
        <v>42</v>
      </c>
      <c r="Y2460" s="18" t="s">
        <v>36</v>
      </c>
      <c r="Z2460" s="18" t="s">
        <v>697</v>
      </c>
      <c r="AA2460" s="21" t="str">
        <f>HYPERLINK("https://www.ncbi.nlm.nih.gov/nuccore/OK040777","NCBI Nucleotide")</f>
        <v>NCBI Nucleotide</v>
      </c>
    </row>
    <row r="2461" spans="1:27" x14ac:dyDescent="0.35">
      <c r="A2461">
        <v>1003218</v>
      </c>
      <c r="B2461">
        <v>2437</v>
      </c>
      <c r="C2461">
        <v>1</v>
      </c>
      <c r="D2461" s="17" t="s">
        <v>155</v>
      </c>
      <c r="E2461" s="17"/>
      <c r="F2461" s="17" t="s">
        <v>156</v>
      </c>
      <c r="G2461" s="17"/>
      <c r="H2461" s="17" t="s">
        <v>692</v>
      </c>
      <c r="I2461" s="17"/>
      <c r="J2461" s="17" t="s">
        <v>693</v>
      </c>
      <c r="K2461" s="17"/>
      <c r="L2461" s="17"/>
      <c r="M2461" s="17"/>
      <c r="N2461" s="17"/>
      <c r="O2461" s="17" t="s">
        <v>4494</v>
      </c>
      <c r="P2461" s="17" t="s">
        <v>4501</v>
      </c>
      <c r="Q2461" s="17"/>
      <c r="R2461" s="25" t="str">
        <f>HYPERLINK("https://ictv.global/taxonomy/taxondetails?taxnode_id=202314507","Manhattanvirus reedo")</f>
        <v>Manhattanvirus reedo</v>
      </c>
      <c r="S2461" s="18" t="s">
        <v>30</v>
      </c>
      <c r="T2461" s="18" t="s">
        <v>4510</v>
      </c>
      <c r="U2461" s="18"/>
      <c r="V2461" s="18"/>
      <c r="W2461" s="18" t="s">
        <v>4511</v>
      </c>
      <c r="X2461" s="18" t="s">
        <v>42</v>
      </c>
      <c r="Y2461" s="18" t="s">
        <v>36</v>
      </c>
      <c r="Z2461" s="18" t="s">
        <v>697</v>
      </c>
      <c r="AA2461" s="21" t="str">
        <f>HYPERLINK("https://www.ncbi.nlm.nih.gov/nuccore/OL455896","NCBI Nucleotide")</f>
        <v>NCBI Nucleotide</v>
      </c>
    </row>
    <row r="2462" spans="1:27" x14ac:dyDescent="0.35">
      <c r="A2462">
        <v>1003219</v>
      </c>
      <c r="B2462">
        <v>2438</v>
      </c>
      <c r="C2462">
        <v>1</v>
      </c>
      <c r="D2462" s="17" t="s">
        <v>155</v>
      </c>
      <c r="E2462" s="17"/>
      <c r="F2462" s="17" t="s">
        <v>156</v>
      </c>
      <c r="G2462" s="17"/>
      <c r="H2462" s="17" t="s">
        <v>692</v>
      </c>
      <c r="I2462" s="17"/>
      <c r="J2462" s="17" t="s">
        <v>693</v>
      </c>
      <c r="K2462" s="17"/>
      <c r="L2462" s="17"/>
      <c r="M2462" s="17"/>
      <c r="N2462" s="17"/>
      <c r="O2462" s="17" t="s">
        <v>4494</v>
      </c>
      <c r="P2462" s="17" t="s">
        <v>4512</v>
      </c>
      <c r="Q2462" s="17"/>
      <c r="R2462" s="25" t="str">
        <f>HYPERLINK("https://ictv.global/taxonomy/taxondetails?taxnode_id=202314503","Yangvirus adumb2043")</f>
        <v>Yangvirus adumb2043</v>
      </c>
      <c r="S2462" s="18" t="s">
        <v>30</v>
      </c>
      <c r="T2462" s="18" t="s">
        <v>4513</v>
      </c>
      <c r="U2462" s="18"/>
      <c r="V2462" s="18"/>
      <c r="W2462" s="18" t="s">
        <v>4514</v>
      </c>
      <c r="X2462" s="18" t="s">
        <v>42</v>
      </c>
      <c r="Y2462" s="18" t="s">
        <v>36</v>
      </c>
      <c r="Z2462" s="18" t="s">
        <v>697</v>
      </c>
      <c r="AA2462" s="21" t="str">
        <f>HYPERLINK("https://www.ncbi.nlm.nih.gov/nuccore/MT889375","NCBI Nucleotide")</f>
        <v>NCBI Nucleotide</v>
      </c>
    </row>
    <row r="2463" spans="1:27" x14ac:dyDescent="0.35">
      <c r="A2463">
        <v>1003220</v>
      </c>
      <c r="B2463">
        <v>2439</v>
      </c>
      <c r="C2463">
        <v>1</v>
      </c>
      <c r="D2463" s="17" t="s">
        <v>155</v>
      </c>
      <c r="E2463" s="17"/>
      <c r="F2463" s="17" t="s">
        <v>156</v>
      </c>
      <c r="G2463" s="17"/>
      <c r="H2463" s="17" t="s">
        <v>692</v>
      </c>
      <c r="I2463" s="17"/>
      <c r="J2463" s="17" t="s">
        <v>693</v>
      </c>
      <c r="K2463" s="17"/>
      <c r="L2463" s="17"/>
      <c r="M2463" s="17"/>
      <c r="N2463" s="17"/>
      <c r="O2463" s="17" t="s">
        <v>4494</v>
      </c>
      <c r="P2463" s="17" t="s">
        <v>4512</v>
      </c>
      <c r="Q2463" s="17"/>
      <c r="R2463" s="25" t="str">
        <f>HYPERLINK("https://ictv.global/taxonomy/taxondetails?taxnode_id=202314500","Yangvirus amyev")</f>
        <v>Yangvirus amyev</v>
      </c>
      <c r="S2463" s="18" t="s">
        <v>30</v>
      </c>
      <c r="T2463" s="18" t="s">
        <v>4515</v>
      </c>
      <c r="U2463" s="18"/>
      <c r="V2463" s="18"/>
      <c r="W2463" s="18" t="s">
        <v>4516</v>
      </c>
      <c r="X2463" s="18" t="s">
        <v>42</v>
      </c>
      <c r="Y2463" s="18" t="s">
        <v>36</v>
      </c>
      <c r="Z2463" s="18" t="s">
        <v>697</v>
      </c>
      <c r="AA2463" s="21" t="str">
        <f>HYPERLINK("https://www.ncbi.nlm.nih.gov/nuccore/OL549191","NCBI Nucleotide")</f>
        <v>NCBI Nucleotide</v>
      </c>
    </row>
    <row r="2464" spans="1:27" x14ac:dyDescent="0.35">
      <c r="A2464">
        <v>1003221</v>
      </c>
      <c r="B2464">
        <v>2440</v>
      </c>
      <c r="C2464">
        <v>1</v>
      </c>
      <c r="D2464" s="17" t="s">
        <v>155</v>
      </c>
      <c r="E2464" s="17"/>
      <c r="F2464" s="17" t="s">
        <v>156</v>
      </c>
      <c r="G2464" s="17"/>
      <c r="H2464" s="17" t="s">
        <v>692</v>
      </c>
      <c r="I2464" s="17"/>
      <c r="J2464" s="17" t="s">
        <v>693</v>
      </c>
      <c r="K2464" s="17"/>
      <c r="L2464" s="17"/>
      <c r="M2464" s="17"/>
      <c r="N2464" s="17"/>
      <c r="O2464" s="17" t="s">
        <v>4494</v>
      </c>
      <c r="P2464" s="17" t="s">
        <v>4512</v>
      </c>
      <c r="Q2464" s="17"/>
      <c r="R2464" s="25" t="str">
        <f>HYPERLINK("https://ictv.global/taxonomy/taxondetails?taxnode_id=202314504","Yangvirus elezi")</f>
        <v>Yangvirus elezi</v>
      </c>
      <c r="S2464" s="18" t="s">
        <v>30</v>
      </c>
      <c r="T2464" s="18" t="s">
        <v>4517</v>
      </c>
      <c r="U2464" s="18"/>
      <c r="V2464" s="18"/>
      <c r="W2464" s="18" t="s">
        <v>4518</v>
      </c>
      <c r="X2464" s="18" t="s">
        <v>42</v>
      </c>
      <c r="Y2464" s="18" t="s">
        <v>36</v>
      </c>
      <c r="Z2464" s="18" t="s">
        <v>697</v>
      </c>
      <c r="AA2464" s="21" t="str">
        <f>HYPERLINK("https://www.ncbi.nlm.nih.gov/nuccore/MT639653","NCBI Nucleotide")</f>
        <v>NCBI Nucleotide</v>
      </c>
    </row>
    <row r="2465" spans="1:27" x14ac:dyDescent="0.35">
      <c r="A2465">
        <v>1003222</v>
      </c>
      <c r="B2465">
        <v>2441</v>
      </c>
      <c r="C2465">
        <v>1</v>
      </c>
      <c r="D2465" s="17" t="s">
        <v>155</v>
      </c>
      <c r="E2465" s="17"/>
      <c r="F2465" s="17" t="s">
        <v>156</v>
      </c>
      <c r="G2465" s="17"/>
      <c r="H2465" s="17" t="s">
        <v>692</v>
      </c>
      <c r="I2465" s="17"/>
      <c r="J2465" s="17" t="s">
        <v>693</v>
      </c>
      <c r="K2465" s="17"/>
      <c r="L2465" s="17"/>
      <c r="M2465" s="17"/>
      <c r="N2465" s="17"/>
      <c r="O2465" s="17" t="s">
        <v>4494</v>
      </c>
      <c r="P2465" s="17" t="s">
        <v>4512</v>
      </c>
      <c r="Q2465" s="17"/>
      <c r="R2465" s="25" t="str">
        <f>HYPERLINK("https://ictv.global/taxonomy/taxondetails?taxnode_id=202314505","Yangvirus kaylissa")</f>
        <v>Yangvirus kaylissa</v>
      </c>
      <c r="S2465" s="18" t="s">
        <v>30</v>
      </c>
      <c r="T2465" s="18" t="s">
        <v>4519</v>
      </c>
      <c r="U2465" s="18"/>
      <c r="V2465" s="18"/>
      <c r="W2465" s="18" t="s">
        <v>4520</v>
      </c>
      <c r="X2465" s="18" t="s">
        <v>42</v>
      </c>
      <c r="Y2465" s="18" t="s">
        <v>36</v>
      </c>
      <c r="Z2465" s="18" t="s">
        <v>697</v>
      </c>
      <c r="AA2465" s="21" t="str">
        <f>HYPERLINK("https://www.ncbi.nlm.nih.gov/nuccore/MZ005682","NCBI Nucleotide")</f>
        <v>NCBI Nucleotide</v>
      </c>
    </row>
    <row r="2466" spans="1:27" x14ac:dyDescent="0.35">
      <c r="A2466">
        <v>1003223</v>
      </c>
      <c r="B2466">
        <v>2442</v>
      </c>
      <c r="C2466">
        <v>1</v>
      </c>
      <c r="D2466" s="17" t="s">
        <v>155</v>
      </c>
      <c r="E2466" s="17"/>
      <c r="F2466" s="17" t="s">
        <v>156</v>
      </c>
      <c r="G2466" s="17"/>
      <c r="H2466" s="17" t="s">
        <v>692</v>
      </c>
      <c r="I2466" s="17"/>
      <c r="J2466" s="17" t="s">
        <v>693</v>
      </c>
      <c r="K2466" s="17"/>
      <c r="L2466" s="17"/>
      <c r="M2466" s="17"/>
      <c r="N2466" s="17"/>
      <c r="O2466" s="17" t="s">
        <v>4494</v>
      </c>
      <c r="P2466" s="17" t="s">
        <v>4512</v>
      </c>
      <c r="Q2466" s="17"/>
      <c r="R2466" s="25" t="str">
        <f>HYPERLINK("https://ictv.global/taxonomy/taxondetails?taxnode_id=202314498","Yangvirus lizalica")</f>
        <v>Yangvirus lizalica</v>
      </c>
      <c r="S2466" s="18" t="s">
        <v>30</v>
      </c>
      <c r="T2466" s="18" t="s">
        <v>4521</v>
      </c>
      <c r="U2466" s="18"/>
      <c r="V2466" s="18"/>
      <c r="W2466" s="18" t="s">
        <v>4522</v>
      </c>
      <c r="X2466" s="18" t="s">
        <v>42</v>
      </c>
      <c r="Y2466" s="18" t="s">
        <v>36</v>
      </c>
      <c r="Z2466" s="18" t="s">
        <v>697</v>
      </c>
      <c r="AA2466" s="21" t="str">
        <f>HYPERLINK("https://www.ncbi.nlm.nih.gov/nuccore/OL549192","NCBI Nucleotide")</f>
        <v>NCBI Nucleotide</v>
      </c>
    </row>
    <row r="2467" spans="1:27" x14ac:dyDescent="0.35">
      <c r="A2467">
        <v>1003224</v>
      </c>
      <c r="B2467">
        <v>2443</v>
      </c>
      <c r="C2467">
        <v>1</v>
      </c>
      <c r="D2467" s="17" t="s">
        <v>155</v>
      </c>
      <c r="E2467" s="17"/>
      <c r="F2467" s="17" t="s">
        <v>156</v>
      </c>
      <c r="G2467" s="17"/>
      <c r="H2467" s="17" t="s">
        <v>692</v>
      </c>
      <c r="I2467" s="17"/>
      <c r="J2467" s="17" t="s">
        <v>693</v>
      </c>
      <c r="K2467" s="17"/>
      <c r="L2467" s="17"/>
      <c r="M2467" s="17"/>
      <c r="N2467" s="17"/>
      <c r="O2467" s="17" t="s">
        <v>4494</v>
      </c>
      <c r="P2467" s="17" t="s">
        <v>4512</v>
      </c>
      <c r="Q2467" s="17"/>
      <c r="R2467" s="25" t="str">
        <f>HYPERLINK("https://ictv.global/taxonomy/taxondetails?taxnode_id=202314499","Yangvirus phives")</f>
        <v>Yangvirus phives</v>
      </c>
      <c r="S2467" s="18" t="s">
        <v>30</v>
      </c>
      <c r="T2467" s="18" t="s">
        <v>4523</v>
      </c>
      <c r="U2467" s="18"/>
      <c r="V2467" s="18"/>
      <c r="W2467" s="18" t="s">
        <v>4524</v>
      </c>
      <c r="X2467" s="18" t="s">
        <v>42</v>
      </c>
      <c r="Y2467" s="18" t="s">
        <v>36</v>
      </c>
      <c r="Z2467" s="18" t="s">
        <v>697</v>
      </c>
      <c r="AA2467" s="21" t="str">
        <f>HYPERLINK("https://www.ncbi.nlm.nih.gov/nuccore/MT889376","NCBI Nucleotide")</f>
        <v>NCBI Nucleotide</v>
      </c>
    </row>
    <row r="2468" spans="1:27" x14ac:dyDescent="0.35">
      <c r="A2468">
        <v>1003225</v>
      </c>
      <c r="B2468">
        <v>2444</v>
      </c>
      <c r="C2468">
        <v>1</v>
      </c>
      <c r="D2468" s="17" t="s">
        <v>155</v>
      </c>
      <c r="E2468" s="17"/>
      <c r="F2468" s="17" t="s">
        <v>156</v>
      </c>
      <c r="G2468" s="17"/>
      <c r="H2468" s="17" t="s">
        <v>692</v>
      </c>
      <c r="I2468" s="17"/>
      <c r="J2468" s="17" t="s">
        <v>693</v>
      </c>
      <c r="K2468" s="17"/>
      <c r="L2468" s="17"/>
      <c r="M2468" s="17"/>
      <c r="N2468" s="17"/>
      <c r="O2468" s="17" t="s">
        <v>4494</v>
      </c>
      <c r="P2468" s="17" t="s">
        <v>4512</v>
      </c>
      <c r="Q2468" s="17"/>
      <c r="R2468" s="25" t="str">
        <f>HYPERLINK("https://ictv.global/taxonomy/taxondetails?taxnode_id=202314501","Yangvirus tbone")</f>
        <v>Yangvirus tbone</v>
      </c>
      <c r="S2468" s="18" t="s">
        <v>30</v>
      </c>
      <c r="T2468" s="18" t="s">
        <v>4525</v>
      </c>
      <c r="U2468" s="18"/>
      <c r="V2468" s="18"/>
      <c r="W2468" s="18" t="s">
        <v>4526</v>
      </c>
      <c r="X2468" s="18" t="s">
        <v>42</v>
      </c>
      <c r="Y2468" s="18" t="s">
        <v>36</v>
      </c>
      <c r="Z2468" s="18" t="s">
        <v>697</v>
      </c>
      <c r="AA2468" s="21" t="str">
        <f>HYPERLINK("https://www.ncbi.nlm.nih.gov/nuccore/MW055910","NCBI Nucleotide")</f>
        <v>NCBI Nucleotide</v>
      </c>
    </row>
    <row r="2469" spans="1:27" x14ac:dyDescent="0.35">
      <c r="A2469">
        <v>1003226</v>
      </c>
      <c r="B2469">
        <v>2445</v>
      </c>
      <c r="C2469">
        <v>1</v>
      </c>
      <c r="D2469" s="17" t="s">
        <v>155</v>
      </c>
      <c r="E2469" s="17"/>
      <c r="F2469" s="17" t="s">
        <v>156</v>
      </c>
      <c r="G2469" s="17"/>
      <c r="H2469" s="17" t="s">
        <v>692</v>
      </c>
      <c r="I2469" s="17"/>
      <c r="J2469" s="17" t="s">
        <v>693</v>
      </c>
      <c r="K2469" s="17"/>
      <c r="L2469" s="17"/>
      <c r="M2469" s="17"/>
      <c r="N2469" s="17"/>
      <c r="O2469" s="17" t="s">
        <v>4494</v>
      </c>
      <c r="P2469" s="17" t="s">
        <v>4512</v>
      </c>
      <c r="Q2469" s="17"/>
      <c r="R2469" s="25" t="str">
        <f>HYPERLINK("https://ictv.global/taxonomy/taxondetails?taxnode_id=202314502","Yangvirus warda")</f>
        <v>Yangvirus warda</v>
      </c>
      <c r="S2469" s="18" t="s">
        <v>30</v>
      </c>
      <c r="T2469" s="18" t="s">
        <v>4527</v>
      </c>
      <c r="U2469" s="18"/>
      <c r="V2469" s="18"/>
      <c r="W2469" s="18" t="s">
        <v>4528</v>
      </c>
      <c r="X2469" s="18" t="s">
        <v>42</v>
      </c>
      <c r="Y2469" s="18" t="s">
        <v>36</v>
      </c>
      <c r="Z2469" s="18" t="s">
        <v>697</v>
      </c>
      <c r="AA2469" s="21" t="str">
        <f>HYPERLINK("https://www.ncbi.nlm.nih.gov/nuccore/OL549188","NCBI Nucleotide")</f>
        <v>NCBI Nucleotide</v>
      </c>
    </row>
    <row r="2470" spans="1:27" x14ac:dyDescent="0.35">
      <c r="A2470">
        <v>1003227</v>
      </c>
      <c r="B2470">
        <v>2446</v>
      </c>
      <c r="C2470">
        <v>1</v>
      </c>
      <c r="D2470" s="17" t="s">
        <v>155</v>
      </c>
      <c r="E2470" s="17"/>
      <c r="F2470" s="17" t="s">
        <v>156</v>
      </c>
      <c r="G2470" s="17"/>
      <c r="H2470" s="17" t="s">
        <v>692</v>
      </c>
      <c r="I2470" s="17"/>
      <c r="J2470" s="17" t="s">
        <v>693</v>
      </c>
      <c r="K2470" s="17"/>
      <c r="L2470" s="17"/>
      <c r="M2470" s="17"/>
      <c r="N2470" s="17"/>
      <c r="O2470" s="17" t="s">
        <v>4494</v>
      </c>
      <c r="P2470" s="17" t="s">
        <v>4512</v>
      </c>
      <c r="Q2470" s="17"/>
      <c r="R2470" s="25" t="str">
        <f>HYPERLINK("https://ictv.global/taxonomy/taxondetails?taxnode_id=202308061","Yangvirus yang")</f>
        <v>Yangvirus yang</v>
      </c>
      <c r="S2470" s="18" t="s">
        <v>30</v>
      </c>
      <c r="T2470" s="18" t="s">
        <v>4529</v>
      </c>
      <c r="U2470" s="18"/>
      <c r="V2470" s="18"/>
      <c r="W2470" s="18" t="s">
        <v>4530</v>
      </c>
      <c r="X2470" s="18" t="s">
        <v>42</v>
      </c>
      <c r="Y2470" s="18" t="s">
        <v>36</v>
      </c>
      <c r="Z2470" s="18" t="s">
        <v>697</v>
      </c>
      <c r="AA2470" s="21" t="str">
        <f>HYPERLINK("https://www.ncbi.nlm.nih.gov/nuccore/MH834629","NCBI Nucleotide")</f>
        <v>NCBI Nucleotide</v>
      </c>
    </row>
    <row r="2471" spans="1:27" x14ac:dyDescent="0.35">
      <c r="A2471">
        <v>1003228</v>
      </c>
      <c r="B2471">
        <v>2447</v>
      </c>
      <c r="C2471">
        <v>1</v>
      </c>
      <c r="D2471" s="17" t="s">
        <v>155</v>
      </c>
      <c r="E2471" s="17"/>
      <c r="F2471" s="17" t="s">
        <v>156</v>
      </c>
      <c r="G2471" s="17"/>
      <c r="H2471" s="17" t="s">
        <v>692</v>
      </c>
      <c r="I2471" s="17"/>
      <c r="J2471" s="17" t="s">
        <v>693</v>
      </c>
      <c r="K2471" s="17"/>
      <c r="L2471" s="17"/>
      <c r="M2471" s="17"/>
      <c r="N2471" s="17"/>
      <c r="O2471" s="17" t="s">
        <v>4531</v>
      </c>
      <c r="P2471" s="17" t="s">
        <v>4532</v>
      </c>
      <c r="Q2471" s="17"/>
      <c r="R2471" s="25" t="str">
        <f>HYPERLINK("https://ictv.global/taxonomy/taxondetails?taxnode_id=202309559","Dubowvirus baqsau1")</f>
        <v>Dubowvirus baqsau1</v>
      </c>
      <c r="S2471" s="18" t="s">
        <v>30</v>
      </c>
      <c r="T2471" s="18" t="s">
        <v>4533</v>
      </c>
      <c r="U2471" s="18"/>
      <c r="V2471" s="18"/>
      <c r="W2471" s="18" t="s">
        <v>4534</v>
      </c>
      <c r="X2471" s="18" t="s">
        <v>42</v>
      </c>
      <c r="Y2471" s="18" t="s">
        <v>36</v>
      </c>
      <c r="Z2471" s="18" t="s">
        <v>697</v>
      </c>
      <c r="AA2471" s="21" t="str">
        <f>HYPERLINK("https://www.ncbi.nlm.nih.gov/nuccore/MK658834","NCBI Nucleotide")</f>
        <v>NCBI Nucleotide</v>
      </c>
    </row>
    <row r="2472" spans="1:27" x14ac:dyDescent="0.35">
      <c r="A2472">
        <v>1003229</v>
      </c>
      <c r="B2472">
        <v>2448</v>
      </c>
      <c r="C2472">
        <v>1</v>
      </c>
      <c r="D2472" s="17" t="s">
        <v>155</v>
      </c>
      <c r="E2472" s="17"/>
      <c r="F2472" s="17" t="s">
        <v>156</v>
      </c>
      <c r="G2472" s="17"/>
      <c r="H2472" s="17" t="s">
        <v>692</v>
      </c>
      <c r="I2472" s="17"/>
      <c r="J2472" s="17" t="s">
        <v>693</v>
      </c>
      <c r="K2472" s="17"/>
      <c r="L2472" s="17"/>
      <c r="M2472" s="17"/>
      <c r="N2472" s="17"/>
      <c r="O2472" s="17" t="s">
        <v>4531</v>
      </c>
      <c r="P2472" s="17" t="s">
        <v>4532</v>
      </c>
      <c r="Q2472" s="17"/>
      <c r="R2472" s="25" t="str">
        <f>HYPERLINK("https://ictv.global/taxonomy/taxondetails?taxnode_id=202301195","Dubowvirus dv11")</f>
        <v>Dubowvirus dv11</v>
      </c>
      <c r="S2472" s="18" t="s">
        <v>30</v>
      </c>
      <c r="T2472" s="18" t="s">
        <v>4535</v>
      </c>
      <c r="U2472" s="18"/>
      <c r="V2472" s="18"/>
      <c r="W2472" s="18" t="s">
        <v>4536</v>
      </c>
      <c r="X2472" s="18" t="s">
        <v>42</v>
      </c>
      <c r="Y2472" s="18" t="s">
        <v>36</v>
      </c>
      <c r="Z2472" s="18" t="s">
        <v>697</v>
      </c>
      <c r="AA2472" s="21" t="str">
        <f>HYPERLINK("https://www.ncbi.nlm.nih.gov/nuccore/AF424781","NCBI Nucleotide")</f>
        <v>NCBI Nucleotide</v>
      </c>
    </row>
    <row r="2473" spans="1:27" x14ac:dyDescent="0.35">
      <c r="A2473">
        <v>1003230</v>
      </c>
      <c r="B2473">
        <v>2449</v>
      </c>
      <c r="C2473">
        <v>1</v>
      </c>
      <c r="D2473" s="17" t="s">
        <v>155</v>
      </c>
      <c r="E2473" s="17"/>
      <c r="F2473" s="17" t="s">
        <v>156</v>
      </c>
      <c r="G2473" s="17"/>
      <c r="H2473" s="17" t="s">
        <v>692</v>
      </c>
      <c r="I2473" s="17"/>
      <c r="J2473" s="17" t="s">
        <v>693</v>
      </c>
      <c r="K2473" s="17"/>
      <c r="L2473" s="17"/>
      <c r="M2473" s="17"/>
      <c r="N2473" s="17"/>
      <c r="O2473" s="17" t="s">
        <v>4531</v>
      </c>
      <c r="P2473" s="17" t="s">
        <v>4532</v>
      </c>
      <c r="Q2473" s="17"/>
      <c r="R2473" s="25" t="str">
        <f>HYPERLINK("https://ictv.global/taxonomy/taxondetails?taxnode_id=202301198","Dubowvirus dv53")</f>
        <v>Dubowvirus dv53</v>
      </c>
      <c r="S2473" s="18" t="s">
        <v>30</v>
      </c>
      <c r="T2473" s="18" t="s">
        <v>4537</v>
      </c>
      <c r="U2473" s="18"/>
      <c r="V2473" s="18"/>
      <c r="W2473" s="18" t="s">
        <v>4538</v>
      </c>
      <c r="X2473" s="18" t="s">
        <v>42</v>
      </c>
      <c r="Y2473" s="18" t="s">
        <v>36</v>
      </c>
      <c r="Z2473" s="18" t="s">
        <v>697</v>
      </c>
      <c r="AA2473" s="21" t="str">
        <f>HYPERLINK("https://www.ncbi.nlm.nih.gov/nuccore/AY954952","NCBI Nucleotide")</f>
        <v>NCBI Nucleotide</v>
      </c>
    </row>
    <row r="2474" spans="1:27" x14ac:dyDescent="0.35">
      <c r="A2474">
        <v>1003231</v>
      </c>
      <c r="B2474">
        <v>2450</v>
      </c>
      <c r="C2474">
        <v>1</v>
      </c>
      <c r="D2474" s="17" t="s">
        <v>155</v>
      </c>
      <c r="E2474" s="17"/>
      <c r="F2474" s="17" t="s">
        <v>156</v>
      </c>
      <c r="G2474" s="17"/>
      <c r="H2474" s="17" t="s">
        <v>692</v>
      </c>
      <c r="I2474" s="17"/>
      <c r="J2474" s="17" t="s">
        <v>693</v>
      </c>
      <c r="K2474" s="17"/>
      <c r="L2474" s="17"/>
      <c r="M2474" s="17"/>
      <c r="N2474" s="17"/>
      <c r="O2474" s="17" t="s">
        <v>4531</v>
      </c>
      <c r="P2474" s="17" t="s">
        <v>4532</v>
      </c>
      <c r="Q2474" s="17"/>
      <c r="R2474" s="25" t="str">
        <f>HYPERLINK("https://ictv.global/taxonomy/taxondetails?taxnode_id=202301200","Dubowvirus dv69")</f>
        <v>Dubowvirus dv69</v>
      </c>
      <c r="S2474" s="18" t="s">
        <v>30</v>
      </c>
      <c r="T2474" s="18" t="s">
        <v>4539</v>
      </c>
      <c r="U2474" s="18"/>
      <c r="V2474" s="18"/>
      <c r="W2474" s="18" t="s">
        <v>4540</v>
      </c>
      <c r="X2474" s="18" t="s">
        <v>42</v>
      </c>
      <c r="Y2474" s="18" t="s">
        <v>36</v>
      </c>
      <c r="Z2474" s="18" t="s">
        <v>697</v>
      </c>
      <c r="AA2474" s="21" t="str">
        <f>HYPERLINK("https://www.ncbi.nlm.nih.gov/nuccore/AY954951","NCBI Nucleotide")</f>
        <v>NCBI Nucleotide</v>
      </c>
    </row>
    <row r="2475" spans="1:27" x14ac:dyDescent="0.35">
      <c r="A2475">
        <v>1003233</v>
      </c>
      <c r="B2475">
        <v>2451</v>
      </c>
      <c r="C2475">
        <v>1</v>
      </c>
      <c r="D2475" s="17" t="s">
        <v>155</v>
      </c>
      <c r="E2475" s="17"/>
      <c r="F2475" s="17" t="s">
        <v>156</v>
      </c>
      <c r="G2475" s="17"/>
      <c r="H2475" s="17" t="s">
        <v>692</v>
      </c>
      <c r="I2475" s="17"/>
      <c r="J2475" s="17" t="s">
        <v>693</v>
      </c>
      <c r="K2475" s="17"/>
      <c r="L2475" s="17"/>
      <c r="M2475" s="17"/>
      <c r="N2475" s="17"/>
      <c r="O2475" s="17" t="s">
        <v>4531</v>
      </c>
      <c r="P2475" s="17" t="s">
        <v>4532</v>
      </c>
      <c r="Q2475" s="17"/>
      <c r="R2475" s="25" t="str">
        <f>HYPERLINK("https://ictv.global/taxonomy/taxondetails?taxnode_id=202301203","Dubowvirus dv85")</f>
        <v>Dubowvirus dv85</v>
      </c>
      <c r="S2475" s="18" t="s">
        <v>30</v>
      </c>
      <c r="T2475" s="18" t="s">
        <v>4543</v>
      </c>
      <c r="U2475" s="18"/>
      <c r="V2475" s="18"/>
      <c r="W2475" s="18" t="s">
        <v>4544</v>
      </c>
      <c r="X2475" s="18" t="s">
        <v>42</v>
      </c>
      <c r="Y2475" s="18" t="s">
        <v>36</v>
      </c>
      <c r="Z2475" s="18" t="s">
        <v>697</v>
      </c>
      <c r="AA2475" s="21" t="str">
        <f>HYPERLINK("https://www.ncbi.nlm.nih.gov/nuccore/AY954953","NCBI Nucleotide")</f>
        <v>NCBI Nucleotide</v>
      </c>
    </row>
    <row r="2476" spans="1:27" x14ac:dyDescent="0.35">
      <c r="A2476">
        <v>1003232</v>
      </c>
      <c r="B2476">
        <v>2452</v>
      </c>
      <c r="C2476">
        <v>1</v>
      </c>
      <c r="D2476" s="17" t="s">
        <v>155</v>
      </c>
      <c r="E2476" s="17"/>
      <c r="F2476" s="17" t="s">
        <v>156</v>
      </c>
      <c r="G2476" s="17"/>
      <c r="H2476" s="17" t="s">
        <v>692</v>
      </c>
      <c r="I2476" s="17"/>
      <c r="J2476" s="17" t="s">
        <v>693</v>
      </c>
      <c r="K2476" s="17"/>
      <c r="L2476" s="17"/>
      <c r="M2476" s="17"/>
      <c r="N2476" s="17"/>
      <c r="O2476" s="17" t="s">
        <v>4531</v>
      </c>
      <c r="P2476" s="17" t="s">
        <v>4532</v>
      </c>
      <c r="Q2476" s="17"/>
      <c r="R2476" s="25" t="str">
        <f>HYPERLINK("https://ictv.global/taxonomy/taxondetails?taxnode_id=202301209","Dubowvirus dv80alpha")</f>
        <v>Dubowvirus dv80alpha</v>
      </c>
      <c r="S2476" s="18" t="s">
        <v>30</v>
      </c>
      <c r="T2476" s="18" t="s">
        <v>4541</v>
      </c>
      <c r="U2476" s="18"/>
      <c r="V2476" s="18"/>
      <c r="W2476" s="18" t="s">
        <v>4542</v>
      </c>
      <c r="X2476" s="18" t="s">
        <v>42</v>
      </c>
      <c r="Y2476" s="18" t="s">
        <v>36</v>
      </c>
      <c r="Z2476" s="18" t="s">
        <v>697</v>
      </c>
      <c r="AA2476" s="21" t="str">
        <f>HYPERLINK("https://www.ncbi.nlm.nih.gov/nuccore/DQ517338","NCBI Nucleotide")</f>
        <v>NCBI Nucleotide</v>
      </c>
    </row>
    <row r="2477" spans="1:27" x14ac:dyDescent="0.35">
      <c r="A2477">
        <v>1003234</v>
      </c>
      <c r="B2477">
        <v>2453</v>
      </c>
      <c r="C2477">
        <v>1</v>
      </c>
      <c r="D2477" s="17" t="s">
        <v>155</v>
      </c>
      <c r="E2477" s="17"/>
      <c r="F2477" s="17" t="s">
        <v>156</v>
      </c>
      <c r="G2477" s="17"/>
      <c r="H2477" s="17" t="s">
        <v>692</v>
      </c>
      <c r="I2477" s="17"/>
      <c r="J2477" s="17" t="s">
        <v>693</v>
      </c>
      <c r="K2477" s="17"/>
      <c r="L2477" s="17"/>
      <c r="M2477" s="17"/>
      <c r="N2477" s="17"/>
      <c r="O2477" s="17" t="s">
        <v>4531</v>
      </c>
      <c r="P2477" s="17" t="s">
        <v>4532</v>
      </c>
      <c r="Q2477" s="17"/>
      <c r="R2477" s="25" t="str">
        <f>HYPERLINK("https://ictv.global/taxonomy/taxondetails?taxnode_id=202301217","Dubowvirus ETA2")</f>
        <v>Dubowvirus ETA2</v>
      </c>
      <c r="S2477" s="18" t="s">
        <v>30</v>
      </c>
      <c r="T2477" s="18" t="s">
        <v>4545</v>
      </c>
      <c r="U2477" s="18"/>
      <c r="V2477" s="18"/>
      <c r="W2477" s="18" t="s">
        <v>4546</v>
      </c>
      <c r="X2477" s="18" t="s">
        <v>42</v>
      </c>
      <c r="Y2477" s="18" t="s">
        <v>36</v>
      </c>
      <c r="Z2477" s="18" t="s">
        <v>697</v>
      </c>
      <c r="AA2477" s="21" t="str">
        <f>HYPERLINK("https://www.ncbi.nlm.nih.gov/nuccore/AP008953","NCBI Nucleotide")</f>
        <v>NCBI Nucleotide</v>
      </c>
    </row>
    <row r="2478" spans="1:27" x14ac:dyDescent="0.35">
      <c r="A2478">
        <v>1003235</v>
      </c>
      <c r="B2478">
        <v>2454</v>
      </c>
      <c r="C2478">
        <v>1</v>
      </c>
      <c r="D2478" s="17" t="s">
        <v>155</v>
      </c>
      <c r="E2478" s="17"/>
      <c r="F2478" s="17" t="s">
        <v>156</v>
      </c>
      <c r="G2478" s="17"/>
      <c r="H2478" s="17" t="s">
        <v>692</v>
      </c>
      <c r="I2478" s="17"/>
      <c r="J2478" s="17" t="s">
        <v>693</v>
      </c>
      <c r="K2478" s="17"/>
      <c r="L2478" s="17"/>
      <c r="M2478" s="17"/>
      <c r="N2478" s="17"/>
      <c r="O2478" s="17" t="s">
        <v>4531</v>
      </c>
      <c r="P2478" s="17" t="s">
        <v>4532</v>
      </c>
      <c r="Q2478" s="17"/>
      <c r="R2478" s="25" t="str">
        <f>HYPERLINK("https://ictv.global/taxonomy/taxondetails?taxnode_id=202309557","Dubowvirus HSA84")</f>
        <v>Dubowvirus HSA84</v>
      </c>
      <c r="S2478" s="18" t="s">
        <v>30</v>
      </c>
      <c r="T2478" s="18" t="s">
        <v>4547</v>
      </c>
      <c r="U2478" s="18"/>
      <c r="V2478" s="18"/>
      <c r="W2478" s="18" t="s">
        <v>4548</v>
      </c>
      <c r="X2478" s="18" t="s">
        <v>42</v>
      </c>
      <c r="Y2478" s="18" t="s">
        <v>36</v>
      </c>
      <c r="Z2478" s="18" t="s">
        <v>697</v>
      </c>
      <c r="AA2478" s="21" t="str">
        <f>HYPERLINK("https://www.ncbi.nlm.nih.gov/nuccore/MG557619","NCBI Nucleotide")</f>
        <v>NCBI Nucleotide</v>
      </c>
    </row>
    <row r="2479" spans="1:27" x14ac:dyDescent="0.35">
      <c r="A2479">
        <v>1003236</v>
      </c>
      <c r="B2479">
        <v>2455</v>
      </c>
      <c r="C2479">
        <v>1</v>
      </c>
      <c r="D2479" s="17" t="s">
        <v>155</v>
      </c>
      <c r="E2479" s="17"/>
      <c r="F2479" s="17" t="s">
        <v>156</v>
      </c>
      <c r="G2479" s="17"/>
      <c r="H2479" s="17" t="s">
        <v>692</v>
      </c>
      <c r="I2479" s="17"/>
      <c r="J2479" s="17" t="s">
        <v>693</v>
      </c>
      <c r="K2479" s="17"/>
      <c r="L2479" s="17"/>
      <c r="M2479" s="17"/>
      <c r="N2479" s="17"/>
      <c r="O2479" s="17" t="s">
        <v>4531</v>
      </c>
      <c r="P2479" s="17" t="s">
        <v>4532</v>
      </c>
      <c r="Q2479" s="17"/>
      <c r="R2479" s="25" t="str">
        <f>HYPERLINK("https://ictv.global/taxonomy/taxondetails?taxnode_id=202301214","Dubowvirus IPLA88")</f>
        <v>Dubowvirus IPLA88</v>
      </c>
      <c r="S2479" s="18" t="s">
        <v>30</v>
      </c>
      <c r="T2479" s="18" t="s">
        <v>4549</v>
      </c>
      <c r="U2479" s="18"/>
      <c r="V2479" s="18"/>
      <c r="W2479" s="18" t="s">
        <v>4550</v>
      </c>
      <c r="X2479" s="18" t="s">
        <v>42</v>
      </c>
      <c r="Y2479" s="18" t="s">
        <v>36</v>
      </c>
      <c r="Z2479" s="18" t="s">
        <v>697</v>
      </c>
      <c r="AA2479" s="21" t="str">
        <f>HYPERLINK("https://www.ncbi.nlm.nih.gov/nuccore/EU861004","NCBI Nucleotide")</f>
        <v>NCBI Nucleotide</v>
      </c>
    </row>
    <row r="2480" spans="1:27" x14ac:dyDescent="0.35">
      <c r="A2480">
        <v>1003237</v>
      </c>
      <c r="B2480">
        <v>2456</v>
      </c>
      <c r="C2480">
        <v>1</v>
      </c>
      <c r="D2480" s="17" t="s">
        <v>155</v>
      </c>
      <c r="E2480" s="17"/>
      <c r="F2480" s="17" t="s">
        <v>156</v>
      </c>
      <c r="G2480" s="17"/>
      <c r="H2480" s="17" t="s">
        <v>692</v>
      </c>
      <c r="I2480" s="17"/>
      <c r="J2480" s="17" t="s">
        <v>693</v>
      </c>
      <c r="K2480" s="17"/>
      <c r="L2480" s="17"/>
      <c r="M2480" s="17"/>
      <c r="N2480" s="17"/>
      <c r="O2480" s="17" t="s">
        <v>4531</v>
      </c>
      <c r="P2480" s="17" t="s">
        <v>4532</v>
      </c>
      <c r="Q2480" s="17"/>
      <c r="R2480" s="25" t="str">
        <f>HYPERLINK("https://ictv.global/taxonomy/taxondetails?taxnode_id=202301220","Dubowvirus MR25")</f>
        <v>Dubowvirus MR25</v>
      </c>
      <c r="S2480" s="18" t="s">
        <v>30</v>
      </c>
      <c r="T2480" s="18" t="s">
        <v>4551</v>
      </c>
      <c r="U2480" s="18"/>
      <c r="V2480" s="18"/>
      <c r="W2480" s="18" t="s">
        <v>4552</v>
      </c>
      <c r="X2480" s="18" t="s">
        <v>42</v>
      </c>
      <c r="Y2480" s="18" t="s">
        <v>36</v>
      </c>
      <c r="Z2480" s="18" t="s">
        <v>697</v>
      </c>
      <c r="AA2480" s="21" t="str">
        <f>HYPERLINK("https://www.ncbi.nlm.nih.gov/nuccore/AB370205","NCBI Nucleotide")</f>
        <v>NCBI Nucleotide</v>
      </c>
    </row>
    <row r="2481" spans="1:27" x14ac:dyDescent="0.35">
      <c r="A2481">
        <v>1003238</v>
      </c>
      <c r="B2481">
        <v>2457</v>
      </c>
      <c r="C2481">
        <v>1</v>
      </c>
      <c r="D2481" s="17" t="s">
        <v>155</v>
      </c>
      <c r="E2481" s="17"/>
      <c r="F2481" s="17" t="s">
        <v>156</v>
      </c>
      <c r="G2481" s="17"/>
      <c r="H2481" s="17" t="s">
        <v>692</v>
      </c>
      <c r="I2481" s="17"/>
      <c r="J2481" s="17" t="s">
        <v>693</v>
      </c>
      <c r="K2481" s="17"/>
      <c r="L2481" s="17"/>
      <c r="M2481" s="17"/>
      <c r="N2481" s="17"/>
      <c r="O2481" s="17" t="s">
        <v>4531</v>
      </c>
      <c r="P2481" s="17" t="s">
        <v>4532</v>
      </c>
      <c r="Q2481" s="17"/>
      <c r="R2481" s="25" t="str">
        <f>HYPERLINK("https://ictv.global/taxonomy/taxondetails?taxnode_id=202301221","Dubowvirus NM1")</f>
        <v>Dubowvirus NM1</v>
      </c>
      <c r="S2481" s="18" t="s">
        <v>30</v>
      </c>
      <c r="T2481" s="18" t="s">
        <v>4553</v>
      </c>
      <c r="U2481" s="18"/>
      <c r="V2481" s="18"/>
      <c r="W2481" s="18" t="s">
        <v>4554</v>
      </c>
      <c r="X2481" s="18" t="s">
        <v>42</v>
      </c>
      <c r="Y2481" s="18" t="s">
        <v>36</v>
      </c>
      <c r="Z2481" s="18" t="s">
        <v>697</v>
      </c>
      <c r="AA2481" s="21" t="str">
        <f>HYPERLINK("https://www.ncbi.nlm.nih.gov/nuccore/DQ530359","NCBI Nucleotide")</f>
        <v>NCBI Nucleotide</v>
      </c>
    </row>
    <row r="2482" spans="1:27" x14ac:dyDescent="0.35">
      <c r="A2482">
        <v>1003239</v>
      </c>
      <c r="B2482">
        <v>2458</v>
      </c>
      <c r="C2482">
        <v>1</v>
      </c>
      <c r="D2482" s="17" t="s">
        <v>155</v>
      </c>
      <c r="E2482" s="17"/>
      <c r="F2482" s="17" t="s">
        <v>156</v>
      </c>
      <c r="G2482" s="17"/>
      <c r="H2482" s="17" t="s">
        <v>692</v>
      </c>
      <c r="I2482" s="17"/>
      <c r="J2482" s="17" t="s">
        <v>693</v>
      </c>
      <c r="K2482" s="17"/>
      <c r="L2482" s="17"/>
      <c r="M2482" s="17"/>
      <c r="N2482" s="17"/>
      <c r="O2482" s="17" t="s">
        <v>4531</v>
      </c>
      <c r="P2482" s="17" t="s">
        <v>4532</v>
      </c>
      <c r="Q2482" s="17"/>
      <c r="R2482" s="25" t="str">
        <f>HYPERLINK("https://ictv.global/taxonomy/taxondetails?taxnode_id=202301222","Dubowvirus NM2")</f>
        <v>Dubowvirus NM2</v>
      </c>
      <c r="S2482" s="18" t="s">
        <v>30</v>
      </c>
      <c r="T2482" s="18" t="s">
        <v>4555</v>
      </c>
      <c r="U2482" s="18"/>
      <c r="V2482" s="18"/>
      <c r="W2482" s="18" t="s">
        <v>4556</v>
      </c>
      <c r="X2482" s="18" t="s">
        <v>42</v>
      </c>
      <c r="Y2482" s="18" t="s">
        <v>36</v>
      </c>
      <c r="Z2482" s="18" t="s">
        <v>697</v>
      </c>
      <c r="AA2482" s="21" t="str">
        <f>HYPERLINK("https://www.ncbi.nlm.nih.gov/nuccore/DQ530360","NCBI Nucleotide")</f>
        <v>NCBI Nucleotide</v>
      </c>
    </row>
    <row r="2483" spans="1:27" x14ac:dyDescent="0.35">
      <c r="A2483">
        <v>1003240</v>
      </c>
      <c r="B2483">
        <v>2459</v>
      </c>
      <c r="C2483">
        <v>1</v>
      </c>
      <c r="D2483" s="17" t="s">
        <v>155</v>
      </c>
      <c r="E2483" s="17"/>
      <c r="F2483" s="17" t="s">
        <v>156</v>
      </c>
      <c r="G2483" s="17"/>
      <c r="H2483" s="17" t="s">
        <v>692</v>
      </c>
      <c r="I2483" s="17"/>
      <c r="J2483" s="17" t="s">
        <v>693</v>
      </c>
      <c r="K2483" s="17"/>
      <c r="L2483" s="17"/>
      <c r="M2483" s="17"/>
      <c r="N2483" s="17"/>
      <c r="O2483" s="17" t="s">
        <v>4531</v>
      </c>
      <c r="P2483" s="17" t="s">
        <v>4532</v>
      </c>
      <c r="Q2483" s="17"/>
      <c r="R2483" s="25" t="str">
        <f>HYPERLINK("https://ictv.global/taxonomy/taxondetails?taxnode_id=202309560","Dubowvirus SA75")</f>
        <v>Dubowvirus SA75</v>
      </c>
      <c r="S2483" s="18" t="s">
        <v>30</v>
      </c>
      <c r="T2483" s="18" t="s">
        <v>4557</v>
      </c>
      <c r="U2483" s="18"/>
      <c r="V2483" s="18"/>
      <c r="W2483" s="18" t="s">
        <v>4558</v>
      </c>
      <c r="X2483" s="18" t="s">
        <v>42</v>
      </c>
      <c r="Y2483" s="18" t="s">
        <v>36</v>
      </c>
      <c r="Z2483" s="18" t="s">
        <v>697</v>
      </c>
      <c r="AA2483" s="21" t="str">
        <f>HYPERLINK("https://www.ncbi.nlm.nih.gov/nuccore/MT013111","NCBI Nucleotide")</f>
        <v>NCBI Nucleotide</v>
      </c>
    </row>
    <row r="2484" spans="1:27" x14ac:dyDescent="0.35">
      <c r="A2484">
        <v>1003241</v>
      </c>
      <c r="B2484">
        <v>2460</v>
      </c>
      <c r="C2484">
        <v>1</v>
      </c>
      <c r="D2484" s="17" t="s">
        <v>155</v>
      </c>
      <c r="E2484" s="17"/>
      <c r="F2484" s="17" t="s">
        <v>156</v>
      </c>
      <c r="G2484" s="17"/>
      <c r="H2484" s="17" t="s">
        <v>692</v>
      </c>
      <c r="I2484" s="17"/>
      <c r="J2484" s="17" t="s">
        <v>693</v>
      </c>
      <c r="K2484" s="17"/>
      <c r="L2484" s="17"/>
      <c r="M2484" s="17"/>
      <c r="N2484" s="17"/>
      <c r="O2484" s="17" t="s">
        <v>4531</v>
      </c>
      <c r="P2484" s="17" t="s">
        <v>4532</v>
      </c>
      <c r="Q2484" s="17"/>
      <c r="R2484" s="25" t="str">
        <f>HYPERLINK("https://ictv.global/taxonomy/taxondetails?taxnode_id=202309558","Dubowvirus SA97")</f>
        <v>Dubowvirus SA97</v>
      </c>
      <c r="S2484" s="18" t="s">
        <v>30</v>
      </c>
      <c r="T2484" s="18" t="s">
        <v>4559</v>
      </c>
      <c r="U2484" s="18"/>
      <c r="V2484" s="18"/>
      <c r="W2484" s="18" t="s">
        <v>4560</v>
      </c>
      <c r="X2484" s="18" t="s">
        <v>42</v>
      </c>
      <c r="Y2484" s="18" t="s">
        <v>36</v>
      </c>
      <c r="Z2484" s="18" t="s">
        <v>697</v>
      </c>
      <c r="AA2484" s="21" t="str">
        <f>HYPERLINK("https://www.ncbi.nlm.nih.gov/nuccore/KJ716334","NCBI Nucleotide")</f>
        <v>NCBI Nucleotide</v>
      </c>
    </row>
    <row r="2485" spans="1:27" x14ac:dyDescent="0.35">
      <c r="A2485">
        <v>1003242</v>
      </c>
      <c r="B2485">
        <v>2461</v>
      </c>
      <c r="C2485">
        <v>1</v>
      </c>
      <c r="D2485" s="17" t="s">
        <v>155</v>
      </c>
      <c r="E2485" s="17"/>
      <c r="F2485" s="17" t="s">
        <v>156</v>
      </c>
      <c r="G2485" s="17"/>
      <c r="H2485" s="17" t="s">
        <v>692</v>
      </c>
      <c r="I2485" s="17"/>
      <c r="J2485" s="17" t="s">
        <v>693</v>
      </c>
      <c r="K2485" s="17"/>
      <c r="L2485" s="17"/>
      <c r="M2485" s="17"/>
      <c r="N2485" s="17"/>
      <c r="O2485" s="17" t="s">
        <v>4531</v>
      </c>
      <c r="P2485" s="17" t="s">
        <v>4532</v>
      </c>
      <c r="Q2485" s="17"/>
      <c r="R2485" s="25" t="str">
        <f>HYPERLINK("https://ictv.global/taxonomy/taxondetails?taxnode_id=202301224","Dubowvirus SAP26")</f>
        <v>Dubowvirus SAP26</v>
      </c>
      <c r="S2485" s="18" t="s">
        <v>30</v>
      </c>
      <c r="T2485" s="18" t="s">
        <v>4561</v>
      </c>
      <c r="U2485" s="18"/>
      <c r="V2485" s="18"/>
      <c r="W2485" s="18" t="s">
        <v>4562</v>
      </c>
      <c r="X2485" s="18" t="s">
        <v>42</v>
      </c>
      <c r="Y2485" s="18" t="s">
        <v>36</v>
      </c>
      <c r="Z2485" s="18" t="s">
        <v>697</v>
      </c>
      <c r="AA2485" s="21" t="str">
        <f>HYPERLINK("https://www.ncbi.nlm.nih.gov/nuccore/GU477322","NCBI Nucleotide")</f>
        <v>NCBI Nucleotide</v>
      </c>
    </row>
    <row r="2486" spans="1:27" x14ac:dyDescent="0.35">
      <c r="A2486">
        <v>1003243</v>
      </c>
      <c r="B2486">
        <v>2462</v>
      </c>
      <c r="C2486">
        <v>1</v>
      </c>
      <c r="D2486" s="17" t="s">
        <v>155</v>
      </c>
      <c r="E2486" s="17"/>
      <c r="F2486" s="17" t="s">
        <v>156</v>
      </c>
      <c r="G2486" s="17"/>
      <c r="H2486" s="17" t="s">
        <v>692</v>
      </c>
      <c r="I2486" s="17"/>
      <c r="J2486" s="17" t="s">
        <v>693</v>
      </c>
      <c r="K2486" s="17"/>
      <c r="L2486" s="17"/>
      <c r="M2486" s="17"/>
      <c r="N2486" s="17"/>
      <c r="O2486" s="17" t="s">
        <v>4531</v>
      </c>
      <c r="P2486" s="17" t="s">
        <v>4532</v>
      </c>
      <c r="Q2486" s="17"/>
      <c r="R2486" s="25" t="str">
        <f>HYPERLINK("https://ictv.global/taxonomy/taxondetails?taxnode_id=202309555","Dubowvirus SAP33")</f>
        <v>Dubowvirus SAP33</v>
      </c>
      <c r="S2486" s="18" t="s">
        <v>30</v>
      </c>
      <c r="T2486" s="18" t="s">
        <v>4563</v>
      </c>
      <c r="U2486" s="18"/>
      <c r="V2486" s="18"/>
      <c r="W2486" s="18" t="s">
        <v>4564</v>
      </c>
      <c r="X2486" s="18" t="s">
        <v>42</v>
      </c>
      <c r="Y2486" s="18" t="s">
        <v>36</v>
      </c>
      <c r="Z2486" s="18" t="s">
        <v>697</v>
      </c>
      <c r="AA2486" s="21" t="str">
        <f>HYPERLINK("https://www.ncbi.nlm.nih.gov/nuccore/MK801682","NCBI Nucleotide")</f>
        <v>NCBI Nucleotide</v>
      </c>
    </row>
    <row r="2487" spans="1:27" x14ac:dyDescent="0.35">
      <c r="A2487">
        <v>1003244</v>
      </c>
      <c r="B2487">
        <v>2463</v>
      </c>
      <c r="C2487">
        <v>1</v>
      </c>
      <c r="D2487" s="17" t="s">
        <v>155</v>
      </c>
      <c r="E2487" s="17"/>
      <c r="F2487" s="17" t="s">
        <v>156</v>
      </c>
      <c r="G2487" s="17"/>
      <c r="H2487" s="17" t="s">
        <v>692</v>
      </c>
      <c r="I2487" s="17"/>
      <c r="J2487" s="17" t="s">
        <v>693</v>
      </c>
      <c r="K2487" s="17"/>
      <c r="L2487" s="17"/>
      <c r="M2487" s="17"/>
      <c r="N2487" s="17"/>
      <c r="O2487" s="17" t="s">
        <v>4531</v>
      </c>
      <c r="P2487" s="17" t="s">
        <v>4532</v>
      </c>
      <c r="Q2487" s="17"/>
      <c r="R2487" s="25" t="str">
        <f>HYPERLINK("https://ictv.global/taxonomy/taxondetails?taxnode_id=202309556","Dubowvirus SP5")</f>
        <v>Dubowvirus SP5</v>
      </c>
      <c r="S2487" s="18" t="s">
        <v>30</v>
      </c>
      <c r="T2487" s="18" t="s">
        <v>4565</v>
      </c>
      <c r="U2487" s="18"/>
      <c r="V2487" s="18"/>
      <c r="W2487" s="18" t="s">
        <v>4566</v>
      </c>
      <c r="X2487" s="18" t="s">
        <v>42</v>
      </c>
      <c r="Y2487" s="18" t="s">
        <v>36</v>
      </c>
      <c r="Z2487" s="18" t="s">
        <v>697</v>
      </c>
      <c r="AA2487" s="21" t="str">
        <f>HYPERLINK("https://www.ncbi.nlm.nih.gov/nuccore/JX274646","NCBI Nucleotide")</f>
        <v>NCBI Nucleotide</v>
      </c>
    </row>
    <row r="2488" spans="1:27" x14ac:dyDescent="0.35">
      <c r="A2488">
        <v>1003245</v>
      </c>
      <c r="B2488">
        <v>2464</v>
      </c>
      <c r="C2488">
        <v>1</v>
      </c>
      <c r="D2488" s="17" t="s">
        <v>155</v>
      </c>
      <c r="E2488" s="17"/>
      <c r="F2488" s="17" t="s">
        <v>156</v>
      </c>
      <c r="G2488" s="17"/>
      <c r="H2488" s="17" t="s">
        <v>692</v>
      </c>
      <c r="I2488" s="17"/>
      <c r="J2488" s="17" t="s">
        <v>693</v>
      </c>
      <c r="K2488" s="17"/>
      <c r="L2488" s="17"/>
      <c r="M2488" s="17"/>
      <c r="N2488" s="17"/>
      <c r="O2488" s="17" t="s">
        <v>4531</v>
      </c>
      <c r="P2488" s="17" t="s">
        <v>4532</v>
      </c>
      <c r="Q2488" s="17"/>
      <c r="R2488" s="25" t="str">
        <f>HYPERLINK("https://ictv.global/taxonomy/taxondetails?taxnode_id=202309554","Dubowvirus TEM126")</f>
        <v>Dubowvirus TEM126</v>
      </c>
      <c r="S2488" s="18" t="s">
        <v>30</v>
      </c>
      <c r="T2488" s="18" t="s">
        <v>4567</v>
      </c>
      <c r="U2488" s="18"/>
      <c r="V2488" s="18"/>
      <c r="W2488" s="18" t="s">
        <v>4568</v>
      </c>
      <c r="X2488" s="18" t="s">
        <v>42</v>
      </c>
      <c r="Y2488" s="18" t="s">
        <v>36</v>
      </c>
      <c r="Z2488" s="18" t="s">
        <v>697</v>
      </c>
      <c r="AA2488" s="21" t="str">
        <f>HYPERLINK("https://www.ncbi.nlm.nih.gov/nuccore/HQ127381","NCBI Nucleotide")</f>
        <v>NCBI Nucleotide</v>
      </c>
    </row>
    <row r="2489" spans="1:27" x14ac:dyDescent="0.35">
      <c r="A2489">
        <v>1003246</v>
      </c>
      <c r="B2489">
        <v>2465</v>
      </c>
      <c r="C2489">
        <v>1</v>
      </c>
      <c r="D2489" s="17" t="s">
        <v>155</v>
      </c>
      <c r="E2489" s="17"/>
      <c r="F2489" s="17" t="s">
        <v>156</v>
      </c>
      <c r="G2489" s="17"/>
      <c r="H2489" s="17" t="s">
        <v>692</v>
      </c>
      <c r="I2489" s="17"/>
      <c r="J2489" s="17" t="s">
        <v>693</v>
      </c>
      <c r="K2489" s="17"/>
      <c r="L2489" s="17"/>
      <c r="M2489" s="17"/>
      <c r="N2489" s="17"/>
      <c r="O2489" s="17" t="s">
        <v>4531</v>
      </c>
      <c r="P2489" s="17" t="s">
        <v>4569</v>
      </c>
      <c r="Q2489" s="17"/>
      <c r="R2489" s="25" t="str">
        <f>HYPERLINK("https://ictv.global/taxonomy/taxondetails?taxnode_id=202309565","Phietavirus B122")</f>
        <v>Phietavirus B122</v>
      </c>
      <c r="S2489" s="18" t="s">
        <v>30</v>
      </c>
      <c r="T2489" s="18" t="s">
        <v>4570</v>
      </c>
      <c r="U2489" s="18"/>
      <c r="V2489" s="18"/>
      <c r="W2489" s="18" t="s">
        <v>4571</v>
      </c>
      <c r="X2489" s="18" t="s">
        <v>42</v>
      </c>
      <c r="Y2489" s="18" t="s">
        <v>36</v>
      </c>
      <c r="Z2489" s="18" t="s">
        <v>697</v>
      </c>
      <c r="AA2489" s="21" t="str">
        <f>HYPERLINK("https://www.ncbi.nlm.nih.gov/nuccore/MK290764","NCBI Nucleotide")</f>
        <v>NCBI Nucleotide</v>
      </c>
    </row>
    <row r="2490" spans="1:27" x14ac:dyDescent="0.35">
      <c r="A2490">
        <v>1003247</v>
      </c>
      <c r="B2490">
        <v>2466</v>
      </c>
      <c r="C2490">
        <v>1</v>
      </c>
      <c r="D2490" s="17" t="s">
        <v>155</v>
      </c>
      <c r="E2490" s="17"/>
      <c r="F2490" s="17" t="s">
        <v>156</v>
      </c>
      <c r="G2490" s="17"/>
      <c r="H2490" s="17" t="s">
        <v>692</v>
      </c>
      <c r="I2490" s="17"/>
      <c r="J2490" s="17" t="s">
        <v>693</v>
      </c>
      <c r="K2490" s="17"/>
      <c r="L2490" s="17"/>
      <c r="M2490" s="17"/>
      <c r="N2490" s="17"/>
      <c r="O2490" s="17" t="s">
        <v>4531</v>
      </c>
      <c r="P2490" s="17" t="s">
        <v>4569</v>
      </c>
      <c r="Q2490" s="17"/>
      <c r="R2490" s="25" t="str">
        <f>HYPERLINK("https://ictv.global/taxonomy/taxondetails?taxnode_id=202309564","Phietavirus B166")</f>
        <v>Phietavirus B166</v>
      </c>
      <c r="S2490" s="18" t="s">
        <v>30</v>
      </c>
      <c r="T2490" s="18" t="s">
        <v>4572</v>
      </c>
      <c r="U2490" s="18"/>
      <c r="V2490" s="18"/>
      <c r="W2490" s="18" t="s">
        <v>4573</v>
      </c>
      <c r="X2490" s="18" t="s">
        <v>42</v>
      </c>
      <c r="Y2490" s="18" t="s">
        <v>36</v>
      </c>
      <c r="Z2490" s="18" t="s">
        <v>697</v>
      </c>
      <c r="AA2490" s="21" t="str">
        <f>HYPERLINK("https://www.ncbi.nlm.nih.gov/nuccore/KP893289","NCBI Nucleotide")</f>
        <v>NCBI Nucleotide</v>
      </c>
    </row>
    <row r="2491" spans="1:27" x14ac:dyDescent="0.35">
      <c r="A2491">
        <v>1003248</v>
      </c>
      <c r="B2491">
        <v>2467</v>
      </c>
      <c r="C2491">
        <v>1</v>
      </c>
      <c r="D2491" s="17" t="s">
        <v>155</v>
      </c>
      <c r="E2491" s="17"/>
      <c r="F2491" s="17" t="s">
        <v>156</v>
      </c>
      <c r="G2491" s="17"/>
      <c r="H2491" s="17" t="s">
        <v>692</v>
      </c>
      <c r="I2491" s="17"/>
      <c r="J2491" s="17" t="s">
        <v>693</v>
      </c>
      <c r="K2491" s="17"/>
      <c r="L2491" s="17"/>
      <c r="M2491" s="17"/>
      <c r="N2491" s="17"/>
      <c r="O2491" s="17" t="s">
        <v>4531</v>
      </c>
      <c r="P2491" s="17" t="s">
        <v>4569</v>
      </c>
      <c r="Q2491" s="17"/>
      <c r="R2491" s="25" t="str">
        <f>HYPERLINK("https://ictv.global/taxonomy/taxondetails?taxnode_id=202309571","Phietavirus B236")</f>
        <v>Phietavirus B236</v>
      </c>
      <c r="S2491" s="18" t="s">
        <v>30</v>
      </c>
      <c r="T2491" s="18" t="s">
        <v>4574</v>
      </c>
      <c r="U2491" s="18"/>
      <c r="V2491" s="18"/>
      <c r="W2491" s="18" t="s">
        <v>4575</v>
      </c>
      <c r="X2491" s="18" t="s">
        <v>42</v>
      </c>
      <c r="Y2491" s="18" t="s">
        <v>36</v>
      </c>
      <c r="Z2491" s="18" t="s">
        <v>697</v>
      </c>
      <c r="AA2491" s="21" t="str">
        <f>HYPERLINK("https://www.ncbi.nlm.nih.gov/nuccore/KP893290","NCBI Nucleotide")</f>
        <v>NCBI Nucleotide</v>
      </c>
    </row>
    <row r="2492" spans="1:27" x14ac:dyDescent="0.35">
      <c r="A2492">
        <v>1003249</v>
      </c>
      <c r="B2492">
        <v>2468</v>
      </c>
      <c r="C2492">
        <v>1</v>
      </c>
      <c r="D2492" s="17" t="s">
        <v>155</v>
      </c>
      <c r="E2492" s="17"/>
      <c r="F2492" s="17" t="s">
        <v>156</v>
      </c>
      <c r="G2492" s="17"/>
      <c r="H2492" s="17" t="s">
        <v>692</v>
      </c>
      <c r="I2492" s="17"/>
      <c r="J2492" s="17" t="s">
        <v>693</v>
      </c>
      <c r="K2492" s="17"/>
      <c r="L2492" s="17"/>
      <c r="M2492" s="17"/>
      <c r="N2492" s="17"/>
      <c r="O2492" s="17" t="s">
        <v>4531</v>
      </c>
      <c r="P2492" s="17" t="s">
        <v>4569</v>
      </c>
      <c r="Q2492" s="17"/>
      <c r="R2492" s="25" t="str">
        <f>HYPERLINK("https://ictv.global/taxonomy/taxondetails?taxnode_id=202301216","Phietavirus ETA")</f>
        <v>Phietavirus ETA</v>
      </c>
      <c r="S2492" s="18" t="s">
        <v>30</v>
      </c>
      <c r="T2492" s="18" t="s">
        <v>4576</v>
      </c>
      <c r="U2492" s="18"/>
      <c r="V2492" s="18"/>
      <c r="W2492" s="18" t="s">
        <v>4577</v>
      </c>
      <c r="X2492" s="18" t="s">
        <v>42</v>
      </c>
      <c r="Y2492" s="18" t="s">
        <v>36</v>
      </c>
      <c r="Z2492" s="18" t="s">
        <v>697</v>
      </c>
      <c r="AA2492" s="21" t="str">
        <f>HYPERLINK("https://www.ncbi.nlm.nih.gov/nuccore/AP001553","NCBI Nucleotide")</f>
        <v>NCBI Nucleotide</v>
      </c>
    </row>
    <row r="2493" spans="1:27" x14ac:dyDescent="0.35">
      <c r="A2493">
        <v>1003250</v>
      </c>
      <c r="B2493">
        <v>2469</v>
      </c>
      <c r="C2493">
        <v>1</v>
      </c>
      <c r="D2493" s="17" t="s">
        <v>155</v>
      </c>
      <c r="E2493" s="17"/>
      <c r="F2493" s="17" t="s">
        <v>156</v>
      </c>
      <c r="G2493" s="17"/>
      <c r="H2493" s="17" t="s">
        <v>692</v>
      </c>
      <c r="I2493" s="17"/>
      <c r="J2493" s="17" t="s">
        <v>693</v>
      </c>
      <c r="K2493" s="17"/>
      <c r="L2493" s="17"/>
      <c r="M2493" s="17"/>
      <c r="N2493" s="17"/>
      <c r="O2493" s="17" t="s">
        <v>4531</v>
      </c>
      <c r="P2493" s="17" t="s">
        <v>4569</v>
      </c>
      <c r="Q2493" s="17"/>
      <c r="R2493" s="25" t="str">
        <f>HYPERLINK("https://ictv.global/taxonomy/taxondetails?taxnode_id=202301218","Phietavirus ETA3")</f>
        <v>Phietavirus ETA3</v>
      </c>
      <c r="S2493" s="18" t="s">
        <v>30</v>
      </c>
      <c r="T2493" s="18" t="s">
        <v>4578</v>
      </c>
      <c r="U2493" s="18"/>
      <c r="V2493" s="18"/>
      <c r="W2493" s="18" t="s">
        <v>4579</v>
      </c>
      <c r="X2493" s="18" t="s">
        <v>42</v>
      </c>
      <c r="Y2493" s="18" t="s">
        <v>36</v>
      </c>
      <c r="Z2493" s="18" t="s">
        <v>697</v>
      </c>
      <c r="AA2493" s="21" t="str">
        <f>HYPERLINK("https://www.ncbi.nlm.nih.gov/nuccore/AP008954","NCBI Nucleotide")</f>
        <v>NCBI Nucleotide</v>
      </c>
    </row>
    <row r="2494" spans="1:27" x14ac:dyDescent="0.35">
      <c r="A2494">
        <v>1003251</v>
      </c>
      <c r="B2494">
        <v>2470</v>
      </c>
      <c r="C2494">
        <v>1</v>
      </c>
      <c r="D2494" s="17" t="s">
        <v>155</v>
      </c>
      <c r="E2494" s="17"/>
      <c r="F2494" s="17" t="s">
        <v>156</v>
      </c>
      <c r="G2494" s="17"/>
      <c r="H2494" s="17" t="s">
        <v>692</v>
      </c>
      <c r="I2494" s="17"/>
      <c r="J2494" s="17" t="s">
        <v>693</v>
      </c>
      <c r="K2494" s="17"/>
      <c r="L2494" s="17"/>
      <c r="M2494" s="17"/>
      <c r="N2494" s="17"/>
      <c r="O2494" s="17" t="s">
        <v>4531</v>
      </c>
      <c r="P2494" s="17" t="s">
        <v>4569</v>
      </c>
      <c r="Q2494" s="17"/>
      <c r="R2494" s="25" t="str">
        <f>HYPERLINK("https://ictv.global/taxonomy/taxondetails?taxnode_id=202301211","Phietavirus EW")</f>
        <v>Phietavirus EW</v>
      </c>
      <c r="S2494" s="18" t="s">
        <v>30</v>
      </c>
      <c r="T2494" s="18" t="s">
        <v>4580</v>
      </c>
      <c r="U2494" s="18"/>
      <c r="V2494" s="18"/>
      <c r="W2494" s="18" t="s">
        <v>4581</v>
      </c>
      <c r="X2494" s="18" t="s">
        <v>42</v>
      </c>
      <c r="Y2494" s="18" t="s">
        <v>36</v>
      </c>
      <c r="Z2494" s="18" t="s">
        <v>697</v>
      </c>
      <c r="AA2494" s="21" t="str">
        <f>HYPERLINK("https://www.ncbi.nlm.nih.gov/nuccore/AY954959","NCBI Nucleotide")</f>
        <v>NCBI Nucleotide</v>
      </c>
    </row>
    <row r="2495" spans="1:27" x14ac:dyDescent="0.35">
      <c r="A2495">
        <v>1003252</v>
      </c>
      <c r="B2495">
        <v>2471</v>
      </c>
      <c r="C2495">
        <v>1</v>
      </c>
      <c r="D2495" s="17" t="s">
        <v>155</v>
      </c>
      <c r="E2495" s="17"/>
      <c r="F2495" s="17" t="s">
        <v>156</v>
      </c>
      <c r="G2495" s="17"/>
      <c r="H2495" s="17" t="s">
        <v>692</v>
      </c>
      <c r="I2495" s="17"/>
      <c r="J2495" s="17" t="s">
        <v>693</v>
      </c>
      <c r="K2495" s="17"/>
      <c r="L2495" s="17"/>
      <c r="M2495" s="17"/>
      <c r="N2495" s="17"/>
      <c r="O2495" s="17" t="s">
        <v>4531</v>
      </c>
      <c r="P2495" s="17" t="s">
        <v>4569</v>
      </c>
      <c r="Q2495" s="17"/>
      <c r="R2495" s="25" t="str">
        <f>HYPERLINK("https://ictv.global/taxonomy/taxondetails?taxnode_id=202309568","Phietavirus Henu2")</f>
        <v>Phietavirus Henu2</v>
      </c>
      <c r="S2495" s="18" t="s">
        <v>30</v>
      </c>
      <c r="T2495" s="18" t="s">
        <v>4582</v>
      </c>
      <c r="U2495" s="18"/>
      <c r="V2495" s="18"/>
      <c r="W2495" s="18" t="s">
        <v>4583</v>
      </c>
      <c r="X2495" s="18" t="s">
        <v>42</v>
      </c>
      <c r="Y2495" s="18" t="s">
        <v>36</v>
      </c>
      <c r="Z2495" s="18" t="s">
        <v>697</v>
      </c>
      <c r="AA2495" s="21" t="str">
        <f>HYPERLINK("https://www.ncbi.nlm.nih.gov/nuccore/MK211557","NCBI Nucleotide")</f>
        <v>NCBI Nucleotide</v>
      </c>
    </row>
    <row r="2496" spans="1:27" x14ac:dyDescent="0.35">
      <c r="A2496">
        <v>1003253</v>
      </c>
      <c r="B2496">
        <v>2472</v>
      </c>
      <c r="C2496">
        <v>1</v>
      </c>
      <c r="D2496" s="17" t="s">
        <v>155</v>
      </c>
      <c r="E2496" s="17"/>
      <c r="F2496" s="17" t="s">
        <v>156</v>
      </c>
      <c r="G2496" s="17"/>
      <c r="H2496" s="17" t="s">
        <v>692</v>
      </c>
      <c r="I2496" s="17"/>
      <c r="J2496" s="17" t="s">
        <v>693</v>
      </c>
      <c r="K2496" s="17"/>
      <c r="L2496" s="17"/>
      <c r="M2496" s="17"/>
      <c r="N2496" s="17"/>
      <c r="O2496" s="17" t="s">
        <v>4531</v>
      </c>
      <c r="P2496" s="17" t="s">
        <v>4569</v>
      </c>
      <c r="Q2496" s="17"/>
      <c r="R2496" s="25" t="str">
        <f>HYPERLINK("https://ictv.global/taxonomy/taxondetails?taxnode_id=202309567","Phietavirus JB")</f>
        <v>Phietavirus JB</v>
      </c>
      <c r="S2496" s="18" t="s">
        <v>30</v>
      </c>
      <c r="T2496" s="18" t="s">
        <v>4584</v>
      </c>
      <c r="U2496" s="18"/>
      <c r="V2496" s="18"/>
      <c r="W2496" s="18" t="s">
        <v>4585</v>
      </c>
      <c r="X2496" s="18" t="s">
        <v>42</v>
      </c>
      <c r="Y2496" s="18" t="s">
        <v>36</v>
      </c>
      <c r="Z2496" s="18" t="s">
        <v>697</v>
      </c>
      <c r="AA2496" s="21" t="str">
        <f>HYPERLINK("https://www.ncbi.nlm.nih.gov/nuccore/KT344895","NCBI Nucleotide")</f>
        <v>NCBI Nucleotide</v>
      </c>
    </row>
    <row r="2497" spans="1:27" x14ac:dyDescent="0.35">
      <c r="A2497">
        <v>1003254</v>
      </c>
      <c r="B2497">
        <v>2473</v>
      </c>
      <c r="C2497">
        <v>1</v>
      </c>
      <c r="D2497" s="17" t="s">
        <v>155</v>
      </c>
      <c r="E2497" s="17"/>
      <c r="F2497" s="17" t="s">
        <v>156</v>
      </c>
      <c r="G2497" s="17"/>
      <c r="H2497" s="17" t="s">
        <v>692</v>
      </c>
      <c r="I2497" s="17"/>
      <c r="J2497" s="17" t="s">
        <v>693</v>
      </c>
      <c r="K2497" s="17"/>
      <c r="L2497" s="17"/>
      <c r="M2497" s="17"/>
      <c r="N2497" s="17"/>
      <c r="O2497" s="17" t="s">
        <v>4531</v>
      </c>
      <c r="P2497" s="17" t="s">
        <v>4569</v>
      </c>
      <c r="Q2497" s="17"/>
      <c r="R2497" s="25" t="str">
        <f>HYPERLINK("https://ictv.global/taxonomy/taxondetails?taxnode_id=202301219","Phietavirus MR11")</f>
        <v>Phietavirus MR11</v>
      </c>
      <c r="S2497" s="18" t="s">
        <v>30</v>
      </c>
      <c r="T2497" s="18" t="s">
        <v>4586</v>
      </c>
      <c r="U2497" s="18"/>
      <c r="V2497" s="18"/>
      <c r="W2497" s="18" t="s">
        <v>4587</v>
      </c>
      <c r="X2497" s="18" t="s">
        <v>42</v>
      </c>
      <c r="Y2497" s="18" t="s">
        <v>36</v>
      </c>
      <c r="Z2497" s="18" t="s">
        <v>697</v>
      </c>
      <c r="AA2497" s="21" t="str">
        <f>HYPERLINK("https://www.ncbi.nlm.nih.gov/nuccore/AB370268","NCBI Nucleotide")</f>
        <v>NCBI Nucleotide</v>
      </c>
    </row>
    <row r="2498" spans="1:27" x14ac:dyDescent="0.35">
      <c r="A2498">
        <v>1003255</v>
      </c>
      <c r="B2498">
        <v>2474</v>
      </c>
      <c r="C2498">
        <v>1</v>
      </c>
      <c r="D2498" s="17" t="s">
        <v>155</v>
      </c>
      <c r="E2498" s="17"/>
      <c r="F2498" s="17" t="s">
        <v>156</v>
      </c>
      <c r="G2498" s="17"/>
      <c r="H2498" s="17" t="s">
        <v>692</v>
      </c>
      <c r="I2498" s="17"/>
      <c r="J2498" s="17" t="s">
        <v>693</v>
      </c>
      <c r="K2498" s="17"/>
      <c r="L2498" s="17"/>
      <c r="M2498" s="17"/>
      <c r="N2498" s="17"/>
      <c r="O2498" s="17" t="s">
        <v>4531</v>
      </c>
      <c r="P2498" s="17" t="s">
        <v>4569</v>
      </c>
      <c r="Q2498" s="17"/>
      <c r="R2498" s="25" t="str">
        <f>HYPERLINK("https://ictv.global/taxonomy/taxondetails?taxnode_id=202301223","Phietavirus NM4")</f>
        <v>Phietavirus NM4</v>
      </c>
      <c r="S2498" s="18" t="s">
        <v>30</v>
      </c>
      <c r="T2498" s="18" t="s">
        <v>4588</v>
      </c>
      <c r="U2498" s="18"/>
      <c r="V2498" s="18"/>
      <c r="W2498" s="18" t="s">
        <v>4589</v>
      </c>
      <c r="X2498" s="18" t="s">
        <v>42</v>
      </c>
      <c r="Y2498" s="18" t="s">
        <v>36</v>
      </c>
      <c r="Z2498" s="18" t="s">
        <v>697</v>
      </c>
      <c r="AA2498" s="21" t="str">
        <f>HYPERLINK("https://www.ncbi.nlm.nih.gov/nuccore/DQ530362","NCBI Nucleotide")</f>
        <v>NCBI Nucleotide</v>
      </c>
    </row>
    <row r="2499" spans="1:27" x14ac:dyDescent="0.35">
      <c r="A2499">
        <v>1003257</v>
      </c>
      <c r="B2499">
        <v>2475</v>
      </c>
      <c r="C2499">
        <v>1</v>
      </c>
      <c r="D2499" s="17" t="s">
        <v>155</v>
      </c>
      <c r="E2499" s="17"/>
      <c r="F2499" s="17" t="s">
        <v>156</v>
      </c>
      <c r="G2499" s="17"/>
      <c r="H2499" s="17" t="s">
        <v>692</v>
      </c>
      <c r="I2499" s="17"/>
      <c r="J2499" s="17" t="s">
        <v>693</v>
      </c>
      <c r="K2499" s="17"/>
      <c r="L2499" s="17"/>
      <c r="M2499" s="17"/>
      <c r="N2499" s="17"/>
      <c r="O2499" s="17" t="s">
        <v>4531</v>
      </c>
      <c r="P2499" s="17" t="s">
        <v>4569</v>
      </c>
      <c r="Q2499" s="17"/>
      <c r="R2499" s="25" t="str">
        <f>HYPERLINK("https://ictv.global/taxonomy/taxondetails?taxnode_id=202301196","Phietavirus pv29")</f>
        <v>Phietavirus pv29</v>
      </c>
      <c r="S2499" s="18" t="s">
        <v>30</v>
      </c>
      <c r="T2499" s="18" t="s">
        <v>4592</v>
      </c>
      <c r="U2499" s="18"/>
      <c r="V2499" s="18"/>
      <c r="W2499" s="18" t="s">
        <v>4593</v>
      </c>
      <c r="X2499" s="18" t="s">
        <v>42</v>
      </c>
      <c r="Y2499" s="18" t="s">
        <v>36</v>
      </c>
      <c r="Z2499" s="18" t="s">
        <v>697</v>
      </c>
      <c r="AA2499" s="21" t="str">
        <f>HYPERLINK("https://www.ncbi.nlm.nih.gov/nuccore/AY954964","NCBI Nucleotide")</f>
        <v>NCBI Nucleotide</v>
      </c>
    </row>
    <row r="2500" spans="1:27" x14ac:dyDescent="0.35">
      <c r="A2500">
        <v>1003258</v>
      </c>
      <c r="B2500">
        <v>2476</v>
      </c>
      <c r="C2500">
        <v>1</v>
      </c>
      <c r="D2500" s="17" t="s">
        <v>155</v>
      </c>
      <c r="E2500" s="17"/>
      <c r="F2500" s="17" t="s">
        <v>156</v>
      </c>
      <c r="G2500" s="17"/>
      <c r="H2500" s="17" t="s">
        <v>692</v>
      </c>
      <c r="I2500" s="17"/>
      <c r="J2500" s="17" t="s">
        <v>693</v>
      </c>
      <c r="K2500" s="17"/>
      <c r="L2500" s="17"/>
      <c r="M2500" s="17"/>
      <c r="N2500" s="17"/>
      <c r="O2500" s="17" t="s">
        <v>4531</v>
      </c>
      <c r="P2500" s="17" t="s">
        <v>4569</v>
      </c>
      <c r="Q2500" s="17"/>
      <c r="R2500" s="25" t="str">
        <f>HYPERLINK("https://ictv.global/taxonomy/taxondetails?taxnode_id=202301197","Phietavirus pv37")</f>
        <v>Phietavirus pv37</v>
      </c>
      <c r="S2500" s="18" t="s">
        <v>30</v>
      </c>
      <c r="T2500" s="18" t="s">
        <v>4594</v>
      </c>
      <c r="U2500" s="18"/>
      <c r="V2500" s="18"/>
      <c r="W2500" s="18" t="s">
        <v>4595</v>
      </c>
      <c r="X2500" s="18" t="s">
        <v>42</v>
      </c>
      <c r="Y2500" s="18" t="s">
        <v>36</v>
      </c>
      <c r="Z2500" s="18" t="s">
        <v>697</v>
      </c>
      <c r="AA2500" s="21" t="str">
        <f>HYPERLINK("https://www.ncbi.nlm.nih.gov/nuccore/AY954958","NCBI Nucleotide")</f>
        <v>NCBI Nucleotide</v>
      </c>
    </row>
    <row r="2501" spans="1:27" x14ac:dyDescent="0.35">
      <c r="A2501">
        <v>1003261</v>
      </c>
      <c r="B2501">
        <v>2477</v>
      </c>
      <c r="C2501">
        <v>1</v>
      </c>
      <c r="D2501" s="17" t="s">
        <v>155</v>
      </c>
      <c r="E2501" s="17"/>
      <c r="F2501" s="17" t="s">
        <v>156</v>
      </c>
      <c r="G2501" s="17"/>
      <c r="H2501" s="17" t="s">
        <v>692</v>
      </c>
      <c r="I2501" s="17"/>
      <c r="J2501" s="17" t="s">
        <v>693</v>
      </c>
      <c r="K2501" s="17"/>
      <c r="L2501" s="17"/>
      <c r="M2501" s="17"/>
      <c r="N2501" s="17"/>
      <c r="O2501" s="17" t="s">
        <v>4531</v>
      </c>
      <c r="P2501" s="17" t="s">
        <v>4569</v>
      </c>
      <c r="Q2501" s="17"/>
      <c r="R2501" s="25" t="str">
        <f>HYPERLINK("https://ictv.global/taxonomy/taxondetails?taxnode_id=202301199","Phietavirus pv55")</f>
        <v>Phietavirus pv55</v>
      </c>
      <c r="S2501" s="18" t="s">
        <v>30</v>
      </c>
      <c r="T2501" s="18" t="s">
        <v>4600</v>
      </c>
      <c r="U2501" s="18"/>
      <c r="V2501" s="18"/>
      <c r="W2501" s="18" t="s">
        <v>4601</v>
      </c>
      <c r="X2501" s="18" t="s">
        <v>42</v>
      </c>
      <c r="Y2501" s="18" t="s">
        <v>36</v>
      </c>
      <c r="Z2501" s="18" t="s">
        <v>697</v>
      </c>
      <c r="AA2501" s="21" t="str">
        <f>HYPERLINK("https://www.ncbi.nlm.nih.gov/nuccore/AY954963","NCBI Nucleotide")</f>
        <v>NCBI Nucleotide</v>
      </c>
    </row>
    <row r="2502" spans="1:27" x14ac:dyDescent="0.35">
      <c r="A2502">
        <v>1003262</v>
      </c>
      <c r="B2502">
        <v>2478</v>
      </c>
      <c r="C2502">
        <v>1</v>
      </c>
      <c r="D2502" s="17" t="s">
        <v>155</v>
      </c>
      <c r="E2502" s="17"/>
      <c r="F2502" s="17" t="s">
        <v>156</v>
      </c>
      <c r="G2502" s="17"/>
      <c r="H2502" s="17" t="s">
        <v>692</v>
      </c>
      <c r="I2502" s="17"/>
      <c r="J2502" s="17" t="s">
        <v>693</v>
      </c>
      <c r="K2502" s="17"/>
      <c r="L2502" s="17"/>
      <c r="M2502" s="17"/>
      <c r="N2502" s="17"/>
      <c r="O2502" s="17" t="s">
        <v>4531</v>
      </c>
      <c r="P2502" s="17" t="s">
        <v>4569</v>
      </c>
      <c r="Q2502" s="17"/>
      <c r="R2502" s="25" t="str">
        <f>HYPERLINK("https://ictv.global/taxonomy/taxondetails?taxnode_id=202301201","Phietavirus pv71")</f>
        <v>Phietavirus pv71</v>
      </c>
      <c r="S2502" s="18" t="s">
        <v>30</v>
      </c>
      <c r="T2502" s="18" t="s">
        <v>4602</v>
      </c>
      <c r="U2502" s="18"/>
      <c r="V2502" s="18"/>
      <c r="W2502" s="18" t="s">
        <v>4603</v>
      </c>
      <c r="X2502" s="18" t="s">
        <v>42</v>
      </c>
      <c r="Y2502" s="18" t="s">
        <v>36</v>
      </c>
      <c r="Z2502" s="18" t="s">
        <v>697</v>
      </c>
      <c r="AA2502" s="21" t="str">
        <f>HYPERLINK("https://www.ncbi.nlm.nih.gov/nuccore/AY954962","NCBI Nucleotide")</f>
        <v>NCBI Nucleotide</v>
      </c>
    </row>
    <row r="2503" spans="1:27" x14ac:dyDescent="0.35">
      <c r="A2503">
        <v>1003263</v>
      </c>
      <c r="B2503">
        <v>2479</v>
      </c>
      <c r="C2503">
        <v>1</v>
      </c>
      <c r="D2503" s="17" t="s">
        <v>155</v>
      </c>
      <c r="E2503" s="17"/>
      <c r="F2503" s="17" t="s">
        <v>156</v>
      </c>
      <c r="G2503" s="17"/>
      <c r="H2503" s="17" t="s">
        <v>692</v>
      </c>
      <c r="I2503" s="17"/>
      <c r="J2503" s="17" t="s">
        <v>693</v>
      </c>
      <c r="K2503" s="17"/>
      <c r="L2503" s="17"/>
      <c r="M2503" s="17"/>
      <c r="N2503" s="17"/>
      <c r="O2503" s="17" t="s">
        <v>4531</v>
      </c>
      <c r="P2503" s="17" t="s">
        <v>4569</v>
      </c>
      <c r="Q2503" s="17"/>
      <c r="R2503" s="25" t="str">
        <f>HYPERLINK("https://ictv.global/taxonomy/taxondetails?taxnode_id=202301202","Phietavirus pv80")</f>
        <v>Phietavirus pv80</v>
      </c>
      <c r="S2503" s="18" t="s">
        <v>30</v>
      </c>
      <c r="T2503" s="18" t="s">
        <v>4604</v>
      </c>
      <c r="U2503" s="18"/>
      <c r="V2503" s="18"/>
      <c r="W2503" s="18" t="s">
        <v>4605</v>
      </c>
      <c r="X2503" s="18" t="s">
        <v>42</v>
      </c>
      <c r="Y2503" s="18" t="s">
        <v>36</v>
      </c>
      <c r="Z2503" s="18" t="s">
        <v>697</v>
      </c>
      <c r="AA2503" s="21" t="str">
        <f>HYPERLINK("https://www.ncbi.nlm.nih.gov/nuccore/DQ908929","NCBI Nucleotide")</f>
        <v>NCBI Nucleotide</v>
      </c>
    </row>
    <row r="2504" spans="1:27" x14ac:dyDescent="0.35">
      <c r="A2504">
        <v>1003264</v>
      </c>
      <c r="B2504">
        <v>2480</v>
      </c>
      <c r="C2504">
        <v>1</v>
      </c>
      <c r="D2504" s="17" t="s">
        <v>155</v>
      </c>
      <c r="E2504" s="17"/>
      <c r="F2504" s="17" t="s">
        <v>156</v>
      </c>
      <c r="G2504" s="17"/>
      <c r="H2504" s="17" t="s">
        <v>692</v>
      </c>
      <c r="I2504" s="17"/>
      <c r="J2504" s="17" t="s">
        <v>693</v>
      </c>
      <c r="K2504" s="17"/>
      <c r="L2504" s="17"/>
      <c r="M2504" s="17"/>
      <c r="N2504" s="17"/>
      <c r="O2504" s="17" t="s">
        <v>4531</v>
      </c>
      <c r="P2504" s="17" t="s">
        <v>4569</v>
      </c>
      <c r="Q2504" s="17"/>
      <c r="R2504" s="25" t="str">
        <f>HYPERLINK("https://ictv.global/taxonomy/taxondetails?taxnode_id=202301204","Phietavirus pv88")</f>
        <v>Phietavirus pv88</v>
      </c>
      <c r="S2504" s="18" t="s">
        <v>30</v>
      </c>
      <c r="T2504" s="18" t="s">
        <v>4606</v>
      </c>
      <c r="U2504" s="18"/>
      <c r="V2504" s="18"/>
      <c r="W2504" s="18" t="s">
        <v>4607</v>
      </c>
      <c r="X2504" s="18" t="s">
        <v>42</v>
      </c>
      <c r="Y2504" s="18" t="s">
        <v>36</v>
      </c>
      <c r="Z2504" s="18" t="s">
        <v>697</v>
      </c>
      <c r="AA2504" s="21" t="str">
        <f>HYPERLINK("https://www.ncbi.nlm.nih.gov/nuccore/AY954966","NCBI Nucleotide")</f>
        <v>NCBI Nucleotide</v>
      </c>
    </row>
    <row r="2505" spans="1:27" x14ac:dyDescent="0.35">
      <c r="A2505">
        <v>1003265</v>
      </c>
      <c r="B2505">
        <v>2481</v>
      </c>
      <c r="C2505">
        <v>1</v>
      </c>
      <c r="D2505" s="17" t="s">
        <v>155</v>
      </c>
      <c r="E2505" s="17"/>
      <c r="F2505" s="17" t="s">
        <v>156</v>
      </c>
      <c r="G2505" s="17"/>
      <c r="H2505" s="17" t="s">
        <v>692</v>
      </c>
      <c r="I2505" s="17"/>
      <c r="J2505" s="17" t="s">
        <v>693</v>
      </c>
      <c r="K2505" s="17"/>
      <c r="L2505" s="17"/>
      <c r="M2505" s="17"/>
      <c r="N2505" s="17"/>
      <c r="O2505" s="17" t="s">
        <v>4531</v>
      </c>
      <c r="P2505" s="17" t="s">
        <v>4569</v>
      </c>
      <c r="Q2505" s="17"/>
      <c r="R2505" s="25" t="str">
        <f>HYPERLINK("https://ictv.global/taxonomy/taxondetails?taxnode_id=202301205","Phietavirus pv92")</f>
        <v>Phietavirus pv92</v>
      </c>
      <c r="S2505" s="18" t="s">
        <v>30</v>
      </c>
      <c r="T2505" s="18" t="s">
        <v>4608</v>
      </c>
      <c r="U2505" s="18"/>
      <c r="V2505" s="18"/>
      <c r="W2505" s="18" t="s">
        <v>4609</v>
      </c>
      <c r="X2505" s="18" t="s">
        <v>42</v>
      </c>
      <c r="Y2505" s="18" t="s">
        <v>36</v>
      </c>
      <c r="Z2505" s="18" t="s">
        <v>697</v>
      </c>
      <c r="AA2505" s="21" t="str">
        <f>HYPERLINK("https://www.ncbi.nlm.nih.gov/nuccore/AY954967","NCBI Nucleotide")</f>
        <v>NCBI Nucleotide</v>
      </c>
    </row>
    <row r="2506" spans="1:27" x14ac:dyDescent="0.35">
      <c r="A2506">
        <v>1003266</v>
      </c>
      <c r="B2506">
        <v>2482</v>
      </c>
      <c r="C2506">
        <v>1</v>
      </c>
      <c r="D2506" s="17" t="s">
        <v>155</v>
      </c>
      <c r="E2506" s="17"/>
      <c r="F2506" s="17" t="s">
        <v>156</v>
      </c>
      <c r="G2506" s="17"/>
      <c r="H2506" s="17" t="s">
        <v>692</v>
      </c>
      <c r="I2506" s="17"/>
      <c r="J2506" s="17" t="s">
        <v>693</v>
      </c>
      <c r="K2506" s="17"/>
      <c r="L2506" s="17"/>
      <c r="M2506" s="17"/>
      <c r="N2506" s="17"/>
      <c r="O2506" s="17" t="s">
        <v>4531</v>
      </c>
      <c r="P2506" s="17" t="s">
        <v>4569</v>
      </c>
      <c r="Q2506" s="17"/>
      <c r="R2506" s="25" t="str">
        <f>HYPERLINK("https://ictv.global/taxonomy/taxondetails?taxnode_id=202301206","Phietavirus pv96")</f>
        <v>Phietavirus pv96</v>
      </c>
      <c r="S2506" s="18" t="s">
        <v>30</v>
      </c>
      <c r="T2506" s="18" t="s">
        <v>4610</v>
      </c>
      <c r="U2506" s="18"/>
      <c r="V2506" s="18"/>
      <c r="W2506" s="18" t="s">
        <v>4611</v>
      </c>
      <c r="X2506" s="18" t="s">
        <v>42</v>
      </c>
      <c r="Y2506" s="18" t="s">
        <v>36</v>
      </c>
      <c r="Z2506" s="18" t="s">
        <v>697</v>
      </c>
      <c r="AA2506" s="21" t="str">
        <f>HYPERLINK("https://www.ncbi.nlm.nih.gov/nuccore/AY954960","NCBI Nucleotide")</f>
        <v>NCBI Nucleotide</v>
      </c>
    </row>
    <row r="2507" spans="1:27" x14ac:dyDescent="0.35">
      <c r="A2507">
        <v>1003256</v>
      </c>
      <c r="B2507">
        <v>2483</v>
      </c>
      <c r="C2507">
        <v>1</v>
      </c>
      <c r="D2507" s="17" t="s">
        <v>155</v>
      </c>
      <c r="E2507" s="17"/>
      <c r="F2507" s="17" t="s">
        <v>156</v>
      </c>
      <c r="G2507" s="17"/>
      <c r="H2507" s="17" t="s">
        <v>692</v>
      </c>
      <c r="I2507" s="17"/>
      <c r="J2507" s="17" t="s">
        <v>693</v>
      </c>
      <c r="K2507" s="17"/>
      <c r="L2507" s="17"/>
      <c r="M2507" s="17"/>
      <c r="N2507" s="17"/>
      <c r="O2507" s="17" t="s">
        <v>4531</v>
      </c>
      <c r="P2507" s="17" t="s">
        <v>4569</v>
      </c>
      <c r="Q2507" s="17"/>
      <c r="R2507" s="25" t="str">
        <f>HYPERLINK("https://ictv.global/taxonomy/taxondetails?taxnode_id=202301207","Phietavirus pv187")</f>
        <v>Phietavirus pv187</v>
      </c>
      <c r="S2507" s="18" t="s">
        <v>30</v>
      </c>
      <c r="T2507" s="18" t="s">
        <v>4590</v>
      </c>
      <c r="U2507" s="18"/>
      <c r="V2507" s="18"/>
      <c r="W2507" s="18" t="s">
        <v>4591</v>
      </c>
      <c r="X2507" s="18" t="s">
        <v>42</v>
      </c>
      <c r="Y2507" s="18" t="s">
        <v>36</v>
      </c>
      <c r="Z2507" s="18" t="s">
        <v>697</v>
      </c>
      <c r="AA2507" s="21" t="str">
        <f>HYPERLINK("https://www.ncbi.nlm.nih.gov/nuccore/AY954950","NCBI Nucleotide")</f>
        <v>NCBI Nucleotide</v>
      </c>
    </row>
    <row r="2508" spans="1:27" x14ac:dyDescent="0.35">
      <c r="A2508">
        <v>1003259</v>
      </c>
      <c r="B2508">
        <v>2484</v>
      </c>
      <c r="C2508">
        <v>1</v>
      </c>
      <c r="D2508" s="17" t="s">
        <v>155</v>
      </c>
      <c r="E2508" s="17"/>
      <c r="F2508" s="17" t="s">
        <v>156</v>
      </c>
      <c r="G2508" s="17"/>
      <c r="H2508" s="17" t="s">
        <v>692</v>
      </c>
      <c r="I2508" s="17"/>
      <c r="J2508" s="17" t="s">
        <v>693</v>
      </c>
      <c r="K2508" s="17"/>
      <c r="L2508" s="17"/>
      <c r="M2508" s="17"/>
      <c r="N2508" s="17"/>
      <c r="O2508" s="17" t="s">
        <v>4531</v>
      </c>
      <c r="P2508" s="17" t="s">
        <v>4569</v>
      </c>
      <c r="Q2508" s="17"/>
      <c r="R2508" s="25" t="str">
        <f>HYPERLINK("https://ictv.global/taxonomy/taxondetails?taxnode_id=202309563","Phietavirus pv3MRA")</f>
        <v>Phietavirus pv3MRA</v>
      </c>
      <c r="S2508" s="18" t="s">
        <v>30</v>
      </c>
      <c r="T2508" s="18" t="s">
        <v>4596</v>
      </c>
      <c r="U2508" s="18"/>
      <c r="V2508" s="18"/>
      <c r="W2508" s="18" t="s">
        <v>4597</v>
      </c>
      <c r="X2508" s="18" t="s">
        <v>42</v>
      </c>
      <c r="Y2508" s="18" t="s">
        <v>36</v>
      </c>
      <c r="Z2508" s="18" t="s">
        <v>697</v>
      </c>
      <c r="AA2508" s="21" t="str">
        <f>HYPERLINK("https://www.ncbi.nlm.nih.gov/nuccore/KJ452291","NCBI Nucleotide")</f>
        <v>NCBI Nucleotide</v>
      </c>
    </row>
    <row r="2509" spans="1:27" x14ac:dyDescent="0.35">
      <c r="A2509">
        <v>1003260</v>
      </c>
      <c r="B2509">
        <v>2485</v>
      </c>
      <c r="C2509">
        <v>1</v>
      </c>
      <c r="D2509" s="17" t="s">
        <v>155</v>
      </c>
      <c r="E2509" s="17"/>
      <c r="F2509" s="17" t="s">
        <v>156</v>
      </c>
      <c r="G2509" s="17"/>
      <c r="H2509" s="17" t="s">
        <v>692</v>
      </c>
      <c r="I2509" s="17"/>
      <c r="J2509" s="17" t="s">
        <v>693</v>
      </c>
      <c r="K2509" s="17"/>
      <c r="L2509" s="17"/>
      <c r="M2509" s="17"/>
      <c r="N2509" s="17"/>
      <c r="O2509" s="17" t="s">
        <v>4531</v>
      </c>
      <c r="P2509" s="17" t="s">
        <v>4569</v>
      </c>
      <c r="Q2509" s="17"/>
      <c r="R2509" s="25" t="str">
        <f>HYPERLINK("https://ictv.global/taxonomy/taxondetails?taxnode_id=202301208","Phietavirus pv52a")</f>
        <v>Phietavirus pv52a</v>
      </c>
      <c r="S2509" s="18" t="s">
        <v>30</v>
      </c>
      <c r="T2509" s="18" t="s">
        <v>4598</v>
      </c>
      <c r="U2509" s="18"/>
      <c r="V2509" s="18"/>
      <c r="W2509" s="18" t="s">
        <v>4599</v>
      </c>
      <c r="X2509" s="18" t="s">
        <v>42</v>
      </c>
      <c r="Y2509" s="18" t="s">
        <v>36</v>
      </c>
      <c r="Z2509" s="18" t="s">
        <v>697</v>
      </c>
      <c r="AA2509" s="21" t="str">
        <f>HYPERLINK("https://www.ncbi.nlm.nih.gov/nuccore/AY954965","NCBI Nucleotide")</f>
        <v>NCBI Nucleotide</v>
      </c>
    </row>
    <row r="2510" spans="1:27" x14ac:dyDescent="0.35">
      <c r="A2510">
        <v>1003267</v>
      </c>
      <c r="B2510">
        <v>2486</v>
      </c>
      <c r="C2510">
        <v>1</v>
      </c>
      <c r="D2510" s="17" t="s">
        <v>155</v>
      </c>
      <c r="E2510" s="17"/>
      <c r="F2510" s="17" t="s">
        <v>156</v>
      </c>
      <c r="G2510" s="17"/>
      <c r="H2510" s="17" t="s">
        <v>692</v>
      </c>
      <c r="I2510" s="17"/>
      <c r="J2510" s="17" t="s">
        <v>693</v>
      </c>
      <c r="K2510" s="17"/>
      <c r="L2510" s="17"/>
      <c r="M2510" s="17"/>
      <c r="N2510" s="17"/>
      <c r="O2510" s="17" t="s">
        <v>4531</v>
      </c>
      <c r="P2510" s="17" t="s">
        <v>4569</v>
      </c>
      <c r="Q2510" s="17"/>
      <c r="R2510" s="25" t="str">
        <f>HYPERLINK("https://ictv.global/taxonomy/taxondetails?taxnode_id=202309566","Phietavirus ROSA")</f>
        <v>Phietavirus ROSA</v>
      </c>
      <c r="S2510" s="18" t="s">
        <v>30</v>
      </c>
      <c r="T2510" s="18" t="s">
        <v>4612</v>
      </c>
      <c r="U2510" s="18"/>
      <c r="V2510" s="18"/>
      <c r="W2510" s="18" t="s">
        <v>4613</v>
      </c>
      <c r="X2510" s="18" t="s">
        <v>42</v>
      </c>
      <c r="Y2510" s="18" t="s">
        <v>36</v>
      </c>
      <c r="Z2510" s="18" t="s">
        <v>697</v>
      </c>
      <c r="AA2510" s="21" t="str">
        <f>HYPERLINK("https://www.ncbi.nlm.nih.gov/nuccore/AY954961","NCBI Nucleotide")</f>
        <v>NCBI Nucleotide</v>
      </c>
    </row>
    <row r="2511" spans="1:27" x14ac:dyDescent="0.35">
      <c r="A2511">
        <v>1003268</v>
      </c>
      <c r="B2511">
        <v>2487</v>
      </c>
      <c r="C2511">
        <v>1</v>
      </c>
      <c r="D2511" s="17" t="s">
        <v>155</v>
      </c>
      <c r="E2511" s="17"/>
      <c r="F2511" s="17" t="s">
        <v>156</v>
      </c>
      <c r="G2511" s="17"/>
      <c r="H2511" s="17" t="s">
        <v>692</v>
      </c>
      <c r="I2511" s="17"/>
      <c r="J2511" s="17" t="s">
        <v>693</v>
      </c>
      <c r="K2511" s="17"/>
      <c r="L2511" s="17"/>
      <c r="M2511" s="17"/>
      <c r="N2511" s="17"/>
      <c r="O2511" s="17" t="s">
        <v>4531</v>
      </c>
      <c r="P2511" s="17" t="s">
        <v>4569</v>
      </c>
      <c r="Q2511" s="17"/>
      <c r="R2511" s="25" t="str">
        <f>HYPERLINK("https://ictv.global/taxonomy/taxondetails?taxnode_id=202309572","Phietavirus SA13")</f>
        <v>Phietavirus SA13</v>
      </c>
      <c r="S2511" s="18" t="s">
        <v>30</v>
      </c>
      <c r="T2511" s="18" t="s">
        <v>4614</v>
      </c>
      <c r="U2511" s="18"/>
      <c r="V2511" s="18"/>
      <c r="W2511" s="18" t="s">
        <v>4615</v>
      </c>
      <c r="X2511" s="18" t="s">
        <v>42</v>
      </c>
      <c r="Y2511" s="18" t="s">
        <v>36</v>
      </c>
      <c r="Z2511" s="18" t="s">
        <v>697</v>
      </c>
      <c r="AA2511" s="21" t="str">
        <f>HYPERLINK("https://www.ncbi.nlm.nih.gov/nuccore/JX094501","NCBI Nucleotide")</f>
        <v>NCBI Nucleotide</v>
      </c>
    </row>
    <row r="2512" spans="1:27" x14ac:dyDescent="0.35">
      <c r="A2512">
        <v>1003269</v>
      </c>
      <c r="B2512">
        <v>2488</v>
      </c>
      <c r="C2512">
        <v>1</v>
      </c>
      <c r="D2512" s="17" t="s">
        <v>155</v>
      </c>
      <c r="E2512" s="17"/>
      <c r="F2512" s="17" t="s">
        <v>156</v>
      </c>
      <c r="G2512" s="17"/>
      <c r="H2512" s="17" t="s">
        <v>692</v>
      </c>
      <c r="I2512" s="17"/>
      <c r="J2512" s="17" t="s">
        <v>693</v>
      </c>
      <c r="K2512" s="17"/>
      <c r="L2512" s="17"/>
      <c r="M2512" s="17"/>
      <c r="N2512" s="17"/>
      <c r="O2512" s="17" t="s">
        <v>4531</v>
      </c>
      <c r="P2512" s="17" t="s">
        <v>4569</v>
      </c>
      <c r="Q2512" s="17"/>
      <c r="R2512" s="25" t="str">
        <f>HYPERLINK("https://ictv.global/taxonomy/taxondetails?taxnode_id=202309574","Phietavirus SAP27")</f>
        <v>Phietavirus SAP27</v>
      </c>
      <c r="S2512" s="18" t="s">
        <v>30</v>
      </c>
      <c r="T2512" s="18" t="s">
        <v>4616</v>
      </c>
      <c r="U2512" s="18"/>
      <c r="V2512" s="18"/>
      <c r="W2512" s="18" t="s">
        <v>4617</v>
      </c>
      <c r="X2512" s="18" t="s">
        <v>42</v>
      </c>
      <c r="Y2512" s="18" t="s">
        <v>36</v>
      </c>
      <c r="Z2512" s="18" t="s">
        <v>697</v>
      </c>
      <c r="AA2512" s="21" t="str">
        <f>HYPERLINK("https://www.ncbi.nlm.nih.gov/nuccore/MN904510","NCBI Nucleotide")</f>
        <v>NCBI Nucleotide</v>
      </c>
    </row>
    <row r="2513" spans="1:27" x14ac:dyDescent="0.35">
      <c r="A2513">
        <v>1003270</v>
      </c>
      <c r="B2513">
        <v>2489</v>
      </c>
      <c r="C2513">
        <v>1</v>
      </c>
      <c r="D2513" s="17" t="s">
        <v>155</v>
      </c>
      <c r="E2513" s="17"/>
      <c r="F2513" s="17" t="s">
        <v>156</v>
      </c>
      <c r="G2513" s="17"/>
      <c r="H2513" s="17" t="s">
        <v>692</v>
      </c>
      <c r="I2513" s="17"/>
      <c r="J2513" s="17" t="s">
        <v>693</v>
      </c>
      <c r="K2513" s="17"/>
      <c r="L2513" s="17"/>
      <c r="M2513" s="17"/>
      <c r="N2513" s="17"/>
      <c r="O2513" s="17" t="s">
        <v>4531</v>
      </c>
      <c r="P2513" s="17" t="s">
        <v>4569</v>
      </c>
      <c r="Q2513" s="17"/>
      <c r="R2513" s="25" t="str">
        <f>HYPERLINK("https://ictv.global/taxonomy/taxondetails?taxnode_id=202309562","Phietavirus sebago")</f>
        <v>Phietavirus sebago</v>
      </c>
      <c r="S2513" s="18" t="s">
        <v>30</v>
      </c>
      <c r="T2513" s="18" t="s">
        <v>4618</v>
      </c>
      <c r="U2513" s="18"/>
      <c r="V2513" s="18"/>
      <c r="W2513" s="18" t="s">
        <v>4619</v>
      </c>
      <c r="X2513" s="18" t="s">
        <v>42</v>
      </c>
      <c r="Y2513" s="18" t="s">
        <v>36</v>
      </c>
      <c r="Z2513" s="18" t="s">
        <v>697</v>
      </c>
      <c r="AA2513" s="21" t="str">
        <f>HYPERLINK("https://www.ncbi.nlm.nih.gov/nuccore/MK618716","NCBI Nucleotide")</f>
        <v>NCBI Nucleotide</v>
      </c>
    </row>
    <row r="2514" spans="1:27" x14ac:dyDescent="0.35">
      <c r="A2514">
        <v>1003271</v>
      </c>
      <c r="B2514">
        <v>2490</v>
      </c>
      <c r="C2514">
        <v>1</v>
      </c>
      <c r="D2514" s="17" t="s">
        <v>155</v>
      </c>
      <c r="E2514" s="17"/>
      <c r="F2514" s="17" t="s">
        <v>156</v>
      </c>
      <c r="G2514" s="17"/>
      <c r="H2514" s="17" t="s">
        <v>692</v>
      </c>
      <c r="I2514" s="17"/>
      <c r="J2514" s="17" t="s">
        <v>693</v>
      </c>
      <c r="K2514" s="17"/>
      <c r="L2514" s="17"/>
      <c r="M2514" s="17"/>
      <c r="N2514" s="17"/>
      <c r="O2514" s="17" t="s">
        <v>4531</v>
      </c>
      <c r="P2514" s="17" t="s">
        <v>4569</v>
      </c>
      <c r="Q2514" s="17"/>
      <c r="R2514" s="25" t="str">
        <f>HYPERLINK("https://ictv.global/taxonomy/taxondetails?taxnode_id=202309569","Phietavirus StauST3981")</f>
        <v>Phietavirus StauST3981</v>
      </c>
      <c r="S2514" s="18" t="s">
        <v>30</v>
      </c>
      <c r="T2514" s="18" t="s">
        <v>4620</v>
      </c>
      <c r="U2514" s="18"/>
      <c r="V2514" s="18"/>
      <c r="W2514" s="18" t="s">
        <v>4621</v>
      </c>
      <c r="X2514" s="18" t="s">
        <v>42</v>
      </c>
      <c r="Y2514" s="18" t="s">
        <v>36</v>
      </c>
      <c r="Z2514" s="18" t="s">
        <v>697</v>
      </c>
      <c r="AA2514" s="21" t="str">
        <f>HYPERLINK("https://www.ncbi.nlm.nih.gov/nuccore/JX013863","NCBI Nucleotide")</f>
        <v>NCBI Nucleotide</v>
      </c>
    </row>
    <row r="2515" spans="1:27" x14ac:dyDescent="0.35">
      <c r="A2515">
        <v>1003272</v>
      </c>
      <c r="B2515">
        <v>2491</v>
      </c>
      <c r="C2515">
        <v>1</v>
      </c>
      <c r="D2515" s="17" t="s">
        <v>155</v>
      </c>
      <c r="E2515" s="17"/>
      <c r="F2515" s="17" t="s">
        <v>156</v>
      </c>
      <c r="G2515" s="17"/>
      <c r="H2515" s="17" t="s">
        <v>692</v>
      </c>
      <c r="I2515" s="17"/>
      <c r="J2515" s="17" t="s">
        <v>693</v>
      </c>
      <c r="K2515" s="17"/>
      <c r="L2515" s="17"/>
      <c r="M2515" s="17"/>
      <c r="N2515" s="17"/>
      <c r="O2515" s="17" t="s">
        <v>4531</v>
      </c>
      <c r="P2515" s="17" t="s">
        <v>4569</v>
      </c>
      <c r="Q2515" s="17"/>
      <c r="R2515" s="25" t="str">
        <f>HYPERLINK("https://ictv.global/taxonomy/taxondetails?taxnode_id=202309561","Phietavirus StauST3983")</f>
        <v>Phietavirus StauST3983</v>
      </c>
      <c r="S2515" s="18" t="s">
        <v>30</v>
      </c>
      <c r="T2515" s="18" t="s">
        <v>4622</v>
      </c>
      <c r="U2515" s="18"/>
      <c r="V2515" s="18"/>
      <c r="W2515" s="18" t="s">
        <v>4623</v>
      </c>
      <c r="X2515" s="18" t="s">
        <v>42</v>
      </c>
      <c r="Y2515" s="18" t="s">
        <v>36</v>
      </c>
      <c r="Z2515" s="18" t="s">
        <v>697</v>
      </c>
      <c r="AA2515" s="21" t="str">
        <f>HYPERLINK("https://www.ncbi.nlm.nih.gov/nuccore/JQ973847","NCBI Nucleotide")</f>
        <v>NCBI Nucleotide</v>
      </c>
    </row>
    <row r="2516" spans="1:27" x14ac:dyDescent="0.35">
      <c r="A2516">
        <v>1003273</v>
      </c>
      <c r="B2516">
        <v>2492</v>
      </c>
      <c r="C2516">
        <v>1</v>
      </c>
      <c r="D2516" s="17" t="s">
        <v>155</v>
      </c>
      <c r="E2516" s="17"/>
      <c r="F2516" s="17" t="s">
        <v>156</v>
      </c>
      <c r="G2516" s="17"/>
      <c r="H2516" s="17" t="s">
        <v>692</v>
      </c>
      <c r="I2516" s="17"/>
      <c r="J2516" s="17" t="s">
        <v>693</v>
      </c>
      <c r="K2516" s="17"/>
      <c r="L2516" s="17"/>
      <c r="M2516" s="17"/>
      <c r="N2516" s="17"/>
      <c r="O2516" s="17" t="s">
        <v>4531</v>
      </c>
      <c r="P2516" s="17" t="s">
        <v>4569</v>
      </c>
      <c r="Q2516" s="17"/>
      <c r="R2516" s="25" t="str">
        <f>HYPERLINK("https://ictv.global/taxonomy/taxondetails?taxnode_id=202309570","Phietavirus StauST3985")</f>
        <v>Phietavirus StauST3985</v>
      </c>
      <c r="S2516" s="18" t="s">
        <v>30</v>
      </c>
      <c r="T2516" s="18" t="s">
        <v>4624</v>
      </c>
      <c r="U2516" s="18"/>
      <c r="V2516" s="18"/>
      <c r="W2516" s="18" t="s">
        <v>4625</v>
      </c>
      <c r="X2516" s="18" t="s">
        <v>42</v>
      </c>
      <c r="Y2516" s="18" t="s">
        <v>36</v>
      </c>
      <c r="Z2516" s="18" t="s">
        <v>697</v>
      </c>
      <c r="AA2516" s="21" t="str">
        <f>HYPERLINK("https://www.ncbi.nlm.nih.gov/nuccore/KC595279","NCBI Nucleotide")</f>
        <v>NCBI Nucleotide</v>
      </c>
    </row>
    <row r="2517" spans="1:27" x14ac:dyDescent="0.35">
      <c r="A2517">
        <v>1003274</v>
      </c>
      <c r="B2517">
        <v>2493</v>
      </c>
      <c r="C2517">
        <v>1</v>
      </c>
      <c r="D2517" s="17" t="s">
        <v>155</v>
      </c>
      <c r="E2517" s="17"/>
      <c r="F2517" s="17" t="s">
        <v>156</v>
      </c>
      <c r="G2517" s="17"/>
      <c r="H2517" s="17" t="s">
        <v>692</v>
      </c>
      <c r="I2517" s="17"/>
      <c r="J2517" s="17" t="s">
        <v>693</v>
      </c>
      <c r="K2517" s="17"/>
      <c r="L2517" s="17"/>
      <c r="M2517" s="17"/>
      <c r="N2517" s="17"/>
      <c r="O2517" s="17" t="s">
        <v>4531</v>
      </c>
      <c r="P2517" s="17" t="s">
        <v>4569</v>
      </c>
      <c r="Q2517" s="17"/>
      <c r="R2517" s="25" t="str">
        <f>HYPERLINK("https://ictv.global/taxonomy/taxondetails?taxnode_id=202309573","Phietavirus UPMK2")</f>
        <v>Phietavirus UPMK2</v>
      </c>
      <c r="S2517" s="18" t="s">
        <v>30</v>
      </c>
      <c r="T2517" s="18" t="s">
        <v>4626</v>
      </c>
      <c r="U2517" s="18"/>
      <c r="V2517" s="18"/>
      <c r="W2517" s="18" t="s">
        <v>4627</v>
      </c>
      <c r="X2517" s="18" t="s">
        <v>42</v>
      </c>
      <c r="Y2517" s="18" t="s">
        <v>36</v>
      </c>
      <c r="Z2517" s="18" t="s">
        <v>697</v>
      </c>
      <c r="AA2517" s="21" t="str">
        <f>HYPERLINK("https://www.ncbi.nlm.nih.gov/nuccore/MG564297","NCBI Nucleotide")</f>
        <v>NCBI Nucleotide</v>
      </c>
    </row>
    <row r="2518" spans="1:27" x14ac:dyDescent="0.35">
      <c r="A2518">
        <v>1003275</v>
      </c>
      <c r="B2518">
        <v>2494</v>
      </c>
      <c r="C2518">
        <v>1</v>
      </c>
      <c r="D2518" s="17" t="s">
        <v>155</v>
      </c>
      <c r="E2518" s="17"/>
      <c r="F2518" s="17" t="s">
        <v>156</v>
      </c>
      <c r="G2518" s="17"/>
      <c r="H2518" s="17" t="s">
        <v>692</v>
      </c>
      <c r="I2518" s="17"/>
      <c r="J2518" s="17" t="s">
        <v>693</v>
      </c>
      <c r="K2518" s="17"/>
      <c r="L2518" s="17"/>
      <c r="M2518" s="17"/>
      <c r="N2518" s="17"/>
      <c r="O2518" s="17" t="s">
        <v>4531</v>
      </c>
      <c r="P2518" s="17" t="s">
        <v>4569</v>
      </c>
      <c r="Q2518" s="17"/>
      <c r="R2518" s="25" t="str">
        <f>HYPERLINK("https://ictv.global/taxonomy/taxondetails?taxnode_id=202301225","Phietavirus X2")</f>
        <v>Phietavirus X2</v>
      </c>
      <c r="S2518" s="18" t="s">
        <v>30</v>
      </c>
      <c r="T2518" s="18" t="s">
        <v>4628</v>
      </c>
      <c r="U2518" s="18"/>
      <c r="V2518" s="18"/>
      <c r="W2518" s="18" t="s">
        <v>4629</v>
      </c>
      <c r="X2518" s="18" t="s">
        <v>42</v>
      </c>
      <c r="Y2518" s="18" t="s">
        <v>36</v>
      </c>
      <c r="Z2518" s="18" t="s">
        <v>697</v>
      </c>
      <c r="AA2518" s="21" t="str">
        <f>HYPERLINK("https://www.ncbi.nlm.nih.gov/nuccore/AY954968","NCBI Nucleotide")</f>
        <v>NCBI Nucleotide</v>
      </c>
    </row>
    <row r="2519" spans="1:27" x14ac:dyDescent="0.35">
      <c r="A2519">
        <v>1003276</v>
      </c>
      <c r="B2519">
        <v>2495</v>
      </c>
      <c r="C2519">
        <v>1</v>
      </c>
      <c r="D2519" s="17" t="s">
        <v>155</v>
      </c>
      <c r="E2519" s="17"/>
      <c r="F2519" s="17" t="s">
        <v>156</v>
      </c>
      <c r="G2519" s="17"/>
      <c r="H2519" s="17" t="s">
        <v>692</v>
      </c>
      <c r="I2519" s="17"/>
      <c r="J2519" s="17" t="s">
        <v>693</v>
      </c>
      <c r="K2519" s="17"/>
      <c r="L2519" s="17"/>
      <c r="M2519" s="17"/>
      <c r="N2519" s="17"/>
      <c r="O2519" s="17" t="s">
        <v>4630</v>
      </c>
      <c r="P2519" s="17" t="s">
        <v>4631</v>
      </c>
      <c r="Q2519" s="17"/>
      <c r="R2519" s="25" t="str">
        <f>HYPERLINK("https://ictv.global/taxonomy/taxondetails?taxnode_id=202300735","Acadianvirus acadian")</f>
        <v>Acadianvirus acadian</v>
      </c>
      <c r="S2519" s="18" t="s">
        <v>30</v>
      </c>
      <c r="T2519" s="18" t="s">
        <v>4632</v>
      </c>
      <c r="U2519" s="18"/>
      <c r="V2519" s="18"/>
      <c r="W2519" s="18" t="s">
        <v>4633</v>
      </c>
      <c r="X2519" s="18" t="s">
        <v>42</v>
      </c>
      <c r="Y2519" s="18" t="s">
        <v>36</v>
      </c>
      <c r="Z2519" s="18" t="s">
        <v>697</v>
      </c>
      <c r="AA2519" s="21" t="str">
        <f>HYPERLINK("https://www.ncbi.nlm.nih.gov/nuccore/JN699007","NCBI Nucleotide")</f>
        <v>NCBI Nucleotide</v>
      </c>
    </row>
    <row r="2520" spans="1:27" x14ac:dyDescent="0.35">
      <c r="A2520">
        <v>1003277</v>
      </c>
      <c r="B2520">
        <v>2496</v>
      </c>
      <c r="C2520">
        <v>1</v>
      </c>
      <c r="D2520" s="17" t="s">
        <v>155</v>
      </c>
      <c r="E2520" s="17"/>
      <c r="F2520" s="17" t="s">
        <v>156</v>
      </c>
      <c r="G2520" s="17"/>
      <c r="H2520" s="17" t="s">
        <v>692</v>
      </c>
      <c r="I2520" s="17"/>
      <c r="J2520" s="17" t="s">
        <v>693</v>
      </c>
      <c r="K2520" s="17"/>
      <c r="L2520" s="17"/>
      <c r="M2520" s="17"/>
      <c r="N2520" s="17"/>
      <c r="O2520" s="17" t="s">
        <v>4630</v>
      </c>
      <c r="P2520" s="17" t="s">
        <v>4631</v>
      </c>
      <c r="Q2520" s="17"/>
      <c r="R2520" s="25" t="str">
        <f>HYPERLINK("https://ictv.global/taxonomy/taxondetails?taxnode_id=202300736","Acadianvirus baee")</f>
        <v>Acadianvirus baee</v>
      </c>
      <c r="S2520" s="18" t="s">
        <v>30</v>
      </c>
      <c r="T2520" s="18" t="s">
        <v>4634</v>
      </c>
      <c r="U2520" s="18"/>
      <c r="V2520" s="18"/>
      <c r="W2520" s="18" t="s">
        <v>4635</v>
      </c>
      <c r="X2520" s="18" t="s">
        <v>42</v>
      </c>
      <c r="Y2520" s="18" t="s">
        <v>36</v>
      </c>
      <c r="Z2520" s="18" t="s">
        <v>697</v>
      </c>
      <c r="AA2520" s="21" t="str">
        <f>HYPERLINK("https://www.ncbi.nlm.nih.gov/nuccore/KR080199","NCBI Nucleotide")</f>
        <v>NCBI Nucleotide</v>
      </c>
    </row>
    <row r="2521" spans="1:27" x14ac:dyDescent="0.35">
      <c r="A2521">
        <v>1003278</v>
      </c>
      <c r="B2521">
        <v>2497</v>
      </c>
      <c r="C2521">
        <v>1</v>
      </c>
      <c r="D2521" s="17" t="s">
        <v>155</v>
      </c>
      <c r="E2521" s="17"/>
      <c r="F2521" s="17" t="s">
        <v>156</v>
      </c>
      <c r="G2521" s="17"/>
      <c r="H2521" s="17" t="s">
        <v>692</v>
      </c>
      <c r="I2521" s="17"/>
      <c r="J2521" s="17" t="s">
        <v>693</v>
      </c>
      <c r="K2521" s="17"/>
      <c r="L2521" s="17"/>
      <c r="M2521" s="17"/>
      <c r="N2521" s="17"/>
      <c r="O2521" s="17" t="s">
        <v>4630</v>
      </c>
      <c r="P2521" s="17" t="s">
        <v>4631</v>
      </c>
      <c r="Q2521" s="17"/>
      <c r="R2521" s="25" t="str">
        <f>HYPERLINK("https://ictv.global/taxonomy/taxondetails?taxnode_id=202300737","Acadianvirus reprobate")</f>
        <v>Acadianvirus reprobate</v>
      </c>
      <c r="S2521" s="18" t="s">
        <v>30</v>
      </c>
      <c r="T2521" s="18" t="s">
        <v>4636</v>
      </c>
      <c r="U2521" s="18"/>
      <c r="V2521" s="18"/>
      <c r="W2521" s="18" t="s">
        <v>4637</v>
      </c>
      <c r="X2521" s="18" t="s">
        <v>42</v>
      </c>
      <c r="Y2521" s="18" t="s">
        <v>36</v>
      </c>
      <c r="Z2521" s="18" t="s">
        <v>697</v>
      </c>
      <c r="AA2521" s="21" t="str">
        <f>HYPERLINK("https://www.ncbi.nlm.nih.gov/nuccore/KF024727","NCBI Nucleotide")</f>
        <v>NCBI Nucleotide</v>
      </c>
    </row>
    <row r="2522" spans="1:27" x14ac:dyDescent="0.35">
      <c r="A2522">
        <v>1003279</v>
      </c>
      <c r="B2522">
        <v>2498</v>
      </c>
      <c r="C2522">
        <v>1</v>
      </c>
      <c r="D2522" s="17" t="s">
        <v>155</v>
      </c>
      <c r="E2522" s="17"/>
      <c r="F2522" s="17" t="s">
        <v>156</v>
      </c>
      <c r="G2522" s="17"/>
      <c r="H2522" s="17" t="s">
        <v>692</v>
      </c>
      <c r="I2522" s="17"/>
      <c r="J2522" s="17" t="s">
        <v>693</v>
      </c>
      <c r="K2522" s="17"/>
      <c r="L2522" s="17"/>
      <c r="M2522" s="17"/>
      <c r="N2522" s="17"/>
      <c r="O2522" s="17" t="s">
        <v>4630</v>
      </c>
      <c r="P2522" s="17" t="s">
        <v>4631</v>
      </c>
      <c r="Q2522" s="17"/>
      <c r="R2522" s="25" t="str">
        <f>HYPERLINK("https://ictv.global/taxonomy/taxondetails?taxnode_id=202313192","Acadianvirus serendipitous")</f>
        <v>Acadianvirus serendipitous</v>
      </c>
      <c r="S2522" s="18" t="s">
        <v>30</v>
      </c>
      <c r="T2522" s="18" t="s">
        <v>4638</v>
      </c>
      <c r="U2522" s="18"/>
      <c r="V2522" s="18"/>
      <c r="W2522" s="18" t="s">
        <v>4639</v>
      </c>
      <c r="X2522" s="18" t="s">
        <v>42</v>
      </c>
      <c r="Y2522" s="18" t="s">
        <v>36</v>
      </c>
      <c r="Z2522" s="18" t="s">
        <v>697</v>
      </c>
      <c r="AA2522" s="21" t="str">
        <f>HYPERLINK("https://www.ncbi.nlm.nih.gov/nuccore/MH727561","NCBI Nucleotide")</f>
        <v>NCBI Nucleotide</v>
      </c>
    </row>
    <row r="2523" spans="1:27" x14ac:dyDescent="0.35">
      <c r="A2523">
        <v>1003280</v>
      </c>
      <c r="B2523">
        <v>2499</v>
      </c>
      <c r="C2523">
        <v>1</v>
      </c>
      <c r="D2523" s="17" t="s">
        <v>155</v>
      </c>
      <c r="E2523" s="17"/>
      <c r="F2523" s="17" t="s">
        <v>156</v>
      </c>
      <c r="G2523" s="17"/>
      <c r="H2523" s="17" t="s">
        <v>692</v>
      </c>
      <c r="I2523" s="17"/>
      <c r="J2523" s="17" t="s">
        <v>693</v>
      </c>
      <c r="K2523" s="17"/>
      <c r="L2523" s="17"/>
      <c r="M2523" s="17"/>
      <c r="N2523" s="17"/>
      <c r="O2523" s="17" t="s">
        <v>4630</v>
      </c>
      <c r="P2523" s="17" t="s">
        <v>4640</v>
      </c>
      <c r="Q2523" s="17"/>
      <c r="R2523" s="25" t="str">
        <f>HYPERLINK("https://ictv.global/taxonomy/taxondetails?taxnode_id=202313180","Birdsnestvirus birdsnest")</f>
        <v>Birdsnestvirus birdsnest</v>
      </c>
      <c r="S2523" s="18" t="s">
        <v>30</v>
      </c>
      <c r="T2523" s="18" t="s">
        <v>4641</v>
      </c>
      <c r="U2523" s="18"/>
      <c r="V2523" s="18"/>
      <c r="W2523" s="18" t="s">
        <v>4642</v>
      </c>
      <c r="X2523" s="18" t="s">
        <v>42</v>
      </c>
      <c r="Y2523" s="18" t="s">
        <v>36</v>
      </c>
      <c r="Z2523" s="18" t="s">
        <v>697</v>
      </c>
      <c r="AA2523" s="21" t="str">
        <f>HYPERLINK("https://www.ncbi.nlm.nih.gov/nuccore/MN813686","NCBI Nucleotide")</f>
        <v>NCBI Nucleotide</v>
      </c>
    </row>
    <row r="2524" spans="1:27" x14ac:dyDescent="0.35">
      <c r="A2524">
        <v>1003281</v>
      </c>
      <c r="B2524">
        <v>2500</v>
      </c>
      <c r="C2524">
        <v>1</v>
      </c>
      <c r="D2524" s="17" t="s">
        <v>155</v>
      </c>
      <c r="E2524" s="17"/>
      <c r="F2524" s="17" t="s">
        <v>156</v>
      </c>
      <c r="G2524" s="17"/>
      <c r="H2524" s="17" t="s">
        <v>692</v>
      </c>
      <c r="I2524" s="17"/>
      <c r="J2524" s="17" t="s">
        <v>693</v>
      </c>
      <c r="K2524" s="17"/>
      <c r="L2524" s="17"/>
      <c r="M2524" s="17"/>
      <c r="N2524" s="17"/>
      <c r="O2524" s="17" t="s">
        <v>4630</v>
      </c>
      <c r="P2524" s="17" t="s">
        <v>4643</v>
      </c>
      <c r="Q2524" s="17"/>
      <c r="R2524" s="25" t="str">
        <f>HYPERLINK("https://ictv.global/taxonomy/taxondetails?taxnode_id=202300739","Coopervirus adawi")</f>
        <v>Coopervirus adawi</v>
      </c>
      <c r="S2524" s="18" t="s">
        <v>30</v>
      </c>
      <c r="T2524" s="18" t="s">
        <v>4644</v>
      </c>
      <c r="U2524" s="18"/>
      <c r="V2524" s="18"/>
      <c r="W2524" s="18" t="s">
        <v>4645</v>
      </c>
      <c r="X2524" s="18" t="s">
        <v>42</v>
      </c>
      <c r="Y2524" s="18" t="s">
        <v>36</v>
      </c>
      <c r="Z2524" s="18" t="s">
        <v>697</v>
      </c>
      <c r="AA2524" s="21" t="str">
        <f>HYPERLINK("https://www.ncbi.nlm.nih.gov/nuccore/KF279411","NCBI Nucleotide")</f>
        <v>NCBI Nucleotide</v>
      </c>
    </row>
    <row r="2525" spans="1:27" x14ac:dyDescent="0.35">
      <c r="A2525">
        <v>1003282</v>
      </c>
      <c r="B2525">
        <v>2501</v>
      </c>
      <c r="C2525">
        <v>1</v>
      </c>
      <c r="D2525" s="17" t="s">
        <v>155</v>
      </c>
      <c r="E2525" s="17"/>
      <c r="F2525" s="17" t="s">
        <v>156</v>
      </c>
      <c r="G2525" s="17"/>
      <c r="H2525" s="17" t="s">
        <v>692</v>
      </c>
      <c r="I2525" s="17"/>
      <c r="J2525" s="17" t="s">
        <v>693</v>
      </c>
      <c r="K2525" s="17"/>
      <c r="L2525" s="17"/>
      <c r="M2525" s="17"/>
      <c r="N2525" s="17"/>
      <c r="O2525" s="17" t="s">
        <v>4630</v>
      </c>
      <c r="P2525" s="17" t="s">
        <v>4643</v>
      </c>
      <c r="Q2525" s="17"/>
      <c r="R2525" s="25" t="str">
        <f>HYPERLINK("https://ictv.global/taxonomy/taxondetails?taxnode_id=202300740","Coopervirus bane1")</f>
        <v>Coopervirus bane1</v>
      </c>
      <c r="S2525" s="18" t="s">
        <v>30</v>
      </c>
      <c r="T2525" s="18" t="s">
        <v>4646</v>
      </c>
      <c r="U2525" s="18"/>
      <c r="V2525" s="18"/>
      <c r="W2525" s="18" t="s">
        <v>4647</v>
      </c>
      <c r="X2525" s="18" t="s">
        <v>42</v>
      </c>
      <c r="Y2525" s="18" t="s">
        <v>36</v>
      </c>
      <c r="Z2525" s="18" t="s">
        <v>697</v>
      </c>
      <c r="AA2525" s="21" t="str">
        <f>HYPERLINK("https://www.ncbi.nlm.nih.gov/nuccore/KF279412","NCBI Nucleotide")</f>
        <v>NCBI Nucleotide</v>
      </c>
    </row>
    <row r="2526" spans="1:27" x14ac:dyDescent="0.35">
      <c r="A2526">
        <v>1003283</v>
      </c>
      <c r="B2526">
        <v>2502</v>
      </c>
      <c r="C2526">
        <v>1</v>
      </c>
      <c r="D2526" s="17" t="s">
        <v>155</v>
      </c>
      <c r="E2526" s="17"/>
      <c r="F2526" s="17" t="s">
        <v>156</v>
      </c>
      <c r="G2526" s="17"/>
      <c r="H2526" s="17" t="s">
        <v>692</v>
      </c>
      <c r="I2526" s="17"/>
      <c r="J2526" s="17" t="s">
        <v>693</v>
      </c>
      <c r="K2526" s="17"/>
      <c r="L2526" s="17"/>
      <c r="M2526" s="17"/>
      <c r="N2526" s="17"/>
      <c r="O2526" s="17" t="s">
        <v>4630</v>
      </c>
      <c r="P2526" s="17" t="s">
        <v>4643</v>
      </c>
      <c r="Q2526" s="17"/>
      <c r="R2526" s="25" t="str">
        <f>HYPERLINK("https://ictv.global/taxonomy/taxondetails?taxnode_id=202300741","Coopervirus brownCNA")</f>
        <v>Coopervirus brownCNA</v>
      </c>
      <c r="S2526" s="18" t="s">
        <v>30</v>
      </c>
      <c r="T2526" s="18" t="s">
        <v>4648</v>
      </c>
      <c r="U2526" s="18"/>
      <c r="V2526" s="18"/>
      <c r="W2526" s="18" t="s">
        <v>4649</v>
      </c>
      <c r="X2526" s="18" t="s">
        <v>42</v>
      </c>
      <c r="Y2526" s="18" t="s">
        <v>36</v>
      </c>
      <c r="Z2526" s="18" t="s">
        <v>697</v>
      </c>
      <c r="AA2526" s="21" t="str">
        <f>HYPERLINK("https://www.ncbi.nlm.nih.gov/nuccore/KT270441","NCBI Nucleotide")</f>
        <v>NCBI Nucleotide</v>
      </c>
    </row>
    <row r="2527" spans="1:27" x14ac:dyDescent="0.35">
      <c r="A2527">
        <v>1003284</v>
      </c>
      <c r="B2527">
        <v>2503</v>
      </c>
      <c r="C2527">
        <v>1</v>
      </c>
      <c r="D2527" s="17" t="s">
        <v>155</v>
      </c>
      <c r="E2527" s="17"/>
      <c r="F2527" s="17" t="s">
        <v>156</v>
      </c>
      <c r="G2527" s="17"/>
      <c r="H2527" s="17" t="s">
        <v>692</v>
      </c>
      <c r="I2527" s="17"/>
      <c r="J2527" s="17" t="s">
        <v>693</v>
      </c>
      <c r="K2527" s="17"/>
      <c r="L2527" s="17"/>
      <c r="M2527" s="17"/>
      <c r="N2527" s="17"/>
      <c r="O2527" s="17" t="s">
        <v>4630</v>
      </c>
      <c r="P2527" s="17" t="s">
        <v>4643</v>
      </c>
      <c r="Q2527" s="17"/>
      <c r="R2527" s="25" t="str">
        <f>HYPERLINK("https://ictv.global/taxonomy/taxondetails?taxnode_id=202300742","Coopervirus chrisnmich")</f>
        <v>Coopervirus chrisnmich</v>
      </c>
      <c r="S2527" s="18" t="s">
        <v>30</v>
      </c>
      <c r="T2527" s="18" t="s">
        <v>4650</v>
      </c>
      <c r="U2527" s="18"/>
      <c r="V2527" s="18"/>
      <c r="W2527" s="18" t="s">
        <v>4651</v>
      </c>
      <c r="X2527" s="18" t="s">
        <v>42</v>
      </c>
      <c r="Y2527" s="18" t="s">
        <v>36</v>
      </c>
      <c r="Z2527" s="18" t="s">
        <v>697</v>
      </c>
      <c r="AA2527" s="21" t="str">
        <f>HYPERLINK("https://www.ncbi.nlm.nih.gov/nuccore/JF704094","NCBI Nucleotide")</f>
        <v>NCBI Nucleotide</v>
      </c>
    </row>
    <row r="2528" spans="1:27" x14ac:dyDescent="0.35">
      <c r="A2528">
        <v>1003285</v>
      </c>
      <c r="B2528">
        <v>2504</v>
      </c>
      <c r="C2528">
        <v>1</v>
      </c>
      <c r="D2528" s="17" t="s">
        <v>155</v>
      </c>
      <c r="E2528" s="17"/>
      <c r="F2528" s="17" t="s">
        <v>156</v>
      </c>
      <c r="G2528" s="17"/>
      <c r="H2528" s="17" t="s">
        <v>692</v>
      </c>
      <c r="I2528" s="17"/>
      <c r="J2528" s="17" t="s">
        <v>693</v>
      </c>
      <c r="K2528" s="17"/>
      <c r="L2528" s="17"/>
      <c r="M2528" s="17"/>
      <c r="N2528" s="17"/>
      <c r="O2528" s="17" t="s">
        <v>4630</v>
      </c>
      <c r="P2528" s="17" t="s">
        <v>4643</v>
      </c>
      <c r="Q2528" s="17"/>
      <c r="R2528" s="25" t="str">
        <f>HYPERLINK("https://ictv.global/taxonomy/taxondetails?taxnode_id=202300743","Coopervirus cooper")</f>
        <v>Coopervirus cooper</v>
      </c>
      <c r="S2528" s="18" t="s">
        <v>30</v>
      </c>
      <c r="T2528" s="18" t="s">
        <v>4652</v>
      </c>
      <c r="U2528" s="18"/>
      <c r="V2528" s="18"/>
      <c r="W2528" s="18" t="s">
        <v>4653</v>
      </c>
      <c r="X2528" s="18" t="s">
        <v>42</v>
      </c>
      <c r="Y2528" s="18" t="s">
        <v>36</v>
      </c>
      <c r="Z2528" s="18" t="s">
        <v>697</v>
      </c>
      <c r="AA2528" s="21" t="str">
        <f>HYPERLINK("https://www.ncbi.nlm.nih.gov/nuccore/DQ398044","NCBI Nucleotide")</f>
        <v>NCBI Nucleotide</v>
      </c>
    </row>
    <row r="2529" spans="1:27" x14ac:dyDescent="0.35">
      <c r="A2529">
        <v>1003286</v>
      </c>
      <c r="B2529">
        <v>2505</v>
      </c>
      <c r="C2529">
        <v>1</v>
      </c>
      <c r="D2529" s="17" t="s">
        <v>155</v>
      </c>
      <c r="E2529" s="17"/>
      <c r="F2529" s="17" t="s">
        <v>156</v>
      </c>
      <c r="G2529" s="17"/>
      <c r="H2529" s="17" t="s">
        <v>692</v>
      </c>
      <c r="I2529" s="17"/>
      <c r="J2529" s="17" t="s">
        <v>693</v>
      </c>
      <c r="K2529" s="17"/>
      <c r="L2529" s="17"/>
      <c r="M2529" s="17"/>
      <c r="N2529" s="17"/>
      <c r="O2529" s="17" t="s">
        <v>4630</v>
      </c>
      <c r="P2529" s="17" t="s">
        <v>4643</v>
      </c>
      <c r="Q2529" s="17"/>
      <c r="R2529" s="25" t="str">
        <f>HYPERLINK("https://ictv.global/taxonomy/taxondetails?taxnode_id=202313197","Coopervirus fortunato")</f>
        <v>Coopervirus fortunato</v>
      </c>
      <c r="S2529" s="18" t="s">
        <v>30</v>
      </c>
      <c r="T2529" s="18" t="s">
        <v>4654</v>
      </c>
      <c r="U2529" s="18"/>
      <c r="V2529" s="18"/>
      <c r="W2529" s="18" t="s">
        <v>4655</v>
      </c>
      <c r="X2529" s="18" t="s">
        <v>42</v>
      </c>
      <c r="Y2529" s="18" t="s">
        <v>36</v>
      </c>
      <c r="Z2529" s="18" t="s">
        <v>697</v>
      </c>
      <c r="AA2529" s="21" t="str">
        <f>HYPERLINK("https://www.ncbi.nlm.nih.gov/nuccore/KX589269","NCBI Nucleotide")</f>
        <v>NCBI Nucleotide</v>
      </c>
    </row>
    <row r="2530" spans="1:27" x14ac:dyDescent="0.35">
      <c r="A2530">
        <v>1003287</v>
      </c>
      <c r="B2530">
        <v>2506</v>
      </c>
      <c r="C2530">
        <v>1</v>
      </c>
      <c r="D2530" s="17" t="s">
        <v>155</v>
      </c>
      <c r="E2530" s="17"/>
      <c r="F2530" s="17" t="s">
        <v>156</v>
      </c>
      <c r="G2530" s="17"/>
      <c r="H2530" s="17" t="s">
        <v>692</v>
      </c>
      <c r="I2530" s="17"/>
      <c r="J2530" s="17" t="s">
        <v>693</v>
      </c>
      <c r="K2530" s="17"/>
      <c r="L2530" s="17"/>
      <c r="M2530" s="17"/>
      <c r="N2530" s="17"/>
      <c r="O2530" s="17" t="s">
        <v>4630</v>
      </c>
      <c r="P2530" s="17" t="s">
        <v>4643</v>
      </c>
      <c r="Q2530" s="17"/>
      <c r="R2530" s="25" t="str">
        <f>HYPERLINK("https://ictv.global/taxonomy/taxondetails?taxnode_id=202313196","Coopervirus heath")</f>
        <v>Coopervirus heath</v>
      </c>
      <c r="S2530" s="18" t="s">
        <v>30</v>
      </c>
      <c r="T2530" s="18" t="s">
        <v>4656</v>
      </c>
      <c r="U2530" s="18"/>
      <c r="V2530" s="18"/>
      <c r="W2530" s="18" t="s">
        <v>4657</v>
      </c>
      <c r="X2530" s="18" t="s">
        <v>42</v>
      </c>
      <c r="Y2530" s="18" t="s">
        <v>36</v>
      </c>
      <c r="Z2530" s="18" t="s">
        <v>697</v>
      </c>
      <c r="AA2530" s="21" t="str">
        <f>HYPERLINK("https://www.ncbi.nlm.nih.gov/nuccore/MT639648","NCBI Nucleotide")</f>
        <v>NCBI Nucleotide</v>
      </c>
    </row>
    <row r="2531" spans="1:27" x14ac:dyDescent="0.35">
      <c r="A2531">
        <v>1003288</v>
      </c>
      <c r="B2531">
        <v>2507</v>
      </c>
      <c r="C2531">
        <v>1</v>
      </c>
      <c r="D2531" s="17" t="s">
        <v>155</v>
      </c>
      <c r="E2531" s="17"/>
      <c r="F2531" s="17" t="s">
        <v>156</v>
      </c>
      <c r="G2531" s="17"/>
      <c r="H2531" s="17" t="s">
        <v>692</v>
      </c>
      <c r="I2531" s="17"/>
      <c r="J2531" s="17" t="s">
        <v>693</v>
      </c>
      <c r="K2531" s="17"/>
      <c r="L2531" s="17"/>
      <c r="M2531" s="17"/>
      <c r="N2531" s="17"/>
      <c r="O2531" s="17" t="s">
        <v>4630</v>
      </c>
      <c r="P2531" s="17" t="s">
        <v>4643</v>
      </c>
      <c r="Q2531" s="17"/>
      <c r="R2531" s="25" t="str">
        <f>HYPERLINK("https://ictv.global/taxonomy/taxondetails?taxnode_id=202300744","Coopervirus JAMaL")</f>
        <v>Coopervirus JAMaL</v>
      </c>
      <c r="S2531" s="18" t="s">
        <v>30</v>
      </c>
      <c r="T2531" s="18" t="s">
        <v>4658</v>
      </c>
      <c r="U2531" s="18"/>
      <c r="V2531" s="18"/>
      <c r="W2531" s="18" t="s">
        <v>4659</v>
      </c>
      <c r="X2531" s="18" t="s">
        <v>42</v>
      </c>
      <c r="Y2531" s="18" t="s">
        <v>36</v>
      </c>
      <c r="Z2531" s="18" t="s">
        <v>697</v>
      </c>
      <c r="AA2531" s="21" t="str">
        <f>HYPERLINK("https://www.ncbi.nlm.nih.gov/nuccore/KF493881","NCBI Nucleotide")</f>
        <v>NCBI Nucleotide</v>
      </c>
    </row>
    <row r="2532" spans="1:27" x14ac:dyDescent="0.35">
      <c r="A2532">
        <v>1003289</v>
      </c>
      <c r="B2532">
        <v>2508</v>
      </c>
      <c r="C2532">
        <v>1</v>
      </c>
      <c r="D2532" s="17" t="s">
        <v>155</v>
      </c>
      <c r="E2532" s="17"/>
      <c r="F2532" s="17" t="s">
        <v>156</v>
      </c>
      <c r="G2532" s="17"/>
      <c r="H2532" s="17" t="s">
        <v>692</v>
      </c>
      <c r="I2532" s="17"/>
      <c r="J2532" s="17" t="s">
        <v>693</v>
      </c>
      <c r="K2532" s="17"/>
      <c r="L2532" s="17"/>
      <c r="M2532" s="17"/>
      <c r="N2532" s="17"/>
      <c r="O2532" s="17" t="s">
        <v>4630</v>
      </c>
      <c r="P2532" s="17" t="s">
        <v>4643</v>
      </c>
      <c r="Q2532" s="17"/>
      <c r="R2532" s="25" t="str">
        <f>HYPERLINK("https://ictv.global/taxonomy/taxondetails?taxnode_id=202300745","Coopervirus nigel")</f>
        <v>Coopervirus nigel</v>
      </c>
      <c r="S2532" s="18" t="s">
        <v>30</v>
      </c>
      <c r="T2532" s="18" t="s">
        <v>4660</v>
      </c>
      <c r="U2532" s="18"/>
      <c r="V2532" s="18"/>
      <c r="W2532" s="18" t="s">
        <v>4661</v>
      </c>
      <c r="X2532" s="18" t="s">
        <v>42</v>
      </c>
      <c r="Y2532" s="18" t="s">
        <v>36</v>
      </c>
      <c r="Z2532" s="18" t="s">
        <v>697</v>
      </c>
      <c r="AA2532" s="21" t="str">
        <f>HYPERLINK("https://www.ncbi.nlm.nih.gov/nuccore/EU770221","NCBI Nucleotide")</f>
        <v>NCBI Nucleotide</v>
      </c>
    </row>
    <row r="2533" spans="1:27" x14ac:dyDescent="0.35">
      <c r="A2533">
        <v>1003290</v>
      </c>
      <c r="B2533">
        <v>2509</v>
      </c>
      <c r="C2533">
        <v>1</v>
      </c>
      <c r="D2533" s="17" t="s">
        <v>155</v>
      </c>
      <c r="E2533" s="17"/>
      <c r="F2533" s="17" t="s">
        <v>156</v>
      </c>
      <c r="G2533" s="17"/>
      <c r="H2533" s="17" t="s">
        <v>692</v>
      </c>
      <c r="I2533" s="17"/>
      <c r="J2533" s="17" t="s">
        <v>693</v>
      </c>
      <c r="K2533" s="17"/>
      <c r="L2533" s="17"/>
      <c r="M2533" s="17"/>
      <c r="N2533" s="17"/>
      <c r="O2533" s="17" t="s">
        <v>4630</v>
      </c>
      <c r="P2533" s="17" t="s">
        <v>4643</v>
      </c>
      <c r="Q2533" s="17"/>
      <c r="R2533" s="25" t="str">
        <f>HYPERLINK("https://ictv.global/taxonomy/taxondetails?taxnode_id=202300746","Coopervirus stinger")</f>
        <v>Coopervirus stinger</v>
      </c>
      <c r="S2533" s="18" t="s">
        <v>30</v>
      </c>
      <c r="T2533" s="18" t="s">
        <v>4662</v>
      </c>
      <c r="U2533" s="18"/>
      <c r="V2533" s="18"/>
      <c r="W2533" s="18" t="s">
        <v>4663</v>
      </c>
      <c r="X2533" s="18" t="s">
        <v>42</v>
      </c>
      <c r="Y2533" s="18" t="s">
        <v>36</v>
      </c>
      <c r="Z2533" s="18" t="s">
        <v>697</v>
      </c>
      <c r="AA2533" s="21" t="str">
        <f>HYPERLINK("https://www.ncbi.nlm.nih.gov/nuccore/JN699011","NCBI Nucleotide")</f>
        <v>NCBI Nucleotide</v>
      </c>
    </row>
    <row r="2534" spans="1:27" x14ac:dyDescent="0.35">
      <c r="A2534">
        <v>1003291</v>
      </c>
      <c r="B2534">
        <v>2510</v>
      </c>
      <c r="C2534">
        <v>1</v>
      </c>
      <c r="D2534" s="17" t="s">
        <v>155</v>
      </c>
      <c r="E2534" s="17"/>
      <c r="F2534" s="17" t="s">
        <v>156</v>
      </c>
      <c r="G2534" s="17"/>
      <c r="H2534" s="17" t="s">
        <v>692</v>
      </c>
      <c r="I2534" s="17"/>
      <c r="J2534" s="17" t="s">
        <v>693</v>
      </c>
      <c r="K2534" s="17"/>
      <c r="L2534" s="17"/>
      <c r="M2534" s="17"/>
      <c r="N2534" s="17"/>
      <c r="O2534" s="17" t="s">
        <v>4630</v>
      </c>
      <c r="P2534" s="17" t="s">
        <v>4643</v>
      </c>
      <c r="Q2534" s="17"/>
      <c r="R2534" s="25" t="str">
        <f>HYPERLINK("https://ictv.global/taxonomy/taxondetails?taxnode_id=202300747","Coopervirus vincenzo")</f>
        <v>Coopervirus vincenzo</v>
      </c>
      <c r="S2534" s="18" t="s">
        <v>30</v>
      </c>
      <c r="T2534" s="18" t="s">
        <v>4664</v>
      </c>
      <c r="U2534" s="18"/>
      <c r="V2534" s="18"/>
      <c r="W2534" s="18" t="s">
        <v>4665</v>
      </c>
      <c r="X2534" s="18" t="s">
        <v>42</v>
      </c>
      <c r="Y2534" s="18" t="s">
        <v>36</v>
      </c>
      <c r="Z2534" s="18" t="s">
        <v>697</v>
      </c>
      <c r="AA2534" s="21" t="str">
        <f>HYPERLINK("https://www.ncbi.nlm.nih.gov/nuccore/KR080194","NCBI Nucleotide")</f>
        <v>NCBI Nucleotide</v>
      </c>
    </row>
    <row r="2535" spans="1:27" x14ac:dyDescent="0.35">
      <c r="A2535">
        <v>1003292</v>
      </c>
      <c r="B2535">
        <v>2511</v>
      </c>
      <c r="C2535">
        <v>1</v>
      </c>
      <c r="D2535" s="17" t="s">
        <v>155</v>
      </c>
      <c r="E2535" s="17"/>
      <c r="F2535" s="17" t="s">
        <v>156</v>
      </c>
      <c r="G2535" s="17"/>
      <c r="H2535" s="17" t="s">
        <v>692</v>
      </c>
      <c r="I2535" s="17"/>
      <c r="J2535" s="17" t="s">
        <v>693</v>
      </c>
      <c r="K2535" s="17"/>
      <c r="L2535" s="17"/>
      <c r="M2535" s="17"/>
      <c r="N2535" s="17"/>
      <c r="O2535" s="17" t="s">
        <v>4630</v>
      </c>
      <c r="P2535" s="17" t="s">
        <v>4643</v>
      </c>
      <c r="Q2535" s="17"/>
      <c r="R2535" s="25" t="str">
        <f>HYPERLINK("https://ictv.global/taxonomy/taxondetails?taxnode_id=202300748","Coopervirus zemanar")</f>
        <v>Coopervirus zemanar</v>
      </c>
      <c r="S2535" s="18" t="s">
        <v>30</v>
      </c>
      <c r="T2535" s="18" t="s">
        <v>4666</v>
      </c>
      <c r="U2535" s="18"/>
      <c r="V2535" s="18"/>
      <c r="W2535" s="18" t="s">
        <v>4667</v>
      </c>
      <c r="X2535" s="18" t="s">
        <v>42</v>
      </c>
      <c r="Y2535" s="18" t="s">
        <v>36</v>
      </c>
      <c r="Z2535" s="18" t="s">
        <v>697</v>
      </c>
      <c r="AA2535" s="21" t="str">
        <f>HYPERLINK("https://www.ncbi.nlm.nih.gov/nuccore/JF704104","NCBI Nucleotide")</f>
        <v>NCBI Nucleotide</v>
      </c>
    </row>
    <row r="2536" spans="1:27" x14ac:dyDescent="0.35">
      <c r="A2536">
        <v>1003293</v>
      </c>
      <c r="B2536">
        <v>2512</v>
      </c>
      <c r="C2536">
        <v>1</v>
      </c>
      <c r="D2536" s="17" t="s">
        <v>155</v>
      </c>
      <c r="E2536" s="17"/>
      <c r="F2536" s="17" t="s">
        <v>156</v>
      </c>
      <c r="G2536" s="17"/>
      <c r="H2536" s="17" t="s">
        <v>692</v>
      </c>
      <c r="I2536" s="17"/>
      <c r="J2536" s="17" t="s">
        <v>693</v>
      </c>
      <c r="K2536" s="17"/>
      <c r="L2536" s="17"/>
      <c r="M2536" s="17"/>
      <c r="N2536" s="17"/>
      <c r="O2536" s="17" t="s">
        <v>4630</v>
      </c>
      <c r="P2536" s="17" t="s">
        <v>4668</v>
      </c>
      <c r="Q2536" s="17"/>
      <c r="R2536" s="25" t="str">
        <f>HYPERLINK("https://ictv.global/taxonomy/taxondetails?taxnode_id=202313189","Imvubuvirus imvubu")</f>
        <v>Imvubuvirus imvubu</v>
      </c>
      <c r="S2536" s="18" t="s">
        <v>30</v>
      </c>
      <c r="T2536" s="18" t="s">
        <v>4669</v>
      </c>
      <c r="U2536" s="18"/>
      <c r="V2536" s="18"/>
      <c r="W2536" s="18" t="s">
        <v>4670</v>
      </c>
      <c r="X2536" s="18" t="s">
        <v>42</v>
      </c>
      <c r="Y2536" s="18" t="s">
        <v>36</v>
      </c>
      <c r="Z2536" s="18" t="s">
        <v>697</v>
      </c>
      <c r="AA2536" s="21" t="str">
        <f>HYPERLINK("https://www.ncbi.nlm.nih.gov/nuccore/MN813693","NCBI Nucleotide")</f>
        <v>NCBI Nucleotide</v>
      </c>
    </row>
    <row r="2537" spans="1:27" x14ac:dyDescent="0.35">
      <c r="A2537">
        <v>1003294</v>
      </c>
      <c r="B2537">
        <v>2513</v>
      </c>
      <c r="C2537">
        <v>1</v>
      </c>
      <c r="D2537" s="17" t="s">
        <v>155</v>
      </c>
      <c r="E2537" s="17"/>
      <c r="F2537" s="17" t="s">
        <v>156</v>
      </c>
      <c r="G2537" s="17"/>
      <c r="H2537" s="17" t="s">
        <v>692</v>
      </c>
      <c r="I2537" s="17"/>
      <c r="J2537" s="17" t="s">
        <v>693</v>
      </c>
      <c r="K2537" s="17"/>
      <c r="L2537" s="17"/>
      <c r="M2537" s="17"/>
      <c r="N2537" s="17"/>
      <c r="O2537" s="17" t="s">
        <v>4630</v>
      </c>
      <c r="P2537" s="17" t="s">
        <v>4671</v>
      </c>
      <c r="Q2537" s="17"/>
      <c r="R2537" s="25" t="str">
        <f>HYPERLINK("https://ictv.global/taxonomy/taxondetails?taxnode_id=202313191","Julieunavirus julie1")</f>
        <v>Julieunavirus julie1</v>
      </c>
      <c r="S2537" s="18" t="s">
        <v>30</v>
      </c>
      <c r="T2537" s="18" t="s">
        <v>4672</v>
      </c>
      <c r="U2537" s="18"/>
      <c r="V2537" s="18"/>
      <c r="W2537" s="18" t="s">
        <v>4673</v>
      </c>
      <c r="X2537" s="18" t="s">
        <v>42</v>
      </c>
      <c r="Y2537" s="18" t="s">
        <v>36</v>
      </c>
      <c r="Z2537" s="18" t="s">
        <v>697</v>
      </c>
      <c r="AA2537" s="21" t="str">
        <f>HYPERLINK("https://www.ncbi.nlm.nih.gov/nuccore/KJ433976","NCBI Nucleotide")</f>
        <v>NCBI Nucleotide</v>
      </c>
    </row>
    <row r="2538" spans="1:27" x14ac:dyDescent="0.35">
      <c r="A2538">
        <v>1003295</v>
      </c>
      <c r="B2538">
        <v>2514</v>
      </c>
      <c r="C2538">
        <v>1</v>
      </c>
      <c r="D2538" s="17" t="s">
        <v>155</v>
      </c>
      <c r="E2538" s="17"/>
      <c r="F2538" s="17" t="s">
        <v>156</v>
      </c>
      <c r="G2538" s="17"/>
      <c r="H2538" s="17" t="s">
        <v>692</v>
      </c>
      <c r="I2538" s="17"/>
      <c r="J2538" s="17" t="s">
        <v>693</v>
      </c>
      <c r="K2538" s="17"/>
      <c r="L2538" s="17"/>
      <c r="M2538" s="17"/>
      <c r="N2538" s="17"/>
      <c r="O2538" s="17" t="s">
        <v>4630</v>
      </c>
      <c r="P2538" s="17" t="s">
        <v>4674</v>
      </c>
      <c r="Q2538" s="17"/>
      <c r="R2538" s="25" t="str">
        <f>HYPERLINK("https://ictv.global/taxonomy/taxondetails?taxnode_id=202313182","Lilmcdreamyvirus lilmcdreamy")</f>
        <v>Lilmcdreamyvirus lilmcdreamy</v>
      </c>
      <c r="S2538" s="18" t="s">
        <v>30</v>
      </c>
      <c r="T2538" s="18" t="s">
        <v>4675</v>
      </c>
      <c r="U2538" s="18"/>
      <c r="V2538" s="18"/>
      <c r="W2538" s="18" t="s">
        <v>4676</v>
      </c>
      <c r="X2538" s="18" t="s">
        <v>42</v>
      </c>
      <c r="Y2538" s="18" t="s">
        <v>36</v>
      </c>
      <c r="Z2538" s="18" t="s">
        <v>697</v>
      </c>
      <c r="AA2538" s="21" t="str">
        <f>HYPERLINK("https://www.ncbi.nlm.nih.gov/nuccore/MN284893","NCBI Nucleotide")</f>
        <v>NCBI Nucleotide</v>
      </c>
    </row>
    <row r="2539" spans="1:27" x14ac:dyDescent="0.35">
      <c r="A2539">
        <v>1003296</v>
      </c>
      <c r="B2539">
        <v>2515</v>
      </c>
      <c r="C2539">
        <v>1</v>
      </c>
      <c r="D2539" s="17" t="s">
        <v>155</v>
      </c>
      <c r="E2539" s="17"/>
      <c r="F2539" s="17" t="s">
        <v>156</v>
      </c>
      <c r="G2539" s="17"/>
      <c r="H2539" s="17" t="s">
        <v>692</v>
      </c>
      <c r="I2539" s="17"/>
      <c r="J2539" s="17" t="s">
        <v>693</v>
      </c>
      <c r="K2539" s="17"/>
      <c r="L2539" s="17"/>
      <c r="M2539" s="17"/>
      <c r="N2539" s="17"/>
      <c r="O2539" s="17" t="s">
        <v>4630</v>
      </c>
      <c r="P2539" s="17" t="s">
        <v>4677</v>
      </c>
      <c r="Q2539" s="17"/>
      <c r="R2539" s="25" t="str">
        <f>HYPERLINK("https://ictv.global/taxonomy/taxondetails?taxnode_id=202300750","Pegunavirus apizium")</f>
        <v>Pegunavirus apizium</v>
      </c>
      <c r="S2539" s="18" t="s">
        <v>30</v>
      </c>
      <c r="T2539" s="18" t="s">
        <v>4678</v>
      </c>
      <c r="U2539" s="18"/>
      <c r="V2539" s="18"/>
      <c r="W2539" s="18" t="s">
        <v>4679</v>
      </c>
      <c r="X2539" s="18" t="s">
        <v>42</v>
      </c>
      <c r="Y2539" s="18" t="s">
        <v>36</v>
      </c>
      <c r="Z2539" s="18" t="s">
        <v>697</v>
      </c>
      <c r="AA2539" s="21" t="str">
        <f>HYPERLINK("https://www.ncbi.nlm.nih.gov/nuccore/KR781349","NCBI Nucleotide")</f>
        <v>NCBI Nucleotide</v>
      </c>
    </row>
    <row r="2540" spans="1:27" x14ac:dyDescent="0.35">
      <c r="A2540">
        <v>1003297</v>
      </c>
      <c r="B2540">
        <v>2516</v>
      </c>
      <c r="C2540">
        <v>1</v>
      </c>
      <c r="D2540" s="17" t="s">
        <v>155</v>
      </c>
      <c r="E2540" s="17"/>
      <c r="F2540" s="17" t="s">
        <v>156</v>
      </c>
      <c r="G2540" s="17"/>
      <c r="H2540" s="17" t="s">
        <v>692</v>
      </c>
      <c r="I2540" s="17"/>
      <c r="J2540" s="17" t="s">
        <v>693</v>
      </c>
      <c r="K2540" s="17"/>
      <c r="L2540" s="17"/>
      <c r="M2540" s="17"/>
      <c r="N2540" s="17"/>
      <c r="O2540" s="17" t="s">
        <v>4630</v>
      </c>
      <c r="P2540" s="17" t="s">
        <v>4677</v>
      </c>
      <c r="Q2540" s="17"/>
      <c r="R2540" s="25" t="str">
        <f>HYPERLINK("https://ictv.global/taxonomy/taxondetails?taxnode_id=202313195","Pegunavirus kingtut")</f>
        <v>Pegunavirus kingtut</v>
      </c>
      <c r="S2540" s="18" t="s">
        <v>30</v>
      </c>
      <c r="T2540" s="18" t="s">
        <v>4680</v>
      </c>
      <c r="U2540" s="18"/>
      <c r="V2540" s="18"/>
      <c r="W2540" s="18" t="s">
        <v>4681</v>
      </c>
      <c r="X2540" s="18" t="s">
        <v>42</v>
      </c>
      <c r="Y2540" s="18" t="s">
        <v>36</v>
      </c>
      <c r="Z2540" s="18" t="s">
        <v>697</v>
      </c>
      <c r="AA2540" s="21" t="str">
        <f>HYPERLINK("https://www.ncbi.nlm.nih.gov/nuccore/MH450122","NCBI Nucleotide")</f>
        <v>NCBI Nucleotide</v>
      </c>
    </row>
    <row r="2541" spans="1:27" x14ac:dyDescent="0.35">
      <c r="A2541">
        <v>1003298</v>
      </c>
      <c r="B2541">
        <v>2517</v>
      </c>
      <c r="C2541">
        <v>1</v>
      </c>
      <c r="D2541" s="17" t="s">
        <v>155</v>
      </c>
      <c r="E2541" s="17"/>
      <c r="F2541" s="17" t="s">
        <v>156</v>
      </c>
      <c r="G2541" s="17"/>
      <c r="H2541" s="17" t="s">
        <v>692</v>
      </c>
      <c r="I2541" s="17"/>
      <c r="J2541" s="17" t="s">
        <v>693</v>
      </c>
      <c r="K2541" s="17"/>
      <c r="L2541" s="17"/>
      <c r="M2541" s="17"/>
      <c r="N2541" s="17"/>
      <c r="O2541" s="17" t="s">
        <v>4630</v>
      </c>
      <c r="P2541" s="17" t="s">
        <v>4677</v>
      </c>
      <c r="Q2541" s="17"/>
      <c r="R2541" s="25" t="str">
        <f>HYPERLINK("https://ictv.global/taxonomy/taxondetails?taxnode_id=202300751","Pegunavirus manad")</f>
        <v>Pegunavirus manad</v>
      </c>
      <c r="S2541" s="18" t="s">
        <v>30</v>
      </c>
      <c r="T2541" s="18" t="s">
        <v>4682</v>
      </c>
      <c r="U2541" s="18"/>
      <c r="V2541" s="18"/>
      <c r="W2541" s="18" t="s">
        <v>4683</v>
      </c>
      <c r="X2541" s="18" t="s">
        <v>42</v>
      </c>
      <c r="Y2541" s="18" t="s">
        <v>36</v>
      </c>
      <c r="Z2541" s="18" t="s">
        <v>697</v>
      </c>
      <c r="AA2541" s="21" t="str">
        <f>HYPERLINK("https://www.ncbi.nlm.nih.gov/nuccore/KJ595576","NCBI Nucleotide")</f>
        <v>NCBI Nucleotide</v>
      </c>
    </row>
    <row r="2542" spans="1:27" x14ac:dyDescent="0.35">
      <c r="A2542">
        <v>1003299</v>
      </c>
      <c r="B2542">
        <v>2518</v>
      </c>
      <c r="C2542">
        <v>1</v>
      </c>
      <c r="D2542" s="17" t="s">
        <v>155</v>
      </c>
      <c r="E2542" s="17"/>
      <c r="F2542" s="17" t="s">
        <v>156</v>
      </c>
      <c r="G2542" s="17"/>
      <c r="H2542" s="17" t="s">
        <v>692</v>
      </c>
      <c r="I2542" s="17"/>
      <c r="J2542" s="17" t="s">
        <v>693</v>
      </c>
      <c r="K2542" s="17"/>
      <c r="L2542" s="17"/>
      <c r="M2542" s="17"/>
      <c r="N2542" s="17"/>
      <c r="O2542" s="17" t="s">
        <v>4630</v>
      </c>
      <c r="P2542" s="17" t="s">
        <v>4677</v>
      </c>
      <c r="Q2542" s="17"/>
      <c r="R2542" s="25" t="str">
        <f>HYPERLINK("https://ictv.global/taxonomy/taxondetails?taxnode_id=202300752","Pegunavirus oline")</f>
        <v>Pegunavirus oline</v>
      </c>
      <c r="S2542" s="18" t="s">
        <v>30</v>
      </c>
      <c r="T2542" s="18" t="s">
        <v>4684</v>
      </c>
      <c r="U2542" s="18"/>
      <c r="V2542" s="18"/>
      <c r="W2542" s="18" t="s">
        <v>4685</v>
      </c>
      <c r="X2542" s="18" t="s">
        <v>42</v>
      </c>
      <c r="Y2542" s="18" t="s">
        <v>36</v>
      </c>
      <c r="Z2542" s="18" t="s">
        <v>697</v>
      </c>
      <c r="AA2542" s="21" t="str">
        <f>HYPERLINK("https://www.ncbi.nlm.nih.gov/nuccore/JN192463","NCBI Nucleotide")</f>
        <v>NCBI Nucleotide</v>
      </c>
    </row>
    <row r="2543" spans="1:27" x14ac:dyDescent="0.35">
      <c r="A2543">
        <v>1003300</v>
      </c>
      <c r="B2543">
        <v>2519</v>
      </c>
      <c r="C2543">
        <v>1</v>
      </c>
      <c r="D2543" s="17" t="s">
        <v>155</v>
      </c>
      <c r="E2543" s="17"/>
      <c r="F2543" s="17" t="s">
        <v>156</v>
      </c>
      <c r="G2543" s="17"/>
      <c r="H2543" s="17" t="s">
        <v>692</v>
      </c>
      <c r="I2543" s="17"/>
      <c r="J2543" s="17" t="s">
        <v>693</v>
      </c>
      <c r="K2543" s="17"/>
      <c r="L2543" s="17"/>
      <c r="M2543" s="17"/>
      <c r="N2543" s="17"/>
      <c r="O2543" s="17" t="s">
        <v>4630</v>
      </c>
      <c r="P2543" s="17" t="s">
        <v>4677</v>
      </c>
      <c r="Q2543" s="17"/>
      <c r="R2543" s="25" t="str">
        <f>HYPERLINK("https://ictv.global/taxonomy/taxondetails?taxnode_id=202300753","Pegunavirus osmaximus")</f>
        <v>Pegunavirus osmaximus</v>
      </c>
      <c r="S2543" s="18" t="s">
        <v>30</v>
      </c>
      <c r="T2543" s="18" t="s">
        <v>4686</v>
      </c>
      <c r="U2543" s="18"/>
      <c r="V2543" s="18"/>
      <c r="W2543" s="18" t="s">
        <v>4687</v>
      </c>
      <c r="X2543" s="18" t="s">
        <v>42</v>
      </c>
      <c r="Y2543" s="18" t="s">
        <v>36</v>
      </c>
      <c r="Z2543" s="18" t="s">
        <v>697</v>
      </c>
      <c r="AA2543" s="21" t="str">
        <f>HYPERLINK("https://www.ncbi.nlm.nih.gov/nuccore/JN006064","NCBI Nucleotide")</f>
        <v>NCBI Nucleotide</v>
      </c>
    </row>
    <row r="2544" spans="1:27" x14ac:dyDescent="0.35">
      <c r="A2544">
        <v>1003301</v>
      </c>
      <c r="B2544">
        <v>2520</v>
      </c>
      <c r="C2544">
        <v>1</v>
      </c>
      <c r="D2544" s="17" t="s">
        <v>155</v>
      </c>
      <c r="E2544" s="17"/>
      <c r="F2544" s="17" t="s">
        <v>156</v>
      </c>
      <c r="G2544" s="17"/>
      <c r="H2544" s="17" t="s">
        <v>692</v>
      </c>
      <c r="I2544" s="17"/>
      <c r="J2544" s="17" t="s">
        <v>693</v>
      </c>
      <c r="K2544" s="17"/>
      <c r="L2544" s="17"/>
      <c r="M2544" s="17"/>
      <c r="N2544" s="17"/>
      <c r="O2544" s="17" t="s">
        <v>4630</v>
      </c>
      <c r="P2544" s="17" t="s">
        <v>4677</v>
      </c>
      <c r="Q2544" s="17"/>
      <c r="R2544" s="25" t="str">
        <f>HYPERLINK("https://ictv.global/taxonomy/taxondetails?taxnode_id=202300754","Pegunavirus Pg1")</f>
        <v>Pegunavirus Pg1</v>
      </c>
      <c r="S2544" s="18" t="s">
        <v>30</v>
      </c>
      <c r="T2544" s="18" t="s">
        <v>4686</v>
      </c>
      <c r="U2544" s="18"/>
      <c r="V2544" s="18"/>
      <c r="W2544" s="18" t="s">
        <v>4688</v>
      </c>
      <c r="X2544" s="18" t="s">
        <v>42</v>
      </c>
      <c r="Y2544" s="18" t="s">
        <v>36</v>
      </c>
      <c r="Z2544" s="18" t="s">
        <v>697</v>
      </c>
      <c r="AA2544" s="21" t="str">
        <f>HYPERLINK("https://www.ncbi.nlm.nih.gov/nuccore/AF547430","NCBI Nucleotide")</f>
        <v>NCBI Nucleotide</v>
      </c>
    </row>
    <row r="2545" spans="1:27" x14ac:dyDescent="0.35">
      <c r="A2545">
        <v>1003302</v>
      </c>
      <c r="B2545">
        <v>2521</v>
      </c>
      <c r="C2545">
        <v>1</v>
      </c>
      <c r="D2545" s="17" t="s">
        <v>155</v>
      </c>
      <c r="E2545" s="17"/>
      <c r="F2545" s="17" t="s">
        <v>156</v>
      </c>
      <c r="G2545" s="17"/>
      <c r="H2545" s="17" t="s">
        <v>692</v>
      </c>
      <c r="I2545" s="17"/>
      <c r="J2545" s="17" t="s">
        <v>693</v>
      </c>
      <c r="K2545" s="17"/>
      <c r="L2545" s="17"/>
      <c r="M2545" s="17"/>
      <c r="N2545" s="17"/>
      <c r="O2545" s="17" t="s">
        <v>4630</v>
      </c>
      <c r="P2545" s="17" t="s">
        <v>4677</v>
      </c>
      <c r="Q2545" s="17"/>
      <c r="R2545" s="25" t="str">
        <f>HYPERLINK("https://ictv.global/taxonomy/taxondetails?taxnode_id=202300755","Pegunavirus soto")</f>
        <v>Pegunavirus soto</v>
      </c>
      <c r="S2545" s="18" t="s">
        <v>30</v>
      </c>
      <c r="T2545" s="18" t="s">
        <v>4689</v>
      </c>
      <c r="U2545" s="18"/>
      <c r="V2545" s="18"/>
      <c r="W2545" s="18" t="s">
        <v>4690</v>
      </c>
      <c r="X2545" s="18" t="s">
        <v>42</v>
      </c>
      <c r="Y2545" s="18" t="s">
        <v>36</v>
      </c>
      <c r="Z2545" s="18" t="s">
        <v>697</v>
      </c>
      <c r="AA2545" s="21" t="str">
        <f>HYPERLINK("https://www.ncbi.nlm.nih.gov/nuccore/KJ174157","NCBI Nucleotide")</f>
        <v>NCBI Nucleotide</v>
      </c>
    </row>
    <row r="2546" spans="1:27" x14ac:dyDescent="0.35">
      <c r="A2546">
        <v>1003303</v>
      </c>
      <c r="B2546">
        <v>2522</v>
      </c>
      <c r="C2546">
        <v>1</v>
      </c>
      <c r="D2546" s="17" t="s">
        <v>155</v>
      </c>
      <c r="E2546" s="17"/>
      <c r="F2546" s="17" t="s">
        <v>156</v>
      </c>
      <c r="G2546" s="17"/>
      <c r="H2546" s="17" t="s">
        <v>692</v>
      </c>
      <c r="I2546" s="17"/>
      <c r="J2546" s="17" t="s">
        <v>693</v>
      </c>
      <c r="K2546" s="17"/>
      <c r="L2546" s="17"/>
      <c r="M2546" s="17"/>
      <c r="N2546" s="17"/>
      <c r="O2546" s="17" t="s">
        <v>4630</v>
      </c>
      <c r="P2546" s="17" t="s">
        <v>4677</v>
      </c>
      <c r="Q2546" s="17"/>
      <c r="R2546" s="25" t="str">
        <f>HYPERLINK("https://ictv.global/taxonomy/taxondetails?taxnode_id=202300756","Pegunavirus suffolk")</f>
        <v>Pegunavirus suffolk</v>
      </c>
      <c r="S2546" s="18" t="s">
        <v>30</v>
      </c>
      <c r="T2546" s="18" t="s">
        <v>4691</v>
      </c>
      <c r="U2546" s="18"/>
      <c r="V2546" s="18"/>
      <c r="W2546" s="18" t="s">
        <v>4692</v>
      </c>
      <c r="X2546" s="18" t="s">
        <v>42</v>
      </c>
      <c r="Y2546" s="18" t="s">
        <v>36</v>
      </c>
      <c r="Z2546" s="18" t="s">
        <v>697</v>
      </c>
      <c r="AA2546" s="21" t="str">
        <f>HYPERLINK("https://www.ncbi.nlm.nih.gov/nuccore/KF713485","NCBI Nucleotide")</f>
        <v>NCBI Nucleotide</v>
      </c>
    </row>
    <row r="2547" spans="1:27" x14ac:dyDescent="0.35">
      <c r="A2547">
        <v>1003304</v>
      </c>
      <c r="B2547">
        <v>2523</v>
      </c>
      <c r="C2547">
        <v>1</v>
      </c>
      <c r="D2547" s="17" t="s">
        <v>155</v>
      </c>
      <c r="E2547" s="17"/>
      <c r="F2547" s="17" t="s">
        <v>156</v>
      </c>
      <c r="G2547" s="17"/>
      <c r="H2547" s="17" t="s">
        <v>692</v>
      </c>
      <c r="I2547" s="17"/>
      <c r="J2547" s="17" t="s">
        <v>693</v>
      </c>
      <c r="K2547" s="17"/>
      <c r="L2547" s="17"/>
      <c r="M2547" s="17"/>
      <c r="N2547" s="17"/>
      <c r="O2547" s="17" t="s">
        <v>4630</v>
      </c>
      <c r="P2547" s="17" t="s">
        <v>4693</v>
      </c>
      <c r="Q2547" s="17"/>
      <c r="R2547" s="25" t="str">
        <f>HYPERLINK("https://ictv.global/taxonomy/taxondetails?taxnode_id=202300758","Pipefishvirus athena")</f>
        <v>Pipefishvirus athena</v>
      </c>
      <c r="S2547" s="18" t="s">
        <v>30</v>
      </c>
      <c r="T2547" s="18" t="s">
        <v>4694</v>
      </c>
      <c r="U2547" s="18"/>
      <c r="V2547" s="18"/>
      <c r="W2547" s="18" t="s">
        <v>4695</v>
      </c>
      <c r="X2547" s="18" t="s">
        <v>42</v>
      </c>
      <c r="Y2547" s="18" t="s">
        <v>36</v>
      </c>
      <c r="Z2547" s="18" t="s">
        <v>697</v>
      </c>
      <c r="AA2547" s="21" t="str">
        <f>HYPERLINK("https://www.ncbi.nlm.nih.gov/nuccore/JN699003","NCBI Nucleotide")</f>
        <v>NCBI Nucleotide</v>
      </c>
    </row>
    <row r="2548" spans="1:27" x14ac:dyDescent="0.35">
      <c r="A2548">
        <v>1003305</v>
      </c>
      <c r="B2548">
        <v>2524</v>
      </c>
      <c r="C2548">
        <v>1</v>
      </c>
      <c r="D2548" s="17" t="s">
        <v>155</v>
      </c>
      <c r="E2548" s="17"/>
      <c r="F2548" s="17" t="s">
        <v>156</v>
      </c>
      <c r="G2548" s="17"/>
      <c r="H2548" s="17" t="s">
        <v>692</v>
      </c>
      <c r="I2548" s="17"/>
      <c r="J2548" s="17" t="s">
        <v>693</v>
      </c>
      <c r="K2548" s="17"/>
      <c r="L2548" s="17"/>
      <c r="M2548" s="17"/>
      <c r="N2548" s="17"/>
      <c r="O2548" s="17" t="s">
        <v>4630</v>
      </c>
      <c r="P2548" s="17" t="s">
        <v>4693</v>
      </c>
      <c r="Q2548" s="17"/>
      <c r="R2548" s="25" t="str">
        <f>HYPERLINK("https://ictv.global/taxonomy/taxondetails?taxnode_id=202300759","Pipefishvirus bernardo")</f>
        <v>Pipefishvirus bernardo</v>
      </c>
      <c r="S2548" s="18" t="s">
        <v>30</v>
      </c>
      <c r="T2548" s="18" t="s">
        <v>4696</v>
      </c>
      <c r="U2548" s="18"/>
      <c r="V2548" s="18"/>
      <c r="W2548" s="18" t="s">
        <v>4697</v>
      </c>
      <c r="X2548" s="18" t="s">
        <v>42</v>
      </c>
      <c r="Y2548" s="18" t="s">
        <v>36</v>
      </c>
      <c r="Z2548" s="18" t="s">
        <v>697</v>
      </c>
      <c r="AA2548" s="21" t="str">
        <f>HYPERLINK("https://www.ncbi.nlm.nih.gov/nuccore/KF493879","NCBI Nucleotide")</f>
        <v>NCBI Nucleotide</v>
      </c>
    </row>
    <row r="2549" spans="1:27" x14ac:dyDescent="0.35">
      <c r="A2549">
        <v>1003306</v>
      </c>
      <c r="B2549">
        <v>2525</v>
      </c>
      <c r="C2549">
        <v>1</v>
      </c>
      <c r="D2549" s="17" t="s">
        <v>155</v>
      </c>
      <c r="E2549" s="17"/>
      <c r="F2549" s="17" t="s">
        <v>156</v>
      </c>
      <c r="G2549" s="17"/>
      <c r="H2549" s="17" t="s">
        <v>692</v>
      </c>
      <c r="I2549" s="17"/>
      <c r="J2549" s="17" t="s">
        <v>693</v>
      </c>
      <c r="K2549" s="17"/>
      <c r="L2549" s="17"/>
      <c r="M2549" s="17"/>
      <c r="N2549" s="17"/>
      <c r="O2549" s="17" t="s">
        <v>4630</v>
      </c>
      <c r="P2549" s="17" t="s">
        <v>4693</v>
      </c>
      <c r="Q2549" s="17"/>
      <c r="R2549" s="25" t="str">
        <f>HYPERLINK("https://ictv.global/taxonomy/taxondetails?taxnode_id=202300760","Pipefishvirus gadjet")</f>
        <v>Pipefishvirus gadjet</v>
      </c>
      <c r="S2549" s="18" t="s">
        <v>30</v>
      </c>
      <c r="T2549" s="18" t="s">
        <v>4698</v>
      </c>
      <c r="U2549" s="18"/>
      <c r="V2549" s="18"/>
      <c r="W2549" s="18" t="s">
        <v>4699</v>
      </c>
      <c r="X2549" s="18" t="s">
        <v>42</v>
      </c>
      <c r="Y2549" s="18" t="s">
        <v>36</v>
      </c>
      <c r="Z2549" s="18" t="s">
        <v>697</v>
      </c>
      <c r="AA2549" s="21" t="str">
        <f>HYPERLINK("https://www.ncbi.nlm.nih.gov/nuccore/JN698992","NCBI Nucleotide")</f>
        <v>NCBI Nucleotide</v>
      </c>
    </row>
    <row r="2550" spans="1:27" x14ac:dyDescent="0.35">
      <c r="A2550">
        <v>1003307</v>
      </c>
      <c r="B2550">
        <v>2526</v>
      </c>
      <c r="C2550">
        <v>1</v>
      </c>
      <c r="D2550" s="17" t="s">
        <v>155</v>
      </c>
      <c r="E2550" s="17"/>
      <c r="F2550" s="17" t="s">
        <v>156</v>
      </c>
      <c r="G2550" s="17"/>
      <c r="H2550" s="17" t="s">
        <v>692</v>
      </c>
      <c r="I2550" s="17"/>
      <c r="J2550" s="17" t="s">
        <v>693</v>
      </c>
      <c r="K2550" s="17"/>
      <c r="L2550" s="17"/>
      <c r="M2550" s="17"/>
      <c r="N2550" s="17"/>
      <c r="O2550" s="17" t="s">
        <v>4630</v>
      </c>
      <c r="P2550" s="17" t="s">
        <v>4693</v>
      </c>
      <c r="Q2550" s="17"/>
      <c r="R2550" s="25" t="str">
        <f>HYPERLINK("https://ictv.global/taxonomy/taxondetails?taxnode_id=202313193","Pipefishvirus obutu")</f>
        <v>Pipefishvirus obutu</v>
      </c>
      <c r="S2550" s="18" t="s">
        <v>30</v>
      </c>
      <c r="T2550" s="18" t="s">
        <v>4700</v>
      </c>
      <c r="U2550" s="18"/>
      <c r="V2550" s="18"/>
      <c r="W2550" s="18" t="s">
        <v>4701</v>
      </c>
      <c r="X2550" s="18" t="s">
        <v>42</v>
      </c>
      <c r="Y2550" s="18" t="s">
        <v>36</v>
      </c>
      <c r="Z2550" s="18" t="s">
        <v>697</v>
      </c>
      <c r="AA2550" s="21" t="str">
        <f>HYPERLINK("https://www.ncbi.nlm.nih.gov/nuccore/MN096359","NCBI Nucleotide")</f>
        <v>NCBI Nucleotide</v>
      </c>
    </row>
    <row r="2551" spans="1:27" x14ac:dyDescent="0.35">
      <c r="A2551">
        <v>1003308</v>
      </c>
      <c r="B2551">
        <v>2527</v>
      </c>
      <c r="C2551">
        <v>1</v>
      </c>
      <c r="D2551" s="17" t="s">
        <v>155</v>
      </c>
      <c r="E2551" s="17"/>
      <c r="F2551" s="17" t="s">
        <v>156</v>
      </c>
      <c r="G2551" s="17"/>
      <c r="H2551" s="17" t="s">
        <v>692</v>
      </c>
      <c r="I2551" s="17"/>
      <c r="J2551" s="17" t="s">
        <v>693</v>
      </c>
      <c r="K2551" s="17"/>
      <c r="L2551" s="17"/>
      <c r="M2551" s="17"/>
      <c r="N2551" s="17"/>
      <c r="O2551" s="17" t="s">
        <v>4630</v>
      </c>
      <c r="P2551" s="17" t="s">
        <v>4693</v>
      </c>
      <c r="Q2551" s="17"/>
      <c r="R2551" s="25" t="str">
        <f>HYPERLINK("https://ictv.global/taxonomy/taxondetails?taxnode_id=202300761","Pipefishvirus pipefish")</f>
        <v>Pipefishvirus pipefish</v>
      </c>
      <c r="S2551" s="18" t="s">
        <v>30</v>
      </c>
      <c r="T2551" s="18" t="s">
        <v>4702</v>
      </c>
      <c r="U2551" s="18"/>
      <c r="V2551" s="18"/>
      <c r="W2551" s="18" t="s">
        <v>4703</v>
      </c>
      <c r="X2551" s="18" t="s">
        <v>42</v>
      </c>
      <c r="Y2551" s="18" t="s">
        <v>36</v>
      </c>
      <c r="Z2551" s="18" t="s">
        <v>697</v>
      </c>
      <c r="AA2551" s="21" t="str">
        <f>HYPERLINK("https://www.ncbi.nlm.nih.gov/nuccore/DQ398049","NCBI Nucleotide")</f>
        <v>NCBI Nucleotide</v>
      </c>
    </row>
    <row r="2552" spans="1:27" x14ac:dyDescent="0.35">
      <c r="A2552">
        <v>1003309</v>
      </c>
      <c r="B2552">
        <v>2528</v>
      </c>
      <c r="C2552">
        <v>1</v>
      </c>
      <c r="D2552" s="17" t="s">
        <v>155</v>
      </c>
      <c r="E2552" s="17"/>
      <c r="F2552" s="17" t="s">
        <v>156</v>
      </c>
      <c r="G2552" s="17"/>
      <c r="H2552" s="17" t="s">
        <v>692</v>
      </c>
      <c r="I2552" s="17"/>
      <c r="J2552" s="17" t="s">
        <v>693</v>
      </c>
      <c r="K2552" s="17"/>
      <c r="L2552" s="17"/>
      <c r="M2552" s="17"/>
      <c r="N2552" s="17"/>
      <c r="O2552" s="17" t="s">
        <v>4630</v>
      </c>
      <c r="P2552" s="17" t="s">
        <v>4704</v>
      </c>
      <c r="Q2552" s="17"/>
      <c r="R2552" s="25" t="str">
        <f>HYPERLINK("https://ictv.global/taxonomy/taxondetails?taxnode_id=202313187","Quesadillavirus CRB2")</f>
        <v>Quesadillavirus CRB2</v>
      </c>
      <c r="S2552" s="18" t="s">
        <v>30</v>
      </c>
      <c r="T2552" s="18" t="s">
        <v>4705</v>
      </c>
      <c r="U2552" s="18"/>
      <c r="V2552" s="18"/>
      <c r="W2552" s="18" t="s">
        <v>4706</v>
      </c>
      <c r="X2552" s="18" t="s">
        <v>42</v>
      </c>
      <c r="Y2552" s="18" t="s">
        <v>36</v>
      </c>
      <c r="Z2552" s="18" t="s">
        <v>697</v>
      </c>
      <c r="AA2552" s="21" t="str">
        <f>HYPERLINK("https://www.ncbi.nlm.nih.gov/nuccore/MK059749","NCBI Nucleotide")</f>
        <v>NCBI Nucleotide</v>
      </c>
    </row>
    <row r="2553" spans="1:27" x14ac:dyDescent="0.35">
      <c r="A2553">
        <v>1003310</v>
      </c>
      <c r="B2553">
        <v>2529</v>
      </c>
      <c r="C2553">
        <v>1</v>
      </c>
      <c r="D2553" s="17" t="s">
        <v>155</v>
      </c>
      <c r="E2553" s="17"/>
      <c r="F2553" s="17" t="s">
        <v>156</v>
      </c>
      <c r="G2553" s="17"/>
      <c r="H2553" s="17" t="s">
        <v>692</v>
      </c>
      <c r="I2553" s="17"/>
      <c r="J2553" s="17" t="s">
        <v>693</v>
      </c>
      <c r="K2553" s="17"/>
      <c r="L2553" s="17"/>
      <c r="M2553" s="17"/>
      <c r="N2553" s="17"/>
      <c r="O2553" s="17" t="s">
        <v>4630</v>
      </c>
      <c r="P2553" s="17" t="s">
        <v>4704</v>
      </c>
      <c r="Q2553" s="17"/>
      <c r="R2553" s="25" t="str">
        <f>HYPERLINK("https://ictv.global/taxonomy/taxondetails?taxnode_id=202313186","Quesadillavirus quesadilla")</f>
        <v>Quesadillavirus quesadilla</v>
      </c>
      <c r="S2553" s="18" t="s">
        <v>30</v>
      </c>
      <c r="T2553" s="18" t="s">
        <v>4707</v>
      </c>
      <c r="U2553" s="18"/>
      <c r="V2553" s="18"/>
      <c r="W2553" s="18" t="s">
        <v>4708</v>
      </c>
      <c r="X2553" s="18" t="s">
        <v>42</v>
      </c>
      <c r="Y2553" s="18" t="s">
        <v>36</v>
      </c>
      <c r="Z2553" s="18" t="s">
        <v>697</v>
      </c>
      <c r="AA2553" s="21" t="str">
        <f>HYPERLINK("https://www.ncbi.nlm.nih.gov/nuccore/MN617843","NCBI Nucleotide")</f>
        <v>NCBI Nucleotide</v>
      </c>
    </row>
    <row r="2554" spans="1:27" x14ac:dyDescent="0.35">
      <c r="A2554">
        <v>1003311</v>
      </c>
      <c r="B2554">
        <v>2530</v>
      </c>
      <c r="C2554">
        <v>1</v>
      </c>
      <c r="D2554" s="17" t="s">
        <v>155</v>
      </c>
      <c r="E2554" s="17"/>
      <c r="F2554" s="17" t="s">
        <v>156</v>
      </c>
      <c r="G2554" s="17"/>
      <c r="H2554" s="17" t="s">
        <v>692</v>
      </c>
      <c r="I2554" s="17"/>
      <c r="J2554" s="17" t="s">
        <v>693</v>
      </c>
      <c r="K2554" s="17"/>
      <c r="L2554" s="17"/>
      <c r="M2554" s="17"/>
      <c r="N2554" s="17"/>
      <c r="O2554" s="17" t="s">
        <v>4630</v>
      </c>
      <c r="P2554" s="17" t="s">
        <v>4709</v>
      </c>
      <c r="Q2554" s="17"/>
      <c r="R2554" s="25" t="str">
        <f>HYPERLINK("https://ictv.global/taxonomy/taxondetails?taxnode_id=202300763","Rosebushvirus godines")</f>
        <v>Rosebushvirus godines</v>
      </c>
      <c r="S2554" s="18" t="s">
        <v>30</v>
      </c>
      <c r="T2554" s="18" t="s">
        <v>4710</v>
      </c>
      <c r="U2554" s="18"/>
      <c r="V2554" s="18"/>
      <c r="W2554" s="18" t="s">
        <v>4711</v>
      </c>
      <c r="X2554" s="18" t="s">
        <v>42</v>
      </c>
      <c r="Y2554" s="18" t="s">
        <v>36</v>
      </c>
      <c r="Z2554" s="18" t="s">
        <v>697</v>
      </c>
      <c r="AA2554" s="21" t="str">
        <f>HYPERLINK("https://www.ncbi.nlm.nih.gov/nuccore/KR997932","NCBI Nucleotide")</f>
        <v>NCBI Nucleotide</v>
      </c>
    </row>
    <row r="2555" spans="1:27" x14ac:dyDescent="0.35">
      <c r="A2555">
        <v>1003312</v>
      </c>
      <c r="B2555">
        <v>2531</v>
      </c>
      <c r="C2555">
        <v>1</v>
      </c>
      <c r="D2555" s="17" t="s">
        <v>155</v>
      </c>
      <c r="E2555" s="17"/>
      <c r="F2555" s="17" t="s">
        <v>156</v>
      </c>
      <c r="G2555" s="17"/>
      <c r="H2555" s="17" t="s">
        <v>692</v>
      </c>
      <c r="I2555" s="17"/>
      <c r="J2555" s="17" t="s">
        <v>693</v>
      </c>
      <c r="K2555" s="17"/>
      <c r="L2555" s="17"/>
      <c r="M2555" s="17"/>
      <c r="N2555" s="17"/>
      <c r="O2555" s="17" t="s">
        <v>4630</v>
      </c>
      <c r="P2555" s="17" t="s">
        <v>4709</v>
      </c>
      <c r="Q2555" s="17"/>
      <c r="R2555" s="25" t="str">
        <f>HYPERLINK("https://ictv.global/taxonomy/taxondetails?taxnode_id=202313194","Rosebushvirus laurie")</f>
        <v>Rosebushvirus laurie</v>
      </c>
      <c r="S2555" s="18" t="s">
        <v>30</v>
      </c>
      <c r="T2555" s="18" t="s">
        <v>4712</v>
      </c>
      <c r="U2555" s="18"/>
      <c r="V2555" s="18"/>
      <c r="W2555" s="18" t="s">
        <v>4713</v>
      </c>
      <c r="X2555" s="18" t="s">
        <v>42</v>
      </c>
      <c r="Y2555" s="18" t="s">
        <v>36</v>
      </c>
      <c r="Z2555" s="18" t="s">
        <v>697</v>
      </c>
      <c r="AA2555" s="21" t="str">
        <f>HYPERLINK("https://www.ncbi.nlm.nih.gov/nuccore/KX443696","NCBI Nucleotide")</f>
        <v>NCBI Nucleotide</v>
      </c>
    </row>
    <row r="2556" spans="1:27" x14ac:dyDescent="0.35">
      <c r="A2556">
        <v>1003313</v>
      </c>
      <c r="B2556">
        <v>2532</v>
      </c>
      <c r="C2556">
        <v>1</v>
      </c>
      <c r="D2556" s="17" t="s">
        <v>155</v>
      </c>
      <c r="E2556" s="17"/>
      <c r="F2556" s="17" t="s">
        <v>156</v>
      </c>
      <c r="G2556" s="17"/>
      <c r="H2556" s="17" t="s">
        <v>692</v>
      </c>
      <c r="I2556" s="17"/>
      <c r="J2556" s="17" t="s">
        <v>693</v>
      </c>
      <c r="K2556" s="17"/>
      <c r="L2556" s="17"/>
      <c r="M2556" s="17"/>
      <c r="N2556" s="17"/>
      <c r="O2556" s="17" t="s">
        <v>4630</v>
      </c>
      <c r="P2556" s="17" t="s">
        <v>4709</v>
      </c>
      <c r="Q2556" s="17"/>
      <c r="R2556" s="25" t="str">
        <f>HYPERLINK("https://ictv.global/taxonomy/taxondetails?taxnode_id=202300764","Rosebushvirus rosebush")</f>
        <v>Rosebushvirus rosebush</v>
      </c>
      <c r="S2556" s="18" t="s">
        <v>30</v>
      </c>
      <c r="T2556" s="18" t="s">
        <v>4714</v>
      </c>
      <c r="U2556" s="18"/>
      <c r="V2556" s="18"/>
      <c r="W2556" s="18" t="s">
        <v>4715</v>
      </c>
      <c r="X2556" s="18" t="s">
        <v>42</v>
      </c>
      <c r="Y2556" s="18" t="s">
        <v>36</v>
      </c>
      <c r="Z2556" s="18" t="s">
        <v>697</v>
      </c>
      <c r="AA2556" s="21" t="str">
        <f>HYPERLINK("https://www.ncbi.nlm.nih.gov/nuccore/AY129334","NCBI Nucleotide")</f>
        <v>NCBI Nucleotide</v>
      </c>
    </row>
    <row r="2557" spans="1:27" x14ac:dyDescent="0.35">
      <c r="A2557">
        <v>1003314</v>
      </c>
      <c r="B2557">
        <v>2533</v>
      </c>
      <c r="C2557">
        <v>1</v>
      </c>
      <c r="D2557" s="17" t="s">
        <v>155</v>
      </c>
      <c r="E2557" s="17"/>
      <c r="F2557" s="17" t="s">
        <v>156</v>
      </c>
      <c r="G2557" s="17"/>
      <c r="H2557" s="17" t="s">
        <v>692</v>
      </c>
      <c r="I2557" s="17"/>
      <c r="J2557" s="17" t="s">
        <v>693</v>
      </c>
      <c r="K2557" s="17"/>
      <c r="L2557" s="17"/>
      <c r="M2557" s="17"/>
      <c r="N2557" s="17"/>
      <c r="O2557" s="17" t="s">
        <v>4630</v>
      </c>
      <c r="P2557" s="17" t="s">
        <v>4709</v>
      </c>
      <c r="Q2557" s="17"/>
      <c r="R2557" s="25" t="str">
        <f>HYPERLINK("https://ictv.global/taxonomy/taxondetails?taxnode_id=202301060","Rosebushvirus TA17a")</f>
        <v>Rosebushvirus TA17a</v>
      </c>
      <c r="S2557" s="18" t="s">
        <v>30</v>
      </c>
      <c r="T2557" s="18" t="s">
        <v>4716</v>
      </c>
      <c r="U2557" s="18"/>
      <c r="V2557" s="18"/>
      <c r="W2557" s="18" t="s">
        <v>4717</v>
      </c>
      <c r="X2557" s="18" t="s">
        <v>42</v>
      </c>
      <c r="Y2557" s="18" t="s">
        <v>36</v>
      </c>
      <c r="Z2557" s="18" t="s">
        <v>697</v>
      </c>
      <c r="AA2557" s="21" t="str">
        <f>HYPERLINK("https://www.ncbi.nlm.nih.gov/nuccore/KF024722","NCBI Nucleotide")</f>
        <v>NCBI Nucleotide</v>
      </c>
    </row>
    <row r="2558" spans="1:27" x14ac:dyDescent="0.35">
      <c r="A2558">
        <v>1003315</v>
      </c>
      <c r="B2558">
        <v>2534</v>
      </c>
      <c r="C2558">
        <v>1</v>
      </c>
      <c r="D2558" s="17" t="s">
        <v>155</v>
      </c>
      <c r="E2558" s="17"/>
      <c r="F2558" s="17" t="s">
        <v>156</v>
      </c>
      <c r="G2558" s="17"/>
      <c r="H2558" s="17" t="s">
        <v>692</v>
      </c>
      <c r="I2558" s="17"/>
      <c r="J2558" s="17" t="s">
        <v>693</v>
      </c>
      <c r="K2558" s="17"/>
      <c r="L2558" s="17"/>
      <c r="M2558" s="17"/>
      <c r="N2558" s="17"/>
      <c r="O2558" s="17" t="s">
        <v>4630</v>
      </c>
      <c r="P2558" s="17" t="s">
        <v>4718</v>
      </c>
      <c r="Q2558" s="17"/>
      <c r="R2558" s="25" t="str">
        <f>HYPERLINK("https://ictv.global/taxonomy/taxondetails?taxnode_id=202313184","Saguarovirus saguaro")</f>
        <v>Saguarovirus saguaro</v>
      </c>
      <c r="S2558" s="18" t="s">
        <v>30</v>
      </c>
      <c r="T2558" s="18" t="s">
        <v>4719</v>
      </c>
      <c r="U2558" s="18"/>
      <c r="V2558" s="18"/>
      <c r="W2558" s="18" t="s">
        <v>4720</v>
      </c>
      <c r="X2558" s="18" t="s">
        <v>42</v>
      </c>
      <c r="Y2558" s="18" t="s">
        <v>36</v>
      </c>
      <c r="Z2558" s="18" t="s">
        <v>697</v>
      </c>
      <c r="AA2558" s="21" t="str">
        <f>HYPERLINK("https://www.ncbi.nlm.nih.gov/nuccore/MH744423","NCBI Nucleotide")</f>
        <v>NCBI Nucleotide</v>
      </c>
    </row>
    <row r="2559" spans="1:27" x14ac:dyDescent="0.35">
      <c r="A2559">
        <v>1003316</v>
      </c>
      <c r="B2559">
        <v>2535</v>
      </c>
      <c r="C2559">
        <v>1</v>
      </c>
      <c r="D2559" s="17" t="s">
        <v>155</v>
      </c>
      <c r="E2559" s="17"/>
      <c r="F2559" s="17" t="s">
        <v>156</v>
      </c>
      <c r="G2559" s="17"/>
      <c r="H2559" s="17" t="s">
        <v>692</v>
      </c>
      <c r="I2559" s="17"/>
      <c r="J2559" s="17" t="s">
        <v>693</v>
      </c>
      <c r="K2559" s="17"/>
      <c r="L2559" s="17"/>
      <c r="M2559" s="17"/>
      <c r="N2559" s="17"/>
      <c r="O2559" s="17" t="s">
        <v>4630</v>
      </c>
      <c r="P2559" s="17" t="s">
        <v>4721</v>
      </c>
      <c r="Q2559" s="17"/>
      <c r="R2559" s="25" t="str">
        <f>HYPERLINK("https://ictv.global/taxonomy/taxondetails?taxnode_id=202313178","Thonkovirus thonko")</f>
        <v>Thonkovirus thonko</v>
      </c>
      <c r="S2559" s="18" t="s">
        <v>30</v>
      </c>
      <c r="T2559" s="18" t="s">
        <v>4722</v>
      </c>
      <c r="U2559" s="18"/>
      <c r="V2559" s="18"/>
      <c r="W2559" s="18" t="s">
        <v>4723</v>
      </c>
      <c r="X2559" s="18" t="s">
        <v>42</v>
      </c>
      <c r="Y2559" s="18" t="s">
        <v>36</v>
      </c>
      <c r="Z2559" s="18" t="s">
        <v>697</v>
      </c>
      <c r="AA2559" s="21" t="str">
        <f>HYPERLINK("https://www.ncbi.nlm.nih.gov/nuccore/MH632120","NCBI Nucleotide")</f>
        <v>NCBI Nucleotide</v>
      </c>
    </row>
    <row r="2560" spans="1:27" x14ac:dyDescent="0.35">
      <c r="A2560">
        <v>1003317</v>
      </c>
      <c r="B2560">
        <v>2536</v>
      </c>
      <c r="C2560">
        <v>1</v>
      </c>
      <c r="D2560" s="17" t="s">
        <v>155</v>
      </c>
      <c r="E2560" s="17"/>
      <c r="F2560" s="17" t="s">
        <v>156</v>
      </c>
      <c r="G2560" s="17"/>
      <c r="H2560" s="17" t="s">
        <v>692</v>
      </c>
      <c r="I2560" s="17"/>
      <c r="J2560" s="17" t="s">
        <v>693</v>
      </c>
      <c r="K2560" s="17"/>
      <c r="L2560" s="17"/>
      <c r="M2560" s="17"/>
      <c r="N2560" s="17"/>
      <c r="O2560" s="17" t="s">
        <v>4724</v>
      </c>
      <c r="P2560" s="17" t="s">
        <v>4725</v>
      </c>
      <c r="Q2560" s="17"/>
      <c r="R2560" s="25" t="str">
        <f>HYPERLINK("https://ictv.global/taxonomy/taxondetails?taxnode_id=202314519","Bixiavirus BUCT548")</f>
        <v>Bixiavirus BUCT548</v>
      </c>
      <c r="S2560" s="18" t="s">
        <v>30</v>
      </c>
      <c r="T2560" s="18" t="s">
        <v>4726</v>
      </c>
      <c r="U2560" s="18"/>
      <c r="V2560" s="18"/>
      <c r="W2560" s="18" t="s">
        <v>4727</v>
      </c>
      <c r="X2560" s="18" t="s">
        <v>42</v>
      </c>
      <c r="Y2560" s="18" t="s">
        <v>36</v>
      </c>
      <c r="Z2560" s="18" t="s">
        <v>697</v>
      </c>
      <c r="AA2560" s="21" t="str">
        <f>HYPERLINK("https://www.ncbi.nlm.nih.gov/nuccore/MN937349","NCBI Nucleotide")</f>
        <v>NCBI Nucleotide</v>
      </c>
    </row>
    <row r="2561" spans="1:27" x14ac:dyDescent="0.35">
      <c r="A2561">
        <v>1003318</v>
      </c>
      <c r="B2561">
        <v>2537</v>
      </c>
      <c r="C2561">
        <v>1</v>
      </c>
      <c r="D2561" s="17" t="s">
        <v>155</v>
      </c>
      <c r="E2561" s="17"/>
      <c r="F2561" s="17" t="s">
        <v>156</v>
      </c>
      <c r="G2561" s="17"/>
      <c r="H2561" s="17" t="s">
        <v>692</v>
      </c>
      <c r="I2561" s="17"/>
      <c r="J2561" s="17" t="s">
        <v>693</v>
      </c>
      <c r="K2561" s="17"/>
      <c r="L2561" s="17"/>
      <c r="M2561" s="17"/>
      <c r="N2561" s="17"/>
      <c r="O2561" s="17" t="s">
        <v>4724</v>
      </c>
      <c r="P2561" s="17" t="s">
        <v>4725</v>
      </c>
      <c r="Q2561" s="17"/>
      <c r="R2561" s="25" t="str">
        <f>HYPERLINK("https://ictv.global/taxonomy/taxondetails?taxnode_id=202314520","Bixiavirus BUCT626")</f>
        <v>Bixiavirus BUCT626</v>
      </c>
      <c r="S2561" s="18" t="s">
        <v>30</v>
      </c>
      <c r="T2561" s="18" t="s">
        <v>4728</v>
      </c>
      <c r="U2561" s="18"/>
      <c r="V2561" s="18"/>
      <c r="W2561" s="18" t="s">
        <v>4729</v>
      </c>
      <c r="X2561" s="18" t="s">
        <v>42</v>
      </c>
      <c r="Y2561" s="18" t="s">
        <v>36</v>
      </c>
      <c r="Z2561" s="18" t="s">
        <v>697</v>
      </c>
      <c r="AA2561" s="21" t="str">
        <f>HYPERLINK("https://www.ncbi.nlm.nih.gov/nuccore/MZ398241","NCBI Nucleotide")</f>
        <v>NCBI Nucleotide</v>
      </c>
    </row>
    <row r="2562" spans="1:27" x14ac:dyDescent="0.35">
      <c r="A2562">
        <v>1003319</v>
      </c>
      <c r="B2562">
        <v>2538</v>
      </c>
      <c r="C2562">
        <v>1</v>
      </c>
      <c r="D2562" s="17" t="s">
        <v>155</v>
      </c>
      <c r="E2562" s="17"/>
      <c r="F2562" s="17" t="s">
        <v>156</v>
      </c>
      <c r="G2562" s="17"/>
      <c r="H2562" s="17" t="s">
        <v>692</v>
      </c>
      <c r="I2562" s="17"/>
      <c r="J2562" s="17" t="s">
        <v>693</v>
      </c>
      <c r="K2562" s="17"/>
      <c r="L2562" s="17"/>
      <c r="M2562" s="17"/>
      <c r="N2562" s="17"/>
      <c r="O2562" s="17" t="s">
        <v>4724</v>
      </c>
      <c r="P2562" s="17" t="s">
        <v>4725</v>
      </c>
      <c r="Q2562" s="17"/>
      <c r="R2562" s="25" t="str">
        <f>HYPERLINK("https://ictv.global/taxonomy/taxondetails?taxnode_id=202314521","Bixiavirus BUCT627")</f>
        <v>Bixiavirus BUCT627</v>
      </c>
      <c r="S2562" s="18" t="s">
        <v>30</v>
      </c>
      <c r="T2562" s="18" t="s">
        <v>4730</v>
      </c>
      <c r="U2562" s="18"/>
      <c r="V2562" s="18"/>
      <c r="W2562" s="18" t="s">
        <v>4731</v>
      </c>
      <c r="X2562" s="18" t="s">
        <v>42</v>
      </c>
      <c r="Y2562" s="18" t="s">
        <v>36</v>
      </c>
      <c r="Z2562" s="18" t="s">
        <v>697</v>
      </c>
      <c r="AA2562" s="21" t="str">
        <f>HYPERLINK("https://www.ncbi.nlm.nih.gov/nuccore/MZ398240","NCBI Nucleotide")</f>
        <v>NCBI Nucleotide</v>
      </c>
    </row>
    <row r="2563" spans="1:27" x14ac:dyDescent="0.35">
      <c r="A2563">
        <v>1003320</v>
      </c>
      <c r="B2563">
        <v>2539</v>
      </c>
      <c r="C2563">
        <v>1</v>
      </c>
      <c r="D2563" s="17" t="s">
        <v>155</v>
      </c>
      <c r="E2563" s="17"/>
      <c r="F2563" s="17" t="s">
        <v>156</v>
      </c>
      <c r="G2563" s="17"/>
      <c r="H2563" s="17" t="s">
        <v>692</v>
      </c>
      <c r="I2563" s="17"/>
      <c r="J2563" s="17" t="s">
        <v>693</v>
      </c>
      <c r="K2563" s="17"/>
      <c r="L2563" s="17"/>
      <c r="M2563" s="17"/>
      <c r="N2563" s="17"/>
      <c r="O2563" s="17" t="s">
        <v>4724</v>
      </c>
      <c r="P2563" s="17" t="s">
        <v>4732</v>
      </c>
      <c r="Q2563" s="17"/>
      <c r="R2563" s="25" t="str">
        <f>HYPERLINK("https://ictv.global/taxonomy/taxondetails?taxnode_id=202314517","Salvavirus salva")</f>
        <v>Salvavirus salva</v>
      </c>
      <c r="S2563" s="18" t="s">
        <v>30</v>
      </c>
      <c r="T2563" s="18" t="s">
        <v>4733</v>
      </c>
      <c r="U2563" s="18"/>
      <c r="V2563" s="18"/>
      <c r="W2563" s="18" t="s">
        <v>4734</v>
      </c>
      <c r="X2563" s="18" t="s">
        <v>42</v>
      </c>
      <c r="Y2563" s="18" t="s">
        <v>36</v>
      </c>
      <c r="Z2563" s="18" t="s">
        <v>697</v>
      </c>
      <c r="AA2563" s="21" t="str">
        <f>HYPERLINK("https://www.ncbi.nlm.nih.gov/nuccore/MW393850","NCBI Nucleotide")</f>
        <v>NCBI Nucleotide</v>
      </c>
    </row>
    <row r="2564" spans="1:27" x14ac:dyDescent="0.35">
      <c r="A2564">
        <v>1003321</v>
      </c>
      <c r="B2564">
        <v>2540</v>
      </c>
      <c r="C2564">
        <v>1</v>
      </c>
      <c r="D2564" s="17" t="s">
        <v>155</v>
      </c>
      <c r="E2564" s="17"/>
      <c r="F2564" s="17" t="s">
        <v>156</v>
      </c>
      <c r="G2564" s="17"/>
      <c r="H2564" s="17" t="s">
        <v>692</v>
      </c>
      <c r="I2564" s="17"/>
      <c r="J2564" s="17" t="s">
        <v>693</v>
      </c>
      <c r="K2564" s="17"/>
      <c r="L2564" s="17"/>
      <c r="M2564" s="17"/>
      <c r="N2564" s="17"/>
      <c r="O2564" s="17" t="s">
        <v>4724</v>
      </c>
      <c r="P2564" s="17" t="s">
        <v>4735</v>
      </c>
      <c r="Q2564" s="17"/>
      <c r="R2564" s="25" t="str">
        <f>HYPERLINK("https://ictv.global/taxonomy/taxondetails?taxnode_id=202314518","Siaravirus siara")</f>
        <v>Siaravirus siara</v>
      </c>
      <c r="S2564" s="18" t="s">
        <v>30</v>
      </c>
      <c r="T2564" s="18" t="s">
        <v>4736</v>
      </c>
      <c r="U2564" s="18"/>
      <c r="V2564" s="18"/>
      <c r="W2564" s="18" t="s">
        <v>4737</v>
      </c>
      <c r="X2564" s="18" t="s">
        <v>42</v>
      </c>
      <c r="Y2564" s="18" t="s">
        <v>36</v>
      </c>
      <c r="Z2564" s="18" t="s">
        <v>697</v>
      </c>
      <c r="AA2564" s="21" t="str">
        <f>HYPERLINK("https://www.ncbi.nlm.nih.gov/nuccore/MZ326859","NCBI Nucleotide")</f>
        <v>NCBI Nucleotide</v>
      </c>
    </row>
    <row r="2565" spans="1:27" x14ac:dyDescent="0.35">
      <c r="A2565">
        <v>1003322</v>
      </c>
      <c r="B2565">
        <v>2541</v>
      </c>
      <c r="C2565">
        <v>1</v>
      </c>
      <c r="D2565" s="17" t="s">
        <v>155</v>
      </c>
      <c r="E2565" s="17"/>
      <c r="F2565" s="17" t="s">
        <v>156</v>
      </c>
      <c r="G2565" s="17"/>
      <c r="H2565" s="17" t="s">
        <v>692</v>
      </c>
      <c r="I2565" s="17"/>
      <c r="J2565" s="17" t="s">
        <v>693</v>
      </c>
      <c r="K2565" s="17"/>
      <c r="L2565" s="17"/>
      <c r="M2565" s="17"/>
      <c r="N2565" s="17"/>
      <c r="O2565" s="17" t="s">
        <v>4738</v>
      </c>
      <c r="P2565" s="17" t="s">
        <v>4739</v>
      </c>
      <c r="Q2565" s="17"/>
      <c r="R2565" s="25" t="str">
        <f>HYPERLINK("https://ictv.global/taxonomy/taxondetails?taxnode_id=202309630","Flowerpowervirus flowerpower")</f>
        <v>Flowerpowervirus flowerpower</v>
      </c>
      <c r="S2565" s="18" t="s">
        <v>30</v>
      </c>
      <c r="T2565" s="18" t="s">
        <v>4740</v>
      </c>
      <c r="U2565" s="18"/>
      <c r="V2565" s="18"/>
      <c r="W2565" s="18" t="s">
        <v>4741</v>
      </c>
      <c r="X2565" s="18" t="s">
        <v>42</v>
      </c>
      <c r="Y2565" s="18" t="s">
        <v>36</v>
      </c>
      <c r="Z2565" s="18" t="s">
        <v>697</v>
      </c>
      <c r="AA2565" s="21" t="str">
        <f>HYPERLINK("https://www.ncbi.nlm.nih.gov/nuccore/MH155868","NCBI Nucleotide")</f>
        <v>NCBI Nucleotide</v>
      </c>
    </row>
    <row r="2566" spans="1:27" x14ac:dyDescent="0.35">
      <c r="A2566">
        <v>1003323</v>
      </c>
      <c r="B2566">
        <v>2542</v>
      </c>
      <c r="C2566">
        <v>1</v>
      </c>
      <c r="D2566" s="17" t="s">
        <v>155</v>
      </c>
      <c r="E2566" s="17"/>
      <c r="F2566" s="17" t="s">
        <v>156</v>
      </c>
      <c r="G2566" s="17"/>
      <c r="H2566" s="17" t="s">
        <v>692</v>
      </c>
      <c r="I2566" s="17"/>
      <c r="J2566" s="17" t="s">
        <v>693</v>
      </c>
      <c r="K2566" s="17"/>
      <c r="L2566" s="17"/>
      <c r="M2566" s="17"/>
      <c r="N2566" s="17"/>
      <c r="O2566" s="17" t="s">
        <v>4738</v>
      </c>
      <c r="P2566" s="17" t="s">
        <v>4742</v>
      </c>
      <c r="Q2566" s="17"/>
      <c r="R2566" s="25" t="str">
        <f>HYPERLINK("https://ictv.global/taxonomy/taxondetails?taxnode_id=202309628","Immanueltrevirus immanuel3")</f>
        <v>Immanueltrevirus immanuel3</v>
      </c>
      <c r="S2566" s="18" t="s">
        <v>30</v>
      </c>
      <c r="T2566" s="18" t="s">
        <v>4743</v>
      </c>
      <c r="U2566" s="18"/>
      <c r="V2566" s="18"/>
      <c r="W2566" s="18" t="s">
        <v>4744</v>
      </c>
      <c r="X2566" s="18" t="s">
        <v>42</v>
      </c>
      <c r="Y2566" s="18" t="s">
        <v>36</v>
      </c>
      <c r="Z2566" s="18" t="s">
        <v>697</v>
      </c>
      <c r="AA2566" s="21" t="str">
        <f>HYPERLINK("https://www.ncbi.nlm.nih.gov/nuccore/MG518520","NCBI Nucleotide")</f>
        <v>NCBI Nucleotide</v>
      </c>
    </row>
    <row r="2567" spans="1:27" x14ac:dyDescent="0.35">
      <c r="A2567">
        <v>1003324</v>
      </c>
      <c r="B2567">
        <v>2543</v>
      </c>
      <c r="C2567">
        <v>1</v>
      </c>
      <c r="D2567" s="17" t="s">
        <v>155</v>
      </c>
      <c r="E2567" s="17"/>
      <c r="F2567" s="17" t="s">
        <v>156</v>
      </c>
      <c r="G2567" s="17"/>
      <c r="H2567" s="17" t="s">
        <v>692</v>
      </c>
      <c r="I2567" s="17"/>
      <c r="J2567" s="17" t="s">
        <v>693</v>
      </c>
      <c r="K2567" s="17"/>
      <c r="L2567" s="17"/>
      <c r="M2567" s="17"/>
      <c r="N2567" s="17"/>
      <c r="O2567" s="17" t="s">
        <v>4738</v>
      </c>
      <c r="P2567" s="17" t="s">
        <v>4745</v>
      </c>
      <c r="Q2567" s="17"/>
      <c r="R2567" s="25" t="str">
        <f>HYPERLINK("https://ictv.global/taxonomy/taxondetails?taxnode_id=202309634","Manuelvirus JXY1")</f>
        <v>Manuelvirus JXY1</v>
      </c>
      <c r="S2567" s="18" t="s">
        <v>30</v>
      </c>
      <c r="T2567" s="18" t="s">
        <v>4746</v>
      </c>
      <c r="U2567" s="18"/>
      <c r="V2567" s="18"/>
      <c r="W2567" s="18" t="s">
        <v>4747</v>
      </c>
      <c r="X2567" s="18" t="s">
        <v>42</v>
      </c>
      <c r="Y2567" s="18" t="s">
        <v>36</v>
      </c>
      <c r="Z2567" s="18" t="s">
        <v>697</v>
      </c>
      <c r="AA2567" s="21" t="str">
        <f>HYPERLINK("https://www.ncbi.nlm.nih.gov/nuccore/MN994275","NCBI Nucleotide")</f>
        <v>NCBI Nucleotide</v>
      </c>
    </row>
    <row r="2568" spans="1:27" x14ac:dyDescent="0.35">
      <c r="A2568">
        <v>1003325</v>
      </c>
      <c r="B2568">
        <v>2544</v>
      </c>
      <c r="C2568">
        <v>1</v>
      </c>
      <c r="D2568" s="17" t="s">
        <v>155</v>
      </c>
      <c r="E2568" s="17"/>
      <c r="F2568" s="17" t="s">
        <v>156</v>
      </c>
      <c r="G2568" s="17"/>
      <c r="H2568" s="17" t="s">
        <v>692</v>
      </c>
      <c r="I2568" s="17"/>
      <c r="J2568" s="17" t="s">
        <v>693</v>
      </c>
      <c r="K2568" s="17"/>
      <c r="L2568" s="17"/>
      <c r="M2568" s="17"/>
      <c r="N2568" s="17"/>
      <c r="O2568" s="17" t="s">
        <v>4738</v>
      </c>
      <c r="P2568" s="17" t="s">
        <v>4745</v>
      </c>
      <c r="Q2568" s="17"/>
      <c r="R2568" s="25" t="str">
        <f>HYPERLINK("https://ictv.global/taxonomy/taxondetails?taxnode_id=202309632","Manuelvirus manuel")</f>
        <v>Manuelvirus manuel</v>
      </c>
      <c r="S2568" s="18" t="s">
        <v>30</v>
      </c>
      <c r="T2568" s="18" t="s">
        <v>4748</v>
      </c>
      <c r="U2568" s="18"/>
      <c r="V2568" s="18"/>
      <c r="W2568" s="18" t="s">
        <v>4749</v>
      </c>
      <c r="X2568" s="18" t="s">
        <v>42</v>
      </c>
      <c r="Y2568" s="18" t="s">
        <v>36</v>
      </c>
      <c r="Z2568" s="18" t="s">
        <v>697</v>
      </c>
      <c r="AA2568" s="21" t="str">
        <f>HYPERLINK("https://www.ncbi.nlm.nih.gov/nuccore/MG518519","NCBI Nucleotide")</f>
        <v>NCBI Nucleotide</v>
      </c>
    </row>
    <row r="2569" spans="1:27" x14ac:dyDescent="0.35">
      <c r="A2569">
        <v>1003326</v>
      </c>
      <c r="B2569">
        <v>2545</v>
      </c>
      <c r="C2569">
        <v>1</v>
      </c>
      <c r="D2569" s="17" t="s">
        <v>155</v>
      </c>
      <c r="E2569" s="17"/>
      <c r="F2569" s="17" t="s">
        <v>156</v>
      </c>
      <c r="G2569" s="17"/>
      <c r="H2569" s="17" t="s">
        <v>692</v>
      </c>
      <c r="I2569" s="17"/>
      <c r="J2569" s="17" t="s">
        <v>693</v>
      </c>
      <c r="K2569" s="17"/>
      <c r="L2569" s="17"/>
      <c r="M2569" s="17"/>
      <c r="N2569" s="17"/>
      <c r="O2569" s="17" t="s">
        <v>4738</v>
      </c>
      <c r="P2569" s="17" t="s">
        <v>4745</v>
      </c>
      <c r="Q2569" s="17"/>
      <c r="R2569" s="25" t="str">
        <f>HYPERLINK("https://ictv.global/taxonomy/taxondetails?taxnode_id=202309633","Manuelvirus wrighton")</f>
        <v>Manuelvirus wrighton</v>
      </c>
      <c r="S2569" s="18" t="s">
        <v>30</v>
      </c>
      <c r="T2569" s="18" t="s">
        <v>4750</v>
      </c>
      <c r="U2569" s="18"/>
      <c r="V2569" s="18"/>
      <c r="W2569" s="18" t="s">
        <v>4751</v>
      </c>
      <c r="X2569" s="18" t="s">
        <v>42</v>
      </c>
      <c r="Y2569" s="18" t="s">
        <v>36</v>
      </c>
      <c r="Z2569" s="18" t="s">
        <v>697</v>
      </c>
      <c r="AA2569" s="21" t="str">
        <f>HYPERLINK("https://www.ncbi.nlm.nih.gov/nuccore/MG515223","NCBI Nucleotide")</f>
        <v>NCBI Nucleotide</v>
      </c>
    </row>
    <row r="2570" spans="1:27" x14ac:dyDescent="0.35">
      <c r="A2570">
        <v>1003327</v>
      </c>
      <c r="B2570">
        <v>2546</v>
      </c>
      <c r="C2570">
        <v>1</v>
      </c>
      <c r="D2570" s="17" t="s">
        <v>155</v>
      </c>
      <c r="E2570" s="17"/>
      <c r="F2570" s="17" t="s">
        <v>156</v>
      </c>
      <c r="G2570" s="17"/>
      <c r="H2570" s="17" t="s">
        <v>692</v>
      </c>
      <c r="I2570" s="17"/>
      <c r="J2570" s="17" t="s">
        <v>693</v>
      </c>
      <c r="K2570" s="17"/>
      <c r="L2570" s="17"/>
      <c r="M2570" s="17"/>
      <c r="N2570" s="17"/>
      <c r="O2570" s="17" t="s">
        <v>4752</v>
      </c>
      <c r="P2570" s="17" t="s">
        <v>4753</v>
      </c>
      <c r="Q2570" s="17"/>
      <c r="R2570" s="25" t="str">
        <f>HYPERLINK("https://ictv.global/taxonomy/taxondetails?taxnode_id=202309695","Biseptimavirus BU01")</f>
        <v>Biseptimavirus BU01</v>
      </c>
      <c r="S2570" s="18" t="s">
        <v>30</v>
      </c>
      <c r="T2570" s="18" t="s">
        <v>4754</v>
      </c>
      <c r="U2570" s="18"/>
      <c r="V2570" s="18"/>
      <c r="W2570" s="18" t="s">
        <v>4755</v>
      </c>
      <c r="X2570" s="18" t="s">
        <v>42</v>
      </c>
      <c r="Y2570" s="18" t="s">
        <v>36</v>
      </c>
      <c r="Z2570" s="18" t="s">
        <v>697</v>
      </c>
      <c r="AA2570" s="21" t="str">
        <f>HYPERLINK("https://www.ncbi.nlm.nih.gov/nuccore/KF831354","NCBI Nucleotide")</f>
        <v>NCBI Nucleotide</v>
      </c>
    </row>
    <row r="2571" spans="1:27" x14ac:dyDescent="0.35">
      <c r="A2571">
        <v>1003329</v>
      </c>
      <c r="B2571">
        <v>2547</v>
      </c>
      <c r="C2571">
        <v>1</v>
      </c>
      <c r="D2571" s="17" t="s">
        <v>155</v>
      </c>
      <c r="E2571" s="17"/>
      <c r="F2571" s="17" t="s">
        <v>156</v>
      </c>
      <c r="G2571" s="17"/>
      <c r="H2571" s="17" t="s">
        <v>692</v>
      </c>
      <c r="I2571" s="17"/>
      <c r="J2571" s="17" t="s">
        <v>693</v>
      </c>
      <c r="K2571" s="17"/>
      <c r="L2571" s="17"/>
      <c r="M2571" s="17"/>
      <c r="N2571" s="17"/>
      <c r="O2571" s="17" t="s">
        <v>4752</v>
      </c>
      <c r="P2571" s="17" t="s">
        <v>4753</v>
      </c>
      <c r="Q2571" s="17"/>
      <c r="R2571" s="25" t="str">
        <f>HYPERLINK("https://ictv.global/taxonomy/taxondetails?taxnode_id=202300861","Biseptimavirus bv77")</f>
        <v>Biseptimavirus bv77</v>
      </c>
      <c r="S2571" s="18" t="s">
        <v>30</v>
      </c>
      <c r="T2571" s="18" t="s">
        <v>4758</v>
      </c>
      <c r="U2571" s="18"/>
      <c r="V2571" s="18"/>
      <c r="W2571" s="18" t="s">
        <v>4759</v>
      </c>
      <c r="X2571" s="18" t="s">
        <v>42</v>
      </c>
      <c r="Y2571" s="18" t="s">
        <v>36</v>
      </c>
      <c r="Z2571" s="18" t="s">
        <v>697</v>
      </c>
      <c r="AA2571" s="21" t="str">
        <f>HYPERLINK("https://www.ncbi.nlm.nih.gov/nuccore/AY508486","NCBI Nucleotide")</f>
        <v>NCBI Nucleotide</v>
      </c>
    </row>
    <row r="2572" spans="1:27" x14ac:dyDescent="0.35">
      <c r="A2572">
        <v>1003328</v>
      </c>
      <c r="B2572">
        <v>2548</v>
      </c>
      <c r="C2572">
        <v>1</v>
      </c>
      <c r="D2572" s="17" t="s">
        <v>155</v>
      </c>
      <c r="E2572" s="17"/>
      <c r="F2572" s="17" t="s">
        <v>156</v>
      </c>
      <c r="G2572" s="17"/>
      <c r="H2572" s="17" t="s">
        <v>692</v>
      </c>
      <c r="I2572" s="17"/>
      <c r="J2572" s="17" t="s">
        <v>693</v>
      </c>
      <c r="K2572" s="17"/>
      <c r="L2572" s="17"/>
      <c r="M2572" s="17"/>
      <c r="N2572" s="17"/>
      <c r="O2572" s="17" t="s">
        <v>4752</v>
      </c>
      <c r="P2572" s="17" t="s">
        <v>4753</v>
      </c>
      <c r="Q2572" s="17"/>
      <c r="R2572" s="25" t="str">
        <f>HYPERLINK("https://ictv.global/taxonomy/taxondetails?taxnode_id=202309694","Biseptimavirus bv23MRA")</f>
        <v>Biseptimavirus bv23MRA</v>
      </c>
      <c r="S2572" s="18" t="s">
        <v>30</v>
      </c>
      <c r="T2572" s="18" t="s">
        <v>4756</v>
      </c>
      <c r="U2572" s="18"/>
      <c r="V2572" s="18"/>
      <c r="W2572" s="18" t="s">
        <v>4757</v>
      </c>
      <c r="X2572" s="18" t="s">
        <v>42</v>
      </c>
      <c r="Y2572" s="18" t="s">
        <v>36</v>
      </c>
      <c r="Z2572" s="18" t="s">
        <v>697</v>
      </c>
      <c r="AA2572" s="21" t="str">
        <f>HYPERLINK("https://www.ncbi.nlm.nih.gov/nuccore/KJ452292","NCBI Nucleotide")</f>
        <v>NCBI Nucleotide</v>
      </c>
    </row>
    <row r="2573" spans="1:27" x14ac:dyDescent="0.35">
      <c r="A2573">
        <v>1003330</v>
      </c>
      <c r="B2573">
        <v>2549</v>
      </c>
      <c r="C2573">
        <v>1</v>
      </c>
      <c r="D2573" s="17" t="s">
        <v>155</v>
      </c>
      <c r="E2573" s="17"/>
      <c r="F2573" s="17" t="s">
        <v>156</v>
      </c>
      <c r="G2573" s="17"/>
      <c r="H2573" s="17" t="s">
        <v>692</v>
      </c>
      <c r="I2573" s="17"/>
      <c r="J2573" s="17" t="s">
        <v>693</v>
      </c>
      <c r="K2573" s="17"/>
      <c r="L2573" s="17"/>
      <c r="M2573" s="17"/>
      <c r="N2573" s="17"/>
      <c r="O2573" s="17" t="s">
        <v>4752</v>
      </c>
      <c r="P2573" s="17" t="s">
        <v>4753</v>
      </c>
      <c r="Q2573" s="17"/>
      <c r="R2573" s="25" t="str">
        <f>HYPERLINK("https://ictv.global/taxonomy/taxondetails?taxnode_id=202309697","Biseptimavirus IME136101")</f>
        <v>Biseptimavirus IME136101</v>
      </c>
      <c r="S2573" s="18" t="s">
        <v>30</v>
      </c>
      <c r="T2573" s="18" t="s">
        <v>4760</v>
      </c>
      <c r="U2573" s="18"/>
      <c r="V2573" s="18"/>
      <c r="W2573" s="18" t="s">
        <v>4761</v>
      </c>
      <c r="X2573" s="18" t="s">
        <v>42</v>
      </c>
      <c r="Y2573" s="18" t="s">
        <v>36</v>
      </c>
      <c r="Z2573" s="18" t="s">
        <v>697</v>
      </c>
      <c r="AA2573" s="21" t="str">
        <f>HYPERLINK("https://www.ncbi.nlm.nih.gov/nuccore/KY653123","NCBI Nucleotide")</f>
        <v>NCBI Nucleotide</v>
      </c>
    </row>
    <row r="2574" spans="1:27" x14ac:dyDescent="0.35">
      <c r="A2574">
        <v>1003331</v>
      </c>
      <c r="B2574">
        <v>2550</v>
      </c>
      <c r="C2574">
        <v>1</v>
      </c>
      <c r="D2574" s="17" t="s">
        <v>155</v>
      </c>
      <c r="E2574" s="17"/>
      <c r="F2574" s="17" t="s">
        <v>156</v>
      </c>
      <c r="G2574" s="17"/>
      <c r="H2574" s="17" t="s">
        <v>692</v>
      </c>
      <c r="I2574" s="17"/>
      <c r="J2574" s="17" t="s">
        <v>693</v>
      </c>
      <c r="K2574" s="17"/>
      <c r="L2574" s="17"/>
      <c r="M2574" s="17"/>
      <c r="N2574" s="17"/>
      <c r="O2574" s="17" t="s">
        <v>4752</v>
      </c>
      <c r="P2574" s="17" t="s">
        <v>4753</v>
      </c>
      <c r="Q2574" s="17"/>
      <c r="R2574" s="25" t="str">
        <f>HYPERLINK("https://ictv.global/taxonomy/taxondetails?taxnode_id=202309693","Biseptimavirus NM3")</f>
        <v>Biseptimavirus NM3</v>
      </c>
      <c r="S2574" s="18" t="s">
        <v>30</v>
      </c>
      <c r="T2574" s="18" t="s">
        <v>4762</v>
      </c>
      <c r="U2574" s="18"/>
      <c r="V2574" s="18"/>
      <c r="W2574" s="18" t="s">
        <v>4763</v>
      </c>
      <c r="X2574" s="18" t="s">
        <v>42</v>
      </c>
      <c r="Y2574" s="18" t="s">
        <v>36</v>
      </c>
      <c r="Z2574" s="18" t="s">
        <v>697</v>
      </c>
      <c r="AA2574" s="21" t="str">
        <f>HYPERLINK("https://www.ncbi.nlm.nih.gov/nuccore/DQ530361","NCBI Nucleotide")</f>
        <v>NCBI Nucleotide</v>
      </c>
    </row>
    <row r="2575" spans="1:27" x14ac:dyDescent="0.35">
      <c r="A2575">
        <v>1003333</v>
      </c>
      <c r="B2575">
        <v>2551</v>
      </c>
      <c r="C2575">
        <v>1</v>
      </c>
      <c r="D2575" s="17" t="s">
        <v>155</v>
      </c>
      <c r="E2575" s="17"/>
      <c r="F2575" s="17" t="s">
        <v>156</v>
      </c>
      <c r="G2575" s="17"/>
      <c r="H2575" s="17" t="s">
        <v>692</v>
      </c>
      <c r="I2575" s="17"/>
      <c r="J2575" s="17" t="s">
        <v>693</v>
      </c>
      <c r="K2575" s="17"/>
      <c r="L2575" s="17"/>
      <c r="M2575" s="17"/>
      <c r="N2575" s="17"/>
      <c r="O2575" s="17" t="s">
        <v>4752</v>
      </c>
      <c r="P2575" s="17" t="s">
        <v>4753</v>
      </c>
      <c r="Q2575" s="17"/>
      <c r="R2575" s="25" t="str">
        <f>HYPERLINK("https://ictv.global/taxonomy/taxondetails?taxnode_id=202309688","Biseptimavirus P282")</f>
        <v>Biseptimavirus P282</v>
      </c>
      <c r="S2575" s="18" t="s">
        <v>30</v>
      </c>
      <c r="T2575" s="18" t="s">
        <v>4766</v>
      </c>
      <c r="U2575" s="18"/>
      <c r="V2575" s="18"/>
      <c r="W2575" s="18" t="s">
        <v>4767</v>
      </c>
      <c r="X2575" s="18" t="s">
        <v>42</v>
      </c>
      <c r="Y2575" s="18" t="s">
        <v>36</v>
      </c>
      <c r="Z2575" s="18" t="s">
        <v>697</v>
      </c>
      <c r="AA2575" s="21" t="str">
        <f>HYPERLINK("https://www.ncbi.nlm.nih.gov/nuccore/KT809368","NCBI Nucleotide")</f>
        <v>NCBI Nucleotide</v>
      </c>
    </row>
    <row r="2576" spans="1:27" x14ac:dyDescent="0.35">
      <c r="A2576">
        <v>1003334</v>
      </c>
      <c r="B2576">
        <v>2552</v>
      </c>
      <c r="C2576">
        <v>1</v>
      </c>
      <c r="D2576" s="17" t="s">
        <v>155</v>
      </c>
      <c r="E2576" s="17"/>
      <c r="F2576" s="17" t="s">
        <v>156</v>
      </c>
      <c r="G2576" s="17"/>
      <c r="H2576" s="17" t="s">
        <v>692</v>
      </c>
      <c r="I2576" s="17"/>
      <c r="J2576" s="17" t="s">
        <v>693</v>
      </c>
      <c r="K2576" s="17"/>
      <c r="L2576" s="17"/>
      <c r="M2576" s="17"/>
      <c r="N2576" s="17"/>
      <c r="O2576" s="17" t="s">
        <v>4752</v>
      </c>
      <c r="P2576" s="17" t="s">
        <v>4753</v>
      </c>
      <c r="Q2576" s="17"/>
      <c r="R2576" s="25" t="str">
        <f>HYPERLINK("https://ictv.global/taxonomy/taxondetails?taxnode_id=202309690","Biseptimavirus P630")</f>
        <v>Biseptimavirus P630</v>
      </c>
      <c r="S2576" s="18" t="s">
        <v>30</v>
      </c>
      <c r="T2576" s="18" t="s">
        <v>4768</v>
      </c>
      <c r="U2576" s="18"/>
      <c r="V2576" s="18"/>
      <c r="W2576" s="18" t="s">
        <v>4769</v>
      </c>
      <c r="X2576" s="18" t="s">
        <v>42</v>
      </c>
      <c r="Y2576" s="18" t="s">
        <v>36</v>
      </c>
      <c r="Z2576" s="18" t="s">
        <v>697</v>
      </c>
      <c r="AA2576" s="21" t="str">
        <f>HYPERLINK("https://www.ncbi.nlm.nih.gov/nuccore/KT809369","NCBI Nucleotide")</f>
        <v>NCBI Nucleotide</v>
      </c>
    </row>
    <row r="2577" spans="1:27" x14ac:dyDescent="0.35">
      <c r="A2577">
        <v>1003335</v>
      </c>
      <c r="B2577">
        <v>2553</v>
      </c>
      <c r="C2577">
        <v>1</v>
      </c>
      <c r="D2577" s="17" t="s">
        <v>155</v>
      </c>
      <c r="E2577" s="17"/>
      <c r="F2577" s="17" t="s">
        <v>156</v>
      </c>
      <c r="G2577" s="17"/>
      <c r="H2577" s="17" t="s">
        <v>692</v>
      </c>
      <c r="I2577" s="17"/>
      <c r="J2577" s="17" t="s">
        <v>693</v>
      </c>
      <c r="K2577" s="17"/>
      <c r="L2577" s="17"/>
      <c r="M2577" s="17"/>
      <c r="N2577" s="17"/>
      <c r="O2577" s="17" t="s">
        <v>4752</v>
      </c>
      <c r="P2577" s="17" t="s">
        <v>4753</v>
      </c>
      <c r="Q2577" s="17"/>
      <c r="R2577" s="25" t="str">
        <f>HYPERLINK("https://ictv.global/taxonomy/taxondetails?taxnode_id=202309689","Biseptimavirus P954")</f>
        <v>Biseptimavirus P954</v>
      </c>
      <c r="S2577" s="18" t="s">
        <v>30</v>
      </c>
      <c r="T2577" s="18" t="s">
        <v>4770</v>
      </c>
      <c r="U2577" s="18"/>
      <c r="V2577" s="18"/>
      <c r="W2577" s="18" t="s">
        <v>4771</v>
      </c>
      <c r="X2577" s="18" t="s">
        <v>42</v>
      </c>
      <c r="Y2577" s="18" t="s">
        <v>36</v>
      </c>
      <c r="Z2577" s="18" t="s">
        <v>697</v>
      </c>
      <c r="AA2577" s="21" t="str">
        <f>HYPERLINK("https://www.ncbi.nlm.nih.gov/nuccore/GQ398772","NCBI Nucleotide")</f>
        <v>NCBI Nucleotide</v>
      </c>
    </row>
    <row r="2578" spans="1:27" x14ac:dyDescent="0.35">
      <c r="A2578">
        <v>1003332</v>
      </c>
      <c r="B2578">
        <v>2554</v>
      </c>
      <c r="C2578">
        <v>1</v>
      </c>
      <c r="D2578" s="17" t="s">
        <v>155</v>
      </c>
      <c r="E2578" s="17"/>
      <c r="F2578" s="17" t="s">
        <v>156</v>
      </c>
      <c r="G2578" s="17"/>
      <c r="H2578" s="17" t="s">
        <v>692</v>
      </c>
      <c r="I2578" s="17"/>
      <c r="J2578" s="17" t="s">
        <v>693</v>
      </c>
      <c r="K2578" s="17"/>
      <c r="L2578" s="17"/>
      <c r="M2578" s="17"/>
      <c r="N2578" s="17"/>
      <c r="O2578" s="17" t="s">
        <v>4752</v>
      </c>
      <c r="P2578" s="17" t="s">
        <v>4753</v>
      </c>
      <c r="Q2578" s="17"/>
      <c r="R2578" s="25" t="str">
        <f>HYPERLINK("https://ictv.global/taxonomy/taxondetails?taxnode_id=202309687","Biseptimavirus P1105")</f>
        <v>Biseptimavirus P1105</v>
      </c>
      <c r="S2578" s="18" t="s">
        <v>30</v>
      </c>
      <c r="T2578" s="18" t="s">
        <v>4764</v>
      </c>
      <c r="U2578" s="18"/>
      <c r="V2578" s="18"/>
      <c r="W2578" s="18" t="s">
        <v>4765</v>
      </c>
      <c r="X2578" s="18" t="s">
        <v>42</v>
      </c>
      <c r="Y2578" s="18" t="s">
        <v>36</v>
      </c>
      <c r="Z2578" s="18" t="s">
        <v>697</v>
      </c>
      <c r="AA2578" s="21" t="str">
        <f>HYPERLINK("https://www.ncbi.nlm.nih.gov/nuccore/KT878766","NCBI Nucleotide")</f>
        <v>NCBI Nucleotide</v>
      </c>
    </row>
    <row r="2579" spans="1:27" x14ac:dyDescent="0.35">
      <c r="A2579">
        <v>1003336</v>
      </c>
      <c r="B2579">
        <v>2555</v>
      </c>
      <c r="C2579">
        <v>1</v>
      </c>
      <c r="D2579" s="17" t="s">
        <v>155</v>
      </c>
      <c r="E2579" s="17"/>
      <c r="F2579" s="17" t="s">
        <v>156</v>
      </c>
      <c r="G2579" s="17"/>
      <c r="H2579" s="17" t="s">
        <v>692</v>
      </c>
      <c r="I2579" s="17"/>
      <c r="J2579" s="17" t="s">
        <v>693</v>
      </c>
      <c r="K2579" s="17"/>
      <c r="L2579" s="17"/>
      <c r="M2579" s="17"/>
      <c r="N2579" s="17"/>
      <c r="O2579" s="17" t="s">
        <v>4752</v>
      </c>
      <c r="P2579" s="17" t="s">
        <v>4753</v>
      </c>
      <c r="Q2579" s="17"/>
      <c r="R2579" s="25" t="str">
        <f>HYPERLINK("https://ictv.global/taxonomy/taxondetails?taxnode_id=202309686","Biseptimavirus phi7247PVL")</f>
        <v>Biseptimavirus phi7247PVL</v>
      </c>
      <c r="S2579" s="18" t="s">
        <v>30</v>
      </c>
      <c r="T2579" s="18" t="s">
        <v>4772</v>
      </c>
      <c r="U2579" s="18"/>
      <c r="V2579" s="18"/>
      <c r="W2579" s="18" t="s">
        <v>4773</v>
      </c>
      <c r="X2579" s="18" t="s">
        <v>42</v>
      </c>
      <c r="Y2579" s="18" t="s">
        <v>36</v>
      </c>
      <c r="Z2579" s="18" t="s">
        <v>697</v>
      </c>
      <c r="AA2579" s="21" t="str">
        <f>HYPERLINK("https://www.ncbi.nlm.nih.gov/nuccore/AP011956","NCBI Nucleotide")</f>
        <v>NCBI Nucleotide</v>
      </c>
    </row>
    <row r="2580" spans="1:27" x14ac:dyDescent="0.35">
      <c r="A2580">
        <v>1003337</v>
      </c>
      <c r="B2580">
        <v>2556</v>
      </c>
      <c r="C2580">
        <v>1</v>
      </c>
      <c r="D2580" s="17" t="s">
        <v>155</v>
      </c>
      <c r="E2580" s="17"/>
      <c r="F2580" s="17" t="s">
        <v>156</v>
      </c>
      <c r="G2580" s="17"/>
      <c r="H2580" s="17" t="s">
        <v>692</v>
      </c>
      <c r="I2580" s="17"/>
      <c r="J2580" s="17" t="s">
        <v>693</v>
      </c>
      <c r="K2580" s="17"/>
      <c r="L2580" s="17"/>
      <c r="M2580" s="17"/>
      <c r="N2580" s="17"/>
      <c r="O2580" s="17" t="s">
        <v>4752</v>
      </c>
      <c r="P2580" s="17" t="s">
        <v>4753</v>
      </c>
      <c r="Q2580" s="17"/>
      <c r="R2580" s="25" t="str">
        <f>HYPERLINK("https://ictv.global/taxonomy/taxondetails?taxnode_id=202309696","Biseptimavirus SA1014ruMSSAST7")</f>
        <v>Biseptimavirus SA1014ruMSSAST7</v>
      </c>
      <c r="S2580" s="18" t="s">
        <v>30</v>
      </c>
      <c r="T2580" s="18" t="s">
        <v>4774</v>
      </c>
      <c r="U2580" s="18"/>
      <c r="V2580" s="18"/>
      <c r="W2580" s="18" t="s">
        <v>4775</v>
      </c>
      <c r="X2580" s="18" t="s">
        <v>42</v>
      </c>
      <c r="Y2580" s="18" t="s">
        <v>36</v>
      </c>
      <c r="Z2580" s="18" t="s">
        <v>697</v>
      </c>
      <c r="AA2580" s="21" t="str">
        <f>HYPERLINK("https://www.ncbi.nlm.nih.gov/nuccore/MH384259","NCBI Nucleotide")</f>
        <v>NCBI Nucleotide</v>
      </c>
    </row>
    <row r="2581" spans="1:27" x14ac:dyDescent="0.35">
      <c r="A2581">
        <v>1003338</v>
      </c>
      <c r="B2581">
        <v>2557</v>
      </c>
      <c r="C2581">
        <v>1</v>
      </c>
      <c r="D2581" s="17" t="s">
        <v>155</v>
      </c>
      <c r="E2581" s="17"/>
      <c r="F2581" s="17" t="s">
        <v>156</v>
      </c>
      <c r="G2581" s="17"/>
      <c r="H2581" s="17" t="s">
        <v>692</v>
      </c>
      <c r="I2581" s="17"/>
      <c r="J2581" s="17" t="s">
        <v>693</v>
      </c>
      <c r="K2581" s="17"/>
      <c r="L2581" s="17"/>
      <c r="M2581" s="17"/>
      <c r="N2581" s="17"/>
      <c r="O2581" s="17" t="s">
        <v>4752</v>
      </c>
      <c r="P2581" s="17" t="s">
        <v>4753</v>
      </c>
      <c r="Q2581" s="17"/>
      <c r="R2581" s="25" t="str">
        <f>HYPERLINK("https://ictv.global/taxonomy/taxondetails?taxnode_id=202309698","Biseptimavirus SA345ruMSSAST8")</f>
        <v>Biseptimavirus SA345ruMSSAST8</v>
      </c>
      <c r="S2581" s="18" t="s">
        <v>30</v>
      </c>
      <c r="T2581" s="18" t="s">
        <v>4776</v>
      </c>
      <c r="U2581" s="18"/>
      <c r="V2581" s="18"/>
      <c r="W2581" s="18" t="s">
        <v>4777</v>
      </c>
      <c r="X2581" s="18" t="s">
        <v>42</v>
      </c>
      <c r="Y2581" s="18" t="s">
        <v>36</v>
      </c>
      <c r="Z2581" s="18" t="s">
        <v>697</v>
      </c>
      <c r="AA2581" s="21" t="str">
        <f>HYPERLINK("https://www.ncbi.nlm.nih.gov/nuccore/MH401416","NCBI Nucleotide")</f>
        <v>NCBI Nucleotide</v>
      </c>
    </row>
    <row r="2582" spans="1:27" x14ac:dyDescent="0.35">
      <c r="A2582">
        <v>1003339</v>
      </c>
      <c r="B2582">
        <v>2558</v>
      </c>
      <c r="C2582">
        <v>1</v>
      </c>
      <c r="D2582" s="17" t="s">
        <v>155</v>
      </c>
      <c r="E2582" s="17"/>
      <c r="F2582" s="17" t="s">
        <v>156</v>
      </c>
      <c r="G2582" s="17"/>
      <c r="H2582" s="17" t="s">
        <v>692</v>
      </c>
      <c r="I2582" s="17"/>
      <c r="J2582" s="17" t="s">
        <v>693</v>
      </c>
      <c r="K2582" s="17"/>
      <c r="L2582" s="17"/>
      <c r="M2582" s="17"/>
      <c r="N2582" s="17"/>
      <c r="O2582" s="17" t="s">
        <v>4752</v>
      </c>
      <c r="P2582" s="17" t="s">
        <v>4753</v>
      </c>
      <c r="Q2582" s="17"/>
      <c r="R2582" s="25" t="str">
        <f>HYPERLINK("https://ictv.global/taxonomy/taxondetails?taxnode_id=202309691","Biseptimavirus st22")</f>
        <v>Biseptimavirus st22</v>
      </c>
      <c r="S2582" s="18" t="s">
        <v>30</v>
      </c>
      <c r="T2582" s="18" t="s">
        <v>4778</v>
      </c>
      <c r="U2582" s="18"/>
      <c r="V2582" s="18"/>
      <c r="W2582" s="18" t="s">
        <v>4779</v>
      </c>
      <c r="X2582" s="18" t="s">
        <v>42</v>
      </c>
      <c r="Y2582" s="18" t="s">
        <v>36</v>
      </c>
      <c r="Z2582" s="18" t="s">
        <v>697</v>
      </c>
      <c r="AA2582" s="21" t="str">
        <f>HYPERLINK("https://www.ncbi.nlm.nih.gov/nuccore/MG029510","NCBI Nucleotide")</f>
        <v>NCBI Nucleotide</v>
      </c>
    </row>
    <row r="2583" spans="1:27" x14ac:dyDescent="0.35">
      <c r="A2583">
        <v>1003340</v>
      </c>
      <c r="B2583">
        <v>2559</v>
      </c>
      <c r="C2583">
        <v>1</v>
      </c>
      <c r="D2583" s="17" t="s">
        <v>155</v>
      </c>
      <c r="E2583" s="17"/>
      <c r="F2583" s="17" t="s">
        <v>156</v>
      </c>
      <c r="G2583" s="17"/>
      <c r="H2583" s="17" t="s">
        <v>692</v>
      </c>
      <c r="I2583" s="17"/>
      <c r="J2583" s="17" t="s">
        <v>693</v>
      </c>
      <c r="K2583" s="17"/>
      <c r="L2583" s="17"/>
      <c r="M2583" s="17"/>
      <c r="N2583" s="17"/>
      <c r="O2583" s="17" t="s">
        <v>4752</v>
      </c>
      <c r="P2583" s="17" t="s">
        <v>4753</v>
      </c>
      <c r="Q2583" s="17"/>
      <c r="R2583" s="25" t="str">
        <f>HYPERLINK("https://ictv.global/taxonomy/taxondetails?taxnode_id=202309692","Biseptimavirus StauST3984")</f>
        <v>Biseptimavirus StauST3984</v>
      </c>
      <c r="S2583" s="18" t="s">
        <v>30</v>
      </c>
      <c r="T2583" s="18" t="s">
        <v>4780</v>
      </c>
      <c r="U2583" s="18"/>
      <c r="V2583" s="18"/>
      <c r="W2583" s="18" t="s">
        <v>4781</v>
      </c>
      <c r="X2583" s="18" t="s">
        <v>42</v>
      </c>
      <c r="Y2583" s="18" t="s">
        <v>36</v>
      </c>
      <c r="Z2583" s="18" t="s">
        <v>697</v>
      </c>
      <c r="AA2583" s="21" t="str">
        <f>HYPERLINK("https://www.ncbi.nlm.nih.gov/nuccore/KC595278","NCBI Nucleotide")</f>
        <v>NCBI Nucleotide</v>
      </c>
    </row>
    <row r="2584" spans="1:27" x14ac:dyDescent="0.35">
      <c r="A2584">
        <v>1003341</v>
      </c>
      <c r="B2584">
        <v>2560</v>
      </c>
      <c r="C2584">
        <v>1</v>
      </c>
      <c r="D2584" s="17" t="s">
        <v>155</v>
      </c>
      <c r="E2584" s="17"/>
      <c r="F2584" s="17" t="s">
        <v>156</v>
      </c>
      <c r="G2584" s="17"/>
      <c r="H2584" s="17" t="s">
        <v>692</v>
      </c>
      <c r="I2584" s="17"/>
      <c r="J2584" s="17" t="s">
        <v>693</v>
      </c>
      <c r="K2584" s="17"/>
      <c r="L2584" s="17"/>
      <c r="M2584" s="17"/>
      <c r="N2584" s="17"/>
      <c r="O2584" s="17" t="s">
        <v>4752</v>
      </c>
      <c r="P2584" s="17" t="s">
        <v>4782</v>
      </c>
      <c r="Q2584" s="17"/>
      <c r="R2584" s="25" t="str">
        <f>HYPERLINK("https://ictv.global/taxonomy/taxondetails?taxnode_id=202309685","Peeveelvirus CN125")</f>
        <v>Peeveelvirus CN125</v>
      </c>
      <c r="S2584" s="18" t="s">
        <v>30</v>
      </c>
      <c r="T2584" s="18" t="s">
        <v>4783</v>
      </c>
      <c r="U2584" s="18"/>
      <c r="V2584" s="18"/>
      <c r="W2584" s="18" t="s">
        <v>4784</v>
      </c>
      <c r="X2584" s="18" t="s">
        <v>42</v>
      </c>
      <c r="Y2584" s="18" t="s">
        <v>36</v>
      </c>
      <c r="Z2584" s="18" t="s">
        <v>697</v>
      </c>
      <c r="AA2584" s="21" t="str">
        <f>HYPERLINK("https://www.ncbi.nlm.nih.gov/nuccore/FJ713816","NCBI Nucleotide")</f>
        <v>NCBI Nucleotide</v>
      </c>
    </row>
    <row r="2585" spans="1:27" x14ac:dyDescent="0.35">
      <c r="A2585">
        <v>1003342</v>
      </c>
      <c r="B2585">
        <v>2561</v>
      </c>
      <c r="C2585">
        <v>1</v>
      </c>
      <c r="D2585" s="17" t="s">
        <v>155</v>
      </c>
      <c r="E2585" s="17"/>
      <c r="F2585" s="17" t="s">
        <v>156</v>
      </c>
      <c r="G2585" s="17"/>
      <c r="H2585" s="17" t="s">
        <v>692</v>
      </c>
      <c r="I2585" s="17"/>
      <c r="J2585" s="17" t="s">
        <v>693</v>
      </c>
      <c r="K2585" s="17"/>
      <c r="L2585" s="17"/>
      <c r="M2585" s="17"/>
      <c r="N2585" s="17"/>
      <c r="O2585" s="17" t="s">
        <v>4752</v>
      </c>
      <c r="P2585" s="17" t="s">
        <v>4782</v>
      </c>
      <c r="Q2585" s="17"/>
      <c r="R2585" s="25" t="str">
        <f>HYPERLINK("https://ictv.global/taxonomy/taxondetails?taxnode_id=202309683","Peeveelvirus JS01")</f>
        <v>Peeveelvirus JS01</v>
      </c>
      <c r="S2585" s="18" t="s">
        <v>30</v>
      </c>
      <c r="T2585" s="18" t="s">
        <v>4785</v>
      </c>
      <c r="U2585" s="18"/>
      <c r="V2585" s="18"/>
      <c r="W2585" s="18" t="s">
        <v>4786</v>
      </c>
      <c r="X2585" s="18" t="s">
        <v>42</v>
      </c>
      <c r="Y2585" s="18" t="s">
        <v>36</v>
      </c>
      <c r="Z2585" s="18" t="s">
        <v>697</v>
      </c>
      <c r="AA2585" s="21" t="str">
        <f>HYPERLINK("https://www.ncbi.nlm.nih.gov/nuccore/KC342645","NCBI Nucleotide")</f>
        <v>NCBI Nucleotide</v>
      </c>
    </row>
    <row r="2586" spans="1:27" x14ac:dyDescent="0.35">
      <c r="A2586">
        <v>1003343</v>
      </c>
      <c r="B2586">
        <v>2562</v>
      </c>
      <c r="C2586">
        <v>1</v>
      </c>
      <c r="D2586" s="17" t="s">
        <v>155</v>
      </c>
      <c r="E2586" s="17"/>
      <c r="F2586" s="17" t="s">
        <v>156</v>
      </c>
      <c r="G2586" s="17"/>
      <c r="H2586" s="17" t="s">
        <v>692</v>
      </c>
      <c r="I2586" s="17"/>
      <c r="J2586" s="17" t="s">
        <v>693</v>
      </c>
      <c r="K2586" s="17"/>
      <c r="L2586" s="17"/>
      <c r="M2586" s="17"/>
      <c r="N2586" s="17"/>
      <c r="O2586" s="17" t="s">
        <v>4752</v>
      </c>
      <c r="P2586" s="17" t="s">
        <v>4782</v>
      </c>
      <c r="Q2586" s="17"/>
      <c r="R2586" s="25" t="str">
        <f>HYPERLINK("https://ictv.global/taxonomy/taxondetails?taxnode_id=202300860","Peeveelvirus pv13")</f>
        <v>Peeveelvirus pv13</v>
      </c>
      <c r="S2586" s="18" t="s">
        <v>30</v>
      </c>
      <c r="T2586" s="18" t="s">
        <v>4787</v>
      </c>
      <c r="U2586" s="18"/>
      <c r="V2586" s="18"/>
      <c r="W2586" s="18" t="s">
        <v>4788</v>
      </c>
      <c r="X2586" s="18" t="s">
        <v>42</v>
      </c>
      <c r="Y2586" s="18" t="s">
        <v>36</v>
      </c>
      <c r="Z2586" s="18" t="s">
        <v>697</v>
      </c>
      <c r="AA2586" s="21" t="str">
        <f>HYPERLINK("https://www.ncbi.nlm.nih.gov/nuccore/AF424783","NCBI Nucleotide")</f>
        <v>NCBI Nucleotide</v>
      </c>
    </row>
    <row r="2587" spans="1:27" x14ac:dyDescent="0.35">
      <c r="A2587">
        <v>1003345</v>
      </c>
      <c r="B2587">
        <v>2563</v>
      </c>
      <c r="C2587">
        <v>1</v>
      </c>
      <c r="D2587" s="17" t="s">
        <v>155</v>
      </c>
      <c r="E2587" s="17"/>
      <c r="F2587" s="17" t="s">
        <v>156</v>
      </c>
      <c r="G2587" s="17"/>
      <c r="H2587" s="17" t="s">
        <v>692</v>
      </c>
      <c r="I2587" s="17"/>
      <c r="J2587" s="17" t="s">
        <v>693</v>
      </c>
      <c r="K2587" s="17"/>
      <c r="L2587" s="17"/>
      <c r="M2587" s="17"/>
      <c r="N2587" s="17"/>
      <c r="O2587" s="17" t="s">
        <v>4752</v>
      </c>
      <c r="P2587" s="17" t="s">
        <v>4782</v>
      </c>
      <c r="Q2587" s="17"/>
      <c r="R2587" s="25" t="str">
        <f>HYPERLINK("https://ictv.global/taxonomy/taxondetails?taxnode_id=202309684","Peeveelvirus PV83")</f>
        <v>Peeveelvirus PV83</v>
      </c>
      <c r="S2587" s="18" t="s">
        <v>30</v>
      </c>
      <c r="T2587" s="18" t="s">
        <v>4791</v>
      </c>
      <c r="U2587" s="18"/>
      <c r="V2587" s="18"/>
      <c r="W2587" s="18" t="s">
        <v>4792</v>
      </c>
      <c r="X2587" s="18" t="s">
        <v>42</v>
      </c>
      <c r="Y2587" s="18" t="s">
        <v>36</v>
      </c>
      <c r="Z2587" s="18" t="s">
        <v>697</v>
      </c>
      <c r="AA2587" s="21" t="str">
        <f>HYPERLINK("https://www.ncbi.nlm.nih.gov/nuccore/AB044554","NCBI Nucleotide")</f>
        <v>NCBI Nucleotide</v>
      </c>
    </row>
    <row r="2588" spans="1:27" x14ac:dyDescent="0.35">
      <c r="A2588">
        <v>1003344</v>
      </c>
      <c r="B2588">
        <v>2564</v>
      </c>
      <c r="C2588">
        <v>1</v>
      </c>
      <c r="D2588" s="17" t="s">
        <v>155</v>
      </c>
      <c r="E2588" s="17"/>
      <c r="F2588" s="17" t="s">
        <v>156</v>
      </c>
      <c r="G2588" s="17"/>
      <c r="H2588" s="17" t="s">
        <v>692</v>
      </c>
      <c r="I2588" s="17"/>
      <c r="J2588" s="17" t="s">
        <v>693</v>
      </c>
      <c r="K2588" s="17"/>
      <c r="L2588" s="17"/>
      <c r="M2588" s="17"/>
      <c r="N2588" s="17"/>
      <c r="O2588" s="17" t="s">
        <v>4752</v>
      </c>
      <c r="P2588" s="17" t="s">
        <v>4782</v>
      </c>
      <c r="Q2588" s="17"/>
      <c r="R2588" s="25" t="str">
        <f>HYPERLINK("https://ictv.global/taxonomy/taxondetails?taxnode_id=202309681","Peeveelvirus pv3AJ2017")</f>
        <v>Peeveelvirus pv3AJ2017</v>
      </c>
      <c r="S2588" s="18" t="s">
        <v>30</v>
      </c>
      <c r="T2588" s="18" t="s">
        <v>4789</v>
      </c>
      <c r="U2588" s="18"/>
      <c r="V2588" s="18"/>
      <c r="W2588" s="18" t="s">
        <v>4790</v>
      </c>
      <c r="X2588" s="18" t="s">
        <v>42</v>
      </c>
      <c r="Y2588" s="18" t="s">
        <v>36</v>
      </c>
      <c r="Z2588" s="18" t="s">
        <v>697</v>
      </c>
      <c r="AA2588" s="21" t="str">
        <f>HYPERLINK("https://www.ncbi.nlm.nih.gov/nuccore/KX232515","NCBI Nucleotide")</f>
        <v>NCBI Nucleotide</v>
      </c>
    </row>
    <row r="2589" spans="1:27" x14ac:dyDescent="0.35">
      <c r="A2589">
        <v>1003346</v>
      </c>
      <c r="B2589">
        <v>2565</v>
      </c>
      <c r="C2589">
        <v>1</v>
      </c>
      <c r="D2589" s="17" t="s">
        <v>155</v>
      </c>
      <c r="E2589" s="17"/>
      <c r="F2589" s="17" t="s">
        <v>156</v>
      </c>
      <c r="G2589" s="17"/>
      <c r="H2589" s="17" t="s">
        <v>692</v>
      </c>
      <c r="I2589" s="17"/>
      <c r="J2589" s="17" t="s">
        <v>693</v>
      </c>
      <c r="K2589" s="17"/>
      <c r="L2589" s="17"/>
      <c r="M2589" s="17"/>
      <c r="N2589" s="17"/>
      <c r="O2589" s="17" t="s">
        <v>4752</v>
      </c>
      <c r="P2589" s="17" t="s">
        <v>4782</v>
      </c>
      <c r="Q2589" s="17"/>
      <c r="R2589" s="25" t="str">
        <f>HYPERLINK("https://ictv.global/taxonomy/taxondetails?taxnode_id=202309678","Peeveelvirus PVL")</f>
        <v>Peeveelvirus PVL</v>
      </c>
      <c r="S2589" s="18" t="s">
        <v>30</v>
      </c>
      <c r="T2589" s="18" t="s">
        <v>4793</v>
      </c>
      <c r="U2589" s="18"/>
      <c r="V2589" s="18"/>
      <c r="W2589" s="18" t="s">
        <v>4794</v>
      </c>
      <c r="X2589" s="18" t="s">
        <v>42</v>
      </c>
      <c r="Y2589" s="18" t="s">
        <v>36</v>
      </c>
      <c r="Z2589" s="18" t="s">
        <v>697</v>
      </c>
      <c r="AA2589" s="21" t="str">
        <f>HYPERLINK("https://www.ncbi.nlm.nih.gov/nuccore/AB009866","NCBI Nucleotide")</f>
        <v>NCBI Nucleotide</v>
      </c>
    </row>
    <row r="2590" spans="1:27" x14ac:dyDescent="0.35">
      <c r="A2590">
        <v>1003347</v>
      </c>
      <c r="B2590">
        <v>2566</v>
      </c>
      <c r="C2590">
        <v>1</v>
      </c>
      <c r="D2590" s="17" t="s">
        <v>155</v>
      </c>
      <c r="E2590" s="17"/>
      <c r="F2590" s="17" t="s">
        <v>156</v>
      </c>
      <c r="G2590" s="17"/>
      <c r="H2590" s="17" t="s">
        <v>692</v>
      </c>
      <c r="I2590" s="17"/>
      <c r="J2590" s="17" t="s">
        <v>693</v>
      </c>
      <c r="K2590" s="17"/>
      <c r="L2590" s="17"/>
      <c r="M2590" s="17"/>
      <c r="N2590" s="17"/>
      <c r="O2590" s="17" t="s">
        <v>4752</v>
      </c>
      <c r="P2590" s="17" t="s">
        <v>4782</v>
      </c>
      <c r="Q2590" s="17"/>
      <c r="R2590" s="25" t="str">
        <f>HYPERLINK("https://ictv.global/taxonomy/taxondetails?taxnode_id=202300862","Peeveelvirus PVL108")</f>
        <v>Peeveelvirus PVL108</v>
      </c>
      <c r="S2590" s="18" t="s">
        <v>30</v>
      </c>
      <c r="T2590" s="18" t="s">
        <v>4795</v>
      </c>
      <c r="U2590" s="18"/>
      <c r="V2590" s="18"/>
      <c r="W2590" s="18" t="s">
        <v>4796</v>
      </c>
      <c r="X2590" s="18" t="s">
        <v>42</v>
      </c>
      <c r="Y2590" s="18" t="s">
        <v>36</v>
      </c>
      <c r="Z2590" s="18" t="s">
        <v>697</v>
      </c>
      <c r="AA2590" s="21" t="str">
        <f>HYPERLINK("https://www.ncbi.nlm.nih.gov/nuccore/AB243556","NCBI Nucleotide")</f>
        <v>NCBI Nucleotide</v>
      </c>
    </row>
    <row r="2591" spans="1:27" x14ac:dyDescent="0.35">
      <c r="A2591">
        <v>1003348</v>
      </c>
      <c r="B2591">
        <v>2567</v>
      </c>
      <c r="C2591">
        <v>1</v>
      </c>
      <c r="D2591" s="17" t="s">
        <v>155</v>
      </c>
      <c r="E2591" s="17"/>
      <c r="F2591" s="17" t="s">
        <v>156</v>
      </c>
      <c r="G2591" s="17"/>
      <c r="H2591" s="17" t="s">
        <v>692</v>
      </c>
      <c r="I2591" s="17"/>
      <c r="J2591" s="17" t="s">
        <v>693</v>
      </c>
      <c r="K2591" s="17"/>
      <c r="L2591" s="17"/>
      <c r="M2591" s="17"/>
      <c r="N2591" s="17"/>
      <c r="O2591" s="17" t="s">
        <v>4752</v>
      </c>
      <c r="P2591" s="17" t="s">
        <v>4782</v>
      </c>
      <c r="Q2591" s="17"/>
      <c r="R2591" s="25" t="str">
        <f>HYPERLINK("https://ictv.global/taxonomy/taxondetails?taxnode_id=202309680","Peeveelvirus SA7")</f>
        <v>Peeveelvirus SA7</v>
      </c>
      <c r="S2591" s="18" t="s">
        <v>30</v>
      </c>
      <c r="T2591" s="18" t="s">
        <v>4797</v>
      </c>
      <c r="U2591" s="18"/>
      <c r="V2591" s="18"/>
      <c r="W2591" s="18" t="s">
        <v>4798</v>
      </c>
      <c r="X2591" s="18" t="s">
        <v>42</v>
      </c>
      <c r="Y2591" s="18" t="s">
        <v>36</v>
      </c>
      <c r="Z2591" s="18" t="s">
        <v>697</v>
      </c>
      <c r="AA2591" s="21" t="str">
        <f>HYPERLINK("https://www.ncbi.nlm.nih.gov/nuccore/KY695153","NCBI Nucleotide")</f>
        <v>NCBI Nucleotide</v>
      </c>
    </row>
    <row r="2592" spans="1:27" x14ac:dyDescent="0.35">
      <c r="A2592">
        <v>1003349</v>
      </c>
      <c r="B2592">
        <v>2568</v>
      </c>
      <c r="C2592">
        <v>1</v>
      </c>
      <c r="D2592" s="17" t="s">
        <v>155</v>
      </c>
      <c r="E2592" s="17"/>
      <c r="F2592" s="17" t="s">
        <v>156</v>
      </c>
      <c r="G2592" s="17"/>
      <c r="H2592" s="17" t="s">
        <v>692</v>
      </c>
      <c r="I2592" s="17"/>
      <c r="J2592" s="17" t="s">
        <v>693</v>
      </c>
      <c r="K2592" s="17"/>
      <c r="L2592" s="17"/>
      <c r="M2592" s="17"/>
      <c r="N2592" s="17"/>
      <c r="O2592" s="17" t="s">
        <v>4752</v>
      </c>
      <c r="P2592" s="17" t="s">
        <v>4782</v>
      </c>
      <c r="Q2592" s="17"/>
      <c r="R2592" s="25" t="str">
        <f>HYPERLINK("https://ictv.global/taxonomy/taxondetails?taxnode_id=202309682","Peeveelvirus SA780ruMSSAST101")</f>
        <v>Peeveelvirus SA780ruMSSAST101</v>
      </c>
      <c r="S2592" s="18" t="s">
        <v>30</v>
      </c>
      <c r="T2592" s="18" t="s">
        <v>4799</v>
      </c>
      <c r="U2592" s="18"/>
      <c r="V2592" s="18"/>
      <c r="W2592" s="18" t="s">
        <v>4800</v>
      </c>
      <c r="X2592" s="18" t="s">
        <v>42</v>
      </c>
      <c r="Y2592" s="18" t="s">
        <v>36</v>
      </c>
      <c r="Z2592" s="18" t="s">
        <v>697</v>
      </c>
      <c r="AA2592" s="21" t="str">
        <f>HYPERLINK("https://www.ncbi.nlm.nih.gov/nuccore/MH384260","NCBI Nucleotide")</f>
        <v>NCBI Nucleotide</v>
      </c>
    </row>
    <row r="2593" spans="1:27" x14ac:dyDescent="0.35">
      <c r="A2593">
        <v>1003350</v>
      </c>
      <c r="B2593">
        <v>2569</v>
      </c>
      <c r="C2593">
        <v>1</v>
      </c>
      <c r="D2593" s="17" t="s">
        <v>155</v>
      </c>
      <c r="E2593" s="17"/>
      <c r="F2593" s="17" t="s">
        <v>156</v>
      </c>
      <c r="G2593" s="17"/>
      <c r="H2593" s="17" t="s">
        <v>692</v>
      </c>
      <c r="I2593" s="17"/>
      <c r="J2593" s="17" t="s">
        <v>693</v>
      </c>
      <c r="K2593" s="17"/>
      <c r="L2593" s="17"/>
      <c r="M2593" s="17"/>
      <c r="N2593" s="17"/>
      <c r="O2593" s="17" t="s">
        <v>4752</v>
      </c>
      <c r="P2593" s="17" t="s">
        <v>4782</v>
      </c>
      <c r="Q2593" s="17"/>
      <c r="R2593" s="25" t="str">
        <f>HYPERLINK("https://ictv.global/taxonomy/taxondetails?taxnode_id=202309679","Peeveelvirus tp3101")</f>
        <v>Peeveelvirus tp3101</v>
      </c>
      <c r="S2593" s="18" t="s">
        <v>30</v>
      </c>
      <c r="T2593" s="18" t="s">
        <v>4801</v>
      </c>
      <c r="U2593" s="18"/>
      <c r="V2593" s="18"/>
      <c r="W2593" s="18" t="s">
        <v>4802</v>
      </c>
      <c r="X2593" s="18" t="s">
        <v>42</v>
      </c>
      <c r="Y2593" s="18" t="s">
        <v>36</v>
      </c>
      <c r="Z2593" s="18" t="s">
        <v>697</v>
      </c>
      <c r="AA2593" s="21" t="str">
        <f>HYPERLINK("https://www.ncbi.nlm.nih.gov/nuccore/EF462197","NCBI Nucleotide")</f>
        <v>NCBI Nucleotide</v>
      </c>
    </row>
    <row r="2594" spans="1:27" x14ac:dyDescent="0.35">
      <c r="A2594">
        <v>1003351</v>
      </c>
      <c r="B2594">
        <v>2570</v>
      </c>
      <c r="C2594">
        <v>1</v>
      </c>
      <c r="D2594" s="17" t="s">
        <v>155</v>
      </c>
      <c r="E2594" s="17"/>
      <c r="F2594" s="17" t="s">
        <v>156</v>
      </c>
      <c r="G2594" s="17"/>
      <c r="H2594" s="17" t="s">
        <v>692</v>
      </c>
      <c r="I2594" s="17"/>
      <c r="J2594" s="17" t="s">
        <v>693</v>
      </c>
      <c r="K2594" s="17"/>
      <c r="L2594" s="17"/>
      <c r="M2594" s="17"/>
      <c r="N2594" s="17"/>
      <c r="O2594" s="17" t="s">
        <v>4803</v>
      </c>
      <c r="P2594" s="17" t="s">
        <v>4804</v>
      </c>
      <c r="Q2594" s="17"/>
      <c r="R2594" s="25" t="str">
        <f>HYPERLINK("https://ictv.global/taxonomy/taxondetails?taxnode_id=202300413","Bixzunavirus alice")</f>
        <v>Bixzunavirus alice</v>
      </c>
      <c r="S2594" s="18" t="s">
        <v>30</v>
      </c>
      <c r="T2594" s="18" t="s">
        <v>4805</v>
      </c>
      <c r="U2594" s="18"/>
      <c r="V2594" s="18"/>
      <c r="W2594" s="18" t="s">
        <v>4806</v>
      </c>
      <c r="X2594" s="18" t="s">
        <v>42</v>
      </c>
      <c r="Y2594" s="18" t="s">
        <v>36</v>
      </c>
      <c r="Z2594" s="18" t="s">
        <v>697</v>
      </c>
      <c r="AA2594" s="21" t="str">
        <f>HYPERLINK("https://www.ncbi.nlm.nih.gov/nuccore/JF704092","NCBI Nucleotide")</f>
        <v>NCBI Nucleotide</v>
      </c>
    </row>
    <row r="2595" spans="1:27" x14ac:dyDescent="0.35">
      <c r="A2595">
        <v>1003352</v>
      </c>
      <c r="B2595">
        <v>2571</v>
      </c>
      <c r="C2595">
        <v>1</v>
      </c>
      <c r="D2595" s="17" t="s">
        <v>155</v>
      </c>
      <c r="E2595" s="17"/>
      <c r="F2595" s="17" t="s">
        <v>156</v>
      </c>
      <c r="G2595" s="17"/>
      <c r="H2595" s="17" t="s">
        <v>692</v>
      </c>
      <c r="I2595" s="17"/>
      <c r="J2595" s="17" t="s">
        <v>693</v>
      </c>
      <c r="K2595" s="17"/>
      <c r="L2595" s="17"/>
      <c r="M2595" s="17"/>
      <c r="N2595" s="17"/>
      <c r="O2595" s="17" t="s">
        <v>4803</v>
      </c>
      <c r="P2595" s="17" t="s">
        <v>4804</v>
      </c>
      <c r="Q2595" s="17"/>
      <c r="R2595" s="25" t="str">
        <f>HYPERLINK("https://ictv.global/taxonomy/taxondetails?taxnode_id=202313038","Bixzunavirus astraea")</f>
        <v>Bixzunavirus astraea</v>
      </c>
      <c r="S2595" s="18" t="s">
        <v>30</v>
      </c>
      <c r="T2595" s="18" t="s">
        <v>4807</v>
      </c>
      <c r="U2595" s="18"/>
      <c r="V2595" s="18"/>
      <c r="W2595" s="18" t="s">
        <v>4808</v>
      </c>
      <c r="X2595" s="18" t="s">
        <v>42</v>
      </c>
      <c r="Y2595" s="18" t="s">
        <v>36</v>
      </c>
      <c r="Z2595" s="18" t="s">
        <v>697</v>
      </c>
      <c r="AA2595" s="21" t="str">
        <f>HYPERLINK("https://www.ncbi.nlm.nih.gov/nuccore/KC691257","NCBI Nucleotide")</f>
        <v>NCBI Nucleotide</v>
      </c>
    </row>
    <row r="2596" spans="1:27" x14ac:dyDescent="0.35">
      <c r="A2596">
        <v>1003353</v>
      </c>
      <c r="B2596">
        <v>2572</v>
      </c>
      <c r="C2596">
        <v>1</v>
      </c>
      <c r="D2596" s="17" t="s">
        <v>155</v>
      </c>
      <c r="E2596" s="17"/>
      <c r="F2596" s="17" t="s">
        <v>156</v>
      </c>
      <c r="G2596" s="17"/>
      <c r="H2596" s="17" t="s">
        <v>692</v>
      </c>
      <c r="I2596" s="17"/>
      <c r="J2596" s="17" t="s">
        <v>693</v>
      </c>
      <c r="K2596" s="17"/>
      <c r="L2596" s="17"/>
      <c r="M2596" s="17"/>
      <c r="N2596" s="17"/>
      <c r="O2596" s="17" t="s">
        <v>4803</v>
      </c>
      <c r="P2596" s="17" t="s">
        <v>4804</v>
      </c>
      <c r="Q2596" s="17"/>
      <c r="R2596" s="25" t="str">
        <f>HYPERLINK("https://ictv.global/taxonomy/taxondetails?taxnode_id=202313039","Bixzunavirus bigswole")</f>
        <v>Bixzunavirus bigswole</v>
      </c>
      <c r="S2596" s="18" t="s">
        <v>30</v>
      </c>
      <c r="T2596" s="18" t="s">
        <v>4809</v>
      </c>
      <c r="U2596" s="18"/>
      <c r="V2596" s="18"/>
      <c r="W2596" s="18" t="s">
        <v>4810</v>
      </c>
      <c r="X2596" s="18" t="s">
        <v>42</v>
      </c>
      <c r="Y2596" s="18" t="s">
        <v>36</v>
      </c>
      <c r="Z2596" s="18" t="s">
        <v>697</v>
      </c>
      <c r="AA2596" s="21" t="str">
        <f>HYPERLINK("https://www.ncbi.nlm.nih.gov/nuccore/MF919495","NCBI Nucleotide")</f>
        <v>NCBI Nucleotide</v>
      </c>
    </row>
    <row r="2597" spans="1:27" x14ac:dyDescent="0.35">
      <c r="A2597">
        <v>1003354</v>
      </c>
      <c r="B2597">
        <v>2573</v>
      </c>
      <c r="C2597">
        <v>1</v>
      </c>
      <c r="D2597" s="17" t="s">
        <v>155</v>
      </c>
      <c r="E2597" s="17"/>
      <c r="F2597" s="17" t="s">
        <v>156</v>
      </c>
      <c r="G2597" s="17"/>
      <c r="H2597" s="17" t="s">
        <v>692</v>
      </c>
      <c r="I2597" s="17"/>
      <c r="J2597" s="17" t="s">
        <v>693</v>
      </c>
      <c r="K2597" s="17"/>
      <c r="L2597" s="17"/>
      <c r="M2597" s="17"/>
      <c r="N2597" s="17"/>
      <c r="O2597" s="17" t="s">
        <v>4803</v>
      </c>
      <c r="P2597" s="17" t="s">
        <v>4804</v>
      </c>
      <c r="Q2597" s="17"/>
      <c r="R2597" s="25" t="str">
        <f>HYPERLINK("https://ictv.global/taxonomy/taxondetails?taxnode_id=202300414","Bixzunavirus Bxz1")</f>
        <v>Bixzunavirus Bxz1</v>
      </c>
      <c r="S2597" s="18" t="s">
        <v>30</v>
      </c>
      <c r="T2597" s="18" t="s">
        <v>4811</v>
      </c>
      <c r="U2597" s="18"/>
      <c r="V2597" s="18"/>
      <c r="W2597" s="18" t="s">
        <v>4812</v>
      </c>
      <c r="X2597" s="18" t="s">
        <v>42</v>
      </c>
      <c r="Y2597" s="18" t="s">
        <v>36</v>
      </c>
      <c r="Z2597" s="18" t="s">
        <v>697</v>
      </c>
      <c r="AA2597" s="21" t="str">
        <f>HYPERLINK("https://www.ncbi.nlm.nih.gov/nuccore/AY129337","NCBI Nucleotide")</f>
        <v>NCBI Nucleotide</v>
      </c>
    </row>
    <row r="2598" spans="1:27" x14ac:dyDescent="0.35">
      <c r="A2598">
        <v>1003355</v>
      </c>
      <c r="B2598">
        <v>2574</v>
      </c>
      <c r="C2598">
        <v>1</v>
      </c>
      <c r="D2598" s="17" t="s">
        <v>155</v>
      </c>
      <c r="E2598" s="17"/>
      <c r="F2598" s="17" t="s">
        <v>156</v>
      </c>
      <c r="G2598" s="17"/>
      <c r="H2598" s="17" t="s">
        <v>692</v>
      </c>
      <c r="I2598" s="17"/>
      <c r="J2598" s="17" t="s">
        <v>693</v>
      </c>
      <c r="K2598" s="17"/>
      <c r="L2598" s="17"/>
      <c r="M2598" s="17"/>
      <c r="N2598" s="17"/>
      <c r="O2598" s="17" t="s">
        <v>4803</v>
      </c>
      <c r="P2598" s="17" t="s">
        <v>4804</v>
      </c>
      <c r="Q2598" s="17"/>
      <c r="R2598" s="25" t="str">
        <f>HYPERLINK("https://ictv.global/taxonomy/taxondetails?taxnode_id=202313040","Bixzunavirus cane17")</f>
        <v>Bixzunavirus cane17</v>
      </c>
      <c r="S2598" s="18" t="s">
        <v>30</v>
      </c>
      <c r="T2598" s="18" t="s">
        <v>4813</v>
      </c>
      <c r="U2598" s="18"/>
      <c r="V2598" s="18"/>
      <c r="W2598" s="18" t="s">
        <v>4814</v>
      </c>
      <c r="X2598" s="18" t="s">
        <v>42</v>
      </c>
      <c r="Y2598" s="18" t="s">
        <v>36</v>
      </c>
      <c r="Z2598" s="18" t="s">
        <v>697</v>
      </c>
      <c r="AA2598" s="21" t="str">
        <f>HYPERLINK("https://www.ncbi.nlm.nih.gov/nuccore/MH697579","NCBI Nucleotide")</f>
        <v>NCBI Nucleotide</v>
      </c>
    </row>
    <row r="2599" spans="1:27" x14ac:dyDescent="0.35">
      <c r="A2599">
        <v>1003356</v>
      </c>
      <c r="B2599">
        <v>2575</v>
      </c>
      <c r="C2599">
        <v>1</v>
      </c>
      <c r="D2599" s="17" t="s">
        <v>155</v>
      </c>
      <c r="E2599" s="17"/>
      <c r="F2599" s="17" t="s">
        <v>156</v>
      </c>
      <c r="G2599" s="17"/>
      <c r="H2599" s="17" t="s">
        <v>692</v>
      </c>
      <c r="I2599" s="17"/>
      <c r="J2599" s="17" t="s">
        <v>693</v>
      </c>
      <c r="K2599" s="17"/>
      <c r="L2599" s="17"/>
      <c r="M2599" s="17"/>
      <c r="N2599" s="17"/>
      <c r="O2599" s="17" t="s">
        <v>4803</v>
      </c>
      <c r="P2599" s="17" t="s">
        <v>4804</v>
      </c>
      <c r="Q2599" s="17"/>
      <c r="R2599" s="25" t="str">
        <f>HYPERLINK("https://ictv.global/taxonomy/taxondetails?taxnode_id=202313041","Bixzunavirus charlieB")</f>
        <v>Bixzunavirus charlieB</v>
      </c>
      <c r="S2599" s="18" t="s">
        <v>30</v>
      </c>
      <c r="T2599" s="18" t="s">
        <v>4815</v>
      </c>
      <c r="U2599" s="18"/>
      <c r="V2599" s="18"/>
      <c r="W2599" s="18" t="s">
        <v>4816</v>
      </c>
      <c r="X2599" s="18" t="s">
        <v>42</v>
      </c>
      <c r="Y2599" s="18" t="s">
        <v>36</v>
      </c>
      <c r="Z2599" s="18" t="s">
        <v>697</v>
      </c>
      <c r="AA2599" s="21" t="str">
        <f>HYPERLINK("https://www.ncbi.nlm.nih.gov/nuccore/MH727543","NCBI Nucleotide")</f>
        <v>NCBI Nucleotide</v>
      </c>
    </row>
    <row r="2600" spans="1:27" x14ac:dyDescent="0.35">
      <c r="A2600">
        <v>1003357</v>
      </c>
      <c r="B2600">
        <v>2576</v>
      </c>
      <c r="C2600">
        <v>1</v>
      </c>
      <c r="D2600" s="17" t="s">
        <v>155</v>
      </c>
      <c r="E2600" s="17"/>
      <c r="F2600" s="17" t="s">
        <v>156</v>
      </c>
      <c r="G2600" s="17"/>
      <c r="H2600" s="17" t="s">
        <v>692</v>
      </c>
      <c r="I2600" s="17"/>
      <c r="J2600" s="17" t="s">
        <v>693</v>
      </c>
      <c r="K2600" s="17"/>
      <c r="L2600" s="17"/>
      <c r="M2600" s="17"/>
      <c r="N2600" s="17"/>
      <c r="O2600" s="17" t="s">
        <v>4803</v>
      </c>
      <c r="P2600" s="17" t="s">
        <v>4804</v>
      </c>
      <c r="Q2600" s="17"/>
      <c r="R2600" s="25" t="str">
        <f>HYPERLINK("https://ictv.global/taxonomy/taxondetails?taxnode_id=202300415","Bixzunavirus dandelion")</f>
        <v>Bixzunavirus dandelion</v>
      </c>
      <c r="S2600" s="18" t="s">
        <v>30</v>
      </c>
      <c r="T2600" s="18" t="s">
        <v>4817</v>
      </c>
      <c r="U2600" s="18"/>
      <c r="V2600" s="18"/>
      <c r="W2600" s="18" t="s">
        <v>4818</v>
      </c>
      <c r="X2600" s="18" t="s">
        <v>42</v>
      </c>
      <c r="Y2600" s="18" t="s">
        <v>36</v>
      </c>
      <c r="Z2600" s="18" t="s">
        <v>697</v>
      </c>
      <c r="AA2600" s="21" t="str">
        <f>HYPERLINK("https://www.ncbi.nlm.nih.gov/nuccore/JN412588","NCBI Nucleotide")</f>
        <v>NCBI Nucleotide</v>
      </c>
    </row>
    <row r="2601" spans="1:27" x14ac:dyDescent="0.35">
      <c r="A2601">
        <v>1003358</v>
      </c>
      <c r="B2601">
        <v>2577</v>
      </c>
      <c r="C2601">
        <v>1</v>
      </c>
      <c r="D2601" s="17" t="s">
        <v>155</v>
      </c>
      <c r="E2601" s="17"/>
      <c r="F2601" s="17" t="s">
        <v>156</v>
      </c>
      <c r="G2601" s="17"/>
      <c r="H2601" s="17" t="s">
        <v>692</v>
      </c>
      <c r="I2601" s="17"/>
      <c r="J2601" s="17" t="s">
        <v>693</v>
      </c>
      <c r="K2601" s="17"/>
      <c r="L2601" s="17"/>
      <c r="M2601" s="17"/>
      <c r="N2601" s="17"/>
      <c r="O2601" s="17" t="s">
        <v>4803</v>
      </c>
      <c r="P2601" s="17" t="s">
        <v>4804</v>
      </c>
      <c r="Q2601" s="17"/>
      <c r="R2601" s="25" t="str">
        <f>HYPERLINK("https://ictv.global/taxonomy/taxondetails?taxnode_id=202300416","Bixzunavirus hyro")</f>
        <v>Bixzunavirus hyro</v>
      </c>
      <c r="S2601" s="18" t="s">
        <v>30</v>
      </c>
      <c r="T2601" s="18" t="s">
        <v>4819</v>
      </c>
      <c r="U2601" s="18"/>
      <c r="V2601" s="18"/>
      <c r="W2601" s="18" t="s">
        <v>4820</v>
      </c>
      <c r="X2601" s="18" t="s">
        <v>42</v>
      </c>
      <c r="Y2601" s="18" t="s">
        <v>36</v>
      </c>
      <c r="Z2601" s="18" t="s">
        <v>697</v>
      </c>
      <c r="AA2601" s="21" t="str">
        <f>HYPERLINK("https://www.ncbi.nlm.nih.gov/nuccore/KT281790","NCBI Nucleotide")</f>
        <v>NCBI Nucleotide</v>
      </c>
    </row>
    <row r="2602" spans="1:27" x14ac:dyDescent="0.35">
      <c r="A2602">
        <v>1003359</v>
      </c>
      <c r="B2602">
        <v>2578</v>
      </c>
      <c r="C2602">
        <v>1</v>
      </c>
      <c r="D2602" s="17" t="s">
        <v>155</v>
      </c>
      <c r="E2602" s="17"/>
      <c r="F2602" s="17" t="s">
        <v>156</v>
      </c>
      <c r="G2602" s="17"/>
      <c r="H2602" s="17" t="s">
        <v>692</v>
      </c>
      <c r="I2602" s="17"/>
      <c r="J2602" s="17" t="s">
        <v>693</v>
      </c>
      <c r="K2602" s="17"/>
      <c r="L2602" s="17"/>
      <c r="M2602" s="17"/>
      <c r="N2602" s="17"/>
      <c r="O2602" s="17" t="s">
        <v>4803</v>
      </c>
      <c r="P2602" s="17" t="s">
        <v>4804</v>
      </c>
      <c r="Q2602" s="17"/>
      <c r="R2602" s="25" t="str">
        <f>HYPERLINK("https://ictv.global/taxonomy/taxondetails?taxnode_id=202300417","Bixzunavirus I3")</f>
        <v>Bixzunavirus I3</v>
      </c>
      <c r="S2602" s="18" t="s">
        <v>30</v>
      </c>
      <c r="T2602" s="18" t="s">
        <v>4821</v>
      </c>
      <c r="U2602" s="18"/>
      <c r="V2602" s="18"/>
      <c r="W2602" s="18" t="s">
        <v>4822</v>
      </c>
      <c r="X2602" s="18" t="s">
        <v>154</v>
      </c>
      <c r="Y2602" s="18" t="s">
        <v>36</v>
      </c>
      <c r="Z2602" s="18" t="s">
        <v>697</v>
      </c>
      <c r="AA2602" s="21" t="str">
        <f>HYPERLINK("https://www.ncbi.nlm.nih.gov/nuccore/MW822148","NCBI Nucleotide")</f>
        <v>NCBI Nucleotide</v>
      </c>
    </row>
    <row r="2603" spans="1:27" x14ac:dyDescent="0.35">
      <c r="A2603">
        <v>1003360</v>
      </c>
      <c r="B2603">
        <v>2579</v>
      </c>
      <c r="C2603">
        <v>1</v>
      </c>
      <c r="D2603" s="17" t="s">
        <v>155</v>
      </c>
      <c r="E2603" s="17"/>
      <c r="F2603" s="17" t="s">
        <v>156</v>
      </c>
      <c r="G2603" s="17"/>
      <c r="H2603" s="17" t="s">
        <v>692</v>
      </c>
      <c r="I2603" s="17"/>
      <c r="J2603" s="17" t="s">
        <v>693</v>
      </c>
      <c r="K2603" s="17"/>
      <c r="L2603" s="17"/>
      <c r="M2603" s="17"/>
      <c r="N2603" s="17"/>
      <c r="O2603" s="17" t="s">
        <v>4803</v>
      </c>
      <c r="P2603" s="17" t="s">
        <v>4804</v>
      </c>
      <c r="Q2603" s="17"/>
      <c r="R2603" s="25" t="str">
        <f>HYPERLINK("https://ictv.global/taxonomy/taxondetails?taxnode_id=202306997","Bixzunavirus lukilu")</f>
        <v>Bixzunavirus lukilu</v>
      </c>
      <c r="S2603" s="18" t="s">
        <v>30</v>
      </c>
      <c r="T2603" s="18" t="s">
        <v>4823</v>
      </c>
      <c r="U2603" s="18"/>
      <c r="V2603" s="18"/>
      <c r="W2603" s="18" t="s">
        <v>4824</v>
      </c>
      <c r="X2603" s="18" t="s">
        <v>42</v>
      </c>
      <c r="Y2603" s="18" t="s">
        <v>36</v>
      </c>
      <c r="Z2603" s="18" t="s">
        <v>697</v>
      </c>
      <c r="AA2603" s="21" t="str">
        <f>HYPERLINK("https://www.ncbi.nlm.nih.gov/nuccore/KX831080","NCBI Nucleotide")</f>
        <v>NCBI Nucleotide</v>
      </c>
    </row>
    <row r="2604" spans="1:27" x14ac:dyDescent="0.35">
      <c r="A2604">
        <v>1003361</v>
      </c>
      <c r="B2604">
        <v>2580</v>
      </c>
      <c r="C2604">
        <v>1</v>
      </c>
      <c r="D2604" s="17" t="s">
        <v>155</v>
      </c>
      <c r="E2604" s="17"/>
      <c r="F2604" s="17" t="s">
        <v>156</v>
      </c>
      <c r="G2604" s="17"/>
      <c r="H2604" s="17" t="s">
        <v>692</v>
      </c>
      <c r="I2604" s="17"/>
      <c r="J2604" s="17" t="s">
        <v>693</v>
      </c>
      <c r="K2604" s="17"/>
      <c r="L2604" s="17"/>
      <c r="M2604" s="17"/>
      <c r="N2604" s="17"/>
      <c r="O2604" s="17" t="s">
        <v>4803</v>
      </c>
      <c r="P2604" s="17" t="s">
        <v>4804</v>
      </c>
      <c r="Q2604" s="17"/>
      <c r="R2604" s="25" t="str">
        <f>HYPERLINK("https://ictv.global/taxonomy/taxondetails?taxnode_id=202313042","Bixzunavirus mangeria")</f>
        <v>Bixzunavirus mangeria</v>
      </c>
      <c r="S2604" s="18" t="s">
        <v>30</v>
      </c>
      <c r="T2604" s="18" t="s">
        <v>4825</v>
      </c>
      <c r="U2604" s="18"/>
      <c r="V2604" s="18"/>
      <c r="W2604" s="18" t="s">
        <v>4826</v>
      </c>
      <c r="X2604" s="18" t="s">
        <v>42</v>
      </c>
      <c r="Y2604" s="18" t="s">
        <v>36</v>
      </c>
      <c r="Z2604" s="18" t="s">
        <v>697</v>
      </c>
      <c r="AA2604" s="21" t="str">
        <f>HYPERLINK("https://www.ncbi.nlm.nih.gov/nuccore/MN735434","NCBI Nucleotide")</f>
        <v>NCBI Nucleotide</v>
      </c>
    </row>
    <row r="2605" spans="1:27" x14ac:dyDescent="0.35">
      <c r="A2605">
        <v>1003362</v>
      </c>
      <c r="B2605">
        <v>2581</v>
      </c>
      <c r="C2605">
        <v>1</v>
      </c>
      <c r="D2605" s="17" t="s">
        <v>155</v>
      </c>
      <c r="E2605" s="17"/>
      <c r="F2605" s="17" t="s">
        <v>156</v>
      </c>
      <c r="G2605" s="17"/>
      <c r="H2605" s="17" t="s">
        <v>692</v>
      </c>
      <c r="I2605" s="17"/>
      <c r="J2605" s="17" t="s">
        <v>693</v>
      </c>
      <c r="K2605" s="17"/>
      <c r="L2605" s="17"/>
      <c r="M2605" s="17"/>
      <c r="N2605" s="17"/>
      <c r="O2605" s="17" t="s">
        <v>4803</v>
      </c>
      <c r="P2605" s="17" t="s">
        <v>4804</v>
      </c>
      <c r="Q2605" s="17"/>
      <c r="R2605" s="25" t="str">
        <f>HYPERLINK("https://ictv.global/taxonomy/taxondetails?taxnode_id=202300418","Bixzunavirus nappy")</f>
        <v>Bixzunavirus nappy</v>
      </c>
      <c r="S2605" s="18" t="s">
        <v>30</v>
      </c>
      <c r="T2605" s="18" t="s">
        <v>4827</v>
      </c>
      <c r="U2605" s="18"/>
      <c r="V2605" s="18"/>
      <c r="W2605" s="18" t="s">
        <v>4828</v>
      </c>
      <c r="X2605" s="18" t="s">
        <v>42</v>
      </c>
      <c r="Y2605" s="18" t="s">
        <v>36</v>
      </c>
      <c r="Z2605" s="18" t="s">
        <v>697</v>
      </c>
      <c r="AA2605" s="21" t="str">
        <f>HYPERLINK("https://www.ncbi.nlm.nih.gov/nuccore/JN699627","NCBI Nucleotide")</f>
        <v>NCBI Nucleotide</v>
      </c>
    </row>
    <row r="2606" spans="1:27" x14ac:dyDescent="0.35">
      <c r="A2606">
        <v>1003363</v>
      </c>
      <c r="B2606">
        <v>2582</v>
      </c>
      <c r="C2606">
        <v>1</v>
      </c>
      <c r="D2606" s="17" t="s">
        <v>155</v>
      </c>
      <c r="E2606" s="17"/>
      <c r="F2606" s="17" t="s">
        <v>156</v>
      </c>
      <c r="G2606" s="17"/>
      <c r="H2606" s="17" t="s">
        <v>692</v>
      </c>
      <c r="I2606" s="17"/>
      <c r="J2606" s="17" t="s">
        <v>693</v>
      </c>
      <c r="K2606" s="17"/>
      <c r="L2606" s="17"/>
      <c r="M2606" s="17"/>
      <c r="N2606" s="17"/>
      <c r="O2606" s="17" t="s">
        <v>4803</v>
      </c>
      <c r="P2606" s="17" t="s">
        <v>4804</v>
      </c>
      <c r="Q2606" s="17"/>
      <c r="R2606" s="25" t="str">
        <f>HYPERLINK("https://ictv.global/taxonomy/taxondetails?taxnode_id=202313043","Bixzunavirus noodletree")</f>
        <v>Bixzunavirus noodletree</v>
      </c>
      <c r="S2606" s="18" t="s">
        <v>30</v>
      </c>
      <c r="T2606" s="18" t="s">
        <v>4829</v>
      </c>
      <c r="U2606" s="18"/>
      <c r="V2606" s="18"/>
      <c r="W2606" s="18" t="s">
        <v>4830</v>
      </c>
      <c r="X2606" s="18" t="s">
        <v>42</v>
      </c>
      <c r="Y2606" s="18" t="s">
        <v>36</v>
      </c>
      <c r="Z2606" s="18" t="s">
        <v>697</v>
      </c>
      <c r="AA2606" s="21" t="str">
        <f>HYPERLINK("https://www.ncbi.nlm.nih.gov/nuccore/MK359346","NCBI Nucleotide")</f>
        <v>NCBI Nucleotide</v>
      </c>
    </row>
    <row r="2607" spans="1:27" x14ac:dyDescent="0.35">
      <c r="A2607">
        <v>1003364</v>
      </c>
      <c r="B2607">
        <v>2583</v>
      </c>
      <c r="C2607">
        <v>1</v>
      </c>
      <c r="D2607" s="17" t="s">
        <v>155</v>
      </c>
      <c r="E2607" s="17"/>
      <c r="F2607" s="17" t="s">
        <v>156</v>
      </c>
      <c r="G2607" s="17"/>
      <c r="H2607" s="17" t="s">
        <v>692</v>
      </c>
      <c r="I2607" s="17"/>
      <c r="J2607" s="17" t="s">
        <v>693</v>
      </c>
      <c r="K2607" s="17"/>
      <c r="L2607" s="17"/>
      <c r="M2607" s="17"/>
      <c r="N2607" s="17"/>
      <c r="O2607" s="17" t="s">
        <v>4803</v>
      </c>
      <c r="P2607" s="17" t="s">
        <v>4804</v>
      </c>
      <c r="Q2607" s="17"/>
      <c r="R2607" s="25" t="str">
        <f>HYPERLINK("https://ictv.global/taxonomy/taxondetails?taxnode_id=202313044","Bixzunavirus qbert")</f>
        <v>Bixzunavirus qbert</v>
      </c>
      <c r="S2607" s="18" t="s">
        <v>30</v>
      </c>
      <c r="T2607" s="18" t="s">
        <v>4831</v>
      </c>
      <c r="U2607" s="18"/>
      <c r="V2607" s="18"/>
      <c r="W2607" s="18" t="s">
        <v>4832</v>
      </c>
      <c r="X2607" s="18" t="s">
        <v>42</v>
      </c>
      <c r="Y2607" s="18" t="s">
        <v>36</v>
      </c>
      <c r="Z2607" s="18" t="s">
        <v>697</v>
      </c>
      <c r="AA2607" s="21" t="str">
        <f>HYPERLINK("https://www.ncbi.nlm.nih.gov/nuccore/MK359345","NCBI Nucleotide")</f>
        <v>NCBI Nucleotide</v>
      </c>
    </row>
    <row r="2608" spans="1:27" x14ac:dyDescent="0.35">
      <c r="A2608">
        <v>1003365</v>
      </c>
      <c r="B2608">
        <v>2584</v>
      </c>
      <c r="C2608">
        <v>1</v>
      </c>
      <c r="D2608" s="17" t="s">
        <v>155</v>
      </c>
      <c r="E2608" s="17"/>
      <c r="F2608" s="17" t="s">
        <v>156</v>
      </c>
      <c r="G2608" s="17"/>
      <c r="H2608" s="17" t="s">
        <v>692</v>
      </c>
      <c r="I2608" s="17"/>
      <c r="J2608" s="17" t="s">
        <v>693</v>
      </c>
      <c r="K2608" s="17"/>
      <c r="L2608" s="17"/>
      <c r="M2608" s="17"/>
      <c r="N2608" s="17"/>
      <c r="O2608" s="17" t="s">
        <v>4803</v>
      </c>
      <c r="P2608" s="17" t="s">
        <v>4804</v>
      </c>
      <c r="Q2608" s="17"/>
      <c r="R2608" s="25" t="str">
        <f>HYPERLINK("https://ictv.global/taxonomy/taxondetails?taxnode_id=202313045","Bixzunavirus quasimodo")</f>
        <v>Bixzunavirus quasimodo</v>
      </c>
      <c r="S2608" s="18" t="s">
        <v>30</v>
      </c>
      <c r="T2608" s="18" t="s">
        <v>4833</v>
      </c>
      <c r="U2608" s="18"/>
      <c r="V2608" s="18"/>
      <c r="W2608" s="18" t="s">
        <v>4834</v>
      </c>
      <c r="X2608" s="18" t="s">
        <v>42</v>
      </c>
      <c r="Y2608" s="18" t="s">
        <v>36</v>
      </c>
      <c r="Z2608" s="18" t="s">
        <v>697</v>
      </c>
      <c r="AA2608" s="21" t="str">
        <f>HYPERLINK("https://www.ncbi.nlm.nih.gov/nuccore/MT723945","NCBI Nucleotide")</f>
        <v>NCBI Nucleotide</v>
      </c>
    </row>
    <row r="2609" spans="1:27" x14ac:dyDescent="0.35">
      <c r="A2609">
        <v>1003366</v>
      </c>
      <c r="B2609">
        <v>2585</v>
      </c>
      <c r="C2609">
        <v>1</v>
      </c>
      <c r="D2609" s="17" t="s">
        <v>155</v>
      </c>
      <c r="E2609" s="17"/>
      <c r="F2609" s="17" t="s">
        <v>156</v>
      </c>
      <c r="G2609" s="17"/>
      <c r="H2609" s="17" t="s">
        <v>692</v>
      </c>
      <c r="I2609" s="17"/>
      <c r="J2609" s="17" t="s">
        <v>693</v>
      </c>
      <c r="K2609" s="17"/>
      <c r="L2609" s="17"/>
      <c r="M2609" s="17"/>
      <c r="N2609" s="17"/>
      <c r="O2609" s="17" t="s">
        <v>4803</v>
      </c>
      <c r="P2609" s="17" t="s">
        <v>4804</v>
      </c>
      <c r="Q2609" s="17"/>
      <c r="R2609" s="25" t="str">
        <f>HYPERLINK("https://ictv.global/taxonomy/taxondetails?taxnode_id=202313046","Bixzunavirus sauce")</f>
        <v>Bixzunavirus sauce</v>
      </c>
      <c r="S2609" s="18" t="s">
        <v>30</v>
      </c>
      <c r="T2609" s="18" t="s">
        <v>4835</v>
      </c>
      <c r="U2609" s="18"/>
      <c r="V2609" s="18"/>
      <c r="W2609" s="18" t="s">
        <v>4836</v>
      </c>
      <c r="X2609" s="18" t="s">
        <v>42</v>
      </c>
      <c r="Y2609" s="18" t="s">
        <v>36</v>
      </c>
      <c r="Z2609" s="18" t="s">
        <v>697</v>
      </c>
      <c r="AA2609" s="21" t="str">
        <f>HYPERLINK("https://www.ncbi.nlm.nih.gov/nuccore/MH910040","NCBI Nucleotide")</f>
        <v>NCBI Nucleotide</v>
      </c>
    </row>
    <row r="2610" spans="1:27" x14ac:dyDescent="0.35">
      <c r="A2610">
        <v>1003367</v>
      </c>
      <c r="B2610">
        <v>2586</v>
      </c>
      <c r="C2610">
        <v>1</v>
      </c>
      <c r="D2610" s="17" t="s">
        <v>155</v>
      </c>
      <c r="E2610" s="17"/>
      <c r="F2610" s="17" t="s">
        <v>156</v>
      </c>
      <c r="G2610" s="17"/>
      <c r="H2610" s="17" t="s">
        <v>692</v>
      </c>
      <c r="I2610" s="17"/>
      <c r="J2610" s="17" t="s">
        <v>693</v>
      </c>
      <c r="K2610" s="17"/>
      <c r="L2610" s="17"/>
      <c r="M2610" s="17"/>
      <c r="N2610" s="17"/>
      <c r="O2610" s="17" t="s">
        <v>4803</v>
      </c>
      <c r="P2610" s="17" t="s">
        <v>4804</v>
      </c>
      <c r="Q2610" s="17"/>
      <c r="R2610" s="25" t="str">
        <f>HYPERLINK("https://ictv.global/taxonomy/taxondetails?taxnode_id=202300419","Bixzunavirus sebata")</f>
        <v>Bixzunavirus sebata</v>
      </c>
      <c r="S2610" s="18" t="s">
        <v>30</v>
      </c>
      <c r="T2610" s="18" t="s">
        <v>4837</v>
      </c>
      <c r="U2610" s="18"/>
      <c r="V2610" s="18"/>
      <c r="W2610" s="18" t="s">
        <v>4838</v>
      </c>
      <c r="X2610" s="18" t="s">
        <v>42</v>
      </c>
      <c r="Y2610" s="18" t="s">
        <v>36</v>
      </c>
      <c r="Z2610" s="18" t="s">
        <v>697</v>
      </c>
      <c r="AA2610" s="21" t="str">
        <f>HYPERLINK("https://www.ncbi.nlm.nih.gov/nuccore/JN204348","NCBI Nucleotide")</f>
        <v>NCBI Nucleotide</v>
      </c>
    </row>
    <row r="2611" spans="1:27" x14ac:dyDescent="0.35">
      <c r="A2611">
        <v>1003368</v>
      </c>
      <c r="B2611">
        <v>2587</v>
      </c>
      <c r="C2611">
        <v>1</v>
      </c>
      <c r="D2611" s="17" t="s">
        <v>155</v>
      </c>
      <c r="E2611" s="17"/>
      <c r="F2611" s="17" t="s">
        <v>156</v>
      </c>
      <c r="G2611" s="17"/>
      <c r="H2611" s="17" t="s">
        <v>692</v>
      </c>
      <c r="I2611" s="17"/>
      <c r="J2611" s="17" t="s">
        <v>693</v>
      </c>
      <c r="K2611" s="17"/>
      <c r="L2611" s="17"/>
      <c r="M2611" s="17"/>
      <c r="N2611" s="17"/>
      <c r="O2611" s="17" t="s">
        <v>4803</v>
      </c>
      <c r="P2611" s="17" t="s">
        <v>4804</v>
      </c>
      <c r="Q2611" s="17"/>
      <c r="R2611" s="25" t="str">
        <f>HYPERLINK("https://ictv.global/taxonomy/taxondetails?taxnode_id=202313047","Bixzunavirus tonenili")</f>
        <v>Bixzunavirus tonenili</v>
      </c>
      <c r="S2611" s="18" t="s">
        <v>30</v>
      </c>
      <c r="T2611" s="18" t="s">
        <v>4839</v>
      </c>
      <c r="U2611" s="18"/>
      <c r="V2611" s="18"/>
      <c r="W2611" s="18" t="s">
        <v>4840</v>
      </c>
      <c r="X2611" s="18" t="s">
        <v>42</v>
      </c>
      <c r="Y2611" s="18" t="s">
        <v>36</v>
      </c>
      <c r="Z2611" s="18" t="s">
        <v>697</v>
      </c>
      <c r="AA2611" s="21" t="str">
        <f>HYPERLINK("https://www.ncbi.nlm.nih.gov/nuccore/KX752698","NCBI Nucleotide")</f>
        <v>NCBI Nucleotide</v>
      </c>
    </row>
    <row r="2612" spans="1:27" x14ac:dyDescent="0.35">
      <c r="A2612">
        <v>1003369</v>
      </c>
      <c r="B2612">
        <v>2588</v>
      </c>
      <c r="C2612">
        <v>1</v>
      </c>
      <c r="D2612" s="17" t="s">
        <v>155</v>
      </c>
      <c r="E2612" s="17"/>
      <c r="F2612" s="17" t="s">
        <v>156</v>
      </c>
      <c r="G2612" s="17"/>
      <c r="H2612" s="17" t="s">
        <v>692</v>
      </c>
      <c r="I2612" s="17"/>
      <c r="J2612" s="17" t="s">
        <v>693</v>
      </c>
      <c r="K2612" s="17"/>
      <c r="L2612" s="17"/>
      <c r="M2612" s="17"/>
      <c r="N2612" s="17"/>
      <c r="O2612" s="17" t="s">
        <v>4803</v>
      </c>
      <c r="P2612" s="17" t="s">
        <v>4841</v>
      </c>
      <c r="Q2612" s="17"/>
      <c r="R2612" s="25" t="str">
        <f>HYPERLINK("https://ictv.global/taxonomy/taxondetails?taxnode_id=202313037","Myranavirus phabba")</f>
        <v>Myranavirus phabba</v>
      </c>
      <c r="S2612" s="18" t="s">
        <v>30</v>
      </c>
      <c r="T2612" s="18" t="s">
        <v>4842</v>
      </c>
      <c r="U2612" s="18"/>
      <c r="V2612" s="18"/>
      <c r="W2612" s="18" t="s">
        <v>4843</v>
      </c>
      <c r="X2612" s="18" t="s">
        <v>42</v>
      </c>
      <c r="Y2612" s="18" t="s">
        <v>36</v>
      </c>
      <c r="Z2612" s="18" t="s">
        <v>697</v>
      </c>
      <c r="AA2612" s="21" t="str">
        <f>HYPERLINK("https://www.ncbi.nlm.nih.gov/nuccore/MF668280","NCBI Nucleotide")</f>
        <v>NCBI Nucleotide</v>
      </c>
    </row>
    <row r="2613" spans="1:27" x14ac:dyDescent="0.35">
      <c r="A2613">
        <v>1003370</v>
      </c>
      <c r="B2613">
        <v>2589</v>
      </c>
      <c r="C2613">
        <v>1</v>
      </c>
      <c r="D2613" s="17" t="s">
        <v>155</v>
      </c>
      <c r="E2613" s="17"/>
      <c r="F2613" s="17" t="s">
        <v>156</v>
      </c>
      <c r="G2613" s="17"/>
      <c r="H2613" s="17" t="s">
        <v>692</v>
      </c>
      <c r="I2613" s="17"/>
      <c r="J2613" s="17" t="s">
        <v>693</v>
      </c>
      <c r="K2613" s="17"/>
      <c r="L2613" s="17"/>
      <c r="M2613" s="17"/>
      <c r="N2613" s="17"/>
      <c r="O2613" s="17" t="s">
        <v>4803</v>
      </c>
      <c r="P2613" s="17" t="s">
        <v>4841</v>
      </c>
      <c r="Q2613" s="17"/>
      <c r="R2613" s="25" t="str">
        <f>HYPERLINK("https://ictv.global/taxonomy/taxondetails?taxnode_id=202313036","Myrnavirus myrna")</f>
        <v>Myrnavirus myrna</v>
      </c>
      <c r="S2613" s="18" t="s">
        <v>30</v>
      </c>
      <c r="T2613" s="18" t="s">
        <v>4844</v>
      </c>
      <c r="U2613" s="18"/>
      <c r="V2613" s="18"/>
      <c r="W2613" s="18" t="s">
        <v>4845</v>
      </c>
      <c r="X2613" s="18" t="s">
        <v>42</v>
      </c>
      <c r="Y2613" s="18" t="s">
        <v>36</v>
      </c>
      <c r="Z2613" s="18" t="s">
        <v>697</v>
      </c>
      <c r="AA2613" s="21" t="str">
        <f>HYPERLINK("https://www.ncbi.nlm.nih.gov/nuccore/EU826466","NCBI Nucleotide")</f>
        <v>NCBI Nucleotide</v>
      </c>
    </row>
    <row r="2614" spans="1:27" x14ac:dyDescent="0.35">
      <c r="A2614">
        <v>1003371</v>
      </c>
      <c r="B2614">
        <v>2590</v>
      </c>
      <c r="C2614">
        <v>1</v>
      </c>
      <c r="D2614" s="17" t="s">
        <v>155</v>
      </c>
      <c r="E2614" s="17"/>
      <c r="F2614" s="17" t="s">
        <v>156</v>
      </c>
      <c r="G2614" s="17"/>
      <c r="H2614" s="17" t="s">
        <v>692</v>
      </c>
      <c r="I2614" s="17"/>
      <c r="J2614" s="17" t="s">
        <v>693</v>
      </c>
      <c r="K2614" s="17"/>
      <c r="L2614" s="17"/>
      <c r="M2614" s="17"/>
      <c r="N2614" s="17"/>
      <c r="O2614" s="17" t="s">
        <v>4846</v>
      </c>
      <c r="P2614" s="17" t="s">
        <v>4847</v>
      </c>
      <c r="Q2614" s="17"/>
      <c r="R2614" s="25" t="str">
        <f>HYPERLINK("https://ictv.global/taxonomy/taxondetails?taxnode_id=202300920","Brujitavirus babsiella")</f>
        <v>Brujitavirus babsiella</v>
      </c>
      <c r="S2614" s="18" t="s">
        <v>30</v>
      </c>
      <c r="T2614" s="18" t="s">
        <v>4848</v>
      </c>
      <c r="U2614" s="18"/>
      <c r="V2614" s="18"/>
      <c r="W2614" s="18" t="s">
        <v>4849</v>
      </c>
      <c r="X2614" s="18" t="s">
        <v>42</v>
      </c>
      <c r="Y2614" s="18" t="s">
        <v>36</v>
      </c>
      <c r="Z2614" s="18" t="s">
        <v>697</v>
      </c>
      <c r="AA2614" s="21" t="str">
        <f>HYPERLINK("https://www.ncbi.nlm.nih.gov/nuccore/JN699001","NCBI Nucleotide")</f>
        <v>NCBI Nucleotide</v>
      </c>
    </row>
    <row r="2615" spans="1:27" x14ac:dyDescent="0.35">
      <c r="A2615">
        <v>1003698</v>
      </c>
      <c r="B2615">
        <v>2591</v>
      </c>
      <c r="C2615">
        <v>1</v>
      </c>
      <c r="D2615" s="17" t="s">
        <v>155</v>
      </c>
      <c r="E2615" s="17"/>
      <c r="F2615" s="17" t="s">
        <v>156</v>
      </c>
      <c r="G2615" s="17"/>
      <c r="H2615" s="17" t="s">
        <v>692</v>
      </c>
      <c r="I2615" s="17"/>
      <c r="J2615" s="17" t="s">
        <v>693</v>
      </c>
      <c r="K2615" s="17"/>
      <c r="L2615" s="17"/>
      <c r="M2615" s="17"/>
      <c r="N2615" s="17"/>
      <c r="O2615" s="17" t="s">
        <v>4846</v>
      </c>
      <c r="P2615" s="17" t="s">
        <v>4847</v>
      </c>
      <c r="Q2615" s="17"/>
      <c r="R2615" s="25" t="str">
        <f>HYPERLINK("https://ictv.global/taxonomy/taxondetails?taxnode_id=202300921","Brujitavirus brujita")</f>
        <v>Brujitavirus brujita</v>
      </c>
      <c r="S2615" s="18" t="s">
        <v>30</v>
      </c>
      <c r="T2615" s="18" t="s">
        <v>4850</v>
      </c>
      <c r="U2615" s="18"/>
      <c r="V2615" s="18"/>
      <c r="W2615" s="18" t="s">
        <v>4851</v>
      </c>
      <c r="X2615" s="18" t="s">
        <v>42</v>
      </c>
      <c r="Y2615" s="18" t="s">
        <v>36</v>
      </c>
      <c r="Z2615" s="18" t="s">
        <v>697</v>
      </c>
      <c r="AA2615" s="21" t="str">
        <f>HYPERLINK("https://www.ncbi.nlm.nih.gov/nuccore/FJ168659","NCBI Nucleotide")</f>
        <v>NCBI Nucleotide</v>
      </c>
    </row>
    <row r="2616" spans="1:27" x14ac:dyDescent="0.35">
      <c r="A2616">
        <v>1003699</v>
      </c>
      <c r="B2616">
        <v>2592</v>
      </c>
      <c r="C2616">
        <v>1</v>
      </c>
      <c r="D2616" s="17" t="s">
        <v>155</v>
      </c>
      <c r="E2616" s="17"/>
      <c r="F2616" s="17" t="s">
        <v>156</v>
      </c>
      <c r="G2616" s="17"/>
      <c r="H2616" s="17" t="s">
        <v>692</v>
      </c>
      <c r="I2616" s="17"/>
      <c r="J2616" s="17" t="s">
        <v>693</v>
      </c>
      <c r="K2616" s="17"/>
      <c r="L2616" s="17"/>
      <c r="M2616" s="17"/>
      <c r="N2616" s="17"/>
      <c r="O2616" s="17" t="s">
        <v>4846</v>
      </c>
      <c r="P2616" s="17" t="s">
        <v>4847</v>
      </c>
      <c r="Q2616" s="17"/>
      <c r="R2616" s="25" t="str">
        <f>HYPERLINK("https://ictv.global/taxonomy/taxondetails?taxnode_id=202312982","Brujitavirus HC")</f>
        <v>Brujitavirus HC</v>
      </c>
      <c r="S2616" s="18" t="s">
        <v>30</v>
      </c>
      <c r="T2616" s="18" t="s">
        <v>4852</v>
      </c>
      <c r="U2616" s="18"/>
      <c r="V2616" s="18"/>
      <c r="W2616" s="18" t="s">
        <v>4853</v>
      </c>
      <c r="X2616" s="18" t="s">
        <v>42</v>
      </c>
      <c r="Y2616" s="18" t="s">
        <v>36</v>
      </c>
      <c r="Z2616" s="18" t="s">
        <v>697</v>
      </c>
      <c r="AA2616" s="21" t="str">
        <f>HYPERLINK("https://www.ncbi.nlm.nih.gov/nuccore/AP018487","NCBI Nucleotide")</f>
        <v>NCBI Nucleotide</v>
      </c>
    </row>
    <row r="2617" spans="1:27" x14ac:dyDescent="0.35">
      <c r="A2617">
        <v>1003700</v>
      </c>
      <c r="B2617">
        <v>2593</v>
      </c>
      <c r="C2617">
        <v>1</v>
      </c>
      <c r="D2617" s="17" t="s">
        <v>155</v>
      </c>
      <c r="E2617" s="17"/>
      <c r="F2617" s="17" t="s">
        <v>156</v>
      </c>
      <c r="G2617" s="17"/>
      <c r="H2617" s="17" t="s">
        <v>692</v>
      </c>
      <c r="I2617" s="17"/>
      <c r="J2617" s="17" t="s">
        <v>693</v>
      </c>
      <c r="K2617" s="17"/>
      <c r="L2617" s="17"/>
      <c r="M2617" s="17"/>
      <c r="N2617" s="17"/>
      <c r="O2617" s="17" t="s">
        <v>4846</v>
      </c>
      <c r="P2617" s="17" t="s">
        <v>4847</v>
      </c>
      <c r="Q2617" s="17"/>
      <c r="R2617" s="25" t="str">
        <f>HYPERLINK("https://ictv.global/taxonomy/taxondetails?taxnode_id=202312981","Brujitavirus xula")</f>
        <v>Brujitavirus xula</v>
      </c>
      <c r="S2617" s="18" t="s">
        <v>30</v>
      </c>
      <c r="T2617" s="18" t="s">
        <v>4854</v>
      </c>
      <c r="U2617" s="18"/>
      <c r="V2617" s="18"/>
      <c r="W2617" s="18" t="s">
        <v>4855</v>
      </c>
      <c r="X2617" s="18" t="s">
        <v>42</v>
      </c>
      <c r="Y2617" s="18" t="s">
        <v>36</v>
      </c>
      <c r="Z2617" s="18" t="s">
        <v>697</v>
      </c>
      <c r="AA2617" s="21" t="str">
        <f>HYPERLINK("https://www.ncbi.nlm.nih.gov/nuccore/MN234195","NCBI Nucleotide")</f>
        <v>NCBI Nucleotide</v>
      </c>
    </row>
    <row r="2618" spans="1:27" x14ac:dyDescent="0.35">
      <c r="A2618">
        <v>1024550</v>
      </c>
      <c r="B2618">
        <v>2594</v>
      </c>
      <c r="C2618">
        <v>1</v>
      </c>
      <c r="D2618" s="17" t="s">
        <v>155</v>
      </c>
      <c r="E2618" s="17"/>
      <c r="F2618" s="17" t="s">
        <v>156</v>
      </c>
      <c r="G2618" s="17"/>
      <c r="H2618" s="17" t="s">
        <v>692</v>
      </c>
      <c r="I2618" s="17"/>
      <c r="J2618" s="17" t="s">
        <v>693</v>
      </c>
      <c r="K2618" s="17"/>
      <c r="L2618" s="17"/>
      <c r="M2618" s="17"/>
      <c r="N2618" s="17"/>
      <c r="O2618" s="17" t="s">
        <v>39523</v>
      </c>
      <c r="P2618" s="17" t="s">
        <v>39524</v>
      </c>
      <c r="Q2618" s="17"/>
      <c r="R2618" s="25" t="str">
        <f>HYPERLINK("https://ictv.global/taxonomy/taxondetails?taxnode_id=202318403","Elesarvirus elesar")</f>
        <v>Elesarvirus elesar</v>
      </c>
      <c r="S2618" s="18" t="s">
        <v>30</v>
      </c>
      <c r="T2618" s="18" t="s">
        <v>39525</v>
      </c>
      <c r="U2618" s="18"/>
      <c r="V2618" s="18"/>
      <c r="W2618" s="18" t="s">
        <v>48240</v>
      </c>
      <c r="X2618" s="18" t="s">
        <v>42</v>
      </c>
      <c r="Y2618" s="18" t="s">
        <v>36</v>
      </c>
      <c r="Z2618" s="18" t="s">
        <v>697</v>
      </c>
      <c r="AA2618" s="21" t="str">
        <f>HYPERLINK("https://www.ncbi.nlm.nih.gov/nuccore/MK392368","NCBI Nucleotide")</f>
        <v>NCBI Nucleotide</v>
      </c>
    </row>
    <row r="2619" spans="1:27" x14ac:dyDescent="0.35">
      <c r="A2619">
        <v>1024774</v>
      </c>
      <c r="B2619">
        <v>2595</v>
      </c>
      <c r="C2619">
        <v>1</v>
      </c>
      <c r="D2619" s="17" t="s">
        <v>155</v>
      </c>
      <c r="E2619" s="17"/>
      <c r="F2619" s="17" t="s">
        <v>156</v>
      </c>
      <c r="G2619" s="17"/>
      <c r="H2619" s="17" t="s">
        <v>692</v>
      </c>
      <c r="I2619" s="17"/>
      <c r="J2619" s="17" t="s">
        <v>693</v>
      </c>
      <c r="K2619" s="17"/>
      <c r="L2619" s="17"/>
      <c r="M2619" s="17"/>
      <c r="N2619" s="17"/>
      <c r="O2619" s="17" t="s">
        <v>39523</v>
      </c>
      <c r="P2619" s="17" t="s">
        <v>39526</v>
      </c>
      <c r="Q2619" s="17"/>
      <c r="R2619" s="25" t="str">
        <f>HYPERLINK("https://ictv.global/taxonomy/taxondetails?taxnode_id=202318400","Nanditavirus cole")</f>
        <v>Nanditavirus cole</v>
      </c>
      <c r="S2619" s="18" t="s">
        <v>30</v>
      </c>
      <c r="T2619" s="18" t="s">
        <v>39527</v>
      </c>
      <c r="U2619" s="18"/>
      <c r="V2619" s="18"/>
      <c r="W2619" s="18" t="s">
        <v>48241</v>
      </c>
      <c r="X2619" s="18" t="s">
        <v>42</v>
      </c>
      <c r="Y2619" s="18" t="s">
        <v>36</v>
      </c>
      <c r="Z2619" s="18" t="s">
        <v>697</v>
      </c>
      <c r="AA2619" s="21" t="str">
        <f>HYPERLINK("https://www.ncbi.nlm.nih.gov/nuccore/ON392166","NCBI Nucleotide")</f>
        <v>NCBI Nucleotide</v>
      </c>
    </row>
    <row r="2620" spans="1:27" x14ac:dyDescent="0.35">
      <c r="A2620">
        <v>1024775</v>
      </c>
      <c r="B2620">
        <v>2596</v>
      </c>
      <c r="C2620">
        <v>1</v>
      </c>
      <c r="D2620" s="17" t="s">
        <v>155</v>
      </c>
      <c r="E2620" s="17"/>
      <c r="F2620" s="17" t="s">
        <v>156</v>
      </c>
      <c r="G2620" s="17"/>
      <c r="H2620" s="17" t="s">
        <v>692</v>
      </c>
      <c r="I2620" s="17"/>
      <c r="J2620" s="17" t="s">
        <v>693</v>
      </c>
      <c r="K2620" s="17"/>
      <c r="L2620" s="17"/>
      <c r="M2620" s="17"/>
      <c r="N2620" s="17"/>
      <c r="O2620" s="17" t="s">
        <v>39523</v>
      </c>
      <c r="P2620" s="17" t="s">
        <v>39526</v>
      </c>
      <c r="Q2620" s="17"/>
      <c r="R2620" s="25" t="str">
        <f>HYPERLINK("https://ictv.global/taxonomy/taxondetails?taxnode_id=202318398","Nanditavirus nandita")</f>
        <v>Nanditavirus nandita</v>
      </c>
      <c r="S2620" s="18" t="s">
        <v>30</v>
      </c>
      <c r="T2620" s="18" t="s">
        <v>39528</v>
      </c>
      <c r="U2620" s="18"/>
      <c r="V2620" s="18"/>
      <c r="W2620" s="18" t="s">
        <v>48242</v>
      </c>
      <c r="X2620" s="18" t="s">
        <v>42</v>
      </c>
      <c r="Y2620" s="18" t="s">
        <v>36</v>
      </c>
      <c r="Z2620" s="18" t="s">
        <v>697</v>
      </c>
      <c r="AA2620" s="21" t="str">
        <f>HYPERLINK("https://www.ncbi.nlm.nih.gov/nuccore/MH834621","NCBI Nucleotide")</f>
        <v>NCBI Nucleotide</v>
      </c>
    </row>
    <row r="2621" spans="1:27" x14ac:dyDescent="0.35">
      <c r="A2621">
        <v>1024776</v>
      </c>
      <c r="B2621">
        <v>2597</v>
      </c>
      <c r="C2621">
        <v>1</v>
      </c>
      <c r="D2621" s="17" t="s">
        <v>155</v>
      </c>
      <c r="E2621" s="17"/>
      <c r="F2621" s="17" t="s">
        <v>156</v>
      </c>
      <c r="G2621" s="17"/>
      <c r="H2621" s="17" t="s">
        <v>692</v>
      </c>
      <c r="I2621" s="17"/>
      <c r="J2621" s="17" t="s">
        <v>693</v>
      </c>
      <c r="K2621" s="17"/>
      <c r="L2621" s="17"/>
      <c r="M2621" s="17"/>
      <c r="N2621" s="17"/>
      <c r="O2621" s="17" t="s">
        <v>39523</v>
      </c>
      <c r="P2621" s="17" t="s">
        <v>39526</v>
      </c>
      <c r="Q2621" s="17"/>
      <c r="R2621" s="25" t="str">
        <f>HYPERLINK("https://ictv.global/taxonomy/taxondetails?taxnode_id=202318402","Nanditavirus popper")</f>
        <v>Nanditavirus popper</v>
      </c>
      <c r="S2621" s="18" t="s">
        <v>30</v>
      </c>
      <c r="T2621" s="18" t="s">
        <v>39529</v>
      </c>
      <c r="U2621" s="18"/>
      <c r="V2621" s="18"/>
      <c r="W2621" s="18" t="s">
        <v>48243</v>
      </c>
      <c r="X2621" s="18" t="s">
        <v>42</v>
      </c>
      <c r="Y2621" s="18" t="s">
        <v>36</v>
      </c>
      <c r="Z2621" s="18" t="s">
        <v>697</v>
      </c>
      <c r="AA2621" s="21" t="str">
        <f>HYPERLINK("https://www.ncbi.nlm.nih.gov/nuccore/MZ274308","NCBI Nucleotide")</f>
        <v>NCBI Nucleotide</v>
      </c>
    </row>
    <row r="2622" spans="1:27" x14ac:dyDescent="0.35">
      <c r="A2622">
        <v>1024777</v>
      </c>
      <c r="B2622">
        <v>2598</v>
      </c>
      <c r="C2622">
        <v>1</v>
      </c>
      <c r="D2622" s="17" t="s">
        <v>155</v>
      </c>
      <c r="E2622" s="17"/>
      <c r="F2622" s="17" t="s">
        <v>156</v>
      </c>
      <c r="G2622" s="17"/>
      <c r="H2622" s="17" t="s">
        <v>692</v>
      </c>
      <c r="I2622" s="17"/>
      <c r="J2622" s="17" t="s">
        <v>693</v>
      </c>
      <c r="K2622" s="17"/>
      <c r="L2622" s="17"/>
      <c r="M2622" s="17"/>
      <c r="N2622" s="17"/>
      <c r="O2622" s="17" t="s">
        <v>39523</v>
      </c>
      <c r="P2622" s="17" t="s">
        <v>39526</v>
      </c>
      <c r="Q2622" s="17"/>
      <c r="R2622" s="25" t="str">
        <f>HYPERLINK("https://ictv.global/taxonomy/taxondetails?taxnode_id=202318399","Nanditavirus ryan")</f>
        <v>Nanditavirus ryan</v>
      </c>
      <c r="S2622" s="18" t="s">
        <v>30</v>
      </c>
      <c r="T2622" s="18" t="s">
        <v>39530</v>
      </c>
      <c r="U2622" s="18"/>
      <c r="V2622" s="18"/>
      <c r="W2622" s="18" t="s">
        <v>48244</v>
      </c>
      <c r="X2622" s="18" t="s">
        <v>42</v>
      </c>
      <c r="Y2622" s="18" t="s">
        <v>36</v>
      </c>
      <c r="Z2622" s="18" t="s">
        <v>697</v>
      </c>
      <c r="AA2622" s="21" t="str">
        <f>HYPERLINK("https://www.ncbi.nlm.nih.gov/nuccore/MH834627","NCBI Nucleotide")</f>
        <v>NCBI Nucleotide</v>
      </c>
    </row>
    <row r="2623" spans="1:27" x14ac:dyDescent="0.35">
      <c r="A2623">
        <v>1024778</v>
      </c>
      <c r="B2623">
        <v>2599</v>
      </c>
      <c r="C2623">
        <v>1</v>
      </c>
      <c r="D2623" s="17" t="s">
        <v>155</v>
      </c>
      <c r="E2623" s="17"/>
      <c r="F2623" s="17" t="s">
        <v>156</v>
      </c>
      <c r="G2623" s="17"/>
      <c r="H2623" s="17" t="s">
        <v>692</v>
      </c>
      <c r="I2623" s="17"/>
      <c r="J2623" s="17" t="s">
        <v>693</v>
      </c>
      <c r="K2623" s="17"/>
      <c r="L2623" s="17"/>
      <c r="M2623" s="17"/>
      <c r="N2623" s="17"/>
      <c r="O2623" s="17" t="s">
        <v>39523</v>
      </c>
      <c r="P2623" s="17" t="s">
        <v>39526</v>
      </c>
      <c r="Q2623" s="17"/>
      <c r="R2623" s="25" t="str">
        <f>HYPERLINK("https://ictv.global/taxonomy/taxondetails?taxnode_id=202318401","Nanditavirus zaheer")</f>
        <v>Nanditavirus zaheer</v>
      </c>
      <c r="S2623" s="18" t="s">
        <v>30</v>
      </c>
      <c r="T2623" s="18" t="s">
        <v>39531</v>
      </c>
      <c r="U2623" s="18"/>
      <c r="V2623" s="18"/>
      <c r="W2623" s="18" t="s">
        <v>48245</v>
      </c>
      <c r="X2623" s="18" t="s">
        <v>42</v>
      </c>
      <c r="Y2623" s="18" t="s">
        <v>36</v>
      </c>
      <c r="Z2623" s="18" t="s">
        <v>697</v>
      </c>
      <c r="AA2623" s="21" t="str">
        <f>HYPERLINK("https://www.ncbi.nlm.nih.gov/nuccore/MZ150784","NCBI Nucleotide")</f>
        <v>NCBI Nucleotide</v>
      </c>
    </row>
    <row r="2624" spans="1:27" x14ac:dyDescent="0.35">
      <c r="A2624">
        <v>1003701</v>
      </c>
      <c r="B2624">
        <v>2600</v>
      </c>
      <c r="C2624">
        <v>1</v>
      </c>
      <c r="D2624" s="17" t="s">
        <v>155</v>
      </c>
      <c r="E2624" s="17"/>
      <c r="F2624" s="17" t="s">
        <v>156</v>
      </c>
      <c r="G2624" s="17"/>
      <c r="H2624" s="17" t="s">
        <v>692</v>
      </c>
      <c r="I2624" s="17"/>
      <c r="J2624" s="17" t="s">
        <v>693</v>
      </c>
      <c r="K2624" s="17"/>
      <c r="L2624" s="17"/>
      <c r="M2624" s="17"/>
      <c r="N2624" s="17"/>
      <c r="O2624" s="17" t="s">
        <v>4856</v>
      </c>
      <c r="P2624" s="17" t="s">
        <v>4857</v>
      </c>
      <c r="Q2624" s="17"/>
      <c r="R2624" s="25" t="str">
        <f>HYPERLINK("https://ictv.global/taxonomy/taxondetails?taxnode_id=202305508","Hawkeyevirus hawkeye")</f>
        <v>Hawkeyevirus hawkeye</v>
      </c>
      <c r="S2624" s="18" t="s">
        <v>30</v>
      </c>
      <c r="T2624" s="18" t="s">
        <v>4858</v>
      </c>
      <c r="U2624" s="18"/>
      <c r="V2624" s="18"/>
      <c r="W2624" s="18" t="s">
        <v>4859</v>
      </c>
      <c r="X2624" s="18" t="s">
        <v>42</v>
      </c>
      <c r="Y2624" s="18" t="s">
        <v>36</v>
      </c>
      <c r="Z2624" s="18" t="s">
        <v>697</v>
      </c>
      <c r="AA2624" s="21" t="str">
        <f>HYPERLINK("https://www.ncbi.nlm.nih.gov/nuccore/KJ194582","NCBI Nucleotide")</f>
        <v>NCBI Nucleotide</v>
      </c>
    </row>
    <row r="2625" spans="1:27" x14ac:dyDescent="0.35">
      <c r="A2625">
        <v>1003702</v>
      </c>
      <c r="B2625">
        <v>2601</v>
      </c>
      <c r="C2625">
        <v>1</v>
      </c>
      <c r="D2625" s="17" t="s">
        <v>155</v>
      </c>
      <c r="E2625" s="17"/>
      <c r="F2625" s="17" t="s">
        <v>156</v>
      </c>
      <c r="G2625" s="17"/>
      <c r="H2625" s="17" t="s">
        <v>692</v>
      </c>
      <c r="I2625" s="17"/>
      <c r="J2625" s="17" t="s">
        <v>693</v>
      </c>
      <c r="K2625" s="17"/>
      <c r="L2625" s="17"/>
      <c r="M2625" s="17"/>
      <c r="N2625" s="17"/>
      <c r="O2625" s="17" t="s">
        <v>4856</v>
      </c>
      <c r="P2625" s="17" t="s">
        <v>4860</v>
      </c>
      <c r="Q2625" s="17"/>
      <c r="R2625" s="25" t="str">
        <f>HYPERLINK("https://ictv.global/taxonomy/taxondetails?taxnode_id=202305510","Plotvirus plot")</f>
        <v>Plotvirus plot</v>
      </c>
      <c r="S2625" s="18" t="s">
        <v>30</v>
      </c>
      <c r="T2625" s="18" t="s">
        <v>4861</v>
      </c>
      <c r="U2625" s="18"/>
      <c r="V2625" s="18"/>
      <c r="W2625" s="18" t="s">
        <v>4862</v>
      </c>
      <c r="X2625" s="18" t="s">
        <v>42</v>
      </c>
      <c r="Y2625" s="18" t="s">
        <v>36</v>
      </c>
      <c r="Z2625" s="18" t="s">
        <v>697</v>
      </c>
      <c r="AA2625" s="21" t="str">
        <f>HYPERLINK("https://www.ncbi.nlm.nih.gov/nuccore/DQ398051","NCBI Nucleotide")</f>
        <v>NCBI Nucleotide</v>
      </c>
    </row>
    <row r="2626" spans="1:27" x14ac:dyDescent="0.35">
      <c r="A2626">
        <v>1003703</v>
      </c>
      <c r="B2626">
        <v>2602</v>
      </c>
      <c r="C2626">
        <v>1</v>
      </c>
      <c r="D2626" s="17" t="s">
        <v>155</v>
      </c>
      <c r="E2626" s="17"/>
      <c r="F2626" s="17" t="s">
        <v>156</v>
      </c>
      <c r="G2626" s="17"/>
      <c r="H2626" s="17" t="s">
        <v>692</v>
      </c>
      <c r="I2626" s="17"/>
      <c r="J2626" s="17" t="s">
        <v>693</v>
      </c>
      <c r="K2626" s="17"/>
      <c r="L2626" s="17"/>
      <c r="M2626" s="17"/>
      <c r="N2626" s="17"/>
      <c r="O2626" s="17" t="s">
        <v>4863</v>
      </c>
      <c r="P2626" s="17" t="s">
        <v>4864</v>
      </c>
      <c r="Q2626" s="17"/>
      <c r="R2626" s="25" t="str">
        <f>HYPERLINK("https://ictv.global/taxonomy/taxondetails?taxnode_id=202309927","Kenoshavirus chikenjars")</f>
        <v>Kenoshavirus chikenjars</v>
      </c>
      <c r="S2626" s="18" t="s">
        <v>30</v>
      </c>
      <c r="T2626" s="18" t="s">
        <v>4865</v>
      </c>
      <c r="U2626" s="18"/>
      <c r="V2626" s="18"/>
      <c r="W2626" s="18" t="s">
        <v>4866</v>
      </c>
      <c r="X2626" s="18" t="s">
        <v>42</v>
      </c>
      <c r="Y2626" s="18" t="s">
        <v>36</v>
      </c>
      <c r="Z2626" s="18" t="s">
        <v>697</v>
      </c>
      <c r="AA2626" s="21" t="str">
        <f>HYPERLINK("https://www.ncbi.nlm.nih.gov/nuccore/MN204501","NCBI Nucleotide")</f>
        <v>NCBI Nucleotide</v>
      </c>
    </row>
    <row r="2627" spans="1:27" x14ac:dyDescent="0.35">
      <c r="A2627">
        <v>1003704</v>
      </c>
      <c r="B2627">
        <v>2603</v>
      </c>
      <c r="C2627">
        <v>1</v>
      </c>
      <c r="D2627" s="17" t="s">
        <v>155</v>
      </c>
      <c r="E2627" s="17"/>
      <c r="F2627" s="17" t="s">
        <v>156</v>
      </c>
      <c r="G2627" s="17"/>
      <c r="H2627" s="17" t="s">
        <v>692</v>
      </c>
      <c r="I2627" s="17"/>
      <c r="J2627" s="17" t="s">
        <v>693</v>
      </c>
      <c r="K2627" s="17"/>
      <c r="L2627" s="17"/>
      <c r="M2627" s="17"/>
      <c r="N2627" s="17"/>
      <c r="O2627" s="17" t="s">
        <v>4863</v>
      </c>
      <c r="P2627" s="17" t="s">
        <v>4864</v>
      </c>
      <c r="Q2627" s="17"/>
      <c r="R2627" s="25" t="str">
        <f>HYPERLINK("https://ictv.global/taxonomy/taxondetails?taxnode_id=202309925","Kenoshavirus crocheter")</f>
        <v>Kenoshavirus crocheter</v>
      </c>
      <c r="S2627" s="18" t="s">
        <v>30</v>
      </c>
      <c r="T2627" s="18" t="s">
        <v>4867</v>
      </c>
      <c r="U2627" s="18"/>
      <c r="V2627" s="18"/>
      <c r="W2627" s="18" t="s">
        <v>4868</v>
      </c>
      <c r="X2627" s="18" t="s">
        <v>42</v>
      </c>
      <c r="Y2627" s="18" t="s">
        <v>36</v>
      </c>
      <c r="Z2627" s="18" t="s">
        <v>697</v>
      </c>
      <c r="AA2627" s="21" t="str">
        <f>HYPERLINK("https://www.ncbi.nlm.nih.gov/nuccore/MN585996","NCBI Nucleotide")</f>
        <v>NCBI Nucleotide</v>
      </c>
    </row>
    <row r="2628" spans="1:27" x14ac:dyDescent="0.35">
      <c r="A2628">
        <v>1003705</v>
      </c>
      <c r="B2628">
        <v>2604</v>
      </c>
      <c r="C2628">
        <v>1</v>
      </c>
      <c r="D2628" s="17" t="s">
        <v>155</v>
      </c>
      <c r="E2628" s="17"/>
      <c r="F2628" s="17" t="s">
        <v>156</v>
      </c>
      <c r="G2628" s="17"/>
      <c r="H2628" s="17" t="s">
        <v>692</v>
      </c>
      <c r="I2628" s="17"/>
      <c r="J2628" s="17" t="s">
        <v>693</v>
      </c>
      <c r="K2628" s="17"/>
      <c r="L2628" s="17"/>
      <c r="M2628" s="17"/>
      <c r="N2628" s="17"/>
      <c r="O2628" s="17" t="s">
        <v>4863</v>
      </c>
      <c r="P2628" s="17" t="s">
        <v>4864</v>
      </c>
      <c r="Q2628" s="17"/>
      <c r="R2628" s="25" t="str">
        <f>HYPERLINK("https://ictv.global/taxonomy/taxondetails?taxnode_id=202309928","Kenoshavirus duffington")</f>
        <v>Kenoshavirus duffington</v>
      </c>
      <c r="S2628" s="18" t="s">
        <v>30</v>
      </c>
      <c r="T2628" s="18" t="s">
        <v>4869</v>
      </c>
      <c r="U2628" s="18"/>
      <c r="V2628" s="18"/>
      <c r="W2628" s="18" t="s">
        <v>4870</v>
      </c>
      <c r="X2628" s="18" t="s">
        <v>42</v>
      </c>
      <c r="Y2628" s="18" t="s">
        <v>36</v>
      </c>
      <c r="Z2628" s="18" t="s">
        <v>697</v>
      </c>
      <c r="AA2628" s="21" t="str">
        <f>HYPERLINK("https://www.ncbi.nlm.nih.gov/nuccore/MK376957","NCBI Nucleotide")</f>
        <v>NCBI Nucleotide</v>
      </c>
    </row>
    <row r="2629" spans="1:27" x14ac:dyDescent="0.35">
      <c r="A2629">
        <v>1003706</v>
      </c>
      <c r="B2629">
        <v>2605</v>
      </c>
      <c r="C2629">
        <v>1</v>
      </c>
      <c r="D2629" s="17" t="s">
        <v>155</v>
      </c>
      <c r="E2629" s="17"/>
      <c r="F2629" s="17" t="s">
        <v>156</v>
      </c>
      <c r="G2629" s="17"/>
      <c r="H2629" s="17" t="s">
        <v>692</v>
      </c>
      <c r="I2629" s="17"/>
      <c r="J2629" s="17" t="s">
        <v>693</v>
      </c>
      <c r="K2629" s="17"/>
      <c r="L2629" s="17"/>
      <c r="M2629" s="17"/>
      <c r="N2629" s="17"/>
      <c r="O2629" s="17" t="s">
        <v>4863</v>
      </c>
      <c r="P2629" s="17" t="s">
        <v>4864</v>
      </c>
      <c r="Q2629" s="17"/>
      <c r="R2629" s="25" t="str">
        <f>HYPERLINK("https://ictv.global/taxonomy/taxondetails?taxnode_id=202309923","Kenoshavirus kenosha")</f>
        <v>Kenoshavirus kenosha</v>
      </c>
      <c r="S2629" s="18" t="s">
        <v>30</v>
      </c>
      <c r="T2629" s="18" t="s">
        <v>4871</v>
      </c>
      <c r="U2629" s="18"/>
      <c r="V2629" s="18"/>
      <c r="W2629" s="18" t="s">
        <v>4872</v>
      </c>
      <c r="X2629" s="18" t="s">
        <v>42</v>
      </c>
      <c r="Y2629" s="18" t="s">
        <v>36</v>
      </c>
      <c r="Z2629" s="18" t="s">
        <v>697</v>
      </c>
      <c r="AA2629" s="21" t="str">
        <f>HYPERLINK("https://www.ncbi.nlm.nih.gov/nuccore/MN010761","NCBI Nucleotide")</f>
        <v>NCBI Nucleotide</v>
      </c>
    </row>
    <row r="2630" spans="1:27" x14ac:dyDescent="0.35">
      <c r="A2630">
        <v>1003707</v>
      </c>
      <c r="B2630">
        <v>2606</v>
      </c>
      <c r="C2630">
        <v>1</v>
      </c>
      <c r="D2630" s="17" t="s">
        <v>155</v>
      </c>
      <c r="E2630" s="17"/>
      <c r="F2630" s="17" t="s">
        <v>156</v>
      </c>
      <c r="G2630" s="17"/>
      <c r="H2630" s="17" t="s">
        <v>692</v>
      </c>
      <c r="I2630" s="17"/>
      <c r="J2630" s="17" t="s">
        <v>693</v>
      </c>
      <c r="K2630" s="17"/>
      <c r="L2630" s="17"/>
      <c r="M2630" s="17"/>
      <c r="N2630" s="17"/>
      <c r="O2630" s="17" t="s">
        <v>4863</v>
      </c>
      <c r="P2630" s="17" t="s">
        <v>4864</v>
      </c>
      <c r="Q2630" s="17"/>
      <c r="R2630" s="25" t="str">
        <f>HYPERLINK("https://ictv.global/taxonomy/taxondetails?taxnode_id=202309929","Kenoshavirus ohmyward")</f>
        <v>Kenoshavirus ohmyward</v>
      </c>
      <c r="S2630" s="18" t="s">
        <v>30</v>
      </c>
      <c r="T2630" s="18" t="s">
        <v>4873</v>
      </c>
      <c r="U2630" s="18"/>
      <c r="V2630" s="18"/>
      <c r="W2630" s="18" t="s">
        <v>4874</v>
      </c>
      <c r="X2630" s="18" t="s">
        <v>42</v>
      </c>
      <c r="Y2630" s="18" t="s">
        <v>36</v>
      </c>
      <c r="Z2630" s="18" t="s">
        <v>697</v>
      </c>
      <c r="AA2630" s="21" t="str">
        <f>HYPERLINK("https://www.ncbi.nlm.nih.gov/nuccore/MN284896","NCBI Nucleotide")</f>
        <v>NCBI Nucleotide</v>
      </c>
    </row>
    <row r="2631" spans="1:27" x14ac:dyDescent="0.35">
      <c r="A2631">
        <v>1003708</v>
      </c>
      <c r="B2631">
        <v>2607</v>
      </c>
      <c r="C2631">
        <v>1</v>
      </c>
      <c r="D2631" s="17" t="s">
        <v>155</v>
      </c>
      <c r="E2631" s="17"/>
      <c r="F2631" s="17" t="s">
        <v>156</v>
      </c>
      <c r="G2631" s="17"/>
      <c r="H2631" s="17" t="s">
        <v>692</v>
      </c>
      <c r="I2631" s="17"/>
      <c r="J2631" s="17" t="s">
        <v>693</v>
      </c>
      <c r="K2631" s="17"/>
      <c r="L2631" s="17"/>
      <c r="M2631" s="17"/>
      <c r="N2631" s="17"/>
      <c r="O2631" s="17" t="s">
        <v>4863</v>
      </c>
      <c r="P2631" s="17" t="s">
        <v>4864</v>
      </c>
      <c r="Q2631" s="17"/>
      <c r="R2631" s="25" t="str">
        <f>HYPERLINK("https://ictv.global/taxonomy/taxondetails?taxnode_id=202309926","Kenoshavirus rickmore")</f>
        <v>Kenoshavirus rickmore</v>
      </c>
      <c r="S2631" s="18" t="s">
        <v>30</v>
      </c>
      <c r="T2631" s="18" t="s">
        <v>4875</v>
      </c>
      <c r="U2631" s="18"/>
      <c r="V2631" s="18"/>
      <c r="W2631" s="18" t="s">
        <v>4876</v>
      </c>
      <c r="X2631" s="18" t="s">
        <v>42</v>
      </c>
      <c r="Y2631" s="18" t="s">
        <v>36</v>
      </c>
      <c r="Z2631" s="18" t="s">
        <v>697</v>
      </c>
      <c r="AA2631" s="21" t="str">
        <f>HYPERLINK("https://www.ncbi.nlm.nih.gov/nuccore/MK376953","NCBI Nucleotide")</f>
        <v>NCBI Nucleotide</v>
      </c>
    </row>
    <row r="2632" spans="1:27" x14ac:dyDescent="0.35">
      <c r="A2632">
        <v>1003709</v>
      </c>
      <c r="B2632">
        <v>2608</v>
      </c>
      <c r="C2632">
        <v>1</v>
      </c>
      <c r="D2632" s="17" t="s">
        <v>155</v>
      </c>
      <c r="E2632" s="17"/>
      <c r="F2632" s="17" t="s">
        <v>156</v>
      </c>
      <c r="G2632" s="17"/>
      <c r="H2632" s="17" t="s">
        <v>692</v>
      </c>
      <c r="I2632" s="17"/>
      <c r="J2632" s="17" t="s">
        <v>693</v>
      </c>
      <c r="K2632" s="17"/>
      <c r="L2632" s="17"/>
      <c r="M2632" s="17"/>
      <c r="N2632" s="17"/>
      <c r="O2632" s="17" t="s">
        <v>4863</v>
      </c>
      <c r="P2632" s="17" t="s">
        <v>4864</v>
      </c>
      <c r="Q2632" s="17"/>
      <c r="R2632" s="25" t="str">
        <f>HYPERLINK("https://ictv.global/taxonomy/taxondetails?taxnode_id=202309924","Kenoshavirus untouchable")</f>
        <v>Kenoshavirus untouchable</v>
      </c>
      <c r="S2632" s="18" t="s">
        <v>30</v>
      </c>
      <c r="T2632" s="18" t="s">
        <v>4877</v>
      </c>
      <c r="U2632" s="18"/>
      <c r="V2632" s="18"/>
      <c r="W2632" s="18" t="s">
        <v>4878</v>
      </c>
      <c r="X2632" s="18" t="s">
        <v>42</v>
      </c>
      <c r="Y2632" s="18" t="s">
        <v>36</v>
      </c>
      <c r="Z2632" s="18" t="s">
        <v>697</v>
      </c>
      <c r="AA2632" s="21" t="str">
        <f>HYPERLINK("https://www.ncbi.nlm.nih.gov/nuccore/MN585982","NCBI Nucleotide")</f>
        <v>NCBI Nucleotide</v>
      </c>
    </row>
    <row r="2633" spans="1:27" x14ac:dyDescent="0.35">
      <c r="A2633">
        <v>1003710</v>
      </c>
      <c r="B2633">
        <v>2609</v>
      </c>
      <c r="C2633">
        <v>1</v>
      </c>
      <c r="D2633" s="17" t="s">
        <v>155</v>
      </c>
      <c r="E2633" s="17"/>
      <c r="F2633" s="17" t="s">
        <v>156</v>
      </c>
      <c r="G2633" s="17"/>
      <c r="H2633" s="17" t="s">
        <v>692</v>
      </c>
      <c r="I2633" s="17"/>
      <c r="J2633" s="17" t="s">
        <v>693</v>
      </c>
      <c r="K2633" s="17"/>
      <c r="L2633" s="17"/>
      <c r="M2633" s="17"/>
      <c r="N2633" s="17"/>
      <c r="O2633" s="17" t="s">
        <v>4863</v>
      </c>
      <c r="P2633" s="17" t="s">
        <v>4879</v>
      </c>
      <c r="Q2633" s="17"/>
      <c r="R2633" s="25" t="str">
        <f>HYPERLINK("https://ictv.global/taxonomy/taxondetails?taxnode_id=202309918","Secretariatvirus secretariat")</f>
        <v>Secretariatvirus secretariat</v>
      </c>
      <c r="S2633" s="18" t="s">
        <v>30</v>
      </c>
      <c r="T2633" s="18" t="s">
        <v>4880</v>
      </c>
      <c r="U2633" s="18"/>
      <c r="V2633" s="18"/>
      <c r="W2633" s="18" t="s">
        <v>4881</v>
      </c>
      <c r="X2633" s="18" t="s">
        <v>42</v>
      </c>
      <c r="Y2633" s="18" t="s">
        <v>36</v>
      </c>
      <c r="Z2633" s="18" t="s">
        <v>697</v>
      </c>
      <c r="AA2633" s="21" t="str">
        <f>HYPERLINK("https://www.ncbi.nlm.nih.gov/nuccore/MT310850","NCBI Nucleotide")</f>
        <v>NCBI Nucleotide</v>
      </c>
    </row>
    <row r="2634" spans="1:27" x14ac:dyDescent="0.35">
      <c r="A2634">
        <v>1003711</v>
      </c>
      <c r="B2634">
        <v>2610</v>
      </c>
      <c r="C2634">
        <v>1</v>
      </c>
      <c r="D2634" s="17" t="s">
        <v>155</v>
      </c>
      <c r="E2634" s="17"/>
      <c r="F2634" s="17" t="s">
        <v>156</v>
      </c>
      <c r="G2634" s="17"/>
      <c r="H2634" s="17" t="s">
        <v>692</v>
      </c>
      <c r="I2634" s="17"/>
      <c r="J2634" s="17" t="s">
        <v>693</v>
      </c>
      <c r="K2634" s="17"/>
      <c r="L2634" s="17"/>
      <c r="M2634" s="17"/>
      <c r="N2634" s="17"/>
      <c r="O2634" s="17" t="s">
        <v>4863</v>
      </c>
      <c r="P2634" s="17" t="s">
        <v>4882</v>
      </c>
      <c r="Q2634" s="17"/>
      <c r="R2634" s="25" t="str">
        <f>HYPERLINK("https://ictv.global/taxonomy/taxondetails?taxnode_id=202309921","Tanisvirus avazak")</f>
        <v>Tanisvirus avazak</v>
      </c>
      <c r="S2634" s="18" t="s">
        <v>30</v>
      </c>
      <c r="T2634" s="18" t="s">
        <v>4883</v>
      </c>
      <c r="U2634" s="18"/>
      <c r="V2634" s="18"/>
      <c r="W2634" s="18" t="s">
        <v>4884</v>
      </c>
      <c r="X2634" s="18" t="s">
        <v>42</v>
      </c>
      <c r="Y2634" s="18" t="s">
        <v>36</v>
      </c>
      <c r="Z2634" s="18" t="s">
        <v>697</v>
      </c>
      <c r="AA2634" s="21" t="str">
        <f>HYPERLINK("https://www.ncbi.nlm.nih.gov/nuccore/MN585971","NCBI Nucleotide")</f>
        <v>NCBI Nucleotide</v>
      </c>
    </row>
    <row r="2635" spans="1:27" x14ac:dyDescent="0.35">
      <c r="A2635">
        <v>1003712</v>
      </c>
      <c r="B2635">
        <v>2611</v>
      </c>
      <c r="C2635">
        <v>1</v>
      </c>
      <c r="D2635" s="17" t="s">
        <v>155</v>
      </c>
      <c r="E2635" s="17"/>
      <c r="F2635" s="17" t="s">
        <v>156</v>
      </c>
      <c r="G2635" s="17"/>
      <c r="H2635" s="17" t="s">
        <v>692</v>
      </c>
      <c r="I2635" s="17"/>
      <c r="J2635" s="17" t="s">
        <v>693</v>
      </c>
      <c r="K2635" s="17"/>
      <c r="L2635" s="17"/>
      <c r="M2635" s="17"/>
      <c r="N2635" s="17"/>
      <c r="O2635" s="17" t="s">
        <v>4863</v>
      </c>
      <c r="P2635" s="17" t="s">
        <v>4882</v>
      </c>
      <c r="Q2635" s="17"/>
      <c r="R2635" s="25" t="str">
        <f>HYPERLINK("https://ictv.global/taxonomy/taxondetails?taxnode_id=202309920","Tanisvirus tanis")</f>
        <v>Tanisvirus tanis</v>
      </c>
      <c r="S2635" s="18" t="s">
        <v>30</v>
      </c>
      <c r="T2635" s="18" t="s">
        <v>4885</v>
      </c>
      <c r="U2635" s="18"/>
      <c r="V2635" s="18"/>
      <c r="W2635" s="18" t="s">
        <v>4886</v>
      </c>
      <c r="X2635" s="18" t="s">
        <v>42</v>
      </c>
      <c r="Y2635" s="18" t="s">
        <v>36</v>
      </c>
      <c r="Z2635" s="18" t="s">
        <v>697</v>
      </c>
      <c r="AA2635" s="21" t="str">
        <f>HYPERLINK("https://www.ncbi.nlm.nih.gov/nuccore/MN284904","NCBI Nucleotide")</f>
        <v>NCBI Nucleotide</v>
      </c>
    </row>
    <row r="2636" spans="1:27" x14ac:dyDescent="0.35">
      <c r="A2636">
        <v>1003713</v>
      </c>
      <c r="B2636">
        <v>2612</v>
      </c>
      <c r="C2636">
        <v>1</v>
      </c>
      <c r="D2636" s="17" t="s">
        <v>155</v>
      </c>
      <c r="E2636" s="17"/>
      <c r="F2636" s="17" t="s">
        <v>156</v>
      </c>
      <c r="G2636" s="17"/>
      <c r="H2636" s="17" t="s">
        <v>692</v>
      </c>
      <c r="I2636" s="17"/>
      <c r="J2636" s="17" t="s">
        <v>693</v>
      </c>
      <c r="K2636" s="17"/>
      <c r="L2636" s="17"/>
      <c r="M2636" s="17"/>
      <c r="N2636" s="17"/>
      <c r="O2636" s="17" t="s">
        <v>4887</v>
      </c>
      <c r="P2636" s="17" t="s">
        <v>4888</v>
      </c>
      <c r="Q2636" s="17"/>
      <c r="R2636" s="25" t="str">
        <f>HYPERLINK("https://ictv.global/taxonomy/taxondetails?taxnode_id=202314571","Nevillevirus neville")</f>
        <v>Nevillevirus neville</v>
      </c>
      <c r="S2636" s="18" t="s">
        <v>30</v>
      </c>
      <c r="T2636" s="18" t="s">
        <v>4889</v>
      </c>
      <c r="U2636" s="18"/>
      <c r="V2636" s="18"/>
      <c r="W2636" s="18" t="s">
        <v>4890</v>
      </c>
      <c r="X2636" s="18" t="s">
        <v>42</v>
      </c>
      <c r="Y2636" s="18" t="s">
        <v>36</v>
      </c>
      <c r="Z2636" s="18" t="s">
        <v>697</v>
      </c>
      <c r="AA2636" s="21" t="str">
        <f>HYPERLINK("https://www.ncbi.nlm.nih.gov/nuccore/MH651182","NCBI Nucleotide")</f>
        <v>NCBI Nucleotide</v>
      </c>
    </row>
    <row r="2637" spans="1:27" x14ac:dyDescent="0.35">
      <c r="A2637">
        <v>1003714</v>
      </c>
      <c r="B2637">
        <v>2613</v>
      </c>
      <c r="C2637">
        <v>1</v>
      </c>
      <c r="D2637" s="17" t="s">
        <v>155</v>
      </c>
      <c r="E2637" s="17"/>
      <c r="F2637" s="17" t="s">
        <v>156</v>
      </c>
      <c r="G2637" s="17"/>
      <c r="H2637" s="17" t="s">
        <v>692</v>
      </c>
      <c r="I2637" s="17"/>
      <c r="J2637" s="17" t="s">
        <v>693</v>
      </c>
      <c r="K2637" s="17"/>
      <c r="L2637" s="17"/>
      <c r="M2637" s="17"/>
      <c r="N2637" s="17"/>
      <c r="O2637" s="17" t="s">
        <v>4887</v>
      </c>
      <c r="P2637" s="17" t="s">
        <v>4888</v>
      </c>
      <c r="Q2637" s="17"/>
      <c r="R2637" s="25" t="str">
        <f>HYPERLINK("https://ictv.global/taxonomy/taxondetails?taxnode_id=202314573","Nevillevirus rabbitrun")</f>
        <v>Nevillevirus rabbitrun</v>
      </c>
      <c r="S2637" s="18" t="s">
        <v>30</v>
      </c>
      <c r="T2637" s="18" t="s">
        <v>4891</v>
      </c>
      <c r="U2637" s="18"/>
      <c r="V2637" s="18"/>
      <c r="W2637" s="18" t="s">
        <v>4892</v>
      </c>
      <c r="X2637" s="18" t="s">
        <v>42</v>
      </c>
      <c r="Y2637" s="18" t="s">
        <v>36</v>
      </c>
      <c r="Z2637" s="18" t="s">
        <v>697</v>
      </c>
      <c r="AA2637" s="21" t="str">
        <f>HYPERLINK("https://www.ncbi.nlm.nih.gov/nuccore/MT658805","NCBI Nucleotide")</f>
        <v>NCBI Nucleotide</v>
      </c>
    </row>
    <row r="2638" spans="1:27" x14ac:dyDescent="0.35">
      <c r="A2638">
        <v>1003715</v>
      </c>
      <c r="B2638">
        <v>2614</v>
      </c>
      <c r="C2638">
        <v>1</v>
      </c>
      <c r="D2638" s="17" t="s">
        <v>155</v>
      </c>
      <c r="E2638" s="17"/>
      <c r="F2638" s="17" t="s">
        <v>156</v>
      </c>
      <c r="G2638" s="17"/>
      <c r="H2638" s="17" t="s">
        <v>692</v>
      </c>
      <c r="I2638" s="17"/>
      <c r="J2638" s="17" t="s">
        <v>693</v>
      </c>
      <c r="K2638" s="17"/>
      <c r="L2638" s="17"/>
      <c r="M2638" s="17"/>
      <c r="N2638" s="17"/>
      <c r="O2638" s="17" t="s">
        <v>4887</v>
      </c>
      <c r="P2638" s="17" t="s">
        <v>4888</v>
      </c>
      <c r="Q2638" s="17"/>
      <c r="R2638" s="25" t="str">
        <f>HYPERLINK("https://ictv.global/taxonomy/taxondetails?taxnode_id=202314572","Nevillevirus trax")</f>
        <v>Nevillevirus trax</v>
      </c>
      <c r="S2638" s="18" t="s">
        <v>30</v>
      </c>
      <c r="T2638" s="18" t="s">
        <v>4893</v>
      </c>
      <c r="U2638" s="18"/>
      <c r="V2638" s="18"/>
      <c r="W2638" s="18" t="s">
        <v>4894</v>
      </c>
      <c r="X2638" s="18" t="s">
        <v>42</v>
      </c>
      <c r="Y2638" s="18" t="s">
        <v>36</v>
      </c>
      <c r="Z2638" s="18" t="s">
        <v>697</v>
      </c>
      <c r="AA2638" s="21" t="str">
        <f>HYPERLINK("https://www.ncbi.nlm.nih.gov/nuccore/MK967378","NCBI Nucleotide")</f>
        <v>NCBI Nucleotide</v>
      </c>
    </row>
    <row r="2639" spans="1:27" x14ac:dyDescent="0.35">
      <c r="A2639">
        <v>1003716</v>
      </c>
      <c r="B2639">
        <v>2615</v>
      </c>
      <c r="C2639">
        <v>1</v>
      </c>
      <c r="D2639" s="17" t="s">
        <v>155</v>
      </c>
      <c r="E2639" s="17"/>
      <c r="F2639" s="17" t="s">
        <v>156</v>
      </c>
      <c r="G2639" s="17"/>
      <c r="H2639" s="17" t="s">
        <v>692</v>
      </c>
      <c r="I2639" s="17"/>
      <c r="J2639" s="17" t="s">
        <v>693</v>
      </c>
      <c r="K2639" s="17"/>
      <c r="L2639" s="17"/>
      <c r="M2639" s="17"/>
      <c r="N2639" s="17"/>
      <c r="O2639" s="17" t="s">
        <v>4887</v>
      </c>
      <c r="P2639" s="17" t="s">
        <v>4895</v>
      </c>
      <c r="Q2639" s="17"/>
      <c r="R2639" s="25" t="str">
        <f>HYPERLINK("https://ictv.global/taxonomy/taxondetails?taxnode_id=202314576","Octobienvirus kudefre")</f>
        <v>Octobienvirus kudefre</v>
      </c>
      <c r="S2639" s="18" t="s">
        <v>30</v>
      </c>
      <c r="T2639" s="18" t="s">
        <v>4896</v>
      </c>
      <c r="U2639" s="18"/>
      <c r="V2639" s="18"/>
      <c r="W2639" s="18" t="s">
        <v>4897</v>
      </c>
      <c r="X2639" s="18" t="s">
        <v>42</v>
      </c>
      <c r="Y2639" s="18" t="s">
        <v>36</v>
      </c>
      <c r="Z2639" s="18" t="s">
        <v>697</v>
      </c>
      <c r="AA2639" s="21" t="str">
        <f>HYPERLINK("https://www.ncbi.nlm.nih.gov/nuccore/OK040786","NCBI Nucleotide")</f>
        <v>NCBI Nucleotide</v>
      </c>
    </row>
    <row r="2640" spans="1:27" x14ac:dyDescent="0.35">
      <c r="A2640">
        <v>1003717</v>
      </c>
      <c r="B2640">
        <v>2616</v>
      </c>
      <c r="C2640">
        <v>1</v>
      </c>
      <c r="D2640" s="17" t="s">
        <v>155</v>
      </c>
      <c r="E2640" s="17"/>
      <c r="F2640" s="17" t="s">
        <v>156</v>
      </c>
      <c r="G2640" s="17"/>
      <c r="H2640" s="17" t="s">
        <v>692</v>
      </c>
      <c r="I2640" s="17"/>
      <c r="J2640" s="17" t="s">
        <v>693</v>
      </c>
      <c r="K2640" s="17"/>
      <c r="L2640" s="17"/>
      <c r="M2640" s="17"/>
      <c r="N2640" s="17"/>
      <c r="O2640" s="17" t="s">
        <v>4887</v>
      </c>
      <c r="P2640" s="17" t="s">
        <v>4895</v>
      </c>
      <c r="Q2640" s="17"/>
      <c r="R2640" s="25" t="str">
        <f>HYPERLINK("https://ictv.global/taxonomy/taxondetails?taxnode_id=202314574","Octobienvirus octobien14")</f>
        <v>Octobienvirus octobien14</v>
      </c>
      <c r="S2640" s="18" t="s">
        <v>30</v>
      </c>
      <c r="T2640" s="18" t="s">
        <v>4898</v>
      </c>
      <c r="U2640" s="18"/>
      <c r="V2640" s="18"/>
      <c r="W2640" s="18" t="s">
        <v>4899</v>
      </c>
      <c r="X2640" s="18" t="s">
        <v>42</v>
      </c>
      <c r="Y2640" s="18" t="s">
        <v>36</v>
      </c>
      <c r="Z2640" s="18" t="s">
        <v>697</v>
      </c>
      <c r="AA2640" s="21" t="str">
        <f>HYPERLINK("https://www.ncbi.nlm.nih.gov/nuccore/MH976515","NCBI Nucleotide")</f>
        <v>NCBI Nucleotide</v>
      </c>
    </row>
    <row r="2641" spans="1:27" x14ac:dyDescent="0.35">
      <c r="A2641">
        <v>1003718</v>
      </c>
      <c r="B2641">
        <v>2617</v>
      </c>
      <c r="C2641">
        <v>1</v>
      </c>
      <c r="D2641" s="17" t="s">
        <v>155</v>
      </c>
      <c r="E2641" s="17"/>
      <c r="F2641" s="17" t="s">
        <v>156</v>
      </c>
      <c r="G2641" s="17"/>
      <c r="H2641" s="17" t="s">
        <v>692</v>
      </c>
      <c r="I2641" s="17"/>
      <c r="J2641" s="17" t="s">
        <v>693</v>
      </c>
      <c r="K2641" s="17"/>
      <c r="L2641" s="17"/>
      <c r="M2641" s="17"/>
      <c r="N2641" s="17"/>
      <c r="O2641" s="17" t="s">
        <v>4887</v>
      </c>
      <c r="P2641" s="17" t="s">
        <v>4895</v>
      </c>
      <c r="Q2641" s="17"/>
      <c r="R2641" s="25" t="str">
        <f>HYPERLINK("https://ictv.global/taxonomy/taxondetails?taxnode_id=202314575","Octobienvirus sephiroth")</f>
        <v>Octobienvirus sephiroth</v>
      </c>
      <c r="S2641" s="18" t="s">
        <v>30</v>
      </c>
      <c r="T2641" s="18" t="s">
        <v>4900</v>
      </c>
      <c r="U2641" s="18"/>
      <c r="V2641" s="18"/>
      <c r="W2641" s="18" t="s">
        <v>4901</v>
      </c>
      <c r="X2641" s="18" t="s">
        <v>42</v>
      </c>
      <c r="Y2641" s="18" t="s">
        <v>36</v>
      </c>
      <c r="Z2641" s="18" t="s">
        <v>697</v>
      </c>
      <c r="AA2641" s="21" t="str">
        <f>HYPERLINK("https://www.ncbi.nlm.nih.gov/nuccore/MT684599","NCBI Nucleotide")</f>
        <v>NCBI Nucleotide</v>
      </c>
    </row>
    <row r="2642" spans="1:27" x14ac:dyDescent="0.35">
      <c r="A2642">
        <v>1003719</v>
      </c>
      <c r="B2642">
        <v>2618</v>
      </c>
      <c r="C2642">
        <v>1</v>
      </c>
      <c r="D2642" s="17" t="s">
        <v>155</v>
      </c>
      <c r="E2642" s="17"/>
      <c r="F2642" s="17" t="s">
        <v>156</v>
      </c>
      <c r="G2642" s="17"/>
      <c r="H2642" s="17" t="s">
        <v>692</v>
      </c>
      <c r="I2642" s="17"/>
      <c r="J2642" s="17" t="s">
        <v>693</v>
      </c>
      <c r="K2642" s="17"/>
      <c r="L2642" s="17"/>
      <c r="M2642" s="17"/>
      <c r="N2642" s="17"/>
      <c r="O2642" s="17" t="s">
        <v>4887</v>
      </c>
      <c r="P2642" s="17" t="s">
        <v>4895</v>
      </c>
      <c r="Q2642" s="17"/>
      <c r="R2642" s="25" t="str">
        <f>HYPERLINK("https://ictv.global/taxonomy/taxondetails?taxnode_id=202314577","Octobienvirus syleon")</f>
        <v>Octobienvirus syleon</v>
      </c>
      <c r="S2642" s="18" t="s">
        <v>30</v>
      </c>
      <c r="T2642" s="18" t="s">
        <v>4902</v>
      </c>
      <c r="U2642" s="18"/>
      <c r="V2642" s="18"/>
      <c r="W2642" s="18" t="s">
        <v>4903</v>
      </c>
      <c r="X2642" s="18" t="s">
        <v>42</v>
      </c>
      <c r="Y2642" s="18" t="s">
        <v>36</v>
      </c>
      <c r="Z2642" s="18" t="s">
        <v>697</v>
      </c>
      <c r="AA2642" s="21" t="str">
        <f>HYPERLINK("https://www.ncbi.nlm.nih.gov/nuccore/MN444870","NCBI Nucleotide")</f>
        <v>NCBI Nucleotide</v>
      </c>
    </row>
    <row r="2643" spans="1:27" x14ac:dyDescent="0.35">
      <c r="A2643">
        <v>1003720</v>
      </c>
      <c r="B2643">
        <v>2619</v>
      </c>
      <c r="C2643">
        <v>1</v>
      </c>
      <c r="D2643" s="17" t="s">
        <v>155</v>
      </c>
      <c r="E2643" s="17"/>
      <c r="F2643" s="17" t="s">
        <v>156</v>
      </c>
      <c r="G2643" s="17"/>
      <c r="H2643" s="17" t="s">
        <v>692</v>
      </c>
      <c r="I2643" s="17"/>
      <c r="J2643" s="17" t="s">
        <v>693</v>
      </c>
      <c r="K2643" s="17"/>
      <c r="L2643" s="17"/>
      <c r="M2643" s="17"/>
      <c r="N2643" s="17"/>
      <c r="O2643" s="17" t="s">
        <v>4904</v>
      </c>
      <c r="P2643" s="17" t="s">
        <v>4905</v>
      </c>
      <c r="Q2643" s="17"/>
      <c r="R2643" s="25" t="str">
        <f>HYPERLINK("https://ictv.global/taxonomy/taxondetails?taxnode_id=202307721","Bertelyvirus BL9")</f>
        <v>Bertelyvirus BL9</v>
      </c>
      <c r="S2643" s="18" t="s">
        <v>30</v>
      </c>
      <c r="T2643" s="18" t="s">
        <v>4906</v>
      </c>
      <c r="U2643" s="18"/>
      <c r="V2643" s="18"/>
      <c r="W2643" s="18" t="s">
        <v>4907</v>
      </c>
      <c r="X2643" s="18" t="s">
        <v>42</v>
      </c>
      <c r="Y2643" s="18" t="s">
        <v>36</v>
      </c>
      <c r="Z2643" s="18" t="s">
        <v>697</v>
      </c>
      <c r="AA2643" s="21" t="str">
        <f>HYPERLINK("https://www.ncbi.nlm.nih.gov/nuccore/MH588546","NCBI Nucleotide")</f>
        <v>NCBI Nucleotide</v>
      </c>
    </row>
    <row r="2644" spans="1:27" x14ac:dyDescent="0.35">
      <c r="A2644">
        <v>1003721</v>
      </c>
      <c r="B2644">
        <v>2620</v>
      </c>
      <c r="C2644">
        <v>1</v>
      </c>
      <c r="D2644" s="17" t="s">
        <v>155</v>
      </c>
      <c r="E2644" s="17"/>
      <c r="F2644" s="17" t="s">
        <v>156</v>
      </c>
      <c r="G2644" s="17"/>
      <c r="H2644" s="17" t="s">
        <v>692</v>
      </c>
      <c r="I2644" s="17"/>
      <c r="J2644" s="17" t="s">
        <v>693</v>
      </c>
      <c r="K2644" s="17"/>
      <c r="L2644" s="17"/>
      <c r="M2644" s="17"/>
      <c r="N2644" s="17"/>
      <c r="O2644" s="17" t="s">
        <v>4904</v>
      </c>
      <c r="P2644" s="17" t="s">
        <v>4905</v>
      </c>
      <c r="Q2644" s="17"/>
      <c r="R2644" s="25" t="str">
        <f>HYPERLINK("https://ictv.global/taxonomy/taxondetails?taxnode_id=202307720","Bertelyvirus SC")</f>
        <v>Bertelyvirus SC</v>
      </c>
      <c r="S2644" s="18" t="s">
        <v>30</v>
      </c>
      <c r="T2644" s="18" t="s">
        <v>4908</v>
      </c>
      <c r="U2644" s="18"/>
      <c r="V2644" s="18"/>
      <c r="W2644" s="18" t="s">
        <v>4909</v>
      </c>
      <c r="X2644" s="18" t="s">
        <v>42</v>
      </c>
      <c r="Y2644" s="18" t="s">
        <v>36</v>
      </c>
      <c r="Z2644" s="18" t="s">
        <v>697</v>
      </c>
      <c r="AA2644" s="21" t="str">
        <f>HYPERLINK("https://www.ncbi.nlm.nih.gov/nuccore/MH588547","NCBI Nucleotide")</f>
        <v>NCBI Nucleotide</v>
      </c>
    </row>
    <row r="2645" spans="1:27" x14ac:dyDescent="0.35">
      <c r="A2645">
        <v>1003722</v>
      </c>
      <c r="B2645">
        <v>2621</v>
      </c>
      <c r="C2645">
        <v>1</v>
      </c>
      <c r="D2645" s="17" t="s">
        <v>155</v>
      </c>
      <c r="E2645" s="17"/>
      <c r="F2645" s="17" t="s">
        <v>156</v>
      </c>
      <c r="G2645" s="17"/>
      <c r="H2645" s="17" t="s">
        <v>692</v>
      </c>
      <c r="I2645" s="17"/>
      <c r="J2645" s="17" t="s">
        <v>693</v>
      </c>
      <c r="K2645" s="17"/>
      <c r="L2645" s="17"/>
      <c r="M2645" s="17"/>
      <c r="N2645" s="17"/>
      <c r="O2645" s="17" t="s">
        <v>4904</v>
      </c>
      <c r="P2645" s="17" t="s">
        <v>4910</v>
      </c>
      <c r="Q2645" s="17"/>
      <c r="R2645" s="25" t="str">
        <f>HYPERLINK("https://ictv.global/taxonomy/taxondetails?taxnode_id=202307717","Colossusvirus colossus")</f>
        <v>Colossusvirus colossus</v>
      </c>
      <c r="S2645" s="18" t="s">
        <v>30</v>
      </c>
      <c r="T2645" s="18" t="s">
        <v>4911</v>
      </c>
      <c r="U2645" s="18"/>
      <c r="V2645" s="18"/>
      <c r="W2645" s="18" t="s">
        <v>4912</v>
      </c>
      <c r="X2645" s="18" t="s">
        <v>42</v>
      </c>
      <c r="Y2645" s="18" t="s">
        <v>36</v>
      </c>
      <c r="Z2645" s="18" t="s">
        <v>697</v>
      </c>
      <c r="AA2645" s="21" t="str">
        <f>HYPERLINK("https://www.ncbi.nlm.nih.gov/nuccore/JX100810","NCBI Nucleotide")</f>
        <v>NCBI Nucleotide</v>
      </c>
    </row>
    <row r="2646" spans="1:27" x14ac:dyDescent="0.35">
      <c r="A2646">
        <v>1003723</v>
      </c>
      <c r="B2646">
        <v>2622</v>
      </c>
      <c r="C2646">
        <v>1</v>
      </c>
      <c r="D2646" s="17" t="s">
        <v>155</v>
      </c>
      <c r="E2646" s="17"/>
      <c r="F2646" s="17" t="s">
        <v>156</v>
      </c>
      <c r="G2646" s="17"/>
      <c r="H2646" s="17" t="s">
        <v>692</v>
      </c>
      <c r="I2646" s="17"/>
      <c r="J2646" s="17" t="s">
        <v>693</v>
      </c>
      <c r="K2646" s="17"/>
      <c r="L2646" s="17"/>
      <c r="M2646" s="17"/>
      <c r="N2646" s="17"/>
      <c r="O2646" s="17" t="s">
        <v>4904</v>
      </c>
      <c r="P2646" s="17" t="s">
        <v>4910</v>
      </c>
      <c r="Q2646" s="17"/>
      <c r="R2646" s="25" t="str">
        <f>HYPERLINK("https://ictv.global/taxonomy/taxondetails?taxnode_id=202307718","Colossusvirus PW")</f>
        <v>Colossusvirus PW</v>
      </c>
      <c r="S2646" s="18" t="s">
        <v>30</v>
      </c>
      <c r="T2646" s="18" t="s">
        <v>4913</v>
      </c>
      <c r="U2646" s="18"/>
      <c r="V2646" s="18"/>
      <c r="W2646" s="18" t="s">
        <v>4914</v>
      </c>
      <c r="X2646" s="18" t="s">
        <v>42</v>
      </c>
      <c r="Y2646" s="18" t="s">
        <v>36</v>
      </c>
      <c r="Z2646" s="18" t="s">
        <v>697</v>
      </c>
      <c r="AA2646" s="21" t="str">
        <f>HYPERLINK("https://www.ncbi.nlm.nih.gov/nuccore/MH588545","NCBI Nucleotide")</f>
        <v>NCBI Nucleotide</v>
      </c>
    </row>
    <row r="2647" spans="1:27" x14ac:dyDescent="0.35">
      <c r="A2647">
        <v>1003724</v>
      </c>
      <c r="B2647">
        <v>2623</v>
      </c>
      <c r="C2647">
        <v>1</v>
      </c>
      <c r="D2647" s="17" t="s">
        <v>155</v>
      </c>
      <c r="E2647" s="17"/>
      <c r="F2647" s="17" t="s">
        <v>156</v>
      </c>
      <c r="G2647" s="17"/>
      <c r="H2647" s="17" t="s">
        <v>692</v>
      </c>
      <c r="I2647" s="17"/>
      <c r="J2647" s="17" t="s">
        <v>693</v>
      </c>
      <c r="K2647" s="17"/>
      <c r="L2647" s="17"/>
      <c r="M2647" s="17"/>
      <c r="N2647" s="17"/>
      <c r="O2647" s="17" t="s">
        <v>4904</v>
      </c>
      <c r="P2647" s="17" t="s">
        <v>4915</v>
      </c>
      <c r="Q2647" s="17"/>
      <c r="R2647" s="25" t="str">
        <f>HYPERLINK("https://ictv.global/taxonomy/taxondetails?taxnode_id=202307715","Poindextervirus BL10")</f>
        <v>Poindextervirus BL10</v>
      </c>
      <c r="S2647" s="18" t="s">
        <v>30</v>
      </c>
      <c r="T2647" s="18" t="s">
        <v>4916</v>
      </c>
      <c r="U2647" s="18"/>
      <c r="V2647" s="18"/>
      <c r="W2647" s="18" t="s">
        <v>4917</v>
      </c>
      <c r="X2647" s="18" t="s">
        <v>42</v>
      </c>
      <c r="Y2647" s="18" t="s">
        <v>36</v>
      </c>
      <c r="Z2647" s="18" t="s">
        <v>697</v>
      </c>
      <c r="AA2647" s="21" t="str">
        <f>HYPERLINK("https://www.ncbi.nlm.nih.gov/nuccore/MH588544","NCBI Nucleotide")</f>
        <v>NCBI Nucleotide</v>
      </c>
    </row>
    <row r="2648" spans="1:27" x14ac:dyDescent="0.35">
      <c r="A2648">
        <v>1003725</v>
      </c>
      <c r="B2648">
        <v>2624</v>
      </c>
      <c r="C2648">
        <v>1</v>
      </c>
      <c r="D2648" s="17" t="s">
        <v>155</v>
      </c>
      <c r="E2648" s="17"/>
      <c r="F2648" s="17" t="s">
        <v>156</v>
      </c>
      <c r="G2648" s="17"/>
      <c r="H2648" s="17" t="s">
        <v>692</v>
      </c>
      <c r="I2648" s="17"/>
      <c r="J2648" s="17" t="s">
        <v>693</v>
      </c>
      <c r="K2648" s="17"/>
      <c r="L2648" s="17"/>
      <c r="M2648" s="17"/>
      <c r="N2648" s="17"/>
      <c r="O2648" s="17" t="s">
        <v>4904</v>
      </c>
      <c r="P2648" s="17" t="s">
        <v>4915</v>
      </c>
      <c r="Q2648" s="17"/>
      <c r="R2648" s="25" t="str">
        <f>HYPERLINK("https://ictv.global/taxonomy/taxondetails?taxnode_id=202301192","Poindextervirus rogue")</f>
        <v>Poindextervirus rogue</v>
      </c>
      <c r="S2648" s="18" t="s">
        <v>30</v>
      </c>
      <c r="T2648" s="18" t="s">
        <v>4918</v>
      </c>
      <c r="U2648" s="18"/>
      <c r="V2648" s="18"/>
      <c r="W2648" s="18" t="s">
        <v>4919</v>
      </c>
      <c r="X2648" s="18" t="s">
        <v>42</v>
      </c>
      <c r="Y2648" s="18" t="s">
        <v>36</v>
      </c>
      <c r="Z2648" s="18" t="s">
        <v>697</v>
      </c>
      <c r="AA2648" s="21" t="str">
        <f>HYPERLINK("https://www.ncbi.nlm.nih.gov/nuccore/JX100814","NCBI Nucleotide")</f>
        <v>NCBI Nucleotide</v>
      </c>
    </row>
    <row r="2649" spans="1:27" x14ac:dyDescent="0.35">
      <c r="A2649">
        <v>1003726</v>
      </c>
      <c r="B2649">
        <v>2625</v>
      </c>
      <c r="C2649">
        <v>1</v>
      </c>
      <c r="D2649" s="17" t="s">
        <v>155</v>
      </c>
      <c r="E2649" s="17"/>
      <c r="F2649" s="17" t="s">
        <v>156</v>
      </c>
      <c r="G2649" s="17"/>
      <c r="H2649" s="17" t="s">
        <v>692</v>
      </c>
      <c r="I2649" s="17"/>
      <c r="J2649" s="17" t="s">
        <v>693</v>
      </c>
      <c r="K2649" s="17"/>
      <c r="L2649" s="17"/>
      <c r="M2649" s="17"/>
      <c r="N2649" s="17"/>
      <c r="O2649" s="17" t="s">
        <v>4904</v>
      </c>
      <c r="P2649" s="17" t="s">
        <v>4920</v>
      </c>
      <c r="Q2649" s="17"/>
      <c r="R2649" s="25" t="str">
        <f>HYPERLINK("https://ictv.global/taxonomy/taxondetails?taxnode_id=202301191","Shapirovirus cbk")</f>
        <v>Shapirovirus cbk</v>
      </c>
      <c r="S2649" s="18" t="s">
        <v>30</v>
      </c>
      <c r="T2649" s="18" t="s">
        <v>4921</v>
      </c>
      <c r="U2649" s="18"/>
      <c r="V2649" s="18"/>
      <c r="W2649" s="18" t="s">
        <v>4922</v>
      </c>
      <c r="X2649" s="18" t="s">
        <v>42</v>
      </c>
      <c r="Y2649" s="18" t="s">
        <v>36</v>
      </c>
      <c r="Z2649" s="18" t="s">
        <v>697</v>
      </c>
      <c r="AA2649" s="21" t="str">
        <f>HYPERLINK("https://www.ncbi.nlm.nih.gov/nuccore/JX100813","NCBI Nucleotide")</f>
        <v>NCBI Nucleotide</v>
      </c>
    </row>
    <row r="2650" spans="1:27" x14ac:dyDescent="0.35">
      <c r="A2650">
        <v>1003727</v>
      </c>
      <c r="B2650">
        <v>2626</v>
      </c>
      <c r="C2650">
        <v>1</v>
      </c>
      <c r="D2650" s="17" t="s">
        <v>155</v>
      </c>
      <c r="E2650" s="17"/>
      <c r="F2650" s="17" t="s">
        <v>156</v>
      </c>
      <c r="G2650" s="17"/>
      <c r="H2650" s="17" t="s">
        <v>692</v>
      </c>
      <c r="I2650" s="17"/>
      <c r="J2650" s="17" t="s">
        <v>693</v>
      </c>
      <c r="K2650" s="17"/>
      <c r="L2650" s="17"/>
      <c r="M2650" s="17"/>
      <c r="N2650" s="17"/>
      <c r="O2650" s="17" t="s">
        <v>4904</v>
      </c>
      <c r="P2650" s="17" t="s">
        <v>4920</v>
      </c>
      <c r="Q2650" s="17"/>
      <c r="R2650" s="25" t="str">
        <f>HYPERLINK("https://ictv.global/taxonomy/taxondetails?taxnode_id=202301193","Shapirovirus swift")</f>
        <v>Shapirovirus swift</v>
      </c>
      <c r="S2650" s="18" t="s">
        <v>30</v>
      </c>
      <c r="T2650" s="18" t="s">
        <v>4923</v>
      </c>
      <c r="U2650" s="18"/>
      <c r="V2650" s="18"/>
      <c r="W2650" s="18" t="s">
        <v>4924</v>
      </c>
      <c r="X2650" s="18" t="s">
        <v>42</v>
      </c>
      <c r="Y2650" s="18" t="s">
        <v>36</v>
      </c>
      <c r="Z2650" s="18" t="s">
        <v>697</v>
      </c>
      <c r="AA2650" s="21" t="str">
        <f>HYPERLINK("https://www.ncbi.nlm.nih.gov/nuccore/JX100809","NCBI Nucleotide")</f>
        <v>NCBI Nucleotide</v>
      </c>
    </row>
    <row r="2651" spans="1:27" x14ac:dyDescent="0.35">
      <c r="A2651">
        <v>1003728</v>
      </c>
      <c r="B2651">
        <v>2627</v>
      </c>
      <c r="C2651">
        <v>1</v>
      </c>
      <c r="D2651" s="17" t="s">
        <v>155</v>
      </c>
      <c r="E2651" s="17"/>
      <c r="F2651" s="17" t="s">
        <v>156</v>
      </c>
      <c r="G2651" s="17"/>
      <c r="H2651" s="17" t="s">
        <v>692</v>
      </c>
      <c r="I2651" s="17"/>
      <c r="J2651" s="17" t="s">
        <v>693</v>
      </c>
      <c r="K2651" s="17"/>
      <c r="L2651" s="17"/>
      <c r="M2651" s="17"/>
      <c r="N2651" s="17"/>
      <c r="O2651" s="17" t="s">
        <v>4925</v>
      </c>
      <c r="P2651" s="17" t="s">
        <v>4926</v>
      </c>
      <c r="Q2651" s="17"/>
      <c r="R2651" s="25" t="str">
        <f>HYPERLINK("https://ictv.global/taxonomy/taxondetails?taxnode_id=202309985","Akonivirus akoni")</f>
        <v>Akonivirus akoni</v>
      </c>
      <c r="S2651" s="18" t="s">
        <v>30</v>
      </c>
      <c r="T2651" s="18" t="s">
        <v>4927</v>
      </c>
      <c r="U2651" s="18"/>
      <c r="V2651" s="18"/>
      <c r="W2651" s="18" t="s">
        <v>4928</v>
      </c>
      <c r="X2651" s="18" t="s">
        <v>42</v>
      </c>
      <c r="Y2651" s="18" t="s">
        <v>36</v>
      </c>
      <c r="Z2651" s="18" t="s">
        <v>697</v>
      </c>
      <c r="AA2651" s="21" t="str">
        <f>HYPERLINK("https://www.ncbi.nlm.nih.gov/nuccore/MK757449","NCBI Nucleotide")</f>
        <v>NCBI Nucleotide</v>
      </c>
    </row>
    <row r="2652" spans="1:27" x14ac:dyDescent="0.35">
      <c r="A2652">
        <v>1003729</v>
      </c>
      <c r="B2652">
        <v>2628</v>
      </c>
      <c r="C2652">
        <v>1</v>
      </c>
      <c r="D2652" s="17" t="s">
        <v>155</v>
      </c>
      <c r="E2652" s="17"/>
      <c r="F2652" s="17" t="s">
        <v>156</v>
      </c>
      <c r="G2652" s="17"/>
      <c r="H2652" s="17" t="s">
        <v>692</v>
      </c>
      <c r="I2652" s="17"/>
      <c r="J2652" s="17" t="s">
        <v>693</v>
      </c>
      <c r="K2652" s="17"/>
      <c r="L2652" s="17"/>
      <c r="M2652" s="17"/>
      <c r="N2652" s="17"/>
      <c r="O2652" s="17" t="s">
        <v>4925</v>
      </c>
      <c r="P2652" s="17" t="s">
        <v>4926</v>
      </c>
      <c r="Q2652" s="17"/>
      <c r="R2652" s="25" t="str">
        <f>HYPERLINK("https://ictv.global/taxonomy/taxondetails?taxnode_id=202309986","Akonivirus phedro")</f>
        <v>Akonivirus phedro</v>
      </c>
      <c r="S2652" s="18" t="s">
        <v>30</v>
      </c>
      <c r="T2652" s="18" t="s">
        <v>4929</v>
      </c>
      <c r="U2652" s="18"/>
      <c r="V2652" s="18"/>
      <c r="W2652" s="18" t="s">
        <v>4930</v>
      </c>
      <c r="X2652" s="18" t="s">
        <v>42</v>
      </c>
      <c r="Y2652" s="18" t="s">
        <v>36</v>
      </c>
      <c r="Z2652" s="18" t="s">
        <v>697</v>
      </c>
      <c r="AA2652" s="21" t="str">
        <f>HYPERLINK("https://www.ncbi.nlm.nih.gov/nuccore/MT310890","NCBI Nucleotide")</f>
        <v>NCBI Nucleotide</v>
      </c>
    </row>
    <row r="2653" spans="1:27" x14ac:dyDescent="0.35">
      <c r="A2653">
        <v>1003730</v>
      </c>
      <c r="B2653">
        <v>2629</v>
      </c>
      <c r="C2653">
        <v>1</v>
      </c>
      <c r="D2653" s="17" t="s">
        <v>155</v>
      </c>
      <c r="E2653" s="17"/>
      <c r="F2653" s="17" t="s">
        <v>156</v>
      </c>
      <c r="G2653" s="17"/>
      <c r="H2653" s="17" t="s">
        <v>692</v>
      </c>
      <c r="I2653" s="17"/>
      <c r="J2653" s="17" t="s">
        <v>693</v>
      </c>
      <c r="K2653" s="17"/>
      <c r="L2653" s="17"/>
      <c r="M2653" s="17"/>
      <c r="N2653" s="17"/>
      <c r="O2653" s="17" t="s">
        <v>4925</v>
      </c>
      <c r="P2653" s="17" t="s">
        <v>4931</v>
      </c>
      <c r="Q2653" s="17"/>
      <c r="R2653" s="25" t="str">
        <f>HYPERLINK("https://ictv.global/taxonomy/taxondetails?taxnode_id=202309989","Tinytimothyvirus alex44")</f>
        <v>Tinytimothyvirus alex44</v>
      </c>
      <c r="S2653" s="18" t="s">
        <v>30</v>
      </c>
      <c r="T2653" s="18" t="s">
        <v>4932</v>
      </c>
      <c r="U2653" s="18"/>
      <c r="V2653" s="18"/>
      <c r="W2653" s="18" t="s">
        <v>4933</v>
      </c>
      <c r="X2653" s="18" t="s">
        <v>42</v>
      </c>
      <c r="Y2653" s="18" t="s">
        <v>36</v>
      </c>
      <c r="Z2653" s="18" t="s">
        <v>697</v>
      </c>
      <c r="AA2653" s="21" t="str">
        <f>HYPERLINK("https://www.ncbi.nlm.nih.gov/nuccore/MK894435","NCBI Nucleotide")</f>
        <v>NCBI Nucleotide</v>
      </c>
    </row>
    <row r="2654" spans="1:27" x14ac:dyDescent="0.35">
      <c r="A2654">
        <v>1003731</v>
      </c>
      <c r="B2654">
        <v>2630</v>
      </c>
      <c r="C2654">
        <v>1</v>
      </c>
      <c r="D2654" s="17" t="s">
        <v>155</v>
      </c>
      <c r="E2654" s="17"/>
      <c r="F2654" s="17" t="s">
        <v>156</v>
      </c>
      <c r="G2654" s="17"/>
      <c r="H2654" s="17" t="s">
        <v>692</v>
      </c>
      <c r="I2654" s="17"/>
      <c r="J2654" s="17" t="s">
        <v>693</v>
      </c>
      <c r="K2654" s="17"/>
      <c r="L2654" s="17"/>
      <c r="M2654" s="17"/>
      <c r="N2654" s="17"/>
      <c r="O2654" s="17" t="s">
        <v>4925</v>
      </c>
      <c r="P2654" s="17" t="s">
        <v>4931</v>
      </c>
      <c r="Q2654" s="17"/>
      <c r="R2654" s="25" t="str">
        <f>HYPERLINK("https://ictv.global/taxonomy/taxondetails?taxnode_id=202309988","Tinytimothyvirus tinytimothy")</f>
        <v>Tinytimothyvirus tinytimothy</v>
      </c>
      <c r="S2654" s="18" t="s">
        <v>30</v>
      </c>
      <c r="T2654" s="18" t="s">
        <v>4934</v>
      </c>
      <c r="U2654" s="18"/>
      <c r="V2654" s="18"/>
      <c r="W2654" s="18" t="s">
        <v>4935</v>
      </c>
      <c r="X2654" s="18" t="s">
        <v>42</v>
      </c>
      <c r="Y2654" s="18" t="s">
        <v>36</v>
      </c>
      <c r="Z2654" s="18" t="s">
        <v>697</v>
      </c>
      <c r="AA2654" s="21" t="str">
        <f>HYPERLINK("https://www.ncbi.nlm.nih.gov/nuccore/MK878904","NCBI Nucleotide")</f>
        <v>NCBI Nucleotide</v>
      </c>
    </row>
    <row r="2655" spans="1:27" x14ac:dyDescent="0.35">
      <c r="A2655">
        <v>1003732</v>
      </c>
      <c r="B2655">
        <v>2631</v>
      </c>
      <c r="C2655">
        <v>1</v>
      </c>
      <c r="D2655" s="17" t="s">
        <v>155</v>
      </c>
      <c r="E2655" s="17"/>
      <c r="F2655" s="17" t="s">
        <v>156</v>
      </c>
      <c r="G2655" s="17"/>
      <c r="H2655" s="17" t="s">
        <v>692</v>
      </c>
      <c r="I2655" s="17"/>
      <c r="J2655" s="17" t="s">
        <v>693</v>
      </c>
      <c r="K2655" s="17"/>
      <c r="L2655" s="17"/>
      <c r="M2655" s="17"/>
      <c r="N2655" s="17"/>
      <c r="O2655" s="17" t="s">
        <v>4936</v>
      </c>
      <c r="P2655" s="17" t="s">
        <v>4937</v>
      </c>
      <c r="Q2655" s="17"/>
      <c r="R2655" s="25" t="str">
        <f>HYPERLINK("https://ictv.global/taxonomy/taxondetails?taxnode_id=202300197","Campylobacter virus IBB35")</f>
        <v>Campylobacter virus IBB35</v>
      </c>
      <c r="S2655" s="18" t="s">
        <v>30</v>
      </c>
      <c r="T2655" s="18" t="s">
        <v>4938</v>
      </c>
      <c r="U2655" s="18"/>
      <c r="V2655" s="18"/>
      <c r="W2655" s="18" t="s">
        <v>4939</v>
      </c>
      <c r="X2655" s="18" t="s">
        <v>42</v>
      </c>
      <c r="Y2655" s="18" t="s">
        <v>36</v>
      </c>
      <c r="Z2655" s="18" t="s">
        <v>697</v>
      </c>
      <c r="AA2655" s="21" t="str">
        <f>HYPERLINK("https://www.ncbi.nlm.nih.gov/nuccore/HM246720,HM246721,HM246722,HM246723,HM246724","NCBI Nucleotide")</f>
        <v>NCBI Nucleotide</v>
      </c>
    </row>
    <row r="2656" spans="1:27" x14ac:dyDescent="0.35">
      <c r="A2656">
        <v>1003733</v>
      </c>
      <c r="B2656">
        <v>2632</v>
      </c>
      <c r="C2656">
        <v>1</v>
      </c>
      <c r="D2656" s="17" t="s">
        <v>155</v>
      </c>
      <c r="E2656" s="17"/>
      <c r="F2656" s="17" t="s">
        <v>156</v>
      </c>
      <c r="G2656" s="17"/>
      <c r="H2656" s="17" t="s">
        <v>692</v>
      </c>
      <c r="I2656" s="17"/>
      <c r="J2656" s="17" t="s">
        <v>693</v>
      </c>
      <c r="K2656" s="17"/>
      <c r="L2656" s="17"/>
      <c r="M2656" s="17"/>
      <c r="N2656" s="17"/>
      <c r="O2656" s="17" t="s">
        <v>4936</v>
      </c>
      <c r="P2656" s="17" t="s">
        <v>4937</v>
      </c>
      <c r="Q2656" s="17"/>
      <c r="R2656" s="25" t="str">
        <f>HYPERLINK("https://ictv.global/taxonomy/taxondetails?taxnode_id=202300194","Firehammervirus CP21")</f>
        <v>Firehammervirus CP21</v>
      </c>
      <c r="S2656" s="18" t="s">
        <v>30</v>
      </c>
      <c r="T2656" s="18" t="s">
        <v>4940</v>
      </c>
      <c r="U2656" s="18"/>
      <c r="V2656" s="18"/>
      <c r="W2656" s="18" t="s">
        <v>4941</v>
      </c>
      <c r="X2656" s="18" t="s">
        <v>42</v>
      </c>
      <c r="Y2656" s="18" t="s">
        <v>36</v>
      </c>
      <c r="Z2656" s="18" t="s">
        <v>697</v>
      </c>
      <c r="AA2656" s="21" t="str">
        <f>HYPERLINK("https://www.ncbi.nlm.nih.gov/nuccore/HE815464","NCBI Nucleotide")</f>
        <v>NCBI Nucleotide</v>
      </c>
    </row>
    <row r="2657" spans="1:27" x14ac:dyDescent="0.35">
      <c r="A2657">
        <v>1003734</v>
      </c>
      <c r="B2657">
        <v>2633</v>
      </c>
      <c r="C2657">
        <v>1</v>
      </c>
      <c r="D2657" s="17" t="s">
        <v>155</v>
      </c>
      <c r="E2657" s="17"/>
      <c r="F2657" s="17" t="s">
        <v>156</v>
      </c>
      <c r="G2657" s="17"/>
      <c r="H2657" s="17" t="s">
        <v>692</v>
      </c>
      <c r="I2657" s="17"/>
      <c r="J2657" s="17" t="s">
        <v>693</v>
      </c>
      <c r="K2657" s="17"/>
      <c r="L2657" s="17"/>
      <c r="M2657" s="17"/>
      <c r="N2657" s="17"/>
      <c r="O2657" s="17" t="s">
        <v>4936</v>
      </c>
      <c r="P2657" s="17" t="s">
        <v>4937</v>
      </c>
      <c r="Q2657" s="17"/>
      <c r="R2657" s="25" t="str">
        <f>HYPERLINK("https://ictv.global/taxonomy/taxondetails?taxnode_id=202300195","Firehammervirus CP220")</f>
        <v>Firehammervirus CP220</v>
      </c>
      <c r="S2657" s="18" t="s">
        <v>30</v>
      </c>
      <c r="T2657" s="18" t="s">
        <v>4942</v>
      </c>
      <c r="U2657" s="18"/>
      <c r="V2657" s="18"/>
      <c r="W2657" s="18" t="s">
        <v>4943</v>
      </c>
      <c r="X2657" s="18" t="s">
        <v>42</v>
      </c>
      <c r="Y2657" s="18" t="s">
        <v>36</v>
      </c>
      <c r="Z2657" s="18" t="s">
        <v>697</v>
      </c>
      <c r="AA2657" s="21" t="str">
        <f>HYPERLINK("https://www.ncbi.nlm.nih.gov/nuccore/FN667788","NCBI Nucleotide")</f>
        <v>NCBI Nucleotide</v>
      </c>
    </row>
    <row r="2658" spans="1:27" x14ac:dyDescent="0.35">
      <c r="A2658">
        <v>1003735</v>
      </c>
      <c r="B2658">
        <v>2634</v>
      </c>
      <c r="C2658">
        <v>1</v>
      </c>
      <c r="D2658" s="17" t="s">
        <v>155</v>
      </c>
      <c r="E2658" s="17"/>
      <c r="F2658" s="17" t="s">
        <v>156</v>
      </c>
      <c r="G2658" s="17"/>
      <c r="H2658" s="17" t="s">
        <v>692</v>
      </c>
      <c r="I2658" s="17"/>
      <c r="J2658" s="17" t="s">
        <v>693</v>
      </c>
      <c r="K2658" s="17"/>
      <c r="L2658" s="17"/>
      <c r="M2658" s="17"/>
      <c r="N2658" s="17"/>
      <c r="O2658" s="17" t="s">
        <v>4936</v>
      </c>
      <c r="P2658" s="17" t="s">
        <v>4937</v>
      </c>
      <c r="Q2658" s="17"/>
      <c r="R2658" s="25" t="str">
        <f>HYPERLINK("https://ictv.global/taxonomy/taxondetails?taxnode_id=202300196","Firehammervirus CPt10")</f>
        <v>Firehammervirus CPt10</v>
      </c>
      <c r="S2658" s="18" t="s">
        <v>30</v>
      </c>
      <c r="T2658" s="18" t="s">
        <v>4944</v>
      </c>
      <c r="U2658" s="18"/>
      <c r="V2658" s="18"/>
      <c r="W2658" s="18" t="s">
        <v>4945</v>
      </c>
      <c r="X2658" s="18" t="s">
        <v>42</v>
      </c>
      <c r="Y2658" s="18" t="s">
        <v>36</v>
      </c>
      <c r="Z2658" s="18" t="s">
        <v>697</v>
      </c>
      <c r="AA2658" s="21" t="str">
        <f>HYPERLINK("https://www.ncbi.nlm.nih.gov/nuccore/FN667789","NCBI Nucleotide")</f>
        <v>NCBI Nucleotide</v>
      </c>
    </row>
    <row r="2659" spans="1:27" x14ac:dyDescent="0.35">
      <c r="A2659">
        <v>1003737</v>
      </c>
      <c r="B2659">
        <v>2635</v>
      </c>
      <c r="C2659">
        <v>1</v>
      </c>
      <c r="D2659" s="17" t="s">
        <v>155</v>
      </c>
      <c r="E2659" s="17"/>
      <c r="F2659" s="17" t="s">
        <v>156</v>
      </c>
      <c r="G2659" s="17"/>
      <c r="H2659" s="17" t="s">
        <v>692</v>
      </c>
      <c r="I2659" s="17"/>
      <c r="J2659" s="17" t="s">
        <v>693</v>
      </c>
      <c r="K2659" s="17"/>
      <c r="L2659" s="17"/>
      <c r="M2659" s="17"/>
      <c r="N2659" s="17"/>
      <c r="O2659" s="17" t="s">
        <v>4936</v>
      </c>
      <c r="P2659" s="17" t="s">
        <v>4946</v>
      </c>
      <c r="Q2659" s="17"/>
      <c r="R2659" s="25" t="str">
        <f>HYPERLINK("https://ictv.global/taxonomy/taxondetails?taxnode_id=202300199","Fletchervirus CP81")</f>
        <v>Fletchervirus CP81</v>
      </c>
      <c r="S2659" s="18" t="s">
        <v>30</v>
      </c>
      <c r="T2659" s="18" t="s">
        <v>4949</v>
      </c>
      <c r="U2659" s="18"/>
      <c r="V2659" s="18"/>
      <c r="W2659" s="18" t="s">
        <v>4950</v>
      </c>
      <c r="X2659" s="18" t="s">
        <v>42</v>
      </c>
      <c r="Y2659" s="18" t="s">
        <v>36</v>
      </c>
      <c r="Z2659" s="18" t="s">
        <v>697</v>
      </c>
      <c r="AA2659" s="21" t="str">
        <f>HYPERLINK("https://www.ncbi.nlm.nih.gov/nuccore/FR823450","NCBI Nucleotide")</f>
        <v>NCBI Nucleotide</v>
      </c>
    </row>
    <row r="2660" spans="1:27" x14ac:dyDescent="0.35">
      <c r="A2660">
        <v>1003736</v>
      </c>
      <c r="B2660">
        <v>2636</v>
      </c>
      <c r="C2660">
        <v>1</v>
      </c>
      <c r="D2660" s="17" t="s">
        <v>155</v>
      </c>
      <c r="E2660" s="17"/>
      <c r="F2660" s="17" t="s">
        <v>156</v>
      </c>
      <c r="G2660" s="17"/>
      <c r="H2660" s="17" t="s">
        <v>692</v>
      </c>
      <c r="I2660" s="17"/>
      <c r="J2660" s="17" t="s">
        <v>693</v>
      </c>
      <c r="K2660" s="17"/>
      <c r="L2660" s="17"/>
      <c r="M2660" s="17"/>
      <c r="N2660" s="17"/>
      <c r="O2660" s="17" t="s">
        <v>4936</v>
      </c>
      <c r="P2660" s="17" t="s">
        <v>4946</v>
      </c>
      <c r="Q2660" s="17"/>
      <c r="R2660" s="25" t="str">
        <f>HYPERLINK("https://ictv.global/taxonomy/taxondetails?taxnode_id=202300200","Fletchervirus CP30A")</f>
        <v>Fletchervirus CP30A</v>
      </c>
      <c r="S2660" s="18" t="s">
        <v>30</v>
      </c>
      <c r="T2660" s="18" t="s">
        <v>4947</v>
      </c>
      <c r="U2660" s="18"/>
      <c r="V2660" s="18"/>
      <c r="W2660" s="18" t="s">
        <v>4948</v>
      </c>
      <c r="X2660" s="18" t="s">
        <v>42</v>
      </c>
      <c r="Y2660" s="18" t="s">
        <v>36</v>
      </c>
      <c r="Z2660" s="18" t="s">
        <v>697</v>
      </c>
      <c r="AA2660" s="21" t="str">
        <f>HYPERLINK("https://www.ncbi.nlm.nih.gov/nuccore/JX569801","NCBI Nucleotide")</f>
        <v>NCBI Nucleotide</v>
      </c>
    </row>
    <row r="2661" spans="1:27" x14ac:dyDescent="0.35">
      <c r="A2661">
        <v>1003738</v>
      </c>
      <c r="B2661">
        <v>2637</v>
      </c>
      <c r="C2661">
        <v>1</v>
      </c>
      <c r="D2661" s="17" t="s">
        <v>155</v>
      </c>
      <c r="E2661" s="17"/>
      <c r="F2661" s="17" t="s">
        <v>156</v>
      </c>
      <c r="G2661" s="17"/>
      <c r="H2661" s="17" t="s">
        <v>692</v>
      </c>
      <c r="I2661" s="17"/>
      <c r="J2661" s="17" t="s">
        <v>693</v>
      </c>
      <c r="K2661" s="17"/>
      <c r="L2661" s="17"/>
      <c r="M2661" s="17"/>
      <c r="N2661" s="17"/>
      <c r="O2661" s="17" t="s">
        <v>4936</v>
      </c>
      <c r="P2661" s="17" t="s">
        <v>4946</v>
      </c>
      <c r="Q2661" s="17"/>
      <c r="R2661" s="25" t="str">
        <f>HYPERLINK("https://ictv.global/taxonomy/taxondetails?taxnode_id=202300201","Fletchervirus CPX")</f>
        <v>Fletchervirus CPX</v>
      </c>
      <c r="S2661" s="18" t="s">
        <v>30</v>
      </c>
      <c r="T2661" s="18" t="s">
        <v>4951</v>
      </c>
      <c r="U2661" s="18"/>
      <c r="V2661" s="18"/>
      <c r="W2661" s="18" t="s">
        <v>4952</v>
      </c>
      <c r="X2661" s="18" t="s">
        <v>42</v>
      </c>
      <c r="Y2661" s="18" t="s">
        <v>36</v>
      </c>
      <c r="Z2661" s="18" t="s">
        <v>697</v>
      </c>
      <c r="AA2661" s="21" t="str">
        <f>HYPERLINK("https://www.ncbi.nlm.nih.gov/nuccore/JN132397","NCBI Nucleotide")</f>
        <v>NCBI Nucleotide</v>
      </c>
    </row>
    <row r="2662" spans="1:27" x14ac:dyDescent="0.35">
      <c r="A2662">
        <v>1003739</v>
      </c>
      <c r="B2662">
        <v>2638</v>
      </c>
      <c r="C2662">
        <v>1</v>
      </c>
      <c r="D2662" s="17" t="s">
        <v>155</v>
      </c>
      <c r="E2662" s="17"/>
      <c r="F2662" s="17" t="s">
        <v>156</v>
      </c>
      <c r="G2662" s="17"/>
      <c r="H2662" s="17" t="s">
        <v>692</v>
      </c>
      <c r="I2662" s="17"/>
      <c r="J2662" s="17" t="s">
        <v>693</v>
      </c>
      <c r="K2662" s="17"/>
      <c r="L2662" s="17"/>
      <c r="M2662" s="17"/>
      <c r="N2662" s="17"/>
      <c r="O2662" s="17" t="s">
        <v>4936</v>
      </c>
      <c r="P2662" s="17" t="s">
        <v>4946</v>
      </c>
      <c r="Q2662" s="17"/>
      <c r="R2662" s="25" t="str">
        <f>HYPERLINK("https://ictv.global/taxonomy/taxondetails?taxnode_id=202306998","Fletchervirus Los1")</f>
        <v>Fletchervirus Los1</v>
      </c>
      <c r="S2662" s="18" t="s">
        <v>30</v>
      </c>
      <c r="T2662" s="18" t="s">
        <v>4953</v>
      </c>
      <c r="U2662" s="18"/>
      <c r="V2662" s="18"/>
      <c r="W2662" s="18" t="s">
        <v>4954</v>
      </c>
      <c r="X2662" s="18" t="s">
        <v>42</v>
      </c>
      <c r="Y2662" s="18" t="s">
        <v>36</v>
      </c>
      <c r="Z2662" s="18" t="s">
        <v>697</v>
      </c>
      <c r="AA2662" s="21" t="str">
        <f>HYPERLINK("https://www.ncbi.nlm.nih.gov/nuccore/KX879627","NCBI Nucleotide")</f>
        <v>NCBI Nucleotide</v>
      </c>
    </row>
    <row r="2663" spans="1:27" x14ac:dyDescent="0.35">
      <c r="A2663">
        <v>1003740</v>
      </c>
      <c r="B2663">
        <v>2639</v>
      </c>
      <c r="C2663">
        <v>1</v>
      </c>
      <c r="D2663" s="17" t="s">
        <v>155</v>
      </c>
      <c r="E2663" s="17"/>
      <c r="F2663" s="17" t="s">
        <v>156</v>
      </c>
      <c r="G2663" s="17"/>
      <c r="H2663" s="17" t="s">
        <v>692</v>
      </c>
      <c r="I2663" s="17"/>
      <c r="J2663" s="17" t="s">
        <v>693</v>
      </c>
      <c r="K2663" s="17"/>
      <c r="L2663" s="17"/>
      <c r="M2663" s="17"/>
      <c r="N2663" s="17"/>
      <c r="O2663" s="17" t="s">
        <v>4936</v>
      </c>
      <c r="P2663" s="17" t="s">
        <v>4946</v>
      </c>
      <c r="Q2663" s="17"/>
      <c r="R2663" s="25" t="str">
        <f>HYPERLINK("https://ictv.global/taxonomy/taxondetails?taxnode_id=202300202","Fletchervirus NCTC12673")</f>
        <v>Fletchervirus NCTC12673</v>
      </c>
      <c r="S2663" s="18" t="s">
        <v>30</v>
      </c>
      <c r="T2663" s="18" t="s">
        <v>4955</v>
      </c>
      <c r="U2663" s="18"/>
      <c r="V2663" s="18"/>
      <c r="W2663" s="18" t="s">
        <v>4956</v>
      </c>
      <c r="X2663" s="18" t="s">
        <v>42</v>
      </c>
      <c r="Y2663" s="18" t="s">
        <v>36</v>
      </c>
      <c r="Z2663" s="18" t="s">
        <v>697</v>
      </c>
      <c r="AA2663" s="21" t="str">
        <f>HYPERLINK("https://www.ncbi.nlm.nih.gov/nuccore/GU296433","NCBI Nucleotide")</f>
        <v>NCBI Nucleotide</v>
      </c>
    </row>
    <row r="2664" spans="1:27" x14ac:dyDescent="0.35">
      <c r="A2664">
        <v>1024607</v>
      </c>
      <c r="B2664">
        <v>2640</v>
      </c>
      <c r="C2664">
        <v>1</v>
      </c>
      <c r="D2664" s="17" t="s">
        <v>155</v>
      </c>
      <c r="E2664" s="17"/>
      <c r="F2664" s="17" t="s">
        <v>156</v>
      </c>
      <c r="G2664" s="17"/>
      <c r="H2664" s="17" t="s">
        <v>692</v>
      </c>
      <c r="I2664" s="17"/>
      <c r="J2664" s="17" t="s">
        <v>693</v>
      </c>
      <c r="K2664" s="17"/>
      <c r="L2664" s="17"/>
      <c r="M2664" s="17"/>
      <c r="N2664" s="17"/>
      <c r="O2664" s="17" t="s">
        <v>39532</v>
      </c>
      <c r="P2664" s="17" t="s">
        <v>39533</v>
      </c>
      <c r="Q2664" s="17"/>
      <c r="R2664" s="25" t="str">
        <f>HYPERLINK("https://ictv.global/taxonomy/taxondetails?taxnode_id=202317741","Corgivirus corgi")</f>
        <v>Corgivirus corgi</v>
      </c>
      <c r="S2664" s="18" t="s">
        <v>30</v>
      </c>
      <c r="T2664" s="18" t="s">
        <v>39534</v>
      </c>
      <c r="U2664" s="18"/>
      <c r="V2664" s="18"/>
      <c r="W2664" s="18" t="s">
        <v>48246</v>
      </c>
      <c r="X2664" s="18" t="s">
        <v>42</v>
      </c>
      <c r="Y2664" s="18" t="s">
        <v>36</v>
      </c>
      <c r="Z2664" s="18" t="s">
        <v>697</v>
      </c>
      <c r="AA2664" s="21" t="str">
        <f>HYPERLINK("https://www.ncbi.nlm.nih.gov/nuccore/MH834607","NCBI Nucleotide")</f>
        <v>NCBI Nucleotide</v>
      </c>
    </row>
    <row r="2665" spans="1:27" x14ac:dyDescent="0.35">
      <c r="A2665">
        <v>1025068</v>
      </c>
      <c r="B2665">
        <v>2641</v>
      </c>
      <c r="C2665">
        <v>1</v>
      </c>
      <c r="D2665" s="17" t="s">
        <v>155</v>
      </c>
      <c r="E2665" s="17"/>
      <c r="F2665" s="17" t="s">
        <v>156</v>
      </c>
      <c r="G2665" s="17"/>
      <c r="H2665" s="17" t="s">
        <v>692</v>
      </c>
      <c r="I2665" s="17"/>
      <c r="J2665" s="17" t="s">
        <v>693</v>
      </c>
      <c r="K2665" s="17"/>
      <c r="L2665" s="17"/>
      <c r="M2665" s="17"/>
      <c r="N2665" s="17"/>
      <c r="O2665" s="17" t="s">
        <v>39532</v>
      </c>
      <c r="P2665" s="17" t="s">
        <v>39535</v>
      </c>
      <c r="Q2665" s="17"/>
      <c r="R2665" s="25" t="str">
        <f>HYPERLINK("https://ictv.global/taxonomy/taxondetails?taxnode_id=202317742","Idahovirus idaho")</f>
        <v>Idahovirus idaho</v>
      </c>
      <c r="S2665" s="18" t="s">
        <v>30</v>
      </c>
      <c r="T2665" s="18" t="s">
        <v>39536</v>
      </c>
      <c r="U2665" s="18"/>
      <c r="V2665" s="18"/>
      <c r="W2665" s="18" t="s">
        <v>48247</v>
      </c>
      <c r="X2665" s="18" t="s">
        <v>42</v>
      </c>
      <c r="Y2665" s="18" t="s">
        <v>36</v>
      </c>
      <c r="Z2665" s="18" t="s">
        <v>697</v>
      </c>
      <c r="AA2665" s="21" t="str">
        <f>HYPERLINK("https://www.ncbi.nlm.nih.gov/nuccore/MK757448","NCBI Nucleotide")</f>
        <v>NCBI Nucleotide</v>
      </c>
    </row>
    <row r="2666" spans="1:27" x14ac:dyDescent="0.35">
      <c r="A2666">
        <v>1024779</v>
      </c>
      <c r="B2666">
        <v>2642</v>
      </c>
      <c r="C2666">
        <v>1</v>
      </c>
      <c r="D2666" s="17" t="s">
        <v>155</v>
      </c>
      <c r="E2666" s="17"/>
      <c r="F2666" s="17" t="s">
        <v>156</v>
      </c>
      <c r="G2666" s="17"/>
      <c r="H2666" s="17" t="s">
        <v>692</v>
      </c>
      <c r="I2666" s="17"/>
      <c r="J2666" s="17" t="s">
        <v>693</v>
      </c>
      <c r="K2666" s="17"/>
      <c r="L2666" s="17"/>
      <c r="M2666" s="17"/>
      <c r="N2666" s="17"/>
      <c r="O2666" s="17" t="s">
        <v>39532</v>
      </c>
      <c r="P2666" s="17" t="s">
        <v>39537</v>
      </c>
      <c r="Q2666" s="17"/>
      <c r="R2666" s="25" t="str">
        <f>HYPERLINK("https://ictv.global/taxonomy/taxondetails?taxnode_id=202317740","Noelyvirus noely")</f>
        <v>Noelyvirus noely</v>
      </c>
      <c r="S2666" s="18" t="s">
        <v>30</v>
      </c>
      <c r="T2666" s="18" t="s">
        <v>39538</v>
      </c>
      <c r="U2666" s="18"/>
      <c r="V2666" s="18"/>
      <c r="W2666" s="18" t="s">
        <v>48248</v>
      </c>
      <c r="X2666" s="18" t="s">
        <v>42</v>
      </c>
      <c r="Y2666" s="18" t="s">
        <v>36</v>
      </c>
      <c r="Z2666" s="18" t="s">
        <v>697</v>
      </c>
      <c r="AA2666" s="21" t="str">
        <f>HYPERLINK("https://www.ncbi.nlm.nih.gov/nuccore/MH834622","NCBI Nucleotide")</f>
        <v>NCBI Nucleotide</v>
      </c>
    </row>
    <row r="2667" spans="1:27" x14ac:dyDescent="0.35">
      <c r="A2667">
        <v>1003741</v>
      </c>
      <c r="B2667">
        <v>2643</v>
      </c>
      <c r="C2667">
        <v>1</v>
      </c>
      <c r="D2667" s="17" t="s">
        <v>155</v>
      </c>
      <c r="E2667" s="17"/>
      <c r="F2667" s="17" t="s">
        <v>156</v>
      </c>
      <c r="G2667" s="17"/>
      <c r="H2667" s="17" t="s">
        <v>692</v>
      </c>
      <c r="I2667" s="17"/>
      <c r="J2667" s="17" t="s">
        <v>693</v>
      </c>
      <c r="K2667" s="17"/>
      <c r="L2667" s="17"/>
      <c r="M2667" s="17"/>
      <c r="N2667" s="17"/>
      <c r="O2667" s="17" t="s">
        <v>4957</v>
      </c>
      <c r="P2667" s="17" t="s">
        <v>4958</v>
      </c>
      <c r="Q2667" s="17"/>
      <c r="R2667" s="25" t="str">
        <f>HYPERLINK("https://ictv.global/taxonomy/taxondetails?taxnode_id=202313593","Antsirabevirus antsirabe")</f>
        <v>Antsirabevirus antsirabe</v>
      </c>
      <c r="S2667" s="18" t="s">
        <v>30</v>
      </c>
      <c r="T2667" s="18" t="s">
        <v>4959</v>
      </c>
      <c r="U2667" s="18"/>
      <c r="V2667" s="18"/>
      <c r="W2667" s="18" t="s">
        <v>4960</v>
      </c>
      <c r="X2667" s="18" t="s">
        <v>42</v>
      </c>
      <c r="Y2667" s="18" t="s">
        <v>36</v>
      </c>
      <c r="Z2667" s="18" t="s">
        <v>697</v>
      </c>
      <c r="AA2667" s="21" t="str">
        <f>HYPERLINK("https://www.ncbi.nlm.nih.gov/nuccore/MN234183","NCBI Nucleotide")</f>
        <v>NCBI Nucleotide</v>
      </c>
    </row>
    <row r="2668" spans="1:27" x14ac:dyDescent="0.35">
      <c r="A2668">
        <v>1003742</v>
      </c>
      <c r="B2668">
        <v>2644</v>
      </c>
      <c r="C2668">
        <v>1</v>
      </c>
      <c r="D2668" s="17" t="s">
        <v>155</v>
      </c>
      <c r="E2668" s="17"/>
      <c r="F2668" s="17" t="s">
        <v>156</v>
      </c>
      <c r="G2668" s="17"/>
      <c r="H2668" s="17" t="s">
        <v>692</v>
      </c>
      <c r="I2668" s="17"/>
      <c r="J2668" s="17" t="s">
        <v>693</v>
      </c>
      <c r="K2668" s="17"/>
      <c r="L2668" s="17"/>
      <c r="M2668" s="17"/>
      <c r="N2668" s="17"/>
      <c r="O2668" s="17" t="s">
        <v>4957</v>
      </c>
      <c r="P2668" s="17" t="s">
        <v>4961</v>
      </c>
      <c r="Q2668" s="17"/>
      <c r="R2668" s="25" t="str">
        <f>HYPERLINK("https://ictv.global/taxonomy/taxondetails?taxnode_id=202313589","Avocadovirus avocado")</f>
        <v>Avocadovirus avocado</v>
      </c>
      <c r="S2668" s="18" t="s">
        <v>30</v>
      </c>
      <c r="T2668" s="18" t="s">
        <v>4962</v>
      </c>
      <c r="U2668" s="18"/>
      <c r="V2668" s="18"/>
      <c r="W2668" s="18" t="s">
        <v>4963</v>
      </c>
      <c r="X2668" s="18" t="s">
        <v>42</v>
      </c>
      <c r="Y2668" s="18" t="s">
        <v>36</v>
      </c>
      <c r="Z2668" s="18" t="s">
        <v>697</v>
      </c>
      <c r="AA2668" s="21" t="str">
        <f>HYPERLINK("https://www.ncbi.nlm.nih.gov/nuccore/MF141540","NCBI Nucleotide")</f>
        <v>NCBI Nucleotide</v>
      </c>
    </row>
    <row r="2669" spans="1:27" x14ac:dyDescent="0.35">
      <c r="A2669">
        <v>1003743</v>
      </c>
      <c r="B2669">
        <v>2645</v>
      </c>
      <c r="C2669">
        <v>1</v>
      </c>
      <c r="D2669" s="17" t="s">
        <v>155</v>
      </c>
      <c r="E2669" s="17"/>
      <c r="F2669" s="17" t="s">
        <v>156</v>
      </c>
      <c r="G2669" s="17"/>
      <c r="H2669" s="17" t="s">
        <v>692</v>
      </c>
      <c r="I2669" s="17"/>
      <c r="J2669" s="17" t="s">
        <v>693</v>
      </c>
      <c r="K2669" s="17"/>
      <c r="L2669" s="17"/>
      <c r="M2669" s="17"/>
      <c r="N2669" s="17"/>
      <c r="O2669" s="17" t="s">
        <v>4957</v>
      </c>
      <c r="P2669" s="17" t="s">
        <v>4961</v>
      </c>
      <c r="Q2669" s="17"/>
      <c r="R2669" s="25" t="str">
        <f>HYPERLINK("https://ictv.global/taxonomy/taxondetails?taxnode_id=202313591","Avocadovirus cambiare")</f>
        <v>Avocadovirus cambiare</v>
      </c>
      <c r="S2669" s="18" t="s">
        <v>30</v>
      </c>
      <c r="T2669" s="18" t="s">
        <v>4964</v>
      </c>
      <c r="U2669" s="18"/>
      <c r="V2669" s="18"/>
      <c r="W2669" s="18" t="s">
        <v>4965</v>
      </c>
      <c r="X2669" s="18" t="s">
        <v>42</v>
      </c>
      <c r="Y2669" s="18" t="s">
        <v>36</v>
      </c>
      <c r="Z2669" s="18" t="s">
        <v>697</v>
      </c>
      <c r="AA2669" s="21" t="str">
        <f>HYPERLINK("https://www.ncbi.nlm.nih.gov/nuccore/KR080198","NCBI Nucleotide")</f>
        <v>NCBI Nucleotide</v>
      </c>
    </row>
    <row r="2670" spans="1:27" x14ac:dyDescent="0.35">
      <c r="A2670">
        <v>1003744</v>
      </c>
      <c r="B2670">
        <v>2646</v>
      </c>
      <c r="C2670">
        <v>1</v>
      </c>
      <c r="D2670" s="17" t="s">
        <v>155</v>
      </c>
      <c r="E2670" s="17"/>
      <c r="F2670" s="17" t="s">
        <v>156</v>
      </c>
      <c r="G2670" s="17"/>
      <c r="H2670" s="17" t="s">
        <v>692</v>
      </c>
      <c r="I2670" s="17"/>
      <c r="J2670" s="17" t="s">
        <v>693</v>
      </c>
      <c r="K2670" s="17"/>
      <c r="L2670" s="17"/>
      <c r="M2670" s="17"/>
      <c r="N2670" s="17"/>
      <c r="O2670" s="17" t="s">
        <v>4957</v>
      </c>
      <c r="P2670" s="17" t="s">
        <v>4961</v>
      </c>
      <c r="Q2670" s="17"/>
      <c r="R2670" s="25" t="str">
        <f>HYPERLINK("https://ictv.global/taxonomy/taxondetails?taxnode_id=202313590","Avocadovirus flagstaff")</f>
        <v>Avocadovirus flagstaff</v>
      </c>
      <c r="S2670" s="18" t="s">
        <v>30</v>
      </c>
      <c r="T2670" s="18" t="s">
        <v>4966</v>
      </c>
      <c r="U2670" s="18"/>
      <c r="V2670" s="18"/>
      <c r="W2670" s="18" t="s">
        <v>4967</v>
      </c>
      <c r="X2670" s="18" t="s">
        <v>42</v>
      </c>
      <c r="Y2670" s="18" t="s">
        <v>36</v>
      </c>
      <c r="Z2670" s="18" t="s">
        <v>697</v>
      </c>
      <c r="AA2670" s="21" t="str">
        <f>HYPERLINK("https://www.ncbi.nlm.nih.gov/nuccore/KR080197","NCBI Nucleotide")</f>
        <v>NCBI Nucleotide</v>
      </c>
    </row>
    <row r="2671" spans="1:27" x14ac:dyDescent="0.35">
      <c r="A2671">
        <v>1003745</v>
      </c>
      <c r="B2671">
        <v>2647</v>
      </c>
      <c r="C2671">
        <v>1</v>
      </c>
      <c r="D2671" s="17" t="s">
        <v>155</v>
      </c>
      <c r="E2671" s="17"/>
      <c r="F2671" s="17" t="s">
        <v>156</v>
      </c>
      <c r="G2671" s="17"/>
      <c r="H2671" s="17" t="s">
        <v>692</v>
      </c>
      <c r="I2671" s="17"/>
      <c r="J2671" s="17" t="s">
        <v>693</v>
      </c>
      <c r="K2671" s="17"/>
      <c r="L2671" s="17"/>
      <c r="M2671" s="17"/>
      <c r="N2671" s="17"/>
      <c r="O2671" s="17" t="s">
        <v>4957</v>
      </c>
      <c r="P2671" s="17" t="s">
        <v>4968</v>
      </c>
      <c r="Q2671" s="17"/>
      <c r="R2671" s="25" t="str">
        <f>HYPERLINK("https://ictv.global/taxonomy/taxondetails?taxnode_id=202313595","Jolieduovirus jolie2")</f>
        <v>Jolieduovirus jolie2</v>
      </c>
      <c r="S2671" s="18" t="s">
        <v>30</v>
      </c>
      <c r="T2671" s="18" t="s">
        <v>4969</v>
      </c>
      <c r="U2671" s="18"/>
      <c r="V2671" s="18"/>
      <c r="W2671" s="18" t="s">
        <v>4970</v>
      </c>
      <c r="X2671" s="18" t="s">
        <v>42</v>
      </c>
      <c r="Y2671" s="18" t="s">
        <v>36</v>
      </c>
      <c r="Z2671" s="18" t="s">
        <v>697</v>
      </c>
      <c r="AA2671" s="21" t="str">
        <f>HYPERLINK("https://www.ncbi.nlm.nih.gov/nuccore/KJ410133","NCBI Nucleotide")</f>
        <v>NCBI Nucleotide</v>
      </c>
    </row>
    <row r="2672" spans="1:27" x14ac:dyDescent="0.35">
      <c r="A2672">
        <v>1003746</v>
      </c>
      <c r="B2672">
        <v>2648</v>
      </c>
      <c r="C2672">
        <v>1</v>
      </c>
      <c r="D2672" s="17" t="s">
        <v>155</v>
      </c>
      <c r="E2672" s="17"/>
      <c r="F2672" s="17" t="s">
        <v>156</v>
      </c>
      <c r="G2672" s="17"/>
      <c r="H2672" s="17" t="s">
        <v>692</v>
      </c>
      <c r="I2672" s="17"/>
      <c r="J2672" s="17" t="s">
        <v>693</v>
      </c>
      <c r="K2672" s="17"/>
      <c r="L2672" s="17"/>
      <c r="M2672" s="17"/>
      <c r="N2672" s="17"/>
      <c r="O2672" s="17" t="s">
        <v>4957</v>
      </c>
      <c r="P2672" s="17" t="s">
        <v>4968</v>
      </c>
      <c r="Q2672" s="17"/>
      <c r="R2672" s="25" t="str">
        <f>HYPERLINK("https://ictv.global/taxonomy/taxondetails?taxnode_id=202313597","Jolieduovirus lemuria")</f>
        <v>Jolieduovirus lemuria</v>
      </c>
      <c r="S2672" s="18" t="s">
        <v>30</v>
      </c>
      <c r="T2672" s="18" t="s">
        <v>4971</v>
      </c>
      <c r="U2672" s="18"/>
      <c r="V2672" s="18"/>
      <c r="W2672" s="18" t="s">
        <v>4972</v>
      </c>
      <c r="X2672" s="18" t="s">
        <v>42</v>
      </c>
      <c r="Y2672" s="18" t="s">
        <v>36</v>
      </c>
      <c r="Z2672" s="18" t="s">
        <v>697</v>
      </c>
      <c r="AA2672" s="21" t="str">
        <f>HYPERLINK("https://www.ncbi.nlm.nih.gov/nuccore/MN234185","NCBI Nucleotide")</f>
        <v>NCBI Nucleotide</v>
      </c>
    </row>
    <row r="2673" spans="1:27" x14ac:dyDescent="0.35">
      <c r="A2673">
        <v>1003747</v>
      </c>
      <c r="B2673">
        <v>2649</v>
      </c>
      <c r="C2673">
        <v>1</v>
      </c>
      <c r="D2673" s="17" t="s">
        <v>155</v>
      </c>
      <c r="E2673" s="17"/>
      <c r="F2673" s="17" t="s">
        <v>156</v>
      </c>
      <c r="G2673" s="17"/>
      <c r="H2673" s="17" t="s">
        <v>692</v>
      </c>
      <c r="I2673" s="17"/>
      <c r="J2673" s="17" t="s">
        <v>693</v>
      </c>
      <c r="K2673" s="17"/>
      <c r="L2673" s="17"/>
      <c r="M2673" s="17"/>
      <c r="N2673" s="17"/>
      <c r="O2673" s="17" t="s">
        <v>4957</v>
      </c>
      <c r="P2673" s="17" t="s">
        <v>4968</v>
      </c>
      <c r="Q2673" s="17"/>
      <c r="R2673" s="25" t="str">
        <f>HYPERLINK("https://ictv.global/taxonomy/taxondetails?taxnode_id=202313596","Jolieduovirus mercurio")</f>
        <v>Jolieduovirus mercurio</v>
      </c>
      <c r="S2673" s="18" t="s">
        <v>30</v>
      </c>
      <c r="T2673" s="18" t="s">
        <v>4973</v>
      </c>
      <c r="U2673" s="18"/>
      <c r="V2673" s="18"/>
      <c r="W2673" s="18" t="s">
        <v>4974</v>
      </c>
      <c r="X2673" s="18" t="s">
        <v>42</v>
      </c>
      <c r="Y2673" s="18" t="s">
        <v>36</v>
      </c>
      <c r="Z2673" s="18" t="s">
        <v>697</v>
      </c>
      <c r="AA2673" s="21" t="str">
        <f>HYPERLINK("https://www.ncbi.nlm.nih.gov/nuccore/MN234219","NCBI Nucleotide")</f>
        <v>NCBI Nucleotide</v>
      </c>
    </row>
    <row r="2674" spans="1:27" x14ac:dyDescent="0.35">
      <c r="A2674">
        <v>1003748</v>
      </c>
      <c r="B2674">
        <v>2650</v>
      </c>
      <c r="C2674">
        <v>1</v>
      </c>
      <c r="D2674" s="17" t="s">
        <v>155</v>
      </c>
      <c r="E2674" s="17"/>
      <c r="F2674" s="17" t="s">
        <v>156</v>
      </c>
      <c r="G2674" s="17"/>
      <c r="H2674" s="17" t="s">
        <v>692</v>
      </c>
      <c r="I2674" s="17"/>
      <c r="J2674" s="17" t="s">
        <v>693</v>
      </c>
      <c r="K2674" s="17"/>
      <c r="L2674" s="17"/>
      <c r="M2674" s="17"/>
      <c r="N2674" s="17"/>
      <c r="O2674" s="17" t="s">
        <v>4957</v>
      </c>
      <c r="P2674" s="17" t="s">
        <v>4975</v>
      </c>
      <c r="Q2674" s="17"/>
      <c r="R2674" s="25" t="str">
        <f>HYPERLINK("https://ictv.global/taxonomy/taxondetails?taxnode_id=202313587","Liefievirus grizzly")</f>
        <v>Liefievirus grizzly</v>
      </c>
      <c r="S2674" s="18" t="s">
        <v>30</v>
      </c>
      <c r="T2674" s="18" t="s">
        <v>4976</v>
      </c>
      <c r="U2674" s="18"/>
      <c r="V2674" s="18"/>
      <c r="W2674" s="18" t="s">
        <v>4977</v>
      </c>
      <c r="X2674" s="18" t="s">
        <v>42</v>
      </c>
      <c r="Y2674" s="18" t="s">
        <v>36</v>
      </c>
      <c r="Z2674" s="18" t="s">
        <v>697</v>
      </c>
      <c r="AA2674" s="21" t="str">
        <f>HYPERLINK("https://www.ncbi.nlm.nih.gov/nuccore/MH779505","NCBI Nucleotide")</f>
        <v>NCBI Nucleotide</v>
      </c>
    </row>
    <row r="2675" spans="1:27" x14ac:dyDescent="0.35">
      <c r="A2675">
        <v>1003749</v>
      </c>
      <c r="B2675">
        <v>2651</v>
      </c>
      <c r="C2675">
        <v>1</v>
      </c>
      <c r="D2675" s="17" t="s">
        <v>155</v>
      </c>
      <c r="E2675" s="17"/>
      <c r="F2675" s="17" t="s">
        <v>156</v>
      </c>
      <c r="G2675" s="17"/>
      <c r="H2675" s="17" t="s">
        <v>692</v>
      </c>
      <c r="I2675" s="17"/>
      <c r="J2675" s="17" t="s">
        <v>693</v>
      </c>
      <c r="K2675" s="17"/>
      <c r="L2675" s="17"/>
      <c r="M2675" s="17"/>
      <c r="N2675" s="17"/>
      <c r="O2675" s="17" t="s">
        <v>4957</v>
      </c>
      <c r="P2675" s="17" t="s">
        <v>4975</v>
      </c>
      <c r="Q2675" s="17"/>
      <c r="R2675" s="25" t="str">
        <f>HYPERLINK("https://ictv.global/taxonomy/taxondetails?taxnode_id=202313584","Liefievirus paito")</f>
        <v>Liefievirus paito</v>
      </c>
      <c r="S2675" s="18" t="s">
        <v>30</v>
      </c>
      <c r="T2675" s="18" t="s">
        <v>4978</v>
      </c>
      <c r="U2675" s="18"/>
      <c r="V2675" s="18"/>
      <c r="W2675" s="18" t="s">
        <v>4979</v>
      </c>
      <c r="X2675" s="18" t="s">
        <v>42</v>
      </c>
      <c r="Y2675" s="18" t="s">
        <v>36</v>
      </c>
      <c r="Z2675" s="18" t="s">
        <v>697</v>
      </c>
      <c r="AA2675" s="21" t="str">
        <f>HYPERLINK("https://www.ncbi.nlm.nih.gov/nuccore/MH779514","NCBI Nucleotide")</f>
        <v>NCBI Nucleotide</v>
      </c>
    </row>
    <row r="2676" spans="1:27" x14ac:dyDescent="0.35">
      <c r="A2676">
        <v>1003750</v>
      </c>
      <c r="B2676">
        <v>2652</v>
      </c>
      <c r="C2676">
        <v>1</v>
      </c>
      <c r="D2676" s="17" t="s">
        <v>155</v>
      </c>
      <c r="E2676" s="17"/>
      <c r="F2676" s="17" t="s">
        <v>156</v>
      </c>
      <c r="G2676" s="17"/>
      <c r="H2676" s="17" t="s">
        <v>692</v>
      </c>
      <c r="I2676" s="17"/>
      <c r="J2676" s="17" t="s">
        <v>693</v>
      </c>
      <c r="K2676" s="17"/>
      <c r="L2676" s="17"/>
      <c r="M2676" s="17"/>
      <c r="N2676" s="17"/>
      <c r="O2676" s="17" t="s">
        <v>4957</v>
      </c>
      <c r="P2676" s="17" t="s">
        <v>4975</v>
      </c>
      <c r="Q2676" s="17"/>
      <c r="R2676" s="25" t="str">
        <f>HYPERLINK("https://ictv.global/taxonomy/taxondetails?taxnode_id=202313586","Liefievirus rabbs")</f>
        <v>Liefievirus rabbs</v>
      </c>
      <c r="S2676" s="18" t="s">
        <v>30</v>
      </c>
      <c r="T2676" s="18" t="s">
        <v>4980</v>
      </c>
      <c r="U2676" s="18"/>
      <c r="V2676" s="18"/>
      <c r="W2676" s="18" t="s">
        <v>4981</v>
      </c>
      <c r="X2676" s="18" t="s">
        <v>42</v>
      </c>
      <c r="Y2676" s="18" t="s">
        <v>36</v>
      </c>
      <c r="Z2676" s="18" t="s">
        <v>697</v>
      </c>
      <c r="AA2676" s="21" t="str">
        <f>HYPERLINK("https://www.ncbi.nlm.nih.gov/nuccore/MK524494","NCBI Nucleotide")</f>
        <v>NCBI Nucleotide</v>
      </c>
    </row>
    <row r="2677" spans="1:27" x14ac:dyDescent="0.35">
      <c r="A2677">
        <v>1003751</v>
      </c>
      <c r="B2677">
        <v>2653</v>
      </c>
      <c r="C2677">
        <v>1</v>
      </c>
      <c r="D2677" s="17" t="s">
        <v>155</v>
      </c>
      <c r="E2677" s="17"/>
      <c r="F2677" s="17" t="s">
        <v>156</v>
      </c>
      <c r="G2677" s="17"/>
      <c r="H2677" s="17" t="s">
        <v>692</v>
      </c>
      <c r="I2677" s="17"/>
      <c r="J2677" s="17" t="s">
        <v>693</v>
      </c>
      <c r="K2677" s="17"/>
      <c r="L2677" s="17"/>
      <c r="M2677" s="17"/>
      <c r="N2677" s="17"/>
      <c r="O2677" s="17" t="s">
        <v>4957</v>
      </c>
      <c r="P2677" s="17" t="s">
        <v>4975</v>
      </c>
      <c r="Q2677" s="17"/>
      <c r="R2677" s="25" t="str">
        <f>HYPERLINK("https://ictv.global/taxonomy/taxondetails?taxnode_id=202313585","Liefievirus taheera")</f>
        <v>Liefievirus taheera</v>
      </c>
      <c r="S2677" s="18" t="s">
        <v>30</v>
      </c>
      <c r="T2677" s="18" t="s">
        <v>4982</v>
      </c>
      <c r="U2677" s="18"/>
      <c r="V2677" s="18"/>
      <c r="W2677" s="18" t="s">
        <v>4983</v>
      </c>
      <c r="X2677" s="18" t="s">
        <v>42</v>
      </c>
      <c r="Y2677" s="18" t="s">
        <v>36</v>
      </c>
      <c r="Z2677" s="18" t="s">
        <v>697</v>
      </c>
      <c r="AA2677" s="21" t="str">
        <f>HYPERLINK("https://www.ncbi.nlm.nih.gov/nuccore/KX641265","NCBI Nucleotide")</f>
        <v>NCBI Nucleotide</v>
      </c>
    </row>
    <row r="2678" spans="1:27" x14ac:dyDescent="0.35">
      <c r="A2678">
        <v>1003752</v>
      </c>
      <c r="B2678">
        <v>2654</v>
      </c>
      <c r="C2678">
        <v>1</v>
      </c>
      <c r="D2678" s="17" t="s">
        <v>155</v>
      </c>
      <c r="E2678" s="17"/>
      <c r="F2678" s="17" t="s">
        <v>156</v>
      </c>
      <c r="G2678" s="17"/>
      <c r="H2678" s="17" t="s">
        <v>692</v>
      </c>
      <c r="I2678" s="17"/>
      <c r="J2678" s="17" t="s">
        <v>693</v>
      </c>
      <c r="K2678" s="17"/>
      <c r="L2678" s="17"/>
      <c r="M2678" s="17"/>
      <c r="N2678" s="17"/>
      <c r="O2678" s="17" t="s">
        <v>4957</v>
      </c>
      <c r="P2678" s="17" t="s">
        <v>4975</v>
      </c>
      <c r="Q2678" s="17"/>
      <c r="R2678" s="25" t="str">
        <f>HYPERLINK("https://ictv.global/taxonomy/taxondetails?taxnode_id=202301076","Mycobacterium virus Halo")</f>
        <v>Mycobacterium virus Halo</v>
      </c>
      <c r="S2678" s="18" t="s">
        <v>30</v>
      </c>
      <c r="T2678" s="18" t="s">
        <v>4984</v>
      </c>
      <c r="U2678" s="18"/>
      <c r="V2678" s="18"/>
      <c r="W2678" s="18" t="s">
        <v>4985</v>
      </c>
      <c r="X2678" s="18" t="s">
        <v>42</v>
      </c>
      <c r="Y2678" s="18" t="s">
        <v>36</v>
      </c>
      <c r="Z2678" s="18" t="s">
        <v>697</v>
      </c>
      <c r="AA2678" s="21" t="str">
        <f>HYPERLINK("https://www.ncbi.nlm.nih.gov/nuccore/DQ398042","NCBI Nucleotide")</f>
        <v>NCBI Nucleotide</v>
      </c>
    </row>
    <row r="2679" spans="1:27" x14ac:dyDescent="0.35">
      <c r="A2679">
        <v>1003753</v>
      </c>
      <c r="B2679">
        <v>2655</v>
      </c>
      <c r="C2679">
        <v>1</v>
      </c>
      <c r="D2679" s="17" t="s">
        <v>155</v>
      </c>
      <c r="E2679" s="17"/>
      <c r="F2679" s="17" t="s">
        <v>156</v>
      </c>
      <c r="G2679" s="17"/>
      <c r="H2679" s="17" t="s">
        <v>692</v>
      </c>
      <c r="I2679" s="17"/>
      <c r="J2679" s="17" t="s">
        <v>693</v>
      </c>
      <c r="K2679" s="17"/>
      <c r="L2679" s="17"/>
      <c r="M2679" s="17"/>
      <c r="N2679" s="17"/>
      <c r="O2679" s="17" t="s">
        <v>4957</v>
      </c>
      <c r="P2679" s="17" t="s">
        <v>4975</v>
      </c>
      <c r="Q2679" s="17"/>
      <c r="R2679" s="25" t="str">
        <f>HYPERLINK("https://ictv.global/taxonomy/taxondetails?taxnode_id=202301077","Mycobacterium virus Liefie")</f>
        <v>Mycobacterium virus Liefie</v>
      </c>
      <c r="S2679" s="18" t="s">
        <v>30</v>
      </c>
      <c r="T2679" s="18" t="s">
        <v>4986</v>
      </c>
      <c r="U2679" s="18"/>
      <c r="V2679" s="18"/>
      <c r="W2679" s="18" t="s">
        <v>4987</v>
      </c>
      <c r="X2679" s="18" t="s">
        <v>42</v>
      </c>
      <c r="Y2679" s="18" t="s">
        <v>36</v>
      </c>
      <c r="Z2679" s="18" t="s">
        <v>697</v>
      </c>
      <c r="AA2679" s="21" t="str">
        <f>HYPERLINK("https://www.ncbi.nlm.nih.gov/nuccore/JN412593","NCBI Nucleotide")</f>
        <v>NCBI Nucleotide</v>
      </c>
    </row>
    <row r="2680" spans="1:27" x14ac:dyDescent="0.35">
      <c r="A2680">
        <v>1003754</v>
      </c>
      <c r="B2680">
        <v>2656</v>
      </c>
      <c r="C2680">
        <v>1</v>
      </c>
      <c r="D2680" s="17" t="s">
        <v>155</v>
      </c>
      <c r="E2680" s="17"/>
      <c r="F2680" s="17" t="s">
        <v>156</v>
      </c>
      <c r="G2680" s="17"/>
      <c r="H2680" s="17" t="s">
        <v>692</v>
      </c>
      <c r="I2680" s="17"/>
      <c r="J2680" s="17" t="s">
        <v>693</v>
      </c>
      <c r="K2680" s="17"/>
      <c r="L2680" s="17"/>
      <c r="M2680" s="17"/>
      <c r="N2680" s="17"/>
      <c r="O2680" s="17" t="s">
        <v>4957</v>
      </c>
      <c r="P2680" s="17" t="s">
        <v>4988</v>
      </c>
      <c r="Q2680" s="17"/>
      <c r="R2680" s="25" t="str">
        <f>HYPERLINK("https://ictv.global/taxonomy/taxondetails?taxnode_id=202313600","Pinnievirus moorethemaryer")</f>
        <v>Pinnievirus moorethemaryer</v>
      </c>
      <c r="S2680" s="18" t="s">
        <v>30</v>
      </c>
      <c r="T2680" s="18" t="s">
        <v>4989</v>
      </c>
      <c r="U2680" s="18"/>
      <c r="V2680" s="18"/>
      <c r="W2680" s="18" t="s">
        <v>4990</v>
      </c>
      <c r="X2680" s="18" t="s">
        <v>42</v>
      </c>
      <c r="Y2680" s="18" t="s">
        <v>36</v>
      </c>
      <c r="Z2680" s="18" t="s">
        <v>697</v>
      </c>
      <c r="AA2680" s="21" t="str">
        <f>HYPERLINK("https://www.ncbi.nlm.nih.gov/nuccore/KR080202","NCBI Nucleotide")</f>
        <v>NCBI Nucleotide</v>
      </c>
    </row>
    <row r="2681" spans="1:27" x14ac:dyDescent="0.35">
      <c r="A2681">
        <v>1003755</v>
      </c>
      <c r="B2681">
        <v>2657</v>
      </c>
      <c r="C2681">
        <v>1</v>
      </c>
      <c r="D2681" s="17" t="s">
        <v>155</v>
      </c>
      <c r="E2681" s="17"/>
      <c r="F2681" s="17" t="s">
        <v>156</v>
      </c>
      <c r="G2681" s="17"/>
      <c r="H2681" s="17" t="s">
        <v>692</v>
      </c>
      <c r="I2681" s="17"/>
      <c r="J2681" s="17" t="s">
        <v>693</v>
      </c>
      <c r="K2681" s="17"/>
      <c r="L2681" s="17"/>
      <c r="M2681" s="17"/>
      <c r="N2681" s="17"/>
      <c r="O2681" s="17" t="s">
        <v>4957</v>
      </c>
      <c r="P2681" s="17" t="s">
        <v>4988</v>
      </c>
      <c r="Q2681" s="17"/>
      <c r="R2681" s="25" t="str">
        <f>HYPERLINK("https://ictv.global/taxonomy/taxondetails?taxnode_id=202313599","Pinnievirus pinnie")</f>
        <v>Pinnievirus pinnie</v>
      </c>
      <c r="S2681" s="18" t="s">
        <v>30</v>
      </c>
      <c r="T2681" s="18" t="s">
        <v>4991</v>
      </c>
      <c r="U2681" s="18"/>
      <c r="V2681" s="18"/>
      <c r="W2681" s="18" t="s">
        <v>4992</v>
      </c>
      <c r="X2681" s="18" t="s">
        <v>42</v>
      </c>
      <c r="Y2681" s="18" t="s">
        <v>36</v>
      </c>
      <c r="Z2681" s="18" t="s">
        <v>697</v>
      </c>
      <c r="AA2681" s="21" t="str">
        <f>HYPERLINK("https://www.ncbi.nlm.nih.gov/nuccore/MK494105","NCBI Nucleotide")</f>
        <v>NCBI Nucleotide</v>
      </c>
    </row>
    <row r="2682" spans="1:27" x14ac:dyDescent="0.35">
      <c r="A2682">
        <v>1003756</v>
      </c>
      <c r="B2682">
        <v>2658</v>
      </c>
      <c r="C2682">
        <v>1</v>
      </c>
      <c r="D2682" s="17" t="s">
        <v>155</v>
      </c>
      <c r="E2682" s="17"/>
      <c r="F2682" s="17" t="s">
        <v>156</v>
      </c>
      <c r="G2682" s="17"/>
      <c r="H2682" s="17" t="s">
        <v>692</v>
      </c>
      <c r="I2682" s="17"/>
      <c r="J2682" s="17" t="s">
        <v>693</v>
      </c>
      <c r="K2682" s="17"/>
      <c r="L2682" s="17"/>
      <c r="M2682" s="17"/>
      <c r="N2682" s="17"/>
      <c r="O2682" s="17" t="s">
        <v>4993</v>
      </c>
      <c r="P2682" s="17" t="s">
        <v>4994</v>
      </c>
      <c r="Q2682" s="17"/>
      <c r="R2682" s="25" t="str">
        <f>HYPERLINK("https://ictv.global/taxonomy/taxondetails?taxnode_id=202310047","Dragolirvirus dragolir")</f>
        <v>Dragolirvirus dragolir</v>
      </c>
      <c r="S2682" s="18" t="s">
        <v>30</v>
      </c>
      <c r="T2682" s="18" t="s">
        <v>4995</v>
      </c>
      <c r="U2682" s="18"/>
      <c r="V2682" s="18"/>
      <c r="W2682" s="18" t="s">
        <v>4996</v>
      </c>
      <c r="X2682" s="18" t="s">
        <v>42</v>
      </c>
      <c r="Y2682" s="18" t="s">
        <v>36</v>
      </c>
      <c r="Z2682" s="18" t="s">
        <v>697</v>
      </c>
      <c r="AA2682" s="21" t="str">
        <f>HYPERLINK("https://www.ncbi.nlm.nih.gov/nuccore/MG727697","NCBI Nucleotide")</f>
        <v>NCBI Nucleotide</v>
      </c>
    </row>
    <row r="2683" spans="1:27" x14ac:dyDescent="0.35">
      <c r="A2683">
        <v>1003757</v>
      </c>
      <c r="B2683">
        <v>2659</v>
      </c>
      <c r="C2683">
        <v>1</v>
      </c>
      <c r="D2683" s="17" t="s">
        <v>155</v>
      </c>
      <c r="E2683" s="17"/>
      <c r="F2683" s="17" t="s">
        <v>156</v>
      </c>
      <c r="G2683" s="17"/>
      <c r="H2683" s="17" t="s">
        <v>692</v>
      </c>
      <c r="I2683" s="17"/>
      <c r="J2683" s="17" t="s">
        <v>693</v>
      </c>
      <c r="K2683" s="17"/>
      <c r="L2683" s="17"/>
      <c r="M2683" s="17"/>
      <c r="N2683" s="17"/>
      <c r="O2683" s="17" t="s">
        <v>4993</v>
      </c>
      <c r="P2683" s="17" t="s">
        <v>4997</v>
      </c>
      <c r="Q2683" s="17"/>
      <c r="R2683" s="25" t="str">
        <f>HYPERLINK("https://ictv.global/taxonomy/taxondetails?taxnode_id=202300981","Harrisonvirus harrison")</f>
        <v>Harrisonvirus harrison</v>
      </c>
      <c r="S2683" s="18" t="s">
        <v>30</v>
      </c>
      <c r="T2683" s="18" t="s">
        <v>4998</v>
      </c>
      <c r="U2683" s="18"/>
      <c r="V2683" s="18"/>
      <c r="W2683" s="18" t="s">
        <v>4999</v>
      </c>
      <c r="X2683" s="18" t="s">
        <v>42</v>
      </c>
      <c r="Y2683" s="18" t="s">
        <v>36</v>
      </c>
      <c r="Z2683" s="18" t="s">
        <v>697</v>
      </c>
      <c r="AA2683" s="21" t="str">
        <f>HYPERLINK("https://www.ncbi.nlm.nih.gov/nuccore/KT361651","NCBI Nucleotide")</f>
        <v>NCBI Nucleotide</v>
      </c>
    </row>
    <row r="2684" spans="1:27" x14ac:dyDescent="0.35">
      <c r="A2684">
        <v>1003758</v>
      </c>
      <c r="B2684">
        <v>2660</v>
      </c>
      <c r="C2684">
        <v>1</v>
      </c>
      <c r="D2684" s="17" t="s">
        <v>155</v>
      </c>
      <c r="E2684" s="17"/>
      <c r="F2684" s="17" t="s">
        <v>156</v>
      </c>
      <c r="G2684" s="17"/>
      <c r="H2684" s="17" t="s">
        <v>692</v>
      </c>
      <c r="I2684" s="17"/>
      <c r="J2684" s="17" t="s">
        <v>693</v>
      </c>
      <c r="K2684" s="17"/>
      <c r="L2684" s="17"/>
      <c r="M2684" s="17"/>
      <c r="N2684" s="17"/>
      <c r="O2684" s="17" t="s">
        <v>4993</v>
      </c>
      <c r="P2684" s="17" t="s">
        <v>5000</v>
      </c>
      <c r="Q2684" s="17"/>
      <c r="R2684" s="25" t="str">
        <f>HYPERLINK("https://ictv.global/taxonomy/taxondetails?taxnode_id=202301365","Vegasvirus vegas")</f>
        <v>Vegasvirus vegas</v>
      </c>
      <c r="S2684" s="18" t="s">
        <v>30</v>
      </c>
      <c r="T2684" s="18" t="s">
        <v>5001</v>
      </c>
      <c r="U2684" s="18"/>
      <c r="V2684" s="18"/>
      <c r="W2684" s="18" t="s">
        <v>5002</v>
      </c>
      <c r="X2684" s="18" t="s">
        <v>42</v>
      </c>
      <c r="Y2684" s="18" t="s">
        <v>36</v>
      </c>
      <c r="Z2684" s="18" t="s">
        <v>697</v>
      </c>
      <c r="AA2684" s="21" t="str">
        <f>HYPERLINK("https://www.ncbi.nlm.nih.gov/nuccore/KT361654","NCBI Nucleotide")</f>
        <v>NCBI Nucleotide</v>
      </c>
    </row>
    <row r="2685" spans="1:27" x14ac:dyDescent="0.35">
      <c r="A2685">
        <v>1003759</v>
      </c>
      <c r="B2685">
        <v>2661</v>
      </c>
      <c r="C2685">
        <v>1</v>
      </c>
      <c r="D2685" s="17" t="s">
        <v>155</v>
      </c>
      <c r="E2685" s="17"/>
      <c r="F2685" s="17" t="s">
        <v>156</v>
      </c>
      <c r="G2685" s="17"/>
      <c r="H2685" s="17" t="s">
        <v>692</v>
      </c>
      <c r="I2685" s="17"/>
      <c r="J2685" s="17" t="s">
        <v>693</v>
      </c>
      <c r="K2685" s="17"/>
      <c r="L2685" s="17"/>
      <c r="M2685" s="17"/>
      <c r="N2685" s="17"/>
      <c r="O2685" s="17" t="s">
        <v>4993</v>
      </c>
      <c r="P2685" s="17" t="s">
        <v>5003</v>
      </c>
      <c r="Q2685" s="17"/>
      <c r="R2685" s="25" t="str">
        <f>HYPERLINK("https://ictv.global/taxonomy/taxondetails?taxnode_id=202310049","Wanderervirus wanderer")</f>
        <v>Wanderervirus wanderer</v>
      </c>
      <c r="S2685" s="18" t="s">
        <v>30</v>
      </c>
      <c r="T2685" s="18" t="s">
        <v>5004</v>
      </c>
      <c r="U2685" s="18"/>
      <c r="V2685" s="18"/>
      <c r="W2685" s="18" t="s">
        <v>5005</v>
      </c>
      <c r="X2685" s="18" t="s">
        <v>42</v>
      </c>
      <c r="Y2685" s="18" t="s">
        <v>36</v>
      </c>
      <c r="Z2685" s="18" t="s">
        <v>697</v>
      </c>
      <c r="AA2685" s="21" t="str">
        <f>HYPERLINK("https://www.ncbi.nlm.nih.gov/nuccore/MH431930","NCBI Nucleotide")</f>
        <v>NCBI Nucleotide</v>
      </c>
    </row>
    <row r="2686" spans="1:27" x14ac:dyDescent="0.35">
      <c r="A2686">
        <v>1003760</v>
      </c>
      <c r="B2686">
        <v>2662</v>
      </c>
      <c r="C2686">
        <v>1</v>
      </c>
      <c r="D2686" s="17" t="s">
        <v>155</v>
      </c>
      <c r="E2686" s="17"/>
      <c r="F2686" s="17" t="s">
        <v>156</v>
      </c>
      <c r="G2686" s="17"/>
      <c r="H2686" s="17" t="s">
        <v>692</v>
      </c>
      <c r="I2686" s="17"/>
      <c r="J2686" s="17" t="s">
        <v>693</v>
      </c>
      <c r="K2686" s="17"/>
      <c r="L2686" s="17"/>
      <c r="M2686" s="17"/>
      <c r="N2686" s="17"/>
      <c r="O2686" s="17" t="s">
        <v>5006</v>
      </c>
      <c r="P2686" s="17" t="s">
        <v>5007</v>
      </c>
      <c r="Q2686" s="17"/>
      <c r="R2686" s="25" t="str">
        <f>HYPERLINK("https://ictv.global/taxonomy/taxondetails?taxnode_id=202314609","Kuravirus CHD5UKE1")</f>
        <v>Kuravirus CHD5UKE1</v>
      </c>
      <c r="S2686" s="18" t="s">
        <v>30</v>
      </c>
      <c r="T2686" s="18" t="s">
        <v>5008</v>
      </c>
      <c r="U2686" s="18"/>
      <c r="V2686" s="18"/>
      <c r="W2686" s="18" t="s">
        <v>5009</v>
      </c>
      <c r="X2686" s="18" t="s">
        <v>42</v>
      </c>
      <c r="Y2686" s="18" t="s">
        <v>36</v>
      </c>
      <c r="Z2686" s="18" t="s">
        <v>697</v>
      </c>
      <c r="AA2686" s="21" t="str">
        <f>HYPERLINK("https://www.ncbi.nlm.nih.gov/nuccore/MZ234028","NCBI Nucleotide")</f>
        <v>NCBI Nucleotide</v>
      </c>
    </row>
    <row r="2687" spans="1:27" x14ac:dyDescent="0.35">
      <c r="A2687">
        <v>1003761</v>
      </c>
      <c r="B2687">
        <v>2663</v>
      </c>
      <c r="C2687">
        <v>1</v>
      </c>
      <c r="D2687" s="17" t="s">
        <v>155</v>
      </c>
      <c r="E2687" s="17"/>
      <c r="F2687" s="17" t="s">
        <v>156</v>
      </c>
      <c r="G2687" s="17"/>
      <c r="H2687" s="17" t="s">
        <v>692</v>
      </c>
      <c r="I2687" s="17"/>
      <c r="J2687" s="17" t="s">
        <v>693</v>
      </c>
      <c r="K2687" s="17"/>
      <c r="L2687" s="17"/>
      <c r="M2687" s="17"/>
      <c r="N2687" s="17"/>
      <c r="O2687" s="17" t="s">
        <v>5006</v>
      </c>
      <c r="P2687" s="17" t="s">
        <v>5007</v>
      </c>
      <c r="Q2687" s="17"/>
      <c r="R2687" s="25" t="str">
        <f>HYPERLINK("https://ictv.global/taxonomy/taxondetails?taxnode_id=202314606","Kuravirus EcoN5")</f>
        <v>Kuravirus EcoN5</v>
      </c>
      <c r="S2687" s="18" t="s">
        <v>30</v>
      </c>
      <c r="T2687" s="18" t="s">
        <v>5010</v>
      </c>
      <c r="U2687" s="18"/>
      <c r="V2687" s="18"/>
      <c r="W2687" s="18" t="s">
        <v>5011</v>
      </c>
      <c r="X2687" s="18" t="s">
        <v>42</v>
      </c>
      <c r="Y2687" s="18" t="s">
        <v>36</v>
      </c>
      <c r="Z2687" s="18" t="s">
        <v>697</v>
      </c>
      <c r="AA2687" s="21" t="str">
        <f>HYPERLINK("https://www.ncbi.nlm.nih.gov/nuccore/MN715356","NCBI Nucleotide")</f>
        <v>NCBI Nucleotide</v>
      </c>
    </row>
    <row r="2688" spans="1:27" x14ac:dyDescent="0.35">
      <c r="A2688">
        <v>1003762</v>
      </c>
      <c r="B2688">
        <v>2664</v>
      </c>
      <c r="C2688">
        <v>1</v>
      </c>
      <c r="D2688" s="17" t="s">
        <v>155</v>
      </c>
      <c r="E2688" s="17"/>
      <c r="F2688" s="17" t="s">
        <v>156</v>
      </c>
      <c r="G2688" s="17"/>
      <c r="H2688" s="17" t="s">
        <v>692</v>
      </c>
      <c r="I2688" s="17"/>
      <c r="J2688" s="17" t="s">
        <v>693</v>
      </c>
      <c r="K2688" s="17"/>
      <c r="L2688" s="17"/>
      <c r="M2688" s="17"/>
      <c r="N2688" s="17"/>
      <c r="O2688" s="17" t="s">
        <v>5006</v>
      </c>
      <c r="P2688" s="17" t="s">
        <v>5007</v>
      </c>
      <c r="Q2688" s="17"/>
      <c r="R2688" s="25" t="str">
        <f>HYPERLINK("https://ictv.global/taxonomy/taxondetails?taxnode_id=202314604","Kuravirus ES17")</f>
        <v>Kuravirus ES17</v>
      </c>
      <c r="S2688" s="18" t="s">
        <v>30</v>
      </c>
      <c r="T2688" s="18" t="s">
        <v>5012</v>
      </c>
      <c r="U2688" s="18"/>
      <c r="V2688" s="18"/>
      <c r="W2688" s="18" t="s">
        <v>5013</v>
      </c>
      <c r="X2688" s="18" t="s">
        <v>42</v>
      </c>
      <c r="Y2688" s="18" t="s">
        <v>36</v>
      </c>
      <c r="Z2688" s="18" t="s">
        <v>697</v>
      </c>
      <c r="AA2688" s="21" t="str">
        <f>HYPERLINK("https://www.ncbi.nlm.nih.gov/nuccore/MN508615","NCBI Nucleotide")</f>
        <v>NCBI Nucleotide</v>
      </c>
    </row>
    <row r="2689" spans="1:27" x14ac:dyDescent="0.35">
      <c r="A2689">
        <v>1003763</v>
      </c>
      <c r="B2689">
        <v>2665</v>
      </c>
      <c r="C2689">
        <v>1</v>
      </c>
      <c r="D2689" s="17" t="s">
        <v>155</v>
      </c>
      <c r="E2689" s="17"/>
      <c r="F2689" s="17" t="s">
        <v>156</v>
      </c>
      <c r="G2689" s="17"/>
      <c r="H2689" s="17" t="s">
        <v>692</v>
      </c>
      <c r="I2689" s="17"/>
      <c r="J2689" s="17" t="s">
        <v>693</v>
      </c>
      <c r="K2689" s="17"/>
      <c r="L2689" s="17"/>
      <c r="M2689" s="17"/>
      <c r="N2689" s="17"/>
      <c r="O2689" s="17" t="s">
        <v>5006</v>
      </c>
      <c r="P2689" s="17" t="s">
        <v>5007</v>
      </c>
      <c r="Q2689" s="17"/>
      <c r="R2689" s="25" t="str">
        <f>HYPERLINK("https://ictv.global/taxonomy/taxondetails?taxnode_id=202314613","Kuravirus IMEP8")</f>
        <v>Kuravirus IMEP8</v>
      </c>
      <c r="S2689" s="18" t="s">
        <v>30</v>
      </c>
      <c r="T2689" s="18" t="s">
        <v>5014</v>
      </c>
      <c r="U2689" s="18"/>
      <c r="V2689" s="18"/>
      <c r="W2689" s="18" t="s">
        <v>5015</v>
      </c>
      <c r="X2689" s="18" t="s">
        <v>42</v>
      </c>
      <c r="Y2689" s="18" t="s">
        <v>36</v>
      </c>
      <c r="Z2689" s="18" t="s">
        <v>697</v>
      </c>
      <c r="AA2689" s="21" t="str">
        <f>HYPERLINK("https://www.ncbi.nlm.nih.gov/nuccore/MZ648214","NCBI Nucleotide")</f>
        <v>NCBI Nucleotide</v>
      </c>
    </row>
    <row r="2690" spans="1:27" x14ac:dyDescent="0.35">
      <c r="A2690">
        <v>1003764</v>
      </c>
      <c r="B2690">
        <v>2666</v>
      </c>
      <c r="C2690">
        <v>1</v>
      </c>
      <c r="D2690" s="17" t="s">
        <v>155</v>
      </c>
      <c r="E2690" s="17"/>
      <c r="F2690" s="17" t="s">
        <v>156</v>
      </c>
      <c r="G2690" s="17"/>
      <c r="H2690" s="17" t="s">
        <v>692</v>
      </c>
      <c r="I2690" s="17"/>
      <c r="J2690" s="17" t="s">
        <v>693</v>
      </c>
      <c r="K2690" s="17"/>
      <c r="L2690" s="17"/>
      <c r="M2690" s="17"/>
      <c r="N2690" s="17"/>
      <c r="O2690" s="17" t="s">
        <v>5006</v>
      </c>
      <c r="P2690" s="17" t="s">
        <v>5007</v>
      </c>
      <c r="Q2690" s="17"/>
      <c r="R2690" s="25" t="str">
        <f>HYPERLINK("https://ictv.global/taxonomy/taxondetails?taxnode_id=202300688","Kuravirus kv1721")</f>
        <v>Kuravirus kv1721</v>
      </c>
      <c r="S2690" s="18" t="s">
        <v>30</v>
      </c>
      <c r="T2690" s="18" t="s">
        <v>5016</v>
      </c>
      <c r="U2690" s="18"/>
      <c r="V2690" s="18"/>
      <c r="W2690" s="18" t="s">
        <v>5017</v>
      </c>
      <c r="X2690" s="18" t="s">
        <v>42</v>
      </c>
      <c r="Y2690" s="18" t="s">
        <v>36</v>
      </c>
      <c r="Z2690" s="18" t="s">
        <v>697</v>
      </c>
      <c r="AA2690" s="21" t="str">
        <f>HYPERLINK("https://www.ncbi.nlm.nih.gov/nuccore/KP308307","NCBI Nucleotide")</f>
        <v>NCBI Nucleotide</v>
      </c>
    </row>
    <row r="2691" spans="1:27" x14ac:dyDescent="0.35">
      <c r="A2691">
        <v>1003765</v>
      </c>
      <c r="B2691">
        <v>2667</v>
      </c>
      <c r="C2691">
        <v>1</v>
      </c>
      <c r="D2691" s="17" t="s">
        <v>155</v>
      </c>
      <c r="E2691" s="17"/>
      <c r="F2691" s="17" t="s">
        <v>156</v>
      </c>
      <c r="G2691" s="17"/>
      <c r="H2691" s="17" t="s">
        <v>692</v>
      </c>
      <c r="I2691" s="17"/>
      <c r="J2691" s="17" t="s">
        <v>693</v>
      </c>
      <c r="K2691" s="17"/>
      <c r="L2691" s="17"/>
      <c r="M2691" s="17"/>
      <c r="N2691" s="17"/>
      <c r="O2691" s="17" t="s">
        <v>5006</v>
      </c>
      <c r="P2691" s="17" t="s">
        <v>5007</v>
      </c>
      <c r="Q2691" s="17"/>
      <c r="R2691" s="25" t="str">
        <f>HYPERLINK("https://ictv.global/taxonomy/taxondetails?taxnode_id=202314610","Kuravirus MN03")</f>
        <v>Kuravirus MN03</v>
      </c>
      <c r="S2691" s="18" t="s">
        <v>30</v>
      </c>
      <c r="T2691" s="18" t="s">
        <v>5018</v>
      </c>
      <c r="U2691" s="18"/>
      <c r="V2691" s="18"/>
      <c r="W2691" s="18" t="s">
        <v>5019</v>
      </c>
      <c r="X2691" s="18" t="s">
        <v>42</v>
      </c>
      <c r="Y2691" s="18" t="s">
        <v>36</v>
      </c>
      <c r="Z2691" s="18" t="s">
        <v>697</v>
      </c>
      <c r="AA2691" s="21" t="str">
        <f>HYPERLINK("https://www.ncbi.nlm.nih.gov/nuccore/MT129653","NCBI Nucleotide")</f>
        <v>NCBI Nucleotide</v>
      </c>
    </row>
    <row r="2692" spans="1:27" x14ac:dyDescent="0.35">
      <c r="A2692">
        <v>1003766</v>
      </c>
      <c r="B2692">
        <v>2668</v>
      </c>
      <c r="C2692">
        <v>1</v>
      </c>
      <c r="D2692" s="17" t="s">
        <v>155</v>
      </c>
      <c r="E2692" s="17"/>
      <c r="F2692" s="17" t="s">
        <v>156</v>
      </c>
      <c r="G2692" s="17"/>
      <c r="H2692" s="17" t="s">
        <v>692</v>
      </c>
      <c r="I2692" s="17"/>
      <c r="J2692" s="17" t="s">
        <v>693</v>
      </c>
      <c r="K2692" s="17"/>
      <c r="L2692" s="17"/>
      <c r="M2692" s="17"/>
      <c r="N2692" s="17"/>
      <c r="O2692" s="17" t="s">
        <v>5006</v>
      </c>
      <c r="P2692" s="17" t="s">
        <v>5007</v>
      </c>
      <c r="Q2692" s="17"/>
      <c r="R2692" s="25" t="str">
        <f>HYPERLINK("https://ictv.global/taxonomy/taxondetails?taxnode_id=202314607","Kuravirus MN05")</f>
        <v>Kuravirus MN05</v>
      </c>
      <c r="S2692" s="18" t="s">
        <v>30</v>
      </c>
      <c r="T2692" s="18" t="s">
        <v>5020</v>
      </c>
      <c r="U2692" s="18"/>
      <c r="V2692" s="18"/>
      <c r="W2692" s="18" t="s">
        <v>5021</v>
      </c>
      <c r="X2692" s="18" t="s">
        <v>42</v>
      </c>
      <c r="Y2692" s="18" t="s">
        <v>36</v>
      </c>
      <c r="Z2692" s="18" t="s">
        <v>697</v>
      </c>
      <c r="AA2692" s="21" t="str">
        <f>HYPERLINK("https://www.ncbi.nlm.nih.gov/nuccore/MT129655","NCBI Nucleotide")</f>
        <v>NCBI Nucleotide</v>
      </c>
    </row>
    <row r="2693" spans="1:27" x14ac:dyDescent="0.35">
      <c r="A2693">
        <v>1003767</v>
      </c>
      <c r="B2693">
        <v>2669</v>
      </c>
      <c r="C2693">
        <v>1</v>
      </c>
      <c r="D2693" s="17" t="s">
        <v>155</v>
      </c>
      <c r="E2693" s="17"/>
      <c r="F2693" s="17" t="s">
        <v>156</v>
      </c>
      <c r="G2693" s="17"/>
      <c r="H2693" s="17" t="s">
        <v>692</v>
      </c>
      <c r="I2693" s="17"/>
      <c r="J2693" s="17" t="s">
        <v>693</v>
      </c>
      <c r="K2693" s="17"/>
      <c r="L2693" s="17"/>
      <c r="M2693" s="17"/>
      <c r="N2693" s="17"/>
      <c r="O2693" s="17" t="s">
        <v>5006</v>
      </c>
      <c r="P2693" s="17" t="s">
        <v>5007</v>
      </c>
      <c r="Q2693" s="17"/>
      <c r="R2693" s="25" t="str">
        <f>HYPERLINK("https://ictv.global/taxonomy/taxondetails?taxnode_id=202300690","Kuravirus NJ01")</f>
        <v>Kuravirus NJ01</v>
      </c>
      <c r="S2693" s="18" t="s">
        <v>30</v>
      </c>
      <c r="T2693" s="18" t="s">
        <v>5022</v>
      </c>
      <c r="U2693" s="18"/>
      <c r="V2693" s="18"/>
      <c r="W2693" s="18" t="s">
        <v>5023</v>
      </c>
      <c r="X2693" s="18" t="s">
        <v>42</v>
      </c>
      <c r="Y2693" s="18" t="s">
        <v>36</v>
      </c>
      <c r="Z2693" s="18" t="s">
        <v>697</v>
      </c>
      <c r="AA2693" s="21" t="str">
        <f>HYPERLINK("https://www.ncbi.nlm.nih.gov/nuccore/JX867715","NCBI Nucleotide")</f>
        <v>NCBI Nucleotide</v>
      </c>
    </row>
    <row r="2694" spans="1:27" x14ac:dyDescent="0.35">
      <c r="A2694">
        <v>1003768</v>
      </c>
      <c r="B2694">
        <v>2670</v>
      </c>
      <c r="C2694">
        <v>1</v>
      </c>
      <c r="D2694" s="17" t="s">
        <v>155</v>
      </c>
      <c r="E2694" s="17"/>
      <c r="F2694" s="17" t="s">
        <v>156</v>
      </c>
      <c r="G2694" s="17"/>
      <c r="H2694" s="17" t="s">
        <v>692</v>
      </c>
      <c r="I2694" s="17"/>
      <c r="J2694" s="17" t="s">
        <v>693</v>
      </c>
      <c r="K2694" s="17"/>
      <c r="L2694" s="17"/>
      <c r="M2694" s="17"/>
      <c r="N2694" s="17"/>
      <c r="O2694" s="17" t="s">
        <v>5006</v>
      </c>
      <c r="P2694" s="17" t="s">
        <v>5007</v>
      </c>
      <c r="Q2694" s="17"/>
      <c r="R2694" s="25" t="str">
        <f>HYPERLINK("https://ictv.global/taxonomy/taxondetails?taxnode_id=202314605","Kuravirus O18011")</f>
        <v>Kuravirus O18011</v>
      </c>
      <c r="S2694" s="18" t="s">
        <v>30</v>
      </c>
      <c r="T2694" s="18" t="s">
        <v>5024</v>
      </c>
      <c r="U2694" s="18"/>
      <c r="V2694" s="18"/>
      <c r="W2694" s="18" t="s">
        <v>5025</v>
      </c>
      <c r="X2694" s="18" t="s">
        <v>42</v>
      </c>
      <c r="Y2694" s="18" t="s">
        <v>36</v>
      </c>
      <c r="Z2694" s="18" t="s">
        <v>697</v>
      </c>
      <c r="AA2694" s="21" t="str">
        <f>HYPERLINK("https://www.ncbi.nlm.nih.gov/nuccore/LC553735","NCBI Nucleotide")</f>
        <v>NCBI Nucleotide</v>
      </c>
    </row>
    <row r="2695" spans="1:27" x14ac:dyDescent="0.35">
      <c r="A2695">
        <v>1003769</v>
      </c>
      <c r="B2695">
        <v>2671</v>
      </c>
      <c r="C2695">
        <v>1</v>
      </c>
      <c r="D2695" s="17" t="s">
        <v>155</v>
      </c>
      <c r="E2695" s="17"/>
      <c r="F2695" s="17" t="s">
        <v>156</v>
      </c>
      <c r="G2695" s="17"/>
      <c r="H2695" s="17" t="s">
        <v>692</v>
      </c>
      <c r="I2695" s="17"/>
      <c r="J2695" s="17" t="s">
        <v>693</v>
      </c>
      <c r="K2695" s="17"/>
      <c r="L2695" s="17"/>
      <c r="M2695" s="17"/>
      <c r="N2695" s="17"/>
      <c r="O2695" s="17" t="s">
        <v>5006</v>
      </c>
      <c r="P2695" s="17" t="s">
        <v>5007</v>
      </c>
      <c r="Q2695" s="17"/>
      <c r="R2695" s="25" t="str">
        <f>HYPERLINK("https://ictv.global/taxonomy/taxondetails?taxnode_id=202314612","Kuravirus paul")</f>
        <v>Kuravirus paul</v>
      </c>
      <c r="S2695" s="18" t="s">
        <v>30</v>
      </c>
      <c r="T2695" s="18" t="s">
        <v>5026</v>
      </c>
      <c r="U2695" s="18"/>
      <c r="V2695" s="18"/>
      <c r="W2695" s="18" t="s">
        <v>5027</v>
      </c>
      <c r="X2695" s="18" t="s">
        <v>42</v>
      </c>
      <c r="Y2695" s="18" t="s">
        <v>36</v>
      </c>
      <c r="Z2695" s="18" t="s">
        <v>697</v>
      </c>
      <c r="AA2695" s="21" t="str">
        <f>HYPERLINK("https://www.ncbi.nlm.nih.gov/nuccore/MN045231","NCBI Nucleotide")</f>
        <v>NCBI Nucleotide</v>
      </c>
    </row>
    <row r="2696" spans="1:27" x14ac:dyDescent="0.35">
      <c r="A2696">
        <v>1003770</v>
      </c>
      <c r="B2696">
        <v>2672</v>
      </c>
      <c r="C2696">
        <v>1</v>
      </c>
      <c r="D2696" s="17" t="s">
        <v>155</v>
      </c>
      <c r="E2696" s="17"/>
      <c r="F2696" s="17" t="s">
        <v>156</v>
      </c>
      <c r="G2696" s="17"/>
      <c r="H2696" s="17" t="s">
        <v>692</v>
      </c>
      <c r="I2696" s="17"/>
      <c r="J2696" s="17" t="s">
        <v>693</v>
      </c>
      <c r="K2696" s="17"/>
      <c r="L2696" s="17"/>
      <c r="M2696" s="17"/>
      <c r="N2696" s="17"/>
      <c r="O2696" s="17" t="s">
        <v>5006</v>
      </c>
      <c r="P2696" s="17" t="s">
        <v>5007</v>
      </c>
      <c r="Q2696" s="17"/>
      <c r="R2696" s="25" t="str">
        <f>HYPERLINK("https://ictv.global/taxonomy/taxondetails?taxnode_id=202300691","Kuravirus phiEco32")</f>
        <v>Kuravirus phiEco32</v>
      </c>
      <c r="S2696" s="18" t="s">
        <v>30</v>
      </c>
      <c r="T2696" s="18" t="s">
        <v>5028</v>
      </c>
      <c r="U2696" s="18"/>
      <c r="V2696" s="18"/>
      <c r="W2696" s="18" t="s">
        <v>5029</v>
      </c>
      <c r="X2696" s="18" t="s">
        <v>42</v>
      </c>
      <c r="Y2696" s="18" t="s">
        <v>36</v>
      </c>
      <c r="Z2696" s="18" t="s">
        <v>697</v>
      </c>
      <c r="AA2696" s="21" t="str">
        <f>HYPERLINK("https://www.ncbi.nlm.nih.gov/nuccore/EU330206","NCBI Nucleotide")</f>
        <v>NCBI Nucleotide</v>
      </c>
    </row>
    <row r="2697" spans="1:27" x14ac:dyDescent="0.35">
      <c r="A2697">
        <v>1003771</v>
      </c>
      <c r="B2697">
        <v>2673</v>
      </c>
      <c r="C2697">
        <v>1</v>
      </c>
      <c r="D2697" s="17" t="s">
        <v>155</v>
      </c>
      <c r="E2697" s="17"/>
      <c r="F2697" s="17" t="s">
        <v>156</v>
      </c>
      <c r="G2697" s="17"/>
      <c r="H2697" s="17" t="s">
        <v>692</v>
      </c>
      <c r="I2697" s="17"/>
      <c r="J2697" s="17" t="s">
        <v>693</v>
      </c>
      <c r="K2697" s="17"/>
      <c r="L2697" s="17"/>
      <c r="M2697" s="17"/>
      <c r="N2697" s="17"/>
      <c r="O2697" s="17" t="s">
        <v>5006</v>
      </c>
      <c r="P2697" s="17" t="s">
        <v>5007</v>
      </c>
      <c r="Q2697" s="17"/>
      <c r="R2697" s="25" t="str">
        <f>HYPERLINK("https://ictv.global/taxonomy/taxondetails?taxnode_id=202314608","Kuravirus SGF2")</f>
        <v>Kuravirus SGF2</v>
      </c>
      <c r="S2697" s="18" t="s">
        <v>30</v>
      </c>
      <c r="T2697" s="18" t="s">
        <v>5030</v>
      </c>
      <c r="U2697" s="18"/>
      <c r="V2697" s="18"/>
      <c r="W2697" s="18" t="s">
        <v>5031</v>
      </c>
      <c r="X2697" s="18" t="s">
        <v>42</v>
      </c>
      <c r="Y2697" s="18" t="s">
        <v>36</v>
      </c>
      <c r="Z2697" s="18" t="s">
        <v>697</v>
      </c>
      <c r="AA2697" s="21" t="str">
        <f>HYPERLINK("https://www.ncbi.nlm.nih.gov/nuccore/MN148435","NCBI Nucleotide")</f>
        <v>NCBI Nucleotide</v>
      </c>
    </row>
    <row r="2698" spans="1:27" x14ac:dyDescent="0.35">
      <c r="A2698">
        <v>1003772</v>
      </c>
      <c r="B2698">
        <v>2674</v>
      </c>
      <c r="C2698">
        <v>1</v>
      </c>
      <c r="D2698" s="17" t="s">
        <v>155</v>
      </c>
      <c r="E2698" s="17"/>
      <c r="F2698" s="17" t="s">
        <v>156</v>
      </c>
      <c r="G2698" s="17"/>
      <c r="H2698" s="17" t="s">
        <v>692</v>
      </c>
      <c r="I2698" s="17"/>
      <c r="J2698" s="17" t="s">
        <v>693</v>
      </c>
      <c r="K2698" s="17"/>
      <c r="L2698" s="17"/>
      <c r="M2698" s="17"/>
      <c r="N2698" s="17"/>
      <c r="O2698" s="17" t="s">
        <v>5006</v>
      </c>
      <c r="P2698" s="17" t="s">
        <v>5007</v>
      </c>
      <c r="Q2698" s="17"/>
      <c r="R2698" s="25" t="str">
        <f>HYPERLINK("https://ictv.global/taxonomy/taxondetails?taxnode_id=202300693","Kuravirus SU10")</f>
        <v>Kuravirus SU10</v>
      </c>
      <c r="S2698" s="18" t="s">
        <v>30</v>
      </c>
      <c r="T2698" s="18" t="s">
        <v>5032</v>
      </c>
      <c r="U2698" s="18"/>
      <c r="V2698" s="18"/>
      <c r="W2698" s="18" t="s">
        <v>5033</v>
      </c>
      <c r="X2698" s="18" t="s">
        <v>42</v>
      </c>
      <c r="Y2698" s="18" t="s">
        <v>36</v>
      </c>
      <c r="Z2698" s="18" t="s">
        <v>697</v>
      </c>
      <c r="AA2698" s="21" t="str">
        <f>HYPERLINK("https://www.ncbi.nlm.nih.gov/nuccore/KM044272","NCBI Nucleotide")</f>
        <v>NCBI Nucleotide</v>
      </c>
    </row>
    <row r="2699" spans="1:27" x14ac:dyDescent="0.35">
      <c r="A2699">
        <v>1003773</v>
      </c>
      <c r="B2699">
        <v>2675</v>
      </c>
      <c r="C2699">
        <v>1</v>
      </c>
      <c r="D2699" s="17" t="s">
        <v>155</v>
      </c>
      <c r="E2699" s="17"/>
      <c r="F2699" s="17" t="s">
        <v>156</v>
      </c>
      <c r="G2699" s="17"/>
      <c r="H2699" s="17" t="s">
        <v>692</v>
      </c>
      <c r="I2699" s="17"/>
      <c r="J2699" s="17" t="s">
        <v>693</v>
      </c>
      <c r="K2699" s="17"/>
      <c r="L2699" s="17"/>
      <c r="M2699" s="17"/>
      <c r="N2699" s="17"/>
      <c r="O2699" s="17" t="s">
        <v>5006</v>
      </c>
      <c r="P2699" s="17" t="s">
        <v>5007</v>
      </c>
      <c r="Q2699" s="17"/>
      <c r="R2699" s="25" t="str">
        <f>HYPERLINK("https://ictv.global/taxonomy/taxondetails?taxnode_id=202314611","Kuravirus WFI101126")</f>
        <v>Kuravirus WFI101126</v>
      </c>
      <c r="S2699" s="18" t="s">
        <v>30</v>
      </c>
      <c r="T2699" s="18" t="s">
        <v>5034</v>
      </c>
      <c r="U2699" s="18"/>
      <c r="V2699" s="18"/>
      <c r="W2699" s="18" t="s">
        <v>5035</v>
      </c>
      <c r="X2699" s="18" t="s">
        <v>42</v>
      </c>
      <c r="Y2699" s="18" t="s">
        <v>36</v>
      </c>
      <c r="Z2699" s="18" t="s">
        <v>697</v>
      </c>
      <c r="AA2699" s="21" t="str">
        <f>HYPERLINK("https://www.ncbi.nlm.nih.gov/nuccore/MK373770","NCBI Nucleotide")</f>
        <v>NCBI Nucleotide</v>
      </c>
    </row>
    <row r="2700" spans="1:27" x14ac:dyDescent="0.35">
      <c r="A2700">
        <v>1003774</v>
      </c>
      <c r="B2700">
        <v>2676</v>
      </c>
      <c r="C2700">
        <v>1</v>
      </c>
      <c r="D2700" s="17" t="s">
        <v>155</v>
      </c>
      <c r="E2700" s="17"/>
      <c r="F2700" s="17" t="s">
        <v>156</v>
      </c>
      <c r="G2700" s="17"/>
      <c r="H2700" s="17" t="s">
        <v>692</v>
      </c>
      <c r="I2700" s="17"/>
      <c r="J2700" s="17" t="s">
        <v>693</v>
      </c>
      <c r="K2700" s="17"/>
      <c r="L2700" s="17"/>
      <c r="M2700" s="17"/>
      <c r="N2700" s="17"/>
      <c r="O2700" s="17" t="s">
        <v>5006</v>
      </c>
      <c r="P2700" s="17" t="s">
        <v>5036</v>
      </c>
      <c r="Q2700" s="17"/>
      <c r="R2700" s="25" t="str">
        <f>HYPERLINK("https://ictv.global/taxonomy/taxondetails?taxnode_id=202314599","Nieuwekanaalvirus EP335")</f>
        <v>Nieuwekanaalvirus EP335</v>
      </c>
      <c r="S2700" s="18" t="s">
        <v>30</v>
      </c>
      <c r="T2700" s="18" t="s">
        <v>5037</v>
      </c>
      <c r="U2700" s="18"/>
      <c r="V2700" s="18"/>
      <c r="W2700" s="18" t="s">
        <v>5038</v>
      </c>
      <c r="X2700" s="18" t="s">
        <v>42</v>
      </c>
      <c r="Y2700" s="18" t="s">
        <v>36</v>
      </c>
      <c r="Z2700" s="18" t="s">
        <v>697</v>
      </c>
      <c r="AA2700" s="21" t="str">
        <f>HYPERLINK("https://www.ncbi.nlm.nih.gov/nuccore/MG748548","NCBI Nucleotide")</f>
        <v>NCBI Nucleotide</v>
      </c>
    </row>
    <row r="2701" spans="1:27" x14ac:dyDescent="0.35">
      <c r="A2701">
        <v>1003775</v>
      </c>
      <c r="B2701">
        <v>2677</v>
      </c>
      <c r="C2701">
        <v>1</v>
      </c>
      <c r="D2701" s="17" t="s">
        <v>155</v>
      </c>
      <c r="E2701" s="17"/>
      <c r="F2701" s="17" t="s">
        <v>156</v>
      </c>
      <c r="G2701" s="17"/>
      <c r="H2701" s="17" t="s">
        <v>692</v>
      </c>
      <c r="I2701" s="17"/>
      <c r="J2701" s="17" t="s">
        <v>693</v>
      </c>
      <c r="K2701" s="17"/>
      <c r="L2701" s="17"/>
      <c r="M2701" s="17"/>
      <c r="N2701" s="17"/>
      <c r="O2701" s="17" t="s">
        <v>5006</v>
      </c>
      <c r="P2701" s="17" t="s">
        <v>5036</v>
      </c>
      <c r="Q2701" s="17"/>
      <c r="R2701" s="25" t="str">
        <f>HYPERLINK("https://ictv.global/taxonomy/taxondetails?taxnode_id=202300692","Nieuwekanaalvirus KBNP1711")</f>
        <v>Nieuwekanaalvirus KBNP1711</v>
      </c>
      <c r="S2701" s="18" t="s">
        <v>30</v>
      </c>
      <c r="T2701" s="18" t="s">
        <v>5039</v>
      </c>
      <c r="U2701" s="18"/>
      <c r="V2701" s="18"/>
      <c r="W2701" s="18" t="s">
        <v>5040</v>
      </c>
      <c r="X2701" s="18" t="s">
        <v>42</v>
      </c>
      <c r="Y2701" s="18" t="s">
        <v>36</v>
      </c>
      <c r="Z2701" s="18" t="s">
        <v>697</v>
      </c>
      <c r="AA2701" s="21" t="str">
        <f>HYPERLINK("https://www.ncbi.nlm.nih.gov/nuccore/KF981730","NCBI Nucleotide")</f>
        <v>NCBI Nucleotide</v>
      </c>
    </row>
    <row r="2702" spans="1:27" x14ac:dyDescent="0.35">
      <c r="A2702">
        <v>1003776</v>
      </c>
      <c r="B2702">
        <v>2678</v>
      </c>
      <c r="C2702">
        <v>1</v>
      </c>
      <c r="D2702" s="17" t="s">
        <v>155</v>
      </c>
      <c r="E2702" s="17"/>
      <c r="F2702" s="17" t="s">
        <v>156</v>
      </c>
      <c r="G2702" s="17"/>
      <c r="H2702" s="17" t="s">
        <v>692</v>
      </c>
      <c r="I2702" s="17"/>
      <c r="J2702" s="17" t="s">
        <v>693</v>
      </c>
      <c r="K2702" s="17"/>
      <c r="L2702" s="17"/>
      <c r="M2702" s="17"/>
      <c r="N2702" s="17"/>
      <c r="O2702" s="17" t="s">
        <v>5006</v>
      </c>
      <c r="P2702" s="17" t="s">
        <v>5041</v>
      </c>
      <c r="Q2702" s="17"/>
      <c r="R2702" s="25" t="str">
        <f>HYPERLINK("https://ictv.global/taxonomy/taxondetails?taxnode_id=202314602","Suseptimavirus 101114UKE3")</f>
        <v>Suseptimavirus 101114UKE3</v>
      </c>
      <c r="S2702" s="18" t="s">
        <v>30</v>
      </c>
      <c r="T2702" s="18" t="s">
        <v>5042</v>
      </c>
      <c r="U2702" s="18"/>
      <c r="V2702" s="18"/>
      <c r="W2702" s="18" t="s">
        <v>5043</v>
      </c>
      <c r="X2702" s="18" t="s">
        <v>42</v>
      </c>
      <c r="Y2702" s="18" t="s">
        <v>36</v>
      </c>
      <c r="Z2702" s="18" t="s">
        <v>697</v>
      </c>
      <c r="AA2702" s="21" t="str">
        <f>HYPERLINK("https://www.ncbi.nlm.nih.gov/nuccore/MZ234017","NCBI Nucleotide")</f>
        <v>NCBI Nucleotide</v>
      </c>
    </row>
    <row r="2703" spans="1:27" x14ac:dyDescent="0.35">
      <c r="A2703">
        <v>1003777</v>
      </c>
      <c r="B2703">
        <v>2679</v>
      </c>
      <c r="C2703">
        <v>1</v>
      </c>
      <c r="D2703" s="17" t="s">
        <v>155</v>
      </c>
      <c r="E2703" s="17"/>
      <c r="F2703" s="17" t="s">
        <v>156</v>
      </c>
      <c r="G2703" s="17"/>
      <c r="H2703" s="17" t="s">
        <v>692</v>
      </c>
      <c r="I2703" s="17"/>
      <c r="J2703" s="17" t="s">
        <v>693</v>
      </c>
      <c r="K2703" s="17"/>
      <c r="L2703" s="17"/>
      <c r="M2703" s="17"/>
      <c r="N2703" s="17"/>
      <c r="O2703" s="17" t="s">
        <v>5006</v>
      </c>
      <c r="P2703" s="17" t="s">
        <v>5041</v>
      </c>
      <c r="Q2703" s="17"/>
      <c r="R2703" s="25" t="str">
        <f>HYPERLINK("https://ictv.global/taxonomy/taxondetails?taxnode_id=202300689","Suseptimavirus ECBP2")</f>
        <v>Suseptimavirus ECBP2</v>
      </c>
      <c r="S2703" s="18" t="s">
        <v>30</v>
      </c>
      <c r="T2703" s="18" t="s">
        <v>5044</v>
      </c>
      <c r="U2703" s="18"/>
      <c r="V2703" s="18"/>
      <c r="W2703" s="18" t="s">
        <v>5045</v>
      </c>
      <c r="X2703" s="18" t="s">
        <v>42</v>
      </c>
      <c r="Y2703" s="18" t="s">
        <v>36</v>
      </c>
      <c r="Z2703" s="18" t="s">
        <v>697</v>
      </c>
      <c r="AA2703" s="21" t="str">
        <f>HYPERLINK("https://www.ncbi.nlm.nih.gov/nuccore/JX415536","NCBI Nucleotide")</f>
        <v>NCBI Nucleotide</v>
      </c>
    </row>
    <row r="2704" spans="1:27" x14ac:dyDescent="0.35">
      <c r="A2704">
        <v>1003778</v>
      </c>
      <c r="B2704">
        <v>2680</v>
      </c>
      <c r="C2704">
        <v>1</v>
      </c>
      <c r="D2704" s="17" t="s">
        <v>155</v>
      </c>
      <c r="E2704" s="17"/>
      <c r="F2704" s="17" t="s">
        <v>156</v>
      </c>
      <c r="G2704" s="17"/>
      <c r="H2704" s="17" t="s">
        <v>692</v>
      </c>
      <c r="I2704" s="17"/>
      <c r="J2704" s="17" t="s">
        <v>693</v>
      </c>
      <c r="K2704" s="17"/>
      <c r="L2704" s="17"/>
      <c r="M2704" s="17"/>
      <c r="N2704" s="17"/>
      <c r="O2704" s="17" t="s">
        <v>5006</v>
      </c>
      <c r="P2704" s="17" t="s">
        <v>5041</v>
      </c>
      <c r="Q2704" s="17"/>
      <c r="R2704" s="25" t="str">
        <f>HYPERLINK("https://ictv.global/taxonomy/taxondetails?taxnode_id=202314601","Suseptimavirus EK010")</f>
        <v>Suseptimavirus EK010</v>
      </c>
      <c r="S2704" s="18" t="s">
        <v>30</v>
      </c>
      <c r="T2704" s="18" t="s">
        <v>5046</v>
      </c>
      <c r="U2704" s="18"/>
      <c r="V2704" s="18"/>
      <c r="W2704" s="18" t="s">
        <v>5047</v>
      </c>
      <c r="X2704" s="18" t="s">
        <v>42</v>
      </c>
      <c r="Y2704" s="18" t="s">
        <v>36</v>
      </c>
      <c r="Z2704" s="18" t="s">
        <v>697</v>
      </c>
      <c r="AA2704" s="21" t="str">
        <f>HYPERLINK("https://www.ncbi.nlm.nih.gov/nuccore/LC553734","NCBI Nucleotide")</f>
        <v>NCBI Nucleotide</v>
      </c>
    </row>
    <row r="2705" spans="1:27" x14ac:dyDescent="0.35">
      <c r="A2705">
        <v>1003779</v>
      </c>
      <c r="B2705">
        <v>2681</v>
      </c>
      <c r="C2705">
        <v>1</v>
      </c>
      <c r="D2705" s="17" t="s">
        <v>155</v>
      </c>
      <c r="E2705" s="17"/>
      <c r="F2705" s="17" t="s">
        <v>156</v>
      </c>
      <c r="G2705" s="17"/>
      <c r="H2705" s="17" t="s">
        <v>692</v>
      </c>
      <c r="I2705" s="17"/>
      <c r="J2705" s="17" t="s">
        <v>693</v>
      </c>
      <c r="K2705" s="17"/>
      <c r="L2705" s="17"/>
      <c r="M2705" s="17"/>
      <c r="N2705" s="17"/>
      <c r="O2705" s="17" t="s">
        <v>5006</v>
      </c>
      <c r="P2705" s="17" t="s">
        <v>5041</v>
      </c>
      <c r="Q2705" s="17"/>
      <c r="R2705" s="25" t="str">
        <f>HYPERLINK("https://ictv.global/taxonomy/taxondetails?taxnode_id=202314603","Suseptimavirus IME267")</f>
        <v>Suseptimavirus IME267</v>
      </c>
      <c r="S2705" s="18" t="s">
        <v>30</v>
      </c>
      <c r="T2705" s="18" t="s">
        <v>5048</v>
      </c>
      <c r="U2705" s="18"/>
      <c r="V2705" s="18"/>
      <c r="W2705" s="18" t="s">
        <v>5049</v>
      </c>
      <c r="X2705" s="18" t="s">
        <v>42</v>
      </c>
      <c r="Y2705" s="18" t="s">
        <v>36</v>
      </c>
      <c r="Z2705" s="18" t="s">
        <v>697</v>
      </c>
      <c r="AA2705" s="21" t="str">
        <f>HYPERLINK("https://www.ncbi.nlm.nih.gov/nuccore/MZ398243","NCBI Nucleotide")</f>
        <v>NCBI Nucleotide</v>
      </c>
    </row>
    <row r="2706" spans="1:27" x14ac:dyDescent="0.35">
      <c r="A2706">
        <v>1003780</v>
      </c>
      <c r="B2706">
        <v>2682</v>
      </c>
      <c r="C2706">
        <v>1</v>
      </c>
      <c r="D2706" s="17" t="s">
        <v>155</v>
      </c>
      <c r="E2706" s="17"/>
      <c r="F2706" s="17" t="s">
        <v>156</v>
      </c>
      <c r="G2706" s="17"/>
      <c r="H2706" s="17" t="s">
        <v>692</v>
      </c>
      <c r="I2706" s="17"/>
      <c r="J2706" s="17" t="s">
        <v>693</v>
      </c>
      <c r="K2706" s="17"/>
      <c r="L2706" s="17"/>
      <c r="M2706" s="17"/>
      <c r="N2706" s="17"/>
      <c r="O2706" s="17" t="s">
        <v>5006</v>
      </c>
      <c r="P2706" s="17" t="s">
        <v>5041</v>
      </c>
      <c r="Q2706" s="17"/>
      <c r="R2706" s="25" t="str">
        <f>HYPERLINK("https://ictv.global/taxonomy/taxondetails?taxnode_id=202314600","Suseptimavirus SU7")</f>
        <v>Suseptimavirus SU7</v>
      </c>
      <c r="S2706" s="18" t="s">
        <v>30</v>
      </c>
      <c r="T2706" s="18" t="s">
        <v>5050</v>
      </c>
      <c r="U2706" s="18"/>
      <c r="V2706" s="18"/>
      <c r="W2706" s="18" t="s">
        <v>5051</v>
      </c>
      <c r="X2706" s="18" t="s">
        <v>42</v>
      </c>
      <c r="Y2706" s="18" t="s">
        <v>36</v>
      </c>
      <c r="Z2706" s="18" t="s">
        <v>697</v>
      </c>
      <c r="AA2706" s="21" t="str">
        <f>HYPERLINK("https://www.ncbi.nlm.nih.gov/nuccore/MZ342906","NCBI Nucleotide")</f>
        <v>NCBI Nucleotide</v>
      </c>
    </row>
    <row r="2707" spans="1:27" x14ac:dyDescent="0.35">
      <c r="A2707">
        <v>1024496</v>
      </c>
      <c r="B2707">
        <v>2683</v>
      </c>
      <c r="C2707">
        <v>1</v>
      </c>
      <c r="D2707" s="17" t="s">
        <v>155</v>
      </c>
      <c r="E2707" s="17"/>
      <c r="F2707" s="17" t="s">
        <v>156</v>
      </c>
      <c r="G2707" s="17"/>
      <c r="H2707" s="17" t="s">
        <v>692</v>
      </c>
      <c r="I2707" s="17"/>
      <c r="J2707" s="17" t="s">
        <v>693</v>
      </c>
      <c r="K2707" s="17"/>
      <c r="L2707" s="17"/>
      <c r="M2707" s="17"/>
      <c r="N2707" s="17"/>
      <c r="O2707" s="17" t="s">
        <v>39539</v>
      </c>
      <c r="P2707" s="17" t="s">
        <v>39540</v>
      </c>
      <c r="Q2707" s="17"/>
      <c r="R2707" s="25" t="str">
        <f>HYPERLINK("https://ictv.global/taxonomy/taxondetails?taxnode_id=202318996","Dilongvirus PHB09")</f>
        <v>Dilongvirus PHB09</v>
      </c>
      <c r="S2707" s="18" t="s">
        <v>30</v>
      </c>
      <c r="T2707" s="18" t="s">
        <v>39541</v>
      </c>
      <c r="U2707" s="18"/>
      <c r="V2707" s="18"/>
      <c r="W2707" s="18" t="s">
        <v>48249</v>
      </c>
      <c r="X2707" s="18" t="s">
        <v>42</v>
      </c>
      <c r="Y2707" s="18" t="s">
        <v>36</v>
      </c>
      <c r="Z2707" s="18" t="s">
        <v>697</v>
      </c>
      <c r="AA2707" s="21" t="str">
        <f>HYPERLINK("https://www.ncbi.nlm.nih.gov/nuccore/OK040171","NCBI Nucleotide")</f>
        <v>NCBI Nucleotide</v>
      </c>
    </row>
    <row r="2708" spans="1:27" x14ac:dyDescent="0.35">
      <c r="A2708">
        <v>1005180</v>
      </c>
      <c r="B2708">
        <v>2684</v>
      </c>
      <c r="C2708">
        <v>1</v>
      </c>
      <c r="D2708" s="17" t="s">
        <v>155</v>
      </c>
      <c r="E2708" s="17"/>
      <c r="F2708" s="17" t="s">
        <v>156</v>
      </c>
      <c r="G2708" s="17"/>
      <c r="H2708" s="17" t="s">
        <v>692</v>
      </c>
      <c r="I2708" s="17"/>
      <c r="J2708" s="17" t="s">
        <v>693</v>
      </c>
      <c r="K2708" s="17"/>
      <c r="L2708" s="17"/>
      <c r="M2708" s="17"/>
      <c r="N2708" s="17"/>
      <c r="O2708" s="17" t="s">
        <v>39539</v>
      </c>
      <c r="P2708" s="17" t="s">
        <v>1744</v>
      </c>
      <c r="Q2708" s="17"/>
      <c r="R2708" s="25" t="str">
        <f>HYPERLINK("https://ictv.global/taxonomy/taxondetails?taxnode_id=202306824","Flaumdravirus KIL2")</f>
        <v>Flaumdravirus KIL2</v>
      </c>
      <c r="S2708" s="18" t="s">
        <v>30</v>
      </c>
      <c r="T2708" s="18" t="s">
        <v>1745</v>
      </c>
      <c r="U2708" s="18"/>
      <c r="V2708" s="18"/>
      <c r="W2708" s="18" t="s">
        <v>1746</v>
      </c>
      <c r="X2708" s="18" t="s">
        <v>42</v>
      </c>
      <c r="Y2708" s="18" t="s">
        <v>36</v>
      </c>
      <c r="Z2708" s="18" t="s">
        <v>697</v>
      </c>
      <c r="AA2708" s="21" t="str">
        <f>HYPERLINK("https://www.ncbi.nlm.nih.gov/nuccore/KU130129","NCBI Nucleotide")</f>
        <v>NCBI Nucleotide</v>
      </c>
    </row>
    <row r="2709" spans="1:27" x14ac:dyDescent="0.35">
      <c r="A2709">
        <v>1005181</v>
      </c>
      <c r="B2709">
        <v>2685</v>
      </c>
      <c r="C2709">
        <v>1</v>
      </c>
      <c r="D2709" s="17" t="s">
        <v>155</v>
      </c>
      <c r="E2709" s="17"/>
      <c r="F2709" s="17" t="s">
        <v>156</v>
      </c>
      <c r="G2709" s="17"/>
      <c r="H2709" s="17" t="s">
        <v>692</v>
      </c>
      <c r="I2709" s="17"/>
      <c r="J2709" s="17" t="s">
        <v>693</v>
      </c>
      <c r="K2709" s="17"/>
      <c r="L2709" s="17"/>
      <c r="M2709" s="17"/>
      <c r="N2709" s="17"/>
      <c r="O2709" s="17" t="s">
        <v>39539</v>
      </c>
      <c r="P2709" s="17" t="s">
        <v>1744</v>
      </c>
      <c r="Q2709" s="17"/>
      <c r="R2709" s="25" t="str">
        <f>HYPERLINK("https://ictv.global/taxonomy/taxondetails?taxnode_id=202306823","Flaumdravirus KIL4")</f>
        <v>Flaumdravirus KIL4</v>
      </c>
      <c r="S2709" s="18" t="s">
        <v>30</v>
      </c>
      <c r="T2709" s="18" t="s">
        <v>1747</v>
      </c>
      <c r="U2709" s="18"/>
      <c r="V2709" s="18"/>
      <c r="W2709" s="18" t="s">
        <v>1748</v>
      </c>
      <c r="X2709" s="18" t="s">
        <v>42</v>
      </c>
      <c r="Y2709" s="18" t="s">
        <v>36</v>
      </c>
      <c r="Z2709" s="18" t="s">
        <v>697</v>
      </c>
      <c r="AA2709" s="21" t="str">
        <f>HYPERLINK("https://www.ncbi.nlm.nih.gov/nuccore/KU130126","NCBI Nucleotide")</f>
        <v>NCBI Nucleotide</v>
      </c>
    </row>
    <row r="2710" spans="1:27" x14ac:dyDescent="0.35">
      <c r="A2710">
        <v>1024993</v>
      </c>
      <c r="B2710">
        <v>2686</v>
      </c>
      <c r="C2710">
        <v>1</v>
      </c>
      <c r="D2710" s="17" t="s">
        <v>155</v>
      </c>
      <c r="E2710" s="17"/>
      <c r="F2710" s="17" t="s">
        <v>156</v>
      </c>
      <c r="G2710" s="17"/>
      <c r="H2710" s="17" t="s">
        <v>692</v>
      </c>
      <c r="I2710" s="17"/>
      <c r="J2710" s="17" t="s">
        <v>693</v>
      </c>
      <c r="K2710" s="17"/>
      <c r="L2710" s="17"/>
      <c r="M2710" s="17"/>
      <c r="N2710" s="17"/>
      <c r="O2710" s="17" t="s">
        <v>39539</v>
      </c>
      <c r="P2710" s="17" t="s">
        <v>39542</v>
      </c>
      <c r="Q2710" s="17"/>
      <c r="R2710" s="25" t="str">
        <f>HYPERLINK("https://ictv.global/taxonomy/taxondetails?taxnode_id=202318998","Kremarvirus kremar")</f>
        <v>Kremarvirus kremar</v>
      </c>
      <c r="S2710" s="18" t="s">
        <v>30</v>
      </c>
      <c r="T2710" s="18" t="s">
        <v>39543</v>
      </c>
      <c r="U2710" s="18"/>
      <c r="V2710" s="18"/>
      <c r="W2710" s="18" t="s">
        <v>48250</v>
      </c>
      <c r="X2710" s="18" t="s">
        <v>42</v>
      </c>
      <c r="Y2710" s="18" t="s">
        <v>36</v>
      </c>
      <c r="Z2710" s="18" t="s">
        <v>697</v>
      </c>
      <c r="AA2710" s="21" t="str">
        <f>HYPERLINK("https://www.ncbi.nlm.nih.gov/nuccore/OM982620","NCBI Nucleotide")</f>
        <v>NCBI Nucleotide</v>
      </c>
    </row>
    <row r="2711" spans="1:27" x14ac:dyDescent="0.35">
      <c r="A2711">
        <v>1024994</v>
      </c>
      <c r="B2711">
        <v>2687</v>
      </c>
      <c r="C2711">
        <v>1</v>
      </c>
      <c r="D2711" s="17" t="s">
        <v>155</v>
      </c>
      <c r="E2711" s="17"/>
      <c r="F2711" s="17" t="s">
        <v>156</v>
      </c>
      <c r="G2711" s="17"/>
      <c r="H2711" s="17" t="s">
        <v>692</v>
      </c>
      <c r="I2711" s="17"/>
      <c r="J2711" s="17" t="s">
        <v>693</v>
      </c>
      <c r="K2711" s="17"/>
      <c r="L2711" s="17"/>
      <c r="M2711" s="17"/>
      <c r="N2711" s="17"/>
      <c r="O2711" s="17" t="s">
        <v>39539</v>
      </c>
      <c r="P2711" s="17" t="s">
        <v>39542</v>
      </c>
      <c r="Q2711" s="17"/>
      <c r="R2711" s="25" t="str">
        <f>HYPERLINK("https://ictv.global/taxonomy/taxondetails?taxnode_id=202318999","Kremarvirus M51")</f>
        <v>Kremarvirus M51</v>
      </c>
      <c r="S2711" s="18" t="s">
        <v>30</v>
      </c>
      <c r="T2711" s="18" t="s">
        <v>39544</v>
      </c>
      <c r="U2711" s="18"/>
      <c r="V2711" s="18"/>
      <c r="W2711" s="18" t="s">
        <v>48251</v>
      </c>
      <c r="X2711" s="18" t="s">
        <v>42</v>
      </c>
      <c r="Y2711" s="18" t="s">
        <v>36</v>
      </c>
      <c r="Z2711" s="18" t="s">
        <v>697</v>
      </c>
      <c r="AA2711" s="21" t="str">
        <f>HYPERLINK("https://www.ncbi.nlm.nih.gov/nuccore/MZ826350","NCBI Nucleotide")</f>
        <v>NCBI Nucleotide</v>
      </c>
    </row>
    <row r="2712" spans="1:27" x14ac:dyDescent="0.35">
      <c r="A2712">
        <v>1006014</v>
      </c>
      <c r="B2712">
        <v>2688</v>
      </c>
      <c r="C2712">
        <v>1</v>
      </c>
      <c r="D2712" s="17" t="s">
        <v>155</v>
      </c>
      <c r="E2712" s="17"/>
      <c r="F2712" s="17" t="s">
        <v>156</v>
      </c>
      <c r="G2712" s="17"/>
      <c r="H2712" s="17" t="s">
        <v>692</v>
      </c>
      <c r="I2712" s="17"/>
      <c r="J2712" s="17" t="s">
        <v>693</v>
      </c>
      <c r="K2712" s="17"/>
      <c r="L2712" s="17"/>
      <c r="M2712" s="17"/>
      <c r="N2712" s="17"/>
      <c r="O2712" s="17" t="s">
        <v>39539</v>
      </c>
      <c r="P2712" s="17" t="s">
        <v>39542</v>
      </c>
      <c r="Q2712" s="17"/>
      <c r="R2712" s="25" t="str">
        <f>HYPERLINK("https://ictv.global/taxonomy/taxondetails?taxnode_id=202306855","Kremarvirus VCM")</f>
        <v>Kremarvirus VCM</v>
      </c>
      <c r="S2712" s="18" t="s">
        <v>30</v>
      </c>
      <c r="T2712" s="18" t="s">
        <v>2886</v>
      </c>
      <c r="U2712" s="18"/>
      <c r="V2712" s="18"/>
      <c r="W2712" s="18" t="s">
        <v>2887</v>
      </c>
      <c r="X2712" s="18" t="s">
        <v>42</v>
      </c>
      <c r="Y2712" s="18" t="s">
        <v>36</v>
      </c>
      <c r="Z2712" s="18" t="s">
        <v>697</v>
      </c>
      <c r="AA2712" s="21" t="str">
        <f>HYPERLINK("https://www.ncbi.nlm.nih.gov/nuccore/LN887844","NCBI Nucleotide")</f>
        <v>NCBI Nucleotide</v>
      </c>
    </row>
    <row r="2713" spans="1:27" x14ac:dyDescent="0.35">
      <c r="A2713">
        <v>1024717</v>
      </c>
      <c r="B2713">
        <v>2689</v>
      </c>
      <c r="C2713">
        <v>1</v>
      </c>
      <c r="D2713" s="17" t="s">
        <v>155</v>
      </c>
      <c r="E2713" s="17"/>
      <c r="F2713" s="17" t="s">
        <v>156</v>
      </c>
      <c r="G2713" s="17"/>
      <c r="H2713" s="17" t="s">
        <v>692</v>
      </c>
      <c r="I2713" s="17"/>
      <c r="J2713" s="17" t="s">
        <v>693</v>
      </c>
      <c r="K2713" s="17"/>
      <c r="L2713" s="17"/>
      <c r="M2713" s="17"/>
      <c r="N2713" s="17"/>
      <c r="O2713" s="17" t="s">
        <v>39539</v>
      </c>
      <c r="P2713" s="17" t="s">
        <v>2883</v>
      </c>
      <c r="Q2713" s="17"/>
      <c r="R2713" s="25" t="str">
        <f>HYPERLINK("https://ictv.global/taxonomy/taxondetails?taxnode_id=202319008","Otagovirus PE09")</f>
        <v>Otagovirus PE09</v>
      </c>
      <c r="S2713" s="18" t="s">
        <v>30</v>
      </c>
      <c r="T2713" s="18" t="s">
        <v>39545</v>
      </c>
      <c r="U2713" s="18"/>
      <c r="V2713" s="18"/>
      <c r="W2713" s="18" t="s">
        <v>48252</v>
      </c>
      <c r="X2713" s="18" t="s">
        <v>42</v>
      </c>
      <c r="Y2713" s="18" t="s">
        <v>36</v>
      </c>
      <c r="Z2713" s="18" t="s">
        <v>697</v>
      </c>
      <c r="AA2713" s="21" t="str">
        <f>HYPERLINK("https://www.ncbi.nlm.nih.gov/nuccore/MN905160","NCBI Nucleotide")</f>
        <v>NCBI Nucleotide</v>
      </c>
    </row>
    <row r="2714" spans="1:27" x14ac:dyDescent="0.35">
      <c r="A2714">
        <v>1024718</v>
      </c>
      <c r="B2714">
        <v>2690</v>
      </c>
      <c r="C2714">
        <v>1</v>
      </c>
      <c r="D2714" s="17" t="s">
        <v>155</v>
      </c>
      <c r="E2714" s="17"/>
      <c r="F2714" s="17" t="s">
        <v>156</v>
      </c>
      <c r="G2714" s="17"/>
      <c r="H2714" s="17" t="s">
        <v>692</v>
      </c>
      <c r="I2714" s="17"/>
      <c r="J2714" s="17" t="s">
        <v>693</v>
      </c>
      <c r="K2714" s="17"/>
      <c r="L2714" s="17"/>
      <c r="M2714" s="17"/>
      <c r="N2714" s="17"/>
      <c r="O2714" s="17" t="s">
        <v>39539</v>
      </c>
      <c r="P2714" s="17" t="s">
        <v>2883</v>
      </c>
      <c r="Q2714" s="17"/>
      <c r="R2714" s="25" t="str">
        <f>HYPERLINK("https://ictv.global/taxonomy/taxondetails?taxnode_id=202319009","Otagovirus PN09")</f>
        <v>Otagovirus PN09</v>
      </c>
      <c r="S2714" s="18" t="s">
        <v>30</v>
      </c>
      <c r="T2714" s="18" t="s">
        <v>39546</v>
      </c>
      <c r="U2714" s="18"/>
      <c r="V2714" s="18"/>
      <c r="W2714" s="18" t="s">
        <v>48253</v>
      </c>
      <c r="X2714" s="18" t="s">
        <v>42</v>
      </c>
      <c r="Y2714" s="18" t="s">
        <v>36</v>
      </c>
      <c r="Z2714" s="18" t="s">
        <v>697</v>
      </c>
      <c r="AA2714" s="21" t="str">
        <f>HYPERLINK("https://www.ncbi.nlm.nih.gov/nuccore/MW175491","NCBI Nucleotide")</f>
        <v>NCBI Nucleotide</v>
      </c>
    </row>
    <row r="2715" spans="1:27" x14ac:dyDescent="0.35">
      <c r="A2715">
        <v>1024719</v>
      </c>
      <c r="B2715">
        <v>2691</v>
      </c>
      <c r="C2715">
        <v>1</v>
      </c>
      <c r="D2715" s="17" t="s">
        <v>155</v>
      </c>
      <c r="E2715" s="17"/>
      <c r="F2715" s="17" t="s">
        <v>156</v>
      </c>
      <c r="G2715" s="17"/>
      <c r="H2715" s="17" t="s">
        <v>692</v>
      </c>
      <c r="I2715" s="17"/>
      <c r="J2715" s="17" t="s">
        <v>693</v>
      </c>
      <c r="K2715" s="17"/>
      <c r="L2715" s="17"/>
      <c r="M2715" s="17"/>
      <c r="N2715" s="17"/>
      <c r="O2715" s="17" t="s">
        <v>39539</v>
      </c>
      <c r="P2715" s="17" t="s">
        <v>2883</v>
      </c>
      <c r="Q2715" s="17"/>
      <c r="R2715" s="25" t="str">
        <f>HYPERLINK("https://ictv.global/taxonomy/taxondetails?taxnode_id=202319005","Otagovirus psa267")</f>
        <v>Otagovirus psa267</v>
      </c>
      <c r="S2715" s="18" t="s">
        <v>30</v>
      </c>
      <c r="T2715" s="18" t="s">
        <v>39547</v>
      </c>
      <c r="U2715" s="18"/>
      <c r="V2715" s="18"/>
      <c r="W2715" s="18" t="s">
        <v>48254</v>
      </c>
      <c r="X2715" s="18" t="s">
        <v>42</v>
      </c>
      <c r="Y2715" s="18" t="s">
        <v>36</v>
      </c>
      <c r="Z2715" s="18" t="s">
        <v>697</v>
      </c>
      <c r="AA2715" s="21" t="str">
        <f>HYPERLINK("https://www.ncbi.nlm.nih.gov/nuccore/MT670417","NCBI Nucleotide")</f>
        <v>NCBI Nucleotide</v>
      </c>
    </row>
    <row r="2716" spans="1:27" x14ac:dyDescent="0.35">
      <c r="A2716">
        <v>1024720</v>
      </c>
      <c r="B2716">
        <v>2692</v>
      </c>
      <c r="C2716">
        <v>1</v>
      </c>
      <c r="D2716" s="17" t="s">
        <v>155</v>
      </c>
      <c r="E2716" s="17"/>
      <c r="F2716" s="17" t="s">
        <v>156</v>
      </c>
      <c r="G2716" s="17"/>
      <c r="H2716" s="17" t="s">
        <v>692</v>
      </c>
      <c r="I2716" s="17"/>
      <c r="J2716" s="17" t="s">
        <v>693</v>
      </c>
      <c r="K2716" s="17"/>
      <c r="L2716" s="17"/>
      <c r="M2716" s="17"/>
      <c r="N2716" s="17"/>
      <c r="O2716" s="17" t="s">
        <v>39539</v>
      </c>
      <c r="P2716" s="17" t="s">
        <v>2883</v>
      </c>
      <c r="Q2716" s="17"/>
      <c r="R2716" s="25" t="str">
        <f>HYPERLINK("https://ictv.global/taxonomy/taxondetails?taxnode_id=202319006","Otagovirus psa300")</f>
        <v>Otagovirus psa300</v>
      </c>
      <c r="S2716" s="18" t="s">
        <v>30</v>
      </c>
      <c r="T2716" s="18" t="s">
        <v>39548</v>
      </c>
      <c r="U2716" s="18"/>
      <c r="V2716" s="18"/>
      <c r="W2716" s="18" t="s">
        <v>48255</v>
      </c>
      <c r="X2716" s="18" t="s">
        <v>42</v>
      </c>
      <c r="Y2716" s="18" t="s">
        <v>36</v>
      </c>
      <c r="Z2716" s="18" t="s">
        <v>697</v>
      </c>
      <c r="AA2716" s="21" t="str">
        <f>HYPERLINK("https://www.ncbi.nlm.nih.gov/nuccore/MT670418","NCBI Nucleotide")</f>
        <v>NCBI Nucleotide</v>
      </c>
    </row>
    <row r="2717" spans="1:27" x14ac:dyDescent="0.35">
      <c r="A2717">
        <v>1024721</v>
      </c>
      <c r="B2717">
        <v>2693</v>
      </c>
      <c r="C2717">
        <v>1</v>
      </c>
      <c r="D2717" s="17" t="s">
        <v>155</v>
      </c>
      <c r="E2717" s="17"/>
      <c r="F2717" s="17" t="s">
        <v>156</v>
      </c>
      <c r="G2717" s="17"/>
      <c r="H2717" s="17" t="s">
        <v>692</v>
      </c>
      <c r="I2717" s="17"/>
      <c r="J2717" s="17" t="s">
        <v>693</v>
      </c>
      <c r="K2717" s="17"/>
      <c r="L2717" s="17"/>
      <c r="M2717" s="17"/>
      <c r="N2717" s="17"/>
      <c r="O2717" s="17" t="s">
        <v>39539</v>
      </c>
      <c r="P2717" s="17" t="s">
        <v>2883</v>
      </c>
      <c r="Q2717" s="17"/>
      <c r="R2717" s="25" t="str">
        <f>HYPERLINK("https://ictv.global/taxonomy/taxondetails?taxnode_id=202319007","Otagovirus psa315")</f>
        <v>Otagovirus psa315</v>
      </c>
      <c r="S2717" s="18" t="s">
        <v>30</v>
      </c>
      <c r="T2717" s="18" t="s">
        <v>39549</v>
      </c>
      <c r="U2717" s="18"/>
      <c r="V2717" s="18"/>
      <c r="W2717" s="18" t="s">
        <v>48256</v>
      </c>
      <c r="X2717" s="18" t="s">
        <v>42</v>
      </c>
      <c r="Y2717" s="18" t="s">
        <v>36</v>
      </c>
      <c r="Z2717" s="18" t="s">
        <v>697</v>
      </c>
      <c r="AA2717" s="21" t="str">
        <f>HYPERLINK("https://www.ncbi.nlm.nih.gov/nuccore/MT670419","NCBI Nucleotide")</f>
        <v>NCBI Nucleotide</v>
      </c>
    </row>
    <row r="2718" spans="1:27" x14ac:dyDescent="0.35">
      <c r="A2718">
        <v>1024722</v>
      </c>
      <c r="B2718">
        <v>2694</v>
      </c>
      <c r="C2718">
        <v>1</v>
      </c>
      <c r="D2718" s="17" t="s">
        <v>155</v>
      </c>
      <c r="E2718" s="17"/>
      <c r="F2718" s="17" t="s">
        <v>156</v>
      </c>
      <c r="G2718" s="17"/>
      <c r="H2718" s="17" t="s">
        <v>692</v>
      </c>
      <c r="I2718" s="17"/>
      <c r="J2718" s="17" t="s">
        <v>693</v>
      </c>
      <c r="K2718" s="17"/>
      <c r="L2718" s="17"/>
      <c r="M2718" s="17"/>
      <c r="N2718" s="17"/>
      <c r="O2718" s="17" t="s">
        <v>39539</v>
      </c>
      <c r="P2718" s="17" t="s">
        <v>2883</v>
      </c>
      <c r="Q2718" s="17"/>
      <c r="R2718" s="25" t="str">
        <f>HYPERLINK("https://ictv.global/taxonomy/taxondetails?taxnode_id=202319004","Otagovirus psa347")</f>
        <v>Otagovirus psa347</v>
      </c>
      <c r="S2718" s="18" t="s">
        <v>30</v>
      </c>
      <c r="T2718" s="18" t="s">
        <v>39550</v>
      </c>
      <c r="U2718" s="18"/>
      <c r="V2718" s="18"/>
      <c r="W2718" s="18" t="s">
        <v>48257</v>
      </c>
      <c r="X2718" s="18" t="s">
        <v>42</v>
      </c>
      <c r="Y2718" s="18" t="s">
        <v>36</v>
      </c>
      <c r="Z2718" s="18" t="s">
        <v>697</v>
      </c>
      <c r="AA2718" s="21" t="str">
        <f>HYPERLINK("https://www.ncbi.nlm.nih.gov/nuccore/MT670420","NCBI Nucleotide")</f>
        <v>NCBI Nucleotide</v>
      </c>
    </row>
    <row r="2719" spans="1:27" x14ac:dyDescent="0.35">
      <c r="A2719">
        <v>1006013</v>
      </c>
      <c r="B2719">
        <v>2695</v>
      </c>
      <c r="C2719">
        <v>1</v>
      </c>
      <c r="D2719" s="17" t="s">
        <v>155</v>
      </c>
      <c r="E2719" s="17"/>
      <c r="F2719" s="17" t="s">
        <v>156</v>
      </c>
      <c r="G2719" s="17"/>
      <c r="H2719" s="17" t="s">
        <v>692</v>
      </c>
      <c r="I2719" s="17"/>
      <c r="J2719" s="17" t="s">
        <v>693</v>
      </c>
      <c r="K2719" s="17"/>
      <c r="L2719" s="17"/>
      <c r="M2719" s="17"/>
      <c r="N2719" s="17"/>
      <c r="O2719" s="17" t="s">
        <v>39539</v>
      </c>
      <c r="P2719" s="17" t="s">
        <v>2883</v>
      </c>
      <c r="Q2719" s="17"/>
      <c r="R2719" s="25" t="str">
        <f>HYPERLINK("https://ictv.global/taxonomy/taxondetails?taxnode_id=202306854","Otagovirus Psa374")</f>
        <v>Otagovirus Psa374</v>
      </c>
      <c r="S2719" s="18" t="s">
        <v>30</v>
      </c>
      <c r="T2719" s="18" t="s">
        <v>2884</v>
      </c>
      <c r="U2719" s="18"/>
      <c r="V2719" s="18"/>
      <c r="W2719" s="18" t="s">
        <v>2885</v>
      </c>
      <c r="X2719" s="18" t="s">
        <v>42</v>
      </c>
      <c r="Y2719" s="18" t="s">
        <v>36</v>
      </c>
      <c r="Z2719" s="18" t="s">
        <v>697</v>
      </c>
      <c r="AA2719" s="21" t="str">
        <f>HYPERLINK("https://www.ncbi.nlm.nih.gov/nuccore/KJ409772","NCBI Nucleotide")</f>
        <v>NCBI Nucleotide</v>
      </c>
    </row>
    <row r="2720" spans="1:27" x14ac:dyDescent="0.35">
      <c r="A2720">
        <v>1024723</v>
      </c>
      <c r="B2720">
        <v>2696</v>
      </c>
      <c r="C2720">
        <v>1</v>
      </c>
      <c r="D2720" s="17" t="s">
        <v>155</v>
      </c>
      <c r="E2720" s="17"/>
      <c r="F2720" s="17" t="s">
        <v>156</v>
      </c>
      <c r="G2720" s="17"/>
      <c r="H2720" s="17" t="s">
        <v>692</v>
      </c>
      <c r="I2720" s="17"/>
      <c r="J2720" s="17" t="s">
        <v>693</v>
      </c>
      <c r="K2720" s="17"/>
      <c r="L2720" s="17"/>
      <c r="M2720" s="17"/>
      <c r="N2720" s="17"/>
      <c r="O2720" s="17" t="s">
        <v>39539</v>
      </c>
      <c r="P2720" s="17" t="s">
        <v>2883</v>
      </c>
      <c r="Q2720" s="17"/>
      <c r="R2720" s="25" t="str">
        <f>HYPERLINK("https://ictv.global/taxonomy/taxondetails?taxnode_id=202319003","Otagovirus psa381")</f>
        <v>Otagovirus psa381</v>
      </c>
      <c r="S2720" s="18" t="s">
        <v>30</v>
      </c>
      <c r="T2720" s="18" t="s">
        <v>39551</v>
      </c>
      <c r="U2720" s="18"/>
      <c r="V2720" s="18"/>
      <c r="W2720" s="18" t="s">
        <v>48258</v>
      </c>
      <c r="X2720" s="18" t="s">
        <v>42</v>
      </c>
      <c r="Y2720" s="18" t="s">
        <v>36</v>
      </c>
      <c r="Z2720" s="18" t="s">
        <v>697</v>
      </c>
      <c r="AA2720" s="21" t="str">
        <f>HYPERLINK("https://www.ncbi.nlm.nih.gov/nuccore/MT670421","NCBI Nucleotide")</f>
        <v>NCBI Nucleotide</v>
      </c>
    </row>
    <row r="2721" spans="1:27" x14ac:dyDescent="0.35">
      <c r="A2721">
        <v>1024724</v>
      </c>
      <c r="B2721">
        <v>2697</v>
      </c>
      <c r="C2721">
        <v>1</v>
      </c>
      <c r="D2721" s="17" t="s">
        <v>155</v>
      </c>
      <c r="E2721" s="17"/>
      <c r="F2721" s="17" t="s">
        <v>156</v>
      </c>
      <c r="G2721" s="17"/>
      <c r="H2721" s="17" t="s">
        <v>692</v>
      </c>
      <c r="I2721" s="17"/>
      <c r="J2721" s="17" t="s">
        <v>693</v>
      </c>
      <c r="K2721" s="17"/>
      <c r="L2721" s="17"/>
      <c r="M2721" s="17"/>
      <c r="N2721" s="17"/>
      <c r="O2721" s="17" t="s">
        <v>39539</v>
      </c>
      <c r="P2721" s="17" t="s">
        <v>2883</v>
      </c>
      <c r="Q2721" s="17"/>
      <c r="R2721" s="25" t="str">
        <f>HYPERLINK("https://ictv.global/taxonomy/taxondetails?taxnode_id=202319002","Otagovirus psa397")</f>
        <v>Otagovirus psa397</v>
      </c>
      <c r="S2721" s="18" t="s">
        <v>30</v>
      </c>
      <c r="T2721" s="18" t="s">
        <v>39552</v>
      </c>
      <c r="U2721" s="18"/>
      <c r="V2721" s="18"/>
      <c r="W2721" s="18" t="s">
        <v>48259</v>
      </c>
      <c r="X2721" s="18" t="s">
        <v>42</v>
      </c>
      <c r="Y2721" s="18" t="s">
        <v>36</v>
      </c>
      <c r="Z2721" s="18" t="s">
        <v>697</v>
      </c>
      <c r="AA2721" s="21" t="str">
        <f>HYPERLINK("https://www.ncbi.nlm.nih.gov/nuccore/MT670422","NCBI Nucleotide")</f>
        <v>NCBI Nucleotide</v>
      </c>
    </row>
    <row r="2722" spans="1:27" x14ac:dyDescent="0.35">
      <c r="A2722">
        <v>1024725</v>
      </c>
      <c r="B2722">
        <v>2698</v>
      </c>
      <c r="C2722">
        <v>1</v>
      </c>
      <c r="D2722" s="17" t="s">
        <v>155</v>
      </c>
      <c r="E2722" s="17"/>
      <c r="F2722" s="17" t="s">
        <v>156</v>
      </c>
      <c r="G2722" s="17"/>
      <c r="H2722" s="17" t="s">
        <v>692</v>
      </c>
      <c r="I2722" s="17"/>
      <c r="J2722" s="17" t="s">
        <v>693</v>
      </c>
      <c r="K2722" s="17"/>
      <c r="L2722" s="17"/>
      <c r="M2722" s="17"/>
      <c r="N2722" s="17"/>
      <c r="O2722" s="17" t="s">
        <v>39539</v>
      </c>
      <c r="P2722" s="17" t="s">
        <v>2883</v>
      </c>
      <c r="Q2722" s="17"/>
      <c r="R2722" s="25" t="str">
        <f>HYPERLINK("https://ictv.global/taxonomy/taxondetails?taxnode_id=202319000","Otagovirus psagek4")</f>
        <v>Otagovirus psagek4</v>
      </c>
      <c r="S2722" s="18" t="s">
        <v>30</v>
      </c>
      <c r="T2722" s="18" t="s">
        <v>39553</v>
      </c>
      <c r="U2722" s="18"/>
      <c r="V2722" s="18"/>
      <c r="W2722" s="18" t="s">
        <v>48260</v>
      </c>
      <c r="X2722" s="18" t="s">
        <v>42</v>
      </c>
      <c r="Y2722" s="18" t="s">
        <v>36</v>
      </c>
      <c r="Z2722" s="18" t="s">
        <v>697</v>
      </c>
      <c r="AA2722" s="21" t="str">
        <f>HYPERLINK("https://www.ncbi.nlm.nih.gov/nuccore/MZ348426","NCBI Nucleotide")</f>
        <v>NCBI Nucleotide</v>
      </c>
    </row>
    <row r="2723" spans="1:27" x14ac:dyDescent="0.35">
      <c r="A2723">
        <v>1024726</v>
      </c>
      <c r="B2723">
        <v>2699</v>
      </c>
      <c r="C2723">
        <v>1</v>
      </c>
      <c r="D2723" s="17" t="s">
        <v>155</v>
      </c>
      <c r="E2723" s="17"/>
      <c r="F2723" s="17" t="s">
        <v>156</v>
      </c>
      <c r="G2723" s="17"/>
      <c r="H2723" s="17" t="s">
        <v>692</v>
      </c>
      <c r="I2723" s="17"/>
      <c r="J2723" s="17" t="s">
        <v>693</v>
      </c>
      <c r="K2723" s="17"/>
      <c r="L2723" s="17"/>
      <c r="M2723" s="17"/>
      <c r="N2723" s="17"/>
      <c r="O2723" s="17" t="s">
        <v>39539</v>
      </c>
      <c r="P2723" s="17" t="s">
        <v>2883</v>
      </c>
      <c r="Q2723" s="17"/>
      <c r="R2723" s="25" t="str">
        <f>HYPERLINK("https://ictv.global/taxonomy/taxondetails?taxnode_id=202319001","Otagovirus psagek4e")</f>
        <v>Otagovirus psagek4e</v>
      </c>
      <c r="S2723" s="18" t="s">
        <v>30</v>
      </c>
      <c r="T2723" s="18" t="s">
        <v>39554</v>
      </c>
      <c r="U2723" s="18"/>
      <c r="V2723" s="18"/>
      <c r="W2723" s="18" t="s">
        <v>48261</v>
      </c>
      <c r="X2723" s="18" t="s">
        <v>42</v>
      </c>
      <c r="Y2723" s="18" t="s">
        <v>36</v>
      </c>
      <c r="Z2723" s="18" t="s">
        <v>697</v>
      </c>
      <c r="AA2723" s="21" t="str">
        <f>HYPERLINK("https://www.ncbi.nlm.nih.gov/nuccore/MZ868713","NCBI Nucleotide")</f>
        <v>NCBI Nucleotide</v>
      </c>
    </row>
    <row r="2724" spans="1:27" x14ac:dyDescent="0.35">
      <c r="A2724">
        <v>1024857</v>
      </c>
      <c r="B2724">
        <v>2700</v>
      </c>
      <c r="C2724">
        <v>1</v>
      </c>
      <c r="D2724" s="17" t="s">
        <v>155</v>
      </c>
      <c r="E2724" s="17"/>
      <c r="F2724" s="17" t="s">
        <v>156</v>
      </c>
      <c r="G2724" s="17"/>
      <c r="H2724" s="17" t="s">
        <v>692</v>
      </c>
      <c r="I2724" s="17"/>
      <c r="J2724" s="17" t="s">
        <v>693</v>
      </c>
      <c r="K2724" s="17"/>
      <c r="L2724" s="17"/>
      <c r="M2724" s="17"/>
      <c r="N2724" s="17"/>
      <c r="O2724" s="17" t="s">
        <v>39539</v>
      </c>
      <c r="P2724" s="17" t="s">
        <v>39555</v>
      </c>
      <c r="Q2724" s="17"/>
      <c r="R2724" s="25" t="str">
        <f>HYPERLINK("https://ictv.global/taxonomy/taxondetails?taxnode_id=202318997","Shenlongvirus PPSC2")</f>
        <v>Shenlongvirus PPSC2</v>
      </c>
      <c r="S2724" s="18" t="s">
        <v>30</v>
      </c>
      <c r="T2724" s="18" t="s">
        <v>39556</v>
      </c>
      <c r="U2724" s="18"/>
      <c r="V2724" s="18"/>
      <c r="W2724" s="18" t="s">
        <v>48262</v>
      </c>
      <c r="X2724" s="18" t="s">
        <v>42</v>
      </c>
      <c r="Y2724" s="18" t="s">
        <v>36</v>
      </c>
      <c r="Z2724" s="18" t="s">
        <v>697</v>
      </c>
      <c r="AA2724" s="21" t="str">
        <f>HYPERLINK("https://www.ncbi.nlm.nih.gov/nuccore/MF893340","NCBI Nucleotide")</f>
        <v>NCBI Nucleotide</v>
      </c>
    </row>
    <row r="2725" spans="1:27" x14ac:dyDescent="0.35">
      <c r="A2725">
        <v>1003787</v>
      </c>
      <c r="B2725">
        <v>2701</v>
      </c>
      <c r="C2725">
        <v>1</v>
      </c>
      <c r="D2725" s="17" t="s">
        <v>155</v>
      </c>
      <c r="E2725" s="17"/>
      <c r="F2725" s="17" t="s">
        <v>156</v>
      </c>
      <c r="G2725" s="17"/>
      <c r="H2725" s="17" t="s">
        <v>692</v>
      </c>
      <c r="I2725" s="17"/>
      <c r="J2725" s="17" t="s">
        <v>693</v>
      </c>
      <c r="K2725" s="17"/>
      <c r="L2725" s="17"/>
      <c r="M2725" s="17"/>
      <c r="N2725" s="17"/>
      <c r="O2725" s="17" t="s">
        <v>5067</v>
      </c>
      <c r="P2725" s="17" t="s">
        <v>5068</v>
      </c>
      <c r="Q2725" s="17"/>
      <c r="R2725" s="25" t="str">
        <f>HYPERLINK("https://ictv.global/taxonomy/taxondetails?taxnode_id=202300892","Avanivirus avani")</f>
        <v>Avanivirus avani</v>
      </c>
      <c r="S2725" s="18" t="s">
        <v>30</v>
      </c>
      <c r="T2725" s="18" t="s">
        <v>5069</v>
      </c>
      <c r="U2725" s="18"/>
      <c r="V2725" s="18"/>
      <c r="W2725" s="18" t="s">
        <v>5070</v>
      </c>
      <c r="X2725" s="18" t="s">
        <v>42</v>
      </c>
      <c r="Y2725" s="18" t="s">
        <v>36</v>
      </c>
      <c r="Z2725" s="18" t="s">
        <v>697</v>
      </c>
      <c r="AA2725" s="21" t="str">
        <f>HYPERLINK("https://www.ncbi.nlm.nih.gov/nuccore/JQ809702","NCBI Nucleotide")</f>
        <v>NCBI Nucleotide</v>
      </c>
    </row>
    <row r="2726" spans="1:27" x14ac:dyDescent="0.35">
      <c r="A2726">
        <v>1003788</v>
      </c>
      <c r="B2726">
        <v>2702</v>
      </c>
      <c r="C2726">
        <v>1</v>
      </c>
      <c r="D2726" s="17" t="s">
        <v>155</v>
      </c>
      <c r="E2726" s="17"/>
      <c r="F2726" s="17" t="s">
        <v>156</v>
      </c>
      <c r="G2726" s="17"/>
      <c r="H2726" s="17" t="s">
        <v>692</v>
      </c>
      <c r="I2726" s="17"/>
      <c r="J2726" s="17" t="s">
        <v>693</v>
      </c>
      <c r="K2726" s="17"/>
      <c r="L2726" s="17"/>
      <c r="M2726" s="17"/>
      <c r="N2726" s="17"/>
      <c r="O2726" s="17" t="s">
        <v>5067</v>
      </c>
      <c r="P2726" s="17" t="s">
        <v>5068</v>
      </c>
      <c r="Q2726" s="17"/>
      <c r="R2726" s="25" t="str">
        <f>HYPERLINK("https://ictv.global/taxonomy/taxondetails?taxnode_id=202300895","Avanivirus Che9d")</f>
        <v>Avanivirus Che9d</v>
      </c>
      <c r="S2726" s="18" t="s">
        <v>30</v>
      </c>
      <c r="T2726" s="18" t="s">
        <v>5071</v>
      </c>
      <c r="U2726" s="18"/>
      <c r="V2726" s="18"/>
      <c r="W2726" s="18" t="s">
        <v>5072</v>
      </c>
      <c r="X2726" s="18" t="s">
        <v>42</v>
      </c>
      <c r="Y2726" s="18" t="s">
        <v>36</v>
      </c>
      <c r="Z2726" s="18" t="s">
        <v>697</v>
      </c>
      <c r="AA2726" s="21" t="str">
        <f>HYPERLINK("https://www.ncbi.nlm.nih.gov/nuccore/AY129336","NCBI Nucleotide")</f>
        <v>NCBI Nucleotide</v>
      </c>
    </row>
    <row r="2727" spans="1:27" x14ac:dyDescent="0.35">
      <c r="A2727">
        <v>1003789</v>
      </c>
      <c r="B2727">
        <v>2703</v>
      </c>
      <c r="C2727">
        <v>1</v>
      </c>
      <c r="D2727" s="17" t="s">
        <v>155</v>
      </c>
      <c r="E2727" s="17"/>
      <c r="F2727" s="17" t="s">
        <v>156</v>
      </c>
      <c r="G2727" s="17"/>
      <c r="H2727" s="17" t="s">
        <v>692</v>
      </c>
      <c r="I2727" s="17"/>
      <c r="J2727" s="17" t="s">
        <v>693</v>
      </c>
      <c r="K2727" s="17"/>
      <c r="L2727" s="17"/>
      <c r="M2727" s="17"/>
      <c r="N2727" s="17"/>
      <c r="O2727" s="17" t="s">
        <v>5067</v>
      </c>
      <c r="P2727" s="17" t="s">
        <v>5068</v>
      </c>
      <c r="Q2727" s="17"/>
      <c r="R2727" s="25" t="str">
        <f>HYPERLINK("https://ictv.global/taxonomy/taxondetails?taxnode_id=202312340","Avanivirus demsculpinboyz")</f>
        <v>Avanivirus demsculpinboyz</v>
      </c>
      <c r="S2727" s="18" t="s">
        <v>30</v>
      </c>
      <c r="T2727" s="18" t="s">
        <v>5073</v>
      </c>
      <c r="U2727" s="18"/>
      <c r="V2727" s="18"/>
      <c r="W2727" s="18" t="s">
        <v>5074</v>
      </c>
      <c r="X2727" s="18" t="s">
        <v>42</v>
      </c>
      <c r="Y2727" s="18" t="s">
        <v>36</v>
      </c>
      <c r="Z2727" s="18" t="s">
        <v>697</v>
      </c>
      <c r="AA2727" s="21" t="str">
        <f>HYPERLINK("https://www.ncbi.nlm.nih.gov/nuccore/MF919502","NCBI Nucleotide")</f>
        <v>NCBI Nucleotide</v>
      </c>
    </row>
    <row r="2728" spans="1:27" x14ac:dyDescent="0.35">
      <c r="A2728">
        <v>1003790</v>
      </c>
      <c r="B2728">
        <v>2704</v>
      </c>
      <c r="C2728">
        <v>1</v>
      </c>
      <c r="D2728" s="17" t="s">
        <v>155</v>
      </c>
      <c r="E2728" s="17"/>
      <c r="F2728" s="17" t="s">
        <v>156</v>
      </c>
      <c r="G2728" s="17"/>
      <c r="H2728" s="17" t="s">
        <v>692</v>
      </c>
      <c r="I2728" s="17"/>
      <c r="J2728" s="17" t="s">
        <v>693</v>
      </c>
      <c r="K2728" s="17"/>
      <c r="L2728" s="17"/>
      <c r="M2728" s="17"/>
      <c r="N2728" s="17"/>
      <c r="O2728" s="17" t="s">
        <v>5067</v>
      </c>
      <c r="P2728" s="17" t="s">
        <v>5068</v>
      </c>
      <c r="Q2728" s="17"/>
      <c r="R2728" s="25" t="str">
        <f>HYPERLINK("https://ictv.global/taxonomy/taxondetails?taxnode_id=202312341","Avanivirus soul22")</f>
        <v>Avanivirus soul22</v>
      </c>
      <c r="S2728" s="18" t="s">
        <v>30</v>
      </c>
      <c r="T2728" s="18" t="s">
        <v>5075</v>
      </c>
      <c r="U2728" s="18"/>
      <c r="V2728" s="18"/>
      <c r="W2728" s="18" t="s">
        <v>5076</v>
      </c>
      <c r="X2728" s="18" t="s">
        <v>42</v>
      </c>
      <c r="Y2728" s="18" t="s">
        <v>36</v>
      </c>
      <c r="Z2728" s="18" t="s">
        <v>697</v>
      </c>
      <c r="AA2728" s="21" t="str">
        <f>HYPERLINK("https://www.ncbi.nlm.nih.gov/nuccore/MT522000","NCBI Nucleotide")</f>
        <v>NCBI Nucleotide</v>
      </c>
    </row>
    <row r="2729" spans="1:27" x14ac:dyDescent="0.35">
      <c r="A2729">
        <v>1003791</v>
      </c>
      <c r="B2729">
        <v>2705</v>
      </c>
      <c r="C2729">
        <v>1</v>
      </c>
      <c r="D2729" s="17" t="s">
        <v>155</v>
      </c>
      <c r="E2729" s="17"/>
      <c r="F2729" s="17" t="s">
        <v>156</v>
      </c>
      <c r="G2729" s="17"/>
      <c r="H2729" s="17" t="s">
        <v>692</v>
      </c>
      <c r="I2729" s="17"/>
      <c r="J2729" s="17" t="s">
        <v>693</v>
      </c>
      <c r="K2729" s="17"/>
      <c r="L2729" s="17"/>
      <c r="M2729" s="17"/>
      <c r="N2729" s="17"/>
      <c r="O2729" s="17" t="s">
        <v>5067</v>
      </c>
      <c r="P2729" s="17" t="s">
        <v>5068</v>
      </c>
      <c r="Q2729" s="17"/>
      <c r="R2729" s="25" t="str">
        <f>HYPERLINK("https://ictv.global/taxonomy/taxondetails?taxnode_id=202300918","Avanivirus yoshi")</f>
        <v>Avanivirus yoshi</v>
      </c>
      <c r="S2729" s="18" t="s">
        <v>30</v>
      </c>
      <c r="T2729" s="18" t="s">
        <v>5077</v>
      </c>
      <c r="U2729" s="18"/>
      <c r="V2729" s="18"/>
      <c r="W2729" s="18" t="s">
        <v>5078</v>
      </c>
      <c r="X2729" s="18" t="s">
        <v>42</v>
      </c>
      <c r="Y2729" s="18" t="s">
        <v>36</v>
      </c>
      <c r="Z2729" s="18" t="s">
        <v>697</v>
      </c>
      <c r="AA2729" s="21" t="str">
        <f>HYPERLINK("https://www.ncbi.nlm.nih.gov/nuccore/JF704115","NCBI Nucleotide")</f>
        <v>NCBI Nucleotide</v>
      </c>
    </row>
    <row r="2730" spans="1:27" x14ac:dyDescent="0.35">
      <c r="A2730">
        <v>1003792</v>
      </c>
      <c r="B2730">
        <v>2706</v>
      </c>
      <c r="C2730">
        <v>1</v>
      </c>
      <c r="D2730" s="17" t="s">
        <v>155</v>
      </c>
      <c r="E2730" s="17"/>
      <c r="F2730" s="17" t="s">
        <v>156</v>
      </c>
      <c r="G2730" s="17"/>
      <c r="H2730" s="17" t="s">
        <v>692</v>
      </c>
      <c r="I2730" s="17"/>
      <c r="J2730" s="17" t="s">
        <v>693</v>
      </c>
      <c r="K2730" s="17"/>
      <c r="L2730" s="17"/>
      <c r="M2730" s="17"/>
      <c r="N2730" s="17"/>
      <c r="O2730" s="17" t="s">
        <v>5067</v>
      </c>
      <c r="P2730" s="17" t="s">
        <v>5068</v>
      </c>
      <c r="Q2730" s="17"/>
      <c r="R2730" s="25" t="str">
        <f>HYPERLINK("https://ictv.global/taxonomy/taxondetails?taxnode_id=202312342","Avanivirus zapner")</f>
        <v>Avanivirus zapner</v>
      </c>
      <c r="S2730" s="18" t="s">
        <v>30</v>
      </c>
      <c r="T2730" s="18" t="s">
        <v>5079</v>
      </c>
      <c r="U2730" s="18"/>
      <c r="V2730" s="18"/>
      <c r="W2730" s="18" t="s">
        <v>5080</v>
      </c>
      <c r="X2730" s="18" t="s">
        <v>42</v>
      </c>
      <c r="Y2730" s="18" t="s">
        <v>36</v>
      </c>
      <c r="Z2730" s="18" t="s">
        <v>697</v>
      </c>
      <c r="AA2730" s="21" t="str">
        <f>HYPERLINK("https://www.ncbi.nlm.nih.gov/nuccore/KJ567041","NCBI Nucleotide")</f>
        <v>NCBI Nucleotide</v>
      </c>
    </row>
    <row r="2731" spans="1:27" x14ac:dyDescent="0.35">
      <c r="A2731">
        <v>1003793</v>
      </c>
      <c r="B2731">
        <v>2707</v>
      </c>
      <c r="C2731">
        <v>1</v>
      </c>
      <c r="D2731" s="17" t="s">
        <v>155</v>
      </c>
      <c r="E2731" s="17"/>
      <c r="F2731" s="17" t="s">
        <v>156</v>
      </c>
      <c r="G2731" s="17"/>
      <c r="H2731" s="17" t="s">
        <v>692</v>
      </c>
      <c r="I2731" s="17"/>
      <c r="J2731" s="17" t="s">
        <v>693</v>
      </c>
      <c r="K2731" s="17"/>
      <c r="L2731" s="17"/>
      <c r="M2731" s="17"/>
      <c r="N2731" s="17"/>
      <c r="O2731" s="17" t="s">
        <v>5067</v>
      </c>
      <c r="P2731" s="17" t="s">
        <v>5081</v>
      </c>
      <c r="Q2731" s="17"/>
      <c r="R2731" s="25" t="str">
        <f>HYPERLINK("https://ictv.global/taxonomy/taxondetails?taxnode_id=202312257","Cheoctovirus arcusangelus")</f>
        <v>Cheoctovirus arcusangelus</v>
      </c>
      <c r="S2731" s="18" t="s">
        <v>30</v>
      </c>
      <c r="T2731" s="18" t="s">
        <v>5082</v>
      </c>
      <c r="U2731" s="18"/>
      <c r="V2731" s="18"/>
      <c r="W2731" s="18" t="s">
        <v>5083</v>
      </c>
      <c r="X2731" s="18" t="s">
        <v>42</v>
      </c>
      <c r="Y2731" s="18" t="s">
        <v>36</v>
      </c>
      <c r="Z2731" s="18" t="s">
        <v>697</v>
      </c>
      <c r="AA2731" s="21" t="str">
        <f>HYPERLINK("https://www.ncbi.nlm.nih.gov/nuccore/MH744415","NCBI Nucleotide")</f>
        <v>NCBI Nucleotide</v>
      </c>
    </row>
    <row r="2732" spans="1:27" x14ac:dyDescent="0.35">
      <c r="A2732">
        <v>1003794</v>
      </c>
      <c r="B2732">
        <v>2708</v>
      </c>
      <c r="C2732">
        <v>1</v>
      </c>
      <c r="D2732" s="17" t="s">
        <v>155</v>
      </c>
      <c r="E2732" s="17"/>
      <c r="F2732" s="17" t="s">
        <v>156</v>
      </c>
      <c r="G2732" s="17"/>
      <c r="H2732" s="17" t="s">
        <v>692</v>
      </c>
      <c r="I2732" s="17"/>
      <c r="J2732" s="17" t="s">
        <v>693</v>
      </c>
      <c r="K2732" s="17"/>
      <c r="L2732" s="17"/>
      <c r="M2732" s="17"/>
      <c r="N2732" s="17"/>
      <c r="O2732" s="17" t="s">
        <v>5067</v>
      </c>
      <c r="P2732" s="17" t="s">
        <v>5081</v>
      </c>
      <c r="Q2732" s="17"/>
      <c r="R2732" s="25" t="str">
        <f>HYPERLINK("https://ictv.global/taxonomy/taxondetails?taxnode_id=202312258","Cheoctovirus batiatus")</f>
        <v>Cheoctovirus batiatus</v>
      </c>
      <c r="S2732" s="18" t="s">
        <v>30</v>
      </c>
      <c r="T2732" s="18" t="s">
        <v>5084</v>
      </c>
      <c r="U2732" s="18"/>
      <c r="V2732" s="18"/>
      <c r="W2732" s="18" t="s">
        <v>5085</v>
      </c>
      <c r="X2732" s="18" t="s">
        <v>42</v>
      </c>
      <c r="Y2732" s="18" t="s">
        <v>36</v>
      </c>
      <c r="Z2732" s="18" t="s">
        <v>697</v>
      </c>
      <c r="AA2732" s="21" t="str">
        <f>HYPERLINK("https://www.ncbi.nlm.nih.gov/nuccore/MH020235","NCBI Nucleotide")</f>
        <v>NCBI Nucleotide</v>
      </c>
    </row>
    <row r="2733" spans="1:27" x14ac:dyDescent="0.35">
      <c r="A2733">
        <v>1003795</v>
      </c>
      <c r="B2733">
        <v>2709</v>
      </c>
      <c r="C2733">
        <v>1</v>
      </c>
      <c r="D2733" s="17" t="s">
        <v>155</v>
      </c>
      <c r="E2733" s="17"/>
      <c r="F2733" s="17" t="s">
        <v>156</v>
      </c>
      <c r="G2733" s="17"/>
      <c r="H2733" s="17" t="s">
        <v>692</v>
      </c>
      <c r="I2733" s="17"/>
      <c r="J2733" s="17" t="s">
        <v>693</v>
      </c>
      <c r="K2733" s="17"/>
      <c r="L2733" s="17"/>
      <c r="M2733" s="17"/>
      <c r="N2733" s="17"/>
      <c r="O2733" s="17" t="s">
        <v>5067</v>
      </c>
      <c r="P2733" s="17" t="s">
        <v>5081</v>
      </c>
      <c r="Q2733" s="17"/>
      <c r="R2733" s="25" t="str">
        <f>HYPERLINK("https://ictv.global/taxonomy/taxondetails?taxnode_id=202312259","Cheoctovirus blexus")</f>
        <v>Cheoctovirus blexus</v>
      </c>
      <c r="S2733" s="18" t="s">
        <v>30</v>
      </c>
      <c r="T2733" s="18" t="s">
        <v>5086</v>
      </c>
      <c r="U2733" s="18"/>
      <c r="V2733" s="18"/>
      <c r="W2733" s="18" t="s">
        <v>5087</v>
      </c>
      <c r="X2733" s="18" t="s">
        <v>42</v>
      </c>
      <c r="Y2733" s="18" t="s">
        <v>36</v>
      </c>
      <c r="Z2733" s="18" t="s">
        <v>697</v>
      </c>
      <c r="AA2733" s="21" t="str">
        <f>HYPERLINK("https://www.ncbi.nlm.nih.gov/nuccore/MN586012","NCBI Nucleotide")</f>
        <v>NCBI Nucleotide</v>
      </c>
    </row>
    <row r="2734" spans="1:27" x14ac:dyDescent="0.35">
      <c r="A2734">
        <v>1003796</v>
      </c>
      <c r="B2734">
        <v>2710</v>
      </c>
      <c r="C2734">
        <v>1</v>
      </c>
      <c r="D2734" s="17" t="s">
        <v>155</v>
      </c>
      <c r="E2734" s="17"/>
      <c r="F2734" s="17" t="s">
        <v>156</v>
      </c>
      <c r="G2734" s="17"/>
      <c r="H2734" s="17" t="s">
        <v>692</v>
      </c>
      <c r="I2734" s="17"/>
      <c r="J2734" s="17" t="s">
        <v>693</v>
      </c>
      <c r="K2734" s="17"/>
      <c r="L2734" s="17"/>
      <c r="M2734" s="17"/>
      <c r="N2734" s="17"/>
      <c r="O2734" s="17" t="s">
        <v>5067</v>
      </c>
      <c r="P2734" s="17" t="s">
        <v>5081</v>
      </c>
      <c r="Q2734" s="17"/>
      <c r="R2734" s="25" t="str">
        <f>HYPERLINK("https://ictv.global/taxonomy/taxondetails?taxnode_id=202312260","Cheoctovirus bobaphett")</f>
        <v>Cheoctovirus bobaphett</v>
      </c>
      <c r="S2734" s="18" t="s">
        <v>30</v>
      </c>
      <c r="T2734" s="18" t="s">
        <v>5088</v>
      </c>
      <c r="U2734" s="18"/>
      <c r="V2734" s="18"/>
      <c r="W2734" s="18" t="s">
        <v>5089</v>
      </c>
      <c r="X2734" s="18" t="s">
        <v>42</v>
      </c>
      <c r="Y2734" s="18" t="s">
        <v>36</v>
      </c>
      <c r="Z2734" s="18" t="s">
        <v>697</v>
      </c>
      <c r="AA2734" s="21" t="str">
        <f>HYPERLINK("https://www.ncbi.nlm.nih.gov/nuccore/MH155865","NCBI Nucleotide")</f>
        <v>NCBI Nucleotide</v>
      </c>
    </row>
    <row r="2735" spans="1:27" x14ac:dyDescent="0.35">
      <c r="A2735">
        <v>1003797</v>
      </c>
      <c r="B2735">
        <v>2711</v>
      </c>
      <c r="C2735">
        <v>1</v>
      </c>
      <c r="D2735" s="17" t="s">
        <v>155</v>
      </c>
      <c r="E2735" s="17"/>
      <c r="F2735" s="17" t="s">
        <v>156</v>
      </c>
      <c r="G2735" s="17"/>
      <c r="H2735" s="17" t="s">
        <v>692</v>
      </c>
      <c r="I2735" s="17"/>
      <c r="J2735" s="17" t="s">
        <v>693</v>
      </c>
      <c r="K2735" s="17"/>
      <c r="L2735" s="17"/>
      <c r="M2735" s="17"/>
      <c r="N2735" s="17"/>
      <c r="O2735" s="17" t="s">
        <v>5067</v>
      </c>
      <c r="P2735" s="17" t="s">
        <v>5081</v>
      </c>
      <c r="Q2735" s="17"/>
      <c r="R2735" s="25" t="str">
        <f>HYPERLINK("https://ictv.global/taxonomy/taxondetails?taxnode_id=202312261","Cheoctovirus bodeinwohner17")</f>
        <v>Cheoctovirus bodeinwohner17</v>
      </c>
      <c r="S2735" s="18" t="s">
        <v>30</v>
      </c>
      <c r="T2735" s="18" t="s">
        <v>5090</v>
      </c>
      <c r="U2735" s="18"/>
      <c r="V2735" s="18"/>
      <c r="W2735" s="18" t="s">
        <v>5091</v>
      </c>
      <c r="X2735" s="18" t="s">
        <v>42</v>
      </c>
      <c r="Y2735" s="18" t="s">
        <v>36</v>
      </c>
      <c r="Z2735" s="18" t="s">
        <v>697</v>
      </c>
      <c r="AA2735" s="21" t="str">
        <f>HYPERLINK("https://www.ncbi.nlm.nih.gov/nuccore/MN945900","NCBI Nucleotide")</f>
        <v>NCBI Nucleotide</v>
      </c>
    </row>
    <row r="2736" spans="1:27" x14ac:dyDescent="0.35">
      <c r="A2736">
        <v>1003798</v>
      </c>
      <c r="B2736">
        <v>2712</v>
      </c>
      <c r="C2736">
        <v>1</v>
      </c>
      <c r="D2736" s="17" t="s">
        <v>155</v>
      </c>
      <c r="E2736" s="17"/>
      <c r="F2736" s="17" t="s">
        <v>156</v>
      </c>
      <c r="G2736" s="17"/>
      <c r="H2736" s="17" t="s">
        <v>692</v>
      </c>
      <c r="I2736" s="17"/>
      <c r="J2736" s="17" t="s">
        <v>693</v>
      </c>
      <c r="K2736" s="17"/>
      <c r="L2736" s="17"/>
      <c r="M2736" s="17"/>
      <c r="N2736" s="17"/>
      <c r="O2736" s="17" t="s">
        <v>5067</v>
      </c>
      <c r="P2736" s="17" t="s">
        <v>5081</v>
      </c>
      <c r="Q2736" s="17"/>
      <c r="R2736" s="25" t="str">
        <f>HYPERLINK("https://ictv.global/taxonomy/taxondetails?taxnode_id=202312262","Cheoctovirus bubbles123")</f>
        <v>Cheoctovirus bubbles123</v>
      </c>
      <c r="S2736" s="18" t="s">
        <v>30</v>
      </c>
      <c r="T2736" s="18" t="s">
        <v>5092</v>
      </c>
      <c r="U2736" s="18"/>
      <c r="V2736" s="18"/>
      <c r="W2736" s="18" t="s">
        <v>5093</v>
      </c>
      <c r="X2736" s="18" t="s">
        <v>42</v>
      </c>
      <c r="Y2736" s="18" t="s">
        <v>36</v>
      </c>
      <c r="Z2736" s="18" t="s">
        <v>697</v>
      </c>
      <c r="AA2736" s="21" t="str">
        <f>HYPERLINK("https://www.ncbi.nlm.nih.gov/nuccore/KY348865","NCBI Nucleotide")</f>
        <v>NCBI Nucleotide</v>
      </c>
    </row>
    <row r="2737" spans="1:27" x14ac:dyDescent="0.35">
      <c r="A2737">
        <v>1003799</v>
      </c>
      <c r="B2737">
        <v>2713</v>
      </c>
      <c r="C2737">
        <v>1</v>
      </c>
      <c r="D2737" s="17" t="s">
        <v>155</v>
      </c>
      <c r="E2737" s="17"/>
      <c r="F2737" s="17" t="s">
        <v>156</v>
      </c>
      <c r="G2737" s="17"/>
      <c r="H2737" s="17" t="s">
        <v>692</v>
      </c>
      <c r="I2737" s="17"/>
      <c r="J2737" s="17" t="s">
        <v>693</v>
      </c>
      <c r="K2737" s="17"/>
      <c r="L2737" s="17"/>
      <c r="M2737" s="17"/>
      <c r="N2737" s="17"/>
      <c r="O2737" s="17" t="s">
        <v>5067</v>
      </c>
      <c r="P2737" s="17" t="s">
        <v>5081</v>
      </c>
      <c r="Q2737" s="17"/>
      <c r="R2737" s="25" t="str">
        <f>HYPERLINK("https://ictv.global/taxonomy/taxondetails?taxnode_id=202312263","Cheoctovirus burwell21")</f>
        <v>Cheoctovirus burwell21</v>
      </c>
      <c r="S2737" s="18" t="s">
        <v>30</v>
      </c>
      <c r="T2737" s="18" t="s">
        <v>5094</v>
      </c>
      <c r="U2737" s="18"/>
      <c r="V2737" s="18"/>
      <c r="W2737" s="18" t="s">
        <v>5095</v>
      </c>
      <c r="X2737" s="18" t="s">
        <v>42</v>
      </c>
      <c r="Y2737" s="18" t="s">
        <v>36</v>
      </c>
      <c r="Z2737" s="18" t="s">
        <v>697</v>
      </c>
      <c r="AA2737" s="21" t="str">
        <f>HYPERLINK("https://www.ncbi.nlm.nih.gov/nuccore/MH651169","NCBI Nucleotide")</f>
        <v>NCBI Nucleotide</v>
      </c>
    </row>
    <row r="2738" spans="1:27" x14ac:dyDescent="0.35">
      <c r="A2738">
        <v>1003800</v>
      </c>
      <c r="B2738">
        <v>2714</v>
      </c>
      <c r="C2738">
        <v>1</v>
      </c>
      <c r="D2738" s="17" t="s">
        <v>155</v>
      </c>
      <c r="E2738" s="17"/>
      <c r="F2738" s="17" t="s">
        <v>156</v>
      </c>
      <c r="G2738" s="17"/>
      <c r="H2738" s="17" t="s">
        <v>692</v>
      </c>
      <c r="I2738" s="17"/>
      <c r="J2738" s="17" t="s">
        <v>693</v>
      </c>
      <c r="K2738" s="17"/>
      <c r="L2738" s="17"/>
      <c r="M2738" s="17"/>
      <c r="N2738" s="17"/>
      <c r="O2738" s="17" t="s">
        <v>5067</v>
      </c>
      <c r="P2738" s="17" t="s">
        <v>5081</v>
      </c>
      <c r="Q2738" s="17"/>
      <c r="R2738" s="25" t="str">
        <f>HYPERLINK("https://ictv.global/taxonomy/taxondetails?taxnode_id=202312264","Cheoctovirus buzzlyseyear")</f>
        <v>Cheoctovirus buzzlyseyear</v>
      </c>
      <c r="S2738" s="18" t="s">
        <v>30</v>
      </c>
      <c r="T2738" s="18" t="s">
        <v>5096</v>
      </c>
      <c r="U2738" s="18"/>
      <c r="V2738" s="18"/>
      <c r="W2738" s="18" t="s">
        <v>5097</v>
      </c>
      <c r="X2738" s="18" t="s">
        <v>42</v>
      </c>
      <c r="Y2738" s="18" t="s">
        <v>36</v>
      </c>
      <c r="Z2738" s="18" t="s">
        <v>697</v>
      </c>
      <c r="AA2738" s="21" t="str">
        <f>HYPERLINK("https://www.ncbi.nlm.nih.gov/nuccore/KM347889","NCBI Nucleotide")</f>
        <v>NCBI Nucleotide</v>
      </c>
    </row>
    <row r="2739" spans="1:27" x14ac:dyDescent="0.35">
      <c r="A2739">
        <v>1003801</v>
      </c>
      <c r="B2739">
        <v>2715</v>
      </c>
      <c r="C2739">
        <v>1</v>
      </c>
      <c r="D2739" s="17" t="s">
        <v>155</v>
      </c>
      <c r="E2739" s="17"/>
      <c r="F2739" s="17" t="s">
        <v>156</v>
      </c>
      <c r="G2739" s="17"/>
      <c r="H2739" s="17" t="s">
        <v>692</v>
      </c>
      <c r="I2739" s="17"/>
      <c r="J2739" s="17" t="s">
        <v>693</v>
      </c>
      <c r="K2739" s="17"/>
      <c r="L2739" s="17"/>
      <c r="M2739" s="17"/>
      <c r="N2739" s="17"/>
      <c r="O2739" s="17" t="s">
        <v>5067</v>
      </c>
      <c r="P2739" s="17" t="s">
        <v>5081</v>
      </c>
      <c r="Q2739" s="17"/>
      <c r="R2739" s="25" t="str">
        <f>HYPERLINK("https://ictv.global/taxonomy/taxondetails?taxnode_id=202312265","Cheoctovirus byougenkin")</f>
        <v>Cheoctovirus byougenkin</v>
      </c>
      <c r="S2739" s="18" t="s">
        <v>30</v>
      </c>
      <c r="T2739" s="18" t="s">
        <v>5098</v>
      </c>
      <c r="U2739" s="18"/>
      <c r="V2739" s="18"/>
      <c r="W2739" s="18" t="s">
        <v>5099</v>
      </c>
      <c r="X2739" s="18" t="s">
        <v>42</v>
      </c>
      <c r="Y2739" s="18" t="s">
        <v>36</v>
      </c>
      <c r="Z2739" s="18" t="s">
        <v>697</v>
      </c>
      <c r="AA2739" s="21" t="str">
        <f>HYPERLINK("https://www.ncbi.nlm.nih.gov/nuccore/MH155866","NCBI Nucleotide")</f>
        <v>NCBI Nucleotide</v>
      </c>
    </row>
    <row r="2740" spans="1:27" x14ac:dyDescent="0.35">
      <c r="A2740">
        <v>1003802</v>
      </c>
      <c r="B2740">
        <v>2716</v>
      </c>
      <c r="C2740">
        <v>1</v>
      </c>
      <c r="D2740" s="17" t="s">
        <v>155</v>
      </c>
      <c r="E2740" s="17"/>
      <c r="F2740" s="17" t="s">
        <v>156</v>
      </c>
      <c r="G2740" s="17"/>
      <c r="H2740" s="17" t="s">
        <v>692</v>
      </c>
      <c r="I2740" s="17"/>
      <c r="J2740" s="17" t="s">
        <v>693</v>
      </c>
      <c r="K2740" s="17"/>
      <c r="L2740" s="17"/>
      <c r="M2740" s="17"/>
      <c r="N2740" s="17"/>
      <c r="O2740" s="17" t="s">
        <v>5067</v>
      </c>
      <c r="P2740" s="17" t="s">
        <v>5081</v>
      </c>
      <c r="Q2740" s="17"/>
      <c r="R2740" s="25" t="str">
        <f>HYPERLINK("https://ictv.global/taxonomy/taxondetails?taxnode_id=202312266","Cheoctovirus captaintrips")</f>
        <v>Cheoctovirus captaintrips</v>
      </c>
      <c r="S2740" s="18" t="s">
        <v>30</v>
      </c>
      <c r="T2740" s="18" t="s">
        <v>5100</v>
      </c>
      <c r="U2740" s="18"/>
      <c r="V2740" s="18"/>
      <c r="W2740" s="18" t="s">
        <v>5101</v>
      </c>
      <c r="X2740" s="18" t="s">
        <v>42</v>
      </c>
      <c r="Y2740" s="18" t="s">
        <v>36</v>
      </c>
      <c r="Z2740" s="18" t="s">
        <v>697</v>
      </c>
      <c r="AA2740" s="21" t="str">
        <f>HYPERLINK("https://www.ncbi.nlm.nih.gov/nuccore/KM652553","NCBI Nucleotide")</f>
        <v>NCBI Nucleotide</v>
      </c>
    </row>
    <row r="2741" spans="1:27" x14ac:dyDescent="0.35">
      <c r="A2741">
        <v>1003803</v>
      </c>
      <c r="B2741">
        <v>2717</v>
      </c>
      <c r="C2741">
        <v>1</v>
      </c>
      <c r="D2741" s="17" t="s">
        <v>155</v>
      </c>
      <c r="E2741" s="17"/>
      <c r="F2741" s="17" t="s">
        <v>156</v>
      </c>
      <c r="G2741" s="17"/>
      <c r="H2741" s="17" t="s">
        <v>692</v>
      </c>
      <c r="I2741" s="17"/>
      <c r="J2741" s="17" t="s">
        <v>693</v>
      </c>
      <c r="K2741" s="17"/>
      <c r="L2741" s="17"/>
      <c r="M2741" s="17"/>
      <c r="N2741" s="17"/>
      <c r="O2741" s="17" t="s">
        <v>5067</v>
      </c>
      <c r="P2741" s="17" t="s">
        <v>5081</v>
      </c>
      <c r="Q2741" s="17"/>
      <c r="R2741" s="25" t="str">
        <f>HYPERLINK("https://ictv.global/taxonomy/taxondetails?taxnode_id=202312267","Cheoctovirus chuckly")</f>
        <v>Cheoctovirus chuckly</v>
      </c>
      <c r="S2741" s="18" t="s">
        <v>30</v>
      </c>
      <c r="T2741" s="18" t="s">
        <v>5102</v>
      </c>
      <c r="U2741" s="18"/>
      <c r="V2741" s="18"/>
      <c r="W2741" s="18" t="s">
        <v>5103</v>
      </c>
      <c r="X2741" s="18" t="s">
        <v>42</v>
      </c>
      <c r="Y2741" s="18" t="s">
        <v>36</v>
      </c>
      <c r="Z2741" s="18" t="s">
        <v>697</v>
      </c>
      <c r="AA2741" s="21" t="str">
        <f>HYPERLINK("https://www.ncbi.nlm.nih.gov/nuccore/MN585995","NCBI Nucleotide")</f>
        <v>NCBI Nucleotide</v>
      </c>
    </row>
    <row r="2742" spans="1:27" x14ac:dyDescent="0.35">
      <c r="A2742">
        <v>1003804</v>
      </c>
      <c r="B2742">
        <v>2718</v>
      </c>
      <c r="C2742">
        <v>1</v>
      </c>
      <c r="D2742" s="17" t="s">
        <v>155</v>
      </c>
      <c r="E2742" s="17"/>
      <c r="F2742" s="17" t="s">
        <v>156</v>
      </c>
      <c r="G2742" s="17"/>
      <c r="H2742" s="17" t="s">
        <v>692</v>
      </c>
      <c r="I2742" s="17"/>
      <c r="J2742" s="17" t="s">
        <v>693</v>
      </c>
      <c r="K2742" s="17"/>
      <c r="L2742" s="17"/>
      <c r="M2742" s="17"/>
      <c r="N2742" s="17"/>
      <c r="O2742" s="17" t="s">
        <v>5067</v>
      </c>
      <c r="P2742" s="17" t="s">
        <v>5081</v>
      </c>
      <c r="Q2742" s="17"/>
      <c r="R2742" s="25" t="str">
        <f>HYPERLINK("https://ictv.global/taxonomy/taxondetails?taxnode_id=202312268","Cheoctovirus dante")</f>
        <v>Cheoctovirus dante</v>
      </c>
      <c r="S2742" s="18" t="s">
        <v>30</v>
      </c>
      <c r="T2742" s="18" t="s">
        <v>5104</v>
      </c>
      <c r="U2742" s="18"/>
      <c r="V2742" s="18"/>
      <c r="W2742" s="18" t="s">
        <v>5105</v>
      </c>
      <c r="X2742" s="18" t="s">
        <v>42</v>
      </c>
      <c r="Y2742" s="18" t="s">
        <v>36</v>
      </c>
      <c r="Z2742" s="18" t="s">
        <v>697</v>
      </c>
      <c r="AA2742" s="21" t="str">
        <f>HYPERLINK("https://www.ncbi.nlm.nih.gov/nuccore/KT309034","NCBI Nucleotide")</f>
        <v>NCBI Nucleotide</v>
      </c>
    </row>
    <row r="2743" spans="1:27" x14ac:dyDescent="0.35">
      <c r="A2743">
        <v>1003805</v>
      </c>
      <c r="B2743">
        <v>2719</v>
      </c>
      <c r="C2743">
        <v>1</v>
      </c>
      <c r="D2743" s="17" t="s">
        <v>155</v>
      </c>
      <c r="E2743" s="17"/>
      <c r="F2743" s="17" t="s">
        <v>156</v>
      </c>
      <c r="G2743" s="17"/>
      <c r="H2743" s="17" t="s">
        <v>692</v>
      </c>
      <c r="I2743" s="17"/>
      <c r="J2743" s="17" t="s">
        <v>693</v>
      </c>
      <c r="K2743" s="17"/>
      <c r="L2743" s="17"/>
      <c r="M2743" s="17"/>
      <c r="N2743" s="17"/>
      <c r="O2743" s="17" t="s">
        <v>5067</v>
      </c>
      <c r="P2743" s="17" t="s">
        <v>5081</v>
      </c>
      <c r="Q2743" s="17"/>
      <c r="R2743" s="25" t="str">
        <f>HYPERLINK("https://ictv.global/taxonomy/taxondetails?taxnode_id=202312269","Cheoctovirus dilltech15")</f>
        <v>Cheoctovirus dilltech15</v>
      </c>
      <c r="S2743" s="18" t="s">
        <v>30</v>
      </c>
      <c r="T2743" s="18" t="s">
        <v>5106</v>
      </c>
      <c r="U2743" s="18"/>
      <c r="V2743" s="18"/>
      <c r="W2743" s="18" t="s">
        <v>5107</v>
      </c>
      <c r="X2743" s="18" t="s">
        <v>42</v>
      </c>
      <c r="Y2743" s="18" t="s">
        <v>36</v>
      </c>
      <c r="Z2743" s="18" t="s">
        <v>697</v>
      </c>
      <c r="AA2743" s="21" t="str">
        <f>HYPERLINK("https://www.ncbi.nlm.nih.gov/nuccore/MH077578","NCBI Nucleotide")</f>
        <v>NCBI Nucleotide</v>
      </c>
    </row>
    <row r="2744" spans="1:27" x14ac:dyDescent="0.35">
      <c r="A2744">
        <v>1003806</v>
      </c>
      <c r="B2744">
        <v>2720</v>
      </c>
      <c r="C2744">
        <v>1</v>
      </c>
      <c r="D2744" s="17" t="s">
        <v>155</v>
      </c>
      <c r="E2744" s="17"/>
      <c r="F2744" s="17" t="s">
        <v>156</v>
      </c>
      <c r="G2744" s="17"/>
      <c r="H2744" s="17" t="s">
        <v>692</v>
      </c>
      <c r="I2744" s="17"/>
      <c r="J2744" s="17" t="s">
        <v>693</v>
      </c>
      <c r="K2744" s="17"/>
      <c r="L2744" s="17"/>
      <c r="M2744" s="17"/>
      <c r="N2744" s="17"/>
      <c r="O2744" s="17" t="s">
        <v>5067</v>
      </c>
      <c r="P2744" s="17" t="s">
        <v>5081</v>
      </c>
      <c r="Q2744" s="17"/>
      <c r="R2744" s="25" t="str">
        <f>HYPERLINK("https://ictv.global/taxonomy/taxondetails?taxnode_id=202312270","Cheoctovirus donkeykong")</f>
        <v>Cheoctovirus donkeykong</v>
      </c>
      <c r="S2744" s="18" t="s">
        <v>30</v>
      </c>
      <c r="T2744" s="18" t="s">
        <v>5108</v>
      </c>
      <c r="U2744" s="18"/>
      <c r="V2744" s="18"/>
      <c r="W2744" s="18" t="s">
        <v>5109</v>
      </c>
      <c r="X2744" s="18" t="s">
        <v>42</v>
      </c>
      <c r="Y2744" s="18" t="s">
        <v>36</v>
      </c>
      <c r="Z2744" s="18" t="s">
        <v>697</v>
      </c>
      <c r="AA2744" s="21" t="str">
        <f>HYPERLINK("https://www.ncbi.nlm.nih.gov/nuccore/MN586001","NCBI Nucleotide")</f>
        <v>NCBI Nucleotide</v>
      </c>
    </row>
    <row r="2745" spans="1:27" x14ac:dyDescent="0.35">
      <c r="A2745">
        <v>1003807</v>
      </c>
      <c r="B2745">
        <v>2721</v>
      </c>
      <c r="C2745">
        <v>1</v>
      </c>
      <c r="D2745" s="17" t="s">
        <v>155</v>
      </c>
      <c r="E2745" s="17"/>
      <c r="F2745" s="17" t="s">
        <v>156</v>
      </c>
      <c r="G2745" s="17"/>
      <c r="H2745" s="17" t="s">
        <v>692</v>
      </c>
      <c r="I2745" s="17"/>
      <c r="J2745" s="17" t="s">
        <v>693</v>
      </c>
      <c r="K2745" s="17"/>
      <c r="L2745" s="17"/>
      <c r="M2745" s="17"/>
      <c r="N2745" s="17"/>
      <c r="O2745" s="17" t="s">
        <v>5067</v>
      </c>
      <c r="P2745" s="17" t="s">
        <v>5081</v>
      </c>
      <c r="Q2745" s="17"/>
      <c r="R2745" s="25" t="str">
        <f>HYPERLINK("https://ictv.global/taxonomy/taxondetails?taxnode_id=202312271","Cheoctovirus doug")</f>
        <v>Cheoctovirus doug</v>
      </c>
      <c r="S2745" s="18" t="s">
        <v>30</v>
      </c>
      <c r="T2745" s="18" t="s">
        <v>5110</v>
      </c>
      <c r="U2745" s="18"/>
      <c r="V2745" s="18"/>
      <c r="W2745" s="18" t="s">
        <v>5111</v>
      </c>
      <c r="X2745" s="18" t="s">
        <v>42</v>
      </c>
      <c r="Y2745" s="18" t="s">
        <v>36</v>
      </c>
      <c r="Z2745" s="18" t="s">
        <v>697</v>
      </c>
      <c r="AA2745" s="21" t="str">
        <f>HYPERLINK("https://www.ncbi.nlm.nih.gov/nuccore/MN310544","NCBI Nucleotide")</f>
        <v>NCBI Nucleotide</v>
      </c>
    </row>
    <row r="2746" spans="1:27" x14ac:dyDescent="0.35">
      <c r="A2746">
        <v>1003808</v>
      </c>
      <c r="B2746">
        <v>2722</v>
      </c>
      <c r="C2746">
        <v>1</v>
      </c>
      <c r="D2746" s="17" t="s">
        <v>155</v>
      </c>
      <c r="E2746" s="17"/>
      <c r="F2746" s="17" t="s">
        <v>156</v>
      </c>
      <c r="G2746" s="17"/>
      <c r="H2746" s="17" t="s">
        <v>692</v>
      </c>
      <c r="I2746" s="17"/>
      <c r="J2746" s="17" t="s">
        <v>693</v>
      </c>
      <c r="K2746" s="17"/>
      <c r="L2746" s="17"/>
      <c r="M2746" s="17"/>
      <c r="N2746" s="17"/>
      <c r="O2746" s="17" t="s">
        <v>5067</v>
      </c>
      <c r="P2746" s="17" t="s">
        <v>5081</v>
      </c>
      <c r="Q2746" s="17"/>
      <c r="R2746" s="25" t="str">
        <f>HYPERLINK("https://ictv.global/taxonomy/taxondetails?taxnode_id=202312272","Cheoctovirus DRBy19")</f>
        <v>Cheoctovirus DRBy19</v>
      </c>
      <c r="S2746" s="18" t="s">
        <v>30</v>
      </c>
      <c r="T2746" s="18" t="s">
        <v>5112</v>
      </c>
      <c r="U2746" s="18"/>
      <c r="V2746" s="18"/>
      <c r="W2746" s="18" t="s">
        <v>5113</v>
      </c>
      <c r="X2746" s="18" t="s">
        <v>42</v>
      </c>
      <c r="Y2746" s="18" t="s">
        <v>36</v>
      </c>
      <c r="Z2746" s="18" t="s">
        <v>697</v>
      </c>
      <c r="AA2746" s="21" t="str">
        <f>HYPERLINK("https://www.ncbi.nlm.nih.gov/nuccore/MT310893","NCBI Nucleotide")</f>
        <v>NCBI Nucleotide</v>
      </c>
    </row>
    <row r="2747" spans="1:27" x14ac:dyDescent="0.35">
      <c r="A2747">
        <v>1003809</v>
      </c>
      <c r="B2747">
        <v>2723</v>
      </c>
      <c r="C2747">
        <v>1</v>
      </c>
      <c r="D2747" s="17" t="s">
        <v>155</v>
      </c>
      <c r="E2747" s="17"/>
      <c r="F2747" s="17" t="s">
        <v>156</v>
      </c>
      <c r="G2747" s="17"/>
      <c r="H2747" s="17" t="s">
        <v>692</v>
      </c>
      <c r="I2747" s="17"/>
      <c r="J2747" s="17" t="s">
        <v>693</v>
      </c>
      <c r="K2747" s="17"/>
      <c r="L2747" s="17"/>
      <c r="M2747" s="17"/>
      <c r="N2747" s="17"/>
      <c r="O2747" s="17" t="s">
        <v>5067</v>
      </c>
      <c r="P2747" s="17" t="s">
        <v>5081</v>
      </c>
      <c r="Q2747" s="17"/>
      <c r="R2747" s="25" t="str">
        <f>HYPERLINK("https://ictv.global/taxonomy/taxondetails?taxnode_id=202312273","Cheoctovirus eish")</f>
        <v>Cheoctovirus eish</v>
      </c>
      <c r="S2747" s="18" t="s">
        <v>30</v>
      </c>
      <c r="T2747" s="18" t="s">
        <v>5114</v>
      </c>
      <c r="U2747" s="18"/>
      <c r="V2747" s="18"/>
      <c r="W2747" s="18" t="s">
        <v>5115</v>
      </c>
      <c r="X2747" s="18" t="s">
        <v>42</v>
      </c>
      <c r="Y2747" s="18" t="s">
        <v>36</v>
      </c>
      <c r="Z2747" s="18" t="s">
        <v>697</v>
      </c>
      <c r="AA2747" s="21" t="str">
        <f>HYPERLINK("https://www.ncbi.nlm.nih.gov/nuccore/MN585975","NCBI Nucleotide")</f>
        <v>NCBI Nucleotide</v>
      </c>
    </row>
    <row r="2748" spans="1:27" x14ac:dyDescent="0.35">
      <c r="A2748">
        <v>1003810</v>
      </c>
      <c r="B2748">
        <v>2724</v>
      </c>
      <c r="C2748">
        <v>1</v>
      </c>
      <c r="D2748" s="17" t="s">
        <v>155</v>
      </c>
      <c r="E2748" s="17"/>
      <c r="F2748" s="17" t="s">
        <v>156</v>
      </c>
      <c r="G2748" s="17"/>
      <c r="H2748" s="17" t="s">
        <v>692</v>
      </c>
      <c r="I2748" s="17"/>
      <c r="J2748" s="17" t="s">
        <v>693</v>
      </c>
      <c r="K2748" s="17"/>
      <c r="L2748" s="17"/>
      <c r="M2748" s="17"/>
      <c r="N2748" s="17"/>
      <c r="O2748" s="17" t="s">
        <v>5067</v>
      </c>
      <c r="P2748" s="17" t="s">
        <v>5081</v>
      </c>
      <c r="Q2748" s="17"/>
      <c r="R2748" s="25" t="str">
        <f>HYPERLINK("https://ictv.global/taxonomy/taxondetails?taxnode_id=202312274","Cheoctovirus eleanorgeorge")</f>
        <v>Cheoctovirus eleanorgeorge</v>
      </c>
      <c r="S2748" s="18" t="s">
        <v>30</v>
      </c>
      <c r="T2748" s="18" t="s">
        <v>5116</v>
      </c>
      <c r="U2748" s="18"/>
      <c r="V2748" s="18"/>
      <c r="W2748" s="18" t="s">
        <v>5117</v>
      </c>
      <c r="X2748" s="18" t="s">
        <v>42</v>
      </c>
      <c r="Y2748" s="18" t="s">
        <v>36</v>
      </c>
      <c r="Z2748" s="18" t="s">
        <v>697</v>
      </c>
      <c r="AA2748" s="21" t="str">
        <f>HYPERLINK("https://www.ncbi.nlm.nih.gov/nuccore/MH669001","NCBI Nucleotide")</f>
        <v>NCBI Nucleotide</v>
      </c>
    </row>
    <row r="2749" spans="1:27" x14ac:dyDescent="0.35">
      <c r="A2749">
        <v>1003811</v>
      </c>
      <c r="B2749">
        <v>2725</v>
      </c>
      <c r="C2749">
        <v>1</v>
      </c>
      <c r="D2749" s="17" t="s">
        <v>155</v>
      </c>
      <c r="E2749" s="17"/>
      <c r="F2749" s="17" t="s">
        <v>156</v>
      </c>
      <c r="G2749" s="17"/>
      <c r="H2749" s="17" t="s">
        <v>692</v>
      </c>
      <c r="I2749" s="17"/>
      <c r="J2749" s="17" t="s">
        <v>693</v>
      </c>
      <c r="K2749" s="17"/>
      <c r="L2749" s="17"/>
      <c r="M2749" s="17"/>
      <c r="N2749" s="17"/>
      <c r="O2749" s="17" t="s">
        <v>5067</v>
      </c>
      <c r="P2749" s="17" t="s">
        <v>5081</v>
      </c>
      <c r="Q2749" s="17"/>
      <c r="R2749" s="25" t="str">
        <f>HYPERLINK("https://ictv.global/taxonomy/taxondetails?taxnode_id=202312275","Cheoctovirus emma")</f>
        <v>Cheoctovirus emma</v>
      </c>
      <c r="S2749" s="18" t="s">
        <v>30</v>
      </c>
      <c r="T2749" s="18" t="s">
        <v>5118</v>
      </c>
      <c r="U2749" s="18"/>
      <c r="V2749" s="18"/>
      <c r="W2749" s="18" t="s">
        <v>5119</v>
      </c>
      <c r="X2749" s="18" t="s">
        <v>42</v>
      </c>
      <c r="Y2749" s="18" t="s">
        <v>36</v>
      </c>
      <c r="Z2749" s="18" t="s">
        <v>697</v>
      </c>
      <c r="AA2749" s="21" t="str">
        <f>HYPERLINK("https://www.ncbi.nlm.nih.gov/nuccore/MF668270","NCBI Nucleotide")</f>
        <v>NCBI Nucleotide</v>
      </c>
    </row>
    <row r="2750" spans="1:27" x14ac:dyDescent="0.35">
      <c r="A2750">
        <v>1003812</v>
      </c>
      <c r="B2750">
        <v>2726</v>
      </c>
      <c r="C2750">
        <v>1</v>
      </c>
      <c r="D2750" s="17" t="s">
        <v>155</v>
      </c>
      <c r="E2750" s="17"/>
      <c r="F2750" s="17" t="s">
        <v>156</v>
      </c>
      <c r="G2750" s="17"/>
      <c r="H2750" s="17" t="s">
        <v>692</v>
      </c>
      <c r="I2750" s="17"/>
      <c r="J2750" s="17" t="s">
        <v>693</v>
      </c>
      <c r="K2750" s="17"/>
      <c r="L2750" s="17"/>
      <c r="M2750" s="17"/>
      <c r="N2750" s="17"/>
      <c r="O2750" s="17" t="s">
        <v>5067</v>
      </c>
      <c r="P2750" s="17" t="s">
        <v>5081</v>
      </c>
      <c r="Q2750" s="17"/>
      <c r="R2750" s="25" t="str">
        <f>HYPERLINK("https://ictv.global/taxonomy/taxondetails?taxnode_id=202312276","Cheoctovirus empress")</f>
        <v>Cheoctovirus empress</v>
      </c>
      <c r="S2750" s="18" t="s">
        <v>30</v>
      </c>
      <c r="T2750" s="18" t="s">
        <v>5120</v>
      </c>
      <c r="U2750" s="18"/>
      <c r="V2750" s="18"/>
      <c r="W2750" s="18" t="s">
        <v>5121</v>
      </c>
      <c r="X2750" s="18" t="s">
        <v>42</v>
      </c>
      <c r="Y2750" s="18" t="s">
        <v>36</v>
      </c>
      <c r="Z2750" s="18" t="s">
        <v>697</v>
      </c>
      <c r="AA2750" s="21" t="str">
        <f>HYPERLINK("https://www.ncbi.nlm.nih.gov/nuccore/KY012363","NCBI Nucleotide")</f>
        <v>NCBI Nucleotide</v>
      </c>
    </row>
    <row r="2751" spans="1:27" x14ac:dyDescent="0.35">
      <c r="A2751">
        <v>1003813</v>
      </c>
      <c r="B2751">
        <v>2727</v>
      </c>
      <c r="C2751">
        <v>1</v>
      </c>
      <c r="D2751" s="17" t="s">
        <v>155</v>
      </c>
      <c r="E2751" s="17"/>
      <c r="F2751" s="17" t="s">
        <v>156</v>
      </c>
      <c r="G2751" s="17"/>
      <c r="H2751" s="17" t="s">
        <v>692</v>
      </c>
      <c r="I2751" s="17"/>
      <c r="J2751" s="17" t="s">
        <v>693</v>
      </c>
      <c r="K2751" s="17"/>
      <c r="L2751" s="17"/>
      <c r="M2751" s="17"/>
      <c r="N2751" s="17"/>
      <c r="O2751" s="17" t="s">
        <v>5067</v>
      </c>
      <c r="P2751" s="17" t="s">
        <v>5081</v>
      </c>
      <c r="Q2751" s="17"/>
      <c r="R2751" s="25" t="str">
        <f>HYPERLINK("https://ictv.global/taxonomy/taxondetails?taxnode_id=202312277","Cheoctovirus estave1")</f>
        <v>Cheoctovirus estave1</v>
      </c>
      <c r="S2751" s="18" t="s">
        <v>30</v>
      </c>
      <c r="T2751" s="18" t="s">
        <v>5122</v>
      </c>
      <c r="U2751" s="18"/>
      <c r="V2751" s="18"/>
      <c r="W2751" s="18" t="s">
        <v>5123</v>
      </c>
      <c r="X2751" s="18" t="s">
        <v>42</v>
      </c>
      <c r="Y2751" s="18" t="s">
        <v>36</v>
      </c>
      <c r="Z2751" s="18" t="s">
        <v>697</v>
      </c>
      <c r="AA2751" s="21" t="str">
        <f>HYPERLINK("https://www.ncbi.nlm.nih.gov/nuccore/KM279937","NCBI Nucleotide")</f>
        <v>NCBI Nucleotide</v>
      </c>
    </row>
    <row r="2752" spans="1:27" x14ac:dyDescent="0.35">
      <c r="A2752">
        <v>1003814</v>
      </c>
      <c r="B2752">
        <v>2728</v>
      </c>
      <c r="C2752">
        <v>1</v>
      </c>
      <c r="D2752" s="17" t="s">
        <v>155</v>
      </c>
      <c r="E2752" s="17"/>
      <c r="F2752" s="17" t="s">
        <v>156</v>
      </c>
      <c r="G2752" s="17"/>
      <c r="H2752" s="17" t="s">
        <v>692</v>
      </c>
      <c r="I2752" s="17"/>
      <c r="J2752" s="17" t="s">
        <v>693</v>
      </c>
      <c r="K2752" s="17"/>
      <c r="L2752" s="17"/>
      <c r="M2752" s="17"/>
      <c r="N2752" s="17"/>
      <c r="O2752" s="17" t="s">
        <v>5067</v>
      </c>
      <c r="P2752" s="17" t="s">
        <v>5081</v>
      </c>
      <c r="Q2752" s="17"/>
      <c r="R2752" s="25" t="str">
        <f>HYPERLINK("https://ictv.global/taxonomy/taxondetails?taxnode_id=202312278","Cheoctovirus fancypants")</f>
        <v>Cheoctovirus fancypants</v>
      </c>
      <c r="S2752" s="18" t="s">
        <v>30</v>
      </c>
      <c r="T2752" s="18" t="s">
        <v>5124</v>
      </c>
      <c r="U2752" s="18"/>
      <c r="V2752" s="18"/>
      <c r="W2752" s="18" t="s">
        <v>5125</v>
      </c>
      <c r="X2752" s="18" t="s">
        <v>42</v>
      </c>
      <c r="Y2752" s="18" t="s">
        <v>36</v>
      </c>
      <c r="Z2752" s="18" t="s">
        <v>697</v>
      </c>
      <c r="AA2752" s="21" t="str">
        <f>HYPERLINK("https://www.ncbi.nlm.nih.gov/nuccore/MK524503","NCBI Nucleotide")</f>
        <v>NCBI Nucleotide</v>
      </c>
    </row>
    <row r="2753" spans="1:27" x14ac:dyDescent="0.35">
      <c r="A2753">
        <v>1003815</v>
      </c>
      <c r="B2753">
        <v>2729</v>
      </c>
      <c r="C2753">
        <v>1</v>
      </c>
      <c r="D2753" s="17" t="s">
        <v>155</v>
      </c>
      <c r="E2753" s="17"/>
      <c r="F2753" s="17" t="s">
        <v>156</v>
      </c>
      <c r="G2753" s="17"/>
      <c r="H2753" s="17" t="s">
        <v>692</v>
      </c>
      <c r="I2753" s="17"/>
      <c r="J2753" s="17" t="s">
        <v>693</v>
      </c>
      <c r="K2753" s="17"/>
      <c r="L2753" s="17"/>
      <c r="M2753" s="17"/>
      <c r="N2753" s="17"/>
      <c r="O2753" s="17" t="s">
        <v>5067</v>
      </c>
      <c r="P2753" s="17" t="s">
        <v>5081</v>
      </c>
      <c r="Q2753" s="17"/>
      <c r="R2753" s="25" t="str">
        <f>HYPERLINK("https://ictv.global/taxonomy/taxondetails?taxnode_id=202312279","Cheoctovirus filuzino")</f>
        <v>Cheoctovirus filuzino</v>
      </c>
      <c r="S2753" s="18" t="s">
        <v>30</v>
      </c>
      <c r="T2753" s="18" t="s">
        <v>5126</v>
      </c>
      <c r="U2753" s="18"/>
      <c r="V2753" s="18"/>
      <c r="W2753" s="18" t="s">
        <v>5127</v>
      </c>
      <c r="X2753" s="18" t="s">
        <v>42</v>
      </c>
      <c r="Y2753" s="18" t="s">
        <v>36</v>
      </c>
      <c r="Z2753" s="18" t="s">
        <v>697</v>
      </c>
      <c r="AA2753" s="21" t="str">
        <f>HYPERLINK("https://www.ncbi.nlm.nih.gov/nuccore/MK016494","NCBI Nucleotide")</f>
        <v>NCBI Nucleotide</v>
      </c>
    </row>
    <row r="2754" spans="1:27" x14ac:dyDescent="0.35">
      <c r="A2754">
        <v>1003816</v>
      </c>
      <c r="B2754">
        <v>2730</v>
      </c>
      <c r="C2754">
        <v>1</v>
      </c>
      <c r="D2754" s="17" t="s">
        <v>155</v>
      </c>
      <c r="E2754" s="17"/>
      <c r="F2754" s="17" t="s">
        <v>156</v>
      </c>
      <c r="G2754" s="17"/>
      <c r="H2754" s="17" t="s">
        <v>692</v>
      </c>
      <c r="I2754" s="17"/>
      <c r="J2754" s="17" t="s">
        <v>693</v>
      </c>
      <c r="K2754" s="17"/>
      <c r="L2754" s="17"/>
      <c r="M2754" s="17"/>
      <c r="N2754" s="17"/>
      <c r="O2754" s="17" t="s">
        <v>5067</v>
      </c>
      <c r="P2754" s="17" t="s">
        <v>5081</v>
      </c>
      <c r="Q2754" s="17"/>
      <c r="R2754" s="25" t="str">
        <f>HYPERLINK("https://ictv.global/taxonomy/taxondetails?taxnode_id=202312280","Cheoctovirus firehouse51")</f>
        <v>Cheoctovirus firehouse51</v>
      </c>
      <c r="S2754" s="18" t="s">
        <v>30</v>
      </c>
      <c r="T2754" s="18" t="s">
        <v>5128</v>
      </c>
      <c r="U2754" s="18"/>
      <c r="V2754" s="18"/>
      <c r="W2754" s="18" t="s">
        <v>5129</v>
      </c>
      <c r="X2754" s="18" t="s">
        <v>42</v>
      </c>
      <c r="Y2754" s="18" t="s">
        <v>36</v>
      </c>
      <c r="Z2754" s="18" t="s">
        <v>697</v>
      </c>
      <c r="AA2754" s="21" t="str">
        <f>HYPERLINK("https://www.ncbi.nlm.nih.gov/nuccore/MT889374","NCBI Nucleotide")</f>
        <v>NCBI Nucleotide</v>
      </c>
    </row>
    <row r="2755" spans="1:27" x14ac:dyDescent="0.35">
      <c r="A2755">
        <v>1003817</v>
      </c>
      <c r="B2755">
        <v>2731</v>
      </c>
      <c r="C2755">
        <v>1</v>
      </c>
      <c r="D2755" s="17" t="s">
        <v>155</v>
      </c>
      <c r="E2755" s="17"/>
      <c r="F2755" s="17" t="s">
        <v>156</v>
      </c>
      <c r="G2755" s="17"/>
      <c r="H2755" s="17" t="s">
        <v>692</v>
      </c>
      <c r="I2755" s="17"/>
      <c r="J2755" s="17" t="s">
        <v>693</v>
      </c>
      <c r="K2755" s="17"/>
      <c r="L2755" s="17"/>
      <c r="M2755" s="17"/>
      <c r="N2755" s="17"/>
      <c r="O2755" s="17" t="s">
        <v>5067</v>
      </c>
      <c r="P2755" s="17" t="s">
        <v>5081</v>
      </c>
      <c r="Q2755" s="17"/>
      <c r="R2755" s="25" t="str">
        <f>HYPERLINK("https://ictv.global/taxonomy/taxondetails?taxnode_id=202312281","Cheoctovirus florinda")</f>
        <v>Cheoctovirus florinda</v>
      </c>
      <c r="S2755" s="18" t="s">
        <v>30</v>
      </c>
      <c r="T2755" s="18" t="s">
        <v>5130</v>
      </c>
      <c r="U2755" s="18"/>
      <c r="V2755" s="18"/>
      <c r="W2755" s="18" t="s">
        <v>5131</v>
      </c>
      <c r="X2755" s="18" t="s">
        <v>42</v>
      </c>
      <c r="Y2755" s="18" t="s">
        <v>36</v>
      </c>
      <c r="Z2755" s="18" t="s">
        <v>697</v>
      </c>
      <c r="AA2755" s="21" t="str">
        <f>HYPERLINK("https://www.ncbi.nlm.nih.gov/nuccore/KR997930","NCBI Nucleotide")</f>
        <v>NCBI Nucleotide</v>
      </c>
    </row>
    <row r="2756" spans="1:27" x14ac:dyDescent="0.35">
      <c r="A2756">
        <v>1003818</v>
      </c>
      <c r="B2756">
        <v>2732</v>
      </c>
      <c r="C2756">
        <v>1</v>
      </c>
      <c r="D2756" s="17" t="s">
        <v>155</v>
      </c>
      <c r="E2756" s="17"/>
      <c r="F2756" s="17" t="s">
        <v>156</v>
      </c>
      <c r="G2756" s="17"/>
      <c r="H2756" s="17" t="s">
        <v>692</v>
      </c>
      <c r="I2756" s="17"/>
      <c r="J2756" s="17" t="s">
        <v>693</v>
      </c>
      <c r="K2756" s="17"/>
      <c r="L2756" s="17"/>
      <c r="M2756" s="17"/>
      <c r="N2756" s="17"/>
      <c r="O2756" s="17" t="s">
        <v>5067</v>
      </c>
      <c r="P2756" s="17" t="s">
        <v>5081</v>
      </c>
      <c r="Q2756" s="17"/>
      <c r="R2756" s="25" t="str">
        <f>HYPERLINK("https://ictv.global/taxonomy/taxondetails?taxnode_id=202312282","Cheoctovirus galactic")</f>
        <v>Cheoctovirus galactic</v>
      </c>
      <c r="S2756" s="18" t="s">
        <v>30</v>
      </c>
      <c r="T2756" s="18" t="s">
        <v>5132</v>
      </c>
      <c r="U2756" s="18"/>
      <c r="V2756" s="18"/>
      <c r="W2756" s="18" t="s">
        <v>5133</v>
      </c>
      <c r="X2756" s="18" t="s">
        <v>42</v>
      </c>
      <c r="Y2756" s="18" t="s">
        <v>36</v>
      </c>
      <c r="Z2756" s="18" t="s">
        <v>697</v>
      </c>
      <c r="AA2756" s="21" t="str">
        <f>HYPERLINK("https://www.ncbi.nlm.nih.gov/nuccore/MH727548","NCBI Nucleotide")</f>
        <v>NCBI Nucleotide</v>
      </c>
    </row>
    <row r="2757" spans="1:27" x14ac:dyDescent="0.35">
      <c r="A2757">
        <v>1003819</v>
      </c>
      <c r="B2757">
        <v>2733</v>
      </c>
      <c r="C2757">
        <v>1</v>
      </c>
      <c r="D2757" s="17" t="s">
        <v>155</v>
      </c>
      <c r="E2757" s="17"/>
      <c r="F2757" s="17" t="s">
        <v>156</v>
      </c>
      <c r="G2757" s="17"/>
      <c r="H2757" s="17" t="s">
        <v>692</v>
      </c>
      <c r="I2757" s="17"/>
      <c r="J2757" s="17" t="s">
        <v>693</v>
      </c>
      <c r="K2757" s="17"/>
      <c r="L2757" s="17"/>
      <c r="M2757" s="17"/>
      <c r="N2757" s="17"/>
      <c r="O2757" s="17" t="s">
        <v>5067</v>
      </c>
      <c r="P2757" s="17" t="s">
        <v>5081</v>
      </c>
      <c r="Q2757" s="17"/>
      <c r="R2757" s="25" t="str">
        <f>HYPERLINK("https://ictv.global/taxonomy/taxondetails?taxnode_id=202312283","Cheoctovirus gandalph")</f>
        <v>Cheoctovirus gandalph</v>
      </c>
      <c r="S2757" s="18" t="s">
        <v>30</v>
      </c>
      <c r="T2757" s="18" t="s">
        <v>5134</v>
      </c>
      <c r="U2757" s="18"/>
      <c r="V2757" s="18"/>
      <c r="W2757" s="18" t="s">
        <v>5135</v>
      </c>
      <c r="X2757" s="18" t="s">
        <v>42</v>
      </c>
      <c r="Y2757" s="18" t="s">
        <v>36</v>
      </c>
      <c r="Z2757" s="18" t="s">
        <v>697</v>
      </c>
      <c r="AA2757" s="21" t="str">
        <f>HYPERLINK("https://www.ncbi.nlm.nih.gov/nuccore/MT684586","NCBI Nucleotide")</f>
        <v>NCBI Nucleotide</v>
      </c>
    </row>
    <row r="2758" spans="1:27" x14ac:dyDescent="0.35">
      <c r="A2758">
        <v>1003820</v>
      </c>
      <c r="B2758">
        <v>2734</v>
      </c>
      <c r="C2758">
        <v>1</v>
      </c>
      <c r="D2758" s="17" t="s">
        <v>155</v>
      </c>
      <c r="E2758" s="17"/>
      <c r="F2758" s="17" t="s">
        <v>156</v>
      </c>
      <c r="G2758" s="17"/>
      <c r="H2758" s="17" t="s">
        <v>692</v>
      </c>
      <c r="I2758" s="17"/>
      <c r="J2758" s="17" t="s">
        <v>693</v>
      </c>
      <c r="K2758" s="17"/>
      <c r="L2758" s="17"/>
      <c r="M2758" s="17"/>
      <c r="N2758" s="17"/>
      <c r="O2758" s="17" t="s">
        <v>5067</v>
      </c>
      <c r="P2758" s="17" t="s">
        <v>5081</v>
      </c>
      <c r="Q2758" s="17"/>
      <c r="R2758" s="25" t="str">
        <f>HYPERLINK("https://ictv.global/taxonomy/taxondetails?taxnode_id=202312284","Cheoctovirus geralt")</f>
        <v>Cheoctovirus geralt</v>
      </c>
      <c r="S2758" s="18" t="s">
        <v>30</v>
      </c>
      <c r="T2758" s="18" t="s">
        <v>5136</v>
      </c>
      <c r="U2758" s="18"/>
      <c r="V2758" s="18"/>
      <c r="W2758" s="18" t="s">
        <v>5137</v>
      </c>
      <c r="X2758" s="18" t="s">
        <v>42</v>
      </c>
      <c r="Y2758" s="18" t="s">
        <v>36</v>
      </c>
      <c r="Z2758" s="18" t="s">
        <v>697</v>
      </c>
      <c r="AA2758" s="21" t="str">
        <f>HYPERLINK("https://www.ncbi.nlm.nih.gov/nuccore/MF668271","NCBI Nucleotide")</f>
        <v>NCBI Nucleotide</v>
      </c>
    </row>
    <row r="2759" spans="1:27" x14ac:dyDescent="0.35">
      <c r="A2759">
        <v>1003821</v>
      </c>
      <c r="B2759">
        <v>2735</v>
      </c>
      <c r="C2759">
        <v>1</v>
      </c>
      <c r="D2759" s="17" t="s">
        <v>155</v>
      </c>
      <c r="E2759" s="17"/>
      <c r="F2759" s="17" t="s">
        <v>156</v>
      </c>
      <c r="G2759" s="17"/>
      <c r="H2759" s="17" t="s">
        <v>692</v>
      </c>
      <c r="I2759" s="17"/>
      <c r="J2759" s="17" t="s">
        <v>693</v>
      </c>
      <c r="K2759" s="17"/>
      <c r="L2759" s="17"/>
      <c r="M2759" s="17"/>
      <c r="N2759" s="17"/>
      <c r="O2759" s="17" t="s">
        <v>5067</v>
      </c>
      <c r="P2759" s="17" t="s">
        <v>5081</v>
      </c>
      <c r="Q2759" s="17"/>
      <c r="R2759" s="25" t="str">
        <f>HYPERLINK("https://ictv.global/taxonomy/taxondetails?taxnode_id=202312285","Cheoctovirus girr")</f>
        <v>Cheoctovirus girr</v>
      </c>
      <c r="S2759" s="18" t="s">
        <v>30</v>
      </c>
      <c r="T2759" s="18" t="s">
        <v>5138</v>
      </c>
      <c r="U2759" s="18"/>
      <c r="V2759" s="18"/>
      <c r="W2759" s="18" t="s">
        <v>5139</v>
      </c>
      <c r="X2759" s="18" t="s">
        <v>42</v>
      </c>
      <c r="Y2759" s="18" t="s">
        <v>36</v>
      </c>
      <c r="Z2759" s="18" t="s">
        <v>697</v>
      </c>
      <c r="AA2759" s="21" t="str">
        <f>HYPERLINK("https://www.ncbi.nlm.nih.gov/nuccore/MH669003","NCBI Nucleotide")</f>
        <v>NCBI Nucleotide</v>
      </c>
    </row>
    <row r="2760" spans="1:27" x14ac:dyDescent="0.35">
      <c r="A2760">
        <v>1003822</v>
      </c>
      <c r="B2760">
        <v>2736</v>
      </c>
      <c r="C2760">
        <v>1</v>
      </c>
      <c r="D2760" s="17" t="s">
        <v>155</v>
      </c>
      <c r="E2760" s="17"/>
      <c r="F2760" s="17" t="s">
        <v>156</v>
      </c>
      <c r="G2760" s="17"/>
      <c r="H2760" s="17" t="s">
        <v>692</v>
      </c>
      <c r="I2760" s="17"/>
      <c r="J2760" s="17" t="s">
        <v>693</v>
      </c>
      <c r="K2760" s="17"/>
      <c r="L2760" s="17"/>
      <c r="M2760" s="17"/>
      <c r="N2760" s="17"/>
      <c r="O2760" s="17" t="s">
        <v>5067</v>
      </c>
      <c r="P2760" s="17" t="s">
        <v>5081</v>
      </c>
      <c r="Q2760" s="17"/>
      <c r="R2760" s="25" t="str">
        <f>HYPERLINK("https://ictv.global/taxonomy/taxondetails?taxnode_id=202312286","Cheoctovirus gorge")</f>
        <v>Cheoctovirus gorge</v>
      </c>
      <c r="S2760" s="18" t="s">
        <v>30</v>
      </c>
      <c r="T2760" s="18" t="s">
        <v>5140</v>
      </c>
      <c r="U2760" s="18"/>
      <c r="V2760" s="18"/>
      <c r="W2760" s="18" t="s">
        <v>5141</v>
      </c>
      <c r="X2760" s="18" t="s">
        <v>42</v>
      </c>
      <c r="Y2760" s="18" t="s">
        <v>36</v>
      </c>
      <c r="Z2760" s="18" t="s">
        <v>697</v>
      </c>
      <c r="AA2760" s="21" t="str">
        <f>HYPERLINK("https://www.ncbi.nlm.nih.gov/nuccore/MH590602","NCBI Nucleotide")</f>
        <v>NCBI Nucleotide</v>
      </c>
    </row>
    <row r="2761" spans="1:27" x14ac:dyDescent="0.35">
      <c r="A2761">
        <v>1003823</v>
      </c>
      <c r="B2761">
        <v>2737</v>
      </c>
      <c r="C2761">
        <v>1</v>
      </c>
      <c r="D2761" s="17" t="s">
        <v>155</v>
      </c>
      <c r="E2761" s="17"/>
      <c r="F2761" s="17" t="s">
        <v>156</v>
      </c>
      <c r="G2761" s="17"/>
      <c r="H2761" s="17" t="s">
        <v>692</v>
      </c>
      <c r="I2761" s="17"/>
      <c r="J2761" s="17" t="s">
        <v>693</v>
      </c>
      <c r="K2761" s="17"/>
      <c r="L2761" s="17"/>
      <c r="M2761" s="17"/>
      <c r="N2761" s="17"/>
      <c r="O2761" s="17" t="s">
        <v>5067</v>
      </c>
      <c r="P2761" s="17" t="s">
        <v>5081</v>
      </c>
      <c r="Q2761" s="17"/>
      <c r="R2761" s="25" t="str">
        <f>HYPERLINK("https://ictv.global/taxonomy/taxondetails?taxnode_id=202312287","Cheoctovirus hades")</f>
        <v>Cheoctovirus hades</v>
      </c>
      <c r="S2761" s="18" t="s">
        <v>30</v>
      </c>
      <c r="T2761" s="18" t="s">
        <v>5142</v>
      </c>
      <c r="U2761" s="18"/>
      <c r="V2761" s="18"/>
      <c r="W2761" s="18" t="s">
        <v>5143</v>
      </c>
      <c r="X2761" s="18" t="s">
        <v>42</v>
      </c>
      <c r="Y2761" s="18" t="s">
        <v>36</v>
      </c>
      <c r="Z2761" s="18" t="s">
        <v>697</v>
      </c>
      <c r="AA2761" s="21" t="str">
        <f>HYPERLINK("https://www.ncbi.nlm.nih.gov/nuccore/KM101122","NCBI Nucleotide")</f>
        <v>NCBI Nucleotide</v>
      </c>
    </row>
    <row r="2762" spans="1:27" x14ac:dyDescent="0.35">
      <c r="A2762">
        <v>1003824</v>
      </c>
      <c r="B2762">
        <v>2738</v>
      </c>
      <c r="C2762">
        <v>1</v>
      </c>
      <c r="D2762" s="17" t="s">
        <v>155</v>
      </c>
      <c r="E2762" s="17"/>
      <c r="F2762" s="17" t="s">
        <v>156</v>
      </c>
      <c r="G2762" s="17"/>
      <c r="H2762" s="17" t="s">
        <v>692</v>
      </c>
      <c r="I2762" s="17"/>
      <c r="J2762" s="17" t="s">
        <v>693</v>
      </c>
      <c r="K2762" s="17"/>
      <c r="L2762" s="17"/>
      <c r="M2762" s="17"/>
      <c r="N2762" s="17"/>
      <c r="O2762" s="17" t="s">
        <v>5067</v>
      </c>
      <c r="P2762" s="17" t="s">
        <v>5081</v>
      </c>
      <c r="Q2762" s="17"/>
      <c r="R2762" s="25" t="str">
        <f>HYPERLINK("https://ictv.global/taxonomy/taxondetails?taxnode_id=202312288","Cheoctovirus hamulus")</f>
        <v>Cheoctovirus hamulus</v>
      </c>
      <c r="S2762" s="18" t="s">
        <v>30</v>
      </c>
      <c r="T2762" s="18" t="s">
        <v>5144</v>
      </c>
      <c r="U2762" s="18"/>
      <c r="V2762" s="18"/>
      <c r="W2762" s="18" t="s">
        <v>5145</v>
      </c>
      <c r="X2762" s="18" t="s">
        <v>42</v>
      </c>
      <c r="Y2762" s="18" t="s">
        <v>36</v>
      </c>
      <c r="Z2762" s="18" t="s">
        <v>697</v>
      </c>
      <c r="AA2762" s="21" t="str">
        <f>HYPERLINK("https://www.ncbi.nlm.nih.gov/nuccore/KF024723","NCBI Nucleotide")</f>
        <v>NCBI Nucleotide</v>
      </c>
    </row>
    <row r="2763" spans="1:27" x14ac:dyDescent="0.35">
      <c r="A2763">
        <v>1003825</v>
      </c>
      <c r="B2763">
        <v>2739</v>
      </c>
      <c r="C2763">
        <v>1</v>
      </c>
      <c r="D2763" s="17" t="s">
        <v>155</v>
      </c>
      <c r="E2763" s="17"/>
      <c r="F2763" s="17" t="s">
        <v>156</v>
      </c>
      <c r="G2763" s="17"/>
      <c r="H2763" s="17" t="s">
        <v>692</v>
      </c>
      <c r="I2763" s="17"/>
      <c r="J2763" s="17" t="s">
        <v>693</v>
      </c>
      <c r="K2763" s="17"/>
      <c r="L2763" s="17"/>
      <c r="M2763" s="17"/>
      <c r="N2763" s="17"/>
      <c r="O2763" s="17" t="s">
        <v>5067</v>
      </c>
      <c r="P2763" s="17" t="s">
        <v>5081</v>
      </c>
      <c r="Q2763" s="17"/>
      <c r="R2763" s="25" t="str">
        <f>HYPERLINK("https://ictv.global/taxonomy/taxondetails?taxnode_id=202312289","Cheoctovirus harley")</f>
        <v>Cheoctovirus harley</v>
      </c>
      <c r="S2763" s="18" t="s">
        <v>30</v>
      </c>
      <c r="T2763" s="18" t="s">
        <v>5146</v>
      </c>
      <c r="U2763" s="18"/>
      <c r="V2763" s="18"/>
      <c r="W2763" s="18" t="s">
        <v>5147</v>
      </c>
      <c r="X2763" s="18" t="s">
        <v>42</v>
      </c>
      <c r="Y2763" s="18" t="s">
        <v>36</v>
      </c>
      <c r="Z2763" s="18" t="s">
        <v>697</v>
      </c>
      <c r="AA2763" s="21" t="str">
        <f>HYPERLINK("https://www.ncbi.nlm.nih.gov/nuccore/MH632119","NCBI Nucleotide")</f>
        <v>NCBI Nucleotide</v>
      </c>
    </row>
    <row r="2764" spans="1:27" x14ac:dyDescent="0.35">
      <c r="A2764">
        <v>1003826</v>
      </c>
      <c r="B2764">
        <v>2740</v>
      </c>
      <c r="C2764">
        <v>1</v>
      </c>
      <c r="D2764" s="17" t="s">
        <v>155</v>
      </c>
      <c r="E2764" s="17"/>
      <c r="F2764" s="17" t="s">
        <v>156</v>
      </c>
      <c r="G2764" s="17"/>
      <c r="H2764" s="17" t="s">
        <v>692</v>
      </c>
      <c r="I2764" s="17"/>
      <c r="J2764" s="17" t="s">
        <v>693</v>
      </c>
      <c r="K2764" s="17"/>
      <c r="L2764" s="17"/>
      <c r="M2764" s="17"/>
      <c r="N2764" s="17"/>
      <c r="O2764" s="17" t="s">
        <v>5067</v>
      </c>
      <c r="P2764" s="17" t="s">
        <v>5081</v>
      </c>
      <c r="Q2764" s="17"/>
      <c r="R2764" s="25" t="str">
        <f>HYPERLINK("https://ictv.global/taxonomy/taxondetails?taxnode_id=202312290","Cheoctovirus hlubikazi")</f>
        <v>Cheoctovirus hlubikazi</v>
      </c>
      <c r="S2764" s="18" t="s">
        <v>30</v>
      </c>
      <c r="T2764" s="18" t="s">
        <v>5148</v>
      </c>
      <c r="U2764" s="18"/>
      <c r="V2764" s="18"/>
      <c r="W2764" s="18" t="s">
        <v>5149</v>
      </c>
      <c r="X2764" s="18" t="s">
        <v>42</v>
      </c>
      <c r="Y2764" s="18" t="s">
        <v>36</v>
      </c>
      <c r="Z2764" s="18" t="s">
        <v>697</v>
      </c>
      <c r="AA2764" s="21" t="str">
        <f>HYPERLINK("https://www.ncbi.nlm.nih.gov/nuccore/MT684601","NCBI Nucleotide")</f>
        <v>NCBI Nucleotide</v>
      </c>
    </row>
    <row r="2765" spans="1:27" x14ac:dyDescent="0.35">
      <c r="A2765">
        <v>1003827</v>
      </c>
      <c r="B2765">
        <v>2741</v>
      </c>
      <c r="C2765">
        <v>1</v>
      </c>
      <c r="D2765" s="17" t="s">
        <v>155</v>
      </c>
      <c r="E2765" s="17"/>
      <c r="F2765" s="17" t="s">
        <v>156</v>
      </c>
      <c r="G2765" s="17"/>
      <c r="H2765" s="17" t="s">
        <v>692</v>
      </c>
      <c r="I2765" s="17"/>
      <c r="J2765" s="17" t="s">
        <v>693</v>
      </c>
      <c r="K2765" s="17"/>
      <c r="L2765" s="17"/>
      <c r="M2765" s="17"/>
      <c r="N2765" s="17"/>
      <c r="O2765" s="17" t="s">
        <v>5067</v>
      </c>
      <c r="P2765" s="17" t="s">
        <v>5081</v>
      </c>
      <c r="Q2765" s="17"/>
      <c r="R2765" s="25" t="str">
        <f>HYPERLINK("https://ictv.global/taxonomy/taxondetails?taxnode_id=202312291","Cheoctovirus inventum")</f>
        <v>Cheoctovirus inventum</v>
      </c>
      <c r="S2765" s="18" t="s">
        <v>30</v>
      </c>
      <c r="T2765" s="18" t="s">
        <v>5150</v>
      </c>
      <c r="U2765" s="18"/>
      <c r="V2765" s="18"/>
      <c r="W2765" s="18" t="s">
        <v>5151</v>
      </c>
      <c r="X2765" s="18" t="s">
        <v>42</v>
      </c>
      <c r="Y2765" s="18" t="s">
        <v>36</v>
      </c>
      <c r="Z2765" s="18" t="s">
        <v>697</v>
      </c>
      <c r="AA2765" s="21" t="str">
        <f>HYPERLINK("https://www.ncbi.nlm.nih.gov/nuccore/KM066034","NCBI Nucleotide")</f>
        <v>NCBI Nucleotide</v>
      </c>
    </row>
    <row r="2766" spans="1:27" x14ac:dyDescent="0.35">
      <c r="A2766">
        <v>1003828</v>
      </c>
      <c r="B2766">
        <v>2742</v>
      </c>
      <c r="C2766">
        <v>1</v>
      </c>
      <c r="D2766" s="17" t="s">
        <v>155</v>
      </c>
      <c r="E2766" s="17"/>
      <c r="F2766" s="17" t="s">
        <v>156</v>
      </c>
      <c r="G2766" s="17"/>
      <c r="H2766" s="17" t="s">
        <v>692</v>
      </c>
      <c r="I2766" s="17"/>
      <c r="J2766" s="17" t="s">
        <v>693</v>
      </c>
      <c r="K2766" s="17"/>
      <c r="L2766" s="17"/>
      <c r="M2766" s="17"/>
      <c r="N2766" s="17"/>
      <c r="O2766" s="17" t="s">
        <v>5067</v>
      </c>
      <c r="P2766" s="17" t="s">
        <v>5081</v>
      </c>
      <c r="Q2766" s="17"/>
      <c r="R2766" s="25" t="str">
        <f>HYPERLINK("https://ictv.global/taxonomy/taxondetails?taxnode_id=202312292","Cheoctovirus joeyjr")</f>
        <v>Cheoctovirus joeyjr</v>
      </c>
      <c r="S2766" s="18" t="s">
        <v>30</v>
      </c>
      <c r="T2766" s="18" t="s">
        <v>5152</v>
      </c>
      <c r="U2766" s="18"/>
      <c r="V2766" s="18"/>
      <c r="W2766" s="18" t="s">
        <v>5153</v>
      </c>
      <c r="X2766" s="18" t="s">
        <v>42</v>
      </c>
      <c r="Y2766" s="18" t="s">
        <v>36</v>
      </c>
      <c r="Z2766" s="18" t="s">
        <v>697</v>
      </c>
      <c r="AA2766" s="21" t="str">
        <f>HYPERLINK("https://www.ncbi.nlm.nih.gov/nuccore/MH669005","NCBI Nucleotide")</f>
        <v>NCBI Nucleotide</v>
      </c>
    </row>
    <row r="2767" spans="1:27" x14ac:dyDescent="0.35">
      <c r="A2767">
        <v>1003829</v>
      </c>
      <c r="B2767">
        <v>2743</v>
      </c>
      <c r="C2767">
        <v>1</v>
      </c>
      <c r="D2767" s="17" t="s">
        <v>155</v>
      </c>
      <c r="E2767" s="17"/>
      <c r="F2767" s="17" t="s">
        <v>156</v>
      </c>
      <c r="G2767" s="17"/>
      <c r="H2767" s="17" t="s">
        <v>692</v>
      </c>
      <c r="I2767" s="17"/>
      <c r="J2767" s="17" t="s">
        <v>693</v>
      </c>
      <c r="K2767" s="17"/>
      <c r="L2767" s="17"/>
      <c r="M2767" s="17"/>
      <c r="N2767" s="17"/>
      <c r="O2767" s="17" t="s">
        <v>5067</v>
      </c>
      <c r="P2767" s="17" t="s">
        <v>5081</v>
      </c>
      <c r="Q2767" s="17"/>
      <c r="R2767" s="25" t="str">
        <f>HYPERLINK("https://ictv.global/taxonomy/taxondetails?taxnode_id=202312293","Cheoctovirus kersh")</f>
        <v>Cheoctovirus kersh</v>
      </c>
      <c r="S2767" s="18" t="s">
        <v>30</v>
      </c>
      <c r="T2767" s="18" t="s">
        <v>5154</v>
      </c>
      <c r="U2767" s="18"/>
      <c r="V2767" s="18"/>
      <c r="W2767" s="18" t="s">
        <v>5155</v>
      </c>
      <c r="X2767" s="18" t="s">
        <v>42</v>
      </c>
      <c r="Y2767" s="18" t="s">
        <v>36</v>
      </c>
      <c r="Z2767" s="18" t="s">
        <v>697</v>
      </c>
      <c r="AA2767" s="21" t="str">
        <f>HYPERLINK("https://www.ncbi.nlm.nih.gov/nuccore/KX610764","NCBI Nucleotide")</f>
        <v>NCBI Nucleotide</v>
      </c>
    </row>
    <row r="2768" spans="1:27" x14ac:dyDescent="0.35">
      <c r="A2768">
        <v>1003830</v>
      </c>
      <c r="B2768">
        <v>2744</v>
      </c>
      <c r="C2768">
        <v>1</v>
      </c>
      <c r="D2768" s="17" t="s">
        <v>155</v>
      </c>
      <c r="E2768" s="17"/>
      <c r="F2768" s="17" t="s">
        <v>156</v>
      </c>
      <c r="G2768" s="17"/>
      <c r="H2768" s="17" t="s">
        <v>692</v>
      </c>
      <c r="I2768" s="17"/>
      <c r="J2768" s="17" t="s">
        <v>693</v>
      </c>
      <c r="K2768" s="17"/>
      <c r="L2768" s="17"/>
      <c r="M2768" s="17"/>
      <c r="N2768" s="17"/>
      <c r="O2768" s="17" t="s">
        <v>5067</v>
      </c>
      <c r="P2768" s="17" t="s">
        <v>5081</v>
      </c>
      <c r="Q2768" s="17"/>
      <c r="R2768" s="25" t="str">
        <f>HYPERLINK("https://ictv.global/taxonomy/taxondetails?taxnode_id=202312294","Cheoctovirus kimberlium")</f>
        <v>Cheoctovirus kimberlium</v>
      </c>
      <c r="S2768" s="18" t="s">
        <v>30</v>
      </c>
      <c r="T2768" s="18" t="s">
        <v>5156</v>
      </c>
      <c r="U2768" s="18"/>
      <c r="V2768" s="18"/>
      <c r="W2768" s="18" t="s">
        <v>5157</v>
      </c>
      <c r="X2768" s="18" t="s">
        <v>42</v>
      </c>
      <c r="Y2768" s="18" t="s">
        <v>36</v>
      </c>
      <c r="Z2768" s="18" t="s">
        <v>697</v>
      </c>
      <c r="AA2768" s="21" t="str">
        <f>HYPERLINK("https://www.ncbi.nlm.nih.gov/nuccore/KR935214","NCBI Nucleotide")</f>
        <v>NCBI Nucleotide</v>
      </c>
    </row>
    <row r="2769" spans="1:27" x14ac:dyDescent="0.35">
      <c r="A2769">
        <v>1003831</v>
      </c>
      <c r="B2769">
        <v>2745</v>
      </c>
      <c r="C2769">
        <v>1</v>
      </c>
      <c r="D2769" s="17" t="s">
        <v>155</v>
      </c>
      <c r="E2769" s="17"/>
      <c r="F2769" s="17" t="s">
        <v>156</v>
      </c>
      <c r="G2769" s="17"/>
      <c r="H2769" s="17" t="s">
        <v>692</v>
      </c>
      <c r="I2769" s="17"/>
      <c r="J2769" s="17" t="s">
        <v>693</v>
      </c>
      <c r="K2769" s="17"/>
      <c r="L2769" s="17"/>
      <c r="M2769" s="17"/>
      <c r="N2769" s="17"/>
      <c r="O2769" s="17" t="s">
        <v>5067</v>
      </c>
      <c r="P2769" s="17" t="s">
        <v>5081</v>
      </c>
      <c r="Q2769" s="17"/>
      <c r="R2769" s="25" t="str">
        <f>HYPERLINK("https://ictv.global/taxonomy/taxondetails?taxnode_id=202312295","Cheoctovirus krakatau")</f>
        <v>Cheoctovirus krakatau</v>
      </c>
      <c r="S2769" s="18" t="s">
        <v>30</v>
      </c>
      <c r="T2769" s="18" t="s">
        <v>5158</v>
      </c>
      <c r="U2769" s="18"/>
      <c r="V2769" s="18"/>
      <c r="W2769" s="18" t="s">
        <v>5159</v>
      </c>
      <c r="X2769" s="18" t="s">
        <v>42</v>
      </c>
      <c r="Y2769" s="18" t="s">
        <v>36</v>
      </c>
      <c r="Z2769" s="18" t="s">
        <v>697</v>
      </c>
      <c r="AA2769" s="21" t="str">
        <f>HYPERLINK("https://www.ncbi.nlm.nih.gov/nuccore/MH590598","NCBI Nucleotide")</f>
        <v>NCBI Nucleotide</v>
      </c>
    </row>
    <row r="2770" spans="1:27" x14ac:dyDescent="0.35">
      <c r="A2770">
        <v>1003832</v>
      </c>
      <c r="B2770">
        <v>2746</v>
      </c>
      <c r="C2770">
        <v>1</v>
      </c>
      <c r="D2770" s="17" t="s">
        <v>155</v>
      </c>
      <c r="E2770" s="17"/>
      <c r="F2770" s="17" t="s">
        <v>156</v>
      </c>
      <c r="G2770" s="17"/>
      <c r="H2770" s="17" t="s">
        <v>692</v>
      </c>
      <c r="I2770" s="17"/>
      <c r="J2770" s="17" t="s">
        <v>693</v>
      </c>
      <c r="K2770" s="17"/>
      <c r="L2770" s="17"/>
      <c r="M2770" s="17"/>
      <c r="N2770" s="17"/>
      <c r="O2770" s="17" t="s">
        <v>5067</v>
      </c>
      <c r="P2770" s="17" t="s">
        <v>5081</v>
      </c>
      <c r="Q2770" s="17"/>
      <c r="R2770" s="25" t="str">
        <f>HYPERLINK("https://ictv.global/taxonomy/taxondetails?taxnode_id=202312296","Cheoctovirus kristaram")</f>
        <v>Cheoctovirus kristaram</v>
      </c>
      <c r="S2770" s="18" t="s">
        <v>30</v>
      </c>
      <c r="T2770" s="18" t="s">
        <v>5160</v>
      </c>
      <c r="U2770" s="18"/>
      <c r="V2770" s="18"/>
      <c r="W2770" s="18" t="s">
        <v>5161</v>
      </c>
      <c r="X2770" s="18" t="s">
        <v>42</v>
      </c>
      <c r="Y2770" s="18" t="s">
        <v>36</v>
      </c>
      <c r="Z2770" s="18" t="s">
        <v>697</v>
      </c>
      <c r="AA2770" s="21" t="str">
        <f>HYPERLINK("https://www.ncbi.nlm.nih.gov/nuccore/MH651178","NCBI Nucleotide")</f>
        <v>NCBI Nucleotide</v>
      </c>
    </row>
    <row r="2771" spans="1:27" x14ac:dyDescent="0.35">
      <c r="A2771">
        <v>1003833</v>
      </c>
      <c r="B2771">
        <v>2747</v>
      </c>
      <c r="C2771">
        <v>1</v>
      </c>
      <c r="D2771" s="17" t="s">
        <v>155</v>
      </c>
      <c r="E2771" s="17"/>
      <c r="F2771" s="17" t="s">
        <v>156</v>
      </c>
      <c r="G2771" s="17"/>
      <c r="H2771" s="17" t="s">
        <v>692</v>
      </c>
      <c r="I2771" s="17"/>
      <c r="J2771" s="17" t="s">
        <v>693</v>
      </c>
      <c r="K2771" s="17"/>
      <c r="L2771" s="17"/>
      <c r="M2771" s="17"/>
      <c r="N2771" s="17"/>
      <c r="O2771" s="17" t="s">
        <v>5067</v>
      </c>
      <c r="P2771" s="17" t="s">
        <v>5081</v>
      </c>
      <c r="Q2771" s="17"/>
      <c r="R2771" s="25" t="str">
        <f>HYPERLINK("https://ictv.global/taxonomy/taxondetails?taxnode_id=202312297","Cheoctovirus lilmoolah")</f>
        <v>Cheoctovirus lilmoolah</v>
      </c>
      <c r="S2771" s="18" t="s">
        <v>30</v>
      </c>
      <c r="T2771" s="18" t="s">
        <v>5162</v>
      </c>
      <c r="U2771" s="18"/>
      <c r="V2771" s="18"/>
      <c r="W2771" s="18" t="s">
        <v>5163</v>
      </c>
      <c r="X2771" s="18" t="s">
        <v>42</v>
      </c>
      <c r="Y2771" s="18" t="s">
        <v>36</v>
      </c>
      <c r="Z2771" s="18" t="s">
        <v>697</v>
      </c>
      <c r="AA2771" s="21" t="str">
        <f>HYPERLINK("https://www.ncbi.nlm.nih.gov/nuccore/MN586011","NCBI Nucleotide")</f>
        <v>NCBI Nucleotide</v>
      </c>
    </row>
    <row r="2772" spans="1:27" x14ac:dyDescent="0.35">
      <c r="A2772">
        <v>1003834</v>
      </c>
      <c r="B2772">
        <v>2748</v>
      </c>
      <c r="C2772">
        <v>1</v>
      </c>
      <c r="D2772" s="17" t="s">
        <v>155</v>
      </c>
      <c r="E2772" s="17"/>
      <c r="F2772" s="17" t="s">
        <v>156</v>
      </c>
      <c r="G2772" s="17"/>
      <c r="H2772" s="17" t="s">
        <v>692</v>
      </c>
      <c r="I2772" s="17"/>
      <c r="J2772" s="17" t="s">
        <v>693</v>
      </c>
      <c r="K2772" s="17"/>
      <c r="L2772" s="17"/>
      <c r="M2772" s="17"/>
      <c r="N2772" s="17"/>
      <c r="O2772" s="17" t="s">
        <v>5067</v>
      </c>
      <c r="P2772" s="17" t="s">
        <v>5081</v>
      </c>
      <c r="Q2772" s="17"/>
      <c r="R2772" s="25" t="str">
        <f>HYPERLINK("https://ictv.global/taxonomy/taxondetails?taxnode_id=202312298","Cheoctovirus lizziana")</f>
        <v>Cheoctovirus lizziana</v>
      </c>
      <c r="S2772" s="18" t="s">
        <v>30</v>
      </c>
      <c r="T2772" s="18" t="s">
        <v>5164</v>
      </c>
      <c r="U2772" s="18"/>
      <c r="V2772" s="18"/>
      <c r="W2772" s="18" t="s">
        <v>5165</v>
      </c>
      <c r="X2772" s="18" t="s">
        <v>42</v>
      </c>
      <c r="Y2772" s="18" t="s">
        <v>36</v>
      </c>
      <c r="Z2772" s="18" t="s">
        <v>697</v>
      </c>
      <c r="AA2772" s="21" t="str">
        <f>HYPERLINK("https://www.ncbi.nlm.nih.gov/nuccore/MH834617","NCBI Nucleotide")</f>
        <v>NCBI Nucleotide</v>
      </c>
    </row>
    <row r="2773" spans="1:27" x14ac:dyDescent="0.35">
      <c r="A2773">
        <v>1003835</v>
      </c>
      <c r="B2773">
        <v>2749</v>
      </c>
      <c r="C2773">
        <v>1</v>
      </c>
      <c r="D2773" s="17" t="s">
        <v>155</v>
      </c>
      <c r="E2773" s="17"/>
      <c r="F2773" s="17" t="s">
        <v>156</v>
      </c>
      <c r="G2773" s="17"/>
      <c r="H2773" s="17" t="s">
        <v>692</v>
      </c>
      <c r="I2773" s="17"/>
      <c r="J2773" s="17" t="s">
        <v>693</v>
      </c>
      <c r="K2773" s="17"/>
      <c r="L2773" s="17"/>
      <c r="M2773" s="17"/>
      <c r="N2773" s="17"/>
      <c r="O2773" s="17" t="s">
        <v>5067</v>
      </c>
      <c r="P2773" s="17" t="s">
        <v>5081</v>
      </c>
      <c r="Q2773" s="17"/>
      <c r="R2773" s="25" t="str">
        <f>HYPERLINK("https://ictv.global/taxonomy/taxondetails?taxnode_id=202312299","Cheoctovirus mahavrat")</f>
        <v>Cheoctovirus mahavrat</v>
      </c>
      <c r="S2773" s="18" t="s">
        <v>30</v>
      </c>
      <c r="T2773" s="18" t="s">
        <v>5166</v>
      </c>
      <c r="U2773" s="18"/>
      <c r="V2773" s="18"/>
      <c r="W2773" s="18" t="s">
        <v>5167</v>
      </c>
      <c r="X2773" s="18" t="s">
        <v>42</v>
      </c>
      <c r="Y2773" s="18" t="s">
        <v>36</v>
      </c>
      <c r="Z2773" s="18" t="s">
        <v>697</v>
      </c>
      <c r="AA2773" s="21" t="str">
        <f>HYPERLINK("https://www.ncbi.nlm.nih.gov/nuccore/MK967397","NCBI Nucleotide")</f>
        <v>NCBI Nucleotide</v>
      </c>
    </row>
    <row r="2774" spans="1:27" x14ac:dyDescent="0.35">
      <c r="A2774">
        <v>1003836</v>
      </c>
      <c r="B2774">
        <v>2750</v>
      </c>
      <c r="C2774">
        <v>1</v>
      </c>
      <c r="D2774" s="17" t="s">
        <v>155</v>
      </c>
      <c r="E2774" s="17"/>
      <c r="F2774" s="17" t="s">
        <v>156</v>
      </c>
      <c r="G2774" s="17"/>
      <c r="H2774" s="17" t="s">
        <v>692</v>
      </c>
      <c r="I2774" s="17"/>
      <c r="J2774" s="17" t="s">
        <v>693</v>
      </c>
      <c r="K2774" s="17"/>
      <c r="L2774" s="17"/>
      <c r="M2774" s="17"/>
      <c r="N2774" s="17"/>
      <c r="O2774" s="17" t="s">
        <v>5067</v>
      </c>
      <c r="P2774" s="17" t="s">
        <v>5081</v>
      </c>
      <c r="Q2774" s="17"/>
      <c r="R2774" s="25" t="str">
        <f>HYPERLINK("https://ictv.global/taxonomy/taxondetails?taxnode_id=202312300","Cheoctovirus mantra")</f>
        <v>Cheoctovirus mantra</v>
      </c>
      <c r="S2774" s="18" t="s">
        <v>30</v>
      </c>
      <c r="T2774" s="18" t="s">
        <v>5168</v>
      </c>
      <c r="U2774" s="18"/>
      <c r="V2774" s="18"/>
      <c r="W2774" s="18" t="s">
        <v>5169</v>
      </c>
      <c r="X2774" s="18" t="s">
        <v>42</v>
      </c>
      <c r="Y2774" s="18" t="s">
        <v>36</v>
      </c>
      <c r="Z2774" s="18" t="s">
        <v>697</v>
      </c>
      <c r="AA2774" s="21" t="str">
        <f>HYPERLINK("https://www.ncbi.nlm.nih.gov/nuccore/MH590596","NCBI Nucleotide")</f>
        <v>NCBI Nucleotide</v>
      </c>
    </row>
    <row r="2775" spans="1:27" x14ac:dyDescent="0.35">
      <c r="A2775">
        <v>1003837</v>
      </c>
      <c r="B2775">
        <v>2751</v>
      </c>
      <c r="C2775">
        <v>1</v>
      </c>
      <c r="D2775" s="17" t="s">
        <v>155</v>
      </c>
      <c r="E2775" s="17"/>
      <c r="F2775" s="17" t="s">
        <v>156</v>
      </c>
      <c r="G2775" s="17"/>
      <c r="H2775" s="17" t="s">
        <v>692</v>
      </c>
      <c r="I2775" s="17"/>
      <c r="J2775" s="17" t="s">
        <v>693</v>
      </c>
      <c r="K2775" s="17"/>
      <c r="L2775" s="17"/>
      <c r="M2775" s="17"/>
      <c r="N2775" s="17"/>
      <c r="O2775" s="17" t="s">
        <v>5067</v>
      </c>
      <c r="P2775" s="17" t="s">
        <v>5081</v>
      </c>
      <c r="Q2775" s="17"/>
      <c r="R2775" s="25" t="str">
        <f>HYPERLINK("https://ictv.global/taxonomy/taxondetails?taxnode_id=202312301","Cheoctovirus mattes")</f>
        <v>Cheoctovirus mattes</v>
      </c>
      <c r="S2775" s="18" t="s">
        <v>30</v>
      </c>
      <c r="T2775" s="18" t="s">
        <v>5170</v>
      </c>
      <c r="U2775" s="18"/>
      <c r="V2775" s="18"/>
      <c r="W2775" s="18" t="s">
        <v>5171</v>
      </c>
      <c r="X2775" s="18" t="s">
        <v>42</v>
      </c>
      <c r="Y2775" s="18" t="s">
        <v>36</v>
      </c>
      <c r="Z2775" s="18" t="s">
        <v>697</v>
      </c>
      <c r="AA2775" s="21" t="str">
        <f>HYPERLINK("https://www.ncbi.nlm.nih.gov/nuccore/MH155871","NCBI Nucleotide")</f>
        <v>NCBI Nucleotide</v>
      </c>
    </row>
    <row r="2776" spans="1:27" x14ac:dyDescent="0.35">
      <c r="A2776">
        <v>1003838</v>
      </c>
      <c r="B2776">
        <v>2752</v>
      </c>
      <c r="C2776">
        <v>1</v>
      </c>
      <c r="D2776" s="17" t="s">
        <v>155</v>
      </c>
      <c r="E2776" s="17"/>
      <c r="F2776" s="17" t="s">
        <v>156</v>
      </c>
      <c r="G2776" s="17"/>
      <c r="H2776" s="17" t="s">
        <v>692</v>
      </c>
      <c r="I2776" s="17"/>
      <c r="J2776" s="17" t="s">
        <v>693</v>
      </c>
      <c r="K2776" s="17"/>
      <c r="L2776" s="17"/>
      <c r="M2776" s="17"/>
      <c r="N2776" s="17"/>
      <c r="O2776" s="17" t="s">
        <v>5067</v>
      </c>
      <c r="P2776" s="17" t="s">
        <v>5081</v>
      </c>
      <c r="Q2776" s="17"/>
      <c r="R2776" s="25" t="str">
        <f>HYPERLINK("https://ictv.global/taxonomy/taxondetails?taxnode_id=202312302","Cheoctovirus melissauren88")</f>
        <v>Cheoctovirus melissauren88</v>
      </c>
      <c r="S2776" s="18" t="s">
        <v>30</v>
      </c>
      <c r="T2776" s="18" t="s">
        <v>5172</v>
      </c>
      <c r="U2776" s="18"/>
      <c r="V2776" s="18"/>
      <c r="W2776" s="18" t="s">
        <v>5173</v>
      </c>
      <c r="X2776" s="18" t="s">
        <v>42</v>
      </c>
      <c r="Y2776" s="18" t="s">
        <v>36</v>
      </c>
      <c r="Z2776" s="18" t="s">
        <v>697</v>
      </c>
      <c r="AA2776" s="21" t="str">
        <f>HYPERLINK("https://www.ncbi.nlm.nih.gov/nuccore/MH077580","NCBI Nucleotide")</f>
        <v>NCBI Nucleotide</v>
      </c>
    </row>
    <row r="2777" spans="1:27" x14ac:dyDescent="0.35">
      <c r="A2777">
        <v>1003839</v>
      </c>
      <c r="B2777">
        <v>2753</v>
      </c>
      <c r="C2777">
        <v>1</v>
      </c>
      <c r="D2777" s="17" t="s">
        <v>155</v>
      </c>
      <c r="E2777" s="17"/>
      <c r="F2777" s="17" t="s">
        <v>156</v>
      </c>
      <c r="G2777" s="17"/>
      <c r="H2777" s="17" t="s">
        <v>692</v>
      </c>
      <c r="I2777" s="17"/>
      <c r="J2777" s="17" t="s">
        <v>693</v>
      </c>
      <c r="K2777" s="17"/>
      <c r="L2777" s="17"/>
      <c r="M2777" s="17"/>
      <c r="N2777" s="17"/>
      <c r="O2777" s="17" t="s">
        <v>5067</v>
      </c>
      <c r="P2777" s="17" t="s">
        <v>5081</v>
      </c>
      <c r="Q2777" s="17"/>
      <c r="R2777" s="25" t="str">
        <f>HYPERLINK("https://ictv.global/taxonomy/taxondetails?taxnode_id=202312303","Cheoctovirus milleniumforce")</f>
        <v>Cheoctovirus milleniumforce</v>
      </c>
      <c r="S2777" s="18" t="s">
        <v>30</v>
      </c>
      <c r="T2777" s="18" t="s">
        <v>5174</v>
      </c>
      <c r="U2777" s="18"/>
      <c r="V2777" s="18"/>
      <c r="W2777" s="18" t="s">
        <v>5175</v>
      </c>
      <c r="X2777" s="18" t="s">
        <v>42</v>
      </c>
      <c r="Y2777" s="18" t="s">
        <v>36</v>
      </c>
      <c r="Z2777" s="18" t="s">
        <v>697</v>
      </c>
      <c r="AA2777" s="21" t="str">
        <f>HYPERLINK("https://www.ncbi.nlm.nih.gov/nuccore/MH825707","NCBI Nucleotide")</f>
        <v>NCBI Nucleotide</v>
      </c>
    </row>
    <row r="2778" spans="1:27" x14ac:dyDescent="0.35">
      <c r="A2778">
        <v>1003840</v>
      </c>
      <c r="B2778">
        <v>2754</v>
      </c>
      <c r="C2778">
        <v>1</v>
      </c>
      <c r="D2778" s="17" t="s">
        <v>155</v>
      </c>
      <c r="E2778" s="17"/>
      <c r="F2778" s="17" t="s">
        <v>156</v>
      </c>
      <c r="G2778" s="17"/>
      <c r="H2778" s="17" t="s">
        <v>692</v>
      </c>
      <c r="I2778" s="17"/>
      <c r="J2778" s="17" t="s">
        <v>693</v>
      </c>
      <c r="K2778" s="17"/>
      <c r="L2778" s="17"/>
      <c r="M2778" s="17"/>
      <c r="N2778" s="17"/>
      <c r="O2778" s="17" t="s">
        <v>5067</v>
      </c>
      <c r="P2778" s="17" t="s">
        <v>5081</v>
      </c>
      <c r="Q2778" s="17"/>
      <c r="R2778" s="25" t="str">
        <f>HYPERLINK("https://ictv.global/taxonomy/taxondetails?taxnode_id=202312304","Cheoctovirus miniondave")</f>
        <v>Cheoctovirus miniondave</v>
      </c>
      <c r="S2778" s="18" t="s">
        <v>30</v>
      </c>
      <c r="T2778" s="18" t="s">
        <v>5176</v>
      </c>
      <c r="U2778" s="18"/>
      <c r="V2778" s="18"/>
      <c r="W2778" s="18" t="s">
        <v>5177</v>
      </c>
      <c r="X2778" s="18" t="s">
        <v>42</v>
      </c>
      <c r="Y2778" s="18" t="s">
        <v>36</v>
      </c>
      <c r="Z2778" s="18" t="s">
        <v>697</v>
      </c>
      <c r="AA2778" s="21" t="str">
        <f>HYPERLINK("https://www.ncbi.nlm.nih.gov/nuccore/MN369749","NCBI Nucleotide")</f>
        <v>NCBI Nucleotide</v>
      </c>
    </row>
    <row r="2779" spans="1:27" x14ac:dyDescent="0.35">
      <c r="A2779">
        <v>1003841</v>
      </c>
      <c r="B2779">
        <v>2755</v>
      </c>
      <c r="C2779">
        <v>1</v>
      </c>
      <c r="D2779" s="17" t="s">
        <v>155</v>
      </c>
      <c r="E2779" s="17"/>
      <c r="F2779" s="17" t="s">
        <v>156</v>
      </c>
      <c r="G2779" s="17"/>
      <c r="H2779" s="17" t="s">
        <v>692</v>
      </c>
      <c r="I2779" s="17"/>
      <c r="J2779" s="17" t="s">
        <v>693</v>
      </c>
      <c r="K2779" s="17"/>
      <c r="L2779" s="17"/>
      <c r="M2779" s="17"/>
      <c r="N2779" s="17"/>
      <c r="O2779" s="17" t="s">
        <v>5067</v>
      </c>
      <c r="P2779" s="17" t="s">
        <v>5081</v>
      </c>
      <c r="Q2779" s="17"/>
      <c r="R2779" s="25" t="str">
        <f>HYPERLINK("https://ictv.global/taxonomy/taxondetails?taxnode_id=202312305","Cheoctovirus minnie")</f>
        <v>Cheoctovirus minnie</v>
      </c>
      <c r="S2779" s="18" t="s">
        <v>30</v>
      </c>
      <c r="T2779" s="18" t="s">
        <v>5178</v>
      </c>
      <c r="U2779" s="18"/>
      <c r="V2779" s="18"/>
      <c r="W2779" s="18" t="s">
        <v>5179</v>
      </c>
      <c r="X2779" s="18" t="s">
        <v>42</v>
      </c>
      <c r="Y2779" s="18" t="s">
        <v>36</v>
      </c>
      <c r="Z2779" s="18" t="s">
        <v>697</v>
      </c>
      <c r="AA2779" s="21" t="str">
        <f>HYPERLINK("https://www.ncbi.nlm.nih.gov/nuccore/MN369755","NCBI Nucleotide")</f>
        <v>NCBI Nucleotide</v>
      </c>
    </row>
    <row r="2780" spans="1:27" x14ac:dyDescent="0.35">
      <c r="A2780">
        <v>1003842</v>
      </c>
      <c r="B2780">
        <v>2756</v>
      </c>
      <c r="C2780">
        <v>1</v>
      </c>
      <c r="D2780" s="17" t="s">
        <v>155</v>
      </c>
      <c r="E2780" s="17"/>
      <c r="F2780" s="17" t="s">
        <v>156</v>
      </c>
      <c r="G2780" s="17"/>
      <c r="H2780" s="17" t="s">
        <v>692</v>
      </c>
      <c r="I2780" s="17"/>
      <c r="J2780" s="17" t="s">
        <v>693</v>
      </c>
      <c r="K2780" s="17"/>
      <c r="L2780" s="17"/>
      <c r="M2780" s="17"/>
      <c r="N2780" s="17"/>
      <c r="O2780" s="17" t="s">
        <v>5067</v>
      </c>
      <c r="P2780" s="17" t="s">
        <v>5081</v>
      </c>
      <c r="Q2780" s="17"/>
      <c r="R2780" s="25" t="str">
        <f>HYPERLINK("https://ictv.global/taxonomy/taxondetails?taxnode_id=202312306","Cheoctovirus moonbeam")</f>
        <v>Cheoctovirus moonbeam</v>
      </c>
      <c r="S2780" s="18" t="s">
        <v>30</v>
      </c>
      <c r="T2780" s="18" t="s">
        <v>5180</v>
      </c>
      <c r="U2780" s="18"/>
      <c r="V2780" s="18"/>
      <c r="W2780" s="18" t="s">
        <v>5181</v>
      </c>
      <c r="X2780" s="18" t="s">
        <v>42</v>
      </c>
      <c r="Y2780" s="18" t="s">
        <v>36</v>
      </c>
      <c r="Z2780" s="18" t="s">
        <v>697</v>
      </c>
      <c r="AA2780" s="21" t="str">
        <f>HYPERLINK("https://www.ncbi.nlm.nih.gov/nuccore/MT684593","NCBI Nucleotide")</f>
        <v>NCBI Nucleotide</v>
      </c>
    </row>
    <row r="2781" spans="1:27" x14ac:dyDescent="0.35">
      <c r="A2781">
        <v>1003843</v>
      </c>
      <c r="B2781">
        <v>2757</v>
      </c>
      <c r="C2781">
        <v>1</v>
      </c>
      <c r="D2781" s="17" t="s">
        <v>155</v>
      </c>
      <c r="E2781" s="17"/>
      <c r="F2781" s="17" t="s">
        <v>156</v>
      </c>
      <c r="G2781" s="17"/>
      <c r="H2781" s="17" t="s">
        <v>692</v>
      </c>
      <c r="I2781" s="17"/>
      <c r="J2781" s="17" t="s">
        <v>693</v>
      </c>
      <c r="K2781" s="17"/>
      <c r="L2781" s="17"/>
      <c r="M2781" s="17"/>
      <c r="N2781" s="17"/>
      <c r="O2781" s="17" t="s">
        <v>5067</v>
      </c>
      <c r="P2781" s="17" t="s">
        <v>5081</v>
      </c>
      <c r="Q2781" s="17"/>
      <c r="R2781" s="25" t="str">
        <f>HYPERLINK("https://ictv.global/taxonomy/taxondetails?taxnode_id=202312307","Cheoctovirus nitzel")</f>
        <v>Cheoctovirus nitzel</v>
      </c>
      <c r="S2781" s="18" t="s">
        <v>30</v>
      </c>
      <c r="T2781" s="18" t="s">
        <v>5182</v>
      </c>
      <c r="U2781" s="18"/>
      <c r="V2781" s="18"/>
      <c r="W2781" s="18" t="s">
        <v>5183</v>
      </c>
      <c r="X2781" s="18" t="s">
        <v>42</v>
      </c>
      <c r="Y2781" s="18" t="s">
        <v>36</v>
      </c>
      <c r="Z2781" s="18" t="s">
        <v>697</v>
      </c>
      <c r="AA2781" s="21" t="str">
        <f>HYPERLINK("https://www.ncbi.nlm.nih.gov/nuccore/MN310545","NCBI Nucleotide")</f>
        <v>NCBI Nucleotide</v>
      </c>
    </row>
    <row r="2782" spans="1:27" x14ac:dyDescent="0.35">
      <c r="A2782">
        <v>1003844</v>
      </c>
      <c r="B2782">
        <v>2758</v>
      </c>
      <c r="C2782">
        <v>1</v>
      </c>
      <c r="D2782" s="17" t="s">
        <v>155</v>
      </c>
      <c r="E2782" s="17"/>
      <c r="F2782" s="17" t="s">
        <v>156</v>
      </c>
      <c r="G2782" s="17"/>
      <c r="H2782" s="17" t="s">
        <v>692</v>
      </c>
      <c r="I2782" s="17"/>
      <c r="J2782" s="17" t="s">
        <v>693</v>
      </c>
      <c r="K2782" s="17"/>
      <c r="L2782" s="17"/>
      <c r="M2782" s="17"/>
      <c r="N2782" s="17"/>
      <c r="O2782" s="17" t="s">
        <v>5067</v>
      </c>
      <c r="P2782" s="17" t="s">
        <v>5081</v>
      </c>
      <c r="Q2782" s="17"/>
      <c r="R2782" s="25" t="str">
        <f>HYPERLINK("https://ictv.global/taxonomy/taxondetails?taxnode_id=202312308","Cheoctovirus nivrat")</f>
        <v>Cheoctovirus nivrat</v>
      </c>
      <c r="S2782" s="18" t="s">
        <v>30</v>
      </c>
      <c r="T2782" s="18" t="s">
        <v>5184</v>
      </c>
      <c r="U2782" s="18"/>
      <c r="V2782" s="18"/>
      <c r="W2782" s="18" t="s">
        <v>5185</v>
      </c>
      <c r="X2782" s="18" t="s">
        <v>42</v>
      </c>
      <c r="Y2782" s="18" t="s">
        <v>36</v>
      </c>
      <c r="Z2782" s="18" t="s">
        <v>697</v>
      </c>
      <c r="AA2782" s="21" t="str">
        <f>HYPERLINK("https://www.ncbi.nlm.nih.gov/nuccore/MH651183","NCBI Nucleotide")</f>
        <v>NCBI Nucleotide</v>
      </c>
    </row>
    <row r="2783" spans="1:27" x14ac:dyDescent="0.35">
      <c r="A2783">
        <v>1003845</v>
      </c>
      <c r="B2783">
        <v>2759</v>
      </c>
      <c r="C2783">
        <v>1</v>
      </c>
      <c r="D2783" s="17" t="s">
        <v>155</v>
      </c>
      <c r="E2783" s="17"/>
      <c r="F2783" s="17" t="s">
        <v>156</v>
      </c>
      <c r="G2783" s="17"/>
      <c r="H2783" s="17" t="s">
        <v>692</v>
      </c>
      <c r="I2783" s="17"/>
      <c r="J2783" s="17" t="s">
        <v>693</v>
      </c>
      <c r="K2783" s="17"/>
      <c r="L2783" s="17"/>
      <c r="M2783" s="17"/>
      <c r="N2783" s="17"/>
      <c r="O2783" s="17" t="s">
        <v>5067</v>
      </c>
      <c r="P2783" s="17" t="s">
        <v>5081</v>
      </c>
      <c r="Q2783" s="17"/>
      <c r="R2783" s="25" t="str">
        <f>HYPERLINK("https://ictv.global/taxonomy/taxondetails?taxnode_id=202312309","Cheoctovirus ochi17")</f>
        <v>Cheoctovirus ochi17</v>
      </c>
      <c r="S2783" s="18" t="s">
        <v>30</v>
      </c>
      <c r="T2783" s="18" t="s">
        <v>5186</v>
      </c>
      <c r="U2783" s="18"/>
      <c r="V2783" s="18"/>
      <c r="W2783" s="18" t="s">
        <v>5187</v>
      </c>
      <c r="X2783" s="18" t="s">
        <v>42</v>
      </c>
      <c r="Y2783" s="18" t="s">
        <v>36</v>
      </c>
      <c r="Z2783" s="18" t="s">
        <v>697</v>
      </c>
      <c r="AA2783" s="21" t="str">
        <f>HYPERLINK("https://www.ncbi.nlm.nih.gov/nuccore/MK359307","NCBI Nucleotide")</f>
        <v>NCBI Nucleotide</v>
      </c>
    </row>
    <row r="2784" spans="1:27" x14ac:dyDescent="0.35">
      <c r="A2784">
        <v>1003846</v>
      </c>
      <c r="B2784">
        <v>2760</v>
      </c>
      <c r="C2784">
        <v>1</v>
      </c>
      <c r="D2784" s="17" t="s">
        <v>155</v>
      </c>
      <c r="E2784" s="17"/>
      <c r="F2784" s="17" t="s">
        <v>156</v>
      </c>
      <c r="G2784" s="17"/>
      <c r="H2784" s="17" t="s">
        <v>692</v>
      </c>
      <c r="I2784" s="17"/>
      <c r="J2784" s="17" t="s">
        <v>693</v>
      </c>
      <c r="K2784" s="17"/>
      <c r="L2784" s="17"/>
      <c r="M2784" s="17"/>
      <c r="N2784" s="17"/>
      <c r="O2784" s="17" t="s">
        <v>5067</v>
      </c>
      <c r="P2784" s="17" t="s">
        <v>5081</v>
      </c>
      <c r="Q2784" s="17"/>
      <c r="R2784" s="25" t="str">
        <f>HYPERLINK("https://ictv.global/taxonomy/taxondetails?taxnode_id=202312310","Cheoctovirus oldben")</f>
        <v>Cheoctovirus oldben</v>
      </c>
      <c r="S2784" s="18" t="s">
        <v>30</v>
      </c>
      <c r="T2784" s="18" t="s">
        <v>5188</v>
      </c>
      <c r="U2784" s="18"/>
      <c r="V2784" s="18"/>
      <c r="W2784" s="18" t="s">
        <v>5189</v>
      </c>
      <c r="X2784" s="18" t="s">
        <v>42</v>
      </c>
      <c r="Y2784" s="18" t="s">
        <v>36</v>
      </c>
      <c r="Z2784" s="18" t="s">
        <v>697</v>
      </c>
      <c r="AA2784" s="21" t="str">
        <f>HYPERLINK("https://www.ncbi.nlm.nih.gov/nuccore/MG770213","NCBI Nucleotide")</f>
        <v>NCBI Nucleotide</v>
      </c>
    </row>
    <row r="2785" spans="1:27" x14ac:dyDescent="0.35">
      <c r="A2785">
        <v>1003847</v>
      </c>
      <c r="B2785">
        <v>2761</v>
      </c>
      <c r="C2785">
        <v>1</v>
      </c>
      <c r="D2785" s="17" t="s">
        <v>155</v>
      </c>
      <c r="E2785" s="17"/>
      <c r="F2785" s="17" t="s">
        <v>156</v>
      </c>
      <c r="G2785" s="17"/>
      <c r="H2785" s="17" t="s">
        <v>692</v>
      </c>
      <c r="I2785" s="17"/>
      <c r="J2785" s="17" t="s">
        <v>693</v>
      </c>
      <c r="K2785" s="17"/>
      <c r="L2785" s="17"/>
      <c r="M2785" s="17"/>
      <c r="N2785" s="17"/>
      <c r="O2785" s="17" t="s">
        <v>5067</v>
      </c>
      <c r="P2785" s="17" t="s">
        <v>5081</v>
      </c>
      <c r="Q2785" s="17"/>
      <c r="R2785" s="25" t="str">
        <f>HYPERLINK("https://ictv.global/taxonomy/taxondetails?taxnode_id=202312311","Cheoctovirus olympiasaint")</f>
        <v>Cheoctovirus olympiasaint</v>
      </c>
      <c r="S2785" s="18" t="s">
        <v>30</v>
      </c>
      <c r="T2785" s="18" t="s">
        <v>5190</v>
      </c>
      <c r="U2785" s="18"/>
      <c r="V2785" s="18"/>
      <c r="W2785" s="18" t="s">
        <v>5191</v>
      </c>
      <c r="X2785" s="18" t="s">
        <v>42</v>
      </c>
      <c r="Y2785" s="18" t="s">
        <v>36</v>
      </c>
      <c r="Z2785" s="18" t="s">
        <v>697</v>
      </c>
      <c r="AA2785" s="21" t="str">
        <f>HYPERLINK("https://www.ncbi.nlm.nih.gov/nuccore/MH371120","NCBI Nucleotide")</f>
        <v>NCBI Nucleotide</v>
      </c>
    </row>
    <row r="2786" spans="1:27" x14ac:dyDescent="0.35">
      <c r="A2786">
        <v>1003848</v>
      </c>
      <c r="B2786">
        <v>2762</v>
      </c>
      <c r="C2786">
        <v>1</v>
      </c>
      <c r="D2786" s="17" t="s">
        <v>155</v>
      </c>
      <c r="E2786" s="17"/>
      <c r="F2786" s="17" t="s">
        <v>156</v>
      </c>
      <c r="G2786" s="17"/>
      <c r="H2786" s="17" t="s">
        <v>692</v>
      </c>
      <c r="I2786" s="17"/>
      <c r="J2786" s="17" t="s">
        <v>693</v>
      </c>
      <c r="K2786" s="17"/>
      <c r="L2786" s="17"/>
      <c r="M2786" s="17"/>
      <c r="N2786" s="17"/>
      <c r="O2786" s="17" t="s">
        <v>5067</v>
      </c>
      <c r="P2786" s="17" t="s">
        <v>5081</v>
      </c>
      <c r="Q2786" s="17"/>
      <c r="R2786" s="25" t="str">
        <f>HYPERLINK("https://ictv.global/taxonomy/taxondetails?taxnode_id=202312312","Cheoctovirus ovechkin")</f>
        <v>Cheoctovirus ovechkin</v>
      </c>
      <c r="S2786" s="18" t="s">
        <v>30</v>
      </c>
      <c r="T2786" s="18" t="s">
        <v>5192</v>
      </c>
      <c r="U2786" s="18"/>
      <c r="V2786" s="18"/>
      <c r="W2786" s="18" t="s">
        <v>5193</v>
      </c>
      <c r="X2786" s="18" t="s">
        <v>42</v>
      </c>
      <c r="Y2786" s="18" t="s">
        <v>36</v>
      </c>
      <c r="Z2786" s="18" t="s">
        <v>697</v>
      </c>
      <c r="AA2786" s="21" t="str">
        <f>HYPERLINK("https://www.ncbi.nlm.nih.gov/nuccore/KR824843","NCBI Nucleotide")</f>
        <v>NCBI Nucleotide</v>
      </c>
    </row>
    <row r="2787" spans="1:27" x14ac:dyDescent="0.35">
      <c r="A2787">
        <v>1003849</v>
      </c>
      <c r="B2787">
        <v>2763</v>
      </c>
      <c r="C2787">
        <v>1</v>
      </c>
      <c r="D2787" s="17" t="s">
        <v>155</v>
      </c>
      <c r="E2787" s="17"/>
      <c r="F2787" s="17" t="s">
        <v>156</v>
      </c>
      <c r="G2787" s="17"/>
      <c r="H2787" s="17" t="s">
        <v>692</v>
      </c>
      <c r="I2787" s="17"/>
      <c r="J2787" s="17" t="s">
        <v>693</v>
      </c>
      <c r="K2787" s="17"/>
      <c r="L2787" s="17"/>
      <c r="M2787" s="17"/>
      <c r="N2787" s="17"/>
      <c r="O2787" s="17" t="s">
        <v>5067</v>
      </c>
      <c r="P2787" s="17" t="s">
        <v>5081</v>
      </c>
      <c r="Q2787" s="17"/>
      <c r="R2787" s="25" t="str">
        <f>HYPERLINK("https://ictv.global/taxonomy/taxondetails?taxnode_id=202312313","Cheoctovirus owlsT2W")</f>
        <v>Cheoctovirus owlsT2W</v>
      </c>
      <c r="S2787" s="18" t="s">
        <v>30</v>
      </c>
      <c r="T2787" s="18" t="s">
        <v>5194</v>
      </c>
      <c r="U2787" s="18"/>
      <c r="V2787" s="18"/>
      <c r="W2787" s="18" t="s">
        <v>5195</v>
      </c>
      <c r="X2787" s="18" t="s">
        <v>42</v>
      </c>
      <c r="Y2787" s="18" t="s">
        <v>36</v>
      </c>
      <c r="Z2787" s="18" t="s">
        <v>697</v>
      </c>
      <c r="AA2787" s="21" t="str">
        <f>HYPERLINK("https://www.ncbi.nlm.nih.gov/nuccore/MH051257","NCBI Nucleotide")</f>
        <v>NCBI Nucleotide</v>
      </c>
    </row>
    <row r="2788" spans="1:27" x14ac:dyDescent="0.35">
      <c r="A2788">
        <v>1003850</v>
      </c>
      <c r="B2788">
        <v>2764</v>
      </c>
      <c r="C2788">
        <v>1</v>
      </c>
      <c r="D2788" s="17" t="s">
        <v>155</v>
      </c>
      <c r="E2788" s="17"/>
      <c r="F2788" s="17" t="s">
        <v>156</v>
      </c>
      <c r="G2788" s="17"/>
      <c r="H2788" s="17" t="s">
        <v>692</v>
      </c>
      <c r="I2788" s="17"/>
      <c r="J2788" s="17" t="s">
        <v>693</v>
      </c>
      <c r="K2788" s="17"/>
      <c r="L2788" s="17"/>
      <c r="M2788" s="17"/>
      <c r="N2788" s="17"/>
      <c r="O2788" s="17" t="s">
        <v>5067</v>
      </c>
      <c r="P2788" s="17" t="s">
        <v>5081</v>
      </c>
      <c r="Q2788" s="17"/>
      <c r="R2788" s="25" t="str">
        <f>HYPERLINK("https://ictv.global/taxonomy/taxondetails?taxnode_id=202312314","Cheoctovirus phasih")</f>
        <v>Cheoctovirus phasih</v>
      </c>
      <c r="S2788" s="18" t="s">
        <v>30</v>
      </c>
      <c r="T2788" s="18" t="s">
        <v>5196</v>
      </c>
      <c r="U2788" s="18"/>
      <c r="V2788" s="18"/>
      <c r="W2788" s="18" t="s">
        <v>5197</v>
      </c>
      <c r="X2788" s="18" t="s">
        <v>42</v>
      </c>
      <c r="Y2788" s="18" t="s">
        <v>36</v>
      </c>
      <c r="Z2788" s="18" t="s">
        <v>697</v>
      </c>
      <c r="AA2788" s="21" t="str">
        <f>HYPERLINK("https://www.ncbi.nlm.nih.gov/nuccore/MF919526","NCBI Nucleotide")</f>
        <v>NCBI Nucleotide</v>
      </c>
    </row>
    <row r="2789" spans="1:27" x14ac:dyDescent="0.35">
      <c r="A2789">
        <v>1003851</v>
      </c>
      <c r="B2789">
        <v>2765</v>
      </c>
      <c r="C2789">
        <v>1</v>
      </c>
      <c r="D2789" s="17" t="s">
        <v>155</v>
      </c>
      <c r="E2789" s="17"/>
      <c r="F2789" s="17" t="s">
        <v>156</v>
      </c>
      <c r="G2789" s="17"/>
      <c r="H2789" s="17" t="s">
        <v>692</v>
      </c>
      <c r="I2789" s="17"/>
      <c r="J2789" s="17" t="s">
        <v>693</v>
      </c>
      <c r="K2789" s="17"/>
      <c r="L2789" s="17"/>
      <c r="M2789" s="17"/>
      <c r="N2789" s="17"/>
      <c r="O2789" s="17" t="s">
        <v>5067</v>
      </c>
      <c r="P2789" s="17" t="s">
        <v>5081</v>
      </c>
      <c r="Q2789" s="17"/>
      <c r="R2789" s="25" t="str">
        <f>HYPERLINK("https://ictv.global/taxonomy/taxondetails?taxnode_id=202312315","Cheoctovirus phatniss")</f>
        <v>Cheoctovirus phatniss</v>
      </c>
      <c r="S2789" s="18" t="s">
        <v>30</v>
      </c>
      <c r="T2789" s="18" t="s">
        <v>5198</v>
      </c>
      <c r="U2789" s="18"/>
      <c r="V2789" s="18"/>
      <c r="W2789" s="18" t="s">
        <v>5199</v>
      </c>
      <c r="X2789" s="18" t="s">
        <v>42</v>
      </c>
      <c r="Y2789" s="18" t="s">
        <v>36</v>
      </c>
      <c r="Z2789" s="18" t="s">
        <v>697</v>
      </c>
      <c r="AA2789" s="21" t="str">
        <f>HYPERLINK("https://www.ncbi.nlm.nih.gov/nuccore/KT279576","NCBI Nucleotide")</f>
        <v>NCBI Nucleotide</v>
      </c>
    </row>
    <row r="2790" spans="1:27" x14ac:dyDescent="0.35">
      <c r="A2790">
        <v>1003852</v>
      </c>
      <c r="B2790">
        <v>2766</v>
      </c>
      <c r="C2790">
        <v>1</v>
      </c>
      <c r="D2790" s="17" t="s">
        <v>155</v>
      </c>
      <c r="E2790" s="17"/>
      <c r="F2790" s="17" t="s">
        <v>156</v>
      </c>
      <c r="G2790" s="17"/>
      <c r="H2790" s="17" t="s">
        <v>692</v>
      </c>
      <c r="I2790" s="17"/>
      <c r="J2790" s="17" t="s">
        <v>693</v>
      </c>
      <c r="K2790" s="17"/>
      <c r="L2790" s="17"/>
      <c r="M2790" s="17"/>
      <c r="N2790" s="17"/>
      <c r="O2790" s="17" t="s">
        <v>5067</v>
      </c>
      <c r="P2790" s="17" t="s">
        <v>5081</v>
      </c>
      <c r="Q2790" s="17"/>
      <c r="R2790" s="25" t="str">
        <f>HYPERLINK("https://ictv.global/taxonomy/taxondetails?taxnode_id=202312316","Cheoctovirus plumbus")</f>
        <v>Cheoctovirus plumbus</v>
      </c>
      <c r="S2790" s="18" t="s">
        <v>30</v>
      </c>
      <c r="T2790" s="18" t="s">
        <v>5200</v>
      </c>
      <c r="U2790" s="18"/>
      <c r="V2790" s="18"/>
      <c r="W2790" s="18" t="s">
        <v>5201</v>
      </c>
      <c r="X2790" s="18" t="s">
        <v>42</v>
      </c>
      <c r="Y2790" s="18" t="s">
        <v>36</v>
      </c>
      <c r="Z2790" s="18" t="s">
        <v>697</v>
      </c>
      <c r="AA2790" s="21" t="str">
        <f>HYPERLINK("https://www.ncbi.nlm.nih.gov/nuccore/MW055915","NCBI Nucleotide")</f>
        <v>NCBI Nucleotide</v>
      </c>
    </row>
    <row r="2791" spans="1:27" x14ac:dyDescent="0.35">
      <c r="A2791">
        <v>1003853</v>
      </c>
      <c r="B2791">
        <v>2767</v>
      </c>
      <c r="C2791">
        <v>1</v>
      </c>
      <c r="D2791" s="17" t="s">
        <v>155</v>
      </c>
      <c r="E2791" s="17"/>
      <c r="F2791" s="17" t="s">
        <v>156</v>
      </c>
      <c r="G2791" s="17"/>
      <c r="H2791" s="17" t="s">
        <v>692</v>
      </c>
      <c r="I2791" s="17"/>
      <c r="J2791" s="17" t="s">
        <v>693</v>
      </c>
      <c r="K2791" s="17"/>
      <c r="L2791" s="17"/>
      <c r="M2791" s="17"/>
      <c r="N2791" s="17"/>
      <c r="O2791" s="17" t="s">
        <v>5067</v>
      </c>
      <c r="P2791" s="17" t="s">
        <v>5081</v>
      </c>
      <c r="Q2791" s="17"/>
      <c r="R2791" s="25" t="str">
        <f>HYPERLINK("https://ictv.global/taxonomy/taxondetails?taxnode_id=202312317","Cheoctovirus poenanya")</f>
        <v>Cheoctovirus poenanya</v>
      </c>
      <c r="S2791" s="18" t="s">
        <v>30</v>
      </c>
      <c r="T2791" s="18" t="s">
        <v>5202</v>
      </c>
      <c r="U2791" s="18"/>
      <c r="V2791" s="18"/>
      <c r="W2791" s="18" t="s">
        <v>5203</v>
      </c>
      <c r="X2791" s="18" t="s">
        <v>42</v>
      </c>
      <c r="Y2791" s="18" t="s">
        <v>36</v>
      </c>
      <c r="Z2791" s="18" t="s">
        <v>697</v>
      </c>
      <c r="AA2791" s="21" t="str">
        <f>HYPERLINK("https://www.ncbi.nlm.nih.gov/nuccore/MK305886","NCBI Nucleotide")</f>
        <v>NCBI Nucleotide</v>
      </c>
    </row>
    <row r="2792" spans="1:27" x14ac:dyDescent="0.35">
      <c r="A2792">
        <v>1003854</v>
      </c>
      <c r="B2792">
        <v>2768</v>
      </c>
      <c r="C2792">
        <v>1</v>
      </c>
      <c r="D2792" s="17" t="s">
        <v>155</v>
      </c>
      <c r="E2792" s="17"/>
      <c r="F2792" s="17" t="s">
        <v>156</v>
      </c>
      <c r="G2792" s="17"/>
      <c r="H2792" s="17" t="s">
        <v>692</v>
      </c>
      <c r="I2792" s="17"/>
      <c r="J2792" s="17" t="s">
        <v>693</v>
      </c>
      <c r="K2792" s="17"/>
      <c r="L2792" s="17"/>
      <c r="M2792" s="17"/>
      <c r="N2792" s="17"/>
      <c r="O2792" s="17" t="s">
        <v>5067</v>
      </c>
      <c r="P2792" s="17" t="s">
        <v>5081</v>
      </c>
      <c r="Q2792" s="17"/>
      <c r="R2792" s="25" t="str">
        <f>HYPERLINK("https://ictv.global/taxonomy/taxondetails?taxnode_id=202312318","Cheoctovirus polka14")</f>
        <v>Cheoctovirus polka14</v>
      </c>
      <c r="S2792" s="18" t="s">
        <v>30</v>
      </c>
      <c r="T2792" s="18" t="s">
        <v>5204</v>
      </c>
      <c r="U2792" s="18"/>
      <c r="V2792" s="18"/>
      <c r="W2792" s="18" t="s">
        <v>5205</v>
      </c>
      <c r="X2792" s="18" t="s">
        <v>42</v>
      </c>
      <c r="Y2792" s="18" t="s">
        <v>36</v>
      </c>
      <c r="Z2792" s="18" t="s">
        <v>697</v>
      </c>
      <c r="AA2792" s="21" t="str">
        <f>HYPERLINK("https://www.ncbi.nlm.nih.gov/nuccore/MK875792","NCBI Nucleotide")</f>
        <v>NCBI Nucleotide</v>
      </c>
    </row>
    <row r="2793" spans="1:27" x14ac:dyDescent="0.35">
      <c r="A2793">
        <v>1003855</v>
      </c>
      <c r="B2793">
        <v>2769</v>
      </c>
      <c r="C2793">
        <v>1</v>
      </c>
      <c r="D2793" s="17" t="s">
        <v>155</v>
      </c>
      <c r="E2793" s="17"/>
      <c r="F2793" s="17" t="s">
        <v>156</v>
      </c>
      <c r="G2793" s="17"/>
      <c r="H2793" s="17" t="s">
        <v>692</v>
      </c>
      <c r="I2793" s="17"/>
      <c r="J2793" s="17" t="s">
        <v>693</v>
      </c>
      <c r="K2793" s="17"/>
      <c r="L2793" s="17"/>
      <c r="M2793" s="17"/>
      <c r="N2793" s="17"/>
      <c r="O2793" s="17" t="s">
        <v>5067</v>
      </c>
      <c r="P2793" s="17" t="s">
        <v>5081</v>
      </c>
      <c r="Q2793" s="17"/>
      <c r="R2793" s="25" t="str">
        <f>HYPERLINK("https://ictv.global/taxonomy/taxondetails?taxnode_id=202312319","Cheoctovirus poptart")</f>
        <v>Cheoctovirus poptart</v>
      </c>
      <c r="S2793" s="18" t="s">
        <v>30</v>
      </c>
      <c r="T2793" s="18" t="s">
        <v>5206</v>
      </c>
      <c r="U2793" s="18"/>
      <c r="V2793" s="18"/>
      <c r="W2793" s="18" t="s">
        <v>5207</v>
      </c>
      <c r="X2793" s="18" t="s">
        <v>42</v>
      </c>
      <c r="Y2793" s="18" t="s">
        <v>36</v>
      </c>
      <c r="Z2793" s="18" t="s">
        <v>697</v>
      </c>
      <c r="AA2793" s="21" t="str">
        <f>HYPERLINK("https://www.ncbi.nlm.nih.gov/nuccore/KT281792","NCBI Nucleotide")</f>
        <v>NCBI Nucleotide</v>
      </c>
    </row>
    <row r="2794" spans="1:27" x14ac:dyDescent="0.35">
      <c r="A2794">
        <v>1003856</v>
      </c>
      <c r="B2794">
        <v>2770</v>
      </c>
      <c r="C2794">
        <v>1</v>
      </c>
      <c r="D2794" s="17" t="s">
        <v>155</v>
      </c>
      <c r="E2794" s="17"/>
      <c r="F2794" s="17" t="s">
        <v>156</v>
      </c>
      <c r="G2794" s="17"/>
      <c r="H2794" s="17" t="s">
        <v>692</v>
      </c>
      <c r="I2794" s="17"/>
      <c r="J2794" s="17" t="s">
        <v>693</v>
      </c>
      <c r="K2794" s="17"/>
      <c r="L2794" s="17"/>
      <c r="M2794" s="17"/>
      <c r="N2794" s="17"/>
      <c r="O2794" s="17" t="s">
        <v>5067</v>
      </c>
      <c r="P2794" s="17" t="s">
        <v>5081</v>
      </c>
      <c r="Q2794" s="17"/>
      <c r="R2794" s="25" t="str">
        <f>HYPERLINK("https://ictv.global/taxonomy/taxondetails?taxnode_id=202312320","Cheoctovirus priscilla")</f>
        <v>Cheoctovirus priscilla</v>
      </c>
      <c r="S2794" s="18" t="s">
        <v>30</v>
      </c>
      <c r="T2794" s="18" t="s">
        <v>5208</v>
      </c>
      <c r="U2794" s="18"/>
      <c r="V2794" s="18"/>
      <c r="W2794" s="18" t="s">
        <v>5209</v>
      </c>
      <c r="X2794" s="18" t="s">
        <v>42</v>
      </c>
      <c r="Y2794" s="18" t="s">
        <v>36</v>
      </c>
      <c r="Z2794" s="18" t="s">
        <v>697</v>
      </c>
      <c r="AA2794" s="21" t="str">
        <f>HYPERLINK("https://www.ncbi.nlm.nih.gov/nuccore/MG872841","NCBI Nucleotide")</f>
        <v>NCBI Nucleotide</v>
      </c>
    </row>
    <row r="2795" spans="1:27" x14ac:dyDescent="0.35">
      <c r="A2795">
        <v>1003857</v>
      </c>
      <c r="B2795">
        <v>2771</v>
      </c>
      <c r="C2795">
        <v>1</v>
      </c>
      <c r="D2795" s="17" t="s">
        <v>155</v>
      </c>
      <c r="E2795" s="17"/>
      <c r="F2795" s="17" t="s">
        <v>156</v>
      </c>
      <c r="G2795" s="17"/>
      <c r="H2795" s="17" t="s">
        <v>692</v>
      </c>
      <c r="I2795" s="17"/>
      <c r="J2795" s="17" t="s">
        <v>693</v>
      </c>
      <c r="K2795" s="17"/>
      <c r="L2795" s="17"/>
      <c r="M2795" s="17"/>
      <c r="N2795" s="17"/>
      <c r="O2795" s="17" t="s">
        <v>5067</v>
      </c>
      <c r="P2795" s="17" t="s">
        <v>5081</v>
      </c>
      <c r="Q2795" s="17"/>
      <c r="R2795" s="25" t="str">
        <f>HYPERLINK("https://ictv.global/taxonomy/taxondetails?taxnode_id=202312321","Cheoctovirus quickmath")</f>
        <v>Cheoctovirus quickmath</v>
      </c>
      <c r="S2795" s="18" t="s">
        <v>30</v>
      </c>
      <c r="T2795" s="18" t="s">
        <v>5210</v>
      </c>
      <c r="U2795" s="18"/>
      <c r="V2795" s="18"/>
      <c r="W2795" s="18" t="s">
        <v>5211</v>
      </c>
      <c r="X2795" s="18" t="s">
        <v>42</v>
      </c>
      <c r="Y2795" s="18" t="s">
        <v>36</v>
      </c>
      <c r="Z2795" s="18" t="s">
        <v>697</v>
      </c>
      <c r="AA2795" s="21" t="str">
        <f>HYPERLINK("https://www.ncbi.nlm.nih.gov/nuccore/MH669012","NCBI Nucleotide")</f>
        <v>NCBI Nucleotide</v>
      </c>
    </row>
    <row r="2796" spans="1:27" x14ac:dyDescent="0.35">
      <c r="A2796">
        <v>1003858</v>
      </c>
      <c r="B2796">
        <v>2772</v>
      </c>
      <c r="C2796">
        <v>1</v>
      </c>
      <c r="D2796" s="17" t="s">
        <v>155</v>
      </c>
      <c r="E2796" s="17"/>
      <c r="F2796" s="17" t="s">
        <v>156</v>
      </c>
      <c r="G2796" s="17"/>
      <c r="H2796" s="17" t="s">
        <v>692</v>
      </c>
      <c r="I2796" s="17"/>
      <c r="J2796" s="17" t="s">
        <v>693</v>
      </c>
      <c r="K2796" s="17"/>
      <c r="L2796" s="17"/>
      <c r="M2796" s="17"/>
      <c r="N2796" s="17"/>
      <c r="O2796" s="17" t="s">
        <v>5067</v>
      </c>
      <c r="P2796" s="17" t="s">
        <v>5081</v>
      </c>
      <c r="Q2796" s="17"/>
      <c r="R2796" s="25" t="str">
        <f>HYPERLINK("https://ictv.global/taxonomy/taxondetails?taxnode_id=202312322","Cheoctovirus ritaG")</f>
        <v>Cheoctovirus ritaG</v>
      </c>
      <c r="S2796" s="18" t="s">
        <v>30</v>
      </c>
      <c r="T2796" s="18" t="s">
        <v>5212</v>
      </c>
      <c r="U2796" s="18"/>
      <c r="V2796" s="18"/>
      <c r="W2796" s="18" t="s">
        <v>5213</v>
      </c>
      <c r="X2796" s="18" t="s">
        <v>42</v>
      </c>
      <c r="Y2796" s="18" t="s">
        <v>36</v>
      </c>
      <c r="Z2796" s="18" t="s">
        <v>697</v>
      </c>
      <c r="AA2796" s="21" t="str">
        <f>HYPERLINK("https://www.ncbi.nlm.nih.gov/nuccore/MF668281","NCBI Nucleotide")</f>
        <v>NCBI Nucleotide</v>
      </c>
    </row>
    <row r="2797" spans="1:27" x14ac:dyDescent="0.35">
      <c r="A2797">
        <v>1003859</v>
      </c>
      <c r="B2797">
        <v>2773</v>
      </c>
      <c r="C2797">
        <v>1</v>
      </c>
      <c r="D2797" s="17" t="s">
        <v>155</v>
      </c>
      <c r="E2797" s="17"/>
      <c r="F2797" s="17" t="s">
        <v>156</v>
      </c>
      <c r="G2797" s="17"/>
      <c r="H2797" s="17" t="s">
        <v>692</v>
      </c>
      <c r="I2797" s="17"/>
      <c r="J2797" s="17" t="s">
        <v>693</v>
      </c>
      <c r="K2797" s="17"/>
      <c r="L2797" s="17"/>
      <c r="M2797" s="17"/>
      <c r="N2797" s="17"/>
      <c r="O2797" s="17" t="s">
        <v>5067</v>
      </c>
      <c r="P2797" s="17" t="s">
        <v>5081</v>
      </c>
      <c r="Q2797" s="17"/>
      <c r="R2797" s="25" t="str">
        <f>HYPERLINK("https://ictv.global/taxonomy/taxondetails?taxnode_id=202312323","Cheoctovirus royals2015")</f>
        <v>Cheoctovirus royals2015</v>
      </c>
      <c r="S2797" s="18" t="s">
        <v>30</v>
      </c>
      <c r="T2797" s="18" t="s">
        <v>5214</v>
      </c>
      <c r="U2797" s="18"/>
      <c r="V2797" s="18"/>
      <c r="W2797" s="18" t="s">
        <v>5215</v>
      </c>
      <c r="X2797" s="18" t="s">
        <v>42</v>
      </c>
      <c r="Y2797" s="18" t="s">
        <v>36</v>
      </c>
      <c r="Z2797" s="18" t="s">
        <v>697</v>
      </c>
      <c r="AA2797" s="21" t="str">
        <f>HYPERLINK("https://www.ncbi.nlm.nih.gov/nuccore/MT897904","NCBI Nucleotide")</f>
        <v>NCBI Nucleotide</v>
      </c>
    </row>
    <row r="2798" spans="1:27" x14ac:dyDescent="0.35">
      <c r="A2798">
        <v>1003860</v>
      </c>
      <c r="B2798">
        <v>2774</v>
      </c>
      <c r="C2798">
        <v>1</v>
      </c>
      <c r="D2798" s="17" t="s">
        <v>155</v>
      </c>
      <c r="E2798" s="17"/>
      <c r="F2798" s="17" t="s">
        <v>156</v>
      </c>
      <c r="G2798" s="17"/>
      <c r="H2798" s="17" t="s">
        <v>692</v>
      </c>
      <c r="I2798" s="17"/>
      <c r="J2798" s="17" t="s">
        <v>693</v>
      </c>
      <c r="K2798" s="17"/>
      <c r="L2798" s="17"/>
      <c r="M2798" s="17"/>
      <c r="N2798" s="17"/>
      <c r="O2798" s="17" t="s">
        <v>5067</v>
      </c>
      <c r="P2798" s="17" t="s">
        <v>5081</v>
      </c>
      <c r="Q2798" s="17"/>
      <c r="R2798" s="25" t="str">
        <f>HYPERLINK("https://ictv.global/taxonomy/taxondetails?taxnode_id=202312324","Cheoctovirus saal")</f>
        <v>Cheoctovirus saal</v>
      </c>
      <c r="S2798" s="18" t="s">
        <v>30</v>
      </c>
      <c r="T2798" s="18" t="s">
        <v>5216</v>
      </c>
      <c r="U2798" s="18"/>
      <c r="V2798" s="18"/>
      <c r="W2798" s="18" t="s">
        <v>5217</v>
      </c>
      <c r="X2798" s="18" t="s">
        <v>42</v>
      </c>
      <c r="Y2798" s="18" t="s">
        <v>36</v>
      </c>
      <c r="Z2798" s="18" t="s">
        <v>697</v>
      </c>
      <c r="AA2798" s="21" t="str">
        <f>HYPERLINK("https://www.ncbi.nlm.nih.gov/nuccore/KJ025956","NCBI Nucleotide")</f>
        <v>NCBI Nucleotide</v>
      </c>
    </row>
    <row r="2799" spans="1:27" x14ac:dyDescent="0.35">
      <c r="A2799">
        <v>1003861</v>
      </c>
      <c r="B2799">
        <v>2775</v>
      </c>
      <c r="C2799">
        <v>1</v>
      </c>
      <c r="D2799" s="17" t="s">
        <v>155</v>
      </c>
      <c r="E2799" s="17"/>
      <c r="F2799" s="17" t="s">
        <v>156</v>
      </c>
      <c r="G2799" s="17"/>
      <c r="H2799" s="17" t="s">
        <v>692</v>
      </c>
      <c r="I2799" s="17"/>
      <c r="J2799" s="17" t="s">
        <v>693</v>
      </c>
      <c r="K2799" s="17"/>
      <c r="L2799" s="17"/>
      <c r="M2799" s="17"/>
      <c r="N2799" s="17"/>
      <c r="O2799" s="17" t="s">
        <v>5067</v>
      </c>
      <c r="P2799" s="17" t="s">
        <v>5081</v>
      </c>
      <c r="Q2799" s="17"/>
      <c r="R2799" s="25" t="str">
        <f>HYPERLINK("https://ictv.global/taxonomy/taxondetails?taxnode_id=202312325","Cheoctovirus sandalphon")</f>
        <v>Cheoctovirus sandalphon</v>
      </c>
      <c r="S2799" s="18" t="s">
        <v>30</v>
      </c>
      <c r="T2799" s="18" t="s">
        <v>5218</v>
      </c>
      <c r="U2799" s="18"/>
      <c r="V2799" s="18"/>
      <c r="W2799" s="18" t="s">
        <v>5219</v>
      </c>
      <c r="X2799" s="18" t="s">
        <v>42</v>
      </c>
      <c r="Y2799" s="18" t="s">
        <v>36</v>
      </c>
      <c r="Z2799" s="18" t="s">
        <v>697</v>
      </c>
      <c r="AA2799" s="21" t="str">
        <f>HYPERLINK("https://www.ncbi.nlm.nih.gov/nuccore/MH371123","NCBI Nucleotide")</f>
        <v>NCBI Nucleotide</v>
      </c>
    </row>
    <row r="2800" spans="1:27" x14ac:dyDescent="0.35">
      <c r="A2800">
        <v>1003862</v>
      </c>
      <c r="B2800">
        <v>2776</v>
      </c>
      <c r="C2800">
        <v>1</v>
      </c>
      <c r="D2800" s="17" t="s">
        <v>155</v>
      </c>
      <c r="E2800" s="17"/>
      <c r="F2800" s="17" t="s">
        <v>156</v>
      </c>
      <c r="G2800" s="17"/>
      <c r="H2800" s="17" t="s">
        <v>692</v>
      </c>
      <c r="I2800" s="17"/>
      <c r="J2800" s="17" t="s">
        <v>693</v>
      </c>
      <c r="K2800" s="17"/>
      <c r="L2800" s="17"/>
      <c r="M2800" s="17"/>
      <c r="N2800" s="17"/>
      <c r="O2800" s="17" t="s">
        <v>5067</v>
      </c>
      <c r="P2800" s="17" t="s">
        <v>5081</v>
      </c>
      <c r="Q2800" s="17"/>
      <c r="R2800" s="25" t="str">
        <f>HYPERLINK("https://ictv.global/taxonomy/taxondetails?taxnode_id=202312326","Cheoctovirus sisi")</f>
        <v>Cheoctovirus sisi</v>
      </c>
      <c r="S2800" s="18" t="s">
        <v>30</v>
      </c>
      <c r="T2800" s="18" t="s">
        <v>5220</v>
      </c>
      <c r="U2800" s="18"/>
      <c r="V2800" s="18"/>
      <c r="W2800" s="18" t="s">
        <v>5221</v>
      </c>
      <c r="X2800" s="18" t="s">
        <v>42</v>
      </c>
      <c r="Y2800" s="18" t="s">
        <v>36</v>
      </c>
      <c r="Z2800" s="18" t="s">
        <v>697</v>
      </c>
      <c r="AA2800" s="21" t="str">
        <f>HYPERLINK("https://www.ncbi.nlm.nih.gov/nuccore/KC661278","NCBI Nucleotide")</f>
        <v>NCBI Nucleotide</v>
      </c>
    </row>
    <row r="2801" spans="1:27" x14ac:dyDescent="0.35">
      <c r="A2801">
        <v>1003863</v>
      </c>
      <c r="B2801">
        <v>2777</v>
      </c>
      <c r="C2801">
        <v>1</v>
      </c>
      <c r="D2801" s="17" t="s">
        <v>155</v>
      </c>
      <c r="E2801" s="17"/>
      <c r="F2801" s="17" t="s">
        <v>156</v>
      </c>
      <c r="G2801" s="17"/>
      <c r="H2801" s="17" t="s">
        <v>692</v>
      </c>
      <c r="I2801" s="17"/>
      <c r="J2801" s="17" t="s">
        <v>693</v>
      </c>
      <c r="K2801" s="17"/>
      <c r="L2801" s="17"/>
      <c r="M2801" s="17"/>
      <c r="N2801" s="17"/>
      <c r="O2801" s="17" t="s">
        <v>5067</v>
      </c>
      <c r="P2801" s="17" t="s">
        <v>5081</v>
      </c>
      <c r="Q2801" s="17"/>
      <c r="R2801" s="25" t="str">
        <f>HYPERLINK("https://ictv.global/taxonomy/taxondetails?taxnode_id=202312327","Cheoctovirus sparkdehlily")</f>
        <v>Cheoctovirus sparkdehlily</v>
      </c>
      <c r="S2801" s="18" t="s">
        <v>30</v>
      </c>
      <c r="T2801" s="18" t="s">
        <v>5222</v>
      </c>
      <c r="U2801" s="18"/>
      <c r="V2801" s="18"/>
      <c r="W2801" s="18" t="s">
        <v>5223</v>
      </c>
      <c r="X2801" s="18" t="s">
        <v>42</v>
      </c>
      <c r="Y2801" s="18" t="s">
        <v>36</v>
      </c>
      <c r="Z2801" s="18" t="s">
        <v>697</v>
      </c>
      <c r="AA2801" s="21" t="str">
        <f>HYPERLINK("https://www.ncbi.nlm.nih.gov/nuccore/KT895280","NCBI Nucleotide")</f>
        <v>NCBI Nucleotide</v>
      </c>
    </row>
    <row r="2802" spans="1:27" x14ac:dyDescent="0.35">
      <c r="A2802">
        <v>1003864</v>
      </c>
      <c r="B2802">
        <v>2778</v>
      </c>
      <c r="C2802">
        <v>1</v>
      </c>
      <c r="D2802" s="17" t="s">
        <v>155</v>
      </c>
      <c r="E2802" s="17"/>
      <c r="F2802" s="17" t="s">
        <v>156</v>
      </c>
      <c r="G2802" s="17"/>
      <c r="H2802" s="17" t="s">
        <v>692</v>
      </c>
      <c r="I2802" s="17"/>
      <c r="J2802" s="17" t="s">
        <v>693</v>
      </c>
      <c r="K2802" s="17"/>
      <c r="L2802" s="17"/>
      <c r="M2802" s="17"/>
      <c r="N2802" s="17"/>
      <c r="O2802" s="17" t="s">
        <v>5067</v>
      </c>
      <c r="P2802" s="17" t="s">
        <v>5081</v>
      </c>
      <c r="Q2802" s="17"/>
      <c r="R2802" s="25" t="str">
        <f>HYPERLINK("https://ictv.global/taxonomy/taxondetails?taxnode_id=202312328","Cheoctovirus spikelee")</f>
        <v>Cheoctovirus spikelee</v>
      </c>
      <c r="S2802" s="18" t="s">
        <v>30</v>
      </c>
      <c r="T2802" s="18" t="s">
        <v>5224</v>
      </c>
      <c r="U2802" s="18"/>
      <c r="V2802" s="18"/>
      <c r="W2802" s="18" t="s">
        <v>5225</v>
      </c>
      <c r="X2802" s="18" t="s">
        <v>42</v>
      </c>
      <c r="Y2802" s="18" t="s">
        <v>36</v>
      </c>
      <c r="Z2802" s="18" t="s">
        <v>697</v>
      </c>
      <c r="AA2802" s="21" t="str">
        <f>HYPERLINK("https://www.ncbi.nlm.nih.gov/nuccore/MH669014","NCBI Nucleotide")</f>
        <v>NCBI Nucleotide</v>
      </c>
    </row>
    <row r="2803" spans="1:27" x14ac:dyDescent="0.35">
      <c r="A2803">
        <v>1003865</v>
      </c>
      <c r="B2803">
        <v>2779</v>
      </c>
      <c r="C2803">
        <v>1</v>
      </c>
      <c r="D2803" s="17" t="s">
        <v>155</v>
      </c>
      <c r="E2803" s="17"/>
      <c r="F2803" s="17" t="s">
        <v>156</v>
      </c>
      <c r="G2803" s="17"/>
      <c r="H2803" s="17" t="s">
        <v>692</v>
      </c>
      <c r="I2803" s="17"/>
      <c r="J2803" s="17" t="s">
        <v>693</v>
      </c>
      <c r="K2803" s="17"/>
      <c r="L2803" s="17"/>
      <c r="M2803" s="17"/>
      <c r="N2803" s="17"/>
      <c r="O2803" s="17" t="s">
        <v>5067</v>
      </c>
      <c r="P2803" s="17" t="s">
        <v>5081</v>
      </c>
      <c r="Q2803" s="17"/>
      <c r="R2803" s="25" t="str">
        <f>HYPERLINK("https://ictv.global/taxonomy/taxondetails?taxnode_id=202312329","Cheoctovirus spoonbill")</f>
        <v>Cheoctovirus spoonbill</v>
      </c>
      <c r="S2803" s="18" t="s">
        <v>30</v>
      </c>
      <c r="T2803" s="18" t="s">
        <v>5226</v>
      </c>
      <c r="U2803" s="18"/>
      <c r="V2803" s="18"/>
      <c r="W2803" s="18" t="s">
        <v>5227</v>
      </c>
      <c r="X2803" s="18" t="s">
        <v>42</v>
      </c>
      <c r="Y2803" s="18" t="s">
        <v>36</v>
      </c>
      <c r="Z2803" s="18" t="s">
        <v>697</v>
      </c>
      <c r="AA2803" s="21" t="str">
        <f>HYPERLINK("https://www.ncbi.nlm.nih.gov/nuccore/MF190168","NCBI Nucleotide")</f>
        <v>NCBI Nucleotide</v>
      </c>
    </row>
    <row r="2804" spans="1:27" x14ac:dyDescent="0.35">
      <c r="A2804">
        <v>1003866</v>
      </c>
      <c r="B2804">
        <v>2780</v>
      </c>
      <c r="C2804">
        <v>1</v>
      </c>
      <c r="D2804" s="17" t="s">
        <v>155</v>
      </c>
      <c r="E2804" s="17"/>
      <c r="F2804" s="17" t="s">
        <v>156</v>
      </c>
      <c r="G2804" s="17"/>
      <c r="H2804" s="17" t="s">
        <v>692</v>
      </c>
      <c r="I2804" s="17"/>
      <c r="J2804" s="17" t="s">
        <v>693</v>
      </c>
      <c r="K2804" s="17"/>
      <c r="L2804" s="17"/>
      <c r="M2804" s="17"/>
      <c r="N2804" s="17"/>
      <c r="O2804" s="17" t="s">
        <v>5067</v>
      </c>
      <c r="P2804" s="17" t="s">
        <v>5081</v>
      </c>
      <c r="Q2804" s="17"/>
      <c r="R2804" s="25" t="str">
        <f>HYPERLINK("https://ictv.global/taxonomy/taxondetails?taxnode_id=202312330","Cheoctovirus supergrey")</f>
        <v>Cheoctovirus supergrey</v>
      </c>
      <c r="S2804" s="18" t="s">
        <v>30</v>
      </c>
      <c r="T2804" s="18" t="s">
        <v>5228</v>
      </c>
      <c r="U2804" s="18"/>
      <c r="V2804" s="18"/>
      <c r="W2804" s="18" t="s">
        <v>5229</v>
      </c>
      <c r="X2804" s="18" t="s">
        <v>42</v>
      </c>
      <c r="Y2804" s="18" t="s">
        <v>36</v>
      </c>
      <c r="Z2804" s="18" t="s">
        <v>697</v>
      </c>
      <c r="AA2804" s="21" t="str">
        <f>HYPERLINK("https://www.ncbi.nlm.nih.gov/nuccore/KX808131","NCBI Nucleotide")</f>
        <v>NCBI Nucleotide</v>
      </c>
    </row>
    <row r="2805" spans="1:27" x14ac:dyDescent="0.35">
      <c r="A2805">
        <v>1003867</v>
      </c>
      <c r="B2805">
        <v>2781</v>
      </c>
      <c r="C2805">
        <v>1</v>
      </c>
      <c r="D2805" s="17" t="s">
        <v>155</v>
      </c>
      <c r="E2805" s="17"/>
      <c r="F2805" s="17" t="s">
        <v>156</v>
      </c>
      <c r="G2805" s="17"/>
      <c r="H2805" s="17" t="s">
        <v>692</v>
      </c>
      <c r="I2805" s="17"/>
      <c r="J2805" s="17" t="s">
        <v>693</v>
      </c>
      <c r="K2805" s="17"/>
      <c r="L2805" s="17"/>
      <c r="M2805" s="17"/>
      <c r="N2805" s="17"/>
      <c r="O2805" s="17" t="s">
        <v>5067</v>
      </c>
      <c r="P2805" s="17" t="s">
        <v>5081</v>
      </c>
      <c r="Q2805" s="17"/>
      <c r="R2805" s="25" t="str">
        <f>HYPERLINK("https://ictv.global/taxonomy/taxondetails?taxnode_id=202312331","Cheoctovirus swagpigglett")</f>
        <v>Cheoctovirus swagpigglett</v>
      </c>
      <c r="S2805" s="18" t="s">
        <v>30</v>
      </c>
      <c r="T2805" s="18" t="s">
        <v>5230</v>
      </c>
      <c r="U2805" s="18"/>
      <c r="V2805" s="18"/>
      <c r="W2805" s="18" t="s">
        <v>5231</v>
      </c>
      <c r="X2805" s="18" t="s">
        <v>42</v>
      </c>
      <c r="Y2805" s="18" t="s">
        <v>36</v>
      </c>
      <c r="Z2805" s="18" t="s">
        <v>697</v>
      </c>
      <c r="AA2805" s="21" t="str">
        <f>HYPERLINK("https://www.ncbi.nlm.nih.gov/nuccore/MK494110","NCBI Nucleotide")</f>
        <v>NCBI Nucleotide</v>
      </c>
    </row>
    <row r="2806" spans="1:27" x14ac:dyDescent="0.35">
      <c r="A2806">
        <v>1003868</v>
      </c>
      <c r="B2806">
        <v>2782</v>
      </c>
      <c r="C2806">
        <v>1</v>
      </c>
      <c r="D2806" s="17" t="s">
        <v>155</v>
      </c>
      <c r="E2806" s="17"/>
      <c r="F2806" s="17" t="s">
        <v>156</v>
      </c>
      <c r="G2806" s="17"/>
      <c r="H2806" s="17" t="s">
        <v>692</v>
      </c>
      <c r="I2806" s="17"/>
      <c r="J2806" s="17" t="s">
        <v>693</v>
      </c>
      <c r="K2806" s="17"/>
      <c r="L2806" s="17"/>
      <c r="M2806" s="17"/>
      <c r="N2806" s="17"/>
      <c r="O2806" s="17" t="s">
        <v>5067</v>
      </c>
      <c r="P2806" s="17" t="s">
        <v>5081</v>
      </c>
      <c r="Q2806" s="17"/>
      <c r="R2806" s="25" t="str">
        <f>HYPERLINK("https://ictv.global/taxonomy/taxondetails?taxnode_id=202312332","Cheoctovirus veteran")</f>
        <v>Cheoctovirus veteran</v>
      </c>
      <c r="S2806" s="18" t="s">
        <v>30</v>
      </c>
      <c r="T2806" s="18" t="s">
        <v>5232</v>
      </c>
      <c r="U2806" s="18"/>
      <c r="V2806" s="18"/>
      <c r="W2806" s="18" t="s">
        <v>5233</v>
      </c>
      <c r="X2806" s="18" t="s">
        <v>42</v>
      </c>
      <c r="Y2806" s="18" t="s">
        <v>36</v>
      </c>
      <c r="Z2806" s="18" t="s">
        <v>697</v>
      </c>
      <c r="AA2806" s="21" t="str">
        <f>HYPERLINK("https://www.ncbi.nlm.nih.gov/nuccore/MT114164","NCBI Nucleotide")</f>
        <v>NCBI Nucleotide</v>
      </c>
    </row>
    <row r="2807" spans="1:27" x14ac:dyDescent="0.35">
      <c r="A2807">
        <v>1003869</v>
      </c>
      <c r="B2807">
        <v>2783</v>
      </c>
      <c r="C2807">
        <v>1</v>
      </c>
      <c r="D2807" s="17" t="s">
        <v>155</v>
      </c>
      <c r="E2807" s="17"/>
      <c r="F2807" s="17" t="s">
        <v>156</v>
      </c>
      <c r="G2807" s="17"/>
      <c r="H2807" s="17" t="s">
        <v>692</v>
      </c>
      <c r="I2807" s="17"/>
      <c r="J2807" s="17" t="s">
        <v>693</v>
      </c>
      <c r="K2807" s="17"/>
      <c r="L2807" s="17"/>
      <c r="M2807" s="17"/>
      <c r="N2807" s="17"/>
      <c r="O2807" s="17" t="s">
        <v>5067</v>
      </c>
      <c r="P2807" s="17" t="s">
        <v>5081</v>
      </c>
      <c r="Q2807" s="17"/>
      <c r="R2807" s="25" t="str">
        <f>HYPERLINK("https://ictv.global/taxonomy/taxondetails?taxnode_id=202312333","Cheoctovirus wachhund")</f>
        <v>Cheoctovirus wachhund</v>
      </c>
      <c r="S2807" s="18" t="s">
        <v>30</v>
      </c>
      <c r="T2807" s="18" t="s">
        <v>5234</v>
      </c>
      <c r="U2807" s="18"/>
      <c r="V2807" s="18"/>
      <c r="W2807" s="18" t="s">
        <v>5235</v>
      </c>
      <c r="X2807" s="18" t="s">
        <v>42</v>
      </c>
      <c r="Y2807" s="18" t="s">
        <v>36</v>
      </c>
      <c r="Z2807" s="18" t="s">
        <v>697</v>
      </c>
      <c r="AA2807" s="21" t="str">
        <f>HYPERLINK("https://www.ncbi.nlm.nih.gov/nuccore/MF668287","NCBI Nucleotide")</f>
        <v>NCBI Nucleotide</v>
      </c>
    </row>
    <row r="2808" spans="1:27" x14ac:dyDescent="0.35">
      <c r="A2808">
        <v>1003870</v>
      </c>
      <c r="B2808">
        <v>2784</v>
      </c>
      <c r="C2808">
        <v>1</v>
      </c>
      <c r="D2808" s="17" t="s">
        <v>155</v>
      </c>
      <c r="E2808" s="17"/>
      <c r="F2808" s="17" t="s">
        <v>156</v>
      </c>
      <c r="G2808" s="17"/>
      <c r="H2808" s="17" t="s">
        <v>692</v>
      </c>
      <c r="I2808" s="17"/>
      <c r="J2808" s="17" t="s">
        <v>693</v>
      </c>
      <c r="K2808" s="17"/>
      <c r="L2808" s="17"/>
      <c r="M2808" s="17"/>
      <c r="N2808" s="17"/>
      <c r="O2808" s="17" t="s">
        <v>5067</v>
      </c>
      <c r="P2808" s="17" t="s">
        <v>5081</v>
      </c>
      <c r="Q2808" s="17"/>
      <c r="R2808" s="25" t="str">
        <f>HYPERLINK("https://ictv.global/taxonomy/taxondetails?taxnode_id=202312334","Cheoctovirus whouxphf")</f>
        <v>Cheoctovirus whouxphf</v>
      </c>
      <c r="S2808" s="18" t="s">
        <v>30</v>
      </c>
      <c r="T2808" s="18" t="s">
        <v>5236</v>
      </c>
      <c r="U2808" s="18"/>
      <c r="V2808" s="18"/>
      <c r="W2808" s="18" t="s">
        <v>5237</v>
      </c>
      <c r="X2808" s="18" t="s">
        <v>42</v>
      </c>
      <c r="Y2808" s="18" t="s">
        <v>36</v>
      </c>
      <c r="Z2808" s="18" t="s">
        <v>697</v>
      </c>
      <c r="AA2808" s="21" t="str">
        <f>HYPERLINK("https://www.ncbi.nlm.nih.gov/nuccore/MK016504","NCBI Nucleotide")</f>
        <v>NCBI Nucleotide</v>
      </c>
    </row>
    <row r="2809" spans="1:27" x14ac:dyDescent="0.35">
      <c r="A2809">
        <v>1003871</v>
      </c>
      <c r="B2809">
        <v>2785</v>
      </c>
      <c r="C2809">
        <v>1</v>
      </c>
      <c r="D2809" s="17" t="s">
        <v>155</v>
      </c>
      <c r="E2809" s="17"/>
      <c r="F2809" s="17" t="s">
        <v>156</v>
      </c>
      <c r="G2809" s="17"/>
      <c r="H2809" s="17" t="s">
        <v>692</v>
      </c>
      <c r="I2809" s="17"/>
      <c r="J2809" s="17" t="s">
        <v>693</v>
      </c>
      <c r="K2809" s="17"/>
      <c r="L2809" s="17"/>
      <c r="M2809" s="17"/>
      <c r="N2809" s="17"/>
      <c r="O2809" s="17" t="s">
        <v>5067</v>
      </c>
      <c r="P2809" s="17" t="s">
        <v>5081</v>
      </c>
      <c r="Q2809" s="17"/>
      <c r="R2809" s="25" t="str">
        <f>HYPERLINK("https://ictv.global/taxonomy/taxondetails?taxnode_id=202312335","Cheoctovirus willsterrel")</f>
        <v>Cheoctovirus willsterrel</v>
      </c>
      <c r="S2809" s="18" t="s">
        <v>30</v>
      </c>
      <c r="T2809" s="18" t="s">
        <v>5238</v>
      </c>
      <c r="U2809" s="18"/>
      <c r="V2809" s="18"/>
      <c r="W2809" s="18" t="s">
        <v>5239</v>
      </c>
      <c r="X2809" s="18" t="s">
        <v>42</v>
      </c>
      <c r="Y2809" s="18" t="s">
        <v>36</v>
      </c>
      <c r="Z2809" s="18" t="s">
        <v>697</v>
      </c>
      <c r="AA2809" s="21" t="str">
        <f>HYPERLINK("https://www.ncbi.nlm.nih.gov/nuccore/KX576644","NCBI Nucleotide")</f>
        <v>NCBI Nucleotide</v>
      </c>
    </row>
    <row r="2810" spans="1:27" x14ac:dyDescent="0.35">
      <c r="A2810">
        <v>1003872</v>
      </c>
      <c r="B2810">
        <v>2786</v>
      </c>
      <c r="C2810">
        <v>1</v>
      </c>
      <c r="D2810" s="17" t="s">
        <v>155</v>
      </c>
      <c r="E2810" s="17"/>
      <c r="F2810" s="17" t="s">
        <v>156</v>
      </c>
      <c r="G2810" s="17"/>
      <c r="H2810" s="17" t="s">
        <v>692</v>
      </c>
      <c r="I2810" s="17"/>
      <c r="J2810" s="17" t="s">
        <v>693</v>
      </c>
      <c r="K2810" s="17"/>
      <c r="L2810" s="17"/>
      <c r="M2810" s="17"/>
      <c r="N2810" s="17"/>
      <c r="O2810" s="17" t="s">
        <v>5067</v>
      </c>
      <c r="P2810" s="17" t="s">
        <v>5081</v>
      </c>
      <c r="Q2810" s="17"/>
      <c r="R2810" s="25" t="str">
        <f>HYPERLINK("https://ictv.global/taxonomy/taxondetails?taxnode_id=202312336","Cheoctovirus xfactor")</f>
        <v>Cheoctovirus xfactor</v>
      </c>
      <c r="S2810" s="18" t="s">
        <v>30</v>
      </c>
      <c r="T2810" s="18" t="s">
        <v>5240</v>
      </c>
      <c r="U2810" s="18"/>
      <c r="V2810" s="18"/>
      <c r="W2810" s="18" t="s">
        <v>5241</v>
      </c>
      <c r="X2810" s="18" t="s">
        <v>42</v>
      </c>
      <c r="Y2810" s="18" t="s">
        <v>36</v>
      </c>
      <c r="Z2810" s="18" t="s">
        <v>697</v>
      </c>
      <c r="AA2810" s="21" t="str">
        <f>HYPERLINK("https://www.ncbi.nlm.nih.gov/nuccore/KT281795","NCBI Nucleotide")</f>
        <v>NCBI Nucleotide</v>
      </c>
    </row>
    <row r="2811" spans="1:27" x14ac:dyDescent="0.35">
      <c r="A2811">
        <v>1003873</v>
      </c>
      <c r="B2811">
        <v>2787</v>
      </c>
      <c r="C2811">
        <v>1</v>
      </c>
      <c r="D2811" s="17" t="s">
        <v>155</v>
      </c>
      <c r="E2811" s="17"/>
      <c r="F2811" s="17" t="s">
        <v>156</v>
      </c>
      <c r="G2811" s="17"/>
      <c r="H2811" s="17" t="s">
        <v>692</v>
      </c>
      <c r="I2811" s="17"/>
      <c r="J2811" s="17" t="s">
        <v>693</v>
      </c>
      <c r="K2811" s="17"/>
      <c r="L2811" s="17"/>
      <c r="M2811" s="17"/>
      <c r="N2811" s="17"/>
      <c r="O2811" s="17" t="s">
        <v>5067</v>
      </c>
      <c r="P2811" s="17" t="s">
        <v>5081</v>
      </c>
      <c r="Q2811" s="17"/>
      <c r="R2811" s="25" t="str">
        <f>HYPERLINK("https://ictv.global/taxonomy/taxondetails?taxnode_id=202312337","Cheoctovirus zerg")</f>
        <v>Cheoctovirus zerg</v>
      </c>
      <c r="S2811" s="18" t="s">
        <v>30</v>
      </c>
      <c r="T2811" s="18" t="s">
        <v>5242</v>
      </c>
      <c r="U2811" s="18"/>
      <c r="V2811" s="18"/>
      <c r="W2811" s="18" t="s">
        <v>5243</v>
      </c>
      <c r="X2811" s="18" t="s">
        <v>42</v>
      </c>
      <c r="Y2811" s="18" t="s">
        <v>36</v>
      </c>
      <c r="Z2811" s="18" t="s">
        <v>697</v>
      </c>
      <c r="AA2811" s="21" t="str">
        <f>HYPERLINK("https://www.ncbi.nlm.nih.gov/nuccore/MK112556","NCBI Nucleotide")</f>
        <v>NCBI Nucleotide</v>
      </c>
    </row>
    <row r="2812" spans="1:27" x14ac:dyDescent="0.35">
      <c r="A2812">
        <v>1003874</v>
      </c>
      <c r="B2812">
        <v>2788</v>
      </c>
      <c r="C2812">
        <v>1</v>
      </c>
      <c r="D2812" s="17" t="s">
        <v>155</v>
      </c>
      <c r="E2812" s="17"/>
      <c r="F2812" s="17" t="s">
        <v>156</v>
      </c>
      <c r="G2812" s="17"/>
      <c r="H2812" s="17" t="s">
        <v>692</v>
      </c>
      <c r="I2812" s="17"/>
      <c r="J2812" s="17" t="s">
        <v>693</v>
      </c>
      <c r="K2812" s="17"/>
      <c r="L2812" s="17"/>
      <c r="M2812" s="17"/>
      <c r="N2812" s="17"/>
      <c r="O2812" s="17" t="s">
        <v>5067</v>
      </c>
      <c r="P2812" s="17" t="s">
        <v>5081</v>
      </c>
      <c r="Q2812" s="17"/>
      <c r="R2812" s="25" t="str">
        <f>HYPERLINK("https://ictv.global/taxonomy/taxondetails?taxnode_id=202300891","Mycobacterium virus Ardmore")</f>
        <v>Mycobacterium virus Ardmore</v>
      </c>
      <c r="S2812" s="18" t="s">
        <v>30</v>
      </c>
      <c r="T2812" s="18" t="s">
        <v>5244</v>
      </c>
      <c r="U2812" s="18"/>
      <c r="V2812" s="18"/>
      <c r="W2812" s="18" t="s">
        <v>5245</v>
      </c>
      <c r="X2812" s="18" t="s">
        <v>42</v>
      </c>
      <c r="Y2812" s="18" t="s">
        <v>36</v>
      </c>
      <c r="Z2812" s="18" t="s">
        <v>697</v>
      </c>
      <c r="AA2812" s="21" t="str">
        <f>HYPERLINK("https://www.ncbi.nlm.nih.gov/nuccore/GU060500","NCBI Nucleotide")</f>
        <v>NCBI Nucleotide</v>
      </c>
    </row>
    <row r="2813" spans="1:27" x14ac:dyDescent="0.35">
      <c r="A2813">
        <v>1003875</v>
      </c>
      <c r="B2813">
        <v>2789</v>
      </c>
      <c r="C2813">
        <v>1</v>
      </c>
      <c r="D2813" s="17" t="s">
        <v>155</v>
      </c>
      <c r="E2813" s="17"/>
      <c r="F2813" s="17" t="s">
        <v>156</v>
      </c>
      <c r="G2813" s="17"/>
      <c r="H2813" s="17" t="s">
        <v>692</v>
      </c>
      <c r="I2813" s="17"/>
      <c r="J2813" s="17" t="s">
        <v>693</v>
      </c>
      <c r="K2813" s="17"/>
      <c r="L2813" s="17"/>
      <c r="M2813" s="17"/>
      <c r="N2813" s="17"/>
      <c r="O2813" s="17" t="s">
        <v>5067</v>
      </c>
      <c r="P2813" s="17" t="s">
        <v>5081</v>
      </c>
      <c r="Q2813" s="17"/>
      <c r="R2813" s="25" t="str">
        <f>HYPERLINK("https://ictv.global/taxonomy/taxondetails?taxnode_id=202300893","Mycobacterium virus Boomer")</f>
        <v>Mycobacterium virus Boomer</v>
      </c>
      <c r="S2813" s="18" t="s">
        <v>30</v>
      </c>
      <c r="T2813" s="18" t="s">
        <v>5246</v>
      </c>
      <c r="U2813" s="18"/>
      <c r="V2813" s="18"/>
      <c r="W2813" s="18" t="s">
        <v>5247</v>
      </c>
      <c r="X2813" s="18" t="s">
        <v>42</v>
      </c>
      <c r="Y2813" s="18" t="s">
        <v>36</v>
      </c>
      <c r="Z2813" s="18" t="s">
        <v>697</v>
      </c>
      <c r="AA2813" s="21" t="str">
        <f>HYPERLINK("https://www.ncbi.nlm.nih.gov/nuccore/EU816590","NCBI Nucleotide")</f>
        <v>NCBI Nucleotide</v>
      </c>
    </row>
    <row r="2814" spans="1:27" x14ac:dyDescent="0.35">
      <c r="A2814">
        <v>1003876</v>
      </c>
      <c r="B2814">
        <v>2790</v>
      </c>
      <c r="C2814">
        <v>1</v>
      </c>
      <c r="D2814" s="17" t="s">
        <v>155</v>
      </c>
      <c r="E2814" s="17"/>
      <c r="F2814" s="17" t="s">
        <v>156</v>
      </c>
      <c r="G2814" s="17"/>
      <c r="H2814" s="17" t="s">
        <v>692</v>
      </c>
      <c r="I2814" s="17"/>
      <c r="J2814" s="17" t="s">
        <v>693</v>
      </c>
      <c r="K2814" s="17"/>
      <c r="L2814" s="17"/>
      <c r="M2814" s="17"/>
      <c r="N2814" s="17"/>
      <c r="O2814" s="17" t="s">
        <v>5067</v>
      </c>
      <c r="P2814" s="17" t="s">
        <v>5081</v>
      </c>
      <c r="Q2814" s="17"/>
      <c r="R2814" s="25" t="str">
        <f>HYPERLINK("https://ictv.global/taxonomy/taxondetails?taxnode_id=202300894","Mycobacterium virus Che8")</f>
        <v>Mycobacterium virus Che8</v>
      </c>
      <c r="S2814" s="18" t="s">
        <v>30</v>
      </c>
      <c r="T2814" s="18" t="s">
        <v>5248</v>
      </c>
      <c r="U2814" s="18"/>
      <c r="V2814" s="18"/>
      <c r="W2814" s="18" t="s">
        <v>5249</v>
      </c>
      <c r="X2814" s="18" t="s">
        <v>42</v>
      </c>
      <c r="Y2814" s="18" t="s">
        <v>36</v>
      </c>
      <c r="Z2814" s="18" t="s">
        <v>697</v>
      </c>
      <c r="AA2814" s="21" t="str">
        <f>HYPERLINK("https://www.ncbi.nlm.nih.gov/nuccore/AY129330","NCBI Nucleotide")</f>
        <v>NCBI Nucleotide</v>
      </c>
    </row>
    <row r="2815" spans="1:27" x14ac:dyDescent="0.35">
      <c r="A2815">
        <v>1003877</v>
      </c>
      <c r="B2815">
        <v>2791</v>
      </c>
      <c r="C2815">
        <v>1</v>
      </c>
      <c r="D2815" s="17" t="s">
        <v>155</v>
      </c>
      <c r="E2815" s="17"/>
      <c r="F2815" s="17" t="s">
        <v>156</v>
      </c>
      <c r="G2815" s="17"/>
      <c r="H2815" s="17" t="s">
        <v>692</v>
      </c>
      <c r="I2815" s="17"/>
      <c r="J2815" s="17" t="s">
        <v>693</v>
      </c>
      <c r="K2815" s="17"/>
      <c r="L2815" s="17"/>
      <c r="M2815" s="17"/>
      <c r="N2815" s="17"/>
      <c r="O2815" s="17" t="s">
        <v>5067</v>
      </c>
      <c r="P2815" s="17" t="s">
        <v>5081</v>
      </c>
      <c r="Q2815" s="17"/>
      <c r="R2815" s="25" t="str">
        <f>HYPERLINK("https://ictv.global/taxonomy/taxondetails?taxnode_id=202300896","Mycobacterium virus DeadP")</f>
        <v>Mycobacterium virus DeadP</v>
      </c>
      <c r="S2815" s="18" t="s">
        <v>30</v>
      </c>
      <c r="T2815" s="18" t="s">
        <v>5250</v>
      </c>
      <c r="U2815" s="18"/>
      <c r="V2815" s="18"/>
      <c r="W2815" s="18" t="s">
        <v>5251</v>
      </c>
      <c r="X2815" s="18" t="s">
        <v>42</v>
      </c>
      <c r="Y2815" s="18" t="s">
        <v>36</v>
      </c>
      <c r="Z2815" s="18" t="s">
        <v>697</v>
      </c>
      <c r="AA2815" s="21" t="str">
        <f>HYPERLINK("https://www.ncbi.nlm.nih.gov/nuccore/JN698996","NCBI Nucleotide")</f>
        <v>NCBI Nucleotide</v>
      </c>
    </row>
    <row r="2816" spans="1:27" x14ac:dyDescent="0.35">
      <c r="A2816">
        <v>1003878</v>
      </c>
      <c r="B2816">
        <v>2792</v>
      </c>
      <c r="C2816">
        <v>1</v>
      </c>
      <c r="D2816" s="17" t="s">
        <v>155</v>
      </c>
      <c r="E2816" s="17"/>
      <c r="F2816" s="17" t="s">
        <v>156</v>
      </c>
      <c r="G2816" s="17"/>
      <c r="H2816" s="17" t="s">
        <v>692</v>
      </c>
      <c r="I2816" s="17"/>
      <c r="J2816" s="17" t="s">
        <v>693</v>
      </c>
      <c r="K2816" s="17"/>
      <c r="L2816" s="17"/>
      <c r="M2816" s="17"/>
      <c r="N2816" s="17"/>
      <c r="O2816" s="17" t="s">
        <v>5067</v>
      </c>
      <c r="P2816" s="17" t="s">
        <v>5081</v>
      </c>
      <c r="Q2816" s="17"/>
      <c r="R2816" s="25" t="str">
        <f>HYPERLINK("https://ictv.global/taxonomy/taxondetails?taxnode_id=202300897","Mycobacterium virus Dlane")</f>
        <v>Mycobacterium virus Dlane</v>
      </c>
      <c r="S2816" s="18" t="s">
        <v>30</v>
      </c>
      <c r="T2816" s="18" t="s">
        <v>5252</v>
      </c>
      <c r="U2816" s="18"/>
      <c r="V2816" s="18"/>
      <c r="W2816" s="18" t="s">
        <v>5253</v>
      </c>
      <c r="X2816" s="18" t="s">
        <v>42</v>
      </c>
      <c r="Y2816" s="18" t="s">
        <v>36</v>
      </c>
      <c r="Z2816" s="18" t="s">
        <v>697</v>
      </c>
      <c r="AA2816" s="21" t="str">
        <f>HYPERLINK("https://www.ncbi.nlm.nih.gov/nuccore/JF937093","NCBI Nucleotide")</f>
        <v>NCBI Nucleotide</v>
      </c>
    </row>
    <row r="2817" spans="1:27" x14ac:dyDescent="0.35">
      <c r="A2817">
        <v>1003879</v>
      </c>
      <c r="B2817">
        <v>2793</v>
      </c>
      <c r="C2817">
        <v>1</v>
      </c>
      <c r="D2817" s="17" t="s">
        <v>155</v>
      </c>
      <c r="E2817" s="17"/>
      <c r="F2817" s="17" t="s">
        <v>156</v>
      </c>
      <c r="G2817" s="17"/>
      <c r="H2817" s="17" t="s">
        <v>692</v>
      </c>
      <c r="I2817" s="17"/>
      <c r="J2817" s="17" t="s">
        <v>693</v>
      </c>
      <c r="K2817" s="17"/>
      <c r="L2817" s="17"/>
      <c r="M2817" s="17"/>
      <c r="N2817" s="17"/>
      <c r="O2817" s="17" t="s">
        <v>5067</v>
      </c>
      <c r="P2817" s="17" t="s">
        <v>5081</v>
      </c>
      <c r="Q2817" s="17"/>
      <c r="R2817" s="25" t="str">
        <f>HYPERLINK("https://ictv.global/taxonomy/taxondetails?taxnode_id=202300898","Mycobacterium virus Dorothy")</f>
        <v>Mycobacterium virus Dorothy</v>
      </c>
      <c r="S2817" s="18" t="s">
        <v>30</v>
      </c>
      <c r="T2817" s="18" t="s">
        <v>5254</v>
      </c>
      <c r="U2817" s="18"/>
      <c r="V2817" s="18"/>
      <c r="W2817" s="18" t="s">
        <v>5255</v>
      </c>
      <c r="X2817" s="18" t="s">
        <v>42</v>
      </c>
      <c r="Y2817" s="18" t="s">
        <v>36</v>
      </c>
      <c r="Z2817" s="18" t="s">
        <v>697</v>
      </c>
      <c r="AA2817" s="21" t="str">
        <f>HYPERLINK("https://www.ncbi.nlm.nih.gov/nuccore/JX411620","NCBI Nucleotide")</f>
        <v>NCBI Nucleotide</v>
      </c>
    </row>
    <row r="2818" spans="1:27" x14ac:dyDescent="0.35">
      <c r="A2818">
        <v>1003880</v>
      </c>
      <c r="B2818">
        <v>2794</v>
      </c>
      <c r="C2818">
        <v>1</v>
      </c>
      <c r="D2818" s="17" t="s">
        <v>155</v>
      </c>
      <c r="E2818" s="17"/>
      <c r="F2818" s="17" t="s">
        <v>156</v>
      </c>
      <c r="G2818" s="17"/>
      <c r="H2818" s="17" t="s">
        <v>692</v>
      </c>
      <c r="I2818" s="17"/>
      <c r="J2818" s="17" t="s">
        <v>693</v>
      </c>
      <c r="K2818" s="17"/>
      <c r="L2818" s="17"/>
      <c r="M2818" s="17"/>
      <c r="N2818" s="17"/>
      <c r="O2818" s="17" t="s">
        <v>5067</v>
      </c>
      <c r="P2818" s="17" t="s">
        <v>5081</v>
      </c>
      <c r="Q2818" s="17"/>
      <c r="R2818" s="25" t="str">
        <f>HYPERLINK("https://ictv.global/taxonomy/taxondetails?taxnode_id=202300899","Mycobacterium virus DotProduct")</f>
        <v>Mycobacterium virus DotProduct</v>
      </c>
      <c r="S2818" s="18" t="s">
        <v>30</v>
      </c>
      <c r="T2818" s="18" t="s">
        <v>5256</v>
      </c>
      <c r="U2818" s="18"/>
      <c r="V2818" s="18"/>
      <c r="W2818" s="18" t="s">
        <v>5257</v>
      </c>
      <c r="X2818" s="18" t="s">
        <v>42</v>
      </c>
      <c r="Y2818" s="18" t="s">
        <v>36</v>
      </c>
      <c r="Z2818" s="18" t="s">
        <v>697</v>
      </c>
      <c r="AA2818" s="21" t="str">
        <f>HYPERLINK("https://www.ncbi.nlm.nih.gov/nuccore/JN859129","NCBI Nucleotide")</f>
        <v>NCBI Nucleotide</v>
      </c>
    </row>
    <row r="2819" spans="1:27" x14ac:dyDescent="0.35">
      <c r="A2819">
        <v>1003881</v>
      </c>
      <c r="B2819">
        <v>2795</v>
      </c>
      <c r="C2819">
        <v>1</v>
      </c>
      <c r="D2819" s="17" t="s">
        <v>155</v>
      </c>
      <c r="E2819" s="17"/>
      <c r="F2819" s="17" t="s">
        <v>156</v>
      </c>
      <c r="G2819" s="17"/>
      <c r="H2819" s="17" t="s">
        <v>692</v>
      </c>
      <c r="I2819" s="17"/>
      <c r="J2819" s="17" t="s">
        <v>693</v>
      </c>
      <c r="K2819" s="17"/>
      <c r="L2819" s="17"/>
      <c r="M2819" s="17"/>
      <c r="N2819" s="17"/>
      <c r="O2819" s="17" t="s">
        <v>5067</v>
      </c>
      <c r="P2819" s="17" t="s">
        <v>5081</v>
      </c>
      <c r="Q2819" s="17"/>
      <c r="R2819" s="25" t="str">
        <f>HYPERLINK("https://ictv.global/taxonomy/taxondetails?taxnode_id=202300900","Mycobacterium virus Drago")</f>
        <v>Mycobacterium virus Drago</v>
      </c>
      <c r="S2819" s="18" t="s">
        <v>30</v>
      </c>
      <c r="T2819" s="18" t="s">
        <v>5258</v>
      </c>
      <c r="U2819" s="18"/>
      <c r="V2819" s="18"/>
      <c r="W2819" s="18" t="s">
        <v>5259</v>
      </c>
      <c r="X2819" s="18" t="s">
        <v>42</v>
      </c>
      <c r="Y2819" s="18" t="s">
        <v>36</v>
      </c>
      <c r="Z2819" s="18" t="s">
        <v>697</v>
      </c>
      <c r="AA2819" s="21" t="str">
        <f>HYPERLINK("https://www.ncbi.nlm.nih.gov/nuccore/JN542517","NCBI Nucleotide")</f>
        <v>NCBI Nucleotide</v>
      </c>
    </row>
    <row r="2820" spans="1:27" x14ac:dyDescent="0.35">
      <c r="A2820">
        <v>1003882</v>
      </c>
      <c r="B2820">
        <v>2796</v>
      </c>
      <c r="C2820">
        <v>1</v>
      </c>
      <c r="D2820" s="17" t="s">
        <v>155</v>
      </c>
      <c r="E2820" s="17"/>
      <c r="F2820" s="17" t="s">
        <v>156</v>
      </c>
      <c r="G2820" s="17"/>
      <c r="H2820" s="17" t="s">
        <v>692</v>
      </c>
      <c r="I2820" s="17"/>
      <c r="J2820" s="17" t="s">
        <v>693</v>
      </c>
      <c r="K2820" s="17"/>
      <c r="L2820" s="17"/>
      <c r="M2820" s="17"/>
      <c r="N2820" s="17"/>
      <c r="O2820" s="17" t="s">
        <v>5067</v>
      </c>
      <c r="P2820" s="17" t="s">
        <v>5081</v>
      </c>
      <c r="Q2820" s="17"/>
      <c r="R2820" s="25" t="str">
        <f>HYPERLINK("https://ictv.global/taxonomy/taxondetails?taxnode_id=202300901","Mycobacterium virus Fruitloop")</f>
        <v>Mycobacterium virus Fruitloop</v>
      </c>
      <c r="S2820" s="18" t="s">
        <v>30</v>
      </c>
      <c r="T2820" s="18" t="s">
        <v>5260</v>
      </c>
      <c r="U2820" s="18"/>
      <c r="V2820" s="18"/>
      <c r="W2820" s="18" t="s">
        <v>5261</v>
      </c>
      <c r="X2820" s="18" t="s">
        <v>42</v>
      </c>
      <c r="Y2820" s="18" t="s">
        <v>36</v>
      </c>
      <c r="Z2820" s="18" t="s">
        <v>697</v>
      </c>
      <c r="AA2820" s="21" t="str">
        <f>HYPERLINK("https://www.ncbi.nlm.nih.gov/nuccore/FJ174690","NCBI Nucleotide")</f>
        <v>NCBI Nucleotide</v>
      </c>
    </row>
    <row r="2821" spans="1:27" x14ac:dyDescent="0.35">
      <c r="A2821">
        <v>1003883</v>
      </c>
      <c r="B2821">
        <v>2797</v>
      </c>
      <c r="C2821">
        <v>1</v>
      </c>
      <c r="D2821" s="17" t="s">
        <v>155</v>
      </c>
      <c r="E2821" s="17"/>
      <c r="F2821" s="17" t="s">
        <v>156</v>
      </c>
      <c r="G2821" s="17"/>
      <c r="H2821" s="17" t="s">
        <v>692</v>
      </c>
      <c r="I2821" s="17"/>
      <c r="J2821" s="17" t="s">
        <v>693</v>
      </c>
      <c r="K2821" s="17"/>
      <c r="L2821" s="17"/>
      <c r="M2821" s="17"/>
      <c r="N2821" s="17"/>
      <c r="O2821" s="17" t="s">
        <v>5067</v>
      </c>
      <c r="P2821" s="17" t="s">
        <v>5081</v>
      </c>
      <c r="Q2821" s="17"/>
      <c r="R2821" s="25" t="str">
        <f>HYPERLINK("https://ictv.global/taxonomy/taxondetails?taxnode_id=202300902","Mycobacterium virus GUmbie")</f>
        <v>Mycobacterium virus GUmbie</v>
      </c>
      <c r="S2821" s="18" t="s">
        <v>30</v>
      </c>
      <c r="T2821" s="18" t="s">
        <v>5262</v>
      </c>
      <c r="U2821" s="18"/>
      <c r="V2821" s="18"/>
      <c r="W2821" s="18" t="s">
        <v>5263</v>
      </c>
      <c r="X2821" s="18" t="s">
        <v>42</v>
      </c>
      <c r="Y2821" s="18" t="s">
        <v>36</v>
      </c>
      <c r="Z2821" s="18" t="s">
        <v>697</v>
      </c>
      <c r="AA2821" s="21" t="str">
        <f>HYPERLINK("https://www.ncbi.nlm.nih.gov/nuccore/JN398368","NCBI Nucleotide")</f>
        <v>NCBI Nucleotide</v>
      </c>
    </row>
    <row r="2822" spans="1:27" x14ac:dyDescent="0.35">
      <c r="A2822">
        <v>1003884</v>
      </c>
      <c r="B2822">
        <v>2798</v>
      </c>
      <c r="C2822">
        <v>1</v>
      </c>
      <c r="D2822" s="17" t="s">
        <v>155</v>
      </c>
      <c r="E2822" s="17"/>
      <c r="F2822" s="17" t="s">
        <v>156</v>
      </c>
      <c r="G2822" s="17"/>
      <c r="H2822" s="17" t="s">
        <v>692</v>
      </c>
      <c r="I2822" s="17"/>
      <c r="J2822" s="17" t="s">
        <v>693</v>
      </c>
      <c r="K2822" s="17"/>
      <c r="L2822" s="17"/>
      <c r="M2822" s="17"/>
      <c r="N2822" s="17"/>
      <c r="O2822" s="17" t="s">
        <v>5067</v>
      </c>
      <c r="P2822" s="17" t="s">
        <v>5081</v>
      </c>
      <c r="Q2822" s="17"/>
      <c r="R2822" s="25" t="str">
        <f>HYPERLINK("https://ictv.global/taxonomy/taxondetails?taxnode_id=202300903","Mycobacterium virus Ibhubesi")</f>
        <v>Mycobacterium virus Ibhubesi</v>
      </c>
      <c r="S2822" s="18" t="s">
        <v>30</v>
      </c>
      <c r="T2822" s="18" t="s">
        <v>5264</v>
      </c>
      <c r="U2822" s="18"/>
      <c r="V2822" s="18"/>
      <c r="W2822" s="18" t="s">
        <v>5265</v>
      </c>
      <c r="X2822" s="18" t="s">
        <v>42</v>
      </c>
      <c r="Y2822" s="18" t="s">
        <v>36</v>
      </c>
      <c r="Z2822" s="18" t="s">
        <v>697</v>
      </c>
      <c r="AA2822" s="21" t="str">
        <f>HYPERLINK("https://www.ncbi.nlm.nih.gov/nuccore/JF937098","NCBI Nucleotide")</f>
        <v>NCBI Nucleotide</v>
      </c>
    </row>
    <row r="2823" spans="1:27" x14ac:dyDescent="0.35">
      <c r="A2823">
        <v>1003885</v>
      </c>
      <c r="B2823">
        <v>2799</v>
      </c>
      <c r="C2823">
        <v>1</v>
      </c>
      <c r="D2823" s="17" t="s">
        <v>155</v>
      </c>
      <c r="E2823" s="17"/>
      <c r="F2823" s="17" t="s">
        <v>156</v>
      </c>
      <c r="G2823" s="17"/>
      <c r="H2823" s="17" t="s">
        <v>692</v>
      </c>
      <c r="I2823" s="17"/>
      <c r="J2823" s="17" t="s">
        <v>693</v>
      </c>
      <c r="K2823" s="17"/>
      <c r="L2823" s="17"/>
      <c r="M2823" s="17"/>
      <c r="N2823" s="17"/>
      <c r="O2823" s="17" t="s">
        <v>5067</v>
      </c>
      <c r="P2823" s="17" t="s">
        <v>5081</v>
      </c>
      <c r="Q2823" s="17"/>
      <c r="R2823" s="25" t="str">
        <f>HYPERLINK("https://ictv.global/taxonomy/taxondetails?taxnode_id=202300904","Mycobacterium virus Llij")</f>
        <v>Mycobacterium virus Llij</v>
      </c>
      <c r="S2823" s="18" t="s">
        <v>30</v>
      </c>
      <c r="T2823" s="18" t="s">
        <v>5266</v>
      </c>
      <c r="U2823" s="18"/>
      <c r="V2823" s="18"/>
      <c r="W2823" s="18" t="s">
        <v>5267</v>
      </c>
      <c r="X2823" s="18" t="s">
        <v>42</v>
      </c>
      <c r="Y2823" s="18" t="s">
        <v>36</v>
      </c>
      <c r="Z2823" s="18" t="s">
        <v>697</v>
      </c>
      <c r="AA2823" s="21" t="str">
        <f>HYPERLINK("https://www.ncbi.nlm.nih.gov/nuccore/DQ398045","NCBI Nucleotide")</f>
        <v>NCBI Nucleotide</v>
      </c>
    </row>
    <row r="2824" spans="1:27" x14ac:dyDescent="0.35">
      <c r="A2824">
        <v>1003886</v>
      </c>
      <c r="B2824">
        <v>2800</v>
      </c>
      <c r="C2824">
        <v>1</v>
      </c>
      <c r="D2824" s="17" t="s">
        <v>155</v>
      </c>
      <c r="E2824" s="17"/>
      <c r="F2824" s="17" t="s">
        <v>156</v>
      </c>
      <c r="G2824" s="17"/>
      <c r="H2824" s="17" t="s">
        <v>692</v>
      </c>
      <c r="I2824" s="17"/>
      <c r="J2824" s="17" t="s">
        <v>693</v>
      </c>
      <c r="K2824" s="17"/>
      <c r="L2824" s="17"/>
      <c r="M2824" s="17"/>
      <c r="N2824" s="17"/>
      <c r="O2824" s="17" t="s">
        <v>5067</v>
      </c>
      <c r="P2824" s="17" t="s">
        <v>5081</v>
      </c>
      <c r="Q2824" s="17"/>
      <c r="R2824" s="25" t="str">
        <f>HYPERLINK("https://ictv.global/taxonomy/taxondetails?taxnode_id=202300905","Mycobacterium virus Mozy")</f>
        <v>Mycobacterium virus Mozy</v>
      </c>
      <c r="S2824" s="18" t="s">
        <v>30</v>
      </c>
      <c r="T2824" s="18" t="s">
        <v>5268</v>
      </c>
      <c r="U2824" s="18"/>
      <c r="V2824" s="18"/>
      <c r="W2824" s="18" t="s">
        <v>5269</v>
      </c>
      <c r="X2824" s="18" t="s">
        <v>42</v>
      </c>
      <c r="Y2824" s="18" t="s">
        <v>36</v>
      </c>
      <c r="Z2824" s="18" t="s">
        <v>697</v>
      </c>
      <c r="AA2824" s="21" t="str">
        <f>HYPERLINK("https://www.ncbi.nlm.nih.gov/nuccore/JF937102","NCBI Nucleotide")</f>
        <v>NCBI Nucleotide</v>
      </c>
    </row>
    <row r="2825" spans="1:27" x14ac:dyDescent="0.35">
      <c r="A2825">
        <v>1003887</v>
      </c>
      <c r="B2825">
        <v>2801</v>
      </c>
      <c r="C2825">
        <v>1</v>
      </c>
      <c r="D2825" s="17" t="s">
        <v>155</v>
      </c>
      <c r="E2825" s="17"/>
      <c r="F2825" s="17" t="s">
        <v>156</v>
      </c>
      <c r="G2825" s="17"/>
      <c r="H2825" s="17" t="s">
        <v>692</v>
      </c>
      <c r="I2825" s="17"/>
      <c r="J2825" s="17" t="s">
        <v>693</v>
      </c>
      <c r="K2825" s="17"/>
      <c r="L2825" s="17"/>
      <c r="M2825" s="17"/>
      <c r="N2825" s="17"/>
      <c r="O2825" s="17" t="s">
        <v>5067</v>
      </c>
      <c r="P2825" s="17" t="s">
        <v>5081</v>
      </c>
      <c r="Q2825" s="17"/>
      <c r="R2825" s="25" t="str">
        <f>HYPERLINK("https://ictv.global/taxonomy/taxondetails?taxnode_id=202300906","Mycobacterium virus Mutaforma13")</f>
        <v>Mycobacterium virus Mutaforma13</v>
      </c>
      <c r="S2825" s="18" t="s">
        <v>30</v>
      </c>
      <c r="T2825" s="18" t="s">
        <v>5270</v>
      </c>
      <c r="U2825" s="18"/>
      <c r="V2825" s="18"/>
      <c r="W2825" s="18" t="s">
        <v>5271</v>
      </c>
      <c r="X2825" s="18" t="s">
        <v>42</v>
      </c>
      <c r="Y2825" s="18" t="s">
        <v>36</v>
      </c>
      <c r="Z2825" s="18" t="s">
        <v>697</v>
      </c>
      <c r="AA2825" s="21" t="str">
        <f>HYPERLINK("https://www.ncbi.nlm.nih.gov/nuccore/JN020142","NCBI Nucleotide")</f>
        <v>NCBI Nucleotide</v>
      </c>
    </row>
    <row r="2826" spans="1:27" x14ac:dyDescent="0.35">
      <c r="A2826">
        <v>1003888</v>
      </c>
      <c r="B2826">
        <v>2802</v>
      </c>
      <c r="C2826">
        <v>1</v>
      </c>
      <c r="D2826" s="17" t="s">
        <v>155</v>
      </c>
      <c r="E2826" s="17"/>
      <c r="F2826" s="17" t="s">
        <v>156</v>
      </c>
      <c r="G2826" s="17"/>
      <c r="H2826" s="17" t="s">
        <v>692</v>
      </c>
      <c r="I2826" s="17"/>
      <c r="J2826" s="17" t="s">
        <v>693</v>
      </c>
      <c r="K2826" s="17"/>
      <c r="L2826" s="17"/>
      <c r="M2826" s="17"/>
      <c r="N2826" s="17"/>
      <c r="O2826" s="17" t="s">
        <v>5067</v>
      </c>
      <c r="P2826" s="17" t="s">
        <v>5081</v>
      </c>
      <c r="Q2826" s="17"/>
      <c r="R2826" s="25" t="str">
        <f>HYPERLINK("https://ictv.global/taxonomy/taxondetails?taxnode_id=202300907","Mycobacterium virus Pacc40")</f>
        <v>Mycobacterium virus Pacc40</v>
      </c>
      <c r="S2826" s="18" t="s">
        <v>30</v>
      </c>
      <c r="T2826" s="18" t="s">
        <v>5272</v>
      </c>
      <c r="U2826" s="18"/>
      <c r="V2826" s="18"/>
      <c r="W2826" s="18" t="s">
        <v>5273</v>
      </c>
      <c r="X2826" s="18" t="s">
        <v>42</v>
      </c>
      <c r="Y2826" s="18" t="s">
        <v>36</v>
      </c>
      <c r="Z2826" s="18" t="s">
        <v>697</v>
      </c>
      <c r="AA2826" s="21" t="str">
        <f>HYPERLINK("https://www.ncbi.nlm.nih.gov/nuccore/FJ174692","NCBI Nucleotide")</f>
        <v>NCBI Nucleotide</v>
      </c>
    </row>
    <row r="2827" spans="1:27" x14ac:dyDescent="0.35">
      <c r="A2827">
        <v>1003889</v>
      </c>
      <c r="B2827">
        <v>2803</v>
      </c>
      <c r="C2827">
        <v>1</v>
      </c>
      <c r="D2827" s="17" t="s">
        <v>155</v>
      </c>
      <c r="E2827" s="17"/>
      <c r="F2827" s="17" t="s">
        <v>156</v>
      </c>
      <c r="G2827" s="17"/>
      <c r="H2827" s="17" t="s">
        <v>692</v>
      </c>
      <c r="I2827" s="17"/>
      <c r="J2827" s="17" t="s">
        <v>693</v>
      </c>
      <c r="K2827" s="17"/>
      <c r="L2827" s="17"/>
      <c r="M2827" s="17"/>
      <c r="N2827" s="17"/>
      <c r="O2827" s="17" t="s">
        <v>5067</v>
      </c>
      <c r="P2827" s="17" t="s">
        <v>5081</v>
      </c>
      <c r="Q2827" s="17"/>
      <c r="R2827" s="25" t="str">
        <f>HYPERLINK("https://ictv.global/taxonomy/taxondetails?taxnode_id=202300908","Mycobacterium virus PMC")</f>
        <v>Mycobacterium virus PMC</v>
      </c>
      <c r="S2827" s="18" t="s">
        <v>30</v>
      </c>
      <c r="T2827" s="18" t="s">
        <v>5274</v>
      </c>
      <c r="U2827" s="18"/>
      <c r="V2827" s="18"/>
      <c r="W2827" s="18" t="s">
        <v>5275</v>
      </c>
      <c r="X2827" s="18" t="s">
        <v>42</v>
      </c>
      <c r="Y2827" s="18" t="s">
        <v>36</v>
      </c>
      <c r="Z2827" s="18" t="s">
        <v>697</v>
      </c>
      <c r="AA2827" s="21" t="str">
        <f>HYPERLINK("https://www.ncbi.nlm.nih.gov/nuccore/DQ398050","NCBI Nucleotide")</f>
        <v>NCBI Nucleotide</v>
      </c>
    </row>
    <row r="2828" spans="1:27" x14ac:dyDescent="0.35">
      <c r="A2828">
        <v>1003890</v>
      </c>
      <c r="B2828">
        <v>2804</v>
      </c>
      <c r="C2828">
        <v>1</v>
      </c>
      <c r="D2828" s="17" t="s">
        <v>155</v>
      </c>
      <c r="E2828" s="17"/>
      <c r="F2828" s="17" t="s">
        <v>156</v>
      </c>
      <c r="G2828" s="17"/>
      <c r="H2828" s="17" t="s">
        <v>692</v>
      </c>
      <c r="I2828" s="17"/>
      <c r="J2828" s="17" t="s">
        <v>693</v>
      </c>
      <c r="K2828" s="17"/>
      <c r="L2828" s="17"/>
      <c r="M2828" s="17"/>
      <c r="N2828" s="17"/>
      <c r="O2828" s="17" t="s">
        <v>5067</v>
      </c>
      <c r="P2828" s="17" t="s">
        <v>5081</v>
      </c>
      <c r="Q2828" s="17"/>
      <c r="R2828" s="25" t="str">
        <f>HYPERLINK("https://ictv.global/taxonomy/taxondetails?taxnode_id=202300909","Mycobacterium virus Ramsey")</f>
        <v>Mycobacterium virus Ramsey</v>
      </c>
      <c r="S2828" s="18" t="s">
        <v>30</v>
      </c>
      <c r="T2828" s="18" t="s">
        <v>5276</v>
      </c>
      <c r="U2828" s="18"/>
      <c r="V2828" s="18"/>
      <c r="W2828" s="18" t="s">
        <v>5277</v>
      </c>
      <c r="X2828" s="18" t="s">
        <v>42</v>
      </c>
      <c r="Y2828" s="18" t="s">
        <v>36</v>
      </c>
      <c r="Z2828" s="18" t="s">
        <v>697</v>
      </c>
      <c r="AA2828" s="21" t="str">
        <f>HYPERLINK("https://www.ncbi.nlm.nih.gov/nuccore/FJ174693","NCBI Nucleotide")</f>
        <v>NCBI Nucleotide</v>
      </c>
    </row>
    <row r="2829" spans="1:27" x14ac:dyDescent="0.35">
      <c r="A2829">
        <v>1003891</v>
      </c>
      <c r="B2829">
        <v>2805</v>
      </c>
      <c r="C2829">
        <v>1</v>
      </c>
      <c r="D2829" s="17" t="s">
        <v>155</v>
      </c>
      <c r="E2829" s="17"/>
      <c r="F2829" s="17" t="s">
        <v>156</v>
      </c>
      <c r="G2829" s="17"/>
      <c r="H2829" s="17" t="s">
        <v>692</v>
      </c>
      <c r="I2829" s="17"/>
      <c r="J2829" s="17" t="s">
        <v>693</v>
      </c>
      <c r="K2829" s="17"/>
      <c r="L2829" s="17"/>
      <c r="M2829" s="17"/>
      <c r="N2829" s="17"/>
      <c r="O2829" s="17" t="s">
        <v>5067</v>
      </c>
      <c r="P2829" s="17" t="s">
        <v>5081</v>
      </c>
      <c r="Q2829" s="17"/>
      <c r="R2829" s="25" t="str">
        <f>HYPERLINK("https://ictv.global/taxonomy/taxondetails?taxnode_id=202300910","Mycobacterium virus RockyHorror")</f>
        <v>Mycobacterium virus RockyHorror</v>
      </c>
      <c r="S2829" s="18" t="s">
        <v>30</v>
      </c>
      <c r="T2829" s="18" t="s">
        <v>5278</v>
      </c>
      <c r="U2829" s="18"/>
      <c r="V2829" s="18"/>
      <c r="W2829" s="18" t="s">
        <v>5279</v>
      </c>
      <c r="X2829" s="18" t="s">
        <v>42</v>
      </c>
      <c r="Y2829" s="18" t="s">
        <v>36</v>
      </c>
      <c r="Z2829" s="18" t="s">
        <v>697</v>
      </c>
      <c r="AA2829" s="21" t="str">
        <f>HYPERLINK("https://www.ncbi.nlm.nih.gov/nuccore/JF704117","NCBI Nucleotide")</f>
        <v>NCBI Nucleotide</v>
      </c>
    </row>
    <row r="2830" spans="1:27" x14ac:dyDescent="0.35">
      <c r="A2830">
        <v>1003892</v>
      </c>
      <c r="B2830">
        <v>2806</v>
      </c>
      <c r="C2830">
        <v>1</v>
      </c>
      <c r="D2830" s="17" t="s">
        <v>155</v>
      </c>
      <c r="E2830" s="17"/>
      <c r="F2830" s="17" t="s">
        <v>156</v>
      </c>
      <c r="G2830" s="17"/>
      <c r="H2830" s="17" t="s">
        <v>692</v>
      </c>
      <c r="I2830" s="17"/>
      <c r="J2830" s="17" t="s">
        <v>693</v>
      </c>
      <c r="K2830" s="17"/>
      <c r="L2830" s="17"/>
      <c r="M2830" s="17"/>
      <c r="N2830" s="17"/>
      <c r="O2830" s="17" t="s">
        <v>5067</v>
      </c>
      <c r="P2830" s="17" t="s">
        <v>5081</v>
      </c>
      <c r="Q2830" s="17"/>
      <c r="R2830" s="25" t="str">
        <f>HYPERLINK("https://ictv.global/taxonomy/taxondetails?taxnode_id=202300911","Mycobacterium virus SG4")</f>
        <v>Mycobacterium virus SG4</v>
      </c>
      <c r="S2830" s="18" t="s">
        <v>30</v>
      </c>
      <c r="T2830" s="18" t="s">
        <v>5280</v>
      </c>
      <c r="U2830" s="18"/>
      <c r="V2830" s="18"/>
      <c r="W2830" s="18" t="s">
        <v>5281</v>
      </c>
      <c r="X2830" s="18" t="s">
        <v>42</v>
      </c>
      <c r="Y2830" s="18" t="s">
        <v>36</v>
      </c>
      <c r="Z2830" s="18" t="s">
        <v>697</v>
      </c>
      <c r="AA2830" s="21" t="str">
        <f>HYPERLINK("https://www.ncbi.nlm.nih.gov/nuccore/JN699012","NCBI Nucleotide")</f>
        <v>NCBI Nucleotide</v>
      </c>
    </row>
    <row r="2831" spans="1:27" x14ac:dyDescent="0.35">
      <c r="A2831">
        <v>1003893</v>
      </c>
      <c r="B2831">
        <v>2807</v>
      </c>
      <c r="C2831">
        <v>1</v>
      </c>
      <c r="D2831" s="17" t="s">
        <v>155</v>
      </c>
      <c r="E2831" s="17"/>
      <c r="F2831" s="17" t="s">
        <v>156</v>
      </c>
      <c r="G2831" s="17"/>
      <c r="H2831" s="17" t="s">
        <v>692</v>
      </c>
      <c r="I2831" s="17"/>
      <c r="J2831" s="17" t="s">
        <v>693</v>
      </c>
      <c r="K2831" s="17"/>
      <c r="L2831" s="17"/>
      <c r="M2831" s="17"/>
      <c r="N2831" s="17"/>
      <c r="O2831" s="17" t="s">
        <v>5067</v>
      </c>
      <c r="P2831" s="17" t="s">
        <v>5081</v>
      </c>
      <c r="Q2831" s="17"/>
      <c r="R2831" s="25" t="str">
        <f>HYPERLINK("https://ictv.global/taxonomy/taxondetails?taxnode_id=202300912","Mycobacterium virus Shauna1")</f>
        <v>Mycobacterium virus Shauna1</v>
      </c>
      <c r="S2831" s="18" t="s">
        <v>30</v>
      </c>
      <c r="T2831" s="18" t="s">
        <v>5282</v>
      </c>
      <c r="U2831" s="18"/>
      <c r="V2831" s="18"/>
      <c r="W2831" s="18" t="s">
        <v>5283</v>
      </c>
      <c r="X2831" s="18" t="s">
        <v>42</v>
      </c>
      <c r="Y2831" s="18" t="s">
        <v>36</v>
      </c>
      <c r="Z2831" s="18" t="s">
        <v>697</v>
      </c>
      <c r="AA2831" s="21" t="str">
        <f>HYPERLINK("https://www.ncbi.nlm.nih.gov/nuccore/JN020141","NCBI Nucleotide")</f>
        <v>NCBI Nucleotide</v>
      </c>
    </row>
    <row r="2832" spans="1:27" x14ac:dyDescent="0.35">
      <c r="A2832">
        <v>1003894</v>
      </c>
      <c r="B2832">
        <v>2808</v>
      </c>
      <c r="C2832">
        <v>1</v>
      </c>
      <c r="D2832" s="17" t="s">
        <v>155</v>
      </c>
      <c r="E2832" s="17"/>
      <c r="F2832" s="17" t="s">
        <v>156</v>
      </c>
      <c r="G2832" s="17"/>
      <c r="H2832" s="17" t="s">
        <v>692</v>
      </c>
      <c r="I2832" s="17"/>
      <c r="J2832" s="17" t="s">
        <v>693</v>
      </c>
      <c r="K2832" s="17"/>
      <c r="L2832" s="17"/>
      <c r="M2832" s="17"/>
      <c r="N2832" s="17"/>
      <c r="O2832" s="17" t="s">
        <v>5067</v>
      </c>
      <c r="P2832" s="17" t="s">
        <v>5081</v>
      </c>
      <c r="Q2832" s="17"/>
      <c r="R2832" s="25" t="str">
        <f>HYPERLINK("https://ictv.global/taxonomy/taxondetails?taxnode_id=202300913","Mycobacterium virus Shilan")</f>
        <v>Mycobacterium virus Shilan</v>
      </c>
      <c r="S2832" s="18" t="s">
        <v>30</v>
      </c>
      <c r="T2832" s="18" t="s">
        <v>5284</v>
      </c>
      <c r="U2832" s="18"/>
      <c r="V2832" s="18"/>
      <c r="W2832" s="18" t="s">
        <v>5285</v>
      </c>
      <c r="X2832" s="18" t="s">
        <v>42</v>
      </c>
      <c r="Y2832" s="18" t="s">
        <v>36</v>
      </c>
      <c r="Z2832" s="18" t="s">
        <v>697</v>
      </c>
      <c r="AA2832" s="21" t="str">
        <f>HYPERLINK("https://www.ncbi.nlm.nih.gov/nuccore/JN020143","NCBI Nucleotide")</f>
        <v>NCBI Nucleotide</v>
      </c>
    </row>
    <row r="2833" spans="1:27" x14ac:dyDescent="0.35">
      <c r="A2833">
        <v>1003895</v>
      </c>
      <c r="B2833">
        <v>2809</v>
      </c>
      <c r="C2833">
        <v>1</v>
      </c>
      <c r="D2833" s="17" t="s">
        <v>155</v>
      </c>
      <c r="E2833" s="17"/>
      <c r="F2833" s="17" t="s">
        <v>156</v>
      </c>
      <c r="G2833" s="17"/>
      <c r="H2833" s="17" t="s">
        <v>692</v>
      </c>
      <c r="I2833" s="17"/>
      <c r="J2833" s="17" t="s">
        <v>693</v>
      </c>
      <c r="K2833" s="17"/>
      <c r="L2833" s="17"/>
      <c r="M2833" s="17"/>
      <c r="N2833" s="17"/>
      <c r="O2833" s="17" t="s">
        <v>5067</v>
      </c>
      <c r="P2833" s="17" t="s">
        <v>5081</v>
      </c>
      <c r="Q2833" s="17"/>
      <c r="R2833" s="25" t="str">
        <f>HYPERLINK("https://ictv.global/taxonomy/taxondetails?taxnode_id=202300914","Mycobacterium virus Spartacus")</f>
        <v>Mycobacterium virus Spartacus</v>
      </c>
      <c r="S2833" s="18" t="s">
        <v>30</v>
      </c>
      <c r="T2833" s="18" t="s">
        <v>5286</v>
      </c>
      <c r="U2833" s="18"/>
      <c r="V2833" s="18"/>
      <c r="W2833" s="18" t="s">
        <v>5287</v>
      </c>
      <c r="X2833" s="18" t="s">
        <v>42</v>
      </c>
      <c r="Y2833" s="18" t="s">
        <v>36</v>
      </c>
      <c r="Z2833" s="18" t="s">
        <v>697</v>
      </c>
      <c r="AA2833" s="21" t="str">
        <f>HYPERLINK("https://www.ncbi.nlm.nih.gov/nuccore/JQ300538","NCBI Nucleotide")</f>
        <v>NCBI Nucleotide</v>
      </c>
    </row>
    <row r="2834" spans="1:27" x14ac:dyDescent="0.35">
      <c r="A2834">
        <v>1003896</v>
      </c>
      <c r="B2834">
        <v>2810</v>
      </c>
      <c r="C2834">
        <v>1</v>
      </c>
      <c r="D2834" s="17" t="s">
        <v>155</v>
      </c>
      <c r="E2834" s="17"/>
      <c r="F2834" s="17" t="s">
        <v>156</v>
      </c>
      <c r="G2834" s="17"/>
      <c r="H2834" s="17" t="s">
        <v>692</v>
      </c>
      <c r="I2834" s="17"/>
      <c r="J2834" s="17" t="s">
        <v>693</v>
      </c>
      <c r="K2834" s="17"/>
      <c r="L2834" s="17"/>
      <c r="M2834" s="17"/>
      <c r="N2834" s="17"/>
      <c r="O2834" s="17" t="s">
        <v>5067</v>
      </c>
      <c r="P2834" s="17" t="s">
        <v>5081</v>
      </c>
      <c r="Q2834" s="17"/>
      <c r="R2834" s="25" t="str">
        <f>HYPERLINK("https://ictv.global/taxonomy/taxondetails?taxnode_id=202300915","Mycobacterium virus Taj")</f>
        <v>Mycobacterium virus Taj</v>
      </c>
      <c r="S2834" s="18" t="s">
        <v>30</v>
      </c>
      <c r="T2834" s="18" t="s">
        <v>5288</v>
      </c>
      <c r="U2834" s="18"/>
      <c r="V2834" s="18"/>
      <c r="W2834" s="18" t="s">
        <v>5289</v>
      </c>
      <c r="X2834" s="18" t="s">
        <v>42</v>
      </c>
      <c r="Y2834" s="18" t="s">
        <v>36</v>
      </c>
      <c r="Z2834" s="18" t="s">
        <v>697</v>
      </c>
      <c r="AA2834" s="21" t="str">
        <f>HYPERLINK("https://www.ncbi.nlm.nih.gov/nuccore/JX121091","NCBI Nucleotide")</f>
        <v>NCBI Nucleotide</v>
      </c>
    </row>
    <row r="2835" spans="1:27" x14ac:dyDescent="0.35">
      <c r="A2835">
        <v>1003897</v>
      </c>
      <c r="B2835">
        <v>2811</v>
      </c>
      <c r="C2835">
        <v>1</v>
      </c>
      <c r="D2835" s="17" t="s">
        <v>155</v>
      </c>
      <c r="E2835" s="17"/>
      <c r="F2835" s="17" t="s">
        <v>156</v>
      </c>
      <c r="G2835" s="17"/>
      <c r="H2835" s="17" t="s">
        <v>692</v>
      </c>
      <c r="I2835" s="17"/>
      <c r="J2835" s="17" t="s">
        <v>693</v>
      </c>
      <c r="K2835" s="17"/>
      <c r="L2835" s="17"/>
      <c r="M2835" s="17"/>
      <c r="N2835" s="17"/>
      <c r="O2835" s="17" t="s">
        <v>5067</v>
      </c>
      <c r="P2835" s="17" t="s">
        <v>5081</v>
      </c>
      <c r="Q2835" s="17"/>
      <c r="R2835" s="25" t="str">
        <f>HYPERLINK("https://ictv.global/taxonomy/taxondetails?taxnode_id=202300916","Mycobacterium virus Tweety")</f>
        <v>Mycobacterium virus Tweety</v>
      </c>
      <c r="S2835" s="18" t="s">
        <v>30</v>
      </c>
      <c r="T2835" s="18" t="s">
        <v>5290</v>
      </c>
      <c r="U2835" s="18"/>
      <c r="V2835" s="18"/>
      <c r="W2835" s="18" t="s">
        <v>5291</v>
      </c>
      <c r="X2835" s="18" t="s">
        <v>42</v>
      </c>
      <c r="Y2835" s="18" t="s">
        <v>36</v>
      </c>
      <c r="Z2835" s="18" t="s">
        <v>697</v>
      </c>
      <c r="AA2835" s="21" t="str">
        <f>HYPERLINK("https://www.ncbi.nlm.nih.gov/nuccore/EF536069","NCBI Nucleotide")</f>
        <v>NCBI Nucleotide</v>
      </c>
    </row>
    <row r="2836" spans="1:27" x14ac:dyDescent="0.35">
      <c r="A2836">
        <v>1003898</v>
      </c>
      <c r="B2836">
        <v>2812</v>
      </c>
      <c r="C2836">
        <v>1</v>
      </c>
      <c r="D2836" s="17" t="s">
        <v>155</v>
      </c>
      <c r="E2836" s="17"/>
      <c r="F2836" s="17" t="s">
        <v>156</v>
      </c>
      <c r="G2836" s="17"/>
      <c r="H2836" s="17" t="s">
        <v>692</v>
      </c>
      <c r="I2836" s="17"/>
      <c r="J2836" s="17" t="s">
        <v>693</v>
      </c>
      <c r="K2836" s="17"/>
      <c r="L2836" s="17"/>
      <c r="M2836" s="17"/>
      <c r="N2836" s="17"/>
      <c r="O2836" s="17" t="s">
        <v>5067</v>
      </c>
      <c r="P2836" s="17" t="s">
        <v>5081</v>
      </c>
      <c r="Q2836" s="17"/>
      <c r="R2836" s="25" t="str">
        <f>HYPERLINK("https://ictv.global/taxonomy/taxondetails?taxnode_id=202300917","Mycobacterium virus Wee")</f>
        <v>Mycobacterium virus Wee</v>
      </c>
      <c r="S2836" s="18" t="s">
        <v>30</v>
      </c>
      <c r="T2836" s="18" t="s">
        <v>5292</v>
      </c>
      <c r="U2836" s="18"/>
      <c r="V2836" s="18"/>
      <c r="W2836" s="18" t="s">
        <v>5293</v>
      </c>
      <c r="X2836" s="18" t="s">
        <v>42</v>
      </c>
      <c r="Y2836" s="18" t="s">
        <v>36</v>
      </c>
      <c r="Z2836" s="18" t="s">
        <v>697</v>
      </c>
      <c r="AA2836" s="21" t="str">
        <f>HYPERLINK("https://www.ncbi.nlm.nih.gov/nuccore/HQ728524","NCBI Nucleotide")</f>
        <v>NCBI Nucleotide</v>
      </c>
    </row>
    <row r="2837" spans="1:27" x14ac:dyDescent="0.35">
      <c r="A2837">
        <v>1003899</v>
      </c>
      <c r="B2837">
        <v>2813</v>
      </c>
      <c r="C2837">
        <v>1</v>
      </c>
      <c r="D2837" s="17" t="s">
        <v>155</v>
      </c>
      <c r="E2837" s="17"/>
      <c r="F2837" s="17" t="s">
        <v>156</v>
      </c>
      <c r="G2837" s="17"/>
      <c r="H2837" s="17" t="s">
        <v>692</v>
      </c>
      <c r="I2837" s="17"/>
      <c r="J2837" s="17" t="s">
        <v>693</v>
      </c>
      <c r="K2837" s="17"/>
      <c r="L2837" s="17"/>
      <c r="M2837" s="17"/>
      <c r="N2837" s="17"/>
      <c r="O2837" s="17" t="s">
        <v>5067</v>
      </c>
      <c r="P2837" s="17" t="s">
        <v>5294</v>
      </c>
      <c r="Q2837" s="17"/>
      <c r="R2837" s="25" t="str">
        <f>HYPERLINK("https://ictv.global/taxonomy/taxondetails?taxnode_id=202309899","Mycobacterium virus Cornie")</f>
        <v>Mycobacterium virus Cornie</v>
      </c>
      <c r="S2837" s="18" t="s">
        <v>30</v>
      </c>
      <c r="T2837" s="18" t="s">
        <v>5295</v>
      </c>
      <c r="U2837" s="18"/>
      <c r="V2837" s="18"/>
      <c r="W2837" s="18" t="s">
        <v>5296</v>
      </c>
      <c r="X2837" s="18" t="s">
        <v>42</v>
      </c>
      <c r="Y2837" s="18" t="s">
        <v>36</v>
      </c>
      <c r="Z2837" s="18" t="s">
        <v>697</v>
      </c>
      <c r="AA2837" s="21" t="str">
        <f>HYPERLINK("https://www.ncbi.nlm.nih.gov/nuccore/MN908688","NCBI Nucleotide")</f>
        <v>NCBI Nucleotide</v>
      </c>
    </row>
    <row r="2838" spans="1:27" x14ac:dyDescent="0.35">
      <c r="A2838">
        <v>1003900</v>
      </c>
      <c r="B2838">
        <v>2814</v>
      </c>
      <c r="C2838">
        <v>1</v>
      </c>
      <c r="D2838" s="17" t="s">
        <v>155</v>
      </c>
      <c r="E2838" s="17"/>
      <c r="F2838" s="17" t="s">
        <v>156</v>
      </c>
      <c r="G2838" s="17"/>
      <c r="H2838" s="17" t="s">
        <v>692</v>
      </c>
      <c r="I2838" s="17"/>
      <c r="J2838" s="17" t="s">
        <v>693</v>
      </c>
      <c r="K2838" s="17"/>
      <c r="L2838" s="17"/>
      <c r="M2838" s="17"/>
      <c r="N2838" s="17"/>
      <c r="O2838" s="17" t="s">
        <v>5067</v>
      </c>
      <c r="P2838" s="17" t="s">
        <v>5297</v>
      </c>
      <c r="Q2838" s="17"/>
      <c r="R2838" s="25" t="str">
        <f>HYPERLINK("https://ictv.global/taxonomy/taxondetails?taxnode_id=202312339","Moomoovirus moomoo")</f>
        <v>Moomoovirus moomoo</v>
      </c>
      <c r="S2838" s="18" t="s">
        <v>30</v>
      </c>
      <c r="T2838" s="18" t="s">
        <v>5298</v>
      </c>
      <c r="U2838" s="18"/>
      <c r="V2838" s="18"/>
      <c r="W2838" s="18" t="s">
        <v>5299</v>
      </c>
      <c r="X2838" s="18" t="s">
        <v>42</v>
      </c>
      <c r="Y2838" s="18" t="s">
        <v>36</v>
      </c>
      <c r="Z2838" s="18" t="s">
        <v>697</v>
      </c>
      <c r="AA2838" s="21" t="str">
        <f>HYPERLINK("https://www.ncbi.nlm.nih.gov/nuccore/MH001449","NCBI Nucleotide")</f>
        <v>NCBI Nucleotide</v>
      </c>
    </row>
    <row r="2839" spans="1:27" x14ac:dyDescent="0.35">
      <c r="A2839">
        <v>1003901</v>
      </c>
      <c r="B2839">
        <v>2815</v>
      </c>
      <c r="C2839">
        <v>1</v>
      </c>
      <c r="D2839" s="17" t="s">
        <v>155</v>
      </c>
      <c r="E2839" s="17"/>
      <c r="F2839" s="17" t="s">
        <v>156</v>
      </c>
      <c r="G2839" s="17"/>
      <c r="H2839" s="17" t="s">
        <v>692</v>
      </c>
      <c r="I2839" s="17"/>
      <c r="J2839" s="17" t="s">
        <v>693</v>
      </c>
      <c r="K2839" s="17"/>
      <c r="L2839" s="17"/>
      <c r="M2839" s="17"/>
      <c r="N2839" s="17"/>
      <c r="O2839" s="17" t="s">
        <v>5067</v>
      </c>
      <c r="P2839" s="17" t="s">
        <v>5300</v>
      </c>
      <c r="Q2839" s="17"/>
      <c r="R2839" s="25" t="str">
        <f>HYPERLINK("https://ictv.global/taxonomy/taxondetails?taxnode_id=202311958","Mycobacterium virus Squirty")</f>
        <v>Mycobacterium virus Squirty</v>
      </c>
      <c r="S2839" s="18" t="s">
        <v>30</v>
      </c>
      <c r="T2839" s="18" t="s">
        <v>5301</v>
      </c>
      <c r="U2839" s="18"/>
      <c r="V2839" s="18"/>
      <c r="W2839" s="18" t="s">
        <v>5302</v>
      </c>
      <c r="X2839" s="18" t="s">
        <v>42</v>
      </c>
      <c r="Y2839" s="18" t="s">
        <v>36</v>
      </c>
      <c r="Z2839" s="18" t="s">
        <v>697</v>
      </c>
      <c r="AA2839" s="21" t="str">
        <f>HYPERLINK("https://www.ncbi.nlm.nih.gov/nuccore/KM101124","NCBI Nucleotide")</f>
        <v>NCBI Nucleotide</v>
      </c>
    </row>
    <row r="2840" spans="1:27" x14ac:dyDescent="0.35">
      <c r="A2840">
        <v>1003902</v>
      </c>
      <c r="B2840">
        <v>2816</v>
      </c>
      <c r="C2840">
        <v>1</v>
      </c>
      <c r="D2840" s="17" t="s">
        <v>155</v>
      </c>
      <c r="E2840" s="17"/>
      <c r="F2840" s="17" t="s">
        <v>156</v>
      </c>
      <c r="G2840" s="17"/>
      <c r="H2840" s="17" t="s">
        <v>692</v>
      </c>
      <c r="I2840" s="17"/>
      <c r="J2840" s="17" t="s">
        <v>693</v>
      </c>
      <c r="K2840" s="17"/>
      <c r="L2840" s="17"/>
      <c r="M2840" s="17"/>
      <c r="N2840" s="17"/>
      <c r="O2840" s="17" t="s">
        <v>5067</v>
      </c>
      <c r="P2840" s="17" t="s">
        <v>5303</v>
      </c>
      <c r="Q2840" s="17"/>
      <c r="R2840" s="25" t="str">
        <f>HYPERLINK("https://ictv.global/taxonomy/taxondetails?taxnode_id=202312027","Mycobacterium virus Renaud18")</f>
        <v>Mycobacterium virus Renaud18</v>
      </c>
      <c r="S2840" s="18" t="s">
        <v>30</v>
      </c>
      <c r="T2840" s="18" t="s">
        <v>5304</v>
      </c>
      <c r="U2840" s="18"/>
      <c r="V2840" s="18"/>
      <c r="W2840" s="18" t="s">
        <v>5305</v>
      </c>
      <c r="X2840" s="18" t="s">
        <v>42</v>
      </c>
      <c r="Y2840" s="18" t="s">
        <v>36</v>
      </c>
      <c r="Z2840" s="18" t="s">
        <v>697</v>
      </c>
      <c r="AA2840" s="21" t="str">
        <f>HYPERLINK("https://www.ncbi.nlm.nih.gov/nuccore/MH651187","NCBI Nucleotide")</f>
        <v>NCBI Nucleotide</v>
      </c>
    </row>
    <row r="2841" spans="1:27" x14ac:dyDescent="0.35">
      <c r="A2841">
        <v>1003903</v>
      </c>
      <c r="B2841">
        <v>2817</v>
      </c>
      <c r="C2841">
        <v>1</v>
      </c>
      <c r="D2841" s="17" t="s">
        <v>155</v>
      </c>
      <c r="E2841" s="17"/>
      <c r="F2841" s="17" t="s">
        <v>156</v>
      </c>
      <c r="G2841" s="17"/>
      <c r="H2841" s="17" t="s">
        <v>692</v>
      </c>
      <c r="I2841" s="17"/>
      <c r="J2841" s="17" t="s">
        <v>693</v>
      </c>
      <c r="K2841" s="17"/>
      <c r="L2841" s="17"/>
      <c r="M2841" s="17"/>
      <c r="N2841" s="17"/>
      <c r="O2841" s="17" t="s">
        <v>5067</v>
      </c>
      <c r="P2841" s="17" t="s">
        <v>5303</v>
      </c>
      <c r="Q2841" s="17"/>
      <c r="R2841" s="25" t="str">
        <f>HYPERLINK("https://ictv.global/taxonomy/taxondetails?taxnode_id=202312028","Mycobacterium virus TChen")</f>
        <v>Mycobacterium virus TChen</v>
      </c>
      <c r="S2841" s="18" t="s">
        <v>30</v>
      </c>
      <c r="T2841" s="18" t="s">
        <v>5306</v>
      </c>
      <c r="U2841" s="18"/>
      <c r="V2841" s="18"/>
      <c r="W2841" s="18" t="s">
        <v>5307</v>
      </c>
      <c r="X2841" s="18" t="s">
        <v>42</v>
      </c>
      <c r="Y2841" s="18" t="s">
        <v>36</v>
      </c>
      <c r="Z2841" s="18" t="s">
        <v>697</v>
      </c>
      <c r="AA2841" s="21" t="str">
        <f>HYPERLINK("https://www.ncbi.nlm.nih.gov/nuccore/MH077585","NCBI Nucleotide")</f>
        <v>NCBI Nucleotide</v>
      </c>
    </row>
    <row r="2842" spans="1:27" x14ac:dyDescent="0.35">
      <c r="A2842">
        <v>1003904</v>
      </c>
      <c r="B2842">
        <v>2818</v>
      </c>
      <c r="C2842">
        <v>1</v>
      </c>
      <c r="D2842" s="17" t="s">
        <v>155</v>
      </c>
      <c r="E2842" s="17"/>
      <c r="F2842" s="17" t="s">
        <v>156</v>
      </c>
      <c r="G2842" s="17"/>
      <c r="H2842" s="17" t="s">
        <v>692</v>
      </c>
      <c r="I2842" s="17"/>
      <c r="J2842" s="17" t="s">
        <v>693</v>
      </c>
      <c r="K2842" s="17"/>
      <c r="L2842" s="17"/>
      <c r="M2842" s="17"/>
      <c r="N2842" s="17"/>
      <c r="O2842" s="17" t="s">
        <v>5067</v>
      </c>
      <c r="P2842" s="17" t="s">
        <v>5303</v>
      </c>
      <c r="Q2842" s="17"/>
      <c r="R2842" s="25" t="str">
        <f>HYPERLINK("https://ictv.global/taxonomy/taxondetails?taxnode_id=202312026","Mycobacterium virus ThetaBob")</f>
        <v>Mycobacterium virus ThetaBob</v>
      </c>
      <c r="S2842" s="18" t="s">
        <v>30</v>
      </c>
      <c r="T2842" s="18" t="s">
        <v>5308</v>
      </c>
      <c r="U2842" s="18"/>
      <c r="V2842" s="18"/>
      <c r="W2842" s="18" t="s">
        <v>5309</v>
      </c>
      <c r="X2842" s="18" t="s">
        <v>42</v>
      </c>
      <c r="Y2842" s="18" t="s">
        <v>36</v>
      </c>
      <c r="Z2842" s="18" t="s">
        <v>697</v>
      </c>
      <c r="AA2842" s="21" t="str">
        <f>HYPERLINK("https://www.ncbi.nlm.nih.gov/nuccore/MK977709","NCBI Nucleotide")</f>
        <v>NCBI Nucleotide</v>
      </c>
    </row>
    <row r="2843" spans="1:27" x14ac:dyDescent="0.35">
      <c r="A2843">
        <v>1004650</v>
      </c>
      <c r="B2843">
        <v>2819</v>
      </c>
      <c r="C2843">
        <v>1</v>
      </c>
      <c r="D2843" s="17" t="s">
        <v>155</v>
      </c>
      <c r="E2843" s="17"/>
      <c r="F2843" s="17" t="s">
        <v>156</v>
      </c>
      <c r="G2843" s="17"/>
      <c r="H2843" s="17" t="s">
        <v>692</v>
      </c>
      <c r="I2843" s="17"/>
      <c r="J2843" s="17" t="s">
        <v>693</v>
      </c>
      <c r="K2843" s="17"/>
      <c r="L2843" s="17"/>
      <c r="M2843" s="17"/>
      <c r="N2843" s="17"/>
      <c r="O2843" s="17" t="s">
        <v>39557</v>
      </c>
      <c r="P2843" s="17" t="s">
        <v>1004</v>
      </c>
      <c r="Q2843" s="17"/>
      <c r="R2843" s="25" t="str">
        <f>HYPERLINK("https://ictv.global/taxonomy/taxondetails?taxnode_id=202307091","Beetrevirus B3")</f>
        <v>Beetrevirus B3</v>
      </c>
      <c r="S2843" s="18" t="s">
        <v>30</v>
      </c>
      <c r="T2843" s="18" t="s">
        <v>1005</v>
      </c>
      <c r="U2843" s="18"/>
      <c r="V2843" s="18"/>
      <c r="W2843" s="18" t="s">
        <v>1006</v>
      </c>
      <c r="X2843" s="18" t="s">
        <v>42</v>
      </c>
      <c r="Y2843" s="18" t="s">
        <v>36</v>
      </c>
      <c r="Z2843" s="18" t="s">
        <v>697</v>
      </c>
      <c r="AA2843" s="21" t="str">
        <f>HYPERLINK("https://www.ncbi.nlm.nih.gov/nuccore/AF232233","NCBI Nucleotide")</f>
        <v>NCBI Nucleotide</v>
      </c>
    </row>
    <row r="2844" spans="1:27" x14ac:dyDescent="0.35">
      <c r="A2844">
        <v>1024959</v>
      </c>
      <c r="B2844">
        <v>2820</v>
      </c>
      <c r="C2844">
        <v>1</v>
      </c>
      <c r="D2844" s="17" t="s">
        <v>155</v>
      </c>
      <c r="E2844" s="17"/>
      <c r="F2844" s="17" t="s">
        <v>156</v>
      </c>
      <c r="G2844" s="17"/>
      <c r="H2844" s="17" t="s">
        <v>692</v>
      </c>
      <c r="I2844" s="17"/>
      <c r="J2844" s="17" t="s">
        <v>693</v>
      </c>
      <c r="K2844" s="17"/>
      <c r="L2844" s="17"/>
      <c r="M2844" s="17"/>
      <c r="N2844" s="17"/>
      <c r="O2844" s="17" t="s">
        <v>39557</v>
      </c>
      <c r="P2844" s="17" t="s">
        <v>39558</v>
      </c>
      <c r="Q2844" s="17"/>
      <c r="R2844" s="25" t="str">
        <f>HYPERLINK("https://ictv.global/taxonomy/taxondetails?taxnode_id=202319047","Mechnikovvirus CF78a")</f>
        <v>Mechnikovvirus CF78a</v>
      </c>
      <c r="S2844" s="18" t="s">
        <v>30</v>
      </c>
      <c r="T2844" s="18" t="s">
        <v>39559</v>
      </c>
      <c r="U2844" s="18"/>
      <c r="V2844" s="18"/>
      <c r="W2844" s="18" t="s">
        <v>48263</v>
      </c>
      <c r="X2844" s="18" t="s">
        <v>35</v>
      </c>
      <c r="Y2844" s="18" t="s">
        <v>36</v>
      </c>
      <c r="Z2844" s="18" t="s">
        <v>697</v>
      </c>
      <c r="AA2844" s="21" t="str">
        <f>HYPERLINK("https://www.ncbi.nlm.nih.gov/nuccore/MK511059","NCBI Nucleotide")</f>
        <v>NCBI Nucleotide</v>
      </c>
    </row>
    <row r="2845" spans="1:27" x14ac:dyDescent="0.35">
      <c r="A2845">
        <v>1004651</v>
      </c>
      <c r="B2845">
        <v>2821</v>
      </c>
      <c r="C2845">
        <v>1</v>
      </c>
      <c r="D2845" s="17" t="s">
        <v>155</v>
      </c>
      <c r="E2845" s="17"/>
      <c r="F2845" s="17" t="s">
        <v>156</v>
      </c>
      <c r="G2845" s="17"/>
      <c r="H2845" s="17" t="s">
        <v>692</v>
      </c>
      <c r="I2845" s="17"/>
      <c r="J2845" s="17" t="s">
        <v>693</v>
      </c>
      <c r="K2845" s="17"/>
      <c r="L2845" s="17"/>
      <c r="M2845" s="17"/>
      <c r="N2845" s="17"/>
      <c r="O2845" s="17" t="s">
        <v>39557</v>
      </c>
      <c r="P2845" s="17" t="s">
        <v>39558</v>
      </c>
      <c r="Q2845" s="17"/>
      <c r="R2845" s="25" t="str">
        <f>HYPERLINK("https://ictv.global/taxonomy/taxondetails?taxnode_id=202307094","Mechnikovvirus JBD67")</f>
        <v>Mechnikovvirus JBD67</v>
      </c>
      <c r="S2845" s="18" t="s">
        <v>30</v>
      </c>
      <c r="T2845" s="18" t="s">
        <v>1007</v>
      </c>
      <c r="U2845" s="18"/>
      <c r="V2845" s="18"/>
      <c r="W2845" s="18" t="s">
        <v>1008</v>
      </c>
      <c r="X2845" s="18" t="s">
        <v>42</v>
      </c>
      <c r="Y2845" s="18" t="s">
        <v>36</v>
      </c>
      <c r="Z2845" s="18" t="s">
        <v>697</v>
      </c>
      <c r="AA2845" s="21" t="str">
        <f>HYPERLINK("https://www.ncbi.nlm.nih.gov/nuccore/JX495043","NCBI Nucleotide")</f>
        <v>NCBI Nucleotide</v>
      </c>
    </row>
    <row r="2846" spans="1:27" x14ac:dyDescent="0.35">
      <c r="A2846">
        <v>1004652</v>
      </c>
      <c r="B2846">
        <v>2822</v>
      </c>
      <c r="C2846">
        <v>1</v>
      </c>
      <c r="D2846" s="17" t="s">
        <v>155</v>
      </c>
      <c r="E2846" s="17"/>
      <c r="F2846" s="17" t="s">
        <v>156</v>
      </c>
      <c r="G2846" s="17"/>
      <c r="H2846" s="17" t="s">
        <v>692</v>
      </c>
      <c r="I2846" s="17"/>
      <c r="J2846" s="17" t="s">
        <v>693</v>
      </c>
      <c r="K2846" s="17"/>
      <c r="L2846" s="17"/>
      <c r="M2846" s="17"/>
      <c r="N2846" s="17"/>
      <c r="O2846" s="17" t="s">
        <v>39557</v>
      </c>
      <c r="P2846" s="17" t="s">
        <v>39558</v>
      </c>
      <c r="Q2846" s="17"/>
      <c r="R2846" s="25" t="str">
        <f>HYPERLINK("https://ictv.global/taxonomy/taxondetails?taxnode_id=202307092","Mechnikovvirus JD18")</f>
        <v>Mechnikovvirus JD18</v>
      </c>
      <c r="S2846" s="18" t="s">
        <v>30</v>
      </c>
      <c r="T2846" s="18" t="s">
        <v>1009</v>
      </c>
      <c r="U2846" s="18"/>
      <c r="V2846" s="18"/>
      <c r="W2846" s="18" t="s">
        <v>1010</v>
      </c>
      <c r="X2846" s="18" t="s">
        <v>154</v>
      </c>
      <c r="Y2846" s="18" t="s">
        <v>36</v>
      </c>
      <c r="Z2846" s="18" t="s">
        <v>697</v>
      </c>
      <c r="AA2846" s="21" t="str">
        <f>HYPERLINK("https://www.ncbi.nlm.nih.gov/nuccore/JX495041","NCBI Nucleotide")</f>
        <v>NCBI Nucleotide</v>
      </c>
    </row>
    <row r="2847" spans="1:27" x14ac:dyDescent="0.35">
      <c r="A2847">
        <v>1004653</v>
      </c>
      <c r="B2847">
        <v>2823</v>
      </c>
      <c r="C2847">
        <v>1</v>
      </c>
      <c r="D2847" s="17" t="s">
        <v>155</v>
      </c>
      <c r="E2847" s="17"/>
      <c r="F2847" s="17" t="s">
        <v>156</v>
      </c>
      <c r="G2847" s="17"/>
      <c r="H2847" s="17" t="s">
        <v>692</v>
      </c>
      <c r="I2847" s="17"/>
      <c r="J2847" s="17" t="s">
        <v>693</v>
      </c>
      <c r="K2847" s="17"/>
      <c r="L2847" s="17"/>
      <c r="M2847" s="17"/>
      <c r="N2847" s="17"/>
      <c r="O2847" s="17" t="s">
        <v>39557</v>
      </c>
      <c r="P2847" s="17" t="s">
        <v>39558</v>
      </c>
      <c r="Q2847" s="17"/>
      <c r="R2847" s="25" t="str">
        <f>HYPERLINK("https://ictv.global/taxonomy/taxondetails?taxnode_id=202307093","Mechnikovvirus PM105")</f>
        <v>Mechnikovvirus PM105</v>
      </c>
      <c r="S2847" s="18" t="s">
        <v>30</v>
      </c>
      <c r="T2847" s="18" t="s">
        <v>1011</v>
      </c>
      <c r="U2847" s="18"/>
      <c r="V2847" s="18"/>
      <c r="W2847" s="18" t="s">
        <v>1012</v>
      </c>
      <c r="X2847" s="18" t="s">
        <v>42</v>
      </c>
      <c r="Y2847" s="18" t="s">
        <v>36</v>
      </c>
      <c r="Z2847" s="18" t="s">
        <v>697</v>
      </c>
      <c r="AA2847" s="21" t="str">
        <f>HYPERLINK("https://www.ncbi.nlm.nih.gov/nuccore/LN898172","NCBI Nucleotide")</f>
        <v>NCBI Nucleotide</v>
      </c>
    </row>
    <row r="2848" spans="1:27" x14ac:dyDescent="0.35">
      <c r="A2848">
        <v>1024960</v>
      </c>
      <c r="B2848">
        <v>2824</v>
      </c>
      <c r="C2848">
        <v>1</v>
      </c>
      <c r="D2848" s="17" t="s">
        <v>155</v>
      </c>
      <c r="E2848" s="17"/>
      <c r="F2848" s="17" t="s">
        <v>156</v>
      </c>
      <c r="G2848" s="17"/>
      <c r="H2848" s="17" t="s">
        <v>692</v>
      </c>
      <c r="I2848" s="17"/>
      <c r="J2848" s="17" t="s">
        <v>693</v>
      </c>
      <c r="K2848" s="17"/>
      <c r="L2848" s="17"/>
      <c r="M2848" s="17"/>
      <c r="N2848" s="17"/>
      <c r="O2848" s="17" t="s">
        <v>39557</v>
      </c>
      <c r="P2848" s="17" t="s">
        <v>39558</v>
      </c>
      <c r="Q2848" s="17"/>
      <c r="R2848" s="25" t="str">
        <f>HYPERLINK("https://ictv.global/taxonomy/taxondetails?taxnode_id=202319045","Mechnikovvirus ps60")</f>
        <v>Mechnikovvirus ps60</v>
      </c>
      <c r="S2848" s="18" t="s">
        <v>30</v>
      </c>
      <c r="T2848" s="18" t="s">
        <v>39560</v>
      </c>
      <c r="U2848" s="18"/>
      <c r="V2848" s="18"/>
      <c r="W2848" s="18" t="s">
        <v>48264</v>
      </c>
      <c r="X2848" s="18" t="s">
        <v>42</v>
      </c>
      <c r="Y2848" s="18" t="s">
        <v>36</v>
      </c>
      <c r="Z2848" s="18" t="s">
        <v>697</v>
      </c>
      <c r="AA2848" s="21" t="str">
        <f>HYPERLINK("https://www.ncbi.nlm.nih.gov/nuccore/MH719194","NCBI Nucleotide")</f>
        <v>NCBI Nucleotide</v>
      </c>
    </row>
    <row r="2849" spans="1:27" x14ac:dyDescent="0.35">
      <c r="A2849">
        <v>1024961</v>
      </c>
      <c r="B2849">
        <v>2825</v>
      </c>
      <c r="C2849">
        <v>1</v>
      </c>
      <c r="D2849" s="17" t="s">
        <v>155</v>
      </c>
      <c r="E2849" s="17"/>
      <c r="F2849" s="17" t="s">
        <v>156</v>
      </c>
      <c r="G2849" s="17"/>
      <c r="H2849" s="17" t="s">
        <v>692</v>
      </c>
      <c r="I2849" s="17"/>
      <c r="J2849" s="17" t="s">
        <v>693</v>
      </c>
      <c r="K2849" s="17"/>
      <c r="L2849" s="17"/>
      <c r="M2849" s="17"/>
      <c r="N2849" s="17"/>
      <c r="O2849" s="17" t="s">
        <v>39557</v>
      </c>
      <c r="P2849" s="17" t="s">
        <v>39558</v>
      </c>
      <c r="Q2849" s="17"/>
      <c r="R2849" s="25" t="str">
        <f>HYPERLINK("https://ictv.global/taxonomy/taxondetails?taxnode_id=202319046","Mechnikovvirus SS2019XII")</f>
        <v>Mechnikovvirus SS2019XII</v>
      </c>
      <c r="S2849" s="18" t="s">
        <v>30</v>
      </c>
      <c r="T2849" s="18" t="s">
        <v>39561</v>
      </c>
      <c r="U2849" s="18"/>
      <c r="V2849" s="18"/>
      <c r="W2849" s="18" t="s">
        <v>48265</v>
      </c>
      <c r="X2849" s="18" t="s">
        <v>42</v>
      </c>
      <c r="Y2849" s="18" t="s">
        <v>36</v>
      </c>
      <c r="Z2849" s="18" t="s">
        <v>697</v>
      </c>
      <c r="AA2849" s="21" t="str">
        <f>HYPERLINK("https://www.ncbi.nlm.nih.gov/nuccore/MN536027","NCBI Nucleotide")</f>
        <v>NCBI Nucleotide</v>
      </c>
    </row>
    <row r="2850" spans="1:27" x14ac:dyDescent="0.35">
      <c r="A2850">
        <v>1024939</v>
      </c>
      <c r="B2850">
        <v>2826</v>
      </c>
      <c r="C2850">
        <v>1</v>
      </c>
      <c r="D2850" s="17" t="s">
        <v>155</v>
      </c>
      <c r="E2850" s="17"/>
      <c r="F2850" s="17" t="s">
        <v>156</v>
      </c>
      <c r="G2850" s="17"/>
      <c r="H2850" s="17" t="s">
        <v>692</v>
      </c>
      <c r="I2850" s="17"/>
      <c r="J2850" s="17" t="s">
        <v>693</v>
      </c>
      <c r="K2850" s="17"/>
      <c r="L2850" s="17"/>
      <c r="M2850" s="17"/>
      <c r="N2850" s="17"/>
      <c r="O2850" s="17" t="s">
        <v>39557</v>
      </c>
      <c r="P2850" s="17" t="s">
        <v>39562</v>
      </c>
      <c r="Q2850" s="17"/>
      <c r="R2850" s="25" t="str">
        <f>HYPERLINK("https://ictv.global/taxonomy/taxondetails?taxnode_id=202319041","Torontovirus Fc02")</f>
        <v>Torontovirus Fc02</v>
      </c>
      <c r="S2850" s="18" t="s">
        <v>30</v>
      </c>
      <c r="T2850" s="18" t="s">
        <v>39563</v>
      </c>
      <c r="U2850" s="18"/>
      <c r="V2850" s="18"/>
      <c r="W2850" s="18" t="s">
        <v>48266</v>
      </c>
      <c r="X2850" s="18" t="s">
        <v>42</v>
      </c>
      <c r="Y2850" s="18" t="s">
        <v>36</v>
      </c>
      <c r="Z2850" s="18" t="s">
        <v>697</v>
      </c>
      <c r="AA2850" s="21" t="str">
        <f>HYPERLINK("https://www.ncbi.nlm.nih.gov/nuccore/MH719189","NCBI Nucleotide")</f>
        <v>NCBI Nucleotide</v>
      </c>
    </row>
    <row r="2851" spans="1:27" x14ac:dyDescent="0.35">
      <c r="A2851">
        <v>1024940</v>
      </c>
      <c r="B2851">
        <v>2827</v>
      </c>
      <c r="C2851">
        <v>1</v>
      </c>
      <c r="D2851" s="17" t="s">
        <v>155</v>
      </c>
      <c r="E2851" s="17"/>
      <c r="F2851" s="17" t="s">
        <v>156</v>
      </c>
      <c r="G2851" s="17"/>
      <c r="H2851" s="17" t="s">
        <v>692</v>
      </c>
      <c r="I2851" s="17"/>
      <c r="J2851" s="17" t="s">
        <v>693</v>
      </c>
      <c r="K2851" s="17"/>
      <c r="L2851" s="17"/>
      <c r="M2851" s="17"/>
      <c r="N2851" s="17"/>
      <c r="O2851" s="17" t="s">
        <v>39557</v>
      </c>
      <c r="P2851" s="17" t="s">
        <v>39562</v>
      </c>
      <c r="Q2851" s="17"/>
      <c r="R2851" s="25" t="str">
        <f>HYPERLINK("https://ictv.global/taxonomy/taxondetails?taxnode_id=202319039","Torontovirus Fc22")</f>
        <v>Torontovirus Fc22</v>
      </c>
      <c r="S2851" s="18" t="s">
        <v>30</v>
      </c>
      <c r="T2851" s="18" t="s">
        <v>39564</v>
      </c>
      <c r="U2851" s="18"/>
      <c r="V2851" s="18"/>
      <c r="W2851" s="18" t="s">
        <v>48267</v>
      </c>
      <c r="X2851" s="18" t="s">
        <v>42</v>
      </c>
      <c r="Y2851" s="18" t="s">
        <v>36</v>
      </c>
      <c r="Z2851" s="18" t="s">
        <v>697</v>
      </c>
      <c r="AA2851" s="21" t="str">
        <f>HYPERLINK("https://www.ncbi.nlm.nih.gov/nuccore/MH719191","NCBI Nucleotide")</f>
        <v>NCBI Nucleotide</v>
      </c>
    </row>
    <row r="2852" spans="1:27" x14ac:dyDescent="0.35">
      <c r="A2852">
        <v>1024941</v>
      </c>
      <c r="B2852">
        <v>2828</v>
      </c>
      <c r="C2852">
        <v>1</v>
      </c>
      <c r="D2852" s="17" t="s">
        <v>155</v>
      </c>
      <c r="E2852" s="17"/>
      <c r="F2852" s="17" t="s">
        <v>156</v>
      </c>
      <c r="G2852" s="17"/>
      <c r="H2852" s="17" t="s">
        <v>692</v>
      </c>
      <c r="I2852" s="17"/>
      <c r="J2852" s="17" t="s">
        <v>693</v>
      </c>
      <c r="K2852" s="17"/>
      <c r="L2852" s="17"/>
      <c r="M2852" s="17"/>
      <c r="N2852" s="17"/>
      <c r="O2852" s="17" t="s">
        <v>39557</v>
      </c>
      <c r="P2852" s="17" t="s">
        <v>39562</v>
      </c>
      <c r="Q2852" s="17"/>
      <c r="R2852" s="25" t="str">
        <f>HYPERLINK("https://ictv.global/taxonomy/taxondetails?taxnode_id=202319043","Torontovirus H71")</f>
        <v>Torontovirus H71</v>
      </c>
      <c r="S2852" s="18" t="s">
        <v>30</v>
      </c>
      <c r="T2852" s="18" t="s">
        <v>39565</v>
      </c>
      <c r="U2852" s="18"/>
      <c r="V2852" s="18"/>
      <c r="W2852" s="18" t="s">
        <v>48268</v>
      </c>
      <c r="X2852" s="18" t="s">
        <v>42</v>
      </c>
      <c r="Y2852" s="18" t="s">
        <v>36</v>
      </c>
      <c r="Z2852" s="18" t="s">
        <v>697</v>
      </c>
      <c r="AA2852" s="21" t="str">
        <f>HYPERLINK("https://www.ncbi.nlm.nih.gov/nuccore/MH719190","NCBI Nucleotide")</f>
        <v>NCBI Nucleotide</v>
      </c>
    </row>
    <row r="2853" spans="1:27" x14ac:dyDescent="0.35">
      <c r="A2853">
        <v>1024942</v>
      </c>
      <c r="B2853">
        <v>2829</v>
      </c>
      <c r="C2853">
        <v>1</v>
      </c>
      <c r="D2853" s="17" t="s">
        <v>155</v>
      </c>
      <c r="E2853" s="17"/>
      <c r="F2853" s="17" t="s">
        <v>156</v>
      </c>
      <c r="G2853" s="17"/>
      <c r="H2853" s="17" t="s">
        <v>692</v>
      </c>
      <c r="I2853" s="17"/>
      <c r="J2853" s="17" t="s">
        <v>693</v>
      </c>
      <c r="K2853" s="17"/>
      <c r="L2853" s="17"/>
      <c r="M2853" s="17"/>
      <c r="N2853" s="17"/>
      <c r="O2853" s="17" t="s">
        <v>39557</v>
      </c>
      <c r="P2853" s="17" t="s">
        <v>39562</v>
      </c>
      <c r="Q2853" s="17"/>
      <c r="R2853" s="25" t="str">
        <f>HYPERLINK("https://ictv.global/taxonomy/taxondetails?taxnode_id=202319042","Torontovirus H72")</f>
        <v>Torontovirus H72</v>
      </c>
      <c r="S2853" s="18" t="s">
        <v>30</v>
      </c>
      <c r="T2853" s="18" t="s">
        <v>39566</v>
      </c>
      <c r="U2853" s="18"/>
      <c r="V2853" s="18"/>
      <c r="W2853" s="18" t="s">
        <v>48269</v>
      </c>
      <c r="X2853" s="18" t="s">
        <v>42</v>
      </c>
      <c r="Y2853" s="18" t="s">
        <v>36</v>
      </c>
      <c r="Z2853" s="18" t="s">
        <v>697</v>
      </c>
      <c r="AA2853" s="21" t="str">
        <f>HYPERLINK("https://www.ncbi.nlm.nih.gov/nuccore/MH719193","NCBI Nucleotide")</f>
        <v>NCBI Nucleotide</v>
      </c>
    </row>
    <row r="2854" spans="1:27" x14ac:dyDescent="0.35">
      <c r="A2854">
        <v>1024943</v>
      </c>
      <c r="B2854">
        <v>2830</v>
      </c>
      <c r="C2854">
        <v>1</v>
      </c>
      <c r="D2854" s="17" t="s">
        <v>155</v>
      </c>
      <c r="E2854" s="17"/>
      <c r="F2854" s="17" t="s">
        <v>156</v>
      </c>
      <c r="G2854" s="17"/>
      <c r="H2854" s="17" t="s">
        <v>692</v>
      </c>
      <c r="I2854" s="17"/>
      <c r="J2854" s="17" t="s">
        <v>693</v>
      </c>
      <c r="K2854" s="17"/>
      <c r="L2854" s="17"/>
      <c r="M2854" s="17"/>
      <c r="N2854" s="17"/>
      <c r="O2854" s="17" t="s">
        <v>39557</v>
      </c>
      <c r="P2854" s="17" t="s">
        <v>39562</v>
      </c>
      <c r="Q2854" s="17"/>
      <c r="R2854" s="25" t="str">
        <f>HYPERLINK("https://ictv.global/taxonomy/taxondetails?taxnode_id=202319038","Torontovirus JBD25")</f>
        <v>Torontovirus JBD25</v>
      </c>
      <c r="S2854" s="18" t="s">
        <v>30</v>
      </c>
      <c r="T2854" s="18" t="s">
        <v>39567</v>
      </c>
      <c r="U2854" s="18"/>
      <c r="V2854" s="18"/>
      <c r="W2854" s="18" t="s">
        <v>39568</v>
      </c>
      <c r="X2854" s="18" t="s">
        <v>42</v>
      </c>
      <c r="Y2854" s="18" t="s">
        <v>36</v>
      </c>
      <c r="Z2854" s="18" t="s">
        <v>697</v>
      </c>
      <c r="AA2854" s="21" t="str">
        <f>HYPERLINK("https://www.ncbi.nlm.nih.gov/nuccore/JX495042","NCBI Nucleotide")</f>
        <v>NCBI Nucleotide</v>
      </c>
    </row>
    <row r="2855" spans="1:27" x14ac:dyDescent="0.35">
      <c r="A2855">
        <v>1024944</v>
      </c>
      <c r="B2855">
        <v>2831</v>
      </c>
      <c r="C2855">
        <v>1</v>
      </c>
      <c r="D2855" s="17" t="s">
        <v>155</v>
      </c>
      <c r="E2855" s="17"/>
      <c r="F2855" s="17" t="s">
        <v>156</v>
      </c>
      <c r="G2855" s="17"/>
      <c r="H2855" s="17" t="s">
        <v>692</v>
      </c>
      <c r="I2855" s="17"/>
      <c r="J2855" s="17" t="s">
        <v>693</v>
      </c>
      <c r="K2855" s="17"/>
      <c r="L2855" s="17"/>
      <c r="M2855" s="17"/>
      <c r="N2855" s="17"/>
      <c r="O2855" s="17" t="s">
        <v>39557</v>
      </c>
      <c r="P2855" s="17" t="s">
        <v>39562</v>
      </c>
      <c r="Q2855" s="17"/>
      <c r="R2855" s="25" t="str">
        <f>HYPERLINK("https://ictv.global/taxonomy/taxondetails?taxnode_id=202319040","Torontovirus Ps59")</f>
        <v>Torontovirus Ps59</v>
      </c>
      <c r="S2855" s="18" t="s">
        <v>30</v>
      </c>
      <c r="T2855" s="18" t="s">
        <v>39569</v>
      </c>
      <c r="U2855" s="18"/>
      <c r="V2855" s="18"/>
      <c r="W2855" s="18" t="s">
        <v>48270</v>
      </c>
      <c r="X2855" s="18" t="s">
        <v>42</v>
      </c>
      <c r="Y2855" s="18" t="s">
        <v>36</v>
      </c>
      <c r="Z2855" s="18" t="s">
        <v>697</v>
      </c>
      <c r="AA2855" s="21" t="str">
        <f>HYPERLINK("https://www.ncbi.nlm.nih.gov/nuccore/MH719195","NCBI Nucleotide")</f>
        <v>NCBI Nucleotide</v>
      </c>
    </row>
    <row r="2856" spans="1:27" x14ac:dyDescent="0.35">
      <c r="A2856">
        <v>1024945</v>
      </c>
      <c r="B2856">
        <v>2832</v>
      </c>
      <c r="C2856">
        <v>1</v>
      </c>
      <c r="D2856" s="17" t="s">
        <v>155</v>
      </c>
      <c r="E2856" s="17"/>
      <c r="F2856" s="17" t="s">
        <v>156</v>
      </c>
      <c r="G2856" s="17"/>
      <c r="H2856" s="17" t="s">
        <v>692</v>
      </c>
      <c r="I2856" s="17"/>
      <c r="J2856" s="17" t="s">
        <v>693</v>
      </c>
      <c r="K2856" s="17"/>
      <c r="L2856" s="17"/>
      <c r="M2856" s="17"/>
      <c r="N2856" s="17"/>
      <c r="O2856" s="17" t="s">
        <v>39557</v>
      </c>
      <c r="P2856" s="17" t="s">
        <v>39562</v>
      </c>
      <c r="Q2856" s="17"/>
      <c r="R2856" s="25" t="str">
        <f>HYPERLINK("https://ictv.global/taxonomy/taxondetails?taxnode_id=202319044","Torontovirus UMP151")</f>
        <v>Torontovirus UMP151</v>
      </c>
      <c r="S2856" s="18" t="s">
        <v>30</v>
      </c>
      <c r="T2856" s="18" t="s">
        <v>39570</v>
      </c>
      <c r="U2856" s="18"/>
      <c r="V2856" s="18"/>
      <c r="W2856" s="18" t="s">
        <v>48271</v>
      </c>
      <c r="X2856" s="18" t="s">
        <v>42</v>
      </c>
      <c r="Y2856" s="18" t="s">
        <v>36</v>
      </c>
      <c r="Z2856" s="18" t="s">
        <v>697</v>
      </c>
      <c r="AA2856" s="21" t="str">
        <f>HYPERLINK("https://www.ncbi.nlm.nih.gov/nuccore/MK934841","NCBI Nucleotide")</f>
        <v>NCBI Nucleotide</v>
      </c>
    </row>
    <row r="2857" spans="1:27" x14ac:dyDescent="0.35">
      <c r="A2857">
        <v>1024608</v>
      </c>
      <c r="B2857">
        <v>2833</v>
      </c>
      <c r="C2857">
        <v>1</v>
      </c>
      <c r="D2857" s="17" t="s">
        <v>155</v>
      </c>
      <c r="E2857" s="17"/>
      <c r="F2857" s="17" t="s">
        <v>156</v>
      </c>
      <c r="G2857" s="17"/>
      <c r="H2857" s="17" t="s">
        <v>692</v>
      </c>
      <c r="I2857" s="17"/>
      <c r="J2857" s="17" t="s">
        <v>693</v>
      </c>
      <c r="K2857" s="17"/>
      <c r="L2857" s="17"/>
      <c r="M2857" s="17"/>
      <c r="N2857" s="17"/>
      <c r="O2857" s="17" t="s">
        <v>5310</v>
      </c>
      <c r="P2857" s="17" t="s">
        <v>5311</v>
      </c>
      <c r="Q2857" s="17"/>
      <c r="R2857" s="25" t="str">
        <f>HYPERLINK("https://ictv.global/taxonomy/taxondetails?taxnode_id=202318277","Cornellvirus GRNsp27")</f>
        <v>Cornellvirus GRNsp27</v>
      </c>
      <c r="S2857" s="18" t="s">
        <v>30</v>
      </c>
      <c r="T2857" s="18" t="s">
        <v>39571</v>
      </c>
      <c r="U2857" s="18"/>
      <c r="V2857" s="18"/>
      <c r="W2857" s="18" t="s">
        <v>48272</v>
      </c>
      <c r="X2857" s="18" t="s">
        <v>42</v>
      </c>
      <c r="Y2857" s="18" t="s">
        <v>36</v>
      </c>
      <c r="Z2857" s="18" t="s">
        <v>697</v>
      </c>
      <c r="AA2857" s="21" t="str">
        <f>HYPERLINK("https://www.ncbi.nlm.nih.gov/nuccore/ON720976","NCBI Nucleotide")</f>
        <v>NCBI Nucleotide</v>
      </c>
    </row>
    <row r="2858" spans="1:27" x14ac:dyDescent="0.35">
      <c r="A2858">
        <v>1024609</v>
      </c>
      <c r="B2858">
        <v>2834</v>
      </c>
      <c r="C2858">
        <v>1</v>
      </c>
      <c r="D2858" s="17" t="s">
        <v>155</v>
      </c>
      <c r="E2858" s="17"/>
      <c r="F2858" s="17" t="s">
        <v>156</v>
      </c>
      <c r="G2858" s="17"/>
      <c r="H2858" s="17" t="s">
        <v>692</v>
      </c>
      <c r="I2858" s="17"/>
      <c r="J2858" s="17" t="s">
        <v>693</v>
      </c>
      <c r="K2858" s="17"/>
      <c r="L2858" s="17"/>
      <c r="M2858" s="17"/>
      <c r="N2858" s="17"/>
      <c r="O2858" s="17" t="s">
        <v>5310</v>
      </c>
      <c r="P2858" s="17" t="s">
        <v>5311</v>
      </c>
      <c r="Q2858" s="17"/>
      <c r="R2858" s="25" t="str">
        <f>HYPERLINK("https://ictv.global/taxonomy/taxondetails?taxnode_id=202318281","Cornellvirus SE1")</f>
        <v>Cornellvirus SE1</v>
      </c>
      <c r="S2858" s="18" t="s">
        <v>30</v>
      </c>
      <c r="T2858" s="18" t="s">
        <v>39572</v>
      </c>
      <c r="U2858" s="18"/>
      <c r="V2858" s="18"/>
      <c r="W2858" s="18" t="s">
        <v>48273</v>
      </c>
      <c r="X2858" s="18" t="s">
        <v>42</v>
      </c>
      <c r="Y2858" s="18" t="s">
        <v>36</v>
      </c>
      <c r="Z2858" s="18" t="s">
        <v>697</v>
      </c>
      <c r="AA2858" s="21" t="str">
        <f>HYPERLINK("https://www.ncbi.nlm.nih.gov/nuccore/MK479295","NCBI Nucleotide")</f>
        <v>NCBI Nucleotide</v>
      </c>
    </row>
    <row r="2859" spans="1:27" x14ac:dyDescent="0.35">
      <c r="A2859">
        <v>1024610</v>
      </c>
      <c r="B2859">
        <v>2835</v>
      </c>
      <c r="C2859">
        <v>1</v>
      </c>
      <c r="D2859" s="17" t="s">
        <v>155</v>
      </c>
      <c r="E2859" s="17"/>
      <c r="F2859" s="17" t="s">
        <v>156</v>
      </c>
      <c r="G2859" s="17"/>
      <c r="H2859" s="17" t="s">
        <v>692</v>
      </c>
      <c r="I2859" s="17"/>
      <c r="J2859" s="17" t="s">
        <v>693</v>
      </c>
      <c r="K2859" s="17"/>
      <c r="L2859" s="17"/>
      <c r="M2859" s="17"/>
      <c r="N2859" s="17"/>
      <c r="O2859" s="17" t="s">
        <v>5310</v>
      </c>
      <c r="P2859" s="17" t="s">
        <v>5311</v>
      </c>
      <c r="Q2859" s="17"/>
      <c r="R2859" s="25" t="str">
        <f>HYPERLINK("https://ictv.global/taxonomy/taxondetails?taxnode_id=202318279","Cornellvirus SenTO17")</f>
        <v>Cornellvirus SenTO17</v>
      </c>
      <c r="S2859" s="18" t="s">
        <v>30</v>
      </c>
      <c r="T2859" s="18" t="s">
        <v>39573</v>
      </c>
      <c r="U2859" s="18"/>
      <c r="V2859" s="18"/>
      <c r="W2859" s="18" t="s">
        <v>48274</v>
      </c>
      <c r="X2859" s="18" t="s">
        <v>42</v>
      </c>
      <c r="Y2859" s="18" t="s">
        <v>36</v>
      </c>
      <c r="Z2859" s="18" t="s">
        <v>697</v>
      </c>
      <c r="AA2859" s="21" t="str">
        <f>HYPERLINK("https://www.ncbi.nlm.nih.gov/nuccore/MT012729","NCBI Nucleotide")</f>
        <v>NCBI Nucleotide</v>
      </c>
    </row>
    <row r="2860" spans="1:27" x14ac:dyDescent="0.35">
      <c r="A2860">
        <v>1024611</v>
      </c>
      <c r="B2860">
        <v>2836</v>
      </c>
      <c r="C2860">
        <v>1</v>
      </c>
      <c r="D2860" s="17" t="s">
        <v>155</v>
      </c>
      <c r="E2860" s="17"/>
      <c r="F2860" s="17" t="s">
        <v>156</v>
      </c>
      <c r="G2860" s="17"/>
      <c r="H2860" s="17" t="s">
        <v>692</v>
      </c>
      <c r="I2860" s="17"/>
      <c r="J2860" s="17" t="s">
        <v>693</v>
      </c>
      <c r="K2860" s="17"/>
      <c r="L2860" s="17"/>
      <c r="M2860" s="17"/>
      <c r="N2860" s="17"/>
      <c r="O2860" s="17" t="s">
        <v>5310</v>
      </c>
      <c r="P2860" s="17" t="s">
        <v>5311</v>
      </c>
      <c r="Q2860" s="17"/>
      <c r="R2860" s="25" t="str">
        <f>HYPERLINK("https://ictv.global/taxonomy/taxondetails?taxnode_id=202318282","Cornellvirus shemara")</f>
        <v>Cornellvirus shemara</v>
      </c>
      <c r="S2860" s="18" t="s">
        <v>30</v>
      </c>
      <c r="T2860" s="18" t="s">
        <v>39574</v>
      </c>
      <c r="U2860" s="18"/>
      <c r="V2860" s="18"/>
      <c r="W2860" s="18" t="s">
        <v>48275</v>
      </c>
      <c r="X2860" s="18" t="s">
        <v>42</v>
      </c>
      <c r="Y2860" s="18" t="s">
        <v>36</v>
      </c>
      <c r="Z2860" s="18" t="s">
        <v>697</v>
      </c>
      <c r="AA2860" s="21" t="str">
        <f>HYPERLINK("https://www.ncbi.nlm.nih.gov/nuccore/MN070121","NCBI Nucleotide")</f>
        <v>NCBI Nucleotide</v>
      </c>
    </row>
    <row r="2861" spans="1:27" x14ac:dyDescent="0.35">
      <c r="A2861">
        <v>1003905</v>
      </c>
      <c r="B2861">
        <v>2837</v>
      </c>
      <c r="C2861">
        <v>1</v>
      </c>
      <c r="D2861" s="17" t="s">
        <v>155</v>
      </c>
      <c r="E2861" s="17"/>
      <c r="F2861" s="17" t="s">
        <v>156</v>
      </c>
      <c r="G2861" s="17"/>
      <c r="H2861" s="17" t="s">
        <v>692</v>
      </c>
      <c r="I2861" s="17"/>
      <c r="J2861" s="17" t="s">
        <v>693</v>
      </c>
      <c r="K2861" s="17"/>
      <c r="L2861" s="17"/>
      <c r="M2861" s="17"/>
      <c r="N2861" s="17"/>
      <c r="O2861" s="17" t="s">
        <v>5310</v>
      </c>
      <c r="P2861" s="17" t="s">
        <v>5311</v>
      </c>
      <c r="Q2861" s="17"/>
      <c r="R2861" s="25" t="str">
        <f>HYPERLINK("https://ictv.global/taxonomy/taxondetails?taxnode_id=202300786","Cornellvirus SP31")</f>
        <v>Cornellvirus SP31</v>
      </c>
      <c r="S2861" s="18" t="s">
        <v>30</v>
      </c>
      <c r="T2861" s="18" t="s">
        <v>5312</v>
      </c>
      <c r="U2861" s="18"/>
      <c r="V2861" s="18"/>
      <c r="W2861" s="18" t="s">
        <v>5313</v>
      </c>
      <c r="X2861" s="18" t="s">
        <v>42</v>
      </c>
      <c r="Y2861" s="18" t="s">
        <v>36</v>
      </c>
      <c r="Z2861" s="18" t="s">
        <v>697</v>
      </c>
      <c r="AA2861" s="21" t="str">
        <f>HYPERLINK("https://www.ncbi.nlm.nih.gov/nuccore/KC139518","NCBI Nucleotide")</f>
        <v>NCBI Nucleotide</v>
      </c>
    </row>
    <row r="2862" spans="1:27" x14ac:dyDescent="0.35">
      <c r="A2862">
        <v>1024612</v>
      </c>
      <c r="B2862">
        <v>2838</v>
      </c>
      <c r="C2862">
        <v>1</v>
      </c>
      <c r="D2862" s="17" t="s">
        <v>155</v>
      </c>
      <c r="E2862" s="17"/>
      <c r="F2862" s="17" t="s">
        <v>156</v>
      </c>
      <c r="G2862" s="17"/>
      <c r="H2862" s="17" t="s">
        <v>692</v>
      </c>
      <c r="I2862" s="17"/>
      <c r="J2862" s="17" t="s">
        <v>693</v>
      </c>
      <c r="K2862" s="17"/>
      <c r="L2862" s="17"/>
      <c r="M2862" s="17"/>
      <c r="N2862" s="17"/>
      <c r="O2862" s="17" t="s">
        <v>5310</v>
      </c>
      <c r="P2862" s="17" t="s">
        <v>5311</v>
      </c>
      <c r="Q2862" s="17"/>
      <c r="R2862" s="25" t="str">
        <f>HYPERLINK("https://ictv.global/taxonomy/taxondetails?taxnode_id=202318276","Cornellvirus St162")</f>
        <v>Cornellvirus St162</v>
      </c>
      <c r="S2862" s="18" t="s">
        <v>30</v>
      </c>
      <c r="T2862" s="18" t="s">
        <v>39575</v>
      </c>
      <c r="U2862" s="18"/>
      <c r="V2862" s="18"/>
      <c r="W2862" s="18" t="s">
        <v>48276</v>
      </c>
      <c r="X2862" s="18" t="s">
        <v>42</v>
      </c>
      <c r="Y2862" s="18" t="s">
        <v>36</v>
      </c>
      <c r="Z2862" s="18" t="s">
        <v>697</v>
      </c>
      <c r="AA2862" s="21" t="str">
        <f>HYPERLINK("https://www.ncbi.nlm.nih.gov/nuccore/MF158037","NCBI Nucleotide")</f>
        <v>NCBI Nucleotide</v>
      </c>
    </row>
    <row r="2863" spans="1:27" x14ac:dyDescent="0.35">
      <c r="A2863">
        <v>1024613</v>
      </c>
      <c r="B2863">
        <v>2839</v>
      </c>
      <c r="C2863">
        <v>1</v>
      </c>
      <c r="D2863" s="17" t="s">
        <v>155</v>
      </c>
      <c r="E2863" s="17"/>
      <c r="F2863" s="17" t="s">
        <v>156</v>
      </c>
      <c r="G2863" s="17"/>
      <c r="H2863" s="17" t="s">
        <v>692</v>
      </c>
      <c r="I2863" s="17"/>
      <c r="J2863" s="17" t="s">
        <v>693</v>
      </c>
      <c r="K2863" s="17"/>
      <c r="L2863" s="17"/>
      <c r="M2863" s="17"/>
      <c r="N2863" s="17"/>
      <c r="O2863" s="17" t="s">
        <v>5310</v>
      </c>
      <c r="P2863" s="17" t="s">
        <v>5311</v>
      </c>
      <c r="Q2863" s="17"/>
      <c r="R2863" s="25" t="str">
        <f>HYPERLINK("https://ictv.global/taxonomy/taxondetails?taxnode_id=202318278","Cornellvirus TS6")</f>
        <v>Cornellvirus TS6</v>
      </c>
      <c r="S2863" s="18" t="s">
        <v>30</v>
      </c>
      <c r="T2863" s="18" t="s">
        <v>39576</v>
      </c>
      <c r="U2863" s="18"/>
      <c r="V2863" s="18"/>
      <c r="W2863" s="18" t="s">
        <v>48277</v>
      </c>
      <c r="X2863" s="18" t="s">
        <v>42</v>
      </c>
      <c r="Y2863" s="18" t="s">
        <v>36</v>
      </c>
      <c r="Z2863" s="18" t="s">
        <v>697</v>
      </c>
      <c r="AA2863" s="21" t="str">
        <f>HYPERLINK("https://www.ncbi.nlm.nih.gov/nuccore/MK214385","NCBI Nucleotide")</f>
        <v>NCBI Nucleotide</v>
      </c>
    </row>
    <row r="2864" spans="1:27" x14ac:dyDescent="0.35">
      <c r="A2864">
        <v>1024614</v>
      </c>
      <c r="B2864">
        <v>2840</v>
      </c>
      <c r="C2864">
        <v>1</v>
      </c>
      <c r="D2864" s="17" t="s">
        <v>155</v>
      </c>
      <c r="E2864" s="17"/>
      <c r="F2864" s="17" t="s">
        <v>156</v>
      </c>
      <c r="G2864" s="17"/>
      <c r="H2864" s="17" t="s">
        <v>692</v>
      </c>
      <c r="I2864" s="17"/>
      <c r="J2864" s="17" t="s">
        <v>693</v>
      </c>
      <c r="K2864" s="17"/>
      <c r="L2864" s="17"/>
      <c r="M2864" s="17"/>
      <c r="N2864" s="17"/>
      <c r="O2864" s="17" t="s">
        <v>5310</v>
      </c>
      <c r="P2864" s="17" t="s">
        <v>5311</v>
      </c>
      <c r="Q2864" s="17"/>
      <c r="R2864" s="25" t="str">
        <f>HYPERLINK("https://ictv.global/taxonomy/taxondetails?taxnode_id=202318283","Cornellvirus VSiP")</f>
        <v>Cornellvirus VSiP</v>
      </c>
      <c r="S2864" s="18" t="s">
        <v>30</v>
      </c>
      <c r="T2864" s="18" t="s">
        <v>39577</v>
      </c>
      <c r="U2864" s="18"/>
      <c r="V2864" s="18"/>
      <c r="W2864" s="18" t="s">
        <v>48278</v>
      </c>
      <c r="X2864" s="18" t="s">
        <v>42</v>
      </c>
      <c r="Y2864" s="18" t="s">
        <v>36</v>
      </c>
      <c r="Z2864" s="18" t="s">
        <v>697</v>
      </c>
      <c r="AA2864" s="21" t="str">
        <f>HYPERLINK("https://www.ncbi.nlm.nih.gov/nuccore/MH424444","NCBI Nucleotide")</f>
        <v>NCBI Nucleotide</v>
      </c>
    </row>
    <row r="2865" spans="1:27" x14ac:dyDescent="0.35">
      <c r="A2865">
        <v>1024615</v>
      </c>
      <c r="B2865">
        <v>2841</v>
      </c>
      <c r="C2865">
        <v>1</v>
      </c>
      <c r="D2865" s="17" t="s">
        <v>155</v>
      </c>
      <c r="E2865" s="17"/>
      <c r="F2865" s="17" t="s">
        <v>156</v>
      </c>
      <c r="G2865" s="17"/>
      <c r="H2865" s="17" t="s">
        <v>692</v>
      </c>
      <c r="I2865" s="17"/>
      <c r="J2865" s="17" t="s">
        <v>693</v>
      </c>
      <c r="K2865" s="17"/>
      <c r="L2865" s="17"/>
      <c r="M2865" s="17"/>
      <c r="N2865" s="17"/>
      <c r="O2865" s="17" t="s">
        <v>5310</v>
      </c>
      <c r="P2865" s="17" t="s">
        <v>5311</v>
      </c>
      <c r="Q2865" s="17"/>
      <c r="R2865" s="25" t="str">
        <f>HYPERLINK("https://ictv.global/taxonomy/taxondetails?taxnode_id=202318280","Cornellvirus ZS")</f>
        <v>Cornellvirus ZS</v>
      </c>
      <c r="S2865" s="18" t="s">
        <v>30</v>
      </c>
      <c r="T2865" s="18" t="s">
        <v>39578</v>
      </c>
      <c r="U2865" s="18"/>
      <c r="V2865" s="18"/>
      <c r="W2865" s="18" t="s">
        <v>48279</v>
      </c>
      <c r="X2865" s="18" t="s">
        <v>42</v>
      </c>
      <c r="Y2865" s="18" t="s">
        <v>36</v>
      </c>
      <c r="Z2865" s="18" t="s">
        <v>697</v>
      </c>
      <c r="AA2865" s="21" t="str">
        <f>HYPERLINK("https://www.ncbi.nlm.nih.gov/nuccore/MZ004649","NCBI Nucleotide")</f>
        <v>NCBI Nucleotide</v>
      </c>
    </row>
    <row r="2866" spans="1:27" x14ac:dyDescent="0.35">
      <c r="A2866">
        <v>1003906</v>
      </c>
      <c r="B2866">
        <v>2842</v>
      </c>
      <c r="C2866">
        <v>1</v>
      </c>
      <c r="D2866" s="17" t="s">
        <v>155</v>
      </c>
      <c r="E2866" s="17"/>
      <c r="F2866" s="17" t="s">
        <v>156</v>
      </c>
      <c r="G2866" s="17"/>
      <c r="H2866" s="17" t="s">
        <v>692</v>
      </c>
      <c r="I2866" s="17"/>
      <c r="J2866" s="17" t="s">
        <v>693</v>
      </c>
      <c r="K2866" s="17"/>
      <c r="L2866" s="17"/>
      <c r="M2866" s="17"/>
      <c r="N2866" s="17"/>
      <c r="O2866" s="17" t="s">
        <v>5310</v>
      </c>
      <c r="P2866" s="17" t="s">
        <v>5314</v>
      </c>
      <c r="Q2866" s="17"/>
      <c r="R2866" s="25" t="str">
        <f>HYPERLINK("https://ictv.global/taxonomy/taxondetails?taxnode_id=202300767","Jerseyvirus AG11")</f>
        <v>Jerseyvirus AG11</v>
      </c>
      <c r="S2866" s="18" t="s">
        <v>30</v>
      </c>
      <c r="T2866" s="18" t="s">
        <v>5315</v>
      </c>
      <c r="U2866" s="18"/>
      <c r="V2866" s="18"/>
      <c r="W2866" s="18" t="s">
        <v>5316</v>
      </c>
      <c r="X2866" s="18" t="s">
        <v>42</v>
      </c>
      <c r="Y2866" s="18" t="s">
        <v>36</v>
      </c>
      <c r="Z2866" s="18" t="s">
        <v>697</v>
      </c>
      <c r="AA2866" s="21" t="str">
        <f>HYPERLINK("https://www.ncbi.nlm.nih.gov/nuccore/JX297445","NCBI Nucleotide")</f>
        <v>NCBI Nucleotide</v>
      </c>
    </row>
    <row r="2867" spans="1:27" x14ac:dyDescent="0.35">
      <c r="A2867">
        <v>1025072</v>
      </c>
      <c r="B2867">
        <v>2843</v>
      </c>
      <c r="C2867">
        <v>1</v>
      </c>
      <c r="D2867" s="17" t="s">
        <v>155</v>
      </c>
      <c r="E2867" s="17"/>
      <c r="F2867" s="17" t="s">
        <v>156</v>
      </c>
      <c r="G2867" s="17"/>
      <c r="H2867" s="17" t="s">
        <v>692</v>
      </c>
      <c r="I2867" s="17"/>
      <c r="J2867" s="17" t="s">
        <v>693</v>
      </c>
      <c r="K2867" s="17"/>
      <c r="L2867" s="17"/>
      <c r="M2867" s="17"/>
      <c r="N2867" s="17"/>
      <c r="O2867" s="17" t="s">
        <v>5310</v>
      </c>
      <c r="P2867" s="17" t="s">
        <v>5314</v>
      </c>
      <c r="Q2867" s="17"/>
      <c r="R2867" s="25" t="str">
        <f>HYPERLINK("https://ictv.global/taxonomy/taxondetails?taxnode_id=202319110","Jerseyvirus blauehaus")</f>
        <v>Jerseyvirus blauehaus</v>
      </c>
      <c r="S2867" s="18" t="s">
        <v>30</v>
      </c>
      <c r="T2867" s="18" t="s">
        <v>39579</v>
      </c>
      <c r="U2867" s="18"/>
      <c r="V2867" s="18"/>
      <c r="W2867" s="18" t="s">
        <v>48280</v>
      </c>
      <c r="X2867" s="18" t="s">
        <v>42</v>
      </c>
      <c r="Y2867" s="18" t="s">
        <v>36</v>
      </c>
      <c r="Z2867" s="18" t="s">
        <v>697</v>
      </c>
      <c r="AA2867" s="21" t="str">
        <f>HYPERLINK("https://www.ncbi.nlm.nih.gov/nuccore/MT074473","NCBI Nucleotide")</f>
        <v>NCBI Nucleotide</v>
      </c>
    </row>
    <row r="2868" spans="1:27" x14ac:dyDescent="0.35">
      <c r="A2868">
        <v>1025073</v>
      </c>
      <c r="B2868">
        <v>2844</v>
      </c>
      <c r="C2868">
        <v>1</v>
      </c>
      <c r="D2868" s="17" t="s">
        <v>155</v>
      </c>
      <c r="E2868" s="17"/>
      <c r="F2868" s="17" t="s">
        <v>156</v>
      </c>
      <c r="G2868" s="17"/>
      <c r="H2868" s="17" t="s">
        <v>692</v>
      </c>
      <c r="I2868" s="17"/>
      <c r="J2868" s="17" t="s">
        <v>693</v>
      </c>
      <c r="K2868" s="17"/>
      <c r="L2868" s="17"/>
      <c r="M2868" s="17"/>
      <c r="N2868" s="17"/>
      <c r="O2868" s="17" t="s">
        <v>5310</v>
      </c>
      <c r="P2868" s="17" t="s">
        <v>5314</v>
      </c>
      <c r="Q2868" s="17"/>
      <c r="R2868" s="25" t="str">
        <f>HYPERLINK("https://ictv.global/taxonomy/taxondetails?taxnode_id=202319142","Jerseyvirus BPS11Q3")</f>
        <v>Jerseyvirus BPS11Q3</v>
      </c>
      <c r="S2868" s="18" t="s">
        <v>30</v>
      </c>
      <c r="T2868" s="18" t="s">
        <v>39580</v>
      </c>
      <c r="U2868" s="18"/>
      <c r="V2868" s="18"/>
      <c r="W2868" s="18" t="s">
        <v>39581</v>
      </c>
      <c r="X2868" s="18" t="s">
        <v>42</v>
      </c>
      <c r="Y2868" s="18" t="s">
        <v>36</v>
      </c>
      <c r="Z2868" s="18" t="s">
        <v>697</v>
      </c>
      <c r="AA2868" s="21" t="str">
        <f>HYPERLINK("https://www.ncbi.nlm.nih.gov/nuccore/KX405002","NCBI Nucleotide")</f>
        <v>NCBI Nucleotide</v>
      </c>
    </row>
    <row r="2869" spans="1:27" x14ac:dyDescent="0.35">
      <c r="A2869">
        <v>1025074</v>
      </c>
      <c r="B2869">
        <v>2845</v>
      </c>
      <c r="C2869">
        <v>1</v>
      </c>
      <c r="D2869" s="17" t="s">
        <v>155</v>
      </c>
      <c r="E2869" s="17"/>
      <c r="F2869" s="17" t="s">
        <v>156</v>
      </c>
      <c r="G2869" s="17"/>
      <c r="H2869" s="17" t="s">
        <v>692</v>
      </c>
      <c r="I2869" s="17"/>
      <c r="J2869" s="17" t="s">
        <v>693</v>
      </c>
      <c r="K2869" s="17"/>
      <c r="L2869" s="17"/>
      <c r="M2869" s="17"/>
      <c r="N2869" s="17"/>
      <c r="O2869" s="17" t="s">
        <v>5310</v>
      </c>
      <c r="P2869" s="17" t="s">
        <v>5314</v>
      </c>
      <c r="Q2869" s="17"/>
      <c r="R2869" s="25" t="str">
        <f>HYPERLINK("https://ictv.global/taxonomy/taxondetails?taxnode_id=202319139","Jerseyvirus celemicas")</f>
        <v>Jerseyvirus celemicas</v>
      </c>
      <c r="S2869" s="18" t="s">
        <v>30</v>
      </c>
      <c r="T2869" s="18" t="s">
        <v>39582</v>
      </c>
      <c r="U2869" s="18"/>
      <c r="V2869" s="18"/>
      <c r="W2869" s="18" t="s">
        <v>48281</v>
      </c>
      <c r="X2869" s="18" t="s">
        <v>42</v>
      </c>
      <c r="Y2869" s="18" t="s">
        <v>36</v>
      </c>
      <c r="Z2869" s="18" t="s">
        <v>697</v>
      </c>
      <c r="AA2869" s="21" t="str">
        <f>HYPERLINK("https://www.ncbi.nlm.nih.gov/nuccore/MT074484","NCBI Nucleotide")</f>
        <v>NCBI Nucleotide</v>
      </c>
    </row>
    <row r="2870" spans="1:27" x14ac:dyDescent="0.35">
      <c r="A2870">
        <v>1025075</v>
      </c>
      <c r="B2870">
        <v>2846</v>
      </c>
      <c r="C2870">
        <v>1</v>
      </c>
      <c r="D2870" s="17" t="s">
        <v>155</v>
      </c>
      <c r="E2870" s="17"/>
      <c r="F2870" s="17" t="s">
        <v>156</v>
      </c>
      <c r="G2870" s="17"/>
      <c r="H2870" s="17" t="s">
        <v>692</v>
      </c>
      <c r="I2870" s="17"/>
      <c r="J2870" s="17" t="s">
        <v>693</v>
      </c>
      <c r="K2870" s="17"/>
      <c r="L2870" s="17"/>
      <c r="M2870" s="17"/>
      <c r="N2870" s="17"/>
      <c r="O2870" s="17" t="s">
        <v>5310</v>
      </c>
      <c r="P2870" s="17" t="s">
        <v>5314</v>
      </c>
      <c r="Q2870" s="17"/>
      <c r="R2870" s="25" t="str">
        <f>HYPERLINK("https://ictv.global/taxonomy/taxondetails?taxnode_id=202319144","Jerseyvirus CTH7")</f>
        <v>Jerseyvirus CTH7</v>
      </c>
      <c r="S2870" s="18" t="s">
        <v>30</v>
      </c>
      <c r="T2870" s="18" t="s">
        <v>39583</v>
      </c>
      <c r="U2870" s="18"/>
      <c r="V2870" s="18"/>
      <c r="W2870" s="18" t="s">
        <v>48282</v>
      </c>
      <c r="X2870" s="18" t="s">
        <v>42</v>
      </c>
      <c r="Y2870" s="18" t="s">
        <v>36</v>
      </c>
      <c r="Z2870" s="18" t="s">
        <v>697</v>
      </c>
      <c r="AA2870" s="21" t="str">
        <f>HYPERLINK("https://www.ncbi.nlm.nih.gov/nuccore/ON409569","NCBI Nucleotide")</f>
        <v>NCBI Nucleotide</v>
      </c>
    </row>
    <row r="2871" spans="1:27" x14ac:dyDescent="0.35">
      <c r="A2871">
        <v>1025076</v>
      </c>
      <c r="B2871">
        <v>2847</v>
      </c>
      <c r="C2871">
        <v>1</v>
      </c>
      <c r="D2871" s="17" t="s">
        <v>155</v>
      </c>
      <c r="E2871" s="17"/>
      <c r="F2871" s="17" t="s">
        <v>156</v>
      </c>
      <c r="G2871" s="17"/>
      <c r="H2871" s="17" t="s">
        <v>692</v>
      </c>
      <c r="I2871" s="17"/>
      <c r="J2871" s="17" t="s">
        <v>693</v>
      </c>
      <c r="K2871" s="17"/>
      <c r="L2871" s="17"/>
      <c r="M2871" s="17"/>
      <c r="N2871" s="17"/>
      <c r="O2871" s="17" t="s">
        <v>5310</v>
      </c>
      <c r="P2871" s="17" t="s">
        <v>5314</v>
      </c>
      <c r="Q2871" s="17"/>
      <c r="R2871" s="25" t="str">
        <f>HYPERLINK("https://ictv.global/taxonomy/taxondetails?taxnode_id=202319156","Jerseyvirus demigod")</f>
        <v>Jerseyvirus demigod</v>
      </c>
      <c r="S2871" s="18" t="s">
        <v>30</v>
      </c>
      <c r="T2871" s="18" t="s">
        <v>39584</v>
      </c>
      <c r="U2871" s="18"/>
      <c r="V2871" s="18"/>
      <c r="W2871" s="18" t="s">
        <v>48283</v>
      </c>
      <c r="X2871" s="18" t="s">
        <v>42</v>
      </c>
      <c r="Y2871" s="18" t="s">
        <v>36</v>
      </c>
      <c r="Z2871" s="18" t="s">
        <v>697</v>
      </c>
      <c r="AA2871" s="21" t="str">
        <f>HYPERLINK("https://www.ncbi.nlm.nih.gov/nuccore/MT074431","NCBI Nucleotide")</f>
        <v>NCBI Nucleotide</v>
      </c>
    </row>
    <row r="2872" spans="1:27" x14ac:dyDescent="0.35">
      <c r="A2872">
        <v>1025077</v>
      </c>
      <c r="B2872">
        <v>2848</v>
      </c>
      <c r="C2872">
        <v>1</v>
      </c>
      <c r="D2872" s="17" t="s">
        <v>155</v>
      </c>
      <c r="E2872" s="17"/>
      <c r="F2872" s="17" t="s">
        <v>156</v>
      </c>
      <c r="G2872" s="17"/>
      <c r="H2872" s="17" t="s">
        <v>692</v>
      </c>
      <c r="I2872" s="17"/>
      <c r="J2872" s="17" t="s">
        <v>693</v>
      </c>
      <c r="K2872" s="17"/>
      <c r="L2872" s="17"/>
      <c r="M2872" s="17"/>
      <c r="N2872" s="17"/>
      <c r="O2872" s="17" t="s">
        <v>5310</v>
      </c>
      <c r="P2872" s="17" t="s">
        <v>5314</v>
      </c>
      <c r="Q2872" s="17"/>
      <c r="R2872" s="25" t="str">
        <f>HYPERLINK("https://ictv.global/taxonomy/taxondetails?taxnode_id=202319138","Jerseyvirus dunkel")</f>
        <v>Jerseyvirus dunkel</v>
      </c>
      <c r="S2872" s="18" t="s">
        <v>30</v>
      </c>
      <c r="T2872" s="18" t="s">
        <v>39585</v>
      </c>
      <c r="U2872" s="18"/>
      <c r="V2872" s="18"/>
      <c r="W2872" s="18" t="s">
        <v>48284</v>
      </c>
      <c r="X2872" s="18" t="s">
        <v>42</v>
      </c>
      <c r="Y2872" s="18" t="s">
        <v>36</v>
      </c>
      <c r="Z2872" s="18" t="s">
        <v>697</v>
      </c>
      <c r="AA2872" s="21" t="str">
        <f>HYPERLINK("https://www.ncbi.nlm.nih.gov/nuccore/MT074432","NCBI Nucleotide")</f>
        <v>NCBI Nucleotide</v>
      </c>
    </row>
    <row r="2873" spans="1:27" x14ac:dyDescent="0.35">
      <c r="A2873">
        <v>1025078</v>
      </c>
      <c r="B2873">
        <v>2849</v>
      </c>
      <c r="C2873">
        <v>1</v>
      </c>
      <c r="D2873" s="17" t="s">
        <v>155</v>
      </c>
      <c r="E2873" s="17"/>
      <c r="F2873" s="17" t="s">
        <v>156</v>
      </c>
      <c r="G2873" s="17"/>
      <c r="H2873" s="17" t="s">
        <v>692</v>
      </c>
      <c r="I2873" s="17"/>
      <c r="J2873" s="17" t="s">
        <v>693</v>
      </c>
      <c r="K2873" s="17"/>
      <c r="L2873" s="17"/>
      <c r="M2873" s="17"/>
      <c r="N2873" s="17"/>
      <c r="O2873" s="17" t="s">
        <v>5310</v>
      </c>
      <c r="P2873" s="17" t="s">
        <v>5314</v>
      </c>
      <c r="Q2873" s="17"/>
      <c r="R2873" s="25" t="str">
        <f>HYPERLINK("https://ictv.global/taxonomy/taxondetails?taxnode_id=202319124","Jerseyvirus EnJE1")</f>
        <v>Jerseyvirus EnJE1</v>
      </c>
      <c r="S2873" s="18" t="s">
        <v>30</v>
      </c>
      <c r="T2873" s="18" t="s">
        <v>39586</v>
      </c>
      <c r="U2873" s="18"/>
      <c r="V2873" s="18"/>
      <c r="W2873" s="18" t="s">
        <v>48285</v>
      </c>
      <c r="X2873" s="18" t="s">
        <v>42</v>
      </c>
      <c r="Y2873" s="18" t="s">
        <v>36</v>
      </c>
      <c r="Z2873" s="18" t="s">
        <v>697</v>
      </c>
      <c r="AA2873" s="21" t="str">
        <f>HYPERLINK("https://www.ncbi.nlm.nih.gov/nuccore/MN336264","NCBI Nucleotide")</f>
        <v>NCBI Nucleotide</v>
      </c>
    </row>
    <row r="2874" spans="1:27" x14ac:dyDescent="0.35">
      <c r="A2874">
        <v>1025079</v>
      </c>
      <c r="B2874">
        <v>2850</v>
      </c>
      <c r="C2874">
        <v>1</v>
      </c>
      <c r="D2874" s="17" t="s">
        <v>155</v>
      </c>
      <c r="E2874" s="17"/>
      <c r="F2874" s="17" t="s">
        <v>156</v>
      </c>
      <c r="G2874" s="17"/>
      <c r="H2874" s="17" t="s">
        <v>692</v>
      </c>
      <c r="I2874" s="17"/>
      <c r="J2874" s="17" t="s">
        <v>693</v>
      </c>
      <c r="K2874" s="17"/>
      <c r="L2874" s="17"/>
      <c r="M2874" s="17"/>
      <c r="N2874" s="17"/>
      <c r="O2874" s="17" t="s">
        <v>5310</v>
      </c>
      <c r="P2874" s="17" t="s">
        <v>5314</v>
      </c>
      <c r="Q2874" s="17"/>
      <c r="R2874" s="25" t="str">
        <f>HYPERLINK("https://ictv.global/taxonomy/taxondetails?taxnode_id=202319128","Jerseyvirus EnJE6")</f>
        <v>Jerseyvirus EnJE6</v>
      </c>
      <c r="S2874" s="18" t="s">
        <v>30</v>
      </c>
      <c r="T2874" s="18" t="s">
        <v>39587</v>
      </c>
      <c r="U2874" s="18"/>
      <c r="V2874" s="18"/>
      <c r="W2874" s="18" t="s">
        <v>48286</v>
      </c>
      <c r="X2874" s="18" t="s">
        <v>42</v>
      </c>
      <c r="Y2874" s="18" t="s">
        <v>36</v>
      </c>
      <c r="Z2874" s="18" t="s">
        <v>697</v>
      </c>
      <c r="AA2874" s="21" t="str">
        <f>HYPERLINK("https://www.ncbi.nlm.nih.gov/nuccore/MN336265","NCBI Nucleotide")</f>
        <v>NCBI Nucleotide</v>
      </c>
    </row>
    <row r="2875" spans="1:27" x14ac:dyDescent="0.35">
      <c r="A2875">
        <v>1003907</v>
      </c>
      <c r="B2875">
        <v>2851</v>
      </c>
      <c r="C2875">
        <v>1</v>
      </c>
      <c r="D2875" s="17" t="s">
        <v>155</v>
      </c>
      <c r="E2875" s="17"/>
      <c r="F2875" s="17" t="s">
        <v>156</v>
      </c>
      <c r="G2875" s="17"/>
      <c r="H2875" s="17" t="s">
        <v>692</v>
      </c>
      <c r="I2875" s="17"/>
      <c r="J2875" s="17" t="s">
        <v>693</v>
      </c>
      <c r="K2875" s="17"/>
      <c r="L2875" s="17"/>
      <c r="M2875" s="17"/>
      <c r="N2875" s="17"/>
      <c r="O2875" s="17" t="s">
        <v>5310</v>
      </c>
      <c r="P2875" s="17" t="s">
        <v>5314</v>
      </c>
      <c r="Q2875" s="17"/>
      <c r="R2875" s="25" t="str">
        <f>HYPERLINK("https://ictv.global/taxonomy/taxondetails?taxnode_id=202300768","Jerseyvirus Ent1")</f>
        <v>Jerseyvirus Ent1</v>
      </c>
      <c r="S2875" s="18" t="s">
        <v>30</v>
      </c>
      <c r="T2875" s="18" t="s">
        <v>5317</v>
      </c>
      <c r="U2875" s="18"/>
      <c r="V2875" s="18"/>
      <c r="W2875" s="18" t="s">
        <v>5318</v>
      </c>
      <c r="X2875" s="18" t="s">
        <v>42</v>
      </c>
      <c r="Y2875" s="18" t="s">
        <v>36</v>
      </c>
      <c r="Z2875" s="18" t="s">
        <v>697</v>
      </c>
      <c r="AA2875" s="21" t="str">
        <f>HYPERLINK("https://www.ncbi.nlm.nih.gov/nuccore/HE775250","NCBI Nucleotide")</f>
        <v>NCBI Nucleotide</v>
      </c>
    </row>
    <row r="2876" spans="1:27" x14ac:dyDescent="0.35">
      <c r="A2876">
        <v>1025080</v>
      </c>
      <c r="B2876">
        <v>2852</v>
      </c>
      <c r="C2876">
        <v>1</v>
      </c>
      <c r="D2876" s="17" t="s">
        <v>155</v>
      </c>
      <c r="E2876" s="17"/>
      <c r="F2876" s="17" t="s">
        <v>156</v>
      </c>
      <c r="G2876" s="17"/>
      <c r="H2876" s="17" t="s">
        <v>692</v>
      </c>
      <c r="I2876" s="17"/>
      <c r="J2876" s="17" t="s">
        <v>693</v>
      </c>
      <c r="K2876" s="17"/>
      <c r="L2876" s="17"/>
      <c r="M2876" s="17"/>
      <c r="N2876" s="17"/>
      <c r="O2876" s="17" t="s">
        <v>5310</v>
      </c>
      <c r="P2876" s="17" t="s">
        <v>5314</v>
      </c>
      <c r="Q2876" s="17"/>
      <c r="R2876" s="25" t="str">
        <f>HYPERLINK("https://ictv.global/taxonomy/taxondetails?taxnode_id=202319152","Jerseyvirus ER1")</f>
        <v>Jerseyvirus ER1</v>
      </c>
      <c r="S2876" s="18" t="s">
        <v>30</v>
      </c>
      <c r="T2876" s="18" t="s">
        <v>39588</v>
      </c>
      <c r="U2876" s="18"/>
      <c r="V2876" s="18"/>
      <c r="W2876" s="18" t="s">
        <v>48287</v>
      </c>
      <c r="X2876" s="18" t="s">
        <v>42</v>
      </c>
      <c r="Y2876" s="18" t="s">
        <v>36</v>
      </c>
      <c r="Z2876" s="18" t="s">
        <v>697</v>
      </c>
      <c r="AA2876" s="21" t="str">
        <f>HYPERLINK("https://www.ncbi.nlm.nih.gov/nuccore/MW355461","NCBI Nucleotide")</f>
        <v>NCBI Nucleotide</v>
      </c>
    </row>
    <row r="2877" spans="1:27" x14ac:dyDescent="0.35">
      <c r="A2877">
        <v>1025081</v>
      </c>
      <c r="B2877">
        <v>2853</v>
      </c>
      <c r="C2877">
        <v>1</v>
      </c>
      <c r="D2877" s="17" t="s">
        <v>155</v>
      </c>
      <c r="E2877" s="17"/>
      <c r="F2877" s="17" t="s">
        <v>156</v>
      </c>
      <c r="G2877" s="17"/>
      <c r="H2877" s="17" t="s">
        <v>692</v>
      </c>
      <c r="I2877" s="17"/>
      <c r="J2877" s="17" t="s">
        <v>693</v>
      </c>
      <c r="K2877" s="17"/>
      <c r="L2877" s="17"/>
      <c r="M2877" s="17"/>
      <c r="N2877" s="17"/>
      <c r="O2877" s="17" t="s">
        <v>5310</v>
      </c>
      <c r="P2877" s="17" t="s">
        <v>5314</v>
      </c>
      <c r="Q2877" s="17"/>
      <c r="R2877" s="25" t="str">
        <f>HYPERLINK("https://ictv.global/taxonomy/taxondetails?taxnode_id=202319135","Jerseyvirus ER21")</f>
        <v>Jerseyvirus ER21</v>
      </c>
      <c r="S2877" s="18" t="s">
        <v>30</v>
      </c>
      <c r="T2877" s="18" t="s">
        <v>39589</v>
      </c>
      <c r="U2877" s="18"/>
      <c r="V2877" s="18"/>
      <c r="W2877" s="18" t="s">
        <v>48288</v>
      </c>
      <c r="X2877" s="18" t="s">
        <v>42</v>
      </c>
      <c r="Y2877" s="18" t="s">
        <v>36</v>
      </c>
      <c r="Z2877" s="18" t="s">
        <v>697</v>
      </c>
      <c r="AA2877" s="21" t="str">
        <f>HYPERLINK("https://www.ncbi.nlm.nih.gov/nuccore/MW355463","NCBI Nucleotide")</f>
        <v>NCBI Nucleotide</v>
      </c>
    </row>
    <row r="2878" spans="1:27" x14ac:dyDescent="0.35">
      <c r="A2878">
        <v>1025082</v>
      </c>
      <c r="B2878">
        <v>2854</v>
      </c>
      <c r="C2878">
        <v>1</v>
      </c>
      <c r="D2878" s="17" t="s">
        <v>155</v>
      </c>
      <c r="E2878" s="17"/>
      <c r="F2878" s="17" t="s">
        <v>156</v>
      </c>
      <c r="G2878" s="17"/>
      <c r="H2878" s="17" t="s">
        <v>692</v>
      </c>
      <c r="I2878" s="17"/>
      <c r="J2878" s="17" t="s">
        <v>693</v>
      </c>
      <c r="K2878" s="17"/>
      <c r="L2878" s="17"/>
      <c r="M2878" s="17"/>
      <c r="N2878" s="17"/>
      <c r="O2878" s="17" t="s">
        <v>5310</v>
      </c>
      <c r="P2878" s="17" t="s">
        <v>5314</v>
      </c>
      <c r="Q2878" s="17"/>
      <c r="R2878" s="25" t="str">
        <f>HYPERLINK("https://ictv.global/taxonomy/taxondetails?taxnode_id=202319134","Jerseyvirus ER23")</f>
        <v>Jerseyvirus ER23</v>
      </c>
      <c r="S2878" s="18" t="s">
        <v>30</v>
      </c>
      <c r="T2878" s="18" t="s">
        <v>39590</v>
      </c>
      <c r="U2878" s="18"/>
      <c r="V2878" s="18"/>
      <c r="W2878" s="18" t="s">
        <v>48289</v>
      </c>
      <c r="X2878" s="18" t="s">
        <v>42</v>
      </c>
      <c r="Y2878" s="18" t="s">
        <v>36</v>
      </c>
      <c r="Z2878" s="18" t="s">
        <v>697</v>
      </c>
      <c r="AA2878" s="21" t="str">
        <f>HYPERLINK("https://www.ncbi.nlm.nih.gov/nuccore/MW355465","NCBI Nucleotide")</f>
        <v>NCBI Nucleotide</v>
      </c>
    </row>
    <row r="2879" spans="1:27" x14ac:dyDescent="0.35">
      <c r="A2879">
        <v>1025084</v>
      </c>
      <c r="B2879">
        <v>2855</v>
      </c>
      <c r="C2879">
        <v>1</v>
      </c>
      <c r="D2879" s="17" t="s">
        <v>155</v>
      </c>
      <c r="E2879" s="17"/>
      <c r="F2879" s="17" t="s">
        <v>156</v>
      </c>
      <c r="G2879" s="17"/>
      <c r="H2879" s="17" t="s">
        <v>692</v>
      </c>
      <c r="I2879" s="17"/>
      <c r="J2879" s="17" t="s">
        <v>693</v>
      </c>
      <c r="K2879" s="17"/>
      <c r="L2879" s="17"/>
      <c r="M2879" s="17"/>
      <c r="N2879" s="17"/>
      <c r="O2879" s="17" t="s">
        <v>5310</v>
      </c>
      <c r="P2879" s="17" t="s">
        <v>5314</v>
      </c>
      <c r="Q2879" s="17"/>
      <c r="R2879" s="25" t="str">
        <f>HYPERLINK("https://ictv.global/taxonomy/taxondetails?taxnode_id=202319121","Jerseyvirus F12013")</f>
        <v>Jerseyvirus F12013</v>
      </c>
      <c r="S2879" s="18" t="s">
        <v>30</v>
      </c>
      <c r="T2879" s="18" t="s">
        <v>39591</v>
      </c>
      <c r="U2879" s="18"/>
      <c r="V2879" s="18"/>
      <c r="W2879" s="18" t="s">
        <v>48290</v>
      </c>
      <c r="X2879" s="18" t="s">
        <v>42</v>
      </c>
      <c r="Y2879" s="18" t="s">
        <v>36</v>
      </c>
      <c r="Z2879" s="18" t="s">
        <v>697</v>
      </c>
      <c r="AA2879" s="21" t="str">
        <f>HYPERLINK("https://www.ncbi.nlm.nih.gov/nuccore/OP745619","NCBI Nucleotide")</f>
        <v>NCBI Nucleotide</v>
      </c>
    </row>
    <row r="2880" spans="1:27" x14ac:dyDescent="0.35">
      <c r="A2880">
        <v>1025083</v>
      </c>
      <c r="B2880">
        <v>2856</v>
      </c>
      <c r="C2880">
        <v>1</v>
      </c>
      <c r="D2880" s="17" t="s">
        <v>155</v>
      </c>
      <c r="E2880" s="17"/>
      <c r="F2880" s="17" t="s">
        <v>156</v>
      </c>
      <c r="G2880" s="17"/>
      <c r="H2880" s="17" t="s">
        <v>692</v>
      </c>
      <c r="I2880" s="17"/>
      <c r="J2880" s="17" t="s">
        <v>693</v>
      </c>
      <c r="K2880" s="17"/>
      <c r="L2880" s="17"/>
      <c r="M2880" s="17"/>
      <c r="N2880" s="17"/>
      <c r="O2880" s="17" t="s">
        <v>5310</v>
      </c>
      <c r="P2880" s="17" t="s">
        <v>5314</v>
      </c>
      <c r="Q2880" s="17"/>
      <c r="R2880" s="25" t="str">
        <f>HYPERLINK("https://ictv.global/taxonomy/taxondetails?taxnode_id=202319129","Jerseyvirus F118P13")</f>
        <v>Jerseyvirus F118P13</v>
      </c>
      <c r="S2880" s="18" t="s">
        <v>30</v>
      </c>
      <c r="T2880" s="18" t="s">
        <v>39592</v>
      </c>
      <c r="U2880" s="18"/>
      <c r="V2880" s="18"/>
      <c r="W2880" s="18" t="s">
        <v>48291</v>
      </c>
      <c r="X2880" s="18" t="s">
        <v>42</v>
      </c>
      <c r="Y2880" s="18" t="s">
        <v>36</v>
      </c>
      <c r="Z2880" s="18" t="s">
        <v>697</v>
      </c>
      <c r="AA2880" s="21" t="str">
        <f>HYPERLINK("https://www.ncbi.nlm.nih.gov/nuccore/OM339548","NCBI Nucleotide")</f>
        <v>NCBI Nucleotide</v>
      </c>
    </row>
    <row r="2881" spans="1:27" x14ac:dyDescent="0.35">
      <c r="A2881">
        <v>1003908</v>
      </c>
      <c r="B2881">
        <v>2857</v>
      </c>
      <c r="C2881">
        <v>1</v>
      </c>
      <c r="D2881" s="17" t="s">
        <v>155</v>
      </c>
      <c r="E2881" s="17"/>
      <c r="F2881" s="17" t="s">
        <v>156</v>
      </c>
      <c r="G2881" s="17"/>
      <c r="H2881" s="17" t="s">
        <v>692</v>
      </c>
      <c r="I2881" s="17"/>
      <c r="J2881" s="17" t="s">
        <v>693</v>
      </c>
      <c r="K2881" s="17"/>
      <c r="L2881" s="17"/>
      <c r="M2881" s="17"/>
      <c r="N2881" s="17"/>
      <c r="O2881" s="17" t="s">
        <v>5310</v>
      </c>
      <c r="P2881" s="17" t="s">
        <v>5314</v>
      </c>
      <c r="Q2881" s="17"/>
      <c r="R2881" s="25" t="str">
        <f>HYPERLINK("https://ictv.global/taxonomy/taxondetails?taxnode_id=202300769","Jerseyvirus f18SE")</f>
        <v>Jerseyvirus f18SE</v>
      </c>
      <c r="S2881" s="18" t="s">
        <v>30</v>
      </c>
      <c r="T2881" s="18" t="s">
        <v>5319</v>
      </c>
      <c r="U2881" s="18"/>
      <c r="V2881" s="18"/>
      <c r="W2881" s="18" t="s">
        <v>5320</v>
      </c>
      <c r="X2881" s="18" t="s">
        <v>42</v>
      </c>
      <c r="Y2881" s="18" t="s">
        <v>36</v>
      </c>
      <c r="Z2881" s="18" t="s">
        <v>697</v>
      </c>
      <c r="AA2881" s="21" t="str">
        <f>HYPERLINK("https://www.ncbi.nlm.nih.gov/nuccore/KR270151","NCBI Nucleotide")</f>
        <v>NCBI Nucleotide</v>
      </c>
    </row>
    <row r="2882" spans="1:27" x14ac:dyDescent="0.35">
      <c r="A2882">
        <v>1025085</v>
      </c>
      <c r="B2882">
        <v>2858</v>
      </c>
      <c r="C2882">
        <v>1</v>
      </c>
      <c r="D2882" s="17" t="s">
        <v>155</v>
      </c>
      <c r="E2882" s="17"/>
      <c r="F2882" s="17" t="s">
        <v>156</v>
      </c>
      <c r="G2882" s="17"/>
      <c r="H2882" s="17" t="s">
        <v>692</v>
      </c>
      <c r="I2882" s="17"/>
      <c r="J2882" s="17" t="s">
        <v>693</v>
      </c>
      <c r="K2882" s="17"/>
      <c r="L2882" s="17"/>
      <c r="M2882" s="17"/>
      <c r="N2882" s="17"/>
      <c r="O2882" s="17" t="s">
        <v>5310</v>
      </c>
      <c r="P2882" s="17" t="s">
        <v>5314</v>
      </c>
      <c r="Q2882" s="17"/>
      <c r="R2882" s="25" t="str">
        <f>HYPERLINK("https://ictv.global/taxonomy/taxondetails?taxnode_id=202319148","Jerseyvirus fmbp1")</f>
        <v>Jerseyvirus fmbp1</v>
      </c>
      <c r="S2882" s="18" t="s">
        <v>30</v>
      </c>
      <c r="T2882" s="18" t="s">
        <v>39593</v>
      </c>
      <c r="U2882" s="18"/>
      <c r="V2882" s="18"/>
      <c r="W2882" s="18" t="s">
        <v>48292</v>
      </c>
      <c r="X2882" s="18" t="s">
        <v>42</v>
      </c>
      <c r="Y2882" s="18" t="s">
        <v>36</v>
      </c>
      <c r="Z2882" s="18" t="s">
        <v>697</v>
      </c>
      <c r="AA2882" s="21" t="str">
        <f>HYPERLINK("https://www.ncbi.nlm.nih.gov/nuccore/MZ274225","NCBI Nucleotide")</f>
        <v>NCBI Nucleotide</v>
      </c>
    </row>
    <row r="2883" spans="1:27" x14ac:dyDescent="0.35">
      <c r="A2883">
        <v>1025086</v>
      </c>
      <c r="B2883">
        <v>2859</v>
      </c>
      <c r="C2883">
        <v>1</v>
      </c>
      <c r="D2883" s="17" t="s">
        <v>155</v>
      </c>
      <c r="E2883" s="17"/>
      <c r="F2883" s="17" t="s">
        <v>156</v>
      </c>
      <c r="G2883" s="17"/>
      <c r="H2883" s="17" t="s">
        <v>692</v>
      </c>
      <c r="I2883" s="17"/>
      <c r="J2883" s="17" t="s">
        <v>693</v>
      </c>
      <c r="K2883" s="17"/>
      <c r="L2883" s="17"/>
      <c r="M2883" s="17"/>
      <c r="N2883" s="17"/>
      <c r="O2883" s="17" t="s">
        <v>5310</v>
      </c>
      <c r="P2883" s="17" t="s">
        <v>5314</v>
      </c>
      <c r="Q2883" s="17"/>
      <c r="R2883" s="25" t="str">
        <f>HYPERLINK("https://ictv.global/taxonomy/taxondetails?taxnode_id=202319147","Jerseyvirus GRNsp50")</f>
        <v>Jerseyvirus GRNsp50</v>
      </c>
      <c r="S2883" s="18" t="s">
        <v>30</v>
      </c>
      <c r="T2883" s="18" t="s">
        <v>39594</v>
      </c>
      <c r="U2883" s="18"/>
      <c r="V2883" s="18"/>
      <c r="W2883" s="18" t="s">
        <v>48293</v>
      </c>
      <c r="X2883" s="18" t="s">
        <v>42</v>
      </c>
      <c r="Y2883" s="18" t="s">
        <v>36</v>
      </c>
      <c r="Z2883" s="18" t="s">
        <v>697</v>
      </c>
      <c r="AA2883" s="21" t="str">
        <f>HYPERLINK("https://www.ncbi.nlm.nih.gov/nuccore/ON720977","NCBI Nucleotide")</f>
        <v>NCBI Nucleotide</v>
      </c>
    </row>
    <row r="2884" spans="1:27" x14ac:dyDescent="0.35">
      <c r="A2884">
        <v>1025087</v>
      </c>
      <c r="B2884">
        <v>2860</v>
      </c>
      <c r="C2884">
        <v>1</v>
      </c>
      <c r="D2884" s="17" t="s">
        <v>155</v>
      </c>
      <c r="E2884" s="17"/>
      <c r="F2884" s="17" t="s">
        <v>156</v>
      </c>
      <c r="G2884" s="17"/>
      <c r="H2884" s="17" t="s">
        <v>692</v>
      </c>
      <c r="I2884" s="17"/>
      <c r="J2884" s="17" t="s">
        <v>693</v>
      </c>
      <c r="K2884" s="17"/>
      <c r="L2884" s="17"/>
      <c r="M2884" s="17"/>
      <c r="N2884" s="17"/>
      <c r="O2884" s="17" t="s">
        <v>5310</v>
      </c>
      <c r="P2884" s="17" t="s">
        <v>5314</v>
      </c>
      <c r="Q2884" s="17"/>
      <c r="R2884" s="25" t="str">
        <f>HYPERLINK("https://ictv.global/taxonomy/taxondetails?taxnode_id=202319108","Jerseyvirus horsemountain")</f>
        <v>Jerseyvirus horsemountain</v>
      </c>
      <c r="S2884" s="18" t="s">
        <v>30</v>
      </c>
      <c r="T2884" s="18" t="s">
        <v>39595</v>
      </c>
      <c r="U2884" s="18"/>
      <c r="V2884" s="18"/>
      <c r="W2884" s="18" t="s">
        <v>48294</v>
      </c>
      <c r="X2884" s="18" t="s">
        <v>42</v>
      </c>
      <c r="Y2884" s="18" t="s">
        <v>36</v>
      </c>
      <c r="Z2884" s="18" t="s">
        <v>697</v>
      </c>
      <c r="AA2884" s="21" t="str">
        <f>HYPERLINK("https://www.ncbi.nlm.nih.gov/nuccore/MT074482","NCBI Nucleotide")</f>
        <v>NCBI Nucleotide</v>
      </c>
    </row>
    <row r="2885" spans="1:27" x14ac:dyDescent="0.35">
      <c r="A2885">
        <v>1025088</v>
      </c>
      <c r="B2885">
        <v>2861</v>
      </c>
      <c r="C2885">
        <v>1</v>
      </c>
      <c r="D2885" s="17" t="s">
        <v>155</v>
      </c>
      <c r="E2885" s="17"/>
      <c r="F2885" s="17" t="s">
        <v>156</v>
      </c>
      <c r="G2885" s="17"/>
      <c r="H2885" s="17" t="s">
        <v>692</v>
      </c>
      <c r="I2885" s="17"/>
      <c r="J2885" s="17" t="s">
        <v>693</v>
      </c>
      <c r="K2885" s="17"/>
      <c r="L2885" s="17"/>
      <c r="M2885" s="17"/>
      <c r="N2885" s="17"/>
      <c r="O2885" s="17" t="s">
        <v>5310</v>
      </c>
      <c r="P2885" s="17" t="s">
        <v>5314</v>
      </c>
      <c r="Q2885" s="17"/>
      <c r="R2885" s="25" t="str">
        <f>HYPERLINK("https://ictv.global/taxonomy/taxondetails?taxnode_id=202319126","Jerseyvirus JD01")</f>
        <v>Jerseyvirus JD01</v>
      </c>
      <c r="S2885" s="18" t="s">
        <v>30</v>
      </c>
      <c r="T2885" s="18" t="s">
        <v>39596</v>
      </c>
      <c r="U2885" s="18"/>
      <c r="V2885" s="18"/>
      <c r="W2885" s="18" t="s">
        <v>48295</v>
      </c>
      <c r="X2885" s="18" t="s">
        <v>42</v>
      </c>
      <c r="Y2885" s="18" t="s">
        <v>36</v>
      </c>
      <c r="Z2885" s="18" t="s">
        <v>697</v>
      </c>
      <c r="AA2885" s="21" t="str">
        <f>HYPERLINK("https://www.ncbi.nlm.nih.gov/nuccore/MW715619","NCBI Nucleotide")</f>
        <v>NCBI Nucleotide</v>
      </c>
    </row>
    <row r="2886" spans="1:27" x14ac:dyDescent="0.35">
      <c r="A2886">
        <v>1003909</v>
      </c>
      <c r="B2886">
        <v>2862</v>
      </c>
      <c r="C2886">
        <v>1</v>
      </c>
      <c r="D2886" s="17" t="s">
        <v>155</v>
      </c>
      <c r="E2886" s="17"/>
      <c r="F2886" s="17" t="s">
        <v>156</v>
      </c>
      <c r="G2886" s="17"/>
      <c r="H2886" s="17" t="s">
        <v>692</v>
      </c>
      <c r="I2886" s="17"/>
      <c r="J2886" s="17" t="s">
        <v>693</v>
      </c>
      <c r="K2886" s="17"/>
      <c r="L2886" s="17"/>
      <c r="M2886" s="17"/>
      <c r="N2886" s="17"/>
      <c r="O2886" s="17" t="s">
        <v>5310</v>
      </c>
      <c r="P2886" s="17" t="s">
        <v>5314</v>
      </c>
      <c r="Q2886" s="17"/>
      <c r="R2886" s="25" t="str">
        <f>HYPERLINK("https://ictv.global/taxonomy/taxondetails?taxnode_id=202300770","Jerseyvirus jersey")</f>
        <v>Jerseyvirus jersey</v>
      </c>
      <c r="S2886" s="18" t="s">
        <v>30</v>
      </c>
      <c r="T2886" s="18" t="s">
        <v>5321</v>
      </c>
      <c r="U2886" s="18"/>
      <c r="V2886" s="18"/>
      <c r="W2886" s="18" t="s">
        <v>5322</v>
      </c>
      <c r="X2886" s="18" t="s">
        <v>42</v>
      </c>
      <c r="Y2886" s="18" t="s">
        <v>36</v>
      </c>
      <c r="Z2886" s="18" t="s">
        <v>697</v>
      </c>
      <c r="AA2886" s="21" t="str">
        <f>HYPERLINK("https://www.ncbi.nlm.nih.gov/nuccore/KF148055","NCBI Nucleotide")</f>
        <v>NCBI Nucleotide</v>
      </c>
    </row>
    <row r="2887" spans="1:27" x14ac:dyDescent="0.35">
      <c r="A2887">
        <v>1025089</v>
      </c>
      <c r="B2887">
        <v>2863</v>
      </c>
      <c r="C2887">
        <v>1</v>
      </c>
      <c r="D2887" s="17" t="s">
        <v>155</v>
      </c>
      <c r="E2887" s="17"/>
      <c r="F2887" s="17" t="s">
        <v>156</v>
      </c>
      <c r="G2887" s="17"/>
      <c r="H2887" s="17" t="s">
        <v>692</v>
      </c>
      <c r="I2887" s="17"/>
      <c r="J2887" s="17" t="s">
        <v>693</v>
      </c>
      <c r="K2887" s="17"/>
      <c r="L2887" s="17"/>
      <c r="M2887" s="17"/>
      <c r="N2887" s="17"/>
      <c r="O2887" s="17" t="s">
        <v>5310</v>
      </c>
      <c r="P2887" s="17" t="s">
        <v>5314</v>
      </c>
      <c r="Q2887" s="17"/>
      <c r="R2887" s="25" t="str">
        <f>HYPERLINK("https://ictv.global/taxonomy/taxondetails?taxnode_id=202319118","Jerseyvirus jv5sent1")</f>
        <v>Jerseyvirus jv5sent1</v>
      </c>
      <c r="S2887" s="18" t="s">
        <v>30</v>
      </c>
      <c r="T2887" s="18" t="s">
        <v>39597</v>
      </c>
      <c r="U2887" s="18"/>
      <c r="V2887" s="18"/>
      <c r="W2887" s="18" t="s">
        <v>48296</v>
      </c>
      <c r="X2887" s="18" t="s">
        <v>42</v>
      </c>
      <c r="Y2887" s="18" t="s">
        <v>36</v>
      </c>
      <c r="Z2887" s="18" t="s">
        <v>697</v>
      </c>
      <c r="AA2887" s="21" t="str">
        <f>HYPERLINK("https://www.ncbi.nlm.nih.gov/nuccore/MT653144","NCBI Nucleotide")</f>
        <v>NCBI Nucleotide</v>
      </c>
    </row>
    <row r="2888" spans="1:27" x14ac:dyDescent="0.35">
      <c r="A2888">
        <v>1025090</v>
      </c>
      <c r="B2888">
        <v>2864</v>
      </c>
      <c r="C2888">
        <v>1</v>
      </c>
      <c r="D2888" s="17" t="s">
        <v>155</v>
      </c>
      <c r="E2888" s="17"/>
      <c r="F2888" s="17" t="s">
        <v>156</v>
      </c>
      <c r="G2888" s="17"/>
      <c r="H2888" s="17" t="s">
        <v>692</v>
      </c>
      <c r="I2888" s="17"/>
      <c r="J2888" s="17" t="s">
        <v>693</v>
      </c>
      <c r="K2888" s="17"/>
      <c r="L2888" s="17"/>
      <c r="M2888" s="17"/>
      <c r="N2888" s="17"/>
      <c r="O2888" s="17" t="s">
        <v>5310</v>
      </c>
      <c r="P2888" s="17" t="s">
        <v>5314</v>
      </c>
      <c r="Q2888" s="17"/>
      <c r="R2888" s="25" t="str">
        <f>HYPERLINK("https://ictv.global/taxonomy/taxondetails?taxnode_id=202319131","Jerseyvirus LDW16")</f>
        <v>Jerseyvirus LDW16</v>
      </c>
      <c r="S2888" s="18" t="s">
        <v>30</v>
      </c>
      <c r="T2888" s="18" t="s">
        <v>39598</v>
      </c>
      <c r="U2888" s="18"/>
      <c r="V2888" s="18"/>
      <c r="W2888" s="18" t="s">
        <v>48297</v>
      </c>
      <c r="X2888" s="18" t="s">
        <v>42</v>
      </c>
      <c r="Y2888" s="18" t="s">
        <v>36</v>
      </c>
      <c r="Z2888" s="18" t="s">
        <v>697</v>
      </c>
      <c r="AA2888" s="21" t="str">
        <f>HYPERLINK("https://www.ncbi.nlm.nih.gov/nuccore/OP484850","NCBI Nucleotide")</f>
        <v>NCBI Nucleotide</v>
      </c>
    </row>
    <row r="2889" spans="1:27" x14ac:dyDescent="0.35">
      <c r="A2889">
        <v>1025091</v>
      </c>
      <c r="B2889">
        <v>2865</v>
      </c>
      <c r="C2889">
        <v>1</v>
      </c>
      <c r="D2889" s="17" t="s">
        <v>155</v>
      </c>
      <c r="E2889" s="17"/>
      <c r="F2889" s="17" t="s">
        <v>156</v>
      </c>
      <c r="G2889" s="17"/>
      <c r="H2889" s="17" t="s">
        <v>692</v>
      </c>
      <c r="I2889" s="17"/>
      <c r="J2889" s="17" t="s">
        <v>693</v>
      </c>
      <c r="K2889" s="17"/>
      <c r="L2889" s="17"/>
      <c r="M2889" s="17"/>
      <c r="N2889" s="17"/>
      <c r="O2889" s="17" t="s">
        <v>5310</v>
      </c>
      <c r="P2889" s="17" t="s">
        <v>5314</v>
      </c>
      <c r="Q2889" s="17"/>
      <c r="R2889" s="25" t="str">
        <f>HYPERLINK("https://ictv.global/taxonomy/taxondetails?taxnode_id=202319143","Jerseyvirus LP31")</f>
        <v>Jerseyvirus LP31</v>
      </c>
      <c r="S2889" s="18" t="s">
        <v>30</v>
      </c>
      <c r="T2889" s="18" t="s">
        <v>39599</v>
      </c>
      <c r="U2889" s="18"/>
      <c r="V2889" s="18"/>
      <c r="W2889" s="18" t="s">
        <v>48298</v>
      </c>
      <c r="X2889" s="18" t="s">
        <v>42</v>
      </c>
      <c r="Y2889" s="18" t="s">
        <v>36</v>
      </c>
      <c r="Z2889" s="18" t="s">
        <v>697</v>
      </c>
      <c r="AA2889" s="21" t="str">
        <f>HYPERLINK("https://www.ncbi.nlm.nih.gov/nuccore/OL436139","NCBI Nucleotide")</f>
        <v>NCBI Nucleotide</v>
      </c>
    </row>
    <row r="2890" spans="1:27" x14ac:dyDescent="0.35">
      <c r="A2890">
        <v>1025092</v>
      </c>
      <c r="B2890">
        <v>2866</v>
      </c>
      <c r="C2890">
        <v>1</v>
      </c>
      <c r="D2890" s="17" t="s">
        <v>155</v>
      </c>
      <c r="E2890" s="17"/>
      <c r="F2890" s="17" t="s">
        <v>156</v>
      </c>
      <c r="G2890" s="17"/>
      <c r="H2890" s="17" t="s">
        <v>692</v>
      </c>
      <c r="I2890" s="17"/>
      <c r="J2890" s="17" t="s">
        <v>693</v>
      </c>
      <c r="K2890" s="17"/>
      <c r="L2890" s="17"/>
      <c r="M2890" s="17"/>
      <c r="N2890" s="17"/>
      <c r="O2890" s="17" t="s">
        <v>5310</v>
      </c>
      <c r="P2890" s="17" t="s">
        <v>5314</v>
      </c>
      <c r="Q2890" s="17"/>
      <c r="R2890" s="25" t="str">
        <f>HYPERLINK("https://ictv.global/taxonomy/taxondetails?taxnode_id=202319141","Jerseyvirus LPSE1")</f>
        <v>Jerseyvirus LPSE1</v>
      </c>
      <c r="S2890" s="18" t="s">
        <v>30</v>
      </c>
      <c r="T2890" s="18" t="s">
        <v>39600</v>
      </c>
      <c r="U2890" s="18"/>
      <c r="V2890" s="18"/>
      <c r="W2890" s="18" t="s">
        <v>48299</v>
      </c>
      <c r="X2890" s="18" t="s">
        <v>42</v>
      </c>
      <c r="Y2890" s="18" t="s">
        <v>36</v>
      </c>
      <c r="Z2890" s="18" t="s">
        <v>697</v>
      </c>
      <c r="AA2890" s="21" t="str">
        <f>HYPERLINK("https://www.ncbi.nlm.nih.gov/nuccore/KY379853","NCBI Nucleotide")</f>
        <v>NCBI Nucleotide</v>
      </c>
    </row>
    <row r="2891" spans="1:27" x14ac:dyDescent="0.35">
      <c r="A2891">
        <v>1003911</v>
      </c>
      <c r="B2891">
        <v>2867</v>
      </c>
      <c r="C2891">
        <v>1</v>
      </c>
      <c r="D2891" s="17" t="s">
        <v>155</v>
      </c>
      <c r="E2891" s="17"/>
      <c r="F2891" s="17" t="s">
        <v>156</v>
      </c>
      <c r="G2891" s="17"/>
      <c r="H2891" s="17" t="s">
        <v>692</v>
      </c>
      <c r="I2891" s="17"/>
      <c r="J2891" s="17" t="s">
        <v>693</v>
      </c>
      <c r="K2891" s="17"/>
      <c r="L2891" s="17"/>
      <c r="M2891" s="17"/>
      <c r="N2891" s="17"/>
      <c r="O2891" s="17" t="s">
        <v>5310</v>
      </c>
      <c r="P2891" s="17" t="s">
        <v>5314</v>
      </c>
      <c r="Q2891" s="17"/>
      <c r="R2891" s="25" t="str">
        <f>HYPERLINK("https://ictv.global/taxonomy/taxondetails?taxnode_id=202300772","Jerseyvirus LSPA1")</f>
        <v>Jerseyvirus LSPA1</v>
      </c>
      <c r="S2891" s="18" t="s">
        <v>30</v>
      </c>
      <c r="T2891" s="18" t="s">
        <v>5323</v>
      </c>
      <c r="U2891" s="18"/>
      <c r="V2891" s="18"/>
      <c r="W2891" s="18" t="s">
        <v>5324</v>
      </c>
      <c r="X2891" s="18" t="s">
        <v>42</v>
      </c>
      <c r="Y2891" s="18" t="s">
        <v>36</v>
      </c>
      <c r="Z2891" s="18" t="s">
        <v>697</v>
      </c>
      <c r="AA2891" s="21" t="str">
        <f>HYPERLINK("https://www.ncbi.nlm.nih.gov/nuccore/KM272358","NCBI Nucleotide")</f>
        <v>NCBI Nucleotide</v>
      </c>
    </row>
    <row r="2892" spans="1:27" x14ac:dyDescent="0.35">
      <c r="A2892">
        <v>1025093</v>
      </c>
      <c r="B2892">
        <v>2868</v>
      </c>
      <c r="C2892">
        <v>1</v>
      </c>
      <c r="D2892" s="17" t="s">
        <v>155</v>
      </c>
      <c r="E2892" s="17"/>
      <c r="F2892" s="17" t="s">
        <v>156</v>
      </c>
      <c r="G2892" s="17"/>
      <c r="H2892" s="17" t="s">
        <v>692</v>
      </c>
      <c r="I2892" s="17"/>
      <c r="J2892" s="17" t="s">
        <v>693</v>
      </c>
      <c r="K2892" s="17"/>
      <c r="L2892" s="17"/>
      <c r="M2892" s="17"/>
      <c r="N2892" s="17"/>
      <c r="O2892" s="17" t="s">
        <v>5310</v>
      </c>
      <c r="P2892" s="17" t="s">
        <v>5314</v>
      </c>
      <c r="Q2892" s="17"/>
      <c r="R2892" s="25" t="str">
        <f>HYPERLINK("https://ictv.global/taxonomy/taxondetails?taxnode_id=202319140","Jerseyvirus METP100143")</f>
        <v>Jerseyvirus METP100143</v>
      </c>
      <c r="S2892" s="18" t="s">
        <v>30</v>
      </c>
      <c r="T2892" s="18" t="s">
        <v>39601</v>
      </c>
      <c r="U2892" s="18"/>
      <c r="V2892" s="18"/>
      <c r="W2892" s="18" t="s">
        <v>48300</v>
      </c>
      <c r="X2892" s="18" t="s">
        <v>42</v>
      </c>
      <c r="Y2892" s="18" t="s">
        <v>36</v>
      </c>
      <c r="Z2892" s="18" t="s">
        <v>697</v>
      </c>
      <c r="AA2892" s="21" t="str">
        <f>HYPERLINK("https://www.ncbi.nlm.nih.gov/nuccore/OP389270","NCBI Nucleotide")</f>
        <v>NCBI Nucleotide</v>
      </c>
    </row>
    <row r="2893" spans="1:27" x14ac:dyDescent="0.35">
      <c r="A2893">
        <v>1025094</v>
      </c>
      <c r="B2893">
        <v>2869</v>
      </c>
      <c r="C2893">
        <v>1</v>
      </c>
      <c r="D2893" s="17" t="s">
        <v>155</v>
      </c>
      <c r="E2893" s="17"/>
      <c r="F2893" s="17" t="s">
        <v>156</v>
      </c>
      <c r="G2893" s="17"/>
      <c r="H2893" s="17" t="s">
        <v>692</v>
      </c>
      <c r="I2893" s="17"/>
      <c r="J2893" s="17" t="s">
        <v>693</v>
      </c>
      <c r="K2893" s="17"/>
      <c r="L2893" s="17"/>
      <c r="M2893" s="17"/>
      <c r="N2893" s="17"/>
      <c r="O2893" s="17" t="s">
        <v>5310</v>
      </c>
      <c r="P2893" s="17" t="s">
        <v>5314</v>
      </c>
      <c r="Q2893" s="17"/>
      <c r="R2893" s="25" t="str">
        <f>HYPERLINK("https://ictv.global/taxonomy/taxondetails?taxnode_id=202319133","Jerseyvirus NBSal006")</f>
        <v>Jerseyvirus NBSal006</v>
      </c>
      <c r="S2893" s="18" t="s">
        <v>30</v>
      </c>
      <c r="T2893" s="18" t="s">
        <v>39602</v>
      </c>
      <c r="U2893" s="18"/>
      <c r="V2893" s="18"/>
      <c r="W2893" s="18" t="s">
        <v>48301</v>
      </c>
      <c r="X2893" s="18" t="s">
        <v>42</v>
      </c>
      <c r="Y2893" s="18" t="s">
        <v>36</v>
      </c>
      <c r="Z2893" s="18" t="s">
        <v>697</v>
      </c>
      <c r="AA2893" s="21" t="str">
        <f>HYPERLINK("https://www.ncbi.nlm.nih.gov/nuccore/MT677933","NCBI Nucleotide")</f>
        <v>NCBI Nucleotide</v>
      </c>
    </row>
    <row r="2894" spans="1:27" x14ac:dyDescent="0.35">
      <c r="A2894">
        <v>1025095</v>
      </c>
      <c r="B2894">
        <v>2870</v>
      </c>
      <c r="C2894">
        <v>1</v>
      </c>
      <c r="D2894" s="17" t="s">
        <v>155</v>
      </c>
      <c r="E2894" s="17"/>
      <c r="F2894" s="17" t="s">
        <v>156</v>
      </c>
      <c r="G2894" s="17"/>
      <c r="H2894" s="17" t="s">
        <v>692</v>
      </c>
      <c r="I2894" s="17"/>
      <c r="J2894" s="17" t="s">
        <v>693</v>
      </c>
      <c r="K2894" s="17"/>
      <c r="L2894" s="17"/>
      <c r="M2894" s="17"/>
      <c r="N2894" s="17"/>
      <c r="O2894" s="17" t="s">
        <v>5310</v>
      </c>
      <c r="P2894" s="17" t="s">
        <v>5314</v>
      </c>
      <c r="Q2894" s="17"/>
      <c r="R2894" s="25" t="str">
        <f>HYPERLINK("https://ictv.global/taxonomy/taxondetails?taxnode_id=202319120","Jerseyvirus NBSal007")</f>
        <v>Jerseyvirus NBSal007</v>
      </c>
      <c r="S2894" s="18" t="s">
        <v>30</v>
      </c>
      <c r="T2894" s="18" t="s">
        <v>39603</v>
      </c>
      <c r="U2894" s="18"/>
      <c r="V2894" s="18"/>
      <c r="W2894" s="18" t="s">
        <v>48302</v>
      </c>
      <c r="X2894" s="18" t="s">
        <v>42</v>
      </c>
      <c r="Y2894" s="18" t="s">
        <v>36</v>
      </c>
      <c r="Z2894" s="18" t="s">
        <v>697</v>
      </c>
      <c r="AA2894" s="21" t="str">
        <f>HYPERLINK("https://www.ncbi.nlm.nih.gov/nuccore/MT677934","NCBI Nucleotide")</f>
        <v>NCBI Nucleotide</v>
      </c>
    </row>
    <row r="2895" spans="1:27" x14ac:dyDescent="0.35">
      <c r="A2895">
        <v>1025096</v>
      </c>
      <c r="B2895">
        <v>2871</v>
      </c>
      <c r="C2895">
        <v>1</v>
      </c>
      <c r="D2895" s="17" t="s">
        <v>155</v>
      </c>
      <c r="E2895" s="17"/>
      <c r="F2895" s="17" t="s">
        <v>156</v>
      </c>
      <c r="G2895" s="17"/>
      <c r="H2895" s="17" t="s">
        <v>692</v>
      </c>
      <c r="I2895" s="17"/>
      <c r="J2895" s="17" t="s">
        <v>693</v>
      </c>
      <c r="K2895" s="17"/>
      <c r="L2895" s="17"/>
      <c r="M2895" s="17"/>
      <c r="N2895" s="17"/>
      <c r="O2895" s="17" t="s">
        <v>5310</v>
      </c>
      <c r="P2895" s="17" t="s">
        <v>5314</v>
      </c>
      <c r="Q2895" s="17"/>
      <c r="R2895" s="25" t="str">
        <f>HYPERLINK("https://ictv.global/taxonomy/taxondetails?taxnode_id=202319122","Jerseyvirus PBSE191")</f>
        <v>Jerseyvirus PBSE191</v>
      </c>
      <c r="S2895" s="18" t="s">
        <v>30</v>
      </c>
      <c r="T2895" s="18" t="s">
        <v>39604</v>
      </c>
      <c r="U2895" s="18"/>
      <c r="V2895" s="18"/>
      <c r="W2895" s="18" t="s">
        <v>48303</v>
      </c>
      <c r="X2895" s="18" t="s">
        <v>42</v>
      </c>
      <c r="Y2895" s="18" t="s">
        <v>36</v>
      </c>
      <c r="Z2895" s="18" t="s">
        <v>697</v>
      </c>
      <c r="AA2895" s="21" t="str">
        <f>HYPERLINK("https://www.ncbi.nlm.nih.gov/nuccore/OM291373","NCBI Nucleotide")</f>
        <v>NCBI Nucleotide</v>
      </c>
    </row>
    <row r="2896" spans="1:27" x14ac:dyDescent="0.35">
      <c r="A2896">
        <v>1025097</v>
      </c>
      <c r="B2896">
        <v>2872</v>
      </c>
      <c r="C2896">
        <v>1</v>
      </c>
      <c r="D2896" s="17" t="s">
        <v>155</v>
      </c>
      <c r="E2896" s="17"/>
      <c r="F2896" s="17" t="s">
        <v>156</v>
      </c>
      <c r="G2896" s="17"/>
      <c r="H2896" s="17" t="s">
        <v>692</v>
      </c>
      <c r="I2896" s="17"/>
      <c r="J2896" s="17" t="s">
        <v>693</v>
      </c>
      <c r="K2896" s="17"/>
      <c r="L2896" s="17"/>
      <c r="M2896" s="17"/>
      <c r="N2896" s="17"/>
      <c r="O2896" s="17" t="s">
        <v>5310</v>
      </c>
      <c r="P2896" s="17" t="s">
        <v>5314</v>
      </c>
      <c r="Q2896" s="17"/>
      <c r="R2896" s="25" t="str">
        <f>HYPERLINK("https://ictv.global/taxonomy/taxondetails?taxnode_id=202319155","Jerseyvirus pink")</f>
        <v>Jerseyvirus pink</v>
      </c>
      <c r="S2896" s="18" t="s">
        <v>30</v>
      </c>
      <c r="T2896" s="18" t="s">
        <v>39605</v>
      </c>
      <c r="U2896" s="18"/>
      <c r="V2896" s="18"/>
      <c r="W2896" s="18" t="s">
        <v>48304</v>
      </c>
      <c r="X2896" s="18" t="s">
        <v>42</v>
      </c>
      <c r="Y2896" s="18" t="s">
        <v>36</v>
      </c>
      <c r="Z2896" s="18" t="s">
        <v>697</v>
      </c>
      <c r="AA2896" s="21" t="str">
        <f>HYPERLINK("https://www.ncbi.nlm.nih.gov/nuccore/MT074430","NCBI Nucleotide")</f>
        <v>NCBI Nucleotide</v>
      </c>
    </row>
    <row r="2897" spans="1:27" x14ac:dyDescent="0.35">
      <c r="A2897">
        <v>1025098</v>
      </c>
      <c r="B2897">
        <v>2873</v>
      </c>
      <c r="C2897">
        <v>1</v>
      </c>
      <c r="D2897" s="17" t="s">
        <v>155</v>
      </c>
      <c r="E2897" s="17"/>
      <c r="F2897" s="17" t="s">
        <v>156</v>
      </c>
      <c r="G2897" s="17"/>
      <c r="H2897" s="17" t="s">
        <v>692</v>
      </c>
      <c r="I2897" s="17"/>
      <c r="J2897" s="17" t="s">
        <v>693</v>
      </c>
      <c r="K2897" s="17"/>
      <c r="L2897" s="17"/>
      <c r="M2897" s="17"/>
      <c r="N2897" s="17"/>
      <c r="O2897" s="17" t="s">
        <v>5310</v>
      </c>
      <c r="P2897" s="17" t="s">
        <v>5314</v>
      </c>
      <c r="Q2897" s="17"/>
      <c r="R2897" s="25" t="str">
        <f>HYPERLINK("https://ictv.global/taxonomy/taxondetails?taxnode_id=202319123","Jerseyvirus PVPSE2")</f>
        <v>Jerseyvirus PVPSE2</v>
      </c>
      <c r="S2897" s="18" t="s">
        <v>30</v>
      </c>
      <c r="T2897" s="18" t="s">
        <v>39606</v>
      </c>
      <c r="U2897" s="18"/>
      <c r="V2897" s="18"/>
      <c r="W2897" s="18" t="s">
        <v>48305</v>
      </c>
      <c r="X2897" s="18" t="s">
        <v>42</v>
      </c>
      <c r="Y2897" s="18" t="s">
        <v>36</v>
      </c>
      <c r="Z2897" s="18" t="s">
        <v>697</v>
      </c>
      <c r="AA2897" s="21" t="str">
        <f>HYPERLINK("https://www.ncbi.nlm.nih.gov/nuccore/MF431252","NCBI Nucleotide")</f>
        <v>NCBI Nucleotide</v>
      </c>
    </row>
    <row r="2898" spans="1:27" x14ac:dyDescent="0.35">
      <c r="A2898">
        <v>1025099</v>
      </c>
      <c r="B2898">
        <v>2874</v>
      </c>
      <c r="C2898">
        <v>1</v>
      </c>
      <c r="D2898" s="17" t="s">
        <v>155</v>
      </c>
      <c r="E2898" s="17"/>
      <c r="F2898" s="17" t="s">
        <v>156</v>
      </c>
      <c r="G2898" s="17"/>
      <c r="H2898" s="17" t="s">
        <v>692</v>
      </c>
      <c r="I2898" s="17"/>
      <c r="J2898" s="17" t="s">
        <v>693</v>
      </c>
      <c r="K2898" s="17"/>
      <c r="L2898" s="17"/>
      <c r="M2898" s="17"/>
      <c r="N2898" s="17"/>
      <c r="O2898" s="17" t="s">
        <v>5310</v>
      </c>
      <c r="P2898" s="17" t="s">
        <v>5314</v>
      </c>
      <c r="Q2898" s="17"/>
      <c r="R2898" s="25" t="str">
        <f>HYPERLINK("https://ictv.global/taxonomy/taxondetails?taxnode_id=202319130","Jerseyvirus S10")</f>
        <v>Jerseyvirus S10</v>
      </c>
      <c r="S2898" s="18" t="s">
        <v>30</v>
      </c>
      <c r="T2898" s="18" t="s">
        <v>39607</v>
      </c>
      <c r="U2898" s="18"/>
      <c r="V2898" s="18"/>
      <c r="W2898" s="18" t="s">
        <v>48306</v>
      </c>
      <c r="X2898" s="18" t="s">
        <v>42</v>
      </c>
      <c r="Y2898" s="18" t="s">
        <v>36</v>
      </c>
      <c r="Z2898" s="18" t="s">
        <v>697</v>
      </c>
      <c r="AA2898" s="21" t="str">
        <f>HYPERLINK("https://www.ncbi.nlm.nih.gov/nuccore/OL770276","NCBI Nucleotide")</f>
        <v>NCBI Nucleotide</v>
      </c>
    </row>
    <row r="2899" spans="1:27" x14ac:dyDescent="0.35">
      <c r="A2899">
        <v>1025100</v>
      </c>
      <c r="B2899">
        <v>2875</v>
      </c>
      <c r="C2899">
        <v>1</v>
      </c>
      <c r="D2899" s="17" t="s">
        <v>155</v>
      </c>
      <c r="E2899" s="17"/>
      <c r="F2899" s="17" t="s">
        <v>156</v>
      </c>
      <c r="G2899" s="17"/>
      <c r="H2899" s="17" t="s">
        <v>692</v>
      </c>
      <c r="I2899" s="17"/>
      <c r="J2899" s="17" t="s">
        <v>693</v>
      </c>
      <c r="K2899" s="17"/>
      <c r="L2899" s="17"/>
      <c r="M2899" s="17"/>
      <c r="N2899" s="17"/>
      <c r="O2899" s="17" t="s">
        <v>5310</v>
      </c>
      <c r="P2899" s="17" t="s">
        <v>5314</v>
      </c>
      <c r="Q2899" s="17"/>
      <c r="R2899" s="25" t="str">
        <f>HYPERLINK("https://ictv.global/taxonomy/taxondetails?taxnode_id=202319137","Jerseyvirus S100")</f>
        <v>Jerseyvirus S100</v>
      </c>
      <c r="S2899" s="18" t="s">
        <v>30</v>
      </c>
      <c r="T2899" s="18" t="s">
        <v>39608</v>
      </c>
      <c r="U2899" s="18"/>
      <c r="V2899" s="18"/>
      <c r="W2899" s="18" t="s">
        <v>48307</v>
      </c>
      <c r="X2899" s="18" t="s">
        <v>42</v>
      </c>
      <c r="Y2899" s="18" t="s">
        <v>36</v>
      </c>
      <c r="Z2899" s="18" t="s">
        <v>697</v>
      </c>
      <c r="AA2899" s="21" t="str">
        <f>HYPERLINK("https://www.ncbi.nlm.nih.gov/nuccore/MH370358","NCBI Nucleotide")</f>
        <v>NCBI Nucleotide</v>
      </c>
    </row>
    <row r="2900" spans="1:27" x14ac:dyDescent="0.35">
      <c r="A2900">
        <v>1025101</v>
      </c>
      <c r="B2900">
        <v>2876</v>
      </c>
      <c r="C2900">
        <v>1</v>
      </c>
      <c r="D2900" s="17" t="s">
        <v>155</v>
      </c>
      <c r="E2900" s="17"/>
      <c r="F2900" s="17" t="s">
        <v>156</v>
      </c>
      <c r="G2900" s="17"/>
      <c r="H2900" s="17" t="s">
        <v>692</v>
      </c>
      <c r="I2900" s="17"/>
      <c r="J2900" s="17" t="s">
        <v>693</v>
      </c>
      <c r="K2900" s="17"/>
      <c r="L2900" s="17"/>
      <c r="M2900" s="17"/>
      <c r="N2900" s="17"/>
      <c r="O2900" s="17" t="s">
        <v>5310</v>
      </c>
      <c r="P2900" s="17" t="s">
        <v>5314</v>
      </c>
      <c r="Q2900" s="17"/>
      <c r="R2900" s="25" t="str">
        <f>HYPERLINK("https://ictv.global/taxonomy/taxondetails?taxnode_id=202319136","Jerseyvirus S102")</f>
        <v>Jerseyvirus S102</v>
      </c>
      <c r="S2900" s="18" t="s">
        <v>30</v>
      </c>
      <c r="T2900" s="18" t="s">
        <v>39609</v>
      </c>
      <c r="U2900" s="18"/>
      <c r="V2900" s="18"/>
      <c r="W2900" s="18" t="s">
        <v>48308</v>
      </c>
      <c r="X2900" s="18" t="s">
        <v>42</v>
      </c>
      <c r="Y2900" s="18" t="s">
        <v>36</v>
      </c>
      <c r="Z2900" s="18" t="s">
        <v>697</v>
      </c>
      <c r="AA2900" s="21" t="str">
        <f>HYPERLINK("https://www.ncbi.nlm.nih.gov/nuccore/MH370360","NCBI Nucleotide")</f>
        <v>NCBI Nucleotide</v>
      </c>
    </row>
    <row r="2901" spans="1:27" x14ac:dyDescent="0.35">
      <c r="A2901">
        <v>1025102</v>
      </c>
      <c r="B2901">
        <v>2877</v>
      </c>
      <c r="C2901">
        <v>1</v>
      </c>
      <c r="D2901" s="17" t="s">
        <v>155</v>
      </c>
      <c r="E2901" s="17"/>
      <c r="F2901" s="17" t="s">
        <v>156</v>
      </c>
      <c r="G2901" s="17"/>
      <c r="H2901" s="17" t="s">
        <v>692</v>
      </c>
      <c r="I2901" s="17"/>
      <c r="J2901" s="17" t="s">
        <v>693</v>
      </c>
      <c r="K2901" s="17"/>
      <c r="L2901" s="17"/>
      <c r="M2901" s="17"/>
      <c r="N2901" s="17"/>
      <c r="O2901" s="17" t="s">
        <v>5310</v>
      </c>
      <c r="P2901" s="17" t="s">
        <v>5314</v>
      </c>
      <c r="Q2901" s="17"/>
      <c r="R2901" s="25" t="str">
        <f>HYPERLINK("https://ictv.global/taxonomy/taxondetails?taxnode_id=202319127","Jerseyvirus S528")</f>
        <v>Jerseyvirus S528</v>
      </c>
      <c r="S2901" s="18" t="s">
        <v>30</v>
      </c>
      <c r="T2901" s="18" t="s">
        <v>39610</v>
      </c>
      <c r="U2901" s="18"/>
      <c r="V2901" s="18"/>
      <c r="W2901" s="18" t="s">
        <v>48309</v>
      </c>
      <c r="X2901" s="18" t="s">
        <v>42</v>
      </c>
      <c r="Y2901" s="18" t="s">
        <v>36</v>
      </c>
      <c r="Z2901" s="18" t="s">
        <v>697</v>
      </c>
      <c r="AA2901" s="21" t="str">
        <f>HYPERLINK("https://www.ncbi.nlm.nih.gov/nuccore/OK108608","NCBI Nucleotide")</f>
        <v>NCBI Nucleotide</v>
      </c>
    </row>
    <row r="2902" spans="1:27" x14ac:dyDescent="0.35">
      <c r="A2902">
        <v>1025103</v>
      </c>
      <c r="B2902">
        <v>2878</v>
      </c>
      <c r="C2902">
        <v>1</v>
      </c>
      <c r="D2902" s="17" t="s">
        <v>155</v>
      </c>
      <c r="E2902" s="17"/>
      <c r="F2902" s="17" t="s">
        <v>156</v>
      </c>
      <c r="G2902" s="17"/>
      <c r="H2902" s="17" t="s">
        <v>692</v>
      </c>
      <c r="I2902" s="17"/>
      <c r="J2902" s="17" t="s">
        <v>693</v>
      </c>
      <c r="K2902" s="17"/>
      <c r="L2902" s="17"/>
      <c r="M2902" s="17"/>
      <c r="N2902" s="17"/>
      <c r="O2902" s="17" t="s">
        <v>5310</v>
      </c>
      <c r="P2902" s="17" t="s">
        <v>5314</v>
      </c>
      <c r="Q2902" s="17"/>
      <c r="R2902" s="25" t="str">
        <f>HYPERLINK("https://ictv.global/taxonomy/taxondetails?taxnode_id=202319125","Jerseyvirus S532")</f>
        <v>Jerseyvirus S532</v>
      </c>
      <c r="S2902" s="18" t="s">
        <v>30</v>
      </c>
      <c r="T2902" s="18" t="s">
        <v>39611</v>
      </c>
      <c r="U2902" s="18"/>
      <c r="V2902" s="18"/>
      <c r="W2902" s="18" t="s">
        <v>48310</v>
      </c>
      <c r="X2902" s="18" t="s">
        <v>42</v>
      </c>
      <c r="Y2902" s="18" t="s">
        <v>36</v>
      </c>
      <c r="Z2902" s="18" t="s">
        <v>697</v>
      </c>
      <c r="AA2902" s="21" t="str">
        <f>HYPERLINK("https://www.ncbi.nlm.nih.gov/nuccore/OK108609","NCBI Nucleotide")</f>
        <v>NCBI Nucleotide</v>
      </c>
    </row>
    <row r="2903" spans="1:27" x14ac:dyDescent="0.35">
      <c r="A2903">
        <v>1025104</v>
      </c>
      <c r="B2903">
        <v>2879</v>
      </c>
      <c r="C2903">
        <v>1</v>
      </c>
      <c r="D2903" s="17" t="s">
        <v>155</v>
      </c>
      <c r="E2903" s="17"/>
      <c r="F2903" s="17" t="s">
        <v>156</v>
      </c>
      <c r="G2903" s="17"/>
      <c r="H2903" s="17" t="s">
        <v>692</v>
      </c>
      <c r="I2903" s="17"/>
      <c r="J2903" s="17" t="s">
        <v>693</v>
      </c>
      <c r="K2903" s="17"/>
      <c r="L2903" s="17"/>
      <c r="M2903" s="17"/>
      <c r="N2903" s="17"/>
      <c r="O2903" s="17" t="s">
        <v>5310</v>
      </c>
      <c r="P2903" s="17" t="s">
        <v>5314</v>
      </c>
      <c r="Q2903" s="17"/>
      <c r="R2903" s="25" t="str">
        <f>HYPERLINK("https://ictv.global/taxonomy/taxondetails?taxnode_id=202319151","Jerseyvirus SB3")</f>
        <v>Jerseyvirus SB3</v>
      </c>
      <c r="S2903" s="18" t="s">
        <v>30</v>
      </c>
      <c r="T2903" s="18" t="s">
        <v>39612</v>
      </c>
      <c r="U2903" s="18"/>
      <c r="V2903" s="18"/>
      <c r="W2903" s="18" t="s">
        <v>48311</v>
      </c>
      <c r="X2903" s="18" t="s">
        <v>42</v>
      </c>
      <c r="Y2903" s="18" t="s">
        <v>36</v>
      </c>
      <c r="Z2903" s="18" t="s">
        <v>697</v>
      </c>
      <c r="AA2903" s="21" t="str">
        <f>HYPERLINK("https://www.ncbi.nlm.nih.gov/nuccore/MK578530","NCBI Nucleotide")</f>
        <v>NCBI Nucleotide</v>
      </c>
    </row>
    <row r="2904" spans="1:27" x14ac:dyDescent="0.35">
      <c r="A2904">
        <v>1003912</v>
      </c>
      <c r="B2904">
        <v>2880</v>
      </c>
      <c r="C2904">
        <v>1</v>
      </c>
      <c r="D2904" s="17" t="s">
        <v>155</v>
      </c>
      <c r="E2904" s="17"/>
      <c r="F2904" s="17" t="s">
        <v>156</v>
      </c>
      <c r="G2904" s="17"/>
      <c r="H2904" s="17" t="s">
        <v>692</v>
      </c>
      <c r="I2904" s="17"/>
      <c r="J2904" s="17" t="s">
        <v>693</v>
      </c>
      <c r="K2904" s="17"/>
      <c r="L2904" s="17"/>
      <c r="M2904" s="17"/>
      <c r="N2904" s="17"/>
      <c r="O2904" s="17" t="s">
        <v>5310</v>
      </c>
      <c r="P2904" s="17" t="s">
        <v>5314</v>
      </c>
      <c r="Q2904" s="17"/>
      <c r="R2904" s="25" t="str">
        <f>HYPERLINK("https://ictv.global/taxonomy/taxondetails?taxnode_id=202300773","Jerseyvirus SE2")</f>
        <v>Jerseyvirus SE2</v>
      </c>
      <c r="S2904" s="18" t="s">
        <v>30</v>
      </c>
      <c r="T2904" s="18" t="s">
        <v>5325</v>
      </c>
      <c r="U2904" s="18"/>
      <c r="V2904" s="18"/>
      <c r="W2904" s="18" t="s">
        <v>5326</v>
      </c>
      <c r="X2904" s="18" t="s">
        <v>42</v>
      </c>
      <c r="Y2904" s="18" t="s">
        <v>36</v>
      </c>
      <c r="Z2904" s="18" t="s">
        <v>697</v>
      </c>
      <c r="AA2904" s="21" t="str">
        <f>HYPERLINK("https://www.ncbi.nlm.nih.gov/nuccore/JQ007353","NCBI Nucleotide")</f>
        <v>NCBI Nucleotide</v>
      </c>
    </row>
    <row r="2905" spans="1:27" x14ac:dyDescent="0.35">
      <c r="A2905">
        <v>1003914</v>
      </c>
      <c r="B2905">
        <v>2881</v>
      </c>
      <c r="C2905">
        <v>1</v>
      </c>
      <c r="D2905" s="17" t="s">
        <v>155</v>
      </c>
      <c r="E2905" s="17"/>
      <c r="F2905" s="17" t="s">
        <v>156</v>
      </c>
      <c r="G2905" s="17"/>
      <c r="H2905" s="17" t="s">
        <v>692</v>
      </c>
      <c r="I2905" s="17"/>
      <c r="J2905" s="17" t="s">
        <v>693</v>
      </c>
      <c r="K2905" s="17"/>
      <c r="L2905" s="17"/>
      <c r="M2905" s="17"/>
      <c r="N2905" s="17"/>
      <c r="O2905" s="17" t="s">
        <v>5310</v>
      </c>
      <c r="P2905" s="17" t="s">
        <v>5314</v>
      </c>
      <c r="Q2905" s="17"/>
      <c r="R2905" s="25" t="str">
        <f>HYPERLINK("https://ictv.global/taxonomy/taxondetails?taxnode_id=202300774","Jerseyvirus SETP3")</f>
        <v>Jerseyvirus SETP3</v>
      </c>
      <c r="S2905" s="18" t="s">
        <v>30</v>
      </c>
      <c r="T2905" s="18" t="s">
        <v>5329</v>
      </c>
      <c r="U2905" s="18"/>
      <c r="V2905" s="18"/>
      <c r="W2905" s="18" t="s">
        <v>5330</v>
      </c>
      <c r="X2905" s="18" t="s">
        <v>42</v>
      </c>
      <c r="Y2905" s="18" t="s">
        <v>36</v>
      </c>
      <c r="Z2905" s="18" t="s">
        <v>697</v>
      </c>
      <c r="AA2905" s="21" t="str">
        <f>HYPERLINK("https://www.ncbi.nlm.nih.gov/nuccore/EF177456","NCBI Nucleotide")</f>
        <v>NCBI Nucleotide</v>
      </c>
    </row>
    <row r="2906" spans="1:27" x14ac:dyDescent="0.35">
      <c r="A2906">
        <v>1003915</v>
      </c>
      <c r="B2906">
        <v>2882</v>
      </c>
      <c r="C2906">
        <v>1</v>
      </c>
      <c r="D2906" s="17" t="s">
        <v>155</v>
      </c>
      <c r="E2906" s="17"/>
      <c r="F2906" s="17" t="s">
        <v>156</v>
      </c>
      <c r="G2906" s="17"/>
      <c r="H2906" s="17" t="s">
        <v>692</v>
      </c>
      <c r="I2906" s="17"/>
      <c r="J2906" s="17" t="s">
        <v>693</v>
      </c>
      <c r="K2906" s="17"/>
      <c r="L2906" s="17"/>
      <c r="M2906" s="17"/>
      <c r="N2906" s="17"/>
      <c r="O2906" s="17" t="s">
        <v>5310</v>
      </c>
      <c r="P2906" s="17" t="s">
        <v>5314</v>
      </c>
      <c r="Q2906" s="17"/>
      <c r="R2906" s="25" t="str">
        <f>HYPERLINK("https://ictv.global/taxonomy/taxondetails?taxnode_id=202300775","Jerseyvirus SETP7")</f>
        <v>Jerseyvirus SETP7</v>
      </c>
      <c r="S2906" s="18" t="s">
        <v>30</v>
      </c>
      <c r="T2906" s="18" t="s">
        <v>5329</v>
      </c>
      <c r="U2906" s="18"/>
      <c r="V2906" s="18"/>
      <c r="W2906" s="18" t="s">
        <v>5331</v>
      </c>
      <c r="X2906" s="18" t="s">
        <v>42</v>
      </c>
      <c r="Y2906" s="18" t="s">
        <v>36</v>
      </c>
      <c r="Z2906" s="18" t="s">
        <v>697</v>
      </c>
      <c r="AA2906" s="21" t="str">
        <f>HYPERLINK("https://www.ncbi.nlm.nih.gov/nuccore/KF562865","NCBI Nucleotide")</f>
        <v>NCBI Nucleotide</v>
      </c>
    </row>
    <row r="2907" spans="1:27" x14ac:dyDescent="0.35">
      <c r="A2907">
        <v>1003913</v>
      </c>
      <c r="B2907">
        <v>2883</v>
      </c>
      <c r="C2907">
        <v>1</v>
      </c>
      <c r="D2907" s="17" t="s">
        <v>155</v>
      </c>
      <c r="E2907" s="17"/>
      <c r="F2907" s="17" t="s">
        <v>156</v>
      </c>
      <c r="G2907" s="17"/>
      <c r="H2907" s="17" t="s">
        <v>692</v>
      </c>
      <c r="I2907" s="17"/>
      <c r="J2907" s="17" t="s">
        <v>693</v>
      </c>
      <c r="K2907" s="17"/>
      <c r="L2907" s="17"/>
      <c r="M2907" s="17"/>
      <c r="N2907" s="17"/>
      <c r="O2907" s="17" t="s">
        <v>5310</v>
      </c>
      <c r="P2907" s="17" t="s">
        <v>5314</v>
      </c>
      <c r="Q2907" s="17"/>
      <c r="R2907" s="25" t="str">
        <f>HYPERLINK("https://ictv.global/taxonomy/taxondetails?taxnode_id=202300776","Jerseyvirus SETP13")</f>
        <v>Jerseyvirus SETP13</v>
      </c>
      <c r="S2907" s="18" t="s">
        <v>30</v>
      </c>
      <c r="T2907" s="18" t="s">
        <v>5327</v>
      </c>
      <c r="U2907" s="18"/>
      <c r="V2907" s="18"/>
      <c r="W2907" s="18" t="s">
        <v>5328</v>
      </c>
      <c r="X2907" s="18" t="s">
        <v>42</v>
      </c>
      <c r="Y2907" s="18" t="s">
        <v>36</v>
      </c>
      <c r="Z2907" s="18" t="s">
        <v>697</v>
      </c>
      <c r="AA2907" s="21" t="str">
        <f>HYPERLINK("https://www.ncbi.nlm.nih.gov/nuccore/KF562864","NCBI Nucleotide")</f>
        <v>NCBI Nucleotide</v>
      </c>
    </row>
    <row r="2908" spans="1:27" x14ac:dyDescent="0.35">
      <c r="A2908">
        <v>1025105</v>
      </c>
      <c r="B2908">
        <v>2884</v>
      </c>
      <c r="C2908">
        <v>1</v>
      </c>
      <c r="D2908" s="17" t="s">
        <v>155</v>
      </c>
      <c r="E2908" s="17"/>
      <c r="F2908" s="17" t="s">
        <v>156</v>
      </c>
      <c r="G2908" s="17"/>
      <c r="H2908" s="17" t="s">
        <v>692</v>
      </c>
      <c r="I2908" s="17"/>
      <c r="J2908" s="17" t="s">
        <v>693</v>
      </c>
      <c r="K2908" s="17"/>
      <c r="L2908" s="17"/>
      <c r="M2908" s="17"/>
      <c r="N2908" s="17"/>
      <c r="O2908" s="17" t="s">
        <v>5310</v>
      </c>
      <c r="P2908" s="17" t="s">
        <v>5314</v>
      </c>
      <c r="Q2908" s="17"/>
      <c r="R2908" s="25" t="str">
        <f>HYPERLINK("https://ictv.global/taxonomy/taxondetails?taxnode_id=202319107","Jerseyvirus SEW109")</f>
        <v>Jerseyvirus SEW109</v>
      </c>
      <c r="S2908" s="18" t="s">
        <v>30</v>
      </c>
      <c r="T2908" s="18" t="s">
        <v>39613</v>
      </c>
      <c r="U2908" s="18"/>
      <c r="V2908" s="18"/>
      <c r="W2908" s="18" t="s">
        <v>48312</v>
      </c>
      <c r="X2908" s="18" t="s">
        <v>42</v>
      </c>
      <c r="Y2908" s="18" t="s">
        <v>36</v>
      </c>
      <c r="Z2908" s="18" t="s">
        <v>697</v>
      </c>
      <c r="AA2908" s="21" t="str">
        <f>HYPERLINK("https://www.ncbi.nlm.nih.gov/nuccore/KX649889","NCBI Nucleotide")</f>
        <v>NCBI Nucleotide</v>
      </c>
    </row>
    <row r="2909" spans="1:27" x14ac:dyDescent="0.35">
      <c r="A2909">
        <v>1025106</v>
      </c>
      <c r="B2909">
        <v>2885</v>
      </c>
      <c r="C2909">
        <v>1</v>
      </c>
      <c r="D2909" s="17" t="s">
        <v>155</v>
      </c>
      <c r="E2909" s="17"/>
      <c r="F2909" s="17" t="s">
        <v>156</v>
      </c>
      <c r="G2909" s="17"/>
      <c r="H2909" s="17" t="s">
        <v>692</v>
      </c>
      <c r="I2909" s="17"/>
      <c r="J2909" s="17" t="s">
        <v>693</v>
      </c>
      <c r="K2909" s="17"/>
      <c r="L2909" s="17"/>
      <c r="M2909" s="17"/>
      <c r="N2909" s="17"/>
      <c r="O2909" s="17" t="s">
        <v>5310</v>
      </c>
      <c r="P2909" s="17" t="s">
        <v>5314</v>
      </c>
      <c r="Q2909" s="17"/>
      <c r="R2909" s="25" t="str">
        <f>HYPERLINK("https://ictv.global/taxonomy/taxondetails?taxnode_id=202319153","Jerseyvirus SGPC")</f>
        <v>Jerseyvirus SGPC</v>
      </c>
      <c r="S2909" s="18" t="s">
        <v>30</v>
      </c>
      <c r="T2909" s="18" t="s">
        <v>39614</v>
      </c>
      <c r="U2909" s="18"/>
      <c r="V2909" s="18"/>
      <c r="W2909" s="18" t="s">
        <v>48313</v>
      </c>
      <c r="X2909" s="18" t="s">
        <v>42</v>
      </c>
      <c r="Y2909" s="18" t="s">
        <v>36</v>
      </c>
      <c r="Z2909" s="18" t="s">
        <v>697</v>
      </c>
      <c r="AA2909" s="21" t="str">
        <f>HYPERLINK("https://www.ncbi.nlm.nih.gov/nuccore/OK169616","NCBI Nucleotide")</f>
        <v>NCBI Nucleotide</v>
      </c>
    </row>
    <row r="2910" spans="1:27" x14ac:dyDescent="0.35">
      <c r="A2910">
        <v>1025107</v>
      </c>
      <c r="B2910">
        <v>2886</v>
      </c>
      <c r="C2910">
        <v>1</v>
      </c>
      <c r="D2910" s="17" t="s">
        <v>155</v>
      </c>
      <c r="E2910" s="17"/>
      <c r="F2910" s="17" t="s">
        <v>156</v>
      </c>
      <c r="G2910" s="17"/>
      <c r="H2910" s="17" t="s">
        <v>692</v>
      </c>
      <c r="I2910" s="17"/>
      <c r="J2910" s="17" t="s">
        <v>693</v>
      </c>
      <c r="K2910" s="17"/>
      <c r="L2910" s="17"/>
      <c r="M2910" s="17"/>
      <c r="N2910" s="17"/>
      <c r="O2910" s="17" t="s">
        <v>5310</v>
      </c>
      <c r="P2910" s="17" t="s">
        <v>5314</v>
      </c>
      <c r="Q2910" s="17"/>
      <c r="R2910" s="25" t="str">
        <f>HYPERLINK("https://ictv.global/taxonomy/taxondetails?taxnode_id=202319132","Jerseyvirus shelanagig")</f>
        <v>Jerseyvirus shelanagig</v>
      </c>
      <c r="S2910" s="18" t="s">
        <v>30</v>
      </c>
      <c r="T2910" s="18" t="s">
        <v>39615</v>
      </c>
      <c r="U2910" s="18"/>
      <c r="V2910" s="18"/>
      <c r="W2910" s="18" t="s">
        <v>48314</v>
      </c>
      <c r="X2910" s="18" t="s">
        <v>42</v>
      </c>
      <c r="Y2910" s="18" t="s">
        <v>36</v>
      </c>
      <c r="Z2910" s="18" t="s">
        <v>697</v>
      </c>
      <c r="AA2910" s="21" t="str">
        <f>HYPERLINK("https://www.ncbi.nlm.nih.gov/nuccore/MK931446","NCBI Nucleotide")</f>
        <v>NCBI Nucleotide</v>
      </c>
    </row>
    <row r="2911" spans="1:27" x14ac:dyDescent="0.35">
      <c r="A2911">
        <v>1025108</v>
      </c>
      <c r="B2911">
        <v>2887</v>
      </c>
      <c r="C2911">
        <v>1</v>
      </c>
      <c r="D2911" s="17" t="s">
        <v>155</v>
      </c>
      <c r="E2911" s="17"/>
      <c r="F2911" s="17" t="s">
        <v>156</v>
      </c>
      <c r="G2911" s="17"/>
      <c r="H2911" s="17" t="s">
        <v>692</v>
      </c>
      <c r="I2911" s="17"/>
      <c r="J2911" s="17" t="s">
        <v>693</v>
      </c>
      <c r="K2911" s="17"/>
      <c r="L2911" s="17"/>
      <c r="M2911" s="17"/>
      <c r="N2911" s="17"/>
      <c r="O2911" s="17" t="s">
        <v>5310</v>
      </c>
      <c r="P2911" s="17" t="s">
        <v>5314</v>
      </c>
      <c r="Q2911" s="17"/>
      <c r="R2911" s="25" t="str">
        <f>HYPERLINK("https://ictv.global/taxonomy/taxondetails?taxnode_id=202319145","Jerseyvirus SHWT1")</f>
        <v>Jerseyvirus SHWT1</v>
      </c>
      <c r="S2911" s="18" t="s">
        <v>30</v>
      </c>
      <c r="T2911" s="18" t="s">
        <v>39616</v>
      </c>
      <c r="U2911" s="18"/>
      <c r="V2911" s="18"/>
      <c r="W2911" s="18" t="s">
        <v>48315</v>
      </c>
      <c r="X2911" s="18" t="s">
        <v>42</v>
      </c>
      <c r="Y2911" s="18" t="s">
        <v>36</v>
      </c>
      <c r="Z2911" s="18" t="s">
        <v>697</v>
      </c>
      <c r="AA2911" s="21" t="str">
        <f>HYPERLINK("https://www.ncbi.nlm.nih.gov/nuccore/MT740291","NCBI Nucleotide")</f>
        <v>NCBI Nucleotide</v>
      </c>
    </row>
    <row r="2912" spans="1:27" x14ac:dyDescent="0.35">
      <c r="A2912">
        <v>1025109</v>
      </c>
      <c r="B2912">
        <v>2888</v>
      </c>
      <c r="C2912">
        <v>1</v>
      </c>
      <c r="D2912" s="17" t="s">
        <v>155</v>
      </c>
      <c r="E2912" s="17"/>
      <c r="F2912" s="17" t="s">
        <v>156</v>
      </c>
      <c r="G2912" s="17"/>
      <c r="H2912" s="17" t="s">
        <v>692</v>
      </c>
      <c r="I2912" s="17"/>
      <c r="J2912" s="17" t="s">
        <v>693</v>
      </c>
      <c r="K2912" s="17"/>
      <c r="L2912" s="17"/>
      <c r="M2912" s="17"/>
      <c r="N2912" s="17"/>
      <c r="O2912" s="17" t="s">
        <v>5310</v>
      </c>
      <c r="P2912" s="17" t="s">
        <v>5314</v>
      </c>
      <c r="Q2912" s="17"/>
      <c r="R2912" s="25" t="str">
        <f>HYPERLINK("https://ictv.global/taxonomy/taxondetails?taxnode_id=202319157","Jerseyvirus sidste")</f>
        <v>Jerseyvirus sidste</v>
      </c>
      <c r="S2912" s="18" t="s">
        <v>30</v>
      </c>
      <c r="T2912" s="18" t="s">
        <v>39617</v>
      </c>
      <c r="U2912" s="18"/>
      <c r="V2912" s="18"/>
      <c r="W2912" s="18" t="s">
        <v>48316</v>
      </c>
      <c r="X2912" s="18" t="s">
        <v>42</v>
      </c>
      <c r="Y2912" s="18" t="s">
        <v>36</v>
      </c>
      <c r="Z2912" s="18" t="s">
        <v>697</v>
      </c>
      <c r="AA2912" s="21" t="str">
        <f>HYPERLINK("https://www.ncbi.nlm.nih.gov/nuccore/MT074481","NCBI Nucleotide")</f>
        <v>NCBI Nucleotide</v>
      </c>
    </row>
    <row r="2913" spans="1:27" x14ac:dyDescent="0.35">
      <c r="A2913">
        <v>1025110</v>
      </c>
      <c r="B2913">
        <v>2889</v>
      </c>
      <c r="C2913">
        <v>1</v>
      </c>
      <c r="D2913" s="17" t="s">
        <v>155</v>
      </c>
      <c r="E2913" s="17"/>
      <c r="F2913" s="17" t="s">
        <v>156</v>
      </c>
      <c r="G2913" s="17"/>
      <c r="H2913" s="17" t="s">
        <v>692</v>
      </c>
      <c r="I2913" s="17"/>
      <c r="J2913" s="17" t="s">
        <v>693</v>
      </c>
      <c r="K2913" s="17"/>
      <c r="L2913" s="17"/>
      <c r="M2913" s="17"/>
      <c r="N2913" s="17"/>
      <c r="O2913" s="17" t="s">
        <v>5310</v>
      </c>
      <c r="P2913" s="17" t="s">
        <v>5314</v>
      </c>
      <c r="Q2913" s="17"/>
      <c r="R2913" s="25" t="str">
        <f>HYPERLINK("https://ictv.global/taxonomy/taxondetails?taxnode_id=202319109","Jerseyvirus skrot")</f>
        <v>Jerseyvirus skrot</v>
      </c>
      <c r="S2913" s="18" t="s">
        <v>30</v>
      </c>
      <c r="T2913" s="18" t="s">
        <v>39618</v>
      </c>
      <c r="U2913" s="18"/>
      <c r="V2913" s="18"/>
      <c r="W2913" s="18" t="s">
        <v>48317</v>
      </c>
      <c r="X2913" s="18" t="s">
        <v>42</v>
      </c>
      <c r="Y2913" s="18" t="s">
        <v>36</v>
      </c>
      <c r="Z2913" s="18" t="s">
        <v>697</v>
      </c>
      <c r="AA2913" s="21" t="str">
        <f>HYPERLINK("https://www.ncbi.nlm.nih.gov/nuccore/MT074483","NCBI Nucleotide")</f>
        <v>NCBI Nucleotide</v>
      </c>
    </row>
    <row r="2914" spans="1:27" x14ac:dyDescent="0.35">
      <c r="A2914">
        <v>1025111</v>
      </c>
      <c r="B2914">
        <v>2890</v>
      </c>
      <c r="C2914">
        <v>1</v>
      </c>
      <c r="D2914" s="17" t="s">
        <v>155</v>
      </c>
      <c r="E2914" s="17"/>
      <c r="F2914" s="17" t="s">
        <v>156</v>
      </c>
      <c r="G2914" s="17"/>
      <c r="H2914" s="17" t="s">
        <v>692</v>
      </c>
      <c r="I2914" s="17"/>
      <c r="J2914" s="17" t="s">
        <v>693</v>
      </c>
      <c r="K2914" s="17"/>
      <c r="L2914" s="17"/>
      <c r="M2914" s="17"/>
      <c r="N2914" s="17"/>
      <c r="O2914" s="17" t="s">
        <v>5310</v>
      </c>
      <c r="P2914" s="17" t="s">
        <v>5314</v>
      </c>
      <c r="Q2914" s="17"/>
      <c r="R2914" s="25" t="str">
        <f>HYPERLINK("https://ictv.global/taxonomy/taxondetails?taxnode_id=202319146","Jerseyvirus SLMP1")</f>
        <v>Jerseyvirus SLMP1</v>
      </c>
      <c r="S2914" s="18" t="s">
        <v>30</v>
      </c>
      <c r="T2914" s="18" t="s">
        <v>39619</v>
      </c>
      <c r="U2914" s="18"/>
      <c r="V2914" s="18"/>
      <c r="W2914" s="18" t="s">
        <v>48318</v>
      </c>
      <c r="X2914" s="18" t="s">
        <v>42</v>
      </c>
      <c r="Y2914" s="18" t="s">
        <v>36</v>
      </c>
      <c r="Z2914" s="18" t="s">
        <v>697</v>
      </c>
      <c r="AA2914" s="21" t="str">
        <f>HYPERLINK("https://www.ncbi.nlm.nih.gov/nuccore/MW201959","NCBI Nucleotide")</f>
        <v>NCBI Nucleotide</v>
      </c>
    </row>
    <row r="2915" spans="1:27" x14ac:dyDescent="0.35">
      <c r="A2915">
        <v>1003916</v>
      </c>
      <c r="B2915">
        <v>2891</v>
      </c>
      <c r="C2915">
        <v>1</v>
      </c>
      <c r="D2915" s="17" t="s">
        <v>155</v>
      </c>
      <c r="E2915" s="17"/>
      <c r="F2915" s="17" t="s">
        <v>156</v>
      </c>
      <c r="G2915" s="17"/>
      <c r="H2915" s="17" t="s">
        <v>692</v>
      </c>
      <c r="I2915" s="17"/>
      <c r="J2915" s="17" t="s">
        <v>693</v>
      </c>
      <c r="K2915" s="17"/>
      <c r="L2915" s="17"/>
      <c r="M2915" s="17"/>
      <c r="N2915" s="17"/>
      <c r="O2915" s="17" t="s">
        <v>5310</v>
      </c>
      <c r="P2915" s="17" t="s">
        <v>5314</v>
      </c>
      <c r="Q2915" s="17"/>
      <c r="R2915" s="25" t="str">
        <f>HYPERLINK("https://ictv.global/taxonomy/taxondetails?taxnode_id=202300777","Jerseyvirus SP101")</f>
        <v>Jerseyvirus SP101</v>
      </c>
      <c r="S2915" s="18" t="s">
        <v>30</v>
      </c>
      <c r="T2915" s="18" t="s">
        <v>5332</v>
      </c>
      <c r="U2915" s="18"/>
      <c r="V2915" s="18"/>
      <c r="W2915" s="18" t="s">
        <v>5333</v>
      </c>
      <c r="X2915" s="18" t="s">
        <v>154</v>
      </c>
      <c r="Y2915" s="18" t="s">
        <v>36</v>
      </c>
      <c r="Z2915" s="18" t="s">
        <v>697</v>
      </c>
      <c r="AA2915" s="21" t="str">
        <f>HYPERLINK("https://www.ncbi.nlm.nih.gov/nuccore/KC139511","NCBI Nucleotide")</f>
        <v>NCBI Nucleotide</v>
      </c>
    </row>
    <row r="2916" spans="1:27" x14ac:dyDescent="0.35">
      <c r="A2916">
        <v>1025112</v>
      </c>
      <c r="B2916">
        <v>2892</v>
      </c>
      <c r="C2916">
        <v>1</v>
      </c>
      <c r="D2916" s="17" t="s">
        <v>155</v>
      </c>
      <c r="E2916" s="17"/>
      <c r="F2916" s="17" t="s">
        <v>156</v>
      </c>
      <c r="G2916" s="17"/>
      <c r="H2916" s="17" t="s">
        <v>692</v>
      </c>
      <c r="I2916" s="17"/>
      <c r="J2916" s="17" t="s">
        <v>693</v>
      </c>
      <c r="K2916" s="17"/>
      <c r="L2916" s="17"/>
      <c r="M2916" s="17"/>
      <c r="N2916" s="17"/>
      <c r="O2916" s="17" t="s">
        <v>5310</v>
      </c>
      <c r="P2916" s="17" t="s">
        <v>5314</v>
      </c>
      <c r="Q2916" s="17"/>
      <c r="R2916" s="25" t="str">
        <f>HYPERLINK("https://ictv.global/taxonomy/taxondetails?taxnode_id=202319106","Jerseyvirus SS5")</f>
        <v>Jerseyvirus SS5</v>
      </c>
      <c r="S2916" s="18" t="s">
        <v>30</v>
      </c>
      <c r="T2916" s="18" t="s">
        <v>39620</v>
      </c>
      <c r="U2916" s="18"/>
      <c r="V2916" s="18"/>
      <c r="W2916" s="18" t="s">
        <v>48319</v>
      </c>
      <c r="X2916" s="18" t="s">
        <v>42</v>
      </c>
      <c r="Y2916" s="18" t="s">
        <v>36</v>
      </c>
      <c r="Z2916" s="18" t="s">
        <v>697</v>
      </c>
      <c r="AA2916" s="21" t="str">
        <f>HYPERLINK("https://www.ncbi.nlm.nih.gov/nuccore/MK972702","NCBI Nucleotide")</f>
        <v>NCBI Nucleotide</v>
      </c>
    </row>
    <row r="2917" spans="1:27" x14ac:dyDescent="0.35">
      <c r="A2917">
        <v>1003917</v>
      </c>
      <c r="B2917">
        <v>2893</v>
      </c>
      <c r="C2917">
        <v>1</v>
      </c>
      <c r="D2917" s="17" t="s">
        <v>155</v>
      </c>
      <c r="E2917" s="17"/>
      <c r="F2917" s="17" t="s">
        <v>156</v>
      </c>
      <c r="G2917" s="17"/>
      <c r="H2917" s="17" t="s">
        <v>692</v>
      </c>
      <c r="I2917" s="17"/>
      <c r="J2917" s="17" t="s">
        <v>693</v>
      </c>
      <c r="K2917" s="17"/>
      <c r="L2917" s="17"/>
      <c r="M2917" s="17"/>
      <c r="N2917" s="17"/>
      <c r="O2917" s="17" t="s">
        <v>5310</v>
      </c>
      <c r="P2917" s="17" t="s">
        <v>5314</v>
      </c>
      <c r="Q2917" s="17"/>
      <c r="R2917" s="25" t="str">
        <f>HYPERLINK("https://ictv.global/taxonomy/taxondetails?taxnode_id=202300778","Jerseyvirus SS3e")</f>
        <v>Jerseyvirus SS3e</v>
      </c>
      <c r="S2917" s="18" t="s">
        <v>30</v>
      </c>
      <c r="T2917" s="18" t="s">
        <v>5334</v>
      </c>
      <c r="U2917" s="18"/>
      <c r="V2917" s="18"/>
      <c r="W2917" s="18" t="s">
        <v>5335</v>
      </c>
      <c r="X2917" s="18" t="s">
        <v>42</v>
      </c>
      <c r="Y2917" s="18" t="s">
        <v>36</v>
      </c>
      <c r="Z2917" s="18" t="s">
        <v>697</v>
      </c>
      <c r="AA2917" s="21" t="str">
        <f>HYPERLINK("https://www.ncbi.nlm.nih.gov/nuccore/AY730274","NCBI Nucleotide")</f>
        <v>NCBI Nucleotide</v>
      </c>
    </row>
    <row r="2918" spans="1:27" x14ac:dyDescent="0.35">
      <c r="A2918">
        <v>1025113</v>
      </c>
      <c r="B2918">
        <v>2894</v>
      </c>
      <c r="C2918">
        <v>1</v>
      </c>
      <c r="D2918" s="17" t="s">
        <v>155</v>
      </c>
      <c r="E2918" s="17"/>
      <c r="F2918" s="17" t="s">
        <v>156</v>
      </c>
      <c r="G2918" s="17"/>
      <c r="H2918" s="17" t="s">
        <v>692</v>
      </c>
      <c r="I2918" s="17"/>
      <c r="J2918" s="17" t="s">
        <v>693</v>
      </c>
      <c r="K2918" s="17"/>
      <c r="L2918" s="17"/>
      <c r="M2918" s="17"/>
      <c r="N2918" s="17"/>
      <c r="O2918" s="17" t="s">
        <v>5310</v>
      </c>
      <c r="P2918" s="17" t="s">
        <v>5314</v>
      </c>
      <c r="Q2918" s="17"/>
      <c r="R2918" s="25" t="str">
        <f>HYPERLINK("https://ictv.global/taxonomy/taxondetails?taxnode_id=202319154","Jerseyvirus STP03")</f>
        <v>Jerseyvirus STP03</v>
      </c>
      <c r="S2918" s="18" t="s">
        <v>30</v>
      </c>
      <c r="T2918" s="18" t="s">
        <v>39621</v>
      </c>
      <c r="U2918" s="18"/>
      <c r="V2918" s="18"/>
      <c r="W2918" s="18" t="s">
        <v>48320</v>
      </c>
      <c r="X2918" s="18" t="s">
        <v>42</v>
      </c>
      <c r="Y2918" s="18" t="s">
        <v>36</v>
      </c>
      <c r="Z2918" s="18" t="s">
        <v>697</v>
      </c>
      <c r="AA2918" s="21" t="str">
        <f>HYPERLINK("https://www.ncbi.nlm.nih.gov/nuccore/KY176369","NCBI Nucleotide")</f>
        <v>NCBI Nucleotide</v>
      </c>
    </row>
    <row r="2919" spans="1:27" x14ac:dyDescent="0.35">
      <c r="A2919">
        <v>1025114</v>
      </c>
      <c r="B2919">
        <v>2895</v>
      </c>
      <c r="C2919">
        <v>1</v>
      </c>
      <c r="D2919" s="17" t="s">
        <v>155</v>
      </c>
      <c r="E2919" s="17"/>
      <c r="F2919" s="17" t="s">
        <v>156</v>
      </c>
      <c r="G2919" s="17"/>
      <c r="H2919" s="17" t="s">
        <v>692</v>
      </c>
      <c r="I2919" s="17"/>
      <c r="J2919" s="17" t="s">
        <v>693</v>
      </c>
      <c r="K2919" s="17"/>
      <c r="L2919" s="17"/>
      <c r="M2919" s="17"/>
      <c r="N2919" s="17"/>
      <c r="O2919" s="17" t="s">
        <v>5310</v>
      </c>
      <c r="P2919" s="17" t="s">
        <v>5314</v>
      </c>
      <c r="Q2919" s="17"/>
      <c r="R2919" s="25" t="str">
        <f>HYPERLINK("https://ictv.global/taxonomy/taxondetails?taxnode_id=202319149","Jerseyvirus T102")</f>
        <v>Jerseyvirus T102</v>
      </c>
      <c r="S2919" s="18" t="s">
        <v>30</v>
      </c>
      <c r="T2919" s="18" t="s">
        <v>39622</v>
      </c>
      <c r="U2919" s="18"/>
      <c r="V2919" s="18"/>
      <c r="W2919" s="18" t="s">
        <v>48321</v>
      </c>
      <c r="X2919" s="18" t="s">
        <v>42</v>
      </c>
      <c r="Y2919" s="18" t="s">
        <v>36</v>
      </c>
      <c r="Z2919" s="18" t="s">
        <v>697</v>
      </c>
      <c r="AA2919" s="21" t="str">
        <f>HYPERLINK("https://www.ncbi.nlm.nih.gov/nuccore/ON996339","NCBI Nucleotide")</f>
        <v>NCBI Nucleotide</v>
      </c>
    </row>
    <row r="2920" spans="1:27" x14ac:dyDescent="0.35">
      <c r="A2920">
        <v>1025115</v>
      </c>
      <c r="B2920">
        <v>2896</v>
      </c>
      <c r="C2920">
        <v>1</v>
      </c>
      <c r="D2920" s="17" t="s">
        <v>155</v>
      </c>
      <c r="E2920" s="17"/>
      <c r="F2920" s="17" t="s">
        <v>156</v>
      </c>
      <c r="G2920" s="17"/>
      <c r="H2920" s="17" t="s">
        <v>692</v>
      </c>
      <c r="I2920" s="17"/>
      <c r="J2920" s="17" t="s">
        <v>693</v>
      </c>
      <c r="K2920" s="17"/>
      <c r="L2920" s="17"/>
      <c r="M2920" s="17"/>
      <c r="N2920" s="17"/>
      <c r="O2920" s="17" t="s">
        <v>5310</v>
      </c>
      <c r="P2920" s="17" t="s">
        <v>5314</v>
      </c>
      <c r="Q2920" s="17"/>
      <c r="R2920" s="25" t="str">
        <f>HYPERLINK("https://ictv.global/taxonomy/taxondetails?taxnode_id=202319117","Jerseyvirus templet")</f>
        <v>Jerseyvirus templet</v>
      </c>
      <c r="S2920" s="18" t="s">
        <v>30</v>
      </c>
      <c r="T2920" s="18" t="s">
        <v>39623</v>
      </c>
      <c r="U2920" s="18"/>
      <c r="V2920" s="18"/>
      <c r="W2920" s="18" t="s">
        <v>48322</v>
      </c>
      <c r="X2920" s="18" t="s">
        <v>42</v>
      </c>
      <c r="Y2920" s="18" t="s">
        <v>36</v>
      </c>
      <c r="Z2920" s="18" t="s">
        <v>697</v>
      </c>
      <c r="AA2920" s="21" t="str">
        <f>HYPERLINK("https://www.ncbi.nlm.nih.gov/nuccore/MT074462","NCBI Nucleotide")</f>
        <v>NCBI Nucleotide</v>
      </c>
    </row>
    <row r="2921" spans="1:27" x14ac:dyDescent="0.35">
      <c r="A2921">
        <v>1025117</v>
      </c>
      <c r="B2921">
        <v>2897</v>
      </c>
      <c r="C2921">
        <v>1</v>
      </c>
      <c r="D2921" s="17" t="s">
        <v>155</v>
      </c>
      <c r="E2921" s="17"/>
      <c r="F2921" s="17" t="s">
        <v>156</v>
      </c>
      <c r="G2921" s="17"/>
      <c r="H2921" s="17" t="s">
        <v>692</v>
      </c>
      <c r="I2921" s="17"/>
      <c r="J2921" s="17" t="s">
        <v>693</v>
      </c>
      <c r="K2921" s="17"/>
      <c r="L2921" s="17"/>
      <c r="M2921" s="17"/>
      <c r="N2921" s="17"/>
      <c r="O2921" s="17" t="s">
        <v>5310</v>
      </c>
      <c r="P2921" s="17" t="s">
        <v>5314</v>
      </c>
      <c r="Q2921" s="17"/>
      <c r="R2921" s="25" t="str">
        <f>HYPERLINK("https://ictv.global/taxonomy/taxondetails?taxnode_id=202319116","Jerseyvirus TUMSE4")</f>
        <v>Jerseyvirus TUMSE4</v>
      </c>
      <c r="S2921" s="18" t="s">
        <v>30</v>
      </c>
      <c r="T2921" s="18" t="s">
        <v>39624</v>
      </c>
      <c r="U2921" s="18"/>
      <c r="V2921" s="18"/>
      <c r="W2921" s="18" t="s">
        <v>48323</v>
      </c>
      <c r="X2921" s="18" t="s">
        <v>42</v>
      </c>
      <c r="Y2921" s="18" t="s">
        <v>36</v>
      </c>
      <c r="Z2921" s="18" t="s">
        <v>697</v>
      </c>
      <c r="AA2921" s="21" t="str">
        <f>HYPERLINK("https://www.ncbi.nlm.nih.gov/nuccore/MZ955866","NCBI Nucleotide")</f>
        <v>NCBI Nucleotide</v>
      </c>
    </row>
    <row r="2922" spans="1:27" x14ac:dyDescent="0.35">
      <c r="A2922">
        <v>1025116</v>
      </c>
      <c r="B2922">
        <v>2898</v>
      </c>
      <c r="C2922">
        <v>1</v>
      </c>
      <c r="D2922" s="17" t="s">
        <v>155</v>
      </c>
      <c r="E2922" s="17"/>
      <c r="F2922" s="17" t="s">
        <v>156</v>
      </c>
      <c r="G2922" s="17"/>
      <c r="H2922" s="17" t="s">
        <v>692</v>
      </c>
      <c r="I2922" s="17"/>
      <c r="J2922" s="17" t="s">
        <v>693</v>
      </c>
      <c r="K2922" s="17"/>
      <c r="L2922" s="17"/>
      <c r="M2922" s="17"/>
      <c r="N2922" s="17"/>
      <c r="O2922" s="17" t="s">
        <v>5310</v>
      </c>
      <c r="P2922" s="17" t="s">
        <v>5314</v>
      </c>
      <c r="Q2922" s="17"/>
      <c r="R2922" s="25" t="str">
        <f>HYPERLINK("https://ictv.global/taxonomy/taxondetails?taxnode_id=202319115","Jerseyvirus TUMSE19")</f>
        <v>Jerseyvirus TUMSE19</v>
      </c>
      <c r="S2922" s="18" t="s">
        <v>30</v>
      </c>
      <c r="T2922" s="18" t="s">
        <v>39625</v>
      </c>
      <c r="U2922" s="18"/>
      <c r="V2922" s="18"/>
      <c r="W2922" s="18" t="s">
        <v>48324</v>
      </c>
      <c r="X2922" s="18" t="s">
        <v>42</v>
      </c>
      <c r="Y2922" s="18" t="s">
        <v>36</v>
      </c>
      <c r="Z2922" s="18" t="s">
        <v>697</v>
      </c>
      <c r="AA2922" s="21" t="str">
        <f>HYPERLINK("https://www.ncbi.nlm.nih.gov/nuccore/OL519843","NCBI Nucleotide")</f>
        <v>NCBI Nucleotide</v>
      </c>
    </row>
    <row r="2923" spans="1:27" x14ac:dyDescent="0.35">
      <c r="A2923">
        <v>1025118</v>
      </c>
      <c r="B2923">
        <v>2899</v>
      </c>
      <c r="C2923">
        <v>1</v>
      </c>
      <c r="D2923" s="17" t="s">
        <v>155</v>
      </c>
      <c r="E2923" s="17"/>
      <c r="F2923" s="17" t="s">
        <v>156</v>
      </c>
      <c r="G2923" s="17"/>
      <c r="H2923" s="17" t="s">
        <v>692</v>
      </c>
      <c r="I2923" s="17"/>
      <c r="J2923" s="17" t="s">
        <v>693</v>
      </c>
      <c r="K2923" s="17"/>
      <c r="L2923" s="17"/>
      <c r="M2923" s="17"/>
      <c r="N2923" s="17"/>
      <c r="O2923" s="17" t="s">
        <v>5310</v>
      </c>
      <c r="P2923" s="17" t="s">
        <v>5314</v>
      </c>
      <c r="Q2923" s="17"/>
      <c r="R2923" s="25" t="str">
        <f>HYPERLINK("https://ictv.global/taxonomy/taxondetails?taxnode_id=202319114","Jerseyvirus vsam")</f>
        <v>Jerseyvirus vsam</v>
      </c>
      <c r="S2923" s="18" t="s">
        <v>30</v>
      </c>
      <c r="T2923" s="18" t="s">
        <v>39626</v>
      </c>
      <c r="U2923" s="18"/>
      <c r="V2923" s="18"/>
      <c r="W2923" s="18" t="s">
        <v>48325</v>
      </c>
      <c r="X2923" s="18" t="s">
        <v>42</v>
      </c>
      <c r="Y2923" s="18" t="s">
        <v>36</v>
      </c>
      <c r="Z2923" s="18" t="s">
        <v>697</v>
      </c>
      <c r="AA2923" s="21" t="str">
        <f>HYPERLINK("https://www.ncbi.nlm.nih.gov/nuccore/LC507823","NCBI Nucleotide")</f>
        <v>NCBI Nucleotide</v>
      </c>
    </row>
    <row r="2924" spans="1:27" x14ac:dyDescent="0.35">
      <c r="A2924">
        <v>1025119</v>
      </c>
      <c r="B2924">
        <v>2900</v>
      </c>
      <c r="C2924">
        <v>1</v>
      </c>
      <c r="D2924" s="17" t="s">
        <v>155</v>
      </c>
      <c r="E2924" s="17"/>
      <c r="F2924" s="17" t="s">
        <v>156</v>
      </c>
      <c r="G2924" s="17"/>
      <c r="H2924" s="17" t="s">
        <v>692</v>
      </c>
      <c r="I2924" s="17"/>
      <c r="J2924" s="17" t="s">
        <v>693</v>
      </c>
      <c r="K2924" s="17"/>
      <c r="L2924" s="17"/>
      <c r="M2924" s="17"/>
      <c r="N2924" s="17"/>
      <c r="O2924" s="17" t="s">
        <v>5310</v>
      </c>
      <c r="P2924" s="17" t="s">
        <v>5314</v>
      </c>
      <c r="Q2924" s="17"/>
      <c r="R2924" s="25" t="str">
        <f>HYPERLINK("https://ictv.global/taxonomy/taxondetails?taxnode_id=202319113","Jerseyvirus VSe101")</f>
        <v>Jerseyvirus VSe101</v>
      </c>
      <c r="S2924" s="18" t="s">
        <v>30</v>
      </c>
      <c r="T2924" s="18" t="s">
        <v>39627</v>
      </c>
      <c r="U2924" s="18"/>
      <c r="V2924" s="18"/>
      <c r="W2924" s="18" t="s">
        <v>48326</v>
      </c>
      <c r="X2924" s="18" t="s">
        <v>42</v>
      </c>
      <c r="Y2924" s="18" t="s">
        <v>36</v>
      </c>
      <c r="Z2924" s="18" t="s">
        <v>697</v>
      </c>
      <c r="AA2924" s="21" t="str">
        <f>HYPERLINK("https://www.ncbi.nlm.nih.gov/nuccore/MN393078","NCBI Nucleotide")</f>
        <v>NCBI Nucleotide</v>
      </c>
    </row>
    <row r="2925" spans="1:27" x14ac:dyDescent="0.35">
      <c r="A2925">
        <v>1025120</v>
      </c>
      <c r="B2925">
        <v>2901</v>
      </c>
      <c r="C2925">
        <v>1</v>
      </c>
      <c r="D2925" s="17" t="s">
        <v>155</v>
      </c>
      <c r="E2925" s="17"/>
      <c r="F2925" s="17" t="s">
        <v>156</v>
      </c>
      <c r="G2925" s="17"/>
      <c r="H2925" s="17" t="s">
        <v>692</v>
      </c>
      <c r="I2925" s="17"/>
      <c r="J2925" s="17" t="s">
        <v>693</v>
      </c>
      <c r="K2925" s="17"/>
      <c r="L2925" s="17"/>
      <c r="M2925" s="17"/>
      <c r="N2925" s="17"/>
      <c r="O2925" s="17" t="s">
        <v>5310</v>
      </c>
      <c r="P2925" s="17" t="s">
        <v>5314</v>
      </c>
      <c r="Q2925" s="17"/>
      <c r="R2925" s="25" t="str">
        <f>HYPERLINK("https://ictv.global/taxonomy/taxondetails?taxnode_id=202319119","Jerseyvirus VSe103")</f>
        <v>Jerseyvirus VSe103</v>
      </c>
      <c r="S2925" s="18" t="s">
        <v>30</v>
      </c>
      <c r="T2925" s="18" t="s">
        <v>39628</v>
      </c>
      <c r="U2925" s="18"/>
      <c r="V2925" s="18"/>
      <c r="W2925" s="18" t="s">
        <v>48327</v>
      </c>
      <c r="X2925" s="18" t="s">
        <v>42</v>
      </c>
      <c r="Y2925" s="18" t="s">
        <v>36</v>
      </c>
      <c r="Z2925" s="18" t="s">
        <v>697</v>
      </c>
      <c r="AA2925" s="21" t="str">
        <f>HYPERLINK("https://www.ncbi.nlm.nih.gov/nuccore/MH424443","NCBI Nucleotide")</f>
        <v>NCBI Nucleotide</v>
      </c>
    </row>
    <row r="2926" spans="1:27" x14ac:dyDescent="0.35">
      <c r="A2926">
        <v>1025121</v>
      </c>
      <c r="B2926">
        <v>2902</v>
      </c>
      <c r="C2926">
        <v>1</v>
      </c>
      <c r="D2926" s="17" t="s">
        <v>155</v>
      </c>
      <c r="E2926" s="17"/>
      <c r="F2926" s="17" t="s">
        <v>156</v>
      </c>
      <c r="G2926" s="17"/>
      <c r="H2926" s="17" t="s">
        <v>692</v>
      </c>
      <c r="I2926" s="17"/>
      <c r="J2926" s="17" t="s">
        <v>693</v>
      </c>
      <c r="K2926" s="17"/>
      <c r="L2926" s="17"/>
      <c r="M2926" s="17"/>
      <c r="N2926" s="17"/>
      <c r="O2926" s="17" t="s">
        <v>5310</v>
      </c>
      <c r="P2926" s="17" t="s">
        <v>5314</v>
      </c>
      <c r="Q2926" s="17"/>
      <c r="R2926" s="25" t="str">
        <f>HYPERLINK("https://ictv.global/taxonomy/taxondetails?taxnode_id=202319112","Jerseyvirus VSt10")</f>
        <v>Jerseyvirus VSt10</v>
      </c>
      <c r="S2926" s="18" t="s">
        <v>30</v>
      </c>
      <c r="T2926" s="18" t="s">
        <v>39629</v>
      </c>
      <c r="U2926" s="18"/>
      <c r="V2926" s="18"/>
      <c r="W2926" s="18" t="s">
        <v>48328</v>
      </c>
      <c r="X2926" s="18" t="s">
        <v>42</v>
      </c>
      <c r="Y2926" s="18" t="s">
        <v>36</v>
      </c>
      <c r="Z2926" s="18" t="s">
        <v>697</v>
      </c>
      <c r="AA2926" s="21" t="str">
        <f>HYPERLINK("https://www.ncbi.nlm.nih.gov/nuccore/MH424445","NCBI Nucleotide")</f>
        <v>NCBI Nucleotide</v>
      </c>
    </row>
    <row r="2927" spans="1:27" x14ac:dyDescent="0.35">
      <c r="A2927">
        <v>1025122</v>
      </c>
      <c r="B2927">
        <v>2903</v>
      </c>
      <c r="C2927">
        <v>1</v>
      </c>
      <c r="D2927" s="17" t="s">
        <v>155</v>
      </c>
      <c r="E2927" s="17"/>
      <c r="F2927" s="17" t="s">
        <v>156</v>
      </c>
      <c r="G2927" s="17"/>
      <c r="H2927" s="17" t="s">
        <v>692</v>
      </c>
      <c r="I2927" s="17"/>
      <c r="J2927" s="17" t="s">
        <v>693</v>
      </c>
      <c r="K2927" s="17"/>
      <c r="L2927" s="17"/>
      <c r="M2927" s="17"/>
      <c r="N2927" s="17"/>
      <c r="O2927" s="17" t="s">
        <v>5310</v>
      </c>
      <c r="P2927" s="17" t="s">
        <v>5314</v>
      </c>
      <c r="Q2927" s="17"/>
      <c r="R2927" s="25" t="str">
        <f>HYPERLINK("https://ictv.global/taxonomy/taxondetails?taxnode_id=202319111","Jerseyvirus wast")</f>
        <v>Jerseyvirus wast</v>
      </c>
      <c r="S2927" s="18" t="s">
        <v>30</v>
      </c>
      <c r="T2927" s="18" t="s">
        <v>39630</v>
      </c>
      <c r="U2927" s="18"/>
      <c r="V2927" s="18"/>
      <c r="W2927" s="18" t="s">
        <v>48329</v>
      </c>
      <c r="X2927" s="18" t="s">
        <v>42</v>
      </c>
      <c r="Y2927" s="18" t="s">
        <v>36</v>
      </c>
      <c r="Z2927" s="18" t="s">
        <v>697</v>
      </c>
      <c r="AA2927" s="21" t="str">
        <f>HYPERLINK("https://www.ncbi.nlm.nih.gov/nuccore/MT074451","NCBI Nucleotide")</f>
        <v>NCBI Nucleotide</v>
      </c>
    </row>
    <row r="2928" spans="1:27" x14ac:dyDescent="0.35">
      <c r="A2928">
        <v>1003918</v>
      </c>
      <c r="B2928">
        <v>2904</v>
      </c>
      <c r="C2928">
        <v>1</v>
      </c>
      <c r="D2928" s="17" t="s">
        <v>155</v>
      </c>
      <c r="E2928" s="17"/>
      <c r="F2928" s="17" t="s">
        <v>156</v>
      </c>
      <c r="G2928" s="17"/>
      <c r="H2928" s="17" t="s">
        <v>692</v>
      </c>
      <c r="I2928" s="17"/>
      <c r="J2928" s="17" t="s">
        <v>693</v>
      </c>
      <c r="K2928" s="17"/>
      <c r="L2928" s="17"/>
      <c r="M2928" s="17"/>
      <c r="N2928" s="17"/>
      <c r="O2928" s="17" t="s">
        <v>5310</v>
      </c>
      <c r="P2928" s="17" t="s">
        <v>5314</v>
      </c>
      <c r="Q2928" s="17"/>
      <c r="R2928" s="25" t="str">
        <f>HYPERLINK("https://ictv.global/taxonomy/taxondetails?taxnode_id=202300779","Jerseyvirus wksl3")</f>
        <v>Jerseyvirus wksl3</v>
      </c>
      <c r="S2928" s="18" t="s">
        <v>30</v>
      </c>
      <c r="T2928" s="18" t="s">
        <v>5336</v>
      </c>
      <c r="U2928" s="18"/>
      <c r="V2928" s="18"/>
      <c r="W2928" s="18" t="s">
        <v>5337</v>
      </c>
      <c r="X2928" s="18" t="s">
        <v>42</v>
      </c>
      <c r="Y2928" s="18" t="s">
        <v>36</v>
      </c>
      <c r="Z2928" s="18" t="s">
        <v>697</v>
      </c>
      <c r="AA2928" s="21" t="str">
        <f>HYPERLINK("https://www.ncbi.nlm.nih.gov/nuccore/JX202565","NCBI Nucleotide")</f>
        <v>NCBI Nucleotide</v>
      </c>
    </row>
    <row r="2929" spans="1:27" x14ac:dyDescent="0.35">
      <c r="A2929">
        <v>1025123</v>
      </c>
      <c r="B2929">
        <v>2905</v>
      </c>
      <c r="C2929">
        <v>1</v>
      </c>
      <c r="D2929" s="17" t="s">
        <v>155</v>
      </c>
      <c r="E2929" s="17"/>
      <c r="F2929" s="17" t="s">
        <v>156</v>
      </c>
      <c r="G2929" s="17"/>
      <c r="H2929" s="17" t="s">
        <v>692</v>
      </c>
      <c r="I2929" s="17"/>
      <c r="J2929" s="17" t="s">
        <v>693</v>
      </c>
      <c r="K2929" s="17"/>
      <c r="L2929" s="17"/>
      <c r="M2929" s="17"/>
      <c r="N2929" s="17"/>
      <c r="O2929" s="17" t="s">
        <v>5310</v>
      </c>
      <c r="P2929" s="17" t="s">
        <v>5314</v>
      </c>
      <c r="Q2929" s="17"/>
      <c r="R2929" s="25" t="str">
        <f>HYPERLINK("https://ictv.global/taxonomy/taxondetails?taxnode_id=202319150","Jerseyvirus ZCSE9")</f>
        <v>Jerseyvirus ZCSE9</v>
      </c>
      <c r="S2929" s="18" t="s">
        <v>30</v>
      </c>
      <c r="T2929" s="18" t="s">
        <v>39631</v>
      </c>
      <c r="U2929" s="18"/>
      <c r="V2929" s="18"/>
      <c r="W2929" s="18" t="s">
        <v>48330</v>
      </c>
      <c r="X2929" s="18" t="s">
        <v>42</v>
      </c>
      <c r="Y2929" s="18" t="s">
        <v>36</v>
      </c>
      <c r="Z2929" s="18" t="s">
        <v>697</v>
      </c>
      <c r="AA2929" s="21" t="str">
        <f>HYPERLINK("https://www.ncbi.nlm.nih.gov/nuccore/OP793478","NCBI Nucleotide")</f>
        <v>NCBI Nucleotide</v>
      </c>
    </row>
    <row r="2930" spans="1:27" x14ac:dyDescent="0.35">
      <c r="A2930">
        <v>1025128</v>
      </c>
      <c r="B2930">
        <v>2906</v>
      </c>
      <c r="C2930">
        <v>1</v>
      </c>
      <c r="D2930" s="17" t="s">
        <v>155</v>
      </c>
      <c r="E2930" s="17"/>
      <c r="F2930" s="17" t="s">
        <v>156</v>
      </c>
      <c r="G2930" s="17"/>
      <c r="H2930" s="17" t="s">
        <v>692</v>
      </c>
      <c r="I2930" s="17"/>
      <c r="J2930" s="17" t="s">
        <v>693</v>
      </c>
      <c r="K2930" s="17"/>
      <c r="L2930" s="17"/>
      <c r="M2930" s="17"/>
      <c r="N2930" s="17"/>
      <c r="O2930" s="17" t="s">
        <v>5310</v>
      </c>
      <c r="P2930" s="17" t="s">
        <v>5338</v>
      </c>
      <c r="Q2930" s="17"/>
      <c r="R2930" s="25" t="str">
        <f>HYPERLINK("https://ictv.global/taxonomy/taxondetails?taxnode_id=202319180","Kagunavirus GAB2017")</f>
        <v>Kagunavirus GAB2017</v>
      </c>
      <c r="S2930" s="18" t="s">
        <v>30</v>
      </c>
      <c r="T2930" s="18" t="s">
        <v>39632</v>
      </c>
      <c r="U2930" s="18"/>
      <c r="V2930" s="18"/>
      <c r="W2930" s="18" t="s">
        <v>48331</v>
      </c>
      <c r="X2930" s="18" t="s">
        <v>42</v>
      </c>
      <c r="Y2930" s="18" t="s">
        <v>36</v>
      </c>
      <c r="Z2930" s="18" t="s">
        <v>697</v>
      </c>
      <c r="AA2930" s="21" t="str">
        <f>HYPERLINK("https://www.ncbi.nlm.nih.gov/nuccore/KY295895","NCBI Nucleotide")</f>
        <v>NCBI Nucleotide</v>
      </c>
    </row>
    <row r="2931" spans="1:27" x14ac:dyDescent="0.35">
      <c r="A2931">
        <v>1003919</v>
      </c>
      <c r="B2931">
        <v>2907</v>
      </c>
      <c r="C2931">
        <v>1</v>
      </c>
      <c r="D2931" s="17" t="s">
        <v>155</v>
      </c>
      <c r="E2931" s="17"/>
      <c r="F2931" s="17" t="s">
        <v>156</v>
      </c>
      <c r="G2931" s="17"/>
      <c r="H2931" s="17" t="s">
        <v>692</v>
      </c>
      <c r="I2931" s="17"/>
      <c r="J2931" s="17" t="s">
        <v>693</v>
      </c>
      <c r="K2931" s="17"/>
      <c r="L2931" s="17"/>
      <c r="M2931" s="17"/>
      <c r="N2931" s="17"/>
      <c r="O2931" s="17" t="s">
        <v>5310</v>
      </c>
      <c r="P2931" s="17" t="s">
        <v>5338</v>
      </c>
      <c r="Q2931" s="17"/>
      <c r="R2931" s="25" t="str">
        <f>HYPERLINK("https://ictv.global/taxonomy/taxondetails?taxnode_id=202306957","Kagunavirus golestan")</f>
        <v>Kagunavirus golestan</v>
      </c>
      <c r="S2931" s="18" t="s">
        <v>30</v>
      </c>
      <c r="T2931" s="18" t="s">
        <v>5339</v>
      </c>
      <c r="U2931" s="18"/>
      <c r="V2931" s="18"/>
      <c r="W2931" s="18" t="s">
        <v>5340</v>
      </c>
      <c r="X2931" s="18" t="s">
        <v>42</v>
      </c>
      <c r="Y2931" s="18" t="s">
        <v>36</v>
      </c>
      <c r="Z2931" s="18" t="s">
        <v>697</v>
      </c>
      <c r="AA2931" s="21" t="str">
        <f>HYPERLINK("https://www.ncbi.nlm.nih.gov/nuccore/MG099933","NCBI Nucleotide")</f>
        <v>NCBI Nucleotide</v>
      </c>
    </row>
    <row r="2932" spans="1:27" x14ac:dyDescent="0.35">
      <c r="A2932">
        <v>1003920</v>
      </c>
      <c r="B2932">
        <v>2908</v>
      </c>
      <c r="C2932">
        <v>1</v>
      </c>
      <c r="D2932" s="17" t="s">
        <v>155</v>
      </c>
      <c r="E2932" s="17"/>
      <c r="F2932" s="17" t="s">
        <v>156</v>
      </c>
      <c r="G2932" s="17"/>
      <c r="H2932" s="17" t="s">
        <v>692</v>
      </c>
      <c r="I2932" s="17"/>
      <c r="J2932" s="17" t="s">
        <v>693</v>
      </c>
      <c r="K2932" s="17"/>
      <c r="L2932" s="17"/>
      <c r="M2932" s="17"/>
      <c r="N2932" s="17"/>
      <c r="O2932" s="17" t="s">
        <v>5310</v>
      </c>
      <c r="P2932" s="17" t="s">
        <v>5338</v>
      </c>
      <c r="Q2932" s="17"/>
      <c r="R2932" s="25" t="str">
        <f>HYPERLINK("https://ictv.global/taxonomy/taxondetails?taxnode_id=202300781","Kagunavirus K1G")</f>
        <v>Kagunavirus K1G</v>
      </c>
      <c r="S2932" s="18" t="s">
        <v>30</v>
      </c>
      <c r="T2932" s="18" t="s">
        <v>5341</v>
      </c>
      <c r="U2932" s="18"/>
      <c r="V2932" s="18"/>
      <c r="W2932" s="18" t="s">
        <v>5342</v>
      </c>
      <c r="X2932" s="18" t="s">
        <v>42</v>
      </c>
      <c r="Y2932" s="18" t="s">
        <v>36</v>
      </c>
      <c r="Z2932" s="18" t="s">
        <v>697</v>
      </c>
      <c r="AA2932" s="21" t="str">
        <f>HYPERLINK("https://www.ncbi.nlm.nih.gov/nuccore/GU196277","NCBI Nucleotide")</f>
        <v>NCBI Nucleotide</v>
      </c>
    </row>
    <row r="2933" spans="1:27" x14ac:dyDescent="0.35">
      <c r="A2933">
        <v>1003921</v>
      </c>
      <c r="B2933">
        <v>2909</v>
      </c>
      <c r="C2933">
        <v>1</v>
      </c>
      <c r="D2933" s="17" t="s">
        <v>155</v>
      </c>
      <c r="E2933" s="17"/>
      <c r="F2933" s="17" t="s">
        <v>156</v>
      </c>
      <c r="G2933" s="17"/>
      <c r="H2933" s="17" t="s">
        <v>692</v>
      </c>
      <c r="I2933" s="17"/>
      <c r="J2933" s="17" t="s">
        <v>693</v>
      </c>
      <c r="K2933" s="17"/>
      <c r="L2933" s="17"/>
      <c r="M2933" s="17"/>
      <c r="N2933" s="17"/>
      <c r="O2933" s="17" t="s">
        <v>5310</v>
      </c>
      <c r="P2933" s="17" t="s">
        <v>5338</v>
      </c>
      <c r="Q2933" s="17"/>
      <c r="R2933" s="25" t="str">
        <f>HYPERLINK("https://ictv.global/taxonomy/taxondetails?taxnode_id=202300782","Kagunavirus K1H")</f>
        <v>Kagunavirus K1H</v>
      </c>
      <c r="S2933" s="18" t="s">
        <v>30</v>
      </c>
      <c r="T2933" s="18" t="s">
        <v>5343</v>
      </c>
      <c r="U2933" s="18"/>
      <c r="V2933" s="18"/>
      <c r="W2933" s="18" t="s">
        <v>5344</v>
      </c>
      <c r="X2933" s="18" t="s">
        <v>42</v>
      </c>
      <c r="Y2933" s="18" t="s">
        <v>36</v>
      </c>
      <c r="Z2933" s="18" t="s">
        <v>697</v>
      </c>
      <c r="AA2933" s="21" t="str">
        <f>HYPERLINK("https://www.ncbi.nlm.nih.gov/nuccore/GU196278","NCBI Nucleotide")</f>
        <v>NCBI Nucleotide</v>
      </c>
    </row>
    <row r="2934" spans="1:27" x14ac:dyDescent="0.35">
      <c r="A2934">
        <v>1003922</v>
      </c>
      <c r="B2934">
        <v>2910</v>
      </c>
      <c r="C2934">
        <v>1</v>
      </c>
      <c r="D2934" s="17" t="s">
        <v>155</v>
      </c>
      <c r="E2934" s="17"/>
      <c r="F2934" s="17" t="s">
        <v>156</v>
      </c>
      <c r="G2934" s="17"/>
      <c r="H2934" s="17" t="s">
        <v>692</v>
      </c>
      <c r="I2934" s="17"/>
      <c r="J2934" s="17" t="s">
        <v>693</v>
      </c>
      <c r="K2934" s="17"/>
      <c r="L2934" s="17"/>
      <c r="M2934" s="17"/>
      <c r="N2934" s="17"/>
      <c r="O2934" s="17" t="s">
        <v>5310</v>
      </c>
      <c r="P2934" s="17" t="s">
        <v>5338</v>
      </c>
      <c r="Q2934" s="17"/>
      <c r="R2934" s="25" t="str">
        <f>HYPERLINK("https://ictv.global/taxonomy/taxondetails?taxnode_id=202300783","Kagunavirus K1ind1")</f>
        <v>Kagunavirus K1ind1</v>
      </c>
      <c r="S2934" s="18" t="s">
        <v>30</v>
      </c>
      <c r="T2934" s="18" t="s">
        <v>5345</v>
      </c>
      <c r="U2934" s="18"/>
      <c r="V2934" s="18"/>
      <c r="W2934" s="18" t="s">
        <v>5346</v>
      </c>
      <c r="X2934" s="18" t="s">
        <v>42</v>
      </c>
      <c r="Y2934" s="18" t="s">
        <v>36</v>
      </c>
      <c r="Z2934" s="18" t="s">
        <v>697</v>
      </c>
      <c r="AA2934" s="21" t="str">
        <f>HYPERLINK("https://www.ncbi.nlm.nih.gov/nuccore/GU196279","NCBI Nucleotide")</f>
        <v>NCBI Nucleotide</v>
      </c>
    </row>
    <row r="2935" spans="1:27" x14ac:dyDescent="0.35">
      <c r="A2935">
        <v>1003923</v>
      </c>
      <c r="B2935">
        <v>2911</v>
      </c>
      <c r="C2935">
        <v>1</v>
      </c>
      <c r="D2935" s="17" t="s">
        <v>155</v>
      </c>
      <c r="E2935" s="17"/>
      <c r="F2935" s="17" t="s">
        <v>156</v>
      </c>
      <c r="G2935" s="17"/>
      <c r="H2935" s="17" t="s">
        <v>692</v>
      </c>
      <c r="I2935" s="17"/>
      <c r="J2935" s="17" t="s">
        <v>693</v>
      </c>
      <c r="K2935" s="17"/>
      <c r="L2935" s="17"/>
      <c r="M2935" s="17"/>
      <c r="N2935" s="17"/>
      <c r="O2935" s="17" t="s">
        <v>5310</v>
      </c>
      <c r="P2935" s="17" t="s">
        <v>5338</v>
      </c>
      <c r="Q2935" s="17"/>
      <c r="R2935" s="25" t="str">
        <f>HYPERLINK("https://ictv.global/taxonomy/taxondetails?taxnode_id=202300784","Kagunavirus K1ind2")</f>
        <v>Kagunavirus K1ind2</v>
      </c>
      <c r="S2935" s="18" t="s">
        <v>30</v>
      </c>
      <c r="T2935" s="18" t="s">
        <v>5347</v>
      </c>
      <c r="U2935" s="18"/>
      <c r="V2935" s="18"/>
      <c r="W2935" s="18" t="s">
        <v>5348</v>
      </c>
      <c r="X2935" s="18" t="s">
        <v>42</v>
      </c>
      <c r="Y2935" s="18" t="s">
        <v>36</v>
      </c>
      <c r="Z2935" s="18" t="s">
        <v>697</v>
      </c>
      <c r="AA2935" s="21" t="str">
        <f>HYPERLINK("https://www.ncbi.nlm.nih.gov/nuccore/GU196280","NCBI Nucleotide")</f>
        <v>NCBI Nucleotide</v>
      </c>
    </row>
    <row r="2936" spans="1:27" x14ac:dyDescent="0.35">
      <c r="A2936">
        <v>1025129</v>
      </c>
      <c r="B2936">
        <v>2912</v>
      </c>
      <c r="C2936">
        <v>1</v>
      </c>
      <c r="D2936" s="17" t="s">
        <v>155</v>
      </c>
      <c r="E2936" s="17"/>
      <c r="F2936" s="17" t="s">
        <v>156</v>
      </c>
      <c r="G2936" s="17"/>
      <c r="H2936" s="17" t="s">
        <v>692</v>
      </c>
      <c r="I2936" s="17"/>
      <c r="J2936" s="17" t="s">
        <v>693</v>
      </c>
      <c r="K2936" s="17"/>
      <c r="L2936" s="17"/>
      <c r="M2936" s="17"/>
      <c r="N2936" s="17"/>
      <c r="O2936" s="17" t="s">
        <v>5310</v>
      </c>
      <c r="P2936" s="17" t="s">
        <v>5338</v>
      </c>
      <c r="Q2936" s="17"/>
      <c r="R2936" s="25" t="str">
        <f>HYPERLINK("https://ictv.global/taxonomy/taxondetails?taxnode_id=202319181","Kagunavirus LAB2017")</f>
        <v>Kagunavirus LAB2017</v>
      </c>
      <c r="S2936" s="18" t="s">
        <v>30</v>
      </c>
      <c r="T2936" s="18" t="s">
        <v>39633</v>
      </c>
      <c r="U2936" s="18"/>
      <c r="V2936" s="18"/>
      <c r="W2936" s="18" t="s">
        <v>48332</v>
      </c>
      <c r="X2936" s="18" t="s">
        <v>42</v>
      </c>
      <c r="Y2936" s="18" t="s">
        <v>36</v>
      </c>
      <c r="Z2936" s="18" t="s">
        <v>697</v>
      </c>
      <c r="AA2936" s="21" t="str">
        <f>HYPERLINK("https://www.ncbi.nlm.nih.gov/nuccore/KY295896","NCBI Nucleotide")</f>
        <v>NCBI Nucleotide</v>
      </c>
    </row>
    <row r="2937" spans="1:27" x14ac:dyDescent="0.35">
      <c r="A2937">
        <v>1025130</v>
      </c>
      <c r="B2937">
        <v>2913</v>
      </c>
      <c r="C2937">
        <v>1</v>
      </c>
      <c r="D2937" s="17" t="s">
        <v>155</v>
      </c>
      <c r="E2937" s="17"/>
      <c r="F2937" s="17" t="s">
        <v>156</v>
      </c>
      <c r="G2937" s="17"/>
      <c r="H2937" s="17" t="s">
        <v>692</v>
      </c>
      <c r="I2937" s="17"/>
      <c r="J2937" s="17" t="s">
        <v>693</v>
      </c>
      <c r="K2937" s="17"/>
      <c r="L2937" s="17"/>
      <c r="M2937" s="17"/>
      <c r="N2937" s="17"/>
      <c r="O2937" s="17" t="s">
        <v>5310</v>
      </c>
      <c r="P2937" s="17" t="s">
        <v>5338</v>
      </c>
      <c r="Q2937" s="17"/>
      <c r="R2937" s="25" t="str">
        <f>HYPERLINK("https://ictv.global/taxonomy/taxondetails?taxnode_id=202319182","Kagunavirus PAB2017")</f>
        <v>Kagunavirus PAB2017</v>
      </c>
      <c r="S2937" s="18" t="s">
        <v>30</v>
      </c>
      <c r="T2937" s="18" t="s">
        <v>39634</v>
      </c>
      <c r="U2937" s="18"/>
      <c r="V2937" s="18"/>
      <c r="W2937" s="18" t="s">
        <v>48333</v>
      </c>
      <c r="X2937" s="18" t="s">
        <v>42</v>
      </c>
      <c r="Y2937" s="18" t="s">
        <v>36</v>
      </c>
      <c r="Z2937" s="18" t="s">
        <v>697</v>
      </c>
      <c r="AA2937" s="21" t="str">
        <f>HYPERLINK("https://www.ncbi.nlm.nih.gov/nuccore/KY295898","NCBI Nucleotide")</f>
        <v>NCBI Nucleotide</v>
      </c>
    </row>
    <row r="2938" spans="1:27" x14ac:dyDescent="0.35">
      <c r="A2938">
        <v>1003924</v>
      </c>
      <c r="B2938">
        <v>2914</v>
      </c>
      <c r="C2938">
        <v>1</v>
      </c>
      <c r="D2938" s="17" t="s">
        <v>155</v>
      </c>
      <c r="E2938" s="17"/>
      <c r="F2938" s="17" t="s">
        <v>156</v>
      </c>
      <c r="G2938" s="17"/>
      <c r="H2938" s="17" t="s">
        <v>692</v>
      </c>
      <c r="I2938" s="17"/>
      <c r="J2938" s="17" t="s">
        <v>693</v>
      </c>
      <c r="K2938" s="17"/>
      <c r="L2938" s="17"/>
      <c r="M2938" s="17"/>
      <c r="N2938" s="17"/>
      <c r="O2938" s="17" t="s">
        <v>5310</v>
      </c>
      <c r="P2938" s="17" t="s">
        <v>5338</v>
      </c>
      <c r="Q2938" s="17"/>
      <c r="R2938" s="25" t="str">
        <f>HYPERLINK("https://ictv.global/taxonomy/taxondetails?taxnode_id=202308019","Kagunavirus RP180")</f>
        <v>Kagunavirus RP180</v>
      </c>
      <c r="S2938" s="18" t="s">
        <v>30</v>
      </c>
      <c r="T2938" s="18" t="s">
        <v>5349</v>
      </c>
      <c r="U2938" s="18" t="s">
        <v>5350</v>
      </c>
      <c r="V2938" s="18"/>
      <c r="W2938" s="18" t="s">
        <v>5351</v>
      </c>
      <c r="X2938" s="18" t="s">
        <v>42</v>
      </c>
      <c r="Y2938" s="18" t="s">
        <v>36</v>
      </c>
      <c r="Z2938" s="18" t="s">
        <v>697</v>
      </c>
      <c r="AA2938" s="21" t="str">
        <f>HYPERLINK("https://www.ncbi.nlm.nih.gov/nuccore/MK737937","NCBI Nucleotide")</f>
        <v>NCBI Nucleotide</v>
      </c>
    </row>
    <row r="2939" spans="1:27" x14ac:dyDescent="0.35">
      <c r="A2939">
        <v>1025131</v>
      </c>
      <c r="B2939">
        <v>2915</v>
      </c>
      <c r="C2939">
        <v>1</v>
      </c>
      <c r="D2939" s="17" t="s">
        <v>155</v>
      </c>
      <c r="E2939" s="17"/>
      <c r="F2939" s="17" t="s">
        <v>156</v>
      </c>
      <c r="G2939" s="17"/>
      <c r="H2939" s="17" t="s">
        <v>692</v>
      </c>
      <c r="I2939" s="17"/>
      <c r="J2939" s="17" t="s">
        <v>693</v>
      </c>
      <c r="K2939" s="17"/>
      <c r="L2939" s="17"/>
      <c r="M2939" s="17"/>
      <c r="N2939" s="17"/>
      <c r="O2939" s="17" t="s">
        <v>5310</v>
      </c>
      <c r="P2939" s="17" t="s">
        <v>5338</v>
      </c>
      <c r="Q2939" s="17"/>
      <c r="R2939" s="25" t="str">
        <f>HYPERLINK("https://ictv.global/taxonomy/taxondetails?taxnode_id=202319183","Kagunavirus ULINTec2")</f>
        <v>Kagunavirus ULINTec2</v>
      </c>
      <c r="S2939" s="18" t="s">
        <v>30</v>
      </c>
      <c r="T2939" s="18" t="s">
        <v>39635</v>
      </c>
      <c r="U2939" s="18"/>
      <c r="V2939" s="18"/>
      <c r="W2939" s="18" t="s">
        <v>48334</v>
      </c>
      <c r="X2939" s="18" t="s">
        <v>42</v>
      </c>
      <c r="Y2939" s="18" t="s">
        <v>36</v>
      </c>
      <c r="Z2939" s="18" t="s">
        <v>697</v>
      </c>
      <c r="AA2939" s="21" t="str">
        <f>HYPERLINK("https://www.ncbi.nlm.nih.gov/nuccore/MZ997838","NCBI Nucleotide")</f>
        <v>NCBI Nucleotide</v>
      </c>
    </row>
    <row r="2940" spans="1:27" x14ac:dyDescent="0.35">
      <c r="A2940">
        <v>1025132</v>
      </c>
      <c r="B2940">
        <v>2916</v>
      </c>
      <c r="C2940">
        <v>1</v>
      </c>
      <c r="D2940" s="17" t="s">
        <v>155</v>
      </c>
      <c r="E2940" s="17"/>
      <c r="F2940" s="17" t="s">
        <v>156</v>
      </c>
      <c r="G2940" s="17"/>
      <c r="H2940" s="17" t="s">
        <v>692</v>
      </c>
      <c r="I2940" s="17"/>
      <c r="J2940" s="17" t="s">
        <v>693</v>
      </c>
      <c r="K2940" s="17"/>
      <c r="L2940" s="17"/>
      <c r="M2940" s="17"/>
      <c r="N2940" s="17"/>
      <c r="O2940" s="17" t="s">
        <v>5310</v>
      </c>
      <c r="P2940" s="17" t="s">
        <v>5338</v>
      </c>
      <c r="Q2940" s="17"/>
      <c r="R2940" s="25" t="str">
        <f>HYPERLINK("https://ictv.global/taxonomy/taxondetails?taxnode_id=202319185","Kagunavirus UTI89UKE1")</f>
        <v>Kagunavirus UTI89UKE1</v>
      </c>
      <c r="S2940" s="18" t="s">
        <v>30</v>
      </c>
      <c r="T2940" s="18" t="s">
        <v>39636</v>
      </c>
      <c r="U2940" s="18"/>
      <c r="V2940" s="18"/>
      <c r="W2940" s="18" t="s">
        <v>48335</v>
      </c>
      <c r="X2940" s="18" t="s">
        <v>42</v>
      </c>
      <c r="Y2940" s="18" t="s">
        <v>36</v>
      </c>
      <c r="Z2940" s="18" t="s">
        <v>697</v>
      </c>
      <c r="AA2940" s="21" t="str">
        <f>HYPERLINK("https://www.ncbi.nlm.nih.gov/nuccore/MZ234048","NCBI Nucleotide")</f>
        <v>NCBI Nucleotide</v>
      </c>
    </row>
    <row r="2941" spans="1:27" x14ac:dyDescent="0.35">
      <c r="A2941">
        <v>1025133</v>
      </c>
      <c r="B2941">
        <v>2917</v>
      </c>
      <c r="C2941">
        <v>1</v>
      </c>
      <c r="D2941" s="17" t="s">
        <v>155</v>
      </c>
      <c r="E2941" s="17"/>
      <c r="F2941" s="17" t="s">
        <v>156</v>
      </c>
      <c r="G2941" s="17"/>
      <c r="H2941" s="17" t="s">
        <v>692</v>
      </c>
      <c r="I2941" s="17"/>
      <c r="J2941" s="17" t="s">
        <v>693</v>
      </c>
      <c r="K2941" s="17"/>
      <c r="L2941" s="17"/>
      <c r="M2941" s="17"/>
      <c r="N2941" s="17"/>
      <c r="O2941" s="17" t="s">
        <v>5310</v>
      </c>
      <c r="P2941" s="17" t="s">
        <v>5338</v>
      </c>
      <c r="Q2941" s="17"/>
      <c r="R2941" s="25" t="str">
        <f>HYPERLINK("https://ictv.global/taxonomy/taxondetails?taxnode_id=202319184","Kagunavirus UTICM001")</f>
        <v>Kagunavirus UTICM001</v>
      </c>
      <c r="S2941" s="18" t="s">
        <v>30</v>
      </c>
      <c r="T2941" s="18" t="s">
        <v>39637</v>
      </c>
      <c r="U2941" s="18"/>
      <c r="V2941" s="18"/>
      <c r="W2941" s="18" t="s">
        <v>48336</v>
      </c>
      <c r="X2941" s="18" t="s">
        <v>42</v>
      </c>
      <c r="Y2941" s="18" t="s">
        <v>36</v>
      </c>
      <c r="Z2941" s="18" t="s">
        <v>697</v>
      </c>
      <c r="AA2941" s="21" t="str">
        <f>HYPERLINK("https://www.ncbi.nlm.nih.gov/nuccore/OM810255","NCBI Nucleotide")</f>
        <v>NCBI Nucleotide</v>
      </c>
    </row>
    <row r="2942" spans="1:27" x14ac:dyDescent="0.35">
      <c r="A2942">
        <v>1003925</v>
      </c>
      <c r="B2942">
        <v>2918</v>
      </c>
      <c r="C2942">
        <v>1</v>
      </c>
      <c r="D2942" s="17" t="s">
        <v>155</v>
      </c>
      <c r="E2942" s="17"/>
      <c r="F2942" s="17" t="s">
        <v>156</v>
      </c>
      <c r="G2942" s="17"/>
      <c r="H2942" s="17" t="s">
        <v>692</v>
      </c>
      <c r="I2942" s="17"/>
      <c r="J2942" s="17" t="s">
        <v>693</v>
      </c>
      <c r="K2942" s="17"/>
      <c r="L2942" s="17"/>
      <c r="M2942" s="17"/>
      <c r="N2942" s="17"/>
      <c r="O2942" s="17" t="s">
        <v>5352</v>
      </c>
      <c r="P2942" s="17" t="s">
        <v>5353</v>
      </c>
      <c r="Q2942" s="17"/>
      <c r="R2942" s="25" t="str">
        <f>HYPERLINK("https://ictv.global/taxonomy/taxondetails?taxnode_id=202310071","Carmenvirus carmen17")</f>
        <v>Carmenvirus carmen17</v>
      </c>
      <c r="S2942" s="18" t="s">
        <v>30</v>
      </c>
      <c r="T2942" s="18" t="s">
        <v>5354</v>
      </c>
      <c r="U2942" s="18"/>
      <c r="V2942" s="18"/>
      <c r="W2942" s="18" t="s">
        <v>5355</v>
      </c>
      <c r="X2942" s="18" t="s">
        <v>42</v>
      </c>
      <c r="Y2942" s="18" t="s">
        <v>36</v>
      </c>
      <c r="Z2942" s="18" t="s">
        <v>697</v>
      </c>
      <c r="AA2942" s="21" t="str">
        <f>HYPERLINK("https://www.ncbi.nlm.nih.gov/nuccore/MG784342","NCBI Nucleotide")</f>
        <v>NCBI Nucleotide</v>
      </c>
    </row>
    <row r="2943" spans="1:27" x14ac:dyDescent="0.35">
      <c r="A2943">
        <v>1003926</v>
      </c>
      <c r="B2943">
        <v>2919</v>
      </c>
      <c r="C2943">
        <v>1</v>
      </c>
      <c r="D2943" s="17" t="s">
        <v>155</v>
      </c>
      <c r="E2943" s="17"/>
      <c r="F2943" s="17" t="s">
        <v>156</v>
      </c>
      <c r="G2943" s="17"/>
      <c r="H2943" s="17" t="s">
        <v>692</v>
      </c>
      <c r="I2943" s="17"/>
      <c r="J2943" s="17" t="s">
        <v>693</v>
      </c>
      <c r="K2943" s="17"/>
      <c r="L2943" s="17"/>
      <c r="M2943" s="17"/>
      <c r="N2943" s="17"/>
      <c r="O2943" s="17" t="s">
        <v>5352</v>
      </c>
      <c r="P2943" s="17" t="s">
        <v>5353</v>
      </c>
      <c r="Q2943" s="17"/>
      <c r="R2943" s="25" t="str">
        <f>HYPERLINK("https://ictv.global/taxonomy/taxondetails?taxnode_id=202310072","Carmenvirus Wes44")</f>
        <v>Carmenvirus Wes44</v>
      </c>
      <c r="S2943" s="18" t="s">
        <v>30</v>
      </c>
      <c r="T2943" s="18" t="s">
        <v>5356</v>
      </c>
      <c r="U2943" s="18"/>
      <c r="V2943" s="18"/>
      <c r="W2943" s="18" t="s">
        <v>5357</v>
      </c>
      <c r="X2943" s="18" t="s">
        <v>42</v>
      </c>
      <c r="Y2943" s="18" t="s">
        <v>36</v>
      </c>
      <c r="Z2943" s="18" t="s">
        <v>697</v>
      </c>
      <c r="AA2943" s="21" t="str">
        <f>HYPERLINK("https://www.ncbi.nlm.nih.gov/nuccore/MH598512","NCBI Nucleotide")</f>
        <v>NCBI Nucleotide</v>
      </c>
    </row>
    <row r="2944" spans="1:27" x14ac:dyDescent="0.35">
      <c r="A2944">
        <v>1024995</v>
      </c>
      <c r="B2944">
        <v>2920</v>
      </c>
      <c r="C2944">
        <v>1</v>
      </c>
      <c r="D2944" s="17" t="s">
        <v>155</v>
      </c>
      <c r="E2944" s="17"/>
      <c r="F2944" s="17" t="s">
        <v>156</v>
      </c>
      <c r="G2944" s="17"/>
      <c r="H2944" s="17" t="s">
        <v>692</v>
      </c>
      <c r="I2944" s="17"/>
      <c r="J2944" s="17" t="s">
        <v>693</v>
      </c>
      <c r="K2944" s="17"/>
      <c r="L2944" s="17"/>
      <c r="M2944" s="17"/>
      <c r="N2944" s="17"/>
      <c r="O2944" s="17" t="s">
        <v>5352</v>
      </c>
      <c r="P2944" s="17" t="s">
        <v>39638</v>
      </c>
      <c r="Q2944" s="17"/>
      <c r="R2944" s="25" t="str">
        <f>HYPERLINK("https://ictv.global/taxonomy/taxondetails?taxnode_id=202319206","Layangavirus LY1")</f>
        <v>Layangavirus LY1</v>
      </c>
      <c r="S2944" s="18" t="s">
        <v>30</v>
      </c>
      <c r="T2944" s="18" t="s">
        <v>39639</v>
      </c>
      <c r="U2944" s="18"/>
      <c r="V2944" s="18"/>
      <c r="W2944" s="18" t="s">
        <v>39640</v>
      </c>
      <c r="X2944" s="18" t="s">
        <v>42</v>
      </c>
      <c r="Y2944" s="18" t="s">
        <v>36</v>
      </c>
      <c r="Z2944" s="18" t="s">
        <v>697</v>
      </c>
      <c r="AA2944" s="21" t="str">
        <f>HYPERLINK("https://www.ncbi.nlm.nih.gov/nuccore/ON366410","NCBI Nucleotide")</f>
        <v>NCBI Nucleotide</v>
      </c>
    </row>
    <row r="2945" spans="1:27" x14ac:dyDescent="0.35">
      <c r="A2945">
        <v>1024996</v>
      </c>
      <c r="B2945">
        <v>2921</v>
      </c>
      <c r="C2945">
        <v>1</v>
      </c>
      <c r="D2945" s="17" t="s">
        <v>155</v>
      </c>
      <c r="E2945" s="17"/>
      <c r="F2945" s="17" t="s">
        <v>156</v>
      </c>
      <c r="G2945" s="17"/>
      <c r="H2945" s="17" t="s">
        <v>692</v>
      </c>
      <c r="I2945" s="17"/>
      <c r="J2945" s="17" t="s">
        <v>693</v>
      </c>
      <c r="K2945" s="17"/>
      <c r="L2945" s="17"/>
      <c r="M2945" s="17"/>
      <c r="N2945" s="17"/>
      <c r="O2945" s="17" t="s">
        <v>5352</v>
      </c>
      <c r="P2945" s="17" t="s">
        <v>39641</v>
      </c>
      <c r="Q2945" s="17"/>
      <c r="R2945" s="25" t="str">
        <f>HYPERLINK("https://ictv.global/taxonomy/taxondetails?taxnode_id=202319207","Layangbvirus LY5")</f>
        <v>Layangbvirus LY5</v>
      </c>
      <c r="S2945" s="18" t="s">
        <v>30</v>
      </c>
      <c r="T2945" s="18" t="s">
        <v>39642</v>
      </c>
      <c r="U2945" s="18"/>
      <c r="V2945" s="18"/>
      <c r="W2945" s="18" t="s">
        <v>39643</v>
      </c>
      <c r="X2945" s="18" t="s">
        <v>42</v>
      </c>
      <c r="Y2945" s="18" t="s">
        <v>36</v>
      </c>
      <c r="Z2945" s="18" t="s">
        <v>697</v>
      </c>
      <c r="AA2945" s="21" t="str">
        <f>HYPERLINK("https://www.ncbi.nlm.nih.gov/nuccore/OP646176","NCBI Nucleotide")</f>
        <v>NCBI Nucleotide</v>
      </c>
    </row>
    <row r="2946" spans="1:27" x14ac:dyDescent="0.35">
      <c r="A2946">
        <v>1003927</v>
      </c>
      <c r="B2946">
        <v>2922</v>
      </c>
      <c r="C2946">
        <v>1</v>
      </c>
      <c r="D2946" s="17" t="s">
        <v>155</v>
      </c>
      <c r="E2946" s="17"/>
      <c r="F2946" s="17" t="s">
        <v>156</v>
      </c>
      <c r="G2946" s="17"/>
      <c r="H2946" s="17" t="s">
        <v>692</v>
      </c>
      <c r="I2946" s="17"/>
      <c r="J2946" s="17" t="s">
        <v>693</v>
      </c>
      <c r="K2946" s="17"/>
      <c r="L2946" s="17"/>
      <c r="M2946" s="17"/>
      <c r="N2946" s="17"/>
      <c r="O2946" s="17" t="s">
        <v>5352</v>
      </c>
      <c r="P2946" s="17" t="s">
        <v>5358</v>
      </c>
      <c r="Q2946" s="17"/>
      <c r="R2946" s="25" t="str">
        <f>HYPERLINK("https://ictv.global/taxonomy/taxondetails?taxnode_id=202310074","Pebcunavirus PBC1")</f>
        <v>Pebcunavirus PBC1</v>
      </c>
      <c r="S2946" s="18" t="s">
        <v>30</v>
      </c>
      <c r="T2946" s="18" t="s">
        <v>5359</v>
      </c>
      <c r="U2946" s="18"/>
      <c r="V2946" s="18"/>
      <c r="W2946" s="18" t="s">
        <v>5360</v>
      </c>
      <c r="X2946" s="18" t="s">
        <v>42</v>
      </c>
      <c r="Y2946" s="18" t="s">
        <v>36</v>
      </c>
      <c r="Z2946" s="18" t="s">
        <v>697</v>
      </c>
      <c r="AA2946" s="21" t="str">
        <f>HYPERLINK("https://www.ncbi.nlm.nih.gov/nuccore/JQ619704","NCBI Nucleotide")</f>
        <v>NCBI Nucleotide</v>
      </c>
    </row>
    <row r="2947" spans="1:27" x14ac:dyDescent="0.35">
      <c r="A2947">
        <v>1005721</v>
      </c>
      <c r="B2947">
        <v>2923</v>
      </c>
      <c r="C2947">
        <v>1</v>
      </c>
      <c r="D2947" s="17" t="s">
        <v>155</v>
      </c>
      <c r="E2947" s="17"/>
      <c r="F2947" s="17" t="s">
        <v>156</v>
      </c>
      <c r="G2947" s="17"/>
      <c r="H2947" s="17" t="s">
        <v>692</v>
      </c>
      <c r="I2947" s="17"/>
      <c r="J2947" s="17" t="s">
        <v>693</v>
      </c>
      <c r="K2947" s="17"/>
      <c r="L2947" s="17"/>
      <c r="M2947" s="17"/>
      <c r="N2947" s="17"/>
      <c r="O2947" s="17" t="s">
        <v>39644</v>
      </c>
      <c r="P2947" s="17" t="s">
        <v>2175</v>
      </c>
      <c r="Q2947" s="17"/>
      <c r="R2947" s="25" t="str">
        <f>HYPERLINK("https://ictv.global/taxonomy/taxondetails?taxnode_id=202314485","Kenyattavirus kv136")</f>
        <v>Kenyattavirus kv136</v>
      </c>
      <c r="S2947" s="18" t="s">
        <v>30</v>
      </c>
      <c r="T2947" s="18" t="s">
        <v>2176</v>
      </c>
      <c r="U2947" s="18"/>
      <c r="V2947" s="18"/>
      <c r="W2947" s="18" t="s">
        <v>2177</v>
      </c>
      <c r="X2947" s="18" t="s">
        <v>42</v>
      </c>
      <c r="Y2947" s="18" t="s">
        <v>36</v>
      </c>
      <c r="Z2947" s="18" t="s">
        <v>697</v>
      </c>
      <c r="AA2947" s="21" t="str">
        <f>HYPERLINK("https://www.ncbi.nlm.nih.gov/nuccore/MH884508","NCBI Nucleotide")</f>
        <v>NCBI Nucleotide</v>
      </c>
    </row>
    <row r="2948" spans="1:27" x14ac:dyDescent="0.35">
      <c r="A2948">
        <v>1025280</v>
      </c>
      <c r="B2948">
        <v>2924</v>
      </c>
      <c r="C2948">
        <v>1</v>
      </c>
      <c r="D2948" s="17" t="s">
        <v>155</v>
      </c>
      <c r="E2948" s="17"/>
      <c r="F2948" s="17" t="s">
        <v>156</v>
      </c>
      <c r="G2948" s="17"/>
      <c r="H2948" s="17" t="s">
        <v>692</v>
      </c>
      <c r="I2948" s="17"/>
      <c r="J2948" s="17" t="s">
        <v>693</v>
      </c>
      <c r="K2948" s="17"/>
      <c r="L2948" s="17"/>
      <c r="M2948" s="17"/>
      <c r="N2948" s="17"/>
      <c r="O2948" s="17" t="s">
        <v>39644</v>
      </c>
      <c r="P2948" s="17" t="s">
        <v>4360</v>
      </c>
      <c r="Q2948" s="17"/>
      <c r="R2948" s="25" t="str">
        <f>HYPERLINK("https://ictv.global/taxonomy/taxondetails?taxnode_id=202319073","Zhangjivirus fado")</f>
        <v>Zhangjivirus fado</v>
      </c>
      <c r="S2948" s="18" t="s">
        <v>30</v>
      </c>
      <c r="T2948" s="18" t="s">
        <v>39645</v>
      </c>
      <c r="U2948" s="18"/>
      <c r="V2948" s="18"/>
      <c r="W2948" s="18" t="s">
        <v>48337</v>
      </c>
      <c r="X2948" s="18" t="s">
        <v>42</v>
      </c>
      <c r="Y2948" s="18" t="s">
        <v>36</v>
      </c>
      <c r="Z2948" s="18" t="s">
        <v>697</v>
      </c>
      <c r="AA2948" s="21" t="str">
        <f>HYPERLINK("https://www.ncbi.nlm.nih.gov/nuccore/OM236516","NCBI Nucleotide")</f>
        <v>NCBI Nucleotide</v>
      </c>
    </row>
    <row r="2949" spans="1:27" x14ac:dyDescent="0.35">
      <c r="A2949">
        <v>1006774</v>
      </c>
      <c r="B2949">
        <v>2925</v>
      </c>
      <c r="C2949">
        <v>1</v>
      </c>
      <c r="D2949" s="17" t="s">
        <v>155</v>
      </c>
      <c r="E2949" s="17"/>
      <c r="F2949" s="17" t="s">
        <v>156</v>
      </c>
      <c r="G2949" s="17"/>
      <c r="H2949" s="17" t="s">
        <v>692</v>
      </c>
      <c r="I2949" s="17"/>
      <c r="J2949" s="17" t="s">
        <v>693</v>
      </c>
      <c r="K2949" s="17"/>
      <c r="L2949" s="17"/>
      <c r="M2949" s="17"/>
      <c r="N2949" s="17"/>
      <c r="O2949" s="17" t="s">
        <v>39644</v>
      </c>
      <c r="P2949" s="17" t="s">
        <v>4360</v>
      </c>
      <c r="Q2949" s="17"/>
      <c r="R2949" s="25" t="str">
        <f>HYPERLINK("https://ictv.global/taxonomy/taxondetails?taxnode_id=202314486","Zhangjivirus PJN02")</f>
        <v>Zhangjivirus PJN02</v>
      </c>
      <c r="S2949" s="18" t="s">
        <v>30</v>
      </c>
      <c r="T2949" s="18" t="s">
        <v>4361</v>
      </c>
      <c r="U2949" s="18"/>
      <c r="V2949" s="18"/>
      <c r="W2949" s="18" t="s">
        <v>4362</v>
      </c>
      <c r="X2949" s="18" t="s">
        <v>42</v>
      </c>
      <c r="Y2949" s="18" t="s">
        <v>36</v>
      </c>
      <c r="Z2949" s="18" t="s">
        <v>697</v>
      </c>
      <c r="AA2949" s="21" t="str">
        <f>HYPERLINK("https://www.ncbi.nlm.nih.gov/nuccore/OM634653","NCBI Nucleotide")</f>
        <v>NCBI Nucleotide</v>
      </c>
    </row>
    <row r="2950" spans="1:27" x14ac:dyDescent="0.35">
      <c r="A2950">
        <v>1003928</v>
      </c>
      <c r="B2950">
        <v>2926</v>
      </c>
      <c r="C2950">
        <v>1</v>
      </c>
      <c r="D2950" s="17" t="s">
        <v>155</v>
      </c>
      <c r="E2950" s="17"/>
      <c r="F2950" s="17" t="s">
        <v>156</v>
      </c>
      <c r="G2950" s="17"/>
      <c r="H2950" s="17" t="s">
        <v>692</v>
      </c>
      <c r="I2950" s="17"/>
      <c r="J2950" s="17" t="s">
        <v>693</v>
      </c>
      <c r="K2950" s="17"/>
      <c r="L2950" s="17"/>
      <c r="M2950" s="17"/>
      <c r="N2950" s="17"/>
      <c r="O2950" s="17" t="s">
        <v>5361</v>
      </c>
      <c r="P2950" s="17" t="s">
        <v>5362</v>
      </c>
      <c r="Q2950" s="17"/>
      <c r="R2950" s="25" t="str">
        <f>HYPERLINK("https://ictv.global/taxonomy/taxondetails?taxnode_id=202301071","Byrnievirus HK97")</f>
        <v>Byrnievirus HK97</v>
      </c>
      <c r="S2950" s="18" t="s">
        <v>30</v>
      </c>
      <c r="T2950" s="18" t="s">
        <v>5363</v>
      </c>
      <c r="U2950" s="18"/>
      <c r="V2950" s="18"/>
      <c r="W2950" s="18" t="s">
        <v>5364</v>
      </c>
      <c r="X2950" s="18" t="s">
        <v>42</v>
      </c>
      <c r="Y2950" s="18" t="s">
        <v>36</v>
      </c>
      <c r="Z2950" s="18" t="s">
        <v>697</v>
      </c>
      <c r="AA2950" s="21" t="str">
        <f>HYPERLINK("https://www.ncbi.nlm.nih.gov/nuccore/AF069529","NCBI Nucleotide")</f>
        <v>NCBI Nucleotide</v>
      </c>
    </row>
    <row r="2951" spans="1:27" x14ac:dyDescent="0.35">
      <c r="A2951">
        <v>1003929</v>
      </c>
      <c r="B2951">
        <v>2927</v>
      </c>
      <c r="C2951">
        <v>1</v>
      </c>
      <c r="D2951" s="17" t="s">
        <v>155</v>
      </c>
      <c r="E2951" s="17"/>
      <c r="F2951" s="17" t="s">
        <v>156</v>
      </c>
      <c r="G2951" s="17"/>
      <c r="H2951" s="17" t="s">
        <v>692</v>
      </c>
      <c r="I2951" s="17"/>
      <c r="J2951" s="17" t="s">
        <v>693</v>
      </c>
      <c r="K2951" s="17"/>
      <c r="L2951" s="17"/>
      <c r="M2951" s="17"/>
      <c r="N2951" s="17"/>
      <c r="O2951" s="17" t="s">
        <v>5361</v>
      </c>
      <c r="P2951" s="17" t="s">
        <v>5365</v>
      </c>
      <c r="Q2951" s="17"/>
      <c r="R2951" s="25" t="str">
        <f>HYPERLINK("https://ictv.global/taxonomy/taxondetails?taxnode_id=202305555","Cuauhtlivirus mEpX1")</f>
        <v>Cuauhtlivirus mEpX1</v>
      </c>
      <c r="S2951" s="18" t="s">
        <v>30</v>
      </c>
      <c r="T2951" s="18" t="s">
        <v>5366</v>
      </c>
      <c r="U2951" s="18"/>
      <c r="V2951" s="18"/>
      <c r="W2951" s="18" t="s">
        <v>5367</v>
      </c>
      <c r="X2951" s="18" t="s">
        <v>42</v>
      </c>
      <c r="Y2951" s="18" t="s">
        <v>36</v>
      </c>
      <c r="Z2951" s="18" t="s">
        <v>697</v>
      </c>
      <c r="AA2951" s="21" t="str">
        <f>HYPERLINK("https://www.ncbi.nlm.nih.gov/nuccore/JQ182727","NCBI Nucleotide")</f>
        <v>NCBI Nucleotide</v>
      </c>
    </row>
    <row r="2952" spans="1:27" x14ac:dyDescent="0.35">
      <c r="A2952">
        <v>1003930</v>
      </c>
      <c r="B2952">
        <v>2928</v>
      </c>
      <c r="C2952">
        <v>1</v>
      </c>
      <c r="D2952" s="17" t="s">
        <v>155</v>
      </c>
      <c r="E2952" s="17"/>
      <c r="F2952" s="17" t="s">
        <v>156</v>
      </c>
      <c r="G2952" s="17"/>
      <c r="H2952" s="17" t="s">
        <v>692</v>
      </c>
      <c r="I2952" s="17"/>
      <c r="J2952" s="17" t="s">
        <v>693</v>
      </c>
      <c r="K2952" s="17"/>
      <c r="L2952" s="17"/>
      <c r="M2952" s="17"/>
      <c r="N2952" s="17"/>
      <c r="O2952" s="17" t="s">
        <v>5361</v>
      </c>
      <c r="P2952" s="17" t="s">
        <v>5368</v>
      </c>
      <c r="Q2952" s="17"/>
      <c r="R2952" s="25" t="str">
        <f>HYPERLINK("https://ictv.global/taxonomy/taxondetails?taxnode_id=202305549","Kwaitsingvirus HK446")</f>
        <v>Kwaitsingvirus HK446</v>
      </c>
      <c r="S2952" s="18" t="s">
        <v>30</v>
      </c>
      <c r="T2952" s="18" t="s">
        <v>5369</v>
      </c>
      <c r="U2952" s="18"/>
      <c r="V2952" s="18"/>
      <c r="W2952" s="18" t="s">
        <v>5370</v>
      </c>
      <c r="X2952" s="18" t="s">
        <v>42</v>
      </c>
      <c r="Y2952" s="18" t="s">
        <v>36</v>
      </c>
      <c r="Z2952" s="18" t="s">
        <v>697</v>
      </c>
      <c r="AA2952" s="21" t="str">
        <f>HYPERLINK("https://www.ncbi.nlm.nih.gov/nuccore/JQ086372","NCBI Nucleotide")</f>
        <v>NCBI Nucleotide</v>
      </c>
    </row>
    <row r="2953" spans="1:27" x14ac:dyDescent="0.35">
      <c r="A2953">
        <v>1003931</v>
      </c>
      <c r="B2953">
        <v>2929</v>
      </c>
      <c r="C2953">
        <v>1</v>
      </c>
      <c r="D2953" s="17" t="s">
        <v>155</v>
      </c>
      <c r="E2953" s="17"/>
      <c r="F2953" s="17" t="s">
        <v>156</v>
      </c>
      <c r="G2953" s="17"/>
      <c r="H2953" s="17" t="s">
        <v>692</v>
      </c>
      <c r="I2953" s="17"/>
      <c r="J2953" s="17" t="s">
        <v>693</v>
      </c>
      <c r="K2953" s="17"/>
      <c r="L2953" s="17"/>
      <c r="M2953" s="17"/>
      <c r="N2953" s="17"/>
      <c r="O2953" s="17" t="s">
        <v>5361</v>
      </c>
      <c r="P2953" s="17" t="s">
        <v>5368</v>
      </c>
      <c r="Q2953" s="17"/>
      <c r="R2953" s="25" t="str">
        <f>HYPERLINK("https://ictv.global/taxonomy/taxondetails?taxnode_id=202305551","Kwaitsingvirus HK544")</f>
        <v>Kwaitsingvirus HK544</v>
      </c>
      <c r="S2953" s="18" t="s">
        <v>30</v>
      </c>
      <c r="T2953" s="18" t="s">
        <v>5371</v>
      </c>
      <c r="U2953" s="18"/>
      <c r="V2953" s="18"/>
      <c r="W2953" s="18" t="s">
        <v>5372</v>
      </c>
      <c r="X2953" s="18" t="s">
        <v>42</v>
      </c>
      <c r="Y2953" s="18" t="s">
        <v>36</v>
      </c>
      <c r="Z2953" s="18" t="s">
        <v>697</v>
      </c>
      <c r="AA2953" s="21" t="str">
        <f>HYPERLINK("https://www.ncbi.nlm.nih.gov/nuccore/JQ086374","NCBI Nucleotide")</f>
        <v>NCBI Nucleotide</v>
      </c>
    </row>
    <row r="2954" spans="1:27" x14ac:dyDescent="0.35">
      <c r="A2954">
        <v>1003932</v>
      </c>
      <c r="B2954">
        <v>2930</v>
      </c>
      <c r="C2954">
        <v>1</v>
      </c>
      <c r="D2954" s="17" t="s">
        <v>155</v>
      </c>
      <c r="E2954" s="17"/>
      <c r="F2954" s="17" t="s">
        <v>156</v>
      </c>
      <c r="G2954" s="17"/>
      <c r="H2954" s="17" t="s">
        <v>692</v>
      </c>
      <c r="I2954" s="17"/>
      <c r="J2954" s="17" t="s">
        <v>693</v>
      </c>
      <c r="K2954" s="17"/>
      <c r="L2954" s="17"/>
      <c r="M2954" s="17"/>
      <c r="N2954" s="17"/>
      <c r="O2954" s="17" t="s">
        <v>5361</v>
      </c>
      <c r="P2954" s="17" t="s">
        <v>5373</v>
      </c>
      <c r="Q2954" s="17"/>
      <c r="R2954" s="25" t="str">
        <f>HYPERLINK("https://ictv.global/taxonomy/taxondetails?taxnode_id=202310093","Nochtlivirus mEp235")</f>
        <v>Nochtlivirus mEp235</v>
      </c>
      <c r="S2954" s="18" t="s">
        <v>30</v>
      </c>
      <c r="T2954" s="18" t="s">
        <v>5374</v>
      </c>
      <c r="U2954" s="18"/>
      <c r="V2954" s="18"/>
      <c r="W2954" s="18" t="s">
        <v>5375</v>
      </c>
      <c r="X2954" s="18" t="s">
        <v>42</v>
      </c>
      <c r="Y2954" s="18" t="s">
        <v>36</v>
      </c>
      <c r="Z2954" s="18" t="s">
        <v>697</v>
      </c>
      <c r="AA2954" s="21" t="str">
        <f>HYPERLINK("https://www.ncbi.nlm.nih.gov/nuccore/JQ182731","NCBI Nucleotide")</f>
        <v>NCBI Nucleotide</v>
      </c>
    </row>
    <row r="2955" spans="1:27" x14ac:dyDescent="0.35">
      <c r="A2955">
        <v>1003934</v>
      </c>
      <c r="B2955">
        <v>2931</v>
      </c>
      <c r="C2955">
        <v>1</v>
      </c>
      <c r="D2955" s="17" t="s">
        <v>155</v>
      </c>
      <c r="E2955" s="17"/>
      <c r="F2955" s="17" t="s">
        <v>156</v>
      </c>
      <c r="G2955" s="17"/>
      <c r="H2955" s="17" t="s">
        <v>692</v>
      </c>
      <c r="I2955" s="17"/>
      <c r="J2955" s="17" t="s">
        <v>693</v>
      </c>
      <c r="K2955" s="17"/>
      <c r="L2955" s="17"/>
      <c r="M2955" s="17"/>
      <c r="N2955" s="17"/>
      <c r="O2955" s="17" t="s">
        <v>5361</v>
      </c>
      <c r="P2955" s="17" t="s">
        <v>5376</v>
      </c>
      <c r="Q2955" s="17"/>
      <c r="R2955" s="25" t="str">
        <f>HYPERLINK("https://ictv.global/taxonomy/taxondetails?taxnode_id=202305553","Saikungvirus HK75")</f>
        <v>Saikungvirus HK75</v>
      </c>
      <c r="S2955" s="18" t="s">
        <v>30</v>
      </c>
      <c r="T2955" s="18" t="s">
        <v>5379</v>
      </c>
      <c r="U2955" s="18"/>
      <c r="V2955" s="18"/>
      <c r="W2955" s="18" t="s">
        <v>5380</v>
      </c>
      <c r="X2955" s="18" t="s">
        <v>42</v>
      </c>
      <c r="Y2955" s="18" t="s">
        <v>36</v>
      </c>
      <c r="Z2955" s="18" t="s">
        <v>697</v>
      </c>
      <c r="AA2955" s="21" t="str">
        <f>HYPERLINK("https://www.ncbi.nlm.nih.gov/nuccore/HM173637","NCBI Nucleotide")</f>
        <v>NCBI Nucleotide</v>
      </c>
    </row>
    <row r="2956" spans="1:27" x14ac:dyDescent="0.35">
      <c r="A2956">
        <v>1003933</v>
      </c>
      <c r="B2956">
        <v>2932</v>
      </c>
      <c r="C2956">
        <v>1</v>
      </c>
      <c r="D2956" s="17" t="s">
        <v>155</v>
      </c>
      <c r="E2956" s="17"/>
      <c r="F2956" s="17" t="s">
        <v>156</v>
      </c>
      <c r="G2956" s="17"/>
      <c r="H2956" s="17" t="s">
        <v>692</v>
      </c>
      <c r="I2956" s="17"/>
      <c r="J2956" s="17" t="s">
        <v>693</v>
      </c>
      <c r="K2956" s="17"/>
      <c r="L2956" s="17"/>
      <c r="M2956" s="17"/>
      <c r="N2956" s="17"/>
      <c r="O2956" s="17" t="s">
        <v>5361</v>
      </c>
      <c r="P2956" s="17" t="s">
        <v>5376</v>
      </c>
      <c r="Q2956" s="17"/>
      <c r="R2956" s="25" t="str">
        <f>HYPERLINK("https://ictv.global/taxonomy/taxondetails?taxnode_id=202305552","Saikungvirus HK633")</f>
        <v>Saikungvirus HK633</v>
      </c>
      <c r="S2956" s="18" t="s">
        <v>30</v>
      </c>
      <c r="T2956" s="18" t="s">
        <v>5377</v>
      </c>
      <c r="U2956" s="18"/>
      <c r="V2956" s="18"/>
      <c r="W2956" s="18" t="s">
        <v>5378</v>
      </c>
      <c r="X2956" s="18" t="s">
        <v>42</v>
      </c>
      <c r="Y2956" s="18" t="s">
        <v>36</v>
      </c>
      <c r="Z2956" s="18" t="s">
        <v>697</v>
      </c>
      <c r="AA2956" s="21" t="str">
        <f>HYPERLINK("https://www.ncbi.nlm.nih.gov/nuccore/JQ086377","NCBI Nucleotide")</f>
        <v>NCBI Nucleotide</v>
      </c>
    </row>
    <row r="2957" spans="1:27" x14ac:dyDescent="0.35">
      <c r="A2957">
        <v>1003935</v>
      </c>
      <c r="B2957">
        <v>2933</v>
      </c>
      <c r="C2957">
        <v>1</v>
      </c>
      <c r="D2957" s="17" t="s">
        <v>155</v>
      </c>
      <c r="E2957" s="17"/>
      <c r="F2957" s="17" t="s">
        <v>156</v>
      </c>
      <c r="G2957" s="17"/>
      <c r="H2957" s="17" t="s">
        <v>692</v>
      </c>
      <c r="I2957" s="17"/>
      <c r="J2957" s="17" t="s">
        <v>693</v>
      </c>
      <c r="K2957" s="17"/>
      <c r="L2957" s="17"/>
      <c r="M2957" s="17"/>
      <c r="N2957" s="17"/>
      <c r="O2957" s="17" t="s">
        <v>5361</v>
      </c>
      <c r="P2957" s="17" t="s">
        <v>5381</v>
      </c>
      <c r="Q2957" s="17"/>
      <c r="R2957" s="25" t="str">
        <f>HYPERLINK("https://ictv.global/taxonomy/taxondetails?taxnode_id=202301070","Shamshuipovirus HK022")</f>
        <v>Shamshuipovirus HK022</v>
      </c>
      <c r="S2957" s="18" t="s">
        <v>30</v>
      </c>
      <c r="T2957" s="18" t="s">
        <v>5382</v>
      </c>
      <c r="U2957" s="18"/>
      <c r="V2957" s="18"/>
      <c r="W2957" s="18" t="s">
        <v>5383</v>
      </c>
      <c r="X2957" s="18" t="s">
        <v>42</v>
      </c>
      <c r="Y2957" s="18" t="s">
        <v>36</v>
      </c>
      <c r="Z2957" s="18" t="s">
        <v>697</v>
      </c>
      <c r="AA2957" s="21" t="str">
        <f>HYPERLINK("https://www.ncbi.nlm.nih.gov/nuccore/AF069308","NCBI Nucleotide")</f>
        <v>NCBI Nucleotide</v>
      </c>
    </row>
    <row r="2958" spans="1:27" x14ac:dyDescent="0.35">
      <c r="A2958">
        <v>1003936</v>
      </c>
      <c r="B2958">
        <v>2934</v>
      </c>
      <c r="C2958">
        <v>1</v>
      </c>
      <c r="D2958" s="17" t="s">
        <v>155</v>
      </c>
      <c r="E2958" s="17"/>
      <c r="F2958" s="17" t="s">
        <v>156</v>
      </c>
      <c r="G2958" s="17"/>
      <c r="H2958" s="17" t="s">
        <v>692</v>
      </c>
      <c r="I2958" s="17"/>
      <c r="J2958" s="17" t="s">
        <v>693</v>
      </c>
      <c r="K2958" s="17"/>
      <c r="L2958" s="17"/>
      <c r="M2958" s="17"/>
      <c r="N2958" s="17"/>
      <c r="O2958" s="17" t="s">
        <v>5361</v>
      </c>
      <c r="P2958" s="17" t="s">
        <v>5381</v>
      </c>
      <c r="Q2958" s="17"/>
      <c r="R2958" s="25" t="str">
        <f>HYPERLINK("https://ictv.global/taxonomy/taxondetails?taxnode_id=202305556","Shamshuipovirus mEpX2")</f>
        <v>Shamshuipovirus mEpX2</v>
      </c>
      <c r="S2958" s="18" t="s">
        <v>30</v>
      </c>
      <c r="T2958" s="18" t="s">
        <v>5384</v>
      </c>
      <c r="U2958" s="18"/>
      <c r="V2958" s="18"/>
      <c r="W2958" s="18" t="s">
        <v>5385</v>
      </c>
      <c r="X2958" s="18" t="s">
        <v>42</v>
      </c>
      <c r="Y2958" s="18" t="s">
        <v>36</v>
      </c>
      <c r="Z2958" s="18" t="s">
        <v>697</v>
      </c>
      <c r="AA2958" s="21" t="str">
        <f>HYPERLINK("https://www.ncbi.nlm.nih.gov/nuccore/JQ182726","NCBI Nucleotide")</f>
        <v>NCBI Nucleotide</v>
      </c>
    </row>
    <row r="2959" spans="1:27" x14ac:dyDescent="0.35">
      <c r="A2959">
        <v>1003937</v>
      </c>
      <c r="B2959">
        <v>2935</v>
      </c>
      <c r="C2959">
        <v>1</v>
      </c>
      <c r="D2959" s="17" t="s">
        <v>155</v>
      </c>
      <c r="E2959" s="17"/>
      <c r="F2959" s="17" t="s">
        <v>156</v>
      </c>
      <c r="G2959" s="17"/>
      <c r="H2959" s="17" t="s">
        <v>692</v>
      </c>
      <c r="I2959" s="17"/>
      <c r="J2959" s="17" t="s">
        <v>693</v>
      </c>
      <c r="K2959" s="17"/>
      <c r="L2959" s="17"/>
      <c r="M2959" s="17"/>
      <c r="N2959" s="17"/>
      <c r="O2959" s="17" t="s">
        <v>5361</v>
      </c>
      <c r="P2959" s="17" t="s">
        <v>5386</v>
      </c>
      <c r="Q2959" s="17"/>
      <c r="R2959" s="25" t="str">
        <f>HYPERLINK("https://ictv.global/taxonomy/taxondetails?taxnode_id=202305548","Wanchaivirus HK106")</f>
        <v>Wanchaivirus HK106</v>
      </c>
      <c r="S2959" s="18" t="s">
        <v>30</v>
      </c>
      <c r="T2959" s="18" t="s">
        <v>5387</v>
      </c>
      <c r="U2959" s="18"/>
      <c r="V2959" s="18"/>
      <c r="W2959" s="18" t="s">
        <v>5388</v>
      </c>
      <c r="X2959" s="18" t="s">
        <v>42</v>
      </c>
      <c r="Y2959" s="18" t="s">
        <v>36</v>
      </c>
      <c r="Z2959" s="18" t="s">
        <v>697</v>
      </c>
      <c r="AA2959" s="21" t="str">
        <f>HYPERLINK("https://www.ncbi.nlm.nih.gov/nuccore/JQ086369","NCBI Nucleotide")</f>
        <v>NCBI Nucleotide</v>
      </c>
    </row>
    <row r="2960" spans="1:27" x14ac:dyDescent="0.35">
      <c r="A2960">
        <v>1003938</v>
      </c>
      <c r="B2960">
        <v>2936</v>
      </c>
      <c r="C2960">
        <v>1</v>
      </c>
      <c r="D2960" s="17" t="s">
        <v>155</v>
      </c>
      <c r="E2960" s="17"/>
      <c r="F2960" s="17" t="s">
        <v>156</v>
      </c>
      <c r="G2960" s="17"/>
      <c r="H2960" s="17" t="s">
        <v>692</v>
      </c>
      <c r="I2960" s="17"/>
      <c r="J2960" s="17" t="s">
        <v>693</v>
      </c>
      <c r="K2960" s="17"/>
      <c r="L2960" s="17"/>
      <c r="M2960" s="17"/>
      <c r="N2960" s="17"/>
      <c r="O2960" s="17" t="s">
        <v>5361</v>
      </c>
      <c r="P2960" s="17" t="s">
        <v>5386</v>
      </c>
      <c r="Q2960" s="17"/>
      <c r="R2960" s="25" t="str">
        <f>HYPERLINK("https://ictv.global/taxonomy/taxondetails?taxnode_id=202305554","Wanchaivirus mEp234")</f>
        <v>Wanchaivirus mEp234</v>
      </c>
      <c r="S2960" s="18" t="s">
        <v>30</v>
      </c>
      <c r="T2960" s="18" t="s">
        <v>5389</v>
      </c>
      <c r="U2960" s="18"/>
      <c r="V2960" s="18"/>
      <c r="W2960" s="18" t="s">
        <v>5390</v>
      </c>
      <c r="X2960" s="18" t="s">
        <v>42</v>
      </c>
      <c r="Y2960" s="18" t="s">
        <v>36</v>
      </c>
      <c r="Z2960" s="18" t="s">
        <v>697</v>
      </c>
      <c r="AA2960" s="21" t="str">
        <f>HYPERLINK("https://www.ncbi.nlm.nih.gov/nuccore/JQ182732","NCBI Nucleotide")</f>
        <v>NCBI Nucleotide</v>
      </c>
    </row>
    <row r="2961" spans="1:27" x14ac:dyDescent="0.35">
      <c r="A2961">
        <v>1003939</v>
      </c>
      <c r="B2961">
        <v>2937</v>
      </c>
      <c r="C2961">
        <v>1</v>
      </c>
      <c r="D2961" s="17" t="s">
        <v>155</v>
      </c>
      <c r="E2961" s="17"/>
      <c r="F2961" s="17" t="s">
        <v>156</v>
      </c>
      <c r="G2961" s="17"/>
      <c r="H2961" s="17" t="s">
        <v>692</v>
      </c>
      <c r="I2961" s="17"/>
      <c r="J2961" s="17" t="s">
        <v>693</v>
      </c>
      <c r="K2961" s="17"/>
      <c r="L2961" s="17"/>
      <c r="M2961" s="17"/>
      <c r="N2961" s="17"/>
      <c r="O2961" s="17" t="s">
        <v>5361</v>
      </c>
      <c r="P2961" s="17" t="s">
        <v>5391</v>
      </c>
      <c r="Q2961" s="17"/>
      <c r="R2961" s="25" t="str">
        <f>HYPERLINK("https://ictv.global/taxonomy/taxondetails?taxnode_id=202310098","Wongtaivirus ECP1")</f>
        <v>Wongtaivirus ECP1</v>
      </c>
      <c r="S2961" s="18" t="s">
        <v>30</v>
      </c>
      <c r="T2961" s="18" t="s">
        <v>5392</v>
      </c>
      <c r="U2961" s="18"/>
      <c r="V2961" s="18"/>
      <c r="W2961" s="18" t="s">
        <v>5393</v>
      </c>
      <c r="X2961" s="18" t="s">
        <v>42</v>
      </c>
      <c r="Y2961" s="18" t="s">
        <v>36</v>
      </c>
      <c r="Z2961" s="18" t="s">
        <v>697</v>
      </c>
      <c r="AA2961" s="21" t="str">
        <f>HYPERLINK("https://www.ncbi.nlm.nih.gov/nuccore/KY979108","NCBI Nucleotide")</f>
        <v>NCBI Nucleotide</v>
      </c>
    </row>
    <row r="2962" spans="1:27" x14ac:dyDescent="0.35">
      <c r="A2962">
        <v>1003940</v>
      </c>
      <c r="B2962">
        <v>2938</v>
      </c>
      <c r="C2962">
        <v>1</v>
      </c>
      <c r="D2962" s="17" t="s">
        <v>155</v>
      </c>
      <c r="E2962" s="17"/>
      <c r="F2962" s="17" t="s">
        <v>156</v>
      </c>
      <c r="G2962" s="17"/>
      <c r="H2962" s="17" t="s">
        <v>692</v>
      </c>
      <c r="I2962" s="17"/>
      <c r="J2962" s="17" t="s">
        <v>693</v>
      </c>
      <c r="K2962" s="17"/>
      <c r="L2962" s="17"/>
      <c r="M2962" s="17"/>
      <c r="N2962" s="17"/>
      <c r="O2962" s="17" t="s">
        <v>5361</v>
      </c>
      <c r="P2962" s="17" t="s">
        <v>5391</v>
      </c>
      <c r="Q2962" s="17"/>
      <c r="R2962" s="25" t="str">
        <f>HYPERLINK("https://ictv.global/taxonomy/taxondetails?taxnode_id=202305550","Wongtaivirus HK542")</f>
        <v>Wongtaivirus HK542</v>
      </c>
      <c r="S2962" s="18" t="s">
        <v>30</v>
      </c>
      <c r="T2962" s="18" t="s">
        <v>5394</v>
      </c>
      <c r="U2962" s="18"/>
      <c r="V2962" s="18"/>
      <c r="W2962" s="18" t="s">
        <v>5395</v>
      </c>
      <c r="X2962" s="18" t="s">
        <v>42</v>
      </c>
      <c r="Y2962" s="18" t="s">
        <v>36</v>
      </c>
      <c r="Z2962" s="18" t="s">
        <v>697</v>
      </c>
      <c r="AA2962" s="21" t="str">
        <f>HYPERLINK("https://www.ncbi.nlm.nih.gov/nuccore/JQ086373","NCBI Nucleotide")</f>
        <v>NCBI Nucleotide</v>
      </c>
    </row>
    <row r="2963" spans="1:27" x14ac:dyDescent="0.35">
      <c r="A2963">
        <v>1003941</v>
      </c>
      <c r="B2963">
        <v>2939</v>
      </c>
      <c r="C2963">
        <v>1</v>
      </c>
      <c r="D2963" s="17" t="s">
        <v>155</v>
      </c>
      <c r="E2963" s="17"/>
      <c r="F2963" s="17" t="s">
        <v>156</v>
      </c>
      <c r="G2963" s="17"/>
      <c r="H2963" s="17" t="s">
        <v>692</v>
      </c>
      <c r="I2963" s="17"/>
      <c r="J2963" s="17" t="s">
        <v>693</v>
      </c>
      <c r="K2963" s="17"/>
      <c r="L2963" s="17"/>
      <c r="M2963" s="17"/>
      <c r="N2963" s="17"/>
      <c r="O2963" s="17" t="s">
        <v>5361</v>
      </c>
      <c r="P2963" s="17" t="s">
        <v>5396</v>
      </c>
      <c r="Q2963" s="17"/>
      <c r="R2963" s="25" t="str">
        <f>HYPERLINK("https://ictv.global/taxonomy/taxondetails?taxnode_id=202310095","Yautsimvirus HK140")</f>
        <v>Yautsimvirus HK140</v>
      </c>
      <c r="S2963" s="18" t="s">
        <v>30</v>
      </c>
      <c r="T2963" s="18" t="s">
        <v>5397</v>
      </c>
      <c r="U2963" s="18"/>
      <c r="V2963" s="18"/>
      <c r="W2963" s="18" t="s">
        <v>5398</v>
      </c>
      <c r="X2963" s="18" t="s">
        <v>42</v>
      </c>
      <c r="Y2963" s="18" t="s">
        <v>36</v>
      </c>
      <c r="Z2963" s="18" t="s">
        <v>697</v>
      </c>
      <c r="AA2963" s="21" t="str">
        <f>HYPERLINK("https://www.ncbi.nlm.nih.gov/nuccore/JQ086370","NCBI Nucleotide")</f>
        <v>NCBI Nucleotide</v>
      </c>
    </row>
    <row r="2964" spans="1:27" x14ac:dyDescent="0.35">
      <c r="A2964">
        <v>1003942</v>
      </c>
      <c r="B2964">
        <v>2940</v>
      </c>
      <c r="C2964">
        <v>1</v>
      </c>
      <c r="D2964" s="17" t="s">
        <v>155</v>
      </c>
      <c r="E2964" s="17"/>
      <c r="F2964" s="17" t="s">
        <v>156</v>
      </c>
      <c r="G2964" s="17"/>
      <c r="H2964" s="17" t="s">
        <v>692</v>
      </c>
      <c r="I2964" s="17"/>
      <c r="J2964" s="17" t="s">
        <v>693</v>
      </c>
      <c r="K2964" s="17"/>
      <c r="L2964" s="17"/>
      <c r="M2964" s="17"/>
      <c r="N2964" s="17"/>
      <c r="O2964" s="17" t="s">
        <v>5399</v>
      </c>
      <c r="P2964" s="17" t="s">
        <v>5400</v>
      </c>
      <c r="Q2964" s="17"/>
      <c r="R2964" s="25" t="str">
        <f>HYPERLINK("https://ictv.global/taxonomy/taxondetails?taxnode_id=202314636","Aryavirus arya")</f>
        <v>Aryavirus arya</v>
      </c>
      <c r="S2964" s="18" t="s">
        <v>30</v>
      </c>
      <c r="T2964" s="18" t="s">
        <v>5401</v>
      </c>
      <c r="U2964" s="18"/>
      <c r="V2964" s="18"/>
      <c r="W2964" s="18" t="s">
        <v>5402</v>
      </c>
      <c r="X2964" s="18" t="s">
        <v>42</v>
      </c>
      <c r="Y2964" s="18" t="s">
        <v>36</v>
      </c>
      <c r="Z2964" s="18" t="s">
        <v>697</v>
      </c>
      <c r="AA2964" s="21" t="str">
        <f>HYPERLINK("https://www.ncbi.nlm.nih.gov/nuccore/KX231828","NCBI Nucleotide")</f>
        <v>NCBI Nucleotide</v>
      </c>
    </row>
    <row r="2965" spans="1:27" x14ac:dyDescent="0.35">
      <c r="A2965">
        <v>1003943</v>
      </c>
      <c r="B2965">
        <v>2941</v>
      </c>
      <c r="C2965">
        <v>1</v>
      </c>
      <c r="D2965" s="17" t="s">
        <v>155</v>
      </c>
      <c r="E2965" s="17"/>
      <c r="F2965" s="17" t="s">
        <v>156</v>
      </c>
      <c r="G2965" s="17"/>
      <c r="H2965" s="17" t="s">
        <v>692</v>
      </c>
      <c r="I2965" s="17"/>
      <c r="J2965" s="17" t="s">
        <v>693</v>
      </c>
      <c r="K2965" s="17"/>
      <c r="L2965" s="17"/>
      <c r="M2965" s="17"/>
      <c r="N2965" s="17"/>
      <c r="O2965" s="17" t="s">
        <v>5399</v>
      </c>
      <c r="P2965" s="17" t="s">
        <v>5403</v>
      </c>
      <c r="Q2965" s="17"/>
      <c r="R2965" s="25" t="str">
        <f>HYPERLINK("https://ictv.global/taxonomy/taxondetails?taxnode_id=202300429","Jilinvirus CVM10")</f>
        <v>Jilinvirus CVM10</v>
      </c>
      <c r="S2965" s="18" t="s">
        <v>30</v>
      </c>
      <c r="T2965" s="18" t="s">
        <v>5404</v>
      </c>
      <c r="U2965" s="18"/>
      <c r="V2965" s="18"/>
      <c r="W2965" s="18" t="s">
        <v>5405</v>
      </c>
      <c r="X2965" s="18" t="s">
        <v>42</v>
      </c>
      <c r="Y2965" s="18" t="s">
        <v>36</v>
      </c>
      <c r="Z2965" s="18" t="s">
        <v>697</v>
      </c>
      <c r="AA2965" s="21" t="str">
        <f>HYPERLINK("https://www.ncbi.nlm.nih.gov/nuccore/GU903191","NCBI Nucleotide")</f>
        <v>NCBI Nucleotide</v>
      </c>
    </row>
    <row r="2966" spans="1:27" x14ac:dyDescent="0.35">
      <c r="A2966">
        <v>1003944</v>
      </c>
      <c r="B2966">
        <v>2942</v>
      </c>
      <c r="C2966">
        <v>1</v>
      </c>
      <c r="D2966" s="17" t="s">
        <v>155</v>
      </c>
      <c r="E2966" s="17"/>
      <c r="F2966" s="17" t="s">
        <v>156</v>
      </c>
      <c r="G2966" s="17"/>
      <c r="H2966" s="17" t="s">
        <v>692</v>
      </c>
      <c r="I2966" s="17"/>
      <c r="J2966" s="17" t="s">
        <v>693</v>
      </c>
      <c r="K2966" s="17"/>
      <c r="L2966" s="17"/>
      <c r="M2966" s="17"/>
      <c r="N2966" s="17"/>
      <c r="O2966" s="17" t="s">
        <v>5399</v>
      </c>
      <c r="P2966" s="17" t="s">
        <v>5403</v>
      </c>
      <c r="Q2966" s="17"/>
      <c r="R2966" s="25" t="str">
        <f>HYPERLINK("https://ictv.global/taxonomy/taxondetails?taxnode_id=202306999","Jilinvirus ECOO78")</f>
        <v>Jilinvirus ECOO78</v>
      </c>
      <c r="S2966" s="18" t="s">
        <v>30</v>
      </c>
      <c r="T2966" s="18" t="s">
        <v>5406</v>
      </c>
      <c r="U2966" s="18"/>
      <c r="V2966" s="18"/>
      <c r="W2966" s="18" t="s">
        <v>5407</v>
      </c>
      <c r="X2966" s="18" t="s">
        <v>42</v>
      </c>
      <c r="Y2966" s="18" t="s">
        <v>36</v>
      </c>
      <c r="Z2966" s="18" t="s">
        <v>697</v>
      </c>
      <c r="AA2966" s="21" t="str">
        <f>HYPERLINK("https://www.ncbi.nlm.nih.gov/nuccore/KY705409","NCBI Nucleotide")</f>
        <v>NCBI Nucleotide</v>
      </c>
    </row>
    <row r="2967" spans="1:27" x14ac:dyDescent="0.35">
      <c r="A2967">
        <v>1003945</v>
      </c>
      <c r="B2967">
        <v>2943</v>
      </c>
      <c r="C2967">
        <v>1</v>
      </c>
      <c r="D2967" s="17" t="s">
        <v>155</v>
      </c>
      <c r="E2967" s="17"/>
      <c r="F2967" s="17" t="s">
        <v>156</v>
      </c>
      <c r="G2967" s="17"/>
      <c r="H2967" s="17" t="s">
        <v>692</v>
      </c>
      <c r="I2967" s="17"/>
      <c r="J2967" s="17" t="s">
        <v>693</v>
      </c>
      <c r="K2967" s="17"/>
      <c r="L2967" s="17"/>
      <c r="M2967" s="17"/>
      <c r="N2967" s="17"/>
      <c r="O2967" s="17" t="s">
        <v>5399</v>
      </c>
      <c r="P2967" s="17" t="s">
        <v>5403</v>
      </c>
      <c r="Q2967" s="17"/>
      <c r="R2967" s="25" t="str">
        <f>HYPERLINK("https://ictv.global/taxonomy/taxondetails?taxnode_id=202300430","Jilinvirus ep3")</f>
        <v>Jilinvirus ep3</v>
      </c>
      <c r="S2967" s="18" t="s">
        <v>30</v>
      </c>
      <c r="T2967" s="18" t="s">
        <v>5408</v>
      </c>
      <c r="U2967" s="18"/>
      <c r="V2967" s="18"/>
      <c r="W2967" s="18" t="s">
        <v>5409</v>
      </c>
      <c r="X2967" s="18" t="s">
        <v>42</v>
      </c>
      <c r="Y2967" s="18" t="s">
        <v>36</v>
      </c>
      <c r="Z2967" s="18" t="s">
        <v>697</v>
      </c>
      <c r="AA2967" s="21" t="str">
        <f>HYPERLINK("https://www.ncbi.nlm.nih.gov/nuccore/KM360178","NCBI Nucleotide")</f>
        <v>NCBI Nucleotide</v>
      </c>
    </row>
    <row r="2968" spans="1:27" x14ac:dyDescent="0.35">
      <c r="A2968">
        <v>1024713</v>
      </c>
      <c r="B2968">
        <v>2944</v>
      </c>
      <c r="C2968">
        <v>1</v>
      </c>
      <c r="D2968" s="17" t="s">
        <v>155</v>
      </c>
      <c r="E2968" s="17"/>
      <c r="F2968" s="17" t="s">
        <v>156</v>
      </c>
      <c r="G2968" s="17"/>
      <c r="H2968" s="17" t="s">
        <v>692</v>
      </c>
      <c r="I2968" s="17"/>
      <c r="J2968" s="17" t="s">
        <v>693</v>
      </c>
      <c r="K2968" s="17"/>
      <c r="L2968" s="17"/>
      <c r="M2968" s="17"/>
      <c r="N2968" s="17"/>
      <c r="O2968" s="17" t="s">
        <v>39646</v>
      </c>
      <c r="P2968" s="17" t="s">
        <v>39647</v>
      </c>
      <c r="Q2968" s="17"/>
      <c r="R2968" s="25" t="str">
        <f>HYPERLINK("https://ictv.global/taxonomy/taxondetails?taxnode_id=202319095","Bimevirus bv1611EK21")</f>
        <v>Bimevirus bv1611EK21</v>
      </c>
      <c r="S2968" s="18" t="s">
        <v>30</v>
      </c>
      <c r="T2968" s="18" t="s">
        <v>39648</v>
      </c>
      <c r="U2968" s="18"/>
      <c r="V2968" s="18"/>
      <c r="W2968" s="18" t="s">
        <v>48338</v>
      </c>
      <c r="X2968" s="18" t="s">
        <v>42</v>
      </c>
      <c r="Y2968" s="18" t="s">
        <v>36</v>
      </c>
      <c r="Z2968" s="18" t="s">
        <v>697</v>
      </c>
      <c r="AA2968" s="21" t="str">
        <f>HYPERLINK("https://www.ncbi.nlm.nih.gov/nuccore/MG197810","NCBI Nucleotide")</f>
        <v>NCBI Nucleotide</v>
      </c>
    </row>
    <row r="2969" spans="1:27" x14ac:dyDescent="0.35">
      <c r="A2969">
        <v>1024714</v>
      </c>
      <c r="B2969">
        <v>2945</v>
      </c>
      <c r="C2969">
        <v>1</v>
      </c>
      <c r="D2969" s="17" t="s">
        <v>155</v>
      </c>
      <c r="E2969" s="17"/>
      <c r="F2969" s="17" t="s">
        <v>156</v>
      </c>
      <c r="G2969" s="17"/>
      <c r="H2969" s="17" t="s">
        <v>692</v>
      </c>
      <c r="I2969" s="17"/>
      <c r="J2969" s="17" t="s">
        <v>693</v>
      </c>
      <c r="K2969" s="17"/>
      <c r="L2969" s="17"/>
      <c r="M2969" s="17"/>
      <c r="N2969" s="17"/>
      <c r="O2969" s="17" t="s">
        <v>39646</v>
      </c>
      <c r="P2969" s="17" t="s">
        <v>39647</v>
      </c>
      <c r="Q2969" s="17"/>
      <c r="R2969" s="25" t="str">
        <f>HYPERLINK("https://ictv.global/taxonomy/taxondetails?taxnode_id=202319094","Bimevirus IME346")</f>
        <v>Bimevirus IME346</v>
      </c>
      <c r="S2969" s="18" t="s">
        <v>30</v>
      </c>
      <c r="T2969" s="18" t="s">
        <v>39649</v>
      </c>
      <c r="U2969" s="18"/>
      <c r="V2969" s="18"/>
      <c r="W2969" s="18" t="s">
        <v>48339</v>
      </c>
      <c r="X2969" s="18" t="s">
        <v>42</v>
      </c>
      <c r="Y2969" s="18" t="s">
        <v>36</v>
      </c>
      <c r="Z2969" s="18" t="s">
        <v>697</v>
      </c>
      <c r="AA2969" s="21" t="str">
        <f>HYPERLINK("https://www.ncbi.nlm.nih.gov/nuccore/MK685667","NCBI Nucleotide")</f>
        <v>NCBI Nucleotide</v>
      </c>
    </row>
    <row r="2970" spans="1:27" x14ac:dyDescent="0.35">
      <c r="A2970">
        <v>1024715</v>
      </c>
      <c r="B2970">
        <v>2946</v>
      </c>
      <c r="C2970">
        <v>1</v>
      </c>
      <c r="D2970" s="17" t="s">
        <v>155</v>
      </c>
      <c r="E2970" s="17"/>
      <c r="F2970" s="17" t="s">
        <v>156</v>
      </c>
      <c r="G2970" s="17"/>
      <c r="H2970" s="17" t="s">
        <v>692</v>
      </c>
      <c r="I2970" s="17"/>
      <c r="J2970" s="17" t="s">
        <v>693</v>
      </c>
      <c r="K2970" s="17"/>
      <c r="L2970" s="17"/>
      <c r="M2970" s="17"/>
      <c r="N2970" s="17"/>
      <c r="O2970" s="17" t="s">
        <v>39646</v>
      </c>
      <c r="P2970" s="17" t="s">
        <v>39647</v>
      </c>
      <c r="Q2970" s="17"/>
      <c r="R2970" s="25" t="str">
        <f>HYPERLINK("https://ictv.global/taxonomy/taxondetails?taxnode_id=202319096","Bimevirus KB2")</f>
        <v>Bimevirus KB2</v>
      </c>
      <c r="S2970" s="18" t="s">
        <v>30</v>
      </c>
      <c r="T2970" s="18" t="s">
        <v>39650</v>
      </c>
      <c r="U2970" s="18"/>
      <c r="V2970" s="18"/>
      <c r="W2970" s="18" t="s">
        <v>48340</v>
      </c>
      <c r="X2970" s="18" t="s">
        <v>42</v>
      </c>
      <c r="Y2970" s="18" t="s">
        <v>36</v>
      </c>
      <c r="Z2970" s="18" t="s">
        <v>697</v>
      </c>
      <c r="AA2970" s="21" t="str">
        <f>HYPERLINK("https://www.ncbi.nlm.nih.gov/nuccore/MT757392","NCBI Nucleotide")</f>
        <v>NCBI Nucleotide</v>
      </c>
    </row>
    <row r="2971" spans="1:27" x14ac:dyDescent="0.35">
      <c r="A2971">
        <v>1024603</v>
      </c>
      <c r="B2971">
        <v>2947</v>
      </c>
      <c r="C2971">
        <v>1</v>
      </c>
      <c r="D2971" s="17" t="s">
        <v>155</v>
      </c>
      <c r="E2971" s="17"/>
      <c r="F2971" s="17" t="s">
        <v>156</v>
      </c>
      <c r="G2971" s="17"/>
      <c r="H2971" s="17" t="s">
        <v>692</v>
      </c>
      <c r="I2971" s="17"/>
      <c r="J2971" s="17" t="s">
        <v>693</v>
      </c>
      <c r="K2971" s="17"/>
      <c r="L2971" s="17"/>
      <c r="M2971" s="17"/>
      <c r="N2971" s="17"/>
      <c r="O2971" s="17" t="s">
        <v>39646</v>
      </c>
      <c r="P2971" s="17" t="s">
        <v>39651</v>
      </c>
      <c r="Q2971" s="17"/>
      <c r="R2971" s="25" t="str">
        <f>HYPERLINK("https://ictv.global/taxonomy/taxondetails?taxnode_id=202319104","Chaoyangvirus BUCT49532")</f>
        <v>Chaoyangvirus BUCT49532</v>
      </c>
      <c r="S2971" s="18" t="s">
        <v>30</v>
      </c>
      <c r="T2971" s="18" t="s">
        <v>39652</v>
      </c>
      <c r="U2971" s="18"/>
      <c r="V2971" s="18"/>
      <c r="W2971" s="18" t="s">
        <v>48341</v>
      </c>
      <c r="X2971" s="18" t="s">
        <v>42</v>
      </c>
      <c r="Y2971" s="18" t="s">
        <v>36</v>
      </c>
      <c r="Z2971" s="18" t="s">
        <v>697</v>
      </c>
      <c r="AA2971" s="21" t="str">
        <f>HYPERLINK("https://www.ncbi.nlm.nih.gov/nuccore/MZ374361","NCBI Nucleotide")</f>
        <v>NCBI Nucleotide</v>
      </c>
    </row>
    <row r="2972" spans="1:27" x14ac:dyDescent="0.35">
      <c r="A2972">
        <v>1024570</v>
      </c>
      <c r="B2972">
        <v>2948</v>
      </c>
      <c r="C2972">
        <v>1</v>
      </c>
      <c r="D2972" s="17" t="s">
        <v>155</v>
      </c>
      <c r="E2972" s="17"/>
      <c r="F2972" s="17" t="s">
        <v>156</v>
      </c>
      <c r="G2972" s="17"/>
      <c r="H2972" s="17" t="s">
        <v>692</v>
      </c>
      <c r="I2972" s="17"/>
      <c r="J2972" s="17" t="s">
        <v>693</v>
      </c>
      <c r="K2972" s="17"/>
      <c r="L2972" s="17"/>
      <c r="M2972" s="17"/>
      <c r="N2972" s="17"/>
      <c r="O2972" s="17" t="s">
        <v>39646</v>
      </c>
      <c r="P2972" s="17" t="s">
        <v>39653</v>
      </c>
      <c r="Q2972" s="17"/>
      <c r="R2972" s="25" t="str">
        <f>HYPERLINK("https://ictv.global/taxonomy/taxondetails?taxnode_id=202319101","Geezettvirus geezett")</f>
        <v>Geezettvirus geezett</v>
      </c>
      <c r="S2972" s="18" t="s">
        <v>30</v>
      </c>
      <c r="T2972" s="18" t="s">
        <v>39654</v>
      </c>
      <c r="U2972" s="18"/>
      <c r="V2972" s="18"/>
      <c r="W2972" s="18" t="s">
        <v>48342</v>
      </c>
      <c r="X2972" s="18" t="s">
        <v>42</v>
      </c>
      <c r="Y2972" s="18" t="s">
        <v>36</v>
      </c>
      <c r="Z2972" s="18" t="s">
        <v>697</v>
      </c>
      <c r="AA2972" s="21" t="str">
        <f>HYPERLINK("https://www.ncbi.nlm.nih.gov/nuccore/MZ504995","NCBI Nucleotide")</f>
        <v>NCBI Nucleotide</v>
      </c>
    </row>
    <row r="2973" spans="1:27" x14ac:dyDescent="0.35">
      <c r="A2973">
        <v>1005695</v>
      </c>
      <c r="B2973">
        <v>2949</v>
      </c>
      <c r="C2973">
        <v>1</v>
      </c>
      <c r="D2973" s="17" t="s">
        <v>155</v>
      </c>
      <c r="E2973" s="17"/>
      <c r="F2973" s="17" t="s">
        <v>156</v>
      </c>
      <c r="G2973" s="17"/>
      <c r="H2973" s="17" t="s">
        <v>692</v>
      </c>
      <c r="I2973" s="17"/>
      <c r="J2973" s="17" t="s">
        <v>693</v>
      </c>
      <c r="K2973" s="17"/>
      <c r="L2973" s="17"/>
      <c r="M2973" s="17"/>
      <c r="N2973" s="17"/>
      <c r="O2973" s="17" t="s">
        <v>39646</v>
      </c>
      <c r="P2973" s="17" t="s">
        <v>2111</v>
      </c>
      <c r="Q2973" s="17"/>
      <c r="R2973" s="25" t="str">
        <f>HYPERLINK("https://ictv.global/taxonomy/taxondetails?taxnode_id=202306836","Jedunavirus JD001")</f>
        <v>Jedunavirus JD001</v>
      </c>
      <c r="S2973" s="18" t="s">
        <v>30</v>
      </c>
      <c r="T2973" s="18" t="s">
        <v>2112</v>
      </c>
      <c r="U2973" s="18"/>
      <c r="V2973" s="18"/>
      <c r="W2973" s="18" t="s">
        <v>2113</v>
      </c>
      <c r="X2973" s="18" t="s">
        <v>42</v>
      </c>
      <c r="Y2973" s="18" t="s">
        <v>36</v>
      </c>
      <c r="Z2973" s="18" t="s">
        <v>697</v>
      </c>
      <c r="AA2973" s="21" t="str">
        <f>HYPERLINK("https://www.ncbi.nlm.nih.gov/nuccore/JX866719","NCBI Nucleotide")</f>
        <v>NCBI Nucleotide</v>
      </c>
    </row>
    <row r="2974" spans="1:27" x14ac:dyDescent="0.35">
      <c r="A2974">
        <v>1024963</v>
      </c>
      <c r="B2974">
        <v>2950</v>
      </c>
      <c r="C2974">
        <v>1</v>
      </c>
      <c r="D2974" s="17" t="s">
        <v>155</v>
      </c>
      <c r="E2974" s="17"/>
      <c r="F2974" s="17" t="s">
        <v>156</v>
      </c>
      <c r="G2974" s="17"/>
      <c r="H2974" s="17" t="s">
        <v>692</v>
      </c>
      <c r="I2974" s="17"/>
      <c r="J2974" s="17" t="s">
        <v>693</v>
      </c>
      <c r="K2974" s="17"/>
      <c r="L2974" s="17"/>
      <c r="M2974" s="17"/>
      <c r="N2974" s="17"/>
      <c r="O2974" s="17" t="s">
        <v>39646</v>
      </c>
      <c r="P2974" s="17" t="s">
        <v>39655</v>
      </c>
      <c r="Q2974" s="17"/>
      <c r="R2974" s="25" t="str">
        <f>HYPERLINK("https://ictv.global/taxonomy/taxondetails?taxnode_id=202319102","Mascletvirus VLCpiM12a")</f>
        <v>Mascletvirus VLCpiM12a</v>
      </c>
      <c r="S2974" s="18" t="s">
        <v>30</v>
      </c>
      <c r="T2974" s="18" t="s">
        <v>39656</v>
      </c>
      <c r="U2974" s="18"/>
      <c r="V2974" s="18"/>
      <c r="W2974" s="18" t="s">
        <v>48343</v>
      </c>
      <c r="X2974" s="18" t="s">
        <v>42</v>
      </c>
      <c r="Y2974" s="18" t="s">
        <v>36</v>
      </c>
      <c r="Z2974" s="18" t="s">
        <v>697</v>
      </c>
      <c r="AA2974" s="21" t="str">
        <f>HYPERLINK("https://www.ncbi.nlm.nih.gov/nuccore/ON602758","NCBI Nucleotide")</f>
        <v>NCBI Nucleotide</v>
      </c>
    </row>
    <row r="2975" spans="1:27" x14ac:dyDescent="0.35">
      <c r="A2975">
        <v>1024716</v>
      </c>
      <c r="B2975">
        <v>2951</v>
      </c>
      <c r="C2975">
        <v>1</v>
      </c>
      <c r="D2975" s="17" t="s">
        <v>155</v>
      </c>
      <c r="E2975" s="17"/>
      <c r="F2975" s="17" t="s">
        <v>156</v>
      </c>
      <c r="G2975" s="17"/>
      <c r="H2975" s="17" t="s">
        <v>692</v>
      </c>
      <c r="I2975" s="17"/>
      <c r="J2975" s="17" t="s">
        <v>693</v>
      </c>
      <c r="K2975" s="17"/>
      <c r="L2975" s="17"/>
      <c r="M2975" s="17"/>
      <c r="N2975" s="17"/>
      <c r="O2975" s="17" t="s">
        <v>39646</v>
      </c>
      <c r="P2975" s="17" t="s">
        <v>39657</v>
      </c>
      <c r="Q2975" s="17"/>
      <c r="R2975" s="25" t="str">
        <f>HYPERLINK("https://ictv.global/taxonomy/taxondetails?taxnode_id=202319105","Parissaclayvirus POU148")</f>
        <v>Parissaclayvirus POU148</v>
      </c>
      <c r="S2975" s="18" t="s">
        <v>30</v>
      </c>
      <c r="T2975" s="18" t="s">
        <v>39658</v>
      </c>
      <c r="U2975" s="18"/>
      <c r="V2975" s="18"/>
      <c r="W2975" s="18" t="s">
        <v>48344</v>
      </c>
      <c r="X2975" s="18" t="s">
        <v>42</v>
      </c>
      <c r="Y2975" s="18" t="s">
        <v>36</v>
      </c>
      <c r="Z2975" s="18" t="s">
        <v>697</v>
      </c>
      <c r="AA2975" s="21" t="str">
        <f>HYPERLINK("https://www.ncbi.nlm.nih.gov/nuccore/MN689778","NCBI Nucleotide")</f>
        <v>NCBI Nucleotide</v>
      </c>
    </row>
    <row r="2976" spans="1:27" x14ac:dyDescent="0.35">
      <c r="A2976">
        <v>1006276</v>
      </c>
      <c r="B2976">
        <v>2952</v>
      </c>
      <c r="C2976">
        <v>1</v>
      </c>
      <c r="D2976" s="17" t="s">
        <v>155</v>
      </c>
      <c r="E2976" s="17"/>
      <c r="F2976" s="17" t="s">
        <v>156</v>
      </c>
      <c r="G2976" s="17"/>
      <c r="H2976" s="17" t="s">
        <v>692</v>
      </c>
      <c r="I2976" s="17"/>
      <c r="J2976" s="17" t="s">
        <v>693</v>
      </c>
      <c r="K2976" s="17"/>
      <c r="L2976" s="17"/>
      <c r="M2976" s="17"/>
      <c r="N2976" s="17"/>
      <c r="O2976" s="17" t="s">
        <v>39646</v>
      </c>
      <c r="P2976" s="17" t="s">
        <v>3168</v>
      </c>
      <c r="Q2976" s="17"/>
      <c r="R2976" s="25" t="str">
        <f>HYPERLINK("https://ictv.global/taxonomy/taxondetails?taxnode_id=202306857","Peatvirus peat2")</f>
        <v>Peatvirus peat2</v>
      </c>
      <c r="S2976" s="18" t="s">
        <v>30</v>
      </c>
      <c r="T2976" s="18" t="s">
        <v>3169</v>
      </c>
      <c r="U2976" s="18"/>
      <c r="V2976" s="18"/>
      <c r="W2976" s="18" t="s">
        <v>3170</v>
      </c>
      <c r="X2976" s="18" t="s">
        <v>42</v>
      </c>
      <c r="Y2976" s="18" t="s">
        <v>36</v>
      </c>
      <c r="Z2976" s="18" t="s">
        <v>697</v>
      </c>
      <c r="AA2976" s="21" t="str">
        <f>HYPERLINK("https://www.ncbi.nlm.nih.gov/nuccore/MG432137","NCBI Nucleotide")</f>
        <v>NCBI Nucleotide</v>
      </c>
    </row>
    <row r="2977" spans="1:27" x14ac:dyDescent="0.35">
      <c r="A2977">
        <v>1024795</v>
      </c>
      <c r="B2977">
        <v>2953</v>
      </c>
      <c r="C2977">
        <v>1</v>
      </c>
      <c r="D2977" s="17" t="s">
        <v>155</v>
      </c>
      <c r="E2977" s="17"/>
      <c r="F2977" s="17" t="s">
        <v>156</v>
      </c>
      <c r="G2977" s="17"/>
      <c r="H2977" s="17" t="s">
        <v>692</v>
      </c>
      <c r="I2977" s="17"/>
      <c r="J2977" s="17" t="s">
        <v>693</v>
      </c>
      <c r="K2977" s="17"/>
      <c r="L2977" s="17"/>
      <c r="M2977" s="17"/>
      <c r="N2977" s="17"/>
      <c r="O2977" s="17" t="s">
        <v>39646</v>
      </c>
      <c r="P2977" s="17" t="s">
        <v>39659</v>
      </c>
      <c r="Q2977" s="17"/>
      <c r="R2977" s="25" t="str">
        <f>HYPERLINK("https://ictv.global/taxonomy/taxondetails?taxnode_id=202319103","Ringroadvirus BUCT47333")</f>
        <v>Ringroadvirus BUCT47333</v>
      </c>
      <c r="S2977" s="18" t="s">
        <v>30</v>
      </c>
      <c r="T2977" s="18" t="s">
        <v>39660</v>
      </c>
      <c r="U2977" s="18"/>
      <c r="V2977" s="18"/>
      <c r="W2977" s="18" t="s">
        <v>48345</v>
      </c>
      <c r="X2977" s="18" t="s">
        <v>42</v>
      </c>
      <c r="Y2977" s="18" t="s">
        <v>36</v>
      </c>
      <c r="Z2977" s="18" t="s">
        <v>697</v>
      </c>
      <c r="AA2977" s="21" t="str">
        <f>HYPERLINK("https://www.ncbi.nlm.nih.gov/nuccore/MZ398021","NCBI Nucleotide")</f>
        <v>NCBI Nucleotide</v>
      </c>
    </row>
    <row r="2978" spans="1:27" x14ac:dyDescent="0.35">
      <c r="A2978">
        <v>1024862</v>
      </c>
      <c r="B2978">
        <v>2954</v>
      </c>
      <c r="C2978">
        <v>1</v>
      </c>
      <c r="D2978" s="17" t="s">
        <v>155</v>
      </c>
      <c r="E2978" s="17"/>
      <c r="F2978" s="17" t="s">
        <v>156</v>
      </c>
      <c r="G2978" s="17"/>
      <c r="H2978" s="17" t="s">
        <v>692</v>
      </c>
      <c r="I2978" s="17"/>
      <c r="J2978" s="17" t="s">
        <v>693</v>
      </c>
      <c r="K2978" s="17"/>
      <c r="L2978" s="17"/>
      <c r="M2978" s="17"/>
      <c r="N2978" s="17"/>
      <c r="O2978" s="17" t="s">
        <v>39646</v>
      </c>
      <c r="P2978" s="17" t="s">
        <v>39661</v>
      </c>
      <c r="Q2978" s="17"/>
      <c r="R2978" s="25" t="str">
        <f>HYPERLINK("https://ictv.global/taxonomy/taxondetails?taxnode_id=202319097","Sircambvirus FZ14")</f>
        <v>Sircambvirus FZ14</v>
      </c>
      <c r="S2978" s="18" t="s">
        <v>30</v>
      </c>
      <c r="T2978" s="18" t="s">
        <v>39662</v>
      </c>
      <c r="U2978" s="18"/>
      <c r="V2978" s="18"/>
      <c r="W2978" s="18" t="s">
        <v>48346</v>
      </c>
      <c r="X2978" s="18" t="s">
        <v>42</v>
      </c>
      <c r="Y2978" s="18" t="s">
        <v>36</v>
      </c>
      <c r="Z2978" s="18" t="s">
        <v>697</v>
      </c>
      <c r="AA2978" s="21" t="str">
        <f>HYPERLINK("https://www.ncbi.nlm.nih.gov/nuccore/MK521906","NCBI Nucleotide")</f>
        <v>NCBI Nucleotide</v>
      </c>
    </row>
    <row r="2979" spans="1:27" x14ac:dyDescent="0.35">
      <c r="A2979">
        <v>1024863</v>
      </c>
      <c r="B2979">
        <v>2955</v>
      </c>
      <c r="C2979">
        <v>1</v>
      </c>
      <c r="D2979" s="17" t="s">
        <v>155</v>
      </c>
      <c r="E2979" s="17"/>
      <c r="F2979" s="17" t="s">
        <v>156</v>
      </c>
      <c r="G2979" s="17"/>
      <c r="H2979" s="17" t="s">
        <v>692</v>
      </c>
      <c r="I2979" s="17"/>
      <c r="J2979" s="17" t="s">
        <v>693</v>
      </c>
      <c r="K2979" s="17"/>
      <c r="L2979" s="17"/>
      <c r="M2979" s="17"/>
      <c r="N2979" s="17"/>
      <c r="O2979" s="17" t="s">
        <v>39646</v>
      </c>
      <c r="P2979" s="17" t="s">
        <v>39661</v>
      </c>
      <c r="Q2979" s="17"/>
      <c r="R2979" s="25" t="str">
        <f>HYPERLINK("https://ictv.global/taxonomy/taxondetails?taxnode_id=202319098","Sircambvirus justaphage")</f>
        <v>Sircambvirus justaphage</v>
      </c>
      <c r="S2979" s="18" t="s">
        <v>30</v>
      </c>
      <c r="T2979" s="18" t="s">
        <v>39663</v>
      </c>
      <c r="U2979" s="18"/>
      <c r="V2979" s="18"/>
      <c r="W2979" s="18" t="s">
        <v>48347</v>
      </c>
      <c r="X2979" s="18" t="s">
        <v>42</v>
      </c>
      <c r="Y2979" s="18" t="s">
        <v>36</v>
      </c>
      <c r="Z2979" s="18" t="s">
        <v>697</v>
      </c>
      <c r="AA2979" s="21" t="str">
        <f>HYPERLINK("https://www.ncbi.nlm.nih.gov/nuccore/OK499978","NCBI Nucleotide")</f>
        <v>NCBI Nucleotide</v>
      </c>
    </row>
    <row r="2980" spans="1:27" x14ac:dyDescent="0.35">
      <c r="A2980">
        <v>1005697</v>
      </c>
      <c r="B2980">
        <v>2956</v>
      </c>
      <c r="C2980">
        <v>1</v>
      </c>
      <c r="D2980" s="17" t="s">
        <v>155</v>
      </c>
      <c r="E2980" s="17"/>
      <c r="F2980" s="17" t="s">
        <v>156</v>
      </c>
      <c r="G2980" s="17"/>
      <c r="H2980" s="17" t="s">
        <v>692</v>
      </c>
      <c r="I2980" s="17"/>
      <c r="J2980" s="17" t="s">
        <v>693</v>
      </c>
      <c r="K2980" s="17"/>
      <c r="L2980" s="17"/>
      <c r="M2980" s="17"/>
      <c r="N2980" s="17"/>
      <c r="O2980" s="17" t="s">
        <v>39646</v>
      </c>
      <c r="P2980" s="17" t="s">
        <v>39661</v>
      </c>
      <c r="Q2980" s="17"/>
      <c r="R2980" s="25" t="str">
        <f>HYPERLINK("https://ictv.global/taxonomy/taxondetails?taxnode_id=202306838","Sircambvirus KpV52")</f>
        <v>Sircambvirus KpV52</v>
      </c>
      <c r="S2980" s="18" t="s">
        <v>30</v>
      </c>
      <c r="T2980" s="18" t="s">
        <v>2116</v>
      </c>
      <c r="U2980" s="18"/>
      <c r="V2980" s="18"/>
      <c r="W2980" s="18" t="s">
        <v>2117</v>
      </c>
      <c r="X2980" s="18" t="s">
        <v>42</v>
      </c>
      <c r="Y2980" s="18" t="s">
        <v>36</v>
      </c>
      <c r="Z2980" s="18" t="s">
        <v>697</v>
      </c>
      <c r="AA2980" s="21" t="str">
        <f>HYPERLINK("https://www.ncbi.nlm.nih.gov/nuccore/KX237516","NCBI Nucleotide")</f>
        <v>NCBI Nucleotide</v>
      </c>
    </row>
    <row r="2981" spans="1:27" x14ac:dyDescent="0.35">
      <c r="A2981">
        <v>1005696</v>
      </c>
      <c r="B2981">
        <v>2957</v>
      </c>
      <c r="C2981">
        <v>1</v>
      </c>
      <c r="D2981" s="17" t="s">
        <v>155</v>
      </c>
      <c r="E2981" s="17"/>
      <c r="F2981" s="17" t="s">
        <v>156</v>
      </c>
      <c r="G2981" s="17"/>
      <c r="H2981" s="17" t="s">
        <v>692</v>
      </c>
      <c r="I2981" s="17"/>
      <c r="J2981" s="17" t="s">
        <v>693</v>
      </c>
      <c r="K2981" s="17"/>
      <c r="L2981" s="17"/>
      <c r="M2981" s="17"/>
      <c r="N2981" s="17"/>
      <c r="O2981" s="17" t="s">
        <v>39646</v>
      </c>
      <c r="P2981" s="17" t="s">
        <v>39661</v>
      </c>
      <c r="Q2981" s="17"/>
      <c r="R2981" s="25" t="str">
        <f>HYPERLINK("https://ictv.global/taxonomy/taxondetails?taxnode_id=202306837","Sircambvirus KpV79")</f>
        <v>Sircambvirus KpV79</v>
      </c>
      <c r="S2981" s="18" t="s">
        <v>30</v>
      </c>
      <c r="T2981" s="18" t="s">
        <v>2114</v>
      </c>
      <c r="U2981" s="18"/>
      <c r="V2981" s="18"/>
      <c r="W2981" s="18" t="s">
        <v>2115</v>
      </c>
      <c r="X2981" s="18" t="s">
        <v>42</v>
      </c>
      <c r="Y2981" s="18" t="s">
        <v>36</v>
      </c>
      <c r="Z2981" s="18" t="s">
        <v>697</v>
      </c>
      <c r="AA2981" s="21" t="str">
        <f>HYPERLINK("https://www.ncbi.nlm.nih.gov/nuccore/MF663761","NCBI Nucleotide")</f>
        <v>NCBI Nucleotide</v>
      </c>
    </row>
    <row r="2982" spans="1:27" x14ac:dyDescent="0.35">
      <c r="A2982">
        <v>1024864</v>
      </c>
      <c r="B2982">
        <v>2958</v>
      </c>
      <c r="C2982">
        <v>1</v>
      </c>
      <c r="D2982" s="17" t="s">
        <v>155</v>
      </c>
      <c r="E2982" s="17"/>
      <c r="F2982" s="17" t="s">
        <v>156</v>
      </c>
      <c r="G2982" s="17"/>
      <c r="H2982" s="17" t="s">
        <v>692</v>
      </c>
      <c r="I2982" s="17"/>
      <c r="J2982" s="17" t="s">
        <v>693</v>
      </c>
      <c r="K2982" s="17"/>
      <c r="L2982" s="17"/>
      <c r="M2982" s="17"/>
      <c r="N2982" s="17"/>
      <c r="O2982" s="17" t="s">
        <v>39646</v>
      </c>
      <c r="P2982" s="17" t="s">
        <v>39661</v>
      </c>
      <c r="Q2982" s="17"/>
      <c r="R2982" s="25" t="str">
        <f>HYPERLINK("https://ictv.global/taxonomy/taxondetails?taxnode_id=202319099","Sircambvirus MEW1")</f>
        <v>Sircambvirus MEW1</v>
      </c>
      <c r="S2982" s="18" t="s">
        <v>30</v>
      </c>
      <c r="T2982" s="18" t="s">
        <v>39664</v>
      </c>
      <c r="U2982" s="18"/>
      <c r="V2982" s="18"/>
      <c r="W2982" s="18" t="s">
        <v>48348</v>
      </c>
      <c r="X2982" s="18" t="s">
        <v>42</v>
      </c>
      <c r="Y2982" s="18" t="s">
        <v>36</v>
      </c>
      <c r="Z2982" s="18" t="s">
        <v>697</v>
      </c>
      <c r="AA2982" s="21" t="str">
        <f>HYPERLINK("https://www.ncbi.nlm.nih.gov/nuccore/MT894004","NCBI Nucleotide")</f>
        <v>NCBI Nucleotide</v>
      </c>
    </row>
    <row r="2983" spans="1:27" x14ac:dyDescent="0.35">
      <c r="A2983">
        <v>1024865</v>
      </c>
      <c r="B2983">
        <v>2959</v>
      </c>
      <c r="C2983">
        <v>1</v>
      </c>
      <c r="D2983" s="17" t="s">
        <v>155</v>
      </c>
      <c r="E2983" s="17"/>
      <c r="F2983" s="17" t="s">
        <v>156</v>
      </c>
      <c r="G2983" s="17"/>
      <c r="H2983" s="17" t="s">
        <v>692</v>
      </c>
      <c r="I2983" s="17"/>
      <c r="J2983" s="17" t="s">
        <v>693</v>
      </c>
      <c r="K2983" s="17"/>
      <c r="L2983" s="17"/>
      <c r="M2983" s="17"/>
      <c r="N2983" s="17"/>
      <c r="O2983" s="17" t="s">
        <v>39646</v>
      </c>
      <c r="P2983" s="17" t="s">
        <v>39661</v>
      </c>
      <c r="Q2983" s="17"/>
      <c r="R2983" s="25" t="str">
        <f>HYPERLINK("https://ictv.global/taxonomy/taxondetails?taxnode_id=202319100","Sircambvirus pKp383")</f>
        <v>Sircambvirus pKp383</v>
      </c>
      <c r="S2983" s="18" t="s">
        <v>30</v>
      </c>
      <c r="T2983" s="18" t="s">
        <v>39665</v>
      </c>
      <c r="U2983" s="18"/>
      <c r="V2983" s="18"/>
      <c r="W2983" s="18" t="s">
        <v>48349</v>
      </c>
      <c r="X2983" s="18" t="s">
        <v>42</v>
      </c>
      <c r="Y2983" s="18" t="s">
        <v>36</v>
      </c>
      <c r="Z2983" s="18" t="s">
        <v>697</v>
      </c>
      <c r="AA2983" s="21" t="str">
        <f>HYPERLINK("https://www.ncbi.nlm.nih.gov/nuccore/ON809560","NCBI Nucleotide")</f>
        <v>NCBI Nucleotide</v>
      </c>
    </row>
    <row r="2984" spans="1:27" x14ac:dyDescent="0.35">
      <c r="A2984">
        <v>1025278</v>
      </c>
      <c r="B2984">
        <v>2960</v>
      </c>
      <c r="C2984">
        <v>1</v>
      </c>
      <c r="D2984" s="17" t="s">
        <v>155</v>
      </c>
      <c r="E2984" s="17"/>
      <c r="F2984" s="17" t="s">
        <v>156</v>
      </c>
      <c r="G2984" s="17"/>
      <c r="H2984" s="17" t="s">
        <v>692</v>
      </c>
      <c r="I2984" s="17"/>
      <c r="J2984" s="17" t="s">
        <v>693</v>
      </c>
      <c r="K2984" s="17"/>
      <c r="L2984" s="17"/>
      <c r="M2984" s="17"/>
      <c r="N2984" s="17"/>
      <c r="O2984" s="17" t="s">
        <v>39646</v>
      </c>
      <c r="P2984" s="17" t="s">
        <v>39666</v>
      </c>
      <c r="Q2984" s="17"/>
      <c r="R2984" s="25" t="str">
        <f>HYPERLINK("https://ictv.global/taxonomy/taxondetails?taxnode_id=202319093","Zewailvirus SBP")</f>
        <v>Zewailvirus SBP</v>
      </c>
      <c r="S2984" s="18" t="s">
        <v>30</v>
      </c>
      <c r="T2984" s="18" t="s">
        <v>39667</v>
      </c>
      <c r="U2984" s="18"/>
      <c r="V2984" s="18"/>
      <c r="W2984" s="18" t="s">
        <v>48350</v>
      </c>
      <c r="X2984" s="18" t="s">
        <v>42</v>
      </c>
      <c r="Y2984" s="18" t="s">
        <v>36</v>
      </c>
      <c r="Z2984" s="18" t="s">
        <v>697</v>
      </c>
      <c r="AA2984" s="21" t="str">
        <f>HYPERLINK("https://www.ncbi.nlm.nih.gov/nuccore/OP114730","NCBI Nucleotide")</f>
        <v>NCBI Nucleotide</v>
      </c>
    </row>
    <row r="2985" spans="1:27" x14ac:dyDescent="0.35">
      <c r="A2985">
        <v>1025279</v>
      </c>
      <c r="B2985">
        <v>2961</v>
      </c>
      <c r="C2985">
        <v>1</v>
      </c>
      <c r="D2985" s="17" t="s">
        <v>155</v>
      </c>
      <c r="E2985" s="17"/>
      <c r="F2985" s="17" t="s">
        <v>156</v>
      </c>
      <c r="G2985" s="17"/>
      <c r="H2985" s="17" t="s">
        <v>692</v>
      </c>
      <c r="I2985" s="17"/>
      <c r="J2985" s="17" t="s">
        <v>693</v>
      </c>
      <c r="K2985" s="17"/>
      <c r="L2985" s="17"/>
      <c r="M2985" s="17"/>
      <c r="N2985" s="17"/>
      <c r="O2985" s="17" t="s">
        <v>39646</v>
      </c>
      <c r="P2985" s="17" t="s">
        <v>39666</v>
      </c>
      <c r="Q2985" s="17"/>
      <c r="R2985" s="25" t="str">
        <f>HYPERLINK("https://ictv.global/taxonomy/taxondetails?taxnode_id=202319092","Zewailvirus ZCEC13")</f>
        <v>Zewailvirus ZCEC13</v>
      </c>
      <c r="S2985" s="18" t="s">
        <v>30</v>
      </c>
      <c r="T2985" s="18" t="s">
        <v>39668</v>
      </c>
      <c r="U2985" s="18"/>
      <c r="V2985" s="18"/>
      <c r="W2985" s="18" t="s">
        <v>48351</v>
      </c>
      <c r="X2985" s="18" t="s">
        <v>42</v>
      </c>
      <c r="Y2985" s="18" t="s">
        <v>36</v>
      </c>
      <c r="Z2985" s="18" t="s">
        <v>697</v>
      </c>
      <c r="AA2985" s="21" t="str">
        <f>HYPERLINK("https://www.ncbi.nlm.nih.gov/nuccore/ON086804","NCBI Nucleotide")</f>
        <v>NCBI Nucleotide</v>
      </c>
    </row>
    <row r="2986" spans="1:27" x14ac:dyDescent="0.35">
      <c r="A2986">
        <v>1003946</v>
      </c>
      <c r="B2986">
        <v>2962</v>
      </c>
      <c r="C2986">
        <v>1</v>
      </c>
      <c r="D2986" s="17" t="s">
        <v>155</v>
      </c>
      <c r="E2986" s="17"/>
      <c r="F2986" s="17" t="s">
        <v>156</v>
      </c>
      <c r="G2986" s="17"/>
      <c r="H2986" s="17" t="s">
        <v>692</v>
      </c>
      <c r="I2986" s="17"/>
      <c r="J2986" s="17" t="s">
        <v>693</v>
      </c>
      <c r="K2986" s="17"/>
      <c r="L2986" s="17"/>
      <c r="M2986" s="17"/>
      <c r="N2986" s="17"/>
      <c r="O2986" s="17" t="s">
        <v>5410</v>
      </c>
      <c r="P2986" s="17" t="s">
        <v>5411</v>
      </c>
      <c r="Q2986" s="17"/>
      <c r="R2986" s="25" t="str">
        <f>HYPERLINK("https://ictv.global/taxonomy/taxondetails?taxnode_id=202314479","Natevirus nate")</f>
        <v>Natevirus nate</v>
      </c>
      <c r="S2986" s="18" t="s">
        <v>30</v>
      </c>
      <c r="T2986" s="18" t="s">
        <v>5412</v>
      </c>
      <c r="U2986" s="18"/>
      <c r="V2986" s="18"/>
      <c r="W2986" s="18" t="s">
        <v>5413</v>
      </c>
      <c r="X2986" s="18" t="s">
        <v>42</v>
      </c>
      <c r="Y2986" s="18" t="s">
        <v>36</v>
      </c>
      <c r="Z2986" s="18" t="s">
        <v>697</v>
      </c>
      <c r="AA2986" s="21" t="str">
        <f>HYPERLINK("https://www.ncbi.nlm.nih.gov/nuccore/OK499992","NCBI Nucleotide")</f>
        <v>NCBI Nucleotide</v>
      </c>
    </row>
    <row r="2987" spans="1:27" x14ac:dyDescent="0.35">
      <c r="A2987">
        <v>1003947</v>
      </c>
      <c r="B2987">
        <v>2963</v>
      </c>
      <c r="C2987">
        <v>1</v>
      </c>
      <c r="D2987" s="17" t="s">
        <v>155</v>
      </c>
      <c r="E2987" s="17"/>
      <c r="F2987" s="17" t="s">
        <v>156</v>
      </c>
      <c r="G2987" s="17"/>
      <c r="H2987" s="17" t="s">
        <v>692</v>
      </c>
      <c r="I2987" s="17"/>
      <c r="J2987" s="17" t="s">
        <v>693</v>
      </c>
      <c r="K2987" s="17"/>
      <c r="L2987" s="17"/>
      <c r="M2987" s="17"/>
      <c r="N2987" s="17"/>
      <c r="O2987" s="17" t="s">
        <v>5410</v>
      </c>
      <c r="P2987" s="17" t="s">
        <v>5414</v>
      </c>
      <c r="Q2987" s="17"/>
      <c r="R2987" s="25" t="str">
        <f>HYPERLINK("https://ictv.global/taxonomy/taxondetails?taxnode_id=202314478","Sophritavirus pW2")</f>
        <v>Sophritavirus pW2</v>
      </c>
      <c r="S2987" s="18" t="s">
        <v>30</v>
      </c>
      <c r="T2987" s="18" t="s">
        <v>5415</v>
      </c>
      <c r="U2987" s="18"/>
      <c r="V2987" s="18"/>
      <c r="W2987" s="18" t="s">
        <v>5416</v>
      </c>
      <c r="X2987" s="18" t="s">
        <v>42</v>
      </c>
      <c r="Y2987" s="18" t="s">
        <v>36</v>
      </c>
      <c r="Z2987" s="18" t="s">
        <v>697</v>
      </c>
      <c r="AA2987" s="21" t="str">
        <f>HYPERLINK("https://www.ncbi.nlm.nih.gov/nuccore/MK288021","NCBI Nucleotide")</f>
        <v>NCBI Nucleotide</v>
      </c>
    </row>
    <row r="2988" spans="1:27" x14ac:dyDescent="0.35">
      <c r="A2988">
        <v>1003948</v>
      </c>
      <c r="B2988">
        <v>2964</v>
      </c>
      <c r="C2988">
        <v>1</v>
      </c>
      <c r="D2988" s="17" t="s">
        <v>155</v>
      </c>
      <c r="E2988" s="17"/>
      <c r="F2988" s="17" t="s">
        <v>156</v>
      </c>
      <c r="G2988" s="17"/>
      <c r="H2988" s="17" t="s">
        <v>692</v>
      </c>
      <c r="I2988" s="17"/>
      <c r="J2988" s="17" t="s">
        <v>693</v>
      </c>
      <c r="K2988" s="17"/>
      <c r="L2988" s="17"/>
      <c r="M2988" s="17"/>
      <c r="N2988" s="17"/>
      <c r="O2988" s="17" t="s">
        <v>5410</v>
      </c>
      <c r="P2988" s="17" t="s">
        <v>5414</v>
      </c>
      <c r="Q2988" s="17"/>
      <c r="R2988" s="25" t="str">
        <f>HYPERLINK("https://ictv.global/taxonomy/taxondetails?taxnode_id=202314477","Sophritavirus sophrita")</f>
        <v>Sophritavirus sophrita</v>
      </c>
      <c r="S2988" s="18" t="s">
        <v>30</v>
      </c>
      <c r="T2988" s="18" t="s">
        <v>5417</v>
      </c>
      <c r="U2988" s="18"/>
      <c r="V2988" s="18"/>
      <c r="W2988" s="18" t="s">
        <v>5418</v>
      </c>
      <c r="X2988" s="18" t="s">
        <v>42</v>
      </c>
      <c r="Y2988" s="18" t="s">
        <v>36</v>
      </c>
      <c r="Z2988" s="18" t="s">
        <v>697</v>
      </c>
      <c r="AA2988" s="21" t="str">
        <f>HYPERLINK("https://www.ncbi.nlm.nih.gov/nuccore/OK499991","NCBI Nucleotide")</f>
        <v>NCBI Nucleotide</v>
      </c>
    </row>
    <row r="2989" spans="1:27" x14ac:dyDescent="0.35">
      <c r="A2989">
        <v>1003949</v>
      </c>
      <c r="B2989">
        <v>2965</v>
      </c>
      <c r="C2989">
        <v>1</v>
      </c>
      <c r="D2989" s="17" t="s">
        <v>155</v>
      </c>
      <c r="E2989" s="17"/>
      <c r="F2989" s="17" t="s">
        <v>156</v>
      </c>
      <c r="G2989" s="17"/>
      <c r="H2989" s="17" t="s">
        <v>692</v>
      </c>
      <c r="I2989" s="17"/>
      <c r="J2989" s="17" t="s">
        <v>693</v>
      </c>
      <c r="K2989" s="17"/>
      <c r="L2989" s="17"/>
      <c r="M2989" s="17"/>
      <c r="N2989" s="17"/>
      <c r="O2989" s="17" t="s">
        <v>5410</v>
      </c>
      <c r="P2989" s="17" t="s">
        <v>5419</v>
      </c>
      <c r="Q2989" s="17"/>
      <c r="R2989" s="25" t="str">
        <f>HYPERLINK("https://ictv.global/taxonomy/taxondetails?taxnode_id=202314484","Tsamsavirus chewbecca")</f>
        <v>Tsamsavirus chewbecca</v>
      </c>
      <c r="S2989" s="18" t="s">
        <v>30</v>
      </c>
      <c r="T2989" s="18" t="s">
        <v>5420</v>
      </c>
      <c r="U2989" s="18"/>
      <c r="V2989" s="18"/>
      <c r="W2989" s="18" t="s">
        <v>5421</v>
      </c>
      <c r="X2989" s="18" t="s">
        <v>42</v>
      </c>
      <c r="Y2989" s="18" t="s">
        <v>36</v>
      </c>
      <c r="Z2989" s="18" t="s">
        <v>697</v>
      </c>
      <c r="AA2989" s="21" t="str">
        <f>HYPERLINK("https://www.ncbi.nlm.nih.gov/nuccore/OK499972","NCBI Nucleotide")</f>
        <v>NCBI Nucleotide</v>
      </c>
    </row>
    <row r="2990" spans="1:27" x14ac:dyDescent="0.35">
      <c r="A2990">
        <v>1003950</v>
      </c>
      <c r="B2990">
        <v>2966</v>
      </c>
      <c r="C2990">
        <v>1</v>
      </c>
      <c r="D2990" s="17" t="s">
        <v>155</v>
      </c>
      <c r="E2990" s="17"/>
      <c r="F2990" s="17" t="s">
        <v>156</v>
      </c>
      <c r="G2990" s="17"/>
      <c r="H2990" s="17" t="s">
        <v>692</v>
      </c>
      <c r="I2990" s="17"/>
      <c r="J2990" s="17" t="s">
        <v>693</v>
      </c>
      <c r="K2990" s="17"/>
      <c r="L2990" s="17"/>
      <c r="M2990" s="17"/>
      <c r="N2990" s="17"/>
      <c r="O2990" s="17" t="s">
        <v>5410</v>
      </c>
      <c r="P2990" s="17" t="s">
        <v>5419</v>
      </c>
      <c r="Q2990" s="17"/>
      <c r="R2990" s="25" t="str">
        <f>HYPERLINK("https://ictv.global/taxonomy/taxondetails?taxnode_id=202314481","Tsamsavirus izhevsk")</f>
        <v>Tsamsavirus izhevsk</v>
      </c>
      <c r="S2990" s="18" t="s">
        <v>30</v>
      </c>
      <c r="T2990" s="18" t="s">
        <v>5422</v>
      </c>
      <c r="U2990" s="18"/>
      <c r="V2990" s="18"/>
      <c r="W2990" s="18" t="s">
        <v>5423</v>
      </c>
      <c r="X2990" s="18" t="s">
        <v>42</v>
      </c>
      <c r="Y2990" s="18" t="s">
        <v>36</v>
      </c>
      <c r="Z2990" s="18" t="s">
        <v>697</v>
      </c>
      <c r="AA2990" s="21" t="str">
        <f>HYPERLINK("https://www.ncbi.nlm.nih.gov/nuccore/MT254578","NCBI Nucleotide")</f>
        <v>NCBI Nucleotide</v>
      </c>
    </row>
    <row r="2991" spans="1:27" x14ac:dyDescent="0.35">
      <c r="A2991">
        <v>1003951</v>
      </c>
      <c r="B2991">
        <v>2967</v>
      </c>
      <c r="C2991">
        <v>1</v>
      </c>
      <c r="D2991" s="17" t="s">
        <v>155</v>
      </c>
      <c r="E2991" s="17"/>
      <c r="F2991" s="17" t="s">
        <v>156</v>
      </c>
      <c r="G2991" s="17"/>
      <c r="H2991" s="17" t="s">
        <v>692</v>
      </c>
      <c r="I2991" s="17"/>
      <c r="J2991" s="17" t="s">
        <v>693</v>
      </c>
      <c r="K2991" s="17"/>
      <c r="L2991" s="17"/>
      <c r="M2991" s="17"/>
      <c r="N2991" s="17"/>
      <c r="O2991" s="17" t="s">
        <v>5410</v>
      </c>
      <c r="P2991" s="17" t="s">
        <v>5419</v>
      </c>
      <c r="Q2991" s="17"/>
      <c r="R2991" s="25" t="str">
        <f>HYPERLINK("https://ictv.global/taxonomy/taxondetails?taxnode_id=202314483","Tsamsavirus mrdarsey")</f>
        <v>Tsamsavirus mrdarsey</v>
      </c>
      <c r="S2991" s="18" t="s">
        <v>30</v>
      </c>
      <c r="T2991" s="18" t="s">
        <v>5424</v>
      </c>
      <c r="U2991" s="18"/>
      <c r="V2991" s="18"/>
      <c r="W2991" s="18" t="s">
        <v>5425</v>
      </c>
      <c r="X2991" s="18" t="s">
        <v>42</v>
      </c>
      <c r="Y2991" s="18" t="s">
        <v>36</v>
      </c>
      <c r="Z2991" s="18" t="s">
        <v>697</v>
      </c>
      <c r="AA2991" s="21" t="str">
        <f>HYPERLINK("https://www.ncbi.nlm.nih.gov/nuccore/OK499987","NCBI Nucleotide")</f>
        <v>NCBI Nucleotide</v>
      </c>
    </row>
    <row r="2992" spans="1:27" x14ac:dyDescent="0.35">
      <c r="A2992">
        <v>1003952</v>
      </c>
      <c r="B2992">
        <v>2968</v>
      </c>
      <c r="C2992">
        <v>1</v>
      </c>
      <c r="D2992" s="17" t="s">
        <v>155</v>
      </c>
      <c r="E2992" s="17"/>
      <c r="F2992" s="17" t="s">
        <v>156</v>
      </c>
      <c r="G2992" s="17"/>
      <c r="H2992" s="17" t="s">
        <v>692</v>
      </c>
      <c r="I2992" s="17"/>
      <c r="J2992" s="17" t="s">
        <v>693</v>
      </c>
      <c r="K2992" s="17"/>
      <c r="L2992" s="17"/>
      <c r="M2992" s="17"/>
      <c r="N2992" s="17"/>
      <c r="O2992" s="17" t="s">
        <v>5410</v>
      </c>
      <c r="P2992" s="17" t="s">
        <v>5419</v>
      </c>
      <c r="Q2992" s="17"/>
      <c r="R2992" s="25" t="str">
        <f>HYPERLINK("https://ictv.global/taxonomy/taxondetails?taxnode_id=202314482","Tsamsavirus skywalker")</f>
        <v>Tsamsavirus skywalker</v>
      </c>
      <c r="S2992" s="18" t="s">
        <v>30</v>
      </c>
      <c r="T2992" s="18" t="s">
        <v>5426</v>
      </c>
      <c r="U2992" s="18"/>
      <c r="V2992" s="18"/>
      <c r="W2992" s="18" t="s">
        <v>5427</v>
      </c>
      <c r="X2992" s="18" t="s">
        <v>42</v>
      </c>
      <c r="Y2992" s="18" t="s">
        <v>36</v>
      </c>
      <c r="Z2992" s="18" t="s">
        <v>697</v>
      </c>
      <c r="AA2992" s="21" t="str">
        <f>HYPERLINK("https://www.ncbi.nlm.nih.gov/nuccore/OK499994","NCBI Nucleotide")</f>
        <v>NCBI Nucleotide</v>
      </c>
    </row>
    <row r="2993" spans="1:27" x14ac:dyDescent="0.35">
      <c r="A2993">
        <v>1003953</v>
      </c>
      <c r="B2993">
        <v>2969</v>
      </c>
      <c r="C2993">
        <v>1</v>
      </c>
      <c r="D2993" s="17" t="s">
        <v>155</v>
      </c>
      <c r="E2993" s="17"/>
      <c r="F2993" s="17" t="s">
        <v>156</v>
      </c>
      <c r="G2993" s="17"/>
      <c r="H2993" s="17" t="s">
        <v>692</v>
      </c>
      <c r="I2993" s="17"/>
      <c r="J2993" s="17" t="s">
        <v>693</v>
      </c>
      <c r="K2993" s="17"/>
      <c r="L2993" s="17"/>
      <c r="M2993" s="17"/>
      <c r="N2993" s="17"/>
      <c r="O2993" s="17" t="s">
        <v>5410</v>
      </c>
      <c r="P2993" s="17" t="s">
        <v>5419</v>
      </c>
      <c r="Q2993" s="17"/>
      <c r="R2993" s="25" t="str">
        <f>HYPERLINK("https://ictv.global/taxonomy/taxondetails?taxnode_id=202314480","Tsamsavirus tsamsa")</f>
        <v>Tsamsavirus tsamsa</v>
      </c>
      <c r="S2993" s="18" t="s">
        <v>30</v>
      </c>
      <c r="T2993" s="18" t="s">
        <v>5428</v>
      </c>
      <c r="U2993" s="18"/>
      <c r="V2993" s="18"/>
      <c r="W2993" s="18" t="s">
        <v>5429</v>
      </c>
      <c r="X2993" s="18" t="s">
        <v>42</v>
      </c>
      <c r="Y2993" s="18" t="s">
        <v>36</v>
      </c>
      <c r="Z2993" s="18" t="s">
        <v>697</v>
      </c>
      <c r="AA2993" s="21" t="str">
        <f>HYPERLINK("https://www.ncbi.nlm.nih.gov/nuccore/KC481682","NCBI Nucleotide")</f>
        <v>NCBI Nucleotide</v>
      </c>
    </row>
    <row r="2994" spans="1:27" x14ac:dyDescent="0.35">
      <c r="A2994">
        <v>1024548</v>
      </c>
      <c r="B2994">
        <v>2970</v>
      </c>
      <c r="C2994">
        <v>1</v>
      </c>
      <c r="D2994" s="17" t="s">
        <v>155</v>
      </c>
      <c r="E2994" s="17"/>
      <c r="F2994" s="17" t="s">
        <v>156</v>
      </c>
      <c r="G2994" s="17"/>
      <c r="H2994" s="17" t="s">
        <v>692</v>
      </c>
      <c r="I2994" s="17"/>
      <c r="J2994" s="17" t="s">
        <v>693</v>
      </c>
      <c r="K2994" s="17"/>
      <c r="L2994" s="17"/>
      <c r="M2994" s="17"/>
      <c r="N2994" s="17"/>
      <c r="O2994" s="17" t="s">
        <v>39669</v>
      </c>
      <c r="P2994" s="17" t="s">
        <v>39670</v>
      </c>
      <c r="Q2994" s="17"/>
      <c r="R2994" s="25" t="str">
        <f>HYPERLINK("https://ictv.global/taxonomy/taxondetails?taxnode_id=202319158","Eidolonvirus eidolon")</f>
        <v>Eidolonvirus eidolon</v>
      </c>
      <c r="S2994" s="18" t="s">
        <v>30</v>
      </c>
      <c r="T2994" s="18" t="s">
        <v>39671</v>
      </c>
      <c r="U2994" s="18"/>
      <c r="V2994" s="18"/>
      <c r="W2994" s="18" t="s">
        <v>48352</v>
      </c>
      <c r="X2994" s="18" t="s">
        <v>42</v>
      </c>
      <c r="Y2994" s="18" t="s">
        <v>36</v>
      </c>
      <c r="Z2994" s="18" t="s">
        <v>697</v>
      </c>
      <c r="AA2994" s="21" t="str">
        <f>HYPERLINK("https://www.ncbi.nlm.nih.gov/nuccore/MN734437","NCBI Nucleotide")</f>
        <v>NCBI Nucleotide</v>
      </c>
    </row>
    <row r="2995" spans="1:27" x14ac:dyDescent="0.35">
      <c r="A2995">
        <v>1024990</v>
      </c>
      <c r="B2995">
        <v>2971</v>
      </c>
      <c r="C2995">
        <v>1</v>
      </c>
      <c r="D2995" s="17" t="s">
        <v>155</v>
      </c>
      <c r="E2995" s="17"/>
      <c r="F2995" s="17" t="s">
        <v>156</v>
      </c>
      <c r="G2995" s="17"/>
      <c r="H2995" s="17" t="s">
        <v>692</v>
      </c>
      <c r="I2995" s="17"/>
      <c r="J2995" s="17" t="s">
        <v>693</v>
      </c>
      <c r="K2995" s="17"/>
      <c r="L2995" s="17"/>
      <c r="M2995" s="17"/>
      <c r="N2995" s="17"/>
      <c r="O2995" s="17" t="s">
        <v>39669</v>
      </c>
      <c r="P2995" s="17" t="s">
        <v>39672</v>
      </c>
      <c r="Q2995" s="17"/>
      <c r="R2995" s="25" t="str">
        <f>HYPERLINK("https://ictv.global/taxonomy/taxondetails?taxnode_id=202319159","Kharnvirus kharn")</f>
        <v>Kharnvirus kharn</v>
      </c>
      <c r="S2995" s="18" t="s">
        <v>30</v>
      </c>
      <c r="T2995" s="18" t="s">
        <v>39673</v>
      </c>
      <c r="U2995" s="18"/>
      <c r="V2995" s="18"/>
      <c r="W2995" s="18" t="s">
        <v>48353</v>
      </c>
      <c r="X2995" s="18" t="s">
        <v>42</v>
      </c>
      <c r="Y2995" s="18" t="s">
        <v>36</v>
      </c>
      <c r="Z2995" s="18" t="s">
        <v>697</v>
      </c>
      <c r="AA2995" s="21" t="str">
        <f>HYPERLINK("https://www.ncbi.nlm.nih.gov/nuccore/MN734439","NCBI Nucleotide")</f>
        <v>NCBI Nucleotide</v>
      </c>
    </row>
    <row r="2996" spans="1:27" x14ac:dyDescent="0.35">
      <c r="A2996">
        <v>1024991</v>
      </c>
      <c r="B2996">
        <v>2972</v>
      </c>
      <c r="C2996">
        <v>1</v>
      </c>
      <c r="D2996" s="17" t="s">
        <v>155</v>
      </c>
      <c r="E2996" s="17"/>
      <c r="F2996" s="17" t="s">
        <v>156</v>
      </c>
      <c r="G2996" s="17"/>
      <c r="H2996" s="17" t="s">
        <v>692</v>
      </c>
      <c r="I2996" s="17"/>
      <c r="J2996" s="17" t="s">
        <v>693</v>
      </c>
      <c r="K2996" s="17"/>
      <c r="L2996" s="17"/>
      <c r="M2996" s="17"/>
      <c r="N2996" s="17"/>
      <c r="O2996" s="17" t="s">
        <v>39669</v>
      </c>
      <c r="P2996" s="17" t="s">
        <v>39672</v>
      </c>
      <c r="Q2996" s="17"/>
      <c r="R2996" s="25" t="str">
        <f>HYPERLINK("https://ictv.global/taxonomy/taxondetails?taxnode_id=202319160","Kharnvirus lucius")</f>
        <v>Kharnvirus lucius</v>
      </c>
      <c r="S2996" s="18" t="s">
        <v>30</v>
      </c>
      <c r="T2996" s="18" t="s">
        <v>39674</v>
      </c>
      <c r="U2996" s="18"/>
      <c r="V2996" s="18"/>
      <c r="W2996" s="18" t="s">
        <v>48354</v>
      </c>
      <c r="X2996" s="18" t="s">
        <v>42</v>
      </c>
      <c r="Y2996" s="18" t="s">
        <v>36</v>
      </c>
      <c r="Z2996" s="18" t="s">
        <v>697</v>
      </c>
      <c r="AA2996" s="21" t="str">
        <f>HYPERLINK("https://www.ncbi.nlm.nih.gov/nuccore/MN734438","NCBI Nucleotide")</f>
        <v>NCBI Nucleotide</v>
      </c>
    </row>
    <row r="2997" spans="1:27" x14ac:dyDescent="0.35">
      <c r="A2997">
        <v>1005722</v>
      </c>
      <c r="B2997">
        <v>2973</v>
      </c>
      <c r="C2997">
        <v>1</v>
      </c>
      <c r="D2997" s="17" t="s">
        <v>155</v>
      </c>
      <c r="E2997" s="17"/>
      <c r="F2997" s="17" t="s">
        <v>156</v>
      </c>
      <c r="G2997" s="17"/>
      <c r="H2997" s="17" t="s">
        <v>692</v>
      </c>
      <c r="I2997" s="17"/>
      <c r="J2997" s="17" t="s">
        <v>693</v>
      </c>
      <c r="K2997" s="17"/>
      <c r="L2997" s="17"/>
      <c r="M2997" s="17"/>
      <c r="N2997" s="17"/>
      <c r="O2997" s="17" t="s">
        <v>39675</v>
      </c>
      <c r="P2997" s="17" t="s">
        <v>2178</v>
      </c>
      <c r="Q2997" s="17"/>
      <c r="R2997" s="25" t="str">
        <f>HYPERLINK("https://ictv.global/taxonomy/taxondetails?taxnode_id=202301256","Kilunavirus KL1")</f>
        <v>Kilunavirus KL1</v>
      </c>
      <c r="S2997" s="18" t="s">
        <v>30</v>
      </c>
      <c r="T2997" s="18" t="s">
        <v>2179</v>
      </c>
      <c r="U2997" s="18"/>
      <c r="V2997" s="18"/>
      <c r="W2997" s="18" t="s">
        <v>2180</v>
      </c>
      <c r="X2997" s="18" t="s">
        <v>42</v>
      </c>
      <c r="Y2997" s="18" t="s">
        <v>36</v>
      </c>
      <c r="Z2997" s="18" t="s">
        <v>697</v>
      </c>
      <c r="AA2997" s="21" t="str">
        <f>HYPERLINK("https://www.ncbi.nlm.nih.gov/nuccore/JF939047","NCBI Nucleotide")</f>
        <v>NCBI Nucleotide</v>
      </c>
    </row>
    <row r="2998" spans="1:27" x14ac:dyDescent="0.35">
      <c r="A2998">
        <v>1025138</v>
      </c>
      <c r="B2998">
        <v>2974</v>
      </c>
      <c r="C2998">
        <v>1</v>
      </c>
      <c r="D2998" s="17" t="s">
        <v>155</v>
      </c>
      <c r="E2998" s="17"/>
      <c r="F2998" s="17" t="s">
        <v>156</v>
      </c>
      <c r="G2998" s="17"/>
      <c r="H2998" s="17" t="s">
        <v>692</v>
      </c>
      <c r="I2998" s="17"/>
      <c r="J2998" s="17" t="s">
        <v>693</v>
      </c>
      <c r="K2998" s="17"/>
      <c r="L2998" s="17"/>
      <c r="M2998" s="17"/>
      <c r="N2998" s="17"/>
      <c r="O2998" s="17" t="s">
        <v>39675</v>
      </c>
      <c r="P2998" s="17" t="s">
        <v>39676</v>
      </c>
      <c r="Q2998" s="17"/>
      <c r="R2998" s="25" t="str">
        <f>HYPERLINK("https://ictv.global/taxonomy/taxondetails?taxnode_id=202319179","Kipunavirus KP1")</f>
        <v>Kipunavirus KP1</v>
      </c>
      <c r="S2998" s="18" t="s">
        <v>30</v>
      </c>
      <c r="T2998" s="18" t="s">
        <v>39677</v>
      </c>
      <c r="U2998" s="18"/>
      <c r="V2998" s="18"/>
      <c r="W2998" s="18" t="s">
        <v>48355</v>
      </c>
      <c r="X2998" s="18" t="s">
        <v>42</v>
      </c>
      <c r="Y2998" s="18" t="s">
        <v>36</v>
      </c>
      <c r="Z2998" s="18" t="s">
        <v>697</v>
      </c>
      <c r="AA2998" s="21" t="str">
        <f>HYPERLINK("https://www.ncbi.nlm.nih.gov/nuccore/MK574078","NCBI Nucleotide")</f>
        <v>NCBI Nucleotide</v>
      </c>
    </row>
    <row r="2999" spans="1:27" x14ac:dyDescent="0.35">
      <c r="A2999">
        <v>1006437</v>
      </c>
      <c r="B2999">
        <v>2975</v>
      </c>
      <c r="C2999">
        <v>1</v>
      </c>
      <c r="D2999" s="17" t="s">
        <v>155</v>
      </c>
      <c r="E2999" s="17"/>
      <c r="F2999" s="17" t="s">
        <v>156</v>
      </c>
      <c r="G2999" s="17"/>
      <c r="H2999" s="17" t="s">
        <v>692</v>
      </c>
      <c r="I2999" s="17"/>
      <c r="J2999" s="17" t="s">
        <v>693</v>
      </c>
      <c r="K2999" s="17"/>
      <c r="L2999" s="17"/>
      <c r="M2999" s="17"/>
      <c r="N2999" s="17"/>
      <c r="O2999" s="17" t="s">
        <v>39675</v>
      </c>
      <c r="P2999" s="17" t="s">
        <v>3583</v>
      </c>
      <c r="Q2999" s="17"/>
      <c r="R2999" s="25" t="str">
        <f>HYPERLINK("https://ictv.global/taxonomy/taxondetails?taxnode_id=202301258","Septimatrevirus Ab26")</f>
        <v>Septimatrevirus Ab26</v>
      </c>
      <c r="S2999" s="18" t="s">
        <v>30</v>
      </c>
      <c r="T2999" s="18" t="s">
        <v>3584</v>
      </c>
      <c r="U2999" s="18"/>
      <c r="V2999" s="18"/>
      <c r="W2999" s="18" t="s">
        <v>3585</v>
      </c>
      <c r="X2999" s="18" t="s">
        <v>42</v>
      </c>
      <c r="Y2999" s="18" t="s">
        <v>36</v>
      </c>
      <c r="Z2999" s="18" t="s">
        <v>697</v>
      </c>
      <c r="AA2999" s="21" t="str">
        <f>HYPERLINK("https://www.ncbi.nlm.nih.gov/nuccore/HG962376","NCBI Nucleotide")</f>
        <v>NCBI Nucleotide</v>
      </c>
    </row>
    <row r="3000" spans="1:27" x14ac:dyDescent="0.35">
      <c r="A3000">
        <v>1024826</v>
      </c>
      <c r="B3000">
        <v>2976</v>
      </c>
      <c r="C3000">
        <v>1</v>
      </c>
      <c r="D3000" s="17" t="s">
        <v>155</v>
      </c>
      <c r="E3000" s="17"/>
      <c r="F3000" s="17" t="s">
        <v>156</v>
      </c>
      <c r="G3000" s="17"/>
      <c r="H3000" s="17" t="s">
        <v>692</v>
      </c>
      <c r="I3000" s="17"/>
      <c r="J3000" s="17" t="s">
        <v>693</v>
      </c>
      <c r="K3000" s="17"/>
      <c r="L3000" s="17"/>
      <c r="M3000" s="17"/>
      <c r="N3000" s="17"/>
      <c r="O3000" s="17" t="s">
        <v>39675</v>
      </c>
      <c r="P3000" s="17" t="s">
        <v>3583</v>
      </c>
      <c r="Q3000" s="17"/>
      <c r="R3000" s="25" t="str">
        <f>HYPERLINK("https://ictv.global/taxonomy/taxondetails?taxnode_id=202319173","Septimatrevirus C1")</f>
        <v>Septimatrevirus C1</v>
      </c>
      <c r="S3000" s="18" t="s">
        <v>30</v>
      </c>
      <c r="T3000" s="18" t="s">
        <v>39678</v>
      </c>
      <c r="U3000" s="18"/>
      <c r="V3000" s="18"/>
      <c r="W3000" s="18" t="s">
        <v>48356</v>
      </c>
      <c r="X3000" s="18" t="s">
        <v>42</v>
      </c>
      <c r="Y3000" s="18" t="s">
        <v>36</v>
      </c>
      <c r="Z3000" s="18" t="s">
        <v>697</v>
      </c>
      <c r="AA3000" s="21" t="str">
        <f>HYPERLINK("https://www.ncbi.nlm.nih.gov/nuccore/MG897800","NCBI Nucleotide")</f>
        <v>NCBI Nucleotide</v>
      </c>
    </row>
    <row r="3001" spans="1:27" x14ac:dyDescent="0.35">
      <c r="A3001">
        <v>1024827</v>
      </c>
      <c r="B3001">
        <v>2977</v>
      </c>
      <c r="C3001">
        <v>1</v>
      </c>
      <c r="D3001" s="17" t="s">
        <v>155</v>
      </c>
      <c r="E3001" s="17"/>
      <c r="F3001" s="17" t="s">
        <v>156</v>
      </c>
      <c r="G3001" s="17"/>
      <c r="H3001" s="17" t="s">
        <v>692</v>
      </c>
      <c r="I3001" s="17"/>
      <c r="J3001" s="17" t="s">
        <v>693</v>
      </c>
      <c r="K3001" s="17"/>
      <c r="L3001" s="17"/>
      <c r="M3001" s="17"/>
      <c r="N3001" s="17"/>
      <c r="O3001" s="17" t="s">
        <v>39675</v>
      </c>
      <c r="P3001" s="17" t="s">
        <v>3583</v>
      </c>
      <c r="Q3001" s="17"/>
      <c r="R3001" s="25" t="str">
        <f>HYPERLINK("https://ictv.global/taxonomy/taxondetails?taxnode_id=202319171","Septimatrevirus DLP1")</f>
        <v>Septimatrevirus DLP1</v>
      </c>
      <c r="S3001" s="18" t="s">
        <v>30</v>
      </c>
      <c r="T3001" s="18" t="s">
        <v>39679</v>
      </c>
      <c r="U3001" s="18"/>
      <c r="V3001" s="18"/>
      <c r="W3001" s="18" t="s">
        <v>48357</v>
      </c>
      <c r="X3001" s="18" t="s">
        <v>42</v>
      </c>
      <c r="Y3001" s="18" t="s">
        <v>36</v>
      </c>
      <c r="Z3001" s="18" t="s">
        <v>697</v>
      </c>
      <c r="AA3001" s="21" t="str">
        <f>HYPERLINK("https://www.ncbi.nlm.nih.gov/nuccore/KR537872","NCBI Nucleotide")</f>
        <v>NCBI Nucleotide</v>
      </c>
    </row>
    <row r="3002" spans="1:27" x14ac:dyDescent="0.35">
      <c r="A3002">
        <v>1024828</v>
      </c>
      <c r="B3002">
        <v>2978</v>
      </c>
      <c r="C3002">
        <v>1</v>
      </c>
      <c r="D3002" s="17" t="s">
        <v>155</v>
      </c>
      <c r="E3002" s="17"/>
      <c r="F3002" s="17" t="s">
        <v>156</v>
      </c>
      <c r="G3002" s="17"/>
      <c r="H3002" s="17" t="s">
        <v>692</v>
      </c>
      <c r="I3002" s="17"/>
      <c r="J3002" s="17" t="s">
        <v>693</v>
      </c>
      <c r="K3002" s="17"/>
      <c r="L3002" s="17"/>
      <c r="M3002" s="17"/>
      <c r="N3002" s="17"/>
      <c r="O3002" s="17" t="s">
        <v>39675</v>
      </c>
      <c r="P3002" s="17" t="s">
        <v>3583</v>
      </c>
      <c r="Q3002" s="17"/>
      <c r="R3002" s="25" t="str">
        <f>HYPERLINK("https://ictv.global/taxonomy/taxondetails?taxnode_id=202319172","Septimatrevirus DLP2")</f>
        <v>Septimatrevirus DLP2</v>
      </c>
      <c r="S3002" s="18" t="s">
        <v>30</v>
      </c>
      <c r="T3002" s="18" t="s">
        <v>39680</v>
      </c>
      <c r="U3002" s="18"/>
      <c r="V3002" s="18"/>
      <c r="W3002" s="18" t="s">
        <v>39681</v>
      </c>
      <c r="X3002" s="18" t="s">
        <v>42</v>
      </c>
      <c r="Y3002" s="18" t="s">
        <v>36</v>
      </c>
      <c r="Z3002" s="18" t="s">
        <v>697</v>
      </c>
      <c r="AA3002" s="21" t="str">
        <f>HYPERLINK("https://www.ncbi.nlm.nih.gov/nuccore/KR537871","NCBI Nucleotide")</f>
        <v>NCBI Nucleotide</v>
      </c>
    </row>
    <row r="3003" spans="1:27" x14ac:dyDescent="0.35">
      <c r="A3003">
        <v>1024829</v>
      </c>
      <c r="B3003">
        <v>2979</v>
      </c>
      <c r="C3003">
        <v>1</v>
      </c>
      <c r="D3003" s="17" t="s">
        <v>155</v>
      </c>
      <c r="E3003" s="17"/>
      <c r="F3003" s="17" t="s">
        <v>156</v>
      </c>
      <c r="G3003" s="17"/>
      <c r="H3003" s="17" t="s">
        <v>692</v>
      </c>
      <c r="I3003" s="17"/>
      <c r="J3003" s="17" t="s">
        <v>693</v>
      </c>
      <c r="K3003" s="17"/>
      <c r="L3003" s="17"/>
      <c r="M3003" s="17"/>
      <c r="N3003" s="17"/>
      <c r="O3003" s="17" t="s">
        <v>39675</v>
      </c>
      <c r="P3003" s="17" t="s">
        <v>3583</v>
      </c>
      <c r="Q3003" s="17"/>
      <c r="R3003" s="25" t="str">
        <f>HYPERLINK("https://ictv.global/taxonomy/taxondetails?taxnode_id=202319165","Septimatrevirus DoCa1")</f>
        <v>Septimatrevirus DoCa1</v>
      </c>
      <c r="S3003" s="18" t="s">
        <v>30</v>
      </c>
      <c r="T3003" s="18" t="s">
        <v>39682</v>
      </c>
      <c r="U3003" s="18"/>
      <c r="V3003" s="18"/>
      <c r="W3003" s="18" t="s">
        <v>48358</v>
      </c>
      <c r="X3003" s="18" t="s">
        <v>42</v>
      </c>
      <c r="Y3003" s="18" t="s">
        <v>36</v>
      </c>
      <c r="Z3003" s="18" t="s">
        <v>697</v>
      </c>
      <c r="AA3003" s="21" t="str">
        <f>HYPERLINK("https://www.ncbi.nlm.nih.gov/nuccore/ON911538","NCBI Nucleotide")</f>
        <v>NCBI Nucleotide</v>
      </c>
    </row>
    <row r="3004" spans="1:27" x14ac:dyDescent="0.35">
      <c r="A3004">
        <v>1024830</v>
      </c>
      <c r="B3004">
        <v>2980</v>
      </c>
      <c r="C3004">
        <v>1</v>
      </c>
      <c r="D3004" s="17" t="s">
        <v>155</v>
      </c>
      <c r="E3004" s="17"/>
      <c r="F3004" s="17" t="s">
        <v>156</v>
      </c>
      <c r="G3004" s="17"/>
      <c r="H3004" s="17" t="s">
        <v>692</v>
      </c>
      <c r="I3004" s="17"/>
      <c r="J3004" s="17" t="s">
        <v>693</v>
      </c>
      <c r="K3004" s="17"/>
      <c r="L3004" s="17"/>
      <c r="M3004" s="17"/>
      <c r="N3004" s="17"/>
      <c r="O3004" s="17" t="s">
        <v>39675</v>
      </c>
      <c r="P3004" s="17" t="s">
        <v>3583</v>
      </c>
      <c r="Q3004" s="17"/>
      <c r="R3004" s="25" t="str">
        <f>HYPERLINK("https://ictv.global/taxonomy/taxondetails?taxnode_id=202319168","Septimatrevirus epa40")</f>
        <v>Septimatrevirus epa40</v>
      </c>
      <c r="S3004" s="18" t="s">
        <v>30</v>
      </c>
      <c r="T3004" s="18" t="s">
        <v>39683</v>
      </c>
      <c r="U3004" s="18"/>
      <c r="V3004" s="18"/>
      <c r="W3004" s="18" t="s">
        <v>48359</v>
      </c>
      <c r="X3004" s="18" t="s">
        <v>42</v>
      </c>
      <c r="Y3004" s="18" t="s">
        <v>36</v>
      </c>
      <c r="Z3004" s="18" t="s">
        <v>697</v>
      </c>
      <c r="AA3004" s="21" t="str">
        <f>HYPERLINK("https://www.ncbi.nlm.nih.gov/nuccore/MT118304","NCBI Nucleotide")</f>
        <v>NCBI Nucleotide</v>
      </c>
    </row>
    <row r="3005" spans="1:27" x14ac:dyDescent="0.35">
      <c r="A3005">
        <v>1024831</v>
      </c>
      <c r="B3005">
        <v>2981</v>
      </c>
      <c r="C3005">
        <v>1</v>
      </c>
      <c r="D3005" s="17" t="s">
        <v>155</v>
      </c>
      <c r="E3005" s="17"/>
      <c r="F3005" s="17" t="s">
        <v>156</v>
      </c>
      <c r="G3005" s="17"/>
      <c r="H3005" s="17" t="s">
        <v>692</v>
      </c>
      <c r="I3005" s="17"/>
      <c r="J3005" s="17" t="s">
        <v>693</v>
      </c>
      <c r="K3005" s="17"/>
      <c r="L3005" s="17"/>
      <c r="M3005" s="17"/>
      <c r="N3005" s="17"/>
      <c r="O3005" s="17" t="s">
        <v>39675</v>
      </c>
      <c r="P3005" s="17" t="s">
        <v>3583</v>
      </c>
      <c r="Q3005" s="17"/>
      <c r="R3005" s="25" t="str">
        <f>HYPERLINK("https://ictv.global/taxonomy/taxondetails?taxnode_id=202319163","Septimatrevirus guyu")</f>
        <v>Septimatrevirus guyu</v>
      </c>
      <c r="S3005" s="18" t="s">
        <v>30</v>
      </c>
      <c r="T3005" s="18" t="s">
        <v>39684</v>
      </c>
      <c r="U3005" s="18"/>
      <c r="V3005" s="18"/>
      <c r="W3005" s="18" t="s">
        <v>48360</v>
      </c>
      <c r="X3005" s="18" t="s">
        <v>42</v>
      </c>
      <c r="Y3005" s="18" t="s">
        <v>36</v>
      </c>
      <c r="Z3005" s="18" t="s">
        <v>697</v>
      </c>
      <c r="AA3005" s="21" t="str">
        <f>HYPERLINK("https://www.ncbi.nlm.nih.gov/nuccore/MZ927746","NCBI Nucleotide")</f>
        <v>NCBI Nucleotide</v>
      </c>
    </row>
    <row r="3006" spans="1:27" x14ac:dyDescent="0.35">
      <c r="A3006">
        <v>1006438</v>
      </c>
      <c r="B3006">
        <v>2982</v>
      </c>
      <c r="C3006">
        <v>1</v>
      </c>
      <c r="D3006" s="17" t="s">
        <v>155</v>
      </c>
      <c r="E3006" s="17"/>
      <c r="F3006" s="17" t="s">
        <v>156</v>
      </c>
      <c r="G3006" s="17"/>
      <c r="H3006" s="17" t="s">
        <v>692</v>
      </c>
      <c r="I3006" s="17"/>
      <c r="J3006" s="17" t="s">
        <v>693</v>
      </c>
      <c r="K3006" s="17"/>
      <c r="L3006" s="17"/>
      <c r="M3006" s="17"/>
      <c r="N3006" s="17"/>
      <c r="O3006" s="17" t="s">
        <v>39675</v>
      </c>
      <c r="P3006" s="17" t="s">
        <v>3583</v>
      </c>
      <c r="Q3006" s="17"/>
      <c r="R3006" s="25" t="str">
        <f>HYPERLINK("https://ictv.global/taxonomy/taxondetails?taxnode_id=202301259","Septimatrevirus kakheti25")</f>
        <v>Septimatrevirus kakheti25</v>
      </c>
      <c r="S3006" s="18" t="s">
        <v>30</v>
      </c>
      <c r="T3006" s="18" t="s">
        <v>3586</v>
      </c>
      <c r="U3006" s="18"/>
      <c r="V3006" s="18"/>
      <c r="W3006" s="18" t="s">
        <v>3587</v>
      </c>
      <c r="X3006" s="18" t="s">
        <v>42</v>
      </c>
      <c r="Y3006" s="18" t="s">
        <v>36</v>
      </c>
      <c r="Z3006" s="18" t="s">
        <v>697</v>
      </c>
      <c r="AA3006" s="21" t="str">
        <f>HYPERLINK("https://www.ncbi.nlm.nih.gov/nuccore/JQ307387","NCBI Nucleotide")</f>
        <v>NCBI Nucleotide</v>
      </c>
    </row>
    <row r="3007" spans="1:27" x14ac:dyDescent="0.35">
      <c r="A3007">
        <v>1024832</v>
      </c>
      <c r="B3007">
        <v>2983</v>
      </c>
      <c r="C3007">
        <v>1</v>
      </c>
      <c r="D3007" s="17" t="s">
        <v>155</v>
      </c>
      <c r="E3007" s="17"/>
      <c r="F3007" s="17" t="s">
        <v>156</v>
      </c>
      <c r="G3007" s="17"/>
      <c r="H3007" s="17" t="s">
        <v>692</v>
      </c>
      <c r="I3007" s="17"/>
      <c r="J3007" s="17" t="s">
        <v>693</v>
      </c>
      <c r="K3007" s="17"/>
      <c r="L3007" s="17"/>
      <c r="M3007" s="17"/>
      <c r="N3007" s="17"/>
      <c r="O3007" s="17" t="s">
        <v>39675</v>
      </c>
      <c r="P3007" s="17" t="s">
        <v>3583</v>
      </c>
      <c r="Q3007" s="17"/>
      <c r="R3007" s="25" t="str">
        <f>HYPERLINK("https://ictv.global/taxonomy/taxondetails?taxnode_id=202319161","Septimatrevirus kaya")</f>
        <v>Septimatrevirus kaya</v>
      </c>
      <c r="S3007" s="18" t="s">
        <v>30</v>
      </c>
      <c r="T3007" s="18" t="s">
        <v>39685</v>
      </c>
      <c r="U3007" s="18"/>
      <c r="V3007" s="18"/>
      <c r="W3007" s="18" t="s">
        <v>48361</v>
      </c>
      <c r="X3007" s="18" t="s">
        <v>42</v>
      </c>
      <c r="Y3007" s="18" t="s">
        <v>36</v>
      </c>
      <c r="Z3007" s="18" t="s">
        <v>697</v>
      </c>
      <c r="AA3007" s="21" t="str">
        <f>HYPERLINK("https://www.ncbi.nlm.nih.gov/nuccore/MZ927745","NCBI Nucleotide")</f>
        <v>NCBI Nucleotide</v>
      </c>
    </row>
    <row r="3008" spans="1:27" x14ac:dyDescent="0.35">
      <c r="A3008">
        <v>1024833</v>
      </c>
      <c r="B3008">
        <v>2984</v>
      </c>
      <c r="C3008">
        <v>1</v>
      </c>
      <c r="D3008" s="17" t="s">
        <v>155</v>
      </c>
      <c r="E3008" s="17"/>
      <c r="F3008" s="17" t="s">
        <v>156</v>
      </c>
      <c r="G3008" s="17"/>
      <c r="H3008" s="17" t="s">
        <v>692</v>
      </c>
      <c r="I3008" s="17"/>
      <c r="J3008" s="17" t="s">
        <v>693</v>
      </c>
      <c r="K3008" s="17"/>
      <c r="L3008" s="17"/>
      <c r="M3008" s="17"/>
      <c r="N3008" s="17"/>
      <c r="O3008" s="17" t="s">
        <v>39675</v>
      </c>
      <c r="P3008" s="17" t="s">
        <v>3583</v>
      </c>
      <c r="Q3008" s="17"/>
      <c r="R3008" s="25" t="str">
        <f>HYPERLINK("https://ictv.global/taxonomy/taxondetails?taxnode_id=202319167","Septimatrevirus kopi")</f>
        <v>Septimatrevirus kopi</v>
      </c>
      <c r="S3008" s="18" t="s">
        <v>30</v>
      </c>
      <c r="T3008" s="18" t="s">
        <v>39686</v>
      </c>
      <c r="U3008" s="18"/>
      <c r="V3008" s="18"/>
      <c r="W3008" s="18" t="s">
        <v>48362</v>
      </c>
      <c r="X3008" s="18" t="s">
        <v>42</v>
      </c>
      <c r="Y3008" s="18" t="s">
        <v>36</v>
      </c>
      <c r="Z3008" s="18" t="s">
        <v>697</v>
      </c>
      <c r="AA3008" s="21" t="str">
        <f>HYPERLINK("https://www.ncbi.nlm.nih.gov/nuccore/OK330455","NCBI Nucleotide")</f>
        <v>NCBI Nucleotide</v>
      </c>
    </row>
    <row r="3009" spans="1:27" x14ac:dyDescent="0.35">
      <c r="A3009">
        <v>1024834</v>
      </c>
      <c r="B3009">
        <v>2985</v>
      </c>
      <c r="C3009">
        <v>1</v>
      </c>
      <c r="D3009" s="17" t="s">
        <v>155</v>
      </c>
      <c r="E3009" s="17"/>
      <c r="F3009" s="17" t="s">
        <v>156</v>
      </c>
      <c r="G3009" s="17"/>
      <c r="H3009" s="17" t="s">
        <v>692</v>
      </c>
      <c r="I3009" s="17"/>
      <c r="J3009" s="17" t="s">
        <v>693</v>
      </c>
      <c r="K3009" s="17"/>
      <c r="L3009" s="17"/>
      <c r="M3009" s="17"/>
      <c r="N3009" s="17"/>
      <c r="O3009" s="17" t="s">
        <v>39675</v>
      </c>
      <c r="P3009" s="17" t="s">
        <v>3583</v>
      </c>
      <c r="Q3009" s="17"/>
      <c r="R3009" s="25" t="str">
        <f>HYPERLINK("https://ictv.global/taxonomy/taxondetails?taxnode_id=202319177","Septimatrevirus PSV31")</f>
        <v>Septimatrevirus PSV31</v>
      </c>
      <c r="S3009" s="18" t="s">
        <v>30</v>
      </c>
      <c r="T3009" s="18" t="s">
        <v>39687</v>
      </c>
      <c r="U3009" s="18"/>
      <c r="V3009" s="18"/>
      <c r="W3009" s="18" t="s">
        <v>48363</v>
      </c>
      <c r="X3009" s="18" t="s">
        <v>42</v>
      </c>
      <c r="Y3009" s="18" t="s">
        <v>36</v>
      </c>
      <c r="Z3009" s="18" t="s">
        <v>697</v>
      </c>
      <c r="AA3009" s="21" t="str">
        <f>HYPERLINK("https://www.ncbi.nlm.nih.gov/nuccore/OP712460","NCBI Nucleotide")</f>
        <v>NCBI Nucleotide</v>
      </c>
    </row>
    <row r="3010" spans="1:27" x14ac:dyDescent="0.35">
      <c r="A3010">
        <v>1024835</v>
      </c>
      <c r="B3010">
        <v>2986</v>
      </c>
      <c r="C3010">
        <v>1</v>
      </c>
      <c r="D3010" s="17" t="s">
        <v>155</v>
      </c>
      <c r="E3010" s="17"/>
      <c r="F3010" s="17" t="s">
        <v>156</v>
      </c>
      <c r="G3010" s="17"/>
      <c r="H3010" s="17" t="s">
        <v>692</v>
      </c>
      <c r="I3010" s="17"/>
      <c r="J3010" s="17" t="s">
        <v>693</v>
      </c>
      <c r="K3010" s="17"/>
      <c r="L3010" s="17"/>
      <c r="M3010" s="17"/>
      <c r="N3010" s="17"/>
      <c r="O3010" s="17" t="s">
        <v>39675</v>
      </c>
      <c r="P3010" s="17" t="s">
        <v>3583</v>
      </c>
      <c r="Q3010" s="17"/>
      <c r="R3010" s="25" t="str">
        <f>HYPERLINK("https://ictv.global/taxonomy/taxondetails?taxnode_id=202319178","Septimatrevirus PSV32")</f>
        <v>Septimatrevirus PSV32</v>
      </c>
      <c r="S3010" s="18" t="s">
        <v>30</v>
      </c>
      <c r="T3010" s="18" t="s">
        <v>39688</v>
      </c>
      <c r="U3010" s="18"/>
      <c r="V3010" s="18"/>
      <c r="W3010" s="18" t="s">
        <v>48364</v>
      </c>
      <c r="X3010" s="18" t="s">
        <v>42</v>
      </c>
      <c r="Y3010" s="18" t="s">
        <v>36</v>
      </c>
      <c r="Z3010" s="18" t="s">
        <v>697</v>
      </c>
      <c r="AA3010" s="21" t="str">
        <f>HYPERLINK("https://www.ncbi.nlm.nih.gov/nuccore/OP712466","NCBI Nucleotide")</f>
        <v>NCBI Nucleotide</v>
      </c>
    </row>
    <row r="3011" spans="1:27" x14ac:dyDescent="0.35">
      <c r="A3011">
        <v>1024836</v>
      </c>
      <c r="B3011">
        <v>2987</v>
      </c>
      <c r="C3011">
        <v>1</v>
      </c>
      <c r="D3011" s="17" t="s">
        <v>155</v>
      </c>
      <c r="E3011" s="17"/>
      <c r="F3011" s="17" t="s">
        <v>156</v>
      </c>
      <c r="G3011" s="17"/>
      <c r="H3011" s="17" t="s">
        <v>692</v>
      </c>
      <c r="I3011" s="17"/>
      <c r="J3011" s="17" t="s">
        <v>693</v>
      </c>
      <c r="K3011" s="17"/>
      <c r="L3011" s="17"/>
      <c r="M3011" s="17"/>
      <c r="N3011" s="17"/>
      <c r="O3011" s="17" t="s">
        <v>39675</v>
      </c>
      <c r="P3011" s="17" t="s">
        <v>3583</v>
      </c>
      <c r="Q3011" s="17"/>
      <c r="R3011" s="25" t="str">
        <f>HYPERLINK("https://ictv.global/taxonomy/taxondetails?taxnode_id=202319175","Septimatrevirus PSV33")</f>
        <v>Septimatrevirus PSV33</v>
      </c>
      <c r="S3011" s="18" t="s">
        <v>30</v>
      </c>
      <c r="T3011" s="18" t="s">
        <v>39689</v>
      </c>
      <c r="U3011" s="18"/>
      <c r="V3011" s="18"/>
      <c r="W3011" s="18" t="s">
        <v>48365</v>
      </c>
      <c r="X3011" s="18" t="s">
        <v>42</v>
      </c>
      <c r="Y3011" s="18" t="s">
        <v>36</v>
      </c>
      <c r="Z3011" s="18" t="s">
        <v>697</v>
      </c>
      <c r="AA3011" s="21" t="str">
        <f>HYPERLINK("https://www.ncbi.nlm.nih.gov/nuccore/OP712474","NCBI Nucleotide")</f>
        <v>NCBI Nucleotide</v>
      </c>
    </row>
    <row r="3012" spans="1:27" x14ac:dyDescent="0.35">
      <c r="A3012">
        <v>1024837</v>
      </c>
      <c r="B3012">
        <v>2988</v>
      </c>
      <c r="C3012">
        <v>1</v>
      </c>
      <c r="D3012" s="17" t="s">
        <v>155</v>
      </c>
      <c r="E3012" s="17"/>
      <c r="F3012" s="17" t="s">
        <v>156</v>
      </c>
      <c r="G3012" s="17"/>
      <c r="H3012" s="17" t="s">
        <v>692</v>
      </c>
      <c r="I3012" s="17"/>
      <c r="J3012" s="17" t="s">
        <v>693</v>
      </c>
      <c r="K3012" s="17"/>
      <c r="L3012" s="17"/>
      <c r="M3012" s="17"/>
      <c r="N3012" s="17"/>
      <c r="O3012" s="17" t="s">
        <v>39675</v>
      </c>
      <c r="P3012" s="17" t="s">
        <v>3583</v>
      </c>
      <c r="Q3012" s="17"/>
      <c r="R3012" s="25" t="str">
        <f>HYPERLINK("https://ictv.global/taxonomy/taxondetails?taxnode_id=202319176","Septimatrevirus PSV34")</f>
        <v>Septimatrevirus PSV34</v>
      </c>
      <c r="S3012" s="18" t="s">
        <v>30</v>
      </c>
      <c r="T3012" s="18" t="s">
        <v>39690</v>
      </c>
      <c r="U3012" s="18"/>
      <c r="V3012" s="18"/>
      <c r="W3012" s="18" t="s">
        <v>48366</v>
      </c>
      <c r="X3012" s="18" t="s">
        <v>42</v>
      </c>
      <c r="Y3012" s="18" t="s">
        <v>36</v>
      </c>
      <c r="Z3012" s="18" t="s">
        <v>697</v>
      </c>
      <c r="AA3012" s="21" t="str">
        <f>HYPERLINK("https://www.ncbi.nlm.nih.gov/nuccore/OP712479","NCBI Nucleotide")</f>
        <v>NCBI Nucleotide</v>
      </c>
    </row>
    <row r="3013" spans="1:27" x14ac:dyDescent="0.35">
      <c r="A3013">
        <v>1024838</v>
      </c>
      <c r="B3013">
        <v>2989</v>
      </c>
      <c r="C3013">
        <v>1</v>
      </c>
      <c r="D3013" s="17" t="s">
        <v>155</v>
      </c>
      <c r="E3013" s="17"/>
      <c r="F3013" s="17" t="s">
        <v>156</v>
      </c>
      <c r="G3013" s="17"/>
      <c r="H3013" s="17" t="s">
        <v>692</v>
      </c>
      <c r="I3013" s="17"/>
      <c r="J3013" s="17" t="s">
        <v>693</v>
      </c>
      <c r="K3013" s="17"/>
      <c r="L3013" s="17"/>
      <c r="M3013" s="17"/>
      <c r="N3013" s="17"/>
      <c r="O3013" s="17" t="s">
        <v>39675</v>
      </c>
      <c r="P3013" s="17" t="s">
        <v>3583</v>
      </c>
      <c r="Q3013" s="17"/>
      <c r="R3013" s="25" t="str">
        <f>HYPERLINK("https://ictv.global/taxonomy/taxondetails?taxnode_id=202319170","Septimatrevirus PX5")</f>
        <v>Septimatrevirus PX5</v>
      </c>
      <c r="S3013" s="18" t="s">
        <v>30</v>
      </c>
      <c r="T3013" s="18" t="s">
        <v>39691</v>
      </c>
      <c r="U3013" s="18"/>
      <c r="V3013" s="18"/>
      <c r="W3013" s="18" t="s">
        <v>48367</v>
      </c>
      <c r="X3013" s="18" t="s">
        <v>42</v>
      </c>
      <c r="Y3013" s="18" t="s">
        <v>36</v>
      </c>
      <c r="Z3013" s="18" t="s">
        <v>697</v>
      </c>
      <c r="AA3013" s="21" t="str">
        <f>HYPERLINK("https://www.ncbi.nlm.nih.gov/nuccore/OP422637","NCBI Nucleotide")</f>
        <v>NCBI Nucleotide</v>
      </c>
    </row>
    <row r="3014" spans="1:27" x14ac:dyDescent="0.35">
      <c r="A3014">
        <v>1024839</v>
      </c>
      <c r="B3014">
        <v>2990</v>
      </c>
      <c r="C3014">
        <v>1</v>
      </c>
      <c r="D3014" s="17" t="s">
        <v>155</v>
      </c>
      <c r="E3014" s="17"/>
      <c r="F3014" s="17" t="s">
        <v>156</v>
      </c>
      <c r="G3014" s="17"/>
      <c r="H3014" s="17" t="s">
        <v>692</v>
      </c>
      <c r="I3014" s="17"/>
      <c r="J3014" s="17" t="s">
        <v>693</v>
      </c>
      <c r="K3014" s="17"/>
      <c r="L3014" s="17"/>
      <c r="M3014" s="17"/>
      <c r="N3014" s="17"/>
      <c r="O3014" s="17" t="s">
        <v>39675</v>
      </c>
      <c r="P3014" s="17" t="s">
        <v>3583</v>
      </c>
      <c r="Q3014" s="17"/>
      <c r="R3014" s="25" t="str">
        <f>HYPERLINK("https://ictv.global/taxonomy/taxondetails?taxnode_id=202319164","Septimatrevirus samson")</f>
        <v>Septimatrevirus samson</v>
      </c>
      <c r="S3014" s="18" t="s">
        <v>30</v>
      </c>
      <c r="T3014" s="18" t="s">
        <v>39692</v>
      </c>
      <c r="U3014" s="18"/>
      <c r="V3014" s="18"/>
      <c r="W3014" s="18" t="s">
        <v>48368</v>
      </c>
      <c r="X3014" s="18" t="s">
        <v>42</v>
      </c>
      <c r="Y3014" s="18" t="s">
        <v>36</v>
      </c>
      <c r="Z3014" s="18" t="s">
        <v>697</v>
      </c>
      <c r="AA3014" s="21" t="str">
        <f>HYPERLINK("https://www.ncbi.nlm.nih.gov/nuccore/MN062187","NCBI Nucleotide")</f>
        <v>NCBI Nucleotide</v>
      </c>
    </row>
    <row r="3015" spans="1:27" x14ac:dyDescent="0.35">
      <c r="A3015">
        <v>1024840</v>
      </c>
      <c r="B3015">
        <v>2991</v>
      </c>
      <c r="C3015">
        <v>1</v>
      </c>
      <c r="D3015" s="17" t="s">
        <v>155</v>
      </c>
      <c r="E3015" s="17"/>
      <c r="F3015" s="17" t="s">
        <v>156</v>
      </c>
      <c r="G3015" s="17"/>
      <c r="H3015" s="17" t="s">
        <v>692</v>
      </c>
      <c r="I3015" s="17"/>
      <c r="J3015" s="17" t="s">
        <v>693</v>
      </c>
      <c r="K3015" s="17"/>
      <c r="L3015" s="17"/>
      <c r="M3015" s="17"/>
      <c r="N3015" s="17"/>
      <c r="O3015" s="17" t="s">
        <v>39675</v>
      </c>
      <c r="P3015" s="17" t="s">
        <v>3583</v>
      </c>
      <c r="Q3015" s="17"/>
      <c r="R3015" s="25" t="str">
        <f>HYPERLINK("https://ictv.global/taxonomy/taxondetails?taxnode_id=202319166","Septimatrevirus SCUTS3")</f>
        <v>Septimatrevirus SCUTS3</v>
      </c>
      <c r="S3015" s="18" t="s">
        <v>30</v>
      </c>
      <c r="T3015" s="18" t="s">
        <v>39693</v>
      </c>
      <c r="U3015" s="18"/>
      <c r="V3015" s="18"/>
      <c r="W3015" s="18" t="s">
        <v>48369</v>
      </c>
      <c r="X3015" s="18" t="s">
        <v>42</v>
      </c>
      <c r="Y3015" s="18" t="s">
        <v>36</v>
      </c>
      <c r="Z3015" s="18" t="s">
        <v>697</v>
      </c>
      <c r="AA3015" s="21" t="str">
        <f>HYPERLINK("https://www.ncbi.nlm.nih.gov/nuccore/MK165657","NCBI Nucleotide")</f>
        <v>NCBI Nucleotide</v>
      </c>
    </row>
    <row r="3016" spans="1:27" x14ac:dyDescent="0.35">
      <c r="A3016">
        <v>1006439</v>
      </c>
      <c r="B3016">
        <v>2992</v>
      </c>
      <c r="C3016">
        <v>1</v>
      </c>
      <c r="D3016" s="17" t="s">
        <v>155</v>
      </c>
      <c r="E3016" s="17"/>
      <c r="F3016" s="17" t="s">
        <v>156</v>
      </c>
      <c r="G3016" s="17"/>
      <c r="H3016" s="17" t="s">
        <v>692</v>
      </c>
      <c r="I3016" s="17"/>
      <c r="J3016" s="17" t="s">
        <v>693</v>
      </c>
      <c r="K3016" s="17"/>
      <c r="L3016" s="17"/>
      <c r="M3016" s="17"/>
      <c r="N3016" s="17"/>
      <c r="O3016" s="17" t="s">
        <v>39675</v>
      </c>
      <c r="P3016" s="17" t="s">
        <v>3583</v>
      </c>
      <c r="Q3016" s="17"/>
      <c r="R3016" s="25" t="str">
        <f>HYPERLINK("https://ictv.global/taxonomy/taxondetails?taxnode_id=202301257","Septimatrevirus sv73")</f>
        <v>Septimatrevirus sv73</v>
      </c>
      <c r="S3016" s="18" t="s">
        <v>30</v>
      </c>
      <c r="T3016" s="18" t="s">
        <v>3588</v>
      </c>
      <c r="U3016" s="18"/>
      <c r="V3016" s="18"/>
      <c r="W3016" s="18" t="s">
        <v>3589</v>
      </c>
      <c r="X3016" s="18" t="s">
        <v>42</v>
      </c>
      <c r="Y3016" s="18" t="s">
        <v>36</v>
      </c>
      <c r="Z3016" s="18" t="s">
        <v>697</v>
      </c>
      <c r="AA3016" s="21" t="str">
        <f>HYPERLINK("https://www.ncbi.nlm.nih.gov/nuccore/DQ163913","NCBI Nucleotide")</f>
        <v>NCBI Nucleotide</v>
      </c>
    </row>
    <row r="3017" spans="1:27" x14ac:dyDescent="0.35">
      <c r="A3017">
        <v>1024841</v>
      </c>
      <c r="B3017">
        <v>2993</v>
      </c>
      <c r="C3017">
        <v>1</v>
      </c>
      <c r="D3017" s="17" t="s">
        <v>155</v>
      </c>
      <c r="E3017" s="17"/>
      <c r="F3017" s="17" t="s">
        <v>156</v>
      </c>
      <c r="G3017" s="17"/>
      <c r="H3017" s="17" t="s">
        <v>692</v>
      </c>
      <c r="I3017" s="17"/>
      <c r="J3017" s="17" t="s">
        <v>693</v>
      </c>
      <c r="K3017" s="17"/>
      <c r="L3017" s="17"/>
      <c r="M3017" s="17"/>
      <c r="N3017" s="17"/>
      <c r="O3017" s="17" t="s">
        <v>39675</v>
      </c>
      <c r="P3017" s="17" t="s">
        <v>3583</v>
      </c>
      <c r="Q3017" s="17"/>
      <c r="R3017" s="25" t="str">
        <f>HYPERLINK("https://ictv.global/taxonomy/taxondetails?taxnode_id=202319174","Septimatrevirus tehO")</f>
        <v>Septimatrevirus tehO</v>
      </c>
      <c r="S3017" s="18" t="s">
        <v>30</v>
      </c>
      <c r="T3017" s="18" t="s">
        <v>39694</v>
      </c>
      <c r="U3017" s="18"/>
      <c r="V3017" s="18"/>
      <c r="W3017" s="18" t="s">
        <v>48370</v>
      </c>
      <c r="X3017" s="18" t="s">
        <v>42</v>
      </c>
      <c r="Y3017" s="18" t="s">
        <v>36</v>
      </c>
      <c r="Z3017" s="18" t="s">
        <v>697</v>
      </c>
      <c r="AA3017" s="21" t="str">
        <f>HYPERLINK("https://www.ncbi.nlm.nih.gov/nuccore/OK330456","NCBI Nucleotide")</f>
        <v>NCBI Nucleotide</v>
      </c>
    </row>
    <row r="3018" spans="1:27" x14ac:dyDescent="0.35">
      <c r="A3018">
        <v>1024842</v>
      </c>
      <c r="B3018">
        <v>2994</v>
      </c>
      <c r="C3018">
        <v>1</v>
      </c>
      <c r="D3018" s="17" t="s">
        <v>155</v>
      </c>
      <c r="E3018" s="17"/>
      <c r="F3018" s="17" t="s">
        <v>156</v>
      </c>
      <c r="G3018" s="17"/>
      <c r="H3018" s="17" t="s">
        <v>692</v>
      </c>
      <c r="I3018" s="17"/>
      <c r="J3018" s="17" t="s">
        <v>693</v>
      </c>
      <c r="K3018" s="17"/>
      <c r="L3018" s="17"/>
      <c r="M3018" s="17"/>
      <c r="N3018" s="17"/>
      <c r="O3018" s="17" t="s">
        <v>39675</v>
      </c>
      <c r="P3018" s="17" t="s">
        <v>3583</v>
      </c>
      <c r="Q3018" s="17"/>
      <c r="R3018" s="25" t="str">
        <f>HYPERLINK("https://ictv.global/taxonomy/taxondetails?taxnode_id=202319169","Septimatrevirus UFRH1")</f>
        <v>Septimatrevirus UFRH1</v>
      </c>
      <c r="S3018" s="18" t="s">
        <v>30</v>
      </c>
      <c r="T3018" s="18" t="s">
        <v>39695</v>
      </c>
      <c r="U3018" s="18"/>
      <c r="V3018" s="18"/>
      <c r="W3018" s="18" t="s">
        <v>48371</v>
      </c>
      <c r="X3018" s="18" t="s">
        <v>42</v>
      </c>
      <c r="Y3018" s="18" t="s">
        <v>36</v>
      </c>
      <c r="Z3018" s="18" t="s">
        <v>697</v>
      </c>
      <c r="AA3018" s="21" t="str">
        <f>HYPERLINK("https://www.ncbi.nlm.nih.gov/nuccore/OQ259603","NCBI Nucleotide")</f>
        <v>NCBI Nucleotide</v>
      </c>
    </row>
    <row r="3019" spans="1:27" x14ac:dyDescent="0.35">
      <c r="A3019">
        <v>1024843</v>
      </c>
      <c r="B3019">
        <v>2995</v>
      </c>
      <c r="C3019">
        <v>1</v>
      </c>
      <c r="D3019" s="17" t="s">
        <v>155</v>
      </c>
      <c r="E3019" s="17"/>
      <c r="F3019" s="17" t="s">
        <v>156</v>
      </c>
      <c r="G3019" s="17"/>
      <c r="H3019" s="17" t="s">
        <v>692</v>
      </c>
      <c r="I3019" s="17"/>
      <c r="J3019" s="17" t="s">
        <v>693</v>
      </c>
      <c r="K3019" s="17"/>
      <c r="L3019" s="17"/>
      <c r="M3019" s="17"/>
      <c r="N3019" s="17"/>
      <c r="O3019" s="17" t="s">
        <v>39675</v>
      </c>
      <c r="P3019" s="17" t="s">
        <v>3583</v>
      </c>
      <c r="Q3019" s="17"/>
      <c r="R3019" s="25" t="str">
        <f>HYPERLINK("https://ictv.global/taxonomy/taxondetails?taxnode_id=202319162","Septimatrevirus yazdi")</f>
        <v>Septimatrevirus yazdi</v>
      </c>
      <c r="S3019" s="18" t="s">
        <v>30</v>
      </c>
      <c r="T3019" s="18" t="s">
        <v>39696</v>
      </c>
      <c r="U3019" s="18"/>
      <c r="V3019" s="18"/>
      <c r="W3019" s="18" t="s">
        <v>48372</v>
      </c>
      <c r="X3019" s="18" t="s">
        <v>42</v>
      </c>
      <c r="Y3019" s="18" t="s">
        <v>36</v>
      </c>
      <c r="Z3019" s="18" t="s">
        <v>697</v>
      </c>
      <c r="AA3019" s="21" t="str">
        <f>HYPERLINK("https://www.ncbi.nlm.nih.gov/nuccore/LC552830","NCBI Nucleotide")</f>
        <v>NCBI Nucleotide</v>
      </c>
    </row>
    <row r="3020" spans="1:27" x14ac:dyDescent="0.35">
      <c r="A3020">
        <v>1003954</v>
      </c>
      <c r="B3020">
        <v>2996</v>
      </c>
      <c r="C3020">
        <v>1</v>
      </c>
      <c r="D3020" s="17" t="s">
        <v>155</v>
      </c>
      <c r="E3020" s="17"/>
      <c r="F3020" s="17" t="s">
        <v>156</v>
      </c>
      <c r="G3020" s="17"/>
      <c r="H3020" s="17" t="s">
        <v>692</v>
      </c>
      <c r="I3020" s="17"/>
      <c r="J3020" s="17" t="s">
        <v>693</v>
      </c>
      <c r="K3020" s="17"/>
      <c r="L3020" s="17"/>
      <c r="M3020" s="17"/>
      <c r="N3020" s="17"/>
      <c r="O3020" s="17" t="s">
        <v>5430</v>
      </c>
      <c r="P3020" s="17" t="s">
        <v>5431</v>
      </c>
      <c r="Q3020" s="17"/>
      <c r="R3020" s="25" t="str">
        <f>HYPERLINK("https://ictv.global/taxonomy/taxondetails?taxnode_id=202312352","Beograduvirus KPhi1")</f>
        <v>Beograduvirus KPhi1</v>
      </c>
      <c r="S3020" s="18" t="s">
        <v>30</v>
      </c>
      <c r="T3020" s="18" t="s">
        <v>5432</v>
      </c>
      <c r="U3020" s="18"/>
      <c r="V3020" s="18"/>
      <c r="W3020" s="18" t="s">
        <v>5433</v>
      </c>
      <c r="X3020" s="18" t="s">
        <v>42</v>
      </c>
      <c r="Y3020" s="18" t="s">
        <v>36</v>
      </c>
      <c r="Z3020" s="18" t="s">
        <v>697</v>
      </c>
      <c r="AA3020" s="21" t="str">
        <f>HYPERLINK("https://www.ncbi.nlm.nih.gov/nuccore/KY210139","NCBI Nucleotide")</f>
        <v>NCBI Nucleotide</v>
      </c>
    </row>
    <row r="3021" spans="1:27" x14ac:dyDescent="0.35">
      <c r="A3021">
        <v>1003955</v>
      </c>
      <c r="B3021">
        <v>2997</v>
      </c>
      <c r="C3021">
        <v>1</v>
      </c>
      <c r="D3021" s="17" t="s">
        <v>155</v>
      </c>
      <c r="E3021" s="17"/>
      <c r="F3021" s="17" t="s">
        <v>156</v>
      </c>
      <c r="G3021" s="17"/>
      <c r="H3021" s="17" t="s">
        <v>692</v>
      </c>
      <c r="I3021" s="17"/>
      <c r="J3021" s="17" t="s">
        <v>693</v>
      </c>
      <c r="K3021" s="17"/>
      <c r="L3021" s="17"/>
      <c r="M3021" s="17"/>
      <c r="N3021" s="17"/>
      <c r="O3021" s="17" t="s">
        <v>5430</v>
      </c>
      <c r="P3021" s="17" t="s">
        <v>5431</v>
      </c>
      <c r="Q3021" s="17"/>
      <c r="R3021" s="25" t="str">
        <f>HYPERLINK("https://ictv.global/taxonomy/taxondetails?taxnode_id=202312353","Beograduvirus Xaf18")</f>
        <v>Beograduvirus Xaf18</v>
      </c>
      <c r="S3021" s="18" t="s">
        <v>30</v>
      </c>
      <c r="T3021" s="18" t="s">
        <v>5434</v>
      </c>
      <c r="U3021" s="18"/>
      <c r="V3021" s="18"/>
      <c r="W3021" s="18" t="s">
        <v>5435</v>
      </c>
      <c r="X3021" s="18" t="s">
        <v>42</v>
      </c>
      <c r="Y3021" s="18" t="s">
        <v>36</v>
      </c>
      <c r="Z3021" s="18" t="s">
        <v>697</v>
      </c>
      <c r="AA3021" s="21" t="str">
        <f>HYPERLINK("https://www.ncbi.nlm.nih.gov/nuccore/MN461279","NCBI Nucleotide")</f>
        <v>NCBI Nucleotide</v>
      </c>
    </row>
    <row r="3022" spans="1:27" x14ac:dyDescent="0.35">
      <c r="A3022">
        <v>1003956</v>
      </c>
      <c r="B3022">
        <v>2998</v>
      </c>
      <c r="C3022">
        <v>1</v>
      </c>
      <c r="D3022" s="17" t="s">
        <v>155</v>
      </c>
      <c r="E3022" s="17"/>
      <c r="F3022" s="17" t="s">
        <v>156</v>
      </c>
      <c r="G3022" s="17"/>
      <c r="H3022" s="17" t="s">
        <v>692</v>
      </c>
      <c r="I3022" s="17"/>
      <c r="J3022" s="17" t="s">
        <v>693</v>
      </c>
      <c r="K3022" s="17"/>
      <c r="L3022" s="17"/>
      <c r="M3022" s="17"/>
      <c r="N3022" s="17"/>
      <c r="O3022" s="17" t="s">
        <v>5430</v>
      </c>
      <c r="P3022" s="17" t="s">
        <v>5436</v>
      </c>
      <c r="Q3022" s="17"/>
      <c r="R3022" s="25" t="str">
        <f>HYPERLINK("https://ictv.global/taxonomy/taxondetails?taxnode_id=202300406","Tsukubavirus OP2")</f>
        <v>Tsukubavirus OP2</v>
      </c>
      <c r="S3022" s="18" t="s">
        <v>30</v>
      </c>
      <c r="T3022" s="18" t="s">
        <v>5437</v>
      </c>
      <c r="U3022" s="18"/>
      <c r="V3022" s="18"/>
      <c r="W3022" s="18" t="s">
        <v>5438</v>
      </c>
      <c r="X3022" s="18" t="s">
        <v>42</v>
      </c>
      <c r="Y3022" s="18" t="s">
        <v>36</v>
      </c>
      <c r="Z3022" s="18" t="s">
        <v>697</v>
      </c>
      <c r="AA3022" s="21" t="str">
        <f>HYPERLINK("https://www.ncbi.nlm.nih.gov/nuccore/AP008986","NCBI Nucleotide")</f>
        <v>NCBI Nucleotide</v>
      </c>
    </row>
    <row r="3023" spans="1:27" x14ac:dyDescent="0.35">
      <c r="A3023">
        <v>1003957</v>
      </c>
      <c r="B3023">
        <v>2999</v>
      </c>
      <c r="C3023">
        <v>1</v>
      </c>
      <c r="D3023" s="17" t="s">
        <v>155</v>
      </c>
      <c r="E3023" s="17"/>
      <c r="F3023" s="17" t="s">
        <v>156</v>
      </c>
      <c r="G3023" s="17"/>
      <c r="H3023" s="17" t="s">
        <v>692</v>
      </c>
      <c r="I3023" s="17"/>
      <c r="J3023" s="17" t="s">
        <v>693</v>
      </c>
      <c r="K3023" s="17"/>
      <c r="L3023" s="17"/>
      <c r="M3023" s="17"/>
      <c r="N3023" s="17"/>
      <c r="O3023" s="17" t="s">
        <v>5430</v>
      </c>
      <c r="P3023" s="17" t="s">
        <v>5436</v>
      </c>
      <c r="Q3023" s="17"/>
      <c r="R3023" s="25" t="str">
        <f>HYPERLINK("https://ictv.global/taxonomy/taxondetails?taxnode_id=202312349","Tsukubavirus XPP1")</f>
        <v>Tsukubavirus XPP1</v>
      </c>
      <c r="S3023" s="18" t="s">
        <v>30</v>
      </c>
      <c r="T3023" s="18" t="s">
        <v>5439</v>
      </c>
      <c r="U3023" s="18"/>
      <c r="V3023" s="18"/>
      <c r="W3023" s="18" t="s">
        <v>5440</v>
      </c>
      <c r="X3023" s="18" t="s">
        <v>42</v>
      </c>
      <c r="Y3023" s="18" t="s">
        <v>36</v>
      </c>
      <c r="Z3023" s="18" t="s">
        <v>697</v>
      </c>
      <c r="AA3023" s="21" t="str">
        <f>HYPERLINK("https://www.ncbi.nlm.nih.gov/nuccore/MG944227","NCBI Nucleotide")</f>
        <v>NCBI Nucleotide</v>
      </c>
    </row>
    <row r="3024" spans="1:27" x14ac:dyDescent="0.35">
      <c r="A3024">
        <v>1003958</v>
      </c>
      <c r="B3024">
        <v>3000</v>
      </c>
      <c r="C3024">
        <v>1</v>
      </c>
      <c r="D3024" s="17" t="s">
        <v>155</v>
      </c>
      <c r="E3024" s="17"/>
      <c r="F3024" s="17" t="s">
        <v>156</v>
      </c>
      <c r="G3024" s="17"/>
      <c r="H3024" s="17" t="s">
        <v>692</v>
      </c>
      <c r="I3024" s="17"/>
      <c r="J3024" s="17" t="s">
        <v>693</v>
      </c>
      <c r="K3024" s="17"/>
      <c r="L3024" s="17"/>
      <c r="M3024" s="17"/>
      <c r="N3024" s="17"/>
      <c r="O3024" s="17" t="s">
        <v>5430</v>
      </c>
      <c r="P3024" s="17" t="s">
        <v>5436</v>
      </c>
      <c r="Q3024" s="17"/>
      <c r="R3024" s="25" t="str">
        <f>HYPERLINK("https://ictv.global/taxonomy/taxondetails?taxnode_id=202312350","Tsukubavirus XPV1")</f>
        <v>Tsukubavirus XPV1</v>
      </c>
      <c r="S3024" s="18" t="s">
        <v>30</v>
      </c>
      <c r="T3024" s="18" t="s">
        <v>5441</v>
      </c>
      <c r="U3024" s="18"/>
      <c r="V3024" s="18"/>
      <c r="W3024" s="18" t="s">
        <v>5442</v>
      </c>
      <c r="X3024" s="18" t="s">
        <v>42</v>
      </c>
      <c r="Y3024" s="18" t="s">
        <v>36</v>
      </c>
      <c r="Z3024" s="18" t="s">
        <v>697</v>
      </c>
      <c r="AA3024" s="21" t="str">
        <f>HYPERLINK("https://www.ncbi.nlm.nih.gov/nuccore/MG944234","NCBI Nucleotide")</f>
        <v>NCBI Nucleotide</v>
      </c>
    </row>
    <row r="3025" spans="1:27" x14ac:dyDescent="0.35">
      <c r="A3025">
        <v>1024992</v>
      </c>
      <c r="B3025">
        <v>3001</v>
      </c>
      <c r="C3025">
        <v>1</v>
      </c>
      <c r="D3025" s="17" t="s">
        <v>155</v>
      </c>
      <c r="E3025" s="17"/>
      <c r="F3025" s="17" t="s">
        <v>156</v>
      </c>
      <c r="G3025" s="17"/>
      <c r="H3025" s="17" t="s">
        <v>692</v>
      </c>
      <c r="I3025" s="17"/>
      <c r="J3025" s="17" t="s">
        <v>693</v>
      </c>
      <c r="K3025" s="17"/>
      <c r="L3025" s="17"/>
      <c r="M3025" s="17"/>
      <c r="N3025" s="17"/>
      <c r="O3025" s="17" t="s">
        <v>39697</v>
      </c>
      <c r="P3025" s="17" t="s">
        <v>39698</v>
      </c>
      <c r="Q3025" s="17"/>
      <c r="R3025" s="25" t="str">
        <f>HYPERLINK("https://ictv.global/taxonomy/taxondetails?taxnode_id=202319191","Kozievirus kozie")</f>
        <v>Kozievirus kozie</v>
      </c>
      <c r="S3025" s="18" t="s">
        <v>30</v>
      </c>
      <c r="T3025" s="18" t="s">
        <v>39699</v>
      </c>
      <c r="U3025" s="18"/>
      <c r="V3025" s="18"/>
      <c r="W3025" s="18" t="s">
        <v>48373</v>
      </c>
      <c r="X3025" s="18" t="s">
        <v>42</v>
      </c>
      <c r="Y3025" s="18" t="s">
        <v>36</v>
      </c>
      <c r="Z3025" s="18" t="s">
        <v>697</v>
      </c>
      <c r="AA3025" s="21" t="str">
        <f>HYPERLINK("https://www.ncbi.nlm.nih.gov/nuccore/OK040792","NCBI Nucleotide")</f>
        <v>NCBI Nucleotide</v>
      </c>
    </row>
    <row r="3026" spans="1:27" x14ac:dyDescent="0.35">
      <c r="A3026">
        <v>1024969</v>
      </c>
      <c r="B3026">
        <v>3002</v>
      </c>
      <c r="C3026">
        <v>1</v>
      </c>
      <c r="D3026" s="17" t="s">
        <v>155</v>
      </c>
      <c r="E3026" s="17"/>
      <c r="F3026" s="17" t="s">
        <v>156</v>
      </c>
      <c r="G3026" s="17"/>
      <c r="H3026" s="17" t="s">
        <v>692</v>
      </c>
      <c r="I3026" s="17"/>
      <c r="J3026" s="17" t="s">
        <v>693</v>
      </c>
      <c r="K3026" s="17"/>
      <c r="L3026" s="17"/>
      <c r="M3026" s="17"/>
      <c r="N3026" s="17"/>
      <c r="O3026" s="17" t="s">
        <v>39697</v>
      </c>
      <c r="P3026" s="17" t="s">
        <v>39700</v>
      </c>
      <c r="Q3026" s="17"/>
      <c r="R3026" s="25" t="str">
        <f>HYPERLINK("https://ictv.global/taxonomy/taxondetails?taxnode_id=202319197","Meganvirus megan")</f>
        <v>Meganvirus megan</v>
      </c>
      <c r="S3026" s="18" t="s">
        <v>30</v>
      </c>
      <c r="T3026" s="18" t="s">
        <v>39701</v>
      </c>
      <c r="U3026" s="18"/>
      <c r="V3026" s="18"/>
      <c r="W3026" s="18" t="s">
        <v>48374</v>
      </c>
      <c r="X3026" s="18" t="s">
        <v>42</v>
      </c>
      <c r="Y3026" s="18" t="s">
        <v>36</v>
      </c>
      <c r="Z3026" s="18" t="s">
        <v>697</v>
      </c>
      <c r="AA3026" s="21" t="str">
        <f>HYPERLINK("https://www.ncbi.nlm.nih.gov/nuccore/MN586020","NCBI Nucleotide")</f>
        <v>NCBI Nucleotide</v>
      </c>
    </row>
    <row r="3027" spans="1:27" x14ac:dyDescent="0.35">
      <c r="A3027">
        <v>1024981</v>
      </c>
      <c r="B3027">
        <v>3003</v>
      </c>
      <c r="C3027">
        <v>1</v>
      </c>
      <c r="D3027" s="17" t="s">
        <v>155</v>
      </c>
      <c r="E3027" s="17"/>
      <c r="F3027" s="17" t="s">
        <v>156</v>
      </c>
      <c r="G3027" s="17"/>
      <c r="H3027" s="17" t="s">
        <v>692</v>
      </c>
      <c r="I3027" s="17"/>
      <c r="J3027" s="17" t="s">
        <v>693</v>
      </c>
      <c r="K3027" s="17"/>
      <c r="L3027" s="17"/>
      <c r="M3027" s="17"/>
      <c r="N3027" s="17"/>
      <c r="O3027" s="17" t="s">
        <v>39697</v>
      </c>
      <c r="P3027" s="17" t="s">
        <v>2594</v>
      </c>
      <c r="Q3027" s="17"/>
      <c r="R3027" s="25" t="str">
        <f>HYPERLINK("https://ictv.global/taxonomy/taxondetails?taxnode_id=202319194","Mementomorivirus cinna")</f>
        <v>Mementomorivirus cinna</v>
      </c>
      <c r="S3027" s="18" t="s">
        <v>30</v>
      </c>
      <c r="T3027" s="18" t="s">
        <v>39702</v>
      </c>
      <c r="U3027" s="18"/>
      <c r="V3027" s="18"/>
      <c r="W3027" s="18" t="s">
        <v>48375</v>
      </c>
      <c r="X3027" s="18" t="s">
        <v>42</v>
      </c>
      <c r="Y3027" s="18" t="s">
        <v>36</v>
      </c>
      <c r="Z3027" s="18" t="s">
        <v>697</v>
      </c>
      <c r="AA3027" s="21" t="str">
        <f>HYPERLINK("https://www.ncbi.nlm.nih.gov/nuccore/MK937591","NCBI Nucleotide")</f>
        <v>NCBI Nucleotide</v>
      </c>
    </row>
    <row r="3028" spans="1:27" x14ac:dyDescent="0.35">
      <c r="A3028">
        <v>1024982</v>
      </c>
      <c r="B3028">
        <v>3004</v>
      </c>
      <c r="C3028">
        <v>1</v>
      </c>
      <c r="D3028" s="17" t="s">
        <v>155</v>
      </c>
      <c r="E3028" s="17"/>
      <c r="F3028" s="17" t="s">
        <v>156</v>
      </c>
      <c r="G3028" s="17"/>
      <c r="H3028" s="17" t="s">
        <v>692</v>
      </c>
      <c r="I3028" s="17"/>
      <c r="J3028" s="17" t="s">
        <v>693</v>
      </c>
      <c r="K3028" s="17"/>
      <c r="L3028" s="17"/>
      <c r="M3028" s="17"/>
      <c r="N3028" s="17"/>
      <c r="O3028" s="17" t="s">
        <v>39697</v>
      </c>
      <c r="P3028" s="17" t="s">
        <v>2594</v>
      </c>
      <c r="Q3028" s="17"/>
      <c r="R3028" s="25" t="str">
        <f>HYPERLINK("https://ictv.global/taxonomy/taxondetails?taxnode_id=202319192","Mementomorivirus cressida")</f>
        <v>Mementomorivirus cressida</v>
      </c>
      <c r="S3028" s="18" t="s">
        <v>30</v>
      </c>
      <c r="T3028" s="18" t="s">
        <v>39703</v>
      </c>
      <c r="U3028" s="18"/>
      <c r="V3028" s="18"/>
      <c r="W3028" s="18" t="s">
        <v>48376</v>
      </c>
      <c r="X3028" s="18" t="s">
        <v>42</v>
      </c>
      <c r="Y3028" s="18" t="s">
        <v>36</v>
      </c>
      <c r="Z3028" s="18" t="s">
        <v>697</v>
      </c>
      <c r="AA3028" s="21" t="str">
        <f>HYPERLINK("https://www.ncbi.nlm.nih.gov/nuccore/MK937608","NCBI Nucleotide")</f>
        <v>NCBI Nucleotide</v>
      </c>
    </row>
    <row r="3029" spans="1:27" x14ac:dyDescent="0.35">
      <c r="A3029">
        <v>1024983</v>
      </c>
      <c r="B3029">
        <v>3005</v>
      </c>
      <c r="C3029">
        <v>1</v>
      </c>
      <c r="D3029" s="17" t="s">
        <v>155</v>
      </c>
      <c r="E3029" s="17"/>
      <c r="F3029" s="17" t="s">
        <v>156</v>
      </c>
      <c r="G3029" s="17"/>
      <c r="H3029" s="17" t="s">
        <v>692</v>
      </c>
      <c r="I3029" s="17"/>
      <c r="J3029" s="17" t="s">
        <v>693</v>
      </c>
      <c r="K3029" s="17"/>
      <c r="L3029" s="17"/>
      <c r="M3029" s="17"/>
      <c r="N3029" s="17"/>
      <c r="O3029" s="17" t="s">
        <v>39697</v>
      </c>
      <c r="P3029" s="17" t="s">
        <v>2594</v>
      </c>
      <c r="Q3029" s="17"/>
      <c r="R3029" s="25" t="str">
        <f>HYPERLINK("https://ictv.global/taxonomy/taxondetails?taxnode_id=202319195","Mementomorivirus margaery")</f>
        <v>Mementomorivirus margaery</v>
      </c>
      <c r="S3029" s="18" t="s">
        <v>30</v>
      </c>
      <c r="T3029" s="18" t="s">
        <v>39704</v>
      </c>
      <c r="U3029" s="18"/>
      <c r="V3029" s="18"/>
      <c r="W3029" s="18" t="s">
        <v>48377</v>
      </c>
      <c r="X3029" s="18" t="s">
        <v>42</v>
      </c>
      <c r="Y3029" s="18" t="s">
        <v>36</v>
      </c>
      <c r="Z3029" s="18" t="s">
        <v>697</v>
      </c>
      <c r="AA3029" s="21" t="str">
        <f>HYPERLINK("https://www.ncbi.nlm.nih.gov/nuccore/MK937606","NCBI Nucleotide")</f>
        <v>NCBI Nucleotide</v>
      </c>
    </row>
    <row r="3030" spans="1:27" x14ac:dyDescent="0.35">
      <c r="A3030">
        <v>1024984</v>
      </c>
      <c r="B3030">
        <v>3006</v>
      </c>
      <c r="C3030">
        <v>1</v>
      </c>
      <c r="D3030" s="17" t="s">
        <v>155</v>
      </c>
      <c r="E3030" s="17"/>
      <c r="F3030" s="17" t="s">
        <v>156</v>
      </c>
      <c r="G3030" s="17"/>
      <c r="H3030" s="17" t="s">
        <v>692</v>
      </c>
      <c r="I3030" s="17"/>
      <c r="J3030" s="17" t="s">
        <v>693</v>
      </c>
      <c r="K3030" s="17"/>
      <c r="L3030" s="17"/>
      <c r="M3030" s="17"/>
      <c r="N3030" s="17"/>
      <c r="O3030" s="17" t="s">
        <v>39697</v>
      </c>
      <c r="P3030" s="17" t="s">
        <v>2594</v>
      </c>
      <c r="Q3030" s="17"/>
      <c r="R3030" s="25" t="str">
        <f>HYPERLINK("https://ictv.global/taxonomy/taxondetails?taxnode_id=202319193","Mementomorivirus matzah")</f>
        <v>Mementomorivirus matzah</v>
      </c>
      <c r="S3030" s="18" t="s">
        <v>30</v>
      </c>
      <c r="T3030" s="18" t="s">
        <v>39705</v>
      </c>
      <c r="U3030" s="18"/>
      <c r="V3030" s="18"/>
      <c r="W3030" s="18" t="s">
        <v>48378</v>
      </c>
      <c r="X3030" s="18" t="s">
        <v>42</v>
      </c>
      <c r="Y3030" s="18" t="s">
        <v>36</v>
      </c>
      <c r="Z3030" s="18" t="s">
        <v>697</v>
      </c>
      <c r="AA3030" s="21" t="str">
        <f>HYPERLINK("https://www.ncbi.nlm.nih.gov/nuccore/MN813682","NCBI Nucleotide")</f>
        <v>NCBI Nucleotide</v>
      </c>
    </row>
    <row r="3031" spans="1:27" x14ac:dyDescent="0.35">
      <c r="A3031">
        <v>1005894</v>
      </c>
      <c r="B3031">
        <v>3007</v>
      </c>
      <c r="C3031">
        <v>1</v>
      </c>
      <c r="D3031" s="17" t="s">
        <v>155</v>
      </c>
      <c r="E3031" s="17"/>
      <c r="F3031" s="17" t="s">
        <v>156</v>
      </c>
      <c r="G3031" s="17"/>
      <c r="H3031" s="17" t="s">
        <v>692</v>
      </c>
      <c r="I3031" s="17"/>
      <c r="J3031" s="17" t="s">
        <v>693</v>
      </c>
      <c r="K3031" s="17"/>
      <c r="L3031" s="17"/>
      <c r="M3031" s="17"/>
      <c r="N3031" s="17"/>
      <c r="O3031" s="17" t="s">
        <v>39697</v>
      </c>
      <c r="P3031" s="17" t="s">
        <v>2594</v>
      </c>
      <c r="Q3031" s="17"/>
      <c r="R3031" s="25" t="str">
        <f>HYPERLINK("https://ictv.global/taxonomy/taxondetails?taxnode_id=202307453","Mementomorivirus mementomori")</f>
        <v>Mementomorivirus mementomori</v>
      </c>
      <c r="S3031" s="18" t="s">
        <v>30</v>
      </c>
      <c r="T3031" s="18" t="s">
        <v>2595</v>
      </c>
      <c r="U3031" s="18"/>
      <c r="V3031" s="18"/>
      <c r="W3031" s="18" t="s">
        <v>2596</v>
      </c>
      <c r="X3031" s="18" t="s">
        <v>42</v>
      </c>
      <c r="Y3031" s="18" t="s">
        <v>36</v>
      </c>
      <c r="Z3031" s="18" t="s">
        <v>697</v>
      </c>
      <c r="AA3031" s="21" t="str">
        <f>HYPERLINK("https://www.ncbi.nlm.nih.gov/nuccore/MH271303","NCBI Nucleotide")</f>
        <v>NCBI Nucleotide</v>
      </c>
    </row>
    <row r="3032" spans="1:27" x14ac:dyDescent="0.35">
      <c r="A3032">
        <v>1024985</v>
      </c>
      <c r="B3032">
        <v>3008</v>
      </c>
      <c r="C3032">
        <v>1</v>
      </c>
      <c r="D3032" s="17" t="s">
        <v>155</v>
      </c>
      <c r="E3032" s="17"/>
      <c r="F3032" s="17" t="s">
        <v>156</v>
      </c>
      <c r="G3032" s="17"/>
      <c r="H3032" s="17" t="s">
        <v>692</v>
      </c>
      <c r="I3032" s="17"/>
      <c r="J3032" s="17" t="s">
        <v>693</v>
      </c>
      <c r="K3032" s="17"/>
      <c r="L3032" s="17"/>
      <c r="M3032" s="17"/>
      <c r="N3032" s="17"/>
      <c r="O3032" s="17" t="s">
        <v>39697</v>
      </c>
      <c r="P3032" s="17" t="s">
        <v>2594</v>
      </c>
      <c r="Q3032" s="17"/>
      <c r="R3032" s="25" t="str">
        <f>HYPERLINK("https://ictv.global/taxonomy/taxondetails?taxnode_id=202319196","Mementomorivirus terij")</f>
        <v>Mementomorivirus terij</v>
      </c>
      <c r="S3032" s="18" t="s">
        <v>30</v>
      </c>
      <c r="T3032" s="18" t="s">
        <v>39706</v>
      </c>
      <c r="U3032" s="18"/>
      <c r="V3032" s="18"/>
      <c r="W3032" s="18" t="s">
        <v>48379</v>
      </c>
      <c r="X3032" s="18" t="s">
        <v>42</v>
      </c>
      <c r="Y3032" s="18" t="s">
        <v>36</v>
      </c>
      <c r="Z3032" s="18" t="s">
        <v>697</v>
      </c>
      <c r="AA3032" s="21" t="str">
        <f>HYPERLINK("https://www.ncbi.nlm.nih.gov/nuccore/MN813684","NCBI Nucleotide")</f>
        <v>NCBI Nucleotide</v>
      </c>
    </row>
    <row r="3033" spans="1:27" x14ac:dyDescent="0.35">
      <c r="A3033">
        <v>1024975</v>
      </c>
      <c r="B3033">
        <v>3009</v>
      </c>
      <c r="C3033">
        <v>1</v>
      </c>
      <c r="D3033" s="17" t="s">
        <v>155</v>
      </c>
      <c r="E3033" s="17"/>
      <c r="F3033" s="17" t="s">
        <v>156</v>
      </c>
      <c r="G3033" s="17"/>
      <c r="H3033" s="17" t="s">
        <v>692</v>
      </c>
      <c r="I3033" s="17"/>
      <c r="J3033" s="17" t="s">
        <v>693</v>
      </c>
      <c r="K3033" s="17"/>
      <c r="L3033" s="17"/>
      <c r="M3033" s="17"/>
      <c r="N3033" s="17"/>
      <c r="O3033" s="17" t="s">
        <v>39697</v>
      </c>
      <c r="P3033" s="17" t="s">
        <v>2606</v>
      </c>
      <c r="Q3033" s="17"/>
      <c r="R3033" s="25" t="str">
        <f>HYPERLINK("https://ictv.global/taxonomy/taxondetails?taxnode_id=202319203","Metamorphoovirus ariadne")</f>
        <v>Metamorphoovirus ariadne</v>
      </c>
      <c r="S3033" s="18" t="s">
        <v>30</v>
      </c>
      <c r="T3033" s="18" t="s">
        <v>39707</v>
      </c>
      <c r="U3033" s="18"/>
      <c r="V3033" s="18"/>
      <c r="W3033" s="18" t="s">
        <v>48380</v>
      </c>
      <c r="X3033" s="18" t="s">
        <v>42</v>
      </c>
      <c r="Y3033" s="18" t="s">
        <v>36</v>
      </c>
      <c r="Z3033" s="18" t="s">
        <v>697</v>
      </c>
      <c r="AA3033" s="21" t="str">
        <f>HYPERLINK("https://www.ncbi.nlm.nih.gov/nuccore/MN585986","NCBI Nucleotide")</f>
        <v>NCBI Nucleotide</v>
      </c>
    </row>
    <row r="3034" spans="1:27" x14ac:dyDescent="0.35">
      <c r="A3034">
        <v>1005899</v>
      </c>
      <c r="B3034">
        <v>3010</v>
      </c>
      <c r="C3034">
        <v>1</v>
      </c>
      <c r="D3034" s="17" t="s">
        <v>155</v>
      </c>
      <c r="E3034" s="17"/>
      <c r="F3034" s="17" t="s">
        <v>156</v>
      </c>
      <c r="G3034" s="17"/>
      <c r="H3034" s="17" t="s">
        <v>692</v>
      </c>
      <c r="I3034" s="17"/>
      <c r="J3034" s="17" t="s">
        <v>693</v>
      </c>
      <c r="K3034" s="17"/>
      <c r="L3034" s="17"/>
      <c r="M3034" s="17"/>
      <c r="N3034" s="17"/>
      <c r="O3034" s="17" t="s">
        <v>39697</v>
      </c>
      <c r="P3034" s="17" t="s">
        <v>2606</v>
      </c>
      <c r="Q3034" s="17"/>
      <c r="R3034" s="25" t="str">
        <f>HYPERLINK("https://ictv.global/taxonomy/taxondetails?taxnode_id=202307898","Metamorphoovirus fireman")</f>
        <v>Metamorphoovirus fireman</v>
      </c>
      <c r="S3034" s="18" t="s">
        <v>30</v>
      </c>
      <c r="T3034" s="18" t="s">
        <v>2607</v>
      </c>
      <c r="U3034" s="18"/>
      <c r="V3034" s="18"/>
      <c r="W3034" s="18" t="s">
        <v>2608</v>
      </c>
      <c r="X3034" s="18" t="s">
        <v>42</v>
      </c>
      <c r="Y3034" s="18" t="s">
        <v>36</v>
      </c>
      <c r="Z3034" s="18" t="s">
        <v>697</v>
      </c>
      <c r="AA3034" s="21" t="str">
        <f>HYPERLINK("https://www.ncbi.nlm.nih.gov/nuccore/MK524510","NCBI Nucleotide")</f>
        <v>NCBI Nucleotide</v>
      </c>
    </row>
    <row r="3035" spans="1:27" x14ac:dyDescent="0.35">
      <c r="A3035">
        <v>1024976</v>
      </c>
      <c r="B3035">
        <v>3011</v>
      </c>
      <c r="C3035">
        <v>1</v>
      </c>
      <c r="D3035" s="17" t="s">
        <v>155</v>
      </c>
      <c r="E3035" s="17"/>
      <c r="F3035" s="17" t="s">
        <v>156</v>
      </c>
      <c r="G3035" s="17"/>
      <c r="H3035" s="17" t="s">
        <v>692</v>
      </c>
      <c r="I3035" s="17"/>
      <c r="J3035" s="17" t="s">
        <v>693</v>
      </c>
      <c r="K3035" s="17"/>
      <c r="L3035" s="17"/>
      <c r="M3035" s="17"/>
      <c r="N3035" s="17"/>
      <c r="O3035" s="17" t="s">
        <v>39697</v>
      </c>
      <c r="P3035" s="17" t="s">
        <v>2606</v>
      </c>
      <c r="Q3035" s="17"/>
      <c r="R3035" s="25" t="str">
        <f>HYPERLINK("https://ictv.global/taxonomy/taxondetails?taxnode_id=202319204","Metamorphoovirus jayden")</f>
        <v>Metamorphoovirus jayden</v>
      </c>
      <c r="S3035" s="18" t="s">
        <v>30</v>
      </c>
      <c r="T3035" s="18" t="s">
        <v>39708</v>
      </c>
      <c r="U3035" s="18"/>
      <c r="V3035" s="18"/>
      <c r="W3035" s="18" t="s">
        <v>48381</v>
      </c>
      <c r="X3035" s="18" t="s">
        <v>42</v>
      </c>
      <c r="Y3035" s="18" t="s">
        <v>36</v>
      </c>
      <c r="Z3035" s="18" t="s">
        <v>697</v>
      </c>
      <c r="AA3035" s="21" t="str">
        <f>HYPERLINK("https://www.ncbi.nlm.nih.gov/nuccore/MN586042","NCBI Nucleotide")</f>
        <v>NCBI Nucleotide</v>
      </c>
    </row>
    <row r="3036" spans="1:27" x14ac:dyDescent="0.35">
      <c r="A3036">
        <v>1005900</v>
      </c>
      <c r="B3036">
        <v>3012</v>
      </c>
      <c r="C3036">
        <v>1</v>
      </c>
      <c r="D3036" s="17" t="s">
        <v>155</v>
      </c>
      <c r="E3036" s="17"/>
      <c r="F3036" s="17" t="s">
        <v>156</v>
      </c>
      <c r="G3036" s="17"/>
      <c r="H3036" s="17" t="s">
        <v>692</v>
      </c>
      <c r="I3036" s="17"/>
      <c r="J3036" s="17" t="s">
        <v>693</v>
      </c>
      <c r="K3036" s="17"/>
      <c r="L3036" s="17"/>
      <c r="M3036" s="17"/>
      <c r="N3036" s="17"/>
      <c r="O3036" s="17" t="s">
        <v>39697</v>
      </c>
      <c r="P3036" s="17" t="s">
        <v>2606</v>
      </c>
      <c r="Q3036" s="17"/>
      <c r="R3036" s="25" t="str">
        <f>HYPERLINK("https://ictv.global/taxonomy/taxondetails?taxnode_id=202307896","Metamorphoovirus metamorphoo")</f>
        <v>Metamorphoovirus metamorphoo</v>
      </c>
      <c r="S3036" s="18" t="s">
        <v>30</v>
      </c>
      <c r="T3036" s="18" t="s">
        <v>2609</v>
      </c>
      <c r="U3036" s="18"/>
      <c r="V3036" s="18"/>
      <c r="W3036" s="18" t="s">
        <v>2610</v>
      </c>
      <c r="X3036" s="18" t="s">
        <v>42</v>
      </c>
      <c r="Y3036" s="18" t="s">
        <v>36</v>
      </c>
      <c r="Z3036" s="18" t="s">
        <v>697</v>
      </c>
      <c r="AA3036" s="21" t="str">
        <f>HYPERLINK("https://www.ncbi.nlm.nih.gov/nuccore/MH271304","NCBI Nucleotide")</f>
        <v>NCBI Nucleotide</v>
      </c>
    </row>
    <row r="3037" spans="1:27" x14ac:dyDescent="0.35">
      <c r="A3037">
        <v>1005901</v>
      </c>
      <c r="B3037">
        <v>3013</v>
      </c>
      <c r="C3037">
        <v>1</v>
      </c>
      <c r="D3037" s="17" t="s">
        <v>155</v>
      </c>
      <c r="E3037" s="17"/>
      <c r="F3037" s="17" t="s">
        <v>156</v>
      </c>
      <c r="G3037" s="17"/>
      <c r="H3037" s="17" t="s">
        <v>692</v>
      </c>
      <c r="I3037" s="17"/>
      <c r="J3037" s="17" t="s">
        <v>693</v>
      </c>
      <c r="K3037" s="17"/>
      <c r="L3037" s="17"/>
      <c r="M3037" s="17"/>
      <c r="N3037" s="17"/>
      <c r="O3037" s="17" t="s">
        <v>39697</v>
      </c>
      <c r="P3037" s="17" t="s">
        <v>2606</v>
      </c>
      <c r="Q3037" s="17"/>
      <c r="R3037" s="25" t="str">
        <f>HYPERLINK("https://ictv.global/taxonomy/taxondetails?taxnode_id=202307897","Metamorphoovirus robsfeet")</f>
        <v>Metamorphoovirus robsfeet</v>
      </c>
      <c r="S3037" s="18" t="s">
        <v>30</v>
      </c>
      <c r="T3037" s="18" t="s">
        <v>2611</v>
      </c>
      <c r="U3037" s="18"/>
      <c r="V3037" s="18"/>
      <c r="W3037" s="18" t="s">
        <v>2612</v>
      </c>
      <c r="X3037" s="18" t="s">
        <v>42</v>
      </c>
      <c r="Y3037" s="18" t="s">
        <v>36</v>
      </c>
      <c r="Z3037" s="18" t="s">
        <v>697</v>
      </c>
      <c r="AA3037" s="21" t="str">
        <f>HYPERLINK("https://www.ncbi.nlm.nih.gov/nuccore/MH271312","NCBI Nucleotide")</f>
        <v>NCBI Nucleotide</v>
      </c>
    </row>
    <row r="3038" spans="1:27" x14ac:dyDescent="0.35">
      <c r="A3038">
        <v>1024977</v>
      </c>
      <c r="B3038">
        <v>3014</v>
      </c>
      <c r="C3038">
        <v>1</v>
      </c>
      <c r="D3038" s="17" t="s">
        <v>155</v>
      </c>
      <c r="E3038" s="17"/>
      <c r="F3038" s="17" t="s">
        <v>156</v>
      </c>
      <c r="G3038" s="17"/>
      <c r="H3038" s="17" t="s">
        <v>692</v>
      </c>
      <c r="I3038" s="17"/>
      <c r="J3038" s="17" t="s">
        <v>693</v>
      </c>
      <c r="K3038" s="17"/>
      <c r="L3038" s="17"/>
      <c r="M3038" s="17"/>
      <c r="N3038" s="17"/>
      <c r="O3038" s="17" t="s">
        <v>39697</v>
      </c>
      <c r="P3038" s="17" t="s">
        <v>2606</v>
      </c>
      <c r="Q3038" s="17"/>
      <c r="R3038" s="25" t="str">
        <f>HYPERLINK("https://ictv.global/taxonomy/taxondetails?taxnode_id=202319205","Metamorphoovirus teamocil")</f>
        <v>Metamorphoovirus teamocil</v>
      </c>
      <c r="S3038" s="18" t="s">
        <v>30</v>
      </c>
      <c r="T3038" s="18" t="s">
        <v>39709</v>
      </c>
      <c r="U3038" s="18"/>
      <c r="V3038" s="18"/>
      <c r="W3038" s="18" t="s">
        <v>48382</v>
      </c>
      <c r="X3038" s="18" t="s">
        <v>42</v>
      </c>
      <c r="Y3038" s="18" t="s">
        <v>36</v>
      </c>
      <c r="Z3038" s="18" t="s">
        <v>697</v>
      </c>
      <c r="AA3038" s="21" t="str">
        <f>HYPERLINK("https://www.ncbi.nlm.nih.gov/nuccore/MN586059","NCBI Nucleotide")</f>
        <v>NCBI Nucleotide</v>
      </c>
    </row>
    <row r="3039" spans="1:27" x14ac:dyDescent="0.35">
      <c r="A3039">
        <v>1024978</v>
      </c>
      <c r="B3039">
        <v>3015</v>
      </c>
      <c r="C3039">
        <v>1</v>
      </c>
      <c r="D3039" s="17" t="s">
        <v>155</v>
      </c>
      <c r="E3039" s="17"/>
      <c r="F3039" s="17" t="s">
        <v>156</v>
      </c>
      <c r="G3039" s="17"/>
      <c r="H3039" s="17" t="s">
        <v>692</v>
      </c>
      <c r="I3039" s="17"/>
      <c r="J3039" s="17" t="s">
        <v>693</v>
      </c>
      <c r="K3039" s="17"/>
      <c r="L3039" s="17"/>
      <c r="M3039" s="17"/>
      <c r="N3039" s="17"/>
      <c r="O3039" s="17" t="s">
        <v>39697</v>
      </c>
      <c r="P3039" s="17" t="s">
        <v>2606</v>
      </c>
      <c r="Q3039" s="17"/>
      <c r="R3039" s="25" t="str">
        <f>HYPERLINK("https://ictv.global/taxonomy/taxondetails?taxnode_id=202319202","Metamorphoovirus tyrumba")</f>
        <v>Metamorphoovirus tyrumba</v>
      </c>
      <c r="S3039" s="18" t="s">
        <v>30</v>
      </c>
      <c r="T3039" s="18" t="s">
        <v>39710</v>
      </c>
      <c r="U3039" s="18"/>
      <c r="V3039" s="18"/>
      <c r="W3039" s="18" t="s">
        <v>48383</v>
      </c>
      <c r="X3039" s="18" t="s">
        <v>42</v>
      </c>
      <c r="Y3039" s="18" t="s">
        <v>36</v>
      </c>
      <c r="Z3039" s="18" t="s">
        <v>697</v>
      </c>
      <c r="AA3039" s="21" t="str">
        <f>HYPERLINK("https://www.ncbi.nlm.nih.gov/nuccore/MN175603","NCBI Nucleotide")</f>
        <v>NCBI Nucleotide</v>
      </c>
    </row>
    <row r="3040" spans="1:27" x14ac:dyDescent="0.35">
      <c r="A3040">
        <v>1024787</v>
      </c>
      <c r="B3040">
        <v>3016</v>
      </c>
      <c r="C3040">
        <v>1</v>
      </c>
      <c r="D3040" s="17" t="s">
        <v>155</v>
      </c>
      <c r="E3040" s="17"/>
      <c r="F3040" s="17" t="s">
        <v>156</v>
      </c>
      <c r="G3040" s="17"/>
      <c r="H3040" s="17" t="s">
        <v>692</v>
      </c>
      <c r="I3040" s="17"/>
      <c r="J3040" s="17" t="s">
        <v>693</v>
      </c>
      <c r="K3040" s="17"/>
      <c r="L3040" s="17"/>
      <c r="M3040" s="17"/>
      <c r="N3040" s="17"/>
      <c r="O3040" s="17" t="s">
        <v>39697</v>
      </c>
      <c r="P3040" s="17" t="s">
        <v>3330</v>
      </c>
      <c r="Q3040" s="17"/>
      <c r="R3040" s="25" t="str">
        <f>HYPERLINK("https://ictv.global/taxonomy/taxondetails?taxnode_id=202319200","Quhwahvirus clearasmud")</f>
        <v>Quhwahvirus clearasmud</v>
      </c>
      <c r="S3040" s="18" t="s">
        <v>30</v>
      </c>
      <c r="T3040" s="18" t="s">
        <v>39711</v>
      </c>
      <c r="U3040" s="18"/>
      <c r="V3040" s="18"/>
      <c r="W3040" s="18" t="s">
        <v>48384</v>
      </c>
      <c r="X3040" s="18" t="s">
        <v>42</v>
      </c>
      <c r="Y3040" s="18" t="s">
        <v>36</v>
      </c>
      <c r="Z3040" s="18" t="s">
        <v>697</v>
      </c>
      <c r="AA3040" s="21" t="str">
        <f>HYPERLINK("https://www.ncbi.nlm.nih.gov/nuccore/MT657336","NCBI Nucleotide")</f>
        <v>NCBI Nucleotide</v>
      </c>
    </row>
    <row r="3041" spans="1:27" x14ac:dyDescent="0.35">
      <c r="A3041">
        <v>1024788</v>
      </c>
      <c r="B3041">
        <v>3017</v>
      </c>
      <c r="C3041">
        <v>1</v>
      </c>
      <c r="D3041" s="17" t="s">
        <v>155</v>
      </c>
      <c r="E3041" s="17"/>
      <c r="F3041" s="17" t="s">
        <v>156</v>
      </c>
      <c r="G3041" s="17"/>
      <c r="H3041" s="17" t="s">
        <v>692</v>
      </c>
      <c r="I3041" s="17"/>
      <c r="J3041" s="17" t="s">
        <v>693</v>
      </c>
      <c r="K3041" s="17"/>
      <c r="L3041" s="17"/>
      <c r="M3041" s="17"/>
      <c r="N3041" s="17"/>
      <c r="O3041" s="17" t="s">
        <v>39697</v>
      </c>
      <c r="P3041" s="17" t="s">
        <v>3330</v>
      </c>
      <c r="Q3041" s="17"/>
      <c r="R3041" s="25" t="str">
        <f>HYPERLINK("https://ictv.global/taxonomy/taxondetails?taxnode_id=202319198","Quhwahvirus honeyfin")</f>
        <v>Quhwahvirus honeyfin</v>
      </c>
      <c r="S3041" s="18" t="s">
        <v>30</v>
      </c>
      <c r="T3041" s="18" t="s">
        <v>39712</v>
      </c>
      <c r="U3041" s="18"/>
      <c r="V3041" s="18"/>
      <c r="W3041" s="18" t="s">
        <v>48385</v>
      </c>
      <c r="X3041" s="18" t="s">
        <v>42</v>
      </c>
      <c r="Y3041" s="18" t="s">
        <v>36</v>
      </c>
      <c r="Z3041" s="18" t="s">
        <v>697</v>
      </c>
      <c r="AA3041" s="21" t="str">
        <f>HYPERLINK("https://www.ncbi.nlm.nih.gov/nuccore/MZ622179","NCBI Nucleotide")</f>
        <v>NCBI Nucleotide</v>
      </c>
    </row>
    <row r="3042" spans="1:27" x14ac:dyDescent="0.35">
      <c r="A3042">
        <v>1006340</v>
      </c>
      <c r="B3042">
        <v>3018</v>
      </c>
      <c r="C3042">
        <v>1</v>
      </c>
      <c r="D3042" s="17" t="s">
        <v>155</v>
      </c>
      <c r="E3042" s="17"/>
      <c r="F3042" s="17" t="s">
        <v>156</v>
      </c>
      <c r="G3042" s="17"/>
      <c r="H3042" s="17" t="s">
        <v>692</v>
      </c>
      <c r="I3042" s="17"/>
      <c r="J3042" s="17" t="s">
        <v>693</v>
      </c>
      <c r="K3042" s="17"/>
      <c r="L3042" s="17"/>
      <c r="M3042" s="17"/>
      <c r="N3042" s="17"/>
      <c r="O3042" s="17" t="s">
        <v>39697</v>
      </c>
      <c r="P3042" s="17" t="s">
        <v>3330</v>
      </c>
      <c r="Q3042" s="17"/>
      <c r="R3042" s="25" t="str">
        <f>HYPERLINK("https://ictv.global/taxonomy/taxondetails?taxnode_id=202307537","Quhwahvirus kaihaidragon")</f>
        <v>Quhwahvirus kaihaidragon</v>
      </c>
      <c r="S3042" s="18" t="s">
        <v>30</v>
      </c>
      <c r="T3042" s="18" t="s">
        <v>3331</v>
      </c>
      <c r="U3042" s="18"/>
      <c r="V3042" s="18"/>
      <c r="W3042" s="18" t="s">
        <v>3332</v>
      </c>
      <c r="X3042" s="18" t="s">
        <v>42</v>
      </c>
      <c r="Y3042" s="18" t="s">
        <v>36</v>
      </c>
      <c r="Z3042" s="18" t="s">
        <v>697</v>
      </c>
      <c r="AA3042" s="21" t="str">
        <f>HYPERLINK("https://www.ncbi.nlm.nih.gov/nuccore/MH590600","NCBI Nucleotide")</f>
        <v>NCBI Nucleotide</v>
      </c>
    </row>
    <row r="3043" spans="1:27" x14ac:dyDescent="0.35">
      <c r="A3043">
        <v>1024789</v>
      </c>
      <c r="B3043">
        <v>3019</v>
      </c>
      <c r="C3043">
        <v>1</v>
      </c>
      <c r="D3043" s="17" t="s">
        <v>155</v>
      </c>
      <c r="E3043" s="17"/>
      <c r="F3043" s="17" t="s">
        <v>156</v>
      </c>
      <c r="G3043" s="17"/>
      <c r="H3043" s="17" t="s">
        <v>692</v>
      </c>
      <c r="I3043" s="17"/>
      <c r="J3043" s="17" t="s">
        <v>693</v>
      </c>
      <c r="K3043" s="17"/>
      <c r="L3043" s="17"/>
      <c r="M3043" s="17"/>
      <c r="N3043" s="17"/>
      <c r="O3043" s="17" t="s">
        <v>39697</v>
      </c>
      <c r="P3043" s="17" t="s">
        <v>3330</v>
      </c>
      <c r="Q3043" s="17"/>
      <c r="R3043" s="25" t="str">
        <f>HYPERLINK("https://ictv.global/taxonomy/taxondetails?taxnode_id=202319201","Quhwahvirus noodelyboi")</f>
        <v>Quhwahvirus noodelyboi</v>
      </c>
      <c r="S3043" s="18" t="s">
        <v>30</v>
      </c>
      <c r="T3043" s="18" t="s">
        <v>39713</v>
      </c>
      <c r="U3043" s="18"/>
      <c r="V3043" s="18"/>
      <c r="W3043" s="18" t="s">
        <v>48386</v>
      </c>
      <c r="X3043" s="18" t="s">
        <v>42</v>
      </c>
      <c r="Y3043" s="18" t="s">
        <v>36</v>
      </c>
      <c r="Z3043" s="18" t="s">
        <v>697</v>
      </c>
      <c r="AA3043" s="21" t="str">
        <f>HYPERLINK("https://www.ncbi.nlm.nih.gov/nuccore/MW578837","NCBI Nucleotide")</f>
        <v>NCBI Nucleotide</v>
      </c>
    </row>
    <row r="3044" spans="1:27" x14ac:dyDescent="0.35">
      <c r="A3044">
        <v>1006342</v>
      </c>
      <c r="B3044">
        <v>3020</v>
      </c>
      <c r="C3044">
        <v>1</v>
      </c>
      <c r="D3044" s="17" t="s">
        <v>155</v>
      </c>
      <c r="E3044" s="17"/>
      <c r="F3044" s="17" t="s">
        <v>156</v>
      </c>
      <c r="G3044" s="17"/>
      <c r="H3044" s="17" t="s">
        <v>692</v>
      </c>
      <c r="I3044" s="17"/>
      <c r="J3044" s="17" t="s">
        <v>693</v>
      </c>
      <c r="K3044" s="17"/>
      <c r="L3044" s="17"/>
      <c r="M3044" s="17"/>
      <c r="N3044" s="17"/>
      <c r="O3044" s="17" t="s">
        <v>39697</v>
      </c>
      <c r="P3044" s="17" t="s">
        <v>3330</v>
      </c>
      <c r="Q3044" s="17"/>
      <c r="R3044" s="25" t="str">
        <f>HYPERLINK("https://ictv.global/taxonomy/taxondetails?taxnode_id=202307536","Quhwahvirus paschalis")</f>
        <v>Quhwahvirus paschalis</v>
      </c>
      <c r="S3044" s="18" t="s">
        <v>30</v>
      </c>
      <c r="T3044" s="18" t="s">
        <v>3335</v>
      </c>
      <c r="U3044" s="18"/>
      <c r="V3044" s="18"/>
      <c r="W3044" s="18" t="s">
        <v>3336</v>
      </c>
      <c r="X3044" s="18" t="s">
        <v>42</v>
      </c>
      <c r="Y3044" s="18" t="s">
        <v>36</v>
      </c>
      <c r="Z3044" s="18" t="s">
        <v>697</v>
      </c>
      <c r="AA3044" s="21" t="str">
        <f>HYPERLINK("https://www.ncbi.nlm.nih.gov/nuccore/MH155873","NCBI Nucleotide")</f>
        <v>NCBI Nucleotide</v>
      </c>
    </row>
    <row r="3045" spans="1:27" x14ac:dyDescent="0.35">
      <c r="A3045">
        <v>1006341</v>
      </c>
      <c r="B3045">
        <v>3021</v>
      </c>
      <c r="C3045">
        <v>1</v>
      </c>
      <c r="D3045" s="17" t="s">
        <v>155</v>
      </c>
      <c r="E3045" s="17"/>
      <c r="F3045" s="17" t="s">
        <v>156</v>
      </c>
      <c r="G3045" s="17"/>
      <c r="H3045" s="17" t="s">
        <v>692</v>
      </c>
      <c r="I3045" s="17"/>
      <c r="J3045" s="17" t="s">
        <v>693</v>
      </c>
      <c r="K3045" s="17"/>
      <c r="L3045" s="17"/>
      <c r="M3045" s="17"/>
      <c r="N3045" s="17"/>
      <c r="O3045" s="17" t="s">
        <v>39697</v>
      </c>
      <c r="P3045" s="17" t="s">
        <v>3330</v>
      </c>
      <c r="Q3045" s="17"/>
      <c r="R3045" s="25" t="str">
        <f>HYPERLINK("https://ictv.global/taxonomy/taxondetails?taxnode_id=202307535","Quhwahvirus quhwah")</f>
        <v>Quhwahvirus quhwah</v>
      </c>
      <c r="S3045" s="18" t="s">
        <v>30</v>
      </c>
      <c r="T3045" s="18" t="s">
        <v>3333</v>
      </c>
      <c r="U3045" s="18"/>
      <c r="V3045" s="18"/>
      <c r="W3045" s="18" t="s">
        <v>3334</v>
      </c>
      <c r="X3045" s="18" t="s">
        <v>42</v>
      </c>
      <c r="Y3045" s="18" t="s">
        <v>36</v>
      </c>
      <c r="Z3045" s="18" t="s">
        <v>697</v>
      </c>
      <c r="AA3045" s="21" t="str">
        <f>HYPERLINK("https://www.ncbi.nlm.nih.gov/nuccore/MH271321","NCBI Nucleotide")</f>
        <v>NCBI Nucleotide</v>
      </c>
    </row>
    <row r="3046" spans="1:27" x14ac:dyDescent="0.35">
      <c r="A3046">
        <v>1024790</v>
      </c>
      <c r="B3046">
        <v>3022</v>
      </c>
      <c r="C3046">
        <v>1</v>
      </c>
      <c r="D3046" s="17" t="s">
        <v>155</v>
      </c>
      <c r="E3046" s="17"/>
      <c r="F3046" s="17" t="s">
        <v>156</v>
      </c>
      <c r="G3046" s="17"/>
      <c r="H3046" s="17" t="s">
        <v>692</v>
      </c>
      <c r="I3046" s="17"/>
      <c r="J3046" s="17" t="s">
        <v>693</v>
      </c>
      <c r="K3046" s="17"/>
      <c r="L3046" s="17"/>
      <c r="M3046" s="17"/>
      <c r="N3046" s="17"/>
      <c r="O3046" s="17" t="s">
        <v>39697</v>
      </c>
      <c r="P3046" s="17" t="s">
        <v>3330</v>
      </c>
      <c r="Q3046" s="17"/>
      <c r="R3046" s="25" t="str">
        <f>HYPERLINK("https://ictv.global/taxonomy/taxondetails?taxnode_id=202319199","Quhwahvirus shotgun")</f>
        <v>Quhwahvirus shotgun</v>
      </c>
      <c r="S3046" s="18" t="s">
        <v>30</v>
      </c>
      <c r="T3046" s="18" t="s">
        <v>39714</v>
      </c>
      <c r="U3046" s="18"/>
      <c r="V3046" s="18"/>
      <c r="W3046" s="18" t="s">
        <v>48387</v>
      </c>
      <c r="X3046" s="18" t="s">
        <v>42</v>
      </c>
      <c r="Y3046" s="18" t="s">
        <v>36</v>
      </c>
      <c r="Z3046" s="18" t="s">
        <v>697</v>
      </c>
      <c r="AA3046" s="21" t="str">
        <f>HYPERLINK("https://www.ncbi.nlm.nih.gov/nuccore/MZ648035","NCBI Nucleotide")</f>
        <v>NCBI Nucleotide</v>
      </c>
    </row>
    <row r="3047" spans="1:27" x14ac:dyDescent="0.35">
      <c r="A3047">
        <v>1003959</v>
      </c>
      <c r="B3047">
        <v>3023</v>
      </c>
      <c r="C3047">
        <v>1</v>
      </c>
      <c r="D3047" s="17" t="s">
        <v>155</v>
      </c>
      <c r="E3047" s="17"/>
      <c r="F3047" s="17" t="s">
        <v>156</v>
      </c>
      <c r="G3047" s="17"/>
      <c r="H3047" s="17" t="s">
        <v>692</v>
      </c>
      <c r="I3047" s="17"/>
      <c r="J3047" s="17" t="s">
        <v>693</v>
      </c>
      <c r="K3047" s="17"/>
      <c r="L3047" s="17"/>
      <c r="M3047" s="17"/>
      <c r="N3047" s="17"/>
      <c r="O3047" s="17" t="s">
        <v>5443</v>
      </c>
      <c r="P3047" s="17" t="s">
        <v>5444</v>
      </c>
      <c r="Q3047" s="17"/>
      <c r="R3047" s="25" t="str">
        <f>HYPERLINK("https://ictv.global/taxonomy/taxondetails?taxnode_id=202307882","Getalongvirus asapag")</f>
        <v>Getalongvirus asapag</v>
      </c>
      <c r="S3047" s="18" t="s">
        <v>30</v>
      </c>
      <c r="T3047" s="18" t="s">
        <v>5445</v>
      </c>
      <c r="U3047" s="18"/>
      <c r="V3047" s="18"/>
      <c r="W3047" s="18" t="s">
        <v>5446</v>
      </c>
      <c r="X3047" s="18" t="s">
        <v>42</v>
      </c>
      <c r="Y3047" s="18" t="s">
        <v>36</v>
      </c>
      <c r="Z3047" s="18" t="s">
        <v>697</v>
      </c>
      <c r="AA3047" s="21" t="str">
        <f>HYPERLINK("https://www.ncbi.nlm.nih.gov/nuccore/MK376961","NCBI Nucleotide")</f>
        <v>NCBI Nucleotide</v>
      </c>
    </row>
    <row r="3048" spans="1:27" x14ac:dyDescent="0.35">
      <c r="A3048">
        <v>1003960</v>
      </c>
      <c r="B3048">
        <v>3024</v>
      </c>
      <c r="C3048">
        <v>1</v>
      </c>
      <c r="D3048" s="17" t="s">
        <v>155</v>
      </c>
      <c r="E3048" s="17"/>
      <c r="F3048" s="17" t="s">
        <v>156</v>
      </c>
      <c r="G3048" s="17"/>
      <c r="H3048" s="17" t="s">
        <v>692</v>
      </c>
      <c r="I3048" s="17"/>
      <c r="J3048" s="17" t="s">
        <v>693</v>
      </c>
      <c r="K3048" s="17"/>
      <c r="L3048" s="17"/>
      <c r="M3048" s="17"/>
      <c r="N3048" s="17"/>
      <c r="O3048" s="17" t="s">
        <v>5443</v>
      </c>
      <c r="P3048" s="17" t="s">
        <v>5444</v>
      </c>
      <c r="Q3048" s="17"/>
      <c r="R3048" s="25" t="str">
        <f>HYPERLINK("https://ictv.global/taxonomy/taxondetails?taxnode_id=202307884","Getalongvirus bentherdunthat")</f>
        <v>Getalongvirus bentherdunthat</v>
      </c>
      <c r="S3048" s="18" t="s">
        <v>30</v>
      </c>
      <c r="T3048" s="18" t="s">
        <v>5447</v>
      </c>
      <c r="U3048" s="18"/>
      <c r="V3048" s="18"/>
      <c r="W3048" s="18" t="s">
        <v>5448</v>
      </c>
      <c r="X3048" s="18" t="s">
        <v>42</v>
      </c>
      <c r="Y3048" s="18" t="s">
        <v>36</v>
      </c>
      <c r="Z3048" s="18" t="s">
        <v>697</v>
      </c>
      <c r="AA3048" s="21" t="str">
        <f>HYPERLINK("https://www.ncbi.nlm.nih.gov/nuccore/MG099939","NCBI Nucleotide")</f>
        <v>NCBI Nucleotide</v>
      </c>
    </row>
    <row r="3049" spans="1:27" x14ac:dyDescent="0.35">
      <c r="A3049">
        <v>1003961</v>
      </c>
      <c r="B3049">
        <v>3025</v>
      </c>
      <c r="C3049">
        <v>1</v>
      </c>
      <c r="D3049" s="17" t="s">
        <v>155</v>
      </c>
      <c r="E3049" s="17"/>
      <c r="F3049" s="17" t="s">
        <v>156</v>
      </c>
      <c r="G3049" s="17"/>
      <c r="H3049" s="17" t="s">
        <v>692</v>
      </c>
      <c r="I3049" s="17"/>
      <c r="J3049" s="17" t="s">
        <v>693</v>
      </c>
      <c r="K3049" s="17"/>
      <c r="L3049" s="17"/>
      <c r="M3049" s="17"/>
      <c r="N3049" s="17"/>
      <c r="O3049" s="17" t="s">
        <v>5443</v>
      </c>
      <c r="P3049" s="17" t="s">
        <v>5444</v>
      </c>
      <c r="Q3049" s="17"/>
      <c r="R3049" s="25" t="str">
        <f>HYPERLINK("https://ictv.global/taxonomy/taxondetails?taxnode_id=202307881","Getalongvirus getalong")</f>
        <v>Getalongvirus getalong</v>
      </c>
      <c r="S3049" s="18" t="s">
        <v>30</v>
      </c>
      <c r="T3049" s="18" t="s">
        <v>5449</v>
      </c>
      <c r="U3049" s="18"/>
      <c r="V3049" s="18"/>
      <c r="W3049" s="18" t="s">
        <v>5450</v>
      </c>
      <c r="X3049" s="18" t="s">
        <v>42</v>
      </c>
      <c r="Y3049" s="18" t="s">
        <v>36</v>
      </c>
      <c r="Z3049" s="18" t="s">
        <v>697</v>
      </c>
      <c r="AA3049" s="21" t="str">
        <f>HYPERLINK("https://www.ncbi.nlm.nih.gov/nuccore/MH779504","NCBI Nucleotide")</f>
        <v>NCBI Nucleotide</v>
      </c>
    </row>
    <row r="3050" spans="1:27" x14ac:dyDescent="0.35">
      <c r="A3050">
        <v>1003962</v>
      </c>
      <c r="B3050">
        <v>3026</v>
      </c>
      <c r="C3050">
        <v>1</v>
      </c>
      <c r="D3050" s="17" t="s">
        <v>155</v>
      </c>
      <c r="E3050" s="17"/>
      <c r="F3050" s="17" t="s">
        <v>156</v>
      </c>
      <c r="G3050" s="17"/>
      <c r="H3050" s="17" t="s">
        <v>692</v>
      </c>
      <c r="I3050" s="17"/>
      <c r="J3050" s="17" t="s">
        <v>693</v>
      </c>
      <c r="K3050" s="17"/>
      <c r="L3050" s="17"/>
      <c r="M3050" s="17"/>
      <c r="N3050" s="17"/>
      <c r="O3050" s="17" t="s">
        <v>5443</v>
      </c>
      <c r="P3050" s="17" t="s">
        <v>5444</v>
      </c>
      <c r="Q3050" s="17"/>
      <c r="R3050" s="25" t="str">
        <f>HYPERLINK("https://ictv.global/taxonomy/taxondetails?taxnode_id=202307883","Getalongvirus kenna")</f>
        <v>Getalongvirus kenna</v>
      </c>
      <c r="S3050" s="18" t="s">
        <v>30</v>
      </c>
      <c r="T3050" s="18" t="s">
        <v>5451</v>
      </c>
      <c r="U3050" s="18"/>
      <c r="V3050" s="18"/>
      <c r="W3050" s="18" t="s">
        <v>5452</v>
      </c>
      <c r="X3050" s="18" t="s">
        <v>42</v>
      </c>
      <c r="Y3050" s="18" t="s">
        <v>36</v>
      </c>
      <c r="Z3050" s="18" t="s">
        <v>697</v>
      </c>
      <c r="AA3050" s="21" t="str">
        <f>HYPERLINK("https://www.ncbi.nlm.nih.gov/nuccore/MK279906","NCBI Nucleotide")</f>
        <v>NCBI Nucleotide</v>
      </c>
    </row>
    <row r="3051" spans="1:27" x14ac:dyDescent="0.35">
      <c r="A3051">
        <v>1003963</v>
      </c>
      <c r="B3051">
        <v>3027</v>
      </c>
      <c r="C3051">
        <v>1</v>
      </c>
      <c r="D3051" s="17" t="s">
        <v>155</v>
      </c>
      <c r="E3051" s="17"/>
      <c r="F3051" s="17" t="s">
        <v>156</v>
      </c>
      <c r="G3051" s="17"/>
      <c r="H3051" s="17" t="s">
        <v>692</v>
      </c>
      <c r="I3051" s="17"/>
      <c r="J3051" s="17" t="s">
        <v>693</v>
      </c>
      <c r="K3051" s="17"/>
      <c r="L3051" s="17"/>
      <c r="M3051" s="17"/>
      <c r="N3051" s="17"/>
      <c r="O3051" s="17" t="s">
        <v>5443</v>
      </c>
      <c r="P3051" s="17" t="s">
        <v>5453</v>
      </c>
      <c r="Q3051" s="17"/>
      <c r="R3051" s="25" t="str">
        <f>HYPERLINK("https://ictv.global/taxonomy/taxondetails?taxnode_id=202307886","Horusvirus horus")</f>
        <v>Horusvirus horus</v>
      </c>
      <c r="S3051" s="18" t="s">
        <v>30</v>
      </c>
      <c r="T3051" s="18" t="s">
        <v>5454</v>
      </c>
      <c r="U3051" s="18"/>
      <c r="V3051" s="18"/>
      <c r="W3051" s="18" t="s">
        <v>5455</v>
      </c>
      <c r="X3051" s="18" t="s">
        <v>42</v>
      </c>
      <c r="Y3051" s="18" t="s">
        <v>36</v>
      </c>
      <c r="Z3051" s="18" t="s">
        <v>697</v>
      </c>
      <c r="AA3051" s="21" t="str">
        <f>HYPERLINK("https://www.ncbi.nlm.nih.gov/nuccore/MH651176","NCBI Nucleotide")</f>
        <v>NCBI Nucleotide</v>
      </c>
    </row>
    <row r="3052" spans="1:27" x14ac:dyDescent="0.35">
      <c r="A3052">
        <v>1003964</v>
      </c>
      <c r="B3052">
        <v>3028</v>
      </c>
      <c r="C3052">
        <v>1</v>
      </c>
      <c r="D3052" s="17" t="s">
        <v>155</v>
      </c>
      <c r="E3052" s="17"/>
      <c r="F3052" s="17" t="s">
        <v>156</v>
      </c>
      <c r="G3052" s="17"/>
      <c r="H3052" s="17" t="s">
        <v>692</v>
      </c>
      <c r="I3052" s="17"/>
      <c r="J3052" s="17" t="s">
        <v>693</v>
      </c>
      <c r="K3052" s="17"/>
      <c r="L3052" s="17"/>
      <c r="M3052" s="17"/>
      <c r="N3052" s="17"/>
      <c r="O3052" s="17" t="s">
        <v>5443</v>
      </c>
      <c r="P3052" s="17" t="s">
        <v>5456</v>
      </c>
      <c r="Q3052" s="17"/>
      <c r="R3052" s="25" t="str">
        <f>HYPERLINK("https://ictv.global/taxonomy/taxondetails?taxnode_id=202307888","Phistoryvirus phistory")</f>
        <v>Phistoryvirus phistory</v>
      </c>
      <c r="S3052" s="18" t="s">
        <v>30</v>
      </c>
      <c r="T3052" s="18" t="s">
        <v>5457</v>
      </c>
      <c r="U3052" s="18"/>
      <c r="V3052" s="18"/>
      <c r="W3052" s="18" t="s">
        <v>5458</v>
      </c>
      <c r="X3052" s="18" t="s">
        <v>42</v>
      </c>
      <c r="Y3052" s="18" t="s">
        <v>36</v>
      </c>
      <c r="Z3052" s="18" t="s">
        <v>697</v>
      </c>
      <c r="AA3052" s="21" t="str">
        <f>HYPERLINK("https://www.ncbi.nlm.nih.gov/nuccore/MH651185","NCBI Nucleotide")</f>
        <v>NCBI Nucleotide</v>
      </c>
    </row>
    <row r="3053" spans="1:27" x14ac:dyDescent="0.35">
      <c r="A3053">
        <v>1003965</v>
      </c>
      <c r="B3053">
        <v>3029</v>
      </c>
      <c r="C3053">
        <v>1</v>
      </c>
      <c r="D3053" s="17" t="s">
        <v>155</v>
      </c>
      <c r="E3053" s="17"/>
      <c r="F3053" s="17" t="s">
        <v>156</v>
      </c>
      <c r="G3053" s="17"/>
      <c r="H3053" s="17" t="s">
        <v>692</v>
      </c>
      <c r="I3053" s="17"/>
      <c r="J3053" s="17" t="s">
        <v>693</v>
      </c>
      <c r="K3053" s="17"/>
      <c r="L3053" s="17"/>
      <c r="M3053" s="17"/>
      <c r="N3053" s="17"/>
      <c r="O3053" s="17" t="s">
        <v>5459</v>
      </c>
      <c r="P3053" s="17" t="s">
        <v>5460</v>
      </c>
      <c r="Q3053" s="17"/>
      <c r="R3053" s="25" t="str">
        <f>HYPERLINK("https://ictv.global/taxonomy/taxondetails?taxnode_id=202310215","Limdunavirus LDG")</f>
        <v>Limdunavirus LDG</v>
      </c>
      <c r="S3053" s="18" t="s">
        <v>30</v>
      </c>
      <c r="T3053" s="18" t="s">
        <v>5461</v>
      </c>
      <c r="U3053" s="18"/>
      <c r="V3053" s="18"/>
      <c r="W3053" s="18" t="s">
        <v>5462</v>
      </c>
      <c r="X3053" s="18" t="s">
        <v>42</v>
      </c>
      <c r="Y3053" s="18" t="s">
        <v>36</v>
      </c>
      <c r="Z3053" s="18" t="s">
        <v>697</v>
      </c>
      <c r="AA3053" s="21" t="str">
        <f>HYPERLINK("https://www.ncbi.nlm.nih.gov/nuccore/KX555527","NCBI Nucleotide")</f>
        <v>NCBI Nucleotide</v>
      </c>
    </row>
    <row r="3054" spans="1:27" x14ac:dyDescent="0.35">
      <c r="A3054">
        <v>1003966</v>
      </c>
      <c r="B3054">
        <v>3030</v>
      </c>
      <c r="C3054">
        <v>1</v>
      </c>
      <c r="D3054" s="17" t="s">
        <v>155</v>
      </c>
      <c r="E3054" s="17"/>
      <c r="F3054" s="17" t="s">
        <v>156</v>
      </c>
      <c r="G3054" s="17"/>
      <c r="H3054" s="17" t="s">
        <v>692</v>
      </c>
      <c r="I3054" s="17"/>
      <c r="J3054" s="17" t="s">
        <v>693</v>
      </c>
      <c r="K3054" s="17"/>
      <c r="L3054" s="17"/>
      <c r="M3054" s="17"/>
      <c r="N3054" s="17"/>
      <c r="O3054" s="17" t="s">
        <v>5459</v>
      </c>
      <c r="P3054" s="17" t="s">
        <v>5460</v>
      </c>
      <c r="Q3054" s="17"/>
      <c r="R3054" s="25" t="str">
        <f>HYPERLINK("https://ictv.global/taxonomy/taxondetails?taxnode_id=202305513","Limdunavirus Lmd1")</f>
        <v>Limdunavirus Lmd1</v>
      </c>
      <c r="S3054" s="18" t="s">
        <v>30</v>
      </c>
      <c r="T3054" s="18" t="s">
        <v>5463</v>
      </c>
      <c r="U3054" s="18"/>
      <c r="V3054" s="18"/>
      <c r="W3054" s="18" t="s">
        <v>5464</v>
      </c>
      <c r="X3054" s="18" t="s">
        <v>42</v>
      </c>
      <c r="Y3054" s="18" t="s">
        <v>36</v>
      </c>
      <c r="Z3054" s="18" t="s">
        <v>697</v>
      </c>
      <c r="AA3054" s="21" t="str">
        <f>HYPERLINK("https://www.ncbi.nlm.nih.gov/nuccore/JQ659259","NCBI Nucleotide")</f>
        <v>NCBI Nucleotide</v>
      </c>
    </row>
    <row r="3055" spans="1:27" x14ac:dyDescent="0.35">
      <c r="A3055">
        <v>1003967</v>
      </c>
      <c r="B3055">
        <v>3031</v>
      </c>
      <c r="C3055">
        <v>1</v>
      </c>
      <c r="D3055" s="17" t="s">
        <v>155</v>
      </c>
      <c r="E3055" s="17"/>
      <c r="F3055" s="17" t="s">
        <v>156</v>
      </c>
      <c r="G3055" s="17"/>
      <c r="H3055" s="17" t="s">
        <v>692</v>
      </c>
      <c r="I3055" s="17"/>
      <c r="J3055" s="17" t="s">
        <v>693</v>
      </c>
      <c r="K3055" s="17"/>
      <c r="L3055" s="17"/>
      <c r="M3055" s="17"/>
      <c r="N3055" s="17"/>
      <c r="O3055" s="17" t="s">
        <v>5459</v>
      </c>
      <c r="P3055" s="17" t="s">
        <v>5460</v>
      </c>
      <c r="Q3055" s="17"/>
      <c r="R3055" s="25" t="str">
        <f>HYPERLINK("https://ictv.global/taxonomy/taxondetails?taxnode_id=202305514","Limdunavirus LN03")</f>
        <v>Limdunavirus LN03</v>
      </c>
      <c r="S3055" s="18" t="s">
        <v>30</v>
      </c>
      <c r="T3055" s="18" t="s">
        <v>5465</v>
      </c>
      <c r="U3055" s="18"/>
      <c r="V3055" s="18"/>
      <c r="W3055" s="18" t="s">
        <v>5466</v>
      </c>
      <c r="X3055" s="18" t="s">
        <v>42</v>
      </c>
      <c r="Y3055" s="18" t="s">
        <v>36</v>
      </c>
      <c r="Z3055" s="18" t="s">
        <v>697</v>
      </c>
      <c r="AA3055" s="21" t="str">
        <f>HYPERLINK("https://www.ncbi.nlm.nih.gov/nuccore/KC013022","NCBI Nucleotide")</f>
        <v>NCBI Nucleotide</v>
      </c>
    </row>
    <row r="3056" spans="1:27" x14ac:dyDescent="0.35">
      <c r="A3056">
        <v>1003968</v>
      </c>
      <c r="B3056">
        <v>3032</v>
      </c>
      <c r="C3056">
        <v>1</v>
      </c>
      <c r="D3056" s="17" t="s">
        <v>155</v>
      </c>
      <c r="E3056" s="17"/>
      <c r="F3056" s="17" t="s">
        <v>156</v>
      </c>
      <c r="G3056" s="17"/>
      <c r="H3056" s="17" t="s">
        <v>692</v>
      </c>
      <c r="I3056" s="17"/>
      <c r="J3056" s="17" t="s">
        <v>693</v>
      </c>
      <c r="K3056" s="17"/>
      <c r="L3056" s="17"/>
      <c r="M3056" s="17"/>
      <c r="N3056" s="17"/>
      <c r="O3056" s="17" t="s">
        <v>5459</v>
      </c>
      <c r="P3056" s="17" t="s">
        <v>5460</v>
      </c>
      <c r="Q3056" s="17"/>
      <c r="R3056" s="25" t="str">
        <f>HYPERLINK("https://ictv.global/taxonomy/taxondetails?taxnode_id=202305515","Limdunavirus LN04")</f>
        <v>Limdunavirus LN04</v>
      </c>
      <c r="S3056" s="18" t="s">
        <v>30</v>
      </c>
      <c r="T3056" s="18" t="s">
        <v>5467</v>
      </c>
      <c r="U3056" s="18"/>
      <c r="V3056" s="18"/>
      <c r="W3056" s="18" t="s">
        <v>5468</v>
      </c>
      <c r="X3056" s="18" t="s">
        <v>42</v>
      </c>
      <c r="Y3056" s="18" t="s">
        <v>36</v>
      </c>
      <c r="Z3056" s="18" t="s">
        <v>697</v>
      </c>
      <c r="AA3056" s="21" t="str">
        <f>HYPERLINK("https://www.ncbi.nlm.nih.gov/nuccore/KC013023","NCBI Nucleotide")</f>
        <v>NCBI Nucleotide</v>
      </c>
    </row>
    <row r="3057" spans="1:27" x14ac:dyDescent="0.35">
      <c r="A3057">
        <v>1003969</v>
      </c>
      <c r="B3057">
        <v>3033</v>
      </c>
      <c r="C3057">
        <v>1</v>
      </c>
      <c r="D3057" s="17" t="s">
        <v>155</v>
      </c>
      <c r="E3057" s="17"/>
      <c r="F3057" s="17" t="s">
        <v>156</v>
      </c>
      <c r="G3057" s="17"/>
      <c r="H3057" s="17" t="s">
        <v>692</v>
      </c>
      <c r="I3057" s="17"/>
      <c r="J3057" s="17" t="s">
        <v>693</v>
      </c>
      <c r="K3057" s="17"/>
      <c r="L3057" s="17"/>
      <c r="M3057" s="17"/>
      <c r="N3057" s="17"/>
      <c r="O3057" s="17" t="s">
        <v>5459</v>
      </c>
      <c r="P3057" s="17" t="s">
        <v>5460</v>
      </c>
      <c r="Q3057" s="17"/>
      <c r="R3057" s="25" t="str">
        <f>HYPERLINK("https://ictv.global/taxonomy/taxondetails?taxnode_id=202305516","Limdunavirus LN12")</f>
        <v>Limdunavirus LN12</v>
      </c>
      <c r="S3057" s="18" t="s">
        <v>30</v>
      </c>
      <c r="T3057" s="18" t="s">
        <v>5469</v>
      </c>
      <c r="U3057" s="18"/>
      <c r="V3057" s="18"/>
      <c r="W3057" s="18" t="s">
        <v>5470</v>
      </c>
      <c r="X3057" s="18" t="s">
        <v>42</v>
      </c>
      <c r="Y3057" s="18" t="s">
        <v>36</v>
      </c>
      <c r="Z3057" s="18" t="s">
        <v>697</v>
      </c>
      <c r="AA3057" s="21" t="str">
        <f>HYPERLINK("https://www.ncbi.nlm.nih.gov/nuccore/KC013025","NCBI Nucleotide")</f>
        <v>NCBI Nucleotide</v>
      </c>
    </row>
    <row r="3058" spans="1:27" x14ac:dyDescent="0.35">
      <c r="A3058">
        <v>1003970</v>
      </c>
      <c r="B3058">
        <v>3034</v>
      </c>
      <c r="C3058">
        <v>1</v>
      </c>
      <c r="D3058" s="17" t="s">
        <v>155</v>
      </c>
      <c r="E3058" s="17"/>
      <c r="F3058" s="17" t="s">
        <v>156</v>
      </c>
      <c r="G3058" s="17"/>
      <c r="H3058" s="17" t="s">
        <v>692</v>
      </c>
      <c r="I3058" s="17"/>
      <c r="J3058" s="17" t="s">
        <v>693</v>
      </c>
      <c r="K3058" s="17"/>
      <c r="L3058" s="17"/>
      <c r="M3058" s="17"/>
      <c r="N3058" s="17"/>
      <c r="O3058" s="17" t="s">
        <v>5459</v>
      </c>
      <c r="P3058" s="17" t="s">
        <v>5460</v>
      </c>
      <c r="Q3058" s="17"/>
      <c r="R3058" s="25" t="str">
        <f>HYPERLINK("https://ictv.global/taxonomy/taxondetails?taxnode_id=202305518","Limdunavirus P793")</f>
        <v>Limdunavirus P793</v>
      </c>
      <c r="S3058" s="18" t="s">
        <v>30</v>
      </c>
      <c r="T3058" s="18" t="s">
        <v>5471</v>
      </c>
      <c r="U3058" s="18"/>
      <c r="V3058" s="18"/>
      <c r="W3058" s="18" t="s">
        <v>5472</v>
      </c>
      <c r="X3058" s="18" t="s">
        <v>42</v>
      </c>
      <c r="Y3058" s="18" t="s">
        <v>36</v>
      </c>
      <c r="Z3058" s="18" t="s">
        <v>697</v>
      </c>
      <c r="AA3058" s="21" t="str">
        <f>HYPERLINK("https://www.ncbi.nlm.nih.gov/nuccore/KC013021","NCBI Nucleotide")</f>
        <v>NCBI Nucleotide</v>
      </c>
    </row>
    <row r="3059" spans="1:27" x14ac:dyDescent="0.35">
      <c r="A3059">
        <v>1003971</v>
      </c>
      <c r="B3059">
        <v>3035</v>
      </c>
      <c r="C3059">
        <v>1</v>
      </c>
      <c r="D3059" s="17" t="s">
        <v>155</v>
      </c>
      <c r="E3059" s="17"/>
      <c r="F3059" s="17" t="s">
        <v>156</v>
      </c>
      <c r="G3059" s="17"/>
      <c r="H3059" s="17" t="s">
        <v>692</v>
      </c>
      <c r="I3059" s="17"/>
      <c r="J3059" s="17" t="s">
        <v>693</v>
      </c>
      <c r="K3059" s="17"/>
      <c r="L3059" s="17"/>
      <c r="M3059" s="17"/>
      <c r="N3059" s="17"/>
      <c r="O3059" s="17" t="s">
        <v>5459</v>
      </c>
      <c r="P3059" s="17" t="s">
        <v>5460</v>
      </c>
      <c r="Q3059" s="17"/>
      <c r="R3059" s="25" t="str">
        <f>HYPERLINK("https://ictv.global/taxonomy/taxondetails?taxnode_id=202310214","Limdunavirus P965")</f>
        <v>Limdunavirus P965</v>
      </c>
      <c r="S3059" s="18" t="s">
        <v>30</v>
      </c>
      <c r="T3059" s="18" t="s">
        <v>5473</v>
      </c>
      <c r="U3059" s="18"/>
      <c r="V3059" s="18"/>
      <c r="W3059" s="18" t="s">
        <v>5474</v>
      </c>
      <c r="X3059" s="18" t="s">
        <v>42</v>
      </c>
      <c r="Y3059" s="18" t="s">
        <v>36</v>
      </c>
      <c r="Z3059" s="18" t="s">
        <v>697</v>
      </c>
      <c r="AA3059" s="21" t="str">
        <f>HYPERLINK("https://www.ncbi.nlm.nih.gov/nuccore/MN552146","NCBI Nucleotide")</f>
        <v>NCBI Nucleotide</v>
      </c>
    </row>
    <row r="3060" spans="1:27" x14ac:dyDescent="0.35">
      <c r="A3060">
        <v>1003974</v>
      </c>
      <c r="B3060">
        <v>3036</v>
      </c>
      <c r="C3060">
        <v>1</v>
      </c>
      <c r="D3060" s="17" t="s">
        <v>155</v>
      </c>
      <c r="E3060" s="17"/>
      <c r="F3060" s="17" t="s">
        <v>156</v>
      </c>
      <c r="G3060" s="17"/>
      <c r="H3060" s="17" t="s">
        <v>692</v>
      </c>
      <c r="I3060" s="17"/>
      <c r="J3060" s="17" t="s">
        <v>693</v>
      </c>
      <c r="K3060" s="17"/>
      <c r="L3060" s="17"/>
      <c r="M3060" s="17"/>
      <c r="N3060" s="17"/>
      <c r="O3060" s="17" t="s">
        <v>5459</v>
      </c>
      <c r="P3060" s="17" t="s">
        <v>5475</v>
      </c>
      <c r="Q3060" s="17"/>
      <c r="R3060" s="25" t="str">
        <f>HYPERLINK("https://ictv.global/taxonomy/taxondetails?taxnode_id=202310216","Unaquatrovirus Ln7")</f>
        <v>Unaquatrovirus Ln7</v>
      </c>
      <c r="S3060" s="18" t="s">
        <v>30</v>
      </c>
      <c r="T3060" s="18" t="s">
        <v>5480</v>
      </c>
      <c r="U3060" s="18"/>
      <c r="V3060" s="18"/>
      <c r="W3060" s="18" t="s">
        <v>5481</v>
      </c>
      <c r="X3060" s="18" t="s">
        <v>42</v>
      </c>
      <c r="Y3060" s="18" t="s">
        <v>36</v>
      </c>
      <c r="Z3060" s="18" t="s">
        <v>697</v>
      </c>
      <c r="AA3060" s="21" t="str">
        <f>HYPERLINK("https://www.ncbi.nlm.nih.gov/nuccore/KX578042","NCBI Nucleotide")</f>
        <v>NCBI Nucleotide</v>
      </c>
    </row>
    <row r="3061" spans="1:27" x14ac:dyDescent="0.35">
      <c r="A3061">
        <v>1003975</v>
      </c>
      <c r="B3061">
        <v>3037</v>
      </c>
      <c r="C3061">
        <v>1</v>
      </c>
      <c r="D3061" s="17" t="s">
        <v>155</v>
      </c>
      <c r="E3061" s="17"/>
      <c r="F3061" s="17" t="s">
        <v>156</v>
      </c>
      <c r="G3061" s="17"/>
      <c r="H3061" s="17" t="s">
        <v>692</v>
      </c>
      <c r="I3061" s="17"/>
      <c r="J3061" s="17" t="s">
        <v>693</v>
      </c>
      <c r="K3061" s="17"/>
      <c r="L3061" s="17"/>
      <c r="M3061" s="17"/>
      <c r="N3061" s="17"/>
      <c r="O3061" s="17" t="s">
        <v>5459</v>
      </c>
      <c r="P3061" s="17" t="s">
        <v>5475</v>
      </c>
      <c r="Q3061" s="17"/>
      <c r="R3061" s="25" t="str">
        <f>HYPERLINK("https://ictv.global/taxonomy/taxondetails?taxnode_id=202305524","Unaquatrovirus Ln9")</f>
        <v>Unaquatrovirus Ln9</v>
      </c>
      <c r="S3061" s="18" t="s">
        <v>30</v>
      </c>
      <c r="T3061" s="18" t="s">
        <v>5482</v>
      </c>
      <c r="U3061" s="18"/>
      <c r="V3061" s="18"/>
      <c r="W3061" s="18" t="s">
        <v>5483</v>
      </c>
      <c r="X3061" s="18" t="s">
        <v>42</v>
      </c>
      <c r="Y3061" s="18" t="s">
        <v>36</v>
      </c>
      <c r="Z3061" s="18" t="s">
        <v>697</v>
      </c>
      <c r="AA3061" s="21" t="str">
        <f>HYPERLINK("https://www.ncbi.nlm.nih.gov/nuccore/KM262192","NCBI Nucleotide")</f>
        <v>NCBI Nucleotide</v>
      </c>
    </row>
    <row r="3062" spans="1:27" x14ac:dyDescent="0.35">
      <c r="A3062">
        <v>1003972</v>
      </c>
      <c r="B3062">
        <v>3038</v>
      </c>
      <c r="C3062">
        <v>1</v>
      </c>
      <c r="D3062" s="17" t="s">
        <v>155</v>
      </c>
      <c r="E3062" s="17"/>
      <c r="F3062" s="17" t="s">
        <v>156</v>
      </c>
      <c r="G3062" s="17"/>
      <c r="H3062" s="17" t="s">
        <v>692</v>
      </c>
      <c r="I3062" s="17"/>
      <c r="J3062" s="17" t="s">
        <v>693</v>
      </c>
      <c r="K3062" s="17"/>
      <c r="L3062" s="17"/>
      <c r="M3062" s="17"/>
      <c r="N3062" s="17"/>
      <c r="O3062" s="17" t="s">
        <v>5459</v>
      </c>
      <c r="P3062" s="17" t="s">
        <v>5475</v>
      </c>
      <c r="Q3062" s="17"/>
      <c r="R3062" s="25" t="str">
        <f>HYPERLINK("https://ictv.global/taxonomy/taxondetails?taxnode_id=202305521","Unaquatrovirus LN25")</f>
        <v>Unaquatrovirus LN25</v>
      </c>
      <c r="S3062" s="18" t="s">
        <v>30</v>
      </c>
      <c r="T3062" s="18" t="s">
        <v>5476</v>
      </c>
      <c r="U3062" s="18"/>
      <c r="V3062" s="18"/>
      <c r="W3062" s="18" t="s">
        <v>5477</v>
      </c>
      <c r="X3062" s="18" t="s">
        <v>42</v>
      </c>
      <c r="Y3062" s="18" t="s">
        <v>36</v>
      </c>
      <c r="Z3062" s="18" t="s">
        <v>697</v>
      </c>
      <c r="AA3062" s="21" t="str">
        <f>HYPERLINK("https://www.ncbi.nlm.nih.gov/nuccore/KC013026","NCBI Nucleotide")</f>
        <v>NCBI Nucleotide</v>
      </c>
    </row>
    <row r="3063" spans="1:27" x14ac:dyDescent="0.35">
      <c r="A3063">
        <v>1003973</v>
      </c>
      <c r="B3063">
        <v>3039</v>
      </c>
      <c r="C3063">
        <v>1</v>
      </c>
      <c r="D3063" s="17" t="s">
        <v>155</v>
      </c>
      <c r="E3063" s="17"/>
      <c r="F3063" s="17" t="s">
        <v>156</v>
      </c>
      <c r="G3063" s="17"/>
      <c r="H3063" s="17" t="s">
        <v>692</v>
      </c>
      <c r="I3063" s="17"/>
      <c r="J3063" s="17" t="s">
        <v>693</v>
      </c>
      <c r="K3063" s="17"/>
      <c r="L3063" s="17"/>
      <c r="M3063" s="17"/>
      <c r="N3063" s="17"/>
      <c r="O3063" s="17" t="s">
        <v>5459</v>
      </c>
      <c r="P3063" s="17" t="s">
        <v>5475</v>
      </c>
      <c r="Q3063" s="17"/>
      <c r="R3063" s="25" t="str">
        <f>HYPERLINK("https://ictv.global/taxonomy/taxondetails?taxnode_id=202305522","Unaquatrovirus LN34")</f>
        <v>Unaquatrovirus LN34</v>
      </c>
      <c r="S3063" s="18" t="s">
        <v>30</v>
      </c>
      <c r="T3063" s="18" t="s">
        <v>5478</v>
      </c>
      <c r="U3063" s="18"/>
      <c r="V3063" s="18"/>
      <c r="W3063" s="18" t="s">
        <v>5479</v>
      </c>
      <c r="X3063" s="18" t="s">
        <v>42</v>
      </c>
      <c r="Y3063" s="18" t="s">
        <v>36</v>
      </c>
      <c r="Z3063" s="18" t="s">
        <v>697</v>
      </c>
      <c r="AA3063" s="21" t="str">
        <f>HYPERLINK("https://www.ncbi.nlm.nih.gov/nuccore/KC013027","NCBI Nucleotide")</f>
        <v>NCBI Nucleotide</v>
      </c>
    </row>
    <row r="3064" spans="1:27" x14ac:dyDescent="0.35">
      <c r="A3064">
        <v>1003976</v>
      </c>
      <c r="B3064">
        <v>3040</v>
      </c>
      <c r="C3064">
        <v>1</v>
      </c>
      <c r="D3064" s="17" t="s">
        <v>155</v>
      </c>
      <c r="E3064" s="17"/>
      <c r="F3064" s="17" t="s">
        <v>156</v>
      </c>
      <c r="G3064" s="17"/>
      <c r="H3064" s="17" t="s">
        <v>692</v>
      </c>
      <c r="I3064" s="17"/>
      <c r="J3064" s="17" t="s">
        <v>693</v>
      </c>
      <c r="K3064" s="17"/>
      <c r="L3064" s="17"/>
      <c r="M3064" s="17"/>
      <c r="N3064" s="17"/>
      <c r="O3064" s="17" t="s">
        <v>5459</v>
      </c>
      <c r="P3064" s="17" t="s">
        <v>5475</v>
      </c>
      <c r="Q3064" s="17"/>
      <c r="R3064" s="25" t="str">
        <f>HYPERLINK("https://ictv.global/taxonomy/taxondetails?taxnode_id=202305520","Unaquatrovirus uv1A4")</f>
        <v>Unaquatrovirus uv1A4</v>
      </c>
      <c r="S3064" s="18" t="s">
        <v>30</v>
      </c>
      <c r="T3064" s="18" t="s">
        <v>5484</v>
      </c>
      <c r="U3064" s="18"/>
      <c r="V3064" s="18"/>
      <c r="W3064" s="18" t="s">
        <v>5485</v>
      </c>
      <c r="X3064" s="18" t="s">
        <v>42</v>
      </c>
      <c r="Y3064" s="18" t="s">
        <v>36</v>
      </c>
      <c r="Z3064" s="18" t="s">
        <v>697</v>
      </c>
      <c r="AA3064" s="21" t="str">
        <f>HYPERLINK("https://www.ncbi.nlm.nih.gov/nuccore/GQ451696","NCBI Nucleotide")</f>
        <v>NCBI Nucleotide</v>
      </c>
    </row>
    <row r="3065" spans="1:27" x14ac:dyDescent="0.35">
      <c r="A3065">
        <v>1024662</v>
      </c>
      <c r="B3065">
        <v>3041</v>
      </c>
      <c r="C3065">
        <v>1</v>
      </c>
      <c r="D3065" s="17" t="s">
        <v>155</v>
      </c>
      <c r="E3065" s="17"/>
      <c r="F3065" s="17" t="s">
        <v>156</v>
      </c>
      <c r="G3065" s="17"/>
      <c r="H3065" s="17" t="s">
        <v>692</v>
      </c>
      <c r="I3065" s="17"/>
      <c r="J3065" s="17" t="s">
        <v>693</v>
      </c>
      <c r="K3065" s="17"/>
      <c r="L3065" s="17"/>
      <c r="M3065" s="17"/>
      <c r="N3065" s="17"/>
      <c r="O3065" s="17" t="s">
        <v>39715</v>
      </c>
      <c r="P3065" s="17" t="s">
        <v>39716</v>
      </c>
      <c r="Q3065" s="17"/>
      <c r="R3065" s="25" t="str">
        <f>HYPERLINK("https://ictv.global/taxonomy/taxondetails?taxnode_id=202319214","Aceathervirus RM10")</f>
        <v>Aceathervirus RM10</v>
      </c>
      <c r="S3065" s="18" t="s">
        <v>30</v>
      </c>
      <c r="T3065" s="18" t="s">
        <v>39717</v>
      </c>
      <c r="U3065" s="18"/>
      <c r="V3065" s="18"/>
      <c r="W3065" s="18" t="s">
        <v>39718</v>
      </c>
      <c r="X3065" s="18" t="s">
        <v>42</v>
      </c>
      <c r="Y3065" s="18" t="s">
        <v>36</v>
      </c>
      <c r="Z3065" s="18" t="s">
        <v>697</v>
      </c>
      <c r="AA3065" s="21" t="str">
        <f>HYPERLINK("https://www.ncbi.nlm.nih.gov/nuccore/MT980841","NCBI Nucleotide")</f>
        <v>NCBI Nucleotide</v>
      </c>
    </row>
    <row r="3066" spans="1:27" x14ac:dyDescent="0.35">
      <c r="A3066">
        <v>1024663</v>
      </c>
      <c r="B3066">
        <v>3042</v>
      </c>
      <c r="C3066">
        <v>1</v>
      </c>
      <c r="D3066" s="17" t="s">
        <v>155</v>
      </c>
      <c r="E3066" s="17"/>
      <c r="F3066" s="17" t="s">
        <v>156</v>
      </c>
      <c r="G3066" s="17"/>
      <c r="H3066" s="17" t="s">
        <v>692</v>
      </c>
      <c r="I3066" s="17"/>
      <c r="J3066" s="17" t="s">
        <v>693</v>
      </c>
      <c r="K3066" s="17"/>
      <c r="L3066" s="17"/>
      <c r="M3066" s="17"/>
      <c r="N3066" s="17"/>
      <c r="O3066" s="17" t="s">
        <v>39715</v>
      </c>
      <c r="P3066" s="17" t="s">
        <v>39719</v>
      </c>
      <c r="Q3066" s="17"/>
      <c r="R3066" s="25" t="str">
        <f>HYPERLINK("https://ictv.global/taxonomy/taxondetails?taxnode_id=202319212","Adovirus 519T2")</f>
        <v>Adovirus 519T2</v>
      </c>
      <c r="S3066" s="18" t="s">
        <v>30</v>
      </c>
      <c r="T3066" s="18" t="s">
        <v>39720</v>
      </c>
      <c r="U3066" s="18"/>
      <c r="V3066" s="18"/>
      <c r="W3066" s="18" t="s">
        <v>39721</v>
      </c>
      <c r="X3066" s="18" t="s">
        <v>42</v>
      </c>
      <c r="Y3066" s="18" t="s">
        <v>36</v>
      </c>
      <c r="Z3066" s="18" t="s">
        <v>697</v>
      </c>
      <c r="AA3066" s="21" t="str">
        <f>HYPERLINK("https://www.ncbi.nlm.nih.gov/nuccore/MT980838","NCBI Nucleotide")</f>
        <v>NCBI Nucleotide</v>
      </c>
    </row>
    <row r="3067" spans="1:27" x14ac:dyDescent="0.35">
      <c r="A3067">
        <v>1024664</v>
      </c>
      <c r="B3067">
        <v>3043</v>
      </c>
      <c r="C3067">
        <v>1</v>
      </c>
      <c r="D3067" s="17" t="s">
        <v>155</v>
      </c>
      <c r="E3067" s="17"/>
      <c r="F3067" s="17" t="s">
        <v>156</v>
      </c>
      <c r="G3067" s="17"/>
      <c r="H3067" s="17" t="s">
        <v>692</v>
      </c>
      <c r="I3067" s="17"/>
      <c r="J3067" s="17" t="s">
        <v>693</v>
      </c>
      <c r="K3067" s="17"/>
      <c r="L3067" s="17"/>
      <c r="M3067" s="17"/>
      <c r="N3067" s="17"/>
      <c r="O3067" s="17" t="s">
        <v>39715</v>
      </c>
      <c r="P3067" s="17" t="s">
        <v>39719</v>
      </c>
      <c r="Q3067" s="17"/>
      <c r="R3067" s="25" t="str">
        <f>HYPERLINK("https://ictv.global/taxonomy/taxondetails?taxnode_id=202319211","Adovirus IBDN1")</f>
        <v>Adovirus IBDN1</v>
      </c>
      <c r="S3067" s="18" t="s">
        <v>30</v>
      </c>
      <c r="T3067" s="18" t="s">
        <v>39722</v>
      </c>
      <c r="U3067" s="18"/>
      <c r="V3067" s="18"/>
      <c r="W3067" s="18" t="s">
        <v>39723</v>
      </c>
      <c r="X3067" s="18" t="s">
        <v>42</v>
      </c>
      <c r="Y3067" s="18" t="s">
        <v>36</v>
      </c>
      <c r="Z3067" s="18" t="s">
        <v>697</v>
      </c>
      <c r="AA3067" s="21" t="str">
        <f>HYPERLINK("https://www.ncbi.nlm.nih.gov/nuccore/MT980840","NCBI Nucleotide")</f>
        <v>NCBI Nucleotide</v>
      </c>
    </row>
    <row r="3068" spans="1:27" x14ac:dyDescent="0.35">
      <c r="A3068">
        <v>1024658</v>
      </c>
      <c r="B3068">
        <v>3044</v>
      </c>
      <c r="C3068">
        <v>1</v>
      </c>
      <c r="D3068" s="17" t="s">
        <v>155</v>
      </c>
      <c r="E3068" s="17"/>
      <c r="F3068" s="17" t="s">
        <v>156</v>
      </c>
      <c r="G3068" s="17"/>
      <c r="H3068" s="17" t="s">
        <v>692</v>
      </c>
      <c r="I3068" s="17"/>
      <c r="J3068" s="17" t="s">
        <v>693</v>
      </c>
      <c r="K3068" s="17"/>
      <c r="L3068" s="17"/>
      <c r="M3068" s="17"/>
      <c r="N3068" s="17"/>
      <c r="O3068" s="17" t="s">
        <v>39715</v>
      </c>
      <c r="P3068" s="17" t="s">
        <v>39724</v>
      </c>
      <c r="Q3068" s="17"/>
      <c r="R3068" s="25" t="str">
        <f>HYPERLINK("https://ictv.global/taxonomy/taxondetails?taxnode_id=202319210","Ahaonvirus 507T22")</f>
        <v>Ahaonvirus 507T22</v>
      </c>
      <c r="S3068" s="18" t="s">
        <v>30</v>
      </c>
      <c r="T3068" s="18" t="s">
        <v>39725</v>
      </c>
      <c r="U3068" s="18"/>
      <c r="V3068" s="18"/>
      <c r="W3068" s="18" t="s">
        <v>39726</v>
      </c>
      <c r="X3068" s="18" t="s">
        <v>42</v>
      </c>
      <c r="Y3068" s="18" t="s">
        <v>36</v>
      </c>
      <c r="Z3068" s="18" t="s">
        <v>697</v>
      </c>
      <c r="AA3068" s="21" t="str">
        <f>HYPERLINK("https://www.ncbi.nlm.nih.gov/nuccore/MT980836","NCBI Nucleotide")</f>
        <v>NCBI Nucleotide</v>
      </c>
    </row>
    <row r="3069" spans="1:27" x14ac:dyDescent="0.35">
      <c r="A3069">
        <v>1024659</v>
      </c>
      <c r="B3069">
        <v>3045</v>
      </c>
      <c r="C3069">
        <v>1</v>
      </c>
      <c r="D3069" s="17" t="s">
        <v>155</v>
      </c>
      <c r="E3069" s="17"/>
      <c r="F3069" s="17" t="s">
        <v>156</v>
      </c>
      <c r="G3069" s="17"/>
      <c r="H3069" s="17" t="s">
        <v>692</v>
      </c>
      <c r="I3069" s="17"/>
      <c r="J3069" s="17" t="s">
        <v>693</v>
      </c>
      <c r="K3069" s="17"/>
      <c r="L3069" s="17"/>
      <c r="M3069" s="17"/>
      <c r="N3069" s="17"/>
      <c r="O3069" s="17" t="s">
        <v>39715</v>
      </c>
      <c r="P3069" s="17" t="s">
        <v>39724</v>
      </c>
      <c r="Q3069" s="17"/>
      <c r="R3069" s="25" t="str">
        <f>HYPERLINK("https://ictv.global/taxonomy/taxondetails?taxnode_id=202319209","Ahaonvirus 507T23")</f>
        <v>Ahaonvirus 507T23</v>
      </c>
      <c r="S3069" s="18" t="s">
        <v>30</v>
      </c>
      <c r="T3069" s="18" t="s">
        <v>39727</v>
      </c>
      <c r="U3069" s="18"/>
      <c r="V3069" s="18"/>
      <c r="W3069" s="18" t="s">
        <v>39728</v>
      </c>
      <c r="X3069" s="18" t="s">
        <v>42</v>
      </c>
      <c r="Y3069" s="18" t="s">
        <v>36</v>
      </c>
      <c r="Z3069" s="18" t="s">
        <v>697</v>
      </c>
      <c r="AA3069" s="21" t="str">
        <f>HYPERLINK("https://www.ncbi.nlm.nih.gov/nuccore/MT980837","NCBI Nucleotide")</f>
        <v>NCBI Nucleotide</v>
      </c>
    </row>
    <row r="3070" spans="1:27" x14ac:dyDescent="0.35">
      <c r="A3070">
        <v>1024689</v>
      </c>
      <c r="B3070">
        <v>3046</v>
      </c>
      <c r="C3070">
        <v>1</v>
      </c>
      <c r="D3070" s="17" t="s">
        <v>155</v>
      </c>
      <c r="E3070" s="17"/>
      <c r="F3070" s="17" t="s">
        <v>156</v>
      </c>
      <c r="G3070" s="17"/>
      <c r="H3070" s="17" t="s">
        <v>692</v>
      </c>
      <c r="I3070" s="17"/>
      <c r="J3070" s="17" t="s">
        <v>693</v>
      </c>
      <c r="K3070" s="17"/>
      <c r="L3070" s="17"/>
      <c r="M3070" s="17"/>
      <c r="N3070" s="17"/>
      <c r="O3070" s="17" t="s">
        <v>39715</v>
      </c>
      <c r="P3070" s="17" t="s">
        <v>39729</v>
      </c>
      <c r="Q3070" s="17"/>
      <c r="R3070" s="25" t="str">
        <f>HYPERLINK("https://ictv.global/taxonomy/taxondetails?taxnode_id=202319213","Atrivirus PS6")</f>
        <v>Atrivirus PS6</v>
      </c>
      <c r="S3070" s="18" t="s">
        <v>30</v>
      </c>
      <c r="T3070" s="18" t="s">
        <v>39730</v>
      </c>
      <c r="U3070" s="18"/>
      <c r="V3070" s="18"/>
      <c r="W3070" s="18" t="s">
        <v>39731</v>
      </c>
      <c r="X3070" s="18" t="s">
        <v>42</v>
      </c>
      <c r="Y3070" s="18" t="s">
        <v>36</v>
      </c>
      <c r="Z3070" s="18" t="s">
        <v>697</v>
      </c>
      <c r="AA3070" s="21" t="str">
        <f>HYPERLINK("https://www.ncbi.nlm.nih.gov/nuccore/MT980839","NCBI Nucleotide")</f>
        <v>NCBI Nucleotide</v>
      </c>
    </row>
    <row r="3071" spans="1:27" x14ac:dyDescent="0.35">
      <c r="A3071">
        <v>1003977</v>
      </c>
      <c r="B3071">
        <v>3047</v>
      </c>
      <c r="C3071">
        <v>1</v>
      </c>
      <c r="D3071" s="17" t="s">
        <v>155</v>
      </c>
      <c r="E3071" s="17"/>
      <c r="F3071" s="17" t="s">
        <v>156</v>
      </c>
      <c r="G3071" s="17"/>
      <c r="H3071" s="17" t="s">
        <v>692</v>
      </c>
      <c r="I3071" s="17"/>
      <c r="J3071" s="17" t="s">
        <v>693</v>
      </c>
      <c r="K3071" s="17"/>
      <c r="L3071" s="17"/>
      <c r="M3071" s="17"/>
      <c r="N3071" s="17"/>
      <c r="O3071" s="17" t="s">
        <v>5486</v>
      </c>
      <c r="P3071" s="17" t="s">
        <v>5487</v>
      </c>
      <c r="Q3071" s="17"/>
      <c r="R3071" s="25" t="str">
        <f>HYPERLINK("https://ictv.global/taxonomy/taxondetails?taxnode_id=202312777","Charlievirus Aggie")</f>
        <v>Charlievirus Aggie</v>
      </c>
      <c r="S3071" s="18" t="s">
        <v>30</v>
      </c>
      <c r="T3071" s="18" t="s">
        <v>5488</v>
      </c>
      <c r="U3071" s="18"/>
      <c r="V3071" s="18"/>
      <c r="W3071" s="18" t="s">
        <v>5489</v>
      </c>
      <c r="X3071" s="18" t="s">
        <v>42</v>
      </c>
      <c r="Y3071" s="18" t="s">
        <v>36</v>
      </c>
      <c r="Z3071" s="18" t="s">
        <v>697</v>
      </c>
      <c r="AA3071" s="21" t="str">
        <f>HYPERLINK("https://www.ncbi.nlm.nih.gov/nuccore/MH697576","NCBI Nucleotide")</f>
        <v>NCBI Nucleotide</v>
      </c>
    </row>
    <row r="3072" spans="1:27" x14ac:dyDescent="0.35">
      <c r="A3072">
        <v>1003978</v>
      </c>
      <c r="B3072">
        <v>3048</v>
      </c>
      <c r="C3072">
        <v>1</v>
      </c>
      <c r="D3072" s="17" t="s">
        <v>155</v>
      </c>
      <c r="E3072" s="17"/>
      <c r="F3072" s="17" t="s">
        <v>156</v>
      </c>
      <c r="G3072" s="17"/>
      <c r="H3072" s="17" t="s">
        <v>692</v>
      </c>
      <c r="I3072" s="17"/>
      <c r="J3072" s="17" t="s">
        <v>693</v>
      </c>
      <c r="K3072" s="17"/>
      <c r="L3072" s="17"/>
      <c r="M3072" s="17"/>
      <c r="N3072" s="17"/>
      <c r="O3072" s="17" t="s">
        <v>5486</v>
      </c>
      <c r="P3072" s="17" t="s">
        <v>5487</v>
      </c>
      <c r="Q3072" s="17"/>
      <c r="R3072" s="25" t="str">
        <f>HYPERLINK("https://ictv.global/taxonomy/taxondetails?taxnode_id=202312779","Charlievirus Andies")</f>
        <v>Charlievirus Andies</v>
      </c>
      <c r="S3072" s="18" t="s">
        <v>30</v>
      </c>
      <c r="T3072" s="18" t="s">
        <v>5490</v>
      </c>
      <c r="U3072" s="18"/>
      <c r="V3072" s="18"/>
      <c r="W3072" s="18" t="s">
        <v>5491</v>
      </c>
      <c r="X3072" s="18" t="s">
        <v>42</v>
      </c>
      <c r="Y3072" s="18" t="s">
        <v>36</v>
      </c>
      <c r="Z3072" s="18" t="s">
        <v>697</v>
      </c>
      <c r="AA3072" s="21" t="str">
        <f>HYPERLINK("https://www.ncbi.nlm.nih.gov/nuccore/MG099936","NCBI Nucleotide")</f>
        <v>NCBI Nucleotide</v>
      </c>
    </row>
    <row r="3073" spans="1:27" x14ac:dyDescent="0.35">
      <c r="A3073">
        <v>1003979</v>
      </c>
      <c r="B3073">
        <v>3049</v>
      </c>
      <c r="C3073">
        <v>1</v>
      </c>
      <c r="D3073" s="17" t="s">
        <v>155</v>
      </c>
      <c r="E3073" s="17"/>
      <c r="F3073" s="17" t="s">
        <v>156</v>
      </c>
      <c r="G3073" s="17"/>
      <c r="H3073" s="17" t="s">
        <v>692</v>
      </c>
      <c r="I3073" s="17"/>
      <c r="J3073" s="17" t="s">
        <v>693</v>
      </c>
      <c r="K3073" s="17"/>
      <c r="L3073" s="17"/>
      <c r="M3073" s="17"/>
      <c r="N3073" s="17"/>
      <c r="O3073" s="17" t="s">
        <v>5486</v>
      </c>
      <c r="P3073" s="17" t="s">
        <v>5487</v>
      </c>
      <c r="Q3073" s="17"/>
      <c r="R3073" s="25" t="str">
        <f>HYPERLINK("https://ictv.global/taxonomy/taxondetails?taxnode_id=202305528","Charlievirus butters")</f>
        <v>Charlievirus butters</v>
      </c>
      <c r="S3073" s="18" t="s">
        <v>30</v>
      </c>
      <c r="T3073" s="18" t="s">
        <v>5492</v>
      </c>
      <c r="U3073" s="18"/>
      <c r="V3073" s="18"/>
      <c r="W3073" s="18" t="s">
        <v>5493</v>
      </c>
      <c r="X3073" s="18" t="s">
        <v>42</v>
      </c>
      <c r="Y3073" s="18" t="s">
        <v>36</v>
      </c>
      <c r="Z3073" s="18" t="s">
        <v>697</v>
      </c>
      <c r="AA3073" s="21" t="str">
        <f>HYPERLINK("https://www.ncbi.nlm.nih.gov/nuccore/KC576783","NCBI Nucleotide")</f>
        <v>NCBI Nucleotide</v>
      </c>
    </row>
    <row r="3074" spans="1:27" x14ac:dyDescent="0.35">
      <c r="A3074">
        <v>1003980</v>
      </c>
      <c r="B3074">
        <v>3050</v>
      </c>
      <c r="C3074">
        <v>1</v>
      </c>
      <c r="D3074" s="17" t="s">
        <v>155</v>
      </c>
      <c r="E3074" s="17"/>
      <c r="F3074" s="17" t="s">
        <v>156</v>
      </c>
      <c r="G3074" s="17"/>
      <c r="H3074" s="17" t="s">
        <v>692</v>
      </c>
      <c r="I3074" s="17"/>
      <c r="J3074" s="17" t="s">
        <v>693</v>
      </c>
      <c r="K3074" s="17"/>
      <c r="L3074" s="17"/>
      <c r="M3074" s="17"/>
      <c r="N3074" s="17"/>
      <c r="O3074" s="17" t="s">
        <v>5486</v>
      </c>
      <c r="P3074" s="17" t="s">
        <v>5487</v>
      </c>
      <c r="Q3074" s="17"/>
      <c r="R3074" s="25" t="str">
        <f>HYPERLINK("https://ictv.global/taxonomy/taxondetails?taxnode_id=202300888","Charlievirus Charlie")</f>
        <v>Charlievirus Charlie</v>
      </c>
      <c r="S3074" s="18" t="s">
        <v>30</v>
      </c>
      <c r="T3074" s="18" t="s">
        <v>5494</v>
      </c>
      <c r="U3074" s="18"/>
      <c r="V3074" s="18"/>
      <c r="W3074" s="18" t="s">
        <v>5495</v>
      </c>
      <c r="X3074" s="18" t="s">
        <v>42</v>
      </c>
      <c r="Y3074" s="18" t="s">
        <v>36</v>
      </c>
      <c r="Z3074" s="18" t="s">
        <v>697</v>
      </c>
      <c r="AA3074" s="21" t="str">
        <f>HYPERLINK("https://www.ncbi.nlm.nih.gov/nuccore/JN256079","NCBI Nucleotide")</f>
        <v>NCBI Nucleotide</v>
      </c>
    </row>
    <row r="3075" spans="1:27" x14ac:dyDescent="0.35">
      <c r="A3075">
        <v>1003981</v>
      </c>
      <c r="B3075">
        <v>3051</v>
      </c>
      <c r="C3075">
        <v>1</v>
      </c>
      <c r="D3075" s="17" t="s">
        <v>155</v>
      </c>
      <c r="E3075" s="17"/>
      <c r="F3075" s="17" t="s">
        <v>156</v>
      </c>
      <c r="G3075" s="17"/>
      <c r="H3075" s="17" t="s">
        <v>692</v>
      </c>
      <c r="I3075" s="17"/>
      <c r="J3075" s="17" t="s">
        <v>693</v>
      </c>
      <c r="K3075" s="17"/>
      <c r="L3075" s="17"/>
      <c r="M3075" s="17"/>
      <c r="N3075" s="17"/>
      <c r="O3075" s="17" t="s">
        <v>5486</v>
      </c>
      <c r="P3075" s="17" t="s">
        <v>5487</v>
      </c>
      <c r="Q3075" s="17"/>
      <c r="R3075" s="25" t="str">
        <f>HYPERLINK("https://ictv.global/taxonomy/taxondetails?taxnode_id=202312780","Charlievirus Fulbright")</f>
        <v>Charlievirus Fulbright</v>
      </c>
      <c r="S3075" s="18" t="s">
        <v>30</v>
      </c>
      <c r="T3075" s="18" t="s">
        <v>5496</v>
      </c>
      <c r="U3075" s="18"/>
      <c r="V3075" s="18"/>
      <c r="W3075" s="18" t="s">
        <v>5497</v>
      </c>
      <c r="X3075" s="18" t="s">
        <v>42</v>
      </c>
      <c r="Y3075" s="18" t="s">
        <v>36</v>
      </c>
      <c r="Z3075" s="18" t="s">
        <v>697</v>
      </c>
      <c r="AA3075" s="21" t="str">
        <f>HYPERLINK("https://www.ncbi.nlm.nih.gov/nuccore/MK977708","NCBI Nucleotide")</f>
        <v>NCBI Nucleotide</v>
      </c>
    </row>
    <row r="3076" spans="1:27" x14ac:dyDescent="0.35">
      <c r="A3076">
        <v>1003982</v>
      </c>
      <c r="B3076">
        <v>3052</v>
      </c>
      <c r="C3076">
        <v>1</v>
      </c>
      <c r="D3076" s="17" t="s">
        <v>155</v>
      </c>
      <c r="E3076" s="17"/>
      <c r="F3076" s="17" t="s">
        <v>156</v>
      </c>
      <c r="G3076" s="17"/>
      <c r="H3076" s="17" t="s">
        <v>692</v>
      </c>
      <c r="I3076" s="17"/>
      <c r="J3076" s="17" t="s">
        <v>693</v>
      </c>
      <c r="K3076" s="17"/>
      <c r="L3076" s="17"/>
      <c r="M3076" s="17"/>
      <c r="N3076" s="17"/>
      <c r="O3076" s="17" t="s">
        <v>5486</v>
      </c>
      <c r="P3076" s="17" t="s">
        <v>5487</v>
      </c>
      <c r="Q3076" s="17"/>
      <c r="R3076" s="25" t="str">
        <f>HYPERLINK("https://ictv.global/taxonomy/taxondetails?taxnode_id=202312783","Charlievirus Jamie19")</f>
        <v>Charlievirus Jamie19</v>
      </c>
      <c r="S3076" s="18" t="s">
        <v>30</v>
      </c>
      <c r="T3076" s="18" t="s">
        <v>5498</v>
      </c>
      <c r="U3076" s="18"/>
      <c r="V3076" s="18"/>
      <c r="W3076" s="18" t="s">
        <v>5499</v>
      </c>
      <c r="X3076" s="18" t="s">
        <v>42</v>
      </c>
      <c r="Y3076" s="18" t="s">
        <v>36</v>
      </c>
      <c r="Z3076" s="18" t="s">
        <v>697</v>
      </c>
      <c r="AA3076" s="21" t="str">
        <f>HYPERLINK("https://www.ncbi.nlm.nih.gov/nuccore/MT498044","NCBI Nucleotide")</f>
        <v>NCBI Nucleotide</v>
      </c>
    </row>
    <row r="3077" spans="1:27" x14ac:dyDescent="0.35">
      <c r="A3077">
        <v>1003983</v>
      </c>
      <c r="B3077">
        <v>3053</v>
      </c>
      <c r="C3077">
        <v>1</v>
      </c>
      <c r="D3077" s="17" t="s">
        <v>155</v>
      </c>
      <c r="E3077" s="17"/>
      <c r="F3077" s="17" t="s">
        <v>156</v>
      </c>
      <c r="G3077" s="17"/>
      <c r="H3077" s="17" t="s">
        <v>692</v>
      </c>
      <c r="I3077" s="17"/>
      <c r="J3077" s="17" t="s">
        <v>693</v>
      </c>
      <c r="K3077" s="17"/>
      <c r="L3077" s="17"/>
      <c r="M3077" s="17"/>
      <c r="N3077" s="17"/>
      <c r="O3077" s="17" t="s">
        <v>5486</v>
      </c>
      <c r="P3077" s="17" t="s">
        <v>5487</v>
      </c>
      <c r="Q3077" s="17"/>
      <c r="R3077" s="25" t="str">
        <f>HYPERLINK("https://ictv.global/taxonomy/taxondetails?taxnode_id=202312778","Charlievirus Kevin1")</f>
        <v>Charlievirus Kevin1</v>
      </c>
      <c r="S3077" s="18" t="s">
        <v>30</v>
      </c>
      <c r="T3077" s="18" t="s">
        <v>5500</v>
      </c>
      <c r="U3077" s="18"/>
      <c r="V3077" s="18"/>
      <c r="W3077" s="18" t="s">
        <v>5501</v>
      </c>
      <c r="X3077" s="18" t="s">
        <v>42</v>
      </c>
      <c r="Y3077" s="18" t="s">
        <v>36</v>
      </c>
      <c r="Z3077" s="18" t="s">
        <v>697</v>
      </c>
      <c r="AA3077" s="21" t="str">
        <f>HYPERLINK("https://www.ncbi.nlm.nih.gov/nuccore/MK524500","NCBI Nucleotide")</f>
        <v>NCBI Nucleotide</v>
      </c>
    </row>
    <row r="3078" spans="1:27" x14ac:dyDescent="0.35">
      <c r="A3078">
        <v>1003984</v>
      </c>
      <c r="B3078">
        <v>3054</v>
      </c>
      <c r="C3078">
        <v>1</v>
      </c>
      <c r="D3078" s="17" t="s">
        <v>155</v>
      </c>
      <c r="E3078" s="17"/>
      <c r="F3078" s="17" t="s">
        <v>156</v>
      </c>
      <c r="G3078" s="17"/>
      <c r="H3078" s="17" t="s">
        <v>692</v>
      </c>
      <c r="I3078" s="17"/>
      <c r="J3078" s="17" t="s">
        <v>693</v>
      </c>
      <c r="K3078" s="17"/>
      <c r="L3078" s="17"/>
      <c r="M3078" s="17"/>
      <c r="N3078" s="17"/>
      <c r="O3078" s="17" t="s">
        <v>5486</v>
      </c>
      <c r="P3078" s="17" t="s">
        <v>5487</v>
      </c>
      <c r="Q3078" s="17"/>
      <c r="R3078" s="25" t="str">
        <f>HYPERLINK("https://ictv.global/taxonomy/taxondetails?taxnode_id=202305529","Charlievirus michellemybell")</f>
        <v>Charlievirus michellemybell</v>
      </c>
      <c r="S3078" s="18" t="s">
        <v>30</v>
      </c>
      <c r="T3078" s="18" t="s">
        <v>5502</v>
      </c>
      <c r="U3078" s="18"/>
      <c r="V3078" s="18"/>
      <c r="W3078" s="18" t="s">
        <v>5503</v>
      </c>
      <c r="X3078" s="18" t="s">
        <v>42</v>
      </c>
      <c r="Y3078" s="18" t="s">
        <v>36</v>
      </c>
      <c r="Z3078" s="18" t="s">
        <v>697</v>
      </c>
      <c r="AA3078" s="21" t="str">
        <f>HYPERLINK("https://www.ncbi.nlm.nih.gov/nuccore/KF986246","NCBI Nucleotide")</f>
        <v>NCBI Nucleotide</v>
      </c>
    </row>
    <row r="3079" spans="1:27" x14ac:dyDescent="0.35">
      <c r="A3079">
        <v>1003985</v>
      </c>
      <c r="B3079">
        <v>3055</v>
      </c>
      <c r="C3079">
        <v>1</v>
      </c>
      <c r="D3079" s="17" t="s">
        <v>155</v>
      </c>
      <c r="E3079" s="17"/>
      <c r="F3079" s="17" t="s">
        <v>156</v>
      </c>
      <c r="G3079" s="17"/>
      <c r="H3079" s="17" t="s">
        <v>692</v>
      </c>
      <c r="I3079" s="17"/>
      <c r="J3079" s="17" t="s">
        <v>693</v>
      </c>
      <c r="K3079" s="17"/>
      <c r="L3079" s="17"/>
      <c r="M3079" s="17"/>
      <c r="N3079" s="17"/>
      <c r="O3079" s="17" t="s">
        <v>5486</v>
      </c>
      <c r="P3079" s="17" t="s">
        <v>5487</v>
      </c>
      <c r="Q3079" s="17"/>
      <c r="R3079" s="25" t="str">
        <f>HYPERLINK("https://ictv.global/taxonomy/taxondetails?taxnode_id=202305533","Charlievirus panchino")</f>
        <v>Charlievirus panchino</v>
      </c>
      <c r="S3079" s="18" t="s">
        <v>30</v>
      </c>
      <c r="T3079" s="18" t="s">
        <v>5504</v>
      </c>
      <c r="U3079" s="18"/>
      <c r="V3079" s="18"/>
      <c r="W3079" s="18" t="s">
        <v>5505</v>
      </c>
      <c r="X3079" s="18" t="s">
        <v>42</v>
      </c>
      <c r="Y3079" s="18" t="s">
        <v>36</v>
      </c>
      <c r="Z3079" s="18" t="s">
        <v>697</v>
      </c>
      <c r="AA3079" s="21" t="str">
        <f>HYPERLINK("https://www.ncbi.nlm.nih.gov/nuccore/KU935727","NCBI Nucleotide")</f>
        <v>NCBI Nucleotide</v>
      </c>
    </row>
    <row r="3080" spans="1:27" x14ac:dyDescent="0.35">
      <c r="A3080">
        <v>1003986</v>
      </c>
      <c r="B3080">
        <v>3056</v>
      </c>
      <c r="C3080">
        <v>1</v>
      </c>
      <c r="D3080" s="17" t="s">
        <v>155</v>
      </c>
      <c r="E3080" s="17"/>
      <c r="F3080" s="17" t="s">
        <v>156</v>
      </c>
      <c r="G3080" s="17"/>
      <c r="H3080" s="17" t="s">
        <v>692</v>
      </c>
      <c r="I3080" s="17"/>
      <c r="J3080" s="17" t="s">
        <v>693</v>
      </c>
      <c r="K3080" s="17"/>
      <c r="L3080" s="17"/>
      <c r="M3080" s="17"/>
      <c r="N3080" s="17"/>
      <c r="O3080" s="17" t="s">
        <v>5486</v>
      </c>
      <c r="P3080" s="17" t="s">
        <v>5487</v>
      </c>
      <c r="Q3080" s="17"/>
      <c r="R3080" s="25" t="str">
        <f>HYPERLINK("https://ictv.global/taxonomy/taxondetails?taxnode_id=202312776","Charlievirus Philonius")</f>
        <v>Charlievirus Philonius</v>
      </c>
      <c r="S3080" s="18" t="s">
        <v>30</v>
      </c>
      <c r="T3080" s="18" t="s">
        <v>5506</v>
      </c>
      <c r="U3080" s="18"/>
      <c r="V3080" s="18"/>
      <c r="W3080" s="18" t="s">
        <v>5507</v>
      </c>
      <c r="X3080" s="18" t="s">
        <v>42</v>
      </c>
      <c r="Y3080" s="18" t="s">
        <v>36</v>
      </c>
      <c r="Z3080" s="18" t="s">
        <v>697</v>
      </c>
      <c r="AA3080" s="21" t="str">
        <f>HYPERLINK("https://www.ncbi.nlm.nih.gov/nuccore/MG099948","NCBI Nucleotide")</f>
        <v>NCBI Nucleotide</v>
      </c>
    </row>
    <row r="3081" spans="1:27" x14ac:dyDescent="0.35">
      <c r="A3081">
        <v>1003987</v>
      </c>
      <c r="B3081">
        <v>3057</v>
      </c>
      <c r="C3081">
        <v>1</v>
      </c>
      <c r="D3081" s="17" t="s">
        <v>155</v>
      </c>
      <c r="E3081" s="17"/>
      <c r="F3081" s="17" t="s">
        <v>156</v>
      </c>
      <c r="G3081" s="17"/>
      <c r="H3081" s="17" t="s">
        <v>692</v>
      </c>
      <c r="I3081" s="17"/>
      <c r="J3081" s="17" t="s">
        <v>693</v>
      </c>
      <c r="K3081" s="17"/>
      <c r="L3081" s="17"/>
      <c r="M3081" s="17"/>
      <c r="N3081" s="17"/>
      <c r="O3081" s="17" t="s">
        <v>5486</v>
      </c>
      <c r="P3081" s="17" t="s">
        <v>5487</v>
      </c>
      <c r="Q3081" s="17"/>
      <c r="R3081" s="25" t="str">
        <f>HYPERLINK("https://ictv.global/taxonomy/taxondetails?taxnode_id=202305534","Charlievirus phrann")</f>
        <v>Charlievirus phrann</v>
      </c>
      <c r="S3081" s="18" t="s">
        <v>30</v>
      </c>
      <c r="T3081" s="18" t="s">
        <v>5508</v>
      </c>
      <c r="U3081" s="18"/>
      <c r="V3081" s="18"/>
      <c r="W3081" s="18" t="s">
        <v>5509</v>
      </c>
      <c r="X3081" s="18" t="s">
        <v>42</v>
      </c>
      <c r="Y3081" s="18" t="s">
        <v>36</v>
      </c>
      <c r="Z3081" s="18" t="s">
        <v>697</v>
      </c>
      <c r="AA3081" s="21" t="str">
        <f>HYPERLINK("https://www.ncbi.nlm.nih.gov/nuccore/KU935731","NCBI Nucleotide")</f>
        <v>NCBI Nucleotide</v>
      </c>
    </row>
    <row r="3082" spans="1:27" x14ac:dyDescent="0.35">
      <c r="A3082">
        <v>1003988</v>
      </c>
      <c r="B3082">
        <v>3058</v>
      </c>
      <c r="C3082">
        <v>1</v>
      </c>
      <c r="D3082" s="17" t="s">
        <v>155</v>
      </c>
      <c r="E3082" s="17"/>
      <c r="F3082" s="17" t="s">
        <v>156</v>
      </c>
      <c r="G3082" s="17"/>
      <c r="H3082" s="17" t="s">
        <v>692</v>
      </c>
      <c r="I3082" s="17"/>
      <c r="J3082" s="17" t="s">
        <v>693</v>
      </c>
      <c r="K3082" s="17"/>
      <c r="L3082" s="17"/>
      <c r="M3082" s="17"/>
      <c r="N3082" s="17"/>
      <c r="O3082" s="17" t="s">
        <v>5486</v>
      </c>
      <c r="P3082" s="17" t="s">
        <v>5487</v>
      </c>
      <c r="Q3082" s="17"/>
      <c r="R3082" s="25" t="str">
        <f>HYPERLINK("https://ictv.global/taxonomy/taxondetails?taxnode_id=202305531","Charlievirus Pipsqueaks")</f>
        <v>Charlievirus Pipsqueaks</v>
      </c>
      <c r="S3082" s="18" t="s">
        <v>30</v>
      </c>
      <c r="T3082" s="18" t="s">
        <v>5510</v>
      </c>
      <c r="U3082" s="18"/>
      <c r="V3082" s="18"/>
      <c r="W3082" s="18" t="s">
        <v>5511</v>
      </c>
      <c r="X3082" s="18" t="s">
        <v>42</v>
      </c>
      <c r="Y3082" s="18" t="s">
        <v>36</v>
      </c>
      <c r="Z3082" s="18" t="s">
        <v>697</v>
      </c>
      <c r="AA3082" s="21" t="str">
        <f>HYPERLINK("https://www.ncbi.nlm.nih.gov/nuccore/KU935730","NCBI Nucleotide")</f>
        <v>NCBI Nucleotide</v>
      </c>
    </row>
    <row r="3083" spans="1:27" x14ac:dyDescent="0.35">
      <c r="A3083">
        <v>1003989</v>
      </c>
      <c r="B3083">
        <v>3059</v>
      </c>
      <c r="C3083">
        <v>1</v>
      </c>
      <c r="D3083" s="17" t="s">
        <v>155</v>
      </c>
      <c r="E3083" s="17"/>
      <c r="F3083" s="17" t="s">
        <v>156</v>
      </c>
      <c r="G3083" s="17"/>
      <c r="H3083" s="17" t="s">
        <v>692</v>
      </c>
      <c r="I3083" s="17"/>
      <c r="J3083" s="17" t="s">
        <v>693</v>
      </c>
      <c r="K3083" s="17"/>
      <c r="L3083" s="17"/>
      <c r="M3083" s="17"/>
      <c r="N3083" s="17"/>
      <c r="O3083" s="17" t="s">
        <v>5486</v>
      </c>
      <c r="P3083" s="17" t="s">
        <v>5487</v>
      </c>
      <c r="Q3083" s="17"/>
      <c r="R3083" s="25" t="str">
        <f>HYPERLINK("https://ictv.global/taxonomy/taxondetails?taxnode_id=202312775","Charlievirus Raymond7")</f>
        <v>Charlievirus Raymond7</v>
      </c>
      <c r="S3083" s="18" t="s">
        <v>30</v>
      </c>
      <c r="T3083" s="18" t="s">
        <v>5512</v>
      </c>
      <c r="U3083" s="18"/>
      <c r="V3083" s="18"/>
      <c r="W3083" s="18" t="s">
        <v>5513</v>
      </c>
      <c r="X3083" s="18" t="s">
        <v>42</v>
      </c>
      <c r="Y3083" s="18" t="s">
        <v>36</v>
      </c>
      <c r="Z3083" s="18" t="s">
        <v>697</v>
      </c>
      <c r="AA3083" s="21" t="str">
        <f>HYPERLINK("https://www.ncbi.nlm.nih.gov/nuccore/MT498048","NCBI Nucleotide")</f>
        <v>NCBI Nucleotide</v>
      </c>
    </row>
    <row r="3084" spans="1:27" x14ac:dyDescent="0.35">
      <c r="A3084">
        <v>1003990</v>
      </c>
      <c r="B3084">
        <v>3060</v>
      </c>
      <c r="C3084">
        <v>1</v>
      </c>
      <c r="D3084" s="17" t="s">
        <v>155</v>
      </c>
      <c r="E3084" s="17"/>
      <c r="F3084" s="17" t="s">
        <v>156</v>
      </c>
      <c r="G3084" s="17"/>
      <c r="H3084" s="17" t="s">
        <v>692</v>
      </c>
      <c r="I3084" s="17"/>
      <c r="J3084" s="17" t="s">
        <v>693</v>
      </c>
      <c r="K3084" s="17"/>
      <c r="L3084" s="17"/>
      <c r="M3084" s="17"/>
      <c r="N3084" s="17"/>
      <c r="O3084" s="17" t="s">
        <v>5486</v>
      </c>
      <c r="P3084" s="17" t="s">
        <v>5487</v>
      </c>
      <c r="Q3084" s="17"/>
      <c r="R3084" s="25" t="str">
        <f>HYPERLINK("https://ictv.global/taxonomy/taxondetails?taxnode_id=202312781","Charlievirus Rebel")</f>
        <v>Charlievirus Rebel</v>
      </c>
      <c r="S3084" s="18" t="s">
        <v>30</v>
      </c>
      <c r="T3084" s="18" t="s">
        <v>5514</v>
      </c>
      <c r="U3084" s="18"/>
      <c r="V3084" s="18"/>
      <c r="W3084" s="18" t="s">
        <v>5515</v>
      </c>
      <c r="X3084" s="18" t="s">
        <v>42</v>
      </c>
      <c r="Y3084" s="18" t="s">
        <v>36</v>
      </c>
      <c r="Z3084" s="18" t="s">
        <v>697</v>
      </c>
      <c r="AA3084" s="21" t="str">
        <f>HYPERLINK("https://www.ncbi.nlm.nih.gov/nuccore/MT498042","NCBI Nucleotide")</f>
        <v>NCBI Nucleotide</v>
      </c>
    </row>
    <row r="3085" spans="1:27" x14ac:dyDescent="0.35">
      <c r="A3085">
        <v>1003991</v>
      </c>
      <c r="B3085">
        <v>3061</v>
      </c>
      <c r="C3085">
        <v>1</v>
      </c>
      <c r="D3085" s="17" t="s">
        <v>155</v>
      </c>
      <c r="E3085" s="17"/>
      <c r="F3085" s="17" t="s">
        <v>156</v>
      </c>
      <c r="G3085" s="17"/>
      <c r="H3085" s="17" t="s">
        <v>692</v>
      </c>
      <c r="I3085" s="17"/>
      <c r="J3085" s="17" t="s">
        <v>693</v>
      </c>
      <c r="K3085" s="17"/>
      <c r="L3085" s="17"/>
      <c r="M3085" s="17"/>
      <c r="N3085" s="17"/>
      <c r="O3085" s="17" t="s">
        <v>5486</v>
      </c>
      <c r="P3085" s="17" t="s">
        <v>5487</v>
      </c>
      <c r="Q3085" s="17"/>
      <c r="R3085" s="25" t="str">
        <f>HYPERLINK("https://ictv.global/taxonomy/taxondetails?taxnode_id=202300889","Charlievirus redi")</f>
        <v>Charlievirus redi</v>
      </c>
      <c r="S3085" s="18" t="s">
        <v>30</v>
      </c>
      <c r="T3085" s="18" t="s">
        <v>5516</v>
      </c>
      <c r="U3085" s="18"/>
      <c r="V3085" s="18"/>
      <c r="W3085" s="18" t="s">
        <v>5517</v>
      </c>
      <c r="X3085" s="18" t="s">
        <v>42</v>
      </c>
      <c r="Y3085" s="18" t="s">
        <v>36</v>
      </c>
      <c r="Z3085" s="18" t="s">
        <v>697</v>
      </c>
      <c r="AA3085" s="21" t="str">
        <f>HYPERLINK("https://www.ncbi.nlm.nih.gov/nuccore/JN624851","NCBI Nucleotide")</f>
        <v>NCBI Nucleotide</v>
      </c>
    </row>
    <row r="3086" spans="1:27" x14ac:dyDescent="0.35">
      <c r="A3086">
        <v>1003992</v>
      </c>
      <c r="B3086">
        <v>3062</v>
      </c>
      <c r="C3086">
        <v>1</v>
      </c>
      <c r="D3086" s="17" t="s">
        <v>155</v>
      </c>
      <c r="E3086" s="17"/>
      <c r="F3086" s="17" t="s">
        <v>156</v>
      </c>
      <c r="G3086" s="17"/>
      <c r="H3086" s="17" t="s">
        <v>692</v>
      </c>
      <c r="I3086" s="17"/>
      <c r="J3086" s="17" t="s">
        <v>693</v>
      </c>
      <c r="K3086" s="17"/>
      <c r="L3086" s="17"/>
      <c r="M3086" s="17"/>
      <c r="N3086" s="17"/>
      <c r="O3086" s="17" t="s">
        <v>5486</v>
      </c>
      <c r="P3086" s="17" t="s">
        <v>5487</v>
      </c>
      <c r="Q3086" s="17"/>
      <c r="R3086" s="25" t="str">
        <f>HYPERLINK("https://ictv.global/taxonomy/taxondetails?taxnode_id=202305535","Charlievirus skinnypete")</f>
        <v>Charlievirus skinnypete</v>
      </c>
      <c r="S3086" s="18" t="s">
        <v>30</v>
      </c>
      <c r="T3086" s="18" t="s">
        <v>5518</v>
      </c>
      <c r="U3086" s="18"/>
      <c r="V3086" s="18"/>
      <c r="W3086" s="18" t="s">
        <v>5519</v>
      </c>
      <c r="X3086" s="18" t="s">
        <v>42</v>
      </c>
      <c r="Y3086" s="18" t="s">
        <v>36</v>
      </c>
      <c r="Z3086" s="18" t="s">
        <v>697</v>
      </c>
      <c r="AA3086" s="21" t="str">
        <f>HYPERLINK("https://www.ncbi.nlm.nih.gov/nuccore/KU935729","NCBI Nucleotide")</f>
        <v>NCBI Nucleotide</v>
      </c>
    </row>
    <row r="3087" spans="1:27" x14ac:dyDescent="0.35">
      <c r="A3087">
        <v>1003993</v>
      </c>
      <c r="B3087">
        <v>3063</v>
      </c>
      <c r="C3087">
        <v>1</v>
      </c>
      <c r="D3087" s="17" t="s">
        <v>155</v>
      </c>
      <c r="E3087" s="17"/>
      <c r="F3087" s="17" t="s">
        <v>156</v>
      </c>
      <c r="G3087" s="17"/>
      <c r="H3087" s="17" t="s">
        <v>692</v>
      </c>
      <c r="I3087" s="17"/>
      <c r="J3087" s="17" t="s">
        <v>693</v>
      </c>
      <c r="K3087" s="17"/>
      <c r="L3087" s="17"/>
      <c r="M3087" s="17"/>
      <c r="N3087" s="17"/>
      <c r="O3087" s="17" t="s">
        <v>5486</v>
      </c>
      <c r="P3087" s="17" t="s">
        <v>5487</v>
      </c>
      <c r="Q3087" s="17"/>
      <c r="R3087" s="25" t="str">
        <f>HYPERLINK("https://ictv.global/taxonomy/taxondetails?taxnode_id=202312782","Charlievirus Tapioca")</f>
        <v>Charlievirus Tapioca</v>
      </c>
      <c r="S3087" s="18" t="s">
        <v>30</v>
      </c>
      <c r="T3087" s="18" t="s">
        <v>5520</v>
      </c>
      <c r="U3087" s="18"/>
      <c r="V3087" s="18"/>
      <c r="W3087" s="18" t="s">
        <v>5521</v>
      </c>
      <c r="X3087" s="18" t="s">
        <v>42</v>
      </c>
      <c r="Y3087" s="18" t="s">
        <v>36</v>
      </c>
      <c r="Z3087" s="18" t="s">
        <v>697</v>
      </c>
      <c r="AA3087" s="21" t="str">
        <f>HYPERLINK("https://www.ncbi.nlm.nih.gov/nuccore/MH697593","NCBI Nucleotide")</f>
        <v>NCBI Nucleotide</v>
      </c>
    </row>
    <row r="3088" spans="1:27" x14ac:dyDescent="0.35">
      <c r="A3088">
        <v>1003994</v>
      </c>
      <c r="B3088">
        <v>3064</v>
      </c>
      <c r="C3088">
        <v>1</v>
      </c>
      <c r="D3088" s="17" t="s">
        <v>155</v>
      </c>
      <c r="E3088" s="17"/>
      <c r="F3088" s="17" t="s">
        <v>156</v>
      </c>
      <c r="G3088" s="17"/>
      <c r="H3088" s="17" t="s">
        <v>692</v>
      </c>
      <c r="I3088" s="17"/>
      <c r="J3088" s="17" t="s">
        <v>693</v>
      </c>
      <c r="K3088" s="17"/>
      <c r="L3088" s="17"/>
      <c r="M3088" s="17"/>
      <c r="N3088" s="17"/>
      <c r="O3088" s="17" t="s">
        <v>5486</v>
      </c>
      <c r="P3088" s="17" t="s">
        <v>5487</v>
      </c>
      <c r="Q3088" s="17"/>
      <c r="R3088" s="25" t="str">
        <f>HYPERLINK("https://ictv.global/taxonomy/taxondetails?taxnode_id=202305532","Charlievirus Xeno")</f>
        <v>Charlievirus Xeno</v>
      </c>
      <c r="S3088" s="18" t="s">
        <v>30</v>
      </c>
      <c r="T3088" s="18" t="s">
        <v>5522</v>
      </c>
      <c r="U3088" s="18"/>
      <c r="V3088" s="18"/>
      <c r="W3088" s="18" t="s">
        <v>5523</v>
      </c>
      <c r="X3088" s="18" t="s">
        <v>42</v>
      </c>
      <c r="Y3088" s="18" t="s">
        <v>36</v>
      </c>
      <c r="Z3088" s="18" t="s">
        <v>697</v>
      </c>
      <c r="AA3088" s="21" t="str">
        <f>HYPERLINK("https://www.ncbi.nlm.nih.gov/nuccore/KU935728","NCBI Nucleotide")</f>
        <v>NCBI Nucleotide</v>
      </c>
    </row>
    <row r="3089" spans="1:27" x14ac:dyDescent="0.35">
      <c r="A3089">
        <v>1003995</v>
      </c>
      <c r="B3089">
        <v>3065</v>
      </c>
      <c r="C3089">
        <v>1</v>
      </c>
      <c r="D3089" s="17" t="s">
        <v>155</v>
      </c>
      <c r="E3089" s="17"/>
      <c r="F3089" s="17" t="s">
        <v>156</v>
      </c>
      <c r="G3089" s="17"/>
      <c r="H3089" s="17" t="s">
        <v>692</v>
      </c>
      <c r="I3089" s="17"/>
      <c r="J3089" s="17" t="s">
        <v>693</v>
      </c>
      <c r="K3089" s="17"/>
      <c r="L3089" s="17"/>
      <c r="M3089" s="17"/>
      <c r="N3089" s="17"/>
      <c r="O3089" s="17" t="s">
        <v>5524</v>
      </c>
      <c r="P3089" s="17" t="s">
        <v>5525</v>
      </c>
      <c r="Q3089" s="17"/>
      <c r="R3089" s="25" t="str">
        <f>HYPERLINK("https://ictv.global/taxonomy/taxondetails?taxnode_id=202314901","Baxterfoxvirus ohgeesy")</f>
        <v>Baxterfoxvirus ohgeesy</v>
      </c>
      <c r="S3089" s="18" t="s">
        <v>30</v>
      </c>
      <c r="T3089" s="18" t="s">
        <v>5526</v>
      </c>
      <c r="U3089" s="18"/>
      <c r="V3089" s="18"/>
      <c r="W3089" s="18" t="s">
        <v>5527</v>
      </c>
      <c r="X3089" s="18" t="s">
        <v>42</v>
      </c>
      <c r="Y3089" s="18" t="s">
        <v>36</v>
      </c>
      <c r="Z3089" s="18" t="s">
        <v>697</v>
      </c>
      <c r="AA3089" s="21" t="str">
        <f>HYPERLINK("https://www.ncbi.nlm.nih.gov/nuccore/MT639650","NCBI Nucleotide")</f>
        <v>NCBI Nucleotide</v>
      </c>
    </row>
    <row r="3090" spans="1:27" x14ac:dyDescent="0.35">
      <c r="A3090">
        <v>1003996</v>
      </c>
      <c r="B3090">
        <v>3066</v>
      </c>
      <c r="C3090">
        <v>1</v>
      </c>
      <c r="D3090" s="17" t="s">
        <v>155</v>
      </c>
      <c r="E3090" s="17"/>
      <c r="F3090" s="17" t="s">
        <v>156</v>
      </c>
      <c r="G3090" s="17"/>
      <c r="H3090" s="17" t="s">
        <v>692</v>
      </c>
      <c r="I3090" s="17"/>
      <c r="J3090" s="17" t="s">
        <v>693</v>
      </c>
      <c r="K3090" s="17"/>
      <c r="L3090" s="17"/>
      <c r="M3090" s="17"/>
      <c r="N3090" s="17"/>
      <c r="O3090" s="17" t="s">
        <v>5524</v>
      </c>
      <c r="P3090" s="17" t="s">
        <v>5525</v>
      </c>
      <c r="Q3090" s="17"/>
      <c r="R3090" s="25" t="str">
        <f>HYPERLINK("https://ictv.global/taxonomy/taxondetails?taxnode_id=202305498","Baxtervirus baxterfox")</f>
        <v>Baxtervirus baxterfox</v>
      </c>
      <c r="S3090" s="18" t="s">
        <v>30</v>
      </c>
      <c r="T3090" s="18" t="s">
        <v>5528</v>
      </c>
      <c r="U3090" s="18"/>
      <c r="V3090" s="18"/>
      <c r="W3090" s="18" t="s">
        <v>5529</v>
      </c>
      <c r="X3090" s="18" t="s">
        <v>42</v>
      </c>
      <c r="Y3090" s="18" t="s">
        <v>36</v>
      </c>
      <c r="Z3090" s="18" t="s">
        <v>697</v>
      </c>
      <c r="AA3090" s="21" t="str">
        <f>HYPERLINK("https://www.ncbi.nlm.nih.gov/nuccore/KU963263","NCBI Nucleotide")</f>
        <v>NCBI Nucleotide</v>
      </c>
    </row>
    <row r="3091" spans="1:27" x14ac:dyDescent="0.35">
      <c r="A3091">
        <v>1003997</v>
      </c>
      <c r="B3091">
        <v>3067</v>
      </c>
      <c r="C3091">
        <v>1</v>
      </c>
      <c r="D3091" s="17" t="s">
        <v>155</v>
      </c>
      <c r="E3091" s="17"/>
      <c r="F3091" s="17" t="s">
        <v>156</v>
      </c>
      <c r="G3091" s="17"/>
      <c r="H3091" s="17" t="s">
        <v>692</v>
      </c>
      <c r="I3091" s="17"/>
      <c r="J3091" s="17" t="s">
        <v>693</v>
      </c>
      <c r="K3091" s="17"/>
      <c r="L3091" s="17"/>
      <c r="M3091" s="17"/>
      <c r="N3091" s="17"/>
      <c r="O3091" s="17" t="s">
        <v>5524</v>
      </c>
      <c r="P3091" s="17" t="s">
        <v>5525</v>
      </c>
      <c r="Q3091" s="17"/>
      <c r="R3091" s="25" t="str">
        <f>HYPERLINK("https://ictv.global/taxonomy/taxondetails?taxnode_id=202305499","Baxtervirus yeezy")</f>
        <v>Baxtervirus yeezy</v>
      </c>
      <c r="S3091" s="18" t="s">
        <v>30</v>
      </c>
      <c r="T3091" s="18" t="s">
        <v>5530</v>
      </c>
      <c r="U3091" s="18"/>
      <c r="V3091" s="18"/>
      <c r="W3091" s="18" t="s">
        <v>5531</v>
      </c>
      <c r="X3091" s="18" t="s">
        <v>42</v>
      </c>
      <c r="Y3091" s="18" t="s">
        <v>36</v>
      </c>
      <c r="Z3091" s="18" t="s">
        <v>697</v>
      </c>
      <c r="AA3091" s="21" t="str">
        <f>HYPERLINK("https://www.ncbi.nlm.nih.gov/nuccore/KU963249","NCBI Nucleotide")</f>
        <v>NCBI Nucleotide</v>
      </c>
    </row>
    <row r="3092" spans="1:27" x14ac:dyDescent="0.35">
      <c r="A3092">
        <v>1003998</v>
      </c>
      <c r="B3092">
        <v>3068</v>
      </c>
      <c r="C3092">
        <v>1</v>
      </c>
      <c r="D3092" s="17" t="s">
        <v>155</v>
      </c>
      <c r="E3092" s="17"/>
      <c r="F3092" s="17" t="s">
        <v>156</v>
      </c>
      <c r="G3092" s="17"/>
      <c r="H3092" s="17" t="s">
        <v>692</v>
      </c>
      <c r="I3092" s="17"/>
      <c r="J3092" s="17" t="s">
        <v>693</v>
      </c>
      <c r="K3092" s="17"/>
      <c r="L3092" s="17"/>
      <c r="M3092" s="17"/>
      <c r="N3092" s="17"/>
      <c r="O3092" s="17" t="s">
        <v>5524</v>
      </c>
      <c r="P3092" s="17" t="s">
        <v>5532</v>
      </c>
      <c r="Q3092" s="17"/>
      <c r="R3092" s="25" t="str">
        <f>HYPERLINK("https://ictv.global/taxonomy/taxondetails?taxnode_id=202314897","Nymphadoravirus agueybana")</f>
        <v>Nymphadoravirus agueybana</v>
      </c>
      <c r="S3092" s="18" t="s">
        <v>30</v>
      </c>
      <c r="T3092" s="18" t="s">
        <v>5533</v>
      </c>
      <c r="U3092" s="18"/>
      <c r="V3092" s="18"/>
      <c r="W3092" s="18" t="s">
        <v>5534</v>
      </c>
      <c r="X3092" s="18" t="s">
        <v>42</v>
      </c>
      <c r="Y3092" s="18" t="s">
        <v>36</v>
      </c>
      <c r="Z3092" s="18" t="s">
        <v>697</v>
      </c>
      <c r="AA3092" s="21" t="str">
        <f>HYPERLINK("https://www.ncbi.nlm.nih.gov/nuccore/MZ274304","NCBI Nucleotide")</f>
        <v>NCBI Nucleotide</v>
      </c>
    </row>
    <row r="3093" spans="1:27" x14ac:dyDescent="0.35">
      <c r="A3093">
        <v>1003999</v>
      </c>
      <c r="B3093">
        <v>3069</v>
      </c>
      <c r="C3093">
        <v>1</v>
      </c>
      <c r="D3093" s="17" t="s">
        <v>155</v>
      </c>
      <c r="E3093" s="17"/>
      <c r="F3093" s="17" t="s">
        <v>156</v>
      </c>
      <c r="G3093" s="17"/>
      <c r="H3093" s="17" t="s">
        <v>692</v>
      </c>
      <c r="I3093" s="17"/>
      <c r="J3093" s="17" t="s">
        <v>693</v>
      </c>
      <c r="K3093" s="17"/>
      <c r="L3093" s="17"/>
      <c r="M3093" s="17"/>
      <c r="N3093" s="17"/>
      <c r="O3093" s="17" t="s">
        <v>5524</v>
      </c>
      <c r="P3093" s="17" t="s">
        <v>5532</v>
      </c>
      <c r="Q3093" s="17"/>
      <c r="R3093" s="25" t="str">
        <f>HYPERLINK("https://ictv.global/taxonomy/taxondetails?taxnode_id=202314895","Nymphadoravirus bosnia")</f>
        <v>Nymphadoravirus bosnia</v>
      </c>
      <c r="S3093" s="18" t="s">
        <v>30</v>
      </c>
      <c r="T3093" s="18" t="s">
        <v>5535</v>
      </c>
      <c r="U3093" s="18"/>
      <c r="V3093" s="18"/>
      <c r="W3093" s="18" t="s">
        <v>5536</v>
      </c>
      <c r="X3093" s="18" t="s">
        <v>42</v>
      </c>
      <c r="Y3093" s="18" t="s">
        <v>36</v>
      </c>
      <c r="Z3093" s="18" t="s">
        <v>697</v>
      </c>
      <c r="AA3093" s="21" t="str">
        <f>HYPERLINK("https://www.ncbi.nlm.nih.gov/nuccore/MT952844","NCBI Nucleotide")</f>
        <v>NCBI Nucleotide</v>
      </c>
    </row>
    <row r="3094" spans="1:27" x14ac:dyDescent="0.35">
      <c r="A3094">
        <v>1004000</v>
      </c>
      <c r="B3094">
        <v>3070</v>
      </c>
      <c r="C3094">
        <v>1</v>
      </c>
      <c r="D3094" s="17" t="s">
        <v>155</v>
      </c>
      <c r="E3094" s="17"/>
      <c r="F3094" s="17" t="s">
        <v>156</v>
      </c>
      <c r="G3094" s="17"/>
      <c r="H3094" s="17" t="s">
        <v>692</v>
      </c>
      <c r="I3094" s="17"/>
      <c r="J3094" s="17" t="s">
        <v>693</v>
      </c>
      <c r="K3094" s="17"/>
      <c r="L3094" s="17"/>
      <c r="M3094" s="17"/>
      <c r="N3094" s="17"/>
      <c r="O3094" s="17" t="s">
        <v>5524</v>
      </c>
      <c r="P3094" s="17" t="s">
        <v>5532</v>
      </c>
      <c r="Q3094" s="17"/>
      <c r="R3094" s="25" t="str">
        <f>HYPERLINK("https://ictv.global/taxonomy/taxondetails?taxnode_id=202314900","Nymphadoravirus boynamedsue")</f>
        <v>Nymphadoravirus boynamedsue</v>
      </c>
      <c r="S3094" s="18" t="s">
        <v>30</v>
      </c>
      <c r="T3094" s="18" t="s">
        <v>5537</v>
      </c>
      <c r="U3094" s="18"/>
      <c r="V3094" s="18"/>
      <c r="W3094" s="18" t="s">
        <v>5538</v>
      </c>
      <c r="X3094" s="18" t="s">
        <v>42</v>
      </c>
      <c r="Y3094" s="18" t="s">
        <v>36</v>
      </c>
      <c r="Z3094" s="18" t="s">
        <v>697</v>
      </c>
      <c r="AA3094" s="21" t="str">
        <f>HYPERLINK("https://www.ncbi.nlm.nih.gov/nuccore/MW712717","NCBI Nucleotide")</f>
        <v>NCBI Nucleotide</v>
      </c>
    </row>
    <row r="3095" spans="1:27" x14ac:dyDescent="0.35">
      <c r="A3095">
        <v>1004001</v>
      </c>
      <c r="B3095">
        <v>3071</v>
      </c>
      <c r="C3095">
        <v>1</v>
      </c>
      <c r="D3095" s="17" t="s">
        <v>155</v>
      </c>
      <c r="E3095" s="17"/>
      <c r="F3095" s="17" t="s">
        <v>156</v>
      </c>
      <c r="G3095" s="17"/>
      <c r="H3095" s="17" t="s">
        <v>692</v>
      </c>
      <c r="I3095" s="17"/>
      <c r="J3095" s="17" t="s">
        <v>693</v>
      </c>
      <c r="K3095" s="17"/>
      <c r="L3095" s="17"/>
      <c r="M3095" s="17"/>
      <c r="N3095" s="17"/>
      <c r="O3095" s="17" t="s">
        <v>5524</v>
      </c>
      <c r="P3095" s="17" t="s">
        <v>5532</v>
      </c>
      <c r="Q3095" s="17"/>
      <c r="R3095" s="25" t="str">
        <f>HYPERLINK("https://ictv.global/taxonomy/taxondetails?taxnode_id=202314892","Nymphadoravirus bunnybear")</f>
        <v>Nymphadoravirus bunnybear</v>
      </c>
      <c r="S3095" s="18" t="s">
        <v>30</v>
      </c>
      <c r="T3095" s="18" t="s">
        <v>5539</v>
      </c>
      <c r="U3095" s="18"/>
      <c r="V3095" s="18"/>
      <c r="W3095" s="18" t="s">
        <v>5540</v>
      </c>
      <c r="X3095" s="18" t="s">
        <v>42</v>
      </c>
      <c r="Y3095" s="18" t="s">
        <v>36</v>
      </c>
      <c r="Z3095" s="18" t="s">
        <v>697</v>
      </c>
      <c r="AA3095" s="21" t="str">
        <f>HYPERLINK("https://www.ncbi.nlm.nih.gov/nuccore/MT723938","NCBI Nucleotide")</f>
        <v>NCBI Nucleotide</v>
      </c>
    </row>
    <row r="3096" spans="1:27" x14ac:dyDescent="0.35">
      <c r="A3096">
        <v>1004002</v>
      </c>
      <c r="B3096">
        <v>3072</v>
      </c>
      <c r="C3096">
        <v>1</v>
      </c>
      <c r="D3096" s="17" t="s">
        <v>155</v>
      </c>
      <c r="E3096" s="17"/>
      <c r="F3096" s="17" t="s">
        <v>156</v>
      </c>
      <c r="G3096" s="17"/>
      <c r="H3096" s="17" t="s">
        <v>692</v>
      </c>
      <c r="I3096" s="17"/>
      <c r="J3096" s="17" t="s">
        <v>693</v>
      </c>
      <c r="K3096" s="17"/>
      <c r="L3096" s="17"/>
      <c r="M3096" s="17"/>
      <c r="N3096" s="17"/>
      <c r="O3096" s="17" t="s">
        <v>5524</v>
      </c>
      <c r="P3096" s="17" t="s">
        <v>5532</v>
      </c>
      <c r="Q3096" s="17"/>
      <c r="R3096" s="25" t="str">
        <f>HYPERLINK("https://ictv.global/taxonomy/taxondetails?taxnode_id=202314896","Nymphadoravirus herod")</f>
        <v>Nymphadoravirus herod</v>
      </c>
      <c r="S3096" s="18" t="s">
        <v>30</v>
      </c>
      <c r="T3096" s="18" t="s">
        <v>5541</v>
      </c>
      <c r="U3096" s="18"/>
      <c r="V3096" s="18"/>
      <c r="W3096" s="18" t="s">
        <v>5542</v>
      </c>
      <c r="X3096" s="18" t="s">
        <v>42</v>
      </c>
      <c r="Y3096" s="18" t="s">
        <v>36</v>
      </c>
      <c r="Z3096" s="18" t="s">
        <v>697</v>
      </c>
      <c r="AA3096" s="21" t="str">
        <f>HYPERLINK("https://www.ncbi.nlm.nih.gov/nuccore/MT889398","NCBI Nucleotide")</f>
        <v>NCBI Nucleotide</v>
      </c>
    </row>
    <row r="3097" spans="1:27" x14ac:dyDescent="0.35">
      <c r="A3097">
        <v>1004003</v>
      </c>
      <c r="B3097">
        <v>3073</v>
      </c>
      <c r="C3097">
        <v>1</v>
      </c>
      <c r="D3097" s="17" t="s">
        <v>155</v>
      </c>
      <c r="E3097" s="17"/>
      <c r="F3097" s="17" t="s">
        <v>156</v>
      </c>
      <c r="G3097" s="17"/>
      <c r="H3097" s="17" t="s">
        <v>692</v>
      </c>
      <c r="I3097" s="17"/>
      <c r="J3097" s="17" t="s">
        <v>693</v>
      </c>
      <c r="K3097" s="17"/>
      <c r="L3097" s="17"/>
      <c r="M3097" s="17"/>
      <c r="N3097" s="17"/>
      <c r="O3097" s="17" t="s">
        <v>5524</v>
      </c>
      <c r="P3097" s="17" t="s">
        <v>5532</v>
      </c>
      <c r="Q3097" s="17"/>
      <c r="R3097" s="25" t="str">
        <f>HYPERLINK("https://ictv.global/taxonomy/taxondetails?taxnode_id=202305501","Nymphadoravirus kita")</f>
        <v>Nymphadoravirus kita</v>
      </c>
      <c r="S3097" s="18" t="s">
        <v>30</v>
      </c>
      <c r="T3097" s="18" t="s">
        <v>5543</v>
      </c>
      <c r="U3097" s="18"/>
      <c r="V3097" s="18"/>
      <c r="W3097" s="18" t="s">
        <v>5544</v>
      </c>
      <c r="X3097" s="18" t="s">
        <v>42</v>
      </c>
      <c r="Y3097" s="18" t="s">
        <v>36</v>
      </c>
      <c r="Z3097" s="18" t="s">
        <v>697</v>
      </c>
      <c r="AA3097" s="21" t="str">
        <f>HYPERLINK("https://www.ncbi.nlm.nih.gov/nuccore/KU963257","NCBI Nucleotide")</f>
        <v>NCBI Nucleotide</v>
      </c>
    </row>
    <row r="3098" spans="1:27" x14ac:dyDescent="0.35">
      <c r="A3098">
        <v>1004004</v>
      </c>
      <c r="B3098">
        <v>3074</v>
      </c>
      <c r="C3098">
        <v>1</v>
      </c>
      <c r="D3098" s="17" t="s">
        <v>155</v>
      </c>
      <c r="E3098" s="17"/>
      <c r="F3098" s="17" t="s">
        <v>156</v>
      </c>
      <c r="G3098" s="17"/>
      <c r="H3098" s="17" t="s">
        <v>692</v>
      </c>
      <c r="I3098" s="17"/>
      <c r="J3098" s="17" t="s">
        <v>693</v>
      </c>
      <c r="K3098" s="17"/>
      <c r="L3098" s="17"/>
      <c r="M3098" s="17"/>
      <c r="N3098" s="17"/>
      <c r="O3098" s="17" t="s">
        <v>5524</v>
      </c>
      <c r="P3098" s="17" t="s">
        <v>5532</v>
      </c>
      <c r="Q3098" s="17"/>
      <c r="R3098" s="25" t="str">
        <f>HYPERLINK("https://ictv.global/taxonomy/taxondetails?taxnode_id=202314893","Nymphadoravirus madeline")</f>
        <v>Nymphadoravirus madeline</v>
      </c>
      <c r="S3098" s="18" t="s">
        <v>30</v>
      </c>
      <c r="T3098" s="18" t="s">
        <v>5545</v>
      </c>
      <c r="U3098" s="18"/>
      <c r="V3098" s="18"/>
      <c r="W3098" s="18" t="s">
        <v>5546</v>
      </c>
      <c r="X3098" s="18" t="s">
        <v>42</v>
      </c>
      <c r="Y3098" s="18" t="s">
        <v>36</v>
      </c>
      <c r="Z3098" s="18" t="s">
        <v>697</v>
      </c>
      <c r="AA3098" s="21" t="str">
        <f>HYPERLINK("https://www.ncbi.nlm.nih.gov/nuccore/MK919469","NCBI Nucleotide")</f>
        <v>NCBI Nucleotide</v>
      </c>
    </row>
    <row r="3099" spans="1:27" x14ac:dyDescent="0.35">
      <c r="A3099">
        <v>1004005</v>
      </c>
      <c r="B3099">
        <v>3075</v>
      </c>
      <c r="C3099">
        <v>1</v>
      </c>
      <c r="D3099" s="17" t="s">
        <v>155</v>
      </c>
      <c r="E3099" s="17"/>
      <c r="F3099" s="17" t="s">
        <v>156</v>
      </c>
      <c r="G3099" s="17"/>
      <c r="H3099" s="17" t="s">
        <v>692</v>
      </c>
      <c r="I3099" s="17"/>
      <c r="J3099" s="17" t="s">
        <v>693</v>
      </c>
      <c r="K3099" s="17"/>
      <c r="L3099" s="17"/>
      <c r="M3099" s="17"/>
      <c r="N3099" s="17"/>
      <c r="O3099" s="17" t="s">
        <v>5524</v>
      </c>
      <c r="P3099" s="17" t="s">
        <v>5532</v>
      </c>
      <c r="Q3099" s="17"/>
      <c r="R3099" s="25" t="str">
        <f>HYPERLINK("https://ictv.global/taxonomy/taxondetails?taxnode_id=202314899","Nymphadoravirus maridalia")</f>
        <v>Nymphadoravirus maridalia</v>
      </c>
      <c r="S3099" s="18" t="s">
        <v>30</v>
      </c>
      <c r="T3099" s="18" t="s">
        <v>5547</v>
      </c>
      <c r="U3099" s="18"/>
      <c r="V3099" s="18"/>
      <c r="W3099" s="18" t="s">
        <v>5548</v>
      </c>
      <c r="X3099" s="18" t="s">
        <v>42</v>
      </c>
      <c r="Y3099" s="18" t="s">
        <v>36</v>
      </c>
      <c r="Z3099" s="18" t="s">
        <v>697</v>
      </c>
      <c r="AA3099" s="21" t="str">
        <f>HYPERLINK("https://www.ncbi.nlm.nih.gov/nuccore/MK112547","NCBI Nucleotide")</f>
        <v>NCBI Nucleotide</v>
      </c>
    </row>
    <row r="3100" spans="1:27" x14ac:dyDescent="0.35">
      <c r="A3100">
        <v>1004006</v>
      </c>
      <c r="B3100">
        <v>3076</v>
      </c>
      <c r="C3100">
        <v>1</v>
      </c>
      <c r="D3100" s="17" t="s">
        <v>155</v>
      </c>
      <c r="E3100" s="17"/>
      <c r="F3100" s="17" t="s">
        <v>156</v>
      </c>
      <c r="G3100" s="17"/>
      <c r="H3100" s="17" t="s">
        <v>692</v>
      </c>
      <c r="I3100" s="17"/>
      <c r="J3100" s="17" t="s">
        <v>693</v>
      </c>
      <c r="K3100" s="17"/>
      <c r="L3100" s="17"/>
      <c r="M3100" s="17"/>
      <c r="N3100" s="17"/>
      <c r="O3100" s="17" t="s">
        <v>5524</v>
      </c>
      <c r="P3100" s="17" t="s">
        <v>5532</v>
      </c>
      <c r="Q3100" s="17"/>
      <c r="R3100" s="25" t="str">
        <f>HYPERLINK("https://ictv.global/taxonomy/taxondetails?taxnode_id=202305503","Nymphadoravirus nymphadora")</f>
        <v>Nymphadoravirus nymphadora</v>
      </c>
      <c r="S3100" s="18" t="s">
        <v>30</v>
      </c>
      <c r="T3100" s="18" t="s">
        <v>5549</v>
      </c>
      <c r="U3100" s="18"/>
      <c r="V3100" s="18"/>
      <c r="W3100" s="18" t="s">
        <v>5550</v>
      </c>
      <c r="X3100" s="18" t="s">
        <v>42</v>
      </c>
      <c r="Y3100" s="18" t="s">
        <v>36</v>
      </c>
      <c r="Z3100" s="18" t="s">
        <v>697</v>
      </c>
      <c r="AA3100" s="21" t="str">
        <f>HYPERLINK("https://www.ncbi.nlm.nih.gov/nuccore/KU963255","NCBI Nucleotide")</f>
        <v>NCBI Nucleotide</v>
      </c>
    </row>
    <row r="3101" spans="1:27" x14ac:dyDescent="0.35">
      <c r="A3101">
        <v>1004007</v>
      </c>
      <c r="B3101">
        <v>3077</v>
      </c>
      <c r="C3101">
        <v>1</v>
      </c>
      <c r="D3101" s="17" t="s">
        <v>155</v>
      </c>
      <c r="E3101" s="17"/>
      <c r="F3101" s="17" t="s">
        <v>156</v>
      </c>
      <c r="G3101" s="17"/>
      <c r="H3101" s="17" t="s">
        <v>692</v>
      </c>
      <c r="I3101" s="17"/>
      <c r="J3101" s="17" t="s">
        <v>693</v>
      </c>
      <c r="K3101" s="17"/>
      <c r="L3101" s="17"/>
      <c r="M3101" s="17"/>
      <c r="N3101" s="17"/>
      <c r="O3101" s="17" t="s">
        <v>5524</v>
      </c>
      <c r="P3101" s="17" t="s">
        <v>5532</v>
      </c>
      <c r="Q3101" s="17"/>
      <c r="R3101" s="25" t="str">
        <f>HYPERLINK("https://ictv.global/taxonomy/taxondetails?taxnode_id=202314898","Nymphadoravirus polly")</f>
        <v>Nymphadoravirus polly</v>
      </c>
      <c r="S3101" s="18" t="s">
        <v>30</v>
      </c>
      <c r="T3101" s="18" t="s">
        <v>5551</v>
      </c>
      <c r="U3101" s="18"/>
      <c r="V3101" s="18"/>
      <c r="W3101" s="18" t="s">
        <v>5552</v>
      </c>
      <c r="X3101" s="18" t="s">
        <v>42</v>
      </c>
      <c r="Y3101" s="18" t="s">
        <v>36</v>
      </c>
      <c r="Z3101" s="18" t="s">
        <v>697</v>
      </c>
      <c r="AA3101" s="21" t="str">
        <f>HYPERLINK("https://www.ncbi.nlm.nih.gov/nuccore/MK820642","NCBI Nucleotide")</f>
        <v>NCBI Nucleotide</v>
      </c>
    </row>
    <row r="3102" spans="1:27" x14ac:dyDescent="0.35">
      <c r="A3102">
        <v>1004008</v>
      </c>
      <c r="B3102">
        <v>3078</v>
      </c>
      <c r="C3102">
        <v>1</v>
      </c>
      <c r="D3102" s="17" t="s">
        <v>155</v>
      </c>
      <c r="E3102" s="17"/>
      <c r="F3102" s="17" t="s">
        <v>156</v>
      </c>
      <c r="G3102" s="17"/>
      <c r="H3102" s="17" t="s">
        <v>692</v>
      </c>
      <c r="I3102" s="17"/>
      <c r="J3102" s="17" t="s">
        <v>693</v>
      </c>
      <c r="K3102" s="17"/>
      <c r="L3102" s="17"/>
      <c r="M3102" s="17"/>
      <c r="N3102" s="17"/>
      <c r="O3102" s="17" t="s">
        <v>5524</v>
      </c>
      <c r="P3102" s="17" t="s">
        <v>5532</v>
      </c>
      <c r="Q3102" s="17"/>
      <c r="R3102" s="25" t="str">
        <f>HYPERLINK("https://ictv.global/taxonomy/taxondetails?taxnode_id=202314894","Nymphadoravirus thankyoujordi")</f>
        <v>Nymphadoravirus thankyoujordi</v>
      </c>
      <c r="S3102" s="18" t="s">
        <v>30</v>
      </c>
      <c r="T3102" s="18" t="s">
        <v>5553</v>
      </c>
      <c r="U3102" s="18"/>
      <c r="V3102" s="18"/>
      <c r="W3102" s="18" t="s">
        <v>5554</v>
      </c>
      <c r="X3102" s="18" t="s">
        <v>42</v>
      </c>
      <c r="Y3102" s="18" t="s">
        <v>36</v>
      </c>
      <c r="Z3102" s="18" t="s">
        <v>697</v>
      </c>
      <c r="AA3102" s="21" t="str">
        <f>HYPERLINK("https://www.ncbi.nlm.nih.gov/nuccore/MK801727","NCBI Nucleotide")</f>
        <v>NCBI Nucleotide</v>
      </c>
    </row>
    <row r="3103" spans="1:27" x14ac:dyDescent="0.35">
      <c r="A3103">
        <v>1004009</v>
      </c>
      <c r="B3103">
        <v>3079</v>
      </c>
      <c r="C3103">
        <v>1</v>
      </c>
      <c r="D3103" s="17" t="s">
        <v>155</v>
      </c>
      <c r="E3103" s="17"/>
      <c r="F3103" s="17" t="s">
        <v>156</v>
      </c>
      <c r="G3103" s="17"/>
      <c r="H3103" s="17" t="s">
        <v>692</v>
      </c>
      <c r="I3103" s="17"/>
      <c r="J3103" s="17" t="s">
        <v>693</v>
      </c>
      <c r="K3103" s="17"/>
      <c r="L3103" s="17"/>
      <c r="M3103" s="17"/>
      <c r="N3103" s="17"/>
      <c r="O3103" s="17" t="s">
        <v>5524</v>
      </c>
      <c r="P3103" s="17" t="s">
        <v>5532</v>
      </c>
      <c r="Q3103" s="17"/>
      <c r="R3103" s="25" t="str">
        <f>HYPERLINK("https://ictv.global/taxonomy/taxondetails?taxnode_id=202305502","Nymphadoravirus zirinka")</f>
        <v>Nymphadoravirus zirinka</v>
      </c>
      <c r="S3103" s="18" t="s">
        <v>30</v>
      </c>
      <c r="T3103" s="18" t="s">
        <v>5555</v>
      </c>
      <c r="U3103" s="18"/>
      <c r="V3103" s="18"/>
      <c r="W3103" s="18" t="s">
        <v>5556</v>
      </c>
      <c r="X3103" s="18" t="s">
        <v>42</v>
      </c>
      <c r="Y3103" s="18" t="s">
        <v>36</v>
      </c>
      <c r="Z3103" s="18" t="s">
        <v>697</v>
      </c>
      <c r="AA3103" s="21" t="str">
        <f>HYPERLINK("https://www.ncbi.nlm.nih.gov/nuccore/KX557287","NCBI Nucleotide")</f>
        <v>NCBI Nucleotide</v>
      </c>
    </row>
    <row r="3104" spans="1:27" x14ac:dyDescent="0.35">
      <c r="A3104">
        <v>1004010</v>
      </c>
      <c r="B3104">
        <v>3080</v>
      </c>
      <c r="C3104">
        <v>1</v>
      </c>
      <c r="D3104" s="17" t="s">
        <v>155</v>
      </c>
      <c r="E3104" s="17"/>
      <c r="F3104" s="17" t="s">
        <v>156</v>
      </c>
      <c r="G3104" s="17"/>
      <c r="H3104" s="17" t="s">
        <v>692</v>
      </c>
      <c r="I3104" s="17"/>
      <c r="J3104" s="17" t="s">
        <v>693</v>
      </c>
      <c r="K3104" s="17"/>
      <c r="L3104" s="17"/>
      <c r="M3104" s="17"/>
      <c r="N3104" s="17"/>
      <c r="O3104" s="17" t="s">
        <v>5557</v>
      </c>
      <c r="P3104" s="17" t="s">
        <v>5558</v>
      </c>
      <c r="Q3104" s="17"/>
      <c r="R3104" s="25" t="str">
        <f>HYPERLINK("https://ictv.global/taxonomy/taxondetails?taxnode_id=202307010","Felixounavirus Alf5")</f>
        <v>Felixounavirus Alf5</v>
      </c>
      <c r="S3104" s="18" t="s">
        <v>30</v>
      </c>
      <c r="T3104" s="18" t="s">
        <v>5559</v>
      </c>
      <c r="U3104" s="18"/>
      <c r="V3104" s="18"/>
      <c r="W3104" s="18" t="s">
        <v>5560</v>
      </c>
      <c r="X3104" s="18" t="s">
        <v>42</v>
      </c>
      <c r="Y3104" s="18" t="s">
        <v>36</v>
      </c>
      <c r="Z3104" s="18" t="s">
        <v>697</v>
      </c>
      <c r="AA3104" s="21" t="str">
        <f>HYPERLINK("https://www.ncbi.nlm.nih.gov/nuccore/KX377933","NCBI Nucleotide")</f>
        <v>NCBI Nucleotide</v>
      </c>
    </row>
    <row r="3105" spans="1:27" x14ac:dyDescent="0.35">
      <c r="A3105">
        <v>1004011</v>
      </c>
      <c r="B3105">
        <v>3081</v>
      </c>
      <c r="C3105">
        <v>1</v>
      </c>
      <c r="D3105" s="17" t="s">
        <v>155</v>
      </c>
      <c r="E3105" s="17"/>
      <c r="F3105" s="17" t="s">
        <v>156</v>
      </c>
      <c r="G3105" s="17"/>
      <c r="H3105" s="17" t="s">
        <v>692</v>
      </c>
      <c r="I3105" s="17"/>
      <c r="J3105" s="17" t="s">
        <v>693</v>
      </c>
      <c r="K3105" s="17"/>
      <c r="L3105" s="17"/>
      <c r="M3105" s="17"/>
      <c r="N3105" s="17"/>
      <c r="O3105" s="17" t="s">
        <v>5557</v>
      </c>
      <c r="P3105" s="17" t="s">
        <v>5558</v>
      </c>
      <c r="Q3105" s="17"/>
      <c r="R3105" s="25" t="str">
        <f>HYPERLINK("https://ictv.global/taxonomy/taxondetails?taxnode_id=202300208","Felixounavirus AYO145A")</f>
        <v>Felixounavirus AYO145A</v>
      </c>
      <c r="S3105" s="18" t="s">
        <v>30</v>
      </c>
      <c r="T3105" s="18" t="s">
        <v>5561</v>
      </c>
      <c r="U3105" s="18"/>
      <c r="V3105" s="18"/>
      <c r="W3105" s="18" t="s">
        <v>5562</v>
      </c>
      <c r="X3105" s="18" t="s">
        <v>42</v>
      </c>
      <c r="Y3105" s="18" t="s">
        <v>36</v>
      </c>
      <c r="Z3105" s="18" t="s">
        <v>697</v>
      </c>
      <c r="AA3105" s="21" t="str">
        <f>HYPERLINK("https://www.ncbi.nlm.nih.gov/nuccore/KR014248","NCBI Nucleotide")</f>
        <v>NCBI Nucleotide</v>
      </c>
    </row>
    <row r="3106" spans="1:27" x14ac:dyDescent="0.35">
      <c r="A3106">
        <v>1004012</v>
      </c>
      <c r="B3106">
        <v>3082</v>
      </c>
      <c r="C3106">
        <v>1</v>
      </c>
      <c r="D3106" s="17" t="s">
        <v>155</v>
      </c>
      <c r="E3106" s="17"/>
      <c r="F3106" s="17" t="s">
        <v>156</v>
      </c>
      <c r="G3106" s="17"/>
      <c r="H3106" s="17" t="s">
        <v>692</v>
      </c>
      <c r="I3106" s="17"/>
      <c r="J3106" s="17" t="s">
        <v>693</v>
      </c>
      <c r="K3106" s="17"/>
      <c r="L3106" s="17"/>
      <c r="M3106" s="17"/>
      <c r="N3106" s="17"/>
      <c r="O3106" s="17" t="s">
        <v>5557</v>
      </c>
      <c r="P3106" s="17" t="s">
        <v>5558</v>
      </c>
      <c r="Q3106" s="17"/>
      <c r="R3106" s="25" t="str">
        <f>HYPERLINK("https://ictv.global/taxonomy/taxondetails?taxnode_id=202307009","Felixounavirus BPS15Q2")</f>
        <v>Felixounavirus BPS15Q2</v>
      </c>
      <c r="S3106" s="18" t="s">
        <v>30</v>
      </c>
      <c r="T3106" s="18" t="s">
        <v>5563</v>
      </c>
      <c r="U3106" s="18"/>
      <c r="V3106" s="18"/>
      <c r="W3106" s="18" t="s">
        <v>5564</v>
      </c>
      <c r="X3106" s="18" t="s">
        <v>42</v>
      </c>
      <c r="Y3106" s="18" t="s">
        <v>36</v>
      </c>
      <c r="Z3106" s="18" t="s">
        <v>697</v>
      </c>
      <c r="AA3106" s="21" t="str">
        <f>HYPERLINK("https://www.ncbi.nlm.nih.gov/nuccore/KX405003","NCBI Nucleotide")</f>
        <v>NCBI Nucleotide</v>
      </c>
    </row>
    <row r="3107" spans="1:27" x14ac:dyDescent="0.35">
      <c r="A3107">
        <v>1004013</v>
      </c>
      <c r="B3107">
        <v>3083</v>
      </c>
      <c r="C3107">
        <v>1</v>
      </c>
      <c r="D3107" s="17" t="s">
        <v>155</v>
      </c>
      <c r="E3107" s="17"/>
      <c r="F3107" s="17" t="s">
        <v>156</v>
      </c>
      <c r="G3107" s="17"/>
      <c r="H3107" s="17" t="s">
        <v>692</v>
      </c>
      <c r="I3107" s="17"/>
      <c r="J3107" s="17" t="s">
        <v>693</v>
      </c>
      <c r="K3107" s="17"/>
      <c r="L3107" s="17"/>
      <c r="M3107" s="17"/>
      <c r="N3107" s="17"/>
      <c r="O3107" s="17" t="s">
        <v>5557</v>
      </c>
      <c r="P3107" s="17" t="s">
        <v>5558</v>
      </c>
      <c r="Q3107" s="17"/>
      <c r="R3107" s="25" t="str">
        <f>HYPERLINK("https://ictv.global/taxonomy/taxondetails?taxnode_id=202307007","Felixounavirus BPS17L1")</f>
        <v>Felixounavirus BPS17L1</v>
      </c>
      <c r="S3107" s="18" t="s">
        <v>30</v>
      </c>
      <c r="T3107" s="18" t="s">
        <v>5565</v>
      </c>
      <c r="U3107" s="18"/>
      <c r="V3107" s="18"/>
      <c r="W3107" s="18" t="s">
        <v>5566</v>
      </c>
      <c r="X3107" s="18" t="s">
        <v>42</v>
      </c>
      <c r="Y3107" s="18" t="s">
        <v>36</v>
      </c>
      <c r="Z3107" s="18" t="s">
        <v>697</v>
      </c>
      <c r="AA3107" s="21" t="str">
        <f>HYPERLINK("https://www.ncbi.nlm.nih.gov/nuccore/MG646672","NCBI Nucleotide")</f>
        <v>NCBI Nucleotide</v>
      </c>
    </row>
    <row r="3108" spans="1:27" x14ac:dyDescent="0.35">
      <c r="A3108">
        <v>1004014</v>
      </c>
      <c r="B3108">
        <v>3084</v>
      </c>
      <c r="C3108">
        <v>1</v>
      </c>
      <c r="D3108" s="17" t="s">
        <v>155</v>
      </c>
      <c r="E3108" s="17"/>
      <c r="F3108" s="17" t="s">
        <v>156</v>
      </c>
      <c r="G3108" s="17"/>
      <c r="H3108" s="17" t="s">
        <v>692</v>
      </c>
      <c r="I3108" s="17"/>
      <c r="J3108" s="17" t="s">
        <v>693</v>
      </c>
      <c r="K3108" s="17"/>
      <c r="L3108" s="17"/>
      <c r="M3108" s="17"/>
      <c r="N3108" s="17"/>
      <c r="O3108" s="17" t="s">
        <v>5557</v>
      </c>
      <c r="P3108" s="17" t="s">
        <v>5558</v>
      </c>
      <c r="Q3108" s="17"/>
      <c r="R3108" s="25" t="str">
        <f>HYPERLINK("https://ictv.global/taxonomy/taxondetails?taxnode_id=202307006","Felixounavirus BPS17W1")</f>
        <v>Felixounavirus BPS17W1</v>
      </c>
      <c r="S3108" s="18" t="s">
        <v>30</v>
      </c>
      <c r="T3108" s="18" t="s">
        <v>5567</v>
      </c>
      <c r="U3108" s="18"/>
      <c r="V3108" s="18"/>
      <c r="W3108" s="18" t="s">
        <v>5568</v>
      </c>
      <c r="X3108" s="18" t="s">
        <v>42</v>
      </c>
      <c r="Y3108" s="18" t="s">
        <v>36</v>
      </c>
      <c r="Z3108" s="18" t="s">
        <v>697</v>
      </c>
      <c r="AA3108" s="21" t="str">
        <f>HYPERLINK("https://www.ncbi.nlm.nih.gov/nuccore/MG646669","NCBI Nucleotide")</f>
        <v>NCBI Nucleotide</v>
      </c>
    </row>
    <row r="3109" spans="1:27" x14ac:dyDescent="0.35">
      <c r="A3109">
        <v>1004015</v>
      </c>
      <c r="B3109">
        <v>3085</v>
      </c>
      <c r="C3109">
        <v>1</v>
      </c>
      <c r="D3109" s="17" t="s">
        <v>155</v>
      </c>
      <c r="E3109" s="17"/>
      <c r="F3109" s="17" t="s">
        <v>156</v>
      </c>
      <c r="G3109" s="17"/>
      <c r="H3109" s="17" t="s">
        <v>692</v>
      </c>
      <c r="I3109" s="17"/>
      <c r="J3109" s="17" t="s">
        <v>693</v>
      </c>
      <c r="K3109" s="17"/>
      <c r="L3109" s="17"/>
      <c r="M3109" s="17"/>
      <c r="N3109" s="17"/>
      <c r="O3109" s="17" t="s">
        <v>5557</v>
      </c>
      <c r="P3109" s="17" t="s">
        <v>5558</v>
      </c>
      <c r="Q3109" s="17"/>
      <c r="R3109" s="25" t="str">
        <f>HYPERLINK("https://ictv.global/taxonomy/taxondetails?taxnode_id=202300209","Felixounavirus EC6")</f>
        <v>Felixounavirus EC6</v>
      </c>
      <c r="S3109" s="18" t="s">
        <v>30</v>
      </c>
      <c r="T3109" s="18" t="s">
        <v>5569</v>
      </c>
      <c r="U3109" s="18"/>
      <c r="V3109" s="18"/>
      <c r="W3109" s="18" t="s">
        <v>5570</v>
      </c>
      <c r="X3109" s="18" t="s">
        <v>42</v>
      </c>
      <c r="Y3109" s="18" t="s">
        <v>36</v>
      </c>
      <c r="Z3109" s="18" t="s">
        <v>697</v>
      </c>
      <c r="AA3109" s="21" t="str">
        <f>HYPERLINK("https://www.ncbi.nlm.nih.gov/nuccore/JX560968","NCBI Nucleotide")</f>
        <v>NCBI Nucleotide</v>
      </c>
    </row>
    <row r="3110" spans="1:27" x14ac:dyDescent="0.35">
      <c r="A3110">
        <v>1004016</v>
      </c>
      <c r="B3110">
        <v>3086</v>
      </c>
      <c r="C3110">
        <v>1</v>
      </c>
      <c r="D3110" s="17" t="s">
        <v>155</v>
      </c>
      <c r="E3110" s="17"/>
      <c r="F3110" s="17" t="s">
        <v>156</v>
      </c>
      <c r="G3110" s="17"/>
      <c r="H3110" s="17" t="s">
        <v>692</v>
      </c>
      <c r="I3110" s="17"/>
      <c r="J3110" s="17" t="s">
        <v>693</v>
      </c>
      <c r="K3110" s="17"/>
      <c r="L3110" s="17"/>
      <c r="M3110" s="17"/>
      <c r="N3110" s="17"/>
      <c r="O3110" s="17" t="s">
        <v>5557</v>
      </c>
      <c r="P3110" s="17" t="s">
        <v>5558</v>
      </c>
      <c r="Q3110" s="17"/>
      <c r="R3110" s="25" t="str">
        <f>HYPERLINK("https://ictv.global/taxonomy/taxondetails?taxnode_id=202300215","Felixounavirus felixO1")</f>
        <v>Felixounavirus felixO1</v>
      </c>
      <c r="S3110" s="18" t="s">
        <v>30</v>
      </c>
      <c r="T3110" s="18" t="s">
        <v>5571</v>
      </c>
      <c r="U3110" s="18"/>
      <c r="V3110" s="18"/>
      <c r="W3110" s="18" t="s">
        <v>5572</v>
      </c>
      <c r="X3110" s="18" t="s">
        <v>42</v>
      </c>
      <c r="Y3110" s="18" t="s">
        <v>36</v>
      </c>
      <c r="Z3110" s="18" t="s">
        <v>697</v>
      </c>
      <c r="AA3110" s="21" t="str">
        <f>HYPERLINK("https://www.ncbi.nlm.nih.gov/nuccore/AF320576","NCBI Nucleotide")</f>
        <v>NCBI Nucleotide</v>
      </c>
    </row>
    <row r="3111" spans="1:27" x14ac:dyDescent="0.35">
      <c r="A3111">
        <v>1004017</v>
      </c>
      <c r="B3111">
        <v>3087</v>
      </c>
      <c r="C3111">
        <v>1</v>
      </c>
      <c r="D3111" s="17" t="s">
        <v>155</v>
      </c>
      <c r="E3111" s="17"/>
      <c r="F3111" s="17" t="s">
        <v>156</v>
      </c>
      <c r="G3111" s="17"/>
      <c r="H3111" s="17" t="s">
        <v>692</v>
      </c>
      <c r="I3111" s="17"/>
      <c r="J3111" s="17" t="s">
        <v>693</v>
      </c>
      <c r="K3111" s="17"/>
      <c r="L3111" s="17"/>
      <c r="M3111" s="17"/>
      <c r="N3111" s="17"/>
      <c r="O3111" s="17" t="s">
        <v>5557</v>
      </c>
      <c r="P3111" s="17" t="s">
        <v>5558</v>
      </c>
      <c r="Q3111" s="17"/>
      <c r="R3111" s="25" t="str">
        <f>HYPERLINK("https://ictv.global/taxonomy/taxondetails?taxnode_id=202300210","Felixounavirus HY02")</f>
        <v>Felixounavirus HY02</v>
      </c>
      <c r="S3111" s="18" t="s">
        <v>30</v>
      </c>
      <c r="T3111" s="18" t="s">
        <v>5573</v>
      </c>
      <c r="U3111" s="18"/>
      <c r="V3111" s="18"/>
      <c r="W3111" s="18" t="s">
        <v>5574</v>
      </c>
      <c r="X3111" s="18" t="s">
        <v>42</v>
      </c>
      <c r="Y3111" s="18" t="s">
        <v>36</v>
      </c>
      <c r="Z3111" s="18" t="s">
        <v>697</v>
      </c>
      <c r="AA3111" s="21" t="str">
        <f>HYPERLINK("https://www.ncbi.nlm.nih.gov/nuccore/KM092515","NCBI Nucleotide")</f>
        <v>NCBI Nucleotide</v>
      </c>
    </row>
    <row r="3112" spans="1:27" x14ac:dyDescent="0.35">
      <c r="A3112">
        <v>1004018</v>
      </c>
      <c r="B3112">
        <v>3088</v>
      </c>
      <c r="C3112">
        <v>1</v>
      </c>
      <c r="D3112" s="17" t="s">
        <v>155</v>
      </c>
      <c r="E3112" s="17"/>
      <c r="F3112" s="17" t="s">
        <v>156</v>
      </c>
      <c r="G3112" s="17"/>
      <c r="H3112" s="17" t="s">
        <v>692</v>
      </c>
      <c r="I3112" s="17"/>
      <c r="J3112" s="17" t="s">
        <v>693</v>
      </c>
      <c r="K3112" s="17"/>
      <c r="L3112" s="17"/>
      <c r="M3112" s="17"/>
      <c r="N3112" s="17"/>
      <c r="O3112" s="17" t="s">
        <v>5557</v>
      </c>
      <c r="P3112" s="17" t="s">
        <v>5558</v>
      </c>
      <c r="Q3112" s="17"/>
      <c r="R3112" s="25" t="str">
        <f>HYPERLINK("https://ictv.global/taxonomy/taxondetails?taxnode_id=202300211","Felixounavirus JH2")</f>
        <v>Felixounavirus JH2</v>
      </c>
      <c r="S3112" s="18" t="s">
        <v>30</v>
      </c>
      <c r="T3112" s="18" t="s">
        <v>5575</v>
      </c>
      <c r="U3112" s="18"/>
      <c r="V3112" s="18"/>
      <c r="W3112" s="18" t="s">
        <v>5576</v>
      </c>
      <c r="X3112" s="18" t="s">
        <v>42</v>
      </c>
      <c r="Y3112" s="18" t="s">
        <v>36</v>
      </c>
      <c r="Z3112" s="18" t="s">
        <v>697</v>
      </c>
      <c r="AA3112" s="21" t="str">
        <f>HYPERLINK("https://www.ncbi.nlm.nih.gov/nuccore/KF055347","NCBI Nucleotide")</f>
        <v>NCBI Nucleotide</v>
      </c>
    </row>
    <row r="3113" spans="1:27" x14ac:dyDescent="0.35">
      <c r="A3113">
        <v>1004019</v>
      </c>
      <c r="B3113">
        <v>3089</v>
      </c>
      <c r="C3113">
        <v>1</v>
      </c>
      <c r="D3113" s="17" t="s">
        <v>155</v>
      </c>
      <c r="E3113" s="17"/>
      <c r="F3113" s="17" t="s">
        <v>156</v>
      </c>
      <c r="G3113" s="17"/>
      <c r="H3113" s="17" t="s">
        <v>692</v>
      </c>
      <c r="I3113" s="17"/>
      <c r="J3113" s="17" t="s">
        <v>693</v>
      </c>
      <c r="K3113" s="17"/>
      <c r="L3113" s="17"/>
      <c r="M3113" s="17"/>
      <c r="N3113" s="17"/>
      <c r="O3113" s="17" t="s">
        <v>5557</v>
      </c>
      <c r="P3113" s="17" t="s">
        <v>5558</v>
      </c>
      <c r="Q3113" s="17"/>
      <c r="R3113" s="25" t="str">
        <f>HYPERLINK("https://ictv.global/taxonomy/taxondetails?taxnode_id=202300217","Felixounavirus mushroom")</f>
        <v>Felixounavirus mushroom</v>
      </c>
      <c r="S3113" s="18" t="s">
        <v>30</v>
      </c>
      <c r="T3113" s="18" t="s">
        <v>5577</v>
      </c>
      <c r="U3113" s="18"/>
      <c r="V3113" s="18"/>
      <c r="W3113" s="18" t="s">
        <v>5578</v>
      </c>
      <c r="X3113" s="18" t="s">
        <v>42</v>
      </c>
      <c r="Y3113" s="18" t="s">
        <v>36</v>
      </c>
      <c r="Z3113" s="18" t="s">
        <v>697</v>
      </c>
      <c r="AA3113" s="21" t="str">
        <f>HYPERLINK("https://www.ncbi.nlm.nih.gov/nuccore/KP143762","NCBI Nucleotide")</f>
        <v>NCBI Nucleotide</v>
      </c>
    </row>
    <row r="3114" spans="1:27" x14ac:dyDescent="0.35">
      <c r="A3114">
        <v>1004020</v>
      </c>
      <c r="B3114">
        <v>3090</v>
      </c>
      <c r="C3114">
        <v>1</v>
      </c>
      <c r="D3114" s="17" t="s">
        <v>155</v>
      </c>
      <c r="E3114" s="17"/>
      <c r="F3114" s="17" t="s">
        <v>156</v>
      </c>
      <c r="G3114" s="17"/>
      <c r="H3114" s="17" t="s">
        <v>692</v>
      </c>
      <c r="I3114" s="17"/>
      <c r="J3114" s="17" t="s">
        <v>693</v>
      </c>
      <c r="K3114" s="17"/>
      <c r="L3114" s="17"/>
      <c r="M3114" s="17"/>
      <c r="N3114" s="17"/>
      <c r="O3114" s="17" t="s">
        <v>5557</v>
      </c>
      <c r="P3114" s="17" t="s">
        <v>5558</v>
      </c>
      <c r="Q3114" s="17"/>
      <c r="R3114" s="25" t="str">
        <f>HYPERLINK("https://ictv.global/taxonomy/taxondetails?taxnode_id=202314552","Felixounavirus RPN213")</f>
        <v>Felixounavirus RPN213</v>
      </c>
      <c r="S3114" s="18" t="s">
        <v>30</v>
      </c>
      <c r="T3114" s="18" t="s">
        <v>5579</v>
      </c>
      <c r="U3114" s="18"/>
      <c r="V3114" s="18"/>
      <c r="W3114" s="18" t="s">
        <v>5580</v>
      </c>
      <c r="X3114" s="18" t="s">
        <v>42</v>
      </c>
      <c r="Y3114" s="18" t="s">
        <v>36</v>
      </c>
      <c r="Z3114" s="18" t="s">
        <v>697</v>
      </c>
      <c r="AA3114" s="21" t="str">
        <f>HYPERLINK("https://www.ncbi.nlm.nih.gov/nuccore/OL800606","NCBI Nucleotide")</f>
        <v>NCBI Nucleotide</v>
      </c>
    </row>
    <row r="3115" spans="1:27" x14ac:dyDescent="0.35">
      <c r="A3115">
        <v>1004021</v>
      </c>
      <c r="B3115">
        <v>3091</v>
      </c>
      <c r="C3115">
        <v>1</v>
      </c>
      <c r="D3115" s="17" t="s">
        <v>155</v>
      </c>
      <c r="E3115" s="17"/>
      <c r="F3115" s="17" t="s">
        <v>156</v>
      </c>
      <c r="G3115" s="17"/>
      <c r="H3115" s="17" t="s">
        <v>692</v>
      </c>
      <c r="I3115" s="17"/>
      <c r="J3115" s="17" t="s">
        <v>693</v>
      </c>
      <c r="K3115" s="17"/>
      <c r="L3115" s="17"/>
      <c r="M3115" s="17"/>
      <c r="N3115" s="17"/>
      <c r="O3115" s="17" t="s">
        <v>5557</v>
      </c>
      <c r="P3115" s="17" t="s">
        <v>5558</v>
      </c>
      <c r="Q3115" s="17"/>
      <c r="R3115" s="25" t="str">
        <f>HYPERLINK("https://ictv.global/taxonomy/taxondetails?taxnode_id=202307008","Felixounavirus Si3")</f>
        <v>Felixounavirus Si3</v>
      </c>
      <c r="S3115" s="18" t="s">
        <v>30</v>
      </c>
      <c r="T3115" s="18" t="s">
        <v>5581</v>
      </c>
      <c r="U3115" s="18"/>
      <c r="V3115" s="18"/>
      <c r="W3115" s="18" t="s">
        <v>5582</v>
      </c>
      <c r="X3115" s="18" t="s">
        <v>42</v>
      </c>
      <c r="Y3115" s="18" t="s">
        <v>36</v>
      </c>
      <c r="Z3115" s="18" t="s">
        <v>697</v>
      </c>
      <c r="AA3115" s="21" t="str">
        <f>HYPERLINK("https://www.ncbi.nlm.nih.gov/nuccore/KY626162","NCBI Nucleotide")</f>
        <v>NCBI Nucleotide</v>
      </c>
    </row>
    <row r="3116" spans="1:27" x14ac:dyDescent="0.35">
      <c r="A3116">
        <v>1004022</v>
      </c>
      <c r="B3116">
        <v>3092</v>
      </c>
      <c r="C3116">
        <v>1</v>
      </c>
      <c r="D3116" s="17" t="s">
        <v>155</v>
      </c>
      <c r="E3116" s="17"/>
      <c r="F3116" s="17" t="s">
        <v>156</v>
      </c>
      <c r="G3116" s="17"/>
      <c r="H3116" s="17" t="s">
        <v>692</v>
      </c>
      <c r="I3116" s="17"/>
      <c r="J3116" s="17" t="s">
        <v>693</v>
      </c>
      <c r="K3116" s="17"/>
      <c r="L3116" s="17"/>
      <c r="M3116" s="17"/>
      <c r="N3116" s="17"/>
      <c r="O3116" s="17" t="s">
        <v>5557</v>
      </c>
      <c r="P3116" s="17" t="s">
        <v>5558</v>
      </c>
      <c r="Q3116" s="17"/>
      <c r="R3116" s="25" t="str">
        <f>HYPERLINK("https://ictv.global/taxonomy/taxondetails?taxnode_id=202306902","Felixounavirus SP116")</f>
        <v>Felixounavirus SP116</v>
      </c>
      <c r="S3116" s="18" t="s">
        <v>30</v>
      </c>
      <c r="T3116" s="18" t="s">
        <v>5583</v>
      </c>
      <c r="U3116" s="18"/>
      <c r="V3116" s="18"/>
      <c r="W3116" s="18" t="s">
        <v>5584</v>
      </c>
      <c r="X3116" s="18" t="s">
        <v>42</v>
      </c>
      <c r="Y3116" s="18" t="s">
        <v>36</v>
      </c>
      <c r="Z3116" s="18" t="s">
        <v>697</v>
      </c>
      <c r="AA3116" s="21" t="str">
        <f>HYPERLINK("https://www.ncbi.nlm.nih.gov/nuccore/KP010413","NCBI Nucleotide")</f>
        <v>NCBI Nucleotide</v>
      </c>
    </row>
    <row r="3117" spans="1:27" x14ac:dyDescent="0.35">
      <c r="A3117">
        <v>1004023</v>
      </c>
      <c r="B3117">
        <v>3093</v>
      </c>
      <c r="C3117">
        <v>1</v>
      </c>
      <c r="D3117" s="17" t="s">
        <v>155</v>
      </c>
      <c r="E3117" s="17"/>
      <c r="F3117" s="17" t="s">
        <v>156</v>
      </c>
      <c r="G3117" s="17"/>
      <c r="H3117" s="17" t="s">
        <v>692</v>
      </c>
      <c r="I3117" s="17"/>
      <c r="J3117" s="17" t="s">
        <v>693</v>
      </c>
      <c r="K3117" s="17"/>
      <c r="L3117" s="17"/>
      <c r="M3117" s="17"/>
      <c r="N3117" s="17"/>
      <c r="O3117" s="17" t="s">
        <v>5557</v>
      </c>
      <c r="P3117" s="17" t="s">
        <v>5558</v>
      </c>
      <c r="Q3117" s="17"/>
      <c r="R3117" s="25" t="str">
        <f>HYPERLINK("https://ictv.global/taxonomy/taxondetails?taxnode_id=202300212","Felixounavirus TP1")</f>
        <v>Felixounavirus TP1</v>
      </c>
      <c r="S3117" s="18" t="s">
        <v>30</v>
      </c>
      <c r="T3117" s="18" t="s">
        <v>5585</v>
      </c>
      <c r="U3117" s="18"/>
      <c r="V3117" s="18"/>
      <c r="W3117" s="18" t="s">
        <v>5586</v>
      </c>
      <c r="X3117" s="18" t="s">
        <v>42</v>
      </c>
      <c r="Y3117" s="18" t="s">
        <v>36</v>
      </c>
      <c r="Z3117" s="18" t="s">
        <v>697</v>
      </c>
      <c r="AA3117" s="21" t="str">
        <f>HYPERLINK("https://www.ncbi.nlm.nih.gov/nuccore/KP869100","NCBI Nucleotide")</f>
        <v>NCBI Nucleotide</v>
      </c>
    </row>
    <row r="3118" spans="1:27" x14ac:dyDescent="0.35">
      <c r="A3118">
        <v>1004024</v>
      </c>
      <c r="B3118">
        <v>3094</v>
      </c>
      <c r="C3118">
        <v>1</v>
      </c>
      <c r="D3118" s="17" t="s">
        <v>155</v>
      </c>
      <c r="E3118" s="17"/>
      <c r="F3118" s="17" t="s">
        <v>156</v>
      </c>
      <c r="G3118" s="17"/>
      <c r="H3118" s="17" t="s">
        <v>692</v>
      </c>
      <c r="I3118" s="17"/>
      <c r="J3118" s="17" t="s">
        <v>693</v>
      </c>
      <c r="K3118" s="17"/>
      <c r="L3118" s="17"/>
      <c r="M3118" s="17"/>
      <c r="N3118" s="17"/>
      <c r="O3118" s="17" t="s">
        <v>5557</v>
      </c>
      <c r="P3118" s="17" t="s">
        <v>5558</v>
      </c>
      <c r="Q3118" s="17"/>
      <c r="R3118" s="25" t="str">
        <f>HYPERLINK("https://ictv.global/taxonomy/taxondetails?taxnode_id=202300218","Felixounavirus UAB87")</f>
        <v>Felixounavirus UAB87</v>
      </c>
      <c r="S3118" s="18" t="s">
        <v>30</v>
      </c>
      <c r="T3118" s="18" t="s">
        <v>5587</v>
      </c>
      <c r="U3118" s="18"/>
      <c r="V3118" s="18"/>
      <c r="W3118" s="18" t="s">
        <v>5588</v>
      </c>
      <c r="X3118" s="18" t="s">
        <v>42</v>
      </c>
      <c r="Y3118" s="18" t="s">
        <v>36</v>
      </c>
      <c r="Z3118" s="18" t="s">
        <v>697</v>
      </c>
      <c r="AA3118" s="21" t="str">
        <f>HYPERLINK("https://www.ncbi.nlm.nih.gov/nuccore/JN225449","NCBI Nucleotide")</f>
        <v>NCBI Nucleotide</v>
      </c>
    </row>
    <row r="3119" spans="1:27" x14ac:dyDescent="0.35">
      <c r="A3119">
        <v>1004025</v>
      </c>
      <c r="B3119">
        <v>3095</v>
      </c>
      <c r="C3119">
        <v>1</v>
      </c>
      <c r="D3119" s="17" t="s">
        <v>155</v>
      </c>
      <c r="E3119" s="17"/>
      <c r="F3119" s="17" t="s">
        <v>156</v>
      </c>
      <c r="G3119" s="17"/>
      <c r="H3119" s="17" t="s">
        <v>692</v>
      </c>
      <c r="I3119" s="17"/>
      <c r="J3119" s="17" t="s">
        <v>693</v>
      </c>
      <c r="K3119" s="17"/>
      <c r="L3119" s="17"/>
      <c r="M3119" s="17"/>
      <c r="N3119" s="17"/>
      <c r="O3119" s="17" t="s">
        <v>5557</v>
      </c>
      <c r="P3119" s="17" t="s">
        <v>5558</v>
      </c>
      <c r="Q3119" s="17"/>
      <c r="R3119" s="25" t="str">
        <f>HYPERLINK("https://ictv.global/taxonomy/taxondetails?taxnode_id=202300213","Felixounavirus VpaE1")</f>
        <v>Felixounavirus VpaE1</v>
      </c>
      <c r="S3119" s="18" t="s">
        <v>30</v>
      </c>
      <c r="T3119" s="18" t="s">
        <v>5589</v>
      </c>
      <c r="U3119" s="18"/>
      <c r="V3119" s="18"/>
      <c r="W3119" s="18" t="s">
        <v>5590</v>
      </c>
      <c r="X3119" s="18" t="s">
        <v>42</v>
      </c>
      <c r="Y3119" s="18" t="s">
        <v>36</v>
      </c>
      <c r="Z3119" s="18" t="s">
        <v>697</v>
      </c>
      <c r="AA3119" s="21" t="str">
        <f>HYPERLINK("https://www.ncbi.nlm.nih.gov/nuccore/KM657822","NCBI Nucleotide")</f>
        <v>NCBI Nucleotide</v>
      </c>
    </row>
    <row r="3120" spans="1:27" x14ac:dyDescent="0.35">
      <c r="A3120">
        <v>1004026</v>
      </c>
      <c r="B3120">
        <v>3096</v>
      </c>
      <c r="C3120">
        <v>1</v>
      </c>
      <c r="D3120" s="17" t="s">
        <v>155</v>
      </c>
      <c r="E3120" s="17"/>
      <c r="F3120" s="17" t="s">
        <v>156</v>
      </c>
      <c r="G3120" s="17"/>
      <c r="H3120" s="17" t="s">
        <v>692</v>
      </c>
      <c r="I3120" s="17"/>
      <c r="J3120" s="17" t="s">
        <v>693</v>
      </c>
      <c r="K3120" s="17"/>
      <c r="L3120" s="17"/>
      <c r="M3120" s="17"/>
      <c r="N3120" s="17"/>
      <c r="O3120" s="17" t="s">
        <v>5557</v>
      </c>
      <c r="P3120" s="17" t="s">
        <v>5558</v>
      </c>
      <c r="Q3120" s="17"/>
      <c r="R3120" s="25" t="str">
        <f>HYPERLINK("https://ictv.global/taxonomy/taxondetails?taxnode_id=202300214","Felixounavirus wV8")</f>
        <v>Felixounavirus wV8</v>
      </c>
      <c r="S3120" s="18" t="s">
        <v>30</v>
      </c>
      <c r="T3120" s="18" t="s">
        <v>5591</v>
      </c>
      <c r="U3120" s="18"/>
      <c r="V3120" s="18"/>
      <c r="W3120" s="18" t="s">
        <v>5592</v>
      </c>
      <c r="X3120" s="18" t="s">
        <v>42</v>
      </c>
      <c r="Y3120" s="18" t="s">
        <v>36</v>
      </c>
      <c r="Z3120" s="18" t="s">
        <v>697</v>
      </c>
      <c r="AA3120" s="21" t="str">
        <f>HYPERLINK("https://www.ncbi.nlm.nih.gov/nuccore/EU877232","NCBI Nucleotide")</f>
        <v>NCBI Nucleotide</v>
      </c>
    </row>
    <row r="3121" spans="1:27" x14ac:dyDescent="0.35">
      <c r="A3121">
        <v>1004027</v>
      </c>
      <c r="B3121">
        <v>3097</v>
      </c>
      <c r="C3121">
        <v>1</v>
      </c>
      <c r="D3121" s="17" t="s">
        <v>155</v>
      </c>
      <c r="E3121" s="17"/>
      <c r="F3121" s="17" t="s">
        <v>156</v>
      </c>
      <c r="G3121" s="17"/>
      <c r="H3121" s="17" t="s">
        <v>692</v>
      </c>
      <c r="I3121" s="17"/>
      <c r="J3121" s="17" t="s">
        <v>693</v>
      </c>
      <c r="K3121" s="17"/>
      <c r="L3121" s="17"/>
      <c r="M3121" s="17"/>
      <c r="N3121" s="17"/>
      <c r="O3121" s="17" t="s">
        <v>5557</v>
      </c>
      <c r="P3121" s="17" t="s">
        <v>5593</v>
      </c>
      <c r="Q3121" s="17"/>
      <c r="R3121" s="25" t="str">
        <f>HYPERLINK("https://ictv.global/taxonomy/taxondetails?taxnode_id=202300205","Kolesnikvirus Ea214")</f>
        <v>Kolesnikvirus Ea214</v>
      </c>
      <c r="S3121" s="18" t="s">
        <v>30</v>
      </c>
      <c r="T3121" s="18" t="s">
        <v>5594</v>
      </c>
      <c r="U3121" s="18"/>
      <c r="V3121" s="18"/>
      <c r="W3121" s="18" t="s">
        <v>5595</v>
      </c>
      <c r="X3121" s="18" t="s">
        <v>42</v>
      </c>
      <c r="Y3121" s="18" t="s">
        <v>36</v>
      </c>
      <c r="Z3121" s="18" t="s">
        <v>697</v>
      </c>
      <c r="AA3121" s="21" t="str">
        <f>HYPERLINK("https://www.ncbi.nlm.nih.gov/nuccore/EU710883","NCBI Nucleotide")</f>
        <v>NCBI Nucleotide</v>
      </c>
    </row>
    <row r="3122" spans="1:27" x14ac:dyDescent="0.35">
      <c r="A3122">
        <v>1004028</v>
      </c>
      <c r="B3122">
        <v>3098</v>
      </c>
      <c r="C3122">
        <v>1</v>
      </c>
      <c r="D3122" s="17" t="s">
        <v>155</v>
      </c>
      <c r="E3122" s="17"/>
      <c r="F3122" s="17" t="s">
        <v>156</v>
      </c>
      <c r="G3122" s="17"/>
      <c r="H3122" s="17" t="s">
        <v>692</v>
      </c>
      <c r="I3122" s="17"/>
      <c r="J3122" s="17" t="s">
        <v>693</v>
      </c>
      <c r="K3122" s="17"/>
      <c r="L3122" s="17"/>
      <c r="M3122" s="17"/>
      <c r="N3122" s="17"/>
      <c r="O3122" s="17" t="s">
        <v>5557</v>
      </c>
      <c r="P3122" s="17" t="s">
        <v>5593</v>
      </c>
      <c r="Q3122" s="17"/>
      <c r="R3122" s="25" t="str">
        <f>HYPERLINK("https://ictv.global/taxonomy/taxondetails?taxnode_id=202300206","Kolesnikvirus M7")</f>
        <v>Kolesnikvirus M7</v>
      </c>
      <c r="S3122" s="18" t="s">
        <v>30</v>
      </c>
      <c r="T3122" s="18" t="s">
        <v>5596</v>
      </c>
      <c r="U3122" s="18"/>
      <c r="V3122" s="18"/>
      <c r="W3122" s="18" t="s">
        <v>5597</v>
      </c>
      <c r="X3122" s="18" t="s">
        <v>42</v>
      </c>
      <c r="Y3122" s="18" t="s">
        <v>36</v>
      </c>
      <c r="Z3122" s="18" t="s">
        <v>697</v>
      </c>
      <c r="AA3122" s="21" t="str">
        <f>HYPERLINK("https://www.ncbi.nlm.nih.gov/nuccore/HQ728263","NCBI Nucleotide")</f>
        <v>NCBI Nucleotide</v>
      </c>
    </row>
    <row r="3123" spans="1:27" x14ac:dyDescent="0.35">
      <c r="A3123">
        <v>1004029</v>
      </c>
      <c r="B3123">
        <v>3099</v>
      </c>
      <c r="C3123">
        <v>1</v>
      </c>
      <c r="D3123" s="17" t="s">
        <v>155</v>
      </c>
      <c r="E3123" s="17"/>
      <c r="F3123" s="17" t="s">
        <v>156</v>
      </c>
      <c r="G3123" s="17"/>
      <c r="H3123" s="17" t="s">
        <v>692</v>
      </c>
      <c r="I3123" s="17"/>
      <c r="J3123" s="17" t="s">
        <v>693</v>
      </c>
      <c r="K3123" s="17"/>
      <c r="L3123" s="17"/>
      <c r="M3123" s="17"/>
      <c r="N3123" s="17"/>
      <c r="O3123" s="17" t="s">
        <v>5557</v>
      </c>
      <c r="P3123" s="17" t="s">
        <v>5598</v>
      </c>
      <c r="Q3123" s="17"/>
      <c r="R3123" s="25" t="str">
        <f>HYPERLINK("https://ictv.global/taxonomy/taxondetails?taxnode_id=202300220","Mooglevirus moogle")</f>
        <v>Mooglevirus moogle</v>
      </c>
      <c r="S3123" s="18" t="s">
        <v>30</v>
      </c>
      <c r="T3123" s="18" t="s">
        <v>5599</v>
      </c>
      <c r="U3123" s="18"/>
      <c r="V3123" s="18"/>
      <c r="W3123" s="18" t="s">
        <v>5600</v>
      </c>
      <c r="X3123" s="18" t="s">
        <v>42</v>
      </c>
      <c r="Y3123" s="18" t="s">
        <v>36</v>
      </c>
      <c r="Z3123" s="18" t="s">
        <v>697</v>
      </c>
      <c r="AA3123" s="21" t="str">
        <f>HYPERLINK("https://www.ncbi.nlm.nih.gov/nuccore/KM236239","NCBI Nucleotide")</f>
        <v>NCBI Nucleotide</v>
      </c>
    </row>
    <row r="3124" spans="1:27" x14ac:dyDescent="0.35">
      <c r="A3124">
        <v>1004030</v>
      </c>
      <c r="B3124">
        <v>3100</v>
      </c>
      <c r="C3124">
        <v>1</v>
      </c>
      <c r="D3124" s="17" t="s">
        <v>155</v>
      </c>
      <c r="E3124" s="17"/>
      <c r="F3124" s="17" t="s">
        <v>156</v>
      </c>
      <c r="G3124" s="17"/>
      <c r="H3124" s="17" t="s">
        <v>692</v>
      </c>
      <c r="I3124" s="17"/>
      <c r="J3124" s="17" t="s">
        <v>693</v>
      </c>
      <c r="K3124" s="17"/>
      <c r="L3124" s="17"/>
      <c r="M3124" s="17"/>
      <c r="N3124" s="17"/>
      <c r="O3124" s="17" t="s">
        <v>5557</v>
      </c>
      <c r="P3124" s="17" t="s">
        <v>5598</v>
      </c>
      <c r="Q3124" s="17"/>
      <c r="R3124" s="25" t="str">
        <f>HYPERLINK("https://ictv.global/taxonomy/taxondetails?taxnode_id=202300221","Mooglevirus mordin")</f>
        <v>Mooglevirus mordin</v>
      </c>
      <c r="S3124" s="18" t="s">
        <v>30</v>
      </c>
      <c r="T3124" s="18" t="s">
        <v>5601</v>
      </c>
      <c r="U3124" s="18"/>
      <c r="V3124" s="18"/>
      <c r="W3124" s="18" t="s">
        <v>5602</v>
      </c>
      <c r="X3124" s="18" t="s">
        <v>42</v>
      </c>
      <c r="Y3124" s="18" t="s">
        <v>36</v>
      </c>
      <c r="Z3124" s="18" t="s">
        <v>697</v>
      </c>
      <c r="AA3124" s="21" t="str">
        <f>HYPERLINK("https://www.ncbi.nlm.nih.gov/nuccore/KT363872","NCBI Nucleotide")</f>
        <v>NCBI Nucleotide</v>
      </c>
    </row>
    <row r="3125" spans="1:27" x14ac:dyDescent="0.35">
      <c r="A3125">
        <v>1004031</v>
      </c>
      <c r="B3125">
        <v>3101</v>
      </c>
      <c r="C3125">
        <v>1</v>
      </c>
      <c r="D3125" s="17" t="s">
        <v>155</v>
      </c>
      <c r="E3125" s="17"/>
      <c r="F3125" s="17" t="s">
        <v>156</v>
      </c>
      <c r="G3125" s="17"/>
      <c r="H3125" s="17" t="s">
        <v>692</v>
      </c>
      <c r="I3125" s="17"/>
      <c r="J3125" s="17" t="s">
        <v>693</v>
      </c>
      <c r="K3125" s="17"/>
      <c r="L3125" s="17"/>
      <c r="M3125" s="17"/>
      <c r="N3125" s="17"/>
      <c r="O3125" s="17" t="s">
        <v>5557</v>
      </c>
      <c r="P3125" s="17" t="s">
        <v>5598</v>
      </c>
      <c r="Q3125" s="17"/>
      <c r="R3125" s="25" t="str">
        <f>HYPERLINK("https://ictv.global/taxonomy/taxondetails?taxnode_id=202307011","Mooglevirus Sf13")</f>
        <v>Mooglevirus Sf13</v>
      </c>
      <c r="S3125" s="18" t="s">
        <v>30</v>
      </c>
      <c r="T3125" s="18" t="s">
        <v>5603</v>
      </c>
      <c r="U3125" s="18"/>
      <c r="V3125" s="18"/>
      <c r="W3125" s="18" t="s">
        <v>5604</v>
      </c>
      <c r="X3125" s="18" t="s">
        <v>42</v>
      </c>
      <c r="Y3125" s="18" t="s">
        <v>36</v>
      </c>
      <c r="Z3125" s="18" t="s">
        <v>697</v>
      </c>
      <c r="AA3125" s="21" t="str">
        <f>HYPERLINK("https://www.ncbi.nlm.nih.gov/nuccore/MF158040","NCBI Nucleotide")</f>
        <v>NCBI Nucleotide</v>
      </c>
    </row>
    <row r="3126" spans="1:27" x14ac:dyDescent="0.35">
      <c r="A3126">
        <v>1004032</v>
      </c>
      <c r="B3126">
        <v>3102</v>
      </c>
      <c r="C3126">
        <v>1</v>
      </c>
      <c r="D3126" s="17" t="s">
        <v>155</v>
      </c>
      <c r="E3126" s="17"/>
      <c r="F3126" s="17" t="s">
        <v>156</v>
      </c>
      <c r="G3126" s="17"/>
      <c r="H3126" s="17" t="s">
        <v>692</v>
      </c>
      <c r="I3126" s="17"/>
      <c r="J3126" s="17" t="s">
        <v>693</v>
      </c>
      <c r="K3126" s="17"/>
      <c r="L3126" s="17"/>
      <c r="M3126" s="17"/>
      <c r="N3126" s="17"/>
      <c r="O3126" s="17" t="s">
        <v>5557</v>
      </c>
      <c r="P3126" s="17" t="s">
        <v>5598</v>
      </c>
      <c r="Q3126" s="17"/>
      <c r="R3126" s="25" t="str">
        <f>HYPERLINK("https://ictv.global/taxonomy/taxondetails?taxnode_id=202307012","Mooglevirus Sf14")</f>
        <v>Mooglevirus Sf14</v>
      </c>
      <c r="S3126" s="18" t="s">
        <v>30</v>
      </c>
      <c r="T3126" s="18" t="s">
        <v>5605</v>
      </c>
      <c r="U3126" s="18"/>
      <c r="V3126" s="18"/>
      <c r="W3126" s="18" t="s">
        <v>5606</v>
      </c>
      <c r="X3126" s="18" t="s">
        <v>42</v>
      </c>
      <c r="Y3126" s="18" t="s">
        <v>36</v>
      </c>
      <c r="Z3126" s="18" t="s">
        <v>697</v>
      </c>
      <c r="AA3126" s="21" t="str">
        <f>HYPERLINK("https://www.ncbi.nlm.nih.gov/nuccore/MF327003","NCBI Nucleotide")</f>
        <v>NCBI Nucleotide</v>
      </c>
    </row>
    <row r="3127" spans="1:27" x14ac:dyDescent="0.35">
      <c r="A3127">
        <v>1004033</v>
      </c>
      <c r="B3127">
        <v>3103</v>
      </c>
      <c r="C3127">
        <v>1</v>
      </c>
      <c r="D3127" s="17" t="s">
        <v>155</v>
      </c>
      <c r="E3127" s="17"/>
      <c r="F3127" s="17" t="s">
        <v>156</v>
      </c>
      <c r="G3127" s="17"/>
      <c r="H3127" s="17" t="s">
        <v>692</v>
      </c>
      <c r="I3127" s="17"/>
      <c r="J3127" s="17" t="s">
        <v>693</v>
      </c>
      <c r="K3127" s="17"/>
      <c r="L3127" s="17"/>
      <c r="M3127" s="17"/>
      <c r="N3127" s="17"/>
      <c r="O3127" s="17" t="s">
        <v>5557</v>
      </c>
      <c r="P3127" s="17" t="s">
        <v>5598</v>
      </c>
      <c r="Q3127" s="17"/>
      <c r="R3127" s="25" t="str">
        <f>HYPERLINK("https://ictv.global/taxonomy/taxondetails?taxnode_id=202307013","Mooglevirus Sf17")</f>
        <v>Mooglevirus Sf17</v>
      </c>
      <c r="S3127" s="18" t="s">
        <v>30</v>
      </c>
      <c r="T3127" s="18" t="s">
        <v>5607</v>
      </c>
      <c r="U3127" s="18"/>
      <c r="V3127" s="18"/>
      <c r="W3127" s="18" t="s">
        <v>5608</v>
      </c>
      <c r="X3127" s="18" t="s">
        <v>42</v>
      </c>
      <c r="Y3127" s="18" t="s">
        <v>36</v>
      </c>
      <c r="Z3127" s="18" t="s">
        <v>697</v>
      </c>
      <c r="AA3127" s="21" t="str">
        <f>HYPERLINK("https://www.ncbi.nlm.nih.gov/nuccore/MF327004","NCBI Nucleotide")</f>
        <v>NCBI Nucleotide</v>
      </c>
    </row>
    <row r="3128" spans="1:27" x14ac:dyDescent="0.35">
      <c r="A3128">
        <v>1004034</v>
      </c>
      <c r="B3128">
        <v>3104</v>
      </c>
      <c r="C3128">
        <v>1</v>
      </c>
      <c r="D3128" s="17" t="s">
        <v>155</v>
      </c>
      <c r="E3128" s="17"/>
      <c r="F3128" s="17" t="s">
        <v>156</v>
      </c>
      <c r="G3128" s="17"/>
      <c r="H3128" s="17" t="s">
        <v>692</v>
      </c>
      <c r="I3128" s="17"/>
      <c r="J3128" s="17" t="s">
        <v>693</v>
      </c>
      <c r="K3128" s="17"/>
      <c r="L3128" s="17"/>
      <c r="M3128" s="17"/>
      <c r="N3128" s="17"/>
      <c r="O3128" s="17" t="s">
        <v>5557</v>
      </c>
      <c r="P3128" s="17" t="s">
        <v>5609</v>
      </c>
      <c r="Q3128" s="17"/>
      <c r="R3128" s="25" t="str">
        <f>HYPERLINK("https://ictv.global/taxonomy/taxondetails?taxnode_id=202300223","Suspvirus SUSP1")</f>
        <v>Suspvirus SUSP1</v>
      </c>
      <c r="S3128" s="18" t="s">
        <v>30</v>
      </c>
      <c r="T3128" s="18" t="s">
        <v>5610</v>
      </c>
      <c r="U3128" s="18"/>
      <c r="V3128" s="18"/>
      <c r="W3128" s="18" t="s">
        <v>5611</v>
      </c>
      <c r="X3128" s="18" t="s">
        <v>42</v>
      </c>
      <c r="Y3128" s="18" t="s">
        <v>36</v>
      </c>
      <c r="Z3128" s="18" t="s">
        <v>697</v>
      </c>
      <c r="AA3128" s="21" t="str">
        <f>HYPERLINK("https://www.ncbi.nlm.nih.gov/nuccore/KT454805","NCBI Nucleotide")</f>
        <v>NCBI Nucleotide</v>
      </c>
    </row>
    <row r="3129" spans="1:27" x14ac:dyDescent="0.35">
      <c r="A3129">
        <v>1004035</v>
      </c>
      <c r="B3129">
        <v>3105</v>
      </c>
      <c r="C3129">
        <v>1</v>
      </c>
      <c r="D3129" s="17" t="s">
        <v>155</v>
      </c>
      <c r="E3129" s="17"/>
      <c r="F3129" s="17" t="s">
        <v>156</v>
      </c>
      <c r="G3129" s="17"/>
      <c r="H3129" s="17" t="s">
        <v>692</v>
      </c>
      <c r="I3129" s="17"/>
      <c r="J3129" s="17" t="s">
        <v>693</v>
      </c>
      <c r="K3129" s="17"/>
      <c r="L3129" s="17"/>
      <c r="M3129" s="17"/>
      <c r="N3129" s="17"/>
      <c r="O3129" s="17" t="s">
        <v>5557</v>
      </c>
      <c r="P3129" s="17" t="s">
        <v>5609</v>
      </c>
      <c r="Q3129" s="17"/>
      <c r="R3129" s="25" t="str">
        <f>HYPERLINK("https://ictv.global/taxonomy/taxondetails?taxnode_id=202300224","Suspvirus SUSP2")</f>
        <v>Suspvirus SUSP2</v>
      </c>
      <c r="S3129" s="18" t="s">
        <v>30</v>
      </c>
      <c r="T3129" s="18" t="s">
        <v>5612</v>
      </c>
      <c r="U3129" s="18"/>
      <c r="V3129" s="18"/>
      <c r="W3129" s="18" t="s">
        <v>5613</v>
      </c>
      <c r="X3129" s="18" t="s">
        <v>42</v>
      </c>
      <c r="Y3129" s="18" t="s">
        <v>36</v>
      </c>
      <c r="Z3129" s="18" t="s">
        <v>697</v>
      </c>
      <c r="AA3129" s="21" t="str">
        <f>HYPERLINK("https://www.ncbi.nlm.nih.gov/nuccore/KT454806","NCBI Nucleotide")</f>
        <v>NCBI Nucleotide</v>
      </c>
    </row>
    <row r="3130" spans="1:27" x14ac:dyDescent="0.35">
      <c r="A3130">
        <v>1004036</v>
      </c>
      <c r="B3130">
        <v>3106</v>
      </c>
      <c r="C3130">
        <v>1</v>
      </c>
      <c r="D3130" s="17" t="s">
        <v>155</v>
      </c>
      <c r="E3130" s="17"/>
      <c r="F3130" s="17" t="s">
        <v>156</v>
      </c>
      <c r="G3130" s="17"/>
      <c r="H3130" s="17" t="s">
        <v>692</v>
      </c>
      <c r="I3130" s="17"/>
      <c r="J3130" s="17" t="s">
        <v>693</v>
      </c>
      <c r="K3130" s="17"/>
      <c r="L3130" s="17"/>
      <c r="M3130" s="17"/>
      <c r="N3130" s="17"/>
      <c r="O3130" s="17" t="s">
        <v>5614</v>
      </c>
      <c r="P3130" s="17" t="s">
        <v>5615</v>
      </c>
      <c r="Q3130" s="17"/>
      <c r="R3130" s="25" t="str">
        <f>HYPERLINK("https://ictv.global/taxonomy/taxondetails?taxnode_id=202300794","Bignuzvirus bignuz")</f>
        <v>Bignuzvirus bignuz</v>
      </c>
      <c r="S3130" s="18" t="s">
        <v>30</v>
      </c>
      <c r="T3130" s="18" t="s">
        <v>5616</v>
      </c>
      <c r="U3130" s="18"/>
      <c r="V3130" s="18"/>
      <c r="W3130" s="18" t="s">
        <v>5617</v>
      </c>
      <c r="X3130" s="18" t="s">
        <v>42</v>
      </c>
      <c r="Y3130" s="18" t="s">
        <v>36</v>
      </c>
      <c r="Z3130" s="18" t="s">
        <v>697</v>
      </c>
      <c r="AA3130" s="21" t="str">
        <f>HYPERLINK("https://www.ncbi.nlm.nih.gov/nuccore/JN412591","NCBI Nucleotide")</f>
        <v>NCBI Nucleotide</v>
      </c>
    </row>
    <row r="3131" spans="1:27" x14ac:dyDescent="0.35">
      <c r="A3131">
        <v>1004037</v>
      </c>
      <c r="B3131">
        <v>3107</v>
      </c>
      <c r="C3131">
        <v>1</v>
      </c>
      <c r="D3131" s="17" t="s">
        <v>155</v>
      </c>
      <c r="E3131" s="17"/>
      <c r="F3131" s="17" t="s">
        <v>156</v>
      </c>
      <c r="G3131" s="17"/>
      <c r="H3131" s="17" t="s">
        <v>692</v>
      </c>
      <c r="I3131" s="17"/>
      <c r="J3131" s="17" t="s">
        <v>693</v>
      </c>
      <c r="K3131" s="17"/>
      <c r="L3131" s="17"/>
      <c r="M3131" s="17"/>
      <c r="N3131" s="17"/>
      <c r="O3131" s="17" t="s">
        <v>5614</v>
      </c>
      <c r="P3131" s="17" t="s">
        <v>5618</v>
      </c>
      <c r="Q3131" s="17"/>
      <c r="R3131" s="25" t="str">
        <f>HYPERLINK("https://ictv.global/taxonomy/taxondetails?taxnode_id=202312819","Fishburnevirus arib1")</f>
        <v>Fishburnevirus arib1</v>
      </c>
      <c r="S3131" s="18" t="s">
        <v>30</v>
      </c>
      <c r="T3131" s="18" t="s">
        <v>5619</v>
      </c>
      <c r="U3131" s="18"/>
      <c r="V3131" s="18"/>
      <c r="W3131" s="18" t="s">
        <v>5620</v>
      </c>
      <c r="X3131" s="18" t="s">
        <v>42</v>
      </c>
      <c r="Y3131" s="18" t="s">
        <v>36</v>
      </c>
      <c r="Z3131" s="18" t="s">
        <v>697</v>
      </c>
      <c r="AA3131" s="21" t="str">
        <f>HYPERLINK("https://www.ncbi.nlm.nih.gov/nuccore/MF919492","NCBI Nucleotide")</f>
        <v>NCBI Nucleotide</v>
      </c>
    </row>
    <row r="3132" spans="1:27" x14ac:dyDescent="0.35">
      <c r="A3132">
        <v>1004038</v>
      </c>
      <c r="B3132">
        <v>3108</v>
      </c>
      <c r="C3132">
        <v>1</v>
      </c>
      <c r="D3132" s="17" t="s">
        <v>155</v>
      </c>
      <c r="E3132" s="17"/>
      <c r="F3132" s="17" t="s">
        <v>156</v>
      </c>
      <c r="G3132" s="17"/>
      <c r="H3132" s="17" t="s">
        <v>692</v>
      </c>
      <c r="I3132" s="17"/>
      <c r="J3132" s="17" t="s">
        <v>693</v>
      </c>
      <c r="K3132" s="17"/>
      <c r="L3132" s="17"/>
      <c r="M3132" s="17"/>
      <c r="N3132" s="17"/>
      <c r="O3132" s="17" t="s">
        <v>5614</v>
      </c>
      <c r="P3132" s="17" t="s">
        <v>5618</v>
      </c>
      <c r="Q3132" s="17"/>
      <c r="R3132" s="25" t="str">
        <f>HYPERLINK("https://ictv.global/taxonomy/taxondetails?taxnode_id=202312820","Fishburnevirus atcoo")</f>
        <v>Fishburnevirus atcoo</v>
      </c>
      <c r="S3132" s="18" t="s">
        <v>30</v>
      </c>
      <c r="T3132" s="18" t="s">
        <v>5621</v>
      </c>
      <c r="U3132" s="18"/>
      <c r="V3132" s="18"/>
      <c r="W3132" s="18" t="s">
        <v>5622</v>
      </c>
      <c r="X3132" s="18" t="s">
        <v>42</v>
      </c>
      <c r="Y3132" s="18" t="s">
        <v>36</v>
      </c>
      <c r="Z3132" s="18" t="s">
        <v>697</v>
      </c>
      <c r="AA3132" s="21" t="str">
        <f>HYPERLINK("https://www.ncbi.nlm.nih.gov/nuccore/MN585977","NCBI Nucleotide")</f>
        <v>NCBI Nucleotide</v>
      </c>
    </row>
    <row r="3133" spans="1:27" x14ac:dyDescent="0.35">
      <c r="A3133">
        <v>1004039</v>
      </c>
      <c r="B3133">
        <v>3109</v>
      </c>
      <c r="C3133">
        <v>1</v>
      </c>
      <c r="D3133" s="17" t="s">
        <v>155</v>
      </c>
      <c r="E3133" s="17"/>
      <c r="F3133" s="17" t="s">
        <v>156</v>
      </c>
      <c r="G3133" s="17"/>
      <c r="H3133" s="17" t="s">
        <v>692</v>
      </c>
      <c r="I3133" s="17"/>
      <c r="J3133" s="17" t="s">
        <v>693</v>
      </c>
      <c r="K3133" s="17"/>
      <c r="L3133" s="17"/>
      <c r="M3133" s="17"/>
      <c r="N3133" s="17"/>
      <c r="O3133" s="17" t="s">
        <v>5614</v>
      </c>
      <c r="P3133" s="17" t="s">
        <v>5618</v>
      </c>
      <c r="Q3133" s="17"/>
      <c r="R3133" s="25" t="str">
        <f>HYPERLINK("https://ictv.global/taxonomy/taxondetails?taxnode_id=202312821","Fishburnevirus bartholomew")</f>
        <v>Fishburnevirus bartholomew</v>
      </c>
      <c r="S3133" s="18" t="s">
        <v>30</v>
      </c>
      <c r="T3133" s="18" t="s">
        <v>5623</v>
      </c>
      <c r="U3133" s="18"/>
      <c r="V3133" s="18"/>
      <c r="W3133" s="18" t="s">
        <v>5624</v>
      </c>
      <c r="X3133" s="18" t="s">
        <v>42</v>
      </c>
      <c r="Y3133" s="18" t="s">
        <v>36</v>
      </c>
      <c r="Z3133" s="18" t="s">
        <v>697</v>
      </c>
      <c r="AA3133" s="21" t="str">
        <f>HYPERLINK("https://www.ncbi.nlm.nih.gov/nuccore/MF140399","NCBI Nucleotide")</f>
        <v>NCBI Nucleotide</v>
      </c>
    </row>
    <row r="3134" spans="1:27" x14ac:dyDescent="0.35">
      <c r="A3134">
        <v>1004040</v>
      </c>
      <c r="B3134">
        <v>3110</v>
      </c>
      <c r="C3134">
        <v>1</v>
      </c>
      <c r="D3134" s="17" t="s">
        <v>155</v>
      </c>
      <c r="E3134" s="17"/>
      <c r="F3134" s="17" t="s">
        <v>156</v>
      </c>
      <c r="G3134" s="17"/>
      <c r="H3134" s="17" t="s">
        <v>692</v>
      </c>
      <c r="I3134" s="17"/>
      <c r="J3134" s="17" t="s">
        <v>693</v>
      </c>
      <c r="K3134" s="17"/>
      <c r="L3134" s="17"/>
      <c r="M3134" s="17"/>
      <c r="N3134" s="17"/>
      <c r="O3134" s="17" t="s">
        <v>5614</v>
      </c>
      <c r="P3134" s="17" t="s">
        <v>5618</v>
      </c>
      <c r="Q3134" s="17"/>
      <c r="R3134" s="25" t="str">
        <f>HYPERLINK("https://ictv.global/taxonomy/taxondetails?taxnode_id=202300796","Fishburnevirus brusacoram")</f>
        <v>Fishburnevirus brusacoram</v>
      </c>
      <c r="S3134" s="18" t="s">
        <v>30</v>
      </c>
      <c r="T3134" s="18" t="s">
        <v>5625</v>
      </c>
      <c r="U3134" s="18"/>
      <c r="V3134" s="18"/>
      <c r="W3134" s="18" t="s">
        <v>5626</v>
      </c>
      <c r="X3134" s="18" t="s">
        <v>42</v>
      </c>
      <c r="Y3134" s="18" t="s">
        <v>36</v>
      </c>
      <c r="Z3134" s="18" t="s">
        <v>697</v>
      </c>
      <c r="AA3134" s="21" t="str">
        <f>HYPERLINK("https://www.ncbi.nlm.nih.gov/nuccore/KT347313","NCBI Nucleotide")</f>
        <v>NCBI Nucleotide</v>
      </c>
    </row>
    <row r="3135" spans="1:27" x14ac:dyDescent="0.35">
      <c r="A3135">
        <v>1004041</v>
      </c>
      <c r="B3135">
        <v>3111</v>
      </c>
      <c r="C3135">
        <v>1</v>
      </c>
      <c r="D3135" s="17" t="s">
        <v>155</v>
      </c>
      <c r="E3135" s="17"/>
      <c r="F3135" s="17" t="s">
        <v>156</v>
      </c>
      <c r="G3135" s="17"/>
      <c r="H3135" s="17" t="s">
        <v>692</v>
      </c>
      <c r="I3135" s="17"/>
      <c r="J3135" s="17" t="s">
        <v>693</v>
      </c>
      <c r="K3135" s="17"/>
      <c r="L3135" s="17"/>
      <c r="M3135" s="17"/>
      <c r="N3135" s="17"/>
      <c r="O3135" s="17" t="s">
        <v>5614</v>
      </c>
      <c r="P3135" s="17" t="s">
        <v>5618</v>
      </c>
      <c r="Q3135" s="17"/>
      <c r="R3135" s="25" t="str">
        <f>HYPERLINK("https://ictv.global/taxonomy/taxondetails?taxnode_id=202300797","Fishburnevirus donovan")</f>
        <v>Fishburnevirus donovan</v>
      </c>
      <c r="S3135" s="18" t="s">
        <v>30</v>
      </c>
      <c r="T3135" s="18" t="s">
        <v>5627</v>
      </c>
      <c r="U3135" s="18"/>
      <c r="V3135" s="18"/>
      <c r="W3135" s="18" t="s">
        <v>5628</v>
      </c>
      <c r="X3135" s="18" t="s">
        <v>42</v>
      </c>
      <c r="Y3135" s="18" t="s">
        <v>36</v>
      </c>
      <c r="Z3135" s="18" t="s">
        <v>697</v>
      </c>
      <c r="AA3135" s="21" t="str">
        <f>HYPERLINK("https://www.ncbi.nlm.nih.gov/nuccore/KF841477","NCBI Nucleotide")</f>
        <v>NCBI Nucleotide</v>
      </c>
    </row>
    <row r="3136" spans="1:27" x14ac:dyDescent="0.35">
      <c r="A3136">
        <v>1004042</v>
      </c>
      <c r="B3136">
        <v>3112</v>
      </c>
      <c r="C3136">
        <v>1</v>
      </c>
      <c r="D3136" s="17" t="s">
        <v>155</v>
      </c>
      <c r="E3136" s="17"/>
      <c r="F3136" s="17" t="s">
        <v>156</v>
      </c>
      <c r="G3136" s="17"/>
      <c r="H3136" s="17" t="s">
        <v>692</v>
      </c>
      <c r="I3136" s="17"/>
      <c r="J3136" s="17" t="s">
        <v>693</v>
      </c>
      <c r="K3136" s="17"/>
      <c r="L3136" s="17"/>
      <c r="M3136" s="17"/>
      <c r="N3136" s="17"/>
      <c r="O3136" s="17" t="s">
        <v>5614</v>
      </c>
      <c r="P3136" s="17" t="s">
        <v>5618</v>
      </c>
      <c r="Q3136" s="17"/>
      <c r="R3136" s="25" t="str">
        <f>HYPERLINK("https://ictv.global/taxonomy/taxondetails?taxnode_id=202312822","Fishburnevirus firstplacepfu")</f>
        <v>Fishburnevirus firstplacepfu</v>
      </c>
      <c r="S3136" s="18" t="s">
        <v>30</v>
      </c>
      <c r="T3136" s="18" t="s">
        <v>5629</v>
      </c>
      <c r="U3136" s="18"/>
      <c r="V3136" s="18"/>
      <c r="W3136" s="18" t="s">
        <v>5630</v>
      </c>
      <c r="X3136" s="18" t="s">
        <v>42</v>
      </c>
      <c r="Y3136" s="18" t="s">
        <v>36</v>
      </c>
      <c r="Z3136" s="18" t="s">
        <v>697</v>
      </c>
      <c r="AA3136" s="21" t="str">
        <f>HYPERLINK("https://www.ncbi.nlm.nih.gov/nuccore/MK814758","NCBI Nucleotide")</f>
        <v>NCBI Nucleotide</v>
      </c>
    </row>
    <row r="3137" spans="1:27" x14ac:dyDescent="0.35">
      <c r="A3137">
        <v>1004043</v>
      </c>
      <c r="B3137">
        <v>3113</v>
      </c>
      <c r="C3137">
        <v>1</v>
      </c>
      <c r="D3137" s="17" t="s">
        <v>155</v>
      </c>
      <c r="E3137" s="17"/>
      <c r="F3137" s="17" t="s">
        <v>156</v>
      </c>
      <c r="G3137" s="17"/>
      <c r="H3137" s="17" t="s">
        <v>692</v>
      </c>
      <c r="I3137" s="17"/>
      <c r="J3137" s="17" t="s">
        <v>693</v>
      </c>
      <c r="K3137" s="17"/>
      <c r="L3137" s="17"/>
      <c r="M3137" s="17"/>
      <c r="N3137" s="17"/>
      <c r="O3137" s="17" t="s">
        <v>5614</v>
      </c>
      <c r="P3137" s="17" t="s">
        <v>5618</v>
      </c>
      <c r="Q3137" s="17"/>
      <c r="R3137" s="25" t="str">
        <f>HYPERLINK("https://ictv.global/taxonomy/taxondetails?taxnode_id=202300798","Fishburnevirus fishburne")</f>
        <v>Fishburnevirus fishburne</v>
      </c>
      <c r="S3137" s="18" t="s">
        <v>30</v>
      </c>
      <c r="T3137" s="18" t="s">
        <v>5631</v>
      </c>
      <c r="U3137" s="18"/>
      <c r="V3137" s="18"/>
      <c r="W3137" s="18" t="s">
        <v>5632</v>
      </c>
      <c r="X3137" s="18" t="s">
        <v>42</v>
      </c>
      <c r="Y3137" s="18" t="s">
        <v>36</v>
      </c>
      <c r="Z3137" s="18" t="s">
        <v>697</v>
      </c>
      <c r="AA3137" s="21" t="str">
        <f>HYPERLINK("https://www.ncbi.nlm.nih.gov/nuccore/KC691256","NCBI Nucleotide")</f>
        <v>NCBI Nucleotide</v>
      </c>
    </row>
    <row r="3138" spans="1:27" x14ac:dyDescent="0.35">
      <c r="A3138">
        <v>1004044</v>
      </c>
      <c r="B3138">
        <v>3114</v>
      </c>
      <c r="C3138">
        <v>1</v>
      </c>
      <c r="D3138" s="17" t="s">
        <v>155</v>
      </c>
      <c r="E3138" s="17"/>
      <c r="F3138" s="17" t="s">
        <v>156</v>
      </c>
      <c r="G3138" s="17"/>
      <c r="H3138" s="17" t="s">
        <v>692</v>
      </c>
      <c r="I3138" s="17"/>
      <c r="J3138" s="17" t="s">
        <v>693</v>
      </c>
      <c r="K3138" s="17"/>
      <c r="L3138" s="17"/>
      <c r="M3138" s="17"/>
      <c r="N3138" s="17"/>
      <c r="O3138" s="17" t="s">
        <v>5614</v>
      </c>
      <c r="P3138" s="17" t="s">
        <v>5618</v>
      </c>
      <c r="Q3138" s="17"/>
      <c r="R3138" s="25" t="str">
        <f>HYPERLINK("https://ictv.global/taxonomy/taxondetails?taxnode_id=202312823","Fishburnevirus greaselightnin")</f>
        <v>Fishburnevirus greaselightnin</v>
      </c>
      <c r="S3138" s="18" t="s">
        <v>30</v>
      </c>
      <c r="T3138" s="18" t="s">
        <v>5633</v>
      </c>
      <c r="U3138" s="18"/>
      <c r="V3138" s="18"/>
      <c r="W3138" s="18" t="s">
        <v>5634</v>
      </c>
      <c r="X3138" s="18" t="s">
        <v>42</v>
      </c>
      <c r="Y3138" s="18" t="s">
        <v>36</v>
      </c>
      <c r="Z3138" s="18" t="s">
        <v>697</v>
      </c>
      <c r="AA3138" s="21" t="str">
        <f>HYPERLINK("https://www.ncbi.nlm.nih.gov/nuccore/MK494122","NCBI Nucleotide")</f>
        <v>NCBI Nucleotide</v>
      </c>
    </row>
    <row r="3139" spans="1:27" x14ac:dyDescent="0.35">
      <c r="A3139">
        <v>1004045</v>
      </c>
      <c r="B3139">
        <v>3115</v>
      </c>
      <c r="C3139">
        <v>1</v>
      </c>
      <c r="D3139" s="17" t="s">
        <v>155</v>
      </c>
      <c r="E3139" s="17"/>
      <c r="F3139" s="17" t="s">
        <v>156</v>
      </c>
      <c r="G3139" s="17"/>
      <c r="H3139" s="17" t="s">
        <v>692</v>
      </c>
      <c r="I3139" s="17"/>
      <c r="J3139" s="17" t="s">
        <v>693</v>
      </c>
      <c r="K3139" s="17"/>
      <c r="L3139" s="17"/>
      <c r="M3139" s="17"/>
      <c r="N3139" s="17"/>
      <c r="O3139" s="17" t="s">
        <v>5614</v>
      </c>
      <c r="P3139" s="17" t="s">
        <v>5618</v>
      </c>
      <c r="Q3139" s="17"/>
      <c r="R3139" s="25" t="str">
        <f>HYPERLINK("https://ictv.global/taxonomy/taxondetails?taxnode_id=202300799","Fishburnevirus jebeks")</f>
        <v>Fishburnevirus jebeks</v>
      </c>
      <c r="S3139" s="18" t="s">
        <v>30</v>
      </c>
      <c r="T3139" s="18" t="s">
        <v>5635</v>
      </c>
      <c r="U3139" s="18"/>
      <c r="V3139" s="18"/>
      <c r="W3139" s="18" t="s">
        <v>5636</v>
      </c>
      <c r="X3139" s="18" t="s">
        <v>42</v>
      </c>
      <c r="Y3139" s="18" t="s">
        <v>36</v>
      </c>
      <c r="Z3139" s="18" t="s">
        <v>697</v>
      </c>
      <c r="AA3139" s="21" t="str">
        <f>HYPERLINK("https://www.ncbi.nlm.nih.gov/nuccore/JN572061","NCBI Nucleotide")</f>
        <v>NCBI Nucleotide</v>
      </c>
    </row>
    <row r="3140" spans="1:27" x14ac:dyDescent="0.35">
      <c r="A3140">
        <v>1004046</v>
      </c>
      <c r="B3140">
        <v>3116</v>
      </c>
      <c r="C3140">
        <v>1</v>
      </c>
      <c r="D3140" s="17" t="s">
        <v>155</v>
      </c>
      <c r="E3140" s="17"/>
      <c r="F3140" s="17" t="s">
        <v>156</v>
      </c>
      <c r="G3140" s="17"/>
      <c r="H3140" s="17" t="s">
        <v>692</v>
      </c>
      <c r="I3140" s="17"/>
      <c r="J3140" s="17" t="s">
        <v>693</v>
      </c>
      <c r="K3140" s="17"/>
      <c r="L3140" s="17"/>
      <c r="M3140" s="17"/>
      <c r="N3140" s="17"/>
      <c r="O3140" s="17" t="s">
        <v>5614</v>
      </c>
      <c r="P3140" s="17" t="s">
        <v>5618</v>
      </c>
      <c r="Q3140" s="17"/>
      <c r="R3140" s="25" t="str">
        <f>HYPERLINK("https://ictv.global/taxonomy/taxondetails?taxnode_id=202312824","Fishburnevirus jung")</f>
        <v>Fishburnevirus jung</v>
      </c>
      <c r="S3140" s="18" t="s">
        <v>30</v>
      </c>
      <c r="T3140" s="18" t="s">
        <v>5637</v>
      </c>
      <c r="U3140" s="18"/>
      <c r="V3140" s="18"/>
      <c r="W3140" s="18" t="s">
        <v>5638</v>
      </c>
      <c r="X3140" s="18" t="s">
        <v>42</v>
      </c>
      <c r="Y3140" s="18" t="s">
        <v>36</v>
      </c>
      <c r="Z3140" s="18" t="s">
        <v>697</v>
      </c>
      <c r="AA3140" s="21" t="str">
        <f>HYPERLINK("https://www.ncbi.nlm.nih.gov/nuccore/MT498061","NCBI Nucleotide")</f>
        <v>NCBI Nucleotide</v>
      </c>
    </row>
    <row r="3141" spans="1:27" x14ac:dyDescent="0.35">
      <c r="A3141">
        <v>1004047</v>
      </c>
      <c r="B3141">
        <v>3117</v>
      </c>
      <c r="C3141">
        <v>1</v>
      </c>
      <c r="D3141" s="17" t="s">
        <v>155</v>
      </c>
      <c r="E3141" s="17"/>
      <c r="F3141" s="17" t="s">
        <v>156</v>
      </c>
      <c r="G3141" s="17"/>
      <c r="H3141" s="17" t="s">
        <v>692</v>
      </c>
      <c r="I3141" s="17"/>
      <c r="J3141" s="17" t="s">
        <v>693</v>
      </c>
      <c r="K3141" s="17"/>
      <c r="L3141" s="17"/>
      <c r="M3141" s="17"/>
      <c r="N3141" s="17"/>
      <c r="O3141" s="17" t="s">
        <v>5614</v>
      </c>
      <c r="P3141" s="17" t="s">
        <v>5618</v>
      </c>
      <c r="Q3141" s="17"/>
      <c r="R3141" s="25" t="str">
        <f>HYPERLINK("https://ictv.global/taxonomy/taxondetails?taxnode_id=202312825","Fishburnevirus kilkor")</f>
        <v>Fishburnevirus kilkor</v>
      </c>
      <c r="S3141" s="18" t="s">
        <v>30</v>
      </c>
      <c r="T3141" s="18" t="s">
        <v>5639</v>
      </c>
      <c r="U3141" s="18"/>
      <c r="V3141" s="18"/>
      <c r="W3141" s="18" t="s">
        <v>5640</v>
      </c>
      <c r="X3141" s="18" t="s">
        <v>42</v>
      </c>
      <c r="Y3141" s="18" t="s">
        <v>36</v>
      </c>
      <c r="Z3141" s="18" t="s">
        <v>697</v>
      </c>
      <c r="AA3141" s="21" t="str">
        <f>HYPERLINK("https://www.ncbi.nlm.nih.gov/nuccore/MN892486","NCBI Nucleotide")</f>
        <v>NCBI Nucleotide</v>
      </c>
    </row>
    <row r="3142" spans="1:27" x14ac:dyDescent="0.35">
      <c r="A3142">
        <v>1004048</v>
      </c>
      <c r="B3142">
        <v>3118</v>
      </c>
      <c r="C3142">
        <v>1</v>
      </c>
      <c r="D3142" s="17" t="s">
        <v>155</v>
      </c>
      <c r="E3142" s="17"/>
      <c r="F3142" s="17" t="s">
        <v>156</v>
      </c>
      <c r="G3142" s="17"/>
      <c r="H3142" s="17" t="s">
        <v>692</v>
      </c>
      <c r="I3142" s="17"/>
      <c r="J3142" s="17" t="s">
        <v>693</v>
      </c>
      <c r="K3142" s="17"/>
      <c r="L3142" s="17"/>
      <c r="M3142" s="17"/>
      <c r="N3142" s="17"/>
      <c r="O3142" s="17" t="s">
        <v>5614</v>
      </c>
      <c r="P3142" s="17" t="s">
        <v>5618</v>
      </c>
      <c r="Q3142" s="17"/>
      <c r="R3142" s="25" t="str">
        <f>HYPERLINK("https://ictv.global/taxonomy/taxondetails?taxnode_id=202312826","Fishburnevirus ksquared")</f>
        <v>Fishburnevirus ksquared</v>
      </c>
      <c r="S3142" s="18" t="s">
        <v>30</v>
      </c>
      <c r="T3142" s="18" t="s">
        <v>5641</v>
      </c>
      <c r="U3142" s="18"/>
      <c r="V3142" s="18"/>
      <c r="W3142" s="18" t="s">
        <v>5642</v>
      </c>
      <c r="X3142" s="18" t="s">
        <v>42</v>
      </c>
      <c r="Y3142" s="18" t="s">
        <v>36</v>
      </c>
      <c r="Z3142" s="18" t="s">
        <v>697</v>
      </c>
      <c r="AA3142" s="21" t="str">
        <f>HYPERLINK("https://www.ncbi.nlm.nih.gov/nuccore/MF281061","NCBI Nucleotide")</f>
        <v>NCBI Nucleotide</v>
      </c>
    </row>
    <row r="3143" spans="1:27" x14ac:dyDescent="0.35">
      <c r="A3143">
        <v>1004049</v>
      </c>
      <c r="B3143">
        <v>3119</v>
      </c>
      <c r="C3143">
        <v>1</v>
      </c>
      <c r="D3143" s="17" t="s">
        <v>155</v>
      </c>
      <c r="E3143" s="17"/>
      <c r="F3143" s="17" t="s">
        <v>156</v>
      </c>
      <c r="G3143" s="17"/>
      <c r="H3143" s="17" t="s">
        <v>692</v>
      </c>
      <c r="I3143" s="17"/>
      <c r="J3143" s="17" t="s">
        <v>693</v>
      </c>
      <c r="K3143" s="17"/>
      <c r="L3143" s="17"/>
      <c r="M3143" s="17"/>
      <c r="N3143" s="17"/>
      <c r="O3143" s="17" t="s">
        <v>5614</v>
      </c>
      <c r="P3143" s="17" t="s">
        <v>5618</v>
      </c>
      <c r="Q3143" s="17"/>
      <c r="R3143" s="25" t="str">
        <f>HYPERLINK("https://ictv.global/taxonomy/taxondetails?taxnode_id=202312827","Fishburnevirus majeke")</f>
        <v>Fishburnevirus majeke</v>
      </c>
      <c r="S3143" s="18" t="s">
        <v>30</v>
      </c>
      <c r="T3143" s="18" t="s">
        <v>5643</v>
      </c>
      <c r="U3143" s="18"/>
      <c r="V3143" s="18"/>
      <c r="W3143" s="18" t="s">
        <v>5644</v>
      </c>
      <c r="X3143" s="18" t="s">
        <v>42</v>
      </c>
      <c r="Y3143" s="18" t="s">
        <v>36</v>
      </c>
      <c r="Z3143" s="18" t="s">
        <v>697</v>
      </c>
      <c r="AA3143" s="21" t="str">
        <f>HYPERLINK("https://www.ncbi.nlm.nih.gov/nuccore/MF472894","NCBI Nucleotide")</f>
        <v>NCBI Nucleotide</v>
      </c>
    </row>
    <row r="3144" spans="1:27" x14ac:dyDescent="0.35">
      <c r="A3144">
        <v>1004050</v>
      </c>
      <c r="B3144">
        <v>3120</v>
      </c>
      <c r="C3144">
        <v>1</v>
      </c>
      <c r="D3144" s="17" t="s">
        <v>155</v>
      </c>
      <c r="E3144" s="17"/>
      <c r="F3144" s="17" t="s">
        <v>156</v>
      </c>
      <c r="G3144" s="17"/>
      <c r="H3144" s="17" t="s">
        <v>692</v>
      </c>
      <c r="I3144" s="17"/>
      <c r="J3144" s="17" t="s">
        <v>693</v>
      </c>
      <c r="K3144" s="17"/>
      <c r="L3144" s="17"/>
      <c r="M3144" s="17"/>
      <c r="N3144" s="17"/>
      <c r="O3144" s="17" t="s">
        <v>5614</v>
      </c>
      <c r="P3144" s="17" t="s">
        <v>5618</v>
      </c>
      <c r="Q3144" s="17"/>
      <c r="R3144" s="25" t="str">
        <f>HYPERLINK("https://ictv.global/taxonomy/taxondetails?taxnode_id=202300800","Fishburnevirus malithi")</f>
        <v>Fishburnevirus malithi</v>
      </c>
      <c r="S3144" s="18" t="s">
        <v>30</v>
      </c>
      <c r="T3144" s="18" t="s">
        <v>5645</v>
      </c>
      <c r="U3144" s="18"/>
      <c r="V3144" s="18"/>
      <c r="W3144" s="18" t="s">
        <v>5646</v>
      </c>
      <c r="X3144" s="18" t="s">
        <v>42</v>
      </c>
      <c r="Y3144" s="18" t="s">
        <v>36</v>
      </c>
      <c r="Z3144" s="18" t="s">
        <v>697</v>
      </c>
      <c r="AA3144" s="21" t="str">
        <f>HYPERLINK("https://www.ncbi.nlm.nih.gov/nuccore/KP027200","NCBI Nucleotide")</f>
        <v>NCBI Nucleotide</v>
      </c>
    </row>
    <row r="3145" spans="1:27" x14ac:dyDescent="0.35">
      <c r="A3145">
        <v>1004051</v>
      </c>
      <c r="B3145">
        <v>3121</v>
      </c>
      <c r="C3145">
        <v>1</v>
      </c>
      <c r="D3145" s="17" t="s">
        <v>155</v>
      </c>
      <c r="E3145" s="17"/>
      <c r="F3145" s="17" t="s">
        <v>156</v>
      </c>
      <c r="G3145" s="17"/>
      <c r="H3145" s="17" t="s">
        <v>692</v>
      </c>
      <c r="I3145" s="17"/>
      <c r="J3145" s="17" t="s">
        <v>693</v>
      </c>
      <c r="K3145" s="17"/>
      <c r="L3145" s="17"/>
      <c r="M3145" s="17"/>
      <c r="N3145" s="17"/>
      <c r="O3145" s="17" t="s">
        <v>5614</v>
      </c>
      <c r="P3145" s="17" t="s">
        <v>5618</v>
      </c>
      <c r="Q3145" s="17"/>
      <c r="R3145" s="25" t="str">
        <f>HYPERLINK("https://ictv.global/taxonomy/taxondetails?taxnode_id=202312828","Fishburnevirus shipwreck")</f>
        <v>Fishburnevirus shipwreck</v>
      </c>
      <c r="S3145" s="18" t="s">
        <v>30</v>
      </c>
      <c r="T3145" s="18" t="s">
        <v>5647</v>
      </c>
      <c r="U3145" s="18"/>
      <c r="V3145" s="18"/>
      <c r="W3145" s="18" t="s">
        <v>5648</v>
      </c>
      <c r="X3145" s="18" t="s">
        <v>42</v>
      </c>
      <c r="Y3145" s="18" t="s">
        <v>36</v>
      </c>
      <c r="Z3145" s="18" t="s">
        <v>697</v>
      </c>
      <c r="AA3145" s="21" t="str">
        <f>HYPERLINK("https://www.ncbi.nlm.nih.gov/nuccore/KU985090","NCBI Nucleotide")</f>
        <v>NCBI Nucleotide</v>
      </c>
    </row>
    <row r="3146" spans="1:27" x14ac:dyDescent="0.35">
      <c r="A3146">
        <v>1004052</v>
      </c>
      <c r="B3146">
        <v>3122</v>
      </c>
      <c r="C3146">
        <v>1</v>
      </c>
      <c r="D3146" s="17" t="s">
        <v>155</v>
      </c>
      <c r="E3146" s="17"/>
      <c r="F3146" s="17" t="s">
        <v>156</v>
      </c>
      <c r="G3146" s="17"/>
      <c r="H3146" s="17" t="s">
        <v>692</v>
      </c>
      <c r="I3146" s="17"/>
      <c r="J3146" s="17" t="s">
        <v>693</v>
      </c>
      <c r="K3146" s="17"/>
      <c r="L3146" s="17"/>
      <c r="M3146" s="17"/>
      <c r="N3146" s="17"/>
      <c r="O3146" s="17" t="s">
        <v>5614</v>
      </c>
      <c r="P3146" s="17" t="s">
        <v>5618</v>
      </c>
      <c r="Q3146" s="17"/>
      <c r="R3146" s="25" t="str">
        <f>HYPERLINK("https://ictv.global/taxonomy/taxondetails?taxnode_id=202312829","Fishburnevirus willsammy")</f>
        <v>Fishburnevirus willsammy</v>
      </c>
      <c r="S3146" s="18" t="s">
        <v>30</v>
      </c>
      <c r="T3146" s="18" t="s">
        <v>5649</v>
      </c>
      <c r="U3146" s="18"/>
      <c r="V3146" s="18"/>
      <c r="W3146" s="18" t="s">
        <v>5650</v>
      </c>
      <c r="X3146" s="18" t="s">
        <v>42</v>
      </c>
      <c r="Y3146" s="18" t="s">
        <v>36</v>
      </c>
      <c r="Z3146" s="18" t="s">
        <v>697</v>
      </c>
      <c r="AA3146" s="21" t="str">
        <f>HYPERLINK("https://www.ncbi.nlm.nih.gov/nuccore/MT024866","NCBI Nucleotide")</f>
        <v>NCBI Nucleotide</v>
      </c>
    </row>
    <row r="3147" spans="1:27" x14ac:dyDescent="0.35">
      <c r="A3147">
        <v>1004053</v>
      </c>
      <c r="B3147">
        <v>3123</v>
      </c>
      <c r="C3147">
        <v>1</v>
      </c>
      <c r="D3147" s="17" t="s">
        <v>155</v>
      </c>
      <c r="E3147" s="17"/>
      <c r="F3147" s="17" t="s">
        <v>156</v>
      </c>
      <c r="G3147" s="17"/>
      <c r="H3147" s="17" t="s">
        <v>692</v>
      </c>
      <c r="I3147" s="17"/>
      <c r="J3147" s="17" t="s">
        <v>693</v>
      </c>
      <c r="K3147" s="17"/>
      <c r="L3147" s="17"/>
      <c r="M3147" s="17"/>
      <c r="N3147" s="17"/>
      <c r="O3147" s="17" t="s">
        <v>5614</v>
      </c>
      <c r="P3147" s="17" t="s">
        <v>5651</v>
      </c>
      <c r="Q3147" s="17"/>
      <c r="R3147" s="25" t="str">
        <f>HYPERLINK("https://ictv.global/taxonomy/taxondetails?taxnode_id=202300802","Phayoncevirus phayonce")</f>
        <v>Phayoncevirus phayonce</v>
      </c>
      <c r="S3147" s="18" t="s">
        <v>30</v>
      </c>
      <c r="T3147" s="18" t="s">
        <v>5652</v>
      </c>
      <c r="U3147" s="18"/>
      <c r="V3147" s="18"/>
      <c r="W3147" s="18" t="s">
        <v>5653</v>
      </c>
      <c r="X3147" s="18" t="s">
        <v>42</v>
      </c>
      <c r="Y3147" s="18" t="s">
        <v>36</v>
      </c>
      <c r="Z3147" s="18" t="s">
        <v>697</v>
      </c>
      <c r="AA3147" s="21" t="str">
        <f>HYPERLINK("https://www.ncbi.nlm.nih.gov/nuccore/KR080195","NCBI Nucleotide")</f>
        <v>NCBI Nucleotide</v>
      </c>
    </row>
    <row r="3148" spans="1:27" x14ac:dyDescent="0.35">
      <c r="A3148">
        <v>1004054</v>
      </c>
      <c r="B3148">
        <v>3124</v>
      </c>
      <c r="C3148">
        <v>1</v>
      </c>
      <c r="D3148" s="17" t="s">
        <v>155</v>
      </c>
      <c r="E3148" s="17"/>
      <c r="F3148" s="17" t="s">
        <v>156</v>
      </c>
      <c r="G3148" s="17"/>
      <c r="H3148" s="17" t="s">
        <v>692</v>
      </c>
      <c r="I3148" s="17"/>
      <c r="J3148" s="17" t="s">
        <v>693</v>
      </c>
      <c r="K3148" s="17"/>
      <c r="L3148" s="17"/>
      <c r="M3148" s="17"/>
      <c r="N3148" s="17"/>
      <c r="O3148" s="17" t="s">
        <v>5614</v>
      </c>
      <c r="P3148" s="17" t="s">
        <v>5651</v>
      </c>
      <c r="Q3148" s="17"/>
      <c r="R3148" s="25" t="str">
        <f>HYPERLINK("https://ictv.global/taxonomy/taxondetails?taxnode_id=202312830","Phayoncevirus thulathula")</f>
        <v>Phayoncevirus thulathula</v>
      </c>
      <c r="S3148" s="18" t="s">
        <v>30</v>
      </c>
      <c r="T3148" s="18" t="s">
        <v>5654</v>
      </c>
      <c r="U3148" s="18"/>
      <c r="V3148" s="18"/>
      <c r="W3148" s="18" t="s">
        <v>5655</v>
      </c>
      <c r="X3148" s="18" t="s">
        <v>42</v>
      </c>
      <c r="Y3148" s="18" t="s">
        <v>36</v>
      </c>
      <c r="Z3148" s="18" t="s">
        <v>697</v>
      </c>
      <c r="AA3148" s="21" t="str">
        <f>HYPERLINK("https://www.ncbi.nlm.nih.gov/nuccore/MN234172","NCBI Nucleotide")</f>
        <v>NCBI Nucleotide</v>
      </c>
    </row>
    <row r="3149" spans="1:27" x14ac:dyDescent="0.35">
      <c r="A3149">
        <v>1004055</v>
      </c>
      <c r="B3149">
        <v>3125</v>
      </c>
      <c r="C3149">
        <v>1</v>
      </c>
      <c r="D3149" s="17" t="s">
        <v>155</v>
      </c>
      <c r="E3149" s="17"/>
      <c r="F3149" s="17" t="s">
        <v>156</v>
      </c>
      <c r="G3149" s="17"/>
      <c r="H3149" s="17" t="s">
        <v>692</v>
      </c>
      <c r="I3149" s="17"/>
      <c r="J3149" s="17" t="s">
        <v>693</v>
      </c>
      <c r="K3149" s="17"/>
      <c r="L3149" s="17"/>
      <c r="M3149" s="17"/>
      <c r="N3149" s="17"/>
      <c r="O3149" s="17" t="s">
        <v>5614</v>
      </c>
      <c r="P3149" s="17" t="s">
        <v>5656</v>
      </c>
      <c r="Q3149" s="17"/>
      <c r="R3149" s="25" t="str">
        <f>HYPERLINK("https://ictv.global/taxonomy/taxondetails?taxnode_id=202312834","Purkyvirus purky")</f>
        <v>Purkyvirus purky</v>
      </c>
      <c r="S3149" s="18" t="s">
        <v>30</v>
      </c>
      <c r="T3149" s="18" t="s">
        <v>5657</v>
      </c>
      <c r="U3149" s="18"/>
      <c r="V3149" s="18"/>
      <c r="W3149" s="18" t="s">
        <v>5658</v>
      </c>
      <c r="X3149" s="18" t="s">
        <v>42</v>
      </c>
      <c r="Y3149" s="18" t="s">
        <v>36</v>
      </c>
      <c r="Z3149" s="18" t="s">
        <v>697</v>
      </c>
      <c r="AA3149" s="21" t="str">
        <f>HYPERLINK("https://www.ncbi.nlm.nih.gov/nuccore/MN096355","NCBI Nucleotide")</f>
        <v>NCBI Nucleotide</v>
      </c>
    </row>
    <row r="3150" spans="1:27" x14ac:dyDescent="0.35">
      <c r="A3150">
        <v>1004056</v>
      </c>
      <c r="B3150">
        <v>3126</v>
      </c>
      <c r="C3150">
        <v>1</v>
      </c>
      <c r="D3150" s="17" t="s">
        <v>155</v>
      </c>
      <c r="E3150" s="17"/>
      <c r="F3150" s="17" t="s">
        <v>156</v>
      </c>
      <c r="G3150" s="17"/>
      <c r="H3150" s="17" t="s">
        <v>692</v>
      </c>
      <c r="I3150" s="17"/>
      <c r="J3150" s="17" t="s">
        <v>693</v>
      </c>
      <c r="K3150" s="17"/>
      <c r="L3150" s="17"/>
      <c r="M3150" s="17"/>
      <c r="N3150" s="17"/>
      <c r="O3150" s="17" t="s">
        <v>5614</v>
      </c>
      <c r="P3150" s="17" t="s">
        <v>5659</v>
      </c>
      <c r="Q3150" s="17"/>
      <c r="R3150" s="25" t="str">
        <f>HYPERLINK("https://ictv.global/taxonomy/taxondetails?taxnode_id=202306722","Mycobacterium virus Tortellini")</f>
        <v>Mycobacterium virus Tortellini</v>
      </c>
      <c r="S3150" s="18" t="s">
        <v>30</v>
      </c>
      <c r="T3150" s="18" t="s">
        <v>5660</v>
      </c>
      <c r="U3150" s="18"/>
      <c r="V3150" s="18"/>
      <c r="W3150" s="18" t="s">
        <v>5661</v>
      </c>
      <c r="X3150" s="18" t="s">
        <v>42</v>
      </c>
      <c r="Y3150" s="18" t="s">
        <v>36</v>
      </c>
      <c r="Z3150" s="18" t="s">
        <v>697</v>
      </c>
      <c r="AA3150" s="21" t="str">
        <f>HYPERLINK("https://www.ncbi.nlm.nih.gov/nuccore/KX648391","NCBI Nucleotide")</f>
        <v>NCBI Nucleotide</v>
      </c>
    </row>
    <row r="3151" spans="1:27" x14ac:dyDescent="0.35">
      <c r="A3151">
        <v>1004057</v>
      </c>
      <c r="B3151">
        <v>3127</v>
      </c>
      <c r="C3151">
        <v>1</v>
      </c>
      <c r="D3151" s="17" t="s">
        <v>155</v>
      </c>
      <c r="E3151" s="17"/>
      <c r="F3151" s="17" t="s">
        <v>156</v>
      </c>
      <c r="G3151" s="17"/>
      <c r="H3151" s="17" t="s">
        <v>692</v>
      </c>
      <c r="I3151" s="17"/>
      <c r="J3151" s="17" t="s">
        <v>693</v>
      </c>
      <c r="K3151" s="17"/>
      <c r="L3151" s="17"/>
      <c r="M3151" s="17"/>
      <c r="N3151" s="17"/>
      <c r="O3151" s="17" t="s">
        <v>5614</v>
      </c>
      <c r="P3151" s="17" t="s">
        <v>5662</v>
      </c>
      <c r="Q3151" s="17"/>
      <c r="R3151" s="25" t="str">
        <f>HYPERLINK("https://ictv.global/taxonomy/taxondetails?taxnode_id=202312832","Xaviavirus xavia")</f>
        <v>Xaviavirus xavia</v>
      </c>
      <c r="S3151" s="18" t="s">
        <v>30</v>
      </c>
      <c r="T3151" s="18" t="s">
        <v>5663</v>
      </c>
      <c r="U3151" s="18"/>
      <c r="V3151" s="18"/>
      <c r="W3151" s="18" t="s">
        <v>5664</v>
      </c>
      <c r="X3151" s="18" t="s">
        <v>42</v>
      </c>
      <c r="Y3151" s="18" t="s">
        <v>36</v>
      </c>
      <c r="Z3151" s="18" t="s">
        <v>697</v>
      </c>
      <c r="AA3151" s="21" t="str">
        <f>HYPERLINK("https://www.ncbi.nlm.nih.gov/nuccore/MH230879","NCBI Nucleotide")</f>
        <v>NCBI Nucleotide</v>
      </c>
    </row>
    <row r="3152" spans="1:27" x14ac:dyDescent="0.35">
      <c r="A3152">
        <v>1004058</v>
      </c>
      <c r="B3152">
        <v>3128</v>
      </c>
      <c r="C3152">
        <v>1</v>
      </c>
      <c r="D3152" s="17" t="s">
        <v>155</v>
      </c>
      <c r="E3152" s="17"/>
      <c r="F3152" s="17" t="s">
        <v>156</v>
      </c>
      <c r="G3152" s="17"/>
      <c r="H3152" s="17" t="s">
        <v>692</v>
      </c>
      <c r="I3152" s="17"/>
      <c r="J3152" s="17" t="s">
        <v>693</v>
      </c>
      <c r="K3152" s="17"/>
      <c r="L3152" s="17"/>
      <c r="M3152" s="17"/>
      <c r="N3152" s="17"/>
      <c r="O3152" s="17" t="s">
        <v>5665</v>
      </c>
      <c r="P3152" s="17" t="s">
        <v>5666</v>
      </c>
      <c r="Q3152" s="17"/>
      <c r="R3152" s="25" t="str">
        <f>HYPERLINK("https://ictv.global/taxonomy/taxondetails?taxnode_id=202311642","Amoyvirus R7M")</f>
        <v>Amoyvirus R7M</v>
      </c>
      <c r="S3152" s="18" t="s">
        <v>30</v>
      </c>
      <c r="T3152" s="18" t="s">
        <v>5667</v>
      </c>
      <c r="U3152" s="18" t="s">
        <v>5668</v>
      </c>
      <c r="V3152" s="18"/>
      <c r="W3152" s="18" t="s">
        <v>5669</v>
      </c>
      <c r="X3152" s="18" t="s">
        <v>42</v>
      </c>
      <c r="Y3152" s="18" t="s">
        <v>36</v>
      </c>
      <c r="Z3152" s="18" t="s">
        <v>697</v>
      </c>
      <c r="AA3152" s="21" t="str">
        <f>HYPERLINK("https://www.ncbi.nlm.nih.gov/nuccore/MT345684","NCBI Nucleotide")</f>
        <v>NCBI Nucleotide</v>
      </c>
    </row>
    <row r="3153" spans="1:27" x14ac:dyDescent="0.35">
      <c r="A3153">
        <v>1005307</v>
      </c>
      <c r="B3153">
        <v>3129</v>
      </c>
      <c r="C3153">
        <v>1</v>
      </c>
      <c r="D3153" s="17" t="s">
        <v>155</v>
      </c>
      <c r="E3153" s="17"/>
      <c r="F3153" s="17" t="s">
        <v>156</v>
      </c>
      <c r="G3153" s="17"/>
      <c r="H3153" s="17" t="s">
        <v>692</v>
      </c>
      <c r="I3153" s="17"/>
      <c r="J3153" s="17" t="s">
        <v>693</v>
      </c>
      <c r="K3153" s="17"/>
      <c r="L3153" s="17"/>
      <c r="M3153" s="17"/>
      <c r="N3153" s="17"/>
      <c r="O3153" s="17" t="s">
        <v>5665</v>
      </c>
      <c r="P3153" s="17" t="s">
        <v>2051</v>
      </c>
      <c r="Q3153" s="17"/>
      <c r="R3153" s="25" t="str">
        <f>HYPERLINK("https://ictv.global/taxonomy/taxondetails?taxnode_id=202314632","Iggyvirus iggy")</f>
        <v>Iggyvirus iggy</v>
      </c>
      <c r="S3153" s="18" t="s">
        <v>30</v>
      </c>
      <c r="T3153" s="18" t="s">
        <v>2052</v>
      </c>
      <c r="U3153" s="18"/>
      <c r="V3153" s="18"/>
      <c r="W3153" s="18" t="s">
        <v>2053</v>
      </c>
      <c r="X3153" s="18" t="s">
        <v>42</v>
      </c>
      <c r="Y3153" s="18" t="s">
        <v>36</v>
      </c>
      <c r="Z3153" s="18" t="s">
        <v>697</v>
      </c>
      <c r="AA3153" s="21" t="str">
        <f>HYPERLINK("https://www.ncbi.nlm.nih.gov/nuccore/MN029011","NCBI Nucleotide")</f>
        <v>NCBI Nucleotide</v>
      </c>
    </row>
    <row r="3154" spans="1:27" x14ac:dyDescent="0.35">
      <c r="A3154">
        <v>1005308</v>
      </c>
      <c r="B3154">
        <v>3130</v>
      </c>
      <c r="C3154">
        <v>1</v>
      </c>
      <c r="D3154" s="17" t="s">
        <v>155</v>
      </c>
      <c r="E3154" s="17"/>
      <c r="F3154" s="17" t="s">
        <v>156</v>
      </c>
      <c r="G3154" s="17"/>
      <c r="H3154" s="17" t="s">
        <v>692</v>
      </c>
      <c r="I3154" s="17"/>
      <c r="J3154" s="17" t="s">
        <v>693</v>
      </c>
      <c r="K3154" s="17"/>
      <c r="L3154" s="17"/>
      <c r="M3154" s="17"/>
      <c r="N3154" s="17"/>
      <c r="O3154" s="17" t="s">
        <v>5665</v>
      </c>
      <c r="P3154" s="17" t="s">
        <v>2051</v>
      </c>
      <c r="Q3154" s="17"/>
      <c r="R3154" s="25" t="str">
        <f>HYPERLINK("https://ictv.global/taxonomy/taxondetails?taxnode_id=202314633","Iggyvirus PBPA162")</f>
        <v>Iggyvirus PBPA162</v>
      </c>
      <c r="S3154" s="18" t="s">
        <v>30</v>
      </c>
      <c r="T3154" s="18" t="s">
        <v>2054</v>
      </c>
      <c r="U3154" s="18"/>
      <c r="V3154" s="18"/>
      <c r="W3154" s="18" t="s">
        <v>2055</v>
      </c>
      <c r="X3154" s="18" t="s">
        <v>42</v>
      </c>
      <c r="Y3154" s="18" t="s">
        <v>36</v>
      </c>
      <c r="Z3154" s="18" t="s">
        <v>697</v>
      </c>
      <c r="AA3154" s="21" t="str">
        <f>HYPERLINK("https://www.ncbi.nlm.nih.gov/nuccore/MK816297","NCBI Nucleotide")</f>
        <v>NCBI Nucleotide</v>
      </c>
    </row>
    <row r="3155" spans="1:27" x14ac:dyDescent="0.35">
      <c r="A3155">
        <v>1024979</v>
      </c>
      <c r="B3155">
        <v>3131</v>
      </c>
      <c r="C3155">
        <v>1</v>
      </c>
      <c r="D3155" s="17" t="s">
        <v>155</v>
      </c>
      <c r="E3155" s="17"/>
      <c r="F3155" s="17" t="s">
        <v>156</v>
      </c>
      <c r="G3155" s="17"/>
      <c r="H3155" s="17" t="s">
        <v>692</v>
      </c>
      <c r="I3155" s="17"/>
      <c r="J3155" s="17" t="s">
        <v>693</v>
      </c>
      <c r="K3155" s="17"/>
      <c r="L3155" s="17"/>
      <c r="M3155" s="17"/>
      <c r="N3155" s="17"/>
      <c r="O3155" s="17" t="s">
        <v>5665</v>
      </c>
      <c r="P3155" s="17" t="s">
        <v>39732</v>
      </c>
      <c r="Q3155" s="17"/>
      <c r="R3155" s="25" t="str">
        <f>HYPERLINK("https://ictv.global/taxonomy/taxondetails?taxnode_id=202319246","Micathvirus micath")</f>
        <v>Micathvirus micath</v>
      </c>
      <c r="S3155" s="18" t="s">
        <v>30</v>
      </c>
      <c r="T3155" s="18" t="s">
        <v>39733</v>
      </c>
      <c r="U3155" s="18"/>
      <c r="V3155" s="18"/>
      <c r="W3155" s="18" t="s">
        <v>48388</v>
      </c>
      <c r="X3155" s="18" t="s">
        <v>42</v>
      </c>
      <c r="Y3155" s="18" t="s">
        <v>36</v>
      </c>
      <c r="Z3155" s="18" t="s">
        <v>697</v>
      </c>
      <c r="AA3155" s="21" t="str">
        <f>HYPERLINK("https://www.ncbi.nlm.nih.gov/nuccore/OP882271","NCBI Nucleotide")</f>
        <v>NCBI Nucleotide</v>
      </c>
    </row>
    <row r="3156" spans="1:27" x14ac:dyDescent="0.35">
      <c r="A3156">
        <v>1024764</v>
      </c>
      <c r="B3156">
        <v>3132</v>
      </c>
      <c r="C3156">
        <v>1</v>
      </c>
      <c r="D3156" s="17" t="s">
        <v>155</v>
      </c>
      <c r="E3156" s="17"/>
      <c r="F3156" s="17" t="s">
        <v>156</v>
      </c>
      <c r="G3156" s="17"/>
      <c r="H3156" s="17" t="s">
        <v>692</v>
      </c>
      <c r="I3156" s="17"/>
      <c r="J3156" s="17" t="s">
        <v>693</v>
      </c>
      <c r="K3156" s="17"/>
      <c r="L3156" s="17"/>
      <c r="M3156" s="17"/>
      <c r="N3156" s="17"/>
      <c r="O3156" s="17" t="s">
        <v>5665</v>
      </c>
      <c r="P3156" s="17" t="s">
        <v>5670</v>
      </c>
      <c r="Q3156" s="17"/>
      <c r="R3156" s="25" t="str">
        <f>HYPERLINK("https://ictv.global/taxonomy/taxondetails?taxnode_id=202319243","Nipunavirus Doca3")</f>
        <v>Nipunavirus Doca3</v>
      </c>
      <c r="S3156" s="18" t="s">
        <v>30</v>
      </c>
      <c r="T3156" s="18" t="s">
        <v>39734</v>
      </c>
      <c r="U3156" s="18"/>
      <c r="V3156" s="18"/>
      <c r="W3156" s="18" t="s">
        <v>48389</v>
      </c>
      <c r="X3156" s="18" t="s">
        <v>42</v>
      </c>
      <c r="Y3156" s="18" t="s">
        <v>36</v>
      </c>
      <c r="Z3156" s="18" t="s">
        <v>697</v>
      </c>
      <c r="AA3156" s="21" t="str">
        <f>HYPERLINK("https://www.ncbi.nlm.nih.gov/nuccore/ON911540","NCBI Nucleotide")</f>
        <v>NCBI Nucleotide</v>
      </c>
    </row>
    <row r="3157" spans="1:27" x14ac:dyDescent="0.35">
      <c r="A3157">
        <v>1024765</v>
      </c>
      <c r="B3157">
        <v>3133</v>
      </c>
      <c r="C3157">
        <v>1</v>
      </c>
      <c r="D3157" s="17" t="s">
        <v>155</v>
      </c>
      <c r="E3157" s="17"/>
      <c r="F3157" s="17" t="s">
        <v>156</v>
      </c>
      <c r="G3157" s="17"/>
      <c r="H3157" s="17" t="s">
        <v>692</v>
      </c>
      <c r="I3157" s="17"/>
      <c r="J3157" s="17" t="s">
        <v>693</v>
      </c>
      <c r="K3157" s="17"/>
      <c r="L3157" s="17"/>
      <c r="M3157" s="17"/>
      <c r="N3157" s="17"/>
      <c r="O3157" s="17" t="s">
        <v>5665</v>
      </c>
      <c r="P3157" s="17" t="s">
        <v>5670</v>
      </c>
      <c r="Q3157" s="17"/>
      <c r="R3157" s="25" t="str">
        <f>HYPERLINK("https://ictv.global/taxonomy/taxondetails?taxnode_id=202319242","Nipunavirus JG054")</f>
        <v>Nipunavirus JG054</v>
      </c>
      <c r="S3157" s="18" t="s">
        <v>30</v>
      </c>
      <c r="T3157" s="18" t="s">
        <v>39735</v>
      </c>
      <c r="U3157" s="18"/>
      <c r="V3157" s="18"/>
      <c r="W3157" s="18" t="s">
        <v>48390</v>
      </c>
      <c r="X3157" s="18" t="s">
        <v>42</v>
      </c>
      <c r="Y3157" s="18" t="s">
        <v>36</v>
      </c>
      <c r="Z3157" s="18" t="s">
        <v>697</v>
      </c>
      <c r="AA3157" s="21" t="str">
        <f>HYPERLINK("https://www.ncbi.nlm.nih.gov/nuccore/KX898400","NCBI Nucleotide")</f>
        <v>NCBI Nucleotide</v>
      </c>
    </row>
    <row r="3158" spans="1:27" x14ac:dyDescent="0.35">
      <c r="A3158">
        <v>1004059</v>
      </c>
      <c r="B3158">
        <v>3134</v>
      </c>
      <c r="C3158">
        <v>1</v>
      </c>
      <c r="D3158" s="17" t="s">
        <v>155</v>
      </c>
      <c r="E3158" s="17"/>
      <c r="F3158" s="17" t="s">
        <v>156</v>
      </c>
      <c r="G3158" s="17"/>
      <c r="H3158" s="17" t="s">
        <v>692</v>
      </c>
      <c r="I3158" s="17"/>
      <c r="J3158" s="17" t="s">
        <v>693</v>
      </c>
      <c r="K3158" s="17"/>
      <c r="L3158" s="17"/>
      <c r="M3158" s="17"/>
      <c r="N3158" s="17"/>
      <c r="O3158" s="17" t="s">
        <v>5665</v>
      </c>
      <c r="P3158" s="17" t="s">
        <v>5670</v>
      </c>
      <c r="Q3158" s="17"/>
      <c r="R3158" s="25" t="str">
        <f>HYPERLINK("https://ictv.global/taxonomy/taxondetails?taxnode_id=202301092","Nipunavirus NP1")</f>
        <v>Nipunavirus NP1</v>
      </c>
      <c r="S3158" s="18" t="s">
        <v>30</v>
      </c>
      <c r="T3158" s="18" t="s">
        <v>5671</v>
      </c>
      <c r="U3158" s="18"/>
      <c r="V3158" s="18"/>
      <c r="W3158" s="18" t="s">
        <v>5672</v>
      </c>
      <c r="X3158" s="18" t="s">
        <v>42</v>
      </c>
      <c r="Y3158" s="18" t="s">
        <v>36</v>
      </c>
      <c r="Z3158" s="18" t="s">
        <v>697</v>
      </c>
      <c r="AA3158" s="21" t="str">
        <f>HYPERLINK("https://www.ncbi.nlm.nih.gov/nuccore/KX129925","NCBI Nucleotide")</f>
        <v>NCBI Nucleotide</v>
      </c>
    </row>
    <row r="3159" spans="1:27" x14ac:dyDescent="0.35">
      <c r="A3159">
        <v>1024766</v>
      </c>
      <c r="B3159">
        <v>3135</v>
      </c>
      <c r="C3159">
        <v>1</v>
      </c>
      <c r="D3159" s="17" t="s">
        <v>155</v>
      </c>
      <c r="E3159" s="17"/>
      <c r="F3159" s="17" t="s">
        <v>156</v>
      </c>
      <c r="G3159" s="17"/>
      <c r="H3159" s="17" t="s">
        <v>692</v>
      </c>
      <c r="I3159" s="17"/>
      <c r="J3159" s="17" t="s">
        <v>693</v>
      </c>
      <c r="K3159" s="17"/>
      <c r="L3159" s="17"/>
      <c r="M3159" s="17"/>
      <c r="N3159" s="17"/>
      <c r="O3159" s="17" t="s">
        <v>5665</v>
      </c>
      <c r="P3159" s="17" t="s">
        <v>5670</v>
      </c>
      <c r="Q3159" s="17"/>
      <c r="R3159" s="25" t="str">
        <f>HYPERLINK("https://ictv.global/taxonomy/taxondetails?taxnode_id=202319244","Nipunavirus PAJD1")</f>
        <v>Nipunavirus PAJD1</v>
      </c>
      <c r="S3159" s="18" t="s">
        <v>30</v>
      </c>
      <c r="T3159" s="18" t="s">
        <v>39736</v>
      </c>
      <c r="U3159" s="18"/>
      <c r="V3159" s="18"/>
      <c r="W3159" s="18" t="s">
        <v>48391</v>
      </c>
      <c r="X3159" s="18" t="s">
        <v>42</v>
      </c>
      <c r="Y3159" s="18" t="s">
        <v>36</v>
      </c>
      <c r="Z3159" s="18" t="s">
        <v>697</v>
      </c>
      <c r="AA3159" s="21" t="str">
        <f>HYPERLINK("https://www.ncbi.nlm.nih.gov/nuccore/MW835180","NCBI Nucleotide")</f>
        <v>NCBI Nucleotide</v>
      </c>
    </row>
    <row r="3160" spans="1:27" x14ac:dyDescent="0.35">
      <c r="A3160">
        <v>1004060</v>
      </c>
      <c r="B3160">
        <v>3136</v>
      </c>
      <c r="C3160">
        <v>1</v>
      </c>
      <c r="D3160" s="17" t="s">
        <v>155</v>
      </c>
      <c r="E3160" s="17"/>
      <c r="F3160" s="17" t="s">
        <v>156</v>
      </c>
      <c r="G3160" s="17"/>
      <c r="H3160" s="17" t="s">
        <v>692</v>
      </c>
      <c r="I3160" s="17"/>
      <c r="J3160" s="17" t="s">
        <v>693</v>
      </c>
      <c r="K3160" s="17"/>
      <c r="L3160" s="17"/>
      <c r="M3160" s="17"/>
      <c r="N3160" s="17"/>
      <c r="O3160" s="17" t="s">
        <v>5665</v>
      </c>
      <c r="P3160" s="17" t="s">
        <v>5670</v>
      </c>
      <c r="Q3160" s="17"/>
      <c r="R3160" s="25" t="str">
        <f>HYPERLINK("https://ictv.global/taxonomy/taxondetails?taxnode_id=202301093","Nipunavirus PaMx25")</f>
        <v>Nipunavirus PaMx25</v>
      </c>
      <c r="S3160" s="18" t="s">
        <v>30</v>
      </c>
      <c r="T3160" s="18" t="s">
        <v>5673</v>
      </c>
      <c r="U3160" s="18"/>
      <c r="V3160" s="18"/>
      <c r="W3160" s="18" t="s">
        <v>5674</v>
      </c>
      <c r="X3160" s="18" t="s">
        <v>42</v>
      </c>
      <c r="Y3160" s="18" t="s">
        <v>36</v>
      </c>
      <c r="Z3160" s="18" t="s">
        <v>697</v>
      </c>
      <c r="AA3160" s="21" t="str">
        <f>HYPERLINK("https://www.ncbi.nlm.nih.gov/nuccore/JQ067084","NCBI Nucleotide")</f>
        <v>NCBI Nucleotide</v>
      </c>
    </row>
    <row r="3161" spans="1:27" x14ac:dyDescent="0.35">
      <c r="A3161">
        <v>1024767</v>
      </c>
      <c r="B3161">
        <v>3137</v>
      </c>
      <c r="C3161">
        <v>1</v>
      </c>
      <c r="D3161" s="17" t="s">
        <v>155</v>
      </c>
      <c r="E3161" s="17"/>
      <c r="F3161" s="17" t="s">
        <v>156</v>
      </c>
      <c r="G3161" s="17"/>
      <c r="H3161" s="17" t="s">
        <v>692</v>
      </c>
      <c r="I3161" s="17"/>
      <c r="J3161" s="17" t="s">
        <v>693</v>
      </c>
      <c r="K3161" s="17"/>
      <c r="L3161" s="17"/>
      <c r="M3161" s="17"/>
      <c r="N3161" s="17"/>
      <c r="O3161" s="17" t="s">
        <v>5665</v>
      </c>
      <c r="P3161" s="17" t="s">
        <v>5670</v>
      </c>
      <c r="Q3161" s="17"/>
      <c r="R3161" s="25" t="str">
        <f>HYPERLINK("https://ictv.global/taxonomy/taxondetails?taxnode_id=202319245","Nipunavirus quinobequin")</f>
        <v>Nipunavirus quinobequin</v>
      </c>
      <c r="S3161" s="18" t="s">
        <v>30</v>
      </c>
      <c r="T3161" s="18" t="s">
        <v>39737</v>
      </c>
      <c r="U3161" s="18"/>
      <c r="V3161" s="18"/>
      <c r="W3161" s="18" t="s">
        <v>48392</v>
      </c>
      <c r="X3161" s="18" t="s">
        <v>42</v>
      </c>
      <c r="Y3161" s="18" t="s">
        <v>36</v>
      </c>
      <c r="Z3161" s="18" t="s">
        <v>697</v>
      </c>
      <c r="AA3161" s="21" t="str">
        <f>HYPERLINK("https://www.ncbi.nlm.nih.gov/nuccore/MN504636","NCBI Nucleotide")</f>
        <v>NCBI Nucleotide</v>
      </c>
    </row>
    <row r="3162" spans="1:27" x14ac:dyDescent="0.35">
      <c r="A3162">
        <v>1004061</v>
      </c>
      <c r="B3162">
        <v>3138</v>
      </c>
      <c r="C3162">
        <v>1</v>
      </c>
      <c r="D3162" s="17" t="s">
        <v>155</v>
      </c>
      <c r="E3162" s="17"/>
      <c r="F3162" s="17" t="s">
        <v>156</v>
      </c>
      <c r="G3162" s="17"/>
      <c r="H3162" s="17" t="s">
        <v>692</v>
      </c>
      <c r="I3162" s="17"/>
      <c r="J3162" s="17" t="s">
        <v>693</v>
      </c>
      <c r="K3162" s="17"/>
      <c r="L3162" s="17"/>
      <c r="M3162" s="17"/>
      <c r="N3162" s="17"/>
      <c r="O3162" s="17" t="s">
        <v>5665</v>
      </c>
      <c r="P3162" s="17" t="s">
        <v>5675</v>
      </c>
      <c r="Q3162" s="17"/>
      <c r="R3162" s="25" t="str">
        <f>HYPERLINK("https://ictv.global/taxonomy/taxondetails?taxnode_id=202301088","Nonagvirus JenK1")</f>
        <v>Nonagvirus JenK1</v>
      </c>
      <c r="S3162" s="18" t="s">
        <v>30</v>
      </c>
      <c r="T3162" s="18" t="s">
        <v>5676</v>
      </c>
      <c r="U3162" s="18"/>
      <c r="V3162" s="18"/>
      <c r="W3162" s="18" t="s">
        <v>5677</v>
      </c>
      <c r="X3162" s="18" t="s">
        <v>42</v>
      </c>
      <c r="Y3162" s="18" t="s">
        <v>36</v>
      </c>
      <c r="Z3162" s="18" t="s">
        <v>697</v>
      </c>
      <c r="AA3162" s="21" t="str">
        <f>HYPERLINK("https://www.ncbi.nlm.nih.gov/nuccore/KP719134","NCBI Nucleotide")</f>
        <v>NCBI Nucleotide</v>
      </c>
    </row>
    <row r="3163" spans="1:27" x14ac:dyDescent="0.35">
      <c r="A3163">
        <v>1004062</v>
      </c>
      <c r="B3163">
        <v>3139</v>
      </c>
      <c r="C3163">
        <v>1</v>
      </c>
      <c r="D3163" s="17" t="s">
        <v>155</v>
      </c>
      <c r="E3163" s="17"/>
      <c r="F3163" s="17" t="s">
        <v>156</v>
      </c>
      <c r="G3163" s="17"/>
      <c r="H3163" s="17" t="s">
        <v>692</v>
      </c>
      <c r="I3163" s="17"/>
      <c r="J3163" s="17" t="s">
        <v>693</v>
      </c>
      <c r="K3163" s="17"/>
      <c r="L3163" s="17"/>
      <c r="M3163" s="17"/>
      <c r="N3163" s="17"/>
      <c r="O3163" s="17" t="s">
        <v>5665</v>
      </c>
      <c r="P3163" s="17" t="s">
        <v>5675</v>
      </c>
      <c r="Q3163" s="17"/>
      <c r="R3163" s="25" t="str">
        <f>HYPERLINK("https://ictv.global/taxonomy/taxondetails?taxnode_id=202301089","Nonagvirus JenP1")</f>
        <v>Nonagvirus JenP1</v>
      </c>
      <c r="S3163" s="18" t="s">
        <v>30</v>
      </c>
      <c r="T3163" s="18" t="s">
        <v>5678</v>
      </c>
      <c r="U3163" s="18"/>
      <c r="V3163" s="18"/>
      <c r="W3163" s="18" t="s">
        <v>5679</v>
      </c>
      <c r="X3163" s="18" t="s">
        <v>42</v>
      </c>
      <c r="Y3163" s="18" t="s">
        <v>36</v>
      </c>
      <c r="Z3163" s="18" t="s">
        <v>697</v>
      </c>
      <c r="AA3163" s="21" t="str">
        <f>HYPERLINK("https://www.ncbi.nlm.nih.gov/nuccore/KP719132","NCBI Nucleotide")</f>
        <v>NCBI Nucleotide</v>
      </c>
    </row>
    <row r="3164" spans="1:27" x14ac:dyDescent="0.35">
      <c r="A3164">
        <v>1004063</v>
      </c>
      <c r="B3164">
        <v>3140</v>
      </c>
      <c r="C3164">
        <v>1</v>
      </c>
      <c r="D3164" s="17" t="s">
        <v>155</v>
      </c>
      <c r="E3164" s="17"/>
      <c r="F3164" s="17" t="s">
        <v>156</v>
      </c>
      <c r="G3164" s="17"/>
      <c r="H3164" s="17" t="s">
        <v>692</v>
      </c>
      <c r="I3164" s="17"/>
      <c r="J3164" s="17" t="s">
        <v>693</v>
      </c>
      <c r="K3164" s="17"/>
      <c r="L3164" s="17"/>
      <c r="M3164" s="17"/>
      <c r="N3164" s="17"/>
      <c r="O3164" s="17" t="s">
        <v>5665</v>
      </c>
      <c r="P3164" s="17" t="s">
        <v>5675</v>
      </c>
      <c r="Q3164" s="17"/>
      <c r="R3164" s="25" t="str">
        <f>HYPERLINK("https://ictv.global/taxonomy/taxondetails?taxnode_id=202301090","Nonagvirus JenP2")</f>
        <v>Nonagvirus JenP2</v>
      </c>
      <c r="S3164" s="18" t="s">
        <v>30</v>
      </c>
      <c r="T3164" s="18" t="s">
        <v>5680</v>
      </c>
      <c r="U3164" s="18"/>
      <c r="V3164" s="18"/>
      <c r="W3164" s="18" t="s">
        <v>5681</v>
      </c>
      <c r="X3164" s="18" t="s">
        <v>42</v>
      </c>
      <c r="Y3164" s="18" t="s">
        <v>36</v>
      </c>
      <c r="Z3164" s="18" t="s">
        <v>697</v>
      </c>
      <c r="AA3164" s="21" t="str">
        <f>HYPERLINK("https://www.ncbi.nlm.nih.gov/nuccore/KP719133","NCBI Nucleotide")</f>
        <v>NCBI Nucleotide</v>
      </c>
    </row>
    <row r="3165" spans="1:27" x14ac:dyDescent="0.35">
      <c r="A3165">
        <v>1004064</v>
      </c>
      <c r="B3165">
        <v>3141</v>
      </c>
      <c r="C3165">
        <v>1</v>
      </c>
      <c r="D3165" s="17" t="s">
        <v>155</v>
      </c>
      <c r="E3165" s="17"/>
      <c r="F3165" s="17" t="s">
        <v>156</v>
      </c>
      <c r="G3165" s="17"/>
      <c r="H3165" s="17" t="s">
        <v>692</v>
      </c>
      <c r="I3165" s="17"/>
      <c r="J3165" s="17" t="s">
        <v>693</v>
      </c>
      <c r="K3165" s="17"/>
      <c r="L3165" s="17"/>
      <c r="M3165" s="17"/>
      <c r="N3165" s="17"/>
      <c r="O3165" s="17" t="s">
        <v>5665</v>
      </c>
      <c r="P3165" s="17" t="s">
        <v>5675</v>
      </c>
      <c r="Q3165" s="17"/>
      <c r="R3165" s="25" t="str">
        <f>HYPERLINK("https://ictv.global/taxonomy/taxondetails?taxnode_id=202301087","Nonagvirus nv9g")</f>
        <v>Nonagvirus nv9g</v>
      </c>
      <c r="S3165" s="18" t="s">
        <v>30</v>
      </c>
      <c r="T3165" s="18" t="s">
        <v>5682</v>
      </c>
      <c r="U3165" s="18"/>
      <c r="V3165" s="18"/>
      <c r="W3165" s="18" t="s">
        <v>5683</v>
      </c>
      <c r="X3165" s="18" t="s">
        <v>42</v>
      </c>
      <c r="Y3165" s="18" t="s">
        <v>36</v>
      </c>
      <c r="Z3165" s="18" t="s">
        <v>697</v>
      </c>
      <c r="AA3165" s="21" t="str">
        <f>HYPERLINK("https://www.ncbi.nlm.nih.gov/nuccore/KJ419279","NCBI Nucleotide")</f>
        <v>NCBI Nucleotide</v>
      </c>
    </row>
    <row r="3166" spans="1:27" x14ac:dyDescent="0.35">
      <c r="A3166">
        <v>1004365</v>
      </c>
      <c r="B3166">
        <v>3142</v>
      </c>
      <c r="C3166">
        <v>1</v>
      </c>
      <c r="D3166" s="17" t="s">
        <v>155</v>
      </c>
      <c r="E3166" s="17"/>
      <c r="F3166" s="17" t="s">
        <v>156</v>
      </c>
      <c r="G3166" s="17"/>
      <c r="H3166" s="17" t="s">
        <v>692</v>
      </c>
      <c r="I3166" s="17"/>
      <c r="J3166" s="17" t="s">
        <v>693</v>
      </c>
      <c r="K3166" s="17"/>
      <c r="L3166" s="17"/>
      <c r="M3166" s="17"/>
      <c r="N3166" s="17"/>
      <c r="O3166" s="17" t="s">
        <v>5665</v>
      </c>
      <c r="P3166" s="17" t="s">
        <v>5675</v>
      </c>
      <c r="Q3166" s="17"/>
      <c r="R3166" s="25" t="str">
        <f>HYPERLINK("https://ictv.global/taxonomy/taxondetails?taxnode_id=202307077","Nonagvirus SE1Kor")</f>
        <v>Nonagvirus SE1Kor</v>
      </c>
      <c r="S3166" s="18" t="s">
        <v>30</v>
      </c>
      <c r="T3166" s="18" t="s">
        <v>5684</v>
      </c>
      <c r="U3166" s="18"/>
      <c r="V3166" s="18"/>
      <c r="W3166" s="18" t="s">
        <v>5685</v>
      </c>
      <c r="X3166" s="18" t="s">
        <v>42</v>
      </c>
      <c r="Y3166" s="18" t="s">
        <v>36</v>
      </c>
      <c r="Z3166" s="18" t="s">
        <v>697</v>
      </c>
      <c r="AA3166" s="21" t="str">
        <f>HYPERLINK("https://www.ncbi.nlm.nih.gov/nuccore/KY926791","NCBI Nucleotide")</f>
        <v>NCBI Nucleotide</v>
      </c>
    </row>
    <row r="3167" spans="1:27" x14ac:dyDescent="0.35">
      <c r="A3167">
        <v>1004366</v>
      </c>
      <c r="B3167">
        <v>3143</v>
      </c>
      <c r="C3167">
        <v>1</v>
      </c>
      <c r="D3167" s="17" t="s">
        <v>155</v>
      </c>
      <c r="E3167" s="17"/>
      <c r="F3167" s="17" t="s">
        <v>156</v>
      </c>
      <c r="G3167" s="17"/>
      <c r="H3167" s="17" t="s">
        <v>692</v>
      </c>
      <c r="I3167" s="17"/>
      <c r="J3167" s="17" t="s">
        <v>693</v>
      </c>
      <c r="K3167" s="17"/>
      <c r="L3167" s="17"/>
      <c r="M3167" s="17"/>
      <c r="N3167" s="17"/>
      <c r="O3167" s="17" t="s">
        <v>5665</v>
      </c>
      <c r="P3167" s="17" t="s">
        <v>5686</v>
      </c>
      <c r="Q3167" s="17"/>
      <c r="R3167" s="25" t="str">
        <f>HYPERLINK("https://ictv.global/taxonomy/taxondetails?taxnode_id=202301261","Seuratvirus cajan")</f>
        <v>Seuratvirus cajan</v>
      </c>
      <c r="S3167" s="18" t="s">
        <v>30</v>
      </c>
      <c r="T3167" s="18" t="s">
        <v>5687</v>
      </c>
      <c r="U3167" s="18"/>
      <c r="V3167" s="18"/>
      <c r="W3167" s="18" t="s">
        <v>5688</v>
      </c>
      <c r="X3167" s="18" t="s">
        <v>42</v>
      </c>
      <c r="Y3167" s="18" t="s">
        <v>36</v>
      </c>
      <c r="Z3167" s="18" t="s">
        <v>697</v>
      </c>
      <c r="AA3167" s="21" t="str">
        <f>HYPERLINK("https://www.ncbi.nlm.nih.gov/nuccore/KP064094","NCBI Nucleotide")</f>
        <v>NCBI Nucleotide</v>
      </c>
    </row>
    <row r="3168" spans="1:27" x14ac:dyDescent="0.35">
      <c r="A3168">
        <v>1004367</v>
      </c>
      <c r="B3168">
        <v>3144</v>
      </c>
      <c r="C3168">
        <v>1</v>
      </c>
      <c r="D3168" s="17" t="s">
        <v>155</v>
      </c>
      <c r="E3168" s="17"/>
      <c r="F3168" s="17" t="s">
        <v>156</v>
      </c>
      <c r="G3168" s="17"/>
      <c r="H3168" s="17" t="s">
        <v>692</v>
      </c>
      <c r="I3168" s="17"/>
      <c r="J3168" s="17" t="s">
        <v>693</v>
      </c>
      <c r="K3168" s="17"/>
      <c r="L3168" s="17"/>
      <c r="M3168" s="17"/>
      <c r="N3168" s="17"/>
      <c r="O3168" s="17" t="s">
        <v>5665</v>
      </c>
      <c r="P3168" s="17" t="s">
        <v>5686</v>
      </c>
      <c r="Q3168" s="17"/>
      <c r="R3168" s="25" t="str">
        <f>HYPERLINK("https://ictv.global/taxonomy/taxondetails?taxnode_id=202301262","Seuratvirus seurat")</f>
        <v>Seuratvirus seurat</v>
      </c>
      <c r="S3168" s="18" t="s">
        <v>30</v>
      </c>
      <c r="T3168" s="18" t="s">
        <v>5689</v>
      </c>
      <c r="U3168" s="18"/>
      <c r="V3168" s="18"/>
      <c r="W3168" s="18" t="s">
        <v>5690</v>
      </c>
      <c r="X3168" s="18" t="s">
        <v>42</v>
      </c>
      <c r="Y3168" s="18" t="s">
        <v>36</v>
      </c>
      <c r="Z3168" s="18" t="s">
        <v>697</v>
      </c>
      <c r="AA3168" s="21" t="str">
        <f>HYPERLINK("https://www.ncbi.nlm.nih.gov/nuccore/KM236243","NCBI Nucleotide")</f>
        <v>NCBI Nucleotide</v>
      </c>
    </row>
    <row r="3169" spans="1:27" x14ac:dyDescent="0.35">
      <c r="A3169">
        <v>1024851</v>
      </c>
      <c r="B3169">
        <v>3145</v>
      </c>
      <c r="C3169">
        <v>1</v>
      </c>
      <c r="D3169" s="17" t="s">
        <v>155</v>
      </c>
      <c r="E3169" s="17"/>
      <c r="F3169" s="17" t="s">
        <v>156</v>
      </c>
      <c r="G3169" s="17"/>
      <c r="H3169" s="17" t="s">
        <v>692</v>
      </c>
      <c r="I3169" s="17"/>
      <c r="J3169" s="17" t="s">
        <v>693</v>
      </c>
      <c r="K3169" s="17"/>
      <c r="L3169" s="17"/>
      <c r="M3169" s="17"/>
      <c r="N3169" s="17"/>
      <c r="O3169" s="17" t="s">
        <v>5665</v>
      </c>
      <c r="P3169" s="17" t="s">
        <v>39738</v>
      </c>
      <c r="Q3169" s="17"/>
      <c r="R3169" s="25" t="str">
        <f>HYPERLINK("https://ictv.global/taxonomy/taxondetails?taxnode_id=202319248","Shangdongvirus ply2008005c")</f>
        <v>Shangdongvirus ply2008005c</v>
      </c>
      <c r="S3169" s="18" t="s">
        <v>30</v>
      </c>
      <c r="T3169" s="18" t="s">
        <v>39739</v>
      </c>
      <c r="U3169" s="18"/>
      <c r="V3169" s="18"/>
      <c r="W3169" s="18" t="s">
        <v>48393</v>
      </c>
      <c r="X3169" s="18" t="s">
        <v>42</v>
      </c>
      <c r="Y3169" s="18" t="s">
        <v>36</v>
      </c>
      <c r="Z3169" s="18" t="s">
        <v>697</v>
      </c>
      <c r="AA3169" s="21" t="str">
        <f>HYPERLINK("https://www.ncbi.nlm.nih.gov/nuccore/OK562670","NCBI Nucleotide")</f>
        <v>NCBI Nucleotide</v>
      </c>
    </row>
    <row r="3170" spans="1:27" x14ac:dyDescent="0.35">
      <c r="A3170">
        <v>1024938</v>
      </c>
      <c r="B3170">
        <v>3146</v>
      </c>
      <c r="C3170">
        <v>1</v>
      </c>
      <c r="D3170" s="17" t="s">
        <v>155</v>
      </c>
      <c r="E3170" s="17"/>
      <c r="F3170" s="17" t="s">
        <v>156</v>
      </c>
      <c r="G3170" s="17"/>
      <c r="H3170" s="17" t="s">
        <v>692</v>
      </c>
      <c r="I3170" s="17"/>
      <c r="J3170" s="17" t="s">
        <v>693</v>
      </c>
      <c r="K3170" s="17"/>
      <c r="L3170" s="17"/>
      <c r="M3170" s="17"/>
      <c r="N3170" s="17"/>
      <c r="O3170" s="17" t="s">
        <v>5665</v>
      </c>
      <c r="P3170" s="17" t="s">
        <v>39740</v>
      </c>
      <c r="Q3170" s="17"/>
      <c r="R3170" s="25" t="str">
        <f>HYPERLINK("https://ictv.global/taxonomy/taxondetails?taxnode_id=202319247","Torvergatavirus MMDA13")</f>
        <v>Torvergatavirus MMDA13</v>
      </c>
      <c r="S3170" s="18" t="s">
        <v>30</v>
      </c>
      <c r="T3170" s="18" t="s">
        <v>39741</v>
      </c>
      <c r="U3170" s="18"/>
      <c r="V3170" s="18"/>
      <c r="W3170" s="18" t="s">
        <v>48394</v>
      </c>
      <c r="X3170" s="18" t="s">
        <v>42</v>
      </c>
      <c r="Y3170" s="18" t="s">
        <v>36</v>
      </c>
      <c r="Z3170" s="18" t="s">
        <v>697</v>
      </c>
      <c r="AA3170" s="21" t="str">
        <f>HYPERLINK("https://www.ncbi.nlm.nih.gov/nuccore/MN820898","NCBI Nucleotide")</f>
        <v>NCBI Nucleotide</v>
      </c>
    </row>
    <row r="3171" spans="1:27" x14ac:dyDescent="0.35">
      <c r="A3171">
        <v>1004368</v>
      </c>
      <c r="B3171">
        <v>3147</v>
      </c>
      <c r="C3171">
        <v>1</v>
      </c>
      <c r="D3171" s="17" t="s">
        <v>155</v>
      </c>
      <c r="E3171" s="17"/>
      <c r="F3171" s="17" t="s">
        <v>156</v>
      </c>
      <c r="G3171" s="17"/>
      <c r="H3171" s="17" t="s">
        <v>692</v>
      </c>
      <c r="I3171" s="17"/>
      <c r="J3171" s="17" t="s">
        <v>693</v>
      </c>
      <c r="K3171" s="17"/>
      <c r="L3171" s="17"/>
      <c r="M3171" s="17"/>
      <c r="N3171" s="17"/>
      <c r="O3171" s="17" t="s">
        <v>5691</v>
      </c>
      <c r="P3171" s="17" t="s">
        <v>5692</v>
      </c>
      <c r="Q3171" s="17"/>
      <c r="R3171" s="25" t="str">
        <f>HYPERLINK("https://ictv.global/taxonomy/taxondetails?taxnode_id=202312904","Catfishvirus catfish")</f>
        <v>Catfishvirus catfish</v>
      </c>
      <c r="S3171" s="18" t="s">
        <v>30</v>
      </c>
      <c r="T3171" s="18" t="s">
        <v>5693</v>
      </c>
      <c r="U3171" s="18"/>
      <c r="V3171" s="18"/>
      <c r="W3171" s="18" t="s">
        <v>5694</v>
      </c>
      <c r="X3171" s="18" t="s">
        <v>42</v>
      </c>
      <c r="Y3171" s="18" t="s">
        <v>36</v>
      </c>
      <c r="Z3171" s="18" t="s">
        <v>697</v>
      </c>
      <c r="AA3171" s="21" t="str">
        <f>HYPERLINK("https://www.ncbi.nlm.nih.gov/nuccore/MH697580","NCBI Nucleotide")</f>
        <v>NCBI Nucleotide</v>
      </c>
    </row>
    <row r="3172" spans="1:27" x14ac:dyDescent="0.35">
      <c r="A3172">
        <v>1004369</v>
      </c>
      <c r="B3172">
        <v>3148</v>
      </c>
      <c r="C3172">
        <v>1</v>
      </c>
      <c r="D3172" s="17" t="s">
        <v>155</v>
      </c>
      <c r="E3172" s="17"/>
      <c r="F3172" s="17" t="s">
        <v>156</v>
      </c>
      <c r="G3172" s="17"/>
      <c r="H3172" s="17" t="s">
        <v>692</v>
      </c>
      <c r="I3172" s="17"/>
      <c r="J3172" s="17" t="s">
        <v>693</v>
      </c>
      <c r="K3172" s="17"/>
      <c r="L3172" s="17"/>
      <c r="M3172" s="17"/>
      <c r="N3172" s="17"/>
      <c r="O3172" s="17" t="s">
        <v>5691</v>
      </c>
      <c r="P3172" s="17" t="s">
        <v>5695</v>
      </c>
      <c r="Q3172" s="17"/>
      <c r="R3172" s="25" t="str">
        <f>HYPERLINK("https://ictv.global/taxonomy/taxondetails?taxnode_id=202312906","Dardanusvirus dardanus")</f>
        <v>Dardanusvirus dardanus</v>
      </c>
      <c r="S3172" s="18" t="s">
        <v>30</v>
      </c>
      <c r="T3172" s="18" t="s">
        <v>5696</v>
      </c>
      <c r="U3172" s="18"/>
      <c r="V3172" s="18"/>
      <c r="W3172" s="18" t="s">
        <v>5697</v>
      </c>
      <c r="X3172" s="18" t="s">
        <v>42</v>
      </c>
      <c r="Y3172" s="18" t="s">
        <v>36</v>
      </c>
      <c r="Z3172" s="18" t="s">
        <v>697</v>
      </c>
      <c r="AA3172" s="21" t="str">
        <f>HYPERLINK("https://www.ncbi.nlm.nih.gov/nuccore/MN010758","NCBI Nucleotide")</f>
        <v>NCBI Nucleotide</v>
      </c>
    </row>
    <row r="3173" spans="1:27" x14ac:dyDescent="0.35">
      <c r="A3173">
        <v>1004370</v>
      </c>
      <c r="B3173">
        <v>3149</v>
      </c>
      <c r="C3173">
        <v>1</v>
      </c>
      <c r="D3173" s="17" t="s">
        <v>155</v>
      </c>
      <c r="E3173" s="17"/>
      <c r="F3173" s="17" t="s">
        <v>156</v>
      </c>
      <c r="G3173" s="17"/>
      <c r="H3173" s="17" t="s">
        <v>692</v>
      </c>
      <c r="I3173" s="17"/>
      <c r="J3173" s="17" t="s">
        <v>693</v>
      </c>
      <c r="K3173" s="17"/>
      <c r="L3173" s="17"/>
      <c r="M3173" s="17"/>
      <c r="N3173" s="17"/>
      <c r="O3173" s="17" t="s">
        <v>5691</v>
      </c>
      <c r="P3173" s="17" t="s">
        <v>5698</v>
      </c>
      <c r="Q3173" s="17"/>
      <c r="R3173" s="25" t="str">
        <f>HYPERLINK("https://ictv.global/taxonomy/taxondetails?taxnode_id=202306632","Gesputvirus gsput1")</f>
        <v>Gesputvirus gsput1</v>
      </c>
      <c r="S3173" s="18" t="s">
        <v>30</v>
      </c>
      <c r="T3173" s="18" t="s">
        <v>5699</v>
      </c>
      <c r="U3173" s="18"/>
      <c r="V3173" s="18"/>
      <c r="W3173" s="18" t="s">
        <v>5700</v>
      </c>
      <c r="X3173" s="18" t="s">
        <v>42</v>
      </c>
      <c r="Y3173" s="18" t="s">
        <v>36</v>
      </c>
      <c r="Z3173" s="18" t="s">
        <v>697</v>
      </c>
      <c r="AA3173" s="21" t="str">
        <f>HYPERLINK("https://www.ncbi.nlm.nih.gov/nuccore/KP790011","NCBI Nucleotide")</f>
        <v>NCBI Nucleotide</v>
      </c>
    </row>
    <row r="3174" spans="1:27" x14ac:dyDescent="0.35">
      <c r="A3174">
        <v>1004371</v>
      </c>
      <c r="B3174">
        <v>3150</v>
      </c>
      <c r="C3174">
        <v>1</v>
      </c>
      <c r="D3174" s="17" t="s">
        <v>155</v>
      </c>
      <c r="E3174" s="17"/>
      <c r="F3174" s="17" t="s">
        <v>156</v>
      </c>
      <c r="G3174" s="17"/>
      <c r="H3174" s="17" t="s">
        <v>692</v>
      </c>
      <c r="I3174" s="17"/>
      <c r="J3174" s="17" t="s">
        <v>693</v>
      </c>
      <c r="K3174" s="17"/>
      <c r="L3174" s="17"/>
      <c r="M3174" s="17"/>
      <c r="N3174" s="17"/>
      <c r="O3174" s="17" t="s">
        <v>5691</v>
      </c>
      <c r="P3174" s="17" t="s">
        <v>5701</v>
      </c>
      <c r="Q3174" s="17"/>
      <c r="R3174" s="25" t="str">
        <f>HYPERLINK("https://ictv.global/taxonomy/taxondetails?taxnode_id=202312908","Schmidtvirus schmidt")</f>
        <v>Schmidtvirus schmidt</v>
      </c>
      <c r="S3174" s="18" t="s">
        <v>30</v>
      </c>
      <c r="T3174" s="18" t="s">
        <v>5702</v>
      </c>
      <c r="U3174" s="18"/>
      <c r="V3174" s="18"/>
      <c r="W3174" s="18" t="s">
        <v>5703</v>
      </c>
      <c r="X3174" s="18" t="s">
        <v>42</v>
      </c>
      <c r="Y3174" s="18" t="s">
        <v>36</v>
      </c>
      <c r="Z3174" s="18" t="s">
        <v>697</v>
      </c>
      <c r="AA3174" s="21" t="str">
        <f>HYPERLINK("https://www.ncbi.nlm.nih.gov/nuccore/MH651189","NCBI Nucleotide")</f>
        <v>NCBI Nucleotide</v>
      </c>
    </row>
    <row r="3175" spans="1:27" x14ac:dyDescent="0.35">
      <c r="A3175">
        <v>1004372</v>
      </c>
      <c r="B3175">
        <v>3151</v>
      </c>
      <c r="C3175">
        <v>1</v>
      </c>
      <c r="D3175" s="17" t="s">
        <v>155</v>
      </c>
      <c r="E3175" s="17"/>
      <c r="F3175" s="17" t="s">
        <v>156</v>
      </c>
      <c r="G3175" s="17"/>
      <c r="H3175" s="17" t="s">
        <v>692</v>
      </c>
      <c r="I3175" s="17"/>
      <c r="J3175" s="17" t="s">
        <v>693</v>
      </c>
      <c r="K3175" s="17"/>
      <c r="L3175" s="17"/>
      <c r="M3175" s="17"/>
      <c r="N3175" s="17"/>
      <c r="O3175" s="17" t="s">
        <v>5691</v>
      </c>
      <c r="P3175" s="17" t="s">
        <v>5704</v>
      </c>
      <c r="Q3175" s="17"/>
      <c r="R3175" s="25" t="str">
        <f>HYPERLINK("https://ictv.global/taxonomy/taxondetails?taxnode_id=202312911","Tinalinvirus tinalin")</f>
        <v>Tinalinvirus tinalin</v>
      </c>
      <c r="S3175" s="18" t="s">
        <v>30</v>
      </c>
      <c r="T3175" s="18" t="s">
        <v>5705</v>
      </c>
      <c r="U3175" s="18"/>
      <c r="V3175" s="18"/>
      <c r="W3175" s="18" t="s">
        <v>5706</v>
      </c>
      <c r="X3175" s="18" t="s">
        <v>42</v>
      </c>
      <c r="Y3175" s="18" t="s">
        <v>36</v>
      </c>
      <c r="Z3175" s="18" t="s">
        <v>697</v>
      </c>
      <c r="AA3175" s="21" t="str">
        <f>HYPERLINK("https://www.ncbi.nlm.nih.gov/nuccore/MW132713","NCBI Nucleotide")</f>
        <v>NCBI Nucleotide</v>
      </c>
    </row>
    <row r="3176" spans="1:27" x14ac:dyDescent="0.35">
      <c r="A3176">
        <v>1004373</v>
      </c>
      <c r="B3176">
        <v>3152</v>
      </c>
      <c r="C3176">
        <v>1</v>
      </c>
      <c r="D3176" s="17" t="s">
        <v>155</v>
      </c>
      <c r="E3176" s="17"/>
      <c r="F3176" s="17" t="s">
        <v>156</v>
      </c>
      <c r="G3176" s="17"/>
      <c r="H3176" s="17" t="s">
        <v>692</v>
      </c>
      <c r="I3176" s="17"/>
      <c r="J3176" s="17" t="s">
        <v>693</v>
      </c>
      <c r="K3176" s="17"/>
      <c r="L3176" s="17"/>
      <c r="M3176" s="17"/>
      <c r="N3176" s="17"/>
      <c r="O3176" s="17" t="s">
        <v>5691</v>
      </c>
      <c r="P3176" s="17" t="s">
        <v>5707</v>
      </c>
      <c r="Q3176" s="17"/>
      <c r="R3176" s="25" t="str">
        <f>HYPERLINK("https://ictv.global/taxonomy/taxondetails?taxnode_id=202312909","Vendettavirus tzgordon")</f>
        <v>Vendettavirus tzgordon</v>
      </c>
      <c r="S3176" s="18" t="s">
        <v>30</v>
      </c>
      <c r="T3176" s="18" t="s">
        <v>5708</v>
      </c>
      <c r="U3176" s="18"/>
      <c r="V3176" s="18"/>
      <c r="W3176" s="18" t="s">
        <v>5709</v>
      </c>
      <c r="X3176" s="18" t="s">
        <v>42</v>
      </c>
      <c r="Y3176" s="18" t="s">
        <v>36</v>
      </c>
      <c r="Z3176" s="18" t="s">
        <v>697</v>
      </c>
      <c r="AA3176" s="21" t="str">
        <f>HYPERLINK("https://www.ncbi.nlm.nih.gov/nuccore/MT553344","NCBI Nucleotide")</f>
        <v>NCBI Nucleotide</v>
      </c>
    </row>
    <row r="3177" spans="1:27" x14ac:dyDescent="0.35">
      <c r="A3177">
        <v>1004374</v>
      </c>
      <c r="B3177">
        <v>3153</v>
      </c>
      <c r="C3177">
        <v>1</v>
      </c>
      <c r="D3177" s="17" t="s">
        <v>155</v>
      </c>
      <c r="E3177" s="17"/>
      <c r="F3177" s="17" t="s">
        <v>156</v>
      </c>
      <c r="G3177" s="17"/>
      <c r="H3177" s="17" t="s">
        <v>692</v>
      </c>
      <c r="I3177" s="17"/>
      <c r="J3177" s="17" t="s">
        <v>693</v>
      </c>
      <c r="K3177" s="17"/>
      <c r="L3177" s="17"/>
      <c r="M3177" s="17"/>
      <c r="N3177" s="17"/>
      <c r="O3177" s="17" t="s">
        <v>5691</v>
      </c>
      <c r="P3177" s="17" t="s">
        <v>5707</v>
      </c>
      <c r="Q3177" s="17"/>
      <c r="R3177" s="25" t="str">
        <f>HYPERLINK("https://ictv.global/taxonomy/taxondetails?taxnode_id=202301367","Vendettavirus vendetta")</f>
        <v>Vendettavirus vendetta</v>
      </c>
      <c r="S3177" s="18" t="s">
        <v>30</v>
      </c>
      <c r="T3177" s="18" t="s">
        <v>5710</v>
      </c>
      <c r="U3177" s="18"/>
      <c r="V3177" s="18"/>
      <c r="W3177" s="18" t="s">
        <v>5711</v>
      </c>
      <c r="X3177" s="18" t="s">
        <v>42</v>
      </c>
      <c r="Y3177" s="18" t="s">
        <v>36</v>
      </c>
      <c r="Z3177" s="18" t="s">
        <v>697</v>
      </c>
      <c r="AA3177" s="21" t="str">
        <f>HYPERLINK("https://www.ncbi.nlm.nih.gov/nuccore/KU998237","NCBI Nucleotide")</f>
        <v>NCBI Nucleotide</v>
      </c>
    </row>
    <row r="3178" spans="1:27" x14ac:dyDescent="0.35">
      <c r="A3178">
        <v>1004375</v>
      </c>
      <c r="B3178">
        <v>3154</v>
      </c>
      <c r="C3178">
        <v>1</v>
      </c>
      <c r="D3178" s="17" t="s">
        <v>155</v>
      </c>
      <c r="E3178" s="17"/>
      <c r="F3178" s="17" t="s">
        <v>156</v>
      </c>
      <c r="G3178" s="17"/>
      <c r="H3178" s="17" t="s">
        <v>692</v>
      </c>
      <c r="I3178" s="17"/>
      <c r="J3178" s="17" t="s">
        <v>693</v>
      </c>
      <c r="K3178" s="17"/>
      <c r="L3178" s="17"/>
      <c r="M3178" s="17"/>
      <c r="N3178" s="17"/>
      <c r="O3178" s="17" t="s">
        <v>5712</v>
      </c>
      <c r="P3178" s="17" t="s">
        <v>5713</v>
      </c>
      <c r="Q3178" s="17"/>
      <c r="R3178" s="25" t="str">
        <f>HYPERLINK("https://ictv.global/taxonomy/taxondetails?taxnode_id=202314845","Basiliskvirus bak10")</f>
        <v>Basiliskvirus bak10</v>
      </c>
      <c r="S3178" s="18" t="s">
        <v>30</v>
      </c>
      <c r="T3178" s="18" t="s">
        <v>5714</v>
      </c>
      <c r="U3178" s="18"/>
      <c r="V3178" s="18"/>
      <c r="W3178" s="18" t="s">
        <v>5715</v>
      </c>
      <c r="X3178" s="18" t="s">
        <v>42</v>
      </c>
      <c r="Y3178" s="18" t="s">
        <v>36</v>
      </c>
      <c r="Z3178" s="18" t="s">
        <v>697</v>
      </c>
      <c r="AA3178" s="21" t="str">
        <f>HYPERLINK("https://www.ncbi.nlm.nih.gov/nuccore/MG967618","NCBI Nucleotide")</f>
        <v>NCBI Nucleotide</v>
      </c>
    </row>
    <row r="3179" spans="1:27" x14ac:dyDescent="0.35">
      <c r="A3179">
        <v>1004376</v>
      </c>
      <c r="B3179">
        <v>3155</v>
      </c>
      <c r="C3179">
        <v>1</v>
      </c>
      <c r="D3179" s="17" t="s">
        <v>155</v>
      </c>
      <c r="E3179" s="17"/>
      <c r="F3179" s="17" t="s">
        <v>156</v>
      </c>
      <c r="G3179" s="17"/>
      <c r="H3179" s="17" t="s">
        <v>692</v>
      </c>
      <c r="I3179" s="17"/>
      <c r="J3179" s="17" t="s">
        <v>693</v>
      </c>
      <c r="K3179" s="17"/>
      <c r="L3179" s="17"/>
      <c r="M3179" s="17"/>
      <c r="N3179" s="17"/>
      <c r="O3179" s="17" t="s">
        <v>5712</v>
      </c>
      <c r="P3179" s="17" t="s">
        <v>5713</v>
      </c>
      <c r="Q3179" s="17"/>
      <c r="R3179" s="25" t="str">
        <f>HYPERLINK("https://ictv.global/taxonomy/taxondetails?taxnode_id=202314844","Basiliskvirus basilisk")</f>
        <v>Basiliskvirus basilisk</v>
      </c>
      <c r="S3179" s="18" t="s">
        <v>30</v>
      </c>
      <c r="T3179" s="18" t="s">
        <v>5716</v>
      </c>
      <c r="U3179" s="18"/>
      <c r="V3179" s="18"/>
      <c r="W3179" s="18" t="s">
        <v>5717</v>
      </c>
      <c r="X3179" s="18" t="s">
        <v>42</v>
      </c>
      <c r="Y3179" s="18" t="s">
        <v>36</v>
      </c>
      <c r="Z3179" s="18" t="s">
        <v>697</v>
      </c>
      <c r="AA3179" s="21" t="str">
        <f>HYPERLINK("https://www.ncbi.nlm.nih.gov/nuccore/KC595511","NCBI Nucleotide")</f>
        <v>NCBI Nucleotide</v>
      </c>
    </row>
    <row r="3180" spans="1:27" x14ac:dyDescent="0.35">
      <c r="A3180">
        <v>1004377</v>
      </c>
      <c r="B3180">
        <v>3156</v>
      </c>
      <c r="C3180">
        <v>1</v>
      </c>
      <c r="D3180" s="17" t="s">
        <v>155</v>
      </c>
      <c r="E3180" s="17"/>
      <c r="F3180" s="17" t="s">
        <v>156</v>
      </c>
      <c r="G3180" s="17"/>
      <c r="H3180" s="17" t="s">
        <v>692</v>
      </c>
      <c r="I3180" s="17"/>
      <c r="J3180" s="17" t="s">
        <v>693</v>
      </c>
      <c r="K3180" s="17"/>
      <c r="L3180" s="17"/>
      <c r="M3180" s="17"/>
      <c r="N3180" s="17"/>
      <c r="O3180" s="17" t="s">
        <v>5712</v>
      </c>
      <c r="P3180" s="17" t="s">
        <v>5718</v>
      </c>
      <c r="Q3180" s="17"/>
      <c r="R3180" s="25" t="str">
        <f>HYPERLINK("https://ictv.global/taxonomy/taxondetails?taxnode_id=202314848","Yihwangvirus BCPST")</f>
        <v>Yihwangvirus BCPST</v>
      </c>
      <c r="S3180" s="18" t="s">
        <v>30</v>
      </c>
      <c r="T3180" s="18" t="s">
        <v>5719</v>
      </c>
      <c r="U3180" s="18"/>
      <c r="V3180" s="18"/>
      <c r="W3180" s="18" t="s">
        <v>5720</v>
      </c>
      <c r="X3180" s="18" t="s">
        <v>42</v>
      </c>
      <c r="Y3180" s="18" t="s">
        <v>36</v>
      </c>
      <c r="Z3180" s="18" t="s">
        <v>697</v>
      </c>
      <c r="AA3180" s="21" t="str">
        <f>HYPERLINK("https://www.ncbi.nlm.nih.gov/nuccore/MW392802","NCBI Nucleotide")</f>
        <v>NCBI Nucleotide</v>
      </c>
    </row>
    <row r="3181" spans="1:27" x14ac:dyDescent="0.35">
      <c r="A3181">
        <v>1004378</v>
      </c>
      <c r="B3181">
        <v>3157</v>
      </c>
      <c r="C3181">
        <v>1</v>
      </c>
      <c r="D3181" s="17" t="s">
        <v>155</v>
      </c>
      <c r="E3181" s="17"/>
      <c r="F3181" s="17" t="s">
        <v>156</v>
      </c>
      <c r="G3181" s="17"/>
      <c r="H3181" s="17" t="s">
        <v>692</v>
      </c>
      <c r="I3181" s="17"/>
      <c r="J3181" s="17" t="s">
        <v>693</v>
      </c>
      <c r="K3181" s="17"/>
      <c r="L3181" s="17"/>
      <c r="M3181" s="17"/>
      <c r="N3181" s="17"/>
      <c r="O3181" s="17" t="s">
        <v>5712</v>
      </c>
      <c r="P3181" s="17" t="s">
        <v>5718</v>
      </c>
      <c r="Q3181" s="17"/>
      <c r="R3181" s="25" t="str">
        <f>HYPERLINK("https://ictv.global/taxonomy/taxondetails?taxnode_id=202314846","Yihwangvirus PBC4")</f>
        <v>Yihwangvirus PBC4</v>
      </c>
      <c r="S3181" s="18" t="s">
        <v>30</v>
      </c>
      <c r="T3181" s="18" t="s">
        <v>5721</v>
      </c>
      <c r="U3181" s="18"/>
      <c r="V3181" s="18"/>
      <c r="W3181" s="18" t="s">
        <v>5722</v>
      </c>
      <c r="X3181" s="18" t="s">
        <v>42</v>
      </c>
      <c r="Y3181" s="18" t="s">
        <v>36</v>
      </c>
      <c r="Z3181" s="18" t="s">
        <v>697</v>
      </c>
      <c r="AA3181" s="21" t="str">
        <f>HYPERLINK("https://www.ncbi.nlm.nih.gov/nuccore/KT070866","NCBI Nucleotide")</f>
        <v>NCBI Nucleotide</v>
      </c>
    </row>
    <row r="3182" spans="1:27" x14ac:dyDescent="0.35">
      <c r="A3182">
        <v>1004379</v>
      </c>
      <c r="B3182">
        <v>3158</v>
      </c>
      <c r="C3182">
        <v>1</v>
      </c>
      <c r="D3182" s="17" t="s">
        <v>155</v>
      </c>
      <c r="E3182" s="17"/>
      <c r="F3182" s="17" t="s">
        <v>156</v>
      </c>
      <c r="G3182" s="17"/>
      <c r="H3182" s="17" t="s">
        <v>692</v>
      </c>
      <c r="I3182" s="17"/>
      <c r="J3182" s="17" t="s">
        <v>693</v>
      </c>
      <c r="K3182" s="17"/>
      <c r="L3182" s="17"/>
      <c r="M3182" s="17"/>
      <c r="N3182" s="17"/>
      <c r="O3182" s="17" t="s">
        <v>5712</v>
      </c>
      <c r="P3182" s="17" t="s">
        <v>5718</v>
      </c>
      <c r="Q3182" s="17"/>
      <c r="R3182" s="25" t="str">
        <f>HYPERLINK("https://ictv.global/taxonomy/taxondetails?taxnode_id=202314847","Yihwangvirus pW4")</f>
        <v>Yihwangvirus pW4</v>
      </c>
      <c r="S3182" s="18" t="s">
        <v>30</v>
      </c>
      <c r="T3182" s="18" t="s">
        <v>5723</v>
      </c>
      <c r="U3182" s="18"/>
      <c r="V3182" s="18"/>
      <c r="W3182" s="18" t="s">
        <v>5724</v>
      </c>
      <c r="X3182" s="18" t="s">
        <v>42</v>
      </c>
      <c r="Y3182" s="18" t="s">
        <v>36</v>
      </c>
      <c r="Z3182" s="18" t="s">
        <v>697</v>
      </c>
      <c r="AA3182" s="21" t="str">
        <f>HYPERLINK("https://www.ncbi.nlm.nih.gov/nuccore/MK288022","NCBI Nucleotide")</f>
        <v>NCBI Nucleotide</v>
      </c>
    </row>
    <row r="3183" spans="1:27" x14ac:dyDescent="0.35">
      <c r="A3183">
        <v>1004380</v>
      </c>
      <c r="B3183">
        <v>3159</v>
      </c>
      <c r="C3183">
        <v>1</v>
      </c>
      <c r="D3183" s="17" t="s">
        <v>155</v>
      </c>
      <c r="E3183" s="17"/>
      <c r="F3183" s="17" t="s">
        <v>156</v>
      </c>
      <c r="G3183" s="17"/>
      <c r="H3183" s="17" t="s">
        <v>692</v>
      </c>
      <c r="I3183" s="17"/>
      <c r="J3183" s="17" t="s">
        <v>693</v>
      </c>
      <c r="K3183" s="17"/>
      <c r="L3183" s="17"/>
      <c r="M3183" s="17"/>
      <c r="N3183" s="17"/>
      <c r="O3183" s="17" t="s">
        <v>5725</v>
      </c>
      <c r="P3183" s="17" t="s">
        <v>5726</v>
      </c>
      <c r="Q3183" s="17"/>
      <c r="R3183" s="25" t="str">
        <f>HYPERLINK("https://ictv.global/taxonomy/taxondetails?taxnode_id=202300613","Diegovirus dv7502Stx")</f>
        <v>Diegovirus dv7502Stx</v>
      </c>
      <c r="S3183" s="18" t="s">
        <v>30</v>
      </c>
      <c r="T3183" s="18" t="s">
        <v>5727</v>
      </c>
      <c r="U3183" s="18"/>
      <c r="V3183" s="18"/>
      <c r="W3183" s="18" t="s">
        <v>5728</v>
      </c>
      <c r="X3183" s="18" t="s">
        <v>42</v>
      </c>
      <c r="Y3183" s="18" t="s">
        <v>36</v>
      </c>
      <c r="Z3183" s="18" t="s">
        <v>697</v>
      </c>
      <c r="AA3183" s="21" t="str">
        <f>HYPERLINK("https://www.ncbi.nlm.nih.gov/nuccore/KF766125","NCBI Nucleotide")</f>
        <v>NCBI Nucleotide</v>
      </c>
    </row>
    <row r="3184" spans="1:27" x14ac:dyDescent="0.35">
      <c r="A3184">
        <v>1004381</v>
      </c>
      <c r="B3184">
        <v>3160</v>
      </c>
      <c r="C3184">
        <v>1</v>
      </c>
      <c r="D3184" s="17" t="s">
        <v>155</v>
      </c>
      <c r="E3184" s="17"/>
      <c r="F3184" s="17" t="s">
        <v>156</v>
      </c>
      <c r="G3184" s="17"/>
      <c r="H3184" s="17" t="s">
        <v>692</v>
      </c>
      <c r="I3184" s="17"/>
      <c r="J3184" s="17" t="s">
        <v>693</v>
      </c>
      <c r="K3184" s="17"/>
      <c r="L3184" s="17"/>
      <c r="M3184" s="17"/>
      <c r="N3184" s="17"/>
      <c r="O3184" s="17" t="s">
        <v>5725</v>
      </c>
      <c r="P3184" s="17" t="s">
        <v>5726</v>
      </c>
      <c r="Q3184" s="17"/>
      <c r="R3184" s="25" t="str">
        <f>HYPERLINK("https://ictv.global/taxonomy/taxondetails?taxnode_id=202300614","Diegovirus POCJ13")</f>
        <v>Diegovirus POCJ13</v>
      </c>
      <c r="S3184" s="18" t="s">
        <v>30</v>
      </c>
      <c r="T3184" s="18" t="s">
        <v>5729</v>
      </c>
      <c r="U3184" s="18"/>
      <c r="V3184" s="18"/>
      <c r="W3184" s="18" t="s">
        <v>5730</v>
      </c>
      <c r="X3184" s="18" t="s">
        <v>42</v>
      </c>
      <c r="Y3184" s="18" t="s">
        <v>36</v>
      </c>
      <c r="Z3184" s="18" t="s">
        <v>697</v>
      </c>
      <c r="AA3184" s="21" t="str">
        <f>HYPERLINK("https://www.ncbi.nlm.nih.gov/nuccore/KJ603229","NCBI Nucleotide")</f>
        <v>NCBI Nucleotide</v>
      </c>
    </row>
    <row r="3185" spans="1:27" x14ac:dyDescent="0.35">
      <c r="A3185">
        <v>1004382</v>
      </c>
      <c r="B3185">
        <v>3161</v>
      </c>
      <c r="C3185">
        <v>1</v>
      </c>
      <c r="D3185" s="17" t="s">
        <v>155</v>
      </c>
      <c r="E3185" s="17"/>
      <c r="F3185" s="17" t="s">
        <v>156</v>
      </c>
      <c r="G3185" s="17"/>
      <c r="H3185" s="17" t="s">
        <v>692</v>
      </c>
      <c r="I3185" s="17"/>
      <c r="J3185" s="17" t="s">
        <v>693</v>
      </c>
      <c r="K3185" s="17"/>
      <c r="L3185" s="17"/>
      <c r="M3185" s="17"/>
      <c r="N3185" s="17"/>
      <c r="O3185" s="17" t="s">
        <v>5725</v>
      </c>
      <c r="P3185" s="17" t="s">
        <v>5731</v>
      </c>
      <c r="Q3185" s="17"/>
      <c r="R3185" s="25" t="str">
        <f>HYPERLINK("https://ictv.global/taxonomy/taxondetails?taxnode_id=202311846","Oslovirus ArgO145")</f>
        <v>Oslovirus ArgO145</v>
      </c>
      <c r="S3185" s="18" t="s">
        <v>30</v>
      </c>
      <c r="T3185" s="18" t="s">
        <v>5732</v>
      </c>
      <c r="U3185" s="18"/>
      <c r="V3185" s="18"/>
      <c r="W3185" s="18" t="s">
        <v>5733</v>
      </c>
      <c r="X3185" s="18" t="s">
        <v>42</v>
      </c>
      <c r="Y3185" s="18" t="s">
        <v>36</v>
      </c>
      <c r="Z3185" s="18" t="s">
        <v>697</v>
      </c>
      <c r="AA3185" s="21" t="str">
        <f>HYPERLINK("https://www.ncbi.nlm.nih.gov/nuccore/KY914478","NCBI Nucleotide")</f>
        <v>NCBI Nucleotide</v>
      </c>
    </row>
    <row r="3186" spans="1:27" x14ac:dyDescent="0.35">
      <c r="A3186">
        <v>1004383</v>
      </c>
      <c r="B3186">
        <v>3162</v>
      </c>
      <c r="C3186">
        <v>1</v>
      </c>
      <c r="D3186" s="17" t="s">
        <v>155</v>
      </c>
      <c r="E3186" s="17"/>
      <c r="F3186" s="17" t="s">
        <v>156</v>
      </c>
      <c r="G3186" s="17"/>
      <c r="H3186" s="17" t="s">
        <v>692</v>
      </c>
      <c r="I3186" s="17"/>
      <c r="J3186" s="17" t="s">
        <v>693</v>
      </c>
      <c r="K3186" s="17"/>
      <c r="L3186" s="17"/>
      <c r="M3186" s="17"/>
      <c r="N3186" s="17"/>
      <c r="O3186" s="17" t="s">
        <v>5725</v>
      </c>
      <c r="P3186" s="17" t="s">
        <v>5731</v>
      </c>
      <c r="Q3186" s="17"/>
      <c r="R3186" s="25" t="str">
        <f>HYPERLINK("https://ictv.global/taxonomy/taxondetails?taxnode_id=202311845","Oslovirus Lyz12581Vzw")</f>
        <v>Oslovirus Lyz12581Vzw</v>
      </c>
      <c r="S3186" s="18" t="s">
        <v>30</v>
      </c>
      <c r="T3186" s="18" t="s">
        <v>5734</v>
      </c>
      <c r="U3186" s="18"/>
      <c r="V3186" s="18"/>
      <c r="W3186" s="18" t="s">
        <v>5735</v>
      </c>
      <c r="X3186" s="18" t="s">
        <v>42</v>
      </c>
      <c r="Y3186" s="18" t="s">
        <v>36</v>
      </c>
      <c r="Z3186" s="18" t="s">
        <v>697</v>
      </c>
      <c r="AA3186" s="21" t="str">
        <f>HYPERLINK("https://www.ncbi.nlm.nih.gov/nuccore/MN067333","NCBI Nucleotide")</f>
        <v>NCBI Nucleotide</v>
      </c>
    </row>
    <row r="3187" spans="1:27" x14ac:dyDescent="0.35">
      <c r="A3187">
        <v>1004384</v>
      </c>
      <c r="B3187">
        <v>3163</v>
      </c>
      <c r="C3187">
        <v>1</v>
      </c>
      <c r="D3187" s="17" t="s">
        <v>155</v>
      </c>
      <c r="E3187" s="17"/>
      <c r="F3187" s="17" t="s">
        <v>156</v>
      </c>
      <c r="G3187" s="17"/>
      <c r="H3187" s="17" t="s">
        <v>692</v>
      </c>
      <c r="I3187" s="17"/>
      <c r="J3187" s="17" t="s">
        <v>693</v>
      </c>
      <c r="K3187" s="17"/>
      <c r="L3187" s="17"/>
      <c r="M3187" s="17"/>
      <c r="N3187" s="17"/>
      <c r="O3187" s="17" t="s">
        <v>5725</v>
      </c>
      <c r="P3187" s="17" t="s">
        <v>5731</v>
      </c>
      <c r="Q3187" s="17"/>
      <c r="R3187" s="25" t="str">
        <f>HYPERLINK("https://ictv.global/taxonomy/taxondetails?taxnode_id=202300616","Oslovirus ov191")</f>
        <v>Oslovirus ov191</v>
      </c>
      <c r="S3187" s="18" t="s">
        <v>30</v>
      </c>
      <c r="T3187" s="18" t="s">
        <v>5736</v>
      </c>
      <c r="U3187" s="18"/>
      <c r="V3187" s="18"/>
      <c r="W3187" s="18" t="s">
        <v>5737</v>
      </c>
      <c r="X3187" s="18" t="s">
        <v>42</v>
      </c>
      <c r="Y3187" s="18" t="s">
        <v>36</v>
      </c>
      <c r="Z3187" s="18" t="s">
        <v>697</v>
      </c>
      <c r="AA3187" s="21" t="str">
        <f>HYPERLINK("https://www.ncbi.nlm.nih.gov/nuccore/KF971864","NCBI Nucleotide")</f>
        <v>NCBI Nucleotide</v>
      </c>
    </row>
    <row r="3188" spans="1:27" x14ac:dyDescent="0.35">
      <c r="A3188">
        <v>1004385</v>
      </c>
      <c r="B3188">
        <v>3164</v>
      </c>
      <c r="C3188">
        <v>1</v>
      </c>
      <c r="D3188" s="17" t="s">
        <v>155</v>
      </c>
      <c r="E3188" s="17"/>
      <c r="F3188" s="17" t="s">
        <v>156</v>
      </c>
      <c r="G3188" s="17"/>
      <c r="H3188" s="17" t="s">
        <v>692</v>
      </c>
      <c r="I3188" s="17"/>
      <c r="J3188" s="17" t="s">
        <v>693</v>
      </c>
      <c r="K3188" s="17"/>
      <c r="L3188" s="17"/>
      <c r="M3188" s="17"/>
      <c r="N3188" s="17"/>
      <c r="O3188" s="17" t="s">
        <v>5725</v>
      </c>
      <c r="P3188" s="17" t="s">
        <v>5731</v>
      </c>
      <c r="Q3188" s="17"/>
      <c r="R3188" s="25" t="str">
        <f>HYPERLINK("https://ictv.global/taxonomy/taxondetails?taxnode_id=202300617","Oslovirus PA2")</f>
        <v>Oslovirus PA2</v>
      </c>
      <c r="S3188" s="18" t="s">
        <v>30</v>
      </c>
      <c r="T3188" s="18" t="s">
        <v>5738</v>
      </c>
      <c r="U3188" s="18"/>
      <c r="V3188" s="18"/>
      <c r="W3188" s="18" t="s">
        <v>5739</v>
      </c>
      <c r="X3188" s="18" t="s">
        <v>42</v>
      </c>
      <c r="Y3188" s="18" t="s">
        <v>36</v>
      </c>
      <c r="Z3188" s="18" t="s">
        <v>697</v>
      </c>
      <c r="AA3188" s="21" t="str">
        <f>HYPERLINK("https://www.ncbi.nlm.nih.gov/nuccore/KP682371","NCBI Nucleotide")</f>
        <v>NCBI Nucleotide</v>
      </c>
    </row>
    <row r="3189" spans="1:27" x14ac:dyDescent="0.35">
      <c r="A3189">
        <v>1004386</v>
      </c>
      <c r="B3189">
        <v>3165</v>
      </c>
      <c r="C3189">
        <v>1</v>
      </c>
      <c r="D3189" s="17" t="s">
        <v>155</v>
      </c>
      <c r="E3189" s="17"/>
      <c r="F3189" s="17" t="s">
        <v>156</v>
      </c>
      <c r="G3189" s="17"/>
      <c r="H3189" s="17" t="s">
        <v>692</v>
      </c>
      <c r="I3189" s="17"/>
      <c r="J3189" s="17" t="s">
        <v>693</v>
      </c>
      <c r="K3189" s="17"/>
      <c r="L3189" s="17"/>
      <c r="M3189" s="17"/>
      <c r="N3189" s="17"/>
      <c r="O3189" s="17" t="s">
        <v>5725</v>
      </c>
      <c r="P3189" s="17" t="s">
        <v>5731</v>
      </c>
      <c r="Q3189" s="17"/>
      <c r="R3189" s="25" t="str">
        <f>HYPERLINK("https://ictv.global/taxonomy/taxondetails?taxnode_id=202300618","Oslovirus TL2011")</f>
        <v>Oslovirus TL2011</v>
      </c>
      <c r="S3189" s="18" t="s">
        <v>30</v>
      </c>
      <c r="T3189" s="18" t="s">
        <v>5740</v>
      </c>
      <c r="U3189" s="18"/>
      <c r="V3189" s="18"/>
      <c r="W3189" s="18" t="s">
        <v>5741</v>
      </c>
      <c r="X3189" s="18" t="s">
        <v>42</v>
      </c>
      <c r="Y3189" s="18" t="s">
        <v>36</v>
      </c>
      <c r="Z3189" s="18" t="s">
        <v>697</v>
      </c>
      <c r="AA3189" s="21" t="str">
        <f>HYPERLINK("https://www.ncbi.nlm.nih.gov/nuccore/JQ011318","NCBI Nucleotide")</f>
        <v>NCBI Nucleotide</v>
      </c>
    </row>
    <row r="3190" spans="1:27" x14ac:dyDescent="0.35">
      <c r="A3190">
        <v>1004387</v>
      </c>
      <c r="B3190">
        <v>3166</v>
      </c>
      <c r="C3190">
        <v>1</v>
      </c>
      <c r="D3190" s="17" t="s">
        <v>155</v>
      </c>
      <c r="E3190" s="17"/>
      <c r="F3190" s="17" t="s">
        <v>156</v>
      </c>
      <c r="G3190" s="17"/>
      <c r="H3190" s="17" t="s">
        <v>692</v>
      </c>
      <c r="I3190" s="17"/>
      <c r="J3190" s="17" t="s">
        <v>693</v>
      </c>
      <c r="K3190" s="17"/>
      <c r="L3190" s="17"/>
      <c r="M3190" s="17"/>
      <c r="N3190" s="17"/>
      <c r="O3190" s="17" t="s">
        <v>5725</v>
      </c>
      <c r="P3190" s="17" t="s">
        <v>5731</v>
      </c>
      <c r="Q3190" s="17"/>
      <c r="R3190" s="25" t="str">
        <f>HYPERLINK("https://ictv.global/taxonomy/taxondetails?taxnode_id=202300619","Oslovirus VASD")</f>
        <v>Oslovirus VASD</v>
      </c>
      <c r="S3190" s="18" t="s">
        <v>30</v>
      </c>
      <c r="T3190" s="18" t="s">
        <v>5742</v>
      </c>
      <c r="U3190" s="18"/>
      <c r="V3190" s="18"/>
      <c r="W3190" s="18" t="s">
        <v>5743</v>
      </c>
      <c r="X3190" s="18" t="s">
        <v>42</v>
      </c>
      <c r="Y3190" s="18" t="s">
        <v>36</v>
      </c>
      <c r="Z3190" s="18" t="s">
        <v>697</v>
      </c>
      <c r="AA3190" s="21" t="str">
        <f>HYPERLINK("https://www.ncbi.nlm.nih.gov/nuccore/KR781488","NCBI Nucleotide")</f>
        <v>NCBI Nucleotide</v>
      </c>
    </row>
    <row r="3191" spans="1:27" x14ac:dyDescent="0.35">
      <c r="A3191">
        <v>1004388</v>
      </c>
      <c r="B3191">
        <v>3167</v>
      </c>
      <c r="C3191">
        <v>1</v>
      </c>
      <c r="D3191" s="17" t="s">
        <v>155</v>
      </c>
      <c r="E3191" s="17"/>
      <c r="F3191" s="17" t="s">
        <v>156</v>
      </c>
      <c r="G3191" s="17"/>
      <c r="H3191" s="17" t="s">
        <v>692</v>
      </c>
      <c r="I3191" s="17"/>
      <c r="J3191" s="17" t="s">
        <v>693</v>
      </c>
      <c r="K3191" s="17"/>
      <c r="L3191" s="17"/>
      <c r="M3191" s="17"/>
      <c r="N3191" s="17"/>
      <c r="O3191" s="17" t="s">
        <v>5725</v>
      </c>
      <c r="P3191" s="17" t="s">
        <v>5744</v>
      </c>
      <c r="Q3191" s="17"/>
      <c r="R3191" s="25" t="str">
        <f>HYPERLINK("https://ictv.global/taxonomy/taxondetails?taxnode_id=202311849","Traversvirus AU5Stx1")</f>
        <v>Traversvirus AU5Stx1</v>
      </c>
      <c r="S3191" s="18" t="s">
        <v>30</v>
      </c>
      <c r="T3191" s="18" t="s">
        <v>5745</v>
      </c>
      <c r="U3191" s="18"/>
      <c r="V3191" s="18"/>
      <c r="W3191" s="18" t="s">
        <v>5746</v>
      </c>
      <c r="X3191" s="18" t="s">
        <v>42</v>
      </c>
      <c r="Y3191" s="18" t="s">
        <v>36</v>
      </c>
      <c r="Z3191" s="18" t="s">
        <v>697</v>
      </c>
      <c r="AA3191" s="21" t="str">
        <f>HYPERLINK("https://www.ncbi.nlm.nih.gov/nuccore/KU977419","NCBI Nucleotide")</f>
        <v>NCBI Nucleotide</v>
      </c>
    </row>
    <row r="3192" spans="1:27" x14ac:dyDescent="0.35">
      <c r="A3192">
        <v>1004389</v>
      </c>
      <c r="B3192">
        <v>3168</v>
      </c>
      <c r="C3192">
        <v>1</v>
      </c>
      <c r="D3192" s="17" t="s">
        <v>155</v>
      </c>
      <c r="E3192" s="17"/>
      <c r="F3192" s="17" t="s">
        <v>156</v>
      </c>
      <c r="G3192" s="17"/>
      <c r="H3192" s="17" t="s">
        <v>692</v>
      </c>
      <c r="I3192" s="17"/>
      <c r="J3192" s="17" t="s">
        <v>693</v>
      </c>
      <c r="K3192" s="17"/>
      <c r="L3192" s="17"/>
      <c r="M3192" s="17"/>
      <c r="N3192" s="17"/>
      <c r="O3192" s="17" t="s">
        <v>5725</v>
      </c>
      <c r="P3192" s="17" t="s">
        <v>5744</v>
      </c>
      <c r="Q3192" s="17"/>
      <c r="R3192" s="25" t="str">
        <f>HYPERLINK("https://ictv.global/taxonomy/taxondetails?taxnode_id=202311850","Traversvirus AU6Stx1")</f>
        <v>Traversvirus AU6Stx1</v>
      </c>
      <c r="S3192" s="18" t="s">
        <v>30</v>
      </c>
      <c r="T3192" s="18" t="s">
        <v>5747</v>
      </c>
      <c r="U3192" s="18"/>
      <c r="V3192" s="18"/>
      <c r="W3192" s="18" t="s">
        <v>5748</v>
      </c>
      <c r="X3192" s="18" t="s">
        <v>42</v>
      </c>
      <c r="Y3192" s="18" t="s">
        <v>36</v>
      </c>
      <c r="Z3192" s="18" t="s">
        <v>697</v>
      </c>
      <c r="AA3192" s="21" t="str">
        <f>HYPERLINK("https://www.ncbi.nlm.nih.gov/nuccore/KU977420","NCBI Nucleotide")</f>
        <v>NCBI Nucleotide</v>
      </c>
    </row>
    <row r="3193" spans="1:27" x14ac:dyDescent="0.35">
      <c r="A3193">
        <v>1004390</v>
      </c>
      <c r="B3193">
        <v>3169</v>
      </c>
      <c r="C3193">
        <v>1</v>
      </c>
      <c r="D3193" s="17" t="s">
        <v>155</v>
      </c>
      <c r="E3193" s="17"/>
      <c r="F3193" s="17" t="s">
        <v>156</v>
      </c>
      <c r="G3193" s="17"/>
      <c r="H3193" s="17" t="s">
        <v>692</v>
      </c>
      <c r="I3193" s="17"/>
      <c r="J3193" s="17" t="s">
        <v>693</v>
      </c>
      <c r="K3193" s="17"/>
      <c r="L3193" s="17"/>
      <c r="M3193" s="17"/>
      <c r="N3193" s="17"/>
      <c r="O3193" s="17" t="s">
        <v>5725</v>
      </c>
      <c r="P3193" s="17" t="s">
        <v>5744</v>
      </c>
      <c r="Q3193" s="17"/>
      <c r="R3193" s="25" t="str">
        <f>HYPERLINK("https://ictv.global/taxonomy/taxondetails?taxnode_id=202311853","Traversvirus F451")</f>
        <v>Traversvirus F451</v>
      </c>
      <c r="S3193" s="18" t="s">
        <v>30</v>
      </c>
      <c r="T3193" s="18" t="s">
        <v>5749</v>
      </c>
      <c r="U3193" s="18"/>
      <c r="V3193" s="18"/>
      <c r="W3193" s="18" t="s">
        <v>5750</v>
      </c>
      <c r="X3193" s="18" t="s">
        <v>42</v>
      </c>
      <c r="Y3193" s="18" t="s">
        <v>36</v>
      </c>
      <c r="Z3193" s="18" t="s">
        <v>697</v>
      </c>
      <c r="AA3193" s="21" t="str">
        <f>HYPERLINK("https://www.ncbi.nlm.nih.gov/nuccore/AP012532","NCBI Nucleotide")</f>
        <v>NCBI Nucleotide</v>
      </c>
    </row>
    <row r="3194" spans="1:27" x14ac:dyDescent="0.35">
      <c r="A3194">
        <v>1004391</v>
      </c>
      <c r="B3194">
        <v>3170</v>
      </c>
      <c r="C3194">
        <v>1</v>
      </c>
      <c r="D3194" s="17" t="s">
        <v>155</v>
      </c>
      <c r="E3194" s="17"/>
      <c r="F3194" s="17" t="s">
        <v>156</v>
      </c>
      <c r="G3194" s="17"/>
      <c r="H3194" s="17" t="s">
        <v>692</v>
      </c>
      <c r="I3194" s="17"/>
      <c r="J3194" s="17" t="s">
        <v>693</v>
      </c>
      <c r="K3194" s="17"/>
      <c r="L3194" s="17"/>
      <c r="M3194" s="17"/>
      <c r="N3194" s="17"/>
      <c r="O3194" s="17" t="s">
        <v>5725</v>
      </c>
      <c r="P3194" s="17" t="s">
        <v>5744</v>
      </c>
      <c r="Q3194" s="17"/>
      <c r="R3194" s="25" t="str">
        <f>HYPERLINK("https://ictv.global/taxonomy/taxondetails?taxnode_id=202300611","Traversvirus II")</f>
        <v>Traversvirus II</v>
      </c>
      <c r="S3194" s="18" t="s">
        <v>30</v>
      </c>
      <c r="T3194" s="18" t="s">
        <v>5751</v>
      </c>
      <c r="U3194" s="18"/>
      <c r="V3194" s="18"/>
      <c r="W3194" s="18" t="s">
        <v>5752</v>
      </c>
      <c r="X3194" s="18" t="s">
        <v>42</v>
      </c>
      <c r="Y3194" s="18" t="s">
        <v>36</v>
      </c>
      <c r="Z3194" s="18" t="s">
        <v>697</v>
      </c>
      <c r="AA3194" s="21" t="str">
        <f>HYPERLINK("https://www.ncbi.nlm.nih.gov/nuccore/AP005154","NCBI Nucleotide")</f>
        <v>NCBI Nucleotide</v>
      </c>
    </row>
    <row r="3195" spans="1:27" x14ac:dyDescent="0.35">
      <c r="A3195">
        <v>1004392</v>
      </c>
      <c r="B3195">
        <v>3171</v>
      </c>
      <c r="C3195">
        <v>1</v>
      </c>
      <c r="D3195" s="17" t="s">
        <v>155</v>
      </c>
      <c r="E3195" s="17"/>
      <c r="F3195" s="17" t="s">
        <v>156</v>
      </c>
      <c r="G3195" s="17"/>
      <c r="H3195" s="17" t="s">
        <v>692</v>
      </c>
      <c r="I3195" s="17"/>
      <c r="J3195" s="17" t="s">
        <v>693</v>
      </c>
      <c r="K3195" s="17"/>
      <c r="L3195" s="17"/>
      <c r="M3195" s="17"/>
      <c r="N3195" s="17"/>
      <c r="O3195" s="17" t="s">
        <v>5725</v>
      </c>
      <c r="P3195" s="17" t="s">
        <v>5744</v>
      </c>
      <c r="Q3195" s="17"/>
      <c r="R3195" s="25" t="str">
        <f>HYPERLINK("https://ictv.global/taxonomy/taxondetails?taxnode_id=202300609","Traversvirus min27")</f>
        <v>Traversvirus min27</v>
      </c>
      <c r="S3195" s="18" t="s">
        <v>30</v>
      </c>
      <c r="T3195" s="18" t="s">
        <v>5753</v>
      </c>
      <c r="U3195" s="18"/>
      <c r="V3195" s="18"/>
      <c r="W3195" s="18" t="s">
        <v>5754</v>
      </c>
      <c r="X3195" s="18" t="s">
        <v>42</v>
      </c>
      <c r="Y3195" s="18" t="s">
        <v>36</v>
      </c>
      <c r="Z3195" s="18" t="s">
        <v>697</v>
      </c>
      <c r="AA3195" s="21" t="str">
        <f>HYPERLINK("https://www.ncbi.nlm.nih.gov/nuccore/EU311208","NCBI Nucleotide")</f>
        <v>NCBI Nucleotide</v>
      </c>
    </row>
    <row r="3196" spans="1:27" x14ac:dyDescent="0.35">
      <c r="A3196">
        <v>1004393</v>
      </c>
      <c r="B3196">
        <v>3172</v>
      </c>
      <c r="C3196">
        <v>1</v>
      </c>
      <c r="D3196" s="17" t="s">
        <v>155</v>
      </c>
      <c r="E3196" s="17"/>
      <c r="F3196" s="17" t="s">
        <v>156</v>
      </c>
      <c r="G3196" s="17"/>
      <c r="H3196" s="17" t="s">
        <v>692</v>
      </c>
      <c r="I3196" s="17"/>
      <c r="J3196" s="17" t="s">
        <v>693</v>
      </c>
      <c r="K3196" s="17"/>
      <c r="L3196" s="17"/>
      <c r="M3196" s="17"/>
      <c r="N3196" s="17"/>
      <c r="O3196" s="17" t="s">
        <v>5725</v>
      </c>
      <c r="P3196" s="17" t="s">
        <v>5744</v>
      </c>
      <c r="Q3196" s="17"/>
      <c r="R3196" s="25" t="str">
        <f>HYPERLINK("https://ictv.global/taxonomy/taxondetails?taxnode_id=202311854","Traversvirus P27")</f>
        <v>Traversvirus P27</v>
      </c>
      <c r="S3196" s="18" t="s">
        <v>30</v>
      </c>
      <c r="T3196" s="18" t="s">
        <v>5755</v>
      </c>
      <c r="U3196" s="18"/>
      <c r="V3196" s="18"/>
      <c r="W3196" s="18" t="s">
        <v>5756</v>
      </c>
      <c r="X3196" s="18" t="s">
        <v>42</v>
      </c>
      <c r="Y3196" s="18" t="s">
        <v>36</v>
      </c>
      <c r="Z3196" s="18" t="s">
        <v>697</v>
      </c>
      <c r="AA3196" s="21" t="str">
        <f>HYPERLINK("https://www.ncbi.nlm.nih.gov/nuccore/KU238067","NCBI Nucleotide")</f>
        <v>NCBI Nucleotide</v>
      </c>
    </row>
    <row r="3197" spans="1:27" x14ac:dyDescent="0.35">
      <c r="A3197">
        <v>1004394</v>
      </c>
      <c r="B3197">
        <v>3173</v>
      </c>
      <c r="C3197">
        <v>1</v>
      </c>
      <c r="D3197" s="17" t="s">
        <v>155</v>
      </c>
      <c r="E3197" s="17"/>
      <c r="F3197" s="17" t="s">
        <v>156</v>
      </c>
      <c r="G3197" s="17"/>
      <c r="H3197" s="17" t="s">
        <v>692</v>
      </c>
      <c r="I3197" s="17"/>
      <c r="J3197" s="17" t="s">
        <v>693</v>
      </c>
      <c r="K3197" s="17"/>
      <c r="L3197" s="17"/>
      <c r="M3197" s="17"/>
      <c r="N3197" s="17"/>
      <c r="O3197" s="17" t="s">
        <v>5725</v>
      </c>
      <c r="P3197" s="17" t="s">
        <v>5744</v>
      </c>
      <c r="Q3197" s="17"/>
      <c r="R3197" s="25" t="str">
        <f>HYPERLINK("https://ictv.global/taxonomy/taxondetails?taxnode_id=202300610","Traversvirus PA28")</f>
        <v>Traversvirus PA28</v>
      </c>
      <c r="S3197" s="18" t="s">
        <v>30</v>
      </c>
      <c r="T3197" s="18" t="s">
        <v>5757</v>
      </c>
      <c r="U3197" s="18"/>
      <c r="V3197" s="18"/>
      <c r="W3197" s="18" t="s">
        <v>5758</v>
      </c>
      <c r="X3197" s="18" t="s">
        <v>42</v>
      </c>
      <c r="Y3197" s="18" t="s">
        <v>36</v>
      </c>
      <c r="Z3197" s="18" t="s">
        <v>697</v>
      </c>
      <c r="AA3197" s="21" t="str">
        <f>HYPERLINK("https://www.ncbi.nlm.nih.gov/nuccore/KP682381","NCBI Nucleotide")</f>
        <v>NCBI Nucleotide</v>
      </c>
    </row>
    <row r="3198" spans="1:27" x14ac:dyDescent="0.35">
      <c r="A3198">
        <v>1004395</v>
      </c>
      <c r="B3198">
        <v>3174</v>
      </c>
      <c r="C3198">
        <v>1</v>
      </c>
      <c r="D3198" s="17" t="s">
        <v>155</v>
      </c>
      <c r="E3198" s="17"/>
      <c r="F3198" s="17" t="s">
        <v>156</v>
      </c>
      <c r="G3198" s="17"/>
      <c r="H3198" s="17" t="s">
        <v>692</v>
      </c>
      <c r="I3198" s="17"/>
      <c r="J3198" s="17" t="s">
        <v>693</v>
      </c>
      <c r="K3198" s="17"/>
      <c r="L3198" s="17"/>
      <c r="M3198" s="17"/>
      <c r="N3198" s="17"/>
      <c r="O3198" s="17" t="s">
        <v>5725</v>
      </c>
      <c r="P3198" s="17" t="s">
        <v>5744</v>
      </c>
      <c r="Q3198" s="17"/>
      <c r="R3198" s="25" t="str">
        <f>HYPERLINK("https://ictv.global/taxonomy/taxondetails?taxnode_id=202311848","Traversvirus SH2026Stx1")</f>
        <v>Traversvirus SH2026Stx1</v>
      </c>
      <c r="S3198" s="18" t="s">
        <v>30</v>
      </c>
      <c r="T3198" s="18" t="s">
        <v>5759</v>
      </c>
      <c r="U3198" s="18"/>
      <c r="V3198" s="18"/>
      <c r="W3198" s="18" t="s">
        <v>5760</v>
      </c>
      <c r="X3198" s="18" t="s">
        <v>42</v>
      </c>
      <c r="Y3198" s="18" t="s">
        <v>36</v>
      </c>
      <c r="Z3198" s="18" t="s">
        <v>697</v>
      </c>
      <c r="AA3198" s="21" t="str">
        <f>HYPERLINK("https://www.ncbi.nlm.nih.gov/nuccore/MG986485","NCBI Nucleotide")</f>
        <v>NCBI Nucleotide</v>
      </c>
    </row>
    <row r="3199" spans="1:27" x14ac:dyDescent="0.35">
      <c r="A3199">
        <v>1004396</v>
      </c>
      <c r="B3199">
        <v>3175</v>
      </c>
      <c r="C3199">
        <v>1</v>
      </c>
      <c r="D3199" s="17" t="s">
        <v>155</v>
      </c>
      <c r="E3199" s="17"/>
      <c r="F3199" s="17" t="s">
        <v>156</v>
      </c>
      <c r="G3199" s="17"/>
      <c r="H3199" s="17" t="s">
        <v>692</v>
      </c>
      <c r="I3199" s="17"/>
      <c r="J3199" s="17" t="s">
        <v>693</v>
      </c>
      <c r="K3199" s="17"/>
      <c r="L3199" s="17"/>
      <c r="M3199" s="17"/>
      <c r="N3199" s="17"/>
      <c r="O3199" s="17" t="s">
        <v>5725</v>
      </c>
      <c r="P3199" s="17" t="s">
        <v>5744</v>
      </c>
      <c r="Q3199" s="17"/>
      <c r="R3199" s="25" t="str">
        <f>HYPERLINK("https://ictv.global/taxonomy/taxondetails?taxnode_id=202311851","Traversvirus ST28624")</f>
        <v>Traversvirus ST28624</v>
      </c>
      <c r="S3199" s="18" t="s">
        <v>30</v>
      </c>
      <c r="T3199" s="18" t="s">
        <v>5761</v>
      </c>
      <c r="U3199" s="18"/>
      <c r="V3199" s="18"/>
      <c r="W3199" s="18" t="s">
        <v>5762</v>
      </c>
      <c r="X3199" s="18" t="s">
        <v>42</v>
      </c>
      <c r="Y3199" s="18" t="s">
        <v>36</v>
      </c>
      <c r="Z3199" s="18" t="s">
        <v>697</v>
      </c>
      <c r="AA3199" s="21" t="str">
        <f>HYPERLINK("https://www.ncbi.nlm.nih.gov/nuccore/KU238070","NCBI Nucleotide")</f>
        <v>NCBI Nucleotide</v>
      </c>
    </row>
    <row r="3200" spans="1:27" x14ac:dyDescent="0.35">
      <c r="A3200">
        <v>1004398</v>
      </c>
      <c r="B3200">
        <v>3176</v>
      </c>
      <c r="C3200">
        <v>1</v>
      </c>
      <c r="D3200" s="17" t="s">
        <v>155</v>
      </c>
      <c r="E3200" s="17"/>
      <c r="F3200" s="17" t="s">
        <v>156</v>
      </c>
      <c r="G3200" s="17"/>
      <c r="H3200" s="17" t="s">
        <v>692</v>
      </c>
      <c r="I3200" s="17"/>
      <c r="J3200" s="17" t="s">
        <v>693</v>
      </c>
      <c r="K3200" s="17"/>
      <c r="L3200" s="17"/>
      <c r="M3200" s="17"/>
      <c r="N3200" s="17"/>
      <c r="O3200" s="17" t="s">
        <v>5725</v>
      </c>
      <c r="P3200" s="17" t="s">
        <v>5744</v>
      </c>
      <c r="Q3200" s="17"/>
      <c r="R3200" s="25" t="str">
        <f>HYPERLINK("https://ictv.global/taxonomy/taxondetails?taxnode_id=202311847","Traversvirus tv86")</f>
        <v>Traversvirus tv86</v>
      </c>
      <c r="S3200" s="18" t="s">
        <v>30</v>
      </c>
      <c r="T3200" s="18" t="s">
        <v>5765</v>
      </c>
      <c r="U3200" s="18"/>
      <c r="V3200" s="18"/>
      <c r="W3200" s="18" t="s">
        <v>5766</v>
      </c>
      <c r="X3200" s="18" t="s">
        <v>42</v>
      </c>
      <c r="Y3200" s="18" t="s">
        <v>36</v>
      </c>
      <c r="Z3200" s="18" t="s">
        <v>697</v>
      </c>
      <c r="AA3200" s="21" t="str">
        <f>HYPERLINK("https://www.ncbi.nlm.nih.gov/nuccore/AB255436","NCBI Nucleotide")</f>
        <v>NCBI Nucleotide</v>
      </c>
    </row>
    <row r="3201" spans="1:27" x14ac:dyDescent="0.35">
      <c r="A3201">
        <v>1004397</v>
      </c>
      <c r="B3201">
        <v>3177</v>
      </c>
      <c r="C3201">
        <v>1</v>
      </c>
      <c r="D3201" s="17" t="s">
        <v>155</v>
      </c>
      <c r="E3201" s="17"/>
      <c r="F3201" s="17" t="s">
        <v>156</v>
      </c>
      <c r="G3201" s="17"/>
      <c r="H3201" s="17" t="s">
        <v>692</v>
      </c>
      <c r="I3201" s="17"/>
      <c r="J3201" s="17" t="s">
        <v>693</v>
      </c>
      <c r="K3201" s="17"/>
      <c r="L3201" s="17"/>
      <c r="M3201" s="17"/>
      <c r="N3201" s="17"/>
      <c r="O3201" s="17" t="s">
        <v>5725</v>
      </c>
      <c r="P3201" s="17" t="s">
        <v>5744</v>
      </c>
      <c r="Q3201" s="17"/>
      <c r="R3201" s="25" t="str">
        <f>HYPERLINK("https://ictv.global/taxonomy/taxondetails?taxnode_id=202300607","Traversvirus tv24B")</f>
        <v>Traversvirus tv24B</v>
      </c>
      <c r="S3201" s="18" t="s">
        <v>30</v>
      </c>
      <c r="T3201" s="18" t="s">
        <v>5763</v>
      </c>
      <c r="U3201" s="18"/>
      <c r="V3201" s="18"/>
      <c r="W3201" s="18" t="s">
        <v>5764</v>
      </c>
      <c r="X3201" s="18" t="s">
        <v>42</v>
      </c>
      <c r="Y3201" s="18" t="s">
        <v>36</v>
      </c>
      <c r="Z3201" s="18" t="s">
        <v>697</v>
      </c>
      <c r="AA3201" s="21" t="str">
        <f>HYPERLINK("https://www.ncbi.nlm.nih.gov/nuccore/HM208303","NCBI Nucleotide")</f>
        <v>NCBI Nucleotide</v>
      </c>
    </row>
    <row r="3202" spans="1:27" x14ac:dyDescent="0.35">
      <c r="A3202">
        <v>1004399</v>
      </c>
      <c r="B3202">
        <v>3178</v>
      </c>
      <c r="C3202">
        <v>1</v>
      </c>
      <c r="D3202" s="17" t="s">
        <v>155</v>
      </c>
      <c r="E3202" s="17"/>
      <c r="F3202" s="17" t="s">
        <v>156</v>
      </c>
      <c r="G3202" s="17"/>
      <c r="H3202" s="17" t="s">
        <v>692</v>
      </c>
      <c r="I3202" s="17"/>
      <c r="J3202" s="17" t="s">
        <v>693</v>
      </c>
      <c r="K3202" s="17"/>
      <c r="L3202" s="17"/>
      <c r="M3202" s="17"/>
      <c r="N3202" s="17"/>
      <c r="O3202" s="17" t="s">
        <v>5725</v>
      </c>
      <c r="P3202" s="17" t="s">
        <v>5744</v>
      </c>
      <c r="Q3202" s="17"/>
      <c r="R3202" s="25" t="str">
        <f>HYPERLINK("https://ictv.global/taxonomy/taxondetails?taxnode_id=202300608","Traversvirus tv933W")</f>
        <v>Traversvirus tv933W</v>
      </c>
      <c r="S3202" s="18" t="s">
        <v>30</v>
      </c>
      <c r="T3202" s="18" t="s">
        <v>5767</v>
      </c>
      <c r="U3202" s="18"/>
      <c r="V3202" s="18"/>
      <c r="W3202" s="18" t="s">
        <v>5768</v>
      </c>
      <c r="X3202" s="18" t="s">
        <v>42</v>
      </c>
      <c r="Y3202" s="18" t="s">
        <v>36</v>
      </c>
      <c r="Z3202" s="18" t="s">
        <v>697</v>
      </c>
      <c r="AA3202" s="21" t="str">
        <f>HYPERLINK("https://www.ncbi.nlm.nih.gov/nuccore/AF125520","NCBI Nucleotide")</f>
        <v>NCBI Nucleotide</v>
      </c>
    </row>
    <row r="3203" spans="1:27" x14ac:dyDescent="0.35">
      <c r="A3203">
        <v>1004400</v>
      </c>
      <c r="B3203">
        <v>3179</v>
      </c>
      <c r="C3203">
        <v>1</v>
      </c>
      <c r="D3203" s="17" t="s">
        <v>155</v>
      </c>
      <c r="E3203" s="17"/>
      <c r="F3203" s="17" t="s">
        <v>156</v>
      </c>
      <c r="G3203" s="17"/>
      <c r="H3203" s="17" t="s">
        <v>692</v>
      </c>
      <c r="I3203" s="17"/>
      <c r="J3203" s="17" t="s">
        <v>693</v>
      </c>
      <c r="K3203" s="17"/>
      <c r="L3203" s="17"/>
      <c r="M3203" s="17"/>
      <c r="N3203" s="17"/>
      <c r="O3203" s="17" t="s">
        <v>5725</v>
      </c>
      <c r="P3203" s="17" t="s">
        <v>5744</v>
      </c>
      <c r="Q3203" s="17"/>
      <c r="R3203" s="25" t="str">
        <f>HYPERLINK("https://ictv.global/taxonomy/taxondetails?taxnode_id=202311852","Traversvirus WGPS9")</f>
        <v>Traversvirus WGPS9</v>
      </c>
      <c r="S3203" s="18" t="s">
        <v>30</v>
      </c>
      <c r="T3203" s="18" t="s">
        <v>5769</v>
      </c>
      <c r="U3203" s="18"/>
      <c r="V3203" s="18"/>
      <c r="W3203" s="18" t="s">
        <v>5770</v>
      </c>
      <c r="X3203" s="18" t="s">
        <v>42</v>
      </c>
      <c r="Y3203" s="18" t="s">
        <v>36</v>
      </c>
      <c r="Z3203" s="18" t="s">
        <v>697</v>
      </c>
      <c r="AA3203" s="21" t="str">
        <f>HYPERLINK("https://www.ncbi.nlm.nih.gov/nuccore/AP012535","NCBI Nucleotide")</f>
        <v>NCBI Nucleotide</v>
      </c>
    </row>
    <row r="3204" spans="1:27" x14ac:dyDescent="0.35">
      <c r="A3204">
        <v>1004401</v>
      </c>
      <c r="B3204">
        <v>3180</v>
      </c>
      <c r="C3204">
        <v>1</v>
      </c>
      <c r="D3204" s="17" t="s">
        <v>155</v>
      </c>
      <c r="E3204" s="17"/>
      <c r="F3204" s="17" t="s">
        <v>156</v>
      </c>
      <c r="G3204" s="17"/>
      <c r="H3204" s="17" t="s">
        <v>692</v>
      </c>
      <c r="I3204" s="17"/>
      <c r="J3204" s="17" t="s">
        <v>693</v>
      </c>
      <c r="K3204" s="17"/>
      <c r="L3204" s="17"/>
      <c r="M3204" s="17"/>
      <c r="N3204" s="17"/>
      <c r="O3204" s="17" t="s">
        <v>5771</v>
      </c>
      <c r="P3204" s="17" t="s">
        <v>5772</v>
      </c>
      <c r="Q3204" s="17"/>
      <c r="R3204" s="25" t="str">
        <f>HYPERLINK("https://ictv.global/taxonomy/taxondetails?taxnode_id=202311866","Bembunaquatrovirus BMBtp14")</f>
        <v>Bembunaquatrovirus BMBtp14</v>
      </c>
      <c r="S3204" s="18" t="s">
        <v>30</v>
      </c>
      <c r="T3204" s="18" t="s">
        <v>5773</v>
      </c>
      <c r="U3204" s="18"/>
      <c r="V3204" s="18"/>
      <c r="W3204" s="18" t="s">
        <v>5774</v>
      </c>
      <c r="X3204" s="18" t="s">
        <v>42</v>
      </c>
      <c r="Y3204" s="18" t="s">
        <v>36</v>
      </c>
      <c r="Z3204" s="18" t="s">
        <v>697</v>
      </c>
      <c r="AA3204" s="21" t="str">
        <f>HYPERLINK("https://www.ncbi.nlm.nih.gov/nuccore/KX190833","NCBI Nucleotide")</f>
        <v>NCBI Nucleotide</v>
      </c>
    </row>
    <row r="3205" spans="1:27" x14ac:dyDescent="0.35">
      <c r="A3205">
        <v>1004402</v>
      </c>
      <c r="B3205">
        <v>3181</v>
      </c>
      <c r="C3205">
        <v>1</v>
      </c>
      <c r="D3205" s="17" t="s">
        <v>155</v>
      </c>
      <c r="E3205" s="17"/>
      <c r="F3205" s="17" t="s">
        <v>156</v>
      </c>
      <c r="G3205" s="17"/>
      <c r="H3205" s="17" t="s">
        <v>692</v>
      </c>
      <c r="I3205" s="17"/>
      <c r="J3205" s="17" t="s">
        <v>693</v>
      </c>
      <c r="K3205" s="17"/>
      <c r="L3205" s="17"/>
      <c r="M3205" s="17"/>
      <c r="N3205" s="17"/>
      <c r="O3205" s="17" t="s">
        <v>5771</v>
      </c>
      <c r="P3205" s="17" t="s">
        <v>5775</v>
      </c>
      <c r="Q3205" s="17"/>
      <c r="R3205" s="25" t="str">
        <f>HYPERLINK("https://ictv.global/taxonomy/taxondetails?taxnode_id=202311864","Pushchinovirus B83")</f>
        <v>Pushchinovirus B83</v>
      </c>
      <c r="S3205" s="18" t="s">
        <v>30</v>
      </c>
      <c r="T3205" s="18" t="s">
        <v>5776</v>
      </c>
      <c r="U3205" s="18"/>
      <c r="V3205" s="18"/>
      <c r="W3205" s="18" t="s">
        <v>5777</v>
      </c>
      <c r="X3205" s="18" t="s">
        <v>42</v>
      </c>
      <c r="Y3205" s="18" t="s">
        <v>36</v>
      </c>
      <c r="Z3205" s="18" t="s">
        <v>697</v>
      </c>
      <c r="AA3205" s="21" t="str">
        <f>HYPERLINK("https://www.ncbi.nlm.nih.gov/nuccore/MK759918","NCBI Nucleotide")</f>
        <v>NCBI Nucleotide</v>
      </c>
    </row>
    <row r="3206" spans="1:27" x14ac:dyDescent="0.35">
      <c r="A3206">
        <v>1024710</v>
      </c>
      <c r="B3206">
        <v>3182</v>
      </c>
      <c r="C3206">
        <v>1</v>
      </c>
      <c r="D3206" s="17" t="s">
        <v>155</v>
      </c>
      <c r="E3206" s="17"/>
      <c r="F3206" s="17" t="s">
        <v>156</v>
      </c>
      <c r="G3206" s="17"/>
      <c r="H3206" s="17" t="s">
        <v>692</v>
      </c>
      <c r="I3206" s="17"/>
      <c r="J3206" s="17" t="s">
        <v>693</v>
      </c>
      <c r="K3206" s="17"/>
      <c r="L3206" s="17"/>
      <c r="M3206" s="17"/>
      <c r="N3206" s="17"/>
      <c r="O3206" s="17" t="s">
        <v>39742</v>
      </c>
      <c r="P3206" s="17" t="s">
        <v>39743</v>
      </c>
      <c r="Q3206" s="17"/>
      <c r="R3206" s="25" t="str">
        <f>HYPERLINK("https://ictv.global/taxonomy/taxondetails?taxnode_id=202319270","Baldwinvirus EM")</f>
        <v>Baldwinvirus EM</v>
      </c>
      <c r="S3206" s="18" t="s">
        <v>30</v>
      </c>
      <c r="T3206" s="18" t="s">
        <v>39744</v>
      </c>
      <c r="U3206" s="18"/>
      <c r="V3206" s="18"/>
      <c r="W3206" s="18" t="s">
        <v>48395</v>
      </c>
      <c r="X3206" s="18" t="s">
        <v>42</v>
      </c>
      <c r="Y3206" s="18" t="s">
        <v>36</v>
      </c>
      <c r="Z3206" s="18" t="s">
        <v>697</v>
      </c>
      <c r="AA3206" s="21" t="str">
        <f>HYPERLINK("https://www.ncbi.nlm.nih.gov/nuccore/ON169972","NCBI Nucleotide")</f>
        <v>NCBI Nucleotide</v>
      </c>
    </row>
    <row r="3207" spans="1:27" x14ac:dyDescent="0.35">
      <c r="A3207">
        <v>1024738</v>
      </c>
      <c r="B3207">
        <v>3183</v>
      </c>
      <c r="C3207">
        <v>1</v>
      </c>
      <c r="D3207" s="17" t="s">
        <v>155</v>
      </c>
      <c r="E3207" s="17"/>
      <c r="F3207" s="17" t="s">
        <v>156</v>
      </c>
      <c r="G3207" s="17"/>
      <c r="H3207" s="17" t="s">
        <v>692</v>
      </c>
      <c r="I3207" s="17"/>
      <c r="J3207" s="17" t="s">
        <v>693</v>
      </c>
      <c r="K3207" s="17"/>
      <c r="L3207" s="17"/>
      <c r="M3207" s="17"/>
      <c r="N3207" s="17"/>
      <c r="O3207" s="17" t="s">
        <v>39742</v>
      </c>
      <c r="P3207" s="17" t="s">
        <v>3039</v>
      </c>
      <c r="Q3207" s="17"/>
      <c r="R3207" s="25" t="str">
        <f>HYPERLINK("https://ictv.global/taxonomy/taxondetails?taxnode_id=202319285","Pakpunavirus B8")</f>
        <v>Pakpunavirus B8</v>
      </c>
      <c r="S3207" s="18" t="s">
        <v>30</v>
      </c>
      <c r="T3207" s="18" t="s">
        <v>39745</v>
      </c>
      <c r="U3207" s="18"/>
      <c r="V3207" s="18"/>
      <c r="W3207" s="18" t="s">
        <v>48396</v>
      </c>
      <c r="X3207" s="18" t="s">
        <v>42</v>
      </c>
      <c r="Y3207" s="18" t="s">
        <v>36</v>
      </c>
      <c r="Z3207" s="18" t="s">
        <v>697</v>
      </c>
      <c r="AA3207" s="21" t="str">
        <f>HYPERLINK("https://www.ncbi.nlm.nih.gov/nuccore/OQ225162","NCBI Nucleotide")</f>
        <v>NCBI Nucleotide</v>
      </c>
    </row>
    <row r="3208" spans="1:27" x14ac:dyDescent="0.35">
      <c r="A3208">
        <v>1024736</v>
      </c>
      <c r="B3208">
        <v>3184</v>
      </c>
      <c r="C3208">
        <v>1</v>
      </c>
      <c r="D3208" s="17" t="s">
        <v>155</v>
      </c>
      <c r="E3208" s="17"/>
      <c r="F3208" s="17" t="s">
        <v>156</v>
      </c>
      <c r="G3208" s="17"/>
      <c r="H3208" s="17" t="s">
        <v>692</v>
      </c>
      <c r="I3208" s="17"/>
      <c r="J3208" s="17" t="s">
        <v>693</v>
      </c>
      <c r="K3208" s="17"/>
      <c r="L3208" s="17"/>
      <c r="M3208" s="17"/>
      <c r="N3208" s="17"/>
      <c r="O3208" s="17" t="s">
        <v>39742</v>
      </c>
      <c r="P3208" s="17" t="s">
        <v>3039</v>
      </c>
      <c r="Q3208" s="17"/>
      <c r="R3208" s="25" t="str">
        <f>HYPERLINK("https://ictv.global/taxonomy/taxondetails?taxnode_id=202319283","Pakpunavirus B31")</f>
        <v>Pakpunavirus B31</v>
      </c>
      <c r="S3208" s="18" t="s">
        <v>30</v>
      </c>
      <c r="T3208" s="18" t="s">
        <v>39746</v>
      </c>
      <c r="U3208" s="18"/>
      <c r="V3208" s="18"/>
      <c r="W3208" s="18" t="s">
        <v>48397</v>
      </c>
      <c r="X3208" s="18" t="s">
        <v>42</v>
      </c>
      <c r="Y3208" s="18" t="s">
        <v>36</v>
      </c>
      <c r="Z3208" s="18" t="s">
        <v>697</v>
      </c>
      <c r="AA3208" s="21" t="str">
        <f>HYPERLINK("https://www.ncbi.nlm.nih.gov/nuccore/OQ225163","NCBI Nucleotide")</f>
        <v>NCBI Nucleotide</v>
      </c>
    </row>
    <row r="3209" spans="1:27" x14ac:dyDescent="0.35">
      <c r="A3209">
        <v>1024737</v>
      </c>
      <c r="B3209">
        <v>3185</v>
      </c>
      <c r="C3209">
        <v>1</v>
      </c>
      <c r="D3209" s="17" t="s">
        <v>155</v>
      </c>
      <c r="E3209" s="17"/>
      <c r="F3209" s="17" t="s">
        <v>156</v>
      </c>
      <c r="G3209" s="17"/>
      <c r="H3209" s="17" t="s">
        <v>692</v>
      </c>
      <c r="I3209" s="17"/>
      <c r="J3209" s="17" t="s">
        <v>693</v>
      </c>
      <c r="K3209" s="17"/>
      <c r="L3209" s="17"/>
      <c r="M3209" s="17"/>
      <c r="N3209" s="17"/>
      <c r="O3209" s="17" t="s">
        <v>39742</v>
      </c>
      <c r="P3209" s="17" t="s">
        <v>3039</v>
      </c>
      <c r="Q3209" s="17"/>
      <c r="R3209" s="25" t="str">
        <f>HYPERLINK("https://ictv.global/taxonomy/taxondetails?taxnode_id=202319287","Pakpunavirus B55")</f>
        <v>Pakpunavirus B55</v>
      </c>
      <c r="S3209" s="18" t="s">
        <v>30</v>
      </c>
      <c r="T3209" s="18" t="s">
        <v>39747</v>
      </c>
      <c r="U3209" s="18"/>
      <c r="V3209" s="18"/>
      <c r="W3209" s="18" t="s">
        <v>48398</v>
      </c>
      <c r="X3209" s="18" t="s">
        <v>42</v>
      </c>
      <c r="Y3209" s="18" t="s">
        <v>36</v>
      </c>
      <c r="Z3209" s="18" t="s">
        <v>697</v>
      </c>
      <c r="AA3209" s="21" t="str">
        <f>HYPERLINK("https://www.ncbi.nlm.nih.gov/nuccore/OQ200059","NCBI Nucleotide")</f>
        <v>NCBI Nucleotide</v>
      </c>
    </row>
    <row r="3210" spans="1:27" x14ac:dyDescent="0.35">
      <c r="A3210">
        <v>1006217</v>
      </c>
      <c r="B3210">
        <v>3186</v>
      </c>
      <c r="C3210">
        <v>1</v>
      </c>
      <c r="D3210" s="17" t="s">
        <v>155</v>
      </c>
      <c r="E3210" s="17"/>
      <c r="F3210" s="17" t="s">
        <v>156</v>
      </c>
      <c r="G3210" s="17"/>
      <c r="H3210" s="17" t="s">
        <v>692</v>
      </c>
      <c r="I3210" s="17"/>
      <c r="J3210" s="17" t="s">
        <v>693</v>
      </c>
      <c r="K3210" s="17"/>
      <c r="L3210" s="17"/>
      <c r="M3210" s="17"/>
      <c r="N3210" s="17"/>
      <c r="O3210" s="17" t="s">
        <v>39742</v>
      </c>
      <c r="P3210" s="17" t="s">
        <v>3039</v>
      </c>
      <c r="Q3210" s="17"/>
      <c r="R3210" s="25" t="str">
        <f>HYPERLINK("https://ictv.global/taxonomy/taxondetails?taxnode_id=202300468","Pakpunavirus CAb1")</f>
        <v>Pakpunavirus CAb1</v>
      </c>
      <c r="S3210" s="18" t="s">
        <v>30</v>
      </c>
      <c r="T3210" s="18" t="s">
        <v>3042</v>
      </c>
      <c r="U3210" s="18"/>
      <c r="V3210" s="18"/>
      <c r="W3210" s="18" t="s">
        <v>3043</v>
      </c>
      <c r="X3210" s="18" t="s">
        <v>42</v>
      </c>
      <c r="Y3210" s="18" t="s">
        <v>36</v>
      </c>
      <c r="Z3210" s="18" t="s">
        <v>697</v>
      </c>
      <c r="AA3210" s="21" t="str">
        <f>HYPERLINK("https://www.ncbi.nlm.nih.gov/nuccore/HE983845","NCBI Nucleotide")</f>
        <v>NCBI Nucleotide</v>
      </c>
    </row>
    <row r="3211" spans="1:27" x14ac:dyDescent="0.35">
      <c r="A3211">
        <v>1006216</v>
      </c>
      <c r="B3211">
        <v>3187</v>
      </c>
      <c r="C3211">
        <v>1</v>
      </c>
      <c r="D3211" s="17" t="s">
        <v>155</v>
      </c>
      <c r="E3211" s="17"/>
      <c r="F3211" s="17" t="s">
        <v>156</v>
      </c>
      <c r="G3211" s="17"/>
      <c r="H3211" s="17" t="s">
        <v>692</v>
      </c>
      <c r="I3211" s="17"/>
      <c r="J3211" s="17" t="s">
        <v>693</v>
      </c>
      <c r="K3211" s="17"/>
      <c r="L3211" s="17"/>
      <c r="M3211" s="17"/>
      <c r="N3211" s="17"/>
      <c r="O3211" s="17" t="s">
        <v>39742</v>
      </c>
      <c r="P3211" s="17" t="s">
        <v>3039</v>
      </c>
      <c r="Q3211" s="17"/>
      <c r="R3211" s="25" t="str">
        <f>HYPERLINK("https://ictv.global/taxonomy/taxondetails?taxnode_id=202300469","Pakpunavirus CAb02")</f>
        <v>Pakpunavirus CAb02</v>
      </c>
      <c r="S3211" s="18" t="s">
        <v>30</v>
      </c>
      <c r="T3211" s="18" t="s">
        <v>3040</v>
      </c>
      <c r="U3211" s="18"/>
      <c r="V3211" s="18"/>
      <c r="W3211" s="18" t="s">
        <v>3041</v>
      </c>
      <c r="X3211" s="18" t="s">
        <v>42</v>
      </c>
      <c r="Y3211" s="18" t="s">
        <v>36</v>
      </c>
      <c r="Z3211" s="18" t="s">
        <v>697</v>
      </c>
      <c r="AA3211" s="21" t="str">
        <f>HYPERLINK("https://www.ncbi.nlm.nih.gov/nuccore/LN610572","NCBI Nucleotide")</f>
        <v>NCBI Nucleotide</v>
      </c>
    </row>
    <row r="3212" spans="1:27" x14ac:dyDescent="0.35">
      <c r="A3212">
        <v>1024739</v>
      </c>
      <c r="B3212">
        <v>3188</v>
      </c>
      <c r="C3212">
        <v>1</v>
      </c>
      <c r="D3212" s="17" t="s">
        <v>155</v>
      </c>
      <c r="E3212" s="17"/>
      <c r="F3212" s="17" t="s">
        <v>156</v>
      </c>
      <c r="G3212" s="17"/>
      <c r="H3212" s="17" t="s">
        <v>692</v>
      </c>
      <c r="I3212" s="17"/>
      <c r="J3212" s="17" t="s">
        <v>693</v>
      </c>
      <c r="K3212" s="17"/>
      <c r="L3212" s="17"/>
      <c r="M3212" s="17"/>
      <c r="N3212" s="17"/>
      <c r="O3212" s="17" t="s">
        <v>39742</v>
      </c>
      <c r="P3212" s="17" t="s">
        <v>3039</v>
      </c>
      <c r="Q3212" s="17"/>
      <c r="R3212" s="25" t="str">
        <f>HYPERLINK("https://ictv.global/taxonomy/taxondetails?taxnode_id=202319278","Pakpunavirus EPA1")</f>
        <v>Pakpunavirus EPA1</v>
      </c>
      <c r="S3212" s="18" t="s">
        <v>30</v>
      </c>
      <c r="T3212" s="18" t="s">
        <v>39748</v>
      </c>
      <c r="U3212" s="18"/>
      <c r="V3212" s="18"/>
      <c r="W3212" s="18" t="s">
        <v>48399</v>
      </c>
      <c r="X3212" s="18" t="s">
        <v>42</v>
      </c>
      <c r="Y3212" s="18" t="s">
        <v>36</v>
      </c>
      <c r="Z3212" s="18" t="s">
        <v>697</v>
      </c>
      <c r="AA3212" s="21" t="str">
        <f>HYPERLINK("https://www.ncbi.nlm.nih.gov/nuccore/MN013356","NCBI Nucleotide")</f>
        <v>NCBI Nucleotide</v>
      </c>
    </row>
    <row r="3213" spans="1:27" x14ac:dyDescent="0.35">
      <c r="A3213">
        <v>1024740</v>
      </c>
      <c r="B3213">
        <v>3189</v>
      </c>
      <c r="C3213">
        <v>1</v>
      </c>
      <c r="D3213" s="17" t="s">
        <v>155</v>
      </c>
      <c r="E3213" s="17"/>
      <c r="F3213" s="17" t="s">
        <v>156</v>
      </c>
      <c r="G3213" s="17"/>
      <c r="H3213" s="17" t="s">
        <v>692</v>
      </c>
      <c r="I3213" s="17"/>
      <c r="J3213" s="17" t="s">
        <v>693</v>
      </c>
      <c r="K3213" s="17"/>
      <c r="L3213" s="17"/>
      <c r="M3213" s="17"/>
      <c r="N3213" s="17"/>
      <c r="O3213" s="17" t="s">
        <v>39742</v>
      </c>
      <c r="P3213" s="17" t="s">
        <v>3039</v>
      </c>
      <c r="Q3213" s="17"/>
      <c r="R3213" s="25" t="str">
        <f>HYPERLINK("https://ictv.global/taxonomy/taxondetails?taxnode_id=202319288","Pakpunavirus GUMS")</f>
        <v>Pakpunavirus GUMS</v>
      </c>
      <c r="S3213" s="18" t="s">
        <v>30</v>
      </c>
      <c r="T3213" s="18" t="s">
        <v>39749</v>
      </c>
      <c r="U3213" s="18"/>
      <c r="V3213" s="18"/>
      <c r="W3213" s="18" t="s">
        <v>48400</v>
      </c>
      <c r="X3213" s="18" t="s">
        <v>42</v>
      </c>
      <c r="Y3213" s="18" t="s">
        <v>36</v>
      </c>
      <c r="Z3213" s="18" t="s">
        <v>697</v>
      </c>
      <c r="AA3213" s="21" t="str">
        <f>HYPERLINK("https://www.ncbi.nlm.nih.gov/nuccore/MN563785","NCBI Nucleotide")</f>
        <v>NCBI Nucleotide</v>
      </c>
    </row>
    <row r="3214" spans="1:27" x14ac:dyDescent="0.35">
      <c r="A3214">
        <v>1024741</v>
      </c>
      <c r="B3214">
        <v>3190</v>
      </c>
      <c r="C3214">
        <v>1</v>
      </c>
      <c r="D3214" s="17" t="s">
        <v>155</v>
      </c>
      <c r="E3214" s="17"/>
      <c r="F3214" s="17" t="s">
        <v>156</v>
      </c>
      <c r="G3214" s="17"/>
      <c r="H3214" s="17" t="s">
        <v>692</v>
      </c>
      <c r="I3214" s="17"/>
      <c r="J3214" s="17" t="s">
        <v>693</v>
      </c>
      <c r="K3214" s="17"/>
      <c r="L3214" s="17"/>
      <c r="M3214" s="17"/>
      <c r="N3214" s="17"/>
      <c r="O3214" s="17" t="s">
        <v>39742</v>
      </c>
      <c r="P3214" s="17" t="s">
        <v>3039</v>
      </c>
      <c r="Q3214" s="17"/>
      <c r="R3214" s="25" t="str">
        <f>HYPERLINK("https://ictv.global/taxonomy/taxondetails?taxnode_id=202319277","Pakpunavirus Henu5")</f>
        <v>Pakpunavirus Henu5</v>
      </c>
      <c r="S3214" s="18" t="s">
        <v>30</v>
      </c>
      <c r="T3214" s="18" t="s">
        <v>39750</v>
      </c>
      <c r="U3214" s="18"/>
      <c r="V3214" s="18"/>
      <c r="W3214" s="18" t="s">
        <v>48401</v>
      </c>
      <c r="X3214" s="18" t="s">
        <v>42</v>
      </c>
      <c r="Y3214" s="18" t="s">
        <v>36</v>
      </c>
      <c r="Z3214" s="18" t="s">
        <v>697</v>
      </c>
      <c r="AA3214" s="21" t="str">
        <f>HYPERLINK("https://www.ncbi.nlm.nih.gov/nuccore/MK224498","NCBI Nucleotide")</f>
        <v>NCBI Nucleotide</v>
      </c>
    </row>
    <row r="3215" spans="1:27" x14ac:dyDescent="0.35">
      <c r="A3215">
        <v>1024742</v>
      </c>
      <c r="B3215">
        <v>3191</v>
      </c>
      <c r="C3215">
        <v>1</v>
      </c>
      <c r="D3215" s="17" t="s">
        <v>155</v>
      </c>
      <c r="E3215" s="17"/>
      <c r="F3215" s="17" t="s">
        <v>156</v>
      </c>
      <c r="G3215" s="17"/>
      <c r="H3215" s="17" t="s">
        <v>692</v>
      </c>
      <c r="I3215" s="17"/>
      <c r="J3215" s="17" t="s">
        <v>693</v>
      </c>
      <c r="K3215" s="17"/>
      <c r="L3215" s="17"/>
      <c r="M3215" s="17"/>
      <c r="N3215" s="17"/>
      <c r="O3215" s="17" t="s">
        <v>39742</v>
      </c>
      <c r="P3215" s="17" t="s">
        <v>3039</v>
      </c>
      <c r="Q3215" s="17"/>
      <c r="R3215" s="25" t="str">
        <f>HYPERLINK("https://ictv.global/taxonomy/taxondetails?taxnode_id=202319284","Pakpunavirus HJ01")</f>
        <v>Pakpunavirus HJ01</v>
      </c>
      <c r="S3215" s="18" t="s">
        <v>30</v>
      </c>
      <c r="T3215" s="18" t="s">
        <v>39751</v>
      </c>
      <c r="U3215" s="18"/>
      <c r="V3215" s="18"/>
      <c r="W3215" s="18" t="s">
        <v>48402</v>
      </c>
      <c r="X3215" s="18" t="s">
        <v>42</v>
      </c>
      <c r="Y3215" s="18" t="s">
        <v>36</v>
      </c>
      <c r="Z3215" s="18" t="s">
        <v>697</v>
      </c>
      <c r="AA3215" s="21" t="str">
        <f>HYPERLINK("https://www.ncbi.nlm.nih.gov/nuccore/OQ164637","NCBI Nucleotide")</f>
        <v>NCBI Nucleotide</v>
      </c>
    </row>
    <row r="3216" spans="1:27" x14ac:dyDescent="0.35">
      <c r="A3216">
        <v>1024743</v>
      </c>
      <c r="B3216">
        <v>3192</v>
      </c>
      <c r="C3216">
        <v>1</v>
      </c>
      <c r="D3216" s="17" t="s">
        <v>155</v>
      </c>
      <c r="E3216" s="17"/>
      <c r="F3216" s="17" t="s">
        <v>156</v>
      </c>
      <c r="G3216" s="17"/>
      <c r="H3216" s="17" t="s">
        <v>692</v>
      </c>
      <c r="I3216" s="17"/>
      <c r="J3216" s="17" t="s">
        <v>693</v>
      </c>
      <c r="K3216" s="17"/>
      <c r="L3216" s="17"/>
      <c r="M3216" s="17"/>
      <c r="N3216" s="17"/>
      <c r="O3216" s="17" t="s">
        <v>39742</v>
      </c>
      <c r="P3216" s="17" t="s">
        <v>3039</v>
      </c>
      <c r="Q3216" s="17"/>
      <c r="R3216" s="25" t="str">
        <f>HYPERLINK("https://ictv.global/taxonomy/taxondetails?taxnode_id=202319274","Pakpunavirus ITTPL")</f>
        <v>Pakpunavirus ITTPL</v>
      </c>
      <c r="S3216" s="18" t="s">
        <v>30</v>
      </c>
      <c r="T3216" s="18" t="s">
        <v>39752</v>
      </c>
      <c r="U3216" s="18"/>
      <c r="V3216" s="18"/>
      <c r="W3216" s="18" t="s">
        <v>48403</v>
      </c>
      <c r="X3216" s="18" t="s">
        <v>42</v>
      </c>
      <c r="Y3216" s="18" t="s">
        <v>36</v>
      </c>
      <c r="Z3216" s="18" t="s">
        <v>697</v>
      </c>
      <c r="AA3216" s="21" t="str">
        <f>HYPERLINK("https://www.ncbi.nlm.nih.gov/nuccore/MK443264","NCBI Nucleotide")</f>
        <v>NCBI Nucleotide</v>
      </c>
    </row>
    <row r="3217" spans="1:27" x14ac:dyDescent="0.35">
      <c r="A3217">
        <v>1006218</v>
      </c>
      <c r="B3217">
        <v>3193</v>
      </c>
      <c r="C3217">
        <v>1</v>
      </c>
      <c r="D3217" s="17" t="s">
        <v>155</v>
      </c>
      <c r="E3217" s="17"/>
      <c r="F3217" s="17" t="s">
        <v>156</v>
      </c>
      <c r="G3217" s="17"/>
      <c r="H3217" s="17" t="s">
        <v>692</v>
      </c>
      <c r="I3217" s="17"/>
      <c r="J3217" s="17" t="s">
        <v>693</v>
      </c>
      <c r="K3217" s="17"/>
      <c r="L3217" s="17"/>
      <c r="M3217" s="17"/>
      <c r="N3217" s="17"/>
      <c r="O3217" s="17" t="s">
        <v>39742</v>
      </c>
      <c r="P3217" s="17" t="s">
        <v>3039</v>
      </c>
      <c r="Q3217" s="17"/>
      <c r="R3217" s="25" t="str">
        <f>HYPERLINK("https://ictv.global/taxonomy/taxondetails?taxnode_id=202300470","Pakpunavirus JG004")</f>
        <v>Pakpunavirus JG004</v>
      </c>
      <c r="S3217" s="18" t="s">
        <v>30</v>
      </c>
      <c r="T3217" s="18" t="s">
        <v>3044</v>
      </c>
      <c r="U3217" s="18"/>
      <c r="V3217" s="18"/>
      <c r="W3217" s="18" t="s">
        <v>3045</v>
      </c>
      <c r="X3217" s="18" t="s">
        <v>42</v>
      </c>
      <c r="Y3217" s="18" t="s">
        <v>36</v>
      </c>
      <c r="Z3217" s="18" t="s">
        <v>697</v>
      </c>
      <c r="AA3217" s="21" t="str">
        <f>HYPERLINK("https://www.ncbi.nlm.nih.gov/nuccore/GU988610","NCBI Nucleotide")</f>
        <v>NCBI Nucleotide</v>
      </c>
    </row>
    <row r="3218" spans="1:27" x14ac:dyDescent="0.35">
      <c r="A3218">
        <v>1024744</v>
      </c>
      <c r="B3218">
        <v>3194</v>
      </c>
      <c r="C3218">
        <v>1</v>
      </c>
      <c r="D3218" s="17" t="s">
        <v>155</v>
      </c>
      <c r="E3218" s="17"/>
      <c r="F3218" s="17" t="s">
        <v>156</v>
      </c>
      <c r="G3218" s="17"/>
      <c r="H3218" s="17" t="s">
        <v>692</v>
      </c>
      <c r="I3218" s="17"/>
      <c r="J3218" s="17" t="s">
        <v>693</v>
      </c>
      <c r="K3218" s="17"/>
      <c r="L3218" s="17"/>
      <c r="M3218" s="17"/>
      <c r="N3218" s="17"/>
      <c r="O3218" s="17" t="s">
        <v>39742</v>
      </c>
      <c r="P3218" s="17" t="s">
        <v>3039</v>
      </c>
      <c r="Q3218" s="17"/>
      <c r="R3218" s="25" t="str">
        <f>HYPERLINK("https://ictv.global/taxonomy/taxondetails?taxnode_id=202319280","Pakpunavirus kat")</f>
        <v>Pakpunavirus kat</v>
      </c>
      <c r="S3218" s="18" t="s">
        <v>30</v>
      </c>
      <c r="T3218" s="18" t="s">
        <v>39753</v>
      </c>
      <c r="U3218" s="18"/>
      <c r="V3218" s="18"/>
      <c r="W3218" s="18" t="s">
        <v>48404</v>
      </c>
      <c r="X3218" s="18" t="s">
        <v>42</v>
      </c>
      <c r="Y3218" s="18" t="s">
        <v>36</v>
      </c>
      <c r="Z3218" s="18" t="s">
        <v>697</v>
      </c>
      <c r="AA3218" s="21" t="str">
        <f>HYPERLINK("https://www.ncbi.nlm.nih.gov/nuccore/ON361135","NCBI Nucleotide")</f>
        <v>NCBI Nucleotide</v>
      </c>
    </row>
    <row r="3219" spans="1:27" x14ac:dyDescent="0.35">
      <c r="A3219">
        <v>1024745</v>
      </c>
      <c r="B3219">
        <v>3195</v>
      </c>
      <c r="C3219">
        <v>1</v>
      </c>
      <c r="D3219" s="17" t="s">
        <v>155</v>
      </c>
      <c r="E3219" s="17"/>
      <c r="F3219" s="17" t="s">
        <v>156</v>
      </c>
      <c r="G3219" s="17"/>
      <c r="H3219" s="17" t="s">
        <v>692</v>
      </c>
      <c r="I3219" s="17"/>
      <c r="J3219" s="17" t="s">
        <v>693</v>
      </c>
      <c r="K3219" s="17"/>
      <c r="L3219" s="17"/>
      <c r="M3219" s="17"/>
      <c r="N3219" s="17"/>
      <c r="O3219" s="17" t="s">
        <v>39742</v>
      </c>
      <c r="P3219" s="17" t="s">
        <v>3039</v>
      </c>
      <c r="Q3219" s="17"/>
      <c r="R3219" s="25" t="str">
        <f>HYPERLINK("https://ictv.global/taxonomy/taxondetails?taxnode_id=202319282","Pakpunavirus LCK69")</f>
        <v>Pakpunavirus LCK69</v>
      </c>
      <c r="S3219" s="18" t="s">
        <v>30</v>
      </c>
      <c r="T3219" s="18" t="s">
        <v>39754</v>
      </c>
      <c r="U3219" s="18"/>
      <c r="V3219" s="18"/>
      <c r="W3219" s="18" t="s">
        <v>48405</v>
      </c>
      <c r="X3219" s="18" t="s">
        <v>42</v>
      </c>
      <c r="Y3219" s="18" t="s">
        <v>36</v>
      </c>
      <c r="Z3219" s="18" t="s">
        <v>697</v>
      </c>
      <c r="AA3219" s="21" t="str">
        <f>HYPERLINK("https://www.ncbi.nlm.nih.gov/nuccore/MK138526","NCBI Nucleotide")</f>
        <v>NCBI Nucleotide</v>
      </c>
    </row>
    <row r="3220" spans="1:27" x14ac:dyDescent="0.35">
      <c r="A3220">
        <v>1006219</v>
      </c>
      <c r="B3220">
        <v>3196</v>
      </c>
      <c r="C3220">
        <v>1</v>
      </c>
      <c r="D3220" s="17" t="s">
        <v>155</v>
      </c>
      <c r="E3220" s="17"/>
      <c r="F3220" s="17" t="s">
        <v>156</v>
      </c>
      <c r="G3220" s="17"/>
      <c r="H3220" s="17" t="s">
        <v>692</v>
      </c>
      <c r="I3220" s="17"/>
      <c r="J3220" s="17" t="s">
        <v>693</v>
      </c>
      <c r="K3220" s="17"/>
      <c r="L3220" s="17"/>
      <c r="M3220" s="17"/>
      <c r="N3220" s="17"/>
      <c r="O3220" s="17" t="s">
        <v>39742</v>
      </c>
      <c r="P3220" s="17" t="s">
        <v>3039</v>
      </c>
      <c r="Q3220" s="17"/>
      <c r="R3220" s="25" t="str">
        <f>HYPERLINK("https://ictv.global/taxonomy/taxondetails?taxnode_id=202307020","Pakpunavirus MAG1")</f>
        <v>Pakpunavirus MAG1</v>
      </c>
      <c r="S3220" s="18" t="s">
        <v>30</v>
      </c>
      <c r="T3220" s="18" t="s">
        <v>3046</v>
      </c>
      <c r="U3220" s="18"/>
      <c r="V3220" s="18"/>
      <c r="W3220" s="18" t="s">
        <v>3047</v>
      </c>
      <c r="X3220" s="18" t="s">
        <v>42</v>
      </c>
      <c r="Y3220" s="18" t="s">
        <v>36</v>
      </c>
      <c r="Z3220" s="18" t="s">
        <v>697</v>
      </c>
      <c r="AA3220" s="21" t="str">
        <f>HYPERLINK("https://www.ncbi.nlm.nih.gov/nuccore/KR052143","NCBI Nucleotide")</f>
        <v>NCBI Nucleotide</v>
      </c>
    </row>
    <row r="3221" spans="1:27" x14ac:dyDescent="0.35">
      <c r="A3221">
        <v>1006220</v>
      </c>
      <c r="B3221">
        <v>3197</v>
      </c>
      <c r="C3221">
        <v>1</v>
      </c>
      <c r="D3221" s="17" t="s">
        <v>155</v>
      </c>
      <c r="E3221" s="17"/>
      <c r="F3221" s="17" t="s">
        <v>156</v>
      </c>
      <c r="G3221" s="17"/>
      <c r="H3221" s="17" t="s">
        <v>692</v>
      </c>
      <c r="I3221" s="17"/>
      <c r="J3221" s="17" t="s">
        <v>693</v>
      </c>
      <c r="K3221" s="17"/>
      <c r="L3221" s="17"/>
      <c r="M3221" s="17"/>
      <c r="N3221" s="17"/>
      <c r="O3221" s="17" t="s">
        <v>39742</v>
      </c>
      <c r="P3221" s="17" t="s">
        <v>3039</v>
      </c>
      <c r="Q3221" s="17"/>
      <c r="R3221" s="25" t="str">
        <f>HYPERLINK("https://ictv.global/taxonomy/taxondetails?taxnode_id=202307018","Pakpunavirus MK")</f>
        <v>Pakpunavirus MK</v>
      </c>
      <c r="S3221" s="18" t="s">
        <v>30</v>
      </c>
      <c r="T3221" s="18" t="s">
        <v>3048</v>
      </c>
      <c r="U3221" s="18"/>
      <c r="V3221" s="18"/>
      <c r="W3221" s="18" t="s">
        <v>3049</v>
      </c>
      <c r="X3221" s="18" t="s">
        <v>42</v>
      </c>
      <c r="Y3221" s="18" t="s">
        <v>36</v>
      </c>
      <c r="Z3221" s="18" t="s">
        <v>697</v>
      </c>
      <c r="AA3221" s="21" t="str">
        <f>HYPERLINK("https://www.ncbi.nlm.nih.gov/nuccore/KU761955","NCBI Nucleotide")</f>
        <v>NCBI Nucleotide</v>
      </c>
    </row>
    <row r="3222" spans="1:27" x14ac:dyDescent="0.35">
      <c r="A3222">
        <v>1006221</v>
      </c>
      <c r="B3222">
        <v>3198</v>
      </c>
      <c r="C3222">
        <v>1</v>
      </c>
      <c r="D3222" s="17" t="s">
        <v>155</v>
      </c>
      <c r="E3222" s="17"/>
      <c r="F3222" s="17" t="s">
        <v>156</v>
      </c>
      <c r="G3222" s="17"/>
      <c r="H3222" s="17" t="s">
        <v>692</v>
      </c>
      <c r="I3222" s="17"/>
      <c r="J3222" s="17" t="s">
        <v>693</v>
      </c>
      <c r="K3222" s="17"/>
      <c r="L3222" s="17"/>
      <c r="M3222" s="17"/>
      <c r="N3222" s="17"/>
      <c r="O3222" s="17" t="s">
        <v>39742</v>
      </c>
      <c r="P3222" s="17" t="s">
        <v>3039</v>
      </c>
      <c r="Q3222" s="17"/>
      <c r="R3222" s="25" t="str">
        <f>HYPERLINK("https://ictv.global/taxonomy/taxondetails?taxnode_id=202307017","Pakpunavirus PA10")</f>
        <v>Pakpunavirus PA10</v>
      </c>
      <c r="S3222" s="18" t="s">
        <v>30</v>
      </c>
      <c r="T3222" s="18" t="s">
        <v>3050</v>
      </c>
      <c r="U3222" s="18"/>
      <c r="V3222" s="18"/>
      <c r="W3222" s="18" t="s">
        <v>3051</v>
      </c>
      <c r="X3222" s="18" t="s">
        <v>42</v>
      </c>
      <c r="Y3222" s="18" t="s">
        <v>36</v>
      </c>
      <c r="Z3222" s="18" t="s">
        <v>697</v>
      </c>
      <c r="AA3222" s="21" t="str">
        <f>HYPERLINK("https://www.ncbi.nlm.nih.gov/nuccore/KY000083","NCBI Nucleotide")</f>
        <v>NCBI Nucleotide</v>
      </c>
    </row>
    <row r="3223" spans="1:27" x14ac:dyDescent="0.35">
      <c r="A3223">
        <v>1024746</v>
      </c>
      <c r="B3223">
        <v>3199</v>
      </c>
      <c r="C3223">
        <v>1</v>
      </c>
      <c r="D3223" s="17" t="s">
        <v>155</v>
      </c>
      <c r="E3223" s="17"/>
      <c r="F3223" s="17" t="s">
        <v>156</v>
      </c>
      <c r="G3223" s="17"/>
      <c r="H3223" s="17" t="s">
        <v>692</v>
      </c>
      <c r="I3223" s="17"/>
      <c r="J3223" s="17" t="s">
        <v>693</v>
      </c>
      <c r="K3223" s="17"/>
      <c r="L3223" s="17"/>
      <c r="M3223" s="17"/>
      <c r="N3223" s="17"/>
      <c r="O3223" s="17" t="s">
        <v>39742</v>
      </c>
      <c r="P3223" s="17" t="s">
        <v>3039</v>
      </c>
      <c r="Q3223" s="17"/>
      <c r="R3223" s="25" t="str">
        <f>HYPERLINK("https://ictv.global/taxonomy/taxondetails?taxnode_id=202319272","Pakpunavirus PaGz-1")</f>
        <v>Pakpunavirus PaGz-1</v>
      </c>
      <c r="S3223" s="18" t="s">
        <v>30</v>
      </c>
      <c r="T3223" s="18" t="s">
        <v>39755</v>
      </c>
      <c r="U3223" s="18"/>
      <c r="V3223" s="18"/>
      <c r="W3223" s="18" t="s">
        <v>48406</v>
      </c>
      <c r="X3223" s="18" t="s">
        <v>42</v>
      </c>
      <c r="Y3223" s="18" t="s">
        <v>36</v>
      </c>
      <c r="Z3223" s="18" t="s">
        <v>697</v>
      </c>
      <c r="AA3223" s="21" t="str">
        <f>HYPERLINK("https://www.ncbi.nlm.nih.gov/nuccore/MH791399","NCBI Nucleotide")</f>
        <v>NCBI Nucleotide</v>
      </c>
    </row>
    <row r="3224" spans="1:27" x14ac:dyDescent="0.35">
      <c r="A3224">
        <v>1006222</v>
      </c>
      <c r="B3224">
        <v>3200</v>
      </c>
      <c r="C3224">
        <v>1</v>
      </c>
      <c r="D3224" s="17" t="s">
        <v>155</v>
      </c>
      <c r="E3224" s="17"/>
      <c r="F3224" s="17" t="s">
        <v>156</v>
      </c>
      <c r="G3224" s="17"/>
      <c r="H3224" s="17" t="s">
        <v>692</v>
      </c>
      <c r="I3224" s="17"/>
      <c r="J3224" s="17" t="s">
        <v>693</v>
      </c>
      <c r="K3224" s="17"/>
      <c r="L3224" s="17"/>
      <c r="M3224" s="17"/>
      <c r="N3224" s="17"/>
      <c r="O3224" s="17" t="s">
        <v>39742</v>
      </c>
      <c r="P3224" s="17" t="s">
        <v>3039</v>
      </c>
      <c r="Q3224" s="17"/>
      <c r="R3224" s="25" t="str">
        <f>HYPERLINK("https://ictv.global/taxonomy/taxondetails?taxnode_id=202300471","Pakpunavirus PAKP1")</f>
        <v>Pakpunavirus PAKP1</v>
      </c>
      <c r="S3224" s="18" t="s">
        <v>30</v>
      </c>
      <c r="T3224" s="18" t="s">
        <v>3052</v>
      </c>
      <c r="U3224" s="18"/>
      <c r="V3224" s="18"/>
      <c r="W3224" s="18" t="s">
        <v>3053</v>
      </c>
      <c r="X3224" s="18" t="s">
        <v>42</v>
      </c>
      <c r="Y3224" s="18" t="s">
        <v>36</v>
      </c>
      <c r="Z3224" s="18" t="s">
        <v>697</v>
      </c>
      <c r="AA3224" s="21" t="str">
        <f>HYPERLINK("https://www.ncbi.nlm.nih.gov/nuccore/KC862297","NCBI Nucleotide")</f>
        <v>NCBI Nucleotide</v>
      </c>
    </row>
    <row r="3225" spans="1:27" x14ac:dyDescent="0.35">
      <c r="A3225">
        <v>1006223</v>
      </c>
      <c r="B3225">
        <v>3201</v>
      </c>
      <c r="C3225">
        <v>1</v>
      </c>
      <c r="D3225" s="17" t="s">
        <v>155</v>
      </c>
      <c r="E3225" s="17"/>
      <c r="F3225" s="17" t="s">
        <v>156</v>
      </c>
      <c r="G3225" s="17"/>
      <c r="H3225" s="17" t="s">
        <v>692</v>
      </c>
      <c r="I3225" s="17"/>
      <c r="J3225" s="17" t="s">
        <v>693</v>
      </c>
      <c r="K3225" s="17"/>
      <c r="L3225" s="17"/>
      <c r="M3225" s="17"/>
      <c r="N3225" s="17"/>
      <c r="O3225" s="17" t="s">
        <v>39742</v>
      </c>
      <c r="P3225" s="17" t="s">
        <v>3039</v>
      </c>
      <c r="Q3225" s="17"/>
      <c r="R3225" s="25" t="str">
        <f>HYPERLINK("https://ictv.global/taxonomy/taxondetails?taxnode_id=202307019","Pakpunavirus PAKP2")</f>
        <v>Pakpunavirus PAKP2</v>
      </c>
      <c r="S3225" s="18" t="s">
        <v>30</v>
      </c>
      <c r="T3225" s="18" t="s">
        <v>3054</v>
      </c>
      <c r="U3225" s="18"/>
      <c r="V3225" s="18"/>
      <c r="W3225" s="18" t="s">
        <v>3055</v>
      </c>
      <c r="X3225" s="18" t="s">
        <v>42</v>
      </c>
      <c r="Y3225" s="18" t="s">
        <v>36</v>
      </c>
      <c r="Z3225" s="18" t="s">
        <v>697</v>
      </c>
      <c r="AA3225" s="21" t="str">
        <f>HYPERLINK("https://www.ncbi.nlm.nih.gov/nuccore/KC862298","NCBI Nucleotide")</f>
        <v>NCBI Nucleotide</v>
      </c>
    </row>
    <row r="3226" spans="1:27" x14ac:dyDescent="0.35">
      <c r="A3226">
        <v>1006224</v>
      </c>
      <c r="B3226">
        <v>3202</v>
      </c>
      <c r="C3226">
        <v>1</v>
      </c>
      <c r="D3226" s="17" t="s">
        <v>155</v>
      </c>
      <c r="E3226" s="17"/>
      <c r="F3226" s="17" t="s">
        <v>156</v>
      </c>
      <c r="G3226" s="17"/>
      <c r="H3226" s="17" t="s">
        <v>692</v>
      </c>
      <c r="I3226" s="17"/>
      <c r="J3226" s="17" t="s">
        <v>693</v>
      </c>
      <c r="K3226" s="17"/>
      <c r="L3226" s="17"/>
      <c r="M3226" s="17"/>
      <c r="N3226" s="17"/>
      <c r="O3226" s="17" t="s">
        <v>39742</v>
      </c>
      <c r="P3226" s="17" t="s">
        <v>3039</v>
      </c>
      <c r="Q3226" s="17"/>
      <c r="R3226" s="25" t="str">
        <f>HYPERLINK("https://ictv.global/taxonomy/taxondetails?taxnode_id=202300472","Pakpunavirus PAKP4")</f>
        <v>Pakpunavirus PAKP4</v>
      </c>
      <c r="S3226" s="18" t="s">
        <v>30</v>
      </c>
      <c r="T3226" s="18" t="s">
        <v>3056</v>
      </c>
      <c r="U3226" s="18"/>
      <c r="V3226" s="18"/>
      <c r="W3226" s="18" t="s">
        <v>3057</v>
      </c>
      <c r="X3226" s="18" t="s">
        <v>42</v>
      </c>
      <c r="Y3226" s="18" t="s">
        <v>36</v>
      </c>
      <c r="Z3226" s="18" t="s">
        <v>697</v>
      </c>
      <c r="AA3226" s="21" t="str">
        <f>HYPERLINK("https://www.ncbi.nlm.nih.gov/nuccore/KC862300","NCBI Nucleotide")</f>
        <v>NCBI Nucleotide</v>
      </c>
    </row>
    <row r="3227" spans="1:27" x14ac:dyDescent="0.35">
      <c r="A3227">
        <v>1006225</v>
      </c>
      <c r="B3227">
        <v>3203</v>
      </c>
      <c r="C3227">
        <v>1</v>
      </c>
      <c r="D3227" s="17" t="s">
        <v>155</v>
      </c>
      <c r="E3227" s="17"/>
      <c r="F3227" s="17" t="s">
        <v>156</v>
      </c>
      <c r="G3227" s="17"/>
      <c r="H3227" s="17" t="s">
        <v>692</v>
      </c>
      <c r="I3227" s="17"/>
      <c r="J3227" s="17" t="s">
        <v>693</v>
      </c>
      <c r="K3227" s="17"/>
      <c r="L3227" s="17"/>
      <c r="M3227" s="17"/>
      <c r="N3227" s="17"/>
      <c r="O3227" s="17" t="s">
        <v>39742</v>
      </c>
      <c r="P3227" s="17" t="s">
        <v>3039</v>
      </c>
      <c r="Q3227" s="17"/>
      <c r="R3227" s="25" t="str">
        <f>HYPERLINK("https://ictv.global/taxonomy/taxondetails?taxnode_id=202300473","Pakpunavirus PaP1")</f>
        <v>Pakpunavirus PaP1</v>
      </c>
      <c r="S3227" s="18" t="s">
        <v>30</v>
      </c>
      <c r="T3227" s="18" t="s">
        <v>3058</v>
      </c>
      <c r="U3227" s="18"/>
      <c r="V3227" s="18"/>
      <c r="W3227" s="18" t="s">
        <v>3059</v>
      </c>
      <c r="X3227" s="18" t="s">
        <v>42</v>
      </c>
      <c r="Y3227" s="18" t="s">
        <v>36</v>
      </c>
      <c r="Z3227" s="18" t="s">
        <v>697</v>
      </c>
      <c r="AA3227" s="21" t="str">
        <f>HYPERLINK("https://www.ncbi.nlm.nih.gov/nuccore/HQ832595","NCBI Nucleotide")</f>
        <v>NCBI Nucleotide</v>
      </c>
    </row>
    <row r="3228" spans="1:27" x14ac:dyDescent="0.35">
      <c r="A3228">
        <v>1024747</v>
      </c>
      <c r="B3228">
        <v>3204</v>
      </c>
      <c r="C3228">
        <v>1</v>
      </c>
      <c r="D3228" s="17" t="s">
        <v>155</v>
      </c>
      <c r="E3228" s="17"/>
      <c r="F3228" s="17" t="s">
        <v>156</v>
      </c>
      <c r="G3228" s="17"/>
      <c r="H3228" s="17" t="s">
        <v>692</v>
      </c>
      <c r="I3228" s="17"/>
      <c r="J3228" s="17" t="s">
        <v>693</v>
      </c>
      <c r="K3228" s="17"/>
      <c r="L3228" s="17"/>
      <c r="M3228" s="17"/>
      <c r="N3228" s="17"/>
      <c r="O3228" s="17" t="s">
        <v>39742</v>
      </c>
      <c r="P3228" s="17" t="s">
        <v>3039</v>
      </c>
      <c r="Q3228" s="17"/>
      <c r="R3228" s="25" t="str">
        <f>HYPERLINK("https://ictv.global/taxonomy/taxondetails?taxnode_id=202319276","Pakpunavirus PaZq1")</f>
        <v>Pakpunavirus PaZq1</v>
      </c>
      <c r="S3228" s="18" t="s">
        <v>30</v>
      </c>
      <c r="T3228" s="18" t="s">
        <v>39756</v>
      </c>
      <c r="U3228" s="18"/>
      <c r="V3228" s="18"/>
      <c r="W3228" s="18" t="s">
        <v>48407</v>
      </c>
      <c r="X3228" s="18" t="s">
        <v>42</v>
      </c>
      <c r="Y3228" s="18" t="s">
        <v>36</v>
      </c>
      <c r="Z3228" s="18" t="s">
        <v>697</v>
      </c>
      <c r="AA3228" s="21" t="str">
        <f>HYPERLINK("https://www.ncbi.nlm.nih.gov/nuccore/MH791408","NCBI Nucleotide")</f>
        <v>NCBI Nucleotide</v>
      </c>
    </row>
    <row r="3229" spans="1:27" x14ac:dyDescent="0.35">
      <c r="A3229">
        <v>1024748</v>
      </c>
      <c r="B3229">
        <v>3205</v>
      </c>
      <c r="C3229">
        <v>1</v>
      </c>
      <c r="D3229" s="17" t="s">
        <v>155</v>
      </c>
      <c r="E3229" s="17"/>
      <c r="F3229" s="17" t="s">
        <v>156</v>
      </c>
      <c r="G3229" s="17"/>
      <c r="H3229" s="17" t="s">
        <v>692</v>
      </c>
      <c r="I3229" s="17"/>
      <c r="J3229" s="17" t="s">
        <v>693</v>
      </c>
      <c r="K3229" s="17"/>
      <c r="L3229" s="17"/>
      <c r="M3229" s="17"/>
      <c r="N3229" s="17"/>
      <c r="O3229" s="17" t="s">
        <v>39742</v>
      </c>
      <c r="P3229" s="17" t="s">
        <v>3039</v>
      </c>
      <c r="Q3229" s="17"/>
      <c r="R3229" s="25" t="str">
        <f>HYPERLINK("https://ictv.global/taxonomy/taxondetails?taxnode_id=202319279","Pakpunavirus ph0034")</f>
        <v>Pakpunavirus ph0034</v>
      </c>
      <c r="S3229" s="18" t="s">
        <v>30</v>
      </c>
      <c r="T3229" s="18" t="s">
        <v>39757</v>
      </c>
      <c r="U3229" s="18"/>
      <c r="V3229" s="18"/>
      <c r="W3229" s="18" t="s">
        <v>48408</v>
      </c>
      <c r="X3229" s="18" t="s">
        <v>42</v>
      </c>
      <c r="Y3229" s="18" t="s">
        <v>36</v>
      </c>
      <c r="Z3229" s="18" t="s">
        <v>697</v>
      </c>
      <c r="AA3229" s="21" t="str">
        <f>HYPERLINK("https://www.ncbi.nlm.nih.gov/nuccore/MW526259","NCBI Nucleotide")</f>
        <v>NCBI Nucleotide</v>
      </c>
    </row>
    <row r="3230" spans="1:27" x14ac:dyDescent="0.35">
      <c r="A3230">
        <v>1024749</v>
      </c>
      <c r="B3230">
        <v>3206</v>
      </c>
      <c r="C3230">
        <v>1</v>
      </c>
      <c r="D3230" s="17" t="s">
        <v>155</v>
      </c>
      <c r="E3230" s="17"/>
      <c r="F3230" s="17" t="s">
        <v>156</v>
      </c>
      <c r="G3230" s="17"/>
      <c r="H3230" s="17" t="s">
        <v>692</v>
      </c>
      <c r="I3230" s="17"/>
      <c r="J3230" s="17" t="s">
        <v>693</v>
      </c>
      <c r="K3230" s="17"/>
      <c r="L3230" s="17"/>
      <c r="M3230" s="17"/>
      <c r="N3230" s="17"/>
      <c r="O3230" s="17" t="s">
        <v>39742</v>
      </c>
      <c r="P3230" s="17" t="s">
        <v>3039</v>
      </c>
      <c r="Q3230" s="17"/>
      <c r="R3230" s="25" t="str">
        <f>HYPERLINK("https://ictv.global/taxonomy/taxondetails?taxnode_id=202319289","Pakpunavirus phipa10")</f>
        <v>Pakpunavirus phipa10</v>
      </c>
      <c r="S3230" s="18" t="s">
        <v>30</v>
      </c>
      <c r="T3230" s="18" t="s">
        <v>39758</v>
      </c>
      <c r="U3230" s="18"/>
      <c r="V3230" s="18"/>
      <c r="W3230" s="18" t="s">
        <v>48409</v>
      </c>
      <c r="X3230" s="18" t="s">
        <v>42</v>
      </c>
      <c r="Y3230" s="18" t="s">
        <v>36</v>
      </c>
      <c r="Z3230" s="18" t="s">
        <v>697</v>
      </c>
      <c r="AA3230" s="21" t="str">
        <f>HYPERLINK("https://www.ncbi.nlm.nih.gov/nuccore/OK539826","NCBI Nucleotide")</f>
        <v>NCBI Nucleotide</v>
      </c>
    </row>
    <row r="3231" spans="1:27" x14ac:dyDescent="0.35">
      <c r="A3231">
        <v>1024750</v>
      </c>
      <c r="B3231">
        <v>3207</v>
      </c>
      <c r="C3231">
        <v>1</v>
      </c>
      <c r="D3231" s="17" t="s">
        <v>155</v>
      </c>
      <c r="E3231" s="17"/>
      <c r="F3231" s="17" t="s">
        <v>156</v>
      </c>
      <c r="G3231" s="17"/>
      <c r="H3231" s="17" t="s">
        <v>692</v>
      </c>
      <c r="I3231" s="17"/>
      <c r="J3231" s="17" t="s">
        <v>693</v>
      </c>
      <c r="K3231" s="17"/>
      <c r="L3231" s="17"/>
      <c r="M3231" s="17"/>
      <c r="N3231" s="17"/>
      <c r="O3231" s="17" t="s">
        <v>39742</v>
      </c>
      <c r="P3231" s="17" t="s">
        <v>3039</v>
      </c>
      <c r="Q3231" s="17"/>
      <c r="R3231" s="25" t="str">
        <f>HYPERLINK("https://ictv.global/taxonomy/taxondetails?taxnode_id=202319275","Pakpunavirus pPA30992aT2")</f>
        <v>Pakpunavirus pPA30992aT2</v>
      </c>
      <c r="S3231" s="18" t="s">
        <v>30</v>
      </c>
      <c r="T3231" s="18" t="s">
        <v>39759</v>
      </c>
      <c r="U3231" s="18"/>
      <c r="V3231" s="18"/>
      <c r="W3231" s="18" t="s">
        <v>48410</v>
      </c>
      <c r="X3231" s="18" t="s">
        <v>42</v>
      </c>
      <c r="Y3231" s="18" t="s">
        <v>36</v>
      </c>
      <c r="Z3231" s="18" t="s">
        <v>697</v>
      </c>
      <c r="AA3231" s="21" t="str">
        <f>HYPERLINK("https://www.ncbi.nlm.nih.gov/nuccore/OP784575","NCBI Nucleotide")</f>
        <v>NCBI Nucleotide</v>
      </c>
    </row>
    <row r="3232" spans="1:27" x14ac:dyDescent="0.35">
      <c r="A3232">
        <v>1024751</v>
      </c>
      <c r="B3232">
        <v>3208</v>
      </c>
      <c r="C3232">
        <v>1</v>
      </c>
      <c r="D3232" s="17" t="s">
        <v>155</v>
      </c>
      <c r="E3232" s="17"/>
      <c r="F3232" s="17" t="s">
        <v>156</v>
      </c>
      <c r="G3232" s="17"/>
      <c r="H3232" s="17" t="s">
        <v>692</v>
      </c>
      <c r="I3232" s="17"/>
      <c r="J3232" s="17" t="s">
        <v>693</v>
      </c>
      <c r="K3232" s="17"/>
      <c r="L3232" s="17"/>
      <c r="M3232" s="17"/>
      <c r="N3232" s="17"/>
      <c r="O3232" s="17" t="s">
        <v>39742</v>
      </c>
      <c r="P3232" s="17" t="s">
        <v>3039</v>
      </c>
      <c r="Q3232" s="17"/>
      <c r="R3232" s="25" t="str">
        <f>HYPERLINK("https://ictv.global/taxonomy/taxondetails?taxnode_id=202319290","Pakpunavirus Ps12")</f>
        <v>Pakpunavirus Ps12</v>
      </c>
      <c r="S3232" s="18" t="s">
        <v>30</v>
      </c>
      <c r="T3232" s="18" t="s">
        <v>39760</v>
      </c>
      <c r="U3232" s="18"/>
      <c r="V3232" s="18"/>
      <c r="W3232" s="18" t="s">
        <v>48411</v>
      </c>
      <c r="X3232" s="18" t="s">
        <v>42</v>
      </c>
      <c r="Y3232" s="18" t="s">
        <v>36</v>
      </c>
      <c r="Z3232" s="18" t="s">
        <v>697</v>
      </c>
      <c r="AA3232" s="21" t="str">
        <f>HYPERLINK("https://www.ncbi.nlm.nih.gov/nuccore/OM870967","NCBI Nucleotide")</f>
        <v>NCBI Nucleotide</v>
      </c>
    </row>
    <row r="3233" spans="1:27" x14ac:dyDescent="0.35">
      <c r="A3233">
        <v>1024752</v>
      </c>
      <c r="B3233">
        <v>3209</v>
      </c>
      <c r="C3233">
        <v>1</v>
      </c>
      <c r="D3233" s="17" t="s">
        <v>155</v>
      </c>
      <c r="E3233" s="17"/>
      <c r="F3233" s="17" t="s">
        <v>156</v>
      </c>
      <c r="G3233" s="17"/>
      <c r="H3233" s="17" t="s">
        <v>692</v>
      </c>
      <c r="I3233" s="17"/>
      <c r="J3233" s="17" t="s">
        <v>693</v>
      </c>
      <c r="K3233" s="17"/>
      <c r="L3233" s="17"/>
      <c r="M3233" s="17"/>
      <c r="N3233" s="17"/>
      <c r="O3233" s="17" t="s">
        <v>39742</v>
      </c>
      <c r="P3233" s="17" t="s">
        <v>3039</v>
      </c>
      <c r="Q3233" s="17"/>
      <c r="R3233" s="25" t="str">
        <f>HYPERLINK("https://ictv.global/taxonomy/taxondetails?taxnode_id=202319292","Pakpunavirus PsCh")</f>
        <v>Pakpunavirus PsCh</v>
      </c>
      <c r="S3233" s="18" t="s">
        <v>30</v>
      </c>
      <c r="T3233" s="18" t="s">
        <v>39761</v>
      </c>
      <c r="U3233" s="18"/>
      <c r="V3233" s="18"/>
      <c r="W3233" s="18" t="s">
        <v>48412</v>
      </c>
      <c r="X3233" s="18" t="s">
        <v>42</v>
      </c>
      <c r="Y3233" s="18" t="s">
        <v>36</v>
      </c>
      <c r="Z3233" s="18" t="s">
        <v>697</v>
      </c>
      <c r="AA3233" s="21" t="str">
        <f>HYPERLINK("https://www.ncbi.nlm.nih.gov/nuccore/OM870969","NCBI Nucleotide")</f>
        <v>NCBI Nucleotide</v>
      </c>
    </row>
    <row r="3234" spans="1:27" x14ac:dyDescent="0.35">
      <c r="A3234">
        <v>1024753</v>
      </c>
      <c r="B3234">
        <v>3210</v>
      </c>
      <c r="C3234">
        <v>1</v>
      </c>
      <c r="D3234" s="17" t="s">
        <v>155</v>
      </c>
      <c r="E3234" s="17"/>
      <c r="F3234" s="17" t="s">
        <v>156</v>
      </c>
      <c r="G3234" s="17"/>
      <c r="H3234" s="17" t="s">
        <v>692</v>
      </c>
      <c r="I3234" s="17"/>
      <c r="J3234" s="17" t="s">
        <v>693</v>
      </c>
      <c r="K3234" s="17"/>
      <c r="L3234" s="17"/>
      <c r="M3234" s="17"/>
      <c r="N3234" s="17"/>
      <c r="O3234" s="17" t="s">
        <v>39742</v>
      </c>
      <c r="P3234" s="17" t="s">
        <v>3039</v>
      </c>
      <c r="Q3234" s="17"/>
      <c r="R3234" s="25" t="str">
        <f>HYPERLINK("https://ictv.global/taxonomy/taxondetails?taxnode_id=202319291","Pakpunavirus PsIn")</f>
        <v>Pakpunavirus PsIn</v>
      </c>
      <c r="S3234" s="18" t="s">
        <v>30</v>
      </c>
      <c r="T3234" s="18" t="s">
        <v>39762</v>
      </c>
      <c r="U3234" s="18"/>
      <c r="V3234" s="18"/>
      <c r="W3234" s="18" t="s">
        <v>48413</v>
      </c>
      <c r="X3234" s="18" t="s">
        <v>42</v>
      </c>
      <c r="Y3234" s="18" t="s">
        <v>36</v>
      </c>
      <c r="Z3234" s="18" t="s">
        <v>697</v>
      </c>
      <c r="AA3234" s="21" t="str">
        <f>HYPERLINK("https://www.ncbi.nlm.nih.gov/nuccore/OM870970","NCBI Nucleotide")</f>
        <v>NCBI Nucleotide</v>
      </c>
    </row>
    <row r="3235" spans="1:27" x14ac:dyDescent="0.35">
      <c r="A3235">
        <v>1024754</v>
      </c>
      <c r="B3235">
        <v>3211</v>
      </c>
      <c r="C3235">
        <v>1</v>
      </c>
      <c r="D3235" s="17" t="s">
        <v>155</v>
      </c>
      <c r="E3235" s="17"/>
      <c r="F3235" s="17" t="s">
        <v>156</v>
      </c>
      <c r="G3235" s="17"/>
      <c r="H3235" s="17" t="s">
        <v>692</v>
      </c>
      <c r="I3235" s="17"/>
      <c r="J3235" s="17" t="s">
        <v>693</v>
      </c>
      <c r="K3235" s="17"/>
      <c r="L3235" s="17"/>
      <c r="M3235" s="17"/>
      <c r="N3235" s="17"/>
      <c r="O3235" s="17" t="s">
        <v>39742</v>
      </c>
      <c r="P3235" s="17" t="s">
        <v>3039</v>
      </c>
      <c r="Q3235" s="17"/>
      <c r="R3235" s="25" t="str">
        <f>HYPERLINK("https://ictv.global/taxonomy/taxondetails?taxnode_id=202319281","Pakpunavirus pv20Sep416")</f>
        <v>Pakpunavirus pv20Sep416</v>
      </c>
      <c r="S3235" s="18" t="s">
        <v>30</v>
      </c>
      <c r="T3235" s="18" t="s">
        <v>39763</v>
      </c>
      <c r="U3235" s="18"/>
      <c r="V3235" s="18"/>
      <c r="W3235" s="18" t="s">
        <v>48414</v>
      </c>
      <c r="X3235" s="18" t="s">
        <v>42</v>
      </c>
      <c r="Y3235" s="18" t="s">
        <v>36</v>
      </c>
      <c r="Z3235" s="18" t="s">
        <v>697</v>
      </c>
      <c r="AA3235" s="21" t="str">
        <f>HYPERLINK("https://www.ncbi.nlm.nih.gov/nuccore/OQ319936","NCBI Nucleotide")</f>
        <v>NCBI Nucleotide</v>
      </c>
    </row>
    <row r="3236" spans="1:27" x14ac:dyDescent="0.35">
      <c r="A3236">
        <v>1024755</v>
      </c>
      <c r="B3236">
        <v>3212</v>
      </c>
      <c r="C3236">
        <v>1</v>
      </c>
      <c r="D3236" s="17" t="s">
        <v>155</v>
      </c>
      <c r="E3236" s="17"/>
      <c r="F3236" s="17" t="s">
        <v>156</v>
      </c>
      <c r="G3236" s="17"/>
      <c r="H3236" s="17" t="s">
        <v>692</v>
      </c>
      <c r="I3236" s="17"/>
      <c r="J3236" s="17" t="s">
        <v>693</v>
      </c>
      <c r="K3236" s="17"/>
      <c r="L3236" s="17"/>
      <c r="M3236" s="17"/>
      <c r="N3236" s="17"/>
      <c r="O3236" s="17" t="s">
        <v>39742</v>
      </c>
      <c r="P3236" s="17" t="s">
        <v>3039</v>
      </c>
      <c r="Q3236" s="17"/>
      <c r="R3236" s="25" t="str">
        <f>HYPERLINK("https://ictv.global/taxonomy/taxondetails?taxnode_id=202319271","Pakpunavirus SPA01")</f>
        <v>Pakpunavirus SPA01</v>
      </c>
      <c r="S3236" s="18" t="s">
        <v>30</v>
      </c>
      <c r="T3236" s="18" t="s">
        <v>39764</v>
      </c>
      <c r="U3236" s="18"/>
      <c r="V3236" s="18"/>
      <c r="W3236" s="18" t="s">
        <v>48415</v>
      </c>
      <c r="X3236" s="18" t="s">
        <v>42</v>
      </c>
      <c r="Y3236" s="18" t="s">
        <v>36</v>
      </c>
      <c r="Z3236" s="18" t="s">
        <v>697</v>
      </c>
      <c r="AA3236" s="21" t="str">
        <f>HYPERLINK("https://www.ncbi.nlm.nih.gov/nuccore/OP875100","NCBI Nucleotide")</f>
        <v>NCBI Nucleotide</v>
      </c>
    </row>
    <row r="3237" spans="1:27" x14ac:dyDescent="0.35">
      <c r="A3237">
        <v>1024756</v>
      </c>
      <c r="B3237">
        <v>3213</v>
      </c>
      <c r="C3237">
        <v>1</v>
      </c>
      <c r="D3237" s="17" t="s">
        <v>155</v>
      </c>
      <c r="E3237" s="17"/>
      <c r="F3237" s="17" t="s">
        <v>156</v>
      </c>
      <c r="G3237" s="17"/>
      <c r="H3237" s="17" t="s">
        <v>692</v>
      </c>
      <c r="I3237" s="17"/>
      <c r="J3237" s="17" t="s">
        <v>693</v>
      </c>
      <c r="K3237" s="17"/>
      <c r="L3237" s="17"/>
      <c r="M3237" s="17"/>
      <c r="N3237" s="17"/>
      <c r="O3237" s="17" t="s">
        <v>39742</v>
      </c>
      <c r="P3237" s="17" t="s">
        <v>3039</v>
      </c>
      <c r="Q3237" s="17"/>
      <c r="R3237" s="25" t="str">
        <f>HYPERLINK("https://ictv.global/taxonomy/taxondetails?taxnode_id=202319273","Pakpunavirus SPA05")</f>
        <v>Pakpunavirus SPA05</v>
      </c>
      <c r="S3237" s="18" t="s">
        <v>30</v>
      </c>
      <c r="T3237" s="18" t="s">
        <v>39765</v>
      </c>
      <c r="U3237" s="18"/>
      <c r="V3237" s="18"/>
      <c r="W3237" s="18" t="s">
        <v>48416</v>
      </c>
      <c r="X3237" s="18" t="s">
        <v>42</v>
      </c>
      <c r="Y3237" s="18" t="s">
        <v>36</v>
      </c>
      <c r="Z3237" s="18" t="s">
        <v>697</v>
      </c>
      <c r="AA3237" s="21" t="str">
        <f>HYPERLINK("https://www.ncbi.nlm.nih.gov/nuccore/OP875101","NCBI Nucleotide")</f>
        <v>NCBI Nucleotide</v>
      </c>
    </row>
    <row r="3238" spans="1:27" x14ac:dyDescent="0.35">
      <c r="A3238">
        <v>1024757</v>
      </c>
      <c r="B3238">
        <v>3214</v>
      </c>
      <c r="C3238">
        <v>1</v>
      </c>
      <c r="D3238" s="17" t="s">
        <v>155</v>
      </c>
      <c r="E3238" s="17"/>
      <c r="F3238" s="17" t="s">
        <v>156</v>
      </c>
      <c r="G3238" s="17"/>
      <c r="H3238" s="17" t="s">
        <v>692</v>
      </c>
      <c r="I3238" s="17"/>
      <c r="J3238" s="17" t="s">
        <v>693</v>
      </c>
      <c r="K3238" s="17"/>
      <c r="L3238" s="17"/>
      <c r="M3238" s="17"/>
      <c r="N3238" s="17"/>
      <c r="O3238" s="17" t="s">
        <v>39742</v>
      </c>
      <c r="P3238" s="17" t="s">
        <v>3039</v>
      </c>
      <c r="Q3238" s="17"/>
      <c r="R3238" s="25" t="str">
        <f>HYPERLINK("https://ictv.global/taxonomy/taxondetails?taxnode_id=202319224","Pakpunavirus vippaeumc")</f>
        <v>Pakpunavirus vippaeumc</v>
      </c>
      <c r="S3238" s="18" t="s">
        <v>30</v>
      </c>
      <c r="T3238" s="18" t="s">
        <v>39766</v>
      </c>
      <c r="U3238" s="18" t="s">
        <v>39767</v>
      </c>
      <c r="V3238" s="18" t="s">
        <v>39768</v>
      </c>
      <c r="W3238" s="18" t="s">
        <v>39769</v>
      </c>
      <c r="X3238" s="18" t="s">
        <v>42</v>
      </c>
      <c r="Y3238" s="18" t="s">
        <v>36</v>
      </c>
      <c r="Z3238" s="18" t="s">
        <v>697</v>
      </c>
      <c r="AA3238" s="21" t="str">
        <f>HYPERLINK("https://www.ncbi.nlm.nih.gov/nuccore/OQ721915","NCBI Nucleotide")</f>
        <v>NCBI Nucleotide</v>
      </c>
    </row>
    <row r="3239" spans="1:27" x14ac:dyDescent="0.35">
      <c r="A3239">
        <v>1024758</v>
      </c>
      <c r="B3239">
        <v>3215</v>
      </c>
      <c r="C3239">
        <v>1</v>
      </c>
      <c r="D3239" s="17" t="s">
        <v>155</v>
      </c>
      <c r="E3239" s="17"/>
      <c r="F3239" s="17" t="s">
        <v>156</v>
      </c>
      <c r="G3239" s="17"/>
      <c r="H3239" s="17" t="s">
        <v>692</v>
      </c>
      <c r="I3239" s="17"/>
      <c r="J3239" s="17" t="s">
        <v>693</v>
      </c>
      <c r="K3239" s="17"/>
      <c r="L3239" s="17"/>
      <c r="M3239" s="17"/>
      <c r="N3239" s="17"/>
      <c r="O3239" s="17" t="s">
        <v>39742</v>
      </c>
      <c r="P3239" s="17" t="s">
        <v>3039</v>
      </c>
      <c r="Q3239" s="17"/>
      <c r="R3239" s="25" t="str">
        <f>HYPERLINK("https://ictv.global/taxonomy/taxondetails?taxnode_id=202319286","Pakpunavirus YS35")</f>
        <v>Pakpunavirus YS35</v>
      </c>
      <c r="S3239" s="18" t="s">
        <v>30</v>
      </c>
      <c r="T3239" s="18" t="s">
        <v>39770</v>
      </c>
      <c r="U3239" s="18"/>
      <c r="V3239" s="18"/>
      <c r="W3239" s="18" t="s">
        <v>48417</v>
      </c>
      <c r="X3239" s="18" t="s">
        <v>42</v>
      </c>
      <c r="Y3239" s="18" t="s">
        <v>36</v>
      </c>
      <c r="Z3239" s="18" t="s">
        <v>697</v>
      </c>
      <c r="AA3239" s="21" t="str">
        <f>HYPERLINK("https://www.ncbi.nlm.nih.gov/nuccore/MF974178","NCBI Nucleotide")</f>
        <v>NCBI Nucleotide</v>
      </c>
    </row>
    <row r="3240" spans="1:27" x14ac:dyDescent="0.35">
      <c r="A3240">
        <v>1006226</v>
      </c>
      <c r="B3240">
        <v>3216</v>
      </c>
      <c r="C3240">
        <v>1</v>
      </c>
      <c r="D3240" s="17" t="s">
        <v>155</v>
      </c>
      <c r="E3240" s="17"/>
      <c r="F3240" s="17" t="s">
        <v>156</v>
      </c>
      <c r="G3240" s="17"/>
      <c r="H3240" s="17" t="s">
        <v>692</v>
      </c>
      <c r="I3240" s="17"/>
      <c r="J3240" s="17" t="s">
        <v>693</v>
      </c>
      <c r="K3240" s="17"/>
      <c r="L3240" s="17"/>
      <c r="M3240" s="17"/>
      <c r="N3240" s="17"/>
      <c r="O3240" s="17" t="s">
        <v>39742</v>
      </c>
      <c r="P3240" s="17" t="s">
        <v>3039</v>
      </c>
      <c r="Q3240" s="17"/>
      <c r="R3240" s="25" t="str">
        <f>HYPERLINK("https://ictv.global/taxonomy/taxondetails?taxnode_id=202307016","Pakpunavirus zigelbrucke")</f>
        <v>Pakpunavirus zigelbrucke</v>
      </c>
      <c r="S3240" s="18" t="s">
        <v>30</v>
      </c>
      <c r="T3240" s="18" t="s">
        <v>3060</v>
      </c>
      <c r="U3240" s="18"/>
      <c r="V3240" s="18"/>
      <c r="W3240" s="18" t="s">
        <v>3061</v>
      </c>
      <c r="X3240" s="18" t="s">
        <v>42</v>
      </c>
      <c r="Y3240" s="18" t="s">
        <v>36</v>
      </c>
      <c r="Z3240" s="18" t="s">
        <v>697</v>
      </c>
      <c r="AA3240" s="21" t="str">
        <f>HYPERLINK("https://www.ncbi.nlm.nih.gov/nuccore/KY073228","NCBI Nucleotide")</f>
        <v>NCBI Nucleotide</v>
      </c>
    </row>
    <row r="3241" spans="1:27" x14ac:dyDescent="0.35">
      <c r="A3241">
        <v>1024853</v>
      </c>
      <c r="B3241">
        <v>3217</v>
      </c>
      <c r="C3241">
        <v>1</v>
      </c>
      <c r="D3241" s="17" t="s">
        <v>155</v>
      </c>
      <c r="E3241" s="17"/>
      <c r="F3241" s="17" t="s">
        <v>156</v>
      </c>
      <c r="G3241" s="17"/>
      <c r="H3241" s="17" t="s">
        <v>692</v>
      </c>
      <c r="I3241" s="17"/>
      <c r="J3241" s="17" t="s">
        <v>693</v>
      </c>
      <c r="K3241" s="17"/>
      <c r="L3241" s="17"/>
      <c r="M3241" s="17"/>
      <c r="N3241" s="17"/>
      <c r="O3241" s="17" t="s">
        <v>39771</v>
      </c>
      <c r="P3241" s="17" t="s">
        <v>39772</v>
      </c>
      <c r="Q3241" s="17"/>
      <c r="R3241" s="25" t="str">
        <f>HYPERLINK("https://ictv.global/taxonomy/taxondetails?taxnode_id=202319294","Shirevirus langgrundblatt1")</f>
        <v>Shirevirus langgrundblatt1</v>
      </c>
      <c r="S3241" s="18" t="s">
        <v>30</v>
      </c>
      <c r="T3241" s="18" t="s">
        <v>39773</v>
      </c>
      <c r="U3241" s="18"/>
      <c r="V3241" s="18"/>
      <c r="W3241" s="18" t="s">
        <v>48418</v>
      </c>
      <c r="X3241" s="18" t="s">
        <v>42</v>
      </c>
      <c r="Y3241" s="18" t="s">
        <v>36</v>
      </c>
      <c r="Z3241" s="18" t="s">
        <v>697</v>
      </c>
      <c r="AA3241" s="21" t="str">
        <f>HYPERLINK("https://www.ncbi.nlm.nih.gov/nuccore/ON189042","NCBI Nucleotide")</f>
        <v>NCBI Nucleotide</v>
      </c>
    </row>
    <row r="3242" spans="1:27" x14ac:dyDescent="0.35">
      <c r="A3242">
        <v>1024854</v>
      </c>
      <c r="B3242">
        <v>3218</v>
      </c>
      <c r="C3242">
        <v>1</v>
      </c>
      <c r="D3242" s="17" t="s">
        <v>155</v>
      </c>
      <c r="E3242" s="17"/>
      <c r="F3242" s="17" t="s">
        <v>156</v>
      </c>
      <c r="G3242" s="17"/>
      <c r="H3242" s="17" t="s">
        <v>692</v>
      </c>
      <c r="I3242" s="17"/>
      <c r="J3242" s="17" t="s">
        <v>693</v>
      </c>
      <c r="K3242" s="17"/>
      <c r="L3242" s="17"/>
      <c r="M3242" s="17"/>
      <c r="N3242" s="17"/>
      <c r="O3242" s="17" t="s">
        <v>39771</v>
      </c>
      <c r="P3242" s="17" t="s">
        <v>39772</v>
      </c>
      <c r="Q3242" s="17"/>
      <c r="R3242" s="25" t="str">
        <f>HYPERLINK("https://ictv.global/taxonomy/taxondetails?taxnode_id=202319295","Shirevirus langgrundblatt2")</f>
        <v>Shirevirus langgrundblatt2</v>
      </c>
      <c r="S3242" s="18" t="s">
        <v>30</v>
      </c>
      <c r="T3242" s="18" t="s">
        <v>39774</v>
      </c>
      <c r="U3242" s="18"/>
      <c r="V3242" s="18"/>
      <c r="W3242" s="18" t="s">
        <v>48419</v>
      </c>
      <c r="X3242" s="18" t="s">
        <v>42</v>
      </c>
      <c r="Y3242" s="18" t="s">
        <v>36</v>
      </c>
      <c r="Z3242" s="18" t="s">
        <v>697</v>
      </c>
      <c r="AA3242" s="21" t="str">
        <f>HYPERLINK("https://www.ncbi.nlm.nih.gov/nuccore/ON189043","NCBI Nucleotide")</f>
        <v>NCBI Nucleotide</v>
      </c>
    </row>
    <row r="3243" spans="1:27" x14ac:dyDescent="0.35">
      <c r="A3243">
        <v>1024855</v>
      </c>
      <c r="B3243">
        <v>3219</v>
      </c>
      <c r="C3243">
        <v>1</v>
      </c>
      <c r="D3243" s="17" t="s">
        <v>155</v>
      </c>
      <c r="E3243" s="17"/>
      <c r="F3243" s="17" t="s">
        <v>156</v>
      </c>
      <c r="G3243" s="17"/>
      <c r="H3243" s="17" t="s">
        <v>692</v>
      </c>
      <c r="I3243" s="17"/>
      <c r="J3243" s="17" t="s">
        <v>693</v>
      </c>
      <c r="K3243" s="17"/>
      <c r="L3243" s="17"/>
      <c r="M3243" s="17"/>
      <c r="N3243" s="17"/>
      <c r="O3243" s="17" t="s">
        <v>39771</v>
      </c>
      <c r="P3243" s="17" t="s">
        <v>39772</v>
      </c>
      <c r="Q3243" s="17"/>
      <c r="R3243" s="25" t="str">
        <f>HYPERLINK("https://ictv.global/taxonomy/taxondetails?taxnode_id=202319296","Shirevirus pfeifenkraut")</f>
        <v>Shirevirus pfeifenkraut</v>
      </c>
      <c r="S3243" s="18" t="s">
        <v>30</v>
      </c>
      <c r="T3243" s="18" t="s">
        <v>39775</v>
      </c>
      <c r="U3243" s="18"/>
      <c r="V3243" s="18"/>
      <c r="W3243" s="18" t="s">
        <v>48420</v>
      </c>
      <c r="X3243" s="18" t="s">
        <v>42</v>
      </c>
      <c r="Y3243" s="18" t="s">
        <v>36</v>
      </c>
      <c r="Z3243" s="18" t="s">
        <v>697</v>
      </c>
      <c r="AA3243" s="21" t="str">
        <f>HYPERLINK("https://www.ncbi.nlm.nih.gov/nuccore/ON189044","NCBI Nucleotide")</f>
        <v>NCBI Nucleotide</v>
      </c>
    </row>
    <row r="3244" spans="1:27" x14ac:dyDescent="0.35">
      <c r="A3244">
        <v>1024867</v>
      </c>
      <c r="B3244">
        <v>3220</v>
      </c>
      <c r="C3244">
        <v>1</v>
      </c>
      <c r="D3244" s="17" t="s">
        <v>155</v>
      </c>
      <c r="E3244" s="17"/>
      <c r="F3244" s="17" t="s">
        <v>156</v>
      </c>
      <c r="G3244" s="17"/>
      <c r="H3244" s="17" t="s">
        <v>692</v>
      </c>
      <c r="I3244" s="17"/>
      <c r="J3244" s="17" t="s">
        <v>693</v>
      </c>
      <c r="K3244" s="17"/>
      <c r="L3244" s="17"/>
      <c r="M3244" s="17"/>
      <c r="N3244" s="17"/>
      <c r="O3244" s="17" t="s">
        <v>39771</v>
      </c>
      <c r="P3244" s="17" t="s">
        <v>39776</v>
      </c>
      <c r="Q3244" s="17"/>
      <c r="R3244" s="25" t="str">
        <f>HYPERLINK("https://ictv.global/taxonomy/taxondetails?taxnode_id=202319293","Subavirus suba")</f>
        <v>Subavirus suba</v>
      </c>
      <c r="S3244" s="18" t="s">
        <v>30</v>
      </c>
      <c r="T3244" s="18" t="s">
        <v>39777</v>
      </c>
      <c r="U3244" s="18"/>
      <c r="V3244" s="18"/>
      <c r="W3244" s="18" t="s">
        <v>48421</v>
      </c>
      <c r="X3244" s="18" t="s">
        <v>42</v>
      </c>
      <c r="Y3244" s="18" t="s">
        <v>36</v>
      </c>
      <c r="Z3244" s="18" t="s">
        <v>697</v>
      </c>
      <c r="AA3244" s="21" t="str">
        <f>HYPERLINK("https://www.ncbi.nlm.nih.gov/nuccore/LR743530","NCBI Nucleotide")</f>
        <v>NCBI Nucleotide</v>
      </c>
    </row>
    <row r="3245" spans="1:27" x14ac:dyDescent="0.35">
      <c r="A3245">
        <v>1004403</v>
      </c>
      <c r="B3245">
        <v>3221</v>
      </c>
      <c r="C3245">
        <v>1</v>
      </c>
      <c r="D3245" s="17" t="s">
        <v>155</v>
      </c>
      <c r="E3245" s="17"/>
      <c r="F3245" s="17" t="s">
        <v>156</v>
      </c>
      <c r="G3245" s="17"/>
      <c r="H3245" s="17" t="s">
        <v>692</v>
      </c>
      <c r="I3245" s="17"/>
      <c r="J3245" s="17" t="s">
        <v>693</v>
      </c>
      <c r="K3245" s="17"/>
      <c r="L3245" s="17"/>
      <c r="M3245" s="17"/>
      <c r="N3245" s="17"/>
      <c r="O3245" s="17" t="s">
        <v>5778</v>
      </c>
      <c r="P3245" s="17" t="s">
        <v>5779</v>
      </c>
      <c r="Q3245" s="17"/>
      <c r="R3245" s="25" t="str">
        <f>HYPERLINK("https://ictv.global/taxonomy/taxondetails?taxnode_id=202313660","Justusliebigvirus alia")</f>
        <v>Justusliebigvirus alia</v>
      </c>
      <c r="S3245" s="18" t="s">
        <v>30</v>
      </c>
      <c r="T3245" s="18" t="s">
        <v>5780</v>
      </c>
      <c r="U3245" s="18"/>
      <c r="V3245" s="18"/>
      <c r="W3245" s="18" t="s">
        <v>5781</v>
      </c>
      <c r="X3245" s="18" t="s">
        <v>42</v>
      </c>
      <c r="Y3245" s="18" t="s">
        <v>36</v>
      </c>
      <c r="Z3245" s="18" t="s">
        <v>697</v>
      </c>
      <c r="AA3245" s="21" t="str">
        <f>HYPERLINK("https://www.ncbi.nlm.nih.gov/nuccore/MN850632","NCBI Nucleotide")</f>
        <v>NCBI Nucleotide</v>
      </c>
    </row>
    <row r="3246" spans="1:27" x14ac:dyDescent="0.35">
      <c r="A3246">
        <v>1004404</v>
      </c>
      <c r="B3246">
        <v>3222</v>
      </c>
      <c r="C3246">
        <v>1</v>
      </c>
      <c r="D3246" s="17" t="s">
        <v>155</v>
      </c>
      <c r="E3246" s="17"/>
      <c r="F3246" s="17" t="s">
        <v>156</v>
      </c>
      <c r="G3246" s="17"/>
      <c r="H3246" s="17" t="s">
        <v>692</v>
      </c>
      <c r="I3246" s="17"/>
      <c r="J3246" s="17" t="s">
        <v>693</v>
      </c>
      <c r="K3246" s="17"/>
      <c r="L3246" s="17"/>
      <c r="M3246" s="17"/>
      <c r="N3246" s="17"/>
      <c r="O3246" s="17" t="s">
        <v>5778</v>
      </c>
      <c r="P3246" s="17" t="s">
        <v>5779</v>
      </c>
      <c r="Q3246" s="17"/>
      <c r="R3246" s="25" t="str">
        <f>HYPERLINK("https://ictv.global/taxonomy/taxondetails?taxnode_id=202313658","Justusliebigvirus muut")</f>
        <v>Justusliebigvirus muut</v>
      </c>
      <c r="S3246" s="18" t="s">
        <v>30</v>
      </c>
      <c r="T3246" s="18" t="s">
        <v>5782</v>
      </c>
      <c r="U3246" s="18"/>
      <c r="V3246" s="18"/>
      <c r="W3246" s="18" t="s">
        <v>5783</v>
      </c>
      <c r="X3246" s="18" t="s">
        <v>42</v>
      </c>
      <c r="Y3246" s="18" t="s">
        <v>36</v>
      </c>
      <c r="Z3246" s="18" t="s">
        <v>697</v>
      </c>
      <c r="AA3246" s="21" t="str">
        <f>HYPERLINK("https://www.ncbi.nlm.nih.gov/nuccore/MN850573","NCBI Nucleotide")</f>
        <v>NCBI Nucleotide</v>
      </c>
    </row>
    <row r="3247" spans="1:27" x14ac:dyDescent="0.35">
      <c r="A3247">
        <v>1004405</v>
      </c>
      <c r="B3247">
        <v>3223</v>
      </c>
      <c r="C3247">
        <v>1</v>
      </c>
      <c r="D3247" s="17" t="s">
        <v>155</v>
      </c>
      <c r="E3247" s="17"/>
      <c r="F3247" s="17" t="s">
        <v>156</v>
      </c>
      <c r="G3247" s="17"/>
      <c r="H3247" s="17" t="s">
        <v>692</v>
      </c>
      <c r="I3247" s="17"/>
      <c r="J3247" s="17" t="s">
        <v>693</v>
      </c>
      <c r="K3247" s="17"/>
      <c r="L3247" s="17"/>
      <c r="M3247" s="17"/>
      <c r="N3247" s="17"/>
      <c r="O3247" s="17" t="s">
        <v>5778</v>
      </c>
      <c r="P3247" s="17" t="s">
        <v>5779</v>
      </c>
      <c r="Q3247" s="17"/>
      <c r="R3247" s="25" t="str">
        <f>HYPERLINK("https://ictv.global/taxonomy/taxondetails?taxnode_id=202313661","Justusliebigvirus PD06")</f>
        <v>Justusliebigvirus PD06</v>
      </c>
      <c r="S3247" s="18" t="s">
        <v>30</v>
      </c>
      <c r="T3247" s="18" t="s">
        <v>5784</v>
      </c>
      <c r="U3247" s="18"/>
      <c r="V3247" s="18"/>
      <c r="W3247" s="18" t="s">
        <v>5785</v>
      </c>
      <c r="X3247" s="18" t="s">
        <v>42</v>
      </c>
      <c r="Y3247" s="18" t="s">
        <v>36</v>
      </c>
      <c r="Z3247" s="18" t="s">
        <v>697</v>
      </c>
      <c r="AA3247" s="21" t="str">
        <f>HYPERLINK("https://www.ncbi.nlm.nih.gov/nuccore/MH816848","NCBI Nucleotide")</f>
        <v>NCBI Nucleotide</v>
      </c>
    </row>
    <row r="3248" spans="1:27" x14ac:dyDescent="0.35">
      <c r="A3248">
        <v>1004406</v>
      </c>
      <c r="B3248">
        <v>3224</v>
      </c>
      <c r="C3248">
        <v>1</v>
      </c>
      <c r="D3248" s="17" t="s">
        <v>155</v>
      </c>
      <c r="E3248" s="17"/>
      <c r="F3248" s="17" t="s">
        <v>156</v>
      </c>
      <c r="G3248" s="17"/>
      <c r="H3248" s="17" t="s">
        <v>692</v>
      </c>
      <c r="I3248" s="17"/>
      <c r="J3248" s="17" t="s">
        <v>693</v>
      </c>
      <c r="K3248" s="17"/>
      <c r="L3248" s="17"/>
      <c r="M3248" s="17"/>
      <c r="N3248" s="17"/>
      <c r="O3248" s="17" t="s">
        <v>5778</v>
      </c>
      <c r="P3248" s="17" t="s">
        <v>5779</v>
      </c>
      <c r="Q3248" s="17"/>
      <c r="R3248" s="25" t="str">
        <f>HYPERLINK("https://ictv.global/taxonomy/taxondetails?taxnode_id=202313662","Justusliebigvirus PHB05")</f>
        <v>Justusliebigvirus PHB05</v>
      </c>
      <c r="S3248" s="18" t="s">
        <v>30</v>
      </c>
      <c r="T3248" s="18" t="s">
        <v>5786</v>
      </c>
      <c r="U3248" s="18"/>
      <c r="V3248" s="18"/>
      <c r="W3248" s="18" t="s">
        <v>5787</v>
      </c>
      <c r="X3248" s="18" t="s">
        <v>42</v>
      </c>
      <c r="Y3248" s="18" t="s">
        <v>36</v>
      </c>
      <c r="Z3248" s="18" t="s">
        <v>697</v>
      </c>
      <c r="AA3248" s="21" t="str">
        <f>HYPERLINK("https://www.ncbi.nlm.nih.gov/nuccore/MF805809","NCBI Nucleotide")</f>
        <v>NCBI Nucleotide</v>
      </c>
    </row>
    <row r="3249" spans="1:27" x14ac:dyDescent="0.35">
      <c r="A3249">
        <v>1004407</v>
      </c>
      <c r="B3249">
        <v>3225</v>
      </c>
      <c r="C3249">
        <v>1</v>
      </c>
      <c r="D3249" s="17" t="s">
        <v>155</v>
      </c>
      <c r="E3249" s="17"/>
      <c r="F3249" s="17" t="s">
        <v>156</v>
      </c>
      <c r="G3249" s="17"/>
      <c r="H3249" s="17" t="s">
        <v>692</v>
      </c>
      <c r="I3249" s="17"/>
      <c r="J3249" s="17" t="s">
        <v>693</v>
      </c>
      <c r="K3249" s="17"/>
      <c r="L3249" s="17"/>
      <c r="M3249" s="17"/>
      <c r="N3249" s="17"/>
      <c r="O3249" s="17" t="s">
        <v>5778</v>
      </c>
      <c r="P3249" s="17" t="s">
        <v>5779</v>
      </c>
      <c r="Q3249" s="17"/>
      <c r="R3249" s="25" t="str">
        <f>HYPERLINK("https://ictv.global/taxonomy/taxondetails?taxnode_id=202313657","Justusliebigvirus phi92")</f>
        <v>Justusliebigvirus phi92</v>
      </c>
      <c r="S3249" s="18" t="s">
        <v>30</v>
      </c>
      <c r="T3249" s="18" t="s">
        <v>5788</v>
      </c>
      <c r="U3249" s="18"/>
      <c r="V3249" s="18"/>
      <c r="W3249" s="18" t="s">
        <v>5789</v>
      </c>
      <c r="X3249" s="18" t="s">
        <v>42</v>
      </c>
      <c r="Y3249" s="18" t="s">
        <v>36</v>
      </c>
      <c r="Z3249" s="18" t="s">
        <v>697</v>
      </c>
      <c r="AA3249" s="21" t="str">
        <f>HYPERLINK("https://www.ncbi.nlm.nih.gov/nuccore/FR775895","NCBI Nucleotide")</f>
        <v>NCBI Nucleotide</v>
      </c>
    </row>
    <row r="3250" spans="1:27" x14ac:dyDescent="0.35">
      <c r="A3250">
        <v>1004408</v>
      </c>
      <c r="B3250">
        <v>3226</v>
      </c>
      <c r="C3250">
        <v>1</v>
      </c>
      <c r="D3250" s="17" t="s">
        <v>155</v>
      </c>
      <c r="E3250" s="17"/>
      <c r="F3250" s="17" t="s">
        <v>156</v>
      </c>
      <c r="G3250" s="17"/>
      <c r="H3250" s="17" t="s">
        <v>692</v>
      </c>
      <c r="I3250" s="17"/>
      <c r="J3250" s="17" t="s">
        <v>693</v>
      </c>
      <c r="K3250" s="17"/>
      <c r="L3250" s="17"/>
      <c r="M3250" s="17"/>
      <c r="N3250" s="17"/>
      <c r="O3250" s="17" t="s">
        <v>5778</v>
      </c>
      <c r="P3250" s="17" t="s">
        <v>5779</v>
      </c>
      <c r="Q3250" s="17"/>
      <c r="R3250" s="25" t="str">
        <f>HYPERLINK("https://ictv.global/taxonomy/taxondetails?taxnode_id=202313659","Justusliebigvirus VEcB")</f>
        <v>Justusliebigvirus VEcB</v>
      </c>
      <c r="S3250" s="18" t="s">
        <v>30</v>
      </c>
      <c r="T3250" s="18" t="s">
        <v>5790</v>
      </c>
      <c r="U3250" s="18"/>
      <c r="V3250" s="18"/>
      <c r="W3250" s="18" t="s">
        <v>5791</v>
      </c>
      <c r="X3250" s="18" t="s">
        <v>42</v>
      </c>
      <c r="Y3250" s="18" t="s">
        <v>36</v>
      </c>
      <c r="Z3250" s="18" t="s">
        <v>697</v>
      </c>
      <c r="AA3250" s="21" t="str">
        <f>HYPERLINK("https://www.ncbi.nlm.nih.gov/nuccore/MT932211","NCBI Nucleotide")</f>
        <v>NCBI Nucleotide</v>
      </c>
    </row>
    <row r="3251" spans="1:27" x14ac:dyDescent="0.35">
      <c r="A3251">
        <v>1004409</v>
      </c>
      <c r="B3251">
        <v>3227</v>
      </c>
      <c r="C3251">
        <v>1</v>
      </c>
      <c r="D3251" s="17" t="s">
        <v>155</v>
      </c>
      <c r="E3251" s="17"/>
      <c r="F3251" s="17" t="s">
        <v>156</v>
      </c>
      <c r="G3251" s="17"/>
      <c r="H3251" s="17" t="s">
        <v>692</v>
      </c>
      <c r="I3251" s="17"/>
      <c r="J3251" s="17" t="s">
        <v>693</v>
      </c>
      <c r="K3251" s="17"/>
      <c r="L3251" s="17"/>
      <c r="M3251" s="17"/>
      <c r="N3251" s="17"/>
      <c r="O3251" s="17" t="s">
        <v>5778</v>
      </c>
      <c r="P3251" s="17" t="s">
        <v>5792</v>
      </c>
      <c r="Q3251" s="17"/>
      <c r="R3251" s="25" t="str">
        <f>HYPERLINK("https://ictv.global/taxonomy/taxondetails?taxnode_id=202307991","Escherichia phage ESCO13")</f>
        <v>Escherichia phage ESCO13</v>
      </c>
      <c r="S3251" s="18" t="s">
        <v>30</v>
      </c>
      <c r="T3251" s="18" t="s">
        <v>5793</v>
      </c>
      <c r="U3251" s="18"/>
      <c r="V3251" s="18"/>
      <c r="W3251" s="18" t="s">
        <v>5794</v>
      </c>
      <c r="X3251" s="18" t="s">
        <v>42</v>
      </c>
      <c r="Y3251" s="18" t="s">
        <v>36</v>
      </c>
      <c r="Z3251" s="18" t="s">
        <v>697</v>
      </c>
      <c r="AA3251" s="21" t="str">
        <f>HYPERLINK("https://www.ncbi.nlm.nih.gov/nuccore/KX552041","NCBI Nucleotide")</f>
        <v>NCBI Nucleotide</v>
      </c>
    </row>
    <row r="3252" spans="1:27" x14ac:dyDescent="0.35">
      <c r="A3252">
        <v>1004410</v>
      </c>
      <c r="B3252">
        <v>3228</v>
      </c>
      <c r="C3252">
        <v>1</v>
      </c>
      <c r="D3252" s="17" t="s">
        <v>155</v>
      </c>
      <c r="E3252" s="17"/>
      <c r="F3252" s="17" t="s">
        <v>156</v>
      </c>
      <c r="G3252" s="17"/>
      <c r="H3252" s="17" t="s">
        <v>692</v>
      </c>
      <c r="I3252" s="17"/>
      <c r="J3252" s="17" t="s">
        <v>693</v>
      </c>
      <c r="K3252" s="17"/>
      <c r="L3252" s="17"/>
      <c r="M3252" s="17"/>
      <c r="N3252" s="17"/>
      <c r="O3252" s="17" t="s">
        <v>5778</v>
      </c>
      <c r="P3252" s="17" t="s">
        <v>5792</v>
      </c>
      <c r="Q3252" s="17"/>
      <c r="R3252" s="25" t="str">
        <f>HYPERLINK("https://ictv.global/taxonomy/taxondetails?taxnode_id=202307989","Escherichia virus ESCO5")</f>
        <v>Escherichia virus ESCO5</v>
      </c>
      <c r="S3252" s="18" t="s">
        <v>30</v>
      </c>
      <c r="T3252" s="18" t="s">
        <v>5795</v>
      </c>
      <c r="U3252" s="18"/>
      <c r="V3252" s="18"/>
      <c r="W3252" s="18" t="s">
        <v>5796</v>
      </c>
      <c r="X3252" s="18" t="s">
        <v>42</v>
      </c>
      <c r="Y3252" s="18" t="s">
        <v>36</v>
      </c>
      <c r="Z3252" s="18" t="s">
        <v>697</v>
      </c>
      <c r="AA3252" s="21" t="str">
        <f>HYPERLINK("https://www.ncbi.nlm.nih.gov/nuccore/KX664695","NCBI Nucleotide")</f>
        <v>NCBI Nucleotide</v>
      </c>
    </row>
    <row r="3253" spans="1:27" x14ac:dyDescent="0.35">
      <c r="A3253">
        <v>1004411</v>
      </c>
      <c r="B3253">
        <v>3229</v>
      </c>
      <c r="C3253">
        <v>1</v>
      </c>
      <c r="D3253" s="17" t="s">
        <v>155</v>
      </c>
      <c r="E3253" s="17"/>
      <c r="F3253" s="17" t="s">
        <v>156</v>
      </c>
      <c r="G3253" s="17"/>
      <c r="H3253" s="17" t="s">
        <v>692</v>
      </c>
      <c r="I3253" s="17"/>
      <c r="J3253" s="17" t="s">
        <v>693</v>
      </c>
      <c r="K3253" s="17"/>
      <c r="L3253" s="17"/>
      <c r="M3253" s="17"/>
      <c r="N3253" s="17"/>
      <c r="O3253" s="17" t="s">
        <v>5778</v>
      </c>
      <c r="P3253" s="17" t="s">
        <v>5792</v>
      </c>
      <c r="Q3253" s="17"/>
      <c r="R3253" s="25" t="str">
        <f>HYPERLINK("https://ictv.global/taxonomy/taxondetails?taxnode_id=202307987","Escherichia virus phAPEC8")</f>
        <v>Escherichia virus phAPEC8</v>
      </c>
      <c r="S3253" s="18" t="s">
        <v>30</v>
      </c>
      <c r="T3253" s="18" t="s">
        <v>5797</v>
      </c>
      <c r="U3253" s="18"/>
      <c r="V3253" s="18"/>
      <c r="W3253" s="18" t="s">
        <v>5798</v>
      </c>
      <c r="X3253" s="18" t="s">
        <v>42</v>
      </c>
      <c r="Y3253" s="18" t="s">
        <v>36</v>
      </c>
      <c r="Z3253" s="18" t="s">
        <v>697</v>
      </c>
      <c r="AA3253" s="21" t="str">
        <f>HYPERLINK("https://www.ncbi.nlm.nih.gov/nuccore/JX561091","NCBI Nucleotide")</f>
        <v>NCBI Nucleotide</v>
      </c>
    </row>
    <row r="3254" spans="1:27" x14ac:dyDescent="0.35">
      <c r="A3254">
        <v>1004412</v>
      </c>
      <c r="B3254">
        <v>3230</v>
      </c>
      <c r="C3254">
        <v>1</v>
      </c>
      <c r="D3254" s="17" t="s">
        <v>155</v>
      </c>
      <c r="E3254" s="17"/>
      <c r="F3254" s="17" t="s">
        <v>156</v>
      </c>
      <c r="G3254" s="17"/>
      <c r="H3254" s="17" t="s">
        <v>692</v>
      </c>
      <c r="I3254" s="17"/>
      <c r="J3254" s="17" t="s">
        <v>693</v>
      </c>
      <c r="K3254" s="17"/>
      <c r="L3254" s="17"/>
      <c r="M3254" s="17"/>
      <c r="N3254" s="17"/>
      <c r="O3254" s="17" t="s">
        <v>5778</v>
      </c>
      <c r="P3254" s="17" t="s">
        <v>5792</v>
      </c>
      <c r="Q3254" s="17"/>
      <c r="R3254" s="25" t="str">
        <f>HYPERLINK("https://ictv.global/taxonomy/taxondetails?taxnode_id=202307988","Escherichia virus Schickermooser")</f>
        <v>Escherichia virus Schickermooser</v>
      </c>
      <c r="S3254" s="18" t="s">
        <v>30</v>
      </c>
      <c r="T3254" s="18" t="s">
        <v>5799</v>
      </c>
      <c r="U3254" s="18"/>
      <c r="V3254" s="18"/>
      <c r="W3254" s="18" t="s">
        <v>5800</v>
      </c>
      <c r="X3254" s="18" t="s">
        <v>42</v>
      </c>
      <c r="Y3254" s="18" t="s">
        <v>36</v>
      </c>
      <c r="Z3254" s="18" t="s">
        <v>697</v>
      </c>
      <c r="AA3254" s="21" t="str">
        <f>HYPERLINK("https://www.ncbi.nlm.nih.gov/nuccore/MK373788","NCBI Nucleotide")</f>
        <v>NCBI Nucleotide</v>
      </c>
    </row>
    <row r="3255" spans="1:27" x14ac:dyDescent="0.35">
      <c r="A3255">
        <v>1004413</v>
      </c>
      <c r="B3255">
        <v>3231</v>
      </c>
      <c r="C3255">
        <v>1</v>
      </c>
      <c r="D3255" s="17" t="s">
        <v>155</v>
      </c>
      <c r="E3255" s="17"/>
      <c r="F3255" s="17" t="s">
        <v>156</v>
      </c>
      <c r="G3255" s="17"/>
      <c r="H3255" s="17" t="s">
        <v>692</v>
      </c>
      <c r="I3255" s="17"/>
      <c r="J3255" s="17" t="s">
        <v>693</v>
      </c>
      <c r="K3255" s="17"/>
      <c r="L3255" s="17"/>
      <c r="M3255" s="17"/>
      <c r="N3255" s="17"/>
      <c r="O3255" s="17" t="s">
        <v>5778</v>
      </c>
      <c r="P3255" s="17" t="s">
        <v>5792</v>
      </c>
      <c r="Q3255" s="17"/>
      <c r="R3255" s="25" t="str">
        <f>HYPERLINK("https://ictv.global/taxonomy/taxondetails?taxnode_id=202307990","Klebsiella virus ZCKP1")</f>
        <v>Klebsiella virus ZCKP1</v>
      </c>
      <c r="S3255" s="18" t="s">
        <v>30</v>
      </c>
      <c r="T3255" s="18" t="s">
        <v>5801</v>
      </c>
      <c r="U3255" s="18"/>
      <c r="V3255" s="18"/>
      <c r="W3255" s="18" t="s">
        <v>5802</v>
      </c>
      <c r="X3255" s="18" t="s">
        <v>42</v>
      </c>
      <c r="Y3255" s="18" t="s">
        <v>36</v>
      </c>
      <c r="Z3255" s="18" t="s">
        <v>697</v>
      </c>
      <c r="AA3255" s="21" t="str">
        <f>HYPERLINK("https://www.ncbi.nlm.nih.gov/nuccore/MH252123","NCBI Nucleotide")</f>
        <v>NCBI Nucleotide</v>
      </c>
    </row>
    <row r="3256" spans="1:27" x14ac:dyDescent="0.35">
      <c r="A3256">
        <v>1004414</v>
      </c>
      <c r="B3256">
        <v>3232</v>
      </c>
      <c r="C3256">
        <v>1</v>
      </c>
      <c r="D3256" s="17" t="s">
        <v>155</v>
      </c>
      <c r="E3256" s="17"/>
      <c r="F3256" s="17" t="s">
        <v>156</v>
      </c>
      <c r="G3256" s="17"/>
      <c r="H3256" s="17" t="s">
        <v>692</v>
      </c>
      <c r="I3256" s="17"/>
      <c r="J3256" s="17" t="s">
        <v>693</v>
      </c>
      <c r="K3256" s="17"/>
      <c r="L3256" s="17"/>
      <c r="M3256" s="17"/>
      <c r="N3256" s="17"/>
      <c r="O3256" s="17" t="s">
        <v>5778</v>
      </c>
      <c r="P3256" s="17" t="s">
        <v>5792</v>
      </c>
      <c r="Q3256" s="17"/>
      <c r="R3256" s="25" t="str">
        <f>HYPERLINK("https://ictv.global/taxonomy/taxondetails?taxnode_id=202313649","Phapecoctavirus anhysbys")</f>
        <v>Phapecoctavirus anhysbys</v>
      </c>
      <c r="S3256" s="18" t="s">
        <v>30</v>
      </c>
      <c r="T3256" s="18" t="s">
        <v>5803</v>
      </c>
      <c r="U3256" s="18"/>
      <c r="V3256" s="18"/>
      <c r="W3256" s="18" t="s">
        <v>5804</v>
      </c>
      <c r="X3256" s="18" t="s">
        <v>42</v>
      </c>
      <c r="Y3256" s="18" t="s">
        <v>36</v>
      </c>
      <c r="Z3256" s="18" t="s">
        <v>697</v>
      </c>
      <c r="AA3256" s="21" t="str">
        <f>HYPERLINK("https://www.ncbi.nlm.nih.gov/nuccore/MN850648","NCBI Nucleotide")</f>
        <v>NCBI Nucleotide</v>
      </c>
    </row>
    <row r="3257" spans="1:27" x14ac:dyDescent="0.35">
      <c r="A3257">
        <v>1004415</v>
      </c>
      <c r="B3257">
        <v>3233</v>
      </c>
      <c r="C3257">
        <v>1</v>
      </c>
      <c r="D3257" s="17" t="s">
        <v>155</v>
      </c>
      <c r="E3257" s="17"/>
      <c r="F3257" s="17" t="s">
        <v>156</v>
      </c>
      <c r="G3257" s="17"/>
      <c r="H3257" s="17" t="s">
        <v>692</v>
      </c>
      <c r="I3257" s="17"/>
      <c r="J3257" s="17" t="s">
        <v>693</v>
      </c>
      <c r="K3257" s="17"/>
      <c r="L3257" s="17"/>
      <c r="M3257" s="17"/>
      <c r="N3257" s="17"/>
      <c r="O3257" s="17" t="s">
        <v>5778</v>
      </c>
      <c r="P3257" s="17" t="s">
        <v>5792</v>
      </c>
      <c r="Q3257" s="17"/>
      <c r="R3257" s="25" t="str">
        <f>HYPERLINK("https://ictv.global/taxonomy/taxondetails?taxnode_id=202313650","Phapecoctavirus Mt1B1P17")</f>
        <v>Phapecoctavirus Mt1B1P17</v>
      </c>
      <c r="S3257" s="18" t="s">
        <v>30</v>
      </c>
      <c r="T3257" s="18" t="s">
        <v>5805</v>
      </c>
      <c r="U3257" s="18"/>
      <c r="V3257" s="18"/>
      <c r="W3257" s="18" t="s">
        <v>5806</v>
      </c>
      <c r="X3257" s="18" t="s">
        <v>42</v>
      </c>
      <c r="Y3257" s="18" t="s">
        <v>36</v>
      </c>
      <c r="Z3257" s="18" t="s">
        <v>697</v>
      </c>
      <c r="AA3257" s="21" t="str">
        <f>HYPERLINK("https://www.ncbi.nlm.nih.gov/nuccore/MT496970","NCBI Nucleotide")</f>
        <v>NCBI Nucleotide</v>
      </c>
    </row>
    <row r="3258" spans="1:27" x14ac:dyDescent="0.35">
      <c r="A3258">
        <v>1004416</v>
      </c>
      <c r="B3258">
        <v>3234</v>
      </c>
      <c r="C3258">
        <v>1</v>
      </c>
      <c r="D3258" s="17" t="s">
        <v>155</v>
      </c>
      <c r="E3258" s="17"/>
      <c r="F3258" s="17" t="s">
        <v>156</v>
      </c>
      <c r="G3258" s="17"/>
      <c r="H3258" s="17" t="s">
        <v>692</v>
      </c>
      <c r="I3258" s="17"/>
      <c r="J3258" s="17" t="s">
        <v>693</v>
      </c>
      <c r="K3258" s="17"/>
      <c r="L3258" s="17"/>
      <c r="M3258" s="17"/>
      <c r="N3258" s="17"/>
      <c r="O3258" s="17" t="s">
        <v>5778</v>
      </c>
      <c r="P3258" s="17" t="s">
        <v>5792</v>
      </c>
      <c r="Q3258" s="17"/>
      <c r="R3258" s="25" t="str">
        <f>HYPERLINK("https://ictv.global/taxonomy/taxondetails?taxnode_id=202313651","Phapecoctavirus nepoznato")</f>
        <v>Phapecoctavirus nepoznato</v>
      </c>
      <c r="S3258" s="18" t="s">
        <v>30</v>
      </c>
      <c r="T3258" s="18" t="s">
        <v>5807</v>
      </c>
      <c r="U3258" s="18"/>
      <c r="V3258" s="18"/>
      <c r="W3258" s="18" t="s">
        <v>5808</v>
      </c>
      <c r="X3258" s="18" t="s">
        <v>42</v>
      </c>
      <c r="Y3258" s="18" t="s">
        <v>36</v>
      </c>
      <c r="Z3258" s="18" t="s">
        <v>697</v>
      </c>
      <c r="AA3258" s="21" t="str">
        <f>HYPERLINK("https://www.ncbi.nlm.nih.gov/nuccore/MN850571","NCBI Nucleotide")</f>
        <v>NCBI Nucleotide</v>
      </c>
    </row>
    <row r="3259" spans="1:27" x14ac:dyDescent="0.35">
      <c r="A3259">
        <v>1004417</v>
      </c>
      <c r="B3259">
        <v>3235</v>
      </c>
      <c r="C3259">
        <v>1</v>
      </c>
      <c r="D3259" s="17" t="s">
        <v>155</v>
      </c>
      <c r="E3259" s="17"/>
      <c r="F3259" s="17" t="s">
        <v>156</v>
      </c>
      <c r="G3259" s="17"/>
      <c r="H3259" s="17" t="s">
        <v>692</v>
      </c>
      <c r="I3259" s="17"/>
      <c r="J3259" s="17" t="s">
        <v>693</v>
      </c>
      <c r="K3259" s="17"/>
      <c r="L3259" s="17"/>
      <c r="M3259" s="17"/>
      <c r="N3259" s="17"/>
      <c r="O3259" s="17" t="s">
        <v>5778</v>
      </c>
      <c r="P3259" s="17" t="s">
        <v>5792</v>
      </c>
      <c r="Q3259" s="17"/>
      <c r="R3259" s="25" t="str">
        <f>HYPERLINK("https://ictv.global/taxonomy/taxondetails?taxnode_id=202313652","Phapecoctavirus nieznany")</f>
        <v>Phapecoctavirus nieznany</v>
      </c>
      <c r="S3259" s="18" t="s">
        <v>30</v>
      </c>
      <c r="T3259" s="18" t="s">
        <v>5809</v>
      </c>
      <c r="U3259" s="18"/>
      <c r="V3259" s="18"/>
      <c r="W3259" s="18" t="s">
        <v>5810</v>
      </c>
      <c r="X3259" s="18" t="s">
        <v>42</v>
      </c>
      <c r="Y3259" s="18" t="s">
        <v>36</v>
      </c>
      <c r="Z3259" s="18" t="s">
        <v>697</v>
      </c>
      <c r="AA3259" s="21" t="str">
        <f>HYPERLINK("https://www.ncbi.nlm.nih.gov/nuccore/MN850598","NCBI Nucleotide")</f>
        <v>NCBI Nucleotide</v>
      </c>
    </row>
    <row r="3260" spans="1:27" x14ac:dyDescent="0.35">
      <c r="A3260">
        <v>1004418</v>
      </c>
      <c r="B3260">
        <v>3236</v>
      </c>
      <c r="C3260">
        <v>1</v>
      </c>
      <c r="D3260" s="17" t="s">
        <v>155</v>
      </c>
      <c r="E3260" s="17"/>
      <c r="F3260" s="17" t="s">
        <v>156</v>
      </c>
      <c r="G3260" s="17"/>
      <c r="H3260" s="17" t="s">
        <v>692</v>
      </c>
      <c r="I3260" s="17"/>
      <c r="J3260" s="17" t="s">
        <v>693</v>
      </c>
      <c r="K3260" s="17"/>
      <c r="L3260" s="17"/>
      <c r="M3260" s="17"/>
      <c r="N3260" s="17"/>
      <c r="O3260" s="17" t="s">
        <v>5778</v>
      </c>
      <c r="P3260" s="17" t="s">
        <v>5792</v>
      </c>
      <c r="Q3260" s="17"/>
      <c r="R3260" s="25" t="str">
        <f>HYPERLINK("https://ictv.global/taxonomy/taxondetails?taxnode_id=202313655","Phapecoctavirus Ro121c4YLVW")</f>
        <v>Phapecoctavirus Ro121c4YLVW</v>
      </c>
      <c r="S3260" s="18" t="s">
        <v>30</v>
      </c>
      <c r="T3260" s="18" t="s">
        <v>5811</v>
      </c>
      <c r="U3260" s="18"/>
      <c r="V3260" s="18"/>
      <c r="W3260" s="18" t="s">
        <v>5812</v>
      </c>
      <c r="X3260" s="18" t="s">
        <v>42</v>
      </c>
      <c r="Y3260" s="18" t="s">
        <v>36</v>
      </c>
      <c r="Z3260" s="18" t="s">
        <v>697</v>
      </c>
      <c r="AA3260" s="21" t="str">
        <f>HYPERLINK("https://www.ncbi.nlm.nih.gov/nuccore/MH051333","NCBI Nucleotide")</f>
        <v>NCBI Nucleotide</v>
      </c>
    </row>
    <row r="3261" spans="1:27" x14ac:dyDescent="0.35">
      <c r="A3261">
        <v>1004419</v>
      </c>
      <c r="B3261">
        <v>3237</v>
      </c>
      <c r="C3261">
        <v>1</v>
      </c>
      <c r="D3261" s="17" t="s">
        <v>155</v>
      </c>
      <c r="E3261" s="17"/>
      <c r="F3261" s="17" t="s">
        <v>156</v>
      </c>
      <c r="G3261" s="17"/>
      <c r="H3261" s="17" t="s">
        <v>692</v>
      </c>
      <c r="I3261" s="17"/>
      <c r="J3261" s="17" t="s">
        <v>693</v>
      </c>
      <c r="K3261" s="17"/>
      <c r="L3261" s="17"/>
      <c r="M3261" s="17"/>
      <c r="N3261" s="17"/>
      <c r="O3261" s="17" t="s">
        <v>5778</v>
      </c>
      <c r="P3261" s="17" t="s">
        <v>5792</v>
      </c>
      <c r="Q3261" s="17"/>
      <c r="R3261" s="25" t="str">
        <f>HYPERLINK("https://ictv.global/taxonomy/taxondetails?taxnode_id=202313648","Phapecoctavirus TSP7")</f>
        <v>Phapecoctavirus TSP7</v>
      </c>
      <c r="S3261" s="18" t="s">
        <v>30</v>
      </c>
      <c r="T3261" s="18" t="s">
        <v>5813</v>
      </c>
      <c r="U3261" s="18"/>
      <c r="V3261" s="18"/>
      <c r="W3261" s="18" t="s">
        <v>5814</v>
      </c>
      <c r="X3261" s="18" t="s">
        <v>42</v>
      </c>
      <c r="Y3261" s="18" t="s">
        <v>36</v>
      </c>
      <c r="Z3261" s="18" t="s">
        <v>697</v>
      </c>
      <c r="AA3261" s="21" t="str">
        <f>HYPERLINK("https://www.ncbi.nlm.nih.gov/nuccore/MW175890","NCBI Nucleotide")</f>
        <v>NCBI Nucleotide</v>
      </c>
    </row>
    <row r="3262" spans="1:27" x14ac:dyDescent="0.35">
      <c r="A3262">
        <v>1004420</v>
      </c>
      <c r="B3262">
        <v>3238</v>
      </c>
      <c r="C3262">
        <v>1</v>
      </c>
      <c r="D3262" s="17" t="s">
        <v>155</v>
      </c>
      <c r="E3262" s="17"/>
      <c r="F3262" s="17" t="s">
        <v>156</v>
      </c>
      <c r="G3262" s="17"/>
      <c r="H3262" s="17" t="s">
        <v>692</v>
      </c>
      <c r="I3262" s="17"/>
      <c r="J3262" s="17" t="s">
        <v>693</v>
      </c>
      <c r="K3262" s="17"/>
      <c r="L3262" s="17"/>
      <c r="M3262" s="17"/>
      <c r="N3262" s="17"/>
      <c r="O3262" s="17" t="s">
        <v>5778</v>
      </c>
      <c r="P3262" s="17" t="s">
        <v>5792</v>
      </c>
      <c r="Q3262" s="17"/>
      <c r="R3262" s="25" t="str">
        <f>HYPERLINK("https://ictv.global/taxonomy/taxondetails?taxnode_id=202313653","Phapecoctavirus tuntematon")</f>
        <v>Phapecoctavirus tuntematon</v>
      </c>
      <c r="S3262" s="18" t="s">
        <v>30</v>
      </c>
      <c r="T3262" s="18" t="s">
        <v>5815</v>
      </c>
      <c r="U3262" s="18"/>
      <c r="V3262" s="18"/>
      <c r="W3262" s="18" t="s">
        <v>5816</v>
      </c>
      <c r="X3262" s="18" t="s">
        <v>42</v>
      </c>
      <c r="Y3262" s="18" t="s">
        <v>36</v>
      </c>
      <c r="Z3262" s="18" t="s">
        <v>697</v>
      </c>
      <c r="AA3262" s="21" t="str">
        <f>HYPERLINK("https://www.ncbi.nlm.nih.gov/nuccore/MN850618","NCBI Nucleotide")</f>
        <v>NCBI Nucleotide</v>
      </c>
    </row>
    <row r="3263" spans="1:27" x14ac:dyDescent="0.35">
      <c r="A3263">
        <v>1004421</v>
      </c>
      <c r="B3263">
        <v>3239</v>
      </c>
      <c r="C3263">
        <v>1</v>
      </c>
      <c r="D3263" s="17" t="s">
        <v>155</v>
      </c>
      <c r="E3263" s="17"/>
      <c r="F3263" s="17" t="s">
        <v>156</v>
      </c>
      <c r="G3263" s="17"/>
      <c r="H3263" s="17" t="s">
        <v>692</v>
      </c>
      <c r="I3263" s="17"/>
      <c r="J3263" s="17" t="s">
        <v>693</v>
      </c>
      <c r="K3263" s="17"/>
      <c r="L3263" s="17"/>
      <c r="M3263" s="17"/>
      <c r="N3263" s="17"/>
      <c r="O3263" s="17" t="s">
        <v>5778</v>
      </c>
      <c r="P3263" s="17" t="s">
        <v>5792</v>
      </c>
      <c r="Q3263" s="17"/>
      <c r="R3263" s="25" t="str">
        <f>HYPERLINK("https://ictv.global/taxonomy/taxondetails?taxnode_id=202313654","Phapecoctavirus ukendt")</f>
        <v>Phapecoctavirus ukendt</v>
      </c>
      <c r="S3263" s="18" t="s">
        <v>30</v>
      </c>
      <c r="T3263" s="18" t="s">
        <v>5817</v>
      </c>
      <c r="U3263" s="18"/>
      <c r="V3263" s="18"/>
      <c r="W3263" s="18" t="s">
        <v>5818</v>
      </c>
      <c r="X3263" s="18" t="s">
        <v>42</v>
      </c>
      <c r="Y3263" s="18" t="s">
        <v>36</v>
      </c>
      <c r="Z3263" s="18" t="s">
        <v>697</v>
      </c>
      <c r="AA3263" s="21" t="str">
        <f>HYPERLINK("https://www.ncbi.nlm.nih.gov/nuccore/MN850565","NCBI Nucleotide")</f>
        <v>NCBI Nucleotide</v>
      </c>
    </row>
    <row r="3264" spans="1:27" x14ac:dyDescent="0.35">
      <c r="A3264">
        <v>1004422</v>
      </c>
      <c r="B3264">
        <v>3240</v>
      </c>
      <c r="C3264">
        <v>1</v>
      </c>
      <c r="D3264" s="17" t="s">
        <v>155</v>
      </c>
      <c r="E3264" s="17"/>
      <c r="F3264" s="17" t="s">
        <v>156</v>
      </c>
      <c r="G3264" s="17"/>
      <c r="H3264" s="17" t="s">
        <v>692</v>
      </c>
      <c r="I3264" s="17"/>
      <c r="J3264" s="17" t="s">
        <v>693</v>
      </c>
      <c r="K3264" s="17"/>
      <c r="L3264" s="17"/>
      <c r="M3264" s="17"/>
      <c r="N3264" s="17"/>
      <c r="O3264" s="17" t="s">
        <v>5819</v>
      </c>
      <c r="P3264" s="17" t="s">
        <v>5820</v>
      </c>
      <c r="Q3264" s="17"/>
      <c r="R3264" s="25" t="str">
        <f>HYPERLINK("https://ictv.global/taxonomy/taxondetails?taxnode_id=202312034","Jelitavirus B025")</f>
        <v>Jelitavirus B025</v>
      </c>
      <c r="S3264" s="18" t="s">
        <v>30</v>
      </c>
      <c r="T3264" s="18" t="s">
        <v>5821</v>
      </c>
      <c r="U3264" s="18"/>
      <c r="V3264" s="18"/>
      <c r="W3264" s="18" t="s">
        <v>5822</v>
      </c>
      <c r="X3264" s="18" t="s">
        <v>42</v>
      </c>
      <c r="Y3264" s="18" t="s">
        <v>36</v>
      </c>
      <c r="Z3264" s="18" t="s">
        <v>697</v>
      </c>
      <c r="AA3264" s="21" t="str">
        <f>HYPERLINK("https://www.ncbi.nlm.nih.gov/nuccore/DQ003639","NCBI Nucleotide")</f>
        <v>NCBI Nucleotide</v>
      </c>
    </row>
    <row r="3265" spans="1:27" x14ac:dyDescent="0.35">
      <c r="A3265">
        <v>1004423</v>
      </c>
      <c r="B3265">
        <v>3241</v>
      </c>
      <c r="C3265">
        <v>1</v>
      </c>
      <c r="D3265" s="17" t="s">
        <v>155</v>
      </c>
      <c r="E3265" s="17"/>
      <c r="F3265" s="17" t="s">
        <v>156</v>
      </c>
      <c r="G3265" s="17"/>
      <c r="H3265" s="17" t="s">
        <v>692</v>
      </c>
      <c r="I3265" s="17"/>
      <c r="J3265" s="17" t="s">
        <v>693</v>
      </c>
      <c r="K3265" s="17"/>
      <c r="L3265" s="17"/>
      <c r="M3265" s="17"/>
      <c r="N3265" s="17"/>
      <c r="O3265" s="17" t="s">
        <v>5819</v>
      </c>
      <c r="P3265" s="17" t="s">
        <v>5823</v>
      </c>
      <c r="Q3265" s="17"/>
      <c r="R3265" s="25" t="str">
        <f>HYPERLINK("https://ictv.global/taxonomy/taxondetails?taxnode_id=202312031","Slepowronvirus LP101")</f>
        <v>Slepowronvirus LP101</v>
      </c>
      <c r="S3265" s="18" t="s">
        <v>30</v>
      </c>
      <c r="T3265" s="18" t="s">
        <v>5824</v>
      </c>
      <c r="U3265" s="18"/>
      <c r="V3265" s="18"/>
      <c r="W3265" s="18" t="s">
        <v>5825</v>
      </c>
      <c r="X3265" s="18" t="s">
        <v>42</v>
      </c>
      <c r="Y3265" s="18" t="s">
        <v>36</v>
      </c>
      <c r="Z3265" s="18" t="s">
        <v>697</v>
      </c>
      <c r="AA3265" s="21" t="str">
        <f>HYPERLINK("https://www.ncbi.nlm.nih.gov/nuccore/KJ094023","NCBI Nucleotide")</f>
        <v>NCBI Nucleotide</v>
      </c>
    </row>
    <row r="3266" spans="1:27" x14ac:dyDescent="0.35">
      <c r="A3266">
        <v>1004424</v>
      </c>
      <c r="B3266">
        <v>3242</v>
      </c>
      <c r="C3266">
        <v>1</v>
      </c>
      <c r="D3266" s="17" t="s">
        <v>155</v>
      </c>
      <c r="E3266" s="17"/>
      <c r="F3266" s="17" t="s">
        <v>156</v>
      </c>
      <c r="G3266" s="17"/>
      <c r="H3266" s="17" t="s">
        <v>692</v>
      </c>
      <c r="I3266" s="17"/>
      <c r="J3266" s="17" t="s">
        <v>693</v>
      </c>
      <c r="K3266" s="17"/>
      <c r="L3266" s="17"/>
      <c r="M3266" s="17"/>
      <c r="N3266" s="17"/>
      <c r="O3266" s="17" t="s">
        <v>5819</v>
      </c>
      <c r="P3266" s="17" t="s">
        <v>5823</v>
      </c>
      <c r="Q3266" s="17"/>
      <c r="R3266" s="25" t="str">
        <f>HYPERLINK("https://ictv.global/taxonomy/taxondetails?taxnode_id=202312032","Slepowronvirus LPHM00113468")</f>
        <v>Slepowronvirus LPHM00113468</v>
      </c>
      <c r="S3266" s="18" t="s">
        <v>30</v>
      </c>
      <c r="T3266" s="18" t="s">
        <v>5826</v>
      </c>
      <c r="U3266" s="18"/>
      <c r="V3266" s="18"/>
      <c r="W3266" s="18" t="s">
        <v>5827</v>
      </c>
      <c r="X3266" s="18" t="s">
        <v>42</v>
      </c>
      <c r="Y3266" s="18" t="s">
        <v>36</v>
      </c>
      <c r="Z3266" s="18" t="s">
        <v>697</v>
      </c>
      <c r="AA3266" s="21" t="str">
        <f>HYPERLINK("https://www.ncbi.nlm.nih.gov/nuccore/MT500540","NCBI Nucleotide")</f>
        <v>NCBI Nucleotide</v>
      </c>
    </row>
    <row r="3267" spans="1:27" x14ac:dyDescent="0.35">
      <c r="A3267">
        <v>1004425</v>
      </c>
      <c r="B3267">
        <v>3243</v>
      </c>
      <c r="C3267">
        <v>1</v>
      </c>
      <c r="D3267" s="17" t="s">
        <v>155</v>
      </c>
      <c r="E3267" s="17"/>
      <c r="F3267" s="17" t="s">
        <v>156</v>
      </c>
      <c r="G3267" s="17"/>
      <c r="H3267" s="17" t="s">
        <v>692</v>
      </c>
      <c r="I3267" s="17"/>
      <c r="J3267" s="17" t="s">
        <v>693</v>
      </c>
      <c r="K3267" s="17"/>
      <c r="L3267" s="17"/>
      <c r="M3267" s="17"/>
      <c r="N3267" s="17"/>
      <c r="O3267" s="17" t="s">
        <v>5828</v>
      </c>
      <c r="P3267" s="17" t="s">
        <v>5829</v>
      </c>
      <c r="Q3267" s="17"/>
      <c r="R3267" s="25" t="str">
        <f>HYPERLINK("https://ictv.global/taxonomy/taxondetails?taxnode_id=202307824","Douglaswolinvirus B2")</f>
        <v>Douglaswolinvirus B2</v>
      </c>
      <c r="S3267" s="18" t="s">
        <v>30</v>
      </c>
      <c r="T3267" s="18" t="s">
        <v>5830</v>
      </c>
      <c r="U3267" s="18"/>
      <c r="V3267" s="18"/>
      <c r="W3267" s="18" t="s">
        <v>5831</v>
      </c>
      <c r="X3267" s="18" t="s">
        <v>42</v>
      </c>
      <c r="Y3267" s="18" t="s">
        <v>36</v>
      </c>
      <c r="Z3267" s="18" t="s">
        <v>697</v>
      </c>
      <c r="AA3267" s="21" t="str">
        <f>HYPERLINK("https://www.ncbi.nlm.nih.gov/nuccore/JX486088","NCBI Nucleotide")</f>
        <v>NCBI Nucleotide</v>
      </c>
    </row>
    <row r="3268" spans="1:27" x14ac:dyDescent="0.35">
      <c r="A3268">
        <v>1004426</v>
      </c>
      <c r="B3268">
        <v>3244</v>
      </c>
      <c r="C3268">
        <v>1</v>
      </c>
      <c r="D3268" s="17" t="s">
        <v>155</v>
      </c>
      <c r="E3268" s="17"/>
      <c r="F3268" s="17" t="s">
        <v>156</v>
      </c>
      <c r="G3268" s="17"/>
      <c r="H3268" s="17" t="s">
        <v>692</v>
      </c>
      <c r="I3268" s="17"/>
      <c r="J3268" s="17" t="s">
        <v>693</v>
      </c>
      <c r="K3268" s="17"/>
      <c r="L3268" s="17"/>
      <c r="M3268" s="17"/>
      <c r="N3268" s="17"/>
      <c r="O3268" s="17" t="s">
        <v>5828</v>
      </c>
      <c r="P3268" s="17" t="s">
        <v>5832</v>
      </c>
      <c r="Q3268" s="17"/>
      <c r="R3268" s="25" t="str">
        <f>HYPERLINK("https://ictv.global/taxonomy/taxondetails?taxnode_id=202307829","Lenusvirus lenus")</f>
        <v>Lenusvirus lenus</v>
      </c>
      <c r="S3268" s="18" t="s">
        <v>30</v>
      </c>
      <c r="T3268" s="18" t="s">
        <v>5833</v>
      </c>
      <c r="U3268" s="18"/>
      <c r="V3268" s="18"/>
      <c r="W3268" s="18" t="s">
        <v>5834</v>
      </c>
      <c r="X3268" s="18" t="s">
        <v>42</v>
      </c>
      <c r="Y3268" s="18" t="s">
        <v>36</v>
      </c>
      <c r="Z3268" s="18" t="s">
        <v>697</v>
      </c>
      <c r="AA3268" s="21" t="str">
        <f>HYPERLINK("https://www.ncbi.nlm.nih.gov/nuccore/MG252693","NCBI Nucleotide")</f>
        <v>NCBI Nucleotide</v>
      </c>
    </row>
    <row r="3269" spans="1:27" x14ac:dyDescent="0.35">
      <c r="A3269">
        <v>1004427</v>
      </c>
      <c r="B3269">
        <v>3245</v>
      </c>
      <c r="C3269">
        <v>1</v>
      </c>
      <c r="D3269" s="17" t="s">
        <v>155</v>
      </c>
      <c r="E3269" s="17"/>
      <c r="F3269" s="17" t="s">
        <v>156</v>
      </c>
      <c r="G3269" s="17"/>
      <c r="H3269" s="17" t="s">
        <v>692</v>
      </c>
      <c r="I3269" s="17"/>
      <c r="J3269" s="17" t="s">
        <v>693</v>
      </c>
      <c r="K3269" s="17"/>
      <c r="L3269" s="17"/>
      <c r="M3269" s="17"/>
      <c r="N3269" s="17"/>
      <c r="O3269" s="17" t="s">
        <v>5828</v>
      </c>
      <c r="P3269" s="17" t="s">
        <v>5832</v>
      </c>
      <c r="Q3269" s="17"/>
      <c r="R3269" s="25" t="str">
        <f>HYPERLINK("https://ictv.global/taxonomy/taxondetails?taxnode_id=202307830","Lenusvirus nyseid")</f>
        <v>Lenusvirus nyseid</v>
      </c>
      <c r="S3269" s="18" t="s">
        <v>30</v>
      </c>
      <c r="T3269" s="18" t="s">
        <v>5835</v>
      </c>
      <c r="U3269" s="18"/>
      <c r="V3269" s="18"/>
      <c r="W3269" s="18" t="s">
        <v>5836</v>
      </c>
      <c r="X3269" s="18" t="s">
        <v>42</v>
      </c>
      <c r="Y3269" s="18" t="s">
        <v>36</v>
      </c>
      <c r="Z3269" s="18" t="s">
        <v>697</v>
      </c>
      <c r="AA3269" s="21" t="str">
        <f>HYPERLINK("https://www.ncbi.nlm.nih.gov/nuccore/MG765276","NCBI Nucleotide")</f>
        <v>NCBI Nucleotide</v>
      </c>
    </row>
    <row r="3270" spans="1:27" x14ac:dyDescent="0.35">
      <c r="A3270">
        <v>1004428</v>
      </c>
      <c r="B3270">
        <v>3246</v>
      </c>
      <c r="C3270">
        <v>1</v>
      </c>
      <c r="D3270" s="17" t="s">
        <v>155</v>
      </c>
      <c r="E3270" s="17"/>
      <c r="F3270" s="17" t="s">
        <v>156</v>
      </c>
      <c r="G3270" s="17"/>
      <c r="H3270" s="17" t="s">
        <v>692</v>
      </c>
      <c r="I3270" s="17"/>
      <c r="J3270" s="17" t="s">
        <v>693</v>
      </c>
      <c r="K3270" s="17"/>
      <c r="L3270" s="17"/>
      <c r="M3270" s="17"/>
      <c r="N3270" s="17"/>
      <c r="O3270" s="17" t="s">
        <v>5828</v>
      </c>
      <c r="P3270" s="17" t="s">
        <v>5832</v>
      </c>
      <c r="Q3270" s="17"/>
      <c r="R3270" s="25" t="str">
        <f>HYPERLINK("https://ictv.global/taxonomy/taxondetails?taxnode_id=202307831","Lenusvirus SAC12")</f>
        <v>Lenusvirus SAC12</v>
      </c>
      <c r="S3270" s="18" t="s">
        <v>30</v>
      </c>
      <c r="T3270" s="18" t="s">
        <v>5837</v>
      </c>
      <c r="U3270" s="18"/>
      <c r="V3270" s="18"/>
      <c r="W3270" s="18" t="s">
        <v>5838</v>
      </c>
      <c r="X3270" s="18" t="s">
        <v>42</v>
      </c>
      <c r="Y3270" s="18" t="s">
        <v>36</v>
      </c>
      <c r="Z3270" s="18" t="s">
        <v>697</v>
      </c>
      <c r="AA3270" s="21" t="str">
        <f>HYPERLINK("https://www.ncbi.nlm.nih.gov/nuccore/KU052488","NCBI Nucleotide")</f>
        <v>NCBI Nucleotide</v>
      </c>
    </row>
    <row r="3271" spans="1:27" x14ac:dyDescent="0.35">
      <c r="A3271">
        <v>1004429</v>
      </c>
      <c r="B3271">
        <v>3247</v>
      </c>
      <c r="C3271">
        <v>1</v>
      </c>
      <c r="D3271" s="17" t="s">
        <v>155</v>
      </c>
      <c r="E3271" s="17"/>
      <c r="F3271" s="17" t="s">
        <v>156</v>
      </c>
      <c r="G3271" s="17"/>
      <c r="H3271" s="17" t="s">
        <v>692</v>
      </c>
      <c r="I3271" s="17"/>
      <c r="J3271" s="17" t="s">
        <v>693</v>
      </c>
      <c r="K3271" s="17"/>
      <c r="L3271" s="17"/>
      <c r="M3271" s="17"/>
      <c r="N3271" s="17"/>
      <c r="O3271" s="17" t="s">
        <v>5828</v>
      </c>
      <c r="P3271" s="17" t="s">
        <v>5839</v>
      </c>
      <c r="Q3271" s="17"/>
      <c r="R3271" s="25" t="str">
        <f>HYPERLINK("https://ictv.global/taxonomy/taxondetails?taxnode_id=202307826","Lidleunavirus Ldl1")</f>
        <v>Lidleunavirus Ldl1</v>
      </c>
      <c r="S3271" s="18" t="s">
        <v>30</v>
      </c>
      <c r="T3271" s="18" t="s">
        <v>5840</v>
      </c>
      <c r="U3271" s="18"/>
      <c r="V3271" s="18"/>
      <c r="W3271" s="18" t="s">
        <v>5841</v>
      </c>
      <c r="X3271" s="18" t="s">
        <v>42</v>
      </c>
      <c r="Y3271" s="18" t="s">
        <v>36</v>
      </c>
      <c r="Z3271" s="18" t="s">
        <v>697</v>
      </c>
      <c r="AA3271" s="21" t="str">
        <f>HYPERLINK("https://www.ncbi.nlm.nih.gov/nuccore/KM514685","NCBI Nucleotide")</f>
        <v>NCBI Nucleotide</v>
      </c>
    </row>
    <row r="3272" spans="1:27" x14ac:dyDescent="0.35">
      <c r="A3272">
        <v>1004430</v>
      </c>
      <c r="B3272">
        <v>3248</v>
      </c>
      <c r="C3272">
        <v>1</v>
      </c>
      <c r="D3272" s="17" t="s">
        <v>155</v>
      </c>
      <c r="E3272" s="17"/>
      <c r="F3272" s="17" t="s">
        <v>156</v>
      </c>
      <c r="G3272" s="17"/>
      <c r="H3272" s="17" t="s">
        <v>692</v>
      </c>
      <c r="I3272" s="17"/>
      <c r="J3272" s="17" t="s">
        <v>693</v>
      </c>
      <c r="K3272" s="17"/>
      <c r="L3272" s="17"/>
      <c r="M3272" s="17"/>
      <c r="N3272" s="17"/>
      <c r="O3272" s="17" t="s">
        <v>5828</v>
      </c>
      <c r="P3272" s="17" t="s">
        <v>5839</v>
      </c>
      <c r="Q3272" s="17"/>
      <c r="R3272" s="25" t="str">
        <f>HYPERLINK("https://ictv.global/taxonomy/taxondetails?taxnode_id=202307827","Lidleunavirus ViSo2018a")</f>
        <v>Lidleunavirus ViSo2018a</v>
      </c>
      <c r="S3272" s="18" t="s">
        <v>30</v>
      </c>
      <c r="T3272" s="18" t="s">
        <v>5842</v>
      </c>
      <c r="U3272" s="18"/>
      <c r="V3272" s="18"/>
      <c r="W3272" s="18" t="s">
        <v>5843</v>
      </c>
      <c r="X3272" s="18" t="s">
        <v>154</v>
      </c>
      <c r="Y3272" s="18" t="s">
        <v>36</v>
      </c>
      <c r="Z3272" s="18" t="s">
        <v>697</v>
      </c>
      <c r="AA3272" s="21" t="str">
        <f>HYPERLINK("https://www.ncbi.nlm.nih.gov/nuccore/CP031026","NCBI Nucleotide")</f>
        <v>NCBI Nucleotide</v>
      </c>
    </row>
    <row r="3273" spans="1:27" x14ac:dyDescent="0.35">
      <c r="A3273">
        <v>1004431</v>
      </c>
      <c r="B3273">
        <v>3249</v>
      </c>
      <c r="C3273">
        <v>1</v>
      </c>
      <c r="D3273" s="17" t="s">
        <v>155</v>
      </c>
      <c r="E3273" s="17"/>
      <c r="F3273" s="17" t="s">
        <v>156</v>
      </c>
      <c r="G3273" s="17"/>
      <c r="H3273" s="17" t="s">
        <v>692</v>
      </c>
      <c r="I3273" s="17"/>
      <c r="J3273" s="17" t="s">
        <v>693</v>
      </c>
      <c r="K3273" s="17"/>
      <c r="L3273" s="17"/>
      <c r="M3273" s="17"/>
      <c r="N3273" s="17"/>
      <c r="O3273" s="17" t="s">
        <v>5828</v>
      </c>
      <c r="P3273" s="17" t="s">
        <v>5844</v>
      </c>
      <c r="Q3273" s="17"/>
      <c r="R3273" s="25" t="str">
        <f>HYPERLINK("https://ictv.global/taxonomy/taxondetails?taxnode_id=202307833","Maenadvirus maenad")</f>
        <v>Maenadvirus maenad</v>
      </c>
      <c r="S3273" s="18" t="s">
        <v>30</v>
      </c>
      <c r="T3273" s="18" t="s">
        <v>5845</v>
      </c>
      <c r="U3273" s="18"/>
      <c r="V3273" s="18"/>
      <c r="W3273" s="18" t="s">
        <v>5846</v>
      </c>
      <c r="X3273" s="18" t="s">
        <v>42</v>
      </c>
      <c r="Y3273" s="18" t="s">
        <v>36</v>
      </c>
      <c r="Z3273" s="18" t="s">
        <v>697</v>
      </c>
      <c r="AA3273" s="21" t="str">
        <f>HYPERLINK("https://www.ncbi.nlm.nih.gov/nuccore/MG765274","NCBI Nucleotide")</f>
        <v>NCBI Nucleotide</v>
      </c>
    </row>
    <row r="3274" spans="1:27" x14ac:dyDescent="0.35">
      <c r="A3274">
        <v>1004432</v>
      </c>
      <c r="B3274">
        <v>3250</v>
      </c>
      <c r="C3274">
        <v>1</v>
      </c>
      <c r="D3274" s="17" t="s">
        <v>155</v>
      </c>
      <c r="E3274" s="17"/>
      <c r="F3274" s="17" t="s">
        <v>156</v>
      </c>
      <c r="G3274" s="17"/>
      <c r="H3274" s="17" t="s">
        <v>692</v>
      </c>
      <c r="I3274" s="17"/>
      <c r="J3274" s="17" t="s">
        <v>693</v>
      </c>
      <c r="K3274" s="17"/>
      <c r="L3274" s="17"/>
      <c r="M3274" s="17"/>
      <c r="N3274" s="17"/>
      <c r="O3274" s="17" t="s">
        <v>5828</v>
      </c>
      <c r="P3274" s="17" t="s">
        <v>5844</v>
      </c>
      <c r="Q3274" s="17"/>
      <c r="R3274" s="25" t="str">
        <f>HYPERLINK("https://ictv.global/taxonomy/taxondetails?taxnode_id=202307835","Maenadvirus P1")</f>
        <v>Maenadvirus P1</v>
      </c>
      <c r="S3274" s="18" t="s">
        <v>30</v>
      </c>
      <c r="T3274" s="18" t="s">
        <v>5847</v>
      </c>
      <c r="U3274" s="18"/>
      <c r="V3274" s="18"/>
      <c r="W3274" s="18" t="s">
        <v>5848</v>
      </c>
      <c r="X3274" s="18" t="s">
        <v>42</v>
      </c>
      <c r="Y3274" s="18" t="s">
        <v>36</v>
      </c>
      <c r="Z3274" s="18" t="s">
        <v>697</v>
      </c>
      <c r="AA3274" s="21" t="str">
        <f>HYPERLINK("https://www.ncbi.nlm.nih.gov/nuccore/KX223815","NCBI Nucleotide")</f>
        <v>NCBI Nucleotide</v>
      </c>
    </row>
    <row r="3275" spans="1:27" x14ac:dyDescent="0.35">
      <c r="A3275">
        <v>1004433</v>
      </c>
      <c r="B3275">
        <v>3251</v>
      </c>
      <c r="C3275">
        <v>1</v>
      </c>
      <c r="D3275" s="17" t="s">
        <v>155</v>
      </c>
      <c r="E3275" s="17"/>
      <c r="F3275" s="17" t="s">
        <v>156</v>
      </c>
      <c r="G3275" s="17"/>
      <c r="H3275" s="17" t="s">
        <v>692</v>
      </c>
      <c r="I3275" s="17"/>
      <c r="J3275" s="17" t="s">
        <v>693</v>
      </c>
      <c r="K3275" s="17"/>
      <c r="L3275" s="17"/>
      <c r="M3275" s="17"/>
      <c r="N3275" s="17"/>
      <c r="O3275" s="17" t="s">
        <v>5828</v>
      </c>
      <c r="P3275" s="17" t="s">
        <v>5844</v>
      </c>
      <c r="Q3275" s="17"/>
      <c r="R3275" s="25" t="str">
        <f>HYPERLINK("https://ictv.global/taxonomy/taxondetails?taxnode_id=202307834","Maenadvirus satyr")</f>
        <v>Maenadvirus satyr</v>
      </c>
      <c r="S3275" s="18" t="s">
        <v>30</v>
      </c>
      <c r="T3275" s="18" t="s">
        <v>5849</v>
      </c>
      <c r="U3275" s="18"/>
      <c r="V3275" s="18"/>
      <c r="W3275" s="18" t="s">
        <v>5850</v>
      </c>
      <c r="X3275" s="18" t="s">
        <v>42</v>
      </c>
      <c r="Y3275" s="18" t="s">
        <v>36</v>
      </c>
      <c r="Z3275" s="18" t="s">
        <v>697</v>
      </c>
      <c r="AA3275" s="21" t="str">
        <f>HYPERLINK("https://www.ncbi.nlm.nih.gov/nuccore/MG744354","NCBI Nucleotide")</f>
        <v>NCBI Nucleotide</v>
      </c>
    </row>
    <row r="3276" spans="1:27" x14ac:dyDescent="0.35">
      <c r="A3276">
        <v>1004434</v>
      </c>
      <c r="B3276">
        <v>3252</v>
      </c>
      <c r="C3276">
        <v>1</v>
      </c>
      <c r="D3276" s="17" t="s">
        <v>155</v>
      </c>
      <c r="E3276" s="17"/>
      <c r="F3276" s="17" t="s">
        <v>156</v>
      </c>
      <c r="G3276" s="17"/>
      <c r="H3276" s="17" t="s">
        <v>692</v>
      </c>
      <c r="I3276" s="17"/>
      <c r="J3276" s="17" t="s">
        <v>693</v>
      </c>
      <c r="K3276" s="17"/>
      <c r="L3276" s="17"/>
      <c r="M3276" s="17"/>
      <c r="N3276" s="17"/>
      <c r="O3276" s="17" t="s">
        <v>5851</v>
      </c>
      <c r="P3276" s="17" t="s">
        <v>5852</v>
      </c>
      <c r="Q3276" s="17"/>
      <c r="R3276" s="25" t="str">
        <f>HYPERLINK("https://ictv.global/taxonomy/taxondetails?taxnode_id=202307080","Avunavirus Av05")</f>
        <v>Avunavirus Av05</v>
      </c>
      <c r="S3276" s="18" t="s">
        <v>30</v>
      </c>
      <c r="T3276" s="18" t="s">
        <v>5853</v>
      </c>
      <c r="U3276" s="18"/>
      <c r="V3276" s="18"/>
      <c r="W3276" s="18" t="s">
        <v>5854</v>
      </c>
      <c r="X3276" s="18" t="s">
        <v>42</v>
      </c>
      <c r="Y3276" s="18" t="s">
        <v>36</v>
      </c>
      <c r="Z3276" s="18" t="s">
        <v>697</v>
      </c>
      <c r="AA3276" s="21" t="str">
        <f>HYPERLINK("https://www.ncbi.nlm.nih.gov/nuccore/KM190144","NCBI Nucleotide")</f>
        <v>NCBI Nucleotide</v>
      </c>
    </row>
    <row r="3277" spans="1:27" x14ac:dyDescent="0.35">
      <c r="A3277">
        <v>1004435</v>
      </c>
      <c r="B3277">
        <v>3253</v>
      </c>
      <c r="C3277">
        <v>1</v>
      </c>
      <c r="D3277" s="17" t="s">
        <v>155</v>
      </c>
      <c r="E3277" s="17"/>
      <c r="F3277" s="17" t="s">
        <v>156</v>
      </c>
      <c r="G3277" s="17"/>
      <c r="H3277" s="17" t="s">
        <v>692</v>
      </c>
      <c r="I3277" s="17"/>
      <c r="J3277" s="17" t="s">
        <v>693</v>
      </c>
      <c r="K3277" s="17"/>
      <c r="L3277" s="17"/>
      <c r="M3277" s="17"/>
      <c r="N3277" s="17"/>
      <c r="O3277" s="17" t="s">
        <v>5851</v>
      </c>
      <c r="P3277" s="17" t="s">
        <v>5855</v>
      </c>
      <c r="Q3277" s="17"/>
      <c r="R3277" s="25" t="str">
        <f>HYPERLINK("https://ictv.global/taxonomy/taxondetails?taxnode_id=202300347","Certrevirus CR3")</f>
        <v>Certrevirus CR3</v>
      </c>
      <c r="S3277" s="18" t="s">
        <v>30</v>
      </c>
      <c r="T3277" s="18" t="s">
        <v>5856</v>
      </c>
      <c r="U3277" s="18"/>
      <c r="V3277" s="18"/>
      <c r="W3277" s="18" t="s">
        <v>5857</v>
      </c>
      <c r="X3277" s="18" t="s">
        <v>42</v>
      </c>
      <c r="Y3277" s="18" t="s">
        <v>36</v>
      </c>
      <c r="Z3277" s="18" t="s">
        <v>697</v>
      </c>
      <c r="AA3277" s="21" t="str">
        <f>HYPERLINK("https://www.ncbi.nlm.nih.gov/nuccore/JQ691612","NCBI Nucleotide")</f>
        <v>NCBI Nucleotide</v>
      </c>
    </row>
    <row r="3278" spans="1:27" x14ac:dyDescent="0.35">
      <c r="A3278">
        <v>1004436</v>
      </c>
      <c r="B3278">
        <v>3254</v>
      </c>
      <c r="C3278">
        <v>1</v>
      </c>
      <c r="D3278" s="17" t="s">
        <v>155</v>
      </c>
      <c r="E3278" s="17"/>
      <c r="F3278" s="17" t="s">
        <v>156</v>
      </c>
      <c r="G3278" s="17"/>
      <c r="H3278" s="17" t="s">
        <v>692</v>
      </c>
      <c r="I3278" s="17"/>
      <c r="J3278" s="17" t="s">
        <v>693</v>
      </c>
      <c r="K3278" s="17"/>
      <c r="L3278" s="17"/>
      <c r="M3278" s="17"/>
      <c r="N3278" s="17"/>
      <c r="O3278" s="17" t="s">
        <v>5851</v>
      </c>
      <c r="P3278" s="17" t="s">
        <v>5855</v>
      </c>
      <c r="Q3278" s="17"/>
      <c r="R3278" s="25" t="str">
        <f>HYPERLINK("https://ictv.global/taxonomy/taxondetails?taxnode_id=202300348","Certrevirus CR8")</f>
        <v>Certrevirus CR8</v>
      </c>
      <c r="S3278" s="18" t="s">
        <v>30</v>
      </c>
      <c r="T3278" s="18" t="s">
        <v>5858</v>
      </c>
      <c r="U3278" s="18"/>
      <c r="V3278" s="18"/>
      <c r="W3278" s="18" t="s">
        <v>5859</v>
      </c>
      <c r="X3278" s="18" t="s">
        <v>42</v>
      </c>
      <c r="Y3278" s="18" t="s">
        <v>36</v>
      </c>
      <c r="Z3278" s="18" t="s">
        <v>697</v>
      </c>
      <c r="AA3278" s="21" t="str">
        <f>HYPERLINK("https://www.ncbi.nlm.nih.gov/nuccore/KC954774","NCBI Nucleotide")</f>
        <v>NCBI Nucleotide</v>
      </c>
    </row>
    <row r="3279" spans="1:27" x14ac:dyDescent="0.35">
      <c r="A3279">
        <v>1004437</v>
      </c>
      <c r="B3279">
        <v>3255</v>
      </c>
      <c r="C3279">
        <v>1</v>
      </c>
      <c r="D3279" s="17" t="s">
        <v>155</v>
      </c>
      <c r="E3279" s="17"/>
      <c r="F3279" s="17" t="s">
        <v>156</v>
      </c>
      <c r="G3279" s="17"/>
      <c r="H3279" s="17" t="s">
        <v>692</v>
      </c>
      <c r="I3279" s="17"/>
      <c r="J3279" s="17" t="s">
        <v>693</v>
      </c>
      <c r="K3279" s="17"/>
      <c r="L3279" s="17"/>
      <c r="M3279" s="17"/>
      <c r="N3279" s="17"/>
      <c r="O3279" s="17" t="s">
        <v>5851</v>
      </c>
      <c r="P3279" s="17" t="s">
        <v>5855</v>
      </c>
      <c r="Q3279" s="17"/>
      <c r="R3279" s="25" t="str">
        <f>HYPERLINK("https://ictv.global/taxonomy/taxondetails?taxnode_id=202300349","Certrevirus CR9")</f>
        <v>Certrevirus CR9</v>
      </c>
      <c r="S3279" s="18" t="s">
        <v>30</v>
      </c>
      <c r="T3279" s="18" t="s">
        <v>5860</v>
      </c>
      <c r="U3279" s="18"/>
      <c r="V3279" s="18"/>
      <c r="W3279" s="18" t="s">
        <v>5861</v>
      </c>
      <c r="X3279" s="18" t="s">
        <v>42</v>
      </c>
      <c r="Y3279" s="18" t="s">
        <v>36</v>
      </c>
      <c r="Z3279" s="18" t="s">
        <v>697</v>
      </c>
      <c r="AA3279" s="21" t="str">
        <f>HYPERLINK("https://www.ncbi.nlm.nih.gov/nuccore/JQ691611","NCBI Nucleotide")</f>
        <v>NCBI Nucleotide</v>
      </c>
    </row>
    <row r="3280" spans="1:27" x14ac:dyDescent="0.35">
      <c r="A3280">
        <v>1004438</v>
      </c>
      <c r="B3280">
        <v>3256</v>
      </c>
      <c r="C3280">
        <v>1</v>
      </c>
      <c r="D3280" s="17" t="s">
        <v>155</v>
      </c>
      <c r="E3280" s="17"/>
      <c r="F3280" s="17" t="s">
        <v>156</v>
      </c>
      <c r="G3280" s="17"/>
      <c r="H3280" s="17" t="s">
        <v>692</v>
      </c>
      <c r="I3280" s="17"/>
      <c r="J3280" s="17" t="s">
        <v>693</v>
      </c>
      <c r="K3280" s="17"/>
      <c r="L3280" s="17"/>
      <c r="M3280" s="17"/>
      <c r="N3280" s="17"/>
      <c r="O3280" s="17" t="s">
        <v>5851</v>
      </c>
      <c r="P3280" s="17" t="s">
        <v>5855</v>
      </c>
      <c r="Q3280" s="17"/>
      <c r="R3280" s="25" t="str">
        <f>HYPERLINK("https://ictv.global/taxonomy/taxondetails?taxnode_id=202300350","Certrevirus PBES02")</f>
        <v>Certrevirus PBES02</v>
      </c>
      <c r="S3280" s="18" t="s">
        <v>30</v>
      </c>
      <c r="T3280" s="18" t="s">
        <v>5862</v>
      </c>
      <c r="U3280" s="18"/>
      <c r="V3280" s="18"/>
      <c r="W3280" s="18" t="s">
        <v>5863</v>
      </c>
      <c r="X3280" s="18" t="s">
        <v>42</v>
      </c>
      <c r="Y3280" s="18" t="s">
        <v>36</v>
      </c>
      <c r="Z3280" s="18" t="s">
        <v>697</v>
      </c>
      <c r="AA3280" s="21" t="str">
        <f>HYPERLINK("https://www.ncbi.nlm.nih.gov/nuccore/KT353109","NCBI Nucleotide")</f>
        <v>NCBI Nucleotide</v>
      </c>
    </row>
    <row r="3281" spans="1:27" x14ac:dyDescent="0.35">
      <c r="A3281">
        <v>1004439</v>
      </c>
      <c r="B3281">
        <v>3257</v>
      </c>
      <c r="C3281">
        <v>1</v>
      </c>
      <c r="D3281" s="17" t="s">
        <v>155</v>
      </c>
      <c r="E3281" s="17"/>
      <c r="F3281" s="17" t="s">
        <v>156</v>
      </c>
      <c r="G3281" s="17"/>
      <c r="H3281" s="17" t="s">
        <v>692</v>
      </c>
      <c r="I3281" s="17"/>
      <c r="J3281" s="17" t="s">
        <v>693</v>
      </c>
      <c r="K3281" s="17"/>
      <c r="L3281" s="17"/>
      <c r="M3281" s="17"/>
      <c r="N3281" s="17"/>
      <c r="O3281" s="17" t="s">
        <v>5851</v>
      </c>
      <c r="P3281" s="17" t="s">
        <v>5855</v>
      </c>
      <c r="Q3281" s="17"/>
      <c r="R3281" s="25" t="str">
        <f>HYPERLINK("https://ictv.global/taxonomy/taxondetails?taxnode_id=202300351","Certrevirus phiTE")</f>
        <v>Certrevirus phiTE</v>
      </c>
      <c r="S3281" s="18" t="s">
        <v>30</v>
      </c>
      <c r="T3281" s="18" t="s">
        <v>5864</v>
      </c>
      <c r="U3281" s="18"/>
      <c r="V3281" s="18"/>
      <c r="W3281" s="18" t="s">
        <v>5865</v>
      </c>
      <c r="X3281" s="18" t="s">
        <v>42</v>
      </c>
      <c r="Y3281" s="18" t="s">
        <v>36</v>
      </c>
      <c r="Z3281" s="18" t="s">
        <v>697</v>
      </c>
      <c r="AA3281" s="21" t="str">
        <f>HYPERLINK("https://www.ncbi.nlm.nih.gov/nuccore/JQ015307","NCBI Nucleotide")</f>
        <v>NCBI Nucleotide</v>
      </c>
    </row>
    <row r="3282" spans="1:27" x14ac:dyDescent="0.35">
      <c r="A3282">
        <v>1004440</v>
      </c>
      <c r="B3282">
        <v>3258</v>
      </c>
      <c r="C3282">
        <v>1</v>
      </c>
      <c r="D3282" s="17" t="s">
        <v>155</v>
      </c>
      <c r="E3282" s="17"/>
      <c r="F3282" s="17" t="s">
        <v>156</v>
      </c>
      <c r="G3282" s="17"/>
      <c r="H3282" s="17" t="s">
        <v>692</v>
      </c>
      <c r="I3282" s="17"/>
      <c r="J3282" s="17" t="s">
        <v>693</v>
      </c>
      <c r="K3282" s="17"/>
      <c r="L3282" s="17"/>
      <c r="M3282" s="17"/>
      <c r="N3282" s="17"/>
      <c r="O3282" s="17" t="s">
        <v>5851</v>
      </c>
      <c r="P3282" s="17" t="s">
        <v>5866</v>
      </c>
      <c r="Q3282" s="17"/>
      <c r="R3282" s="25" t="str">
        <f>HYPERLINK("https://ictv.global/taxonomy/taxondetails?taxnode_id=202310105","Henunavirus hena1")</f>
        <v>Henunavirus hena1</v>
      </c>
      <c r="S3282" s="18" t="s">
        <v>30</v>
      </c>
      <c r="T3282" s="18" t="s">
        <v>5867</v>
      </c>
      <c r="U3282" s="18"/>
      <c r="V3282" s="18"/>
      <c r="W3282" s="18" t="s">
        <v>5868</v>
      </c>
      <c r="X3282" s="18" t="s">
        <v>42</v>
      </c>
      <c r="Y3282" s="18" t="s">
        <v>36</v>
      </c>
      <c r="Z3282" s="18" t="s">
        <v>697</v>
      </c>
      <c r="AA3282" s="21" t="str">
        <f>HYPERLINK("https://www.ncbi.nlm.nih.gov/nuccore/MN732867","NCBI Nucleotide")</f>
        <v>NCBI Nucleotide</v>
      </c>
    </row>
    <row r="3283" spans="1:27" x14ac:dyDescent="0.35">
      <c r="A3283">
        <v>1004441</v>
      </c>
      <c r="B3283">
        <v>3259</v>
      </c>
      <c r="C3283">
        <v>1</v>
      </c>
      <c r="D3283" s="17" t="s">
        <v>155</v>
      </c>
      <c r="E3283" s="17"/>
      <c r="F3283" s="17" t="s">
        <v>156</v>
      </c>
      <c r="G3283" s="17"/>
      <c r="H3283" s="17" t="s">
        <v>692</v>
      </c>
      <c r="I3283" s="17"/>
      <c r="J3283" s="17" t="s">
        <v>693</v>
      </c>
      <c r="K3283" s="17"/>
      <c r="L3283" s="17"/>
      <c r="M3283" s="17"/>
      <c r="N3283" s="17"/>
      <c r="O3283" s="17" t="s">
        <v>5851</v>
      </c>
      <c r="P3283" s="17" t="s">
        <v>5866</v>
      </c>
      <c r="Q3283" s="17"/>
      <c r="R3283" s="25" t="str">
        <f>HYPERLINK("https://ictv.global/taxonomy/taxondetails?taxnode_id=202310106","Henunavirus SNUABM01")</f>
        <v>Henunavirus SNUABM01</v>
      </c>
      <c r="S3283" s="18" t="s">
        <v>30</v>
      </c>
      <c r="T3283" s="18" t="s">
        <v>5869</v>
      </c>
      <c r="U3283" s="18"/>
      <c r="V3283" s="18"/>
      <c r="W3283" s="18" t="s">
        <v>5870</v>
      </c>
      <c r="X3283" s="18" t="s">
        <v>42</v>
      </c>
      <c r="Y3283" s="18" t="s">
        <v>36</v>
      </c>
      <c r="Z3283" s="18" t="s">
        <v>697</v>
      </c>
      <c r="AA3283" s="21" t="str">
        <f>HYPERLINK("https://www.ncbi.nlm.nih.gov/nuccore/MN184887","NCBI Nucleotide")</f>
        <v>NCBI Nucleotide</v>
      </c>
    </row>
    <row r="3284" spans="1:27" x14ac:dyDescent="0.35">
      <c r="A3284">
        <v>1004442</v>
      </c>
      <c r="B3284">
        <v>3260</v>
      </c>
      <c r="C3284">
        <v>1</v>
      </c>
      <c r="D3284" s="17" t="s">
        <v>155</v>
      </c>
      <c r="E3284" s="17"/>
      <c r="F3284" s="17" t="s">
        <v>156</v>
      </c>
      <c r="G3284" s="17"/>
      <c r="H3284" s="17" t="s">
        <v>692</v>
      </c>
      <c r="I3284" s="17"/>
      <c r="J3284" s="17" t="s">
        <v>693</v>
      </c>
      <c r="K3284" s="17"/>
      <c r="L3284" s="17"/>
      <c r="M3284" s="17"/>
      <c r="N3284" s="17"/>
      <c r="O3284" s="17" t="s">
        <v>5851</v>
      </c>
      <c r="P3284" s="17" t="s">
        <v>5871</v>
      </c>
      <c r="Q3284" s="17"/>
      <c r="R3284" s="25" t="str">
        <f>HYPERLINK("https://ictv.global/taxonomy/taxondetails?taxnode_id=202311550","Mydovirus BIS47")</f>
        <v>Mydovirus BIS47</v>
      </c>
      <c r="S3284" s="18" t="s">
        <v>30</v>
      </c>
      <c r="T3284" s="18" t="s">
        <v>5872</v>
      </c>
      <c r="U3284" s="18"/>
      <c r="V3284" s="18"/>
      <c r="W3284" s="18" t="s">
        <v>5873</v>
      </c>
      <c r="X3284" s="18" t="s">
        <v>42</v>
      </c>
      <c r="Y3284" s="18" t="s">
        <v>36</v>
      </c>
      <c r="Z3284" s="18" t="s">
        <v>697</v>
      </c>
      <c r="AA3284" s="21" t="str">
        <f>HYPERLINK("https://www.ncbi.nlm.nih.gov/nuccore/KY652726","NCBI Nucleotide")</f>
        <v>NCBI Nucleotide</v>
      </c>
    </row>
    <row r="3285" spans="1:27" x14ac:dyDescent="0.35">
      <c r="A3285">
        <v>1004443</v>
      </c>
      <c r="B3285">
        <v>3261</v>
      </c>
      <c r="C3285">
        <v>1</v>
      </c>
      <c r="D3285" s="17" t="s">
        <v>155</v>
      </c>
      <c r="E3285" s="17"/>
      <c r="F3285" s="17" t="s">
        <v>156</v>
      </c>
      <c r="G3285" s="17"/>
      <c r="H3285" s="17" t="s">
        <v>692</v>
      </c>
      <c r="I3285" s="17"/>
      <c r="J3285" s="17" t="s">
        <v>693</v>
      </c>
      <c r="K3285" s="17"/>
      <c r="L3285" s="17"/>
      <c r="M3285" s="17"/>
      <c r="N3285" s="17"/>
      <c r="O3285" s="17" t="s">
        <v>5851</v>
      </c>
      <c r="P3285" s="17" t="s">
        <v>5871</v>
      </c>
      <c r="Q3285" s="17"/>
      <c r="R3285" s="25" t="str">
        <f>HYPERLINK("https://ictv.global/taxonomy/taxondetails?taxnode_id=202311551","Mydovirus KB57")</f>
        <v>Mydovirus KB57</v>
      </c>
      <c r="S3285" s="18" t="s">
        <v>30</v>
      </c>
      <c r="T3285" s="18" t="s">
        <v>5874</v>
      </c>
      <c r="U3285" s="18"/>
      <c r="V3285" s="18"/>
      <c r="W3285" s="18" t="s">
        <v>5875</v>
      </c>
      <c r="X3285" s="18" t="s">
        <v>42</v>
      </c>
      <c r="Y3285" s="18" t="s">
        <v>36</v>
      </c>
      <c r="Z3285" s="18" t="s">
        <v>697</v>
      </c>
      <c r="AA3285" s="21" t="str">
        <f>HYPERLINK("https://www.ncbi.nlm.nih.gov/nuccore/KT934943","NCBI Nucleotide")</f>
        <v>NCBI Nucleotide</v>
      </c>
    </row>
    <row r="3286" spans="1:27" x14ac:dyDescent="0.35">
      <c r="A3286">
        <v>1004444</v>
      </c>
      <c r="B3286">
        <v>3262</v>
      </c>
      <c r="C3286">
        <v>1</v>
      </c>
      <c r="D3286" s="17" t="s">
        <v>155</v>
      </c>
      <c r="E3286" s="17"/>
      <c r="F3286" s="17" t="s">
        <v>156</v>
      </c>
      <c r="G3286" s="17"/>
      <c r="H3286" s="17" t="s">
        <v>692</v>
      </c>
      <c r="I3286" s="17"/>
      <c r="J3286" s="17" t="s">
        <v>693</v>
      </c>
      <c r="K3286" s="17"/>
      <c r="L3286" s="17"/>
      <c r="M3286" s="17"/>
      <c r="N3286" s="17"/>
      <c r="O3286" s="17" t="s">
        <v>5851</v>
      </c>
      <c r="P3286" s="17" t="s">
        <v>5871</v>
      </c>
      <c r="Q3286" s="17"/>
      <c r="R3286" s="25" t="str">
        <f>HYPERLINK("https://ictv.global/taxonomy/taxondetails?taxnode_id=202311554","Mydovirus KNP2")</f>
        <v>Mydovirus KNP2</v>
      </c>
      <c r="S3286" s="18" t="s">
        <v>30</v>
      </c>
      <c r="T3286" s="18" t="s">
        <v>5876</v>
      </c>
      <c r="U3286" s="18"/>
      <c r="V3286" s="18"/>
      <c r="W3286" s="18" t="s">
        <v>5877</v>
      </c>
      <c r="X3286" s="18" t="s">
        <v>42</v>
      </c>
      <c r="Y3286" s="18" t="s">
        <v>36</v>
      </c>
      <c r="Z3286" s="18" t="s">
        <v>697</v>
      </c>
      <c r="AA3286" s="21" t="str">
        <f>HYPERLINK("https://www.ncbi.nlm.nih.gov/nuccore/KX452695","NCBI Nucleotide")</f>
        <v>NCBI Nucleotide</v>
      </c>
    </row>
    <row r="3287" spans="1:27" x14ac:dyDescent="0.35">
      <c r="A3287">
        <v>1004445</v>
      </c>
      <c r="B3287">
        <v>3263</v>
      </c>
      <c r="C3287">
        <v>1</v>
      </c>
      <c r="D3287" s="17" t="s">
        <v>155</v>
      </c>
      <c r="E3287" s="17"/>
      <c r="F3287" s="17" t="s">
        <v>156</v>
      </c>
      <c r="G3287" s="17"/>
      <c r="H3287" s="17" t="s">
        <v>692</v>
      </c>
      <c r="I3287" s="17"/>
      <c r="J3287" s="17" t="s">
        <v>693</v>
      </c>
      <c r="K3287" s="17"/>
      <c r="L3287" s="17"/>
      <c r="M3287" s="17"/>
      <c r="N3287" s="17"/>
      <c r="O3287" s="17" t="s">
        <v>5851</v>
      </c>
      <c r="P3287" s="17" t="s">
        <v>5871</v>
      </c>
      <c r="Q3287" s="17"/>
      <c r="R3287" s="25" t="str">
        <f>HYPERLINK("https://ictv.global/taxonomy/taxondetails?taxnode_id=202311553","Mydovirus KpS8")</f>
        <v>Mydovirus KpS8</v>
      </c>
      <c r="S3287" s="18" t="s">
        <v>30</v>
      </c>
      <c r="T3287" s="18" t="s">
        <v>5878</v>
      </c>
      <c r="U3287" s="18"/>
      <c r="V3287" s="18"/>
      <c r="W3287" s="18" t="s">
        <v>5879</v>
      </c>
      <c r="X3287" s="18" t="s">
        <v>42</v>
      </c>
      <c r="Y3287" s="18" t="s">
        <v>36</v>
      </c>
      <c r="Z3287" s="18" t="s">
        <v>697</v>
      </c>
      <c r="AA3287" s="21" t="str">
        <f>HYPERLINK("https://www.ncbi.nlm.nih.gov/nuccore/MT178275","NCBI Nucleotide")</f>
        <v>NCBI Nucleotide</v>
      </c>
    </row>
    <row r="3288" spans="1:27" x14ac:dyDescent="0.35">
      <c r="A3288">
        <v>1004446</v>
      </c>
      <c r="B3288">
        <v>3264</v>
      </c>
      <c r="C3288">
        <v>1</v>
      </c>
      <c r="D3288" s="17" t="s">
        <v>155</v>
      </c>
      <c r="E3288" s="17"/>
      <c r="F3288" s="17" t="s">
        <v>156</v>
      </c>
      <c r="G3288" s="17"/>
      <c r="H3288" s="17" t="s">
        <v>692</v>
      </c>
      <c r="I3288" s="17"/>
      <c r="J3288" s="17" t="s">
        <v>693</v>
      </c>
      <c r="K3288" s="17"/>
      <c r="L3288" s="17"/>
      <c r="M3288" s="17"/>
      <c r="N3288" s="17"/>
      <c r="O3288" s="17" t="s">
        <v>5851</v>
      </c>
      <c r="P3288" s="17" t="s">
        <v>5871</v>
      </c>
      <c r="Q3288" s="17"/>
      <c r="R3288" s="25" t="str">
        <f>HYPERLINK("https://ictv.global/taxonomy/taxondetails?taxnode_id=202311549","Mydovirus mydo")</f>
        <v>Mydovirus mydo</v>
      </c>
      <c r="S3288" s="18" t="s">
        <v>30</v>
      </c>
      <c r="T3288" s="18" t="s">
        <v>5880</v>
      </c>
      <c r="U3288" s="18"/>
      <c r="V3288" s="18"/>
      <c r="W3288" s="18" t="s">
        <v>5881</v>
      </c>
      <c r="X3288" s="18" t="s">
        <v>42</v>
      </c>
      <c r="Y3288" s="18" t="s">
        <v>36</v>
      </c>
      <c r="Z3288" s="18" t="s">
        <v>697</v>
      </c>
      <c r="AA3288" s="21" t="str">
        <f>HYPERLINK("https://www.ncbi.nlm.nih.gov/nuccore/MK024806","NCBI Nucleotide")</f>
        <v>NCBI Nucleotide</v>
      </c>
    </row>
    <row r="3289" spans="1:27" x14ac:dyDescent="0.35">
      <c r="A3289">
        <v>1004447</v>
      </c>
      <c r="B3289">
        <v>3265</v>
      </c>
      <c r="C3289">
        <v>1</v>
      </c>
      <c r="D3289" s="17" t="s">
        <v>155</v>
      </c>
      <c r="E3289" s="17"/>
      <c r="F3289" s="17" t="s">
        <v>156</v>
      </c>
      <c r="G3289" s="17"/>
      <c r="H3289" s="17" t="s">
        <v>692</v>
      </c>
      <c r="I3289" s="17"/>
      <c r="J3289" s="17" t="s">
        <v>693</v>
      </c>
      <c r="K3289" s="17"/>
      <c r="L3289" s="17"/>
      <c r="M3289" s="17"/>
      <c r="N3289" s="17"/>
      <c r="O3289" s="17" t="s">
        <v>5851</v>
      </c>
      <c r="P3289" s="17" t="s">
        <v>5871</v>
      </c>
      <c r="Q3289" s="17"/>
      <c r="R3289" s="25" t="str">
        <f>HYPERLINK("https://ictv.global/taxonomy/taxondetails?taxnode_id=202311552","Mydovirus Ro1")</f>
        <v>Mydovirus Ro1</v>
      </c>
      <c r="S3289" s="18" t="s">
        <v>30</v>
      </c>
      <c r="T3289" s="18" t="s">
        <v>5882</v>
      </c>
      <c r="U3289" s="18"/>
      <c r="V3289" s="18"/>
      <c r="W3289" s="18" t="s">
        <v>5883</v>
      </c>
      <c r="X3289" s="18" t="s">
        <v>42</v>
      </c>
      <c r="Y3289" s="18" t="s">
        <v>36</v>
      </c>
      <c r="Z3289" s="18" t="s">
        <v>697</v>
      </c>
      <c r="AA3289" s="21" t="str">
        <f>HYPERLINK("https://www.ncbi.nlm.nih.gov/nuccore/MG250486","NCBI Nucleotide")</f>
        <v>NCBI Nucleotide</v>
      </c>
    </row>
    <row r="3290" spans="1:27" x14ac:dyDescent="0.35">
      <c r="A3290">
        <v>1024844</v>
      </c>
      <c r="B3290">
        <v>3266</v>
      </c>
      <c r="C3290">
        <v>1</v>
      </c>
      <c r="D3290" s="17" t="s">
        <v>155</v>
      </c>
      <c r="E3290" s="17"/>
      <c r="F3290" s="17" t="s">
        <v>156</v>
      </c>
      <c r="G3290" s="17"/>
      <c r="H3290" s="17" t="s">
        <v>692</v>
      </c>
      <c r="I3290" s="17"/>
      <c r="J3290" s="17" t="s">
        <v>693</v>
      </c>
      <c r="K3290" s="17"/>
      <c r="L3290" s="17"/>
      <c r="M3290" s="17"/>
      <c r="N3290" s="17"/>
      <c r="O3290" s="17" t="s">
        <v>5851</v>
      </c>
      <c r="P3290" s="17" t="s">
        <v>39778</v>
      </c>
      <c r="Q3290" s="17"/>
      <c r="R3290" s="25" t="str">
        <f>HYPERLINK("https://ictv.global/taxonomy/taxondetails?taxnode_id=202319268","Septuagintavirus A73")</f>
        <v>Septuagintavirus A73</v>
      </c>
      <c r="S3290" s="18" t="s">
        <v>30</v>
      </c>
      <c r="T3290" s="18" t="s">
        <v>39779</v>
      </c>
      <c r="U3290" s="18"/>
      <c r="V3290" s="18"/>
      <c r="W3290" s="18" t="s">
        <v>39780</v>
      </c>
      <c r="X3290" s="18" t="s">
        <v>42</v>
      </c>
      <c r="Y3290" s="18" t="s">
        <v>36</v>
      </c>
      <c r="Z3290" s="18" t="s">
        <v>697</v>
      </c>
      <c r="AA3290" s="21" t="str">
        <f>HYPERLINK("https://www.ncbi.nlm.nih.gov/nuccore/OP778609","NCBI Nucleotide")</f>
        <v>NCBI Nucleotide</v>
      </c>
    </row>
    <row r="3291" spans="1:27" x14ac:dyDescent="0.35">
      <c r="A3291">
        <v>1024845</v>
      </c>
      <c r="B3291">
        <v>3267</v>
      </c>
      <c r="C3291">
        <v>1</v>
      </c>
      <c r="D3291" s="17" t="s">
        <v>155</v>
      </c>
      <c r="E3291" s="17"/>
      <c r="F3291" s="17" t="s">
        <v>156</v>
      </c>
      <c r="G3291" s="17"/>
      <c r="H3291" s="17" t="s">
        <v>692</v>
      </c>
      <c r="I3291" s="17"/>
      <c r="J3291" s="17" t="s">
        <v>693</v>
      </c>
      <c r="K3291" s="17"/>
      <c r="L3291" s="17"/>
      <c r="M3291" s="17"/>
      <c r="N3291" s="17"/>
      <c r="O3291" s="17" t="s">
        <v>5851</v>
      </c>
      <c r="P3291" s="17" t="s">
        <v>39778</v>
      </c>
      <c r="Q3291" s="17"/>
      <c r="R3291" s="25" t="str">
        <f>HYPERLINK("https://ictv.global/taxonomy/taxondetails?taxnode_id=202319269","Septuagintavirus sv54")</f>
        <v>Septuagintavirus sv54</v>
      </c>
      <c r="S3291" s="18" t="s">
        <v>30</v>
      </c>
      <c r="T3291" s="18" t="s">
        <v>39781</v>
      </c>
      <c r="U3291" s="18"/>
      <c r="V3291" s="18"/>
      <c r="W3291" s="18" t="s">
        <v>39782</v>
      </c>
      <c r="X3291" s="18" t="s">
        <v>42</v>
      </c>
      <c r="Y3291" s="18" t="s">
        <v>36</v>
      </c>
      <c r="Z3291" s="18" t="s">
        <v>697</v>
      </c>
      <c r="AA3291" s="21" t="str">
        <f>HYPERLINK("https://www.ncbi.nlm.nih.gov/nuccore/OP744025","NCBI Nucleotide")</f>
        <v>NCBI Nucleotide</v>
      </c>
    </row>
    <row r="3292" spans="1:27" x14ac:dyDescent="0.35">
      <c r="A3292">
        <v>1004448</v>
      </c>
      <c r="B3292">
        <v>3268</v>
      </c>
      <c r="C3292">
        <v>1</v>
      </c>
      <c r="D3292" s="17" t="s">
        <v>155</v>
      </c>
      <c r="E3292" s="17"/>
      <c r="F3292" s="17" t="s">
        <v>156</v>
      </c>
      <c r="G3292" s="17"/>
      <c r="H3292" s="17" t="s">
        <v>692</v>
      </c>
      <c r="I3292" s="17"/>
      <c r="J3292" s="17" t="s">
        <v>693</v>
      </c>
      <c r="K3292" s="17"/>
      <c r="L3292" s="17"/>
      <c r="M3292" s="17"/>
      <c r="N3292" s="17"/>
      <c r="O3292" s="17" t="s">
        <v>5851</v>
      </c>
      <c r="P3292" s="17" t="s">
        <v>5884</v>
      </c>
      <c r="Q3292" s="17"/>
      <c r="R3292" s="25" t="str">
        <f>HYPERLINK("https://ictv.global/taxonomy/taxondetails?taxnode_id=202300354","Seunavirus 4MG")</f>
        <v>Seunavirus 4MG</v>
      </c>
      <c r="S3292" s="18" t="s">
        <v>30</v>
      </c>
      <c r="T3292" s="18" t="s">
        <v>5885</v>
      </c>
      <c r="U3292" s="18"/>
      <c r="V3292" s="18"/>
      <c r="W3292" s="18" t="s">
        <v>5886</v>
      </c>
      <c r="X3292" s="18" t="s">
        <v>42</v>
      </c>
      <c r="Y3292" s="18" t="s">
        <v>36</v>
      </c>
      <c r="Z3292" s="18" t="s">
        <v>697</v>
      </c>
      <c r="AA3292" s="21" t="str">
        <f>HYPERLINK("https://www.ncbi.nlm.nih.gov/nuccore/KF550303","NCBI Nucleotide")</f>
        <v>NCBI Nucleotide</v>
      </c>
    </row>
    <row r="3293" spans="1:27" x14ac:dyDescent="0.35">
      <c r="A3293">
        <v>1004449</v>
      </c>
      <c r="B3293">
        <v>3269</v>
      </c>
      <c r="C3293">
        <v>1</v>
      </c>
      <c r="D3293" s="17" t="s">
        <v>155</v>
      </c>
      <c r="E3293" s="17"/>
      <c r="F3293" s="17" t="s">
        <v>156</v>
      </c>
      <c r="G3293" s="17"/>
      <c r="H3293" s="17" t="s">
        <v>692</v>
      </c>
      <c r="I3293" s="17"/>
      <c r="J3293" s="17" t="s">
        <v>693</v>
      </c>
      <c r="K3293" s="17"/>
      <c r="L3293" s="17"/>
      <c r="M3293" s="17"/>
      <c r="N3293" s="17"/>
      <c r="O3293" s="17" t="s">
        <v>5851</v>
      </c>
      <c r="P3293" s="17" t="s">
        <v>5884</v>
      </c>
      <c r="Q3293" s="17"/>
      <c r="R3293" s="25" t="str">
        <f>HYPERLINK("https://ictv.global/taxonomy/taxondetails?taxnode_id=202300353","Seunavirus GAP31")</f>
        <v>Seunavirus GAP31</v>
      </c>
      <c r="S3293" s="18" t="s">
        <v>30</v>
      </c>
      <c r="T3293" s="18" t="s">
        <v>5887</v>
      </c>
      <c r="U3293" s="18"/>
      <c r="V3293" s="18"/>
      <c r="W3293" s="18" t="s">
        <v>5888</v>
      </c>
      <c r="X3293" s="18" t="s">
        <v>42</v>
      </c>
      <c r="Y3293" s="18" t="s">
        <v>36</v>
      </c>
      <c r="Z3293" s="18" t="s">
        <v>697</v>
      </c>
      <c r="AA3293" s="21" t="str">
        <f>HYPERLINK("https://www.ncbi.nlm.nih.gov/nuccore/JN882284","NCBI Nucleotide")</f>
        <v>NCBI Nucleotide</v>
      </c>
    </row>
    <row r="3294" spans="1:27" x14ac:dyDescent="0.35">
      <c r="A3294">
        <v>1004450</v>
      </c>
      <c r="B3294">
        <v>3270</v>
      </c>
      <c r="C3294">
        <v>1</v>
      </c>
      <c r="D3294" s="17" t="s">
        <v>155</v>
      </c>
      <c r="E3294" s="17"/>
      <c r="F3294" s="17" t="s">
        <v>156</v>
      </c>
      <c r="G3294" s="17"/>
      <c r="H3294" s="17" t="s">
        <v>692</v>
      </c>
      <c r="I3294" s="17"/>
      <c r="J3294" s="17" t="s">
        <v>693</v>
      </c>
      <c r="K3294" s="17"/>
      <c r="L3294" s="17"/>
      <c r="M3294" s="17"/>
      <c r="N3294" s="17"/>
      <c r="O3294" s="17" t="s">
        <v>5851</v>
      </c>
      <c r="P3294" s="17" t="s">
        <v>5884</v>
      </c>
      <c r="Q3294" s="17"/>
      <c r="R3294" s="25" t="str">
        <f>HYPERLINK("https://ictv.global/taxonomy/taxondetails?taxnode_id=202300355","Seunavirus PVPSE1")</f>
        <v>Seunavirus PVPSE1</v>
      </c>
      <c r="S3294" s="18" t="s">
        <v>30</v>
      </c>
      <c r="T3294" s="18" t="s">
        <v>5889</v>
      </c>
      <c r="U3294" s="18"/>
      <c r="V3294" s="18"/>
      <c r="W3294" s="18" t="s">
        <v>5890</v>
      </c>
      <c r="X3294" s="18" t="s">
        <v>42</v>
      </c>
      <c r="Y3294" s="18" t="s">
        <v>36</v>
      </c>
      <c r="Z3294" s="18" t="s">
        <v>697</v>
      </c>
      <c r="AA3294" s="21" t="str">
        <f>HYPERLINK("https://www.ncbi.nlm.nih.gov/nuccore/GU070616","NCBI Nucleotide")</f>
        <v>NCBI Nucleotide</v>
      </c>
    </row>
    <row r="3295" spans="1:27" x14ac:dyDescent="0.35">
      <c r="A3295">
        <v>1004451</v>
      </c>
      <c r="B3295">
        <v>3271</v>
      </c>
      <c r="C3295">
        <v>1</v>
      </c>
      <c r="D3295" s="17" t="s">
        <v>155</v>
      </c>
      <c r="E3295" s="17"/>
      <c r="F3295" s="17" t="s">
        <v>156</v>
      </c>
      <c r="G3295" s="17"/>
      <c r="H3295" s="17" t="s">
        <v>692</v>
      </c>
      <c r="I3295" s="17"/>
      <c r="J3295" s="17" t="s">
        <v>693</v>
      </c>
      <c r="K3295" s="17"/>
      <c r="L3295" s="17"/>
      <c r="M3295" s="17"/>
      <c r="N3295" s="17"/>
      <c r="O3295" s="17" t="s">
        <v>5851</v>
      </c>
      <c r="P3295" s="17" t="s">
        <v>5884</v>
      </c>
      <c r="Q3295" s="17"/>
      <c r="R3295" s="25" t="str">
        <f>HYPERLINK("https://ictv.global/taxonomy/taxondetails?taxnode_id=202300356","Seunavirus SSE121")</f>
        <v>Seunavirus SSE121</v>
      </c>
      <c r="S3295" s="18" t="s">
        <v>30</v>
      </c>
      <c r="T3295" s="18" t="s">
        <v>5891</v>
      </c>
      <c r="U3295" s="18"/>
      <c r="V3295" s="18"/>
      <c r="W3295" s="18" t="s">
        <v>5892</v>
      </c>
      <c r="X3295" s="18" t="s">
        <v>42</v>
      </c>
      <c r="Y3295" s="18" t="s">
        <v>36</v>
      </c>
      <c r="Z3295" s="18" t="s">
        <v>697</v>
      </c>
      <c r="AA3295" s="21" t="str">
        <f>HYPERLINK("https://www.ncbi.nlm.nih.gov/nuccore/JX181824","NCBI Nucleotide")</f>
        <v>NCBI Nucleotide</v>
      </c>
    </row>
    <row r="3296" spans="1:27" x14ac:dyDescent="0.35">
      <c r="A3296">
        <v>1025153</v>
      </c>
      <c r="B3296">
        <v>3272</v>
      </c>
      <c r="C3296">
        <v>1</v>
      </c>
      <c r="D3296" s="17" t="s">
        <v>155</v>
      </c>
      <c r="E3296" s="17"/>
      <c r="F3296" s="17" t="s">
        <v>156</v>
      </c>
      <c r="G3296" s="17"/>
      <c r="H3296" s="17" t="s">
        <v>692</v>
      </c>
      <c r="I3296" s="17"/>
      <c r="J3296" s="17" t="s">
        <v>693</v>
      </c>
      <c r="K3296" s="17"/>
      <c r="L3296" s="17"/>
      <c r="M3296" s="17"/>
      <c r="N3296" s="17"/>
      <c r="O3296" s="17" t="s">
        <v>5851</v>
      </c>
      <c r="P3296" s="17" t="s">
        <v>5893</v>
      </c>
      <c r="Q3296" s="17"/>
      <c r="R3296" s="25" t="str">
        <f>HYPERLINK("https://ictv.global/taxonomy/taxondetails?taxnode_id=202319484","Vequintavirus A512")</f>
        <v>Vequintavirus A512</v>
      </c>
      <c r="S3296" s="18" t="s">
        <v>30</v>
      </c>
      <c r="T3296" s="18" t="s">
        <v>39783</v>
      </c>
      <c r="U3296" s="18"/>
      <c r="V3296" s="18"/>
      <c r="W3296" s="18" t="s">
        <v>48422</v>
      </c>
      <c r="X3296" s="18" t="s">
        <v>42</v>
      </c>
      <c r="Y3296" s="18" t="s">
        <v>36</v>
      </c>
      <c r="Z3296" s="18" t="s">
        <v>697</v>
      </c>
      <c r="AA3296" s="21" t="str">
        <f>HYPERLINK("https://www.ncbi.nlm.nih.gov/nuccore/ON286973","NCBI Nucleotide")</f>
        <v>NCBI Nucleotide</v>
      </c>
    </row>
    <row r="3297" spans="1:27" x14ac:dyDescent="0.35">
      <c r="A3297">
        <v>1025154</v>
      </c>
      <c r="B3297">
        <v>3273</v>
      </c>
      <c r="C3297">
        <v>1</v>
      </c>
      <c r="D3297" s="17" t="s">
        <v>155</v>
      </c>
      <c r="E3297" s="17"/>
      <c r="F3297" s="17" t="s">
        <v>156</v>
      </c>
      <c r="G3297" s="17"/>
      <c r="H3297" s="17" t="s">
        <v>692</v>
      </c>
      <c r="I3297" s="17"/>
      <c r="J3297" s="17" t="s">
        <v>693</v>
      </c>
      <c r="K3297" s="17"/>
      <c r="L3297" s="17"/>
      <c r="M3297" s="17"/>
      <c r="N3297" s="17"/>
      <c r="O3297" s="17" t="s">
        <v>5851</v>
      </c>
      <c r="P3297" s="17" t="s">
        <v>5893</v>
      </c>
      <c r="Q3297" s="17"/>
      <c r="R3297" s="25" t="str">
        <f>HYPERLINK("https://ictv.global/taxonomy/taxondetails?taxnode_id=202319480","Vequintavirus alexboehm")</f>
        <v>Vequintavirus alexboehm</v>
      </c>
      <c r="S3297" s="18" t="s">
        <v>30</v>
      </c>
      <c r="T3297" s="18" t="s">
        <v>39784</v>
      </c>
      <c r="U3297" s="18"/>
      <c r="V3297" s="18"/>
      <c r="W3297" s="18" t="s">
        <v>48423</v>
      </c>
      <c r="X3297" s="18" t="s">
        <v>42</v>
      </c>
      <c r="Y3297" s="18" t="s">
        <v>36</v>
      </c>
      <c r="Z3297" s="18" t="s">
        <v>697</v>
      </c>
      <c r="AA3297" s="21" t="str">
        <f>HYPERLINK("https://www.ncbi.nlm.nih.gov/nuccore/MZ501048","NCBI Nucleotide")</f>
        <v>NCBI Nucleotide</v>
      </c>
    </row>
    <row r="3298" spans="1:27" x14ac:dyDescent="0.35">
      <c r="A3298">
        <v>1004452</v>
      </c>
      <c r="B3298">
        <v>3274</v>
      </c>
      <c r="C3298">
        <v>1</v>
      </c>
      <c r="D3298" s="17" t="s">
        <v>155</v>
      </c>
      <c r="E3298" s="17"/>
      <c r="F3298" s="17" t="s">
        <v>156</v>
      </c>
      <c r="G3298" s="17"/>
      <c r="H3298" s="17" t="s">
        <v>692</v>
      </c>
      <c r="I3298" s="17"/>
      <c r="J3298" s="17" t="s">
        <v>693</v>
      </c>
      <c r="K3298" s="17"/>
      <c r="L3298" s="17"/>
      <c r="M3298" s="17"/>
      <c r="N3298" s="17"/>
      <c r="O3298" s="17" t="s">
        <v>5851</v>
      </c>
      <c r="P3298" s="17" t="s">
        <v>5893</v>
      </c>
      <c r="Q3298" s="17"/>
      <c r="R3298" s="25" t="str">
        <f>HYPERLINK("https://ictv.global/taxonomy/taxondetails?taxnode_id=202307083","Vequintavirus APECc02")</f>
        <v>Vequintavirus APECc02</v>
      </c>
      <c r="S3298" s="18" t="s">
        <v>30</v>
      </c>
      <c r="T3298" s="18" t="s">
        <v>5894</v>
      </c>
      <c r="U3298" s="18"/>
      <c r="V3298" s="18"/>
      <c r="W3298" s="18" t="s">
        <v>5895</v>
      </c>
      <c r="X3298" s="18" t="s">
        <v>42</v>
      </c>
      <c r="Y3298" s="18" t="s">
        <v>36</v>
      </c>
      <c r="Z3298" s="18" t="s">
        <v>697</v>
      </c>
      <c r="AA3298" s="21" t="str">
        <f>HYPERLINK("https://www.ncbi.nlm.nih.gov/nuccore/KR698074","NCBI Nucleotide")</f>
        <v>NCBI Nucleotide</v>
      </c>
    </row>
    <row r="3299" spans="1:27" x14ac:dyDescent="0.35">
      <c r="A3299">
        <v>1025155</v>
      </c>
      <c r="B3299">
        <v>3275</v>
      </c>
      <c r="C3299">
        <v>1</v>
      </c>
      <c r="D3299" s="17" t="s">
        <v>155</v>
      </c>
      <c r="E3299" s="17"/>
      <c r="F3299" s="17" t="s">
        <v>156</v>
      </c>
      <c r="G3299" s="17"/>
      <c r="H3299" s="17" t="s">
        <v>692</v>
      </c>
      <c r="I3299" s="17"/>
      <c r="J3299" s="17" t="s">
        <v>693</v>
      </c>
      <c r="K3299" s="17"/>
      <c r="L3299" s="17"/>
      <c r="M3299" s="17"/>
      <c r="N3299" s="17"/>
      <c r="O3299" s="17" t="s">
        <v>5851</v>
      </c>
      <c r="P3299" s="17" t="s">
        <v>5893</v>
      </c>
      <c r="Q3299" s="17"/>
      <c r="R3299" s="25" t="str">
        <f>HYPERLINK("https://ictv.global/taxonomy/taxondetails?taxnode_id=202319467","Vequintavirus Aya")</f>
        <v>Vequintavirus Aya</v>
      </c>
      <c r="S3299" s="18" t="s">
        <v>30</v>
      </c>
      <c r="T3299" s="18" t="s">
        <v>39785</v>
      </c>
      <c r="U3299" s="18"/>
      <c r="V3299" s="18"/>
      <c r="W3299" s="18" t="s">
        <v>48424</v>
      </c>
      <c r="X3299" s="18" t="s">
        <v>35</v>
      </c>
      <c r="Y3299" s="18" t="s">
        <v>36</v>
      </c>
      <c r="Z3299" s="18" t="s">
        <v>697</v>
      </c>
      <c r="AA3299" s="21" t="str">
        <f>HYPERLINK("https://www.ncbi.nlm.nih.gov/nuccore/OX460980","NCBI Nucleotide")</f>
        <v>NCBI Nucleotide</v>
      </c>
    </row>
    <row r="3300" spans="1:27" x14ac:dyDescent="0.35">
      <c r="A3300">
        <v>1025156</v>
      </c>
      <c r="B3300">
        <v>3276</v>
      </c>
      <c r="C3300">
        <v>1</v>
      </c>
      <c r="D3300" s="17" t="s">
        <v>155</v>
      </c>
      <c r="E3300" s="17"/>
      <c r="F3300" s="17" t="s">
        <v>156</v>
      </c>
      <c r="G3300" s="17"/>
      <c r="H3300" s="17" t="s">
        <v>692</v>
      </c>
      <c r="I3300" s="17"/>
      <c r="J3300" s="17" t="s">
        <v>693</v>
      </c>
      <c r="K3300" s="17"/>
      <c r="L3300" s="17"/>
      <c r="M3300" s="17"/>
      <c r="N3300" s="17"/>
      <c r="O3300" s="17" t="s">
        <v>5851</v>
      </c>
      <c r="P3300" s="17" t="s">
        <v>5893</v>
      </c>
      <c r="Q3300" s="17"/>
      <c r="R3300" s="25" t="str">
        <f>HYPERLINK("https://ictv.global/taxonomy/taxondetails?taxnode_id=202319483","Vequintavirus CM1")</f>
        <v>Vequintavirus CM1</v>
      </c>
      <c r="S3300" s="18" t="s">
        <v>30</v>
      </c>
      <c r="T3300" s="18" t="s">
        <v>39786</v>
      </c>
      <c r="U3300" s="18"/>
      <c r="V3300" s="18"/>
      <c r="W3300" s="18" t="s">
        <v>48425</v>
      </c>
      <c r="X3300" s="18" t="s">
        <v>42</v>
      </c>
      <c r="Y3300" s="18" t="s">
        <v>36</v>
      </c>
      <c r="Z3300" s="18" t="s">
        <v>697</v>
      </c>
      <c r="AA3300" s="21" t="str">
        <f>HYPERLINK("https://www.ncbi.nlm.nih.gov/nuccore/MK962749","NCBI Nucleotide")</f>
        <v>NCBI Nucleotide</v>
      </c>
    </row>
    <row r="3301" spans="1:27" x14ac:dyDescent="0.35">
      <c r="A3301">
        <v>1025157</v>
      </c>
      <c r="B3301">
        <v>3277</v>
      </c>
      <c r="C3301">
        <v>1</v>
      </c>
      <c r="D3301" s="17" t="s">
        <v>155</v>
      </c>
      <c r="E3301" s="17"/>
      <c r="F3301" s="17" t="s">
        <v>156</v>
      </c>
      <c r="G3301" s="17"/>
      <c r="H3301" s="17" t="s">
        <v>692</v>
      </c>
      <c r="I3301" s="17"/>
      <c r="J3301" s="17" t="s">
        <v>693</v>
      </c>
      <c r="K3301" s="17"/>
      <c r="L3301" s="17"/>
      <c r="M3301" s="17"/>
      <c r="N3301" s="17"/>
      <c r="O3301" s="17" t="s">
        <v>5851</v>
      </c>
      <c r="P3301" s="17" t="s">
        <v>5893</v>
      </c>
      <c r="Q3301" s="17"/>
      <c r="R3301" s="25" t="str">
        <f>HYPERLINK("https://ictv.global/taxonomy/taxondetails?taxnode_id=202319481","Vequintavirus drschubert")</f>
        <v>Vequintavirus drschubert</v>
      </c>
      <c r="S3301" s="18" t="s">
        <v>30</v>
      </c>
      <c r="T3301" s="18" t="s">
        <v>39787</v>
      </c>
      <c r="U3301" s="18"/>
      <c r="V3301" s="18"/>
      <c r="W3301" s="18" t="s">
        <v>48426</v>
      </c>
      <c r="X3301" s="18" t="s">
        <v>42</v>
      </c>
      <c r="Y3301" s="18" t="s">
        <v>36</v>
      </c>
      <c r="Z3301" s="18" t="s">
        <v>697</v>
      </c>
      <c r="AA3301" s="21" t="str">
        <f>HYPERLINK("https://www.ncbi.nlm.nih.gov/nuccore/MZ501060","NCBI Nucleotide")</f>
        <v>NCBI Nucleotide</v>
      </c>
    </row>
    <row r="3302" spans="1:27" x14ac:dyDescent="0.35">
      <c r="A3302">
        <v>1025158</v>
      </c>
      <c r="B3302">
        <v>3278</v>
      </c>
      <c r="C3302">
        <v>1</v>
      </c>
      <c r="D3302" s="17" t="s">
        <v>155</v>
      </c>
      <c r="E3302" s="17"/>
      <c r="F3302" s="17" t="s">
        <v>156</v>
      </c>
      <c r="G3302" s="17"/>
      <c r="H3302" s="17" t="s">
        <v>692</v>
      </c>
      <c r="I3302" s="17"/>
      <c r="J3302" s="17" t="s">
        <v>693</v>
      </c>
      <c r="K3302" s="17"/>
      <c r="L3302" s="17"/>
      <c r="M3302" s="17"/>
      <c r="N3302" s="17"/>
      <c r="O3302" s="17" t="s">
        <v>5851</v>
      </c>
      <c r="P3302" s="17" t="s">
        <v>5893</v>
      </c>
      <c r="Q3302" s="17"/>
      <c r="R3302" s="25" t="str">
        <f>HYPERLINK("https://ictv.global/taxonomy/taxondetails?taxnode_id=202319469","Vequintavirus ECP26")</f>
        <v>Vequintavirus ECP26</v>
      </c>
      <c r="S3302" s="18" t="s">
        <v>30</v>
      </c>
      <c r="T3302" s="18" t="s">
        <v>39788</v>
      </c>
      <c r="U3302" s="18"/>
      <c r="V3302" s="18"/>
      <c r="W3302" s="18" t="s">
        <v>48427</v>
      </c>
      <c r="X3302" s="18" t="s">
        <v>42</v>
      </c>
      <c r="Y3302" s="18" t="s">
        <v>36</v>
      </c>
      <c r="Z3302" s="18" t="s">
        <v>697</v>
      </c>
      <c r="AA3302" s="21" t="str">
        <f>HYPERLINK("https://www.ncbi.nlm.nih.gov/nuccore/MK883717","NCBI Nucleotide")</f>
        <v>NCBI Nucleotide</v>
      </c>
    </row>
    <row r="3303" spans="1:27" x14ac:dyDescent="0.35">
      <c r="A3303">
        <v>1025159</v>
      </c>
      <c r="B3303">
        <v>3279</v>
      </c>
      <c r="C3303">
        <v>1</v>
      </c>
      <c r="D3303" s="17" t="s">
        <v>155</v>
      </c>
      <c r="E3303" s="17"/>
      <c r="F3303" s="17" t="s">
        <v>156</v>
      </c>
      <c r="G3303" s="17"/>
      <c r="H3303" s="17" t="s">
        <v>692</v>
      </c>
      <c r="I3303" s="17"/>
      <c r="J3303" s="17" t="s">
        <v>693</v>
      </c>
      <c r="K3303" s="17"/>
      <c r="L3303" s="17"/>
      <c r="M3303" s="17"/>
      <c r="N3303" s="17"/>
      <c r="O3303" s="17" t="s">
        <v>5851</v>
      </c>
      <c r="P3303" s="17" t="s">
        <v>5893</v>
      </c>
      <c r="Q3303" s="17"/>
      <c r="R3303" s="25" t="str">
        <f>HYPERLINK("https://ictv.global/taxonomy/taxondetails?taxnode_id=202319468","Vequintavirus ECP32")</f>
        <v>Vequintavirus ECP32</v>
      </c>
      <c r="S3303" s="18" t="s">
        <v>30</v>
      </c>
      <c r="T3303" s="18" t="s">
        <v>39789</v>
      </c>
      <c r="U3303" s="18"/>
      <c r="V3303" s="18"/>
      <c r="W3303" s="18" t="s">
        <v>48428</v>
      </c>
      <c r="X3303" s="18" t="s">
        <v>42</v>
      </c>
      <c r="Y3303" s="18" t="s">
        <v>36</v>
      </c>
      <c r="Z3303" s="18" t="s">
        <v>697</v>
      </c>
      <c r="AA3303" s="21" t="str">
        <f>HYPERLINK("https://www.ncbi.nlm.nih.gov/nuccore/MK883718","NCBI Nucleotide")</f>
        <v>NCBI Nucleotide</v>
      </c>
    </row>
    <row r="3304" spans="1:27" x14ac:dyDescent="0.35">
      <c r="A3304">
        <v>1025160</v>
      </c>
      <c r="B3304">
        <v>3280</v>
      </c>
      <c r="C3304">
        <v>1</v>
      </c>
      <c r="D3304" s="17" t="s">
        <v>155</v>
      </c>
      <c r="E3304" s="17"/>
      <c r="F3304" s="17" t="s">
        <v>156</v>
      </c>
      <c r="G3304" s="17"/>
      <c r="H3304" s="17" t="s">
        <v>692</v>
      </c>
      <c r="I3304" s="17"/>
      <c r="J3304" s="17" t="s">
        <v>693</v>
      </c>
      <c r="K3304" s="17"/>
      <c r="L3304" s="17"/>
      <c r="M3304" s="17"/>
      <c r="N3304" s="17"/>
      <c r="O3304" s="17" t="s">
        <v>5851</v>
      </c>
      <c r="P3304" s="17" t="s">
        <v>5893</v>
      </c>
      <c r="Q3304" s="17"/>
      <c r="R3304" s="25" t="str">
        <f>HYPERLINK("https://ictv.global/taxonomy/taxondetails?taxnode_id=202319491","Vequintavirus eduardkellenberger")</f>
        <v>Vequintavirus eduardkellenberger</v>
      </c>
      <c r="S3304" s="18" t="s">
        <v>30</v>
      </c>
      <c r="T3304" s="18" t="s">
        <v>39790</v>
      </c>
      <c r="U3304" s="18"/>
      <c r="V3304" s="18"/>
      <c r="W3304" s="18" t="s">
        <v>48429</v>
      </c>
      <c r="X3304" s="18" t="s">
        <v>42</v>
      </c>
      <c r="Y3304" s="18" t="s">
        <v>36</v>
      </c>
      <c r="Z3304" s="18" t="s">
        <v>697</v>
      </c>
      <c r="AA3304" s="21" t="str">
        <f>HYPERLINK("https://www.ncbi.nlm.nih.gov/nuccore/MZ501061","NCBI Nucleotide")</f>
        <v>NCBI Nucleotide</v>
      </c>
    </row>
    <row r="3305" spans="1:27" x14ac:dyDescent="0.35">
      <c r="A3305">
        <v>1025161</v>
      </c>
      <c r="B3305">
        <v>3281</v>
      </c>
      <c r="C3305">
        <v>1</v>
      </c>
      <c r="D3305" s="17" t="s">
        <v>155</v>
      </c>
      <c r="E3305" s="17"/>
      <c r="F3305" s="17" t="s">
        <v>156</v>
      </c>
      <c r="G3305" s="17"/>
      <c r="H3305" s="17" t="s">
        <v>692</v>
      </c>
      <c r="I3305" s="17"/>
      <c r="J3305" s="17" t="s">
        <v>693</v>
      </c>
      <c r="K3305" s="17"/>
      <c r="L3305" s="17"/>
      <c r="M3305" s="17"/>
      <c r="N3305" s="17"/>
      <c r="O3305" s="17" t="s">
        <v>5851</v>
      </c>
      <c r="P3305" s="17" t="s">
        <v>5893</v>
      </c>
      <c r="Q3305" s="17"/>
      <c r="R3305" s="25" t="str">
        <f>HYPERLINK("https://ictv.global/taxonomy/taxondetails?taxnode_id=202319475","Vequintavirus emilheitz")</f>
        <v>Vequintavirus emilheitz</v>
      </c>
      <c r="S3305" s="18" t="s">
        <v>30</v>
      </c>
      <c r="T3305" s="18" t="s">
        <v>39791</v>
      </c>
      <c r="U3305" s="18"/>
      <c r="V3305" s="18"/>
      <c r="W3305" s="18" t="s">
        <v>48430</v>
      </c>
      <c r="X3305" s="18" t="s">
        <v>42</v>
      </c>
      <c r="Y3305" s="18" t="s">
        <v>36</v>
      </c>
      <c r="Z3305" s="18" t="s">
        <v>697</v>
      </c>
      <c r="AA3305" s="21" t="str">
        <f>HYPERLINK("https://www.ncbi.nlm.nih.gov/nuccore/MZ501062","NCBI Nucleotide")</f>
        <v>NCBI Nucleotide</v>
      </c>
    </row>
    <row r="3306" spans="1:27" x14ac:dyDescent="0.35">
      <c r="A3306">
        <v>1004453</v>
      </c>
      <c r="B3306">
        <v>3282</v>
      </c>
      <c r="C3306">
        <v>1</v>
      </c>
      <c r="D3306" s="17" t="s">
        <v>155</v>
      </c>
      <c r="E3306" s="17"/>
      <c r="F3306" s="17" t="s">
        <v>156</v>
      </c>
      <c r="G3306" s="17"/>
      <c r="H3306" s="17" t="s">
        <v>692</v>
      </c>
      <c r="I3306" s="17"/>
      <c r="J3306" s="17" t="s">
        <v>693</v>
      </c>
      <c r="K3306" s="17"/>
      <c r="L3306" s="17"/>
      <c r="M3306" s="17"/>
      <c r="N3306" s="17"/>
      <c r="O3306" s="17" t="s">
        <v>5851</v>
      </c>
      <c r="P3306" s="17" t="s">
        <v>5893</v>
      </c>
      <c r="Q3306" s="17"/>
      <c r="R3306" s="25" t="str">
        <f>HYPERLINK("https://ictv.global/taxonomy/taxondetails?taxnode_id=202300358","Vequintavirus FFH2")</f>
        <v>Vequintavirus FFH2</v>
      </c>
      <c r="S3306" s="18" t="s">
        <v>30</v>
      </c>
      <c r="T3306" s="18" t="s">
        <v>5896</v>
      </c>
      <c r="U3306" s="18"/>
      <c r="V3306" s="18"/>
      <c r="W3306" s="18" t="s">
        <v>5897</v>
      </c>
      <c r="X3306" s="18" t="s">
        <v>42</v>
      </c>
      <c r="Y3306" s="18" t="s">
        <v>36</v>
      </c>
      <c r="Z3306" s="18" t="s">
        <v>697</v>
      </c>
      <c r="AA3306" s="21" t="str">
        <f>HYPERLINK("https://www.ncbi.nlm.nih.gov/nuccore/KJ190158","NCBI Nucleotide")</f>
        <v>NCBI Nucleotide</v>
      </c>
    </row>
    <row r="3307" spans="1:27" x14ac:dyDescent="0.35">
      <c r="A3307">
        <v>1004454</v>
      </c>
      <c r="B3307">
        <v>3283</v>
      </c>
      <c r="C3307">
        <v>1</v>
      </c>
      <c r="D3307" s="17" t="s">
        <v>155</v>
      </c>
      <c r="E3307" s="17"/>
      <c r="F3307" s="17" t="s">
        <v>156</v>
      </c>
      <c r="G3307" s="17"/>
      <c r="H3307" s="17" t="s">
        <v>692</v>
      </c>
      <c r="I3307" s="17"/>
      <c r="J3307" s="17" t="s">
        <v>693</v>
      </c>
      <c r="K3307" s="17"/>
      <c r="L3307" s="17"/>
      <c r="M3307" s="17"/>
      <c r="N3307" s="17"/>
      <c r="O3307" s="17" t="s">
        <v>5851</v>
      </c>
      <c r="P3307" s="17" t="s">
        <v>5893</v>
      </c>
      <c r="Q3307" s="17"/>
      <c r="R3307" s="25" t="str">
        <f>HYPERLINK("https://ictv.global/taxonomy/taxondetails?taxnode_id=202300359","Vequintavirus FV3")</f>
        <v>Vequintavirus FV3</v>
      </c>
      <c r="S3307" s="18" t="s">
        <v>30</v>
      </c>
      <c r="T3307" s="18" t="s">
        <v>5898</v>
      </c>
      <c r="U3307" s="18"/>
      <c r="V3307" s="18"/>
      <c r="W3307" s="18" t="s">
        <v>5899</v>
      </c>
      <c r="X3307" s="18" t="s">
        <v>42</v>
      </c>
      <c r="Y3307" s="18" t="s">
        <v>36</v>
      </c>
      <c r="Z3307" s="18" t="s">
        <v>697</v>
      </c>
      <c r="AA3307" s="21" t="str">
        <f>HYPERLINK("https://www.ncbi.nlm.nih.gov/nuccore/JQ031132","NCBI Nucleotide")</f>
        <v>NCBI Nucleotide</v>
      </c>
    </row>
    <row r="3308" spans="1:27" x14ac:dyDescent="0.35">
      <c r="A3308">
        <v>1025162</v>
      </c>
      <c r="B3308">
        <v>3284</v>
      </c>
      <c r="C3308">
        <v>1</v>
      </c>
      <c r="D3308" s="17" t="s">
        <v>155</v>
      </c>
      <c r="E3308" s="17"/>
      <c r="F3308" s="17" t="s">
        <v>156</v>
      </c>
      <c r="G3308" s="17"/>
      <c r="H3308" s="17" t="s">
        <v>692</v>
      </c>
      <c r="I3308" s="17"/>
      <c r="J3308" s="17" t="s">
        <v>693</v>
      </c>
      <c r="K3308" s="17"/>
      <c r="L3308" s="17"/>
      <c r="M3308" s="17"/>
      <c r="N3308" s="17"/>
      <c r="O3308" s="17" t="s">
        <v>5851</v>
      </c>
      <c r="P3308" s="17" t="s">
        <v>5893</v>
      </c>
      <c r="Q3308" s="17"/>
      <c r="R3308" s="25" t="str">
        <f>HYPERLINK("https://ictv.global/taxonomy/taxondetails?taxnode_id=202319474","Vequintavirus gotham")</f>
        <v>Vequintavirus gotham</v>
      </c>
      <c r="S3308" s="18" t="s">
        <v>30</v>
      </c>
      <c r="T3308" s="18" t="s">
        <v>39792</v>
      </c>
      <c r="U3308" s="18"/>
      <c r="V3308" s="18"/>
      <c r="W3308" s="18" t="s">
        <v>48431</v>
      </c>
      <c r="X3308" s="18" t="s">
        <v>42</v>
      </c>
      <c r="Y3308" s="18" t="s">
        <v>36</v>
      </c>
      <c r="Z3308" s="18" t="s">
        <v>697</v>
      </c>
      <c r="AA3308" s="21" t="str">
        <f>HYPERLINK("https://www.ncbi.nlm.nih.gov/nuccore/MT682716","NCBI Nucleotide")</f>
        <v>NCBI Nucleotide</v>
      </c>
    </row>
    <row r="3309" spans="1:27" x14ac:dyDescent="0.35">
      <c r="A3309">
        <v>1025163</v>
      </c>
      <c r="B3309">
        <v>3285</v>
      </c>
      <c r="C3309">
        <v>1</v>
      </c>
      <c r="D3309" s="17" t="s">
        <v>155</v>
      </c>
      <c r="E3309" s="17"/>
      <c r="F3309" s="17" t="s">
        <v>156</v>
      </c>
      <c r="G3309" s="17"/>
      <c r="H3309" s="17" t="s">
        <v>692</v>
      </c>
      <c r="I3309" s="17"/>
      <c r="J3309" s="17" t="s">
        <v>693</v>
      </c>
      <c r="K3309" s="17"/>
      <c r="L3309" s="17"/>
      <c r="M3309" s="17"/>
      <c r="N3309" s="17"/>
      <c r="O3309" s="17" t="s">
        <v>5851</v>
      </c>
      <c r="P3309" s="17" t="s">
        <v>5893</v>
      </c>
      <c r="Q3309" s="17"/>
      <c r="R3309" s="25" t="str">
        <f>HYPERLINK("https://ictv.global/taxonomy/taxondetails?taxnode_id=202319487","Vequintavirus HdK5")</f>
        <v>Vequintavirus HdK5</v>
      </c>
      <c r="S3309" s="18" t="s">
        <v>30</v>
      </c>
      <c r="T3309" s="18" t="s">
        <v>39793</v>
      </c>
      <c r="U3309" s="18"/>
      <c r="V3309" s="18"/>
      <c r="W3309" s="18" t="s">
        <v>48432</v>
      </c>
      <c r="X3309" s="18" t="s">
        <v>42</v>
      </c>
      <c r="Y3309" s="18" t="s">
        <v>36</v>
      </c>
      <c r="Z3309" s="18" t="s">
        <v>697</v>
      </c>
      <c r="AA3309" s="21" t="str">
        <f>HYPERLINK("https://www.ncbi.nlm.nih.gov/nuccore/MK373780","NCBI Nucleotide")</f>
        <v>NCBI Nucleotide</v>
      </c>
    </row>
    <row r="3310" spans="1:27" x14ac:dyDescent="0.35">
      <c r="A3310">
        <v>1025164</v>
      </c>
      <c r="B3310">
        <v>3286</v>
      </c>
      <c r="C3310">
        <v>1</v>
      </c>
      <c r="D3310" s="17" t="s">
        <v>155</v>
      </c>
      <c r="E3310" s="17"/>
      <c r="F3310" s="17" t="s">
        <v>156</v>
      </c>
      <c r="G3310" s="17"/>
      <c r="H3310" s="17" t="s">
        <v>692</v>
      </c>
      <c r="I3310" s="17"/>
      <c r="J3310" s="17" t="s">
        <v>693</v>
      </c>
      <c r="K3310" s="17"/>
      <c r="L3310" s="17"/>
      <c r="M3310" s="17"/>
      <c r="N3310" s="17"/>
      <c r="O3310" s="17" t="s">
        <v>5851</v>
      </c>
      <c r="P3310" s="17" t="s">
        <v>5893</v>
      </c>
      <c r="Q3310" s="17"/>
      <c r="R3310" s="25" t="str">
        <f>HYPERLINK("https://ictv.global/taxonomy/taxondetails?taxnode_id=202319464","Vequintavirus JEP1")</f>
        <v>Vequintavirus JEP1</v>
      </c>
      <c r="S3310" s="18" t="s">
        <v>30</v>
      </c>
      <c r="T3310" s="18" t="s">
        <v>39794</v>
      </c>
      <c r="U3310" s="18"/>
      <c r="V3310" s="18"/>
      <c r="W3310" s="18" t="s">
        <v>48433</v>
      </c>
      <c r="X3310" s="18" t="s">
        <v>42</v>
      </c>
      <c r="Y3310" s="18" t="s">
        <v>36</v>
      </c>
      <c r="Z3310" s="18" t="s">
        <v>697</v>
      </c>
      <c r="AA3310" s="21" t="str">
        <f>HYPERLINK("https://www.ncbi.nlm.nih.gov/nuccore/MT740314","NCBI Nucleotide")</f>
        <v>NCBI Nucleotide</v>
      </c>
    </row>
    <row r="3311" spans="1:27" x14ac:dyDescent="0.35">
      <c r="A3311">
        <v>1004455</v>
      </c>
      <c r="B3311">
        <v>3287</v>
      </c>
      <c r="C3311">
        <v>1</v>
      </c>
      <c r="D3311" s="17" t="s">
        <v>155</v>
      </c>
      <c r="E3311" s="17"/>
      <c r="F3311" s="17" t="s">
        <v>156</v>
      </c>
      <c r="G3311" s="17"/>
      <c r="H3311" s="17" t="s">
        <v>692</v>
      </c>
      <c r="I3311" s="17"/>
      <c r="J3311" s="17" t="s">
        <v>693</v>
      </c>
      <c r="K3311" s="17"/>
      <c r="L3311" s="17"/>
      <c r="M3311" s="17"/>
      <c r="N3311" s="17"/>
      <c r="O3311" s="17" t="s">
        <v>5851</v>
      </c>
      <c r="P3311" s="17" t="s">
        <v>5893</v>
      </c>
      <c r="Q3311" s="17"/>
      <c r="R3311" s="25" t="str">
        <f>HYPERLINK("https://ictv.global/taxonomy/taxondetails?taxnode_id=202300360","Vequintavirus JES2013")</f>
        <v>Vequintavirus JES2013</v>
      </c>
      <c r="S3311" s="18" t="s">
        <v>30</v>
      </c>
      <c r="T3311" s="18" t="s">
        <v>5900</v>
      </c>
      <c r="U3311" s="18"/>
      <c r="V3311" s="18"/>
      <c r="W3311" s="18" t="s">
        <v>5901</v>
      </c>
      <c r="X3311" s="18" t="s">
        <v>42</v>
      </c>
      <c r="Y3311" s="18" t="s">
        <v>36</v>
      </c>
      <c r="Z3311" s="18" t="s">
        <v>697</v>
      </c>
      <c r="AA3311" s="21" t="str">
        <f>HYPERLINK("https://www.ncbi.nlm.nih.gov/nuccore/KC690136","NCBI Nucleotide")</f>
        <v>NCBI Nucleotide</v>
      </c>
    </row>
    <row r="3312" spans="1:27" x14ac:dyDescent="0.35">
      <c r="A3312">
        <v>1025165</v>
      </c>
      <c r="B3312">
        <v>3288</v>
      </c>
      <c r="C3312">
        <v>1</v>
      </c>
      <c r="D3312" s="17" t="s">
        <v>155</v>
      </c>
      <c r="E3312" s="17"/>
      <c r="F3312" s="17" t="s">
        <v>156</v>
      </c>
      <c r="G3312" s="17"/>
      <c r="H3312" s="17" t="s">
        <v>692</v>
      </c>
      <c r="I3312" s="17"/>
      <c r="J3312" s="17" t="s">
        <v>693</v>
      </c>
      <c r="K3312" s="17"/>
      <c r="L3312" s="17"/>
      <c r="M3312" s="17"/>
      <c r="N3312" s="17"/>
      <c r="O3312" s="17" t="s">
        <v>5851</v>
      </c>
      <c r="P3312" s="17" t="s">
        <v>5893</v>
      </c>
      <c r="Q3312" s="17"/>
      <c r="R3312" s="25" t="str">
        <f>HYPERLINK("https://ictv.global/taxonomy/taxondetails?taxnode_id=202319471","Vequintavirus LL12")</f>
        <v>Vequintavirus LL12</v>
      </c>
      <c r="S3312" s="18" t="s">
        <v>30</v>
      </c>
      <c r="T3312" s="18" t="s">
        <v>39795</v>
      </c>
      <c r="U3312" s="18"/>
      <c r="V3312" s="18"/>
      <c r="W3312" s="18" t="s">
        <v>48434</v>
      </c>
      <c r="X3312" s="18" t="s">
        <v>42</v>
      </c>
      <c r="Y3312" s="18" t="s">
        <v>36</v>
      </c>
      <c r="Z3312" s="18" t="s">
        <v>697</v>
      </c>
      <c r="AA3312" s="21" t="str">
        <f>HYPERLINK("https://www.ncbi.nlm.nih.gov/nuccore/MH491969","NCBI Nucleotide")</f>
        <v>NCBI Nucleotide</v>
      </c>
    </row>
    <row r="3313" spans="1:27" x14ac:dyDescent="0.35">
      <c r="A3313">
        <v>1025166</v>
      </c>
      <c r="B3313">
        <v>3289</v>
      </c>
      <c r="C3313">
        <v>1</v>
      </c>
      <c r="D3313" s="17" t="s">
        <v>155</v>
      </c>
      <c r="E3313" s="17"/>
      <c r="F3313" s="17" t="s">
        <v>156</v>
      </c>
      <c r="G3313" s="17"/>
      <c r="H3313" s="17" t="s">
        <v>692</v>
      </c>
      <c r="I3313" s="17"/>
      <c r="J3313" s="17" t="s">
        <v>693</v>
      </c>
      <c r="K3313" s="17"/>
      <c r="L3313" s="17"/>
      <c r="M3313" s="17"/>
      <c r="N3313" s="17"/>
      <c r="O3313" s="17" t="s">
        <v>5851</v>
      </c>
      <c r="P3313" s="17" t="s">
        <v>5893</v>
      </c>
      <c r="Q3313" s="17"/>
      <c r="R3313" s="25" t="str">
        <f>HYPERLINK("https://ictv.global/taxonomy/taxondetails?taxnode_id=202319485","Vequintavirus maxburger")</f>
        <v>Vequintavirus maxburger</v>
      </c>
      <c r="S3313" s="18" t="s">
        <v>30</v>
      </c>
      <c r="T3313" s="18" t="s">
        <v>39796</v>
      </c>
      <c r="U3313" s="18"/>
      <c r="V3313" s="18"/>
      <c r="W3313" s="18" t="s">
        <v>48435</v>
      </c>
      <c r="X3313" s="18" t="s">
        <v>42</v>
      </c>
      <c r="Y3313" s="18" t="s">
        <v>36</v>
      </c>
      <c r="Z3313" s="18" t="s">
        <v>697</v>
      </c>
      <c r="AA3313" s="21" t="str">
        <f>HYPERLINK("https://www.ncbi.nlm.nih.gov/nuccore/MZ501093","NCBI Nucleotide")</f>
        <v>NCBI Nucleotide</v>
      </c>
    </row>
    <row r="3314" spans="1:27" x14ac:dyDescent="0.35">
      <c r="A3314">
        <v>1004456</v>
      </c>
      <c r="B3314">
        <v>3290</v>
      </c>
      <c r="C3314">
        <v>1</v>
      </c>
      <c r="D3314" s="17" t="s">
        <v>155</v>
      </c>
      <c r="E3314" s="17"/>
      <c r="F3314" s="17" t="s">
        <v>156</v>
      </c>
      <c r="G3314" s="17"/>
      <c r="H3314" s="17" t="s">
        <v>692</v>
      </c>
      <c r="I3314" s="17"/>
      <c r="J3314" s="17" t="s">
        <v>693</v>
      </c>
      <c r="K3314" s="17"/>
      <c r="L3314" s="17"/>
      <c r="M3314" s="17"/>
      <c r="N3314" s="17"/>
      <c r="O3314" s="17" t="s">
        <v>5851</v>
      </c>
      <c r="P3314" s="17" t="s">
        <v>5893</v>
      </c>
      <c r="Q3314" s="17"/>
      <c r="R3314" s="25" t="str">
        <f>HYPERLINK("https://ictv.global/taxonomy/taxondetails?taxnode_id=202307082","Vequintavirus murica")</f>
        <v>Vequintavirus murica</v>
      </c>
      <c r="S3314" s="18" t="s">
        <v>30</v>
      </c>
      <c r="T3314" s="18" t="s">
        <v>5902</v>
      </c>
      <c r="U3314" s="18"/>
      <c r="V3314" s="18"/>
      <c r="W3314" s="18" t="s">
        <v>5903</v>
      </c>
      <c r="X3314" s="18" t="s">
        <v>42</v>
      </c>
      <c r="Y3314" s="18" t="s">
        <v>36</v>
      </c>
      <c r="Z3314" s="18" t="s">
        <v>697</v>
      </c>
      <c r="AA3314" s="21" t="str">
        <f>HYPERLINK("https://www.ncbi.nlm.nih.gov/nuccore/KT001917","NCBI Nucleotide")</f>
        <v>NCBI Nucleotide</v>
      </c>
    </row>
    <row r="3315" spans="1:27" x14ac:dyDescent="0.35">
      <c r="A3315">
        <v>1025167</v>
      </c>
      <c r="B3315">
        <v>3291</v>
      </c>
      <c r="C3315">
        <v>1</v>
      </c>
      <c r="D3315" s="17" t="s">
        <v>155</v>
      </c>
      <c r="E3315" s="17"/>
      <c r="F3315" s="17" t="s">
        <v>156</v>
      </c>
      <c r="G3315" s="17"/>
      <c r="H3315" s="17" t="s">
        <v>692</v>
      </c>
      <c r="I3315" s="17"/>
      <c r="J3315" s="17" t="s">
        <v>693</v>
      </c>
      <c r="K3315" s="17"/>
      <c r="L3315" s="17"/>
      <c r="M3315" s="17"/>
      <c r="N3315" s="17"/>
      <c r="O3315" s="17" t="s">
        <v>5851</v>
      </c>
      <c r="P3315" s="17" t="s">
        <v>5893</v>
      </c>
      <c r="Q3315" s="17"/>
      <c r="R3315" s="25" t="str">
        <f>HYPERLINK("https://ictv.global/taxonomy/taxondetails?taxnode_id=202319490","Vequintavirus navn")</f>
        <v>Vequintavirus navn</v>
      </c>
      <c r="S3315" s="18" t="s">
        <v>30</v>
      </c>
      <c r="T3315" s="18" t="s">
        <v>39797</v>
      </c>
      <c r="U3315" s="18"/>
      <c r="V3315" s="18"/>
      <c r="W3315" s="18" t="s">
        <v>48436</v>
      </c>
      <c r="X3315" s="18" t="s">
        <v>42</v>
      </c>
      <c r="Y3315" s="18" t="s">
        <v>36</v>
      </c>
      <c r="Z3315" s="18" t="s">
        <v>697</v>
      </c>
      <c r="AA3315" s="21" t="str">
        <f>HYPERLINK("https://www.ncbi.nlm.nih.gov/nuccore/MN850642","NCBI Nucleotide")</f>
        <v>NCBI Nucleotide</v>
      </c>
    </row>
    <row r="3316" spans="1:27" x14ac:dyDescent="0.35">
      <c r="A3316">
        <v>1025168</v>
      </c>
      <c r="B3316">
        <v>3292</v>
      </c>
      <c r="C3316">
        <v>1</v>
      </c>
      <c r="D3316" s="17" t="s">
        <v>155</v>
      </c>
      <c r="E3316" s="17"/>
      <c r="F3316" s="17" t="s">
        <v>156</v>
      </c>
      <c r="G3316" s="17"/>
      <c r="H3316" s="17" t="s">
        <v>692</v>
      </c>
      <c r="I3316" s="17"/>
      <c r="J3316" s="17" t="s">
        <v>693</v>
      </c>
      <c r="K3316" s="17"/>
      <c r="L3316" s="17"/>
      <c r="M3316" s="17"/>
      <c r="N3316" s="17"/>
      <c r="O3316" s="17" t="s">
        <v>5851</v>
      </c>
      <c r="P3316" s="17" t="s">
        <v>5893</v>
      </c>
      <c r="Q3316" s="17"/>
      <c r="R3316" s="25" t="str">
        <f>HYPERLINK("https://ictv.global/taxonomy/taxondetails?taxnode_id=202319482","Vequintavirus nom")</f>
        <v>Vequintavirus nom</v>
      </c>
      <c r="S3316" s="18" t="s">
        <v>30</v>
      </c>
      <c r="T3316" s="18" t="s">
        <v>39798</v>
      </c>
      <c r="U3316" s="18"/>
      <c r="V3316" s="18"/>
      <c r="W3316" s="18" t="s">
        <v>48437</v>
      </c>
      <c r="X3316" s="18" t="s">
        <v>42</v>
      </c>
      <c r="Y3316" s="18" t="s">
        <v>36</v>
      </c>
      <c r="Z3316" s="18" t="s">
        <v>697</v>
      </c>
      <c r="AA3316" s="21" t="str">
        <f>HYPERLINK("https://www.ncbi.nlm.nih.gov/nuccore/MN850646","NCBI Nucleotide")</f>
        <v>NCBI Nucleotide</v>
      </c>
    </row>
    <row r="3317" spans="1:27" x14ac:dyDescent="0.35">
      <c r="A3317">
        <v>1025169</v>
      </c>
      <c r="B3317">
        <v>3293</v>
      </c>
      <c r="C3317">
        <v>1</v>
      </c>
      <c r="D3317" s="17" t="s">
        <v>155</v>
      </c>
      <c r="E3317" s="17"/>
      <c r="F3317" s="17" t="s">
        <v>156</v>
      </c>
      <c r="G3317" s="17"/>
      <c r="H3317" s="17" t="s">
        <v>692</v>
      </c>
      <c r="I3317" s="17"/>
      <c r="J3317" s="17" t="s">
        <v>693</v>
      </c>
      <c r="K3317" s="17"/>
      <c r="L3317" s="17"/>
      <c r="M3317" s="17"/>
      <c r="N3317" s="17"/>
      <c r="O3317" s="17" t="s">
        <v>5851</v>
      </c>
      <c r="P3317" s="17" t="s">
        <v>5893</v>
      </c>
      <c r="Q3317" s="17"/>
      <c r="R3317" s="25" t="str">
        <f>HYPERLINK("https://ictv.global/taxonomy/taxondetails?taxnode_id=202319472","Vequintavirus nomine")</f>
        <v>Vequintavirus nomine</v>
      </c>
      <c r="S3317" s="18" t="s">
        <v>30</v>
      </c>
      <c r="T3317" s="18" t="s">
        <v>39799</v>
      </c>
      <c r="U3317" s="18"/>
      <c r="V3317" s="18"/>
      <c r="W3317" s="18" t="s">
        <v>48438</v>
      </c>
      <c r="X3317" s="18" t="s">
        <v>42</v>
      </c>
      <c r="Y3317" s="18" t="s">
        <v>36</v>
      </c>
      <c r="Z3317" s="18" t="s">
        <v>697</v>
      </c>
      <c r="AA3317" s="21" t="str">
        <f>HYPERLINK("https://www.ncbi.nlm.nih.gov/nuccore/MN850649","NCBI Nucleotide")</f>
        <v>NCBI Nucleotide</v>
      </c>
    </row>
    <row r="3318" spans="1:27" x14ac:dyDescent="0.35">
      <c r="A3318">
        <v>1025170</v>
      </c>
      <c r="B3318">
        <v>3294</v>
      </c>
      <c r="C3318">
        <v>1</v>
      </c>
      <c r="D3318" s="17" t="s">
        <v>155</v>
      </c>
      <c r="E3318" s="17"/>
      <c r="F3318" s="17" t="s">
        <v>156</v>
      </c>
      <c r="G3318" s="17"/>
      <c r="H3318" s="17" t="s">
        <v>692</v>
      </c>
      <c r="I3318" s="17"/>
      <c r="J3318" s="17" t="s">
        <v>693</v>
      </c>
      <c r="K3318" s="17"/>
      <c r="L3318" s="17"/>
      <c r="M3318" s="17"/>
      <c r="N3318" s="17"/>
      <c r="O3318" s="17" t="s">
        <v>5851</v>
      </c>
      <c r="P3318" s="17" t="s">
        <v>5893</v>
      </c>
      <c r="Q3318" s="17"/>
      <c r="R3318" s="25" t="str">
        <f>HYPERLINK("https://ictv.global/taxonomy/taxondetails?taxnode_id=202319476","Vequintavirus pangalan")</f>
        <v>Vequintavirus pangalan</v>
      </c>
      <c r="S3318" s="18" t="s">
        <v>30</v>
      </c>
      <c r="T3318" s="18" t="s">
        <v>39800</v>
      </c>
      <c r="U3318" s="18"/>
      <c r="V3318" s="18"/>
      <c r="W3318" s="18" t="s">
        <v>48439</v>
      </c>
      <c r="X3318" s="18" t="s">
        <v>42</v>
      </c>
      <c r="Y3318" s="18" t="s">
        <v>36</v>
      </c>
      <c r="Z3318" s="18" t="s">
        <v>697</v>
      </c>
      <c r="AA3318" s="21" t="str">
        <f>HYPERLINK("https://www.ncbi.nlm.nih.gov/nuccore/MN850627","NCBI Nucleotide")</f>
        <v>NCBI Nucleotide</v>
      </c>
    </row>
    <row r="3319" spans="1:27" x14ac:dyDescent="0.35">
      <c r="A3319">
        <v>1025171</v>
      </c>
      <c r="B3319">
        <v>3295</v>
      </c>
      <c r="C3319">
        <v>1</v>
      </c>
      <c r="D3319" s="17" t="s">
        <v>155</v>
      </c>
      <c r="E3319" s="17"/>
      <c r="F3319" s="17" t="s">
        <v>156</v>
      </c>
      <c r="G3319" s="17"/>
      <c r="H3319" s="17" t="s">
        <v>692</v>
      </c>
      <c r="I3319" s="17"/>
      <c r="J3319" s="17" t="s">
        <v>693</v>
      </c>
      <c r="K3319" s="17"/>
      <c r="L3319" s="17"/>
      <c r="M3319" s="17"/>
      <c r="N3319" s="17"/>
      <c r="O3319" s="17" t="s">
        <v>5851</v>
      </c>
      <c r="P3319" s="17" t="s">
        <v>5893</v>
      </c>
      <c r="Q3319" s="17"/>
      <c r="R3319" s="25" t="str">
        <f>HYPERLINK("https://ictv.global/taxonomy/taxondetails?taxnode_id=202319489","Vequintavirus PDX")</f>
        <v>Vequintavirus PDX</v>
      </c>
      <c r="S3319" s="18" t="s">
        <v>30</v>
      </c>
      <c r="T3319" s="18" t="s">
        <v>39801</v>
      </c>
      <c r="U3319" s="18"/>
      <c r="V3319" s="18"/>
      <c r="W3319" s="18" t="s">
        <v>48440</v>
      </c>
      <c r="X3319" s="18" t="s">
        <v>42</v>
      </c>
      <c r="Y3319" s="18" t="s">
        <v>36</v>
      </c>
      <c r="Z3319" s="18" t="s">
        <v>697</v>
      </c>
      <c r="AA3319" s="21" t="str">
        <f>HYPERLINK("https://www.ncbi.nlm.nih.gov/nuccore/MG963916","NCBI Nucleotide")</f>
        <v>NCBI Nucleotide</v>
      </c>
    </row>
    <row r="3320" spans="1:27" x14ac:dyDescent="0.35">
      <c r="A3320">
        <v>1025172</v>
      </c>
      <c r="B3320">
        <v>3296</v>
      </c>
      <c r="C3320">
        <v>1</v>
      </c>
      <c r="D3320" s="17" t="s">
        <v>155</v>
      </c>
      <c r="E3320" s="17"/>
      <c r="F3320" s="17" t="s">
        <v>156</v>
      </c>
      <c r="G3320" s="17"/>
      <c r="H3320" s="17" t="s">
        <v>692</v>
      </c>
      <c r="I3320" s="17"/>
      <c r="J3320" s="17" t="s">
        <v>693</v>
      </c>
      <c r="K3320" s="17"/>
      <c r="L3320" s="17"/>
      <c r="M3320" s="17"/>
      <c r="N3320" s="17"/>
      <c r="O3320" s="17" t="s">
        <v>5851</v>
      </c>
      <c r="P3320" s="17" t="s">
        <v>5893</v>
      </c>
      <c r="Q3320" s="17"/>
      <c r="R3320" s="25" t="str">
        <f>HYPERLINK("https://ictv.global/taxonomy/taxondetails?taxnode_id=202319479","Vequintavirus phiWec189")</f>
        <v>Vequintavirus phiWec189</v>
      </c>
      <c r="S3320" s="18" t="s">
        <v>30</v>
      </c>
      <c r="T3320" s="18" t="s">
        <v>39802</v>
      </c>
      <c r="U3320" s="18"/>
      <c r="V3320" s="18"/>
      <c r="W3320" s="18" t="s">
        <v>48441</v>
      </c>
      <c r="X3320" s="18" t="s">
        <v>42</v>
      </c>
      <c r="Y3320" s="18" t="s">
        <v>36</v>
      </c>
      <c r="Z3320" s="18" t="s">
        <v>697</v>
      </c>
      <c r="AA3320" s="21" t="str">
        <f>HYPERLINK("https://www.ncbi.nlm.nih.gov/nuccore/LC739538","NCBI Nucleotide")</f>
        <v>NCBI Nucleotide</v>
      </c>
    </row>
    <row r="3321" spans="1:27" x14ac:dyDescent="0.35">
      <c r="A3321">
        <v>1025173</v>
      </c>
      <c r="B3321">
        <v>3297</v>
      </c>
      <c r="C3321">
        <v>1</v>
      </c>
      <c r="D3321" s="17" t="s">
        <v>155</v>
      </c>
      <c r="E3321" s="17"/>
      <c r="F3321" s="17" t="s">
        <v>156</v>
      </c>
      <c r="G3321" s="17"/>
      <c r="H3321" s="17" t="s">
        <v>692</v>
      </c>
      <c r="I3321" s="17"/>
      <c r="J3321" s="17" t="s">
        <v>693</v>
      </c>
      <c r="K3321" s="17"/>
      <c r="L3321" s="17"/>
      <c r="M3321" s="17"/>
      <c r="N3321" s="17"/>
      <c r="O3321" s="17" t="s">
        <v>5851</v>
      </c>
      <c r="P3321" s="17" t="s">
        <v>5893</v>
      </c>
      <c r="Q3321" s="17"/>
      <c r="R3321" s="25" t="str">
        <f>HYPERLINK("https://ictv.global/taxonomy/taxondetails?taxnode_id=202319486","Vequintavirus phiWec191")</f>
        <v>Vequintavirus phiWec191</v>
      </c>
      <c r="S3321" s="18" t="s">
        <v>30</v>
      </c>
      <c r="T3321" s="18" t="s">
        <v>39803</v>
      </c>
      <c r="U3321" s="18"/>
      <c r="V3321" s="18"/>
      <c r="W3321" s="18" t="s">
        <v>48442</v>
      </c>
      <c r="X3321" s="18" t="s">
        <v>42</v>
      </c>
      <c r="Y3321" s="18" t="s">
        <v>36</v>
      </c>
      <c r="Z3321" s="18" t="s">
        <v>697</v>
      </c>
      <c r="AA3321" s="21" t="str">
        <f>HYPERLINK("https://www.ncbi.nlm.nih.gov/nuccore/LC739540","NCBI Nucleotide")</f>
        <v>NCBI Nucleotide</v>
      </c>
    </row>
    <row r="3322" spans="1:27" x14ac:dyDescent="0.35">
      <c r="A3322">
        <v>1025174</v>
      </c>
      <c r="B3322">
        <v>3298</v>
      </c>
      <c r="C3322">
        <v>1</v>
      </c>
      <c r="D3322" s="17" t="s">
        <v>155</v>
      </c>
      <c r="E3322" s="17"/>
      <c r="F3322" s="17" t="s">
        <v>156</v>
      </c>
      <c r="G3322" s="17"/>
      <c r="H3322" s="17" t="s">
        <v>692</v>
      </c>
      <c r="I3322" s="17"/>
      <c r="J3322" s="17" t="s">
        <v>693</v>
      </c>
      <c r="K3322" s="17"/>
      <c r="L3322" s="17"/>
      <c r="M3322" s="17"/>
      <c r="N3322" s="17"/>
      <c r="O3322" s="17" t="s">
        <v>5851</v>
      </c>
      <c r="P3322" s="17" t="s">
        <v>5893</v>
      </c>
      <c r="Q3322" s="17"/>
      <c r="R3322" s="25" t="str">
        <f>HYPERLINK("https://ictv.global/taxonomy/taxondetails?taxnode_id=202319470","Vequintavirus phiWec193")</f>
        <v>Vequintavirus phiWec193</v>
      </c>
      <c r="S3322" s="18" t="s">
        <v>30</v>
      </c>
      <c r="T3322" s="18" t="s">
        <v>39804</v>
      </c>
      <c r="U3322" s="18"/>
      <c r="V3322" s="18"/>
      <c r="W3322" s="18" t="s">
        <v>48443</v>
      </c>
      <c r="X3322" s="18" t="s">
        <v>42</v>
      </c>
      <c r="Y3322" s="18" t="s">
        <v>36</v>
      </c>
      <c r="Z3322" s="18" t="s">
        <v>697</v>
      </c>
      <c r="AA3322" s="21" t="str">
        <f>HYPERLINK("https://www.ncbi.nlm.nih.gov/nuccore/LC739541","NCBI Nucleotide")</f>
        <v>NCBI Nucleotide</v>
      </c>
    </row>
    <row r="3323" spans="1:27" x14ac:dyDescent="0.35">
      <c r="A3323">
        <v>1025175</v>
      </c>
      <c r="B3323">
        <v>3299</v>
      </c>
      <c r="C3323">
        <v>1</v>
      </c>
      <c r="D3323" s="17" t="s">
        <v>155</v>
      </c>
      <c r="E3323" s="17"/>
      <c r="F3323" s="17" t="s">
        <v>156</v>
      </c>
      <c r="G3323" s="17"/>
      <c r="H3323" s="17" t="s">
        <v>692</v>
      </c>
      <c r="I3323" s="17"/>
      <c r="J3323" s="17" t="s">
        <v>693</v>
      </c>
      <c r="K3323" s="17"/>
      <c r="L3323" s="17"/>
      <c r="M3323" s="17"/>
      <c r="N3323" s="17"/>
      <c r="O3323" s="17" t="s">
        <v>5851</v>
      </c>
      <c r="P3323" s="17" t="s">
        <v>5893</v>
      </c>
      <c r="Q3323" s="17"/>
      <c r="R3323" s="25" t="str">
        <f>HYPERLINK("https://ictv.global/taxonomy/taxondetails?taxnode_id=202319473","Vequintavirus rV5ev146")</f>
        <v>Vequintavirus rV5ev146</v>
      </c>
      <c r="S3323" s="18" t="s">
        <v>30</v>
      </c>
      <c r="T3323" s="18" t="s">
        <v>39805</v>
      </c>
      <c r="U3323" s="18"/>
      <c r="V3323" s="18"/>
      <c r="W3323" s="18" t="s">
        <v>48444</v>
      </c>
      <c r="X3323" s="18" t="s">
        <v>42</v>
      </c>
      <c r="Y3323" s="18" t="s">
        <v>36</v>
      </c>
      <c r="Z3323" s="18" t="s">
        <v>697</v>
      </c>
      <c r="AA3323" s="21" t="str">
        <f>HYPERLINK("https://www.ncbi.nlm.nih.gov/nuccore/LR699804","NCBI Nucleotide")</f>
        <v>NCBI Nucleotide</v>
      </c>
    </row>
    <row r="3324" spans="1:27" x14ac:dyDescent="0.35">
      <c r="A3324">
        <v>1004457</v>
      </c>
      <c r="B3324">
        <v>3300</v>
      </c>
      <c r="C3324">
        <v>1</v>
      </c>
      <c r="D3324" s="17" t="s">
        <v>155</v>
      </c>
      <c r="E3324" s="17"/>
      <c r="F3324" s="17" t="s">
        <v>156</v>
      </c>
      <c r="G3324" s="17"/>
      <c r="H3324" s="17" t="s">
        <v>692</v>
      </c>
      <c r="I3324" s="17"/>
      <c r="J3324" s="17" t="s">
        <v>693</v>
      </c>
      <c r="K3324" s="17"/>
      <c r="L3324" s="17"/>
      <c r="M3324" s="17"/>
      <c r="N3324" s="17"/>
      <c r="O3324" s="17" t="s">
        <v>5851</v>
      </c>
      <c r="P3324" s="17" t="s">
        <v>5893</v>
      </c>
      <c r="Q3324" s="17"/>
      <c r="R3324" s="25" t="str">
        <f>HYPERLINK("https://ictv.global/taxonomy/taxondetails?taxnode_id=202307081","Vequintavirus slur16")</f>
        <v>Vequintavirus slur16</v>
      </c>
      <c r="S3324" s="18" t="s">
        <v>30</v>
      </c>
      <c r="T3324" s="18" t="s">
        <v>5904</v>
      </c>
      <c r="U3324" s="18"/>
      <c r="V3324" s="18"/>
      <c r="W3324" s="18" t="s">
        <v>5905</v>
      </c>
      <c r="X3324" s="18" t="s">
        <v>42</v>
      </c>
      <c r="Y3324" s="18" t="s">
        <v>36</v>
      </c>
      <c r="Z3324" s="18" t="s">
        <v>697</v>
      </c>
      <c r="AA3324" s="21" t="str">
        <f>HYPERLINK("https://www.ncbi.nlm.nih.gov/nuccore/LN881727","NCBI Nucleotide")</f>
        <v>NCBI Nucleotide</v>
      </c>
    </row>
    <row r="3325" spans="1:27" x14ac:dyDescent="0.35">
      <c r="A3325">
        <v>1025176</v>
      </c>
      <c r="B3325">
        <v>3301</v>
      </c>
      <c r="C3325">
        <v>1</v>
      </c>
      <c r="D3325" s="17" t="s">
        <v>155</v>
      </c>
      <c r="E3325" s="17"/>
      <c r="F3325" s="17" t="s">
        <v>156</v>
      </c>
      <c r="G3325" s="17"/>
      <c r="H3325" s="17" t="s">
        <v>692</v>
      </c>
      <c r="I3325" s="17"/>
      <c r="J3325" s="17" t="s">
        <v>693</v>
      </c>
      <c r="K3325" s="17"/>
      <c r="L3325" s="17"/>
      <c r="M3325" s="17"/>
      <c r="N3325" s="17"/>
      <c r="O3325" s="17" t="s">
        <v>5851</v>
      </c>
      <c r="P3325" s="17" t="s">
        <v>5893</v>
      </c>
      <c r="Q3325" s="17"/>
      <c r="R3325" s="25" t="str">
        <f>HYPERLINK("https://ictv.global/taxonomy/taxondetails?taxnode_id=202319478","Vequintavirus sophiarose")</f>
        <v>Vequintavirus sophiarose</v>
      </c>
      <c r="S3325" s="18" t="s">
        <v>30</v>
      </c>
      <c r="T3325" s="18" t="s">
        <v>39806</v>
      </c>
      <c r="U3325" s="18"/>
      <c r="V3325" s="18"/>
      <c r="W3325" s="18" t="s">
        <v>48445</v>
      </c>
      <c r="X3325" s="18" t="s">
        <v>42</v>
      </c>
      <c r="Y3325" s="18" t="s">
        <v>36</v>
      </c>
      <c r="Z3325" s="18" t="s">
        <v>697</v>
      </c>
      <c r="AA3325" s="21" t="str">
        <f>HYPERLINK("https://www.ncbi.nlm.nih.gov/nuccore/MW748998","NCBI Nucleotide")</f>
        <v>NCBI Nucleotide</v>
      </c>
    </row>
    <row r="3326" spans="1:27" x14ac:dyDescent="0.35">
      <c r="A3326">
        <v>1025177</v>
      </c>
      <c r="B3326">
        <v>3302</v>
      </c>
      <c r="C3326">
        <v>1</v>
      </c>
      <c r="D3326" s="17" t="s">
        <v>155</v>
      </c>
      <c r="E3326" s="17"/>
      <c r="F3326" s="17" t="s">
        <v>156</v>
      </c>
      <c r="G3326" s="17"/>
      <c r="H3326" s="17" t="s">
        <v>692</v>
      </c>
      <c r="I3326" s="17"/>
      <c r="J3326" s="17" t="s">
        <v>693</v>
      </c>
      <c r="K3326" s="17"/>
      <c r="L3326" s="17"/>
      <c r="M3326" s="17"/>
      <c r="N3326" s="17"/>
      <c r="O3326" s="17" t="s">
        <v>5851</v>
      </c>
      <c r="P3326" s="17" t="s">
        <v>5893</v>
      </c>
      <c r="Q3326" s="17"/>
      <c r="R3326" s="25" t="str">
        <f>HYPERLINK("https://ictv.global/taxonomy/taxondetails?taxnode_id=202319466","Vequintavirus SYGMH1")</f>
        <v>Vequintavirus SYGMH1</v>
      </c>
      <c r="S3326" s="18" t="s">
        <v>30</v>
      </c>
      <c r="T3326" s="18" t="s">
        <v>39807</v>
      </c>
      <c r="U3326" s="18"/>
      <c r="V3326" s="18"/>
      <c r="W3326" s="18" t="s">
        <v>48446</v>
      </c>
      <c r="X3326" s="18" t="s">
        <v>42</v>
      </c>
      <c r="Y3326" s="18" t="s">
        <v>36</v>
      </c>
      <c r="Z3326" s="18" t="s">
        <v>697</v>
      </c>
      <c r="AA3326" s="21" t="str">
        <f>HYPERLINK("https://www.ncbi.nlm.nih.gov/nuccore/MW883061","NCBI Nucleotide")</f>
        <v>NCBI Nucleotide</v>
      </c>
    </row>
    <row r="3327" spans="1:27" x14ac:dyDescent="0.35">
      <c r="A3327">
        <v>1025178</v>
      </c>
      <c r="B3327">
        <v>3303</v>
      </c>
      <c r="C3327">
        <v>1</v>
      </c>
      <c r="D3327" s="17" t="s">
        <v>155</v>
      </c>
      <c r="E3327" s="17"/>
      <c r="F3327" s="17" t="s">
        <v>156</v>
      </c>
      <c r="G3327" s="17"/>
      <c r="H3327" s="17" t="s">
        <v>692</v>
      </c>
      <c r="I3327" s="17"/>
      <c r="J3327" s="17" t="s">
        <v>693</v>
      </c>
      <c r="K3327" s="17"/>
      <c r="L3327" s="17"/>
      <c r="M3327" s="17"/>
      <c r="N3327" s="17"/>
      <c r="O3327" s="17" t="s">
        <v>5851</v>
      </c>
      <c r="P3327" s="17" t="s">
        <v>5893</v>
      </c>
      <c r="Q3327" s="17"/>
      <c r="R3327" s="25" t="str">
        <f>HYPERLINK("https://ictv.global/taxonomy/taxondetails?taxnode_id=202319477","Vequintavirus TP14")</f>
        <v>Vequintavirus TP14</v>
      </c>
      <c r="S3327" s="18" t="s">
        <v>30</v>
      </c>
      <c r="T3327" s="18" t="s">
        <v>39808</v>
      </c>
      <c r="U3327" s="18"/>
      <c r="V3327" s="18"/>
      <c r="W3327" s="18" t="s">
        <v>48447</v>
      </c>
      <c r="X3327" s="18" t="s">
        <v>154</v>
      </c>
      <c r="Y3327" s="18" t="s">
        <v>36</v>
      </c>
      <c r="Z3327" s="18" t="s">
        <v>697</v>
      </c>
      <c r="AA3327" s="21" t="str">
        <f>HYPERLINK("https://www.ncbi.nlm.nih.gov/nuccore/KP869112","NCBI Nucleotide")</f>
        <v>NCBI Nucleotide</v>
      </c>
    </row>
    <row r="3328" spans="1:27" x14ac:dyDescent="0.35">
      <c r="A3328">
        <v>1004459</v>
      </c>
      <c r="B3328">
        <v>3304</v>
      </c>
      <c r="C3328">
        <v>1</v>
      </c>
      <c r="D3328" s="17" t="s">
        <v>155</v>
      </c>
      <c r="E3328" s="17"/>
      <c r="F3328" s="17" t="s">
        <v>156</v>
      </c>
      <c r="G3328" s="17"/>
      <c r="H3328" s="17" t="s">
        <v>692</v>
      </c>
      <c r="I3328" s="17"/>
      <c r="J3328" s="17" t="s">
        <v>693</v>
      </c>
      <c r="K3328" s="17"/>
      <c r="L3328" s="17"/>
      <c r="M3328" s="17"/>
      <c r="N3328" s="17"/>
      <c r="O3328" s="17" t="s">
        <v>5851</v>
      </c>
      <c r="P3328" s="17" t="s">
        <v>5893</v>
      </c>
      <c r="Q3328" s="17"/>
      <c r="R3328" s="25" t="str">
        <f>HYPERLINK("https://ictv.global/taxonomy/taxondetails?taxnode_id=202300361","Vequintavirus V5")</f>
        <v>Vequintavirus V5</v>
      </c>
      <c r="S3328" s="18" t="s">
        <v>30</v>
      </c>
      <c r="T3328" s="18" t="s">
        <v>5908</v>
      </c>
      <c r="U3328" s="18"/>
      <c r="V3328" s="18"/>
      <c r="W3328" s="18" t="s">
        <v>5909</v>
      </c>
      <c r="X3328" s="18" t="s">
        <v>42</v>
      </c>
      <c r="Y3328" s="18" t="s">
        <v>36</v>
      </c>
      <c r="Z3328" s="18" t="s">
        <v>697</v>
      </c>
      <c r="AA3328" s="21" t="str">
        <f>HYPERLINK("https://www.ncbi.nlm.nih.gov/nuccore/DQ832317","NCBI Nucleotide")</f>
        <v>NCBI Nucleotide</v>
      </c>
    </row>
    <row r="3329" spans="1:27" x14ac:dyDescent="0.35">
      <c r="A3329">
        <v>1004458</v>
      </c>
      <c r="B3329">
        <v>3305</v>
      </c>
      <c r="C3329">
        <v>1</v>
      </c>
      <c r="D3329" s="17" t="s">
        <v>155</v>
      </c>
      <c r="E3329" s="17"/>
      <c r="F3329" s="17" t="s">
        <v>156</v>
      </c>
      <c r="G3329" s="17"/>
      <c r="H3329" s="17" t="s">
        <v>692</v>
      </c>
      <c r="I3329" s="17"/>
      <c r="J3329" s="17" t="s">
        <v>693</v>
      </c>
      <c r="K3329" s="17"/>
      <c r="L3329" s="17"/>
      <c r="M3329" s="17"/>
      <c r="N3329" s="17"/>
      <c r="O3329" s="17" t="s">
        <v>5851</v>
      </c>
      <c r="P3329" s="17" t="s">
        <v>5893</v>
      </c>
      <c r="Q3329" s="17"/>
      <c r="R3329" s="25" t="str">
        <f>HYPERLINK("https://ictv.global/taxonomy/taxondetails?taxnode_id=202307084","Vequintavirus V18")</f>
        <v>Vequintavirus V18</v>
      </c>
      <c r="S3329" s="18" t="s">
        <v>30</v>
      </c>
      <c r="T3329" s="18" t="s">
        <v>5906</v>
      </c>
      <c r="U3329" s="18"/>
      <c r="V3329" s="18"/>
      <c r="W3329" s="18" t="s">
        <v>5907</v>
      </c>
      <c r="X3329" s="18" t="s">
        <v>42</v>
      </c>
      <c r="Y3329" s="18" t="s">
        <v>36</v>
      </c>
      <c r="Z3329" s="18" t="s">
        <v>697</v>
      </c>
      <c r="AA3329" s="21" t="str">
        <f>HYPERLINK("https://www.ncbi.nlm.nih.gov/nuccore/KY683736","NCBI Nucleotide")</f>
        <v>NCBI Nucleotide</v>
      </c>
    </row>
    <row r="3330" spans="1:27" x14ac:dyDescent="0.35">
      <c r="A3330">
        <v>1025179</v>
      </c>
      <c r="B3330">
        <v>3306</v>
      </c>
      <c r="C3330">
        <v>1</v>
      </c>
      <c r="D3330" s="17" t="s">
        <v>155</v>
      </c>
      <c r="E3330" s="17"/>
      <c r="F3330" s="17" t="s">
        <v>156</v>
      </c>
      <c r="G3330" s="17"/>
      <c r="H3330" s="17" t="s">
        <v>692</v>
      </c>
      <c r="I3330" s="17"/>
      <c r="J3330" s="17" t="s">
        <v>693</v>
      </c>
      <c r="K3330" s="17"/>
      <c r="L3330" s="17"/>
      <c r="M3330" s="17"/>
      <c r="N3330" s="17"/>
      <c r="O3330" s="17" t="s">
        <v>5851</v>
      </c>
      <c r="P3330" s="17" t="s">
        <v>5893</v>
      </c>
      <c r="Q3330" s="17"/>
      <c r="R3330" s="25" t="str">
        <f>HYPERLINK("https://ictv.global/taxonomy/taxondetails?taxnode_id=202319488","Vequintavirus waltergehring")</f>
        <v>Vequintavirus waltergehring</v>
      </c>
      <c r="S3330" s="18" t="s">
        <v>30</v>
      </c>
      <c r="T3330" s="18" t="s">
        <v>39809</v>
      </c>
      <c r="U3330" s="18"/>
      <c r="V3330" s="18"/>
      <c r="W3330" s="18" t="s">
        <v>48448</v>
      </c>
      <c r="X3330" s="18" t="s">
        <v>42</v>
      </c>
      <c r="Y3330" s="18" t="s">
        <v>36</v>
      </c>
      <c r="Z3330" s="18" t="s">
        <v>697</v>
      </c>
      <c r="AA3330" s="21" t="str">
        <f>HYPERLINK("https://www.ncbi.nlm.nih.gov/nuccore/MZ501111","NCBI Nucleotide")</f>
        <v>NCBI Nucleotide</v>
      </c>
    </row>
    <row r="3331" spans="1:27" x14ac:dyDescent="0.35">
      <c r="A3331">
        <v>1025180</v>
      </c>
      <c r="B3331">
        <v>3307</v>
      </c>
      <c r="C3331">
        <v>1</v>
      </c>
      <c r="D3331" s="17" t="s">
        <v>155</v>
      </c>
      <c r="E3331" s="17"/>
      <c r="F3331" s="17" t="s">
        <v>156</v>
      </c>
      <c r="G3331" s="17"/>
      <c r="H3331" s="17" t="s">
        <v>692</v>
      </c>
      <c r="I3331" s="17"/>
      <c r="J3331" s="17" t="s">
        <v>693</v>
      </c>
      <c r="K3331" s="17"/>
      <c r="L3331" s="17"/>
      <c r="M3331" s="17"/>
      <c r="N3331" s="17"/>
      <c r="O3331" s="17" t="s">
        <v>5851</v>
      </c>
      <c r="P3331" s="17" t="s">
        <v>5893</v>
      </c>
      <c r="Q3331" s="17"/>
      <c r="R3331" s="25" t="str">
        <f>HYPERLINK("https://ictv.global/taxonomy/taxondetails?taxnode_id=202319465","Vequintavirus YP6")</f>
        <v>Vequintavirus YP6</v>
      </c>
      <c r="S3331" s="18" t="s">
        <v>30</v>
      </c>
      <c r="T3331" s="18" t="s">
        <v>39810</v>
      </c>
      <c r="U3331" s="18"/>
      <c r="V3331" s="18"/>
      <c r="W3331" s="18" t="s">
        <v>48449</v>
      </c>
      <c r="X3331" s="18" t="s">
        <v>42</v>
      </c>
      <c r="Y3331" s="18" t="s">
        <v>36</v>
      </c>
      <c r="Z3331" s="18" t="s">
        <v>697</v>
      </c>
      <c r="AA3331" s="21" t="str">
        <f>HYPERLINK("https://www.ncbi.nlm.nih.gov/nuccore/OQ376695","NCBI Nucleotide")</f>
        <v>NCBI Nucleotide</v>
      </c>
    </row>
    <row r="3332" spans="1:27" x14ac:dyDescent="0.35">
      <c r="A3332">
        <v>1004460</v>
      </c>
      <c r="B3332">
        <v>3308</v>
      </c>
      <c r="C3332">
        <v>1</v>
      </c>
      <c r="D3332" s="17" t="s">
        <v>155</v>
      </c>
      <c r="E3332" s="17"/>
      <c r="F3332" s="17" t="s">
        <v>156</v>
      </c>
      <c r="G3332" s="17"/>
      <c r="H3332" s="17" t="s">
        <v>692</v>
      </c>
      <c r="I3332" s="17"/>
      <c r="J3332" s="17" t="s">
        <v>693</v>
      </c>
      <c r="K3332" s="17"/>
      <c r="L3332" s="17"/>
      <c r="M3332" s="17"/>
      <c r="N3332" s="17"/>
      <c r="O3332" s="17" t="s">
        <v>5910</v>
      </c>
      <c r="P3332" s="17" t="s">
        <v>5911</v>
      </c>
      <c r="Q3332" s="17"/>
      <c r="R3332" s="25" t="str">
        <f>HYPERLINK("https://ictv.global/taxonomy/taxondetails?taxnode_id=202312732","Amginevirus amgine")</f>
        <v>Amginevirus amgine</v>
      </c>
      <c r="S3332" s="18" t="s">
        <v>30</v>
      </c>
      <c r="T3332" s="18" t="s">
        <v>5912</v>
      </c>
      <c r="U3332" s="18"/>
      <c r="V3332" s="18"/>
      <c r="W3332" s="18" t="s">
        <v>5913</v>
      </c>
      <c r="X3332" s="18" t="s">
        <v>42</v>
      </c>
      <c r="Y3332" s="18" t="s">
        <v>36</v>
      </c>
      <c r="Z3332" s="18" t="s">
        <v>697</v>
      </c>
      <c r="AA3332" s="21" t="str">
        <f>HYPERLINK("https://www.ncbi.nlm.nih.gov/nuccore/MF324915","NCBI Nucleotide")</f>
        <v>NCBI Nucleotide</v>
      </c>
    </row>
    <row r="3333" spans="1:27" x14ac:dyDescent="0.35">
      <c r="A3333">
        <v>1004461</v>
      </c>
      <c r="B3333">
        <v>3309</v>
      </c>
      <c r="C3333">
        <v>1</v>
      </c>
      <c r="D3333" s="17" t="s">
        <v>155</v>
      </c>
      <c r="E3333" s="17"/>
      <c r="F3333" s="17" t="s">
        <v>156</v>
      </c>
      <c r="G3333" s="17"/>
      <c r="H3333" s="17" t="s">
        <v>692</v>
      </c>
      <c r="I3333" s="17"/>
      <c r="J3333" s="17" t="s">
        <v>693</v>
      </c>
      <c r="K3333" s="17"/>
      <c r="L3333" s="17"/>
      <c r="M3333" s="17"/>
      <c r="N3333" s="17"/>
      <c r="O3333" s="17" t="s">
        <v>5910</v>
      </c>
      <c r="P3333" s="17" t="s">
        <v>5911</v>
      </c>
      <c r="Q3333" s="17"/>
      <c r="R3333" s="25" t="str">
        <f>HYPERLINK("https://ictv.global/taxonomy/taxondetails?taxnode_id=202312733","Amginevirus amohnition")</f>
        <v>Amginevirus amohnition</v>
      </c>
      <c r="S3333" s="18" t="s">
        <v>30</v>
      </c>
      <c r="T3333" s="18" t="s">
        <v>5914</v>
      </c>
      <c r="U3333" s="18"/>
      <c r="V3333" s="18"/>
      <c r="W3333" s="18" t="s">
        <v>5915</v>
      </c>
      <c r="X3333" s="18" t="s">
        <v>42</v>
      </c>
      <c r="Y3333" s="18" t="s">
        <v>36</v>
      </c>
      <c r="Z3333" s="18" t="s">
        <v>697</v>
      </c>
      <c r="AA3333" s="21" t="str">
        <f>HYPERLINK("https://www.ncbi.nlm.nih.gov/nuccore/MF140398","NCBI Nucleotide")</f>
        <v>NCBI Nucleotide</v>
      </c>
    </row>
    <row r="3334" spans="1:27" x14ac:dyDescent="0.35">
      <c r="A3334">
        <v>1004462</v>
      </c>
      <c r="B3334">
        <v>3310</v>
      </c>
      <c r="C3334">
        <v>1</v>
      </c>
      <c r="D3334" s="17" t="s">
        <v>155</v>
      </c>
      <c r="E3334" s="17"/>
      <c r="F3334" s="17" t="s">
        <v>156</v>
      </c>
      <c r="G3334" s="17"/>
      <c r="H3334" s="17" t="s">
        <v>692</v>
      </c>
      <c r="I3334" s="17"/>
      <c r="J3334" s="17" t="s">
        <v>693</v>
      </c>
      <c r="K3334" s="17"/>
      <c r="L3334" s="17"/>
      <c r="M3334" s="17"/>
      <c r="N3334" s="17"/>
      <c r="O3334" s="17" t="s">
        <v>5910</v>
      </c>
      <c r="P3334" s="17" t="s">
        <v>5911</v>
      </c>
      <c r="Q3334" s="17"/>
      <c r="R3334" s="25" t="str">
        <f>HYPERLINK("https://ictv.global/taxonomy/taxondetails?taxnode_id=202312734","Amginevirus darthP")</f>
        <v>Amginevirus darthP</v>
      </c>
      <c r="S3334" s="18" t="s">
        <v>30</v>
      </c>
      <c r="T3334" s="18" t="s">
        <v>5916</v>
      </c>
      <c r="U3334" s="18"/>
      <c r="V3334" s="18"/>
      <c r="W3334" s="18" t="s">
        <v>5917</v>
      </c>
      <c r="X3334" s="18" t="s">
        <v>42</v>
      </c>
      <c r="Y3334" s="18" t="s">
        <v>36</v>
      </c>
      <c r="Z3334" s="18" t="s">
        <v>697</v>
      </c>
      <c r="AA3334" s="21" t="str">
        <f>HYPERLINK("https://www.ncbi.nlm.nih.gov/nuccore/MF140406","NCBI Nucleotide")</f>
        <v>NCBI Nucleotide</v>
      </c>
    </row>
    <row r="3335" spans="1:27" x14ac:dyDescent="0.35">
      <c r="A3335">
        <v>1004463</v>
      </c>
      <c r="B3335">
        <v>3311</v>
      </c>
      <c r="C3335">
        <v>1</v>
      </c>
      <c r="D3335" s="17" t="s">
        <v>155</v>
      </c>
      <c r="E3335" s="17"/>
      <c r="F3335" s="17" t="s">
        <v>156</v>
      </c>
      <c r="G3335" s="17"/>
      <c r="H3335" s="17" t="s">
        <v>692</v>
      </c>
      <c r="I3335" s="17"/>
      <c r="J3335" s="17" t="s">
        <v>693</v>
      </c>
      <c r="K3335" s="17"/>
      <c r="L3335" s="17"/>
      <c r="M3335" s="17"/>
      <c r="N3335" s="17"/>
      <c r="O3335" s="17" t="s">
        <v>5910</v>
      </c>
      <c r="P3335" s="17" t="s">
        <v>5911</v>
      </c>
      <c r="Q3335" s="17"/>
      <c r="R3335" s="25" t="str">
        <f>HYPERLINK("https://ictv.global/taxonomy/taxondetails?taxnode_id=202312735","Amginevirus ekdilam")</f>
        <v>Amginevirus ekdilam</v>
      </c>
      <c r="S3335" s="18" t="s">
        <v>30</v>
      </c>
      <c r="T3335" s="18" t="s">
        <v>5918</v>
      </c>
      <c r="U3335" s="18"/>
      <c r="V3335" s="18"/>
      <c r="W3335" s="18" t="s">
        <v>5919</v>
      </c>
      <c r="X3335" s="18" t="s">
        <v>42</v>
      </c>
      <c r="Y3335" s="18" t="s">
        <v>36</v>
      </c>
      <c r="Z3335" s="18" t="s">
        <v>697</v>
      </c>
      <c r="AA3335" s="21" t="str">
        <f>HYPERLINK("https://www.ncbi.nlm.nih.gov/nuccore/MN234199","NCBI Nucleotide")</f>
        <v>NCBI Nucleotide</v>
      </c>
    </row>
    <row r="3336" spans="1:27" x14ac:dyDescent="0.35">
      <c r="A3336">
        <v>1004464</v>
      </c>
      <c r="B3336">
        <v>3312</v>
      </c>
      <c r="C3336">
        <v>1</v>
      </c>
      <c r="D3336" s="17" t="s">
        <v>155</v>
      </c>
      <c r="E3336" s="17"/>
      <c r="F3336" s="17" t="s">
        <v>156</v>
      </c>
      <c r="G3336" s="17"/>
      <c r="H3336" s="17" t="s">
        <v>692</v>
      </c>
      <c r="I3336" s="17"/>
      <c r="J3336" s="17" t="s">
        <v>693</v>
      </c>
      <c r="K3336" s="17"/>
      <c r="L3336" s="17"/>
      <c r="M3336" s="17"/>
      <c r="N3336" s="17"/>
      <c r="O3336" s="17" t="s">
        <v>5910</v>
      </c>
      <c r="P3336" s="17" t="s">
        <v>5911</v>
      </c>
      <c r="Q3336" s="17"/>
      <c r="R3336" s="25" t="str">
        <f>HYPERLINK("https://ictv.global/taxonomy/taxondetails?taxnode_id=202312736","Amginevirus ellie")</f>
        <v>Amginevirus ellie</v>
      </c>
      <c r="S3336" s="18" t="s">
        <v>30</v>
      </c>
      <c r="T3336" s="18" t="s">
        <v>5920</v>
      </c>
      <c r="U3336" s="18"/>
      <c r="V3336" s="18"/>
      <c r="W3336" s="18" t="s">
        <v>5921</v>
      </c>
      <c r="X3336" s="18" t="s">
        <v>42</v>
      </c>
      <c r="Y3336" s="18" t="s">
        <v>36</v>
      </c>
      <c r="Z3336" s="18" t="s">
        <v>697</v>
      </c>
      <c r="AA3336" s="21" t="str">
        <f>HYPERLINK("https://www.ncbi.nlm.nih.gov/nuccore/MT723940","NCBI Nucleotide")</f>
        <v>NCBI Nucleotide</v>
      </c>
    </row>
    <row r="3337" spans="1:27" x14ac:dyDescent="0.35">
      <c r="A3337">
        <v>1004465</v>
      </c>
      <c r="B3337">
        <v>3313</v>
      </c>
      <c r="C3337">
        <v>1</v>
      </c>
      <c r="D3337" s="17" t="s">
        <v>155</v>
      </c>
      <c r="E3337" s="17"/>
      <c r="F3337" s="17" t="s">
        <v>156</v>
      </c>
      <c r="G3337" s="17"/>
      <c r="H3337" s="17" t="s">
        <v>692</v>
      </c>
      <c r="I3337" s="17"/>
      <c r="J3337" s="17" t="s">
        <v>693</v>
      </c>
      <c r="K3337" s="17"/>
      <c r="L3337" s="17"/>
      <c r="M3337" s="17"/>
      <c r="N3337" s="17"/>
      <c r="O3337" s="17" t="s">
        <v>5910</v>
      </c>
      <c r="P3337" s="17" t="s">
        <v>5922</v>
      </c>
      <c r="Q3337" s="17"/>
      <c r="R3337" s="25" t="str">
        <f>HYPERLINK("https://ictv.global/taxonomy/taxondetails?taxnode_id=202312702","Aminayvirus aminay")</f>
        <v>Aminayvirus aminay</v>
      </c>
      <c r="S3337" s="18" t="s">
        <v>30</v>
      </c>
      <c r="T3337" s="18" t="s">
        <v>5923</v>
      </c>
      <c r="U3337" s="18"/>
      <c r="V3337" s="18"/>
      <c r="W3337" s="18" t="s">
        <v>5924</v>
      </c>
      <c r="X3337" s="18" t="s">
        <v>42</v>
      </c>
      <c r="Y3337" s="18" t="s">
        <v>36</v>
      </c>
      <c r="Z3337" s="18" t="s">
        <v>697</v>
      </c>
      <c r="AA3337" s="21" t="str">
        <f>HYPERLINK("https://www.ncbi.nlm.nih.gov/nuccore/MH509442","NCBI Nucleotide")</f>
        <v>NCBI Nucleotide</v>
      </c>
    </row>
    <row r="3338" spans="1:27" x14ac:dyDescent="0.35">
      <c r="A3338">
        <v>1004466</v>
      </c>
      <c r="B3338">
        <v>3314</v>
      </c>
      <c r="C3338">
        <v>1</v>
      </c>
      <c r="D3338" s="17" t="s">
        <v>155</v>
      </c>
      <c r="E3338" s="17"/>
      <c r="F3338" s="17" t="s">
        <v>156</v>
      </c>
      <c r="G3338" s="17"/>
      <c r="H3338" s="17" t="s">
        <v>692</v>
      </c>
      <c r="I3338" s="17"/>
      <c r="J3338" s="17" t="s">
        <v>693</v>
      </c>
      <c r="K3338" s="17"/>
      <c r="L3338" s="17"/>
      <c r="M3338" s="17"/>
      <c r="N3338" s="17"/>
      <c r="O3338" s="17" t="s">
        <v>5910</v>
      </c>
      <c r="P3338" s="17" t="s">
        <v>5925</v>
      </c>
      <c r="Q3338" s="17"/>
      <c r="R3338" s="25" t="str">
        <f>HYPERLINK("https://ictv.global/taxonomy/taxondetails?taxnode_id=202312738","Anayavirus adephagia")</f>
        <v>Anayavirus adephagia</v>
      </c>
      <c r="S3338" s="18" t="s">
        <v>30</v>
      </c>
      <c r="T3338" s="18" t="s">
        <v>5926</v>
      </c>
      <c r="U3338" s="18"/>
      <c r="V3338" s="18"/>
      <c r="W3338" s="18" t="s">
        <v>5927</v>
      </c>
      <c r="X3338" s="18" t="s">
        <v>42</v>
      </c>
      <c r="Y3338" s="18" t="s">
        <v>36</v>
      </c>
      <c r="Z3338" s="18" t="s">
        <v>697</v>
      </c>
      <c r="AA3338" s="21" t="str">
        <f>HYPERLINK("https://www.ncbi.nlm.nih.gov/nuccore/JF704105","NCBI Nucleotide")</f>
        <v>NCBI Nucleotide</v>
      </c>
    </row>
    <row r="3339" spans="1:27" x14ac:dyDescent="0.35">
      <c r="A3339">
        <v>1004467</v>
      </c>
      <c r="B3339">
        <v>3315</v>
      </c>
      <c r="C3339">
        <v>1</v>
      </c>
      <c r="D3339" s="17" t="s">
        <v>155</v>
      </c>
      <c r="E3339" s="17"/>
      <c r="F3339" s="17" t="s">
        <v>156</v>
      </c>
      <c r="G3339" s="17"/>
      <c r="H3339" s="17" t="s">
        <v>692</v>
      </c>
      <c r="I3339" s="17"/>
      <c r="J3339" s="17" t="s">
        <v>693</v>
      </c>
      <c r="K3339" s="17"/>
      <c r="L3339" s="17"/>
      <c r="M3339" s="17"/>
      <c r="N3339" s="17"/>
      <c r="O3339" s="17" t="s">
        <v>5910</v>
      </c>
      <c r="P3339" s="17" t="s">
        <v>5925</v>
      </c>
      <c r="Q3339" s="17"/>
      <c r="R3339" s="25" t="str">
        <f>HYPERLINK("https://ictv.global/taxonomy/taxondetails?taxnode_id=202312739","Anayavirus adonis")</f>
        <v>Anayavirus adonis</v>
      </c>
      <c r="S3339" s="18" t="s">
        <v>30</v>
      </c>
      <c r="T3339" s="18" t="s">
        <v>5928</v>
      </c>
      <c r="U3339" s="18"/>
      <c r="V3339" s="18"/>
      <c r="W3339" s="18" t="s">
        <v>5929</v>
      </c>
      <c r="X3339" s="18" t="s">
        <v>42</v>
      </c>
      <c r="Y3339" s="18" t="s">
        <v>36</v>
      </c>
      <c r="Z3339" s="18" t="s">
        <v>697</v>
      </c>
      <c r="AA3339" s="21" t="str">
        <f>HYPERLINK("https://www.ncbi.nlm.nih.gov/nuccore/MH001453","NCBI Nucleotide")</f>
        <v>NCBI Nucleotide</v>
      </c>
    </row>
    <row r="3340" spans="1:27" x14ac:dyDescent="0.35">
      <c r="A3340">
        <v>1004468</v>
      </c>
      <c r="B3340">
        <v>3316</v>
      </c>
      <c r="C3340">
        <v>1</v>
      </c>
      <c r="D3340" s="17" t="s">
        <v>155</v>
      </c>
      <c r="E3340" s="17"/>
      <c r="F3340" s="17" t="s">
        <v>156</v>
      </c>
      <c r="G3340" s="17"/>
      <c r="H3340" s="17" t="s">
        <v>692</v>
      </c>
      <c r="I3340" s="17"/>
      <c r="J3340" s="17" t="s">
        <v>693</v>
      </c>
      <c r="K3340" s="17"/>
      <c r="L3340" s="17"/>
      <c r="M3340" s="17"/>
      <c r="N3340" s="17"/>
      <c r="O3340" s="17" t="s">
        <v>5910</v>
      </c>
      <c r="P3340" s="17" t="s">
        <v>5925</v>
      </c>
      <c r="Q3340" s="17"/>
      <c r="R3340" s="25" t="str">
        <f>HYPERLINK("https://ictv.global/taxonomy/taxondetails?taxnode_id=202312740","Anayavirus alishaPH")</f>
        <v>Anayavirus alishaPH</v>
      </c>
      <c r="S3340" s="18" t="s">
        <v>30</v>
      </c>
      <c r="T3340" s="18" t="s">
        <v>5930</v>
      </c>
      <c r="U3340" s="18"/>
      <c r="V3340" s="18"/>
      <c r="W3340" s="18" t="s">
        <v>5931</v>
      </c>
      <c r="X3340" s="18" t="s">
        <v>42</v>
      </c>
      <c r="Y3340" s="18" t="s">
        <v>36</v>
      </c>
      <c r="Z3340" s="18" t="s">
        <v>697</v>
      </c>
      <c r="AA3340" s="21" t="str">
        <f>HYPERLINK("https://www.ncbi.nlm.nih.gov/nuccore/MH077577","NCBI Nucleotide")</f>
        <v>NCBI Nucleotide</v>
      </c>
    </row>
    <row r="3341" spans="1:27" x14ac:dyDescent="0.35">
      <c r="A3341">
        <v>1004469</v>
      </c>
      <c r="B3341">
        <v>3317</v>
      </c>
      <c r="C3341">
        <v>1</v>
      </c>
      <c r="D3341" s="17" t="s">
        <v>155</v>
      </c>
      <c r="E3341" s="17"/>
      <c r="F3341" s="17" t="s">
        <v>156</v>
      </c>
      <c r="G3341" s="17"/>
      <c r="H3341" s="17" t="s">
        <v>692</v>
      </c>
      <c r="I3341" s="17"/>
      <c r="J3341" s="17" t="s">
        <v>693</v>
      </c>
      <c r="K3341" s="17"/>
      <c r="L3341" s="17"/>
      <c r="M3341" s="17"/>
      <c r="N3341" s="17"/>
      <c r="O3341" s="17" t="s">
        <v>5910</v>
      </c>
      <c r="P3341" s="17" t="s">
        <v>5925</v>
      </c>
      <c r="Q3341" s="17"/>
      <c r="R3341" s="25" t="str">
        <f>HYPERLINK("https://ictv.global/taxonomy/taxondetails?taxnode_id=202312741","Anayavirus amelie")</f>
        <v>Anayavirus amelie</v>
      </c>
      <c r="S3341" s="18" t="s">
        <v>30</v>
      </c>
      <c r="T3341" s="18" t="s">
        <v>5932</v>
      </c>
      <c r="U3341" s="18"/>
      <c r="V3341" s="18"/>
      <c r="W3341" s="18" t="s">
        <v>5933</v>
      </c>
      <c r="X3341" s="18" t="s">
        <v>42</v>
      </c>
      <c r="Y3341" s="18" t="s">
        <v>36</v>
      </c>
      <c r="Z3341" s="18" t="s">
        <v>697</v>
      </c>
      <c r="AA3341" s="21" t="str">
        <f>HYPERLINK("https://www.ncbi.nlm.nih.gov/nuccore/KX808132","NCBI Nucleotide")</f>
        <v>NCBI Nucleotide</v>
      </c>
    </row>
    <row r="3342" spans="1:27" x14ac:dyDescent="0.35">
      <c r="A3342">
        <v>1004470</v>
      </c>
      <c r="B3342">
        <v>3318</v>
      </c>
      <c r="C3342">
        <v>1</v>
      </c>
      <c r="D3342" s="17" t="s">
        <v>155</v>
      </c>
      <c r="E3342" s="17"/>
      <c r="F3342" s="17" t="s">
        <v>156</v>
      </c>
      <c r="G3342" s="17"/>
      <c r="H3342" s="17" t="s">
        <v>692</v>
      </c>
      <c r="I3342" s="17"/>
      <c r="J3342" s="17" t="s">
        <v>693</v>
      </c>
      <c r="K3342" s="17"/>
      <c r="L3342" s="17"/>
      <c r="M3342" s="17"/>
      <c r="N3342" s="17"/>
      <c r="O3342" s="17" t="s">
        <v>5910</v>
      </c>
      <c r="P3342" s="17" t="s">
        <v>5925</v>
      </c>
      <c r="Q3342" s="17"/>
      <c r="R3342" s="25" t="str">
        <f>HYPERLINK("https://ictv.global/taxonomy/taxondetails?taxnode_id=202301343","Anayavirus anaya")</f>
        <v>Anayavirus anaya</v>
      </c>
      <c r="S3342" s="18" t="s">
        <v>30</v>
      </c>
      <c r="T3342" s="18" t="s">
        <v>5934</v>
      </c>
      <c r="U3342" s="18"/>
      <c r="V3342" s="18"/>
      <c r="W3342" s="18" t="s">
        <v>5935</v>
      </c>
      <c r="X3342" s="18" t="s">
        <v>42</v>
      </c>
      <c r="Y3342" s="18" t="s">
        <v>36</v>
      </c>
      <c r="Z3342" s="18" t="s">
        <v>697</v>
      </c>
      <c r="AA3342" s="21" t="str">
        <f>HYPERLINK("https://www.ncbi.nlm.nih.gov/nuccore/JF704106","NCBI Nucleotide")</f>
        <v>NCBI Nucleotide</v>
      </c>
    </row>
    <row r="3343" spans="1:27" x14ac:dyDescent="0.35">
      <c r="A3343">
        <v>1004471</v>
      </c>
      <c r="B3343">
        <v>3319</v>
      </c>
      <c r="C3343">
        <v>1</v>
      </c>
      <c r="D3343" s="17" t="s">
        <v>155</v>
      </c>
      <c r="E3343" s="17"/>
      <c r="F3343" s="17" t="s">
        <v>156</v>
      </c>
      <c r="G3343" s="17"/>
      <c r="H3343" s="17" t="s">
        <v>692</v>
      </c>
      <c r="I3343" s="17"/>
      <c r="J3343" s="17" t="s">
        <v>693</v>
      </c>
      <c r="K3343" s="17"/>
      <c r="L3343" s="17"/>
      <c r="M3343" s="17"/>
      <c r="N3343" s="17"/>
      <c r="O3343" s="17" t="s">
        <v>5910</v>
      </c>
      <c r="P3343" s="17" t="s">
        <v>5925</v>
      </c>
      <c r="Q3343" s="17"/>
      <c r="R3343" s="25" t="str">
        <f>HYPERLINK("https://ictv.global/taxonomy/taxondetails?taxnode_id=202301344","Anayavirus angelica")</f>
        <v>Anayavirus angelica</v>
      </c>
      <c r="S3343" s="18" t="s">
        <v>30</v>
      </c>
      <c r="T3343" s="18" t="s">
        <v>5936</v>
      </c>
      <c r="U3343" s="18"/>
      <c r="V3343" s="18"/>
      <c r="W3343" s="18" t="s">
        <v>5937</v>
      </c>
      <c r="X3343" s="18" t="s">
        <v>42</v>
      </c>
      <c r="Y3343" s="18" t="s">
        <v>36</v>
      </c>
      <c r="Z3343" s="18" t="s">
        <v>697</v>
      </c>
      <c r="AA3343" s="21" t="str">
        <f>HYPERLINK("https://www.ncbi.nlm.nih.gov/nuccore/HM152764","NCBI Nucleotide")</f>
        <v>NCBI Nucleotide</v>
      </c>
    </row>
    <row r="3344" spans="1:27" x14ac:dyDescent="0.35">
      <c r="A3344">
        <v>1004472</v>
      </c>
      <c r="B3344">
        <v>3320</v>
      </c>
      <c r="C3344">
        <v>1</v>
      </c>
      <c r="D3344" s="17" t="s">
        <v>155</v>
      </c>
      <c r="E3344" s="17"/>
      <c r="F3344" s="17" t="s">
        <v>156</v>
      </c>
      <c r="G3344" s="17"/>
      <c r="H3344" s="17" t="s">
        <v>692</v>
      </c>
      <c r="I3344" s="17"/>
      <c r="J3344" s="17" t="s">
        <v>693</v>
      </c>
      <c r="K3344" s="17"/>
      <c r="L3344" s="17"/>
      <c r="M3344" s="17"/>
      <c r="N3344" s="17"/>
      <c r="O3344" s="17" t="s">
        <v>5910</v>
      </c>
      <c r="P3344" s="17" t="s">
        <v>5925</v>
      </c>
      <c r="Q3344" s="17"/>
      <c r="R3344" s="25" t="str">
        <f>HYPERLINK("https://ictv.global/taxonomy/taxondetails?taxnode_id=202312742","Anayavirus apocalypse")</f>
        <v>Anayavirus apocalypse</v>
      </c>
      <c r="S3344" s="18" t="s">
        <v>30</v>
      </c>
      <c r="T3344" s="18" t="s">
        <v>5938</v>
      </c>
      <c r="U3344" s="18"/>
      <c r="V3344" s="18"/>
      <c r="W3344" s="18" t="s">
        <v>5939</v>
      </c>
      <c r="X3344" s="18" t="s">
        <v>42</v>
      </c>
      <c r="Y3344" s="18" t="s">
        <v>36</v>
      </c>
      <c r="Z3344" s="18" t="s">
        <v>697</v>
      </c>
      <c r="AA3344" s="21" t="str">
        <f>HYPERLINK("https://www.ncbi.nlm.nih.gov/nuccore/MF668267","NCBI Nucleotide")</f>
        <v>NCBI Nucleotide</v>
      </c>
    </row>
    <row r="3345" spans="1:27" x14ac:dyDescent="0.35">
      <c r="A3345">
        <v>1004473</v>
      </c>
      <c r="B3345">
        <v>3321</v>
      </c>
      <c r="C3345">
        <v>1</v>
      </c>
      <c r="D3345" s="17" t="s">
        <v>155</v>
      </c>
      <c r="E3345" s="17"/>
      <c r="F3345" s="17" t="s">
        <v>156</v>
      </c>
      <c r="G3345" s="17"/>
      <c r="H3345" s="17" t="s">
        <v>692</v>
      </c>
      <c r="I3345" s="17"/>
      <c r="J3345" s="17" t="s">
        <v>693</v>
      </c>
      <c r="K3345" s="17"/>
      <c r="L3345" s="17"/>
      <c r="M3345" s="17"/>
      <c r="N3345" s="17"/>
      <c r="O3345" s="17" t="s">
        <v>5910</v>
      </c>
      <c r="P3345" s="17" t="s">
        <v>5925</v>
      </c>
      <c r="Q3345" s="17"/>
      <c r="R3345" s="25" t="str">
        <f>HYPERLINK("https://ictv.global/taxonomy/taxondetails?taxnode_id=202312743","Anayavirus beezoo")</f>
        <v>Anayavirus beezoo</v>
      </c>
      <c r="S3345" s="18" t="s">
        <v>30</v>
      </c>
      <c r="T3345" s="18" t="s">
        <v>5940</v>
      </c>
      <c r="U3345" s="18"/>
      <c r="V3345" s="18"/>
      <c r="W3345" s="18" t="s">
        <v>5941</v>
      </c>
      <c r="X3345" s="18" t="s">
        <v>42</v>
      </c>
      <c r="Y3345" s="18" t="s">
        <v>36</v>
      </c>
      <c r="Z3345" s="18" t="s">
        <v>697</v>
      </c>
      <c r="AA3345" s="21" t="str">
        <f>HYPERLINK("https://www.ncbi.nlm.nih.gov/nuccore/MH371113","NCBI Nucleotide")</f>
        <v>NCBI Nucleotide</v>
      </c>
    </row>
    <row r="3346" spans="1:27" x14ac:dyDescent="0.35">
      <c r="A3346">
        <v>1004474</v>
      </c>
      <c r="B3346">
        <v>3322</v>
      </c>
      <c r="C3346">
        <v>1</v>
      </c>
      <c r="D3346" s="17" t="s">
        <v>155</v>
      </c>
      <c r="E3346" s="17"/>
      <c r="F3346" s="17" t="s">
        <v>156</v>
      </c>
      <c r="G3346" s="17"/>
      <c r="H3346" s="17" t="s">
        <v>692</v>
      </c>
      <c r="I3346" s="17"/>
      <c r="J3346" s="17" t="s">
        <v>693</v>
      </c>
      <c r="K3346" s="17"/>
      <c r="L3346" s="17"/>
      <c r="M3346" s="17"/>
      <c r="N3346" s="17"/>
      <c r="O3346" s="17" t="s">
        <v>5910</v>
      </c>
      <c r="P3346" s="17" t="s">
        <v>5925</v>
      </c>
      <c r="Q3346" s="17"/>
      <c r="R3346" s="25" t="str">
        <f>HYPERLINK("https://ictv.global/taxonomy/taxondetails?taxnode_id=202312744","Anayavirus bella96")</f>
        <v>Anayavirus bella96</v>
      </c>
      <c r="S3346" s="18" t="s">
        <v>30</v>
      </c>
      <c r="T3346" s="18" t="s">
        <v>5942</v>
      </c>
      <c r="U3346" s="18"/>
      <c r="V3346" s="18"/>
      <c r="W3346" s="18" t="s">
        <v>5943</v>
      </c>
      <c r="X3346" s="18" t="s">
        <v>42</v>
      </c>
      <c r="Y3346" s="18" t="s">
        <v>36</v>
      </c>
      <c r="Z3346" s="18" t="s">
        <v>697</v>
      </c>
      <c r="AA3346" s="21" t="str">
        <f>HYPERLINK("https://www.ncbi.nlm.nih.gov/nuccore/MF377440","NCBI Nucleotide")</f>
        <v>NCBI Nucleotide</v>
      </c>
    </row>
    <row r="3347" spans="1:27" x14ac:dyDescent="0.35">
      <c r="A3347">
        <v>1004475</v>
      </c>
      <c r="B3347">
        <v>3323</v>
      </c>
      <c r="C3347">
        <v>1</v>
      </c>
      <c r="D3347" s="17" t="s">
        <v>155</v>
      </c>
      <c r="E3347" s="17"/>
      <c r="F3347" s="17" t="s">
        <v>156</v>
      </c>
      <c r="G3347" s="17"/>
      <c r="H3347" s="17" t="s">
        <v>692</v>
      </c>
      <c r="I3347" s="17"/>
      <c r="J3347" s="17" t="s">
        <v>693</v>
      </c>
      <c r="K3347" s="17"/>
      <c r="L3347" s="17"/>
      <c r="M3347" s="17"/>
      <c r="N3347" s="17"/>
      <c r="O3347" s="17" t="s">
        <v>5910</v>
      </c>
      <c r="P3347" s="17" t="s">
        <v>5925</v>
      </c>
      <c r="Q3347" s="17"/>
      <c r="R3347" s="25" t="str">
        <f>HYPERLINK("https://ictv.global/taxonomy/taxondetails?taxnode_id=202312745","Anayavirus chris")</f>
        <v>Anayavirus chris</v>
      </c>
      <c r="S3347" s="18" t="s">
        <v>30</v>
      </c>
      <c r="T3347" s="18" t="s">
        <v>5944</v>
      </c>
      <c r="U3347" s="18"/>
      <c r="V3347" s="18"/>
      <c r="W3347" s="18" t="s">
        <v>5945</v>
      </c>
      <c r="X3347" s="18" t="s">
        <v>42</v>
      </c>
      <c r="Y3347" s="18" t="s">
        <v>36</v>
      </c>
      <c r="Z3347" s="18" t="s">
        <v>697</v>
      </c>
      <c r="AA3347" s="21" t="str">
        <f>HYPERLINK("https://www.ncbi.nlm.nih.gov/nuccore/MT310860","NCBI Nucleotide")</f>
        <v>NCBI Nucleotide</v>
      </c>
    </row>
    <row r="3348" spans="1:27" x14ac:dyDescent="0.35">
      <c r="A3348">
        <v>1004476</v>
      </c>
      <c r="B3348">
        <v>3324</v>
      </c>
      <c r="C3348">
        <v>1</v>
      </c>
      <c r="D3348" s="17" t="s">
        <v>155</v>
      </c>
      <c r="E3348" s="17"/>
      <c r="F3348" s="17" t="s">
        <v>156</v>
      </c>
      <c r="G3348" s="17"/>
      <c r="H3348" s="17" t="s">
        <v>692</v>
      </c>
      <c r="I3348" s="17"/>
      <c r="J3348" s="17" t="s">
        <v>693</v>
      </c>
      <c r="K3348" s="17"/>
      <c r="L3348" s="17"/>
      <c r="M3348" s="17"/>
      <c r="N3348" s="17"/>
      <c r="O3348" s="17" t="s">
        <v>5910</v>
      </c>
      <c r="P3348" s="17" t="s">
        <v>5925</v>
      </c>
      <c r="Q3348" s="17"/>
      <c r="R3348" s="25" t="str">
        <f>HYPERLINK("https://ictv.global/taxonomy/taxondetails?taxnode_id=202301345","Anayavirus crimD")</f>
        <v>Anayavirus crimD</v>
      </c>
      <c r="S3348" s="18" t="s">
        <v>30</v>
      </c>
      <c r="T3348" s="18" t="s">
        <v>5946</v>
      </c>
      <c r="U3348" s="18"/>
      <c r="V3348" s="18"/>
      <c r="W3348" s="18" t="s">
        <v>5947</v>
      </c>
      <c r="X3348" s="18" t="s">
        <v>42</v>
      </c>
      <c r="Y3348" s="18" t="s">
        <v>36</v>
      </c>
      <c r="Z3348" s="18" t="s">
        <v>697</v>
      </c>
      <c r="AA3348" s="21" t="str">
        <f>HYPERLINK("https://www.ncbi.nlm.nih.gov/nuccore/HM152767","NCBI Nucleotide")</f>
        <v>NCBI Nucleotide</v>
      </c>
    </row>
    <row r="3349" spans="1:27" x14ac:dyDescent="0.35">
      <c r="A3349">
        <v>1004477</v>
      </c>
      <c r="B3349">
        <v>3325</v>
      </c>
      <c r="C3349">
        <v>1</v>
      </c>
      <c r="D3349" s="17" t="s">
        <v>155</v>
      </c>
      <c r="E3349" s="17"/>
      <c r="F3349" s="17" t="s">
        <v>156</v>
      </c>
      <c r="G3349" s="17"/>
      <c r="H3349" s="17" t="s">
        <v>692</v>
      </c>
      <c r="I3349" s="17"/>
      <c r="J3349" s="17" t="s">
        <v>693</v>
      </c>
      <c r="K3349" s="17"/>
      <c r="L3349" s="17"/>
      <c r="M3349" s="17"/>
      <c r="N3349" s="17"/>
      <c r="O3349" s="17" t="s">
        <v>5910</v>
      </c>
      <c r="P3349" s="17" t="s">
        <v>5925</v>
      </c>
      <c r="Q3349" s="17"/>
      <c r="R3349" s="25" t="str">
        <f>HYPERLINK("https://ictv.global/taxonomy/taxondetails?taxnode_id=202312746","Anayavirus curiosium")</f>
        <v>Anayavirus curiosium</v>
      </c>
      <c r="S3349" s="18" t="s">
        <v>30</v>
      </c>
      <c r="T3349" s="18" t="s">
        <v>5948</v>
      </c>
      <c r="U3349" s="18"/>
      <c r="V3349" s="18"/>
      <c r="W3349" s="18" t="s">
        <v>5949</v>
      </c>
      <c r="X3349" s="18" t="s">
        <v>42</v>
      </c>
      <c r="Y3349" s="18" t="s">
        <v>36</v>
      </c>
      <c r="Z3349" s="18" t="s">
        <v>697</v>
      </c>
      <c r="AA3349" s="21" t="str">
        <f>HYPERLINK("https://www.ncbi.nlm.nih.gov/nuccore/MN234226","NCBI Nucleotide")</f>
        <v>NCBI Nucleotide</v>
      </c>
    </row>
    <row r="3350" spans="1:27" x14ac:dyDescent="0.35">
      <c r="A3350">
        <v>1004478</v>
      </c>
      <c r="B3350">
        <v>3326</v>
      </c>
      <c r="C3350">
        <v>1</v>
      </c>
      <c r="D3350" s="17" t="s">
        <v>155</v>
      </c>
      <c r="E3350" s="17"/>
      <c r="F3350" s="17" t="s">
        <v>156</v>
      </c>
      <c r="G3350" s="17"/>
      <c r="H3350" s="17" t="s">
        <v>692</v>
      </c>
      <c r="I3350" s="17"/>
      <c r="J3350" s="17" t="s">
        <v>693</v>
      </c>
      <c r="K3350" s="17"/>
      <c r="L3350" s="17"/>
      <c r="M3350" s="17"/>
      <c r="N3350" s="17"/>
      <c r="O3350" s="17" t="s">
        <v>5910</v>
      </c>
      <c r="P3350" s="17" t="s">
        <v>5925</v>
      </c>
      <c r="Q3350" s="17"/>
      <c r="R3350" s="25" t="str">
        <f>HYPERLINK("https://ictv.global/taxonomy/taxondetails?taxnode_id=202301347","Anayavirus JAWS")</f>
        <v>Anayavirus JAWS</v>
      </c>
      <c r="S3350" s="18" t="s">
        <v>30</v>
      </c>
      <c r="T3350" s="18" t="s">
        <v>5950</v>
      </c>
      <c r="U3350" s="18"/>
      <c r="V3350" s="18"/>
      <c r="W3350" s="18" t="s">
        <v>5951</v>
      </c>
      <c r="X3350" s="18" t="s">
        <v>42</v>
      </c>
      <c r="Y3350" s="18" t="s">
        <v>36</v>
      </c>
      <c r="Z3350" s="18" t="s">
        <v>697</v>
      </c>
      <c r="AA3350" s="21" t="str">
        <f>HYPERLINK("https://www.ncbi.nlm.nih.gov/nuccore/JN185608","NCBI Nucleotide")</f>
        <v>NCBI Nucleotide</v>
      </c>
    </row>
    <row r="3351" spans="1:27" x14ac:dyDescent="0.35">
      <c r="A3351">
        <v>1004479</v>
      </c>
      <c r="B3351">
        <v>3327</v>
      </c>
      <c r="C3351">
        <v>1</v>
      </c>
      <c r="D3351" s="17" t="s">
        <v>155</v>
      </c>
      <c r="E3351" s="17"/>
      <c r="F3351" s="17" t="s">
        <v>156</v>
      </c>
      <c r="G3351" s="17"/>
      <c r="H3351" s="17" t="s">
        <v>692</v>
      </c>
      <c r="I3351" s="17"/>
      <c r="J3351" s="17" t="s">
        <v>693</v>
      </c>
      <c r="K3351" s="17"/>
      <c r="L3351" s="17"/>
      <c r="M3351" s="17"/>
      <c r="N3351" s="17"/>
      <c r="O3351" s="17" t="s">
        <v>5910</v>
      </c>
      <c r="P3351" s="17" t="s">
        <v>5925</v>
      </c>
      <c r="Q3351" s="17"/>
      <c r="R3351" s="25" t="str">
        <f>HYPERLINK("https://ictv.global/taxonomy/taxondetails?taxnode_id=202312747","Anayavirus kisi")</f>
        <v>Anayavirus kisi</v>
      </c>
      <c r="S3351" s="18" t="s">
        <v>30</v>
      </c>
      <c r="T3351" s="18" t="s">
        <v>5952</v>
      </c>
      <c r="U3351" s="18"/>
      <c r="V3351" s="18"/>
      <c r="W3351" s="18" t="s">
        <v>5953</v>
      </c>
      <c r="X3351" s="18" t="s">
        <v>42</v>
      </c>
      <c r="Y3351" s="18" t="s">
        <v>36</v>
      </c>
      <c r="Z3351" s="18" t="s">
        <v>697</v>
      </c>
      <c r="AA3351" s="21" t="str">
        <f>HYPERLINK("https://www.ncbi.nlm.nih.gov/nuccore/MK376955","NCBI Nucleotide")</f>
        <v>NCBI Nucleotide</v>
      </c>
    </row>
    <row r="3352" spans="1:27" x14ac:dyDescent="0.35">
      <c r="A3352">
        <v>1004480</v>
      </c>
      <c r="B3352">
        <v>3328</v>
      </c>
      <c r="C3352">
        <v>1</v>
      </c>
      <c r="D3352" s="17" t="s">
        <v>155</v>
      </c>
      <c r="E3352" s="17"/>
      <c r="F3352" s="17" t="s">
        <v>156</v>
      </c>
      <c r="G3352" s="17"/>
      <c r="H3352" s="17" t="s">
        <v>692</v>
      </c>
      <c r="I3352" s="17"/>
      <c r="J3352" s="17" t="s">
        <v>693</v>
      </c>
      <c r="K3352" s="17"/>
      <c r="L3352" s="17"/>
      <c r="M3352" s="17"/>
      <c r="N3352" s="17"/>
      <c r="O3352" s="17" t="s">
        <v>5910</v>
      </c>
      <c r="P3352" s="17" t="s">
        <v>5925</v>
      </c>
      <c r="Q3352" s="17"/>
      <c r="R3352" s="25" t="str">
        <f>HYPERLINK("https://ictv.global/taxonomy/taxondetails?taxnode_id=202312748","Anayavirus lasthope")</f>
        <v>Anayavirus lasthope</v>
      </c>
      <c r="S3352" s="18" t="s">
        <v>30</v>
      </c>
      <c r="T3352" s="18" t="s">
        <v>5954</v>
      </c>
      <c r="U3352" s="18"/>
      <c r="V3352" s="18"/>
      <c r="W3352" s="18" t="s">
        <v>5955</v>
      </c>
      <c r="X3352" s="18" t="s">
        <v>42</v>
      </c>
      <c r="Y3352" s="18" t="s">
        <v>36</v>
      </c>
      <c r="Z3352" s="18" t="s">
        <v>697</v>
      </c>
      <c r="AA3352" s="21" t="str">
        <f>HYPERLINK("https://www.ncbi.nlm.nih.gov/nuccore/MF140416","NCBI Nucleotide")</f>
        <v>NCBI Nucleotide</v>
      </c>
    </row>
    <row r="3353" spans="1:27" x14ac:dyDescent="0.35">
      <c r="A3353">
        <v>1004481</v>
      </c>
      <c r="B3353">
        <v>3329</v>
      </c>
      <c r="C3353">
        <v>1</v>
      </c>
      <c r="D3353" s="17" t="s">
        <v>155</v>
      </c>
      <c r="E3353" s="17"/>
      <c r="F3353" s="17" t="s">
        <v>156</v>
      </c>
      <c r="G3353" s="17"/>
      <c r="H3353" s="17" t="s">
        <v>692</v>
      </c>
      <c r="I3353" s="17"/>
      <c r="J3353" s="17" t="s">
        <v>693</v>
      </c>
      <c r="K3353" s="17"/>
      <c r="L3353" s="17"/>
      <c r="M3353" s="17"/>
      <c r="N3353" s="17"/>
      <c r="O3353" s="17" t="s">
        <v>5910</v>
      </c>
      <c r="P3353" s="17" t="s">
        <v>5925</v>
      </c>
      <c r="Q3353" s="17"/>
      <c r="R3353" s="25" t="str">
        <f>HYPERLINK("https://ictv.global/taxonomy/taxondetails?taxnode_id=202312749","Anayavirus laterM")</f>
        <v>Anayavirus laterM</v>
      </c>
      <c r="S3353" s="18" t="s">
        <v>30</v>
      </c>
      <c r="T3353" s="18" t="s">
        <v>5956</v>
      </c>
      <c r="U3353" s="18"/>
      <c r="V3353" s="18"/>
      <c r="W3353" s="18" t="s">
        <v>5957</v>
      </c>
      <c r="X3353" s="18" t="s">
        <v>42</v>
      </c>
      <c r="Y3353" s="18" t="s">
        <v>36</v>
      </c>
      <c r="Z3353" s="18" t="s">
        <v>697</v>
      </c>
      <c r="AA3353" s="21" t="str">
        <f>HYPERLINK("https://www.ncbi.nlm.nih.gov/nuccore/MG962371","NCBI Nucleotide")</f>
        <v>NCBI Nucleotide</v>
      </c>
    </row>
    <row r="3354" spans="1:27" x14ac:dyDescent="0.35">
      <c r="A3354">
        <v>1004482</v>
      </c>
      <c r="B3354">
        <v>3330</v>
      </c>
      <c r="C3354">
        <v>1</v>
      </c>
      <c r="D3354" s="17" t="s">
        <v>155</v>
      </c>
      <c r="E3354" s="17"/>
      <c r="F3354" s="17" t="s">
        <v>156</v>
      </c>
      <c r="G3354" s="17"/>
      <c r="H3354" s="17" t="s">
        <v>692</v>
      </c>
      <c r="I3354" s="17"/>
      <c r="J3354" s="17" t="s">
        <v>693</v>
      </c>
      <c r="K3354" s="17"/>
      <c r="L3354" s="17"/>
      <c r="M3354" s="17"/>
      <c r="N3354" s="17"/>
      <c r="O3354" s="17" t="s">
        <v>5910</v>
      </c>
      <c r="P3354" s="17" t="s">
        <v>5925</v>
      </c>
      <c r="Q3354" s="17"/>
      <c r="R3354" s="25" t="str">
        <f>HYPERLINK("https://ictv.global/taxonomy/taxondetails?taxnode_id=202312750","Anayavirus markphew")</f>
        <v>Anayavirus markphew</v>
      </c>
      <c r="S3354" s="18" t="s">
        <v>30</v>
      </c>
      <c r="T3354" s="18" t="s">
        <v>5958</v>
      </c>
      <c r="U3354" s="18"/>
      <c r="V3354" s="18"/>
      <c r="W3354" s="18" t="s">
        <v>5959</v>
      </c>
      <c r="X3354" s="18" t="s">
        <v>42</v>
      </c>
      <c r="Y3354" s="18" t="s">
        <v>36</v>
      </c>
      <c r="Z3354" s="18" t="s">
        <v>697</v>
      </c>
      <c r="AA3354" s="21" t="str">
        <f>HYPERLINK("https://www.ncbi.nlm.nih.gov/nuccore/MT310859","NCBI Nucleotide")</f>
        <v>NCBI Nucleotide</v>
      </c>
    </row>
    <row r="3355" spans="1:27" x14ac:dyDescent="0.35">
      <c r="A3355">
        <v>1004483</v>
      </c>
      <c r="B3355">
        <v>3331</v>
      </c>
      <c r="C3355">
        <v>1</v>
      </c>
      <c r="D3355" s="17" t="s">
        <v>155</v>
      </c>
      <c r="E3355" s="17"/>
      <c r="F3355" s="17" t="s">
        <v>156</v>
      </c>
      <c r="G3355" s="17"/>
      <c r="H3355" s="17" t="s">
        <v>692</v>
      </c>
      <c r="I3355" s="17"/>
      <c r="J3355" s="17" t="s">
        <v>693</v>
      </c>
      <c r="K3355" s="17"/>
      <c r="L3355" s="17"/>
      <c r="M3355" s="17"/>
      <c r="N3355" s="17"/>
      <c r="O3355" s="17" t="s">
        <v>5910</v>
      </c>
      <c r="P3355" s="17" t="s">
        <v>5925</v>
      </c>
      <c r="Q3355" s="17"/>
      <c r="R3355" s="25" t="str">
        <f>HYPERLINK("https://ictv.global/taxonomy/taxondetails?taxnode_id=202312751","Anayavirus marshawn")</f>
        <v>Anayavirus marshawn</v>
      </c>
      <c r="S3355" s="18" t="s">
        <v>30</v>
      </c>
      <c r="T3355" s="18" t="s">
        <v>5960</v>
      </c>
      <c r="U3355" s="18"/>
      <c r="V3355" s="18"/>
      <c r="W3355" s="18" t="s">
        <v>5961</v>
      </c>
      <c r="X3355" s="18" t="s">
        <v>42</v>
      </c>
      <c r="Y3355" s="18" t="s">
        <v>36</v>
      </c>
      <c r="Z3355" s="18" t="s">
        <v>697</v>
      </c>
      <c r="AA3355" s="21" t="str">
        <f>HYPERLINK("https://www.ncbi.nlm.nih.gov/nuccore/MN284895","NCBI Nucleotide")</f>
        <v>NCBI Nucleotide</v>
      </c>
    </row>
    <row r="3356" spans="1:27" x14ac:dyDescent="0.35">
      <c r="A3356">
        <v>1004484</v>
      </c>
      <c r="B3356">
        <v>3332</v>
      </c>
      <c r="C3356">
        <v>1</v>
      </c>
      <c r="D3356" s="17" t="s">
        <v>155</v>
      </c>
      <c r="E3356" s="17"/>
      <c r="F3356" s="17" t="s">
        <v>156</v>
      </c>
      <c r="G3356" s="17"/>
      <c r="H3356" s="17" t="s">
        <v>692</v>
      </c>
      <c r="I3356" s="17"/>
      <c r="J3356" s="17" t="s">
        <v>693</v>
      </c>
      <c r="K3356" s="17"/>
      <c r="L3356" s="17"/>
      <c r="M3356" s="17"/>
      <c r="N3356" s="17"/>
      <c r="O3356" s="17" t="s">
        <v>5910</v>
      </c>
      <c r="P3356" s="17" t="s">
        <v>5925</v>
      </c>
      <c r="Q3356" s="17"/>
      <c r="R3356" s="25" t="str">
        <f>HYPERLINK("https://ictv.global/taxonomy/taxondetails?taxnode_id=202312752","Anayavirus murucutumbu")</f>
        <v>Anayavirus murucutumbu</v>
      </c>
      <c r="S3356" s="18" t="s">
        <v>30</v>
      </c>
      <c r="T3356" s="18" t="s">
        <v>5962</v>
      </c>
      <c r="U3356" s="18"/>
      <c r="V3356" s="18"/>
      <c r="W3356" s="18" t="s">
        <v>5963</v>
      </c>
      <c r="X3356" s="18" t="s">
        <v>42</v>
      </c>
      <c r="Y3356" s="18" t="s">
        <v>36</v>
      </c>
      <c r="Z3356" s="18" t="s">
        <v>697</v>
      </c>
      <c r="AA3356" s="21" t="str">
        <f>HYPERLINK("https://www.ncbi.nlm.nih.gov/nuccore/KM677211","NCBI Nucleotide")</f>
        <v>NCBI Nucleotide</v>
      </c>
    </row>
    <row r="3357" spans="1:27" x14ac:dyDescent="0.35">
      <c r="A3357">
        <v>1004485</v>
      </c>
      <c r="B3357">
        <v>3333</v>
      </c>
      <c r="C3357">
        <v>1</v>
      </c>
      <c r="D3357" s="17" t="s">
        <v>155</v>
      </c>
      <c r="E3357" s="17"/>
      <c r="F3357" s="17" t="s">
        <v>156</v>
      </c>
      <c r="G3357" s="17"/>
      <c r="H3357" s="17" t="s">
        <v>692</v>
      </c>
      <c r="I3357" s="17"/>
      <c r="J3357" s="17" t="s">
        <v>693</v>
      </c>
      <c r="K3357" s="17"/>
      <c r="L3357" s="17"/>
      <c r="M3357" s="17"/>
      <c r="N3357" s="17"/>
      <c r="O3357" s="17" t="s">
        <v>5910</v>
      </c>
      <c r="P3357" s="17" t="s">
        <v>5925</v>
      </c>
      <c r="Q3357" s="17"/>
      <c r="R3357" s="25" t="str">
        <f>HYPERLINK("https://ictv.global/taxonomy/taxondetails?taxnode_id=202312753","Anayavirus nibb")</f>
        <v>Anayavirus nibb</v>
      </c>
      <c r="S3357" s="18" t="s">
        <v>30</v>
      </c>
      <c r="T3357" s="18" t="s">
        <v>5964</v>
      </c>
      <c r="U3357" s="18"/>
      <c r="V3357" s="18"/>
      <c r="W3357" s="18" t="s">
        <v>5965</v>
      </c>
      <c r="X3357" s="18" t="s">
        <v>42</v>
      </c>
      <c r="Y3357" s="18" t="s">
        <v>36</v>
      </c>
      <c r="Z3357" s="18" t="s">
        <v>697</v>
      </c>
      <c r="AA3357" s="21" t="str">
        <f>HYPERLINK("https://www.ncbi.nlm.nih.gov/nuccore/MK460246","NCBI Nucleotide")</f>
        <v>NCBI Nucleotide</v>
      </c>
    </row>
    <row r="3358" spans="1:27" x14ac:dyDescent="0.35">
      <c r="A3358">
        <v>1004486</v>
      </c>
      <c r="B3358">
        <v>3334</v>
      </c>
      <c r="C3358">
        <v>1</v>
      </c>
      <c r="D3358" s="17" t="s">
        <v>155</v>
      </c>
      <c r="E3358" s="17"/>
      <c r="F3358" s="17" t="s">
        <v>156</v>
      </c>
      <c r="G3358" s="17"/>
      <c r="H3358" s="17" t="s">
        <v>692</v>
      </c>
      <c r="I3358" s="17"/>
      <c r="J3358" s="17" t="s">
        <v>693</v>
      </c>
      <c r="K3358" s="17"/>
      <c r="L3358" s="17"/>
      <c r="M3358" s="17"/>
      <c r="N3358" s="17"/>
      <c r="O3358" s="17" t="s">
        <v>5910</v>
      </c>
      <c r="P3358" s="17" t="s">
        <v>5925</v>
      </c>
      <c r="Q3358" s="17"/>
      <c r="R3358" s="25" t="str">
        <f>HYPERLINK("https://ictv.global/taxonomy/taxondetails?taxnode_id=202312754","Anayavirus niklas")</f>
        <v>Anayavirus niklas</v>
      </c>
      <c r="S3358" s="18" t="s">
        <v>30</v>
      </c>
      <c r="T3358" s="18" t="s">
        <v>5966</v>
      </c>
      <c r="U3358" s="18"/>
      <c r="V3358" s="18"/>
      <c r="W3358" s="18" t="s">
        <v>5967</v>
      </c>
      <c r="X3358" s="18" t="s">
        <v>42</v>
      </c>
      <c r="Y3358" s="18" t="s">
        <v>36</v>
      </c>
      <c r="Z3358" s="18" t="s">
        <v>697</v>
      </c>
      <c r="AA3358" s="21" t="str">
        <f>HYPERLINK("https://www.ncbi.nlm.nih.gov/nuccore/MK494119","NCBI Nucleotide")</f>
        <v>NCBI Nucleotide</v>
      </c>
    </row>
    <row r="3359" spans="1:27" x14ac:dyDescent="0.35">
      <c r="A3359">
        <v>1004487</v>
      </c>
      <c r="B3359">
        <v>3335</v>
      </c>
      <c r="C3359">
        <v>1</v>
      </c>
      <c r="D3359" s="17" t="s">
        <v>155</v>
      </c>
      <c r="E3359" s="17"/>
      <c r="F3359" s="17" t="s">
        <v>156</v>
      </c>
      <c r="G3359" s="17"/>
      <c r="H3359" s="17" t="s">
        <v>692</v>
      </c>
      <c r="I3359" s="17"/>
      <c r="J3359" s="17" t="s">
        <v>693</v>
      </c>
      <c r="K3359" s="17"/>
      <c r="L3359" s="17"/>
      <c r="M3359" s="17"/>
      <c r="N3359" s="17"/>
      <c r="O3359" s="17" t="s">
        <v>5910</v>
      </c>
      <c r="P3359" s="17" t="s">
        <v>5925</v>
      </c>
      <c r="Q3359" s="17"/>
      <c r="R3359" s="25" t="str">
        <f>HYPERLINK("https://ictv.global/taxonomy/taxondetails?taxnode_id=202312755","Anayavirus prithvi")</f>
        <v>Anayavirus prithvi</v>
      </c>
      <c r="S3359" s="18" t="s">
        <v>30</v>
      </c>
      <c r="T3359" s="18" t="s">
        <v>5968</v>
      </c>
      <c r="U3359" s="18"/>
      <c r="V3359" s="18"/>
      <c r="W3359" s="18" t="s">
        <v>5969</v>
      </c>
      <c r="X3359" s="18" t="s">
        <v>42</v>
      </c>
      <c r="Y3359" s="18" t="s">
        <v>36</v>
      </c>
      <c r="Z3359" s="18" t="s">
        <v>697</v>
      </c>
      <c r="AA3359" s="21" t="str">
        <f>HYPERLINK("https://www.ncbi.nlm.nih.gov/nuccore/MK016503","NCBI Nucleotide")</f>
        <v>NCBI Nucleotide</v>
      </c>
    </row>
    <row r="3360" spans="1:27" x14ac:dyDescent="0.35">
      <c r="A3360">
        <v>1004488</v>
      </c>
      <c r="B3360">
        <v>3336</v>
      </c>
      <c r="C3360">
        <v>1</v>
      </c>
      <c r="D3360" s="17" t="s">
        <v>155</v>
      </c>
      <c r="E3360" s="17"/>
      <c r="F3360" s="17" t="s">
        <v>156</v>
      </c>
      <c r="G3360" s="17"/>
      <c r="H3360" s="17" t="s">
        <v>692</v>
      </c>
      <c r="I3360" s="17"/>
      <c r="J3360" s="17" t="s">
        <v>693</v>
      </c>
      <c r="K3360" s="17"/>
      <c r="L3360" s="17"/>
      <c r="M3360" s="17"/>
      <c r="N3360" s="17"/>
      <c r="O3360" s="17" t="s">
        <v>5910</v>
      </c>
      <c r="P3360" s="17" t="s">
        <v>5925</v>
      </c>
      <c r="Q3360" s="17"/>
      <c r="R3360" s="25" t="str">
        <f>HYPERLINK("https://ictv.global/taxonomy/taxondetails?taxnode_id=202312756","Anayavirus sirphilip")</f>
        <v>Anayavirus sirphilip</v>
      </c>
      <c r="S3360" s="18" t="s">
        <v>30</v>
      </c>
      <c r="T3360" s="18" t="s">
        <v>5970</v>
      </c>
      <c r="U3360" s="18"/>
      <c r="V3360" s="18"/>
      <c r="W3360" s="18" t="s">
        <v>5971</v>
      </c>
      <c r="X3360" s="18" t="s">
        <v>42</v>
      </c>
      <c r="Y3360" s="18" t="s">
        <v>36</v>
      </c>
      <c r="Z3360" s="18" t="s">
        <v>697</v>
      </c>
      <c r="AA3360" s="21" t="str">
        <f>HYPERLINK("https://www.ncbi.nlm.nih.gov/nuccore/MF324911","NCBI Nucleotide")</f>
        <v>NCBI Nucleotide</v>
      </c>
    </row>
    <row r="3361" spans="1:27" x14ac:dyDescent="0.35">
      <c r="A3361">
        <v>1004489</v>
      </c>
      <c r="B3361">
        <v>3337</v>
      </c>
      <c r="C3361">
        <v>1</v>
      </c>
      <c r="D3361" s="17" t="s">
        <v>155</v>
      </c>
      <c r="E3361" s="17"/>
      <c r="F3361" s="17" t="s">
        <v>156</v>
      </c>
      <c r="G3361" s="17"/>
      <c r="H3361" s="17" t="s">
        <v>692</v>
      </c>
      <c r="I3361" s="17"/>
      <c r="J3361" s="17" t="s">
        <v>693</v>
      </c>
      <c r="K3361" s="17"/>
      <c r="L3361" s="17"/>
      <c r="M3361" s="17"/>
      <c r="N3361" s="17"/>
      <c r="O3361" s="17" t="s">
        <v>5910</v>
      </c>
      <c r="P3361" s="17" t="s">
        <v>5925</v>
      </c>
      <c r="Q3361" s="17"/>
      <c r="R3361" s="25" t="str">
        <f>HYPERLINK("https://ictv.global/taxonomy/taxondetails?taxnode_id=202312757","Anayavirus urkel")</f>
        <v>Anayavirus urkel</v>
      </c>
      <c r="S3361" s="18" t="s">
        <v>30</v>
      </c>
      <c r="T3361" s="18" t="s">
        <v>5972</v>
      </c>
      <c r="U3361" s="18"/>
      <c r="V3361" s="18"/>
      <c r="W3361" s="18" t="s">
        <v>5973</v>
      </c>
      <c r="X3361" s="18" t="s">
        <v>42</v>
      </c>
      <c r="Y3361" s="18" t="s">
        <v>36</v>
      </c>
      <c r="Z3361" s="18" t="s">
        <v>697</v>
      </c>
      <c r="AA3361" s="21" t="str">
        <f>HYPERLINK("https://www.ncbi.nlm.nih.gov/nuccore/KX657796","NCBI Nucleotide")</f>
        <v>NCBI Nucleotide</v>
      </c>
    </row>
    <row r="3362" spans="1:27" x14ac:dyDescent="0.35">
      <c r="A3362">
        <v>1004490</v>
      </c>
      <c r="B3362">
        <v>3338</v>
      </c>
      <c r="C3362">
        <v>1</v>
      </c>
      <c r="D3362" s="17" t="s">
        <v>155</v>
      </c>
      <c r="E3362" s="17"/>
      <c r="F3362" s="17" t="s">
        <v>156</v>
      </c>
      <c r="G3362" s="17"/>
      <c r="H3362" s="17" t="s">
        <v>692</v>
      </c>
      <c r="I3362" s="17"/>
      <c r="J3362" s="17" t="s">
        <v>693</v>
      </c>
      <c r="K3362" s="17"/>
      <c r="L3362" s="17"/>
      <c r="M3362" s="17"/>
      <c r="N3362" s="17"/>
      <c r="O3362" s="17" t="s">
        <v>5910</v>
      </c>
      <c r="P3362" s="17" t="s">
        <v>5925</v>
      </c>
      <c r="Q3362" s="17"/>
      <c r="R3362" s="25" t="str">
        <f>HYPERLINK("https://ictv.global/taxonomy/taxondetails?taxnode_id=202312758","Anayavirus validus")</f>
        <v>Anayavirus validus</v>
      </c>
      <c r="S3362" s="18" t="s">
        <v>30</v>
      </c>
      <c r="T3362" s="18" t="s">
        <v>5974</v>
      </c>
      <c r="U3362" s="18"/>
      <c r="V3362" s="18"/>
      <c r="W3362" s="18" t="s">
        <v>5975</v>
      </c>
      <c r="X3362" s="18" t="s">
        <v>42</v>
      </c>
      <c r="Y3362" s="18" t="s">
        <v>36</v>
      </c>
      <c r="Z3362" s="18" t="s">
        <v>697</v>
      </c>
      <c r="AA3362" s="21" t="str">
        <f>HYPERLINK("https://www.ncbi.nlm.nih.gov/nuccore/KF713486","NCBI Nucleotide")</f>
        <v>NCBI Nucleotide</v>
      </c>
    </row>
    <row r="3363" spans="1:27" x14ac:dyDescent="0.35">
      <c r="A3363">
        <v>1004491</v>
      </c>
      <c r="B3363">
        <v>3339</v>
      </c>
      <c r="C3363">
        <v>1</v>
      </c>
      <c r="D3363" s="17" t="s">
        <v>155</v>
      </c>
      <c r="E3363" s="17"/>
      <c r="F3363" s="17" t="s">
        <v>156</v>
      </c>
      <c r="G3363" s="17"/>
      <c r="H3363" s="17" t="s">
        <v>692</v>
      </c>
      <c r="I3363" s="17"/>
      <c r="J3363" s="17" t="s">
        <v>693</v>
      </c>
      <c r="K3363" s="17"/>
      <c r="L3363" s="17"/>
      <c r="M3363" s="17"/>
      <c r="N3363" s="17"/>
      <c r="O3363" s="17" t="s">
        <v>5910</v>
      </c>
      <c r="P3363" s="17" t="s">
        <v>5925</v>
      </c>
      <c r="Q3363" s="17"/>
      <c r="R3363" s="25" t="str">
        <f>HYPERLINK("https://ictv.global/taxonomy/taxondetails?taxnode_id=202312759","Anayavirus yuna")</f>
        <v>Anayavirus yuna</v>
      </c>
      <c r="S3363" s="18" t="s">
        <v>30</v>
      </c>
      <c r="T3363" s="18" t="s">
        <v>5976</v>
      </c>
      <c r="U3363" s="18"/>
      <c r="V3363" s="18"/>
      <c r="W3363" s="18" t="s">
        <v>5977</v>
      </c>
      <c r="X3363" s="18" t="s">
        <v>42</v>
      </c>
      <c r="Y3363" s="18" t="s">
        <v>36</v>
      </c>
      <c r="Z3363" s="18" t="s">
        <v>697</v>
      </c>
      <c r="AA3363" s="21" t="str">
        <f>HYPERLINK("https://www.ncbi.nlm.nih.gov/nuccore/MN234176","NCBI Nucleotide")</f>
        <v>NCBI Nucleotide</v>
      </c>
    </row>
    <row r="3364" spans="1:27" x14ac:dyDescent="0.35">
      <c r="A3364">
        <v>1004492</v>
      </c>
      <c r="B3364">
        <v>3340</v>
      </c>
      <c r="C3364">
        <v>1</v>
      </c>
      <c r="D3364" s="17" t="s">
        <v>155</v>
      </c>
      <c r="E3364" s="17"/>
      <c r="F3364" s="17" t="s">
        <v>156</v>
      </c>
      <c r="G3364" s="17"/>
      <c r="H3364" s="17" t="s">
        <v>692</v>
      </c>
      <c r="I3364" s="17"/>
      <c r="J3364" s="17" t="s">
        <v>693</v>
      </c>
      <c r="K3364" s="17"/>
      <c r="L3364" s="17"/>
      <c r="M3364" s="17"/>
      <c r="N3364" s="17"/>
      <c r="O3364" s="17" t="s">
        <v>5910</v>
      </c>
      <c r="P3364" s="17" t="s">
        <v>5925</v>
      </c>
      <c r="Q3364" s="17"/>
      <c r="R3364" s="25" t="str">
        <f>HYPERLINK("https://ictv.global/taxonomy/taxondetails?taxnode_id=202312760","Anayavirus yunkel11")</f>
        <v>Anayavirus yunkel11</v>
      </c>
      <c r="S3364" s="18" t="s">
        <v>30</v>
      </c>
      <c r="T3364" s="18" t="s">
        <v>5978</v>
      </c>
      <c r="U3364" s="18"/>
      <c r="V3364" s="18"/>
      <c r="W3364" s="18" t="s">
        <v>5979</v>
      </c>
      <c r="X3364" s="18" t="s">
        <v>42</v>
      </c>
      <c r="Y3364" s="18" t="s">
        <v>36</v>
      </c>
      <c r="Z3364" s="18" t="s">
        <v>697</v>
      </c>
      <c r="AA3364" s="21" t="str">
        <f>HYPERLINK("https://www.ncbi.nlm.nih.gov/nuccore/MN234165","NCBI Nucleotide")</f>
        <v>NCBI Nucleotide</v>
      </c>
    </row>
    <row r="3365" spans="1:27" x14ac:dyDescent="0.35">
      <c r="A3365">
        <v>1004493</v>
      </c>
      <c r="B3365">
        <v>3341</v>
      </c>
      <c r="C3365">
        <v>1</v>
      </c>
      <c r="D3365" s="17" t="s">
        <v>155</v>
      </c>
      <c r="E3365" s="17"/>
      <c r="F3365" s="17" t="s">
        <v>156</v>
      </c>
      <c r="G3365" s="17"/>
      <c r="H3365" s="17" t="s">
        <v>692</v>
      </c>
      <c r="I3365" s="17"/>
      <c r="J3365" s="17" t="s">
        <v>693</v>
      </c>
      <c r="K3365" s="17"/>
      <c r="L3365" s="17"/>
      <c r="M3365" s="17"/>
      <c r="N3365" s="17"/>
      <c r="O3365" s="17" t="s">
        <v>5910</v>
      </c>
      <c r="P3365" s="17" t="s">
        <v>5925</v>
      </c>
      <c r="Q3365" s="17"/>
      <c r="R3365" s="25" t="str">
        <f>HYPERLINK("https://ictv.global/taxonomy/taxondetails?taxnode_id=202312761","Anayavirus zavala")</f>
        <v>Anayavirus zavala</v>
      </c>
      <c r="S3365" s="18" t="s">
        <v>30</v>
      </c>
      <c r="T3365" s="18" t="s">
        <v>5980</v>
      </c>
      <c r="U3365" s="18"/>
      <c r="V3365" s="18"/>
      <c r="W3365" s="18" t="s">
        <v>5981</v>
      </c>
      <c r="X3365" s="18" t="s">
        <v>42</v>
      </c>
      <c r="Y3365" s="18" t="s">
        <v>36</v>
      </c>
      <c r="Z3365" s="18" t="s">
        <v>697</v>
      </c>
      <c r="AA3365" s="21" t="str">
        <f>HYPERLINK("https://www.ncbi.nlm.nih.gov/nuccore/MN234198","NCBI Nucleotide")</f>
        <v>NCBI Nucleotide</v>
      </c>
    </row>
    <row r="3366" spans="1:27" x14ac:dyDescent="0.35">
      <c r="A3366">
        <v>1004494</v>
      </c>
      <c r="B3366">
        <v>3342</v>
      </c>
      <c r="C3366">
        <v>1</v>
      </c>
      <c r="D3366" s="17" t="s">
        <v>155</v>
      </c>
      <c r="E3366" s="17"/>
      <c r="F3366" s="17" t="s">
        <v>156</v>
      </c>
      <c r="G3366" s="17"/>
      <c r="H3366" s="17" t="s">
        <v>692</v>
      </c>
      <c r="I3366" s="17"/>
      <c r="J3366" s="17" t="s">
        <v>693</v>
      </c>
      <c r="K3366" s="17"/>
      <c r="L3366" s="17"/>
      <c r="M3366" s="17"/>
      <c r="N3366" s="17"/>
      <c r="O3366" s="17" t="s">
        <v>5910</v>
      </c>
      <c r="P3366" s="17" t="s">
        <v>5982</v>
      </c>
      <c r="Q3366" s="17"/>
      <c r="R3366" s="25" t="str">
        <f>HYPERLINK("https://ictv.global/taxonomy/taxondetails?taxnode_id=202312706","Fionnbharthvirus eponine")</f>
        <v>Fionnbharthvirus eponine</v>
      </c>
      <c r="S3366" s="18" t="s">
        <v>30</v>
      </c>
      <c r="T3366" s="18" t="s">
        <v>5983</v>
      </c>
      <c r="U3366" s="18"/>
      <c r="V3366" s="18"/>
      <c r="W3366" s="18" t="s">
        <v>5984</v>
      </c>
      <c r="X3366" s="18" t="s">
        <v>42</v>
      </c>
      <c r="Y3366" s="18" t="s">
        <v>36</v>
      </c>
      <c r="Z3366" s="18" t="s">
        <v>697</v>
      </c>
      <c r="AA3366" s="21" t="str">
        <f>HYPERLINK("https://www.ncbi.nlm.nih.gov/nuccore/MN945904","NCBI Nucleotide")</f>
        <v>NCBI Nucleotide</v>
      </c>
    </row>
    <row r="3367" spans="1:27" x14ac:dyDescent="0.35">
      <c r="A3367">
        <v>1004495</v>
      </c>
      <c r="B3367">
        <v>3343</v>
      </c>
      <c r="C3367">
        <v>1</v>
      </c>
      <c r="D3367" s="17" t="s">
        <v>155</v>
      </c>
      <c r="E3367" s="17"/>
      <c r="F3367" s="17" t="s">
        <v>156</v>
      </c>
      <c r="G3367" s="17"/>
      <c r="H3367" s="17" t="s">
        <v>692</v>
      </c>
      <c r="I3367" s="17"/>
      <c r="J3367" s="17" t="s">
        <v>693</v>
      </c>
      <c r="K3367" s="17"/>
      <c r="L3367" s="17"/>
      <c r="M3367" s="17"/>
      <c r="N3367" s="17"/>
      <c r="O3367" s="17" t="s">
        <v>5910</v>
      </c>
      <c r="P3367" s="17" t="s">
        <v>5982</v>
      </c>
      <c r="Q3367" s="17"/>
      <c r="R3367" s="25" t="str">
        <f>HYPERLINK("https://ictv.global/taxonomy/taxondetails?taxnode_id=202312704","Fionnbharthvirus fionnbharth")</f>
        <v>Fionnbharthvirus fionnbharth</v>
      </c>
      <c r="S3367" s="18" t="s">
        <v>30</v>
      </c>
      <c r="T3367" s="18" t="s">
        <v>5985</v>
      </c>
      <c r="U3367" s="18"/>
      <c r="V3367" s="18"/>
      <c r="W3367" s="18" t="s">
        <v>5986</v>
      </c>
      <c r="X3367" s="18" t="s">
        <v>42</v>
      </c>
      <c r="Y3367" s="18" t="s">
        <v>36</v>
      </c>
      <c r="Z3367" s="18" t="s">
        <v>697</v>
      </c>
      <c r="AA3367" s="21" t="str">
        <f>HYPERLINK("https://www.ncbi.nlm.nih.gov/nuccore/JN831653","NCBI Nucleotide")</f>
        <v>NCBI Nucleotide</v>
      </c>
    </row>
    <row r="3368" spans="1:27" x14ac:dyDescent="0.35">
      <c r="A3368">
        <v>1004496</v>
      </c>
      <c r="B3368">
        <v>3344</v>
      </c>
      <c r="C3368">
        <v>1</v>
      </c>
      <c r="D3368" s="17" t="s">
        <v>155</v>
      </c>
      <c r="E3368" s="17"/>
      <c r="F3368" s="17" t="s">
        <v>156</v>
      </c>
      <c r="G3368" s="17"/>
      <c r="H3368" s="17" t="s">
        <v>692</v>
      </c>
      <c r="I3368" s="17"/>
      <c r="J3368" s="17" t="s">
        <v>693</v>
      </c>
      <c r="K3368" s="17"/>
      <c r="L3368" s="17"/>
      <c r="M3368" s="17"/>
      <c r="N3368" s="17"/>
      <c r="O3368" s="17" t="s">
        <v>5910</v>
      </c>
      <c r="P3368" s="17" t="s">
        <v>5982</v>
      </c>
      <c r="Q3368" s="17"/>
      <c r="R3368" s="25" t="str">
        <f>HYPERLINK("https://ictv.global/taxonomy/taxondetails?taxnode_id=202312705","Fionnbharthvirus henu3")</f>
        <v>Fionnbharthvirus henu3</v>
      </c>
      <c r="S3368" s="18" t="s">
        <v>30</v>
      </c>
      <c r="T3368" s="18" t="s">
        <v>5987</v>
      </c>
      <c r="U3368" s="18"/>
      <c r="V3368" s="18"/>
      <c r="W3368" s="18" t="s">
        <v>5988</v>
      </c>
      <c r="X3368" s="18" t="s">
        <v>42</v>
      </c>
      <c r="Y3368" s="18" t="s">
        <v>36</v>
      </c>
      <c r="Z3368" s="18" t="s">
        <v>697</v>
      </c>
      <c r="AA3368" s="21" t="str">
        <f>HYPERLINK("https://www.ncbi.nlm.nih.gov/nuccore/MK224497","NCBI Nucleotide")</f>
        <v>NCBI Nucleotide</v>
      </c>
    </row>
    <row r="3369" spans="1:27" x14ac:dyDescent="0.35">
      <c r="A3369">
        <v>1004497</v>
      </c>
      <c r="B3369">
        <v>3345</v>
      </c>
      <c r="C3369">
        <v>1</v>
      </c>
      <c r="D3369" s="17" t="s">
        <v>155</v>
      </c>
      <c r="E3369" s="17"/>
      <c r="F3369" s="17" t="s">
        <v>156</v>
      </c>
      <c r="G3369" s="17"/>
      <c r="H3369" s="17" t="s">
        <v>692</v>
      </c>
      <c r="I3369" s="17"/>
      <c r="J3369" s="17" t="s">
        <v>693</v>
      </c>
      <c r="K3369" s="17"/>
      <c r="L3369" s="17"/>
      <c r="M3369" s="17"/>
      <c r="N3369" s="17"/>
      <c r="O3369" s="17" t="s">
        <v>5910</v>
      </c>
      <c r="P3369" s="17" t="s">
        <v>5982</v>
      </c>
      <c r="Q3369" s="17"/>
      <c r="R3369" s="25" t="str">
        <f>HYPERLINK("https://ictv.global/taxonomy/taxondetails?taxnode_id=202312708","Fionnbharthvirus patt")</f>
        <v>Fionnbharthvirus patt</v>
      </c>
      <c r="S3369" s="18" t="s">
        <v>30</v>
      </c>
      <c r="T3369" s="18" t="s">
        <v>5989</v>
      </c>
      <c r="U3369" s="18"/>
      <c r="V3369" s="18"/>
      <c r="W3369" s="18" t="s">
        <v>5990</v>
      </c>
      <c r="X3369" s="18" t="s">
        <v>42</v>
      </c>
      <c r="Y3369" s="18" t="s">
        <v>36</v>
      </c>
      <c r="Z3369" s="18" t="s">
        <v>697</v>
      </c>
      <c r="AA3369" s="21" t="str">
        <f>HYPERLINK("https://www.ncbi.nlm.nih.gov/nuccore/MK524488","NCBI Nucleotide")</f>
        <v>NCBI Nucleotide</v>
      </c>
    </row>
    <row r="3370" spans="1:27" x14ac:dyDescent="0.35">
      <c r="A3370">
        <v>1004498</v>
      </c>
      <c r="B3370">
        <v>3346</v>
      </c>
      <c r="C3370">
        <v>1</v>
      </c>
      <c r="D3370" s="17" t="s">
        <v>155</v>
      </c>
      <c r="E3370" s="17"/>
      <c r="F3370" s="17" t="s">
        <v>156</v>
      </c>
      <c r="G3370" s="17"/>
      <c r="H3370" s="17" t="s">
        <v>692</v>
      </c>
      <c r="I3370" s="17"/>
      <c r="J3370" s="17" t="s">
        <v>693</v>
      </c>
      <c r="K3370" s="17"/>
      <c r="L3370" s="17"/>
      <c r="M3370" s="17"/>
      <c r="N3370" s="17"/>
      <c r="O3370" s="17" t="s">
        <v>5910</v>
      </c>
      <c r="P3370" s="17" t="s">
        <v>5982</v>
      </c>
      <c r="Q3370" s="17"/>
      <c r="R3370" s="25" t="str">
        <f>HYPERLINK("https://ictv.global/taxonomy/taxondetails?taxnode_id=202312707","Fionnbharthvirus taquito")</f>
        <v>Fionnbharthvirus taquito</v>
      </c>
      <c r="S3370" s="18" t="s">
        <v>30</v>
      </c>
      <c r="T3370" s="18" t="s">
        <v>5991</v>
      </c>
      <c r="U3370" s="18"/>
      <c r="V3370" s="18"/>
      <c r="W3370" s="18" t="s">
        <v>5992</v>
      </c>
      <c r="X3370" s="18" t="s">
        <v>42</v>
      </c>
      <c r="Y3370" s="18" t="s">
        <v>36</v>
      </c>
      <c r="Z3370" s="18" t="s">
        <v>697</v>
      </c>
      <c r="AA3370" s="21" t="str">
        <f>HYPERLINK("https://www.ncbi.nlm.nih.gov/nuccore/KX621007","NCBI Nucleotide")</f>
        <v>NCBI Nucleotide</v>
      </c>
    </row>
    <row r="3371" spans="1:27" x14ac:dyDescent="0.35">
      <c r="A3371">
        <v>1004499</v>
      </c>
      <c r="B3371">
        <v>3347</v>
      </c>
      <c r="C3371">
        <v>1</v>
      </c>
      <c r="D3371" s="17" t="s">
        <v>155</v>
      </c>
      <c r="E3371" s="17"/>
      <c r="F3371" s="17" t="s">
        <v>156</v>
      </c>
      <c r="G3371" s="17"/>
      <c r="H3371" s="17" t="s">
        <v>692</v>
      </c>
      <c r="I3371" s="17"/>
      <c r="J3371" s="17" t="s">
        <v>693</v>
      </c>
      <c r="K3371" s="17"/>
      <c r="L3371" s="17"/>
      <c r="M3371" s="17"/>
      <c r="N3371" s="17"/>
      <c r="O3371" s="17" t="s">
        <v>5910</v>
      </c>
      <c r="P3371" s="17" t="s">
        <v>5993</v>
      </c>
      <c r="Q3371" s="17"/>
      <c r="R3371" s="25" t="str">
        <f>HYPERLINK("https://ictv.global/taxonomy/taxondetails?taxnode_id=202312729","Keshuvirus hurricane")</f>
        <v>Keshuvirus hurricane</v>
      </c>
      <c r="S3371" s="18" t="s">
        <v>30</v>
      </c>
      <c r="T3371" s="18" t="s">
        <v>5994</v>
      </c>
      <c r="U3371" s="18"/>
      <c r="V3371" s="18"/>
      <c r="W3371" s="18" t="s">
        <v>5995</v>
      </c>
      <c r="X3371" s="18" t="s">
        <v>42</v>
      </c>
      <c r="Y3371" s="18" t="s">
        <v>36</v>
      </c>
      <c r="Z3371" s="18" t="s">
        <v>697</v>
      </c>
      <c r="AA3371" s="21" t="str">
        <f>HYPERLINK("https://www.ncbi.nlm.nih.gov/nuccore/MF373841","NCBI Nucleotide")</f>
        <v>NCBI Nucleotide</v>
      </c>
    </row>
    <row r="3372" spans="1:27" x14ac:dyDescent="0.35">
      <c r="A3372">
        <v>1004500</v>
      </c>
      <c r="B3372">
        <v>3348</v>
      </c>
      <c r="C3372">
        <v>1</v>
      </c>
      <c r="D3372" s="17" t="s">
        <v>155</v>
      </c>
      <c r="E3372" s="17"/>
      <c r="F3372" s="17" t="s">
        <v>156</v>
      </c>
      <c r="G3372" s="17"/>
      <c r="H3372" s="17" t="s">
        <v>692</v>
      </c>
      <c r="I3372" s="17"/>
      <c r="J3372" s="17" t="s">
        <v>693</v>
      </c>
      <c r="K3372" s="17"/>
      <c r="L3372" s="17"/>
      <c r="M3372" s="17"/>
      <c r="N3372" s="17"/>
      <c r="O3372" s="17" t="s">
        <v>5910</v>
      </c>
      <c r="P3372" s="17" t="s">
        <v>5993</v>
      </c>
      <c r="Q3372" s="17"/>
      <c r="R3372" s="25" t="str">
        <f>HYPERLINK("https://ictv.global/taxonomy/taxondetails?taxnode_id=202312728","Keshuvirus keshu")</f>
        <v>Keshuvirus keshu</v>
      </c>
      <c r="S3372" s="18" t="s">
        <v>30</v>
      </c>
      <c r="T3372" s="18" t="s">
        <v>5996</v>
      </c>
      <c r="U3372" s="18"/>
      <c r="V3372" s="18"/>
      <c r="W3372" s="18" t="s">
        <v>5997</v>
      </c>
      <c r="X3372" s="18" t="s">
        <v>42</v>
      </c>
      <c r="Y3372" s="18" t="s">
        <v>36</v>
      </c>
      <c r="Z3372" s="18" t="s">
        <v>697</v>
      </c>
      <c r="AA3372" s="21" t="str">
        <f>HYPERLINK("https://www.ncbi.nlm.nih.gov/nuccore/KP027199","NCBI Nucleotide")</f>
        <v>NCBI Nucleotide</v>
      </c>
    </row>
    <row r="3373" spans="1:27" x14ac:dyDescent="0.35">
      <c r="A3373">
        <v>1004501</v>
      </c>
      <c r="B3373">
        <v>3349</v>
      </c>
      <c r="C3373">
        <v>1</v>
      </c>
      <c r="D3373" s="17" t="s">
        <v>155</v>
      </c>
      <c r="E3373" s="17"/>
      <c r="F3373" s="17" t="s">
        <v>156</v>
      </c>
      <c r="G3373" s="17"/>
      <c r="H3373" s="17" t="s">
        <v>692</v>
      </c>
      <c r="I3373" s="17"/>
      <c r="J3373" s="17" t="s">
        <v>693</v>
      </c>
      <c r="K3373" s="17"/>
      <c r="L3373" s="17"/>
      <c r="M3373" s="17"/>
      <c r="N3373" s="17"/>
      <c r="O3373" s="17" t="s">
        <v>5910</v>
      </c>
      <c r="P3373" s="17" t="s">
        <v>5993</v>
      </c>
      <c r="Q3373" s="17"/>
      <c r="R3373" s="25" t="str">
        <f>HYPERLINK("https://ictv.global/taxonomy/taxondetails?taxnode_id=202301349","Keshuvirus macncheese")</f>
        <v>Keshuvirus macncheese</v>
      </c>
      <c r="S3373" s="18" t="s">
        <v>30</v>
      </c>
      <c r="T3373" s="18" t="s">
        <v>5998</v>
      </c>
      <c r="U3373" s="18"/>
      <c r="V3373" s="18"/>
      <c r="W3373" s="18" t="s">
        <v>5999</v>
      </c>
      <c r="X3373" s="18" t="s">
        <v>42</v>
      </c>
      <c r="Y3373" s="18" t="s">
        <v>36</v>
      </c>
      <c r="Z3373" s="18" t="s">
        <v>697</v>
      </c>
      <c r="AA3373" s="21" t="str">
        <f>HYPERLINK("https://www.ncbi.nlm.nih.gov/nuccore/JX042579","NCBI Nucleotide")</f>
        <v>NCBI Nucleotide</v>
      </c>
    </row>
    <row r="3374" spans="1:27" x14ac:dyDescent="0.35">
      <c r="A3374">
        <v>1004502</v>
      </c>
      <c r="B3374">
        <v>3350</v>
      </c>
      <c r="C3374">
        <v>1</v>
      </c>
      <c r="D3374" s="17" t="s">
        <v>155</v>
      </c>
      <c r="E3374" s="17"/>
      <c r="F3374" s="17" t="s">
        <v>156</v>
      </c>
      <c r="G3374" s="17"/>
      <c r="H3374" s="17" t="s">
        <v>692</v>
      </c>
      <c r="I3374" s="17"/>
      <c r="J3374" s="17" t="s">
        <v>693</v>
      </c>
      <c r="K3374" s="17"/>
      <c r="L3374" s="17"/>
      <c r="M3374" s="17"/>
      <c r="N3374" s="17"/>
      <c r="O3374" s="17" t="s">
        <v>5910</v>
      </c>
      <c r="P3374" s="17" t="s">
        <v>5993</v>
      </c>
      <c r="Q3374" s="17"/>
      <c r="R3374" s="25" t="str">
        <f>HYPERLINK("https://ictv.global/taxonomy/taxondetails?taxnode_id=202301350","Keshuvirus pixie")</f>
        <v>Keshuvirus pixie</v>
      </c>
      <c r="S3374" s="18" t="s">
        <v>30</v>
      </c>
      <c r="T3374" s="18" t="s">
        <v>6000</v>
      </c>
      <c r="U3374" s="18"/>
      <c r="V3374" s="18"/>
      <c r="W3374" s="18" t="s">
        <v>6001</v>
      </c>
      <c r="X3374" s="18" t="s">
        <v>42</v>
      </c>
      <c r="Y3374" s="18" t="s">
        <v>36</v>
      </c>
      <c r="Z3374" s="18" t="s">
        <v>697</v>
      </c>
      <c r="AA3374" s="21" t="str">
        <f>HYPERLINK("https://www.ncbi.nlm.nih.gov/nuccore/JF937104","NCBI Nucleotide")</f>
        <v>NCBI Nucleotide</v>
      </c>
    </row>
    <row r="3375" spans="1:27" x14ac:dyDescent="0.35">
      <c r="A3375">
        <v>1004503</v>
      </c>
      <c r="B3375">
        <v>3351</v>
      </c>
      <c r="C3375">
        <v>1</v>
      </c>
      <c r="D3375" s="17" t="s">
        <v>155</v>
      </c>
      <c r="E3375" s="17"/>
      <c r="F3375" s="17" t="s">
        <v>156</v>
      </c>
      <c r="G3375" s="17"/>
      <c r="H3375" s="17" t="s">
        <v>692</v>
      </c>
      <c r="I3375" s="17"/>
      <c r="J3375" s="17" t="s">
        <v>693</v>
      </c>
      <c r="K3375" s="17"/>
      <c r="L3375" s="17"/>
      <c r="M3375" s="17"/>
      <c r="N3375" s="17"/>
      <c r="O3375" s="17" t="s">
        <v>5910</v>
      </c>
      <c r="P3375" s="17" t="s">
        <v>5993</v>
      </c>
      <c r="Q3375" s="17"/>
      <c r="R3375" s="25" t="str">
        <f>HYPERLINK("https://ictv.global/taxonomy/taxondetails?taxnode_id=202312730","Keshuvirus shedlockholmes")</f>
        <v>Keshuvirus shedlockholmes</v>
      </c>
      <c r="S3375" s="18" t="s">
        <v>30</v>
      </c>
      <c r="T3375" s="18" t="s">
        <v>6002</v>
      </c>
      <c r="U3375" s="18"/>
      <c r="V3375" s="18"/>
      <c r="W3375" s="18" t="s">
        <v>6003</v>
      </c>
      <c r="X3375" s="18" t="s">
        <v>42</v>
      </c>
      <c r="Y3375" s="18" t="s">
        <v>36</v>
      </c>
      <c r="Z3375" s="18" t="s">
        <v>697</v>
      </c>
      <c r="AA3375" s="21" t="str">
        <f>HYPERLINK("https://www.ncbi.nlm.nih.gov/nuccore/KR080206","NCBI Nucleotide")</f>
        <v>NCBI Nucleotide</v>
      </c>
    </row>
    <row r="3376" spans="1:27" x14ac:dyDescent="0.35">
      <c r="A3376">
        <v>1004504</v>
      </c>
      <c r="B3376">
        <v>3352</v>
      </c>
      <c r="C3376">
        <v>1</v>
      </c>
      <c r="D3376" s="17" t="s">
        <v>155</v>
      </c>
      <c r="E3376" s="17"/>
      <c r="F3376" s="17" t="s">
        <v>156</v>
      </c>
      <c r="G3376" s="17"/>
      <c r="H3376" s="17" t="s">
        <v>692</v>
      </c>
      <c r="I3376" s="17"/>
      <c r="J3376" s="17" t="s">
        <v>693</v>
      </c>
      <c r="K3376" s="17"/>
      <c r="L3376" s="17"/>
      <c r="M3376" s="17"/>
      <c r="N3376" s="17"/>
      <c r="O3376" s="17" t="s">
        <v>5910</v>
      </c>
      <c r="P3376" s="17" t="s">
        <v>6004</v>
      </c>
      <c r="Q3376" s="17"/>
      <c r="R3376" s="25" t="str">
        <f>HYPERLINK("https://ictv.global/taxonomy/taxondetails?taxnode_id=202312711","Kratiovirus collard")</f>
        <v>Kratiovirus collard</v>
      </c>
      <c r="S3376" s="18" t="s">
        <v>30</v>
      </c>
      <c r="T3376" s="18" t="s">
        <v>6005</v>
      </c>
      <c r="U3376" s="18"/>
      <c r="V3376" s="18"/>
      <c r="W3376" s="18" t="s">
        <v>6006</v>
      </c>
      <c r="X3376" s="18" t="s">
        <v>42</v>
      </c>
      <c r="Y3376" s="18" t="s">
        <v>36</v>
      </c>
      <c r="Z3376" s="18" t="s">
        <v>697</v>
      </c>
      <c r="AA3376" s="21" t="str">
        <f>HYPERLINK("https://www.ncbi.nlm.nih.gov/nuccore/MH651171","NCBI Nucleotide")</f>
        <v>NCBI Nucleotide</v>
      </c>
    </row>
    <row r="3377" spans="1:27" x14ac:dyDescent="0.35">
      <c r="A3377">
        <v>1004505</v>
      </c>
      <c r="B3377">
        <v>3353</v>
      </c>
      <c r="C3377">
        <v>1</v>
      </c>
      <c r="D3377" s="17" t="s">
        <v>155</v>
      </c>
      <c r="E3377" s="17"/>
      <c r="F3377" s="17" t="s">
        <v>156</v>
      </c>
      <c r="G3377" s="17"/>
      <c r="H3377" s="17" t="s">
        <v>692</v>
      </c>
      <c r="I3377" s="17"/>
      <c r="J3377" s="17" t="s">
        <v>693</v>
      </c>
      <c r="K3377" s="17"/>
      <c r="L3377" s="17"/>
      <c r="M3377" s="17"/>
      <c r="N3377" s="17"/>
      <c r="O3377" s="17" t="s">
        <v>5910</v>
      </c>
      <c r="P3377" s="17" t="s">
        <v>6004</v>
      </c>
      <c r="Q3377" s="17"/>
      <c r="R3377" s="25" t="str">
        <f>HYPERLINK("https://ictv.global/taxonomy/taxondetails?taxnode_id=202312712","Kratiovirus gengar")</f>
        <v>Kratiovirus gengar</v>
      </c>
      <c r="S3377" s="18" t="s">
        <v>30</v>
      </c>
      <c r="T3377" s="18" t="s">
        <v>6007</v>
      </c>
      <c r="U3377" s="18"/>
      <c r="V3377" s="18"/>
      <c r="W3377" s="18" t="s">
        <v>6008</v>
      </c>
      <c r="X3377" s="18" t="s">
        <v>42</v>
      </c>
      <c r="Y3377" s="18" t="s">
        <v>36</v>
      </c>
      <c r="Z3377" s="18" t="s">
        <v>697</v>
      </c>
      <c r="AA3377" s="21" t="str">
        <f>HYPERLINK("https://www.ncbi.nlm.nih.gov/nuccore/KX636165","NCBI Nucleotide")</f>
        <v>NCBI Nucleotide</v>
      </c>
    </row>
    <row r="3378" spans="1:27" x14ac:dyDescent="0.35">
      <c r="A3378">
        <v>1004506</v>
      </c>
      <c r="B3378">
        <v>3354</v>
      </c>
      <c r="C3378">
        <v>1</v>
      </c>
      <c r="D3378" s="17" t="s">
        <v>155</v>
      </c>
      <c r="E3378" s="17"/>
      <c r="F3378" s="17" t="s">
        <v>156</v>
      </c>
      <c r="G3378" s="17"/>
      <c r="H3378" s="17" t="s">
        <v>692</v>
      </c>
      <c r="I3378" s="17"/>
      <c r="J3378" s="17" t="s">
        <v>693</v>
      </c>
      <c r="K3378" s="17"/>
      <c r="L3378" s="17"/>
      <c r="M3378" s="17"/>
      <c r="N3378" s="17"/>
      <c r="O3378" s="17" t="s">
        <v>5910</v>
      </c>
      <c r="P3378" s="17" t="s">
        <v>6004</v>
      </c>
      <c r="Q3378" s="17"/>
      <c r="R3378" s="25" t="str">
        <f>HYPERLINK("https://ictv.global/taxonomy/taxondetails?taxnode_id=202312710","Kratiovirus kratio")</f>
        <v>Kratiovirus kratio</v>
      </c>
      <c r="S3378" s="18" t="s">
        <v>30</v>
      </c>
      <c r="T3378" s="18" t="s">
        <v>6009</v>
      </c>
      <c r="U3378" s="18"/>
      <c r="V3378" s="18"/>
      <c r="W3378" s="18" t="s">
        <v>6010</v>
      </c>
      <c r="X3378" s="18" t="s">
        <v>42</v>
      </c>
      <c r="Y3378" s="18" t="s">
        <v>36</v>
      </c>
      <c r="Z3378" s="18" t="s">
        <v>697</v>
      </c>
      <c r="AA3378" s="21" t="str">
        <f>HYPERLINK("https://www.ncbi.nlm.nih.gov/nuccore/KM923971","NCBI Nucleotide")</f>
        <v>NCBI Nucleotide</v>
      </c>
    </row>
    <row r="3379" spans="1:27" x14ac:dyDescent="0.35">
      <c r="A3379">
        <v>1004507</v>
      </c>
      <c r="B3379">
        <v>3355</v>
      </c>
      <c r="C3379">
        <v>1</v>
      </c>
      <c r="D3379" s="17" t="s">
        <v>155</v>
      </c>
      <c r="E3379" s="17"/>
      <c r="F3379" s="17" t="s">
        <v>156</v>
      </c>
      <c r="G3379" s="17"/>
      <c r="H3379" s="17" t="s">
        <v>692</v>
      </c>
      <c r="I3379" s="17"/>
      <c r="J3379" s="17" t="s">
        <v>693</v>
      </c>
      <c r="K3379" s="17"/>
      <c r="L3379" s="17"/>
      <c r="M3379" s="17"/>
      <c r="N3379" s="17"/>
      <c r="O3379" s="17" t="s">
        <v>5910</v>
      </c>
      <c r="P3379" s="17" t="s">
        <v>6004</v>
      </c>
      <c r="Q3379" s="17"/>
      <c r="R3379" s="25" t="str">
        <f>HYPERLINK("https://ictv.global/taxonomy/taxondetails?taxnode_id=202301348","Kratiovirus larva")</f>
        <v>Kratiovirus larva</v>
      </c>
      <c r="S3379" s="18" t="s">
        <v>30</v>
      </c>
      <c r="T3379" s="18" t="s">
        <v>6011</v>
      </c>
      <c r="U3379" s="18"/>
      <c r="V3379" s="18"/>
      <c r="W3379" s="18" t="s">
        <v>6012</v>
      </c>
      <c r="X3379" s="18" t="s">
        <v>42</v>
      </c>
      <c r="Y3379" s="18" t="s">
        <v>36</v>
      </c>
      <c r="Z3379" s="18" t="s">
        <v>697</v>
      </c>
      <c r="AA3379" s="21" t="str">
        <f>HYPERLINK("https://www.ncbi.nlm.nih.gov/nuccore/JN243855","NCBI Nucleotide")</f>
        <v>NCBI Nucleotide</v>
      </c>
    </row>
    <row r="3380" spans="1:27" x14ac:dyDescent="0.35">
      <c r="A3380">
        <v>1004508</v>
      </c>
      <c r="B3380">
        <v>3356</v>
      </c>
      <c r="C3380">
        <v>1</v>
      </c>
      <c r="D3380" s="17" t="s">
        <v>155</v>
      </c>
      <c r="E3380" s="17"/>
      <c r="F3380" s="17" t="s">
        <v>156</v>
      </c>
      <c r="G3380" s="17"/>
      <c r="H3380" s="17" t="s">
        <v>692</v>
      </c>
      <c r="I3380" s="17"/>
      <c r="J3380" s="17" t="s">
        <v>693</v>
      </c>
      <c r="K3380" s="17"/>
      <c r="L3380" s="17"/>
      <c r="M3380" s="17"/>
      <c r="N3380" s="17"/>
      <c r="O3380" s="17" t="s">
        <v>5910</v>
      </c>
      <c r="P3380" s="17" t="s">
        <v>6004</v>
      </c>
      <c r="Q3380" s="17"/>
      <c r="R3380" s="25" t="str">
        <f>HYPERLINK("https://ictv.global/taxonomy/taxondetails?taxnode_id=202312713","Kratiovirus leston")</f>
        <v>Kratiovirus leston</v>
      </c>
      <c r="S3380" s="18" t="s">
        <v>30</v>
      </c>
      <c r="T3380" s="18" t="s">
        <v>6013</v>
      </c>
      <c r="U3380" s="18"/>
      <c r="V3380" s="18"/>
      <c r="W3380" s="18" t="s">
        <v>6014</v>
      </c>
      <c r="X3380" s="18" t="s">
        <v>42</v>
      </c>
      <c r="Y3380" s="18" t="s">
        <v>36</v>
      </c>
      <c r="Z3380" s="18" t="s">
        <v>697</v>
      </c>
      <c r="AA3380" s="21" t="str">
        <f>HYPERLINK("https://www.ncbi.nlm.nih.gov/nuccore/MH051255","NCBI Nucleotide")</f>
        <v>NCBI Nucleotide</v>
      </c>
    </row>
    <row r="3381" spans="1:27" x14ac:dyDescent="0.35">
      <c r="A3381">
        <v>1004509</v>
      </c>
      <c r="B3381">
        <v>3357</v>
      </c>
      <c r="C3381">
        <v>1</v>
      </c>
      <c r="D3381" s="17" t="s">
        <v>155</v>
      </c>
      <c r="E3381" s="17"/>
      <c r="F3381" s="17" t="s">
        <v>156</v>
      </c>
      <c r="G3381" s="17"/>
      <c r="H3381" s="17" t="s">
        <v>692</v>
      </c>
      <c r="I3381" s="17"/>
      <c r="J3381" s="17" t="s">
        <v>693</v>
      </c>
      <c r="K3381" s="17"/>
      <c r="L3381" s="17"/>
      <c r="M3381" s="17"/>
      <c r="N3381" s="17"/>
      <c r="O3381" s="17" t="s">
        <v>5910</v>
      </c>
      <c r="P3381" s="17" t="s">
        <v>6004</v>
      </c>
      <c r="Q3381" s="17"/>
      <c r="R3381" s="25" t="str">
        <f>HYPERLINK("https://ictv.global/taxonomy/taxondetails?taxnode_id=202312714","Kratiovirus omnicron")</f>
        <v>Kratiovirus omnicron</v>
      </c>
      <c r="S3381" s="18" t="s">
        <v>30</v>
      </c>
      <c r="T3381" s="18" t="s">
        <v>6015</v>
      </c>
      <c r="U3381" s="18"/>
      <c r="V3381" s="18"/>
      <c r="W3381" s="18" t="s">
        <v>6016</v>
      </c>
      <c r="X3381" s="18" t="s">
        <v>42</v>
      </c>
      <c r="Y3381" s="18" t="s">
        <v>36</v>
      </c>
      <c r="Z3381" s="18" t="s">
        <v>697</v>
      </c>
      <c r="AA3381" s="21" t="str">
        <f>HYPERLINK("https://www.ncbi.nlm.nih.gov/nuccore/KM363596","NCBI Nucleotide")</f>
        <v>NCBI Nucleotide</v>
      </c>
    </row>
    <row r="3382" spans="1:27" x14ac:dyDescent="0.35">
      <c r="A3382">
        <v>1004510</v>
      </c>
      <c r="B3382">
        <v>3358</v>
      </c>
      <c r="C3382">
        <v>1</v>
      </c>
      <c r="D3382" s="17" t="s">
        <v>155</v>
      </c>
      <c r="E3382" s="17"/>
      <c r="F3382" s="17" t="s">
        <v>156</v>
      </c>
      <c r="G3382" s="17"/>
      <c r="H3382" s="17" t="s">
        <v>692</v>
      </c>
      <c r="I3382" s="17"/>
      <c r="J3382" s="17" t="s">
        <v>693</v>
      </c>
      <c r="K3382" s="17"/>
      <c r="L3382" s="17"/>
      <c r="M3382" s="17"/>
      <c r="N3382" s="17"/>
      <c r="O3382" s="17" t="s">
        <v>5910</v>
      </c>
      <c r="P3382" s="17" t="s">
        <v>6004</v>
      </c>
      <c r="Q3382" s="17"/>
      <c r="R3382" s="25" t="str">
        <f>HYPERLINK("https://ictv.global/taxonomy/taxondetails?taxnode_id=202312715","Kratiovirus paola")</f>
        <v>Kratiovirus paola</v>
      </c>
      <c r="S3382" s="18" t="s">
        <v>30</v>
      </c>
      <c r="T3382" s="18" t="s">
        <v>6017</v>
      </c>
      <c r="U3382" s="18"/>
      <c r="V3382" s="18"/>
      <c r="W3382" s="18" t="s">
        <v>6018</v>
      </c>
      <c r="X3382" s="18" t="s">
        <v>42</v>
      </c>
      <c r="Y3382" s="18" t="s">
        <v>36</v>
      </c>
      <c r="Z3382" s="18" t="s">
        <v>697</v>
      </c>
      <c r="AA3382" s="21" t="str">
        <f>HYPERLINK("https://www.ncbi.nlm.nih.gov/nuccore/MG962374","NCBI Nucleotide")</f>
        <v>NCBI Nucleotide</v>
      </c>
    </row>
    <row r="3383" spans="1:27" x14ac:dyDescent="0.35">
      <c r="A3383">
        <v>1004511</v>
      </c>
      <c r="B3383">
        <v>3359</v>
      </c>
      <c r="C3383">
        <v>1</v>
      </c>
      <c r="D3383" s="17" t="s">
        <v>155</v>
      </c>
      <c r="E3383" s="17"/>
      <c r="F3383" s="17" t="s">
        <v>156</v>
      </c>
      <c r="G3383" s="17"/>
      <c r="H3383" s="17" t="s">
        <v>692</v>
      </c>
      <c r="I3383" s="17"/>
      <c r="J3383" s="17" t="s">
        <v>693</v>
      </c>
      <c r="K3383" s="17"/>
      <c r="L3383" s="17"/>
      <c r="M3383" s="17"/>
      <c r="N3383" s="17"/>
      <c r="O3383" s="17" t="s">
        <v>5910</v>
      </c>
      <c r="P3383" s="17" t="s">
        <v>6004</v>
      </c>
      <c r="Q3383" s="17"/>
      <c r="R3383" s="25" t="str">
        <f>HYPERLINK("https://ictv.global/taxonomy/taxondetails?taxnode_id=202312716","Kratiovirus rando14")</f>
        <v>Kratiovirus rando14</v>
      </c>
      <c r="S3383" s="18" t="s">
        <v>30</v>
      </c>
      <c r="T3383" s="18" t="s">
        <v>6019</v>
      </c>
      <c r="U3383" s="18"/>
      <c r="V3383" s="18"/>
      <c r="W3383" s="18" t="s">
        <v>6020</v>
      </c>
      <c r="X3383" s="18" t="s">
        <v>42</v>
      </c>
      <c r="Y3383" s="18" t="s">
        <v>36</v>
      </c>
      <c r="Z3383" s="18" t="s">
        <v>697</v>
      </c>
      <c r="AA3383" s="21" t="str">
        <f>HYPERLINK("https://www.ncbi.nlm.nih.gov/nuccore/MH697592","NCBI Nucleotide")</f>
        <v>NCBI Nucleotide</v>
      </c>
    </row>
    <row r="3384" spans="1:27" x14ac:dyDescent="0.35">
      <c r="A3384">
        <v>1004512</v>
      </c>
      <c r="B3384">
        <v>3360</v>
      </c>
      <c r="C3384">
        <v>1</v>
      </c>
      <c r="D3384" s="17" t="s">
        <v>155</v>
      </c>
      <c r="E3384" s="17"/>
      <c r="F3384" s="17" t="s">
        <v>156</v>
      </c>
      <c r="G3384" s="17"/>
      <c r="H3384" s="17" t="s">
        <v>692</v>
      </c>
      <c r="I3384" s="17"/>
      <c r="J3384" s="17" t="s">
        <v>693</v>
      </c>
      <c r="K3384" s="17"/>
      <c r="L3384" s="17"/>
      <c r="M3384" s="17"/>
      <c r="N3384" s="17"/>
      <c r="O3384" s="17" t="s">
        <v>5910</v>
      </c>
      <c r="P3384" s="17" t="s">
        <v>6004</v>
      </c>
      <c r="Q3384" s="17"/>
      <c r="R3384" s="25" t="str">
        <f>HYPERLINK("https://ictv.global/taxonomy/taxondetails?taxnode_id=202312717","Kratiovirus thyatira")</f>
        <v>Kratiovirus thyatira</v>
      </c>
      <c r="S3384" s="18" t="s">
        <v>30</v>
      </c>
      <c r="T3384" s="18" t="s">
        <v>6021</v>
      </c>
      <c r="U3384" s="18"/>
      <c r="V3384" s="18"/>
      <c r="W3384" s="18" t="s">
        <v>6022</v>
      </c>
      <c r="X3384" s="18" t="s">
        <v>42</v>
      </c>
      <c r="Y3384" s="18" t="s">
        <v>36</v>
      </c>
      <c r="Z3384" s="18" t="s">
        <v>697</v>
      </c>
      <c r="AA3384" s="21" t="str">
        <f>HYPERLINK("https://www.ncbi.nlm.nih.gov/nuccore/MH576966","NCBI Nucleotide")</f>
        <v>NCBI Nucleotide</v>
      </c>
    </row>
    <row r="3385" spans="1:27" x14ac:dyDescent="0.35">
      <c r="A3385">
        <v>1004513</v>
      </c>
      <c r="B3385">
        <v>3361</v>
      </c>
      <c r="C3385">
        <v>1</v>
      </c>
      <c r="D3385" s="17" t="s">
        <v>155</v>
      </c>
      <c r="E3385" s="17"/>
      <c r="F3385" s="17" t="s">
        <v>156</v>
      </c>
      <c r="G3385" s="17"/>
      <c r="H3385" s="17" t="s">
        <v>692</v>
      </c>
      <c r="I3385" s="17"/>
      <c r="J3385" s="17" t="s">
        <v>693</v>
      </c>
      <c r="K3385" s="17"/>
      <c r="L3385" s="17"/>
      <c r="M3385" s="17"/>
      <c r="N3385" s="17"/>
      <c r="O3385" s="17" t="s">
        <v>5910</v>
      </c>
      <c r="P3385" s="17" t="s">
        <v>6023</v>
      </c>
      <c r="Q3385" s="17"/>
      <c r="R3385" s="25" t="str">
        <f>HYPERLINK("https://ictv.global/taxonomy/taxondetails?taxnode_id=202301351","Mycobacterium virus TM4")</f>
        <v>Mycobacterium virus TM4</v>
      </c>
      <c r="S3385" s="18" t="s">
        <v>30</v>
      </c>
      <c r="T3385" s="18" t="s">
        <v>6024</v>
      </c>
      <c r="U3385" s="18"/>
      <c r="V3385" s="18"/>
      <c r="W3385" s="18" t="s">
        <v>6025</v>
      </c>
      <c r="X3385" s="18" t="s">
        <v>42</v>
      </c>
      <c r="Y3385" s="18" t="s">
        <v>36</v>
      </c>
      <c r="Z3385" s="18" t="s">
        <v>697</v>
      </c>
      <c r="AA3385" s="21" t="str">
        <f>HYPERLINK("https://www.ncbi.nlm.nih.gov/nuccore/AF068845","NCBI Nucleotide")</f>
        <v>NCBI Nucleotide</v>
      </c>
    </row>
    <row r="3386" spans="1:27" x14ac:dyDescent="0.35">
      <c r="A3386">
        <v>1004514</v>
      </c>
      <c r="B3386">
        <v>3362</v>
      </c>
      <c r="C3386">
        <v>1</v>
      </c>
      <c r="D3386" s="17" t="s">
        <v>155</v>
      </c>
      <c r="E3386" s="17"/>
      <c r="F3386" s="17" t="s">
        <v>156</v>
      </c>
      <c r="G3386" s="17"/>
      <c r="H3386" s="17" t="s">
        <v>692</v>
      </c>
      <c r="I3386" s="17"/>
      <c r="J3386" s="17" t="s">
        <v>693</v>
      </c>
      <c r="K3386" s="17"/>
      <c r="L3386" s="17"/>
      <c r="M3386" s="17"/>
      <c r="N3386" s="17"/>
      <c r="O3386" s="17" t="s">
        <v>5910</v>
      </c>
      <c r="P3386" s="17" t="s">
        <v>6023</v>
      </c>
      <c r="Q3386" s="17"/>
      <c r="R3386" s="25" t="str">
        <f>HYPERLINK("https://ictv.global/taxonomy/taxondetails?taxnode_id=202312718","Timquatrovirus findley")</f>
        <v>Timquatrovirus findley</v>
      </c>
      <c r="S3386" s="18" t="s">
        <v>30</v>
      </c>
      <c r="T3386" s="18" t="s">
        <v>6026</v>
      </c>
      <c r="U3386" s="18"/>
      <c r="V3386" s="18"/>
      <c r="W3386" s="18" t="s">
        <v>6027</v>
      </c>
      <c r="X3386" s="18" t="s">
        <v>42</v>
      </c>
      <c r="Y3386" s="18" t="s">
        <v>36</v>
      </c>
      <c r="Z3386" s="18" t="s">
        <v>697</v>
      </c>
      <c r="AA3386" s="21" t="str">
        <f>HYPERLINK("https://www.ncbi.nlm.nih.gov/nuccore/MF140411","NCBI Nucleotide")</f>
        <v>NCBI Nucleotide</v>
      </c>
    </row>
    <row r="3387" spans="1:27" x14ac:dyDescent="0.35">
      <c r="A3387">
        <v>1004515</v>
      </c>
      <c r="B3387">
        <v>3363</v>
      </c>
      <c r="C3387">
        <v>1</v>
      </c>
      <c r="D3387" s="17" t="s">
        <v>155</v>
      </c>
      <c r="E3387" s="17"/>
      <c r="F3387" s="17" t="s">
        <v>156</v>
      </c>
      <c r="G3387" s="17"/>
      <c r="H3387" s="17" t="s">
        <v>692</v>
      </c>
      <c r="I3387" s="17"/>
      <c r="J3387" s="17" t="s">
        <v>693</v>
      </c>
      <c r="K3387" s="17"/>
      <c r="L3387" s="17"/>
      <c r="M3387" s="17"/>
      <c r="N3387" s="17"/>
      <c r="O3387" s="17" t="s">
        <v>5910</v>
      </c>
      <c r="P3387" s="17" t="s">
        <v>6023</v>
      </c>
      <c r="Q3387" s="17"/>
      <c r="R3387" s="25" t="str">
        <f>HYPERLINK("https://ictv.global/taxonomy/taxondetails?taxnode_id=202312719","Timquatrovirus mufasa")</f>
        <v>Timquatrovirus mufasa</v>
      </c>
      <c r="S3387" s="18" t="s">
        <v>30</v>
      </c>
      <c r="T3387" s="18" t="s">
        <v>6028</v>
      </c>
      <c r="U3387" s="18"/>
      <c r="V3387" s="18"/>
      <c r="W3387" s="18" t="s">
        <v>6029</v>
      </c>
      <c r="X3387" s="18" t="s">
        <v>42</v>
      </c>
      <c r="Y3387" s="18" t="s">
        <v>36</v>
      </c>
      <c r="Z3387" s="18" t="s">
        <v>697</v>
      </c>
      <c r="AA3387" s="21" t="str">
        <f>HYPERLINK("https://www.ncbi.nlm.nih.gov/nuccore/KT591490","NCBI Nucleotide")</f>
        <v>NCBI Nucleotide</v>
      </c>
    </row>
    <row r="3388" spans="1:27" x14ac:dyDescent="0.35">
      <c r="A3388">
        <v>1004516</v>
      </c>
      <c r="B3388">
        <v>3364</v>
      </c>
      <c r="C3388">
        <v>1</v>
      </c>
      <c r="D3388" s="17" t="s">
        <v>155</v>
      </c>
      <c r="E3388" s="17"/>
      <c r="F3388" s="17" t="s">
        <v>156</v>
      </c>
      <c r="G3388" s="17"/>
      <c r="H3388" s="17" t="s">
        <v>692</v>
      </c>
      <c r="I3388" s="17"/>
      <c r="J3388" s="17" t="s">
        <v>693</v>
      </c>
      <c r="K3388" s="17"/>
      <c r="L3388" s="17"/>
      <c r="M3388" s="17"/>
      <c r="N3388" s="17"/>
      <c r="O3388" s="17" t="s">
        <v>5910</v>
      </c>
      <c r="P3388" s="17" t="s">
        <v>6023</v>
      </c>
      <c r="Q3388" s="17"/>
      <c r="R3388" s="25" t="str">
        <f>HYPERLINK("https://ictv.global/taxonomy/taxondetails?taxnode_id=202312720","Timquatrovirus zoeJ")</f>
        <v>Timquatrovirus zoeJ</v>
      </c>
      <c r="S3388" s="18" t="s">
        <v>30</v>
      </c>
      <c r="T3388" s="18" t="s">
        <v>6030</v>
      </c>
      <c r="U3388" s="18"/>
      <c r="V3388" s="18"/>
      <c r="W3388" s="18" t="s">
        <v>6031</v>
      </c>
      <c r="X3388" s="18" t="s">
        <v>42</v>
      </c>
      <c r="Y3388" s="18" t="s">
        <v>36</v>
      </c>
      <c r="Z3388" s="18" t="s">
        <v>697</v>
      </c>
      <c r="AA3388" s="21" t="str">
        <f>HYPERLINK("https://www.ncbi.nlm.nih.gov/nuccore/KJ510412","NCBI Nucleotide")</f>
        <v>NCBI Nucleotide</v>
      </c>
    </row>
    <row r="3389" spans="1:27" x14ac:dyDescent="0.35">
      <c r="A3389">
        <v>1004517</v>
      </c>
      <c r="B3389">
        <v>3365</v>
      </c>
      <c r="C3389">
        <v>1</v>
      </c>
      <c r="D3389" s="17" t="s">
        <v>155</v>
      </c>
      <c r="E3389" s="17"/>
      <c r="F3389" s="17" t="s">
        <v>156</v>
      </c>
      <c r="G3389" s="17"/>
      <c r="H3389" s="17" t="s">
        <v>692</v>
      </c>
      <c r="I3389" s="17"/>
      <c r="J3389" s="17" t="s">
        <v>693</v>
      </c>
      <c r="K3389" s="17"/>
      <c r="L3389" s="17"/>
      <c r="M3389" s="17"/>
      <c r="N3389" s="17"/>
      <c r="O3389" s="17" t="s">
        <v>5910</v>
      </c>
      <c r="P3389" s="17" t="s">
        <v>6032</v>
      </c>
      <c r="Q3389" s="17"/>
      <c r="R3389" s="25" t="str">
        <f>HYPERLINK("https://ictv.global/taxonomy/taxondetails?taxnode_id=202312723","Unicornvirus bryler")</f>
        <v>Unicornvirus bryler</v>
      </c>
      <c r="S3389" s="18" t="s">
        <v>30</v>
      </c>
      <c r="T3389" s="18" t="s">
        <v>6033</v>
      </c>
      <c r="U3389" s="18"/>
      <c r="V3389" s="18"/>
      <c r="W3389" s="18" t="s">
        <v>6034</v>
      </c>
      <c r="X3389" s="18" t="s">
        <v>42</v>
      </c>
      <c r="Y3389" s="18" t="s">
        <v>36</v>
      </c>
      <c r="Z3389" s="18" t="s">
        <v>697</v>
      </c>
      <c r="AA3389" s="21" t="str">
        <f>HYPERLINK("https://www.ncbi.nlm.nih.gov/nuccore/MN369762","NCBI Nucleotide")</f>
        <v>NCBI Nucleotide</v>
      </c>
    </row>
    <row r="3390" spans="1:27" x14ac:dyDescent="0.35">
      <c r="A3390">
        <v>1004518</v>
      </c>
      <c r="B3390">
        <v>3366</v>
      </c>
      <c r="C3390">
        <v>1</v>
      </c>
      <c r="D3390" s="17" t="s">
        <v>155</v>
      </c>
      <c r="E3390" s="17"/>
      <c r="F3390" s="17" t="s">
        <v>156</v>
      </c>
      <c r="G3390" s="17"/>
      <c r="H3390" s="17" t="s">
        <v>692</v>
      </c>
      <c r="I3390" s="17"/>
      <c r="J3390" s="17" t="s">
        <v>693</v>
      </c>
      <c r="K3390" s="17"/>
      <c r="L3390" s="17"/>
      <c r="M3390" s="17"/>
      <c r="N3390" s="17"/>
      <c r="O3390" s="17" t="s">
        <v>5910</v>
      </c>
      <c r="P3390" s="17" t="s">
        <v>6032</v>
      </c>
      <c r="Q3390" s="17"/>
      <c r="R3390" s="25" t="str">
        <f>HYPERLINK("https://ictv.global/taxonomy/taxondetails?taxnode_id=202312724","Unicornvirus krueger")</f>
        <v>Unicornvirus krueger</v>
      </c>
      <c r="S3390" s="18" t="s">
        <v>30</v>
      </c>
      <c r="T3390" s="18" t="s">
        <v>6035</v>
      </c>
      <c r="U3390" s="18"/>
      <c r="V3390" s="18"/>
      <c r="W3390" s="18" t="s">
        <v>6036</v>
      </c>
      <c r="X3390" s="18" t="s">
        <v>42</v>
      </c>
      <c r="Y3390" s="18" t="s">
        <v>36</v>
      </c>
      <c r="Z3390" s="18" t="s">
        <v>697</v>
      </c>
      <c r="AA3390" s="21" t="str">
        <f>HYPERLINK("https://www.ncbi.nlm.nih.gov/nuccore/MF324914","NCBI Nucleotide")</f>
        <v>NCBI Nucleotide</v>
      </c>
    </row>
    <row r="3391" spans="1:27" x14ac:dyDescent="0.35">
      <c r="A3391">
        <v>1004519</v>
      </c>
      <c r="B3391">
        <v>3367</v>
      </c>
      <c r="C3391">
        <v>1</v>
      </c>
      <c r="D3391" s="17" t="s">
        <v>155</v>
      </c>
      <c r="E3391" s="17"/>
      <c r="F3391" s="17" t="s">
        <v>156</v>
      </c>
      <c r="G3391" s="17"/>
      <c r="H3391" s="17" t="s">
        <v>692</v>
      </c>
      <c r="I3391" s="17"/>
      <c r="J3391" s="17" t="s">
        <v>693</v>
      </c>
      <c r="K3391" s="17"/>
      <c r="L3391" s="17"/>
      <c r="M3391" s="17"/>
      <c r="N3391" s="17"/>
      <c r="O3391" s="17" t="s">
        <v>5910</v>
      </c>
      <c r="P3391" s="17" t="s">
        <v>6032</v>
      </c>
      <c r="Q3391" s="17"/>
      <c r="R3391" s="25" t="str">
        <f>HYPERLINK("https://ictv.global/taxonomy/taxondetails?taxnode_id=202312725","Unicornvirus shandong1")</f>
        <v>Unicornvirus shandong1</v>
      </c>
      <c r="S3391" s="18" t="s">
        <v>30</v>
      </c>
      <c r="T3391" s="18" t="s">
        <v>6037</v>
      </c>
      <c r="U3391" s="18"/>
      <c r="V3391" s="18"/>
      <c r="W3391" s="18" t="s">
        <v>6038</v>
      </c>
      <c r="X3391" s="18" t="s">
        <v>42</v>
      </c>
      <c r="Y3391" s="18" t="s">
        <v>36</v>
      </c>
      <c r="Z3391" s="18" t="s">
        <v>697</v>
      </c>
      <c r="AA3391" s="21" t="str">
        <f>HYPERLINK("https://www.ncbi.nlm.nih.gov/nuccore/KY945355","NCBI Nucleotide")</f>
        <v>NCBI Nucleotide</v>
      </c>
    </row>
    <row r="3392" spans="1:27" x14ac:dyDescent="0.35">
      <c r="A3392">
        <v>1004520</v>
      </c>
      <c r="B3392">
        <v>3368</v>
      </c>
      <c r="C3392">
        <v>1</v>
      </c>
      <c r="D3392" s="17" t="s">
        <v>155</v>
      </c>
      <c r="E3392" s="17"/>
      <c r="F3392" s="17" t="s">
        <v>156</v>
      </c>
      <c r="G3392" s="17"/>
      <c r="H3392" s="17" t="s">
        <v>692</v>
      </c>
      <c r="I3392" s="17"/>
      <c r="J3392" s="17" t="s">
        <v>693</v>
      </c>
      <c r="K3392" s="17"/>
      <c r="L3392" s="17"/>
      <c r="M3392" s="17"/>
      <c r="N3392" s="17"/>
      <c r="O3392" s="17" t="s">
        <v>5910</v>
      </c>
      <c r="P3392" s="17" t="s">
        <v>6032</v>
      </c>
      <c r="Q3392" s="17"/>
      <c r="R3392" s="25" t="str">
        <f>HYPERLINK("https://ictv.global/taxonomy/taxondetails?taxnode_id=202312722","Unicornvirus unicorn")</f>
        <v>Unicornvirus unicorn</v>
      </c>
      <c r="S3392" s="18" t="s">
        <v>30</v>
      </c>
      <c r="T3392" s="18" t="s">
        <v>6039</v>
      </c>
      <c r="U3392" s="18"/>
      <c r="V3392" s="18"/>
      <c r="W3392" s="18" t="s">
        <v>6040</v>
      </c>
      <c r="X3392" s="18" t="s">
        <v>42</v>
      </c>
      <c r="Y3392" s="18" t="s">
        <v>36</v>
      </c>
      <c r="Z3392" s="18" t="s">
        <v>697</v>
      </c>
      <c r="AA3392" s="21" t="str">
        <f>HYPERLINK("https://www.ncbi.nlm.nih.gov/nuccore/MF324908","NCBI Nucleotide")</f>
        <v>NCBI Nucleotide</v>
      </c>
    </row>
    <row r="3393" spans="1:27" x14ac:dyDescent="0.35">
      <c r="A3393">
        <v>1004521</v>
      </c>
      <c r="B3393">
        <v>3369</v>
      </c>
      <c r="C3393">
        <v>1</v>
      </c>
      <c r="D3393" s="17" t="s">
        <v>155</v>
      </c>
      <c r="E3393" s="17"/>
      <c r="F3393" s="17" t="s">
        <v>156</v>
      </c>
      <c r="G3393" s="17"/>
      <c r="H3393" s="17" t="s">
        <v>692</v>
      </c>
      <c r="I3393" s="17"/>
      <c r="J3393" s="17" t="s">
        <v>693</v>
      </c>
      <c r="K3393" s="17"/>
      <c r="L3393" s="17"/>
      <c r="M3393" s="17"/>
      <c r="N3393" s="17"/>
      <c r="O3393" s="17" t="s">
        <v>5910</v>
      </c>
      <c r="P3393" s="17" t="s">
        <v>6032</v>
      </c>
      <c r="Q3393" s="17"/>
      <c r="R3393" s="25" t="str">
        <f>HYPERLINK("https://ictv.global/taxonomy/taxondetails?taxnode_id=202312726","Unicornvirus ximenita")</f>
        <v>Unicornvirus ximenita</v>
      </c>
      <c r="S3393" s="18" t="s">
        <v>30</v>
      </c>
      <c r="T3393" s="18" t="s">
        <v>6041</v>
      </c>
      <c r="U3393" s="18"/>
      <c r="V3393" s="18"/>
      <c r="W3393" s="18" t="s">
        <v>6042</v>
      </c>
      <c r="X3393" s="18" t="s">
        <v>42</v>
      </c>
      <c r="Y3393" s="18" t="s">
        <v>36</v>
      </c>
      <c r="Z3393" s="18" t="s">
        <v>697</v>
      </c>
      <c r="AA3393" s="21" t="str">
        <f>HYPERLINK("https://www.ncbi.nlm.nih.gov/nuccore/MN945901","NCBI Nucleotide")</f>
        <v>NCBI Nucleotide</v>
      </c>
    </row>
    <row r="3394" spans="1:27" x14ac:dyDescent="0.35">
      <c r="A3394">
        <v>1004522</v>
      </c>
      <c r="B3394">
        <v>3370</v>
      </c>
      <c r="C3394">
        <v>1</v>
      </c>
      <c r="D3394" s="17" t="s">
        <v>155</v>
      </c>
      <c r="E3394" s="17"/>
      <c r="F3394" s="17" t="s">
        <v>156</v>
      </c>
      <c r="G3394" s="17"/>
      <c r="H3394" s="17" t="s">
        <v>692</v>
      </c>
      <c r="I3394" s="17"/>
      <c r="J3394" s="17" t="s">
        <v>693</v>
      </c>
      <c r="K3394" s="17"/>
      <c r="L3394" s="17"/>
      <c r="M3394" s="17"/>
      <c r="N3394" s="17"/>
      <c r="O3394" s="17"/>
      <c r="P3394" s="17" t="s">
        <v>694</v>
      </c>
      <c r="Q3394" s="17"/>
      <c r="R3394" s="25" t="str">
        <f>HYPERLINK("https://ictv.global/taxonomy/taxondetails?taxnode_id=202314701","Abaiavirus POA1180")</f>
        <v>Abaiavirus POA1180</v>
      </c>
      <c r="S3394" s="18" t="s">
        <v>30</v>
      </c>
      <c r="T3394" s="18" t="s">
        <v>695</v>
      </c>
      <c r="U3394" s="18"/>
      <c r="V3394" s="18"/>
      <c r="W3394" s="18" t="s">
        <v>696</v>
      </c>
      <c r="X3394" s="18" t="s">
        <v>42</v>
      </c>
      <c r="Y3394" s="18" t="s">
        <v>36</v>
      </c>
      <c r="Z3394" s="18" t="s">
        <v>697</v>
      </c>
      <c r="AA3394" s="21" t="str">
        <f>HYPERLINK("https://www.ncbi.nlm.nih.gov/nuccore/KX669658","NCBI Nucleotide")</f>
        <v>NCBI Nucleotide</v>
      </c>
    </row>
    <row r="3395" spans="1:27" x14ac:dyDescent="0.35">
      <c r="A3395">
        <v>1004523</v>
      </c>
      <c r="B3395">
        <v>3371</v>
      </c>
      <c r="C3395">
        <v>1</v>
      </c>
      <c r="D3395" s="17" t="s">
        <v>155</v>
      </c>
      <c r="E3395" s="17"/>
      <c r="F3395" s="17" t="s">
        <v>156</v>
      </c>
      <c r="G3395" s="17"/>
      <c r="H3395" s="17" t="s">
        <v>692</v>
      </c>
      <c r="I3395" s="17"/>
      <c r="J3395" s="17" t="s">
        <v>693</v>
      </c>
      <c r="K3395" s="17"/>
      <c r="L3395" s="17"/>
      <c r="M3395" s="17"/>
      <c r="N3395" s="17"/>
      <c r="O3395" s="17"/>
      <c r="P3395" s="17" t="s">
        <v>698</v>
      </c>
      <c r="Q3395" s="17"/>
      <c r="R3395" s="25" t="str">
        <f>HYPERLINK("https://ictv.global/taxonomy/taxondetails?taxnode_id=202307712","Abbeymikolonvirus abbeymikolon")</f>
        <v>Abbeymikolonvirus abbeymikolon</v>
      </c>
      <c r="S3395" s="18" t="s">
        <v>30</v>
      </c>
      <c r="T3395" s="18" t="s">
        <v>699</v>
      </c>
      <c r="U3395" s="18"/>
      <c r="V3395" s="18"/>
      <c r="W3395" s="18" t="s">
        <v>700</v>
      </c>
      <c r="X3395" s="18" t="s">
        <v>42</v>
      </c>
      <c r="Y3395" s="18" t="s">
        <v>36</v>
      </c>
      <c r="Z3395" s="18" t="s">
        <v>697</v>
      </c>
      <c r="AA3395" s="21" t="str">
        <f>HYPERLINK("https://www.ncbi.nlm.nih.gov/nuccore/MG593800","NCBI Nucleotide")</f>
        <v>NCBI Nucleotide</v>
      </c>
    </row>
    <row r="3396" spans="1:27" x14ac:dyDescent="0.35">
      <c r="A3396">
        <v>1004524</v>
      </c>
      <c r="B3396">
        <v>3372</v>
      </c>
      <c r="C3396">
        <v>1</v>
      </c>
      <c r="D3396" s="17" t="s">
        <v>155</v>
      </c>
      <c r="E3396" s="17"/>
      <c r="F3396" s="17" t="s">
        <v>156</v>
      </c>
      <c r="G3396" s="17"/>
      <c r="H3396" s="17" t="s">
        <v>692</v>
      </c>
      <c r="I3396" s="17"/>
      <c r="J3396" s="17" t="s">
        <v>693</v>
      </c>
      <c r="K3396" s="17"/>
      <c r="L3396" s="17"/>
      <c r="M3396" s="17"/>
      <c r="N3396" s="17"/>
      <c r="O3396" s="17"/>
      <c r="P3396" s="17" t="s">
        <v>701</v>
      </c>
      <c r="Q3396" s="17"/>
      <c r="R3396" s="25" t="str">
        <f>HYPERLINK("https://ictv.global/taxonomy/taxondetails?taxnode_id=202300364","Abouovirus abouo")</f>
        <v>Abouovirus abouo</v>
      </c>
      <c r="S3396" s="18" t="s">
        <v>30</v>
      </c>
      <c r="T3396" s="18" t="s">
        <v>702</v>
      </c>
      <c r="U3396" s="18"/>
      <c r="V3396" s="18"/>
      <c r="W3396" s="18" t="s">
        <v>703</v>
      </c>
      <c r="X3396" s="18" t="s">
        <v>42</v>
      </c>
      <c r="Y3396" s="18" t="s">
        <v>36</v>
      </c>
      <c r="Z3396" s="18" t="s">
        <v>697</v>
      </c>
      <c r="AA3396" s="21" t="str">
        <f>HYPERLINK("https://www.ncbi.nlm.nih.gov/nuccore/KC595517","NCBI Nucleotide")</f>
        <v>NCBI Nucleotide</v>
      </c>
    </row>
    <row r="3397" spans="1:27" x14ac:dyDescent="0.35">
      <c r="A3397">
        <v>1004525</v>
      </c>
      <c r="B3397">
        <v>3373</v>
      </c>
      <c r="C3397">
        <v>1</v>
      </c>
      <c r="D3397" s="17" t="s">
        <v>155</v>
      </c>
      <c r="E3397" s="17"/>
      <c r="F3397" s="17" t="s">
        <v>156</v>
      </c>
      <c r="G3397" s="17"/>
      <c r="H3397" s="17" t="s">
        <v>692</v>
      </c>
      <c r="I3397" s="17"/>
      <c r="J3397" s="17" t="s">
        <v>693</v>
      </c>
      <c r="K3397" s="17"/>
      <c r="L3397" s="17"/>
      <c r="M3397" s="17"/>
      <c r="N3397" s="17"/>
      <c r="O3397" s="17"/>
      <c r="P3397" s="17" t="s">
        <v>701</v>
      </c>
      <c r="Q3397" s="17"/>
      <c r="R3397" s="25" t="str">
        <f>HYPERLINK("https://ictv.global/taxonomy/taxondetails?taxnode_id=202300365","Abouovirus davies")</f>
        <v>Abouovirus davies</v>
      </c>
      <c r="S3397" s="18" t="s">
        <v>30</v>
      </c>
      <c r="T3397" s="18" t="s">
        <v>704</v>
      </c>
      <c r="U3397" s="18"/>
      <c r="V3397" s="18"/>
      <c r="W3397" s="18" t="s">
        <v>705</v>
      </c>
      <c r="X3397" s="18" t="s">
        <v>42</v>
      </c>
      <c r="Y3397" s="18" t="s">
        <v>36</v>
      </c>
      <c r="Z3397" s="18" t="s">
        <v>697</v>
      </c>
      <c r="AA3397" s="21" t="str">
        <f>HYPERLINK("https://www.ncbi.nlm.nih.gov/nuccore/KC595518","NCBI Nucleotide")</f>
        <v>NCBI Nucleotide</v>
      </c>
    </row>
    <row r="3398" spans="1:27" x14ac:dyDescent="0.35">
      <c r="A3398">
        <v>1004526</v>
      </c>
      <c r="B3398">
        <v>3374</v>
      </c>
      <c r="C3398">
        <v>1</v>
      </c>
      <c r="D3398" s="17" t="s">
        <v>155</v>
      </c>
      <c r="E3398" s="17"/>
      <c r="F3398" s="17" t="s">
        <v>156</v>
      </c>
      <c r="G3398" s="17"/>
      <c r="H3398" s="17" t="s">
        <v>692</v>
      </c>
      <c r="I3398" s="17"/>
      <c r="J3398" s="17" t="s">
        <v>693</v>
      </c>
      <c r="K3398" s="17"/>
      <c r="L3398" s="17"/>
      <c r="M3398" s="17"/>
      <c r="N3398" s="17"/>
      <c r="O3398" s="17"/>
      <c r="P3398" s="17" t="s">
        <v>706</v>
      </c>
      <c r="Q3398" s="17"/>
      <c r="R3398" s="25" t="str">
        <f>HYPERLINK("https://ictv.global/taxonomy/taxondetails?taxnode_id=202314964","Adaiavirus adaia")</f>
        <v>Adaiavirus adaia</v>
      </c>
      <c r="S3398" s="18" t="s">
        <v>30</v>
      </c>
      <c r="T3398" s="18" t="s">
        <v>707</v>
      </c>
      <c r="U3398" s="18"/>
      <c r="V3398" s="18"/>
      <c r="W3398" s="18" t="s">
        <v>708</v>
      </c>
      <c r="X3398" s="18" t="s">
        <v>42</v>
      </c>
      <c r="Y3398" s="18" t="s">
        <v>36</v>
      </c>
      <c r="Z3398" s="18" t="s">
        <v>697</v>
      </c>
      <c r="AA3398" s="21" t="str">
        <f>HYPERLINK("https://www.ncbi.nlm.nih.gov/nuccore/MH834594","NCBI Nucleotide")</f>
        <v>NCBI Nucleotide</v>
      </c>
    </row>
    <row r="3399" spans="1:27" x14ac:dyDescent="0.35">
      <c r="A3399">
        <v>1004527</v>
      </c>
      <c r="B3399">
        <v>3375</v>
      </c>
      <c r="C3399">
        <v>1</v>
      </c>
      <c r="D3399" s="17" t="s">
        <v>155</v>
      </c>
      <c r="E3399" s="17"/>
      <c r="F3399" s="17" t="s">
        <v>156</v>
      </c>
      <c r="G3399" s="17"/>
      <c r="H3399" s="17" t="s">
        <v>692</v>
      </c>
      <c r="I3399" s="17"/>
      <c r="J3399" s="17" t="s">
        <v>693</v>
      </c>
      <c r="K3399" s="17"/>
      <c r="L3399" s="17"/>
      <c r="M3399" s="17"/>
      <c r="N3399" s="17"/>
      <c r="O3399" s="17"/>
      <c r="P3399" s="17" t="s">
        <v>709</v>
      </c>
      <c r="Q3399" s="17"/>
      <c r="R3399" s="25" t="str">
        <f>HYPERLINK("https://ictv.global/taxonomy/taxondetails?taxnode_id=202309142","Agmunavirus AGM1")</f>
        <v>Agmunavirus AGM1</v>
      </c>
      <c r="S3399" s="18" t="s">
        <v>30</v>
      </c>
      <c r="T3399" s="18" t="s">
        <v>710</v>
      </c>
      <c r="U3399" s="18"/>
      <c r="V3399" s="18"/>
      <c r="W3399" s="18" t="s">
        <v>711</v>
      </c>
      <c r="X3399" s="18" t="s">
        <v>42</v>
      </c>
      <c r="Y3399" s="18" t="s">
        <v>36</v>
      </c>
      <c r="Z3399" s="18" t="s">
        <v>697</v>
      </c>
      <c r="AA3399" s="21" t="str">
        <f>HYPERLINK("https://www.ncbi.nlm.nih.gov/nuccore/MN023176","NCBI Nucleotide")</f>
        <v>NCBI Nucleotide</v>
      </c>
    </row>
    <row r="3400" spans="1:27" x14ac:dyDescent="0.35">
      <c r="A3400">
        <v>1004534</v>
      </c>
      <c r="B3400">
        <v>3376</v>
      </c>
      <c r="C3400">
        <v>1</v>
      </c>
      <c r="D3400" s="17" t="s">
        <v>155</v>
      </c>
      <c r="E3400" s="17"/>
      <c r="F3400" s="17" t="s">
        <v>156</v>
      </c>
      <c r="G3400" s="17"/>
      <c r="H3400" s="17" t="s">
        <v>692</v>
      </c>
      <c r="I3400" s="17"/>
      <c r="J3400" s="17" t="s">
        <v>693</v>
      </c>
      <c r="K3400" s="17"/>
      <c r="L3400" s="17"/>
      <c r="M3400" s="17"/>
      <c r="N3400" s="17"/>
      <c r="O3400" s="17"/>
      <c r="P3400" s="17" t="s">
        <v>725</v>
      </c>
      <c r="Q3400" s="17"/>
      <c r="R3400" s="25" t="str">
        <f>HYPERLINK("https://ictv.global/taxonomy/taxondetails?taxnode_id=202309360","Aguilavirus mEp043")</f>
        <v>Aguilavirus mEp043</v>
      </c>
      <c r="S3400" s="18" t="s">
        <v>30</v>
      </c>
      <c r="T3400" s="18" t="s">
        <v>726</v>
      </c>
      <c r="U3400" s="18"/>
      <c r="V3400" s="18"/>
      <c r="W3400" s="18" t="s">
        <v>727</v>
      </c>
      <c r="X3400" s="18" t="s">
        <v>42</v>
      </c>
      <c r="Y3400" s="18" t="s">
        <v>36</v>
      </c>
      <c r="Z3400" s="18" t="s">
        <v>697</v>
      </c>
      <c r="AA3400" s="21" t="str">
        <f>HYPERLINK("https://www.ncbi.nlm.nih.gov/nuccore/JQ182734","NCBI Nucleotide")</f>
        <v>NCBI Nucleotide</v>
      </c>
    </row>
    <row r="3401" spans="1:27" x14ac:dyDescent="0.35">
      <c r="A3401">
        <v>1004535</v>
      </c>
      <c r="B3401">
        <v>3377</v>
      </c>
      <c r="C3401">
        <v>1</v>
      </c>
      <c r="D3401" s="17" t="s">
        <v>155</v>
      </c>
      <c r="E3401" s="17"/>
      <c r="F3401" s="17" t="s">
        <v>156</v>
      </c>
      <c r="G3401" s="17"/>
      <c r="H3401" s="17" t="s">
        <v>692</v>
      </c>
      <c r="I3401" s="17"/>
      <c r="J3401" s="17" t="s">
        <v>693</v>
      </c>
      <c r="K3401" s="17"/>
      <c r="L3401" s="17"/>
      <c r="M3401" s="17"/>
      <c r="N3401" s="17"/>
      <c r="O3401" s="17"/>
      <c r="P3401" s="17" t="s">
        <v>725</v>
      </c>
      <c r="Q3401" s="17"/>
      <c r="R3401" s="25" t="str">
        <f>HYPERLINK("https://ictv.global/taxonomy/taxondetails?taxnode_id=202309361","Aguilavirus mEp213")</f>
        <v>Aguilavirus mEp213</v>
      </c>
      <c r="S3401" s="18" t="s">
        <v>30</v>
      </c>
      <c r="T3401" s="18" t="s">
        <v>728</v>
      </c>
      <c r="U3401" s="18"/>
      <c r="V3401" s="18"/>
      <c r="W3401" s="18" t="s">
        <v>729</v>
      </c>
      <c r="X3401" s="18" t="s">
        <v>42</v>
      </c>
      <c r="Y3401" s="18" t="s">
        <v>36</v>
      </c>
      <c r="Z3401" s="18" t="s">
        <v>697</v>
      </c>
      <c r="AA3401" s="21" t="str">
        <f>HYPERLINK("https://www.ncbi.nlm.nih.gov/nuccore/JQ182733","NCBI Nucleotide")</f>
        <v>NCBI Nucleotide</v>
      </c>
    </row>
    <row r="3402" spans="1:27" x14ac:dyDescent="0.35">
      <c r="A3402">
        <v>1024660</v>
      </c>
      <c r="B3402">
        <v>3378</v>
      </c>
      <c r="C3402">
        <v>1</v>
      </c>
      <c r="D3402" s="17" t="s">
        <v>155</v>
      </c>
      <c r="E3402" s="17"/>
      <c r="F3402" s="17" t="s">
        <v>156</v>
      </c>
      <c r="G3402" s="17"/>
      <c r="H3402" s="17" t="s">
        <v>692</v>
      </c>
      <c r="I3402" s="17"/>
      <c r="J3402" s="17" t="s">
        <v>693</v>
      </c>
      <c r="K3402" s="17"/>
      <c r="L3402" s="17"/>
      <c r="M3402" s="17"/>
      <c r="N3402" s="17"/>
      <c r="O3402" s="17"/>
      <c r="P3402" s="17" t="s">
        <v>39811</v>
      </c>
      <c r="Q3402" s="17"/>
      <c r="R3402" s="25" t="str">
        <f>HYPERLINK("https://ictv.global/taxonomy/taxondetails?taxnode_id=202317786","Ahotrevirus AH03")</f>
        <v>Ahotrevirus AH03</v>
      </c>
      <c r="S3402" s="18" t="s">
        <v>30</v>
      </c>
      <c r="T3402" s="18" t="s">
        <v>39812</v>
      </c>
      <c r="U3402" s="18"/>
      <c r="V3402" s="18"/>
      <c r="W3402" s="18" t="s">
        <v>48450</v>
      </c>
      <c r="X3402" s="18" t="s">
        <v>42</v>
      </c>
      <c r="Y3402" s="18" t="s">
        <v>36</v>
      </c>
      <c r="Z3402" s="18" t="s">
        <v>697</v>
      </c>
      <c r="AA3402" s="21" t="str">
        <f>HYPERLINK("https://www.ncbi.nlm.nih.gov/nuccore/MZ501266","NCBI Nucleotide")</f>
        <v>NCBI Nucleotide</v>
      </c>
    </row>
    <row r="3403" spans="1:27" x14ac:dyDescent="0.35">
      <c r="A3403">
        <v>1004536</v>
      </c>
      <c r="B3403">
        <v>3379</v>
      </c>
      <c r="C3403">
        <v>1</v>
      </c>
      <c r="D3403" s="17" t="s">
        <v>155</v>
      </c>
      <c r="E3403" s="17"/>
      <c r="F3403" s="17" t="s">
        <v>156</v>
      </c>
      <c r="G3403" s="17"/>
      <c r="H3403" s="17" t="s">
        <v>692</v>
      </c>
      <c r="I3403" s="17"/>
      <c r="J3403" s="17" t="s">
        <v>693</v>
      </c>
      <c r="K3403" s="17"/>
      <c r="L3403" s="17"/>
      <c r="M3403" s="17"/>
      <c r="N3403" s="17"/>
      <c r="O3403" s="17"/>
      <c r="P3403" s="17" t="s">
        <v>730</v>
      </c>
      <c r="Q3403" s="17"/>
      <c r="R3403" s="25" t="str">
        <f>HYPERLINK("https://ictv.global/taxonomy/taxondetails?taxnode_id=202313631","Akiravirus akira")</f>
        <v>Akiravirus akira</v>
      </c>
      <c r="S3403" s="18" t="s">
        <v>30</v>
      </c>
      <c r="T3403" s="18" t="s">
        <v>731</v>
      </c>
      <c r="U3403" s="18"/>
      <c r="V3403" s="18"/>
      <c r="W3403" s="18" t="s">
        <v>732</v>
      </c>
      <c r="X3403" s="18" t="s">
        <v>42</v>
      </c>
      <c r="Y3403" s="18" t="s">
        <v>36</v>
      </c>
      <c r="Z3403" s="18" t="s">
        <v>697</v>
      </c>
      <c r="AA3403" s="21" t="str">
        <f>HYPERLINK("https://www.ncbi.nlm.nih.gov/nuccore/MK599416","NCBI Nucleotide")</f>
        <v>NCBI Nucleotide</v>
      </c>
    </row>
    <row r="3404" spans="1:27" x14ac:dyDescent="0.35">
      <c r="A3404">
        <v>1004537</v>
      </c>
      <c r="B3404">
        <v>3380</v>
      </c>
      <c r="C3404">
        <v>1</v>
      </c>
      <c r="D3404" s="17" t="s">
        <v>155</v>
      </c>
      <c r="E3404" s="17"/>
      <c r="F3404" s="17" t="s">
        <v>156</v>
      </c>
      <c r="G3404" s="17"/>
      <c r="H3404" s="17" t="s">
        <v>692</v>
      </c>
      <c r="I3404" s="17"/>
      <c r="J3404" s="17" t="s">
        <v>693</v>
      </c>
      <c r="K3404" s="17"/>
      <c r="L3404" s="17"/>
      <c r="M3404" s="17"/>
      <c r="N3404" s="17"/>
      <c r="O3404" s="17"/>
      <c r="P3404" s="17" t="s">
        <v>733</v>
      </c>
      <c r="Q3404" s="17"/>
      <c r="R3404" s="25" t="str">
        <f>HYPERLINK("https://ictv.global/taxonomy/taxondetails?taxnode_id=202309159","Alachuavirus Xp15")</f>
        <v>Alachuavirus Xp15</v>
      </c>
      <c r="S3404" s="18" t="s">
        <v>30</v>
      </c>
      <c r="T3404" s="18" t="s">
        <v>734</v>
      </c>
      <c r="U3404" s="18"/>
      <c r="V3404" s="18"/>
      <c r="W3404" s="18" t="s">
        <v>735</v>
      </c>
      <c r="X3404" s="18" t="s">
        <v>42</v>
      </c>
      <c r="Y3404" s="18" t="s">
        <v>36</v>
      </c>
      <c r="Z3404" s="18" t="s">
        <v>697</v>
      </c>
      <c r="AA3404" s="21" t="str">
        <f>HYPERLINK("https://www.ncbi.nlm.nih.gov/nuccore/AY986977","NCBI Nucleotide")</f>
        <v>NCBI Nucleotide</v>
      </c>
    </row>
    <row r="3405" spans="1:27" x14ac:dyDescent="0.35">
      <c r="A3405">
        <v>1004538</v>
      </c>
      <c r="B3405">
        <v>3381</v>
      </c>
      <c r="C3405">
        <v>1</v>
      </c>
      <c r="D3405" s="17" t="s">
        <v>155</v>
      </c>
      <c r="E3405" s="17"/>
      <c r="F3405" s="17" t="s">
        <v>156</v>
      </c>
      <c r="G3405" s="17"/>
      <c r="H3405" s="17" t="s">
        <v>692</v>
      </c>
      <c r="I3405" s="17"/>
      <c r="J3405" s="17" t="s">
        <v>693</v>
      </c>
      <c r="K3405" s="17"/>
      <c r="L3405" s="17"/>
      <c r="M3405" s="17"/>
      <c r="N3405" s="17"/>
      <c r="O3405" s="17"/>
      <c r="P3405" s="17" t="s">
        <v>736</v>
      </c>
      <c r="Q3405" s="17"/>
      <c r="R3405" s="25" t="str">
        <f>HYPERLINK("https://ictv.global/taxonomy/taxondetails?taxnode_id=202306654","Alcyoneusvirus K641")</f>
        <v>Alcyoneusvirus K641</v>
      </c>
      <c r="S3405" s="18" t="s">
        <v>30</v>
      </c>
      <c r="T3405" s="18" t="s">
        <v>737</v>
      </c>
      <c r="U3405" s="18"/>
      <c r="V3405" s="18"/>
      <c r="W3405" s="18" t="s">
        <v>738</v>
      </c>
      <c r="X3405" s="18" t="s">
        <v>42</v>
      </c>
      <c r="Y3405" s="18" t="s">
        <v>36</v>
      </c>
      <c r="Z3405" s="18" t="s">
        <v>697</v>
      </c>
      <c r="AA3405" s="21" t="str">
        <f>HYPERLINK("https://www.ncbi.nlm.nih.gov/nuccore/AB897757","NCBI Nucleotide")</f>
        <v>NCBI Nucleotide</v>
      </c>
    </row>
    <row r="3406" spans="1:27" x14ac:dyDescent="0.35">
      <c r="A3406">
        <v>1004539</v>
      </c>
      <c r="B3406">
        <v>3382</v>
      </c>
      <c r="C3406">
        <v>1</v>
      </c>
      <c r="D3406" s="17" t="s">
        <v>155</v>
      </c>
      <c r="E3406" s="17"/>
      <c r="F3406" s="17" t="s">
        <v>156</v>
      </c>
      <c r="G3406" s="17"/>
      <c r="H3406" s="17" t="s">
        <v>692</v>
      </c>
      <c r="I3406" s="17"/>
      <c r="J3406" s="17" t="s">
        <v>693</v>
      </c>
      <c r="K3406" s="17"/>
      <c r="L3406" s="17"/>
      <c r="M3406" s="17"/>
      <c r="N3406" s="17"/>
      <c r="O3406" s="17"/>
      <c r="P3406" s="17" t="s">
        <v>736</v>
      </c>
      <c r="Q3406" s="17"/>
      <c r="R3406" s="25" t="str">
        <f>HYPERLINK("https://ictv.global/taxonomy/taxondetails?taxnode_id=202306655","Alcyoneusvirus RaK2")</f>
        <v>Alcyoneusvirus RaK2</v>
      </c>
      <c r="S3406" s="18" t="s">
        <v>30</v>
      </c>
      <c r="T3406" s="18" t="s">
        <v>739</v>
      </c>
      <c r="U3406" s="18"/>
      <c r="V3406" s="18"/>
      <c r="W3406" s="18" t="s">
        <v>740</v>
      </c>
      <c r="X3406" s="18" t="s">
        <v>42</v>
      </c>
      <c r="Y3406" s="18" t="s">
        <v>36</v>
      </c>
      <c r="Z3406" s="18" t="s">
        <v>697</v>
      </c>
      <c r="AA3406" s="21" t="str">
        <f>HYPERLINK("https://www.ncbi.nlm.nih.gov/nuccore/JQ513383","NCBI Nucleotide")</f>
        <v>NCBI Nucleotide</v>
      </c>
    </row>
    <row r="3407" spans="1:27" x14ac:dyDescent="0.35">
      <c r="A3407">
        <v>1004540</v>
      </c>
      <c r="B3407">
        <v>3383</v>
      </c>
      <c r="C3407">
        <v>1</v>
      </c>
      <c r="D3407" s="17" t="s">
        <v>155</v>
      </c>
      <c r="E3407" s="17"/>
      <c r="F3407" s="17" t="s">
        <v>156</v>
      </c>
      <c r="G3407" s="17"/>
      <c r="H3407" s="17" t="s">
        <v>692</v>
      </c>
      <c r="I3407" s="17"/>
      <c r="J3407" s="17" t="s">
        <v>693</v>
      </c>
      <c r="K3407" s="17"/>
      <c r="L3407" s="17"/>
      <c r="M3407" s="17"/>
      <c r="N3407" s="17"/>
      <c r="O3407" s="17"/>
      <c r="P3407" s="17" t="s">
        <v>741</v>
      </c>
      <c r="Q3407" s="17"/>
      <c r="R3407" s="25" t="str">
        <f>HYPERLINK("https://ictv.global/taxonomy/taxondetails?taxnode_id=202309353","Alegriavirus av2B8")</f>
        <v>Alegriavirus av2B8</v>
      </c>
      <c r="S3407" s="18" t="s">
        <v>30</v>
      </c>
      <c r="T3407" s="18" t="s">
        <v>742</v>
      </c>
      <c r="U3407" s="18"/>
      <c r="V3407" s="18"/>
      <c r="W3407" s="18" t="s">
        <v>743</v>
      </c>
      <c r="X3407" s="18" t="s">
        <v>42</v>
      </c>
      <c r="Y3407" s="18" t="s">
        <v>36</v>
      </c>
      <c r="Z3407" s="18" t="s">
        <v>697</v>
      </c>
      <c r="AA3407" s="21" t="str">
        <f>HYPERLINK("https://www.ncbi.nlm.nih.gov/nuccore/LR595859","NCBI Nucleotide")</f>
        <v>NCBI Nucleotide</v>
      </c>
    </row>
    <row r="3408" spans="1:27" x14ac:dyDescent="0.35">
      <c r="A3408">
        <v>1004541</v>
      </c>
      <c r="B3408">
        <v>3384</v>
      </c>
      <c r="C3408">
        <v>1</v>
      </c>
      <c r="D3408" s="17" t="s">
        <v>155</v>
      </c>
      <c r="E3408" s="17"/>
      <c r="F3408" s="17" t="s">
        <v>156</v>
      </c>
      <c r="G3408" s="17"/>
      <c r="H3408" s="17" t="s">
        <v>692</v>
      </c>
      <c r="I3408" s="17"/>
      <c r="J3408" s="17" t="s">
        <v>693</v>
      </c>
      <c r="K3408" s="17"/>
      <c r="L3408" s="17"/>
      <c r="M3408" s="17"/>
      <c r="N3408" s="17"/>
      <c r="O3408" s="17"/>
      <c r="P3408" s="17" t="s">
        <v>744</v>
      </c>
      <c r="Q3408" s="17"/>
      <c r="R3408" s="25" t="str">
        <f>HYPERLINK("https://ictv.global/taxonomy/taxondetails?taxnode_id=202307921","Alexandravirus AD1")</f>
        <v>Alexandravirus AD1</v>
      </c>
      <c r="S3408" s="18" t="s">
        <v>30</v>
      </c>
      <c r="T3408" s="18" t="s">
        <v>745</v>
      </c>
      <c r="U3408" s="18"/>
      <c r="V3408" s="18"/>
      <c r="W3408" s="18" t="s">
        <v>746</v>
      </c>
      <c r="X3408" s="18" t="s">
        <v>42</v>
      </c>
      <c r="Y3408" s="18" t="s">
        <v>36</v>
      </c>
      <c r="Z3408" s="18" t="s">
        <v>697</v>
      </c>
      <c r="AA3408" s="21" t="str">
        <f>HYPERLINK("https://www.ncbi.nlm.nih.gov/nuccore/MH460463","NCBI Nucleotide")</f>
        <v>NCBI Nucleotide</v>
      </c>
    </row>
    <row r="3409" spans="1:27" x14ac:dyDescent="0.35">
      <c r="A3409">
        <v>1004542</v>
      </c>
      <c r="B3409">
        <v>3385</v>
      </c>
      <c r="C3409">
        <v>1</v>
      </c>
      <c r="D3409" s="17" t="s">
        <v>155</v>
      </c>
      <c r="E3409" s="17"/>
      <c r="F3409" s="17" t="s">
        <v>156</v>
      </c>
      <c r="G3409" s="17"/>
      <c r="H3409" s="17" t="s">
        <v>692</v>
      </c>
      <c r="I3409" s="17"/>
      <c r="J3409" s="17" t="s">
        <v>693</v>
      </c>
      <c r="K3409" s="17"/>
      <c r="L3409" s="17"/>
      <c r="M3409" s="17"/>
      <c r="N3409" s="17"/>
      <c r="O3409" s="17"/>
      <c r="P3409" s="17" t="s">
        <v>744</v>
      </c>
      <c r="Q3409" s="17"/>
      <c r="R3409" s="25" t="str">
        <f>HYPERLINK("https://ictv.global/taxonomy/taxondetails?taxnode_id=202307920","Alexandravirus alexandra")</f>
        <v>Alexandravirus alexandra</v>
      </c>
      <c r="S3409" s="18" t="s">
        <v>30</v>
      </c>
      <c r="T3409" s="18" t="s">
        <v>747</v>
      </c>
      <c r="U3409" s="18"/>
      <c r="V3409" s="18"/>
      <c r="W3409" s="18" t="s">
        <v>748</v>
      </c>
      <c r="X3409" s="18" t="s">
        <v>42</v>
      </c>
      <c r="Y3409" s="18" t="s">
        <v>36</v>
      </c>
      <c r="Z3409" s="18" t="s">
        <v>697</v>
      </c>
      <c r="AA3409" s="21" t="str">
        <f>HYPERLINK("https://www.ncbi.nlm.nih.gov/nuccore/MH248138","NCBI Nucleotide")</f>
        <v>NCBI Nucleotide</v>
      </c>
    </row>
    <row r="3410" spans="1:27" x14ac:dyDescent="0.35">
      <c r="A3410">
        <v>1004543</v>
      </c>
      <c r="B3410">
        <v>3386</v>
      </c>
      <c r="C3410">
        <v>1</v>
      </c>
      <c r="D3410" s="17" t="s">
        <v>155</v>
      </c>
      <c r="E3410" s="17"/>
      <c r="F3410" s="17" t="s">
        <v>156</v>
      </c>
      <c r="G3410" s="17"/>
      <c r="H3410" s="17" t="s">
        <v>692</v>
      </c>
      <c r="I3410" s="17"/>
      <c r="J3410" s="17" t="s">
        <v>693</v>
      </c>
      <c r="K3410" s="17"/>
      <c r="L3410" s="17"/>
      <c r="M3410" s="17"/>
      <c r="N3410" s="17"/>
      <c r="O3410" s="17"/>
      <c r="P3410" s="17" t="s">
        <v>744</v>
      </c>
      <c r="Q3410" s="17"/>
      <c r="R3410" s="25" t="str">
        <f>HYPERLINK("https://ictv.global/taxonomy/taxondetails?taxnode_id=202314464","Alexandravirus SNUABM1")</f>
        <v>Alexandravirus SNUABM1</v>
      </c>
      <c r="S3410" s="18" t="s">
        <v>30</v>
      </c>
      <c r="T3410" s="18" t="s">
        <v>749</v>
      </c>
      <c r="U3410" s="18"/>
      <c r="V3410" s="18"/>
      <c r="W3410" s="18" t="s">
        <v>750</v>
      </c>
      <c r="X3410" s="18" t="s">
        <v>42</v>
      </c>
      <c r="Y3410" s="18" t="s">
        <v>36</v>
      </c>
      <c r="Z3410" s="18" t="s">
        <v>697</v>
      </c>
      <c r="AA3410" s="21" t="str">
        <f>HYPERLINK("https://www.ncbi.nlm.nih.gov/nuccore/MZ443776","NCBI Nucleotide")</f>
        <v>NCBI Nucleotide</v>
      </c>
    </row>
    <row r="3411" spans="1:27" x14ac:dyDescent="0.35">
      <c r="A3411">
        <v>1004546</v>
      </c>
      <c r="B3411">
        <v>3387</v>
      </c>
      <c r="C3411">
        <v>1</v>
      </c>
      <c r="D3411" s="17" t="s">
        <v>155</v>
      </c>
      <c r="E3411" s="17"/>
      <c r="F3411" s="17" t="s">
        <v>156</v>
      </c>
      <c r="G3411" s="17"/>
      <c r="H3411" s="17" t="s">
        <v>692</v>
      </c>
      <c r="I3411" s="17"/>
      <c r="J3411" s="17" t="s">
        <v>693</v>
      </c>
      <c r="K3411" s="17"/>
      <c r="L3411" s="17"/>
      <c r="M3411" s="17"/>
      <c r="N3411" s="17"/>
      <c r="O3411" s="17"/>
      <c r="P3411" s="17" t="s">
        <v>744</v>
      </c>
      <c r="Q3411" s="17"/>
      <c r="R3411" s="25" t="str">
        <f>HYPERLINK("https://ictv.global/taxonomy/taxondetails?taxnode_id=202314459","Alexandravirus SNUABM2")</f>
        <v>Alexandravirus SNUABM2</v>
      </c>
      <c r="S3411" s="18" t="s">
        <v>30</v>
      </c>
      <c r="T3411" s="18" t="s">
        <v>755</v>
      </c>
      <c r="U3411" s="18"/>
      <c r="V3411" s="18"/>
      <c r="W3411" s="18" t="s">
        <v>756</v>
      </c>
      <c r="X3411" s="18" t="s">
        <v>42</v>
      </c>
      <c r="Y3411" s="18" t="s">
        <v>36</v>
      </c>
      <c r="Z3411" s="18" t="s">
        <v>697</v>
      </c>
      <c r="AA3411" s="21" t="str">
        <f>HYPERLINK("https://www.ncbi.nlm.nih.gov/nuccore/MZ443786","NCBI Nucleotide")</f>
        <v>NCBI Nucleotide</v>
      </c>
    </row>
    <row r="3412" spans="1:27" x14ac:dyDescent="0.35">
      <c r="A3412">
        <v>1004548</v>
      </c>
      <c r="B3412">
        <v>3388</v>
      </c>
      <c r="C3412">
        <v>1</v>
      </c>
      <c r="D3412" s="17" t="s">
        <v>155</v>
      </c>
      <c r="E3412" s="17"/>
      <c r="F3412" s="17" t="s">
        <v>156</v>
      </c>
      <c r="G3412" s="17"/>
      <c r="H3412" s="17" t="s">
        <v>692</v>
      </c>
      <c r="I3412" s="17"/>
      <c r="J3412" s="17" t="s">
        <v>693</v>
      </c>
      <c r="K3412" s="17"/>
      <c r="L3412" s="17"/>
      <c r="M3412" s="17"/>
      <c r="N3412" s="17"/>
      <c r="O3412" s="17"/>
      <c r="P3412" s="17" t="s">
        <v>744</v>
      </c>
      <c r="Q3412" s="17"/>
      <c r="R3412" s="25" t="str">
        <f>HYPERLINK("https://ictv.global/taxonomy/taxondetails?taxnode_id=202314461","Alexandravirus SNUABM3")</f>
        <v>Alexandravirus SNUABM3</v>
      </c>
      <c r="S3412" s="18" t="s">
        <v>30</v>
      </c>
      <c r="T3412" s="18" t="s">
        <v>759</v>
      </c>
      <c r="U3412" s="18"/>
      <c r="V3412" s="18"/>
      <c r="W3412" s="18" t="s">
        <v>760</v>
      </c>
      <c r="X3412" s="18" t="s">
        <v>42</v>
      </c>
      <c r="Y3412" s="18" t="s">
        <v>36</v>
      </c>
      <c r="Z3412" s="18" t="s">
        <v>697</v>
      </c>
      <c r="AA3412" s="21" t="str">
        <f>HYPERLINK("https://www.ncbi.nlm.nih.gov/nuccore/MZ443770","NCBI Nucleotide")</f>
        <v>NCBI Nucleotide</v>
      </c>
    </row>
    <row r="3413" spans="1:27" x14ac:dyDescent="0.35">
      <c r="A3413">
        <v>1004544</v>
      </c>
      <c r="B3413">
        <v>3389</v>
      </c>
      <c r="C3413">
        <v>1</v>
      </c>
      <c r="D3413" s="17" t="s">
        <v>155</v>
      </c>
      <c r="E3413" s="17"/>
      <c r="F3413" s="17" t="s">
        <v>156</v>
      </c>
      <c r="G3413" s="17"/>
      <c r="H3413" s="17" t="s">
        <v>692</v>
      </c>
      <c r="I3413" s="17"/>
      <c r="J3413" s="17" t="s">
        <v>693</v>
      </c>
      <c r="K3413" s="17"/>
      <c r="L3413" s="17"/>
      <c r="M3413" s="17"/>
      <c r="N3413" s="17"/>
      <c r="O3413" s="17"/>
      <c r="P3413" s="17" t="s">
        <v>744</v>
      </c>
      <c r="Q3413" s="17"/>
      <c r="R3413" s="25" t="str">
        <f>HYPERLINK("https://ictv.global/taxonomy/taxondetails?taxnode_id=202314457","Alexandravirus SNUABM16")</f>
        <v>Alexandravirus SNUABM16</v>
      </c>
      <c r="S3413" s="18" t="s">
        <v>30</v>
      </c>
      <c r="T3413" s="18" t="s">
        <v>751</v>
      </c>
      <c r="U3413" s="18"/>
      <c r="V3413" s="18"/>
      <c r="W3413" s="18" t="s">
        <v>752</v>
      </c>
      <c r="X3413" s="18" t="s">
        <v>42</v>
      </c>
      <c r="Y3413" s="18" t="s">
        <v>36</v>
      </c>
      <c r="Z3413" s="18" t="s">
        <v>697</v>
      </c>
      <c r="AA3413" s="21" t="str">
        <f>HYPERLINK("https://www.ncbi.nlm.nih.gov/nuccore/MZ443782","NCBI Nucleotide")</f>
        <v>NCBI Nucleotide</v>
      </c>
    </row>
    <row r="3414" spans="1:27" x14ac:dyDescent="0.35">
      <c r="A3414">
        <v>1004545</v>
      </c>
      <c r="B3414">
        <v>3390</v>
      </c>
      <c r="C3414">
        <v>1</v>
      </c>
      <c r="D3414" s="17" t="s">
        <v>155</v>
      </c>
      <c r="E3414" s="17"/>
      <c r="F3414" s="17" t="s">
        <v>156</v>
      </c>
      <c r="G3414" s="17"/>
      <c r="H3414" s="17" t="s">
        <v>692</v>
      </c>
      <c r="I3414" s="17"/>
      <c r="J3414" s="17" t="s">
        <v>693</v>
      </c>
      <c r="K3414" s="17"/>
      <c r="L3414" s="17"/>
      <c r="M3414" s="17"/>
      <c r="N3414" s="17"/>
      <c r="O3414" s="17"/>
      <c r="P3414" s="17" t="s">
        <v>744</v>
      </c>
      <c r="Q3414" s="17"/>
      <c r="R3414" s="25" t="str">
        <f>HYPERLINK("https://ictv.global/taxonomy/taxondetails?taxnode_id=202314465","Alexandravirus SNUABM17")</f>
        <v>Alexandravirus SNUABM17</v>
      </c>
      <c r="S3414" s="18" t="s">
        <v>30</v>
      </c>
      <c r="T3414" s="18" t="s">
        <v>753</v>
      </c>
      <c r="U3414" s="18"/>
      <c r="V3414" s="18"/>
      <c r="W3414" s="18" t="s">
        <v>754</v>
      </c>
      <c r="X3414" s="18" t="s">
        <v>42</v>
      </c>
      <c r="Y3414" s="18" t="s">
        <v>36</v>
      </c>
      <c r="Z3414" s="18" t="s">
        <v>697</v>
      </c>
      <c r="AA3414" s="21" t="str">
        <f>HYPERLINK("https://www.ncbi.nlm.nih.gov/nuccore/MZ443777","NCBI Nucleotide")</f>
        <v>NCBI Nucleotide</v>
      </c>
    </row>
    <row r="3415" spans="1:27" x14ac:dyDescent="0.35">
      <c r="A3415">
        <v>1004547</v>
      </c>
      <c r="B3415">
        <v>3391</v>
      </c>
      <c r="C3415">
        <v>1</v>
      </c>
      <c r="D3415" s="17" t="s">
        <v>155</v>
      </c>
      <c r="E3415" s="17"/>
      <c r="F3415" s="17" t="s">
        <v>156</v>
      </c>
      <c r="G3415" s="17"/>
      <c r="H3415" s="17" t="s">
        <v>692</v>
      </c>
      <c r="I3415" s="17"/>
      <c r="J3415" s="17" t="s">
        <v>693</v>
      </c>
      <c r="K3415" s="17"/>
      <c r="L3415" s="17"/>
      <c r="M3415" s="17"/>
      <c r="N3415" s="17"/>
      <c r="O3415" s="17"/>
      <c r="P3415" s="17" t="s">
        <v>744</v>
      </c>
      <c r="Q3415" s="17"/>
      <c r="R3415" s="25" t="str">
        <f>HYPERLINK("https://ictv.global/taxonomy/taxondetails?taxnode_id=202314456","Alexandravirus SNUABM22")</f>
        <v>Alexandravirus SNUABM22</v>
      </c>
      <c r="S3415" s="18" t="s">
        <v>30</v>
      </c>
      <c r="T3415" s="18" t="s">
        <v>757</v>
      </c>
      <c r="U3415" s="18"/>
      <c r="V3415" s="18"/>
      <c r="W3415" s="18" t="s">
        <v>758</v>
      </c>
      <c r="X3415" s="18" t="s">
        <v>42</v>
      </c>
      <c r="Y3415" s="18" t="s">
        <v>36</v>
      </c>
      <c r="Z3415" s="18" t="s">
        <v>697</v>
      </c>
      <c r="AA3415" s="21" t="str">
        <f>HYPERLINK("https://www.ncbi.nlm.nih.gov/nuccore/MZ443785","NCBI Nucleotide")</f>
        <v>NCBI Nucleotide</v>
      </c>
    </row>
    <row r="3416" spans="1:27" x14ac:dyDescent="0.35">
      <c r="A3416">
        <v>1004549</v>
      </c>
      <c r="B3416">
        <v>3392</v>
      </c>
      <c r="C3416">
        <v>1</v>
      </c>
      <c r="D3416" s="17" t="s">
        <v>155</v>
      </c>
      <c r="E3416" s="17"/>
      <c r="F3416" s="17" t="s">
        <v>156</v>
      </c>
      <c r="G3416" s="17"/>
      <c r="H3416" s="17" t="s">
        <v>692</v>
      </c>
      <c r="I3416" s="17"/>
      <c r="J3416" s="17" t="s">
        <v>693</v>
      </c>
      <c r="K3416" s="17"/>
      <c r="L3416" s="17"/>
      <c r="M3416" s="17"/>
      <c r="N3416" s="17"/>
      <c r="O3416" s="17"/>
      <c r="P3416" s="17" t="s">
        <v>744</v>
      </c>
      <c r="Q3416" s="17"/>
      <c r="R3416" s="25" t="str">
        <f>HYPERLINK("https://ictv.global/taxonomy/taxondetails?taxnode_id=202314462","Alexandravirus SNUABM30")</f>
        <v>Alexandravirus SNUABM30</v>
      </c>
      <c r="S3416" s="18" t="s">
        <v>30</v>
      </c>
      <c r="T3416" s="18" t="s">
        <v>761</v>
      </c>
      <c r="U3416" s="18"/>
      <c r="V3416" s="18"/>
      <c r="W3416" s="18" t="s">
        <v>762</v>
      </c>
      <c r="X3416" s="18" t="s">
        <v>42</v>
      </c>
      <c r="Y3416" s="18" t="s">
        <v>36</v>
      </c>
      <c r="Z3416" s="18" t="s">
        <v>697</v>
      </c>
      <c r="AA3416" s="21" t="str">
        <f>HYPERLINK("https://www.ncbi.nlm.nih.gov/nuccore/MZ443778","NCBI Nucleotide")</f>
        <v>NCBI Nucleotide</v>
      </c>
    </row>
    <row r="3417" spans="1:27" x14ac:dyDescent="0.35">
      <c r="A3417">
        <v>1004550</v>
      </c>
      <c r="B3417">
        <v>3393</v>
      </c>
      <c r="C3417">
        <v>1</v>
      </c>
      <c r="D3417" s="17" t="s">
        <v>155</v>
      </c>
      <c r="E3417" s="17"/>
      <c r="F3417" s="17" t="s">
        <v>156</v>
      </c>
      <c r="G3417" s="17"/>
      <c r="H3417" s="17" t="s">
        <v>692</v>
      </c>
      <c r="I3417" s="17"/>
      <c r="J3417" s="17" t="s">
        <v>693</v>
      </c>
      <c r="K3417" s="17"/>
      <c r="L3417" s="17"/>
      <c r="M3417" s="17"/>
      <c r="N3417" s="17"/>
      <c r="O3417" s="17"/>
      <c r="P3417" s="17" t="s">
        <v>744</v>
      </c>
      <c r="Q3417" s="17"/>
      <c r="R3417" s="25" t="str">
        <f>HYPERLINK("https://ictv.global/taxonomy/taxondetails?taxnode_id=202314460","Alexandravirus SNUABM32")</f>
        <v>Alexandravirus SNUABM32</v>
      </c>
      <c r="S3417" s="18" t="s">
        <v>30</v>
      </c>
      <c r="T3417" s="18" t="s">
        <v>763</v>
      </c>
      <c r="U3417" s="18"/>
      <c r="V3417" s="18"/>
      <c r="W3417" s="18" t="s">
        <v>764</v>
      </c>
      <c r="X3417" s="18" t="s">
        <v>42</v>
      </c>
      <c r="Y3417" s="18" t="s">
        <v>36</v>
      </c>
      <c r="Z3417" s="18" t="s">
        <v>697</v>
      </c>
      <c r="AA3417" s="21" t="str">
        <f>HYPERLINK("https://www.ncbi.nlm.nih.gov/nuccore/MZ443774","NCBI Nucleotide")</f>
        <v>NCBI Nucleotide</v>
      </c>
    </row>
    <row r="3418" spans="1:27" x14ac:dyDescent="0.35">
      <c r="A3418">
        <v>1004551</v>
      </c>
      <c r="B3418">
        <v>3394</v>
      </c>
      <c r="C3418">
        <v>1</v>
      </c>
      <c r="D3418" s="17" t="s">
        <v>155</v>
      </c>
      <c r="E3418" s="17"/>
      <c r="F3418" s="17" t="s">
        <v>156</v>
      </c>
      <c r="G3418" s="17"/>
      <c r="H3418" s="17" t="s">
        <v>692</v>
      </c>
      <c r="I3418" s="17"/>
      <c r="J3418" s="17" t="s">
        <v>693</v>
      </c>
      <c r="K3418" s="17"/>
      <c r="L3418" s="17"/>
      <c r="M3418" s="17"/>
      <c r="N3418" s="17"/>
      <c r="O3418" s="17"/>
      <c r="P3418" s="17" t="s">
        <v>744</v>
      </c>
      <c r="Q3418" s="17"/>
      <c r="R3418" s="25" t="str">
        <f>HYPERLINK("https://ictv.global/taxonomy/taxondetails?taxnode_id=202314463","Alexandravirus SNUABM33")</f>
        <v>Alexandravirus SNUABM33</v>
      </c>
      <c r="S3418" s="18" t="s">
        <v>30</v>
      </c>
      <c r="T3418" s="18" t="s">
        <v>765</v>
      </c>
      <c r="U3418" s="18"/>
      <c r="V3418" s="18"/>
      <c r="W3418" s="18" t="s">
        <v>766</v>
      </c>
      <c r="X3418" s="18" t="s">
        <v>42</v>
      </c>
      <c r="Y3418" s="18" t="s">
        <v>36</v>
      </c>
      <c r="Z3418" s="18" t="s">
        <v>697</v>
      </c>
      <c r="AA3418" s="21" t="str">
        <f>HYPERLINK("https://www.ncbi.nlm.nih.gov/nuccore/MZ443779","NCBI Nucleotide")</f>
        <v>NCBI Nucleotide</v>
      </c>
    </row>
    <row r="3419" spans="1:27" x14ac:dyDescent="0.35">
      <c r="A3419">
        <v>1004552</v>
      </c>
      <c r="B3419">
        <v>3395</v>
      </c>
      <c r="C3419">
        <v>1</v>
      </c>
      <c r="D3419" s="17" t="s">
        <v>155</v>
      </c>
      <c r="E3419" s="17"/>
      <c r="F3419" s="17" t="s">
        <v>156</v>
      </c>
      <c r="G3419" s="17"/>
      <c r="H3419" s="17" t="s">
        <v>692</v>
      </c>
      <c r="I3419" s="17"/>
      <c r="J3419" s="17" t="s">
        <v>693</v>
      </c>
      <c r="K3419" s="17"/>
      <c r="L3419" s="17"/>
      <c r="M3419" s="17"/>
      <c r="N3419" s="17"/>
      <c r="O3419" s="17"/>
      <c r="P3419" s="17" t="s">
        <v>744</v>
      </c>
      <c r="Q3419" s="17"/>
      <c r="R3419" s="25" t="str">
        <f>HYPERLINK("https://ictv.global/taxonomy/taxondetails?taxnode_id=202314458","Alexandravirus SNUABM35")</f>
        <v>Alexandravirus SNUABM35</v>
      </c>
      <c r="S3419" s="18" t="s">
        <v>30</v>
      </c>
      <c r="T3419" s="18" t="s">
        <v>767</v>
      </c>
      <c r="U3419" s="18"/>
      <c r="V3419" s="18"/>
      <c r="W3419" s="18" t="s">
        <v>768</v>
      </c>
      <c r="X3419" s="18" t="s">
        <v>42</v>
      </c>
      <c r="Y3419" s="18" t="s">
        <v>36</v>
      </c>
      <c r="Z3419" s="18" t="s">
        <v>697</v>
      </c>
      <c r="AA3419" s="21" t="str">
        <f>HYPERLINK("https://www.ncbi.nlm.nih.gov/nuccore/MZ443788","NCBI Nucleotide")</f>
        <v>NCBI Nucleotide</v>
      </c>
    </row>
    <row r="3420" spans="1:27" x14ac:dyDescent="0.35">
      <c r="A3420">
        <v>1024682</v>
      </c>
      <c r="B3420">
        <v>3396</v>
      </c>
      <c r="C3420">
        <v>1</v>
      </c>
      <c r="D3420" s="17" t="s">
        <v>155</v>
      </c>
      <c r="E3420" s="17"/>
      <c r="F3420" s="17" t="s">
        <v>156</v>
      </c>
      <c r="G3420" s="17"/>
      <c r="H3420" s="17" t="s">
        <v>692</v>
      </c>
      <c r="I3420" s="17"/>
      <c r="J3420" s="17" t="s">
        <v>693</v>
      </c>
      <c r="K3420" s="17"/>
      <c r="L3420" s="17"/>
      <c r="M3420" s="17"/>
      <c r="N3420" s="17"/>
      <c r="O3420" s="17"/>
      <c r="P3420" s="17" t="s">
        <v>39813</v>
      </c>
      <c r="Q3420" s="17"/>
      <c r="R3420" s="25" t="str">
        <f>HYPERLINK("https://ictv.global/taxonomy/taxondetails?taxnode_id=202317765","Amherstvirus pineapplepizza")</f>
        <v>Amherstvirus pineapplepizza</v>
      </c>
      <c r="S3420" s="18" t="s">
        <v>30</v>
      </c>
      <c r="T3420" s="18" t="s">
        <v>39814</v>
      </c>
      <c r="U3420" s="18"/>
      <c r="V3420" s="18"/>
      <c r="W3420" s="18" t="s">
        <v>48451</v>
      </c>
      <c r="X3420" s="18" t="s">
        <v>42</v>
      </c>
      <c r="Y3420" s="18" t="s">
        <v>36</v>
      </c>
      <c r="Z3420" s="18" t="s">
        <v>697</v>
      </c>
      <c r="AA3420" s="21" t="str">
        <f>HYPERLINK("https://www.ncbi.nlm.nih.gov/nuccore/ON724010","NCBI Nucleotide")</f>
        <v>NCBI Nucleotide</v>
      </c>
    </row>
    <row r="3421" spans="1:27" x14ac:dyDescent="0.35">
      <c r="A3421">
        <v>1004553</v>
      </c>
      <c r="B3421">
        <v>3397</v>
      </c>
      <c r="C3421">
        <v>1</v>
      </c>
      <c r="D3421" s="17" t="s">
        <v>155</v>
      </c>
      <c r="E3421" s="17"/>
      <c r="F3421" s="17" t="s">
        <v>156</v>
      </c>
      <c r="G3421" s="17"/>
      <c r="H3421" s="17" t="s">
        <v>692</v>
      </c>
      <c r="I3421" s="17"/>
      <c r="J3421" s="17" t="s">
        <v>693</v>
      </c>
      <c r="K3421" s="17"/>
      <c r="L3421" s="17"/>
      <c r="M3421" s="17"/>
      <c r="N3421" s="17"/>
      <c r="O3421" s="17"/>
      <c r="P3421" s="17" t="s">
        <v>769</v>
      </c>
      <c r="Q3421" s="17"/>
      <c r="R3421" s="25" t="str">
        <f>HYPERLINK("https://ictv.global/taxonomy/taxondetails?taxnode_id=202300843","Amigovirus amigo")</f>
        <v>Amigovirus amigo</v>
      </c>
      <c r="S3421" s="18" t="s">
        <v>30</v>
      </c>
      <c r="T3421" s="18" t="s">
        <v>770</v>
      </c>
      <c r="U3421" s="18"/>
      <c r="V3421" s="18"/>
      <c r="W3421" s="18" t="s">
        <v>771</v>
      </c>
      <c r="X3421" s="18" t="s">
        <v>42</v>
      </c>
      <c r="Y3421" s="18" t="s">
        <v>36</v>
      </c>
      <c r="Z3421" s="18" t="s">
        <v>697</v>
      </c>
      <c r="AA3421" s="21" t="str">
        <f>HYPERLINK("https://www.ncbi.nlm.nih.gov/nuccore/KU160638","NCBI Nucleotide")</f>
        <v>NCBI Nucleotide</v>
      </c>
    </row>
    <row r="3422" spans="1:27" x14ac:dyDescent="0.35">
      <c r="A3422">
        <v>1004554</v>
      </c>
      <c r="B3422">
        <v>3398</v>
      </c>
      <c r="C3422">
        <v>1</v>
      </c>
      <c r="D3422" s="17" t="s">
        <v>155</v>
      </c>
      <c r="E3422" s="17"/>
      <c r="F3422" s="17" t="s">
        <v>156</v>
      </c>
      <c r="G3422" s="17"/>
      <c r="H3422" s="17" t="s">
        <v>692</v>
      </c>
      <c r="I3422" s="17"/>
      <c r="J3422" s="17" t="s">
        <v>693</v>
      </c>
      <c r="K3422" s="17"/>
      <c r="L3422" s="17"/>
      <c r="M3422" s="17"/>
      <c r="N3422" s="17"/>
      <c r="O3422" s="17"/>
      <c r="P3422" s="17" t="s">
        <v>769</v>
      </c>
      <c r="Q3422" s="17"/>
      <c r="R3422" s="25" t="str">
        <f>HYPERLINK("https://ictv.global/taxonomy/taxondetails?taxnode_id=202306757","Amigovirus molivia")</f>
        <v>Amigovirus molivia</v>
      </c>
      <c r="S3422" s="18" t="s">
        <v>30</v>
      </c>
      <c r="T3422" s="18" t="s">
        <v>772</v>
      </c>
      <c r="U3422" s="18"/>
      <c r="V3422" s="18"/>
      <c r="W3422" s="18" t="s">
        <v>773</v>
      </c>
      <c r="X3422" s="18" t="s">
        <v>42</v>
      </c>
      <c r="Y3422" s="18" t="s">
        <v>36</v>
      </c>
      <c r="Z3422" s="18" t="s">
        <v>697</v>
      </c>
      <c r="AA3422" s="21" t="str">
        <f>HYPERLINK("https://www.ncbi.nlm.nih.gov/nuccore/MF185731","NCBI Nucleotide")</f>
        <v>NCBI Nucleotide</v>
      </c>
    </row>
    <row r="3423" spans="1:27" x14ac:dyDescent="0.35">
      <c r="A3423">
        <v>1024683</v>
      </c>
      <c r="B3423">
        <v>3399</v>
      </c>
      <c r="C3423">
        <v>1</v>
      </c>
      <c r="D3423" s="17" t="s">
        <v>155</v>
      </c>
      <c r="E3423" s="17"/>
      <c r="F3423" s="17" t="s">
        <v>156</v>
      </c>
      <c r="G3423" s="17"/>
      <c r="H3423" s="17" t="s">
        <v>692</v>
      </c>
      <c r="I3423" s="17"/>
      <c r="J3423" s="17" t="s">
        <v>693</v>
      </c>
      <c r="K3423" s="17"/>
      <c r="L3423" s="17"/>
      <c r="M3423" s="17"/>
      <c r="N3423" s="17"/>
      <c r="O3423" s="17"/>
      <c r="P3423" s="17" t="s">
        <v>39815</v>
      </c>
      <c r="Q3423" s="17"/>
      <c r="R3423" s="25" t="str">
        <f>HYPERLINK("https://ictv.global/taxonomy/taxondetails?taxnode_id=202319223","Amiranvirus Gecefs9")</f>
        <v>Amiranvirus Gecefs9</v>
      </c>
      <c r="S3423" s="18" t="s">
        <v>30</v>
      </c>
      <c r="T3423" s="18" t="s">
        <v>39816</v>
      </c>
      <c r="U3423" s="18"/>
      <c r="V3423" s="18"/>
      <c r="W3423" s="18" t="s">
        <v>48452</v>
      </c>
      <c r="X3423" s="18" t="s">
        <v>42</v>
      </c>
      <c r="Y3423" s="18" t="s">
        <v>36</v>
      </c>
      <c r="Z3423" s="18" t="s">
        <v>697</v>
      </c>
      <c r="AA3423" s="21" t="str">
        <f>HYPERLINK("https://www.ncbi.nlm.nih.gov/nuccore/MW672041","NCBI Nucleotide")</f>
        <v>NCBI Nucleotide</v>
      </c>
    </row>
    <row r="3424" spans="1:27" x14ac:dyDescent="0.35">
      <c r="A3424">
        <v>1004555</v>
      </c>
      <c r="B3424">
        <v>3400</v>
      </c>
      <c r="C3424">
        <v>1</v>
      </c>
      <c r="D3424" s="17" t="s">
        <v>155</v>
      </c>
      <c r="E3424" s="17"/>
      <c r="F3424" s="17" t="s">
        <v>156</v>
      </c>
      <c r="G3424" s="17"/>
      <c r="H3424" s="17" t="s">
        <v>692</v>
      </c>
      <c r="I3424" s="17"/>
      <c r="J3424" s="17" t="s">
        <v>693</v>
      </c>
      <c r="K3424" s="17"/>
      <c r="L3424" s="17"/>
      <c r="M3424" s="17"/>
      <c r="N3424" s="17"/>
      <c r="O3424" s="17"/>
      <c r="P3424" s="17" t="s">
        <v>774</v>
      </c>
      <c r="Q3424" s="17"/>
      <c r="R3424" s="25" t="str">
        <f>HYPERLINK("https://ictv.global/taxonomy/taxondetails?taxnode_id=202307910","Anamdongvirus LBR48")</f>
        <v>Anamdongvirus LBR48</v>
      </c>
      <c r="S3424" s="18" t="s">
        <v>30</v>
      </c>
      <c r="T3424" s="18" t="s">
        <v>775</v>
      </c>
      <c r="U3424" s="18"/>
      <c r="V3424" s="18"/>
      <c r="W3424" s="18" t="s">
        <v>776</v>
      </c>
      <c r="X3424" s="18" t="s">
        <v>42</v>
      </c>
      <c r="Y3424" s="18" t="s">
        <v>36</v>
      </c>
      <c r="Z3424" s="18" t="s">
        <v>697</v>
      </c>
      <c r="AA3424" s="21" t="str">
        <f>HYPERLINK("https://www.ncbi.nlm.nih.gov/nuccore/GU967410","NCBI Nucleotide")</f>
        <v>NCBI Nucleotide</v>
      </c>
    </row>
    <row r="3425" spans="1:27" x14ac:dyDescent="0.35">
      <c r="A3425">
        <v>1004556</v>
      </c>
      <c r="B3425">
        <v>3401</v>
      </c>
      <c r="C3425">
        <v>1</v>
      </c>
      <c r="D3425" s="17" t="s">
        <v>155</v>
      </c>
      <c r="E3425" s="17"/>
      <c r="F3425" s="17" t="s">
        <v>156</v>
      </c>
      <c r="G3425" s="17"/>
      <c r="H3425" s="17" t="s">
        <v>692</v>
      </c>
      <c r="I3425" s="17"/>
      <c r="J3425" s="17" t="s">
        <v>693</v>
      </c>
      <c r="K3425" s="17"/>
      <c r="L3425" s="17"/>
      <c r="M3425" s="17"/>
      <c r="N3425" s="17"/>
      <c r="O3425" s="17"/>
      <c r="P3425" s="17" t="s">
        <v>777</v>
      </c>
      <c r="Q3425" s="17"/>
      <c r="R3425" s="25" t="str">
        <f>HYPERLINK("https://ictv.global/taxonomy/taxondetails?taxnode_id=202305538","Anatolevirus anatole")</f>
        <v>Anatolevirus anatole</v>
      </c>
      <c r="S3425" s="18" t="s">
        <v>30</v>
      </c>
      <c r="T3425" s="18" t="s">
        <v>778</v>
      </c>
      <c r="U3425" s="18"/>
      <c r="V3425" s="18"/>
      <c r="W3425" s="18" t="s">
        <v>779</v>
      </c>
      <c r="X3425" s="18" t="s">
        <v>42</v>
      </c>
      <c r="Y3425" s="18" t="s">
        <v>36</v>
      </c>
      <c r="Z3425" s="18" t="s">
        <v>697</v>
      </c>
      <c r="AA3425" s="21" t="str">
        <f>HYPERLINK("https://www.ncbi.nlm.nih.gov/nuccore/KX620748","NCBI Nucleotide")</f>
        <v>NCBI Nucleotide</v>
      </c>
    </row>
    <row r="3426" spans="1:27" x14ac:dyDescent="0.35">
      <c r="A3426">
        <v>1004557</v>
      </c>
      <c r="B3426">
        <v>3402</v>
      </c>
      <c r="C3426">
        <v>1</v>
      </c>
      <c r="D3426" s="17" t="s">
        <v>155</v>
      </c>
      <c r="E3426" s="17"/>
      <c r="F3426" s="17" t="s">
        <v>156</v>
      </c>
      <c r="G3426" s="17"/>
      <c r="H3426" s="17" t="s">
        <v>692</v>
      </c>
      <c r="I3426" s="17"/>
      <c r="J3426" s="17" t="s">
        <v>693</v>
      </c>
      <c r="K3426" s="17"/>
      <c r="L3426" s="17"/>
      <c r="M3426" s="17"/>
      <c r="N3426" s="17"/>
      <c r="O3426" s="17"/>
      <c r="P3426" s="17" t="s">
        <v>777</v>
      </c>
      <c r="Q3426" s="17"/>
      <c r="R3426" s="25" t="str">
        <f>HYPERLINK("https://ictv.global/taxonomy/taxondetails?taxnode_id=202305539","Anatolevirus B3")</f>
        <v>Anatolevirus B3</v>
      </c>
      <c r="S3426" s="18" t="s">
        <v>30</v>
      </c>
      <c r="T3426" s="18" t="s">
        <v>780</v>
      </c>
      <c r="U3426" s="18"/>
      <c r="V3426" s="18"/>
      <c r="W3426" s="18" t="s">
        <v>781</v>
      </c>
      <c r="X3426" s="18" t="s">
        <v>42</v>
      </c>
      <c r="Y3426" s="18" t="s">
        <v>36</v>
      </c>
      <c r="Z3426" s="18" t="s">
        <v>697</v>
      </c>
      <c r="AA3426" s="21" t="str">
        <f>HYPERLINK("https://www.ncbi.nlm.nih.gov/nuccore/KX620749","NCBI Nucleotide")</f>
        <v>NCBI Nucleotide</v>
      </c>
    </row>
    <row r="3427" spans="1:27" x14ac:dyDescent="0.35">
      <c r="A3427">
        <v>1004558</v>
      </c>
      <c r="B3427">
        <v>3403</v>
      </c>
      <c r="C3427">
        <v>1</v>
      </c>
      <c r="D3427" s="17" t="s">
        <v>155</v>
      </c>
      <c r="E3427" s="17"/>
      <c r="F3427" s="17" t="s">
        <v>156</v>
      </c>
      <c r="G3427" s="17"/>
      <c r="H3427" s="17" t="s">
        <v>692</v>
      </c>
      <c r="I3427" s="17"/>
      <c r="J3427" s="17" t="s">
        <v>693</v>
      </c>
      <c r="K3427" s="17"/>
      <c r="L3427" s="17"/>
      <c r="M3427" s="17"/>
      <c r="N3427" s="17"/>
      <c r="O3427" s="17"/>
      <c r="P3427" s="17" t="s">
        <v>782</v>
      </c>
      <c r="Q3427" s="17"/>
      <c r="R3427" s="25" t="str">
        <f>HYPERLINK("https://ictv.global/taxonomy/taxondetails?taxnode_id=202307734","Andrewvirus andrew")</f>
        <v>Andrewvirus andrew</v>
      </c>
      <c r="S3427" s="18" t="s">
        <v>30</v>
      </c>
      <c r="T3427" s="18" t="s">
        <v>783</v>
      </c>
      <c r="U3427" s="18"/>
      <c r="V3427" s="18"/>
      <c r="W3427" s="18" t="s">
        <v>784</v>
      </c>
      <c r="X3427" s="18" t="s">
        <v>42</v>
      </c>
      <c r="Y3427" s="18" t="s">
        <v>36</v>
      </c>
      <c r="Z3427" s="18" t="s">
        <v>697</v>
      </c>
      <c r="AA3427" s="21" t="str">
        <f>HYPERLINK("https://www.ncbi.nlm.nih.gov/nuccore/MH834595","NCBI Nucleotide")</f>
        <v>NCBI Nucleotide</v>
      </c>
    </row>
    <row r="3428" spans="1:27" x14ac:dyDescent="0.35">
      <c r="A3428">
        <v>1004559</v>
      </c>
      <c r="B3428">
        <v>3404</v>
      </c>
      <c r="C3428">
        <v>1</v>
      </c>
      <c r="D3428" s="17" t="s">
        <v>155</v>
      </c>
      <c r="E3428" s="17"/>
      <c r="F3428" s="17" t="s">
        <v>156</v>
      </c>
      <c r="G3428" s="17"/>
      <c r="H3428" s="17" t="s">
        <v>692</v>
      </c>
      <c r="I3428" s="17"/>
      <c r="J3428" s="17" t="s">
        <v>693</v>
      </c>
      <c r="K3428" s="17"/>
      <c r="L3428" s="17"/>
      <c r="M3428" s="17"/>
      <c r="N3428" s="17"/>
      <c r="O3428" s="17"/>
      <c r="P3428" s="17" t="s">
        <v>785</v>
      </c>
      <c r="Q3428" s="17"/>
      <c r="R3428" s="25" t="str">
        <f>HYPERLINK("https://ictv.global/taxonomy/taxondetails?taxnode_id=202300845","Andromedavirus andromeda")</f>
        <v>Andromedavirus andromeda</v>
      </c>
      <c r="S3428" s="18" t="s">
        <v>30</v>
      </c>
      <c r="T3428" s="18" t="s">
        <v>786</v>
      </c>
      <c r="U3428" s="18"/>
      <c r="V3428" s="18"/>
      <c r="W3428" s="18" t="s">
        <v>787</v>
      </c>
      <c r="X3428" s="18" t="s">
        <v>42</v>
      </c>
      <c r="Y3428" s="18" t="s">
        <v>36</v>
      </c>
      <c r="Z3428" s="18" t="s">
        <v>697</v>
      </c>
      <c r="AA3428" s="21" t="str">
        <f>HYPERLINK("https://www.ncbi.nlm.nih.gov/nuccore/KC330684","NCBI Nucleotide")</f>
        <v>NCBI Nucleotide</v>
      </c>
    </row>
    <row r="3429" spans="1:27" x14ac:dyDescent="0.35">
      <c r="A3429">
        <v>1004560</v>
      </c>
      <c r="B3429">
        <v>3405</v>
      </c>
      <c r="C3429">
        <v>1</v>
      </c>
      <c r="D3429" s="17" t="s">
        <v>155</v>
      </c>
      <c r="E3429" s="17"/>
      <c r="F3429" s="17" t="s">
        <v>156</v>
      </c>
      <c r="G3429" s="17"/>
      <c r="H3429" s="17" t="s">
        <v>692</v>
      </c>
      <c r="I3429" s="17"/>
      <c r="J3429" s="17" t="s">
        <v>693</v>
      </c>
      <c r="K3429" s="17"/>
      <c r="L3429" s="17"/>
      <c r="M3429" s="17"/>
      <c r="N3429" s="17"/>
      <c r="O3429" s="17"/>
      <c r="P3429" s="17" t="s">
        <v>785</v>
      </c>
      <c r="Q3429" s="17"/>
      <c r="R3429" s="25" t="str">
        <f>HYPERLINK("https://ictv.global/taxonomy/taxondetails?taxnode_id=202300846","Andromedavirus blastoid")</f>
        <v>Andromedavirus blastoid</v>
      </c>
      <c r="S3429" s="18" t="s">
        <v>30</v>
      </c>
      <c r="T3429" s="18" t="s">
        <v>788</v>
      </c>
      <c r="U3429" s="18"/>
      <c r="V3429" s="18"/>
      <c r="W3429" s="18" t="s">
        <v>789</v>
      </c>
      <c r="X3429" s="18" t="s">
        <v>42</v>
      </c>
      <c r="Y3429" s="18" t="s">
        <v>36</v>
      </c>
      <c r="Z3429" s="18" t="s">
        <v>697</v>
      </c>
      <c r="AA3429" s="21" t="str">
        <f>HYPERLINK("https://www.ncbi.nlm.nih.gov/nuccore/KF669648","NCBI Nucleotide")</f>
        <v>NCBI Nucleotide</v>
      </c>
    </row>
    <row r="3430" spans="1:27" x14ac:dyDescent="0.35">
      <c r="A3430">
        <v>1024684</v>
      </c>
      <c r="B3430">
        <v>3406</v>
      </c>
      <c r="C3430">
        <v>1</v>
      </c>
      <c r="D3430" s="17" t="s">
        <v>155</v>
      </c>
      <c r="E3430" s="17"/>
      <c r="F3430" s="17" t="s">
        <v>156</v>
      </c>
      <c r="G3430" s="17"/>
      <c r="H3430" s="17" t="s">
        <v>692</v>
      </c>
      <c r="I3430" s="17"/>
      <c r="J3430" s="17" t="s">
        <v>693</v>
      </c>
      <c r="K3430" s="17"/>
      <c r="L3430" s="17"/>
      <c r="M3430" s="17"/>
      <c r="N3430" s="17"/>
      <c r="O3430" s="17"/>
      <c r="P3430" s="17" t="s">
        <v>785</v>
      </c>
      <c r="Q3430" s="17"/>
      <c r="R3430" s="25" t="str">
        <f>HYPERLINK("https://ictv.global/taxonomy/taxondetails?taxnode_id=202317797","Andromedavirus bolokhovo")</f>
        <v>Andromedavirus bolokhovo</v>
      </c>
      <c r="S3430" s="18" t="s">
        <v>30</v>
      </c>
      <c r="T3430" s="18" t="s">
        <v>39817</v>
      </c>
      <c r="U3430" s="18" t="s">
        <v>39818</v>
      </c>
      <c r="V3430" s="18"/>
      <c r="W3430" s="18" t="s">
        <v>48453</v>
      </c>
      <c r="X3430" s="18" t="s">
        <v>42</v>
      </c>
      <c r="Y3430" s="18" t="s">
        <v>36</v>
      </c>
      <c r="Z3430" s="18" t="s">
        <v>697</v>
      </c>
      <c r="AA3430" s="21" t="str">
        <f>HYPERLINK("https://www.ncbi.nlm.nih.gov/nuccore/MT514532","NCBI Nucleotide")</f>
        <v>NCBI Nucleotide</v>
      </c>
    </row>
    <row r="3431" spans="1:27" x14ac:dyDescent="0.35">
      <c r="A3431">
        <v>1004561</v>
      </c>
      <c r="B3431">
        <v>3407</v>
      </c>
      <c r="C3431">
        <v>1</v>
      </c>
      <c r="D3431" s="17" t="s">
        <v>155</v>
      </c>
      <c r="E3431" s="17"/>
      <c r="F3431" s="17" t="s">
        <v>156</v>
      </c>
      <c r="G3431" s="17"/>
      <c r="H3431" s="17" t="s">
        <v>692</v>
      </c>
      <c r="I3431" s="17"/>
      <c r="J3431" s="17" t="s">
        <v>693</v>
      </c>
      <c r="K3431" s="17"/>
      <c r="L3431" s="17"/>
      <c r="M3431" s="17"/>
      <c r="N3431" s="17"/>
      <c r="O3431" s="17"/>
      <c r="P3431" s="17" t="s">
        <v>785</v>
      </c>
      <c r="Q3431" s="17"/>
      <c r="R3431" s="25" t="str">
        <f>HYPERLINK("https://ictv.global/taxonomy/taxondetails?taxnode_id=202300847","Andromedavirus curly")</f>
        <v>Andromedavirus curly</v>
      </c>
      <c r="S3431" s="18" t="s">
        <v>30</v>
      </c>
      <c r="T3431" s="18" t="s">
        <v>790</v>
      </c>
      <c r="U3431" s="18"/>
      <c r="V3431" s="18"/>
      <c r="W3431" s="18" t="s">
        <v>791</v>
      </c>
      <c r="X3431" s="18" t="s">
        <v>42</v>
      </c>
      <c r="Y3431" s="18" t="s">
        <v>36</v>
      </c>
      <c r="Z3431" s="18" t="s">
        <v>697</v>
      </c>
      <c r="AA3431" s="21" t="str">
        <f>HYPERLINK("https://www.ncbi.nlm.nih.gov/nuccore/KC330679","NCBI Nucleotide")</f>
        <v>NCBI Nucleotide</v>
      </c>
    </row>
    <row r="3432" spans="1:27" x14ac:dyDescent="0.35">
      <c r="A3432">
        <v>1004562</v>
      </c>
      <c r="B3432">
        <v>3408</v>
      </c>
      <c r="C3432">
        <v>1</v>
      </c>
      <c r="D3432" s="17" t="s">
        <v>155</v>
      </c>
      <c r="E3432" s="17"/>
      <c r="F3432" s="17" t="s">
        <v>156</v>
      </c>
      <c r="G3432" s="17"/>
      <c r="H3432" s="17" t="s">
        <v>692</v>
      </c>
      <c r="I3432" s="17"/>
      <c r="J3432" s="17" t="s">
        <v>693</v>
      </c>
      <c r="K3432" s="17"/>
      <c r="L3432" s="17"/>
      <c r="M3432" s="17"/>
      <c r="N3432" s="17"/>
      <c r="O3432" s="17"/>
      <c r="P3432" s="17" t="s">
        <v>785</v>
      </c>
      <c r="Q3432" s="17"/>
      <c r="R3432" s="25" t="str">
        <f>HYPERLINK("https://ictv.global/taxonomy/taxondetails?taxnode_id=202300848","Andromedavirus eoghan")</f>
        <v>Andromedavirus eoghan</v>
      </c>
      <c r="S3432" s="18" t="s">
        <v>30</v>
      </c>
      <c r="T3432" s="18" t="s">
        <v>792</v>
      </c>
      <c r="U3432" s="18"/>
      <c r="V3432" s="18"/>
      <c r="W3432" s="18" t="s">
        <v>793</v>
      </c>
      <c r="X3432" s="18" t="s">
        <v>42</v>
      </c>
      <c r="Y3432" s="18" t="s">
        <v>36</v>
      </c>
      <c r="Z3432" s="18" t="s">
        <v>697</v>
      </c>
      <c r="AA3432" s="21" t="str">
        <f>HYPERLINK("https://www.ncbi.nlm.nih.gov/nuccore/KC330680","NCBI Nucleotide")</f>
        <v>NCBI Nucleotide</v>
      </c>
    </row>
    <row r="3433" spans="1:27" x14ac:dyDescent="0.35">
      <c r="A3433">
        <v>1004563</v>
      </c>
      <c r="B3433">
        <v>3409</v>
      </c>
      <c r="C3433">
        <v>1</v>
      </c>
      <c r="D3433" s="17" t="s">
        <v>155</v>
      </c>
      <c r="E3433" s="17"/>
      <c r="F3433" s="17" t="s">
        <v>156</v>
      </c>
      <c r="G3433" s="17"/>
      <c r="H3433" s="17" t="s">
        <v>692</v>
      </c>
      <c r="I3433" s="17"/>
      <c r="J3433" s="17" t="s">
        <v>693</v>
      </c>
      <c r="K3433" s="17"/>
      <c r="L3433" s="17"/>
      <c r="M3433" s="17"/>
      <c r="N3433" s="17"/>
      <c r="O3433" s="17"/>
      <c r="P3433" s="17" t="s">
        <v>785</v>
      </c>
      <c r="Q3433" s="17"/>
      <c r="R3433" s="25" t="str">
        <f>HYPERLINK("https://ictv.global/taxonomy/taxondetails?taxnode_id=202300849","Andromedavirus finn")</f>
        <v>Andromedavirus finn</v>
      </c>
      <c r="S3433" s="18" t="s">
        <v>30</v>
      </c>
      <c r="T3433" s="18" t="s">
        <v>794</v>
      </c>
      <c r="U3433" s="18"/>
      <c r="V3433" s="18"/>
      <c r="W3433" s="18" t="s">
        <v>795</v>
      </c>
      <c r="X3433" s="18" t="s">
        <v>42</v>
      </c>
      <c r="Y3433" s="18" t="s">
        <v>36</v>
      </c>
      <c r="Z3433" s="18" t="s">
        <v>697</v>
      </c>
      <c r="AA3433" s="21" t="str">
        <f>HYPERLINK("https://www.ncbi.nlm.nih.gov/nuccore/KC330683","NCBI Nucleotide")</f>
        <v>NCBI Nucleotide</v>
      </c>
    </row>
    <row r="3434" spans="1:27" x14ac:dyDescent="0.35">
      <c r="A3434">
        <v>1004564</v>
      </c>
      <c r="B3434">
        <v>3410</v>
      </c>
      <c r="C3434">
        <v>1</v>
      </c>
      <c r="D3434" s="17" t="s">
        <v>155</v>
      </c>
      <c r="E3434" s="17"/>
      <c r="F3434" s="17" t="s">
        <v>156</v>
      </c>
      <c r="G3434" s="17"/>
      <c r="H3434" s="17" t="s">
        <v>692</v>
      </c>
      <c r="I3434" s="17"/>
      <c r="J3434" s="17" t="s">
        <v>693</v>
      </c>
      <c r="K3434" s="17"/>
      <c r="L3434" s="17"/>
      <c r="M3434" s="17"/>
      <c r="N3434" s="17"/>
      <c r="O3434" s="17"/>
      <c r="P3434" s="17" t="s">
        <v>785</v>
      </c>
      <c r="Q3434" s="17"/>
      <c r="R3434" s="25" t="str">
        <f>HYPERLINK("https://ictv.global/taxonomy/taxondetails?taxnode_id=202300850","Andromedavirus glittering")</f>
        <v>Andromedavirus glittering</v>
      </c>
      <c r="S3434" s="18" t="s">
        <v>30</v>
      </c>
      <c r="T3434" s="18" t="s">
        <v>796</v>
      </c>
      <c r="U3434" s="18"/>
      <c r="V3434" s="18"/>
      <c r="W3434" s="18" t="s">
        <v>797</v>
      </c>
      <c r="X3434" s="18" t="s">
        <v>42</v>
      </c>
      <c r="Y3434" s="18" t="s">
        <v>36</v>
      </c>
      <c r="Z3434" s="18" t="s">
        <v>697</v>
      </c>
      <c r="AA3434" s="21" t="str">
        <f>HYPERLINK("https://www.ncbi.nlm.nih.gov/nuccore/KF669651","NCBI Nucleotide")</f>
        <v>NCBI Nucleotide</v>
      </c>
    </row>
    <row r="3435" spans="1:27" x14ac:dyDescent="0.35">
      <c r="A3435">
        <v>1024685</v>
      </c>
      <c r="B3435">
        <v>3411</v>
      </c>
      <c r="C3435">
        <v>1</v>
      </c>
      <c r="D3435" s="17" t="s">
        <v>155</v>
      </c>
      <c r="E3435" s="17"/>
      <c r="F3435" s="17" t="s">
        <v>156</v>
      </c>
      <c r="G3435" s="17"/>
      <c r="H3435" s="17" t="s">
        <v>692</v>
      </c>
      <c r="I3435" s="17"/>
      <c r="J3435" s="17" t="s">
        <v>693</v>
      </c>
      <c r="K3435" s="17"/>
      <c r="L3435" s="17"/>
      <c r="M3435" s="17"/>
      <c r="N3435" s="17"/>
      <c r="O3435" s="17"/>
      <c r="P3435" s="17" t="s">
        <v>785</v>
      </c>
      <c r="Q3435" s="17"/>
      <c r="R3435" s="25" t="str">
        <f>HYPERLINK("https://ictv.global/taxonomy/taxondetails?taxnode_id=202317798","Andromedavirus novomoskovsk")</f>
        <v>Andromedavirus novomoskovsk</v>
      </c>
      <c r="S3435" s="18" t="s">
        <v>30</v>
      </c>
      <c r="T3435" s="18" t="s">
        <v>39819</v>
      </c>
      <c r="U3435" s="18" t="s">
        <v>39820</v>
      </c>
      <c r="V3435" s="18"/>
      <c r="W3435" s="18" t="s">
        <v>48454</v>
      </c>
      <c r="X3435" s="18" t="s">
        <v>42</v>
      </c>
      <c r="Y3435" s="18" t="s">
        <v>36</v>
      </c>
      <c r="Z3435" s="18" t="s">
        <v>697</v>
      </c>
      <c r="AA3435" s="21" t="str">
        <f>HYPERLINK("https://www.ncbi.nlm.nih.gov/nuccore/MT422786","NCBI Nucleotide")</f>
        <v>NCBI Nucleotide</v>
      </c>
    </row>
    <row r="3436" spans="1:27" x14ac:dyDescent="0.35">
      <c r="A3436">
        <v>1004565</v>
      </c>
      <c r="B3436">
        <v>3412</v>
      </c>
      <c r="C3436">
        <v>1</v>
      </c>
      <c r="D3436" s="17" t="s">
        <v>155</v>
      </c>
      <c r="E3436" s="17"/>
      <c r="F3436" s="17" t="s">
        <v>156</v>
      </c>
      <c r="G3436" s="17"/>
      <c r="H3436" s="17" t="s">
        <v>692</v>
      </c>
      <c r="I3436" s="17"/>
      <c r="J3436" s="17" t="s">
        <v>693</v>
      </c>
      <c r="K3436" s="17"/>
      <c r="L3436" s="17"/>
      <c r="M3436" s="17"/>
      <c r="N3436" s="17"/>
      <c r="O3436" s="17"/>
      <c r="P3436" s="17" t="s">
        <v>785</v>
      </c>
      <c r="Q3436" s="17"/>
      <c r="R3436" s="25" t="str">
        <f>HYPERLINK("https://ictv.global/taxonomy/taxondetails?taxnode_id=202300851","Andromedavirus riggi")</f>
        <v>Andromedavirus riggi</v>
      </c>
      <c r="S3436" s="18" t="s">
        <v>30</v>
      </c>
      <c r="T3436" s="18" t="s">
        <v>798</v>
      </c>
      <c r="U3436" s="18"/>
      <c r="V3436" s="18"/>
      <c r="W3436" s="18" t="s">
        <v>799</v>
      </c>
      <c r="X3436" s="18" t="s">
        <v>42</v>
      </c>
      <c r="Y3436" s="18" t="s">
        <v>36</v>
      </c>
      <c r="Z3436" s="18" t="s">
        <v>697</v>
      </c>
      <c r="AA3436" s="21" t="str">
        <f>HYPERLINK("https://www.ncbi.nlm.nih.gov/nuccore/KF669659","NCBI Nucleotide")</f>
        <v>NCBI Nucleotide</v>
      </c>
    </row>
    <row r="3437" spans="1:27" x14ac:dyDescent="0.35">
      <c r="A3437">
        <v>1004566</v>
      </c>
      <c r="B3437">
        <v>3413</v>
      </c>
      <c r="C3437">
        <v>1</v>
      </c>
      <c r="D3437" s="17" t="s">
        <v>155</v>
      </c>
      <c r="E3437" s="17"/>
      <c r="F3437" s="17" t="s">
        <v>156</v>
      </c>
      <c r="G3437" s="17"/>
      <c r="H3437" s="17" t="s">
        <v>692</v>
      </c>
      <c r="I3437" s="17"/>
      <c r="J3437" s="17" t="s">
        <v>693</v>
      </c>
      <c r="K3437" s="17"/>
      <c r="L3437" s="17"/>
      <c r="M3437" s="17"/>
      <c r="N3437" s="17"/>
      <c r="O3437" s="17"/>
      <c r="P3437" s="17" t="s">
        <v>785</v>
      </c>
      <c r="Q3437" s="17"/>
      <c r="R3437" s="25" t="str">
        <f>HYPERLINK("https://ictv.global/taxonomy/taxondetails?taxnode_id=202300852","Andromedavirus taylor")</f>
        <v>Andromedavirus taylor</v>
      </c>
      <c r="S3437" s="18" t="s">
        <v>30</v>
      </c>
      <c r="T3437" s="18" t="s">
        <v>800</v>
      </c>
      <c r="U3437" s="18"/>
      <c r="V3437" s="18"/>
      <c r="W3437" s="18" t="s">
        <v>801</v>
      </c>
      <c r="X3437" s="18" t="s">
        <v>42</v>
      </c>
      <c r="Y3437" s="18" t="s">
        <v>36</v>
      </c>
      <c r="Z3437" s="18" t="s">
        <v>697</v>
      </c>
      <c r="AA3437" s="21" t="str">
        <f>HYPERLINK("https://www.ncbi.nlm.nih.gov/nuccore/KC330682","NCBI Nucleotide")</f>
        <v>NCBI Nucleotide</v>
      </c>
    </row>
    <row r="3438" spans="1:27" x14ac:dyDescent="0.35">
      <c r="A3438">
        <v>1004567</v>
      </c>
      <c r="B3438">
        <v>3414</v>
      </c>
      <c r="C3438">
        <v>1</v>
      </c>
      <c r="D3438" s="17" t="s">
        <v>155</v>
      </c>
      <c r="E3438" s="17"/>
      <c r="F3438" s="17" t="s">
        <v>156</v>
      </c>
      <c r="G3438" s="17"/>
      <c r="H3438" s="17" t="s">
        <v>692</v>
      </c>
      <c r="I3438" s="17"/>
      <c r="J3438" s="17" t="s">
        <v>693</v>
      </c>
      <c r="K3438" s="17"/>
      <c r="L3438" s="17"/>
      <c r="M3438" s="17"/>
      <c r="N3438" s="17"/>
      <c r="O3438" s="17"/>
      <c r="P3438" s="17" t="s">
        <v>802</v>
      </c>
      <c r="Q3438" s="17"/>
      <c r="R3438" s="25" t="str">
        <f>HYPERLINK("https://ictv.global/taxonomy/taxondetails?taxnode_id=202309250","Anjalivirus anjali")</f>
        <v>Anjalivirus anjali</v>
      </c>
      <c r="S3438" s="18" t="s">
        <v>30</v>
      </c>
      <c r="T3438" s="18" t="s">
        <v>803</v>
      </c>
      <c r="U3438" s="18"/>
      <c r="V3438" s="18"/>
      <c r="W3438" s="18" t="s">
        <v>804</v>
      </c>
      <c r="X3438" s="18" t="s">
        <v>42</v>
      </c>
      <c r="Y3438" s="18" t="s">
        <v>36</v>
      </c>
      <c r="Z3438" s="18" t="s">
        <v>697</v>
      </c>
      <c r="AA3438" s="21" t="str">
        <f>HYPERLINK("https://www.ncbi.nlm.nih.gov/nuccore/MK016490","NCBI Nucleotide")</f>
        <v>NCBI Nucleotide</v>
      </c>
    </row>
    <row r="3439" spans="1:27" x14ac:dyDescent="0.35">
      <c r="A3439">
        <v>1004568</v>
      </c>
      <c r="B3439">
        <v>3415</v>
      </c>
      <c r="C3439">
        <v>1</v>
      </c>
      <c r="D3439" s="17" t="s">
        <v>155</v>
      </c>
      <c r="E3439" s="17"/>
      <c r="F3439" s="17" t="s">
        <v>156</v>
      </c>
      <c r="G3439" s="17"/>
      <c r="H3439" s="17" t="s">
        <v>692</v>
      </c>
      <c r="I3439" s="17"/>
      <c r="J3439" s="17" t="s">
        <v>693</v>
      </c>
      <c r="K3439" s="17"/>
      <c r="L3439" s="17"/>
      <c r="M3439" s="17"/>
      <c r="N3439" s="17"/>
      <c r="O3439" s="17"/>
      <c r="P3439" s="17" t="s">
        <v>802</v>
      </c>
      <c r="Q3439" s="17"/>
      <c r="R3439" s="25" t="str">
        <f>HYPERLINK("https://ictv.global/taxonomy/taxondetails?taxnode_id=202309251","Anjalivirus mendel")</f>
        <v>Anjalivirus mendel</v>
      </c>
      <c r="S3439" s="18" t="s">
        <v>30</v>
      </c>
      <c r="T3439" s="18" t="s">
        <v>805</v>
      </c>
      <c r="U3439" s="18"/>
      <c r="V3439" s="18"/>
      <c r="W3439" s="18" t="s">
        <v>806</v>
      </c>
      <c r="X3439" s="18" t="s">
        <v>42</v>
      </c>
      <c r="Y3439" s="18" t="s">
        <v>36</v>
      </c>
      <c r="Z3439" s="18" t="s">
        <v>697</v>
      </c>
      <c r="AA3439" s="21" t="str">
        <f>HYPERLINK("https://www.ncbi.nlm.nih.gov/nuccore/MK016500","NCBI Nucleotide")</f>
        <v>NCBI Nucleotide</v>
      </c>
    </row>
    <row r="3440" spans="1:27" x14ac:dyDescent="0.35">
      <c r="A3440">
        <v>1004569</v>
      </c>
      <c r="B3440">
        <v>3416</v>
      </c>
      <c r="C3440">
        <v>1</v>
      </c>
      <c r="D3440" s="17" t="s">
        <v>155</v>
      </c>
      <c r="E3440" s="17"/>
      <c r="F3440" s="17" t="s">
        <v>156</v>
      </c>
      <c r="G3440" s="17"/>
      <c r="H3440" s="17" t="s">
        <v>692</v>
      </c>
      <c r="I3440" s="17"/>
      <c r="J3440" s="17" t="s">
        <v>693</v>
      </c>
      <c r="K3440" s="17"/>
      <c r="L3440" s="17"/>
      <c r="M3440" s="17"/>
      <c r="N3440" s="17"/>
      <c r="O3440" s="17"/>
      <c r="P3440" s="17" t="s">
        <v>807</v>
      </c>
      <c r="Q3440" s="17"/>
      <c r="R3440" s="25" t="str">
        <f>HYPERLINK("https://ictv.global/taxonomy/taxondetails?taxnode_id=202313125","Anthonyvirus anthony")</f>
        <v>Anthonyvirus anthony</v>
      </c>
      <c r="S3440" s="18" t="s">
        <v>30</v>
      </c>
      <c r="T3440" s="18" t="s">
        <v>808</v>
      </c>
      <c r="U3440" s="18"/>
      <c r="V3440" s="18"/>
      <c r="W3440" s="18" t="s">
        <v>809</v>
      </c>
      <c r="X3440" s="18" t="s">
        <v>42</v>
      </c>
      <c r="Y3440" s="18" t="s">
        <v>36</v>
      </c>
      <c r="Z3440" s="18" t="s">
        <v>697</v>
      </c>
      <c r="AA3440" s="21" t="str">
        <f>HYPERLINK("https://www.ncbi.nlm.nih.gov/nuccore/MN234188","NCBI Nucleotide")</f>
        <v>NCBI Nucleotide</v>
      </c>
    </row>
    <row r="3441" spans="1:27" x14ac:dyDescent="0.35">
      <c r="A3441">
        <v>1004570</v>
      </c>
      <c r="B3441">
        <v>3417</v>
      </c>
      <c r="C3441">
        <v>1</v>
      </c>
      <c r="D3441" s="17" t="s">
        <v>155</v>
      </c>
      <c r="E3441" s="17"/>
      <c r="F3441" s="17" t="s">
        <v>156</v>
      </c>
      <c r="G3441" s="17"/>
      <c r="H3441" s="17" t="s">
        <v>692</v>
      </c>
      <c r="I3441" s="17"/>
      <c r="J3441" s="17" t="s">
        <v>693</v>
      </c>
      <c r="K3441" s="17"/>
      <c r="L3441" s="17"/>
      <c r="M3441" s="17"/>
      <c r="N3441" s="17"/>
      <c r="O3441" s="17"/>
      <c r="P3441" s="17" t="s">
        <v>810</v>
      </c>
      <c r="Q3441" s="17"/>
      <c r="R3441" s="25" t="str">
        <f>HYPERLINK("https://ictv.global/taxonomy/taxondetails?taxnode_id=202307764","Aokuangvirus SCBWM1")</f>
        <v>Aokuangvirus SCBWM1</v>
      </c>
      <c r="S3441" s="18" t="s">
        <v>30</v>
      </c>
      <c r="T3441" s="18" t="s">
        <v>811</v>
      </c>
      <c r="U3441" s="18"/>
      <c r="V3441" s="18"/>
      <c r="W3441" s="18" t="s">
        <v>812</v>
      </c>
      <c r="X3441" s="18" t="s">
        <v>42</v>
      </c>
      <c r="Y3441" s="18" t="s">
        <v>36</v>
      </c>
      <c r="Z3441" s="18" t="s">
        <v>697</v>
      </c>
      <c r="AA3441" s="21" t="str">
        <f>HYPERLINK("https://www.ncbi.nlm.nih.gov/nuccore/MG450654","NCBI Nucleotide")</f>
        <v>NCBI Nucleotide</v>
      </c>
    </row>
    <row r="3442" spans="1:27" x14ac:dyDescent="0.35">
      <c r="A3442">
        <v>1004571</v>
      </c>
      <c r="B3442">
        <v>3418</v>
      </c>
      <c r="C3442">
        <v>1</v>
      </c>
      <c r="D3442" s="17" t="s">
        <v>155</v>
      </c>
      <c r="E3442" s="17"/>
      <c r="F3442" s="17" t="s">
        <v>156</v>
      </c>
      <c r="G3442" s="17"/>
      <c r="H3442" s="17" t="s">
        <v>692</v>
      </c>
      <c r="I3442" s="17"/>
      <c r="J3442" s="17" t="s">
        <v>693</v>
      </c>
      <c r="K3442" s="17"/>
      <c r="L3442" s="17"/>
      <c r="M3442" s="17"/>
      <c r="N3442" s="17"/>
      <c r="O3442" s="17"/>
      <c r="P3442" s="17" t="s">
        <v>813</v>
      </c>
      <c r="Q3442" s="17"/>
      <c r="R3442" s="25" t="str">
        <f>HYPERLINK("https://ictv.global/taxonomy/taxondetails?taxnode_id=202307736","Appavirus appa")</f>
        <v>Appavirus appa</v>
      </c>
      <c r="S3442" s="18" t="s">
        <v>30</v>
      </c>
      <c r="T3442" s="18" t="s">
        <v>814</v>
      </c>
      <c r="U3442" s="18"/>
      <c r="V3442" s="18"/>
      <c r="W3442" s="18" t="s">
        <v>815</v>
      </c>
      <c r="X3442" s="18" t="s">
        <v>42</v>
      </c>
      <c r="Y3442" s="18" t="s">
        <v>36</v>
      </c>
      <c r="Z3442" s="18" t="s">
        <v>697</v>
      </c>
      <c r="AA3442" s="21" t="str">
        <f>HYPERLINK("https://www.ncbi.nlm.nih.gov/nuccore/MH153799","NCBI Nucleotide")</f>
        <v>NCBI Nucleotide</v>
      </c>
    </row>
    <row r="3443" spans="1:27" x14ac:dyDescent="0.35">
      <c r="A3443">
        <v>1004572</v>
      </c>
      <c r="B3443">
        <v>3419</v>
      </c>
      <c r="C3443">
        <v>1</v>
      </c>
      <c r="D3443" s="17" t="s">
        <v>155</v>
      </c>
      <c r="E3443" s="17"/>
      <c r="F3443" s="17" t="s">
        <v>156</v>
      </c>
      <c r="G3443" s="17"/>
      <c r="H3443" s="17" t="s">
        <v>692</v>
      </c>
      <c r="I3443" s="17"/>
      <c r="J3443" s="17" t="s">
        <v>693</v>
      </c>
      <c r="K3443" s="17"/>
      <c r="L3443" s="17"/>
      <c r="M3443" s="17"/>
      <c r="N3443" s="17"/>
      <c r="O3443" s="17"/>
      <c r="P3443" s="17" t="s">
        <v>816</v>
      </c>
      <c r="Q3443" s="17"/>
      <c r="R3443" s="25" t="str">
        <f>HYPERLINK("https://ictv.global/taxonomy/taxondetails?taxnode_id=202308701","Apricotvirus apricot")</f>
        <v>Apricotvirus apricot</v>
      </c>
      <c r="S3443" s="18" t="s">
        <v>30</v>
      </c>
      <c r="T3443" s="18" t="s">
        <v>817</v>
      </c>
      <c r="U3443" s="18"/>
      <c r="V3443" s="18"/>
      <c r="W3443" s="18" t="s">
        <v>818</v>
      </c>
      <c r="X3443" s="18" t="s">
        <v>42</v>
      </c>
      <c r="Y3443" s="18" t="s">
        <v>36</v>
      </c>
      <c r="Z3443" s="18" t="s">
        <v>697</v>
      </c>
      <c r="AA3443" s="21" t="str">
        <f>HYPERLINK("https://www.ncbi.nlm.nih.gov/nuccore/MH536812","NCBI Nucleotide")</f>
        <v>NCBI Nucleotide</v>
      </c>
    </row>
    <row r="3444" spans="1:27" x14ac:dyDescent="0.35">
      <c r="A3444">
        <v>1024672</v>
      </c>
      <c r="B3444">
        <v>3420</v>
      </c>
      <c r="C3444">
        <v>1</v>
      </c>
      <c r="D3444" s="17" t="s">
        <v>155</v>
      </c>
      <c r="E3444" s="17"/>
      <c r="F3444" s="17" t="s">
        <v>156</v>
      </c>
      <c r="G3444" s="17"/>
      <c r="H3444" s="17" t="s">
        <v>692</v>
      </c>
      <c r="I3444" s="17"/>
      <c r="J3444" s="17" t="s">
        <v>693</v>
      </c>
      <c r="K3444" s="17"/>
      <c r="L3444" s="17"/>
      <c r="M3444" s="17"/>
      <c r="N3444" s="17"/>
      <c r="O3444" s="17"/>
      <c r="P3444" s="17" t="s">
        <v>39821</v>
      </c>
      <c r="Q3444" s="17"/>
      <c r="R3444" s="25" t="str">
        <f>HYPERLINK("https://ictv.global/taxonomy/taxondetails?taxnode_id=202317828","Aquaneticvirus ApT65")</f>
        <v>Aquaneticvirus ApT65</v>
      </c>
      <c r="S3444" s="18" t="s">
        <v>30</v>
      </c>
      <c r="T3444" s="18"/>
      <c r="U3444" s="18"/>
      <c r="V3444" s="18"/>
      <c r="W3444" s="18" t="s">
        <v>39822</v>
      </c>
      <c r="X3444" s="18" t="s">
        <v>35</v>
      </c>
      <c r="Y3444" s="18" t="s">
        <v>36</v>
      </c>
      <c r="Z3444" s="18" t="s">
        <v>697</v>
      </c>
      <c r="AA3444" s="21" t="str">
        <f>HYPERLINK("https://www.ncbi.nlm.nih.gov/nuccore/OP491958","NCBI Nucleotide")</f>
        <v>NCBI Nucleotide</v>
      </c>
    </row>
    <row r="3445" spans="1:27" x14ac:dyDescent="0.35">
      <c r="A3445">
        <v>1024673</v>
      </c>
      <c r="B3445">
        <v>3421</v>
      </c>
      <c r="C3445">
        <v>1</v>
      </c>
      <c r="D3445" s="17" t="s">
        <v>155</v>
      </c>
      <c r="E3445" s="17"/>
      <c r="F3445" s="17" t="s">
        <v>156</v>
      </c>
      <c r="G3445" s="17"/>
      <c r="H3445" s="17" t="s">
        <v>692</v>
      </c>
      <c r="I3445" s="17"/>
      <c r="J3445" s="17" t="s">
        <v>693</v>
      </c>
      <c r="K3445" s="17"/>
      <c r="L3445" s="17"/>
      <c r="M3445" s="17"/>
      <c r="N3445" s="17"/>
      <c r="O3445" s="17"/>
      <c r="P3445" s="17" t="s">
        <v>39823</v>
      </c>
      <c r="Q3445" s="17"/>
      <c r="R3445" s="25" t="str">
        <f>HYPERLINK("https://ictv.global/taxonomy/taxondetails?taxnode_id=202317830","Aquingentivirus A500")</f>
        <v>Aquingentivirus A500</v>
      </c>
      <c r="S3445" s="18" t="s">
        <v>30</v>
      </c>
      <c r="T3445" s="18" t="s">
        <v>39824</v>
      </c>
      <c r="U3445" s="18"/>
      <c r="V3445" s="18"/>
      <c r="W3445" s="18" t="s">
        <v>39825</v>
      </c>
      <c r="X3445" s="18" t="s">
        <v>42</v>
      </c>
      <c r="Y3445" s="18" t="s">
        <v>36</v>
      </c>
      <c r="Z3445" s="18" t="s">
        <v>697</v>
      </c>
      <c r="AA3445" s="21" t="str">
        <f>HYPERLINK("https://www.ncbi.nlm.nih.gov/nuccore/DQ003637","NCBI Nucleotide")</f>
        <v>NCBI Nucleotide</v>
      </c>
    </row>
    <row r="3446" spans="1:27" x14ac:dyDescent="0.35">
      <c r="A3446">
        <v>1024674</v>
      </c>
      <c r="B3446">
        <v>3422</v>
      </c>
      <c r="C3446">
        <v>1</v>
      </c>
      <c r="D3446" s="17" t="s">
        <v>155</v>
      </c>
      <c r="E3446" s="17"/>
      <c r="F3446" s="17" t="s">
        <v>156</v>
      </c>
      <c r="G3446" s="17"/>
      <c r="H3446" s="17" t="s">
        <v>692</v>
      </c>
      <c r="I3446" s="17"/>
      <c r="J3446" s="17" t="s">
        <v>693</v>
      </c>
      <c r="K3446" s="17"/>
      <c r="L3446" s="17"/>
      <c r="M3446" s="17"/>
      <c r="N3446" s="17"/>
      <c r="O3446" s="17"/>
      <c r="P3446" s="17" t="s">
        <v>39823</v>
      </c>
      <c r="Q3446" s="17"/>
      <c r="R3446" s="25" t="str">
        <f>HYPERLINK("https://ictv.global/taxonomy/taxondetails?taxnode_id=202317836","Aquingentivirus av293")</f>
        <v>Aquingentivirus av293</v>
      </c>
      <c r="S3446" s="18" t="s">
        <v>30</v>
      </c>
      <c r="T3446" s="18" t="s">
        <v>39826</v>
      </c>
      <c r="U3446" s="18"/>
      <c r="V3446" s="18"/>
      <c r="W3446" s="18" t="s">
        <v>39827</v>
      </c>
      <c r="X3446" s="18" t="s">
        <v>42</v>
      </c>
      <c r="Y3446" s="18" t="s">
        <v>36</v>
      </c>
      <c r="Z3446" s="18" t="s">
        <v>697</v>
      </c>
      <c r="AA3446" s="21" t="str">
        <f>HYPERLINK("https://www.ncbi.nlm.nih.gov/nuccore/KP399678","NCBI Nucleotide")</f>
        <v>NCBI Nucleotide</v>
      </c>
    </row>
    <row r="3447" spans="1:27" x14ac:dyDescent="0.35">
      <c r="A3447">
        <v>1024675</v>
      </c>
      <c r="B3447">
        <v>3423</v>
      </c>
      <c r="C3447">
        <v>1</v>
      </c>
      <c r="D3447" s="17" t="s">
        <v>155</v>
      </c>
      <c r="E3447" s="17"/>
      <c r="F3447" s="17" t="s">
        <v>156</v>
      </c>
      <c r="G3447" s="17"/>
      <c r="H3447" s="17" t="s">
        <v>692</v>
      </c>
      <c r="I3447" s="17"/>
      <c r="J3447" s="17" t="s">
        <v>693</v>
      </c>
      <c r="K3447" s="17"/>
      <c r="L3447" s="17"/>
      <c r="M3447" s="17"/>
      <c r="N3447" s="17"/>
      <c r="O3447" s="17"/>
      <c r="P3447" s="17" t="s">
        <v>39823</v>
      </c>
      <c r="Q3447" s="17"/>
      <c r="R3447" s="25" t="str">
        <f>HYPERLINK("https://ictv.global/taxonomy/taxondetails?taxnode_id=202317834","Aquingentivirus HB17054")</f>
        <v>Aquingentivirus HB17054</v>
      </c>
      <c r="S3447" s="18" t="s">
        <v>30</v>
      </c>
      <c r="T3447" s="18" t="s">
        <v>39828</v>
      </c>
      <c r="U3447" s="18"/>
      <c r="V3447" s="18"/>
      <c r="W3447" s="18" t="s">
        <v>48455</v>
      </c>
      <c r="X3447" s="18" t="s">
        <v>42</v>
      </c>
      <c r="Y3447" s="18" t="s">
        <v>36</v>
      </c>
      <c r="Z3447" s="18" t="s">
        <v>697</v>
      </c>
      <c r="AA3447" s="21" t="str">
        <f>HYPERLINK("https://www.ncbi.nlm.nih.gov/nuccore/ON456151","NCBI Nucleotide")</f>
        <v>NCBI Nucleotide</v>
      </c>
    </row>
    <row r="3448" spans="1:27" x14ac:dyDescent="0.35">
      <c r="A3448">
        <v>1024676</v>
      </c>
      <c r="B3448">
        <v>3424</v>
      </c>
      <c r="C3448">
        <v>1</v>
      </c>
      <c r="D3448" s="17" t="s">
        <v>155</v>
      </c>
      <c r="E3448" s="17"/>
      <c r="F3448" s="17" t="s">
        <v>156</v>
      </c>
      <c r="G3448" s="17"/>
      <c r="H3448" s="17" t="s">
        <v>692</v>
      </c>
      <c r="I3448" s="17"/>
      <c r="J3448" s="17" t="s">
        <v>693</v>
      </c>
      <c r="K3448" s="17"/>
      <c r="L3448" s="17"/>
      <c r="M3448" s="17"/>
      <c r="N3448" s="17"/>
      <c r="O3448" s="17"/>
      <c r="P3448" s="17" t="s">
        <v>39823</v>
      </c>
      <c r="Q3448" s="17"/>
      <c r="R3448" s="25" t="str">
        <f>HYPERLINK("https://ictv.global/taxonomy/taxondetails?taxnode_id=202317831","Aquingentivirus HS5")</f>
        <v>Aquingentivirus HS5</v>
      </c>
      <c r="S3448" s="18" t="s">
        <v>30</v>
      </c>
      <c r="T3448" s="18" t="s">
        <v>39829</v>
      </c>
      <c r="U3448" s="18"/>
      <c r="V3448" s="18"/>
      <c r="W3448" s="18" t="s">
        <v>39830</v>
      </c>
      <c r="X3448" s="18" t="s">
        <v>42</v>
      </c>
      <c r="Y3448" s="18" t="s">
        <v>36</v>
      </c>
      <c r="Z3448" s="18" t="s">
        <v>697</v>
      </c>
      <c r="AA3448" s="21" t="str">
        <f>HYPERLINK("https://www.ncbi.nlm.nih.gov/nuccore/OP894077","NCBI Nucleotide")</f>
        <v>NCBI Nucleotide</v>
      </c>
    </row>
    <row r="3449" spans="1:27" x14ac:dyDescent="0.35">
      <c r="A3449">
        <v>1024678</v>
      </c>
      <c r="B3449">
        <v>3425</v>
      </c>
      <c r="C3449">
        <v>1</v>
      </c>
      <c r="D3449" s="17" t="s">
        <v>155</v>
      </c>
      <c r="E3449" s="17"/>
      <c r="F3449" s="17" t="s">
        <v>156</v>
      </c>
      <c r="G3449" s="17"/>
      <c r="H3449" s="17" t="s">
        <v>692</v>
      </c>
      <c r="I3449" s="17"/>
      <c r="J3449" s="17" t="s">
        <v>693</v>
      </c>
      <c r="K3449" s="17"/>
      <c r="L3449" s="17"/>
      <c r="M3449" s="17"/>
      <c r="N3449" s="17"/>
      <c r="O3449" s="17"/>
      <c r="P3449" s="17" t="s">
        <v>39823</v>
      </c>
      <c r="Q3449" s="17"/>
      <c r="R3449" s="25" t="str">
        <f>HYPERLINK("https://ictv.global/taxonomy/taxondetails?taxnode_id=202317832","Aquingentivirus LP040")</f>
        <v>Aquingentivirus LP040</v>
      </c>
      <c r="S3449" s="18" t="s">
        <v>30</v>
      </c>
      <c r="T3449" s="18" t="s">
        <v>39831</v>
      </c>
      <c r="U3449" s="18"/>
      <c r="V3449" s="18"/>
      <c r="W3449" s="18" t="s">
        <v>48456</v>
      </c>
      <c r="X3449" s="18" t="s">
        <v>42</v>
      </c>
      <c r="Y3449" s="18" t="s">
        <v>36</v>
      </c>
      <c r="Z3449" s="18" t="s">
        <v>697</v>
      </c>
      <c r="AA3449" s="21" t="str">
        <f>HYPERLINK("https://www.ncbi.nlm.nih.gov/nuccore/MH341452","NCBI Nucleotide")</f>
        <v>NCBI Nucleotide</v>
      </c>
    </row>
    <row r="3450" spans="1:27" x14ac:dyDescent="0.35">
      <c r="A3450">
        <v>1024677</v>
      </c>
      <c r="B3450">
        <v>3426</v>
      </c>
      <c r="C3450">
        <v>1</v>
      </c>
      <c r="D3450" s="17" t="s">
        <v>155</v>
      </c>
      <c r="E3450" s="17"/>
      <c r="F3450" s="17" t="s">
        <v>156</v>
      </c>
      <c r="G3450" s="17"/>
      <c r="H3450" s="17" t="s">
        <v>692</v>
      </c>
      <c r="I3450" s="17"/>
      <c r="J3450" s="17" t="s">
        <v>693</v>
      </c>
      <c r="K3450" s="17"/>
      <c r="L3450" s="17"/>
      <c r="M3450" s="17"/>
      <c r="N3450" s="17"/>
      <c r="O3450" s="17"/>
      <c r="P3450" s="17" t="s">
        <v>39823</v>
      </c>
      <c r="Q3450" s="17"/>
      <c r="R3450" s="25" t="str">
        <f>HYPERLINK("https://ictv.global/taxonomy/taxondetails?taxnode_id=202317833","Aquingentivirus LP0303")</f>
        <v>Aquingentivirus LP0303</v>
      </c>
      <c r="S3450" s="18" t="s">
        <v>30</v>
      </c>
      <c r="T3450" s="18" t="s">
        <v>39832</v>
      </c>
      <c r="U3450" s="18"/>
      <c r="V3450" s="18"/>
      <c r="W3450" s="18" t="s">
        <v>39833</v>
      </c>
      <c r="X3450" s="18" t="s">
        <v>42</v>
      </c>
      <c r="Y3450" s="18" t="s">
        <v>36</v>
      </c>
      <c r="Z3450" s="18" t="s">
        <v>697</v>
      </c>
      <c r="AA3450" s="21" t="str">
        <f>HYPERLINK("https://www.ncbi.nlm.nih.gov/nuccore/KJ094022","NCBI Nucleotide")</f>
        <v>NCBI Nucleotide</v>
      </c>
    </row>
    <row r="3451" spans="1:27" x14ac:dyDescent="0.35">
      <c r="A3451">
        <v>1024679</v>
      </c>
      <c r="B3451">
        <v>3427</v>
      </c>
      <c r="C3451">
        <v>1</v>
      </c>
      <c r="D3451" s="17" t="s">
        <v>155</v>
      </c>
      <c r="E3451" s="17"/>
      <c r="F3451" s="17" t="s">
        <v>156</v>
      </c>
      <c r="G3451" s="17"/>
      <c r="H3451" s="17" t="s">
        <v>692</v>
      </c>
      <c r="I3451" s="17"/>
      <c r="J3451" s="17" t="s">
        <v>693</v>
      </c>
      <c r="K3451" s="17"/>
      <c r="L3451" s="17"/>
      <c r="M3451" s="17"/>
      <c r="N3451" s="17"/>
      <c r="O3451" s="17"/>
      <c r="P3451" s="17" t="s">
        <v>39823</v>
      </c>
      <c r="Q3451" s="17"/>
      <c r="R3451" s="25" t="str">
        <f>HYPERLINK("https://ictv.global/taxonomy/taxondetails?taxnode_id=202317835","Aquingentivirus P7")</f>
        <v>Aquingentivirus P7</v>
      </c>
      <c r="S3451" s="18" t="s">
        <v>30</v>
      </c>
      <c r="T3451" s="18" t="s">
        <v>39834</v>
      </c>
      <c r="U3451" s="18"/>
      <c r="V3451" s="18"/>
      <c r="W3451" s="18" t="s">
        <v>48457</v>
      </c>
      <c r="X3451" s="18" t="s">
        <v>42</v>
      </c>
      <c r="Y3451" s="18" t="s">
        <v>36</v>
      </c>
      <c r="Z3451" s="18" t="s">
        <v>697</v>
      </c>
      <c r="AA3451" s="21" t="str">
        <f>HYPERLINK("https://www.ncbi.nlm.nih.gov/nuccore/MZ361827","NCBI Nucleotide")</f>
        <v>NCBI Nucleotide</v>
      </c>
    </row>
    <row r="3452" spans="1:27" x14ac:dyDescent="0.35">
      <c r="A3452">
        <v>1024680</v>
      </c>
      <c r="B3452">
        <v>3428</v>
      </c>
      <c r="C3452">
        <v>1</v>
      </c>
      <c r="D3452" s="17" t="s">
        <v>155</v>
      </c>
      <c r="E3452" s="17"/>
      <c r="F3452" s="17" t="s">
        <v>156</v>
      </c>
      <c r="G3452" s="17"/>
      <c r="H3452" s="17" t="s">
        <v>692</v>
      </c>
      <c r="I3452" s="17"/>
      <c r="J3452" s="17" t="s">
        <v>693</v>
      </c>
      <c r="K3452" s="17"/>
      <c r="L3452" s="17"/>
      <c r="M3452" s="17"/>
      <c r="N3452" s="17"/>
      <c r="O3452" s="17"/>
      <c r="P3452" s="17" t="s">
        <v>39835</v>
      </c>
      <c r="Q3452" s="17"/>
      <c r="R3452" s="25" t="str">
        <f>HYPERLINK("https://ictv.global/taxonomy/taxondetails?taxnode_id=202319216","Aramisvirus Aramis")</f>
        <v>Aramisvirus Aramis</v>
      </c>
      <c r="S3452" s="18" t="s">
        <v>30</v>
      </c>
      <c r="T3452" s="18" t="s">
        <v>39836</v>
      </c>
      <c r="U3452" s="18"/>
      <c r="V3452" s="18"/>
      <c r="W3452" s="18" t="s">
        <v>48458</v>
      </c>
      <c r="X3452" s="18" t="s">
        <v>42</v>
      </c>
      <c r="Y3452" s="18" t="s">
        <v>36</v>
      </c>
      <c r="Z3452" s="18" t="s">
        <v>697</v>
      </c>
      <c r="AA3452" s="21" t="str">
        <f>HYPERLINK("https://www.ncbi.nlm.nih.gov/nuccore/LR990833","NCBI Nucleotide")</f>
        <v>NCBI Nucleotide</v>
      </c>
    </row>
    <row r="3453" spans="1:27" x14ac:dyDescent="0.35">
      <c r="A3453">
        <v>1024681</v>
      </c>
      <c r="B3453">
        <v>3429</v>
      </c>
      <c r="C3453">
        <v>1</v>
      </c>
      <c r="D3453" s="17" t="s">
        <v>155</v>
      </c>
      <c r="E3453" s="17"/>
      <c r="F3453" s="17" t="s">
        <v>156</v>
      </c>
      <c r="G3453" s="17"/>
      <c r="H3453" s="17" t="s">
        <v>692</v>
      </c>
      <c r="I3453" s="17"/>
      <c r="J3453" s="17" t="s">
        <v>693</v>
      </c>
      <c r="K3453" s="17"/>
      <c r="L3453" s="17"/>
      <c r="M3453" s="17"/>
      <c r="N3453" s="17"/>
      <c r="O3453" s="17"/>
      <c r="P3453" s="17" t="s">
        <v>39835</v>
      </c>
      <c r="Q3453" s="17"/>
      <c r="R3453" s="25" t="str">
        <f>HYPERLINK("https://ictv.global/taxonomy/taxondetails?taxnode_id=202319217","Aramisvirus dArtagnan")</f>
        <v>Aramisvirus dArtagnan</v>
      </c>
      <c r="S3453" s="18" t="s">
        <v>30</v>
      </c>
      <c r="T3453" s="18" t="s">
        <v>39837</v>
      </c>
      <c r="U3453" s="18"/>
      <c r="V3453" s="18"/>
      <c r="W3453" s="18" t="s">
        <v>48459</v>
      </c>
      <c r="X3453" s="18" t="s">
        <v>42</v>
      </c>
      <c r="Y3453" s="18" t="s">
        <v>36</v>
      </c>
      <c r="Z3453" s="18" t="s">
        <v>697</v>
      </c>
      <c r="AA3453" s="21" t="str">
        <f>HYPERLINK("https://www.ncbi.nlm.nih.gov/nuccore/LR991625","NCBI Nucleotide")</f>
        <v>NCBI Nucleotide</v>
      </c>
    </row>
    <row r="3454" spans="1:27" x14ac:dyDescent="0.35">
      <c r="A3454">
        <v>1004573</v>
      </c>
      <c r="B3454">
        <v>3430</v>
      </c>
      <c r="C3454">
        <v>1</v>
      </c>
      <c r="D3454" s="17" t="s">
        <v>155</v>
      </c>
      <c r="E3454" s="17"/>
      <c r="F3454" s="17" t="s">
        <v>156</v>
      </c>
      <c r="G3454" s="17"/>
      <c r="H3454" s="17" t="s">
        <v>692</v>
      </c>
      <c r="I3454" s="17"/>
      <c r="J3454" s="17" t="s">
        <v>693</v>
      </c>
      <c r="K3454" s="17"/>
      <c r="L3454" s="17"/>
      <c r="M3454" s="17"/>
      <c r="N3454" s="17"/>
      <c r="O3454" s="17"/>
      <c r="P3454" s="17" t="s">
        <v>819</v>
      </c>
      <c r="Q3454" s="17"/>
      <c r="R3454" s="25" t="str">
        <f>HYPERLINK("https://ictv.global/taxonomy/taxondetails?taxnode_id=202309291","Arawnvirus arawn")</f>
        <v>Arawnvirus arawn</v>
      </c>
      <c r="S3454" s="18" t="s">
        <v>30</v>
      </c>
      <c r="T3454" s="18" t="s">
        <v>820</v>
      </c>
      <c r="U3454" s="18"/>
      <c r="V3454" s="18"/>
      <c r="W3454" s="18" t="s">
        <v>821</v>
      </c>
      <c r="X3454" s="18" t="s">
        <v>42</v>
      </c>
      <c r="Y3454" s="18" t="s">
        <v>36</v>
      </c>
      <c r="Z3454" s="18" t="s">
        <v>697</v>
      </c>
      <c r="AA3454" s="21" t="str">
        <f>HYPERLINK("https://www.ncbi.nlm.nih.gov/nuccore/MN882550","NCBI Nucleotide")</f>
        <v>NCBI Nucleotide</v>
      </c>
    </row>
    <row r="3455" spans="1:27" x14ac:dyDescent="0.35">
      <c r="A3455">
        <v>1004574</v>
      </c>
      <c r="B3455">
        <v>3431</v>
      </c>
      <c r="C3455">
        <v>1</v>
      </c>
      <c r="D3455" s="17" t="s">
        <v>155</v>
      </c>
      <c r="E3455" s="17"/>
      <c r="F3455" s="17" t="s">
        <v>156</v>
      </c>
      <c r="G3455" s="17"/>
      <c r="H3455" s="17" t="s">
        <v>692</v>
      </c>
      <c r="I3455" s="17"/>
      <c r="J3455" s="17" t="s">
        <v>693</v>
      </c>
      <c r="K3455" s="17"/>
      <c r="L3455" s="17"/>
      <c r="M3455" s="17"/>
      <c r="N3455" s="17"/>
      <c r="O3455" s="17"/>
      <c r="P3455" s="17" t="s">
        <v>822</v>
      </c>
      <c r="Q3455" s="17"/>
      <c r="R3455" s="25" t="str">
        <f>HYPERLINK("https://ictv.global/taxonomy/taxondetails?taxnode_id=202313127","Archimedesvirus archimedes")</f>
        <v>Archimedesvirus archimedes</v>
      </c>
      <c r="S3455" s="18" t="s">
        <v>30</v>
      </c>
      <c r="T3455" s="18" t="s">
        <v>823</v>
      </c>
      <c r="U3455" s="18"/>
      <c r="V3455" s="18"/>
      <c r="W3455" s="18" t="s">
        <v>824</v>
      </c>
      <c r="X3455" s="18" t="s">
        <v>42</v>
      </c>
      <c r="Y3455" s="18" t="s">
        <v>36</v>
      </c>
      <c r="Z3455" s="18" t="s">
        <v>697</v>
      </c>
      <c r="AA3455" s="21" t="str">
        <f>HYPERLINK("https://www.ncbi.nlm.nih.gov/nuccore/MT771339","NCBI Nucleotide")</f>
        <v>NCBI Nucleotide</v>
      </c>
    </row>
    <row r="3456" spans="1:27" x14ac:dyDescent="0.35">
      <c r="A3456">
        <v>1004575</v>
      </c>
      <c r="B3456">
        <v>3432</v>
      </c>
      <c r="C3456">
        <v>1</v>
      </c>
      <c r="D3456" s="17" t="s">
        <v>155</v>
      </c>
      <c r="E3456" s="17"/>
      <c r="F3456" s="17" t="s">
        <v>156</v>
      </c>
      <c r="G3456" s="17"/>
      <c r="H3456" s="17" t="s">
        <v>692</v>
      </c>
      <c r="I3456" s="17"/>
      <c r="J3456" s="17" t="s">
        <v>693</v>
      </c>
      <c r="K3456" s="17"/>
      <c r="L3456" s="17"/>
      <c r="M3456" s="17"/>
      <c r="N3456" s="17"/>
      <c r="O3456" s="17"/>
      <c r="P3456" s="17" t="s">
        <v>825</v>
      </c>
      <c r="Q3456" s="17"/>
      <c r="R3456" s="25" t="str">
        <f>HYPERLINK("https://ictv.global/taxonomy/taxondetails?taxnode_id=202307723","Armstrongvirus armstrong")</f>
        <v>Armstrongvirus armstrong</v>
      </c>
      <c r="S3456" s="18" t="s">
        <v>30</v>
      </c>
      <c r="T3456" s="18" t="s">
        <v>826</v>
      </c>
      <c r="U3456" s="18"/>
      <c r="V3456" s="18"/>
      <c r="W3456" s="18" t="s">
        <v>827</v>
      </c>
      <c r="X3456" s="18" t="s">
        <v>42</v>
      </c>
      <c r="Y3456" s="18" t="s">
        <v>36</v>
      </c>
      <c r="Z3456" s="18" t="s">
        <v>697</v>
      </c>
      <c r="AA3456" s="21" t="str">
        <f>HYPERLINK("https://www.ncbi.nlm.nih.gov/nuccore/MH834596","NCBI Nucleotide")</f>
        <v>NCBI Nucleotide</v>
      </c>
    </row>
    <row r="3457" spans="1:27" x14ac:dyDescent="0.35">
      <c r="A3457">
        <v>1004576</v>
      </c>
      <c r="B3457">
        <v>3433</v>
      </c>
      <c r="C3457">
        <v>1</v>
      </c>
      <c r="D3457" s="17" t="s">
        <v>155</v>
      </c>
      <c r="E3457" s="17"/>
      <c r="F3457" s="17" t="s">
        <v>156</v>
      </c>
      <c r="G3457" s="17"/>
      <c r="H3457" s="17" t="s">
        <v>692</v>
      </c>
      <c r="I3457" s="17"/>
      <c r="J3457" s="17" t="s">
        <v>693</v>
      </c>
      <c r="K3457" s="17"/>
      <c r="L3457" s="17"/>
      <c r="M3457" s="17"/>
      <c r="N3457" s="17"/>
      <c r="O3457" s="17"/>
      <c r="P3457" s="17" t="s">
        <v>828</v>
      </c>
      <c r="Q3457" s="17"/>
      <c r="R3457" s="25" t="str">
        <f>HYPERLINK("https://ictv.global/taxonomy/taxondetails?taxnode_id=202314491","Arvduovirus ArV2")</f>
        <v>Arvduovirus ArV2</v>
      </c>
      <c r="S3457" s="18" t="s">
        <v>30</v>
      </c>
      <c r="T3457" s="18" t="s">
        <v>829</v>
      </c>
      <c r="U3457" s="18"/>
      <c r="V3457" s="18"/>
      <c r="W3457" s="18" t="s">
        <v>830</v>
      </c>
      <c r="X3457" s="18" t="s">
        <v>42</v>
      </c>
      <c r="Y3457" s="18" t="s">
        <v>36</v>
      </c>
      <c r="Z3457" s="18" t="s">
        <v>697</v>
      </c>
      <c r="AA3457" s="21" t="str">
        <f>HYPERLINK("https://www.ncbi.nlm.nih.gov/nuccore/KF692088","NCBI Nucleotide")</f>
        <v>NCBI Nucleotide</v>
      </c>
    </row>
    <row r="3458" spans="1:27" x14ac:dyDescent="0.35">
      <c r="A3458">
        <v>1004577</v>
      </c>
      <c r="B3458">
        <v>3434</v>
      </c>
      <c r="C3458">
        <v>1</v>
      </c>
      <c r="D3458" s="17" t="s">
        <v>155</v>
      </c>
      <c r="E3458" s="17"/>
      <c r="F3458" s="17" t="s">
        <v>156</v>
      </c>
      <c r="G3458" s="17"/>
      <c r="H3458" s="17" t="s">
        <v>692</v>
      </c>
      <c r="I3458" s="17"/>
      <c r="J3458" s="17" t="s">
        <v>693</v>
      </c>
      <c r="K3458" s="17"/>
      <c r="L3458" s="17"/>
      <c r="M3458" s="17"/>
      <c r="N3458" s="17"/>
      <c r="O3458" s="17"/>
      <c r="P3458" s="17" t="s">
        <v>831</v>
      </c>
      <c r="Q3458" s="17"/>
      <c r="R3458" s="25" t="str">
        <f>HYPERLINK("https://ictv.global/taxonomy/taxondetails?taxnode_id=202310191","Ashduovirus A2")</f>
        <v>Ashduovirus A2</v>
      </c>
      <c r="S3458" s="18" t="s">
        <v>30</v>
      </c>
      <c r="T3458" s="18" t="s">
        <v>832</v>
      </c>
      <c r="U3458" s="18"/>
      <c r="V3458" s="18"/>
      <c r="W3458" s="18" t="s">
        <v>833</v>
      </c>
      <c r="X3458" s="18" t="s">
        <v>42</v>
      </c>
      <c r="Y3458" s="18" t="s">
        <v>36</v>
      </c>
      <c r="Z3458" s="18" t="s">
        <v>697</v>
      </c>
      <c r="AA3458" s="21" t="str">
        <f>HYPERLINK("https://www.ncbi.nlm.nih.gov/nuccore/AJ251789","NCBI Nucleotide")</f>
        <v>NCBI Nucleotide</v>
      </c>
    </row>
    <row r="3459" spans="1:27" x14ac:dyDescent="0.35">
      <c r="A3459">
        <v>1024688</v>
      </c>
      <c r="B3459">
        <v>3435</v>
      </c>
      <c r="C3459">
        <v>1</v>
      </c>
      <c r="D3459" s="17" t="s">
        <v>155</v>
      </c>
      <c r="E3459" s="17"/>
      <c r="F3459" s="17" t="s">
        <v>156</v>
      </c>
      <c r="G3459" s="17"/>
      <c r="H3459" s="17" t="s">
        <v>692</v>
      </c>
      <c r="I3459" s="17"/>
      <c r="J3459" s="17" t="s">
        <v>693</v>
      </c>
      <c r="K3459" s="17"/>
      <c r="L3459" s="17"/>
      <c r="M3459" s="17"/>
      <c r="N3459" s="17"/>
      <c r="O3459" s="17"/>
      <c r="P3459" s="17" t="s">
        <v>39838</v>
      </c>
      <c r="Q3459" s="17"/>
      <c r="R3459" s="25" t="str">
        <f>HYPERLINK("https://ictv.global/taxonomy/taxondetails?taxnode_id=202317764","Aspduovirus Asp2")</f>
        <v>Aspduovirus Asp2</v>
      </c>
      <c r="S3459" s="18" t="s">
        <v>30</v>
      </c>
      <c r="T3459" s="18" t="s">
        <v>39839</v>
      </c>
      <c r="U3459" s="18"/>
      <c r="V3459" s="18"/>
      <c r="W3459" s="18" t="s">
        <v>39840</v>
      </c>
      <c r="X3459" s="18" t="s">
        <v>42</v>
      </c>
      <c r="Y3459" s="18" t="s">
        <v>36</v>
      </c>
      <c r="Z3459" s="18" t="s">
        <v>697</v>
      </c>
      <c r="AA3459" s="21" t="str">
        <f>HYPERLINK("https://www.ncbi.nlm.nih.gov/nuccore/AY576796","NCBI Nucleotide")</f>
        <v>NCBI Nucleotide</v>
      </c>
    </row>
    <row r="3460" spans="1:27" x14ac:dyDescent="0.35">
      <c r="A3460">
        <v>1004578</v>
      </c>
      <c r="B3460">
        <v>3436</v>
      </c>
      <c r="C3460">
        <v>1</v>
      </c>
      <c r="D3460" s="17" t="s">
        <v>155</v>
      </c>
      <c r="E3460" s="17"/>
      <c r="F3460" s="17" t="s">
        <v>156</v>
      </c>
      <c r="G3460" s="17"/>
      <c r="H3460" s="17" t="s">
        <v>692</v>
      </c>
      <c r="I3460" s="17"/>
      <c r="J3460" s="17" t="s">
        <v>693</v>
      </c>
      <c r="K3460" s="17"/>
      <c r="L3460" s="17"/>
      <c r="M3460" s="17"/>
      <c r="N3460" s="17"/>
      <c r="O3460" s="17"/>
      <c r="P3460" s="17" t="s">
        <v>834</v>
      </c>
      <c r="Q3460" s="17"/>
      <c r="R3460" s="25" t="str">
        <f>HYPERLINK("https://ictv.global/taxonomy/taxondetails?taxnode_id=202306660","Asteriusvirus av121Q")</f>
        <v>Asteriusvirus av121Q</v>
      </c>
      <c r="S3460" s="18" t="s">
        <v>30</v>
      </c>
      <c r="T3460" s="18" t="s">
        <v>835</v>
      </c>
      <c r="U3460" s="18"/>
      <c r="V3460" s="18"/>
      <c r="W3460" s="18" t="s">
        <v>836</v>
      </c>
      <c r="X3460" s="18" t="s">
        <v>42</v>
      </c>
      <c r="Y3460" s="18" t="s">
        <v>36</v>
      </c>
      <c r="Z3460" s="18" t="s">
        <v>697</v>
      </c>
      <c r="AA3460" s="21" t="str">
        <f>HYPERLINK("https://www.ncbi.nlm.nih.gov/nuccore/KM507819","NCBI Nucleotide")</f>
        <v>NCBI Nucleotide</v>
      </c>
    </row>
    <row r="3461" spans="1:27" x14ac:dyDescent="0.35">
      <c r="A3461">
        <v>1004579</v>
      </c>
      <c r="B3461">
        <v>3437</v>
      </c>
      <c r="C3461">
        <v>1</v>
      </c>
      <c r="D3461" s="17" t="s">
        <v>155</v>
      </c>
      <c r="E3461" s="17"/>
      <c r="F3461" s="17" t="s">
        <v>156</v>
      </c>
      <c r="G3461" s="17"/>
      <c r="H3461" s="17" t="s">
        <v>692</v>
      </c>
      <c r="I3461" s="17"/>
      <c r="J3461" s="17" t="s">
        <v>693</v>
      </c>
      <c r="K3461" s="17"/>
      <c r="L3461" s="17"/>
      <c r="M3461" s="17"/>
      <c r="N3461" s="17"/>
      <c r="O3461" s="17"/>
      <c r="P3461" s="17" t="s">
        <v>834</v>
      </c>
      <c r="Q3461" s="17"/>
      <c r="R3461" s="25" t="str">
        <f>HYPERLINK("https://ictv.global/taxonomy/taxondetails?taxnode_id=202306659","Asteriusvirus PBECO4")</f>
        <v>Asteriusvirus PBECO4</v>
      </c>
      <c r="S3461" s="18" t="s">
        <v>30</v>
      </c>
      <c r="T3461" s="18" t="s">
        <v>837</v>
      </c>
      <c r="U3461" s="18"/>
      <c r="V3461" s="18"/>
      <c r="W3461" s="18" t="s">
        <v>838</v>
      </c>
      <c r="X3461" s="18" t="s">
        <v>42</v>
      </c>
      <c r="Y3461" s="18" t="s">
        <v>36</v>
      </c>
      <c r="Z3461" s="18" t="s">
        <v>697</v>
      </c>
      <c r="AA3461" s="21" t="str">
        <f>HYPERLINK("https://www.ncbi.nlm.nih.gov/nuccore/KC295538","NCBI Nucleotide")</f>
        <v>NCBI Nucleotide</v>
      </c>
    </row>
    <row r="3462" spans="1:27" x14ac:dyDescent="0.35">
      <c r="A3462">
        <v>1004580</v>
      </c>
      <c r="B3462">
        <v>3438</v>
      </c>
      <c r="C3462">
        <v>1</v>
      </c>
      <c r="D3462" s="17" t="s">
        <v>155</v>
      </c>
      <c r="E3462" s="17"/>
      <c r="F3462" s="17" t="s">
        <v>156</v>
      </c>
      <c r="G3462" s="17"/>
      <c r="H3462" s="17" t="s">
        <v>692</v>
      </c>
      <c r="I3462" s="17"/>
      <c r="J3462" s="17" t="s">
        <v>693</v>
      </c>
      <c r="K3462" s="17"/>
      <c r="L3462" s="17"/>
      <c r="M3462" s="17"/>
      <c r="N3462" s="17"/>
      <c r="O3462" s="17"/>
      <c r="P3462" s="17" t="s">
        <v>839</v>
      </c>
      <c r="Q3462" s="17"/>
      <c r="R3462" s="25" t="str">
        <f>HYPERLINK("https://ictv.global/taxonomy/taxondetails?taxnode_id=202309373","Astrithrvirus astrithr")</f>
        <v>Astrithrvirus astrithr</v>
      </c>
      <c r="S3462" s="18" t="s">
        <v>30</v>
      </c>
      <c r="T3462" s="18" t="s">
        <v>840</v>
      </c>
      <c r="U3462" s="18"/>
      <c r="V3462" s="18"/>
      <c r="W3462" s="18" t="s">
        <v>841</v>
      </c>
      <c r="X3462" s="18" t="s">
        <v>42</v>
      </c>
      <c r="Y3462" s="18" t="s">
        <v>36</v>
      </c>
      <c r="Z3462" s="18" t="s">
        <v>697</v>
      </c>
      <c r="AA3462" s="21" t="str">
        <f>HYPERLINK("https://www.ncbi.nlm.nih.gov/nuccore/MT074429","NCBI Nucleotide")</f>
        <v>NCBI Nucleotide</v>
      </c>
    </row>
    <row r="3463" spans="1:27" x14ac:dyDescent="0.35">
      <c r="A3463">
        <v>1024697</v>
      </c>
      <c r="B3463">
        <v>3439</v>
      </c>
      <c r="C3463">
        <v>1</v>
      </c>
      <c r="D3463" s="17" t="s">
        <v>155</v>
      </c>
      <c r="E3463" s="17"/>
      <c r="F3463" s="17" t="s">
        <v>156</v>
      </c>
      <c r="G3463" s="17"/>
      <c r="H3463" s="17" t="s">
        <v>692</v>
      </c>
      <c r="I3463" s="17"/>
      <c r="J3463" s="17" t="s">
        <v>693</v>
      </c>
      <c r="K3463" s="17"/>
      <c r="L3463" s="17"/>
      <c r="M3463" s="17"/>
      <c r="N3463" s="17"/>
      <c r="O3463" s="17"/>
      <c r="P3463" s="17" t="s">
        <v>39841</v>
      </c>
      <c r="Q3463" s="17"/>
      <c r="R3463" s="25" t="str">
        <f>HYPERLINK("https://ictv.global/taxonomy/taxondetails?taxnode_id=202317871","Athenavirus athena")</f>
        <v>Athenavirus athena</v>
      </c>
      <c r="S3463" s="18" t="s">
        <v>30</v>
      </c>
      <c r="T3463" s="18" t="s">
        <v>39842</v>
      </c>
      <c r="U3463" s="18"/>
      <c r="V3463" s="18"/>
      <c r="W3463" s="18" t="s">
        <v>48460</v>
      </c>
      <c r="X3463" s="18" t="s">
        <v>42</v>
      </c>
      <c r="Y3463" s="18" t="s">
        <v>36</v>
      </c>
      <c r="Z3463" s="18" t="s">
        <v>697</v>
      </c>
      <c r="AA3463" s="21" t="str">
        <f>HYPERLINK("https://www.ncbi.nlm.nih.gov/nuccore/OK500002","NCBI Nucleotide")</f>
        <v>NCBI Nucleotide</v>
      </c>
    </row>
    <row r="3464" spans="1:27" x14ac:dyDescent="0.35">
      <c r="A3464">
        <v>1004581</v>
      </c>
      <c r="B3464">
        <v>3440</v>
      </c>
      <c r="C3464">
        <v>1</v>
      </c>
      <c r="D3464" s="17" t="s">
        <v>155</v>
      </c>
      <c r="E3464" s="17"/>
      <c r="F3464" s="17" t="s">
        <v>156</v>
      </c>
      <c r="G3464" s="17"/>
      <c r="H3464" s="17" t="s">
        <v>692</v>
      </c>
      <c r="I3464" s="17"/>
      <c r="J3464" s="17" t="s">
        <v>693</v>
      </c>
      <c r="K3464" s="17"/>
      <c r="L3464" s="17"/>
      <c r="M3464" s="17"/>
      <c r="N3464" s="17"/>
      <c r="O3464" s="17"/>
      <c r="P3464" s="17" t="s">
        <v>842</v>
      </c>
      <c r="Q3464" s="17"/>
      <c r="R3464" s="25" t="str">
        <f>HYPERLINK("https://ictv.global/taxonomy/taxondetails?taxnode_id=202314965","Atraxavirus atraxa")</f>
        <v>Atraxavirus atraxa</v>
      </c>
      <c r="S3464" s="18" t="s">
        <v>30</v>
      </c>
      <c r="T3464" s="18" t="s">
        <v>843</v>
      </c>
      <c r="U3464" s="18"/>
      <c r="V3464" s="18"/>
      <c r="W3464" s="18" t="s">
        <v>844</v>
      </c>
      <c r="X3464" s="18" t="s">
        <v>42</v>
      </c>
      <c r="Y3464" s="18" t="s">
        <v>36</v>
      </c>
      <c r="Z3464" s="18" t="s">
        <v>697</v>
      </c>
      <c r="AA3464" s="21" t="str">
        <f>HYPERLINK("https://www.ncbi.nlm.nih.gov/nuccore/MH834597","NCBI Nucleotide")</f>
        <v>NCBI Nucleotide</v>
      </c>
    </row>
    <row r="3465" spans="1:27" x14ac:dyDescent="0.35">
      <c r="A3465">
        <v>1004582</v>
      </c>
      <c r="B3465">
        <v>3441</v>
      </c>
      <c r="C3465">
        <v>1</v>
      </c>
      <c r="D3465" s="17" t="s">
        <v>155</v>
      </c>
      <c r="E3465" s="17"/>
      <c r="F3465" s="17" t="s">
        <v>156</v>
      </c>
      <c r="G3465" s="17"/>
      <c r="H3465" s="17" t="s">
        <v>692</v>
      </c>
      <c r="I3465" s="17"/>
      <c r="J3465" s="17" t="s">
        <v>693</v>
      </c>
      <c r="K3465" s="17"/>
      <c r="L3465" s="17"/>
      <c r="M3465" s="17"/>
      <c r="N3465" s="17"/>
      <c r="O3465" s="17"/>
      <c r="P3465" s="17" t="s">
        <v>845</v>
      </c>
      <c r="Q3465" s="17"/>
      <c r="R3465" s="25" t="str">
        <f>HYPERLINK("https://ictv.global/taxonomy/taxondetails?taxnode_id=202305541","Attisvirus attis")</f>
        <v>Attisvirus attis</v>
      </c>
      <c r="S3465" s="18" t="s">
        <v>30</v>
      </c>
      <c r="T3465" s="18" t="s">
        <v>846</v>
      </c>
      <c r="U3465" s="18"/>
      <c r="V3465" s="18"/>
      <c r="W3465" s="18" t="s">
        <v>847</v>
      </c>
      <c r="X3465" s="18" t="s">
        <v>42</v>
      </c>
      <c r="Y3465" s="18" t="s">
        <v>36</v>
      </c>
      <c r="Z3465" s="18" t="s">
        <v>697</v>
      </c>
      <c r="AA3465" s="21" t="str">
        <f>HYPERLINK("https://www.ncbi.nlm.nih.gov/nuccore/KU963247","NCBI Nucleotide")</f>
        <v>NCBI Nucleotide</v>
      </c>
    </row>
    <row r="3466" spans="1:27" x14ac:dyDescent="0.35">
      <c r="A3466">
        <v>1004583</v>
      </c>
      <c r="B3466">
        <v>3442</v>
      </c>
      <c r="C3466">
        <v>1</v>
      </c>
      <c r="D3466" s="17" t="s">
        <v>155</v>
      </c>
      <c r="E3466" s="17"/>
      <c r="F3466" s="17" t="s">
        <v>156</v>
      </c>
      <c r="G3466" s="17"/>
      <c r="H3466" s="17" t="s">
        <v>692</v>
      </c>
      <c r="I3466" s="17"/>
      <c r="J3466" s="17" t="s">
        <v>693</v>
      </c>
      <c r="K3466" s="17"/>
      <c r="L3466" s="17"/>
      <c r="M3466" s="17"/>
      <c r="N3466" s="17"/>
      <c r="O3466" s="17"/>
      <c r="P3466" s="17" t="s">
        <v>845</v>
      </c>
      <c r="Q3466" s="17"/>
      <c r="R3466" s="25" t="str">
        <f>HYPERLINK("https://ictv.global/taxonomy/taxondetails?taxnode_id=202314908","Attisvirus bjanes7")</f>
        <v>Attisvirus bjanes7</v>
      </c>
      <c r="S3466" s="18" t="s">
        <v>30</v>
      </c>
      <c r="T3466" s="18" t="s">
        <v>848</v>
      </c>
      <c r="U3466" s="18"/>
      <c r="V3466" s="18"/>
      <c r="W3466" s="18" t="s">
        <v>849</v>
      </c>
      <c r="X3466" s="18" t="s">
        <v>42</v>
      </c>
      <c r="Y3466" s="18" t="s">
        <v>36</v>
      </c>
      <c r="Z3466" s="18" t="s">
        <v>697</v>
      </c>
      <c r="AA3466" s="21" t="str">
        <f>HYPERLINK("https://www.ncbi.nlm.nih.gov/nuccore/MG099941","NCBI Nucleotide")</f>
        <v>NCBI Nucleotide</v>
      </c>
    </row>
    <row r="3467" spans="1:27" x14ac:dyDescent="0.35">
      <c r="A3467">
        <v>1004584</v>
      </c>
      <c r="B3467">
        <v>3443</v>
      </c>
      <c r="C3467">
        <v>1</v>
      </c>
      <c r="D3467" s="17" t="s">
        <v>155</v>
      </c>
      <c r="E3467" s="17"/>
      <c r="F3467" s="17" t="s">
        <v>156</v>
      </c>
      <c r="G3467" s="17"/>
      <c r="H3467" s="17" t="s">
        <v>692</v>
      </c>
      <c r="I3467" s="17"/>
      <c r="J3467" s="17" t="s">
        <v>693</v>
      </c>
      <c r="K3467" s="17"/>
      <c r="L3467" s="17"/>
      <c r="M3467" s="17"/>
      <c r="N3467" s="17"/>
      <c r="O3467" s="17"/>
      <c r="P3467" s="17" t="s">
        <v>845</v>
      </c>
      <c r="Q3467" s="17"/>
      <c r="R3467" s="25" t="str">
        <f>HYPERLINK("https://ictv.global/taxonomy/taxondetails?taxnode_id=202314909","Attisvirus ebert")</f>
        <v>Attisvirus ebert</v>
      </c>
      <c r="S3467" s="18" t="s">
        <v>30</v>
      </c>
      <c r="T3467" s="18" t="s">
        <v>850</v>
      </c>
      <c r="U3467" s="18"/>
      <c r="V3467" s="18"/>
      <c r="W3467" s="18" t="s">
        <v>851</v>
      </c>
      <c r="X3467" s="18" t="s">
        <v>42</v>
      </c>
      <c r="Y3467" s="18" t="s">
        <v>36</v>
      </c>
      <c r="Z3467" s="18" t="s">
        <v>697</v>
      </c>
      <c r="AA3467" s="21" t="str">
        <f>HYPERLINK("https://www.ncbi.nlm.nih.gov/nuccore/MH271295","NCBI Nucleotide")</f>
        <v>NCBI Nucleotide</v>
      </c>
    </row>
    <row r="3468" spans="1:27" x14ac:dyDescent="0.35">
      <c r="A3468">
        <v>1004585</v>
      </c>
      <c r="B3468">
        <v>3444</v>
      </c>
      <c r="C3468">
        <v>1</v>
      </c>
      <c r="D3468" s="17" t="s">
        <v>155</v>
      </c>
      <c r="E3468" s="17"/>
      <c r="F3468" s="17" t="s">
        <v>156</v>
      </c>
      <c r="G3468" s="17"/>
      <c r="H3468" s="17" t="s">
        <v>692</v>
      </c>
      <c r="I3468" s="17"/>
      <c r="J3468" s="17" t="s">
        <v>693</v>
      </c>
      <c r="K3468" s="17"/>
      <c r="L3468" s="17"/>
      <c r="M3468" s="17"/>
      <c r="N3468" s="17"/>
      <c r="O3468" s="17"/>
      <c r="P3468" s="17" t="s">
        <v>845</v>
      </c>
      <c r="Q3468" s="17"/>
      <c r="R3468" s="25" t="str">
        <f>HYPERLINK("https://ictv.global/taxonomy/taxondetails?taxnode_id=202314906","Attisvirus lamberg")</f>
        <v>Attisvirus lamberg</v>
      </c>
      <c r="S3468" s="18" t="s">
        <v>30</v>
      </c>
      <c r="T3468" s="18" t="s">
        <v>852</v>
      </c>
      <c r="U3468" s="18"/>
      <c r="V3468" s="18"/>
      <c r="W3468" s="18" t="s">
        <v>853</v>
      </c>
      <c r="X3468" s="18" t="s">
        <v>42</v>
      </c>
      <c r="Y3468" s="18" t="s">
        <v>36</v>
      </c>
      <c r="Z3468" s="18" t="s">
        <v>697</v>
      </c>
      <c r="AA3468" s="21" t="str">
        <f>HYPERLINK("https://www.ncbi.nlm.nih.gov/nuccore/MW055908","NCBI Nucleotide")</f>
        <v>NCBI Nucleotide</v>
      </c>
    </row>
    <row r="3469" spans="1:27" x14ac:dyDescent="0.35">
      <c r="A3469">
        <v>1004586</v>
      </c>
      <c r="B3469">
        <v>3445</v>
      </c>
      <c r="C3469">
        <v>1</v>
      </c>
      <c r="D3469" s="17" t="s">
        <v>155</v>
      </c>
      <c r="E3469" s="17"/>
      <c r="F3469" s="17" t="s">
        <v>156</v>
      </c>
      <c r="G3469" s="17"/>
      <c r="H3469" s="17" t="s">
        <v>692</v>
      </c>
      <c r="I3469" s="17"/>
      <c r="J3469" s="17" t="s">
        <v>693</v>
      </c>
      <c r="K3469" s="17"/>
      <c r="L3469" s="17"/>
      <c r="M3469" s="17"/>
      <c r="N3469" s="17"/>
      <c r="O3469" s="17"/>
      <c r="P3469" s="17" t="s">
        <v>845</v>
      </c>
      <c r="Q3469" s="17"/>
      <c r="R3469" s="25" t="str">
        <f>HYPERLINK("https://ictv.global/taxonomy/taxondetails?taxnode_id=202314903","Attisvirus matteo")</f>
        <v>Attisvirus matteo</v>
      </c>
      <c r="S3469" s="18" t="s">
        <v>30</v>
      </c>
      <c r="T3469" s="18" t="s">
        <v>854</v>
      </c>
      <c r="U3469" s="18"/>
      <c r="V3469" s="18"/>
      <c r="W3469" s="18" t="s">
        <v>855</v>
      </c>
      <c r="X3469" s="18" t="s">
        <v>42</v>
      </c>
      <c r="Y3469" s="18" t="s">
        <v>36</v>
      </c>
      <c r="Z3469" s="18" t="s">
        <v>697</v>
      </c>
      <c r="AA3469" s="21" t="str">
        <f>HYPERLINK("https://www.ncbi.nlm.nih.gov/nuccore/MT771342","NCBI Nucleotide")</f>
        <v>NCBI Nucleotide</v>
      </c>
    </row>
    <row r="3470" spans="1:27" x14ac:dyDescent="0.35">
      <c r="A3470">
        <v>1004587</v>
      </c>
      <c r="B3470">
        <v>3446</v>
      </c>
      <c r="C3470">
        <v>1</v>
      </c>
      <c r="D3470" s="17" t="s">
        <v>155</v>
      </c>
      <c r="E3470" s="17"/>
      <c r="F3470" s="17" t="s">
        <v>156</v>
      </c>
      <c r="G3470" s="17"/>
      <c r="H3470" s="17" t="s">
        <v>692</v>
      </c>
      <c r="I3470" s="17"/>
      <c r="J3470" s="17" t="s">
        <v>693</v>
      </c>
      <c r="K3470" s="17"/>
      <c r="L3470" s="17"/>
      <c r="M3470" s="17"/>
      <c r="N3470" s="17"/>
      <c r="O3470" s="17"/>
      <c r="P3470" s="17" t="s">
        <v>845</v>
      </c>
      <c r="Q3470" s="17"/>
      <c r="R3470" s="25" t="str">
        <f>HYPERLINK("https://ictv.global/taxonomy/taxondetails?taxnode_id=202314904","Attisvirus pickett")</f>
        <v>Attisvirus pickett</v>
      </c>
      <c r="S3470" s="18" t="s">
        <v>30</v>
      </c>
      <c r="T3470" s="18" t="s">
        <v>856</v>
      </c>
      <c r="U3470" s="18"/>
      <c r="V3470" s="18"/>
      <c r="W3470" s="18" t="s">
        <v>857</v>
      </c>
      <c r="X3470" s="18" t="s">
        <v>42</v>
      </c>
      <c r="Y3470" s="18" t="s">
        <v>36</v>
      </c>
      <c r="Z3470" s="18" t="s">
        <v>697</v>
      </c>
      <c r="AA3470" s="21" t="str">
        <f>HYPERLINK("https://www.ncbi.nlm.nih.gov/nuccore/OM203160","NCBI Nucleotide")</f>
        <v>NCBI Nucleotide</v>
      </c>
    </row>
    <row r="3471" spans="1:27" x14ac:dyDescent="0.35">
      <c r="A3471">
        <v>1004588</v>
      </c>
      <c r="B3471">
        <v>3447</v>
      </c>
      <c r="C3471">
        <v>1</v>
      </c>
      <c r="D3471" s="17" t="s">
        <v>155</v>
      </c>
      <c r="E3471" s="17"/>
      <c r="F3471" s="17" t="s">
        <v>156</v>
      </c>
      <c r="G3471" s="17"/>
      <c r="H3471" s="17" t="s">
        <v>692</v>
      </c>
      <c r="I3471" s="17"/>
      <c r="J3471" s="17" t="s">
        <v>693</v>
      </c>
      <c r="K3471" s="17"/>
      <c r="L3471" s="17"/>
      <c r="M3471" s="17"/>
      <c r="N3471" s="17"/>
      <c r="O3471" s="17"/>
      <c r="P3471" s="17" t="s">
        <v>845</v>
      </c>
      <c r="Q3471" s="17"/>
      <c r="R3471" s="25" t="str">
        <f>HYPERLINK("https://ictv.global/taxonomy/taxondetails?taxnode_id=202314907","Attisvirus sahara")</f>
        <v>Attisvirus sahara</v>
      </c>
      <c r="S3471" s="18" t="s">
        <v>30</v>
      </c>
      <c r="T3471" s="18" t="s">
        <v>858</v>
      </c>
      <c r="U3471" s="18"/>
      <c r="V3471" s="18"/>
      <c r="W3471" s="18" t="s">
        <v>859</v>
      </c>
      <c r="X3471" s="18" t="s">
        <v>42</v>
      </c>
      <c r="Y3471" s="18" t="s">
        <v>36</v>
      </c>
      <c r="Z3471" s="18" t="s">
        <v>697</v>
      </c>
      <c r="AA3471" s="21" t="str">
        <f>HYPERLINK("https://www.ncbi.nlm.nih.gov/nuccore/MZ171371","NCBI Nucleotide")</f>
        <v>NCBI Nucleotide</v>
      </c>
    </row>
    <row r="3472" spans="1:27" x14ac:dyDescent="0.35">
      <c r="A3472">
        <v>1004589</v>
      </c>
      <c r="B3472">
        <v>3448</v>
      </c>
      <c r="C3472">
        <v>1</v>
      </c>
      <c r="D3472" s="17" t="s">
        <v>155</v>
      </c>
      <c r="E3472" s="17"/>
      <c r="F3472" s="17" t="s">
        <v>156</v>
      </c>
      <c r="G3472" s="17"/>
      <c r="H3472" s="17" t="s">
        <v>692</v>
      </c>
      <c r="I3472" s="17"/>
      <c r="J3472" s="17" t="s">
        <v>693</v>
      </c>
      <c r="K3472" s="17"/>
      <c r="L3472" s="17"/>
      <c r="M3472" s="17"/>
      <c r="N3472" s="17"/>
      <c r="O3472" s="17"/>
      <c r="P3472" s="17" t="s">
        <v>845</v>
      </c>
      <c r="Q3472" s="17"/>
      <c r="R3472" s="25" t="str">
        <f>HYPERLINK("https://ictv.global/taxonomy/taxondetails?taxnode_id=202314902","Attisvirus vasanti")</f>
        <v>Attisvirus vasanti</v>
      </c>
      <c r="S3472" s="18" t="s">
        <v>30</v>
      </c>
      <c r="T3472" s="18" t="s">
        <v>860</v>
      </c>
      <c r="U3472" s="18"/>
      <c r="V3472" s="18"/>
      <c r="W3472" s="18" t="s">
        <v>861</v>
      </c>
      <c r="X3472" s="18" t="s">
        <v>42</v>
      </c>
      <c r="Y3472" s="18" t="s">
        <v>36</v>
      </c>
      <c r="Z3472" s="18" t="s">
        <v>697</v>
      </c>
      <c r="AA3472" s="21" t="str">
        <f>HYPERLINK("https://www.ncbi.nlm.nih.gov/nuccore/MK359313","NCBI Nucleotide")</f>
        <v>NCBI Nucleotide</v>
      </c>
    </row>
    <row r="3473" spans="1:27" x14ac:dyDescent="0.35">
      <c r="A3473">
        <v>1004590</v>
      </c>
      <c r="B3473">
        <v>3449</v>
      </c>
      <c r="C3473">
        <v>1</v>
      </c>
      <c r="D3473" s="17" t="s">
        <v>155</v>
      </c>
      <c r="E3473" s="17"/>
      <c r="F3473" s="17" t="s">
        <v>156</v>
      </c>
      <c r="G3473" s="17"/>
      <c r="H3473" s="17" t="s">
        <v>692</v>
      </c>
      <c r="I3473" s="17"/>
      <c r="J3473" s="17" t="s">
        <v>693</v>
      </c>
      <c r="K3473" s="17"/>
      <c r="L3473" s="17"/>
      <c r="M3473" s="17"/>
      <c r="N3473" s="17"/>
      <c r="O3473" s="17"/>
      <c r="P3473" s="17" t="s">
        <v>845</v>
      </c>
      <c r="Q3473" s="17"/>
      <c r="R3473" s="25" t="str">
        <f>HYPERLINK("https://ictv.global/taxonomy/taxondetails?taxnode_id=202314905","Attisvirus yeet412")</f>
        <v>Attisvirus yeet412</v>
      </c>
      <c r="S3473" s="18" t="s">
        <v>30</v>
      </c>
      <c r="T3473" s="18" t="s">
        <v>862</v>
      </c>
      <c r="U3473" s="18"/>
      <c r="V3473" s="18"/>
      <c r="W3473" s="18" t="s">
        <v>863</v>
      </c>
      <c r="X3473" s="18" t="s">
        <v>42</v>
      </c>
      <c r="Y3473" s="18" t="s">
        <v>36</v>
      </c>
      <c r="Z3473" s="18" t="s">
        <v>697</v>
      </c>
      <c r="AA3473" s="21" t="str">
        <f>HYPERLINK("https://www.ncbi.nlm.nih.gov/nuccore/MZ150788","NCBI Nucleotide")</f>
        <v>NCBI Nucleotide</v>
      </c>
    </row>
    <row r="3474" spans="1:27" x14ac:dyDescent="0.35">
      <c r="A3474">
        <v>1004591</v>
      </c>
      <c r="B3474">
        <v>3450</v>
      </c>
      <c r="C3474">
        <v>1</v>
      </c>
      <c r="D3474" s="17" t="s">
        <v>155</v>
      </c>
      <c r="E3474" s="17"/>
      <c r="F3474" s="17" t="s">
        <v>156</v>
      </c>
      <c r="G3474" s="17"/>
      <c r="H3474" s="17" t="s">
        <v>692</v>
      </c>
      <c r="I3474" s="17"/>
      <c r="J3474" s="17" t="s">
        <v>693</v>
      </c>
      <c r="K3474" s="17"/>
      <c r="L3474" s="17"/>
      <c r="M3474" s="17"/>
      <c r="N3474" s="17"/>
      <c r="O3474" s="17"/>
      <c r="P3474" s="17" t="s">
        <v>864</v>
      </c>
      <c r="Q3474" s="17"/>
      <c r="R3474" s="25" t="str">
        <f>HYPERLINK("https://ictv.global/taxonomy/taxondetails?taxnode_id=202307725","Attoomivirus attoomi")</f>
        <v>Attoomivirus attoomi</v>
      </c>
      <c r="S3474" s="18" t="s">
        <v>30</v>
      </c>
      <c r="T3474" s="18" t="s">
        <v>865</v>
      </c>
      <c r="U3474" s="18"/>
      <c r="V3474" s="18"/>
      <c r="W3474" s="18" t="s">
        <v>866</v>
      </c>
      <c r="X3474" s="18" t="s">
        <v>42</v>
      </c>
      <c r="Y3474" s="18" t="s">
        <v>36</v>
      </c>
      <c r="Z3474" s="18" t="s">
        <v>697</v>
      </c>
      <c r="AA3474" s="21" t="str">
        <f>HYPERLINK("https://www.ncbi.nlm.nih.gov/nuccore/MG593801","NCBI Nucleotide")</f>
        <v>NCBI Nucleotide</v>
      </c>
    </row>
    <row r="3475" spans="1:27" x14ac:dyDescent="0.35">
      <c r="A3475">
        <v>1004592</v>
      </c>
      <c r="B3475">
        <v>3451</v>
      </c>
      <c r="C3475">
        <v>1</v>
      </c>
      <c r="D3475" s="17" t="s">
        <v>155</v>
      </c>
      <c r="E3475" s="17"/>
      <c r="F3475" s="17" t="s">
        <v>156</v>
      </c>
      <c r="G3475" s="17"/>
      <c r="H3475" s="17" t="s">
        <v>692</v>
      </c>
      <c r="I3475" s="17"/>
      <c r="J3475" s="17" t="s">
        <v>693</v>
      </c>
      <c r="K3475" s="17"/>
      <c r="L3475" s="17"/>
      <c r="M3475" s="17"/>
      <c r="N3475" s="17"/>
      <c r="O3475" s="17"/>
      <c r="P3475" s="17" t="s">
        <v>867</v>
      </c>
      <c r="Q3475" s="17"/>
      <c r="R3475" s="25" t="str">
        <f>HYPERLINK("https://ictv.global/taxonomy/taxondetails?taxnode_id=202309386","Audreyjarvisvirus AM1")</f>
        <v>Audreyjarvisvirus AM1</v>
      </c>
      <c r="S3475" s="18" t="s">
        <v>30</v>
      </c>
      <c r="T3475" s="18" t="s">
        <v>868</v>
      </c>
      <c r="U3475" s="18"/>
      <c r="V3475" s="18"/>
      <c r="W3475" s="18" t="s">
        <v>869</v>
      </c>
      <c r="X3475" s="18" t="s">
        <v>42</v>
      </c>
      <c r="Y3475" s="18" t="s">
        <v>36</v>
      </c>
      <c r="Z3475" s="18" t="s">
        <v>697</v>
      </c>
      <c r="AA3475" s="21" t="str">
        <f>HYPERLINK("https://www.ncbi.nlm.nih.gov/nuccore/KY554768","NCBI Nucleotide")</f>
        <v>NCBI Nucleotide</v>
      </c>
    </row>
    <row r="3476" spans="1:27" x14ac:dyDescent="0.35">
      <c r="A3476">
        <v>1004593</v>
      </c>
      <c r="B3476">
        <v>3452</v>
      </c>
      <c r="C3476">
        <v>1</v>
      </c>
      <c r="D3476" s="17" t="s">
        <v>155</v>
      </c>
      <c r="E3476" s="17"/>
      <c r="F3476" s="17" t="s">
        <v>156</v>
      </c>
      <c r="G3476" s="17"/>
      <c r="H3476" s="17" t="s">
        <v>692</v>
      </c>
      <c r="I3476" s="17"/>
      <c r="J3476" s="17" t="s">
        <v>693</v>
      </c>
      <c r="K3476" s="17"/>
      <c r="L3476" s="17"/>
      <c r="M3476" s="17"/>
      <c r="N3476" s="17"/>
      <c r="O3476" s="17"/>
      <c r="P3476" s="17" t="s">
        <v>867</v>
      </c>
      <c r="Q3476" s="17"/>
      <c r="R3476" s="25" t="str">
        <f>HYPERLINK("https://ictv.global/taxonomy/taxondetails?taxnode_id=202309388","Audreyjarvisvirus AM4")</f>
        <v>Audreyjarvisvirus AM4</v>
      </c>
      <c r="S3476" s="18" t="s">
        <v>30</v>
      </c>
      <c r="T3476" s="18" t="s">
        <v>870</v>
      </c>
      <c r="U3476" s="18"/>
      <c r="V3476" s="18"/>
      <c r="W3476" s="18" t="s">
        <v>871</v>
      </c>
      <c r="X3476" s="18" t="s">
        <v>42</v>
      </c>
      <c r="Y3476" s="18" t="s">
        <v>36</v>
      </c>
      <c r="Z3476" s="18" t="s">
        <v>697</v>
      </c>
      <c r="AA3476" s="21" t="str">
        <f>HYPERLINK("https://www.ncbi.nlm.nih.gov/nuccore/KY554771","NCBI Nucleotide")</f>
        <v>NCBI Nucleotide</v>
      </c>
    </row>
    <row r="3477" spans="1:27" x14ac:dyDescent="0.35">
      <c r="A3477">
        <v>1004594</v>
      </c>
      <c r="B3477">
        <v>3453</v>
      </c>
      <c r="C3477">
        <v>1</v>
      </c>
      <c r="D3477" s="17" t="s">
        <v>155</v>
      </c>
      <c r="E3477" s="17"/>
      <c r="F3477" s="17" t="s">
        <v>156</v>
      </c>
      <c r="G3477" s="17"/>
      <c r="H3477" s="17" t="s">
        <v>692</v>
      </c>
      <c r="I3477" s="17"/>
      <c r="J3477" s="17" t="s">
        <v>693</v>
      </c>
      <c r="K3477" s="17"/>
      <c r="L3477" s="17"/>
      <c r="M3477" s="17"/>
      <c r="N3477" s="17"/>
      <c r="O3477" s="17"/>
      <c r="P3477" s="17" t="s">
        <v>867</v>
      </c>
      <c r="Q3477" s="17"/>
      <c r="R3477" s="25" t="str">
        <f>HYPERLINK("https://ictv.global/taxonomy/taxondetails?taxnode_id=202309385","Audreyjarvisvirus av949")</f>
        <v>Audreyjarvisvirus av949</v>
      </c>
      <c r="S3477" s="18" t="s">
        <v>30</v>
      </c>
      <c r="T3477" s="18" t="s">
        <v>872</v>
      </c>
      <c r="U3477" s="18"/>
      <c r="V3477" s="18"/>
      <c r="W3477" s="18" t="s">
        <v>873</v>
      </c>
      <c r="X3477" s="18" t="s">
        <v>42</v>
      </c>
      <c r="Y3477" s="18" t="s">
        <v>36</v>
      </c>
      <c r="Z3477" s="18" t="s">
        <v>697</v>
      </c>
      <c r="AA3477" s="21" t="str">
        <f>HYPERLINK("https://www.ncbi.nlm.nih.gov/nuccore/HM029250","NCBI Nucleotide")</f>
        <v>NCBI Nucleotide</v>
      </c>
    </row>
    <row r="3478" spans="1:27" x14ac:dyDescent="0.35">
      <c r="A3478">
        <v>1004595</v>
      </c>
      <c r="B3478">
        <v>3454</v>
      </c>
      <c r="C3478">
        <v>1</v>
      </c>
      <c r="D3478" s="17" t="s">
        <v>155</v>
      </c>
      <c r="E3478" s="17"/>
      <c r="F3478" s="17" t="s">
        <v>156</v>
      </c>
      <c r="G3478" s="17"/>
      <c r="H3478" s="17" t="s">
        <v>692</v>
      </c>
      <c r="I3478" s="17"/>
      <c r="J3478" s="17" t="s">
        <v>693</v>
      </c>
      <c r="K3478" s="17"/>
      <c r="L3478" s="17"/>
      <c r="M3478" s="17"/>
      <c r="N3478" s="17"/>
      <c r="O3478" s="17"/>
      <c r="P3478" s="17" t="s">
        <v>867</v>
      </c>
      <c r="Q3478" s="17"/>
      <c r="R3478" s="25" t="str">
        <f>HYPERLINK("https://ictv.global/taxonomy/taxondetails?taxnode_id=202309389","Audreyjarvisvirus L47")</f>
        <v>Audreyjarvisvirus L47</v>
      </c>
      <c r="S3478" s="18" t="s">
        <v>30</v>
      </c>
      <c r="T3478" s="18" t="s">
        <v>874</v>
      </c>
      <c r="U3478" s="18"/>
      <c r="V3478" s="18"/>
      <c r="W3478" s="18" t="s">
        <v>875</v>
      </c>
      <c r="X3478" s="18" t="s">
        <v>42</v>
      </c>
      <c r="Y3478" s="18" t="s">
        <v>36</v>
      </c>
      <c r="Z3478" s="18" t="s">
        <v>697</v>
      </c>
      <c r="AA3478" s="21" t="str">
        <f>HYPERLINK("https://www.ncbi.nlm.nih.gov/nuccore/KF926093","NCBI Nucleotide")</f>
        <v>NCBI Nucleotide</v>
      </c>
    </row>
    <row r="3479" spans="1:27" x14ac:dyDescent="0.35">
      <c r="A3479">
        <v>1004596</v>
      </c>
      <c r="B3479">
        <v>3455</v>
      </c>
      <c r="C3479">
        <v>1</v>
      </c>
      <c r="D3479" s="17" t="s">
        <v>155</v>
      </c>
      <c r="E3479" s="17"/>
      <c r="F3479" s="17" t="s">
        <v>156</v>
      </c>
      <c r="G3479" s="17"/>
      <c r="H3479" s="17" t="s">
        <v>692</v>
      </c>
      <c r="I3479" s="17"/>
      <c r="J3479" s="17" t="s">
        <v>693</v>
      </c>
      <c r="K3479" s="17"/>
      <c r="L3479" s="17"/>
      <c r="M3479" s="17"/>
      <c r="N3479" s="17"/>
      <c r="O3479" s="17"/>
      <c r="P3479" s="17" t="s">
        <v>867</v>
      </c>
      <c r="Q3479" s="17"/>
      <c r="R3479" s="25" t="str">
        <f>HYPERLINK("https://ictv.global/taxonomy/taxondetails?taxnode_id=202309387","Audreyjarvisvirus LW81")</f>
        <v>Audreyjarvisvirus LW81</v>
      </c>
      <c r="S3479" s="18" t="s">
        <v>30</v>
      </c>
      <c r="T3479" s="18" t="s">
        <v>876</v>
      </c>
      <c r="U3479" s="18"/>
      <c r="V3479" s="18"/>
      <c r="W3479" s="18" t="s">
        <v>877</v>
      </c>
      <c r="X3479" s="18" t="s">
        <v>42</v>
      </c>
      <c r="Y3479" s="18" t="s">
        <v>36</v>
      </c>
      <c r="Z3479" s="18" t="s">
        <v>697</v>
      </c>
      <c r="AA3479" s="21" t="str">
        <f>HYPERLINK("https://www.ncbi.nlm.nih.gov/nuccore/KY554777","NCBI Nucleotide")</f>
        <v>NCBI Nucleotide</v>
      </c>
    </row>
    <row r="3480" spans="1:27" x14ac:dyDescent="0.35">
      <c r="A3480">
        <v>1004597</v>
      </c>
      <c r="B3480">
        <v>3456</v>
      </c>
      <c r="C3480">
        <v>1</v>
      </c>
      <c r="D3480" s="17" t="s">
        <v>155</v>
      </c>
      <c r="E3480" s="17"/>
      <c r="F3480" s="17" t="s">
        <v>156</v>
      </c>
      <c r="G3480" s="17"/>
      <c r="H3480" s="17" t="s">
        <v>692</v>
      </c>
      <c r="I3480" s="17"/>
      <c r="J3480" s="17" t="s">
        <v>693</v>
      </c>
      <c r="K3480" s="17"/>
      <c r="L3480" s="17"/>
      <c r="M3480" s="17"/>
      <c r="N3480" s="17"/>
      <c r="O3480" s="17"/>
      <c r="P3480" s="17" t="s">
        <v>867</v>
      </c>
      <c r="Q3480" s="17"/>
      <c r="R3480" s="25" t="str">
        <f>HYPERLINK("https://ictv.global/taxonomy/taxondetails?taxnode_id=202309391","Audreyjarvisvirus P1048")</f>
        <v>Audreyjarvisvirus P1048</v>
      </c>
      <c r="S3480" s="18" t="s">
        <v>30</v>
      </c>
      <c r="T3480" s="18" t="s">
        <v>878</v>
      </c>
      <c r="U3480" s="18"/>
      <c r="V3480" s="18"/>
      <c r="W3480" s="18" t="s">
        <v>879</v>
      </c>
      <c r="X3480" s="18" t="s">
        <v>42</v>
      </c>
      <c r="Y3480" s="18" t="s">
        <v>36</v>
      </c>
      <c r="Z3480" s="18" t="s">
        <v>697</v>
      </c>
      <c r="AA3480" s="21" t="str">
        <f>HYPERLINK("https://www.ncbi.nlm.nih.gov/nuccore/MN552145","NCBI Nucleotide")</f>
        <v>NCBI Nucleotide</v>
      </c>
    </row>
    <row r="3481" spans="1:27" x14ac:dyDescent="0.35">
      <c r="A3481">
        <v>1004598</v>
      </c>
      <c r="B3481">
        <v>3457</v>
      </c>
      <c r="C3481">
        <v>1</v>
      </c>
      <c r="D3481" s="17" t="s">
        <v>155</v>
      </c>
      <c r="E3481" s="17"/>
      <c r="F3481" s="17" t="s">
        <v>156</v>
      </c>
      <c r="G3481" s="17"/>
      <c r="H3481" s="17" t="s">
        <v>692</v>
      </c>
      <c r="I3481" s="17"/>
      <c r="J3481" s="17" t="s">
        <v>693</v>
      </c>
      <c r="K3481" s="17"/>
      <c r="L3481" s="17"/>
      <c r="M3481" s="17"/>
      <c r="N3481" s="17"/>
      <c r="O3481" s="17"/>
      <c r="P3481" s="17" t="s">
        <v>867</v>
      </c>
      <c r="Q3481" s="17"/>
      <c r="R3481" s="25" t="str">
        <f>HYPERLINK("https://ictv.global/taxonomy/taxondetails?taxnode_id=202309390","Audreyjarvisvirus WRP3")</f>
        <v>Audreyjarvisvirus WRP3</v>
      </c>
      <c r="S3481" s="18" t="s">
        <v>30</v>
      </c>
      <c r="T3481" s="18" t="s">
        <v>880</v>
      </c>
      <c r="U3481" s="18"/>
      <c r="V3481" s="18"/>
      <c r="W3481" s="18" t="s">
        <v>881</v>
      </c>
      <c r="X3481" s="18" t="s">
        <v>42</v>
      </c>
      <c r="Y3481" s="18" t="s">
        <v>36</v>
      </c>
      <c r="Z3481" s="18" t="s">
        <v>697</v>
      </c>
      <c r="AA3481" s="21" t="str">
        <f>HYPERLINK("https://www.ncbi.nlm.nih.gov/nuccore/KM677185","NCBI Nucleotide")</f>
        <v>NCBI Nucleotide</v>
      </c>
    </row>
    <row r="3482" spans="1:27" x14ac:dyDescent="0.35">
      <c r="A3482">
        <v>1004599</v>
      </c>
      <c r="B3482">
        <v>3458</v>
      </c>
      <c r="C3482">
        <v>1</v>
      </c>
      <c r="D3482" s="17" t="s">
        <v>155</v>
      </c>
      <c r="E3482" s="17"/>
      <c r="F3482" s="17" t="s">
        <v>156</v>
      </c>
      <c r="G3482" s="17"/>
      <c r="H3482" s="17" t="s">
        <v>692</v>
      </c>
      <c r="I3482" s="17"/>
      <c r="J3482" s="17" t="s">
        <v>693</v>
      </c>
      <c r="K3482" s="17"/>
      <c r="L3482" s="17"/>
      <c r="M3482" s="17"/>
      <c r="N3482" s="17"/>
      <c r="O3482" s="17"/>
      <c r="P3482" s="17" t="s">
        <v>882</v>
      </c>
      <c r="Q3482" s="17"/>
      <c r="R3482" s="25" t="str">
        <f>HYPERLINK("https://ictv.global/taxonomy/taxondetails?taxnode_id=202307766","Aurunvirus STIM5")</f>
        <v>Aurunvirus STIM5</v>
      </c>
      <c r="S3482" s="18" t="s">
        <v>30</v>
      </c>
      <c r="T3482" s="18" t="s">
        <v>883</v>
      </c>
      <c r="U3482" s="18"/>
      <c r="V3482" s="18"/>
      <c r="W3482" s="18" t="s">
        <v>884</v>
      </c>
      <c r="X3482" s="18" t="s">
        <v>42</v>
      </c>
      <c r="Y3482" s="18" t="s">
        <v>36</v>
      </c>
      <c r="Z3482" s="18" t="s">
        <v>697</v>
      </c>
      <c r="AA3482" s="21" t="str">
        <f>HYPERLINK("https://www.ncbi.nlm.nih.gov/nuccore/JQ245707","NCBI Nucleotide")</f>
        <v>NCBI Nucleotide</v>
      </c>
    </row>
    <row r="3483" spans="1:27" x14ac:dyDescent="0.35">
      <c r="A3483">
        <v>1004600</v>
      </c>
      <c r="B3483">
        <v>3459</v>
      </c>
      <c r="C3483">
        <v>1</v>
      </c>
      <c r="D3483" s="17" t="s">
        <v>155</v>
      </c>
      <c r="E3483" s="17"/>
      <c r="F3483" s="17" t="s">
        <v>156</v>
      </c>
      <c r="G3483" s="17"/>
      <c r="H3483" s="17" t="s">
        <v>692</v>
      </c>
      <c r="I3483" s="17"/>
      <c r="J3483" s="17" t="s">
        <v>693</v>
      </c>
      <c r="K3483" s="17"/>
      <c r="L3483" s="17"/>
      <c r="M3483" s="17"/>
      <c r="N3483" s="17"/>
      <c r="O3483" s="17"/>
      <c r="P3483" s="17" t="s">
        <v>885</v>
      </c>
      <c r="Q3483" s="17"/>
      <c r="R3483" s="25" t="str">
        <f>HYPERLINK("https://ictv.global/taxonomy/taxondetails?taxnode_id=202307727","Austintatiousvirus austintatious")</f>
        <v>Austintatiousvirus austintatious</v>
      </c>
      <c r="S3483" s="18" t="s">
        <v>30</v>
      </c>
      <c r="T3483" s="18" t="s">
        <v>886</v>
      </c>
      <c r="U3483" s="18"/>
      <c r="V3483" s="18"/>
      <c r="W3483" s="18" t="s">
        <v>887</v>
      </c>
      <c r="X3483" s="18" t="s">
        <v>42</v>
      </c>
      <c r="Y3483" s="18" t="s">
        <v>36</v>
      </c>
      <c r="Z3483" s="18" t="s">
        <v>697</v>
      </c>
      <c r="AA3483" s="21" t="str">
        <f>HYPERLINK("https://www.ncbi.nlm.nih.gov/nuccore/MK305888","NCBI Nucleotide")</f>
        <v>NCBI Nucleotide</v>
      </c>
    </row>
    <row r="3484" spans="1:27" x14ac:dyDescent="0.35">
      <c r="A3484">
        <v>1004601</v>
      </c>
      <c r="B3484">
        <v>3460</v>
      </c>
      <c r="C3484">
        <v>1</v>
      </c>
      <c r="D3484" s="17" t="s">
        <v>155</v>
      </c>
      <c r="E3484" s="17"/>
      <c r="F3484" s="17" t="s">
        <v>156</v>
      </c>
      <c r="G3484" s="17"/>
      <c r="H3484" s="17" t="s">
        <v>692</v>
      </c>
      <c r="I3484" s="17"/>
      <c r="J3484" s="17" t="s">
        <v>693</v>
      </c>
      <c r="K3484" s="17"/>
      <c r="L3484" s="17"/>
      <c r="M3484" s="17"/>
      <c r="N3484" s="17"/>
      <c r="O3484" s="17"/>
      <c r="P3484" s="17" t="s">
        <v>885</v>
      </c>
      <c r="Q3484" s="17"/>
      <c r="R3484" s="25" t="str">
        <f>HYPERLINK("https://ictv.global/taxonomy/taxondetails?taxnode_id=202307728","Austintatiousvirus ididsumtinwong")</f>
        <v>Austintatiousvirus ididsumtinwong</v>
      </c>
      <c r="S3484" s="18" t="s">
        <v>30</v>
      </c>
      <c r="T3484" s="18" t="s">
        <v>888</v>
      </c>
      <c r="U3484" s="18"/>
      <c r="V3484" s="18"/>
      <c r="W3484" s="18" t="s">
        <v>889</v>
      </c>
      <c r="X3484" s="18" t="s">
        <v>42</v>
      </c>
      <c r="Y3484" s="18" t="s">
        <v>36</v>
      </c>
      <c r="Z3484" s="18" t="s">
        <v>697</v>
      </c>
      <c r="AA3484" s="21" t="str">
        <f>HYPERLINK("https://www.ncbi.nlm.nih.gov/nuccore/KY092479","NCBI Nucleotide")</f>
        <v>NCBI Nucleotide</v>
      </c>
    </row>
    <row r="3485" spans="1:27" x14ac:dyDescent="0.35">
      <c r="A3485">
        <v>1004602</v>
      </c>
      <c r="B3485">
        <v>3461</v>
      </c>
      <c r="C3485">
        <v>1</v>
      </c>
      <c r="D3485" s="17" t="s">
        <v>155</v>
      </c>
      <c r="E3485" s="17"/>
      <c r="F3485" s="17" t="s">
        <v>156</v>
      </c>
      <c r="G3485" s="17"/>
      <c r="H3485" s="17" t="s">
        <v>692</v>
      </c>
      <c r="I3485" s="17"/>
      <c r="J3485" s="17" t="s">
        <v>693</v>
      </c>
      <c r="K3485" s="17"/>
      <c r="L3485" s="17"/>
      <c r="M3485" s="17"/>
      <c r="N3485" s="17"/>
      <c r="O3485" s="17"/>
      <c r="P3485" s="17" t="s">
        <v>885</v>
      </c>
      <c r="Q3485" s="17"/>
      <c r="R3485" s="25" t="str">
        <f>HYPERLINK("https://ictv.global/taxonomy/taxondetails?taxnode_id=202307729","Austintatiousvirus papayasalad")</f>
        <v>Austintatiousvirus papayasalad</v>
      </c>
      <c r="S3485" s="18" t="s">
        <v>30</v>
      </c>
      <c r="T3485" s="18" t="s">
        <v>890</v>
      </c>
      <c r="U3485" s="18"/>
      <c r="V3485" s="18"/>
      <c r="W3485" s="18" t="s">
        <v>891</v>
      </c>
      <c r="X3485" s="18" t="s">
        <v>42</v>
      </c>
      <c r="Y3485" s="18" t="s">
        <v>36</v>
      </c>
      <c r="Z3485" s="18" t="s">
        <v>697</v>
      </c>
      <c r="AA3485" s="21" t="str">
        <f>HYPERLINK("https://www.ncbi.nlm.nih.gov/nuccore/KY092481","NCBI Nucleotide")</f>
        <v>NCBI Nucleotide</v>
      </c>
    </row>
    <row r="3486" spans="1:27" x14ac:dyDescent="0.35">
      <c r="A3486">
        <v>1004603</v>
      </c>
      <c r="B3486">
        <v>3462</v>
      </c>
      <c r="C3486">
        <v>1</v>
      </c>
      <c r="D3486" s="17" t="s">
        <v>155</v>
      </c>
      <c r="E3486" s="17"/>
      <c r="F3486" s="17" t="s">
        <v>156</v>
      </c>
      <c r="G3486" s="17"/>
      <c r="H3486" s="17" t="s">
        <v>692</v>
      </c>
      <c r="I3486" s="17"/>
      <c r="J3486" s="17" t="s">
        <v>693</v>
      </c>
      <c r="K3486" s="17"/>
      <c r="L3486" s="17"/>
      <c r="M3486" s="17"/>
      <c r="N3486" s="17"/>
      <c r="O3486" s="17"/>
      <c r="P3486" s="17" t="s">
        <v>892</v>
      </c>
      <c r="Q3486" s="17"/>
      <c r="R3486" s="25" t="str">
        <f>HYPERLINK("https://ictv.global/taxonomy/taxondetails?taxnode_id=202314495","Axeltriavirus AXL3")</f>
        <v>Axeltriavirus AXL3</v>
      </c>
      <c r="S3486" s="18" t="s">
        <v>30</v>
      </c>
      <c r="T3486" s="18" t="s">
        <v>893</v>
      </c>
      <c r="U3486" s="18" t="s">
        <v>894</v>
      </c>
      <c r="V3486" s="18"/>
      <c r="W3486" s="18" t="s">
        <v>895</v>
      </c>
      <c r="X3486" s="18" t="s">
        <v>42</v>
      </c>
      <c r="Y3486" s="18" t="s">
        <v>36</v>
      </c>
      <c r="Z3486" s="18" t="s">
        <v>697</v>
      </c>
      <c r="AA3486" s="21" t="str">
        <f>HYPERLINK("https://www.ncbi.nlm.nih.gov/nuccore/MT536174","NCBI Nucleotide")</f>
        <v>NCBI Nucleotide</v>
      </c>
    </row>
    <row r="3487" spans="1:27" x14ac:dyDescent="0.35">
      <c r="A3487">
        <v>1004604</v>
      </c>
      <c r="B3487">
        <v>3463</v>
      </c>
      <c r="C3487">
        <v>1</v>
      </c>
      <c r="D3487" s="17" t="s">
        <v>155</v>
      </c>
      <c r="E3487" s="17"/>
      <c r="F3487" s="17" t="s">
        <v>156</v>
      </c>
      <c r="G3487" s="17"/>
      <c r="H3487" s="17" t="s">
        <v>692</v>
      </c>
      <c r="I3487" s="17"/>
      <c r="J3487" s="17" t="s">
        <v>693</v>
      </c>
      <c r="K3487" s="17"/>
      <c r="L3487" s="17"/>
      <c r="M3487" s="17"/>
      <c r="N3487" s="17"/>
      <c r="O3487" s="17"/>
      <c r="P3487" s="17" t="s">
        <v>896</v>
      </c>
      <c r="Q3487" s="17"/>
      <c r="R3487" s="25" t="str">
        <f>HYPERLINK("https://ictv.global/taxonomy/taxondetails?taxnode_id=202309548","Ayohtrevirus abba")</f>
        <v>Ayohtrevirus abba</v>
      </c>
      <c r="S3487" s="18" t="s">
        <v>30</v>
      </c>
      <c r="T3487" s="18" t="s">
        <v>897</v>
      </c>
      <c r="U3487" s="18"/>
      <c r="V3487" s="18"/>
      <c r="W3487" s="18" t="s">
        <v>898</v>
      </c>
      <c r="X3487" s="18" t="s">
        <v>42</v>
      </c>
      <c r="Y3487" s="18" t="s">
        <v>36</v>
      </c>
      <c r="Z3487" s="18" t="s">
        <v>697</v>
      </c>
      <c r="AA3487" s="21" t="str">
        <f>HYPERLINK("https://www.ncbi.nlm.nih.gov/nuccore/MT024868","NCBI Nucleotide")</f>
        <v>NCBI Nucleotide</v>
      </c>
    </row>
    <row r="3488" spans="1:27" x14ac:dyDescent="0.35">
      <c r="A3488">
        <v>1024699</v>
      </c>
      <c r="B3488">
        <v>3464</v>
      </c>
      <c r="C3488">
        <v>1</v>
      </c>
      <c r="D3488" s="17" t="s">
        <v>155</v>
      </c>
      <c r="E3488" s="17"/>
      <c r="F3488" s="17" t="s">
        <v>156</v>
      </c>
      <c r="G3488" s="17"/>
      <c r="H3488" s="17" t="s">
        <v>692</v>
      </c>
      <c r="I3488" s="17"/>
      <c r="J3488" s="17" t="s">
        <v>693</v>
      </c>
      <c r="K3488" s="17"/>
      <c r="L3488" s="17"/>
      <c r="M3488" s="17"/>
      <c r="N3488" s="17"/>
      <c r="O3488" s="17"/>
      <c r="P3488" s="17" t="s">
        <v>39843</v>
      </c>
      <c r="Q3488" s="17"/>
      <c r="R3488" s="25" t="str">
        <f>HYPERLINK("https://ictv.global/taxonomy/taxondetails?taxnode_id=202318852","Aziravirus azira")</f>
        <v>Aziravirus azira</v>
      </c>
      <c r="S3488" s="18" t="s">
        <v>30</v>
      </c>
      <c r="T3488" s="18" t="s">
        <v>39844</v>
      </c>
      <c r="U3488" s="18"/>
      <c r="V3488" s="18"/>
      <c r="W3488" s="18" t="s">
        <v>48461</v>
      </c>
      <c r="X3488" s="18" t="s">
        <v>42</v>
      </c>
      <c r="Y3488" s="18" t="s">
        <v>36</v>
      </c>
      <c r="Z3488" s="18" t="s">
        <v>697</v>
      </c>
      <c r="AA3488" s="21" t="str">
        <f>HYPERLINK("https://www.ncbi.nlm.nih.gov/nuccore/OQ709211","NCBI Nucleotide")</f>
        <v>NCBI Nucleotide</v>
      </c>
    </row>
    <row r="3489" spans="1:27" x14ac:dyDescent="0.35">
      <c r="A3489">
        <v>1024700</v>
      </c>
      <c r="B3489">
        <v>3465</v>
      </c>
      <c r="C3489">
        <v>1</v>
      </c>
      <c r="D3489" s="17" t="s">
        <v>155</v>
      </c>
      <c r="E3489" s="17"/>
      <c r="F3489" s="17" t="s">
        <v>156</v>
      </c>
      <c r="G3489" s="17"/>
      <c r="H3489" s="17" t="s">
        <v>692</v>
      </c>
      <c r="I3489" s="17"/>
      <c r="J3489" s="17" t="s">
        <v>693</v>
      </c>
      <c r="K3489" s="17"/>
      <c r="L3489" s="17"/>
      <c r="M3489" s="17"/>
      <c r="N3489" s="17"/>
      <c r="O3489" s="17"/>
      <c r="P3489" s="17" t="s">
        <v>39843</v>
      </c>
      <c r="Q3489" s="17"/>
      <c r="R3489" s="25" t="str">
        <f>HYPERLINK("https://ictv.global/taxonomy/taxondetails?taxnode_id=202318853","Aziravirus gibbous")</f>
        <v>Aziravirus gibbous</v>
      </c>
      <c r="S3489" s="18" t="s">
        <v>30</v>
      </c>
      <c r="T3489" s="18" t="s">
        <v>39845</v>
      </c>
      <c r="U3489" s="18"/>
      <c r="V3489" s="18"/>
      <c r="W3489" s="18" t="s">
        <v>48462</v>
      </c>
      <c r="X3489" s="18" t="s">
        <v>42</v>
      </c>
      <c r="Y3489" s="18" t="s">
        <v>36</v>
      </c>
      <c r="Z3489" s="18" t="s">
        <v>697</v>
      </c>
      <c r="AA3489" s="21" t="str">
        <f>HYPERLINK("https://www.ncbi.nlm.nih.gov/nuccore/MN310549","NCBI Nucleotide")</f>
        <v>NCBI Nucleotide</v>
      </c>
    </row>
    <row r="3490" spans="1:27" x14ac:dyDescent="0.35">
      <c r="A3490">
        <v>1004605</v>
      </c>
      <c r="B3490">
        <v>3466</v>
      </c>
      <c r="C3490">
        <v>1</v>
      </c>
      <c r="D3490" s="17" t="s">
        <v>155</v>
      </c>
      <c r="E3490" s="17"/>
      <c r="F3490" s="17" t="s">
        <v>156</v>
      </c>
      <c r="G3490" s="17"/>
      <c r="H3490" s="17" t="s">
        <v>692</v>
      </c>
      <c r="I3490" s="17"/>
      <c r="J3490" s="17" t="s">
        <v>693</v>
      </c>
      <c r="K3490" s="17"/>
      <c r="L3490" s="17"/>
      <c r="M3490" s="17"/>
      <c r="N3490" s="17"/>
      <c r="O3490" s="17"/>
      <c r="P3490" s="17" t="s">
        <v>899</v>
      </c>
      <c r="Q3490" s="17"/>
      <c r="R3490" s="25" t="str">
        <f>HYPERLINK("https://ictv.global/taxonomy/taxondetails?taxnode_id=202301010","Backyardiganvirus arturo")</f>
        <v>Backyardiganvirus arturo</v>
      </c>
      <c r="S3490" s="18" t="s">
        <v>30</v>
      </c>
      <c r="T3490" s="18" t="s">
        <v>900</v>
      </c>
      <c r="U3490" s="18"/>
      <c r="V3490" s="18"/>
      <c r="W3490" s="18" t="s">
        <v>901</v>
      </c>
      <c r="X3490" s="18" t="s">
        <v>42</v>
      </c>
      <c r="Y3490" s="18" t="s">
        <v>36</v>
      </c>
      <c r="Z3490" s="18" t="s">
        <v>697</v>
      </c>
      <c r="AA3490" s="21" t="str">
        <f>HYPERLINK("https://www.ncbi.nlm.nih.gov/nuccore/JX307702","NCBI Nucleotide")</f>
        <v>NCBI Nucleotide</v>
      </c>
    </row>
    <row r="3491" spans="1:27" x14ac:dyDescent="0.35">
      <c r="A3491">
        <v>1004606</v>
      </c>
      <c r="B3491">
        <v>3467</v>
      </c>
      <c r="C3491">
        <v>1</v>
      </c>
      <c r="D3491" s="17" t="s">
        <v>155</v>
      </c>
      <c r="E3491" s="17"/>
      <c r="F3491" s="17" t="s">
        <v>156</v>
      </c>
      <c r="G3491" s="17"/>
      <c r="H3491" s="17" t="s">
        <v>692</v>
      </c>
      <c r="I3491" s="17"/>
      <c r="J3491" s="17" t="s">
        <v>693</v>
      </c>
      <c r="K3491" s="17"/>
      <c r="L3491" s="17"/>
      <c r="M3491" s="17"/>
      <c r="N3491" s="17"/>
      <c r="O3491" s="17"/>
      <c r="P3491" s="17" t="s">
        <v>899</v>
      </c>
      <c r="Q3491" s="17"/>
      <c r="R3491" s="25" t="str">
        <f>HYPERLINK("https://ictv.global/taxonomy/taxondetails?taxnode_id=202301012","Backyardiganvirus backyardigan")</f>
        <v>Backyardiganvirus backyardigan</v>
      </c>
      <c r="S3491" s="18" t="s">
        <v>30</v>
      </c>
      <c r="T3491" s="18" t="s">
        <v>902</v>
      </c>
      <c r="U3491" s="18"/>
      <c r="V3491" s="18"/>
      <c r="W3491" s="18" t="s">
        <v>903</v>
      </c>
      <c r="X3491" s="18" t="s">
        <v>42</v>
      </c>
      <c r="Y3491" s="18" t="s">
        <v>36</v>
      </c>
      <c r="Z3491" s="18" t="s">
        <v>697</v>
      </c>
      <c r="AA3491" s="21" t="str">
        <f>HYPERLINK("https://www.ncbi.nlm.nih.gov/nuccore/JF704093","NCBI Nucleotide")</f>
        <v>NCBI Nucleotide</v>
      </c>
    </row>
    <row r="3492" spans="1:27" x14ac:dyDescent="0.35">
      <c r="A3492">
        <v>1004607</v>
      </c>
      <c r="B3492">
        <v>3468</v>
      </c>
      <c r="C3492">
        <v>1</v>
      </c>
      <c r="D3492" s="17" t="s">
        <v>155</v>
      </c>
      <c r="E3492" s="17"/>
      <c r="F3492" s="17" t="s">
        <v>156</v>
      </c>
      <c r="G3492" s="17"/>
      <c r="H3492" s="17" t="s">
        <v>692</v>
      </c>
      <c r="I3492" s="17"/>
      <c r="J3492" s="17" t="s">
        <v>693</v>
      </c>
      <c r="K3492" s="17"/>
      <c r="L3492" s="17"/>
      <c r="M3492" s="17"/>
      <c r="N3492" s="17"/>
      <c r="O3492" s="17"/>
      <c r="P3492" s="17" t="s">
        <v>899</v>
      </c>
      <c r="Q3492" s="17"/>
      <c r="R3492" s="25" t="str">
        <f>HYPERLINK("https://ictv.global/taxonomy/taxondetails?taxnode_id=202313168","Backyardiganvirus bellusterra")</f>
        <v>Backyardiganvirus bellusterra</v>
      </c>
      <c r="S3492" s="18" t="s">
        <v>30</v>
      </c>
      <c r="T3492" s="18" t="s">
        <v>904</v>
      </c>
      <c r="U3492" s="18"/>
      <c r="V3492" s="18"/>
      <c r="W3492" s="18" t="s">
        <v>905</v>
      </c>
      <c r="X3492" s="18" t="s">
        <v>42</v>
      </c>
      <c r="Y3492" s="18" t="s">
        <v>36</v>
      </c>
      <c r="Z3492" s="18" t="s">
        <v>697</v>
      </c>
      <c r="AA3492" s="21" t="str">
        <f>HYPERLINK("https://www.ncbi.nlm.nih.gov/nuccore/KF841475","NCBI Nucleotide")</f>
        <v>NCBI Nucleotide</v>
      </c>
    </row>
    <row r="3493" spans="1:27" x14ac:dyDescent="0.35">
      <c r="A3493">
        <v>1004608</v>
      </c>
      <c r="B3493">
        <v>3469</v>
      </c>
      <c r="C3493">
        <v>1</v>
      </c>
      <c r="D3493" s="17" t="s">
        <v>155</v>
      </c>
      <c r="E3493" s="17"/>
      <c r="F3493" s="17" t="s">
        <v>156</v>
      </c>
      <c r="G3493" s="17"/>
      <c r="H3493" s="17" t="s">
        <v>692</v>
      </c>
      <c r="I3493" s="17"/>
      <c r="J3493" s="17" t="s">
        <v>693</v>
      </c>
      <c r="K3493" s="17"/>
      <c r="L3493" s="17"/>
      <c r="M3493" s="17"/>
      <c r="N3493" s="17"/>
      <c r="O3493" s="17"/>
      <c r="P3493" s="17" t="s">
        <v>899</v>
      </c>
      <c r="Q3493" s="17"/>
      <c r="R3493" s="25" t="str">
        <f>HYPERLINK("https://ictv.global/taxonomy/taxondetails?taxnode_id=202313171","Backyardiganvirus camperdownii")</f>
        <v>Backyardiganvirus camperdownii</v>
      </c>
      <c r="S3493" s="18" t="s">
        <v>30</v>
      </c>
      <c r="T3493" s="18" t="s">
        <v>906</v>
      </c>
      <c r="U3493" s="18"/>
      <c r="V3493" s="18"/>
      <c r="W3493" s="18" t="s">
        <v>907</v>
      </c>
      <c r="X3493" s="18" t="s">
        <v>42</v>
      </c>
      <c r="Y3493" s="18" t="s">
        <v>36</v>
      </c>
      <c r="Z3493" s="18" t="s">
        <v>697</v>
      </c>
      <c r="AA3493" s="21" t="str">
        <f>HYPERLINK("https://www.ncbi.nlm.nih.gov/nuccore/KY204245","NCBI Nucleotide")</f>
        <v>NCBI Nucleotide</v>
      </c>
    </row>
    <row r="3494" spans="1:27" x14ac:dyDescent="0.35">
      <c r="A3494">
        <v>1004609</v>
      </c>
      <c r="B3494">
        <v>3470</v>
      </c>
      <c r="C3494">
        <v>1</v>
      </c>
      <c r="D3494" s="17" t="s">
        <v>155</v>
      </c>
      <c r="E3494" s="17"/>
      <c r="F3494" s="17" t="s">
        <v>156</v>
      </c>
      <c r="G3494" s="17"/>
      <c r="H3494" s="17" t="s">
        <v>692</v>
      </c>
      <c r="I3494" s="17"/>
      <c r="J3494" s="17" t="s">
        <v>693</v>
      </c>
      <c r="K3494" s="17"/>
      <c r="L3494" s="17"/>
      <c r="M3494" s="17"/>
      <c r="N3494" s="17"/>
      <c r="O3494" s="17"/>
      <c r="P3494" s="17" t="s">
        <v>899</v>
      </c>
      <c r="Q3494" s="17"/>
      <c r="R3494" s="25" t="str">
        <f>HYPERLINK("https://ictv.global/taxonomy/taxondetails?taxnode_id=202313166","Backyardiganvirus cerulean")</f>
        <v>Backyardiganvirus cerulean</v>
      </c>
      <c r="S3494" s="18" t="s">
        <v>30</v>
      </c>
      <c r="T3494" s="18" t="s">
        <v>908</v>
      </c>
      <c r="U3494" s="18"/>
      <c r="V3494" s="18"/>
      <c r="W3494" s="18" t="s">
        <v>909</v>
      </c>
      <c r="X3494" s="18" t="s">
        <v>42</v>
      </c>
      <c r="Y3494" s="18" t="s">
        <v>36</v>
      </c>
      <c r="Z3494" s="18" t="s">
        <v>697</v>
      </c>
      <c r="AA3494" s="21" t="str">
        <f>HYPERLINK("https://www.ncbi.nlm.nih.gov/nuccore/MF919496","NCBI Nucleotide")</f>
        <v>NCBI Nucleotide</v>
      </c>
    </row>
    <row r="3495" spans="1:27" x14ac:dyDescent="0.35">
      <c r="A3495">
        <v>1004610</v>
      </c>
      <c r="B3495">
        <v>3471</v>
      </c>
      <c r="C3495">
        <v>1</v>
      </c>
      <c r="D3495" s="17" t="s">
        <v>155</v>
      </c>
      <c r="E3495" s="17"/>
      <c r="F3495" s="17" t="s">
        <v>156</v>
      </c>
      <c r="G3495" s="17"/>
      <c r="H3495" s="17" t="s">
        <v>692</v>
      </c>
      <c r="I3495" s="17"/>
      <c r="J3495" s="17" t="s">
        <v>693</v>
      </c>
      <c r="K3495" s="17"/>
      <c r="L3495" s="17"/>
      <c r="M3495" s="17"/>
      <c r="N3495" s="17"/>
      <c r="O3495" s="17"/>
      <c r="P3495" s="17" t="s">
        <v>899</v>
      </c>
      <c r="Q3495" s="17"/>
      <c r="R3495" s="25" t="str">
        <f>HYPERLINK("https://ictv.global/taxonomy/taxondetails?taxnode_id=202313176","Backyardiganvirus cindaradix")</f>
        <v>Backyardiganvirus cindaradix</v>
      </c>
      <c r="S3495" s="18" t="s">
        <v>30</v>
      </c>
      <c r="T3495" s="18" t="s">
        <v>910</v>
      </c>
      <c r="U3495" s="18"/>
      <c r="V3495" s="18"/>
      <c r="W3495" s="18" t="s">
        <v>911</v>
      </c>
      <c r="X3495" s="18" t="s">
        <v>42</v>
      </c>
      <c r="Y3495" s="18" t="s">
        <v>36</v>
      </c>
      <c r="Z3495" s="18" t="s">
        <v>697</v>
      </c>
      <c r="AA3495" s="21" t="str">
        <f>HYPERLINK("https://www.ncbi.nlm.nih.gov/nuccore/MF919498","NCBI Nucleotide")</f>
        <v>NCBI Nucleotide</v>
      </c>
    </row>
    <row r="3496" spans="1:27" x14ac:dyDescent="0.35">
      <c r="A3496">
        <v>1004611</v>
      </c>
      <c r="B3496">
        <v>3472</v>
      </c>
      <c r="C3496">
        <v>1</v>
      </c>
      <c r="D3496" s="17" t="s">
        <v>155</v>
      </c>
      <c r="E3496" s="17"/>
      <c r="F3496" s="17" t="s">
        <v>156</v>
      </c>
      <c r="G3496" s="17"/>
      <c r="H3496" s="17" t="s">
        <v>692</v>
      </c>
      <c r="I3496" s="17"/>
      <c r="J3496" s="17" t="s">
        <v>693</v>
      </c>
      <c r="K3496" s="17"/>
      <c r="L3496" s="17"/>
      <c r="M3496" s="17"/>
      <c r="N3496" s="17"/>
      <c r="O3496" s="17"/>
      <c r="P3496" s="17" t="s">
        <v>899</v>
      </c>
      <c r="Q3496" s="17"/>
      <c r="R3496" s="25" t="str">
        <f>HYPERLINK("https://ictv.global/taxonomy/taxondetails?taxnode_id=202313169","Backyardiganvirus cintron")</f>
        <v>Backyardiganvirus cintron</v>
      </c>
      <c r="S3496" s="18" t="s">
        <v>30</v>
      </c>
      <c r="T3496" s="18" t="s">
        <v>912</v>
      </c>
      <c r="U3496" s="18"/>
      <c r="V3496" s="18"/>
      <c r="W3496" s="18" t="s">
        <v>913</v>
      </c>
      <c r="X3496" s="18" t="s">
        <v>42</v>
      </c>
      <c r="Y3496" s="18" t="s">
        <v>36</v>
      </c>
      <c r="Z3496" s="18" t="s">
        <v>697</v>
      </c>
      <c r="AA3496" s="21" t="str">
        <f>HYPERLINK("https://www.ncbi.nlm.nih.gov/nuccore/MN813696","NCBI Nucleotide")</f>
        <v>NCBI Nucleotide</v>
      </c>
    </row>
    <row r="3497" spans="1:27" x14ac:dyDescent="0.35">
      <c r="A3497">
        <v>1004612</v>
      </c>
      <c r="B3497">
        <v>3473</v>
      </c>
      <c r="C3497">
        <v>1</v>
      </c>
      <c r="D3497" s="17" t="s">
        <v>155</v>
      </c>
      <c r="E3497" s="17"/>
      <c r="F3497" s="17" t="s">
        <v>156</v>
      </c>
      <c r="G3497" s="17"/>
      <c r="H3497" s="17" t="s">
        <v>692</v>
      </c>
      <c r="I3497" s="17"/>
      <c r="J3497" s="17" t="s">
        <v>693</v>
      </c>
      <c r="K3497" s="17"/>
      <c r="L3497" s="17"/>
      <c r="M3497" s="17"/>
      <c r="N3497" s="17"/>
      <c r="O3497" s="17"/>
      <c r="P3497" s="17" t="s">
        <v>899</v>
      </c>
      <c r="Q3497" s="17"/>
      <c r="R3497" s="25" t="str">
        <f>HYPERLINK("https://ictv.global/taxonomy/taxondetails?taxnode_id=202313172","Backyardiganvirus icleared")</f>
        <v>Backyardiganvirus icleared</v>
      </c>
      <c r="S3497" s="18" t="s">
        <v>30</v>
      </c>
      <c r="T3497" s="18" t="s">
        <v>914</v>
      </c>
      <c r="U3497" s="18"/>
      <c r="V3497" s="18"/>
      <c r="W3497" s="18" t="s">
        <v>915</v>
      </c>
      <c r="X3497" s="18" t="s">
        <v>42</v>
      </c>
      <c r="Y3497" s="18" t="s">
        <v>36</v>
      </c>
      <c r="Z3497" s="18" t="s">
        <v>697</v>
      </c>
      <c r="AA3497" s="21" t="str">
        <f>HYPERLINK("https://www.ncbi.nlm.nih.gov/nuccore/JQ896627","NCBI Nucleotide")</f>
        <v>NCBI Nucleotide</v>
      </c>
    </row>
    <row r="3498" spans="1:27" x14ac:dyDescent="0.35">
      <c r="A3498">
        <v>1004613</v>
      </c>
      <c r="B3498">
        <v>3474</v>
      </c>
      <c r="C3498">
        <v>1</v>
      </c>
      <c r="D3498" s="17" t="s">
        <v>155</v>
      </c>
      <c r="E3498" s="17"/>
      <c r="F3498" s="17" t="s">
        <v>156</v>
      </c>
      <c r="G3498" s="17"/>
      <c r="H3498" s="17" t="s">
        <v>692</v>
      </c>
      <c r="I3498" s="17"/>
      <c r="J3498" s="17" t="s">
        <v>693</v>
      </c>
      <c r="K3498" s="17"/>
      <c r="L3498" s="17"/>
      <c r="M3498" s="17"/>
      <c r="N3498" s="17"/>
      <c r="O3498" s="17"/>
      <c r="P3498" s="17" t="s">
        <v>899</v>
      </c>
      <c r="Q3498" s="17"/>
      <c r="R3498" s="25" t="str">
        <f>HYPERLINK("https://ictv.global/taxonomy/taxondetails?taxnode_id=202313167","Backyardiganvirus leoavram")</f>
        <v>Backyardiganvirus leoavram</v>
      </c>
      <c r="S3498" s="18" t="s">
        <v>30</v>
      </c>
      <c r="T3498" s="18" t="s">
        <v>916</v>
      </c>
      <c r="U3498" s="18"/>
      <c r="V3498" s="18"/>
      <c r="W3498" s="18" t="s">
        <v>917</v>
      </c>
      <c r="X3498" s="18" t="s">
        <v>42</v>
      </c>
      <c r="Y3498" s="18" t="s">
        <v>36</v>
      </c>
      <c r="Z3498" s="18" t="s">
        <v>697</v>
      </c>
      <c r="AA3498" s="21" t="str">
        <f>HYPERLINK("https://www.ncbi.nlm.nih.gov/nuccore/KY006473","NCBI Nucleotide")</f>
        <v>NCBI Nucleotide</v>
      </c>
    </row>
    <row r="3499" spans="1:27" x14ac:dyDescent="0.35">
      <c r="A3499">
        <v>1004614</v>
      </c>
      <c r="B3499">
        <v>3475</v>
      </c>
      <c r="C3499">
        <v>1</v>
      </c>
      <c r="D3499" s="17" t="s">
        <v>155</v>
      </c>
      <c r="E3499" s="17"/>
      <c r="F3499" s="17" t="s">
        <v>156</v>
      </c>
      <c r="G3499" s="17"/>
      <c r="H3499" s="17" t="s">
        <v>692</v>
      </c>
      <c r="I3499" s="17"/>
      <c r="J3499" s="17" t="s">
        <v>693</v>
      </c>
      <c r="K3499" s="17"/>
      <c r="L3499" s="17"/>
      <c r="M3499" s="17"/>
      <c r="N3499" s="17"/>
      <c r="O3499" s="17"/>
      <c r="P3499" s="17" t="s">
        <v>899</v>
      </c>
      <c r="Q3499" s="17"/>
      <c r="R3499" s="25" t="str">
        <f>HYPERLINK("https://ictv.global/taxonomy/taxondetails?taxnode_id=202301040","Backyardiganvirus LHTSCC")</f>
        <v>Backyardiganvirus LHTSCC</v>
      </c>
      <c r="S3499" s="18" t="s">
        <v>30</v>
      </c>
      <c r="T3499" s="18" t="s">
        <v>918</v>
      </c>
      <c r="U3499" s="18"/>
      <c r="V3499" s="18"/>
      <c r="W3499" s="18" t="s">
        <v>919</v>
      </c>
      <c r="X3499" s="18" t="s">
        <v>42</v>
      </c>
      <c r="Y3499" s="18" t="s">
        <v>36</v>
      </c>
      <c r="Z3499" s="18" t="s">
        <v>697</v>
      </c>
      <c r="AA3499" s="21" t="str">
        <f>HYPERLINK("https://www.ncbi.nlm.nih.gov/nuccore/JN699015","NCBI Nucleotide")</f>
        <v>NCBI Nucleotide</v>
      </c>
    </row>
    <row r="3500" spans="1:27" x14ac:dyDescent="0.35">
      <c r="A3500">
        <v>1004615</v>
      </c>
      <c r="B3500">
        <v>3476</v>
      </c>
      <c r="C3500">
        <v>1</v>
      </c>
      <c r="D3500" s="17" t="s">
        <v>155</v>
      </c>
      <c r="E3500" s="17"/>
      <c r="F3500" s="17" t="s">
        <v>156</v>
      </c>
      <c r="G3500" s="17"/>
      <c r="H3500" s="17" t="s">
        <v>692</v>
      </c>
      <c r="I3500" s="17"/>
      <c r="J3500" s="17" t="s">
        <v>693</v>
      </c>
      <c r="K3500" s="17"/>
      <c r="L3500" s="17"/>
      <c r="M3500" s="17"/>
      <c r="N3500" s="17"/>
      <c r="O3500" s="17"/>
      <c r="P3500" s="17" t="s">
        <v>899</v>
      </c>
      <c r="Q3500" s="17"/>
      <c r="R3500" s="25" t="str">
        <f>HYPERLINK("https://ictv.global/taxonomy/taxondetails?taxnode_id=202313174","Backyardiganvirus miramae")</f>
        <v>Backyardiganvirus miramae</v>
      </c>
      <c r="S3500" s="18" t="s">
        <v>30</v>
      </c>
      <c r="T3500" s="18" t="s">
        <v>920</v>
      </c>
      <c r="U3500" s="18"/>
      <c r="V3500" s="18"/>
      <c r="W3500" s="18" t="s">
        <v>921</v>
      </c>
      <c r="X3500" s="18" t="s">
        <v>42</v>
      </c>
      <c r="Y3500" s="18" t="s">
        <v>36</v>
      </c>
      <c r="Z3500" s="18" t="s">
        <v>697</v>
      </c>
      <c r="AA3500" s="21" t="str">
        <f>HYPERLINK("https://www.ncbi.nlm.nih.gov/nuccore/MK494117","NCBI Nucleotide")</f>
        <v>NCBI Nucleotide</v>
      </c>
    </row>
    <row r="3501" spans="1:27" x14ac:dyDescent="0.35">
      <c r="A3501">
        <v>1004616</v>
      </c>
      <c r="B3501">
        <v>3477</v>
      </c>
      <c r="C3501">
        <v>1</v>
      </c>
      <c r="D3501" s="17" t="s">
        <v>155</v>
      </c>
      <c r="E3501" s="17"/>
      <c r="F3501" s="17" t="s">
        <v>156</v>
      </c>
      <c r="G3501" s="17"/>
      <c r="H3501" s="17" t="s">
        <v>692</v>
      </c>
      <c r="I3501" s="17"/>
      <c r="J3501" s="17" t="s">
        <v>693</v>
      </c>
      <c r="K3501" s="17"/>
      <c r="L3501" s="17"/>
      <c r="M3501" s="17"/>
      <c r="N3501" s="17"/>
      <c r="O3501" s="17"/>
      <c r="P3501" s="17" t="s">
        <v>899</v>
      </c>
      <c r="Q3501" s="17"/>
      <c r="R3501" s="25" t="str">
        <f>HYPERLINK("https://ictv.global/taxonomy/taxondetails?taxnode_id=202313175","Backyardiganvirus mundrea")</f>
        <v>Backyardiganvirus mundrea</v>
      </c>
      <c r="S3501" s="18" t="s">
        <v>30</v>
      </c>
      <c r="T3501" s="18" t="s">
        <v>922</v>
      </c>
      <c r="U3501" s="18"/>
      <c r="V3501" s="18"/>
      <c r="W3501" s="18" t="s">
        <v>923</v>
      </c>
      <c r="X3501" s="18" t="s">
        <v>42</v>
      </c>
      <c r="Y3501" s="18" t="s">
        <v>36</v>
      </c>
      <c r="Z3501" s="18" t="s">
        <v>697</v>
      </c>
      <c r="AA3501" s="21" t="str">
        <f>HYPERLINK("https://www.ncbi.nlm.nih.gov/nuccore/KX579975","NCBI Nucleotide")</f>
        <v>NCBI Nucleotide</v>
      </c>
    </row>
    <row r="3502" spans="1:27" x14ac:dyDescent="0.35">
      <c r="A3502">
        <v>1004617</v>
      </c>
      <c r="B3502">
        <v>3478</v>
      </c>
      <c r="C3502">
        <v>1</v>
      </c>
      <c r="D3502" s="17" t="s">
        <v>155</v>
      </c>
      <c r="E3502" s="17"/>
      <c r="F3502" s="17" t="s">
        <v>156</v>
      </c>
      <c r="G3502" s="17"/>
      <c r="H3502" s="17" t="s">
        <v>692</v>
      </c>
      <c r="I3502" s="17"/>
      <c r="J3502" s="17" t="s">
        <v>693</v>
      </c>
      <c r="K3502" s="17"/>
      <c r="L3502" s="17"/>
      <c r="M3502" s="17"/>
      <c r="N3502" s="17"/>
      <c r="O3502" s="17"/>
      <c r="P3502" s="17" t="s">
        <v>899</v>
      </c>
      <c r="Q3502" s="17"/>
      <c r="R3502" s="25" t="str">
        <f>HYPERLINK("https://ictv.global/taxonomy/taxondetails?taxnode_id=202313173","Backyardiganvirus noelle")</f>
        <v>Backyardiganvirus noelle</v>
      </c>
      <c r="S3502" s="18" t="s">
        <v>30</v>
      </c>
      <c r="T3502" s="18" t="s">
        <v>924</v>
      </c>
      <c r="U3502" s="18"/>
      <c r="V3502" s="18"/>
      <c r="W3502" s="18" t="s">
        <v>925</v>
      </c>
      <c r="X3502" s="18" t="s">
        <v>42</v>
      </c>
      <c r="Y3502" s="18" t="s">
        <v>36</v>
      </c>
      <c r="Z3502" s="18" t="s">
        <v>697</v>
      </c>
      <c r="AA3502" s="21" t="str">
        <f>HYPERLINK("https://www.ncbi.nlm.nih.gov/nuccore/MN813697","NCBI Nucleotide")</f>
        <v>NCBI Nucleotide</v>
      </c>
    </row>
    <row r="3503" spans="1:27" x14ac:dyDescent="0.35">
      <c r="A3503">
        <v>1004618</v>
      </c>
      <c r="B3503">
        <v>3479</v>
      </c>
      <c r="C3503">
        <v>1</v>
      </c>
      <c r="D3503" s="17" t="s">
        <v>155</v>
      </c>
      <c r="E3503" s="17"/>
      <c r="F3503" s="17" t="s">
        <v>156</v>
      </c>
      <c r="G3503" s="17"/>
      <c r="H3503" s="17" t="s">
        <v>692</v>
      </c>
      <c r="I3503" s="17"/>
      <c r="J3503" s="17" t="s">
        <v>693</v>
      </c>
      <c r="K3503" s="17"/>
      <c r="L3503" s="17"/>
      <c r="M3503" s="17"/>
      <c r="N3503" s="17"/>
      <c r="O3503" s="17"/>
      <c r="P3503" s="17" t="s">
        <v>899</v>
      </c>
      <c r="Q3503" s="17"/>
      <c r="R3503" s="25" t="str">
        <f>HYPERLINK("https://ictv.global/taxonomy/taxondetails?taxnode_id=202301048","Backyardiganvirus peaches")</f>
        <v>Backyardiganvirus peaches</v>
      </c>
      <c r="S3503" s="18" t="s">
        <v>30</v>
      </c>
      <c r="T3503" s="18" t="s">
        <v>926</v>
      </c>
      <c r="U3503" s="18"/>
      <c r="V3503" s="18"/>
      <c r="W3503" s="18" t="s">
        <v>927</v>
      </c>
      <c r="X3503" s="18" t="s">
        <v>42</v>
      </c>
      <c r="Y3503" s="18" t="s">
        <v>36</v>
      </c>
      <c r="Z3503" s="18" t="s">
        <v>697</v>
      </c>
      <c r="AA3503" s="21" t="str">
        <f>HYPERLINK("https://www.ncbi.nlm.nih.gov/nuccore/GQ303263","NCBI Nucleotide")</f>
        <v>NCBI Nucleotide</v>
      </c>
    </row>
    <row r="3504" spans="1:27" x14ac:dyDescent="0.35">
      <c r="A3504">
        <v>1004619</v>
      </c>
      <c r="B3504">
        <v>3480</v>
      </c>
      <c r="C3504">
        <v>1</v>
      </c>
      <c r="D3504" s="17" t="s">
        <v>155</v>
      </c>
      <c r="E3504" s="17"/>
      <c r="F3504" s="17" t="s">
        <v>156</v>
      </c>
      <c r="G3504" s="17"/>
      <c r="H3504" s="17" t="s">
        <v>692</v>
      </c>
      <c r="I3504" s="17"/>
      <c r="J3504" s="17" t="s">
        <v>693</v>
      </c>
      <c r="K3504" s="17"/>
      <c r="L3504" s="17"/>
      <c r="M3504" s="17"/>
      <c r="N3504" s="17"/>
      <c r="O3504" s="17"/>
      <c r="P3504" s="17" t="s">
        <v>899</v>
      </c>
      <c r="Q3504" s="17"/>
      <c r="R3504" s="25" t="str">
        <f>HYPERLINK("https://ictv.global/taxonomy/taxondetails?taxnode_id=202313165","Backyardiganvirus stasia")</f>
        <v>Backyardiganvirus stasia</v>
      </c>
      <c r="S3504" s="18" t="s">
        <v>30</v>
      </c>
      <c r="T3504" s="18" t="s">
        <v>928</v>
      </c>
      <c r="U3504" s="18"/>
      <c r="V3504" s="18"/>
      <c r="W3504" s="18" t="s">
        <v>929</v>
      </c>
      <c r="X3504" s="18" t="s">
        <v>42</v>
      </c>
      <c r="Y3504" s="18" t="s">
        <v>36</v>
      </c>
      <c r="Z3504" s="18" t="s">
        <v>697</v>
      </c>
      <c r="AA3504" s="21" t="str">
        <f>HYPERLINK("https://www.ncbi.nlm.nih.gov/nuccore/KX641260","NCBI Nucleotide")</f>
        <v>NCBI Nucleotide</v>
      </c>
    </row>
    <row r="3505" spans="1:27" x14ac:dyDescent="0.35">
      <c r="A3505">
        <v>1004620</v>
      </c>
      <c r="B3505">
        <v>3481</v>
      </c>
      <c r="C3505">
        <v>1</v>
      </c>
      <c r="D3505" s="17" t="s">
        <v>155</v>
      </c>
      <c r="E3505" s="17"/>
      <c r="F3505" s="17" t="s">
        <v>156</v>
      </c>
      <c r="G3505" s="17"/>
      <c r="H3505" s="17" t="s">
        <v>692</v>
      </c>
      <c r="I3505" s="17"/>
      <c r="J3505" s="17" t="s">
        <v>693</v>
      </c>
      <c r="K3505" s="17"/>
      <c r="L3505" s="17"/>
      <c r="M3505" s="17"/>
      <c r="N3505" s="17"/>
      <c r="O3505" s="17"/>
      <c r="P3505" s="17" t="s">
        <v>899</v>
      </c>
      <c r="Q3505" s="17"/>
      <c r="R3505" s="25" t="str">
        <f>HYPERLINK("https://ictv.global/taxonomy/taxondetails?taxnode_id=202313170","Backyardiganvirus wizard007")</f>
        <v>Backyardiganvirus wizard007</v>
      </c>
      <c r="S3505" s="18" t="s">
        <v>30</v>
      </c>
      <c r="T3505" s="18" t="s">
        <v>930</v>
      </c>
      <c r="U3505" s="18"/>
      <c r="V3505" s="18"/>
      <c r="W3505" s="18" t="s">
        <v>931</v>
      </c>
      <c r="X3505" s="18" t="s">
        <v>42</v>
      </c>
      <c r="Y3505" s="18" t="s">
        <v>36</v>
      </c>
      <c r="Z3505" s="18" t="s">
        <v>697</v>
      </c>
      <c r="AA3505" s="21" t="str">
        <f>HYPERLINK("https://www.ncbi.nlm.nih.gov/nuccore/MH727563","NCBI Nucleotide")</f>
        <v>NCBI Nucleotide</v>
      </c>
    </row>
    <row r="3506" spans="1:27" x14ac:dyDescent="0.35">
      <c r="A3506">
        <v>1004621</v>
      </c>
      <c r="B3506">
        <v>3482</v>
      </c>
      <c r="C3506">
        <v>1</v>
      </c>
      <c r="D3506" s="17" t="s">
        <v>155</v>
      </c>
      <c r="E3506" s="17"/>
      <c r="F3506" s="17" t="s">
        <v>156</v>
      </c>
      <c r="G3506" s="17"/>
      <c r="H3506" s="17" t="s">
        <v>692</v>
      </c>
      <c r="I3506" s="17"/>
      <c r="J3506" s="17" t="s">
        <v>693</v>
      </c>
      <c r="K3506" s="17"/>
      <c r="L3506" s="17"/>
      <c r="M3506" s="17"/>
      <c r="N3506" s="17"/>
      <c r="O3506" s="17"/>
      <c r="P3506" s="17" t="s">
        <v>932</v>
      </c>
      <c r="Q3506" s="17"/>
      <c r="R3506" s="25" t="str">
        <f>HYPERLINK("https://ictv.global/taxonomy/taxondetails?taxnode_id=202309581","Badaztecvirus badaargau2")</f>
        <v>Badaztecvirus badaargau2</v>
      </c>
      <c r="S3506" s="18" t="s">
        <v>30</v>
      </c>
      <c r="T3506" s="18" t="s">
        <v>933</v>
      </c>
      <c r="U3506" s="18"/>
      <c r="V3506" s="18"/>
      <c r="W3506" s="18" t="s">
        <v>934</v>
      </c>
      <c r="X3506" s="18" t="s">
        <v>42</v>
      </c>
      <c r="Y3506" s="18" t="s">
        <v>36</v>
      </c>
      <c r="Z3506" s="18" t="s">
        <v>697</v>
      </c>
      <c r="AA3506" s="21" t="str">
        <f>HYPERLINK("https://www.ncbi.nlm.nih.gov/nuccore/MT006240","NCBI Nucleotide")</f>
        <v>NCBI Nucleotide</v>
      </c>
    </row>
    <row r="3507" spans="1:27" x14ac:dyDescent="0.35">
      <c r="A3507">
        <v>1004622</v>
      </c>
      <c r="B3507">
        <v>3483</v>
      </c>
      <c r="C3507">
        <v>1</v>
      </c>
      <c r="D3507" s="17" t="s">
        <v>155</v>
      </c>
      <c r="E3507" s="17"/>
      <c r="F3507" s="17" t="s">
        <v>156</v>
      </c>
      <c r="G3507" s="17"/>
      <c r="H3507" s="17" t="s">
        <v>692</v>
      </c>
      <c r="I3507" s="17"/>
      <c r="J3507" s="17" t="s">
        <v>693</v>
      </c>
      <c r="K3507" s="17"/>
      <c r="L3507" s="17"/>
      <c r="M3507" s="17"/>
      <c r="N3507" s="17"/>
      <c r="O3507" s="17"/>
      <c r="P3507" s="17" t="s">
        <v>932</v>
      </c>
      <c r="Q3507" s="17"/>
      <c r="R3507" s="25" t="str">
        <f>HYPERLINK("https://ictv.global/taxonomy/taxondetails?taxnode_id=202309580","Badaztecvirus badaztec1")</f>
        <v>Badaztecvirus badaztec1</v>
      </c>
      <c r="S3507" s="18" t="s">
        <v>30</v>
      </c>
      <c r="T3507" s="18" t="s">
        <v>935</v>
      </c>
      <c r="U3507" s="18"/>
      <c r="V3507" s="18"/>
      <c r="W3507" s="18" t="s">
        <v>936</v>
      </c>
      <c r="X3507" s="18" t="s">
        <v>42</v>
      </c>
      <c r="Y3507" s="18" t="s">
        <v>36</v>
      </c>
      <c r="Z3507" s="18" t="s">
        <v>697</v>
      </c>
      <c r="AA3507" s="21" t="str">
        <f>HYPERLINK("https://www.ncbi.nlm.nih.gov/nuccore/MT006233","NCBI Nucleotide")</f>
        <v>NCBI Nucleotide</v>
      </c>
    </row>
    <row r="3508" spans="1:27" x14ac:dyDescent="0.35">
      <c r="A3508">
        <v>1004623</v>
      </c>
      <c r="B3508">
        <v>3484</v>
      </c>
      <c r="C3508">
        <v>1</v>
      </c>
      <c r="D3508" s="17" t="s">
        <v>155</v>
      </c>
      <c r="E3508" s="17"/>
      <c r="F3508" s="17" t="s">
        <v>156</v>
      </c>
      <c r="G3508" s="17"/>
      <c r="H3508" s="17" t="s">
        <v>692</v>
      </c>
      <c r="I3508" s="17"/>
      <c r="J3508" s="17" t="s">
        <v>693</v>
      </c>
      <c r="K3508" s="17"/>
      <c r="L3508" s="17"/>
      <c r="M3508" s="17"/>
      <c r="N3508" s="17"/>
      <c r="O3508" s="17"/>
      <c r="P3508" s="17" t="s">
        <v>937</v>
      </c>
      <c r="Q3508" s="17"/>
      <c r="R3508" s="25" t="str">
        <f>HYPERLINK("https://ictv.global/taxonomy/taxondetails?taxnode_id=202307912","Baikalvirus PaBG")</f>
        <v>Baikalvirus PaBG</v>
      </c>
      <c r="S3508" s="18" t="s">
        <v>30</v>
      </c>
      <c r="T3508" s="18" t="s">
        <v>938</v>
      </c>
      <c r="U3508" s="18"/>
      <c r="V3508" s="18"/>
      <c r="W3508" s="18" t="s">
        <v>939</v>
      </c>
      <c r="X3508" s="18" t="s">
        <v>42</v>
      </c>
      <c r="Y3508" s="18" t="s">
        <v>36</v>
      </c>
      <c r="Z3508" s="18" t="s">
        <v>697</v>
      </c>
      <c r="AA3508" s="21" t="str">
        <f>HYPERLINK("https://www.ncbi.nlm.nih.gov/nuccore/KF147891","NCBI Nucleotide")</f>
        <v>NCBI Nucleotide</v>
      </c>
    </row>
    <row r="3509" spans="1:27" x14ac:dyDescent="0.35">
      <c r="A3509">
        <v>1004624</v>
      </c>
      <c r="B3509">
        <v>3485</v>
      </c>
      <c r="C3509">
        <v>1</v>
      </c>
      <c r="D3509" s="17" t="s">
        <v>155</v>
      </c>
      <c r="E3509" s="17"/>
      <c r="F3509" s="17" t="s">
        <v>156</v>
      </c>
      <c r="G3509" s="17"/>
      <c r="H3509" s="17" t="s">
        <v>692</v>
      </c>
      <c r="I3509" s="17"/>
      <c r="J3509" s="17" t="s">
        <v>693</v>
      </c>
      <c r="K3509" s="17"/>
      <c r="L3509" s="17"/>
      <c r="M3509" s="17"/>
      <c r="N3509" s="17"/>
      <c r="O3509" s="17"/>
      <c r="P3509" s="17" t="s">
        <v>940</v>
      </c>
      <c r="Q3509" s="17"/>
      <c r="R3509" s="25" t="str">
        <f>HYPERLINK("https://ictv.global/taxonomy/taxondetails?taxnode_id=202314512","Baileybluvirus baileyblu")</f>
        <v>Baileybluvirus baileyblu</v>
      </c>
      <c r="S3509" s="18" t="s">
        <v>30</v>
      </c>
      <c r="T3509" s="18" t="s">
        <v>941</v>
      </c>
      <c r="U3509" s="18"/>
      <c r="V3509" s="18"/>
      <c r="W3509" s="18" t="s">
        <v>942</v>
      </c>
      <c r="X3509" s="18" t="s">
        <v>42</v>
      </c>
      <c r="Y3509" s="18" t="s">
        <v>36</v>
      </c>
      <c r="Z3509" s="18" t="s">
        <v>697</v>
      </c>
      <c r="AA3509" s="21" t="str">
        <f>HYPERLINK("https://www.ncbi.nlm.nih.gov/nuccore/OL455900","NCBI Nucleotide")</f>
        <v>NCBI Nucleotide</v>
      </c>
    </row>
    <row r="3510" spans="1:27" x14ac:dyDescent="0.35">
      <c r="A3510">
        <v>1004625</v>
      </c>
      <c r="B3510">
        <v>3486</v>
      </c>
      <c r="C3510">
        <v>1</v>
      </c>
      <c r="D3510" s="17" t="s">
        <v>155</v>
      </c>
      <c r="E3510" s="17"/>
      <c r="F3510" s="17" t="s">
        <v>156</v>
      </c>
      <c r="G3510" s="17"/>
      <c r="H3510" s="17" t="s">
        <v>692</v>
      </c>
      <c r="I3510" s="17"/>
      <c r="J3510" s="17" t="s">
        <v>693</v>
      </c>
      <c r="K3510" s="17"/>
      <c r="L3510" s="17"/>
      <c r="M3510" s="17"/>
      <c r="N3510" s="17"/>
      <c r="O3510" s="17"/>
      <c r="P3510" s="17" t="s">
        <v>943</v>
      </c>
      <c r="Q3510" s="17"/>
      <c r="R3510" s="25" t="str">
        <f>HYPERLINK("https://ictv.global/taxonomy/taxondetails?taxnode_id=202311649","Bakolyvirus bakoly")</f>
        <v>Bakolyvirus bakoly</v>
      </c>
      <c r="S3510" s="18" t="s">
        <v>30</v>
      </c>
      <c r="T3510" s="18" t="s">
        <v>944</v>
      </c>
      <c r="U3510" s="18" t="s">
        <v>945</v>
      </c>
      <c r="V3510" s="18"/>
      <c r="W3510" s="18" t="s">
        <v>946</v>
      </c>
      <c r="X3510" s="18" t="s">
        <v>42</v>
      </c>
      <c r="Y3510" s="18" t="s">
        <v>36</v>
      </c>
      <c r="Z3510" s="18" t="s">
        <v>697</v>
      </c>
      <c r="AA3510" s="21" t="str">
        <f>HYPERLINK("https://www.ncbi.nlm.nih.gov/nuccore/MT740729","NCBI Nucleotide")</f>
        <v>NCBI Nucleotide</v>
      </c>
    </row>
    <row r="3511" spans="1:27" x14ac:dyDescent="0.35">
      <c r="A3511">
        <v>1004626</v>
      </c>
      <c r="B3511">
        <v>3487</v>
      </c>
      <c r="C3511">
        <v>1</v>
      </c>
      <c r="D3511" s="17" t="s">
        <v>155</v>
      </c>
      <c r="E3511" s="17"/>
      <c r="F3511" s="17" t="s">
        <v>156</v>
      </c>
      <c r="G3511" s="17"/>
      <c r="H3511" s="17" t="s">
        <v>692</v>
      </c>
      <c r="I3511" s="17"/>
      <c r="J3511" s="17" t="s">
        <v>693</v>
      </c>
      <c r="K3511" s="17"/>
      <c r="L3511" s="17"/>
      <c r="M3511" s="17"/>
      <c r="N3511" s="17"/>
      <c r="O3511" s="17"/>
      <c r="P3511" s="17" t="s">
        <v>943</v>
      </c>
      <c r="Q3511" s="17"/>
      <c r="R3511" s="25" t="str">
        <f>HYPERLINK("https://ictv.global/taxonomy/taxondetails?taxnode_id=202311650","Bakolyvirus simangalove")</f>
        <v>Bakolyvirus simangalove</v>
      </c>
      <c r="S3511" s="18" t="s">
        <v>30</v>
      </c>
      <c r="T3511" s="18" t="s">
        <v>947</v>
      </c>
      <c r="U3511" s="18" t="s">
        <v>948</v>
      </c>
      <c r="V3511" s="18"/>
      <c r="W3511" s="18" t="s">
        <v>949</v>
      </c>
      <c r="X3511" s="18" t="s">
        <v>42</v>
      </c>
      <c r="Y3511" s="18" t="s">
        <v>36</v>
      </c>
      <c r="Z3511" s="18" t="s">
        <v>697</v>
      </c>
      <c r="AA3511" s="21" t="str">
        <f>HYPERLINK("https://www.ncbi.nlm.nih.gov/nuccore/MT740747","NCBI Nucleotide")</f>
        <v>NCBI Nucleotide</v>
      </c>
    </row>
    <row r="3512" spans="1:27" x14ac:dyDescent="0.35">
      <c r="A3512">
        <v>1004627</v>
      </c>
      <c r="B3512">
        <v>3488</v>
      </c>
      <c r="C3512">
        <v>1</v>
      </c>
      <c r="D3512" s="17" t="s">
        <v>155</v>
      </c>
      <c r="E3512" s="17"/>
      <c r="F3512" s="17" t="s">
        <v>156</v>
      </c>
      <c r="G3512" s="17"/>
      <c r="H3512" s="17" t="s">
        <v>692</v>
      </c>
      <c r="I3512" s="17"/>
      <c r="J3512" s="17" t="s">
        <v>693</v>
      </c>
      <c r="K3512" s="17"/>
      <c r="L3512" s="17"/>
      <c r="M3512" s="17"/>
      <c r="N3512" s="17"/>
      <c r="O3512" s="17"/>
      <c r="P3512" s="17" t="s">
        <v>950</v>
      </c>
      <c r="Q3512" s="17"/>
      <c r="R3512" s="25" t="str">
        <f>HYPERLINK("https://ictv.global/taxonomy/taxondetails?taxnode_id=202306342","Bantamvirus bantam")</f>
        <v>Bantamvirus bantam</v>
      </c>
      <c r="S3512" s="18" t="s">
        <v>30</v>
      </c>
      <c r="T3512" s="18" t="s">
        <v>951</v>
      </c>
      <c r="U3512" s="18"/>
      <c r="V3512" s="18"/>
      <c r="W3512" s="18" t="s">
        <v>952</v>
      </c>
      <c r="X3512" s="18" t="s">
        <v>42</v>
      </c>
      <c r="Y3512" s="18" t="s">
        <v>36</v>
      </c>
      <c r="Z3512" s="18" t="s">
        <v>697</v>
      </c>
      <c r="AA3512" s="21" t="str">
        <f>HYPERLINK("https://www.ncbi.nlm.nih.gov/nuccore/KX557272","NCBI Nucleotide")</f>
        <v>NCBI Nucleotide</v>
      </c>
    </row>
    <row r="3513" spans="1:27" x14ac:dyDescent="0.35">
      <c r="A3513">
        <v>1004628</v>
      </c>
      <c r="B3513">
        <v>3489</v>
      </c>
      <c r="C3513">
        <v>1</v>
      </c>
      <c r="D3513" s="17" t="s">
        <v>155</v>
      </c>
      <c r="E3513" s="17"/>
      <c r="F3513" s="17" t="s">
        <v>156</v>
      </c>
      <c r="G3513" s="17"/>
      <c r="H3513" s="17" t="s">
        <v>692</v>
      </c>
      <c r="I3513" s="17"/>
      <c r="J3513" s="17" t="s">
        <v>693</v>
      </c>
      <c r="K3513" s="17"/>
      <c r="L3513" s="17"/>
      <c r="M3513" s="17"/>
      <c r="N3513" s="17"/>
      <c r="O3513" s="17"/>
      <c r="P3513" s="17" t="s">
        <v>953</v>
      </c>
      <c r="Q3513" s="17"/>
      <c r="R3513" s="25" t="str">
        <f>HYPERLINK("https://ictv.global/taxonomy/taxondetails?taxnode_id=202307108","Barbavirus barba18A")</f>
        <v>Barbavirus barba18A</v>
      </c>
      <c r="S3513" s="18" t="s">
        <v>30</v>
      </c>
      <c r="T3513" s="18" t="s">
        <v>954</v>
      </c>
      <c r="U3513" s="18"/>
      <c r="V3513" s="18"/>
      <c r="W3513" s="18" t="s">
        <v>955</v>
      </c>
      <c r="X3513" s="18" t="s">
        <v>42</v>
      </c>
      <c r="Y3513" s="18" t="s">
        <v>36</v>
      </c>
      <c r="Z3513" s="18" t="s">
        <v>697</v>
      </c>
      <c r="AA3513" s="21" t="str">
        <f>HYPERLINK("https://www.ncbi.nlm.nih.gov/nuccore/MK719729","NCBI Nucleotide")</f>
        <v>NCBI Nucleotide</v>
      </c>
    </row>
    <row r="3514" spans="1:27" x14ac:dyDescent="0.35">
      <c r="A3514">
        <v>1004629</v>
      </c>
      <c r="B3514">
        <v>3490</v>
      </c>
      <c r="C3514">
        <v>1</v>
      </c>
      <c r="D3514" s="17" t="s">
        <v>155</v>
      </c>
      <c r="E3514" s="17"/>
      <c r="F3514" s="17" t="s">
        <v>156</v>
      </c>
      <c r="G3514" s="17"/>
      <c r="H3514" s="17" t="s">
        <v>692</v>
      </c>
      <c r="I3514" s="17"/>
      <c r="J3514" s="17" t="s">
        <v>693</v>
      </c>
      <c r="K3514" s="17"/>
      <c r="L3514" s="17"/>
      <c r="M3514" s="17"/>
      <c r="N3514" s="17"/>
      <c r="O3514" s="17"/>
      <c r="P3514" s="17" t="s">
        <v>953</v>
      </c>
      <c r="Q3514" s="17"/>
      <c r="R3514" s="25" t="str">
        <f>HYPERLINK("https://ictv.global/taxonomy/taxondetails?taxnode_id=202307112","Barbavirus barba19A")</f>
        <v>Barbavirus barba19A</v>
      </c>
      <c r="S3514" s="18" t="s">
        <v>30</v>
      </c>
      <c r="T3514" s="18" t="s">
        <v>956</v>
      </c>
      <c r="U3514" s="18"/>
      <c r="V3514" s="18"/>
      <c r="W3514" s="18" t="s">
        <v>957</v>
      </c>
      <c r="X3514" s="18" t="s">
        <v>42</v>
      </c>
      <c r="Y3514" s="18" t="s">
        <v>36</v>
      </c>
      <c r="Z3514" s="18" t="s">
        <v>697</v>
      </c>
      <c r="AA3514" s="21" t="str">
        <f>HYPERLINK("https://www.ncbi.nlm.nih.gov/nuccore/MK719730","NCBI Nucleotide")</f>
        <v>NCBI Nucleotide</v>
      </c>
    </row>
    <row r="3515" spans="1:27" x14ac:dyDescent="0.35">
      <c r="A3515">
        <v>1004630</v>
      </c>
      <c r="B3515">
        <v>3491</v>
      </c>
      <c r="C3515">
        <v>1</v>
      </c>
      <c r="D3515" s="17" t="s">
        <v>155</v>
      </c>
      <c r="E3515" s="17"/>
      <c r="F3515" s="17" t="s">
        <v>156</v>
      </c>
      <c r="G3515" s="17"/>
      <c r="H3515" s="17" t="s">
        <v>692</v>
      </c>
      <c r="I3515" s="17"/>
      <c r="J3515" s="17" t="s">
        <v>693</v>
      </c>
      <c r="K3515" s="17"/>
      <c r="L3515" s="17"/>
      <c r="M3515" s="17"/>
      <c r="N3515" s="17"/>
      <c r="O3515" s="17"/>
      <c r="P3515" s="17" t="s">
        <v>953</v>
      </c>
      <c r="Q3515" s="17"/>
      <c r="R3515" s="25" t="str">
        <f>HYPERLINK("https://ictv.global/taxonomy/taxondetails?taxnode_id=202307109","Barbavirus barba21A")</f>
        <v>Barbavirus barba21A</v>
      </c>
      <c r="S3515" s="18" t="s">
        <v>30</v>
      </c>
      <c r="T3515" s="18" t="s">
        <v>958</v>
      </c>
      <c r="U3515" s="18"/>
      <c r="V3515" s="18"/>
      <c r="W3515" s="18" t="s">
        <v>959</v>
      </c>
      <c r="X3515" s="18" t="s">
        <v>42</v>
      </c>
      <c r="Y3515" s="18" t="s">
        <v>36</v>
      </c>
      <c r="Z3515" s="18" t="s">
        <v>697</v>
      </c>
      <c r="AA3515" s="21" t="str">
        <f>HYPERLINK("https://www.ncbi.nlm.nih.gov/nuccore/MK719733","NCBI Nucleotide")</f>
        <v>NCBI Nucleotide</v>
      </c>
    </row>
    <row r="3516" spans="1:27" x14ac:dyDescent="0.35">
      <c r="A3516">
        <v>1004631</v>
      </c>
      <c r="B3516">
        <v>3492</v>
      </c>
      <c r="C3516">
        <v>1</v>
      </c>
      <c r="D3516" s="17" t="s">
        <v>155</v>
      </c>
      <c r="E3516" s="17"/>
      <c r="F3516" s="17" t="s">
        <v>156</v>
      </c>
      <c r="G3516" s="17"/>
      <c r="H3516" s="17" t="s">
        <v>692</v>
      </c>
      <c r="I3516" s="17"/>
      <c r="J3516" s="17" t="s">
        <v>693</v>
      </c>
      <c r="K3516" s="17"/>
      <c r="L3516" s="17"/>
      <c r="M3516" s="17"/>
      <c r="N3516" s="17"/>
      <c r="O3516" s="17"/>
      <c r="P3516" s="17" t="s">
        <v>953</v>
      </c>
      <c r="Q3516" s="17"/>
      <c r="R3516" s="25" t="str">
        <f>HYPERLINK("https://ictv.global/taxonomy/taxondetails?taxnode_id=202307110","Barbavirus barba5S")</f>
        <v>Barbavirus barba5S</v>
      </c>
      <c r="S3516" s="18" t="s">
        <v>30</v>
      </c>
      <c r="T3516" s="18" t="s">
        <v>960</v>
      </c>
      <c r="U3516" s="18"/>
      <c r="V3516" s="18"/>
      <c r="W3516" s="18" t="s">
        <v>961</v>
      </c>
      <c r="X3516" s="18" t="s">
        <v>42</v>
      </c>
      <c r="Y3516" s="18" t="s">
        <v>36</v>
      </c>
      <c r="Z3516" s="18" t="s">
        <v>697</v>
      </c>
      <c r="AA3516" s="21" t="str">
        <f>HYPERLINK("https://www.ncbi.nlm.nih.gov/nuccore/MK719710","NCBI Nucleotide")</f>
        <v>NCBI Nucleotide</v>
      </c>
    </row>
    <row r="3517" spans="1:27" x14ac:dyDescent="0.35">
      <c r="A3517">
        <v>1004632</v>
      </c>
      <c r="B3517">
        <v>3493</v>
      </c>
      <c r="C3517">
        <v>1</v>
      </c>
      <c r="D3517" s="17" t="s">
        <v>155</v>
      </c>
      <c r="E3517" s="17"/>
      <c r="F3517" s="17" t="s">
        <v>156</v>
      </c>
      <c r="G3517" s="17"/>
      <c r="H3517" s="17" t="s">
        <v>692</v>
      </c>
      <c r="I3517" s="17"/>
      <c r="J3517" s="17" t="s">
        <v>693</v>
      </c>
      <c r="K3517" s="17"/>
      <c r="L3517" s="17"/>
      <c r="M3517" s="17"/>
      <c r="N3517" s="17"/>
      <c r="O3517" s="17"/>
      <c r="P3517" s="17" t="s">
        <v>953</v>
      </c>
      <c r="Q3517" s="17"/>
      <c r="R3517" s="25" t="str">
        <f>HYPERLINK("https://ictv.global/taxonomy/taxondetails?taxnode_id=202307111","Barbavirus barba8S")</f>
        <v>Barbavirus barba8S</v>
      </c>
      <c r="S3517" s="18" t="s">
        <v>30</v>
      </c>
      <c r="T3517" s="18" t="s">
        <v>962</v>
      </c>
      <c r="U3517" s="18"/>
      <c r="V3517" s="18"/>
      <c r="W3517" s="18" t="s">
        <v>963</v>
      </c>
      <c r="X3517" s="18" t="s">
        <v>42</v>
      </c>
      <c r="Y3517" s="18" t="s">
        <v>36</v>
      </c>
      <c r="Z3517" s="18" t="s">
        <v>697</v>
      </c>
      <c r="AA3517" s="21" t="str">
        <f>HYPERLINK("https://www.ncbi.nlm.nih.gov/nuccore/MK719714","NCBI Nucleotide")</f>
        <v>NCBI Nucleotide</v>
      </c>
    </row>
    <row r="3518" spans="1:27" x14ac:dyDescent="0.35">
      <c r="A3518">
        <v>1004633</v>
      </c>
      <c r="B3518">
        <v>3494</v>
      </c>
      <c r="C3518">
        <v>1</v>
      </c>
      <c r="D3518" s="17" t="s">
        <v>155</v>
      </c>
      <c r="E3518" s="17"/>
      <c r="F3518" s="17" t="s">
        <v>156</v>
      </c>
      <c r="G3518" s="17"/>
      <c r="H3518" s="17" t="s">
        <v>692</v>
      </c>
      <c r="I3518" s="17"/>
      <c r="J3518" s="17" t="s">
        <v>693</v>
      </c>
      <c r="K3518" s="17"/>
      <c r="L3518" s="17"/>
      <c r="M3518" s="17"/>
      <c r="N3518" s="17"/>
      <c r="O3518" s="17"/>
      <c r="P3518" s="17" t="s">
        <v>964</v>
      </c>
      <c r="Q3518" s="17"/>
      <c r="R3518" s="25" t="str">
        <f>HYPERLINK("https://ictv.global/taxonomy/taxondetails?taxnode_id=202300854","Barnyardvirus barnyard")</f>
        <v>Barnyardvirus barnyard</v>
      </c>
      <c r="S3518" s="18" t="s">
        <v>30</v>
      </c>
      <c r="T3518" s="18" t="s">
        <v>965</v>
      </c>
      <c r="U3518" s="18"/>
      <c r="V3518" s="18"/>
      <c r="W3518" s="18" t="s">
        <v>966</v>
      </c>
      <c r="X3518" s="18" t="s">
        <v>42</v>
      </c>
      <c r="Y3518" s="18" t="s">
        <v>36</v>
      </c>
      <c r="Z3518" s="18" t="s">
        <v>697</v>
      </c>
      <c r="AA3518" s="21" t="str">
        <f>HYPERLINK("https://www.ncbi.nlm.nih.gov/nuccore/AY129339","NCBI Nucleotide")</f>
        <v>NCBI Nucleotide</v>
      </c>
    </row>
    <row r="3519" spans="1:27" x14ac:dyDescent="0.35">
      <c r="A3519">
        <v>1004634</v>
      </c>
      <c r="B3519">
        <v>3495</v>
      </c>
      <c r="C3519">
        <v>1</v>
      </c>
      <c r="D3519" s="17" t="s">
        <v>155</v>
      </c>
      <c r="E3519" s="17"/>
      <c r="F3519" s="17" t="s">
        <v>156</v>
      </c>
      <c r="G3519" s="17"/>
      <c r="H3519" s="17" t="s">
        <v>692</v>
      </c>
      <c r="I3519" s="17"/>
      <c r="J3519" s="17" t="s">
        <v>693</v>
      </c>
      <c r="K3519" s="17"/>
      <c r="L3519" s="17"/>
      <c r="M3519" s="17"/>
      <c r="N3519" s="17"/>
      <c r="O3519" s="17"/>
      <c r="P3519" s="17" t="s">
        <v>964</v>
      </c>
      <c r="Q3519" s="17"/>
      <c r="R3519" s="25" t="str">
        <f>HYPERLINK("https://ictv.global/taxonomy/taxondetails?taxnode_id=202309604","Barnyardvirus drlupo")</f>
        <v>Barnyardvirus drlupo</v>
      </c>
      <c r="S3519" s="18" t="s">
        <v>30</v>
      </c>
      <c r="T3519" s="18" t="s">
        <v>967</v>
      </c>
      <c r="U3519" s="18"/>
      <c r="V3519" s="18"/>
      <c r="W3519" s="18" t="s">
        <v>968</v>
      </c>
      <c r="X3519" s="18" t="s">
        <v>42</v>
      </c>
      <c r="Y3519" s="18" t="s">
        <v>36</v>
      </c>
      <c r="Z3519" s="18" t="s">
        <v>697</v>
      </c>
      <c r="AA3519" s="21" t="str">
        <f>HYPERLINK("https://www.ncbi.nlm.nih.gov/nuccore/MK279909","NCBI Nucleotide")</f>
        <v>NCBI Nucleotide</v>
      </c>
    </row>
    <row r="3520" spans="1:27" x14ac:dyDescent="0.35">
      <c r="A3520">
        <v>1024709</v>
      </c>
      <c r="B3520">
        <v>3496</v>
      </c>
      <c r="C3520">
        <v>1</v>
      </c>
      <c r="D3520" s="17" t="s">
        <v>155</v>
      </c>
      <c r="E3520" s="17"/>
      <c r="F3520" s="17" t="s">
        <v>156</v>
      </c>
      <c r="G3520" s="17"/>
      <c r="H3520" s="17" t="s">
        <v>692</v>
      </c>
      <c r="I3520" s="17"/>
      <c r="J3520" s="17" t="s">
        <v>693</v>
      </c>
      <c r="K3520" s="17"/>
      <c r="L3520" s="17"/>
      <c r="M3520" s="17"/>
      <c r="N3520" s="17"/>
      <c r="O3520" s="17"/>
      <c r="P3520" s="17" t="s">
        <v>39846</v>
      </c>
      <c r="Q3520" s="17"/>
      <c r="R3520" s="25" t="str">
        <f>HYPERLINK("https://ictv.global/taxonomy/taxondetails?taxnode_id=202317927","Bauervirus bauer")</f>
        <v>Bauervirus bauer</v>
      </c>
      <c r="S3520" s="18" t="s">
        <v>30</v>
      </c>
      <c r="T3520" s="18" t="s">
        <v>39847</v>
      </c>
      <c r="U3520" s="18"/>
      <c r="V3520" s="18"/>
      <c r="W3520" s="18" t="s">
        <v>48463</v>
      </c>
      <c r="X3520" s="18" t="s">
        <v>42</v>
      </c>
      <c r="Y3520" s="18" t="s">
        <v>36</v>
      </c>
      <c r="Z3520" s="18" t="s">
        <v>697</v>
      </c>
      <c r="AA3520" s="21" t="str">
        <f>HYPERLINK("https://www.ncbi.nlm.nih.gov/nuccore/OP580516","NCBI Nucleotide")</f>
        <v>NCBI Nucleotide</v>
      </c>
    </row>
    <row r="3521" spans="1:27" x14ac:dyDescent="0.35">
      <c r="A3521">
        <v>1004635</v>
      </c>
      <c r="B3521">
        <v>3497</v>
      </c>
      <c r="C3521">
        <v>1</v>
      </c>
      <c r="D3521" s="17" t="s">
        <v>155</v>
      </c>
      <c r="E3521" s="17"/>
      <c r="F3521" s="17" t="s">
        <v>156</v>
      </c>
      <c r="G3521" s="17"/>
      <c r="H3521" s="17" t="s">
        <v>692</v>
      </c>
      <c r="I3521" s="17"/>
      <c r="J3521" s="17" t="s">
        <v>693</v>
      </c>
      <c r="K3521" s="17"/>
      <c r="L3521" s="17"/>
      <c r="M3521" s="17"/>
      <c r="N3521" s="17"/>
      <c r="O3521" s="17"/>
      <c r="P3521" s="17" t="s">
        <v>969</v>
      </c>
      <c r="Q3521" s="17"/>
      <c r="R3521" s="25" t="str">
        <f>HYPERLINK("https://ictv.global/taxonomy/taxondetails?taxnode_id=202300475","Bcepfunavirus bcepF1")</f>
        <v>Bcepfunavirus bcepF1</v>
      </c>
      <c r="S3521" s="18" t="s">
        <v>30</v>
      </c>
      <c r="T3521" s="18" t="s">
        <v>970</v>
      </c>
      <c r="U3521" s="18"/>
      <c r="V3521" s="18"/>
      <c r="W3521" s="18" t="s">
        <v>971</v>
      </c>
      <c r="X3521" s="18" t="s">
        <v>42</v>
      </c>
      <c r="Y3521" s="18" t="s">
        <v>36</v>
      </c>
      <c r="Z3521" s="18" t="s">
        <v>697</v>
      </c>
      <c r="AA3521" s="21" t="str">
        <f>HYPERLINK("https://www.ncbi.nlm.nih.gov/nuccore/EF153632","NCBI Nucleotide")</f>
        <v>NCBI Nucleotide</v>
      </c>
    </row>
    <row r="3522" spans="1:27" x14ac:dyDescent="0.35">
      <c r="A3522">
        <v>1004636</v>
      </c>
      <c r="B3522">
        <v>3498</v>
      </c>
      <c r="C3522">
        <v>1</v>
      </c>
      <c r="D3522" s="17" t="s">
        <v>155</v>
      </c>
      <c r="E3522" s="17"/>
      <c r="F3522" s="17" t="s">
        <v>156</v>
      </c>
      <c r="G3522" s="17"/>
      <c r="H3522" s="17" t="s">
        <v>692</v>
      </c>
      <c r="I3522" s="17"/>
      <c r="J3522" s="17" t="s">
        <v>693</v>
      </c>
      <c r="K3522" s="17"/>
      <c r="L3522" s="17"/>
      <c r="M3522" s="17"/>
      <c r="N3522" s="17"/>
      <c r="O3522" s="17"/>
      <c r="P3522" s="17" t="s">
        <v>972</v>
      </c>
      <c r="Q3522" s="17"/>
      <c r="R3522" s="25" t="str">
        <f>HYPERLINK("https://ictv.global/taxonomy/taxondetails?taxnode_id=202300408","Bcepmuvirus bcepMu")</f>
        <v>Bcepmuvirus bcepMu</v>
      </c>
      <c r="S3522" s="18" t="s">
        <v>30</v>
      </c>
      <c r="T3522" s="18" t="s">
        <v>973</v>
      </c>
      <c r="U3522" s="18"/>
      <c r="V3522" s="18"/>
      <c r="W3522" s="18" t="s">
        <v>974</v>
      </c>
      <c r="X3522" s="18" t="s">
        <v>42</v>
      </c>
      <c r="Y3522" s="18" t="s">
        <v>36</v>
      </c>
      <c r="Z3522" s="18" t="s">
        <v>697</v>
      </c>
      <c r="AA3522" s="21" t="str">
        <f>HYPERLINK("https://www.ncbi.nlm.nih.gov/nuccore/AY539836","NCBI Nucleotide")</f>
        <v>NCBI Nucleotide</v>
      </c>
    </row>
    <row r="3523" spans="1:27" x14ac:dyDescent="0.35">
      <c r="A3523">
        <v>1004637</v>
      </c>
      <c r="B3523">
        <v>3499</v>
      </c>
      <c r="C3523">
        <v>1</v>
      </c>
      <c r="D3523" s="17" t="s">
        <v>155</v>
      </c>
      <c r="E3523" s="17"/>
      <c r="F3523" s="17" t="s">
        <v>156</v>
      </c>
      <c r="G3523" s="17"/>
      <c r="H3523" s="17" t="s">
        <v>692</v>
      </c>
      <c r="I3523" s="17"/>
      <c r="J3523" s="17" t="s">
        <v>693</v>
      </c>
      <c r="K3523" s="17"/>
      <c r="L3523" s="17"/>
      <c r="M3523" s="17"/>
      <c r="N3523" s="17"/>
      <c r="O3523" s="17"/>
      <c r="P3523" s="17" t="s">
        <v>972</v>
      </c>
      <c r="Q3523" s="17"/>
      <c r="R3523" s="25" t="str">
        <f>HYPERLINK("https://ictv.global/taxonomy/taxondetails?taxnode_id=202300409","Bcepmuvirus E255")</f>
        <v>Bcepmuvirus E255</v>
      </c>
      <c r="S3523" s="18" t="s">
        <v>30</v>
      </c>
      <c r="T3523" s="18" t="s">
        <v>975</v>
      </c>
      <c r="U3523" s="18"/>
      <c r="V3523" s="18"/>
      <c r="W3523" s="18" t="s">
        <v>976</v>
      </c>
      <c r="X3523" s="18" t="s">
        <v>42</v>
      </c>
      <c r="Y3523" s="18" t="s">
        <v>36</v>
      </c>
      <c r="Z3523" s="18" t="s">
        <v>697</v>
      </c>
      <c r="AA3523" s="21" t="str">
        <f>HYPERLINK("https://www.ncbi.nlm.nih.gov/nuccore/CP000622","NCBI Nucleotide")</f>
        <v>NCBI Nucleotide</v>
      </c>
    </row>
    <row r="3524" spans="1:27" x14ac:dyDescent="0.35">
      <c r="A3524">
        <v>1004638</v>
      </c>
      <c r="B3524">
        <v>3500</v>
      </c>
      <c r="C3524">
        <v>1</v>
      </c>
      <c r="D3524" s="17" t="s">
        <v>155</v>
      </c>
      <c r="E3524" s="17"/>
      <c r="F3524" s="17" t="s">
        <v>156</v>
      </c>
      <c r="G3524" s="17"/>
      <c r="H3524" s="17" t="s">
        <v>692</v>
      </c>
      <c r="I3524" s="17"/>
      <c r="J3524" s="17" t="s">
        <v>693</v>
      </c>
      <c r="K3524" s="17"/>
      <c r="L3524" s="17"/>
      <c r="M3524" s="17"/>
      <c r="N3524" s="17"/>
      <c r="O3524" s="17"/>
      <c r="P3524" s="17" t="s">
        <v>977</v>
      </c>
      <c r="Q3524" s="17"/>
      <c r="R3524" s="25" t="str">
        <f>HYPERLINK("https://ictv.global/taxonomy/taxondetails?taxnode_id=202309616","Beceayunavirus BceA1")</f>
        <v>Beceayunavirus BceA1</v>
      </c>
      <c r="S3524" s="18" t="s">
        <v>30</v>
      </c>
      <c r="T3524" s="18" t="s">
        <v>978</v>
      </c>
      <c r="U3524" s="18"/>
      <c r="V3524" s="18"/>
      <c r="W3524" s="18" t="s">
        <v>979</v>
      </c>
      <c r="X3524" s="18" t="s">
        <v>42</v>
      </c>
      <c r="Y3524" s="18" t="s">
        <v>36</v>
      </c>
      <c r="Z3524" s="18" t="s">
        <v>697</v>
      </c>
      <c r="AA3524" s="21" t="str">
        <f>HYPERLINK("https://www.ncbi.nlm.nih.gov/nuccore/HE614282","NCBI Nucleotide")</f>
        <v>NCBI Nucleotide</v>
      </c>
    </row>
    <row r="3525" spans="1:27" x14ac:dyDescent="0.35">
      <c r="A3525">
        <v>1004639</v>
      </c>
      <c r="B3525">
        <v>3501</v>
      </c>
      <c r="C3525">
        <v>1</v>
      </c>
      <c r="D3525" s="17" t="s">
        <v>155</v>
      </c>
      <c r="E3525" s="17"/>
      <c r="F3525" s="17" t="s">
        <v>156</v>
      </c>
      <c r="G3525" s="17"/>
      <c r="H3525" s="17" t="s">
        <v>692</v>
      </c>
      <c r="I3525" s="17"/>
      <c r="J3525" s="17" t="s">
        <v>693</v>
      </c>
      <c r="K3525" s="17"/>
      <c r="L3525" s="17"/>
      <c r="M3525" s="17"/>
      <c r="N3525" s="17"/>
      <c r="O3525" s="17"/>
      <c r="P3525" s="17" t="s">
        <v>980</v>
      </c>
      <c r="Q3525" s="17"/>
      <c r="R3525" s="25" t="str">
        <f>HYPERLINK("https://ictv.global/taxonomy/taxondetails?taxnode_id=202309620","Becedseptimavirus BCD7")</f>
        <v>Becedseptimavirus BCD7</v>
      </c>
      <c r="S3525" s="18" t="s">
        <v>30</v>
      </c>
      <c r="T3525" s="18" t="s">
        <v>981</v>
      </c>
      <c r="U3525" s="18"/>
      <c r="V3525" s="18"/>
      <c r="W3525" s="18" t="s">
        <v>982</v>
      </c>
      <c r="X3525" s="18" t="s">
        <v>42</v>
      </c>
      <c r="Y3525" s="18" t="s">
        <v>36</v>
      </c>
      <c r="Z3525" s="18" t="s">
        <v>697</v>
      </c>
      <c r="AA3525" s="21" t="str">
        <f>HYPERLINK("https://www.ncbi.nlm.nih.gov/nuccore/JN712910","NCBI Nucleotide")</f>
        <v>NCBI Nucleotide</v>
      </c>
    </row>
    <row r="3526" spans="1:27" x14ac:dyDescent="0.35">
      <c r="A3526">
        <v>1004640</v>
      </c>
      <c r="B3526">
        <v>3502</v>
      </c>
      <c r="C3526">
        <v>1</v>
      </c>
      <c r="D3526" s="17" t="s">
        <v>155</v>
      </c>
      <c r="E3526" s="17"/>
      <c r="F3526" s="17" t="s">
        <v>156</v>
      </c>
      <c r="G3526" s="17"/>
      <c r="H3526" s="17" t="s">
        <v>692</v>
      </c>
      <c r="I3526" s="17"/>
      <c r="J3526" s="17" t="s">
        <v>693</v>
      </c>
      <c r="K3526" s="17"/>
      <c r="L3526" s="17"/>
      <c r="M3526" s="17"/>
      <c r="N3526" s="17"/>
      <c r="O3526" s="17"/>
      <c r="P3526" s="17" t="s">
        <v>983</v>
      </c>
      <c r="Q3526" s="17"/>
      <c r="R3526" s="25" t="str">
        <f>HYPERLINK("https://ictv.global/taxonomy/taxondetails?taxnode_id=202314911","Beenievirus beenie")</f>
        <v>Beenievirus beenie</v>
      </c>
      <c r="S3526" s="18" t="s">
        <v>30</v>
      </c>
      <c r="T3526" s="18" t="s">
        <v>984</v>
      </c>
      <c r="U3526" s="18"/>
      <c r="V3526" s="18"/>
      <c r="W3526" s="18" t="s">
        <v>985</v>
      </c>
      <c r="X3526" s="18" t="s">
        <v>42</v>
      </c>
      <c r="Y3526" s="18" t="s">
        <v>36</v>
      </c>
      <c r="Z3526" s="18" t="s">
        <v>697</v>
      </c>
      <c r="AA3526" s="21" t="str">
        <f>HYPERLINK("https://www.ncbi.nlm.nih.gov/nuccore/MG845393","NCBI Nucleotide")</f>
        <v>NCBI Nucleotide</v>
      </c>
    </row>
    <row r="3527" spans="1:27" x14ac:dyDescent="0.35">
      <c r="A3527">
        <v>1004641</v>
      </c>
      <c r="B3527">
        <v>3503</v>
      </c>
      <c r="C3527">
        <v>1</v>
      </c>
      <c r="D3527" s="17" t="s">
        <v>155</v>
      </c>
      <c r="E3527" s="17"/>
      <c r="F3527" s="17" t="s">
        <v>156</v>
      </c>
      <c r="G3527" s="17"/>
      <c r="H3527" s="17" t="s">
        <v>692</v>
      </c>
      <c r="I3527" s="17"/>
      <c r="J3527" s="17" t="s">
        <v>693</v>
      </c>
      <c r="K3527" s="17"/>
      <c r="L3527" s="17"/>
      <c r="M3527" s="17"/>
      <c r="N3527" s="17"/>
      <c r="O3527" s="17"/>
      <c r="P3527" s="17" t="s">
        <v>983</v>
      </c>
      <c r="Q3527" s="17"/>
      <c r="R3527" s="25" t="str">
        <f>HYPERLINK("https://ictv.global/taxonomy/taxondetails?taxnode_id=202314916","Beenievirus clark")</f>
        <v>Beenievirus clark</v>
      </c>
      <c r="S3527" s="18" t="s">
        <v>30</v>
      </c>
      <c r="T3527" s="18" t="s">
        <v>986</v>
      </c>
      <c r="U3527" s="18"/>
      <c r="V3527" s="18"/>
      <c r="W3527" s="18" t="s">
        <v>987</v>
      </c>
      <c r="X3527" s="18" t="s">
        <v>42</v>
      </c>
      <c r="Y3527" s="18" t="s">
        <v>36</v>
      </c>
      <c r="Z3527" s="18" t="s">
        <v>697</v>
      </c>
      <c r="AA3527" s="21" t="str">
        <f>HYPERLINK("https://www.ncbi.nlm.nih.gov/nuccore/MK801729","NCBI Nucleotide")</f>
        <v>NCBI Nucleotide</v>
      </c>
    </row>
    <row r="3528" spans="1:27" x14ac:dyDescent="0.35">
      <c r="A3528">
        <v>1004642</v>
      </c>
      <c r="B3528">
        <v>3504</v>
      </c>
      <c r="C3528">
        <v>1</v>
      </c>
      <c r="D3528" s="17" t="s">
        <v>155</v>
      </c>
      <c r="E3528" s="17"/>
      <c r="F3528" s="17" t="s">
        <v>156</v>
      </c>
      <c r="G3528" s="17"/>
      <c r="H3528" s="17" t="s">
        <v>692</v>
      </c>
      <c r="I3528" s="17"/>
      <c r="J3528" s="17" t="s">
        <v>693</v>
      </c>
      <c r="K3528" s="17"/>
      <c r="L3528" s="17"/>
      <c r="M3528" s="17"/>
      <c r="N3528" s="17"/>
      <c r="O3528" s="17"/>
      <c r="P3528" s="17" t="s">
        <v>983</v>
      </c>
      <c r="Q3528" s="17"/>
      <c r="R3528" s="25" t="str">
        <f>HYPERLINK("https://ictv.global/taxonomy/taxondetails?taxnode_id=202314915","Beenievirus dobbyssock")</f>
        <v>Beenievirus dobbyssock</v>
      </c>
      <c r="S3528" s="18" t="s">
        <v>30</v>
      </c>
      <c r="T3528" s="18" t="s">
        <v>988</v>
      </c>
      <c r="U3528" s="18"/>
      <c r="V3528" s="18"/>
      <c r="W3528" s="18" t="s">
        <v>989</v>
      </c>
      <c r="X3528" s="18" t="s">
        <v>42</v>
      </c>
      <c r="Y3528" s="18" t="s">
        <v>36</v>
      </c>
      <c r="Z3528" s="18" t="s">
        <v>697</v>
      </c>
      <c r="AA3528" s="21" t="str">
        <f>HYPERLINK("https://www.ncbi.nlm.nih.gov/nuccore/MN428048","NCBI Nucleotide")</f>
        <v>NCBI Nucleotide</v>
      </c>
    </row>
    <row r="3529" spans="1:27" x14ac:dyDescent="0.35">
      <c r="A3529">
        <v>1004643</v>
      </c>
      <c r="B3529">
        <v>3505</v>
      </c>
      <c r="C3529">
        <v>1</v>
      </c>
      <c r="D3529" s="17" t="s">
        <v>155</v>
      </c>
      <c r="E3529" s="17"/>
      <c r="F3529" s="17" t="s">
        <v>156</v>
      </c>
      <c r="G3529" s="17"/>
      <c r="H3529" s="17" t="s">
        <v>692</v>
      </c>
      <c r="I3529" s="17"/>
      <c r="J3529" s="17" t="s">
        <v>693</v>
      </c>
      <c r="K3529" s="17"/>
      <c r="L3529" s="17"/>
      <c r="M3529" s="17"/>
      <c r="N3529" s="17"/>
      <c r="O3529" s="17"/>
      <c r="P3529" s="17" t="s">
        <v>983</v>
      </c>
      <c r="Q3529" s="17"/>
      <c r="R3529" s="25" t="str">
        <f>HYPERLINK("https://ictv.global/taxonomy/taxondetails?taxnode_id=202314913","Beenievirus dolores")</f>
        <v>Beenievirus dolores</v>
      </c>
      <c r="S3529" s="18" t="s">
        <v>30</v>
      </c>
      <c r="T3529" s="18" t="s">
        <v>990</v>
      </c>
      <c r="U3529" s="18"/>
      <c r="V3529" s="18"/>
      <c r="W3529" s="18" t="s">
        <v>991</v>
      </c>
      <c r="X3529" s="18" t="s">
        <v>42</v>
      </c>
      <c r="Y3529" s="18" t="s">
        <v>36</v>
      </c>
      <c r="Z3529" s="18" t="s">
        <v>697</v>
      </c>
      <c r="AA3529" s="21" t="str">
        <f>HYPERLINK("https://www.ncbi.nlm.nih.gov/nuccore/MZ681517","NCBI Nucleotide")</f>
        <v>NCBI Nucleotide</v>
      </c>
    </row>
    <row r="3530" spans="1:27" x14ac:dyDescent="0.35">
      <c r="A3530">
        <v>1004644</v>
      </c>
      <c r="B3530">
        <v>3506</v>
      </c>
      <c r="C3530">
        <v>1</v>
      </c>
      <c r="D3530" s="17" t="s">
        <v>155</v>
      </c>
      <c r="E3530" s="17"/>
      <c r="F3530" s="17" t="s">
        <v>156</v>
      </c>
      <c r="G3530" s="17"/>
      <c r="H3530" s="17" t="s">
        <v>692</v>
      </c>
      <c r="I3530" s="17"/>
      <c r="J3530" s="17" t="s">
        <v>693</v>
      </c>
      <c r="K3530" s="17"/>
      <c r="L3530" s="17"/>
      <c r="M3530" s="17"/>
      <c r="N3530" s="17"/>
      <c r="O3530" s="17"/>
      <c r="P3530" s="17" t="s">
        <v>983</v>
      </c>
      <c r="Q3530" s="17"/>
      <c r="R3530" s="25" t="str">
        <f>HYPERLINK("https://ictv.global/taxonomy/taxondetails?taxnode_id=202314914","Beenievirus dorito")</f>
        <v>Beenievirus dorito</v>
      </c>
      <c r="S3530" s="18" t="s">
        <v>30</v>
      </c>
      <c r="T3530" s="18" t="s">
        <v>992</v>
      </c>
      <c r="U3530" s="18"/>
      <c r="V3530" s="18"/>
      <c r="W3530" s="18" t="s">
        <v>993</v>
      </c>
      <c r="X3530" s="18" t="s">
        <v>42</v>
      </c>
      <c r="Y3530" s="18" t="s">
        <v>36</v>
      </c>
      <c r="Z3530" s="18" t="s">
        <v>697</v>
      </c>
      <c r="AA3530" s="21" t="str">
        <f>HYPERLINK("https://www.ncbi.nlm.nih.gov/nuccore/MK279848","NCBI Nucleotide")</f>
        <v>NCBI Nucleotide</v>
      </c>
    </row>
    <row r="3531" spans="1:27" x14ac:dyDescent="0.35">
      <c r="A3531">
        <v>1004645</v>
      </c>
      <c r="B3531">
        <v>3507</v>
      </c>
      <c r="C3531">
        <v>1</v>
      </c>
      <c r="D3531" s="17" t="s">
        <v>155</v>
      </c>
      <c r="E3531" s="17"/>
      <c r="F3531" s="17" t="s">
        <v>156</v>
      </c>
      <c r="G3531" s="17"/>
      <c r="H3531" s="17" t="s">
        <v>692</v>
      </c>
      <c r="I3531" s="17"/>
      <c r="J3531" s="17" t="s">
        <v>693</v>
      </c>
      <c r="K3531" s="17"/>
      <c r="L3531" s="17"/>
      <c r="M3531" s="17"/>
      <c r="N3531" s="17"/>
      <c r="O3531" s="17"/>
      <c r="P3531" s="17" t="s">
        <v>983</v>
      </c>
      <c r="Q3531" s="17"/>
      <c r="R3531" s="25" t="str">
        <f>HYPERLINK("https://ictv.global/taxonomy/taxondetails?taxnode_id=202314919","Beenievirus easley")</f>
        <v>Beenievirus easley</v>
      </c>
      <c r="S3531" s="18" t="s">
        <v>30</v>
      </c>
      <c r="T3531" s="18" t="s">
        <v>994</v>
      </c>
      <c r="U3531" s="18"/>
      <c r="V3531" s="18"/>
      <c r="W3531" s="18" t="s">
        <v>995</v>
      </c>
      <c r="X3531" s="18" t="s">
        <v>42</v>
      </c>
      <c r="Y3531" s="18" t="s">
        <v>36</v>
      </c>
      <c r="Z3531" s="18" t="s">
        <v>697</v>
      </c>
      <c r="AA3531" s="21" t="str">
        <f>HYPERLINK("https://www.ncbi.nlm.nih.gov/nuccore/MH155867","NCBI Nucleotide")</f>
        <v>NCBI Nucleotide</v>
      </c>
    </row>
    <row r="3532" spans="1:27" x14ac:dyDescent="0.35">
      <c r="A3532">
        <v>1004646</v>
      </c>
      <c r="B3532">
        <v>3508</v>
      </c>
      <c r="C3532">
        <v>1</v>
      </c>
      <c r="D3532" s="17" t="s">
        <v>155</v>
      </c>
      <c r="E3532" s="17"/>
      <c r="F3532" s="17" t="s">
        <v>156</v>
      </c>
      <c r="G3532" s="17"/>
      <c r="H3532" s="17" t="s">
        <v>692</v>
      </c>
      <c r="I3532" s="17"/>
      <c r="J3532" s="17" t="s">
        <v>693</v>
      </c>
      <c r="K3532" s="17"/>
      <c r="L3532" s="17"/>
      <c r="M3532" s="17"/>
      <c r="N3532" s="17"/>
      <c r="O3532" s="17"/>
      <c r="P3532" s="17" t="s">
        <v>983</v>
      </c>
      <c r="Q3532" s="17"/>
      <c r="R3532" s="25" t="str">
        <f>HYPERLINK("https://ictv.global/taxonomy/taxondetails?taxnode_id=202314918","Beenievirus michaelscott")</f>
        <v>Beenievirus michaelscott</v>
      </c>
      <c r="S3532" s="18" t="s">
        <v>30</v>
      </c>
      <c r="T3532" s="18" t="s">
        <v>996</v>
      </c>
      <c r="U3532" s="18"/>
      <c r="V3532" s="18"/>
      <c r="W3532" s="18" t="s">
        <v>997</v>
      </c>
      <c r="X3532" s="18" t="s">
        <v>42</v>
      </c>
      <c r="Y3532" s="18" t="s">
        <v>36</v>
      </c>
      <c r="Z3532" s="18" t="s">
        <v>697</v>
      </c>
      <c r="AA3532" s="21" t="str">
        <f>HYPERLINK("https://www.ncbi.nlm.nih.gov/nuccore/MT771346","NCBI Nucleotide")</f>
        <v>NCBI Nucleotide</v>
      </c>
    </row>
    <row r="3533" spans="1:27" x14ac:dyDescent="0.35">
      <c r="A3533">
        <v>1004647</v>
      </c>
      <c r="B3533">
        <v>3509</v>
      </c>
      <c r="C3533">
        <v>1</v>
      </c>
      <c r="D3533" s="17" t="s">
        <v>155</v>
      </c>
      <c r="E3533" s="17"/>
      <c r="F3533" s="17" t="s">
        <v>156</v>
      </c>
      <c r="G3533" s="17"/>
      <c r="H3533" s="17" t="s">
        <v>692</v>
      </c>
      <c r="I3533" s="17"/>
      <c r="J3533" s="17" t="s">
        <v>693</v>
      </c>
      <c r="K3533" s="17"/>
      <c r="L3533" s="17"/>
      <c r="M3533" s="17"/>
      <c r="N3533" s="17"/>
      <c r="O3533" s="17"/>
      <c r="P3533" s="17" t="s">
        <v>983</v>
      </c>
      <c r="Q3533" s="17"/>
      <c r="R3533" s="25" t="str">
        <f>HYPERLINK("https://ictv.global/taxonomy/taxondetails?taxnode_id=202314917","Beenievirus samman98")</f>
        <v>Beenievirus samman98</v>
      </c>
      <c r="S3533" s="18" t="s">
        <v>30</v>
      </c>
      <c r="T3533" s="18" t="s">
        <v>998</v>
      </c>
      <c r="U3533" s="18"/>
      <c r="V3533" s="18"/>
      <c r="W3533" s="18" t="s">
        <v>999</v>
      </c>
      <c r="X3533" s="18" t="s">
        <v>42</v>
      </c>
      <c r="Y3533" s="18" t="s">
        <v>36</v>
      </c>
      <c r="Z3533" s="18" t="s">
        <v>697</v>
      </c>
      <c r="AA3533" s="21" t="str">
        <f>HYPERLINK("https://www.ncbi.nlm.nih.gov/nuccore/MZ456039","NCBI Nucleotide")</f>
        <v>NCBI Nucleotide</v>
      </c>
    </row>
    <row r="3534" spans="1:27" x14ac:dyDescent="0.35">
      <c r="A3534">
        <v>1004648</v>
      </c>
      <c r="B3534">
        <v>3510</v>
      </c>
      <c r="C3534">
        <v>1</v>
      </c>
      <c r="D3534" s="17" t="s">
        <v>155</v>
      </c>
      <c r="E3534" s="17"/>
      <c r="F3534" s="17" t="s">
        <v>156</v>
      </c>
      <c r="G3534" s="17"/>
      <c r="H3534" s="17" t="s">
        <v>692</v>
      </c>
      <c r="I3534" s="17"/>
      <c r="J3534" s="17" t="s">
        <v>693</v>
      </c>
      <c r="K3534" s="17"/>
      <c r="L3534" s="17"/>
      <c r="M3534" s="17"/>
      <c r="N3534" s="17"/>
      <c r="O3534" s="17"/>
      <c r="P3534" s="17" t="s">
        <v>983</v>
      </c>
      <c r="Q3534" s="17"/>
      <c r="R3534" s="25" t="str">
        <f>HYPERLINK("https://ictv.global/taxonomy/taxondetails?taxnode_id=202314912","Beenievirus sekhmet")</f>
        <v>Beenievirus sekhmet</v>
      </c>
      <c r="S3534" s="18" t="s">
        <v>30</v>
      </c>
      <c r="T3534" s="18" t="s">
        <v>1000</v>
      </c>
      <c r="U3534" s="18"/>
      <c r="V3534" s="18"/>
      <c r="W3534" s="18" t="s">
        <v>1001</v>
      </c>
      <c r="X3534" s="18" t="s">
        <v>42</v>
      </c>
      <c r="Y3534" s="18" t="s">
        <v>36</v>
      </c>
      <c r="Z3534" s="18" t="s">
        <v>697</v>
      </c>
      <c r="AA3534" s="21" t="str">
        <f>HYPERLINK("https://www.ncbi.nlm.nih.gov/nuccore/MK937609","NCBI Nucleotide")</f>
        <v>NCBI Nucleotide</v>
      </c>
    </row>
    <row r="3535" spans="1:27" x14ac:dyDescent="0.35">
      <c r="A3535">
        <v>1004649</v>
      </c>
      <c r="B3535">
        <v>3511</v>
      </c>
      <c r="C3535">
        <v>1</v>
      </c>
      <c r="D3535" s="17" t="s">
        <v>155</v>
      </c>
      <c r="E3535" s="17"/>
      <c r="F3535" s="17" t="s">
        <v>156</v>
      </c>
      <c r="G3535" s="17"/>
      <c r="H3535" s="17" t="s">
        <v>692</v>
      </c>
      <c r="I3535" s="17"/>
      <c r="J3535" s="17" t="s">
        <v>693</v>
      </c>
      <c r="K3535" s="17"/>
      <c r="L3535" s="17"/>
      <c r="M3535" s="17"/>
      <c r="N3535" s="17"/>
      <c r="O3535" s="17"/>
      <c r="P3535" s="17" t="s">
        <v>983</v>
      </c>
      <c r="Q3535" s="17"/>
      <c r="R3535" s="25" t="str">
        <f>HYPERLINK("https://ictv.global/taxonomy/taxondetails?taxnode_id=202314920","Beenievirus suerte")</f>
        <v>Beenievirus suerte</v>
      </c>
      <c r="S3535" s="18" t="s">
        <v>30</v>
      </c>
      <c r="T3535" s="18" t="s">
        <v>1002</v>
      </c>
      <c r="U3535" s="18"/>
      <c r="V3535" s="18"/>
      <c r="W3535" s="18" t="s">
        <v>1003</v>
      </c>
      <c r="X3535" s="18" t="s">
        <v>42</v>
      </c>
      <c r="Y3535" s="18" t="s">
        <v>36</v>
      </c>
      <c r="Z3535" s="18" t="s">
        <v>697</v>
      </c>
      <c r="AA3535" s="21" t="str">
        <f>HYPERLINK("https://www.ncbi.nlm.nih.gov/nuccore/MN428057","NCBI Nucleotide")</f>
        <v>NCBI Nucleotide</v>
      </c>
    </row>
    <row r="3536" spans="1:27" x14ac:dyDescent="0.35">
      <c r="A3536">
        <v>1004654</v>
      </c>
      <c r="B3536">
        <v>3512</v>
      </c>
      <c r="C3536">
        <v>1</v>
      </c>
      <c r="D3536" s="17" t="s">
        <v>155</v>
      </c>
      <c r="E3536" s="17"/>
      <c r="F3536" s="17" t="s">
        <v>156</v>
      </c>
      <c r="G3536" s="17"/>
      <c r="H3536" s="17" t="s">
        <v>692</v>
      </c>
      <c r="I3536" s="17"/>
      <c r="J3536" s="17" t="s">
        <v>693</v>
      </c>
      <c r="K3536" s="17"/>
      <c r="L3536" s="17"/>
      <c r="M3536" s="17"/>
      <c r="N3536" s="17"/>
      <c r="O3536" s="17"/>
      <c r="P3536" s="17" t="s">
        <v>1013</v>
      </c>
      <c r="Q3536" s="17"/>
      <c r="R3536" s="25" t="str">
        <f>HYPERLINK("https://ictv.global/taxonomy/taxondetails?taxnode_id=202310193","Behunavirus BH1")</f>
        <v>Behunavirus BH1</v>
      </c>
      <c r="S3536" s="18" t="s">
        <v>30</v>
      </c>
      <c r="T3536" s="18" t="s">
        <v>1014</v>
      </c>
      <c r="U3536" s="18"/>
      <c r="V3536" s="18"/>
      <c r="W3536" s="18" t="s">
        <v>1015</v>
      </c>
      <c r="X3536" s="18" t="s">
        <v>42</v>
      </c>
      <c r="Y3536" s="18" t="s">
        <v>36</v>
      </c>
      <c r="Z3536" s="18" t="s">
        <v>697</v>
      </c>
      <c r="AA3536" s="21" t="str">
        <f>HYPERLINK("https://www.ncbi.nlm.nih.gov/nuccore/MH983004","NCBI Nucleotide")</f>
        <v>NCBI Nucleotide</v>
      </c>
    </row>
    <row r="3537" spans="1:27" x14ac:dyDescent="0.35">
      <c r="A3537">
        <v>1004655</v>
      </c>
      <c r="B3537">
        <v>3513</v>
      </c>
      <c r="C3537">
        <v>1</v>
      </c>
      <c r="D3537" s="17" t="s">
        <v>155</v>
      </c>
      <c r="E3537" s="17"/>
      <c r="F3537" s="17" t="s">
        <v>156</v>
      </c>
      <c r="G3537" s="17"/>
      <c r="H3537" s="17" t="s">
        <v>692</v>
      </c>
      <c r="I3537" s="17"/>
      <c r="J3537" s="17" t="s">
        <v>693</v>
      </c>
      <c r="K3537" s="17"/>
      <c r="L3537" s="17"/>
      <c r="M3537" s="17"/>
      <c r="N3537" s="17"/>
      <c r="O3537" s="17"/>
      <c r="P3537" s="17" t="s">
        <v>1016</v>
      </c>
      <c r="Q3537" s="17"/>
      <c r="R3537" s="25" t="str">
        <f>HYPERLINK("https://ictv.global/taxonomy/taxondetails?taxnode_id=202306394","Bendigovirus GMA6")</f>
        <v>Bendigovirus GMA6</v>
      </c>
      <c r="S3537" s="18" t="s">
        <v>30</v>
      </c>
      <c r="T3537" s="18" t="s">
        <v>1017</v>
      </c>
      <c r="U3537" s="18"/>
      <c r="V3537" s="18"/>
      <c r="W3537" s="18" t="s">
        <v>1018</v>
      </c>
      <c r="X3537" s="18" t="s">
        <v>42</v>
      </c>
      <c r="Y3537" s="18" t="s">
        <v>36</v>
      </c>
      <c r="Z3537" s="18" t="s">
        <v>697</v>
      </c>
      <c r="AA3537" s="21" t="str">
        <f>HYPERLINK("https://www.ncbi.nlm.nih.gov/nuccore/KR063280","NCBI Nucleotide")</f>
        <v>NCBI Nucleotide</v>
      </c>
    </row>
    <row r="3538" spans="1:27" x14ac:dyDescent="0.35">
      <c r="A3538">
        <v>1004656</v>
      </c>
      <c r="B3538">
        <v>3514</v>
      </c>
      <c r="C3538">
        <v>1</v>
      </c>
      <c r="D3538" s="17" t="s">
        <v>155</v>
      </c>
      <c r="E3538" s="17"/>
      <c r="F3538" s="17" t="s">
        <v>156</v>
      </c>
      <c r="G3538" s="17"/>
      <c r="H3538" s="17" t="s">
        <v>692</v>
      </c>
      <c r="I3538" s="17"/>
      <c r="J3538" s="17" t="s">
        <v>693</v>
      </c>
      <c r="K3538" s="17"/>
      <c r="L3538" s="17"/>
      <c r="M3538" s="17"/>
      <c r="N3538" s="17"/>
      <c r="O3538" s="17"/>
      <c r="P3538" s="17" t="s">
        <v>1019</v>
      </c>
      <c r="Q3538" s="17"/>
      <c r="R3538" s="25" t="str">
        <f>HYPERLINK("https://ictv.global/taxonomy/taxondetails?taxnode_id=202313208","Benedictvirus archetta")</f>
        <v>Benedictvirus archetta</v>
      </c>
      <c r="S3538" s="18" t="s">
        <v>30</v>
      </c>
      <c r="T3538" s="18" t="s">
        <v>1020</v>
      </c>
      <c r="U3538" s="18"/>
      <c r="V3538" s="18"/>
      <c r="W3538" s="18" t="s">
        <v>1021</v>
      </c>
      <c r="X3538" s="18" t="s">
        <v>42</v>
      </c>
      <c r="Y3538" s="18" t="s">
        <v>36</v>
      </c>
      <c r="Z3538" s="18" t="s">
        <v>697</v>
      </c>
      <c r="AA3538" s="21" t="str">
        <f>HYPERLINK("https://www.ncbi.nlm.nih.gov/nuccore/MG099938","NCBI Nucleotide")</f>
        <v>NCBI Nucleotide</v>
      </c>
    </row>
    <row r="3539" spans="1:27" x14ac:dyDescent="0.35">
      <c r="A3539">
        <v>1004657</v>
      </c>
      <c r="B3539">
        <v>3515</v>
      </c>
      <c r="C3539">
        <v>1</v>
      </c>
      <c r="D3539" s="17" t="s">
        <v>155</v>
      </c>
      <c r="E3539" s="17"/>
      <c r="F3539" s="17" t="s">
        <v>156</v>
      </c>
      <c r="G3539" s="17"/>
      <c r="H3539" s="17" t="s">
        <v>692</v>
      </c>
      <c r="I3539" s="17"/>
      <c r="J3539" s="17" t="s">
        <v>693</v>
      </c>
      <c r="K3539" s="17"/>
      <c r="L3539" s="17"/>
      <c r="M3539" s="17"/>
      <c r="N3539" s="17"/>
      <c r="O3539" s="17"/>
      <c r="P3539" s="17" t="s">
        <v>1019</v>
      </c>
      <c r="Q3539" s="17"/>
      <c r="R3539" s="25" t="str">
        <f>HYPERLINK("https://ictv.global/taxonomy/taxondetails?taxnode_id=202301014","Benedictvirus benedict")</f>
        <v>Benedictvirus benedict</v>
      </c>
      <c r="S3539" s="18" t="s">
        <v>30</v>
      </c>
      <c r="T3539" s="18" t="s">
        <v>1022</v>
      </c>
      <c r="U3539" s="18"/>
      <c r="V3539" s="18"/>
      <c r="W3539" s="18" t="s">
        <v>1023</v>
      </c>
      <c r="X3539" s="18" t="s">
        <v>42</v>
      </c>
      <c r="Y3539" s="18" t="s">
        <v>36</v>
      </c>
      <c r="Z3539" s="18" t="s">
        <v>697</v>
      </c>
      <c r="AA3539" s="21" t="str">
        <f>HYPERLINK("https://www.ncbi.nlm.nih.gov/nuccore/JN083852","NCBI Nucleotide")</f>
        <v>NCBI Nucleotide</v>
      </c>
    </row>
    <row r="3540" spans="1:27" x14ac:dyDescent="0.35">
      <c r="A3540">
        <v>1004658</v>
      </c>
      <c r="B3540">
        <v>3516</v>
      </c>
      <c r="C3540">
        <v>1</v>
      </c>
      <c r="D3540" s="17" t="s">
        <v>155</v>
      </c>
      <c r="E3540" s="17"/>
      <c r="F3540" s="17" t="s">
        <v>156</v>
      </c>
      <c r="G3540" s="17"/>
      <c r="H3540" s="17" t="s">
        <v>692</v>
      </c>
      <c r="I3540" s="17"/>
      <c r="J3540" s="17" t="s">
        <v>693</v>
      </c>
      <c r="K3540" s="17"/>
      <c r="L3540" s="17"/>
      <c r="M3540" s="17"/>
      <c r="N3540" s="17"/>
      <c r="O3540" s="17"/>
      <c r="P3540" s="17" t="s">
        <v>1019</v>
      </c>
      <c r="Q3540" s="17"/>
      <c r="R3540" s="25" t="str">
        <f>HYPERLINK("https://ictv.global/taxonomy/taxondetails?taxnode_id=202313207","Benedictvirus bluefalcon")</f>
        <v>Benedictvirus bluefalcon</v>
      </c>
      <c r="S3540" s="18" t="s">
        <v>30</v>
      </c>
      <c r="T3540" s="18" t="s">
        <v>1024</v>
      </c>
      <c r="U3540" s="18"/>
      <c r="V3540" s="18"/>
      <c r="W3540" s="18" t="s">
        <v>1025</v>
      </c>
      <c r="X3540" s="18" t="s">
        <v>42</v>
      </c>
      <c r="Y3540" s="18" t="s">
        <v>36</v>
      </c>
      <c r="Z3540" s="18" t="s">
        <v>697</v>
      </c>
      <c r="AA3540" s="21" t="str">
        <f>HYPERLINK("https://www.ncbi.nlm.nih.gov/nuccore/MN617844","NCBI Nucleotide")</f>
        <v>NCBI Nucleotide</v>
      </c>
    </row>
    <row r="3541" spans="1:27" x14ac:dyDescent="0.35">
      <c r="A3541">
        <v>1004659</v>
      </c>
      <c r="B3541">
        <v>3517</v>
      </c>
      <c r="C3541">
        <v>1</v>
      </c>
      <c r="D3541" s="17" t="s">
        <v>155</v>
      </c>
      <c r="E3541" s="17"/>
      <c r="F3541" s="17" t="s">
        <v>156</v>
      </c>
      <c r="G3541" s="17"/>
      <c r="H3541" s="17" t="s">
        <v>692</v>
      </c>
      <c r="I3541" s="17"/>
      <c r="J3541" s="17" t="s">
        <v>693</v>
      </c>
      <c r="K3541" s="17"/>
      <c r="L3541" s="17"/>
      <c r="M3541" s="17"/>
      <c r="N3541" s="17"/>
      <c r="O3541" s="17"/>
      <c r="P3541" s="17" t="s">
        <v>1019</v>
      </c>
      <c r="Q3541" s="17"/>
      <c r="R3541" s="25" t="str">
        <f>HYPERLINK("https://ictv.global/taxonomy/taxondetails?taxnode_id=202313201","Benedictvirus chadwick")</f>
        <v>Benedictvirus chadwick</v>
      </c>
      <c r="S3541" s="18" t="s">
        <v>30</v>
      </c>
      <c r="T3541" s="18" t="s">
        <v>1026</v>
      </c>
      <c r="U3541" s="18"/>
      <c r="V3541" s="18"/>
      <c r="W3541" s="18" t="s">
        <v>1027</v>
      </c>
      <c r="X3541" s="18" t="s">
        <v>42</v>
      </c>
      <c r="Y3541" s="18" t="s">
        <v>36</v>
      </c>
      <c r="Z3541" s="18" t="s">
        <v>697</v>
      </c>
      <c r="AA3541" s="21" t="str">
        <f>HYPERLINK("https://www.ncbi.nlm.nih.gov/nuccore/KT246486","NCBI Nucleotide")</f>
        <v>NCBI Nucleotide</v>
      </c>
    </row>
    <row r="3542" spans="1:27" x14ac:dyDescent="0.35">
      <c r="A3542">
        <v>1004660</v>
      </c>
      <c r="B3542">
        <v>3518</v>
      </c>
      <c r="C3542">
        <v>1</v>
      </c>
      <c r="D3542" s="17" t="s">
        <v>155</v>
      </c>
      <c r="E3542" s="17"/>
      <c r="F3542" s="17" t="s">
        <v>156</v>
      </c>
      <c r="G3542" s="17"/>
      <c r="H3542" s="17" t="s">
        <v>692</v>
      </c>
      <c r="I3542" s="17"/>
      <c r="J3542" s="17" t="s">
        <v>693</v>
      </c>
      <c r="K3542" s="17"/>
      <c r="L3542" s="17"/>
      <c r="M3542" s="17"/>
      <c r="N3542" s="17"/>
      <c r="O3542" s="17"/>
      <c r="P3542" s="17" t="s">
        <v>1019</v>
      </c>
      <c r="Q3542" s="17"/>
      <c r="R3542" s="25" t="str">
        <f>HYPERLINK("https://ictv.global/taxonomy/taxondetails?taxnode_id=202301021","Benedictvirus cuco")</f>
        <v>Benedictvirus cuco</v>
      </c>
      <c r="S3542" s="18" t="s">
        <v>30</v>
      </c>
      <c r="T3542" s="18" t="s">
        <v>1028</v>
      </c>
      <c r="U3542" s="18"/>
      <c r="V3542" s="18"/>
      <c r="W3542" s="18" t="s">
        <v>1029</v>
      </c>
      <c r="X3542" s="18" t="s">
        <v>42</v>
      </c>
      <c r="Y3542" s="18" t="s">
        <v>36</v>
      </c>
      <c r="Z3542" s="18" t="s">
        <v>697</v>
      </c>
      <c r="AA3542" s="21" t="str">
        <f>HYPERLINK("https://www.ncbi.nlm.nih.gov/nuccore/JN408459","NCBI Nucleotide")</f>
        <v>NCBI Nucleotide</v>
      </c>
    </row>
    <row r="3543" spans="1:27" x14ac:dyDescent="0.35">
      <c r="A3543">
        <v>1004661</v>
      </c>
      <c r="B3543">
        <v>3519</v>
      </c>
      <c r="C3543">
        <v>1</v>
      </c>
      <c r="D3543" s="17" t="s">
        <v>155</v>
      </c>
      <c r="E3543" s="17"/>
      <c r="F3543" s="17" t="s">
        <v>156</v>
      </c>
      <c r="G3543" s="17"/>
      <c r="H3543" s="17" t="s">
        <v>692</v>
      </c>
      <c r="I3543" s="17"/>
      <c r="J3543" s="17" t="s">
        <v>693</v>
      </c>
      <c r="K3543" s="17"/>
      <c r="L3543" s="17"/>
      <c r="M3543" s="17"/>
      <c r="N3543" s="17"/>
      <c r="O3543" s="17"/>
      <c r="P3543" s="17" t="s">
        <v>1019</v>
      </c>
      <c r="Q3543" s="17"/>
      <c r="R3543" s="25" t="str">
        <f>HYPERLINK("https://ictv.global/taxonomy/taxondetails?taxnode_id=202313209","Benedictvirus jovo")</f>
        <v>Benedictvirus jovo</v>
      </c>
      <c r="S3543" s="18" t="s">
        <v>30</v>
      </c>
      <c r="T3543" s="18" t="s">
        <v>1030</v>
      </c>
      <c r="U3543" s="18"/>
      <c r="V3543" s="18"/>
      <c r="W3543" s="18" t="s">
        <v>1031</v>
      </c>
      <c r="X3543" s="18" t="s">
        <v>42</v>
      </c>
      <c r="Y3543" s="18" t="s">
        <v>36</v>
      </c>
      <c r="Z3543" s="18" t="s">
        <v>697</v>
      </c>
      <c r="AA3543" s="21" t="str">
        <f>HYPERLINK("https://www.ncbi.nlm.nih.gov/nuccore/KF493882","NCBI Nucleotide")</f>
        <v>NCBI Nucleotide</v>
      </c>
    </row>
    <row r="3544" spans="1:27" x14ac:dyDescent="0.35">
      <c r="A3544">
        <v>1004662</v>
      </c>
      <c r="B3544">
        <v>3520</v>
      </c>
      <c r="C3544">
        <v>1</v>
      </c>
      <c r="D3544" s="17" t="s">
        <v>155</v>
      </c>
      <c r="E3544" s="17"/>
      <c r="F3544" s="17" t="s">
        <v>156</v>
      </c>
      <c r="G3544" s="17"/>
      <c r="H3544" s="17" t="s">
        <v>692</v>
      </c>
      <c r="I3544" s="17"/>
      <c r="J3544" s="17" t="s">
        <v>693</v>
      </c>
      <c r="K3544" s="17"/>
      <c r="L3544" s="17"/>
      <c r="M3544" s="17"/>
      <c r="N3544" s="17"/>
      <c r="O3544" s="17"/>
      <c r="P3544" s="17" t="s">
        <v>1019</v>
      </c>
      <c r="Q3544" s="17"/>
      <c r="R3544" s="25" t="str">
        <f>HYPERLINK("https://ictv.global/taxonomy/taxondetails?taxnode_id=202313205","Benedictvirus littlecherry")</f>
        <v>Benedictvirus littlecherry</v>
      </c>
      <c r="S3544" s="18" t="s">
        <v>30</v>
      </c>
      <c r="T3544" s="18" t="s">
        <v>1032</v>
      </c>
      <c r="U3544" s="18"/>
      <c r="V3544" s="18"/>
      <c r="W3544" s="18" t="s">
        <v>1033</v>
      </c>
      <c r="X3544" s="18" t="s">
        <v>42</v>
      </c>
      <c r="Y3544" s="18" t="s">
        <v>36</v>
      </c>
      <c r="Z3544" s="18" t="s">
        <v>697</v>
      </c>
      <c r="AA3544" s="21" t="str">
        <f>HYPERLINK("https://www.ncbi.nlm.nih.gov/nuccore/KF017001","NCBI Nucleotide")</f>
        <v>NCBI Nucleotide</v>
      </c>
    </row>
    <row r="3545" spans="1:27" x14ac:dyDescent="0.35">
      <c r="A3545">
        <v>1004663</v>
      </c>
      <c r="B3545">
        <v>3521</v>
      </c>
      <c r="C3545">
        <v>1</v>
      </c>
      <c r="D3545" s="17" t="s">
        <v>155</v>
      </c>
      <c r="E3545" s="17"/>
      <c r="F3545" s="17" t="s">
        <v>156</v>
      </c>
      <c r="G3545" s="17"/>
      <c r="H3545" s="17" t="s">
        <v>692</v>
      </c>
      <c r="I3545" s="17"/>
      <c r="J3545" s="17" t="s">
        <v>693</v>
      </c>
      <c r="K3545" s="17"/>
      <c r="L3545" s="17"/>
      <c r="M3545" s="17"/>
      <c r="N3545" s="17"/>
      <c r="O3545" s="17"/>
      <c r="P3545" s="17" t="s">
        <v>1019</v>
      </c>
      <c r="Q3545" s="17"/>
      <c r="R3545" s="25" t="str">
        <f>HYPERLINK("https://ictv.global/taxonomy/taxondetails?taxnode_id=202313199","Benedictvirus naca")</f>
        <v>Benedictvirus naca</v>
      </c>
      <c r="S3545" s="18" t="s">
        <v>30</v>
      </c>
      <c r="T3545" s="18" t="s">
        <v>1034</v>
      </c>
      <c r="U3545" s="18"/>
      <c r="V3545" s="18"/>
      <c r="W3545" s="18" t="s">
        <v>1035</v>
      </c>
      <c r="X3545" s="18" t="s">
        <v>42</v>
      </c>
      <c r="Y3545" s="18" t="s">
        <v>36</v>
      </c>
      <c r="Z3545" s="18" t="s">
        <v>697</v>
      </c>
      <c r="AA3545" s="21" t="str">
        <f>HYPERLINK("https://www.ncbi.nlm.nih.gov/nuccore/MH020239","NCBI Nucleotide")</f>
        <v>NCBI Nucleotide</v>
      </c>
    </row>
    <row r="3546" spans="1:27" x14ac:dyDescent="0.35">
      <c r="A3546">
        <v>1004664</v>
      </c>
      <c r="B3546">
        <v>3522</v>
      </c>
      <c r="C3546">
        <v>1</v>
      </c>
      <c r="D3546" s="17" t="s">
        <v>155</v>
      </c>
      <c r="E3546" s="17"/>
      <c r="F3546" s="17" t="s">
        <v>156</v>
      </c>
      <c r="G3546" s="17"/>
      <c r="H3546" s="17" t="s">
        <v>692</v>
      </c>
      <c r="I3546" s="17"/>
      <c r="J3546" s="17" t="s">
        <v>693</v>
      </c>
      <c r="K3546" s="17"/>
      <c r="L3546" s="17"/>
      <c r="M3546" s="17"/>
      <c r="N3546" s="17"/>
      <c r="O3546" s="17"/>
      <c r="P3546" s="17" t="s">
        <v>1019</v>
      </c>
      <c r="Q3546" s="17"/>
      <c r="R3546" s="25" t="str">
        <f>HYPERLINK("https://ictv.global/taxonomy/taxondetails?taxnode_id=202313202","Benedictvirus scorpia")</f>
        <v>Benedictvirus scorpia</v>
      </c>
      <c r="S3546" s="18" t="s">
        <v>30</v>
      </c>
      <c r="T3546" s="18" t="s">
        <v>1036</v>
      </c>
      <c r="U3546" s="18"/>
      <c r="V3546" s="18"/>
      <c r="W3546" s="18" t="s">
        <v>1037</v>
      </c>
      <c r="X3546" s="18" t="s">
        <v>42</v>
      </c>
      <c r="Y3546" s="18" t="s">
        <v>36</v>
      </c>
      <c r="Z3546" s="18" t="s">
        <v>697</v>
      </c>
      <c r="AA3546" s="21" t="str">
        <f>HYPERLINK("https://www.ncbi.nlm.nih.gov/nuccore/MK494091","NCBI Nucleotide")</f>
        <v>NCBI Nucleotide</v>
      </c>
    </row>
    <row r="3547" spans="1:27" x14ac:dyDescent="0.35">
      <c r="A3547">
        <v>1004665</v>
      </c>
      <c r="B3547">
        <v>3523</v>
      </c>
      <c r="C3547">
        <v>1</v>
      </c>
      <c r="D3547" s="17" t="s">
        <v>155</v>
      </c>
      <c r="E3547" s="17"/>
      <c r="F3547" s="17" t="s">
        <v>156</v>
      </c>
      <c r="G3547" s="17"/>
      <c r="H3547" s="17" t="s">
        <v>692</v>
      </c>
      <c r="I3547" s="17"/>
      <c r="J3547" s="17" t="s">
        <v>693</v>
      </c>
      <c r="K3547" s="17"/>
      <c r="L3547" s="17"/>
      <c r="M3547" s="17"/>
      <c r="N3547" s="17"/>
      <c r="O3547" s="17"/>
      <c r="P3547" s="17" t="s">
        <v>1019</v>
      </c>
      <c r="Q3547" s="17"/>
      <c r="R3547" s="25" t="str">
        <f>HYPERLINK("https://ictv.global/taxonomy/taxondetails?taxnode_id=202313204","Benedictvirus swirley")</f>
        <v>Benedictvirus swirley</v>
      </c>
      <c r="S3547" s="18" t="s">
        <v>30</v>
      </c>
      <c r="T3547" s="18" t="s">
        <v>1038</v>
      </c>
      <c r="U3547" s="18"/>
      <c r="V3547" s="18"/>
      <c r="W3547" s="18" t="s">
        <v>1039</v>
      </c>
      <c r="X3547" s="18" t="s">
        <v>42</v>
      </c>
      <c r="Y3547" s="18" t="s">
        <v>36</v>
      </c>
      <c r="Z3547" s="18" t="s">
        <v>697</v>
      </c>
      <c r="AA3547" s="21" t="str">
        <f>HYPERLINK("https://www.ncbi.nlm.nih.gov/nuccore/KM101118","NCBI Nucleotide")</f>
        <v>NCBI Nucleotide</v>
      </c>
    </row>
    <row r="3548" spans="1:27" x14ac:dyDescent="0.35">
      <c r="A3548">
        <v>1004666</v>
      </c>
      <c r="B3548">
        <v>3524</v>
      </c>
      <c r="C3548">
        <v>1</v>
      </c>
      <c r="D3548" s="17" t="s">
        <v>155</v>
      </c>
      <c r="E3548" s="17"/>
      <c r="F3548" s="17" t="s">
        <v>156</v>
      </c>
      <c r="G3548" s="17"/>
      <c r="H3548" s="17" t="s">
        <v>692</v>
      </c>
      <c r="I3548" s="17"/>
      <c r="J3548" s="17" t="s">
        <v>693</v>
      </c>
      <c r="K3548" s="17"/>
      <c r="L3548" s="17"/>
      <c r="M3548" s="17"/>
      <c r="N3548" s="17"/>
      <c r="O3548" s="17"/>
      <c r="P3548" s="17" t="s">
        <v>1019</v>
      </c>
      <c r="Q3548" s="17"/>
      <c r="R3548" s="25" t="str">
        <f>HYPERLINK("https://ictv.global/taxonomy/taxondetails?taxnode_id=202313203","Benedictvirus theia")</f>
        <v>Benedictvirus theia</v>
      </c>
      <c r="S3548" s="18" t="s">
        <v>30</v>
      </c>
      <c r="T3548" s="18" t="s">
        <v>1040</v>
      </c>
      <c r="U3548" s="18"/>
      <c r="V3548" s="18"/>
      <c r="W3548" s="18" t="s">
        <v>1041</v>
      </c>
      <c r="X3548" s="18" t="s">
        <v>42</v>
      </c>
      <c r="Y3548" s="18" t="s">
        <v>36</v>
      </c>
      <c r="Z3548" s="18" t="s">
        <v>697</v>
      </c>
      <c r="AA3548" s="21" t="str">
        <f>HYPERLINK("https://www.ncbi.nlm.nih.gov/nuccore/KT438501","NCBI Nucleotide")</f>
        <v>NCBI Nucleotide</v>
      </c>
    </row>
    <row r="3549" spans="1:27" x14ac:dyDescent="0.35">
      <c r="A3549">
        <v>1004667</v>
      </c>
      <c r="B3549">
        <v>3525</v>
      </c>
      <c r="C3549">
        <v>1</v>
      </c>
      <c r="D3549" s="17" t="s">
        <v>155</v>
      </c>
      <c r="E3549" s="17"/>
      <c r="F3549" s="17" t="s">
        <v>156</v>
      </c>
      <c r="G3549" s="17"/>
      <c r="H3549" s="17" t="s">
        <v>692</v>
      </c>
      <c r="I3549" s="17"/>
      <c r="J3549" s="17" t="s">
        <v>693</v>
      </c>
      <c r="K3549" s="17"/>
      <c r="L3549" s="17"/>
      <c r="M3549" s="17"/>
      <c r="N3549" s="17"/>
      <c r="O3549" s="17"/>
      <c r="P3549" s="17" t="s">
        <v>1019</v>
      </c>
      <c r="Q3549" s="17"/>
      <c r="R3549" s="25" t="str">
        <f>HYPERLINK("https://ictv.global/taxonomy/taxondetails?taxnode_id=202301061","Benedictvirus tiger")</f>
        <v>Benedictvirus tiger</v>
      </c>
      <c r="S3549" s="18" t="s">
        <v>30</v>
      </c>
      <c r="T3549" s="18" t="s">
        <v>1042</v>
      </c>
      <c r="U3549" s="18"/>
      <c r="V3549" s="18"/>
      <c r="W3549" s="18" t="s">
        <v>1043</v>
      </c>
      <c r="X3549" s="18" t="s">
        <v>42</v>
      </c>
      <c r="Y3549" s="18" t="s">
        <v>36</v>
      </c>
      <c r="Z3549" s="18" t="s">
        <v>697</v>
      </c>
      <c r="AA3549" s="21" t="str">
        <f>HYPERLINK("https://www.ncbi.nlm.nih.gov/nuccore/JQ684677","NCBI Nucleotide")</f>
        <v>NCBI Nucleotide</v>
      </c>
    </row>
    <row r="3550" spans="1:27" x14ac:dyDescent="0.35">
      <c r="A3550">
        <v>1004668</v>
      </c>
      <c r="B3550">
        <v>3526</v>
      </c>
      <c r="C3550">
        <v>1</v>
      </c>
      <c r="D3550" s="17" t="s">
        <v>155</v>
      </c>
      <c r="E3550" s="17"/>
      <c r="F3550" s="17" t="s">
        <v>156</v>
      </c>
      <c r="G3550" s="17"/>
      <c r="H3550" s="17" t="s">
        <v>692</v>
      </c>
      <c r="I3550" s="17"/>
      <c r="J3550" s="17" t="s">
        <v>693</v>
      </c>
      <c r="K3550" s="17"/>
      <c r="L3550" s="17"/>
      <c r="M3550" s="17"/>
      <c r="N3550" s="17"/>
      <c r="O3550" s="17"/>
      <c r="P3550" s="17" t="s">
        <v>1019</v>
      </c>
      <c r="Q3550" s="17"/>
      <c r="R3550" s="25" t="str">
        <f>HYPERLINK("https://ictv.global/taxonomy/taxondetails?taxnode_id=202313200","Benedictvirus unionjack")</f>
        <v>Benedictvirus unionjack</v>
      </c>
      <c r="S3550" s="18" t="s">
        <v>30</v>
      </c>
      <c r="T3550" s="18" t="s">
        <v>1044</v>
      </c>
      <c r="U3550" s="18"/>
      <c r="V3550" s="18"/>
      <c r="W3550" s="18" t="s">
        <v>1045</v>
      </c>
      <c r="X3550" s="18" t="s">
        <v>42</v>
      </c>
      <c r="Y3550" s="18" t="s">
        <v>36</v>
      </c>
      <c r="Z3550" s="18" t="s">
        <v>697</v>
      </c>
      <c r="AA3550" s="21" t="str">
        <f>HYPERLINK("https://www.ncbi.nlm.nih.gov/nuccore/KT004677","NCBI Nucleotide")</f>
        <v>NCBI Nucleotide</v>
      </c>
    </row>
    <row r="3551" spans="1:27" x14ac:dyDescent="0.35">
      <c r="A3551">
        <v>1004669</v>
      </c>
      <c r="B3551">
        <v>3527</v>
      </c>
      <c r="C3551">
        <v>1</v>
      </c>
      <c r="D3551" s="17" t="s">
        <v>155</v>
      </c>
      <c r="E3551" s="17"/>
      <c r="F3551" s="17" t="s">
        <v>156</v>
      </c>
      <c r="G3551" s="17"/>
      <c r="H3551" s="17" t="s">
        <v>692</v>
      </c>
      <c r="I3551" s="17"/>
      <c r="J3551" s="17" t="s">
        <v>693</v>
      </c>
      <c r="K3551" s="17"/>
      <c r="L3551" s="17"/>
      <c r="M3551" s="17"/>
      <c r="N3551" s="17"/>
      <c r="O3551" s="17"/>
      <c r="P3551" s="17" t="s">
        <v>1019</v>
      </c>
      <c r="Q3551" s="17"/>
      <c r="R3551" s="25" t="str">
        <f>HYPERLINK("https://ictv.global/taxonomy/taxondetails?taxnode_id=202313206","Benedictvirus zolita")</f>
        <v>Benedictvirus zolita</v>
      </c>
      <c r="S3551" s="18" t="s">
        <v>30</v>
      </c>
      <c r="T3551" s="18" t="s">
        <v>1046</v>
      </c>
      <c r="U3551" s="18"/>
      <c r="V3551" s="18"/>
      <c r="W3551" s="18" t="s">
        <v>1047</v>
      </c>
      <c r="X3551" s="18" t="s">
        <v>42</v>
      </c>
      <c r="Y3551" s="18" t="s">
        <v>36</v>
      </c>
      <c r="Z3551" s="18" t="s">
        <v>697</v>
      </c>
      <c r="AA3551" s="21" t="str">
        <f>HYPERLINK("https://www.ncbi.nlm.nih.gov/nuccore/MN096372","NCBI Nucleotide")</f>
        <v>NCBI Nucleotide</v>
      </c>
    </row>
    <row r="3552" spans="1:27" x14ac:dyDescent="0.35">
      <c r="A3552">
        <v>1004670</v>
      </c>
      <c r="B3552">
        <v>3528</v>
      </c>
      <c r="C3552">
        <v>1</v>
      </c>
      <c r="D3552" s="17" t="s">
        <v>155</v>
      </c>
      <c r="E3552" s="17"/>
      <c r="F3552" s="17" t="s">
        <v>156</v>
      </c>
      <c r="G3552" s="17"/>
      <c r="H3552" s="17" t="s">
        <v>692</v>
      </c>
      <c r="I3552" s="17"/>
      <c r="J3552" s="17" t="s">
        <v>693</v>
      </c>
      <c r="K3552" s="17"/>
      <c r="L3552" s="17"/>
      <c r="M3552" s="17"/>
      <c r="N3552" s="17"/>
      <c r="O3552" s="17"/>
      <c r="P3552" s="17" t="s">
        <v>1048</v>
      </c>
      <c r="Q3552" s="17"/>
      <c r="R3552" s="25" t="str">
        <f>HYPERLINK("https://ictv.global/taxonomy/taxondetails?taxnode_id=202300858","Bernalvirus bernal13")</f>
        <v>Bernalvirus bernal13</v>
      </c>
      <c r="S3552" s="18" t="s">
        <v>30</v>
      </c>
      <c r="T3552" s="18" t="s">
        <v>1049</v>
      </c>
      <c r="U3552" s="18"/>
      <c r="V3552" s="18"/>
      <c r="W3552" s="18" t="s">
        <v>1050</v>
      </c>
      <c r="X3552" s="18" t="s">
        <v>42</v>
      </c>
      <c r="Y3552" s="18" t="s">
        <v>36</v>
      </c>
      <c r="Z3552" s="18" t="s">
        <v>697</v>
      </c>
      <c r="AA3552" s="21" t="str">
        <f>HYPERLINK("https://www.ncbi.nlm.nih.gov/nuccore/KJ510413","NCBI Nucleotide")</f>
        <v>NCBI Nucleotide</v>
      </c>
    </row>
    <row r="3553" spans="1:27" x14ac:dyDescent="0.35">
      <c r="A3553">
        <v>1004671</v>
      </c>
      <c r="B3553">
        <v>3529</v>
      </c>
      <c r="C3553">
        <v>1</v>
      </c>
      <c r="D3553" s="17" t="s">
        <v>155</v>
      </c>
      <c r="E3553" s="17"/>
      <c r="F3553" s="17" t="s">
        <v>156</v>
      </c>
      <c r="G3553" s="17"/>
      <c r="H3553" s="17" t="s">
        <v>692</v>
      </c>
      <c r="I3553" s="17"/>
      <c r="J3553" s="17" t="s">
        <v>693</v>
      </c>
      <c r="K3553" s="17"/>
      <c r="L3553" s="17"/>
      <c r="M3553" s="17"/>
      <c r="N3553" s="17"/>
      <c r="O3553" s="17"/>
      <c r="P3553" s="17" t="s">
        <v>1048</v>
      </c>
      <c r="Q3553" s="17"/>
      <c r="R3553" s="25" t="str">
        <f>HYPERLINK("https://ictv.global/taxonomy/taxondetails?taxnode_id=202312355","Bernalvirus mendokysei")</f>
        <v>Bernalvirus mendokysei</v>
      </c>
      <c r="S3553" s="18" t="s">
        <v>30</v>
      </c>
      <c r="T3553" s="18" t="s">
        <v>1051</v>
      </c>
      <c r="U3553" s="18"/>
      <c r="V3553" s="18"/>
      <c r="W3553" s="18" t="s">
        <v>1052</v>
      </c>
      <c r="X3553" s="18" t="s">
        <v>42</v>
      </c>
      <c r="Y3553" s="18" t="s">
        <v>36</v>
      </c>
      <c r="Z3553" s="18" t="s">
        <v>697</v>
      </c>
      <c r="AA3553" s="21" t="str">
        <f>HYPERLINK("https://www.ncbi.nlm.nih.gov/nuccore/MG925349","NCBI Nucleotide")</f>
        <v>NCBI Nucleotide</v>
      </c>
    </row>
    <row r="3554" spans="1:27" x14ac:dyDescent="0.35">
      <c r="A3554">
        <v>1004672</v>
      </c>
      <c r="B3554">
        <v>3530</v>
      </c>
      <c r="C3554">
        <v>1</v>
      </c>
      <c r="D3554" s="17" t="s">
        <v>155</v>
      </c>
      <c r="E3554" s="17"/>
      <c r="F3554" s="17" t="s">
        <v>156</v>
      </c>
      <c r="G3554" s="17"/>
      <c r="H3554" s="17" t="s">
        <v>692</v>
      </c>
      <c r="I3554" s="17"/>
      <c r="J3554" s="17" t="s">
        <v>693</v>
      </c>
      <c r="K3554" s="17"/>
      <c r="L3554" s="17"/>
      <c r="M3554" s="17"/>
      <c r="N3554" s="17"/>
      <c r="O3554" s="17"/>
      <c r="P3554" s="17" t="s">
        <v>1053</v>
      </c>
      <c r="Q3554" s="17"/>
      <c r="R3554" s="25" t="str">
        <f>HYPERLINK("https://ictv.global/taxonomy/taxondetails?taxnode_id=202306801","Betterkatzvirus betterkatz")</f>
        <v>Betterkatzvirus betterkatz</v>
      </c>
      <c r="S3554" s="18" t="s">
        <v>30</v>
      </c>
      <c r="T3554" s="18" t="s">
        <v>1054</v>
      </c>
      <c r="U3554" s="18"/>
      <c r="V3554" s="18"/>
      <c r="W3554" s="18" t="s">
        <v>1055</v>
      </c>
      <c r="X3554" s="18" t="s">
        <v>42</v>
      </c>
      <c r="Y3554" s="18" t="s">
        <v>36</v>
      </c>
      <c r="Z3554" s="18" t="s">
        <v>697</v>
      </c>
      <c r="AA3554" s="21" t="str">
        <f>HYPERLINK("https://www.ncbi.nlm.nih.gov/nuccore/KU963261","NCBI Nucleotide")</f>
        <v>NCBI Nucleotide</v>
      </c>
    </row>
    <row r="3555" spans="1:27" x14ac:dyDescent="0.35">
      <c r="A3555">
        <v>1024711</v>
      </c>
      <c r="B3555">
        <v>3531</v>
      </c>
      <c r="C3555">
        <v>1</v>
      </c>
      <c r="D3555" s="17" t="s">
        <v>155</v>
      </c>
      <c r="E3555" s="17"/>
      <c r="F3555" s="17" t="s">
        <v>156</v>
      </c>
      <c r="G3555" s="17"/>
      <c r="H3555" s="17" t="s">
        <v>692</v>
      </c>
      <c r="I3555" s="17"/>
      <c r="J3555" s="17" t="s">
        <v>693</v>
      </c>
      <c r="K3555" s="17"/>
      <c r="L3555" s="17"/>
      <c r="M3555" s="17"/>
      <c r="N3555" s="17"/>
      <c r="O3555" s="17"/>
      <c r="P3555" s="17" t="s">
        <v>39848</v>
      </c>
      <c r="Q3555" s="17"/>
      <c r="R3555" s="25" t="str">
        <f>HYPERLINK("https://ictv.global/taxonomy/taxondetails?taxnode_id=202319574","Bglawtbvirus WTB")</f>
        <v>Bglawtbvirus WTB</v>
      </c>
      <c r="S3555" s="18" t="s">
        <v>30</v>
      </c>
      <c r="T3555" s="18" t="s">
        <v>39849</v>
      </c>
      <c r="U3555" s="18"/>
      <c r="V3555" s="18"/>
      <c r="W3555" s="18" t="s">
        <v>39850</v>
      </c>
      <c r="X3555" s="18" t="s">
        <v>42</v>
      </c>
      <c r="Y3555" s="18" t="s">
        <v>36</v>
      </c>
      <c r="Z3555" s="18" t="s">
        <v>697</v>
      </c>
      <c r="AA3555" s="21" t="str">
        <f>HYPERLINK("https://www.ncbi.nlm.nih.gov/nuccore/OQ735257","NCBI Nucleotide")</f>
        <v>NCBI Nucleotide</v>
      </c>
    </row>
    <row r="3556" spans="1:27" x14ac:dyDescent="0.35">
      <c r="A3556">
        <v>1004673</v>
      </c>
      <c r="B3556">
        <v>3532</v>
      </c>
      <c r="C3556">
        <v>1</v>
      </c>
      <c r="D3556" s="17" t="s">
        <v>155</v>
      </c>
      <c r="E3556" s="17"/>
      <c r="F3556" s="17" t="s">
        <v>156</v>
      </c>
      <c r="G3556" s="17"/>
      <c r="H3556" s="17" t="s">
        <v>692</v>
      </c>
      <c r="I3556" s="17"/>
      <c r="J3556" s="17" t="s">
        <v>693</v>
      </c>
      <c r="K3556" s="17"/>
      <c r="L3556" s="17"/>
      <c r="M3556" s="17"/>
      <c r="N3556" s="17"/>
      <c r="O3556" s="17"/>
      <c r="P3556" s="17" t="s">
        <v>1056</v>
      </c>
      <c r="Q3556" s="17"/>
      <c r="R3556" s="25" t="str">
        <f>HYPERLINK("https://ictv.global/taxonomy/taxondetails?taxnode_id=202309344","Bievrevirus bv4A7")</f>
        <v>Bievrevirus bv4A7</v>
      </c>
      <c r="S3556" s="18" t="s">
        <v>30</v>
      </c>
      <c r="T3556" s="18" t="s">
        <v>1057</v>
      </c>
      <c r="U3556" s="18"/>
      <c r="V3556" s="18"/>
      <c r="W3556" s="18" t="s">
        <v>1058</v>
      </c>
      <c r="X3556" s="18" t="s">
        <v>42</v>
      </c>
      <c r="Y3556" s="18" t="s">
        <v>36</v>
      </c>
      <c r="Z3556" s="18" t="s">
        <v>697</v>
      </c>
      <c r="AA3556" s="21" t="str">
        <f>HYPERLINK("https://www.ncbi.nlm.nih.gov/nuccore/LR595864","NCBI Nucleotide")</f>
        <v>NCBI Nucleotide</v>
      </c>
    </row>
    <row r="3557" spans="1:27" x14ac:dyDescent="0.35">
      <c r="A3557">
        <v>1004674</v>
      </c>
      <c r="B3557">
        <v>3533</v>
      </c>
      <c r="C3557">
        <v>1</v>
      </c>
      <c r="D3557" s="17" t="s">
        <v>155</v>
      </c>
      <c r="E3557" s="17"/>
      <c r="F3557" s="17" t="s">
        <v>156</v>
      </c>
      <c r="G3557" s="17"/>
      <c r="H3557" s="17" t="s">
        <v>692</v>
      </c>
      <c r="I3557" s="17"/>
      <c r="J3557" s="17" t="s">
        <v>693</v>
      </c>
      <c r="K3557" s="17"/>
      <c r="L3557" s="17"/>
      <c r="M3557" s="17"/>
      <c r="N3557" s="17"/>
      <c r="O3557" s="17"/>
      <c r="P3557" s="17" t="s">
        <v>1059</v>
      </c>
      <c r="Q3557" s="17"/>
      <c r="R3557" s="25" t="str">
        <f>HYPERLINK("https://ictv.global/taxonomy/taxondetails?taxnode_id=202314667","Bigmanorsvirus bgmanors32")</f>
        <v>Bigmanorsvirus bgmanors32</v>
      </c>
      <c r="S3557" s="18" t="s">
        <v>30</v>
      </c>
      <c r="T3557" s="18" t="s">
        <v>1060</v>
      </c>
      <c r="U3557" s="18"/>
      <c r="V3557" s="18"/>
      <c r="W3557" s="18" t="s">
        <v>1061</v>
      </c>
      <c r="X3557" s="18" t="s">
        <v>42</v>
      </c>
      <c r="Y3557" s="18" t="s">
        <v>36</v>
      </c>
      <c r="Z3557" s="18" t="s">
        <v>697</v>
      </c>
      <c r="AA3557" s="21" t="str">
        <f>HYPERLINK("https://www.ncbi.nlm.nih.gov/nuccore/OK665842","NCBI Nucleotide")</f>
        <v>NCBI Nucleotide</v>
      </c>
    </row>
    <row r="3558" spans="1:27" x14ac:dyDescent="0.35">
      <c r="A3558">
        <v>1004675</v>
      </c>
      <c r="B3558">
        <v>3534</v>
      </c>
      <c r="C3558">
        <v>1</v>
      </c>
      <c r="D3558" s="17" t="s">
        <v>155</v>
      </c>
      <c r="E3558" s="17"/>
      <c r="F3558" s="17" t="s">
        <v>156</v>
      </c>
      <c r="G3558" s="17"/>
      <c r="H3558" s="17" t="s">
        <v>692</v>
      </c>
      <c r="I3558" s="17"/>
      <c r="J3558" s="17" t="s">
        <v>693</v>
      </c>
      <c r="K3558" s="17"/>
      <c r="L3558" s="17"/>
      <c r="M3558" s="17"/>
      <c r="N3558" s="17"/>
      <c r="O3558" s="17"/>
      <c r="P3558" s="17" t="s">
        <v>1062</v>
      </c>
      <c r="Q3558" s="17"/>
      <c r="R3558" s="25" t="str">
        <f>HYPERLINK("https://ictv.global/taxonomy/taxondetails?taxnode_id=202306724","Bingvirus bing")</f>
        <v>Bingvirus bing</v>
      </c>
      <c r="S3558" s="18" t="s">
        <v>30</v>
      </c>
      <c r="T3558" s="18" t="s">
        <v>1063</v>
      </c>
      <c r="U3558" s="18"/>
      <c r="V3558" s="18"/>
      <c r="W3558" s="18" t="s">
        <v>1064</v>
      </c>
      <c r="X3558" s="18" t="s">
        <v>42</v>
      </c>
      <c r="Y3558" s="18" t="s">
        <v>36</v>
      </c>
      <c r="Z3558" s="18" t="s">
        <v>697</v>
      </c>
      <c r="AA3558" s="21" t="str">
        <f>HYPERLINK("https://www.ncbi.nlm.nih.gov/nuccore/MG757154","NCBI Nucleotide")</f>
        <v>NCBI Nucleotide</v>
      </c>
    </row>
    <row r="3559" spans="1:27" x14ac:dyDescent="0.35">
      <c r="A3559">
        <v>1004676</v>
      </c>
      <c r="B3559">
        <v>3535</v>
      </c>
      <c r="C3559">
        <v>1</v>
      </c>
      <c r="D3559" s="17" t="s">
        <v>155</v>
      </c>
      <c r="E3559" s="17"/>
      <c r="F3559" s="17" t="s">
        <v>156</v>
      </c>
      <c r="G3559" s="17"/>
      <c r="H3559" s="17" t="s">
        <v>692</v>
      </c>
      <c r="I3559" s="17"/>
      <c r="J3559" s="17" t="s">
        <v>693</v>
      </c>
      <c r="K3559" s="17"/>
      <c r="L3559" s="17"/>
      <c r="M3559" s="17"/>
      <c r="N3559" s="17"/>
      <c r="O3559" s="17"/>
      <c r="P3559" s="17" t="s">
        <v>1065</v>
      </c>
      <c r="Q3559" s="17"/>
      <c r="R3559" s="25" t="str">
        <f>HYPERLINK("https://ictv.global/taxonomy/taxondetails?taxnode_id=202312974","Bippervirus bipper")</f>
        <v>Bippervirus bipper</v>
      </c>
      <c r="S3559" s="18" t="s">
        <v>30</v>
      </c>
      <c r="T3559" s="18" t="s">
        <v>1066</v>
      </c>
      <c r="U3559" s="18"/>
      <c r="V3559" s="18"/>
      <c r="W3559" s="18" t="s">
        <v>1067</v>
      </c>
      <c r="X3559" s="18" t="s">
        <v>42</v>
      </c>
      <c r="Y3559" s="18" t="s">
        <v>36</v>
      </c>
      <c r="Z3559" s="18" t="s">
        <v>697</v>
      </c>
      <c r="AA3559" s="21" t="str">
        <f>HYPERLINK("https://www.ncbi.nlm.nih.gov/nuccore/KU728633","NCBI Nucleotide")</f>
        <v>NCBI Nucleotide</v>
      </c>
    </row>
    <row r="3560" spans="1:27" x14ac:dyDescent="0.35">
      <c r="A3560">
        <v>1024580</v>
      </c>
      <c r="B3560">
        <v>3536</v>
      </c>
      <c r="C3560">
        <v>1</v>
      </c>
      <c r="D3560" s="17" t="s">
        <v>155</v>
      </c>
      <c r="E3560" s="17"/>
      <c r="F3560" s="17" t="s">
        <v>156</v>
      </c>
      <c r="G3560" s="17"/>
      <c r="H3560" s="17" t="s">
        <v>692</v>
      </c>
      <c r="I3560" s="17"/>
      <c r="J3560" s="17" t="s">
        <v>693</v>
      </c>
      <c r="K3560" s="17"/>
      <c r="L3560" s="17"/>
      <c r="M3560" s="17"/>
      <c r="N3560" s="17"/>
      <c r="O3560" s="17"/>
      <c r="P3560" s="17" t="s">
        <v>39851</v>
      </c>
      <c r="Q3560" s="17"/>
      <c r="R3560" s="25" t="str">
        <f>HYPERLINK("https://ictv.global/taxonomy/taxondetails?taxnode_id=202317768","Bismarckvirus shambre1")</f>
        <v>Bismarckvirus shambre1</v>
      </c>
      <c r="S3560" s="18" t="s">
        <v>30</v>
      </c>
      <c r="T3560" s="18" t="s">
        <v>39852</v>
      </c>
      <c r="U3560" s="18"/>
      <c r="V3560" s="18"/>
      <c r="W3560" s="18" t="s">
        <v>48464</v>
      </c>
      <c r="X3560" s="18" t="s">
        <v>42</v>
      </c>
      <c r="Y3560" s="18" t="s">
        <v>36</v>
      </c>
      <c r="Z3560" s="18" t="s">
        <v>697</v>
      </c>
      <c r="AA3560" s="21" t="str">
        <f>HYPERLINK("https://www.ncbi.nlm.nih.gov/nuccore/OP297545","NCBI Nucleotide")</f>
        <v>NCBI Nucleotide</v>
      </c>
    </row>
    <row r="3561" spans="1:27" x14ac:dyDescent="0.35">
      <c r="A3561">
        <v>1004677</v>
      </c>
      <c r="B3561">
        <v>3537</v>
      </c>
      <c r="C3561">
        <v>1</v>
      </c>
      <c r="D3561" s="17" t="s">
        <v>155</v>
      </c>
      <c r="E3561" s="17"/>
      <c r="F3561" s="17" t="s">
        <v>156</v>
      </c>
      <c r="G3561" s="17"/>
      <c r="H3561" s="17" t="s">
        <v>692</v>
      </c>
      <c r="I3561" s="17"/>
      <c r="J3561" s="17" t="s">
        <v>693</v>
      </c>
      <c r="K3561" s="17"/>
      <c r="L3561" s="17"/>
      <c r="M3561" s="17"/>
      <c r="N3561" s="17"/>
      <c r="O3561" s="17"/>
      <c r="P3561" s="17" t="s">
        <v>1068</v>
      </c>
      <c r="Q3561" s="17"/>
      <c r="R3561" s="25" t="str">
        <f>HYPERLINK("https://ictv.global/taxonomy/taxondetails?taxnode_id=202306806","Bjornvirus bjorn")</f>
        <v>Bjornvirus bjorn</v>
      </c>
      <c r="S3561" s="18" t="s">
        <v>30</v>
      </c>
      <c r="T3561" s="18" t="s">
        <v>1069</v>
      </c>
      <c r="U3561" s="18"/>
      <c r="V3561" s="18"/>
      <c r="W3561" s="18" t="s">
        <v>1070</v>
      </c>
      <c r="X3561" s="18" t="s">
        <v>42</v>
      </c>
      <c r="Y3561" s="18" t="s">
        <v>36</v>
      </c>
      <c r="Z3561" s="18" t="s">
        <v>697</v>
      </c>
      <c r="AA3561" s="21" t="str">
        <f>HYPERLINK("https://www.ncbi.nlm.nih.gov/nuccore/MG775259","NCBI Nucleotide")</f>
        <v>NCBI Nucleotide</v>
      </c>
    </row>
    <row r="3562" spans="1:27" x14ac:dyDescent="0.35">
      <c r="A3562">
        <v>1024575</v>
      </c>
      <c r="B3562">
        <v>3538</v>
      </c>
      <c r="C3562">
        <v>1</v>
      </c>
      <c r="D3562" s="17" t="s">
        <v>155</v>
      </c>
      <c r="E3562" s="17"/>
      <c r="F3562" s="17" t="s">
        <v>156</v>
      </c>
      <c r="G3562" s="17"/>
      <c r="H3562" s="17" t="s">
        <v>692</v>
      </c>
      <c r="I3562" s="17"/>
      <c r="J3562" s="17" t="s">
        <v>693</v>
      </c>
      <c r="K3562" s="17"/>
      <c r="L3562" s="17"/>
      <c r="M3562" s="17"/>
      <c r="N3562" s="17"/>
      <c r="O3562" s="17"/>
      <c r="P3562" s="17" t="s">
        <v>39853</v>
      </c>
      <c r="Q3562" s="17"/>
      <c r="R3562" s="25" t="str">
        <f>HYPERLINK("https://ictv.global/taxonomy/taxondetails?taxnode_id=202317743","Bluefeathervirus bluefeather")</f>
        <v>Bluefeathervirus bluefeather</v>
      </c>
      <c r="S3562" s="18" t="s">
        <v>30</v>
      </c>
      <c r="T3562" s="18" t="s">
        <v>39854</v>
      </c>
      <c r="U3562" s="18"/>
      <c r="V3562" s="18"/>
      <c r="W3562" s="18" t="s">
        <v>48465</v>
      </c>
      <c r="X3562" s="18" t="s">
        <v>42</v>
      </c>
      <c r="Y3562" s="18" t="s">
        <v>36</v>
      </c>
      <c r="Z3562" s="18" t="s">
        <v>697</v>
      </c>
      <c r="AA3562" s="21" t="str">
        <f>HYPERLINK("https://www.ncbi.nlm.nih.gov/nuccore/MT024867","NCBI Nucleotide")</f>
        <v>NCBI Nucleotide</v>
      </c>
    </row>
    <row r="3563" spans="1:27" x14ac:dyDescent="0.35">
      <c r="A3563">
        <v>1004678</v>
      </c>
      <c r="B3563">
        <v>3539</v>
      </c>
      <c r="C3563">
        <v>1</v>
      </c>
      <c r="D3563" s="17" t="s">
        <v>155</v>
      </c>
      <c r="E3563" s="17"/>
      <c r="F3563" s="17" t="s">
        <v>156</v>
      </c>
      <c r="G3563" s="17"/>
      <c r="H3563" s="17" t="s">
        <v>692</v>
      </c>
      <c r="I3563" s="17"/>
      <c r="J3563" s="17" t="s">
        <v>693</v>
      </c>
      <c r="K3563" s="17"/>
      <c r="L3563" s="17"/>
      <c r="M3563" s="17"/>
      <c r="N3563" s="17"/>
      <c r="O3563" s="17"/>
      <c r="P3563" s="17" t="s">
        <v>1071</v>
      </c>
      <c r="Q3563" s="17"/>
      <c r="R3563" s="25" t="str">
        <f>HYPERLINK("https://ictv.global/taxonomy/taxondetails?taxnode_id=202314523","Bocovirus X14")</f>
        <v>Bocovirus X14</v>
      </c>
      <c r="S3563" s="18" t="s">
        <v>30</v>
      </c>
      <c r="T3563" s="18" t="s">
        <v>1072</v>
      </c>
      <c r="U3563" s="18" t="s">
        <v>1073</v>
      </c>
      <c r="V3563" s="18"/>
      <c r="W3563" s="18" t="s">
        <v>1074</v>
      </c>
      <c r="X3563" s="18" t="s">
        <v>42</v>
      </c>
      <c r="Y3563" s="18" t="s">
        <v>36</v>
      </c>
      <c r="Z3563" s="18" t="s">
        <v>697</v>
      </c>
      <c r="AA3563" s="21" t="str">
        <f>HYPERLINK("https://www.ncbi.nlm.nih.gov/nuccore/MK796797","NCBI Nucleotide")</f>
        <v>NCBI Nucleotide</v>
      </c>
    </row>
    <row r="3564" spans="1:27" x14ac:dyDescent="0.35">
      <c r="A3564">
        <v>1024576</v>
      </c>
      <c r="B3564">
        <v>3540</v>
      </c>
      <c r="C3564">
        <v>1</v>
      </c>
      <c r="D3564" s="17" t="s">
        <v>155</v>
      </c>
      <c r="E3564" s="17"/>
      <c r="F3564" s="17" t="s">
        <v>156</v>
      </c>
      <c r="G3564" s="17"/>
      <c r="H3564" s="17" t="s">
        <v>692</v>
      </c>
      <c r="I3564" s="17"/>
      <c r="J3564" s="17" t="s">
        <v>693</v>
      </c>
      <c r="K3564" s="17"/>
      <c r="L3564" s="17"/>
      <c r="M3564" s="17"/>
      <c r="N3564" s="17"/>
      <c r="O3564" s="17"/>
      <c r="P3564" s="17" t="s">
        <v>39855</v>
      </c>
      <c r="Q3564" s="17"/>
      <c r="R3564" s="25" t="str">
        <f>HYPERLINK("https://ictv.global/taxonomy/taxondetails?taxnode_id=202319256","Bonzeevirus bigdog")</f>
        <v>Bonzeevirus bigdog</v>
      </c>
      <c r="S3564" s="18" t="s">
        <v>30</v>
      </c>
      <c r="T3564" s="18" t="s">
        <v>39856</v>
      </c>
      <c r="U3564" s="18" t="s">
        <v>39857</v>
      </c>
      <c r="V3564" s="18"/>
      <c r="W3564" s="18" t="s">
        <v>48466</v>
      </c>
      <c r="X3564" s="18" t="s">
        <v>42</v>
      </c>
      <c r="Y3564" s="18" t="s">
        <v>36</v>
      </c>
      <c r="Z3564" s="18" t="s">
        <v>697</v>
      </c>
      <c r="AA3564" s="21" t="str">
        <f>HYPERLINK("https://www.ncbi.nlm.nih.gov/nuccore/MW021763","NCBI Nucleotide")</f>
        <v>NCBI Nucleotide</v>
      </c>
    </row>
    <row r="3565" spans="1:27" x14ac:dyDescent="0.35">
      <c r="A3565">
        <v>1024577</v>
      </c>
      <c r="B3565">
        <v>3541</v>
      </c>
      <c r="C3565">
        <v>1</v>
      </c>
      <c r="D3565" s="17" t="s">
        <v>155</v>
      </c>
      <c r="E3565" s="17"/>
      <c r="F3565" s="17" t="s">
        <v>156</v>
      </c>
      <c r="G3565" s="17"/>
      <c r="H3565" s="17" t="s">
        <v>692</v>
      </c>
      <c r="I3565" s="17"/>
      <c r="J3565" s="17" t="s">
        <v>693</v>
      </c>
      <c r="K3565" s="17"/>
      <c r="L3565" s="17"/>
      <c r="M3565" s="17"/>
      <c r="N3565" s="17"/>
      <c r="O3565" s="17"/>
      <c r="P3565" s="17" t="s">
        <v>39855</v>
      </c>
      <c r="Q3565" s="17"/>
      <c r="R3565" s="25" t="str">
        <f>HYPERLINK("https://ictv.global/taxonomy/taxondetails?taxnode_id=202319253","Bonzeevirus bonzee")</f>
        <v>Bonzeevirus bonzee</v>
      </c>
      <c r="S3565" s="18" t="s">
        <v>30</v>
      </c>
      <c r="T3565" s="18" t="s">
        <v>39858</v>
      </c>
      <c r="U3565" s="18" t="s">
        <v>39859</v>
      </c>
      <c r="V3565" s="18"/>
      <c r="W3565" s="18" t="s">
        <v>48467</v>
      </c>
      <c r="X3565" s="18" t="s">
        <v>42</v>
      </c>
      <c r="Y3565" s="18" t="s">
        <v>36</v>
      </c>
      <c r="Z3565" s="18" t="s">
        <v>697</v>
      </c>
      <c r="AA3565" s="21" t="str">
        <f>HYPERLINK("https://www.ncbi.nlm.nih.gov/nuccore/OM135608","NCBI Nucleotide")</f>
        <v>NCBI Nucleotide</v>
      </c>
    </row>
    <row r="3566" spans="1:27" x14ac:dyDescent="0.35">
      <c r="A3566">
        <v>1024578</v>
      </c>
      <c r="B3566">
        <v>3542</v>
      </c>
      <c r="C3566">
        <v>1</v>
      </c>
      <c r="D3566" s="17" t="s">
        <v>155</v>
      </c>
      <c r="E3566" s="17"/>
      <c r="F3566" s="17" t="s">
        <v>156</v>
      </c>
      <c r="G3566" s="17"/>
      <c r="H3566" s="17" t="s">
        <v>692</v>
      </c>
      <c r="I3566" s="17"/>
      <c r="J3566" s="17" t="s">
        <v>693</v>
      </c>
      <c r="K3566" s="17"/>
      <c r="L3566" s="17"/>
      <c r="M3566" s="17"/>
      <c r="N3566" s="17"/>
      <c r="O3566" s="17"/>
      <c r="P3566" s="17" t="s">
        <v>39855</v>
      </c>
      <c r="Q3566" s="17"/>
      <c r="R3566" s="25" t="str">
        <f>HYPERLINK("https://ictv.global/taxonomy/taxondetails?taxnode_id=202319254","Bonzeevirus stocker")</f>
        <v>Bonzeevirus stocker</v>
      </c>
      <c r="S3566" s="18" t="s">
        <v>30</v>
      </c>
      <c r="T3566" s="18" t="s">
        <v>39860</v>
      </c>
      <c r="U3566" s="18" t="s">
        <v>39861</v>
      </c>
      <c r="V3566" s="18"/>
      <c r="W3566" s="18" t="s">
        <v>48468</v>
      </c>
      <c r="X3566" s="18" t="s">
        <v>42</v>
      </c>
      <c r="Y3566" s="18" t="s">
        <v>36</v>
      </c>
      <c r="Z3566" s="18" t="s">
        <v>697</v>
      </c>
      <c r="AA3566" s="21" t="str">
        <f>HYPERLINK("https://www.ncbi.nlm.nih.gov/nuccore/OL539464","NCBI Nucleotide")</f>
        <v>NCBI Nucleotide</v>
      </c>
    </row>
    <row r="3567" spans="1:27" x14ac:dyDescent="0.35">
      <c r="A3567">
        <v>1024579</v>
      </c>
      <c r="B3567">
        <v>3543</v>
      </c>
      <c r="C3567">
        <v>1</v>
      </c>
      <c r="D3567" s="17" t="s">
        <v>155</v>
      </c>
      <c r="E3567" s="17"/>
      <c r="F3567" s="17" t="s">
        <v>156</v>
      </c>
      <c r="G3567" s="17"/>
      <c r="H3567" s="17" t="s">
        <v>692</v>
      </c>
      <c r="I3567" s="17"/>
      <c r="J3567" s="17" t="s">
        <v>693</v>
      </c>
      <c r="K3567" s="17"/>
      <c r="L3567" s="17"/>
      <c r="M3567" s="17"/>
      <c r="N3567" s="17"/>
      <c r="O3567" s="17"/>
      <c r="P3567" s="17" t="s">
        <v>39855</v>
      </c>
      <c r="Q3567" s="17"/>
      <c r="R3567" s="25" t="str">
        <f>HYPERLINK("https://ictv.global/taxonomy/taxondetails?taxnode_id=202319255","Bonzeevirus ulliraptor")</f>
        <v>Bonzeevirus ulliraptor</v>
      </c>
      <c r="S3567" s="18" t="s">
        <v>30</v>
      </c>
      <c r="T3567" s="18" t="s">
        <v>39862</v>
      </c>
      <c r="U3567" s="18" t="s">
        <v>39863</v>
      </c>
      <c r="V3567" s="18"/>
      <c r="W3567" s="18" t="s">
        <v>48469</v>
      </c>
      <c r="X3567" s="18" t="s">
        <v>42</v>
      </c>
      <c r="Y3567" s="18" t="s">
        <v>36</v>
      </c>
      <c r="Z3567" s="18" t="s">
        <v>697</v>
      </c>
      <c r="AA3567" s="21" t="str">
        <f>HYPERLINK("https://www.ncbi.nlm.nih.gov/nuccore/OL539442","NCBI Nucleotide")</f>
        <v>NCBI Nucleotide</v>
      </c>
    </row>
    <row r="3568" spans="1:27" x14ac:dyDescent="0.35">
      <c r="A3568">
        <v>1004679</v>
      </c>
      <c r="B3568">
        <v>3544</v>
      </c>
      <c r="C3568">
        <v>1</v>
      </c>
      <c r="D3568" s="17" t="s">
        <v>155</v>
      </c>
      <c r="E3568" s="17"/>
      <c r="F3568" s="17" t="s">
        <v>156</v>
      </c>
      <c r="G3568" s="17"/>
      <c r="H3568" s="17" t="s">
        <v>692</v>
      </c>
      <c r="I3568" s="17"/>
      <c r="J3568" s="17" t="s">
        <v>693</v>
      </c>
      <c r="K3568" s="17"/>
      <c r="L3568" s="17"/>
      <c r="M3568" s="17"/>
      <c r="N3568" s="17"/>
      <c r="O3568" s="17"/>
      <c r="P3568" s="17" t="s">
        <v>1075</v>
      </c>
      <c r="Q3568" s="17"/>
      <c r="R3568" s="25" t="str">
        <f>HYPERLINK("https://ictv.global/taxonomy/taxondetails?taxnode_id=202309662","Borockvirus brock")</f>
        <v>Borockvirus brock</v>
      </c>
      <c r="S3568" s="18" t="s">
        <v>30</v>
      </c>
      <c r="T3568" s="18" t="s">
        <v>1076</v>
      </c>
      <c r="U3568" s="18"/>
      <c r="V3568" s="18"/>
      <c r="W3568" s="18" t="s">
        <v>1077</v>
      </c>
      <c r="X3568" s="18" t="s">
        <v>42</v>
      </c>
      <c r="Y3568" s="18" t="s">
        <v>36</v>
      </c>
      <c r="Z3568" s="18" t="s">
        <v>697</v>
      </c>
      <c r="AA3568" s="21" t="str">
        <f>HYPERLINK("https://www.ncbi.nlm.nih.gov/nuccore/KX925554","NCBI Nucleotide")</f>
        <v>NCBI Nucleotide</v>
      </c>
    </row>
    <row r="3569" spans="1:27" x14ac:dyDescent="0.35">
      <c r="A3569">
        <v>1004680</v>
      </c>
      <c r="B3569">
        <v>3545</v>
      </c>
      <c r="C3569">
        <v>1</v>
      </c>
      <c r="D3569" s="17" t="s">
        <v>155</v>
      </c>
      <c r="E3569" s="17"/>
      <c r="F3569" s="17" t="s">
        <v>156</v>
      </c>
      <c r="G3569" s="17"/>
      <c r="H3569" s="17" t="s">
        <v>692</v>
      </c>
      <c r="I3569" s="17"/>
      <c r="J3569" s="17" t="s">
        <v>693</v>
      </c>
      <c r="K3569" s="17"/>
      <c r="L3569" s="17"/>
      <c r="M3569" s="17"/>
      <c r="N3569" s="17"/>
      <c r="O3569" s="17"/>
      <c r="P3569" s="17" t="s">
        <v>1078</v>
      </c>
      <c r="Q3569" s="17"/>
      <c r="R3569" s="25" t="str">
        <f>HYPERLINK("https://ictv.global/taxonomy/taxondetails?taxnode_id=202306620","Bowservirus bowser")</f>
        <v>Bowservirus bowser</v>
      </c>
      <c r="S3569" s="18" t="s">
        <v>30</v>
      </c>
      <c r="T3569" s="18" t="s">
        <v>1079</v>
      </c>
      <c r="U3569" s="18"/>
      <c r="V3569" s="18"/>
      <c r="W3569" s="18" t="s">
        <v>1080</v>
      </c>
      <c r="X3569" s="18" t="s">
        <v>42</v>
      </c>
      <c r="Y3569" s="18" t="s">
        <v>36</v>
      </c>
      <c r="Z3569" s="18" t="s">
        <v>697</v>
      </c>
      <c r="AA3569" s="21" t="str">
        <f>HYPERLINK("https://www.ncbi.nlm.nih.gov/nuccore/KU998235","NCBI Nucleotide")</f>
        <v>NCBI Nucleotide</v>
      </c>
    </row>
    <row r="3570" spans="1:27" x14ac:dyDescent="0.35">
      <c r="A3570">
        <v>1004681</v>
      </c>
      <c r="B3570">
        <v>3546</v>
      </c>
      <c r="C3570">
        <v>1</v>
      </c>
      <c r="D3570" s="17" t="s">
        <v>155</v>
      </c>
      <c r="E3570" s="17"/>
      <c r="F3570" s="17" t="s">
        <v>156</v>
      </c>
      <c r="G3570" s="17"/>
      <c r="H3570" s="17" t="s">
        <v>692</v>
      </c>
      <c r="I3570" s="17"/>
      <c r="J3570" s="17" t="s">
        <v>693</v>
      </c>
      <c r="K3570" s="17"/>
      <c r="L3570" s="17"/>
      <c r="M3570" s="17"/>
      <c r="N3570" s="17"/>
      <c r="O3570" s="17"/>
      <c r="P3570" s="17" t="s">
        <v>1081</v>
      </c>
      <c r="Q3570" s="17"/>
      <c r="R3570" s="25" t="str">
        <f>HYPERLINK("https://ictv.global/taxonomy/taxondetails?taxnode_id=202314525","Branisovskavirus Kc263")</f>
        <v>Branisovskavirus Kc263</v>
      </c>
      <c r="S3570" s="18" t="s">
        <v>30</v>
      </c>
      <c r="T3570" s="18" t="s">
        <v>1082</v>
      </c>
      <c r="U3570" s="18"/>
      <c r="V3570" s="18"/>
      <c r="W3570" s="18" t="s">
        <v>1083</v>
      </c>
      <c r="X3570" s="18" t="s">
        <v>42</v>
      </c>
      <c r="Y3570" s="18" t="s">
        <v>36</v>
      </c>
      <c r="Z3570" s="18" t="s">
        <v>697</v>
      </c>
      <c r="AA3570" s="21" t="str">
        <f>HYPERLINK("https://www.ncbi.nlm.nih.gov/nuccore/MZ348422","NCBI Nucleotide")</f>
        <v>NCBI Nucleotide</v>
      </c>
    </row>
    <row r="3571" spans="1:27" x14ac:dyDescent="0.35">
      <c r="A3571">
        <v>1004682</v>
      </c>
      <c r="B3571">
        <v>3547</v>
      </c>
      <c r="C3571">
        <v>1</v>
      </c>
      <c r="D3571" s="17" t="s">
        <v>155</v>
      </c>
      <c r="E3571" s="17"/>
      <c r="F3571" s="17" t="s">
        <v>156</v>
      </c>
      <c r="G3571" s="17"/>
      <c r="H3571" s="17" t="s">
        <v>692</v>
      </c>
      <c r="I3571" s="17"/>
      <c r="J3571" s="17" t="s">
        <v>693</v>
      </c>
      <c r="K3571" s="17"/>
      <c r="L3571" s="17"/>
      <c r="M3571" s="17"/>
      <c r="N3571" s="17"/>
      <c r="O3571" s="17"/>
      <c r="P3571" s="17" t="s">
        <v>1084</v>
      </c>
      <c r="Q3571" s="17"/>
      <c r="R3571" s="25" t="str">
        <f>HYPERLINK("https://ictv.global/taxonomy/taxondetails?taxnode_id=202307136","Bridgettevirus bridgette")</f>
        <v>Bridgettevirus bridgette</v>
      </c>
      <c r="S3571" s="18" t="s">
        <v>30</v>
      </c>
      <c r="T3571" s="18" t="s">
        <v>1085</v>
      </c>
      <c r="U3571" s="18"/>
      <c r="V3571" s="18"/>
      <c r="W3571" s="18" t="s">
        <v>1086</v>
      </c>
      <c r="X3571" s="18" t="s">
        <v>42</v>
      </c>
      <c r="Y3571" s="18" t="s">
        <v>36</v>
      </c>
      <c r="Z3571" s="18" t="s">
        <v>697</v>
      </c>
      <c r="AA3571" s="21" t="str">
        <f>HYPERLINK("https://www.ncbi.nlm.nih.gov/nuccore/MH834603","NCBI Nucleotide")</f>
        <v>NCBI Nucleotide</v>
      </c>
    </row>
    <row r="3572" spans="1:27" x14ac:dyDescent="0.35">
      <c r="A3572">
        <v>1004683</v>
      </c>
      <c r="B3572">
        <v>3548</v>
      </c>
      <c r="C3572">
        <v>1</v>
      </c>
      <c r="D3572" s="17" t="s">
        <v>155</v>
      </c>
      <c r="E3572" s="17"/>
      <c r="F3572" s="17" t="s">
        <v>156</v>
      </c>
      <c r="G3572" s="17"/>
      <c r="H3572" s="17" t="s">
        <v>692</v>
      </c>
      <c r="I3572" s="17"/>
      <c r="J3572" s="17" t="s">
        <v>693</v>
      </c>
      <c r="K3572" s="17"/>
      <c r="L3572" s="17"/>
      <c r="M3572" s="17"/>
      <c r="N3572" s="17"/>
      <c r="O3572" s="17"/>
      <c r="P3572" s="17" t="s">
        <v>1084</v>
      </c>
      <c r="Q3572" s="17"/>
      <c r="R3572" s="25" t="str">
        <f>HYPERLINK("https://ictv.global/taxonomy/taxondetails?taxnode_id=202307138","Bridgettevirus constance")</f>
        <v>Bridgettevirus constance</v>
      </c>
      <c r="S3572" s="18" t="s">
        <v>30</v>
      </c>
      <c r="T3572" s="18" t="s">
        <v>1087</v>
      </c>
      <c r="U3572" s="18"/>
      <c r="V3572" s="18"/>
      <c r="W3572" s="18" t="s">
        <v>1088</v>
      </c>
      <c r="X3572" s="18" t="s">
        <v>42</v>
      </c>
      <c r="Y3572" s="18" t="s">
        <v>36</v>
      </c>
      <c r="Z3572" s="18" t="s">
        <v>697</v>
      </c>
      <c r="AA3572" s="21" t="str">
        <f>HYPERLINK("https://www.ncbi.nlm.nih.gov/nuccore/MH834605","NCBI Nucleotide")</f>
        <v>NCBI Nucleotide</v>
      </c>
    </row>
    <row r="3573" spans="1:27" x14ac:dyDescent="0.35">
      <c r="A3573">
        <v>1004684</v>
      </c>
      <c r="B3573">
        <v>3549</v>
      </c>
      <c r="C3573">
        <v>1</v>
      </c>
      <c r="D3573" s="17" t="s">
        <v>155</v>
      </c>
      <c r="E3573" s="17"/>
      <c r="F3573" s="17" t="s">
        <v>156</v>
      </c>
      <c r="G3573" s="17"/>
      <c r="H3573" s="17" t="s">
        <v>692</v>
      </c>
      <c r="I3573" s="17"/>
      <c r="J3573" s="17" t="s">
        <v>693</v>
      </c>
      <c r="K3573" s="17"/>
      <c r="L3573" s="17"/>
      <c r="M3573" s="17"/>
      <c r="N3573" s="17"/>
      <c r="O3573" s="17"/>
      <c r="P3573" s="17" t="s">
        <v>1084</v>
      </c>
      <c r="Q3573" s="17"/>
      <c r="R3573" s="25" t="str">
        <f>HYPERLINK("https://ictv.global/taxonomy/taxondetails?taxnode_id=202307140","Bridgettevirus eileen")</f>
        <v>Bridgettevirus eileen</v>
      </c>
      <c r="S3573" s="18" t="s">
        <v>30</v>
      </c>
      <c r="T3573" s="18" t="s">
        <v>1089</v>
      </c>
      <c r="U3573" s="18"/>
      <c r="V3573" s="18"/>
      <c r="W3573" s="18" t="s">
        <v>1090</v>
      </c>
      <c r="X3573" s="18" t="s">
        <v>42</v>
      </c>
      <c r="Y3573" s="18" t="s">
        <v>36</v>
      </c>
      <c r="Z3573" s="18" t="s">
        <v>697</v>
      </c>
      <c r="AA3573" s="21" t="str">
        <f>HYPERLINK("https://www.ncbi.nlm.nih.gov/nuccore/MH834611","NCBI Nucleotide")</f>
        <v>NCBI Nucleotide</v>
      </c>
    </row>
    <row r="3574" spans="1:27" x14ac:dyDescent="0.35">
      <c r="A3574">
        <v>1004685</v>
      </c>
      <c r="B3574">
        <v>3550</v>
      </c>
      <c r="C3574">
        <v>1</v>
      </c>
      <c r="D3574" s="17" t="s">
        <v>155</v>
      </c>
      <c r="E3574" s="17"/>
      <c r="F3574" s="17" t="s">
        <v>156</v>
      </c>
      <c r="G3574" s="17"/>
      <c r="H3574" s="17" t="s">
        <v>692</v>
      </c>
      <c r="I3574" s="17"/>
      <c r="J3574" s="17" t="s">
        <v>693</v>
      </c>
      <c r="K3574" s="17"/>
      <c r="L3574" s="17"/>
      <c r="M3574" s="17"/>
      <c r="N3574" s="17"/>
      <c r="O3574" s="17"/>
      <c r="P3574" s="17" t="s">
        <v>1084</v>
      </c>
      <c r="Q3574" s="17"/>
      <c r="R3574" s="25" t="str">
        <f>HYPERLINK("https://ictv.global/taxonomy/taxondetails?taxnode_id=202307137","Bridgettevirus judy")</f>
        <v>Bridgettevirus judy</v>
      </c>
      <c r="S3574" s="18" t="s">
        <v>30</v>
      </c>
      <c r="T3574" s="18" t="s">
        <v>1091</v>
      </c>
      <c r="U3574" s="18"/>
      <c r="V3574" s="18"/>
      <c r="W3574" s="18" t="s">
        <v>1092</v>
      </c>
      <c r="X3574" s="18" t="s">
        <v>42</v>
      </c>
      <c r="Y3574" s="18" t="s">
        <v>36</v>
      </c>
      <c r="Z3574" s="18" t="s">
        <v>697</v>
      </c>
      <c r="AA3574" s="21" t="str">
        <f>HYPERLINK("https://www.ncbi.nlm.nih.gov/nuccore/MH834614","NCBI Nucleotide")</f>
        <v>NCBI Nucleotide</v>
      </c>
    </row>
    <row r="3575" spans="1:27" x14ac:dyDescent="0.35">
      <c r="A3575">
        <v>1004686</v>
      </c>
      <c r="B3575">
        <v>3551</v>
      </c>
      <c r="C3575">
        <v>1</v>
      </c>
      <c r="D3575" s="17" t="s">
        <v>155</v>
      </c>
      <c r="E3575" s="17"/>
      <c r="F3575" s="17" t="s">
        <v>156</v>
      </c>
      <c r="G3575" s="17"/>
      <c r="H3575" s="17" t="s">
        <v>692</v>
      </c>
      <c r="I3575" s="17"/>
      <c r="J3575" s="17" t="s">
        <v>693</v>
      </c>
      <c r="K3575" s="17"/>
      <c r="L3575" s="17"/>
      <c r="M3575" s="17"/>
      <c r="N3575" s="17"/>
      <c r="O3575" s="17"/>
      <c r="P3575" s="17" t="s">
        <v>1084</v>
      </c>
      <c r="Q3575" s="17"/>
      <c r="R3575" s="25" t="str">
        <f>HYPERLINK("https://ictv.global/taxonomy/taxondetails?taxnode_id=202307139","Bridgettevirus peas")</f>
        <v>Bridgettevirus peas</v>
      </c>
      <c r="S3575" s="18" t="s">
        <v>30</v>
      </c>
      <c r="T3575" s="18" t="s">
        <v>1093</v>
      </c>
      <c r="U3575" s="18"/>
      <c r="V3575" s="18"/>
      <c r="W3575" s="18" t="s">
        <v>1094</v>
      </c>
      <c r="X3575" s="18" t="s">
        <v>42</v>
      </c>
      <c r="Y3575" s="18" t="s">
        <v>36</v>
      </c>
      <c r="Z3575" s="18" t="s">
        <v>697</v>
      </c>
      <c r="AA3575" s="21" t="str">
        <f>HYPERLINK("https://www.ncbi.nlm.nih.gov/nuccore/MH834623","NCBI Nucleotide")</f>
        <v>NCBI Nucleotide</v>
      </c>
    </row>
    <row r="3576" spans="1:27" x14ac:dyDescent="0.35">
      <c r="A3576">
        <v>1004687</v>
      </c>
      <c r="B3576">
        <v>3552</v>
      </c>
      <c r="C3576">
        <v>1</v>
      </c>
      <c r="D3576" s="17" t="s">
        <v>155</v>
      </c>
      <c r="E3576" s="17"/>
      <c r="F3576" s="17" t="s">
        <v>156</v>
      </c>
      <c r="G3576" s="17"/>
      <c r="H3576" s="17" t="s">
        <v>692</v>
      </c>
      <c r="I3576" s="17"/>
      <c r="J3576" s="17" t="s">
        <v>693</v>
      </c>
      <c r="K3576" s="17"/>
      <c r="L3576" s="17"/>
      <c r="M3576" s="17"/>
      <c r="N3576" s="17"/>
      <c r="O3576" s="17"/>
      <c r="P3576" s="17" t="s">
        <v>1095</v>
      </c>
      <c r="Q3576" s="17"/>
      <c r="R3576" s="25" t="str">
        <f>HYPERLINK("https://ictv.global/taxonomy/taxondetails?taxnode_id=202308052","Brigitvirus brigit")</f>
        <v>Brigitvirus brigit</v>
      </c>
      <c r="S3576" s="18" t="s">
        <v>30</v>
      </c>
      <c r="T3576" s="18" t="s">
        <v>1096</v>
      </c>
      <c r="U3576" s="18"/>
      <c r="V3576" s="18"/>
      <c r="W3576" s="18" t="s">
        <v>1097</v>
      </c>
      <c r="X3576" s="18" t="s">
        <v>42</v>
      </c>
      <c r="Y3576" s="18" t="s">
        <v>36</v>
      </c>
      <c r="Z3576" s="18" t="s">
        <v>697</v>
      </c>
      <c r="AA3576" s="21" t="str">
        <f>HYPERLINK("https://www.ncbi.nlm.nih.gov/nuccore/MG711465","NCBI Nucleotide")</f>
        <v>NCBI Nucleotide</v>
      </c>
    </row>
    <row r="3577" spans="1:27" x14ac:dyDescent="0.35">
      <c r="A3577">
        <v>1004688</v>
      </c>
      <c r="B3577">
        <v>3553</v>
      </c>
      <c r="C3577">
        <v>1</v>
      </c>
      <c r="D3577" s="17" t="s">
        <v>155</v>
      </c>
      <c r="E3577" s="17"/>
      <c r="F3577" s="17" t="s">
        <v>156</v>
      </c>
      <c r="G3577" s="17"/>
      <c r="H3577" s="17" t="s">
        <v>692</v>
      </c>
      <c r="I3577" s="17"/>
      <c r="J3577" s="17" t="s">
        <v>693</v>
      </c>
      <c r="K3577" s="17"/>
      <c r="L3577" s="17"/>
      <c r="M3577" s="17"/>
      <c r="N3577" s="17"/>
      <c r="O3577" s="17"/>
      <c r="P3577" s="17" t="s">
        <v>1098</v>
      </c>
      <c r="Q3577" s="17"/>
      <c r="R3577" s="25" t="str">
        <f>HYPERLINK("https://ictv.global/taxonomy/taxondetails?taxnode_id=202306808","Britbratvirus britbrat")</f>
        <v>Britbratvirus britbrat</v>
      </c>
      <c r="S3577" s="18" t="s">
        <v>30</v>
      </c>
      <c r="T3577" s="18" t="s">
        <v>1099</v>
      </c>
      <c r="U3577" s="18"/>
      <c r="V3577" s="18"/>
      <c r="W3577" s="18" t="s">
        <v>1100</v>
      </c>
      <c r="X3577" s="18" t="s">
        <v>42</v>
      </c>
      <c r="Y3577" s="18" t="s">
        <v>36</v>
      </c>
      <c r="Z3577" s="18" t="s">
        <v>697</v>
      </c>
      <c r="AA3577" s="21" t="str">
        <f>HYPERLINK("https://www.ncbi.nlm.nih.gov/nuccore/KU998233","NCBI Nucleotide")</f>
        <v>NCBI Nucleotide</v>
      </c>
    </row>
    <row r="3578" spans="1:27" x14ac:dyDescent="0.35">
      <c r="A3578">
        <v>1004689</v>
      </c>
      <c r="B3578">
        <v>3554</v>
      </c>
      <c r="C3578">
        <v>1</v>
      </c>
      <c r="D3578" s="17" t="s">
        <v>155</v>
      </c>
      <c r="E3578" s="17"/>
      <c r="F3578" s="17" t="s">
        <v>156</v>
      </c>
      <c r="G3578" s="17"/>
      <c r="H3578" s="17" t="s">
        <v>692</v>
      </c>
      <c r="I3578" s="17"/>
      <c r="J3578" s="17" t="s">
        <v>693</v>
      </c>
      <c r="K3578" s="17"/>
      <c r="L3578" s="17"/>
      <c r="M3578" s="17"/>
      <c r="N3578" s="17"/>
      <c r="O3578" s="17"/>
      <c r="P3578" s="17" t="s">
        <v>1101</v>
      </c>
      <c r="Q3578" s="17"/>
      <c r="R3578" s="25" t="str">
        <f>HYPERLINK("https://ictv.global/taxonomy/taxondetails?taxnode_id=202306810","Brunovirus SEN34")</f>
        <v>Brunovirus SEN34</v>
      </c>
      <c r="S3578" s="18" t="s">
        <v>30</v>
      </c>
      <c r="T3578" s="18" t="s">
        <v>1102</v>
      </c>
      <c r="U3578" s="18"/>
      <c r="V3578" s="18"/>
      <c r="W3578" s="18" t="s">
        <v>1103</v>
      </c>
      <c r="X3578" s="18" t="s">
        <v>42</v>
      </c>
      <c r="Y3578" s="18" t="s">
        <v>36</v>
      </c>
      <c r="Z3578" s="18" t="s">
        <v>697</v>
      </c>
      <c r="AA3578" s="21" t="str">
        <f>HYPERLINK("https://www.ncbi.nlm.nih.gov/nuccore/KT630649","NCBI Nucleotide")</f>
        <v>NCBI Nucleotide</v>
      </c>
    </row>
    <row r="3579" spans="1:27" x14ac:dyDescent="0.35">
      <c r="A3579">
        <v>1004690</v>
      </c>
      <c r="B3579">
        <v>3555</v>
      </c>
      <c r="C3579">
        <v>1</v>
      </c>
      <c r="D3579" s="17" t="s">
        <v>155</v>
      </c>
      <c r="E3579" s="17"/>
      <c r="F3579" s="17" t="s">
        <v>156</v>
      </c>
      <c r="G3579" s="17"/>
      <c r="H3579" s="17" t="s">
        <v>692</v>
      </c>
      <c r="I3579" s="17"/>
      <c r="J3579" s="17" t="s">
        <v>693</v>
      </c>
      <c r="K3579" s="17"/>
      <c r="L3579" s="17"/>
      <c r="M3579" s="17"/>
      <c r="N3579" s="17"/>
      <c r="O3579" s="17"/>
      <c r="P3579" s="17" t="s">
        <v>1104</v>
      </c>
      <c r="Q3579" s="17"/>
      <c r="R3579" s="25" t="str">
        <f>HYPERLINK("https://ictv.global/taxonomy/taxondetails?taxnode_id=202300661","Bruynoghevirus Ab22")</f>
        <v>Bruynoghevirus Ab22</v>
      </c>
      <c r="S3579" s="18" t="s">
        <v>30</v>
      </c>
      <c r="T3579" s="18" t="s">
        <v>1105</v>
      </c>
      <c r="U3579" s="18"/>
      <c r="V3579" s="18"/>
      <c r="W3579" s="18" t="s">
        <v>1106</v>
      </c>
      <c r="X3579" s="18" t="s">
        <v>42</v>
      </c>
      <c r="Y3579" s="18" t="s">
        <v>36</v>
      </c>
      <c r="Z3579" s="18" t="s">
        <v>697</v>
      </c>
      <c r="AA3579" s="21" t="str">
        <f>HYPERLINK("https://www.ncbi.nlm.nih.gov/nuccore/LN610578","NCBI Nucleotide")</f>
        <v>NCBI Nucleotide</v>
      </c>
    </row>
    <row r="3580" spans="1:27" x14ac:dyDescent="0.35">
      <c r="A3580">
        <v>1004691</v>
      </c>
      <c r="B3580">
        <v>3556</v>
      </c>
      <c r="C3580">
        <v>1</v>
      </c>
      <c r="D3580" s="17" t="s">
        <v>155</v>
      </c>
      <c r="E3580" s="17"/>
      <c r="F3580" s="17" t="s">
        <v>156</v>
      </c>
      <c r="G3580" s="17"/>
      <c r="H3580" s="17" t="s">
        <v>692</v>
      </c>
      <c r="I3580" s="17"/>
      <c r="J3580" s="17" t="s">
        <v>693</v>
      </c>
      <c r="K3580" s="17"/>
      <c r="L3580" s="17"/>
      <c r="M3580" s="17"/>
      <c r="N3580" s="17"/>
      <c r="O3580" s="17"/>
      <c r="P3580" s="17" t="s">
        <v>1104</v>
      </c>
      <c r="Q3580" s="17"/>
      <c r="R3580" s="25" t="str">
        <f>HYPERLINK("https://ictv.global/taxonomy/taxondetails?taxnode_id=202300662","Bruynoghevirus CHU")</f>
        <v>Bruynoghevirus CHU</v>
      </c>
      <c r="S3580" s="18" t="s">
        <v>30</v>
      </c>
      <c r="T3580" s="18" t="s">
        <v>1107</v>
      </c>
      <c r="U3580" s="18"/>
      <c r="V3580" s="18"/>
      <c r="W3580" s="18" t="s">
        <v>1108</v>
      </c>
      <c r="X3580" s="18" t="s">
        <v>42</v>
      </c>
      <c r="Y3580" s="18" t="s">
        <v>36</v>
      </c>
      <c r="Z3580" s="18" t="s">
        <v>697</v>
      </c>
      <c r="AA3580" s="21" t="str">
        <f>HYPERLINK("https://www.ncbi.nlm.nih.gov/nuccore/KP233880","NCBI Nucleotide")</f>
        <v>NCBI Nucleotide</v>
      </c>
    </row>
    <row r="3581" spans="1:27" x14ac:dyDescent="0.35">
      <c r="A3581">
        <v>1004692</v>
      </c>
      <c r="B3581">
        <v>3557</v>
      </c>
      <c r="C3581">
        <v>1</v>
      </c>
      <c r="D3581" s="17" t="s">
        <v>155</v>
      </c>
      <c r="E3581" s="17"/>
      <c r="F3581" s="17" t="s">
        <v>156</v>
      </c>
      <c r="G3581" s="17"/>
      <c r="H3581" s="17" t="s">
        <v>692</v>
      </c>
      <c r="I3581" s="17"/>
      <c r="J3581" s="17" t="s">
        <v>693</v>
      </c>
      <c r="K3581" s="17"/>
      <c r="L3581" s="17"/>
      <c r="M3581" s="17"/>
      <c r="N3581" s="17"/>
      <c r="O3581" s="17"/>
      <c r="P3581" s="17" t="s">
        <v>1104</v>
      </c>
      <c r="Q3581" s="17"/>
      <c r="R3581" s="25" t="str">
        <f>HYPERLINK("https://ictv.global/taxonomy/taxondetails?taxnode_id=202300663","Bruynoghevirus LUZ24")</f>
        <v>Bruynoghevirus LUZ24</v>
      </c>
      <c r="S3581" s="18" t="s">
        <v>30</v>
      </c>
      <c r="T3581" s="18" t="s">
        <v>1109</v>
      </c>
      <c r="U3581" s="18"/>
      <c r="V3581" s="18"/>
      <c r="W3581" s="18" t="s">
        <v>1110</v>
      </c>
      <c r="X3581" s="18" t="s">
        <v>42</v>
      </c>
      <c r="Y3581" s="18" t="s">
        <v>36</v>
      </c>
      <c r="Z3581" s="18" t="s">
        <v>697</v>
      </c>
      <c r="AA3581" s="21" t="str">
        <f>HYPERLINK("https://www.ncbi.nlm.nih.gov/nuccore/AM910650","NCBI Nucleotide")</f>
        <v>NCBI Nucleotide</v>
      </c>
    </row>
    <row r="3582" spans="1:27" x14ac:dyDescent="0.35">
      <c r="A3582">
        <v>1004693</v>
      </c>
      <c r="B3582">
        <v>3558</v>
      </c>
      <c r="C3582">
        <v>1</v>
      </c>
      <c r="D3582" s="17" t="s">
        <v>155</v>
      </c>
      <c r="E3582" s="17"/>
      <c r="F3582" s="17" t="s">
        <v>156</v>
      </c>
      <c r="G3582" s="17"/>
      <c r="H3582" s="17" t="s">
        <v>692</v>
      </c>
      <c r="I3582" s="17"/>
      <c r="J3582" s="17" t="s">
        <v>693</v>
      </c>
      <c r="K3582" s="17"/>
      <c r="L3582" s="17"/>
      <c r="M3582" s="17"/>
      <c r="N3582" s="17"/>
      <c r="O3582" s="17"/>
      <c r="P3582" s="17" t="s">
        <v>1104</v>
      </c>
      <c r="Q3582" s="17"/>
      <c r="R3582" s="25" t="str">
        <f>HYPERLINK("https://ictv.global/taxonomy/taxondetails?taxnode_id=202300664","Bruynoghevirus PAA2")</f>
        <v>Bruynoghevirus PAA2</v>
      </c>
      <c r="S3582" s="18" t="s">
        <v>30</v>
      </c>
      <c r="T3582" s="18" t="s">
        <v>1111</v>
      </c>
      <c r="U3582" s="18"/>
      <c r="V3582" s="18"/>
      <c r="W3582" s="18" t="s">
        <v>1112</v>
      </c>
      <c r="X3582" s="18" t="s">
        <v>42</v>
      </c>
      <c r="Y3582" s="18" t="s">
        <v>36</v>
      </c>
      <c r="Z3582" s="18" t="s">
        <v>697</v>
      </c>
      <c r="AA3582" s="21" t="str">
        <f>HYPERLINK("https://www.ncbi.nlm.nih.gov/nuccore/KF856712","NCBI Nucleotide")</f>
        <v>NCBI Nucleotide</v>
      </c>
    </row>
    <row r="3583" spans="1:27" x14ac:dyDescent="0.35">
      <c r="A3583">
        <v>1004694</v>
      </c>
      <c r="B3583">
        <v>3559</v>
      </c>
      <c r="C3583">
        <v>1</v>
      </c>
      <c r="D3583" s="17" t="s">
        <v>155</v>
      </c>
      <c r="E3583" s="17"/>
      <c r="F3583" s="17" t="s">
        <v>156</v>
      </c>
      <c r="G3583" s="17"/>
      <c r="H3583" s="17" t="s">
        <v>692</v>
      </c>
      <c r="I3583" s="17"/>
      <c r="J3583" s="17" t="s">
        <v>693</v>
      </c>
      <c r="K3583" s="17"/>
      <c r="L3583" s="17"/>
      <c r="M3583" s="17"/>
      <c r="N3583" s="17"/>
      <c r="O3583" s="17"/>
      <c r="P3583" s="17" t="s">
        <v>1104</v>
      </c>
      <c r="Q3583" s="17"/>
      <c r="R3583" s="25" t="str">
        <f>HYPERLINK("https://ictv.global/taxonomy/taxondetails?taxnode_id=202300665","Bruynoghevirus PaP3")</f>
        <v>Bruynoghevirus PaP3</v>
      </c>
      <c r="S3583" s="18" t="s">
        <v>30</v>
      </c>
      <c r="T3583" s="18" t="s">
        <v>1113</v>
      </c>
      <c r="U3583" s="18"/>
      <c r="V3583" s="18"/>
      <c r="W3583" s="18" t="s">
        <v>1114</v>
      </c>
      <c r="X3583" s="18" t="s">
        <v>42</v>
      </c>
      <c r="Y3583" s="18" t="s">
        <v>36</v>
      </c>
      <c r="Z3583" s="18" t="s">
        <v>697</v>
      </c>
      <c r="AA3583" s="21" t="str">
        <f>HYPERLINK("https://www.ncbi.nlm.nih.gov/nuccore/AY078382","NCBI Nucleotide")</f>
        <v>NCBI Nucleotide</v>
      </c>
    </row>
    <row r="3584" spans="1:27" x14ac:dyDescent="0.35">
      <c r="A3584">
        <v>1004695</v>
      </c>
      <c r="B3584">
        <v>3560</v>
      </c>
      <c r="C3584">
        <v>1</v>
      </c>
      <c r="D3584" s="17" t="s">
        <v>155</v>
      </c>
      <c r="E3584" s="17"/>
      <c r="F3584" s="17" t="s">
        <v>156</v>
      </c>
      <c r="G3584" s="17"/>
      <c r="H3584" s="17" t="s">
        <v>692</v>
      </c>
      <c r="I3584" s="17"/>
      <c r="J3584" s="17" t="s">
        <v>693</v>
      </c>
      <c r="K3584" s="17"/>
      <c r="L3584" s="17"/>
      <c r="M3584" s="17"/>
      <c r="N3584" s="17"/>
      <c r="O3584" s="17"/>
      <c r="P3584" s="17" t="s">
        <v>1104</v>
      </c>
      <c r="Q3584" s="17"/>
      <c r="R3584" s="25" t="str">
        <f>HYPERLINK("https://ictv.global/taxonomy/taxondetails?taxnode_id=202300666","Bruynoghevirus PaP4")</f>
        <v>Bruynoghevirus PaP4</v>
      </c>
      <c r="S3584" s="18" t="s">
        <v>30</v>
      </c>
      <c r="T3584" s="18" t="s">
        <v>1115</v>
      </c>
      <c r="U3584" s="18"/>
      <c r="V3584" s="18"/>
      <c r="W3584" s="18" t="s">
        <v>1116</v>
      </c>
      <c r="X3584" s="18" t="s">
        <v>42</v>
      </c>
      <c r="Y3584" s="18" t="s">
        <v>36</v>
      </c>
      <c r="Z3584" s="18" t="s">
        <v>697</v>
      </c>
      <c r="AA3584" s="21" t="str">
        <f>HYPERLINK("https://www.ncbi.nlm.nih.gov/nuccore/KC294142","NCBI Nucleotide")</f>
        <v>NCBI Nucleotide</v>
      </c>
    </row>
    <row r="3585" spans="1:27" x14ac:dyDescent="0.35">
      <c r="A3585">
        <v>1004696</v>
      </c>
      <c r="B3585">
        <v>3561</v>
      </c>
      <c r="C3585">
        <v>1</v>
      </c>
      <c r="D3585" s="17" t="s">
        <v>155</v>
      </c>
      <c r="E3585" s="17"/>
      <c r="F3585" s="17" t="s">
        <v>156</v>
      </c>
      <c r="G3585" s="17"/>
      <c r="H3585" s="17" t="s">
        <v>692</v>
      </c>
      <c r="I3585" s="17"/>
      <c r="J3585" s="17" t="s">
        <v>693</v>
      </c>
      <c r="K3585" s="17"/>
      <c r="L3585" s="17"/>
      <c r="M3585" s="17"/>
      <c r="N3585" s="17"/>
      <c r="O3585" s="17"/>
      <c r="P3585" s="17" t="s">
        <v>1104</v>
      </c>
      <c r="Q3585" s="17"/>
      <c r="R3585" s="25" t="str">
        <f>HYPERLINK("https://ictv.global/taxonomy/taxondetails?taxnode_id=202300667","Bruynoghevirus TL")</f>
        <v>Bruynoghevirus TL</v>
      </c>
      <c r="S3585" s="18" t="s">
        <v>30</v>
      </c>
      <c r="T3585" s="18" t="s">
        <v>1117</v>
      </c>
      <c r="U3585" s="18"/>
      <c r="V3585" s="18"/>
      <c r="W3585" s="18" t="s">
        <v>1118</v>
      </c>
      <c r="X3585" s="18" t="s">
        <v>42</v>
      </c>
      <c r="Y3585" s="18" t="s">
        <v>36</v>
      </c>
      <c r="Z3585" s="18" t="s">
        <v>697</v>
      </c>
      <c r="AA3585" s="21" t="str">
        <f>HYPERLINK("https://www.ncbi.nlm.nih.gov/nuccore/HG518155","NCBI Nucleotide")</f>
        <v>NCBI Nucleotide</v>
      </c>
    </row>
    <row r="3586" spans="1:27" x14ac:dyDescent="0.35">
      <c r="A3586">
        <v>1004697</v>
      </c>
      <c r="B3586">
        <v>3562</v>
      </c>
      <c r="C3586">
        <v>1</v>
      </c>
      <c r="D3586" s="17" t="s">
        <v>155</v>
      </c>
      <c r="E3586" s="17"/>
      <c r="F3586" s="17" t="s">
        <v>156</v>
      </c>
      <c r="G3586" s="17"/>
      <c r="H3586" s="17" t="s">
        <v>692</v>
      </c>
      <c r="I3586" s="17"/>
      <c r="J3586" s="17" t="s">
        <v>693</v>
      </c>
      <c r="K3586" s="17"/>
      <c r="L3586" s="17"/>
      <c r="M3586" s="17"/>
      <c r="N3586" s="17"/>
      <c r="O3586" s="17"/>
      <c r="P3586" s="17" t="s">
        <v>1119</v>
      </c>
      <c r="Q3586" s="17"/>
      <c r="R3586" s="25" t="str">
        <f>HYPERLINK("https://ictv.global/taxonomy/taxondetails?taxnode_id=202313618","Buchananvirus Sa179lw")</f>
        <v>Buchananvirus Sa179lw</v>
      </c>
      <c r="S3586" s="18" t="s">
        <v>30</v>
      </c>
      <c r="T3586" s="18" t="s">
        <v>1120</v>
      </c>
      <c r="U3586" s="18"/>
      <c r="V3586" s="18"/>
      <c r="W3586" s="18" t="s">
        <v>1121</v>
      </c>
      <c r="X3586" s="18" t="s">
        <v>42</v>
      </c>
      <c r="Y3586" s="18" t="s">
        <v>36</v>
      </c>
      <c r="Z3586" s="18" t="s">
        <v>697</v>
      </c>
      <c r="AA3586" s="21" t="str">
        <f>HYPERLINK("https://www.ncbi.nlm.nih.gov/nuccore/MH023293","NCBI Nucleotide")</f>
        <v>NCBI Nucleotide</v>
      </c>
    </row>
    <row r="3587" spans="1:27" x14ac:dyDescent="0.35">
      <c r="A3587">
        <v>1024588</v>
      </c>
      <c r="B3587">
        <v>3563</v>
      </c>
      <c r="C3587">
        <v>1</v>
      </c>
      <c r="D3587" s="17" t="s">
        <v>155</v>
      </c>
      <c r="E3587" s="17"/>
      <c r="F3587" s="17" t="s">
        <v>156</v>
      </c>
      <c r="G3587" s="17"/>
      <c r="H3587" s="17" t="s">
        <v>692</v>
      </c>
      <c r="I3587" s="17"/>
      <c r="J3587" s="17" t="s">
        <v>693</v>
      </c>
      <c r="K3587" s="17"/>
      <c r="L3587" s="17"/>
      <c r="M3587" s="17"/>
      <c r="N3587" s="17"/>
      <c r="O3587" s="17"/>
      <c r="P3587" s="17" t="s">
        <v>39864</v>
      </c>
      <c r="Q3587" s="17"/>
      <c r="R3587" s="25" t="str">
        <f>HYPERLINK("https://ictv.global/taxonomy/taxondetails?taxnode_id=202318572","Bugaksanvirus R656")</f>
        <v>Bugaksanvirus R656</v>
      </c>
      <c r="S3587" s="18" t="s">
        <v>30</v>
      </c>
      <c r="T3587" s="18" t="s">
        <v>39865</v>
      </c>
      <c r="U3587" s="18"/>
      <c r="V3587" s="18"/>
      <c r="W3587" s="18" t="s">
        <v>39866</v>
      </c>
      <c r="X3587" s="18" t="s">
        <v>42</v>
      </c>
      <c r="Y3587" s="18" t="s">
        <v>36</v>
      </c>
      <c r="Z3587" s="18" t="s">
        <v>697</v>
      </c>
      <c r="AA3587" s="21" t="str">
        <f>HYPERLINK("https://www.ncbi.nlm.nih.gov/nuccore/KT968831","NCBI Nucleotide")</f>
        <v>NCBI Nucleotide</v>
      </c>
    </row>
    <row r="3588" spans="1:27" x14ac:dyDescent="0.35">
      <c r="A3588">
        <v>1024590</v>
      </c>
      <c r="B3588">
        <v>3564</v>
      </c>
      <c r="C3588">
        <v>1</v>
      </c>
      <c r="D3588" s="17" t="s">
        <v>155</v>
      </c>
      <c r="E3588" s="17"/>
      <c r="F3588" s="17" t="s">
        <v>156</v>
      </c>
      <c r="G3588" s="17"/>
      <c r="H3588" s="17" t="s">
        <v>692</v>
      </c>
      <c r="I3588" s="17"/>
      <c r="J3588" s="17" t="s">
        <v>693</v>
      </c>
      <c r="K3588" s="17"/>
      <c r="L3588" s="17"/>
      <c r="M3588" s="17"/>
      <c r="N3588" s="17"/>
      <c r="O3588" s="17"/>
      <c r="P3588" s="17" t="s">
        <v>39867</v>
      </c>
      <c r="Q3588" s="17"/>
      <c r="R3588" s="25" t="str">
        <f>HYPERLINK("https://ictv.global/taxonomy/taxondetails?taxnode_id=202318065","Bunatrivirus B13")</f>
        <v>Bunatrivirus B13</v>
      </c>
      <c r="S3588" s="18" t="s">
        <v>30</v>
      </c>
      <c r="T3588" s="18" t="s">
        <v>39868</v>
      </c>
      <c r="U3588" s="18" t="s">
        <v>39869</v>
      </c>
      <c r="V3588" s="18"/>
      <c r="W3588" s="18" t="s">
        <v>48470</v>
      </c>
      <c r="X3588" s="18" t="s">
        <v>42</v>
      </c>
      <c r="Y3588" s="18" t="s">
        <v>36</v>
      </c>
      <c r="Z3588" s="18" t="s">
        <v>697</v>
      </c>
      <c r="AA3588" s="21" t="str">
        <f>HYPERLINK("https://www.ncbi.nlm.nih.gov/nuccore/OP066531","NCBI Nucleotide")</f>
        <v>NCBI Nucleotide</v>
      </c>
    </row>
    <row r="3589" spans="1:27" x14ac:dyDescent="0.35">
      <c r="A3589">
        <v>1004698</v>
      </c>
      <c r="B3589">
        <v>3565</v>
      </c>
      <c r="C3589">
        <v>1</v>
      </c>
      <c r="D3589" s="17" t="s">
        <v>155</v>
      </c>
      <c r="E3589" s="17"/>
      <c r="F3589" s="17" t="s">
        <v>156</v>
      </c>
      <c r="G3589" s="17"/>
      <c r="H3589" s="17" t="s">
        <v>692</v>
      </c>
      <c r="I3589" s="17"/>
      <c r="J3589" s="17" t="s">
        <v>693</v>
      </c>
      <c r="K3589" s="17"/>
      <c r="L3589" s="17"/>
      <c r="M3589" s="17"/>
      <c r="N3589" s="17"/>
      <c r="O3589" s="17"/>
      <c r="P3589" s="17" t="s">
        <v>1122</v>
      </c>
      <c r="Q3589" s="17"/>
      <c r="R3589" s="25" t="str">
        <f>HYPERLINK("https://ictv.global/taxonomy/taxondetails?taxnode_id=202309707","Burrovirus araxxi")</f>
        <v>Burrovirus araxxi</v>
      </c>
      <c r="S3589" s="18" t="s">
        <v>30</v>
      </c>
      <c r="T3589" s="18" t="s">
        <v>1123</v>
      </c>
      <c r="U3589" s="18"/>
      <c r="V3589" s="18"/>
      <c r="W3589" s="18" t="s">
        <v>1124</v>
      </c>
      <c r="X3589" s="18" t="s">
        <v>42</v>
      </c>
      <c r="Y3589" s="18" t="s">
        <v>36</v>
      </c>
      <c r="Z3589" s="18" t="s">
        <v>697</v>
      </c>
      <c r="AA3589" s="21" t="str">
        <f>HYPERLINK("https://www.ncbi.nlm.nih.gov/nuccore/MN062711","NCBI Nucleotide")</f>
        <v>NCBI Nucleotide</v>
      </c>
    </row>
    <row r="3590" spans="1:27" x14ac:dyDescent="0.35">
      <c r="A3590">
        <v>1004699</v>
      </c>
      <c r="B3590">
        <v>3566</v>
      </c>
      <c r="C3590">
        <v>1</v>
      </c>
      <c r="D3590" s="17" t="s">
        <v>155</v>
      </c>
      <c r="E3590" s="17"/>
      <c r="F3590" s="17" t="s">
        <v>156</v>
      </c>
      <c r="G3590" s="17"/>
      <c r="H3590" s="17" t="s">
        <v>692</v>
      </c>
      <c r="I3590" s="17"/>
      <c r="J3590" s="17" t="s">
        <v>693</v>
      </c>
      <c r="K3590" s="17"/>
      <c r="L3590" s="17"/>
      <c r="M3590" s="17"/>
      <c r="N3590" s="17"/>
      <c r="O3590" s="17"/>
      <c r="P3590" s="17" t="s">
        <v>1122</v>
      </c>
      <c r="Q3590" s="17"/>
      <c r="R3590" s="25" t="str">
        <f>HYPERLINK("https://ictv.global/taxonomy/taxondetails?taxnode_id=202309708","Burrovirus arete")</f>
        <v>Burrovirus arete</v>
      </c>
      <c r="S3590" s="18" t="s">
        <v>30</v>
      </c>
      <c r="T3590" s="18" t="s">
        <v>1125</v>
      </c>
      <c r="U3590" s="18"/>
      <c r="V3590" s="18"/>
      <c r="W3590" s="18" t="s">
        <v>1126</v>
      </c>
      <c r="X3590" s="18" t="s">
        <v>42</v>
      </c>
      <c r="Y3590" s="18" t="s">
        <v>36</v>
      </c>
      <c r="Z3590" s="18" t="s">
        <v>697</v>
      </c>
      <c r="AA3590" s="21" t="str">
        <f>HYPERLINK("https://www.ncbi.nlm.nih.gov/nuccore/MT024863","NCBI Nucleotide")</f>
        <v>NCBI Nucleotide</v>
      </c>
    </row>
    <row r="3591" spans="1:27" x14ac:dyDescent="0.35">
      <c r="A3591">
        <v>1004700</v>
      </c>
      <c r="B3591">
        <v>3567</v>
      </c>
      <c r="C3591">
        <v>1</v>
      </c>
      <c r="D3591" s="17" t="s">
        <v>155</v>
      </c>
      <c r="E3591" s="17"/>
      <c r="F3591" s="17" t="s">
        <v>156</v>
      </c>
      <c r="G3591" s="17"/>
      <c r="H3591" s="17" t="s">
        <v>692</v>
      </c>
      <c r="I3591" s="17"/>
      <c r="J3591" s="17" t="s">
        <v>693</v>
      </c>
      <c r="K3591" s="17"/>
      <c r="L3591" s="17"/>
      <c r="M3591" s="17"/>
      <c r="N3591" s="17"/>
      <c r="O3591" s="17"/>
      <c r="P3591" s="17" t="s">
        <v>1122</v>
      </c>
      <c r="Q3591" s="17"/>
      <c r="R3591" s="25" t="str">
        <f>HYPERLINK("https://ictv.global/taxonomy/taxondetails?taxnode_id=202309706","Burrovirus burro")</f>
        <v>Burrovirus burro</v>
      </c>
      <c r="S3591" s="18" t="s">
        <v>30</v>
      </c>
      <c r="T3591" s="18" t="s">
        <v>1127</v>
      </c>
      <c r="U3591" s="18"/>
      <c r="V3591" s="18"/>
      <c r="W3591" s="18" t="s">
        <v>1128</v>
      </c>
      <c r="X3591" s="18" t="s">
        <v>42</v>
      </c>
      <c r="Y3591" s="18" t="s">
        <v>36</v>
      </c>
      <c r="Z3591" s="18" t="s">
        <v>697</v>
      </c>
      <c r="AA3591" s="21" t="str">
        <f>HYPERLINK("https://www.ncbi.nlm.nih.gov/nuccore/MH825698","NCBI Nucleotide")</f>
        <v>NCBI Nucleotide</v>
      </c>
    </row>
    <row r="3592" spans="1:27" x14ac:dyDescent="0.35">
      <c r="A3592">
        <v>1004701</v>
      </c>
      <c r="B3592">
        <v>3568</v>
      </c>
      <c r="C3592">
        <v>1</v>
      </c>
      <c r="D3592" s="17" t="s">
        <v>155</v>
      </c>
      <c r="E3592" s="17"/>
      <c r="F3592" s="17" t="s">
        <v>156</v>
      </c>
      <c r="G3592" s="17"/>
      <c r="H3592" s="17" t="s">
        <v>692</v>
      </c>
      <c r="I3592" s="17"/>
      <c r="J3592" s="17" t="s">
        <v>693</v>
      </c>
      <c r="K3592" s="17"/>
      <c r="L3592" s="17"/>
      <c r="M3592" s="17"/>
      <c r="N3592" s="17"/>
      <c r="O3592" s="17"/>
      <c r="P3592" s="17" t="s">
        <v>1129</v>
      </c>
      <c r="Q3592" s="17"/>
      <c r="R3592" s="25" t="str">
        <f>HYPERLINK("https://ictv.global/taxonomy/taxondetails?taxnode_id=202306812","Busanvirus ACP17")</f>
        <v>Busanvirus ACP17</v>
      </c>
      <c r="S3592" s="18" t="s">
        <v>30</v>
      </c>
      <c r="T3592" s="18" t="s">
        <v>1130</v>
      </c>
      <c r="U3592" s="18"/>
      <c r="V3592" s="18"/>
      <c r="W3592" s="18" t="s">
        <v>1131</v>
      </c>
      <c r="X3592" s="18" t="s">
        <v>42</v>
      </c>
      <c r="Y3592" s="18" t="s">
        <v>36</v>
      </c>
      <c r="Z3592" s="18" t="s">
        <v>697</v>
      </c>
      <c r="AA3592" s="21" t="str">
        <f>HYPERLINK("https://www.ncbi.nlm.nih.gov/nuccore/KY979132","NCBI Nucleotide")</f>
        <v>NCBI Nucleotide</v>
      </c>
    </row>
    <row r="3593" spans="1:27" x14ac:dyDescent="0.35">
      <c r="A3593">
        <v>1004702</v>
      </c>
      <c r="B3593">
        <v>3569</v>
      </c>
      <c r="C3593">
        <v>1</v>
      </c>
      <c r="D3593" s="17" t="s">
        <v>155</v>
      </c>
      <c r="E3593" s="17"/>
      <c r="F3593" s="17" t="s">
        <v>156</v>
      </c>
      <c r="G3593" s="17"/>
      <c r="H3593" s="17" t="s">
        <v>692</v>
      </c>
      <c r="I3593" s="17"/>
      <c r="J3593" s="17" t="s">
        <v>693</v>
      </c>
      <c r="K3593" s="17"/>
      <c r="L3593" s="17"/>
      <c r="M3593" s="17"/>
      <c r="N3593" s="17"/>
      <c r="O3593" s="17"/>
      <c r="P3593" s="17" t="s">
        <v>1132</v>
      </c>
      <c r="Q3593" s="17"/>
      <c r="R3593" s="25" t="str">
        <f>HYPERLINK("https://ictv.global/taxonomy/taxondetails?taxnode_id=202313633","Caminolopintovirus STGO351")</f>
        <v>Caminolopintovirus STGO351</v>
      </c>
      <c r="S3593" s="18" t="s">
        <v>30</v>
      </c>
      <c r="T3593" s="18" t="s">
        <v>1133</v>
      </c>
      <c r="U3593" s="18"/>
      <c r="V3593" s="18"/>
      <c r="W3593" s="18" t="s">
        <v>1134</v>
      </c>
      <c r="X3593" s="18" t="s">
        <v>42</v>
      </c>
      <c r="Y3593" s="18" t="s">
        <v>36</v>
      </c>
      <c r="Z3593" s="18" t="s">
        <v>697</v>
      </c>
      <c r="AA3593" s="21" t="str">
        <f>HYPERLINK("https://www.ncbi.nlm.nih.gov/nuccore/MW477799","NCBI Nucleotide")</f>
        <v>NCBI Nucleotide</v>
      </c>
    </row>
    <row r="3594" spans="1:27" x14ac:dyDescent="0.35">
      <c r="A3594">
        <v>1004703</v>
      </c>
      <c r="B3594">
        <v>3570</v>
      </c>
      <c r="C3594">
        <v>1</v>
      </c>
      <c r="D3594" s="17" t="s">
        <v>155</v>
      </c>
      <c r="E3594" s="17"/>
      <c r="F3594" s="17" t="s">
        <v>156</v>
      </c>
      <c r="G3594" s="17"/>
      <c r="H3594" s="17" t="s">
        <v>692</v>
      </c>
      <c r="I3594" s="17"/>
      <c r="J3594" s="17" t="s">
        <v>693</v>
      </c>
      <c r="K3594" s="17"/>
      <c r="L3594" s="17"/>
      <c r="M3594" s="17"/>
      <c r="N3594" s="17"/>
      <c r="O3594" s="17"/>
      <c r="P3594" s="17" t="s">
        <v>1135</v>
      </c>
      <c r="Q3594" s="17"/>
      <c r="R3594" s="25" t="str">
        <f>HYPERLINK("https://ictv.global/taxonomy/taxondetails?taxnode_id=202309755","Camtrevirus BtCS33")</f>
        <v>Camtrevirus BtCS33</v>
      </c>
      <c r="S3594" s="18" t="s">
        <v>30</v>
      </c>
      <c r="T3594" s="18" t="s">
        <v>1136</v>
      </c>
      <c r="U3594" s="18"/>
      <c r="V3594" s="18"/>
      <c r="W3594" s="18" t="s">
        <v>1137</v>
      </c>
      <c r="X3594" s="18" t="s">
        <v>42</v>
      </c>
      <c r="Y3594" s="18" t="s">
        <v>36</v>
      </c>
      <c r="Z3594" s="18" t="s">
        <v>697</v>
      </c>
      <c r="AA3594" s="21" t="str">
        <f>HYPERLINK("https://www.ncbi.nlm.nih.gov/nuccore/JN191664","NCBI Nucleotide")</f>
        <v>NCBI Nucleotide</v>
      </c>
    </row>
    <row r="3595" spans="1:27" x14ac:dyDescent="0.35">
      <c r="A3595">
        <v>1004704</v>
      </c>
      <c r="B3595">
        <v>3571</v>
      </c>
      <c r="C3595">
        <v>1</v>
      </c>
      <c r="D3595" s="17" t="s">
        <v>155</v>
      </c>
      <c r="E3595" s="17"/>
      <c r="F3595" s="17" t="s">
        <v>156</v>
      </c>
      <c r="G3595" s="17"/>
      <c r="H3595" s="17" t="s">
        <v>692</v>
      </c>
      <c r="I3595" s="17"/>
      <c r="J3595" s="17" t="s">
        <v>693</v>
      </c>
      <c r="K3595" s="17"/>
      <c r="L3595" s="17"/>
      <c r="M3595" s="17"/>
      <c r="N3595" s="17"/>
      <c r="O3595" s="17"/>
      <c r="P3595" s="17" t="s">
        <v>1135</v>
      </c>
      <c r="Q3595" s="17"/>
      <c r="R3595" s="25" t="str">
        <f>HYPERLINK("https://ictv.global/taxonomy/taxondetails?taxnode_id=202309754","Camtrevirus CM3")</f>
        <v>Camtrevirus CM3</v>
      </c>
      <c r="S3595" s="18" t="s">
        <v>30</v>
      </c>
      <c r="T3595" s="18" t="s">
        <v>1138</v>
      </c>
      <c r="U3595" s="18"/>
      <c r="V3595" s="18"/>
      <c r="W3595" s="18" t="s">
        <v>1139</v>
      </c>
      <c r="X3595" s="18" t="s">
        <v>42</v>
      </c>
      <c r="Y3595" s="18" t="s">
        <v>36</v>
      </c>
      <c r="Z3595" s="18" t="s">
        <v>697</v>
      </c>
      <c r="AA3595" s="21" t="str">
        <f>HYPERLINK("https://www.ncbi.nlm.nih.gov/nuccore/KF296718","NCBI Nucleotide")</f>
        <v>NCBI Nucleotide</v>
      </c>
    </row>
    <row r="3596" spans="1:27" x14ac:dyDescent="0.35">
      <c r="A3596">
        <v>1004705</v>
      </c>
      <c r="B3596">
        <v>3572</v>
      </c>
      <c r="C3596">
        <v>1</v>
      </c>
      <c r="D3596" s="17" t="s">
        <v>155</v>
      </c>
      <c r="E3596" s="17"/>
      <c r="F3596" s="17" t="s">
        <v>156</v>
      </c>
      <c r="G3596" s="17"/>
      <c r="H3596" s="17" t="s">
        <v>692</v>
      </c>
      <c r="I3596" s="17"/>
      <c r="J3596" s="17" t="s">
        <v>693</v>
      </c>
      <c r="K3596" s="17"/>
      <c r="L3596" s="17"/>
      <c r="M3596" s="17"/>
      <c r="N3596" s="17"/>
      <c r="O3596" s="17"/>
      <c r="P3596" s="17" t="s">
        <v>1135</v>
      </c>
      <c r="Q3596" s="17"/>
      <c r="R3596" s="25" t="str">
        <f>HYPERLINK("https://ictv.global/taxonomy/taxondetails?taxnode_id=202309756","Camtrevirus S3501")</f>
        <v>Camtrevirus S3501</v>
      </c>
      <c r="S3596" s="18" t="s">
        <v>30</v>
      </c>
      <c r="T3596" s="18" t="s">
        <v>1140</v>
      </c>
      <c r="U3596" s="18"/>
      <c r="V3596" s="18"/>
      <c r="W3596" s="18" t="s">
        <v>1141</v>
      </c>
      <c r="X3596" s="18" t="s">
        <v>42</v>
      </c>
      <c r="Y3596" s="18" t="s">
        <v>36</v>
      </c>
      <c r="Z3596" s="18" t="s">
        <v>697</v>
      </c>
      <c r="AA3596" s="21" t="str">
        <f>HYPERLINK("https://www.ncbi.nlm.nih.gov/nuccore/JQ062992","NCBI Nucleotide")</f>
        <v>NCBI Nucleotide</v>
      </c>
    </row>
    <row r="3597" spans="1:27" x14ac:dyDescent="0.35">
      <c r="A3597">
        <v>1004706</v>
      </c>
      <c r="B3597">
        <v>3573</v>
      </c>
      <c r="C3597">
        <v>1</v>
      </c>
      <c r="D3597" s="17" t="s">
        <v>155</v>
      </c>
      <c r="E3597" s="17"/>
      <c r="F3597" s="17" t="s">
        <v>156</v>
      </c>
      <c r="G3597" s="17"/>
      <c r="H3597" s="17" t="s">
        <v>692</v>
      </c>
      <c r="I3597" s="17"/>
      <c r="J3597" s="17" t="s">
        <v>693</v>
      </c>
      <c r="K3597" s="17"/>
      <c r="L3597" s="17"/>
      <c r="M3597" s="17"/>
      <c r="N3597" s="17"/>
      <c r="O3597" s="17"/>
      <c r="P3597" s="17" t="s">
        <v>1142</v>
      </c>
      <c r="Q3597" s="17"/>
      <c r="R3597" s="25" t="str">
        <f>HYPERLINK("https://ictv.global/taxonomy/taxondetails?taxnode_id=202314527","Cantarevirus cantare")</f>
        <v>Cantarevirus cantare</v>
      </c>
      <c r="S3597" s="18" t="s">
        <v>30</v>
      </c>
      <c r="T3597" s="18" t="s">
        <v>1143</v>
      </c>
      <c r="U3597" s="18"/>
      <c r="V3597" s="18"/>
      <c r="W3597" s="18" t="s">
        <v>1144</v>
      </c>
      <c r="X3597" s="18" t="s">
        <v>42</v>
      </c>
      <c r="Y3597" s="18" t="s">
        <v>36</v>
      </c>
      <c r="Z3597" s="18" t="s">
        <v>697</v>
      </c>
      <c r="AA3597" s="21" t="str">
        <f>HYPERLINK("https://www.ncbi.nlm.nih.gov/nuccore/MK016493","NCBI Nucleotide")</f>
        <v>NCBI Nucleotide</v>
      </c>
    </row>
    <row r="3598" spans="1:27" x14ac:dyDescent="0.35">
      <c r="A3598">
        <v>1004707</v>
      </c>
      <c r="B3598">
        <v>3574</v>
      </c>
      <c r="C3598">
        <v>1</v>
      </c>
      <c r="D3598" s="17" t="s">
        <v>155</v>
      </c>
      <c r="E3598" s="17"/>
      <c r="F3598" s="17" t="s">
        <v>156</v>
      </c>
      <c r="G3598" s="17"/>
      <c r="H3598" s="17" t="s">
        <v>692</v>
      </c>
      <c r="I3598" s="17"/>
      <c r="J3598" s="17" t="s">
        <v>693</v>
      </c>
      <c r="K3598" s="17"/>
      <c r="L3598" s="17"/>
      <c r="M3598" s="17"/>
      <c r="N3598" s="17"/>
      <c r="O3598" s="17"/>
      <c r="P3598" s="17" t="s">
        <v>1145</v>
      </c>
      <c r="Q3598" s="17"/>
      <c r="R3598" s="25" t="str">
        <f>HYPERLINK("https://ictv.global/taxonomy/taxondetails?taxnode_id=202314529","Capnelvirus RcapNL")</f>
        <v>Capnelvirus RcapNL</v>
      </c>
      <c r="S3598" s="18" t="s">
        <v>30</v>
      </c>
      <c r="T3598" s="18" t="s">
        <v>1146</v>
      </c>
      <c r="U3598" s="18"/>
      <c r="V3598" s="18"/>
      <c r="W3598" s="18" t="s">
        <v>1147</v>
      </c>
      <c r="X3598" s="18" t="s">
        <v>42</v>
      </c>
      <c r="Y3598" s="18" t="s">
        <v>36</v>
      </c>
      <c r="Z3598" s="18" t="s">
        <v>697</v>
      </c>
      <c r="AA3598" s="21" t="str">
        <f>HYPERLINK("https://www.ncbi.nlm.nih.gov/nuccore/JQ066768","NCBI Nucleotide")</f>
        <v>NCBI Nucleotide</v>
      </c>
    </row>
    <row r="3599" spans="1:27" x14ac:dyDescent="0.35">
      <c r="A3599">
        <v>1004708</v>
      </c>
      <c r="B3599">
        <v>3575</v>
      </c>
      <c r="C3599">
        <v>1</v>
      </c>
      <c r="D3599" s="17" t="s">
        <v>155</v>
      </c>
      <c r="E3599" s="17"/>
      <c r="F3599" s="17" t="s">
        <v>156</v>
      </c>
      <c r="G3599" s="17"/>
      <c r="H3599" s="17" t="s">
        <v>692</v>
      </c>
      <c r="I3599" s="17"/>
      <c r="J3599" s="17" t="s">
        <v>693</v>
      </c>
      <c r="K3599" s="17"/>
      <c r="L3599" s="17"/>
      <c r="M3599" s="17"/>
      <c r="N3599" s="17"/>
      <c r="O3599" s="17"/>
      <c r="P3599" s="17" t="s">
        <v>1148</v>
      </c>
      <c r="Q3599" s="17"/>
      <c r="R3599" s="25" t="str">
        <f>HYPERLINK("https://ictv.global/taxonomy/taxondetails?taxnode_id=202314531","Carnodivirus cd2-like")</f>
        <v>Carnodivirus cd2-like</v>
      </c>
      <c r="S3599" s="18" t="s">
        <v>30</v>
      </c>
      <c r="T3599" s="18" t="s">
        <v>1149</v>
      </c>
      <c r="U3599" s="18" t="s">
        <v>1150</v>
      </c>
      <c r="V3599" s="18"/>
      <c r="W3599" s="18" t="s">
        <v>1151</v>
      </c>
      <c r="X3599" s="18" t="s">
        <v>42</v>
      </c>
      <c r="Y3599" s="18" t="s">
        <v>36</v>
      </c>
      <c r="Z3599" s="18" t="s">
        <v>697</v>
      </c>
      <c r="AA3599" s="21" t="str">
        <f>HYPERLINK("https://www.ncbi.nlm.nih.gov/nuccore/MZ398135","NCBI Nucleotide")</f>
        <v>NCBI Nucleotide</v>
      </c>
    </row>
    <row r="3600" spans="1:27" x14ac:dyDescent="0.35">
      <c r="A3600">
        <v>1004709</v>
      </c>
      <c r="B3600">
        <v>3576</v>
      </c>
      <c r="C3600">
        <v>1</v>
      </c>
      <c r="D3600" s="17" t="s">
        <v>155</v>
      </c>
      <c r="E3600" s="17"/>
      <c r="F3600" s="17" t="s">
        <v>156</v>
      </c>
      <c r="G3600" s="17"/>
      <c r="H3600" s="17" t="s">
        <v>692</v>
      </c>
      <c r="I3600" s="17"/>
      <c r="J3600" s="17" t="s">
        <v>693</v>
      </c>
      <c r="K3600" s="17"/>
      <c r="L3600" s="17"/>
      <c r="M3600" s="17"/>
      <c r="N3600" s="17"/>
      <c r="O3600" s="17"/>
      <c r="P3600" s="17" t="s">
        <v>1148</v>
      </c>
      <c r="Q3600" s="17"/>
      <c r="R3600" s="25" t="str">
        <f>HYPERLINK("https://ictv.global/taxonomy/taxondetails?taxnode_id=202314532","Carnodivirus cd4-like")</f>
        <v>Carnodivirus cd4-like</v>
      </c>
      <c r="S3600" s="18" t="s">
        <v>30</v>
      </c>
      <c r="T3600" s="18" t="s">
        <v>1152</v>
      </c>
      <c r="U3600" s="18" t="s">
        <v>1153</v>
      </c>
      <c r="V3600" s="18"/>
      <c r="W3600" s="18" t="s">
        <v>1154</v>
      </c>
      <c r="X3600" s="18" t="s">
        <v>42</v>
      </c>
      <c r="Y3600" s="18" t="s">
        <v>36</v>
      </c>
      <c r="Z3600" s="18" t="s">
        <v>697</v>
      </c>
      <c r="AA3600" s="21" t="str">
        <f>HYPERLINK("https://www.ncbi.nlm.nih.gov/nuccore/MZ399596","NCBI Nucleotide")</f>
        <v>NCBI Nucleotide</v>
      </c>
    </row>
    <row r="3601" spans="1:27" x14ac:dyDescent="0.35">
      <c r="A3601">
        <v>1004710</v>
      </c>
      <c r="B3601">
        <v>3577</v>
      </c>
      <c r="C3601">
        <v>1</v>
      </c>
      <c r="D3601" s="17" t="s">
        <v>155</v>
      </c>
      <c r="E3601" s="17"/>
      <c r="F3601" s="17" t="s">
        <v>156</v>
      </c>
      <c r="G3601" s="17"/>
      <c r="H3601" s="17" t="s">
        <v>692</v>
      </c>
      <c r="I3601" s="17"/>
      <c r="J3601" s="17" t="s">
        <v>693</v>
      </c>
      <c r="K3601" s="17"/>
      <c r="L3601" s="17"/>
      <c r="M3601" s="17"/>
      <c r="N3601" s="17"/>
      <c r="O3601" s="17"/>
      <c r="P3601" s="17" t="s">
        <v>1155</v>
      </c>
      <c r="Q3601" s="17"/>
      <c r="R3601" s="25" t="str">
        <f>HYPERLINK("https://ictv.global/taxonomy/taxondetails?taxnode_id=202307928","Carpasinavirus carpasina")</f>
        <v>Carpasinavirus carpasina</v>
      </c>
      <c r="S3601" s="18" t="s">
        <v>30</v>
      </c>
      <c r="T3601" s="18" t="s">
        <v>1156</v>
      </c>
      <c r="U3601" s="18"/>
      <c r="V3601" s="18"/>
      <c r="W3601" s="18" t="s">
        <v>1157</v>
      </c>
      <c r="X3601" s="18" t="s">
        <v>42</v>
      </c>
      <c r="Y3601" s="18" t="s">
        <v>36</v>
      </c>
      <c r="Z3601" s="18" t="s">
        <v>697</v>
      </c>
      <c r="AA3601" s="21" t="str">
        <f>HYPERLINK("https://www.ncbi.nlm.nih.gov/nuccore/MH059633","NCBI Nucleotide")</f>
        <v>NCBI Nucleotide</v>
      </c>
    </row>
    <row r="3602" spans="1:27" x14ac:dyDescent="0.35">
      <c r="A3602">
        <v>1004711</v>
      </c>
      <c r="B3602">
        <v>3578</v>
      </c>
      <c r="C3602">
        <v>1</v>
      </c>
      <c r="D3602" s="17" t="s">
        <v>155</v>
      </c>
      <c r="E3602" s="17"/>
      <c r="F3602" s="17" t="s">
        <v>156</v>
      </c>
      <c r="G3602" s="17"/>
      <c r="H3602" s="17" t="s">
        <v>692</v>
      </c>
      <c r="I3602" s="17"/>
      <c r="J3602" s="17" t="s">
        <v>693</v>
      </c>
      <c r="K3602" s="17"/>
      <c r="L3602" s="17"/>
      <c r="M3602" s="17"/>
      <c r="N3602" s="17"/>
      <c r="O3602" s="17"/>
      <c r="P3602" s="17" t="s">
        <v>1155</v>
      </c>
      <c r="Q3602" s="17"/>
      <c r="R3602" s="25" t="str">
        <f>HYPERLINK("https://ictv.global/taxonomy/taxondetails?taxnode_id=202307929","Carpasinavirus XcP1")</f>
        <v>Carpasinavirus XcP1</v>
      </c>
      <c r="S3602" s="18" t="s">
        <v>30</v>
      </c>
      <c r="T3602" s="18" t="s">
        <v>1158</v>
      </c>
      <c r="U3602" s="18"/>
      <c r="V3602" s="18"/>
      <c r="W3602" s="18" t="s">
        <v>1159</v>
      </c>
      <c r="X3602" s="18" t="s">
        <v>42</v>
      </c>
      <c r="Y3602" s="18" t="s">
        <v>36</v>
      </c>
      <c r="Z3602" s="18" t="s">
        <v>697</v>
      </c>
      <c r="AA3602" s="21" t="str">
        <f>HYPERLINK("https://www.ncbi.nlm.nih.gov/nuccore/MH191395","NCBI Nucleotide")</f>
        <v>NCBI Nucleotide</v>
      </c>
    </row>
    <row r="3603" spans="1:27" x14ac:dyDescent="0.35">
      <c r="A3603">
        <v>1004712</v>
      </c>
      <c r="B3603">
        <v>3579</v>
      </c>
      <c r="C3603">
        <v>1</v>
      </c>
      <c r="D3603" s="17" t="s">
        <v>155</v>
      </c>
      <c r="E3603" s="17"/>
      <c r="F3603" s="17" t="s">
        <v>156</v>
      </c>
      <c r="G3603" s="17"/>
      <c r="H3603" s="17" t="s">
        <v>692</v>
      </c>
      <c r="I3603" s="17"/>
      <c r="J3603" s="17" t="s">
        <v>693</v>
      </c>
      <c r="K3603" s="17"/>
      <c r="L3603" s="17"/>
      <c r="M3603" s="17"/>
      <c r="N3603" s="17"/>
      <c r="O3603" s="17"/>
      <c r="P3603" s="17" t="s">
        <v>1160</v>
      </c>
      <c r="Q3603" s="17"/>
      <c r="R3603" s="25" t="str">
        <f>HYPERLINK("https://ictv.global/taxonomy/taxondetails?taxnode_id=202314534","Carvajevirus carvaje")</f>
        <v>Carvajevirus carvaje</v>
      </c>
      <c r="S3603" s="18" t="s">
        <v>30</v>
      </c>
      <c r="T3603" s="18" t="s">
        <v>1161</v>
      </c>
      <c r="U3603" s="18" t="s">
        <v>1162</v>
      </c>
      <c r="V3603" s="18"/>
      <c r="W3603" s="18" t="s">
        <v>1163</v>
      </c>
      <c r="X3603" s="18" t="s">
        <v>42</v>
      </c>
      <c r="Y3603" s="18" t="s">
        <v>36</v>
      </c>
      <c r="Z3603" s="18" t="s">
        <v>697</v>
      </c>
      <c r="AA3603" s="21" t="str">
        <f>HYPERLINK("https://www.ncbi.nlm.nih.gov/nuccore/OL604152","NCBI Nucleotide")</f>
        <v>NCBI Nucleotide</v>
      </c>
    </row>
    <row r="3604" spans="1:27" x14ac:dyDescent="0.35">
      <c r="A3604">
        <v>1004713</v>
      </c>
      <c r="B3604">
        <v>3580</v>
      </c>
      <c r="C3604">
        <v>1</v>
      </c>
      <c r="D3604" s="17" t="s">
        <v>155</v>
      </c>
      <c r="E3604" s="17"/>
      <c r="F3604" s="17" t="s">
        <v>156</v>
      </c>
      <c r="G3604" s="17"/>
      <c r="H3604" s="17" t="s">
        <v>692</v>
      </c>
      <c r="I3604" s="17"/>
      <c r="J3604" s="17" t="s">
        <v>693</v>
      </c>
      <c r="K3604" s="17"/>
      <c r="L3604" s="17"/>
      <c r="M3604" s="17"/>
      <c r="N3604" s="17"/>
      <c r="O3604" s="17"/>
      <c r="P3604" s="17" t="s">
        <v>1164</v>
      </c>
      <c r="Q3604" s="17"/>
      <c r="R3604" s="25" t="str">
        <f>HYPERLINK("https://ictv.global/taxonomy/taxondetails?taxnode_id=202314549","Casadabanvirus Ab30")</f>
        <v>Casadabanvirus Ab30</v>
      </c>
      <c r="S3604" s="18" t="s">
        <v>30</v>
      </c>
      <c r="T3604" s="18" t="s">
        <v>1165</v>
      </c>
      <c r="U3604" s="18"/>
      <c r="V3604" s="18"/>
      <c r="W3604" s="18" t="s">
        <v>1166</v>
      </c>
      <c r="X3604" s="18" t="s">
        <v>42</v>
      </c>
      <c r="Y3604" s="18" t="s">
        <v>36</v>
      </c>
      <c r="Z3604" s="18" t="s">
        <v>697</v>
      </c>
      <c r="AA3604" s="21" t="str">
        <f>HYPERLINK("https://www.ncbi.nlm.nih.gov/nuccore/LN610590","NCBI Nucleotide")</f>
        <v>NCBI Nucleotide</v>
      </c>
    </row>
    <row r="3605" spans="1:27" x14ac:dyDescent="0.35">
      <c r="A3605">
        <v>1004714</v>
      </c>
      <c r="B3605">
        <v>3581</v>
      </c>
      <c r="C3605">
        <v>1</v>
      </c>
      <c r="D3605" s="17" t="s">
        <v>155</v>
      </c>
      <c r="E3605" s="17"/>
      <c r="F3605" s="17" t="s">
        <v>156</v>
      </c>
      <c r="G3605" s="17"/>
      <c r="H3605" s="17" t="s">
        <v>692</v>
      </c>
      <c r="I3605" s="17"/>
      <c r="J3605" s="17" t="s">
        <v>693</v>
      </c>
      <c r="K3605" s="17"/>
      <c r="L3605" s="17"/>
      <c r="M3605" s="17"/>
      <c r="N3605" s="17"/>
      <c r="O3605" s="17"/>
      <c r="P3605" s="17" t="s">
        <v>1164</v>
      </c>
      <c r="Q3605" s="17"/>
      <c r="R3605" s="25" t="str">
        <f>HYPERLINK("https://ictv.global/taxonomy/taxondetails?taxnode_id=202314542","Casadabanvirus AIIMSPaB1")</f>
        <v>Casadabanvirus AIIMSPaB1</v>
      </c>
      <c r="S3605" s="18" t="s">
        <v>30</v>
      </c>
      <c r="T3605" s="18" t="s">
        <v>1167</v>
      </c>
      <c r="U3605" s="18"/>
      <c r="V3605" s="18"/>
      <c r="W3605" s="18" t="s">
        <v>1168</v>
      </c>
      <c r="X3605" s="18" t="s">
        <v>42</v>
      </c>
      <c r="Y3605" s="18" t="s">
        <v>36</v>
      </c>
      <c r="Z3605" s="18" t="s">
        <v>697</v>
      </c>
      <c r="AA3605" s="21" t="str">
        <f>HYPERLINK("https://www.ncbi.nlm.nih.gov/nuccore/MW390886","NCBI Nucleotide")</f>
        <v>NCBI Nucleotide</v>
      </c>
    </row>
    <row r="3606" spans="1:27" x14ac:dyDescent="0.35">
      <c r="A3606">
        <v>1004715</v>
      </c>
      <c r="B3606">
        <v>3582</v>
      </c>
      <c r="C3606">
        <v>1</v>
      </c>
      <c r="D3606" s="17" t="s">
        <v>155</v>
      </c>
      <c r="E3606" s="17"/>
      <c r="F3606" s="17" t="s">
        <v>156</v>
      </c>
      <c r="G3606" s="17"/>
      <c r="H3606" s="17" t="s">
        <v>692</v>
      </c>
      <c r="I3606" s="17"/>
      <c r="J3606" s="17" t="s">
        <v>693</v>
      </c>
      <c r="K3606" s="17"/>
      <c r="L3606" s="17"/>
      <c r="M3606" s="17"/>
      <c r="N3606" s="17"/>
      <c r="O3606" s="17"/>
      <c r="P3606" s="17" t="s">
        <v>1164</v>
      </c>
      <c r="Q3606" s="17"/>
      <c r="R3606" s="25" t="str">
        <f>HYPERLINK("https://ictv.global/taxonomy/taxondetails?taxnode_id=202300945","Casadabanvirus D3112")</f>
        <v>Casadabanvirus D3112</v>
      </c>
      <c r="S3606" s="18" t="s">
        <v>30</v>
      </c>
      <c r="T3606" s="18" t="s">
        <v>1169</v>
      </c>
      <c r="U3606" s="18"/>
      <c r="V3606" s="18"/>
      <c r="W3606" s="18" t="s">
        <v>1170</v>
      </c>
      <c r="X3606" s="18" t="s">
        <v>42</v>
      </c>
      <c r="Y3606" s="18" t="s">
        <v>36</v>
      </c>
      <c r="Z3606" s="18" t="s">
        <v>697</v>
      </c>
      <c r="AA3606" s="21" t="str">
        <f>HYPERLINK("https://www.ncbi.nlm.nih.gov/nuccore/AY394005","NCBI Nucleotide")</f>
        <v>NCBI Nucleotide</v>
      </c>
    </row>
    <row r="3607" spans="1:27" x14ac:dyDescent="0.35">
      <c r="A3607">
        <v>1004716</v>
      </c>
      <c r="B3607">
        <v>3583</v>
      </c>
      <c r="C3607">
        <v>1</v>
      </c>
      <c r="D3607" s="17" t="s">
        <v>155</v>
      </c>
      <c r="E3607" s="17"/>
      <c r="F3607" s="17" t="s">
        <v>156</v>
      </c>
      <c r="G3607" s="17"/>
      <c r="H3607" s="17" t="s">
        <v>692</v>
      </c>
      <c r="I3607" s="17"/>
      <c r="J3607" s="17" t="s">
        <v>693</v>
      </c>
      <c r="K3607" s="17"/>
      <c r="L3607" s="17"/>
      <c r="M3607" s="17"/>
      <c r="N3607" s="17"/>
      <c r="O3607" s="17"/>
      <c r="P3607" s="17" t="s">
        <v>1164</v>
      </c>
      <c r="Q3607" s="17"/>
      <c r="R3607" s="25" t="str">
        <f>HYPERLINK("https://ictv.global/taxonomy/taxondetails?taxnode_id=202300946","Casadabanvirus DMS3")</f>
        <v>Casadabanvirus DMS3</v>
      </c>
      <c r="S3607" s="18" t="s">
        <v>30</v>
      </c>
      <c r="T3607" s="18" t="s">
        <v>1171</v>
      </c>
      <c r="U3607" s="18"/>
      <c r="V3607" s="18"/>
      <c r="W3607" s="18" t="s">
        <v>1172</v>
      </c>
      <c r="X3607" s="18" t="s">
        <v>42</v>
      </c>
      <c r="Y3607" s="18" t="s">
        <v>36</v>
      </c>
      <c r="Z3607" s="18" t="s">
        <v>697</v>
      </c>
      <c r="AA3607" s="21" t="str">
        <f>HYPERLINK("https://www.ncbi.nlm.nih.gov/nuccore/DQ631426","NCBI Nucleotide")</f>
        <v>NCBI Nucleotide</v>
      </c>
    </row>
    <row r="3608" spans="1:27" x14ac:dyDescent="0.35">
      <c r="A3608">
        <v>1004717</v>
      </c>
      <c r="B3608">
        <v>3584</v>
      </c>
      <c r="C3608">
        <v>1</v>
      </c>
      <c r="D3608" s="17" t="s">
        <v>155</v>
      </c>
      <c r="E3608" s="17"/>
      <c r="F3608" s="17" t="s">
        <v>156</v>
      </c>
      <c r="G3608" s="17"/>
      <c r="H3608" s="17" t="s">
        <v>692</v>
      </c>
      <c r="I3608" s="17"/>
      <c r="J3608" s="17" t="s">
        <v>693</v>
      </c>
      <c r="K3608" s="17"/>
      <c r="L3608" s="17"/>
      <c r="M3608" s="17"/>
      <c r="N3608" s="17"/>
      <c r="O3608" s="17"/>
      <c r="P3608" s="17" t="s">
        <v>1164</v>
      </c>
      <c r="Q3608" s="17"/>
      <c r="R3608" s="25" t="str">
        <f>HYPERLINK("https://ictv.global/taxonomy/taxondetails?taxnode_id=202314544","Casadabanvirus FET309")</f>
        <v>Casadabanvirus FET309</v>
      </c>
      <c r="S3608" s="18" t="s">
        <v>30</v>
      </c>
      <c r="T3608" s="18" t="s">
        <v>1173</v>
      </c>
      <c r="U3608" s="18"/>
      <c r="V3608" s="18"/>
      <c r="W3608" s="18" t="s">
        <v>1174</v>
      </c>
      <c r="X3608" s="18" t="s">
        <v>42</v>
      </c>
      <c r="Y3608" s="18" t="s">
        <v>36</v>
      </c>
      <c r="Z3608" s="18" t="s">
        <v>697</v>
      </c>
      <c r="AA3608" s="21" t="str">
        <f>HYPERLINK("https://www.ncbi.nlm.nih.gov/nuccore/KM389459","NCBI Nucleotide")</f>
        <v>NCBI Nucleotide</v>
      </c>
    </row>
    <row r="3609" spans="1:27" x14ac:dyDescent="0.35">
      <c r="A3609">
        <v>1004718</v>
      </c>
      <c r="B3609">
        <v>3585</v>
      </c>
      <c r="C3609">
        <v>1</v>
      </c>
      <c r="D3609" s="17" t="s">
        <v>155</v>
      </c>
      <c r="E3609" s="17"/>
      <c r="F3609" s="17" t="s">
        <v>156</v>
      </c>
      <c r="G3609" s="17"/>
      <c r="H3609" s="17" t="s">
        <v>692</v>
      </c>
      <c r="I3609" s="17"/>
      <c r="J3609" s="17" t="s">
        <v>693</v>
      </c>
      <c r="K3609" s="17"/>
      <c r="L3609" s="17"/>
      <c r="M3609" s="17"/>
      <c r="N3609" s="17"/>
      <c r="O3609" s="17"/>
      <c r="P3609" s="17" t="s">
        <v>1164</v>
      </c>
      <c r="Q3609" s="17"/>
      <c r="R3609" s="25" t="str">
        <f>HYPERLINK("https://ictv.global/taxonomy/taxondetails?taxnode_id=202300947","Casadabanvirus FHA0480")</f>
        <v>Casadabanvirus FHA0480</v>
      </c>
      <c r="S3609" s="18" t="s">
        <v>30</v>
      </c>
      <c r="T3609" s="18" t="s">
        <v>1175</v>
      </c>
      <c r="U3609" s="18"/>
      <c r="V3609" s="18"/>
      <c r="W3609" s="18" t="s">
        <v>1176</v>
      </c>
      <c r="X3609" s="18" t="s">
        <v>42</v>
      </c>
      <c r="Y3609" s="18" t="s">
        <v>36</v>
      </c>
      <c r="Z3609" s="18" t="s">
        <v>697</v>
      </c>
      <c r="AA3609" s="21" t="str">
        <f>HYPERLINK("https://www.ncbi.nlm.nih.gov/nuccore/JN808773","NCBI Nucleotide")</f>
        <v>NCBI Nucleotide</v>
      </c>
    </row>
    <row r="3610" spans="1:27" x14ac:dyDescent="0.35">
      <c r="A3610">
        <v>1004719</v>
      </c>
      <c r="B3610">
        <v>3586</v>
      </c>
      <c r="C3610">
        <v>1</v>
      </c>
      <c r="D3610" s="17" t="s">
        <v>155</v>
      </c>
      <c r="E3610" s="17"/>
      <c r="F3610" s="17" t="s">
        <v>156</v>
      </c>
      <c r="G3610" s="17"/>
      <c r="H3610" s="17" t="s">
        <v>692</v>
      </c>
      <c r="I3610" s="17"/>
      <c r="J3610" s="17" t="s">
        <v>693</v>
      </c>
      <c r="K3610" s="17"/>
      <c r="L3610" s="17"/>
      <c r="M3610" s="17"/>
      <c r="N3610" s="17"/>
      <c r="O3610" s="17"/>
      <c r="P3610" s="17" t="s">
        <v>1164</v>
      </c>
      <c r="Q3610" s="17"/>
      <c r="R3610" s="25" t="str">
        <f>HYPERLINK("https://ictv.global/taxonomy/taxondetails?taxnode_id=202314543","Casadabanvirus HW12")</f>
        <v>Casadabanvirus HW12</v>
      </c>
      <c r="S3610" s="18" t="s">
        <v>30</v>
      </c>
      <c r="T3610" s="18" t="s">
        <v>1177</v>
      </c>
      <c r="U3610" s="18"/>
      <c r="V3610" s="18"/>
      <c r="W3610" s="18" t="s">
        <v>1178</v>
      </c>
      <c r="X3610" s="18" t="s">
        <v>42</v>
      </c>
      <c r="Y3610" s="18" t="s">
        <v>36</v>
      </c>
      <c r="Z3610" s="18" t="s">
        <v>697</v>
      </c>
      <c r="AA3610" s="21" t="str">
        <f>HYPERLINK("https://www.ncbi.nlm.nih.gov/nuccore/LT999987","NCBI Nucleotide")</f>
        <v>NCBI Nucleotide</v>
      </c>
    </row>
    <row r="3611" spans="1:27" x14ac:dyDescent="0.35">
      <c r="A3611">
        <v>1004723</v>
      </c>
      <c r="B3611">
        <v>3587</v>
      </c>
      <c r="C3611">
        <v>1</v>
      </c>
      <c r="D3611" s="17" t="s">
        <v>155</v>
      </c>
      <c r="E3611" s="17"/>
      <c r="F3611" s="17" t="s">
        <v>156</v>
      </c>
      <c r="G3611" s="17"/>
      <c r="H3611" s="17" t="s">
        <v>692</v>
      </c>
      <c r="I3611" s="17"/>
      <c r="J3611" s="17" t="s">
        <v>693</v>
      </c>
      <c r="K3611" s="17"/>
      <c r="L3611" s="17"/>
      <c r="M3611" s="17"/>
      <c r="N3611" s="17"/>
      <c r="O3611" s="17"/>
      <c r="P3611" s="17" t="s">
        <v>1164</v>
      </c>
      <c r="Q3611" s="17"/>
      <c r="R3611" s="25" t="str">
        <f>HYPERLINK("https://ictv.global/taxonomy/taxondetails?taxnode_id=202314538","Casadabanvirus JBD5")</f>
        <v>Casadabanvirus JBD5</v>
      </c>
      <c r="S3611" s="18" t="s">
        <v>30</v>
      </c>
      <c r="T3611" s="18" t="s">
        <v>1185</v>
      </c>
      <c r="U3611" s="18"/>
      <c r="V3611" s="18"/>
      <c r="W3611" s="18" t="s">
        <v>1186</v>
      </c>
      <c r="X3611" s="18" t="s">
        <v>42</v>
      </c>
      <c r="Y3611" s="18" t="s">
        <v>36</v>
      </c>
      <c r="Z3611" s="18" t="s">
        <v>697</v>
      </c>
      <c r="AA3611" s="21" t="str">
        <f>HYPERLINK("https://www.ncbi.nlm.nih.gov/nuccore/JX434030","NCBI Nucleotide")</f>
        <v>NCBI Nucleotide</v>
      </c>
    </row>
    <row r="3612" spans="1:27" x14ac:dyDescent="0.35">
      <c r="A3612">
        <v>1004720</v>
      </c>
      <c r="B3612">
        <v>3588</v>
      </c>
      <c r="C3612">
        <v>1</v>
      </c>
      <c r="D3612" s="17" t="s">
        <v>155</v>
      </c>
      <c r="E3612" s="17"/>
      <c r="F3612" s="17" t="s">
        <v>156</v>
      </c>
      <c r="G3612" s="17"/>
      <c r="H3612" s="17" t="s">
        <v>692</v>
      </c>
      <c r="I3612" s="17"/>
      <c r="J3612" s="17" t="s">
        <v>693</v>
      </c>
      <c r="K3612" s="17"/>
      <c r="L3612" s="17"/>
      <c r="M3612" s="17"/>
      <c r="N3612" s="17"/>
      <c r="O3612" s="17"/>
      <c r="P3612" s="17" t="s">
        <v>1164</v>
      </c>
      <c r="Q3612" s="17"/>
      <c r="R3612" s="25" t="str">
        <f>HYPERLINK("https://ictv.global/taxonomy/taxondetails?taxnode_id=202314548","Casadabanvirus JBD24")</f>
        <v>Casadabanvirus JBD24</v>
      </c>
      <c r="S3612" s="18" t="s">
        <v>30</v>
      </c>
      <c r="T3612" s="18" t="s">
        <v>1179</v>
      </c>
      <c r="U3612" s="18"/>
      <c r="V3612" s="18"/>
      <c r="W3612" s="18" t="s">
        <v>1180</v>
      </c>
      <c r="X3612" s="18" t="s">
        <v>42</v>
      </c>
      <c r="Y3612" s="18" t="s">
        <v>36</v>
      </c>
      <c r="Z3612" s="18" t="s">
        <v>697</v>
      </c>
      <c r="AA3612" s="21" t="str">
        <f>HYPERLINK("https://www.ncbi.nlm.nih.gov/nuccore/JX434031","NCBI Nucleotide")</f>
        <v>NCBI Nucleotide</v>
      </c>
    </row>
    <row r="3613" spans="1:27" x14ac:dyDescent="0.35">
      <c r="A3613">
        <v>1004721</v>
      </c>
      <c r="B3613">
        <v>3589</v>
      </c>
      <c r="C3613">
        <v>1</v>
      </c>
      <c r="D3613" s="17" t="s">
        <v>155</v>
      </c>
      <c r="E3613" s="17"/>
      <c r="F3613" s="17" t="s">
        <v>156</v>
      </c>
      <c r="G3613" s="17"/>
      <c r="H3613" s="17" t="s">
        <v>692</v>
      </c>
      <c r="I3613" s="17"/>
      <c r="J3613" s="17" t="s">
        <v>693</v>
      </c>
      <c r="K3613" s="17"/>
      <c r="L3613" s="17"/>
      <c r="M3613" s="17"/>
      <c r="N3613" s="17"/>
      <c r="O3613" s="17"/>
      <c r="P3613" s="17" t="s">
        <v>1164</v>
      </c>
      <c r="Q3613" s="17"/>
      <c r="R3613" s="25" t="str">
        <f>HYPERLINK("https://ictv.global/taxonomy/taxondetails?taxnode_id=202314541","Casadabanvirus JBD26")</f>
        <v>Casadabanvirus JBD26</v>
      </c>
      <c r="S3613" s="18" t="s">
        <v>30</v>
      </c>
      <c r="T3613" s="18" t="s">
        <v>1181</v>
      </c>
      <c r="U3613" s="18"/>
      <c r="V3613" s="18"/>
      <c r="W3613" s="18" t="s">
        <v>1182</v>
      </c>
      <c r="X3613" s="18" t="s">
        <v>42</v>
      </c>
      <c r="Y3613" s="18" t="s">
        <v>36</v>
      </c>
      <c r="Z3613" s="18" t="s">
        <v>697</v>
      </c>
      <c r="AA3613" s="21" t="str">
        <f>HYPERLINK("https://www.ncbi.nlm.nih.gov/nuccore/JN811560","NCBI Nucleotide")</f>
        <v>NCBI Nucleotide</v>
      </c>
    </row>
    <row r="3614" spans="1:27" x14ac:dyDescent="0.35">
      <c r="A3614">
        <v>1004722</v>
      </c>
      <c r="B3614">
        <v>3590</v>
      </c>
      <c r="C3614">
        <v>1</v>
      </c>
      <c r="D3614" s="17" t="s">
        <v>155</v>
      </c>
      <c r="E3614" s="17"/>
      <c r="F3614" s="17" t="s">
        <v>156</v>
      </c>
      <c r="G3614" s="17"/>
      <c r="H3614" s="17" t="s">
        <v>692</v>
      </c>
      <c r="I3614" s="17"/>
      <c r="J3614" s="17" t="s">
        <v>693</v>
      </c>
      <c r="K3614" s="17"/>
      <c r="L3614" s="17"/>
      <c r="M3614" s="17"/>
      <c r="N3614" s="17"/>
      <c r="O3614" s="17"/>
      <c r="P3614" s="17" t="s">
        <v>1164</v>
      </c>
      <c r="Q3614" s="17"/>
      <c r="R3614" s="25" t="str">
        <f>HYPERLINK("https://ictv.global/taxonomy/taxondetails?taxnode_id=202314547","Casadabanvirus JBD30")</f>
        <v>Casadabanvirus JBD30</v>
      </c>
      <c r="S3614" s="18" t="s">
        <v>30</v>
      </c>
      <c r="T3614" s="18" t="s">
        <v>1183</v>
      </c>
      <c r="U3614" s="18"/>
      <c r="V3614" s="18"/>
      <c r="W3614" s="18" t="s">
        <v>1184</v>
      </c>
      <c r="X3614" s="18" t="s">
        <v>42</v>
      </c>
      <c r="Y3614" s="18" t="s">
        <v>36</v>
      </c>
      <c r="Z3614" s="18" t="s">
        <v>697</v>
      </c>
      <c r="AA3614" s="21" t="str">
        <f>HYPERLINK("https://www.ncbi.nlm.nih.gov/nuccore/JX434032","NCBI Nucleotide")</f>
        <v>NCBI Nucleotide</v>
      </c>
    </row>
    <row r="3615" spans="1:27" x14ac:dyDescent="0.35">
      <c r="A3615">
        <v>1004724</v>
      </c>
      <c r="B3615">
        <v>3591</v>
      </c>
      <c r="C3615">
        <v>1</v>
      </c>
      <c r="D3615" s="17" t="s">
        <v>155</v>
      </c>
      <c r="E3615" s="17"/>
      <c r="F3615" s="17" t="s">
        <v>156</v>
      </c>
      <c r="G3615" s="17"/>
      <c r="H3615" s="17" t="s">
        <v>692</v>
      </c>
      <c r="I3615" s="17"/>
      <c r="J3615" s="17" t="s">
        <v>693</v>
      </c>
      <c r="K3615" s="17"/>
      <c r="L3615" s="17"/>
      <c r="M3615" s="17"/>
      <c r="N3615" s="17"/>
      <c r="O3615" s="17"/>
      <c r="P3615" s="17" t="s">
        <v>1164</v>
      </c>
      <c r="Q3615" s="17"/>
      <c r="R3615" s="25" t="str">
        <f>HYPERLINK("https://ictv.global/taxonomy/taxondetails?taxnode_id=202314545","Casadabanvirus JBD69")</f>
        <v>Casadabanvirus JBD69</v>
      </c>
      <c r="S3615" s="18" t="s">
        <v>30</v>
      </c>
      <c r="T3615" s="18" t="s">
        <v>1187</v>
      </c>
      <c r="U3615" s="18"/>
      <c r="V3615" s="18"/>
      <c r="W3615" s="18" t="s">
        <v>1188</v>
      </c>
      <c r="X3615" s="18" t="s">
        <v>42</v>
      </c>
      <c r="Y3615" s="18" t="s">
        <v>36</v>
      </c>
      <c r="Z3615" s="18" t="s">
        <v>697</v>
      </c>
      <c r="AA3615" s="21" t="str">
        <f>HYPERLINK("https://www.ncbi.nlm.nih.gov/nuccore/KU199708","NCBI Nucleotide")</f>
        <v>NCBI Nucleotide</v>
      </c>
    </row>
    <row r="3616" spans="1:27" x14ac:dyDescent="0.35">
      <c r="A3616">
        <v>1004725</v>
      </c>
      <c r="B3616">
        <v>3592</v>
      </c>
      <c r="C3616">
        <v>1</v>
      </c>
      <c r="D3616" s="17" t="s">
        <v>155</v>
      </c>
      <c r="E3616" s="17"/>
      <c r="F3616" s="17" t="s">
        <v>156</v>
      </c>
      <c r="G3616" s="17"/>
      <c r="H3616" s="17" t="s">
        <v>692</v>
      </c>
      <c r="I3616" s="17"/>
      <c r="J3616" s="17" t="s">
        <v>693</v>
      </c>
      <c r="K3616" s="17"/>
      <c r="L3616" s="17"/>
      <c r="M3616" s="17"/>
      <c r="N3616" s="17"/>
      <c r="O3616" s="17"/>
      <c r="P3616" s="17" t="s">
        <v>1164</v>
      </c>
      <c r="Q3616" s="17"/>
      <c r="R3616" s="25" t="str">
        <f>HYPERLINK("https://ictv.global/taxonomy/taxondetails?taxnode_id=202314540","Casadabanvirus JD024")</f>
        <v>Casadabanvirus JD024</v>
      </c>
      <c r="S3616" s="18" t="s">
        <v>30</v>
      </c>
      <c r="T3616" s="18" t="s">
        <v>1189</v>
      </c>
      <c r="U3616" s="18"/>
      <c r="V3616" s="18"/>
      <c r="W3616" s="18" t="s">
        <v>1190</v>
      </c>
      <c r="X3616" s="18" t="s">
        <v>42</v>
      </c>
      <c r="Y3616" s="18" t="s">
        <v>36</v>
      </c>
      <c r="Z3616" s="18" t="s">
        <v>697</v>
      </c>
      <c r="AA3616" s="21" t="str">
        <f>HYPERLINK("https://www.ncbi.nlm.nih.gov/nuccore/KJ477077","NCBI Nucleotide")</f>
        <v>NCBI Nucleotide</v>
      </c>
    </row>
    <row r="3617" spans="1:27" x14ac:dyDescent="0.35">
      <c r="A3617">
        <v>1004726</v>
      </c>
      <c r="B3617">
        <v>3593</v>
      </c>
      <c r="C3617">
        <v>1</v>
      </c>
      <c r="D3617" s="17" t="s">
        <v>155</v>
      </c>
      <c r="E3617" s="17"/>
      <c r="F3617" s="17" t="s">
        <v>156</v>
      </c>
      <c r="G3617" s="17"/>
      <c r="H3617" s="17" t="s">
        <v>692</v>
      </c>
      <c r="I3617" s="17"/>
      <c r="J3617" s="17" t="s">
        <v>693</v>
      </c>
      <c r="K3617" s="17"/>
      <c r="L3617" s="17"/>
      <c r="M3617" s="17"/>
      <c r="N3617" s="17"/>
      <c r="O3617" s="17"/>
      <c r="P3617" s="17" t="s">
        <v>1164</v>
      </c>
      <c r="Q3617" s="17"/>
      <c r="R3617" s="25" t="str">
        <f>HYPERLINK("https://ictv.global/taxonomy/taxondetails?taxnode_id=202300948","Casadabanvirus LPB1")</f>
        <v>Casadabanvirus LPB1</v>
      </c>
      <c r="S3617" s="18" t="s">
        <v>30</v>
      </c>
      <c r="T3617" s="18" t="s">
        <v>1191</v>
      </c>
      <c r="U3617" s="18"/>
      <c r="V3617" s="18"/>
      <c r="W3617" s="18" t="s">
        <v>1192</v>
      </c>
      <c r="X3617" s="18" t="s">
        <v>42</v>
      </c>
      <c r="Y3617" s="18" t="s">
        <v>36</v>
      </c>
      <c r="Z3617" s="18" t="s">
        <v>697</v>
      </c>
      <c r="AA3617" s="21" t="str">
        <f>HYPERLINK("https://www.ncbi.nlm.nih.gov/nuccore/HE584812","NCBI Nucleotide")</f>
        <v>NCBI Nucleotide</v>
      </c>
    </row>
    <row r="3618" spans="1:27" x14ac:dyDescent="0.35">
      <c r="A3618">
        <v>1004727</v>
      </c>
      <c r="B3618">
        <v>3594</v>
      </c>
      <c r="C3618">
        <v>1</v>
      </c>
      <c r="D3618" s="17" t="s">
        <v>155</v>
      </c>
      <c r="E3618" s="17"/>
      <c r="F3618" s="17" t="s">
        <v>156</v>
      </c>
      <c r="G3618" s="17"/>
      <c r="H3618" s="17" t="s">
        <v>692</v>
      </c>
      <c r="I3618" s="17"/>
      <c r="J3618" s="17" t="s">
        <v>693</v>
      </c>
      <c r="K3618" s="17"/>
      <c r="L3618" s="17"/>
      <c r="M3618" s="17"/>
      <c r="N3618" s="17"/>
      <c r="O3618" s="17"/>
      <c r="P3618" s="17" t="s">
        <v>1164</v>
      </c>
      <c r="Q3618" s="17"/>
      <c r="R3618" s="25" t="str">
        <f>HYPERLINK("https://ictv.global/taxonomy/taxondetails?taxnode_id=202300949","Casadabanvirus MP22")</f>
        <v>Casadabanvirus MP22</v>
      </c>
      <c r="S3618" s="18" t="s">
        <v>30</v>
      </c>
      <c r="T3618" s="18" t="s">
        <v>1193</v>
      </c>
      <c r="U3618" s="18"/>
      <c r="V3618" s="18"/>
      <c r="W3618" s="18" t="s">
        <v>1194</v>
      </c>
      <c r="X3618" s="18" t="s">
        <v>42</v>
      </c>
      <c r="Y3618" s="18" t="s">
        <v>36</v>
      </c>
      <c r="Z3618" s="18" t="s">
        <v>697</v>
      </c>
      <c r="AA3618" s="21" t="str">
        <f>HYPERLINK("https://www.ncbi.nlm.nih.gov/nuccore/DQ873690","NCBI Nucleotide")</f>
        <v>NCBI Nucleotide</v>
      </c>
    </row>
    <row r="3619" spans="1:27" x14ac:dyDescent="0.35">
      <c r="A3619">
        <v>1004728</v>
      </c>
      <c r="B3619">
        <v>3595</v>
      </c>
      <c r="C3619">
        <v>1</v>
      </c>
      <c r="D3619" s="17" t="s">
        <v>155</v>
      </c>
      <c r="E3619" s="17"/>
      <c r="F3619" s="17" t="s">
        <v>156</v>
      </c>
      <c r="G3619" s="17"/>
      <c r="H3619" s="17" t="s">
        <v>692</v>
      </c>
      <c r="I3619" s="17"/>
      <c r="J3619" s="17" t="s">
        <v>693</v>
      </c>
      <c r="K3619" s="17"/>
      <c r="L3619" s="17"/>
      <c r="M3619" s="17"/>
      <c r="N3619" s="17"/>
      <c r="O3619" s="17"/>
      <c r="P3619" s="17" t="s">
        <v>1164</v>
      </c>
      <c r="Q3619" s="17"/>
      <c r="R3619" s="25" t="str">
        <f>HYPERLINK("https://ictv.global/taxonomy/taxondetails?taxnode_id=202300950","Casadabanvirus MP29")</f>
        <v>Casadabanvirus MP29</v>
      </c>
      <c r="S3619" s="18" t="s">
        <v>30</v>
      </c>
      <c r="T3619" s="18" t="s">
        <v>1195</v>
      </c>
      <c r="U3619" s="18"/>
      <c r="V3619" s="18"/>
      <c r="W3619" s="18" t="s">
        <v>1196</v>
      </c>
      <c r="X3619" s="18" t="s">
        <v>42</v>
      </c>
      <c r="Y3619" s="18" t="s">
        <v>36</v>
      </c>
      <c r="Z3619" s="18" t="s">
        <v>697</v>
      </c>
      <c r="AA3619" s="21" t="str">
        <f>HYPERLINK("https://www.ncbi.nlm.nih.gov/nuccore/EU272036","NCBI Nucleotide")</f>
        <v>NCBI Nucleotide</v>
      </c>
    </row>
    <row r="3620" spans="1:27" x14ac:dyDescent="0.35">
      <c r="A3620">
        <v>1004729</v>
      </c>
      <c r="B3620">
        <v>3596</v>
      </c>
      <c r="C3620">
        <v>1</v>
      </c>
      <c r="D3620" s="17" t="s">
        <v>155</v>
      </c>
      <c r="E3620" s="17"/>
      <c r="F3620" s="17" t="s">
        <v>156</v>
      </c>
      <c r="G3620" s="17"/>
      <c r="H3620" s="17" t="s">
        <v>692</v>
      </c>
      <c r="I3620" s="17"/>
      <c r="J3620" s="17" t="s">
        <v>693</v>
      </c>
      <c r="K3620" s="17"/>
      <c r="L3620" s="17"/>
      <c r="M3620" s="17"/>
      <c r="N3620" s="17"/>
      <c r="O3620" s="17"/>
      <c r="P3620" s="17" t="s">
        <v>1164</v>
      </c>
      <c r="Q3620" s="17"/>
      <c r="R3620" s="25" t="str">
        <f>HYPERLINK("https://ictv.global/taxonomy/taxondetails?taxnode_id=202300951","Casadabanvirus MP38")</f>
        <v>Casadabanvirus MP38</v>
      </c>
      <c r="S3620" s="18" t="s">
        <v>30</v>
      </c>
      <c r="T3620" s="18" t="s">
        <v>1197</v>
      </c>
      <c r="U3620" s="18"/>
      <c r="V3620" s="18"/>
      <c r="W3620" s="18" t="s">
        <v>1198</v>
      </c>
      <c r="X3620" s="18" t="s">
        <v>42</v>
      </c>
      <c r="Y3620" s="18" t="s">
        <v>36</v>
      </c>
      <c r="Z3620" s="18" t="s">
        <v>697</v>
      </c>
      <c r="AA3620" s="21" t="str">
        <f>HYPERLINK("https://www.ncbi.nlm.nih.gov/nuccore/EU272037","NCBI Nucleotide")</f>
        <v>NCBI Nucleotide</v>
      </c>
    </row>
    <row r="3621" spans="1:27" x14ac:dyDescent="0.35">
      <c r="A3621">
        <v>1004730</v>
      </c>
      <c r="B3621">
        <v>3597</v>
      </c>
      <c r="C3621">
        <v>1</v>
      </c>
      <c r="D3621" s="17" t="s">
        <v>155</v>
      </c>
      <c r="E3621" s="17"/>
      <c r="F3621" s="17" t="s">
        <v>156</v>
      </c>
      <c r="G3621" s="17"/>
      <c r="H3621" s="17" t="s">
        <v>692</v>
      </c>
      <c r="I3621" s="17"/>
      <c r="J3621" s="17" t="s">
        <v>693</v>
      </c>
      <c r="K3621" s="17"/>
      <c r="L3621" s="17"/>
      <c r="M3621" s="17"/>
      <c r="N3621" s="17"/>
      <c r="O3621" s="17"/>
      <c r="P3621" s="17" t="s">
        <v>1164</v>
      </c>
      <c r="Q3621" s="17"/>
      <c r="R3621" s="25" t="str">
        <f>HYPERLINK("https://ictv.global/taxonomy/taxondetails?taxnode_id=202314546","Casadabanvirus MP42")</f>
        <v>Casadabanvirus MP42</v>
      </c>
      <c r="S3621" s="18" t="s">
        <v>30</v>
      </c>
      <c r="T3621" s="18" t="s">
        <v>1199</v>
      </c>
      <c r="U3621" s="18"/>
      <c r="V3621" s="18"/>
      <c r="W3621" s="18" t="s">
        <v>1200</v>
      </c>
      <c r="X3621" s="18" t="s">
        <v>42</v>
      </c>
      <c r="Y3621" s="18" t="s">
        <v>36</v>
      </c>
      <c r="Z3621" s="18" t="s">
        <v>697</v>
      </c>
      <c r="AA3621" s="21" t="str">
        <f>HYPERLINK("https://www.ncbi.nlm.nih.gov/nuccore/JQ762257","NCBI Nucleotide")</f>
        <v>NCBI Nucleotide</v>
      </c>
    </row>
    <row r="3622" spans="1:27" x14ac:dyDescent="0.35">
      <c r="A3622">
        <v>1004731</v>
      </c>
      <c r="B3622">
        <v>3598</v>
      </c>
      <c r="C3622">
        <v>1</v>
      </c>
      <c r="D3622" s="17" t="s">
        <v>155</v>
      </c>
      <c r="E3622" s="17"/>
      <c r="F3622" s="17" t="s">
        <v>156</v>
      </c>
      <c r="G3622" s="17"/>
      <c r="H3622" s="17" t="s">
        <v>692</v>
      </c>
      <c r="I3622" s="17"/>
      <c r="J3622" s="17" t="s">
        <v>693</v>
      </c>
      <c r="K3622" s="17"/>
      <c r="L3622" s="17"/>
      <c r="M3622" s="17"/>
      <c r="N3622" s="17"/>
      <c r="O3622" s="17"/>
      <c r="P3622" s="17" t="s">
        <v>1164</v>
      </c>
      <c r="Q3622" s="17"/>
      <c r="R3622" s="25" t="str">
        <f>HYPERLINK("https://ictv.global/taxonomy/taxondetails?taxnode_id=202314536","Casadabanvirus MP48")</f>
        <v>Casadabanvirus MP48</v>
      </c>
      <c r="S3622" s="18" t="s">
        <v>30</v>
      </c>
      <c r="T3622" s="18" t="s">
        <v>1201</v>
      </c>
      <c r="U3622" s="18"/>
      <c r="V3622" s="18"/>
      <c r="W3622" s="18" t="s">
        <v>1202</v>
      </c>
      <c r="X3622" s="18" t="s">
        <v>42</v>
      </c>
      <c r="Y3622" s="18" t="s">
        <v>36</v>
      </c>
      <c r="Z3622" s="18" t="s">
        <v>697</v>
      </c>
      <c r="AA3622" s="21" t="str">
        <f>HYPERLINK("https://www.ncbi.nlm.nih.gov/nuccore/KF475786","NCBI Nucleotide")</f>
        <v>NCBI Nucleotide</v>
      </c>
    </row>
    <row r="3623" spans="1:27" x14ac:dyDescent="0.35">
      <c r="A3623">
        <v>1004957</v>
      </c>
      <c r="B3623">
        <v>3599</v>
      </c>
      <c r="C3623">
        <v>1</v>
      </c>
      <c r="D3623" s="17" t="s">
        <v>155</v>
      </c>
      <c r="E3623" s="17"/>
      <c r="F3623" s="17" t="s">
        <v>156</v>
      </c>
      <c r="G3623" s="17"/>
      <c r="H3623" s="17" t="s">
        <v>692</v>
      </c>
      <c r="I3623" s="17"/>
      <c r="J3623" s="17" t="s">
        <v>693</v>
      </c>
      <c r="K3623" s="17"/>
      <c r="L3623" s="17"/>
      <c r="M3623" s="17"/>
      <c r="N3623" s="17"/>
      <c r="O3623" s="17"/>
      <c r="P3623" s="17" t="s">
        <v>1164</v>
      </c>
      <c r="Q3623" s="17"/>
      <c r="R3623" s="25" t="str">
        <f>HYPERLINK("https://ictv.global/taxonomy/taxondetails?taxnode_id=202300952","Casadabanvirus PA1KOR")</f>
        <v>Casadabanvirus PA1KOR</v>
      </c>
      <c r="S3623" s="18" t="s">
        <v>30</v>
      </c>
      <c r="T3623" s="18" t="s">
        <v>1203</v>
      </c>
      <c r="U3623" s="18"/>
      <c r="V3623" s="18"/>
      <c r="W3623" s="18" t="s">
        <v>1204</v>
      </c>
      <c r="X3623" s="18" t="s">
        <v>42</v>
      </c>
      <c r="Y3623" s="18" t="s">
        <v>36</v>
      </c>
      <c r="Z3623" s="18" t="s">
        <v>697</v>
      </c>
      <c r="AA3623" s="21" t="str">
        <f>HYPERLINK("https://www.ncbi.nlm.nih.gov/nuccore/HM624080","NCBI Nucleotide")</f>
        <v>NCBI Nucleotide</v>
      </c>
    </row>
    <row r="3624" spans="1:27" x14ac:dyDescent="0.35">
      <c r="A3624">
        <v>1004958</v>
      </c>
      <c r="B3624">
        <v>3600</v>
      </c>
      <c r="C3624">
        <v>1</v>
      </c>
      <c r="D3624" s="17" t="s">
        <v>155</v>
      </c>
      <c r="E3624" s="17"/>
      <c r="F3624" s="17" t="s">
        <v>156</v>
      </c>
      <c r="G3624" s="17"/>
      <c r="H3624" s="17" t="s">
        <v>692</v>
      </c>
      <c r="I3624" s="17"/>
      <c r="J3624" s="17" t="s">
        <v>693</v>
      </c>
      <c r="K3624" s="17"/>
      <c r="L3624" s="17"/>
      <c r="M3624" s="17"/>
      <c r="N3624" s="17"/>
      <c r="O3624" s="17"/>
      <c r="P3624" s="17" t="s">
        <v>1164</v>
      </c>
      <c r="Q3624" s="17"/>
      <c r="R3624" s="25" t="str">
        <f>HYPERLINK("https://ictv.global/taxonomy/taxondetails?taxnode_id=202314550","Casadabanvirus PfII40a")</f>
        <v>Casadabanvirus PfII40a</v>
      </c>
      <c r="S3624" s="18" t="s">
        <v>30</v>
      </c>
      <c r="T3624" s="18" t="s">
        <v>1205</v>
      </c>
      <c r="U3624" s="18"/>
      <c r="V3624" s="18"/>
      <c r="W3624" s="18" t="s">
        <v>1206</v>
      </c>
      <c r="X3624" s="18" t="s">
        <v>42</v>
      </c>
      <c r="Y3624" s="18" t="s">
        <v>36</v>
      </c>
      <c r="Z3624" s="18" t="s">
        <v>697</v>
      </c>
      <c r="AA3624" s="21" t="str">
        <f>HYPERLINK("https://www.ncbi.nlm.nih.gov/nuccore/LT608331","NCBI Nucleotide")</f>
        <v>NCBI Nucleotide</v>
      </c>
    </row>
    <row r="3625" spans="1:27" x14ac:dyDescent="0.35">
      <c r="A3625">
        <v>1004959</v>
      </c>
      <c r="B3625">
        <v>3601</v>
      </c>
      <c r="C3625">
        <v>1</v>
      </c>
      <c r="D3625" s="17" t="s">
        <v>155</v>
      </c>
      <c r="E3625" s="17"/>
      <c r="F3625" s="17" t="s">
        <v>156</v>
      </c>
      <c r="G3625" s="17"/>
      <c r="H3625" s="17" t="s">
        <v>692</v>
      </c>
      <c r="I3625" s="17"/>
      <c r="J3625" s="17" t="s">
        <v>693</v>
      </c>
      <c r="K3625" s="17"/>
      <c r="L3625" s="17"/>
      <c r="M3625" s="17"/>
      <c r="N3625" s="17"/>
      <c r="O3625" s="17"/>
      <c r="P3625" s="17" t="s">
        <v>1164</v>
      </c>
      <c r="Q3625" s="17"/>
      <c r="R3625" s="25" t="str">
        <f>HYPERLINK("https://ictv.global/taxonomy/taxondetails?taxnode_id=202314535","Casadabanvirus R24")</f>
        <v>Casadabanvirus R24</v>
      </c>
      <c r="S3625" s="18" t="s">
        <v>30</v>
      </c>
      <c r="T3625" s="18" t="s">
        <v>1207</v>
      </c>
      <c r="U3625" s="18"/>
      <c r="V3625" s="18"/>
      <c r="W3625" s="18" t="s">
        <v>1208</v>
      </c>
      <c r="X3625" s="18" t="s">
        <v>42</v>
      </c>
      <c r="Y3625" s="18" t="s">
        <v>36</v>
      </c>
      <c r="Z3625" s="18" t="s">
        <v>697</v>
      </c>
      <c r="AA3625" s="21" t="str">
        <f>HYPERLINK("https://www.ncbi.nlm.nih.gov/nuccore/MH643778","NCBI Nucleotide")</f>
        <v>NCBI Nucleotide</v>
      </c>
    </row>
    <row r="3626" spans="1:27" x14ac:dyDescent="0.35">
      <c r="A3626">
        <v>1004960</v>
      </c>
      <c r="B3626">
        <v>3602</v>
      </c>
      <c r="C3626">
        <v>1</v>
      </c>
      <c r="D3626" s="17" t="s">
        <v>155</v>
      </c>
      <c r="E3626" s="17"/>
      <c r="F3626" s="17" t="s">
        <v>156</v>
      </c>
      <c r="G3626" s="17"/>
      <c r="H3626" s="17" t="s">
        <v>692</v>
      </c>
      <c r="I3626" s="17"/>
      <c r="J3626" s="17" t="s">
        <v>693</v>
      </c>
      <c r="K3626" s="17"/>
      <c r="L3626" s="17"/>
      <c r="M3626" s="17"/>
      <c r="N3626" s="17"/>
      <c r="O3626" s="17"/>
      <c r="P3626" s="17" t="s">
        <v>1164</v>
      </c>
      <c r="Q3626" s="17"/>
      <c r="R3626" s="25" t="str">
        <f>HYPERLINK("https://ictv.global/taxonomy/taxondetails?taxnode_id=202314539","Casadabanvirus R960")</f>
        <v>Casadabanvirus R960</v>
      </c>
      <c r="S3626" s="18" t="s">
        <v>30</v>
      </c>
      <c r="T3626" s="18" t="s">
        <v>1209</v>
      </c>
      <c r="U3626" s="18"/>
      <c r="V3626" s="18"/>
      <c r="W3626" s="18" t="s">
        <v>1210</v>
      </c>
      <c r="X3626" s="18" t="s">
        <v>42</v>
      </c>
      <c r="Y3626" s="18" t="s">
        <v>36</v>
      </c>
      <c r="Z3626" s="18" t="s">
        <v>697</v>
      </c>
      <c r="AA3626" s="21" t="str">
        <f>HYPERLINK("https://www.ncbi.nlm.nih.gov/nuccore/MH643777","NCBI Nucleotide")</f>
        <v>NCBI Nucleotide</v>
      </c>
    </row>
    <row r="3627" spans="1:27" x14ac:dyDescent="0.35">
      <c r="A3627">
        <v>1004961</v>
      </c>
      <c r="B3627">
        <v>3603</v>
      </c>
      <c r="C3627">
        <v>1</v>
      </c>
      <c r="D3627" s="17" t="s">
        <v>155</v>
      </c>
      <c r="E3627" s="17"/>
      <c r="F3627" s="17" t="s">
        <v>156</v>
      </c>
      <c r="G3627" s="17"/>
      <c r="H3627" s="17" t="s">
        <v>692</v>
      </c>
      <c r="I3627" s="17"/>
      <c r="J3627" s="17" t="s">
        <v>693</v>
      </c>
      <c r="K3627" s="17"/>
      <c r="L3627" s="17"/>
      <c r="M3627" s="17"/>
      <c r="N3627" s="17"/>
      <c r="O3627" s="17"/>
      <c r="P3627" s="17" t="s">
        <v>1164</v>
      </c>
      <c r="Q3627" s="17"/>
      <c r="R3627" s="25" t="str">
        <f>HYPERLINK("https://ictv.global/taxonomy/taxondetails?taxnode_id=202314537","Casadabanvirus spike")</f>
        <v>Casadabanvirus spike</v>
      </c>
      <c r="S3627" s="18" t="s">
        <v>30</v>
      </c>
      <c r="T3627" s="18" t="s">
        <v>1211</v>
      </c>
      <c r="U3627" s="18"/>
      <c r="V3627" s="18"/>
      <c r="W3627" s="18" t="s">
        <v>1212</v>
      </c>
      <c r="X3627" s="18" t="s">
        <v>42</v>
      </c>
      <c r="Y3627" s="18" t="s">
        <v>36</v>
      </c>
      <c r="Z3627" s="18" t="s">
        <v>697</v>
      </c>
      <c r="AA3627" s="21" t="str">
        <f>HYPERLINK("https://www.ncbi.nlm.nih.gov/nuccore/MK144667","NCBI Nucleotide")</f>
        <v>NCBI Nucleotide</v>
      </c>
    </row>
    <row r="3628" spans="1:27" x14ac:dyDescent="0.35">
      <c r="A3628">
        <v>1004962</v>
      </c>
      <c r="B3628">
        <v>3604</v>
      </c>
      <c r="C3628">
        <v>1</v>
      </c>
      <c r="D3628" s="17" t="s">
        <v>155</v>
      </c>
      <c r="E3628" s="17"/>
      <c r="F3628" s="17" t="s">
        <v>156</v>
      </c>
      <c r="G3628" s="17"/>
      <c r="H3628" s="17" t="s">
        <v>692</v>
      </c>
      <c r="I3628" s="17"/>
      <c r="J3628" s="17" t="s">
        <v>693</v>
      </c>
      <c r="K3628" s="17"/>
      <c r="L3628" s="17"/>
      <c r="M3628" s="17"/>
      <c r="N3628" s="17"/>
      <c r="O3628" s="17"/>
      <c r="P3628" s="17" t="s">
        <v>1213</v>
      </c>
      <c r="Q3628" s="17"/>
      <c r="R3628" s="25" t="str">
        <f>HYPERLINK("https://ictv.global/taxonomy/taxondetails?taxnode_id=202300883","Cbastvirus ST")</f>
        <v>Cbastvirus ST</v>
      </c>
      <c r="S3628" s="18" t="s">
        <v>30</v>
      </c>
      <c r="T3628" s="18" t="s">
        <v>1214</v>
      </c>
      <c r="U3628" s="18"/>
      <c r="V3628" s="18"/>
      <c r="W3628" s="18" t="s">
        <v>1215</v>
      </c>
      <c r="X3628" s="18" t="s">
        <v>42</v>
      </c>
      <c r="Y3628" s="18" t="s">
        <v>36</v>
      </c>
      <c r="Z3628" s="18" t="s">
        <v>697</v>
      </c>
      <c r="AA3628" s="21" t="str">
        <f>HYPERLINK("https://www.ncbi.nlm.nih.gov/nuccore/HQ634192","NCBI Nucleotide")</f>
        <v>NCBI Nucleotide</v>
      </c>
    </row>
    <row r="3629" spans="1:27" x14ac:dyDescent="0.35">
      <c r="A3629">
        <v>1004963</v>
      </c>
      <c r="B3629">
        <v>3605</v>
      </c>
      <c r="C3629">
        <v>1</v>
      </c>
      <c r="D3629" s="17" t="s">
        <v>155</v>
      </c>
      <c r="E3629" s="17"/>
      <c r="F3629" s="17" t="s">
        <v>156</v>
      </c>
      <c r="G3629" s="17"/>
      <c r="H3629" s="17" t="s">
        <v>692</v>
      </c>
      <c r="I3629" s="17"/>
      <c r="J3629" s="17" t="s">
        <v>693</v>
      </c>
      <c r="K3629" s="17"/>
      <c r="L3629" s="17"/>
      <c r="M3629" s="17"/>
      <c r="N3629" s="17"/>
      <c r="O3629" s="17"/>
      <c r="P3629" s="17" t="s">
        <v>1216</v>
      </c>
      <c r="Q3629" s="17"/>
      <c r="R3629" s="25" t="str">
        <f>HYPERLINK("https://ictv.global/taxonomy/taxondetails?taxnode_id=202300885","Cecivirus cv250")</f>
        <v>Cecivirus cv250</v>
      </c>
      <c r="S3629" s="18" t="s">
        <v>30</v>
      </c>
      <c r="T3629" s="18" t="s">
        <v>1217</v>
      </c>
      <c r="U3629" s="18"/>
      <c r="V3629" s="18"/>
      <c r="W3629" s="18" t="s">
        <v>1218</v>
      </c>
      <c r="X3629" s="18" t="s">
        <v>42</v>
      </c>
      <c r="Y3629" s="18" t="s">
        <v>36</v>
      </c>
      <c r="Z3629" s="18" t="s">
        <v>697</v>
      </c>
      <c r="AA3629" s="21" t="str">
        <f>HYPERLINK("https://www.ncbi.nlm.nih.gov/nuccore/GU229986","NCBI Nucleotide")</f>
        <v>NCBI Nucleotide</v>
      </c>
    </row>
    <row r="3630" spans="1:27" x14ac:dyDescent="0.35">
      <c r="A3630">
        <v>1004964</v>
      </c>
      <c r="B3630">
        <v>3606</v>
      </c>
      <c r="C3630">
        <v>1</v>
      </c>
      <c r="D3630" s="17" t="s">
        <v>155</v>
      </c>
      <c r="E3630" s="17"/>
      <c r="F3630" s="17" t="s">
        <v>156</v>
      </c>
      <c r="G3630" s="17"/>
      <c r="H3630" s="17" t="s">
        <v>692</v>
      </c>
      <c r="I3630" s="17"/>
      <c r="J3630" s="17" t="s">
        <v>693</v>
      </c>
      <c r="K3630" s="17"/>
      <c r="L3630" s="17"/>
      <c r="M3630" s="17"/>
      <c r="N3630" s="17"/>
      <c r="O3630" s="17"/>
      <c r="P3630" s="17" t="s">
        <v>1216</v>
      </c>
      <c r="Q3630" s="17"/>
      <c r="R3630" s="25" t="str">
        <f>HYPERLINK("https://ictv.global/taxonomy/taxondetails?taxnode_id=202300886","Cecivirus IEBH")</f>
        <v>Cecivirus IEBH</v>
      </c>
      <c r="S3630" s="18" t="s">
        <v>30</v>
      </c>
      <c r="T3630" s="18" t="s">
        <v>1219</v>
      </c>
      <c r="U3630" s="18"/>
      <c r="V3630" s="18"/>
      <c r="W3630" s="18" t="s">
        <v>1220</v>
      </c>
      <c r="X3630" s="18" t="s">
        <v>42</v>
      </c>
      <c r="Y3630" s="18" t="s">
        <v>36</v>
      </c>
      <c r="Z3630" s="18" t="s">
        <v>697</v>
      </c>
      <c r="AA3630" s="21" t="str">
        <f>HYPERLINK("https://www.ncbi.nlm.nih.gov/nuccore/EU874396","NCBI Nucleotide")</f>
        <v>NCBI Nucleotide</v>
      </c>
    </row>
    <row r="3631" spans="1:27" x14ac:dyDescent="0.35">
      <c r="A3631">
        <v>1004965</v>
      </c>
      <c r="B3631">
        <v>3607</v>
      </c>
      <c r="C3631">
        <v>1</v>
      </c>
      <c r="D3631" s="17" t="s">
        <v>155</v>
      </c>
      <c r="E3631" s="17"/>
      <c r="F3631" s="17" t="s">
        <v>156</v>
      </c>
      <c r="G3631" s="17"/>
      <c r="H3631" s="17" t="s">
        <v>692</v>
      </c>
      <c r="I3631" s="17"/>
      <c r="J3631" s="17" t="s">
        <v>693</v>
      </c>
      <c r="K3631" s="17"/>
      <c r="L3631" s="17"/>
      <c r="M3631" s="17"/>
      <c r="N3631" s="17"/>
      <c r="O3631" s="17"/>
      <c r="P3631" s="17" t="s">
        <v>1221</v>
      </c>
      <c r="Q3631" s="17"/>
      <c r="R3631" s="25" t="str">
        <f>HYPERLINK("https://ictv.global/taxonomy/taxondetails?taxnode_id=202313616","Cedarrivervirus Sf11")</f>
        <v>Cedarrivervirus Sf11</v>
      </c>
      <c r="S3631" s="18" t="s">
        <v>30</v>
      </c>
      <c r="T3631" s="18" t="s">
        <v>1222</v>
      </c>
      <c r="U3631" s="18"/>
      <c r="V3631" s="18"/>
      <c r="W3631" s="18" t="s">
        <v>1223</v>
      </c>
      <c r="X3631" s="18" t="s">
        <v>42</v>
      </c>
      <c r="Y3631" s="18" t="s">
        <v>36</v>
      </c>
      <c r="Z3631" s="18" t="s">
        <v>697</v>
      </c>
      <c r="AA3631" s="21" t="str">
        <f>HYPERLINK("https://www.ncbi.nlm.nih.gov/nuccore/MF158038","NCBI Nucleotide")</f>
        <v>NCBI Nucleotide</v>
      </c>
    </row>
    <row r="3632" spans="1:27" x14ac:dyDescent="0.35">
      <c r="A3632">
        <v>1004966</v>
      </c>
      <c r="B3632">
        <v>3608</v>
      </c>
      <c r="C3632">
        <v>1</v>
      </c>
      <c r="D3632" s="17" t="s">
        <v>155</v>
      </c>
      <c r="E3632" s="17"/>
      <c r="F3632" s="17" t="s">
        <v>156</v>
      </c>
      <c r="G3632" s="17"/>
      <c r="H3632" s="17" t="s">
        <v>692</v>
      </c>
      <c r="I3632" s="17"/>
      <c r="J3632" s="17" t="s">
        <v>693</v>
      </c>
      <c r="K3632" s="17"/>
      <c r="L3632" s="17"/>
      <c r="M3632" s="17"/>
      <c r="N3632" s="17"/>
      <c r="O3632" s="17"/>
      <c r="P3632" s="17" t="s">
        <v>1224</v>
      </c>
      <c r="Q3632" s="17"/>
      <c r="R3632" s="25" t="str">
        <f>HYPERLINK("https://ictv.global/taxonomy/taxondetails?taxnode_id=202309801","Ceduovirus bIBB14")</f>
        <v>Ceduovirus bIBB14</v>
      </c>
      <c r="S3632" s="18" t="s">
        <v>30</v>
      </c>
      <c r="T3632" s="18" t="s">
        <v>1225</v>
      </c>
      <c r="U3632" s="18"/>
      <c r="V3632" s="18"/>
      <c r="W3632" s="18" t="s">
        <v>1226</v>
      </c>
      <c r="X3632" s="18" t="s">
        <v>42</v>
      </c>
      <c r="Y3632" s="18" t="s">
        <v>36</v>
      </c>
      <c r="Z3632" s="18" t="s">
        <v>697</v>
      </c>
      <c r="AA3632" s="21" t="str">
        <f>HYPERLINK("https://www.ncbi.nlm.nih.gov/nuccore/MH779519","NCBI Nucleotide")</f>
        <v>NCBI Nucleotide</v>
      </c>
    </row>
    <row r="3633" spans="1:27" x14ac:dyDescent="0.35">
      <c r="A3633">
        <v>1004967</v>
      </c>
      <c r="B3633">
        <v>3609</v>
      </c>
      <c r="C3633">
        <v>1</v>
      </c>
      <c r="D3633" s="17" t="s">
        <v>155</v>
      </c>
      <c r="E3633" s="17"/>
      <c r="F3633" s="17" t="s">
        <v>156</v>
      </c>
      <c r="G3633" s="17"/>
      <c r="H3633" s="17" t="s">
        <v>692</v>
      </c>
      <c r="I3633" s="17"/>
      <c r="J3633" s="17" t="s">
        <v>693</v>
      </c>
      <c r="K3633" s="17"/>
      <c r="L3633" s="17"/>
      <c r="M3633" s="17"/>
      <c r="N3633" s="17"/>
      <c r="O3633" s="17"/>
      <c r="P3633" s="17" t="s">
        <v>1224</v>
      </c>
      <c r="Q3633" s="17"/>
      <c r="R3633" s="25" t="str">
        <f>HYPERLINK("https://ictv.global/taxonomy/taxondetails?taxnode_id=202309806","Ceduovirus bIBBA3")</f>
        <v>Ceduovirus bIBBA3</v>
      </c>
      <c r="S3633" s="18" t="s">
        <v>30</v>
      </c>
      <c r="T3633" s="18" t="s">
        <v>1227</v>
      </c>
      <c r="U3633" s="18"/>
      <c r="V3633" s="18"/>
      <c r="W3633" s="18" t="s">
        <v>1228</v>
      </c>
      <c r="X3633" s="18" t="s">
        <v>42</v>
      </c>
      <c r="Y3633" s="18" t="s">
        <v>36</v>
      </c>
      <c r="Z3633" s="18" t="s">
        <v>697</v>
      </c>
      <c r="AA3633" s="21" t="str">
        <f>HYPERLINK("https://www.ncbi.nlm.nih.gov/nuccore/MH779522","NCBI Nucleotide")</f>
        <v>NCBI Nucleotide</v>
      </c>
    </row>
    <row r="3634" spans="1:27" x14ac:dyDescent="0.35">
      <c r="A3634">
        <v>1004968</v>
      </c>
      <c r="B3634">
        <v>3610</v>
      </c>
      <c r="C3634">
        <v>1</v>
      </c>
      <c r="D3634" s="17" t="s">
        <v>155</v>
      </c>
      <c r="E3634" s="17"/>
      <c r="F3634" s="17" t="s">
        <v>156</v>
      </c>
      <c r="G3634" s="17"/>
      <c r="H3634" s="17" t="s">
        <v>692</v>
      </c>
      <c r="I3634" s="17"/>
      <c r="J3634" s="17" t="s">
        <v>693</v>
      </c>
      <c r="K3634" s="17"/>
      <c r="L3634" s="17"/>
      <c r="M3634" s="17"/>
      <c r="N3634" s="17"/>
      <c r="O3634" s="17"/>
      <c r="P3634" s="17" t="s">
        <v>1224</v>
      </c>
      <c r="Q3634" s="17"/>
      <c r="R3634" s="25" t="str">
        <f>HYPERLINK("https://ictv.global/taxonomy/taxondetails?taxnode_id=202309797","Ceduovirus bIBBAm4")</f>
        <v>Ceduovirus bIBBAm4</v>
      </c>
      <c r="S3634" s="18" t="s">
        <v>30</v>
      </c>
      <c r="T3634" s="18" t="s">
        <v>1229</v>
      </c>
      <c r="U3634" s="18"/>
      <c r="V3634" s="18"/>
      <c r="W3634" s="18" t="s">
        <v>1230</v>
      </c>
      <c r="X3634" s="18" t="s">
        <v>42</v>
      </c>
      <c r="Y3634" s="18" t="s">
        <v>36</v>
      </c>
      <c r="Z3634" s="18" t="s">
        <v>697</v>
      </c>
      <c r="AA3634" s="21" t="str">
        <f>HYPERLINK("https://www.ncbi.nlm.nih.gov/nuccore/MH779523","NCBI Nucleotide")</f>
        <v>NCBI Nucleotide</v>
      </c>
    </row>
    <row r="3635" spans="1:27" x14ac:dyDescent="0.35">
      <c r="A3635">
        <v>1004969</v>
      </c>
      <c r="B3635">
        <v>3611</v>
      </c>
      <c r="C3635">
        <v>1</v>
      </c>
      <c r="D3635" s="17" t="s">
        <v>155</v>
      </c>
      <c r="E3635" s="17"/>
      <c r="F3635" s="17" t="s">
        <v>156</v>
      </c>
      <c r="G3635" s="17"/>
      <c r="H3635" s="17" t="s">
        <v>692</v>
      </c>
      <c r="I3635" s="17"/>
      <c r="J3635" s="17" t="s">
        <v>693</v>
      </c>
      <c r="K3635" s="17"/>
      <c r="L3635" s="17"/>
      <c r="M3635" s="17"/>
      <c r="N3635" s="17"/>
      <c r="O3635" s="17"/>
      <c r="P3635" s="17" t="s">
        <v>1224</v>
      </c>
      <c r="Q3635" s="17"/>
      <c r="R3635" s="25" t="str">
        <f>HYPERLINK("https://ictv.global/taxonomy/taxondetails?taxnode_id=202309814","Ceduovirus bIBBE1")</f>
        <v>Ceduovirus bIBBE1</v>
      </c>
      <c r="S3635" s="18" t="s">
        <v>30</v>
      </c>
      <c r="T3635" s="18" t="s">
        <v>1231</v>
      </c>
      <c r="U3635" s="18"/>
      <c r="V3635" s="18"/>
      <c r="W3635" s="18" t="s">
        <v>1232</v>
      </c>
      <c r="X3635" s="18" t="s">
        <v>42</v>
      </c>
      <c r="Y3635" s="18" t="s">
        <v>36</v>
      </c>
      <c r="Z3635" s="18" t="s">
        <v>697</v>
      </c>
      <c r="AA3635" s="21" t="str">
        <f>HYPERLINK("https://www.ncbi.nlm.nih.gov/nuccore/MH779525","NCBI Nucleotide")</f>
        <v>NCBI Nucleotide</v>
      </c>
    </row>
    <row r="3636" spans="1:27" x14ac:dyDescent="0.35">
      <c r="A3636">
        <v>1004970</v>
      </c>
      <c r="B3636">
        <v>3612</v>
      </c>
      <c r="C3636">
        <v>1</v>
      </c>
      <c r="D3636" s="17" t="s">
        <v>155</v>
      </c>
      <c r="E3636" s="17"/>
      <c r="F3636" s="17" t="s">
        <v>156</v>
      </c>
      <c r="G3636" s="17"/>
      <c r="H3636" s="17" t="s">
        <v>692</v>
      </c>
      <c r="I3636" s="17"/>
      <c r="J3636" s="17" t="s">
        <v>693</v>
      </c>
      <c r="K3636" s="17"/>
      <c r="L3636" s="17"/>
      <c r="M3636" s="17"/>
      <c r="N3636" s="17"/>
      <c r="O3636" s="17"/>
      <c r="P3636" s="17" t="s">
        <v>1224</v>
      </c>
      <c r="Q3636" s="17"/>
      <c r="R3636" s="25" t="str">
        <f>HYPERLINK("https://ictv.global/taxonomy/taxondetails?taxnode_id=202309807","Ceduovirus bIBBL12")</f>
        <v>Ceduovirus bIBBL12</v>
      </c>
      <c r="S3636" s="18" t="s">
        <v>30</v>
      </c>
      <c r="T3636" s="18" t="s">
        <v>1233</v>
      </c>
      <c r="U3636" s="18"/>
      <c r="V3636" s="18"/>
      <c r="W3636" s="18" t="s">
        <v>1234</v>
      </c>
      <c r="X3636" s="18" t="s">
        <v>42</v>
      </c>
      <c r="Y3636" s="18" t="s">
        <v>36</v>
      </c>
      <c r="Z3636" s="18" t="s">
        <v>697</v>
      </c>
      <c r="AA3636" s="21" t="str">
        <f>HYPERLINK("https://www.ncbi.nlm.nih.gov/nuccore/MH779518","NCBI Nucleotide")</f>
        <v>NCBI Nucleotide</v>
      </c>
    </row>
    <row r="3637" spans="1:27" x14ac:dyDescent="0.35">
      <c r="A3637">
        <v>1004971</v>
      </c>
      <c r="B3637">
        <v>3613</v>
      </c>
      <c r="C3637">
        <v>1</v>
      </c>
      <c r="D3637" s="17" t="s">
        <v>155</v>
      </c>
      <c r="E3637" s="17"/>
      <c r="F3637" s="17" t="s">
        <v>156</v>
      </c>
      <c r="G3637" s="17"/>
      <c r="H3637" s="17" t="s">
        <v>692</v>
      </c>
      <c r="I3637" s="17"/>
      <c r="J3637" s="17" t="s">
        <v>693</v>
      </c>
      <c r="K3637" s="17"/>
      <c r="L3637" s="17"/>
      <c r="M3637" s="17"/>
      <c r="N3637" s="17"/>
      <c r="O3637" s="17"/>
      <c r="P3637" s="17" t="s">
        <v>1224</v>
      </c>
      <c r="Q3637" s="17"/>
      <c r="R3637" s="25" t="str">
        <f>HYPERLINK("https://ictv.global/taxonomy/taxondetails?taxnode_id=202309818","Ceduovirus bIBBp64")</f>
        <v>Ceduovirus bIBBp64</v>
      </c>
      <c r="S3637" s="18" t="s">
        <v>30</v>
      </c>
      <c r="T3637" s="18" t="s">
        <v>1235</v>
      </c>
      <c r="U3637" s="18"/>
      <c r="V3637" s="18"/>
      <c r="W3637" s="18" t="s">
        <v>1236</v>
      </c>
      <c r="X3637" s="18" t="s">
        <v>42</v>
      </c>
      <c r="Y3637" s="18" t="s">
        <v>36</v>
      </c>
      <c r="Z3637" s="18" t="s">
        <v>697</v>
      </c>
      <c r="AA3637" s="21" t="str">
        <f>HYPERLINK("https://www.ncbi.nlm.nih.gov/nuccore/MH779527","NCBI Nucleotide")</f>
        <v>NCBI Nucleotide</v>
      </c>
    </row>
    <row r="3638" spans="1:27" x14ac:dyDescent="0.35">
      <c r="A3638">
        <v>1004972</v>
      </c>
      <c r="B3638">
        <v>3614</v>
      </c>
      <c r="C3638">
        <v>1</v>
      </c>
      <c r="D3638" s="17" t="s">
        <v>155</v>
      </c>
      <c r="E3638" s="17"/>
      <c r="F3638" s="17" t="s">
        <v>156</v>
      </c>
      <c r="G3638" s="17"/>
      <c r="H3638" s="17" t="s">
        <v>692</v>
      </c>
      <c r="I3638" s="17"/>
      <c r="J3638" s="17" t="s">
        <v>693</v>
      </c>
      <c r="K3638" s="17"/>
      <c r="L3638" s="17"/>
      <c r="M3638" s="17"/>
      <c r="N3638" s="17"/>
      <c r="O3638" s="17"/>
      <c r="P3638" s="17" t="s">
        <v>1224</v>
      </c>
      <c r="Q3638" s="17"/>
      <c r="R3638" s="25" t="str">
        <f>HYPERLINK("https://ictv.global/taxonomy/taxondetails?taxnode_id=202300869","Ceduovirus bIL67")</f>
        <v>Ceduovirus bIL67</v>
      </c>
      <c r="S3638" s="18" t="s">
        <v>30</v>
      </c>
      <c r="T3638" s="18" t="s">
        <v>1237</v>
      </c>
      <c r="U3638" s="18"/>
      <c r="V3638" s="18"/>
      <c r="W3638" s="18" t="s">
        <v>1238</v>
      </c>
      <c r="X3638" s="18" t="s">
        <v>42</v>
      </c>
      <c r="Y3638" s="18" t="s">
        <v>36</v>
      </c>
      <c r="Z3638" s="18" t="s">
        <v>697</v>
      </c>
      <c r="AA3638" s="21" t="str">
        <f>HYPERLINK("https://www.ncbi.nlm.nih.gov/nuccore/L33769","NCBI Nucleotide")</f>
        <v>NCBI Nucleotide</v>
      </c>
    </row>
    <row r="3639" spans="1:27" x14ac:dyDescent="0.35">
      <c r="A3639">
        <v>1004973</v>
      </c>
      <c r="B3639">
        <v>3615</v>
      </c>
      <c r="C3639">
        <v>1</v>
      </c>
      <c r="D3639" s="17" t="s">
        <v>155</v>
      </c>
      <c r="E3639" s="17"/>
      <c r="F3639" s="17" t="s">
        <v>156</v>
      </c>
      <c r="G3639" s="17"/>
      <c r="H3639" s="17" t="s">
        <v>692</v>
      </c>
      <c r="I3639" s="17"/>
      <c r="J3639" s="17" t="s">
        <v>693</v>
      </c>
      <c r="K3639" s="17"/>
      <c r="L3639" s="17"/>
      <c r="M3639" s="17"/>
      <c r="N3639" s="17"/>
      <c r="O3639" s="17"/>
      <c r="P3639" s="17" t="s">
        <v>1224</v>
      </c>
      <c r="Q3639" s="17"/>
      <c r="R3639" s="25" t="str">
        <f>HYPERLINK("https://ictv.global/taxonomy/taxondetails?taxnode_id=202309794","Ceduovirus blBB94p4")</f>
        <v>Ceduovirus blBB94p4</v>
      </c>
      <c r="S3639" s="18" t="s">
        <v>30</v>
      </c>
      <c r="T3639" s="18" t="s">
        <v>1239</v>
      </c>
      <c r="U3639" s="18"/>
      <c r="V3639" s="18"/>
      <c r="W3639" s="18" t="s">
        <v>1240</v>
      </c>
      <c r="X3639" s="18" t="s">
        <v>42</v>
      </c>
      <c r="Y3639" s="18" t="s">
        <v>36</v>
      </c>
      <c r="Z3639" s="18" t="s">
        <v>697</v>
      </c>
      <c r="AA3639" s="21" t="str">
        <f>HYPERLINK("https://www.ncbi.nlm.nih.gov/nuccore/MH779521","NCBI Nucleotide")</f>
        <v>NCBI Nucleotide</v>
      </c>
    </row>
    <row r="3640" spans="1:27" x14ac:dyDescent="0.35">
      <c r="A3640">
        <v>1004974</v>
      </c>
      <c r="B3640">
        <v>3616</v>
      </c>
      <c r="C3640">
        <v>1</v>
      </c>
      <c r="D3640" s="17" t="s">
        <v>155</v>
      </c>
      <c r="E3640" s="17"/>
      <c r="F3640" s="17" t="s">
        <v>156</v>
      </c>
      <c r="G3640" s="17"/>
      <c r="H3640" s="17" t="s">
        <v>692</v>
      </c>
      <c r="I3640" s="17"/>
      <c r="J3640" s="17" t="s">
        <v>693</v>
      </c>
      <c r="K3640" s="17"/>
      <c r="L3640" s="17"/>
      <c r="M3640" s="17"/>
      <c r="N3640" s="17"/>
      <c r="O3640" s="17"/>
      <c r="P3640" s="17" t="s">
        <v>1224</v>
      </c>
      <c r="Q3640" s="17"/>
      <c r="R3640" s="25" t="str">
        <f>HYPERLINK("https://ictv.global/taxonomy/taxondetails?taxnode_id=202300870","Ceduovirus c2")</f>
        <v>Ceduovirus c2</v>
      </c>
      <c r="S3640" s="18" t="s">
        <v>30</v>
      </c>
      <c r="T3640" s="18" t="s">
        <v>1241</v>
      </c>
      <c r="U3640" s="18"/>
      <c r="V3640" s="18"/>
      <c r="W3640" s="18" t="s">
        <v>1242</v>
      </c>
      <c r="X3640" s="18" t="s">
        <v>42</v>
      </c>
      <c r="Y3640" s="18" t="s">
        <v>36</v>
      </c>
      <c r="Z3640" s="18" t="s">
        <v>697</v>
      </c>
      <c r="AA3640" s="21" t="str">
        <f>HYPERLINK("https://www.ncbi.nlm.nih.gov/nuccore/L48605","NCBI Nucleotide")</f>
        <v>NCBI Nucleotide</v>
      </c>
    </row>
    <row r="3641" spans="1:27" x14ac:dyDescent="0.35">
      <c r="A3641">
        <v>1004976</v>
      </c>
      <c r="B3641">
        <v>3617</v>
      </c>
      <c r="C3641">
        <v>1</v>
      </c>
      <c r="D3641" s="17" t="s">
        <v>155</v>
      </c>
      <c r="E3641" s="17"/>
      <c r="F3641" s="17" t="s">
        <v>156</v>
      </c>
      <c r="G3641" s="17"/>
      <c r="H3641" s="17" t="s">
        <v>692</v>
      </c>
      <c r="I3641" s="17"/>
      <c r="J3641" s="17" t="s">
        <v>693</v>
      </c>
      <c r="K3641" s="17"/>
      <c r="L3641" s="17"/>
      <c r="M3641" s="17"/>
      <c r="N3641" s="17"/>
      <c r="O3641" s="17"/>
      <c r="P3641" s="17" t="s">
        <v>1224</v>
      </c>
      <c r="Q3641" s="17"/>
      <c r="R3641" s="25" t="str">
        <f>HYPERLINK("https://ictv.global/taxonomy/taxondetails?taxnode_id=202309820","Ceduovirus CHPC116")</f>
        <v>Ceduovirus CHPC116</v>
      </c>
      <c r="S3641" s="18" t="s">
        <v>30</v>
      </c>
      <c r="T3641" s="18" t="s">
        <v>1245</v>
      </c>
      <c r="U3641" s="18"/>
      <c r="V3641" s="18"/>
      <c r="W3641" s="18" t="s">
        <v>1246</v>
      </c>
      <c r="X3641" s="18" t="s">
        <v>42</v>
      </c>
      <c r="Y3641" s="18" t="s">
        <v>36</v>
      </c>
      <c r="Z3641" s="18" t="s">
        <v>697</v>
      </c>
      <c r="AA3641" s="21" t="str">
        <f>HYPERLINK("https://www.ncbi.nlm.nih.gov/nuccore/MN689507","NCBI Nucleotide")</f>
        <v>NCBI Nucleotide</v>
      </c>
    </row>
    <row r="3642" spans="1:27" x14ac:dyDescent="0.35">
      <c r="A3642">
        <v>1004980</v>
      </c>
      <c r="B3642">
        <v>3618</v>
      </c>
      <c r="C3642">
        <v>1</v>
      </c>
      <c r="D3642" s="17" t="s">
        <v>155</v>
      </c>
      <c r="E3642" s="17"/>
      <c r="F3642" s="17" t="s">
        <v>156</v>
      </c>
      <c r="G3642" s="17"/>
      <c r="H3642" s="17" t="s">
        <v>692</v>
      </c>
      <c r="I3642" s="17"/>
      <c r="J3642" s="17" t="s">
        <v>693</v>
      </c>
      <c r="K3642" s="17"/>
      <c r="L3642" s="17"/>
      <c r="M3642" s="17"/>
      <c r="N3642" s="17"/>
      <c r="O3642" s="17"/>
      <c r="P3642" s="17" t="s">
        <v>1224</v>
      </c>
      <c r="Q3642" s="17"/>
      <c r="R3642" s="25" t="str">
        <f>HYPERLINK("https://ictv.global/taxonomy/taxondetails?taxnode_id=202309823","Ceduovirus CHPC122")</f>
        <v>Ceduovirus CHPC122</v>
      </c>
      <c r="S3642" s="18" t="s">
        <v>30</v>
      </c>
      <c r="T3642" s="18" t="s">
        <v>1253</v>
      </c>
      <c r="U3642" s="18"/>
      <c r="V3642" s="18"/>
      <c r="W3642" s="18" t="s">
        <v>1254</v>
      </c>
      <c r="X3642" s="18" t="s">
        <v>42</v>
      </c>
      <c r="Y3642" s="18" t="s">
        <v>36</v>
      </c>
      <c r="Z3642" s="18" t="s">
        <v>697</v>
      </c>
      <c r="AA3642" s="21" t="str">
        <f>HYPERLINK("https://www.ncbi.nlm.nih.gov/nuccore/MN689512","NCBI Nucleotide")</f>
        <v>NCBI Nucleotide</v>
      </c>
    </row>
    <row r="3643" spans="1:27" x14ac:dyDescent="0.35">
      <c r="A3643">
        <v>1004982</v>
      </c>
      <c r="B3643">
        <v>3619</v>
      </c>
      <c r="C3643">
        <v>1</v>
      </c>
      <c r="D3643" s="17" t="s">
        <v>155</v>
      </c>
      <c r="E3643" s="17"/>
      <c r="F3643" s="17" t="s">
        <v>156</v>
      </c>
      <c r="G3643" s="17"/>
      <c r="H3643" s="17" t="s">
        <v>692</v>
      </c>
      <c r="I3643" s="17"/>
      <c r="J3643" s="17" t="s">
        <v>693</v>
      </c>
      <c r="K3643" s="17"/>
      <c r="L3643" s="17"/>
      <c r="M3643" s="17"/>
      <c r="N3643" s="17"/>
      <c r="O3643" s="17"/>
      <c r="P3643" s="17" t="s">
        <v>1224</v>
      </c>
      <c r="Q3643" s="17"/>
      <c r="R3643" s="25" t="str">
        <f>HYPERLINK("https://ictv.global/taxonomy/taxondetails?taxnode_id=202309795","Ceduovirus CHPC966")</f>
        <v>Ceduovirus CHPC966</v>
      </c>
      <c r="S3643" s="18" t="s">
        <v>30</v>
      </c>
      <c r="T3643" s="18" t="s">
        <v>1257</v>
      </c>
      <c r="U3643" s="18"/>
      <c r="V3643" s="18"/>
      <c r="W3643" s="18" t="s">
        <v>1258</v>
      </c>
      <c r="X3643" s="18" t="s">
        <v>154</v>
      </c>
      <c r="Y3643" s="18" t="s">
        <v>36</v>
      </c>
      <c r="Z3643" s="18" t="s">
        <v>697</v>
      </c>
      <c r="AA3643" s="21" t="str">
        <f>HYPERLINK("https://www.ncbi.nlm.nih.gov/nuccore/MN689526","NCBI Nucleotide")</f>
        <v>NCBI Nucleotide</v>
      </c>
    </row>
    <row r="3644" spans="1:27" x14ac:dyDescent="0.35">
      <c r="A3644">
        <v>1004983</v>
      </c>
      <c r="B3644">
        <v>3620</v>
      </c>
      <c r="C3644">
        <v>1</v>
      </c>
      <c r="D3644" s="17" t="s">
        <v>155</v>
      </c>
      <c r="E3644" s="17"/>
      <c r="F3644" s="17" t="s">
        <v>156</v>
      </c>
      <c r="G3644" s="17"/>
      <c r="H3644" s="17" t="s">
        <v>692</v>
      </c>
      <c r="I3644" s="17"/>
      <c r="J3644" s="17" t="s">
        <v>693</v>
      </c>
      <c r="K3644" s="17"/>
      <c r="L3644" s="17"/>
      <c r="M3644" s="17"/>
      <c r="N3644" s="17"/>
      <c r="O3644" s="17"/>
      <c r="P3644" s="17" t="s">
        <v>1224</v>
      </c>
      <c r="Q3644" s="17"/>
      <c r="R3644" s="25" t="str">
        <f>HYPERLINK("https://ictv.global/taxonomy/taxondetails?taxnode_id=202309819","Ceduovirus CHPC967")</f>
        <v>Ceduovirus CHPC967</v>
      </c>
      <c r="S3644" s="18" t="s">
        <v>30</v>
      </c>
      <c r="T3644" s="18" t="s">
        <v>1259</v>
      </c>
      <c r="U3644" s="18"/>
      <c r="V3644" s="18"/>
      <c r="W3644" s="18" t="s">
        <v>1260</v>
      </c>
      <c r="X3644" s="18" t="s">
        <v>42</v>
      </c>
      <c r="Y3644" s="18" t="s">
        <v>36</v>
      </c>
      <c r="Z3644" s="18" t="s">
        <v>697</v>
      </c>
      <c r="AA3644" s="21" t="str">
        <f>HYPERLINK("https://www.ncbi.nlm.nih.gov/nuccore/MN689527","NCBI Nucleotide")</f>
        <v>NCBI Nucleotide</v>
      </c>
    </row>
    <row r="3645" spans="1:27" x14ac:dyDescent="0.35">
      <c r="A3645">
        <v>1004984</v>
      </c>
      <c r="B3645">
        <v>3621</v>
      </c>
      <c r="C3645">
        <v>1</v>
      </c>
      <c r="D3645" s="17" t="s">
        <v>155</v>
      </c>
      <c r="E3645" s="17"/>
      <c r="F3645" s="17" t="s">
        <v>156</v>
      </c>
      <c r="G3645" s="17"/>
      <c r="H3645" s="17" t="s">
        <v>692</v>
      </c>
      <c r="I3645" s="17"/>
      <c r="J3645" s="17" t="s">
        <v>693</v>
      </c>
      <c r="K3645" s="17"/>
      <c r="L3645" s="17"/>
      <c r="M3645" s="17"/>
      <c r="N3645" s="17"/>
      <c r="O3645" s="17"/>
      <c r="P3645" s="17" t="s">
        <v>1224</v>
      </c>
      <c r="Q3645" s="17"/>
      <c r="R3645" s="25" t="str">
        <f>HYPERLINK("https://ictv.global/taxonomy/taxondetails?taxnode_id=202309825","Ceduovirus CHPC972")</f>
        <v>Ceduovirus CHPC972</v>
      </c>
      <c r="S3645" s="18" t="s">
        <v>30</v>
      </c>
      <c r="T3645" s="18" t="s">
        <v>1261</v>
      </c>
      <c r="U3645" s="18"/>
      <c r="V3645" s="18"/>
      <c r="W3645" s="18" t="s">
        <v>1262</v>
      </c>
      <c r="X3645" s="18" t="s">
        <v>42</v>
      </c>
      <c r="Y3645" s="18" t="s">
        <v>36</v>
      </c>
      <c r="Z3645" s="18" t="s">
        <v>697</v>
      </c>
      <c r="AA3645" s="21" t="str">
        <f>HYPERLINK("https://www.ncbi.nlm.nih.gov/nuccore/MN689528","NCBI Nucleotide")</f>
        <v>NCBI Nucleotide</v>
      </c>
    </row>
    <row r="3646" spans="1:27" x14ac:dyDescent="0.35">
      <c r="A3646">
        <v>1004975</v>
      </c>
      <c r="B3646">
        <v>3622</v>
      </c>
      <c r="C3646">
        <v>1</v>
      </c>
      <c r="D3646" s="17" t="s">
        <v>155</v>
      </c>
      <c r="E3646" s="17"/>
      <c r="F3646" s="17" t="s">
        <v>156</v>
      </c>
      <c r="G3646" s="17"/>
      <c r="H3646" s="17" t="s">
        <v>692</v>
      </c>
      <c r="I3646" s="17"/>
      <c r="J3646" s="17" t="s">
        <v>693</v>
      </c>
      <c r="K3646" s="17"/>
      <c r="L3646" s="17"/>
      <c r="M3646" s="17"/>
      <c r="N3646" s="17"/>
      <c r="O3646" s="17"/>
      <c r="P3646" s="17" t="s">
        <v>1224</v>
      </c>
      <c r="Q3646" s="17"/>
      <c r="R3646" s="25" t="str">
        <f>HYPERLINK("https://ictv.global/taxonomy/taxondetails?taxnode_id=202309800","Ceduovirus CHPC1020")</f>
        <v>Ceduovirus CHPC1020</v>
      </c>
      <c r="S3646" s="18" t="s">
        <v>30</v>
      </c>
      <c r="T3646" s="18" t="s">
        <v>1243</v>
      </c>
      <c r="U3646" s="18"/>
      <c r="V3646" s="18"/>
      <c r="W3646" s="18" t="s">
        <v>1244</v>
      </c>
      <c r="X3646" s="18" t="s">
        <v>42</v>
      </c>
      <c r="Y3646" s="18" t="s">
        <v>36</v>
      </c>
      <c r="Z3646" s="18" t="s">
        <v>697</v>
      </c>
      <c r="AA3646" s="21" t="str">
        <f>HYPERLINK("https://www.ncbi.nlm.nih.gov/nuccore/MN689505","NCBI Nucleotide")</f>
        <v>NCBI Nucleotide</v>
      </c>
    </row>
    <row r="3647" spans="1:27" x14ac:dyDescent="0.35">
      <c r="A3647">
        <v>1004977</v>
      </c>
      <c r="B3647">
        <v>3623</v>
      </c>
      <c r="C3647">
        <v>1</v>
      </c>
      <c r="D3647" s="17" t="s">
        <v>155</v>
      </c>
      <c r="E3647" s="17"/>
      <c r="F3647" s="17" t="s">
        <v>156</v>
      </c>
      <c r="G3647" s="17"/>
      <c r="H3647" s="17" t="s">
        <v>692</v>
      </c>
      <c r="I3647" s="17"/>
      <c r="J3647" s="17" t="s">
        <v>693</v>
      </c>
      <c r="K3647" s="17"/>
      <c r="L3647" s="17"/>
      <c r="M3647" s="17"/>
      <c r="N3647" s="17"/>
      <c r="O3647" s="17"/>
      <c r="P3647" s="17" t="s">
        <v>1224</v>
      </c>
      <c r="Q3647" s="17"/>
      <c r="R3647" s="25" t="str">
        <f>HYPERLINK("https://ictv.global/taxonomy/taxondetails?taxnode_id=202309824","Ceduovirus CHPC1170")</f>
        <v>Ceduovirus CHPC1170</v>
      </c>
      <c r="S3647" s="18" t="s">
        <v>30</v>
      </c>
      <c r="T3647" s="18" t="s">
        <v>1247</v>
      </c>
      <c r="U3647" s="18"/>
      <c r="V3647" s="18"/>
      <c r="W3647" s="18" t="s">
        <v>1248</v>
      </c>
      <c r="X3647" s="18" t="s">
        <v>42</v>
      </c>
      <c r="Y3647" s="18" t="s">
        <v>36</v>
      </c>
      <c r="Z3647" s="18" t="s">
        <v>697</v>
      </c>
      <c r="AA3647" s="21" t="str">
        <f>HYPERLINK("https://www.ncbi.nlm.nih.gov/nuccore/MN689508","NCBI Nucleotide")</f>
        <v>NCBI Nucleotide</v>
      </c>
    </row>
    <row r="3648" spans="1:27" x14ac:dyDescent="0.35">
      <c r="A3648">
        <v>1004978</v>
      </c>
      <c r="B3648">
        <v>3624</v>
      </c>
      <c r="C3648">
        <v>1</v>
      </c>
      <c r="D3648" s="17" t="s">
        <v>155</v>
      </c>
      <c r="E3648" s="17"/>
      <c r="F3648" s="17" t="s">
        <v>156</v>
      </c>
      <c r="G3648" s="17"/>
      <c r="H3648" s="17" t="s">
        <v>692</v>
      </c>
      <c r="I3648" s="17"/>
      <c r="J3648" s="17" t="s">
        <v>693</v>
      </c>
      <c r="K3648" s="17"/>
      <c r="L3648" s="17"/>
      <c r="M3648" s="17"/>
      <c r="N3648" s="17"/>
      <c r="O3648" s="17"/>
      <c r="P3648" s="17" t="s">
        <v>1224</v>
      </c>
      <c r="Q3648" s="17"/>
      <c r="R3648" s="25" t="str">
        <f>HYPERLINK("https://ictv.global/taxonomy/taxondetails?taxnode_id=202309802","Ceduovirus CHPC1182")</f>
        <v>Ceduovirus CHPC1182</v>
      </c>
      <c r="S3648" s="18" t="s">
        <v>30</v>
      </c>
      <c r="T3648" s="18" t="s">
        <v>1249</v>
      </c>
      <c r="U3648" s="18"/>
      <c r="V3648" s="18"/>
      <c r="W3648" s="18" t="s">
        <v>1250</v>
      </c>
      <c r="X3648" s="18" t="s">
        <v>42</v>
      </c>
      <c r="Y3648" s="18" t="s">
        <v>36</v>
      </c>
      <c r="Z3648" s="18" t="s">
        <v>697</v>
      </c>
      <c r="AA3648" s="21" t="str">
        <f>HYPERLINK("https://www.ncbi.nlm.nih.gov/nuccore/MN689510","NCBI Nucleotide")</f>
        <v>NCBI Nucleotide</v>
      </c>
    </row>
    <row r="3649" spans="1:27" x14ac:dyDescent="0.35">
      <c r="A3649">
        <v>1004979</v>
      </c>
      <c r="B3649">
        <v>3625</v>
      </c>
      <c r="C3649">
        <v>1</v>
      </c>
      <c r="D3649" s="17" t="s">
        <v>155</v>
      </c>
      <c r="E3649" s="17"/>
      <c r="F3649" s="17" t="s">
        <v>156</v>
      </c>
      <c r="G3649" s="17"/>
      <c r="H3649" s="17" t="s">
        <v>692</v>
      </c>
      <c r="I3649" s="17"/>
      <c r="J3649" s="17" t="s">
        <v>693</v>
      </c>
      <c r="K3649" s="17"/>
      <c r="L3649" s="17"/>
      <c r="M3649" s="17"/>
      <c r="N3649" s="17"/>
      <c r="O3649" s="17"/>
      <c r="P3649" s="17" t="s">
        <v>1224</v>
      </c>
      <c r="Q3649" s="17"/>
      <c r="R3649" s="25" t="str">
        <f>HYPERLINK("https://ictv.global/taxonomy/taxondetails?taxnode_id=202309803","Ceduovirus CHPC1183")</f>
        <v>Ceduovirus CHPC1183</v>
      </c>
      <c r="S3649" s="18" t="s">
        <v>30</v>
      </c>
      <c r="T3649" s="18" t="s">
        <v>1251</v>
      </c>
      <c r="U3649" s="18"/>
      <c r="V3649" s="18"/>
      <c r="W3649" s="18" t="s">
        <v>1252</v>
      </c>
      <c r="X3649" s="18" t="s">
        <v>42</v>
      </c>
      <c r="Y3649" s="18" t="s">
        <v>36</v>
      </c>
      <c r="Z3649" s="18" t="s">
        <v>697</v>
      </c>
      <c r="AA3649" s="21" t="str">
        <f>HYPERLINK("https://www.ncbi.nlm.nih.gov/nuccore/MN689511","NCBI Nucleotide")</f>
        <v>NCBI Nucleotide</v>
      </c>
    </row>
    <row r="3650" spans="1:27" x14ac:dyDescent="0.35">
      <c r="A3650">
        <v>1004981</v>
      </c>
      <c r="B3650">
        <v>3626</v>
      </c>
      <c r="C3650">
        <v>1</v>
      </c>
      <c r="D3650" s="17" t="s">
        <v>155</v>
      </c>
      <c r="E3650" s="17"/>
      <c r="F3650" s="17" t="s">
        <v>156</v>
      </c>
      <c r="G3650" s="17"/>
      <c r="H3650" s="17" t="s">
        <v>692</v>
      </c>
      <c r="I3650" s="17"/>
      <c r="J3650" s="17" t="s">
        <v>693</v>
      </c>
      <c r="K3650" s="17"/>
      <c r="L3650" s="17"/>
      <c r="M3650" s="17"/>
      <c r="N3650" s="17"/>
      <c r="O3650" s="17"/>
      <c r="P3650" s="17" t="s">
        <v>1224</v>
      </c>
      <c r="Q3650" s="17"/>
      <c r="R3650" s="25" t="str">
        <f>HYPERLINK("https://ictv.global/taxonomy/taxondetails?taxnode_id=202309821","Ceduovirus CHPC1242")</f>
        <v>Ceduovirus CHPC1242</v>
      </c>
      <c r="S3650" s="18" t="s">
        <v>30</v>
      </c>
      <c r="T3650" s="18" t="s">
        <v>1255</v>
      </c>
      <c r="U3650" s="18"/>
      <c r="V3650" s="18"/>
      <c r="W3650" s="18" t="s">
        <v>1256</v>
      </c>
      <c r="X3650" s="18" t="s">
        <v>154</v>
      </c>
      <c r="Y3650" s="18" t="s">
        <v>36</v>
      </c>
      <c r="Z3650" s="18" t="s">
        <v>697</v>
      </c>
      <c r="AA3650" s="21" t="str">
        <f>HYPERLINK("https://www.ncbi.nlm.nih.gov/nuccore/MN689513","NCBI Nucleotide")</f>
        <v>NCBI Nucleotide</v>
      </c>
    </row>
    <row r="3651" spans="1:27" x14ac:dyDescent="0.35">
      <c r="A3651">
        <v>1004985</v>
      </c>
      <c r="B3651">
        <v>3627</v>
      </c>
      <c r="C3651">
        <v>1</v>
      </c>
      <c r="D3651" s="17" t="s">
        <v>155</v>
      </c>
      <c r="E3651" s="17"/>
      <c r="F3651" s="17" t="s">
        <v>156</v>
      </c>
      <c r="G3651" s="17"/>
      <c r="H3651" s="17" t="s">
        <v>692</v>
      </c>
      <c r="I3651" s="17"/>
      <c r="J3651" s="17" t="s">
        <v>693</v>
      </c>
      <c r="K3651" s="17"/>
      <c r="L3651" s="17"/>
      <c r="M3651" s="17"/>
      <c r="N3651" s="17"/>
      <c r="O3651" s="17"/>
      <c r="P3651" s="17" t="s">
        <v>1224</v>
      </c>
      <c r="Q3651" s="17"/>
      <c r="R3651" s="25" t="str">
        <f>HYPERLINK("https://ictv.global/taxonomy/taxondetails?taxnode_id=202309813","Ceduovirus cv05802")</f>
        <v>Ceduovirus cv05802</v>
      </c>
      <c r="S3651" s="18" t="s">
        <v>30</v>
      </c>
      <c r="T3651" s="18" t="s">
        <v>1263</v>
      </c>
      <c r="U3651" s="18"/>
      <c r="V3651" s="18"/>
      <c r="W3651" s="18" t="s">
        <v>1264</v>
      </c>
      <c r="X3651" s="18" t="s">
        <v>42</v>
      </c>
      <c r="Y3651" s="18" t="s">
        <v>36</v>
      </c>
      <c r="Z3651" s="18" t="s">
        <v>697</v>
      </c>
      <c r="AA3651" s="21" t="str">
        <f>HYPERLINK("https://www.ncbi.nlm.nih.gov/nuccore/MF443126","NCBI Nucleotide")</f>
        <v>NCBI Nucleotide</v>
      </c>
    </row>
    <row r="3652" spans="1:27" x14ac:dyDescent="0.35">
      <c r="A3652">
        <v>1004986</v>
      </c>
      <c r="B3652">
        <v>3628</v>
      </c>
      <c r="C3652">
        <v>1</v>
      </c>
      <c r="D3652" s="17" t="s">
        <v>155</v>
      </c>
      <c r="E3652" s="17"/>
      <c r="F3652" s="17" t="s">
        <v>156</v>
      </c>
      <c r="G3652" s="17"/>
      <c r="H3652" s="17" t="s">
        <v>692</v>
      </c>
      <c r="I3652" s="17"/>
      <c r="J3652" s="17" t="s">
        <v>693</v>
      </c>
      <c r="K3652" s="17"/>
      <c r="L3652" s="17"/>
      <c r="M3652" s="17"/>
      <c r="N3652" s="17"/>
      <c r="O3652" s="17"/>
      <c r="P3652" s="17" t="s">
        <v>1224</v>
      </c>
      <c r="Q3652" s="17"/>
      <c r="R3652" s="25" t="str">
        <f>HYPERLINK("https://ictv.global/taxonomy/taxondetails?taxnode_id=202309816","Ceduovirus cv20R03M")</f>
        <v>Ceduovirus cv20R03M</v>
      </c>
      <c r="S3652" s="18" t="s">
        <v>30</v>
      </c>
      <c r="T3652" s="18" t="s">
        <v>1265</v>
      </c>
      <c r="U3652" s="18"/>
      <c r="V3652" s="18"/>
      <c r="W3652" s="18" t="s">
        <v>1266</v>
      </c>
      <c r="X3652" s="18" t="s">
        <v>42</v>
      </c>
      <c r="Y3652" s="18" t="s">
        <v>36</v>
      </c>
      <c r="Z3652" s="18" t="s">
        <v>697</v>
      </c>
      <c r="AA3652" s="21" t="str">
        <f>HYPERLINK("https://www.ncbi.nlm.nih.gov/nuccore/MK301442","NCBI Nucleotide")</f>
        <v>NCBI Nucleotide</v>
      </c>
    </row>
    <row r="3653" spans="1:27" x14ac:dyDescent="0.35">
      <c r="A3653">
        <v>1004987</v>
      </c>
      <c r="B3653">
        <v>3629</v>
      </c>
      <c r="C3653">
        <v>1</v>
      </c>
      <c r="D3653" s="17" t="s">
        <v>155</v>
      </c>
      <c r="E3653" s="17"/>
      <c r="F3653" s="17" t="s">
        <v>156</v>
      </c>
      <c r="G3653" s="17"/>
      <c r="H3653" s="17" t="s">
        <v>692</v>
      </c>
      <c r="I3653" s="17"/>
      <c r="J3653" s="17" t="s">
        <v>693</v>
      </c>
      <c r="K3653" s="17"/>
      <c r="L3653" s="17"/>
      <c r="M3653" s="17"/>
      <c r="N3653" s="17"/>
      <c r="O3653" s="17"/>
      <c r="P3653" s="17" t="s">
        <v>1224</v>
      </c>
      <c r="Q3653" s="17"/>
      <c r="R3653" s="25" t="str">
        <f>HYPERLINK("https://ictv.global/taxonomy/taxondetails?taxnode_id=202309815","Ceduovirus cv37203")</f>
        <v>Ceduovirus cv37203</v>
      </c>
      <c r="S3653" s="18" t="s">
        <v>30</v>
      </c>
      <c r="T3653" s="18" t="s">
        <v>1267</v>
      </c>
      <c r="U3653" s="18"/>
      <c r="V3653" s="18"/>
      <c r="W3653" s="18" t="s">
        <v>1268</v>
      </c>
      <c r="X3653" s="18" t="s">
        <v>42</v>
      </c>
      <c r="Y3653" s="18" t="s">
        <v>36</v>
      </c>
      <c r="Z3653" s="18" t="s">
        <v>697</v>
      </c>
      <c r="AA3653" s="21" t="str">
        <f>HYPERLINK("https://www.ncbi.nlm.nih.gov/nuccore/MF443121","NCBI Nucleotide")</f>
        <v>NCBI Nucleotide</v>
      </c>
    </row>
    <row r="3654" spans="1:27" x14ac:dyDescent="0.35">
      <c r="A3654">
        <v>1004988</v>
      </c>
      <c r="B3654">
        <v>3630</v>
      </c>
      <c r="C3654">
        <v>1</v>
      </c>
      <c r="D3654" s="17" t="s">
        <v>155</v>
      </c>
      <c r="E3654" s="17"/>
      <c r="F3654" s="17" t="s">
        <v>156</v>
      </c>
      <c r="G3654" s="17"/>
      <c r="H3654" s="17" t="s">
        <v>692</v>
      </c>
      <c r="I3654" s="17"/>
      <c r="J3654" s="17" t="s">
        <v>693</v>
      </c>
      <c r="K3654" s="17"/>
      <c r="L3654" s="17"/>
      <c r="M3654" s="17"/>
      <c r="N3654" s="17"/>
      <c r="O3654" s="17"/>
      <c r="P3654" s="17" t="s">
        <v>1224</v>
      </c>
      <c r="Q3654" s="17"/>
      <c r="R3654" s="25" t="str">
        <f>HYPERLINK("https://ictv.global/taxonomy/taxondetails?taxnode_id=202309817","Ceduovirus cv50102")</f>
        <v>Ceduovirus cv50102</v>
      </c>
      <c r="S3654" s="18" t="s">
        <v>30</v>
      </c>
      <c r="T3654" s="18" t="s">
        <v>1269</v>
      </c>
      <c r="U3654" s="18"/>
      <c r="V3654" s="18"/>
      <c r="W3654" s="18" t="s">
        <v>1270</v>
      </c>
      <c r="X3654" s="18" t="s">
        <v>42</v>
      </c>
      <c r="Y3654" s="18" t="s">
        <v>36</v>
      </c>
      <c r="Z3654" s="18" t="s">
        <v>697</v>
      </c>
      <c r="AA3654" s="21" t="str">
        <f>HYPERLINK("https://www.ncbi.nlm.nih.gov/nuccore/MF443125","NCBI Nucleotide")</f>
        <v>NCBI Nucleotide</v>
      </c>
    </row>
    <row r="3655" spans="1:27" x14ac:dyDescent="0.35">
      <c r="A3655">
        <v>1004989</v>
      </c>
      <c r="B3655">
        <v>3631</v>
      </c>
      <c r="C3655">
        <v>1</v>
      </c>
      <c r="D3655" s="17" t="s">
        <v>155</v>
      </c>
      <c r="E3655" s="17"/>
      <c r="F3655" s="17" t="s">
        <v>156</v>
      </c>
      <c r="G3655" s="17"/>
      <c r="H3655" s="17" t="s">
        <v>692</v>
      </c>
      <c r="I3655" s="17"/>
      <c r="J3655" s="17" t="s">
        <v>693</v>
      </c>
      <c r="K3655" s="17"/>
      <c r="L3655" s="17"/>
      <c r="M3655" s="17"/>
      <c r="N3655" s="17"/>
      <c r="O3655" s="17"/>
      <c r="P3655" s="17" t="s">
        <v>1224</v>
      </c>
      <c r="Q3655" s="17"/>
      <c r="R3655" s="25" t="str">
        <f>HYPERLINK("https://ictv.global/taxonomy/taxondetails?taxnode_id=202309822","Ceduovirus cv50504")</f>
        <v>Ceduovirus cv50504</v>
      </c>
      <c r="S3655" s="18" t="s">
        <v>30</v>
      </c>
      <c r="T3655" s="18" t="s">
        <v>1271</v>
      </c>
      <c r="U3655" s="18"/>
      <c r="V3655" s="18"/>
      <c r="W3655" s="18" t="s">
        <v>1272</v>
      </c>
      <c r="X3655" s="18" t="s">
        <v>42</v>
      </c>
      <c r="Y3655" s="18" t="s">
        <v>36</v>
      </c>
      <c r="Z3655" s="18" t="s">
        <v>697</v>
      </c>
      <c r="AA3655" s="21" t="str">
        <f>HYPERLINK("https://www.ncbi.nlm.nih.gov/nuccore/MF443124","NCBI Nucleotide")</f>
        <v>NCBI Nucleotide</v>
      </c>
    </row>
    <row r="3656" spans="1:27" x14ac:dyDescent="0.35">
      <c r="A3656">
        <v>1004990</v>
      </c>
      <c r="B3656">
        <v>3632</v>
      </c>
      <c r="C3656">
        <v>1</v>
      </c>
      <c r="D3656" s="17" t="s">
        <v>155</v>
      </c>
      <c r="E3656" s="17"/>
      <c r="F3656" s="17" t="s">
        <v>156</v>
      </c>
      <c r="G3656" s="17"/>
      <c r="H3656" s="17" t="s">
        <v>692</v>
      </c>
      <c r="I3656" s="17"/>
      <c r="J3656" s="17" t="s">
        <v>693</v>
      </c>
      <c r="K3656" s="17"/>
      <c r="L3656" s="17"/>
      <c r="M3656" s="17"/>
      <c r="N3656" s="17"/>
      <c r="O3656" s="17"/>
      <c r="P3656" s="17" t="s">
        <v>1224</v>
      </c>
      <c r="Q3656" s="17"/>
      <c r="R3656" s="25" t="str">
        <f>HYPERLINK("https://ictv.global/taxonomy/taxondetails?taxnode_id=202309805","Ceduovirus cv5171F")</f>
        <v>Ceduovirus cv5171F</v>
      </c>
      <c r="S3656" s="18" t="s">
        <v>30</v>
      </c>
      <c r="T3656" s="18" t="s">
        <v>1273</v>
      </c>
      <c r="U3656" s="18"/>
      <c r="V3656" s="18"/>
      <c r="W3656" s="18" t="s">
        <v>1274</v>
      </c>
      <c r="X3656" s="18" t="s">
        <v>42</v>
      </c>
      <c r="Y3656" s="18" t="s">
        <v>36</v>
      </c>
      <c r="Z3656" s="18" t="s">
        <v>697</v>
      </c>
      <c r="AA3656" s="21" t="str">
        <f>HYPERLINK("https://www.ncbi.nlm.nih.gov/nuccore/MN689503","NCBI Nucleotide")</f>
        <v>NCBI Nucleotide</v>
      </c>
    </row>
    <row r="3657" spans="1:27" x14ac:dyDescent="0.35">
      <c r="A3657">
        <v>1004991</v>
      </c>
      <c r="B3657">
        <v>3633</v>
      </c>
      <c r="C3657">
        <v>1</v>
      </c>
      <c r="D3657" s="17" t="s">
        <v>155</v>
      </c>
      <c r="E3657" s="17"/>
      <c r="F3657" s="17" t="s">
        <v>156</v>
      </c>
      <c r="G3657" s="17"/>
      <c r="H3657" s="17" t="s">
        <v>692</v>
      </c>
      <c r="I3657" s="17"/>
      <c r="J3657" s="17" t="s">
        <v>693</v>
      </c>
      <c r="K3657" s="17"/>
      <c r="L3657" s="17"/>
      <c r="M3657" s="17"/>
      <c r="N3657" s="17"/>
      <c r="O3657" s="17"/>
      <c r="P3657" s="17" t="s">
        <v>1224</v>
      </c>
      <c r="Q3657" s="17"/>
      <c r="R3657" s="25" t="str">
        <f>HYPERLINK("https://ictv.global/taxonomy/taxondetails?taxnode_id=202309798","Ceduovirus cv62402")</f>
        <v>Ceduovirus cv62402</v>
      </c>
      <c r="S3657" s="18" t="s">
        <v>30</v>
      </c>
      <c r="T3657" s="18" t="s">
        <v>1275</v>
      </c>
      <c r="U3657" s="18"/>
      <c r="V3657" s="18"/>
      <c r="W3657" s="18" t="s">
        <v>1276</v>
      </c>
      <c r="X3657" s="18" t="s">
        <v>42</v>
      </c>
      <c r="Y3657" s="18" t="s">
        <v>36</v>
      </c>
      <c r="Z3657" s="18" t="s">
        <v>697</v>
      </c>
      <c r="AA3657" s="21" t="str">
        <f>HYPERLINK("https://www.ncbi.nlm.nih.gov/nuccore/MF443119","NCBI Nucleotide")</f>
        <v>NCBI Nucleotide</v>
      </c>
    </row>
    <row r="3658" spans="1:27" x14ac:dyDescent="0.35">
      <c r="A3658">
        <v>1004992</v>
      </c>
      <c r="B3658">
        <v>3634</v>
      </c>
      <c r="C3658">
        <v>1</v>
      </c>
      <c r="D3658" s="17" t="s">
        <v>155</v>
      </c>
      <c r="E3658" s="17"/>
      <c r="F3658" s="17" t="s">
        <v>156</v>
      </c>
      <c r="G3658" s="17"/>
      <c r="H3658" s="17" t="s">
        <v>692</v>
      </c>
      <c r="I3658" s="17"/>
      <c r="J3658" s="17" t="s">
        <v>693</v>
      </c>
      <c r="K3658" s="17"/>
      <c r="L3658" s="17"/>
      <c r="M3658" s="17"/>
      <c r="N3658" s="17"/>
      <c r="O3658" s="17"/>
      <c r="P3658" s="17" t="s">
        <v>1224</v>
      </c>
      <c r="Q3658" s="17"/>
      <c r="R3658" s="25" t="str">
        <f>HYPERLINK("https://ictv.global/taxonomy/taxondetails?taxnode_id=202309799","Ceduovirus cv62403")</f>
        <v>Ceduovirus cv62403</v>
      </c>
      <c r="S3658" s="18" t="s">
        <v>30</v>
      </c>
      <c r="T3658" s="18" t="s">
        <v>1277</v>
      </c>
      <c r="U3658" s="18"/>
      <c r="V3658" s="18"/>
      <c r="W3658" s="18" t="s">
        <v>1278</v>
      </c>
      <c r="X3658" s="18" t="s">
        <v>42</v>
      </c>
      <c r="Y3658" s="18" t="s">
        <v>36</v>
      </c>
      <c r="Z3658" s="18" t="s">
        <v>697</v>
      </c>
      <c r="AA3658" s="21" t="str">
        <f>HYPERLINK("https://www.ncbi.nlm.nih.gov/nuccore/MF443120","NCBI Nucleotide")</f>
        <v>NCBI Nucleotide</v>
      </c>
    </row>
    <row r="3659" spans="1:27" x14ac:dyDescent="0.35">
      <c r="A3659">
        <v>1004993</v>
      </c>
      <c r="B3659">
        <v>3635</v>
      </c>
      <c r="C3659">
        <v>1</v>
      </c>
      <c r="D3659" s="17" t="s">
        <v>155</v>
      </c>
      <c r="E3659" s="17"/>
      <c r="F3659" s="17" t="s">
        <v>156</v>
      </c>
      <c r="G3659" s="17"/>
      <c r="H3659" s="17" t="s">
        <v>692</v>
      </c>
      <c r="I3659" s="17"/>
      <c r="J3659" s="17" t="s">
        <v>693</v>
      </c>
      <c r="K3659" s="17"/>
      <c r="L3659" s="17"/>
      <c r="M3659" s="17"/>
      <c r="N3659" s="17"/>
      <c r="O3659" s="17"/>
      <c r="P3659" s="17" t="s">
        <v>1224</v>
      </c>
      <c r="Q3659" s="17"/>
      <c r="R3659" s="25" t="str">
        <f>HYPERLINK("https://ictv.global/taxonomy/taxondetails?taxnode_id=202309809","Ceduovirus cv62606")</f>
        <v>Ceduovirus cv62606</v>
      </c>
      <c r="S3659" s="18" t="s">
        <v>30</v>
      </c>
      <c r="T3659" s="18" t="s">
        <v>1279</v>
      </c>
      <c r="U3659" s="18"/>
      <c r="V3659" s="18"/>
      <c r="W3659" s="18" t="s">
        <v>1280</v>
      </c>
      <c r="X3659" s="18" t="s">
        <v>42</v>
      </c>
      <c r="Y3659" s="18" t="s">
        <v>36</v>
      </c>
      <c r="Z3659" s="18" t="s">
        <v>697</v>
      </c>
      <c r="AA3659" s="21" t="str">
        <f>HYPERLINK("https://www.ncbi.nlm.nih.gov/nuccore/MF443123","NCBI Nucleotide")</f>
        <v>NCBI Nucleotide</v>
      </c>
    </row>
    <row r="3660" spans="1:27" x14ac:dyDescent="0.35">
      <c r="A3660">
        <v>1004994</v>
      </c>
      <c r="B3660">
        <v>3636</v>
      </c>
      <c r="C3660">
        <v>1</v>
      </c>
      <c r="D3660" s="17" t="s">
        <v>155</v>
      </c>
      <c r="E3660" s="17"/>
      <c r="F3660" s="17" t="s">
        <v>156</v>
      </c>
      <c r="G3660" s="17"/>
      <c r="H3660" s="17" t="s">
        <v>692</v>
      </c>
      <c r="I3660" s="17"/>
      <c r="J3660" s="17" t="s">
        <v>693</v>
      </c>
      <c r="K3660" s="17"/>
      <c r="L3660" s="17"/>
      <c r="M3660" s="17"/>
      <c r="N3660" s="17"/>
      <c r="O3660" s="17"/>
      <c r="P3660" s="17" t="s">
        <v>1224</v>
      </c>
      <c r="Q3660" s="17"/>
      <c r="R3660" s="25" t="str">
        <f>HYPERLINK("https://ictv.global/taxonomy/taxondetails?taxnode_id=202309796","Ceduovirus D4410")</f>
        <v>Ceduovirus D4410</v>
      </c>
      <c r="S3660" s="18" t="s">
        <v>30</v>
      </c>
      <c r="T3660" s="18" t="s">
        <v>1281</v>
      </c>
      <c r="U3660" s="18"/>
      <c r="V3660" s="18"/>
      <c r="W3660" s="18" t="s">
        <v>1282</v>
      </c>
      <c r="X3660" s="18" t="s">
        <v>42</v>
      </c>
      <c r="Y3660" s="18" t="s">
        <v>36</v>
      </c>
      <c r="Z3660" s="18" t="s">
        <v>697</v>
      </c>
      <c r="AA3660" s="21" t="str">
        <f>HYPERLINK("https://www.ncbi.nlm.nih.gov/nuccore/KX373685","NCBI Nucleotide")</f>
        <v>NCBI Nucleotide</v>
      </c>
    </row>
    <row r="3661" spans="1:27" x14ac:dyDescent="0.35">
      <c r="A3661">
        <v>1004995</v>
      </c>
      <c r="B3661">
        <v>3637</v>
      </c>
      <c r="C3661">
        <v>1</v>
      </c>
      <c r="D3661" s="17" t="s">
        <v>155</v>
      </c>
      <c r="E3661" s="17"/>
      <c r="F3661" s="17" t="s">
        <v>156</v>
      </c>
      <c r="G3661" s="17"/>
      <c r="H3661" s="17" t="s">
        <v>692</v>
      </c>
      <c r="I3661" s="17"/>
      <c r="J3661" s="17" t="s">
        <v>693</v>
      </c>
      <c r="K3661" s="17"/>
      <c r="L3661" s="17"/>
      <c r="M3661" s="17"/>
      <c r="N3661" s="17"/>
      <c r="O3661" s="17"/>
      <c r="P3661" s="17" t="s">
        <v>1224</v>
      </c>
      <c r="Q3661" s="17"/>
      <c r="R3661" s="25" t="str">
        <f>HYPERLINK("https://ictv.global/taxonomy/taxondetails?taxnode_id=202309811","Ceduovirus D4412")</f>
        <v>Ceduovirus D4412</v>
      </c>
      <c r="S3661" s="18" t="s">
        <v>30</v>
      </c>
      <c r="T3661" s="18" t="s">
        <v>1283</v>
      </c>
      <c r="U3661" s="18"/>
      <c r="V3661" s="18"/>
      <c r="W3661" s="18" t="s">
        <v>1284</v>
      </c>
      <c r="X3661" s="18" t="s">
        <v>42</v>
      </c>
      <c r="Y3661" s="18" t="s">
        <v>36</v>
      </c>
      <c r="Z3661" s="18" t="s">
        <v>697</v>
      </c>
      <c r="AA3661" s="21" t="str">
        <f>HYPERLINK("https://www.ncbi.nlm.nih.gov/nuccore/KX373686","NCBI Nucleotide")</f>
        <v>NCBI Nucleotide</v>
      </c>
    </row>
    <row r="3662" spans="1:27" x14ac:dyDescent="0.35">
      <c r="A3662">
        <v>1004996</v>
      </c>
      <c r="B3662">
        <v>3638</v>
      </c>
      <c r="C3662">
        <v>1</v>
      </c>
      <c r="D3662" s="17" t="s">
        <v>155</v>
      </c>
      <c r="E3662" s="17"/>
      <c r="F3662" s="17" t="s">
        <v>156</v>
      </c>
      <c r="G3662" s="17"/>
      <c r="H3662" s="17" t="s">
        <v>692</v>
      </c>
      <c r="I3662" s="17"/>
      <c r="J3662" s="17" t="s">
        <v>693</v>
      </c>
      <c r="K3662" s="17"/>
      <c r="L3662" s="17"/>
      <c r="M3662" s="17"/>
      <c r="N3662" s="17"/>
      <c r="O3662" s="17"/>
      <c r="P3662" s="17" t="s">
        <v>1224</v>
      </c>
      <c r="Q3662" s="17"/>
      <c r="R3662" s="25" t="str">
        <f>HYPERLINK("https://ictv.global/taxonomy/taxondetails?taxnode_id=202309808","Ceduovirus LacS15")</f>
        <v>Ceduovirus LacS15</v>
      </c>
      <c r="S3662" s="18" t="s">
        <v>30</v>
      </c>
      <c r="T3662" s="18" t="s">
        <v>1285</v>
      </c>
      <c r="U3662" s="18"/>
      <c r="V3662" s="18"/>
      <c r="W3662" s="18" t="s">
        <v>1286</v>
      </c>
      <c r="X3662" s="18" t="s">
        <v>42</v>
      </c>
      <c r="Y3662" s="18" t="s">
        <v>36</v>
      </c>
      <c r="Z3662" s="18" t="s">
        <v>697</v>
      </c>
      <c r="AA3662" s="21" t="str">
        <f>HYPERLINK("https://www.ncbi.nlm.nih.gov/nuccore/MN337887","NCBI Nucleotide")</f>
        <v>NCBI Nucleotide</v>
      </c>
    </row>
    <row r="3663" spans="1:27" x14ac:dyDescent="0.35">
      <c r="A3663">
        <v>1004997</v>
      </c>
      <c r="B3663">
        <v>3639</v>
      </c>
      <c r="C3663">
        <v>1</v>
      </c>
      <c r="D3663" s="17" t="s">
        <v>155</v>
      </c>
      <c r="E3663" s="17"/>
      <c r="F3663" s="17" t="s">
        <v>156</v>
      </c>
      <c r="G3663" s="17"/>
      <c r="H3663" s="17" t="s">
        <v>692</v>
      </c>
      <c r="I3663" s="17"/>
      <c r="J3663" s="17" t="s">
        <v>693</v>
      </c>
      <c r="K3663" s="17"/>
      <c r="L3663" s="17"/>
      <c r="M3663" s="17"/>
      <c r="N3663" s="17"/>
      <c r="O3663" s="17"/>
      <c r="P3663" s="17" t="s">
        <v>1224</v>
      </c>
      <c r="Q3663" s="17"/>
      <c r="R3663" s="25" t="str">
        <f>HYPERLINK("https://ictv.global/taxonomy/taxondetails?taxnode_id=202309812","Ceduovirus M5938")</f>
        <v>Ceduovirus M5938</v>
      </c>
      <c r="S3663" s="18" t="s">
        <v>30</v>
      </c>
      <c r="T3663" s="18" t="s">
        <v>1287</v>
      </c>
      <c r="U3663" s="18"/>
      <c r="V3663" s="18"/>
      <c r="W3663" s="18" t="s">
        <v>1288</v>
      </c>
      <c r="X3663" s="18" t="s">
        <v>42</v>
      </c>
      <c r="Y3663" s="18" t="s">
        <v>36</v>
      </c>
      <c r="Z3663" s="18" t="s">
        <v>697</v>
      </c>
      <c r="AA3663" s="21" t="str">
        <f>HYPERLINK("https://www.ncbi.nlm.nih.gov/nuccore/KX373687","NCBI Nucleotide")</f>
        <v>NCBI Nucleotide</v>
      </c>
    </row>
    <row r="3664" spans="1:27" x14ac:dyDescent="0.35">
      <c r="A3664">
        <v>1004998</v>
      </c>
      <c r="B3664">
        <v>3640</v>
      </c>
      <c r="C3664">
        <v>1</v>
      </c>
      <c r="D3664" s="17" t="s">
        <v>155</v>
      </c>
      <c r="E3664" s="17"/>
      <c r="F3664" s="17" t="s">
        <v>156</v>
      </c>
      <c r="G3664" s="17"/>
      <c r="H3664" s="17" t="s">
        <v>692</v>
      </c>
      <c r="I3664" s="17"/>
      <c r="J3664" s="17" t="s">
        <v>693</v>
      </c>
      <c r="K3664" s="17"/>
      <c r="L3664" s="17"/>
      <c r="M3664" s="17"/>
      <c r="N3664" s="17"/>
      <c r="O3664" s="17"/>
      <c r="P3664" s="17" t="s">
        <v>1224</v>
      </c>
      <c r="Q3664" s="17"/>
      <c r="R3664" s="25" t="str">
        <f>HYPERLINK("https://ictv.global/taxonomy/taxondetails?taxnode_id=202309810","Ceduovirus PCB1")</f>
        <v>Ceduovirus PCB1</v>
      </c>
      <c r="S3664" s="18" t="s">
        <v>30</v>
      </c>
      <c r="T3664" s="18" t="s">
        <v>1289</v>
      </c>
      <c r="U3664" s="18"/>
      <c r="V3664" s="18"/>
      <c r="W3664" s="18" t="s">
        <v>1290</v>
      </c>
      <c r="X3664" s="18" t="s">
        <v>42</v>
      </c>
      <c r="Y3664" s="18" t="s">
        <v>36</v>
      </c>
      <c r="Z3664" s="18" t="s">
        <v>697</v>
      </c>
      <c r="AA3664" s="21" t="str">
        <f>HYPERLINK("https://www.ncbi.nlm.nih.gov/nuccore/MN689531","NCBI Nucleotide")</f>
        <v>NCBI Nucleotide</v>
      </c>
    </row>
    <row r="3665" spans="1:27" x14ac:dyDescent="0.35">
      <c r="A3665">
        <v>1004999</v>
      </c>
      <c r="B3665">
        <v>3641</v>
      </c>
      <c r="C3665">
        <v>1</v>
      </c>
      <c r="D3665" s="17" t="s">
        <v>155</v>
      </c>
      <c r="E3665" s="17"/>
      <c r="F3665" s="17" t="s">
        <v>156</v>
      </c>
      <c r="G3665" s="17"/>
      <c r="H3665" s="17" t="s">
        <v>692</v>
      </c>
      <c r="I3665" s="17"/>
      <c r="J3665" s="17" t="s">
        <v>693</v>
      </c>
      <c r="K3665" s="17"/>
      <c r="L3665" s="17"/>
      <c r="M3665" s="17"/>
      <c r="N3665" s="17"/>
      <c r="O3665" s="17"/>
      <c r="P3665" s="17" t="s">
        <v>1224</v>
      </c>
      <c r="Q3665" s="17"/>
      <c r="R3665" s="25" t="str">
        <f>HYPERLINK("https://ictv.global/taxonomy/taxondetails?taxnode_id=202309804","Ceduovirus PCS1")</f>
        <v>Ceduovirus PCS1</v>
      </c>
      <c r="S3665" s="18" t="s">
        <v>30</v>
      </c>
      <c r="T3665" s="18" t="s">
        <v>1291</v>
      </c>
      <c r="U3665" s="18"/>
      <c r="V3665" s="18"/>
      <c r="W3665" s="18" t="s">
        <v>1292</v>
      </c>
      <c r="X3665" s="18" t="s">
        <v>42</v>
      </c>
      <c r="Y3665" s="18" t="s">
        <v>36</v>
      </c>
      <c r="Z3665" s="18" t="s">
        <v>697</v>
      </c>
      <c r="AA3665" s="21" t="str">
        <f>HYPERLINK("https://www.ncbi.nlm.nih.gov/nuccore/MN689533","NCBI Nucleotide")</f>
        <v>NCBI Nucleotide</v>
      </c>
    </row>
    <row r="3666" spans="1:27" x14ac:dyDescent="0.35">
      <c r="A3666">
        <v>1005000</v>
      </c>
      <c r="B3666">
        <v>3642</v>
      </c>
      <c r="C3666">
        <v>1</v>
      </c>
      <c r="D3666" s="17" t="s">
        <v>155</v>
      </c>
      <c r="E3666" s="17"/>
      <c r="F3666" s="17" t="s">
        <v>156</v>
      </c>
      <c r="G3666" s="17"/>
      <c r="H3666" s="17" t="s">
        <v>692</v>
      </c>
      <c r="I3666" s="17"/>
      <c r="J3666" s="17" t="s">
        <v>693</v>
      </c>
      <c r="K3666" s="17"/>
      <c r="L3666" s="17"/>
      <c r="M3666" s="17"/>
      <c r="N3666" s="17"/>
      <c r="O3666" s="17"/>
      <c r="P3666" s="17" t="s">
        <v>1293</v>
      </c>
      <c r="Q3666" s="17"/>
      <c r="R3666" s="25" t="str">
        <f>HYPERLINK("https://ictv.global/taxonomy/taxondetails?taxnode_id=202300872","Cequinquevirus c5")</f>
        <v>Cequinquevirus c5</v>
      </c>
      <c r="S3666" s="18" t="s">
        <v>30</v>
      </c>
      <c r="T3666" s="18" t="s">
        <v>1294</v>
      </c>
      <c r="U3666" s="18"/>
      <c r="V3666" s="18"/>
      <c r="W3666" s="18" t="s">
        <v>1295</v>
      </c>
      <c r="X3666" s="18" t="s">
        <v>42</v>
      </c>
      <c r="Y3666" s="18" t="s">
        <v>36</v>
      </c>
      <c r="Z3666" s="18" t="s">
        <v>697</v>
      </c>
      <c r="AA3666" s="21" t="str">
        <f>HYPERLINK("https://www.ncbi.nlm.nih.gov/nuccore/EU340421","NCBI Nucleotide")</f>
        <v>NCBI Nucleotide</v>
      </c>
    </row>
    <row r="3667" spans="1:27" x14ac:dyDescent="0.35">
      <c r="A3667">
        <v>1005003</v>
      </c>
      <c r="B3667">
        <v>3643</v>
      </c>
      <c r="C3667">
        <v>1</v>
      </c>
      <c r="D3667" s="17" t="s">
        <v>155</v>
      </c>
      <c r="E3667" s="17"/>
      <c r="F3667" s="17" t="s">
        <v>156</v>
      </c>
      <c r="G3667" s="17"/>
      <c r="H3667" s="17" t="s">
        <v>692</v>
      </c>
      <c r="I3667" s="17"/>
      <c r="J3667" s="17" t="s">
        <v>693</v>
      </c>
      <c r="K3667" s="17"/>
      <c r="L3667" s="17"/>
      <c r="M3667" s="17"/>
      <c r="N3667" s="17"/>
      <c r="O3667" s="17"/>
      <c r="P3667" s="17" t="s">
        <v>1293</v>
      </c>
      <c r="Q3667" s="17"/>
      <c r="R3667" s="25" t="str">
        <f>HYPERLINK("https://ictv.global/taxonomy/taxondetails?taxnode_id=202300873","Cequinquevirus Ld3")</f>
        <v>Cequinquevirus Ld3</v>
      </c>
      <c r="S3667" s="18" t="s">
        <v>30</v>
      </c>
      <c r="T3667" s="18" t="s">
        <v>1300</v>
      </c>
      <c r="U3667" s="18"/>
      <c r="V3667" s="18"/>
      <c r="W3667" s="18" t="s">
        <v>1301</v>
      </c>
      <c r="X3667" s="18" t="s">
        <v>42</v>
      </c>
      <c r="Y3667" s="18" t="s">
        <v>36</v>
      </c>
      <c r="Z3667" s="18" t="s">
        <v>697</v>
      </c>
      <c r="AA3667" s="21" t="str">
        <f>HYPERLINK("https://www.ncbi.nlm.nih.gov/nuccore/KJ564038","NCBI Nucleotide")</f>
        <v>NCBI Nucleotide</v>
      </c>
    </row>
    <row r="3668" spans="1:27" x14ac:dyDescent="0.35">
      <c r="A3668">
        <v>1005001</v>
      </c>
      <c r="B3668">
        <v>3644</v>
      </c>
      <c r="C3668">
        <v>1</v>
      </c>
      <c r="D3668" s="17" t="s">
        <v>155</v>
      </c>
      <c r="E3668" s="17"/>
      <c r="F3668" s="17" t="s">
        <v>156</v>
      </c>
      <c r="G3668" s="17"/>
      <c r="H3668" s="17" t="s">
        <v>692</v>
      </c>
      <c r="I3668" s="17"/>
      <c r="J3668" s="17" t="s">
        <v>693</v>
      </c>
      <c r="K3668" s="17"/>
      <c r="L3668" s="17"/>
      <c r="M3668" s="17"/>
      <c r="N3668" s="17"/>
      <c r="O3668" s="17"/>
      <c r="P3668" s="17" t="s">
        <v>1293</v>
      </c>
      <c r="Q3668" s="17"/>
      <c r="R3668" s="25" t="str">
        <f>HYPERLINK("https://ictv.global/taxonomy/taxondetails?taxnode_id=202300874","Cequinquevirus Ld17")</f>
        <v>Cequinquevirus Ld17</v>
      </c>
      <c r="S3668" s="18" t="s">
        <v>30</v>
      </c>
      <c r="T3668" s="18" t="s">
        <v>1296</v>
      </c>
      <c r="U3668" s="18"/>
      <c r="V3668" s="18"/>
      <c r="W3668" s="18" t="s">
        <v>1297</v>
      </c>
      <c r="X3668" s="18" t="s">
        <v>42</v>
      </c>
      <c r="Y3668" s="18" t="s">
        <v>36</v>
      </c>
      <c r="Z3668" s="18" t="s">
        <v>697</v>
      </c>
      <c r="AA3668" s="21" t="str">
        <f>HYPERLINK("https://www.ncbi.nlm.nih.gov/nuccore/KJ564037","NCBI Nucleotide")</f>
        <v>NCBI Nucleotide</v>
      </c>
    </row>
    <row r="3669" spans="1:27" x14ac:dyDescent="0.35">
      <c r="A3669">
        <v>1005002</v>
      </c>
      <c r="B3669">
        <v>3645</v>
      </c>
      <c r="C3669">
        <v>1</v>
      </c>
      <c r="D3669" s="17" t="s">
        <v>155</v>
      </c>
      <c r="E3669" s="17"/>
      <c r="F3669" s="17" t="s">
        <v>156</v>
      </c>
      <c r="G3669" s="17"/>
      <c r="H3669" s="17" t="s">
        <v>692</v>
      </c>
      <c r="I3669" s="17"/>
      <c r="J3669" s="17" t="s">
        <v>693</v>
      </c>
      <c r="K3669" s="17"/>
      <c r="L3669" s="17"/>
      <c r="M3669" s="17"/>
      <c r="N3669" s="17"/>
      <c r="O3669" s="17"/>
      <c r="P3669" s="17" t="s">
        <v>1293</v>
      </c>
      <c r="Q3669" s="17"/>
      <c r="R3669" s="25" t="str">
        <f>HYPERLINK("https://ictv.global/taxonomy/taxondetails?taxnode_id=202300875","Cequinquevirus Ld25A")</f>
        <v>Cequinquevirus Ld25A</v>
      </c>
      <c r="S3669" s="18" t="s">
        <v>30</v>
      </c>
      <c r="T3669" s="18" t="s">
        <v>1298</v>
      </c>
      <c r="U3669" s="18"/>
      <c r="V3669" s="18"/>
      <c r="W3669" s="18" t="s">
        <v>1299</v>
      </c>
      <c r="X3669" s="18" t="s">
        <v>42</v>
      </c>
      <c r="Y3669" s="18" t="s">
        <v>36</v>
      </c>
      <c r="Z3669" s="18" t="s">
        <v>697</v>
      </c>
      <c r="AA3669" s="21" t="str">
        <f>HYPERLINK("https://www.ncbi.nlm.nih.gov/nuccore/KJ564036","NCBI Nucleotide")</f>
        <v>NCBI Nucleotide</v>
      </c>
    </row>
    <row r="3670" spans="1:27" x14ac:dyDescent="0.35">
      <c r="A3670">
        <v>1005004</v>
      </c>
      <c r="B3670">
        <v>3646</v>
      </c>
      <c r="C3670">
        <v>1</v>
      </c>
      <c r="D3670" s="17" t="s">
        <v>155</v>
      </c>
      <c r="E3670" s="17"/>
      <c r="F3670" s="17" t="s">
        <v>156</v>
      </c>
      <c r="G3670" s="17"/>
      <c r="H3670" s="17" t="s">
        <v>692</v>
      </c>
      <c r="I3670" s="17"/>
      <c r="J3670" s="17" t="s">
        <v>693</v>
      </c>
      <c r="K3670" s="17"/>
      <c r="L3670" s="17"/>
      <c r="M3670" s="17"/>
      <c r="N3670" s="17"/>
      <c r="O3670" s="17"/>
      <c r="P3670" s="17" t="s">
        <v>1293</v>
      </c>
      <c r="Q3670" s="17"/>
      <c r="R3670" s="25" t="str">
        <f>HYPERLINK("https://ictv.global/taxonomy/taxondetails?taxnode_id=202300877","Cequinquevirus Ldb")</f>
        <v>Cequinquevirus Ldb</v>
      </c>
      <c r="S3670" s="18" t="s">
        <v>30</v>
      </c>
      <c r="T3670" s="18" t="s">
        <v>1302</v>
      </c>
      <c r="U3670" s="18"/>
      <c r="V3670" s="18"/>
      <c r="W3670" s="18" t="s">
        <v>1303</v>
      </c>
      <c r="X3670" s="18" t="s">
        <v>42</v>
      </c>
      <c r="Y3670" s="18" t="s">
        <v>36</v>
      </c>
      <c r="Z3670" s="18" t="s">
        <v>697</v>
      </c>
      <c r="AA3670" s="21" t="str">
        <f>HYPERLINK("https://www.ncbi.nlm.nih.gov/nuccore/KF188410","NCBI Nucleotide")</f>
        <v>NCBI Nucleotide</v>
      </c>
    </row>
    <row r="3671" spans="1:27" x14ac:dyDescent="0.35">
      <c r="A3671">
        <v>1005005</v>
      </c>
      <c r="B3671">
        <v>3647</v>
      </c>
      <c r="C3671">
        <v>1</v>
      </c>
      <c r="D3671" s="17" t="s">
        <v>155</v>
      </c>
      <c r="E3671" s="17"/>
      <c r="F3671" s="17" t="s">
        <v>156</v>
      </c>
      <c r="G3671" s="17"/>
      <c r="H3671" s="17" t="s">
        <v>692</v>
      </c>
      <c r="I3671" s="17"/>
      <c r="J3671" s="17" t="s">
        <v>693</v>
      </c>
      <c r="K3671" s="17"/>
      <c r="L3671" s="17"/>
      <c r="M3671" s="17"/>
      <c r="N3671" s="17"/>
      <c r="O3671" s="17"/>
      <c r="P3671" s="17" t="s">
        <v>1293</v>
      </c>
      <c r="Q3671" s="17"/>
      <c r="R3671" s="25" t="str">
        <f>HYPERLINK("https://ictv.global/taxonomy/taxondetails?taxnode_id=202300876","Cequinquevirus LLKu")</f>
        <v>Cequinquevirus LLKu</v>
      </c>
      <c r="S3671" s="18" t="s">
        <v>30</v>
      </c>
      <c r="T3671" s="18" t="s">
        <v>1304</v>
      </c>
      <c r="U3671" s="18"/>
      <c r="V3671" s="18"/>
      <c r="W3671" s="18" t="s">
        <v>1305</v>
      </c>
      <c r="X3671" s="18" t="s">
        <v>42</v>
      </c>
      <c r="Y3671" s="18" t="s">
        <v>36</v>
      </c>
      <c r="Z3671" s="18" t="s">
        <v>697</v>
      </c>
      <c r="AA3671" s="21" t="str">
        <f>HYPERLINK("https://www.ncbi.nlm.nih.gov/nuccore/AY739900","NCBI Nucleotide")</f>
        <v>NCBI Nucleotide</v>
      </c>
    </row>
    <row r="3672" spans="1:27" x14ac:dyDescent="0.35">
      <c r="A3672">
        <v>1005006</v>
      </c>
      <c r="B3672">
        <v>3648</v>
      </c>
      <c r="C3672">
        <v>1</v>
      </c>
      <c r="D3672" s="17" t="s">
        <v>155</v>
      </c>
      <c r="E3672" s="17"/>
      <c r="F3672" s="17" t="s">
        <v>156</v>
      </c>
      <c r="G3672" s="17"/>
      <c r="H3672" s="17" t="s">
        <v>692</v>
      </c>
      <c r="I3672" s="17"/>
      <c r="J3672" s="17" t="s">
        <v>693</v>
      </c>
      <c r="K3672" s="17"/>
      <c r="L3672" s="17"/>
      <c r="M3672" s="17"/>
      <c r="N3672" s="17"/>
      <c r="O3672" s="17"/>
      <c r="P3672" s="17" t="s">
        <v>1306</v>
      </c>
      <c r="Q3672" s="17"/>
      <c r="R3672" s="25" t="str">
        <f>HYPERLINK("https://ictv.global/taxonomy/taxondetails?taxnode_id=202314554","Certevirus C23")</f>
        <v>Certevirus C23</v>
      </c>
      <c r="S3672" s="18" t="s">
        <v>30</v>
      </c>
      <c r="T3672" s="18" t="s">
        <v>1307</v>
      </c>
      <c r="U3672" s="18" t="s">
        <v>1308</v>
      </c>
      <c r="V3672" s="18"/>
      <c r="W3672" s="18" t="s">
        <v>1309</v>
      </c>
      <c r="X3672" s="18" t="s">
        <v>42</v>
      </c>
      <c r="Y3672" s="18" t="s">
        <v>36</v>
      </c>
      <c r="Z3672" s="18" t="s">
        <v>697</v>
      </c>
      <c r="AA3672" s="21" t="str">
        <f>HYPERLINK("https://www.ncbi.nlm.nih.gov/nuccore/OL396571","NCBI Nucleotide")</f>
        <v>NCBI Nucleotide</v>
      </c>
    </row>
    <row r="3673" spans="1:27" x14ac:dyDescent="0.35">
      <c r="A3673">
        <v>1005007</v>
      </c>
      <c r="B3673">
        <v>3649</v>
      </c>
      <c r="C3673">
        <v>1</v>
      </c>
      <c r="D3673" s="17" t="s">
        <v>155</v>
      </c>
      <c r="E3673" s="17"/>
      <c r="F3673" s="17" t="s">
        <v>156</v>
      </c>
      <c r="G3673" s="17"/>
      <c r="H3673" s="17" t="s">
        <v>692</v>
      </c>
      <c r="I3673" s="17"/>
      <c r="J3673" s="17" t="s">
        <v>693</v>
      </c>
      <c r="K3673" s="17"/>
      <c r="L3673" s="17"/>
      <c r="M3673" s="17"/>
      <c r="N3673" s="17"/>
      <c r="O3673" s="17"/>
      <c r="P3673" s="17" t="s">
        <v>1310</v>
      </c>
      <c r="Q3673" s="17"/>
      <c r="R3673" s="25" t="str">
        <f>HYPERLINK("https://ictv.global/taxonomy/taxondetails?taxnode_id=202306814","Chakrabartyvirus pf16")</f>
        <v>Chakrabartyvirus pf16</v>
      </c>
      <c r="S3673" s="18" t="s">
        <v>30</v>
      </c>
      <c r="T3673" s="18" t="s">
        <v>1311</v>
      </c>
      <c r="U3673" s="18"/>
      <c r="V3673" s="18"/>
      <c r="W3673" s="18" t="s">
        <v>1312</v>
      </c>
      <c r="X3673" s="18" t="s">
        <v>42</v>
      </c>
      <c r="Y3673" s="18" t="s">
        <v>36</v>
      </c>
      <c r="Z3673" s="18" t="s">
        <v>697</v>
      </c>
      <c r="AA3673" s="21" t="str">
        <f>HYPERLINK("https://www.ncbi.nlm.nih.gov/nuccore/KU873925","NCBI Nucleotide")</f>
        <v>NCBI Nucleotide</v>
      </c>
    </row>
    <row r="3674" spans="1:27" x14ac:dyDescent="0.35">
      <c r="A3674">
        <v>1005008</v>
      </c>
      <c r="B3674">
        <v>3650</v>
      </c>
      <c r="C3674">
        <v>1</v>
      </c>
      <c r="D3674" s="17" t="s">
        <v>155</v>
      </c>
      <c r="E3674" s="17"/>
      <c r="F3674" s="17" t="s">
        <v>156</v>
      </c>
      <c r="G3674" s="17"/>
      <c r="H3674" s="17" t="s">
        <v>692</v>
      </c>
      <c r="I3674" s="17"/>
      <c r="J3674" s="17" t="s">
        <v>693</v>
      </c>
      <c r="K3674" s="17"/>
      <c r="L3674" s="17"/>
      <c r="M3674" s="17"/>
      <c r="N3674" s="17"/>
      <c r="O3674" s="17"/>
      <c r="P3674" s="17" t="s">
        <v>1313</v>
      </c>
      <c r="Q3674" s="17"/>
      <c r="R3674" s="25" t="str">
        <f>HYPERLINK("https://ictv.global/taxonomy/taxondetails?taxnode_id=202314556","Chaoshanvirus ZPAH34")</f>
        <v>Chaoshanvirus ZPAH34</v>
      </c>
      <c r="S3674" s="18" t="s">
        <v>30</v>
      </c>
      <c r="T3674" s="18" t="s">
        <v>1314</v>
      </c>
      <c r="U3674" s="18"/>
      <c r="V3674" s="18"/>
      <c r="W3674" s="18" t="s">
        <v>1315</v>
      </c>
      <c r="X3674" s="18" t="s">
        <v>42</v>
      </c>
      <c r="Y3674" s="18" t="s">
        <v>36</v>
      </c>
      <c r="Z3674" s="18" t="s">
        <v>697</v>
      </c>
      <c r="AA3674" s="21" t="str">
        <f>HYPERLINK("https://www.ncbi.nlm.nih.gov/nuccore/OM810292","NCBI Nucleotide")</f>
        <v>NCBI Nucleotide</v>
      </c>
    </row>
    <row r="3675" spans="1:27" x14ac:dyDescent="0.35">
      <c r="A3675">
        <v>1005009</v>
      </c>
      <c r="B3675">
        <v>3651</v>
      </c>
      <c r="C3675">
        <v>1</v>
      </c>
      <c r="D3675" s="17" t="s">
        <v>155</v>
      </c>
      <c r="E3675" s="17"/>
      <c r="F3675" s="17" t="s">
        <v>156</v>
      </c>
      <c r="G3675" s="17"/>
      <c r="H3675" s="17" t="s">
        <v>692</v>
      </c>
      <c r="I3675" s="17"/>
      <c r="J3675" s="17" t="s">
        <v>693</v>
      </c>
      <c r="K3675" s="17"/>
      <c r="L3675" s="17"/>
      <c r="M3675" s="17"/>
      <c r="N3675" s="17"/>
      <c r="O3675" s="17"/>
      <c r="P3675" s="17" t="s">
        <v>1316</v>
      </c>
      <c r="Q3675" s="17"/>
      <c r="R3675" s="25" t="str">
        <f>HYPERLINK("https://ictv.global/taxonomy/taxondetails?taxnode_id=202300922","Chenonavirus Che9c")</f>
        <v>Chenonavirus Che9c</v>
      </c>
      <c r="S3675" s="18" t="s">
        <v>30</v>
      </c>
      <c r="T3675" s="18" t="s">
        <v>1317</v>
      </c>
      <c r="U3675" s="18"/>
      <c r="V3675" s="18"/>
      <c r="W3675" s="18" t="s">
        <v>1318</v>
      </c>
      <c r="X3675" s="18" t="s">
        <v>42</v>
      </c>
      <c r="Y3675" s="18" t="s">
        <v>36</v>
      </c>
      <c r="Z3675" s="18" t="s">
        <v>697</v>
      </c>
      <c r="AA3675" s="21" t="str">
        <f>HYPERLINK("https://www.ncbi.nlm.nih.gov/nuccore/AY129333","NCBI Nucleotide")</f>
        <v>NCBI Nucleotide</v>
      </c>
    </row>
    <row r="3676" spans="1:27" x14ac:dyDescent="0.35">
      <c r="A3676">
        <v>1005010</v>
      </c>
      <c r="B3676">
        <v>3652</v>
      </c>
      <c r="C3676">
        <v>1</v>
      </c>
      <c r="D3676" s="17" t="s">
        <v>155</v>
      </c>
      <c r="E3676" s="17"/>
      <c r="F3676" s="17" t="s">
        <v>156</v>
      </c>
      <c r="G3676" s="17"/>
      <c r="H3676" s="17" t="s">
        <v>692</v>
      </c>
      <c r="I3676" s="17"/>
      <c r="J3676" s="17" t="s">
        <v>693</v>
      </c>
      <c r="K3676" s="17"/>
      <c r="L3676" s="17"/>
      <c r="M3676" s="17"/>
      <c r="N3676" s="17"/>
      <c r="O3676" s="17"/>
      <c r="P3676" s="17" t="s">
        <v>1316</v>
      </c>
      <c r="Q3676" s="17"/>
      <c r="R3676" s="25" t="str">
        <f>HYPERLINK("https://ictv.global/taxonomy/taxondetails?taxnode_id=202305506","Chenonavirus sbash")</f>
        <v>Chenonavirus sbash</v>
      </c>
      <c r="S3676" s="18" t="s">
        <v>30</v>
      </c>
      <c r="T3676" s="18" t="s">
        <v>1319</v>
      </c>
      <c r="U3676" s="18"/>
      <c r="V3676" s="18"/>
      <c r="W3676" s="18" t="s">
        <v>1320</v>
      </c>
      <c r="X3676" s="18" t="s">
        <v>42</v>
      </c>
      <c r="Y3676" s="18" t="s">
        <v>36</v>
      </c>
      <c r="Z3676" s="18" t="s">
        <v>697</v>
      </c>
      <c r="AA3676" s="21" t="str">
        <f>HYPERLINK("https://www.ncbi.nlm.nih.gov/nuccore/KP027201","NCBI Nucleotide")</f>
        <v>NCBI Nucleotide</v>
      </c>
    </row>
    <row r="3677" spans="1:27" x14ac:dyDescent="0.35">
      <c r="A3677">
        <v>1005011</v>
      </c>
      <c r="B3677">
        <v>3653</v>
      </c>
      <c r="C3677">
        <v>1</v>
      </c>
      <c r="D3677" s="17" t="s">
        <v>155</v>
      </c>
      <c r="E3677" s="17"/>
      <c r="F3677" s="17" t="s">
        <v>156</v>
      </c>
      <c r="G3677" s="17"/>
      <c r="H3677" s="17" t="s">
        <v>692</v>
      </c>
      <c r="I3677" s="17"/>
      <c r="J3677" s="17" t="s">
        <v>693</v>
      </c>
      <c r="K3677" s="17"/>
      <c r="L3677" s="17"/>
      <c r="M3677" s="17"/>
      <c r="N3677" s="17"/>
      <c r="O3677" s="17"/>
      <c r="P3677" s="17" t="s">
        <v>1321</v>
      </c>
      <c r="Q3677" s="17"/>
      <c r="R3677" s="25" t="str">
        <f>HYPERLINK("https://ictv.global/taxonomy/taxondetails?taxnode_id=202309864","Chertseyvirus GE1")</f>
        <v>Chertseyvirus GE1</v>
      </c>
      <c r="S3677" s="18" t="s">
        <v>30</v>
      </c>
      <c r="T3677" s="18" t="s">
        <v>1322</v>
      </c>
      <c r="U3677" s="18"/>
      <c r="V3677" s="18"/>
      <c r="W3677" s="18" t="s">
        <v>1323</v>
      </c>
      <c r="X3677" s="18" t="s">
        <v>42</v>
      </c>
      <c r="Y3677" s="18" t="s">
        <v>36</v>
      </c>
      <c r="Z3677" s="18" t="s">
        <v>697</v>
      </c>
      <c r="AA3677" s="21" t="str">
        <f>HYPERLINK("https://www.ncbi.nlm.nih.gov/nuccore/KT339177","NCBI Nucleotide")</f>
        <v>NCBI Nucleotide</v>
      </c>
    </row>
    <row r="3678" spans="1:27" x14ac:dyDescent="0.35">
      <c r="A3678">
        <v>1024601</v>
      </c>
      <c r="B3678">
        <v>3654</v>
      </c>
      <c r="C3678">
        <v>1</v>
      </c>
      <c r="D3678" s="17" t="s">
        <v>155</v>
      </c>
      <c r="E3678" s="17"/>
      <c r="F3678" s="17" t="s">
        <v>156</v>
      </c>
      <c r="G3678" s="17"/>
      <c r="H3678" s="17" t="s">
        <v>692</v>
      </c>
      <c r="I3678" s="17"/>
      <c r="J3678" s="17" t="s">
        <v>693</v>
      </c>
      <c r="K3678" s="17"/>
      <c r="L3678" s="17"/>
      <c r="M3678" s="17"/>
      <c r="N3678" s="17"/>
      <c r="O3678" s="17"/>
      <c r="P3678" s="17" t="s">
        <v>39870</v>
      </c>
      <c r="Q3678" s="17"/>
      <c r="R3678" s="25" t="str">
        <f>HYPERLINK("https://ictv.global/taxonomy/taxondetails?taxnode_id=202317752","Chewyvirus chewyVIII")</f>
        <v>Chewyvirus chewyVIII</v>
      </c>
      <c r="S3678" s="18" t="s">
        <v>30</v>
      </c>
      <c r="T3678" s="18" t="s">
        <v>39871</v>
      </c>
      <c r="U3678" s="18"/>
      <c r="V3678" s="18"/>
      <c r="W3678" s="18" t="s">
        <v>48471</v>
      </c>
      <c r="X3678" s="18" t="s">
        <v>42</v>
      </c>
      <c r="Y3678" s="18" t="s">
        <v>36</v>
      </c>
      <c r="Z3678" s="18" t="s">
        <v>697</v>
      </c>
      <c r="AA3678" s="21" t="str">
        <f>HYPERLINK("https://www.ncbi.nlm.nih.gov/nuccore/KX557288","NCBI Nucleotide")</f>
        <v>NCBI Nucleotide</v>
      </c>
    </row>
    <row r="3679" spans="1:27" x14ac:dyDescent="0.35">
      <c r="A3679">
        <v>1005014</v>
      </c>
      <c r="B3679">
        <v>3655</v>
      </c>
      <c r="C3679">
        <v>1</v>
      </c>
      <c r="D3679" s="17" t="s">
        <v>155</v>
      </c>
      <c r="E3679" s="17"/>
      <c r="F3679" s="17" t="s">
        <v>156</v>
      </c>
      <c r="G3679" s="17"/>
      <c r="H3679" s="17" t="s">
        <v>692</v>
      </c>
      <c r="I3679" s="17"/>
      <c r="J3679" s="17" t="s">
        <v>693</v>
      </c>
      <c r="K3679" s="17"/>
      <c r="L3679" s="17"/>
      <c r="M3679" s="17"/>
      <c r="N3679" s="17"/>
      <c r="O3679" s="17"/>
      <c r="P3679" s="17" t="s">
        <v>1329</v>
      </c>
      <c r="Q3679" s="17"/>
      <c r="R3679" s="25" t="str">
        <f>HYPERLINK("https://ictv.global/taxonomy/taxondetails?taxnode_id=202314558","Chidieberevirus chidiebere")</f>
        <v>Chidieberevirus chidiebere</v>
      </c>
      <c r="S3679" s="18" t="s">
        <v>30</v>
      </c>
      <c r="T3679" s="18" t="s">
        <v>1330</v>
      </c>
      <c r="U3679" s="18"/>
      <c r="V3679" s="18"/>
      <c r="W3679" s="18" t="s">
        <v>1331</v>
      </c>
      <c r="X3679" s="18" t="s">
        <v>42</v>
      </c>
      <c r="Y3679" s="18" t="s">
        <v>36</v>
      </c>
      <c r="Z3679" s="18" t="s">
        <v>697</v>
      </c>
      <c r="AA3679" s="21" t="str">
        <f>HYPERLINK("https://www.ncbi.nlm.nih.gov/nuccore/MN586022","NCBI Nucleotide")</f>
        <v>NCBI Nucleotide</v>
      </c>
    </row>
    <row r="3680" spans="1:27" x14ac:dyDescent="0.35">
      <c r="A3680">
        <v>1005015</v>
      </c>
      <c r="B3680">
        <v>3656</v>
      </c>
      <c r="C3680">
        <v>1</v>
      </c>
      <c r="D3680" s="17" t="s">
        <v>155</v>
      </c>
      <c r="E3680" s="17"/>
      <c r="F3680" s="17" t="s">
        <v>156</v>
      </c>
      <c r="G3680" s="17"/>
      <c r="H3680" s="17" t="s">
        <v>692</v>
      </c>
      <c r="I3680" s="17"/>
      <c r="J3680" s="17" t="s">
        <v>693</v>
      </c>
      <c r="K3680" s="17"/>
      <c r="L3680" s="17"/>
      <c r="M3680" s="17"/>
      <c r="N3680" s="17"/>
      <c r="O3680" s="17"/>
      <c r="P3680" s="17" t="s">
        <v>1329</v>
      </c>
      <c r="Q3680" s="17"/>
      <c r="R3680" s="25" t="str">
        <f>HYPERLINK("https://ictv.global/taxonomy/taxondetails?taxnode_id=202314559","Chidieberevirus chisanakitsune")</f>
        <v>Chidieberevirus chisanakitsune</v>
      </c>
      <c r="S3680" s="18" t="s">
        <v>30</v>
      </c>
      <c r="T3680" s="18" t="s">
        <v>1332</v>
      </c>
      <c r="U3680" s="18"/>
      <c r="V3680" s="18"/>
      <c r="W3680" s="18" t="s">
        <v>1333</v>
      </c>
      <c r="X3680" s="18" t="s">
        <v>42</v>
      </c>
      <c r="Y3680" s="18" t="s">
        <v>36</v>
      </c>
      <c r="Z3680" s="18" t="s">
        <v>697</v>
      </c>
      <c r="AA3680" s="21" t="str">
        <f>HYPERLINK("https://www.ncbi.nlm.nih.gov/nuccore/MZ820089","NCBI Nucleotide")</f>
        <v>NCBI Nucleotide</v>
      </c>
    </row>
    <row r="3681" spans="1:27" x14ac:dyDescent="0.35">
      <c r="A3681">
        <v>1005016</v>
      </c>
      <c r="B3681">
        <v>3657</v>
      </c>
      <c r="C3681">
        <v>1</v>
      </c>
      <c r="D3681" s="17" t="s">
        <v>155</v>
      </c>
      <c r="E3681" s="17"/>
      <c r="F3681" s="17" t="s">
        <v>156</v>
      </c>
      <c r="G3681" s="17"/>
      <c r="H3681" s="17" t="s">
        <v>692</v>
      </c>
      <c r="I3681" s="17"/>
      <c r="J3681" s="17" t="s">
        <v>693</v>
      </c>
      <c r="K3681" s="17"/>
      <c r="L3681" s="17"/>
      <c r="M3681" s="17"/>
      <c r="N3681" s="17"/>
      <c r="O3681" s="17"/>
      <c r="P3681" s="17" t="s">
        <v>1334</v>
      </c>
      <c r="Q3681" s="17"/>
      <c r="R3681" s="25" t="str">
        <f>HYPERLINK("https://ictv.global/taxonomy/taxondetails?taxnode_id=202300703","Chopinvirus KSY1")</f>
        <v>Chopinvirus KSY1</v>
      </c>
      <c r="S3681" s="18" t="s">
        <v>30</v>
      </c>
      <c r="T3681" s="18" t="s">
        <v>1335</v>
      </c>
      <c r="U3681" s="18"/>
      <c r="V3681" s="18"/>
      <c r="W3681" s="18" t="s">
        <v>1336</v>
      </c>
      <c r="X3681" s="18" t="s">
        <v>42</v>
      </c>
      <c r="Y3681" s="18" t="s">
        <v>36</v>
      </c>
      <c r="Z3681" s="18" t="s">
        <v>697</v>
      </c>
      <c r="AA3681" s="21" t="str">
        <f>HYPERLINK("https://www.ncbi.nlm.nih.gov/nuccore/DQ535032","NCBI Nucleotide")</f>
        <v>NCBI Nucleotide</v>
      </c>
    </row>
    <row r="3682" spans="1:27" x14ac:dyDescent="0.35">
      <c r="A3682">
        <v>1024604</v>
      </c>
      <c r="B3682">
        <v>3658</v>
      </c>
      <c r="C3682">
        <v>1</v>
      </c>
      <c r="D3682" s="17" t="s">
        <v>155</v>
      </c>
      <c r="E3682" s="17"/>
      <c r="F3682" s="17" t="s">
        <v>156</v>
      </c>
      <c r="G3682" s="17"/>
      <c r="H3682" s="17" t="s">
        <v>692</v>
      </c>
      <c r="I3682" s="17"/>
      <c r="J3682" s="17" t="s">
        <v>693</v>
      </c>
      <c r="K3682" s="17"/>
      <c r="L3682" s="17"/>
      <c r="M3682" s="17"/>
      <c r="N3682" s="17"/>
      <c r="O3682" s="17"/>
      <c r="P3682" s="17" t="s">
        <v>39872</v>
      </c>
      <c r="Q3682" s="17"/>
      <c r="R3682" s="25" t="str">
        <f>HYPERLINK("https://ictv.global/taxonomy/taxondetails?taxnode_id=202317753","Chymeravirus chymera")</f>
        <v>Chymeravirus chymera</v>
      </c>
      <c r="S3682" s="18" t="s">
        <v>30</v>
      </c>
      <c r="T3682" s="18" t="s">
        <v>39873</v>
      </c>
      <c r="U3682" s="18"/>
      <c r="V3682" s="18"/>
      <c r="W3682" s="18" t="s">
        <v>48472</v>
      </c>
      <c r="X3682" s="18" t="s">
        <v>42</v>
      </c>
      <c r="Y3682" s="18" t="s">
        <v>36</v>
      </c>
      <c r="Z3682" s="18" t="s">
        <v>697</v>
      </c>
      <c r="AA3682" s="21" t="str">
        <f>HYPERLINK("https://www.ncbi.nlm.nih.gov/nuccore/KU958700","NCBI Nucleotide")</f>
        <v>NCBI Nucleotide</v>
      </c>
    </row>
    <row r="3683" spans="1:27" x14ac:dyDescent="0.35">
      <c r="A3683">
        <v>1005017</v>
      </c>
      <c r="B3683">
        <v>3659</v>
      </c>
      <c r="C3683">
        <v>1</v>
      </c>
      <c r="D3683" s="17" t="s">
        <v>155</v>
      </c>
      <c r="E3683" s="17"/>
      <c r="F3683" s="17" t="s">
        <v>156</v>
      </c>
      <c r="G3683" s="17"/>
      <c r="H3683" s="17" t="s">
        <v>692</v>
      </c>
      <c r="I3683" s="17"/>
      <c r="J3683" s="17" t="s">
        <v>693</v>
      </c>
      <c r="K3683" s="17"/>
      <c r="L3683" s="17"/>
      <c r="M3683" s="17"/>
      <c r="N3683" s="17"/>
      <c r="O3683" s="17"/>
      <c r="P3683" s="17" t="s">
        <v>1337</v>
      </c>
      <c r="Q3683" s="17"/>
      <c r="R3683" s="25" t="str">
        <f>HYPERLINK("https://ictv.global/taxonomy/taxondetails?taxnode_id=202311652","Cimandefvirus cimandef")</f>
        <v>Cimandefvirus cimandef</v>
      </c>
      <c r="S3683" s="18" t="s">
        <v>30</v>
      </c>
      <c r="T3683" s="18" t="s">
        <v>1338</v>
      </c>
      <c r="U3683" s="18" t="s">
        <v>1339</v>
      </c>
      <c r="V3683" s="18"/>
      <c r="W3683" s="18" t="s">
        <v>1340</v>
      </c>
      <c r="X3683" s="18" t="s">
        <v>42</v>
      </c>
      <c r="Y3683" s="18" t="s">
        <v>36</v>
      </c>
      <c r="Z3683" s="18" t="s">
        <v>697</v>
      </c>
      <c r="AA3683" s="21" t="str">
        <f>HYPERLINK("https://www.ncbi.nlm.nih.gov/nuccore/MT740730","NCBI Nucleotide")</f>
        <v>NCBI Nucleotide</v>
      </c>
    </row>
    <row r="3684" spans="1:27" x14ac:dyDescent="0.35">
      <c r="A3684">
        <v>1005018</v>
      </c>
      <c r="B3684">
        <v>3660</v>
      </c>
      <c r="C3684">
        <v>1</v>
      </c>
      <c r="D3684" s="17" t="s">
        <v>155</v>
      </c>
      <c r="E3684" s="17"/>
      <c r="F3684" s="17" t="s">
        <v>156</v>
      </c>
      <c r="G3684" s="17"/>
      <c r="H3684" s="17" t="s">
        <v>692</v>
      </c>
      <c r="I3684" s="17"/>
      <c r="J3684" s="17" t="s">
        <v>693</v>
      </c>
      <c r="K3684" s="17"/>
      <c r="L3684" s="17"/>
      <c r="M3684" s="17"/>
      <c r="N3684" s="17"/>
      <c r="O3684" s="17"/>
      <c r="P3684" s="17" t="s">
        <v>1337</v>
      </c>
      <c r="Q3684" s="17"/>
      <c r="R3684" s="25" t="str">
        <f>HYPERLINK("https://ictv.global/taxonomy/taxondetails?taxnode_id=202311654","Cimandefvirus eline")</f>
        <v>Cimandefvirus eline</v>
      </c>
      <c r="S3684" s="18" t="s">
        <v>30</v>
      </c>
      <c r="T3684" s="18" t="s">
        <v>1341</v>
      </c>
      <c r="U3684" s="18" t="s">
        <v>1342</v>
      </c>
      <c r="V3684" s="18"/>
      <c r="W3684" s="18" t="s">
        <v>1343</v>
      </c>
      <c r="X3684" s="18" t="s">
        <v>42</v>
      </c>
      <c r="Y3684" s="18" t="s">
        <v>36</v>
      </c>
      <c r="Z3684" s="18" t="s">
        <v>697</v>
      </c>
      <c r="AA3684" s="21" t="str">
        <f>HYPERLINK("https://www.ncbi.nlm.nih.gov/nuccore/MT740736","NCBI Nucleotide")</f>
        <v>NCBI Nucleotide</v>
      </c>
    </row>
    <row r="3685" spans="1:27" x14ac:dyDescent="0.35">
      <c r="A3685">
        <v>1005019</v>
      </c>
      <c r="B3685">
        <v>3661</v>
      </c>
      <c r="C3685">
        <v>1</v>
      </c>
      <c r="D3685" s="17" t="s">
        <v>155</v>
      </c>
      <c r="E3685" s="17"/>
      <c r="F3685" s="17" t="s">
        <v>156</v>
      </c>
      <c r="G3685" s="17"/>
      <c r="H3685" s="17" t="s">
        <v>692</v>
      </c>
      <c r="I3685" s="17"/>
      <c r="J3685" s="17" t="s">
        <v>693</v>
      </c>
      <c r="K3685" s="17"/>
      <c r="L3685" s="17"/>
      <c r="M3685" s="17"/>
      <c r="N3685" s="17"/>
      <c r="O3685" s="17"/>
      <c r="P3685" s="17" t="s">
        <v>1337</v>
      </c>
      <c r="Q3685" s="17"/>
      <c r="R3685" s="25" t="str">
        <f>HYPERLINK("https://ictv.global/taxonomy/taxondetails?taxnode_id=202311655","Cimandefvirus gamede")</f>
        <v>Cimandefvirus gamede</v>
      </c>
      <c r="S3685" s="18" t="s">
        <v>30</v>
      </c>
      <c r="T3685" s="18" t="s">
        <v>1344</v>
      </c>
      <c r="U3685" s="18" t="s">
        <v>1345</v>
      </c>
      <c r="V3685" s="18"/>
      <c r="W3685" s="18" t="s">
        <v>1346</v>
      </c>
      <c r="X3685" s="18" t="s">
        <v>42</v>
      </c>
      <c r="Y3685" s="18" t="s">
        <v>36</v>
      </c>
      <c r="Z3685" s="18" t="s">
        <v>697</v>
      </c>
      <c r="AA3685" s="21" t="str">
        <f>HYPERLINK("https://www.ncbi.nlm.nih.gov/nuccore/MT740738","NCBI Nucleotide")</f>
        <v>NCBI Nucleotide</v>
      </c>
    </row>
    <row r="3686" spans="1:27" x14ac:dyDescent="0.35">
      <c r="A3686">
        <v>1005020</v>
      </c>
      <c r="B3686">
        <v>3662</v>
      </c>
      <c r="C3686">
        <v>1</v>
      </c>
      <c r="D3686" s="17" t="s">
        <v>155</v>
      </c>
      <c r="E3686" s="17"/>
      <c r="F3686" s="17" t="s">
        <v>156</v>
      </c>
      <c r="G3686" s="17"/>
      <c r="H3686" s="17" t="s">
        <v>692</v>
      </c>
      <c r="I3686" s="17"/>
      <c r="J3686" s="17" t="s">
        <v>693</v>
      </c>
      <c r="K3686" s="17"/>
      <c r="L3686" s="17"/>
      <c r="M3686" s="17"/>
      <c r="N3686" s="17"/>
      <c r="O3686" s="17"/>
      <c r="P3686" s="17" t="s">
        <v>1337</v>
      </c>
      <c r="Q3686" s="17"/>
      <c r="R3686" s="25" t="str">
        <f>HYPERLINK("https://ictv.global/taxonomy/taxondetails?taxnode_id=202311656","Cimandefvirus Ggerry")</f>
        <v>Cimandefvirus Ggerry</v>
      </c>
      <c r="S3686" s="18" t="s">
        <v>30</v>
      </c>
      <c r="T3686" s="18" t="s">
        <v>1347</v>
      </c>
      <c r="U3686" s="18" t="s">
        <v>1348</v>
      </c>
      <c r="V3686" s="18"/>
      <c r="W3686" s="18" t="s">
        <v>1349</v>
      </c>
      <c r="X3686" s="18" t="s">
        <v>42</v>
      </c>
      <c r="Y3686" s="18" t="s">
        <v>36</v>
      </c>
      <c r="Z3686" s="18" t="s">
        <v>697</v>
      </c>
      <c r="AA3686" s="21" t="str">
        <f>HYPERLINK("https://www.ncbi.nlm.nih.gov/nuccore/MT740739","NCBI Nucleotide")</f>
        <v>NCBI Nucleotide</v>
      </c>
    </row>
    <row r="3687" spans="1:27" x14ac:dyDescent="0.35">
      <c r="A3687">
        <v>1005021</v>
      </c>
      <c r="B3687">
        <v>3663</v>
      </c>
      <c r="C3687">
        <v>1</v>
      </c>
      <c r="D3687" s="17" t="s">
        <v>155</v>
      </c>
      <c r="E3687" s="17"/>
      <c r="F3687" s="17" t="s">
        <v>156</v>
      </c>
      <c r="G3687" s="17"/>
      <c r="H3687" s="17" t="s">
        <v>692</v>
      </c>
      <c r="I3687" s="17"/>
      <c r="J3687" s="17" t="s">
        <v>693</v>
      </c>
      <c r="K3687" s="17"/>
      <c r="L3687" s="17"/>
      <c r="M3687" s="17"/>
      <c r="N3687" s="17"/>
      <c r="O3687" s="17"/>
      <c r="P3687" s="17" t="s">
        <v>1337</v>
      </c>
      <c r="Q3687" s="17"/>
      <c r="R3687" s="25" t="str">
        <f>HYPERLINK("https://ictv.global/taxonomy/taxondetails?taxnode_id=202311653","Cimandefvirus heva")</f>
        <v>Cimandefvirus heva</v>
      </c>
      <c r="S3687" s="18" t="s">
        <v>30</v>
      </c>
      <c r="T3687" s="18" t="s">
        <v>1350</v>
      </c>
      <c r="U3687" s="18" t="s">
        <v>1351</v>
      </c>
      <c r="V3687" s="18"/>
      <c r="W3687" s="18" t="s">
        <v>1352</v>
      </c>
      <c r="X3687" s="18" t="s">
        <v>42</v>
      </c>
      <c r="Y3687" s="18" t="s">
        <v>36</v>
      </c>
      <c r="Z3687" s="18" t="s">
        <v>697</v>
      </c>
      <c r="AA3687" s="21" t="str">
        <f>HYPERLINK("https://www.ncbi.nlm.nih.gov/nuccore/MT740742","NCBI Nucleotide")</f>
        <v>NCBI Nucleotide</v>
      </c>
    </row>
    <row r="3688" spans="1:27" x14ac:dyDescent="0.35">
      <c r="A3688">
        <v>1005022</v>
      </c>
      <c r="B3688">
        <v>3664</v>
      </c>
      <c r="C3688">
        <v>1</v>
      </c>
      <c r="D3688" s="17" t="s">
        <v>155</v>
      </c>
      <c r="E3688" s="17"/>
      <c r="F3688" s="17" t="s">
        <v>156</v>
      </c>
      <c r="G3688" s="17"/>
      <c r="H3688" s="17" t="s">
        <v>692</v>
      </c>
      <c r="I3688" s="17"/>
      <c r="J3688" s="17" t="s">
        <v>693</v>
      </c>
      <c r="K3688" s="17"/>
      <c r="L3688" s="17"/>
      <c r="M3688" s="17"/>
      <c r="N3688" s="17"/>
      <c r="O3688" s="17"/>
      <c r="P3688" s="17" t="s">
        <v>1353</v>
      </c>
      <c r="Q3688" s="17"/>
      <c r="R3688" s="25" t="str">
        <f>HYPERLINK("https://ictv.global/taxonomy/taxondetails?taxnode_id=202306733","Cimpunavirus CMP1")</f>
        <v>Cimpunavirus CMP1</v>
      </c>
      <c r="S3688" s="18" t="s">
        <v>30</v>
      </c>
      <c r="T3688" s="18" t="s">
        <v>1354</v>
      </c>
      <c r="U3688" s="18"/>
      <c r="V3688" s="18"/>
      <c r="W3688" s="18" t="s">
        <v>1355</v>
      </c>
      <c r="X3688" s="18" t="s">
        <v>42</v>
      </c>
      <c r="Y3688" s="18" t="s">
        <v>36</v>
      </c>
      <c r="Z3688" s="18" t="s">
        <v>697</v>
      </c>
      <c r="AA3688" s="21" t="str">
        <f>HYPERLINK("https://www.ncbi.nlm.nih.gov/nuccore/GQ241246","NCBI Nucleotide")</f>
        <v>NCBI Nucleotide</v>
      </c>
    </row>
    <row r="3689" spans="1:27" x14ac:dyDescent="0.35">
      <c r="A3689">
        <v>1005023</v>
      </c>
      <c r="B3689">
        <v>3665</v>
      </c>
      <c r="C3689">
        <v>1</v>
      </c>
      <c r="D3689" s="17" t="s">
        <v>155</v>
      </c>
      <c r="E3689" s="17"/>
      <c r="F3689" s="17" t="s">
        <v>156</v>
      </c>
      <c r="G3689" s="17"/>
      <c r="H3689" s="17" t="s">
        <v>692</v>
      </c>
      <c r="I3689" s="17"/>
      <c r="J3689" s="17" t="s">
        <v>693</v>
      </c>
      <c r="K3689" s="17"/>
      <c r="L3689" s="17"/>
      <c r="M3689" s="17"/>
      <c r="N3689" s="17"/>
      <c r="O3689" s="17"/>
      <c r="P3689" s="17" t="s">
        <v>1356</v>
      </c>
      <c r="Q3689" s="17"/>
      <c r="R3689" s="25" t="str">
        <f>HYPERLINK("https://ictv.global/taxonomy/taxondetails?taxnode_id=202306735","Cinunavirus CN1A")</f>
        <v>Cinunavirus CN1A</v>
      </c>
      <c r="S3689" s="18" t="s">
        <v>30</v>
      </c>
      <c r="T3689" s="18" t="s">
        <v>1357</v>
      </c>
      <c r="U3689" s="18"/>
      <c r="V3689" s="18"/>
      <c r="W3689" s="18" t="s">
        <v>1358</v>
      </c>
      <c r="X3689" s="18" t="s">
        <v>42</v>
      </c>
      <c r="Y3689" s="18" t="s">
        <v>36</v>
      </c>
      <c r="Z3689" s="18" t="s">
        <v>697</v>
      </c>
      <c r="AA3689" s="21" t="str">
        <f>HYPERLINK("https://www.ncbi.nlm.nih.gov/nuccore/KF669650","NCBI Nucleotide")</f>
        <v>NCBI Nucleotide</v>
      </c>
    </row>
    <row r="3690" spans="1:27" x14ac:dyDescent="0.35">
      <c r="A3690">
        <v>1005024</v>
      </c>
      <c r="B3690">
        <v>3666</v>
      </c>
      <c r="C3690">
        <v>1</v>
      </c>
      <c r="D3690" s="17" t="s">
        <v>155</v>
      </c>
      <c r="E3690" s="17"/>
      <c r="F3690" s="17" t="s">
        <v>156</v>
      </c>
      <c r="G3690" s="17"/>
      <c r="H3690" s="17" t="s">
        <v>692</v>
      </c>
      <c r="I3690" s="17"/>
      <c r="J3690" s="17" t="s">
        <v>693</v>
      </c>
      <c r="K3690" s="17"/>
      <c r="L3690" s="17"/>
      <c r="M3690" s="17"/>
      <c r="N3690" s="17"/>
      <c r="O3690" s="17"/>
      <c r="P3690" s="17" t="s">
        <v>1359</v>
      </c>
      <c r="Q3690" s="17"/>
      <c r="R3690" s="25" t="str">
        <f>HYPERLINK("https://ictv.global/taxonomy/taxondetails?taxnode_id=202314561","Clawzvirus clawz")</f>
        <v>Clawzvirus clawz</v>
      </c>
      <c r="S3690" s="18" t="s">
        <v>30</v>
      </c>
      <c r="T3690" s="18" t="s">
        <v>1360</v>
      </c>
      <c r="U3690" s="18"/>
      <c r="V3690" s="18"/>
      <c r="W3690" s="18" t="s">
        <v>1361</v>
      </c>
      <c r="X3690" s="18" t="s">
        <v>42</v>
      </c>
      <c r="Y3690" s="18" t="s">
        <v>36</v>
      </c>
      <c r="Z3690" s="18" t="s">
        <v>697</v>
      </c>
      <c r="AA3690" s="21" t="str">
        <f>HYPERLINK("https://www.ncbi.nlm.nih.gov/nuccore/MT498058","NCBI Nucleotide")</f>
        <v>NCBI Nucleotide</v>
      </c>
    </row>
    <row r="3691" spans="1:27" x14ac:dyDescent="0.35">
      <c r="A3691">
        <v>1005025</v>
      </c>
      <c r="B3691">
        <v>3667</v>
      </c>
      <c r="C3691">
        <v>1</v>
      </c>
      <c r="D3691" s="17" t="s">
        <v>155</v>
      </c>
      <c r="E3691" s="17"/>
      <c r="F3691" s="17" t="s">
        <v>156</v>
      </c>
      <c r="G3691" s="17"/>
      <c r="H3691" s="17" t="s">
        <v>692</v>
      </c>
      <c r="I3691" s="17"/>
      <c r="J3691" s="17" t="s">
        <v>693</v>
      </c>
      <c r="K3691" s="17"/>
      <c r="L3691" s="17"/>
      <c r="M3691" s="17"/>
      <c r="N3691" s="17"/>
      <c r="O3691" s="17"/>
      <c r="P3691" s="17" t="s">
        <v>1362</v>
      </c>
      <c r="Q3691" s="17"/>
      <c r="R3691" s="25" t="str">
        <f>HYPERLINK("https://ictv.global/taxonomy/taxondetails?taxnode_id=202313051","Clownvirus clown")</f>
        <v>Clownvirus clown</v>
      </c>
      <c r="S3691" s="18" t="s">
        <v>30</v>
      </c>
      <c r="T3691" s="18" t="s">
        <v>1363</v>
      </c>
      <c r="U3691" s="18"/>
      <c r="V3691" s="18"/>
      <c r="W3691" s="18" t="s">
        <v>1364</v>
      </c>
      <c r="X3691" s="18" t="s">
        <v>42</v>
      </c>
      <c r="Y3691" s="18" t="s">
        <v>36</v>
      </c>
      <c r="Z3691" s="18" t="s">
        <v>697</v>
      </c>
      <c r="AA3691" s="21" t="str">
        <f>HYPERLINK("https://www.ncbi.nlm.nih.gov/nuccore/MT771343","NCBI Nucleotide")</f>
        <v>NCBI Nucleotide</v>
      </c>
    </row>
    <row r="3692" spans="1:27" x14ac:dyDescent="0.35">
      <c r="A3692">
        <v>1005026</v>
      </c>
      <c r="B3692">
        <v>3668</v>
      </c>
      <c r="C3692">
        <v>1</v>
      </c>
      <c r="D3692" s="17" t="s">
        <v>155</v>
      </c>
      <c r="E3692" s="17"/>
      <c r="F3692" s="17" t="s">
        <v>156</v>
      </c>
      <c r="G3692" s="17"/>
      <c r="H3692" s="17" t="s">
        <v>692</v>
      </c>
      <c r="I3692" s="17"/>
      <c r="J3692" s="17" t="s">
        <v>693</v>
      </c>
      <c r="K3692" s="17"/>
      <c r="L3692" s="17"/>
      <c r="M3692" s="17"/>
      <c r="N3692" s="17"/>
      <c r="O3692" s="17"/>
      <c r="P3692" s="17" t="s">
        <v>1365</v>
      </c>
      <c r="Q3692" s="17"/>
      <c r="R3692" s="25" t="str">
        <f>HYPERLINK("https://ictv.global/taxonomy/taxondetails?taxnode_id=202313053","Coatlandelriovirus RSP")</f>
        <v>Coatlandelriovirus RSP</v>
      </c>
      <c r="S3692" s="18" t="s">
        <v>30</v>
      </c>
      <c r="T3692" s="18" t="s">
        <v>1366</v>
      </c>
      <c r="U3692" s="18"/>
      <c r="V3692" s="18"/>
      <c r="W3692" s="18" t="s">
        <v>1367</v>
      </c>
      <c r="X3692" s="18" t="s">
        <v>42</v>
      </c>
      <c r="Y3692" s="18" t="s">
        <v>36</v>
      </c>
      <c r="Z3692" s="18" t="s">
        <v>697</v>
      </c>
      <c r="AA3692" s="21" t="str">
        <f>HYPERLINK("https://www.ncbi.nlm.nih.gov/nuccore/MH252365","NCBI Nucleotide")</f>
        <v>NCBI Nucleotide</v>
      </c>
    </row>
    <row r="3693" spans="1:27" x14ac:dyDescent="0.35">
      <c r="A3693">
        <v>1005027</v>
      </c>
      <c r="B3693">
        <v>3669</v>
      </c>
      <c r="C3693">
        <v>1</v>
      </c>
      <c r="D3693" s="17" t="s">
        <v>155</v>
      </c>
      <c r="E3693" s="17"/>
      <c r="F3693" s="17" t="s">
        <v>156</v>
      </c>
      <c r="G3693" s="17"/>
      <c r="H3693" s="17" t="s">
        <v>692</v>
      </c>
      <c r="I3693" s="17"/>
      <c r="J3693" s="17" t="s">
        <v>693</v>
      </c>
      <c r="K3693" s="17"/>
      <c r="L3693" s="17"/>
      <c r="M3693" s="17"/>
      <c r="N3693" s="17"/>
      <c r="O3693" s="17"/>
      <c r="P3693" s="17" t="s">
        <v>1368</v>
      </c>
      <c r="Q3693" s="17"/>
      <c r="R3693" s="25" t="str">
        <f>HYPERLINK("https://ictv.global/taxonomy/taxondetails?taxnode_id=202314563","Cobrasixvirus cobrasix")</f>
        <v>Cobrasixvirus cobrasix</v>
      </c>
      <c r="S3693" s="18" t="s">
        <v>30</v>
      </c>
      <c r="T3693" s="18" t="s">
        <v>1369</v>
      </c>
      <c r="U3693" s="18"/>
      <c r="V3693" s="18"/>
      <c r="W3693" s="18" t="s">
        <v>1370</v>
      </c>
      <c r="X3693" s="18" t="s">
        <v>42</v>
      </c>
      <c r="Y3693" s="18" t="s">
        <v>36</v>
      </c>
      <c r="Z3693" s="18" t="s">
        <v>697</v>
      </c>
      <c r="AA3693" s="21" t="str">
        <f>HYPERLINK("https://www.ncbi.nlm.nih.gov/nuccore/OK499971","NCBI Nucleotide")</f>
        <v>NCBI Nucleotide</v>
      </c>
    </row>
    <row r="3694" spans="1:27" x14ac:dyDescent="0.35">
      <c r="A3694">
        <v>1005028</v>
      </c>
      <c r="B3694">
        <v>3670</v>
      </c>
      <c r="C3694">
        <v>1</v>
      </c>
      <c r="D3694" s="17" t="s">
        <v>155</v>
      </c>
      <c r="E3694" s="17"/>
      <c r="F3694" s="17" t="s">
        <v>156</v>
      </c>
      <c r="G3694" s="17"/>
      <c r="H3694" s="17" t="s">
        <v>692</v>
      </c>
      <c r="I3694" s="17"/>
      <c r="J3694" s="17" t="s">
        <v>693</v>
      </c>
      <c r="K3694" s="17"/>
      <c r="L3694" s="17"/>
      <c r="M3694" s="17"/>
      <c r="N3694" s="17"/>
      <c r="O3694" s="17"/>
      <c r="P3694" s="17" t="s">
        <v>1371</v>
      </c>
      <c r="Q3694" s="17"/>
      <c r="R3694" s="25" t="str">
        <f>HYPERLINK("https://ictv.global/taxonomy/taxondetails?taxnode_id=202301231","Coetzeevirus ATCC8014")</f>
        <v>Coetzeevirus ATCC8014</v>
      </c>
      <c r="S3694" s="18" t="s">
        <v>30</v>
      </c>
      <c r="T3694" s="18" t="s">
        <v>1372</v>
      </c>
      <c r="U3694" s="18"/>
      <c r="V3694" s="18"/>
      <c r="W3694" s="18" t="s">
        <v>1373</v>
      </c>
      <c r="X3694" s="18" t="s">
        <v>42</v>
      </c>
      <c r="Y3694" s="18" t="s">
        <v>36</v>
      </c>
      <c r="Z3694" s="18" t="s">
        <v>697</v>
      </c>
      <c r="AA3694" s="21" t="str">
        <f>HYPERLINK("https://www.ncbi.nlm.nih.gov/nuccore/JX486087","NCBI Nucleotide")</f>
        <v>NCBI Nucleotide</v>
      </c>
    </row>
    <row r="3695" spans="1:27" x14ac:dyDescent="0.35">
      <c r="A3695">
        <v>1005029</v>
      </c>
      <c r="B3695">
        <v>3671</v>
      </c>
      <c r="C3695">
        <v>1</v>
      </c>
      <c r="D3695" s="17" t="s">
        <v>155</v>
      </c>
      <c r="E3695" s="17"/>
      <c r="F3695" s="17" t="s">
        <v>156</v>
      </c>
      <c r="G3695" s="17"/>
      <c r="H3695" s="17" t="s">
        <v>692</v>
      </c>
      <c r="I3695" s="17"/>
      <c r="J3695" s="17" t="s">
        <v>693</v>
      </c>
      <c r="K3695" s="17"/>
      <c r="L3695" s="17"/>
      <c r="M3695" s="17"/>
      <c r="N3695" s="17"/>
      <c r="O3695" s="17"/>
      <c r="P3695" s="17" t="s">
        <v>1371</v>
      </c>
      <c r="Q3695" s="17"/>
      <c r="R3695" s="25" t="str">
        <f>HYPERLINK("https://ictv.global/taxonomy/taxondetails?taxnode_id=202301233","Coetzeevirus cIP1")</f>
        <v>Coetzeevirus cIP1</v>
      </c>
      <c r="S3695" s="18" t="s">
        <v>30</v>
      </c>
      <c r="T3695" s="18" t="s">
        <v>1374</v>
      </c>
      <c r="U3695" s="18"/>
      <c r="V3695" s="18"/>
      <c r="W3695" s="18" t="s">
        <v>1375</v>
      </c>
      <c r="X3695" s="18" t="s">
        <v>42</v>
      </c>
      <c r="Y3695" s="18" t="s">
        <v>36</v>
      </c>
      <c r="Z3695" s="18" t="s">
        <v>697</v>
      </c>
      <c r="AA3695" s="21" t="str">
        <f>HYPERLINK("https://www.ncbi.nlm.nih.gov/nuccore/JN051154","NCBI Nucleotide")</f>
        <v>NCBI Nucleotide</v>
      </c>
    </row>
    <row r="3696" spans="1:27" x14ac:dyDescent="0.35">
      <c r="A3696">
        <v>1005030</v>
      </c>
      <c r="B3696">
        <v>3672</v>
      </c>
      <c r="C3696">
        <v>1</v>
      </c>
      <c r="D3696" s="17" t="s">
        <v>155</v>
      </c>
      <c r="E3696" s="17"/>
      <c r="F3696" s="17" t="s">
        <v>156</v>
      </c>
      <c r="G3696" s="17"/>
      <c r="H3696" s="17" t="s">
        <v>692</v>
      </c>
      <c r="I3696" s="17"/>
      <c r="J3696" s="17" t="s">
        <v>693</v>
      </c>
      <c r="K3696" s="17"/>
      <c r="L3696" s="17"/>
      <c r="M3696" s="17"/>
      <c r="N3696" s="17"/>
      <c r="O3696" s="17"/>
      <c r="P3696" s="17" t="s">
        <v>1371</v>
      </c>
      <c r="Q3696" s="17"/>
      <c r="R3696" s="25" t="str">
        <f>HYPERLINK("https://ictv.global/taxonomy/taxondetails?taxnode_id=202301232","Coetzeevirus JL1")</f>
        <v>Coetzeevirus JL1</v>
      </c>
      <c r="S3696" s="18" t="s">
        <v>30</v>
      </c>
      <c r="T3696" s="18" t="s">
        <v>1376</v>
      </c>
      <c r="U3696" s="18"/>
      <c r="V3696" s="18"/>
      <c r="W3696" s="18" t="s">
        <v>1377</v>
      </c>
      <c r="X3696" s="18" t="s">
        <v>42</v>
      </c>
      <c r="Y3696" s="18" t="s">
        <v>36</v>
      </c>
      <c r="Z3696" s="18" t="s">
        <v>697</v>
      </c>
      <c r="AA3696" s="21" t="str">
        <f>HYPERLINK("https://www.ncbi.nlm.nih.gov/nuccore/AY236756","NCBI Nucleotide")</f>
        <v>NCBI Nucleotide</v>
      </c>
    </row>
    <row r="3697" spans="1:27" x14ac:dyDescent="0.35">
      <c r="A3697">
        <v>1005031</v>
      </c>
      <c r="B3697">
        <v>3673</v>
      </c>
      <c r="C3697">
        <v>1</v>
      </c>
      <c r="D3697" s="17" t="s">
        <v>155</v>
      </c>
      <c r="E3697" s="17"/>
      <c r="F3697" s="17" t="s">
        <v>156</v>
      </c>
      <c r="G3697" s="17"/>
      <c r="H3697" s="17" t="s">
        <v>692</v>
      </c>
      <c r="I3697" s="17"/>
      <c r="J3697" s="17" t="s">
        <v>693</v>
      </c>
      <c r="K3697" s="17"/>
      <c r="L3697" s="17"/>
      <c r="M3697" s="17"/>
      <c r="N3697" s="17"/>
      <c r="O3697" s="17"/>
      <c r="P3697" s="17" t="s">
        <v>1378</v>
      </c>
      <c r="Q3697" s="17"/>
      <c r="R3697" s="25" t="str">
        <f>HYPERLINK("https://ictv.global/taxonomy/taxondetails?taxnode_id=202314590","Coeurvirus coeur")</f>
        <v>Coeurvirus coeur</v>
      </c>
      <c r="S3697" s="18" t="s">
        <v>30</v>
      </c>
      <c r="T3697" s="18" t="s">
        <v>1379</v>
      </c>
      <c r="U3697" s="18"/>
      <c r="V3697" s="18"/>
      <c r="W3697" s="18" t="s">
        <v>1380</v>
      </c>
      <c r="X3697" s="18" t="s">
        <v>42</v>
      </c>
      <c r="Y3697" s="18" t="s">
        <v>36</v>
      </c>
      <c r="Z3697" s="18" t="s">
        <v>697</v>
      </c>
      <c r="AA3697" s="21" t="str">
        <f>HYPERLINK("https://www.ncbi.nlm.nih.gov/nuccore/MK801723","NCBI Nucleotide")</f>
        <v>NCBI Nucleotide</v>
      </c>
    </row>
    <row r="3698" spans="1:27" x14ac:dyDescent="0.35">
      <c r="A3698">
        <v>1005032</v>
      </c>
      <c r="B3698">
        <v>3674</v>
      </c>
      <c r="C3698">
        <v>1</v>
      </c>
      <c r="D3698" s="17" t="s">
        <v>155</v>
      </c>
      <c r="E3698" s="17"/>
      <c r="F3698" s="17" t="s">
        <v>156</v>
      </c>
      <c r="G3698" s="17"/>
      <c r="H3698" s="17" t="s">
        <v>692</v>
      </c>
      <c r="I3698" s="17"/>
      <c r="J3698" s="17" t="s">
        <v>693</v>
      </c>
      <c r="K3698" s="17"/>
      <c r="L3698" s="17"/>
      <c r="M3698" s="17"/>
      <c r="N3698" s="17"/>
      <c r="O3698" s="17"/>
      <c r="P3698" s="17" t="s">
        <v>1381</v>
      </c>
      <c r="Q3698" s="17"/>
      <c r="R3698" s="25" t="str">
        <f>HYPERLINK("https://ictv.global/taxonomy/taxondetails?taxnode_id=202300422","Colneyvirus CD27")</f>
        <v>Colneyvirus CD27</v>
      </c>
      <c r="S3698" s="18" t="s">
        <v>30</v>
      </c>
      <c r="T3698" s="18" t="s">
        <v>1382</v>
      </c>
      <c r="U3698" s="18"/>
      <c r="V3698" s="18"/>
      <c r="W3698" s="18" t="s">
        <v>1383</v>
      </c>
      <c r="X3698" s="18" t="s">
        <v>42</v>
      </c>
      <c r="Y3698" s="18" t="s">
        <v>36</v>
      </c>
      <c r="Z3698" s="18" t="s">
        <v>697</v>
      </c>
      <c r="AA3698" s="21" t="str">
        <f>HYPERLINK("https://www.ncbi.nlm.nih.gov/nuccore/EU719189","NCBI Nucleotide")</f>
        <v>NCBI Nucleotide</v>
      </c>
    </row>
    <row r="3699" spans="1:27" x14ac:dyDescent="0.35">
      <c r="A3699">
        <v>1005033</v>
      </c>
      <c r="B3699">
        <v>3675</v>
      </c>
      <c r="C3699">
        <v>1</v>
      </c>
      <c r="D3699" s="17" t="s">
        <v>155</v>
      </c>
      <c r="E3699" s="17"/>
      <c r="F3699" s="17" t="s">
        <v>156</v>
      </c>
      <c r="G3699" s="17"/>
      <c r="H3699" s="17" t="s">
        <v>692</v>
      </c>
      <c r="I3699" s="17"/>
      <c r="J3699" s="17" t="s">
        <v>693</v>
      </c>
      <c r="K3699" s="17"/>
      <c r="L3699" s="17"/>
      <c r="M3699" s="17"/>
      <c r="N3699" s="17"/>
      <c r="O3699" s="17"/>
      <c r="P3699" s="17" t="s">
        <v>1381</v>
      </c>
      <c r="Q3699" s="17"/>
      <c r="R3699" s="25" t="str">
        <f>HYPERLINK("https://ictv.global/taxonomy/taxondetails?taxnode_id=202309886","Colneyvirus CD505")</f>
        <v>Colneyvirus CD505</v>
      </c>
      <c r="S3699" s="18" t="s">
        <v>30</v>
      </c>
      <c r="T3699" s="18" t="s">
        <v>1384</v>
      </c>
      <c r="U3699" s="18"/>
      <c r="V3699" s="18"/>
      <c r="W3699" s="18" t="s">
        <v>1385</v>
      </c>
      <c r="X3699" s="18" t="s">
        <v>42</v>
      </c>
      <c r="Y3699" s="18" t="s">
        <v>36</v>
      </c>
      <c r="Z3699" s="18" t="s">
        <v>697</v>
      </c>
      <c r="AA3699" s="21" t="str">
        <f>HYPERLINK("https://www.ncbi.nlm.nih.gov/nuccore/LN681539","NCBI Nucleotide")</f>
        <v>NCBI Nucleotide</v>
      </c>
    </row>
    <row r="3700" spans="1:27" x14ac:dyDescent="0.35">
      <c r="A3700">
        <v>1005035</v>
      </c>
      <c r="B3700">
        <v>3676</v>
      </c>
      <c r="C3700">
        <v>1</v>
      </c>
      <c r="D3700" s="17" t="s">
        <v>155</v>
      </c>
      <c r="E3700" s="17"/>
      <c r="F3700" s="17" t="s">
        <v>156</v>
      </c>
      <c r="G3700" s="17"/>
      <c r="H3700" s="17" t="s">
        <v>692</v>
      </c>
      <c r="I3700" s="17"/>
      <c r="J3700" s="17" t="s">
        <v>693</v>
      </c>
      <c r="K3700" s="17"/>
      <c r="L3700" s="17"/>
      <c r="M3700" s="17"/>
      <c r="N3700" s="17"/>
      <c r="O3700" s="17"/>
      <c r="P3700" s="17" t="s">
        <v>1381</v>
      </c>
      <c r="Q3700" s="17"/>
      <c r="R3700" s="25" t="str">
        <f>HYPERLINK("https://ictv.global/taxonomy/taxondetails?taxnode_id=202309885","Colneyvirus CDKM9")</f>
        <v>Colneyvirus CDKM9</v>
      </c>
      <c r="S3700" s="18" t="s">
        <v>30</v>
      </c>
      <c r="T3700" s="18" t="s">
        <v>1388</v>
      </c>
      <c r="U3700" s="18"/>
      <c r="V3700" s="18"/>
      <c r="W3700" s="18" t="s">
        <v>1389</v>
      </c>
      <c r="X3700" s="18" t="s">
        <v>42</v>
      </c>
      <c r="Y3700" s="18" t="s">
        <v>36</v>
      </c>
      <c r="Z3700" s="18" t="s">
        <v>697</v>
      </c>
      <c r="AA3700" s="21" t="str">
        <f>HYPERLINK("https://www.ncbi.nlm.nih.gov/nuccore/KX228399","NCBI Nucleotide")</f>
        <v>NCBI Nucleotide</v>
      </c>
    </row>
    <row r="3701" spans="1:27" x14ac:dyDescent="0.35">
      <c r="A3701">
        <v>1005034</v>
      </c>
      <c r="B3701">
        <v>3677</v>
      </c>
      <c r="C3701">
        <v>1</v>
      </c>
      <c r="D3701" s="17" t="s">
        <v>155</v>
      </c>
      <c r="E3701" s="17"/>
      <c r="F3701" s="17" t="s">
        <v>156</v>
      </c>
      <c r="G3701" s="17"/>
      <c r="H3701" s="17" t="s">
        <v>692</v>
      </c>
      <c r="I3701" s="17"/>
      <c r="J3701" s="17" t="s">
        <v>693</v>
      </c>
      <c r="K3701" s="17"/>
      <c r="L3701" s="17"/>
      <c r="M3701" s="17"/>
      <c r="N3701" s="17"/>
      <c r="O3701" s="17"/>
      <c r="P3701" s="17" t="s">
        <v>1381</v>
      </c>
      <c r="Q3701" s="17"/>
      <c r="R3701" s="25" t="str">
        <f>HYPERLINK("https://ictv.global/taxonomy/taxondetails?taxnode_id=202309888","Colneyvirus CDKM15")</f>
        <v>Colneyvirus CDKM15</v>
      </c>
      <c r="S3701" s="18" t="s">
        <v>30</v>
      </c>
      <c r="T3701" s="18" t="s">
        <v>1386</v>
      </c>
      <c r="U3701" s="18"/>
      <c r="V3701" s="18"/>
      <c r="W3701" s="18" t="s">
        <v>1387</v>
      </c>
      <c r="X3701" s="18" t="s">
        <v>42</v>
      </c>
      <c r="Y3701" s="18" t="s">
        <v>36</v>
      </c>
      <c r="Z3701" s="18" t="s">
        <v>697</v>
      </c>
      <c r="AA3701" s="21" t="str">
        <f>HYPERLINK("https://www.ncbi.nlm.nih.gov/nuccore/KX228400","NCBI Nucleotide")</f>
        <v>NCBI Nucleotide</v>
      </c>
    </row>
    <row r="3702" spans="1:27" x14ac:dyDescent="0.35">
      <c r="A3702">
        <v>1005036</v>
      </c>
      <c r="B3702">
        <v>3678</v>
      </c>
      <c r="C3702">
        <v>1</v>
      </c>
      <c r="D3702" s="17" t="s">
        <v>155</v>
      </c>
      <c r="E3702" s="17"/>
      <c r="F3702" s="17" t="s">
        <v>156</v>
      </c>
      <c r="G3702" s="17"/>
      <c r="H3702" s="17" t="s">
        <v>692</v>
      </c>
      <c r="I3702" s="17"/>
      <c r="J3702" s="17" t="s">
        <v>693</v>
      </c>
      <c r="K3702" s="17"/>
      <c r="L3702" s="17"/>
      <c r="M3702" s="17"/>
      <c r="N3702" s="17"/>
      <c r="O3702" s="17"/>
      <c r="P3702" s="17" t="s">
        <v>1381</v>
      </c>
      <c r="Q3702" s="17"/>
      <c r="R3702" s="25" t="str">
        <f>HYPERLINK("https://ictv.global/taxonomy/taxondetails?taxnode_id=202309887","Colneyvirus MMP02")</f>
        <v>Colneyvirus MMP02</v>
      </c>
      <c r="S3702" s="18" t="s">
        <v>30</v>
      </c>
      <c r="T3702" s="18" t="s">
        <v>1390</v>
      </c>
      <c r="U3702" s="18"/>
      <c r="V3702" s="18"/>
      <c r="W3702" s="18" t="s">
        <v>1391</v>
      </c>
      <c r="X3702" s="18" t="s">
        <v>42</v>
      </c>
      <c r="Y3702" s="18" t="s">
        <v>36</v>
      </c>
      <c r="Z3702" s="18" t="s">
        <v>697</v>
      </c>
      <c r="AA3702" s="21" t="str">
        <f>HYPERLINK("https://www.ncbi.nlm.nih.gov/nuccore/JX145341","NCBI Nucleotide")</f>
        <v>NCBI Nucleotide</v>
      </c>
    </row>
    <row r="3703" spans="1:27" x14ac:dyDescent="0.35">
      <c r="A3703">
        <v>1005037</v>
      </c>
      <c r="B3703">
        <v>3679</v>
      </c>
      <c r="C3703">
        <v>1</v>
      </c>
      <c r="D3703" s="17" t="s">
        <v>155</v>
      </c>
      <c r="E3703" s="17"/>
      <c r="F3703" s="17" t="s">
        <v>156</v>
      </c>
      <c r="G3703" s="17"/>
      <c r="H3703" s="17" t="s">
        <v>692</v>
      </c>
      <c r="I3703" s="17"/>
      <c r="J3703" s="17" t="s">
        <v>693</v>
      </c>
      <c r="K3703" s="17"/>
      <c r="L3703" s="17"/>
      <c r="M3703" s="17"/>
      <c r="N3703" s="17"/>
      <c r="O3703" s="17"/>
      <c r="P3703" s="17" t="s">
        <v>1392</v>
      </c>
      <c r="Q3703" s="17"/>
      <c r="R3703" s="25" t="str">
        <f>HYPERLINK("https://ictv.global/taxonomy/taxondetails?taxnode_id=202310180","Colunavirus CL1")</f>
        <v>Colunavirus CL1</v>
      </c>
      <c r="S3703" s="18" t="s">
        <v>30</v>
      </c>
      <c r="T3703" s="18" t="s">
        <v>1393</v>
      </c>
      <c r="U3703" s="18"/>
      <c r="V3703" s="18"/>
      <c r="W3703" s="18" t="s">
        <v>1394</v>
      </c>
      <c r="X3703" s="18" t="s">
        <v>42</v>
      </c>
      <c r="Y3703" s="18" t="s">
        <v>36</v>
      </c>
      <c r="Z3703" s="18" t="s">
        <v>697</v>
      </c>
      <c r="AA3703" s="21" t="str">
        <f>HYPERLINK("https://www.ncbi.nlm.nih.gov/nuccore/KR905066","NCBI Nucleotide")</f>
        <v>NCBI Nucleotide</v>
      </c>
    </row>
    <row r="3704" spans="1:27" x14ac:dyDescent="0.35">
      <c r="A3704">
        <v>1005038</v>
      </c>
      <c r="B3704">
        <v>3680</v>
      </c>
      <c r="C3704">
        <v>1</v>
      </c>
      <c r="D3704" s="17" t="s">
        <v>155</v>
      </c>
      <c r="E3704" s="17"/>
      <c r="F3704" s="17" t="s">
        <v>156</v>
      </c>
      <c r="G3704" s="17"/>
      <c r="H3704" s="17" t="s">
        <v>692</v>
      </c>
      <c r="I3704" s="17"/>
      <c r="J3704" s="17" t="s">
        <v>693</v>
      </c>
      <c r="K3704" s="17"/>
      <c r="L3704" s="17"/>
      <c r="M3704" s="17"/>
      <c r="N3704" s="17"/>
      <c r="O3704" s="17"/>
      <c r="P3704" s="17" t="s">
        <v>1392</v>
      </c>
      <c r="Q3704" s="17"/>
      <c r="R3704" s="25" t="str">
        <f>HYPERLINK("https://ictv.global/taxonomy/taxondetails?taxnode_id=202310182","Colunavirus CL2")</f>
        <v>Colunavirus CL2</v>
      </c>
      <c r="S3704" s="18" t="s">
        <v>30</v>
      </c>
      <c r="T3704" s="18" t="s">
        <v>1395</v>
      </c>
      <c r="U3704" s="18"/>
      <c r="V3704" s="18"/>
      <c r="W3704" s="18" t="s">
        <v>1396</v>
      </c>
      <c r="X3704" s="18" t="s">
        <v>42</v>
      </c>
      <c r="Y3704" s="18" t="s">
        <v>36</v>
      </c>
      <c r="Z3704" s="18" t="s">
        <v>697</v>
      </c>
      <c r="AA3704" s="21" t="str">
        <f>HYPERLINK("https://www.ncbi.nlm.nih.gov/nuccore/KR905067","NCBI Nucleotide")</f>
        <v>NCBI Nucleotide</v>
      </c>
    </row>
    <row r="3705" spans="1:27" x14ac:dyDescent="0.35">
      <c r="A3705">
        <v>1005039</v>
      </c>
      <c r="B3705">
        <v>3681</v>
      </c>
      <c r="C3705">
        <v>1</v>
      </c>
      <c r="D3705" s="17" t="s">
        <v>155</v>
      </c>
      <c r="E3705" s="17"/>
      <c r="F3705" s="17" t="s">
        <v>156</v>
      </c>
      <c r="G3705" s="17"/>
      <c r="H3705" s="17" t="s">
        <v>692</v>
      </c>
      <c r="I3705" s="17"/>
      <c r="J3705" s="17" t="s">
        <v>693</v>
      </c>
      <c r="K3705" s="17"/>
      <c r="L3705" s="17"/>
      <c r="M3705" s="17"/>
      <c r="N3705" s="17"/>
      <c r="O3705" s="17"/>
      <c r="P3705" s="17" t="s">
        <v>1392</v>
      </c>
      <c r="Q3705" s="17"/>
      <c r="R3705" s="25" t="str">
        <f>HYPERLINK("https://ictv.global/taxonomy/taxondetails?taxnode_id=202310181","Colunavirus iLp1308")</f>
        <v>Colunavirus iLp1308</v>
      </c>
      <c r="S3705" s="18" t="s">
        <v>30</v>
      </c>
      <c r="T3705" s="18" t="s">
        <v>1397</v>
      </c>
      <c r="U3705" s="18"/>
      <c r="V3705" s="18"/>
      <c r="W3705" s="18" t="s">
        <v>1398</v>
      </c>
      <c r="X3705" s="18" t="s">
        <v>42</v>
      </c>
      <c r="Y3705" s="18" t="s">
        <v>36</v>
      </c>
      <c r="Z3705" s="18" t="s">
        <v>697</v>
      </c>
      <c r="AA3705" s="21" t="str">
        <f>HYPERLINK("https://www.ncbi.nlm.nih.gov/nuccore/KR905070","NCBI Nucleotide")</f>
        <v>NCBI Nucleotide</v>
      </c>
    </row>
    <row r="3706" spans="1:27" x14ac:dyDescent="0.35">
      <c r="A3706">
        <v>1005040</v>
      </c>
      <c r="B3706">
        <v>3682</v>
      </c>
      <c r="C3706">
        <v>1</v>
      </c>
      <c r="D3706" s="17" t="s">
        <v>155</v>
      </c>
      <c r="E3706" s="17"/>
      <c r="F3706" s="17" t="s">
        <v>156</v>
      </c>
      <c r="G3706" s="17"/>
      <c r="H3706" s="17" t="s">
        <v>692</v>
      </c>
      <c r="I3706" s="17"/>
      <c r="J3706" s="17" t="s">
        <v>693</v>
      </c>
      <c r="K3706" s="17"/>
      <c r="L3706" s="17"/>
      <c r="M3706" s="17"/>
      <c r="N3706" s="17"/>
      <c r="O3706" s="17"/>
      <c r="P3706" s="17" t="s">
        <v>1399</v>
      </c>
      <c r="Q3706" s="17"/>
      <c r="R3706" s="25" t="str">
        <f>HYPERLINK("https://ictv.global/taxonomy/taxondetails?taxnode_id=202307256","Coralvirus coral")</f>
        <v>Coralvirus coral</v>
      </c>
      <c r="S3706" s="18" t="s">
        <v>30</v>
      </c>
      <c r="T3706" s="18" t="s">
        <v>1400</v>
      </c>
      <c r="U3706" s="18"/>
      <c r="V3706" s="18"/>
      <c r="W3706" s="18" t="s">
        <v>1401</v>
      </c>
      <c r="X3706" s="18" t="s">
        <v>42</v>
      </c>
      <c r="Y3706" s="18" t="s">
        <v>36</v>
      </c>
      <c r="Z3706" s="18" t="s">
        <v>697</v>
      </c>
      <c r="AA3706" s="21" t="str">
        <f>HYPERLINK("https://www.ncbi.nlm.nih.gov/nuccore/MH834606","NCBI Nucleotide")</f>
        <v>NCBI Nucleotide</v>
      </c>
    </row>
    <row r="3707" spans="1:27" x14ac:dyDescent="0.35">
      <c r="A3707">
        <v>1005041</v>
      </c>
      <c r="B3707">
        <v>3683</v>
      </c>
      <c r="C3707">
        <v>1</v>
      </c>
      <c r="D3707" s="17" t="s">
        <v>155</v>
      </c>
      <c r="E3707" s="17"/>
      <c r="F3707" s="17" t="s">
        <v>156</v>
      </c>
      <c r="G3707" s="17"/>
      <c r="H3707" s="17" t="s">
        <v>692</v>
      </c>
      <c r="I3707" s="17"/>
      <c r="J3707" s="17" t="s">
        <v>693</v>
      </c>
      <c r="K3707" s="17"/>
      <c r="L3707" s="17"/>
      <c r="M3707" s="17"/>
      <c r="N3707" s="17"/>
      <c r="O3707" s="17"/>
      <c r="P3707" s="17" t="s">
        <v>1399</v>
      </c>
      <c r="Q3707" s="17"/>
      <c r="R3707" s="25" t="str">
        <f>HYPERLINK("https://ictv.global/taxonomy/taxondetails?taxnode_id=202307257","Coralvirus kepler")</f>
        <v>Coralvirus kepler</v>
      </c>
      <c r="S3707" s="18" t="s">
        <v>30</v>
      </c>
      <c r="T3707" s="18" t="s">
        <v>1402</v>
      </c>
      <c r="U3707" s="18"/>
      <c r="V3707" s="18"/>
      <c r="W3707" s="18" t="s">
        <v>1403</v>
      </c>
      <c r="X3707" s="18" t="s">
        <v>42</v>
      </c>
      <c r="Y3707" s="18" t="s">
        <v>36</v>
      </c>
      <c r="Z3707" s="18" t="s">
        <v>697</v>
      </c>
      <c r="AA3707" s="21" t="str">
        <f>HYPERLINK("https://www.ncbi.nlm.nih.gov/nuccore/MH834616","NCBI Nucleotide")</f>
        <v>NCBI Nucleotide</v>
      </c>
    </row>
    <row r="3708" spans="1:27" x14ac:dyDescent="0.35">
      <c r="A3708">
        <v>1005042</v>
      </c>
      <c r="B3708">
        <v>3684</v>
      </c>
      <c r="C3708">
        <v>1</v>
      </c>
      <c r="D3708" s="17" t="s">
        <v>155</v>
      </c>
      <c r="E3708" s="17"/>
      <c r="F3708" s="17" t="s">
        <v>156</v>
      </c>
      <c r="G3708" s="17"/>
      <c r="H3708" s="17" t="s">
        <v>692</v>
      </c>
      <c r="I3708" s="17"/>
      <c r="J3708" s="17" t="s">
        <v>693</v>
      </c>
      <c r="K3708" s="17"/>
      <c r="L3708" s="17"/>
      <c r="M3708" s="17"/>
      <c r="N3708" s="17"/>
      <c r="O3708" s="17"/>
      <c r="P3708" s="17" t="s">
        <v>1404</v>
      </c>
      <c r="Q3708" s="17"/>
      <c r="R3708" s="25" t="str">
        <f>HYPERLINK("https://ictv.global/taxonomy/taxondetails?taxnode_id=202313056","Corndogvirus catdawg")</f>
        <v>Corndogvirus catdawg</v>
      </c>
      <c r="S3708" s="18" t="s">
        <v>30</v>
      </c>
      <c r="T3708" s="18" t="s">
        <v>1405</v>
      </c>
      <c r="U3708" s="18"/>
      <c r="V3708" s="18"/>
      <c r="W3708" s="18" t="s">
        <v>1406</v>
      </c>
      <c r="X3708" s="18" t="s">
        <v>42</v>
      </c>
      <c r="Y3708" s="18" t="s">
        <v>36</v>
      </c>
      <c r="Z3708" s="18" t="s">
        <v>697</v>
      </c>
      <c r="AA3708" s="21" t="str">
        <f>HYPERLINK("https://www.ncbi.nlm.nih.gov/nuccore/KF017002","NCBI Nucleotide")</f>
        <v>NCBI Nucleotide</v>
      </c>
    </row>
    <row r="3709" spans="1:27" x14ac:dyDescent="0.35">
      <c r="A3709">
        <v>1005043</v>
      </c>
      <c r="B3709">
        <v>3685</v>
      </c>
      <c r="C3709">
        <v>1</v>
      </c>
      <c r="D3709" s="17" t="s">
        <v>155</v>
      </c>
      <c r="E3709" s="17"/>
      <c r="F3709" s="17" t="s">
        <v>156</v>
      </c>
      <c r="G3709" s="17"/>
      <c r="H3709" s="17" t="s">
        <v>692</v>
      </c>
      <c r="I3709" s="17"/>
      <c r="J3709" s="17" t="s">
        <v>693</v>
      </c>
      <c r="K3709" s="17"/>
      <c r="L3709" s="17"/>
      <c r="M3709" s="17"/>
      <c r="N3709" s="17"/>
      <c r="O3709" s="17"/>
      <c r="P3709" s="17" t="s">
        <v>1404</v>
      </c>
      <c r="Q3709" s="17"/>
      <c r="R3709" s="25" t="str">
        <f>HYPERLINK("https://ictv.global/taxonomy/taxondetails?taxnode_id=202300940","Corndogvirus corndog")</f>
        <v>Corndogvirus corndog</v>
      </c>
      <c r="S3709" s="18" t="s">
        <v>30</v>
      </c>
      <c r="T3709" s="18" t="s">
        <v>1407</v>
      </c>
      <c r="U3709" s="18"/>
      <c r="V3709" s="18"/>
      <c r="W3709" s="18" t="s">
        <v>1408</v>
      </c>
      <c r="X3709" s="18" t="s">
        <v>42</v>
      </c>
      <c r="Y3709" s="18" t="s">
        <v>36</v>
      </c>
      <c r="Z3709" s="18" t="s">
        <v>697</v>
      </c>
      <c r="AA3709" s="21" t="str">
        <f>HYPERLINK("https://www.ncbi.nlm.nih.gov/nuccore/AY129335","NCBI Nucleotide")</f>
        <v>NCBI Nucleotide</v>
      </c>
    </row>
    <row r="3710" spans="1:27" x14ac:dyDescent="0.35">
      <c r="A3710">
        <v>1005044</v>
      </c>
      <c r="B3710">
        <v>3686</v>
      </c>
      <c r="C3710">
        <v>1</v>
      </c>
      <c r="D3710" s="17" t="s">
        <v>155</v>
      </c>
      <c r="E3710" s="17"/>
      <c r="F3710" s="17" t="s">
        <v>156</v>
      </c>
      <c r="G3710" s="17"/>
      <c r="H3710" s="17" t="s">
        <v>692</v>
      </c>
      <c r="I3710" s="17"/>
      <c r="J3710" s="17" t="s">
        <v>693</v>
      </c>
      <c r="K3710" s="17"/>
      <c r="L3710" s="17"/>
      <c r="M3710" s="17"/>
      <c r="N3710" s="17"/>
      <c r="O3710" s="17"/>
      <c r="P3710" s="17" t="s">
        <v>1404</v>
      </c>
      <c r="Q3710" s="17"/>
      <c r="R3710" s="25" t="str">
        <f>HYPERLINK("https://ictv.global/taxonomy/taxondetails?taxnode_id=202300941","Corndogvirus firecracker")</f>
        <v>Corndogvirus firecracker</v>
      </c>
      <c r="S3710" s="18" t="s">
        <v>30</v>
      </c>
      <c r="T3710" s="18" t="s">
        <v>1409</v>
      </c>
      <c r="U3710" s="18"/>
      <c r="V3710" s="18"/>
      <c r="W3710" s="18" t="s">
        <v>1410</v>
      </c>
      <c r="X3710" s="18" t="s">
        <v>42</v>
      </c>
      <c r="Y3710" s="18" t="s">
        <v>36</v>
      </c>
      <c r="Z3710" s="18" t="s">
        <v>697</v>
      </c>
      <c r="AA3710" s="21" t="str">
        <f>HYPERLINK("https://www.ncbi.nlm.nih.gov/nuccore/JN698993","NCBI Nucleotide")</f>
        <v>NCBI Nucleotide</v>
      </c>
    </row>
    <row r="3711" spans="1:27" x14ac:dyDescent="0.35">
      <c r="A3711">
        <v>1005045</v>
      </c>
      <c r="B3711">
        <v>3687</v>
      </c>
      <c r="C3711">
        <v>1</v>
      </c>
      <c r="D3711" s="17" t="s">
        <v>155</v>
      </c>
      <c r="E3711" s="17"/>
      <c r="F3711" s="17" t="s">
        <v>156</v>
      </c>
      <c r="G3711" s="17"/>
      <c r="H3711" s="17" t="s">
        <v>692</v>
      </c>
      <c r="I3711" s="17"/>
      <c r="J3711" s="17" t="s">
        <v>693</v>
      </c>
      <c r="K3711" s="17"/>
      <c r="L3711" s="17"/>
      <c r="M3711" s="17"/>
      <c r="N3711" s="17"/>
      <c r="O3711" s="17"/>
      <c r="P3711" s="17" t="s">
        <v>1404</v>
      </c>
      <c r="Q3711" s="17"/>
      <c r="R3711" s="25" t="str">
        <f>HYPERLINK("https://ictv.global/taxonomy/taxondetails?taxnode_id=202313055","Corndogvirus ryadel")</f>
        <v>Corndogvirus ryadel</v>
      </c>
      <c r="S3711" s="18" t="s">
        <v>30</v>
      </c>
      <c r="T3711" s="18" t="s">
        <v>1411</v>
      </c>
      <c r="U3711" s="18"/>
      <c r="V3711" s="18"/>
      <c r="W3711" s="18" t="s">
        <v>1412</v>
      </c>
      <c r="X3711" s="18" t="s">
        <v>42</v>
      </c>
      <c r="Y3711" s="18" t="s">
        <v>36</v>
      </c>
      <c r="Z3711" s="18" t="s">
        <v>697</v>
      </c>
      <c r="AA3711" s="21" t="str">
        <f>HYPERLINK("https://www.ncbi.nlm.nih.gov/nuccore/MH590592","NCBI Nucleotide")</f>
        <v>NCBI Nucleotide</v>
      </c>
    </row>
    <row r="3712" spans="1:27" x14ac:dyDescent="0.35">
      <c r="A3712">
        <v>1005046</v>
      </c>
      <c r="B3712">
        <v>3688</v>
      </c>
      <c r="C3712">
        <v>1</v>
      </c>
      <c r="D3712" s="17" t="s">
        <v>155</v>
      </c>
      <c r="E3712" s="17"/>
      <c r="F3712" s="17" t="s">
        <v>156</v>
      </c>
      <c r="G3712" s="17"/>
      <c r="H3712" s="17" t="s">
        <v>692</v>
      </c>
      <c r="I3712" s="17"/>
      <c r="J3712" s="17" t="s">
        <v>693</v>
      </c>
      <c r="K3712" s="17"/>
      <c r="L3712" s="17"/>
      <c r="M3712" s="17"/>
      <c r="N3712" s="17"/>
      <c r="O3712" s="17"/>
      <c r="P3712" s="17" t="s">
        <v>1413</v>
      </c>
      <c r="Q3712" s="17"/>
      <c r="R3712" s="25" t="str">
        <f>HYPERLINK("https://ictv.global/taxonomy/taxondetails?taxnode_id=202309905","Coventryvirus SN8")</f>
        <v>Coventryvirus SN8</v>
      </c>
      <c r="S3712" s="18" t="s">
        <v>30</v>
      </c>
      <c r="T3712" s="18" t="s">
        <v>1414</v>
      </c>
      <c r="U3712" s="18"/>
      <c r="V3712" s="18"/>
      <c r="W3712" s="18" t="s">
        <v>1415</v>
      </c>
      <c r="X3712" s="18" t="s">
        <v>42</v>
      </c>
      <c r="Y3712" s="18" t="s">
        <v>36</v>
      </c>
      <c r="Z3712" s="18" t="s">
        <v>697</v>
      </c>
      <c r="AA3712" s="21" t="str">
        <f>HYPERLINK("https://www.ncbi.nlm.nih.gov/nuccore/MF428481","NCBI Nucleotide")</f>
        <v>NCBI Nucleotide</v>
      </c>
    </row>
    <row r="3713" spans="1:27" x14ac:dyDescent="0.35">
      <c r="A3713">
        <v>1005047</v>
      </c>
      <c r="B3713">
        <v>3689</v>
      </c>
      <c r="C3713">
        <v>1</v>
      </c>
      <c r="D3713" s="17" t="s">
        <v>155</v>
      </c>
      <c r="E3713" s="17"/>
      <c r="F3713" s="17" t="s">
        <v>156</v>
      </c>
      <c r="G3713" s="17"/>
      <c r="H3713" s="17" t="s">
        <v>692</v>
      </c>
      <c r="I3713" s="17"/>
      <c r="J3713" s="17" t="s">
        <v>693</v>
      </c>
      <c r="K3713" s="17"/>
      <c r="L3713" s="17"/>
      <c r="M3713" s="17"/>
      <c r="N3713" s="17"/>
      <c r="O3713" s="17"/>
      <c r="P3713" s="17" t="s">
        <v>1413</v>
      </c>
      <c r="Q3713" s="17"/>
      <c r="R3713" s="25" t="str">
        <f>HYPERLINK("https://ictv.global/taxonomy/taxondetails?taxnode_id=202309908","Coventryvirus SP120")</f>
        <v>Coventryvirus SP120</v>
      </c>
      <c r="S3713" s="18" t="s">
        <v>30</v>
      </c>
      <c r="T3713" s="18" t="s">
        <v>1416</v>
      </c>
      <c r="U3713" s="18"/>
      <c r="V3713" s="18"/>
      <c r="W3713" s="18" t="s">
        <v>1417</v>
      </c>
      <c r="X3713" s="18" t="s">
        <v>42</v>
      </c>
      <c r="Y3713" s="18" t="s">
        <v>36</v>
      </c>
      <c r="Z3713" s="18" t="s">
        <v>697</v>
      </c>
      <c r="AA3713" s="21" t="str">
        <f>HYPERLINK("https://www.ncbi.nlm.nih.gov/nuccore/AP019560","NCBI Nucleotide")</f>
        <v>NCBI Nucleotide</v>
      </c>
    </row>
    <row r="3714" spans="1:27" x14ac:dyDescent="0.35">
      <c r="A3714">
        <v>1005048</v>
      </c>
      <c r="B3714">
        <v>3690</v>
      </c>
      <c r="C3714">
        <v>1</v>
      </c>
      <c r="D3714" s="17" t="s">
        <v>155</v>
      </c>
      <c r="E3714" s="17"/>
      <c r="F3714" s="17" t="s">
        <v>156</v>
      </c>
      <c r="G3714" s="17"/>
      <c r="H3714" s="17" t="s">
        <v>692</v>
      </c>
      <c r="I3714" s="17"/>
      <c r="J3714" s="17" t="s">
        <v>693</v>
      </c>
      <c r="K3714" s="17"/>
      <c r="L3714" s="17"/>
      <c r="M3714" s="17"/>
      <c r="N3714" s="17"/>
      <c r="O3714" s="17"/>
      <c r="P3714" s="17" t="s">
        <v>1413</v>
      </c>
      <c r="Q3714" s="17"/>
      <c r="R3714" s="25" t="str">
        <f>HYPERLINK("https://ictv.global/taxonomy/taxondetails?taxnode_id=202309904","Coventryvirus SP197")</f>
        <v>Coventryvirus SP197</v>
      </c>
      <c r="S3714" s="18" t="s">
        <v>30</v>
      </c>
      <c r="T3714" s="18" t="s">
        <v>1418</v>
      </c>
      <c r="U3714" s="18"/>
      <c r="V3714" s="18"/>
      <c r="W3714" s="18" t="s">
        <v>1419</v>
      </c>
      <c r="X3714" s="18" t="s">
        <v>42</v>
      </c>
      <c r="Y3714" s="18" t="s">
        <v>36</v>
      </c>
      <c r="Z3714" s="18" t="s">
        <v>697</v>
      </c>
      <c r="AA3714" s="21" t="str">
        <f>HYPERLINK("https://www.ncbi.nlm.nih.gov/nuccore/AP019561","NCBI Nucleotide")</f>
        <v>NCBI Nucleotide</v>
      </c>
    </row>
    <row r="3715" spans="1:27" x14ac:dyDescent="0.35">
      <c r="A3715">
        <v>1005049</v>
      </c>
      <c r="B3715">
        <v>3691</v>
      </c>
      <c r="C3715">
        <v>1</v>
      </c>
      <c r="D3715" s="17" t="s">
        <v>155</v>
      </c>
      <c r="E3715" s="17"/>
      <c r="F3715" s="17" t="s">
        <v>156</v>
      </c>
      <c r="G3715" s="17"/>
      <c r="H3715" s="17" t="s">
        <v>692</v>
      </c>
      <c r="I3715" s="17"/>
      <c r="J3715" s="17" t="s">
        <v>693</v>
      </c>
      <c r="K3715" s="17"/>
      <c r="L3715" s="17"/>
      <c r="M3715" s="17"/>
      <c r="N3715" s="17"/>
      <c r="O3715" s="17"/>
      <c r="P3715" s="17" t="s">
        <v>1413</v>
      </c>
      <c r="Q3715" s="17"/>
      <c r="R3715" s="25" t="str">
        <f>HYPERLINK("https://ictv.global/taxonomy/taxondetails?taxnode_id=202309909","Coventryvirus SP276")</f>
        <v>Coventryvirus SP276</v>
      </c>
      <c r="S3715" s="18" t="s">
        <v>30</v>
      </c>
      <c r="T3715" s="18" t="s">
        <v>1420</v>
      </c>
      <c r="U3715" s="18"/>
      <c r="V3715" s="18"/>
      <c r="W3715" s="18" t="s">
        <v>1421</v>
      </c>
      <c r="X3715" s="18" t="s">
        <v>42</v>
      </c>
      <c r="Y3715" s="18" t="s">
        <v>36</v>
      </c>
      <c r="Z3715" s="18" t="s">
        <v>697</v>
      </c>
      <c r="AA3715" s="21" t="str">
        <f>HYPERLINK("https://www.ncbi.nlm.nih.gov/nuccore/AP019562","NCBI Nucleotide")</f>
        <v>NCBI Nucleotide</v>
      </c>
    </row>
    <row r="3716" spans="1:27" x14ac:dyDescent="0.35">
      <c r="A3716">
        <v>1005050</v>
      </c>
      <c r="B3716">
        <v>3692</v>
      </c>
      <c r="C3716">
        <v>1</v>
      </c>
      <c r="D3716" s="17" t="s">
        <v>155</v>
      </c>
      <c r="E3716" s="17"/>
      <c r="F3716" s="17" t="s">
        <v>156</v>
      </c>
      <c r="G3716" s="17"/>
      <c r="H3716" s="17" t="s">
        <v>692</v>
      </c>
      <c r="I3716" s="17"/>
      <c r="J3716" s="17" t="s">
        <v>693</v>
      </c>
      <c r="K3716" s="17"/>
      <c r="L3716" s="17"/>
      <c r="M3716" s="17"/>
      <c r="N3716" s="17"/>
      <c r="O3716" s="17"/>
      <c r="P3716" s="17" t="s">
        <v>1413</v>
      </c>
      <c r="Q3716" s="17"/>
      <c r="R3716" s="25" t="str">
        <f>HYPERLINK("https://ictv.global/taxonomy/taxondetails?taxnode_id=202309903","Coventryvirus SP441")</f>
        <v>Coventryvirus SP441</v>
      </c>
      <c r="S3716" s="18" t="s">
        <v>30</v>
      </c>
      <c r="T3716" s="18" t="s">
        <v>1422</v>
      </c>
      <c r="U3716" s="18"/>
      <c r="V3716" s="18"/>
      <c r="W3716" s="18" t="s">
        <v>1423</v>
      </c>
      <c r="X3716" s="18" t="s">
        <v>42</v>
      </c>
      <c r="Y3716" s="18" t="s">
        <v>36</v>
      </c>
      <c r="Z3716" s="18" t="s">
        <v>697</v>
      </c>
      <c r="AA3716" s="21" t="str">
        <f>HYPERLINK("https://www.ncbi.nlm.nih.gov/nuccore/MK075003","NCBI Nucleotide")</f>
        <v>NCBI Nucleotide</v>
      </c>
    </row>
    <row r="3717" spans="1:27" x14ac:dyDescent="0.35">
      <c r="A3717">
        <v>1005051</v>
      </c>
      <c r="B3717">
        <v>3693</v>
      </c>
      <c r="C3717">
        <v>1</v>
      </c>
      <c r="D3717" s="17" t="s">
        <v>155</v>
      </c>
      <c r="E3717" s="17"/>
      <c r="F3717" s="17" t="s">
        <v>156</v>
      </c>
      <c r="G3717" s="17"/>
      <c r="H3717" s="17" t="s">
        <v>692</v>
      </c>
      <c r="I3717" s="17"/>
      <c r="J3717" s="17" t="s">
        <v>693</v>
      </c>
      <c r="K3717" s="17"/>
      <c r="L3717" s="17"/>
      <c r="M3717" s="17"/>
      <c r="N3717" s="17"/>
      <c r="O3717" s="17"/>
      <c r="P3717" s="17" t="s">
        <v>1413</v>
      </c>
      <c r="Q3717" s="17"/>
      <c r="R3717" s="25" t="str">
        <f>HYPERLINK("https://ictv.global/taxonomy/taxondetails?taxnode_id=202309907","Coventryvirus SpT152")</f>
        <v>Coventryvirus SpT152</v>
      </c>
      <c r="S3717" s="18" t="s">
        <v>30</v>
      </c>
      <c r="T3717" s="18" t="s">
        <v>1424</v>
      </c>
      <c r="U3717" s="18"/>
      <c r="V3717" s="18"/>
      <c r="W3717" s="18" t="s">
        <v>1425</v>
      </c>
      <c r="X3717" s="18" t="s">
        <v>42</v>
      </c>
      <c r="Y3717" s="18" t="s">
        <v>36</v>
      </c>
      <c r="Z3717" s="18" t="s">
        <v>697</v>
      </c>
      <c r="AA3717" s="21" t="str">
        <f>HYPERLINK("https://www.ncbi.nlm.nih.gov/nuccore/KX827369","NCBI Nucleotide")</f>
        <v>NCBI Nucleotide</v>
      </c>
    </row>
    <row r="3718" spans="1:27" x14ac:dyDescent="0.35">
      <c r="A3718">
        <v>1005052</v>
      </c>
      <c r="B3718">
        <v>3694</v>
      </c>
      <c r="C3718">
        <v>1</v>
      </c>
      <c r="D3718" s="17" t="s">
        <v>155</v>
      </c>
      <c r="E3718" s="17"/>
      <c r="F3718" s="17" t="s">
        <v>156</v>
      </c>
      <c r="G3718" s="17"/>
      <c r="H3718" s="17" t="s">
        <v>692</v>
      </c>
      <c r="I3718" s="17"/>
      <c r="J3718" s="17" t="s">
        <v>693</v>
      </c>
      <c r="K3718" s="17"/>
      <c r="L3718" s="17"/>
      <c r="M3718" s="17"/>
      <c r="N3718" s="17"/>
      <c r="O3718" s="17"/>
      <c r="P3718" s="17" t="s">
        <v>1413</v>
      </c>
      <c r="Q3718" s="17"/>
      <c r="R3718" s="25" t="str">
        <f>HYPERLINK("https://ictv.global/taxonomy/taxondetails?taxnode_id=202309906","Coventryvirus WIS42")</f>
        <v>Coventryvirus WIS42</v>
      </c>
      <c r="S3718" s="18" t="s">
        <v>30</v>
      </c>
      <c r="T3718" s="18" t="s">
        <v>1426</v>
      </c>
      <c r="U3718" s="18"/>
      <c r="V3718" s="18"/>
      <c r="W3718" s="18" t="s">
        <v>1427</v>
      </c>
      <c r="X3718" s="18" t="s">
        <v>42</v>
      </c>
      <c r="Y3718" s="18" t="s">
        <v>36</v>
      </c>
      <c r="Z3718" s="18" t="s">
        <v>697</v>
      </c>
      <c r="AA3718" s="21" t="str">
        <f>HYPERLINK("https://www.ncbi.nlm.nih.gov/nuccore/MN028536","NCBI Nucleotide")</f>
        <v>NCBI Nucleotide</v>
      </c>
    </row>
    <row r="3719" spans="1:27" x14ac:dyDescent="0.35">
      <c r="A3719">
        <v>1005053</v>
      </c>
      <c r="B3719">
        <v>3695</v>
      </c>
      <c r="C3719">
        <v>1</v>
      </c>
      <c r="D3719" s="17" t="s">
        <v>155</v>
      </c>
      <c r="E3719" s="17"/>
      <c r="F3719" s="17" t="s">
        <v>156</v>
      </c>
      <c r="G3719" s="17"/>
      <c r="H3719" s="17" t="s">
        <v>692</v>
      </c>
      <c r="I3719" s="17"/>
      <c r="J3719" s="17" t="s">
        <v>693</v>
      </c>
      <c r="K3719" s="17"/>
      <c r="L3719" s="17"/>
      <c r="M3719" s="17"/>
      <c r="N3719" s="17"/>
      <c r="O3719" s="17"/>
      <c r="P3719" s="17" t="s">
        <v>1428</v>
      </c>
      <c r="Q3719" s="17"/>
      <c r="R3719" s="25" t="str">
        <f>HYPERLINK("https://ictv.global/taxonomy/taxondetails?taxnode_id=202314566","Craquatrovirus PSTCR4")</f>
        <v>Craquatrovirus PSTCR4</v>
      </c>
      <c r="S3719" s="18" t="s">
        <v>30</v>
      </c>
      <c r="T3719" s="18" t="s">
        <v>1429</v>
      </c>
      <c r="U3719" s="18"/>
      <c r="V3719" s="18"/>
      <c r="W3719" s="18" t="s">
        <v>1430</v>
      </c>
      <c r="X3719" s="18" t="s">
        <v>42</v>
      </c>
      <c r="Y3719" s="18" t="s">
        <v>36</v>
      </c>
      <c r="Z3719" s="18" t="s">
        <v>697</v>
      </c>
      <c r="AA3719" s="21" t="str">
        <f>HYPERLINK("https://www.ncbi.nlm.nih.gov/nuccore/MW057856","NCBI Nucleotide")</f>
        <v>NCBI Nucleotide</v>
      </c>
    </row>
    <row r="3720" spans="1:27" x14ac:dyDescent="0.35">
      <c r="A3720">
        <v>1005054</v>
      </c>
      <c r="B3720">
        <v>3696</v>
      </c>
      <c r="C3720">
        <v>1</v>
      </c>
      <c r="D3720" s="17" t="s">
        <v>155</v>
      </c>
      <c r="E3720" s="17"/>
      <c r="F3720" s="17" t="s">
        <v>156</v>
      </c>
      <c r="G3720" s="17"/>
      <c r="H3720" s="17" t="s">
        <v>692</v>
      </c>
      <c r="I3720" s="17"/>
      <c r="J3720" s="17" t="s">
        <v>693</v>
      </c>
      <c r="K3720" s="17"/>
      <c r="L3720" s="17"/>
      <c r="M3720" s="17"/>
      <c r="N3720" s="17"/>
      <c r="O3720" s="17"/>
      <c r="P3720" s="17" t="s">
        <v>1428</v>
      </c>
      <c r="Q3720" s="17"/>
      <c r="R3720" s="25" t="str">
        <f>HYPERLINK("https://ictv.global/taxonomy/taxondetails?taxnode_id=202314567","Craquatrovirus PSTCR7")</f>
        <v>Craquatrovirus PSTCR7</v>
      </c>
      <c r="S3720" s="18" t="s">
        <v>30</v>
      </c>
      <c r="T3720" s="18" t="s">
        <v>1431</v>
      </c>
      <c r="U3720" s="18"/>
      <c r="V3720" s="18"/>
      <c r="W3720" s="18" t="s">
        <v>1432</v>
      </c>
      <c r="X3720" s="18" t="s">
        <v>42</v>
      </c>
      <c r="Y3720" s="18" t="s">
        <v>36</v>
      </c>
      <c r="Z3720" s="18" t="s">
        <v>697</v>
      </c>
      <c r="AA3720" s="21" t="str">
        <f>HYPERLINK("https://www.ncbi.nlm.nih.gov/nuccore/MW057861","NCBI Nucleotide")</f>
        <v>NCBI Nucleotide</v>
      </c>
    </row>
    <row r="3721" spans="1:27" x14ac:dyDescent="0.35">
      <c r="A3721">
        <v>1005055</v>
      </c>
      <c r="B3721">
        <v>3697</v>
      </c>
      <c r="C3721">
        <v>1</v>
      </c>
      <c r="D3721" s="17" t="s">
        <v>155</v>
      </c>
      <c r="E3721" s="17"/>
      <c r="F3721" s="17" t="s">
        <v>156</v>
      </c>
      <c r="G3721" s="17"/>
      <c r="H3721" s="17" t="s">
        <v>692</v>
      </c>
      <c r="I3721" s="17"/>
      <c r="J3721" s="17" t="s">
        <v>693</v>
      </c>
      <c r="K3721" s="17"/>
      <c r="L3721" s="17"/>
      <c r="M3721" s="17"/>
      <c r="N3721" s="17"/>
      <c r="O3721" s="17"/>
      <c r="P3721" s="17" t="s">
        <v>1433</v>
      </c>
      <c r="Q3721" s="17"/>
      <c r="R3721" s="25" t="str">
        <f>HYPERLINK("https://ictv.global/taxonomy/taxondetails?taxnode_id=202300943","Cronusvirus cronus")</f>
        <v>Cronusvirus cronus</v>
      </c>
      <c r="S3721" s="18" t="s">
        <v>30</v>
      </c>
      <c r="T3721" s="18" t="s">
        <v>1434</v>
      </c>
      <c r="U3721" s="18"/>
      <c r="V3721" s="18"/>
      <c r="W3721" s="18" t="s">
        <v>1435</v>
      </c>
      <c r="X3721" s="18" t="s">
        <v>42</v>
      </c>
      <c r="Y3721" s="18" t="s">
        <v>36</v>
      </c>
      <c r="Z3721" s="18" t="s">
        <v>697</v>
      </c>
      <c r="AA3721" s="21" t="str">
        <f>HYPERLINK("https://www.ncbi.nlm.nih.gov/nuccore/KR935217","NCBI Nucleotide")</f>
        <v>NCBI Nucleotide</v>
      </c>
    </row>
    <row r="3722" spans="1:27" x14ac:dyDescent="0.35">
      <c r="A3722">
        <v>1005056</v>
      </c>
      <c r="B3722">
        <v>3698</v>
      </c>
      <c r="C3722">
        <v>1</v>
      </c>
      <c r="D3722" s="17" t="s">
        <v>155</v>
      </c>
      <c r="E3722" s="17"/>
      <c r="F3722" s="17" t="s">
        <v>156</v>
      </c>
      <c r="G3722" s="17"/>
      <c r="H3722" s="17" t="s">
        <v>692</v>
      </c>
      <c r="I3722" s="17"/>
      <c r="J3722" s="17" t="s">
        <v>693</v>
      </c>
      <c r="K3722" s="17"/>
      <c r="L3722" s="17"/>
      <c r="M3722" s="17"/>
      <c r="N3722" s="17"/>
      <c r="O3722" s="17"/>
      <c r="P3722" s="17" t="s">
        <v>1436</v>
      </c>
      <c r="Q3722" s="17"/>
      <c r="R3722" s="25" t="str">
        <f>HYPERLINK("https://ictv.global/taxonomy/taxondetails?taxnode_id=202309911","Cukevirus cuke")</f>
        <v>Cukevirus cuke</v>
      </c>
      <c r="S3722" s="18" t="s">
        <v>30</v>
      </c>
      <c r="T3722" s="18" t="s">
        <v>1437</v>
      </c>
      <c r="U3722" s="18"/>
      <c r="V3722" s="18"/>
      <c r="W3722" s="18" t="s">
        <v>1438</v>
      </c>
      <c r="X3722" s="18" t="s">
        <v>42</v>
      </c>
      <c r="Y3722" s="18" t="s">
        <v>36</v>
      </c>
      <c r="Z3722" s="18" t="s">
        <v>697</v>
      </c>
      <c r="AA3722" s="21" t="str">
        <f>HYPERLINK("https://www.ncbi.nlm.nih.gov/nuccore/MG757156","NCBI Nucleotide")</f>
        <v>NCBI Nucleotide</v>
      </c>
    </row>
    <row r="3723" spans="1:27" x14ac:dyDescent="0.35">
      <c r="A3723">
        <v>1005057</v>
      </c>
      <c r="B3723">
        <v>3699</v>
      </c>
      <c r="C3723">
        <v>1</v>
      </c>
      <c r="D3723" s="17" t="s">
        <v>155</v>
      </c>
      <c r="E3723" s="17"/>
      <c r="F3723" s="17" t="s">
        <v>156</v>
      </c>
      <c r="G3723" s="17"/>
      <c r="H3723" s="17" t="s">
        <v>692</v>
      </c>
      <c r="I3723" s="17"/>
      <c r="J3723" s="17" t="s">
        <v>693</v>
      </c>
      <c r="K3723" s="17"/>
      <c r="L3723" s="17"/>
      <c r="M3723" s="17"/>
      <c r="N3723" s="17"/>
      <c r="O3723" s="17"/>
      <c r="P3723" s="17" t="s">
        <v>1439</v>
      </c>
      <c r="Q3723" s="17"/>
      <c r="R3723" s="25" t="str">
        <f>HYPERLINK("https://ictv.global/taxonomy/taxondetails?taxnode_id=202307191","Daredevilvirus daredevil")</f>
        <v>Daredevilvirus daredevil</v>
      </c>
      <c r="S3723" s="18" t="s">
        <v>30</v>
      </c>
      <c r="T3723" s="18" t="s">
        <v>1440</v>
      </c>
      <c r="U3723" s="18"/>
      <c r="V3723" s="18"/>
      <c r="W3723" s="18" t="s">
        <v>1441</v>
      </c>
      <c r="X3723" s="18" t="s">
        <v>42</v>
      </c>
      <c r="Y3723" s="18" t="s">
        <v>36</v>
      </c>
      <c r="Z3723" s="18" t="s">
        <v>697</v>
      </c>
      <c r="AA3723" s="21" t="str">
        <f>HYPERLINK("https://www.ncbi.nlm.nih.gov/nuccore/MH590603","NCBI Nucleotide")</f>
        <v>NCBI Nucleotide</v>
      </c>
    </row>
    <row r="3724" spans="1:27" x14ac:dyDescent="0.35">
      <c r="A3724">
        <v>1005058</v>
      </c>
      <c r="B3724">
        <v>3700</v>
      </c>
      <c r="C3724">
        <v>1</v>
      </c>
      <c r="D3724" s="17" t="s">
        <v>155</v>
      </c>
      <c r="E3724" s="17"/>
      <c r="F3724" s="17" t="s">
        <v>156</v>
      </c>
      <c r="G3724" s="17"/>
      <c r="H3724" s="17" t="s">
        <v>692</v>
      </c>
      <c r="I3724" s="17"/>
      <c r="J3724" s="17" t="s">
        <v>693</v>
      </c>
      <c r="K3724" s="17"/>
      <c r="L3724" s="17"/>
      <c r="M3724" s="17"/>
      <c r="N3724" s="17"/>
      <c r="O3724" s="17"/>
      <c r="P3724" s="17" t="s">
        <v>1442</v>
      </c>
      <c r="Q3724" s="17"/>
      <c r="R3724" s="25" t="str">
        <f>HYPERLINK("https://ictv.global/taxonomy/taxondetails?taxnode_id=202300957","Decurrovirus decurro")</f>
        <v>Decurrovirus decurro</v>
      </c>
      <c r="S3724" s="18" t="s">
        <v>30</v>
      </c>
      <c r="T3724" s="18" t="s">
        <v>1443</v>
      </c>
      <c r="U3724" s="18"/>
      <c r="V3724" s="18"/>
      <c r="W3724" s="18" t="s">
        <v>1444</v>
      </c>
      <c r="X3724" s="18" t="s">
        <v>42</v>
      </c>
      <c r="Y3724" s="18" t="s">
        <v>36</v>
      </c>
      <c r="Z3724" s="18" t="s">
        <v>697</v>
      </c>
      <c r="AA3724" s="21" t="str">
        <f>HYPERLINK("https://www.ncbi.nlm.nih.gov/nuccore/KT355471","NCBI Nucleotide")</f>
        <v>NCBI Nucleotide</v>
      </c>
    </row>
    <row r="3725" spans="1:27" x14ac:dyDescent="0.35">
      <c r="A3725">
        <v>1005059</v>
      </c>
      <c r="B3725">
        <v>3701</v>
      </c>
      <c r="C3725">
        <v>1</v>
      </c>
      <c r="D3725" s="17" t="s">
        <v>155</v>
      </c>
      <c r="E3725" s="17"/>
      <c r="F3725" s="17" t="s">
        <v>156</v>
      </c>
      <c r="G3725" s="17"/>
      <c r="H3725" s="17" t="s">
        <v>692</v>
      </c>
      <c r="I3725" s="17"/>
      <c r="J3725" s="17" t="s">
        <v>693</v>
      </c>
      <c r="K3725" s="17"/>
      <c r="L3725" s="17"/>
      <c r="M3725" s="17"/>
      <c r="N3725" s="17"/>
      <c r="O3725" s="17"/>
      <c r="P3725" s="17" t="s">
        <v>1445</v>
      </c>
      <c r="Q3725" s="17"/>
      <c r="R3725" s="25" t="str">
        <f>HYPERLINK("https://ictv.global/taxonomy/taxondetails?taxnode_id=202306932","Delepquintavirus DLP5")</f>
        <v>Delepquintavirus DLP5</v>
      </c>
      <c r="S3725" s="18" t="s">
        <v>30</v>
      </c>
      <c r="T3725" s="18" t="s">
        <v>1446</v>
      </c>
      <c r="U3725" s="18"/>
      <c r="V3725" s="18"/>
      <c r="W3725" s="18" t="s">
        <v>1447</v>
      </c>
      <c r="X3725" s="18" t="s">
        <v>42</v>
      </c>
      <c r="Y3725" s="18" t="s">
        <v>36</v>
      </c>
      <c r="Z3725" s="18" t="s">
        <v>697</v>
      </c>
      <c r="AA3725" s="21" t="str">
        <f>HYPERLINK("https://www.ncbi.nlm.nih.gov/nuccore/MG189906","NCBI Nucleotide")</f>
        <v>NCBI Nucleotide</v>
      </c>
    </row>
    <row r="3726" spans="1:27" x14ac:dyDescent="0.35">
      <c r="A3726">
        <v>1024494</v>
      </c>
      <c r="B3726">
        <v>3702</v>
      </c>
      <c r="C3726">
        <v>1</v>
      </c>
      <c r="D3726" s="17" t="s">
        <v>155</v>
      </c>
      <c r="E3726" s="17"/>
      <c r="F3726" s="17" t="s">
        <v>156</v>
      </c>
      <c r="G3726" s="17"/>
      <c r="H3726" s="17" t="s">
        <v>692</v>
      </c>
      <c r="I3726" s="17"/>
      <c r="J3726" s="17" t="s">
        <v>693</v>
      </c>
      <c r="K3726" s="17"/>
      <c r="L3726" s="17"/>
      <c r="M3726" s="17"/>
      <c r="N3726" s="17"/>
      <c r="O3726" s="17"/>
      <c r="P3726" s="17" t="s">
        <v>39874</v>
      </c>
      <c r="Q3726" s="17"/>
      <c r="R3726" s="25" t="str">
        <f>HYPERLINK("https://ictv.global/taxonomy/taxondetails?taxnode_id=202319220","Delfunavirus delf1")</f>
        <v>Delfunavirus delf1</v>
      </c>
      <c r="S3726" s="18" t="s">
        <v>30</v>
      </c>
      <c r="T3726" s="18" t="s">
        <v>39875</v>
      </c>
      <c r="U3726" s="18"/>
      <c r="V3726" s="18"/>
      <c r="W3726" s="18" t="s">
        <v>48473</v>
      </c>
      <c r="X3726" s="18" t="s">
        <v>42</v>
      </c>
      <c r="Y3726" s="18" t="s">
        <v>36</v>
      </c>
      <c r="Z3726" s="18" t="s">
        <v>697</v>
      </c>
      <c r="AA3726" s="21" t="str">
        <f>HYPERLINK("https://www.ncbi.nlm.nih.gov/nuccore/LC513943","NCBI Nucleotide")</f>
        <v>NCBI Nucleotide</v>
      </c>
    </row>
    <row r="3727" spans="1:27" x14ac:dyDescent="0.35">
      <c r="A3727">
        <v>1024495</v>
      </c>
      <c r="B3727">
        <v>3703</v>
      </c>
      <c r="C3727">
        <v>1</v>
      </c>
      <c r="D3727" s="17" t="s">
        <v>155</v>
      </c>
      <c r="E3727" s="17"/>
      <c r="F3727" s="17" t="s">
        <v>156</v>
      </c>
      <c r="G3727" s="17"/>
      <c r="H3727" s="17" t="s">
        <v>692</v>
      </c>
      <c r="I3727" s="17"/>
      <c r="J3727" s="17" t="s">
        <v>693</v>
      </c>
      <c r="K3727" s="17"/>
      <c r="L3727" s="17"/>
      <c r="M3727" s="17"/>
      <c r="N3727" s="17"/>
      <c r="O3727" s="17"/>
      <c r="P3727" s="17" t="s">
        <v>39874</v>
      </c>
      <c r="Q3727" s="17"/>
      <c r="R3727" s="25" t="str">
        <f>HYPERLINK("https://ictv.global/taxonomy/taxondetails?taxnode_id=202319221","Delfunavirus v268")</f>
        <v>Delfunavirus v268</v>
      </c>
      <c r="S3727" s="18" t="s">
        <v>30</v>
      </c>
      <c r="T3727" s="18" t="s">
        <v>39876</v>
      </c>
      <c r="U3727" s="18"/>
      <c r="V3727" s="18"/>
      <c r="W3727" s="18" t="s">
        <v>48474</v>
      </c>
      <c r="X3727" s="18" t="s">
        <v>42</v>
      </c>
      <c r="Y3727" s="18" t="s">
        <v>36</v>
      </c>
      <c r="Z3727" s="18" t="s">
        <v>697</v>
      </c>
      <c r="AA3727" s="21" t="str">
        <f>HYPERLINK("https://www.ncbi.nlm.nih.gov/nuccore/CAJDKB010000002","NCBI Nucleotide")</f>
        <v>NCBI Nucleotide</v>
      </c>
    </row>
    <row r="3728" spans="1:27" x14ac:dyDescent="0.35">
      <c r="A3728">
        <v>1005060</v>
      </c>
      <c r="B3728">
        <v>3704</v>
      </c>
      <c r="C3728">
        <v>1</v>
      </c>
      <c r="D3728" s="17" t="s">
        <v>155</v>
      </c>
      <c r="E3728" s="17"/>
      <c r="F3728" s="17" t="s">
        <v>156</v>
      </c>
      <c r="G3728" s="17"/>
      <c r="H3728" s="17" t="s">
        <v>692</v>
      </c>
      <c r="I3728" s="17"/>
      <c r="J3728" s="17" t="s">
        <v>693</v>
      </c>
      <c r="K3728" s="17"/>
      <c r="L3728" s="17"/>
      <c r="M3728" s="17"/>
      <c r="N3728" s="17"/>
      <c r="O3728" s="17"/>
      <c r="P3728" s="17" t="s">
        <v>1448</v>
      </c>
      <c r="Q3728" s="17"/>
      <c r="R3728" s="25" t="str">
        <f>HYPERLINK("https://ictv.global/taxonomy/taxondetails?taxnode_id=202300604","Delislevirus P1")</f>
        <v>Delislevirus P1</v>
      </c>
      <c r="S3728" s="18" t="s">
        <v>30</v>
      </c>
      <c r="T3728" s="18" t="s">
        <v>1449</v>
      </c>
      <c r="U3728" s="18"/>
      <c r="V3728" s="18"/>
      <c r="W3728" s="18" t="s">
        <v>1450</v>
      </c>
      <c r="X3728" s="18" t="s">
        <v>42</v>
      </c>
      <c r="Y3728" s="18" t="s">
        <v>36</v>
      </c>
      <c r="Z3728" s="18" t="s">
        <v>697</v>
      </c>
      <c r="AA3728" s="21" t="str">
        <f>HYPERLINK("https://www.ncbi.nlm.nih.gov/nuccore/AF246223","NCBI Nucleotide")</f>
        <v>NCBI Nucleotide</v>
      </c>
    </row>
    <row r="3729" spans="1:27" x14ac:dyDescent="0.35">
      <c r="A3729">
        <v>1005061</v>
      </c>
      <c r="B3729">
        <v>3705</v>
      </c>
      <c r="C3729">
        <v>1</v>
      </c>
      <c r="D3729" s="17" t="s">
        <v>155</v>
      </c>
      <c r="E3729" s="17"/>
      <c r="F3729" s="17" t="s">
        <v>156</v>
      </c>
      <c r="G3729" s="17"/>
      <c r="H3729" s="17" t="s">
        <v>692</v>
      </c>
      <c r="I3729" s="17"/>
      <c r="J3729" s="17" t="s">
        <v>693</v>
      </c>
      <c r="K3729" s="17"/>
      <c r="L3729" s="17"/>
      <c r="M3729" s="17"/>
      <c r="N3729" s="17"/>
      <c r="O3729" s="17"/>
      <c r="P3729" s="17" t="s">
        <v>1451</v>
      </c>
      <c r="Q3729" s="17"/>
      <c r="R3729" s="25" t="str">
        <f>HYPERLINK("https://ictv.global/taxonomy/taxondetails?taxnode_id=202300959","Demosthenesvirus demosthenes")</f>
        <v>Demosthenesvirus demosthenes</v>
      </c>
      <c r="S3729" s="18" t="s">
        <v>30</v>
      </c>
      <c r="T3729" s="18" t="s">
        <v>1452</v>
      </c>
      <c r="U3729" s="18"/>
      <c r="V3729" s="18"/>
      <c r="W3729" s="18" t="s">
        <v>1453</v>
      </c>
      <c r="X3729" s="18" t="s">
        <v>42</v>
      </c>
      <c r="Y3729" s="18" t="s">
        <v>36</v>
      </c>
      <c r="Z3729" s="18" t="s">
        <v>697</v>
      </c>
      <c r="AA3729" s="21" t="str">
        <f>HYPERLINK("https://www.ncbi.nlm.nih.gov/nuccore/KU998242","NCBI Nucleotide")</f>
        <v>NCBI Nucleotide</v>
      </c>
    </row>
    <row r="3730" spans="1:27" x14ac:dyDescent="0.35">
      <c r="A3730">
        <v>1005062</v>
      </c>
      <c r="B3730">
        <v>3706</v>
      </c>
      <c r="C3730">
        <v>1</v>
      </c>
      <c r="D3730" s="17" t="s">
        <v>155</v>
      </c>
      <c r="E3730" s="17"/>
      <c r="F3730" s="17" t="s">
        <v>156</v>
      </c>
      <c r="G3730" s="17"/>
      <c r="H3730" s="17" t="s">
        <v>692</v>
      </c>
      <c r="I3730" s="17"/>
      <c r="J3730" s="17" t="s">
        <v>693</v>
      </c>
      <c r="K3730" s="17"/>
      <c r="L3730" s="17"/>
      <c r="M3730" s="17"/>
      <c r="N3730" s="17"/>
      <c r="O3730" s="17"/>
      <c r="P3730" s="17" t="s">
        <v>1451</v>
      </c>
      <c r="Q3730" s="17"/>
      <c r="R3730" s="25" t="str">
        <f>HYPERLINK("https://ictv.global/taxonomy/taxondetails?taxnode_id=202300960","Demosthenesvirus katyusha")</f>
        <v>Demosthenesvirus katyusha</v>
      </c>
      <c r="S3730" s="18" t="s">
        <v>30</v>
      </c>
      <c r="T3730" s="18" t="s">
        <v>1454</v>
      </c>
      <c r="U3730" s="18"/>
      <c r="V3730" s="18"/>
      <c r="W3730" s="18" t="s">
        <v>1455</v>
      </c>
      <c r="X3730" s="18" t="s">
        <v>42</v>
      </c>
      <c r="Y3730" s="18" t="s">
        <v>36</v>
      </c>
      <c r="Z3730" s="18" t="s">
        <v>697</v>
      </c>
      <c r="AA3730" s="21" t="str">
        <f>HYPERLINK("https://www.ncbi.nlm.nih.gov/nuccore/KU963258","NCBI Nucleotide")</f>
        <v>NCBI Nucleotide</v>
      </c>
    </row>
    <row r="3731" spans="1:27" x14ac:dyDescent="0.35">
      <c r="A3731">
        <v>1005063</v>
      </c>
      <c r="B3731">
        <v>3707</v>
      </c>
      <c r="C3731">
        <v>1</v>
      </c>
      <c r="D3731" s="17" t="s">
        <v>155</v>
      </c>
      <c r="E3731" s="17"/>
      <c r="F3731" s="17" t="s">
        <v>156</v>
      </c>
      <c r="G3731" s="17"/>
      <c r="H3731" s="17" t="s">
        <v>692</v>
      </c>
      <c r="I3731" s="17"/>
      <c r="J3731" s="17" t="s">
        <v>693</v>
      </c>
      <c r="K3731" s="17"/>
      <c r="L3731" s="17"/>
      <c r="M3731" s="17"/>
      <c r="N3731" s="17"/>
      <c r="O3731" s="17"/>
      <c r="P3731" s="17" t="s">
        <v>1456</v>
      </c>
      <c r="Q3731" s="17"/>
      <c r="R3731" s="25" t="str">
        <f>HYPERLINK("https://ictv.global/taxonomy/taxondetails?taxnode_id=202314921","Denisevirus denise")</f>
        <v>Denisevirus denise</v>
      </c>
      <c r="S3731" s="18" t="s">
        <v>30</v>
      </c>
      <c r="T3731" s="18" t="s">
        <v>1457</v>
      </c>
      <c r="U3731" s="18"/>
      <c r="V3731" s="18"/>
      <c r="W3731" s="18" t="s">
        <v>1458</v>
      </c>
      <c r="X3731" s="18" t="s">
        <v>42</v>
      </c>
      <c r="Y3731" s="18" t="s">
        <v>36</v>
      </c>
      <c r="Z3731" s="18" t="s">
        <v>697</v>
      </c>
      <c r="AA3731" s="21" t="str">
        <f>HYPERLINK("https://www.ncbi.nlm.nih.gov/nuccore/MN428053","NCBI Nucleotide")</f>
        <v>NCBI Nucleotide</v>
      </c>
    </row>
    <row r="3732" spans="1:27" x14ac:dyDescent="0.35">
      <c r="A3732">
        <v>1005065</v>
      </c>
      <c r="B3732">
        <v>3708</v>
      </c>
      <c r="C3732">
        <v>1</v>
      </c>
      <c r="D3732" s="17" t="s">
        <v>155</v>
      </c>
      <c r="E3732" s="17"/>
      <c r="F3732" s="17" t="s">
        <v>156</v>
      </c>
      <c r="G3732" s="17"/>
      <c r="H3732" s="17" t="s">
        <v>692</v>
      </c>
      <c r="I3732" s="17"/>
      <c r="J3732" s="17" t="s">
        <v>693</v>
      </c>
      <c r="K3732" s="17"/>
      <c r="L3732" s="17"/>
      <c r="M3732" s="17"/>
      <c r="N3732" s="17"/>
      <c r="O3732" s="17"/>
      <c r="P3732" s="17" t="s">
        <v>1462</v>
      </c>
      <c r="Q3732" s="17"/>
      <c r="R3732" s="25" t="str">
        <f>HYPERLINK("https://ictv.global/taxonomy/taxondetails?taxnode_id=202313640","Deseoctovirus C1")</f>
        <v>Deseoctovirus C1</v>
      </c>
      <c r="S3732" s="18" t="s">
        <v>30</v>
      </c>
      <c r="T3732" s="18" t="s">
        <v>1463</v>
      </c>
      <c r="U3732" s="18"/>
      <c r="V3732" s="18"/>
      <c r="W3732" s="18" t="s">
        <v>1464</v>
      </c>
      <c r="X3732" s="18" t="s">
        <v>42</v>
      </c>
      <c r="Y3732" s="18" t="s">
        <v>36</v>
      </c>
      <c r="Z3732" s="18" t="s">
        <v>697</v>
      </c>
      <c r="AA3732" s="21" t="str">
        <f>HYPERLINK("https://www.ncbi.nlm.nih.gov/nuccore/MH717097","NCBI Nucleotide")</f>
        <v>NCBI Nucleotide</v>
      </c>
    </row>
    <row r="3733" spans="1:27" x14ac:dyDescent="0.35">
      <c r="A3733">
        <v>1005066</v>
      </c>
      <c r="B3733">
        <v>3709</v>
      </c>
      <c r="C3733">
        <v>1</v>
      </c>
      <c r="D3733" s="17" t="s">
        <v>155</v>
      </c>
      <c r="E3733" s="17"/>
      <c r="F3733" s="17" t="s">
        <v>156</v>
      </c>
      <c r="G3733" s="17"/>
      <c r="H3733" s="17" t="s">
        <v>692</v>
      </c>
      <c r="I3733" s="17"/>
      <c r="J3733" s="17" t="s">
        <v>693</v>
      </c>
      <c r="K3733" s="17"/>
      <c r="L3733" s="17"/>
      <c r="M3733" s="17"/>
      <c r="N3733" s="17"/>
      <c r="O3733" s="17"/>
      <c r="P3733" s="17" t="s">
        <v>1462</v>
      </c>
      <c r="Q3733" s="17"/>
      <c r="R3733" s="25" t="str">
        <f>HYPERLINK("https://ictv.global/taxonomy/taxondetails?taxnode_id=202313639","Deseoctovirus DS8")</f>
        <v>Deseoctovirus DS8</v>
      </c>
      <c r="S3733" s="18" t="s">
        <v>30</v>
      </c>
      <c r="T3733" s="18" t="s">
        <v>1465</v>
      </c>
      <c r="U3733" s="18"/>
      <c r="V3733" s="18"/>
      <c r="W3733" s="18" t="s">
        <v>1466</v>
      </c>
      <c r="X3733" s="18" t="s">
        <v>42</v>
      </c>
      <c r="Y3733" s="18" t="s">
        <v>36</v>
      </c>
      <c r="Z3733" s="18" t="s">
        <v>697</v>
      </c>
      <c r="AA3733" s="21" t="str">
        <f>HYPERLINK("https://www.ncbi.nlm.nih.gov/nuccore/MK759854","NCBI Nucleotide")</f>
        <v>NCBI Nucleotide</v>
      </c>
    </row>
    <row r="3734" spans="1:27" x14ac:dyDescent="0.35">
      <c r="A3734">
        <v>1005067</v>
      </c>
      <c r="B3734">
        <v>3710</v>
      </c>
      <c r="C3734">
        <v>1</v>
      </c>
      <c r="D3734" s="17" t="s">
        <v>155</v>
      </c>
      <c r="E3734" s="17"/>
      <c r="F3734" s="17" t="s">
        <v>156</v>
      </c>
      <c r="G3734" s="17"/>
      <c r="H3734" s="17" t="s">
        <v>692</v>
      </c>
      <c r="I3734" s="17"/>
      <c r="J3734" s="17" t="s">
        <v>693</v>
      </c>
      <c r="K3734" s="17"/>
      <c r="L3734" s="17"/>
      <c r="M3734" s="17"/>
      <c r="N3734" s="17"/>
      <c r="O3734" s="17"/>
      <c r="P3734" s="17" t="s">
        <v>1467</v>
      </c>
      <c r="Q3734" s="17"/>
      <c r="R3734" s="25" t="str">
        <f>HYPERLINK("https://ictv.global/taxonomy/taxondetails?taxnode_id=202300954","Detrevirus D3")</f>
        <v>Detrevirus D3</v>
      </c>
      <c r="S3734" s="18" t="s">
        <v>30</v>
      </c>
      <c r="T3734" s="18" t="s">
        <v>1468</v>
      </c>
      <c r="U3734" s="18"/>
      <c r="V3734" s="18"/>
      <c r="W3734" s="18" t="s">
        <v>1469</v>
      </c>
      <c r="X3734" s="18" t="s">
        <v>42</v>
      </c>
      <c r="Y3734" s="18" t="s">
        <v>36</v>
      </c>
      <c r="Z3734" s="18" t="s">
        <v>697</v>
      </c>
      <c r="AA3734" s="21" t="str">
        <f>HYPERLINK("https://www.ncbi.nlm.nih.gov/nuccore/AF165214","NCBI Nucleotide")</f>
        <v>NCBI Nucleotide</v>
      </c>
    </row>
    <row r="3735" spans="1:27" x14ac:dyDescent="0.35">
      <c r="A3735">
        <v>1005068</v>
      </c>
      <c r="B3735">
        <v>3711</v>
      </c>
      <c r="C3735">
        <v>1</v>
      </c>
      <c r="D3735" s="17" t="s">
        <v>155</v>
      </c>
      <c r="E3735" s="17"/>
      <c r="F3735" s="17" t="s">
        <v>156</v>
      </c>
      <c r="G3735" s="17"/>
      <c r="H3735" s="17" t="s">
        <v>692</v>
      </c>
      <c r="I3735" s="17"/>
      <c r="J3735" s="17" t="s">
        <v>693</v>
      </c>
      <c r="K3735" s="17"/>
      <c r="L3735" s="17"/>
      <c r="M3735" s="17"/>
      <c r="N3735" s="17"/>
      <c r="O3735" s="17"/>
      <c r="P3735" s="17" t="s">
        <v>1467</v>
      </c>
      <c r="Q3735" s="17"/>
      <c r="R3735" s="25" t="str">
        <f>HYPERLINK("https://ictv.global/taxonomy/taxondetails?taxnode_id=202300955","Detrevirus PMG1")</f>
        <v>Detrevirus PMG1</v>
      </c>
      <c r="S3735" s="18" t="s">
        <v>30</v>
      </c>
      <c r="T3735" s="18" t="s">
        <v>1470</v>
      </c>
      <c r="U3735" s="18"/>
      <c r="V3735" s="18"/>
      <c r="W3735" s="18" t="s">
        <v>1471</v>
      </c>
      <c r="X3735" s="18" t="s">
        <v>42</v>
      </c>
      <c r="Y3735" s="18" t="s">
        <v>36</v>
      </c>
      <c r="Z3735" s="18" t="s">
        <v>697</v>
      </c>
      <c r="AA3735" s="21" t="str">
        <f>HYPERLINK("https://www.ncbi.nlm.nih.gov/nuccore/HQ711985","NCBI Nucleotide")</f>
        <v>NCBI Nucleotide</v>
      </c>
    </row>
    <row r="3736" spans="1:27" x14ac:dyDescent="0.35">
      <c r="A3736">
        <v>1005069</v>
      </c>
      <c r="B3736">
        <v>3712</v>
      </c>
      <c r="C3736">
        <v>1</v>
      </c>
      <c r="D3736" s="17" t="s">
        <v>155</v>
      </c>
      <c r="E3736" s="17"/>
      <c r="F3736" s="17" t="s">
        <v>156</v>
      </c>
      <c r="G3736" s="17"/>
      <c r="H3736" s="17" t="s">
        <v>692</v>
      </c>
      <c r="I3736" s="17"/>
      <c r="J3736" s="17" t="s">
        <v>693</v>
      </c>
      <c r="K3736" s="17"/>
      <c r="L3736" s="17"/>
      <c r="M3736" s="17"/>
      <c r="N3736" s="17"/>
      <c r="O3736" s="17"/>
      <c r="P3736" s="17" t="s">
        <v>1472</v>
      </c>
      <c r="Q3736" s="17"/>
      <c r="R3736" s="25" t="str">
        <f>HYPERLINK("https://ictv.global/taxonomy/taxondetails?taxnode_id=202309965","Deurplevirus deeppurple")</f>
        <v>Deurplevirus deeppurple</v>
      </c>
      <c r="S3736" s="18" t="s">
        <v>30</v>
      </c>
      <c r="T3736" s="18" t="s">
        <v>1473</v>
      </c>
      <c r="U3736" s="18"/>
      <c r="V3736" s="18"/>
      <c r="W3736" s="18" t="s">
        <v>1474</v>
      </c>
      <c r="X3736" s="18" t="s">
        <v>42</v>
      </c>
      <c r="Y3736" s="18" t="s">
        <v>36</v>
      </c>
      <c r="Z3736" s="18" t="s">
        <v>697</v>
      </c>
      <c r="AA3736" s="21" t="str">
        <f>HYPERLINK("https://www.ncbi.nlm.nih.gov/nuccore/MF176161","NCBI Nucleotide")</f>
        <v>NCBI Nucleotide</v>
      </c>
    </row>
    <row r="3737" spans="1:27" x14ac:dyDescent="0.35">
      <c r="A3737">
        <v>1005070</v>
      </c>
      <c r="B3737">
        <v>3713</v>
      </c>
      <c r="C3737">
        <v>1</v>
      </c>
      <c r="D3737" s="17" t="s">
        <v>155</v>
      </c>
      <c r="E3737" s="17"/>
      <c r="F3737" s="17" t="s">
        <v>156</v>
      </c>
      <c r="G3737" s="17"/>
      <c r="H3737" s="17" t="s">
        <v>692</v>
      </c>
      <c r="I3737" s="17"/>
      <c r="J3737" s="17" t="s">
        <v>693</v>
      </c>
      <c r="K3737" s="17"/>
      <c r="L3737" s="17"/>
      <c r="M3737" s="17"/>
      <c r="N3737" s="17"/>
      <c r="O3737" s="17"/>
      <c r="P3737" s="17" t="s">
        <v>1475</v>
      </c>
      <c r="Q3737" s="17"/>
      <c r="R3737" s="25" t="str">
        <f>HYPERLINK("https://ictv.global/taxonomy/taxondetails?taxnode_id=202313518","Dexdertvirus dexdert")</f>
        <v>Dexdertvirus dexdert</v>
      </c>
      <c r="S3737" s="18" t="s">
        <v>30</v>
      </c>
      <c r="T3737" s="18" t="s">
        <v>1476</v>
      </c>
      <c r="U3737" s="18"/>
      <c r="V3737" s="18"/>
      <c r="W3737" s="18" t="s">
        <v>1477</v>
      </c>
      <c r="X3737" s="18" t="s">
        <v>42</v>
      </c>
      <c r="Y3737" s="18" t="s">
        <v>36</v>
      </c>
      <c r="Z3737" s="18" t="s">
        <v>697</v>
      </c>
      <c r="AA3737" s="21" t="str">
        <f>HYPERLINK("https://www.ncbi.nlm.nih.gov/nuccore/MW314849","NCBI Nucleotide")</f>
        <v>NCBI Nucleotide</v>
      </c>
    </row>
    <row r="3738" spans="1:27" x14ac:dyDescent="0.35">
      <c r="A3738">
        <v>1005071</v>
      </c>
      <c r="B3738">
        <v>3714</v>
      </c>
      <c r="C3738">
        <v>1</v>
      </c>
      <c r="D3738" s="17" t="s">
        <v>155</v>
      </c>
      <c r="E3738" s="17"/>
      <c r="F3738" s="17" t="s">
        <v>156</v>
      </c>
      <c r="G3738" s="17"/>
      <c r="H3738" s="17" t="s">
        <v>692</v>
      </c>
      <c r="I3738" s="17"/>
      <c r="J3738" s="17" t="s">
        <v>693</v>
      </c>
      <c r="K3738" s="17"/>
      <c r="L3738" s="17"/>
      <c r="M3738" s="17"/>
      <c r="N3738" s="17"/>
      <c r="O3738" s="17"/>
      <c r="P3738" s="17" t="s">
        <v>1475</v>
      </c>
      <c r="Q3738" s="17"/>
      <c r="R3738" s="25" t="str">
        <f>HYPERLINK("https://ictv.global/taxonomy/taxondetails?taxnode_id=202313519","Dexdertvirus GTE6")</f>
        <v>Dexdertvirus GTE6</v>
      </c>
      <c r="S3738" s="18" t="s">
        <v>30</v>
      </c>
      <c r="T3738" s="18" t="s">
        <v>1478</v>
      </c>
      <c r="U3738" s="18"/>
      <c r="V3738" s="18"/>
      <c r="W3738" s="18" t="s">
        <v>1479</v>
      </c>
      <c r="X3738" s="18" t="s">
        <v>42</v>
      </c>
      <c r="Y3738" s="18" t="s">
        <v>36</v>
      </c>
      <c r="Z3738" s="18" t="s">
        <v>697</v>
      </c>
      <c r="AA3738" s="21" t="str">
        <f>HYPERLINK("https://www.ncbi.nlm.nih.gov/nuccore/KR053200","NCBI Nucleotide")</f>
        <v>NCBI Nucleotide</v>
      </c>
    </row>
    <row r="3739" spans="1:27" x14ac:dyDescent="0.35">
      <c r="A3739">
        <v>1005072</v>
      </c>
      <c r="B3739">
        <v>3715</v>
      </c>
      <c r="C3739">
        <v>1</v>
      </c>
      <c r="D3739" s="17" t="s">
        <v>155</v>
      </c>
      <c r="E3739" s="17"/>
      <c r="F3739" s="17" t="s">
        <v>156</v>
      </c>
      <c r="G3739" s="17"/>
      <c r="H3739" s="17" t="s">
        <v>692</v>
      </c>
      <c r="I3739" s="17"/>
      <c r="J3739" s="17" t="s">
        <v>693</v>
      </c>
      <c r="K3739" s="17"/>
      <c r="L3739" s="17"/>
      <c r="M3739" s="17"/>
      <c r="N3739" s="17"/>
      <c r="O3739" s="17"/>
      <c r="P3739" s="17" t="s">
        <v>1475</v>
      </c>
      <c r="Q3739" s="17"/>
      <c r="R3739" s="25" t="str">
        <f>HYPERLINK("https://ictv.global/taxonomy/taxondetails?taxnode_id=202313520","Dexdertvirus tiamoceli")</f>
        <v>Dexdertvirus tiamoceli</v>
      </c>
      <c r="S3739" s="18" t="s">
        <v>30</v>
      </c>
      <c r="T3739" s="18" t="s">
        <v>1480</v>
      </c>
      <c r="U3739" s="18"/>
      <c r="V3739" s="18"/>
      <c r="W3739" s="18" t="s">
        <v>1481</v>
      </c>
      <c r="X3739" s="18" t="s">
        <v>42</v>
      </c>
      <c r="Y3739" s="18" t="s">
        <v>36</v>
      </c>
      <c r="Z3739" s="18" t="s">
        <v>697</v>
      </c>
      <c r="AA3739" s="21" t="str">
        <f>HYPERLINK("https://www.ncbi.nlm.nih.gov/nuccore/MK433264","NCBI Nucleotide")</f>
        <v>NCBI Nucleotide</v>
      </c>
    </row>
    <row r="3740" spans="1:27" x14ac:dyDescent="0.35">
      <c r="A3740">
        <v>1024616</v>
      </c>
      <c r="B3740">
        <v>3716</v>
      </c>
      <c r="C3740">
        <v>1</v>
      </c>
      <c r="D3740" s="17" t="s">
        <v>155</v>
      </c>
      <c r="E3740" s="17"/>
      <c r="F3740" s="17" t="s">
        <v>156</v>
      </c>
      <c r="G3740" s="17"/>
      <c r="H3740" s="17" t="s">
        <v>692</v>
      </c>
      <c r="I3740" s="17"/>
      <c r="J3740" s="17" t="s">
        <v>693</v>
      </c>
      <c r="K3740" s="17"/>
      <c r="L3740" s="17"/>
      <c r="M3740" s="17"/>
      <c r="N3740" s="17"/>
      <c r="O3740" s="17"/>
      <c r="P3740" s="17" t="s">
        <v>1482</v>
      </c>
      <c r="Q3740" s="17"/>
      <c r="R3740" s="25" t="str">
        <f>HYPERLINK("https://ictv.global/taxonomy/taxondetails?taxnode_id=202318435","Dhillonvirus B2")</f>
        <v>Dhillonvirus B2</v>
      </c>
      <c r="S3740" s="18" t="s">
        <v>30</v>
      </c>
      <c r="T3740" s="18" t="s">
        <v>39877</v>
      </c>
      <c r="U3740" s="18"/>
      <c r="V3740" s="18"/>
      <c r="W3740" s="18" t="s">
        <v>48475</v>
      </c>
      <c r="X3740" s="18" t="s">
        <v>42</v>
      </c>
      <c r="Y3740" s="18" t="s">
        <v>36</v>
      </c>
      <c r="Z3740" s="18" t="s">
        <v>697</v>
      </c>
      <c r="AA3740" s="21" t="str">
        <f>HYPERLINK("https://www.ncbi.nlm.nih.gov/nuccore/MG581355","NCBI Nucleotide")</f>
        <v>NCBI Nucleotide</v>
      </c>
    </row>
    <row r="3741" spans="1:27" x14ac:dyDescent="0.35">
      <c r="A3741">
        <v>1024617</v>
      </c>
      <c r="B3741">
        <v>3717</v>
      </c>
      <c r="C3741">
        <v>1</v>
      </c>
      <c r="D3741" s="17" t="s">
        <v>155</v>
      </c>
      <c r="E3741" s="17"/>
      <c r="F3741" s="17" t="s">
        <v>156</v>
      </c>
      <c r="G3741" s="17"/>
      <c r="H3741" s="17" t="s">
        <v>692</v>
      </c>
      <c r="I3741" s="17"/>
      <c r="J3741" s="17" t="s">
        <v>693</v>
      </c>
      <c r="K3741" s="17"/>
      <c r="L3741" s="17"/>
      <c r="M3741" s="17"/>
      <c r="N3741" s="17"/>
      <c r="O3741" s="17"/>
      <c r="P3741" s="17" t="s">
        <v>1482</v>
      </c>
      <c r="Q3741" s="17"/>
      <c r="R3741" s="25" t="str">
        <f>HYPERLINK("https://ictv.global/taxonomy/taxondetails?taxnode_id=202318449","Dhillonvirus BF9")</f>
        <v>Dhillonvirus BF9</v>
      </c>
      <c r="S3741" s="18" t="s">
        <v>30</v>
      </c>
      <c r="T3741" s="18" t="s">
        <v>39878</v>
      </c>
      <c r="U3741" s="18"/>
      <c r="V3741" s="18"/>
      <c r="W3741" s="18" t="s">
        <v>48476</v>
      </c>
      <c r="X3741" s="18" t="s">
        <v>42</v>
      </c>
      <c r="Y3741" s="18" t="s">
        <v>36</v>
      </c>
      <c r="Z3741" s="18" t="s">
        <v>697</v>
      </c>
      <c r="AA3741" s="21" t="str">
        <f>HYPERLINK("https://www.ncbi.nlm.nih.gov/nuccore/MW822006","NCBI Nucleotide")</f>
        <v>NCBI Nucleotide</v>
      </c>
    </row>
    <row r="3742" spans="1:27" x14ac:dyDescent="0.35">
      <c r="A3742">
        <v>1024618</v>
      </c>
      <c r="B3742">
        <v>3718</v>
      </c>
      <c r="C3742">
        <v>1</v>
      </c>
      <c r="D3742" s="17" t="s">
        <v>155</v>
      </c>
      <c r="E3742" s="17"/>
      <c r="F3742" s="17" t="s">
        <v>156</v>
      </c>
      <c r="G3742" s="17"/>
      <c r="H3742" s="17" t="s">
        <v>692</v>
      </c>
      <c r="I3742" s="17"/>
      <c r="J3742" s="17" t="s">
        <v>693</v>
      </c>
      <c r="K3742" s="17"/>
      <c r="L3742" s="17"/>
      <c r="M3742" s="17"/>
      <c r="N3742" s="17"/>
      <c r="O3742" s="17"/>
      <c r="P3742" s="17" t="s">
        <v>1482</v>
      </c>
      <c r="Q3742" s="17"/>
      <c r="R3742" s="25" t="str">
        <f>HYPERLINK("https://ictv.global/taxonomy/taxondetails?taxnode_id=202318438","Dhillonvirus bob")</f>
        <v>Dhillonvirus bob</v>
      </c>
      <c r="S3742" s="18" t="s">
        <v>30</v>
      </c>
      <c r="T3742" s="18" t="s">
        <v>39879</v>
      </c>
      <c r="U3742" s="18"/>
      <c r="V3742" s="18"/>
      <c r="W3742" s="18" t="s">
        <v>48477</v>
      </c>
      <c r="X3742" s="18" t="s">
        <v>42</v>
      </c>
      <c r="Y3742" s="18" t="s">
        <v>36</v>
      </c>
      <c r="Z3742" s="18" t="s">
        <v>697</v>
      </c>
      <c r="AA3742" s="21" t="str">
        <f>HYPERLINK("https://www.ncbi.nlm.nih.gov/nuccore/MN850628","NCBI Nucleotide")</f>
        <v>NCBI Nucleotide</v>
      </c>
    </row>
    <row r="3743" spans="1:27" x14ac:dyDescent="0.35">
      <c r="A3743">
        <v>1024619</v>
      </c>
      <c r="B3743">
        <v>3719</v>
      </c>
      <c r="C3743">
        <v>1</v>
      </c>
      <c r="D3743" s="17" t="s">
        <v>155</v>
      </c>
      <c r="E3743" s="17"/>
      <c r="F3743" s="17" t="s">
        <v>156</v>
      </c>
      <c r="G3743" s="17"/>
      <c r="H3743" s="17" t="s">
        <v>692</v>
      </c>
      <c r="I3743" s="17"/>
      <c r="J3743" s="17" t="s">
        <v>693</v>
      </c>
      <c r="K3743" s="17"/>
      <c r="L3743" s="17"/>
      <c r="M3743" s="17"/>
      <c r="N3743" s="17"/>
      <c r="O3743" s="17"/>
      <c r="P3743" s="17" t="s">
        <v>1482</v>
      </c>
      <c r="Q3743" s="17"/>
      <c r="R3743" s="25" t="str">
        <f>HYPERLINK("https://ictv.global/taxonomy/taxondetails?taxnode_id=202318450","Dhillonvirus bov221")</f>
        <v>Dhillonvirus bov221</v>
      </c>
      <c r="S3743" s="18" t="s">
        <v>30</v>
      </c>
      <c r="T3743" s="18" t="s">
        <v>39880</v>
      </c>
      <c r="U3743" s="18"/>
      <c r="V3743" s="18"/>
      <c r="W3743" s="18" t="s">
        <v>48478</v>
      </c>
      <c r="X3743" s="18" t="s">
        <v>42</v>
      </c>
      <c r="Y3743" s="18" t="s">
        <v>36</v>
      </c>
      <c r="Z3743" s="18" t="s">
        <v>697</v>
      </c>
      <c r="AA3743" s="21" t="str">
        <f>HYPERLINK("https://www.ncbi.nlm.nih.gov/nuccore/MT884014","NCBI Nucleotide")</f>
        <v>NCBI Nucleotide</v>
      </c>
    </row>
    <row r="3744" spans="1:27" x14ac:dyDescent="0.35">
      <c r="A3744">
        <v>1024620</v>
      </c>
      <c r="B3744">
        <v>3720</v>
      </c>
      <c r="C3744">
        <v>1</v>
      </c>
      <c r="D3744" s="17" t="s">
        <v>155</v>
      </c>
      <c r="E3744" s="17"/>
      <c r="F3744" s="17" t="s">
        <v>156</v>
      </c>
      <c r="G3744" s="17"/>
      <c r="H3744" s="17" t="s">
        <v>692</v>
      </c>
      <c r="I3744" s="17"/>
      <c r="J3744" s="17" t="s">
        <v>693</v>
      </c>
      <c r="K3744" s="17"/>
      <c r="L3744" s="17"/>
      <c r="M3744" s="17"/>
      <c r="N3744" s="17"/>
      <c r="O3744" s="17"/>
      <c r="P3744" s="17" t="s">
        <v>1482</v>
      </c>
      <c r="Q3744" s="17"/>
      <c r="R3744" s="25" t="str">
        <f>HYPERLINK("https://ictv.global/taxonomy/taxondetails?taxnode_id=202318436","Dhillonvirus CECKaz2018")</f>
        <v>Dhillonvirus CECKaz2018</v>
      </c>
      <c r="S3744" s="18" t="s">
        <v>30</v>
      </c>
      <c r="T3744" s="18" t="s">
        <v>39881</v>
      </c>
      <c r="U3744" s="18"/>
      <c r="V3744" s="18"/>
      <c r="W3744" s="18" t="s">
        <v>48479</v>
      </c>
      <c r="X3744" s="18" t="s">
        <v>42</v>
      </c>
      <c r="Y3744" s="18" t="s">
        <v>36</v>
      </c>
      <c r="Z3744" s="18" t="s">
        <v>697</v>
      </c>
      <c r="AA3744" s="21" t="str">
        <f>HYPERLINK("https://www.ncbi.nlm.nih.gov/nuccore/MK728541","NCBI Nucleotide")</f>
        <v>NCBI Nucleotide</v>
      </c>
    </row>
    <row r="3745" spans="1:27" x14ac:dyDescent="0.35">
      <c r="A3745">
        <v>1024621</v>
      </c>
      <c r="B3745">
        <v>3721</v>
      </c>
      <c r="C3745">
        <v>1</v>
      </c>
      <c r="D3745" s="17" t="s">
        <v>155</v>
      </c>
      <c r="E3745" s="17"/>
      <c r="F3745" s="17" t="s">
        <v>156</v>
      </c>
      <c r="G3745" s="17"/>
      <c r="H3745" s="17" t="s">
        <v>692</v>
      </c>
      <c r="I3745" s="17"/>
      <c r="J3745" s="17" t="s">
        <v>693</v>
      </c>
      <c r="K3745" s="17"/>
      <c r="L3745" s="17"/>
      <c r="M3745" s="17"/>
      <c r="N3745" s="17"/>
      <c r="O3745" s="17"/>
      <c r="P3745" s="17" t="s">
        <v>1482</v>
      </c>
      <c r="Q3745" s="17"/>
      <c r="R3745" s="25" t="str">
        <f>HYPERLINK("https://ictv.global/taxonomy/taxondetails?taxnode_id=202318425","Dhillonvirus CHD5UKE2")</f>
        <v>Dhillonvirus CHD5UKE2</v>
      </c>
      <c r="S3745" s="18" t="s">
        <v>30</v>
      </c>
      <c r="T3745" s="18" t="s">
        <v>39882</v>
      </c>
      <c r="U3745" s="18"/>
      <c r="V3745" s="18"/>
      <c r="W3745" s="18" t="s">
        <v>48480</v>
      </c>
      <c r="X3745" s="18" t="s">
        <v>42</v>
      </c>
      <c r="Y3745" s="18" t="s">
        <v>36</v>
      </c>
      <c r="Z3745" s="18" t="s">
        <v>697</v>
      </c>
      <c r="AA3745" s="21" t="str">
        <f>HYPERLINK("https://www.ncbi.nlm.nih.gov/nuccore/MZ234029","NCBI Nucleotide")</f>
        <v>NCBI Nucleotide</v>
      </c>
    </row>
    <row r="3746" spans="1:27" x14ac:dyDescent="0.35">
      <c r="A3746">
        <v>1024622</v>
      </c>
      <c r="B3746">
        <v>3722</v>
      </c>
      <c r="C3746">
        <v>1</v>
      </c>
      <c r="D3746" s="17" t="s">
        <v>155</v>
      </c>
      <c r="E3746" s="17"/>
      <c r="F3746" s="17" t="s">
        <v>156</v>
      </c>
      <c r="G3746" s="17"/>
      <c r="H3746" s="17" t="s">
        <v>692</v>
      </c>
      <c r="I3746" s="17"/>
      <c r="J3746" s="17" t="s">
        <v>693</v>
      </c>
      <c r="K3746" s="17"/>
      <c r="L3746" s="17"/>
      <c r="M3746" s="17"/>
      <c r="N3746" s="17"/>
      <c r="O3746" s="17"/>
      <c r="P3746" s="17" t="s">
        <v>1482</v>
      </c>
      <c r="Q3746" s="17"/>
      <c r="R3746" s="25" t="str">
        <f>HYPERLINK("https://ictv.global/taxonomy/taxondetails?taxnode_id=202318427","Dhillonvirus dv 101114BS4")</f>
        <v>Dhillonvirus dv 101114BS4</v>
      </c>
      <c r="S3746" s="18" t="s">
        <v>30</v>
      </c>
      <c r="T3746" s="18" t="s">
        <v>39883</v>
      </c>
      <c r="U3746" s="18"/>
      <c r="V3746" s="18"/>
      <c r="W3746" s="18" t="s">
        <v>48481</v>
      </c>
      <c r="X3746" s="18" t="s">
        <v>42</v>
      </c>
      <c r="Y3746" s="18" t="s">
        <v>36</v>
      </c>
      <c r="Z3746" s="18" t="s">
        <v>697</v>
      </c>
      <c r="AA3746" s="21" t="str">
        <f>HYPERLINK("https://www.ncbi.nlm.nih.gov/nuccore/MZ234016","NCBI Nucleotide")</f>
        <v>NCBI Nucleotide</v>
      </c>
    </row>
    <row r="3747" spans="1:27" x14ac:dyDescent="0.35">
      <c r="A3747">
        <v>1024623</v>
      </c>
      <c r="B3747">
        <v>3723</v>
      </c>
      <c r="C3747">
        <v>1</v>
      </c>
      <c r="D3747" s="17" t="s">
        <v>155</v>
      </c>
      <c r="E3747" s="17"/>
      <c r="F3747" s="17" t="s">
        <v>156</v>
      </c>
      <c r="G3747" s="17"/>
      <c r="H3747" s="17" t="s">
        <v>692</v>
      </c>
      <c r="I3747" s="17"/>
      <c r="J3747" s="17" t="s">
        <v>693</v>
      </c>
      <c r="K3747" s="17"/>
      <c r="L3747" s="17"/>
      <c r="M3747" s="17"/>
      <c r="N3747" s="17"/>
      <c r="O3747" s="17"/>
      <c r="P3747" s="17" t="s">
        <v>1482</v>
      </c>
      <c r="Q3747" s="17"/>
      <c r="R3747" s="25" t="str">
        <f>HYPERLINK("https://ictv.global/taxonomy/taxondetails?taxnode_id=202318451","Dhillonvirus dv011D5")</f>
        <v>Dhillonvirus dv011D5</v>
      </c>
      <c r="S3747" s="18" t="s">
        <v>30</v>
      </c>
      <c r="T3747" s="18" t="s">
        <v>39884</v>
      </c>
      <c r="U3747" s="18"/>
      <c r="V3747" s="18"/>
      <c r="W3747" s="18" t="s">
        <v>48482</v>
      </c>
      <c r="X3747" s="18" t="s">
        <v>42</v>
      </c>
      <c r="Y3747" s="18" t="s">
        <v>36</v>
      </c>
      <c r="Z3747" s="18" t="s">
        <v>697</v>
      </c>
      <c r="AA3747" s="21" t="str">
        <f>HYPERLINK("https://www.ncbi.nlm.nih.gov/nuccore/MT478993","NCBI Nucleotide")</f>
        <v>NCBI Nucleotide</v>
      </c>
    </row>
    <row r="3748" spans="1:27" x14ac:dyDescent="0.35">
      <c r="A3748">
        <v>1024624</v>
      </c>
      <c r="B3748">
        <v>3724</v>
      </c>
      <c r="C3748">
        <v>1</v>
      </c>
      <c r="D3748" s="17" t="s">
        <v>155</v>
      </c>
      <c r="E3748" s="17"/>
      <c r="F3748" s="17" t="s">
        <v>156</v>
      </c>
      <c r="G3748" s="17"/>
      <c r="H3748" s="17" t="s">
        <v>692</v>
      </c>
      <c r="I3748" s="17"/>
      <c r="J3748" s="17" t="s">
        <v>693</v>
      </c>
      <c r="K3748" s="17"/>
      <c r="L3748" s="17"/>
      <c r="M3748" s="17"/>
      <c r="N3748" s="17"/>
      <c r="O3748" s="17"/>
      <c r="P3748" s="17" t="s">
        <v>1482</v>
      </c>
      <c r="Q3748" s="17"/>
      <c r="R3748" s="25" t="str">
        <f>HYPERLINK("https://ictv.global/taxonomy/taxondetails?taxnode_id=202318446","Dhillonvirus EC115")</f>
        <v>Dhillonvirus EC115</v>
      </c>
      <c r="S3748" s="18" t="s">
        <v>30</v>
      </c>
      <c r="T3748" s="18" t="s">
        <v>39885</v>
      </c>
      <c r="U3748" s="18"/>
      <c r="V3748" s="18"/>
      <c r="W3748" s="18" t="s">
        <v>48483</v>
      </c>
      <c r="X3748" s="18" t="s">
        <v>42</v>
      </c>
      <c r="Y3748" s="18" t="s">
        <v>36</v>
      </c>
      <c r="Z3748" s="18" t="s">
        <v>697</v>
      </c>
      <c r="AA3748" s="21" t="str">
        <f>HYPERLINK("https://www.ncbi.nlm.nih.gov/nuccore/ON210136","NCBI Nucleotide")</f>
        <v>NCBI Nucleotide</v>
      </c>
    </row>
    <row r="3749" spans="1:27" x14ac:dyDescent="0.35">
      <c r="A3749">
        <v>1005073</v>
      </c>
      <c r="B3749">
        <v>3725</v>
      </c>
      <c r="C3749">
        <v>1</v>
      </c>
      <c r="D3749" s="17" t="s">
        <v>155</v>
      </c>
      <c r="E3749" s="17"/>
      <c r="F3749" s="17" t="s">
        <v>156</v>
      </c>
      <c r="G3749" s="17"/>
      <c r="H3749" s="17" t="s">
        <v>692</v>
      </c>
      <c r="I3749" s="17"/>
      <c r="J3749" s="17" t="s">
        <v>693</v>
      </c>
      <c r="K3749" s="17"/>
      <c r="L3749" s="17"/>
      <c r="M3749" s="17"/>
      <c r="N3749" s="17"/>
      <c r="O3749" s="17"/>
      <c r="P3749" s="17" t="s">
        <v>1482</v>
      </c>
      <c r="Q3749" s="17"/>
      <c r="R3749" s="25" t="str">
        <f>HYPERLINK("https://ictv.global/taxonomy/taxondetails?taxnode_id=202300983","Dhillonvirus EK99P1")</f>
        <v>Dhillonvirus EK99P1</v>
      </c>
      <c r="S3749" s="18" t="s">
        <v>30</v>
      </c>
      <c r="T3749" s="18" t="s">
        <v>1483</v>
      </c>
      <c r="U3749" s="18"/>
      <c r="V3749" s="18"/>
      <c r="W3749" s="18" t="s">
        <v>1484</v>
      </c>
      <c r="X3749" s="18" t="s">
        <v>42</v>
      </c>
      <c r="Y3749" s="18" t="s">
        <v>36</v>
      </c>
      <c r="Z3749" s="18" t="s">
        <v>697</v>
      </c>
      <c r="AA3749" s="21" t="str">
        <f>HYPERLINK("https://www.ncbi.nlm.nih.gov/nuccore/KM233151","NCBI Nucleotide")</f>
        <v>NCBI Nucleotide</v>
      </c>
    </row>
    <row r="3750" spans="1:27" x14ac:dyDescent="0.35">
      <c r="A3750">
        <v>1024625</v>
      </c>
      <c r="B3750">
        <v>3726</v>
      </c>
      <c r="C3750">
        <v>1</v>
      </c>
      <c r="D3750" s="17" t="s">
        <v>155</v>
      </c>
      <c r="E3750" s="17"/>
      <c r="F3750" s="17" t="s">
        <v>156</v>
      </c>
      <c r="G3750" s="17"/>
      <c r="H3750" s="17" t="s">
        <v>692</v>
      </c>
      <c r="I3750" s="17"/>
      <c r="J3750" s="17" t="s">
        <v>693</v>
      </c>
      <c r="K3750" s="17"/>
      <c r="L3750" s="17"/>
      <c r="M3750" s="17"/>
      <c r="N3750" s="17"/>
      <c r="O3750" s="17"/>
      <c r="P3750" s="17" t="s">
        <v>1482</v>
      </c>
      <c r="Q3750" s="17"/>
      <c r="R3750" s="25" t="str">
        <f>HYPERLINK("https://ictv.global/taxonomy/taxondetails?taxnode_id=202318419","Dhillonvirus envy")</f>
        <v>Dhillonvirus envy</v>
      </c>
      <c r="S3750" s="18" t="s">
        <v>30</v>
      </c>
      <c r="T3750" s="18" t="s">
        <v>39886</v>
      </c>
      <c r="U3750" s="18"/>
      <c r="V3750" s="18"/>
      <c r="W3750" s="18" t="s">
        <v>39887</v>
      </c>
      <c r="X3750" s="18" t="s">
        <v>42</v>
      </c>
      <c r="Y3750" s="18" t="s">
        <v>36</v>
      </c>
      <c r="Z3750" s="18" t="s">
        <v>697</v>
      </c>
      <c r="AA3750" s="21" t="str">
        <f>HYPERLINK("https://www.ncbi.nlm.nih.gov/nuccore/KX534335","NCBI Nucleotide")</f>
        <v>NCBI Nucleotide</v>
      </c>
    </row>
    <row r="3751" spans="1:27" x14ac:dyDescent="0.35">
      <c r="A3751">
        <v>1005074</v>
      </c>
      <c r="B3751">
        <v>3727</v>
      </c>
      <c r="C3751">
        <v>1</v>
      </c>
      <c r="D3751" s="17" t="s">
        <v>155</v>
      </c>
      <c r="E3751" s="17"/>
      <c r="F3751" s="17" t="s">
        <v>156</v>
      </c>
      <c r="G3751" s="17"/>
      <c r="H3751" s="17" t="s">
        <v>692</v>
      </c>
      <c r="I3751" s="17"/>
      <c r="J3751" s="17" t="s">
        <v>693</v>
      </c>
      <c r="K3751" s="17"/>
      <c r="L3751" s="17"/>
      <c r="M3751" s="17"/>
      <c r="N3751" s="17"/>
      <c r="O3751" s="17"/>
      <c r="P3751" s="17" t="s">
        <v>1482</v>
      </c>
      <c r="Q3751" s="17"/>
      <c r="R3751" s="25" t="str">
        <f>HYPERLINK("https://ictv.global/taxonomy/taxondetails?taxnode_id=202300988","Dhillonvirus EP23")</f>
        <v>Dhillonvirus EP23</v>
      </c>
      <c r="S3751" s="18" t="s">
        <v>30</v>
      </c>
      <c r="T3751" s="18" t="s">
        <v>1485</v>
      </c>
      <c r="U3751" s="18"/>
      <c r="V3751" s="18"/>
      <c r="W3751" s="18" t="s">
        <v>1486</v>
      </c>
      <c r="X3751" s="18" t="s">
        <v>42</v>
      </c>
      <c r="Y3751" s="18" t="s">
        <v>36</v>
      </c>
      <c r="Z3751" s="18" t="s">
        <v>697</v>
      </c>
      <c r="AA3751" s="21" t="str">
        <f>HYPERLINK("https://www.ncbi.nlm.nih.gov/nuccore/JN984867","NCBI Nucleotide")</f>
        <v>NCBI Nucleotide</v>
      </c>
    </row>
    <row r="3752" spans="1:27" x14ac:dyDescent="0.35">
      <c r="A3752">
        <v>1024626</v>
      </c>
      <c r="B3752">
        <v>3728</v>
      </c>
      <c r="C3752">
        <v>1</v>
      </c>
      <c r="D3752" s="17" t="s">
        <v>155</v>
      </c>
      <c r="E3752" s="17"/>
      <c r="F3752" s="17" t="s">
        <v>156</v>
      </c>
      <c r="G3752" s="17"/>
      <c r="H3752" s="17" t="s">
        <v>692</v>
      </c>
      <c r="I3752" s="17"/>
      <c r="J3752" s="17" t="s">
        <v>693</v>
      </c>
      <c r="K3752" s="17"/>
      <c r="L3752" s="17"/>
      <c r="M3752" s="17"/>
      <c r="N3752" s="17"/>
      <c r="O3752" s="17"/>
      <c r="P3752" s="17" t="s">
        <v>1482</v>
      </c>
      <c r="Q3752" s="17"/>
      <c r="R3752" s="25" t="str">
        <f>HYPERLINK("https://ictv.global/taxonomy/taxondetails?taxnode_id=202318432","Dhillonvirus georgbuechner")</f>
        <v>Dhillonvirus georgbuechner</v>
      </c>
      <c r="S3752" s="18" t="s">
        <v>30</v>
      </c>
      <c r="T3752" s="18" t="s">
        <v>39888</v>
      </c>
      <c r="U3752" s="18"/>
      <c r="V3752" s="18"/>
      <c r="W3752" s="18" t="s">
        <v>48484</v>
      </c>
      <c r="X3752" s="18" t="s">
        <v>42</v>
      </c>
      <c r="Y3752" s="18" t="s">
        <v>36</v>
      </c>
      <c r="Z3752" s="18" t="s">
        <v>697</v>
      </c>
      <c r="AA3752" s="21" t="str">
        <f>HYPERLINK("https://www.ncbi.nlm.nih.gov/nuccore/MZ501070","NCBI Nucleotide")</f>
        <v>NCBI Nucleotide</v>
      </c>
    </row>
    <row r="3753" spans="1:27" x14ac:dyDescent="0.35">
      <c r="A3753">
        <v>1024627</v>
      </c>
      <c r="B3753">
        <v>3729</v>
      </c>
      <c r="C3753">
        <v>1</v>
      </c>
      <c r="D3753" s="17" t="s">
        <v>155</v>
      </c>
      <c r="E3753" s="17"/>
      <c r="F3753" s="17" t="s">
        <v>156</v>
      </c>
      <c r="G3753" s="17"/>
      <c r="H3753" s="17" t="s">
        <v>692</v>
      </c>
      <c r="I3753" s="17"/>
      <c r="J3753" s="17" t="s">
        <v>693</v>
      </c>
      <c r="K3753" s="17"/>
      <c r="L3753" s="17"/>
      <c r="M3753" s="17"/>
      <c r="N3753" s="17"/>
      <c r="O3753" s="17"/>
      <c r="P3753" s="17" t="s">
        <v>1482</v>
      </c>
      <c r="Q3753" s="17"/>
      <c r="R3753" s="25" t="str">
        <f>HYPERLINK("https://ictv.global/taxonomy/taxondetails?taxnode_id=202318416","Dhillonvirus gluttony")</f>
        <v>Dhillonvirus gluttony</v>
      </c>
      <c r="S3753" s="18" t="s">
        <v>30</v>
      </c>
      <c r="T3753" s="18" t="s">
        <v>39889</v>
      </c>
      <c r="U3753" s="18"/>
      <c r="V3753" s="18"/>
      <c r="W3753" s="18" t="s">
        <v>39890</v>
      </c>
      <c r="X3753" s="18" t="s">
        <v>42</v>
      </c>
      <c r="Y3753" s="18" t="s">
        <v>36</v>
      </c>
      <c r="Z3753" s="18" t="s">
        <v>697</v>
      </c>
      <c r="AA3753" s="21" t="str">
        <f>HYPERLINK("https://www.ncbi.nlm.nih.gov/nuccore/KX534336","NCBI Nucleotide")</f>
        <v>NCBI Nucleotide</v>
      </c>
    </row>
    <row r="3754" spans="1:27" x14ac:dyDescent="0.35">
      <c r="A3754">
        <v>1024628</v>
      </c>
      <c r="B3754">
        <v>3730</v>
      </c>
      <c r="C3754">
        <v>1</v>
      </c>
      <c r="D3754" s="17" t="s">
        <v>155</v>
      </c>
      <c r="E3754" s="17"/>
      <c r="F3754" s="17" t="s">
        <v>156</v>
      </c>
      <c r="G3754" s="17"/>
      <c r="H3754" s="17" t="s">
        <v>692</v>
      </c>
      <c r="I3754" s="17"/>
      <c r="J3754" s="17" t="s">
        <v>693</v>
      </c>
      <c r="K3754" s="17"/>
      <c r="L3754" s="17"/>
      <c r="M3754" s="17"/>
      <c r="N3754" s="17"/>
      <c r="O3754" s="17"/>
      <c r="P3754" s="17" t="s">
        <v>1482</v>
      </c>
      <c r="Q3754" s="17"/>
      <c r="R3754" s="25" t="str">
        <f>HYPERLINK("https://ictv.global/taxonomy/taxondetails?taxnode_id=202318453","Dhillonvirus gluttonyev152")</f>
        <v>Dhillonvirus gluttonyev152</v>
      </c>
      <c r="S3754" s="18" t="s">
        <v>30</v>
      </c>
      <c r="T3754" s="18" t="s">
        <v>39891</v>
      </c>
      <c r="U3754" s="18"/>
      <c r="V3754" s="18"/>
      <c r="W3754" s="18" t="s">
        <v>48485</v>
      </c>
      <c r="X3754" s="18" t="s">
        <v>42</v>
      </c>
      <c r="Y3754" s="18" t="s">
        <v>36</v>
      </c>
      <c r="Z3754" s="18" t="s">
        <v>697</v>
      </c>
      <c r="AA3754" s="21" t="str">
        <f>HYPERLINK("https://www.ncbi.nlm.nih.gov/nuccore/LR597646","NCBI Nucleotide")</f>
        <v>NCBI Nucleotide</v>
      </c>
    </row>
    <row r="3755" spans="1:27" x14ac:dyDescent="0.35">
      <c r="A3755">
        <v>1005075</v>
      </c>
      <c r="B3755">
        <v>3731</v>
      </c>
      <c r="C3755">
        <v>1</v>
      </c>
      <c r="D3755" s="17" t="s">
        <v>155</v>
      </c>
      <c r="E3755" s="17"/>
      <c r="F3755" s="17" t="s">
        <v>156</v>
      </c>
      <c r="G3755" s="17"/>
      <c r="H3755" s="17" t="s">
        <v>692</v>
      </c>
      <c r="I3755" s="17"/>
      <c r="J3755" s="17" t="s">
        <v>693</v>
      </c>
      <c r="K3755" s="17"/>
      <c r="L3755" s="17"/>
      <c r="M3755" s="17"/>
      <c r="N3755" s="17"/>
      <c r="O3755" s="17"/>
      <c r="P3755" s="17" t="s">
        <v>1482</v>
      </c>
      <c r="Q3755" s="17"/>
      <c r="R3755" s="25" t="str">
        <f>HYPERLINK("https://ictv.global/taxonomy/taxondetails?taxnode_id=202300984","Dhillonvirus HK578")</f>
        <v>Dhillonvirus HK578</v>
      </c>
      <c r="S3755" s="18" t="s">
        <v>30</v>
      </c>
      <c r="T3755" s="18" t="s">
        <v>1487</v>
      </c>
      <c r="U3755" s="18"/>
      <c r="V3755" s="18"/>
      <c r="W3755" s="18" t="s">
        <v>1488</v>
      </c>
      <c r="X3755" s="18" t="s">
        <v>42</v>
      </c>
      <c r="Y3755" s="18" t="s">
        <v>36</v>
      </c>
      <c r="Z3755" s="18" t="s">
        <v>697</v>
      </c>
      <c r="AA3755" s="21" t="str">
        <f>HYPERLINK("https://www.ncbi.nlm.nih.gov/nuccore/JQ086375","NCBI Nucleotide")</f>
        <v>NCBI Nucleotide</v>
      </c>
    </row>
    <row r="3756" spans="1:27" x14ac:dyDescent="0.35">
      <c r="A3756">
        <v>1024629</v>
      </c>
      <c r="B3756">
        <v>3732</v>
      </c>
      <c r="C3756">
        <v>1</v>
      </c>
      <c r="D3756" s="17" t="s">
        <v>155</v>
      </c>
      <c r="E3756" s="17"/>
      <c r="F3756" s="17" t="s">
        <v>156</v>
      </c>
      <c r="G3756" s="17"/>
      <c r="H3756" s="17" t="s">
        <v>692</v>
      </c>
      <c r="I3756" s="17"/>
      <c r="J3756" s="17" t="s">
        <v>693</v>
      </c>
      <c r="K3756" s="17"/>
      <c r="L3756" s="17"/>
      <c r="M3756" s="17"/>
      <c r="N3756" s="17"/>
      <c r="O3756" s="17"/>
      <c r="P3756" s="17" t="s">
        <v>1482</v>
      </c>
      <c r="Q3756" s="17"/>
      <c r="R3756" s="25" t="str">
        <f>HYPERLINK("https://ictv.global/taxonomy/taxondetails?taxnode_id=202318442","Dhillonvirus jat")</f>
        <v>Dhillonvirus jat</v>
      </c>
      <c r="S3756" s="18" t="s">
        <v>30</v>
      </c>
      <c r="T3756" s="18" t="s">
        <v>39892</v>
      </c>
      <c r="U3756" s="18"/>
      <c r="V3756" s="18"/>
      <c r="W3756" s="18" t="s">
        <v>48486</v>
      </c>
      <c r="X3756" s="18" t="s">
        <v>42</v>
      </c>
      <c r="Y3756" s="18" t="s">
        <v>36</v>
      </c>
      <c r="Z3756" s="18" t="s">
        <v>697</v>
      </c>
      <c r="AA3756" s="21" t="str">
        <f>HYPERLINK("https://www.ncbi.nlm.nih.gov/nuccore/MN850650","NCBI Nucleotide")</f>
        <v>NCBI Nucleotide</v>
      </c>
    </row>
    <row r="3757" spans="1:27" x14ac:dyDescent="0.35">
      <c r="A3757">
        <v>1005076</v>
      </c>
      <c r="B3757">
        <v>3733</v>
      </c>
      <c r="C3757">
        <v>1</v>
      </c>
      <c r="D3757" s="17" t="s">
        <v>155</v>
      </c>
      <c r="E3757" s="17"/>
      <c r="F3757" s="17" t="s">
        <v>156</v>
      </c>
      <c r="G3757" s="17"/>
      <c r="H3757" s="17" t="s">
        <v>692</v>
      </c>
      <c r="I3757" s="17"/>
      <c r="J3757" s="17" t="s">
        <v>693</v>
      </c>
      <c r="K3757" s="17"/>
      <c r="L3757" s="17"/>
      <c r="M3757" s="17"/>
      <c r="N3757" s="17"/>
      <c r="O3757" s="17"/>
      <c r="P3757" s="17" t="s">
        <v>1482</v>
      </c>
      <c r="Q3757" s="17"/>
      <c r="R3757" s="25" t="str">
        <f>HYPERLINK("https://ictv.global/taxonomy/taxondetails?taxnode_id=202300985","Dhillonvirus JL1")</f>
        <v>Dhillonvirus JL1</v>
      </c>
      <c r="S3757" s="18" t="s">
        <v>30</v>
      </c>
      <c r="T3757" s="18" t="s">
        <v>1489</v>
      </c>
      <c r="U3757" s="18"/>
      <c r="V3757" s="18"/>
      <c r="W3757" s="18" t="s">
        <v>1490</v>
      </c>
      <c r="X3757" s="18" t="s">
        <v>42</v>
      </c>
      <c r="Y3757" s="18" t="s">
        <v>36</v>
      </c>
      <c r="Z3757" s="18" t="s">
        <v>697</v>
      </c>
      <c r="AA3757" s="21" t="str">
        <f>HYPERLINK("https://www.ncbi.nlm.nih.gov/nuccore/JX865427","NCBI Nucleotide")</f>
        <v>NCBI Nucleotide</v>
      </c>
    </row>
    <row r="3758" spans="1:27" x14ac:dyDescent="0.35">
      <c r="A3758">
        <v>1024630</v>
      </c>
      <c r="B3758">
        <v>3734</v>
      </c>
      <c r="C3758">
        <v>1</v>
      </c>
      <c r="D3758" s="17" t="s">
        <v>155</v>
      </c>
      <c r="E3758" s="17"/>
      <c r="F3758" s="17" t="s">
        <v>156</v>
      </c>
      <c r="G3758" s="17"/>
      <c r="H3758" s="17" t="s">
        <v>692</v>
      </c>
      <c r="I3758" s="17"/>
      <c r="J3758" s="17" t="s">
        <v>693</v>
      </c>
      <c r="K3758" s="17"/>
      <c r="L3758" s="17"/>
      <c r="M3758" s="17"/>
      <c r="N3758" s="17"/>
      <c r="O3758" s="17"/>
      <c r="P3758" s="17" t="s">
        <v>1482</v>
      </c>
      <c r="Q3758" s="17"/>
      <c r="R3758" s="25" t="str">
        <f>HYPERLINK("https://ictv.global/taxonomy/taxondetails?taxnode_id=202318420","Dhillonvirus JLBYU37")</f>
        <v>Dhillonvirus JLBYU37</v>
      </c>
      <c r="S3758" s="18" t="s">
        <v>30</v>
      </c>
      <c r="T3758" s="18" t="s">
        <v>39893</v>
      </c>
      <c r="U3758" s="18"/>
      <c r="V3758" s="18"/>
      <c r="W3758" s="18" t="s">
        <v>48487</v>
      </c>
      <c r="X3758" s="18" t="s">
        <v>42</v>
      </c>
      <c r="Y3758" s="18" t="s">
        <v>36</v>
      </c>
      <c r="Z3758" s="18" t="s">
        <v>697</v>
      </c>
      <c r="AA3758" s="21" t="str">
        <f>HYPERLINK("https://www.ncbi.nlm.nih.gov/nuccore/OK272488","NCBI Nucleotide")</f>
        <v>NCBI Nucleotide</v>
      </c>
    </row>
    <row r="3759" spans="1:27" x14ac:dyDescent="0.35">
      <c r="A3759">
        <v>1024631</v>
      </c>
      <c r="B3759">
        <v>3735</v>
      </c>
      <c r="C3759">
        <v>1</v>
      </c>
      <c r="D3759" s="17" t="s">
        <v>155</v>
      </c>
      <c r="E3759" s="17"/>
      <c r="F3759" s="17" t="s">
        <v>156</v>
      </c>
      <c r="G3759" s="17"/>
      <c r="H3759" s="17" t="s">
        <v>692</v>
      </c>
      <c r="I3759" s="17"/>
      <c r="J3759" s="17" t="s">
        <v>693</v>
      </c>
      <c r="K3759" s="17"/>
      <c r="L3759" s="17"/>
      <c r="M3759" s="17"/>
      <c r="N3759" s="17"/>
      <c r="O3759" s="17"/>
      <c r="P3759" s="17" t="s">
        <v>1482</v>
      </c>
      <c r="Q3759" s="17"/>
      <c r="R3759" s="25" t="str">
        <f>HYPERLINK("https://ictv.global/taxonomy/taxondetails?taxnode_id=202318417","Dhillonvirus JLBYU60")</f>
        <v>Dhillonvirus JLBYU60</v>
      </c>
      <c r="S3759" s="18" t="s">
        <v>30</v>
      </c>
      <c r="T3759" s="18" t="s">
        <v>39894</v>
      </c>
      <c r="U3759" s="18"/>
      <c r="V3759" s="18"/>
      <c r="W3759" s="18" t="s">
        <v>48488</v>
      </c>
      <c r="X3759" s="18" t="s">
        <v>42</v>
      </c>
      <c r="Y3759" s="18" t="s">
        <v>36</v>
      </c>
      <c r="Z3759" s="18" t="s">
        <v>697</v>
      </c>
      <c r="AA3759" s="21" t="str">
        <f>HYPERLINK("https://www.ncbi.nlm.nih.gov/nuccore/OK272474","NCBI Nucleotide")</f>
        <v>NCBI Nucleotide</v>
      </c>
    </row>
    <row r="3760" spans="1:27" x14ac:dyDescent="0.35">
      <c r="A3760">
        <v>1024632</v>
      </c>
      <c r="B3760">
        <v>3736</v>
      </c>
      <c r="C3760">
        <v>1</v>
      </c>
      <c r="D3760" s="17" t="s">
        <v>155</v>
      </c>
      <c r="E3760" s="17"/>
      <c r="F3760" s="17" t="s">
        <v>156</v>
      </c>
      <c r="G3760" s="17"/>
      <c r="H3760" s="17" t="s">
        <v>692</v>
      </c>
      <c r="I3760" s="17"/>
      <c r="J3760" s="17" t="s">
        <v>693</v>
      </c>
      <c r="K3760" s="17"/>
      <c r="L3760" s="17"/>
      <c r="M3760" s="17"/>
      <c r="N3760" s="17"/>
      <c r="O3760" s="17"/>
      <c r="P3760" s="17" t="s">
        <v>1482</v>
      </c>
      <c r="Q3760" s="17"/>
      <c r="R3760" s="25" t="str">
        <f>HYPERLINK("https://ictv.global/taxonomy/taxondetails?taxnode_id=202318423","Dhillonvirus karlbarth")</f>
        <v>Dhillonvirus karlbarth</v>
      </c>
      <c r="S3760" s="18" t="s">
        <v>30</v>
      </c>
      <c r="T3760" s="18" t="s">
        <v>39895</v>
      </c>
      <c r="U3760" s="18"/>
      <c r="V3760" s="18"/>
      <c r="W3760" s="18" t="s">
        <v>48489</v>
      </c>
      <c r="X3760" s="18" t="s">
        <v>42</v>
      </c>
      <c r="Y3760" s="18" t="s">
        <v>36</v>
      </c>
      <c r="Z3760" s="18" t="s">
        <v>697</v>
      </c>
      <c r="AA3760" s="21" t="str">
        <f>HYPERLINK("https://www.ncbi.nlm.nih.gov/nuccore/MZ501088","NCBI Nucleotide")</f>
        <v>NCBI Nucleotide</v>
      </c>
    </row>
    <row r="3761" spans="1:27" x14ac:dyDescent="0.35">
      <c r="A3761">
        <v>1024633</v>
      </c>
      <c r="B3761">
        <v>3737</v>
      </c>
      <c r="C3761">
        <v>1</v>
      </c>
      <c r="D3761" s="17" t="s">
        <v>155</v>
      </c>
      <c r="E3761" s="17"/>
      <c r="F3761" s="17" t="s">
        <v>156</v>
      </c>
      <c r="G3761" s="17"/>
      <c r="H3761" s="17" t="s">
        <v>692</v>
      </c>
      <c r="I3761" s="17"/>
      <c r="J3761" s="17" t="s">
        <v>693</v>
      </c>
      <c r="K3761" s="17"/>
      <c r="L3761" s="17"/>
      <c r="M3761" s="17"/>
      <c r="N3761" s="17"/>
      <c r="O3761" s="17"/>
      <c r="P3761" s="17" t="s">
        <v>1482</v>
      </c>
      <c r="Q3761" s="17"/>
      <c r="R3761" s="25" t="str">
        <f>HYPERLINK("https://ictv.global/taxonomy/taxondetails?taxnode_id=202318452","Dhillonvirus Lh")</f>
        <v>Dhillonvirus Lh</v>
      </c>
      <c r="S3761" s="18" t="s">
        <v>30</v>
      </c>
      <c r="T3761" s="18" t="s">
        <v>39896</v>
      </c>
      <c r="U3761" s="18"/>
      <c r="V3761" s="18"/>
      <c r="W3761" s="18" t="s">
        <v>48490</v>
      </c>
      <c r="X3761" s="18" t="s">
        <v>42</v>
      </c>
      <c r="Y3761" s="18" t="s">
        <v>36</v>
      </c>
      <c r="Z3761" s="18" t="s">
        <v>697</v>
      </c>
      <c r="AA3761" s="21" t="str">
        <f>HYPERLINK("https://www.ncbi.nlm.nih.gov/nuccore/OM262540","NCBI Nucleotide")</f>
        <v>NCBI Nucleotide</v>
      </c>
    </row>
    <row r="3762" spans="1:27" x14ac:dyDescent="0.35">
      <c r="A3762">
        <v>1024634</v>
      </c>
      <c r="B3762">
        <v>3738</v>
      </c>
      <c r="C3762">
        <v>1</v>
      </c>
      <c r="D3762" s="17" t="s">
        <v>155</v>
      </c>
      <c r="E3762" s="17"/>
      <c r="F3762" s="17" t="s">
        <v>156</v>
      </c>
      <c r="G3762" s="17"/>
      <c r="H3762" s="17" t="s">
        <v>692</v>
      </c>
      <c r="I3762" s="17"/>
      <c r="J3762" s="17" t="s">
        <v>693</v>
      </c>
      <c r="K3762" s="17"/>
      <c r="L3762" s="17"/>
      <c r="M3762" s="17"/>
      <c r="N3762" s="17"/>
      <c r="O3762" s="17"/>
      <c r="P3762" s="17" t="s">
        <v>1482</v>
      </c>
      <c r="Q3762" s="17"/>
      <c r="R3762" s="25" t="str">
        <f>HYPERLINK("https://ictv.global/taxonomy/taxondetails?taxnode_id=202318443","Dhillonvirus maverick")</f>
        <v>Dhillonvirus maverick</v>
      </c>
      <c r="S3762" s="18" t="s">
        <v>30</v>
      </c>
      <c r="T3762" s="18" t="s">
        <v>39897</v>
      </c>
      <c r="U3762" s="18"/>
      <c r="V3762" s="18"/>
      <c r="W3762" s="18" t="s">
        <v>48491</v>
      </c>
      <c r="X3762" s="18" t="s">
        <v>42</v>
      </c>
      <c r="Y3762" s="18" t="s">
        <v>36</v>
      </c>
      <c r="Z3762" s="18" t="s">
        <v>697</v>
      </c>
      <c r="AA3762" s="21" t="str">
        <f>HYPERLINK("https://www.ncbi.nlm.nih.gov/nuccore/LR990702","NCBI Nucleotide")</f>
        <v>NCBI Nucleotide</v>
      </c>
    </row>
    <row r="3763" spans="1:27" x14ac:dyDescent="0.35">
      <c r="A3763">
        <v>1024635</v>
      </c>
      <c r="B3763">
        <v>3739</v>
      </c>
      <c r="C3763">
        <v>1</v>
      </c>
      <c r="D3763" s="17" t="s">
        <v>155</v>
      </c>
      <c r="E3763" s="17"/>
      <c r="F3763" s="17" t="s">
        <v>156</v>
      </c>
      <c r="G3763" s="17"/>
      <c r="H3763" s="17" t="s">
        <v>692</v>
      </c>
      <c r="I3763" s="17"/>
      <c r="J3763" s="17" t="s">
        <v>693</v>
      </c>
      <c r="K3763" s="17"/>
      <c r="L3763" s="17"/>
      <c r="M3763" s="17"/>
      <c r="N3763" s="17"/>
      <c r="O3763" s="17"/>
      <c r="P3763" s="17" t="s">
        <v>1482</v>
      </c>
      <c r="Q3763" s="17"/>
      <c r="R3763" s="25" t="str">
        <f>HYPERLINK("https://ictv.global/taxonomy/taxondetails?taxnode_id=202318439","Dhillonvirus mckay")</f>
        <v>Dhillonvirus mckay</v>
      </c>
      <c r="S3763" s="18" t="s">
        <v>30</v>
      </c>
      <c r="T3763" s="18" t="s">
        <v>39898</v>
      </c>
      <c r="U3763" s="18"/>
      <c r="V3763" s="18"/>
      <c r="W3763" s="18" t="s">
        <v>48492</v>
      </c>
      <c r="X3763" s="18" t="s">
        <v>42</v>
      </c>
      <c r="Y3763" s="18" t="s">
        <v>36</v>
      </c>
      <c r="Z3763" s="18" t="s">
        <v>697</v>
      </c>
      <c r="AA3763" s="21" t="str">
        <f>HYPERLINK("https://www.ncbi.nlm.nih.gov/nuccore/MN850629","NCBI Nucleotide")</f>
        <v>NCBI Nucleotide</v>
      </c>
    </row>
    <row r="3764" spans="1:27" x14ac:dyDescent="0.35">
      <c r="A3764">
        <v>1024636</v>
      </c>
      <c r="B3764">
        <v>3740</v>
      </c>
      <c r="C3764">
        <v>1</v>
      </c>
      <c r="D3764" s="17" t="s">
        <v>155</v>
      </c>
      <c r="E3764" s="17"/>
      <c r="F3764" s="17" t="s">
        <v>156</v>
      </c>
      <c r="G3764" s="17"/>
      <c r="H3764" s="17" t="s">
        <v>692</v>
      </c>
      <c r="I3764" s="17"/>
      <c r="J3764" s="17" t="s">
        <v>693</v>
      </c>
      <c r="K3764" s="17"/>
      <c r="L3764" s="17"/>
      <c r="M3764" s="17"/>
      <c r="N3764" s="17"/>
      <c r="O3764" s="17"/>
      <c r="P3764" s="17" t="s">
        <v>1482</v>
      </c>
      <c r="Q3764" s="17"/>
      <c r="R3764" s="25" t="str">
        <f>HYPERLINK("https://ictv.global/taxonomy/taxondetails?taxnode_id=202318455","Dhillonvirus oekolampad")</f>
        <v>Dhillonvirus oekolampad</v>
      </c>
      <c r="S3764" s="18" t="s">
        <v>30</v>
      </c>
      <c r="T3764" s="18" t="s">
        <v>39899</v>
      </c>
      <c r="U3764" s="18"/>
      <c r="V3764" s="18"/>
      <c r="W3764" s="18" t="s">
        <v>48493</v>
      </c>
      <c r="X3764" s="18" t="s">
        <v>42</v>
      </c>
      <c r="Y3764" s="18" t="s">
        <v>36</v>
      </c>
      <c r="Z3764" s="18" t="s">
        <v>697</v>
      </c>
      <c r="AA3764" s="21" t="str">
        <f>HYPERLINK("https://www.ncbi.nlm.nih.gov/nuccore/MZ501095","NCBI Nucleotide")</f>
        <v>NCBI Nucleotide</v>
      </c>
    </row>
    <row r="3765" spans="1:27" x14ac:dyDescent="0.35">
      <c r="A3765">
        <v>1024637</v>
      </c>
      <c r="B3765">
        <v>3741</v>
      </c>
      <c r="C3765">
        <v>1</v>
      </c>
      <c r="D3765" s="17" t="s">
        <v>155</v>
      </c>
      <c r="E3765" s="17"/>
      <c r="F3765" s="17" t="s">
        <v>156</v>
      </c>
      <c r="G3765" s="17"/>
      <c r="H3765" s="17" t="s">
        <v>692</v>
      </c>
      <c r="I3765" s="17"/>
      <c r="J3765" s="17" t="s">
        <v>693</v>
      </c>
      <c r="K3765" s="17"/>
      <c r="L3765" s="17"/>
      <c r="M3765" s="17"/>
      <c r="N3765" s="17"/>
      <c r="O3765" s="17"/>
      <c r="P3765" s="17" t="s">
        <v>1482</v>
      </c>
      <c r="Q3765" s="17"/>
      <c r="R3765" s="25" t="str">
        <f>HYPERLINK("https://ictv.global/taxonomy/taxondetails?taxnode_id=202318421","Dhillonvirus opt212")</f>
        <v>Dhillonvirus opt212</v>
      </c>
      <c r="S3765" s="18" t="s">
        <v>30</v>
      </c>
      <c r="T3765" s="18" t="s">
        <v>39900</v>
      </c>
      <c r="U3765" s="18"/>
      <c r="V3765" s="18"/>
      <c r="W3765" s="18" t="s">
        <v>48494</v>
      </c>
      <c r="X3765" s="18" t="s">
        <v>42</v>
      </c>
      <c r="Y3765" s="18" t="s">
        <v>36</v>
      </c>
      <c r="Z3765" s="18" t="s">
        <v>697</v>
      </c>
      <c r="AA3765" s="21" t="str">
        <f>HYPERLINK("https://www.ncbi.nlm.nih.gov/nuccore/OL770278","NCBI Nucleotide")</f>
        <v>NCBI Nucleotide</v>
      </c>
    </row>
    <row r="3766" spans="1:27" x14ac:dyDescent="0.35">
      <c r="A3766">
        <v>1024638</v>
      </c>
      <c r="B3766">
        <v>3742</v>
      </c>
      <c r="C3766">
        <v>1</v>
      </c>
      <c r="D3766" s="17" t="s">
        <v>155</v>
      </c>
      <c r="E3766" s="17"/>
      <c r="F3766" s="17" t="s">
        <v>156</v>
      </c>
      <c r="G3766" s="17"/>
      <c r="H3766" s="17" t="s">
        <v>692</v>
      </c>
      <c r="I3766" s="17"/>
      <c r="J3766" s="17" t="s">
        <v>693</v>
      </c>
      <c r="K3766" s="17"/>
      <c r="L3766" s="17"/>
      <c r="M3766" s="17"/>
      <c r="N3766" s="17"/>
      <c r="O3766" s="17"/>
      <c r="P3766" s="17" t="s">
        <v>1482</v>
      </c>
      <c r="Q3766" s="17"/>
      <c r="R3766" s="25" t="str">
        <f>HYPERLINK("https://ictv.global/taxonomy/taxondetails?taxnode_id=202318445","Dhillonvirus Over9000")</f>
        <v>Dhillonvirus Over9000</v>
      </c>
      <c r="S3766" s="18" t="s">
        <v>30</v>
      </c>
      <c r="T3766" s="18" t="s">
        <v>39901</v>
      </c>
      <c r="U3766" s="18"/>
      <c r="V3766" s="18"/>
      <c r="W3766" s="18" t="s">
        <v>48495</v>
      </c>
      <c r="X3766" s="18" t="s">
        <v>42</v>
      </c>
      <c r="Y3766" s="18" t="s">
        <v>36</v>
      </c>
      <c r="Z3766" s="18" t="s">
        <v>697</v>
      </c>
      <c r="AA3766" s="21" t="str">
        <f>HYPERLINK("https://www.ncbi.nlm.nih.gov/nuccore/OK499985","NCBI Nucleotide")</f>
        <v>NCBI Nucleotide</v>
      </c>
    </row>
    <row r="3767" spans="1:27" x14ac:dyDescent="0.35">
      <c r="A3767">
        <v>1024639</v>
      </c>
      <c r="B3767">
        <v>3743</v>
      </c>
      <c r="C3767">
        <v>1</v>
      </c>
      <c r="D3767" s="17" t="s">
        <v>155</v>
      </c>
      <c r="E3767" s="17"/>
      <c r="F3767" s="17" t="s">
        <v>156</v>
      </c>
      <c r="G3767" s="17"/>
      <c r="H3767" s="17" t="s">
        <v>692</v>
      </c>
      <c r="I3767" s="17"/>
      <c r="J3767" s="17" t="s">
        <v>693</v>
      </c>
      <c r="K3767" s="17"/>
      <c r="L3767" s="17"/>
      <c r="M3767" s="17"/>
      <c r="N3767" s="17"/>
      <c r="O3767" s="17"/>
      <c r="P3767" s="17" t="s">
        <v>1482</v>
      </c>
      <c r="Q3767" s="17"/>
      <c r="R3767" s="25" t="str">
        <f>HYPERLINK("https://ictv.global/taxonomy/taxondetails?taxnode_id=202318433","Dhillonvirus paulfeyerabend")</f>
        <v>Dhillonvirus paulfeyerabend</v>
      </c>
      <c r="S3767" s="18" t="s">
        <v>30</v>
      </c>
      <c r="T3767" s="18" t="s">
        <v>39902</v>
      </c>
      <c r="U3767" s="18"/>
      <c r="V3767" s="18"/>
      <c r="W3767" s="18" t="s">
        <v>48496</v>
      </c>
      <c r="X3767" s="18" t="s">
        <v>42</v>
      </c>
      <c r="Y3767" s="18" t="s">
        <v>36</v>
      </c>
      <c r="Z3767" s="18" t="s">
        <v>697</v>
      </c>
      <c r="AA3767" s="21" t="str">
        <f>HYPERLINK("https://www.ncbi.nlm.nih.gov/nuccore/MZ501097","NCBI Nucleotide")</f>
        <v>NCBI Nucleotide</v>
      </c>
    </row>
    <row r="3768" spans="1:27" x14ac:dyDescent="0.35">
      <c r="A3768">
        <v>1024640</v>
      </c>
      <c r="B3768">
        <v>3744</v>
      </c>
      <c r="C3768">
        <v>1</v>
      </c>
      <c r="D3768" s="17" t="s">
        <v>155</v>
      </c>
      <c r="E3768" s="17"/>
      <c r="F3768" s="17" t="s">
        <v>156</v>
      </c>
      <c r="G3768" s="17"/>
      <c r="H3768" s="17" t="s">
        <v>692</v>
      </c>
      <c r="I3768" s="17"/>
      <c r="J3768" s="17" t="s">
        <v>693</v>
      </c>
      <c r="K3768" s="17"/>
      <c r="L3768" s="17"/>
      <c r="M3768" s="17"/>
      <c r="N3768" s="17"/>
      <c r="O3768" s="17"/>
      <c r="P3768" s="17" t="s">
        <v>1482</v>
      </c>
      <c r="Q3768" s="17"/>
      <c r="R3768" s="25" t="str">
        <f>HYPERLINK("https://ictv.global/taxonomy/taxondetails?taxnode_id=202318454","Dhillonvirus PC2")</f>
        <v>Dhillonvirus PC2</v>
      </c>
      <c r="S3768" s="18" t="s">
        <v>30</v>
      </c>
      <c r="T3768" s="18" t="s">
        <v>39903</v>
      </c>
      <c r="U3768" s="18"/>
      <c r="V3768" s="18"/>
      <c r="W3768" s="18" t="s">
        <v>48497</v>
      </c>
      <c r="X3768" s="18" t="s">
        <v>42</v>
      </c>
      <c r="Y3768" s="18" t="s">
        <v>36</v>
      </c>
      <c r="Z3768" s="18" t="s">
        <v>697</v>
      </c>
      <c r="AA3768" s="21" t="str">
        <f>HYPERLINK("https://www.ncbi.nlm.nih.gov/nuccore/ON184124","NCBI Nucleotide")</f>
        <v>NCBI Nucleotide</v>
      </c>
    </row>
    <row r="3769" spans="1:27" x14ac:dyDescent="0.35">
      <c r="A3769">
        <v>1024641</v>
      </c>
      <c r="B3769">
        <v>3745</v>
      </c>
      <c r="C3769">
        <v>1</v>
      </c>
      <c r="D3769" s="17" t="s">
        <v>155</v>
      </c>
      <c r="E3769" s="17"/>
      <c r="F3769" s="17" t="s">
        <v>156</v>
      </c>
      <c r="G3769" s="17"/>
      <c r="H3769" s="17" t="s">
        <v>692</v>
      </c>
      <c r="I3769" s="17"/>
      <c r="J3769" s="17" t="s">
        <v>693</v>
      </c>
      <c r="K3769" s="17"/>
      <c r="L3769" s="17"/>
      <c r="M3769" s="17"/>
      <c r="N3769" s="17"/>
      <c r="O3769" s="17"/>
      <c r="P3769" s="17" t="s">
        <v>1482</v>
      </c>
      <c r="Q3769" s="17"/>
      <c r="R3769" s="25" t="str">
        <f>HYPERLINK("https://ictv.global/taxonomy/taxondetails?taxnode_id=202318415","Dhillonvirus PEC14")</f>
        <v>Dhillonvirus PEC14</v>
      </c>
      <c r="S3769" s="18" t="s">
        <v>30</v>
      </c>
      <c r="T3769" s="18" t="s">
        <v>39904</v>
      </c>
      <c r="U3769" s="18"/>
      <c r="V3769" s="18"/>
      <c r="W3769" s="18" t="s">
        <v>48498</v>
      </c>
      <c r="X3769" s="18" t="s">
        <v>42</v>
      </c>
      <c r="Y3769" s="18" t="s">
        <v>36</v>
      </c>
      <c r="Z3769" s="18" t="s">
        <v>697</v>
      </c>
      <c r="AA3769" s="21" t="str">
        <f>HYPERLINK("https://www.ncbi.nlm.nih.gov/nuccore/OP046317","NCBI Nucleotide")</f>
        <v>NCBI Nucleotide</v>
      </c>
    </row>
    <row r="3770" spans="1:27" x14ac:dyDescent="0.35">
      <c r="A3770">
        <v>1024642</v>
      </c>
      <c r="B3770">
        <v>3746</v>
      </c>
      <c r="C3770">
        <v>1</v>
      </c>
      <c r="D3770" s="17" t="s">
        <v>155</v>
      </c>
      <c r="E3770" s="17"/>
      <c r="F3770" s="17" t="s">
        <v>156</v>
      </c>
      <c r="G3770" s="17"/>
      <c r="H3770" s="17" t="s">
        <v>692</v>
      </c>
      <c r="I3770" s="17"/>
      <c r="J3770" s="17" t="s">
        <v>693</v>
      </c>
      <c r="K3770" s="17"/>
      <c r="L3770" s="17"/>
      <c r="M3770" s="17"/>
      <c r="N3770" s="17"/>
      <c r="O3770" s="17"/>
      <c r="P3770" s="17" t="s">
        <v>1482</v>
      </c>
      <c r="Q3770" s="17"/>
      <c r="R3770" s="25" t="str">
        <f>HYPERLINK("https://ictv.global/taxonomy/taxondetails?taxnode_id=202318429","Dhillonvirus PNS1")</f>
        <v>Dhillonvirus PNS1</v>
      </c>
      <c r="S3770" s="18" t="s">
        <v>30</v>
      </c>
      <c r="T3770" s="18" t="s">
        <v>39905</v>
      </c>
      <c r="U3770" s="18"/>
      <c r="V3770" s="18"/>
      <c r="W3770" s="18" t="s">
        <v>48499</v>
      </c>
      <c r="X3770" s="18" t="s">
        <v>42</v>
      </c>
      <c r="Y3770" s="18" t="s">
        <v>36</v>
      </c>
      <c r="Z3770" s="18" t="s">
        <v>697</v>
      </c>
      <c r="AA3770" s="21" t="str">
        <f>HYPERLINK("https://www.ncbi.nlm.nih.gov/nuccore/MK138527","NCBI Nucleotide")</f>
        <v>NCBI Nucleotide</v>
      </c>
    </row>
    <row r="3771" spans="1:27" x14ac:dyDescent="0.35">
      <c r="A3771">
        <v>1024643</v>
      </c>
      <c r="B3771">
        <v>3747</v>
      </c>
      <c r="C3771">
        <v>1</v>
      </c>
      <c r="D3771" s="17" t="s">
        <v>155</v>
      </c>
      <c r="E3771" s="17"/>
      <c r="F3771" s="17" t="s">
        <v>156</v>
      </c>
      <c r="G3771" s="17"/>
      <c r="H3771" s="17" t="s">
        <v>692</v>
      </c>
      <c r="I3771" s="17"/>
      <c r="J3771" s="17" t="s">
        <v>693</v>
      </c>
      <c r="K3771" s="17"/>
      <c r="L3771" s="17"/>
      <c r="M3771" s="17"/>
      <c r="N3771" s="17"/>
      <c r="O3771" s="17"/>
      <c r="P3771" s="17" t="s">
        <v>1482</v>
      </c>
      <c r="Q3771" s="17"/>
      <c r="R3771" s="25" t="str">
        <f>HYPERLINK("https://ictv.global/taxonomy/taxondetails?taxnode_id=202318430","Dhillonvirus PTXU06")</f>
        <v>Dhillonvirus PTXU06</v>
      </c>
      <c r="S3771" s="18" t="s">
        <v>30</v>
      </c>
      <c r="T3771" s="18" t="s">
        <v>39906</v>
      </c>
      <c r="U3771" s="18"/>
      <c r="V3771" s="18"/>
      <c r="W3771" s="18" t="s">
        <v>48500</v>
      </c>
      <c r="X3771" s="18" t="s">
        <v>42</v>
      </c>
      <c r="Y3771" s="18" t="s">
        <v>36</v>
      </c>
      <c r="Z3771" s="18" t="s">
        <v>697</v>
      </c>
      <c r="AA3771" s="21" t="str">
        <f>HYPERLINK("https://www.ncbi.nlm.nih.gov/nuccore/MK373789","NCBI Nucleotide")</f>
        <v>NCBI Nucleotide</v>
      </c>
    </row>
    <row r="3772" spans="1:27" x14ac:dyDescent="0.35">
      <c r="A3772">
        <v>1024644</v>
      </c>
      <c r="B3772">
        <v>3748</v>
      </c>
      <c r="C3772">
        <v>1</v>
      </c>
      <c r="D3772" s="17" t="s">
        <v>155</v>
      </c>
      <c r="E3772" s="17"/>
      <c r="F3772" s="17" t="s">
        <v>156</v>
      </c>
      <c r="G3772" s="17"/>
      <c r="H3772" s="17" t="s">
        <v>692</v>
      </c>
      <c r="I3772" s="17"/>
      <c r="J3772" s="17" t="s">
        <v>693</v>
      </c>
      <c r="K3772" s="17"/>
      <c r="L3772" s="17"/>
      <c r="M3772" s="17"/>
      <c r="N3772" s="17"/>
      <c r="O3772" s="17"/>
      <c r="P3772" s="17" t="s">
        <v>1482</v>
      </c>
      <c r="Q3772" s="17"/>
      <c r="R3772" s="25" t="str">
        <f>HYPERLINK("https://ictv.global/taxonomy/taxondetails?taxnode_id=202318434","Dhillonvirus pubbukkers")</f>
        <v>Dhillonvirus pubbukkers</v>
      </c>
      <c r="S3772" s="18" t="s">
        <v>30</v>
      </c>
      <c r="T3772" s="18" t="s">
        <v>39907</v>
      </c>
      <c r="U3772" s="18"/>
      <c r="V3772" s="18"/>
      <c r="W3772" s="18" t="s">
        <v>48501</v>
      </c>
      <c r="X3772" s="18" t="s">
        <v>42</v>
      </c>
      <c r="Y3772" s="18" t="s">
        <v>36</v>
      </c>
      <c r="Z3772" s="18" t="s">
        <v>697</v>
      </c>
      <c r="AA3772" s="21" t="str">
        <f>HYPERLINK("https://www.ncbi.nlm.nih.gov/nuccore/OK499988","NCBI Nucleotide")</f>
        <v>NCBI Nucleotide</v>
      </c>
    </row>
    <row r="3773" spans="1:27" x14ac:dyDescent="0.35">
      <c r="A3773">
        <v>1024645</v>
      </c>
      <c r="B3773">
        <v>3749</v>
      </c>
      <c r="C3773">
        <v>1</v>
      </c>
      <c r="D3773" s="17" t="s">
        <v>155</v>
      </c>
      <c r="E3773" s="17"/>
      <c r="F3773" s="17" t="s">
        <v>156</v>
      </c>
      <c r="G3773" s="17"/>
      <c r="H3773" s="17" t="s">
        <v>692</v>
      </c>
      <c r="I3773" s="17"/>
      <c r="J3773" s="17" t="s">
        <v>693</v>
      </c>
      <c r="K3773" s="17"/>
      <c r="L3773" s="17"/>
      <c r="M3773" s="17"/>
      <c r="N3773" s="17"/>
      <c r="O3773" s="17"/>
      <c r="P3773" s="17" t="s">
        <v>1482</v>
      </c>
      <c r="Q3773" s="17"/>
      <c r="R3773" s="25" t="str">
        <f>HYPERLINK("https://ictv.global/taxonomy/taxondetails?taxnode_id=202318422","Dhillonvirus rolling")</f>
        <v>Dhillonvirus rolling</v>
      </c>
      <c r="S3773" s="18" t="s">
        <v>30</v>
      </c>
      <c r="T3773" s="18" t="s">
        <v>39908</v>
      </c>
      <c r="U3773" s="18"/>
      <c r="V3773" s="18"/>
      <c r="W3773" s="18" t="s">
        <v>48502</v>
      </c>
      <c r="X3773" s="18" t="s">
        <v>42</v>
      </c>
      <c r="Y3773" s="18" t="s">
        <v>36</v>
      </c>
      <c r="Z3773" s="18" t="s">
        <v>697</v>
      </c>
      <c r="AA3773" s="21" t="str">
        <f>HYPERLINK("https://www.ncbi.nlm.nih.gov/nuccore/MN850575","NCBI Nucleotide")</f>
        <v>NCBI Nucleotide</v>
      </c>
    </row>
    <row r="3774" spans="1:27" x14ac:dyDescent="0.35">
      <c r="A3774">
        <v>1024646</v>
      </c>
      <c r="B3774">
        <v>3750</v>
      </c>
      <c r="C3774">
        <v>1</v>
      </c>
      <c r="D3774" s="17" t="s">
        <v>155</v>
      </c>
      <c r="E3774" s="17"/>
      <c r="F3774" s="17" t="s">
        <v>156</v>
      </c>
      <c r="G3774" s="17"/>
      <c r="H3774" s="17" t="s">
        <v>692</v>
      </c>
      <c r="I3774" s="17"/>
      <c r="J3774" s="17" t="s">
        <v>693</v>
      </c>
      <c r="K3774" s="17"/>
      <c r="L3774" s="17"/>
      <c r="M3774" s="17"/>
      <c r="N3774" s="17"/>
      <c r="O3774" s="17"/>
      <c r="P3774" s="17" t="s">
        <v>1482</v>
      </c>
      <c r="Q3774" s="17"/>
      <c r="R3774" s="25" t="str">
        <f>HYPERLINK("https://ictv.global/taxonomy/taxondetails?taxnode_id=202318437","Dhillonvirus SECphi18")</f>
        <v>Dhillonvirus SECphi18</v>
      </c>
      <c r="S3774" s="18" t="s">
        <v>30</v>
      </c>
      <c r="T3774" s="18" t="s">
        <v>39909</v>
      </c>
      <c r="U3774" s="18"/>
      <c r="V3774" s="18"/>
      <c r="W3774" s="18" t="s">
        <v>48503</v>
      </c>
      <c r="X3774" s="18" t="s">
        <v>42</v>
      </c>
      <c r="Y3774" s="18" t="s">
        <v>36</v>
      </c>
      <c r="Z3774" s="18" t="s">
        <v>697</v>
      </c>
      <c r="AA3774" s="21" t="str">
        <f>HYPERLINK("https://www.ncbi.nlm.nih.gov/nuccore/LT960609","NCBI Nucleotide")</f>
        <v>NCBI Nucleotide</v>
      </c>
    </row>
    <row r="3775" spans="1:27" x14ac:dyDescent="0.35">
      <c r="A3775">
        <v>1024647</v>
      </c>
      <c r="B3775">
        <v>3751</v>
      </c>
      <c r="C3775">
        <v>1</v>
      </c>
      <c r="D3775" s="17" t="s">
        <v>155</v>
      </c>
      <c r="E3775" s="17"/>
      <c r="F3775" s="17" t="s">
        <v>156</v>
      </c>
      <c r="G3775" s="17"/>
      <c r="H3775" s="17" t="s">
        <v>692</v>
      </c>
      <c r="I3775" s="17"/>
      <c r="J3775" s="17" t="s">
        <v>693</v>
      </c>
      <c r="K3775" s="17"/>
      <c r="L3775" s="17"/>
      <c r="M3775" s="17"/>
      <c r="N3775" s="17"/>
      <c r="O3775" s="17"/>
      <c r="P3775" s="17" t="s">
        <v>1482</v>
      </c>
      <c r="Q3775" s="17"/>
      <c r="R3775" s="25" t="str">
        <f>HYPERLINK("https://ictv.global/taxonomy/taxondetails?taxnode_id=202318456","Dhillonvirus slur05")</f>
        <v>Dhillonvirus slur05</v>
      </c>
      <c r="S3775" s="18" t="s">
        <v>30</v>
      </c>
      <c r="T3775" s="18" t="s">
        <v>39910</v>
      </c>
      <c r="U3775" s="18"/>
      <c r="V3775" s="18"/>
      <c r="W3775" s="18" t="s">
        <v>39911</v>
      </c>
      <c r="X3775" s="18" t="s">
        <v>42</v>
      </c>
      <c r="Y3775" s="18" t="s">
        <v>36</v>
      </c>
      <c r="Z3775" s="18" t="s">
        <v>697</v>
      </c>
      <c r="AA3775" s="21" t="str">
        <f>HYPERLINK("https://www.ncbi.nlm.nih.gov/nuccore/LN881730","NCBI Nucleotide")</f>
        <v>NCBI Nucleotide</v>
      </c>
    </row>
    <row r="3776" spans="1:27" x14ac:dyDescent="0.35">
      <c r="A3776">
        <v>1005077</v>
      </c>
      <c r="B3776">
        <v>3752</v>
      </c>
      <c r="C3776">
        <v>1</v>
      </c>
      <c r="D3776" s="17" t="s">
        <v>155</v>
      </c>
      <c r="E3776" s="17"/>
      <c r="F3776" s="17" t="s">
        <v>156</v>
      </c>
      <c r="G3776" s="17"/>
      <c r="H3776" s="17" t="s">
        <v>692</v>
      </c>
      <c r="I3776" s="17"/>
      <c r="J3776" s="17" t="s">
        <v>693</v>
      </c>
      <c r="K3776" s="17"/>
      <c r="L3776" s="17"/>
      <c r="M3776" s="17"/>
      <c r="N3776" s="17"/>
      <c r="O3776" s="17"/>
      <c r="P3776" s="17" t="s">
        <v>1482</v>
      </c>
      <c r="Q3776" s="17"/>
      <c r="R3776" s="25" t="str">
        <f>HYPERLINK("https://ictv.global/taxonomy/taxondetails?taxnode_id=202300989","Dhillonvirus SO1")</f>
        <v>Dhillonvirus SO1</v>
      </c>
      <c r="S3776" s="18" t="s">
        <v>30</v>
      </c>
      <c r="T3776" s="18" t="s">
        <v>1491</v>
      </c>
      <c r="U3776" s="18"/>
      <c r="V3776" s="18"/>
      <c r="W3776" s="18" t="s">
        <v>1492</v>
      </c>
      <c r="X3776" s="18" t="s">
        <v>42</v>
      </c>
      <c r="Y3776" s="18" t="s">
        <v>36</v>
      </c>
      <c r="Z3776" s="18" t="s">
        <v>697</v>
      </c>
      <c r="AA3776" s="21" t="str">
        <f>HYPERLINK("https://www.ncbi.nlm.nih.gov/nuccore/GQ502199","NCBI Nucleotide")</f>
        <v>NCBI Nucleotide</v>
      </c>
    </row>
    <row r="3777" spans="1:27" x14ac:dyDescent="0.35">
      <c r="A3777">
        <v>1024648</v>
      </c>
      <c r="B3777">
        <v>3753</v>
      </c>
      <c r="C3777">
        <v>1</v>
      </c>
      <c r="D3777" s="17" t="s">
        <v>155</v>
      </c>
      <c r="E3777" s="17"/>
      <c r="F3777" s="17" t="s">
        <v>156</v>
      </c>
      <c r="G3777" s="17"/>
      <c r="H3777" s="17" t="s">
        <v>692</v>
      </c>
      <c r="I3777" s="17"/>
      <c r="J3777" s="17" t="s">
        <v>693</v>
      </c>
      <c r="K3777" s="17"/>
      <c r="L3777" s="17"/>
      <c r="M3777" s="17"/>
      <c r="N3777" s="17"/>
      <c r="O3777" s="17"/>
      <c r="P3777" s="17" t="s">
        <v>1482</v>
      </c>
      <c r="Q3777" s="17"/>
      <c r="R3777" s="25" t="str">
        <f>HYPERLINK("https://ictv.global/taxonomy/taxondetails?taxnode_id=202318447","Dhillonvirus sponge")</f>
        <v>Dhillonvirus sponge</v>
      </c>
      <c r="S3777" s="18" t="s">
        <v>30</v>
      </c>
      <c r="T3777" s="18" t="s">
        <v>39912</v>
      </c>
      <c r="U3777" s="18"/>
      <c r="V3777" s="18"/>
      <c r="W3777" s="18" t="s">
        <v>48504</v>
      </c>
      <c r="X3777" s="18" t="s">
        <v>42</v>
      </c>
      <c r="Y3777" s="18" t="s">
        <v>36</v>
      </c>
      <c r="Z3777" s="18" t="s">
        <v>697</v>
      </c>
      <c r="AA3777" s="21" t="str">
        <f>HYPERLINK("https://www.ncbi.nlm.nih.gov/nuccore/MW749005","NCBI Nucleotide")</f>
        <v>NCBI Nucleotide</v>
      </c>
    </row>
    <row r="3778" spans="1:27" x14ac:dyDescent="0.35">
      <c r="A3778">
        <v>1005078</v>
      </c>
      <c r="B3778">
        <v>3754</v>
      </c>
      <c r="C3778">
        <v>1</v>
      </c>
      <c r="D3778" s="17" t="s">
        <v>155</v>
      </c>
      <c r="E3778" s="17"/>
      <c r="F3778" s="17" t="s">
        <v>156</v>
      </c>
      <c r="G3778" s="17"/>
      <c r="H3778" s="17" t="s">
        <v>692</v>
      </c>
      <c r="I3778" s="17"/>
      <c r="J3778" s="17" t="s">
        <v>693</v>
      </c>
      <c r="K3778" s="17"/>
      <c r="L3778" s="17"/>
      <c r="M3778" s="17"/>
      <c r="N3778" s="17"/>
      <c r="O3778" s="17"/>
      <c r="P3778" s="17" t="s">
        <v>1482</v>
      </c>
      <c r="Q3778" s="17"/>
      <c r="R3778" s="25" t="str">
        <f>HYPERLINK("https://ictv.global/taxonomy/taxondetails?taxnode_id=202300986","Dhillonvirus SSL2009a")</f>
        <v>Dhillonvirus SSL2009a</v>
      </c>
      <c r="S3778" s="18" t="s">
        <v>30</v>
      </c>
      <c r="T3778" s="18" t="s">
        <v>1493</v>
      </c>
      <c r="U3778" s="18"/>
      <c r="V3778" s="18"/>
      <c r="W3778" s="18" t="s">
        <v>1494</v>
      </c>
      <c r="X3778" s="18" t="s">
        <v>42</v>
      </c>
      <c r="Y3778" s="18" t="s">
        <v>36</v>
      </c>
      <c r="Z3778" s="18" t="s">
        <v>697</v>
      </c>
      <c r="AA3778" s="21" t="str">
        <f>HYPERLINK("https://www.ncbi.nlm.nih.gov/nuccore/FJ750948","NCBI Nucleotide")</f>
        <v>NCBI Nucleotide</v>
      </c>
    </row>
    <row r="3779" spans="1:27" x14ac:dyDescent="0.35">
      <c r="A3779">
        <v>1024649</v>
      </c>
      <c r="B3779">
        <v>3755</v>
      </c>
      <c r="C3779">
        <v>1</v>
      </c>
      <c r="D3779" s="17" t="s">
        <v>155</v>
      </c>
      <c r="E3779" s="17"/>
      <c r="F3779" s="17" t="s">
        <v>156</v>
      </c>
      <c r="G3779" s="17"/>
      <c r="H3779" s="17" t="s">
        <v>692</v>
      </c>
      <c r="I3779" s="17"/>
      <c r="J3779" s="17" t="s">
        <v>693</v>
      </c>
      <c r="K3779" s="17"/>
      <c r="L3779" s="17"/>
      <c r="M3779" s="17"/>
      <c r="N3779" s="17"/>
      <c r="O3779" s="17"/>
      <c r="P3779" s="17" t="s">
        <v>1482</v>
      </c>
      <c r="Q3779" s="17"/>
      <c r="R3779" s="25" t="str">
        <f>HYPERLINK("https://ictv.global/taxonomy/taxondetails?taxnode_id=202318448","Dhillonvirus stardew")</f>
        <v>Dhillonvirus stardew</v>
      </c>
      <c r="S3779" s="18" t="s">
        <v>30</v>
      </c>
      <c r="T3779" s="18" t="s">
        <v>39913</v>
      </c>
      <c r="U3779" s="18"/>
      <c r="V3779" s="18"/>
      <c r="W3779" s="18" t="s">
        <v>48505</v>
      </c>
      <c r="X3779" s="18" t="s">
        <v>42</v>
      </c>
      <c r="Y3779" s="18" t="s">
        <v>36</v>
      </c>
      <c r="Z3779" s="18" t="s">
        <v>697</v>
      </c>
      <c r="AA3779" s="21" t="str">
        <f>HYPERLINK("https://www.ncbi.nlm.nih.gov/nuccore/OL615010","NCBI Nucleotide")</f>
        <v>NCBI Nucleotide</v>
      </c>
    </row>
    <row r="3780" spans="1:27" x14ac:dyDescent="0.35">
      <c r="A3780">
        <v>1024650</v>
      </c>
      <c r="B3780">
        <v>3756</v>
      </c>
      <c r="C3780">
        <v>1</v>
      </c>
      <c r="D3780" s="17" t="s">
        <v>155</v>
      </c>
      <c r="E3780" s="17"/>
      <c r="F3780" s="17" t="s">
        <v>156</v>
      </c>
      <c r="G3780" s="17"/>
      <c r="H3780" s="17" t="s">
        <v>692</v>
      </c>
      <c r="I3780" s="17"/>
      <c r="J3780" s="17" t="s">
        <v>693</v>
      </c>
      <c r="K3780" s="17"/>
      <c r="L3780" s="17"/>
      <c r="M3780" s="17"/>
      <c r="N3780" s="17"/>
      <c r="O3780" s="17"/>
      <c r="P3780" s="17" t="s">
        <v>1482</v>
      </c>
      <c r="Q3780" s="17"/>
      <c r="R3780" s="25" t="str">
        <f>HYPERLINK("https://ictv.global/taxonomy/taxondetails?taxnode_id=202318418","Dhillonvirus teewinot")</f>
        <v>Dhillonvirus teewinot</v>
      </c>
      <c r="S3780" s="18" t="s">
        <v>30</v>
      </c>
      <c r="T3780" s="18" t="s">
        <v>39914</v>
      </c>
      <c r="U3780" s="18"/>
      <c r="V3780" s="18"/>
      <c r="W3780" s="18" t="s">
        <v>48506</v>
      </c>
      <c r="X3780" s="18" t="s">
        <v>42</v>
      </c>
      <c r="Y3780" s="18" t="s">
        <v>36</v>
      </c>
      <c r="Z3780" s="18" t="s">
        <v>697</v>
      </c>
      <c r="AA3780" s="21" t="str">
        <f>HYPERLINK("https://www.ncbi.nlm.nih.gov/nuccore/OK499993","NCBI Nucleotide")</f>
        <v>NCBI Nucleotide</v>
      </c>
    </row>
    <row r="3781" spans="1:27" x14ac:dyDescent="0.35">
      <c r="A3781">
        <v>1024651</v>
      </c>
      <c r="B3781">
        <v>3757</v>
      </c>
      <c r="C3781">
        <v>1</v>
      </c>
      <c r="D3781" s="17" t="s">
        <v>155</v>
      </c>
      <c r="E3781" s="17"/>
      <c r="F3781" s="17" t="s">
        <v>156</v>
      </c>
      <c r="G3781" s="17"/>
      <c r="H3781" s="17" t="s">
        <v>692</v>
      </c>
      <c r="I3781" s="17"/>
      <c r="J3781" s="17" t="s">
        <v>693</v>
      </c>
      <c r="K3781" s="17"/>
      <c r="L3781" s="17"/>
      <c r="M3781" s="17"/>
      <c r="N3781" s="17"/>
      <c r="O3781" s="17"/>
      <c r="P3781" s="17" t="s">
        <v>1482</v>
      </c>
      <c r="Q3781" s="17"/>
      <c r="R3781" s="25" t="str">
        <f>HYPERLINK("https://ictv.global/taxonomy/taxondetails?taxnode_id=202318428","Dhillonvirus theodorherzl")</f>
        <v>Dhillonvirus theodorherzl</v>
      </c>
      <c r="S3781" s="18" t="s">
        <v>30</v>
      </c>
      <c r="T3781" s="18" t="s">
        <v>39915</v>
      </c>
      <c r="U3781" s="18"/>
      <c r="V3781" s="18"/>
      <c r="W3781" s="18" t="s">
        <v>48507</v>
      </c>
      <c r="X3781" s="18" t="s">
        <v>42</v>
      </c>
      <c r="Y3781" s="18" t="s">
        <v>36</v>
      </c>
      <c r="Z3781" s="18" t="s">
        <v>697</v>
      </c>
      <c r="AA3781" s="21" t="str">
        <f>HYPERLINK("https://www.ncbi.nlm.nih.gov/nuccore/MZ501107","NCBI Nucleotide")</f>
        <v>NCBI Nucleotide</v>
      </c>
    </row>
    <row r="3782" spans="1:27" x14ac:dyDescent="0.35">
      <c r="A3782">
        <v>1024652</v>
      </c>
      <c r="B3782">
        <v>3758</v>
      </c>
      <c r="C3782">
        <v>1</v>
      </c>
      <c r="D3782" s="17" t="s">
        <v>155</v>
      </c>
      <c r="E3782" s="17"/>
      <c r="F3782" s="17" t="s">
        <v>156</v>
      </c>
      <c r="G3782" s="17"/>
      <c r="H3782" s="17" t="s">
        <v>692</v>
      </c>
      <c r="I3782" s="17"/>
      <c r="J3782" s="17" t="s">
        <v>693</v>
      </c>
      <c r="K3782" s="17"/>
      <c r="L3782" s="17"/>
      <c r="M3782" s="17"/>
      <c r="N3782" s="17"/>
      <c r="O3782" s="17"/>
      <c r="P3782" s="17" t="s">
        <v>1482</v>
      </c>
      <c r="Q3782" s="17"/>
      <c r="R3782" s="25" t="str">
        <f>HYPERLINK("https://ictv.global/taxonomy/taxondetails?taxnode_id=202318440","Dhillonvirus UAEM101")</f>
        <v>Dhillonvirus UAEM101</v>
      </c>
      <c r="S3782" s="18" t="s">
        <v>30</v>
      </c>
      <c r="T3782" s="18" t="s">
        <v>39916</v>
      </c>
      <c r="U3782" s="18"/>
      <c r="V3782" s="18"/>
      <c r="W3782" s="18" t="s">
        <v>48508</v>
      </c>
      <c r="X3782" s="18" t="s">
        <v>42</v>
      </c>
      <c r="Y3782" s="18" t="s">
        <v>36</v>
      </c>
      <c r="Z3782" s="18" t="s">
        <v>697</v>
      </c>
      <c r="AA3782" s="21" t="str">
        <f>HYPERLINK("https://www.ncbi.nlm.nih.gov/nuccore/MW862804","NCBI Nucleotide")</f>
        <v>NCBI Nucleotide</v>
      </c>
    </row>
    <row r="3783" spans="1:27" x14ac:dyDescent="0.35">
      <c r="A3783">
        <v>1024653</v>
      </c>
      <c r="B3783">
        <v>3759</v>
      </c>
      <c r="C3783">
        <v>1</v>
      </c>
      <c r="D3783" s="17" t="s">
        <v>155</v>
      </c>
      <c r="E3783" s="17"/>
      <c r="F3783" s="17" t="s">
        <v>156</v>
      </c>
      <c r="G3783" s="17"/>
      <c r="H3783" s="17" t="s">
        <v>692</v>
      </c>
      <c r="I3783" s="17"/>
      <c r="J3783" s="17" t="s">
        <v>693</v>
      </c>
      <c r="K3783" s="17"/>
      <c r="L3783" s="17"/>
      <c r="M3783" s="17"/>
      <c r="N3783" s="17"/>
      <c r="O3783" s="17"/>
      <c r="P3783" s="17" t="s">
        <v>1482</v>
      </c>
      <c r="Q3783" s="17"/>
      <c r="R3783" s="25" t="str">
        <f>HYPERLINK("https://ictv.global/taxonomy/taxondetails?taxnode_id=202318444","Dhillonvirus welsh")</f>
        <v>Dhillonvirus welsh</v>
      </c>
      <c r="S3783" s="18" t="s">
        <v>30</v>
      </c>
      <c r="T3783" s="18" t="s">
        <v>39917</v>
      </c>
      <c r="U3783" s="18"/>
      <c r="V3783" s="18"/>
      <c r="W3783" s="18" t="s">
        <v>48509</v>
      </c>
      <c r="X3783" s="18" t="s">
        <v>42</v>
      </c>
      <c r="Y3783" s="18" t="s">
        <v>36</v>
      </c>
      <c r="Z3783" s="18" t="s">
        <v>697</v>
      </c>
      <c r="AA3783" s="21" t="str">
        <f>HYPERLINK("https://www.ncbi.nlm.nih.gov/nuccore/MN850589","NCBI Nucleotide")</f>
        <v>NCBI Nucleotide</v>
      </c>
    </row>
    <row r="3784" spans="1:27" x14ac:dyDescent="0.35">
      <c r="A3784">
        <v>1024654</v>
      </c>
      <c r="B3784">
        <v>3760</v>
      </c>
      <c r="C3784">
        <v>1</v>
      </c>
      <c r="D3784" s="17" t="s">
        <v>155</v>
      </c>
      <c r="E3784" s="17"/>
      <c r="F3784" s="17" t="s">
        <v>156</v>
      </c>
      <c r="G3784" s="17"/>
      <c r="H3784" s="17" t="s">
        <v>692</v>
      </c>
      <c r="I3784" s="17"/>
      <c r="J3784" s="17" t="s">
        <v>693</v>
      </c>
      <c r="K3784" s="17"/>
      <c r="L3784" s="17"/>
      <c r="M3784" s="17"/>
      <c r="N3784" s="17"/>
      <c r="O3784" s="17"/>
      <c r="P3784" s="17" t="s">
        <v>1482</v>
      </c>
      <c r="Q3784" s="17"/>
      <c r="R3784" s="25" t="str">
        <f>HYPERLINK("https://ictv.global/taxonomy/taxondetails?taxnode_id=202318424","Dhillonvirus WF1")</f>
        <v>Dhillonvirus WF1</v>
      </c>
      <c r="S3784" s="18" t="s">
        <v>30</v>
      </c>
      <c r="T3784" s="18" t="s">
        <v>39918</v>
      </c>
      <c r="U3784" s="18"/>
      <c r="V3784" s="18"/>
      <c r="W3784" s="18" t="s">
        <v>48510</v>
      </c>
      <c r="X3784" s="18" t="s">
        <v>42</v>
      </c>
      <c r="Y3784" s="18" t="s">
        <v>36</v>
      </c>
      <c r="Z3784" s="18" t="s">
        <v>697</v>
      </c>
      <c r="AA3784" s="21" t="str">
        <f>HYPERLINK("https://www.ncbi.nlm.nih.gov/nuccore/MK373791","NCBI Nucleotide")</f>
        <v>NCBI Nucleotide</v>
      </c>
    </row>
    <row r="3785" spans="1:27" x14ac:dyDescent="0.35">
      <c r="A3785">
        <v>1024655</v>
      </c>
      <c r="B3785">
        <v>3761</v>
      </c>
      <c r="C3785">
        <v>1</v>
      </c>
      <c r="D3785" s="17" t="s">
        <v>155</v>
      </c>
      <c r="E3785" s="17"/>
      <c r="F3785" s="17" t="s">
        <v>156</v>
      </c>
      <c r="G3785" s="17"/>
      <c r="H3785" s="17" t="s">
        <v>692</v>
      </c>
      <c r="I3785" s="17"/>
      <c r="J3785" s="17" t="s">
        <v>693</v>
      </c>
      <c r="K3785" s="17"/>
      <c r="L3785" s="17"/>
      <c r="M3785" s="17"/>
      <c r="N3785" s="17"/>
      <c r="O3785" s="17"/>
      <c r="P3785" s="17" t="s">
        <v>1482</v>
      </c>
      <c r="Q3785" s="17"/>
      <c r="R3785" s="25" t="str">
        <f>HYPERLINK("https://ictv.global/taxonomy/taxondetails?taxnode_id=202318426","Dhillonvirus WF5505")</f>
        <v>Dhillonvirus WF5505</v>
      </c>
      <c r="S3785" s="18" t="s">
        <v>30</v>
      </c>
      <c r="T3785" s="18" t="s">
        <v>39919</v>
      </c>
      <c r="U3785" s="18"/>
      <c r="V3785" s="18"/>
      <c r="W3785" s="18" t="s">
        <v>48511</v>
      </c>
      <c r="X3785" s="18" t="s">
        <v>42</v>
      </c>
      <c r="Y3785" s="18" t="s">
        <v>36</v>
      </c>
      <c r="Z3785" s="18" t="s">
        <v>697</v>
      </c>
      <c r="AA3785" s="21" t="str">
        <f>HYPERLINK("https://www.ncbi.nlm.nih.gov/nuccore/MK373790","NCBI Nucleotide")</f>
        <v>NCBI Nucleotide</v>
      </c>
    </row>
    <row r="3786" spans="1:27" x14ac:dyDescent="0.35">
      <c r="A3786">
        <v>1005079</v>
      </c>
      <c r="B3786">
        <v>3762</v>
      </c>
      <c r="C3786">
        <v>1</v>
      </c>
      <c r="D3786" s="17" t="s">
        <v>155</v>
      </c>
      <c r="E3786" s="17"/>
      <c r="F3786" s="17" t="s">
        <v>156</v>
      </c>
      <c r="G3786" s="17"/>
      <c r="H3786" s="17" t="s">
        <v>692</v>
      </c>
      <c r="I3786" s="17"/>
      <c r="J3786" s="17" t="s">
        <v>693</v>
      </c>
      <c r="K3786" s="17"/>
      <c r="L3786" s="17"/>
      <c r="M3786" s="17"/>
      <c r="N3786" s="17"/>
      <c r="O3786" s="17"/>
      <c r="P3786" s="17" t="s">
        <v>1482</v>
      </c>
      <c r="Q3786" s="17"/>
      <c r="R3786" s="25" t="str">
        <f>HYPERLINK("https://ictv.global/taxonomy/taxondetails?taxnode_id=202300987","Dhillonvirus YD2008s")</f>
        <v>Dhillonvirus YD2008s</v>
      </c>
      <c r="S3786" s="18" t="s">
        <v>30</v>
      </c>
      <c r="T3786" s="18" t="s">
        <v>1495</v>
      </c>
      <c r="U3786" s="18"/>
      <c r="V3786" s="18"/>
      <c r="W3786" s="18" t="s">
        <v>1496</v>
      </c>
      <c r="X3786" s="18" t="s">
        <v>42</v>
      </c>
      <c r="Y3786" s="18" t="s">
        <v>36</v>
      </c>
      <c r="Z3786" s="18" t="s">
        <v>697</v>
      </c>
      <c r="AA3786" s="21" t="str">
        <f>HYPERLINK("https://www.ncbi.nlm.nih.gov/nuccore/KM896878","NCBI Nucleotide")</f>
        <v>NCBI Nucleotide</v>
      </c>
    </row>
    <row r="3787" spans="1:27" x14ac:dyDescent="0.35">
      <c r="A3787">
        <v>1024656</v>
      </c>
      <c r="B3787">
        <v>3763</v>
      </c>
      <c r="C3787">
        <v>1</v>
      </c>
      <c r="D3787" s="17" t="s">
        <v>155</v>
      </c>
      <c r="E3787" s="17"/>
      <c r="F3787" s="17" t="s">
        <v>156</v>
      </c>
      <c r="G3787" s="17"/>
      <c r="H3787" s="17" t="s">
        <v>692</v>
      </c>
      <c r="I3787" s="17"/>
      <c r="J3787" s="17" t="s">
        <v>693</v>
      </c>
      <c r="K3787" s="17"/>
      <c r="L3787" s="17"/>
      <c r="M3787" s="17"/>
      <c r="N3787" s="17"/>
      <c r="O3787" s="17"/>
      <c r="P3787" s="17" t="s">
        <v>1482</v>
      </c>
      <c r="Q3787" s="17"/>
      <c r="R3787" s="25" t="str">
        <f>HYPERLINK("https://ictv.global/taxonomy/taxondetails?taxnode_id=202318431","Dhillonvirus Zar3M")</f>
        <v>Dhillonvirus Zar3M</v>
      </c>
      <c r="S3787" s="18" t="s">
        <v>30</v>
      </c>
      <c r="T3787" s="18" t="s">
        <v>39920</v>
      </c>
      <c r="U3787" s="18"/>
      <c r="V3787" s="18"/>
      <c r="W3787" s="18" t="s">
        <v>48512</v>
      </c>
      <c r="X3787" s="18" t="s">
        <v>42</v>
      </c>
      <c r="Y3787" s="18" t="s">
        <v>36</v>
      </c>
      <c r="Z3787" s="18" t="s">
        <v>697</v>
      </c>
      <c r="AA3787" s="21" t="str">
        <f>HYPERLINK("https://www.ncbi.nlm.nih.gov/nuccore/OM262541","NCBI Nucleotide")</f>
        <v>NCBI Nucleotide</v>
      </c>
    </row>
    <row r="3788" spans="1:27" x14ac:dyDescent="0.35">
      <c r="A3788">
        <v>1024657</v>
      </c>
      <c r="B3788">
        <v>3764</v>
      </c>
      <c r="C3788">
        <v>1</v>
      </c>
      <c r="D3788" s="17" t="s">
        <v>155</v>
      </c>
      <c r="E3788" s="17"/>
      <c r="F3788" s="17" t="s">
        <v>156</v>
      </c>
      <c r="G3788" s="17"/>
      <c r="H3788" s="17" t="s">
        <v>692</v>
      </c>
      <c r="I3788" s="17"/>
      <c r="J3788" s="17" t="s">
        <v>693</v>
      </c>
      <c r="K3788" s="17"/>
      <c r="L3788" s="17"/>
      <c r="M3788" s="17"/>
      <c r="N3788" s="17"/>
      <c r="O3788" s="17"/>
      <c r="P3788" s="17" t="s">
        <v>1482</v>
      </c>
      <c r="Q3788" s="17"/>
      <c r="R3788" s="25" t="str">
        <f>HYPERLINK("https://ictv.global/taxonomy/taxondetails?taxnode_id=202318441","Dhillonvirus ZCEC10")</f>
        <v>Dhillonvirus ZCEC10</v>
      </c>
      <c r="S3788" s="18" t="s">
        <v>30</v>
      </c>
      <c r="T3788" s="18" t="s">
        <v>39921</v>
      </c>
      <c r="U3788" s="18"/>
      <c r="V3788" s="18"/>
      <c r="W3788" s="18" t="s">
        <v>48513</v>
      </c>
      <c r="X3788" s="18" t="s">
        <v>42</v>
      </c>
      <c r="Y3788" s="18" t="s">
        <v>36</v>
      </c>
      <c r="Z3788" s="18" t="s">
        <v>697</v>
      </c>
      <c r="AA3788" s="21" t="str">
        <f>HYPERLINK("https://www.ncbi.nlm.nih.gov/nuccore/OK310514","NCBI Nucleotide")</f>
        <v>NCBI Nucleotide</v>
      </c>
    </row>
    <row r="3789" spans="1:27" x14ac:dyDescent="0.35">
      <c r="A3789">
        <v>1005080</v>
      </c>
      <c r="B3789">
        <v>3765</v>
      </c>
      <c r="C3789">
        <v>1</v>
      </c>
      <c r="D3789" s="17" t="s">
        <v>155</v>
      </c>
      <c r="E3789" s="17"/>
      <c r="F3789" s="17" t="s">
        <v>156</v>
      </c>
      <c r="G3789" s="17"/>
      <c r="H3789" s="17" t="s">
        <v>692</v>
      </c>
      <c r="I3789" s="17"/>
      <c r="J3789" s="17" t="s">
        <v>693</v>
      </c>
      <c r="K3789" s="17"/>
      <c r="L3789" s="17"/>
      <c r="M3789" s="17"/>
      <c r="N3789" s="17"/>
      <c r="O3789" s="17"/>
      <c r="P3789" s="17" t="s">
        <v>1497</v>
      </c>
      <c r="Q3789" s="17"/>
      <c r="R3789" s="25" t="str">
        <f>HYPERLINK("https://ictv.global/taxonomy/taxondetails?taxnode_id=202309969","Dibbivirus AAM37")</f>
        <v>Dibbivirus AAM37</v>
      </c>
      <c r="S3789" s="18" t="s">
        <v>30</v>
      </c>
      <c r="T3789" s="18" t="s">
        <v>1498</v>
      </c>
      <c r="U3789" s="18"/>
      <c r="V3789" s="18"/>
      <c r="W3789" s="18" t="s">
        <v>1499</v>
      </c>
      <c r="X3789" s="18" t="s">
        <v>42</v>
      </c>
      <c r="Y3789" s="18" t="s">
        <v>36</v>
      </c>
      <c r="Z3789" s="18" t="s">
        <v>697</v>
      </c>
      <c r="AA3789" s="21" t="str">
        <f>HYPERLINK("https://www.ncbi.nlm.nih.gov/nuccore/MK798143","NCBI Nucleotide")</f>
        <v>NCBI Nucleotide</v>
      </c>
    </row>
    <row r="3790" spans="1:27" x14ac:dyDescent="0.35">
      <c r="A3790">
        <v>1005081</v>
      </c>
      <c r="B3790">
        <v>3766</v>
      </c>
      <c r="C3790">
        <v>1</v>
      </c>
      <c r="D3790" s="17" t="s">
        <v>155</v>
      </c>
      <c r="E3790" s="17"/>
      <c r="F3790" s="17" t="s">
        <v>156</v>
      </c>
      <c r="G3790" s="17"/>
      <c r="H3790" s="17" t="s">
        <v>692</v>
      </c>
      <c r="I3790" s="17"/>
      <c r="J3790" s="17" t="s">
        <v>693</v>
      </c>
      <c r="K3790" s="17"/>
      <c r="L3790" s="17"/>
      <c r="M3790" s="17"/>
      <c r="N3790" s="17"/>
      <c r="O3790" s="17"/>
      <c r="P3790" s="17" t="s">
        <v>1497</v>
      </c>
      <c r="Q3790" s="17"/>
      <c r="R3790" s="25" t="str">
        <f>HYPERLINK("https://ictv.global/taxonomy/taxondetails?taxnode_id=202309967","Dibbivirus DIBBI")</f>
        <v>Dibbivirus DIBBI</v>
      </c>
      <c r="S3790" s="18" t="s">
        <v>30</v>
      </c>
      <c r="T3790" s="18" t="s">
        <v>1500</v>
      </c>
      <c r="U3790" s="18"/>
      <c r="V3790" s="18"/>
      <c r="W3790" s="18" t="s">
        <v>1501</v>
      </c>
      <c r="X3790" s="18" t="s">
        <v>42</v>
      </c>
      <c r="Y3790" s="18" t="s">
        <v>36</v>
      </c>
      <c r="Z3790" s="18" t="s">
        <v>697</v>
      </c>
      <c r="AA3790" s="21" t="str">
        <f>HYPERLINK("https://www.ncbi.nlm.nih.gov/nuccore/JN022534","NCBI Nucleotide")</f>
        <v>NCBI Nucleotide</v>
      </c>
    </row>
    <row r="3791" spans="1:27" x14ac:dyDescent="0.35">
      <c r="A3791">
        <v>1005082</v>
      </c>
      <c r="B3791">
        <v>3767</v>
      </c>
      <c r="C3791">
        <v>1</v>
      </c>
      <c r="D3791" s="17" t="s">
        <v>155</v>
      </c>
      <c r="E3791" s="17"/>
      <c r="F3791" s="17" t="s">
        <v>156</v>
      </c>
      <c r="G3791" s="17"/>
      <c r="H3791" s="17" t="s">
        <v>692</v>
      </c>
      <c r="I3791" s="17"/>
      <c r="J3791" s="17" t="s">
        <v>693</v>
      </c>
      <c r="K3791" s="17"/>
      <c r="L3791" s="17"/>
      <c r="M3791" s="17"/>
      <c r="N3791" s="17"/>
      <c r="O3791" s="17"/>
      <c r="P3791" s="17" t="s">
        <v>1497</v>
      </c>
      <c r="Q3791" s="17"/>
      <c r="R3791" s="25" t="str">
        <f>HYPERLINK("https://ictv.global/taxonomy/taxondetails?taxnode_id=202309968","Dibbivirus PSKM")</f>
        <v>Dibbivirus PSKM</v>
      </c>
      <c r="S3791" s="18" t="s">
        <v>30</v>
      </c>
      <c r="T3791" s="18" t="s">
        <v>1502</v>
      </c>
      <c r="U3791" s="18"/>
      <c r="V3791" s="18"/>
      <c r="W3791" s="18" t="s">
        <v>1503</v>
      </c>
      <c r="X3791" s="18" t="s">
        <v>42</v>
      </c>
      <c r="Y3791" s="18" t="s">
        <v>36</v>
      </c>
      <c r="Z3791" s="18" t="s">
        <v>697</v>
      </c>
      <c r="AA3791" s="21" t="str">
        <f>HYPERLINK("https://www.ncbi.nlm.nih.gov/nuccore/MK798144","NCBI Nucleotide")</f>
        <v>NCBI Nucleotide</v>
      </c>
    </row>
    <row r="3792" spans="1:27" x14ac:dyDescent="0.35">
      <c r="A3792">
        <v>1005083</v>
      </c>
      <c r="B3792">
        <v>3768</v>
      </c>
      <c r="C3792">
        <v>1</v>
      </c>
      <c r="D3792" s="17" t="s">
        <v>155</v>
      </c>
      <c r="E3792" s="17"/>
      <c r="F3792" s="17" t="s">
        <v>156</v>
      </c>
      <c r="G3792" s="17"/>
      <c r="H3792" s="17" t="s">
        <v>692</v>
      </c>
      <c r="I3792" s="17"/>
      <c r="J3792" s="17" t="s">
        <v>693</v>
      </c>
      <c r="K3792" s="17"/>
      <c r="L3792" s="17"/>
      <c r="M3792" s="17"/>
      <c r="N3792" s="17"/>
      <c r="O3792" s="17"/>
      <c r="P3792" s="17" t="s">
        <v>1504</v>
      </c>
      <c r="Q3792" s="17"/>
      <c r="R3792" s="25" t="str">
        <f>HYPERLINK("https://ictv.global/taxonomy/taxondetails?taxnode_id=202311658","Dinavirus dina")</f>
        <v>Dinavirus dina</v>
      </c>
      <c r="S3792" s="18" t="s">
        <v>30</v>
      </c>
      <c r="T3792" s="18" t="s">
        <v>1505</v>
      </c>
      <c r="U3792" s="18" t="s">
        <v>1506</v>
      </c>
      <c r="V3792" s="18"/>
      <c r="W3792" s="18" t="s">
        <v>1507</v>
      </c>
      <c r="X3792" s="18" t="s">
        <v>42</v>
      </c>
      <c r="Y3792" s="18" t="s">
        <v>36</v>
      </c>
      <c r="Z3792" s="18" t="s">
        <v>697</v>
      </c>
      <c r="AA3792" s="21" t="str">
        <f>HYPERLINK("https://www.ncbi.nlm.nih.gov/nuccore/MT740734","NCBI Nucleotide")</f>
        <v>NCBI Nucleotide</v>
      </c>
    </row>
    <row r="3793" spans="1:27" x14ac:dyDescent="0.35">
      <c r="A3793">
        <v>1005084</v>
      </c>
      <c r="B3793">
        <v>3769</v>
      </c>
      <c r="C3793">
        <v>1</v>
      </c>
      <c r="D3793" s="17" t="s">
        <v>155</v>
      </c>
      <c r="E3793" s="17"/>
      <c r="F3793" s="17" t="s">
        <v>156</v>
      </c>
      <c r="G3793" s="17"/>
      <c r="H3793" s="17" t="s">
        <v>692</v>
      </c>
      <c r="I3793" s="17"/>
      <c r="J3793" s="17" t="s">
        <v>693</v>
      </c>
      <c r="K3793" s="17"/>
      <c r="L3793" s="17"/>
      <c r="M3793" s="17"/>
      <c r="N3793" s="17"/>
      <c r="O3793" s="17"/>
      <c r="P3793" s="17" t="s">
        <v>1508</v>
      </c>
      <c r="Q3793" s="17"/>
      <c r="R3793" s="25" t="str">
        <f>HYPERLINK("https://ictv.global/taxonomy/taxondetails?taxnode_id=202306737","Dismasvirus dismas")</f>
        <v>Dismasvirus dismas</v>
      </c>
      <c r="S3793" s="18" t="s">
        <v>30</v>
      </c>
      <c r="T3793" s="18" t="s">
        <v>1509</v>
      </c>
      <c r="U3793" s="18"/>
      <c r="V3793" s="18"/>
      <c r="W3793" s="18" t="s">
        <v>1510</v>
      </c>
      <c r="X3793" s="18" t="s">
        <v>42</v>
      </c>
      <c r="Y3793" s="18" t="s">
        <v>36</v>
      </c>
      <c r="Z3793" s="18" t="s">
        <v>697</v>
      </c>
      <c r="AA3793" s="21" t="str">
        <f>HYPERLINK("https://www.ncbi.nlm.nih.gov/nuccore/MG670586","NCBI Nucleotide")</f>
        <v>NCBI Nucleotide</v>
      </c>
    </row>
    <row r="3794" spans="1:27" x14ac:dyDescent="0.35">
      <c r="A3794">
        <v>1024498</v>
      </c>
      <c r="B3794">
        <v>3770</v>
      </c>
      <c r="C3794">
        <v>1</v>
      </c>
      <c r="D3794" s="17" t="s">
        <v>155</v>
      </c>
      <c r="E3794" s="17"/>
      <c r="F3794" s="17" t="s">
        <v>156</v>
      </c>
      <c r="G3794" s="17"/>
      <c r="H3794" s="17" t="s">
        <v>692</v>
      </c>
      <c r="I3794" s="17"/>
      <c r="J3794" s="17" t="s">
        <v>693</v>
      </c>
      <c r="K3794" s="17"/>
      <c r="L3794" s="17"/>
      <c r="M3794" s="17"/>
      <c r="N3794" s="17"/>
      <c r="O3794" s="17"/>
      <c r="P3794" s="17" t="s">
        <v>39922</v>
      </c>
      <c r="Q3794" s="17"/>
      <c r="R3794" s="25" t="str">
        <f>HYPERLINK("https://ictv.global/taxonomy/taxondetails?taxnode_id=202317772","Dolmabahcevirus turkishdelight")</f>
        <v>Dolmabahcevirus turkishdelight</v>
      </c>
      <c r="S3794" s="18" t="s">
        <v>30</v>
      </c>
      <c r="T3794" s="18" t="s">
        <v>39923</v>
      </c>
      <c r="U3794" s="18"/>
      <c r="V3794" s="18"/>
      <c r="W3794" s="18" t="s">
        <v>48514</v>
      </c>
      <c r="X3794" s="18" t="s">
        <v>42</v>
      </c>
      <c r="Y3794" s="18" t="s">
        <v>36</v>
      </c>
      <c r="Z3794" s="18" t="s">
        <v>697</v>
      </c>
      <c r="AA3794" s="21" t="str">
        <f>HYPERLINK("https://www.ncbi.nlm.nih.gov/nuccore/MW291017","NCBI Nucleotide")</f>
        <v>NCBI Nucleotide</v>
      </c>
    </row>
    <row r="3795" spans="1:27" x14ac:dyDescent="0.35">
      <c r="A3795">
        <v>1005085</v>
      </c>
      <c r="B3795">
        <v>3771</v>
      </c>
      <c r="C3795">
        <v>1</v>
      </c>
      <c r="D3795" s="17" t="s">
        <v>155</v>
      </c>
      <c r="E3795" s="17"/>
      <c r="F3795" s="17" t="s">
        <v>156</v>
      </c>
      <c r="G3795" s="17"/>
      <c r="H3795" s="17" t="s">
        <v>692</v>
      </c>
      <c r="I3795" s="17"/>
      <c r="J3795" s="17" t="s">
        <v>693</v>
      </c>
      <c r="K3795" s="17"/>
      <c r="L3795" s="17"/>
      <c r="M3795" s="17"/>
      <c r="N3795" s="17"/>
      <c r="O3795" s="17"/>
      <c r="P3795" s="17" t="s">
        <v>1511</v>
      </c>
      <c r="Q3795" s="17"/>
      <c r="R3795" s="25" t="str">
        <f>HYPERLINK("https://ictv.global/taxonomy/taxondetails?taxnode_id=202300513","Donellivirus gee")</f>
        <v>Donellivirus gee</v>
      </c>
      <c r="S3795" s="18" t="s">
        <v>30</v>
      </c>
      <c r="T3795" s="18" t="s">
        <v>1512</v>
      </c>
      <c r="U3795" s="18"/>
      <c r="V3795" s="18"/>
      <c r="W3795" s="18" t="s">
        <v>1513</v>
      </c>
      <c r="X3795" s="18" t="s">
        <v>42</v>
      </c>
      <c r="Y3795" s="18" t="s">
        <v>36</v>
      </c>
      <c r="Z3795" s="18" t="s">
        <v>697</v>
      </c>
      <c r="AA3795" s="21" t="str">
        <f>HYPERLINK("https://www.ncbi.nlm.nih.gov/nuccore/JN638751","NCBI Nucleotide")</f>
        <v>NCBI Nucleotide</v>
      </c>
    </row>
    <row r="3796" spans="1:27" x14ac:dyDescent="0.35">
      <c r="A3796">
        <v>1005086</v>
      </c>
      <c r="B3796">
        <v>3772</v>
      </c>
      <c r="C3796">
        <v>1</v>
      </c>
      <c r="D3796" s="17" t="s">
        <v>155</v>
      </c>
      <c r="E3796" s="17"/>
      <c r="F3796" s="17" t="s">
        <v>156</v>
      </c>
      <c r="G3796" s="17"/>
      <c r="H3796" s="17" t="s">
        <v>692</v>
      </c>
      <c r="I3796" s="17"/>
      <c r="J3796" s="17" t="s">
        <v>693</v>
      </c>
      <c r="K3796" s="17"/>
      <c r="L3796" s="17"/>
      <c r="M3796" s="17"/>
      <c r="N3796" s="17"/>
      <c r="O3796" s="17"/>
      <c r="P3796" s="17" t="s">
        <v>1514</v>
      </c>
      <c r="Q3796" s="17"/>
      <c r="R3796" s="25" t="str">
        <f>HYPERLINK("https://ictv.global/taxonomy/taxondetails?taxnode_id=202305543","Doucettevirus B22")</f>
        <v>Doucettevirus B22</v>
      </c>
      <c r="S3796" s="18" t="s">
        <v>30</v>
      </c>
      <c r="T3796" s="18" t="s">
        <v>1515</v>
      </c>
      <c r="U3796" s="18"/>
      <c r="V3796" s="18"/>
      <c r="W3796" s="18" t="s">
        <v>1516</v>
      </c>
      <c r="X3796" s="18" t="s">
        <v>42</v>
      </c>
      <c r="Y3796" s="18" t="s">
        <v>36</v>
      </c>
      <c r="Z3796" s="18" t="s">
        <v>697</v>
      </c>
      <c r="AA3796" s="21" t="str">
        <f>HYPERLINK("https://www.ncbi.nlm.nih.gov/nuccore/KX620750","NCBI Nucleotide")</f>
        <v>NCBI Nucleotide</v>
      </c>
    </row>
    <row r="3797" spans="1:27" x14ac:dyDescent="0.35">
      <c r="A3797">
        <v>1005087</v>
      </c>
      <c r="B3797">
        <v>3773</v>
      </c>
      <c r="C3797">
        <v>1</v>
      </c>
      <c r="D3797" s="17" t="s">
        <v>155</v>
      </c>
      <c r="E3797" s="17"/>
      <c r="F3797" s="17" t="s">
        <v>156</v>
      </c>
      <c r="G3797" s="17"/>
      <c r="H3797" s="17" t="s">
        <v>692</v>
      </c>
      <c r="I3797" s="17"/>
      <c r="J3797" s="17" t="s">
        <v>693</v>
      </c>
      <c r="K3797" s="17"/>
      <c r="L3797" s="17"/>
      <c r="M3797" s="17"/>
      <c r="N3797" s="17"/>
      <c r="O3797" s="17"/>
      <c r="P3797" s="17" t="s">
        <v>1514</v>
      </c>
      <c r="Q3797" s="17"/>
      <c r="R3797" s="25" t="str">
        <f>HYPERLINK("https://ictv.global/taxonomy/taxondetails?taxnode_id=202305544","Doucettevirus doucette")</f>
        <v>Doucettevirus doucette</v>
      </c>
      <c r="S3797" s="18" t="s">
        <v>30</v>
      </c>
      <c r="T3797" s="18" t="s">
        <v>1517</v>
      </c>
      <c r="U3797" s="18"/>
      <c r="V3797" s="18"/>
      <c r="W3797" s="18" t="s">
        <v>1518</v>
      </c>
      <c r="X3797" s="18" t="s">
        <v>42</v>
      </c>
      <c r="Y3797" s="18" t="s">
        <v>36</v>
      </c>
      <c r="Z3797" s="18" t="s">
        <v>697</v>
      </c>
      <c r="AA3797" s="21" t="str">
        <f>HYPERLINK("https://www.ncbi.nlm.nih.gov/nuccore/KX620751","NCBI Nucleotide")</f>
        <v>NCBI Nucleotide</v>
      </c>
    </row>
    <row r="3798" spans="1:27" x14ac:dyDescent="0.35">
      <c r="A3798">
        <v>1005088</v>
      </c>
      <c r="B3798">
        <v>3774</v>
      </c>
      <c r="C3798">
        <v>1</v>
      </c>
      <c r="D3798" s="17" t="s">
        <v>155</v>
      </c>
      <c r="E3798" s="17"/>
      <c r="F3798" s="17" t="s">
        <v>156</v>
      </c>
      <c r="G3798" s="17"/>
      <c r="H3798" s="17" t="s">
        <v>692</v>
      </c>
      <c r="I3798" s="17"/>
      <c r="J3798" s="17" t="s">
        <v>693</v>
      </c>
      <c r="K3798" s="17"/>
      <c r="L3798" s="17"/>
      <c r="M3798" s="17"/>
      <c r="N3798" s="17"/>
      <c r="O3798" s="17"/>
      <c r="P3798" s="17" t="s">
        <v>1514</v>
      </c>
      <c r="Q3798" s="17"/>
      <c r="R3798" s="25" t="str">
        <f>HYPERLINK("https://ictv.global/taxonomy/taxondetails?taxnode_id=202305545","Doucettevirus E6")</f>
        <v>Doucettevirus E6</v>
      </c>
      <c r="S3798" s="18" t="s">
        <v>30</v>
      </c>
      <c r="T3798" s="18" t="s">
        <v>1519</v>
      </c>
      <c r="U3798" s="18"/>
      <c r="V3798" s="18"/>
      <c r="W3798" s="18" t="s">
        <v>1520</v>
      </c>
      <c r="X3798" s="18" t="s">
        <v>42</v>
      </c>
      <c r="Y3798" s="18" t="s">
        <v>36</v>
      </c>
      <c r="Z3798" s="18" t="s">
        <v>697</v>
      </c>
      <c r="AA3798" s="21" t="str">
        <f>HYPERLINK("https://www.ncbi.nlm.nih.gov/nuccore/KX620753","NCBI Nucleotide")</f>
        <v>NCBI Nucleotide</v>
      </c>
    </row>
    <row r="3799" spans="1:27" x14ac:dyDescent="0.35">
      <c r="A3799">
        <v>1005089</v>
      </c>
      <c r="B3799">
        <v>3775</v>
      </c>
      <c r="C3799">
        <v>1</v>
      </c>
      <c r="D3799" s="17" t="s">
        <v>155</v>
      </c>
      <c r="E3799" s="17"/>
      <c r="F3799" s="17" t="s">
        <v>156</v>
      </c>
      <c r="G3799" s="17"/>
      <c r="H3799" s="17" t="s">
        <v>692</v>
      </c>
      <c r="I3799" s="17"/>
      <c r="J3799" s="17" t="s">
        <v>693</v>
      </c>
      <c r="K3799" s="17"/>
      <c r="L3799" s="17"/>
      <c r="M3799" s="17"/>
      <c r="N3799" s="17"/>
      <c r="O3799" s="17"/>
      <c r="P3799" s="17" t="s">
        <v>1514</v>
      </c>
      <c r="Q3799" s="17"/>
      <c r="R3799" s="25" t="str">
        <f>HYPERLINK("https://ictv.global/taxonomy/taxondetails?taxnode_id=202305546","Doucettevirus G4")</f>
        <v>Doucettevirus G4</v>
      </c>
      <c r="S3799" s="18" t="s">
        <v>30</v>
      </c>
      <c r="T3799" s="18" t="s">
        <v>1521</v>
      </c>
      <c r="U3799" s="18"/>
      <c r="V3799" s="18"/>
      <c r="W3799" s="18" t="s">
        <v>1522</v>
      </c>
      <c r="X3799" s="18" t="s">
        <v>42</v>
      </c>
      <c r="Y3799" s="18" t="s">
        <v>36</v>
      </c>
      <c r="Z3799" s="18" t="s">
        <v>697</v>
      </c>
      <c r="AA3799" s="21" t="str">
        <f>HYPERLINK("https://www.ncbi.nlm.nih.gov/nuccore/KX620754","NCBI Nucleotide")</f>
        <v>NCBI Nucleotide</v>
      </c>
    </row>
    <row r="3800" spans="1:27" x14ac:dyDescent="0.35">
      <c r="A3800">
        <v>1005090</v>
      </c>
      <c r="B3800">
        <v>3776</v>
      </c>
      <c r="C3800">
        <v>1</v>
      </c>
      <c r="D3800" s="17" t="s">
        <v>155</v>
      </c>
      <c r="E3800" s="17"/>
      <c r="F3800" s="17" t="s">
        <v>156</v>
      </c>
      <c r="G3800" s="17"/>
      <c r="H3800" s="17" t="s">
        <v>692</v>
      </c>
      <c r="I3800" s="17"/>
      <c r="J3800" s="17" t="s">
        <v>693</v>
      </c>
      <c r="K3800" s="17"/>
      <c r="L3800" s="17"/>
      <c r="M3800" s="17"/>
      <c r="N3800" s="17"/>
      <c r="O3800" s="17"/>
      <c r="P3800" s="17" t="s">
        <v>1523</v>
      </c>
      <c r="Q3800" s="17"/>
      <c r="R3800" s="25" t="str">
        <f>HYPERLINK("https://ictv.global/taxonomy/taxondetails?taxnode_id=202314877","Dubuvirus dubu")</f>
        <v>Dubuvirus dubu</v>
      </c>
      <c r="S3800" s="18" t="s">
        <v>30</v>
      </c>
      <c r="T3800" s="18" t="s">
        <v>1524</v>
      </c>
      <c r="U3800" s="18"/>
      <c r="V3800" s="18"/>
      <c r="W3800" s="18" t="s">
        <v>1525</v>
      </c>
      <c r="X3800" s="18" t="s">
        <v>42</v>
      </c>
      <c r="Y3800" s="18" t="s">
        <v>36</v>
      </c>
      <c r="Z3800" s="18" t="s">
        <v>697</v>
      </c>
      <c r="AA3800" s="21" t="str">
        <f>HYPERLINK("https://www.ncbi.nlm.nih.gov/nuccore/MK937595","NCBI Nucleotide")</f>
        <v>NCBI Nucleotide</v>
      </c>
    </row>
    <row r="3801" spans="1:27" x14ac:dyDescent="0.35">
      <c r="A3801">
        <v>1005091</v>
      </c>
      <c r="B3801">
        <v>3777</v>
      </c>
      <c r="C3801">
        <v>1</v>
      </c>
      <c r="D3801" s="17" t="s">
        <v>155</v>
      </c>
      <c r="E3801" s="17"/>
      <c r="F3801" s="17" t="s">
        <v>156</v>
      </c>
      <c r="G3801" s="17"/>
      <c r="H3801" s="17" t="s">
        <v>692</v>
      </c>
      <c r="I3801" s="17"/>
      <c r="J3801" s="17" t="s">
        <v>693</v>
      </c>
      <c r="K3801" s="17"/>
      <c r="L3801" s="17"/>
      <c r="M3801" s="17"/>
      <c r="N3801" s="17"/>
      <c r="O3801" s="17"/>
      <c r="P3801" s="17" t="s">
        <v>1526</v>
      </c>
      <c r="Q3801" s="17"/>
      <c r="R3801" s="25" t="str">
        <f>HYPERLINK("https://ictv.global/taxonomy/taxondetails?taxnode_id=202300603","Dybvigvirus Av1")</f>
        <v>Dybvigvirus Av1</v>
      </c>
      <c r="S3801" s="18" t="s">
        <v>30</v>
      </c>
      <c r="T3801" s="18" t="s">
        <v>1527</v>
      </c>
      <c r="U3801" s="18"/>
      <c r="V3801" s="18"/>
      <c r="W3801" s="18" t="s">
        <v>1528</v>
      </c>
      <c r="X3801" s="18" t="s">
        <v>42</v>
      </c>
      <c r="Y3801" s="18" t="s">
        <v>36</v>
      </c>
      <c r="Z3801" s="18" t="s">
        <v>697</v>
      </c>
      <c r="AA3801" s="21" t="str">
        <f>HYPERLINK("https://www.ncbi.nlm.nih.gov/nuccore/DQ123818","NCBI Nucleotide")</f>
        <v>NCBI Nucleotide</v>
      </c>
    </row>
    <row r="3802" spans="1:27" x14ac:dyDescent="0.35">
      <c r="A3802">
        <v>1005092</v>
      </c>
      <c r="B3802">
        <v>3778</v>
      </c>
      <c r="C3802">
        <v>1</v>
      </c>
      <c r="D3802" s="17" t="s">
        <v>155</v>
      </c>
      <c r="E3802" s="17"/>
      <c r="F3802" s="17" t="s">
        <v>156</v>
      </c>
      <c r="G3802" s="17"/>
      <c r="H3802" s="17" t="s">
        <v>692</v>
      </c>
      <c r="I3802" s="17"/>
      <c r="J3802" s="17" t="s">
        <v>693</v>
      </c>
      <c r="K3802" s="17"/>
      <c r="L3802" s="17"/>
      <c r="M3802" s="17"/>
      <c r="N3802" s="17"/>
      <c r="O3802" s="17"/>
      <c r="P3802" s="17" t="s">
        <v>1529</v>
      </c>
      <c r="Q3802" s="17"/>
      <c r="R3802" s="25" t="str">
        <f>HYPERLINK("https://ictv.global/taxonomy/taxondetails?taxnode_id=202313522","Eagleeyevirus eagleeye")</f>
        <v>Eagleeyevirus eagleeye</v>
      </c>
      <c r="S3802" s="18" t="s">
        <v>30</v>
      </c>
      <c r="T3802" s="18" t="s">
        <v>1530</v>
      </c>
      <c r="U3802" s="18"/>
      <c r="V3802" s="18"/>
      <c r="W3802" s="18" t="s">
        <v>1531</v>
      </c>
      <c r="X3802" s="18" t="s">
        <v>42</v>
      </c>
      <c r="Y3802" s="18" t="s">
        <v>36</v>
      </c>
      <c r="Z3802" s="18" t="s">
        <v>697</v>
      </c>
      <c r="AA3802" s="21" t="str">
        <f>HYPERLINK("https://www.ncbi.nlm.nih.gov/nuccore/KF861510","NCBI Nucleotide")</f>
        <v>NCBI Nucleotide</v>
      </c>
    </row>
    <row r="3803" spans="1:27" x14ac:dyDescent="0.35">
      <c r="A3803">
        <v>1005093</v>
      </c>
      <c r="B3803">
        <v>3779</v>
      </c>
      <c r="C3803">
        <v>1</v>
      </c>
      <c r="D3803" s="17" t="s">
        <v>155</v>
      </c>
      <c r="E3803" s="17"/>
      <c r="F3803" s="17" t="s">
        <v>156</v>
      </c>
      <c r="G3803" s="17"/>
      <c r="H3803" s="17" t="s">
        <v>692</v>
      </c>
      <c r="I3803" s="17"/>
      <c r="J3803" s="17" t="s">
        <v>693</v>
      </c>
      <c r="K3803" s="17"/>
      <c r="L3803" s="17"/>
      <c r="M3803" s="17"/>
      <c r="N3803" s="17"/>
      <c r="O3803" s="17"/>
      <c r="P3803" s="17" t="s">
        <v>1532</v>
      </c>
      <c r="Q3803" s="17"/>
      <c r="R3803" s="25" t="str">
        <f>HYPERLINK("https://ictv.global/taxonomy/taxondetails?taxnode_id=202307839","Edenvirus eden")</f>
        <v>Edenvirus eden</v>
      </c>
      <c r="S3803" s="18" t="s">
        <v>30</v>
      </c>
      <c r="T3803" s="18" t="s">
        <v>1533</v>
      </c>
      <c r="U3803" s="18"/>
      <c r="V3803" s="18"/>
      <c r="W3803" s="18" t="s">
        <v>1534</v>
      </c>
      <c r="X3803" s="18" t="s">
        <v>42</v>
      </c>
      <c r="Y3803" s="18" t="s">
        <v>36</v>
      </c>
      <c r="Z3803" s="18" t="s">
        <v>697</v>
      </c>
      <c r="AA3803" s="21" t="str">
        <f>HYPERLINK("https://www.ncbi.nlm.nih.gov/nuccore/MH509447","NCBI Nucleotide")</f>
        <v>NCBI Nucleotide</v>
      </c>
    </row>
    <row r="3804" spans="1:27" x14ac:dyDescent="0.35">
      <c r="A3804">
        <v>1024543</v>
      </c>
      <c r="B3804">
        <v>3780</v>
      </c>
      <c r="C3804">
        <v>1</v>
      </c>
      <c r="D3804" s="17" t="s">
        <v>155</v>
      </c>
      <c r="E3804" s="17"/>
      <c r="F3804" s="17" t="s">
        <v>156</v>
      </c>
      <c r="G3804" s="17"/>
      <c r="H3804" s="17" t="s">
        <v>692</v>
      </c>
      <c r="I3804" s="17"/>
      <c r="J3804" s="17" t="s">
        <v>693</v>
      </c>
      <c r="K3804" s="17"/>
      <c r="L3804" s="17"/>
      <c r="M3804" s="17"/>
      <c r="N3804" s="17"/>
      <c r="O3804" s="17"/>
      <c r="P3804" s="17" t="s">
        <v>39924</v>
      </c>
      <c r="Q3804" s="17"/>
      <c r="R3804" s="25" t="str">
        <f>HYPERLINK("https://ictv.global/taxonomy/taxondetails?taxnode_id=202319222","Efemquintavirus Efm5")</f>
        <v>Efemquintavirus Efm5</v>
      </c>
      <c r="S3804" s="18" t="s">
        <v>30</v>
      </c>
      <c r="T3804" s="18" t="s">
        <v>39925</v>
      </c>
      <c r="U3804" s="18"/>
      <c r="V3804" s="18"/>
      <c r="W3804" s="18" t="s">
        <v>39926</v>
      </c>
      <c r="X3804" s="18" t="s">
        <v>42</v>
      </c>
      <c r="Y3804" s="18" t="s">
        <v>36</v>
      </c>
      <c r="Z3804" s="18" t="s">
        <v>697</v>
      </c>
      <c r="AA3804" s="21" t="str">
        <f>HYPERLINK("https://www.ncbi.nlm.nih.gov/nuccore/KT588072","NCBI Nucleotide")</f>
        <v>NCBI Nucleotide</v>
      </c>
    </row>
    <row r="3805" spans="1:27" x14ac:dyDescent="0.35">
      <c r="A3805">
        <v>1024544</v>
      </c>
      <c r="B3805">
        <v>3781</v>
      </c>
      <c r="C3805">
        <v>1</v>
      </c>
      <c r="D3805" s="17" t="s">
        <v>155</v>
      </c>
      <c r="E3805" s="17"/>
      <c r="F3805" s="17" t="s">
        <v>156</v>
      </c>
      <c r="G3805" s="17"/>
      <c r="H3805" s="17" t="s">
        <v>692</v>
      </c>
      <c r="I3805" s="17"/>
      <c r="J3805" s="17" t="s">
        <v>693</v>
      </c>
      <c r="K3805" s="17"/>
      <c r="L3805" s="17"/>
      <c r="M3805" s="17"/>
      <c r="N3805" s="17"/>
      <c r="O3805" s="17"/>
      <c r="P3805" s="17" t="s">
        <v>39927</v>
      </c>
      <c r="Q3805" s="17"/>
      <c r="R3805" s="25" t="str">
        <f>HYPERLINK("https://ictv.global/taxonomy/taxondetails?taxnode_id=202319218","Efemunavirus Efm1")</f>
        <v>Efemunavirus Efm1</v>
      </c>
      <c r="S3805" s="18" t="s">
        <v>30</v>
      </c>
      <c r="T3805" s="18" t="s">
        <v>39928</v>
      </c>
      <c r="U3805" s="18"/>
      <c r="V3805" s="18"/>
      <c r="W3805" s="18" t="s">
        <v>39929</v>
      </c>
      <c r="X3805" s="18" t="s">
        <v>42</v>
      </c>
      <c r="Y3805" s="18" t="s">
        <v>36</v>
      </c>
      <c r="Z3805" s="18" t="s">
        <v>697</v>
      </c>
      <c r="AA3805" s="21" t="str">
        <f>HYPERLINK("https://www.ncbi.nlm.nih.gov/nuccore/KJ010489","NCBI Nucleotide")</f>
        <v>NCBI Nucleotide</v>
      </c>
    </row>
    <row r="3806" spans="1:27" x14ac:dyDescent="0.35">
      <c r="A3806">
        <v>1024545</v>
      </c>
      <c r="B3806">
        <v>3782</v>
      </c>
      <c r="C3806">
        <v>1</v>
      </c>
      <c r="D3806" s="17" t="s">
        <v>155</v>
      </c>
      <c r="E3806" s="17"/>
      <c r="F3806" s="17" t="s">
        <v>156</v>
      </c>
      <c r="G3806" s="17"/>
      <c r="H3806" s="17" t="s">
        <v>692</v>
      </c>
      <c r="I3806" s="17"/>
      <c r="J3806" s="17" t="s">
        <v>693</v>
      </c>
      <c r="K3806" s="17"/>
      <c r="L3806" s="17"/>
      <c r="M3806" s="17"/>
      <c r="N3806" s="17"/>
      <c r="O3806" s="17"/>
      <c r="P3806" s="17" t="s">
        <v>39927</v>
      </c>
      <c r="Q3806" s="17"/>
      <c r="R3806" s="25" t="str">
        <f>HYPERLINK("https://ictv.global/taxonomy/taxondetails?taxnode_id=202319219","Efemunavirus Lg62")</f>
        <v>Efemunavirus Lg62</v>
      </c>
      <c r="S3806" s="18" t="s">
        <v>30</v>
      </c>
      <c r="T3806" s="18" t="s">
        <v>39930</v>
      </c>
      <c r="U3806" s="18"/>
      <c r="V3806" s="18"/>
      <c r="W3806" s="18" t="s">
        <v>48515</v>
      </c>
      <c r="X3806" s="18" t="s">
        <v>42</v>
      </c>
      <c r="Y3806" s="18" t="s">
        <v>36</v>
      </c>
      <c r="Z3806" s="18" t="s">
        <v>697</v>
      </c>
      <c r="AA3806" s="21" t="str">
        <f>HYPERLINK("https://www.ncbi.nlm.nih.gov/nuccore/OP018674","NCBI Nucleotide")</f>
        <v>NCBI Nucleotide</v>
      </c>
    </row>
    <row r="3807" spans="1:27" x14ac:dyDescent="0.35">
      <c r="A3807">
        <v>1005094</v>
      </c>
      <c r="B3807">
        <v>3783</v>
      </c>
      <c r="C3807">
        <v>1</v>
      </c>
      <c r="D3807" s="17" t="s">
        <v>155</v>
      </c>
      <c r="E3807" s="17"/>
      <c r="F3807" s="17" t="s">
        <v>156</v>
      </c>
      <c r="G3807" s="17"/>
      <c r="H3807" s="17" t="s">
        <v>692</v>
      </c>
      <c r="I3807" s="17"/>
      <c r="J3807" s="17" t="s">
        <v>693</v>
      </c>
      <c r="K3807" s="17"/>
      <c r="L3807" s="17"/>
      <c r="M3807" s="17"/>
      <c r="N3807" s="17"/>
      <c r="O3807" s="17"/>
      <c r="P3807" s="17" t="s">
        <v>1535</v>
      </c>
      <c r="Q3807" s="17"/>
      <c r="R3807" s="25" t="str">
        <f>HYPERLINK("https://ictv.global/taxonomy/taxondetails?taxnode_id=202306936","Efquatrovirus AL2")</f>
        <v>Efquatrovirus AL2</v>
      </c>
      <c r="S3807" s="18" t="s">
        <v>30</v>
      </c>
      <c r="T3807" s="18" t="s">
        <v>1536</v>
      </c>
      <c r="U3807" s="18"/>
      <c r="V3807" s="18"/>
      <c r="W3807" s="18" t="s">
        <v>1537</v>
      </c>
      <c r="X3807" s="18" t="s">
        <v>42</v>
      </c>
      <c r="Y3807" s="18" t="s">
        <v>36</v>
      </c>
      <c r="Z3807" s="18" t="s">
        <v>697</v>
      </c>
      <c r="AA3807" s="21" t="str">
        <f>HYPERLINK("https://www.ncbi.nlm.nih.gov/nuccore/MH203384","NCBI Nucleotide")</f>
        <v>NCBI Nucleotide</v>
      </c>
    </row>
    <row r="3808" spans="1:27" x14ac:dyDescent="0.35">
      <c r="A3808">
        <v>1005095</v>
      </c>
      <c r="B3808">
        <v>3784</v>
      </c>
      <c r="C3808">
        <v>1</v>
      </c>
      <c r="D3808" s="17" t="s">
        <v>155</v>
      </c>
      <c r="E3808" s="17"/>
      <c r="F3808" s="17" t="s">
        <v>156</v>
      </c>
      <c r="G3808" s="17"/>
      <c r="H3808" s="17" t="s">
        <v>692</v>
      </c>
      <c r="I3808" s="17"/>
      <c r="J3808" s="17" t="s">
        <v>693</v>
      </c>
      <c r="K3808" s="17"/>
      <c r="L3808" s="17"/>
      <c r="M3808" s="17"/>
      <c r="N3808" s="17"/>
      <c r="O3808" s="17"/>
      <c r="P3808" s="17" t="s">
        <v>1535</v>
      </c>
      <c r="Q3808" s="17"/>
      <c r="R3808" s="25" t="str">
        <f>HYPERLINK("https://ictv.global/taxonomy/taxondetails?taxnode_id=202306938","Efquatrovirus AL3")</f>
        <v>Efquatrovirus AL3</v>
      </c>
      <c r="S3808" s="18" t="s">
        <v>30</v>
      </c>
      <c r="T3808" s="18" t="s">
        <v>1538</v>
      </c>
      <c r="U3808" s="18"/>
      <c r="V3808" s="18"/>
      <c r="W3808" s="18" t="s">
        <v>1539</v>
      </c>
      <c r="X3808" s="18" t="s">
        <v>42</v>
      </c>
      <c r="Y3808" s="18" t="s">
        <v>36</v>
      </c>
      <c r="Z3808" s="18" t="s">
        <v>697</v>
      </c>
      <c r="AA3808" s="21" t="str">
        <f>HYPERLINK("https://www.ncbi.nlm.nih.gov/nuccore/MH203383","NCBI Nucleotide")</f>
        <v>NCBI Nucleotide</v>
      </c>
    </row>
    <row r="3809" spans="1:27" x14ac:dyDescent="0.35">
      <c r="A3809">
        <v>1005096</v>
      </c>
      <c r="B3809">
        <v>3785</v>
      </c>
      <c r="C3809">
        <v>1</v>
      </c>
      <c r="D3809" s="17" t="s">
        <v>155</v>
      </c>
      <c r="E3809" s="17"/>
      <c r="F3809" s="17" t="s">
        <v>156</v>
      </c>
      <c r="G3809" s="17"/>
      <c r="H3809" s="17" t="s">
        <v>692</v>
      </c>
      <c r="I3809" s="17"/>
      <c r="J3809" s="17" t="s">
        <v>693</v>
      </c>
      <c r="K3809" s="17"/>
      <c r="L3809" s="17"/>
      <c r="M3809" s="17"/>
      <c r="N3809" s="17"/>
      <c r="O3809" s="17"/>
      <c r="P3809" s="17" t="s">
        <v>1535</v>
      </c>
      <c r="Q3809" s="17"/>
      <c r="R3809" s="25" t="str">
        <f>HYPERLINK("https://ictv.global/taxonomy/taxondetails?taxnode_id=202306939","Efquatrovirus AUEF3")</f>
        <v>Efquatrovirus AUEF3</v>
      </c>
      <c r="S3809" s="18" t="s">
        <v>30</v>
      </c>
      <c r="T3809" s="18" t="s">
        <v>1540</v>
      </c>
      <c r="U3809" s="18"/>
      <c r="V3809" s="18"/>
      <c r="W3809" s="18" t="s">
        <v>1541</v>
      </c>
      <c r="X3809" s="18" t="s">
        <v>154</v>
      </c>
      <c r="Y3809" s="18" t="s">
        <v>36</v>
      </c>
      <c r="Z3809" s="18" t="s">
        <v>697</v>
      </c>
      <c r="AA3809" s="21" t="str">
        <f>HYPERLINK("https://www.ncbi.nlm.nih.gov/nuccore/KJ127304","NCBI Nucleotide")</f>
        <v>NCBI Nucleotide</v>
      </c>
    </row>
    <row r="3810" spans="1:27" x14ac:dyDescent="0.35">
      <c r="A3810">
        <v>1005097</v>
      </c>
      <c r="B3810">
        <v>3786</v>
      </c>
      <c r="C3810">
        <v>1</v>
      </c>
      <c r="D3810" s="17" t="s">
        <v>155</v>
      </c>
      <c r="E3810" s="17"/>
      <c r="F3810" s="17" t="s">
        <v>156</v>
      </c>
      <c r="G3810" s="17"/>
      <c r="H3810" s="17" t="s">
        <v>692</v>
      </c>
      <c r="I3810" s="17"/>
      <c r="J3810" s="17" t="s">
        <v>693</v>
      </c>
      <c r="K3810" s="17"/>
      <c r="L3810" s="17"/>
      <c r="M3810" s="17"/>
      <c r="N3810" s="17"/>
      <c r="O3810" s="17"/>
      <c r="P3810" s="17" t="s">
        <v>1535</v>
      </c>
      <c r="Q3810" s="17"/>
      <c r="R3810" s="25" t="str">
        <f>HYPERLINK("https://ictv.global/taxonomy/taxondetails?taxnode_id=202306935","Efquatrovirus EcZZ2")</f>
        <v>Efquatrovirus EcZZ2</v>
      </c>
      <c r="S3810" s="18" t="s">
        <v>30</v>
      </c>
      <c r="T3810" s="18" t="s">
        <v>1542</v>
      </c>
      <c r="U3810" s="18"/>
      <c r="V3810" s="18"/>
      <c r="W3810" s="18" t="s">
        <v>1543</v>
      </c>
      <c r="X3810" s="18" t="s">
        <v>42</v>
      </c>
      <c r="Y3810" s="18" t="s">
        <v>36</v>
      </c>
      <c r="Z3810" s="18" t="s">
        <v>697</v>
      </c>
      <c r="AA3810" s="21" t="str">
        <f>HYPERLINK("https://www.ncbi.nlm.nih.gov/nuccore/KR131750","NCBI Nucleotide")</f>
        <v>NCBI Nucleotide</v>
      </c>
    </row>
    <row r="3811" spans="1:27" x14ac:dyDescent="0.35">
      <c r="A3811">
        <v>1005098</v>
      </c>
      <c r="B3811">
        <v>3787</v>
      </c>
      <c r="C3811">
        <v>1</v>
      </c>
      <c r="D3811" s="17" t="s">
        <v>155</v>
      </c>
      <c r="E3811" s="17"/>
      <c r="F3811" s="17" t="s">
        <v>156</v>
      </c>
      <c r="G3811" s="17"/>
      <c r="H3811" s="17" t="s">
        <v>692</v>
      </c>
      <c r="I3811" s="17"/>
      <c r="J3811" s="17" t="s">
        <v>693</v>
      </c>
      <c r="K3811" s="17"/>
      <c r="L3811" s="17"/>
      <c r="M3811" s="17"/>
      <c r="N3811" s="17"/>
      <c r="O3811" s="17"/>
      <c r="P3811" s="17" t="s">
        <v>1535</v>
      </c>
      <c r="Q3811" s="17"/>
      <c r="R3811" s="25" t="str">
        <f>HYPERLINK("https://ictv.global/taxonomy/taxondetails?taxnode_id=202306940","Efquatrovirus EF3")</f>
        <v>Efquatrovirus EF3</v>
      </c>
      <c r="S3811" s="18" t="s">
        <v>30</v>
      </c>
      <c r="T3811" s="18" t="s">
        <v>1544</v>
      </c>
      <c r="U3811" s="18"/>
      <c r="V3811" s="18"/>
      <c r="W3811" s="18" t="s">
        <v>1545</v>
      </c>
      <c r="X3811" s="18" t="s">
        <v>42</v>
      </c>
      <c r="Y3811" s="18" t="s">
        <v>36</v>
      </c>
      <c r="Z3811" s="18" t="s">
        <v>697</v>
      </c>
      <c r="AA3811" s="21" t="str">
        <f>HYPERLINK("https://www.ncbi.nlm.nih.gov/nuccore/KF728385","NCBI Nucleotide")</f>
        <v>NCBI Nucleotide</v>
      </c>
    </row>
    <row r="3812" spans="1:27" x14ac:dyDescent="0.35">
      <c r="A3812">
        <v>1005099</v>
      </c>
      <c r="B3812">
        <v>3788</v>
      </c>
      <c r="C3812">
        <v>1</v>
      </c>
      <c r="D3812" s="17" t="s">
        <v>155</v>
      </c>
      <c r="E3812" s="17"/>
      <c r="F3812" s="17" t="s">
        <v>156</v>
      </c>
      <c r="G3812" s="17"/>
      <c r="H3812" s="17" t="s">
        <v>692</v>
      </c>
      <c r="I3812" s="17"/>
      <c r="J3812" s="17" t="s">
        <v>693</v>
      </c>
      <c r="K3812" s="17"/>
      <c r="L3812" s="17"/>
      <c r="M3812" s="17"/>
      <c r="N3812" s="17"/>
      <c r="O3812" s="17"/>
      <c r="P3812" s="17" t="s">
        <v>1535</v>
      </c>
      <c r="Q3812" s="17"/>
      <c r="R3812" s="25" t="str">
        <f>HYPERLINK("https://ictv.global/taxonomy/taxondetails?taxnode_id=202306934","Efquatrovirus EF4")</f>
        <v>Efquatrovirus EF4</v>
      </c>
      <c r="S3812" s="18" t="s">
        <v>30</v>
      </c>
      <c r="T3812" s="18" t="s">
        <v>1546</v>
      </c>
      <c r="U3812" s="18"/>
      <c r="V3812" s="18"/>
      <c r="W3812" s="18" t="s">
        <v>1547</v>
      </c>
      <c r="X3812" s="18" t="s">
        <v>42</v>
      </c>
      <c r="Y3812" s="18" t="s">
        <v>36</v>
      </c>
      <c r="Z3812" s="18" t="s">
        <v>697</v>
      </c>
      <c r="AA3812" s="21" t="str">
        <f>HYPERLINK("https://www.ncbi.nlm.nih.gov/nuccore/KF733017","NCBI Nucleotide")</f>
        <v>NCBI Nucleotide</v>
      </c>
    </row>
    <row r="3813" spans="1:27" x14ac:dyDescent="0.35">
      <c r="A3813">
        <v>1005100</v>
      </c>
      <c r="B3813">
        <v>3789</v>
      </c>
      <c r="C3813">
        <v>1</v>
      </c>
      <c r="D3813" s="17" t="s">
        <v>155</v>
      </c>
      <c r="E3813" s="17"/>
      <c r="F3813" s="17" t="s">
        <v>156</v>
      </c>
      <c r="G3813" s="17"/>
      <c r="H3813" s="17" t="s">
        <v>692</v>
      </c>
      <c r="I3813" s="17"/>
      <c r="J3813" s="17" t="s">
        <v>693</v>
      </c>
      <c r="K3813" s="17"/>
      <c r="L3813" s="17"/>
      <c r="M3813" s="17"/>
      <c r="N3813" s="17"/>
      <c r="O3813" s="17"/>
      <c r="P3813" s="17" t="s">
        <v>1535</v>
      </c>
      <c r="Q3813" s="17"/>
      <c r="R3813" s="25" t="str">
        <f>HYPERLINK("https://ictv.global/taxonomy/taxondetails?taxnode_id=202306946","Efquatrovirus EfaCPT1")</f>
        <v>Efquatrovirus EfaCPT1</v>
      </c>
      <c r="S3813" s="18" t="s">
        <v>30</v>
      </c>
      <c r="T3813" s="18" t="s">
        <v>1548</v>
      </c>
      <c r="U3813" s="18"/>
      <c r="V3813" s="18"/>
      <c r="W3813" s="18" t="s">
        <v>1549</v>
      </c>
      <c r="X3813" s="18" t="s">
        <v>42</v>
      </c>
      <c r="Y3813" s="18" t="s">
        <v>36</v>
      </c>
      <c r="Z3813" s="18" t="s">
        <v>697</v>
      </c>
      <c r="AA3813" s="21" t="str">
        <f>HYPERLINK("https://www.ncbi.nlm.nih.gov/nuccore/JX193904","NCBI Nucleotide")</f>
        <v>NCBI Nucleotide</v>
      </c>
    </row>
    <row r="3814" spans="1:27" x14ac:dyDescent="0.35">
      <c r="A3814">
        <v>1005101</v>
      </c>
      <c r="B3814">
        <v>3790</v>
      </c>
      <c r="C3814">
        <v>1</v>
      </c>
      <c r="D3814" s="17" t="s">
        <v>155</v>
      </c>
      <c r="E3814" s="17"/>
      <c r="F3814" s="17" t="s">
        <v>156</v>
      </c>
      <c r="G3814" s="17"/>
      <c r="H3814" s="17" t="s">
        <v>692</v>
      </c>
      <c r="I3814" s="17"/>
      <c r="J3814" s="17" t="s">
        <v>693</v>
      </c>
      <c r="K3814" s="17"/>
      <c r="L3814" s="17"/>
      <c r="M3814" s="17"/>
      <c r="N3814" s="17"/>
      <c r="O3814" s="17"/>
      <c r="P3814" s="17" t="s">
        <v>1535</v>
      </c>
      <c r="Q3814" s="17"/>
      <c r="R3814" s="25" t="str">
        <f>HYPERLINK("https://ictv.global/taxonomy/taxondetails?taxnode_id=202306947","Efquatrovirus IME196")</f>
        <v>Efquatrovirus IME196</v>
      </c>
      <c r="S3814" s="18" t="s">
        <v>30</v>
      </c>
      <c r="T3814" s="18" t="s">
        <v>1550</v>
      </c>
      <c r="U3814" s="18"/>
      <c r="V3814" s="18"/>
      <c r="W3814" s="18" t="s">
        <v>1551</v>
      </c>
      <c r="X3814" s="18" t="s">
        <v>42</v>
      </c>
      <c r="Y3814" s="18" t="s">
        <v>36</v>
      </c>
      <c r="Z3814" s="18" t="s">
        <v>697</v>
      </c>
      <c r="AA3814" s="21" t="str">
        <f>HYPERLINK("https://www.ncbi.nlm.nih.gov/nuccore/KT932701","NCBI Nucleotide")</f>
        <v>NCBI Nucleotide</v>
      </c>
    </row>
    <row r="3815" spans="1:27" x14ac:dyDescent="0.35">
      <c r="A3815">
        <v>1005102</v>
      </c>
      <c r="B3815">
        <v>3791</v>
      </c>
      <c r="C3815">
        <v>1</v>
      </c>
      <c r="D3815" s="17" t="s">
        <v>155</v>
      </c>
      <c r="E3815" s="17"/>
      <c r="F3815" s="17" t="s">
        <v>156</v>
      </c>
      <c r="G3815" s="17"/>
      <c r="H3815" s="17" t="s">
        <v>692</v>
      </c>
      <c r="I3815" s="17"/>
      <c r="J3815" s="17" t="s">
        <v>693</v>
      </c>
      <c r="K3815" s="17"/>
      <c r="L3815" s="17"/>
      <c r="M3815" s="17"/>
      <c r="N3815" s="17"/>
      <c r="O3815" s="17"/>
      <c r="P3815" s="17" t="s">
        <v>1535</v>
      </c>
      <c r="Q3815" s="17"/>
      <c r="R3815" s="25" t="str">
        <f>HYPERLINK("https://ictv.global/taxonomy/taxondetails?taxnode_id=202306937","Efquatrovirus LY0322")</f>
        <v>Efquatrovirus LY0322</v>
      </c>
      <c r="S3815" s="18" t="s">
        <v>30</v>
      </c>
      <c r="T3815" s="18" t="s">
        <v>1552</v>
      </c>
      <c r="U3815" s="18"/>
      <c r="V3815" s="18"/>
      <c r="W3815" s="18" t="s">
        <v>1553</v>
      </c>
      <c r="X3815" s="18" t="s">
        <v>42</v>
      </c>
      <c r="Y3815" s="18" t="s">
        <v>36</v>
      </c>
      <c r="Z3815" s="18" t="s">
        <v>697</v>
      </c>
      <c r="AA3815" s="21" t="str">
        <f>HYPERLINK("https://www.ncbi.nlm.nih.gov/nuccore/MH193369","NCBI Nucleotide")</f>
        <v>NCBI Nucleotide</v>
      </c>
    </row>
    <row r="3816" spans="1:27" x14ac:dyDescent="0.35">
      <c r="A3816">
        <v>1005103</v>
      </c>
      <c r="B3816">
        <v>3792</v>
      </c>
      <c r="C3816">
        <v>1</v>
      </c>
      <c r="D3816" s="17" t="s">
        <v>155</v>
      </c>
      <c r="E3816" s="17"/>
      <c r="F3816" s="17" t="s">
        <v>156</v>
      </c>
      <c r="G3816" s="17"/>
      <c r="H3816" s="17" t="s">
        <v>692</v>
      </c>
      <c r="I3816" s="17"/>
      <c r="J3816" s="17" t="s">
        <v>693</v>
      </c>
      <c r="K3816" s="17"/>
      <c r="L3816" s="17"/>
      <c r="M3816" s="17"/>
      <c r="N3816" s="17"/>
      <c r="O3816" s="17"/>
      <c r="P3816" s="17" t="s">
        <v>1535</v>
      </c>
      <c r="Q3816" s="17"/>
      <c r="R3816" s="25" t="str">
        <f>HYPERLINK("https://ictv.global/taxonomy/taxondetails?taxnode_id=202306945","Efquatrovirus PMBT2")</f>
        <v>Efquatrovirus PMBT2</v>
      </c>
      <c r="S3816" s="18" t="s">
        <v>30</v>
      </c>
      <c r="T3816" s="18" t="s">
        <v>1554</v>
      </c>
      <c r="U3816" s="18"/>
      <c r="V3816" s="18"/>
      <c r="W3816" s="18" t="s">
        <v>1555</v>
      </c>
      <c r="X3816" s="18" t="s">
        <v>42</v>
      </c>
      <c r="Y3816" s="18" t="s">
        <v>36</v>
      </c>
      <c r="Z3816" s="18" t="s">
        <v>697</v>
      </c>
      <c r="AA3816" s="21" t="str">
        <f>HYPERLINK("https://www.ncbi.nlm.nih.gov/nuccore/MG708276","NCBI Nucleotide")</f>
        <v>NCBI Nucleotide</v>
      </c>
    </row>
    <row r="3817" spans="1:27" x14ac:dyDescent="0.35">
      <c r="A3817">
        <v>1005104</v>
      </c>
      <c r="B3817">
        <v>3793</v>
      </c>
      <c r="C3817">
        <v>1</v>
      </c>
      <c r="D3817" s="17" t="s">
        <v>155</v>
      </c>
      <c r="E3817" s="17"/>
      <c r="F3817" s="17" t="s">
        <v>156</v>
      </c>
      <c r="G3817" s="17"/>
      <c r="H3817" s="17" t="s">
        <v>692</v>
      </c>
      <c r="I3817" s="17"/>
      <c r="J3817" s="17" t="s">
        <v>693</v>
      </c>
      <c r="K3817" s="17"/>
      <c r="L3817" s="17"/>
      <c r="M3817" s="17"/>
      <c r="N3817" s="17"/>
      <c r="O3817" s="17"/>
      <c r="P3817" s="17" t="s">
        <v>1535</v>
      </c>
      <c r="Q3817" s="17"/>
      <c r="R3817" s="25" t="str">
        <f>HYPERLINK("https://ictv.global/taxonomy/taxondetails?taxnode_id=202306943","Efquatrovirus SANTOR1")</f>
        <v>Efquatrovirus SANTOR1</v>
      </c>
      <c r="S3817" s="18" t="s">
        <v>30</v>
      </c>
      <c r="T3817" s="18" t="s">
        <v>1556</v>
      </c>
      <c r="U3817" s="18"/>
      <c r="V3817" s="18"/>
      <c r="W3817" s="18" t="s">
        <v>1557</v>
      </c>
      <c r="X3817" s="18" t="s">
        <v>42</v>
      </c>
      <c r="Y3817" s="18" t="s">
        <v>36</v>
      </c>
      <c r="Z3817" s="18" t="s">
        <v>697</v>
      </c>
      <c r="AA3817" s="21" t="str">
        <f>HYPERLINK("https://www.ncbi.nlm.nih.gov/nuccore/KX284704","NCBI Nucleotide")</f>
        <v>NCBI Nucleotide</v>
      </c>
    </row>
    <row r="3818" spans="1:27" x14ac:dyDescent="0.35">
      <c r="A3818">
        <v>1005105</v>
      </c>
      <c r="B3818">
        <v>3794</v>
      </c>
      <c r="C3818">
        <v>1</v>
      </c>
      <c r="D3818" s="17" t="s">
        <v>155</v>
      </c>
      <c r="E3818" s="17"/>
      <c r="F3818" s="17" t="s">
        <v>156</v>
      </c>
      <c r="G3818" s="17"/>
      <c r="H3818" s="17" t="s">
        <v>692</v>
      </c>
      <c r="I3818" s="17"/>
      <c r="J3818" s="17" t="s">
        <v>693</v>
      </c>
      <c r="K3818" s="17"/>
      <c r="L3818" s="17"/>
      <c r="M3818" s="17"/>
      <c r="N3818" s="17"/>
      <c r="O3818" s="17"/>
      <c r="P3818" s="17" t="s">
        <v>1535</v>
      </c>
      <c r="Q3818" s="17"/>
      <c r="R3818" s="25" t="str">
        <f>HYPERLINK("https://ictv.global/taxonomy/taxondetails?taxnode_id=202306944","Efquatrovirus SHEF2")</f>
        <v>Efquatrovirus SHEF2</v>
      </c>
      <c r="S3818" s="18" t="s">
        <v>30</v>
      </c>
      <c r="T3818" s="18" t="s">
        <v>1558</v>
      </c>
      <c r="U3818" s="18"/>
      <c r="V3818" s="18"/>
      <c r="W3818" s="18" t="s">
        <v>1559</v>
      </c>
      <c r="X3818" s="18" t="s">
        <v>42</v>
      </c>
      <c r="Y3818" s="18" t="s">
        <v>36</v>
      </c>
      <c r="Z3818" s="18" t="s">
        <v>697</v>
      </c>
      <c r="AA3818" s="21" t="str">
        <f>HYPERLINK("https://www.ncbi.nlm.nih.gov/nuccore/MF678788","NCBI Nucleotide")</f>
        <v>NCBI Nucleotide</v>
      </c>
    </row>
    <row r="3819" spans="1:27" x14ac:dyDescent="0.35">
      <c r="A3819">
        <v>1005106</v>
      </c>
      <c r="B3819">
        <v>3795</v>
      </c>
      <c r="C3819">
        <v>1</v>
      </c>
      <c r="D3819" s="17" t="s">
        <v>155</v>
      </c>
      <c r="E3819" s="17"/>
      <c r="F3819" s="17" t="s">
        <v>156</v>
      </c>
      <c r="G3819" s="17"/>
      <c r="H3819" s="17" t="s">
        <v>692</v>
      </c>
      <c r="I3819" s="17"/>
      <c r="J3819" s="17" t="s">
        <v>693</v>
      </c>
      <c r="K3819" s="17"/>
      <c r="L3819" s="17"/>
      <c r="M3819" s="17"/>
      <c r="N3819" s="17"/>
      <c r="O3819" s="17"/>
      <c r="P3819" s="17" t="s">
        <v>1535</v>
      </c>
      <c r="Q3819" s="17"/>
      <c r="R3819" s="25" t="str">
        <f>HYPERLINK("https://ictv.global/taxonomy/taxondetails?taxnode_id=202306942","Efquatrovirus SHEF4")</f>
        <v>Efquatrovirus SHEF4</v>
      </c>
      <c r="S3819" s="18" t="s">
        <v>30</v>
      </c>
      <c r="T3819" s="18" t="s">
        <v>1560</v>
      </c>
      <c r="U3819" s="18"/>
      <c r="V3819" s="18"/>
      <c r="W3819" s="18" t="s">
        <v>1561</v>
      </c>
      <c r="X3819" s="18" t="s">
        <v>42</v>
      </c>
      <c r="Y3819" s="18" t="s">
        <v>36</v>
      </c>
      <c r="Z3819" s="18" t="s">
        <v>697</v>
      </c>
      <c r="AA3819" s="21" t="str">
        <f>HYPERLINK("https://www.ncbi.nlm.nih.gov/nuccore/MF678789","NCBI Nucleotide")</f>
        <v>NCBI Nucleotide</v>
      </c>
    </row>
    <row r="3820" spans="1:27" x14ac:dyDescent="0.35">
      <c r="A3820">
        <v>1005107</v>
      </c>
      <c r="B3820">
        <v>3796</v>
      </c>
      <c r="C3820">
        <v>1</v>
      </c>
      <c r="D3820" s="17" t="s">
        <v>155</v>
      </c>
      <c r="E3820" s="17"/>
      <c r="F3820" s="17" t="s">
        <v>156</v>
      </c>
      <c r="G3820" s="17"/>
      <c r="H3820" s="17" t="s">
        <v>692</v>
      </c>
      <c r="I3820" s="17"/>
      <c r="J3820" s="17" t="s">
        <v>693</v>
      </c>
      <c r="K3820" s="17"/>
      <c r="L3820" s="17"/>
      <c r="M3820" s="17"/>
      <c r="N3820" s="17"/>
      <c r="O3820" s="17"/>
      <c r="P3820" s="17" t="s">
        <v>1535</v>
      </c>
      <c r="Q3820" s="17"/>
      <c r="R3820" s="25" t="str">
        <f>HYPERLINK("https://ictv.global/taxonomy/taxondetails?taxnode_id=202306941","Efquatrovirus SHEF5")</f>
        <v>Efquatrovirus SHEF5</v>
      </c>
      <c r="S3820" s="18" t="s">
        <v>30</v>
      </c>
      <c r="T3820" s="18" t="s">
        <v>1562</v>
      </c>
      <c r="U3820" s="18"/>
      <c r="V3820" s="18"/>
      <c r="W3820" s="18" t="s">
        <v>1563</v>
      </c>
      <c r="X3820" s="18" t="s">
        <v>42</v>
      </c>
      <c r="Y3820" s="18" t="s">
        <v>36</v>
      </c>
      <c r="Z3820" s="18" t="s">
        <v>697</v>
      </c>
      <c r="AA3820" s="21" t="str">
        <f>HYPERLINK("https://www.ncbi.nlm.nih.gov/nuccore/MF678790","NCBI Nucleotide")</f>
        <v>NCBI Nucleotide</v>
      </c>
    </row>
    <row r="3821" spans="1:27" x14ac:dyDescent="0.35">
      <c r="A3821">
        <v>1024546</v>
      </c>
      <c r="B3821">
        <v>3797</v>
      </c>
      <c r="C3821">
        <v>1</v>
      </c>
      <c r="D3821" s="17" t="s">
        <v>155</v>
      </c>
      <c r="E3821" s="17"/>
      <c r="F3821" s="17" t="s">
        <v>156</v>
      </c>
      <c r="G3821" s="17"/>
      <c r="H3821" s="17" t="s">
        <v>692</v>
      </c>
      <c r="I3821" s="17"/>
      <c r="J3821" s="17" t="s">
        <v>693</v>
      </c>
      <c r="K3821" s="17"/>
      <c r="L3821" s="17"/>
      <c r="M3821" s="17"/>
      <c r="N3821" s="17"/>
      <c r="O3821" s="17"/>
      <c r="P3821" s="17" t="s">
        <v>39931</v>
      </c>
      <c r="Q3821" s="17"/>
      <c r="R3821" s="25" t="str">
        <f>HYPERLINK("https://ictv.global/taxonomy/taxondetails?taxnode_id=202318501","Efunavirus EF1")</f>
        <v>Efunavirus EF1</v>
      </c>
      <c r="S3821" s="18" t="s">
        <v>30</v>
      </c>
      <c r="T3821" s="18" t="s">
        <v>39932</v>
      </c>
      <c r="U3821" s="18"/>
      <c r="V3821" s="18"/>
      <c r="W3821" s="18" t="s">
        <v>39933</v>
      </c>
      <c r="X3821" s="18" t="s">
        <v>42</v>
      </c>
      <c r="Y3821" s="18" t="s">
        <v>36</v>
      </c>
      <c r="Z3821" s="18" t="s">
        <v>697</v>
      </c>
      <c r="AA3821" s="21" t="str">
        <f>HYPERLINK("https://www.ncbi.nlm.nih.gov/nuccore/MF001358","NCBI Nucleotide")</f>
        <v>NCBI Nucleotide</v>
      </c>
    </row>
    <row r="3822" spans="1:27" x14ac:dyDescent="0.35">
      <c r="A3822">
        <v>1024547</v>
      </c>
      <c r="B3822">
        <v>3798</v>
      </c>
      <c r="C3822">
        <v>1</v>
      </c>
      <c r="D3822" s="17" t="s">
        <v>155</v>
      </c>
      <c r="E3822" s="17"/>
      <c r="F3822" s="17" t="s">
        <v>156</v>
      </c>
      <c r="G3822" s="17"/>
      <c r="H3822" s="17" t="s">
        <v>692</v>
      </c>
      <c r="I3822" s="17"/>
      <c r="J3822" s="17" t="s">
        <v>693</v>
      </c>
      <c r="K3822" s="17"/>
      <c r="L3822" s="17"/>
      <c r="M3822" s="17"/>
      <c r="N3822" s="17"/>
      <c r="O3822" s="17"/>
      <c r="P3822" s="17" t="s">
        <v>39931</v>
      </c>
      <c r="Q3822" s="17"/>
      <c r="R3822" s="25" t="str">
        <f>HYPERLINK("https://ictv.global/taxonomy/taxondetails?taxnode_id=202318502","Efunavirus H1")</f>
        <v>Efunavirus H1</v>
      </c>
      <c r="S3822" s="18" t="s">
        <v>30</v>
      </c>
      <c r="T3822" s="18" t="s">
        <v>39934</v>
      </c>
      <c r="U3822" s="18"/>
      <c r="V3822" s="18"/>
      <c r="W3822" s="18" t="s">
        <v>39935</v>
      </c>
      <c r="X3822" s="18" t="s">
        <v>42</v>
      </c>
      <c r="Y3822" s="18" t="s">
        <v>36</v>
      </c>
      <c r="Z3822" s="18" t="s">
        <v>697</v>
      </c>
      <c r="AA3822" s="21" t="str">
        <f>HYPERLINK("https://www.ncbi.nlm.nih.gov/nuccore/OP534061","NCBI Nucleotide")</f>
        <v>NCBI Nucleotide</v>
      </c>
    </row>
    <row r="3823" spans="1:27" x14ac:dyDescent="0.35">
      <c r="A3823">
        <v>1005108</v>
      </c>
      <c r="B3823">
        <v>3799</v>
      </c>
      <c r="C3823">
        <v>1</v>
      </c>
      <c r="D3823" s="17" t="s">
        <v>155</v>
      </c>
      <c r="E3823" s="17"/>
      <c r="F3823" s="17" t="s">
        <v>156</v>
      </c>
      <c r="G3823" s="17"/>
      <c r="H3823" s="17" t="s">
        <v>692</v>
      </c>
      <c r="I3823" s="17"/>
      <c r="J3823" s="17" t="s">
        <v>693</v>
      </c>
      <c r="K3823" s="17"/>
      <c r="L3823" s="17"/>
      <c r="M3823" s="17"/>
      <c r="N3823" s="17"/>
      <c r="O3823" s="17"/>
      <c r="P3823" s="17" t="s">
        <v>1564</v>
      </c>
      <c r="Q3823" s="17"/>
      <c r="R3823" s="25" t="str">
        <f>HYPERLINK("https://ictv.global/taxonomy/taxondetails?taxnode_id=202300967","Eiauvirus eiAU")</f>
        <v>Eiauvirus eiAU</v>
      </c>
      <c r="S3823" s="18" t="s">
        <v>30</v>
      </c>
      <c r="T3823" s="18" t="s">
        <v>1565</v>
      </c>
      <c r="U3823" s="18"/>
      <c r="V3823" s="18"/>
      <c r="W3823" s="18" t="s">
        <v>1566</v>
      </c>
      <c r="X3823" s="18" t="s">
        <v>42</v>
      </c>
      <c r="Y3823" s="18" t="s">
        <v>36</v>
      </c>
      <c r="Z3823" s="18" t="s">
        <v>697</v>
      </c>
      <c r="AA3823" s="21" t="str">
        <f>HYPERLINK("https://www.ncbi.nlm.nih.gov/nuccore/KF772233","NCBI Nucleotide")</f>
        <v>NCBI Nucleotide</v>
      </c>
    </row>
    <row r="3824" spans="1:27" x14ac:dyDescent="0.35">
      <c r="A3824">
        <v>1005109</v>
      </c>
      <c r="B3824">
        <v>3800</v>
      </c>
      <c r="C3824">
        <v>1</v>
      </c>
      <c r="D3824" s="17" t="s">
        <v>155</v>
      </c>
      <c r="E3824" s="17"/>
      <c r="F3824" s="17" t="s">
        <v>156</v>
      </c>
      <c r="G3824" s="17"/>
      <c r="H3824" s="17" t="s">
        <v>692</v>
      </c>
      <c r="I3824" s="17"/>
      <c r="J3824" s="17" t="s">
        <v>693</v>
      </c>
      <c r="K3824" s="17"/>
      <c r="L3824" s="17"/>
      <c r="M3824" s="17"/>
      <c r="N3824" s="17"/>
      <c r="O3824" s="17"/>
      <c r="P3824" s="17" t="s">
        <v>1567</v>
      </c>
      <c r="Q3824" s="17"/>
      <c r="R3824" s="25" t="str">
        <f>HYPERLINK("https://ictv.global/taxonomy/taxondetails?taxnode_id=202301379","Eisenstarkvirus L7")</f>
        <v>Eisenstarkvirus L7</v>
      </c>
      <c r="S3824" s="18" t="s">
        <v>30</v>
      </c>
      <c r="T3824" s="18" t="s">
        <v>1568</v>
      </c>
      <c r="U3824" s="18"/>
      <c r="V3824" s="18"/>
      <c r="W3824" s="18" t="s">
        <v>1569</v>
      </c>
      <c r="X3824" s="18" t="s">
        <v>42</v>
      </c>
      <c r="Y3824" s="18" t="s">
        <v>36</v>
      </c>
      <c r="Z3824" s="18" t="s">
        <v>697</v>
      </c>
      <c r="AA3824" s="21" t="str">
        <f>HYPERLINK("https://www.ncbi.nlm.nih.gov/nuccore/EU717894","NCBI Nucleotide")</f>
        <v>NCBI Nucleotide</v>
      </c>
    </row>
    <row r="3825" spans="1:27" x14ac:dyDescent="0.35">
      <c r="A3825">
        <v>1005110</v>
      </c>
      <c r="B3825">
        <v>3801</v>
      </c>
      <c r="C3825">
        <v>1</v>
      </c>
      <c r="D3825" s="17" t="s">
        <v>155</v>
      </c>
      <c r="E3825" s="17"/>
      <c r="F3825" s="17" t="s">
        <v>156</v>
      </c>
      <c r="G3825" s="17"/>
      <c r="H3825" s="17" t="s">
        <v>692</v>
      </c>
      <c r="I3825" s="17"/>
      <c r="J3825" s="17" t="s">
        <v>693</v>
      </c>
      <c r="K3825" s="17"/>
      <c r="L3825" s="17"/>
      <c r="M3825" s="17"/>
      <c r="N3825" s="17"/>
      <c r="O3825" s="17"/>
      <c r="P3825" s="17" t="s">
        <v>1570</v>
      </c>
      <c r="Q3825" s="17"/>
      <c r="R3825" s="25" t="str">
        <f>HYPERLINK("https://ictv.global/taxonomy/taxondetails?taxnode_id=202313530","Elemovirus elemoA")</f>
        <v>Elemovirus elemoA</v>
      </c>
      <c r="S3825" s="18" t="s">
        <v>30</v>
      </c>
      <c r="T3825" s="18" t="s">
        <v>1571</v>
      </c>
      <c r="U3825" s="18" t="s">
        <v>1572</v>
      </c>
      <c r="V3825" s="18"/>
      <c r="W3825" s="18" t="s">
        <v>1573</v>
      </c>
      <c r="X3825" s="18" t="s">
        <v>42</v>
      </c>
      <c r="Y3825" s="18" t="s">
        <v>36</v>
      </c>
      <c r="Z3825" s="18" t="s">
        <v>697</v>
      </c>
      <c r="AA3825" s="21" t="str">
        <f>HYPERLINK("https://www.ncbi.nlm.nih.gov/nuccore/MT497017","NCBI Nucleotide")</f>
        <v>NCBI Nucleotide</v>
      </c>
    </row>
    <row r="3826" spans="1:27" x14ac:dyDescent="0.35">
      <c r="A3826">
        <v>1005111</v>
      </c>
      <c r="B3826">
        <v>3802</v>
      </c>
      <c r="C3826">
        <v>1</v>
      </c>
      <c r="D3826" s="17" t="s">
        <v>155</v>
      </c>
      <c r="E3826" s="17"/>
      <c r="F3826" s="17" t="s">
        <v>156</v>
      </c>
      <c r="G3826" s="17"/>
      <c r="H3826" s="17" t="s">
        <v>692</v>
      </c>
      <c r="I3826" s="17"/>
      <c r="J3826" s="17" t="s">
        <v>693</v>
      </c>
      <c r="K3826" s="17"/>
      <c r="L3826" s="17"/>
      <c r="M3826" s="17"/>
      <c r="N3826" s="17"/>
      <c r="O3826" s="17"/>
      <c r="P3826" s="17" t="s">
        <v>1570</v>
      </c>
      <c r="Q3826" s="17"/>
      <c r="R3826" s="25" t="str">
        <f>HYPERLINK("https://ictv.global/taxonomy/taxondetails?taxnode_id=202313531","Elemovirus elemoB")</f>
        <v>Elemovirus elemoB</v>
      </c>
      <c r="S3826" s="18" t="s">
        <v>30</v>
      </c>
      <c r="T3826" s="18" t="s">
        <v>1574</v>
      </c>
      <c r="U3826" s="18" t="s">
        <v>1575</v>
      </c>
      <c r="V3826" s="18"/>
      <c r="W3826" s="18" t="s">
        <v>1576</v>
      </c>
      <c r="X3826" s="18" t="s">
        <v>42</v>
      </c>
      <c r="Y3826" s="18" t="s">
        <v>36</v>
      </c>
      <c r="Z3826" s="18" t="s">
        <v>697</v>
      </c>
      <c r="AA3826" s="21" t="str">
        <f>HYPERLINK("https://www.ncbi.nlm.nih.gov/nuccore/MT497068","NCBI Nucleotide")</f>
        <v>NCBI Nucleotide</v>
      </c>
    </row>
    <row r="3827" spans="1:27" x14ac:dyDescent="0.35">
      <c r="A3827">
        <v>1005112</v>
      </c>
      <c r="B3827">
        <v>3803</v>
      </c>
      <c r="C3827">
        <v>1</v>
      </c>
      <c r="D3827" s="17" t="s">
        <v>155</v>
      </c>
      <c r="E3827" s="17"/>
      <c r="F3827" s="17" t="s">
        <v>156</v>
      </c>
      <c r="G3827" s="17"/>
      <c r="H3827" s="17" t="s">
        <v>692</v>
      </c>
      <c r="I3827" s="17"/>
      <c r="J3827" s="17" t="s">
        <v>693</v>
      </c>
      <c r="K3827" s="17"/>
      <c r="L3827" s="17"/>
      <c r="M3827" s="17"/>
      <c r="N3827" s="17"/>
      <c r="O3827" s="17"/>
      <c r="P3827" s="17" t="s">
        <v>1570</v>
      </c>
      <c r="Q3827" s="17"/>
      <c r="R3827" s="25" t="str">
        <f>HYPERLINK("https://ictv.global/taxonomy/taxondetails?taxnode_id=202313532","Elemovirus elemoC")</f>
        <v>Elemovirus elemoC</v>
      </c>
      <c r="S3827" s="18" t="s">
        <v>30</v>
      </c>
      <c r="T3827" s="18" t="s">
        <v>1577</v>
      </c>
      <c r="U3827" s="18" t="s">
        <v>1578</v>
      </c>
      <c r="V3827" s="18"/>
      <c r="W3827" s="18" t="s">
        <v>1579</v>
      </c>
      <c r="X3827" s="18" t="s">
        <v>42</v>
      </c>
      <c r="Y3827" s="18" t="s">
        <v>36</v>
      </c>
      <c r="Z3827" s="18" t="s">
        <v>697</v>
      </c>
      <c r="AA3827" s="21" t="str">
        <f>HYPERLINK("https://www.ncbi.nlm.nih.gov/nuccore/MT497067","NCBI Nucleotide")</f>
        <v>NCBI Nucleotide</v>
      </c>
    </row>
    <row r="3828" spans="1:27" x14ac:dyDescent="0.35">
      <c r="A3828">
        <v>1005113</v>
      </c>
      <c r="B3828">
        <v>3804</v>
      </c>
      <c r="C3828">
        <v>1</v>
      </c>
      <c r="D3828" s="17" t="s">
        <v>155</v>
      </c>
      <c r="E3828" s="17"/>
      <c r="F3828" s="17" t="s">
        <v>156</v>
      </c>
      <c r="G3828" s="17"/>
      <c r="H3828" s="17" t="s">
        <v>692</v>
      </c>
      <c r="I3828" s="17"/>
      <c r="J3828" s="17" t="s">
        <v>693</v>
      </c>
      <c r="K3828" s="17"/>
      <c r="L3828" s="17"/>
      <c r="M3828" s="17"/>
      <c r="N3828" s="17"/>
      <c r="O3828" s="17"/>
      <c r="P3828" s="17" t="s">
        <v>1570</v>
      </c>
      <c r="Q3828" s="17"/>
      <c r="R3828" s="25" t="str">
        <f>HYPERLINK("https://ictv.global/taxonomy/taxondetails?taxnode_id=202313533","Elemovirus elemoD")</f>
        <v>Elemovirus elemoD</v>
      </c>
      <c r="S3828" s="18" t="s">
        <v>30</v>
      </c>
      <c r="T3828" s="18" t="s">
        <v>1580</v>
      </c>
      <c r="U3828" s="18" t="s">
        <v>1581</v>
      </c>
      <c r="V3828" s="18"/>
      <c r="W3828" s="18" t="s">
        <v>1582</v>
      </c>
      <c r="X3828" s="18" t="s">
        <v>42</v>
      </c>
      <c r="Y3828" s="18" t="s">
        <v>36</v>
      </c>
      <c r="Z3828" s="18" t="s">
        <v>697</v>
      </c>
      <c r="AA3828" s="21" t="str">
        <f>HYPERLINK("https://www.ncbi.nlm.nih.gov/nuccore/MT497091","NCBI Nucleotide")</f>
        <v>NCBI Nucleotide</v>
      </c>
    </row>
    <row r="3829" spans="1:27" x14ac:dyDescent="0.35">
      <c r="A3829">
        <v>1005114</v>
      </c>
      <c r="B3829">
        <v>3805</v>
      </c>
      <c r="C3829">
        <v>1</v>
      </c>
      <c r="D3829" s="17" t="s">
        <v>155</v>
      </c>
      <c r="E3829" s="17"/>
      <c r="F3829" s="17" t="s">
        <v>156</v>
      </c>
      <c r="G3829" s="17"/>
      <c r="H3829" s="17" t="s">
        <v>692</v>
      </c>
      <c r="I3829" s="17"/>
      <c r="J3829" s="17" t="s">
        <v>693</v>
      </c>
      <c r="K3829" s="17"/>
      <c r="L3829" s="17"/>
      <c r="M3829" s="17"/>
      <c r="N3829" s="17"/>
      <c r="O3829" s="17"/>
      <c r="P3829" s="17" t="s">
        <v>1570</v>
      </c>
      <c r="Q3829" s="17"/>
      <c r="R3829" s="25" t="str">
        <f>HYPERLINK("https://ictv.global/taxonomy/taxondetails?taxnode_id=202313534","Elemovirus elemoE")</f>
        <v>Elemovirus elemoE</v>
      </c>
      <c r="S3829" s="18" t="s">
        <v>30</v>
      </c>
      <c r="T3829" s="18" t="s">
        <v>1583</v>
      </c>
      <c r="U3829" s="18" t="s">
        <v>1584</v>
      </c>
      <c r="V3829" s="18"/>
      <c r="W3829" s="18" t="s">
        <v>1585</v>
      </c>
      <c r="X3829" s="18" t="s">
        <v>42</v>
      </c>
      <c r="Y3829" s="18" t="s">
        <v>36</v>
      </c>
      <c r="Z3829" s="18" t="s">
        <v>697</v>
      </c>
      <c r="AA3829" s="21" t="str">
        <f>HYPERLINK("https://www.ncbi.nlm.nih.gov/nuccore/MT497072","NCBI Nucleotide")</f>
        <v>NCBI Nucleotide</v>
      </c>
    </row>
    <row r="3830" spans="1:27" x14ac:dyDescent="0.35">
      <c r="A3830">
        <v>1005115</v>
      </c>
      <c r="B3830">
        <v>3806</v>
      </c>
      <c r="C3830">
        <v>1</v>
      </c>
      <c r="D3830" s="17" t="s">
        <v>155</v>
      </c>
      <c r="E3830" s="17"/>
      <c r="F3830" s="17" t="s">
        <v>156</v>
      </c>
      <c r="G3830" s="17"/>
      <c r="H3830" s="17" t="s">
        <v>692</v>
      </c>
      <c r="I3830" s="17"/>
      <c r="J3830" s="17" t="s">
        <v>693</v>
      </c>
      <c r="K3830" s="17"/>
      <c r="L3830" s="17"/>
      <c r="M3830" s="17"/>
      <c r="N3830" s="17"/>
      <c r="O3830" s="17"/>
      <c r="P3830" s="17" t="s">
        <v>1570</v>
      </c>
      <c r="Q3830" s="17"/>
      <c r="R3830" s="25" t="str">
        <f>HYPERLINK("https://ictv.global/taxonomy/taxondetails?taxnode_id=202313535","Elemovirus elemoF")</f>
        <v>Elemovirus elemoF</v>
      </c>
      <c r="S3830" s="18" t="s">
        <v>30</v>
      </c>
      <c r="T3830" s="18" t="s">
        <v>1586</v>
      </c>
      <c r="U3830" s="18" t="s">
        <v>1587</v>
      </c>
      <c r="V3830" s="18"/>
      <c r="W3830" s="18" t="s">
        <v>1588</v>
      </c>
      <c r="X3830" s="18" t="s">
        <v>42</v>
      </c>
      <c r="Y3830" s="18" t="s">
        <v>36</v>
      </c>
      <c r="Z3830" s="18" t="s">
        <v>697</v>
      </c>
      <c r="AA3830" s="21" t="str">
        <f>HYPERLINK("https://www.ncbi.nlm.nih.gov/nuccore/MT497071","NCBI Nucleotide")</f>
        <v>NCBI Nucleotide</v>
      </c>
    </row>
    <row r="3831" spans="1:27" x14ac:dyDescent="0.35">
      <c r="A3831">
        <v>1005116</v>
      </c>
      <c r="B3831">
        <v>3807</v>
      </c>
      <c r="C3831">
        <v>1</v>
      </c>
      <c r="D3831" s="17" t="s">
        <v>155</v>
      </c>
      <c r="E3831" s="17"/>
      <c r="F3831" s="17" t="s">
        <v>156</v>
      </c>
      <c r="G3831" s="17"/>
      <c r="H3831" s="17" t="s">
        <v>692</v>
      </c>
      <c r="I3831" s="17"/>
      <c r="J3831" s="17" t="s">
        <v>693</v>
      </c>
      <c r="K3831" s="17"/>
      <c r="L3831" s="17"/>
      <c r="M3831" s="17"/>
      <c r="N3831" s="17"/>
      <c r="O3831" s="17"/>
      <c r="P3831" s="17" t="s">
        <v>1589</v>
      </c>
      <c r="Q3831" s="17"/>
      <c r="R3831" s="25" t="str">
        <f>HYPERLINK("https://ictv.global/taxonomy/taxondetails?taxnode_id=202306739","Elerivirus eleri")</f>
        <v>Elerivirus eleri</v>
      </c>
      <c r="S3831" s="18" t="s">
        <v>30</v>
      </c>
      <c r="T3831" s="18" t="s">
        <v>1590</v>
      </c>
      <c r="U3831" s="18"/>
      <c r="V3831" s="18"/>
      <c r="W3831" s="18" t="s">
        <v>1591</v>
      </c>
      <c r="X3831" s="18" t="s">
        <v>42</v>
      </c>
      <c r="Y3831" s="18" t="s">
        <v>36</v>
      </c>
      <c r="Z3831" s="18" t="s">
        <v>697</v>
      </c>
      <c r="AA3831" s="21" t="str">
        <f>HYPERLINK("https://www.ncbi.nlm.nih.gov/nuccore/MG839027","NCBI Nucleotide")</f>
        <v>NCBI Nucleotide</v>
      </c>
    </row>
    <row r="3832" spans="1:27" x14ac:dyDescent="0.35">
      <c r="A3832">
        <v>1005117</v>
      </c>
      <c r="B3832">
        <v>3808</v>
      </c>
      <c r="C3832">
        <v>1</v>
      </c>
      <c r="D3832" s="17" t="s">
        <v>155</v>
      </c>
      <c r="E3832" s="17"/>
      <c r="F3832" s="17" t="s">
        <v>156</v>
      </c>
      <c r="G3832" s="17"/>
      <c r="H3832" s="17" t="s">
        <v>692</v>
      </c>
      <c r="I3832" s="17"/>
      <c r="J3832" s="17" t="s">
        <v>693</v>
      </c>
      <c r="K3832" s="17"/>
      <c r="L3832" s="17"/>
      <c r="M3832" s="17"/>
      <c r="N3832" s="17"/>
      <c r="O3832" s="17"/>
      <c r="P3832" s="17" t="s">
        <v>1592</v>
      </c>
      <c r="Q3832" s="17"/>
      <c r="R3832" s="25" t="str">
        <f>HYPERLINK("https://ictv.global/taxonomy/taxondetails?taxnode_id=202309991","Elmenteitavirus ev125")</f>
        <v>Elmenteitavirus ev125</v>
      </c>
      <c r="S3832" s="18" t="s">
        <v>30</v>
      </c>
      <c r="T3832" s="18" t="s">
        <v>1593</v>
      </c>
      <c r="U3832" s="18"/>
      <c r="V3832" s="18"/>
      <c r="W3832" s="18" t="s">
        <v>1594</v>
      </c>
      <c r="X3832" s="18" t="s">
        <v>42</v>
      </c>
      <c r="Y3832" s="18" t="s">
        <v>36</v>
      </c>
      <c r="Z3832" s="18" t="s">
        <v>697</v>
      </c>
      <c r="AA3832" s="21" t="str">
        <f>HYPERLINK("https://www.ncbi.nlm.nih.gov/nuccore/MH884509","NCBI Nucleotide")</f>
        <v>NCBI Nucleotide</v>
      </c>
    </row>
    <row r="3833" spans="1:27" x14ac:dyDescent="0.35">
      <c r="A3833">
        <v>1005119</v>
      </c>
      <c r="B3833">
        <v>3809</v>
      </c>
      <c r="C3833">
        <v>1</v>
      </c>
      <c r="D3833" s="17" t="s">
        <v>155</v>
      </c>
      <c r="E3833" s="17"/>
      <c r="F3833" s="17" t="s">
        <v>156</v>
      </c>
      <c r="G3833" s="17"/>
      <c r="H3833" s="17" t="s">
        <v>692</v>
      </c>
      <c r="I3833" s="17"/>
      <c r="J3833" s="17" t="s">
        <v>693</v>
      </c>
      <c r="K3833" s="17"/>
      <c r="L3833" s="17"/>
      <c r="M3833" s="17"/>
      <c r="N3833" s="17"/>
      <c r="O3833" s="17"/>
      <c r="P3833" s="17" t="s">
        <v>1598</v>
      </c>
      <c r="Q3833" s="17"/>
      <c r="R3833" s="25" t="str">
        <f>HYPERLINK("https://ictv.global/taxonomy/taxondetails?taxnode_id=202306821","Emalynvirus cozz")</f>
        <v>Emalynvirus cozz</v>
      </c>
      <c r="S3833" s="18" t="s">
        <v>30</v>
      </c>
      <c r="T3833" s="18" t="s">
        <v>1599</v>
      </c>
      <c r="U3833" s="18"/>
      <c r="V3833" s="18"/>
      <c r="W3833" s="18" t="s">
        <v>1600</v>
      </c>
      <c r="X3833" s="18" t="s">
        <v>42</v>
      </c>
      <c r="Y3833" s="18" t="s">
        <v>36</v>
      </c>
      <c r="Z3833" s="18" t="s">
        <v>697</v>
      </c>
      <c r="AA3833" s="21" t="str">
        <f>HYPERLINK("https://www.ncbi.nlm.nih.gov/nuccore/KU998239","NCBI Nucleotide")</f>
        <v>NCBI Nucleotide</v>
      </c>
    </row>
    <row r="3834" spans="1:27" x14ac:dyDescent="0.35">
      <c r="A3834">
        <v>1005120</v>
      </c>
      <c r="B3834">
        <v>3810</v>
      </c>
      <c r="C3834">
        <v>1</v>
      </c>
      <c r="D3834" s="17" t="s">
        <v>155</v>
      </c>
      <c r="E3834" s="17"/>
      <c r="F3834" s="17" t="s">
        <v>156</v>
      </c>
      <c r="G3834" s="17"/>
      <c r="H3834" s="17" t="s">
        <v>692</v>
      </c>
      <c r="I3834" s="17"/>
      <c r="J3834" s="17" t="s">
        <v>693</v>
      </c>
      <c r="K3834" s="17"/>
      <c r="L3834" s="17"/>
      <c r="M3834" s="17"/>
      <c r="N3834" s="17"/>
      <c r="O3834" s="17"/>
      <c r="P3834" s="17" t="s">
        <v>1598</v>
      </c>
      <c r="Q3834" s="17"/>
      <c r="R3834" s="25" t="str">
        <f>HYPERLINK("https://ictv.global/taxonomy/taxondetails?taxnode_id=202306818","Emalynvirus emalyn")</f>
        <v>Emalynvirus emalyn</v>
      </c>
      <c r="S3834" s="18" t="s">
        <v>30</v>
      </c>
      <c r="T3834" s="18" t="s">
        <v>1601</v>
      </c>
      <c r="U3834" s="18"/>
      <c r="V3834" s="18"/>
      <c r="W3834" s="18" t="s">
        <v>1602</v>
      </c>
      <c r="X3834" s="18" t="s">
        <v>42</v>
      </c>
      <c r="Y3834" s="18" t="s">
        <v>36</v>
      </c>
      <c r="Z3834" s="18" t="s">
        <v>697</v>
      </c>
      <c r="AA3834" s="21" t="str">
        <f>HYPERLINK("https://www.ncbi.nlm.nih.gov/nuccore/KU963260","NCBI Nucleotide")</f>
        <v>NCBI Nucleotide</v>
      </c>
    </row>
    <row r="3835" spans="1:27" x14ac:dyDescent="0.35">
      <c r="A3835">
        <v>1005121</v>
      </c>
      <c r="B3835">
        <v>3811</v>
      </c>
      <c r="C3835">
        <v>1</v>
      </c>
      <c r="D3835" s="17" t="s">
        <v>155</v>
      </c>
      <c r="E3835" s="17"/>
      <c r="F3835" s="17" t="s">
        <v>156</v>
      </c>
      <c r="G3835" s="17"/>
      <c r="H3835" s="17" t="s">
        <v>692</v>
      </c>
      <c r="I3835" s="17"/>
      <c r="J3835" s="17" t="s">
        <v>693</v>
      </c>
      <c r="K3835" s="17"/>
      <c r="L3835" s="17"/>
      <c r="M3835" s="17"/>
      <c r="N3835" s="17"/>
      <c r="O3835" s="17"/>
      <c r="P3835" s="17" t="s">
        <v>1598</v>
      </c>
      <c r="Q3835" s="17"/>
      <c r="R3835" s="25" t="str">
        <f>HYPERLINK("https://ictv.global/taxonomy/taxondetails?taxnode_id=202306819","Emalynvirus GTE2")</f>
        <v>Emalynvirus GTE2</v>
      </c>
      <c r="S3835" s="18" t="s">
        <v>30</v>
      </c>
      <c r="T3835" s="18" t="s">
        <v>1603</v>
      </c>
      <c r="U3835" s="18"/>
      <c r="V3835" s="18"/>
      <c r="W3835" s="18" t="s">
        <v>1604</v>
      </c>
      <c r="X3835" s="18" t="s">
        <v>42</v>
      </c>
      <c r="Y3835" s="18" t="s">
        <v>36</v>
      </c>
      <c r="Z3835" s="18" t="s">
        <v>697</v>
      </c>
      <c r="AA3835" s="21" t="str">
        <f>HYPERLINK("https://www.ncbi.nlm.nih.gov/nuccore/HQ403646","NCBI Nucleotide")</f>
        <v>NCBI Nucleotide</v>
      </c>
    </row>
    <row r="3836" spans="1:27" x14ac:dyDescent="0.35">
      <c r="A3836">
        <v>1005122</v>
      </c>
      <c r="B3836">
        <v>3812</v>
      </c>
      <c r="C3836">
        <v>1</v>
      </c>
      <c r="D3836" s="17" t="s">
        <v>155</v>
      </c>
      <c r="E3836" s="17"/>
      <c r="F3836" s="17" t="s">
        <v>156</v>
      </c>
      <c r="G3836" s="17"/>
      <c r="H3836" s="17" t="s">
        <v>692</v>
      </c>
      <c r="I3836" s="17"/>
      <c r="J3836" s="17" t="s">
        <v>693</v>
      </c>
      <c r="K3836" s="17"/>
      <c r="L3836" s="17"/>
      <c r="M3836" s="17"/>
      <c r="N3836" s="17"/>
      <c r="O3836" s="17"/>
      <c r="P3836" s="17" t="s">
        <v>1598</v>
      </c>
      <c r="Q3836" s="17"/>
      <c r="R3836" s="25" t="str">
        <f>HYPERLINK("https://ictv.global/taxonomy/taxondetails?taxnode_id=202306820","Emalynvirus troje")</f>
        <v>Emalynvirus troje</v>
      </c>
      <c r="S3836" s="18" t="s">
        <v>30</v>
      </c>
      <c r="T3836" s="18" t="s">
        <v>1605</v>
      </c>
      <c r="U3836" s="18"/>
      <c r="V3836" s="18"/>
      <c r="W3836" s="18" t="s">
        <v>1606</v>
      </c>
      <c r="X3836" s="18" t="s">
        <v>42</v>
      </c>
      <c r="Y3836" s="18" t="s">
        <v>36</v>
      </c>
      <c r="Z3836" s="18" t="s">
        <v>697</v>
      </c>
      <c r="AA3836" s="21" t="str">
        <f>HYPERLINK("https://www.ncbi.nlm.nih.gov/nuccore/MG770215","NCBI Nucleotide")</f>
        <v>NCBI Nucleotide</v>
      </c>
    </row>
    <row r="3837" spans="1:27" x14ac:dyDescent="0.35">
      <c r="A3837">
        <v>1005124</v>
      </c>
      <c r="B3837">
        <v>3813</v>
      </c>
      <c r="C3837">
        <v>1</v>
      </c>
      <c r="D3837" s="17" t="s">
        <v>155</v>
      </c>
      <c r="E3837" s="17"/>
      <c r="F3837" s="17" t="s">
        <v>156</v>
      </c>
      <c r="G3837" s="17"/>
      <c r="H3837" s="17" t="s">
        <v>692</v>
      </c>
      <c r="I3837" s="17"/>
      <c r="J3837" s="17" t="s">
        <v>693</v>
      </c>
      <c r="K3837" s="17"/>
      <c r="L3837" s="17"/>
      <c r="M3837" s="17"/>
      <c r="N3837" s="17"/>
      <c r="O3837" s="17"/>
      <c r="P3837" s="17" t="s">
        <v>1607</v>
      </c>
      <c r="Q3837" s="17"/>
      <c r="R3837" s="25" t="str">
        <f>HYPERLINK("https://ictv.global/taxonomy/taxondetails?taxnode_id=202300444","Emdodecavirus M7")</f>
        <v>Emdodecavirus M7</v>
      </c>
      <c r="S3837" s="18" t="s">
        <v>30</v>
      </c>
      <c r="T3837" s="18" t="s">
        <v>1610</v>
      </c>
      <c r="U3837" s="18"/>
      <c r="V3837" s="18"/>
      <c r="W3837" s="18" t="s">
        <v>1611</v>
      </c>
      <c r="X3837" s="18" t="s">
        <v>42</v>
      </c>
      <c r="Y3837" s="18" t="s">
        <v>36</v>
      </c>
      <c r="Z3837" s="18" t="s">
        <v>697</v>
      </c>
      <c r="AA3837" s="21" t="str">
        <f>HYPERLINK("https://www.ncbi.nlm.nih.gov/nuccore/KR052480","NCBI Nucleotide")</f>
        <v>NCBI Nucleotide</v>
      </c>
    </row>
    <row r="3838" spans="1:27" x14ac:dyDescent="0.35">
      <c r="A3838">
        <v>1005123</v>
      </c>
      <c r="B3838">
        <v>3814</v>
      </c>
      <c r="C3838">
        <v>1</v>
      </c>
      <c r="D3838" s="17" t="s">
        <v>155</v>
      </c>
      <c r="E3838" s="17"/>
      <c r="F3838" s="17" t="s">
        <v>156</v>
      </c>
      <c r="G3838" s="17"/>
      <c r="H3838" s="17" t="s">
        <v>692</v>
      </c>
      <c r="I3838" s="17"/>
      <c r="J3838" s="17" t="s">
        <v>693</v>
      </c>
      <c r="K3838" s="17"/>
      <c r="L3838" s="17"/>
      <c r="M3838" s="17"/>
      <c r="N3838" s="17"/>
      <c r="O3838" s="17"/>
      <c r="P3838" s="17" t="s">
        <v>1607</v>
      </c>
      <c r="Q3838" s="17"/>
      <c r="R3838" s="25" t="str">
        <f>HYPERLINK("https://ictv.global/taxonomy/taxondetails?taxnode_id=202300445","Emdodecavirus M12")</f>
        <v>Emdodecavirus M12</v>
      </c>
      <c r="S3838" s="18" t="s">
        <v>30</v>
      </c>
      <c r="T3838" s="18" t="s">
        <v>1608</v>
      </c>
      <c r="U3838" s="18"/>
      <c r="V3838" s="18"/>
      <c r="W3838" s="18" t="s">
        <v>1609</v>
      </c>
      <c r="X3838" s="18" t="s">
        <v>42</v>
      </c>
      <c r="Y3838" s="18" t="s">
        <v>36</v>
      </c>
      <c r="Z3838" s="18" t="s">
        <v>697</v>
      </c>
      <c r="AA3838" s="21" t="str">
        <f>HYPERLINK("https://www.ncbi.nlm.nih.gov/nuccore/KF381361","NCBI Nucleotide")</f>
        <v>NCBI Nucleotide</v>
      </c>
    </row>
    <row r="3839" spans="1:27" x14ac:dyDescent="0.35">
      <c r="A3839">
        <v>1005125</v>
      </c>
      <c r="B3839">
        <v>3815</v>
      </c>
      <c r="C3839">
        <v>1</v>
      </c>
      <c r="D3839" s="17" t="s">
        <v>155</v>
      </c>
      <c r="E3839" s="17"/>
      <c r="F3839" s="17" t="s">
        <v>156</v>
      </c>
      <c r="G3839" s="17"/>
      <c r="H3839" s="17" t="s">
        <v>692</v>
      </c>
      <c r="I3839" s="17"/>
      <c r="J3839" s="17" t="s">
        <v>693</v>
      </c>
      <c r="K3839" s="17"/>
      <c r="L3839" s="17"/>
      <c r="M3839" s="17"/>
      <c r="N3839" s="17"/>
      <c r="O3839" s="17"/>
      <c r="P3839" s="17" t="s">
        <v>1607</v>
      </c>
      <c r="Q3839" s="17"/>
      <c r="R3839" s="25" t="str">
        <f>HYPERLINK("https://ictv.global/taxonomy/taxondetails?taxnode_id=202300446","Emdodecavirus N3")</f>
        <v>Emdodecavirus N3</v>
      </c>
      <c r="S3839" s="18" t="s">
        <v>30</v>
      </c>
      <c r="T3839" s="18" t="s">
        <v>1612</v>
      </c>
      <c r="U3839" s="18"/>
      <c r="V3839" s="18"/>
      <c r="W3839" s="18" t="s">
        <v>1613</v>
      </c>
      <c r="X3839" s="18" t="s">
        <v>42</v>
      </c>
      <c r="Y3839" s="18" t="s">
        <v>36</v>
      </c>
      <c r="Z3839" s="18" t="s">
        <v>697</v>
      </c>
      <c r="AA3839" s="21" t="str">
        <f>HYPERLINK("https://www.ncbi.nlm.nih.gov/nuccore/KR052482","NCBI Nucleotide")</f>
        <v>NCBI Nucleotide</v>
      </c>
    </row>
    <row r="3840" spans="1:27" x14ac:dyDescent="0.35">
      <c r="A3840">
        <v>1024500</v>
      </c>
      <c r="B3840">
        <v>3816</v>
      </c>
      <c r="C3840">
        <v>1</v>
      </c>
      <c r="D3840" s="17" t="s">
        <v>155</v>
      </c>
      <c r="E3840" s="17"/>
      <c r="F3840" s="17" t="s">
        <v>156</v>
      </c>
      <c r="G3840" s="17"/>
      <c r="H3840" s="17" t="s">
        <v>692</v>
      </c>
      <c r="I3840" s="17"/>
      <c r="J3840" s="17" t="s">
        <v>693</v>
      </c>
      <c r="K3840" s="17"/>
      <c r="L3840" s="17"/>
      <c r="M3840" s="17"/>
      <c r="N3840" s="17"/>
      <c r="O3840" s="17"/>
      <c r="P3840" s="17" t="s">
        <v>39936</v>
      </c>
      <c r="Q3840" s="17"/>
      <c r="R3840" s="25" t="str">
        <f>HYPERLINK("https://ictv.global/taxonomy/taxondetails?taxnode_id=202317754","Emirosevirus emirose")</f>
        <v>Emirosevirus emirose</v>
      </c>
      <c r="S3840" s="18" t="s">
        <v>30</v>
      </c>
      <c r="T3840" s="18" t="s">
        <v>39937</v>
      </c>
      <c r="U3840" s="18"/>
      <c r="V3840" s="18"/>
      <c r="W3840" s="18" t="s">
        <v>48516</v>
      </c>
      <c r="X3840" s="18" t="s">
        <v>42</v>
      </c>
      <c r="Y3840" s="18" t="s">
        <v>36</v>
      </c>
      <c r="Z3840" s="18" t="s">
        <v>697</v>
      </c>
      <c r="AA3840" s="21" t="str">
        <f>HYPERLINK("https://www.ncbi.nlm.nih.gov/nuccore/MN586033","NCBI Nucleotide")</f>
        <v>NCBI Nucleotide</v>
      </c>
    </row>
    <row r="3841" spans="1:27" x14ac:dyDescent="0.35">
      <c r="A3841">
        <v>1005126</v>
      </c>
      <c r="B3841">
        <v>3817</v>
      </c>
      <c r="C3841">
        <v>1</v>
      </c>
      <c r="D3841" s="17" t="s">
        <v>155</v>
      </c>
      <c r="E3841" s="17"/>
      <c r="F3841" s="17" t="s">
        <v>156</v>
      </c>
      <c r="G3841" s="17"/>
      <c r="H3841" s="17" t="s">
        <v>692</v>
      </c>
      <c r="I3841" s="17"/>
      <c r="J3841" s="17" t="s">
        <v>693</v>
      </c>
      <c r="K3841" s="17"/>
      <c r="L3841" s="17"/>
      <c r="M3841" s="17"/>
      <c r="N3841" s="17"/>
      <c r="O3841" s="17"/>
      <c r="P3841" s="17" t="s">
        <v>1614</v>
      </c>
      <c r="Q3841" s="17"/>
      <c r="R3841" s="25" t="str">
        <f>HYPERLINK("https://ictv.global/taxonomy/taxondetails?taxnode_id=202314591","Emperorvirus emperor")</f>
        <v>Emperorvirus emperor</v>
      </c>
      <c r="S3841" s="18" t="s">
        <v>30</v>
      </c>
      <c r="T3841" s="18" t="s">
        <v>1615</v>
      </c>
      <c r="U3841" s="18"/>
      <c r="V3841" s="18"/>
      <c r="W3841" s="18" t="s">
        <v>1616</v>
      </c>
      <c r="X3841" s="18" t="s">
        <v>42</v>
      </c>
      <c r="Y3841" s="18" t="s">
        <v>36</v>
      </c>
      <c r="Z3841" s="18" t="s">
        <v>697</v>
      </c>
      <c r="AA3841" s="21" t="str">
        <f>HYPERLINK("https://www.ncbi.nlm.nih.gov/nuccore/MH271296","NCBI Nucleotide")</f>
        <v>NCBI Nucleotide</v>
      </c>
    </row>
    <row r="3842" spans="1:27" x14ac:dyDescent="0.35">
      <c r="A3842">
        <v>1005127</v>
      </c>
      <c r="B3842">
        <v>3818</v>
      </c>
      <c r="C3842">
        <v>1</v>
      </c>
      <c r="D3842" s="17" t="s">
        <v>155</v>
      </c>
      <c r="E3842" s="17"/>
      <c r="F3842" s="17" t="s">
        <v>156</v>
      </c>
      <c r="G3842" s="17"/>
      <c r="H3842" s="17" t="s">
        <v>692</v>
      </c>
      <c r="I3842" s="17"/>
      <c r="J3842" s="17" t="s">
        <v>693</v>
      </c>
      <c r="K3842" s="17"/>
      <c r="L3842" s="17"/>
      <c r="M3842" s="17"/>
      <c r="N3842" s="17"/>
      <c r="O3842" s="17"/>
      <c r="P3842" s="17" t="s">
        <v>1614</v>
      </c>
      <c r="Q3842" s="17"/>
      <c r="R3842" s="25" t="str">
        <f>HYPERLINK("https://ictv.global/taxonomy/taxondetails?taxnode_id=202314592","Emperorvirus sallyspecial")</f>
        <v>Emperorvirus sallyspecial</v>
      </c>
      <c r="S3842" s="18" t="s">
        <v>30</v>
      </c>
      <c r="T3842" s="18" t="s">
        <v>1617</v>
      </c>
      <c r="U3842" s="18"/>
      <c r="V3842" s="18"/>
      <c r="W3842" s="18" t="s">
        <v>1618</v>
      </c>
      <c r="X3842" s="18" t="s">
        <v>42</v>
      </c>
      <c r="Y3842" s="18" t="s">
        <v>36</v>
      </c>
      <c r="Z3842" s="18" t="s">
        <v>697</v>
      </c>
      <c r="AA3842" s="21" t="str">
        <f>HYPERLINK("https://www.ncbi.nlm.nih.gov/nuccore/MG812496","NCBI Nucleotide")</f>
        <v>NCBI Nucleotide</v>
      </c>
    </row>
    <row r="3843" spans="1:27" x14ac:dyDescent="0.35">
      <c r="A3843">
        <v>1005128</v>
      </c>
      <c r="B3843">
        <v>3819</v>
      </c>
      <c r="C3843">
        <v>1</v>
      </c>
      <c r="D3843" s="17" t="s">
        <v>155</v>
      </c>
      <c r="E3843" s="17"/>
      <c r="F3843" s="17" t="s">
        <v>156</v>
      </c>
      <c r="G3843" s="17"/>
      <c r="H3843" s="17" t="s">
        <v>692</v>
      </c>
      <c r="I3843" s="17"/>
      <c r="J3843" s="17" t="s">
        <v>693</v>
      </c>
      <c r="K3843" s="17"/>
      <c r="L3843" s="17"/>
      <c r="M3843" s="17"/>
      <c r="N3843" s="17"/>
      <c r="O3843" s="17"/>
      <c r="P3843" s="17" t="s">
        <v>1619</v>
      </c>
      <c r="Q3843" s="17"/>
      <c r="R3843" s="25" t="str">
        <f>HYPERLINK("https://ictv.global/taxonomy/taxondetails?taxnode_id=202306669","Eneladusvirus BF")</f>
        <v>Eneladusvirus BF</v>
      </c>
      <c r="S3843" s="18" t="s">
        <v>30</v>
      </c>
      <c r="T3843" s="18" t="s">
        <v>1620</v>
      </c>
      <c r="U3843" s="18"/>
      <c r="V3843" s="18"/>
      <c r="W3843" s="18" t="s">
        <v>1621</v>
      </c>
      <c r="X3843" s="18" t="s">
        <v>42</v>
      </c>
      <c r="Y3843" s="18" t="s">
        <v>36</v>
      </c>
      <c r="Z3843" s="18" t="s">
        <v>697</v>
      </c>
      <c r="AA3843" s="21" t="str">
        <f>HYPERLINK("https://www.ncbi.nlm.nih.gov/nuccore/KY630187","NCBI Nucleotide")</f>
        <v>NCBI Nucleotide</v>
      </c>
    </row>
    <row r="3844" spans="1:27" x14ac:dyDescent="0.35">
      <c r="A3844">
        <v>1005129</v>
      </c>
      <c r="B3844">
        <v>3820</v>
      </c>
      <c r="C3844">
        <v>1</v>
      </c>
      <c r="D3844" s="17" t="s">
        <v>155</v>
      </c>
      <c r="E3844" s="17"/>
      <c r="F3844" s="17" t="s">
        <v>156</v>
      </c>
      <c r="G3844" s="17"/>
      <c r="H3844" s="17" t="s">
        <v>692</v>
      </c>
      <c r="I3844" s="17"/>
      <c r="J3844" s="17" t="s">
        <v>693</v>
      </c>
      <c r="K3844" s="17"/>
      <c r="L3844" s="17"/>
      <c r="M3844" s="17"/>
      <c r="N3844" s="17"/>
      <c r="O3844" s="17"/>
      <c r="P3844" s="17" t="s">
        <v>1619</v>
      </c>
      <c r="Q3844" s="17"/>
      <c r="R3844" s="25" t="str">
        <f>HYPERLINK("https://ictv.global/taxonomy/taxondetails?taxnode_id=202306670","Eneladusvirus Yen904")</f>
        <v>Eneladusvirus Yen904</v>
      </c>
      <c r="S3844" s="18" t="s">
        <v>30</v>
      </c>
      <c r="T3844" s="18" t="s">
        <v>1622</v>
      </c>
      <c r="U3844" s="18"/>
      <c r="V3844" s="18"/>
      <c r="W3844" s="18" t="s">
        <v>1623</v>
      </c>
      <c r="X3844" s="18" t="s">
        <v>42</v>
      </c>
      <c r="Y3844" s="18" t="s">
        <v>36</v>
      </c>
      <c r="Z3844" s="18" t="s">
        <v>697</v>
      </c>
      <c r="AA3844" s="21" t="str">
        <f>HYPERLINK("https://www.ncbi.nlm.nih.gov/nuccore/LT960551","NCBI Nucleotide")</f>
        <v>NCBI Nucleotide</v>
      </c>
    </row>
    <row r="3845" spans="1:27" x14ac:dyDescent="0.35">
      <c r="A3845">
        <v>1005130</v>
      </c>
      <c r="B3845">
        <v>3821</v>
      </c>
      <c r="C3845">
        <v>1</v>
      </c>
      <c r="D3845" s="17" t="s">
        <v>155</v>
      </c>
      <c r="E3845" s="17"/>
      <c r="F3845" s="17" t="s">
        <v>156</v>
      </c>
      <c r="G3845" s="17"/>
      <c r="H3845" s="17" t="s">
        <v>692</v>
      </c>
      <c r="I3845" s="17"/>
      <c r="J3845" s="17" t="s">
        <v>693</v>
      </c>
      <c r="K3845" s="17"/>
      <c r="L3845" s="17"/>
      <c r="M3845" s="17"/>
      <c r="N3845" s="17"/>
      <c r="O3845" s="17"/>
      <c r="P3845" s="17" t="s">
        <v>1624</v>
      </c>
      <c r="Q3845" s="17"/>
      <c r="R3845" s="25" t="str">
        <f>HYPERLINK("https://ictv.global/taxonomy/taxondetails?taxnode_id=202314951","Enfavirus NF")</f>
        <v>Enfavirus NF</v>
      </c>
      <c r="S3845" s="18" t="s">
        <v>30</v>
      </c>
      <c r="T3845" s="18" t="s">
        <v>1625</v>
      </c>
      <c r="U3845" s="18"/>
      <c r="V3845" s="18"/>
      <c r="W3845" s="18" t="s">
        <v>1626</v>
      </c>
      <c r="X3845" s="18" t="s">
        <v>42</v>
      </c>
      <c r="Y3845" s="18" t="s">
        <v>36</v>
      </c>
      <c r="Z3845" s="18" t="s">
        <v>697</v>
      </c>
      <c r="AA3845" s="21" t="str">
        <f>HYPERLINK("https://www.ncbi.nlm.nih.gov/nuccore/MN812722","NCBI Nucleotide")</f>
        <v>NCBI Nucleotide</v>
      </c>
    </row>
    <row r="3846" spans="1:27" x14ac:dyDescent="0.35">
      <c r="A3846">
        <v>1005131</v>
      </c>
      <c r="B3846">
        <v>3822</v>
      </c>
      <c r="C3846">
        <v>1</v>
      </c>
      <c r="D3846" s="17" t="s">
        <v>155</v>
      </c>
      <c r="E3846" s="17"/>
      <c r="F3846" s="17" t="s">
        <v>156</v>
      </c>
      <c r="G3846" s="17"/>
      <c r="H3846" s="17" t="s">
        <v>692</v>
      </c>
      <c r="I3846" s="17"/>
      <c r="J3846" s="17" t="s">
        <v>693</v>
      </c>
      <c r="K3846" s="17"/>
      <c r="L3846" s="17"/>
      <c r="M3846" s="17"/>
      <c r="N3846" s="17"/>
      <c r="O3846" s="17"/>
      <c r="P3846" s="17" t="s">
        <v>1627</v>
      </c>
      <c r="Q3846" s="17"/>
      <c r="R3846" s="25" t="str">
        <f>HYPERLINK("https://ictv.global/taxonomy/taxondetails?taxnode_id=202300710","Enhodamvirus VC8")</f>
        <v>Enhodamvirus VC8</v>
      </c>
      <c r="S3846" s="18" t="s">
        <v>30</v>
      </c>
      <c r="T3846" s="18" t="s">
        <v>1628</v>
      </c>
      <c r="U3846" s="18"/>
      <c r="V3846" s="18"/>
      <c r="W3846" s="18" t="s">
        <v>1629</v>
      </c>
      <c r="X3846" s="18" t="s">
        <v>42</v>
      </c>
      <c r="Y3846" s="18" t="s">
        <v>36</v>
      </c>
      <c r="Z3846" s="18" t="s">
        <v>697</v>
      </c>
      <c r="AA3846" s="21" t="str">
        <f>HYPERLINK("https://www.ncbi.nlm.nih.gov/nuccore/JF712866","NCBI Nucleotide")</f>
        <v>NCBI Nucleotide</v>
      </c>
    </row>
    <row r="3847" spans="1:27" x14ac:dyDescent="0.35">
      <c r="A3847">
        <v>1005132</v>
      </c>
      <c r="B3847">
        <v>3823</v>
      </c>
      <c r="C3847">
        <v>1</v>
      </c>
      <c r="D3847" s="17" t="s">
        <v>155</v>
      </c>
      <c r="E3847" s="17"/>
      <c r="F3847" s="17" t="s">
        <v>156</v>
      </c>
      <c r="G3847" s="17"/>
      <c r="H3847" s="17" t="s">
        <v>692</v>
      </c>
      <c r="I3847" s="17"/>
      <c r="J3847" s="17" t="s">
        <v>693</v>
      </c>
      <c r="K3847" s="17"/>
      <c r="L3847" s="17"/>
      <c r="M3847" s="17"/>
      <c r="N3847" s="17"/>
      <c r="O3847" s="17"/>
      <c r="P3847" s="17" t="s">
        <v>1627</v>
      </c>
      <c r="Q3847" s="17"/>
      <c r="R3847" s="25" t="str">
        <f>HYPERLINK("https://ictv.global/taxonomy/taxondetails?taxnode_id=202300711","Enhodamvirus VP2")</f>
        <v>Enhodamvirus VP2</v>
      </c>
      <c r="S3847" s="18" t="s">
        <v>30</v>
      </c>
      <c r="T3847" s="18" t="s">
        <v>1630</v>
      </c>
      <c r="U3847" s="18"/>
      <c r="V3847" s="18"/>
      <c r="W3847" s="18" t="s">
        <v>1631</v>
      </c>
      <c r="X3847" s="18" t="s">
        <v>42</v>
      </c>
      <c r="Y3847" s="18" t="s">
        <v>36</v>
      </c>
      <c r="Z3847" s="18" t="s">
        <v>697</v>
      </c>
      <c r="AA3847" s="21" t="str">
        <f>HYPERLINK("https://www.ncbi.nlm.nih.gov/nuccore/AY505112","NCBI Nucleotide")</f>
        <v>NCBI Nucleotide</v>
      </c>
    </row>
    <row r="3848" spans="1:27" x14ac:dyDescent="0.35">
      <c r="A3848">
        <v>1005133</v>
      </c>
      <c r="B3848">
        <v>3824</v>
      </c>
      <c r="C3848">
        <v>1</v>
      </c>
      <c r="D3848" s="17" t="s">
        <v>155</v>
      </c>
      <c r="E3848" s="17"/>
      <c r="F3848" s="17" t="s">
        <v>156</v>
      </c>
      <c r="G3848" s="17"/>
      <c r="H3848" s="17" t="s">
        <v>692</v>
      </c>
      <c r="I3848" s="17"/>
      <c r="J3848" s="17" t="s">
        <v>693</v>
      </c>
      <c r="K3848" s="17"/>
      <c r="L3848" s="17"/>
      <c r="M3848" s="17"/>
      <c r="N3848" s="17"/>
      <c r="O3848" s="17"/>
      <c r="P3848" s="17" t="s">
        <v>1627</v>
      </c>
      <c r="Q3848" s="17"/>
      <c r="R3848" s="25" t="str">
        <f>HYPERLINK("https://ictv.global/taxonomy/taxondetails?taxnode_id=202300712","Enhodamvirus VP5")</f>
        <v>Enhodamvirus VP5</v>
      </c>
      <c r="S3848" s="18" t="s">
        <v>30</v>
      </c>
      <c r="T3848" s="18" t="s">
        <v>1632</v>
      </c>
      <c r="U3848" s="18"/>
      <c r="V3848" s="18"/>
      <c r="W3848" s="18" t="s">
        <v>1633</v>
      </c>
      <c r="X3848" s="18" t="s">
        <v>42</v>
      </c>
      <c r="Y3848" s="18" t="s">
        <v>36</v>
      </c>
      <c r="Z3848" s="18" t="s">
        <v>697</v>
      </c>
      <c r="AA3848" s="21" t="str">
        <f>HYPERLINK("https://www.ncbi.nlm.nih.gov/nuccore/AY510084","NCBI Nucleotide")</f>
        <v>NCBI Nucleotide</v>
      </c>
    </row>
    <row r="3849" spans="1:27" x14ac:dyDescent="0.35">
      <c r="A3849">
        <v>1005134</v>
      </c>
      <c r="B3849">
        <v>3825</v>
      </c>
      <c r="C3849">
        <v>1</v>
      </c>
      <c r="D3849" s="17" t="s">
        <v>155</v>
      </c>
      <c r="E3849" s="17"/>
      <c r="F3849" s="17" t="s">
        <v>156</v>
      </c>
      <c r="G3849" s="17"/>
      <c r="H3849" s="17" t="s">
        <v>692</v>
      </c>
      <c r="I3849" s="17"/>
      <c r="J3849" s="17" t="s">
        <v>693</v>
      </c>
      <c r="K3849" s="17"/>
      <c r="L3849" s="17"/>
      <c r="M3849" s="17"/>
      <c r="N3849" s="17"/>
      <c r="O3849" s="17"/>
      <c r="P3849" s="17" t="s">
        <v>1634</v>
      </c>
      <c r="Q3849" s="17"/>
      <c r="R3849" s="25" t="str">
        <f>HYPERLINK("https://ictv.global/taxonomy/taxondetails?taxnode_id=202314579","Eowynvirus eowyn")</f>
        <v>Eowynvirus eowyn</v>
      </c>
      <c r="S3849" s="18" t="s">
        <v>30</v>
      </c>
      <c r="T3849" s="18" t="s">
        <v>1635</v>
      </c>
      <c r="U3849" s="18"/>
      <c r="V3849" s="18"/>
      <c r="W3849" s="18" t="s">
        <v>1636</v>
      </c>
      <c r="X3849" s="18" t="s">
        <v>42</v>
      </c>
      <c r="Y3849" s="18" t="s">
        <v>36</v>
      </c>
      <c r="Z3849" s="18" t="s">
        <v>697</v>
      </c>
      <c r="AA3849" s="21" t="str">
        <f>HYPERLINK("https://www.ncbi.nlm.nih.gov/nuccore/LR881104","NCBI Nucleotide")</f>
        <v>NCBI Nucleotide</v>
      </c>
    </row>
    <row r="3850" spans="1:27" x14ac:dyDescent="0.35">
      <c r="A3850">
        <v>1005135</v>
      </c>
      <c r="B3850">
        <v>3826</v>
      </c>
      <c r="C3850">
        <v>1</v>
      </c>
      <c r="D3850" s="17" t="s">
        <v>155</v>
      </c>
      <c r="E3850" s="17"/>
      <c r="F3850" s="17" t="s">
        <v>156</v>
      </c>
      <c r="G3850" s="17"/>
      <c r="H3850" s="17" t="s">
        <v>692</v>
      </c>
      <c r="I3850" s="17"/>
      <c r="J3850" s="17" t="s">
        <v>693</v>
      </c>
      <c r="K3850" s="17"/>
      <c r="L3850" s="17"/>
      <c r="M3850" s="17"/>
      <c r="N3850" s="17"/>
      <c r="O3850" s="17"/>
      <c r="P3850" s="17" t="s">
        <v>1637</v>
      </c>
      <c r="Q3850" s="17"/>
      <c r="R3850" s="25" t="str">
        <f>HYPERLINK("https://ictv.global/taxonomy/taxondetails?taxnode_id=202308048","Eponavirus epona")</f>
        <v>Eponavirus epona</v>
      </c>
      <c r="S3850" s="18" t="s">
        <v>30</v>
      </c>
      <c r="T3850" s="18" t="s">
        <v>1638</v>
      </c>
      <c r="U3850" s="18"/>
      <c r="V3850" s="18"/>
      <c r="W3850" s="18" t="s">
        <v>1639</v>
      </c>
      <c r="X3850" s="18" t="s">
        <v>42</v>
      </c>
      <c r="Y3850" s="18" t="s">
        <v>36</v>
      </c>
      <c r="Z3850" s="18" t="s">
        <v>697</v>
      </c>
      <c r="AA3850" s="21" t="str">
        <f>HYPERLINK("https://www.ncbi.nlm.nih.gov/nuccore/MG711462","NCBI Nucleotide")</f>
        <v>NCBI Nucleotide</v>
      </c>
    </row>
    <row r="3851" spans="1:27" x14ac:dyDescent="0.35">
      <c r="A3851">
        <v>1005136</v>
      </c>
      <c r="B3851">
        <v>3827</v>
      </c>
      <c r="C3851">
        <v>1</v>
      </c>
      <c r="D3851" s="17" t="s">
        <v>155</v>
      </c>
      <c r="E3851" s="17"/>
      <c r="F3851" s="17" t="s">
        <v>156</v>
      </c>
      <c r="G3851" s="17"/>
      <c r="H3851" s="17" t="s">
        <v>692</v>
      </c>
      <c r="I3851" s="17"/>
      <c r="J3851" s="17" t="s">
        <v>693</v>
      </c>
      <c r="K3851" s="17"/>
      <c r="L3851" s="17"/>
      <c r="M3851" s="17"/>
      <c r="N3851" s="17"/>
      <c r="O3851" s="17"/>
      <c r="P3851" s="17" t="s">
        <v>1640</v>
      </c>
      <c r="Q3851" s="17"/>
      <c r="R3851" s="25" t="str">
        <f>HYPERLINK("https://ictv.global/taxonomy/taxondetails?taxnode_id=202314593","Ericdabvirus ericdab")</f>
        <v>Ericdabvirus ericdab</v>
      </c>
      <c r="S3851" s="18" t="s">
        <v>30</v>
      </c>
      <c r="T3851" s="18" t="s">
        <v>1641</v>
      </c>
      <c r="U3851" s="18"/>
      <c r="V3851" s="18"/>
      <c r="W3851" s="18" t="s">
        <v>1642</v>
      </c>
      <c r="X3851" s="18" t="s">
        <v>42</v>
      </c>
      <c r="Y3851" s="18" t="s">
        <v>36</v>
      </c>
      <c r="Z3851" s="18" t="s">
        <v>697</v>
      </c>
      <c r="AA3851" s="21" t="str">
        <f>HYPERLINK("https://www.ncbi.nlm.nih.gov/nuccore/MK660712","NCBI Nucleotide")</f>
        <v>NCBI Nucleotide</v>
      </c>
    </row>
    <row r="3852" spans="1:27" x14ac:dyDescent="0.35">
      <c r="A3852">
        <v>1005139</v>
      </c>
      <c r="B3852">
        <v>3828</v>
      </c>
      <c r="C3852">
        <v>1</v>
      </c>
      <c r="D3852" s="17" t="s">
        <v>155</v>
      </c>
      <c r="E3852" s="17"/>
      <c r="F3852" s="17" t="s">
        <v>156</v>
      </c>
      <c r="G3852" s="17"/>
      <c r="H3852" s="17" t="s">
        <v>692</v>
      </c>
      <c r="I3852" s="17"/>
      <c r="J3852" s="17" t="s">
        <v>693</v>
      </c>
      <c r="K3852" s="17"/>
      <c r="L3852" s="17"/>
      <c r="M3852" s="17"/>
      <c r="N3852" s="17"/>
      <c r="O3852" s="17"/>
      <c r="P3852" s="17" t="s">
        <v>1648</v>
      </c>
      <c r="Q3852" s="17"/>
      <c r="R3852" s="25" t="str">
        <f>HYPERLINK("https://ictv.global/taxonomy/taxondetails?taxnode_id=202307779","Eurybiavirus MED4213")</f>
        <v>Eurybiavirus MED4213</v>
      </c>
      <c r="S3852" s="18" t="s">
        <v>30</v>
      </c>
      <c r="T3852" s="18" t="s">
        <v>1649</v>
      </c>
      <c r="U3852" s="18"/>
      <c r="V3852" s="18"/>
      <c r="W3852" s="18" t="s">
        <v>1650</v>
      </c>
      <c r="X3852" s="18" t="s">
        <v>42</v>
      </c>
      <c r="Y3852" s="18" t="s">
        <v>36</v>
      </c>
      <c r="Z3852" s="18" t="s">
        <v>697</v>
      </c>
      <c r="AA3852" s="21" t="str">
        <f>HYPERLINK("https://www.ncbi.nlm.nih.gov/nuccore/HQ634174","NCBI Nucleotide")</f>
        <v>NCBI Nucleotide</v>
      </c>
    </row>
    <row r="3853" spans="1:27" x14ac:dyDescent="0.35">
      <c r="A3853">
        <v>1005140</v>
      </c>
      <c r="B3853">
        <v>3829</v>
      </c>
      <c r="C3853">
        <v>1</v>
      </c>
      <c r="D3853" s="17" t="s">
        <v>155</v>
      </c>
      <c r="E3853" s="17"/>
      <c r="F3853" s="17" t="s">
        <v>156</v>
      </c>
      <c r="G3853" s="17"/>
      <c r="H3853" s="17" t="s">
        <v>692</v>
      </c>
      <c r="I3853" s="17"/>
      <c r="J3853" s="17" t="s">
        <v>693</v>
      </c>
      <c r="K3853" s="17"/>
      <c r="L3853" s="17"/>
      <c r="M3853" s="17"/>
      <c r="N3853" s="17"/>
      <c r="O3853" s="17"/>
      <c r="P3853" s="17" t="s">
        <v>1648</v>
      </c>
      <c r="Q3853" s="17"/>
      <c r="R3853" s="25" t="str">
        <f>HYPERLINK("https://ictv.global/taxonomy/taxondetails?taxnode_id=202307778","Eurybiavirus PHM1")</f>
        <v>Eurybiavirus PHM1</v>
      </c>
      <c r="S3853" s="18" t="s">
        <v>30</v>
      </c>
      <c r="T3853" s="18" t="s">
        <v>1651</v>
      </c>
      <c r="U3853" s="18"/>
      <c r="V3853" s="18"/>
      <c r="W3853" s="18" t="s">
        <v>1652</v>
      </c>
      <c r="X3853" s="18" t="s">
        <v>42</v>
      </c>
      <c r="Y3853" s="18" t="s">
        <v>36</v>
      </c>
      <c r="Z3853" s="18" t="s">
        <v>697</v>
      </c>
      <c r="AA3853" s="21" t="str">
        <f>HYPERLINK("https://www.ncbi.nlm.nih.gov/nuccore/GU071101","NCBI Nucleotide")</f>
        <v>NCBI Nucleotide</v>
      </c>
    </row>
    <row r="3854" spans="1:27" x14ac:dyDescent="0.35">
      <c r="A3854">
        <v>1005141</v>
      </c>
      <c r="B3854">
        <v>3830</v>
      </c>
      <c r="C3854">
        <v>1</v>
      </c>
      <c r="D3854" s="17" t="s">
        <v>155</v>
      </c>
      <c r="E3854" s="17"/>
      <c r="F3854" s="17" t="s">
        <v>156</v>
      </c>
      <c r="G3854" s="17"/>
      <c r="H3854" s="17" t="s">
        <v>692</v>
      </c>
      <c r="I3854" s="17"/>
      <c r="J3854" s="17" t="s">
        <v>693</v>
      </c>
      <c r="K3854" s="17"/>
      <c r="L3854" s="17"/>
      <c r="M3854" s="17"/>
      <c r="N3854" s="17"/>
      <c r="O3854" s="17"/>
      <c r="P3854" s="17" t="s">
        <v>1648</v>
      </c>
      <c r="Q3854" s="17"/>
      <c r="R3854" s="25" t="str">
        <f>HYPERLINK("https://ictv.global/taxonomy/taxondetails?taxnode_id=202307780","Eurybiavirus PHM2")</f>
        <v>Eurybiavirus PHM2</v>
      </c>
      <c r="S3854" s="18" t="s">
        <v>30</v>
      </c>
      <c r="T3854" s="18" t="s">
        <v>1651</v>
      </c>
      <c r="U3854" s="18"/>
      <c r="V3854" s="18"/>
      <c r="W3854" s="18" t="s">
        <v>1653</v>
      </c>
      <c r="X3854" s="18" t="s">
        <v>42</v>
      </c>
      <c r="Y3854" s="18" t="s">
        <v>36</v>
      </c>
      <c r="Z3854" s="18" t="s">
        <v>697</v>
      </c>
      <c r="AA3854" s="21" t="str">
        <f>HYPERLINK("https://www.ncbi.nlm.nih.gov/nuccore/GU075905","NCBI Nucleotide")</f>
        <v>NCBI Nucleotide</v>
      </c>
    </row>
    <row r="3855" spans="1:27" x14ac:dyDescent="0.35">
      <c r="A3855">
        <v>1005142</v>
      </c>
      <c r="B3855">
        <v>3831</v>
      </c>
      <c r="C3855">
        <v>1</v>
      </c>
      <c r="D3855" s="17" t="s">
        <v>155</v>
      </c>
      <c r="E3855" s="17"/>
      <c r="F3855" s="17" t="s">
        <v>156</v>
      </c>
      <c r="G3855" s="17"/>
      <c r="H3855" s="17" t="s">
        <v>692</v>
      </c>
      <c r="I3855" s="17"/>
      <c r="J3855" s="17" t="s">
        <v>693</v>
      </c>
      <c r="K3855" s="17"/>
      <c r="L3855" s="17"/>
      <c r="M3855" s="17"/>
      <c r="N3855" s="17"/>
      <c r="O3855" s="17"/>
      <c r="P3855" s="17" t="s">
        <v>1654</v>
      </c>
      <c r="Q3855" s="17"/>
      <c r="R3855" s="25" t="str">
        <f>HYPERLINK("https://ictv.global/taxonomy/taxondetails?taxnode_id=202306424","Eyrevirus eyre")</f>
        <v>Eyrevirus eyre</v>
      </c>
      <c r="S3855" s="18" t="s">
        <v>30</v>
      </c>
      <c r="T3855" s="18" t="s">
        <v>1655</v>
      </c>
      <c r="U3855" s="18"/>
      <c r="V3855" s="18"/>
      <c r="W3855" s="18" t="s">
        <v>1656</v>
      </c>
      <c r="X3855" s="18" t="s">
        <v>42</v>
      </c>
      <c r="Y3855" s="18" t="s">
        <v>36</v>
      </c>
      <c r="Z3855" s="18" t="s">
        <v>697</v>
      </c>
      <c r="AA3855" s="21" t="str">
        <f>HYPERLINK("https://www.ncbi.nlm.nih.gov/nuccore/KX557277","NCBI Nucleotide")</f>
        <v>NCBI Nucleotide</v>
      </c>
    </row>
    <row r="3856" spans="1:27" x14ac:dyDescent="0.35">
      <c r="A3856">
        <v>1005143</v>
      </c>
      <c r="B3856">
        <v>3832</v>
      </c>
      <c r="C3856">
        <v>1</v>
      </c>
      <c r="D3856" s="17" t="s">
        <v>155</v>
      </c>
      <c r="E3856" s="17"/>
      <c r="F3856" s="17" t="s">
        <v>156</v>
      </c>
      <c r="G3856" s="17"/>
      <c r="H3856" s="17" t="s">
        <v>692</v>
      </c>
      <c r="I3856" s="17"/>
      <c r="J3856" s="17" t="s">
        <v>693</v>
      </c>
      <c r="K3856" s="17"/>
      <c r="L3856" s="17"/>
      <c r="M3856" s="17"/>
      <c r="N3856" s="17"/>
      <c r="O3856" s="17"/>
      <c r="P3856" s="17" t="s">
        <v>1657</v>
      </c>
      <c r="Q3856" s="17"/>
      <c r="R3856" s="25" t="str">
        <f>HYPERLINK("https://ictv.global/taxonomy/taxondetails?taxnode_id=202307273","Fairfaxidumvirus fairfaxidum")</f>
        <v>Fairfaxidumvirus fairfaxidum</v>
      </c>
      <c r="S3856" s="18" t="s">
        <v>30</v>
      </c>
      <c r="T3856" s="18" t="s">
        <v>1658</v>
      </c>
      <c r="U3856" s="18"/>
      <c r="V3856" s="18"/>
      <c r="W3856" s="18" t="s">
        <v>1659</v>
      </c>
      <c r="X3856" s="18" t="s">
        <v>42</v>
      </c>
      <c r="Y3856" s="18" t="s">
        <v>36</v>
      </c>
      <c r="Z3856" s="18" t="s">
        <v>697</v>
      </c>
      <c r="AA3856" s="21" t="str">
        <f>HYPERLINK("https://www.ncbi.nlm.nih.gov/nuccore/MK814757","NCBI Nucleotide")</f>
        <v>NCBI Nucleotide</v>
      </c>
    </row>
    <row r="3857" spans="1:27" x14ac:dyDescent="0.35">
      <c r="A3857">
        <v>1005144</v>
      </c>
      <c r="B3857">
        <v>3833</v>
      </c>
      <c r="C3857">
        <v>1</v>
      </c>
      <c r="D3857" s="17" t="s">
        <v>155</v>
      </c>
      <c r="E3857" s="17"/>
      <c r="F3857" s="17" t="s">
        <v>156</v>
      </c>
      <c r="G3857" s="17"/>
      <c r="H3857" s="17" t="s">
        <v>692</v>
      </c>
      <c r="I3857" s="17"/>
      <c r="J3857" s="17" t="s">
        <v>693</v>
      </c>
      <c r="K3857" s="17"/>
      <c r="L3857" s="17"/>
      <c r="M3857" s="17"/>
      <c r="N3857" s="17"/>
      <c r="O3857" s="17"/>
      <c r="P3857" s="17" t="s">
        <v>1657</v>
      </c>
      <c r="Q3857" s="17"/>
      <c r="R3857" s="25" t="str">
        <f>HYPERLINK("https://ictv.global/taxonomy/taxondetails?taxnode_id=202313523","Fairfaxidumvirus toast")</f>
        <v>Fairfaxidumvirus toast</v>
      </c>
      <c r="S3857" s="18" t="s">
        <v>30</v>
      </c>
      <c r="T3857" s="18" t="s">
        <v>1660</v>
      </c>
      <c r="U3857" s="18"/>
      <c r="V3857" s="18"/>
      <c r="W3857" s="18" t="s">
        <v>1661</v>
      </c>
      <c r="X3857" s="18" t="s">
        <v>42</v>
      </c>
      <c r="Y3857" s="18" t="s">
        <v>36</v>
      </c>
      <c r="Z3857" s="18" t="s">
        <v>697</v>
      </c>
      <c r="AA3857" s="21" t="str">
        <f>HYPERLINK("https://www.ncbi.nlm.nih.gov/nuccore/MN234161","NCBI Nucleotide")</f>
        <v>NCBI Nucleotide</v>
      </c>
    </row>
    <row r="3858" spans="1:27" x14ac:dyDescent="0.35">
      <c r="A3858">
        <v>1005145</v>
      </c>
      <c r="B3858">
        <v>3834</v>
      </c>
      <c r="C3858">
        <v>1</v>
      </c>
      <c r="D3858" s="17" t="s">
        <v>155</v>
      </c>
      <c r="E3858" s="17"/>
      <c r="F3858" s="17" t="s">
        <v>156</v>
      </c>
      <c r="G3858" s="17"/>
      <c r="H3858" s="17" t="s">
        <v>692</v>
      </c>
      <c r="I3858" s="17"/>
      <c r="J3858" s="17" t="s">
        <v>693</v>
      </c>
      <c r="K3858" s="17"/>
      <c r="L3858" s="17"/>
      <c r="M3858" s="17"/>
      <c r="N3858" s="17"/>
      <c r="O3858" s="17"/>
      <c r="P3858" s="17" t="s">
        <v>1657</v>
      </c>
      <c r="Q3858" s="17"/>
      <c r="R3858" s="25" t="str">
        <f>HYPERLINK("https://ictv.global/taxonomy/taxondetails?taxnode_id=202313524","Fairfaxidumvirus william")</f>
        <v>Fairfaxidumvirus william</v>
      </c>
      <c r="S3858" s="18" t="s">
        <v>30</v>
      </c>
      <c r="T3858" s="18" t="s">
        <v>1662</v>
      </c>
      <c r="U3858" s="18"/>
      <c r="V3858" s="18"/>
      <c r="W3858" s="18" t="s">
        <v>1663</v>
      </c>
      <c r="X3858" s="18" t="s">
        <v>42</v>
      </c>
      <c r="Y3858" s="18" t="s">
        <v>36</v>
      </c>
      <c r="Z3858" s="18" t="s">
        <v>697</v>
      </c>
      <c r="AA3858" s="21" t="str">
        <f>HYPERLINK("https://www.ncbi.nlm.nih.gov/nuccore/MK801721","NCBI Nucleotide")</f>
        <v>NCBI Nucleotide</v>
      </c>
    </row>
    <row r="3859" spans="1:27" x14ac:dyDescent="0.35">
      <c r="A3859">
        <v>1005146</v>
      </c>
      <c r="B3859">
        <v>3835</v>
      </c>
      <c r="C3859">
        <v>1</v>
      </c>
      <c r="D3859" s="17" t="s">
        <v>155</v>
      </c>
      <c r="E3859" s="17"/>
      <c r="F3859" s="17" t="s">
        <v>156</v>
      </c>
      <c r="G3859" s="17"/>
      <c r="H3859" s="17" t="s">
        <v>692</v>
      </c>
      <c r="I3859" s="17"/>
      <c r="J3859" s="17" t="s">
        <v>693</v>
      </c>
      <c r="K3859" s="17"/>
      <c r="L3859" s="17"/>
      <c r="M3859" s="17"/>
      <c r="N3859" s="17"/>
      <c r="O3859" s="17"/>
      <c r="P3859" s="17" t="s">
        <v>1664</v>
      </c>
      <c r="Q3859" s="17"/>
      <c r="R3859" s="25" t="str">
        <f>HYPERLINK("https://ictv.global/taxonomy/taxondetails?taxnode_id=202314869","Fajavirus faja")</f>
        <v>Fajavirus faja</v>
      </c>
      <c r="S3859" s="18" t="s">
        <v>30</v>
      </c>
      <c r="T3859" s="18" t="s">
        <v>1665</v>
      </c>
      <c r="U3859" s="18"/>
      <c r="V3859" s="18"/>
      <c r="W3859" s="18" t="s">
        <v>1666</v>
      </c>
      <c r="X3859" s="18" t="s">
        <v>42</v>
      </c>
      <c r="Y3859" s="18" t="s">
        <v>36</v>
      </c>
      <c r="Z3859" s="18" t="s">
        <v>697</v>
      </c>
      <c r="AA3859" s="21" t="str">
        <f>HYPERLINK("https://www.ncbi.nlm.nih.gov/nuccore/MH834612","NCBI Nucleotide")</f>
        <v>NCBI Nucleotide</v>
      </c>
    </row>
    <row r="3860" spans="1:27" x14ac:dyDescent="0.35">
      <c r="A3860">
        <v>1005147</v>
      </c>
      <c r="B3860">
        <v>3836</v>
      </c>
      <c r="C3860">
        <v>1</v>
      </c>
      <c r="D3860" s="17" t="s">
        <v>155</v>
      </c>
      <c r="E3860" s="17"/>
      <c r="F3860" s="17" t="s">
        <v>156</v>
      </c>
      <c r="G3860" s="17"/>
      <c r="H3860" s="17" t="s">
        <v>692</v>
      </c>
      <c r="I3860" s="17"/>
      <c r="J3860" s="17" t="s">
        <v>693</v>
      </c>
      <c r="K3860" s="17"/>
      <c r="L3860" s="17"/>
      <c r="M3860" s="17"/>
      <c r="N3860" s="17"/>
      <c r="O3860" s="17"/>
      <c r="P3860" s="17" t="s">
        <v>1667</v>
      </c>
      <c r="Q3860" s="17"/>
      <c r="R3860" s="25" t="str">
        <f>HYPERLINK("https://ictv.global/taxonomy/taxondetails?taxnode_id=202306560","Farahnazvirus ISF9")</f>
        <v>Farahnazvirus ISF9</v>
      </c>
      <c r="S3860" s="18" t="s">
        <v>30</v>
      </c>
      <c r="T3860" s="18" t="s">
        <v>1668</v>
      </c>
      <c r="U3860" s="18"/>
      <c r="V3860" s="18"/>
      <c r="W3860" s="18" t="s">
        <v>1669</v>
      </c>
      <c r="X3860" s="18" t="s">
        <v>42</v>
      </c>
      <c r="Y3860" s="18" t="s">
        <v>36</v>
      </c>
      <c r="Z3860" s="18" t="s">
        <v>697</v>
      </c>
      <c r="AA3860" s="21" t="str">
        <f>HYPERLINK("https://www.ncbi.nlm.nih.gov/nuccore/KJ173786","NCBI Nucleotide")</f>
        <v>NCBI Nucleotide</v>
      </c>
    </row>
    <row r="3861" spans="1:27" x14ac:dyDescent="0.35">
      <c r="A3861">
        <v>1005148</v>
      </c>
      <c r="B3861">
        <v>3837</v>
      </c>
      <c r="C3861">
        <v>1</v>
      </c>
      <c r="D3861" s="17" t="s">
        <v>155</v>
      </c>
      <c r="E3861" s="17"/>
      <c r="F3861" s="17" t="s">
        <v>156</v>
      </c>
      <c r="G3861" s="17"/>
      <c r="H3861" s="17" t="s">
        <v>692</v>
      </c>
      <c r="I3861" s="17"/>
      <c r="J3861" s="17" t="s">
        <v>693</v>
      </c>
      <c r="K3861" s="17"/>
      <c r="L3861" s="17"/>
      <c r="M3861" s="17"/>
      <c r="N3861" s="17"/>
      <c r="O3861" s="17"/>
      <c r="P3861" s="17" t="s">
        <v>1670</v>
      </c>
      <c r="Q3861" s="17"/>
      <c r="R3861" s="25" t="str">
        <f>HYPERLINK("https://ictv.global/taxonomy/taxondetails?taxnode_id=202310174","Fattrevirus AT3")</f>
        <v>Fattrevirus AT3</v>
      </c>
      <c r="S3861" s="18" t="s">
        <v>30</v>
      </c>
      <c r="T3861" s="18" t="s">
        <v>1671</v>
      </c>
      <c r="U3861" s="18"/>
      <c r="V3861" s="18"/>
      <c r="W3861" s="18" t="s">
        <v>1672</v>
      </c>
      <c r="X3861" s="18" t="s">
        <v>42</v>
      </c>
      <c r="Y3861" s="18" t="s">
        <v>36</v>
      </c>
      <c r="Z3861" s="18" t="s">
        <v>697</v>
      </c>
      <c r="AA3861" s="21" t="str">
        <f>HYPERLINK("https://www.ncbi.nlm.nih.gov/nuccore/AY605066","NCBI Nucleotide")</f>
        <v>NCBI Nucleotide</v>
      </c>
    </row>
    <row r="3862" spans="1:27" x14ac:dyDescent="0.35">
      <c r="A3862">
        <v>1005149</v>
      </c>
      <c r="B3862">
        <v>3838</v>
      </c>
      <c r="C3862">
        <v>1</v>
      </c>
      <c r="D3862" s="17" t="s">
        <v>155</v>
      </c>
      <c r="E3862" s="17"/>
      <c r="F3862" s="17" t="s">
        <v>156</v>
      </c>
      <c r="G3862" s="17"/>
      <c r="H3862" s="17" t="s">
        <v>692</v>
      </c>
      <c r="I3862" s="17"/>
      <c r="J3862" s="17" t="s">
        <v>693</v>
      </c>
      <c r="K3862" s="17"/>
      <c r="L3862" s="17"/>
      <c r="M3862" s="17"/>
      <c r="N3862" s="17"/>
      <c r="O3862" s="17"/>
      <c r="P3862" s="17" t="s">
        <v>1673</v>
      </c>
      <c r="Q3862" s="17"/>
      <c r="R3862" s="25" t="str">
        <f>HYPERLINK("https://ictv.global/taxonomy/taxondetails?taxnode_id=202307842","Feofaniavirus Eho49")</f>
        <v>Feofaniavirus Eho49</v>
      </c>
      <c r="S3862" s="18" t="s">
        <v>30</v>
      </c>
      <c r="T3862" s="18" t="s">
        <v>1674</v>
      </c>
      <c r="U3862" s="18"/>
      <c r="V3862" s="18"/>
      <c r="W3862" s="18" t="s">
        <v>1675</v>
      </c>
      <c r="X3862" s="18" t="s">
        <v>42</v>
      </c>
      <c r="Y3862" s="18" t="s">
        <v>36</v>
      </c>
      <c r="Z3862" s="18" t="s">
        <v>697</v>
      </c>
      <c r="AA3862" s="21" t="str">
        <f>HYPERLINK("https://www.ncbi.nlm.nih.gov/nuccore/MH443100","NCBI Nucleotide")</f>
        <v>NCBI Nucleotide</v>
      </c>
    </row>
    <row r="3863" spans="1:27" x14ac:dyDescent="0.35">
      <c r="A3863">
        <v>1005150</v>
      </c>
      <c r="B3863">
        <v>3839</v>
      </c>
      <c r="C3863">
        <v>1</v>
      </c>
      <c r="D3863" s="17" t="s">
        <v>155</v>
      </c>
      <c r="E3863" s="17"/>
      <c r="F3863" s="17" t="s">
        <v>156</v>
      </c>
      <c r="G3863" s="17"/>
      <c r="H3863" s="17" t="s">
        <v>692</v>
      </c>
      <c r="I3863" s="17"/>
      <c r="J3863" s="17" t="s">
        <v>693</v>
      </c>
      <c r="K3863" s="17"/>
      <c r="L3863" s="17"/>
      <c r="M3863" s="17"/>
      <c r="N3863" s="17"/>
      <c r="O3863" s="17"/>
      <c r="P3863" s="17" t="s">
        <v>1673</v>
      </c>
      <c r="Q3863" s="17"/>
      <c r="R3863" s="25" t="str">
        <f>HYPERLINK("https://ictv.global/taxonomy/taxondetails?taxnode_id=202307841","Feofaniavirus Eho59")</f>
        <v>Feofaniavirus Eho59</v>
      </c>
      <c r="S3863" s="18" t="s">
        <v>30</v>
      </c>
      <c r="T3863" s="18" t="s">
        <v>1676</v>
      </c>
      <c r="U3863" s="18"/>
      <c r="V3863" s="18"/>
      <c r="W3863" s="18" t="s">
        <v>1677</v>
      </c>
      <c r="X3863" s="18" t="s">
        <v>42</v>
      </c>
      <c r="Y3863" s="18" t="s">
        <v>36</v>
      </c>
      <c r="Z3863" s="18" t="s">
        <v>697</v>
      </c>
      <c r="AA3863" s="21" t="str">
        <f>HYPERLINK("https://www.ncbi.nlm.nih.gov/nuccore/MH443101","NCBI Nucleotide")</f>
        <v>NCBI Nucleotide</v>
      </c>
    </row>
    <row r="3864" spans="1:27" x14ac:dyDescent="0.35">
      <c r="A3864">
        <v>1005151</v>
      </c>
      <c r="B3864">
        <v>3840</v>
      </c>
      <c r="C3864">
        <v>1</v>
      </c>
      <c r="D3864" s="17" t="s">
        <v>155</v>
      </c>
      <c r="E3864" s="17"/>
      <c r="F3864" s="17" t="s">
        <v>156</v>
      </c>
      <c r="G3864" s="17"/>
      <c r="H3864" s="17" t="s">
        <v>692</v>
      </c>
      <c r="I3864" s="17"/>
      <c r="J3864" s="17" t="s">
        <v>693</v>
      </c>
      <c r="K3864" s="17"/>
      <c r="L3864" s="17"/>
      <c r="M3864" s="17"/>
      <c r="N3864" s="17"/>
      <c r="O3864" s="17"/>
      <c r="P3864" s="17" t="s">
        <v>1678</v>
      </c>
      <c r="Q3864" s="17"/>
      <c r="R3864" s="25" t="str">
        <f>HYPERLINK("https://ictv.global/taxonomy/taxondetails?taxnode_id=202310004","Fernvirus BN12")</f>
        <v>Fernvirus BN12</v>
      </c>
      <c r="S3864" s="18" t="s">
        <v>30</v>
      </c>
      <c r="T3864" s="18" t="s">
        <v>1679</v>
      </c>
      <c r="U3864" s="18"/>
      <c r="V3864" s="18"/>
      <c r="W3864" s="18" t="s">
        <v>1680</v>
      </c>
      <c r="X3864" s="18" t="s">
        <v>42</v>
      </c>
      <c r="Y3864" s="18" t="s">
        <v>36</v>
      </c>
      <c r="Z3864" s="18" t="s">
        <v>697</v>
      </c>
      <c r="AA3864" s="21" t="str">
        <f>HYPERLINK("https://www.ncbi.nlm.nih.gov/nuccore/MG727695","NCBI Nucleotide")</f>
        <v>NCBI Nucleotide</v>
      </c>
    </row>
    <row r="3865" spans="1:27" x14ac:dyDescent="0.35">
      <c r="A3865">
        <v>1005152</v>
      </c>
      <c r="B3865">
        <v>3841</v>
      </c>
      <c r="C3865">
        <v>1</v>
      </c>
      <c r="D3865" s="17" t="s">
        <v>155</v>
      </c>
      <c r="E3865" s="17"/>
      <c r="F3865" s="17" t="s">
        <v>156</v>
      </c>
      <c r="G3865" s="17"/>
      <c r="H3865" s="17" t="s">
        <v>692</v>
      </c>
      <c r="I3865" s="17"/>
      <c r="J3865" s="17" t="s">
        <v>693</v>
      </c>
      <c r="K3865" s="17"/>
      <c r="L3865" s="17"/>
      <c r="M3865" s="17"/>
      <c r="N3865" s="17"/>
      <c r="O3865" s="17"/>
      <c r="P3865" s="17" t="s">
        <v>1678</v>
      </c>
      <c r="Q3865" s="17"/>
      <c r="R3865" s="25" t="str">
        <f>HYPERLINK("https://ictv.global/taxonomy/taxondetails?taxnode_id=202301279","Fernvirus diva")</f>
        <v>Fernvirus diva</v>
      </c>
      <c r="S3865" s="18" t="s">
        <v>30</v>
      </c>
      <c r="T3865" s="18" t="s">
        <v>1681</v>
      </c>
      <c r="U3865" s="18"/>
      <c r="V3865" s="18"/>
      <c r="W3865" s="18" t="s">
        <v>1682</v>
      </c>
      <c r="X3865" s="18" t="s">
        <v>42</v>
      </c>
      <c r="Y3865" s="18" t="s">
        <v>36</v>
      </c>
      <c r="Z3865" s="18" t="s">
        <v>697</v>
      </c>
      <c r="AA3865" s="21" t="str">
        <f>HYPERLINK("https://www.ncbi.nlm.nih.gov/nuccore/KP296791","NCBI Nucleotide")</f>
        <v>NCBI Nucleotide</v>
      </c>
    </row>
    <row r="3866" spans="1:27" x14ac:dyDescent="0.35">
      <c r="A3866">
        <v>1005153</v>
      </c>
      <c r="B3866">
        <v>3842</v>
      </c>
      <c r="C3866">
        <v>1</v>
      </c>
      <c r="D3866" s="17" t="s">
        <v>155</v>
      </c>
      <c r="E3866" s="17"/>
      <c r="F3866" s="17" t="s">
        <v>156</v>
      </c>
      <c r="G3866" s="17"/>
      <c r="H3866" s="17" t="s">
        <v>692</v>
      </c>
      <c r="I3866" s="17"/>
      <c r="J3866" s="17" t="s">
        <v>693</v>
      </c>
      <c r="K3866" s="17"/>
      <c r="L3866" s="17"/>
      <c r="M3866" s="17"/>
      <c r="N3866" s="17"/>
      <c r="O3866" s="17"/>
      <c r="P3866" s="17" t="s">
        <v>1678</v>
      </c>
      <c r="Q3866" s="17"/>
      <c r="R3866" s="25" t="str">
        <f>HYPERLINK("https://ictv.global/taxonomy/taxondetails?taxnode_id=202310009","Fernvirus eltigre")</f>
        <v>Fernvirus eltigre</v>
      </c>
      <c r="S3866" s="18" t="s">
        <v>30</v>
      </c>
      <c r="T3866" s="18" t="s">
        <v>1683</v>
      </c>
      <c r="U3866" s="18"/>
      <c r="V3866" s="18"/>
      <c r="W3866" s="18" t="s">
        <v>1684</v>
      </c>
      <c r="X3866" s="18" t="s">
        <v>42</v>
      </c>
      <c r="Y3866" s="18" t="s">
        <v>36</v>
      </c>
      <c r="Z3866" s="18" t="s">
        <v>697</v>
      </c>
      <c r="AA3866" s="21" t="str">
        <f>HYPERLINK("https://www.ncbi.nlm.nih.gov/nuccore/MH454078","NCBI Nucleotide")</f>
        <v>NCBI Nucleotide</v>
      </c>
    </row>
    <row r="3867" spans="1:27" x14ac:dyDescent="0.35">
      <c r="A3867">
        <v>1005154</v>
      </c>
      <c r="B3867">
        <v>3843</v>
      </c>
      <c r="C3867">
        <v>1</v>
      </c>
      <c r="D3867" s="17" t="s">
        <v>155</v>
      </c>
      <c r="E3867" s="17"/>
      <c r="F3867" s="17" t="s">
        <v>156</v>
      </c>
      <c r="G3867" s="17"/>
      <c r="H3867" s="17" t="s">
        <v>692</v>
      </c>
      <c r="I3867" s="17"/>
      <c r="J3867" s="17" t="s">
        <v>693</v>
      </c>
      <c r="K3867" s="17"/>
      <c r="L3867" s="17"/>
      <c r="M3867" s="17"/>
      <c r="N3867" s="17"/>
      <c r="O3867" s="17"/>
      <c r="P3867" s="17" t="s">
        <v>1678</v>
      </c>
      <c r="Q3867" s="17"/>
      <c r="R3867" s="25" t="str">
        <f>HYPERLINK("https://ictv.global/taxonomy/taxondetails?taxnode_id=202310012","Fernvirus fern")</f>
        <v>Fernvirus fern</v>
      </c>
      <c r="S3867" s="18" t="s">
        <v>30</v>
      </c>
      <c r="T3867" s="18" t="s">
        <v>1685</v>
      </c>
      <c r="U3867" s="18"/>
      <c r="V3867" s="18"/>
      <c r="W3867" s="18" t="s">
        <v>1686</v>
      </c>
      <c r="X3867" s="18" t="s">
        <v>42</v>
      </c>
      <c r="Y3867" s="18" t="s">
        <v>36</v>
      </c>
      <c r="Z3867" s="18" t="s">
        <v>697</v>
      </c>
      <c r="AA3867" s="21" t="str">
        <f>HYPERLINK("https://www.ncbi.nlm.nih.gov/nuccore/KT361649","NCBI Nucleotide")</f>
        <v>NCBI Nucleotide</v>
      </c>
    </row>
    <row r="3868" spans="1:27" x14ac:dyDescent="0.35">
      <c r="A3868">
        <v>1005155</v>
      </c>
      <c r="B3868">
        <v>3844</v>
      </c>
      <c r="C3868">
        <v>1</v>
      </c>
      <c r="D3868" s="17" t="s">
        <v>155</v>
      </c>
      <c r="E3868" s="17"/>
      <c r="F3868" s="17" t="s">
        <v>156</v>
      </c>
      <c r="G3868" s="17"/>
      <c r="H3868" s="17" t="s">
        <v>692</v>
      </c>
      <c r="I3868" s="17"/>
      <c r="J3868" s="17" t="s">
        <v>693</v>
      </c>
      <c r="K3868" s="17"/>
      <c r="L3868" s="17"/>
      <c r="M3868" s="17"/>
      <c r="N3868" s="17"/>
      <c r="O3868" s="17"/>
      <c r="P3868" s="17" t="s">
        <v>1678</v>
      </c>
      <c r="Q3868" s="17"/>
      <c r="R3868" s="25" t="str">
        <f>HYPERLINK("https://ictv.global/taxonomy/taxondetails?taxnode_id=202301280","Fernvirus Hb10c2")</f>
        <v>Fernvirus Hb10c2</v>
      </c>
      <c r="S3868" s="18" t="s">
        <v>30</v>
      </c>
      <c r="T3868" s="18" t="s">
        <v>1687</v>
      </c>
      <c r="U3868" s="18"/>
      <c r="V3868" s="18"/>
      <c r="W3868" s="18" t="s">
        <v>1688</v>
      </c>
      <c r="X3868" s="18" t="s">
        <v>42</v>
      </c>
      <c r="Y3868" s="18" t="s">
        <v>36</v>
      </c>
      <c r="Z3868" s="18" t="s">
        <v>697</v>
      </c>
      <c r="AA3868" s="21" t="str">
        <f>HYPERLINK("https://www.ncbi.nlm.nih.gov/nuccore/KP202972","NCBI Nucleotide")</f>
        <v>NCBI Nucleotide</v>
      </c>
    </row>
    <row r="3869" spans="1:27" x14ac:dyDescent="0.35">
      <c r="A3869">
        <v>1005156</v>
      </c>
      <c r="B3869">
        <v>3845</v>
      </c>
      <c r="C3869">
        <v>1</v>
      </c>
      <c r="D3869" s="17" t="s">
        <v>155</v>
      </c>
      <c r="E3869" s="17"/>
      <c r="F3869" s="17" t="s">
        <v>156</v>
      </c>
      <c r="G3869" s="17"/>
      <c r="H3869" s="17" t="s">
        <v>692</v>
      </c>
      <c r="I3869" s="17"/>
      <c r="J3869" s="17" t="s">
        <v>693</v>
      </c>
      <c r="K3869" s="17"/>
      <c r="L3869" s="17"/>
      <c r="M3869" s="17"/>
      <c r="N3869" s="17"/>
      <c r="O3869" s="17"/>
      <c r="P3869" s="17" t="s">
        <v>1678</v>
      </c>
      <c r="Q3869" s="17"/>
      <c r="R3869" s="25" t="str">
        <f>HYPERLINK("https://ictv.global/taxonomy/taxondetails?taxnode_id=202310000","Fernvirus jacopo")</f>
        <v>Fernvirus jacopo</v>
      </c>
      <c r="S3869" s="18" t="s">
        <v>30</v>
      </c>
      <c r="T3869" s="18" t="s">
        <v>1689</v>
      </c>
      <c r="U3869" s="18"/>
      <c r="V3869" s="18"/>
      <c r="W3869" s="18" t="s">
        <v>1690</v>
      </c>
      <c r="X3869" s="18" t="s">
        <v>42</v>
      </c>
      <c r="Y3869" s="18" t="s">
        <v>36</v>
      </c>
      <c r="Z3869" s="18" t="s">
        <v>697</v>
      </c>
      <c r="AA3869" s="21" t="str">
        <f>HYPERLINK("https://www.ncbi.nlm.nih.gov/nuccore/MH454079","NCBI Nucleotide")</f>
        <v>NCBI Nucleotide</v>
      </c>
    </row>
    <row r="3870" spans="1:27" x14ac:dyDescent="0.35">
      <c r="A3870">
        <v>1005157</v>
      </c>
      <c r="B3870">
        <v>3846</v>
      </c>
      <c r="C3870">
        <v>1</v>
      </c>
      <c r="D3870" s="17" t="s">
        <v>155</v>
      </c>
      <c r="E3870" s="17"/>
      <c r="F3870" s="17" t="s">
        <v>156</v>
      </c>
      <c r="G3870" s="17"/>
      <c r="H3870" s="17" t="s">
        <v>692</v>
      </c>
      <c r="I3870" s="17"/>
      <c r="J3870" s="17" t="s">
        <v>693</v>
      </c>
      <c r="K3870" s="17"/>
      <c r="L3870" s="17"/>
      <c r="M3870" s="17"/>
      <c r="N3870" s="17"/>
      <c r="O3870" s="17"/>
      <c r="P3870" s="17" t="s">
        <v>1678</v>
      </c>
      <c r="Q3870" s="17"/>
      <c r="R3870" s="25" t="str">
        <f>HYPERLINK("https://ictv.global/taxonomy/taxondetails?taxnode_id=202310007","Fernvirus kawika")</f>
        <v>Fernvirus kawika</v>
      </c>
      <c r="S3870" s="18" t="s">
        <v>30</v>
      </c>
      <c r="T3870" s="18" t="s">
        <v>1691</v>
      </c>
      <c r="U3870" s="18"/>
      <c r="V3870" s="18"/>
      <c r="W3870" s="18" t="s">
        <v>1692</v>
      </c>
      <c r="X3870" s="18" t="s">
        <v>42</v>
      </c>
      <c r="Y3870" s="18" t="s">
        <v>36</v>
      </c>
      <c r="Z3870" s="18" t="s">
        <v>697</v>
      </c>
      <c r="AA3870" s="21" t="str">
        <f>HYPERLINK("https://www.ncbi.nlm.nih.gov/nuccore/MH431936","NCBI Nucleotide")</f>
        <v>NCBI Nucleotide</v>
      </c>
    </row>
    <row r="3871" spans="1:27" x14ac:dyDescent="0.35">
      <c r="A3871">
        <v>1005158</v>
      </c>
      <c r="B3871">
        <v>3847</v>
      </c>
      <c r="C3871">
        <v>1</v>
      </c>
      <c r="D3871" s="17" t="s">
        <v>155</v>
      </c>
      <c r="E3871" s="17"/>
      <c r="F3871" s="17" t="s">
        <v>156</v>
      </c>
      <c r="G3871" s="17"/>
      <c r="H3871" s="17" t="s">
        <v>692</v>
      </c>
      <c r="I3871" s="17"/>
      <c r="J3871" s="17" t="s">
        <v>693</v>
      </c>
      <c r="K3871" s="17"/>
      <c r="L3871" s="17"/>
      <c r="M3871" s="17"/>
      <c r="N3871" s="17"/>
      <c r="O3871" s="17"/>
      <c r="P3871" s="17" t="s">
        <v>1678</v>
      </c>
      <c r="Q3871" s="17"/>
      <c r="R3871" s="25" t="str">
        <f>HYPERLINK("https://ictv.global/taxonomy/taxondetails?taxnode_id=202310002","Fernvirus leyra")</f>
        <v>Fernvirus leyra</v>
      </c>
      <c r="S3871" s="18" t="s">
        <v>30</v>
      </c>
      <c r="T3871" s="18" t="s">
        <v>1693</v>
      </c>
      <c r="U3871" s="18"/>
      <c r="V3871" s="18"/>
      <c r="W3871" s="18" t="s">
        <v>1694</v>
      </c>
      <c r="X3871" s="18" t="s">
        <v>42</v>
      </c>
      <c r="Y3871" s="18" t="s">
        <v>36</v>
      </c>
      <c r="Z3871" s="18" t="s">
        <v>697</v>
      </c>
      <c r="AA3871" s="21" t="str">
        <f>HYPERLINK("https://www.ncbi.nlm.nih.gov/nuccore/MG727701","NCBI Nucleotide")</f>
        <v>NCBI Nucleotide</v>
      </c>
    </row>
    <row r="3872" spans="1:27" x14ac:dyDescent="0.35">
      <c r="A3872">
        <v>1005159</v>
      </c>
      <c r="B3872">
        <v>3848</v>
      </c>
      <c r="C3872">
        <v>1</v>
      </c>
      <c r="D3872" s="17" t="s">
        <v>155</v>
      </c>
      <c r="E3872" s="17"/>
      <c r="F3872" s="17" t="s">
        <v>156</v>
      </c>
      <c r="G3872" s="17"/>
      <c r="H3872" s="17" t="s">
        <v>692</v>
      </c>
      <c r="I3872" s="17"/>
      <c r="J3872" s="17" t="s">
        <v>693</v>
      </c>
      <c r="K3872" s="17"/>
      <c r="L3872" s="17"/>
      <c r="M3872" s="17"/>
      <c r="N3872" s="17"/>
      <c r="O3872" s="17"/>
      <c r="P3872" s="17" t="s">
        <v>1678</v>
      </c>
      <c r="Q3872" s="17"/>
      <c r="R3872" s="25" t="str">
        <f>HYPERLINK("https://ictv.global/taxonomy/taxondetails?taxnode_id=202310001","Fernvirus likha")</f>
        <v>Fernvirus likha</v>
      </c>
      <c r="S3872" s="18" t="s">
        <v>30</v>
      </c>
      <c r="T3872" s="18" t="s">
        <v>1695</v>
      </c>
      <c r="U3872" s="18"/>
      <c r="V3872" s="18"/>
      <c r="W3872" s="18" t="s">
        <v>1696</v>
      </c>
      <c r="X3872" s="18" t="s">
        <v>42</v>
      </c>
      <c r="Y3872" s="18" t="s">
        <v>36</v>
      </c>
      <c r="Z3872" s="18" t="s">
        <v>697</v>
      </c>
      <c r="AA3872" s="21" t="str">
        <f>HYPERLINK("https://www.ncbi.nlm.nih.gov/nuccore/MG727702","NCBI Nucleotide")</f>
        <v>NCBI Nucleotide</v>
      </c>
    </row>
    <row r="3873" spans="1:27" x14ac:dyDescent="0.35">
      <c r="A3873">
        <v>1005160</v>
      </c>
      <c r="B3873">
        <v>3849</v>
      </c>
      <c r="C3873">
        <v>1</v>
      </c>
      <c r="D3873" s="17" t="s">
        <v>155</v>
      </c>
      <c r="E3873" s="17"/>
      <c r="F3873" s="17" t="s">
        <v>156</v>
      </c>
      <c r="G3873" s="17"/>
      <c r="H3873" s="17" t="s">
        <v>692</v>
      </c>
      <c r="I3873" s="17"/>
      <c r="J3873" s="17" t="s">
        <v>693</v>
      </c>
      <c r="K3873" s="17"/>
      <c r="L3873" s="17"/>
      <c r="M3873" s="17"/>
      <c r="N3873" s="17"/>
      <c r="O3873" s="17"/>
      <c r="P3873" s="17" t="s">
        <v>1678</v>
      </c>
      <c r="Q3873" s="17"/>
      <c r="R3873" s="25" t="str">
        <f>HYPERLINK("https://ictv.global/taxonomy/taxondetails?taxnode_id=202310008","Fernvirus lucielle")</f>
        <v>Fernvirus lucielle</v>
      </c>
      <c r="S3873" s="18" t="s">
        <v>30</v>
      </c>
      <c r="T3873" s="18" t="s">
        <v>1697</v>
      </c>
      <c r="U3873" s="18"/>
      <c r="V3873" s="18"/>
      <c r="W3873" s="18" t="s">
        <v>1698</v>
      </c>
      <c r="X3873" s="18" t="s">
        <v>42</v>
      </c>
      <c r="Y3873" s="18" t="s">
        <v>36</v>
      </c>
      <c r="Z3873" s="18" t="s">
        <v>697</v>
      </c>
      <c r="AA3873" s="21" t="str">
        <f>HYPERLINK("https://www.ncbi.nlm.nih.gov/nuccore/MH431937","NCBI Nucleotide")</f>
        <v>NCBI Nucleotide</v>
      </c>
    </row>
    <row r="3874" spans="1:27" x14ac:dyDescent="0.35">
      <c r="A3874">
        <v>1005161</v>
      </c>
      <c r="B3874">
        <v>3850</v>
      </c>
      <c r="C3874">
        <v>1</v>
      </c>
      <c r="D3874" s="17" t="s">
        <v>155</v>
      </c>
      <c r="E3874" s="17"/>
      <c r="F3874" s="17" t="s">
        <v>156</v>
      </c>
      <c r="G3874" s="17"/>
      <c r="H3874" s="17" t="s">
        <v>692</v>
      </c>
      <c r="I3874" s="17"/>
      <c r="J3874" s="17" t="s">
        <v>693</v>
      </c>
      <c r="K3874" s="17"/>
      <c r="L3874" s="17"/>
      <c r="M3874" s="17"/>
      <c r="N3874" s="17"/>
      <c r="O3874" s="17"/>
      <c r="P3874" s="17" t="s">
        <v>1678</v>
      </c>
      <c r="Q3874" s="17"/>
      <c r="R3874" s="25" t="str">
        <f>HYPERLINK("https://ictv.global/taxonomy/taxondetails?taxnode_id=202310010","Fernvirus P123")</f>
        <v>Fernvirus P123</v>
      </c>
      <c r="S3874" s="18" t="s">
        <v>30</v>
      </c>
      <c r="T3874" s="18" t="s">
        <v>1699</v>
      </c>
      <c r="U3874" s="18"/>
      <c r="V3874" s="18"/>
      <c r="W3874" s="18" t="s">
        <v>1700</v>
      </c>
      <c r="X3874" s="18" t="s">
        <v>42</v>
      </c>
      <c r="Y3874" s="18" t="s">
        <v>36</v>
      </c>
      <c r="Z3874" s="18" t="s">
        <v>697</v>
      </c>
      <c r="AA3874" s="21" t="str">
        <f>HYPERLINK("https://www.ncbi.nlm.nih.gov/nuccore/KF010834","NCBI Nucleotide")</f>
        <v>NCBI Nucleotide</v>
      </c>
    </row>
    <row r="3875" spans="1:27" x14ac:dyDescent="0.35">
      <c r="A3875">
        <v>1005162</v>
      </c>
      <c r="B3875">
        <v>3851</v>
      </c>
      <c r="C3875">
        <v>1</v>
      </c>
      <c r="D3875" s="17" t="s">
        <v>155</v>
      </c>
      <c r="E3875" s="17"/>
      <c r="F3875" s="17" t="s">
        <v>156</v>
      </c>
      <c r="G3875" s="17"/>
      <c r="H3875" s="17" t="s">
        <v>692</v>
      </c>
      <c r="I3875" s="17"/>
      <c r="J3875" s="17" t="s">
        <v>693</v>
      </c>
      <c r="K3875" s="17"/>
      <c r="L3875" s="17"/>
      <c r="M3875" s="17"/>
      <c r="N3875" s="17"/>
      <c r="O3875" s="17"/>
      <c r="P3875" s="17" t="s">
        <v>1678</v>
      </c>
      <c r="Q3875" s="17"/>
      <c r="R3875" s="25" t="str">
        <f>HYPERLINK("https://ictv.global/taxonomy/taxondetails?taxnode_id=202310006","Fernvirus pagassa")</f>
        <v>Fernvirus pagassa</v>
      </c>
      <c r="S3875" s="18" t="s">
        <v>30</v>
      </c>
      <c r="T3875" s="18" t="s">
        <v>1701</v>
      </c>
      <c r="U3875" s="18"/>
      <c r="V3875" s="18"/>
      <c r="W3875" s="18" t="s">
        <v>1702</v>
      </c>
      <c r="X3875" s="18" t="s">
        <v>42</v>
      </c>
      <c r="Y3875" s="18" t="s">
        <v>36</v>
      </c>
      <c r="Z3875" s="18" t="s">
        <v>697</v>
      </c>
      <c r="AA3875" s="21" t="str">
        <f>HYPERLINK("https://www.ncbi.nlm.nih.gov/nuccore/MG727699","NCBI Nucleotide")</f>
        <v>NCBI Nucleotide</v>
      </c>
    </row>
    <row r="3876" spans="1:27" x14ac:dyDescent="0.35">
      <c r="A3876">
        <v>1005163</v>
      </c>
      <c r="B3876">
        <v>3852</v>
      </c>
      <c r="C3876">
        <v>1</v>
      </c>
      <c r="D3876" s="17" t="s">
        <v>155</v>
      </c>
      <c r="E3876" s="17"/>
      <c r="F3876" s="17" t="s">
        <v>156</v>
      </c>
      <c r="G3876" s="17"/>
      <c r="H3876" s="17" t="s">
        <v>692</v>
      </c>
      <c r="I3876" s="17"/>
      <c r="J3876" s="17" t="s">
        <v>693</v>
      </c>
      <c r="K3876" s="17"/>
      <c r="L3876" s="17"/>
      <c r="M3876" s="17"/>
      <c r="N3876" s="17"/>
      <c r="O3876" s="17"/>
      <c r="P3876" s="17" t="s">
        <v>1678</v>
      </c>
      <c r="Q3876" s="17"/>
      <c r="R3876" s="25" t="str">
        <f>HYPERLINK("https://ictv.global/taxonomy/taxondetails?taxnode_id=202310003","Fernvirus PBL1c")</f>
        <v>Fernvirus PBL1c</v>
      </c>
      <c r="S3876" s="18" t="s">
        <v>30</v>
      </c>
      <c r="T3876" s="18" t="s">
        <v>1703</v>
      </c>
      <c r="U3876" s="18"/>
      <c r="V3876" s="18"/>
      <c r="W3876" s="18" t="s">
        <v>1704</v>
      </c>
      <c r="X3876" s="18" t="s">
        <v>42</v>
      </c>
      <c r="Y3876" s="18" t="s">
        <v>36</v>
      </c>
      <c r="Z3876" s="18" t="s">
        <v>697</v>
      </c>
      <c r="AA3876" s="21" t="str">
        <f>HYPERLINK("https://www.ncbi.nlm.nih.gov/nuccore/MG727698","NCBI Nucleotide")</f>
        <v>NCBI Nucleotide</v>
      </c>
    </row>
    <row r="3877" spans="1:27" x14ac:dyDescent="0.35">
      <c r="A3877">
        <v>1005164</v>
      </c>
      <c r="B3877">
        <v>3853</v>
      </c>
      <c r="C3877">
        <v>1</v>
      </c>
      <c r="D3877" s="17" t="s">
        <v>155</v>
      </c>
      <c r="E3877" s="17"/>
      <c r="F3877" s="17" t="s">
        <v>156</v>
      </c>
      <c r="G3877" s="17"/>
      <c r="H3877" s="17" t="s">
        <v>692</v>
      </c>
      <c r="I3877" s="17"/>
      <c r="J3877" s="17" t="s">
        <v>693</v>
      </c>
      <c r="K3877" s="17"/>
      <c r="L3877" s="17"/>
      <c r="M3877" s="17"/>
      <c r="N3877" s="17"/>
      <c r="O3877" s="17"/>
      <c r="P3877" s="17" t="s">
        <v>1678</v>
      </c>
      <c r="Q3877" s="17"/>
      <c r="R3877" s="25" t="str">
        <f>HYPERLINK("https://ictv.global/taxonomy/taxondetails?taxnode_id=202301281","Fernvirus rani")</f>
        <v>Fernvirus rani</v>
      </c>
      <c r="S3877" s="18" t="s">
        <v>30</v>
      </c>
      <c r="T3877" s="18" t="s">
        <v>1705</v>
      </c>
      <c r="U3877" s="18"/>
      <c r="V3877" s="18"/>
      <c r="W3877" s="18" t="s">
        <v>1706</v>
      </c>
      <c r="X3877" s="18" t="s">
        <v>42</v>
      </c>
      <c r="Y3877" s="18" t="s">
        <v>36</v>
      </c>
      <c r="Z3877" s="18" t="s">
        <v>697</v>
      </c>
      <c r="AA3877" s="21" t="str">
        <f>HYPERLINK("https://www.ncbi.nlm.nih.gov/nuccore/KP296793","NCBI Nucleotide")</f>
        <v>NCBI Nucleotide</v>
      </c>
    </row>
    <row r="3878" spans="1:27" x14ac:dyDescent="0.35">
      <c r="A3878">
        <v>1005165</v>
      </c>
      <c r="B3878">
        <v>3854</v>
      </c>
      <c r="C3878">
        <v>1</v>
      </c>
      <c r="D3878" s="17" t="s">
        <v>155</v>
      </c>
      <c r="E3878" s="17"/>
      <c r="F3878" s="17" t="s">
        <v>156</v>
      </c>
      <c r="G3878" s="17"/>
      <c r="H3878" s="17" t="s">
        <v>692</v>
      </c>
      <c r="I3878" s="17"/>
      <c r="J3878" s="17" t="s">
        <v>693</v>
      </c>
      <c r="K3878" s="17"/>
      <c r="L3878" s="17"/>
      <c r="M3878" s="17"/>
      <c r="N3878" s="17"/>
      <c r="O3878" s="17"/>
      <c r="P3878" s="17" t="s">
        <v>1678</v>
      </c>
      <c r="Q3878" s="17"/>
      <c r="R3878" s="25" t="str">
        <f>HYPERLINK("https://ictv.global/taxonomy/taxondetails?taxnode_id=202301282","Fernvirus shelly")</f>
        <v>Fernvirus shelly</v>
      </c>
      <c r="S3878" s="18" t="s">
        <v>30</v>
      </c>
      <c r="T3878" s="18" t="s">
        <v>1707</v>
      </c>
      <c r="U3878" s="18"/>
      <c r="V3878" s="18"/>
      <c r="W3878" s="18" t="s">
        <v>1708</v>
      </c>
      <c r="X3878" s="18" t="s">
        <v>42</v>
      </c>
      <c r="Y3878" s="18" t="s">
        <v>36</v>
      </c>
      <c r="Z3878" s="18" t="s">
        <v>697</v>
      </c>
      <c r="AA3878" s="21" t="str">
        <f>HYPERLINK("https://www.ncbi.nlm.nih.gov/nuccore/KP296795","NCBI Nucleotide")</f>
        <v>NCBI Nucleotide</v>
      </c>
    </row>
    <row r="3879" spans="1:27" x14ac:dyDescent="0.35">
      <c r="A3879">
        <v>1005166</v>
      </c>
      <c r="B3879">
        <v>3855</v>
      </c>
      <c r="C3879">
        <v>1</v>
      </c>
      <c r="D3879" s="17" t="s">
        <v>155</v>
      </c>
      <c r="E3879" s="17"/>
      <c r="F3879" s="17" t="s">
        <v>156</v>
      </c>
      <c r="G3879" s="17"/>
      <c r="H3879" s="17" t="s">
        <v>692</v>
      </c>
      <c r="I3879" s="17"/>
      <c r="J3879" s="17" t="s">
        <v>693</v>
      </c>
      <c r="K3879" s="17"/>
      <c r="L3879" s="17"/>
      <c r="M3879" s="17"/>
      <c r="N3879" s="17"/>
      <c r="O3879" s="17"/>
      <c r="P3879" s="17" t="s">
        <v>1678</v>
      </c>
      <c r="Q3879" s="17"/>
      <c r="R3879" s="25" t="str">
        <f>HYPERLINK("https://ictv.global/taxonomy/taxondetails?taxnode_id=202301283","Fernvirus sitara")</f>
        <v>Fernvirus sitara</v>
      </c>
      <c r="S3879" s="18" t="s">
        <v>30</v>
      </c>
      <c r="T3879" s="18" t="s">
        <v>1709</v>
      </c>
      <c r="U3879" s="18"/>
      <c r="V3879" s="18"/>
      <c r="W3879" s="18" t="s">
        <v>1710</v>
      </c>
      <c r="X3879" s="18" t="s">
        <v>42</v>
      </c>
      <c r="Y3879" s="18" t="s">
        <v>36</v>
      </c>
      <c r="Z3879" s="18" t="s">
        <v>697</v>
      </c>
      <c r="AA3879" s="21" t="str">
        <f>HYPERLINK("https://www.ncbi.nlm.nih.gov/nuccore/KP296796","NCBI Nucleotide")</f>
        <v>NCBI Nucleotide</v>
      </c>
    </row>
    <row r="3880" spans="1:27" x14ac:dyDescent="0.35">
      <c r="A3880">
        <v>1005167</v>
      </c>
      <c r="B3880">
        <v>3856</v>
      </c>
      <c r="C3880">
        <v>1</v>
      </c>
      <c r="D3880" s="17" t="s">
        <v>155</v>
      </c>
      <c r="E3880" s="17"/>
      <c r="F3880" s="17" t="s">
        <v>156</v>
      </c>
      <c r="G3880" s="17"/>
      <c r="H3880" s="17" t="s">
        <v>692</v>
      </c>
      <c r="I3880" s="17"/>
      <c r="J3880" s="17" t="s">
        <v>693</v>
      </c>
      <c r="K3880" s="17"/>
      <c r="L3880" s="17"/>
      <c r="M3880" s="17"/>
      <c r="N3880" s="17"/>
      <c r="O3880" s="17"/>
      <c r="P3880" s="17" t="s">
        <v>1678</v>
      </c>
      <c r="Q3880" s="17"/>
      <c r="R3880" s="25" t="str">
        <f>HYPERLINK("https://ictv.global/taxonomy/taxondetails?taxnode_id=202310005","Fernvirus tadhana")</f>
        <v>Fernvirus tadhana</v>
      </c>
      <c r="S3880" s="18" t="s">
        <v>30</v>
      </c>
      <c r="T3880" s="18" t="s">
        <v>1711</v>
      </c>
      <c r="U3880" s="18"/>
      <c r="V3880" s="18"/>
      <c r="W3880" s="18" t="s">
        <v>1712</v>
      </c>
      <c r="X3880" s="18" t="s">
        <v>42</v>
      </c>
      <c r="Y3880" s="18" t="s">
        <v>36</v>
      </c>
      <c r="Z3880" s="18" t="s">
        <v>697</v>
      </c>
      <c r="AA3880" s="21" t="str">
        <f>HYPERLINK("https://www.ncbi.nlm.nih.gov/nuccore/MG727700","NCBI Nucleotide")</f>
        <v>NCBI Nucleotide</v>
      </c>
    </row>
    <row r="3881" spans="1:27" x14ac:dyDescent="0.35">
      <c r="A3881">
        <v>1005168</v>
      </c>
      <c r="B3881">
        <v>3857</v>
      </c>
      <c r="C3881">
        <v>1</v>
      </c>
      <c r="D3881" s="17" t="s">
        <v>155</v>
      </c>
      <c r="E3881" s="17"/>
      <c r="F3881" s="17" t="s">
        <v>156</v>
      </c>
      <c r="G3881" s="17"/>
      <c r="H3881" s="17" t="s">
        <v>692</v>
      </c>
      <c r="I3881" s="17"/>
      <c r="J3881" s="17" t="s">
        <v>693</v>
      </c>
      <c r="K3881" s="17"/>
      <c r="L3881" s="17"/>
      <c r="M3881" s="17"/>
      <c r="N3881" s="17"/>
      <c r="O3881" s="17"/>
      <c r="P3881" s="17" t="s">
        <v>1678</v>
      </c>
      <c r="Q3881" s="17"/>
      <c r="R3881" s="25" t="str">
        <f>HYPERLINK("https://ictv.global/taxonomy/taxondetails?taxnode_id=202310011","Fernvirus yyerffej")</f>
        <v>Fernvirus yyerffej</v>
      </c>
      <c r="S3881" s="18" t="s">
        <v>30</v>
      </c>
      <c r="T3881" s="18" t="s">
        <v>1713</v>
      </c>
      <c r="U3881" s="18"/>
      <c r="V3881" s="18"/>
      <c r="W3881" s="18" t="s">
        <v>1714</v>
      </c>
      <c r="X3881" s="18" t="s">
        <v>42</v>
      </c>
      <c r="Y3881" s="18" t="s">
        <v>36</v>
      </c>
      <c r="Z3881" s="18" t="s">
        <v>697</v>
      </c>
      <c r="AA3881" s="21" t="str">
        <f>HYPERLINK("https://www.ncbi.nlm.nih.gov/nuccore/MH431931","NCBI Nucleotide")</f>
        <v>NCBI Nucleotide</v>
      </c>
    </row>
    <row r="3882" spans="1:27" x14ac:dyDescent="0.35">
      <c r="A3882">
        <v>1005169</v>
      </c>
      <c r="B3882">
        <v>3858</v>
      </c>
      <c r="C3882">
        <v>1</v>
      </c>
      <c r="D3882" s="17" t="s">
        <v>155</v>
      </c>
      <c r="E3882" s="17"/>
      <c r="F3882" s="17" t="s">
        <v>156</v>
      </c>
      <c r="G3882" s="17"/>
      <c r="H3882" s="17" t="s">
        <v>692</v>
      </c>
      <c r="I3882" s="17"/>
      <c r="J3882" s="17" t="s">
        <v>693</v>
      </c>
      <c r="K3882" s="17"/>
      <c r="L3882" s="17"/>
      <c r="M3882" s="17"/>
      <c r="N3882" s="17"/>
      <c r="O3882" s="17"/>
      <c r="P3882" s="17" t="s">
        <v>1715</v>
      </c>
      <c r="Q3882" s="17"/>
      <c r="R3882" s="25" t="str">
        <f>HYPERLINK("https://ictv.global/taxonomy/taxondetails?taxnode_id=202314582","Ferozepurvirus pAEv1810")</f>
        <v>Ferozepurvirus pAEv1810</v>
      </c>
      <c r="S3882" s="18" t="s">
        <v>30</v>
      </c>
      <c r="T3882" s="18" t="s">
        <v>1716</v>
      </c>
      <c r="U3882" s="18"/>
      <c r="V3882" s="18"/>
      <c r="W3882" s="18" t="s">
        <v>1717</v>
      </c>
      <c r="X3882" s="18" t="s">
        <v>42</v>
      </c>
      <c r="Y3882" s="18" t="s">
        <v>36</v>
      </c>
      <c r="Z3882" s="18" t="s">
        <v>697</v>
      </c>
      <c r="AA3882" s="21" t="str">
        <f>HYPERLINK("https://www.ncbi.nlm.nih.gov/nuccore/OL964756","NCBI Nucleotide")</f>
        <v>NCBI Nucleotide</v>
      </c>
    </row>
    <row r="3883" spans="1:27" x14ac:dyDescent="0.35">
      <c r="A3883">
        <v>1005170</v>
      </c>
      <c r="B3883">
        <v>3859</v>
      </c>
      <c r="C3883">
        <v>1</v>
      </c>
      <c r="D3883" s="17" t="s">
        <v>155</v>
      </c>
      <c r="E3883" s="17"/>
      <c r="F3883" s="17" t="s">
        <v>156</v>
      </c>
      <c r="G3883" s="17"/>
      <c r="H3883" s="17" t="s">
        <v>692</v>
      </c>
      <c r="I3883" s="17"/>
      <c r="J3883" s="17" t="s">
        <v>693</v>
      </c>
      <c r="K3883" s="17"/>
      <c r="L3883" s="17"/>
      <c r="M3883" s="17"/>
      <c r="N3883" s="17"/>
      <c r="O3883" s="17"/>
      <c r="P3883" s="17" t="s">
        <v>1715</v>
      </c>
      <c r="Q3883" s="17"/>
      <c r="R3883" s="25" t="str">
        <f>HYPERLINK("https://ictv.global/taxonomy/taxondetails?taxnode_id=202314581","Ferozepurvirus PS1")</f>
        <v>Ferozepurvirus PS1</v>
      </c>
      <c r="S3883" s="18" t="s">
        <v>30</v>
      </c>
      <c r="T3883" s="18" t="s">
        <v>1718</v>
      </c>
      <c r="U3883" s="18"/>
      <c r="V3883" s="18"/>
      <c r="W3883" s="18" t="s">
        <v>1719</v>
      </c>
      <c r="X3883" s="18" t="s">
        <v>42</v>
      </c>
      <c r="Y3883" s="18" t="s">
        <v>36</v>
      </c>
      <c r="Z3883" s="18" t="s">
        <v>697</v>
      </c>
      <c r="AA3883" s="21" t="str">
        <f>HYPERLINK("https://www.ncbi.nlm.nih.gov/nuccore/MN032614","NCBI Nucleotide")</f>
        <v>NCBI Nucleotide</v>
      </c>
    </row>
    <row r="3884" spans="1:27" x14ac:dyDescent="0.35">
      <c r="A3884">
        <v>1005171</v>
      </c>
      <c r="B3884">
        <v>3860</v>
      </c>
      <c r="C3884">
        <v>1</v>
      </c>
      <c r="D3884" s="17" t="s">
        <v>155</v>
      </c>
      <c r="E3884" s="17"/>
      <c r="F3884" s="17" t="s">
        <v>156</v>
      </c>
      <c r="G3884" s="17"/>
      <c r="H3884" s="17" t="s">
        <v>692</v>
      </c>
      <c r="I3884" s="17"/>
      <c r="J3884" s="17" t="s">
        <v>693</v>
      </c>
      <c r="K3884" s="17"/>
      <c r="L3884" s="17"/>
      <c r="M3884" s="17"/>
      <c r="N3884" s="17"/>
      <c r="O3884" s="17"/>
      <c r="P3884" s="17" t="s">
        <v>1720</v>
      </c>
      <c r="Q3884" s="17"/>
      <c r="R3884" s="25" t="str">
        <f>HYPERLINK("https://ictv.global/taxonomy/taxondetails?taxnode_id=202307845","Fibralongavirus fv2638A")</f>
        <v>Fibralongavirus fv2638A</v>
      </c>
      <c r="S3884" s="18" t="s">
        <v>30</v>
      </c>
      <c r="T3884" s="18" t="s">
        <v>1721</v>
      </c>
      <c r="U3884" s="18"/>
      <c r="V3884" s="18"/>
      <c r="W3884" s="18" t="s">
        <v>1722</v>
      </c>
      <c r="X3884" s="18" t="s">
        <v>42</v>
      </c>
      <c r="Y3884" s="18" t="s">
        <v>36</v>
      </c>
      <c r="Z3884" s="18" t="s">
        <v>697</v>
      </c>
      <c r="AA3884" s="21" t="str">
        <f>HYPERLINK("https://www.ncbi.nlm.nih.gov/nuccore/AY954954","NCBI Nucleotide")</f>
        <v>NCBI Nucleotide</v>
      </c>
    </row>
    <row r="3885" spans="1:27" x14ac:dyDescent="0.35">
      <c r="A3885">
        <v>1005172</v>
      </c>
      <c r="B3885">
        <v>3861</v>
      </c>
      <c r="C3885">
        <v>1</v>
      </c>
      <c r="D3885" s="17" t="s">
        <v>155</v>
      </c>
      <c r="E3885" s="17"/>
      <c r="F3885" s="17" t="s">
        <v>156</v>
      </c>
      <c r="G3885" s="17"/>
      <c r="H3885" s="17" t="s">
        <v>692</v>
      </c>
      <c r="I3885" s="17"/>
      <c r="J3885" s="17" t="s">
        <v>693</v>
      </c>
      <c r="K3885" s="17"/>
      <c r="L3885" s="17"/>
      <c r="M3885" s="17"/>
      <c r="N3885" s="17"/>
      <c r="O3885" s="17"/>
      <c r="P3885" s="17" t="s">
        <v>1720</v>
      </c>
      <c r="Q3885" s="17"/>
      <c r="R3885" s="25" t="str">
        <f>HYPERLINK("https://ictv.global/taxonomy/taxondetails?taxnode_id=202307844","Fibralongavirus QT1")</f>
        <v>Fibralongavirus QT1</v>
      </c>
      <c r="S3885" s="18" t="s">
        <v>30</v>
      </c>
      <c r="T3885" s="18" t="s">
        <v>1723</v>
      </c>
      <c r="U3885" s="18"/>
      <c r="V3885" s="18"/>
      <c r="W3885" s="18" t="s">
        <v>1724</v>
      </c>
      <c r="X3885" s="18" t="s">
        <v>42</v>
      </c>
      <c r="Y3885" s="18" t="s">
        <v>36</v>
      </c>
      <c r="Z3885" s="18" t="s">
        <v>697</v>
      </c>
      <c r="AA3885" s="21" t="str">
        <f>HYPERLINK("https://www.ncbi.nlm.nih.gov/nuccore/MK450538","NCBI Nucleotide")</f>
        <v>NCBI Nucleotide</v>
      </c>
    </row>
    <row r="3886" spans="1:27" x14ac:dyDescent="0.35">
      <c r="A3886">
        <v>1005173</v>
      </c>
      <c r="B3886">
        <v>3862</v>
      </c>
      <c r="C3886">
        <v>1</v>
      </c>
      <c r="D3886" s="17" t="s">
        <v>155</v>
      </c>
      <c r="E3886" s="17"/>
      <c r="F3886" s="17" t="s">
        <v>156</v>
      </c>
      <c r="G3886" s="17"/>
      <c r="H3886" s="17" t="s">
        <v>692</v>
      </c>
      <c r="I3886" s="17"/>
      <c r="J3886" s="17" t="s">
        <v>693</v>
      </c>
      <c r="K3886" s="17"/>
      <c r="L3886" s="17"/>
      <c r="M3886" s="17"/>
      <c r="N3886" s="17"/>
      <c r="O3886" s="17"/>
      <c r="P3886" s="17" t="s">
        <v>1725</v>
      </c>
      <c r="Q3886" s="17"/>
      <c r="R3886" s="25" t="str">
        <f>HYPERLINK("https://ictv.global/taxonomy/taxondetails?taxnode_id=202306949","Ficleduovirus FCL2")</f>
        <v>Ficleduovirus FCL2</v>
      </c>
      <c r="S3886" s="18" t="s">
        <v>30</v>
      </c>
      <c r="T3886" s="18" t="s">
        <v>1726</v>
      </c>
      <c r="U3886" s="18"/>
      <c r="V3886" s="18"/>
      <c r="W3886" s="18" t="s">
        <v>1727</v>
      </c>
      <c r="X3886" s="18" t="s">
        <v>42</v>
      </c>
      <c r="Y3886" s="18" t="s">
        <v>36</v>
      </c>
      <c r="Z3886" s="18" t="s">
        <v>697</v>
      </c>
      <c r="AA3886" s="21" t="str">
        <f>HYPERLINK("https://www.ncbi.nlm.nih.gov/nuccore/KM873719","NCBI Nucleotide")</f>
        <v>NCBI Nucleotide</v>
      </c>
    </row>
    <row r="3887" spans="1:27" x14ac:dyDescent="0.35">
      <c r="A3887">
        <v>1005174</v>
      </c>
      <c r="B3887">
        <v>3863</v>
      </c>
      <c r="C3887">
        <v>1</v>
      </c>
      <c r="D3887" s="17" t="s">
        <v>155</v>
      </c>
      <c r="E3887" s="17"/>
      <c r="F3887" s="17" t="s">
        <v>156</v>
      </c>
      <c r="G3887" s="17"/>
      <c r="H3887" s="17" t="s">
        <v>692</v>
      </c>
      <c r="I3887" s="17"/>
      <c r="J3887" s="17" t="s">
        <v>693</v>
      </c>
      <c r="K3887" s="17"/>
      <c r="L3887" s="17"/>
      <c r="M3887" s="17"/>
      <c r="N3887" s="17"/>
      <c r="O3887" s="17"/>
      <c r="P3887" s="17" t="s">
        <v>1725</v>
      </c>
      <c r="Q3887" s="17"/>
      <c r="R3887" s="25" t="str">
        <f>HYPERLINK("https://ictv.global/taxonomy/taxondetails?taxnode_id=202306950","Ficleduovirus FCV1")</f>
        <v>Ficleduovirus FCV1</v>
      </c>
      <c r="S3887" s="18" t="s">
        <v>30</v>
      </c>
      <c r="T3887" s="18" t="s">
        <v>1728</v>
      </c>
      <c r="U3887" s="18"/>
      <c r="V3887" s="18"/>
      <c r="W3887" s="18" t="s">
        <v>1729</v>
      </c>
      <c r="X3887" s="18" t="s">
        <v>42</v>
      </c>
      <c r="Y3887" s="18" t="s">
        <v>36</v>
      </c>
      <c r="Z3887" s="18" t="s">
        <v>697</v>
      </c>
      <c r="AA3887" s="21" t="str">
        <f>HYPERLINK("https://www.ncbi.nlm.nih.gov/nuccore/KY979235","NCBI Nucleotide")</f>
        <v>NCBI Nucleotide</v>
      </c>
    </row>
    <row r="3888" spans="1:27" x14ac:dyDescent="0.35">
      <c r="A3888">
        <v>1005175</v>
      </c>
      <c r="B3888">
        <v>3864</v>
      </c>
      <c r="C3888">
        <v>1</v>
      </c>
      <c r="D3888" s="17" t="s">
        <v>155</v>
      </c>
      <c r="E3888" s="17"/>
      <c r="F3888" s="17" t="s">
        <v>156</v>
      </c>
      <c r="G3888" s="17"/>
      <c r="H3888" s="17" t="s">
        <v>692</v>
      </c>
      <c r="I3888" s="17"/>
      <c r="J3888" s="17" t="s">
        <v>693</v>
      </c>
      <c r="K3888" s="17"/>
      <c r="L3888" s="17"/>
      <c r="M3888" s="17"/>
      <c r="N3888" s="17"/>
      <c r="O3888" s="17"/>
      <c r="P3888" s="17" t="s">
        <v>1730</v>
      </c>
      <c r="Q3888" s="17"/>
      <c r="R3888" s="25" t="str">
        <f>HYPERLINK("https://ictv.global/taxonomy/taxondetails?taxnode_id=202313526","Finchvirus finch")</f>
        <v>Finchvirus finch</v>
      </c>
      <c r="S3888" s="18" t="s">
        <v>30</v>
      </c>
      <c r="T3888" s="18" t="s">
        <v>1731</v>
      </c>
      <c r="U3888" s="18"/>
      <c r="V3888" s="18"/>
      <c r="W3888" s="18" t="s">
        <v>1732</v>
      </c>
      <c r="X3888" s="18" t="s">
        <v>42</v>
      </c>
      <c r="Y3888" s="18" t="s">
        <v>36</v>
      </c>
      <c r="Z3888" s="18" t="s">
        <v>697</v>
      </c>
      <c r="AA3888" s="21" t="str">
        <f>HYPERLINK("https://www.ncbi.nlm.nih.gov/nuccore/MG962366","NCBI Nucleotide")</f>
        <v>NCBI Nucleotide</v>
      </c>
    </row>
    <row r="3889" spans="1:27" x14ac:dyDescent="0.35">
      <c r="A3889">
        <v>1024551</v>
      </c>
      <c r="B3889">
        <v>3865</v>
      </c>
      <c r="C3889">
        <v>1</v>
      </c>
      <c r="D3889" s="17" t="s">
        <v>155</v>
      </c>
      <c r="E3889" s="17"/>
      <c r="F3889" s="17" t="s">
        <v>156</v>
      </c>
      <c r="G3889" s="17"/>
      <c r="H3889" s="17" t="s">
        <v>692</v>
      </c>
      <c r="I3889" s="17"/>
      <c r="J3889" s="17" t="s">
        <v>693</v>
      </c>
      <c r="K3889" s="17"/>
      <c r="L3889" s="17"/>
      <c r="M3889" s="17"/>
      <c r="N3889" s="17"/>
      <c r="O3889" s="17"/>
      <c r="P3889" s="17" t="s">
        <v>39938</v>
      </c>
      <c r="Q3889" s="17"/>
      <c r="R3889" s="25" t="str">
        <f>HYPERLINK("https://ictv.global/taxonomy/taxondetails?taxnode_id=202317755","Finkelvirus finkel")</f>
        <v>Finkelvirus finkel</v>
      </c>
      <c r="S3889" s="18" t="s">
        <v>30</v>
      </c>
      <c r="T3889" s="18" t="s">
        <v>39939</v>
      </c>
      <c r="U3889" s="18"/>
      <c r="V3889" s="18"/>
      <c r="W3889" s="18" t="s">
        <v>48517</v>
      </c>
      <c r="X3889" s="18" t="s">
        <v>42</v>
      </c>
      <c r="Y3889" s="18" t="s">
        <v>36</v>
      </c>
      <c r="Z3889" s="18" t="s">
        <v>697</v>
      </c>
      <c r="AA3889" s="21" t="str">
        <f>HYPERLINK("https://www.ncbi.nlm.nih.gov/nuccore/ON456347","NCBI Nucleotide")</f>
        <v>NCBI Nucleotide</v>
      </c>
    </row>
    <row r="3890" spans="1:27" x14ac:dyDescent="0.35">
      <c r="A3890">
        <v>1005176</v>
      </c>
      <c r="B3890">
        <v>3866</v>
      </c>
      <c r="C3890">
        <v>1</v>
      </c>
      <c r="D3890" s="17" t="s">
        <v>155</v>
      </c>
      <c r="E3890" s="17"/>
      <c r="F3890" s="17" t="s">
        <v>156</v>
      </c>
      <c r="G3890" s="17"/>
      <c r="H3890" s="17" t="s">
        <v>692</v>
      </c>
      <c r="I3890" s="17"/>
      <c r="J3890" s="17" t="s">
        <v>693</v>
      </c>
      <c r="K3890" s="17"/>
      <c r="L3890" s="17"/>
      <c r="M3890" s="17"/>
      <c r="N3890" s="17"/>
      <c r="O3890" s="17"/>
      <c r="P3890" s="17" t="s">
        <v>1733</v>
      </c>
      <c r="Q3890" s="17"/>
      <c r="R3890" s="25" t="str">
        <f>HYPERLINK("https://ictv.global/taxonomy/taxondetails?taxnode_id=202306952","Fipvunavirus Fpv1")</f>
        <v>Fipvunavirus Fpv1</v>
      </c>
      <c r="S3890" s="18" t="s">
        <v>30</v>
      </c>
      <c r="T3890" s="18" t="s">
        <v>1734</v>
      </c>
      <c r="U3890" s="18"/>
      <c r="V3890" s="18"/>
      <c r="W3890" s="18" t="s">
        <v>1735</v>
      </c>
      <c r="X3890" s="18" t="s">
        <v>42</v>
      </c>
      <c r="Y3890" s="18" t="s">
        <v>36</v>
      </c>
      <c r="Z3890" s="18" t="s">
        <v>697</v>
      </c>
      <c r="AA3890" s="21" t="str">
        <f>HYPERLINK("https://www.ncbi.nlm.nih.gov/nuccore/KU599877","NCBI Nucleotide")</f>
        <v>NCBI Nucleotide</v>
      </c>
    </row>
    <row r="3891" spans="1:27" x14ac:dyDescent="0.35">
      <c r="A3891">
        <v>1005177</v>
      </c>
      <c r="B3891">
        <v>3867</v>
      </c>
      <c r="C3891">
        <v>1</v>
      </c>
      <c r="D3891" s="17" t="s">
        <v>155</v>
      </c>
      <c r="E3891" s="17"/>
      <c r="F3891" s="17" t="s">
        <v>156</v>
      </c>
      <c r="G3891" s="17"/>
      <c r="H3891" s="17" t="s">
        <v>692</v>
      </c>
      <c r="I3891" s="17"/>
      <c r="J3891" s="17" t="s">
        <v>693</v>
      </c>
      <c r="K3891" s="17"/>
      <c r="L3891" s="17"/>
      <c r="M3891" s="17"/>
      <c r="N3891" s="17"/>
      <c r="O3891" s="17"/>
      <c r="P3891" s="17" t="s">
        <v>1733</v>
      </c>
      <c r="Q3891" s="17"/>
      <c r="R3891" s="25" t="str">
        <f>HYPERLINK("https://ictv.global/taxonomy/taxondetails?taxnode_id=202306953","Fipvunavirus Fpv4")</f>
        <v>Fipvunavirus Fpv4</v>
      </c>
      <c r="S3891" s="18" t="s">
        <v>30</v>
      </c>
      <c r="T3891" s="18" t="s">
        <v>1736</v>
      </c>
      <c r="U3891" s="18"/>
      <c r="V3891" s="18"/>
      <c r="W3891" s="18" t="s">
        <v>1737</v>
      </c>
      <c r="X3891" s="18" t="s">
        <v>42</v>
      </c>
      <c r="Y3891" s="18" t="s">
        <v>36</v>
      </c>
      <c r="Z3891" s="18" t="s">
        <v>697</v>
      </c>
      <c r="AA3891" s="21" t="str">
        <f>HYPERLINK("https://www.ncbi.nlm.nih.gov/nuccore/KT876724","NCBI Nucleotide")</f>
        <v>NCBI Nucleotide</v>
      </c>
    </row>
    <row r="3892" spans="1:27" x14ac:dyDescent="0.35">
      <c r="A3892">
        <v>1005178</v>
      </c>
      <c r="B3892">
        <v>3868</v>
      </c>
      <c r="C3892">
        <v>1</v>
      </c>
      <c r="D3892" s="17" t="s">
        <v>155</v>
      </c>
      <c r="E3892" s="17"/>
      <c r="F3892" s="17" t="s">
        <v>156</v>
      </c>
      <c r="G3892" s="17"/>
      <c r="H3892" s="17" t="s">
        <v>692</v>
      </c>
      <c r="I3892" s="17"/>
      <c r="J3892" s="17" t="s">
        <v>693</v>
      </c>
      <c r="K3892" s="17"/>
      <c r="L3892" s="17"/>
      <c r="M3892" s="17"/>
      <c r="N3892" s="17"/>
      <c r="O3892" s="17"/>
      <c r="P3892" s="17" t="s">
        <v>1738</v>
      </c>
      <c r="Q3892" s="17"/>
      <c r="R3892" s="25" t="str">
        <f>HYPERLINK("https://ictv.global/taxonomy/taxondetails?taxnode_id=202311660","Firingavirus firinga")</f>
        <v>Firingavirus firinga</v>
      </c>
      <c r="S3892" s="18" t="s">
        <v>30</v>
      </c>
      <c r="T3892" s="18" t="s">
        <v>1739</v>
      </c>
      <c r="U3892" s="18" t="s">
        <v>1740</v>
      </c>
      <c r="V3892" s="18"/>
      <c r="W3892" s="18" t="s">
        <v>1741</v>
      </c>
      <c r="X3892" s="18" t="s">
        <v>42</v>
      </c>
      <c r="Y3892" s="18" t="s">
        <v>36</v>
      </c>
      <c r="Z3892" s="18" t="s">
        <v>697</v>
      </c>
      <c r="AA3892" s="21" t="str">
        <f>HYPERLINK("https://www.ncbi.nlm.nih.gov/nuccore/MT740737","NCBI Nucleotide")</f>
        <v>NCBI Nucleotide</v>
      </c>
    </row>
    <row r="3893" spans="1:27" x14ac:dyDescent="0.35">
      <c r="A3893">
        <v>1005179</v>
      </c>
      <c r="B3893">
        <v>3869</v>
      </c>
      <c r="C3893">
        <v>1</v>
      </c>
      <c r="D3893" s="17" t="s">
        <v>155</v>
      </c>
      <c r="E3893" s="17"/>
      <c r="F3893" s="17" t="s">
        <v>156</v>
      </c>
      <c r="G3893" s="17"/>
      <c r="H3893" s="17" t="s">
        <v>692</v>
      </c>
      <c r="I3893" s="17"/>
      <c r="J3893" s="17" t="s">
        <v>693</v>
      </c>
      <c r="K3893" s="17"/>
      <c r="L3893" s="17"/>
      <c r="M3893" s="17"/>
      <c r="N3893" s="17"/>
      <c r="O3893" s="17"/>
      <c r="P3893" s="17" t="s">
        <v>1738</v>
      </c>
      <c r="Q3893" s="17"/>
      <c r="R3893" s="25" t="str">
        <f>HYPERLINK("https://ictv.global/taxonomy/taxondetails?taxnode_id=202311661","Firingavirus RSK1")</f>
        <v>Firingavirus RSK1</v>
      </c>
      <c r="S3893" s="18" t="s">
        <v>30</v>
      </c>
      <c r="T3893" s="18" t="s">
        <v>1742</v>
      </c>
      <c r="U3893" s="18"/>
      <c r="V3893" s="18"/>
      <c r="W3893" s="18" t="s">
        <v>1743</v>
      </c>
      <c r="X3893" s="18" t="s">
        <v>42</v>
      </c>
      <c r="Y3893" s="18" t="s">
        <v>36</v>
      </c>
      <c r="Z3893" s="18" t="s">
        <v>697</v>
      </c>
      <c r="AA3893" s="21" t="str">
        <f>HYPERLINK("https://www.ncbi.nlm.nih.gov/nuccore/AB863625","NCBI Nucleotide")</f>
        <v>NCBI Nucleotide</v>
      </c>
    </row>
    <row r="3894" spans="1:27" x14ac:dyDescent="0.35">
      <c r="A3894">
        <v>1024553</v>
      </c>
      <c r="B3894">
        <v>3870</v>
      </c>
      <c r="C3894">
        <v>1</v>
      </c>
      <c r="D3894" s="17" t="s">
        <v>155</v>
      </c>
      <c r="E3894" s="17"/>
      <c r="F3894" s="17" t="s">
        <v>156</v>
      </c>
      <c r="G3894" s="17"/>
      <c r="H3894" s="17" t="s">
        <v>692</v>
      </c>
      <c r="I3894" s="17"/>
      <c r="J3894" s="17" t="s">
        <v>693</v>
      </c>
      <c r="K3894" s="17"/>
      <c r="L3894" s="17"/>
      <c r="M3894" s="17"/>
      <c r="N3894" s="17"/>
      <c r="O3894" s="17"/>
      <c r="P3894" s="17" t="s">
        <v>39940</v>
      </c>
      <c r="Q3894" s="17"/>
      <c r="R3894" s="25" t="str">
        <f>HYPERLINK("https://ictv.global/taxonomy/taxondetails?taxnode_id=202317756","Footloosevirus footloose")</f>
        <v>Footloosevirus footloose</v>
      </c>
      <c r="S3894" s="18" t="s">
        <v>30</v>
      </c>
      <c r="T3894" s="18" t="s">
        <v>39941</v>
      </c>
      <c r="U3894" s="18"/>
      <c r="V3894" s="18"/>
      <c r="W3894" s="18" t="s">
        <v>48518</v>
      </c>
      <c r="X3894" s="18" t="s">
        <v>42</v>
      </c>
      <c r="Y3894" s="18" t="s">
        <v>36</v>
      </c>
      <c r="Z3894" s="18" t="s">
        <v>697</v>
      </c>
      <c r="AA3894" s="21" t="str">
        <f>HYPERLINK("https://www.ncbi.nlm.nih.gov/nuccore/MZ150789","NCBI Nucleotide")</f>
        <v>NCBI Nucleotide</v>
      </c>
    </row>
    <row r="3895" spans="1:27" x14ac:dyDescent="0.35">
      <c r="A3895">
        <v>1005182</v>
      </c>
      <c r="B3895">
        <v>3871</v>
      </c>
      <c r="C3895">
        <v>1</v>
      </c>
      <c r="D3895" s="17" t="s">
        <v>155</v>
      </c>
      <c r="E3895" s="17"/>
      <c r="F3895" s="17" t="s">
        <v>156</v>
      </c>
      <c r="G3895" s="17"/>
      <c r="H3895" s="17" t="s">
        <v>692</v>
      </c>
      <c r="I3895" s="17"/>
      <c r="J3895" s="17" t="s">
        <v>693</v>
      </c>
      <c r="K3895" s="17"/>
      <c r="L3895" s="17"/>
      <c r="M3895" s="17"/>
      <c r="N3895" s="17"/>
      <c r="O3895" s="17"/>
      <c r="P3895" s="17" t="s">
        <v>1749</v>
      </c>
      <c r="Q3895" s="17"/>
      <c r="R3895" s="25" t="str">
        <f>HYPERLINK("https://ictv.global/taxonomy/taxondetails?taxnode_id=202314970","Forzavirus forza")</f>
        <v>Forzavirus forza</v>
      </c>
      <c r="S3895" s="18" t="s">
        <v>30</v>
      </c>
      <c r="T3895" s="18" t="s">
        <v>1750</v>
      </c>
      <c r="U3895" s="18"/>
      <c r="V3895" s="18"/>
      <c r="W3895" s="18" t="s">
        <v>1751</v>
      </c>
      <c r="X3895" s="18" t="s">
        <v>42</v>
      </c>
      <c r="Y3895" s="18" t="s">
        <v>36</v>
      </c>
      <c r="Z3895" s="18" t="s">
        <v>697</v>
      </c>
      <c r="AA3895" s="21" t="str">
        <f>HYPERLINK("https://www.ncbi.nlm.nih.gov/nuccore/MK814760","NCBI Nucleotide")</f>
        <v>NCBI Nucleotide</v>
      </c>
    </row>
    <row r="3896" spans="1:27" x14ac:dyDescent="0.35">
      <c r="A3896">
        <v>1005183</v>
      </c>
      <c r="B3896">
        <v>3872</v>
      </c>
      <c r="C3896">
        <v>1</v>
      </c>
      <c r="D3896" s="17" t="s">
        <v>155</v>
      </c>
      <c r="E3896" s="17"/>
      <c r="F3896" s="17" t="s">
        <v>156</v>
      </c>
      <c r="G3896" s="17"/>
      <c r="H3896" s="17" t="s">
        <v>692</v>
      </c>
      <c r="I3896" s="17"/>
      <c r="J3896" s="17" t="s">
        <v>693</v>
      </c>
      <c r="K3896" s="17"/>
      <c r="L3896" s="17"/>
      <c r="M3896" s="17"/>
      <c r="N3896" s="17"/>
      <c r="O3896" s="17"/>
      <c r="P3896" s="17" t="s">
        <v>1752</v>
      </c>
      <c r="Q3896" s="17"/>
      <c r="R3896" s="25" t="str">
        <f>HYPERLINK("https://ictv.global/taxonomy/taxondetails?taxnode_id=202309913","Fowlmouthvirus fowlmouth")</f>
        <v>Fowlmouthvirus fowlmouth</v>
      </c>
      <c r="S3896" s="18" t="s">
        <v>30</v>
      </c>
      <c r="T3896" s="18" t="s">
        <v>1753</v>
      </c>
      <c r="U3896" s="18"/>
      <c r="V3896" s="18"/>
      <c r="W3896" s="18" t="s">
        <v>1754</v>
      </c>
      <c r="X3896" s="18" t="s">
        <v>42</v>
      </c>
      <c r="Y3896" s="18" t="s">
        <v>36</v>
      </c>
      <c r="Z3896" s="18" t="s">
        <v>697</v>
      </c>
      <c r="AA3896" s="21" t="str">
        <f>HYPERLINK("https://www.ncbi.nlm.nih.gov/nuccore/MH834613","NCBI Nucleotide")</f>
        <v>NCBI Nucleotide</v>
      </c>
    </row>
    <row r="3897" spans="1:27" x14ac:dyDescent="0.35">
      <c r="A3897">
        <v>1005184</v>
      </c>
      <c r="B3897">
        <v>3873</v>
      </c>
      <c r="C3897">
        <v>1</v>
      </c>
      <c r="D3897" s="17" t="s">
        <v>155</v>
      </c>
      <c r="E3897" s="17"/>
      <c r="F3897" s="17" t="s">
        <v>156</v>
      </c>
      <c r="G3897" s="17"/>
      <c r="H3897" s="17" t="s">
        <v>692</v>
      </c>
      <c r="I3897" s="17"/>
      <c r="J3897" s="17" t="s">
        <v>693</v>
      </c>
      <c r="K3897" s="17"/>
      <c r="L3897" s="17"/>
      <c r="M3897" s="17"/>
      <c r="N3897" s="17"/>
      <c r="O3897" s="17"/>
      <c r="P3897" s="17" t="s">
        <v>1755</v>
      </c>
      <c r="Q3897" s="17"/>
      <c r="R3897" s="25" t="str">
        <f>HYPERLINK("https://ictv.global/taxonomy/taxondetails?taxnode_id=202313577","Foxquatrovirus fox4")</f>
        <v>Foxquatrovirus fox4</v>
      </c>
      <c r="S3897" s="18" t="s">
        <v>30</v>
      </c>
      <c r="T3897" s="18" t="s">
        <v>1756</v>
      </c>
      <c r="U3897" s="18"/>
      <c r="V3897" s="18"/>
      <c r="W3897" s="18" t="s">
        <v>1757</v>
      </c>
      <c r="X3897" s="18" t="s">
        <v>42</v>
      </c>
      <c r="Y3897" s="18" t="s">
        <v>36</v>
      </c>
      <c r="Z3897" s="18" t="s">
        <v>697</v>
      </c>
      <c r="AA3897" s="21" t="str">
        <f>HYPERLINK("https://www.ncbi.nlm.nih.gov/nuccore/MT161385","NCBI Nucleotide")</f>
        <v>NCBI Nucleotide</v>
      </c>
    </row>
    <row r="3898" spans="1:27" x14ac:dyDescent="0.35">
      <c r="A3898">
        <v>1005185</v>
      </c>
      <c r="B3898">
        <v>3874</v>
      </c>
      <c r="C3898">
        <v>1</v>
      </c>
      <c r="D3898" s="17" t="s">
        <v>155</v>
      </c>
      <c r="E3898" s="17"/>
      <c r="F3898" s="17" t="s">
        <v>156</v>
      </c>
      <c r="G3898" s="17"/>
      <c r="H3898" s="17" t="s">
        <v>692</v>
      </c>
      <c r="I3898" s="17"/>
      <c r="J3898" s="17" t="s">
        <v>693</v>
      </c>
      <c r="K3898" s="17"/>
      <c r="L3898" s="17"/>
      <c r="M3898" s="17"/>
      <c r="N3898" s="17"/>
      <c r="O3898" s="17"/>
      <c r="P3898" s="17" t="s">
        <v>1758</v>
      </c>
      <c r="Q3898" s="17"/>
      <c r="R3898" s="25" t="str">
        <f>HYPERLINK("https://ictv.global/taxonomy/taxondetails?taxnode_id=202313579","Foxunavirus fox1")</f>
        <v>Foxunavirus fox1</v>
      </c>
      <c r="S3898" s="18" t="s">
        <v>30</v>
      </c>
      <c r="T3898" s="18" t="s">
        <v>1759</v>
      </c>
      <c r="U3898" s="18"/>
      <c r="V3898" s="18"/>
      <c r="W3898" s="18" t="s">
        <v>1760</v>
      </c>
      <c r="X3898" s="18" t="s">
        <v>42</v>
      </c>
      <c r="Y3898" s="18" t="s">
        <v>36</v>
      </c>
      <c r="Z3898" s="18" t="s">
        <v>697</v>
      </c>
      <c r="AA3898" s="21" t="str">
        <f>HYPERLINK("https://www.ncbi.nlm.nih.gov/nuccore/MT161381","NCBI Nucleotide")</f>
        <v>NCBI Nucleotide</v>
      </c>
    </row>
    <row r="3899" spans="1:27" x14ac:dyDescent="0.35">
      <c r="A3899">
        <v>1005186</v>
      </c>
      <c r="B3899">
        <v>3875</v>
      </c>
      <c r="C3899">
        <v>1</v>
      </c>
      <c r="D3899" s="17" t="s">
        <v>155</v>
      </c>
      <c r="E3899" s="17"/>
      <c r="F3899" s="17" t="s">
        <v>156</v>
      </c>
      <c r="G3899" s="17"/>
      <c r="H3899" s="17" t="s">
        <v>692</v>
      </c>
      <c r="I3899" s="17"/>
      <c r="J3899" s="17" t="s">
        <v>693</v>
      </c>
      <c r="K3899" s="17"/>
      <c r="L3899" s="17"/>
      <c r="M3899" s="17"/>
      <c r="N3899" s="17"/>
      <c r="O3899" s="17"/>
      <c r="P3899" s="17" t="s">
        <v>1758</v>
      </c>
      <c r="Q3899" s="17"/>
      <c r="R3899" s="25" t="str">
        <f>HYPERLINK("https://ictv.global/taxonomy/taxondetails?taxnode_id=202313580","Foxunavirus fox2")</f>
        <v>Foxunavirus fox2</v>
      </c>
      <c r="S3899" s="18" t="s">
        <v>30</v>
      </c>
      <c r="T3899" s="18" t="s">
        <v>1761</v>
      </c>
      <c r="U3899" s="18"/>
      <c r="V3899" s="18"/>
      <c r="W3899" s="18" t="s">
        <v>1762</v>
      </c>
      <c r="X3899" s="18" t="s">
        <v>42</v>
      </c>
      <c r="Y3899" s="18" t="s">
        <v>36</v>
      </c>
      <c r="Z3899" s="18" t="s">
        <v>697</v>
      </c>
      <c r="AA3899" s="21" t="str">
        <f>HYPERLINK("https://www.ncbi.nlm.nih.gov/nuccore/MT161382","NCBI Nucleotide")</f>
        <v>NCBI Nucleotide</v>
      </c>
    </row>
    <row r="3900" spans="1:27" x14ac:dyDescent="0.35">
      <c r="A3900">
        <v>1005187</v>
      </c>
      <c r="B3900">
        <v>3876</v>
      </c>
      <c r="C3900">
        <v>1</v>
      </c>
      <c r="D3900" s="17" t="s">
        <v>155</v>
      </c>
      <c r="E3900" s="17"/>
      <c r="F3900" s="17" t="s">
        <v>156</v>
      </c>
      <c r="G3900" s="17"/>
      <c r="H3900" s="17" t="s">
        <v>692</v>
      </c>
      <c r="I3900" s="17"/>
      <c r="J3900" s="17" t="s">
        <v>693</v>
      </c>
      <c r="K3900" s="17"/>
      <c r="L3900" s="17"/>
      <c r="M3900" s="17"/>
      <c r="N3900" s="17"/>
      <c r="O3900" s="17"/>
      <c r="P3900" s="17" t="s">
        <v>1758</v>
      </c>
      <c r="Q3900" s="17"/>
      <c r="R3900" s="25" t="str">
        <f>HYPERLINK("https://ictv.global/taxonomy/taxondetails?taxnode_id=202313581","Foxunavirus fox3")</f>
        <v>Foxunavirus fox3</v>
      </c>
      <c r="S3900" s="18" t="s">
        <v>30</v>
      </c>
      <c r="T3900" s="18" t="s">
        <v>1763</v>
      </c>
      <c r="U3900" s="18"/>
      <c r="V3900" s="18"/>
      <c r="W3900" s="18" t="s">
        <v>1764</v>
      </c>
      <c r="X3900" s="18" t="s">
        <v>42</v>
      </c>
      <c r="Y3900" s="18" t="s">
        <v>36</v>
      </c>
      <c r="Z3900" s="18" t="s">
        <v>697</v>
      </c>
      <c r="AA3900" s="21" t="str">
        <f>HYPERLINK("https://www.ncbi.nlm.nih.gov/nuccore/MT161383","NCBI Nucleotide")</f>
        <v>NCBI Nucleotide</v>
      </c>
    </row>
    <row r="3901" spans="1:27" x14ac:dyDescent="0.35">
      <c r="A3901">
        <v>1005188</v>
      </c>
      <c r="B3901">
        <v>3877</v>
      </c>
      <c r="C3901">
        <v>1</v>
      </c>
      <c r="D3901" s="17" t="s">
        <v>155</v>
      </c>
      <c r="E3901" s="17"/>
      <c r="F3901" s="17" t="s">
        <v>156</v>
      </c>
      <c r="G3901" s="17"/>
      <c r="H3901" s="17" t="s">
        <v>692</v>
      </c>
      <c r="I3901" s="17"/>
      <c r="J3901" s="17" t="s">
        <v>693</v>
      </c>
      <c r="K3901" s="17"/>
      <c r="L3901" s="17"/>
      <c r="M3901" s="17"/>
      <c r="N3901" s="17"/>
      <c r="O3901" s="17"/>
      <c r="P3901" s="17" t="s">
        <v>1758</v>
      </c>
      <c r="Q3901" s="17"/>
      <c r="R3901" s="25" t="str">
        <f>HYPERLINK("https://ictv.global/taxonomy/taxondetails?taxnode_id=202313582","Foxunavirus fox5")</f>
        <v>Foxunavirus fox5</v>
      </c>
      <c r="S3901" s="18" t="s">
        <v>30</v>
      </c>
      <c r="T3901" s="18" t="s">
        <v>1765</v>
      </c>
      <c r="U3901" s="18"/>
      <c r="V3901" s="18"/>
      <c r="W3901" s="18" t="s">
        <v>1766</v>
      </c>
      <c r="X3901" s="18" t="s">
        <v>42</v>
      </c>
      <c r="Y3901" s="18" t="s">
        <v>36</v>
      </c>
      <c r="Z3901" s="18" t="s">
        <v>697</v>
      </c>
      <c r="AA3901" s="21" t="str">
        <f>HYPERLINK("https://www.ncbi.nlm.nih.gov/nuccore/MT161384","NCBI Nucleotide")</f>
        <v>NCBI Nucleotide</v>
      </c>
    </row>
    <row r="3902" spans="1:27" x14ac:dyDescent="0.35">
      <c r="A3902">
        <v>1005189</v>
      </c>
      <c r="B3902">
        <v>3878</v>
      </c>
      <c r="C3902">
        <v>1</v>
      </c>
      <c r="D3902" s="17" t="s">
        <v>155</v>
      </c>
      <c r="E3902" s="17"/>
      <c r="F3902" s="17" t="s">
        <v>156</v>
      </c>
      <c r="G3902" s="17"/>
      <c r="H3902" s="17" t="s">
        <v>692</v>
      </c>
      <c r="I3902" s="17"/>
      <c r="J3902" s="17" t="s">
        <v>693</v>
      </c>
      <c r="K3902" s="17"/>
      <c r="L3902" s="17"/>
      <c r="M3902" s="17"/>
      <c r="N3902" s="17"/>
      <c r="O3902" s="17"/>
      <c r="P3902" s="17" t="s">
        <v>1767</v>
      </c>
      <c r="Q3902" s="17"/>
      <c r="R3902" s="25" t="str">
        <f>HYPERLINK("https://ictv.global/taxonomy/taxondetails?taxnode_id=202307850","Franklinbayvirus fv9A")</f>
        <v>Franklinbayvirus fv9A</v>
      </c>
      <c r="S3902" s="18" t="s">
        <v>30</v>
      </c>
      <c r="T3902" s="18" t="s">
        <v>1768</v>
      </c>
      <c r="U3902" s="18"/>
      <c r="V3902" s="18"/>
      <c r="W3902" s="18" t="s">
        <v>1769</v>
      </c>
      <c r="X3902" s="18" t="s">
        <v>42</v>
      </c>
      <c r="Y3902" s="18" t="s">
        <v>36</v>
      </c>
      <c r="Z3902" s="18" t="s">
        <v>697</v>
      </c>
      <c r="AA3902" s="21" t="str">
        <f>HYPERLINK("https://www.ncbi.nlm.nih.gov/nuccore/HQ317390","NCBI Nucleotide")</f>
        <v>NCBI Nucleotide</v>
      </c>
    </row>
    <row r="3903" spans="1:27" x14ac:dyDescent="0.35">
      <c r="A3903">
        <v>1005190</v>
      </c>
      <c r="B3903">
        <v>3879</v>
      </c>
      <c r="C3903">
        <v>1</v>
      </c>
      <c r="D3903" s="17" t="s">
        <v>155</v>
      </c>
      <c r="E3903" s="17"/>
      <c r="F3903" s="17" t="s">
        <v>156</v>
      </c>
      <c r="G3903" s="17"/>
      <c r="H3903" s="17" t="s">
        <v>692</v>
      </c>
      <c r="I3903" s="17"/>
      <c r="J3903" s="17" t="s">
        <v>693</v>
      </c>
      <c r="K3903" s="17"/>
      <c r="L3903" s="17"/>
      <c r="M3903" s="17"/>
      <c r="N3903" s="17"/>
      <c r="O3903" s="17"/>
      <c r="P3903" s="17" t="s">
        <v>1770</v>
      </c>
      <c r="Q3903" s="17"/>
      <c r="R3903" s="25" t="str">
        <f>HYPERLINK("https://ictv.global/taxonomy/taxondetails?taxnode_id=202310037","Fremauxvirus CHPC971")</f>
        <v>Fremauxvirus CHPC971</v>
      </c>
      <c r="S3903" s="18" t="s">
        <v>30</v>
      </c>
      <c r="T3903" s="18" t="s">
        <v>1771</v>
      </c>
      <c r="U3903" s="18"/>
      <c r="V3903" s="18"/>
      <c r="W3903" s="18" t="s">
        <v>1772</v>
      </c>
      <c r="X3903" s="18" t="s">
        <v>42</v>
      </c>
      <c r="Y3903" s="18" t="s">
        <v>36</v>
      </c>
      <c r="Z3903" s="18" t="s">
        <v>697</v>
      </c>
      <c r="AA3903" s="21" t="str">
        <f>HYPERLINK("https://www.ncbi.nlm.nih.gov/nuccore/MK779875","NCBI Nucleotide")</f>
        <v>NCBI Nucleotide</v>
      </c>
    </row>
    <row r="3904" spans="1:27" x14ac:dyDescent="0.35">
      <c r="A3904">
        <v>1005191</v>
      </c>
      <c r="B3904">
        <v>3880</v>
      </c>
      <c r="C3904">
        <v>1</v>
      </c>
      <c r="D3904" s="17" t="s">
        <v>155</v>
      </c>
      <c r="E3904" s="17"/>
      <c r="F3904" s="17" t="s">
        <v>156</v>
      </c>
      <c r="G3904" s="17"/>
      <c r="H3904" s="17" t="s">
        <v>692</v>
      </c>
      <c r="I3904" s="17"/>
      <c r="J3904" s="17" t="s">
        <v>693</v>
      </c>
      <c r="K3904" s="17"/>
      <c r="L3904" s="17"/>
      <c r="M3904" s="17"/>
      <c r="N3904" s="17"/>
      <c r="O3904" s="17"/>
      <c r="P3904" s="17" t="s">
        <v>1770</v>
      </c>
      <c r="Q3904" s="17"/>
      <c r="R3904" s="25" t="str">
        <f>HYPERLINK("https://ictv.global/taxonomy/taxondetails?taxnode_id=202310036","Fremauxvirus fv1706")</f>
        <v>Fremauxvirus fv1706</v>
      </c>
      <c r="S3904" s="18" t="s">
        <v>30</v>
      </c>
      <c r="T3904" s="18" t="s">
        <v>1773</v>
      </c>
      <c r="U3904" s="18"/>
      <c r="V3904" s="18"/>
      <c r="W3904" s="18" t="s">
        <v>1774</v>
      </c>
      <c r="X3904" s="18" t="s">
        <v>42</v>
      </c>
      <c r="Y3904" s="18" t="s">
        <v>36</v>
      </c>
      <c r="Z3904" s="18" t="s">
        <v>697</v>
      </c>
      <c r="AA3904" s="21" t="str">
        <f>HYPERLINK("https://www.ncbi.nlm.nih.gov/nuccore/EU081845","NCBI Nucleotide")</f>
        <v>NCBI Nucleotide</v>
      </c>
    </row>
    <row r="3905" spans="1:27" x14ac:dyDescent="0.35">
      <c r="A3905">
        <v>1005192</v>
      </c>
      <c r="B3905">
        <v>3881</v>
      </c>
      <c r="C3905">
        <v>1</v>
      </c>
      <c r="D3905" s="17" t="s">
        <v>155</v>
      </c>
      <c r="E3905" s="17"/>
      <c r="F3905" s="17" t="s">
        <v>156</v>
      </c>
      <c r="G3905" s="17"/>
      <c r="H3905" s="17" t="s">
        <v>692</v>
      </c>
      <c r="I3905" s="17"/>
      <c r="J3905" s="17" t="s">
        <v>693</v>
      </c>
      <c r="K3905" s="17"/>
      <c r="L3905" s="17"/>
      <c r="M3905" s="17"/>
      <c r="N3905" s="17"/>
      <c r="O3905" s="17"/>
      <c r="P3905" s="17" t="s">
        <v>1775</v>
      </c>
      <c r="Q3905" s="17"/>
      <c r="R3905" s="25" t="str">
        <f>HYPERLINK("https://ictv.global/taxonomy/taxondetails?taxnode_id=202301009","Fromanvirus alma")</f>
        <v>Fromanvirus alma</v>
      </c>
      <c r="S3905" s="18" t="s">
        <v>30</v>
      </c>
      <c r="T3905" s="18" t="s">
        <v>1776</v>
      </c>
      <c r="U3905" s="18"/>
      <c r="V3905" s="18"/>
      <c r="W3905" s="18" t="s">
        <v>1777</v>
      </c>
      <c r="X3905" s="18" t="s">
        <v>42</v>
      </c>
      <c r="Y3905" s="18" t="s">
        <v>36</v>
      </c>
      <c r="Z3905" s="18" t="s">
        <v>697</v>
      </c>
      <c r="AA3905" s="21" t="str">
        <f>HYPERLINK("https://www.ncbi.nlm.nih.gov/nuccore/JN699005","NCBI Nucleotide")</f>
        <v>NCBI Nucleotide</v>
      </c>
    </row>
    <row r="3906" spans="1:27" x14ac:dyDescent="0.35">
      <c r="A3906">
        <v>1005193</v>
      </c>
      <c r="B3906">
        <v>3882</v>
      </c>
      <c r="C3906">
        <v>1</v>
      </c>
      <c r="D3906" s="17" t="s">
        <v>155</v>
      </c>
      <c r="E3906" s="17"/>
      <c r="F3906" s="17" t="s">
        <v>156</v>
      </c>
      <c r="G3906" s="17"/>
      <c r="H3906" s="17" t="s">
        <v>692</v>
      </c>
      <c r="I3906" s="17"/>
      <c r="J3906" s="17" t="s">
        <v>693</v>
      </c>
      <c r="K3906" s="17"/>
      <c r="L3906" s="17"/>
      <c r="M3906" s="17"/>
      <c r="N3906" s="17"/>
      <c r="O3906" s="17"/>
      <c r="P3906" s="17" t="s">
        <v>1775</v>
      </c>
      <c r="Q3906" s="17"/>
      <c r="R3906" s="25" t="str">
        <f>HYPERLINK("https://ictv.global/taxonomy/taxondetails?taxnode_id=202301011","Fromanvirus astro")</f>
        <v>Fromanvirus astro</v>
      </c>
      <c r="S3906" s="18" t="s">
        <v>30</v>
      </c>
      <c r="T3906" s="18" t="s">
        <v>1778</v>
      </c>
      <c r="U3906" s="18"/>
      <c r="V3906" s="18"/>
      <c r="W3906" s="18" t="s">
        <v>1779</v>
      </c>
      <c r="X3906" s="18" t="s">
        <v>42</v>
      </c>
      <c r="Y3906" s="18" t="s">
        <v>36</v>
      </c>
      <c r="Z3906" s="18" t="s">
        <v>697</v>
      </c>
      <c r="AA3906" s="21" t="str">
        <f>HYPERLINK("https://www.ncbi.nlm.nih.gov/nuccore/JX015524","NCBI Nucleotide")</f>
        <v>NCBI Nucleotide</v>
      </c>
    </row>
    <row r="3907" spans="1:27" x14ac:dyDescent="0.35">
      <c r="A3907">
        <v>1005194</v>
      </c>
      <c r="B3907">
        <v>3883</v>
      </c>
      <c r="C3907">
        <v>1</v>
      </c>
      <c r="D3907" s="17" t="s">
        <v>155</v>
      </c>
      <c r="E3907" s="17"/>
      <c r="F3907" s="17" t="s">
        <v>156</v>
      </c>
      <c r="G3907" s="17"/>
      <c r="H3907" s="17" t="s">
        <v>692</v>
      </c>
      <c r="I3907" s="17"/>
      <c r="J3907" s="17" t="s">
        <v>693</v>
      </c>
      <c r="K3907" s="17"/>
      <c r="L3907" s="17"/>
      <c r="M3907" s="17"/>
      <c r="N3907" s="17"/>
      <c r="O3907" s="17"/>
      <c r="P3907" s="17" t="s">
        <v>1775</v>
      </c>
      <c r="Q3907" s="17"/>
      <c r="R3907" s="25" t="str">
        <f>HYPERLINK("https://ictv.global/taxonomy/taxondetails?taxnode_id=202301015","Fromanvirus bethlehem")</f>
        <v>Fromanvirus bethlehem</v>
      </c>
      <c r="S3907" s="18" t="s">
        <v>30</v>
      </c>
      <c r="T3907" s="18" t="s">
        <v>1780</v>
      </c>
      <c r="U3907" s="18"/>
      <c r="V3907" s="18"/>
      <c r="W3907" s="18" t="s">
        <v>1781</v>
      </c>
      <c r="X3907" s="18" t="s">
        <v>42</v>
      </c>
      <c r="Y3907" s="18" t="s">
        <v>36</v>
      </c>
      <c r="Z3907" s="18" t="s">
        <v>697</v>
      </c>
      <c r="AA3907" s="21" t="str">
        <f>HYPERLINK("https://www.ncbi.nlm.nih.gov/nuccore/AY500153","NCBI Nucleotide")</f>
        <v>NCBI Nucleotide</v>
      </c>
    </row>
    <row r="3908" spans="1:27" x14ac:dyDescent="0.35">
      <c r="A3908">
        <v>1005195</v>
      </c>
      <c r="B3908">
        <v>3884</v>
      </c>
      <c r="C3908">
        <v>1</v>
      </c>
      <c r="D3908" s="17" t="s">
        <v>155</v>
      </c>
      <c r="E3908" s="17"/>
      <c r="F3908" s="17" t="s">
        <v>156</v>
      </c>
      <c r="G3908" s="17"/>
      <c r="H3908" s="17" t="s">
        <v>692</v>
      </c>
      <c r="I3908" s="17"/>
      <c r="J3908" s="17" t="s">
        <v>693</v>
      </c>
      <c r="K3908" s="17"/>
      <c r="L3908" s="17"/>
      <c r="M3908" s="17"/>
      <c r="N3908" s="17"/>
      <c r="O3908" s="17"/>
      <c r="P3908" s="17" t="s">
        <v>1775</v>
      </c>
      <c r="Q3908" s="17"/>
      <c r="R3908" s="25" t="str">
        <f>HYPERLINK("https://ictv.global/taxonomy/taxondetails?taxnode_id=202301016","Fromanvirus billknuckles")</f>
        <v>Fromanvirus billknuckles</v>
      </c>
      <c r="S3908" s="18" t="s">
        <v>30</v>
      </c>
      <c r="T3908" s="18" t="s">
        <v>1782</v>
      </c>
      <c r="U3908" s="18"/>
      <c r="V3908" s="18"/>
      <c r="W3908" s="18" t="s">
        <v>1783</v>
      </c>
      <c r="X3908" s="18" t="s">
        <v>42</v>
      </c>
      <c r="Y3908" s="18" t="s">
        <v>36</v>
      </c>
      <c r="Z3908" s="18" t="s">
        <v>697</v>
      </c>
      <c r="AA3908" s="21" t="str">
        <f>HYPERLINK("https://www.ncbi.nlm.nih.gov/nuccore/JN699000","NCBI Nucleotide")</f>
        <v>NCBI Nucleotide</v>
      </c>
    </row>
    <row r="3909" spans="1:27" x14ac:dyDescent="0.35">
      <c r="A3909">
        <v>1005196</v>
      </c>
      <c r="B3909">
        <v>3885</v>
      </c>
      <c r="C3909">
        <v>1</v>
      </c>
      <c r="D3909" s="17" t="s">
        <v>155</v>
      </c>
      <c r="E3909" s="17"/>
      <c r="F3909" s="17" t="s">
        <v>156</v>
      </c>
      <c r="G3909" s="17"/>
      <c r="H3909" s="17" t="s">
        <v>692</v>
      </c>
      <c r="I3909" s="17"/>
      <c r="J3909" s="17" t="s">
        <v>693</v>
      </c>
      <c r="K3909" s="17"/>
      <c r="L3909" s="17"/>
      <c r="M3909" s="17"/>
      <c r="N3909" s="17"/>
      <c r="O3909" s="17"/>
      <c r="P3909" s="17" t="s">
        <v>1775</v>
      </c>
      <c r="Q3909" s="17"/>
      <c r="R3909" s="25" t="str">
        <f>HYPERLINK("https://ictv.global/taxonomy/taxondetails?taxnode_id=202301013","Fromanvirus bpbiebs31")</f>
        <v>Fromanvirus bpbiebs31</v>
      </c>
      <c r="S3909" s="18" t="s">
        <v>30</v>
      </c>
      <c r="T3909" s="18" t="s">
        <v>1784</v>
      </c>
      <c r="U3909" s="18"/>
      <c r="V3909" s="18"/>
      <c r="W3909" s="18" t="s">
        <v>1785</v>
      </c>
      <c r="X3909" s="18" t="s">
        <v>42</v>
      </c>
      <c r="Y3909" s="18" t="s">
        <v>36</v>
      </c>
      <c r="Z3909" s="18" t="s">
        <v>697</v>
      </c>
      <c r="AA3909" s="21" t="str">
        <f>HYPERLINK("https://www.ncbi.nlm.nih.gov/nuccore/JF957057","NCBI Nucleotide")</f>
        <v>NCBI Nucleotide</v>
      </c>
    </row>
    <row r="3910" spans="1:27" x14ac:dyDescent="0.35">
      <c r="A3910">
        <v>1005197</v>
      </c>
      <c r="B3910">
        <v>3886</v>
      </c>
      <c r="C3910">
        <v>1</v>
      </c>
      <c r="D3910" s="17" t="s">
        <v>155</v>
      </c>
      <c r="E3910" s="17"/>
      <c r="F3910" s="17" t="s">
        <v>156</v>
      </c>
      <c r="G3910" s="17"/>
      <c r="H3910" s="17" t="s">
        <v>692</v>
      </c>
      <c r="I3910" s="17"/>
      <c r="J3910" s="17" t="s">
        <v>693</v>
      </c>
      <c r="K3910" s="17"/>
      <c r="L3910" s="17"/>
      <c r="M3910" s="17"/>
      <c r="N3910" s="17"/>
      <c r="O3910" s="17"/>
      <c r="P3910" s="17" t="s">
        <v>1775</v>
      </c>
      <c r="Q3910" s="17"/>
      <c r="R3910" s="25" t="str">
        <f>HYPERLINK("https://ictv.global/taxonomy/taxondetails?taxnode_id=202301017","Fromanvirus bruns")</f>
        <v>Fromanvirus bruns</v>
      </c>
      <c r="S3910" s="18" t="s">
        <v>30</v>
      </c>
      <c r="T3910" s="18" t="s">
        <v>1786</v>
      </c>
      <c r="U3910" s="18"/>
      <c r="V3910" s="18"/>
      <c r="W3910" s="18" t="s">
        <v>1787</v>
      </c>
      <c r="X3910" s="18" t="s">
        <v>42</v>
      </c>
      <c r="Y3910" s="18" t="s">
        <v>36</v>
      </c>
      <c r="Z3910" s="18" t="s">
        <v>697</v>
      </c>
      <c r="AA3910" s="21" t="str">
        <f>HYPERLINK("https://www.ncbi.nlm.nih.gov/nuccore/JN698998","NCBI Nucleotide")</f>
        <v>NCBI Nucleotide</v>
      </c>
    </row>
    <row r="3911" spans="1:27" x14ac:dyDescent="0.35">
      <c r="A3911">
        <v>1005198</v>
      </c>
      <c r="B3911">
        <v>3887</v>
      </c>
      <c r="C3911">
        <v>1</v>
      </c>
      <c r="D3911" s="17" t="s">
        <v>155</v>
      </c>
      <c r="E3911" s="17"/>
      <c r="F3911" s="17" t="s">
        <v>156</v>
      </c>
      <c r="G3911" s="17"/>
      <c r="H3911" s="17" t="s">
        <v>692</v>
      </c>
      <c r="I3911" s="17"/>
      <c r="J3911" s="17" t="s">
        <v>693</v>
      </c>
      <c r="K3911" s="17"/>
      <c r="L3911" s="17"/>
      <c r="M3911" s="17"/>
      <c r="N3911" s="17"/>
      <c r="O3911" s="17"/>
      <c r="P3911" s="17" t="s">
        <v>1775</v>
      </c>
      <c r="Q3911" s="17"/>
      <c r="R3911" s="25" t="str">
        <f>HYPERLINK("https://ictv.global/taxonomy/taxondetails?taxnode_id=202301018","Fromanvirus Bxb1")</f>
        <v>Fromanvirus Bxb1</v>
      </c>
      <c r="S3911" s="18" t="s">
        <v>30</v>
      </c>
      <c r="T3911" s="18" t="s">
        <v>1788</v>
      </c>
      <c r="U3911" s="18"/>
      <c r="V3911" s="18"/>
      <c r="W3911" s="18" t="s">
        <v>1789</v>
      </c>
      <c r="X3911" s="18" t="s">
        <v>42</v>
      </c>
      <c r="Y3911" s="18" t="s">
        <v>36</v>
      </c>
      <c r="Z3911" s="18" t="s">
        <v>697</v>
      </c>
      <c r="AA3911" s="21" t="str">
        <f>HYPERLINK("https://www.ncbi.nlm.nih.gov/nuccore/AF271693","NCBI Nucleotide")</f>
        <v>NCBI Nucleotide</v>
      </c>
    </row>
    <row r="3912" spans="1:27" x14ac:dyDescent="0.35">
      <c r="A3912">
        <v>1005199</v>
      </c>
      <c r="B3912">
        <v>3888</v>
      </c>
      <c r="C3912">
        <v>1</v>
      </c>
      <c r="D3912" s="17" t="s">
        <v>155</v>
      </c>
      <c r="E3912" s="17"/>
      <c r="F3912" s="17" t="s">
        <v>156</v>
      </c>
      <c r="G3912" s="17"/>
      <c r="H3912" s="17" t="s">
        <v>692</v>
      </c>
      <c r="I3912" s="17"/>
      <c r="J3912" s="17" t="s">
        <v>693</v>
      </c>
      <c r="K3912" s="17"/>
      <c r="L3912" s="17"/>
      <c r="M3912" s="17"/>
      <c r="N3912" s="17"/>
      <c r="O3912" s="17"/>
      <c r="P3912" s="17" t="s">
        <v>1775</v>
      </c>
      <c r="Q3912" s="17"/>
      <c r="R3912" s="25" t="str">
        <f>HYPERLINK("https://ictv.global/taxonomy/taxondetails?taxnode_id=202301020","Fromanvirus Che12")</f>
        <v>Fromanvirus Che12</v>
      </c>
      <c r="S3912" s="18" t="s">
        <v>30</v>
      </c>
      <c r="T3912" s="18" t="s">
        <v>1790</v>
      </c>
      <c r="U3912" s="18"/>
      <c r="V3912" s="18"/>
      <c r="W3912" s="18" t="s">
        <v>1791</v>
      </c>
      <c r="X3912" s="18" t="s">
        <v>42</v>
      </c>
      <c r="Y3912" s="18" t="s">
        <v>36</v>
      </c>
      <c r="Z3912" s="18" t="s">
        <v>697</v>
      </c>
      <c r="AA3912" s="21" t="str">
        <f>HYPERLINK("https://www.ncbi.nlm.nih.gov/nuccore/DQ398043","NCBI Nucleotide")</f>
        <v>NCBI Nucleotide</v>
      </c>
    </row>
    <row r="3913" spans="1:27" x14ac:dyDescent="0.35">
      <c r="A3913">
        <v>1005200</v>
      </c>
      <c r="B3913">
        <v>3889</v>
      </c>
      <c r="C3913">
        <v>1</v>
      </c>
      <c r="D3913" s="17" t="s">
        <v>155</v>
      </c>
      <c r="E3913" s="17"/>
      <c r="F3913" s="17" t="s">
        <v>156</v>
      </c>
      <c r="G3913" s="17"/>
      <c r="H3913" s="17" t="s">
        <v>692</v>
      </c>
      <c r="I3913" s="17"/>
      <c r="J3913" s="17" t="s">
        <v>693</v>
      </c>
      <c r="K3913" s="17"/>
      <c r="L3913" s="17"/>
      <c r="M3913" s="17"/>
      <c r="N3913" s="17"/>
      <c r="O3913" s="17"/>
      <c r="P3913" s="17" t="s">
        <v>1775</v>
      </c>
      <c r="Q3913" s="17"/>
      <c r="R3913" s="25" t="str">
        <f>HYPERLINK("https://ictv.global/taxonomy/taxondetails?taxnode_id=202301022","Fromanvirus D29")</f>
        <v>Fromanvirus D29</v>
      </c>
      <c r="S3913" s="18" t="s">
        <v>30</v>
      </c>
      <c r="T3913" s="18" t="s">
        <v>1792</v>
      </c>
      <c r="U3913" s="18"/>
      <c r="V3913" s="18"/>
      <c r="W3913" s="18" t="s">
        <v>1793</v>
      </c>
      <c r="X3913" s="18" t="s">
        <v>42</v>
      </c>
      <c r="Y3913" s="18" t="s">
        <v>36</v>
      </c>
      <c r="Z3913" s="18" t="s">
        <v>697</v>
      </c>
      <c r="AA3913" s="21" t="str">
        <f>HYPERLINK("https://www.ncbi.nlm.nih.gov/nuccore/AF022214","NCBI Nucleotide")</f>
        <v>NCBI Nucleotide</v>
      </c>
    </row>
    <row r="3914" spans="1:27" x14ac:dyDescent="0.35">
      <c r="A3914">
        <v>1005201</v>
      </c>
      <c r="B3914">
        <v>3890</v>
      </c>
      <c r="C3914">
        <v>1</v>
      </c>
      <c r="D3914" s="17" t="s">
        <v>155</v>
      </c>
      <c r="E3914" s="17"/>
      <c r="F3914" s="17" t="s">
        <v>156</v>
      </c>
      <c r="G3914" s="17"/>
      <c r="H3914" s="17" t="s">
        <v>692</v>
      </c>
      <c r="I3914" s="17"/>
      <c r="J3914" s="17" t="s">
        <v>693</v>
      </c>
      <c r="K3914" s="17"/>
      <c r="L3914" s="17"/>
      <c r="M3914" s="17"/>
      <c r="N3914" s="17"/>
      <c r="O3914" s="17"/>
      <c r="P3914" s="17" t="s">
        <v>1775</v>
      </c>
      <c r="Q3914" s="17"/>
      <c r="R3914" s="25" t="str">
        <f>HYPERLINK("https://ictv.global/taxonomy/taxondetails?taxnode_id=202301023","Fromanvirus doom")</f>
        <v>Fromanvirus doom</v>
      </c>
      <c r="S3914" s="18" t="s">
        <v>30</v>
      </c>
      <c r="T3914" s="18" t="s">
        <v>1794</v>
      </c>
      <c r="U3914" s="18"/>
      <c r="V3914" s="18"/>
      <c r="W3914" s="18" t="s">
        <v>1795</v>
      </c>
      <c r="X3914" s="18" t="s">
        <v>42</v>
      </c>
      <c r="Y3914" s="18" t="s">
        <v>36</v>
      </c>
      <c r="Z3914" s="18" t="s">
        <v>697</v>
      </c>
      <c r="AA3914" s="21" t="str">
        <f>HYPERLINK("https://www.ncbi.nlm.nih.gov/nuccore/JN153085","NCBI Nucleotide")</f>
        <v>NCBI Nucleotide</v>
      </c>
    </row>
    <row r="3915" spans="1:27" x14ac:dyDescent="0.35">
      <c r="A3915">
        <v>1005202</v>
      </c>
      <c r="B3915">
        <v>3891</v>
      </c>
      <c r="C3915">
        <v>1</v>
      </c>
      <c r="D3915" s="17" t="s">
        <v>155</v>
      </c>
      <c r="E3915" s="17"/>
      <c r="F3915" s="17" t="s">
        <v>156</v>
      </c>
      <c r="G3915" s="17"/>
      <c r="H3915" s="17" t="s">
        <v>692</v>
      </c>
      <c r="I3915" s="17"/>
      <c r="J3915" s="17" t="s">
        <v>693</v>
      </c>
      <c r="K3915" s="17"/>
      <c r="L3915" s="17"/>
      <c r="M3915" s="17"/>
      <c r="N3915" s="17"/>
      <c r="O3915" s="17"/>
      <c r="P3915" s="17" t="s">
        <v>1775</v>
      </c>
      <c r="Q3915" s="17"/>
      <c r="R3915" s="25" t="str">
        <f>HYPERLINK("https://ictv.global/taxonomy/taxondetails?taxnode_id=202301025","Fromanvirus euphoria")</f>
        <v>Fromanvirus euphoria</v>
      </c>
      <c r="S3915" s="18" t="s">
        <v>30</v>
      </c>
      <c r="T3915" s="18" t="s">
        <v>1796</v>
      </c>
      <c r="U3915" s="18"/>
      <c r="V3915" s="18"/>
      <c r="W3915" s="18" t="s">
        <v>1797</v>
      </c>
      <c r="X3915" s="18" t="s">
        <v>42</v>
      </c>
      <c r="Y3915" s="18" t="s">
        <v>36</v>
      </c>
      <c r="Z3915" s="18" t="s">
        <v>697</v>
      </c>
      <c r="AA3915" s="21" t="str">
        <f>HYPERLINK("https://www.ncbi.nlm.nih.gov/nuccore/JN153086","NCBI Nucleotide")</f>
        <v>NCBI Nucleotide</v>
      </c>
    </row>
    <row r="3916" spans="1:27" x14ac:dyDescent="0.35">
      <c r="A3916">
        <v>1005203</v>
      </c>
      <c r="B3916">
        <v>3892</v>
      </c>
      <c r="C3916">
        <v>1</v>
      </c>
      <c r="D3916" s="17" t="s">
        <v>155</v>
      </c>
      <c r="E3916" s="17"/>
      <c r="F3916" s="17" t="s">
        <v>156</v>
      </c>
      <c r="G3916" s="17"/>
      <c r="H3916" s="17" t="s">
        <v>692</v>
      </c>
      <c r="I3916" s="17"/>
      <c r="J3916" s="17" t="s">
        <v>693</v>
      </c>
      <c r="K3916" s="17"/>
      <c r="L3916" s="17"/>
      <c r="M3916" s="17"/>
      <c r="N3916" s="17"/>
      <c r="O3916" s="17"/>
      <c r="P3916" s="17" t="s">
        <v>1775</v>
      </c>
      <c r="Q3916" s="17"/>
      <c r="R3916" s="25" t="str">
        <f>HYPERLINK("https://ictv.global/taxonomy/taxondetails?taxnode_id=202301026","Fromanvirus george")</f>
        <v>Fromanvirus george</v>
      </c>
      <c r="S3916" s="18" t="s">
        <v>30</v>
      </c>
      <c r="T3916" s="18" t="s">
        <v>1798</v>
      </c>
      <c r="U3916" s="18"/>
      <c r="V3916" s="18"/>
      <c r="W3916" s="18" t="s">
        <v>1799</v>
      </c>
      <c r="X3916" s="18" t="s">
        <v>42</v>
      </c>
      <c r="Y3916" s="18" t="s">
        <v>36</v>
      </c>
      <c r="Z3916" s="18" t="s">
        <v>697</v>
      </c>
      <c r="AA3916" s="21" t="str">
        <f>HYPERLINK("https://www.ncbi.nlm.nih.gov/nuccore/JF704107","NCBI Nucleotide")</f>
        <v>NCBI Nucleotide</v>
      </c>
    </row>
    <row r="3917" spans="1:27" x14ac:dyDescent="0.35">
      <c r="A3917">
        <v>1005204</v>
      </c>
      <c r="B3917">
        <v>3893</v>
      </c>
      <c r="C3917">
        <v>1</v>
      </c>
      <c r="D3917" s="17" t="s">
        <v>155</v>
      </c>
      <c r="E3917" s="17"/>
      <c r="F3917" s="17" t="s">
        <v>156</v>
      </c>
      <c r="G3917" s="17"/>
      <c r="H3917" s="17" t="s">
        <v>692</v>
      </c>
      <c r="I3917" s="17"/>
      <c r="J3917" s="17" t="s">
        <v>693</v>
      </c>
      <c r="K3917" s="17"/>
      <c r="L3917" s="17"/>
      <c r="M3917" s="17"/>
      <c r="N3917" s="17"/>
      <c r="O3917" s="17"/>
      <c r="P3917" s="17" t="s">
        <v>1775</v>
      </c>
      <c r="Q3917" s="17"/>
      <c r="R3917" s="25" t="str">
        <f>HYPERLINK("https://ictv.global/taxonomy/taxondetails?taxnode_id=202301028","Fromanvirus goose")</f>
        <v>Fromanvirus goose</v>
      </c>
      <c r="S3917" s="18" t="s">
        <v>30</v>
      </c>
      <c r="T3917" s="18" t="s">
        <v>1800</v>
      </c>
      <c r="U3917" s="18"/>
      <c r="V3917" s="18"/>
      <c r="W3917" s="18" t="s">
        <v>1801</v>
      </c>
      <c r="X3917" s="18" t="s">
        <v>42</v>
      </c>
      <c r="Y3917" s="18" t="s">
        <v>36</v>
      </c>
      <c r="Z3917" s="18" t="s">
        <v>697</v>
      </c>
      <c r="AA3917" s="21" t="str">
        <f>HYPERLINK("https://www.ncbi.nlm.nih.gov/nuccore/JX307704","NCBI Nucleotide")</f>
        <v>NCBI Nucleotide</v>
      </c>
    </row>
    <row r="3918" spans="1:27" x14ac:dyDescent="0.35">
      <c r="A3918">
        <v>1005205</v>
      </c>
      <c r="B3918">
        <v>3894</v>
      </c>
      <c r="C3918">
        <v>1</v>
      </c>
      <c r="D3918" s="17" t="s">
        <v>155</v>
      </c>
      <c r="E3918" s="17"/>
      <c r="F3918" s="17" t="s">
        <v>156</v>
      </c>
      <c r="G3918" s="17"/>
      <c r="H3918" s="17" t="s">
        <v>692</v>
      </c>
      <c r="I3918" s="17"/>
      <c r="J3918" s="17" t="s">
        <v>693</v>
      </c>
      <c r="K3918" s="17"/>
      <c r="L3918" s="17"/>
      <c r="M3918" s="17"/>
      <c r="N3918" s="17"/>
      <c r="O3918" s="17"/>
      <c r="P3918" s="17" t="s">
        <v>1775</v>
      </c>
      <c r="Q3918" s="17"/>
      <c r="R3918" s="25" t="str">
        <f>HYPERLINK("https://ictv.global/taxonomy/taxondetails?taxnode_id=202301031","Fromanvirus jasper")</f>
        <v>Fromanvirus jasper</v>
      </c>
      <c r="S3918" s="18" t="s">
        <v>30</v>
      </c>
      <c r="T3918" s="18" t="s">
        <v>1802</v>
      </c>
      <c r="U3918" s="18"/>
      <c r="V3918" s="18"/>
      <c r="W3918" s="18" t="s">
        <v>1803</v>
      </c>
      <c r="X3918" s="18" t="s">
        <v>42</v>
      </c>
      <c r="Y3918" s="18" t="s">
        <v>36</v>
      </c>
      <c r="Z3918" s="18" t="s">
        <v>697</v>
      </c>
      <c r="AA3918" s="21" t="str">
        <f>HYPERLINK("https://www.ncbi.nlm.nih.gov/nuccore/EU744251","NCBI Nucleotide")</f>
        <v>NCBI Nucleotide</v>
      </c>
    </row>
    <row r="3919" spans="1:27" x14ac:dyDescent="0.35">
      <c r="A3919">
        <v>1005206</v>
      </c>
      <c r="B3919">
        <v>3895</v>
      </c>
      <c r="C3919">
        <v>1</v>
      </c>
      <c r="D3919" s="17" t="s">
        <v>155</v>
      </c>
      <c r="E3919" s="17"/>
      <c r="F3919" s="17" t="s">
        <v>156</v>
      </c>
      <c r="G3919" s="17"/>
      <c r="H3919" s="17" t="s">
        <v>692</v>
      </c>
      <c r="I3919" s="17"/>
      <c r="J3919" s="17" t="s">
        <v>693</v>
      </c>
      <c r="K3919" s="17"/>
      <c r="L3919" s="17"/>
      <c r="M3919" s="17"/>
      <c r="N3919" s="17"/>
      <c r="O3919" s="17"/>
      <c r="P3919" s="17" t="s">
        <v>1775</v>
      </c>
      <c r="Q3919" s="17"/>
      <c r="R3919" s="25" t="str">
        <f>HYPERLINK("https://ictv.global/taxonomy/taxondetails?taxnode_id=202301032","Fromanvirus JC27")</f>
        <v>Fromanvirus JC27</v>
      </c>
      <c r="S3919" s="18" t="s">
        <v>30</v>
      </c>
      <c r="T3919" s="18" t="s">
        <v>1804</v>
      </c>
      <c r="U3919" s="18"/>
      <c r="V3919" s="18"/>
      <c r="W3919" s="18" t="s">
        <v>1805</v>
      </c>
      <c r="X3919" s="18" t="s">
        <v>42</v>
      </c>
      <c r="Y3919" s="18" t="s">
        <v>36</v>
      </c>
      <c r="Z3919" s="18" t="s">
        <v>697</v>
      </c>
      <c r="AA3919" s="21" t="str">
        <f>HYPERLINK("https://www.ncbi.nlm.nih.gov/nuccore/JF937099","NCBI Nucleotide")</f>
        <v>NCBI Nucleotide</v>
      </c>
    </row>
    <row r="3920" spans="1:27" x14ac:dyDescent="0.35">
      <c r="A3920">
        <v>1005207</v>
      </c>
      <c r="B3920">
        <v>3896</v>
      </c>
      <c r="C3920">
        <v>1</v>
      </c>
      <c r="D3920" s="17" t="s">
        <v>155</v>
      </c>
      <c r="E3920" s="17"/>
      <c r="F3920" s="17" t="s">
        <v>156</v>
      </c>
      <c r="G3920" s="17"/>
      <c r="H3920" s="17" t="s">
        <v>692</v>
      </c>
      <c r="I3920" s="17"/>
      <c r="J3920" s="17" t="s">
        <v>693</v>
      </c>
      <c r="K3920" s="17"/>
      <c r="L3920" s="17"/>
      <c r="M3920" s="17"/>
      <c r="N3920" s="17"/>
      <c r="O3920" s="17"/>
      <c r="P3920" s="17" t="s">
        <v>1775</v>
      </c>
      <c r="Q3920" s="17"/>
      <c r="R3920" s="25" t="str">
        <f>HYPERLINK("https://ictv.global/taxonomy/taxondetails?taxnode_id=202301035","Fromanvirus KBG")</f>
        <v>Fromanvirus KBG</v>
      </c>
      <c r="S3920" s="18" t="s">
        <v>30</v>
      </c>
      <c r="T3920" s="18" t="s">
        <v>1806</v>
      </c>
      <c r="U3920" s="18"/>
      <c r="V3920" s="18"/>
      <c r="W3920" s="18" t="s">
        <v>1807</v>
      </c>
      <c r="X3920" s="18" t="s">
        <v>42</v>
      </c>
      <c r="Y3920" s="18" t="s">
        <v>36</v>
      </c>
      <c r="Z3920" s="18" t="s">
        <v>697</v>
      </c>
      <c r="AA3920" s="21" t="str">
        <f>HYPERLINK("https://www.ncbi.nlm.nih.gov/nuccore/EU744248","NCBI Nucleotide")</f>
        <v>NCBI Nucleotide</v>
      </c>
    </row>
    <row r="3921" spans="1:27" x14ac:dyDescent="0.35">
      <c r="A3921">
        <v>1005208</v>
      </c>
      <c r="B3921">
        <v>3897</v>
      </c>
      <c r="C3921">
        <v>1</v>
      </c>
      <c r="D3921" s="17" t="s">
        <v>155</v>
      </c>
      <c r="E3921" s="17"/>
      <c r="F3921" s="17" t="s">
        <v>156</v>
      </c>
      <c r="G3921" s="17"/>
      <c r="H3921" s="17" t="s">
        <v>692</v>
      </c>
      <c r="I3921" s="17"/>
      <c r="J3921" s="17" t="s">
        <v>693</v>
      </c>
      <c r="K3921" s="17"/>
      <c r="L3921" s="17"/>
      <c r="M3921" s="17"/>
      <c r="N3921" s="17"/>
      <c r="O3921" s="17"/>
      <c r="P3921" s="17" t="s">
        <v>1775</v>
      </c>
      <c r="Q3921" s="17"/>
      <c r="R3921" s="25" t="str">
        <f>HYPERLINK("https://ictv.global/taxonomy/taxondetails?taxnode_id=202301036","Fromanvirus kssjeb")</f>
        <v>Fromanvirus kssjeb</v>
      </c>
      <c r="S3921" s="18" t="s">
        <v>30</v>
      </c>
      <c r="T3921" s="18" t="s">
        <v>1808</v>
      </c>
      <c r="U3921" s="18"/>
      <c r="V3921" s="18"/>
      <c r="W3921" s="18" t="s">
        <v>1809</v>
      </c>
      <c r="X3921" s="18" t="s">
        <v>42</v>
      </c>
      <c r="Y3921" s="18" t="s">
        <v>36</v>
      </c>
      <c r="Z3921" s="18" t="s">
        <v>697</v>
      </c>
      <c r="AA3921" s="21" t="str">
        <f>HYPERLINK("https://www.ncbi.nlm.nih.gov/nuccore/JF937110","NCBI Nucleotide")</f>
        <v>NCBI Nucleotide</v>
      </c>
    </row>
    <row r="3922" spans="1:27" x14ac:dyDescent="0.35">
      <c r="A3922">
        <v>1005209</v>
      </c>
      <c r="B3922">
        <v>3898</v>
      </c>
      <c r="C3922">
        <v>1</v>
      </c>
      <c r="D3922" s="17" t="s">
        <v>155</v>
      </c>
      <c r="E3922" s="17"/>
      <c r="F3922" s="17" t="s">
        <v>156</v>
      </c>
      <c r="G3922" s="17"/>
      <c r="H3922" s="17" t="s">
        <v>692</v>
      </c>
      <c r="I3922" s="17"/>
      <c r="J3922" s="17" t="s">
        <v>693</v>
      </c>
      <c r="K3922" s="17"/>
      <c r="L3922" s="17"/>
      <c r="M3922" s="17"/>
      <c r="N3922" s="17"/>
      <c r="O3922" s="17"/>
      <c r="P3922" s="17" t="s">
        <v>1775</v>
      </c>
      <c r="Q3922" s="17"/>
      <c r="R3922" s="25" t="str">
        <f>HYPERLINK("https://ictv.global/taxonomy/taxondetails?taxnode_id=202301037","Fromanvirus kugel")</f>
        <v>Fromanvirus kugel</v>
      </c>
      <c r="S3922" s="18" t="s">
        <v>30</v>
      </c>
      <c r="T3922" s="18" t="s">
        <v>1810</v>
      </c>
      <c r="U3922" s="18"/>
      <c r="V3922" s="18"/>
      <c r="W3922" s="18" t="s">
        <v>1811</v>
      </c>
      <c r="X3922" s="18" t="s">
        <v>42</v>
      </c>
      <c r="Y3922" s="18" t="s">
        <v>36</v>
      </c>
      <c r="Z3922" s="18" t="s">
        <v>697</v>
      </c>
      <c r="AA3922" s="21" t="str">
        <f>HYPERLINK("https://www.ncbi.nlm.nih.gov/nuccore/JN699016","NCBI Nucleotide")</f>
        <v>NCBI Nucleotide</v>
      </c>
    </row>
    <row r="3923" spans="1:27" x14ac:dyDescent="0.35">
      <c r="A3923">
        <v>1005210</v>
      </c>
      <c r="B3923">
        <v>3899</v>
      </c>
      <c r="C3923">
        <v>1</v>
      </c>
      <c r="D3923" s="17" t="s">
        <v>155</v>
      </c>
      <c r="E3923" s="17"/>
      <c r="F3923" s="17" t="s">
        <v>156</v>
      </c>
      <c r="G3923" s="17"/>
      <c r="H3923" s="17" t="s">
        <v>692</v>
      </c>
      <c r="I3923" s="17"/>
      <c r="J3923" s="17" t="s">
        <v>693</v>
      </c>
      <c r="K3923" s="17"/>
      <c r="L3923" s="17"/>
      <c r="M3923" s="17"/>
      <c r="N3923" s="17"/>
      <c r="O3923" s="17"/>
      <c r="P3923" s="17" t="s">
        <v>1775</v>
      </c>
      <c r="Q3923" s="17"/>
      <c r="R3923" s="25" t="str">
        <f>HYPERLINK("https://ictv.global/taxonomy/taxondetails?taxnode_id=202301038","Fromanvirus L5")</f>
        <v>Fromanvirus L5</v>
      </c>
      <c r="S3923" s="18" t="s">
        <v>30</v>
      </c>
      <c r="T3923" s="18" t="s">
        <v>1812</v>
      </c>
      <c r="U3923" s="18"/>
      <c r="V3923" s="18"/>
      <c r="W3923" s="18" t="s">
        <v>1813</v>
      </c>
      <c r="X3923" s="18" t="s">
        <v>42</v>
      </c>
      <c r="Y3923" s="18" t="s">
        <v>36</v>
      </c>
      <c r="Z3923" s="18" t="s">
        <v>697</v>
      </c>
      <c r="AA3923" s="21" t="str">
        <f>HYPERLINK("https://www.ncbi.nlm.nih.gov/nuccore/Z18946","NCBI Nucleotide")</f>
        <v>NCBI Nucleotide</v>
      </c>
    </row>
    <row r="3924" spans="1:27" x14ac:dyDescent="0.35">
      <c r="A3924">
        <v>1005211</v>
      </c>
      <c r="B3924">
        <v>3900</v>
      </c>
      <c r="C3924">
        <v>1</v>
      </c>
      <c r="D3924" s="17" t="s">
        <v>155</v>
      </c>
      <c r="E3924" s="17"/>
      <c r="F3924" s="17" t="s">
        <v>156</v>
      </c>
      <c r="G3924" s="17"/>
      <c r="H3924" s="17" t="s">
        <v>692</v>
      </c>
      <c r="I3924" s="17"/>
      <c r="J3924" s="17" t="s">
        <v>693</v>
      </c>
      <c r="K3924" s="17"/>
      <c r="L3924" s="17"/>
      <c r="M3924" s="17"/>
      <c r="N3924" s="17"/>
      <c r="O3924" s="17"/>
      <c r="P3924" s="17" t="s">
        <v>1775</v>
      </c>
      <c r="Q3924" s="17"/>
      <c r="R3924" s="25" t="str">
        <f>HYPERLINK("https://ictv.global/taxonomy/taxondetails?taxnode_id=202301039","Fromanvirus lesedi")</f>
        <v>Fromanvirus lesedi</v>
      </c>
      <c r="S3924" s="18" t="s">
        <v>30</v>
      </c>
      <c r="T3924" s="18" t="s">
        <v>1814</v>
      </c>
      <c r="U3924" s="18"/>
      <c r="V3924" s="18"/>
      <c r="W3924" s="18" t="s">
        <v>1815</v>
      </c>
      <c r="X3924" s="18" t="s">
        <v>42</v>
      </c>
      <c r="Y3924" s="18" t="s">
        <v>36</v>
      </c>
      <c r="Z3924" s="18" t="s">
        <v>697</v>
      </c>
      <c r="AA3924" s="21" t="str">
        <f>HYPERLINK("https://www.ncbi.nlm.nih.gov/nuccore/JF937100","NCBI Nucleotide")</f>
        <v>NCBI Nucleotide</v>
      </c>
    </row>
    <row r="3925" spans="1:27" x14ac:dyDescent="0.35">
      <c r="A3925">
        <v>1005212</v>
      </c>
      <c r="B3925">
        <v>3901</v>
      </c>
      <c r="C3925">
        <v>1</v>
      </c>
      <c r="D3925" s="17" t="s">
        <v>155</v>
      </c>
      <c r="E3925" s="17"/>
      <c r="F3925" s="17" t="s">
        <v>156</v>
      </c>
      <c r="G3925" s="17"/>
      <c r="H3925" s="17" t="s">
        <v>692</v>
      </c>
      <c r="I3925" s="17"/>
      <c r="J3925" s="17" t="s">
        <v>693</v>
      </c>
      <c r="K3925" s="17"/>
      <c r="L3925" s="17"/>
      <c r="M3925" s="17"/>
      <c r="N3925" s="17"/>
      <c r="O3925" s="17"/>
      <c r="P3925" s="17" t="s">
        <v>1775</v>
      </c>
      <c r="Q3925" s="17"/>
      <c r="R3925" s="25" t="str">
        <f>HYPERLINK("https://ictv.global/taxonomy/taxondetails?taxnode_id=202301041","Fromanvirus lockley")</f>
        <v>Fromanvirus lockley</v>
      </c>
      <c r="S3925" s="18" t="s">
        <v>30</v>
      </c>
      <c r="T3925" s="18" t="s">
        <v>1816</v>
      </c>
      <c r="U3925" s="18"/>
      <c r="V3925" s="18"/>
      <c r="W3925" s="18" t="s">
        <v>1817</v>
      </c>
      <c r="X3925" s="18" t="s">
        <v>42</v>
      </c>
      <c r="Y3925" s="18" t="s">
        <v>36</v>
      </c>
      <c r="Z3925" s="18" t="s">
        <v>697</v>
      </c>
      <c r="AA3925" s="21" t="str">
        <f>HYPERLINK("https://www.ncbi.nlm.nih.gov/nuccore/EU744249","NCBI Nucleotide")</f>
        <v>NCBI Nucleotide</v>
      </c>
    </row>
    <row r="3926" spans="1:27" x14ac:dyDescent="0.35">
      <c r="A3926">
        <v>1005213</v>
      </c>
      <c r="B3926">
        <v>3902</v>
      </c>
      <c r="C3926">
        <v>1</v>
      </c>
      <c r="D3926" s="17" t="s">
        <v>155</v>
      </c>
      <c r="E3926" s="17"/>
      <c r="F3926" s="17" t="s">
        <v>156</v>
      </c>
      <c r="G3926" s="17"/>
      <c r="H3926" s="17" t="s">
        <v>692</v>
      </c>
      <c r="I3926" s="17"/>
      <c r="J3926" s="17" t="s">
        <v>693</v>
      </c>
      <c r="K3926" s="17"/>
      <c r="L3926" s="17"/>
      <c r="M3926" s="17"/>
      <c r="N3926" s="17"/>
      <c r="O3926" s="17"/>
      <c r="P3926" s="17" t="s">
        <v>1775</v>
      </c>
      <c r="Q3926" s="17"/>
      <c r="R3926" s="25" t="str">
        <f>HYPERLINK("https://ictv.global/taxonomy/taxondetails?taxnode_id=202301042","Fromanvirus marcell")</f>
        <v>Fromanvirus marcell</v>
      </c>
      <c r="S3926" s="18" t="s">
        <v>30</v>
      </c>
      <c r="T3926" s="18" t="s">
        <v>1818</v>
      </c>
      <c r="U3926" s="18"/>
      <c r="V3926" s="18"/>
      <c r="W3926" s="18" t="s">
        <v>1819</v>
      </c>
      <c r="X3926" s="18" t="s">
        <v>42</v>
      </c>
      <c r="Y3926" s="18" t="s">
        <v>36</v>
      </c>
      <c r="Z3926" s="18" t="s">
        <v>697</v>
      </c>
      <c r="AA3926" s="21" t="str">
        <f>HYPERLINK("https://www.ncbi.nlm.nih.gov/nuccore/JX307705","NCBI Nucleotide")</f>
        <v>NCBI Nucleotide</v>
      </c>
    </row>
    <row r="3927" spans="1:27" x14ac:dyDescent="0.35">
      <c r="A3927">
        <v>1005214</v>
      </c>
      <c r="B3927">
        <v>3903</v>
      </c>
      <c r="C3927">
        <v>1</v>
      </c>
      <c r="D3927" s="17" t="s">
        <v>155</v>
      </c>
      <c r="E3927" s="17"/>
      <c r="F3927" s="17" t="s">
        <v>156</v>
      </c>
      <c r="G3927" s="17"/>
      <c r="H3927" s="17" t="s">
        <v>692</v>
      </c>
      <c r="I3927" s="17"/>
      <c r="J3927" s="17" t="s">
        <v>693</v>
      </c>
      <c r="K3927" s="17"/>
      <c r="L3927" s="17"/>
      <c r="M3927" s="17"/>
      <c r="N3927" s="17"/>
      <c r="O3927" s="17"/>
      <c r="P3927" s="17" t="s">
        <v>1775</v>
      </c>
      <c r="Q3927" s="17"/>
      <c r="R3927" s="25" t="str">
        <f>HYPERLINK("https://ictv.global/taxonomy/taxondetails?taxnode_id=202301044","Fromanvirus mrgordo")</f>
        <v>Fromanvirus mrgordo</v>
      </c>
      <c r="S3927" s="18" t="s">
        <v>30</v>
      </c>
      <c r="T3927" s="18" t="s">
        <v>1820</v>
      </c>
      <c r="U3927" s="18"/>
      <c r="V3927" s="18"/>
      <c r="W3927" s="18" t="s">
        <v>1821</v>
      </c>
      <c r="X3927" s="18" t="s">
        <v>42</v>
      </c>
      <c r="Y3927" s="18" t="s">
        <v>36</v>
      </c>
      <c r="Z3927" s="18" t="s">
        <v>697</v>
      </c>
      <c r="AA3927" s="21" t="str">
        <f>HYPERLINK("https://www.ncbi.nlm.nih.gov/nuccore/JN020140","NCBI Nucleotide")</f>
        <v>NCBI Nucleotide</v>
      </c>
    </row>
    <row r="3928" spans="1:27" x14ac:dyDescent="0.35">
      <c r="A3928">
        <v>1005215</v>
      </c>
      <c r="B3928">
        <v>3904</v>
      </c>
      <c r="C3928">
        <v>1</v>
      </c>
      <c r="D3928" s="17" t="s">
        <v>155</v>
      </c>
      <c r="E3928" s="17"/>
      <c r="F3928" s="17" t="s">
        <v>156</v>
      </c>
      <c r="G3928" s="17"/>
      <c r="H3928" s="17" t="s">
        <v>692</v>
      </c>
      <c r="I3928" s="17"/>
      <c r="J3928" s="17" t="s">
        <v>693</v>
      </c>
      <c r="K3928" s="17"/>
      <c r="L3928" s="17"/>
      <c r="M3928" s="17"/>
      <c r="N3928" s="17"/>
      <c r="O3928" s="17"/>
      <c r="P3928" s="17" t="s">
        <v>1775</v>
      </c>
      <c r="Q3928" s="17"/>
      <c r="R3928" s="25" t="str">
        <f>HYPERLINK("https://ictv.global/taxonomy/taxondetails?taxnode_id=202301045","Fromanvirus museum")</f>
        <v>Fromanvirus museum</v>
      </c>
      <c r="S3928" s="18" t="s">
        <v>30</v>
      </c>
      <c r="T3928" s="18" t="s">
        <v>1822</v>
      </c>
      <c r="U3928" s="18"/>
      <c r="V3928" s="18"/>
      <c r="W3928" s="18" t="s">
        <v>1823</v>
      </c>
      <c r="X3928" s="18" t="s">
        <v>42</v>
      </c>
      <c r="Y3928" s="18" t="s">
        <v>36</v>
      </c>
      <c r="Z3928" s="18" t="s">
        <v>697</v>
      </c>
      <c r="AA3928" s="21" t="str">
        <f>HYPERLINK("https://www.ncbi.nlm.nih.gov/nuccore/JF937103","NCBI Nucleotide")</f>
        <v>NCBI Nucleotide</v>
      </c>
    </row>
    <row r="3929" spans="1:27" x14ac:dyDescent="0.35">
      <c r="A3929">
        <v>1005216</v>
      </c>
      <c r="B3929">
        <v>3905</v>
      </c>
      <c r="C3929">
        <v>1</v>
      </c>
      <c r="D3929" s="17" t="s">
        <v>155</v>
      </c>
      <c r="E3929" s="17"/>
      <c r="F3929" s="17" t="s">
        <v>156</v>
      </c>
      <c r="G3929" s="17"/>
      <c r="H3929" s="17" t="s">
        <v>692</v>
      </c>
      <c r="I3929" s="17"/>
      <c r="J3929" s="17" t="s">
        <v>693</v>
      </c>
      <c r="K3929" s="17"/>
      <c r="L3929" s="17"/>
      <c r="M3929" s="17"/>
      <c r="N3929" s="17"/>
      <c r="O3929" s="17"/>
      <c r="P3929" s="17" t="s">
        <v>1775</v>
      </c>
      <c r="Q3929" s="17"/>
      <c r="R3929" s="25" t="str">
        <f>HYPERLINK("https://ictv.global/taxonomy/taxondetails?taxnode_id=202301046","Fromanvirus nepal")</f>
        <v>Fromanvirus nepal</v>
      </c>
      <c r="S3929" s="18" t="s">
        <v>30</v>
      </c>
      <c r="T3929" s="18" t="s">
        <v>1824</v>
      </c>
      <c r="U3929" s="18"/>
      <c r="V3929" s="18"/>
      <c r="W3929" s="18" t="s">
        <v>1825</v>
      </c>
      <c r="X3929" s="18" t="s">
        <v>42</v>
      </c>
      <c r="Y3929" s="18" t="s">
        <v>36</v>
      </c>
      <c r="Z3929" s="18" t="s">
        <v>697</v>
      </c>
      <c r="AA3929" s="21" t="str">
        <f>HYPERLINK("https://www.ncbi.nlm.nih.gov/nuccore/JQ698665","NCBI Nucleotide")</f>
        <v>NCBI Nucleotide</v>
      </c>
    </row>
    <row r="3930" spans="1:27" x14ac:dyDescent="0.35">
      <c r="A3930">
        <v>1005217</v>
      </c>
      <c r="B3930">
        <v>3906</v>
      </c>
      <c r="C3930">
        <v>1</v>
      </c>
      <c r="D3930" s="17" t="s">
        <v>155</v>
      </c>
      <c r="E3930" s="17"/>
      <c r="F3930" s="17" t="s">
        <v>156</v>
      </c>
      <c r="G3930" s="17"/>
      <c r="H3930" s="17" t="s">
        <v>692</v>
      </c>
      <c r="I3930" s="17"/>
      <c r="J3930" s="17" t="s">
        <v>693</v>
      </c>
      <c r="K3930" s="17"/>
      <c r="L3930" s="17"/>
      <c r="M3930" s="17"/>
      <c r="N3930" s="17"/>
      <c r="O3930" s="17"/>
      <c r="P3930" s="17" t="s">
        <v>1775</v>
      </c>
      <c r="Q3930" s="17"/>
      <c r="R3930" s="25" t="str">
        <f>HYPERLINK("https://ictv.global/taxonomy/taxondetails?taxnode_id=202301047","Fromanvirus packman")</f>
        <v>Fromanvirus packman</v>
      </c>
      <c r="S3930" s="18" t="s">
        <v>30</v>
      </c>
      <c r="T3930" s="18" t="s">
        <v>1826</v>
      </c>
      <c r="U3930" s="18"/>
      <c r="V3930" s="18"/>
      <c r="W3930" s="18" t="s">
        <v>1827</v>
      </c>
      <c r="X3930" s="18" t="s">
        <v>42</v>
      </c>
      <c r="Y3930" s="18" t="s">
        <v>36</v>
      </c>
      <c r="Z3930" s="18" t="s">
        <v>697</v>
      </c>
      <c r="AA3930" s="21" t="str">
        <f>HYPERLINK("https://www.ncbi.nlm.nih.gov/nuccore/JF704110","NCBI Nucleotide")</f>
        <v>NCBI Nucleotide</v>
      </c>
    </row>
    <row r="3931" spans="1:27" x14ac:dyDescent="0.35">
      <c r="A3931">
        <v>1005218</v>
      </c>
      <c r="B3931">
        <v>3907</v>
      </c>
      <c r="C3931">
        <v>1</v>
      </c>
      <c r="D3931" s="17" t="s">
        <v>155</v>
      </c>
      <c r="E3931" s="17"/>
      <c r="F3931" s="17" t="s">
        <v>156</v>
      </c>
      <c r="G3931" s="17"/>
      <c r="H3931" s="17" t="s">
        <v>692</v>
      </c>
      <c r="I3931" s="17"/>
      <c r="J3931" s="17" t="s">
        <v>693</v>
      </c>
      <c r="K3931" s="17"/>
      <c r="L3931" s="17"/>
      <c r="M3931" s="17"/>
      <c r="N3931" s="17"/>
      <c r="O3931" s="17"/>
      <c r="P3931" s="17" t="s">
        <v>1775</v>
      </c>
      <c r="Q3931" s="17"/>
      <c r="R3931" s="25" t="str">
        <f>HYPERLINK("https://ictv.global/taxonomy/taxondetails?taxnode_id=202301049","Fromanvirus perseus")</f>
        <v>Fromanvirus perseus</v>
      </c>
      <c r="S3931" s="18" t="s">
        <v>30</v>
      </c>
      <c r="T3931" s="18" t="s">
        <v>1828</v>
      </c>
      <c r="U3931" s="18"/>
      <c r="V3931" s="18"/>
      <c r="W3931" s="18" t="s">
        <v>1829</v>
      </c>
      <c r="X3931" s="18" t="s">
        <v>42</v>
      </c>
      <c r="Y3931" s="18" t="s">
        <v>36</v>
      </c>
      <c r="Z3931" s="18" t="s">
        <v>697</v>
      </c>
      <c r="AA3931" s="21" t="str">
        <f>HYPERLINK("https://www.ncbi.nlm.nih.gov/nuccore/JN572689","NCBI Nucleotide")</f>
        <v>NCBI Nucleotide</v>
      </c>
    </row>
    <row r="3932" spans="1:27" x14ac:dyDescent="0.35">
      <c r="A3932">
        <v>1005219</v>
      </c>
      <c r="B3932">
        <v>3908</v>
      </c>
      <c r="C3932">
        <v>1</v>
      </c>
      <c r="D3932" s="17" t="s">
        <v>155</v>
      </c>
      <c r="E3932" s="17"/>
      <c r="F3932" s="17" t="s">
        <v>156</v>
      </c>
      <c r="G3932" s="17"/>
      <c r="H3932" s="17" t="s">
        <v>692</v>
      </c>
      <c r="I3932" s="17"/>
      <c r="J3932" s="17" t="s">
        <v>693</v>
      </c>
      <c r="K3932" s="17"/>
      <c r="L3932" s="17"/>
      <c r="M3932" s="17"/>
      <c r="N3932" s="17"/>
      <c r="O3932" s="17"/>
      <c r="P3932" s="17" t="s">
        <v>1775</v>
      </c>
      <c r="Q3932" s="17"/>
      <c r="R3932" s="25" t="str">
        <f>HYPERLINK("https://ictv.global/taxonomy/taxondetails?taxnode_id=202301051","Fromanvirus rebeuca")</f>
        <v>Fromanvirus rebeuca</v>
      </c>
      <c r="S3932" s="18" t="s">
        <v>30</v>
      </c>
      <c r="T3932" s="18" t="s">
        <v>1830</v>
      </c>
      <c r="U3932" s="18"/>
      <c r="V3932" s="18"/>
      <c r="W3932" s="18" t="s">
        <v>1831</v>
      </c>
      <c r="X3932" s="18" t="s">
        <v>42</v>
      </c>
      <c r="Y3932" s="18" t="s">
        <v>36</v>
      </c>
      <c r="Z3932" s="18" t="s">
        <v>697</v>
      </c>
      <c r="AA3932" s="21" t="str">
        <f>HYPERLINK("https://www.ncbi.nlm.nih.gov/nuccore/JX411619","NCBI Nucleotide")</f>
        <v>NCBI Nucleotide</v>
      </c>
    </row>
    <row r="3933" spans="1:27" x14ac:dyDescent="0.35">
      <c r="A3933">
        <v>1005220</v>
      </c>
      <c r="B3933">
        <v>3909</v>
      </c>
      <c r="C3933">
        <v>1</v>
      </c>
      <c r="D3933" s="17" t="s">
        <v>155</v>
      </c>
      <c r="E3933" s="17"/>
      <c r="F3933" s="17" t="s">
        <v>156</v>
      </c>
      <c r="G3933" s="17"/>
      <c r="H3933" s="17" t="s">
        <v>692</v>
      </c>
      <c r="I3933" s="17"/>
      <c r="J3933" s="17" t="s">
        <v>693</v>
      </c>
      <c r="K3933" s="17"/>
      <c r="L3933" s="17"/>
      <c r="M3933" s="17"/>
      <c r="N3933" s="17"/>
      <c r="O3933" s="17"/>
      <c r="P3933" s="17" t="s">
        <v>1775</v>
      </c>
      <c r="Q3933" s="17"/>
      <c r="R3933" s="25" t="str">
        <f>HYPERLINK("https://ictv.global/taxonomy/taxondetails?taxnode_id=202301052","Fromanvirus redrock")</f>
        <v>Fromanvirus redrock</v>
      </c>
      <c r="S3933" s="18" t="s">
        <v>30</v>
      </c>
      <c r="T3933" s="18" t="s">
        <v>1832</v>
      </c>
      <c r="U3933" s="18"/>
      <c r="V3933" s="18"/>
      <c r="W3933" s="18" t="s">
        <v>1833</v>
      </c>
      <c r="X3933" s="18" t="s">
        <v>42</v>
      </c>
      <c r="Y3933" s="18" t="s">
        <v>36</v>
      </c>
      <c r="Z3933" s="18" t="s">
        <v>697</v>
      </c>
      <c r="AA3933" s="21" t="str">
        <f>HYPERLINK("https://www.ncbi.nlm.nih.gov/nuccore/GU339467","NCBI Nucleotide")</f>
        <v>NCBI Nucleotide</v>
      </c>
    </row>
    <row r="3934" spans="1:27" x14ac:dyDescent="0.35">
      <c r="A3934">
        <v>1005221</v>
      </c>
      <c r="B3934">
        <v>3910</v>
      </c>
      <c r="C3934">
        <v>1</v>
      </c>
      <c r="D3934" s="17" t="s">
        <v>155</v>
      </c>
      <c r="E3934" s="17"/>
      <c r="F3934" s="17" t="s">
        <v>156</v>
      </c>
      <c r="G3934" s="17"/>
      <c r="H3934" s="17" t="s">
        <v>692</v>
      </c>
      <c r="I3934" s="17"/>
      <c r="J3934" s="17" t="s">
        <v>693</v>
      </c>
      <c r="K3934" s="17"/>
      <c r="L3934" s="17"/>
      <c r="M3934" s="17"/>
      <c r="N3934" s="17"/>
      <c r="O3934" s="17"/>
      <c r="P3934" s="17" t="s">
        <v>1775</v>
      </c>
      <c r="Q3934" s="17"/>
      <c r="R3934" s="25" t="str">
        <f>HYPERLINK("https://ictv.global/taxonomy/taxondetails?taxnode_id=202301053","Fromanvirus ridgecb")</f>
        <v>Fromanvirus ridgecb</v>
      </c>
      <c r="S3934" s="18" t="s">
        <v>30</v>
      </c>
      <c r="T3934" s="18" t="s">
        <v>1834</v>
      </c>
      <c r="U3934" s="18"/>
      <c r="V3934" s="18"/>
      <c r="W3934" s="18" t="s">
        <v>1835</v>
      </c>
      <c r="X3934" s="18" t="s">
        <v>42</v>
      </c>
      <c r="Y3934" s="18" t="s">
        <v>36</v>
      </c>
      <c r="Z3934" s="18" t="s">
        <v>697</v>
      </c>
      <c r="AA3934" s="21" t="str">
        <f>HYPERLINK("https://www.ncbi.nlm.nih.gov/nuccore/JN398369","NCBI Nucleotide")</f>
        <v>NCBI Nucleotide</v>
      </c>
    </row>
    <row r="3935" spans="1:27" x14ac:dyDescent="0.35">
      <c r="A3935">
        <v>1005222</v>
      </c>
      <c r="B3935">
        <v>3911</v>
      </c>
      <c r="C3935">
        <v>1</v>
      </c>
      <c r="D3935" s="17" t="s">
        <v>155</v>
      </c>
      <c r="E3935" s="17"/>
      <c r="F3935" s="17" t="s">
        <v>156</v>
      </c>
      <c r="G3935" s="17"/>
      <c r="H3935" s="17" t="s">
        <v>692</v>
      </c>
      <c r="I3935" s="17"/>
      <c r="J3935" s="17" t="s">
        <v>693</v>
      </c>
      <c r="K3935" s="17"/>
      <c r="L3935" s="17"/>
      <c r="M3935" s="17"/>
      <c r="N3935" s="17"/>
      <c r="O3935" s="17"/>
      <c r="P3935" s="17" t="s">
        <v>1775</v>
      </c>
      <c r="Q3935" s="17"/>
      <c r="R3935" s="25" t="str">
        <f>HYPERLINK("https://ictv.global/taxonomy/taxondetails?taxnode_id=202301055","Fromanvirus saintus")</f>
        <v>Fromanvirus saintus</v>
      </c>
      <c r="S3935" s="18" t="s">
        <v>30</v>
      </c>
      <c r="T3935" s="18" t="s">
        <v>1836</v>
      </c>
      <c r="U3935" s="18"/>
      <c r="V3935" s="18"/>
      <c r="W3935" s="18" t="s">
        <v>1837</v>
      </c>
      <c r="X3935" s="18" t="s">
        <v>42</v>
      </c>
      <c r="Y3935" s="18" t="s">
        <v>36</v>
      </c>
      <c r="Z3935" s="18" t="s">
        <v>697</v>
      </c>
      <c r="AA3935" s="21" t="str">
        <f>HYPERLINK("https://www.ncbi.nlm.nih.gov/nuccore/JN831654","NCBI Nucleotide")</f>
        <v>NCBI Nucleotide</v>
      </c>
    </row>
    <row r="3936" spans="1:27" x14ac:dyDescent="0.35">
      <c r="A3936">
        <v>1005223</v>
      </c>
      <c r="B3936">
        <v>3912</v>
      </c>
      <c r="C3936">
        <v>1</v>
      </c>
      <c r="D3936" s="17" t="s">
        <v>155</v>
      </c>
      <c r="E3936" s="17"/>
      <c r="F3936" s="17" t="s">
        <v>156</v>
      </c>
      <c r="G3936" s="17"/>
      <c r="H3936" s="17" t="s">
        <v>692</v>
      </c>
      <c r="I3936" s="17"/>
      <c r="J3936" s="17" t="s">
        <v>693</v>
      </c>
      <c r="K3936" s="17"/>
      <c r="L3936" s="17"/>
      <c r="M3936" s="17"/>
      <c r="N3936" s="17"/>
      <c r="O3936" s="17"/>
      <c r="P3936" s="17" t="s">
        <v>1775</v>
      </c>
      <c r="Q3936" s="17"/>
      <c r="R3936" s="25" t="str">
        <f>HYPERLINK("https://ictv.global/taxonomy/taxondetails?taxnode_id=202301056","Fromanvirus skipole")</f>
        <v>Fromanvirus skipole</v>
      </c>
      <c r="S3936" s="18" t="s">
        <v>30</v>
      </c>
      <c r="T3936" s="18" t="s">
        <v>1838</v>
      </c>
      <c r="U3936" s="18"/>
      <c r="V3936" s="18"/>
      <c r="W3936" s="18" t="s">
        <v>1839</v>
      </c>
      <c r="X3936" s="18" t="s">
        <v>42</v>
      </c>
      <c r="Y3936" s="18" t="s">
        <v>36</v>
      </c>
      <c r="Z3936" s="18" t="s">
        <v>697</v>
      </c>
      <c r="AA3936" s="21" t="str">
        <f>HYPERLINK("https://www.ncbi.nlm.nih.gov/nuccore/GU247132","NCBI Nucleotide")</f>
        <v>NCBI Nucleotide</v>
      </c>
    </row>
    <row r="3937" spans="1:27" x14ac:dyDescent="0.35">
      <c r="A3937">
        <v>1005224</v>
      </c>
      <c r="B3937">
        <v>3913</v>
      </c>
      <c r="C3937">
        <v>1</v>
      </c>
      <c r="D3937" s="17" t="s">
        <v>155</v>
      </c>
      <c r="E3937" s="17"/>
      <c r="F3937" s="17" t="s">
        <v>156</v>
      </c>
      <c r="G3937" s="17"/>
      <c r="H3937" s="17" t="s">
        <v>692</v>
      </c>
      <c r="I3937" s="17"/>
      <c r="J3937" s="17" t="s">
        <v>693</v>
      </c>
      <c r="K3937" s="17"/>
      <c r="L3937" s="17"/>
      <c r="M3937" s="17"/>
      <c r="N3937" s="17"/>
      <c r="O3937" s="17"/>
      <c r="P3937" s="17" t="s">
        <v>1775</v>
      </c>
      <c r="Q3937" s="17"/>
      <c r="R3937" s="25" t="str">
        <f>HYPERLINK("https://ictv.global/taxonomy/taxondetails?taxnode_id=202301057","Fromanvirus solon")</f>
        <v>Fromanvirus solon</v>
      </c>
      <c r="S3937" s="18" t="s">
        <v>30</v>
      </c>
      <c r="T3937" s="18" t="s">
        <v>1840</v>
      </c>
      <c r="U3937" s="18"/>
      <c r="V3937" s="18"/>
      <c r="W3937" s="18" t="s">
        <v>1841</v>
      </c>
      <c r="X3937" s="18" t="s">
        <v>42</v>
      </c>
      <c r="Y3937" s="18" t="s">
        <v>36</v>
      </c>
      <c r="Z3937" s="18" t="s">
        <v>697</v>
      </c>
      <c r="AA3937" s="21" t="str">
        <f>HYPERLINK("https://www.ncbi.nlm.nih.gov/nuccore/EU826470","NCBI Nucleotide")</f>
        <v>NCBI Nucleotide</v>
      </c>
    </row>
    <row r="3938" spans="1:27" x14ac:dyDescent="0.35">
      <c r="A3938">
        <v>1005225</v>
      </c>
      <c r="B3938">
        <v>3914</v>
      </c>
      <c r="C3938">
        <v>1</v>
      </c>
      <c r="D3938" s="17" t="s">
        <v>155</v>
      </c>
      <c r="E3938" s="17"/>
      <c r="F3938" s="17" t="s">
        <v>156</v>
      </c>
      <c r="G3938" s="17"/>
      <c r="H3938" s="17" t="s">
        <v>692</v>
      </c>
      <c r="I3938" s="17"/>
      <c r="J3938" s="17" t="s">
        <v>693</v>
      </c>
      <c r="K3938" s="17"/>
      <c r="L3938" s="17"/>
      <c r="M3938" s="17"/>
      <c r="N3938" s="17"/>
      <c r="O3938" s="17"/>
      <c r="P3938" s="17" t="s">
        <v>1775</v>
      </c>
      <c r="Q3938" s="17"/>
      <c r="R3938" s="25" t="str">
        <f>HYPERLINK("https://ictv.global/taxonomy/taxondetails?taxnode_id=202301058","Fromanvirus switzer")</f>
        <v>Fromanvirus switzer</v>
      </c>
      <c r="S3938" s="18" t="s">
        <v>30</v>
      </c>
      <c r="T3938" s="18" t="s">
        <v>1842</v>
      </c>
      <c r="U3938" s="18"/>
      <c r="V3938" s="18"/>
      <c r="W3938" s="18" t="s">
        <v>1843</v>
      </c>
      <c r="X3938" s="18" t="s">
        <v>42</v>
      </c>
      <c r="Y3938" s="18" t="s">
        <v>36</v>
      </c>
      <c r="Z3938" s="18" t="s">
        <v>697</v>
      </c>
      <c r="AA3938" s="21" t="str">
        <f>HYPERLINK("https://www.ncbi.nlm.nih.gov/nuccore/JF937108","NCBI Nucleotide")</f>
        <v>NCBI Nucleotide</v>
      </c>
    </row>
    <row r="3939" spans="1:27" x14ac:dyDescent="0.35">
      <c r="A3939">
        <v>1005226</v>
      </c>
      <c r="B3939">
        <v>3915</v>
      </c>
      <c r="C3939">
        <v>1</v>
      </c>
      <c r="D3939" s="17" t="s">
        <v>155</v>
      </c>
      <c r="E3939" s="17"/>
      <c r="F3939" s="17" t="s">
        <v>156</v>
      </c>
      <c r="G3939" s="17"/>
      <c r="H3939" s="17" t="s">
        <v>692</v>
      </c>
      <c r="I3939" s="17"/>
      <c r="J3939" s="17" t="s">
        <v>693</v>
      </c>
      <c r="K3939" s="17"/>
      <c r="L3939" s="17"/>
      <c r="M3939" s="17"/>
      <c r="N3939" s="17"/>
      <c r="O3939" s="17"/>
      <c r="P3939" s="17" t="s">
        <v>1775</v>
      </c>
      <c r="Q3939" s="17"/>
      <c r="R3939" s="25" t="str">
        <f>HYPERLINK("https://ictv.global/taxonomy/taxondetails?taxnode_id=202301059","Fromanvirus SWU1")</f>
        <v>Fromanvirus SWU1</v>
      </c>
      <c r="S3939" s="18" t="s">
        <v>30</v>
      </c>
      <c r="T3939" s="18" t="s">
        <v>1844</v>
      </c>
      <c r="U3939" s="18"/>
      <c r="V3939" s="18"/>
      <c r="W3939" s="18" t="s">
        <v>1845</v>
      </c>
      <c r="X3939" s="18" t="s">
        <v>42</v>
      </c>
      <c r="Y3939" s="18" t="s">
        <v>36</v>
      </c>
      <c r="Z3939" s="18" t="s">
        <v>697</v>
      </c>
      <c r="AA3939" s="21" t="str">
        <f>HYPERLINK("https://www.ncbi.nlm.nih.gov/nuccore/JF946695","NCBI Nucleotide")</f>
        <v>NCBI Nucleotide</v>
      </c>
    </row>
    <row r="3940" spans="1:27" x14ac:dyDescent="0.35">
      <c r="A3940">
        <v>1005227</v>
      </c>
      <c r="B3940">
        <v>3916</v>
      </c>
      <c r="C3940">
        <v>1</v>
      </c>
      <c r="D3940" s="17" t="s">
        <v>155</v>
      </c>
      <c r="E3940" s="17"/>
      <c r="F3940" s="17" t="s">
        <v>156</v>
      </c>
      <c r="G3940" s="17"/>
      <c r="H3940" s="17" t="s">
        <v>692</v>
      </c>
      <c r="I3940" s="17"/>
      <c r="J3940" s="17" t="s">
        <v>693</v>
      </c>
      <c r="K3940" s="17"/>
      <c r="L3940" s="17"/>
      <c r="M3940" s="17"/>
      <c r="N3940" s="17"/>
      <c r="O3940" s="17"/>
      <c r="P3940" s="17" t="s">
        <v>1775</v>
      </c>
      <c r="Q3940" s="17"/>
      <c r="R3940" s="25" t="str">
        <f>HYPERLINK("https://ictv.global/taxonomy/taxondetails?taxnode_id=202301063","Fromanvirus trixie")</f>
        <v>Fromanvirus trixie</v>
      </c>
      <c r="S3940" s="18" t="s">
        <v>30</v>
      </c>
      <c r="T3940" s="18" t="s">
        <v>1846</v>
      </c>
      <c r="U3940" s="18"/>
      <c r="V3940" s="18"/>
      <c r="W3940" s="18" t="s">
        <v>1847</v>
      </c>
      <c r="X3940" s="18" t="s">
        <v>42</v>
      </c>
      <c r="Y3940" s="18" t="s">
        <v>36</v>
      </c>
      <c r="Z3940" s="18" t="s">
        <v>697</v>
      </c>
      <c r="AA3940" s="21" t="str">
        <f>HYPERLINK("https://www.ncbi.nlm.nih.gov/nuccore/JN408461","NCBI Nucleotide")</f>
        <v>NCBI Nucleotide</v>
      </c>
    </row>
    <row r="3941" spans="1:27" x14ac:dyDescent="0.35">
      <c r="A3941">
        <v>1005228</v>
      </c>
      <c r="B3941">
        <v>3917</v>
      </c>
      <c r="C3941">
        <v>1</v>
      </c>
      <c r="D3941" s="17" t="s">
        <v>155</v>
      </c>
      <c r="E3941" s="17"/>
      <c r="F3941" s="17" t="s">
        <v>156</v>
      </c>
      <c r="G3941" s="17"/>
      <c r="H3941" s="17" t="s">
        <v>692</v>
      </c>
      <c r="I3941" s="17"/>
      <c r="J3941" s="17" t="s">
        <v>693</v>
      </c>
      <c r="K3941" s="17"/>
      <c r="L3941" s="17"/>
      <c r="M3941" s="17"/>
      <c r="N3941" s="17"/>
      <c r="O3941" s="17"/>
      <c r="P3941" s="17" t="s">
        <v>1775</v>
      </c>
      <c r="Q3941" s="17"/>
      <c r="R3941" s="25" t="str">
        <f>HYPERLINK("https://ictv.global/taxonomy/taxondetails?taxnode_id=202301065","Fromanvirus twister")</f>
        <v>Fromanvirus twister</v>
      </c>
      <c r="S3941" s="18" t="s">
        <v>30</v>
      </c>
      <c r="T3941" s="18" t="s">
        <v>1848</v>
      </c>
      <c r="U3941" s="18"/>
      <c r="V3941" s="18"/>
      <c r="W3941" s="18" t="s">
        <v>1849</v>
      </c>
      <c r="X3941" s="18" t="s">
        <v>42</v>
      </c>
      <c r="Y3941" s="18" t="s">
        <v>36</v>
      </c>
      <c r="Z3941" s="18" t="s">
        <v>697</v>
      </c>
      <c r="AA3941" s="21" t="str">
        <f>HYPERLINK("https://www.ncbi.nlm.nih.gov/nuccore/JQ512844","NCBI Nucleotide")</f>
        <v>NCBI Nucleotide</v>
      </c>
    </row>
    <row r="3942" spans="1:27" x14ac:dyDescent="0.35">
      <c r="A3942">
        <v>1005229</v>
      </c>
      <c r="B3942">
        <v>3918</v>
      </c>
      <c r="C3942">
        <v>1</v>
      </c>
      <c r="D3942" s="17" t="s">
        <v>155</v>
      </c>
      <c r="E3942" s="17"/>
      <c r="F3942" s="17" t="s">
        <v>156</v>
      </c>
      <c r="G3942" s="17"/>
      <c r="H3942" s="17" t="s">
        <v>692</v>
      </c>
      <c r="I3942" s="17"/>
      <c r="J3942" s="17" t="s">
        <v>693</v>
      </c>
      <c r="K3942" s="17"/>
      <c r="L3942" s="17"/>
      <c r="M3942" s="17"/>
      <c r="N3942" s="17"/>
      <c r="O3942" s="17"/>
      <c r="P3942" s="17" t="s">
        <v>1775</v>
      </c>
      <c r="Q3942" s="17"/>
      <c r="R3942" s="25" t="str">
        <f>HYPERLINK("https://ictv.global/taxonomy/taxondetails?taxnode_id=202301066","Fromanvirus U2")</f>
        <v>Fromanvirus U2</v>
      </c>
      <c r="S3942" s="18" t="s">
        <v>30</v>
      </c>
      <c r="T3942" s="18" t="s">
        <v>1850</v>
      </c>
      <c r="U3942" s="18"/>
      <c r="V3942" s="18"/>
      <c r="W3942" s="18" t="s">
        <v>1851</v>
      </c>
      <c r="X3942" s="18" t="s">
        <v>42</v>
      </c>
      <c r="Y3942" s="18" t="s">
        <v>36</v>
      </c>
      <c r="Z3942" s="18" t="s">
        <v>697</v>
      </c>
      <c r="AA3942" s="21" t="str">
        <f>HYPERLINK("https://www.ncbi.nlm.nih.gov/nuccore/AY500152","NCBI Nucleotide")</f>
        <v>NCBI Nucleotide</v>
      </c>
    </row>
    <row r="3943" spans="1:27" x14ac:dyDescent="0.35">
      <c r="A3943">
        <v>1005230</v>
      </c>
      <c r="B3943">
        <v>3919</v>
      </c>
      <c r="C3943">
        <v>1</v>
      </c>
      <c r="D3943" s="17" t="s">
        <v>155</v>
      </c>
      <c r="E3943" s="17"/>
      <c r="F3943" s="17" t="s">
        <v>156</v>
      </c>
      <c r="G3943" s="17"/>
      <c r="H3943" s="17" t="s">
        <v>692</v>
      </c>
      <c r="I3943" s="17"/>
      <c r="J3943" s="17" t="s">
        <v>693</v>
      </c>
      <c r="K3943" s="17"/>
      <c r="L3943" s="17"/>
      <c r="M3943" s="17"/>
      <c r="N3943" s="17"/>
      <c r="O3943" s="17"/>
      <c r="P3943" s="17" t="s">
        <v>1775</v>
      </c>
      <c r="Q3943" s="17"/>
      <c r="R3943" s="25" t="str">
        <f>HYPERLINK("https://ictv.global/taxonomy/taxondetails?taxnode_id=202301067","Fromanvirus violet")</f>
        <v>Fromanvirus violet</v>
      </c>
      <c r="S3943" s="18" t="s">
        <v>30</v>
      </c>
      <c r="T3943" s="18" t="s">
        <v>1852</v>
      </c>
      <c r="U3943" s="18"/>
      <c r="V3943" s="18"/>
      <c r="W3943" s="18" t="s">
        <v>1853</v>
      </c>
      <c r="X3943" s="18" t="s">
        <v>42</v>
      </c>
      <c r="Y3943" s="18" t="s">
        <v>36</v>
      </c>
      <c r="Z3943" s="18" t="s">
        <v>697</v>
      </c>
      <c r="AA3943" s="21" t="str">
        <f>HYPERLINK("https://www.ncbi.nlm.nih.gov/nuccore/JN687951","NCBI Nucleotide")</f>
        <v>NCBI Nucleotide</v>
      </c>
    </row>
    <row r="3944" spans="1:27" x14ac:dyDescent="0.35">
      <c r="A3944">
        <v>1005231</v>
      </c>
      <c r="B3944">
        <v>3920</v>
      </c>
      <c r="C3944">
        <v>1</v>
      </c>
      <c r="D3944" s="17" t="s">
        <v>155</v>
      </c>
      <c r="E3944" s="17"/>
      <c r="F3944" s="17" t="s">
        <v>156</v>
      </c>
      <c r="G3944" s="17"/>
      <c r="H3944" s="17" t="s">
        <v>692</v>
      </c>
      <c r="I3944" s="17"/>
      <c r="J3944" s="17" t="s">
        <v>693</v>
      </c>
      <c r="K3944" s="17"/>
      <c r="L3944" s="17"/>
      <c r="M3944" s="17"/>
      <c r="N3944" s="17"/>
      <c r="O3944" s="17"/>
      <c r="P3944" s="17" t="s">
        <v>1854</v>
      </c>
      <c r="Q3944" s="17"/>
      <c r="R3944" s="25" t="str">
        <f>HYPERLINK("https://ictv.global/taxonomy/taxondetails?taxnode_id=202300515","Fukuivirus LMM01")</f>
        <v>Fukuivirus LMM01</v>
      </c>
      <c r="S3944" s="18" t="s">
        <v>30</v>
      </c>
      <c r="T3944" s="18" t="s">
        <v>1855</v>
      </c>
      <c r="U3944" s="18"/>
      <c r="V3944" s="18"/>
      <c r="W3944" s="18" t="s">
        <v>1856</v>
      </c>
      <c r="X3944" s="18" t="s">
        <v>42</v>
      </c>
      <c r="Y3944" s="18" t="s">
        <v>36</v>
      </c>
      <c r="Z3944" s="18" t="s">
        <v>697</v>
      </c>
      <c r="AA3944" s="21" t="str">
        <f>HYPERLINK("https://www.ncbi.nlm.nih.gov/nuccore/AB231700","NCBI Nucleotide")</f>
        <v>NCBI Nucleotide</v>
      </c>
    </row>
    <row r="3945" spans="1:27" x14ac:dyDescent="0.35">
      <c r="A3945">
        <v>1005232</v>
      </c>
      <c r="B3945">
        <v>3921</v>
      </c>
      <c r="C3945">
        <v>1</v>
      </c>
      <c r="D3945" s="17" t="s">
        <v>155</v>
      </c>
      <c r="E3945" s="17"/>
      <c r="F3945" s="17" t="s">
        <v>156</v>
      </c>
      <c r="G3945" s="17"/>
      <c r="H3945" s="17" t="s">
        <v>692</v>
      </c>
      <c r="I3945" s="17"/>
      <c r="J3945" s="17" t="s">
        <v>693</v>
      </c>
      <c r="K3945" s="17"/>
      <c r="L3945" s="17"/>
      <c r="M3945" s="17"/>
      <c r="N3945" s="17"/>
      <c r="O3945" s="17"/>
      <c r="P3945" s="17" t="s">
        <v>1854</v>
      </c>
      <c r="Q3945" s="17"/>
      <c r="R3945" s="25" t="str">
        <f>HYPERLINK("https://ictv.global/taxonomy/taxondetails?taxnode_id=202310039","Fukuivirus MVDC")</f>
        <v>Fukuivirus MVDC</v>
      </c>
      <c r="S3945" s="18" t="s">
        <v>30</v>
      </c>
      <c r="T3945" s="18" t="s">
        <v>1857</v>
      </c>
      <c r="U3945" s="18"/>
      <c r="V3945" s="18"/>
      <c r="W3945" s="18" t="s">
        <v>1858</v>
      </c>
      <c r="X3945" s="18" t="s">
        <v>42</v>
      </c>
      <c r="Y3945" s="18" t="s">
        <v>36</v>
      </c>
      <c r="Z3945" s="18" t="s">
        <v>697</v>
      </c>
      <c r="AA3945" s="21" t="str">
        <f>HYPERLINK("https://www.ncbi.nlm.nih.gov/nuccore/KF356199","NCBI Nucleotide")</f>
        <v>NCBI Nucleotide</v>
      </c>
    </row>
    <row r="3946" spans="1:27" x14ac:dyDescent="0.35">
      <c r="A3946">
        <v>1024554</v>
      </c>
      <c r="B3946">
        <v>3922</v>
      </c>
      <c r="C3946">
        <v>1</v>
      </c>
      <c r="D3946" s="17" t="s">
        <v>155</v>
      </c>
      <c r="E3946" s="17"/>
      <c r="F3946" s="17" t="s">
        <v>156</v>
      </c>
      <c r="G3946" s="17"/>
      <c r="H3946" s="17" t="s">
        <v>692</v>
      </c>
      <c r="I3946" s="17"/>
      <c r="J3946" s="17" t="s">
        <v>693</v>
      </c>
      <c r="K3946" s="17"/>
      <c r="L3946" s="17"/>
      <c r="M3946" s="17"/>
      <c r="N3946" s="17"/>
      <c r="O3946" s="17"/>
      <c r="P3946" s="17" t="s">
        <v>39942</v>
      </c>
      <c r="Q3946" s="17"/>
      <c r="R3946" s="25" t="str">
        <f>HYPERLINK("https://ictv.global/taxonomy/taxondetails?taxnode_id=202317767","Fuzanglongvirus ZL12")</f>
        <v>Fuzanglongvirus ZL12</v>
      </c>
      <c r="S3946" s="18" t="s">
        <v>30</v>
      </c>
      <c r="T3946" s="18" t="s">
        <v>39943</v>
      </c>
      <c r="U3946" s="18"/>
      <c r="V3946" s="18"/>
      <c r="W3946" s="18" t="s">
        <v>39944</v>
      </c>
      <c r="X3946" s="18" t="s">
        <v>42</v>
      </c>
      <c r="Y3946" s="18" t="s">
        <v>36</v>
      </c>
      <c r="Z3946" s="18" t="s">
        <v>697</v>
      </c>
      <c r="AA3946" s="21" t="str">
        <f>HYPERLINK("https://www.ncbi.nlm.nih.gov/nuccore/GQ919031","NCBI Nucleotide")</f>
        <v>NCBI Nucleotide</v>
      </c>
    </row>
    <row r="3947" spans="1:27" x14ac:dyDescent="0.35">
      <c r="A3947">
        <v>1005233</v>
      </c>
      <c r="B3947">
        <v>3923</v>
      </c>
      <c r="C3947">
        <v>1</v>
      </c>
      <c r="D3947" s="17" t="s">
        <v>155</v>
      </c>
      <c r="E3947" s="17"/>
      <c r="F3947" s="17" t="s">
        <v>156</v>
      </c>
      <c r="G3947" s="17"/>
      <c r="H3947" s="17" t="s">
        <v>692</v>
      </c>
      <c r="I3947" s="17"/>
      <c r="J3947" s="17" t="s">
        <v>693</v>
      </c>
      <c r="K3947" s="17"/>
      <c r="L3947" s="17"/>
      <c r="M3947" s="17"/>
      <c r="N3947" s="17"/>
      <c r="O3947" s="17"/>
      <c r="P3947" s="17" t="s">
        <v>1859</v>
      </c>
      <c r="Q3947" s="17"/>
      <c r="R3947" s="25" t="str">
        <f>HYPERLINK("https://ictv.global/taxonomy/taxondetails?taxnode_id=202300972","Gaiavirus gaia")</f>
        <v>Gaiavirus gaia</v>
      </c>
      <c r="S3947" s="18" t="s">
        <v>30</v>
      </c>
      <c r="T3947" s="18" t="s">
        <v>1860</v>
      </c>
      <c r="U3947" s="18"/>
      <c r="V3947" s="18"/>
      <c r="W3947" s="18" t="s">
        <v>1861</v>
      </c>
      <c r="X3947" s="18" t="s">
        <v>42</v>
      </c>
      <c r="Y3947" s="18" t="s">
        <v>36</v>
      </c>
      <c r="Z3947" s="18" t="s">
        <v>697</v>
      </c>
      <c r="AA3947" s="21" t="str">
        <f>HYPERLINK("https://www.ncbi.nlm.nih.gov/nuccore/KJ567043","NCBI Nucleotide")</f>
        <v>NCBI Nucleotide</v>
      </c>
    </row>
    <row r="3948" spans="1:27" x14ac:dyDescent="0.35">
      <c r="A3948">
        <v>1005234</v>
      </c>
      <c r="B3948">
        <v>3924</v>
      </c>
      <c r="C3948">
        <v>1</v>
      </c>
      <c r="D3948" s="17" t="s">
        <v>155</v>
      </c>
      <c r="E3948" s="17"/>
      <c r="F3948" s="17" t="s">
        <v>156</v>
      </c>
      <c r="G3948" s="17"/>
      <c r="H3948" s="17" t="s">
        <v>692</v>
      </c>
      <c r="I3948" s="17"/>
      <c r="J3948" s="17" t="s">
        <v>693</v>
      </c>
      <c r="K3948" s="17"/>
      <c r="L3948" s="17"/>
      <c r="M3948" s="17"/>
      <c r="N3948" s="17"/>
      <c r="O3948" s="17"/>
      <c r="P3948" s="17" t="s">
        <v>1862</v>
      </c>
      <c r="Q3948" s="17"/>
      <c r="R3948" s="25" t="str">
        <f>HYPERLINK("https://ictv.global/taxonomy/taxondetails?taxnode_id=202306628","Galaxyvirus abidatro")</f>
        <v>Galaxyvirus abidatro</v>
      </c>
      <c r="S3948" s="18" t="s">
        <v>30</v>
      </c>
      <c r="T3948" s="18" t="s">
        <v>1863</v>
      </c>
      <c r="U3948" s="18"/>
      <c r="V3948" s="18"/>
      <c r="W3948" s="18" t="s">
        <v>1864</v>
      </c>
      <c r="X3948" s="18" t="s">
        <v>42</v>
      </c>
      <c r="Y3948" s="18" t="s">
        <v>36</v>
      </c>
      <c r="Z3948" s="18" t="s">
        <v>697</v>
      </c>
      <c r="AA3948" s="21" t="str">
        <f>HYPERLINK("https://www.ncbi.nlm.nih.gov/nuccore/MF140397","NCBI Nucleotide")</f>
        <v>NCBI Nucleotide</v>
      </c>
    </row>
    <row r="3949" spans="1:27" x14ac:dyDescent="0.35">
      <c r="A3949">
        <v>1005235</v>
      </c>
      <c r="B3949">
        <v>3925</v>
      </c>
      <c r="C3949">
        <v>1</v>
      </c>
      <c r="D3949" s="17" t="s">
        <v>155</v>
      </c>
      <c r="E3949" s="17"/>
      <c r="F3949" s="17" t="s">
        <v>156</v>
      </c>
      <c r="G3949" s="17"/>
      <c r="H3949" s="17" t="s">
        <v>692</v>
      </c>
      <c r="I3949" s="17"/>
      <c r="J3949" s="17" t="s">
        <v>693</v>
      </c>
      <c r="K3949" s="17"/>
      <c r="L3949" s="17"/>
      <c r="M3949" s="17"/>
      <c r="N3949" s="17"/>
      <c r="O3949" s="17"/>
      <c r="P3949" s="17" t="s">
        <v>1862</v>
      </c>
      <c r="Q3949" s="17"/>
      <c r="R3949" s="25" t="str">
        <f>HYPERLINK("https://ictv.global/taxonomy/taxondetails?taxnode_id=202306627","Galaxyvirus galaxy")</f>
        <v>Galaxyvirus galaxy</v>
      </c>
      <c r="S3949" s="18" t="s">
        <v>30</v>
      </c>
      <c r="T3949" s="18" t="s">
        <v>1865</v>
      </c>
      <c r="U3949" s="18"/>
      <c r="V3949" s="18"/>
      <c r="W3949" s="18" t="s">
        <v>1866</v>
      </c>
      <c r="X3949" s="18" t="s">
        <v>42</v>
      </c>
      <c r="Y3949" s="18" t="s">
        <v>36</v>
      </c>
      <c r="Z3949" s="18" t="s">
        <v>697</v>
      </c>
      <c r="AA3949" s="21" t="str">
        <f>HYPERLINK("https://www.ncbi.nlm.nih.gov/nuccore/KU160644","NCBI Nucleotide")</f>
        <v>NCBI Nucleotide</v>
      </c>
    </row>
    <row r="3950" spans="1:27" x14ac:dyDescent="0.35">
      <c r="A3950">
        <v>1005236</v>
      </c>
      <c r="B3950">
        <v>3926</v>
      </c>
      <c r="C3950">
        <v>1</v>
      </c>
      <c r="D3950" s="17" t="s">
        <v>155</v>
      </c>
      <c r="E3950" s="17"/>
      <c r="F3950" s="17" t="s">
        <v>156</v>
      </c>
      <c r="G3950" s="17"/>
      <c r="H3950" s="17" t="s">
        <v>692</v>
      </c>
      <c r="I3950" s="17"/>
      <c r="J3950" s="17" t="s">
        <v>693</v>
      </c>
      <c r="K3950" s="17"/>
      <c r="L3950" s="17"/>
      <c r="M3950" s="17"/>
      <c r="N3950" s="17"/>
      <c r="O3950" s="17"/>
      <c r="P3950" s="17" t="s">
        <v>1867</v>
      </c>
      <c r="Q3950" s="17"/>
      <c r="R3950" s="25" t="str">
        <f>HYPERLINK("https://ictv.global/taxonomy/taxondetails?taxnode_id=202306444","Galunavirus GAL1")</f>
        <v>Galunavirus GAL1</v>
      </c>
      <c r="S3950" s="18" t="s">
        <v>30</v>
      </c>
      <c r="T3950" s="18" t="s">
        <v>1868</v>
      </c>
      <c r="U3950" s="18"/>
      <c r="V3950" s="18"/>
      <c r="W3950" s="18" t="s">
        <v>1869</v>
      </c>
      <c r="X3950" s="18" t="s">
        <v>42</v>
      </c>
      <c r="Y3950" s="18" t="s">
        <v>36</v>
      </c>
      <c r="Z3950" s="18" t="s">
        <v>697</v>
      </c>
      <c r="AA3950" s="21" t="str">
        <f>HYPERLINK("https://www.ncbi.nlm.nih.gov/nuccore/KR053194","NCBI Nucleotide")</f>
        <v>NCBI Nucleotide</v>
      </c>
    </row>
    <row r="3951" spans="1:27" x14ac:dyDescent="0.35">
      <c r="A3951">
        <v>1005237</v>
      </c>
      <c r="B3951">
        <v>3927</v>
      </c>
      <c r="C3951">
        <v>1</v>
      </c>
      <c r="D3951" s="17" t="s">
        <v>155</v>
      </c>
      <c r="E3951" s="17"/>
      <c r="F3951" s="17" t="s">
        <v>156</v>
      </c>
      <c r="G3951" s="17"/>
      <c r="H3951" s="17" t="s">
        <v>692</v>
      </c>
      <c r="I3951" s="17"/>
      <c r="J3951" s="17" t="s">
        <v>693</v>
      </c>
      <c r="K3951" s="17"/>
      <c r="L3951" s="17"/>
      <c r="M3951" s="17"/>
      <c r="N3951" s="17"/>
      <c r="O3951" s="17"/>
      <c r="P3951" s="17" t="s">
        <v>1870</v>
      </c>
      <c r="Q3951" s="17"/>
      <c r="R3951" s="25" t="str">
        <f>HYPERLINK("https://ictv.global/taxonomy/taxondetails?taxnode_id=202306480","Gamtrevirus GMA3")</f>
        <v>Gamtrevirus GMA3</v>
      </c>
      <c r="S3951" s="18" t="s">
        <v>30</v>
      </c>
      <c r="T3951" s="18" t="s">
        <v>1871</v>
      </c>
      <c r="U3951" s="18"/>
      <c r="V3951" s="18"/>
      <c r="W3951" s="18" t="s">
        <v>1872</v>
      </c>
      <c r="X3951" s="18" t="s">
        <v>42</v>
      </c>
      <c r="Y3951" s="18" t="s">
        <v>36</v>
      </c>
      <c r="Z3951" s="18" t="s">
        <v>697</v>
      </c>
      <c r="AA3951" s="21" t="str">
        <f>HYPERLINK("https://www.ncbi.nlm.nih.gov/nuccore/KR063279","NCBI Nucleotide")</f>
        <v>NCBI Nucleotide</v>
      </c>
    </row>
    <row r="3952" spans="1:27" x14ac:dyDescent="0.35">
      <c r="A3952">
        <v>1005238</v>
      </c>
      <c r="B3952">
        <v>3928</v>
      </c>
      <c r="C3952">
        <v>1</v>
      </c>
      <c r="D3952" s="17" t="s">
        <v>155</v>
      </c>
      <c r="E3952" s="17"/>
      <c r="F3952" s="17" t="s">
        <v>156</v>
      </c>
      <c r="G3952" s="17"/>
      <c r="H3952" s="17" t="s">
        <v>692</v>
      </c>
      <c r="I3952" s="17"/>
      <c r="J3952" s="17" t="s">
        <v>693</v>
      </c>
      <c r="K3952" s="17"/>
      <c r="L3952" s="17"/>
      <c r="M3952" s="17"/>
      <c r="N3952" s="17"/>
      <c r="O3952" s="17"/>
      <c r="P3952" s="17" t="s">
        <v>1873</v>
      </c>
      <c r="Q3952" s="17"/>
      <c r="R3952" s="25" t="str">
        <f>HYPERLINK("https://ictv.global/taxonomy/taxondetails?taxnode_id=202311663","Gervaisevirus claudettte")</f>
        <v>Gervaisevirus claudettte</v>
      </c>
      <c r="S3952" s="18" t="s">
        <v>30</v>
      </c>
      <c r="T3952" s="18" t="s">
        <v>1874</v>
      </c>
      <c r="U3952" s="18" t="s">
        <v>1875</v>
      </c>
      <c r="V3952" s="18"/>
      <c r="W3952" s="18" t="s">
        <v>1876</v>
      </c>
      <c r="X3952" s="18" t="s">
        <v>42</v>
      </c>
      <c r="Y3952" s="18" t="s">
        <v>36</v>
      </c>
      <c r="Z3952" s="18" t="s">
        <v>697</v>
      </c>
      <c r="AA3952" s="21" t="str">
        <f>HYPERLINK("https://www.ncbi.nlm.nih.gov/nuccore/MT740731","NCBI Nucleotide")</f>
        <v>NCBI Nucleotide</v>
      </c>
    </row>
    <row r="3953" spans="1:27" x14ac:dyDescent="0.35">
      <c r="A3953">
        <v>1005239</v>
      </c>
      <c r="B3953">
        <v>3929</v>
      </c>
      <c r="C3953">
        <v>1</v>
      </c>
      <c r="D3953" s="17" t="s">
        <v>155</v>
      </c>
      <c r="E3953" s="17"/>
      <c r="F3953" s="17" t="s">
        <v>156</v>
      </c>
      <c r="G3953" s="17"/>
      <c r="H3953" s="17" t="s">
        <v>692</v>
      </c>
      <c r="I3953" s="17"/>
      <c r="J3953" s="17" t="s">
        <v>693</v>
      </c>
      <c r="K3953" s="17"/>
      <c r="L3953" s="17"/>
      <c r="M3953" s="17"/>
      <c r="N3953" s="17"/>
      <c r="O3953" s="17"/>
      <c r="P3953" s="17" t="s">
        <v>1873</v>
      </c>
      <c r="Q3953" s="17"/>
      <c r="R3953" s="25" t="str">
        <f>HYPERLINK("https://ictv.global/taxonomy/taxondetails?taxnode_id=202311664","Gervaisevirus gervaise")</f>
        <v>Gervaisevirus gervaise</v>
      </c>
      <c r="S3953" s="18" t="s">
        <v>30</v>
      </c>
      <c r="T3953" s="18" t="s">
        <v>1877</v>
      </c>
      <c r="U3953" s="18" t="s">
        <v>1878</v>
      </c>
      <c r="V3953" s="18"/>
      <c r="W3953" s="18" t="s">
        <v>1879</v>
      </c>
      <c r="X3953" s="18" t="s">
        <v>42</v>
      </c>
      <c r="Y3953" s="18" t="s">
        <v>36</v>
      </c>
      <c r="Z3953" s="18" t="s">
        <v>697</v>
      </c>
      <c r="AA3953" s="21" t="str">
        <f>HYPERLINK("https://www.ncbi.nlm.nih.gov/nuccore/MT740740","NCBI Nucleotide")</f>
        <v>NCBI Nucleotide</v>
      </c>
    </row>
    <row r="3954" spans="1:27" x14ac:dyDescent="0.35">
      <c r="A3954">
        <v>1005240</v>
      </c>
      <c r="B3954">
        <v>3930</v>
      </c>
      <c r="C3954">
        <v>1</v>
      </c>
      <c r="D3954" s="17" t="s">
        <v>155</v>
      </c>
      <c r="E3954" s="17"/>
      <c r="F3954" s="17" t="s">
        <v>156</v>
      </c>
      <c r="G3954" s="17"/>
      <c r="H3954" s="17" t="s">
        <v>692</v>
      </c>
      <c r="I3954" s="17"/>
      <c r="J3954" s="17" t="s">
        <v>693</v>
      </c>
      <c r="K3954" s="17"/>
      <c r="L3954" s="17"/>
      <c r="M3954" s="17"/>
      <c r="N3954" s="17"/>
      <c r="O3954" s="17"/>
      <c r="P3954" s="17" t="s">
        <v>1873</v>
      </c>
      <c r="Q3954" s="17"/>
      <c r="R3954" s="25" t="str">
        <f>HYPERLINK("https://ictv.global/taxonomy/taxondetails?taxnode_id=202311665","Gervaisevirus GP4")</f>
        <v>Gervaisevirus GP4</v>
      </c>
      <c r="S3954" s="18" t="s">
        <v>30</v>
      </c>
      <c r="T3954" s="18" t="s">
        <v>1880</v>
      </c>
      <c r="U3954" s="18"/>
      <c r="V3954" s="18"/>
      <c r="W3954" s="18" t="s">
        <v>1881</v>
      </c>
      <c r="X3954" s="18" t="s">
        <v>42</v>
      </c>
      <c r="Y3954" s="18" t="s">
        <v>36</v>
      </c>
      <c r="Z3954" s="18" t="s">
        <v>697</v>
      </c>
      <c r="AA3954" s="21" t="str">
        <f>HYPERLINK("https://www.ncbi.nlm.nih.gov/nuccore/MH638294","NCBI Nucleotide")</f>
        <v>NCBI Nucleotide</v>
      </c>
    </row>
    <row r="3955" spans="1:27" x14ac:dyDescent="0.35">
      <c r="A3955">
        <v>1005241</v>
      </c>
      <c r="B3955">
        <v>3931</v>
      </c>
      <c r="C3955">
        <v>1</v>
      </c>
      <c r="D3955" s="17" t="s">
        <v>155</v>
      </c>
      <c r="E3955" s="17"/>
      <c r="F3955" s="17" t="s">
        <v>156</v>
      </c>
      <c r="G3955" s="17"/>
      <c r="H3955" s="17" t="s">
        <v>692</v>
      </c>
      <c r="I3955" s="17"/>
      <c r="J3955" s="17" t="s">
        <v>693</v>
      </c>
      <c r="K3955" s="17"/>
      <c r="L3955" s="17"/>
      <c r="M3955" s="17"/>
      <c r="N3955" s="17"/>
      <c r="O3955" s="17"/>
      <c r="P3955" s="17" t="s">
        <v>1882</v>
      </c>
      <c r="Q3955" s="17"/>
      <c r="R3955" s="25" t="str">
        <f>HYPERLINK("https://ictv.global/taxonomy/taxondetails?taxnode_id=202306827","Getseptimavirus GMA7")</f>
        <v>Getseptimavirus GMA7</v>
      </c>
      <c r="S3955" s="18" t="s">
        <v>30</v>
      </c>
      <c r="T3955" s="18" t="s">
        <v>1883</v>
      </c>
      <c r="U3955" s="18"/>
      <c r="V3955" s="18"/>
      <c r="W3955" s="18" t="s">
        <v>1884</v>
      </c>
      <c r="X3955" s="18" t="s">
        <v>42</v>
      </c>
      <c r="Y3955" s="18" t="s">
        <v>36</v>
      </c>
      <c r="Z3955" s="18" t="s">
        <v>697</v>
      </c>
      <c r="AA3955" s="21" t="str">
        <f>HYPERLINK("https://www.ncbi.nlm.nih.gov/nuccore/KR063278","NCBI Nucleotide")</f>
        <v>NCBI Nucleotide</v>
      </c>
    </row>
    <row r="3956" spans="1:27" x14ac:dyDescent="0.35">
      <c r="A3956">
        <v>1005242</v>
      </c>
      <c r="B3956">
        <v>3932</v>
      </c>
      <c r="C3956">
        <v>1</v>
      </c>
      <c r="D3956" s="17" t="s">
        <v>155</v>
      </c>
      <c r="E3956" s="17"/>
      <c r="F3956" s="17" t="s">
        <v>156</v>
      </c>
      <c r="G3956" s="17"/>
      <c r="H3956" s="17" t="s">
        <v>692</v>
      </c>
      <c r="I3956" s="17"/>
      <c r="J3956" s="17" t="s">
        <v>693</v>
      </c>
      <c r="K3956" s="17"/>
      <c r="L3956" s="17"/>
      <c r="M3956" s="17"/>
      <c r="N3956" s="17"/>
      <c r="O3956" s="17"/>
      <c r="P3956" s="17" t="s">
        <v>1882</v>
      </c>
      <c r="Q3956" s="17"/>
      <c r="R3956" s="25" t="str">
        <f>HYPERLINK("https://ictv.global/taxonomy/taxondetails?taxnode_id=202306826","Getseptimavirus GTE7")</f>
        <v>Getseptimavirus GTE7</v>
      </c>
      <c r="S3956" s="18" t="s">
        <v>30</v>
      </c>
      <c r="T3956" s="18" t="s">
        <v>1885</v>
      </c>
      <c r="U3956" s="18"/>
      <c r="V3956" s="18"/>
      <c r="W3956" s="18" t="s">
        <v>1886</v>
      </c>
      <c r="X3956" s="18" t="s">
        <v>42</v>
      </c>
      <c r="Y3956" s="18" t="s">
        <v>36</v>
      </c>
      <c r="Z3956" s="18" t="s">
        <v>697</v>
      </c>
      <c r="AA3956" s="21" t="str">
        <f>HYPERLINK("https://www.ncbi.nlm.nih.gov/nuccore/JN035618","NCBI Nucleotide")</f>
        <v>NCBI Nucleotide</v>
      </c>
    </row>
    <row r="3957" spans="1:27" x14ac:dyDescent="0.35">
      <c r="A3957">
        <v>1005243</v>
      </c>
      <c r="B3957">
        <v>3933</v>
      </c>
      <c r="C3957">
        <v>1</v>
      </c>
      <c r="D3957" s="17" t="s">
        <v>155</v>
      </c>
      <c r="E3957" s="17"/>
      <c r="F3957" s="17" t="s">
        <v>156</v>
      </c>
      <c r="G3957" s="17"/>
      <c r="H3957" s="17" t="s">
        <v>692</v>
      </c>
      <c r="I3957" s="17"/>
      <c r="J3957" s="17" t="s">
        <v>693</v>
      </c>
      <c r="K3957" s="17"/>
      <c r="L3957" s="17"/>
      <c r="M3957" s="17"/>
      <c r="N3957" s="17"/>
      <c r="O3957" s="17"/>
      <c r="P3957" s="17" t="s">
        <v>1887</v>
      </c>
      <c r="Q3957" s="17"/>
      <c r="R3957" s="25" t="str">
        <f>HYPERLINK("https://ictv.global/taxonomy/taxondetails?taxnode_id=202306635","Ghobesvirus ghobes")</f>
        <v>Ghobesvirus ghobes</v>
      </c>
      <c r="S3957" s="18" t="s">
        <v>30</v>
      </c>
      <c r="T3957" s="18" t="s">
        <v>1888</v>
      </c>
      <c r="U3957" s="18"/>
      <c r="V3957" s="18"/>
      <c r="W3957" s="18" t="s">
        <v>1889</v>
      </c>
      <c r="X3957" s="18" t="s">
        <v>42</v>
      </c>
      <c r="Y3957" s="18" t="s">
        <v>36</v>
      </c>
      <c r="Z3957" s="18" t="s">
        <v>697</v>
      </c>
      <c r="AA3957" s="21" t="str">
        <f>HYPERLINK("https://www.ncbi.nlm.nih.gov/nuccore/KX557278","NCBI Nucleotide")</f>
        <v>NCBI Nucleotide</v>
      </c>
    </row>
    <row r="3958" spans="1:27" x14ac:dyDescent="0.35">
      <c r="A3958">
        <v>1005244</v>
      </c>
      <c r="B3958">
        <v>3934</v>
      </c>
      <c r="C3958">
        <v>1</v>
      </c>
      <c r="D3958" s="17" t="s">
        <v>155</v>
      </c>
      <c r="E3958" s="17"/>
      <c r="F3958" s="17" t="s">
        <v>156</v>
      </c>
      <c r="G3958" s="17"/>
      <c r="H3958" s="17" t="s">
        <v>692</v>
      </c>
      <c r="I3958" s="17"/>
      <c r="J3958" s="17" t="s">
        <v>693</v>
      </c>
      <c r="K3958" s="17"/>
      <c r="L3958" s="17"/>
      <c r="M3958" s="17"/>
      <c r="N3958" s="17"/>
      <c r="O3958" s="17"/>
      <c r="P3958" s="17" t="s">
        <v>1890</v>
      </c>
      <c r="Q3958" s="17"/>
      <c r="R3958" s="25" t="str">
        <f>HYPERLINK("https://ictv.global/taxonomy/taxondetails?taxnode_id=202300974","Gilesvirus giles")</f>
        <v>Gilesvirus giles</v>
      </c>
      <c r="S3958" s="18" t="s">
        <v>30</v>
      </c>
      <c r="T3958" s="18" t="s">
        <v>1891</v>
      </c>
      <c r="U3958" s="18"/>
      <c r="V3958" s="18"/>
      <c r="W3958" s="18" t="s">
        <v>1892</v>
      </c>
      <c r="X3958" s="18" t="s">
        <v>42</v>
      </c>
      <c r="Y3958" s="18" t="s">
        <v>36</v>
      </c>
      <c r="Z3958" s="18" t="s">
        <v>697</v>
      </c>
      <c r="AA3958" s="21" t="str">
        <f>HYPERLINK("https://www.ncbi.nlm.nih.gov/nuccore/EU203571","NCBI Nucleotide")</f>
        <v>NCBI Nucleotide</v>
      </c>
    </row>
    <row r="3959" spans="1:27" x14ac:dyDescent="0.35">
      <c r="A3959">
        <v>1024557</v>
      </c>
      <c r="B3959">
        <v>3935</v>
      </c>
      <c r="C3959">
        <v>1</v>
      </c>
      <c r="D3959" s="17" t="s">
        <v>155</v>
      </c>
      <c r="E3959" s="17"/>
      <c r="F3959" s="17" t="s">
        <v>156</v>
      </c>
      <c r="G3959" s="17"/>
      <c r="H3959" s="17" t="s">
        <v>692</v>
      </c>
      <c r="I3959" s="17"/>
      <c r="J3959" s="17" t="s">
        <v>693</v>
      </c>
      <c r="K3959" s="17"/>
      <c r="L3959" s="17"/>
      <c r="M3959" s="17"/>
      <c r="N3959" s="17"/>
      <c r="O3959" s="17"/>
      <c r="P3959" s="17" t="s">
        <v>39945</v>
      </c>
      <c r="Q3959" s="17"/>
      <c r="R3959" s="25" t="str">
        <f>HYPERLINK("https://ictv.global/taxonomy/taxondetails?taxnode_id=202317757","Gilgameshvirus gilgamesh")</f>
        <v>Gilgameshvirus gilgamesh</v>
      </c>
      <c r="S3959" s="18" t="s">
        <v>30</v>
      </c>
      <c r="T3959" s="18" t="s">
        <v>39946</v>
      </c>
      <c r="U3959" s="18"/>
      <c r="V3959" s="18"/>
      <c r="W3959" s="18" t="s">
        <v>48519</v>
      </c>
      <c r="X3959" s="18" t="s">
        <v>42</v>
      </c>
      <c r="Y3959" s="18" t="s">
        <v>36</v>
      </c>
      <c r="Z3959" s="18" t="s">
        <v>697</v>
      </c>
      <c r="AA3959" s="21" t="str">
        <f>HYPERLINK("https://www.ncbi.nlm.nih.gov/nuccore/MN234216","NCBI Nucleotide")</f>
        <v>NCBI Nucleotide</v>
      </c>
    </row>
    <row r="3960" spans="1:27" x14ac:dyDescent="0.35">
      <c r="A3960">
        <v>1005245</v>
      </c>
      <c r="B3960">
        <v>3936</v>
      </c>
      <c r="C3960">
        <v>1</v>
      </c>
      <c r="D3960" s="17" t="s">
        <v>155</v>
      </c>
      <c r="E3960" s="17"/>
      <c r="F3960" s="17" t="s">
        <v>156</v>
      </c>
      <c r="G3960" s="17"/>
      <c r="H3960" s="17" t="s">
        <v>692</v>
      </c>
      <c r="I3960" s="17"/>
      <c r="J3960" s="17" t="s">
        <v>693</v>
      </c>
      <c r="K3960" s="17"/>
      <c r="L3960" s="17"/>
      <c r="M3960" s="17"/>
      <c r="N3960" s="17"/>
      <c r="O3960" s="17"/>
      <c r="P3960" s="17" t="s">
        <v>1893</v>
      </c>
      <c r="Q3960" s="17"/>
      <c r="R3960" s="25" t="str">
        <f>HYPERLINK("https://ictv.global/taxonomy/taxondetails?taxnode_id=202307308","Gillianvirus oneinagillian")</f>
        <v>Gillianvirus oneinagillian</v>
      </c>
      <c r="S3960" s="18" t="s">
        <v>30</v>
      </c>
      <c r="T3960" s="18" t="s">
        <v>1894</v>
      </c>
      <c r="U3960" s="18"/>
      <c r="V3960" s="18"/>
      <c r="W3960" s="18" t="s">
        <v>1895</v>
      </c>
      <c r="X3960" s="18" t="s">
        <v>42</v>
      </c>
      <c r="Y3960" s="18" t="s">
        <v>36</v>
      </c>
      <c r="Z3960" s="18" t="s">
        <v>697</v>
      </c>
      <c r="AA3960" s="21" t="str">
        <f>HYPERLINK("https://www.ncbi.nlm.nih.gov/nuccore/MH727556","NCBI Nucleotide")</f>
        <v>NCBI Nucleotide</v>
      </c>
    </row>
    <row r="3961" spans="1:27" x14ac:dyDescent="0.35">
      <c r="A3961">
        <v>1005246</v>
      </c>
      <c r="B3961">
        <v>3937</v>
      </c>
      <c r="C3961">
        <v>1</v>
      </c>
      <c r="D3961" s="17" t="s">
        <v>155</v>
      </c>
      <c r="E3961" s="17"/>
      <c r="F3961" s="17" t="s">
        <v>156</v>
      </c>
      <c r="G3961" s="17"/>
      <c r="H3961" s="17" t="s">
        <v>692</v>
      </c>
      <c r="I3961" s="17"/>
      <c r="J3961" s="17" t="s">
        <v>693</v>
      </c>
      <c r="K3961" s="17"/>
      <c r="L3961" s="17"/>
      <c r="M3961" s="17"/>
      <c r="N3961" s="17"/>
      <c r="O3961" s="17"/>
      <c r="P3961" s="17" t="s">
        <v>1896</v>
      </c>
      <c r="Q3961" s="17"/>
      <c r="R3961" s="25" t="str">
        <f>HYPERLINK("https://ictv.global/taxonomy/taxondetails?taxnode_id=202314972","Gimaduovirus GMA2")</f>
        <v>Gimaduovirus GMA2</v>
      </c>
      <c r="S3961" s="18" t="s">
        <v>30</v>
      </c>
      <c r="T3961" s="18" t="s">
        <v>1897</v>
      </c>
      <c r="U3961" s="18"/>
      <c r="V3961" s="18"/>
      <c r="W3961" s="18" t="s">
        <v>1898</v>
      </c>
      <c r="X3961" s="18" t="s">
        <v>42</v>
      </c>
      <c r="Y3961" s="18" t="s">
        <v>36</v>
      </c>
      <c r="Z3961" s="18" t="s">
        <v>697</v>
      </c>
      <c r="AA3961" s="21" t="str">
        <f>HYPERLINK("https://www.ncbi.nlm.nih.gov/nuccore/KR063281","NCBI Nucleotide")</f>
        <v>NCBI Nucleotide</v>
      </c>
    </row>
    <row r="3962" spans="1:27" x14ac:dyDescent="0.35">
      <c r="A3962">
        <v>1005247</v>
      </c>
      <c r="B3962">
        <v>3938</v>
      </c>
      <c r="C3962">
        <v>1</v>
      </c>
      <c r="D3962" s="17" t="s">
        <v>155</v>
      </c>
      <c r="E3962" s="17"/>
      <c r="F3962" s="17" t="s">
        <v>156</v>
      </c>
      <c r="G3962" s="17"/>
      <c r="H3962" s="17" t="s">
        <v>692</v>
      </c>
      <c r="I3962" s="17"/>
      <c r="J3962" s="17" t="s">
        <v>693</v>
      </c>
      <c r="K3962" s="17"/>
      <c r="L3962" s="17"/>
      <c r="M3962" s="17"/>
      <c r="N3962" s="17"/>
      <c r="O3962" s="17"/>
      <c r="P3962" s="17" t="s">
        <v>1899</v>
      </c>
      <c r="Q3962" s="17"/>
      <c r="R3962" s="25" t="str">
        <f>HYPERLINK("https://ictv.global/taxonomy/taxondetails?taxnode_id=202313602","Gladiatorvirus blinn1")</f>
        <v>Gladiatorvirus blinn1</v>
      </c>
      <c r="S3962" s="18" t="s">
        <v>30</v>
      </c>
      <c r="T3962" s="18" t="s">
        <v>1900</v>
      </c>
      <c r="U3962" s="18"/>
      <c r="V3962" s="18"/>
      <c r="W3962" s="18" t="s">
        <v>1901</v>
      </c>
      <c r="X3962" s="18" t="s">
        <v>42</v>
      </c>
      <c r="Y3962" s="18" t="s">
        <v>36</v>
      </c>
      <c r="Z3962" s="18" t="s">
        <v>697</v>
      </c>
      <c r="AA3962" s="21" t="str">
        <f>HYPERLINK("https://www.ncbi.nlm.nih.gov/nuccore/MN586039","NCBI Nucleotide")</f>
        <v>NCBI Nucleotide</v>
      </c>
    </row>
    <row r="3963" spans="1:27" x14ac:dyDescent="0.35">
      <c r="A3963">
        <v>1005248</v>
      </c>
      <c r="B3963">
        <v>3939</v>
      </c>
      <c r="C3963">
        <v>1</v>
      </c>
      <c r="D3963" s="17" t="s">
        <v>155</v>
      </c>
      <c r="E3963" s="17"/>
      <c r="F3963" s="17" t="s">
        <v>156</v>
      </c>
      <c r="G3963" s="17"/>
      <c r="H3963" s="17" t="s">
        <v>692</v>
      </c>
      <c r="I3963" s="17"/>
      <c r="J3963" s="17" t="s">
        <v>693</v>
      </c>
      <c r="K3963" s="17"/>
      <c r="L3963" s="17"/>
      <c r="M3963" s="17"/>
      <c r="N3963" s="17"/>
      <c r="O3963" s="17"/>
      <c r="P3963" s="17" t="s">
        <v>1899</v>
      </c>
      <c r="Q3963" s="17"/>
      <c r="R3963" s="25" t="str">
        <f>HYPERLINK("https://ictv.global/taxonomy/taxondetails?taxnode_id=202312254","Gladiatorvirus CloudWang3")</f>
        <v>Gladiatorvirus CloudWang3</v>
      </c>
      <c r="S3963" s="18" t="s">
        <v>30</v>
      </c>
      <c r="T3963" s="18" t="s">
        <v>1902</v>
      </c>
      <c r="U3963" s="18"/>
      <c r="V3963" s="18"/>
      <c r="W3963" s="18" t="s">
        <v>1903</v>
      </c>
      <c r="X3963" s="18" t="s">
        <v>42</v>
      </c>
      <c r="Y3963" s="18" t="s">
        <v>36</v>
      </c>
      <c r="Z3963" s="18" t="s">
        <v>697</v>
      </c>
      <c r="AA3963" s="21" t="str">
        <f>HYPERLINK("https://www.ncbi.nlm.nih.gov/nuccore/KF560332","NCBI Nucleotide")</f>
        <v>NCBI Nucleotide</v>
      </c>
    </row>
    <row r="3964" spans="1:27" x14ac:dyDescent="0.35">
      <c r="A3964">
        <v>1005249</v>
      </c>
      <c r="B3964">
        <v>3940</v>
      </c>
      <c r="C3964">
        <v>1</v>
      </c>
      <c r="D3964" s="17" t="s">
        <v>155</v>
      </c>
      <c r="E3964" s="17"/>
      <c r="F3964" s="17" t="s">
        <v>156</v>
      </c>
      <c r="G3964" s="17"/>
      <c r="H3964" s="17" t="s">
        <v>692</v>
      </c>
      <c r="I3964" s="17"/>
      <c r="J3964" s="17" t="s">
        <v>693</v>
      </c>
      <c r="K3964" s="17"/>
      <c r="L3964" s="17"/>
      <c r="M3964" s="17"/>
      <c r="N3964" s="17"/>
      <c r="O3964" s="17"/>
      <c r="P3964" s="17" t="s">
        <v>1899</v>
      </c>
      <c r="Q3964" s="17"/>
      <c r="R3964" s="25" t="str">
        <f>HYPERLINK("https://ictv.global/taxonomy/taxondetails?taxnode_id=202301024","Gladiatorvirus ericB")</f>
        <v>Gladiatorvirus ericB</v>
      </c>
      <c r="S3964" s="18" t="s">
        <v>30</v>
      </c>
      <c r="T3964" s="18" t="s">
        <v>1904</v>
      </c>
      <c r="U3964" s="18"/>
      <c r="V3964" s="18"/>
      <c r="W3964" s="18" t="s">
        <v>1905</v>
      </c>
      <c r="X3964" s="18" t="s">
        <v>42</v>
      </c>
      <c r="Y3964" s="18" t="s">
        <v>36</v>
      </c>
      <c r="Z3964" s="18" t="s">
        <v>697</v>
      </c>
      <c r="AA3964" s="21" t="str">
        <f>HYPERLINK("https://www.ncbi.nlm.nih.gov/nuccore/JN049605","NCBI Nucleotide")</f>
        <v>NCBI Nucleotide</v>
      </c>
    </row>
    <row r="3965" spans="1:27" x14ac:dyDescent="0.35">
      <c r="A3965">
        <v>1005250</v>
      </c>
      <c r="B3965">
        <v>3941</v>
      </c>
      <c r="C3965">
        <v>1</v>
      </c>
      <c r="D3965" s="17" t="s">
        <v>155</v>
      </c>
      <c r="E3965" s="17"/>
      <c r="F3965" s="17" t="s">
        <v>156</v>
      </c>
      <c r="G3965" s="17"/>
      <c r="H3965" s="17" t="s">
        <v>692</v>
      </c>
      <c r="I3965" s="17"/>
      <c r="J3965" s="17" t="s">
        <v>693</v>
      </c>
      <c r="K3965" s="17"/>
      <c r="L3965" s="17"/>
      <c r="M3965" s="17"/>
      <c r="N3965" s="17"/>
      <c r="O3965" s="17"/>
      <c r="P3965" s="17" t="s">
        <v>1899</v>
      </c>
      <c r="Q3965" s="17"/>
      <c r="R3965" s="25" t="str">
        <f>HYPERLINK("https://ictv.global/taxonomy/taxondetails?taxnode_id=202301027","Gladiatorvirus gladiator")</f>
        <v>Gladiatorvirus gladiator</v>
      </c>
      <c r="S3965" s="18" t="s">
        <v>30</v>
      </c>
      <c r="T3965" s="18" t="s">
        <v>1906</v>
      </c>
      <c r="U3965" s="18"/>
      <c r="V3965" s="18"/>
      <c r="W3965" s="18" t="s">
        <v>1907</v>
      </c>
      <c r="X3965" s="18" t="s">
        <v>42</v>
      </c>
      <c r="Y3965" s="18" t="s">
        <v>36</v>
      </c>
      <c r="Z3965" s="18" t="s">
        <v>697</v>
      </c>
      <c r="AA3965" s="21" t="str">
        <f>HYPERLINK("https://www.ncbi.nlm.nih.gov/nuccore/JF704097","NCBI Nucleotide")</f>
        <v>NCBI Nucleotide</v>
      </c>
    </row>
    <row r="3966" spans="1:27" x14ac:dyDescent="0.35">
      <c r="A3966">
        <v>1005251</v>
      </c>
      <c r="B3966">
        <v>3942</v>
      </c>
      <c r="C3966">
        <v>1</v>
      </c>
      <c r="D3966" s="17" t="s">
        <v>155</v>
      </c>
      <c r="E3966" s="17"/>
      <c r="F3966" s="17" t="s">
        <v>156</v>
      </c>
      <c r="G3966" s="17"/>
      <c r="H3966" s="17" t="s">
        <v>692</v>
      </c>
      <c r="I3966" s="17"/>
      <c r="J3966" s="17" t="s">
        <v>693</v>
      </c>
      <c r="K3966" s="17"/>
      <c r="L3966" s="17"/>
      <c r="M3966" s="17"/>
      <c r="N3966" s="17"/>
      <c r="O3966" s="17"/>
      <c r="P3966" s="17" t="s">
        <v>1899</v>
      </c>
      <c r="Q3966" s="17"/>
      <c r="R3966" s="25" t="str">
        <f>HYPERLINK("https://ictv.global/taxonomy/taxondetails?taxnode_id=202301029","Gladiatorvirus hammer")</f>
        <v>Gladiatorvirus hammer</v>
      </c>
      <c r="S3966" s="18" t="s">
        <v>30</v>
      </c>
      <c r="T3966" s="18" t="s">
        <v>1908</v>
      </c>
      <c r="U3966" s="18"/>
      <c r="V3966" s="18"/>
      <c r="W3966" s="18" t="s">
        <v>1909</v>
      </c>
      <c r="X3966" s="18" t="s">
        <v>42</v>
      </c>
      <c r="Y3966" s="18" t="s">
        <v>36</v>
      </c>
      <c r="Z3966" s="18" t="s">
        <v>697</v>
      </c>
      <c r="AA3966" s="21" t="str">
        <f>HYPERLINK("https://www.ncbi.nlm.nih.gov/nuccore/JF937094","NCBI Nucleotide")</f>
        <v>NCBI Nucleotide</v>
      </c>
    </row>
    <row r="3967" spans="1:27" x14ac:dyDescent="0.35">
      <c r="A3967">
        <v>1005252</v>
      </c>
      <c r="B3967">
        <v>3943</v>
      </c>
      <c r="C3967">
        <v>1</v>
      </c>
      <c r="D3967" s="17" t="s">
        <v>155</v>
      </c>
      <c r="E3967" s="17"/>
      <c r="F3967" s="17" t="s">
        <v>156</v>
      </c>
      <c r="G3967" s="17"/>
      <c r="H3967" s="17" t="s">
        <v>692</v>
      </c>
      <c r="I3967" s="17"/>
      <c r="J3967" s="17" t="s">
        <v>693</v>
      </c>
      <c r="K3967" s="17"/>
      <c r="L3967" s="17"/>
      <c r="M3967" s="17"/>
      <c r="N3967" s="17"/>
      <c r="O3967" s="17"/>
      <c r="P3967" s="17" t="s">
        <v>1899</v>
      </c>
      <c r="Q3967" s="17"/>
      <c r="R3967" s="25" t="str">
        <f>HYPERLINK("https://ictv.global/taxonomy/taxondetails?taxnode_id=202301033","Gladiatorvirus jeffabunny")</f>
        <v>Gladiatorvirus jeffabunny</v>
      </c>
      <c r="S3967" s="18" t="s">
        <v>30</v>
      </c>
      <c r="T3967" s="18" t="s">
        <v>1910</v>
      </c>
      <c r="U3967" s="18"/>
      <c r="V3967" s="18"/>
      <c r="W3967" s="18" t="s">
        <v>1911</v>
      </c>
      <c r="X3967" s="18" t="s">
        <v>42</v>
      </c>
      <c r="Y3967" s="18" t="s">
        <v>36</v>
      </c>
      <c r="Z3967" s="18" t="s">
        <v>697</v>
      </c>
      <c r="AA3967" s="21" t="str">
        <f>HYPERLINK("https://www.ncbi.nlm.nih.gov/nuccore/JN699019","NCBI Nucleotide")</f>
        <v>NCBI Nucleotide</v>
      </c>
    </row>
    <row r="3968" spans="1:27" x14ac:dyDescent="0.35">
      <c r="A3968">
        <v>1005253</v>
      </c>
      <c r="B3968">
        <v>3944</v>
      </c>
      <c r="C3968">
        <v>1</v>
      </c>
      <c r="D3968" s="17" t="s">
        <v>155</v>
      </c>
      <c r="E3968" s="17"/>
      <c r="F3968" s="17" t="s">
        <v>156</v>
      </c>
      <c r="G3968" s="17"/>
      <c r="H3968" s="17" t="s">
        <v>692</v>
      </c>
      <c r="I3968" s="17"/>
      <c r="J3968" s="17" t="s">
        <v>693</v>
      </c>
      <c r="K3968" s="17"/>
      <c r="L3968" s="17"/>
      <c r="M3968" s="17"/>
      <c r="N3968" s="17"/>
      <c r="O3968" s="17"/>
      <c r="P3968" s="17" t="s">
        <v>1899</v>
      </c>
      <c r="Q3968" s="17"/>
      <c r="R3968" s="25" t="str">
        <f>HYPERLINK("https://ictv.global/taxonomy/taxondetails?taxnode_id=202313604","Gladiatorvirus jewelbug")</f>
        <v>Gladiatorvirus jewelbug</v>
      </c>
      <c r="S3968" s="18" t="s">
        <v>30</v>
      </c>
      <c r="T3968" s="18" t="s">
        <v>1912</v>
      </c>
      <c r="U3968" s="18"/>
      <c r="V3968" s="18"/>
      <c r="W3968" s="18" t="s">
        <v>1913</v>
      </c>
      <c r="X3968" s="18" t="s">
        <v>42</v>
      </c>
      <c r="Y3968" s="18" t="s">
        <v>36</v>
      </c>
      <c r="Z3968" s="18" t="s">
        <v>697</v>
      </c>
      <c r="AA3968" s="21" t="str">
        <f>HYPERLINK("https://www.ncbi.nlm.nih.gov/nuccore/MK359352","NCBI Nucleotide")</f>
        <v>NCBI Nucleotide</v>
      </c>
    </row>
    <row r="3969" spans="1:27" x14ac:dyDescent="0.35">
      <c r="A3969">
        <v>1005254</v>
      </c>
      <c r="B3969">
        <v>3945</v>
      </c>
      <c r="C3969">
        <v>1</v>
      </c>
      <c r="D3969" s="17" t="s">
        <v>155</v>
      </c>
      <c r="E3969" s="17"/>
      <c r="F3969" s="17" t="s">
        <v>156</v>
      </c>
      <c r="G3969" s="17"/>
      <c r="H3969" s="17" t="s">
        <v>692</v>
      </c>
      <c r="I3969" s="17"/>
      <c r="J3969" s="17" t="s">
        <v>693</v>
      </c>
      <c r="K3969" s="17"/>
      <c r="L3969" s="17"/>
      <c r="M3969" s="17"/>
      <c r="N3969" s="17"/>
      <c r="O3969" s="17"/>
      <c r="P3969" s="17" t="s">
        <v>1899</v>
      </c>
      <c r="Q3969" s="17"/>
      <c r="R3969" s="25" t="str">
        <f>HYPERLINK("https://ictv.global/taxonomy/taxondetails?taxnode_id=202312253","Gladiatorvirus koko")</f>
        <v>Gladiatorvirus koko</v>
      </c>
      <c r="S3969" s="18" t="s">
        <v>30</v>
      </c>
      <c r="T3969" s="18" t="s">
        <v>1914</v>
      </c>
      <c r="U3969" s="18"/>
      <c r="V3969" s="18"/>
      <c r="W3969" s="18" t="s">
        <v>1915</v>
      </c>
      <c r="X3969" s="18" t="s">
        <v>42</v>
      </c>
      <c r="Y3969" s="18" t="s">
        <v>36</v>
      </c>
      <c r="Z3969" s="18" t="s">
        <v>697</v>
      </c>
      <c r="AA3969" s="21" t="str">
        <f>HYPERLINK("https://www.ncbi.nlm.nih.gov/nuccore/MG099945","NCBI Nucleotide")</f>
        <v>NCBI Nucleotide</v>
      </c>
    </row>
    <row r="3970" spans="1:27" x14ac:dyDescent="0.35">
      <c r="A3970">
        <v>1005255</v>
      </c>
      <c r="B3970">
        <v>3946</v>
      </c>
      <c r="C3970">
        <v>1</v>
      </c>
      <c r="D3970" s="17" t="s">
        <v>155</v>
      </c>
      <c r="E3970" s="17"/>
      <c r="F3970" s="17" t="s">
        <v>156</v>
      </c>
      <c r="G3970" s="17"/>
      <c r="H3970" s="17" t="s">
        <v>692</v>
      </c>
      <c r="I3970" s="17"/>
      <c r="J3970" s="17" t="s">
        <v>693</v>
      </c>
      <c r="K3970" s="17"/>
      <c r="L3970" s="17"/>
      <c r="M3970" s="17"/>
      <c r="N3970" s="17"/>
      <c r="O3970" s="17"/>
      <c r="P3970" s="17" t="s">
        <v>1899</v>
      </c>
      <c r="Q3970" s="17"/>
      <c r="R3970" s="25" t="str">
        <f>HYPERLINK("https://ictv.global/taxonomy/taxondetails?taxnode_id=202312252","Gladiatorvirus priamo")</f>
        <v>Gladiatorvirus priamo</v>
      </c>
      <c r="S3970" s="18" t="s">
        <v>30</v>
      </c>
      <c r="T3970" s="18" t="s">
        <v>1916</v>
      </c>
      <c r="U3970" s="18"/>
      <c r="V3970" s="18"/>
      <c r="W3970" s="18" t="s">
        <v>1917</v>
      </c>
      <c r="X3970" s="18" t="s">
        <v>42</v>
      </c>
      <c r="Y3970" s="18" t="s">
        <v>36</v>
      </c>
      <c r="Z3970" s="18" t="s">
        <v>697</v>
      </c>
      <c r="AA3970" s="21" t="str">
        <f>HYPERLINK("https://www.ncbi.nlm.nih.gov/nuccore/MH155876","NCBI Nucleotide")</f>
        <v>NCBI Nucleotide</v>
      </c>
    </row>
    <row r="3971" spans="1:27" x14ac:dyDescent="0.35">
      <c r="A3971">
        <v>1005256</v>
      </c>
      <c r="B3971">
        <v>3947</v>
      </c>
      <c r="C3971">
        <v>1</v>
      </c>
      <c r="D3971" s="17" t="s">
        <v>155</v>
      </c>
      <c r="E3971" s="17"/>
      <c r="F3971" s="17" t="s">
        <v>156</v>
      </c>
      <c r="G3971" s="17"/>
      <c r="H3971" s="17" t="s">
        <v>692</v>
      </c>
      <c r="I3971" s="17"/>
      <c r="J3971" s="17" t="s">
        <v>693</v>
      </c>
      <c r="K3971" s="17"/>
      <c r="L3971" s="17"/>
      <c r="M3971" s="17"/>
      <c r="N3971" s="17"/>
      <c r="O3971" s="17"/>
      <c r="P3971" s="17" t="s">
        <v>1899</v>
      </c>
      <c r="Q3971" s="17"/>
      <c r="R3971" s="25" t="str">
        <f>HYPERLINK("https://ictv.global/taxonomy/taxondetails?taxnode_id=202313603","Gladiatorvirus zaka")</f>
        <v>Gladiatorvirus zaka</v>
      </c>
      <c r="S3971" s="18" t="s">
        <v>30</v>
      </c>
      <c r="T3971" s="18" t="s">
        <v>1918</v>
      </c>
      <c r="U3971" s="18"/>
      <c r="V3971" s="18"/>
      <c r="W3971" s="18" t="s">
        <v>1919</v>
      </c>
      <c r="X3971" s="18" t="s">
        <v>42</v>
      </c>
      <c r="Y3971" s="18" t="s">
        <v>36</v>
      </c>
      <c r="Z3971" s="18" t="s">
        <v>697</v>
      </c>
      <c r="AA3971" s="21" t="str">
        <f>HYPERLINK("https://www.ncbi.nlm.nih.gov/nuccore/KF560334","NCBI Nucleotide")</f>
        <v>NCBI Nucleotide</v>
      </c>
    </row>
    <row r="3972" spans="1:27" x14ac:dyDescent="0.35">
      <c r="A3972">
        <v>1005257</v>
      </c>
      <c r="B3972">
        <v>3948</v>
      </c>
      <c r="C3972">
        <v>1</v>
      </c>
      <c r="D3972" s="17" t="s">
        <v>155</v>
      </c>
      <c r="E3972" s="17"/>
      <c r="F3972" s="17" t="s">
        <v>156</v>
      </c>
      <c r="G3972" s="17"/>
      <c r="H3972" s="17" t="s">
        <v>692</v>
      </c>
      <c r="I3972" s="17"/>
      <c r="J3972" s="17" t="s">
        <v>693</v>
      </c>
      <c r="K3972" s="17"/>
      <c r="L3972" s="17"/>
      <c r="M3972" s="17"/>
      <c r="N3972" s="17"/>
      <c r="O3972" s="17"/>
      <c r="P3972" s="17" t="s">
        <v>1920</v>
      </c>
      <c r="Q3972" s="17"/>
      <c r="R3972" s="25" t="str">
        <f>HYPERLINK("https://ictv.global/taxonomy/taxondetails?taxnode_id=202309350","Glaedevirus gv2H10")</f>
        <v>Glaedevirus gv2H10</v>
      </c>
      <c r="S3972" s="18" t="s">
        <v>30</v>
      </c>
      <c r="T3972" s="18" t="s">
        <v>1921</v>
      </c>
      <c r="U3972" s="18"/>
      <c r="V3972" s="18"/>
      <c r="W3972" s="18" t="s">
        <v>1922</v>
      </c>
      <c r="X3972" s="18" t="s">
        <v>42</v>
      </c>
      <c r="Y3972" s="18" t="s">
        <v>36</v>
      </c>
      <c r="Z3972" s="18" t="s">
        <v>697</v>
      </c>
      <c r="AA3972" s="21" t="str">
        <f>HYPERLINK("https://www.ncbi.nlm.nih.gov/nuccore/LR595862","NCBI Nucleotide")</f>
        <v>NCBI Nucleotide</v>
      </c>
    </row>
    <row r="3973" spans="1:27" x14ac:dyDescent="0.35">
      <c r="A3973">
        <v>1005258</v>
      </c>
      <c r="B3973">
        <v>3949</v>
      </c>
      <c r="C3973">
        <v>1</v>
      </c>
      <c r="D3973" s="17" t="s">
        <v>155</v>
      </c>
      <c r="E3973" s="17"/>
      <c r="F3973" s="17" t="s">
        <v>156</v>
      </c>
      <c r="G3973" s="17"/>
      <c r="H3973" s="17" t="s">
        <v>692</v>
      </c>
      <c r="I3973" s="17"/>
      <c r="J3973" s="17" t="s">
        <v>693</v>
      </c>
      <c r="K3973" s="17"/>
      <c r="L3973" s="17"/>
      <c r="M3973" s="17"/>
      <c r="N3973" s="17"/>
      <c r="O3973" s="17"/>
      <c r="P3973" s="17" t="s">
        <v>1923</v>
      </c>
      <c r="Q3973" s="17"/>
      <c r="R3973" s="25" t="str">
        <f>HYPERLINK("https://ictv.global/taxonomy/taxondetails?taxnode_id=202307287","Godonkavirus godonK")</f>
        <v>Godonkavirus godonK</v>
      </c>
      <c r="S3973" s="18" t="s">
        <v>30</v>
      </c>
      <c r="T3973" s="18" t="s">
        <v>1924</v>
      </c>
      <c r="U3973" s="18"/>
      <c r="V3973" s="18"/>
      <c r="W3973" s="18" t="s">
        <v>1925</v>
      </c>
      <c r="X3973" s="18" t="s">
        <v>42</v>
      </c>
      <c r="Y3973" s="18" t="s">
        <v>36</v>
      </c>
      <c r="Z3973" s="18" t="s">
        <v>697</v>
      </c>
      <c r="AA3973" s="21" t="str">
        <f>HYPERLINK("https://www.ncbi.nlm.nih.gov/nuccore/MK620899","NCBI Nucleotide")</f>
        <v>NCBI Nucleotide</v>
      </c>
    </row>
    <row r="3974" spans="1:27" x14ac:dyDescent="0.35">
      <c r="A3974">
        <v>1005259</v>
      </c>
      <c r="B3974">
        <v>3950</v>
      </c>
      <c r="C3974">
        <v>1</v>
      </c>
      <c r="D3974" s="17" t="s">
        <v>155</v>
      </c>
      <c r="E3974" s="17"/>
      <c r="F3974" s="17" t="s">
        <v>156</v>
      </c>
      <c r="G3974" s="17"/>
      <c r="H3974" s="17" t="s">
        <v>692</v>
      </c>
      <c r="I3974" s="17"/>
      <c r="J3974" s="17" t="s">
        <v>693</v>
      </c>
      <c r="K3974" s="17"/>
      <c r="L3974" s="17"/>
      <c r="M3974" s="17"/>
      <c r="N3974" s="17"/>
      <c r="O3974" s="17"/>
      <c r="P3974" s="17" t="s">
        <v>1923</v>
      </c>
      <c r="Q3974" s="17"/>
      <c r="R3974" s="25" t="str">
        <f>HYPERLINK("https://ictv.global/taxonomy/taxondetails?taxnode_id=202314969","Godonkavirus phendrix")</f>
        <v>Godonkavirus phendrix</v>
      </c>
      <c r="S3974" s="18" t="s">
        <v>30</v>
      </c>
      <c r="T3974" s="18" t="s">
        <v>1926</v>
      </c>
      <c r="U3974" s="18"/>
      <c r="V3974" s="18"/>
      <c r="W3974" s="18" t="s">
        <v>1927</v>
      </c>
      <c r="X3974" s="18" t="s">
        <v>42</v>
      </c>
      <c r="Y3974" s="18" t="s">
        <v>36</v>
      </c>
      <c r="Z3974" s="18" t="s">
        <v>697</v>
      </c>
      <c r="AA3974" s="21" t="str">
        <f>HYPERLINK("https://www.ncbi.nlm.nih.gov/nuccore/MN096369","NCBI Nucleotide")</f>
        <v>NCBI Nucleotide</v>
      </c>
    </row>
    <row r="3975" spans="1:27" x14ac:dyDescent="0.35">
      <c r="A3975">
        <v>1005260</v>
      </c>
      <c r="B3975">
        <v>3951</v>
      </c>
      <c r="C3975">
        <v>1</v>
      </c>
      <c r="D3975" s="17" t="s">
        <v>155</v>
      </c>
      <c r="E3975" s="17"/>
      <c r="F3975" s="17" t="s">
        <v>156</v>
      </c>
      <c r="G3975" s="17"/>
      <c r="H3975" s="17" t="s">
        <v>692</v>
      </c>
      <c r="I3975" s="17"/>
      <c r="J3975" s="17" t="s">
        <v>693</v>
      </c>
      <c r="K3975" s="17"/>
      <c r="L3975" s="17"/>
      <c r="M3975" s="17"/>
      <c r="N3975" s="17"/>
      <c r="O3975" s="17"/>
      <c r="P3975" s="17" t="s">
        <v>1928</v>
      </c>
      <c r="Q3975" s="17"/>
      <c r="R3975" s="25" t="str">
        <f>HYPERLINK("https://ictv.global/taxonomy/taxondetails?taxnode_id=202312255","Gofduovirus edno5")</f>
        <v>Gofduovirus edno5</v>
      </c>
      <c r="S3975" s="18" t="s">
        <v>30</v>
      </c>
      <c r="T3975" s="18" t="s">
        <v>1929</v>
      </c>
      <c r="U3975" s="18"/>
      <c r="V3975" s="18"/>
      <c r="W3975" s="18" t="s">
        <v>1930</v>
      </c>
      <c r="X3975" s="18" t="s">
        <v>42</v>
      </c>
      <c r="Y3975" s="18" t="s">
        <v>36</v>
      </c>
      <c r="Z3975" s="18" t="s">
        <v>697</v>
      </c>
      <c r="AA3975" s="21" t="str">
        <f>HYPERLINK("https://www.ncbi.nlm.nih.gov/nuccore/MH898687","NCBI Nucleotide")</f>
        <v>NCBI Nucleotide</v>
      </c>
    </row>
    <row r="3976" spans="1:27" x14ac:dyDescent="0.35">
      <c r="A3976">
        <v>1005261</v>
      </c>
      <c r="B3976">
        <v>3952</v>
      </c>
      <c r="C3976">
        <v>1</v>
      </c>
      <c r="D3976" s="17" t="s">
        <v>155</v>
      </c>
      <c r="E3976" s="17"/>
      <c r="F3976" s="17" t="s">
        <v>156</v>
      </c>
      <c r="G3976" s="17"/>
      <c r="H3976" s="17" t="s">
        <v>692</v>
      </c>
      <c r="I3976" s="17"/>
      <c r="J3976" s="17" t="s">
        <v>693</v>
      </c>
      <c r="K3976" s="17"/>
      <c r="L3976" s="17"/>
      <c r="M3976" s="17"/>
      <c r="N3976" s="17"/>
      <c r="O3976" s="17"/>
      <c r="P3976" s="17" t="s">
        <v>1928</v>
      </c>
      <c r="Q3976" s="17"/>
      <c r="R3976" s="25" t="str">
        <f>HYPERLINK("https://ictv.global/taxonomy/taxondetails?taxnode_id=202306769","Gofduovirus GF2")</f>
        <v>Gofduovirus GF2</v>
      </c>
      <c r="S3976" s="18" t="s">
        <v>30</v>
      </c>
      <c r="T3976" s="18" t="s">
        <v>1931</v>
      </c>
      <c r="U3976" s="18"/>
      <c r="V3976" s="18"/>
      <c r="W3976" s="18" t="s">
        <v>1932</v>
      </c>
      <c r="X3976" s="18" t="s">
        <v>42</v>
      </c>
      <c r="Y3976" s="18" t="s">
        <v>36</v>
      </c>
      <c r="Z3976" s="18" t="s">
        <v>697</v>
      </c>
      <c r="AA3976" s="21" t="str">
        <f>HYPERLINK("https://www.ncbi.nlm.nih.gov/nuccore/AP014629","NCBI Nucleotide")</f>
        <v>NCBI Nucleotide</v>
      </c>
    </row>
    <row r="3977" spans="1:27" x14ac:dyDescent="0.35">
      <c r="A3977">
        <v>1005262</v>
      </c>
      <c r="B3977">
        <v>3953</v>
      </c>
      <c r="C3977">
        <v>1</v>
      </c>
      <c r="D3977" s="17" t="s">
        <v>155</v>
      </c>
      <c r="E3977" s="17"/>
      <c r="F3977" s="17" t="s">
        <v>156</v>
      </c>
      <c r="G3977" s="17"/>
      <c r="H3977" s="17" t="s">
        <v>692</v>
      </c>
      <c r="I3977" s="17"/>
      <c r="J3977" s="17" t="s">
        <v>693</v>
      </c>
      <c r="K3977" s="17"/>
      <c r="L3977" s="17"/>
      <c r="M3977" s="17"/>
      <c r="N3977" s="17"/>
      <c r="O3977" s="17"/>
      <c r="P3977" s="17" t="s">
        <v>1933</v>
      </c>
      <c r="Q3977" s="17"/>
      <c r="R3977" s="25" t="str">
        <f>HYPERLINK("https://ictv.global/taxonomy/taxondetails?taxnode_id=202307361","Goodmanvirus goodman")</f>
        <v>Goodmanvirus goodman</v>
      </c>
      <c r="S3977" s="18" t="s">
        <v>30</v>
      </c>
      <c r="T3977" s="18" t="s">
        <v>1934</v>
      </c>
      <c r="U3977" s="18"/>
      <c r="V3977" s="18"/>
      <c r="W3977" s="18" t="s">
        <v>1935</v>
      </c>
      <c r="X3977" s="18" t="s">
        <v>42</v>
      </c>
      <c r="Y3977" s="18" t="s">
        <v>36</v>
      </c>
      <c r="Z3977" s="18" t="s">
        <v>697</v>
      </c>
      <c r="AA3977" s="21" t="str">
        <f>HYPERLINK("https://www.ncbi.nlm.nih.gov/nuccore/MK016495","NCBI Nucleotide")</f>
        <v>NCBI Nucleotide</v>
      </c>
    </row>
    <row r="3978" spans="1:27" x14ac:dyDescent="0.35">
      <c r="A3978">
        <v>1024558</v>
      </c>
      <c r="B3978">
        <v>3954</v>
      </c>
      <c r="C3978">
        <v>1</v>
      </c>
      <c r="D3978" s="17" t="s">
        <v>155</v>
      </c>
      <c r="E3978" s="17"/>
      <c r="F3978" s="17" t="s">
        <v>156</v>
      </c>
      <c r="G3978" s="17"/>
      <c r="H3978" s="17" t="s">
        <v>692</v>
      </c>
      <c r="I3978" s="17"/>
      <c r="J3978" s="17" t="s">
        <v>693</v>
      </c>
      <c r="K3978" s="17"/>
      <c r="L3978" s="17"/>
      <c r="M3978" s="17"/>
      <c r="N3978" s="17"/>
      <c r="O3978" s="17"/>
      <c r="P3978" s="17" t="s">
        <v>1936</v>
      </c>
      <c r="Q3978" s="17"/>
      <c r="R3978" s="25" t="str">
        <f>HYPERLINK("https://ictv.global/taxonomy/taxondetails?taxnode_id=202318982","Gordonvirus breylor17")</f>
        <v>Gordonvirus breylor17</v>
      </c>
      <c r="S3978" s="18" t="s">
        <v>30</v>
      </c>
      <c r="T3978" s="18" t="s">
        <v>39947</v>
      </c>
      <c r="U3978" s="18"/>
      <c r="V3978" s="18"/>
      <c r="W3978" s="18" t="s">
        <v>48520</v>
      </c>
      <c r="X3978" s="18" t="s">
        <v>42</v>
      </c>
      <c r="Y3978" s="18" t="s">
        <v>36</v>
      </c>
      <c r="Z3978" s="18" t="s">
        <v>697</v>
      </c>
      <c r="AA3978" s="21" t="str">
        <f>HYPERLINK("https://www.ncbi.nlm.nih.gov/nuccore/MH450115","NCBI Nucleotide")</f>
        <v>NCBI Nucleotide</v>
      </c>
    </row>
    <row r="3979" spans="1:27" x14ac:dyDescent="0.35">
      <c r="A3979">
        <v>1005263</v>
      </c>
      <c r="B3979">
        <v>3955</v>
      </c>
      <c r="C3979">
        <v>1</v>
      </c>
      <c r="D3979" s="17" t="s">
        <v>155</v>
      </c>
      <c r="E3979" s="17"/>
      <c r="F3979" s="17" t="s">
        <v>156</v>
      </c>
      <c r="G3979" s="17"/>
      <c r="H3979" s="17" t="s">
        <v>692</v>
      </c>
      <c r="I3979" s="17"/>
      <c r="J3979" s="17" t="s">
        <v>693</v>
      </c>
      <c r="K3979" s="17"/>
      <c r="L3979" s="17"/>
      <c r="M3979" s="17"/>
      <c r="N3979" s="17"/>
      <c r="O3979" s="17"/>
      <c r="P3979" s="17" t="s">
        <v>1936</v>
      </c>
      <c r="Q3979" s="17"/>
      <c r="R3979" s="25" t="str">
        <f>HYPERLINK("https://ictv.global/taxonomy/taxondetails?taxnode_id=202300976","Gordonvirus captnmurica")</f>
        <v>Gordonvirus captnmurica</v>
      </c>
      <c r="S3979" s="18" t="s">
        <v>30</v>
      </c>
      <c r="T3979" s="18" t="s">
        <v>1937</v>
      </c>
      <c r="U3979" s="18"/>
      <c r="V3979" s="18"/>
      <c r="W3979" s="18" t="s">
        <v>1938</v>
      </c>
      <c r="X3979" s="18" t="s">
        <v>42</v>
      </c>
      <c r="Y3979" s="18" t="s">
        <v>36</v>
      </c>
      <c r="Z3979" s="18" t="s">
        <v>697</v>
      </c>
      <c r="AA3979" s="21" t="str">
        <f>HYPERLINK("https://www.ncbi.nlm.nih.gov/nuccore/KU160641","NCBI Nucleotide")</f>
        <v>NCBI Nucleotide</v>
      </c>
    </row>
    <row r="3980" spans="1:27" x14ac:dyDescent="0.35">
      <c r="A3980">
        <v>1024559</v>
      </c>
      <c r="B3980">
        <v>3956</v>
      </c>
      <c r="C3980">
        <v>1</v>
      </c>
      <c r="D3980" s="17" t="s">
        <v>155</v>
      </c>
      <c r="E3980" s="17"/>
      <c r="F3980" s="17" t="s">
        <v>156</v>
      </c>
      <c r="G3980" s="17"/>
      <c r="H3980" s="17" t="s">
        <v>692</v>
      </c>
      <c r="I3980" s="17"/>
      <c r="J3980" s="17" t="s">
        <v>693</v>
      </c>
      <c r="K3980" s="17"/>
      <c r="L3980" s="17"/>
      <c r="M3980" s="17"/>
      <c r="N3980" s="17"/>
      <c r="O3980" s="17"/>
      <c r="P3980" s="17" t="s">
        <v>1936</v>
      </c>
      <c r="Q3980" s="17"/>
      <c r="R3980" s="25" t="str">
        <f>HYPERLINK("https://ictv.global/taxonomy/taxondetails?taxnode_id=202318984","Gordonvirus castortray")</f>
        <v>Gordonvirus castortray</v>
      </c>
      <c r="S3980" s="18" t="s">
        <v>30</v>
      </c>
      <c r="T3980" s="18" t="s">
        <v>39948</v>
      </c>
      <c r="U3980" s="18"/>
      <c r="V3980" s="18"/>
      <c r="W3980" s="18" t="s">
        <v>48521</v>
      </c>
      <c r="X3980" s="18" t="s">
        <v>42</v>
      </c>
      <c r="Y3980" s="18" t="s">
        <v>36</v>
      </c>
      <c r="Z3980" s="18" t="s">
        <v>697</v>
      </c>
      <c r="AA3980" s="21" t="str">
        <f>HYPERLINK("https://www.ncbi.nlm.nih.gov/nuccore/MZ274309","NCBI Nucleotide")</f>
        <v>NCBI Nucleotide</v>
      </c>
    </row>
    <row r="3981" spans="1:27" x14ac:dyDescent="0.35">
      <c r="A3981">
        <v>1024560</v>
      </c>
      <c r="B3981">
        <v>3957</v>
      </c>
      <c r="C3981">
        <v>1</v>
      </c>
      <c r="D3981" s="17" t="s">
        <v>155</v>
      </c>
      <c r="E3981" s="17"/>
      <c r="F3981" s="17" t="s">
        <v>156</v>
      </c>
      <c r="G3981" s="17"/>
      <c r="H3981" s="17" t="s">
        <v>692</v>
      </c>
      <c r="I3981" s="17"/>
      <c r="J3981" s="17" t="s">
        <v>693</v>
      </c>
      <c r="K3981" s="17"/>
      <c r="L3981" s="17"/>
      <c r="M3981" s="17"/>
      <c r="N3981" s="17"/>
      <c r="O3981" s="17"/>
      <c r="P3981" s="17" t="s">
        <v>1936</v>
      </c>
      <c r="Q3981" s="17"/>
      <c r="R3981" s="25" t="str">
        <f>HYPERLINK("https://ictv.global/taxonomy/taxondetails?taxnode_id=202318987","Gordonvirus darby")</f>
        <v>Gordonvirus darby</v>
      </c>
      <c r="S3981" s="18" t="s">
        <v>30</v>
      </c>
      <c r="T3981" s="18" t="s">
        <v>39949</v>
      </c>
      <c r="U3981" s="18"/>
      <c r="V3981" s="18"/>
      <c r="W3981" s="18" t="s">
        <v>48522</v>
      </c>
      <c r="X3981" s="18" t="s">
        <v>42</v>
      </c>
      <c r="Y3981" s="18" t="s">
        <v>36</v>
      </c>
      <c r="Z3981" s="18" t="s">
        <v>697</v>
      </c>
      <c r="AA3981" s="21" t="str">
        <f>HYPERLINK("https://www.ncbi.nlm.nih.gov/nuccore/ON456340","NCBI Nucleotide")</f>
        <v>NCBI Nucleotide</v>
      </c>
    </row>
    <row r="3982" spans="1:27" x14ac:dyDescent="0.35">
      <c r="A3982">
        <v>1024561</v>
      </c>
      <c r="B3982">
        <v>3958</v>
      </c>
      <c r="C3982">
        <v>1</v>
      </c>
      <c r="D3982" s="17" t="s">
        <v>155</v>
      </c>
      <c r="E3982" s="17"/>
      <c r="F3982" s="17" t="s">
        <v>156</v>
      </c>
      <c r="G3982" s="17"/>
      <c r="H3982" s="17" t="s">
        <v>692</v>
      </c>
      <c r="I3982" s="17"/>
      <c r="J3982" s="17" t="s">
        <v>693</v>
      </c>
      <c r="K3982" s="17"/>
      <c r="L3982" s="17"/>
      <c r="M3982" s="17"/>
      <c r="N3982" s="17"/>
      <c r="O3982" s="17"/>
      <c r="P3982" s="17" t="s">
        <v>1936</v>
      </c>
      <c r="Q3982" s="17"/>
      <c r="R3982" s="25" t="str">
        <f>HYPERLINK("https://ictv.global/taxonomy/taxondetails?taxnode_id=202318988","Gordonvirus devitoJr")</f>
        <v>Gordonvirus devitoJr</v>
      </c>
      <c r="S3982" s="18" t="s">
        <v>30</v>
      </c>
      <c r="T3982" s="18" t="s">
        <v>39950</v>
      </c>
      <c r="U3982" s="18"/>
      <c r="V3982" s="18"/>
      <c r="W3982" s="18" t="s">
        <v>48523</v>
      </c>
      <c r="X3982" s="18" t="s">
        <v>42</v>
      </c>
      <c r="Y3982" s="18" t="s">
        <v>36</v>
      </c>
      <c r="Z3982" s="18" t="s">
        <v>697</v>
      </c>
      <c r="AA3982" s="21" t="str">
        <f>HYPERLINK("https://www.ncbi.nlm.nih.gov/nuccore/MZ209303","NCBI Nucleotide")</f>
        <v>NCBI Nucleotide</v>
      </c>
    </row>
    <row r="3983" spans="1:27" x14ac:dyDescent="0.35">
      <c r="A3983">
        <v>1005264</v>
      </c>
      <c r="B3983">
        <v>3959</v>
      </c>
      <c r="C3983">
        <v>1</v>
      </c>
      <c r="D3983" s="17" t="s">
        <v>155</v>
      </c>
      <c r="E3983" s="17"/>
      <c r="F3983" s="17" t="s">
        <v>156</v>
      </c>
      <c r="G3983" s="17"/>
      <c r="H3983" s="17" t="s">
        <v>692</v>
      </c>
      <c r="I3983" s="17"/>
      <c r="J3983" s="17" t="s">
        <v>693</v>
      </c>
      <c r="K3983" s="17"/>
      <c r="L3983" s="17"/>
      <c r="M3983" s="17"/>
      <c r="N3983" s="17"/>
      <c r="O3983" s="17"/>
      <c r="P3983" s="17" t="s">
        <v>1936</v>
      </c>
      <c r="Q3983" s="17"/>
      <c r="R3983" s="25" t="str">
        <f>HYPERLINK("https://ictv.global/taxonomy/taxondetails?taxnode_id=202300977","Gordonvirus gordon")</f>
        <v>Gordonvirus gordon</v>
      </c>
      <c r="S3983" s="18" t="s">
        <v>30</v>
      </c>
      <c r="T3983" s="18" t="s">
        <v>1939</v>
      </c>
      <c r="U3983" s="18"/>
      <c r="V3983" s="18"/>
      <c r="W3983" s="18" t="s">
        <v>1940</v>
      </c>
      <c r="X3983" s="18" t="s">
        <v>42</v>
      </c>
      <c r="Y3983" s="18" t="s">
        <v>36</v>
      </c>
      <c r="Z3983" s="18" t="s">
        <v>697</v>
      </c>
      <c r="AA3983" s="21" t="str">
        <f>HYPERLINK("https://www.ncbi.nlm.nih.gov/nuccore/KU160646","NCBI Nucleotide")</f>
        <v>NCBI Nucleotide</v>
      </c>
    </row>
    <row r="3984" spans="1:27" x14ac:dyDescent="0.35">
      <c r="A3984">
        <v>1024562</v>
      </c>
      <c r="B3984">
        <v>3960</v>
      </c>
      <c r="C3984">
        <v>1</v>
      </c>
      <c r="D3984" s="17" t="s">
        <v>155</v>
      </c>
      <c r="E3984" s="17"/>
      <c r="F3984" s="17" t="s">
        <v>156</v>
      </c>
      <c r="G3984" s="17"/>
      <c r="H3984" s="17" t="s">
        <v>692</v>
      </c>
      <c r="I3984" s="17"/>
      <c r="J3984" s="17" t="s">
        <v>693</v>
      </c>
      <c r="K3984" s="17"/>
      <c r="L3984" s="17"/>
      <c r="M3984" s="17"/>
      <c r="N3984" s="17"/>
      <c r="O3984" s="17"/>
      <c r="P3984" s="17" t="s">
        <v>1936</v>
      </c>
      <c r="Q3984" s="17"/>
      <c r="R3984" s="25" t="str">
        <f>HYPERLINK("https://ictv.global/taxonomy/taxondetails?taxnode_id=202318981","Gordonvirus nightmare")</f>
        <v>Gordonvirus nightmare</v>
      </c>
      <c r="S3984" s="18" t="s">
        <v>30</v>
      </c>
      <c r="T3984" s="18" t="s">
        <v>39951</v>
      </c>
      <c r="U3984" s="18"/>
      <c r="V3984" s="18"/>
      <c r="W3984" s="18" t="s">
        <v>48524</v>
      </c>
      <c r="X3984" s="18" t="s">
        <v>42</v>
      </c>
      <c r="Y3984" s="18" t="s">
        <v>36</v>
      </c>
      <c r="Z3984" s="18" t="s">
        <v>697</v>
      </c>
      <c r="AA3984" s="21" t="str">
        <f>HYPERLINK("https://www.ncbi.nlm.nih.gov/nuccore/MF140423","NCBI Nucleotide")</f>
        <v>NCBI Nucleotide</v>
      </c>
    </row>
    <row r="3985" spans="1:27" x14ac:dyDescent="0.35">
      <c r="A3985">
        <v>1024563</v>
      </c>
      <c r="B3985">
        <v>3961</v>
      </c>
      <c r="C3985">
        <v>1</v>
      </c>
      <c r="D3985" s="17" t="s">
        <v>155</v>
      </c>
      <c r="E3985" s="17"/>
      <c r="F3985" s="17" t="s">
        <v>156</v>
      </c>
      <c r="G3985" s="17"/>
      <c r="H3985" s="17" t="s">
        <v>692</v>
      </c>
      <c r="I3985" s="17"/>
      <c r="J3985" s="17" t="s">
        <v>693</v>
      </c>
      <c r="K3985" s="17"/>
      <c r="L3985" s="17"/>
      <c r="M3985" s="17"/>
      <c r="N3985" s="17"/>
      <c r="O3985" s="17"/>
      <c r="P3985" s="17" t="s">
        <v>1936</v>
      </c>
      <c r="Q3985" s="17"/>
      <c r="R3985" s="25" t="str">
        <f>HYPERLINK("https://ictv.global/taxonomy/taxondetails?taxnode_id=202318980","Gordonvirus niktson")</f>
        <v>Gordonvirus niktson</v>
      </c>
      <c r="S3985" s="18" t="s">
        <v>30</v>
      </c>
      <c r="T3985" s="18" t="s">
        <v>39952</v>
      </c>
      <c r="U3985" s="18"/>
      <c r="V3985" s="18"/>
      <c r="W3985" s="18" t="s">
        <v>48525</v>
      </c>
      <c r="X3985" s="18" t="s">
        <v>42</v>
      </c>
      <c r="Y3985" s="18" t="s">
        <v>36</v>
      </c>
      <c r="Z3985" s="18" t="s">
        <v>697</v>
      </c>
      <c r="AA3985" s="21" t="str">
        <f>HYPERLINK("https://www.ncbi.nlm.nih.gov/nuccore/MF038790","NCBI Nucleotide")</f>
        <v>NCBI Nucleotide</v>
      </c>
    </row>
    <row r="3986" spans="1:27" x14ac:dyDescent="0.35">
      <c r="A3986">
        <v>1024564</v>
      </c>
      <c r="B3986">
        <v>3962</v>
      </c>
      <c r="C3986">
        <v>1</v>
      </c>
      <c r="D3986" s="17" t="s">
        <v>155</v>
      </c>
      <c r="E3986" s="17"/>
      <c r="F3986" s="17" t="s">
        <v>156</v>
      </c>
      <c r="G3986" s="17"/>
      <c r="H3986" s="17" t="s">
        <v>692</v>
      </c>
      <c r="I3986" s="17"/>
      <c r="J3986" s="17" t="s">
        <v>693</v>
      </c>
      <c r="K3986" s="17"/>
      <c r="L3986" s="17"/>
      <c r="M3986" s="17"/>
      <c r="N3986" s="17"/>
      <c r="O3986" s="17"/>
      <c r="P3986" s="17" t="s">
        <v>1936</v>
      </c>
      <c r="Q3986" s="17"/>
      <c r="R3986" s="25" t="str">
        <f>HYPERLINK("https://ictv.global/taxonomy/taxondetails?taxnode_id=202318989","Gordonvirus sciencewizsam")</f>
        <v>Gordonvirus sciencewizsam</v>
      </c>
      <c r="S3986" s="18" t="s">
        <v>30</v>
      </c>
      <c r="T3986" s="18" t="s">
        <v>39953</v>
      </c>
      <c r="U3986" s="18"/>
      <c r="V3986" s="18"/>
      <c r="W3986" s="18" t="s">
        <v>48526</v>
      </c>
      <c r="X3986" s="18" t="s">
        <v>42</v>
      </c>
      <c r="Y3986" s="18" t="s">
        <v>36</v>
      </c>
      <c r="Z3986" s="18" t="s">
        <v>697</v>
      </c>
      <c r="AA3986" s="21" t="str">
        <f>HYPERLINK("https://www.ncbi.nlm.nih.gov/nuccore/ON645338","NCBI Nucleotide")</f>
        <v>NCBI Nucleotide</v>
      </c>
    </row>
    <row r="3987" spans="1:27" x14ac:dyDescent="0.35">
      <c r="A3987">
        <v>1024565</v>
      </c>
      <c r="B3987">
        <v>3963</v>
      </c>
      <c r="C3987">
        <v>1</v>
      </c>
      <c r="D3987" s="17" t="s">
        <v>155</v>
      </c>
      <c r="E3987" s="17"/>
      <c r="F3987" s="17" t="s">
        <v>156</v>
      </c>
      <c r="G3987" s="17"/>
      <c r="H3987" s="17" t="s">
        <v>692</v>
      </c>
      <c r="I3987" s="17"/>
      <c r="J3987" s="17" t="s">
        <v>693</v>
      </c>
      <c r="K3987" s="17"/>
      <c r="L3987" s="17"/>
      <c r="M3987" s="17"/>
      <c r="N3987" s="17"/>
      <c r="O3987" s="17"/>
      <c r="P3987" s="17" t="s">
        <v>1936</v>
      </c>
      <c r="Q3987" s="17"/>
      <c r="R3987" s="25" t="str">
        <f>HYPERLINK("https://ictv.global/taxonomy/taxondetails?taxnode_id=202318983","Gordonvirus synepsis")</f>
        <v>Gordonvirus synepsis</v>
      </c>
      <c r="S3987" s="18" t="s">
        <v>30</v>
      </c>
      <c r="T3987" s="18" t="s">
        <v>39954</v>
      </c>
      <c r="U3987" s="18"/>
      <c r="V3987" s="18"/>
      <c r="W3987" s="18" t="s">
        <v>48527</v>
      </c>
      <c r="X3987" s="18" t="s">
        <v>42</v>
      </c>
      <c r="Y3987" s="18" t="s">
        <v>36</v>
      </c>
      <c r="Z3987" s="18" t="s">
        <v>697</v>
      </c>
      <c r="AA3987" s="21" t="str">
        <f>HYPERLINK("https://www.ncbi.nlm.nih.gov/nuccore/MH479926","NCBI Nucleotide")</f>
        <v>NCBI Nucleotide</v>
      </c>
    </row>
    <row r="3988" spans="1:27" x14ac:dyDescent="0.35">
      <c r="A3988">
        <v>1024566</v>
      </c>
      <c r="B3988">
        <v>3964</v>
      </c>
      <c r="C3988">
        <v>1</v>
      </c>
      <c r="D3988" s="17" t="s">
        <v>155</v>
      </c>
      <c r="E3988" s="17"/>
      <c r="F3988" s="17" t="s">
        <v>156</v>
      </c>
      <c r="G3988" s="17"/>
      <c r="H3988" s="17" t="s">
        <v>692</v>
      </c>
      <c r="I3988" s="17"/>
      <c r="J3988" s="17" t="s">
        <v>693</v>
      </c>
      <c r="K3988" s="17"/>
      <c r="L3988" s="17"/>
      <c r="M3988" s="17"/>
      <c r="N3988" s="17"/>
      <c r="O3988" s="17"/>
      <c r="P3988" s="17" t="s">
        <v>1936</v>
      </c>
      <c r="Q3988" s="17"/>
      <c r="R3988" s="25" t="str">
        <f>HYPERLINK("https://ictv.global/taxonomy/taxondetails?taxnode_id=202318985","Gordonvirus tatanka")</f>
        <v>Gordonvirus tatanka</v>
      </c>
      <c r="S3988" s="18" t="s">
        <v>30</v>
      </c>
      <c r="T3988" s="18" t="s">
        <v>39955</v>
      </c>
      <c r="U3988" s="18"/>
      <c r="V3988" s="18"/>
      <c r="W3988" s="18" t="s">
        <v>48528</v>
      </c>
      <c r="X3988" s="18" t="s">
        <v>42</v>
      </c>
      <c r="Y3988" s="18" t="s">
        <v>36</v>
      </c>
      <c r="Z3988" s="18" t="s">
        <v>697</v>
      </c>
      <c r="AA3988" s="21" t="str">
        <f>HYPERLINK("https://www.ncbi.nlm.nih.gov/nuccore/MH399789","NCBI Nucleotide")</f>
        <v>NCBI Nucleotide</v>
      </c>
    </row>
    <row r="3989" spans="1:27" x14ac:dyDescent="0.35">
      <c r="A3989">
        <v>1024567</v>
      </c>
      <c r="B3989">
        <v>3965</v>
      </c>
      <c r="C3989">
        <v>1</v>
      </c>
      <c r="D3989" s="17" t="s">
        <v>155</v>
      </c>
      <c r="E3989" s="17"/>
      <c r="F3989" s="17" t="s">
        <v>156</v>
      </c>
      <c r="G3989" s="17"/>
      <c r="H3989" s="17" t="s">
        <v>692</v>
      </c>
      <c r="I3989" s="17"/>
      <c r="J3989" s="17" t="s">
        <v>693</v>
      </c>
      <c r="K3989" s="17"/>
      <c r="L3989" s="17"/>
      <c r="M3989" s="17"/>
      <c r="N3989" s="17"/>
      <c r="O3989" s="17"/>
      <c r="P3989" s="17" t="s">
        <v>1936</v>
      </c>
      <c r="Q3989" s="17"/>
      <c r="R3989" s="25" t="str">
        <f>HYPERLINK("https://ictv.global/taxonomy/taxondetails?taxnode_id=202318979","Gordonvirus teacup")</f>
        <v>Gordonvirus teacup</v>
      </c>
      <c r="S3989" s="18" t="s">
        <v>30</v>
      </c>
      <c r="T3989" s="18" t="s">
        <v>39956</v>
      </c>
      <c r="U3989" s="18"/>
      <c r="V3989" s="18"/>
      <c r="W3989" s="18" t="s">
        <v>48529</v>
      </c>
      <c r="X3989" s="18" t="s">
        <v>42</v>
      </c>
      <c r="Y3989" s="18" t="s">
        <v>36</v>
      </c>
      <c r="Z3989" s="18" t="s">
        <v>697</v>
      </c>
      <c r="AA3989" s="21" t="str">
        <f>HYPERLINK("https://www.ncbi.nlm.nih.gov/nuccore/MF140432","NCBI Nucleotide")</f>
        <v>NCBI Nucleotide</v>
      </c>
    </row>
    <row r="3990" spans="1:27" x14ac:dyDescent="0.35">
      <c r="A3990">
        <v>1024568</v>
      </c>
      <c r="B3990">
        <v>3966</v>
      </c>
      <c r="C3990">
        <v>1</v>
      </c>
      <c r="D3990" s="17" t="s">
        <v>155</v>
      </c>
      <c r="E3990" s="17"/>
      <c r="F3990" s="17" t="s">
        <v>156</v>
      </c>
      <c r="G3990" s="17"/>
      <c r="H3990" s="17" t="s">
        <v>692</v>
      </c>
      <c r="I3990" s="17"/>
      <c r="J3990" s="17" t="s">
        <v>693</v>
      </c>
      <c r="K3990" s="17"/>
      <c r="L3990" s="17"/>
      <c r="M3990" s="17"/>
      <c r="N3990" s="17"/>
      <c r="O3990" s="17"/>
      <c r="P3990" s="17" t="s">
        <v>1936</v>
      </c>
      <c r="Q3990" s="17"/>
      <c r="R3990" s="25" t="str">
        <f>HYPERLINK("https://ictv.global/taxonomy/taxondetails?taxnode_id=202318986","Gordonvirus trustiboi")</f>
        <v>Gordonvirus trustiboi</v>
      </c>
      <c r="S3990" s="18" t="s">
        <v>30</v>
      </c>
      <c r="T3990" s="18" t="s">
        <v>39957</v>
      </c>
      <c r="U3990" s="18"/>
      <c r="V3990" s="18"/>
      <c r="W3990" s="18" t="s">
        <v>48530</v>
      </c>
      <c r="X3990" s="18" t="s">
        <v>42</v>
      </c>
      <c r="Y3990" s="18" t="s">
        <v>36</v>
      </c>
      <c r="Z3990" s="18" t="s">
        <v>697</v>
      </c>
      <c r="AA3990" s="21" t="str">
        <f>HYPERLINK("https://www.ncbi.nlm.nih.gov/nuccore/ON456335","NCBI Nucleotide")</f>
        <v>NCBI Nucleotide</v>
      </c>
    </row>
    <row r="3991" spans="1:27" x14ac:dyDescent="0.35">
      <c r="A3991">
        <v>1005265</v>
      </c>
      <c r="B3991">
        <v>3967</v>
      </c>
      <c r="C3991">
        <v>1</v>
      </c>
      <c r="D3991" s="17" t="s">
        <v>155</v>
      </c>
      <c r="E3991" s="17"/>
      <c r="F3991" s="17" t="s">
        <v>156</v>
      </c>
      <c r="G3991" s="17"/>
      <c r="H3991" s="17" t="s">
        <v>692</v>
      </c>
      <c r="I3991" s="17"/>
      <c r="J3991" s="17" t="s">
        <v>693</v>
      </c>
      <c r="K3991" s="17"/>
      <c r="L3991" s="17"/>
      <c r="M3991" s="17"/>
      <c r="N3991" s="17"/>
      <c r="O3991" s="17"/>
      <c r="P3991" s="17" t="s">
        <v>1941</v>
      </c>
      <c r="Q3991" s="17"/>
      <c r="R3991" s="25" t="str">
        <f>HYPERLINK("https://ictv.global/taxonomy/taxondetails?taxnode_id=202300979","Gordtnkvirus gordtnk2")</f>
        <v>Gordtnkvirus gordtnk2</v>
      </c>
      <c r="S3991" s="18" t="s">
        <v>30</v>
      </c>
      <c r="T3991" s="18" t="s">
        <v>1942</v>
      </c>
      <c r="U3991" s="18"/>
      <c r="V3991" s="18"/>
      <c r="W3991" s="18" t="s">
        <v>1943</v>
      </c>
      <c r="X3991" s="18" t="s">
        <v>42</v>
      </c>
      <c r="Y3991" s="18" t="s">
        <v>36</v>
      </c>
      <c r="Z3991" s="18" t="s">
        <v>697</v>
      </c>
      <c r="AA3991" s="21" t="str">
        <f>HYPERLINK("https://www.ncbi.nlm.nih.gov/nuccore/KP790008","NCBI Nucleotide")</f>
        <v>NCBI Nucleotide</v>
      </c>
    </row>
    <row r="3992" spans="1:27" x14ac:dyDescent="0.35">
      <c r="A3992">
        <v>1005266</v>
      </c>
      <c r="B3992">
        <v>3968</v>
      </c>
      <c r="C3992">
        <v>1</v>
      </c>
      <c r="D3992" s="17" t="s">
        <v>155</v>
      </c>
      <c r="E3992" s="17"/>
      <c r="F3992" s="17" t="s">
        <v>156</v>
      </c>
      <c r="G3992" s="17"/>
      <c r="H3992" s="17" t="s">
        <v>692</v>
      </c>
      <c r="I3992" s="17"/>
      <c r="J3992" s="17" t="s">
        <v>693</v>
      </c>
      <c r="K3992" s="17"/>
      <c r="L3992" s="17"/>
      <c r="M3992" s="17"/>
      <c r="N3992" s="17"/>
      <c r="O3992" s="17"/>
      <c r="P3992" s="17" t="s">
        <v>1944</v>
      </c>
      <c r="Q3992" s="17"/>
      <c r="R3992" s="25" t="str">
        <f>HYPERLINK("https://ictv.global/taxonomy/taxondetails?taxnode_id=202306985","Gorganvirus isfahan")</f>
        <v>Gorganvirus isfahan</v>
      </c>
      <c r="S3992" s="18" t="s">
        <v>30</v>
      </c>
      <c r="T3992" s="18" t="s">
        <v>1945</v>
      </c>
      <c r="U3992" s="18"/>
      <c r="V3992" s="18"/>
      <c r="W3992" s="18" t="s">
        <v>1946</v>
      </c>
      <c r="X3992" s="18" t="s">
        <v>42</v>
      </c>
      <c r="Y3992" s="18" t="s">
        <v>36</v>
      </c>
      <c r="Z3992" s="18" t="s">
        <v>697</v>
      </c>
      <c r="AA3992" s="21" t="str">
        <f>HYPERLINK("https://www.ncbi.nlm.nih.gov/nuccore/KY742649","NCBI Nucleotide")</f>
        <v>NCBI Nucleotide</v>
      </c>
    </row>
    <row r="3993" spans="1:27" x14ac:dyDescent="0.35">
      <c r="A3993">
        <v>1005267</v>
      </c>
      <c r="B3993">
        <v>3969</v>
      </c>
      <c r="C3993">
        <v>1</v>
      </c>
      <c r="D3993" s="17" t="s">
        <v>155</v>
      </c>
      <c r="E3993" s="17"/>
      <c r="F3993" s="17" t="s">
        <v>156</v>
      </c>
      <c r="G3993" s="17"/>
      <c r="H3993" s="17" t="s">
        <v>692</v>
      </c>
      <c r="I3993" s="17"/>
      <c r="J3993" s="17" t="s">
        <v>693</v>
      </c>
      <c r="K3993" s="17"/>
      <c r="L3993" s="17"/>
      <c r="M3993" s="17"/>
      <c r="N3993" s="17"/>
      <c r="O3993" s="17"/>
      <c r="P3993" s="17" t="s">
        <v>1947</v>
      </c>
      <c r="Q3993" s="17"/>
      <c r="R3993" s="25" t="str">
        <f>HYPERLINK("https://ictv.global/taxonomy/taxondetails?taxnode_id=202306485","Gorjumvirus jumbo")</f>
        <v>Gorjumvirus jumbo</v>
      </c>
      <c r="S3993" s="18" t="s">
        <v>30</v>
      </c>
      <c r="T3993" s="18" t="s">
        <v>1948</v>
      </c>
      <c r="U3993" s="18"/>
      <c r="V3993" s="18"/>
      <c r="W3993" s="18" t="s">
        <v>1949</v>
      </c>
      <c r="X3993" s="18" t="s">
        <v>42</v>
      </c>
      <c r="Y3993" s="18" t="s">
        <v>36</v>
      </c>
      <c r="Z3993" s="18" t="s">
        <v>697</v>
      </c>
      <c r="AA3993" s="21" t="str">
        <f>HYPERLINK("https://www.ncbi.nlm.nih.gov/nuccore/KX557281","NCBI Nucleotide")</f>
        <v>NCBI Nucleotide</v>
      </c>
    </row>
    <row r="3994" spans="1:27" x14ac:dyDescent="0.35">
      <c r="A3994">
        <v>1005269</v>
      </c>
      <c r="B3994">
        <v>3970</v>
      </c>
      <c r="C3994">
        <v>1</v>
      </c>
      <c r="D3994" s="17" t="s">
        <v>155</v>
      </c>
      <c r="E3994" s="17"/>
      <c r="F3994" s="17" t="s">
        <v>156</v>
      </c>
      <c r="G3994" s="17"/>
      <c r="H3994" s="17" t="s">
        <v>692</v>
      </c>
      <c r="I3994" s="17"/>
      <c r="J3994" s="17" t="s">
        <v>693</v>
      </c>
      <c r="K3994" s="17"/>
      <c r="L3994" s="17"/>
      <c r="M3994" s="17"/>
      <c r="N3994" s="17"/>
      <c r="O3994" s="17"/>
      <c r="P3994" s="17" t="s">
        <v>1953</v>
      </c>
      <c r="Q3994" s="17"/>
      <c r="R3994" s="25" t="str">
        <f>HYPERLINK("https://ictv.global/taxonomy/taxondetails?taxnode_id=202314589","Grutrevirus GMA5")</f>
        <v>Grutrevirus GMA5</v>
      </c>
      <c r="S3994" s="18" t="s">
        <v>30</v>
      </c>
      <c r="T3994" s="18" t="s">
        <v>1954</v>
      </c>
      <c r="U3994" s="18"/>
      <c r="V3994" s="18"/>
      <c r="W3994" s="18" t="s">
        <v>1955</v>
      </c>
      <c r="X3994" s="18" t="s">
        <v>42</v>
      </c>
      <c r="Y3994" s="18" t="s">
        <v>36</v>
      </c>
      <c r="Z3994" s="18" t="s">
        <v>697</v>
      </c>
      <c r="AA3994" s="21" t="str">
        <f>HYPERLINK("https://www.ncbi.nlm.nih.gov/nuccore/KR053198","NCBI Nucleotide")</f>
        <v>NCBI Nucleotide</v>
      </c>
    </row>
    <row r="3995" spans="1:27" x14ac:dyDescent="0.35">
      <c r="A3995">
        <v>1005270</v>
      </c>
      <c r="B3995">
        <v>3971</v>
      </c>
      <c r="C3995">
        <v>1</v>
      </c>
      <c r="D3995" s="17" t="s">
        <v>155</v>
      </c>
      <c r="E3995" s="17"/>
      <c r="F3995" s="17" t="s">
        <v>156</v>
      </c>
      <c r="G3995" s="17"/>
      <c r="H3995" s="17" t="s">
        <v>692</v>
      </c>
      <c r="I3995" s="17"/>
      <c r="J3995" s="17" t="s">
        <v>693</v>
      </c>
      <c r="K3995" s="17"/>
      <c r="L3995" s="17"/>
      <c r="M3995" s="17"/>
      <c r="N3995" s="17"/>
      <c r="O3995" s="17"/>
      <c r="P3995" s="17" t="s">
        <v>1953</v>
      </c>
      <c r="Q3995" s="17"/>
      <c r="R3995" s="25" t="str">
        <f>HYPERLINK("https://ictv.global/taxonomy/taxondetails?taxnode_id=202314588","Grutrevirus GRU3")</f>
        <v>Grutrevirus GRU3</v>
      </c>
      <c r="S3995" s="18" t="s">
        <v>30</v>
      </c>
      <c r="T3995" s="18" t="s">
        <v>1956</v>
      </c>
      <c r="U3995" s="18"/>
      <c r="V3995" s="18"/>
      <c r="W3995" s="18" t="s">
        <v>1957</v>
      </c>
      <c r="X3995" s="18" t="s">
        <v>42</v>
      </c>
      <c r="Y3995" s="18" t="s">
        <v>36</v>
      </c>
      <c r="Z3995" s="18" t="s">
        <v>697</v>
      </c>
      <c r="AA3995" s="21" t="str">
        <f>HYPERLINK("https://www.ncbi.nlm.nih.gov/nuccore/KR053197","NCBI Nucleotide")</f>
        <v>NCBI Nucleotide</v>
      </c>
    </row>
    <row r="3996" spans="1:27" x14ac:dyDescent="0.35">
      <c r="A3996">
        <v>1005271</v>
      </c>
      <c r="B3996">
        <v>3972</v>
      </c>
      <c r="C3996">
        <v>1</v>
      </c>
      <c r="D3996" s="17" t="s">
        <v>155</v>
      </c>
      <c r="E3996" s="17"/>
      <c r="F3996" s="17" t="s">
        <v>156</v>
      </c>
      <c r="G3996" s="17"/>
      <c r="H3996" s="17" t="s">
        <v>692</v>
      </c>
      <c r="I3996" s="17"/>
      <c r="J3996" s="17" t="s">
        <v>693</v>
      </c>
      <c r="K3996" s="17"/>
      <c r="L3996" s="17"/>
      <c r="M3996" s="17"/>
      <c r="N3996" s="17"/>
      <c r="O3996" s="17"/>
      <c r="P3996" s="17" t="s">
        <v>1958</v>
      </c>
      <c r="Q3996" s="17"/>
      <c r="R3996" s="25" t="str">
        <f>HYPERLINK("https://ictv.global/taxonomy/taxondetails?taxnode_id=202306638","Gustavvirus gustav")</f>
        <v>Gustavvirus gustav</v>
      </c>
      <c r="S3996" s="18" t="s">
        <v>30</v>
      </c>
      <c r="T3996" s="18" t="s">
        <v>1959</v>
      </c>
      <c r="U3996" s="18"/>
      <c r="V3996" s="18"/>
      <c r="W3996" s="18" t="s">
        <v>1960</v>
      </c>
      <c r="X3996" s="18" t="s">
        <v>42</v>
      </c>
      <c r="Y3996" s="18" t="s">
        <v>36</v>
      </c>
      <c r="Z3996" s="18" t="s">
        <v>697</v>
      </c>
      <c r="AA3996" s="21" t="str">
        <f>HYPERLINK("https://www.ncbi.nlm.nih.gov/nuccore/MG198784","NCBI Nucleotide")</f>
        <v>NCBI Nucleotide</v>
      </c>
    </row>
    <row r="3997" spans="1:27" x14ac:dyDescent="0.35">
      <c r="A3997">
        <v>1005272</v>
      </c>
      <c r="B3997">
        <v>3973</v>
      </c>
      <c r="C3997">
        <v>1</v>
      </c>
      <c r="D3997" s="17" t="s">
        <v>155</v>
      </c>
      <c r="E3997" s="17"/>
      <c r="F3997" s="17" t="s">
        <v>156</v>
      </c>
      <c r="G3997" s="17"/>
      <c r="H3997" s="17" t="s">
        <v>692</v>
      </c>
      <c r="I3997" s="17"/>
      <c r="J3997" s="17" t="s">
        <v>693</v>
      </c>
      <c r="K3997" s="17"/>
      <c r="L3997" s="17"/>
      <c r="M3997" s="17"/>
      <c r="N3997" s="17"/>
      <c r="O3997" s="17"/>
      <c r="P3997" s="17" t="s">
        <v>1958</v>
      </c>
      <c r="Q3997" s="17"/>
      <c r="R3997" s="25" t="str">
        <f>HYPERLINK("https://ictv.global/taxonomy/taxondetails?taxnode_id=202306639","Gustavvirus mahdia")</f>
        <v>Gustavvirus mahdia</v>
      </c>
      <c r="S3997" s="18" t="s">
        <v>30</v>
      </c>
      <c r="T3997" s="18" t="s">
        <v>1961</v>
      </c>
      <c r="U3997" s="18"/>
      <c r="V3997" s="18"/>
      <c r="W3997" s="18" t="s">
        <v>1962</v>
      </c>
      <c r="X3997" s="18" t="s">
        <v>42</v>
      </c>
      <c r="Y3997" s="18" t="s">
        <v>36</v>
      </c>
      <c r="Z3997" s="18" t="s">
        <v>697</v>
      </c>
      <c r="AA3997" s="21" t="str">
        <f>HYPERLINK("https://www.ncbi.nlm.nih.gov/nuccore/MG198783","NCBI Nucleotide")</f>
        <v>NCBI Nucleotide</v>
      </c>
    </row>
    <row r="3998" spans="1:27" x14ac:dyDescent="0.35">
      <c r="A3998">
        <v>1024481</v>
      </c>
      <c r="B3998">
        <v>3974</v>
      </c>
      <c r="C3998">
        <v>1</v>
      </c>
      <c r="D3998" s="17" t="s">
        <v>155</v>
      </c>
      <c r="E3998" s="17"/>
      <c r="F3998" s="17" t="s">
        <v>156</v>
      </c>
      <c r="G3998" s="17"/>
      <c r="H3998" s="17" t="s">
        <v>692</v>
      </c>
      <c r="I3998" s="17"/>
      <c r="J3998" s="17" t="s">
        <v>693</v>
      </c>
      <c r="K3998" s="17"/>
      <c r="L3998" s="17"/>
      <c r="M3998" s="17"/>
      <c r="N3998" s="17"/>
      <c r="O3998" s="17"/>
      <c r="P3998" s="17" t="s">
        <v>39958</v>
      </c>
      <c r="Q3998" s="17"/>
      <c r="R3998" s="25" t="str">
        <f>HYPERLINK("https://ictv.global/taxonomy/taxondetails?taxnode_id=202319063","Hafyongvirus yong1")</f>
        <v>Hafyongvirus yong1</v>
      </c>
      <c r="S3998" s="18" t="s">
        <v>30</v>
      </c>
      <c r="T3998" s="18" t="s">
        <v>39959</v>
      </c>
      <c r="U3998" s="18" t="s">
        <v>39960</v>
      </c>
      <c r="V3998" s="18"/>
      <c r="W3998" s="18" t="s">
        <v>39961</v>
      </c>
      <c r="X3998" s="18" t="s">
        <v>42</v>
      </c>
      <c r="Y3998" s="18" t="s">
        <v>36</v>
      </c>
      <c r="Z3998" s="18" t="s">
        <v>697</v>
      </c>
      <c r="AA3998" s="21" t="str">
        <f>HYPERLINK("https://www.ncbi.nlm.nih.gov/nuccore/MT135176","NCBI Nucleotide")</f>
        <v>NCBI Nucleotide</v>
      </c>
    </row>
    <row r="3999" spans="1:27" x14ac:dyDescent="0.35">
      <c r="A3999">
        <v>1024489</v>
      </c>
      <c r="B3999">
        <v>3975</v>
      </c>
      <c r="C3999">
        <v>1</v>
      </c>
      <c r="D3999" s="17" t="s">
        <v>155</v>
      </c>
      <c r="E3999" s="17"/>
      <c r="F3999" s="17" t="s">
        <v>156</v>
      </c>
      <c r="G3999" s="17"/>
      <c r="H3999" s="17" t="s">
        <v>692</v>
      </c>
      <c r="I3999" s="17"/>
      <c r="J3999" s="17" t="s">
        <v>693</v>
      </c>
      <c r="K3999" s="17"/>
      <c r="L3999" s="17"/>
      <c r="M3999" s="17"/>
      <c r="N3999" s="17"/>
      <c r="O3999" s="17"/>
      <c r="P3999" s="17" t="s">
        <v>39962</v>
      </c>
      <c r="Q3999" s="17"/>
      <c r="R3999" s="25" t="str">
        <f>HYPERLINK("https://ictv.global/taxonomy/taxondetails?taxnode_id=202318571","Haihevirus PP9W2")</f>
        <v>Haihevirus PP9W2</v>
      </c>
      <c r="S3999" s="18" t="s">
        <v>30</v>
      </c>
      <c r="T3999" s="18" t="s">
        <v>39963</v>
      </c>
      <c r="U3999" s="18"/>
      <c r="V3999" s="18"/>
      <c r="W3999" s="18" t="s">
        <v>48531</v>
      </c>
      <c r="X3999" s="18" t="s">
        <v>42</v>
      </c>
      <c r="Y3999" s="18" t="s">
        <v>36</v>
      </c>
      <c r="Z3999" s="18" t="s">
        <v>697</v>
      </c>
      <c r="AA3999" s="21" t="str">
        <f>HYPERLINK("https://www.ncbi.nlm.nih.gov/nuccore/OM141125","NCBI Nucleotide")</f>
        <v>NCBI Nucleotide</v>
      </c>
    </row>
    <row r="4000" spans="1:27" x14ac:dyDescent="0.35">
      <c r="A4000">
        <v>1005273</v>
      </c>
      <c r="B4000">
        <v>3976</v>
      </c>
      <c r="C4000">
        <v>1</v>
      </c>
      <c r="D4000" s="17" t="s">
        <v>155</v>
      </c>
      <c r="E4000" s="17"/>
      <c r="F4000" s="17" t="s">
        <v>156</v>
      </c>
      <c r="G4000" s="17"/>
      <c r="H4000" s="17" t="s">
        <v>692</v>
      </c>
      <c r="I4000" s="17"/>
      <c r="J4000" s="17" t="s">
        <v>693</v>
      </c>
      <c r="K4000" s="17"/>
      <c r="L4000" s="17"/>
      <c r="M4000" s="17"/>
      <c r="N4000" s="17"/>
      <c r="O4000" s="17"/>
      <c r="P4000" s="17" t="s">
        <v>1963</v>
      </c>
      <c r="Q4000" s="17"/>
      <c r="R4000" s="25" t="str">
        <f>HYPERLINK("https://ictv.global/taxonomy/taxondetails?taxnode_id=202310078","Halcyonevirus C7Cdelta")</f>
        <v>Halcyonevirus C7Cdelta</v>
      </c>
      <c r="S4000" s="18" t="s">
        <v>30</v>
      </c>
      <c r="T4000" s="18" t="s">
        <v>1964</v>
      </c>
      <c r="U4000" s="18"/>
      <c r="V4000" s="18"/>
      <c r="W4000" s="18" t="s">
        <v>1965</v>
      </c>
      <c r="X4000" s="18" t="s">
        <v>42</v>
      </c>
      <c r="Y4000" s="18" t="s">
        <v>36</v>
      </c>
      <c r="Z4000" s="18" t="s">
        <v>697</v>
      </c>
      <c r="AA4000" s="21" t="str">
        <f>HYPERLINK("https://www.ncbi.nlm.nih.gov/nuccore/MH431938","NCBI Nucleotide")</f>
        <v>NCBI Nucleotide</v>
      </c>
    </row>
    <row r="4001" spans="1:27" x14ac:dyDescent="0.35">
      <c r="A4001">
        <v>1005274</v>
      </c>
      <c r="B4001">
        <v>3977</v>
      </c>
      <c r="C4001">
        <v>1</v>
      </c>
      <c r="D4001" s="17" t="s">
        <v>155</v>
      </c>
      <c r="E4001" s="17"/>
      <c r="F4001" s="17" t="s">
        <v>156</v>
      </c>
      <c r="G4001" s="17"/>
      <c r="H4001" s="17" t="s">
        <v>692</v>
      </c>
      <c r="I4001" s="17"/>
      <c r="J4001" s="17" t="s">
        <v>693</v>
      </c>
      <c r="K4001" s="17"/>
      <c r="L4001" s="17"/>
      <c r="M4001" s="17"/>
      <c r="N4001" s="17"/>
      <c r="O4001" s="17"/>
      <c r="P4001" s="17" t="s">
        <v>1963</v>
      </c>
      <c r="Q4001" s="17"/>
      <c r="R4001" s="25" t="str">
        <f>HYPERLINK("https://ictv.global/taxonomy/taxondetails?taxnode_id=202310075","Halcyonevirus halcyone")</f>
        <v>Halcyonevirus halcyone</v>
      </c>
      <c r="S4001" s="18" t="s">
        <v>30</v>
      </c>
      <c r="T4001" s="18" t="s">
        <v>1966</v>
      </c>
      <c r="U4001" s="18"/>
      <c r="V4001" s="18"/>
      <c r="W4001" s="18" t="s">
        <v>1967</v>
      </c>
      <c r="X4001" s="18" t="s">
        <v>42</v>
      </c>
      <c r="Y4001" s="18" t="s">
        <v>36</v>
      </c>
      <c r="Z4001" s="18" t="s">
        <v>697</v>
      </c>
      <c r="AA4001" s="21" t="str">
        <f>HYPERLINK("https://www.ncbi.nlm.nih.gov/nuccore/MH460827","NCBI Nucleotide")</f>
        <v>NCBI Nucleotide</v>
      </c>
    </row>
    <row r="4002" spans="1:27" x14ac:dyDescent="0.35">
      <c r="A4002">
        <v>1005275</v>
      </c>
      <c r="B4002">
        <v>3978</v>
      </c>
      <c r="C4002">
        <v>1</v>
      </c>
      <c r="D4002" s="17" t="s">
        <v>155</v>
      </c>
      <c r="E4002" s="17"/>
      <c r="F4002" s="17" t="s">
        <v>156</v>
      </c>
      <c r="G4002" s="17"/>
      <c r="H4002" s="17" t="s">
        <v>692</v>
      </c>
      <c r="I4002" s="17"/>
      <c r="J4002" s="17" t="s">
        <v>693</v>
      </c>
      <c r="K4002" s="17"/>
      <c r="L4002" s="17"/>
      <c r="M4002" s="17"/>
      <c r="N4002" s="17"/>
      <c r="O4002" s="17"/>
      <c r="P4002" s="17" t="s">
        <v>1963</v>
      </c>
      <c r="Q4002" s="17"/>
      <c r="R4002" s="25" t="str">
        <f>HYPERLINK("https://ictv.global/taxonomy/taxondetails?taxnode_id=202310077","Halcyonevirus scottie")</f>
        <v>Halcyonevirus scottie</v>
      </c>
      <c r="S4002" s="18" t="s">
        <v>30</v>
      </c>
      <c r="T4002" s="18" t="s">
        <v>1968</v>
      </c>
      <c r="U4002" s="18"/>
      <c r="V4002" s="18"/>
      <c r="W4002" s="18" t="s">
        <v>1969</v>
      </c>
      <c r="X4002" s="18" t="s">
        <v>42</v>
      </c>
      <c r="Y4002" s="18" t="s">
        <v>36</v>
      </c>
      <c r="Z4002" s="18" t="s">
        <v>697</v>
      </c>
      <c r="AA4002" s="21" t="str">
        <f>HYPERLINK("https://www.ncbi.nlm.nih.gov/nuccore/MH460825","NCBI Nucleotide")</f>
        <v>NCBI Nucleotide</v>
      </c>
    </row>
    <row r="4003" spans="1:27" x14ac:dyDescent="0.35">
      <c r="A4003">
        <v>1005276</v>
      </c>
      <c r="B4003">
        <v>3979</v>
      </c>
      <c r="C4003">
        <v>1</v>
      </c>
      <c r="D4003" s="17" t="s">
        <v>155</v>
      </c>
      <c r="E4003" s="17"/>
      <c r="F4003" s="17" t="s">
        <v>156</v>
      </c>
      <c r="G4003" s="17"/>
      <c r="H4003" s="17" t="s">
        <v>692</v>
      </c>
      <c r="I4003" s="17"/>
      <c r="J4003" s="17" t="s">
        <v>693</v>
      </c>
      <c r="K4003" s="17"/>
      <c r="L4003" s="17"/>
      <c r="M4003" s="17"/>
      <c r="N4003" s="17"/>
      <c r="O4003" s="17"/>
      <c r="P4003" s="17" t="s">
        <v>1963</v>
      </c>
      <c r="Q4003" s="17"/>
      <c r="R4003" s="25" t="str">
        <f>HYPERLINK("https://ictv.global/taxonomy/taxondetails?taxnode_id=202306895","Halcyonevirus tripp")</f>
        <v>Halcyonevirus tripp</v>
      </c>
      <c r="S4003" s="18" t="s">
        <v>30</v>
      </c>
      <c r="T4003" s="18" t="s">
        <v>1970</v>
      </c>
      <c r="U4003" s="18"/>
      <c r="V4003" s="18"/>
      <c r="W4003" s="18" t="s">
        <v>1971</v>
      </c>
      <c r="X4003" s="18" t="s">
        <v>42</v>
      </c>
      <c r="Y4003" s="18" t="s">
        <v>36</v>
      </c>
      <c r="Z4003" s="18" t="s">
        <v>697</v>
      </c>
      <c r="AA4003" s="21" t="str">
        <f>HYPERLINK("https://www.ncbi.nlm.nih.gov/nuccore/KT755656","NCBI Nucleotide")</f>
        <v>NCBI Nucleotide</v>
      </c>
    </row>
    <row r="4004" spans="1:27" x14ac:dyDescent="0.35">
      <c r="A4004">
        <v>1005277</v>
      </c>
      <c r="B4004">
        <v>3980</v>
      </c>
      <c r="C4004">
        <v>1</v>
      </c>
      <c r="D4004" s="17" t="s">
        <v>155</v>
      </c>
      <c r="E4004" s="17"/>
      <c r="F4004" s="17" t="s">
        <v>156</v>
      </c>
      <c r="G4004" s="17"/>
      <c r="H4004" s="17" t="s">
        <v>692</v>
      </c>
      <c r="I4004" s="17"/>
      <c r="J4004" s="17" t="s">
        <v>693</v>
      </c>
      <c r="K4004" s="17"/>
      <c r="L4004" s="17"/>
      <c r="M4004" s="17"/>
      <c r="N4004" s="17"/>
      <c r="O4004" s="17"/>
      <c r="P4004" s="17" t="s">
        <v>1963</v>
      </c>
      <c r="Q4004" s="17"/>
      <c r="R4004" s="25" t="str">
        <f>HYPERLINK("https://ictv.global/taxonomy/taxondetails?taxnode_id=202310076","Halcyonevirus unity")</f>
        <v>Halcyonevirus unity</v>
      </c>
      <c r="S4004" s="18" t="s">
        <v>30</v>
      </c>
      <c r="T4004" s="18" t="s">
        <v>1972</v>
      </c>
      <c r="U4004" s="18"/>
      <c r="V4004" s="18"/>
      <c r="W4004" s="18" t="s">
        <v>1973</v>
      </c>
      <c r="X4004" s="18" t="s">
        <v>42</v>
      </c>
      <c r="Y4004" s="18" t="s">
        <v>36</v>
      </c>
      <c r="Z4004" s="18" t="s">
        <v>697</v>
      </c>
      <c r="AA4004" s="21" t="str">
        <f>HYPERLINK("https://www.ncbi.nlm.nih.gov/nuccore/MH460824","NCBI Nucleotide")</f>
        <v>NCBI Nucleotide</v>
      </c>
    </row>
    <row r="4005" spans="1:27" x14ac:dyDescent="0.35">
      <c r="A4005">
        <v>1024482</v>
      </c>
      <c r="B4005">
        <v>3981</v>
      </c>
      <c r="C4005">
        <v>1</v>
      </c>
      <c r="D4005" s="17" t="s">
        <v>155</v>
      </c>
      <c r="E4005" s="17"/>
      <c r="F4005" s="17" t="s">
        <v>156</v>
      </c>
      <c r="G4005" s="17"/>
      <c r="H4005" s="17" t="s">
        <v>692</v>
      </c>
      <c r="I4005" s="17"/>
      <c r="J4005" s="17" t="s">
        <v>693</v>
      </c>
      <c r="K4005" s="17"/>
      <c r="L4005" s="17"/>
      <c r="M4005" s="17"/>
      <c r="N4005" s="17"/>
      <c r="O4005" s="17"/>
      <c r="P4005" s="17" t="s">
        <v>39964</v>
      </c>
      <c r="Q4005" s="17"/>
      <c r="R4005" s="25" t="str">
        <f>HYPERLINK("https://ictv.global/taxonomy/taxondetails?taxnode_id=202319072","Halfdanvirus halfdan")</f>
        <v>Halfdanvirus halfdan</v>
      </c>
      <c r="S4005" s="18" t="s">
        <v>30</v>
      </c>
      <c r="T4005" s="18" t="s">
        <v>39965</v>
      </c>
      <c r="U4005" s="18"/>
      <c r="V4005" s="18"/>
      <c r="W4005" s="18" t="s">
        <v>48532</v>
      </c>
      <c r="X4005" s="18" t="s">
        <v>42</v>
      </c>
      <c r="Y4005" s="18" t="s">
        <v>36</v>
      </c>
      <c r="Z4005" s="18" t="s">
        <v>697</v>
      </c>
      <c r="AA4005" s="21" t="str">
        <f>HYPERLINK("https://www.ncbi.nlm.nih.gov/nuccore/MH362766","NCBI Nucleotide")</f>
        <v>NCBI Nucleotide</v>
      </c>
    </row>
    <row r="4006" spans="1:27" x14ac:dyDescent="0.35">
      <c r="A4006">
        <v>1005278</v>
      </c>
      <c r="B4006">
        <v>3982</v>
      </c>
      <c r="C4006">
        <v>1</v>
      </c>
      <c r="D4006" s="17" t="s">
        <v>155</v>
      </c>
      <c r="E4006" s="17"/>
      <c r="F4006" s="17" t="s">
        <v>156</v>
      </c>
      <c r="G4006" s="17"/>
      <c r="H4006" s="17" t="s">
        <v>692</v>
      </c>
      <c r="I4006" s="17"/>
      <c r="J4006" s="17" t="s">
        <v>693</v>
      </c>
      <c r="K4006" s="17"/>
      <c r="L4006" s="17"/>
      <c r="M4006" s="17"/>
      <c r="N4006" s="17"/>
      <c r="O4006" s="17"/>
      <c r="P4006" s="17" t="s">
        <v>1974</v>
      </c>
      <c r="Q4006" s="17"/>
      <c r="R4006" s="25" t="str">
        <f>HYPERLINK("https://ictv.global/taxonomy/taxondetails?taxnode_id=202300434","Hapunavirus HAP1")</f>
        <v>Hapunavirus HAP1</v>
      </c>
      <c r="S4006" s="18" t="s">
        <v>30</v>
      </c>
      <c r="T4006" s="18" t="s">
        <v>1975</v>
      </c>
      <c r="U4006" s="18"/>
      <c r="V4006" s="18"/>
      <c r="W4006" s="18" t="s">
        <v>1976</v>
      </c>
      <c r="X4006" s="18" t="s">
        <v>42</v>
      </c>
      <c r="Y4006" s="18" t="s">
        <v>36</v>
      </c>
      <c r="Z4006" s="18" t="s">
        <v>697</v>
      </c>
      <c r="AA4006" s="21" t="str">
        <f>HYPERLINK("https://www.ncbi.nlm.nih.gov/nuccore/EU399241","NCBI Nucleotide")</f>
        <v>NCBI Nucleotide</v>
      </c>
    </row>
    <row r="4007" spans="1:27" x14ac:dyDescent="0.35">
      <c r="A4007">
        <v>1005279</v>
      </c>
      <c r="B4007">
        <v>3983</v>
      </c>
      <c r="C4007">
        <v>1</v>
      </c>
      <c r="D4007" s="17" t="s">
        <v>155</v>
      </c>
      <c r="E4007" s="17"/>
      <c r="F4007" s="17" t="s">
        <v>156</v>
      </c>
      <c r="G4007" s="17"/>
      <c r="H4007" s="17" t="s">
        <v>692</v>
      </c>
      <c r="I4007" s="17"/>
      <c r="J4007" s="17" t="s">
        <v>693</v>
      </c>
      <c r="K4007" s="17"/>
      <c r="L4007" s="17"/>
      <c r="M4007" s="17"/>
      <c r="N4007" s="17"/>
      <c r="O4007" s="17"/>
      <c r="P4007" s="17" t="s">
        <v>1974</v>
      </c>
      <c r="Q4007" s="17"/>
      <c r="R4007" s="25" t="str">
        <f>HYPERLINK("https://ictv.global/taxonomy/taxondetails?taxnode_id=202300435","Hapunavirus VP882")</f>
        <v>Hapunavirus VP882</v>
      </c>
      <c r="S4007" s="18" t="s">
        <v>30</v>
      </c>
      <c r="T4007" s="18" t="s">
        <v>1977</v>
      </c>
      <c r="U4007" s="18"/>
      <c r="V4007" s="18"/>
      <c r="W4007" s="18" t="s">
        <v>1978</v>
      </c>
      <c r="X4007" s="18" t="s">
        <v>42</v>
      </c>
      <c r="Y4007" s="18" t="s">
        <v>36</v>
      </c>
      <c r="Z4007" s="18" t="s">
        <v>697</v>
      </c>
      <c r="AA4007" s="21" t="str">
        <f>HYPERLINK("https://www.ncbi.nlm.nih.gov/nuccore/EF057797","NCBI Nucleotide")</f>
        <v>NCBI Nucleotide</v>
      </c>
    </row>
    <row r="4008" spans="1:27" x14ac:dyDescent="0.35">
      <c r="A4008">
        <v>1005280</v>
      </c>
      <c r="B4008">
        <v>3984</v>
      </c>
      <c r="C4008">
        <v>1</v>
      </c>
      <c r="D4008" s="17" t="s">
        <v>155</v>
      </c>
      <c r="E4008" s="17"/>
      <c r="F4008" s="17" t="s">
        <v>156</v>
      </c>
      <c r="G4008" s="17"/>
      <c r="H4008" s="17" t="s">
        <v>692</v>
      </c>
      <c r="I4008" s="17"/>
      <c r="J4008" s="17" t="s">
        <v>693</v>
      </c>
      <c r="K4008" s="17"/>
      <c r="L4008" s="17"/>
      <c r="M4008" s="17"/>
      <c r="N4008" s="17"/>
      <c r="O4008" s="17"/>
      <c r="P4008" s="17" t="s">
        <v>1979</v>
      </c>
      <c r="Q4008" s="17"/>
      <c r="R4008" s="25" t="str">
        <f>HYPERLINK("https://ictv.global/taxonomy/taxondetails?taxnode_id=202312344","Harrisonburgvirus persinger")</f>
        <v>Harrisonburgvirus persinger</v>
      </c>
      <c r="S4008" s="18" t="s">
        <v>30</v>
      </c>
      <c r="T4008" s="18" t="s">
        <v>1980</v>
      </c>
      <c r="U4008" s="18"/>
      <c r="V4008" s="18"/>
      <c r="W4008" s="18" t="s">
        <v>1981</v>
      </c>
      <c r="X4008" s="18" t="s">
        <v>42</v>
      </c>
      <c r="Y4008" s="18" t="s">
        <v>36</v>
      </c>
      <c r="Z4008" s="18" t="s">
        <v>697</v>
      </c>
      <c r="AA4008" s="21" t="str">
        <f>HYPERLINK("https://www.ncbi.nlm.nih.gov/nuccore/MT613935","NCBI Nucleotide")</f>
        <v>NCBI Nucleotide</v>
      </c>
    </row>
    <row r="4009" spans="1:27" x14ac:dyDescent="0.35">
      <c r="A4009">
        <v>1005281</v>
      </c>
      <c r="B4009">
        <v>3985</v>
      </c>
      <c r="C4009">
        <v>1</v>
      </c>
      <c r="D4009" s="17" t="s">
        <v>155</v>
      </c>
      <c r="E4009" s="17"/>
      <c r="F4009" s="17" t="s">
        <v>156</v>
      </c>
      <c r="G4009" s="17"/>
      <c r="H4009" s="17" t="s">
        <v>692</v>
      </c>
      <c r="I4009" s="17"/>
      <c r="J4009" s="17" t="s">
        <v>693</v>
      </c>
      <c r="K4009" s="17"/>
      <c r="L4009" s="17"/>
      <c r="M4009" s="17"/>
      <c r="N4009" s="17"/>
      <c r="O4009" s="17"/>
      <c r="P4009" s="17" t="s">
        <v>1982</v>
      </c>
      <c r="Q4009" s="17"/>
      <c r="R4009" s="25" t="str">
        <f>HYPERLINK("https://ictv.global/taxonomy/taxondetails?taxnode_id=202310025","Hattifnattvirus hattifnatt")</f>
        <v>Hattifnattvirus hattifnatt</v>
      </c>
      <c r="S4009" s="18" t="s">
        <v>30</v>
      </c>
      <c r="T4009" s="18" t="s">
        <v>1983</v>
      </c>
      <c r="U4009" s="18"/>
      <c r="V4009" s="18"/>
      <c r="W4009" s="18" t="s">
        <v>1984</v>
      </c>
      <c r="X4009" s="18" t="s">
        <v>42</v>
      </c>
      <c r="Y4009" s="18" t="s">
        <v>36</v>
      </c>
      <c r="Z4009" s="18" t="s">
        <v>697</v>
      </c>
      <c r="AA4009" s="21" t="str">
        <f>HYPERLINK("https://www.ncbi.nlm.nih.gov/nuccore/MN812207","NCBI Nucleotide")</f>
        <v>NCBI Nucleotide</v>
      </c>
    </row>
    <row r="4010" spans="1:27" x14ac:dyDescent="0.35">
      <c r="A4010">
        <v>1005282</v>
      </c>
      <c r="B4010">
        <v>3986</v>
      </c>
      <c r="C4010">
        <v>1</v>
      </c>
      <c r="D4010" s="17" t="s">
        <v>155</v>
      </c>
      <c r="E4010" s="17"/>
      <c r="F4010" s="17" t="s">
        <v>156</v>
      </c>
      <c r="G4010" s="17"/>
      <c r="H4010" s="17" t="s">
        <v>692</v>
      </c>
      <c r="I4010" s="17"/>
      <c r="J4010" s="17" t="s">
        <v>693</v>
      </c>
      <c r="K4010" s="17"/>
      <c r="L4010" s="17"/>
      <c r="M4010" s="17"/>
      <c r="N4010" s="17"/>
      <c r="O4010" s="17"/>
      <c r="P4010" s="17" t="s">
        <v>1985</v>
      </c>
      <c r="Q4010" s="17"/>
      <c r="R4010" s="25" t="str">
        <f>HYPERLINK("https://ictv.global/taxonomy/taxondetails?taxnode_id=202306684","Hedwigvirus hedwig")</f>
        <v>Hedwigvirus hedwig</v>
      </c>
      <c r="S4010" s="18" t="s">
        <v>30</v>
      </c>
      <c r="T4010" s="18" t="s">
        <v>1986</v>
      </c>
      <c r="U4010" s="18"/>
      <c r="V4010" s="18"/>
      <c r="W4010" s="18" t="s">
        <v>1987</v>
      </c>
      <c r="X4010" s="18" t="s">
        <v>42</v>
      </c>
      <c r="Y4010" s="18" t="s">
        <v>36</v>
      </c>
      <c r="Z4010" s="18" t="s">
        <v>697</v>
      </c>
      <c r="AA4010" s="21" t="str">
        <f>HYPERLINK("https://www.ncbi.nlm.nih.gov/nuccore/KX557279","NCBI Nucleotide")</f>
        <v>NCBI Nucleotide</v>
      </c>
    </row>
    <row r="4011" spans="1:27" x14ac:dyDescent="0.35">
      <c r="A4011">
        <v>1005283</v>
      </c>
      <c r="B4011">
        <v>3987</v>
      </c>
      <c r="C4011">
        <v>1</v>
      </c>
      <c r="D4011" s="17" t="s">
        <v>155</v>
      </c>
      <c r="E4011" s="17"/>
      <c r="F4011" s="17" t="s">
        <v>156</v>
      </c>
      <c r="G4011" s="17"/>
      <c r="H4011" s="17" t="s">
        <v>692</v>
      </c>
      <c r="I4011" s="17"/>
      <c r="J4011" s="17" t="s">
        <v>693</v>
      </c>
      <c r="K4011" s="17"/>
      <c r="L4011" s="17"/>
      <c r="M4011" s="17"/>
      <c r="N4011" s="17"/>
      <c r="O4011" s="17"/>
      <c r="P4011" s="17" t="s">
        <v>1988</v>
      </c>
      <c r="Q4011" s="17"/>
      <c r="R4011" s="25" t="str">
        <f>HYPERLINK("https://ictv.global/taxonomy/taxondetails?taxnode_id=202307908","Heilongjiangvirus Lb")</f>
        <v>Heilongjiangvirus Lb</v>
      </c>
      <c r="S4011" s="18" t="s">
        <v>30</v>
      </c>
      <c r="T4011" s="18" t="s">
        <v>1989</v>
      </c>
      <c r="U4011" s="18"/>
      <c r="V4011" s="18"/>
      <c r="W4011" s="18" t="s">
        <v>1990</v>
      </c>
      <c r="X4011" s="18" t="s">
        <v>42</v>
      </c>
      <c r="Y4011" s="18" t="s">
        <v>36</v>
      </c>
      <c r="Z4011" s="18" t="s">
        <v>697</v>
      </c>
      <c r="AA4011" s="21" t="str">
        <f>HYPERLINK("https://www.ncbi.nlm.nih.gov/nuccore/MG020111","NCBI Nucleotide")</f>
        <v>NCBI Nucleotide</v>
      </c>
    </row>
    <row r="4012" spans="1:27" x14ac:dyDescent="0.35">
      <c r="A4012">
        <v>1005284</v>
      </c>
      <c r="B4012">
        <v>3988</v>
      </c>
      <c r="C4012">
        <v>1</v>
      </c>
      <c r="D4012" s="17" t="s">
        <v>155</v>
      </c>
      <c r="E4012" s="17"/>
      <c r="F4012" s="17" t="s">
        <v>156</v>
      </c>
      <c r="G4012" s="17"/>
      <c r="H4012" s="17" t="s">
        <v>692</v>
      </c>
      <c r="I4012" s="17"/>
      <c r="J4012" s="17" t="s">
        <v>693</v>
      </c>
      <c r="K4012" s="17"/>
      <c r="L4012" s="17"/>
      <c r="M4012" s="17"/>
      <c r="N4012" s="17"/>
      <c r="O4012" s="17"/>
      <c r="P4012" s="17" t="s">
        <v>1991</v>
      </c>
      <c r="Q4012" s="17"/>
      <c r="R4012" s="25" t="str">
        <f>HYPERLINK("https://ictv.global/taxonomy/taxondetails?taxnode_id=202300879","Helsingorvirus Cba121")</f>
        <v>Helsingorvirus Cba121</v>
      </c>
      <c r="S4012" s="18" t="s">
        <v>30</v>
      </c>
      <c r="T4012" s="18" t="s">
        <v>1992</v>
      </c>
      <c r="U4012" s="18"/>
      <c r="V4012" s="18"/>
      <c r="W4012" s="18" t="s">
        <v>1993</v>
      </c>
      <c r="X4012" s="18" t="s">
        <v>42</v>
      </c>
      <c r="Y4012" s="18" t="s">
        <v>36</v>
      </c>
      <c r="Z4012" s="18" t="s">
        <v>697</v>
      </c>
      <c r="AA4012" s="21" t="str">
        <f>HYPERLINK("https://www.ncbi.nlm.nih.gov/nuccore/KC821613","NCBI Nucleotide")</f>
        <v>NCBI Nucleotide</v>
      </c>
    </row>
    <row r="4013" spans="1:27" x14ac:dyDescent="0.35">
      <c r="A4013">
        <v>1005285</v>
      </c>
      <c r="B4013">
        <v>3989</v>
      </c>
      <c r="C4013">
        <v>1</v>
      </c>
      <c r="D4013" s="17" t="s">
        <v>155</v>
      </c>
      <c r="E4013" s="17"/>
      <c r="F4013" s="17" t="s">
        <v>156</v>
      </c>
      <c r="G4013" s="17"/>
      <c r="H4013" s="17" t="s">
        <v>692</v>
      </c>
      <c r="I4013" s="17"/>
      <c r="J4013" s="17" t="s">
        <v>693</v>
      </c>
      <c r="K4013" s="17"/>
      <c r="L4013" s="17"/>
      <c r="M4013" s="17"/>
      <c r="N4013" s="17"/>
      <c r="O4013" s="17"/>
      <c r="P4013" s="17" t="s">
        <v>1991</v>
      </c>
      <c r="Q4013" s="17"/>
      <c r="R4013" s="25" t="str">
        <f>HYPERLINK("https://ictv.global/taxonomy/taxondetails?taxnode_id=202300880","Helsingorvirus Cba171")</f>
        <v>Helsingorvirus Cba171</v>
      </c>
      <c r="S4013" s="18" t="s">
        <v>30</v>
      </c>
      <c r="T4013" s="18" t="s">
        <v>1994</v>
      </c>
      <c r="U4013" s="18"/>
      <c r="V4013" s="18"/>
      <c r="W4013" s="18" t="s">
        <v>1995</v>
      </c>
      <c r="X4013" s="18" t="s">
        <v>42</v>
      </c>
      <c r="Y4013" s="18" t="s">
        <v>36</v>
      </c>
      <c r="Z4013" s="18" t="s">
        <v>697</v>
      </c>
      <c r="AA4013" s="21" t="str">
        <f>HYPERLINK("https://www.ncbi.nlm.nih.gov/nuccore/KC821617","NCBI Nucleotide")</f>
        <v>NCBI Nucleotide</v>
      </c>
    </row>
    <row r="4014" spans="1:27" x14ac:dyDescent="0.35">
      <c r="A4014">
        <v>1005286</v>
      </c>
      <c r="B4014">
        <v>3990</v>
      </c>
      <c r="C4014">
        <v>1</v>
      </c>
      <c r="D4014" s="17" t="s">
        <v>155</v>
      </c>
      <c r="E4014" s="17"/>
      <c r="F4014" s="17" t="s">
        <v>156</v>
      </c>
      <c r="G4014" s="17"/>
      <c r="H4014" s="17" t="s">
        <v>692</v>
      </c>
      <c r="I4014" s="17"/>
      <c r="J4014" s="17" t="s">
        <v>693</v>
      </c>
      <c r="K4014" s="17"/>
      <c r="L4014" s="17"/>
      <c r="M4014" s="17"/>
      <c r="N4014" s="17"/>
      <c r="O4014" s="17"/>
      <c r="P4014" s="17" t="s">
        <v>1991</v>
      </c>
      <c r="Q4014" s="17"/>
      <c r="R4014" s="25" t="str">
        <f>HYPERLINK("https://ictv.global/taxonomy/taxondetails?taxnode_id=202300881","Helsingorvirus Cba181")</f>
        <v>Helsingorvirus Cba181</v>
      </c>
      <c r="S4014" s="18" t="s">
        <v>30</v>
      </c>
      <c r="T4014" s="18" t="s">
        <v>1996</v>
      </c>
      <c r="U4014" s="18"/>
      <c r="V4014" s="18"/>
      <c r="W4014" s="18" t="s">
        <v>1997</v>
      </c>
      <c r="X4014" s="18" t="s">
        <v>42</v>
      </c>
      <c r="Y4014" s="18" t="s">
        <v>36</v>
      </c>
      <c r="Z4014" s="18" t="s">
        <v>697</v>
      </c>
      <c r="AA4014" s="21" t="str">
        <f>HYPERLINK("https://www.ncbi.nlm.nih.gov/nuccore/KC821619","NCBI Nucleotide")</f>
        <v>NCBI Nucleotide</v>
      </c>
    </row>
    <row r="4015" spans="1:27" x14ac:dyDescent="0.35">
      <c r="A4015">
        <v>1005287</v>
      </c>
      <c r="B4015">
        <v>3991</v>
      </c>
      <c r="C4015">
        <v>1</v>
      </c>
      <c r="D4015" s="17" t="s">
        <v>155</v>
      </c>
      <c r="E4015" s="17"/>
      <c r="F4015" s="17" t="s">
        <v>156</v>
      </c>
      <c r="G4015" s="17"/>
      <c r="H4015" s="17" t="s">
        <v>692</v>
      </c>
      <c r="I4015" s="17"/>
      <c r="J4015" s="17" t="s">
        <v>693</v>
      </c>
      <c r="K4015" s="17"/>
      <c r="L4015" s="17"/>
      <c r="M4015" s="17"/>
      <c r="N4015" s="17"/>
      <c r="O4015" s="17"/>
      <c r="P4015" s="17" t="s">
        <v>1998</v>
      </c>
      <c r="Q4015" s="17"/>
      <c r="R4015" s="25" t="str">
        <f>HYPERLINK("https://ictv.global/taxonomy/taxondetails?taxnode_id=202314865","Hestiavirus hestia")</f>
        <v>Hestiavirus hestia</v>
      </c>
      <c r="S4015" s="18" t="s">
        <v>30</v>
      </c>
      <c r="T4015" s="18" t="s">
        <v>1999</v>
      </c>
      <c r="U4015" s="18"/>
      <c r="V4015" s="18"/>
      <c r="W4015" s="18" t="s">
        <v>2000</v>
      </c>
      <c r="X4015" s="18" t="s">
        <v>42</v>
      </c>
      <c r="Y4015" s="18" t="s">
        <v>36</v>
      </c>
      <c r="Z4015" s="18" t="s">
        <v>697</v>
      </c>
      <c r="AA4015" s="21" t="str">
        <f>HYPERLINK("https://www.ncbi.nlm.nih.gov/nuccore/MH910036","NCBI Nucleotide")</f>
        <v>NCBI Nucleotide</v>
      </c>
    </row>
    <row r="4016" spans="1:27" x14ac:dyDescent="0.35">
      <c r="A4016">
        <v>1005288</v>
      </c>
      <c r="B4016">
        <v>3992</v>
      </c>
      <c r="C4016">
        <v>1</v>
      </c>
      <c r="D4016" s="17" t="s">
        <v>155</v>
      </c>
      <c r="E4016" s="17"/>
      <c r="F4016" s="17" t="s">
        <v>156</v>
      </c>
      <c r="G4016" s="17"/>
      <c r="H4016" s="17" t="s">
        <v>692</v>
      </c>
      <c r="I4016" s="17"/>
      <c r="J4016" s="17" t="s">
        <v>693</v>
      </c>
      <c r="K4016" s="17"/>
      <c r="L4016" s="17"/>
      <c r="M4016" s="17"/>
      <c r="N4016" s="17"/>
      <c r="O4016" s="17"/>
      <c r="P4016" s="17" t="s">
        <v>2001</v>
      </c>
      <c r="Q4016" s="17"/>
      <c r="R4016" s="25" t="str">
        <f>HYPERLINK("https://ictv.global/taxonomy/taxondetails?taxnode_id=202314628","Hiroshimavirus PPpW3")</f>
        <v>Hiroshimavirus PPpW3</v>
      </c>
      <c r="S4016" s="18" t="s">
        <v>30</v>
      </c>
      <c r="T4016" s="18" t="s">
        <v>2002</v>
      </c>
      <c r="U4016" s="18"/>
      <c r="V4016" s="18"/>
      <c r="W4016" s="18" t="s">
        <v>2003</v>
      </c>
      <c r="X4016" s="18" t="s">
        <v>42</v>
      </c>
      <c r="Y4016" s="18" t="s">
        <v>36</v>
      </c>
      <c r="Z4016" s="18" t="s">
        <v>697</v>
      </c>
      <c r="AA4016" s="21" t="str">
        <f>HYPERLINK("https://www.ncbi.nlm.nih.gov/nuccore/AB775548","NCBI Nucleotide")</f>
        <v>NCBI Nucleotide</v>
      </c>
    </row>
    <row r="4017" spans="1:27" x14ac:dyDescent="0.35">
      <c r="A4017">
        <v>1005289</v>
      </c>
      <c r="B4017">
        <v>3993</v>
      </c>
      <c r="C4017">
        <v>1</v>
      </c>
      <c r="D4017" s="17" t="s">
        <v>155</v>
      </c>
      <c r="E4017" s="17"/>
      <c r="F4017" s="17" t="s">
        <v>156</v>
      </c>
      <c r="G4017" s="17"/>
      <c r="H4017" s="17" t="s">
        <v>692</v>
      </c>
      <c r="I4017" s="17"/>
      <c r="J4017" s="17" t="s">
        <v>693</v>
      </c>
      <c r="K4017" s="17"/>
      <c r="L4017" s="17"/>
      <c r="M4017" s="17"/>
      <c r="N4017" s="17"/>
      <c r="O4017" s="17"/>
      <c r="P4017" s="17" t="s">
        <v>2004</v>
      </c>
      <c r="Q4017" s="17"/>
      <c r="R4017" s="25" t="str">
        <f>HYPERLINK("https://ictv.global/taxonomy/taxondetails?taxnode_id=202307853","Hiyaavirus hiyaa")</f>
        <v>Hiyaavirus hiyaa</v>
      </c>
      <c r="S4017" s="18" t="s">
        <v>30</v>
      </c>
      <c r="T4017" s="18" t="s">
        <v>2005</v>
      </c>
      <c r="U4017" s="18"/>
      <c r="V4017" s="18"/>
      <c r="W4017" s="18" t="s">
        <v>2006</v>
      </c>
      <c r="X4017" s="18" t="s">
        <v>42</v>
      </c>
      <c r="Y4017" s="18" t="s">
        <v>36</v>
      </c>
      <c r="Z4017" s="18" t="s">
        <v>697</v>
      </c>
      <c r="AA4017" s="21" t="str">
        <f>HYPERLINK("https://www.ncbi.nlm.nih.gov/nuccore/MK279841","NCBI Nucleotide")</f>
        <v>NCBI Nucleotide</v>
      </c>
    </row>
    <row r="4018" spans="1:27" x14ac:dyDescent="0.35">
      <c r="A4018">
        <v>1005290</v>
      </c>
      <c r="B4018">
        <v>3994</v>
      </c>
      <c r="C4018">
        <v>1</v>
      </c>
      <c r="D4018" s="17" t="s">
        <v>155</v>
      </c>
      <c r="E4018" s="17"/>
      <c r="F4018" s="17" t="s">
        <v>156</v>
      </c>
      <c r="G4018" s="17"/>
      <c r="H4018" s="17" t="s">
        <v>692</v>
      </c>
      <c r="I4018" s="17"/>
      <c r="J4018" s="17" t="s">
        <v>693</v>
      </c>
      <c r="K4018" s="17"/>
      <c r="L4018" s="17"/>
      <c r="M4018" s="17"/>
      <c r="N4018" s="17"/>
      <c r="O4018" s="17"/>
      <c r="P4018" s="17" t="s">
        <v>2007</v>
      </c>
      <c r="Q4018" s="17"/>
      <c r="R4018" s="25" t="str">
        <f>HYPERLINK("https://ictv.global/taxonomy/taxondetails?taxnode_id=202310130","Hnatkovirus DS6A")</f>
        <v>Hnatkovirus DS6A</v>
      </c>
      <c r="S4018" s="18" t="s">
        <v>30</v>
      </c>
      <c r="T4018" s="18" t="s">
        <v>2008</v>
      </c>
      <c r="U4018" s="18"/>
      <c r="V4018" s="18"/>
      <c r="W4018" s="18" t="s">
        <v>2009</v>
      </c>
      <c r="X4018" s="18" t="s">
        <v>42</v>
      </c>
      <c r="Y4018" s="18" t="s">
        <v>36</v>
      </c>
      <c r="Z4018" s="18" t="s">
        <v>697</v>
      </c>
      <c r="AA4018" s="21" t="str">
        <f>HYPERLINK("https://www.ncbi.nlm.nih.gov/nuccore/JN698994","NCBI Nucleotide")</f>
        <v>NCBI Nucleotide</v>
      </c>
    </row>
    <row r="4019" spans="1:27" x14ac:dyDescent="0.35">
      <c r="A4019">
        <v>1025053</v>
      </c>
      <c r="B4019">
        <v>3995</v>
      </c>
      <c r="C4019">
        <v>1</v>
      </c>
      <c r="D4019" s="17" t="s">
        <v>155</v>
      </c>
      <c r="E4019" s="17"/>
      <c r="F4019" s="17" t="s">
        <v>156</v>
      </c>
      <c r="G4019" s="17"/>
      <c r="H4019" s="17" t="s">
        <v>692</v>
      </c>
      <c r="I4019" s="17"/>
      <c r="J4019" s="17" t="s">
        <v>693</v>
      </c>
      <c r="K4019" s="17"/>
      <c r="L4019" s="17"/>
      <c r="M4019" s="17"/>
      <c r="N4019" s="17"/>
      <c r="O4019" s="17"/>
      <c r="P4019" s="17" t="s">
        <v>2010</v>
      </c>
      <c r="Q4019" s="17"/>
      <c r="R4019" s="25" t="str">
        <f>HYPERLINK("https://ictv.global/taxonomy/taxondetails?taxnode_id=202319075","Hollowayvirus E220")</f>
        <v>Hollowayvirus E220</v>
      </c>
      <c r="S4019" s="18" t="s">
        <v>30</v>
      </c>
      <c r="T4019" s="18" t="s">
        <v>39966</v>
      </c>
      <c r="U4019" s="18"/>
      <c r="V4019" s="18"/>
      <c r="W4019" s="18" t="s">
        <v>48533</v>
      </c>
      <c r="X4019" s="18" t="s">
        <v>42</v>
      </c>
      <c r="Y4019" s="18" t="s">
        <v>36</v>
      </c>
      <c r="Z4019" s="18" t="s">
        <v>697</v>
      </c>
      <c r="AA4019" s="21" t="str">
        <f>HYPERLINK("https://www.ncbi.nlm.nih.gov/nuccore/MF490237","NCBI Nucleotide")</f>
        <v>NCBI Nucleotide</v>
      </c>
    </row>
    <row r="4020" spans="1:27" x14ac:dyDescent="0.35">
      <c r="A4020">
        <v>1025054</v>
      </c>
      <c r="B4020">
        <v>3996</v>
      </c>
      <c r="C4020">
        <v>1</v>
      </c>
      <c r="D4020" s="17" t="s">
        <v>155</v>
      </c>
      <c r="E4020" s="17"/>
      <c r="F4020" s="17" t="s">
        <v>156</v>
      </c>
      <c r="G4020" s="17"/>
      <c r="H4020" s="17" t="s">
        <v>692</v>
      </c>
      <c r="I4020" s="17"/>
      <c r="J4020" s="17" t="s">
        <v>693</v>
      </c>
      <c r="K4020" s="17"/>
      <c r="L4020" s="17"/>
      <c r="M4020" s="17"/>
      <c r="N4020" s="17"/>
      <c r="O4020" s="17"/>
      <c r="P4020" s="17" t="s">
        <v>2010</v>
      </c>
      <c r="Q4020" s="17"/>
      <c r="R4020" s="25" t="str">
        <f>HYPERLINK("https://ictv.global/taxonomy/taxondetails?taxnode_id=202319078","Hollowayvirus Epa33")</f>
        <v>Hollowayvirus Epa33</v>
      </c>
      <c r="S4020" s="18" t="s">
        <v>30</v>
      </c>
      <c r="T4020" s="18" t="s">
        <v>39967</v>
      </c>
      <c r="U4020" s="18"/>
      <c r="V4020" s="18"/>
      <c r="W4020" s="18" t="s">
        <v>48534</v>
      </c>
      <c r="X4020" s="18" t="s">
        <v>42</v>
      </c>
      <c r="Y4020" s="18" t="s">
        <v>36</v>
      </c>
      <c r="Z4020" s="18" t="s">
        <v>697</v>
      </c>
      <c r="AA4020" s="21" t="str">
        <f>HYPERLINK("https://www.ncbi.nlm.nih.gov/nuccore/MT118301","NCBI Nucleotide")</f>
        <v>NCBI Nucleotide</v>
      </c>
    </row>
    <row r="4021" spans="1:27" x14ac:dyDescent="0.35">
      <c r="A4021">
        <v>1005291</v>
      </c>
      <c r="B4021">
        <v>3997</v>
      </c>
      <c r="C4021">
        <v>1</v>
      </c>
      <c r="D4021" s="17" t="s">
        <v>155</v>
      </c>
      <c r="E4021" s="17"/>
      <c r="F4021" s="17" t="s">
        <v>156</v>
      </c>
      <c r="G4021" s="17"/>
      <c r="H4021" s="17" t="s">
        <v>692</v>
      </c>
      <c r="I4021" s="17"/>
      <c r="J4021" s="17" t="s">
        <v>693</v>
      </c>
      <c r="K4021" s="17"/>
      <c r="L4021" s="17"/>
      <c r="M4021" s="17"/>
      <c r="N4021" s="17"/>
      <c r="O4021" s="17"/>
      <c r="P4021" s="17" t="s">
        <v>2010</v>
      </c>
      <c r="Q4021" s="17"/>
      <c r="R4021" s="25" t="str">
        <f>HYPERLINK("https://ictv.global/taxonomy/taxondetails?taxnode_id=202300640","Hollowayvirus F116")</f>
        <v>Hollowayvirus F116</v>
      </c>
      <c r="S4021" s="18" t="s">
        <v>30</v>
      </c>
      <c r="T4021" s="18" t="s">
        <v>2011</v>
      </c>
      <c r="U4021" s="18"/>
      <c r="V4021" s="18"/>
      <c r="W4021" s="18" t="s">
        <v>2012</v>
      </c>
      <c r="X4021" s="18" t="s">
        <v>42</v>
      </c>
      <c r="Y4021" s="18" t="s">
        <v>36</v>
      </c>
      <c r="Z4021" s="18" t="s">
        <v>697</v>
      </c>
      <c r="AA4021" s="21" t="str">
        <f>HYPERLINK("https://www.ncbi.nlm.nih.gov/nuccore/AY625898","NCBI Nucleotide")</f>
        <v>NCBI Nucleotide</v>
      </c>
    </row>
    <row r="4022" spans="1:27" x14ac:dyDescent="0.35">
      <c r="A4022">
        <v>1005292</v>
      </c>
      <c r="B4022">
        <v>3998</v>
      </c>
      <c r="C4022">
        <v>1</v>
      </c>
      <c r="D4022" s="17" t="s">
        <v>155</v>
      </c>
      <c r="E4022" s="17"/>
      <c r="F4022" s="17" t="s">
        <v>156</v>
      </c>
      <c r="G4022" s="17"/>
      <c r="H4022" s="17" t="s">
        <v>692</v>
      </c>
      <c r="I4022" s="17"/>
      <c r="J4022" s="17" t="s">
        <v>693</v>
      </c>
      <c r="K4022" s="17"/>
      <c r="L4022" s="17"/>
      <c r="M4022" s="17"/>
      <c r="N4022" s="17"/>
      <c r="O4022" s="17"/>
      <c r="P4022" s="17" t="s">
        <v>2010</v>
      </c>
      <c r="Q4022" s="17"/>
      <c r="R4022" s="25" t="str">
        <f>HYPERLINK("https://ictv.global/taxonomy/taxondetails?taxnode_id=202300641","Hollowayvirus H66")</f>
        <v>Hollowayvirus H66</v>
      </c>
      <c r="S4022" s="18" t="s">
        <v>30</v>
      </c>
      <c r="T4022" s="18" t="s">
        <v>2013</v>
      </c>
      <c r="U4022" s="18"/>
      <c r="V4022" s="18"/>
      <c r="W4022" s="18" t="s">
        <v>2014</v>
      </c>
      <c r="X4022" s="18" t="s">
        <v>42</v>
      </c>
      <c r="Y4022" s="18" t="s">
        <v>36</v>
      </c>
      <c r="Z4022" s="18" t="s">
        <v>697</v>
      </c>
      <c r="AA4022" s="21" t="str">
        <f>HYPERLINK("https://www.ncbi.nlm.nih.gov/nuccore/KC262634","NCBI Nucleotide")</f>
        <v>NCBI Nucleotide</v>
      </c>
    </row>
    <row r="4023" spans="1:27" x14ac:dyDescent="0.35">
      <c r="A4023">
        <v>1025055</v>
      </c>
      <c r="B4023">
        <v>3999</v>
      </c>
      <c r="C4023">
        <v>1</v>
      </c>
      <c r="D4023" s="17" t="s">
        <v>155</v>
      </c>
      <c r="E4023" s="17"/>
      <c r="F4023" s="17" t="s">
        <v>156</v>
      </c>
      <c r="G4023" s="17"/>
      <c r="H4023" s="17" t="s">
        <v>692</v>
      </c>
      <c r="I4023" s="17"/>
      <c r="J4023" s="17" t="s">
        <v>693</v>
      </c>
      <c r="K4023" s="17"/>
      <c r="L4023" s="17"/>
      <c r="M4023" s="17"/>
      <c r="N4023" s="17"/>
      <c r="O4023" s="17"/>
      <c r="P4023" s="17" t="s">
        <v>2010</v>
      </c>
      <c r="Q4023" s="17"/>
      <c r="R4023" s="25" t="str">
        <f>HYPERLINK("https://ictv.global/taxonomy/taxondetails?taxnode_id=202319077","Hollowayvirus LKA5")</f>
        <v>Hollowayvirus LKA5</v>
      </c>
      <c r="S4023" s="18" t="s">
        <v>30</v>
      </c>
      <c r="T4023" s="18" t="s">
        <v>39968</v>
      </c>
      <c r="U4023" s="18"/>
      <c r="V4023" s="18"/>
      <c r="W4023" s="18" t="s">
        <v>48535</v>
      </c>
      <c r="X4023" s="18" t="s">
        <v>42</v>
      </c>
      <c r="Y4023" s="18" t="s">
        <v>36</v>
      </c>
      <c r="Z4023" s="18" t="s">
        <v>697</v>
      </c>
      <c r="AA4023" s="21" t="str">
        <f>HYPERLINK("https://www.ncbi.nlm.nih.gov/nuccore/KC900378","NCBI Nucleotide")</f>
        <v>NCBI Nucleotide</v>
      </c>
    </row>
    <row r="4024" spans="1:27" x14ac:dyDescent="0.35">
      <c r="A4024">
        <v>1025056</v>
      </c>
      <c r="B4024">
        <v>4000</v>
      </c>
      <c r="C4024">
        <v>1</v>
      </c>
      <c r="D4024" s="17" t="s">
        <v>155</v>
      </c>
      <c r="E4024" s="17"/>
      <c r="F4024" s="17" t="s">
        <v>156</v>
      </c>
      <c r="G4024" s="17"/>
      <c r="H4024" s="17" t="s">
        <v>692</v>
      </c>
      <c r="I4024" s="17"/>
      <c r="J4024" s="17" t="s">
        <v>693</v>
      </c>
      <c r="K4024" s="17"/>
      <c r="L4024" s="17"/>
      <c r="M4024" s="17"/>
      <c r="N4024" s="17"/>
      <c r="O4024" s="17"/>
      <c r="P4024" s="17" t="s">
        <v>2010</v>
      </c>
      <c r="Q4024" s="17"/>
      <c r="R4024" s="25" t="str">
        <f>HYPERLINK("https://ictv.global/taxonomy/taxondetails?taxnode_id=202319074","Hollowayvirus PA8")</f>
        <v>Hollowayvirus PA8</v>
      </c>
      <c r="S4024" s="18" t="s">
        <v>30</v>
      </c>
      <c r="T4024" s="18" t="s">
        <v>39969</v>
      </c>
      <c r="U4024" s="18"/>
      <c r="V4024" s="18"/>
      <c r="W4024" s="18" t="s">
        <v>48536</v>
      </c>
      <c r="X4024" s="18" t="s">
        <v>42</v>
      </c>
      <c r="Y4024" s="18" t="s">
        <v>36</v>
      </c>
      <c r="Z4024" s="18" t="s">
        <v>697</v>
      </c>
      <c r="AA4024" s="21" t="str">
        <f>HYPERLINK("https://www.ncbi.nlm.nih.gov/nuccore/MZ285879","NCBI Nucleotide")</f>
        <v>NCBI Nucleotide</v>
      </c>
    </row>
    <row r="4025" spans="1:27" x14ac:dyDescent="0.35">
      <c r="A4025">
        <v>1025057</v>
      </c>
      <c r="B4025">
        <v>4001</v>
      </c>
      <c r="C4025">
        <v>1</v>
      </c>
      <c r="D4025" s="17" t="s">
        <v>155</v>
      </c>
      <c r="E4025" s="17"/>
      <c r="F4025" s="17" t="s">
        <v>156</v>
      </c>
      <c r="G4025" s="17"/>
      <c r="H4025" s="17" t="s">
        <v>692</v>
      </c>
      <c r="I4025" s="17"/>
      <c r="J4025" s="17" t="s">
        <v>693</v>
      </c>
      <c r="K4025" s="17"/>
      <c r="L4025" s="17"/>
      <c r="M4025" s="17"/>
      <c r="N4025" s="17"/>
      <c r="O4025" s="17"/>
      <c r="P4025" s="17" t="s">
        <v>2010</v>
      </c>
      <c r="Q4025" s="17"/>
      <c r="R4025" s="25" t="str">
        <f>HYPERLINK("https://ictv.global/taxonomy/taxondetails?taxnode_id=202319076","Hollowayvirus phiC725A")</f>
        <v>Hollowayvirus phiC725A</v>
      </c>
      <c r="S4025" s="18" t="s">
        <v>30</v>
      </c>
      <c r="T4025" s="18" t="s">
        <v>39970</v>
      </c>
      <c r="U4025" s="18"/>
      <c r="V4025" s="18"/>
      <c r="W4025" s="18" t="s">
        <v>48537</v>
      </c>
      <c r="X4025" s="18" t="s">
        <v>42</v>
      </c>
      <c r="Y4025" s="18" t="s">
        <v>36</v>
      </c>
      <c r="Z4025" s="18" t="s">
        <v>697</v>
      </c>
      <c r="AA4025" s="21" t="str">
        <f>HYPERLINK("https://www.ncbi.nlm.nih.gov/nuccore/LT603684","NCBI Nucleotide")</f>
        <v>NCBI Nucleotide</v>
      </c>
    </row>
    <row r="4026" spans="1:27" x14ac:dyDescent="0.35">
      <c r="A4026">
        <v>1005293</v>
      </c>
      <c r="B4026">
        <v>4002</v>
      </c>
      <c r="C4026">
        <v>1</v>
      </c>
      <c r="D4026" s="17" t="s">
        <v>155</v>
      </c>
      <c r="E4026" s="17"/>
      <c r="F4026" s="17" t="s">
        <v>156</v>
      </c>
      <c r="G4026" s="17"/>
      <c r="H4026" s="17" t="s">
        <v>692</v>
      </c>
      <c r="I4026" s="17"/>
      <c r="J4026" s="17" t="s">
        <v>693</v>
      </c>
      <c r="K4026" s="17"/>
      <c r="L4026" s="17"/>
      <c r="M4026" s="17"/>
      <c r="N4026" s="17"/>
      <c r="O4026" s="17"/>
      <c r="P4026" s="17" t="s">
        <v>2015</v>
      </c>
      <c r="Q4026" s="17"/>
      <c r="R4026" s="25" t="str">
        <f>HYPERLINK("https://ictv.global/taxonomy/taxondetails?taxnode_id=202306830","Holosalinivirus M1EM1")</f>
        <v>Holosalinivirus M1EM1</v>
      </c>
      <c r="S4026" s="18" t="s">
        <v>30</v>
      </c>
      <c r="T4026" s="18" t="s">
        <v>2016</v>
      </c>
      <c r="U4026" s="18"/>
      <c r="V4026" s="18"/>
      <c r="W4026" s="18" t="s">
        <v>2017</v>
      </c>
      <c r="X4026" s="18" t="s">
        <v>2018</v>
      </c>
      <c r="Y4026" s="18" t="s">
        <v>36</v>
      </c>
      <c r="Z4026" s="18" t="s">
        <v>697</v>
      </c>
      <c r="AA4026" s="21" t="str">
        <f>HYPERLINK("https://www.ncbi.nlm.nih.gov/nuccore/MF580955","NCBI Nucleotide")</f>
        <v>NCBI Nucleotide</v>
      </c>
    </row>
    <row r="4027" spans="1:27" x14ac:dyDescent="0.35">
      <c r="A4027">
        <v>1005294</v>
      </c>
      <c r="B4027">
        <v>4003</v>
      </c>
      <c r="C4027">
        <v>1</v>
      </c>
      <c r="D4027" s="17" t="s">
        <v>155</v>
      </c>
      <c r="E4027" s="17"/>
      <c r="F4027" s="17" t="s">
        <v>156</v>
      </c>
      <c r="G4027" s="17"/>
      <c r="H4027" s="17" t="s">
        <v>692</v>
      </c>
      <c r="I4027" s="17"/>
      <c r="J4027" s="17" t="s">
        <v>693</v>
      </c>
      <c r="K4027" s="17"/>
      <c r="L4027" s="17"/>
      <c r="M4027" s="17"/>
      <c r="N4027" s="17"/>
      <c r="O4027" s="17"/>
      <c r="P4027" s="17" t="s">
        <v>2015</v>
      </c>
      <c r="Q4027" s="17"/>
      <c r="R4027" s="25" t="str">
        <f>HYPERLINK("https://ictv.global/taxonomy/taxondetails?taxnode_id=202306829","Holosalinivirus M8CR302")</f>
        <v>Holosalinivirus M8CR302</v>
      </c>
      <c r="S4027" s="18" t="s">
        <v>30</v>
      </c>
      <c r="T4027" s="18" t="s">
        <v>2019</v>
      </c>
      <c r="U4027" s="18"/>
      <c r="V4027" s="18"/>
      <c r="W4027" s="18" t="s">
        <v>2020</v>
      </c>
      <c r="X4027" s="18" t="s">
        <v>42</v>
      </c>
      <c r="Y4027" s="18" t="s">
        <v>36</v>
      </c>
      <c r="Z4027" s="18" t="s">
        <v>697</v>
      </c>
      <c r="AA4027" s="21" t="str">
        <f>HYPERLINK("https://www.ncbi.nlm.nih.gov/nuccore/MF580957","NCBI Nucleotide")</f>
        <v>NCBI Nucleotide</v>
      </c>
    </row>
    <row r="4028" spans="1:27" x14ac:dyDescent="0.35">
      <c r="A4028">
        <v>1005297</v>
      </c>
      <c r="B4028">
        <v>4004</v>
      </c>
      <c r="C4028">
        <v>1</v>
      </c>
      <c r="D4028" s="17" t="s">
        <v>155</v>
      </c>
      <c r="E4028" s="17"/>
      <c r="F4028" s="17" t="s">
        <v>156</v>
      </c>
      <c r="G4028" s="17"/>
      <c r="H4028" s="17" t="s">
        <v>692</v>
      </c>
      <c r="I4028" s="17"/>
      <c r="J4028" s="17" t="s">
        <v>693</v>
      </c>
      <c r="K4028" s="17"/>
      <c r="L4028" s="17"/>
      <c r="M4028" s="17"/>
      <c r="N4028" s="17"/>
      <c r="O4028" s="17"/>
      <c r="P4028" s="17" t="s">
        <v>2021</v>
      </c>
      <c r="Q4028" s="17"/>
      <c r="R4028" s="25" t="str">
        <f>HYPERLINK("https://ictv.global/taxonomy/taxondetails?taxnode_id=202301111","Homburgvirus LP26")</f>
        <v>Homburgvirus LP26</v>
      </c>
      <c r="S4028" s="18" t="s">
        <v>30</v>
      </c>
      <c r="T4028" s="18" t="s">
        <v>2026</v>
      </c>
      <c r="U4028" s="18"/>
      <c r="V4028" s="18"/>
      <c r="W4028" s="18" t="s">
        <v>2027</v>
      </c>
      <c r="X4028" s="18" t="s">
        <v>42</v>
      </c>
      <c r="Y4028" s="18" t="s">
        <v>36</v>
      </c>
      <c r="Z4028" s="18" t="s">
        <v>697</v>
      </c>
      <c r="AA4028" s="21" t="str">
        <f>HYPERLINK("https://www.ncbi.nlm.nih.gov/nuccore/KJ094020","NCBI Nucleotide")</f>
        <v>NCBI Nucleotide</v>
      </c>
    </row>
    <row r="4029" spans="1:27" x14ac:dyDescent="0.35">
      <c r="A4029">
        <v>1005298</v>
      </c>
      <c r="B4029">
        <v>4005</v>
      </c>
      <c r="C4029">
        <v>1</v>
      </c>
      <c r="D4029" s="17" t="s">
        <v>155</v>
      </c>
      <c r="E4029" s="17"/>
      <c r="F4029" s="17" t="s">
        <v>156</v>
      </c>
      <c r="G4029" s="17"/>
      <c r="H4029" s="17" t="s">
        <v>692</v>
      </c>
      <c r="I4029" s="17"/>
      <c r="J4029" s="17" t="s">
        <v>693</v>
      </c>
      <c r="K4029" s="17"/>
      <c r="L4029" s="17"/>
      <c r="M4029" s="17"/>
      <c r="N4029" s="17"/>
      <c r="O4029" s="17"/>
      <c r="P4029" s="17" t="s">
        <v>2021</v>
      </c>
      <c r="Q4029" s="17"/>
      <c r="R4029" s="25" t="str">
        <f>HYPERLINK("https://ictv.global/taxonomy/taxondetails?taxnode_id=202301112","Homburgvirus LP37")</f>
        <v>Homburgvirus LP37</v>
      </c>
      <c r="S4029" s="18" t="s">
        <v>30</v>
      </c>
      <c r="T4029" s="18" t="s">
        <v>2028</v>
      </c>
      <c r="U4029" s="18"/>
      <c r="V4029" s="18"/>
      <c r="W4029" s="18" t="s">
        <v>2029</v>
      </c>
      <c r="X4029" s="18" t="s">
        <v>42</v>
      </c>
      <c r="Y4029" s="18" t="s">
        <v>36</v>
      </c>
      <c r="Z4029" s="18" t="s">
        <v>697</v>
      </c>
      <c r="AA4029" s="21" t="str">
        <f>HYPERLINK("https://www.ncbi.nlm.nih.gov/nuccore/JX126920","NCBI Nucleotide")</f>
        <v>NCBI Nucleotide</v>
      </c>
    </row>
    <row r="4030" spans="1:27" x14ac:dyDescent="0.35">
      <c r="A4030">
        <v>1005295</v>
      </c>
      <c r="B4030">
        <v>4006</v>
      </c>
      <c r="C4030">
        <v>1</v>
      </c>
      <c r="D4030" s="17" t="s">
        <v>155</v>
      </c>
      <c r="E4030" s="17"/>
      <c r="F4030" s="17" t="s">
        <v>156</v>
      </c>
      <c r="G4030" s="17"/>
      <c r="H4030" s="17" t="s">
        <v>692</v>
      </c>
      <c r="I4030" s="17"/>
      <c r="J4030" s="17" t="s">
        <v>693</v>
      </c>
      <c r="K4030" s="17"/>
      <c r="L4030" s="17"/>
      <c r="M4030" s="17"/>
      <c r="N4030" s="17"/>
      <c r="O4030" s="17"/>
      <c r="P4030" s="17" t="s">
        <v>2021</v>
      </c>
      <c r="Q4030" s="17"/>
      <c r="R4030" s="25" t="str">
        <f>HYPERLINK("https://ictv.global/taxonomy/taxondetails?taxnode_id=202301113","Homburgvirus LP110")</f>
        <v>Homburgvirus LP110</v>
      </c>
      <c r="S4030" s="18" t="s">
        <v>30</v>
      </c>
      <c r="T4030" s="18" t="s">
        <v>2022</v>
      </c>
      <c r="U4030" s="18"/>
      <c r="V4030" s="18"/>
      <c r="W4030" s="18" t="s">
        <v>2023</v>
      </c>
      <c r="X4030" s="18" t="s">
        <v>42</v>
      </c>
      <c r="Y4030" s="18" t="s">
        <v>36</v>
      </c>
      <c r="Z4030" s="18" t="s">
        <v>697</v>
      </c>
      <c r="AA4030" s="21" t="str">
        <f>HYPERLINK("https://www.ncbi.nlm.nih.gov/nuccore/JX126919","NCBI Nucleotide")</f>
        <v>NCBI Nucleotide</v>
      </c>
    </row>
    <row r="4031" spans="1:27" x14ac:dyDescent="0.35">
      <c r="A4031">
        <v>1005296</v>
      </c>
      <c r="B4031">
        <v>4007</v>
      </c>
      <c r="C4031">
        <v>1</v>
      </c>
      <c r="D4031" s="17" t="s">
        <v>155</v>
      </c>
      <c r="E4031" s="17"/>
      <c r="F4031" s="17" t="s">
        <v>156</v>
      </c>
      <c r="G4031" s="17"/>
      <c r="H4031" s="17" t="s">
        <v>692</v>
      </c>
      <c r="I4031" s="17"/>
      <c r="J4031" s="17" t="s">
        <v>693</v>
      </c>
      <c r="K4031" s="17"/>
      <c r="L4031" s="17"/>
      <c r="M4031" s="17"/>
      <c r="N4031" s="17"/>
      <c r="O4031" s="17"/>
      <c r="P4031" s="17" t="s">
        <v>2021</v>
      </c>
      <c r="Q4031" s="17"/>
      <c r="R4031" s="25" t="str">
        <f>HYPERLINK("https://ictv.global/taxonomy/taxondetails?taxnode_id=202301114","Homburgvirus LP114")</f>
        <v>Homburgvirus LP114</v>
      </c>
      <c r="S4031" s="18" t="s">
        <v>30</v>
      </c>
      <c r="T4031" s="18" t="s">
        <v>2024</v>
      </c>
      <c r="U4031" s="18"/>
      <c r="V4031" s="18"/>
      <c r="W4031" s="18" t="s">
        <v>2025</v>
      </c>
      <c r="X4031" s="18" t="s">
        <v>42</v>
      </c>
      <c r="Y4031" s="18" t="s">
        <v>36</v>
      </c>
      <c r="Z4031" s="18" t="s">
        <v>697</v>
      </c>
      <c r="AA4031" s="21" t="str">
        <f>HYPERLINK("https://www.ncbi.nlm.nih.gov/nuccore/KJ094021","NCBI Nucleotide")</f>
        <v>NCBI Nucleotide</v>
      </c>
    </row>
    <row r="4032" spans="1:27" x14ac:dyDescent="0.35">
      <c r="A4032">
        <v>1005299</v>
      </c>
      <c r="B4032">
        <v>4008</v>
      </c>
      <c r="C4032">
        <v>1</v>
      </c>
      <c r="D4032" s="17" t="s">
        <v>155</v>
      </c>
      <c r="E4032" s="17"/>
      <c r="F4032" s="17" t="s">
        <v>156</v>
      </c>
      <c r="G4032" s="17"/>
      <c r="H4032" s="17" t="s">
        <v>692</v>
      </c>
      <c r="I4032" s="17"/>
      <c r="J4032" s="17" t="s">
        <v>693</v>
      </c>
      <c r="K4032" s="17"/>
      <c r="L4032" s="17"/>
      <c r="M4032" s="17"/>
      <c r="N4032" s="17"/>
      <c r="O4032" s="17"/>
      <c r="P4032" s="17" t="s">
        <v>2021</v>
      </c>
      <c r="Q4032" s="17"/>
      <c r="R4032" s="25" t="str">
        <f>HYPERLINK("https://ictv.global/taxonomy/taxondetails?taxnode_id=202301115","Homburgvirus P70")</f>
        <v>Homburgvirus P70</v>
      </c>
      <c r="S4032" s="18" t="s">
        <v>30</v>
      </c>
      <c r="T4032" s="18" t="s">
        <v>2030</v>
      </c>
      <c r="U4032" s="18"/>
      <c r="V4032" s="18"/>
      <c r="W4032" s="18" t="s">
        <v>2031</v>
      </c>
      <c r="X4032" s="18" t="s">
        <v>42</v>
      </c>
      <c r="Y4032" s="18" t="s">
        <v>36</v>
      </c>
      <c r="Z4032" s="18" t="s">
        <v>697</v>
      </c>
      <c r="AA4032" s="21" t="str">
        <f>HYPERLINK("https://www.ncbi.nlm.nih.gov/nuccore/JX442241","NCBI Nucleotide")</f>
        <v>NCBI Nucleotide</v>
      </c>
    </row>
    <row r="4033" spans="1:27" x14ac:dyDescent="0.35">
      <c r="A4033">
        <v>1005300</v>
      </c>
      <c r="B4033">
        <v>4009</v>
      </c>
      <c r="C4033">
        <v>1</v>
      </c>
      <c r="D4033" s="17" t="s">
        <v>155</v>
      </c>
      <c r="E4033" s="17"/>
      <c r="F4033" s="17" t="s">
        <v>156</v>
      </c>
      <c r="G4033" s="17"/>
      <c r="H4033" s="17" t="s">
        <v>692</v>
      </c>
      <c r="I4033" s="17"/>
      <c r="J4033" s="17" t="s">
        <v>693</v>
      </c>
      <c r="K4033" s="17"/>
      <c r="L4033" s="17"/>
      <c r="M4033" s="17"/>
      <c r="N4033" s="17"/>
      <c r="O4033" s="17"/>
      <c r="P4033" s="17" t="s">
        <v>2032</v>
      </c>
      <c r="Q4033" s="17"/>
      <c r="R4033" s="25" t="str">
        <f>HYPERLINK("https://ictv.global/taxonomy/taxondetails?taxnode_id=202314922","Howevirus howe")</f>
        <v>Howevirus howe</v>
      </c>
      <c r="S4033" s="18" t="s">
        <v>30</v>
      </c>
      <c r="T4033" s="18" t="s">
        <v>2033</v>
      </c>
      <c r="U4033" s="18"/>
      <c r="V4033" s="18"/>
      <c r="W4033" s="18" t="s">
        <v>2034</v>
      </c>
      <c r="X4033" s="18" t="s">
        <v>42</v>
      </c>
      <c r="Y4033" s="18" t="s">
        <v>36</v>
      </c>
      <c r="Z4033" s="18" t="s">
        <v>697</v>
      </c>
      <c r="AA4033" s="21" t="str">
        <f>HYPERLINK("https://www.ncbi.nlm.nih.gov/nuccore/KU252585","NCBI Nucleotide")</f>
        <v>NCBI Nucleotide</v>
      </c>
    </row>
    <row r="4034" spans="1:27" x14ac:dyDescent="0.35">
      <c r="A4034">
        <v>1005301</v>
      </c>
      <c r="B4034">
        <v>4010</v>
      </c>
      <c r="C4034">
        <v>1</v>
      </c>
      <c r="D4034" s="17" t="s">
        <v>155</v>
      </c>
      <c r="E4034" s="17"/>
      <c r="F4034" s="17" t="s">
        <v>156</v>
      </c>
      <c r="G4034" s="17"/>
      <c r="H4034" s="17" t="s">
        <v>692</v>
      </c>
      <c r="I4034" s="17"/>
      <c r="J4034" s="17" t="s">
        <v>693</v>
      </c>
      <c r="K4034" s="17"/>
      <c r="L4034" s="17"/>
      <c r="M4034" s="17"/>
      <c r="N4034" s="17"/>
      <c r="O4034" s="17"/>
      <c r="P4034" s="17" t="s">
        <v>2032</v>
      </c>
      <c r="Q4034" s="17"/>
      <c r="R4034" s="25" t="str">
        <f>HYPERLINK("https://ictv.global/taxonomy/taxondetails?taxnode_id=202314923","Howevirus mcklovin")</f>
        <v>Howevirus mcklovin</v>
      </c>
      <c r="S4034" s="18" t="s">
        <v>30</v>
      </c>
      <c r="T4034" s="18" t="s">
        <v>2035</v>
      </c>
      <c r="U4034" s="18"/>
      <c r="V4034" s="18"/>
      <c r="W4034" s="18" t="s">
        <v>2036</v>
      </c>
      <c r="X4034" s="18" t="s">
        <v>42</v>
      </c>
      <c r="Y4034" s="18" t="s">
        <v>36</v>
      </c>
      <c r="Z4034" s="18" t="s">
        <v>697</v>
      </c>
      <c r="AA4034" s="21" t="str">
        <f>HYPERLINK("https://www.ncbi.nlm.nih.gov/nuccore/MN428055","NCBI Nucleotide")</f>
        <v>NCBI Nucleotide</v>
      </c>
    </row>
    <row r="4035" spans="1:27" x14ac:dyDescent="0.35">
      <c r="A4035">
        <v>1005302</v>
      </c>
      <c r="B4035">
        <v>4011</v>
      </c>
      <c r="C4035">
        <v>1</v>
      </c>
      <c r="D4035" s="17" t="s">
        <v>155</v>
      </c>
      <c r="E4035" s="17"/>
      <c r="F4035" s="17" t="s">
        <v>156</v>
      </c>
      <c r="G4035" s="17"/>
      <c r="H4035" s="17" t="s">
        <v>692</v>
      </c>
      <c r="I4035" s="17"/>
      <c r="J4035" s="17" t="s">
        <v>693</v>
      </c>
      <c r="K4035" s="17"/>
      <c r="L4035" s="17"/>
      <c r="M4035" s="17"/>
      <c r="N4035" s="17"/>
      <c r="O4035" s="17"/>
      <c r="P4035" s="17" t="s">
        <v>2037</v>
      </c>
      <c r="Q4035" s="17"/>
      <c r="R4035" s="25" t="str">
        <f>HYPERLINK("https://ictv.global/taxonomy/taxondetails?taxnode_id=202310133","Hubeivirus MY192")</f>
        <v>Hubeivirus MY192</v>
      </c>
      <c r="S4035" s="18" t="s">
        <v>30</v>
      </c>
      <c r="T4035" s="18" t="s">
        <v>2038</v>
      </c>
      <c r="U4035" s="18"/>
      <c r="V4035" s="18"/>
      <c r="W4035" s="18" t="s">
        <v>2039</v>
      </c>
      <c r="X4035" s="18" t="s">
        <v>42</v>
      </c>
      <c r="Y4035" s="18" t="s">
        <v>36</v>
      </c>
      <c r="Z4035" s="18" t="s">
        <v>697</v>
      </c>
      <c r="AA4035" s="21" t="str">
        <f>HYPERLINK("https://www.ncbi.nlm.nih.gov/nuccore/KT725776","NCBI Nucleotide")</f>
        <v>NCBI Nucleotide</v>
      </c>
    </row>
    <row r="4036" spans="1:27" x14ac:dyDescent="0.35">
      <c r="A4036">
        <v>1005303</v>
      </c>
      <c r="B4036">
        <v>4012</v>
      </c>
      <c r="C4036">
        <v>1</v>
      </c>
      <c r="D4036" s="17" t="s">
        <v>155</v>
      </c>
      <c r="E4036" s="17"/>
      <c r="F4036" s="17" t="s">
        <v>156</v>
      </c>
      <c r="G4036" s="17"/>
      <c r="H4036" s="17" t="s">
        <v>692</v>
      </c>
      <c r="I4036" s="17"/>
      <c r="J4036" s="17" t="s">
        <v>693</v>
      </c>
      <c r="K4036" s="17"/>
      <c r="L4036" s="17"/>
      <c r="M4036" s="17"/>
      <c r="N4036" s="17"/>
      <c r="O4036" s="17"/>
      <c r="P4036" s="17" t="s">
        <v>2037</v>
      </c>
      <c r="Q4036" s="17"/>
      <c r="R4036" s="25" t="str">
        <f>HYPERLINK("https://ictv.global/taxonomy/taxondetails?taxnode_id=202310132","Hubeivirus PfEFR4")</f>
        <v>Hubeivirus PfEFR4</v>
      </c>
      <c r="S4036" s="18" t="s">
        <v>30</v>
      </c>
      <c r="T4036" s="18" t="s">
        <v>2040</v>
      </c>
      <c r="U4036" s="18"/>
      <c r="V4036" s="18"/>
      <c r="W4036" s="18" t="s">
        <v>2041</v>
      </c>
      <c r="X4036" s="18" t="s">
        <v>42</v>
      </c>
      <c r="Y4036" s="18" t="s">
        <v>36</v>
      </c>
      <c r="Z4036" s="18" t="s">
        <v>697</v>
      </c>
      <c r="AA4036" s="21" t="str">
        <f>HYPERLINK("https://www.ncbi.nlm.nih.gov/nuccore/KX227757","NCBI Nucleotide")</f>
        <v>NCBI Nucleotide</v>
      </c>
    </row>
    <row r="4037" spans="1:27" x14ac:dyDescent="0.35">
      <c r="A4037">
        <v>1025058</v>
      </c>
      <c r="B4037">
        <v>4013</v>
      </c>
      <c r="C4037">
        <v>1</v>
      </c>
      <c r="D4037" s="17" t="s">
        <v>155</v>
      </c>
      <c r="E4037" s="17"/>
      <c r="F4037" s="17" t="s">
        <v>156</v>
      </c>
      <c r="G4037" s="17"/>
      <c r="H4037" s="17" t="s">
        <v>692</v>
      </c>
      <c r="I4037" s="17"/>
      <c r="J4037" s="17" t="s">
        <v>693</v>
      </c>
      <c r="K4037" s="17"/>
      <c r="L4037" s="17"/>
      <c r="M4037" s="17"/>
      <c r="N4037" s="17"/>
      <c r="O4037" s="17"/>
      <c r="P4037" s="17" t="s">
        <v>39971</v>
      </c>
      <c r="Q4037" s="17"/>
      <c r="R4037" s="25" t="str">
        <f>HYPERLINK("https://ictv.global/taxonomy/taxondetails?taxnode_id=202318573","Hulijingvirus LC313")</f>
        <v>Hulijingvirus LC313</v>
      </c>
      <c r="S4037" s="18" t="s">
        <v>30</v>
      </c>
      <c r="T4037" s="18" t="s">
        <v>39972</v>
      </c>
      <c r="U4037" s="18"/>
      <c r="V4037" s="18"/>
      <c r="W4037" s="18" t="s">
        <v>48538</v>
      </c>
      <c r="X4037" s="18" t="s">
        <v>42</v>
      </c>
      <c r="Y4037" s="18" t="s">
        <v>36</v>
      </c>
      <c r="Z4037" s="18" t="s">
        <v>697</v>
      </c>
      <c r="AA4037" s="21" t="str">
        <f>HYPERLINK("https://www.ncbi.nlm.nih.gov/nuccore/ON778007","NCBI Nucleotide")</f>
        <v>NCBI Nucleotide</v>
      </c>
    </row>
    <row r="4038" spans="1:27" x14ac:dyDescent="0.35">
      <c r="A4038">
        <v>1005304</v>
      </c>
      <c r="B4038">
        <v>4014</v>
      </c>
      <c r="C4038">
        <v>1</v>
      </c>
      <c r="D4038" s="17" t="s">
        <v>155</v>
      </c>
      <c r="E4038" s="17"/>
      <c r="F4038" s="17" t="s">
        <v>156</v>
      </c>
      <c r="G4038" s="17"/>
      <c r="H4038" s="17" t="s">
        <v>692</v>
      </c>
      <c r="I4038" s="17"/>
      <c r="J4038" s="17" t="s">
        <v>693</v>
      </c>
      <c r="K4038" s="17"/>
      <c r="L4038" s="17"/>
      <c r="M4038" s="17"/>
      <c r="N4038" s="17"/>
      <c r="O4038" s="17"/>
      <c r="P4038" s="17" t="s">
        <v>2042</v>
      </c>
      <c r="Q4038" s="17"/>
      <c r="R4038" s="25" t="str">
        <f>HYPERLINK("https://ictv.global/taxonomy/taxondetails?taxnode_id=202307995","Hungariovirus C1302")</f>
        <v>Hungariovirus C1302</v>
      </c>
      <c r="S4038" s="18" t="s">
        <v>30</v>
      </c>
      <c r="T4038" s="18" t="s">
        <v>2043</v>
      </c>
      <c r="U4038" s="18"/>
      <c r="V4038" s="18"/>
      <c r="W4038" s="18" t="s">
        <v>2044</v>
      </c>
      <c r="X4038" s="18" t="s">
        <v>42</v>
      </c>
      <c r="Y4038" s="18" t="s">
        <v>36</v>
      </c>
      <c r="Z4038" s="18" t="s">
        <v>697</v>
      </c>
      <c r="AA4038" s="21" t="str">
        <f>HYPERLINK("https://www.ncbi.nlm.nih.gov/nuccore/MH363708","NCBI Nucleotide")</f>
        <v>NCBI Nucleotide</v>
      </c>
    </row>
    <row r="4039" spans="1:27" x14ac:dyDescent="0.35">
      <c r="A4039">
        <v>1005305</v>
      </c>
      <c r="B4039">
        <v>4015</v>
      </c>
      <c r="C4039">
        <v>1</v>
      </c>
      <c r="D4039" s="17" t="s">
        <v>155</v>
      </c>
      <c r="E4039" s="17"/>
      <c r="F4039" s="17" t="s">
        <v>156</v>
      </c>
      <c r="G4039" s="17"/>
      <c r="H4039" s="17" t="s">
        <v>692</v>
      </c>
      <c r="I4039" s="17"/>
      <c r="J4039" s="17" t="s">
        <v>693</v>
      </c>
      <c r="K4039" s="17"/>
      <c r="L4039" s="17"/>
      <c r="M4039" s="17"/>
      <c r="N4039" s="17"/>
      <c r="O4039" s="17"/>
      <c r="P4039" s="17" t="s">
        <v>2045</v>
      </c>
      <c r="Q4039" s="17"/>
      <c r="R4039" s="25" t="str">
        <f>HYPERLINK("https://ictv.global/taxonomy/taxondetails?taxnode_id=202310189","Iaduovirus iA2")</f>
        <v>Iaduovirus iA2</v>
      </c>
      <c r="S4039" s="18" t="s">
        <v>30</v>
      </c>
      <c r="T4039" s="18" t="s">
        <v>2046</v>
      </c>
      <c r="U4039" s="18"/>
      <c r="V4039" s="18"/>
      <c r="W4039" s="18" t="s">
        <v>2047</v>
      </c>
      <c r="X4039" s="18" t="s">
        <v>42</v>
      </c>
      <c r="Y4039" s="18" t="s">
        <v>36</v>
      </c>
      <c r="Z4039" s="18" t="s">
        <v>697</v>
      </c>
      <c r="AA4039" s="21" t="str">
        <f>HYPERLINK("https://www.ncbi.nlm.nih.gov/nuccore/KR905068","NCBI Nucleotide")</f>
        <v>NCBI Nucleotide</v>
      </c>
    </row>
    <row r="4040" spans="1:27" x14ac:dyDescent="0.35">
      <c r="A4040">
        <v>1025067</v>
      </c>
      <c r="B4040">
        <v>4016</v>
      </c>
      <c r="C4040">
        <v>1</v>
      </c>
      <c r="D4040" s="17" t="s">
        <v>155</v>
      </c>
      <c r="E4040" s="17"/>
      <c r="F4040" s="17" t="s">
        <v>156</v>
      </c>
      <c r="G4040" s="17"/>
      <c r="H4040" s="17" t="s">
        <v>692</v>
      </c>
      <c r="I4040" s="17"/>
      <c r="J4040" s="17" t="s">
        <v>693</v>
      </c>
      <c r="K4040" s="17"/>
      <c r="L4040" s="17"/>
      <c r="M4040" s="17"/>
      <c r="N4040" s="17"/>
      <c r="O4040" s="17"/>
      <c r="P4040" s="17" t="s">
        <v>39973</v>
      </c>
      <c r="Q4040" s="17"/>
      <c r="R4040" s="25" t="str">
        <f>HYPERLINK("https://ictv.global/taxonomy/taxondetails?taxnode_id=202317758","Ibantikvirus ibantik")</f>
        <v>Ibantikvirus ibantik</v>
      </c>
      <c r="S4040" s="18" t="s">
        <v>30</v>
      </c>
      <c r="T4040" s="18" t="s">
        <v>39974</v>
      </c>
      <c r="U4040" s="18"/>
      <c r="V4040" s="18"/>
      <c r="W4040" s="18" t="s">
        <v>48539</v>
      </c>
      <c r="X4040" s="18" t="s">
        <v>42</v>
      </c>
      <c r="Y4040" s="18" t="s">
        <v>36</v>
      </c>
      <c r="Z4040" s="18" t="s">
        <v>697</v>
      </c>
      <c r="AA4040" s="21" t="str">
        <f>HYPERLINK("https://www.ncbi.nlm.nih.gov/nuccore/MH155870","NCBI Nucleotide")</f>
        <v>NCBI Nucleotide</v>
      </c>
    </row>
    <row r="4041" spans="1:27" x14ac:dyDescent="0.35">
      <c r="A4041">
        <v>1025069</v>
      </c>
      <c r="B4041">
        <v>4017</v>
      </c>
      <c r="C4041">
        <v>1</v>
      </c>
      <c r="D4041" s="17" t="s">
        <v>155</v>
      </c>
      <c r="E4041" s="17"/>
      <c r="F4041" s="17" t="s">
        <v>156</v>
      </c>
      <c r="G4041" s="17"/>
      <c r="H4041" s="17" t="s">
        <v>692</v>
      </c>
      <c r="I4041" s="17"/>
      <c r="J4041" s="17" t="s">
        <v>693</v>
      </c>
      <c r="K4041" s="17"/>
      <c r="L4041" s="17"/>
      <c r="M4041" s="17"/>
      <c r="N4041" s="17"/>
      <c r="O4041" s="17"/>
      <c r="P4041" s="17" t="s">
        <v>39975</v>
      </c>
      <c r="Q4041" s="17"/>
      <c r="R4041" s="25" t="str">
        <f>HYPERLINK("https://ictv.global/taxonomy/taxondetails?taxnode_id=202317759","Identitycrisisvirus identitycrisis")</f>
        <v>Identitycrisisvirus identitycrisis</v>
      </c>
      <c r="S4041" s="18" t="s">
        <v>30</v>
      </c>
      <c r="T4041" s="18" t="s">
        <v>39976</v>
      </c>
      <c r="U4041" s="18"/>
      <c r="V4041" s="18"/>
      <c r="W4041" s="18" t="s">
        <v>48540</v>
      </c>
      <c r="X4041" s="18" t="s">
        <v>42</v>
      </c>
      <c r="Y4041" s="18" t="s">
        <v>36</v>
      </c>
      <c r="Z4041" s="18" t="s">
        <v>697</v>
      </c>
      <c r="AA4041" s="21" t="str">
        <f>HYPERLINK("https://www.ncbi.nlm.nih.gov/nuccore/MN234184","NCBI Nucleotide")</f>
        <v>NCBI Nucleotide</v>
      </c>
    </row>
    <row r="4042" spans="1:27" x14ac:dyDescent="0.35">
      <c r="A4042">
        <v>1025059</v>
      </c>
      <c r="B4042">
        <v>4018</v>
      </c>
      <c r="C4042">
        <v>1</v>
      </c>
      <c r="D4042" s="17" t="s">
        <v>155</v>
      </c>
      <c r="E4042" s="17"/>
      <c r="F4042" s="17" t="s">
        <v>156</v>
      </c>
      <c r="G4042" s="17"/>
      <c r="H4042" s="17" t="s">
        <v>692</v>
      </c>
      <c r="I4042" s="17"/>
      <c r="J4042" s="17" t="s">
        <v>693</v>
      </c>
      <c r="K4042" s="17"/>
      <c r="L4042" s="17"/>
      <c r="M4042" s="17"/>
      <c r="N4042" s="17"/>
      <c r="O4042" s="17"/>
      <c r="P4042" s="17" t="s">
        <v>39977</v>
      </c>
      <c r="Q4042" s="17"/>
      <c r="R4042" s="25" t="str">
        <f>HYPERLINK("https://ictv.global/taxonomy/taxondetails?taxnode_id=202319081","Ignaciovirus axejc")</f>
        <v>Ignaciovirus axejc</v>
      </c>
      <c r="S4042" s="18" t="s">
        <v>30</v>
      </c>
      <c r="T4042" s="18" t="s">
        <v>39978</v>
      </c>
      <c r="U4042" s="18"/>
      <c r="V4042" s="18"/>
      <c r="W4042" s="18" t="s">
        <v>48541</v>
      </c>
      <c r="X4042" s="18" t="s">
        <v>42</v>
      </c>
      <c r="Y4042" s="18" t="s">
        <v>36</v>
      </c>
      <c r="Z4042" s="18" t="s">
        <v>697</v>
      </c>
      <c r="AA4042" s="21" t="str">
        <f>HYPERLINK("https://www.ncbi.nlm.nih.gov/nuccore/ON392164","NCBI Nucleotide")</f>
        <v>NCBI Nucleotide</v>
      </c>
    </row>
    <row r="4043" spans="1:27" x14ac:dyDescent="0.35">
      <c r="A4043">
        <v>1025060</v>
      </c>
      <c r="B4043">
        <v>4019</v>
      </c>
      <c r="C4043">
        <v>1</v>
      </c>
      <c r="D4043" s="17" t="s">
        <v>155</v>
      </c>
      <c r="E4043" s="17"/>
      <c r="F4043" s="17" t="s">
        <v>156</v>
      </c>
      <c r="G4043" s="17"/>
      <c r="H4043" s="17" t="s">
        <v>692</v>
      </c>
      <c r="I4043" s="17"/>
      <c r="J4043" s="17" t="s">
        <v>693</v>
      </c>
      <c r="K4043" s="17"/>
      <c r="L4043" s="17"/>
      <c r="M4043" s="17"/>
      <c r="N4043" s="17"/>
      <c r="O4043" s="17"/>
      <c r="P4043" s="17" t="s">
        <v>39977</v>
      </c>
      <c r="Q4043" s="17"/>
      <c r="R4043" s="25" t="str">
        <f>HYPERLINK("https://ictv.global/taxonomy/taxondetails?taxnode_id=202319084","Ignaciovirus cumberbatch")</f>
        <v>Ignaciovirus cumberbatch</v>
      </c>
      <c r="S4043" s="18" t="s">
        <v>30</v>
      </c>
      <c r="T4043" s="18" t="s">
        <v>39979</v>
      </c>
      <c r="U4043" s="18"/>
      <c r="V4043" s="18"/>
      <c r="W4043" s="18" t="s">
        <v>48542</v>
      </c>
      <c r="X4043" s="18" t="s">
        <v>42</v>
      </c>
      <c r="Y4043" s="18" t="s">
        <v>36</v>
      </c>
      <c r="Z4043" s="18" t="s">
        <v>697</v>
      </c>
      <c r="AA4043" s="21" t="str">
        <f>HYPERLINK("https://www.ncbi.nlm.nih.gov/nuccore/MT451982","NCBI Nucleotide")</f>
        <v>NCBI Nucleotide</v>
      </c>
    </row>
    <row r="4044" spans="1:27" x14ac:dyDescent="0.35">
      <c r="A4044">
        <v>1025061</v>
      </c>
      <c r="B4044">
        <v>4020</v>
      </c>
      <c r="C4044">
        <v>1</v>
      </c>
      <c r="D4044" s="17" t="s">
        <v>155</v>
      </c>
      <c r="E4044" s="17"/>
      <c r="F4044" s="17" t="s">
        <v>156</v>
      </c>
      <c r="G4044" s="17"/>
      <c r="H4044" s="17" t="s">
        <v>692</v>
      </c>
      <c r="I4044" s="17"/>
      <c r="J4044" s="17" t="s">
        <v>693</v>
      </c>
      <c r="K4044" s="17"/>
      <c r="L4044" s="17"/>
      <c r="M4044" s="17"/>
      <c r="N4044" s="17"/>
      <c r="O4044" s="17"/>
      <c r="P4044" s="17" t="s">
        <v>39977</v>
      </c>
      <c r="Q4044" s="17"/>
      <c r="R4044" s="25" t="str">
        <f>HYPERLINK("https://ictv.global/taxonomy/taxondetails?taxnode_id=202319086","Ignaciovirus eastland")</f>
        <v>Ignaciovirus eastland</v>
      </c>
      <c r="S4044" s="18" t="s">
        <v>30</v>
      </c>
      <c r="T4044" s="18" t="s">
        <v>39980</v>
      </c>
      <c r="U4044" s="18"/>
      <c r="V4044" s="18"/>
      <c r="W4044" s="18" t="s">
        <v>48543</v>
      </c>
      <c r="X4044" s="18" t="s">
        <v>42</v>
      </c>
      <c r="Y4044" s="18" t="s">
        <v>36</v>
      </c>
      <c r="Z4044" s="18" t="s">
        <v>697</v>
      </c>
      <c r="AA4044" s="21" t="str">
        <f>HYPERLINK("https://www.ncbi.nlm.nih.gov/nuccore/ON392165","NCBI Nucleotide")</f>
        <v>NCBI Nucleotide</v>
      </c>
    </row>
    <row r="4045" spans="1:27" x14ac:dyDescent="0.35">
      <c r="A4045">
        <v>1025062</v>
      </c>
      <c r="B4045">
        <v>4021</v>
      </c>
      <c r="C4045">
        <v>1</v>
      </c>
      <c r="D4045" s="17" t="s">
        <v>155</v>
      </c>
      <c r="E4045" s="17"/>
      <c r="F4045" s="17" t="s">
        <v>156</v>
      </c>
      <c r="G4045" s="17"/>
      <c r="H4045" s="17" t="s">
        <v>692</v>
      </c>
      <c r="I4045" s="17"/>
      <c r="J4045" s="17" t="s">
        <v>693</v>
      </c>
      <c r="K4045" s="17"/>
      <c r="L4045" s="17"/>
      <c r="M4045" s="17"/>
      <c r="N4045" s="17"/>
      <c r="O4045" s="17"/>
      <c r="P4045" s="17" t="s">
        <v>39977</v>
      </c>
      <c r="Q4045" s="17"/>
      <c r="R4045" s="25" t="str">
        <f>HYPERLINK("https://ictv.global/taxonomy/taxondetails?taxnode_id=202319080","Ignaciovirus eklok")</f>
        <v>Ignaciovirus eklok</v>
      </c>
      <c r="S4045" s="18" t="s">
        <v>30</v>
      </c>
      <c r="T4045" s="18" t="s">
        <v>39981</v>
      </c>
      <c r="U4045" s="18"/>
      <c r="V4045" s="18"/>
      <c r="W4045" s="18" t="s">
        <v>48544</v>
      </c>
      <c r="X4045" s="18" t="s">
        <v>42</v>
      </c>
      <c r="Y4045" s="18" t="s">
        <v>36</v>
      </c>
      <c r="Z4045" s="18" t="s">
        <v>697</v>
      </c>
      <c r="AA4045" s="21" t="str">
        <f>HYPERLINK("https://www.ncbi.nlm.nih.gov/nuccore/MT521991","NCBI Nucleotide")</f>
        <v>NCBI Nucleotide</v>
      </c>
    </row>
    <row r="4046" spans="1:27" x14ac:dyDescent="0.35">
      <c r="A4046">
        <v>1025063</v>
      </c>
      <c r="B4046">
        <v>4022</v>
      </c>
      <c r="C4046">
        <v>1</v>
      </c>
      <c r="D4046" s="17" t="s">
        <v>155</v>
      </c>
      <c r="E4046" s="17"/>
      <c r="F4046" s="17" t="s">
        <v>156</v>
      </c>
      <c r="G4046" s="17"/>
      <c r="H4046" s="17" t="s">
        <v>692</v>
      </c>
      <c r="I4046" s="17"/>
      <c r="J4046" s="17" t="s">
        <v>693</v>
      </c>
      <c r="K4046" s="17"/>
      <c r="L4046" s="17"/>
      <c r="M4046" s="17"/>
      <c r="N4046" s="17"/>
      <c r="O4046" s="17"/>
      <c r="P4046" s="17" t="s">
        <v>39977</v>
      </c>
      <c r="Q4046" s="17"/>
      <c r="R4046" s="25" t="str">
        <f>HYPERLINK("https://ictv.global/taxonomy/taxondetails?taxnode_id=202319083","Ignaciovirus francette")</f>
        <v>Ignaciovirus francette</v>
      </c>
      <c r="S4046" s="18" t="s">
        <v>30</v>
      </c>
      <c r="T4046" s="18" t="s">
        <v>39982</v>
      </c>
      <c r="U4046" s="18"/>
      <c r="V4046" s="18"/>
      <c r="W4046" s="18" t="s">
        <v>48545</v>
      </c>
      <c r="X4046" s="18" t="s">
        <v>42</v>
      </c>
      <c r="Y4046" s="18" t="s">
        <v>36</v>
      </c>
      <c r="Z4046" s="18" t="s">
        <v>697</v>
      </c>
      <c r="AA4046" s="21" t="str">
        <f>HYPERLINK("https://www.ncbi.nlm.nih.gov/nuccore/ON456341","NCBI Nucleotide")</f>
        <v>NCBI Nucleotide</v>
      </c>
    </row>
    <row r="4047" spans="1:27" x14ac:dyDescent="0.35">
      <c r="A4047">
        <v>1025064</v>
      </c>
      <c r="B4047">
        <v>4023</v>
      </c>
      <c r="C4047">
        <v>1</v>
      </c>
      <c r="D4047" s="17" t="s">
        <v>155</v>
      </c>
      <c r="E4047" s="17"/>
      <c r="F4047" s="17" t="s">
        <v>156</v>
      </c>
      <c r="G4047" s="17"/>
      <c r="H4047" s="17" t="s">
        <v>692</v>
      </c>
      <c r="I4047" s="17"/>
      <c r="J4047" s="17" t="s">
        <v>693</v>
      </c>
      <c r="K4047" s="17"/>
      <c r="L4047" s="17"/>
      <c r="M4047" s="17"/>
      <c r="N4047" s="17"/>
      <c r="O4047" s="17"/>
      <c r="P4047" s="17" t="s">
        <v>39977</v>
      </c>
      <c r="Q4047" s="17"/>
      <c r="R4047" s="25" t="str">
        <f>HYPERLINK("https://ictv.global/taxonomy/taxondetails?taxnode_id=202319079","Ignaciovirus ignacio")</f>
        <v>Ignaciovirus ignacio</v>
      </c>
      <c r="S4047" s="18" t="s">
        <v>30</v>
      </c>
      <c r="T4047" s="18" t="s">
        <v>39983</v>
      </c>
      <c r="U4047" s="18"/>
      <c r="V4047" s="18"/>
      <c r="W4047" s="18" t="s">
        <v>48546</v>
      </c>
      <c r="X4047" s="18" t="s">
        <v>42</v>
      </c>
      <c r="Y4047" s="18" t="s">
        <v>36</v>
      </c>
      <c r="Z4047" s="18" t="s">
        <v>697</v>
      </c>
      <c r="AA4047" s="21" t="str">
        <f>HYPERLINK("https://www.ncbi.nlm.nih.gov/nuccore/MT451980","NCBI Nucleotide")</f>
        <v>NCBI Nucleotide</v>
      </c>
    </row>
    <row r="4048" spans="1:27" x14ac:dyDescent="0.35">
      <c r="A4048">
        <v>1025065</v>
      </c>
      <c r="B4048">
        <v>4024</v>
      </c>
      <c r="C4048">
        <v>1</v>
      </c>
      <c r="D4048" s="17" t="s">
        <v>155</v>
      </c>
      <c r="E4048" s="17"/>
      <c r="F4048" s="17" t="s">
        <v>156</v>
      </c>
      <c r="G4048" s="17"/>
      <c r="H4048" s="17" t="s">
        <v>692</v>
      </c>
      <c r="I4048" s="17"/>
      <c r="J4048" s="17" t="s">
        <v>693</v>
      </c>
      <c r="K4048" s="17"/>
      <c r="L4048" s="17"/>
      <c r="M4048" s="17"/>
      <c r="N4048" s="17"/>
      <c r="O4048" s="17"/>
      <c r="P4048" s="17" t="s">
        <v>39977</v>
      </c>
      <c r="Q4048" s="17"/>
      <c r="R4048" s="25" t="str">
        <f>HYPERLINK("https://ictv.global/taxonomy/taxondetails?taxnode_id=202319085","Ignaciovirus piccadilly")</f>
        <v>Ignaciovirus piccadilly</v>
      </c>
      <c r="S4048" s="18" t="s">
        <v>30</v>
      </c>
      <c r="T4048" s="18" t="s">
        <v>39984</v>
      </c>
      <c r="U4048" s="18"/>
      <c r="V4048" s="18"/>
      <c r="W4048" s="18" t="s">
        <v>48547</v>
      </c>
      <c r="X4048" s="18" t="s">
        <v>42</v>
      </c>
      <c r="Y4048" s="18" t="s">
        <v>36</v>
      </c>
      <c r="Z4048" s="18" t="s">
        <v>697</v>
      </c>
      <c r="AA4048" s="21" t="str">
        <f>HYPERLINK("https://www.ncbi.nlm.nih.gov/nuccore/OL455886","NCBI Nucleotide")</f>
        <v>NCBI Nucleotide</v>
      </c>
    </row>
    <row r="4049" spans="1:27" x14ac:dyDescent="0.35">
      <c r="A4049">
        <v>1025066</v>
      </c>
      <c r="B4049">
        <v>4025</v>
      </c>
      <c r="C4049">
        <v>1</v>
      </c>
      <c r="D4049" s="17" t="s">
        <v>155</v>
      </c>
      <c r="E4049" s="17"/>
      <c r="F4049" s="17" t="s">
        <v>156</v>
      </c>
      <c r="G4049" s="17"/>
      <c r="H4049" s="17" t="s">
        <v>692</v>
      </c>
      <c r="I4049" s="17"/>
      <c r="J4049" s="17" t="s">
        <v>693</v>
      </c>
      <c r="K4049" s="17"/>
      <c r="L4049" s="17"/>
      <c r="M4049" s="17"/>
      <c r="N4049" s="17"/>
      <c r="O4049" s="17"/>
      <c r="P4049" s="17" t="s">
        <v>39977</v>
      </c>
      <c r="Q4049" s="17"/>
      <c r="R4049" s="25" t="str">
        <f>HYPERLINK("https://ictv.global/taxonomy/taxondetails?taxnode_id=202319082","Ignaciovirus vondra")</f>
        <v>Ignaciovirus vondra</v>
      </c>
      <c r="S4049" s="18" t="s">
        <v>30</v>
      </c>
      <c r="T4049" s="18" t="s">
        <v>39985</v>
      </c>
      <c r="U4049" s="18"/>
      <c r="V4049" s="18"/>
      <c r="W4049" s="18" t="s">
        <v>48548</v>
      </c>
      <c r="X4049" s="18" t="s">
        <v>42</v>
      </c>
      <c r="Y4049" s="18" t="s">
        <v>36</v>
      </c>
      <c r="Z4049" s="18" t="s">
        <v>697</v>
      </c>
      <c r="AA4049" s="21" t="str">
        <f>HYPERLINK("https://www.ncbi.nlm.nih.gov/nuccore/MT451981","NCBI Nucleotide")</f>
        <v>NCBI Nucleotide</v>
      </c>
    </row>
    <row r="4050" spans="1:27" x14ac:dyDescent="0.35">
      <c r="A4050">
        <v>1005309</v>
      </c>
      <c r="B4050">
        <v>4026</v>
      </c>
      <c r="C4050">
        <v>1</v>
      </c>
      <c r="D4050" s="17" t="s">
        <v>155</v>
      </c>
      <c r="E4050" s="17"/>
      <c r="F4050" s="17" t="s">
        <v>156</v>
      </c>
      <c r="G4050" s="17"/>
      <c r="H4050" s="17" t="s">
        <v>692</v>
      </c>
      <c r="I4050" s="17"/>
      <c r="J4050" s="17" t="s">
        <v>693</v>
      </c>
      <c r="K4050" s="17"/>
      <c r="L4050" s="17"/>
      <c r="M4050" s="17"/>
      <c r="N4050" s="17"/>
      <c r="O4050" s="17"/>
      <c r="P4050" s="17" t="s">
        <v>2056</v>
      </c>
      <c r="Q4050" s="17"/>
      <c r="R4050" s="25" t="str">
        <f>HYPERLINK("https://ictv.global/taxonomy/taxondetails?taxnode_id=202306771","Ikedavirus phi673")</f>
        <v>Ikedavirus phi673</v>
      </c>
      <c r="S4050" s="18" t="s">
        <v>30</v>
      </c>
      <c r="T4050" s="18" t="s">
        <v>2057</v>
      </c>
      <c r="U4050" s="18"/>
      <c r="V4050" s="18"/>
      <c r="W4050" s="18" t="s">
        <v>2058</v>
      </c>
      <c r="X4050" s="18" t="s">
        <v>42</v>
      </c>
      <c r="Y4050" s="18" t="s">
        <v>36</v>
      </c>
      <c r="Z4050" s="18" t="s">
        <v>697</v>
      </c>
      <c r="AA4050" s="21" t="str">
        <f>HYPERLINK("https://www.ncbi.nlm.nih.gov/nuccore/MG324353","NCBI Nucleotide")</f>
        <v>NCBI Nucleotide</v>
      </c>
    </row>
    <row r="4051" spans="1:27" x14ac:dyDescent="0.35">
      <c r="A4051">
        <v>1005310</v>
      </c>
      <c r="B4051">
        <v>4027</v>
      </c>
      <c r="C4051">
        <v>1</v>
      </c>
      <c r="D4051" s="17" t="s">
        <v>155</v>
      </c>
      <c r="E4051" s="17"/>
      <c r="F4051" s="17" t="s">
        <v>156</v>
      </c>
      <c r="G4051" s="17"/>
      <c r="H4051" s="17" t="s">
        <v>692</v>
      </c>
      <c r="I4051" s="17"/>
      <c r="J4051" s="17" t="s">
        <v>693</v>
      </c>
      <c r="K4051" s="17"/>
      <c r="L4051" s="17"/>
      <c r="M4051" s="17"/>
      <c r="N4051" s="17"/>
      <c r="O4051" s="17"/>
      <c r="P4051" s="17" t="s">
        <v>2056</v>
      </c>
      <c r="Q4051" s="17"/>
      <c r="R4051" s="25" t="str">
        <f>HYPERLINK("https://ictv.global/taxonomy/taxondetails?taxnode_id=202306772","Ikedavirus phi674")</f>
        <v>Ikedavirus phi674</v>
      </c>
      <c r="S4051" s="18" t="s">
        <v>30</v>
      </c>
      <c r="T4051" s="18" t="s">
        <v>2059</v>
      </c>
      <c r="U4051" s="18"/>
      <c r="V4051" s="18"/>
      <c r="W4051" s="18" t="s">
        <v>2060</v>
      </c>
      <c r="X4051" s="18" t="s">
        <v>42</v>
      </c>
      <c r="Y4051" s="18" t="s">
        <v>36</v>
      </c>
      <c r="Z4051" s="18" t="s">
        <v>697</v>
      </c>
      <c r="AA4051" s="21" t="str">
        <f>HYPERLINK("https://www.ncbi.nlm.nih.gov/nuccore/MG324354","NCBI Nucleotide")</f>
        <v>NCBI Nucleotide</v>
      </c>
    </row>
    <row r="4052" spans="1:27" x14ac:dyDescent="0.35">
      <c r="A4052">
        <v>1005311</v>
      </c>
      <c r="B4052">
        <v>4028</v>
      </c>
      <c r="C4052">
        <v>1</v>
      </c>
      <c r="D4052" s="17" t="s">
        <v>155</v>
      </c>
      <c r="E4052" s="17"/>
      <c r="F4052" s="17" t="s">
        <v>156</v>
      </c>
      <c r="G4052" s="17"/>
      <c r="H4052" s="17" t="s">
        <v>692</v>
      </c>
      <c r="I4052" s="17"/>
      <c r="J4052" s="17" t="s">
        <v>693</v>
      </c>
      <c r="K4052" s="17"/>
      <c r="L4052" s="17"/>
      <c r="M4052" s="17"/>
      <c r="N4052" s="17"/>
      <c r="O4052" s="17"/>
      <c r="P4052" s="17" t="s">
        <v>2061</v>
      </c>
      <c r="Q4052" s="17"/>
      <c r="R4052" s="25" t="str">
        <f>HYPERLINK("https://ictv.global/taxonomy/taxondetails?taxnode_id=202306742","Ilzatvirus hamlet")</f>
        <v>Ilzatvirus hamlet</v>
      </c>
      <c r="S4052" s="18" t="s">
        <v>30</v>
      </c>
      <c r="T4052" s="18" t="s">
        <v>2062</v>
      </c>
      <c r="U4052" s="18"/>
      <c r="V4052" s="18"/>
      <c r="W4052" s="18" t="s">
        <v>2063</v>
      </c>
      <c r="X4052" s="18" t="s">
        <v>42</v>
      </c>
      <c r="Y4052" s="18" t="s">
        <v>36</v>
      </c>
      <c r="Z4052" s="18" t="s">
        <v>697</v>
      </c>
      <c r="AA4052" s="21" t="str">
        <f>HYPERLINK("https://www.ncbi.nlm.nih.gov/nuccore/MG839019","NCBI Nucleotide")</f>
        <v>NCBI Nucleotide</v>
      </c>
    </row>
    <row r="4053" spans="1:27" x14ac:dyDescent="0.35">
      <c r="A4053">
        <v>1005312</v>
      </c>
      <c r="B4053">
        <v>4029</v>
      </c>
      <c r="C4053">
        <v>1</v>
      </c>
      <c r="D4053" s="17" t="s">
        <v>155</v>
      </c>
      <c r="E4053" s="17"/>
      <c r="F4053" s="17" t="s">
        <v>156</v>
      </c>
      <c r="G4053" s="17"/>
      <c r="H4053" s="17" t="s">
        <v>692</v>
      </c>
      <c r="I4053" s="17"/>
      <c r="J4053" s="17" t="s">
        <v>693</v>
      </c>
      <c r="K4053" s="17"/>
      <c r="L4053" s="17"/>
      <c r="M4053" s="17"/>
      <c r="N4053" s="17"/>
      <c r="O4053" s="17"/>
      <c r="P4053" s="17" t="s">
        <v>2061</v>
      </c>
      <c r="Q4053" s="17"/>
      <c r="R4053" s="25" t="str">
        <f>HYPERLINK("https://ictv.global/taxonomy/taxondetails?taxnode_id=202306741","Ilzatvirus ilzat")</f>
        <v>Ilzatvirus ilzat</v>
      </c>
      <c r="S4053" s="18" t="s">
        <v>30</v>
      </c>
      <c r="T4053" s="18" t="s">
        <v>2064</v>
      </c>
      <c r="U4053" s="18"/>
      <c r="V4053" s="18"/>
      <c r="W4053" s="18" t="s">
        <v>2065</v>
      </c>
      <c r="X4053" s="18" t="s">
        <v>42</v>
      </c>
      <c r="Y4053" s="18" t="s">
        <v>36</v>
      </c>
      <c r="Z4053" s="18" t="s">
        <v>697</v>
      </c>
      <c r="AA4053" s="21" t="str">
        <f>HYPERLINK("https://www.ncbi.nlm.nih.gov/nuccore/MG839029","NCBI Nucleotide")</f>
        <v>NCBI Nucleotide</v>
      </c>
    </row>
    <row r="4054" spans="1:27" x14ac:dyDescent="0.35">
      <c r="A4054">
        <v>1005313</v>
      </c>
      <c r="B4054">
        <v>4030</v>
      </c>
      <c r="C4054">
        <v>1</v>
      </c>
      <c r="D4054" s="17" t="s">
        <v>155</v>
      </c>
      <c r="E4054" s="17"/>
      <c r="F4054" s="17" t="s">
        <v>156</v>
      </c>
      <c r="G4054" s="17"/>
      <c r="H4054" s="17" t="s">
        <v>692</v>
      </c>
      <c r="I4054" s="17"/>
      <c r="J4054" s="17" t="s">
        <v>693</v>
      </c>
      <c r="K4054" s="17"/>
      <c r="L4054" s="17"/>
      <c r="M4054" s="17"/>
      <c r="N4054" s="17"/>
      <c r="O4054" s="17"/>
      <c r="P4054" s="17" t="s">
        <v>2061</v>
      </c>
      <c r="Q4054" s="17"/>
      <c r="R4054" s="25" t="str">
        <f>HYPERLINK("https://ictv.global/taxonomy/taxondetails?taxnode_id=202310134","Ilzatvirus mcgalleon")</f>
        <v>Ilzatvirus mcgalleon</v>
      </c>
      <c r="S4054" s="18" t="s">
        <v>30</v>
      </c>
      <c r="T4054" s="18" t="s">
        <v>2066</v>
      </c>
      <c r="U4054" s="18"/>
      <c r="V4054" s="18"/>
      <c r="W4054" s="18" t="s">
        <v>2067</v>
      </c>
      <c r="X4054" s="18" t="s">
        <v>42</v>
      </c>
      <c r="Y4054" s="18" t="s">
        <v>36</v>
      </c>
      <c r="Z4054" s="18" t="s">
        <v>697</v>
      </c>
      <c r="AA4054" s="21" t="str">
        <f>HYPERLINK("https://www.ncbi.nlm.nih.gov/nuccore/MN062703","NCBI Nucleotide")</f>
        <v>NCBI Nucleotide</v>
      </c>
    </row>
    <row r="4055" spans="1:27" x14ac:dyDescent="0.35">
      <c r="A4055">
        <v>1005314</v>
      </c>
      <c r="B4055">
        <v>4031</v>
      </c>
      <c r="C4055">
        <v>1</v>
      </c>
      <c r="D4055" s="17" t="s">
        <v>155</v>
      </c>
      <c r="E4055" s="17"/>
      <c r="F4055" s="17" t="s">
        <v>156</v>
      </c>
      <c r="G4055" s="17"/>
      <c r="H4055" s="17" t="s">
        <v>692</v>
      </c>
      <c r="I4055" s="17"/>
      <c r="J4055" s="17" t="s">
        <v>693</v>
      </c>
      <c r="K4055" s="17"/>
      <c r="L4055" s="17"/>
      <c r="M4055" s="17"/>
      <c r="N4055" s="17"/>
      <c r="O4055" s="17"/>
      <c r="P4055" s="17" t="s">
        <v>2061</v>
      </c>
      <c r="Q4055" s="17"/>
      <c r="R4055" s="25" t="str">
        <f>HYPERLINK("https://ictv.global/taxonomy/taxondetails?taxnode_id=202310135","Ilzatvirus monchoix")</f>
        <v>Ilzatvirus monchoix</v>
      </c>
      <c r="S4055" s="18" t="s">
        <v>30</v>
      </c>
      <c r="T4055" s="18" t="s">
        <v>2068</v>
      </c>
      <c r="U4055" s="18"/>
      <c r="V4055" s="18"/>
      <c r="W4055" s="18" t="s">
        <v>2069</v>
      </c>
      <c r="X4055" s="18" t="s">
        <v>42</v>
      </c>
      <c r="Y4055" s="18" t="s">
        <v>36</v>
      </c>
      <c r="Z4055" s="18" t="s">
        <v>697</v>
      </c>
      <c r="AA4055" s="21" t="str">
        <f>HYPERLINK("https://www.ncbi.nlm.nih.gov/nuccore/MK894437","NCBI Nucleotide")</f>
        <v>NCBI Nucleotide</v>
      </c>
    </row>
    <row r="4056" spans="1:27" x14ac:dyDescent="0.35">
      <c r="A4056">
        <v>1005315</v>
      </c>
      <c r="B4056">
        <v>4032</v>
      </c>
      <c r="C4056">
        <v>1</v>
      </c>
      <c r="D4056" s="17" t="s">
        <v>155</v>
      </c>
      <c r="E4056" s="17"/>
      <c r="F4056" s="17" t="s">
        <v>156</v>
      </c>
      <c r="G4056" s="17"/>
      <c r="H4056" s="17" t="s">
        <v>692</v>
      </c>
      <c r="I4056" s="17"/>
      <c r="J4056" s="17" t="s">
        <v>693</v>
      </c>
      <c r="K4056" s="17"/>
      <c r="L4056" s="17"/>
      <c r="M4056" s="17"/>
      <c r="N4056" s="17"/>
      <c r="O4056" s="17"/>
      <c r="P4056" s="17" t="s">
        <v>2061</v>
      </c>
      <c r="Q4056" s="17"/>
      <c r="R4056" s="25" t="str">
        <f>HYPERLINK("https://ictv.global/taxonomy/taxondetails?taxnode_id=202310136","Ilzatvirus teagan")</f>
        <v>Ilzatvirus teagan</v>
      </c>
      <c r="S4056" s="18" t="s">
        <v>30</v>
      </c>
      <c r="T4056" s="18" t="s">
        <v>2070</v>
      </c>
      <c r="U4056" s="18"/>
      <c r="V4056" s="18"/>
      <c r="W4056" s="18" t="s">
        <v>2071</v>
      </c>
      <c r="X4056" s="18" t="s">
        <v>42</v>
      </c>
      <c r="Y4056" s="18" t="s">
        <v>36</v>
      </c>
      <c r="Z4056" s="18" t="s">
        <v>697</v>
      </c>
      <c r="AA4056" s="21" t="str">
        <f>HYPERLINK("https://www.ncbi.nlm.nih.gov/nuccore/MH153811","NCBI Nucleotide")</f>
        <v>NCBI Nucleotide</v>
      </c>
    </row>
    <row r="4057" spans="1:27" x14ac:dyDescent="0.35">
      <c r="A4057">
        <v>1005316</v>
      </c>
      <c r="B4057">
        <v>4033</v>
      </c>
      <c r="C4057">
        <v>1</v>
      </c>
      <c r="D4057" s="17" t="s">
        <v>155</v>
      </c>
      <c r="E4057" s="17"/>
      <c r="F4057" s="17" t="s">
        <v>156</v>
      </c>
      <c r="G4057" s="17"/>
      <c r="H4057" s="17" t="s">
        <v>692</v>
      </c>
      <c r="I4057" s="17"/>
      <c r="J4057" s="17" t="s">
        <v>693</v>
      </c>
      <c r="K4057" s="17"/>
      <c r="L4057" s="17"/>
      <c r="M4057" s="17"/>
      <c r="N4057" s="17"/>
      <c r="O4057" s="17"/>
      <c r="P4057" s="17" t="s">
        <v>2072</v>
      </c>
      <c r="Q4057" s="17"/>
      <c r="R4057" s="25" t="str">
        <f>HYPERLINK("https://ictv.global/taxonomy/taxondetails?taxnode_id=202313528","Immutovirus immuto")</f>
        <v>Immutovirus immuto</v>
      </c>
      <c r="S4057" s="18" t="s">
        <v>30</v>
      </c>
      <c r="T4057" s="18" t="s">
        <v>2073</v>
      </c>
      <c r="U4057" s="18" t="s">
        <v>2074</v>
      </c>
      <c r="V4057" s="18"/>
      <c r="W4057" s="18" t="s">
        <v>2075</v>
      </c>
      <c r="X4057" s="18" t="s">
        <v>42</v>
      </c>
      <c r="Y4057" s="18" t="s">
        <v>36</v>
      </c>
      <c r="Z4057" s="18" t="s">
        <v>697</v>
      </c>
      <c r="AA4057" s="21" t="str">
        <f>HYPERLINK("https://www.ncbi.nlm.nih.gov/nuccore/MW353175","NCBI Nucleotide")</f>
        <v>NCBI Nucleotide</v>
      </c>
    </row>
    <row r="4058" spans="1:27" x14ac:dyDescent="0.35">
      <c r="A4058">
        <v>1005317</v>
      </c>
      <c r="B4058">
        <v>4034</v>
      </c>
      <c r="C4058">
        <v>1</v>
      </c>
      <c r="D4058" s="17" t="s">
        <v>155</v>
      </c>
      <c r="E4058" s="17"/>
      <c r="F4058" s="17" t="s">
        <v>156</v>
      </c>
      <c r="G4058" s="17"/>
      <c r="H4058" s="17" t="s">
        <v>692</v>
      </c>
      <c r="I4058" s="17"/>
      <c r="J4058" s="17" t="s">
        <v>693</v>
      </c>
      <c r="K4058" s="17"/>
      <c r="L4058" s="17"/>
      <c r="M4058" s="17"/>
      <c r="N4058" s="17"/>
      <c r="O4058" s="17"/>
      <c r="P4058" s="17" t="s">
        <v>2076</v>
      </c>
      <c r="Q4058" s="17"/>
      <c r="R4058" s="25" t="str">
        <f>HYPERLINK("https://ictv.global/taxonomy/taxondetails?taxnode_id=202301102","Incheonvirus P12002L")</f>
        <v>Incheonvirus P12002L</v>
      </c>
      <c r="S4058" s="18" t="s">
        <v>30</v>
      </c>
      <c r="T4058" s="18" t="s">
        <v>2077</v>
      </c>
      <c r="U4058" s="18"/>
      <c r="V4058" s="18"/>
      <c r="W4058" s="18" t="s">
        <v>2078</v>
      </c>
      <c r="X4058" s="18" t="s">
        <v>42</v>
      </c>
      <c r="Y4058" s="18" t="s">
        <v>36</v>
      </c>
      <c r="Z4058" s="18" t="s">
        <v>697</v>
      </c>
      <c r="AA4058" s="21" t="str">
        <f>HYPERLINK("https://www.ncbi.nlm.nih.gov/nuccore/KR136259","NCBI Nucleotide")</f>
        <v>NCBI Nucleotide</v>
      </c>
    </row>
    <row r="4059" spans="1:27" x14ac:dyDescent="0.35">
      <c r="A4059">
        <v>1005318</v>
      </c>
      <c r="B4059">
        <v>4035</v>
      </c>
      <c r="C4059">
        <v>1</v>
      </c>
      <c r="D4059" s="17" t="s">
        <v>155</v>
      </c>
      <c r="E4059" s="17"/>
      <c r="F4059" s="17" t="s">
        <v>156</v>
      </c>
      <c r="G4059" s="17"/>
      <c r="H4059" s="17" t="s">
        <v>692</v>
      </c>
      <c r="I4059" s="17"/>
      <c r="J4059" s="17" t="s">
        <v>693</v>
      </c>
      <c r="K4059" s="17"/>
      <c r="L4059" s="17"/>
      <c r="M4059" s="17"/>
      <c r="N4059" s="17"/>
      <c r="O4059" s="17"/>
      <c r="P4059" s="17" t="s">
        <v>2076</v>
      </c>
      <c r="Q4059" s="17"/>
      <c r="R4059" s="25" t="str">
        <f>HYPERLINK("https://ictv.global/taxonomy/taxondetails?taxnode_id=202301103","Incheonvirus P12002S")</f>
        <v>Incheonvirus P12002S</v>
      </c>
      <c r="S4059" s="18" t="s">
        <v>30</v>
      </c>
      <c r="T4059" s="18" t="s">
        <v>2079</v>
      </c>
      <c r="U4059" s="18"/>
      <c r="V4059" s="18"/>
      <c r="W4059" s="18" t="s">
        <v>2080</v>
      </c>
      <c r="X4059" s="18" t="s">
        <v>42</v>
      </c>
      <c r="Y4059" s="18" t="s">
        <v>36</v>
      </c>
      <c r="Z4059" s="18" t="s">
        <v>697</v>
      </c>
      <c r="AA4059" s="21" t="str">
        <f>HYPERLINK("https://www.ncbi.nlm.nih.gov/nuccore/KR136260","NCBI Nucleotide")</f>
        <v>NCBI Nucleotide</v>
      </c>
    </row>
    <row r="4060" spans="1:27" x14ac:dyDescent="0.35">
      <c r="A4060">
        <v>1005319</v>
      </c>
      <c r="B4060">
        <v>4036</v>
      </c>
      <c r="C4060">
        <v>1</v>
      </c>
      <c r="D4060" s="17" t="s">
        <v>155</v>
      </c>
      <c r="E4060" s="17"/>
      <c r="F4060" s="17" t="s">
        <v>156</v>
      </c>
      <c r="G4060" s="17"/>
      <c r="H4060" s="17" t="s">
        <v>692</v>
      </c>
      <c r="I4060" s="17"/>
      <c r="J4060" s="17" t="s">
        <v>693</v>
      </c>
      <c r="K4060" s="17"/>
      <c r="L4060" s="17"/>
      <c r="M4060" s="17"/>
      <c r="N4060" s="17"/>
      <c r="O4060" s="17"/>
      <c r="P4060" s="17" t="s">
        <v>2081</v>
      </c>
      <c r="Q4060" s="17"/>
      <c r="R4060" s="25" t="str">
        <f>HYPERLINK("https://ictv.global/taxonomy/taxondetails?taxnode_id=202309915","Indlulamithivirus indlulamithi")</f>
        <v>Indlulamithivirus indlulamithi</v>
      </c>
      <c r="S4060" s="18" t="s">
        <v>30</v>
      </c>
      <c r="T4060" s="18" t="s">
        <v>2082</v>
      </c>
      <c r="U4060" s="18"/>
      <c r="V4060" s="18"/>
      <c r="W4060" s="18" t="s">
        <v>2083</v>
      </c>
      <c r="X4060" s="18" t="s">
        <v>42</v>
      </c>
      <c r="Y4060" s="18" t="s">
        <v>36</v>
      </c>
      <c r="Z4060" s="18" t="s">
        <v>697</v>
      </c>
      <c r="AA4060" s="21" t="str">
        <f>HYPERLINK("https://www.ncbi.nlm.nih.gov/nuccore/MN585993","NCBI Nucleotide")</f>
        <v>NCBI Nucleotide</v>
      </c>
    </row>
    <row r="4061" spans="1:27" x14ac:dyDescent="0.35">
      <c r="A4061">
        <v>1005320</v>
      </c>
      <c r="B4061">
        <v>4037</v>
      </c>
      <c r="C4061">
        <v>1</v>
      </c>
      <c r="D4061" s="17" t="s">
        <v>155</v>
      </c>
      <c r="E4061" s="17"/>
      <c r="F4061" s="17" t="s">
        <v>156</v>
      </c>
      <c r="G4061" s="17"/>
      <c r="H4061" s="17" t="s">
        <v>692</v>
      </c>
      <c r="I4061" s="17"/>
      <c r="J4061" s="17" t="s">
        <v>693</v>
      </c>
      <c r="K4061" s="17"/>
      <c r="L4061" s="17"/>
      <c r="M4061" s="17"/>
      <c r="N4061" s="17"/>
      <c r="O4061" s="17"/>
      <c r="P4061" s="17" t="s">
        <v>2084</v>
      </c>
      <c r="Q4061" s="17"/>
      <c r="R4061" s="25" t="str">
        <f>HYPERLINK("https://ictv.global/taxonomy/taxondetails?taxnode_id=202301105","Inhavirus P12024L")</f>
        <v>Inhavirus P12024L</v>
      </c>
      <c r="S4061" s="18" t="s">
        <v>30</v>
      </c>
      <c r="T4061" s="18" t="s">
        <v>2085</v>
      </c>
      <c r="U4061" s="18"/>
      <c r="V4061" s="18"/>
      <c r="W4061" s="18" t="s">
        <v>2086</v>
      </c>
      <c r="X4061" s="18" t="s">
        <v>42</v>
      </c>
      <c r="Y4061" s="18" t="s">
        <v>36</v>
      </c>
      <c r="Z4061" s="18" t="s">
        <v>697</v>
      </c>
      <c r="AA4061" s="21" t="str">
        <f>HYPERLINK("https://www.ncbi.nlm.nih.gov/nuccore/JQ823123","NCBI Nucleotide")</f>
        <v>NCBI Nucleotide</v>
      </c>
    </row>
    <row r="4062" spans="1:27" x14ac:dyDescent="0.35">
      <c r="A4062">
        <v>1005321</v>
      </c>
      <c r="B4062">
        <v>4038</v>
      </c>
      <c r="C4062">
        <v>1</v>
      </c>
      <c r="D4062" s="17" t="s">
        <v>155</v>
      </c>
      <c r="E4062" s="17"/>
      <c r="F4062" s="17" t="s">
        <v>156</v>
      </c>
      <c r="G4062" s="17"/>
      <c r="H4062" s="17" t="s">
        <v>692</v>
      </c>
      <c r="I4062" s="17"/>
      <c r="J4062" s="17" t="s">
        <v>693</v>
      </c>
      <c r="K4062" s="17"/>
      <c r="L4062" s="17"/>
      <c r="M4062" s="17"/>
      <c r="N4062" s="17"/>
      <c r="O4062" s="17"/>
      <c r="P4062" s="17" t="s">
        <v>2084</v>
      </c>
      <c r="Q4062" s="17"/>
      <c r="R4062" s="25" t="str">
        <f>HYPERLINK("https://ictv.global/taxonomy/taxondetails?taxnode_id=202301106","Inhavirus P12024S")</f>
        <v>Inhavirus P12024S</v>
      </c>
      <c r="S4062" s="18" t="s">
        <v>30</v>
      </c>
      <c r="T4062" s="18" t="s">
        <v>2085</v>
      </c>
      <c r="U4062" s="18"/>
      <c r="V4062" s="18"/>
      <c r="W4062" s="18" t="s">
        <v>2087</v>
      </c>
      <c r="X4062" s="18" t="s">
        <v>42</v>
      </c>
      <c r="Y4062" s="18" t="s">
        <v>36</v>
      </c>
      <c r="Z4062" s="18" t="s">
        <v>697</v>
      </c>
      <c r="AA4062" s="21" t="str">
        <f>HYPERLINK("https://www.ncbi.nlm.nih.gov/nuccore/JQ823122","NCBI Nucleotide")</f>
        <v>NCBI Nucleotide</v>
      </c>
    </row>
    <row r="4063" spans="1:27" x14ac:dyDescent="0.35">
      <c r="A4063">
        <v>1005322</v>
      </c>
      <c r="B4063">
        <v>4039</v>
      </c>
      <c r="C4063">
        <v>1</v>
      </c>
      <c r="D4063" s="17" t="s">
        <v>155</v>
      </c>
      <c r="E4063" s="17"/>
      <c r="F4063" s="17" t="s">
        <v>156</v>
      </c>
      <c r="G4063" s="17"/>
      <c r="H4063" s="17" t="s">
        <v>692</v>
      </c>
      <c r="I4063" s="17"/>
      <c r="J4063" s="17" t="s">
        <v>693</v>
      </c>
      <c r="K4063" s="17"/>
      <c r="L4063" s="17"/>
      <c r="M4063" s="17"/>
      <c r="N4063" s="17"/>
      <c r="O4063" s="17"/>
      <c r="P4063" s="17" t="s">
        <v>2088</v>
      </c>
      <c r="Q4063" s="17"/>
      <c r="R4063" s="25" t="str">
        <f>HYPERLINK("https://ictv.global/taxonomy/taxondetails?taxnode_id=202306507","Iodovirus PLPE")</f>
        <v>Iodovirus PLPE</v>
      </c>
      <c r="S4063" s="18" t="s">
        <v>30</v>
      </c>
      <c r="T4063" s="18" t="s">
        <v>2089</v>
      </c>
      <c r="U4063" s="18"/>
      <c r="V4063" s="18"/>
      <c r="W4063" s="18" t="s">
        <v>2090</v>
      </c>
      <c r="X4063" s="18" t="s">
        <v>42</v>
      </c>
      <c r="Y4063" s="18" t="s">
        <v>36</v>
      </c>
      <c r="Z4063" s="18" t="s">
        <v>697</v>
      </c>
      <c r="AA4063" s="21" t="str">
        <f>HYPERLINK("https://www.ncbi.nlm.nih.gov/nuccore/EU876853","NCBI Nucleotide")</f>
        <v>NCBI Nucleotide</v>
      </c>
    </row>
    <row r="4064" spans="1:27" x14ac:dyDescent="0.35">
      <c r="A4064">
        <v>1005323</v>
      </c>
      <c r="B4064">
        <v>4040</v>
      </c>
      <c r="C4064">
        <v>1</v>
      </c>
      <c r="D4064" s="17" t="s">
        <v>155</v>
      </c>
      <c r="E4064" s="17"/>
      <c r="F4064" s="17" t="s">
        <v>156</v>
      </c>
      <c r="G4064" s="17"/>
      <c r="H4064" s="17" t="s">
        <v>692</v>
      </c>
      <c r="I4064" s="17"/>
      <c r="J4064" s="17" t="s">
        <v>693</v>
      </c>
      <c r="K4064" s="17"/>
      <c r="L4064" s="17"/>
      <c r="M4064" s="17"/>
      <c r="N4064" s="17"/>
      <c r="O4064" s="17"/>
      <c r="P4064" s="17" t="s">
        <v>2091</v>
      </c>
      <c r="Q4064" s="17"/>
      <c r="R4064" s="25" t="str">
        <f>HYPERLINK("https://ictv.global/taxonomy/taxondetails?taxnode_id=202306832","Ionavirus W14")</f>
        <v>Ionavirus W14</v>
      </c>
      <c r="S4064" s="18" t="s">
        <v>30</v>
      </c>
      <c r="T4064" s="18" t="s">
        <v>2092</v>
      </c>
      <c r="U4064" s="18"/>
      <c r="V4064" s="18"/>
      <c r="W4064" s="18" t="s">
        <v>2093</v>
      </c>
      <c r="X4064" s="18" t="s">
        <v>42</v>
      </c>
      <c r="Y4064" s="18" t="s">
        <v>36</v>
      </c>
      <c r="Z4064" s="18" t="s">
        <v>697</v>
      </c>
      <c r="AA4064" s="21" t="str">
        <f>HYPERLINK("https://www.ncbi.nlm.nih.gov/nuccore/GQ357915","NCBI Nucleotide")</f>
        <v>NCBI Nucleotide</v>
      </c>
    </row>
    <row r="4065" spans="1:27" x14ac:dyDescent="0.35">
      <c r="A4065">
        <v>1005689</v>
      </c>
      <c r="B4065">
        <v>4041</v>
      </c>
      <c r="C4065">
        <v>1</v>
      </c>
      <c r="D4065" s="17" t="s">
        <v>155</v>
      </c>
      <c r="E4065" s="17"/>
      <c r="F4065" s="17" t="s">
        <v>156</v>
      </c>
      <c r="G4065" s="17"/>
      <c r="H4065" s="17" t="s">
        <v>692</v>
      </c>
      <c r="I4065" s="17"/>
      <c r="J4065" s="17" t="s">
        <v>693</v>
      </c>
      <c r="K4065" s="17"/>
      <c r="L4065" s="17"/>
      <c r="M4065" s="17"/>
      <c r="N4065" s="17"/>
      <c r="O4065" s="17"/>
      <c r="P4065" s="17" t="s">
        <v>2094</v>
      </c>
      <c r="Q4065" s="17"/>
      <c r="R4065" s="25" t="str">
        <f>HYPERLINK("https://ictv.global/taxonomy/taxondetails?taxnode_id=202314867","Isoldevirus isolde")</f>
        <v>Isoldevirus isolde</v>
      </c>
      <c r="S4065" s="18" t="s">
        <v>30</v>
      </c>
      <c r="T4065" s="18" t="s">
        <v>2095</v>
      </c>
      <c r="U4065" s="18"/>
      <c r="V4065" s="18"/>
      <c r="W4065" s="18" t="s">
        <v>2096</v>
      </c>
      <c r="X4065" s="18" t="s">
        <v>42</v>
      </c>
      <c r="Y4065" s="18" t="s">
        <v>36</v>
      </c>
      <c r="Z4065" s="18" t="s">
        <v>697</v>
      </c>
      <c r="AA4065" s="21" t="str">
        <f>HYPERLINK("https://www.ncbi.nlm.nih.gov/nuccore/MH910037","NCBI Nucleotide")</f>
        <v>NCBI Nucleotide</v>
      </c>
    </row>
    <row r="4066" spans="1:27" x14ac:dyDescent="0.35">
      <c r="A4066">
        <v>1005690</v>
      </c>
      <c r="B4066">
        <v>4042</v>
      </c>
      <c r="C4066">
        <v>1</v>
      </c>
      <c r="D4066" s="17" t="s">
        <v>155</v>
      </c>
      <c r="E4066" s="17"/>
      <c r="F4066" s="17" t="s">
        <v>156</v>
      </c>
      <c r="G4066" s="17"/>
      <c r="H4066" s="17" t="s">
        <v>692</v>
      </c>
      <c r="I4066" s="17"/>
      <c r="J4066" s="17" t="s">
        <v>693</v>
      </c>
      <c r="K4066" s="17"/>
      <c r="L4066" s="17"/>
      <c r="M4066" s="17"/>
      <c r="N4066" s="17"/>
      <c r="O4066" s="17"/>
      <c r="P4066" s="17" t="s">
        <v>2097</v>
      </c>
      <c r="Q4066" s="17"/>
      <c r="R4066" s="25" t="str">
        <f>HYPERLINK("https://ictv.global/taxonomy/taxondetails?taxnode_id=202314638","Ittyvirus itty13")</f>
        <v>Ittyvirus itty13</v>
      </c>
      <c r="S4066" s="18" t="s">
        <v>30</v>
      </c>
      <c r="T4066" s="18" t="s">
        <v>2098</v>
      </c>
      <c r="U4066" s="18"/>
      <c r="V4066" s="18"/>
      <c r="W4066" s="18" t="s">
        <v>2099</v>
      </c>
      <c r="X4066" s="18" t="s">
        <v>42</v>
      </c>
      <c r="Y4066" s="18" t="s">
        <v>36</v>
      </c>
      <c r="Z4066" s="18" t="s">
        <v>697</v>
      </c>
      <c r="AA4066" s="21" t="str">
        <f>HYPERLINK("https://www.ncbi.nlm.nih.gov/nuccore/MW460249","NCBI Nucleotide")</f>
        <v>NCBI Nucleotide</v>
      </c>
    </row>
    <row r="4067" spans="1:27" x14ac:dyDescent="0.35">
      <c r="A4067">
        <v>1005691</v>
      </c>
      <c r="B4067">
        <v>4043</v>
      </c>
      <c r="C4067">
        <v>1</v>
      </c>
      <c r="D4067" s="17" t="s">
        <v>155</v>
      </c>
      <c r="E4067" s="17"/>
      <c r="F4067" s="17" t="s">
        <v>156</v>
      </c>
      <c r="G4067" s="17"/>
      <c r="H4067" s="17" t="s">
        <v>692</v>
      </c>
      <c r="I4067" s="17"/>
      <c r="J4067" s="17" t="s">
        <v>693</v>
      </c>
      <c r="K4067" s="17"/>
      <c r="L4067" s="17"/>
      <c r="M4067" s="17"/>
      <c r="N4067" s="17"/>
      <c r="O4067" s="17"/>
      <c r="P4067" s="17" t="s">
        <v>2100</v>
      </c>
      <c r="Q4067" s="17"/>
      <c r="R4067" s="25" t="str">
        <f>HYPERLINK("https://ictv.global/taxonomy/taxondetails?taxnode_id=202307414","Jacevirus jace")</f>
        <v>Jacevirus jace</v>
      </c>
      <c r="S4067" s="18" t="s">
        <v>30</v>
      </c>
      <c r="T4067" s="18" t="s">
        <v>2101</v>
      </c>
      <c r="U4067" s="18"/>
      <c r="V4067" s="18"/>
      <c r="W4067" s="18" t="s">
        <v>2102</v>
      </c>
      <c r="X4067" s="18" t="s">
        <v>42</v>
      </c>
      <c r="Y4067" s="18" t="s">
        <v>36</v>
      </c>
      <c r="Z4067" s="18" t="s">
        <v>697</v>
      </c>
      <c r="AA4067" s="21" t="str">
        <f>HYPERLINK("https://www.ncbi.nlm.nih.gov/nuccore/MH153804","NCBI Nucleotide")</f>
        <v>NCBI Nucleotide</v>
      </c>
    </row>
    <row r="4068" spans="1:27" x14ac:dyDescent="0.35">
      <c r="A4068">
        <v>1005692</v>
      </c>
      <c r="B4068">
        <v>4044</v>
      </c>
      <c r="C4068">
        <v>1</v>
      </c>
      <c r="D4068" s="17" t="s">
        <v>155</v>
      </c>
      <c r="E4068" s="17"/>
      <c r="F4068" s="17" t="s">
        <v>156</v>
      </c>
      <c r="G4068" s="17"/>
      <c r="H4068" s="17" t="s">
        <v>692</v>
      </c>
      <c r="I4068" s="17"/>
      <c r="J4068" s="17" t="s">
        <v>693</v>
      </c>
      <c r="K4068" s="17"/>
      <c r="L4068" s="17"/>
      <c r="M4068" s="17"/>
      <c r="N4068" s="17"/>
      <c r="O4068" s="17"/>
      <c r="P4068" s="17" t="s">
        <v>2103</v>
      </c>
      <c r="Q4068" s="17"/>
      <c r="R4068" s="25" t="str">
        <f>HYPERLINK("https://ictv.global/taxonomy/taxondetails?taxnode_id=202310138","Jarrellvirus BCAJ1")</f>
        <v>Jarrellvirus BCAJ1</v>
      </c>
      <c r="S4068" s="18" t="s">
        <v>30</v>
      </c>
      <c r="T4068" s="18" t="s">
        <v>2104</v>
      </c>
      <c r="U4068" s="18"/>
      <c r="V4068" s="18"/>
      <c r="W4068" s="18" t="s">
        <v>2105</v>
      </c>
      <c r="X4068" s="18" t="s">
        <v>42</v>
      </c>
      <c r="Y4068" s="18" t="s">
        <v>36</v>
      </c>
      <c r="Z4068" s="18" t="s">
        <v>697</v>
      </c>
      <c r="AA4068" s="21" t="str">
        <f>HYPERLINK("https://www.ncbi.nlm.nih.gov/nuccore/AY616446","NCBI Nucleotide")</f>
        <v>NCBI Nucleotide</v>
      </c>
    </row>
    <row r="4069" spans="1:27" x14ac:dyDescent="0.35">
      <c r="A4069">
        <v>1005693</v>
      </c>
      <c r="B4069">
        <v>4045</v>
      </c>
      <c r="C4069">
        <v>1</v>
      </c>
      <c r="D4069" s="17" t="s">
        <v>155</v>
      </c>
      <c r="E4069" s="17"/>
      <c r="F4069" s="17" t="s">
        <v>156</v>
      </c>
      <c r="G4069" s="17"/>
      <c r="H4069" s="17" t="s">
        <v>692</v>
      </c>
      <c r="I4069" s="17"/>
      <c r="J4069" s="17" t="s">
        <v>693</v>
      </c>
      <c r="K4069" s="17"/>
      <c r="L4069" s="17"/>
      <c r="M4069" s="17"/>
      <c r="N4069" s="17"/>
      <c r="O4069" s="17"/>
      <c r="P4069" s="17" t="s">
        <v>2106</v>
      </c>
      <c r="Q4069" s="17"/>
      <c r="R4069" s="25" t="str">
        <f>HYPERLINK("https://ictv.global/taxonomy/taxondetails?taxnode_id=202306491","Jasminevirus adat")</f>
        <v>Jasminevirus adat</v>
      </c>
      <c r="S4069" s="18" t="s">
        <v>30</v>
      </c>
      <c r="T4069" s="18" t="s">
        <v>2107</v>
      </c>
      <c r="U4069" s="18"/>
      <c r="V4069" s="18"/>
      <c r="W4069" s="18" t="s">
        <v>2108</v>
      </c>
      <c r="X4069" s="18" t="s">
        <v>42</v>
      </c>
      <c r="Y4069" s="18" t="s">
        <v>36</v>
      </c>
      <c r="Z4069" s="18" t="s">
        <v>697</v>
      </c>
      <c r="AA4069" s="21" t="str">
        <f>HYPERLINK("https://www.ncbi.nlm.nih.gov/nuccore/MF668266","NCBI Nucleotide")</f>
        <v>NCBI Nucleotide</v>
      </c>
    </row>
    <row r="4070" spans="1:27" x14ac:dyDescent="0.35">
      <c r="A4070">
        <v>1005694</v>
      </c>
      <c r="B4070">
        <v>4046</v>
      </c>
      <c r="C4070">
        <v>1</v>
      </c>
      <c r="D4070" s="17" t="s">
        <v>155</v>
      </c>
      <c r="E4070" s="17"/>
      <c r="F4070" s="17" t="s">
        <v>156</v>
      </c>
      <c r="G4070" s="17"/>
      <c r="H4070" s="17" t="s">
        <v>692</v>
      </c>
      <c r="I4070" s="17"/>
      <c r="J4070" s="17" t="s">
        <v>693</v>
      </c>
      <c r="K4070" s="17"/>
      <c r="L4070" s="17"/>
      <c r="M4070" s="17"/>
      <c r="N4070" s="17"/>
      <c r="O4070" s="17"/>
      <c r="P4070" s="17" t="s">
        <v>2106</v>
      </c>
      <c r="Q4070" s="17"/>
      <c r="R4070" s="25" t="str">
        <f>HYPERLINK("https://ictv.global/taxonomy/taxondetails?taxnode_id=202306490","Jasminevirus jasmine")</f>
        <v>Jasminevirus jasmine</v>
      </c>
      <c r="S4070" s="18" t="s">
        <v>30</v>
      </c>
      <c r="T4070" s="18" t="s">
        <v>2109</v>
      </c>
      <c r="U4070" s="18"/>
      <c r="V4070" s="18"/>
      <c r="W4070" s="18" t="s">
        <v>2110</v>
      </c>
      <c r="X4070" s="18" t="s">
        <v>42</v>
      </c>
      <c r="Y4070" s="18" t="s">
        <v>36</v>
      </c>
      <c r="Z4070" s="18" t="s">
        <v>697</v>
      </c>
      <c r="AA4070" s="21" t="str">
        <f>HYPERLINK("https://www.ncbi.nlm.nih.gov/nuccore/KU160650","NCBI Nucleotide")</f>
        <v>NCBI Nucleotide</v>
      </c>
    </row>
    <row r="4071" spans="1:27" x14ac:dyDescent="0.35">
      <c r="A4071">
        <v>1005698</v>
      </c>
      <c r="B4071">
        <v>4047</v>
      </c>
      <c r="C4071">
        <v>1</v>
      </c>
      <c r="D4071" s="17" t="s">
        <v>155</v>
      </c>
      <c r="E4071" s="17"/>
      <c r="F4071" s="17" t="s">
        <v>156</v>
      </c>
      <c r="G4071" s="17"/>
      <c r="H4071" s="17" t="s">
        <v>692</v>
      </c>
      <c r="I4071" s="17"/>
      <c r="J4071" s="17" t="s">
        <v>693</v>
      </c>
      <c r="K4071" s="17"/>
      <c r="L4071" s="17"/>
      <c r="M4071" s="17"/>
      <c r="N4071" s="17"/>
      <c r="O4071" s="17"/>
      <c r="P4071" s="17" t="s">
        <v>2118</v>
      </c>
      <c r="Q4071" s="17"/>
      <c r="R4071" s="25" t="str">
        <f>HYPERLINK("https://ictv.global/taxonomy/taxondetails?taxnode_id=202300991","Jenstvirus jenst")</f>
        <v>Jenstvirus jenst</v>
      </c>
      <c r="S4071" s="18" t="s">
        <v>30</v>
      </c>
      <c r="T4071" s="18" t="s">
        <v>2119</v>
      </c>
      <c r="U4071" s="18"/>
      <c r="V4071" s="18"/>
      <c r="W4071" s="18" t="s">
        <v>2120</v>
      </c>
      <c r="X4071" s="18" t="s">
        <v>42</v>
      </c>
      <c r="Y4071" s="18" t="s">
        <v>36</v>
      </c>
      <c r="Z4071" s="18" t="s">
        <v>697</v>
      </c>
      <c r="AA4071" s="21" t="str">
        <f>HYPERLINK("https://www.ncbi.nlm.nih.gov/nuccore/KT151955","NCBI Nucleotide")</f>
        <v>NCBI Nucleotide</v>
      </c>
    </row>
    <row r="4072" spans="1:27" x14ac:dyDescent="0.35">
      <c r="A4072">
        <v>1005699</v>
      </c>
      <c r="B4072">
        <v>4048</v>
      </c>
      <c r="C4072">
        <v>1</v>
      </c>
      <c r="D4072" s="17" t="s">
        <v>155</v>
      </c>
      <c r="E4072" s="17"/>
      <c r="F4072" s="17" t="s">
        <v>156</v>
      </c>
      <c r="G4072" s="17"/>
      <c r="H4072" s="17" t="s">
        <v>692</v>
      </c>
      <c r="I4072" s="17"/>
      <c r="J4072" s="17" t="s">
        <v>693</v>
      </c>
      <c r="K4072" s="17"/>
      <c r="L4072" s="17"/>
      <c r="M4072" s="17"/>
      <c r="N4072" s="17"/>
      <c r="O4072" s="17"/>
      <c r="P4072" s="17" t="s">
        <v>2121</v>
      </c>
      <c r="Q4072" s="17"/>
      <c r="R4072" s="25" t="str">
        <f>HYPERLINK("https://ictv.global/taxonomy/taxondetails?taxnode_id=202300437","Jimmervirus jimmer")</f>
        <v>Jimmervirus jimmer</v>
      </c>
      <c r="S4072" s="18" t="s">
        <v>30</v>
      </c>
      <c r="T4072" s="18" t="s">
        <v>2122</v>
      </c>
      <c r="U4072" s="18"/>
      <c r="V4072" s="18"/>
      <c r="W4072" s="18" t="s">
        <v>2123</v>
      </c>
      <c r="X4072" s="18" t="s">
        <v>42</v>
      </c>
      <c r="Y4072" s="18" t="s">
        <v>36</v>
      </c>
      <c r="Z4072" s="18" t="s">
        <v>697</v>
      </c>
      <c r="AA4072" s="21" t="str">
        <f>HYPERLINK("https://www.ncbi.nlm.nih.gov/nuccore/KC595514","NCBI Nucleotide")</f>
        <v>NCBI Nucleotide</v>
      </c>
    </row>
    <row r="4073" spans="1:27" x14ac:dyDescent="0.35">
      <c r="A4073">
        <v>1005700</v>
      </c>
      <c r="B4073">
        <v>4049</v>
      </c>
      <c r="C4073">
        <v>1</v>
      </c>
      <c r="D4073" s="17" t="s">
        <v>155</v>
      </c>
      <c r="E4073" s="17"/>
      <c r="F4073" s="17" t="s">
        <v>156</v>
      </c>
      <c r="G4073" s="17"/>
      <c r="H4073" s="17" t="s">
        <v>692</v>
      </c>
      <c r="I4073" s="17"/>
      <c r="J4073" s="17" t="s">
        <v>693</v>
      </c>
      <c r="K4073" s="17"/>
      <c r="L4073" s="17"/>
      <c r="M4073" s="17"/>
      <c r="N4073" s="17"/>
      <c r="O4073" s="17"/>
      <c r="P4073" s="17" t="s">
        <v>2121</v>
      </c>
      <c r="Q4073" s="17"/>
      <c r="R4073" s="25" t="str">
        <f>HYPERLINK("https://ictv.global/taxonomy/taxondetails?taxnode_id=202300438","Jimmervirus osiris")</f>
        <v>Jimmervirus osiris</v>
      </c>
      <c r="S4073" s="18" t="s">
        <v>30</v>
      </c>
      <c r="T4073" s="18" t="s">
        <v>2124</v>
      </c>
      <c r="U4073" s="18"/>
      <c r="V4073" s="18"/>
      <c r="W4073" s="18" t="s">
        <v>2125</v>
      </c>
      <c r="X4073" s="18" t="s">
        <v>42</v>
      </c>
      <c r="Y4073" s="18" t="s">
        <v>36</v>
      </c>
      <c r="Z4073" s="18" t="s">
        <v>697</v>
      </c>
      <c r="AA4073" s="21" t="str">
        <f>HYPERLINK("https://www.ncbi.nlm.nih.gov/nuccore/KT151956","NCBI Nucleotide")</f>
        <v>NCBI Nucleotide</v>
      </c>
    </row>
    <row r="4074" spans="1:27" x14ac:dyDescent="0.35">
      <c r="A4074">
        <v>1005701</v>
      </c>
      <c r="B4074">
        <v>4050</v>
      </c>
      <c r="C4074">
        <v>1</v>
      </c>
      <c r="D4074" s="17" t="s">
        <v>155</v>
      </c>
      <c r="E4074" s="17"/>
      <c r="F4074" s="17" t="s">
        <v>156</v>
      </c>
      <c r="G4074" s="17"/>
      <c r="H4074" s="17" t="s">
        <v>692</v>
      </c>
      <c r="I4074" s="17"/>
      <c r="J4074" s="17" t="s">
        <v>693</v>
      </c>
      <c r="K4074" s="17"/>
      <c r="L4074" s="17"/>
      <c r="M4074" s="17"/>
      <c r="N4074" s="17"/>
      <c r="O4074" s="17"/>
      <c r="P4074" s="17" t="s">
        <v>2126</v>
      </c>
      <c r="Q4074" s="17"/>
      <c r="R4074" s="25" t="str">
        <f>HYPERLINK("https://ictv.global/taxonomy/taxondetails?taxnode_id=202309348","Jouyvirus ev017")</f>
        <v>Jouyvirus ev017</v>
      </c>
      <c r="S4074" s="18" t="s">
        <v>30</v>
      </c>
      <c r="T4074" s="18" t="s">
        <v>2127</v>
      </c>
      <c r="U4074" s="18"/>
      <c r="V4074" s="18"/>
      <c r="W4074" s="18" t="s">
        <v>2128</v>
      </c>
      <c r="X4074" s="18" t="s">
        <v>42</v>
      </c>
      <c r="Y4074" s="18" t="s">
        <v>36</v>
      </c>
      <c r="Z4074" s="18" t="s">
        <v>697</v>
      </c>
      <c r="AA4074" s="21" t="str">
        <f>HYPERLINK("https://www.ncbi.nlm.nih.gov/nuccore/LR597643","NCBI Nucleotide")</f>
        <v>NCBI Nucleotide</v>
      </c>
    </row>
    <row r="4075" spans="1:27" x14ac:dyDescent="0.35">
      <c r="A4075">
        <v>1005702</v>
      </c>
      <c r="B4075">
        <v>4051</v>
      </c>
      <c r="C4075">
        <v>1</v>
      </c>
      <c r="D4075" s="17" t="s">
        <v>155</v>
      </c>
      <c r="E4075" s="17"/>
      <c r="F4075" s="17" t="s">
        <v>156</v>
      </c>
      <c r="G4075" s="17"/>
      <c r="H4075" s="17" t="s">
        <v>692</v>
      </c>
      <c r="I4075" s="17"/>
      <c r="J4075" s="17" t="s">
        <v>693</v>
      </c>
      <c r="K4075" s="17"/>
      <c r="L4075" s="17"/>
      <c r="M4075" s="17"/>
      <c r="N4075" s="17"/>
      <c r="O4075" s="17"/>
      <c r="P4075" s="17" t="s">
        <v>2126</v>
      </c>
      <c r="Q4075" s="17"/>
      <c r="R4075" s="25" t="str">
        <f>HYPERLINK("https://ictv.global/taxonomy/taxondetails?taxnode_id=202309347","Jouyvirus ev207")</f>
        <v>Jouyvirus ev207</v>
      </c>
      <c r="S4075" s="18" t="s">
        <v>30</v>
      </c>
      <c r="T4075" s="18" t="s">
        <v>2129</v>
      </c>
      <c r="U4075" s="18"/>
      <c r="V4075" s="18"/>
      <c r="W4075" s="18" t="s">
        <v>2130</v>
      </c>
      <c r="X4075" s="18" t="s">
        <v>42</v>
      </c>
      <c r="Y4075" s="18" t="s">
        <v>36</v>
      </c>
      <c r="Z4075" s="18" t="s">
        <v>697</v>
      </c>
      <c r="AA4075" s="21" t="str">
        <f>HYPERLINK("https://www.ncbi.nlm.nih.gov/nuccore/LR597636","NCBI Nucleotide")</f>
        <v>NCBI Nucleotide</v>
      </c>
    </row>
    <row r="4076" spans="1:27" x14ac:dyDescent="0.35">
      <c r="A4076">
        <v>1005703</v>
      </c>
      <c r="B4076">
        <v>4052</v>
      </c>
      <c r="C4076">
        <v>1</v>
      </c>
      <c r="D4076" s="17" t="s">
        <v>155</v>
      </c>
      <c r="E4076" s="17"/>
      <c r="F4076" s="17" t="s">
        <v>156</v>
      </c>
      <c r="G4076" s="17"/>
      <c r="H4076" s="17" t="s">
        <v>692</v>
      </c>
      <c r="I4076" s="17"/>
      <c r="J4076" s="17" t="s">
        <v>693</v>
      </c>
      <c r="K4076" s="17"/>
      <c r="L4076" s="17"/>
      <c r="M4076" s="17"/>
      <c r="N4076" s="17"/>
      <c r="O4076" s="17"/>
      <c r="P4076" s="17" t="s">
        <v>2126</v>
      </c>
      <c r="Q4076" s="17"/>
      <c r="R4076" s="25" t="str">
        <f>HYPERLINK("https://ictv.global/taxonomy/taxondetails?taxnode_id=202309346","Jouyvirus jv1H12")</f>
        <v>Jouyvirus jv1H12</v>
      </c>
      <c r="S4076" s="18" t="s">
        <v>30</v>
      </c>
      <c r="T4076" s="18" t="s">
        <v>2131</v>
      </c>
      <c r="U4076" s="18"/>
      <c r="V4076" s="18"/>
      <c r="W4076" s="18" t="s">
        <v>2132</v>
      </c>
      <c r="X4076" s="18" t="s">
        <v>42</v>
      </c>
      <c r="Y4076" s="18" t="s">
        <v>36</v>
      </c>
      <c r="Z4076" s="18" t="s">
        <v>697</v>
      </c>
      <c r="AA4076" s="21" t="str">
        <f>HYPERLINK("https://www.ncbi.nlm.nih.gov/nuccore/LR595850","NCBI Nucleotide")</f>
        <v>NCBI Nucleotide</v>
      </c>
    </row>
    <row r="4077" spans="1:27" x14ac:dyDescent="0.35">
      <c r="A4077">
        <v>1005704</v>
      </c>
      <c r="B4077">
        <v>4053</v>
      </c>
      <c r="C4077">
        <v>1</v>
      </c>
      <c r="D4077" s="17" t="s">
        <v>155</v>
      </c>
      <c r="E4077" s="17"/>
      <c r="F4077" s="17" t="s">
        <v>156</v>
      </c>
      <c r="G4077" s="17"/>
      <c r="H4077" s="17" t="s">
        <v>692</v>
      </c>
      <c r="I4077" s="17"/>
      <c r="J4077" s="17" t="s">
        <v>693</v>
      </c>
      <c r="K4077" s="17"/>
      <c r="L4077" s="17"/>
      <c r="M4077" s="17"/>
      <c r="N4077" s="17"/>
      <c r="O4077" s="17"/>
      <c r="P4077" s="17" t="s">
        <v>2133</v>
      </c>
      <c r="Q4077" s="17"/>
      <c r="R4077" s="25" t="str">
        <f>HYPERLINK("https://ictv.global/taxonomy/taxondetails?taxnode_id=202307421","Juiceboxvirus juicebox")</f>
        <v>Juiceboxvirus juicebox</v>
      </c>
      <c r="S4077" s="18" t="s">
        <v>30</v>
      </c>
      <c r="T4077" s="18" t="s">
        <v>2134</v>
      </c>
      <c r="U4077" s="18"/>
      <c r="V4077" s="18"/>
      <c r="W4077" s="18" t="s">
        <v>2135</v>
      </c>
      <c r="X4077" s="18" t="s">
        <v>42</v>
      </c>
      <c r="Y4077" s="18" t="s">
        <v>36</v>
      </c>
      <c r="Z4077" s="18" t="s">
        <v>697</v>
      </c>
      <c r="AA4077" s="21" t="str">
        <f>HYPERLINK("https://www.ncbi.nlm.nih.gov/nuccore/MH727550","NCBI Nucleotide")</f>
        <v>NCBI Nucleotide</v>
      </c>
    </row>
    <row r="4078" spans="1:27" x14ac:dyDescent="0.35">
      <c r="A4078">
        <v>1005705</v>
      </c>
      <c r="B4078">
        <v>4054</v>
      </c>
      <c r="C4078">
        <v>1</v>
      </c>
      <c r="D4078" s="17" t="s">
        <v>155</v>
      </c>
      <c r="E4078" s="17"/>
      <c r="F4078" s="17" t="s">
        <v>156</v>
      </c>
      <c r="G4078" s="17"/>
      <c r="H4078" s="17" t="s">
        <v>692</v>
      </c>
      <c r="I4078" s="17"/>
      <c r="J4078" s="17" t="s">
        <v>693</v>
      </c>
      <c r="K4078" s="17"/>
      <c r="L4078" s="17"/>
      <c r="M4078" s="17"/>
      <c r="N4078" s="17"/>
      <c r="O4078" s="17"/>
      <c r="P4078" s="17" t="s">
        <v>2136</v>
      </c>
      <c r="Q4078" s="17"/>
      <c r="R4078" s="25" t="str">
        <f>HYPERLINK("https://ictv.global/taxonomy/taxondetails?taxnode_id=202312364","Jujuvirus azula")</f>
        <v>Jujuvirus azula</v>
      </c>
      <c r="S4078" s="18" t="s">
        <v>30</v>
      </c>
      <c r="T4078" s="18" t="s">
        <v>2137</v>
      </c>
      <c r="U4078" s="18"/>
      <c r="V4078" s="18"/>
      <c r="W4078" s="18" t="s">
        <v>2138</v>
      </c>
      <c r="X4078" s="18" t="s">
        <v>42</v>
      </c>
      <c r="Y4078" s="18" t="s">
        <v>36</v>
      </c>
      <c r="Z4078" s="18" t="s">
        <v>697</v>
      </c>
      <c r="AA4078" s="21" t="str">
        <f>HYPERLINK("https://www.ncbi.nlm.nih.gov/nuccore/MT723935","NCBI Nucleotide")</f>
        <v>NCBI Nucleotide</v>
      </c>
    </row>
    <row r="4079" spans="1:27" x14ac:dyDescent="0.35">
      <c r="A4079">
        <v>1005706</v>
      </c>
      <c r="B4079">
        <v>4055</v>
      </c>
      <c r="C4079">
        <v>1</v>
      </c>
      <c r="D4079" s="17" t="s">
        <v>155</v>
      </c>
      <c r="E4079" s="17"/>
      <c r="F4079" s="17" t="s">
        <v>156</v>
      </c>
      <c r="G4079" s="17"/>
      <c r="H4079" s="17" t="s">
        <v>692</v>
      </c>
      <c r="I4079" s="17"/>
      <c r="J4079" s="17" t="s">
        <v>693</v>
      </c>
      <c r="K4079" s="17"/>
      <c r="L4079" s="17"/>
      <c r="M4079" s="17"/>
      <c r="N4079" s="17"/>
      <c r="O4079" s="17"/>
      <c r="P4079" s="17" t="s">
        <v>2136</v>
      </c>
      <c r="Q4079" s="17"/>
      <c r="R4079" s="25" t="str">
        <f>HYPERLINK("https://ictv.global/taxonomy/taxondetails?taxnode_id=202312362","Jujuvirus blino")</f>
        <v>Jujuvirus blino</v>
      </c>
      <c r="S4079" s="18" t="s">
        <v>30</v>
      </c>
      <c r="T4079" s="18" t="s">
        <v>2139</v>
      </c>
      <c r="U4079" s="18"/>
      <c r="V4079" s="18"/>
      <c r="W4079" s="18" t="s">
        <v>2140</v>
      </c>
      <c r="X4079" s="18" t="s">
        <v>42</v>
      </c>
      <c r="Y4079" s="18" t="s">
        <v>36</v>
      </c>
      <c r="Z4079" s="18" t="s">
        <v>697</v>
      </c>
      <c r="AA4079" s="21" t="str">
        <f>HYPERLINK("https://www.ncbi.nlm.nih.gov/nuccore/MW291016","NCBI Nucleotide")</f>
        <v>NCBI Nucleotide</v>
      </c>
    </row>
    <row r="4080" spans="1:27" x14ac:dyDescent="0.35">
      <c r="A4080">
        <v>1005707</v>
      </c>
      <c r="B4080">
        <v>4056</v>
      </c>
      <c r="C4080">
        <v>1</v>
      </c>
      <c r="D4080" s="17" t="s">
        <v>155</v>
      </c>
      <c r="E4080" s="17"/>
      <c r="F4080" s="17" t="s">
        <v>156</v>
      </c>
      <c r="G4080" s="17"/>
      <c r="H4080" s="17" t="s">
        <v>692</v>
      </c>
      <c r="I4080" s="17"/>
      <c r="J4080" s="17" t="s">
        <v>693</v>
      </c>
      <c r="K4080" s="17"/>
      <c r="L4080" s="17"/>
      <c r="M4080" s="17"/>
      <c r="N4080" s="17"/>
      <c r="O4080" s="17"/>
      <c r="P4080" s="17" t="s">
        <v>2136</v>
      </c>
      <c r="Q4080" s="17"/>
      <c r="R4080" s="25" t="str">
        <f>HYPERLINK("https://ictv.global/taxonomy/taxondetails?taxnode_id=202312363","Jujuvirus frokostdame")</f>
        <v>Jujuvirus frokostdame</v>
      </c>
      <c r="S4080" s="18" t="s">
        <v>30</v>
      </c>
      <c r="T4080" s="18" t="s">
        <v>2141</v>
      </c>
      <c r="U4080" s="18"/>
      <c r="V4080" s="18"/>
      <c r="W4080" s="18" t="s">
        <v>2142</v>
      </c>
      <c r="X4080" s="18" t="s">
        <v>42</v>
      </c>
      <c r="Y4080" s="18" t="s">
        <v>36</v>
      </c>
      <c r="Z4080" s="18" t="s">
        <v>697</v>
      </c>
      <c r="AA4080" s="21" t="str">
        <f>HYPERLINK("https://www.ncbi.nlm.nih.gov/nuccore/MH536818","NCBI Nucleotide")</f>
        <v>NCBI Nucleotide</v>
      </c>
    </row>
    <row r="4081" spans="1:27" x14ac:dyDescent="0.35">
      <c r="A4081">
        <v>1005708</v>
      </c>
      <c r="B4081">
        <v>4057</v>
      </c>
      <c r="C4081">
        <v>1</v>
      </c>
      <c r="D4081" s="17" t="s">
        <v>155</v>
      </c>
      <c r="E4081" s="17"/>
      <c r="F4081" s="17" t="s">
        <v>156</v>
      </c>
      <c r="G4081" s="17"/>
      <c r="H4081" s="17" t="s">
        <v>692</v>
      </c>
      <c r="I4081" s="17"/>
      <c r="J4081" s="17" t="s">
        <v>693</v>
      </c>
      <c r="K4081" s="17"/>
      <c r="L4081" s="17"/>
      <c r="M4081" s="17"/>
      <c r="N4081" s="17"/>
      <c r="O4081" s="17"/>
      <c r="P4081" s="17" t="s">
        <v>2136</v>
      </c>
      <c r="Q4081" s="17"/>
      <c r="R4081" s="25" t="str">
        <f>HYPERLINK("https://ictv.global/taxonomy/taxondetails?taxnode_id=202312359","Jujuvirus juju")</f>
        <v>Jujuvirus juju</v>
      </c>
      <c r="S4081" s="18" t="s">
        <v>30</v>
      </c>
      <c r="T4081" s="18" t="s">
        <v>2143</v>
      </c>
      <c r="U4081" s="18"/>
      <c r="V4081" s="18"/>
      <c r="W4081" s="18" t="s">
        <v>2144</v>
      </c>
      <c r="X4081" s="18" t="s">
        <v>42</v>
      </c>
      <c r="Y4081" s="18" t="s">
        <v>36</v>
      </c>
      <c r="Z4081" s="18" t="s">
        <v>697</v>
      </c>
      <c r="AA4081" s="21" t="str">
        <f>HYPERLINK("https://www.ncbi.nlm.nih.gov/nuccore/MN062704","NCBI Nucleotide")</f>
        <v>NCBI Nucleotide</v>
      </c>
    </row>
    <row r="4082" spans="1:27" x14ac:dyDescent="0.35">
      <c r="A4082">
        <v>1005709</v>
      </c>
      <c r="B4082">
        <v>4058</v>
      </c>
      <c r="C4082">
        <v>1</v>
      </c>
      <c r="D4082" s="17" t="s">
        <v>155</v>
      </c>
      <c r="E4082" s="17"/>
      <c r="F4082" s="17" t="s">
        <v>156</v>
      </c>
      <c r="G4082" s="17"/>
      <c r="H4082" s="17" t="s">
        <v>692</v>
      </c>
      <c r="I4082" s="17"/>
      <c r="J4082" s="17" t="s">
        <v>693</v>
      </c>
      <c r="K4082" s="17"/>
      <c r="L4082" s="17"/>
      <c r="M4082" s="17"/>
      <c r="N4082" s="17"/>
      <c r="O4082" s="17"/>
      <c r="P4082" s="17" t="s">
        <v>2136</v>
      </c>
      <c r="Q4082" s="17"/>
      <c r="R4082" s="25" t="str">
        <f>HYPERLINK("https://ictv.global/taxonomy/taxondetails?taxnode_id=202312360","Jujuvirus petra")</f>
        <v>Jujuvirus petra</v>
      </c>
      <c r="S4082" s="18" t="s">
        <v>30</v>
      </c>
      <c r="T4082" s="18" t="s">
        <v>2145</v>
      </c>
      <c r="U4082" s="18"/>
      <c r="V4082" s="18"/>
      <c r="W4082" s="18" t="s">
        <v>2146</v>
      </c>
      <c r="X4082" s="18" t="s">
        <v>42</v>
      </c>
      <c r="Y4082" s="18" t="s">
        <v>36</v>
      </c>
      <c r="Z4082" s="18" t="s">
        <v>697</v>
      </c>
      <c r="AA4082" s="21" t="str">
        <f>HYPERLINK("https://www.ncbi.nlm.nih.gov/nuccore/MH153808","NCBI Nucleotide")</f>
        <v>NCBI Nucleotide</v>
      </c>
    </row>
    <row r="4083" spans="1:27" x14ac:dyDescent="0.35">
      <c r="A4083">
        <v>1005710</v>
      </c>
      <c r="B4083">
        <v>4059</v>
      </c>
      <c r="C4083">
        <v>1</v>
      </c>
      <c r="D4083" s="17" t="s">
        <v>155</v>
      </c>
      <c r="E4083" s="17"/>
      <c r="F4083" s="17" t="s">
        <v>156</v>
      </c>
      <c r="G4083" s="17"/>
      <c r="H4083" s="17" t="s">
        <v>692</v>
      </c>
      <c r="I4083" s="17"/>
      <c r="J4083" s="17" t="s">
        <v>693</v>
      </c>
      <c r="K4083" s="17"/>
      <c r="L4083" s="17"/>
      <c r="M4083" s="17"/>
      <c r="N4083" s="17"/>
      <c r="O4083" s="17"/>
      <c r="P4083" s="17" t="s">
        <v>2136</v>
      </c>
      <c r="Q4083" s="17"/>
      <c r="R4083" s="25" t="str">
        <f>HYPERLINK("https://ictv.global/taxonomy/taxondetails?taxnode_id=202312361","Jujuvirus walrus")</f>
        <v>Jujuvirus walrus</v>
      </c>
      <c r="S4083" s="18" t="s">
        <v>30</v>
      </c>
      <c r="T4083" s="18" t="s">
        <v>2147</v>
      </c>
      <c r="U4083" s="18"/>
      <c r="V4083" s="18"/>
      <c r="W4083" s="18" t="s">
        <v>2148</v>
      </c>
      <c r="X4083" s="18" t="s">
        <v>42</v>
      </c>
      <c r="Y4083" s="18" t="s">
        <v>36</v>
      </c>
      <c r="Z4083" s="18" t="s">
        <v>697</v>
      </c>
      <c r="AA4083" s="21" t="str">
        <f>HYPERLINK("https://www.ncbi.nlm.nih.gov/nuccore/MK501729","NCBI Nucleotide")</f>
        <v>NCBI Nucleotide</v>
      </c>
    </row>
    <row r="4084" spans="1:27" x14ac:dyDescent="0.35">
      <c r="A4084">
        <v>1005711</v>
      </c>
      <c r="B4084">
        <v>4060</v>
      </c>
      <c r="C4084">
        <v>1</v>
      </c>
      <c r="D4084" s="17" t="s">
        <v>155</v>
      </c>
      <c r="E4084" s="17"/>
      <c r="F4084" s="17" t="s">
        <v>156</v>
      </c>
      <c r="G4084" s="17"/>
      <c r="H4084" s="17" t="s">
        <v>692</v>
      </c>
      <c r="I4084" s="17"/>
      <c r="J4084" s="17" t="s">
        <v>693</v>
      </c>
      <c r="K4084" s="17"/>
      <c r="L4084" s="17"/>
      <c r="M4084" s="17"/>
      <c r="N4084" s="17"/>
      <c r="O4084" s="17"/>
      <c r="P4084" s="17" t="s">
        <v>2149</v>
      </c>
      <c r="Q4084" s="17"/>
      <c r="R4084" s="25" t="str">
        <f>HYPERLINK("https://ictv.global/taxonomy/taxondetails?taxnode_id=202310197","Junavirus J1")</f>
        <v>Junavirus J1</v>
      </c>
      <c r="S4084" s="18" t="s">
        <v>30</v>
      </c>
      <c r="T4084" s="18" t="s">
        <v>2150</v>
      </c>
      <c r="U4084" s="18"/>
      <c r="V4084" s="18"/>
      <c r="W4084" s="18" t="s">
        <v>2151</v>
      </c>
      <c r="X4084" s="18" t="s">
        <v>42</v>
      </c>
      <c r="Y4084" s="18" t="s">
        <v>36</v>
      </c>
      <c r="Z4084" s="18" t="s">
        <v>697</v>
      </c>
      <c r="AA4084" s="21" t="str">
        <f>HYPERLINK("https://www.ncbi.nlm.nih.gov/nuccore/KC171646","NCBI Nucleotide")</f>
        <v>NCBI Nucleotide</v>
      </c>
    </row>
    <row r="4085" spans="1:27" x14ac:dyDescent="0.35">
      <c r="A4085">
        <v>1005712</v>
      </c>
      <c r="B4085">
        <v>4061</v>
      </c>
      <c r="C4085">
        <v>1</v>
      </c>
      <c r="D4085" s="17" t="s">
        <v>155</v>
      </c>
      <c r="E4085" s="17"/>
      <c r="F4085" s="17" t="s">
        <v>156</v>
      </c>
      <c r="G4085" s="17"/>
      <c r="H4085" s="17" t="s">
        <v>692</v>
      </c>
      <c r="I4085" s="17"/>
      <c r="J4085" s="17" t="s">
        <v>693</v>
      </c>
      <c r="K4085" s="17"/>
      <c r="L4085" s="17"/>
      <c r="M4085" s="17"/>
      <c r="N4085" s="17"/>
      <c r="O4085" s="17"/>
      <c r="P4085" s="17" t="s">
        <v>2149</v>
      </c>
      <c r="Q4085" s="17"/>
      <c r="R4085" s="25" t="str">
        <f>HYPERLINK("https://ictv.global/taxonomy/taxondetails?taxnode_id=202310199","Junavirus LJ")</f>
        <v>Junavirus LJ</v>
      </c>
      <c r="S4085" s="18" t="s">
        <v>30</v>
      </c>
      <c r="T4085" s="18" t="s">
        <v>2152</v>
      </c>
      <c r="U4085" s="18"/>
      <c r="V4085" s="18"/>
      <c r="W4085" s="18" t="s">
        <v>2153</v>
      </c>
      <c r="X4085" s="18" t="s">
        <v>42</v>
      </c>
      <c r="Y4085" s="18" t="s">
        <v>36</v>
      </c>
      <c r="Z4085" s="18" t="s">
        <v>697</v>
      </c>
      <c r="AA4085" s="21" t="str">
        <f>HYPERLINK("https://www.ncbi.nlm.nih.gov/nuccore/MF999224","NCBI Nucleotide")</f>
        <v>NCBI Nucleotide</v>
      </c>
    </row>
    <row r="4086" spans="1:27" x14ac:dyDescent="0.35">
      <c r="A4086">
        <v>1005713</v>
      </c>
      <c r="B4086">
        <v>4062</v>
      </c>
      <c r="C4086">
        <v>1</v>
      </c>
      <c r="D4086" s="17" t="s">
        <v>155</v>
      </c>
      <c r="E4086" s="17"/>
      <c r="F4086" s="17" t="s">
        <v>156</v>
      </c>
      <c r="G4086" s="17"/>
      <c r="H4086" s="17" t="s">
        <v>692</v>
      </c>
      <c r="I4086" s="17"/>
      <c r="J4086" s="17" t="s">
        <v>693</v>
      </c>
      <c r="K4086" s="17"/>
      <c r="L4086" s="17"/>
      <c r="M4086" s="17"/>
      <c r="N4086" s="17"/>
      <c r="O4086" s="17"/>
      <c r="P4086" s="17" t="s">
        <v>2149</v>
      </c>
      <c r="Q4086" s="17"/>
      <c r="R4086" s="25" t="str">
        <f>HYPERLINK("https://ictv.global/taxonomy/taxondetails?taxnode_id=202310198","Junavirus PL1")</f>
        <v>Junavirus PL1</v>
      </c>
      <c r="S4086" s="18" t="s">
        <v>30</v>
      </c>
      <c r="T4086" s="18" t="s">
        <v>2154</v>
      </c>
      <c r="U4086" s="18"/>
      <c r="V4086" s="18"/>
      <c r="W4086" s="18" t="s">
        <v>2155</v>
      </c>
      <c r="X4086" s="18" t="s">
        <v>42</v>
      </c>
      <c r="Y4086" s="18" t="s">
        <v>36</v>
      </c>
      <c r="Z4086" s="18" t="s">
        <v>697</v>
      </c>
      <c r="AA4086" s="21" t="str">
        <f>HYPERLINK("https://www.ncbi.nlm.nih.gov/nuccore/KC171647","NCBI Nucleotide")</f>
        <v>NCBI Nucleotide</v>
      </c>
    </row>
    <row r="4087" spans="1:27" x14ac:dyDescent="0.35">
      <c r="A4087">
        <v>1005714</v>
      </c>
      <c r="B4087">
        <v>4063</v>
      </c>
      <c r="C4087">
        <v>1</v>
      </c>
      <c r="D4087" s="17" t="s">
        <v>155</v>
      </c>
      <c r="E4087" s="17"/>
      <c r="F4087" s="17" t="s">
        <v>156</v>
      </c>
      <c r="G4087" s="17"/>
      <c r="H4087" s="17" t="s">
        <v>692</v>
      </c>
      <c r="I4087" s="17"/>
      <c r="J4087" s="17" t="s">
        <v>693</v>
      </c>
      <c r="K4087" s="17"/>
      <c r="L4087" s="17"/>
      <c r="M4087" s="17"/>
      <c r="N4087" s="17"/>
      <c r="O4087" s="17"/>
      <c r="P4087" s="17" t="s">
        <v>2156</v>
      </c>
      <c r="Q4087" s="17"/>
      <c r="R4087" s="25" t="str">
        <f>HYPERLINK("https://ictv.global/taxonomy/taxondetails?taxnode_id=202300652","Kafunavirus KF1")</f>
        <v>Kafunavirus KF1</v>
      </c>
      <c r="S4087" s="18" t="s">
        <v>30</v>
      </c>
      <c r="T4087" s="18" t="s">
        <v>2157</v>
      </c>
      <c r="U4087" s="18"/>
      <c r="V4087" s="18"/>
      <c r="W4087" s="18" t="s">
        <v>2158</v>
      </c>
      <c r="X4087" s="18" t="s">
        <v>42</v>
      </c>
      <c r="Y4087" s="18" t="s">
        <v>36</v>
      </c>
      <c r="Z4087" s="18" t="s">
        <v>697</v>
      </c>
      <c r="AA4087" s="21" t="str">
        <f>HYPERLINK("https://www.ncbi.nlm.nih.gov/nuccore/AB757800","NCBI Nucleotide")</f>
        <v>NCBI Nucleotide</v>
      </c>
    </row>
    <row r="4088" spans="1:27" x14ac:dyDescent="0.35">
      <c r="A4088">
        <v>1005715</v>
      </c>
      <c r="B4088">
        <v>4064</v>
      </c>
      <c r="C4088">
        <v>1</v>
      </c>
      <c r="D4088" s="17" t="s">
        <v>155</v>
      </c>
      <c r="E4088" s="17"/>
      <c r="F4088" s="17" t="s">
        <v>156</v>
      </c>
      <c r="G4088" s="17"/>
      <c r="H4088" s="17" t="s">
        <v>692</v>
      </c>
      <c r="I4088" s="17"/>
      <c r="J4088" s="17" t="s">
        <v>693</v>
      </c>
      <c r="K4088" s="17"/>
      <c r="L4088" s="17"/>
      <c r="M4088" s="17"/>
      <c r="N4088" s="17"/>
      <c r="O4088" s="17"/>
      <c r="P4088" s="17" t="s">
        <v>2159</v>
      </c>
      <c r="Q4088" s="17"/>
      <c r="R4088" s="25" t="str">
        <f>HYPERLINK("https://ictv.global/taxonomy/taxondetails?taxnode_id=202306840","Kairosalinivirus M31CR412")</f>
        <v>Kairosalinivirus M31CR412</v>
      </c>
      <c r="S4088" s="18" t="s">
        <v>30</v>
      </c>
      <c r="T4088" s="18" t="s">
        <v>2160</v>
      </c>
      <c r="U4088" s="18"/>
      <c r="V4088" s="18"/>
      <c r="W4088" s="18" t="s">
        <v>2161</v>
      </c>
      <c r="X4088" s="18" t="s">
        <v>154</v>
      </c>
      <c r="Y4088" s="18" t="s">
        <v>36</v>
      </c>
      <c r="Z4088" s="18" t="s">
        <v>697</v>
      </c>
      <c r="AA4088" s="21" t="str">
        <f>HYPERLINK("https://www.ncbi.nlm.nih.gov/nuccore/MF580961","NCBI Nucleotide")</f>
        <v>NCBI Nucleotide</v>
      </c>
    </row>
    <row r="4089" spans="1:27" x14ac:dyDescent="0.35">
      <c r="A4089">
        <v>1005716</v>
      </c>
      <c r="B4089">
        <v>4065</v>
      </c>
      <c r="C4089">
        <v>1</v>
      </c>
      <c r="D4089" s="17" t="s">
        <v>155</v>
      </c>
      <c r="E4089" s="17"/>
      <c r="F4089" s="17" t="s">
        <v>156</v>
      </c>
      <c r="G4089" s="17"/>
      <c r="H4089" s="17" t="s">
        <v>692</v>
      </c>
      <c r="I4089" s="17"/>
      <c r="J4089" s="17" t="s">
        <v>693</v>
      </c>
      <c r="K4089" s="17"/>
      <c r="L4089" s="17"/>
      <c r="M4089" s="17"/>
      <c r="N4089" s="17"/>
      <c r="O4089" s="17"/>
      <c r="P4089" s="17" t="s">
        <v>2159</v>
      </c>
      <c r="Q4089" s="17"/>
      <c r="R4089" s="25" t="str">
        <f>HYPERLINK("https://ictv.global/taxonomy/taxondetails?taxnode_id=202306841","Kairosalinivirus SRUTV1")</f>
        <v>Kairosalinivirus SRUTV1</v>
      </c>
      <c r="S4089" s="18" t="s">
        <v>30</v>
      </c>
      <c r="T4089" s="18" t="s">
        <v>2162</v>
      </c>
      <c r="U4089" s="18"/>
      <c r="V4089" s="18"/>
      <c r="W4089" s="18" t="s">
        <v>2163</v>
      </c>
      <c r="X4089" s="18" t="s">
        <v>154</v>
      </c>
      <c r="Y4089" s="18" t="s">
        <v>36</v>
      </c>
      <c r="Z4089" s="18" t="s">
        <v>697</v>
      </c>
      <c r="AA4089" s="21" t="str">
        <f>HYPERLINK("https://www.ncbi.nlm.nih.gov/nuccore/MF629150","NCBI Nucleotide")</f>
        <v>NCBI Nucleotide</v>
      </c>
    </row>
    <row r="4090" spans="1:27" x14ac:dyDescent="0.35">
      <c r="A4090">
        <v>1005717</v>
      </c>
      <c r="B4090">
        <v>4066</v>
      </c>
      <c r="C4090">
        <v>1</v>
      </c>
      <c r="D4090" s="17" t="s">
        <v>155</v>
      </c>
      <c r="E4090" s="17"/>
      <c r="F4090" s="17" t="s">
        <v>156</v>
      </c>
      <c r="G4090" s="17"/>
      <c r="H4090" s="17" t="s">
        <v>692</v>
      </c>
      <c r="I4090" s="17"/>
      <c r="J4090" s="17" t="s">
        <v>693</v>
      </c>
      <c r="K4090" s="17"/>
      <c r="L4090" s="17"/>
      <c r="M4090" s="17"/>
      <c r="N4090" s="17"/>
      <c r="O4090" s="17"/>
      <c r="P4090" s="17" t="s">
        <v>2164</v>
      </c>
      <c r="Q4090" s="17"/>
      <c r="R4090" s="25" t="str">
        <f>HYPERLINK("https://ictv.global/taxonomy/taxondetails?taxnode_id=202310140","Kamchatkavirus AP45")</f>
        <v>Kamchatkavirus AP45</v>
      </c>
      <c r="S4090" s="18" t="s">
        <v>30</v>
      </c>
      <c r="T4090" s="18" t="s">
        <v>2165</v>
      </c>
      <c r="U4090" s="18"/>
      <c r="V4090" s="18"/>
      <c r="W4090" s="18" t="s">
        <v>2166</v>
      </c>
      <c r="X4090" s="18" t="s">
        <v>42</v>
      </c>
      <c r="Y4090" s="18" t="s">
        <v>36</v>
      </c>
      <c r="Z4090" s="18" t="s">
        <v>697</v>
      </c>
      <c r="AA4090" s="21" t="str">
        <f>HYPERLINK("https://www.ncbi.nlm.nih.gov/nuccore/KX965989","NCBI Nucleotide")</f>
        <v>NCBI Nucleotide</v>
      </c>
    </row>
    <row r="4091" spans="1:27" x14ac:dyDescent="0.35">
      <c r="A4091">
        <v>1005718</v>
      </c>
      <c r="B4091">
        <v>4067</v>
      </c>
      <c r="C4091">
        <v>1</v>
      </c>
      <c r="D4091" s="17" t="s">
        <v>155</v>
      </c>
      <c r="E4091" s="17"/>
      <c r="F4091" s="17" t="s">
        <v>156</v>
      </c>
      <c r="G4091" s="17"/>
      <c r="H4091" s="17" t="s">
        <v>692</v>
      </c>
      <c r="I4091" s="17"/>
      <c r="J4091" s="17" t="s">
        <v>693</v>
      </c>
      <c r="K4091" s="17"/>
      <c r="L4091" s="17"/>
      <c r="M4091" s="17"/>
      <c r="N4091" s="17"/>
      <c r="O4091" s="17"/>
      <c r="P4091" s="17" t="s">
        <v>2167</v>
      </c>
      <c r="Q4091" s="17"/>
      <c r="R4091" s="25" t="str">
        <f>HYPERLINK("https://ictv.global/taxonomy/taxondetails?taxnode_id=202300996","Kelleziovirus kellezzio")</f>
        <v>Kelleziovirus kellezzio</v>
      </c>
      <c r="S4091" s="18" t="s">
        <v>30</v>
      </c>
      <c r="T4091" s="18" t="s">
        <v>2168</v>
      </c>
      <c r="U4091" s="18"/>
      <c r="V4091" s="18"/>
      <c r="W4091" s="18" t="s">
        <v>2169</v>
      </c>
      <c r="X4091" s="18" t="s">
        <v>42</v>
      </c>
      <c r="Y4091" s="18" t="s">
        <v>36</v>
      </c>
      <c r="Z4091" s="18" t="s">
        <v>697</v>
      </c>
      <c r="AA4091" s="21" t="str">
        <f>HYPERLINK("https://www.ncbi.nlm.nih.gov/nuccore/KU647626","NCBI Nucleotide")</f>
        <v>NCBI Nucleotide</v>
      </c>
    </row>
    <row r="4092" spans="1:27" x14ac:dyDescent="0.35">
      <c r="A4092">
        <v>1005719</v>
      </c>
      <c r="B4092">
        <v>4068</v>
      </c>
      <c r="C4092">
        <v>1</v>
      </c>
      <c r="D4092" s="17" t="s">
        <v>155</v>
      </c>
      <c r="E4092" s="17"/>
      <c r="F4092" s="17" t="s">
        <v>156</v>
      </c>
      <c r="G4092" s="17"/>
      <c r="H4092" s="17" t="s">
        <v>692</v>
      </c>
      <c r="I4092" s="17"/>
      <c r="J4092" s="17" t="s">
        <v>693</v>
      </c>
      <c r="K4092" s="17"/>
      <c r="L4092" s="17"/>
      <c r="M4092" s="17"/>
      <c r="N4092" s="17"/>
      <c r="O4092" s="17"/>
      <c r="P4092" s="17" t="s">
        <v>2167</v>
      </c>
      <c r="Q4092" s="17"/>
      <c r="R4092" s="25" t="str">
        <f>HYPERLINK("https://ictv.global/taxonomy/taxondetails?taxnode_id=202300997","Kelleziovirus kitkat")</f>
        <v>Kelleziovirus kitkat</v>
      </c>
      <c r="S4092" s="18" t="s">
        <v>30</v>
      </c>
      <c r="T4092" s="18" t="s">
        <v>2170</v>
      </c>
      <c r="U4092" s="18"/>
      <c r="V4092" s="18"/>
      <c r="W4092" s="18" t="s">
        <v>2171</v>
      </c>
      <c r="X4092" s="18" t="s">
        <v>42</v>
      </c>
      <c r="Y4092" s="18" t="s">
        <v>36</v>
      </c>
      <c r="Z4092" s="18" t="s">
        <v>697</v>
      </c>
      <c r="AA4092" s="21" t="str">
        <f>HYPERLINK("https://www.ncbi.nlm.nih.gov/nuccore/KU647627","NCBI Nucleotide")</f>
        <v>NCBI Nucleotide</v>
      </c>
    </row>
    <row r="4093" spans="1:27" x14ac:dyDescent="0.35">
      <c r="A4093">
        <v>1005720</v>
      </c>
      <c r="B4093">
        <v>4069</v>
      </c>
      <c r="C4093">
        <v>1</v>
      </c>
      <c r="D4093" s="17" t="s">
        <v>155</v>
      </c>
      <c r="E4093" s="17"/>
      <c r="F4093" s="17" t="s">
        <v>156</v>
      </c>
      <c r="G4093" s="17"/>
      <c r="H4093" s="17" t="s">
        <v>692</v>
      </c>
      <c r="I4093" s="17"/>
      <c r="J4093" s="17" t="s">
        <v>693</v>
      </c>
      <c r="K4093" s="17"/>
      <c r="L4093" s="17"/>
      <c r="M4093" s="17"/>
      <c r="N4093" s="17"/>
      <c r="O4093" s="17"/>
      <c r="P4093" s="17" t="s">
        <v>2172</v>
      </c>
      <c r="Q4093" s="17"/>
      <c r="R4093" s="25" t="str">
        <f>HYPERLINK("https://ictv.global/taxonomy/taxondetails?taxnode_id=202308022","Kelquatrovirus KL4")</f>
        <v>Kelquatrovirus KL4</v>
      </c>
      <c r="S4093" s="18" t="s">
        <v>30</v>
      </c>
      <c r="T4093" s="18" t="s">
        <v>2173</v>
      </c>
      <c r="U4093" s="18"/>
      <c r="V4093" s="18"/>
      <c r="W4093" s="18" t="s">
        <v>2174</v>
      </c>
      <c r="X4093" s="18" t="s">
        <v>42</v>
      </c>
      <c r="Y4093" s="18" t="s">
        <v>36</v>
      </c>
      <c r="Z4093" s="18" t="s">
        <v>697</v>
      </c>
      <c r="AA4093" s="21" t="str">
        <f>HYPERLINK("https://www.ncbi.nlm.nih.gov/nuccore/MH128984","NCBI Nucleotide")</f>
        <v>NCBI Nucleotide</v>
      </c>
    </row>
    <row r="4094" spans="1:27" x14ac:dyDescent="0.35">
      <c r="A4094">
        <v>1005723</v>
      </c>
      <c r="B4094">
        <v>4070</v>
      </c>
      <c r="C4094">
        <v>1</v>
      </c>
      <c r="D4094" s="17" t="s">
        <v>155</v>
      </c>
      <c r="E4094" s="17"/>
      <c r="F4094" s="17" t="s">
        <v>156</v>
      </c>
      <c r="G4094" s="17"/>
      <c r="H4094" s="17" t="s">
        <v>692</v>
      </c>
      <c r="I4094" s="17"/>
      <c r="J4094" s="17" t="s">
        <v>693</v>
      </c>
      <c r="K4094" s="17"/>
      <c r="L4094" s="17"/>
      <c r="M4094" s="17"/>
      <c r="N4094" s="17"/>
      <c r="O4094" s="17"/>
      <c r="P4094" s="17" t="s">
        <v>2181</v>
      </c>
      <c r="Q4094" s="17"/>
      <c r="R4094" s="25" t="str">
        <f>HYPERLINK("https://ictv.global/taxonomy/taxondetails?taxnode_id=202312366","Kimonavirus kimona")</f>
        <v>Kimonavirus kimona</v>
      </c>
      <c r="S4094" s="18" t="s">
        <v>30</v>
      </c>
      <c r="T4094" s="18" t="s">
        <v>2182</v>
      </c>
      <c r="U4094" s="18"/>
      <c r="V4094" s="18"/>
      <c r="W4094" s="18" t="s">
        <v>2183</v>
      </c>
      <c r="X4094" s="18" t="s">
        <v>42</v>
      </c>
      <c r="Y4094" s="18" t="s">
        <v>36</v>
      </c>
      <c r="Z4094" s="18" t="s">
        <v>697</v>
      </c>
      <c r="AA4094" s="21" t="str">
        <f>HYPERLINK("https://www.ncbi.nlm.nih.gov/nuccore/MF472895","NCBI Nucleotide")</f>
        <v>NCBI Nucleotide</v>
      </c>
    </row>
    <row r="4095" spans="1:27" x14ac:dyDescent="0.35">
      <c r="A4095">
        <v>1005724</v>
      </c>
      <c r="B4095">
        <v>4071</v>
      </c>
      <c r="C4095">
        <v>1</v>
      </c>
      <c r="D4095" s="17" t="s">
        <v>155</v>
      </c>
      <c r="E4095" s="17"/>
      <c r="F4095" s="17" t="s">
        <v>156</v>
      </c>
      <c r="G4095" s="17"/>
      <c r="H4095" s="17" t="s">
        <v>692</v>
      </c>
      <c r="I4095" s="17"/>
      <c r="J4095" s="17" t="s">
        <v>693</v>
      </c>
      <c r="K4095" s="17"/>
      <c r="L4095" s="17"/>
      <c r="M4095" s="17"/>
      <c r="N4095" s="17"/>
      <c r="O4095" s="17"/>
      <c r="P4095" s="17" t="s">
        <v>2184</v>
      </c>
      <c r="Q4095" s="17"/>
      <c r="R4095" s="25" t="str">
        <f>HYPERLINK("https://ictv.global/taxonomy/taxondetails?taxnode_id=202300382","Klausavirus ArV1")</f>
        <v>Klausavirus ArV1</v>
      </c>
      <c r="S4095" s="18" t="s">
        <v>30</v>
      </c>
      <c r="T4095" s="18" t="s">
        <v>2185</v>
      </c>
      <c r="U4095" s="18"/>
      <c r="V4095" s="18"/>
      <c r="W4095" s="18" t="s">
        <v>2186</v>
      </c>
      <c r="X4095" s="18" t="s">
        <v>42</v>
      </c>
      <c r="Y4095" s="18" t="s">
        <v>36</v>
      </c>
      <c r="Z4095" s="18" t="s">
        <v>697</v>
      </c>
      <c r="AA4095" s="21" t="str">
        <f>HYPERLINK("https://www.ncbi.nlm.nih.gov/nuccore/KM879463","NCBI Nucleotide")</f>
        <v>NCBI Nucleotide</v>
      </c>
    </row>
    <row r="4096" spans="1:27" x14ac:dyDescent="0.35">
      <c r="A4096">
        <v>1005725</v>
      </c>
      <c r="B4096">
        <v>4072</v>
      </c>
      <c r="C4096">
        <v>1</v>
      </c>
      <c r="D4096" s="17" t="s">
        <v>155</v>
      </c>
      <c r="E4096" s="17"/>
      <c r="F4096" s="17" t="s">
        <v>156</v>
      </c>
      <c r="G4096" s="17"/>
      <c r="H4096" s="17" t="s">
        <v>692</v>
      </c>
      <c r="I4096" s="17"/>
      <c r="J4096" s="17" t="s">
        <v>693</v>
      </c>
      <c r="K4096" s="17"/>
      <c r="L4096" s="17"/>
      <c r="M4096" s="17"/>
      <c r="N4096" s="17"/>
      <c r="O4096" s="17"/>
      <c r="P4096" s="17" t="s">
        <v>2184</v>
      </c>
      <c r="Q4096" s="17"/>
      <c r="R4096" s="25" t="str">
        <f>HYPERLINK("https://ictv.global/taxonomy/taxondetails?taxnode_id=202306996","Klausavirus colucci")</f>
        <v>Klausavirus colucci</v>
      </c>
      <c r="S4096" s="18" t="s">
        <v>30</v>
      </c>
      <c r="T4096" s="18" t="s">
        <v>2187</v>
      </c>
      <c r="U4096" s="18"/>
      <c r="V4096" s="18"/>
      <c r="W4096" s="18" t="s">
        <v>2188</v>
      </c>
      <c r="X4096" s="18" t="s">
        <v>42</v>
      </c>
      <c r="Y4096" s="18" t="s">
        <v>36</v>
      </c>
      <c r="Z4096" s="18" t="s">
        <v>697</v>
      </c>
      <c r="AA4096" s="21" t="str">
        <f>HYPERLINK("https://www.ncbi.nlm.nih.gov/nuccore/MF185718","NCBI Nucleotide")</f>
        <v>NCBI Nucleotide</v>
      </c>
    </row>
    <row r="4097" spans="1:27" x14ac:dyDescent="0.35">
      <c r="A4097">
        <v>1005726</v>
      </c>
      <c r="B4097">
        <v>4073</v>
      </c>
      <c r="C4097">
        <v>1</v>
      </c>
      <c r="D4097" s="17" t="s">
        <v>155</v>
      </c>
      <c r="E4097" s="17"/>
      <c r="F4097" s="17" t="s">
        <v>156</v>
      </c>
      <c r="G4097" s="17"/>
      <c r="H4097" s="17" t="s">
        <v>692</v>
      </c>
      <c r="I4097" s="17"/>
      <c r="J4097" s="17" t="s">
        <v>693</v>
      </c>
      <c r="K4097" s="17"/>
      <c r="L4097" s="17"/>
      <c r="M4097" s="17"/>
      <c r="N4097" s="17"/>
      <c r="O4097" s="17"/>
      <c r="P4097" s="17" t="s">
        <v>2184</v>
      </c>
      <c r="Q4097" s="17"/>
      <c r="R4097" s="25" t="str">
        <f>HYPERLINK("https://ictv.global/taxonomy/taxondetails?taxnode_id=202311644","Klausavirus dryang")</f>
        <v>Klausavirus dryang</v>
      </c>
      <c r="S4097" s="18" t="s">
        <v>30</v>
      </c>
      <c r="T4097" s="18" t="s">
        <v>2189</v>
      </c>
      <c r="U4097" s="18"/>
      <c r="V4097" s="18"/>
      <c r="W4097" s="18" t="s">
        <v>2190</v>
      </c>
      <c r="X4097" s="18" t="s">
        <v>42</v>
      </c>
      <c r="Y4097" s="18" t="s">
        <v>36</v>
      </c>
      <c r="Z4097" s="18" t="s">
        <v>697</v>
      </c>
      <c r="AA4097" s="21" t="str">
        <f>HYPERLINK("https://www.ncbi.nlm.nih.gov/nuccore/MN703411","NCBI Nucleotide")</f>
        <v>NCBI Nucleotide</v>
      </c>
    </row>
    <row r="4098" spans="1:27" x14ac:dyDescent="0.35">
      <c r="A4098">
        <v>1005727</v>
      </c>
      <c r="B4098">
        <v>4074</v>
      </c>
      <c r="C4098">
        <v>1</v>
      </c>
      <c r="D4098" s="17" t="s">
        <v>155</v>
      </c>
      <c r="E4098" s="17"/>
      <c r="F4098" s="17" t="s">
        <v>156</v>
      </c>
      <c r="G4098" s="17"/>
      <c r="H4098" s="17" t="s">
        <v>692</v>
      </c>
      <c r="I4098" s="17"/>
      <c r="J4098" s="17" t="s">
        <v>693</v>
      </c>
      <c r="K4098" s="17"/>
      <c r="L4098" s="17"/>
      <c r="M4098" s="17"/>
      <c r="N4098" s="17"/>
      <c r="O4098" s="17"/>
      <c r="P4098" s="17" t="s">
        <v>2184</v>
      </c>
      <c r="Q4098" s="17"/>
      <c r="R4098" s="25" t="str">
        <f>HYPERLINK("https://ictv.global/taxonomy/taxondetails?taxnode_id=202311643","Klausavirus kburrousTX")</f>
        <v>Klausavirus kburrousTX</v>
      </c>
      <c r="S4098" s="18" t="s">
        <v>30</v>
      </c>
      <c r="T4098" s="18" t="s">
        <v>2191</v>
      </c>
      <c r="U4098" s="18"/>
      <c r="V4098" s="18"/>
      <c r="W4098" s="18" t="s">
        <v>2192</v>
      </c>
      <c r="X4098" s="18" t="s">
        <v>42</v>
      </c>
      <c r="Y4098" s="18" t="s">
        <v>36</v>
      </c>
      <c r="Z4098" s="18" t="s">
        <v>697</v>
      </c>
      <c r="AA4098" s="21" t="str">
        <f>HYPERLINK("https://www.ncbi.nlm.nih.gov/nuccore/MH744419","NCBI Nucleotide")</f>
        <v>NCBI Nucleotide</v>
      </c>
    </row>
    <row r="4099" spans="1:27" x14ac:dyDescent="0.35">
      <c r="A4099">
        <v>1005728</v>
      </c>
      <c r="B4099">
        <v>4075</v>
      </c>
      <c r="C4099">
        <v>1</v>
      </c>
      <c r="D4099" s="17" t="s">
        <v>155</v>
      </c>
      <c r="E4099" s="17"/>
      <c r="F4099" s="17" t="s">
        <v>156</v>
      </c>
      <c r="G4099" s="17"/>
      <c r="H4099" s="17" t="s">
        <v>692</v>
      </c>
      <c r="I4099" s="17"/>
      <c r="J4099" s="17" t="s">
        <v>693</v>
      </c>
      <c r="K4099" s="17"/>
      <c r="L4099" s="17"/>
      <c r="M4099" s="17"/>
      <c r="N4099" s="17"/>
      <c r="O4099" s="17"/>
      <c r="P4099" s="17" t="s">
        <v>2184</v>
      </c>
      <c r="Q4099" s="17"/>
      <c r="R4099" s="25" t="str">
        <f>HYPERLINK("https://ictv.global/taxonomy/taxondetails?taxnode_id=202311645","Klausavirus lymara")</f>
        <v>Klausavirus lymara</v>
      </c>
      <c r="S4099" s="18" t="s">
        <v>30</v>
      </c>
      <c r="T4099" s="18" t="s">
        <v>2193</v>
      </c>
      <c r="U4099" s="18"/>
      <c r="V4099" s="18"/>
      <c r="W4099" s="18" t="s">
        <v>2194</v>
      </c>
      <c r="X4099" s="18" t="s">
        <v>42</v>
      </c>
      <c r="Y4099" s="18" t="s">
        <v>36</v>
      </c>
      <c r="Z4099" s="18" t="s">
        <v>697</v>
      </c>
      <c r="AA4099" s="21" t="str">
        <f>HYPERLINK("https://www.ncbi.nlm.nih.gov/nuccore/MN234234","NCBI Nucleotide")</f>
        <v>NCBI Nucleotide</v>
      </c>
    </row>
    <row r="4100" spans="1:27" x14ac:dyDescent="0.35">
      <c r="A4100">
        <v>1005729</v>
      </c>
      <c r="B4100">
        <v>4076</v>
      </c>
      <c r="C4100">
        <v>1</v>
      </c>
      <c r="D4100" s="17" t="s">
        <v>155</v>
      </c>
      <c r="E4100" s="17"/>
      <c r="F4100" s="17" t="s">
        <v>156</v>
      </c>
      <c r="G4100" s="17"/>
      <c r="H4100" s="17" t="s">
        <v>692</v>
      </c>
      <c r="I4100" s="17"/>
      <c r="J4100" s="17" t="s">
        <v>693</v>
      </c>
      <c r="K4100" s="17"/>
      <c r="L4100" s="17"/>
      <c r="M4100" s="17"/>
      <c r="N4100" s="17"/>
      <c r="O4100" s="17"/>
      <c r="P4100" s="17" t="s">
        <v>2184</v>
      </c>
      <c r="Q4100" s="17"/>
      <c r="R4100" s="25" t="str">
        <f>HYPERLINK("https://ictv.global/taxonomy/taxondetails?taxnode_id=202300383","Klausavirus princesstrina")</f>
        <v>Klausavirus princesstrina</v>
      </c>
      <c r="S4100" s="18" t="s">
        <v>30</v>
      </c>
      <c r="T4100" s="18" t="s">
        <v>2195</v>
      </c>
      <c r="U4100" s="18"/>
      <c r="V4100" s="18"/>
      <c r="W4100" s="18" t="s">
        <v>2196</v>
      </c>
      <c r="X4100" s="18" t="s">
        <v>42</v>
      </c>
      <c r="Y4100" s="18" t="s">
        <v>36</v>
      </c>
      <c r="Z4100" s="18" t="s">
        <v>697</v>
      </c>
      <c r="AA4100" s="21" t="str">
        <f>HYPERLINK("https://www.ncbi.nlm.nih.gov/nuccore/KU160660","NCBI Nucleotide")</f>
        <v>NCBI Nucleotide</v>
      </c>
    </row>
    <row r="4101" spans="1:27" x14ac:dyDescent="0.35">
      <c r="A4101">
        <v>1005730</v>
      </c>
      <c r="B4101">
        <v>4077</v>
      </c>
      <c r="C4101">
        <v>1</v>
      </c>
      <c r="D4101" s="17" t="s">
        <v>155</v>
      </c>
      <c r="E4101" s="17"/>
      <c r="F4101" s="17" t="s">
        <v>156</v>
      </c>
      <c r="G4101" s="17"/>
      <c r="H4101" s="17" t="s">
        <v>692</v>
      </c>
      <c r="I4101" s="17"/>
      <c r="J4101" s="17" t="s">
        <v>693</v>
      </c>
      <c r="K4101" s="17"/>
      <c r="L4101" s="17"/>
      <c r="M4101" s="17"/>
      <c r="N4101" s="17"/>
      <c r="O4101" s="17"/>
      <c r="P4101" s="17" t="s">
        <v>2197</v>
      </c>
      <c r="Q4101" s="17"/>
      <c r="R4101" s="25" t="str">
        <f>HYPERLINK("https://ictv.global/taxonomy/taxondetails?taxnode_id=202300491","Kleczkowskavirus RHEph4")</f>
        <v>Kleczkowskavirus RHEph4</v>
      </c>
      <c r="S4101" s="18" t="s">
        <v>30</v>
      </c>
      <c r="T4101" s="18" t="s">
        <v>2198</v>
      </c>
      <c r="U4101" s="18"/>
      <c r="V4101" s="18"/>
      <c r="W4101" s="18" t="s">
        <v>2199</v>
      </c>
      <c r="X4101" s="18" t="s">
        <v>42</v>
      </c>
      <c r="Y4101" s="18" t="s">
        <v>36</v>
      </c>
      <c r="Z4101" s="18" t="s">
        <v>697</v>
      </c>
      <c r="AA4101" s="21" t="str">
        <f>HYPERLINK("https://www.ncbi.nlm.nih.gov/nuccore/JX483876","NCBI Nucleotide")</f>
        <v>NCBI Nucleotide</v>
      </c>
    </row>
    <row r="4102" spans="1:27" x14ac:dyDescent="0.35">
      <c r="A4102">
        <v>1005731</v>
      </c>
      <c r="B4102">
        <v>4078</v>
      </c>
      <c r="C4102">
        <v>1</v>
      </c>
      <c r="D4102" s="17" t="s">
        <v>155</v>
      </c>
      <c r="E4102" s="17"/>
      <c r="F4102" s="17" t="s">
        <v>156</v>
      </c>
      <c r="G4102" s="17"/>
      <c r="H4102" s="17" t="s">
        <v>692</v>
      </c>
      <c r="I4102" s="17"/>
      <c r="J4102" s="17" t="s">
        <v>693</v>
      </c>
      <c r="K4102" s="17"/>
      <c r="L4102" s="17"/>
      <c r="M4102" s="17"/>
      <c r="N4102" s="17"/>
      <c r="O4102" s="17"/>
      <c r="P4102" s="17" t="s">
        <v>2200</v>
      </c>
      <c r="Q4102" s="17"/>
      <c r="R4102" s="25" t="str">
        <f>HYPERLINK("https://ictv.global/taxonomy/taxondetails?taxnode_id=202301377","Klementvirus CP1")</f>
        <v>Klementvirus CP1</v>
      </c>
      <c r="S4102" s="18" t="s">
        <v>30</v>
      </c>
      <c r="T4102" s="18" t="s">
        <v>2201</v>
      </c>
      <c r="U4102" s="18"/>
      <c r="V4102" s="18"/>
      <c r="W4102" s="18" t="s">
        <v>2202</v>
      </c>
      <c r="X4102" s="18" t="s">
        <v>42</v>
      </c>
      <c r="Y4102" s="18" t="s">
        <v>36</v>
      </c>
      <c r="Z4102" s="18" t="s">
        <v>697</v>
      </c>
      <c r="AA4102" s="21" t="str">
        <f>HYPERLINK("https://www.ncbi.nlm.nih.gov/nuccore/AB720063","NCBI Nucleotide")</f>
        <v>NCBI Nucleotide</v>
      </c>
    </row>
    <row r="4103" spans="1:27" x14ac:dyDescent="0.35">
      <c r="A4103">
        <v>1005732</v>
      </c>
      <c r="B4103">
        <v>4079</v>
      </c>
      <c r="C4103">
        <v>1</v>
      </c>
      <c r="D4103" s="17" t="s">
        <v>155</v>
      </c>
      <c r="E4103" s="17"/>
      <c r="F4103" s="17" t="s">
        <v>156</v>
      </c>
      <c r="G4103" s="17"/>
      <c r="H4103" s="17" t="s">
        <v>692</v>
      </c>
      <c r="I4103" s="17"/>
      <c r="J4103" s="17" t="s">
        <v>693</v>
      </c>
      <c r="K4103" s="17"/>
      <c r="L4103" s="17"/>
      <c r="M4103" s="17"/>
      <c r="N4103" s="17"/>
      <c r="O4103" s="17"/>
      <c r="P4103" s="17" t="s">
        <v>2203</v>
      </c>
      <c r="Q4103" s="17"/>
      <c r="R4103" s="25" t="str">
        <f>HYPERLINK("https://ictv.global/taxonomy/taxondetails?taxnode_id=202310151","Knuthellervirus PMBT14")</f>
        <v>Knuthellervirus PMBT14</v>
      </c>
      <c r="S4103" s="18" t="s">
        <v>30</v>
      </c>
      <c r="T4103" s="18" t="s">
        <v>2204</v>
      </c>
      <c r="U4103" s="18"/>
      <c r="V4103" s="18"/>
      <c r="W4103" s="18" t="s">
        <v>2205</v>
      </c>
      <c r="X4103" s="18" t="s">
        <v>42</v>
      </c>
      <c r="Y4103" s="18" t="s">
        <v>36</v>
      </c>
      <c r="Z4103" s="18" t="s">
        <v>697</v>
      </c>
      <c r="AA4103" s="21" t="str">
        <f>HYPERLINK("https://www.ncbi.nlm.nih.gov/nuccore/MG596800","NCBI Nucleotide")</f>
        <v>NCBI Nucleotide</v>
      </c>
    </row>
    <row r="4104" spans="1:27" x14ac:dyDescent="0.35">
      <c r="A4104">
        <v>1005733</v>
      </c>
      <c r="B4104">
        <v>4080</v>
      </c>
      <c r="C4104">
        <v>1</v>
      </c>
      <c r="D4104" s="17" t="s">
        <v>155</v>
      </c>
      <c r="E4104" s="17"/>
      <c r="F4104" s="17" t="s">
        <v>156</v>
      </c>
      <c r="G4104" s="17"/>
      <c r="H4104" s="17" t="s">
        <v>692</v>
      </c>
      <c r="I4104" s="17"/>
      <c r="J4104" s="17" t="s">
        <v>693</v>
      </c>
      <c r="K4104" s="17"/>
      <c r="L4104" s="17"/>
      <c r="M4104" s="17"/>
      <c r="N4104" s="17"/>
      <c r="O4104" s="17"/>
      <c r="P4104" s="17" t="s">
        <v>2206</v>
      </c>
      <c r="Q4104" s="17"/>
      <c r="R4104" s="25" t="str">
        <f>HYPERLINK("https://ictv.global/taxonomy/taxondetails?taxnode_id=202300654","Kochitakasuvirus KPP25")</f>
        <v>Kochitakasuvirus KPP25</v>
      </c>
      <c r="S4104" s="18" t="s">
        <v>30</v>
      </c>
      <c r="T4104" s="18" t="s">
        <v>2207</v>
      </c>
      <c r="U4104" s="18"/>
      <c r="V4104" s="18"/>
      <c r="W4104" s="18" t="s">
        <v>2208</v>
      </c>
      <c r="X4104" s="18" t="s">
        <v>42</v>
      </c>
      <c r="Y4104" s="18" t="s">
        <v>36</v>
      </c>
      <c r="Z4104" s="18" t="s">
        <v>697</v>
      </c>
      <c r="AA4104" s="21" t="str">
        <f>HYPERLINK("https://www.ncbi.nlm.nih.gov/nuccore/AB910393","NCBI Nucleotide")</f>
        <v>NCBI Nucleotide</v>
      </c>
    </row>
    <row r="4105" spans="1:27" x14ac:dyDescent="0.35">
      <c r="A4105">
        <v>1005734</v>
      </c>
      <c r="B4105">
        <v>4081</v>
      </c>
      <c r="C4105">
        <v>1</v>
      </c>
      <c r="D4105" s="17" t="s">
        <v>155</v>
      </c>
      <c r="E4105" s="17"/>
      <c r="F4105" s="17" t="s">
        <v>156</v>
      </c>
      <c r="G4105" s="17"/>
      <c r="H4105" s="17" t="s">
        <v>692</v>
      </c>
      <c r="I4105" s="17"/>
      <c r="J4105" s="17" t="s">
        <v>693</v>
      </c>
      <c r="K4105" s="17"/>
      <c r="L4105" s="17"/>
      <c r="M4105" s="17"/>
      <c r="N4105" s="17"/>
      <c r="O4105" s="17"/>
      <c r="P4105" s="17" t="s">
        <v>2206</v>
      </c>
      <c r="Q4105" s="17"/>
      <c r="R4105" s="25" t="str">
        <f>HYPERLINK("https://ictv.global/taxonomy/taxondetails?taxnode_id=202300655","Kochitakasuvirus R18")</f>
        <v>Kochitakasuvirus R18</v>
      </c>
      <c r="S4105" s="18" t="s">
        <v>30</v>
      </c>
      <c r="T4105" s="18" t="s">
        <v>2209</v>
      </c>
      <c r="U4105" s="18"/>
      <c r="V4105" s="18"/>
      <c r="W4105" s="18" t="s">
        <v>2210</v>
      </c>
      <c r="X4105" s="18" t="s">
        <v>42</v>
      </c>
      <c r="Y4105" s="18" t="s">
        <v>36</v>
      </c>
      <c r="Z4105" s="18" t="s">
        <v>697</v>
      </c>
      <c r="AA4105" s="21" t="str">
        <f>HYPERLINK("https://www.ncbi.nlm.nih.gov/nuccore/LC102729","NCBI Nucleotide")</f>
        <v>NCBI Nucleotide</v>
      </c>
    </row>
    <row r="4106" spans="1:27" x14ac:dyDescent="0.35">
      <c r="A4106">
        <v>1005735</v>
      </c>
      <c r="B4106">
        <v>4082</v>
      </c>
      <c r="C4106">
        <v>1</v>
      </c>
      <c r="D4106" s="17" t="s">
        <v>155</v>
      </c>
      <c r="E4106" s="17"/>
      <c r="F4106" s="17" t="s">
        <v>156</v>
      </c>
      <c r="G4106" s="17"/>
      <c r="H4106" s="17" t="s">
        <v>692</v>
      </c>
      <c r="I4106" s="17"/>
      <c r="J4106" s="17" t="s">
        <v>693</v>
      </c>
      <c r="K4106" s="17"/>
      <c r="L4106" s="17"/>
      <c r="M4106" s="17"/>
      <c r="N4106" s="17"/>
      <c r="O4106" s="17"/>
      <c r="P4106" s="17" t="s">
        <v>2211</v>
      </c>
      <c r="Q4106" s="17"/>
      <c r="R4106" s="25" t="str">
        <f>HYPERLINK("https://ictv.global/taxonomy/taxondetails?taxnode_id=202306745","Kojivirus golden")</f>
        <v>Kojivirus golden</v>
      </c>
      <c r="S4106" s="18" t="s">
        <v>30</v>
      </c>
      <c r="T4106" s="18" t="s">
        <v>2212</v>
      </c>
      <c r="U4106" s="18"/>
      <c r="V4106" s="18"/>
      <c r="W4106" s="18" t="s">
        <v>2213</v>
      </c>
      <c r="X4106" s="18" t="s">
        <v>42</v>
      </c>
      <c r="Y4106" s="18" t="s">
        <v>36</v>
      </c>
      <c r="Z4106" s="18" t="s">
        <v>697</v>
      </c>
      <c r="AA4106" s="21" t="str">
        <f>HYPERLINK("https://www.ncbi.nlm.nih.gov/nuccore/MG925343","NCBI Nucleotide")</f>
        <v>NCBI Nucleotide</v>
      </c>
    </row>
    <row r="4107" spans="1:27" x14ac:dyDescent="0.35">
      <c r="A4107">
        <v>1005736</v>
      </c>
      <c r="B4107">
        <v>4083</v>
      </c>
      <c r="C4107">
        <v>1</v>
      </c>
      <c r="D4107" s="17" t="s">
        <v>155</v>
      </c>
      <c r="E4107" s="17"/>
      <c r="F4107" s="17" t="s">
        <v>156</v>
      </c>
      <c r="G4107" s="17"/>
      <c r="H4107" s="17" t="s">
        <v>692</v>
      </c>
      <c r="I4107" s="17"/>
      <c r="J4107" s="17" t="s">
        <v>693</v>
      </c>
      <c r="K4107" s="17"/>
      <c r="L4107" s="17"/>
      <c r="M4107" s="17"/>
      <c r="N4107" s="17"/>
      <c r="O4107" s="17"/>
      <c r="P4107" s="17" t="s">
        <v>2211</v>
      </c>
      <c r="Q4107" s="17"/>
      <c r="R4107" s="25" t="str">
        <f>HYPERLINK("https://ictv.global/taxonomy/taxondetails?taxnode_id=202306744","Kojivirus koji")</f>
        <v>Kojivirus koji</v>
      </c>
      <c r="S4107" s="18" t="s">
        <v>30</v>
      </c>
      <c r="T4107" s="18" t="s">
        <v>2214</v>
      </c>
      <c r="U4107" s="18"/>
      <c r="V4107" s="18"/>
      <c r="W4107" s="18" t="s">
        <v>2215</v>
      </c>
      <c r="X4107" s="18" t="s">
        <v>42</v>
      </c>
      <c r="Y4107" s="18" t="s">
        <v>36</v>
      </c>
      <c r="Z4107" s="18" t="s">
        <v>697</v>
      </c>
      <c r="AA4107" s="21" t="str">
        <f>HYPERLINK("https://www.ncbi.nlm.nih.gov/nuccore/MG925345","NCBI Nucleotide")</f>
        <v>NCBI Nucleotide</v>
      </c>
    </row>
    <row r="4108" spans="1:27" x14ac:dyDescent="0.35">
      <c r="A4108">
        <v>1005737</v>
      </c>
      <c r="B4108">
        <v>4084</v>
      </c>
      <c r="C4108">
        <v>1</v>
      </c>
      <c r="D4108" s="17" t="s">
        <v>155</v>
      </c>
      <c r="E4108" s="17"/>
      <c r="F4108" s="17" t="s">
        <v>156</v>
      </c>
      <c r="G4108" s="17"/>
      <c r="H4108" s="17" t="s">
        <v>692</v>
      </c>
      <c r="I4108" s="17"/>
      <c r="J4108" s="17" t="s">
        <v>693</v>
      </c>
      <c r="K4108" s="17"/>
      <c r="L4108" s="17"/>
      <c r="M4108" s="17"/>
      <c r="N4108" s="17"/>
      <c r="O4108" s="17"/>
      <c r="P4108" s="17" t="s">
        <v>2216</v>
      </c>
      <c r="Q4108" s="17"/>
      <c r="R4108" s="25" t="str">
        <f>HYPERLINK("https://ictv.global/taxonomy/taxondetails?taxnode_id=202300855","Konstantinevirus konstantine")</f>
        <v>Konstantinevirus konstantine</v>
      </c>
      <c r="S4108" s="18" t="s">
        <v>30</v>
      </c>
      <c r="T4108" s="18" t="s">
        <v>2217</v>
      </c>
      <c r="U4108" s="18"/>
      <c r="V4108" s="18"/>
      <c r="W4108" s="18" t="s">
        <v>2218</v>
      </c>
      <c r="X4108" s="18" t="s">
        <v>42</v>
      </c>
      <c r="Y4108" s="18" t="s">
        <v>36</v>
      </c>
      <c r="Z4108" s="18" t="s">
        <v>697</v>
      </c>
      <c r="AA4108" s="21" t="str">
        <f>HYPERLINK("https://www.ncbi.nlm.nih.gov/nuccore/FJ174691","NCBI Nucleotide")</f>
        <v>NCBI Nucleotide</v>
      </c>
    </row>
    <row r="4109" spans="1:27" x14ac:dyDescent="0.35">
      <c r="A4109">
        <v>1005738</v>
      </c>
      <c r="B4109">
        <v>4085</v>
      </c>
      <c r="C4109">
        <v>1</v>
      </c>
      <c r="D4109" s="17" t="s">
        <v>155</v>
      </c>
      <c r="E4109" s="17"/>
      <c r="F4109" s="17" t="s">
        <v>156</v>
      </c>
      <c r="G4109" s="17"/>
      <c r="H4109" s="17" t="s">
        <v>692</v>
      </c>
      <c r="I4109" s="17"/>
      <c r="J4109" s="17" t="s">
        <v>693</v>
      </c>
      <c r="K4109" s="17"/>
      <c r="L4109" s="17"/>
      <c r="M4109" s="17"/>
      <c r="N4109" s="17"/>
      <c r="O4109" s="17"/>
      <c r="P4109" s="17" t="s">
        <v>2219</v>
      </c>
      <c r="Q4109" s="17"/>
      <c r="R4109" s="25" t="str">
        <f>HYPERLINK("https://ictv.global/taxonomy/taxondetails?taxnode_id=202300999","Korravirus bennie")</f>
        <v>Korravirus bennie</v>
      </c>
      <c r="S4109" s="18" t="s">
        <v>30</v>
      </c>
      <c r="T4109" s="18" t="s">
        <v>2220</v>
      </c>
      <c r="U4109" s="18"/>
      <c r="V4109" s="18"/>
      <c r="W4109" s="18" t="s">
        <v>2221</v>
      </c>
      <c r="X4109" s="18" t="s">
        <v>42</v>
      </c>
      <c r="Y4109" s="18" t="s">
        <v>36</v>
      </c>
      <c r="Z4109" s="18" t="s">
        <v>697</v>
      </c>
      <c r="AA4109" s="21" t="str">
        <f>HYPERLINK("https://www.ncbi.nlm.nih.gov/nuccore/KU160640","NCBI Nucleotide")</f>
        <v>NCBI Nucleotide</v>
      </c>
    </row>
    <row r="4110" spans="1:27" x14ac:dyDescent="0.35">
      <c r="A4110">
        <v>1005739</v>
      </c>
      <c r="B4110">
        <v>4086</v>
      </c>
      <c r="C4110">
        <v>1</v>
      </c>
      <c r="D4110" s="17" t="s">
        <v>155</v>
      </c>
      <c r="E4110" s="17"/>
      <c r="F4110" s="17" t="s">
        <v>156</v>
      </c>
      <c r="G4110" s="17"/>
      <c r="H4110" s="17" t="s">
        <v>692</v>
      </c>
      <c r="I4110" s="17"/>
      <c r="J4110" s="17" t="s">
        <v>693</v>
      </c>
      <c r="K4110" s="17"/>
      <c r="L4110" s="17"/>
      <c r="M4110" s="17"/>
      <c r="N4110" s="17"/>
      <c r="O4110" s="17"/>
      <c r="P4110" s="17" t="s">
        <v>2219</v>
      </c>
      <c r="Q4110" s="17"/>
      <c r="R4110" s="25" t="str">
        <f>HYPERLINK("https://ictv.global/taxonomy/taxondetails?taxnode_id=202312368","Korravirus bigmack")</f>
        <v>Korravirus bigmack</v>
      </c>
      <c r="S4110" s="18" t="s">
        <v>30</v>
      </c>
      <c r="T4110" s="18" t="s">
        <v>2222</v>
      </c>
      <c r="U4110" s="18"/>
      <c r="V4110" s="18"/>
      <c r="W4110" s="18" t="s">
        <v>2223</v>
      </c>
      <c r="X4110" s="18" t="s">
        <v>42</v>
      </c>
      <c r="Y4110" s="18" t="s">
        <v>36</v>
      </c>
      <c r="Z4110" s="18" t="s">
        <v>697</v>
      </c>
      <c r="AA4110" s="21" t="str">
        <f>HYPERLINK("https://www.ncbi.nlm.nih.gov/nuccore/MK112529","NCBI Nucleotide")</f>
        <v>NCBI Nucleotide</v>
      </c>
    </row>
    <row r="4111" spans="1:27" x14ac:dyDescent="0.35">
      <c r="A4111">
        <v>1005740</v>
      </c>
      <c r="B4111">
        <v>4087</v>
      </c>
      <c r="C4111">
        <v>1</v>
      </c>
      <c r="D4111" s="17" t="s">
        <v>155</v>
      </c>
      <c r="E4111" s="17"/>
      <c r="F4111" s="17" t="s">
        <v>156</v>
      </c>
      <c r="G4111" s="17"/>
      <c r="H4111" s="17" t="s">
        <v>692</v>
      </c>
      <c r="I4111" s="17"/>
      <c r="J4111" s="17" t="s">
        <v>693</v>
      </c>
      <c r="K4111" s="17"/>
      <c r="L4111" s="17"/>
      <c r="M4111" s="17"/>
      <c r="N4111" s="17"/>
      <c r="O4111" s="17"/>
      <c r="P4111" s="17" t="s">
        <v>2219</v>
      </c>
      <c r="Q4111" s="17"/>
      <c r="R4111" s="25" t="str">
        <f>HYPERLINK("https://ictv.global/taxonomy/taxondetails?taxnode_id=202301000","Korravirus drrobert")</f>
        <v>Korravirus drrobert</v>
      </c>
      <c r="S4111" s="18" t="s">
        <v>30</v>
      </c>
      <c r="T4111" s="18" t="s">
        <v>2224</v>
      </c>
      <c r="U4111" s="18"/>
      <c r="V4111" s="18"/>
      <c r="W4111" s="18" t="s">
        <v>2225</v>
      </c>
      <c r="X4111" s="18" t="s">
        <v>42</v>
      </c>
      <c r="Y4111" s="18" t="s">
        <v>36</v>
      </c>
      <c r="Z4111" s="18" t="s">
        <v>697</v>
      </c>
      <c r="AA4111" s="21" t="str">
        <f>HYPERLINK("https://www.ncbi.nlm.nih.gov/nuccore/KU160643","NCBI Nucleotide")</f>
        <v>NCBI Nucleotide</v>
      </c>
    </row>
    <row r="4112" spans="1:27" x14ac:dyDescent="0.35">
      <c r="A4112">
        <v>1005741</v>
      </c>
      <c r="B4112">
        <v>4088</v>
      </c>
      <c r="C4112">
        <v>1</v>
      </c>
      <c r="D4112" s="17" t="s">
        <v>155</v>
      </c>
      <c r="E4112" s="17"/>
      <c r="F4112" s="17" t="s">
        <v>156</v>
      </c>
      <c r="G4112" s="17"/>
      <c r="H4112" s="17" t="s">
        <v>692</v>
      </c>
      <c r="I4112" s="17"/>
      <c r="J4112" s="17" t="s">
        <v>693</v>
      </c>
      <c r="K4112" s="17"/>
      <c r="L4112" s="17"/>
      <c r="M4112" s="17"/>
      <c r="N4112" s="17"/>
      <c r="O4112" s="17"/>
      <c r="P4112" s="17" t="s">
        <v>2219</v>
      </c>
      <c r="Q4112" s="17"/>
      <c r="R4112" s="25" t="str">
        <f>HYPERLINK("https://ictv.global/taxonomy/taxondetails?taxnode_id=202312369","Korravirus gisselle")</f>
        <v>Korravirus gisselle</v>
      </c>
      <c r="S4112" s="18" t="s">
        <v>30</v>
      </c>
      <c r="T4112" s="18" t="s">
        <v>2226</v>
      </c>
      <c r="U4112" s="18"/>
      <c r="V4112" s="18"/>
      <c r="W4112" s="18" t="s">
        <v>2227</v>
      </c>
      <c r="X4112" s="18" t="s">
        <v>42</v>
      </c>
      <c r="Y4112" s="18" t="s">
        <v>36</v>
      </c>
      <c r="Z4112" s="18" t="s">
        <v>697</v>
      </c>
      <c r="AA4112" s="21" t="str">
        <f>HYPERLINK("https://www.ncbi.nlm.nih.gov/nuccore/MT498050","NCBI Nucleotide")</f>
        <v>NCBI Nucleotide</v>
      </c>
    </row>
    <row r="4113" spans="1:27" x14ac:dyDescent="0.35">
      <c r="A4113">
        <v>1005742</v>
      </c>
      <c r="B4113">
        <v>4089</v>
      </c>
      <c r="C4113">
        <v>1</v>
      </c>
      <c r="D4113" s="17" t="s">
        <v>155</v>
      </c>
      <c r="E4113" s="17"/>
      <c r="F4113" s="17" t="s">
        <v>156</v>
      </c>
      <c r="G4113" s="17"/>
      <c r="H4113" s="17" t="s">
        <v>692</v>
      </c>
      <c r="I4113" s="17"/>
      <c r="J4113" s="17" t="s">
        <v>693</v>
      </c>
      <c r="K4113" s="17"/>
      <c r="L4113" s="17"/>
      <c r="M4113" s="17"/>
      <c r="N4113" s="17"/>
      <c r="O4113" s="17"/>
      <c r="P4113" s="17" t="s">
        <v>2219</v>
      </c>
      <c r="Q4113" s="17"/>
      <c r="R4113" s="25" t="str">
        <f>HYPERLINK("https://ictv.global/taxonomy/taxondetails?taxnode_id=202301001","Korravirus glenn")</f>
        <v>Korravirus glenn</v>
      </c>
      <c r="S4113" s="18" t="s">
        <v>30</v>
      </c>
      <c r="T4113" s="18" t="s">
        <v>2228</v>
      </c>
      <c r="U4113" s="18"/>
      <c r="V4113" s="18"/>
      <c r="W4113" s="18" t="s">
        <v>2229</v>
      </c>
      <c r="X4113" s="18" t="s">
        <v>42</v>
      </c>
      <c r="Y4113" s="18" t="s">
        <v>36</v>
      </c>
      <c r="Z4113" s="18" t="s">
        <v>697</v>
      </c>
      <c r="AA4113" s="21" t="str">
        <f>HYPERLINK("https://www.ncbi.nlm.nih.gov/nuccore/KU160645","NCBI Nucleotide")</f>
        <v>NCBI Nucleotide</v>
      </c>
    </row>
    <row r="4114" spans="1:27" x14ac:dyDescent="0.35">
      <c r="A4114">
        <v>1005743</v>
      </c>
      <c r="B4114">
        <v>4090</v>
      </c>
      <c r="C4114">
        <v>1</v>
      </c>
      <c r="D4114" s="17" t="s">
        <v>155</v>
      </c>
      <c r="E4114" s="17"/>
      <c r="F4114" s="17" t="s">
        <v>156</v>
      </c>
      <c r="G4114" s="17"/>
      <c r="H4114" s="17" t="s">
        <v>692</v>
      </c>
      <c r="I4114" s="17"/>
      <c r="J4114" s="17" t="s">
        <v>693</v>
      </c>
      <c r="K4114" s="17"/>
      <c r="L4114" s="17"/>
      <c r="M4114" s="17"/>
      <c r="N4114" s="17"/>
      <c r="O4114" s="17"/>
      <c r="P4114" s="17" t="s">
        <v>2219</v>
      </c>
      <c r="Q4114" s="17"/>
      <c r="R4114" s="25" t="str">
        <f>HYPERLINK("https://ictv.global/taxonomy/taxondetails?taxnode_id=202312370","Korravirus greenhearts")</f>
        <v>Korravirus greenhearts</v>
      </c>
      <c r="S4114" s="18" t="s">
        <v>30</v>
      </c>
      <c r="T4114" s="18" t="s">
        <v>2230</v>
      </c>
      <c r="U4114" s="18"/>
      <c r="V4114" s="18"/>
      <c r="W4114" s="18" t="s">
        <v>2231</v>
      </c>
      <c r="X4114" s="18" t="s">
        <v>42</v>
      </c>
      <c r="Y4114" s="18" t="s">
        <v>36</v>
      </c>
      <c r="Z4114" s="18" t="s">
        <v>697</v>
      </c>
      <c r="AA4114" s="21" t="str">
        <f>HYPERLINK("https://www.ncbi.nlm.nih.gov/nuccore/MK279854","NCBI Nucleotide")</f>
        <v>NCBI Nucleotide</v>
      </c>
    </row>
    <row r="4115" spans="1:27" x14ac:dyDescent="0.35">
      <c r="A4115">
        <v>1005744</v>
      </c>
      <c r="B4115">
        <v>4091</v>
      </c>
      <c r="C4115">
        <v>1</v>
      </c>
      <c r="D4115" s="17" t="s">
        <v>155</v>
      </c>
      <c r="E4115" s="17"/>
      <c r="F4115" s="17" t="s">
        <v>156</v>
      </c>
      <c r="G4115" s="17"/>
      <c r="H4115" s="17" t="s">
        <v>692</v>
      </c>
      <c r="I4115" s="17"/>
      <c r="J4115" s="17" t="s">
        <v>693</v>
      </c>
      <c r="K4115" s="17"/>
      <c r="L4115" s="17"/>
      <c r="M4115" s="17"/>
      <c r="N4115" s="17"/>
      <c r="O4115" s="17"/>
      <c r="P4115" s="17" t="s">
        <v>2219</v>
      </c>
      <c r="Q4115" s="17"/>
      <c r="R4115" s="25" t="str">
        <f>HYPERLINK("https://ictv.global/taxonomy/taxondetails?taxnode_id=202312371","Korravirus greenhouse")</f>
        <v>Korravirus greenhouse</v>
      </c>
      <c r="S4115" s="18" t="s">
        <v>30</v>
      </c>
      <c r="T4115" s="18" t="s">
        <v>2232</v>
      </c>
      <c r="U4115" s="18"/>
      <c r="V4115" s="18"/>
      <c r="W4115" s="18" t="s">
        <v>2233</v>
      </c>
      <c r="X4115" s="18" t="s">
        <v>42</v>
      </c>
      <c r="Y4115" s="18" t="s">
        <v>36</v>
      </c>
      <c r="Z4115" s="18" t="s">
        <v>697</v>
      </c>
      <c r="AA4115" s="21" t="str">
        <f>HYPERLINK("https://www.ncbi.nlm.nih.gov/nuccore/KX688103","NCBI Nucleotide")</f>
        <v>NCBI Nucleotide</v>
      </c>
    </row>
    <row r="4116" spans="1:27" x14ac:dyDescent="0.35">
      <c r="A4116">
        <v>1005745</v>
      </c>
      <c r="B4116">
        <v>4092</v>
      </c>
      <c r="C4116">
        <v>1</v>
      </c>
      <c r="D4116" s="17" t="s">
        <v>155</v>
      </c>
      <c r="E4116" s="17"/>
      <c r="F4116" s="17" t="s">
        <v>156</v>
      </c>
      <c r="G4116" s="17"/>
      <c r="H4116" s="17" t="s">
        <v>692</v>
      </c>
      <c r="I4116" s="17"/>
      <c r="J4116" s="17" t="s">
        <v>693</v>
      </c>
      <c r="K4116" s="17"/>
      <c r="L4116" s="17"/>
      <c r="M4116" s="17"/>
      <c r="N4116" s="17"/>
      <c r="O4116" s="17"/>
      <c r="P4116" s="17" t="s">
        <v>2219</v>
      </c>
      <c r="Q4116" s="17"/>
      <c r="R4116" s="25" t="str">
        <f>HYPERLINK("https://ictv.global/taxonomy/taxondetails?taxnode_id=202301002","Korravirus hunterdalle")</f>
        <v>Korravirus hunterdalle</v>
      </c>
      <c r="S4116" s="18" t="s">
        <v>30</v>
      </c>
      <c r="T4116" s="18" t="s">
        <v>2234</v>
      </c>
      <c r="U4116" s="18"/>
      <c r="V4116" s="18"/>
      <c r="W4116" s="18" t="s">
        <v>2235</v>
      </c>
      <c r="X4116" s="18" t="s">
        <v>42</v>
      </c>
      <c r="Y4116" s="18" t="s">
        <v>36</v>
      </c>
      <c r="Z4116" s="18" t="s">
        <v>697</v>
      </c>
      <c r="AA4116" s="21" t="str">
        <f>HYPERLINK("https://www.ncbi.nlm.nih.gov/nuccore/KU160648","NCBI Nucleotide")</f>
        <v>NCBI Nucleotide</v>
      </c>
    </row>
    <row r="4117" spans="1:27" x14ac:dyDescent="0.35">
      <c r="A4117">
        <v>1005746</v>
      </c>
      <c r="B4117">
        <v>4093</v>
      </c>
      <c r="C4117">
        <v>1</v>
      </c>
      <c r="D4117" s="17" t="s">
        <v>155</v>
      </c>
      <c r="E4117" s="17"/>
      <c r="F4117" s="17" t="s">
        <v>156</v>
      </c>
      <c r="G4117" s="17"/>
      <c r="H4117" s="17" t="s">
        <v>692</v>
      </c>
      <c r="I4117" s="17"/>
      <c r="J4117" s="17" t="s">
        <v>693</v>
      </c>
      <c r="K4117" s="17"/>
      <c r="L4117" s="17"/>
      <c r="M4117" s="17"/>
      <c r="N4117" s="17"/>
      <c r="O4117" s="17"/>
      <c r="P4117" s="17" t="s">
        <v>2219</v>
      </c>
      <c r="Q4117" s="17"/>
      <c r="R4117" s="25" t="str">
        <f>HYPERLINK("https://ictv.global/taxonomy/taxondetails?taxnode_id=202312372","Korravirus huntingdon")</f>
        <v>Korravirus huntingdon</v>
      </c>
      <c r="S4117" s="18" t="s">
        <v>30</v>
      </c>
      <c r="T4117" s="18" t="s">
        <v>2236</v>
      </c>
      <c r="U4117" s="18"/>
      <c r="V4117" s="18"/>
      <c r="W4117" s="18" t="s">
        <v>2237</v>
      </c>
      <c r="X4117" s="18" t="s">
        <v>42</v>
      </c>
      <c r="Y4117" s="18" t="s">
        <v>36</v>
      </c>
      <c r="Z4117" s="18" t="s">
        <v>697</v>
      </c>
      <c r="AA4117" s="21" t="str">
        <f>HYPERLINK("https://www.ncbi.nlm.nih.gov/nuccore/MG210949","NCBI Nucleotide")</f>
        <v>NCBI Nucleotide</v>
      </c>
    </row>
    <row r="4118" spans="1:27" x14ac:dyDescent="0.35">
      <c r="A4118">
        <v>1005747</v>
      </c>
      <c r="B4118">
        <v>4094</v>
      </c>
      <c r="C4118">
        <v>1</v>
      </c>
      <c r="D4118" s="17" t="s">
        <v>155</v>
      </c>
      <c r="E4118" s="17"/>
      <c r="F4118" s="17" t="s">
        <v>156</v>
      </c>
      <c r="G4118" s="17"/>
      <c r="H4118" s="17" t="s">
        <v>692</v>
      </c>
      <c r="I4118" s="17"/>
      <c r="J4118" s="17" t="s">
        <v>693</v>
      </c>
      <c r="K4118" s="17"/>
      <c r="L4118" s="17"/>
      <c r="M4118" s="17"/>
      <c r="N4118" s="17"/>
      <c r="O4118" s="17"/>
      <c r="P4118" s="17" t="s">
        <v>2219</v>
      </c>
      <c r="Q4118" s="17"/>
      <c r="R4118" s="25" t="str">
        <f>HYPERLINK("https://ictv.global/taxonomy/taxondetails?taxnode_id=202301003","Korravirus joann")</f>
        <v>Korravirus joann</v>
      </c>
      <c r="S4118" s="18" t="s">
        <v>30</v>
      </c>
      <c r="T4118" s="18" t="s">
        <v>2238</v>
      </c>
      <c r="U4118" s="18"/>
      <c r="V4118" s="18"/>
      <c r="W4118" s="18" t="s">
        <v>2239</v>
      </c>
      <c r="X4118" s="18" t="s">
        <v>42</v>
      </c>
      <c r="Y4118" s="18" t="s">
        <v>36</v>
      </c>
      <c r="Z4118" s="18" t="s">
        <v>697</v>
      </c>
      <c r="AA4118" s="21" t="str">
        <f>HYPERLINK("https://www.ncbi.nlm.nih.gov/nuccore/KU160652","NCBI Nucleotide")</f>
        <v>NCBI Nucleotide</v>
      </c>
    </row>
    <row r="4119" spans="1:27" x14ac:dyDescent="0.35">
      <c r="A4119">
        <v>1005748</v>
      </c>
      <c r="B4119">
        <v>4095</v>
      </c>
      <c r="C4119">
        <v>1</v>
      </c>
      <c r="D4119" s="17" t="s">
        <v>155</v>
      </c>
      <c r="E4119" s="17"/>
      <c r="F4119" s="17" t="s">
        <v>156</v>
      </c>
      <c r="G4119" s="17"/>
      <c r="H4119" s="17" t="s">
        <v>692</v>
      </c>
      <c r="I4119" s="17"/>
      <c r="J4119" s="17" t="s">
        <v>693</v>
      </c>
      <c r="K4119" s="17"/>
      <c r="L4119" s="17"/>
      <c r="M4119" s="17"/>
      <c r="N4119" s="17"/>
      <c r="O4119" s="17"/>
      <c r="P4119" s="17" t="s">
        <v>2219</v>
      </c>
      <c r="Q4119" s="17"/>
      <c r="R4119" s="25" t="str">
        <f>HYPERLINK("https://ictv.global/taxonomy/taxondetails?taxnode_id=202312373","Korravirus kittykat")</f>
        <v>Korravirus kittykat</v>
      </c>
      <c r="S4119" s="18" t="s">
        <v>30</v>
      </c>
      <c r="T4119" s="18" t="s">
        <v>2240</v>
      </c>
      <c r="U4119" s="18"/>
      <c r="V4119" s="18"/>
      <c r="W4119" s="18" t="s">
        <v>2241</v>
      </c>
      <c r="X4119" s="18" t="s">
        <v>42</v>
      </c>
      <c r="Y4119" s="18" t="s">
        <v>36</v>
      </c>
      <c r="Z4119" s="18" t="s">
        <v>697</v>
      </c>
      <c r="AA4119" s="21" t="str">
        <f>HYPERLINK("https://www.ncbi.nlm.nih.gov/nuccore/MW314848","NCBI Nucleotide")</f>
        <v>NCBI Nucleotide</v>
      </c>
    </row>
    <row r="4120" spans="1:27" x14ac:dyDescent="0.35">
      <c r="A4120">
        <v>1005749</v>
      </c>
      <c r="B4120">
        <v>4096</v>
      </c>
      <c r="C4120">
        <v>1</v>
      </c>
      <c r="D4120" s="17" t="s">
        <v>155</v>
      </c>
      <c r="E4120" s="17"/>
      <c r="F4120" s="17" t="s">
        <v>156</v>
      </c>
      <c r="G4120" s="17"/>
      <c r="H4120" s="17" t="s">
        <v>692</v>
      </c>
      <c r="I4120" s="17"/>
      <c r="J4120" s="17" t="s">
        <v>693</v>
      </c>
      <c r="K4120" s="17"/>
      <c r="L4120" s="17"/>
      <c r="M4120" s="17"/>
      <c r="N4120" s="17"/>
      <c r="O4120" s="17"/>
      <c r="P4120" s="17" t="s">
        <v>2219</v>
      </c>
      <c r="Q4120" s="17"/>
      <c r="R4120" s="25" t="str">
        <f>HYPERLINK("https://ictv.global/taxonomy/taxondetails?taxnode_id=202301004","Korravirus korra")</f>
        <v>Korravirus korra</v>
      </c>
      <c r="S4120" s="18" t="s">
        <v>30</v>
      </c>
      <c r="T4120" s="18" t="s">
        <v>2242</v>
      </c>
      <c r="U4120" s="18"/>
      <c r="V4120" s="18"/>
      <c r="W4120" s="18" t="s">
        <v>2243</v>
      </c>
      <c r="X4120" s="18" t="s">
        <v>42</v>
      </c>
      <c r="Y4120" s="18" t="s">
        <v>36</v>
      </c>
      <c r="Z4120" s="18" t="s">
        <v>697</v>
      </c>
      <c r="AA4120" s="21" t="str">
        <f>HYPERLINK("https://www.ncbi.nlm.nih.gov/nuccore/KU160653","NCBI Nucleotide")</f>
        <v>NCBI Nucleotide</v>
      </c>
    </row>
    <row r="4121" spans="1:27" x14ac:dyDescent="0.35">
      <c r="A4121">
        <v>1005750</v>
      </c>
      <c r="B4121">
        <v>4097</v>
      </c>
      <c r="C4121">
        <v>1</v>
      </c>
      <c r="D4121" s="17" t="s">
        <v>155</v>
      </c>
      <c r="E4121" s="17"/>
      <c r="F4121" s="17" t="s">
        <v>156</v>
      </c>
      <c r="G4121" s="17"/>
      <c r="H4121" s="17" t="s">
        <v>692</v>
      </c>
      <c r="I4121" s="17"/>
      <c r="J4121" s="17" t="s">
        <v>693</v>
      </c>
      <c r="K4121" s="17"/>
      <c r="L4121" s="17"/>
      <c r="M4121" s="17"/>
      <c r="N4121" s="17"/>
      <c r="O4121" s="17"/>
      <c r="P4121" s="17" t="s">
        <v>2219</v>
      </c>
      <c r="Q4121" s="17"/>
      <c r="R4121" s="25" t="str">
        <f>HYPERLINK("https://ictv.global/taxonomy/taxondetails?taxnode_id=202312374","Korravirus litotes")</f>
        <v>Korravirus litotes</v>
      </c>
      <c r="S4121" s="18" t="s">
        <v>30</v>
      </c>
      <c r="T4121" s="18" t="s">
        <v>2244</v>
      </c>
      <c r="U4121" s="18"/>
      <c r="V4121" s="18"/>
      <c r="W4121" s="18" t="s">
        <v>2245</v>
      </c>
      <c r="X4121" s="18" t="s">
        <v>42</v>
      </c>
      <c r="Y4121" s="18" t="s">
        <v>36</v>
      </c>
      <c r="Z4121" s="18" t="s">
        <v>697</v>
      </c>
      <c r="AA4121" s="21" t="str">
        <f>HYPERLINK("https://www.ncbi.nlm.nih.gov/nuccore/MK279863","NCBI Nucleotide")</f>
        <v>NCBI Nucleotide</v>
      </c>
    </row>
    <row r="4122" spans="1:27" x14ac:dyDescent="0.35">
      <c r="A4122">
        <v>1005751</v>
      </c>
      <c r="B4122">
        <v>4098</v>
      </c>
      <c r="C4122">
        <v>1</v>
      </c>
      <c r="D4122" s="17" t="s">
        <v>155</v>
      </c>
      <c r="E4122" s="17"/>
      <c r="F4122" s="17" t="s">
        <v>156</v>
      </c>
      <c r="G4122" s="17"/>
      <c r="H4122" s="17" t="s">
        <v>692</v>
      </c>
      <c r="I4122" s="17"/>
      <c r="J4122" s="17" t="s">
        <v>693</v>
      </c>
      <c r="K4122" s="17"/>
      <c r="L4122" s="17"/>
      <c r="M4122" s="17"/>
      <c r="N4122" s="17"/>
      <c r="O4122" s="17"/>
      <c r="P4122" s="17" t="s">
        <v>2219</v>
      </c>
      <c r="Q4122" s="17"/>
      <c r="R4122" s="25" t="str">
        <f>HYPERLINK("https://ictv.global/taxonomy/taxondetails?taxnode_id=202312375","Korravirus mamapearl")</f>
        <v>Korravirus mamapearl</v>
      </c>
      <c r="S4122" s="18" t="s">
        <v>30</v>
      </c>
      <c r="T4122" s="18" t="s">
        <v>2246</v>
      </c>
      <c r="U4122" s="18"/>
      <c r="V4122" s="18"/>
      <c r="W4122" s="18" t="s">
        <v>2247</v>
      </c>
      <c r="X4122" s="18" t="s">
        <v>42</v>
      </c>
      <c r="Y4122" s="18" t="s">
        <v>36</v>
      </c>
      <c r="Z4122" s="18" t="s">
        <v>697</v>
      </c>
      <c r="AA4122" s="21" t="str">
        <f>HYPERLINK("https://www.ncbi.nlm.nih.gov/nuccore/MT498045","NCBI Nucleotide")</f>
        <v>NCBI Nucleotide</v>
      </c>
    </row>
    <row r="4123" spans="1:27" x14ac:dyDescent="0.35">
      <c r="A4123">
        <v>1005752</v>
      </c>
      <c r="B4123">
        <v>4099</v>
      </c>
      <c r="C4123">
        <v>1</v>
      </c>
      <c r="D4123" s="17" t="s">
        <v>155</v>
      </c>
      <c r="E4123" s="17"/>
      <c r="F4123" s="17" t="s">
        <v>156</v>
      </c>
      <c r="G4123" s="17"/>
      <c r="H4123" s="17" t="s">
        <v>692</v>
      </c>
      <c r="I4123" s="17"/>
      <c r="J4123" s="17" t="s">
        <v>693</v>
      </c>
      <c r="K4123" s="17"/>
      <c r="L4123" s="17"/>
      <c r="M4123" s="17"/>
      <c r="N4123" s="17"/>
      <c r="O4123" s="17"/>
      <c r="P4123" s="17" t="s">
        <v>2219</v>
      </c>
      <c r="Q4123" s="17"/>
      <c r="R4123" s="25" t="str">
        <f>HYPERLINK("https://ictv.global/taxonomy/taxondetails?taxnode_id=202312376","Korravirus nubia")</f>
        <v>Korravirus nubia</v>
      </c>
      <c r="S4123" s="18" t="s">
        <v>30</v>
      </c>
      <c r="T4123" s="18" t="s">
        <v>2248</v>
      </c>
      <c r="U4123" s="18"/>
      <c r="V4123" s="18"/>
      <c r="W4123" s="18" t="s">
        <v>2249</v>
      </c>
      <c r="X4123" s="18" t="s">
        <v>42</v>
      </c>
      <c r="Y4123" s="18" t="s">
        <v>36</v>
      </c>
      <c r="Z4123" s="18" t="s">
        <v>697</v>
      </c>
      <c r="AA4123" s="21" t="str">
        <f>HYPERLINK("https://www.ncbi.nlm.nih.gov/nuccore/MF140424","NCBI Nucleotide")</f>
        <v>NCBI Nucleotide</v>
      </c>
    </row>
    <row r="4124" spans="1:27" x14ac:dyDescent="0.35">
      <c r="A4124">
        <v>1005753</v>
      </c>
      <c r="B4124">
        <v>4100</v>
      </c>
      <c r="C4124">
        <v>1</v>
      </c>
      <c r="D4124" s="17" t="s">
        <v>155</v>
      </c>
      <c r="E4124" s="17"/>
      <c r="F4124" s="17" t="s">
        <v>156</v>
      </c>
      <c r="G4124" s="17"/>
      <c r="H4124" s="17" t="s">
        <v>692</v>
      </c>
      <c r="I4124" s="17"/>
      <c r="J4124" s="17" t="s">
        <v>693</v>
      </c>
      <c r="K4124" s="17"/>
      <c r="L4124" s="17"/>
      <c r="M4124" s="17"/>
      <c r="N4124" s="17"/>
      <c r="O4124" s="17"/>
      <c r="P4124" s="17" t="s">
        <v>2219</v>
      </c>
      <c r="Q4124" s="17"/>
      <c r="R4124" s="25" t="str">
        <f>HYPERLINK("https://ictv.global/taxonomy/taxondetails?taxnode_id=202312377","Korravirus oxynfrius")</f>
        <v>Korravirus oxynfrius</v>
      </c>
      <c r="S4124" s="18" t="s">
        <v>30</v>
      </c>
      <c r="T4124" s="18" t="s">
        <v>2250</v>
      </c>
      <c r="U4124" s="18"/>
      <c r="V4124" s="18"/>
      <c r="W4124" s="18" t="s">
        <v>2251</v>
      </c>
      <c r="X4124" s="18" t="s">
        <v>42</v>
      </c>
      <c r="Y4124" s="18" t="s">
        <v>36</v>
      </c>
      <c r="Z4124" s="18" t="s">
        <v>697</v>
      </c>
      <c r="AA4124" s="21" t="str">
        <f>HYPERLINK("https://www.ncbi.nlm.nih.gov/nuccore/KX688102","NCBI Nucleotide")</f>
        <v>NCBI Nucleotide</v>
      </c>
    </row>
    <row r="4125" spans="1:27" x14ac:dyDescent="0.35">
      <c r="A4125">
        <v>1005754</v>
      </c>
      <c r="B4125">
        <v>4101</v>
      </c>
      <c r="C4125">
        <v>1</v>
      </c>
      <c r="D4125" s="17" t="s">
        <v>155</v>
      </c>
      <c r="E4125" s="17"/>
      <c r="F4125" s="17" t="s">
        <v>156</v>
      </c>
      <c r="G4125" s="17"/>
      <c r="H4125" s="17" t="s">
        <v>692</v>
      </c>
      <c r="I4125" s="17"/>
      <c r="J4125" s="17" t="s">
        <v>693</v>
      </c>
      <c r="K4125" s="17"/>
      <c r="L4125" s="17"/>
      <c r="M4125" s="17"/>
      <c r="N4125" s="17"/>
      <c r="O4125" s="17"/>
      <c r="P4125" s="17" t="s">
        <v>2219</v>
      </c>
      <c r="Q4125" s="17"/>
      <c r="R4125" s="25" t="str">
        <f>HYPERLINK("https://ictv.global/taxonomy/taxondetails?taxnode_id=202301005","Korravirus preamble")</f>
        <v>Korravirus preamble</v>
      </c>
      <c r="S4125" s="18" t="s">
        <v>30</v>
      </c>
      <c r="T4125" s="18" t="s">
        <v>2252</v>
      </c>
      <c r="U4125" s="18"/>
      <c r="V4125" s="18"/>
      <c r="W4125" s="18" t="s">
        <v>2253</v>
      </c>
      <c r="X4125" s="18" t="s">
        <v>42</v>
      </c>
      <c r="Y4125" s="18" t="s">
        <v>36</v>
      </c>
      <c r="Z4125" s="18" t="s">
        <v>697</v>
      </c>
      <c r="AA4125" s="21" t="str">
        <f>HYPERLINK("https://www.ncbi.nlm.nih.gov/nuccore/KU160659","NCBI Nucleotide")</f>
        <v>NCBI Nucleotide</v>
      </c>
    </row>
    <row r="4126" spans="1:27" x14ac:dyDescent="0.35">
      <c r="A4126">
        <v>1005755</v>
      </c>
      <c r="B4126">
        <v>4102</v>
      </c>
      <c r="C4126">
        <v>1</v>
      </c>
      <c r="D4126" s="17" t="s">
        <v>155</v>
      </c>
      <c r="E4126" s="17"/>
      <c r="F4126" s="17" t="s">
        <v>156</v>
      </c>
      <c r="G4126" s="17"/>
      <c r="H4126" s="17" t="s">
        <v>692</v>
      </c>
      <c r="I4126" s="17"/>
      <c r="J4126" s="17" t="s">
        <v>693</v>
      </c>
      <c r="K4126" s="17"/>
      <c r="L4126" s="17"/>
      <c r="M4126" s="17"/>
      <c r="N4126" s="17"/>
      <c r="O4126" s="17"/>
      <c r="P4126" s="17" t="s">
        <v>2219</v>
      </c>
      <c r="Q4126" s="17"/>
      <c r="R4126" s="25" t="str">
        <f>HYPERLINK("https://ictv.global/taxonomy/taxondetails?taxnode_id=202301006","Korravirus pumancara")</f>
        <v>Korravirus pumancara</v>
      </c>
      <c r="S4126" s="18" t="s">
        <v>30</v>
      </c>
      <c r="T4126" s="18" t="s">
        <v>2254</v>
      </c>
      <c r="U4126" s="18"/>
      <c r="V4126" s="18"/>
      <c r="W4126" s="18" t="s">
        <v>2255</v>
      </c>
      <c r="X4126" s="18" t="s">
        <v>42</v>
      </c>
      <c r="Y4126" s="18" t="s">
        <v>36</v>
      </c>
      <c r="Z4126" s="18" t="s">
        <v>697</v>
      </c>
      <c r="AA4126" s="21" t="str">
        <f>HYPERLINK("https://www.ncbi.nlm.nih.gov/nuccore/KU160661","NCBI Nucleotide")</f>
        <v>NCBI Nucleotide</v>
      </c>
    </row>
    <row r="4127" spans="1:27" x14ac:dyDescent="0.35">
      <c r="A4127">
        <v>1005756</v>
      </c>
      <c r="B4127">
        <v>4103</v>
      </c>
      <c r="C4127">
        <v>1</v>
      </c>
      <c r="D4127" s="17" t="s">
        <v>155</v>
      </c>
      <c r="E4127" s="17"/>
      <c r="F4127" s="17" t="s">
        <v>156</v>
      </c>
      <c r="G4127" s="17"/>
      <c r="H4127" s="17" t="s">
        <v>692</v>
      </c>
      <c r="I4127" s="17"/>
      <c r="J4127" s="17" t="s">
        <v>693</v>
      </c>
      <c r="K4127" s="17"/>
      <c r="L4127" s="17"/>
      <c r="M4127" s="17"/>
      <c r="N4127" s="17"/>
      <c r="O4127" s="17"/>
      <c r="P4127" s="17" t="s">
        <v>2219</v>
      </c>
      <c r="Q4127" s="17"/>
      <c r="R4127" s="25" t="str">
        <f>HYPERLINK("https://ictv.global/taxonomy/taxondetails?taxnode_id=202312378","Korravirus sergei")</f>
        <v>Korravirus sergei</v>
      </c>
      <c r="S4127" s="18" t="s">
        <v>30</v>
      </c>
      <c r="T4127" s="18" t="s">
        <v>2256</v>
      </c>
      <c r="U4127" s="18"/>
      <c r="V4127" s="18"/>
      <c r="W4127" s="18" t="s">
        <v>2257</v>
      </c>
      <c r="X4127" s="18" t="s">
        <v>42</v>
      </c>
      <c r="Y4127" s="18" t="s">
        <v>36</v>
      </c>
      <c r="Z4127" s="18" t="s">
        <v>697</v>
      </c>
      <c r="AA4127" s="21" t="str">
        <f>HYPERLINK("https://www.ncbi.nlm.nih.gov/nuccore/MH450131","NCBI Nucleotide")</f>
        <v>NCBI Nucleotide</v>
      </c>
    </row>
    <row r="4128" spans="1:27" x14ac:dyDescent="0.35">
      <c r="A4128">
        <v>1005757</v>
      </c>
      <c r="B4128">
        <v>4104</v>
      </c>
      <c r="C4128">
        <v>1</v>
      </c>
      <c r="D4128" s="17" t="s">
        <v>155</v>
      </c>
      <c r="E4128" s="17"/>
      <c r="F4128" s="17" t="s">
        <v>156</v>
      </c>
      <c r="G4128" s="17"/>
      <c r="H4128" s="17" t="s">
        <v>692</v>
      </c>
      <c r="I4128" s="17"/>
      <c r="J4128" s="17" t="s">
        <v>693</v>
      </c>
      <c r="K4128" s="17"/>
      <c r="L4128" s="17"/>
      <c r="M4128" s="17"/>
      <c r="N4128" s="17"/>
      <c r="O4128" s="17"/>
      <c r="P4128" s="17" t="s">
        <v>2219</v>
      </c>
      <c r="Q4128" s="17"/>
      <c r="R4128" s="25" t="str">
        <f>HYPERLINK("https://ictv.global/taxonomy/taxondetails?taxnode_id=202312379","Korravirus urla")</f>
        <v>Korravirus urla</v>
      </c>
      <c r="S4128" s="18" t="s">
        <v>30</v>
      </c>
      <c r="T4128" s="18" t="s">
        <v>2258</v>
      </c>
      <c r="U4128" s="18"/>
      <c r="V4128" s="18"/>
      <c r="W4128" s="18" t="s">
        <v>2259</v>
      </c>
      <c r="X4128" s="18" t="s">
        <v>42</v>
      </c>
      <c r="Y4128" s="18" t="s">
        <v>36</v>
      </c>
      <c r="Z4128" s="18" t="s">
        <v>697</v>
      </c>
      <c r="AA4128" s="21" t="str">
        <f>HYPERLINK("https://www.ncbi.nlm.nih.gov/nuccore/MG198779","NCBI Nucleotide")</f>
        <v>NCBI Nucleotide</v>
      </c>
    </row>
    <row r="4129" spans="1:27" x14ac:dyDescent="0.35">
      <c r="A4129">
        <v>1005758</v>
      </c>
      <c r="B4129">
        <v>4105</v>
      </c>
      <c r="C4129">
        <v>1</v>
      </c>
      <c r="D4129" s="17" t="s">
        <v>155</v>
      </c>
      <c r="E4129" s="17"/>
      <c r="F4129" s="17" t="s">
        <v>156</v>
      </c>
      <c r="G4129" s="17"/>
      <c r="H4129" s="17" t="s">
        <v>692</v>
      </c>
      <c r="I4129" s="17"/>
      <c r="J4129" s="17" t="s">
        <v>693</v>
      </c>
      <c r="K4129" s="17"/>
      <c r="L4129" s="17"/>
      <c r="M4129" s="17"/>
      <c r="N4129" s="17"/>
      <c r="O4129" s="17"/>
      <c r="P4129" s="17" t="s">
        <v>2219</v>
      </c>
      <c r="Q4129" s="17"/>
      <c r="R4129" s="25" t="str">
        <f>HYPERLINK("https://ictv.global/taxonomy/taxondetails?taxnode_id=202312380","Korravirus wawa")</f>
        <v>Korravirus wawa</v>
      </c>
      <c r="S4129" s="18" t="s">
        <v>30</v>
      </c>
      <c r="T4129" s="18" t="s">
        <v>2260</v>
      </c>
      <c r="U4129" s="18"/>
      <c r="V4129" s="18"/>
      <c r="W4129" s="18" t="s">
        <v>2261</v>
      </c>
      <c r="X4129" s="18" t="s">
        <v>42</v>
      </c>
      <c r="Y4129" s="18" t="s">
        <v>36</v>
      </c>
      <c r="Z4129" s="18" t="s">
        <v>697</v>
      </c>
      <c r="AA4129" s="21" t="str">
        <f>HYPERLINK("https://www.ncbi.nlm.nih.gov/nuccore/MK279892","NCBI Nucleotide")</f>
        <v>NCBI Nucleotide</v>
      </c>
    </row>
    <row r="4130" spans="1:27" x14ac:dyDescent="0.35">
      <c r="A4130">
        <v>1005759</v>
      </c>
      <c r="B4130">
        <v>4106</v>
      </c>
      <c r="C4130">
        <v>1</v>
      </c>
      <c r="D4130" s="17" t="s">
        <v>155</v>
      </c>
      <c r="E4130" s="17"/>
      <c r="F4130" s="17" t="s">
        <v>156</v>
      </c>
      <c r="G4130" s="17"/>
      <c r="H4130" s="17" t="s">
        <v>692</v>
      </c>
      <c r="I4130" s="17"/>
      <c r="J4130" s="17" t="s">
        <v>693</v>
      </c>
      <c r="K4130" s="17"/>
      <c r="L4130" s="17"/>
      <c r="M4130" s="17"/>
      <c r="N4130" s="17"/>
      <c r="O4130" s="17"/>
      <c r="P4130" s="17" t="s">
        <v>2219</v>
      </c>
      <c r="Q4130" s="17"/>
      <c r="R4130" s="25" t="str">
        <f>HYPERLINK("https://ictv.global/taxonomy/taxondetails?taxnode_id=202301007","Korravirus wayne")</f>
        <v>Korravirus wayne</v>
      </c>
      <c r="S4130" s="18" t="s">
        <v>30</v>
      </c>
      <c r="T4130" s="18" t="s">
        <v>2262</v>
      </c>
      <c r="U4130" s="18"/>
      <c r="V4130" s="18"/>
      <c r="W4130" s="18" t="s">
        <v>2263</v>
      </c>
      <c r="X4130" s="18" t="s">
        <v>42</v>
      </c>
      <c r="Y4130" s="18" t="s">
        <v>36</v>
      </c>
      <c r="Z4130" s="18" t="s">
        <v>697</v>
      </c>
      <c r="AA4130" s="21" t="str">
        <f>HYPERLINK("https://www.ncbi.nlm.nih.gov/nuccore/KU160672","NCBI Nucleotide")</f>
        <v>NCBI Nucleotide</v>
      </c>
    </row>
    <row r="4131" spans="1:27" x14ac:dyDescent="0.35">
      <c r="A4131">
        <v>1005760</v>
      </c>
      <c r="B4131">
        <v>4107</v>
      </c>
      <c r="C4131">
        <v>1</v>
      </c>
      <c r="D4131" s="17" t="s">
        <v>155</v>
      </c>
      <c r="E4131" s="17"/>
      <c r="F4131" s="17" t="s">
        <v>156</v>
      </c>
      <c r="G4131" s="17"/>
      <c r="H4131" s="17" t="s">
        <v>692</v>
      </c>
      <c r="I4131" s="17"/>
      <c r="J4131" s="17" t="s">
        <v>693</v>
      </c>
      <c r="K4131" s="17"/>
      <c r="L4131" s="17"/>
      <c r="M4131" s="17"/>
      <c r="N4131" s="17"/>
      <c r="O4131" s="17"/>
      <c r="P4131" s="17" t="s">
        <v>2264</v>
      </c>
      <c r="Q4131" s="17"/>
      <c r="R4131" s="25" t="str">
        <f>HYPERLINK("https://ictv.global/taxonomy/taxondetails?taxnode_id=202300931","Kostyavirus bask21")</f>
        <v>Kostyavirus bask21</v>
      </c>
      <c r="S4131" s="18" t="s">
        <v>30</v>
      </c>
      <c r="T4131" s="18" t="s">
        <v>2265</v>
      </c>
      <c r="U4131" s="18"/>
      <c r="V4131" s="18"/>
      <c r="W4131" s="18" t="s">
        <v>2266</v>
      </c>
      <c r="X4131" s="18" t="s">
        <v>42</v>
      </c>
      <c r="Y4131" s="18" t="s">
        <v>36</v>
      </c>
      <c r="Z4131" s="18" t="s">
        <v>697</v>
      </c>
      <c r="AA4131" s="21" t="str">
        <f>HYPERLINK("https://www.ncbi.nlm.nih.gov/nuccore/JF937091","NCBI Nucleotide")</f>
        <v>NCBI Nucleotide</v>
      </c>
    </row>
    <row r="4132" spans="1:27" x14ac:dyDescent="0.35">
      <c r="A4132">
        <v>1005761</v>
      </c>
      <c r="B4132">
        <v>4108</v>
      </c>
      <c r="C4132">
        <v>1</v>
      </c>
      <c r="D4132" s="17" t="s">
        <v>155</v>
      </c>
      <c r="E4132" s="17"/>
      <c r="F4132" s="17" t="s">
        <v>156</v>
      </c>
      <c r="G4132" s="17"/>
      <c r="H4132" s="17" t="s">
        <v>692</v>
      </c>
      <c r="I4132" s="17"/>
      <c r="J4132" s="17" t="s">
        <v>693</v>
      </c>
      <c r="K4132" s="17"/>
      <c r="L4132" s="17"/>
      <c r="M4132" s="17"/>
      <c r="N4132" s="17"/>
      <c r="O4132" s="17"/>
      <c r="P4132" s="17" t="s">
        <v>2264</v>
      </c>
      <c r="Q4132" s="17"/>
      <c r="R4132" s="25" t="str">
        <f>HYPERLINK("https://ictv.global/taxonomy/taxondetails?taxnode_id=202300932","Kostyavirus CJW1")</f>
        <v>Kostyavirus CJW1</v>
      </c>
      <c r="S4132" s="18" t="s">
        <v>30</v>
      </c>
      <c r="T4132" s="18" t="s">
        <v>2267</v>
      </c>
      <c r="U4132" s="18"/>
      <c r="V4132" s="18"/>
      <c r="W4132" s="18" t="s">
        <v>2268</v>
      </c>
      <c r="X4132" s="18" t="s">
        <v>42</v>
      </c>
      <c r="Y4132" s="18" t="s">
        <v>36</v>
      </c>
      <c r="Z4132" s="18" t="s">
        <v>697</v>
      </c>
      <c r="AA4132" s="21" t="str">
        <f>HYPERLINK("https://www.ncbi.nlm.nih.gov/nuccore/AY129331","NCBI Nucleotide")</f>
        <v>NCBI Nucleotide</v>
      </c>
    </row>
    <row r="4133" spans="1:27" x14ac:dyDescent="0.35">
      <c r="A4133">
        <v>1005762</v>
      </c>
      <c r="B4133">
        <v>4109</v>
      </c>
      <c r="C4133">
        <v>1</v>
      </c>
      <c r="D4133" s="17" t="s">
        <v>155</v>
      </c>
      <c r="E4133" s="17"/>
      <c r="F4133" s="17" t="s">
        <v>156</v>
      </c>
      <c r="G4133" s="17"/>
      <c r="H4133" s="17" t="s">
        <v>692</v>
      </c>
      <c r="I4133" s="17"/>
      <c r="J4133" s="17" t="s">
        <v>693</v>
      </c>
      <c r="K4133" s="17"/>
      <c r="L4133" s="17"/>
      <c r="M4133" s="17"/>
      <c r="N4133" s="17"/>
      <c r="O4133" s="17"/>
      <c r="P4133" s="17" t="s">
        <v>2264</v>
      </c>
      <c r="Q4133" s="17"/>
      <c r="R4133" s="25" t="str">
        <f>HYPERLINK("https://ictv.global/taxonomy/taxondetails?taxnode_id=202300933","Kostyavirus eureka")</f>
        <v>Kostyavirus eureka</v>
      </c>
      <c r="S4133" s="18" t="s">
        <v>30</v>
      </c>
      <c r="T4133" s="18" t="s">
        <v>2269</v>
      </c>
      <c r="U4133" s="18"/>
      <c r="V4133" s="18"/>
      <c r="W4133" s="18" t="s">
        <v>2270</v>
      </c>
      <c r="X4133" s="18" t="s">
        <v>42</v>
      </c>
      <c r="Y4133" s="18" t="s">
        <v>36</v>
      </c>
      <c r="Z4133" s="18" t="s">
        <v>697</v>
      </c>
      <c r="AA4133" s="21" t="str">
        <f>HYPERLINK("https://www.ncbi.nlm.nih.gov/nuccore/JN412590","NCBI Nucleotide")</f>
        <v>NCBI Nucleotide</v>
      </c>
    </row>
    <row r="4134" spans="1:27" x14ac:dyDescent="0.35">
      <c r="A4134">
        <v>1005763</v>
      </c>
      <c r="B4134">
        <v>4110</v>
      </c>
      <c r="C4134">
        <v>1</v>
      </c>
      <c r="D4134" s="17" t="s">
        <v>155</v>
      </c>
      <c r="E4134" s="17"/>
      <c r="F4134" s="17" t="s">
        <v>156</v>
      </c>
      <c r="G4134" s="17"/>
      <c r="H4134" s="17" t="s">
        <v>692</v>
      </c>
      <c r="I4134" s="17"/>
      <c r="J4134" s="17" t="s">
        <v>693</v>
      </c>
      <c r="K4134" s="17"/>
      <c r="L4134" s="17"/>
      <c r="M4134" s="17"/>
      <c r="N4134" s="17"/>
      <c r="O4134" s="17"/>
      <c r="P4134" s="17" t="s">
        <v>2264</v>
      </c>
      <c r="Q4134" s="17"/>
      <c r="R4134" s="25" t="str">
        <f>HYPERLINK("https://ictv.global/taxonomy/taxondetails?taxnode_id=202300934","Kostyavirus kostya")</f>
        <v>Kostyavirus kostya</v>
      </c>
      <c r="S4134" s="18" t="s">
        <v>30</v>
      </c>
      <c r="T4134" s="18" t="s">
        <v>2271</v>
      </c>
      <c r="U4134" s="18"/>
      <c r="V4134" s="18"/>
      <c r="W4134" s="18" t="s">
        <v>2272</v>
      </c>
      <c r="X4134" s="18" t="s">
        <v>42</v>
      </c>
      <c r="Y4134" s="18" t="s">
        <v>36</v>
      </c>
      <c r="Z4134" s="18" t="s">
        <v>697</v>
      </c>
      <c r="AA4134" s="21" t="str">
        <f>HYPERLINK("https://www.ncbi.nlm.nih.gov/nuccore/EU816591","NCBI Nucleotide")</f>
        <v>NCBI Nucleotide</v>
      </c>
    </row>
    <row r="4135" spans="1:27" x14ac:dyDescent="0.35">
      <c r="A4135">
        <v>1005764</v>
      </c>
      <c r="B4135">
        <v>4111</v>
      </c>
      <c r="C4135">
        <v>1</v>
      </c>
      <c r="D4135" s="17" t="s">
        <v>155</v>
      </c>
      <c r="E4135" s="17"/>
      <c r="F4135" s="17" t="s">
        <v>156</v>
      </c>
      <c r="G4135" s="17"/>
      <c r="H4135" s="17" t="s">
        <v>692</v>
      </c>
      <c r="I4135" s="17"/>
      <c r="J4135" s="17" t="s">
        <v>693</v>
      </c>
      <c r="K4135" s="17"/>
      <c r="L4135" s="17"/>
      <c r="M4135" s="17"/>
      <c r="N4135" s="17"/>
      <c r="O4135" s="17"/>
      <c r="P4135" s="17" t="s">
        <v>2264</v>
      </c>
      <c r="Q4135" s="17"/>
      <c r="R4135" s="25" t="str">
        <f>HYPERLINK("https://ictv.global/taxonomy/taxondetails?taxnode_id=202300930","Kostyavirus kv244")</f>
        <v>Kostyavirus kv244</v>
      </c>
      <c r="S4135" s="18" t="s">
        <v>30</v>
      </c>
      <c r="T4135" s="18" t="s">
        <v>2273</v>
      </c>
      <c r="U4135" s="18"/>
      <c r="V4135" s="18"/>
      <c r="W4135" s="18" t="s">
        <v>2274</v>
      </c>
      <c r="X4135" s="18" t="s">
        <v>42</v>
      </c>
      <c r="Y4135" s="18" t="s">
        <v>36</v>
      </c>
      <c r="Z4135" s="18" t="s">
        <v>697</v>
      </c>
      <c r="AA4135" s="21" t="str">
        <f>HYPERLINK("https://www.ncbi.nlm.nih.gov/nuccore/DQ398041","NCBI Nucleotide")</f>
        <v>NCBI Nucleotide</v>
      </c>
    </row>
    <row r="4136" spans="1:27" x14ac:dyDescent="0.35">
      <c r="A4136">
        <v>1005765</v>
      </c>
      <c r="B4136">
        <v>4112</v>
      </c>
      <c r="C4136">
        <v>1</v>
      </c>
      <c r="D4136" s="17" t="s">
        <v>155</v>
      </c>
      <c r="E4136" s="17"/>
      <c r="F4136" s="17" t="s">
        <v>156</v>
      </c>
      <c r="G4136" s="17"/>
      <c r="H4136" s="17" t="s">
        <v>692</v>
      </c>
      <c r="I4136" s="17"/>
      <c r="J4136" s="17" t="s">
        <v>693</v>
      </c>
      <c r="K4136" s="17"/>
      <c r="L4136" s="17"/>
      <c r="M4136" s="17"/>
      <c r="N4136" s="17"/>
      <c r="O4136" s="17"/>
      <c r="P4136" s="17" t="s">
        <v>2264</v>
      </c>
      <c r="Q4136" s="17"/>
      <c r="R4136" s="25" t="str">
        <f>HYPERLINK("https://ictv.global/taxonomy/taxondetails?taxnode_id=202300935","Kostyavirus porky")</f>
        <v>Kostyavirus porky</v>
      </c>
      <c r="S4136" s="18" t="s">
        <v>30</v>
      </c>
      <c r="T4136" s="18" t="s">
        <v>2275</v>
      </c>
      <c r="U4136" s="18"/>
      <c r="V4136" s="18"/>
      <c r="W4136" s="18" t="s">
        <v>2276</v>
      </c>
      <c r="X4136" s="18" t="s">
        <v>42</v>
      </c>
      <c r="Y4136" s="18" t="s">
        <v>36</v>
      </c>
      <c r="Z4136" s="18" t="s">
        <v>697</v>
      </c>
      <c r="AA4136" s="21" t="str">
        <f>HYPERLINK("https://www.ncbi.nlm.nih.gov/nuccore/EU816588","NCBI Nucleotide")</f>
        <v>NCBI Nucleotide</v>
      </c>
    </row>
    <row r="4137" spans="1:27" x14ac:dyDescent="0.35">
      <c r="A4137">
        <v>1005766</v>
      </c>
      <c r="B4137">
        <v>4113</v>
      </c>
      <c r="C4137">
        <v>1</v>
      </c>
      <c r="D4137" s="17" t="s">
        <v>155</v>
      </c>
      <c r="E4137" s="17"/>
      <c r="F4137" s="17" t="s">
        <v>156</v>
      </c>
      <c r="G4137" s="17"/>
      <c r="H4137" s="17" t="s">
        <v>692</v>
      </c>
      <c r="I4137" s="17"/>
      <c r="J4137" s="17" t="s">
        <v>693</v>
      </c>
      <c r="K4137" s="17"/>
      <c r="L4137" s="17"/>
      <c r="M4137" s="17"/>
      <c r="N4137" s="17"/>
      <c r="O4137" s="17"/>
      <c r="P4137" s="17" t="s">
        <v>2264</v>
      </c>
      <c r="Q4137" s="17"/>
      <c r="R4137" s="25" t="str">
        <f>HYPERLINK("https://ictv.global/taxonomy/taxondetails?taxnode_id=202300936","Kostyavirus pumpkin")</f>
        <v>Kostyavirus pumpkin</v>
      </c>
      <c r="S4137" s="18" t="s">
        <v>30</v>
      </c>
      <c r="T4137" s="18" t="s">
        <v>2277</v>
      </c>
      <c r="U4137" s="18"/>
      <c r="V4137" s="18"/>
      <c r="W4137" s="18" t="s">
        <v>2278</v>
      </c>
      <c r="X4137" s="18" t="s">
        <v>42</v>
      </c>
      <c r="Y4137" s="18" t="s">
        <v>36</v>
      </c>
      <c r="Z4137" s="18" t="s">
        <v>697</v>
      </c>
      <c r="AA4137" s="21" t="str">
        <f>HYPERLINK("https://www.ncbi.nlm.nih.gov/nuccore/GQ303265","NCBI Nucleotide")</f>
        <v>NCBI Nucleotide</v>
      </c>
    </row>
    <row r="4138" spans="1:27" x14ac:dyDescent="0.35">
      <c r="A4138">
        <v>1005767</v>
      </c>
      <c r="B4138">
        <v>4114</v>
      </c>
      <c r="C4138">
        <v>1</v>
      </c>
      <c r="D4138" s="17" t="s">
        <v>155</v>
      </c>
      <c r="E4138" s="17"/>
      <c r="F4138" s="17" t="s">
        <v>156</v>
      </c>
      <c r="G4138" s="17"/>
      <c r="H4138" s="17" t="s">
        <v>692</v>
      </c>
      <c r="I4138" s="17"/>
      <c r="J4138" s="17" t="s">
        <v>693</v>
      </c>
      <c r="K4138" s="17"/>
      <c r="L4138" s="17"/>
      <c r="M4138" s="17"/>
      <c r="N4138" s="17"/>
      <c r="O4138" s="17"/>
      <c r="P4138" s="17" t="s">
        <v>2264</v>
      </c>
      <c r="Q4138" s="17"/>
      <c r="R4138" s="25" t="str">
        <f>HYPERLINK("https://ictv.global/taxonomy/taxondetails?taxnode_id=202300937","Kostyavirus sirduracell")</f>
        <v>Kostyavirus sirduracell</v>
      </c>
      <c r="S4138" s="18" t="s">
        <v>30</v>
      </c>
      <c r="T4138" s="18" t="s">
        <v>2279</v>
      </c>
      <c r="U4138" s="18"/>
      <c r="V4138" s="18"/>
      <c r="W4138" s="18" t="s">
        <v>2280</v>
      </c>
      <c r="X4138" s="18" t="s">
        <v>42</v>
      </c>
      <c r="Y4138" s="18" t="s">
        <v>36</v>
      </c>
      <c r="Z4138" s="18" t="s">
        <v>697</v>
      </c>
      <c r="AA4138" s="21" t="str">
        <f>HYPERLINK("https://www.ncbi.nlm.nih.gov/nuccore/JF937106","NCBI Nucleotide")</f>
        <v>NCBI Nucleotide</v>
      </c>
    </row>
    <row r="4139" spans="1:27" x14ac:dyDescent="0.35">
      <c r="A4139">
        <v>1005768</v>
      </c>
      <c r="B4139">
        <v>4115</v>
      </c>
      <c r="C4139">
        <v>1</v>
      </c>
      <c r="D4139" s="17" t="s">
        <v>155</v>
      </c>
      <c r="E4139" s="17"/>
      <c r="F4139" s="17" t="s">
        <v>156</v>
      </c>
      <c r="G4139" s="17"/>
      <c r="H4139" s="17" t="s">
        <v>692</v>
      </c>
      <c r="I4139" s="17"/>
      <c r="J4139" s="17" t="s">
        <v>693</v>
      </c>
      <c r="K4139" s="17"/>
      <c r="L4139" s="17"/>
      <c r="M4139" s="17"/>
      <c r="N4139" s="17"/>
      <c r="O4139" s="17"/>
      <c r="P4139" s="17" t="s">
        <v>2264</v>
      </c>
      <c r="Q4139" s="17"/>
      <c r="R4139" s="25" t="str">
        <f>HYPERLINK("https://ictv.global/taxonomy/taxondetails?taxnode_id=202300938","Kostyavirus toto")</f>
        <v>Kostyavirus toto</v>
      </c>
      <c r="S4139" s="18" t="s">
        <v>30</v>
      </c>
      <c r="T4139" s="18" t="s">
        <v>2281</v>
      </c>
      <c r="U4139" s="18"/>
      <c r="V4139" s="18"/>
      <c r="W4139" s="18" t="s">
        <v>2282</v>
      </c>
      <c r="X4139" s="18" t="s">
        <v>42</v>
      </c>
      <c r="Y4139" s="18" t="s">
        <v>36</v>
      </c>
      <c r="Z4139" s="18" t="s">
        <v>697</v>
      </c>
      <c r="AA4139" s="21" t="str">
        <f>HYPERLINK("https://www.ncbi.nlm.nih.gov/nuccore/JN006061","NCBI Nucleotide")</f>
        <v>NCBI Nucleotide</v>
      </c>
    </row>
    <row r="4140" spans="1:27" x14ac:dyDescent="0.35">
      <c r="A4140">
        <v>1005770</v>
      </c>
      <c r="B4140">
        <v>4116</v>
      </c>
      <c r="C4140">
        <v>1</v>
      </c>
      <c r="D4140" s="17" t="s">
        <v>155</v>
      </c>
      <c r="E4140" s="17"/>
      <c r="F4140" s="17" t="s">
        <v>156</v>
      </c>
      <c r="G4140" s="17"/>
      <c r="H4140" s="17" t="s">
        <v>692</v>
      </c>
      <c r="I4140" s="17"/>
      <c r="J4140" s="17" t="s">
        <v>693</v>
      </c>
      <c r="K4140" s="17"/>
      <c r="L4140" s="17"/>
      <c r="M4140" s="17"/>
      <c r="N4140" s="17"/>
      <c r="O4140" s="17"/>
      <c r="P4140" s="17" t="s">
        <v>2286</v>
      </c>
      <c r="Q4140" s="17"/>
      <c r="R4140" s="25" t="str">
        <f>HYPERLINK("https://ictv.global/taxonomy/taxondetails?taxnode_id=202307430","Krampusvirus krampus")</f>
        <v>Krampusvirus krampus</v>
      </c>
      <c r="S4140" s="18" t="s">
        <v>30</v>
      </c>
      <c r="T4140" s="18" t="s">
        <v>2287</v>
      </c>
      <c r="U4140" s="18"/>
      <c r="V4140" s="18"/>
      <c r="W4140" s="18" t="s">
        <v>2288</v>
      </c>
      <c r="X4140" s="18" t="s">
        <v>42</v>
      </c>
      <c r="Y4140" s="18" t="s">
        <v>36</v>
      </c>
      <c r="Z4140" s="18" t="s">
        <v>697</v>
      </c>
      <c r="AA4140" s="21" t="str">
        <f>HYPERLINK("https://www.ncbi.nlm.nih.gov/nuccore/MH271301","NCBI Nucleotide")</f>
        <v>NCBI Nucleotide</v>
      </c>
    </row>
    <row r="4141" spans="1:27" x14ac:dyDescent="0.35">
      <c r="A4141">
        <v>1024986</v>
      </c>
      <c r="B4141">
        <v>4117</v>
      </c>
      <c r="C4141">
        <v>1</v>
      </c>
      <c r="D4141" s="17" t="s">
        <v>155</v>
      </c>
      <c r="E4141" s="17"/>
      <c r="F4141" s="17" t="s">
        <v>156</v>
      </c>
      <c r="G4141" s="17"/>
      <c r="H4141" s="17" t="s">
        <v>692</v>
      </c>
      <c r="I4141" s="17"/>
      <c r="J4141" s="17" t="s">
        <v>693</v>
      </c>
      <c r="K4141" s="17"/>
      <c r="L4141" s="17"/>
      <c r="M4141" s="17"/>
      <c r="N4141" s="17"/>
      <c r="O4141" s="17"/>
      <c r="P4141" s="17" t="s">
        <v>39986</v>
      </c>
      <c r="Q4141" s="17"/>
      <c r="R4141" s="25" t="str">
        <f>HYPERLINK("https://ictv.global/taxonomy/taxondetails?taxnode_id=202317760","Krompvirus kromp")</f>
        <v>Krompvirus kromp</v>
      </c>
      <c r="S4141" s="18" t="s">
        <v>30</v>
      </c>
      <c r="T4141" s="18" t="s">
        <v>39987</v>
      </c>
      <c r="U4141" s="18"/>
      <c r="V4141" s="18"/>
      <c r="W4141" s="18" t="s">
        <v>48549</v>
      </c>
      <c r="X4141" s="18" t="s">
        <v>42</v>
      </c>
      <c r="Y4141" s="18" t="s">
        <v>36</v>
      </c>
      <c r="Z4141" s="18" t="s">
        <v>697</v>
      </c>
      <c r="AA4141" s="21" t="str">
        <f>HYPERLINK("https://www.ncbi.nlm.nih.gov/nuccore/MH744420","NCBI Nucleotide")</f>
        <v>NCBI Nucleotide</v>
      </c>
    </row>
    <row r="4142" spans="1:27" x14ac:dyDescent="0.35">
      <c r="A4142">
        <v>1005771</v>
      </c>
      <c r="B4142">
        <v>4118</v>
      </c>
      <c r="C4142">
        <v>1</v>
      </c>
      <c r="D4142" s="17" t="s">
        <v>155</v>
      </c>
      <c r="E4142" s="17"/>
      <c r="F4142" s="17" t="s">
        <v>156</v>
      </c>
      <c r="G4142" s="17"/>
      <c r="H4142" s="17" t="s">
        <v>692</v>
      </c>
      <c r="I4142" s="17"/>
      <c r="J4142" s="17" t="s">
        <v>693</v>
      </c>
      <c r="K4142" s="17"/>
      <c r="L4142" s="17"/>
      <c r="M4142" s="17"/>
      <c r="N4142" s="17"/>
      <c r="O4142" s="17"/>
      <c r="P4142" s="17" t="s">
        <v>2289</v>
      </c>
      <c r="Q4142" s="17"/>
      <c r="R4142" s="25" t="str">
        <f>HYPERLINK("https://ictv.global/taxonomy/taxondetails?taxnode_id=202312385","Kroosvirus ashertheman")</f>
        <v>Kroosvirus ashertheman</v>
      </c>
      <c r="S4142" s="18" t="s">
        <v>30</v>
      </c>
      <c r="T4142" s="18" t="s">
        <v>2290</v>
      </c>
      <c r="U4142" s="18"/>
      <c r="V4142" s="18"/>
      <c r="W4142" s="18" t="s">
        <v>2291</v>
      </c>
      <c r="X4142" s="18" t="s">
        <v>42</v>
      </c>
      <c r="Y4142" s="18" t="s">
        <v>36</v>
      </c>
      <c r="Z4142" s="18" t="s">
        <v>697</v>
      </c>
      <c r="AA4142" s="21" t="str">
        <f>HYPERLINK("https://www.ncbi.nlm.nih.gov/nuccore/MH651168","NCBI Nucleotide")</f>
        <v>NCBI Nucleotide</v>
      </c>
    </row>
    <row r="4143" spans="1:27" x14ac:dyDescent="0.35">
      <c r="A4143">
        <v>1005772</v>
      </c>
      <c r="B4143">
        <v>4119</v>
      </c>
      <c r="C4143">
        <v>1</v>
      </c>
      <c r="D4143" s="17" t="s">
        <v>155</v>
      </c>
      <c r="E4143" s="17"/>
      <c r="F4143" s="17" t="s">
        <v>156</v>
      </c>
      <c r="G4143" s="17"/>
      <c r="H4143" s="17" t="s">
        <v>692</v>
      </c>
      <c r="I4143" s="17"/>
      <c r="J4143" s="17" t="s">
        <v>693</v>
      </c>
      <c r="K4143" s="17"/>
      <c r="L4143" s="17"/>
      <c r="M4143" s="17"/>
      <c r="N4143" s="17"/>
      <c r="O4143" s="17"/>
      <c r="P4143" s="17" t="s">
        <v>2289</v>
      </c>
      <c r="Q4143" s="17"/>
      <c r="R4143" s="25" t="str">
        <f>HYPERLINK("https://ictv.global/taxonomy/taxondetails?taxnode_id=202312387","Kroosvirus bizzy")</f>
        <v>Kroosvirus bizzy</v>
      </c>
      <c r="S4143" s="18" t="s">
        <v>30</v>
      </c>
      <c r="T4143" s="18" t="s">
        <v>2292</v>
      </c>
      <c r="U4143" s="18"/>
      <c r="V4143" s="18"/>
      <c r="W4143" s="18" t="s">
        <v>2293</v>
      </c>
      <c r="X4143" s="18" t="s">
        <v>42</v>
      </c>
      <c r="Y4143" s="18" t="s">
        <v>36</v>
      </c>
      <c r="Z4143" s="18" t="s">
        <v>697</v>
      </c>
      <c r="AA4143" s="21" t="str">
        <f>HYPERLINK("https://www.ncbi.nlm.nih.gov/nuccore/MH976509","NCBI Nucleotide")</f>
        <v>NCBI Nucleotide</v>
      </c>
    </row>
    <row r="4144" spans="1:27" x14ac:dyDescent="0.35">
      <c r="A4144">
        <v>1005773</v>
      </c>
      <c r="B4144">
        <v>4120</v>
      </c>
      <c r="C4144">
        <v>1</v>
      </c>
      <c r="D4144" s="17" t="s">
        <v>155</v>
      </c>
      <c r="E4144" s="17"/>
      <c r="F4144" s="17" t="s">
        <v>156</v>
      </c>
      <c r="G4144" s="17"/>
      <c r="H4144" s="17" t="s">
        <v>692</v>
      </c>
      <c r="I4144" s="17"/>
      <c r="J4144" s="17" t="s">
        <v>693</v>
      </c>
      <c r="K4144" s="17"/>
      <c r="L4144" s="17"/>
      <c r="M4144" s="17"/>
      <c r="N4144" s="17"/>
      <c r="O4144" s="17"/>
      <c r="P4144" s="17" t="s">
        <v>2289</v>
      </c>
      <c r="Q4144" s="17"/>
      <c r="R4144" s="25" t="str">
        <f>HYPERLINK("https://ictv.global/taxonomy/taxondetails?taxnode_id=202312386","Kroosvirus gaea")</f>
        <v>Kroosvirus gaea</v>
      </c>
      <c r="S4144" s="18" t="s">
        <v>30</v>
      </c>
      <c r="T4144" s="18" t="s">
        <v>2294</v>
      </c>
      <c r="U4144" s="18"/>
      <c r="V4144" s="18"/>
      <c r="W4144" s="18" t="s">
        <v>2295</v>
      </c>
      <c r="X4144" s="18" t="s">
        <v>42</v>
      </c>
      <c r="Y4144" s="18" t="s">
        <v>36</v>
      </c>
      <c r="Z4144" s="18" t="s">
        <v>697</v>
      </c>
      <c r="AA4144" s="21" t="str">
        <f>HYPERLINK("https://www.ncbi.nlm.nih.gov/nuccore/MH976511","NCBI Nucleotide")</f>
        <v>NCBI Nucleotide</v>
      </c>
    </row>
    <row r="4145" spans="1:27" x14ac:dyDescent="0.35">
      <c r="A4145">
        <v>1005774</v>
      </c>
      <c r="B4145">
        <v>4121</v>
      </c>
      <c r="C4145">
        <v>1</v>
      </c>
      <c r="D4145" s="17" t="s">
        <v>155</v>
      </c>
      <c r="E4145" s="17"/>
      <c r="F4145" s="17" t="s">
        <v>156</v>
      </c>
      <c r="G4145" s="17"/>
      <c r="H4145" s="17" t="s">
        <v>692</v>
      </c>
      <c r="I4145" s="17"/>
      <c r="J4145" s="17" t="s">
        <v>693</v>
      </c>
      <c r="K4145" s="17"/>
      <c r="L4145" s="17"/>
      <c r="M4145" s="17"/>
      <c r="N4145" s="17"/>
      <c r="O4145" s="17"/>
      <c r="P4145" s="17" t="s">
        <v>2289</v>
      </c>
      <c r="Q4145" s="17"/>
      <c r="R4145" s="25" t="str">
        <f>HYPERLINK("https://ictv.global/taxonomy/taxondetails?taxnode_id=202312383","Kroosvirus jksyngboy")</f>
        <v>Kroosvirus jksyngboy</v>
      </c>
      <c r="S4145" s="18" t="s">
        <v>30</v>
      </c>
      <c r="T4145" s="18" t="s">
        <v>2296</v>
      </c>
      <c r="U4145" s="18"/>
      <c r="V4145" s="18"/>
      <c r="W4145" s="18" t="s">
        <v>2297</v>
      </c>
      <c r="X4145" s="18" t="s">
        <v>42</v>
      </c>
      <c r="Y4145" s="18" t="s">
        <v>36</v>
      </c>
      <c r="Z4145" s="18" t="s">
        <v>697</v>
      </c>
      <c r="AA4145" s="21" t="str">
        <f>HYPERLINK("https://www.ncbi.nlm.nih.gov/nuccore/MT723937","NCBI Nucleotide")</f>
        <v>NCBI Nucleotide</v>
      </c>
    </row>
    <row r="4146" spans="1:27" x14ac:dyDescent="0.35">
      <c r="A4146">
        <v>1005775</v>
      </c>
      <c r="B4146">
        <v>4122</v>
      </c>
      <c r="C4146">
        <v>1</v>
      </c>
      <c r="D4146" s="17" t="s">
        <v>155</v>
      </c>
      <c r="E4146" s="17"/>
      <c r="F4146" s="17" t="s">
        <v>156</v>
      </c>
      <c r="G4146" s="17"/>
      <c r="H4146" s="17" t="s">
        <v>692</v>
      </c>
      <c r="I4146" s="17"/>
      <c r="J4146" s="17" t="s">
        <v>693</v>
      </c>
      <c r="K4146" s="17"/>
      <c r="L4146" s="17"/>
      <c r="M4146" s="17"/>
      <c r="N4146" s="17"/>
      <c r="O4146" s="17"/>
      <c r="P4146" s="17" t="s">
        <v>2289</v>
      </c>
      <c r="Q4146" s="17"/>
      <c r="R4146" s="25" t="str">
        <f>HYPERLINK("https://ictv.global/taxonomy/taxondetails?taxnode_id=202312382","Kroosvirus kroos")</f>
        <v>Kroosvirus kroos</v>
      </c>
      <c r="S4146" s="18" t="s">
        <v>30</v>
      </c>
      <c r="T4146" s="18" t="s">
        <v>2298</v>
      </c>
      <c r="U4146" s="18"/>
      <c r="V4146" s="18"/>
      <c r="W4146" s="18" t="s">
        <v>2299</v>
      </c>
      <c r="X4146" s="18" t="s">
        <v>42</v>
      </c>
      <c r="Y4146" s="18" t="s">
        <v>36</v>
      </c>
      <c r="Z4146" s="18" t="s">
        <v>697</v>
      </c>
      <c r="AA4146" s="21" t="str">
        <f>HYPERLINK("https://www.ncbi.nlm.nih.gov/nuccore/MH976513","NCBI Nucleotide")</f>
        <v>NCBI Nucleotide</v>
      </c>
    </row>
    <row r="4147" spans="1:27" x14ac:dyDescent="0.35">
      <c r="A4147">
        <v>1005776</v>
      </c>
      <c r="B4147">
        <v>4123</v>
      </c>
      <c r="C4147">
        <v>1</v>
      </c>
      <c r="D4147" s="17" t="s">
        <v>155</v>
      </c>
      <c r="E4147" s="17"/>
      <c r="F4147" s="17" t="s">
        <v>156</v>
      </c>
      <c r="G4147" s="17"/>
      <c r="H4147" s="17" t="s">
        <v>692</v>
      </c>
      <c r="I4147" s="17"/>
      <c r="J4147" s="17" t="s">
        <v>693</v>
      </c>
      <c r="K4147" s="17"/>
      <c r="L4147" s="17"/>
      <c r="M4147" s="17"/>
      <c r="N4147" s="17"/>
      <c r="O4147" s="17"/>
      <c r="P4147" s="17" t="s">
        <v>2289</v>
      </c>
      <c r="Q4147" s="17"/>
      <c r="R4147" s="25" t="str">
        <f>HYPERLINK("https://ictv.global/taxonomy/taxondetails?taxnode_id=202312389","Kroosvirus ribeye")</f>
        <v>Kroosvirus ribeye</v>
      </c>
      <c r="S4147" s="18" t="s">
        <v>30</v>
      </c>
      <c r="T4147" s="18" t="s">
        <v>2300</v>
      </c>
      <c r="U4147" s="18"/>
      <c r="V4147" s="18"/>
      <c r="W4147" s="18" t="s">
        <v>2301</v>
      </c>
      <c r="X4147" s="18" t="s">
        <v>42</v>
      </c>
      <c r="Y4147" s="18" t="s">
        <v>36</v>
      </c>
      <c r="Z4147" s="18" t="s">
        <v>697</v>
      </c>
      <c r="AA4147" s="21" t="str">
        <f>HYPERLINK("https://www.ncbi.nlm.nih.gov/nuccore/MH450129","NCBI Nucleotide")</f>
        <v>NCBI Nucleotide</v>
      </c>
    </row>
    <row r="4148" spans="1:27" x14ac:dyDescent="0.35">
      <c r="A4148">
        <v>1005777</v>
      </c>
      <c r="B4148">
        <v>4124</v>
      </c>
      <c r="C4148">
        <v>1</v>
      </c>
      <c r="D4148" s="17" t="s">
        <v>155</v>
      </c>
      <c r="E4148" s="17"/>
      <c r="F4148" s="17" t="s">
        <v>156</v>
      </c>
      <c r="G4148" s="17"/>
      <c r="H4148" s="17" t="s">
        <v>692</v>
      </c>
      <c r="I4148" s="17"/>
      <c r="J4148" s="17" t="s">
        <v>693</v>
      </c>
      <c r="K4148" s="17"/>
      <c r="L4148" s="17"/>
      <c r="M4148" s="17"/>
      <c r="N4148" s="17"/>
      <c r="O4148" s="17"/>
      <c r="P4148" s="17" t="s">
        <v>2289</v>
      </c>
      <c r="Q4148" s="17"/>
      <c r="R4148" s="25" t="str">
        <f>HYPERLINK("https://ictv.global/taxonomy/taxondetails?taxnode_id=202312388","Kroosvirus tangerine")</f>
        <v>Kroosvirus tangerine</v>
      </c>
      <c r="S4148" s="18" t="s">
        <v>30</v>
      </c>
      <c r="T4148" s="18" t="s">
        <v>2302</v>
      </c>
      <c r="U4148" s="18"/>
      <c r="V4148" s="18"/>
      <c r="W4148" s="18" t="s">
        <v>2303</v>
      </c>
      <c r="X4148" s="18" t="s">
        <v>42</v>
      </c>
      <c r="Y4148" s="18" t="s">
        <v>36</v>
      </c>
      <c r="Z4148" s="18" t="s">
        <v>697</v>
      </c>
      <c r="AA4148" s="21" t="str">
        <f>HYPERLINK("https://www.ncbi.nlm.nih.gov/nuccore/MK967396","NCBI Nucleotide")</f>
        <v>NCBI Nucleotide</v>
      </c>
    </row>
    <row r="4149" spans="1:27" x14ac:dyDescent="0.35">
      <c r="A4149">
        <v>1005778</v>
      </c>
      <c r="B4149">
        <v>4125</v>
      </c>
      <c r="C4149">
        <v>1</v>
      </c>
      <c r="D4149" s="17" t="s">
        <v>155</v>
      </c>
      <c r="E4149" s="17"/>
      <c r="F4149" s="17" t="s">
        <v>156</v>
      </c>
      <c r="G4149" s="17"/>
      <c r="H4149" s="17" t="s">
        <v>692</v>
      </c>
      <c r="I4149" s="17"/>
      <c r="J4149" s="17" t="s">
        <v>693</v>
      </c>
      <c r="K4149" s="17"/>
      <c r="L4149" s="17"/>
      <c r="M4149" s="17"/>
      <c r="N4149" s="17"/>
      <c r="O4149" s="17"/>
      <c r="P4149" s="17" t="s">
        <v>2289</v>
      </c>
      <c r="Q4149" s="17"/>
      <c r="R4149" s="25" t="str">
        <f>HYPERLINK("https://ictv.global/taxonomy/taxondetails?taxnode_id=202312384","Kroosvirus yorkonyx")</f>
        <v>Kroosvirus yorkonyx</v>
      </c>
      <c r="S4149" s="18" t="s">
        <v>30</v>
      </c>
      <c r="T4149" s="18" t="s">
        <v>2304</v>
      </c>
      <c r="U4149" s="18"/>
      <c r="V4149" s="18"/>
      <c r="W4149" s="18" t="s">
        <v>2305</v>
      </c>
      <c r="X4149" s="18" t="s">
        <v>42</v>
      </c>
      <c r="Y4149" s="18" t="s">
        <v>36</v>
      </c>
      <c r="Z4149" s="18" t="s">
        <v>697</v>
      </c>
      <c r="AA4149" s="21" t="str">
        <f>HYPERLINK("https://www.ncbi.nlm.nih.gov/nuccore/MT723941","NCBI Nucleotide")</f>
        <v>NCBI Nucleotide</v>
      </c>
    </row>
    <row r="4150" spans="1:27" x14ac:dyDescent="0.35">
      <c r="A4150">
        <v>1005779</v>
      </c>
      <c r="B4150">
        <v>4126</v>
      </c>
      <c r="C4150">
        <v>1</v>
      </c>
      <c r="D4150" s="17" t="s">
        <v>155</v>
      </c>
      <c r="E4150" s="17"/>
      <c r="F4150" s="17" t="s">
        <v>156</v>
      </c>
      <c r="G4150" s="17"/>
      <c r="H4150" s="17" t="s">
        <v>692</v>
      </c>
      <c r="I4150" s="17"/>
      <c r="J4150" s="17" t="s">
        <v>693</v>
      </c>
      <c r="K4150" s="17"/>
      <c r="L4150" s="17"/>
      <c r="M4150" s="17"/>
      <c r="N4150" s="17"/>
      <c r="O4150" s="17"/>
      <c r="P4150" s="17" t="s">
        <v>2306</v>
      </c>
      <c r="Q4150" s="17"/>
      <c r="R4150" s="25" t="str">
        <f>HYPERLINK("https://ictv.global/taxonomy/taxondetails?taxnode_id=202306843","Krylovvirus tf")</f>
        <v>Krylovvirus tf</v>
      </c>
      <c r="S4150" s="18" t="s">
        <v>30</v>
      </c>
      <c r="T4150" s="18" t="s">
        <v>2307</v>
      </c>
      <c r="U4150" s="18"/>
      <c r="V4150" s="18"/>
      <c r="W4150" s="18" t="s">
        <v>2308</v>
      </c>
      <c r="X4150" s="18" t="s">
        <v>42</v>
      </c>
      <c r="Y4150" s="18" t="s">
        <v>36</v>
      </c>
      <c r="Z4150" s="18" t="s">
        <v>697</v>
      </c>
      <c r="AA4150" s="21" t="str">
        <f>HYPERLINK("https://www.ncbi.nlm.nih.gov/nuccore/HE611333","NCBI Nucleotide")</f>
        <v>NCBI Nucleotide</v>
      </c>
    </row>
    <row r="4151" spans="1:27" x14ac:dyDescent="0.35">
      <c r="A4151">
        <v>1005780</v>
      </c>
      <c r="B4151">
        <v>4127</v>
      </c>
      <c r="C4151">
        <v>1</v>
      </c>
      <c r="D4151" s="17" t="s">
        <v>155</v>
      </c>
      <c r="E4151" s="17"/>
      <c r="F4151" s="17" t="s">
        <v>156</v>
      </c>
      <c r="G4151" s="17"/>
      <c r="H4151" s="17" t="s">
        <v>692</v>
      </c>
      <c r="I4151" s="17"/>
      <c r="J4151" s="17" t="s">
        <v>693</v>
      </c>
      <c r="K4151" s="17"/>
      <c r="L4151" s="17"/>
      <c r="M4151" s="17"/>
      <c r="N4151" s="17"/>
      <c r="O4151" s="17"/>
      <c r="P4151" s="17" t="s">
        <v>2309</v>
      </c>
      <c r="Q4151" s="17"/>
      <c r="R4151" s="25" t="str">
        <f>HYPERLINK("https://ictv.global/taxonomy/taxondetails?taxnode_id=202306845","Kryptosalinivirus M8CC19")</f>
        <v>Kryptosalinivirus M8CC19</v>
      </c>
      <c r="S4151" s="18" t="s">
        <v>30</v>
      </c>
      <c r="T4151" s="18" t="s">
        <v>2310</v>
      </c>
      <c r="U4151" s="18"/>
      <c r="V4151" s="18"/>
      <c r="W4151" s="18" t="s">
        <v>2311</v>
      </c>
      <c r="X4151" s="18" t="s">
        <v>42</v>
      </c>
      <c r="Y4151" s="18" t="s">
        <v>36</v>
      </c>
      <c r="Z4151" s="18" t="s">
        <v>697</v>
      </c>
      <c r="AA4151" s="21" t="str">
        <f>HYPERLINK("https://www.ncbi.nlm.nih.gov/nuccore/MF580956","NCBI Nucleotide")</f>
        <v>NCBI Nucleotide</v>
      </c>
    </row>
    <row r="4152" spans="1:27" x14ac:dyDescent="0.35">
      <c r="A4152">
        <v>1005781</v>
      </c>
      <c r="B4152">
        <v>4128</v>
      </c>
      <c r="C4152">
        <v>1</v>
      </c>
      <c r="D4152" s="17" t="s">
        <v>155</v>
      </c>
      <c r="E4152" s="17"/>
      <c r="F4152" s="17" t="s">
        <v>156</v>
      </c>
      <c r="G4152" s="17"/>
      <c r="H4152" s="17" t="s">
        <v>692</v>
      </c>
      <c r="I4152" s="17"/>
      <c r="J4152" s="17" t="s">
        <v>693</v>
      </c>
      <c r="K4152" s="17"/>
      <c r="L4152" s="17"/>
      <c r="M4152" s="17"/>
      <c r="N4152" s="17"/>
      <c r="O4152" s="17"/>
      <c r="P4152" s="17" t="s">
        <v>2309</v>
      </c>
      <c r="Q4152" s="17"/>
      <c r="R4152" s="25" t="str">
        <f>HYPERLINK("https://ictv.global/taxonomy/taxondetails?taxnode_id=202306846","Kryptosalinivirus M8CRM1")</f>
        <v>Kryptosalinivirus M8CRM1</v>
      </c>
      <c r="S4152" s="18" t="s">
        <v>30</v>
      </c>
      <c r="T4152" s="18" t="s">
        <v>2312</v>
      </c>
      <c r="U4152" s="18"/>
      <c r="V4152" s="18"/>
      <c r="W4152" s="18" t="s">
        <v>2313</v>
      </c>
      <c r="X4152" s="18" t="s">
        <v>154</v>
      </c>
      <c r="Y4152" s="18" t="s">
        <v>36</v>
      </c>
      <c r="Z4152" s="18" t="s">
        <v>697</v>
      </c>
      <c r="AA4152" s="21" t="str">
        <f>HYPERLINK("https://www.ncbi.nlm.nih.gov/nuccore/MF580959","NCBI Nucleotide")</f>
        <v>NCBI Nucleotide</v>
      </c>
    </row>
    <row r="4153" spans="1:27" x14ac:dyDescent="0.35">
      <c r="A4153">
        <v>1005782</v>
      </c>
      <c r="B4153">
        <v>4129</v>
      </c>
      <c r="C4153">
        <v>1</v>
      </c>
      <c r="D4153" s="17" t="s">
        <v>155</v>
      </c>
      <c r="E4153" s="17"/>
      <c r="F4153" s="17" t="s">
        <v>156</v>
      </c>
      <c r="G4153" s="17"/>
      <c r="H4153" s="17" t="s">
        <v>692</v>
      </c>
      <c r="I4153" s="17"/>
      <c r="J4153" s="17" t="s">
        <v>693</v>
      </c>
      <c r="K4153" s="17"/>
      <c r="L4153" s="17"/>
      <c r="M4153" s="17"/>
      <c r="N4153" s="17"/>
      <c r="O4153" s="17"/>
      <c r="P4153" s="17" t="s">
        <v>2314</v>
      </c>
      <c r="Q4153" s="17"/>
      <c r="R4153" s="25" t="str">
        <f>HYPERLINK("https://ictv.global/taxonomy/taxondetails?taxnode_id=202310155","Kuleanavirus kuleana")</f>
        <v>Kuleanavirus kuleana</v>
      </c>
      <c r="S4153" s="18" t="s">
        <v>30</v>
      </c>
      <c r="T4153" s="18" t="s">
        <v>2315</v>
      </c>
      <c r="U4153" s="18"/>
      <c r="V4153" s="18"/>
      <c r="W4153" s="18" t="s">
        <v>2316</v>
      </c>
      <c r="X4153" s="18" t="s">
        <v>42</v>
      </c>
      <c r="Y4153" s="18" t="s">
        <v>36</v>
      </c>
      <c r="Z4153" s="18" t="s">
        <v>697</v>
      </c>
      <c r="AA4153" s="21" t="str">
        <f>HYPERLINK("https://www.ncbi.nlm.nih.gov/nuccore/MN484600","NCBI Nucleotide")</f>
        <v>NCBI Nucleotide</v>
      </c>
    </row>
    <row r="4154" spans="1:27" x14ac:dyDescent="0.35">
      <c r="A4154">
        <v>1005783</v>
      </c>
      <c r="B4154">
        <v>4130</v>
      </c>
      <c r="C4154">
        <v>1</v>
      </c>
      <c r="D4154" s="17" t="s">
        <v>155</v>
      </c>
      <c r="E4154" s="17"/>
      <c r="F4154" s="17" t="s">
        <v>156</v>
      </c>
      <c r="G4154" s="17"/>
      <c r="H4154" s="17" t="s">
        <v>692</v>
      </c>
      <c r="I4154" s="17"/>
      <c r="J4154" s="17" t="s">
        <v>693</v>
      </c>
      <c r="K4154" s="17"/>
      <c r="L4154" s="17"/>
      <c r="M4154" s="17"/>
      <c r="N4154" s="17"/>
      <c r="O4154" s="17"/>
      <c r="P4154" s="17" t="s">
        <v>2317</v>
      </c>
      <c r="Q4154" s="17"/>
      <c r="R4154" s="25" t="str">
        <f>HYPERLINK("https://ictv.global/taxonomy/taxondetails?taxnode_id=202314956","Kumottavirus kumotta")</f>
        <v>Kumottavirus kumotta</v>
      </c>
      <c r="S4154" s="18" t="s">
        <v>30</v>
      </c>
      <c r="T4154" s="18" t="s">
        <v>2318</v>
      </c>
      <c r="U4154" s="18"/>
      <c r="V4154" s="18"/>
      <c r="W4154" s="18" t="s">
        <v>2319</v>
      </c>
      <c r="X4154" s="18" t="s">
        <v>42</v>
      </c>
      <c r="Y4154" s="18" t="s">
        <v>36</v>
      </c>
      <c r="Z4154" s="18" t="s">
        <v>697</v>
      </c>
      <c r="AA4154" s="21" t="str">
        <f>HYPERLINK("https://www.ncbi.nlm.nih.gov/nuccore/MK977703","NCBI Nucleotide")</f>
        <v>NCBI Nucleotide</v>
      </c>
    </row>
    <row r="4155" spans="1:27" x14ac:dyDescent="0.35">
      <c r="A4155">
        <v>1005784</v>
      </c>
      <c r="B4155">
        <v>4131</v>
      </c>
      <c r="C4155">
        <v>1</v>
      </c>
      <c r="D4155" s="17" t="s">
        <v>155</v>
      </c>
      <c r="E4155" s="17"/>
      <c r="F4155" s="17" t="s">
        <v>156</v>
      </c>
      <c r="G4155" s="17"/>
      <c r="H4155" s="17" t="s">
        <v>692</v>
      </c>
      <c r="I4155" s="17"/>
      <c r="J4155" s="17" t="s">
        <v>693</v>
      </c>
      <c r="K4155" s="17"/>
      <c r="L4155" s="17"/>
      <c r="M4155" s="17"/>
      <c r="N4155" s="17"/>
      <c r="O4155" s="17"/>
      <c r="P4155" s="17" t="s">
        <v>2317</v>
      </c>
      <c r="Q4155" s="17"/>
      <c r="R4155" s="25" t="str">
        <f>HYPERLINK("https://ictv.global/taxonomy/taxondetails?taxnode_id=202314957","Kumottavirus margaretkali")</f>
        <v>Kumottavirus margaretkali</v>
      </c>
      <c r="S4155" s="18" t="s">
        <v>30</v>
      </c>
      <c r="T4155" s="18" t="s">
        <v>2320</v>
      </c>
      <c r="U4155" s="18"/>
      <c r="V4155" s="18"/>
      <c r="W4155" s="18" t="s">
        <v>2321</v>
      </c>
      <c r="X4155" s="18" t="s">
        <v>42</v>
      </c>
      <c r="Y4155" s="18" t="s">
        <v>36</v>
      </c>
      <c r="Z4155" s="18" t="s">
        <v>697</v>
      </c>
      <c r="AA4155" s="21" t="str">
        <f>HYPERLINK("https://www.ncbi.nlm.nih.gov/nuccore/MH450123","NCBI Nucleotide")</f>
        <v>NCBI Nucleotide</v>
      </c>
    </row>
    <row r="4156" spans="1:27" x14ac:dyDescent="0.35">
      <c r="A4156">
        <v>1005785</v>
      </c>
      <c r="B4156">
        <v>4132</v>
      </c>
      <c r="C4156">
        <v>1</v>
      </c>
      <c r="D4156" s="17" t="s">
        <v>155</v>
      </c>
      <c r="E4156" s="17"/>
      <c r="F4156" s="17" t="s">
        <v>156</v>
      </c>
      <c r="G4156" s="17"/>
      <c r="H4156" s="17" t="s">
        <v>692</v>
      </c>
      <c r="I4156" s="17"/>
      <c r="J4156" s="17" t="s">
        <v>693</v>
      </c>
      <c r="K4156" s="17"/>
      <c r="L4156" s="17"/>
      <c r="M4156" s="17"/>
      <c r="N4156" s="17"/>
      <c r="O4156" s="17"/>
      <c r="P4156" s="17" t="s">
        <v>2322</v>
      </c>
      <c r="Q4156" s="17"/>
      <c r="R4156" s="25" t="str">
        <f>HYPERLINK("https://ictv.global/taxonomy/taxondetails?taxnode_id=202310157","Kungbxnavirus pT24")</f>
        <v>Kungbxnavirus pT24</v>
      </c>
      <c r="S4156" s="18" t="s">
        <v>30</v>
      </c>
      <c r="T4156" s="18" t="s">
        <v>2323</v>
      </c>
      <c r="U4156" s="18"/>
      <c r="V4156" s="18"/>
      <c r="W4156" s="18" t="s">
        <v>2324</v>
      </c>
      <c r="X4156" s="18" t="s">
        <v>42</v>
      </c>
      <c r="Y4156" s="18" t="s">
        <v>36</v>
      </c>
      <c r="Z4156" s="18" t="s">
        <v>697</v>
      </c>
      <c r="AA4156" s="21" t="str">
        <f>HYPERLINK("https://www.ncbi.nlm.nih.gov/nuccore/LC168164","NCBI Nucleotide")</f>
        <v>NCBI Nucleotide</v>
      </c>
    </row>
    <row r="4157" spans="1:27" x14ac:dyDescent="0.35">
      <c r="A4157">
        <v>1005786</v>
      </c>
      <c r="B4157">
        <v>4133</v>
      </c>
      <c r="C4157">
        <v>1</v>
      </c>
      <c r="D4157" s="17" t="s">
        <v>155</v>
      </c>
      <c r="E4157" s="17"/>
      <c r="F4157" s="17" t="s">
        <v>156</v>
      </c>
      <c r="G4157" s="17"/>
      <c r="H4157" s="17" t="s">
        <v>692</v>
      </c>
      <c r="I4157" s="17"/>
      <c r="J4157" s="17" t="s">
        <v>693</v>
      </c>
      <c r="K4157" s="17"/>
      <c r="L4157" s="17"/>
      <c r="M4157" s="17"/>
      <c r="N4157" s="17"/>
      <c r="O4157" s="17"/>
      <c r="P4157" s="17" t="s">
        <v>2325</v>
      </c>
      <c r="Q4157" s="17"/>
      <c r="R4157" s="25" t="str">
        <f>HYPERLINK("https://ictv.global/taxonomy/taxondetails?taxnode_id=202312392","Kunmingvirus kv2D05")</f>
        <v>Kunmingvirus kv2D05</v>
      </c>
      <c r="S4157" s="18" t="s">
        <v>30</v>
      </c>
      <c r="T4157" s="18" t="s">
        <v>2326</v>
      </c>
      <c r="U4157" s="18"/>
      <c r="V4157" s="18"/>
      <c r="W4157" s="18" t="s">
        <v>2327</v>
      </c>
      <c r="X4157" s="18" t="s">
        <v>42</v>
      </c>
      <c r="Y4157" s="18" t="s">
        <v>36</v>
      </c>
      <c r="Z4157" s="18" t="s">
        <v>697</v>
      </c>
      <c r="AA4157" s="21" t="str">
        <f>HYPERLINK("https://www.ncbi.nlm.nih.gov/nuccore/MK804891","NCBI Nucleotide")</f>
        <v>NCBI Nucleotide</v>
      </c>
    </row>
    <row r="4158" spans="1:27" x14ac:dyDescent="0.35">
      <c r="A4158">
        <v>1005787</v>
      </c>
      <c r="B4158">
        <v>4134</v>
      </c>
      <c r="C4158">
        <v>1</v>
      </c>
      <c r="D4158" s="17" t="s">
        <v>155</v>
      </c>
      <c r="E4158" s="17"/>
      <c r="F4158" s="17" t="s">
        <v>156</v>
      </c>
      <c r="G4158" s="17"/>
      <c r="H4158" s="17" t="s">
        <v>692</v>
      </c>
      <c r="I4158" s="17"/>
      <c r="J4158" s="17" t="s">
        <v>693</v>
      </c>
      <c r="K4158" s="17"/>
      <c r="L4158" s="17"/>
      <c r="M4158" s="17"/>
      <c r="N4158" s="17"/>
      <c r="O4158" s="17"/>
      <c r="P4158" s="17" t="s">
        <v>2325</v>
      </c>
      <c r="Q4158" s="17"/>
      <c r="R4158" s="25" t="str">
        <f>HYPERLINK("https://ictv.global/taxonomy/taxondetails?taxnode_id=202312393","Kunmingvirus kv4D05")</f>
        <v>Kunmingvirus kv4D05</v>
      </c>
      <c r="S4158" s="18" t="s">
        <v>30</v>
      </c>
      <c r="T4158" s="18" t="s">
        <v>2328</v>
      </c>
      <c r="U4158" s="18"/>
      <c r="V4158" s="18"/>
      <c r="W4158" s="18" t="s">
        <v>2329</v>
      </c>
      <c r="X4158" s="18" t="s">
        <v>42</v>
      </c>
      <c r="Y4158" s="18" t="s">
        <v>36</v>
      </c>
      <c r="Z4158" s="18" t="s">
        <v>697</v>
      </c>
      <c r="AA4158" s="21" t="str">
        <f>HYPERLINK("https://www.ncbi.nlm.nih.gov/nuccore/MK804892","NCBI Nucleotide")</f>
        <v>NCBI Nucleotide</v>
      </c>
    </row>
    <row r="4159" spans="1:27" x14ac:dyDescent="0.35">
      <c r="A4159">
        <v>1005788</v>
      </c>
      <c r="B4159">
        <v>4135</v>
      </c>
      <c r="C4159">
        <v>1</v>
      </c>
      <c r="D4159" s="17" t="s">
        <v>155</v>
      </c>
      <c r="E4159" s="17"/>
      <c r="F4159" s="17" t="s">
        <v>156</v>
      </c>
      <c r="G4159" s="17"/>
      <c r="H4159" s="17" t="s">
        <v>692</v>
      </c>
      <c r="I4159" s="17"/>
      <c r="J4159" s="17" t="s">
        <v>693</v>
      </c>
      <c r="K4159" s="17"/>
      <c r="L4159" s="17"/>
      <c r="M4159" s="17"/>
      <c r="N4159" s="17"/>
      <c r="O4159" s="17"/>
      <c r="P4159" s="17" t="s">
        <v>2330</v>
      </c>
      <c r="Q4159" s="17"/>
      <c r="R4159" s="25" t="str">
        <f>HYPERLINK("https://ictv.global/taxonomy/taxondetails?taxnode_id=202310159","Kylevirus kyle")</f>
        <v>Kylevirus kyle</v>
      </c>
      <c r="S4159" s="18" t="s">
        <v>30</v>
      </c>
      <c r="T4159" s="18" t="s">
        <v>2331</v>
      </c>
      <c r="U4159" s="18"/>
      <c r="V4159" s="18"/>
      <c r="W4159" s="18" t="s">
        <v>2332</v>
      </c>
      <c r="X4159" s="18" t="s">
        <v>42</v>
      </c>
      <c r="Y4159" s="18" t="s">
        <v>36</v>
      </c>
      <c r="Z4159" s="18" t="s">
        <v>697</v>
      </c>
      <c r="AA4159" s="21" t="str">
        <f>HYPERLINK("https://www.ncbi.nlm.nih.gov/nuccore/MN038177","NCBI Nucleotide")</f>
        <v>NCBI Nucleotide</v>
      </c>
    </row>
    <row r="4160" spans="1:27" x14ac:dyDescent="0.35">
      <c r="A4160">
        <v>1005789</v>
      </c>
      <c r="B4160">
        <v>4136</v>
      </c>
      <c r="C4160">
        <v>1</v>
      </c>
      <c r="D4160" s="17" t="s">
        <v>155</v>
      </c>
      <c r="E4160" s="17"/>
      <c r="F4160" s="17" t="s">
        <v>156</v>
      </c>
      <c r="G4160" s="17"/>
      <c r="H4160" s="17" t="s">
        <v>692</v>
      </c>
      <c r="I4160" s="17"/>
      <c r="J4160" s="17" t="s">
        <v>693</v>
      </c>
      <c r="K4160" s="17"/>
      <c r="L4160" s="17"/>
      <c r="M4160" s="17"/>
      <c r="N4160" s="17"/>
      <c r="O4160" s="17"/>
      <c r="P4160" s="17" t="s">
        <v>2333</v>
      </c>
      <c r="Q4160" s="17"/>
      <c r="R4160" s="25" t="str">
        <f>HYPERLINK("https://ictv.global/taxonomy/taxondetails?taxnode_id=202310172","Lacnuvirus LcNu")</f>
        <v>Lacnuvirus LcNu</v>
      </c>
      <c r="S4160" s="18" t="s">
        <v>30</v>
      </c>
      <c r="T4160" s="18" t="s">
        <v>2334</v>
      </c>
      <c r="U4160" s="18"/>
      <c r="V4160" s="18"/>
      <c r="W4160" s="18" t="s">
        <v>2335</v>
      </c>
      <c r="X4160" s="18" t="s">
        <v>42</v>
      </c>
      <c r="Y4160" s="18" t="s">
        <v>36</v>
      </c>
      <c r="Z4160" s="18" t="s">
        <v>697</v>
      </c>
      <c r="AA4160" s="21" t="str">
        <f>HYPERLINK("https://www.ncbi.nlm.nih.gov/nuccore/AY131267","NCBI Nucleotide")</f>
        <v>NCBI Nucleotide</v>
      </c>
    </row>
    <row r="4161" spans="1:27" x14ac:dyDescent="0.35">
      <c r="A4161">
        <v>1005790</v>
      </c>
      <c r="B4161">
        <v>4137</v>
      </c>
      <c r="C4161">
        <v>1</v>
      </c>
      <c r="D4161" s="17" t="s">
        <v>155</v>
      </c>
      <c r="E4161" s="17"/>
      <c r="F4161" s="17" t="s">
        <v>156</v>
      </c>
      <c r="G4161" s="17"/>
      <c r="H4161" s="17" t="s">
        <v>692</v>
      </c>
      <c r="I4161" s="17"/>
      <c r="J4161" s="17" t="s">
        <v>693</v>
      </c>
      <c r="K4161" s="17"/>
      <c r="L4161" s="17"/>
      <c r="M4161" s="17"/>
      <c r="N4161" s="17"/>
      <c r="O4161" s="17"/>
      <c r="P4161" s="17" t="s">
        <v>2336</v>
      </c>
      <c r="Q4161" s="17"/>
      <c r="R4161" s="25" t="str">
        <f>HYPERLINK("https://ictv.global/taxonomy/taxondetails?taxnode_id=202306848","Lacusarxvirus lacusarx")</f>
        <v>Lacusarxvirus lacusarx</v>
      </c>
      <c r="S4161" s="18" t="s">
        <v>30</v>
      </c>
      <c r="T4161" s="18" t="s">
        <v>2337</v>
      </c>
      <c r="U4161" s="18"/>
      <c r="V4161" s="18"/>
      <c r="W4161" s="18" t="s">
        <v>2338</v>
      </c>
      <c r="X4161" s="18" t="s">
        <v>42</v>
      </c>
      <c r="Y4161" s="18" t="s">
        <v>36</v>
      </c>
      <c r="Z4161" s="18" t="s">
        <v>697</v>
      </c>
      <c r="AA4161" s="21" t="str">
        <f>HYPERLINK("https://www.ncbi.nlm.nih.gov/nuccore/KY629563","NCBI Nucleotide")</f>
        <v>NCBI Nucleotide</v>
      </c>
    </row>
    <row r="4162" spans="1:27" x14ac:dyDescent="0.35">
      <c r="A4162">
        <v>1005791</v>
      </c>
      <c r="B4162">
        <v>4138</v>
      </c>
      <c r="C4162">
        <v>1</v>
      </c>
      <c r="D4162" s="17" t="s">
        <v>155</v>
      </c>
      <c r="E4162" s="17"/>
      <c r="F4162" s="17" t="s">
        <v>156</v>
      </c>
      <c r="G4162" s="17"/>
      <c r="H4162" s="17" t="s">
        <v>692</v>
      </c>
      <c r="I4162" s="17"/>
      <c r="J4162" s="17" t="s">
        <v>693</v>
      </c>
      <c r="K4162" s="17"/>
      <c r="L4162" s="17"/>
      <c r="M4162" s="17"/>
      <c r="N4162" s="17"/>
      <c r="O4162" s="17"/>
      <c r="P4162" s="17" t="s">
        <v>2339</v>
      </c>
      <c r="Q4162" s="17"/>
      <c r="R4162" s="25" t="str">
        <f>HYPERLINK("https://ictv.global/taxonomy/taxondetails?taxnode_id=202310178","Lafunavirus LF1")</f>
        <v>Lafunavirus LF1</v>
      </c>
      <c r="S4162" s="18" t="s">
        <v>30</v>
      </c>
      <c r="T4162" s="18" t="s">
        <v>2340</v>
      </c>
      <c r="U4162" s="18"/>
      <c r="V4162" s="18"/>
      <c r="W4162" s="18" t="s">
        <v>2341</v>
      </c>
      <c r="X4162" s="18" t="s">
        <v>42</v>
      </c>
      <c r="Y4162" s="18" t="s">
        <v>36</v>
      </c>
      <c r="Z4162" s="18" t="s">
        <v>697</v>
      </c>
      <c r="AA4162" s="21" t="str">
        <f>HYPERLINK("https://www.ncbi.nlm.nih.gov/nuccore/HQ141410","NCBI Nucleotide")</f>
        <v>NCBI Nucleotide</v>
      </c>
    </row>
    <row r="4163" spans="1:27" x14ac:dyDescent="0.35">
      <c r="A4163">
        <v>1005792</v>
      </c>
      <c r="B4163">
        <v>4139</v>
      </c>
      <c r="C4163">
        <v>1</v>
      </c>
      <c r="D4163" s="17" t="s">
        <v>155</v>
      </c>
      <c r="E4163" s="17"/>
      <c r="F4163" s="17" t="s">
        <v>156</v>
      </c>
      <c r="G4163" s="17"/>
      <c r="H4163" s="17" t="s">
        <v>692</v>
      </c>
      <c r="I4163" s="17"/>
      <c r="J4163" s="17" t="s">
        <v>693</v>
      </c>
      <c r="K4163" s="17"/>
      <c r="L4163" s="17"/>
      <c r="M4163" s="17"/>
      <c r="N4163" s="17"/>
      <c r="O4163" s="17"/>
      <c r="P4163" s="17" t="s">
        <v>2342</v>
      </c>
      <c r="Q4163" s="17"/>
      <c r="R4163" s="25" t="str">
        <f>HYPERLINK("https://ictv.global/taxonomy/taxondetails?taxnode_id=202308044","Lagaffevirus lagaffe")</f>
        <v>Lagaffevirus lagaffe</v>
      </c>
      <c r="S4163" s="18" t="s">
        <v>30</v>
      </c>
      <c r="T4163" s="18" t="s">
        <v>2343</v>
      </c>
      <c r="U4163" s="18"/>
      <c r="V4163" s="18"/>
      <c r="W4163" s="18" t="s">
        <v>2344</v>
      </c>
      <c r="X4163" s="18" t="s">
        <v>42</v>
      </c>
      <c r="Y4163" s="18" t="s">
        <v>36</v>
      </c>
      <c r="Z4163" s="18" t="s">
        <v>697</v>
      </c>
      <c r="AA4163" s="21" t="str">
        <f>HYPERLINK("https://www.ncbi.nlm.nih.gov/nuccore/MG711461","NCBI Nucleotide")</f>
        <v>NCBI Nucleotide</v>
      </c>
    </row>
    <row r="4164" spans="1:27" x14ac:dyDescent="0.35">
      <c r="A4164">
        <v>1005793</v>
      </c>
      <c r="B4164">
        <v>4140</v>
      </c>
      <c r="C4164">
        <v>1</v>
      </c>
      <c r="D4164" s="17" t="s">
        <v>155</v>
      </c>
      <c r="E4164" s="17"/>
      <c r="F4164" s="17" t="s">
        <v>156</v>
      </c>
      <c r="G4164" s="17"/>
      <c r="H4164" s="17" t="s">
        <v>692</v>
      </c>
      <c r="I4164" s="17"/>
      <c r="J4164" s="17" t="s">
        <v>693</v>
      </c>
      <c r="K4164" s="17"/>
      <c r="L4164" s="17"/>
      <c r="M4164" s="17"/>
      <c r="N4164" s="17"/>
      <c r="O4164" s="17"/>
      <c r="P4164" s="17" t="s">
        <v>2345</v>
      </c>
      <c r="Q4164" s="17"/>
      <c r="R4164" s="25" t="str">
        <f>HYPERLINK("https://ictv.global/taxonomy/taxondetails?taxnode_id=202310161","Lahexavirus LAh6")</f>
        <v>Lahexavirus LAh6</v>
      </c>
      <c r="S4164" s="18" t="s">
        <v>30</v>
      </c>
      <c r="T4164" s="18" t="s">
        <v>2346</v>
      </c>
      <c r="U4164" s="18"/>
      <c r="V4164" s="18"/>
      <c r="W4164" s="18" t="s">
        <v>2347</v>
      </c>
      <c r="X4164" s="18" t="s">
        <v>42</v>
      </c>
      <c r="Y4164" s="18" t="s">
        <v>36</v>
      </c>
      <c r="Z4164" s="18" t="s">
        <v>697</v>
      </c>
      <c r="AA4164" s="21" t="str">
        <f>HYPERLINK("https://www.ncbi.nlm.nih.gov/nuccore/MK838112","NCBI Nucleotide")</f>
        <v>NCBI Nucleotide</v>
      </c>
    </row>
    <row r="4165" spans="1:27" x14ac:dyDescent="0.35">
      <c r="A4165">
        <v>1005794</v>
      </c>
      <c r="B4165">
        <v>4141</v>
      </c>
      <c r="C4165">
        <v>1</v>
      </c>
      <c r="D4165" s="17" t="s">
        <v>155</v>
      </c>
      <c r="E4165" s="17"/>
      <c r="F4165" s="17" t="s">
        <v>156</v>
      </c>
      <c r="G4165" s="17"/>
      <c r="H4165" s="17" t="s">
        <v>692</v>
      </c>
      <c r="I4165" s="17"/>
      <c r="J4165" s="17" t="s">
        <v>693</v>
      </c>
      <c r="K4165" s="17"/>
      <c r="L4165" s="17"/>
      <c r="M4165" s="17"/>
      <c r="N4165" s="17"/>
      <c r="O4165" s="17"/>
      <c r="P4165" s="17" t="s">
        <v>2345</v>
      </c>
      <c r="Q4165" s="17"/>
      <c r="R4165" s="25" t="str">
        <f>HYPERLINK("https://ictv.global/taxonomy/taxondetails?taxnode_id=202310163","Lahexavirus LAh8")</f>
        <v>Lahexavirus LAh8</v>
      </c>
      <c r="S4165" s="18" t="s">
        <v>30</v>
      </c>
      <c r="T4165" s="18" t="s">
        <v>2348</v>
      </c>
      <c r="U4165" s="18"/>
      <c r="V4165" s="18"/>
      <c r="W4165" s="18" t="s">
        <v>2349</v>
      </c>
      <c r="X4165" s="18" t="s">
        <v>42</v>
      </c>
      <c r="Y4165" s="18" t="s">
        <v>36</v>
      </c>
      <c r="Z4165" s="18" t="s">
        <v>697</v>
      </c>
      <c r="AA4165" s="21" t="str">
        <f>HYPERLINK("https://www.ncbi.nlm.nih.gov/nuccore/MK838114","NCBI Nucleotide")</f>
        <v>NCBI Nucleotide</v>
      </c>
    </row>
    <row r="4166" spans="1:27" x14ac:dyDescent="0.35">
      <c r="A4166">
        <v>1005795</v>
      </c>
      <c r="B4166">
        <v>4142</v>
      </c>
      <c r="C4166">
        <v>1</v>
      </c>
      <c r="D4166" s="17" t="s">
        <v>155</v>
      </c>
      <c r="E4166" s="17"/>
      <c r="F4166" s="17" t="s">
        <v>156</v>
      </c>
      <c r="G4166" s="17"/>
      <c r="H4166" s="17" t="s">
        <v>692</v>
      </c>
      <c r="I4166" s="17"/>
      <c r="J4166" s="17" t="s">
        <v>693</v>
      </c>
      <c r="K4166" s="17"/>
      <c r="L4166" s="17"/>
      <c r="M4166" s="17"/>
      <c r="N4166" s="17"/>
      <c r="O4166" s="17"/>
      <c r="P4166" s="17" t="s">
        <v>2345</v>
      </c>
      <c r="Q4166" s="17"/>
      <c r="R4166" s="25" t="str">
        <f>HYPERLINK("https://ictv.global/taxonomy/taxondetails?taxnode_id=202310164","Lahexavirus LAh9")</f>
        <v>Lahexavirus LAh9</v>
      </c>
      <c r="S4166" s="18" t="s">
        <v>30</v>
      </c>
      <c r="T4166" s="18" t="s">
        <v>2350</v>
      </c>
      <c r="U4166" s="18"/>
      <c r="V4166" s="18"/>
      <c r="W4166" s="18" t="s">
        <v>2351</v>
      </c>
      <c r="X4166" s="18" t="s">
        <v>42</v>
      </c>
      <c r="Y4166" s="18" t="s">
        <v>36</v>
      </c>
      <c r="Z4166" s="18" t="s">
        <v>697</v>
      </c>
      <c r="AA4166" s="21" t="str">
        <f>HYPERLINK("https://www.ncbi.nlm.nih.gov/nuccore/MK838115","NCBI Nucleotide")</f>
        <v>NCBI Nucleotide</v>
      </c>
    </row>
    <row r="4167" spans="1:27" x14ac:dyDescent="0.35">
      <c r="A4167">
        <v>1005796</v>
      </c>
      <c r="B4167">
        <v>4143</v>
      </c>
      <c r="C4167">
        <v>1</v>
      </c>
      <c r="D4167" s="17" t="s">
        <v>155</v>
      </c>
      <c r="E4167" s="17"/>
      <c r="F4167" s="17" t="s">
        <v>156</v>
      </c>
      <c r="G4167" s="17"/>
      <c r="H4167" s="17" t="s">
        <v>692</v>
      </c>
      <c r="I4167" s="17"/>
      <c r="J4167" s="17" t="s">
        <v>693</v>
      </c>
      <c r="K4167" s="17"/>
      <c r="L4167" s="17"/>
      <c r="M4167" s="17"/>
      <c r="N4167" s="17"/>
      <c r="O4167" s="17"/>
      <c r="P4167" s="17" t="s">
        <v>2345</v>
      </c>
      <c r="Q4167" s="17"/>
      <c r="R4167" s="25" t="str">
        <f>HYPERLINK("https://ictv.global/taxonomy/taxondetails?taxnode_id=202310162","Lahexavirus lv44572")</f>
        <v>Lahexavirus lv44572</v>
      </c>
      <c r="S4167" s="18" t="s">
        <v>30</v>
      </c>
      <c r="T4167" s="18" t="s">
        <v>2352</v>
      </c>
      <c r="U4167" s="18"/>
      <c r="V4167" s="18"/>
      <c r="W4167" s="18" t="s">
        <v>2353</v>
      </c>
      <c r="X4167" s="18" t="s">
        <v>42</v>
      </c>
      <c r="Y4167" s="18" t="s">
        <v>36</v>
      </c>
      <c r="Z4167" s="18" t="s">
        <v>697</v>
      </c>
      <c r="AA4167" s="21" t="str">
        <f>HYPERLINK("https://www.ncbi.nlm.nih.gov/nuccore/MK813943","NCBI Nucleotide")</f>
        <v>NCBI Nucleotide</v>
      </c>
    </row>
    <row r="4168" spans="1:27" x14ac:dyDescent="0.35">
      <c r="A4168">
        <v>1005797</v>
      </c>
      <c r="B4168">
        <v>4144</v>
      </c>
      <c r="C4168">
        <v>1</v>
      </c>
      <c r="D4168" s="17" t="s">
        <v>155</v>
      </c>
      <c r="E4168" s="17"/>
      <c r="F4168" s="17" t="s">
        <v>156</v>
      </c>
      <c r="G4168" s="17"/>
      <c r="H4168" s="17" t="s">
        <v>692</v>
      </c>
      <c r="I4168" s="17"/>
      <c r="J4168" s="17" t="s">
        <v>693</v>
      </c>
      <c r="K4168" s="17"/>
      <c r="L4168" s="17"/>
      <c r="M4168" s="17"/>
      <c r="N4168" s="17"/>
      <c r="O4168" s="17"/>
      <c r="P4168" s="17" t="s">
        <v>2354</v>
      </c>
      <c r="Q4168" s="17"/>
      <c r="R4168" s="25" t="str">
        <f>HYPERLINK("https://ictv.global/taxonomy/taxondetails?taxnode_id=202305558","Escherichia virus DE3")</f>
        <v>Escherichia virus DE3</v>
      </c>
      <c r="S4168" s="18" t="s">
        <v>30</v>
      </c>
      <c r="T4168" s="18" t="s">
        <v>2355</v>
      </c>
      <c r="U4168" s="18"/>
      <c r="V4168" s="18"/>
      <c r="W4168" s="18" t="s">
        <v>2356</v>
      </c>
      <c r="X4168" s="18" t="s">
        <v>42</v>
      </c>
      <c r="Y4168" s="18" t="s">
        <v>36</v>
      </c>
      <c r="Z4168" s="18" t="s">
        <v>697</v>
      </c>
      <c r="AA4168" s="21" t="str">
        <f>HYPERLINK("https://www.ncbi.nlm.nih.gov/nuccore/EU078592","NCBI Nucleotide")</f>
        <v>NCBI Nucleotide</v>
      </c>
    </row>
    <row r="4169" spans="1:27" x14ac:dyDescent="0.35">
      <c r="A4169">
        <v>1005798</v>
      </c>
      <c r="B4169">
        <v>4145</v>
      </c>
      <c r="C4169">
        <v>1</v>
      </c>
      <c r="D4169" s="17" t="s">
        <v>155</v>
      </c>
      <c r="E4169" s="17"/>
      <c r="F4169" s="17" t="s">
        <v>156</v>
      </c>
      <c r="G4169" s="17"/>
      <c r="H4169" s="17" t="s">
        <v>692</v>
      </c>
      <c r="I4169" s="17"/>
      <c r="J4169" s="17" t="s">
        <v>693</v>
      </c>
      <c r="K4169" s="17"/>
      <c r="L4169" s="17"/>
      <c r="M4169" s="17"/>
      <c r="N4169" s="17"/>
      <c r="O4169" s="17"/>
      <c r="P4169" s="17" t="s">
        <v>2354</v>
      </c>
      <c r="Q4169" s="17"/>
      <c r="R4169" s="25" t="str">
        <f>HYPERLINK("https://ictv.global/taxonomy/taxondetails?taxnode_id=202305559","Lambdavirus HK629")</f>
        <v>Lambdavirus HK629</v>
      </c>
      <c r="S4169" s="18" t="s">
        <v>30</v>
      </c>
      <c r="T4169" s="18" t="s">
        <v>2357</v>
      </c>
      <c r="U4169" s="18"/>
      <c r="V4169" s="18"/>
      <c r="W4169" s="18" t="s">
        <v>2358</v>
      </c>
      <c r="X4169" s="18" t="s">
        <v>42</v>
      </c>
      <c r="Y4169" s="18" t="s">
        <v>36</v>
      </c>
      <c r="Z4169" s="18" t="s">
        <v>697</v>
      </c>
      <c r="AA4169" s="21" t="str">
        <f>HYPERLINK("https://www.ncbi.nlm.nih.gov/nuccore/JQ182735","NCBI Nucleotide")</f>
        <v>NCBI Nucleotide</v>
      </c>
    </row>
    <row r="4170" spans="1:27" x14ac:dyDescent="0.35">
      <c r="A4170">
        <v>1005799</v>
      </c>
      <c r="B4170">
        <v>4146</v>
      </c>
      <c r="C4170">
        <v>1</v>
      </c>
      <c r="D4170" s="17" t="s">
        <v>155</v>
      </c>
      <c r="E4170" s="17"/>
      <c r="F4170" s="17" t="s">
        <v>156</v>
      </c>
      <c r="G4170" s="17"/>
      <c r="H4170" s="17" t="s">
        <v>692</v>
      </c>
      <c r="I4170" s="17"/>
      <c r="J4170" s="17" t="s">
        <v>693</v>
      </c>
      <c r="K4170" s="17"/>
      <c r="L4170" s="17"/>
      <c r="M4170" s="17"/>
      <c r="N4170" s="17"/>
      <c r="O4170" s="17"/>
      <c r="P4170" s="17" t="s">
        <v>2354</v>
      </c>
      <c r="Q4170" s="17"/>
      <c r="R4170" s="25" t="str">
        <f>HYPERLINK("https://ictv.global/taxonomy/taxondetails?taxnode_id=202305560","Lambdavirus HK630")</f>
        <v>Lambdavirus HK630</v>
      </c>
      <c r="S4170" s="18" t="s">
        <v>30</v>
      </c>
      <c r="T4170" s="18" t="s">
        <v>2359</v>
      </c>
      <c r="U4170" s="18"/>
      <c r="V4170" s="18"/>
      <c r="W4170" s="18" t="s">
        <v>2360</v>
      </c>
      <c r="X4170" s="18" t="s">
        <v>42</v>
      </c>
      <c r="Y4170" s="18" t="s">
        <v>36</v>
      </c>
      <c r="Z4170" s="18" t="s">
        <v>697</v>
      </c>
      <c r="AA4170" s="21" t="str">
        <f>HYPERLINK("https://www.ncbi.nlm.nih.gov/nuccore/JQ086376","NCBI Nucleotide")</f>
        <v>NCBI Nucleotide</v>
      </c>
    </row>
    <row r="4171" spans="1:27" x14ac:dyDescent="0.35">
      <c r="A4171">
        <v>1005800</v>
      </c>
      <c r="B4171">
        <v>4147</v>
      </c>
      <c r="C4171">
        <v>1</v>
      </c>
      <c r="D4171" s="17" t="s">
        <v>155</v>
      </c>
      <c r="E4171" s="17"/>
      <c r="F4171" s="17" t="s">
        <v>156</v>
      </c>
      <c r="G4171" s="17"/>
      <c r="H4171" s="17" t="s">
        <v>692</v>
      </c>
      <c r="I4171" s="17"/>
      <c r="J4171" s="17" t="s">
        <v>693</v>
      </c>
      <c r="K4171" s="17"/>
      <c r="L4171" s="17"/>
      <c r="M4171" s="17"/>
      <c r="N4171" s="17"/>
      <c r="O4171" s="17"/>
      <c r="P4171" s="17" t="s">
        <v>2354</v>
      </c>
      <c r="Q4171" s="17"/>
      <c r="R4171" s="25" t="str">
        <f>HYPERLINK("https://ictv.global/taxonomy/taxondetails?taxnode_id=202301072","Lambdavirus lambda")</f>
        <v>Lambdavirus lambda</v>
      </c>
      <c r="S4171" s="18" t="s">
        <v>30</v>
      </c>
      <c r="T4171" s="18" t="s">
        <v>2361</v>
      </c>
      <c r="U4171" s="18"/>
      <c r="V4171" s="18"/>
      <c r="W4171" s="18" t="s">
        <v>2362</v>
      </c>
      <c r="X4171" s="18" t="s">
        <v>42</v>
      </c>
      <c r="Y4171" s="18" t="s">
        <v>36</v>
      </c>
      <c r="Z4171" s="18" t="s">
        <v>697</v>
      </c>
      <c r="AA4171" s="21" t="str">
        <f>HYPERLINK("https://www.ncbi.nlm.nih.gov/nuccore/J02459","NCBI Nucleotide")</f>
        <v>NCBI Nucleotide</v>
      </c>
    </row>
    <row r="4172" spans="1:27" x14ac:dyDescent="0.35">
      <c r="A4172">
        <v>1005801</v>
      </c>
      <c r="B4172">
        <v>4148</v>
      </c>
      <c r="C4172">
        <v>1</v>
      </c>
      <c r="D4172" s="17" t="s">
        <v>155</v>
      </c>
      <c r="E4172" s="17"/>
      <c r="F4172" s="17" t="s">
        <v>156</v>
      </c>
      <c r="G4172" s="17"/>
      <c r="H4172" s="17" t="s">
        <v>692</v>
      </c>
      <c r="I4172" s="17"/>
      <c r="J4172" s="17" t="s">
        <v>693</v>
      </c>
      <c r="K4172" s="17"/>
      <c r="L4172" s="17"/>
      <c r="M4172" s="17"/>
      <c r="N4172" s="17"/>
      <c r="O4172" s="17"/>
      <c r="P4172" s="17" t="s">
        <v>2354</v>
      </c>
      <c r="Q4172" s="17"/>
      <c r="R4172" s="25" t="str">
        <f>HYPERLINK("https://ictv.global/taxonomy/taxondetails?taxnode_id=202309351","Lambdavirus lvO276")</f>
        <v>Lambdavirus lvO276</v>
      </c>
      <c r="S4172" s="18" t="s">
        <v>30</v>
      </c>
      <c r="T4172" s="18" t="s">
        <v>2363</v>
      </c>
      <c r="U4172" s="18"/>
      <c r="V4172" s="18"/>
      <c r="W4172" s="18" t="s">
        <v>2364</v>
      </c>
      <c r="X4172" s="18" t="s">
        <v>42</v>
      </c>
      <c r="Y4172" s="18" t="s">
        <v>36</v>
      </c>
      <c r="Z4172" s="18" t="s">
        <v>697</v>
      </c>
      <c r="AA4172" s="21" t="str">
        <f>HYPERLINK("https://www.ncbi.nlm.nih.gov/nuccore/MH547045","NCBI Nucleotide")</f>
        <v>NCBI Nucleotide</v>
      </c>
    </row>
    <row r="4173" spans="1:27" x14ac:dyDescent="0.35">
      <c r="A4173">
        <v>1005802</v>
      </c>
      <c r="B4173">
        <v>4149</v>
      </c>
      <c r="C4173">
        <v>1</v>
      </c>
      <c r="D4173" s="17" t="s">
        <v>155</v>
      </c>
      <c r="E4173" s="17"/>
      <c r="F4173" s="17" t="s">
        <v>156</v>
      </c>
      <c r="G4173" s="17"/>
      <c r="H4173" s="17" t="s">
        <v>692</v>
      </c>
      <c r="I4173" s="17"/>
      <c r="J4173" s="17" t="s">
        <v>693</v>
      </c>
      <c r="K4173" s="17"/>
      <c r="L4173" s="17"/>
      <c r="M4173" s="17"/>
      <c r="N4173" s="17"/>
      <c r="O4173" s="17"/>
      <c r="P4173" s="17" t="s">
        <v>2365</v>
      </c>
      <c r="Q4173" s="17"/>
      <c r="R4173" s="25" t="str">
        <f>HYPERLINK("https://ictv.global/taxonomy/taxondetails?taxnode_id=202310170","Lambovirus gibbin")</f>
        <v>Lambovirus gibbin</v>
      </c>
      <c r="S4173" s="18" t="s">
        <v>30</v>
      </c>
      <c r="T4173" s="18" t="s">
        <v>2366</v>
      </c>
      <c r="U4173" s="18"/>
      <c r="V4173" s="18"/>
      <c r="W4173" s="18" t="s">
        <v>2367</v>
      </c>
      <c r="X4173" s="18" t="s">
        <v>42</v>
      </c>
      <c r="Y4173" s="18" t="s">
        <v>36</v>
      </c>
      <c r="Z4173" s="18" t="s">
        <v>697</v>
      </c>
      <c r="AA4173" s="21" t="str">
        <f>HYPERLINK("https://www.ncbi.nlm.nih.gov/nuccore/MN234190","NCBI Nucleotide")</f>
        <v>NCBI Nucleotide</v>
      </c>
    </row>
    <row r="4174" spans="1:27" x14ac:dyDescent="0.35">
      <c r="A4174">
        <v>1005803</v>
      </c>
      <c r="B4174">
        <v>4150</v>
      </c>
      <c r="C4174">
        <v>1</v>
      </c>
      <c r="D4174" s="17" t="s">
        <v>155</v>
      </c>
      <c r="E4174" s="17"/>
      <c r="F4174" s="17" t="s">
        <v>156</v>
      </c>
      <c r="G4174" s="17"/>
      <c r="H4174" s="17" t="s">
        <v>692</v>
      </c>
      <c r="I4174" s="17"/>
      <c r="J4174" s="17" t="s">
        <v>693</v>
      </c>
      <c r="K4174" s="17"/>
      <c r="L4174" s="17"/>
      <c r="M4174" s="17"/>
      <c r="N4174" s="17"/>
      <c r="O4174" s="17"/>
      <c r="P4174" s="17" t="s">
        <v>2365</v>
      </c>
      <c r="Q4174" s="17"/>
      <c r="R4174" s="25" t="str">
        <f>HYPERLINK("https://ictv.global/taxonomy/taxondetails?taxnode_id=202310166","Lambovirus lambo")</f>
        <v>Lambovirus lambo</v>
      </c>
      <c r="S4174" s="18" t="s">
        <v>30</v>
      </c>
      <c r="T4174" s="18" t="s">
        <v>2368</v>
      </c>
      <c r="U4174" s="18"/>
      <c r="V4174" s="18"/>
      <c r="W4174" s="18" t="s">
        <v>2369</v>
      </c>
      <c r="X4174" s="18" t="s">
        <v>42</v>
      </c>
      <c r="Y4174" s="18" t="s">
        <v>36</v>
      </c>
      <c r="Z4174" s="18" t="s">
        <v>697</v>
      </c>
      <c r="AA4174" s="21" t="str">
        <f>HYPERLINK("https://www.ncbi.nlm.nih.gov/nuccore/MN234220","NCBI Nucleotide")</f>
        <v>NCBI Nucleotide</v>
      </c>
    </row>
    <row r="4175" spans="1:27" x14ac:dyDescent="0.35">
      <c r="A4175">
        <v>1005804</v>
      </c>
      <c r="B4175">
        <v>4151</v>
      </c>
      <c r="C4175">
        <v>1</v>
      </c>
      <c r="D4175" s="17" t="s">
        <v>155</v>
      </c>
      <c r="E4175" s="17"/>
      <c r="F4175" s="17" t="s">
        <v>156</v>
      </c>
      <c r="G4175" s="17"/>
      <c r="H4175" s="17" t="s">
        <v>692</v>
      </c>
      <c r="I4175" s="17"/>
      <c r="J4175" s="17" t="s">
        <v>693</v>
      </c>
      <c r="K4175" s="17"/>
      <c r="L4175" s="17"/>
      <c r="M4175" s="17"/>
      <c r="N4175" s="17"/>
      <c r="O4175" s="17"/>
      <c r="P4175" s="17" t="s">
        <v>2365</v>
      </c>
      <c r="Q4175" s="17"/>
      <c r="R4175" s="25" t="str">
        <f>HYPERLINK("https://ictv.global/taxonomy/taxondetails?taxnode_id=202310167","Lambovirus ranch")</f>
        <v>Lambovirus ranch</v>
      </c>
      <c r="S4175" s="18" t="s">
        <v>30</v>
      </c>
      <c r="T4175" s="18" t="s">
        <v>2370</v>
      </c>
      <c r="U4175" s="18"/>
      <c r="V4175" s="18"/>
      <c r="W4175" s="18" t="s">
        <v>2371</v>
      </c>
      <c r="X4175" s="18" t="s">
        <v>42</v>
      </c>
      <c r="Y4175" s="18" t="s">
        <v>36</v>
      </c>
      <c r="Z4175" s="18" t="s">
        <v>697</v>
      </c>
      <c r="AA4175" s="21" t="str">
        <f>HYPERLINK("https://www.ncbi.nlm.nih.gov/nuccore/MN234207","NCBI Nucleotide")</f>
        <v>NCBI Nucleotide</v>
      </c>
    </row>
    <row r="4176" spans="1:27" x14ac:dyDescent="0.35">
      <c r="A4176">
        <v>1005805</v>
      </c>
      <c r="B4176">
        <v>4152</v>
      </c>
      <c r="C4176">
        <v>1</v>
      </c>
      <c r="D4176" s="17" t="s">
        <v>155</v>
      </c>
      <c r="E4176" s="17"/>
      <c r="F4176" s="17" t="s">
        <v>156</v>
      </c>
      <c r="G4176" s="17"/>
      <c r="H4176" s="17" t="s">
        <v>692</v>
      </c>
      <c r="I4176" s="17"/>
      <c r="J4176" s="17" t="s">
        <v>693</v>
      </c>
      <c r="K4176" s="17"/>
      <c r="L4176" s="17"/>
      <c r="M4176" s="17"/>
      <c r="N4176" s="17"/>
      <c r="O4176" s="17"/>
      <c r="P4176" s="17" t="s">
        <v>2365</v>
      </c>
      <c r="Q4176" s="17"/>
      <c r="R4176" s="25" t="str">
        <f>HYPERLINK("https://ictv.global/taxonomy/taxondetails?taxnode_id=202310168","Lambovirus sadboi")</f>
        <v>Lambovirus sadboi</v>
      </c>
      <c r="S4176" s="18" t="s">
        <v>30</v>
      </c>
      <c r="T4176" s="18" t="s">
        <v>2372</v>
      </c>
      <c r="U4176" s="18"/>
      <c r="V4176" s="18"/>
      <c r="W4176" s="18" t="s">
        <v>2373</v>
      </c>
      <c r="X4176" s="18" t="s">
        <v>42</v>
      </c>
      <c r="Y4176" s="18" t="s">
        <v>36</v>
      </c>
      <c r="Z4176" s="18" t="s">
        <v>697</v>
      </c>
      <c r="AA4176" s="21" t="str">
        <f>HYPERLINK("https://www.ncbi.nlm.nih.gov/nuccore/MN234232","NCBI Nucleotide")</f>
        <v>NCBI Nucleotide</v>
      </c>
    </row>
    <row r="4177" spans="1:27" x14ac:dyDescent="0.35">
      <c r="A4177">
        <v>1005806</v>
      </c>
      <c r="B4177">
        <v>4153</v>
      </c>
      <c r="C4177">
        <v>1</v>
      </c>
      <c r="D4177" s="17" t="s">
        <v>155</v>
      </c>
      <c r="E4177" s="17"/>
      <c r="F4177" s="17" t="s">
        <v>156</v>
      </c>
      <c r="G4177" s="17"/>
      <c r="H4177" s="17" t="s">
        <v>692</v>
      </c>
      <c r="I4177" s="17"/>
      <c r="J4177" s="17" t="s">
        <v>693</v>
      </c>
      <c r="K4177" s="17"/>
      <c r="L4177" s="17"/>
      <c r="M4177" s="17"/>
      <c r="N4177" s="17"/>
      <c r="O4177" s="17"/>
      <c r="P4177" s="17" t="s">
        <v>2365</v>
      </c>
      <c r="Q4177" s="17"/>
      <c r="R4177" s="25" t="str">
        <f>HYPERLINK("https://ictv.global/taxonomy/taxondetails?taxnode_id=202310169","Lambovirus yikes")</f>
        <v>Lambovirus yikes</v>
      </c>
      <c r="S4177" s="18" t="s">
        <v>30</v>
      </c>
      <c r="T4177" s="18" t="s">
        <v>2374</v>
      </c>
      <c r="U4177" s="18"/>
      <c r="V4177" s="18"/>
      <c r="W4177" s="18" t="s">
        <v>2375</v>
      </c>
      <c r="X4177" s="18" t="s">
        <v>42</v>
      </c>
      <c r="Y4177" s="18" t="s">
        <v>36</v>
      </c>
      <c r="Z4177" s="18" t="s">
        <v>697</v>
      </c>
      <c r="AA4177" s="21" t="str">
        <f>HYPERLINK("https://www.ncbi.nlm.nih.gov/nuccore/MN586003","NCBI Nucleotide")</f>
        <v>NCBI Nucleotide</v>
      </c>
    </row>
    <row r="4178" spans="1:27" x14ac:dyDescent="0.35">
      <c r="A4178">
        <v>1005807</v>
      </c>
      <c r="B4178">
        <v>4154</v>
      </c>
      <c r="C4178">
        <v>1</v>
      </c>
      <c r="D4178" s="17" t="s">
        <v>155</v>
      </c>
      <c r="E4178" s="17"/>
      <c r="F4178" s="17" t="s">
        <v>156</v>
      </c>
      <c r="G4178" s="17"/>
      <c r="H4178" s="17" t="s">
        <v>692</v>
      </c>
      <c r="I4178" s="17"/>
      <c r="J4178" s="17" t="s">
        <v>693</v>
      </c>
      <c r="K4178" s="17"/>
      <c r="L4178" s="17"/>
      <c r="M4178" s="17"/>
      <c r="N4178" s="17"/>
      <c r="O4178" s="17"/>
      <c r="P4178" s="17" t="s">
        <v>2376</v>
      </c>
      <c r="Q4178" s="17"/>
      <c r="R4178" s="25" t="str">
        <f>HYPERLINK("https://ictv.global/taxonomy/taxondetails?taxnode_id=202307878","Lanavirus lana")</f>
        <v>Lanavirus lana</v>
      </c>
      <c r="S4178" s="18" t="s">
        <v>30</v>
      </c>
      <c r="T4178" s="18" t="s">
        <v>2377</v>
      </c>
      <c r="U4178" s="18"/>
      <c r="V4178" s="18"/>
      <c r="W4178" s="18" t="s">
        <v>2378</v>
      </c>
      <c r="X4178" s="18" t="s">
        <v>42</v>
      </c>
      <c r="Y4178" s="18" t="s">
        <v>36</v>
      </c>
      <c r="Z4178" s="18" t="s">
        <v>697</v>
      </c>
      <c r="AA4178" s="21" t="str">
        <f>HYPERLINK("https://www.ncbi.nlm.nih.gov/nuccore/MK473373","NCBI Nucleotide")</f>
        <v>NCBI Nucleotide</v>
      </c>
    </row>
    <row r="4179" spans="1:27" x14ac:dyDescent="0.35">
      <c r="A4179">
        <v>1005808</v>
      </c>
      <c r="B4179">
        <v>4155</v>
      </c>
      <c r="C4179">
        <v>1</v>
      </c>
      <c r="D4179" s="17" t="s">
        <v>155</v>
      </c>
      <c r="E4179" s="17"/>
      <c r="F4179" s="17" t="s">
        <v>156</v>
      </c>
      <c r="G4179" s="17"/>
      <c r="H4179" s="17" t="s">
        <v>692</v>
      </c>
      <c r="I4179" s="17"/>
      <c r="J4179" s="17" t="s">
        <v>693</v>
      </c>
      <c r="K4179" s="17"/>
      <c r="L4179" s="17"/>
      <c r="M4179" s="17"/>
      <c r="N4179" s="17"/>
      <c r="O4179" s="17"/>
      <c r="P4179" s="17" t="s">
        <v>2379</v>
      </c>
      <c r="Q4179" s="17"/>
      <c r="R4179" s="25" t="str">
        <f>HYPERLINK("https://ictv.global/taxonomy/taxondetails?taxnode_id=202310195","Larmunavirus Lrm1")</f>
        <v>Larmunavirus Lrm1</v>
      </c>
      <c r="S4179" s="18" t="s">
        <v>30</v>
      </c>
      <c r="T4179" s="18" t="s">
        <v>2380</v>
      </c>
      <c r="U4179" s="18"/>
      <c r="V4179" s="18"/>
      <c r="W4179" s="18" t="s">
        <v>2381</v>
      </c>
      <c r="X4179" s="18" t="s">
        <v>42</v>
      </c>
      <c r="Y4179" s="18" t="s">
        <v>36</v>
      </c>
      <c r="Z4179" s="18" t="s">
        <v>697</v>
      </c>
      <c r="AA4179" s="21" t="str">
        <f>HYPERLINK("https://www.ncbi.nlm.nih.gov/nuccore/EU246945","NCBI Nucleotide")</f>
        <v>NCBI Nucleotide</v>
      </c>
    </row>
    <row r="4180" spans="1:27" x14ac:dyDescent="0.35">
      <c r="A4180">
        <v>1005809</v>
      </c>
      <c r="B4180">
        <v>4156</v>
      </c>
      <c r="C4180">
        <v>1</v>
      </c>
      <c r="D4180" s="17" t="s">
        <v>155</v>
      </c>
      <c r="E4180" s="17"/>
      <c r="F4180" s="17" t="s">
        <v>156</v>
      </c>
      <c r="G4180" s="17"/>
      <c r="H4180" s="17" t="s">
        <v>692</v>
      </c>
      <c r="I4180" s="17"/>
      <c r="J4180" s="17" t="s">
        <v>693</v>
      </c>
      <c r="K4180" s="17"/>
      <c r="L4180" s="17"/>
      <c r="M4180" s="17"/>
      <c r="N4180" s="17"/>
      <c r="O4180" s="17"/>
      <c r="P4180" s="17" t="s">
        <v>2382</v>
      </c>
      <c r="Q4180" s="17"/>
      <c r="R4180" s="25" t="str">
        <f>HYPERLINK("https://ictv.global/taxonomy/taxondetails?taxnode_id=202301074","Laroyevirus laroye")</f>
        <v>Laroyevirus laroye</v>
      </c>
      <c r="S4180" s="18" t="s">
        <v>30</v>
      </c>
      <c r="T4180" s="18" t="s">
        <v>2383</v>
      </c>
      <c r="U4180" s="18"/>
      <c r="V4180" s="18"/>
      <c r="W4180" s="18" t="s">
        <v>2384</v>
      </c>
      <c r="X4180" s="18" t="s">
        <v>42</v>
      </c>
      <c r="Y4180" s="18" t="s">
        <v>36</v>
      </c>
      <c r="Z4180" s="18" t="s">
        <v>697</v>
      </c>
      <c r="AA4180" s="21" t="str">
        <f>HYPERLINK("https://www.ncbi.nlm.nih.gov/nuccore/KU160654","NCBI Nucleotide")</f>
        <v>NCBI Nucleotide</v>
      </c>
    </row>
    <row r="4181" spans="1:27" x14ac:dyDescent="0.35">
      <c r="A4181">
        <v>1005810</v>
      </c>
      <c r="B4181">
        <v>4157</v>
      </c>
      <c r="C4181">
        <v>1</v>
      </c>
      <c r="D4181" s="17" t="s">
        <v>155</v>
      </c>
      <c r="E4181" s="17"/>
      <c r="F4181" s="17" t="s">
        <v>156</v>
      </c>
      <c r="G4181" s="17"/>
      <c r="H4181" s="17" t="s">
        <v>692</v>
      </c>
      <c r="I4181" s="17"/>
      <c r="J4181" s="17" t="s">
        <v>693</v>
      </c>
      <c r="K4181" s="17"/>
      <c r="L4181" s="17"/>
      <c r="M4181" s="17"/>
      <c r="N4181" s="17"/>
      <c r="O4181" s="17"/>
      <c r="P4181" s="17" t="s">
        <v>2382</v>
      </c>
      <c r="Q4181" s="17"/>
      <c r="R4181" s="25" t="str">
        <f>HYPERLINK("https://ictv.global/taxonomy/taxondetails?taxnode_id=202310201","Laroyevirus lisara")</f>
        <v>Laroyevirus lisara</v>
      </c>
      <c r="S4181" s="18" t="s">
        <v>30</v>
      </c>
      <c r="T4181" s="18" t="s">
        <v>2385</v>
      </c>
      <c r="U4181" s="18"/>
      <c r="V4181" s="18"/>
      <c r="W4181" s="18" t="s">
        <v>2386</v>
      </c>
      <c r="X4181" s="18" t="s">
        <v>42</v>
      </c>
      <c r="Y4181" s="18" t="s">
        <v>36</v>
      </c>
      <c r="Z4181" s="18" t="s">
        <v>697</v>
      </c>
      <c r="AA4181" s="21" t="str">
        <f>HYPERLINK("https://www.ncbi.nlm.nih.gov/nuccore/MF140418","NCBI Nucleotide")</f>
        <v>NCBI Nucleotide</v>
      </c>
    </row>
    <row r="4182" spans="1:27" x14ac:dyDescent="0.35">
      <c r="A4182">
        <v>1005811</v>
      </c>
      <c r="B4182">
        <v>4158</v>
      </c>
      <c r="C4182">
        <v>1</v>
      </c>
      <c r="D4182" s="17" t="s">
        <v>155</v>
      </c>
      <c r="E4182" s="17"/>
      <c r="F4182" s="17" t="s">
        <v>156</v>
      </c>
      <c r="G4182" s="17"/>
      <c r="H4182" s="17" t="s">
        <v>692</v>
      </c>
      <c r="I4182" s="17"/>
      <c r="J4182" s="17" t="s">
        <v>693</v>
      </c>
      <c r="K4182" s="17"/>
      <c r="L4182" s="17"/>
      <c r="M4182" s="17"/>
      <c r="N4182" s="17"/>
      <c r="O4182" s="17"/>
      <c r="P4182" s="17" t="s">
        <v>2382</v>
      </c>
      <c r="Q4182" s="17"/>
      <c r="R4182" s="25" t="str">
        <f>HYPERLINK("https://ictv.global/taxonomy/taxondetails?taxnode_id=202310202","Laroyevirus salgado")</f>
        <v>Laroyevirus salgado</v>
      </c>
      <c r="S4182" s="18" t="s">
        <v>30</v>
      </c>
      <c r="T4182" s="18" t="s">
        <v>2387</v>
      </c>
      <c r="U4182" s="18"/>
      <c r="V4182" s="18"/>
      <c r="W4182" s="18" t="s">
        <v>2388</v>
      </c>
      <c r="X4182" s="18" t="s">
        <v>42</v>
      </c>
      <c r="Y4182" s="18" t="s">
        <v>36</v>
      </c>
      <c r="Z4182" s="18" t="s">
        <v>697</v>
      </c>
      <c r="AA4182" s="21" t="str">
        <f>HYPERLINK("https://www.ncbi.nlm.nih.gov/nuccore/KU160664","NCBI Nucleotide")</f>
        <v>NCBI Nucleotide</v>
      </c>
    </row>
    <row r="4183" spans="1:27" x14ac:dyDescent="0.35">
      <c r="A4183">
        <v>1005812</v>
      </c>
      <c r="B4183">
        <v>4159</v>
      </c>
      <c r="C4183">
        <v>1</v>
      </c>
      <c r="D4183" s="17" t="s">
        <v>155</v>
      </c>
      <c r="E4183" s="17"/>
      <c r="F4183" s="17" t="s">
        <v>156</v>
      </c>
      <c r="G4183" s="17"/>
      <c r="H4183" s="17" t="s">
        <v>692</v>
      </c>
      <c r="I4183" s="17"/>
      <c r="J4183" s="17" t="s">
        <v>693</v>
      </c>
      <c r="K4183" s="17"/>
      <c r="L4183" s="17"/>
      <c r="M4183" s="17"/>
      <c r="N4183" s="17"/>
      <c r="O4183" s="17"/>
      <c r="P4183" s="17" t="s">
        <v>2382</v>
      </c>
      <c r="Q4183" s="17"/>
      <c r="R4183" s="25" t="str">
        <f>HYPERLINK("https://ictv.global/taxonomy/taxondetails?taxnode_id=202310200","Laroyevirus wheelbite")</f>
        <v>Laroyevirus wheelbite</v>
      </c>
      <c r="S4183" s="18" t="s">
        <v>30</v>
      </c>
      <c r="T4183" s="18" t="s">
        <v>2389</v>
      </c>
      <c r="U4183" s="18"/>
      <c r="V4183" s="18"/>
      <c r="W4183" s="18" t="s">
        <v>2390</v>
      </c>
      <c r="X4183" s="18" t="s">
        <v>42</v>
      </c>
      <c r="Y4183" s="18" t="s">
        <v>36</v>
      </c>
      <c r="Z4183" s="18" t="s">
        <v>697</v>
      </c>
      <c r="AA4183" s="21" t="str">
        <f>HYPERLINK("https://www.ncbi.nlm.nih.gov/nuccore/MF140434","NCBI Nucleotide")</f>
        <v>NCBI Nucleotide</v>
      </c>
    </row>
    <row r="4184" spans="1:27" x14ac:dyDescent="0.35">
      <c r="A4184">
        <v>1005813</v>
      </c>
      <c r="B4184">
        <v>4160</v>
      </c>
      <c r="C4184">
        <v>1</v>
      </c>
      <c r="D4184" s="17" t="s">
        <v>155</v>
      </c>
      <c r="E4184" s="17"/>
      <c r="F4184" s="17" t="s">
        <v>156</v>
      </c>
      <c r="G4184" s="17"/>
      <c r="H4184" s="17" t="s">
        <v>692</v>
      </c>
      <c r="I4184" s="17"/>
      <c r="J4184" s="17" t="s">
        <v>693</v>
      </c>
      <c r="K4184" s="17"/>
      <c r="L4184" s="17"/>
      <c r="M4184" s="17"/>
      <c r="N4184" s="17"/>
      <c r="O4184" s="17"/>
      <c r="P4184" s="17" t="s">
        <v>2391</v>
      </c>
      <c r="Q4184" s="17"/>
      <c r="R4184" s="25" t="str">
        <f>HYPERLINK("https://ictv.global/taxonomy/taxondetails?taxnode_id=202310204","Lastavirus lasta")</f>
        <v>Lastavirus lasta</v>
      </c>
      <c r="S4184" s="18" t="s">
        <v>30</v>
      </c>
      <c r="T4184" s="18" t="s">
        <v>2392</v>
      </c>
      <c r="U4184" s="18"/>
      <c r="V4184" s="18"/>
      <c r="W4184" s="18" t="s">
        <v>2393</v>
      </c>
      <c r="X4184" s="18" t="s">
        <v>42</v>
      </c>
      <c r="Y4184" s="18" t="s">
        <v>36</v>
      </c>
      <c r="Z4184" s="18" t="s">
        <v>697</v>
      </c>
      <c r="AA4184" s="21" t="str">
        <f>HYPERLINK("https://www.ncbi.nlm.nih.gov/nuccore/MT251347","NCBI Nucleotide")</f>
        <v>NCBI Nucleotide</v>
      </c>
    </row>
    <row r="4185" spans="1:27" x14ac:dyDescent="0.35">
      <c r="A4185">
        <v>1005814</v>
      </c>
      <c r="B4185">
        <v>4161</v>
      </c>
      <c r="C4185">
        <v>1</v>
      </c>
      <c r="D4185" s="17" t="s">
        <v>155</v>
      </c>
      <c r="E4185" s="17"/>
      <c r="F4185" s="17" t="s">
        <v>156</v>
      </c>
      <c r="G4185" s="17"/>
      <c r="H4185" s="17" t="s">
        <v>692</v>
      </c>
      <c r="I4185" s="17"/>
      <c r="J4185" s="17" t="s">
        <v>693</v>
      </c>
      <c r="K4185" s="17"/>
      <c r="L4185" s="17"/>
      <c r="M4185" s="17"/>
      <c r="N4185" s="17"/>
      <c r="O4185" s="17"/>
      <c r="P4185" s="17" t="s">
        <v>2391</v>
      </c>
      <c r="Q4185" s="17"/>
      <c r="R4185" s="25" t="str">
        <f>HYPERLINK("https://ictv.global/taxonomy/taxondetails?taxnode_id=202310205","Lastavirus sopranogao")</f>
        <v>Lastavirus sopranogao</v>
      </c>
      <c r="S4185" s="18" t="s">
        <v>30</v>
      </c>
      <c r="T4185" s="18" t="s">
        <v>2394</v>
      </c>
      <c r="U4185" s="18"/>
      <c r="V4185" s="18"/>
      <c r="W4185" s="18" t="s">
        <v>2395</v>
      </c>
      <c r="X4185" s="18" t="s">
        <v>42</v>
      </c>
      <c r="Y4185" s="18" t="s">
        <v>36</v>
      </c>
      <c r="Z4185" s="18" t="s">
        <v>697</v>
      </c>
      <c r="AA4185" s="21" t="str">
        <f>HYPERLINK("https://www.ncbi.nlm.nih.gov/nuccore/MF612073","NCBI Nucleotide")</f>
        <v>NCBI Nucleotide</v>
      </c>
    </row>
    <row r="4186" spans="1:27" x14ac:dyDescent="0.35">
      <c r="A4186">
        <v>1005815</v>
      </c>
      <c r="B4186">
        <v>4162</v>
      </c>
      <c r="C4186">
        <v>1</v>
      </c>
      <c r="D4186" s="17" t="s">
        <v>155</v>
      </c>
      <c r="E4186" s="17"/>
      <c r="F4186" s="17" t="s">
        <v>156</v>
      </c>
      <c r="G4186" s="17"/>
      <c r="H4186" s="17" t="s">
        <v>692</v>
      </c>
      <c r="I4186" s="17"/>
      <c r="J4186" s="17" t="s">
        <v>693</v>
      </c>
      <c r="K4186" s="17"/>
      <c r="L4186" s="17"/>
      <c r="M4186" s="17"/>
      <c r="N4186" s="17"/>
      <c r="O4186" s="17"/>
      <c r="P4186" s="17" t="s">
        <v>2396</v>
      </c>
      <c r="Q4186" s="17"/>
      <c r="R4186" s="25" t="str">
        <f>HYPERLINK("https://ictv.global/taxonomy/taxondetails?taxnode_id=202310207","Latrobevirus FNU1")</f>
        <v>Latrobevirus FNU1</v>
      </c>
      <c r="S4186" s="18" t="s">
        <v>30</v>
      </c>
      <c r="T4186" s="18" t="s">
        <v>2397</v>
      </c>
      <c r="U4186" s="18"/>
      <c r="V4186" s="18"/>
      <c r="W4186" s="18" t="s">
        <v>2398</v>
      </c>
      <c r="X4186" s="18" t="s">
        <v>42</v>
      </c>
      <c r="Y4186" s="18" t="s">
        <v>36</v>
      </c>
      <c r="Z4186" s="18" t="s">
        <v>697</v>
      </c>
      <c r="AA4186" s="21" t="str">
        <f>HYPERLINK("https://www.ncbi.nlm.nih.gov/nuccore/MK554696","NCBI Nucleotide")</f>
        <v>NCBI Nucleotide</v>
      </c>
    </row>
    <row r="4187" spans="1:27" x14ac:dyDescent="0.35">
      <c r="A4187">
        <v>1005816</v>
      </c>
      <c r="B4187">
        <v>4163</v>
      </c>
      <c r="C4187">
        <v>1</v>
      </c>
      <c r="D4187" s="17" t="s">
        <v>155</v>
      </c>
      <c r="E4187" s="17"/>
      <c r="F4187" s="17" t="s">
        <v>156</v>
      </c>
      <c r="G4187" s="17"/>
      <c r="H4187" s="17" t="s">
        <v>692</v>
      </c>
      <c r="I4187" s="17"/>
      <c r="J4187" s="17" t="s">
        <v>693</v>
      </c>
      <c r="K4187" s="17"/>
      <c r="L4187" s="17"/>
      <c r="M4187" s="17"/>
      <c r="N4187" s="17"/>
      <c r="O4187" s="17"/>
      <c r="P4187" s="17" t="s">
        <v>2399</v>
      </c>
      <c r="Q4187" s="17"/>
      <c r="R4187" s="25" t="str">
        <f>HYPERLINK("https://ictv.global/taxonomy/taxondetails?taxnode_id=202305493","Lederbergvirus BTP1")</f>
        <v>Lederbergvirus BTP1</v>
      </c>
      <c r="S4187" s="18" t="s">
        <v>30</v>
      </c>
      <c r="T4187" s="18" t="s">
        <v>2400</v>
      </c>
      <c r="U4187" s="18"/>
      <c r="V4187" s="18"/>
      <c r="W4187" s="18" t="s">
        <v>2401</v>
      </c>
      <c r="X4187" s="18" t="s">
        <v>42</v>
      </c>
      <c r="Y4187" s="18" t="s">
        <v>36</v>
      </c>
      <c r="Z4187" s="18" t="s">
        <v>697</v>
      </c>
      <c r="AA4187" s="21" t="str">
        <f>HYPERLINK("https://www.ncbi.nlm.nih.gov/nuccore/LT714109","NCBI Nucleotide")</f>
        <v>NCBI Nucleotide</v>
      </c>
    </row>
    <row r="4188" spans="1:27" x14ac:dyDescent="0.35">
      <c r="A4188">
        <v>1005817</v>
      </c>
      <c r="B4188">
        <v>4164</v>
      </c>
      <c r="C4188">
        <v>1</v>
      </c>
      <c r="D4188" s="17" t="s">
        <v>155</v>
      </c>
      <c r="E4188" s="17"/>
      <c r="F4188" s="17" t="s">
        <v>156</v>
      </c>
      <c r="G4188" s="17"/>
      <c r="H4188" s="17" t="s">
        <v>692</v>
      </c>
      <c r="I4188" s="17"/>
      <c r="J4188" s="17" t="s">
        <v>693</v>
      </c>
      <c r="K4188" s="17"/>
      <c r="L4188" s="17"/>
      <c r="M4188" s="17"/>
      <c r="N4188" s="17"/>
      <c r="O4188" s="17"/>
      <c r="P4188" s="17" t="s">
        <v>2399</v>
      </c>
      <c r="Q4188" s="17"/>
      <c r="R4188" s="25" t="str">
        <f>HYPERLINK("https://ictv.global/taxonomy/taxondetails?taxnode_id=202300677","Lederbergvirus HK620")</f>
        <v>Lederbergvirus HK620</v>
      </c>
      <c r="S4188" s="18" t="s">
        <v>30</v>
      </c>
      <c r="T4188" s="18" t="s">
        <v>2402</v>
      </c>
      <c r="U4188" s="18"/>
      <c r="V4188" s="18"/>
      <c r="W4188" s="18" t="s">
        <v>2403</v>
      </c>
      <c r="X4188" s="18" t="s">
        <v>42</v>
      </c>
      <c r="Y4188" s="18" t="s">
        <v>36</v>
      </c>
      <c r="Z4188" s="18" t="s">
        <v>697</v>
      </c>
      <c r="AA4188" s="21" t="str">
        <f>HYPERLINK("https://www.ncbi.nlm.nih.gov/nuccore/AF335538","NCBI Nucleotide")</f>
        <v>NCBI Nucleotide</v>
      </c>
    </row>
    <row r="4189" spans="1:27" x14ac:dyDescent="0.35">
      <c r="A4189">
        <v>1005818</v>
      </c>
      <c r="B4189">
        <v>4165</v>
      </c>
      <c r="C4189">
        <v>1</v>
      </c>
      <c r="D4189" s="17" t="s">
        <v>155</v>
      </c>
      <c r="E4189" s="17"/>
      <c r="F4189" s="17" t="s">
        <v>156</v>
      </c>
      <c r="G4189" s="17"/>
      <c r="H4189" s="17" t="s">
        <v>692</v>
      </c>
      <c r="I4189" s="17"/>
      <c r="J4189" s="17" t="s">
        <v>693</v>
      </c>
      <c r="K4189" s="17"/>
      <c r="L4189" s="17"/>
      <c r="M4189" s="17"/>
      <c r="N4189" s="17"/>
      <c r="O4189" s="17"/>
      <c r="P4189" s="17" t="s">
        <v>2399</v>
      </c>
      <c r="Q4189" s="17"/>
      <c r="R4189" s="25" t="str">
        <f>HYPERLINK("https://ictv.global/taxonomy/taxondetails?taxnode_id=202300678","Lederbergvirus P22")</f>
        <v>Lederbergvirus P22</v>
      </c>
      <c r="S4189" s="18" t="s">
        <v>30</v>
      </c>
      <c r="T4189" s="18" t="s">
        <v>2404</v>
      </c>
      <c r="U4189" s="18"/>
      <c r="V4189" s="18"/>
      <c r="W4189" s="18" t="s">
        <v>2405</v>
      </c>
      <c r="X4189" s="18" t="s">
        <v>42</v>
      </c>
      <c r="Y4189" s="18" t="s">
        <v>36</v>
      </c>
      <c r="Z4189" s="18" t="s">
        <v>697</v>
      </c>
      <c r="AA4189" s="21" t="str">
        <f>HYPERLINK("https://www.ncbi.nlm.nih.gov/nuccore/BK000583","NCBI Nucleotide")</f>
        <v>NCBI Nucleotide</v>
      </c>
    </row>
    <row r="4190" spans="1:27" x14ac:dyDescent="0.35">
      <c r="A4190">
        <v>1005819</v>
      </c>
      <c r="B4190">
        <v>4166</v>
      </c>
      <c r="C4190">
        <v>1</v>
      </c>
      <c r="D4190" s="17" t="s">
        <v>155</v>
      </c>
      <c r="E4190" s="17"/>
      <c r="F4190" s="17" t="s">
        <v>156</v>
      </c>
      <c r="G4190" s="17"/>
      <c r="H4190" s="17" t="s">
        <v>692</v>
      </c>
      <c r="I4190" s="17"/>
      <c r="J4190" s="17" t="s">
        <v>693</v>
      </c>
      <c r="K4190" s="17"/>
      <c r="L4190" s="17"/>
      <c r="M4190" s="17"/>
      <c r="N4190" s="17"/>
      <c r="O4190" s="17"/>
      <c r="P4190" s="17" t="s">
        <v>2399</v>
      </c>
      <c r="Q4190" s="17"/>
      <c r="R4190" s="25" t="str">
        <f>HYPERLINK("https://ictv.global/taxonomy/taxondetails?taxnode_id=202307078","Lederbergvirus SE1Spa")</f>
        <v>Lederbergvirus SE1Spa</v>
      </c>
      <c r="S4190" s="18" t="s">
        <v>30</v>
      </c>
      <c r="T4190" s="18" t="s">
        <v>2406</v>
      </c>
      <c r="U4190" s="18"/>
      <c r="V4190" s="18"/>
      <c r="W4190" s="18" t="s">
        <v>2407</v>
      </c>
      <c r="X4190" s="18" t="s">
        <v>42</v>
      </c>
      <c r="Y4190" s="18" t="s">
        <v>36</v>
      </c>
      <c r="Z4190" s="18" t="s">
        <v>697</v>
      </c>
      <c r="AA4190" s="21" t="str">
        <f>HYPERLINK("https://www.ncbi.nlm.nih.gov/nuccore/DQ003260","NCBI Nucleotide")</f>
        <v>NCBI Nucleotide</v>
      </c>
    </row>
    <row r="4191" spans="1:27" x14ac:dyDescent="0.35">
      <c r="A4191">
        <v>1005820</v>
      </c>
      <c r="B4191">
        <v>4167</v>
      </c>
      <c r="C4191">
        <v>1</v>
      </c>
      <c r="D4191" s="17" t="s">
        <v>155</v>
      </c>
      <c r="E4191" s="17"/>
      <c r="F4191" s="17" t="s">
        <v>156</v>
      </c>
      <c r="G4191" s="17"/>
      <c r="H4191" s="17" t="s">
        <v>692</v>
      </c>
      <c r="I4191" s="17"/>
      <c r="J4191" s="17" t="s">
        <v>693</v>
      </c>
      <c r="K4191" s="17"/>
      <c r="L4191" s="17"/>
      <c r="M4191" s="17"/>
      <c r="N4191" s="17"/>
      <c r="O4191" s="17"/>
      <c r="P4191" s="17" t="s">
        <v>2399</v>
      </c>
      <c r="Q4191" s="17"/>
      <c r="R4191" s="25" t="str">
        <f>HYPERLINK("https://ictv.global/taxonomy/taxondetails?taxnode_id=202300680","Lederbergvirus Sf6")</f>
        <v>Lederbergvirus Sf6</v>
      </c>
      <c r="S4191" s="18" t="s">
        <v>30</v>
      </c>
      <c r="T4191" s="18" t="s">
        <v>2408</v>
      </c>
      <c r="U4191" s="18"/>
      <c r="V4191" s="18"/>
      <c r="W4191" s="18" t="s">
        <v>2409</v>
      </c>
      <c r="X4191" s="18" t="s">
        <v>42</v>
      </c>
      <c r="Y4191" s="18" t="s">
        <v>36</v>
      </c>
      <c r="Z4191" s="18" t="s">
        <v>697</v>
      </c>
      <c r="AA4191" s="21" t="str">
        <f>HYPERLINK("https://www.ncbi.nlm.nih.gov/nuccore/AF547987","NCBI Nucleotide")</f>
        <v>NCBI Nucleotide</v>
      </c>
    </row>
    <row r="4192" spans="1:27" x14ac:dyDescent="0.35">
      <c r="A4192">
        <v>1005821</v>
      </c>
      <c r="B4192">
        <v>4168</v>
      </c>
      <c r="C4192">
        <v>1</v>
      </c>
      <c r="D4192" s="17" t="s">
        <v>155</v>
      </c>
      <c r="E4192" s="17"/>
      <c r="F4192" s="17" t="s">
        <v>156</v>
      </c>
      <c r="G4192" s="17"/>
      <c r="H4192" s="17" t="s">
        <v>692</v>
      </c>
      <c r="I4192" s="17"/>
      <c r="J4192" s="17" t="s">
        <v>693</v>
      </c>
      <c r="K4192" s="17"/>
      <c r="L4192" s="17"/>
      <c r="M4192" s="17"/>
      <c r="N4192" s="17"/>
      <c r="O4192" s="17"/>
      <c r="P4192" s="17" t="s">
        <v>2399</v>
      </c>
      <c r="Q4192" s="17"/>
      <c r="R4192" s="25" t="str">
        <f>HYPERLINK("https://ictv.global/taxonomy/taxondetails?taxnode_id=202300679","Lederbergvirus ST64T")</f>
        <v>Lederbergvirus ST64T</v>
      </c>
      <c r="S4192" s="18" t="s">
        <v>30</v>
      </c>
      <c r="T4192" s="18" t="s">
        <v>2410</v>
      </c>
      <c r="U4192" s="18"/>
      <c r="V4192" s="18"/>
      <c r="W4192" s="18" t="s">
        <v>2411</v>
      </c>
      <c r="X4192" s="18" t="s">
        <v>42</v>
      </c>
      <c r="Y4192" s="18" t="s">
        <v>36</v>
      </c>
      <c r="Z4192" s="18" t="s">
        <v>697</v>
      </c>
      <c r="AA4192" s="21" t="str">
        <f>HYPERLINK("https://www.ncbi.nlm.nih.gov/nuccore/AY052766","NCBI Nucleotide")</f>
        <v>NCBI Nucleotide</v>
      </c>
    </row>
    <row r="4193" spans="1:27" x14ac:dyDescent="0.35">
      <c r="A4193">
        <v>1005822</v>
      </c>
      <c r="B4193">
        <v>4169</v>
      </c>
      <c r="C4193">
        <v>1</v>
      </c>
      <c r="D4193" s="17" t="s">
        <v>155</v>
      </c>
      <c r="E4193" s="17"/>
      <c r="F4193" s="17" t="s">
        <v>156</v>
      </c>
      <c r="G4193" s="17"/>
      <c r="H4193" s="17" t="s">
        <v>692</v>
      </c>
      <c r="I4193" s="17"/>
      <c r="J4193" s="17" t="s">
        <v>693</v>
      </c>
      <c r="K4193" s="17"/>
      <c r="L4193" s="17"/>
      <c r="M4193" s="17"/>
      <c r="N4193" s="17"/>
      <c r="O4193" s="17"/>
      <c r="P4193" s="17" t="s">
        <v>2412</v>
      </c>
      <c r="Q4193" s="17"/>
      <c r="R4193" s="25" t="str">
        <f>HYPERLINK("https://ictv.global/taxonomy/taxondetails?taxnode_id=202310210","Leicestervirus CD111")</f>
        <v>Leicestervirus CD111</v>
      </c>
      <c r="S4193" s="18" t="s">
        <v>30</v>
      </c>
      <c r="T4193" s="18" t="s">
        <v>2413</v>
      </c>
      <c r="U4193" s="18"/>
      <c r="V4193" s="18"/>
      <c r="W4193" s="18" t="s">
        <v>2414</v>
      </c>
      <c r="X4193" s="18" t="s">
        <v>42</v>
      </c>
      <c r="Y4193" s="18" t="s">
        <v>36</v>
      </c>
      <c r="Z4193" s="18" t="s">
        <v>697</v>
      </c>
      <c r="AA4193" s="21" t="str">
        <f>HYPERLINK("https://www.ncbi.nlm.nih.gov/nuccore/LN681535","NCBI Nucleotide")</f>
        <v>NCBI Nucleotide</v>
      </c>
    </row>
    <row r="4194" spans="1:27" x14ac:dyDescent="0.35">
      <c r="A4194">
        <v>1005823</v>
      </c>
      <c r="B4194">
        <v>4170</v>
      </c>
      <c r="C4194">
        <v>1</v>
      </c>
      <c r="D4194" s="17" t="s">
        <v>155</v>
      </c>
      <c r="E4194" s="17"/>
      <c r="F4194" s="17" t="s">
        <v>156</v>
      </c>
      <c r="G4194" s="17"/>
      <c r="H4194" s="17" t="s">
        <v>692</v>
      </c>
      <c r="I4194" s="17"/>
      <c r="J4194" s="17" t="s">
        <v>693</v>
      </c>
      <c r="K4194" s="17"/>
      <c r="L4194" s="17"/>
      <c r="M4194" s="17"/>
      <c r="N4194" s="17"/>
      <c r="O4194" s="17"/>
      <c r="P4194" s="17" t="s">
        <v>2412</v>
      </c>
      <c r="Q4194" s="17"/>
      <c r="R4194" s="25" t="str">
        <f>HYPERLINK("https://ictv.global/taxonomy/taxondetails?taxnode_id=202310211","Leicestervirus CD146")</f>
        <v>Leicestervirus CD146</v>
      </c>
      <c r="S4194" s="18" t="s">
        <v>30</v>
      </c>
      <c r="T4194" s="18" t="s">
        <v>2415</v>
      </c>
      <c r="U4194" s="18"/>
      <c r="V4194" s="18"/>
      <c r="W4194" s="18" t="s">
        <v>2416</v>
      </c>
      <c r="X4194" s="18" t="s">
        <v>42</v>
      </c>
      <c r="Y4194" s="18" t="s">
        <v>36</v>
      </c>
      <c r="Z4194" s="18" t="s">
        <v>697</v>
      </c>
      <c r="AA4194" s="21" t="str">
        <f>HYPERLINK("https://www.ncbi.nlm.nih.gov/nuccore/LN681536","NCBI Nucleotide")</f>
        <v>NCBI Nucleotide</v>
      </c>
    </row>
    <row r="4195" spans="1:27" x14ac:dyDescent="0.35">
      <c r="A4195">
        <v>1005824</v>
      </c>
      <c r="B4195">
        <v>4171</v>
      </c>
      <c r="C4195">
        <v>1</v>
      </c>
      <c r="D4195" s="17" t="s">
        <v>155</v>
      </c>
      <c r="E4195" s="17"/>
      <c r="F4195" s="17" t="s">
        <v>156</v>
      </c>
      <c r="G4195" s="17"/>
      <c r="H4195" s="17" t="s">
        <v>692</v>
      </c>
      <c r="I4195" s="17"/>
      <c r="J4195" s="17" t="s">
        <v>693</v>
      </c>
      <c r="K4195" s="17"/>
      <c r="L4195" s="17"/>
      <c r="M4195" s="17"/>
      <c r="N4195" s="17"/>
      <c r="O4195" s="17"/>
      <c r="P4195" s="17" t="s">
        <v>2412</v>
      </c>
      <c r="Q4195" s="17"/>
      <c r="R4195" s="25" t="str">
        <f>HYPERLINK("https://ictv.global/taxonomy/taxondetails?taxnode_id=202310209","Leicestervirus CD382")</f>
        <v>Leicestervirus CD382</v>
      </c>
      <c r="S4195" s="18" t="s">
        <v>30</v>
      </c>
      <c r="T4195" s="18" t="s">
        <v>2417</v>
      </c>
      <c r="U4195" s="18"/>
      <c r="V4195" s="18"/>
      <c r="W4195" s="18" t="s">
        <v>2418</v>
      </c>
      <c r="X4195" s="18" t="s">
        <v>42</v>
      </c>
      <c r="Y4195" s="18" t="s">
        <v>36</v>
      </c>
      <c r="Z4195" s="18" t="s">
        <v>697</v>
      </c>
      <c r="AA4195" s="21" t="str">
        <f>HYPERLINK("https://www.ncbi.nlm.nih.gov/nuccore/HM568888","NCBI Nucleotide")</f>
        <v>NCBI Nucleotide</v>
      </c>
    </row>
    <row r="4196" spans="1:27" x14ac:dyDescent="0.35">
      <c r="A4196">
        <v>1005825</v>
      </c>
      <c r="B4196">
        <v>4172</v>
      </c>
      <c r="C4196">
        <v>1</v>
      </c>
      <c r="D4196" s="17" t="s">
        <v>155</v>
      </c>
      <c r="E4196" s="17"/>
      <c r="F4196" s="17" t="s">
        <v>156</v>
      </c>
      <c r="G4196" s="17"/>
      <c r="H4196" s="17" t="s">
        <v>692</v>
      </c>
      <c r="I4196" s="17"/>
      <c r="J4196" s="17" t="s">
        <v>693</v>
      </c>
      <c r="K4196" s="17"/>
      <c r="L4196" s="17"/>
      <c r="M4196" s="17"/>
      <c r="N4196" s="17"/>
      <c r="O4196" s="17"/>
      <c r="P4196" s="17" t="s">
        <v>2419</v>
      </c>
      <c r="Q4196" s="17"/>
      <c r="R4196" s="25" t="str">
        <f>HYPERLINK("https://ictv.global/taxonomy/taxondetails?taxnode_id=202307890","Lentavirus PMBT5")</f>
        <v>Lentavirus PMBT5</v>
      </c>
      <c r="S4196" s="18" t="s">
        <v>30</v>
      </c>
      <c r="T4196" s="18" t="s">
        <v>2420</v>
      </c>
      <c r="U4196" s="18"/>
      <c r="V4196" s="18"/>
      <c r="W4196" s="18" t="s">
        <v>2421</v>
      </c>
      <c r="X4196" s="18" t="s">
        <v>42</v>
      </c>
      <c r="Y4196" s="18" t="s">
        <v>36</v>
      </c>
      <c r="Z4196" s="18" t="s">
        <v>697</v>
      </c>
      <c r="AA4196" s="21" t="str">
        <f>HYPERLINK("https://www.ncbi.nlm.nih.gov/nuccore/MH626557","NCBI Nucleotide")</f>
        <v>NCBI Nucleotide</v>
      </c>
    </row>
    <row r="4197" spans="1:27" x14ac:dyDescent="0.35">
      <c r="A4197">
        <v>1005826</v>
      </c>
      <c r="B4197">
        <v>4173</v>
      </c>
      <c r="C4197">
        <v>1</v>
      </c>
      <c r="D4197" s="17" t="s">
        <v>155</v>
      </c>
      <c r="E4197" s="17"/>
      <c r="F4197" s="17" t="s">
        <v>156</v>
      </c>
      <c r="G4197" s="17"/>
      <c r="H4197" s="17" t="s">
        <v>692</v>
      </c>
      <c r="I4197" s="17"/>
      <c r="J4197" s="17" t="s">
        <v>693</v>
      </c>
      <c r="K4197" s="17"/>
      <c r="L4197" s="17"/>
      <c r="M4197" s="17"/>
      <c r="N4197" s="17"/>
      <c r="O4197" s="17"/>
      <c r="P4197" s="17" t="s">
        <v>2422</v>
      </c>
      <c r="Q4197" s="17"/>
      <c r="R4197" s="25" t="str">
        <f>HYPERLINK("https://ictv.global/taxonomy/taxondetails?taxnode_id=202312398","Leonardvirus ali17")</f>
        <v>Leonardvirus ali17</v>
      </c>
      <c r="S4197" s="18" t="s">
        <v>30</v>
      </c>
      <c r="T4197" s="18" t="s">
        <v>2423</v>
      </c>
      <c r="U4197" s="18"/>
      <c r="V4197" s="18"/>
      <c r="W4197" s="18" t="s">
        <v>2424</v>
      </c>
      <c r="X4197" s="18" t="s">
        <v>42</v>
      </c>
      <c r="Y4197" s="18" t="s">
        <v>36</v>
      </c>
      <c r="Z4197" s="18" t="s">
        <v>697</v>
      </c>
      <c r="AA4197" s="21" t="str">
        <f>HYPERLINK("https://www.ncbi.nlm.nih.gov/nuccore/MH669000","NCBI Nucleotide")</f>
        <v>NCBI Nucleotide</v>
      </c>
    </row>
    <row r="4198" spans="1:27" x14ac:dyDescent="0.35">
      <c r="A4198">
        <v>1005827</v>
      </c>
      <c r="B4198">
        <v>4174</v>
      </c>
      <c r="C4198">
        <v>1</v>
      </c>
      <c r="D4198" s="17" t="s">
        <v>155</v>
      </c>
      <c r="E4198" s="17"/>
      <c r="F4198" s="17" t="s">
        <v>156</v>
      </c>
      <c r="G4198" s="17"/>
      <c r="H4198" s="17" t="s">
        <v>692</v>
      </c>
      <c r="I4198" s="17"/>
      <c r="J4198" s="17" t="s">
        <v>693</v>
      </c>
      <c r="K4198" s="17"/>
      <c r="L4198" s="17"/>
      <c r="M4198" s="17"/>
      <c r="N4198" s="17"/>
      <c r="O4198" s="17"/>
      <c r="P4198" s="17" t="s">
        <v>2422</v>
      </c>
      <c r="Q4198" s="17"/>
      <c r="R4198" s="25" t="str">
        <f>HYPERLINK("https://ictv.global/taxonomy/taxondetails?taxnode_id=202312396","Leonardvirus emoore")</f>
        <v>Leonardvirus emoore</v>
      </c>
      <c r="S4198" s="18" t="s">
        <v>30</v>
      </c>
      <c r="T4198" s="18" t="s">
        <v>2425</v>
      </c>
      <c r="U4198" s="18"/>
      <c r="V4198" s="18"/>
      <c r="W4198" s="18" t="s">
        <v>2426</v>
      </c>
      <c r="X4198" s="18" t="s">
        <v>42</v>
      </c>
      <c r="Y4198" s="18" t="s">
        <v>36</v>
      </c>
      <c r="Z4198" s="18" t="s">
        <v>697</v>
      </c>
      <c r="AA4198" s="21" t="str">
        <f>HYPERLINK("https://www.ncbi.nlm.nih.gov/nuccore/MN586047","NCBI Nucleotide")</f>
        <v>NCBI Nucleotide</v>
      </c>
    </row>
    <row r="4199" spans="1:27" x14ac:dyDescent="0.35">
      <c r="A4199">
        <v>1005828</v>
      </c>
      <c r="B4199">
        <v>4175</v>
      </c>
      <c r="C4199">
        <v>1</v>
      </c>
      <c r="D4199" s="17" t="s">
        <v>155</v>
      </c>
      <c r="E4199" s="17"/>
      <c r="F4199" s="17" t="s">
        <v>156</v>
      </c>
      <c r="G4199" s="17"/>
      <c r="H4199" s="17" t="s">
        <v>692</v>
      </c>
      <c r="I4199" s="17"/>
      <c r="J4199" s="17" t="s">
        <v>693</v>
      </c>
      <c r="K4199" s="17"/>
      <c r="L4199" s="17"/>
      <c r="M4199" s="17"/>
      <c r="N4199" s="17"/>
      <c r="O4199" s="17"/>
      <c r="P4199" s="17" t="s">
        <v>2422</v>
      </c>
      <c r="Q4199" s="17"/>
      <c r="R4199" s="25" t="str">
        <f>HYPERLINK("https://ictv.global/taxonomy/taxondetails?taxnode_id=202312395","Leonardvirus leonard")</f>
        <v>Leonardvirus leonard</v>
      </c>
      <c r="S4199" s="18" t="s">
        <v>30</v>
      </c>
      <c r="T4199" s="18" t="s">
        <v>2427</v>
      </c>
      <c r="U4199" s="18"/>
      <c r="V4199" s="18"/>
      <c r="W4199" s="18" t="s">
        <v>2428</v>
      </c>
      <c r="X4199" s="18" t="s">
        <v>42</v>
      </c>
      <c r="Y4199" s="18" t="s">
        <v>36</v>
      </c>
      <c r="Z4199" s="18" t="s">
        <v>697</v>
      </c>
      <c r="AA4199" s="21" t="str">
        <f>HYPERLINK("https://www.ncbi.nlm.nih.gov/nuccore/MN586026","NCBI Nucleotide")</f>
        <v>NCBI Nucleotide</v>
      </c>
    </row>
    <row r="4200" spans="1:27" x14ac:dyDescent="0.35">
      <c r="A4200">
        <v>1005829</v>
      </c>
      <c r="B4200">
        <v>4176</v>
      </c>
      <c r="C4200">
        <v>1</v>
      </c>
      <c r="D4200" s="17" t="s">
        <v>155</v>
      </c>
      <c r="E4200" s="17"/>
      <c r="F4200" s="17" t="s">
        <v>156</v>
      </c>
      <c r="G4200" s="17"/>
      <c r="H4200" s="17" t="s">
        <v>692</v>
      </c>
      <c r="I4200" s="17"/>
      <c r="J4200" s="17" t="s">
        <v>693</v>
      </c>
      <c r="K4200" s="17"/>
      <c r="L4200" s="17"/>
      <c r="M4200" s="17"/>
      <c r="N4200" s="17"/>
      <c r="O4200" s="17"/>
      <c r="P4200" s="17" t="s">
        <v>2422</v>
      </c>
      <c r="Q4200" s="17"/>
      <c r="R4200" s="25" t="str">
        <f>HYPERLINK("https://ictv.global/taxonomy/taxondetails?taxnode_id=202312397","Leonardvirus melbins")</f>
        <v>Leonardvirus melbins</v>
      </c>
      <c r="S4200" s="18" t="s">
        <v>30</v>
      </c>
      <c r="T4200" s="18" t="s">
        <v>2429</v>
      </c>
      <c r="U4200" s="18"/>
      <c r="V4200" s="18"/>
      <c r="W4200" s="18" t="s">
        <v>2430</v>
      </c>
      <c r="X4200" s="18" t="s">
        <v>42</v>
      </c>
      <c r="Y4200" s="18" t="s">
        <v>36</v>
      </c>
      <c r="Z4200" s="18" t="s">
        <v>697</v>
      </c>
      <c r="AA4200" s="21" t="str">
        <f>HYPERLINK("https://www.ncbi.nlm.nih.gov/nuccore/MN586028","NCBI Nucleotide")</f>
        <v>NCBI Nucleotide</v>
      </c>
    </row>
    <row r="4201" spans="1:27" x14ac:dyDescent="0.35">
      <c r="A4201">
        <v>1005830</v>
      </c>
      <c r="B4201">
        <v>4177</v>
      </c>
      <c r="C4201">
        <v>1</v>
      </c>
      <c r="D4201" s="17" t="s">
        <v>155</v>
      </c>
      <c r="E4201" s="17"/>
      <c r="F4201" s="17" t="s">
        <v>156</v>
      </c>
      <c r="G4201" s="17"/>
      <c r="H4201" s="17" t="s">
        <v>692</v>
      </c>
      <c r="I4201" s="17"/>
      <c r="J4201" s="17" t="s">
        <v>693</v>
      </c>
      <c r="K4201" s="17"/>
      <c r="L4201" s="17"/>
      <c r="M4201" s="17"/>
      <c r="N4201" s="17"/>
      <c r="O4201" s="17"/>
      <c r="P4201" s="17" t="s">
        <v>2431</v>
      </c>
      <c r="Q4201" s="17"/>
      <c r="R4201" s="25" t="str">
        <f>HYPERLINK("https://ictv.global/taxonomy/taxondetails?taxnode_id=202300622","Lessievirus bcep22")</f>
        <v>Lessievirus bcep22</v>
      </c>
      <c r="S4201" s="18" t="s">
        <v>30</v>
      </c>
      <c r="T4201" s="18" t="s">
        <v>2432</v>
      </c>
      <c r="U4201" s="18"/>
      <c r="V4201" s="18"/>
      <c r="W4201" s="18" t="s">
        <v>2433</v>
      </c>
      <c r="X4201" s="18" t="s">
        <v>42</v>
      </c>
      <c r="Y4201" s="18" t="s">
        <v>36</v>
      </c>
      <c r="Z4201" s="18" t="s">
        <v>697</v>
      </c>
      <c r="AA4201" s="21" t="str">
        <f>HYPERLINK("https://www.ncbi.nlm.nih.gov/nuccore/AY349011","NCBI Nucleotide")</f>
        <v>NCBI Nucleotide</v>
      </c>
    </row>
    <row r="4202" spans="1:27" x14ac:dyDescent="0.35">
      <c r="A4202">
        <v>1005831</v>
      </c>
      <c r="B4202">
        <v>4178</v>
      </c>
      <c r="C4202">
        <v>1</v>
      </c>
      <c r="D4202" s="17" t="s">
        <v>155</v>
      </c>
      <c r="E4202" s="17"/>
      <c r="F4202" s="17" t="s">
        <v>156</v>
      </c>
      <c r="G4202" s="17"/>
      <c r="H4202" s="17" t="s">
        <v>692</v>
      </c>
      <c r="I4202" s="17"/>
      <c r="J4202" s="17" t="s">
        <v>693</v>
      </c>
      <c r="K4202" s="17"/>
      <c r="L4202" s="17"/>
      <c r="M4202" s="17"/>
      <c r="N4202" s="17"/>
      <c r="O4202" s="17"/>
      <c r="P4202" s="17" t="s">
        <v>2431</v>
      </c>
      <c r="Q4202" s="17"/>
      <c r="R4202" s="25" t="str">
        <f>HYPERLINK("https://ictv.global/taxonomy/taxondetails?taxnode_id=202300623","Lessievirus bcepil02")</f>
        <v>Lessievirus bcepil02</v>
      </c>
      <c r="S4202" s="18" t="s">
        <v>30</v>
      </c>
      <c r="T4202" s="18" t="s">
        <v>2434</v>
      </c>
      <c r="U4202" s="18"/>
      <c r="V4202" s="18"/>
      <c r="W4202" s="18" t="s">
        <v>2435</v>
      </c>
      <c r="X4202" s="18" t="s">
        <v>42</v>
      </c>
      <c r="Y4202" s="18" t="s">
        <v>36</v>
      </c>
      <c r="Z4202" s="18" t="s">
        <v>697</v>
      </c>
      <c r="AA4202" s="21" t="str">
        <f>HYPERLINK("https://www.ncbi.nlm.nih.gov/nuccore/FJ937737","NCBI Nucleotide")</f>
        <v>NCBI Nucleotide</v>
      </c>
    </row>
    <row r="4203" spans="1:27" x14ac:dyDescent="0.35">
      <c r="A4203">
        <v>1005832</v>
      </c>
      <c r="B4203">
        <v>4179</v>
      </c>
      <c r="C4203">
        <v>1</v>
      </c>
      <c r="D4203" s="17" t="s">
        <v>155</v>
      </c>
      <c r="E4203" s="17"/>
      <c r="F4203" s="17" t="s">
        <v>156</v>
      </c>
      <c r="G4203" s="17"/>
      <c r="H4203" s="17" t="s">
        <v>692</v>
      </c>
      <c r="I4203" s="17"/>
      <c r="J4203" s="17" t="s">
        <v>693</v>
      </c>
      <c r="K4203" s="17"/>
      <c r="L4203" s="17"/>
      <c r="M4203" s="17"/>
      <c r="N4203" s="17"/>
      <c r="O4203" s="17"/>
      <c r="P4203" s="17" t="s">
        <v>2431</v>
      </c>
      <c r="Q4203" s="17"/>
      <c r="R4203" s="25" t="str">
        <f>HYPERLINK("https://ictv.global/taxonomy/taxondetails?taxnode_id=202300624","Lessievirus bcepmigl")</f>
        <v>Lessievirus bcepmigl</v>
      </c>
      <c r="S4203" s="18" t="s">
        <v>30</v>
      </c>
      <c r="T4203" s="18" t="s">
        <v>2436</v>
      </c>
      <c r="U4203" s="18"/>
      <c r="V4203" s="18"/>
      <c r="W4203" s="18" t="s">
        <v>2437</v>
      </c>
      <c r="X4203" s="18" t="s">
        <v>42</v>
      </c>
      <c r="Y4203" s="18" t="s">
        <v>36</v>
      </c>
      <c r="Z4203" s="18" t="s">
        <v>697</v>
      </c>
      <c r="AA4203" s="21" t="str">
        <f>HYPERLINK("https://www.ncbi.nlm.nih.gov/nuccore/JX104231","NCBI Nucleotide")</f>
        <v>NCBI Nucleotide</v>
      </c>
    </row>
    <row r="4204" spans="1:27" x14ac:dyDescent="0.35">
      <c r="A4204">
        <v>1005833</v>
      </c>
      <c r="B4204">
        <v>4180</v>
      </c>
      <c r="C4204">
        <v>1</v>
      </c>
      <c r="D4204" s="17" t="s">
        <v>155</v>
      </c>
      <c r="E4204" s="17"/>
      <c r="F4204" s="17" t="s">
        <v>156</v>
      </c>
      <c r="G4204" s="17"/>
      <c r="H4204" s="17" t="s">
        <v>692</v>
      </c>
      <c r="I4204" s="17"/>
      <c r="J4204" s="17" t="s">
        <v>693</v>
      </c>
      <c r="K4204" s="17"/>
      <c r="L4204" s="17"/>
      <c r="M4204" s="17"/>
      <c r="N4204" s="17"/>
      <c r="O4204" s="17"/>
      <c r="P4204" s="17" t="s">
        <v>2431</v>
      </c>
      <c r="Q4204" s="17"/>
      <c r="R4204" s="25" t="str">
        <f>HYPERLINK("https://ictv.global/taxonomy/taxondetails?taxnode_id=202300625","Lessievirus DC1")</f>
        <v>Lessievirus DC1</v>
      </c>
      <c r="S4204" s="18" t="s">
        <v>30</v>
      </c>
      <c r="T4204" s="18" t="s">
        <v>2438</v>
      </c>
      <c r="U4204" s="18"/>
      <c r="V4204" s="18"/>
      <c r="W4204" s="18" t="s">
        <v>2439</v>
      </c>
      <c r="X4204" s="18" t="s">
        <v>42</v>
      </c>
      <c r="Y4204" s="18" t="s">
        <v>36</v>
      </c>
      <c r="Z4204" s="18" t="s">
        <v>697</v>
      </c>
      <c r="AA4204" s="21" t="str">
        <f>HYPERLINK("https://www.ncbi.nlm.nih.gov/nuccore/JN662425","NCBI Nucleotide")</f>
        <v>NCBI Nucleotide</v>
      </c>
    </row>
    <row r="4205" spans="1:27" x14ac:dyDescent="0.35">
      <c r="A4205">
        <v>1005834</v>
      </c>
      <c r="B4205">
        <v>4181</v>
      </c>
      <c r="C4205">
        <v>1</v>
      </c>
      <c r="D4205" s="17" t="s">
        <v>155</v>
      </c>
      <c r="E4205" s="17"/>
      <c r="F4205" s="17" t="s">
        <v>156</v>
      </c>
      <c r="G4205" s="17"/>
      <c r="H4205" s="17" t="s">
        <v>692</v>
      </c>
      <c r="I4205" s="17"/>
      <c r="J4205" s="17" t="s">
        <v>693</v>
      </c>
      <c r="K4205" s="17"/>
      <c r="L4205" s="17"/>
      <c r="M4205" s="17"/>
      <c r="N4205" s="17"/>
      <c r="O4205" s="17"/>
      <c r="P4205" s="17" t="s">
        <v>2440</v>
      </c>
      <c r="Q4205" s="17"/>
      <c r="R4205" s="25" t="str">
        <f>HYPERLINK("https://ictv.global/taxonomy/taxondetails?taxnode_id=202311528","Lietduovirus LIET2")</f>
        <v>Lietduovirus LIET2</v>
      </c>
      <c r="S4205" s="18" t="s">
        <v>30</v>
      </c>
      <c r="T4205" s="18" t="s">
        <v>2441</v>
      </c>
      <c r="U4205" s="18"/>
      <c r="V4205" s="18"/>
      <c r="W4205" s="18" t="s">
        <v>2442</v>
      </c>
      <c r="X4205" s="18" t="s">
        <v>42</v>
      </c>
      <c r="Y4205" s="18" t="s">
        <v>36</v>
      </c>
      <c r="Z4205" s="18" t="s">
        <v>697</v>
      </c>
      <c r="AA4205" s="21" t="str">
        <f>HYPERLINK("https://www.ncbi.nlm.nih.gov/nuccore/MK388689","NCBI Nucleotide")</f>
        <v>NCBI Nucleotide</v>
      </c>
    </row>
    <row r="4206" spans="1:27" x14ac:dyDescent="0.35">
      <c r="A4206">
        <v>1005836</v>
      </c>
      <c r="B4206">
        <v>4182</v>
      </c>
      <c r="C4206">
        <v>1</v>
      </c>
      <c r="D4206" s="17" t="s">
        <v>155</v>
      </c>
      <c r="E4206" s="17"/>
      <c r="F4206" s="17" t="s">
        <v>156</v>
      </c>
      <c r="G4206" s="17"/>
      <c r="H4206" s="17" t="s">
        <v>692</v>
      </c>
      <c r="I4206" s="17"/>
      <c r="J4206" s="17" t="s">
        <v>693</v>
      </c>
      <c r="K4206" s="17"/>
      <c r="L4206" s="17"/>
      <c r="M4206" s="17"/>
      <c r="N4206" s="17"/>
      <c r="O4206" s="17"/>
      <c r="P4206" s="17" t="s">
        <v>2443</v>
      </c>
      <c r="Q4206" s="17"/>
      <c r="R4206" s="25" t="str">
        <f>HYPERLINK("https://ictv.global/taxonomy/taxondetails?taxnode_id=202300630","Lightbulbvirus Cba41")</f>
        <v>Lightbulbvirus Cba41</v>
      </c>
      <c r="S4206" s="18" t="s">
        <v>30</v>
      </c>
      <c r="T4206" s="18" t="s">
        <v>2446</v>
      </c>
      <c r="U4206" s="18"/>
      <c r="V4206" s="18"/>
      <c r="W4206" s="18" t="s">
        <v>2447</v>
      </c>
      <c r="X4206" s="18" t="s">
        <v>42</v>
      </c>
      <c r="Y4206" s="18" t="s">
        <v>36</v>
      </c>
      <c r="Z4206" s="18" t="s">
        <v>697</v>
      </c>
      <c r="AA4206" s="21" t="str">
        <f>HYPERLINK("https://www.ncbi.nlm.nih.gov/nuccore/KC821632","NCBI Nucleotide")</f>
        <v>NCBI Nucleotide</v>
      </c>
    </row>
    <row r="4207" spans="1:27" x14ac:dyDescent="0.35">
      <c r="A4207">
        <v>1005835</v>
      </c>
      <c r="B4207">
        <v>4183</v>
      </c>
      <c r="C4207">
        <v>1</v>
      </c>
      <c r="D4207" s="17" t="s">
        <v>155</v>
      </c>
      <c r="E4207" s="17"/>
      <c r="F4207" s="17" t="s">
        <v>156</v>
      </c>
      <c r="G4207" s="17"/>
      <c r="H4207" s="17" t="s">
        <v>692</v>
      </c>
      <c r="I4207" s="17"/>
      <c r="J4207" s="17" t="s">
        <v>693</v>
      </c>
      <c r="K4207" s="17"/>
      <c r="L4207" s="17"/>
      <c r="M4207" s="17"/>
      <c r="N4207" s="17"/>
      <c r="O4207" s="17"/>
      <c r="P4207" s="17" t="s">
        <v>2443</v>
      </c>
      <c r="Q4207" s="17"/>
      <c r="R4207" s="25" t="str">
        <f>HYPERLINK("https://ictv.global/taxonomy/taxondetails?taxnode_id=202300631","Lightbulbvirus Cba172")</f>
        <v>Lightbulbvirus Cba172</v>
      </c>
      <c r="S4207" s="18" t="s">
        <v>30</v>
      </c>
      <c r="T4207" s="18" t="s">
        <v>2444</v>
      </c>
      <c r="U4207" s="18"/>
      <c r="V4207" s="18"/>
      <c r="W4207" s="18" t="s">
        <v>2445</v>
      </c>
      <c r="X4207" s="18" t="s">
        <v>42</v>
      </c>
      <c r="Y4207" s="18" t="s">
        <v>36</v>
      </c>
      <c r="Z4207" s="18" t="s">
        <v>697</v>
      </c>
      <c r="AA4207" s="21" t="str">
        <f>HYPERLINK("https://www.ncbi.nlm.nih.gov/nuccore/KC821609","NCBI Nucleotide")</f>
        <v>NCBI Nucleotide</v>
      </c>
    </row>
    <row r="4208" spans="1:27" x14ac:dyDescent="0.35">
      <c r="A4208">
        <v>1005837</v>
      </c>
      <c r="B4208">
        <v>4184</v>
      </c>
      <c r="C4208">
        <v>1</v>
      </c>
      <c r="D4208" s="17" t="s">
        <v>155</v>
      </c>
      <c r="E4208" s="17"/>
      <c r="F4208" s="17" t="s">
        <v>156</v>
      </c>
      <c r="G4208" s="17"/>
      <c r="H4208" s="17" t="s">
        <v>692</v>
      </c>
      <c r="I4208" s="17"/>
      <c r="J4208" s="17" t="s">
        <v>693</v>
      </c>
      <c r="K4208" s="17"/>
      <c r="L4208" s="17"/>
      <c r="M4208" s="17"/>
      <c r="N4208" s="17"/>
      <c r="O4208" s="17"/>
      <c r="P4208" s="17" t="s">
        <v>2448</v>
      </c>
      <c r="Q4208" s="17"/>
      <c r="R4208" s="25" t="str">
        <f>HYPERLINK("https://ictv.global/taxonomy/taxondetails?taxnode_id=202312400","Lilbeanievirus lilbeanie")</f>
        <v>Lilbeanievirus lilbeanie</v>
      </c>
      <c r="S4208" s="18" t="s">
        <v>30</v>
      </c>
      <c r="T4208" s="18" t="s">
        <v>2449</v>
      </c>
      <c r="U4208" s="18"/>
      <c r="V4208" s="18"/>
      <c r="W4208" s="18" t="s">
        <v>2450</v>
      </c>
      <c r="X4208" s="18" t="s">
        <v>42</v>
      </c>
      <c r="Y4208" s="18" t="s">
        <v>36</v>
      </c>
      <c r="Z4208" s="18" t="s">
        <v>697</v>
      </c>
      <c r="AA4208" s="21" t="str">
        <f>HYPERLINK("https://www.ncbi.nlm.nih.gov/nuccore/MW314850","NCBI Nucleotide")</f>
        <v>NCBI Nucleotide</v>
      </c>
    </row>
    <row r="4209" spans="1:27" x14ac:dyDescent="0.35">
      <c r="A4209">
        <v>1005838</v>
      </c>
      <c r="B4209">
        <v>4185</v>
      </c>
      <c r="C4209">
        <v>1</v>
      </c>
      <c r="D4209" s="17" t="s">
        <v>155</v>
      </c>
      <c r="E4209" s="17"/>
      <c r="F4209" s="17" t="s">
        <v>156</v>
      </c>
      <c r="G4209" s="17"/>
      <c r="H4209" s="17" t="s">
        <v>692</v>
      </c>
      <c r="I4209" s="17"/>
      <c r="J4209" s="17" t="s">
        <v>693</v>
      </c>
      <c r="K4209" s="17"/>
      <c r="L4209" s="17"/>
      <c r="M4209" s="17"/>
      <c r="N4209" s="17"/>
      <c r="O4209" s="17"/>
      <c r="P4209" s="17" t="s">
        <v>2451</v>
      </c>
      <c r="Q4209" s="17"/>
      <c r="R4209" s="25" t="str">
        <f>HYPERLINK("https://ictv.global/taxonomy/taxondetails?taxnode_id=202310029","Lillamyvirus hemulen")</f>
        <v>Lillamyvirus hemulen</v>
      </c>
      <c r="S4209" s="18" t="s">
        <v>30</v>
      </c>
      <c r="T4209" s="18" t="s">
        <v>2452</v>
      </c>
      <c r="U4209" s="18"/>
      <c r="V4209" s="18"/>
      <c r="W4209" s="18" t="s">
        <v>2453</v>
      </c>
      <c r="X4209" s="18" t="s">
        <v>42</v>
      </c>
      <c r="Y4209" s="18" t="s">
        <v>36</v>
      </c>
      <c r="Z4209" s="18" t="s">
        <v>697</v>
      </c>
      <c r="AA4209" s="21" t="str">
        <f>HYPERLINK("https://www.ncbi.nlm.nih.gov/nuccore/MN812208","NCBI Nucleotide")</f>
        <v>NCBI Nucleotide</v>
      </c>
    </row>
    <row r="4210" spans="1:27" x14ac:dyDescent="0.35">
      <c r="A4210">
        <v>1005839</v>
      </c>
      <c r="B4210">
        <v>4186</v>
      </c>
      <c r="C4210">
        <v>1</v>
      </c>
      <c r="D4210" s="17" t="s">
        <v>155</v>
      </c>
      <c r="E4210" s="17"/>
      <c r="F4210" s="17" t="s">
        <v>156</v>
      </c>
      <c r="G4210" s="17"/>
      <c r="H4210" s="17" t="s">
        <v>692</v>
      </c>
      <c r="I4210" s="17"/>
      <c r="J4210" s="17" t="s">
        <v>693</v>
      </c>
      <c r="K4210" s="17"/>
      <c r="L4210" s="17"/>
      <c r="M4210" s="17"/>
      <c r="N4210" s="17"/>
      <c r="O4210" s="17"/>
      <c r="P4210" s="17" t="s">
        <v>2451</v>
      </c>
      <c r="Q4210" s="17"/>
      <c r="R4210" s="25" t="str">
        <f>HYPERLINK("https://ictv.global/taxonomy/taxondetails?taxnode_id=202310027","Lillamyvirus lillamy")</f>
        <v>Lillamyvirus lillamy</v>
      </c>
      <c r="S4210" s="18" t="s">
        <v>30</v>
      </c>
      <c r="T4210" s="18" t="s">
        <v>2454</v>
      </c>
      <c r="U4210" s="18"/>
      <c r="V4210" s="18"/>
      <c r="W4210" s="18" t="s">
        <v>2455</v>
      </c>
      <c r="X4210" s="18" t="s">
        <v>42</v>
      </c>
      <c r="Y4210" s="18" t="s">
        <v>36</v>
      </c>
      <c r="Z4210" s="18" t="s">
        <v>697</v>
      </c>
      <c r="AA4210" s="21" t="str">
        <f>HYPERLINK("https://www.ncbi.nlm.nih.gov/nuccore/MN812212","NCBI Nucleotide")</f>
        <v>NCBI Nucleotide</v>
      </c>
    </row>
    <row r="4211" spans="1:27" x14ac:dyDescent="0.35">
      <c r="A4211">
        <v>1005840</v>
      </c>
      <c r="B4211">
        <v>4187</v>
      </c>
      <c r="C4211">
        <v>1</v>
      </c>
      <c r="D4211" s="17" t="s">
        <v>155</v>
      </c>
      <c r="E4211" s="17"/>
      <c r="F4211" s="17" t="s">
        <v>156</v>
      </c>
      <c r="G4211" s="17"/>
      <c r="H4211" s="17" t="s">
        <v>692</v>
      </c>
      <c r="I4211" s="17"/>
      <c r="J4211" s="17" t="s">
        <v>693</v>
      </c>
      <c r="K4211" s="17"/>
      <c r="L4211" s="17"/>
      <c r="M4211" s="17"/>
      <c r="N4211" s="17"/>
      <c r="O4211" s="17"/>
      <c r="P4211" s="17" t="s">
        <v>2451</v>
      </c>
      <c r="Q4211" s="17"/>
      <c r="R4211" s="25" t="str">
        <f>HYPERLINK("https://ictv.global/taxonomy/taxondetails?taxnode_id=202310028","Lillamyvirus morran")</f>
        <v>Lillamyvirus morran</v>
      </c>
      <c r="S4211" s="18" t="s">
        <v>30</v>
      </c>
      <c r="T4211" s="18" t="s">
        <v>2456</v>
      </c>
      <c r="U4211" s="18"/>
      <c r="V4211" s="18"/>
      <c r="W4211" s="18" t="s">
        <v>2457</v>
      </c>
      <c r="X4211" s="18" t="s">
        <v>42</v>
      </c>
      <c r="Y4211" s="18" t="s">
        <v>36</v>
      </c>
      <c r="Z4211" s="18" t="s">
        <v>697</v>
      </c>
      <c r="AA4211" s="21" t="str">
        <f>HYPERLINK("https://www.ncbi.nlm.nih.gov/nuccore/MN812219","NCBI Nucleotide")</f>
        <v>NCBI Nucleotide</v>
      </c>
    </row>
    <row r="4212" spans="1:27" x14ac:dyDescent="0.35">
      <c r="A4212">
        <v>1005841</v>
      </c>
      <c r="B4212">
        <v>4188</v>
      </c>
      <c r="C4212">
        <v>1</v>
      </c>
      <c r="D4212" s="17" t="s">
        <v>155</v>
      </c>
      <c r="E4212" s="17"/>
      <c r="F4212" s="17" t="s">
        <v>156</v>
      </c>
      <c r="G4212" s="17"/>
      <c r="H4212" s="17" t="s">
        <v>692</v>
      </c>
      <c r="I4212" s="17"/>
      <c r="J4212" s="17" t="s">
        <v>693</v>
      </c>
      <c r="K4212" s="17"/>
      <c r="L4212" s="17"/>
      <c r="M4212" s="17"/>
      <c r="N4212" s="17"/>
      <c r="O4212" s="17"/>
      <c r="P4212" s="17" t="s">
        <v>2451</v>
      </c>
      <c r="Q4212" s="17"/>
      <c r="R4212" s="25" t="str">
        <f>HYPERLINK("https://ictv.global/taxonomy/taxondetails?taxnode_id=202310031","Lillamyvirus sniff")</f>
        <v>Lillamyvirus sniff</v>
      </c>
      <c r="S4212" s="18" t="s">
        <v>30</v>
      </c>
      <c r="T4212" s="18" t="s">
        <v>2458</v>
      </c>
      <c r="U4212" s="18"/>
      <c r="V4212" s="18"/>
      <c r="W4212" s="18" t="s">
        <v>2459</v>
      </c>
      <c r="X4212" s="18" t="s">
        <v>42</v>
      </c>
      <c r="Y4212" s="18" t="s">
        <v>36</v>
      </c>
      <c r="Z4212" s="18" t="s">
        <v>697</v>
      </c>
      <c r="AA4212" s="21" t="str">
        <f>HYPERLINK("https://www.ncbi.nlm.nih.gov/nuccore/MN812229","NCBI Nucleotide")</f>
        <v>NCBI Nucleotide</v>
      </c>
    </row>
    <row r="4213" spans="1:27" x14ac:dyDescent="0.35">
      <c r="A4213">
        <v>1005842</v>
      </c>
      <c r="B4213">
        <v>4189</v>
      </c>
      <c r="C4213">
        <v>1</v>
      </c>
      <c r="D4213" s="17" t="s">
        <v>155</v>
      </c>
      <c r="E4213" s="17"/>
      <c r="F4213" s="17" t="s">
        <v>156</v>
      </c>
      <c r="G4213" s="17"/>
      <c r="H4213" s="17" t="s">
        <v>692</v>
      </c>
      <c r="I4213" s="17"/>
      <c r="J4213" s="17" t="s">
        <v>693</v>
      </c>
      <c r="K4213" s="17"/>
      <c r="L4213" s="17"/>
      <c r="M4213" s="17"/>
      <c r="N4213" s="17"/>
      <c r="O4213" s="17"/>
      <c r="P4213" s="17" t="s">
        <v>2451</v>
      </c>
      <c r="Q4213" s="17"/>
      <c r="R4213" s="25" t="str">
        <f>HYPERLINK("https://ictv.global/taxonomy/taxondetails?taxnode_id=202310032","Lillamyvirus snork")</f>
        <v>Lillamyvirus snork</v>
      </c>
      <c r="S4213" s="18" t="s">
        <v>30</v>
      </c>
      <c r="T4213" s="18" t="s">
        <v>2460</v>
      </c>
      <c r="U4213" s="18"/>
      <c r="V4213" s="18"/>
      <c r="W4213" s="18" t="s">
        <v>2461</v>
      </c>
      <c r="X4213" s="18" t="s">
        <v>42</v>
      </c>
      <c r="Y4213" s="18" t="s">
        <v>36</v>
      </c>
      <c r="Z4213" s="18" t="s">
        <v>697</v>
      </c>
      <c r="AA4213" s="21" t="str">
        <f>HYPERLINK("https://www.ncbi.nlm.nih.gov/nuccore/MN812231","NCBI Nucleotide")</f>
        <v>NCBI Nucleotide</v>
      </c>
    </row>
    <row r="4214" spans="1:27" x14ac:dyDescent="0.35">
      <c r="A4214">
        <v>1005843</v>
      </c>
      <c r="B4214">
        <v>4190</v>
      </c>
      <c r="C4214">
        <v>1</v>
      </c>
      <c r="D4214" s="17" t="s">
        <v>155</v>
      </c>
      <c r="E4214" s="17"/>
      <c r="F4214" s="17" t="s">
        <v>156</v>
      </c>
      <c r="G4214" s="17"/>
      <c r="H4214" s="17" t="s">
        <v>692</v>
      </c>
      <c r="I4214" s="17"/>
      <c r="J4214" s="17" t="s">
        <v>693</v>
      </c>
      <c r="K4214" s="17"/>
      <c r="L4214" s="17"/>
      <c r="M4214" s="17"/>
      <c r="N4214" s="17"/>
      <c r="O4214" s="17"/>
      <c r="P4214" s="17" t="s">
        <v>2451</v>
      </c>
      <c r="Q4214" s="17"/>
      <c r="R4214" s="25" t="str">
        <f>HYPERLINK("https://ictv.global/taxonomy/taxondetails?taxnode_id=202310030","Lillamyvirus stinky")</f>
        <v>Lillamyvirus stinky</v>
      </c>
      <c r="S4214" s="18" t="s">
        <v>30</v>
      </c>
      <c r="T4214" s="18" t="s">
        <v>2462</v>
      </c>
      <c r="U4214" s="18"/>
      <c r="V4214" s="18"/>
      <c r="W4214" s="18" t="s">
        <v>2463</v>
      </c>
      <c r="X4214" s="18" t="s">
        <v>42</v>
      </c>
      <c r="Y4214" s="18" t="s">
        <v>36</v>
      </c>
      <c r="Z4214" s="18" t="s">
        <v>697</v>
      </c>
      <c r="AA4214" s="21" t="str">
        <f>HYPERLINK("https://www.ncbi.nlm.nih.gov/nuccore/MN812238","NCBI Nucleotide")</f>
        <v>NCBI Nucleotide</v>
      </c>
    </row>
    <row r="4215" spans="1:27" x14ac:dyDescent="0.35">
      <c r="A4215">
        <v>1024972</v>
      </c>
      <c r="B4215">
        <v>4191</v>
      </c>
      <c r="C4215">
        <v>1</v>
      </c>
      <c r="D4215" s="17" t="s">
        <v>155</v>
      </c>
      <c r="E4215" s="17"/>
      <c r="F4215" s="17" t="s">
        <v>156</v>
      </c>
      <c r="G4215" s="17"/>
      <c r="H4215" s="17" t="s">
        <v>692</v>
      </c>
      <c r="I4215" s="17"/>
      <c r="J4215" s="17" t="s">
        <v>693</v>
      </c>
      <c r="K4215" s="17"/>
      <c r="L4215" s="17"/>
      <c r="M4215" s="17"/>
      <c r="N4215" s="17"/>
      <c r="O4215" s="17"/>
      <c r="P4215" s="17" t="s">
        <v>39988</v>
      </c>
      <c r="Q4215" s="17"/>
      <c r="R4215" s="25" t="str">
        <f>HYPERLINK("https://ictv.global/taxonomy/taxondetails?taxnode_id=202317761","Lilspottyvirus lilspotty")</f>
        <v>Lilspottyvirus lilspotty</v>
      </c>
      <c r="S4215" s="18" t="s">
        <v>30</v>
      </c>
      <c r="T4215" s="18" t="s">
        <v>39989</v>
      </c>
      <c r="U4215" s="18"/>
      <c r="V4215" s="18"/>
      <c r="W4215" s="18" t="s">
        <v>48550</v>
      </c>
      <c r="X4215" s="18" t="s">
        <v>42</v>
      </c>
      <c r="Y4215" s="18" t="s">
        <v>36</v>
      </c>
      <c r="Z4215" s="18" t="s">
        <v>697</v>
      </c>
      <c r="AA4215" s="21" t="str">
        <f>HYPERLINK("https://www.ncbi.nlm.nih.gov/nuccore/MK977707","NCBI Nucleotide")</f>
        <v>NCBI Nucleotide</v>
      </c>
    </row>
    <row r="4216" spans="1:27" x14ac:dyDescent="0.35">
      <c r="A4216">
        <v>1005844</v>
      </c>
      <c r="B4216">
        <v>4192</v>
      </c>
      <c r="C4216">
        <v>1</v>
      </c>
      <c r="D4216" s="17" t="s">
        <v>155</v>
      </c>
      <c r="E4216" s="17"/>
      <c r="F4216" s="17" t="s">
        <v>156</v>
      </c>
      <c r="G4216" s="17"/>
      <c r="H4216" s="17" t="s">
        <v>692</v>
      </c>
      <c r="I4216" s="17"/>
      <c r="J4216" s="17" t="s">
        <v>693</v>
      </c>
      <c r="K4216" s="17"/>
      <c r="L4216" s="17"/>
      <c r="M4216" s="17"/>
      <c r="N4216" s="17"/>
      <c r="O4216" s="17"/>
      <c r="P4216" s="17" t="s">
        <v>2464</v>
      </c>
      <c r="Q4216" s="17"/>
      <c r="R4216" s="25" t="str">
        <f>HYPERLINK("https://ictv.global/taxonomy/taxondetails?taxnode_id=202306774","Lilyvirus lily")</f>
        <v>Lilyvirus lily</v>
      </c>
      <c r="S4216" s="18" t="s">
        <v>30</v>
      </c>
      <c r="T4216" s="18" t="s">
        <v>2465</v>
      </c>
      <c r="U4216" s="18"/>
      <c r="V4216" s="18"/>
      <c r="W4216" s="18" t="s">
        <v>2466</v>
      </c>
      <c r="X4216" s="18" t="s">
        <v>42</v>
      </c>
      <c r="Y4216" s="18" t="s">
        <v>36</v>
      </c>
      <c r="Z4216" s="18" t="s">
        <v>697</v>
      </c>
      <c r="AA4216" s="21" t="str">
        <f>HYPERLINK("https://www.ncbi.nlm.nih.gov/nuccore/KP296792","NCBI Nucleotide")</f>
        <v>NCBI Nucleotide</v>
      </c>
    </row>
    <row r="4217" spans="1:27" x14ac:dyDescent="0.35">
      <c r="A4217">
        <v>1024999</v>
      </c>
      <c r="B4217">
        <v>4193</v>
      </c>
      <c r="C4217">
        <v>1</v>
      </c>
      <c r="D4217" s="17" t="s">
        <v>155</v>
      </c>
      <c r="E4217" s="17"/>
      <c r="F4217" s="17" t="s">
        <v>156</v>
      </c>
      <c r="G4217" s="17"/>
      <c r="H4217" s="17" t="s">
        <v>692</v>
      </c>
      <c r="I4217" s="17"/>
      <c r="J4217" s="17" t="s">
        <v>693</v>
      </c>
      <c r="K4217" s="17"/>
      <c r="L4217" s="17"/>
      <c r="M4217" s="17"/>
      <c r="N4217" s="17"/>
      <c r="O4217" s="17"/>
      <c r="P4217" s="17" t="s">
        <v>39990</v>
      </c>
      <c r="Q4217" s="17"/>
      <c r="R4217" s="25" t="str">
        <f>HYPERLINK("https://ictv.global/taxonomy/taxondetails?taxnode_id=202318574","Lishizhenvirus BUCT566")</f>
        <v>Lishizhenvirus BUCT566</v>
      </c>
      <c r="S4217" s="18" t="s">
        <v>30</v>
      </c>
      <c r="T4217" s="18" t="s">
        <v>39991</v>
      </c>
      <c r="U4217" s="18"/>
      <c r="V4217" s="18"/>
      <c r="W4217" s="18" t="s">
        <v>48551</v>
      </c>
      <c r="X4217" s="18" t="s">
        <v>42</v>
      </c>
      <c r="Y4217" s="18" t="s">
        <v>36</v>
      </c>
      <c r="Z4217" s="18" t="s">
        <v>697</v>
      </c>
      <c r="AA4217" s="21" t="str">
        <f>HYPERLINK("https://www.ncbi.nlm.nih.gov/nuccore/MW748993","NCBI Nucleotide")</f>
        <v>NCBI Nucleotide</v>
      </c>
    </row>
    <row r="4218" spans="1:27" x14ac:dyDescent="0.35">
      <c r="A4218">
        <v>1005845</v>
      </c>
      <c r="B4218">
        <v>4194</v>
      </c>
      <c r="C4218">
        <v>1</v>
      </c>
      <c r="D4218" s="17" t="s">
        <v>155</v>
      </c>
      <c r="E4218" s="17"/>
      <c r="F4218" s="17" t="s">
        <v>156</v>
      </c>
      <c r="G4218" s="17"/>
      <c r="H4218" s="17" t="s">
        <v>692</v>
      </c>
      <c r="I4218" s="17"/>
      <c r="J4218" s="17" t="s">
        <v>693</v>
      </c>
      <c r="K4218" s="17"/>
      <c r="L4218" s="17"/>
      <c r="M4218" s="17"/>
      <c r="N4218" s="17"/>
      <c r="O4218" s="17"/>
      <c r="P4218" s="17" t="s">
        <v>2467</v>
      </c>
      <c r="Q4218" s="17"/>
      <c r="R4218" s="25" t="str">
        <f>HYPERLINK("https://ictv.global/taxonomy/taxondetails?taxnode_id=202307758","Llyrvirus SSKS1")</f>
        <v>Llyrvirus SSKS1</v>
      </c>
      <c r="S4218" s="18" t="s">
        <v>30</v>
      </c>
      <c r="T4218" s="18" t="s">
        <v>2468</v>
      </c>
      <c r="U4218" s="18"/>
      <c r="V4218" s="18"/>
      <c r="W4218" s="18" t="s">
        <v>2469</v>
      </c>
      <c r="X4218" s="18" t="s">
        <v>42</v>
      </c>
      <c r="Y4218" s="18" t="s">
        <v>36</v>
      </c>
      <c r="Z4218" s="18" t="s">
        <v>697</v>
      </c>
      <c r="AA4218" s="21" t="str">
        <f>HYPERLINK("https://www.ncbi.nlm.nih.gov/nuccore/HQ633071","NCBI Nucleotide")</f>
        <v>NCBI Nucleotide</v>
      </c>
    </row>
    <row r="4219" spans="1:27" x14ac:dyDescent="0.35">
      <c r="A4219">
        <v>1005846</v>
      </c>
      <c r="B4219">
        <v>4195</v>
      </c>
      <c r="C4219">
        <v>1</v>
      </c>
      <c r="D4219" s="17" t="s">
        <v>155</v>
      </c>
      <c r="E4219" s="17"/>
      <c r="F4219" s="17" t="s">
        <v>156</v>
      </c>
      <c r="G4219" s="17"/>
      <c r="H4219" s="17" t="s">
        <v>692</v>
      </c>
      <c r="I4219" s="17"/>
      <c r="J4219" s="17" t="s">
        <v>693</v>
      </c>
      <c r="K4219" s="17"/>
      <c r="L4219" s="17"/>
      <c r="M4219" s="17"/>
      <c r="N4219" s="17"/>
      <c r="O4219" s="17"/>
      <c r="P4219" s="17" t="s">
        <v>2470</v>
      </c>
      <c r="Q4219" s="17"/>
      <c r="R4219" s="25" t="str">
        <f>HYPERLINK("https://ictv.global/taxonomy/taxondetails?taxnode_id=202306916","Lokivirus IMEAB3")</f>
        <v>Lokivirus IMEAB3</v>
      </c>
      <c r="S4219" s="18" t="s">
        <v>30</v>
      </c>
      <c r="T4219" s="18" t="s">
        <v>2471</v>
      </c>
      <c r="U4219" s="18"/>
      <c r="V4219" s="18"/>
      <c r="W4219" s="18" t="s">
        <v>2472</v>
      </c>
      <c r="X4219" s="18" t="s">
        <v>42</v>
      </c>
      <c r="Y4219" s="18" t="s">
        <v>36</v>
      </c>
      <c r="Z4219" s="18" t="s">
        <v>697</v>
      </c>
      <c r="AA4219" s="21" t="str">
        <f>HYPERLINK("https://www.ncbi.nlm.nih.gov/nuccore/KF811200","NCBI Nucleotide")</f>
        <v>NCBI Nucleotide</v>
      </c>
    </row>
    <row r="4220" spans="1:27" x14ac:dyDescent="0.35">
      <c r="A4220">
        <v>1005847</v>
      </c>
      <c r="B4220">
        <v>4196</v>
      </c>
      <c r="C4220">
        <v>1</v>
      </c>
      <c r="D4220" s="17" t="s">
        <v>155</v>
      </c>
      <c r="E4220" s="17"/>
      <c r="F4220" s="17" t="s">
        <v>156</v>
      </c>
      <c r="G4220" s="17"/>
      <c r="H4220" s="17" t="s">
        <v>692</v>
      </c>
      <c r="I4220" s="17"/>
      <c r="J4220" s="17" t="s">
        <v>693</v>
      </c>
      <c r="K4220" s="17"/>
      <c r="L4220" s="17"/>
      <c r="M4220" s="17"/>
      <c r="N4220" s="17"/>
      <c r="O4220" s="17"/>
      <c r="P4220" s="17" t="s">
        <v>2470</v>
      </c>
      <c r="Q4220" s="17"/>
      <c r="R4220" s="25" t="str">
        <f>HYPERLINK("https://ictv.global/taxonomy/taxondetails?taxnode_id=202306915","Lokivirus loki")</f>
        <v>Lokivirus loki</v>
      </c>
      <c r="S4220" s="18" t="s">
        <v>30</v>
      </c>
      <c r="T4220" s="18" t="s">
        <v>2473</v>
      </c>
      <c r="U4220" s="18"/>
      <c r="V4220" s="18"/>
      <c r="W4220" s="18" t="s">
        <v>2474</v>
      </c>
      <c r="X4220" s="18" t="s">
        <v>42</v>
      </c>
      <c r="Y4220" s="18" t="s">
        <v>36</v>
      </c>
      <c r="Z4220" s="18" t="s">
        <v>697</v>
      </c>
      <c r="AA4220" s="21" t="str">
        <f>HYPERLINK("https://www.ncbi.nlm.nih.gov/nuccore/LN890663","NCBI Nucleotide")</f>
        <v>NCBI Nucleotide</v>
      </c>
    </row>
    <row r="4221" spans="1:27" x14ac:dyDescent="0.35">
      <c r="A4221">
        <v>1005848</v>
      </c>
      <c r="B4221">
        <v>4197</v>
      </c>
      <c r="C4221">
        <v>1</v>
      </c>
      <c r="D4221" s="17" t="s">
        <v>155</v>
      </c>
      <c r="E4221" s="17"/>
      <c r="F4221" s="17" t="s">
        <v>156</v>
      </c>
      <c r="G4221" s="17"/>
      <c r="H4221" s="17" t="s">
        <v>692</v>
      </c>
      <c r="I4221" s="17"/>
      <c r="J4221" s="17" t="s">
        <v>693</v>
      </c>
      <c r="K4221" s="17"/>
      <c r="L4221" s="17"/>
      <c r="M4221" s="17"/>
      <c r="N4221" s="17"/>
      <c r="O4221" s="17"/>
      <c r="P4221" s="17" t="s">
        <v>2475</v>
      </c>
      <c r="Q4221" s="17"/>
      <c r="R4221" s="25" t="str">
        <f>HYPERLINK("https://ictv.global/taxonomy/taxondetails?taxnode_id=202301185","Lomovskayavirus BT1")</f>
        <v>Lomovskayavirus BT1</v>
      </c>
      <c r="S4221" s="18" t="s">
        <v>30</v>
      </c>
      <c r="T4221" s="18" t="s">
        <v>2476</v>
      </c>
      <c r="U4221" s="18"/>
      <c r="V4221" s="18"/>
      <c r="W4221" s="18" t="s">
        <v>2477</v>
      </c>
      <c r="X4221" s="18" t="s">
        <v>42</v>
      </c>
      <c r="Y4221" s="18" t="s">
        <v>36</v>
      </c>
      <c r="Z4221" s="18" t="s">
        <v>697</v>
      </c>
      <c r="AA4221" s="21" t="str">
        <f>HYPERLINK("https://www.ncbi.nlm.nih.gov/nuccore/AJ550940","NCBI Nucleotide")</f>
        <v>NCBI Nucleotide</v>
      </c>
    </row>
    <row r="4222" spans="1:27" x14ac:dyDescent="0.35">
      <c r="A4222">
        <v>1005849</v>
      </c>
      <c r="B4222">
        <v>4198</v>
      </c>
      <c r="C4222">
        <v>1</v>
      </c>
      <c r="D4222" s="17" t="s">
        <v>155</v>
      </c>
      <c r="E4222" s="17"/>
      <c r="F4222" s="17" t="s">
        <v>156</v>
      </c>
      <c r="G4222" s="17"/>
      <c r="H4222" s="17" t="s">
        <v>692</v>
      </c>
      <c r="I4222" s="17"/>
      <c r="J4222" s="17" t="s">
        <v>693</v>
      </c>
      <c r="K4222" s="17"/>
      <c r="L4222" s="17"/>
      <c r="M4222" s="17"/>
      <c r="N4222" s="17"/>
      <c r="O4222" s="17"/>
      <c r="P4222" s="17" t="s">
        <v>2475</v>
      </c>
      <c r="Q4222" s="17"/>
      <c r="R4222" s="25" t="str">
        <f>HYPERLINK("https://ictv.global/taxonomy/taxondetails?taxnode_id=202301186","Lomovskayavirus C31")</f>
        <v>Lomovskayavirus C31</v>
      </c>
      <c r="S4222" s="18" t="s">
        <v>30</v>
      </c>
      <c r="T4222" s="18" t="s">
        <v>2478</v>
      </c>
      <c r="U4222" s="18"/>
      <c r="V4222" s="18"/>
      <c r="W4222" s="18" t="s">
        <v>2479</v>
      </c>
      <c r="X4222" s="18" t="s">
        <v>42</v>
      </c>
      <c r="Y4222" s="18" t="s">
        <v>36</v>
      </c>
      <c r="Z4222" s="18" t="s">
        <v>697</v>
      </c>
      <c r="AA4222" s="21" t="str">
        <f>HYPERLINK("https://www.ncbi.nlm.nih.gov/nuccore/AJ006589","NCBI Nucleotide")</f>
        <v>NCBI Nucleotide</v>
      </c>
    </row>
    <row r="4223" spans="1:27" x14ac:dyDescent="0.35">
      <c r="A4223">
        <v>1005850</v>
      </c>
      <c r="B4223">
        <v>4199</v>
      </c>
      <c r="C4223">
        <v>1</v>
      </c>
      <c r="D4223" s="17" t="s">
        <v>155</v>
      </c>
      <c r="E4223" s="17"/>
      <c r="F4223" s="17" t="s">
        <v>156</v>
      </c>
      <c r="G4223" s="17"/>
      <c r="H4223" s="17" t="s">
        <v>692</v>
      </c>
      <c r="I4223" s="17"/>
      <c r="J4223" s="17" t="s">
        <v>693</v>
      </c>
      <c r="K4223" s="17"/>
      <c r="L4223" s="17"/>
      <c r="M4223" s="17"/>
      <c r="N4223" s="17"/>
      <c r="O4223" s="17"/>
      <c r="P4223" s="17" t="s">
        <v>2480</v>
      </c>
      <c r="Q4223" s="17"/>
      <c r="R4223" s="25" t="str">
        <f>HYPERLINK("https://ictv.global/taxonomy/taxondetails?taxnode_id=202307914","Rosemountvirus ZCSE2")</f>
        <v>Rosemountvirus ZCSE2</v>
      </c>
      <c r="S4223" s="18" t="s">
        <v>30</v>
      </c>
      <c r="T4223" s="18" t="s">
        <v>2481</v>
      </c>
      <c r="U4223" s="18"/>
      <c r="V4223" s="18"/>
      <c r="W4223" s="18" t="s">
        <v>2482</v>
      </c>
      <c r="X4223" s="18" t="s">
        <v>42</v>
      </c>
      <c r="Y4223" s="18" t="s">
        <v>36</v>
      </c>
      <c r="Z4223" s="18" t="s">
        <v>697</v>
      </c>
      <c r="AA4223" s="21" t="str">
        <f>HYPERLINK("https://www.ncbi.nlm.nih.gov/nuccore/MK673511","NCBI Nucleotide")</f>
        <v>NCBI Nucleotide</v>
      </c>
    </row>
    <row r="4224" spans="1:27" x14ac:dyDescent="0.35">
      <c r="A4224">
        <v>1005851</v>
      </c>
      <c r="B4224">
        <v>4200</v>
      </c>
      <c r="C4224">
        <v>1</v>
      </c>
      <c r="D4224" s="17" t="s">
        <v>155</v>
      </c>
      <c r="E4224" s="17"/>
      <c r="F4224" s="17" t="s">
        <v>156</v>
      </c>
      <c r="G4224" s="17"/>
      <c r="H4224" s="17" t="s">
        <v>692</v>
      </c>
      <c r="I4224" s="17"/>
      <c r="J4224" s="17" t="s">
        <v>693</v>
      </c>
      <c r="K4224" s="17"/>
      <c r="L4224" s="17"/>
      <c r="M4224" s="17"/>
      <c r="N4224" s="17"/>
      <c r="O4224" s="17"/>
      <c r="P4224" s="17" t="s">
        <v>2483</v>
      </c>
      <c r="Q4224" s="17"/>
      <c r="R4224" s="25" t="str">
        <f>HYPERLINK("https://ictv.global/taxonomy/taxondetails?taxnode_id=202300423","Lubbockvirus CD119")</f>
        <v>Lubbockvirus CD119</v>
      </c>
      <c r="S4224" s="18" t="s">
        <v>30</v>
      </c>
      <c r="T4224" s="18" t="s">
        <v>2484</v>
      </c>
      <c r="U4224" s="18"/>
      <c r="V4224" s="18"/>
      <c r="W4224" s="18" t="s">
        <v>2485</v>
      </c>
      <c r="X4224" s="18" t="s">
        <v>42</v>
      </c>
      <c r="Y4224" s="18" t="s">
        <v>36</v>
      </c>
      <c r="Z4224" s="18" t="s">
        <v>697</v>
      </c>
      <c r="AA4224" s="21" t="str">
        <f>HYPERLINK("https://www.ncbi.nlm.nih.gov/nuccore/AY855346","NCBI Nucleotide")</f>
        <v>NCBI Nucleotide</v>
      </c>
    </row>
    <row r="4225" spans="1:27" x14ac:dyDescent="0.35">
      <c r="A4225">
        <v>1005852</v>
      </c>
      <c r="B4225">
        <v>4201</v>
      </c>
      <c r="C4225">
        <v>1</v>
      </c>
      <c r="D4225" s="17" t="s">
        <v>155</v>
      </c>
      <c r="E4225" s="17"/>
      <c r="F4225" s="17" t="s">
        <v>156</v>
      </c>
      <c r="G4225" s="17"/>
      <c r="H4225" s="17" t="s">
        <v>692</v>
      </c>
      <c r="I4225" s="17"/>
      <c r="J4225" s="17" t="s">
        <v>693</v>
      </c>
      <c r="K4225" s="17"/>
      <c r="L4225" s="17"/>
      <c r="M4225" s="17"/>
      <c r="N4225" s="17"/>
      <c r="O4225" s="17"/>
      <c r="P4225" s="17" t="s">
        <v>2483</v>
      </c>
      <c r="Q4225" s="17"/>
      <c r="R4225" s="25" t="str">
        <f>HYPERLINK("https://ictv.global/taxonomy/taxondetails?taxnode_id=202309889","Lubbockvirus CDHM19")</f>
        <v>Lubbockvirus CDHM19</v>
      </c>
      <c r="S4225" s="18" t="s">
        <v>30</v>
      </c>
      <c r="T4225" s="18" t="s">
        <v>2486</v>
      </c>
      <c r="U4225" s="18"/>
      <c r="V4225" s="18"/>
      <c r="W4225" s="18" t="s">
        <v>2487</v>
      </c>
      <c r="X4225" s="18" t="s">
        <v>42</v>
      </c>
      <c r="Y4225" s="18" t="s">
        <v>36</v>
      </c>
      <c r="Z4225" s="18" t="s">
        <v>697</v>
      </c>
      <c r="AA4225" s="21" t="str">
        <f>HYPERLINK("https://www.ncbi.nlm.nih.gov/nuccore/LK985322","NCBI Nucleotide")</f>
        <v>NCBI Nucleotide</v>
      </c>
    </row>
    <row r="4226" spans="1:27" x14ac:dyDescent="0.35">
      <c r="A4226">
        <v>1005853</v>
      </c>
      <c r="B4226">
        <v>4202</v>
      </c>
      <c r="C4226">
        <v>1</v>
      </c>
      <c r="D4226" s="17" t="s">
        <v>155</v>
      </c>
      <c r="E4226" s="17"/>
      <c r="F4226" s="17" t="s">
        <v>156</v>
      </c>
      <c r="G4226" s="17"/>
      <c r="H4226" s="17" t="s">
        <v>692</v>
      </c>
      <c r="I4226" s="17"/>
      <c r="J4226" s="17" t="s">
        <v>693</v>
      </c>
      <c r="K4226" s="17"/>
      <c r="L4226" s="17"/>
      <c r="M4226" s="17"/>
      <c r="N4226" s="17"/>
      <c r="O4226" s="17"/>
      <c r="P4226" s="17" t="s">
        <v>2488</v>
      </c>
      <c r="Q4226" s="17"/>
      <c r="R4226" s="25" t="str">
        <f>HYPERLINK("https://ictv.global/taxonomy/taxondetails?taxnode_id=202312404","Lucadorvirus gail")</f>
        <v>Lucadorvirus gail</v>
      </c>
      <c r="S4226" s="18" t="s">
        <v>30</v>
      </c>
      <c r="T4226" s="18" t="s">
        <v>2489</v>
      </c>
      <c r="U4226" s="18"/>
      <c r="V4226" s="18"/>
      <c r="W4226" s="18" t="s">
        <v>2490</v>
      </c>
      <c r="X4226" s="18" t="s">
        <v>42</v>
      </c>
      <c r="Y4226" s="18" t="s">
        <v>36</v>
      </c>
      <c r="Z4226" s="18" t="s">
        <v>697</v>
      </c>
      <c r="AA4226" s="21" t="str">
        <f>HYPERLINK("https://www.ncbi.nlm.nih.gov/nuccore/MT522004","NCBI Nucleotide")</f>
        <v>NCBI Nucleotide</v>
      </c>
    </row>
    <row r="4227" spans="1:27" x14ac:dyDescent="0.35">
      <c r="A4227">
        <v>1005854</v>
      </c>
      <c r="B4227">
        <v>4203</v>
      </c>
      <c r="C4227">
        <v>1</v>
      </c>
      <c r="D4227" s="17" t="s">
        <v>155</v>
      </c>
      <c r="E4227" s="17"/>
      <c r="F4227" s="17" t="s">
        <v>156</v>
      </c>
      <c r="G4227" s="17"/>
      <c r="H4227" s="17" t="s">
        <v>692</v>
      </c>
      <c r="I4227" s="17"/>
      <c r="J4227" s="17" t="s">
        <v>693</v>
      </c>
      <c r="K4227" s="17"/>
      <c r="L4227" s="17"/>
      <c r="M4227" s="17"/>
      <c r="N4227" s="17"/>
      <c r="O4227" s="17"/>
      <c r="P4227" s="17" t="s">
        <v>2488</v>
      </c>
      <c r="Q4227" s="17"/>
      <c r="R4227" s="25" t="str">
        <f>HYPERLINK("https://ictv.global/taxonomy/taxondetails?taxnode_id=202312403","Lucadorvirus jeeves")</f>
        <v>Lucadorvirus jeeves</v>
      </c>
      <c r="S4227" s="18" t="s">
        <v>30</v>
      </c>
      <c r="T4227" s="18" t="s">
        <v>2491</v>
      </c>
      <c r="U4227" s="18"/>
      <c r="V4227" s="18"/>
      <c r="W4227" s="18" t="s">
        <v>2492</v>
      </c>
      <c r="X4227" s="18" t="s">
        <v>42</v>
      </c>
      <c r="Y4227" s="18" t="s">
        <v>36</v>
      </c>
      <c r="Z4227" s="18" t="s">
        <v>697</v>
      </c>
      <c r="AA4227" s="21" t="str">
        <f>HYPERLINK("https://www.ncbi.nlm.nih.gov/nuccore/MN310541","NCBI Nucleotide")</f>
        <v>NCBI Nucleotide</v>
      </c>
    </row>
    <row r="4228" spans="1:27" x14ac:dyDescent="0.35">
      <c r="A4228">
        <v>1005855</v>
      </c>
      <c r="B4228">
        <v>4204</v>
      </c>
      <c r="C4228">
        <v>1</v>
      </c>
      <c r="D4228" s="17" t="s">
        <v>155</v>
      </c>
      <c r="E4228" s="17"/>
      <c r="F4228" s="17" t="s">
        <v>156</v>
      </c>
      <c r="G4228" s="17"/>
      <c r="H4228" s="17" t="s">
        <v>692</v>
      </c>
      <c r="I4228" s="17"/>
      <c r="J4228" s="17" t="s">
        <v>693</v>
      </c>
      <c r="K4228" s="17"/>
      <c r="L4228" s="17"/>
      <c r="M4228" s="17"/>
      <c r="N4228" s="17"/>
      <c r="O4228" s="17"/>
      <c r="P4228" s="17" t="s">
        <v>2488</v>
      </c>
      <c r="Q4228" s="17"/>
      <c r="R4228" s="25" t="str">
        <f>HYPERLINK("https://ictv.global/taxonomy/taxondetails?taxnode_id=202312402","Lucadorvirus luchador")</f>
        <v>Lucadorvirus luchador</v>
      </c>
      <c r="S4228" s="18" t="s">
        <v>30</v>
      </c>
      <c r="T4228" s="18" t="s">
        <v>2493</v>
      </c>
      <c r="U4228" s="18"/>
      <c r="V4228" s="18"/>
      <c r="W4228" s="18" t="s">
        <v>2494</v>
      </c>
      <c r="X4228" s="18" t="s">
        <v>42</v>
      </c>
      <c r="Y4228" s="18" t="s">
        <v>36</v>
      </c>
      <c r="Z4228" s="18" t="s">
        <v>697</v>
      </c>
      <c r="AA4228" s="21" t="str">
        <f>HYPERLINK("https://www.ncbi.nlm.nih.gov/nuccore/KR080193","NCBI Nucleotide")</f>
        <v>NCBI Nucleotide</v>
      </c>
    </row>
    <row r="4229" spans="1:27" x14ac:dyDescent="0.35">
      <c r="A4229">
        <v>1005856</v>
      </c>
      <c r="B4229">
        <v>4205</v>
      </c>
      <c r="C4229">
        <v>1</v>
      </c>
      <c r="D4229" s="17" t="s">
        <v>155</v>
      </c>
      <c r="E4229" s="17"/>
      <c r="F4229" s="17" t="s">
        <v>156</v>
      </c>
      <c r="G4229" s="17"/>
      <c r="H4229" s="17" t="s">
        <v>692</v>
      </c>
      <c r="I4229" s="17"/>
      <c r="J4229" s="17" t="s">
        <v>693</v>
      </c>
      <c r="K4229" s="17"/>
      <c r="L4229" s="17"/>
      <c r="M4229" s="17"/>
      <c r="N4229" s="17"/>
      <c r="O4229" s="17"/>
      <c r="P4229" s="17" t="s">
        <v>2495</v>
      </c>
      <c r="Q4229" s="17"/>
      <c r="R4229" s="25" t="str">
        <f>HYPERLINK("https://ictv.global/taxonomy/taxondetails?taxnode_id=202307441","Luckybarnesvirus luckybarnes")</f>
        <v>Luckybarnesvirus luckybarnes</v>
      </c>
      <c r="S4229" s="18" t="s">
        <v>30</v>
      </c>
      <c r="T4229" s="18" t="s">
        <v>2496</v>
      </c>
      <c r="U4229" s="18"/>
      <c r="V4229" s="18"/>
      <c r="W4229" s="18" t="s">
        <v>2497</v>
      </c>
      <c r="X4229" s="18" t="s">
        <v>42</v>
      </c>
      <c r="Y4229" s="18" t="s">
        <v>36</v>
      </c>
      <c r="Z4229" s="18" t="s">
        <v>697</v>
      </c>
      <c r="AA4229" s="21" t="str">
        <f>HYPERLINK("https://www.ncbi.nlm.nih.gov/nuccore/MF668275","NCBI Nucleotide")</f>
        <v>NCBI Nucleotide</v>
      </c>
    </row>
    <row r="4230" spans="1:27" x14ac:dyDescent="0.35">
      <c r="A4230">
        <v>1005857</v>
      </c>
      <c r="B4230">
        <v>4206</v>
      </c>
      <c r="C4230">
        <v>1</v>
      </c>
      <c r="D4230" s="17" t="s">
        <v>155</v>
      </c>
      <c r="E4230" s="17"/>
      <c r="F4230" s="17" t="s">
        <v>156</v>
      </c>
      <c r="G4230" s="17"/>
      <c r="H4230" s="17" t="s">
        <v>692</v>
      </c>
      <c r="I4230" s="17"/>
      <c r="J4230" s="17" t="s">
        <v>693</v>
      </c>
      <c r="K4230" s="17"/>
      <c r="L4230" s="17"/>
      <c r="M4230" s="17"/>
      <c r="N4230" s="17"/>
      <c r="O4230" s="17"/>
      <c r="P4230" s="17" t="s">
        <v>2498</v>
      </c>
      <c r="Q4230" s="17"/>
      <c r="R4230" s="25" t="str">
        <f>HYPERLINK("https://ictv.global/taxonomy/taxondetails?taxnode_id=202307448","Luckytenvirus lucky10")</f>
        <v>Luckytenvirus lucky10</v>
      </c>
      <c r="S4230" s="18" t="s">
        <v>30</v>
      </c>
      <c r="T4230" s="18" t="s">
        <v>2499</v>
      </c>
      <c r="U4230" s="18"/>
      <c r="V4230" s="18"/>
      <c r="W4230" s="18" t="s">
        <v>2500</v>
      </c>
      <c r="X4230" s="18" t="s">
        <v>42</v>
      </c>
      <c r="Y4230" s="18" t="s">
        <v>36</v>
      </c>
      <c r="Z4230" s="18" t="s">
        <v>697</v>
      </c>
      <c r="AA4230" s="21" t="str">
        <f>HYPERLINK("https://www.ncbi.nlm.nih.gov/nuccore/KU963256","NCBI Nucleotide")</f>
        <v>NCBI Nucleotide</v>
      </c>
    </row>
    <row r="4231" spans="1:27" x14ac:dyDescent="0.35">
      <c r="A4231">
        <v>1005858</v>
      </c>
      <c r="B4231">
        <v>4207</v>
      </c>
      <c r="C4231">
        <v>1</v>
      </c>
      <c r="D4231" s="17" t="s">
        <v>155</v>
      </c>
      <c r="E4231" s="17"/>
      <c r="F4231" s="17" t="s">
        <v>156</v>
      </c>
      <c r="G4231" s="17"/>
      <c r="H4231" s="17" t="s">
        <v>692</v>
      </c>
      <c r="I4231" s="17"/>
      <c r="J4231" s="17" t="s">
        <v>693</v>
      </c>
      <c r="K4231" s="17"/>
      <c r="L4231" s="17"/>
      <c r="M4231" s="17"/>
      <c r="N4231" s="17"/>
      <c r="O4231" s="17"/>
      <c r="P4231" s="17" t="s">
        <v>2501</v>
      </c>
      <c r="Q4231" s="17"/>
      <c r="R4231" s="25" t="str">
        <f>HYPERLINK("https://ictv.global/taxonomy/taxondetails?taxnode_id=202314660","Ludhianavirus D3")</f>
        <v>Ludhianavirus D3</v>
      </c>
      <c r="S4231" s="18" t="s">
        <v>30</v>
      </c>
      <c r="T4231" s="18" t="s">
        <v>2502</v>
      </c>
      <c r="U4231" s="18"/>
      <c r="V4231" s="18"/>
      <c r="W4231" s="18" t="s">
        <v>2503</v>
      </c>
      <c r="X4231" s="18" t="s">
        <v>42</v>
      </c>
      <c r="Y4231" s="18" t="s">
        <v>36</v>
      </c>
      <c r="Z4231" s="18" t="s">
        <v>697</v>
      </c>
      <c r="AA4231" s="21" t="str">
        <f>HYPERLINK("https://www.ncbi.nlm.nih.gov/nuccore/MN102098","NCBI Nucleotide")</f>
        <v>NCBI Nucleotide</v>
      </c>
    </row>
    <row r="4232" spans="1:27" x14ac:dyDescent="0.35">
      <c r="A4232">
        <v>1005859</v>
      </c>
      <c r="B4232">
        <v>4208</v>
      </c>
      <c r="C4232">
        <v>1</v>
      </c>
      <c r="D4232" s="17" t="s">
        <v>155</v>
      </c>
      <c r="E4232" s="17"/>
      <c r="F4232" s="17" t="s">
        <v>156</v>
      </c>
      <c r="G4232" s="17"/>
      <c r="H4232" s="17" t="s">
        <v>692</v>
      </c>
      <c r="I4232" s="17"/>
      <c r="J4232" s="17" t="s">
        <v>693</v>
      </c>
      <c r="K4232" s="17"/>
      <c r="L4232" s="17"/>
      <c r="M4232" s="17"/>
      <c r="N4232" s="17"/>
      <c r="O4232" s="17"/>
      <c r="P4232" s="17" t="s">
        <v>2501</v>
      </c>
      <c r="Q4232" s="17"/>
      <c r="R4232" s="25" t="str">
        <f>HYPERLINK("https://ictv.global/taxonomy/taxondetails?taxnode_id=202314661","Ludhianavirus D6")</f>
        <v>Ludhianavirus D6</v>
      </c>
      <c r="S4232" s="18" t="s">
        <v>30</v>
      </c>
      <c r="T4232" s="18" t="s">
        <v>2504</v>
      </c>
      <c r="U4232" s="18"/>
      <c r="V4232" s="18"/>
      <c r="W4232" s="18" t="s">
        <v>2505</v>
      </c>
      <c r="X4232" s="18" t="s">
        <v>42</v>
      </c>
      <c r="Y4232" s="18" t="s">
        <v>36</v>
      </c>
      <c r="Z4232" s="18" t="s">
        <v>697</v>
      </c>
      <c r="AA4232" s="21" t="str">
        <f>HYPERLINK("https://www.ncbi.nlm.nih.gov/nuccore/MN131137","NCBI Nucleotide")</f>
        <v>NCBI Nucleotide</v>
      </c>
    </row>
    <row r="4233" spans="1:27" x14ac:dyDescent="0.35">
      <c r="A4233">
        <v>1005860</v>
      </c>
      <c r="B4233">
        <v>4209</v>
      </c>
      <c r="C4233">
        <v>1</v>
      </c>
      <c r="D4233" s="17" t="s">
        <v>155</v>
      </c>
      <c r="E4233" s="17"/>
      <c r="F4233" s="17" t="s">
        <v>156</v>
      </c>
      <c r="G4233" s="17"/>
      <c r="H4233" s="17" t="s">
        <v>692</v>
      </c>
      <c r="I4233" s="17"/>
      <c r="J4233" s="17" t="s">
        <v>693</v>
      </c>
      <c r="K4233" s="17"/>
      <c r="L4233" s="17"/>
      <c r="M4233" s="17"/>
      <c r="N4233" s="17"/>
      <c r="O4233" s="17"/>
      <c r="P4233" s="17" t="s">
        <v>2501</v>
      </c>
      <c r="Q4233" s="17"/>
      <c r="R4233" s="25" t="str">
        <f>HYPERLINK("https://ictv.global/taxonomy/taxondetails?taxnode_id=202314659","Ludhianavirus LAh10")</f>
        <v>Ludhianavirus LAh10</v>
      </c>
      <c r="S4233" s="18" t="s">
        <v>30</v>
      </c>
      <c r="T4233" s="18" t="s">
        <v>2506</v>
      </c>
      <c r="U4233" s="18"/>
      <c r="V4233" s="18"/>
      <c r="W4233" s="18" t="s">
        <v>2507</v>
      </c>
      <c r="X4233" s="18" t="s">
        <v>42</v>
      </c>
      <c r="Y4233" s="18" t="s">
        <v>36</v>
      </c>
      <c r="Z4233" s="18" t="s">
        <v>697</v>
      </c>
      <c r="AA4233" s="21" t="str">
        <f>HYPERLINK("https://www.ncbi.nlm.nih.gov/nuccore/MK838116","NCBI Nucleotide")</f>
        <v>NCBI Nucleotide</v>
      </c>
    </row>
    <row r="4234" spans="1:27" x14ac:dyDescent="0.35">
      <c r="A4234">
        <v>1005861</v>
      </c>
      <c r="B4234">
        <v>4210</v>
      </c>
      <c r="C4234">
        <v>1</v>
      </c>
      <c r="D4234" s="17" t="s">
        <v>155</v>
      </c>
      <c r="E4234" s="17"/>
      <c r="F4234" s="17" t="s">
        <v>156</v>
      </c>
      <c r="G4234" s="17"/>
      <c r="H4234" s="17" t="s">
        <v>692</v>
      </c>
      <c r="I4234" s="17"/>
      <c r="J4234" s="17" t="s">
        <v>693</v>
      </c>
      <c r="K4234" s="17"/>
      <c r="L4234" s="17"/>
      <c r="M4234" s="17"/>
      <c r="N4234" s="17"/>
      <c r="O4234" s="17"/>
      <c r="P4234" s="17" t="s">
        <v>2508</v>
      </c>
      <c r="Q4234" s="17"/>
      <c r="R4234" s="25" t="str">
        <f>HYPERLINK("https://ictv.global/taxonomy/taxondetails?taxnode_id=202308054","Lughvirus lugh")</f>
        <v>Lughvirus lugh</v>
      </c>
      <c r="S4234" s="18" t="s">
        <v>30</v>
      </c>
      <c r="T4234" s="18" t="s">
        <v>2509</v>
      </c>
      <c r="U4234" s="18"/>
      <c r="V4234" s="18"/>
      <c r="W4234" s="18" t="s">
        <v>2510</v>
      </c>
      <c r="X4234" s="18" t="s">
        <v>42</v>
      </c>
      <c r="Y4234" s="18" t="s">
        <v>36</v>
      </c>
      <c r="Z4234" s="18" t="s">
        <v>697</v>
      </c>
      <c r="AA4234" s="21" t="str">
        <f>HYPERLINK("https://www.ncbi.nlm.nih.gov/nuccore/MG711464","NCBI Nucleotide")</f>
        <v>NCBI Nucleotide</v>
      </c>
    </row>
    <row r="4235" spans="1:27" x14ac:dyDescent="0.35">
      <c r="A4235">
        <v>1005862</v>
      </c>
      <c r="B4235">
        <v>4211</v>
      </c>
      <c r="C4235">
        <v>1</v>
      </c>
      <c r="D4235" s="17" t="s">
        <v>155</v>
      </c>
      <c r="E4235" s="17"/>
      <c r="F4235" s="17" t="s">
        <v>156</v>
      </c>
      <c r="G4235" s="17"/>
      <c r="H4235" s="17" t="s">
        <v>692</v>
      </c>
      <c r="I4235" s="17"/>
      <c r="J4235" s="17" t="s">
        <v>693</v>
      </c>
      <c r="K4235" s="17"/>
      <c r="L4235" s="17"/>
      <c r="M4235" s="17"/>
      <c r="N4235" s="17"/>
      <c r="O4235" s="17"/>
      <c r="P4235" s="17" t="s">
        <v>2511</v>
      </c>
      <c r="Q4235" s="17"/>
      <c r="R4235" s="25" t="str">
        <f>HYPERLINK("https://ictv.global/taxonomy/taxondetails?taxnode_id=202301353","Lwoffvirus BMBtp2")</f>
        <v>Lwoffvirus BMBtp2</v>
      </c>
      <c r="S4235" s="18" t="s">
        <v>30</v>
      </c>
      <c r="T4235" s="18" t="s">
        <v>2512</v>
      </c>
      <c r="U4235" s="18"/>
      <c r="V4235" s="18"/>
      <c r="W4235" s="18" t="s">
        <v>2513</v>
      </c>
      <c r="X4235" s="18" t="s">
        <v>42</v>
      </c>
      <c r="Y4235" s="18" t="s">
        <v>36</v>
      </c>
      <c r="Z4235" s="18" t="s">
        <v>697</v>
      </c>
      <c r="AA4235" s="21" t="str">
        <f>HYPERLINK("https://www.ncbi.nlm.nih.gov/nuccore/JX887877","NCBI Nucleotide")</f>
        <v>NCBI Nucleotide</v>
      </c>
    </row>
    <row r="4236" spans="1:27" x14ac:dyDescent="0.35">
      <c r="A4236">
        <v>1005863</v>
      </c>
      <c r="B4236">
        <v>4212</v>
      </c>
      <c r="C4236">
        <v>1</v>
      </c>
      <c r="D4236" s="17" t="s">
        <v>155</v>
      </c>
      <c r="E4236" s="17"/>
      <c r="F4236" s="17" t="s">
        <v>156</v>
      </c>
      <c r="G4236" s="17"/>
      <c r="H4236" s="17" t="s">
        <v>692</v>
      </c>
      <c r="I4236" s="17"/>
      <c r="J4236" s="17" t="s">
        <v>693</v>
      </c>
      <c r="K4236" s="17"/>
      <c r="L4236" s="17"/>
      <c r="M4236" s="17"/>
      <c r="N4236" s="17"/>
      <c r="O4236" s="17"/>
      <c r="P4236" s="17" t="s">
        <v>2511</v>
      </c>
      <c r="Q4236" s="17"/>
      <c r="R4236" s="25" t="str">
        <f>HYPERLINK("https://ictv.global/taxonomy/taxondetails?taxnode_id=202301354","Lwoffvirus TP21")</f>
        <v>Lwoffvirus TP21</v>
      </c>
      <c r="S4236" s="18" t="s">
        <v>30</v>
      </c>
      <c r="T4236" s="18" t="s">
        <v>2514</v>
      </c>
      <c r="U4236" s="18"/>
      <c r="V4236" s="18"/>
      <c r="W4236" s="18" t="s">
        <v>2515</v>
      </c>
      <c r="X4236" s="18" t="s">
        <v>42</v>
      </c>
      <c r="Y4236" s="18" t="s">
        <v>36</v>
      </c>
      <c r="Z4236" s="18" t="s">
        <v>697</v>
      </c>
      <c r="AA4236" s="21" t="str">
        <f>HYPERLINK("https://www.ncbi.nlm.nih.gov/nuccore/EU887664","NCBI Nucleotide")</f>
        <v>NCBI Nucleotide</v>
      </c>
    </row>
    <row r="4237" spans="1:27" x14ac:dyDescent="0.35">
      <c r="A4237">
        <v>1005864</v>
      </c>
      <c r="B4237">
        <v>4213</v>
      </c>
      <c r="C4237">
        <v>1</v>
      </c>
      <c r="D4237" s="17" t="s">
        <v>155</v>
      </c>
      <c r="E4237" s="17"/>
      <c r="F4237" s="17" t="s">
        <v>156</v>
      </c>
      <c r="G4237" s="17"/>
      <c r="H4237" s="17" t="s">
        <v>692</v>
      </c>
      <c r="I4237" s="17"/>
      <c r="J4237" s="17" t="s">
        <v>693</v>
      </c>
      <c r="K4237" s="17"/>
      <c r="L4237" s="17"/>
      <c r="M4237" s="17"/>
      <c r="N4237" s="17"/>
      <c r="O4237" s="17"/>
      <c r="P4237" s="17" t="s">
        <v>2516</v>
      </c>
      <c r="Q4237" s="17"/>
      <c r="R4237" s="25" t="str">
        <f>HYPERLINK("https://ictv.global/taxonomy/taxondetails?taxnode_id=202314663","Maaswegvirus Kp24")</f>
        <v>Maaswegvirus Kp24</v>
      </c>
      <c r="S4237" s="18" t="s">
        <v>30</v>
      </c>
      <c r="T4237" s="18" t="s">
        <v>2517</v>
      </c>
      <c r="U4237" s="18"/>
      <c r="V4237" s="18"/>
      <c r="W4237" s="18" t="s">
        <v>2518</v>
      </c>
      <c r="X4237" s="18" t="s">
        <v>42</v>
      </c>
      <c r="Y4237" s="18" t="s">
        <v>36</v>
      </c>
      <c r="Z4237" s="18" t="s">
        <v>697</v>
      </c>
      <c r="AA4237" s="21" t="str">
        <f>HYPERLINK("https://www.ncbi.nlm.nih.gov/nuccore/MW394391","NCBI Nucleotide")</f>
        <v>NCBI Nucleotide</v>
      </c>
    </row>
    <row r="4238" spans="1:27" x14ac:dyDescent="0.35">
      <c r="A4238">
        <v>1005865</v>
      </c>
      <c r="B4238">
        <v>4214</v>
      </c>
      <c r="C4238">
        <v>1</v>
      </c>
      <c r="D4238" s="17" t="s">
        <v>155</v>
      </c>
      <c r="E4238" s="17"/>
      <c r="F4238" s="17" t="s">
        <v>156</v>
      </c>
      <c r="G4238" s="17"/>
      <c r="H4238" s="17" t="s">
        <v>692</v>
      </c>
      <c r="I4238" s="17"/>
      <c r="J4238" s="17" t="s">
        <v>693</v>
      </c>
      <c r="K4238" s="17"/>
      <c r="L4238" s="17"/>
      <c r="M4238" s="17"/>
      <c r="N4238" s="17"/>
      <c r="O4238" s="17"/>
      <c r="P4238" s="17" t="s">
        <v>2519</v>
      </c>
      <c r="Q4238" s="17"/>
      <c r="R4238" s="25" t="str">
        <f>HYPERLINK("https://ictv.global/taxonomy/taxondetails?taxnode_id=202313620","Macdonaldcampvirus SB28")</f>
        <v>Macdonaldcampvirus SB28</v>
      </c>
      <c r="S4238" s="18" t="s">
        <v>30</v>
      </c>
      <c r="T4238" s="18" t="s">
        <v>2520</v>
      </c>
      <c r="U4238" s="18"/>
      <c r="V4238" s="18"/>
      <c r="W4238" s="18" t="s">
        <v>2521</v>
      </c>
      <c r="X4238" s="18" t="s">
        <v>42</v>
      </c>
      <c r="Y4238" s="18" t="s">
        <v>36</v>
      </c>
      <c r="Z4238" s="18" t="s">
        <v>697</v>
      </c>
      <c r="AA4238" s="21" t="str">
        <f>HYPERLINK("https://www.ncbi.nlm.nih.gov/nuccore/MK947460","NCBI Nucleotide")</f>
        <v>NCBI Nucleotide</v>
      </c>
    </row>
    <row r="4239" spans="1:27" x14ac:dyDescent="0.35">
      <c r="A4239">
        <v>1005866</v>
      </c>
      <c r="B4239">
        <v>4215</v>
      </c>
      <c r="C4239">
        <v>1</v>
      </c>
      <c r="D4239" s="17" t="s">
        <v>155</v>
      </c>
      <c r="E4239" s="17"/>
      <c r="F4239" s="17" t="s">
        <v>156</v>
      </c>
      <c r="G4239" s="17"/>
      <c r="H4239" s="17" t="s">
        <v>692</v>
      </c>
      <c r="I4239" s="17"/>
      <c r="J4239" s="17" t="s">
        <v>693</v>
      </c>
      <c r="K4239" s="17"/>
      <c r="L4239" s="17"/>
      <c r="M4239" s="17"/>
      <c r="N4239" s="17"/>
      <c r="O4239" s="17"/>
      <c r="P4239" s="17" t="s">
        <v>2519</v>
      </c>
      <c r="Q4239" s="17"/>
      <c r="R4239" s="25" t="str">
        <f>HYPERLINK("https://ictv.global/taxonomy/taxondetails?taxnode_id=202313621","Macdonaldcampvirus ViIIE1")</f>
        <v>Macdonaldcampvirus ViIIE1</v>
      </c>
      <c r="S4239" s="18" t="s">
        <v>30</v>
      </c>
      <c r="T4239" s="18" t="s">
        <v>2522</v>
      </c>
      <c r="U4239" s="18"/>
      <c r="V4239" s="18"/>
      <c r="W4239" s="18" t="s">
        <v>2523</v>
      </c>
      <c r="X4239" s="18" t="s">
        <v>42</v>
      </c>
      <c r="Y4239" s="18" t="s">
        <v>36</v>
      </c>
      <c r="Z4239" s="18" t="s">
        <v>697</v>
      </c>
      <c r="AA4239" s="21" t="str">
        <f>HYPERLINK("https://www.ncbi.nlm.nih.gov/nuccore/AM491472","NCBI Nucleotide")</f>
        <v>NCBI Nucleotide</v>
      </c>
    </row>
    <row r="4240" spans="1:27" x14ac:dyDescent="0.35">
      <c r="A4240">
        <v>1005868</v>
      </c>
      <c r="B4240">
        <v>4216</v>
      </c>
      <c r="C4240">
        <v>1</v>
      </c>
      <c r="D4240" s="17" t="s">
        <v>155</v>
      </c>
      <c r="E4240" s="17"/>
      <c r="F4240" s="17" t="s">
        <v>156</v>
      </c>
      <c r="G4240" s="17"/>
      <c r="H4240" s="17" t="s">
        <v>692</v>
      </c>
      <c r="I4240" s="17"/>
      <c r="J4240" s="17" t="s">
        <v>693</v>
      </c>
      <c r="K4240" s="17"/>
      <c r="L4240" s="17"/>
      <c r="M4240" s="17"/>
      <c r="N4240" s="17"/>
      <c r="O4240" s="17"/>
      <c r="P4240" s="17" t="s">
        <v>2527</v>
      </c>
      <c r="Q4240" s="17"/>
      <c r="R4240" s="25" t="str">
        <f>HYPERLINK("https://ictv.global/taxonomy/taxondetails?taxnode_id=202306987","Magadivirus Mgbh1")</f>
        <v>Magadivirus Mgbh1</v>
      </c>
      <c r="S4240" s="18" t="s">
        <v>30</v>
      </c>
      <c r="T4240" s="18" t="s">
        <v>2528</v>
      </c>
      <c r="U4240" s="18"/>
      <c r="V4240" s="18"/>
      <c r="W4240" s="18" t="s">
        <v>2529</v>
      </c>
      <c r="X4240" s="18" t="s">
        <v>42</v>
      </c>
      <c r="Y4240" s="18" t="s">
        <v>36</v>
      </c>
      <c r="Z4240" s="18" t="s">
        <v>697</v>
      </c>
      <c r="AA4240" s="21" t="str">
        <f>HYPERLINK("https://www.ncbi.nlm.nih.gov/nuccore/KU665491","NCBI Nucleotide")</f>
        <v>NCBI Nucleotide</v>
      </c>
    </row>
    <row r="4241" spans="1:27" x14ac:dyDescent="0.35">
      <c r="A4241">
        <v>1005869</v>
      </c>
      <c r="B4241">
        <v>4217</v>
      </c>
      <c r="C4241">
        <v>1</v>
      </c>
      <c r="D4241" s="17" t="s">
        <v>155</v>
      </c>
      <c r="E4241" s="17"/>
      <c r="F4241" s="17" t="s">
        <v>156</v>
      </c>
      <c r="G4241" s="17"/>
      <c r="H4241" s="17" t="s">
        <v>692</v>
      </c>
      <c r="I4241" s="17"/>
      <c r="J4241" s="17" t="s">
        <v>693</v>
      </c>
      <c r="K4241" s="17"/>
      <c r="L4241" s="17"/>
      <c r="M4241" s="17"/>
      <c r="N4241" s="17"/>
      <c r="O4241" s="17"/>
      <c r="P4241" s="17" t="s">
        <v>2530</v>
      </c>
      <c r="Q4241" s="17"/>
      <c r="R4241" s="25" t="str">
        <f>HYPERLINK("https://ictv.global/taxonomy/taxondetails?taxnode_id=202314666","Magiavirus magia")</f>
        <v>Magiavirus magia</v>
      </c>
      <c r="S4241" s="18" t="s">
        <v>30</v>
      </c>
      <c r="T4241" s="18" t="s">
        <v>2531</v>
      </c>
      <c r="U4241" s="18"/>
      <c r="V4241" s="18"/>
      <c r="W4241" s="18" t="s">
        <v>2532</v>
      </c>
      <c r="X4241" s="18" t="s">
        <v>42</v>
      </c>
      <c r="Y4241" s="18" t="s">
        <v>36</v>
      </c>
      <c r="Z4241" s="18" t="s">
        <v>697</v>
      </c>
      <c r="AA4241" s="21" t="str">
        <f>HYPERLINK("https://www.ncbi.nlm.nih.gov/nuccore/MT701587","NCBI Nucleotide")</f>
        <v>NCBI Nucleotide</v>
      </c>
    </row>
    <row r="4242" spans="1:27" x14ac:dyDescent="0.35">
      <c r="A4242">
        <v>1005870</v>
      </c>
      <c r="B4242">
        <v>4218</v>
      </c>
      <c r="C4242">
        <v>1</v>
      </c>
      <c r="D4242" s="17" t="s">
        <v>155</v>
      </c>
      <c r="E4242" s="17"/>
      <c r="F4242" s="17" t="s">
        <v>156</v>
      </c>
      <c r="G4242" s="17"/>
      <c r="H4242" s="17" t="s">
        <v>692</v>
      </c>
      <c r="I4242" s="17"/>
      <c r="J4242" s="17" t="s">
        <v>693</v>
      </c>
      <c r="K4242" s="17"/>
      <c r="L4242" s="17"/>
      <c r="M4242" s="17"/>
      <c r="N4242" s="17"/>
      <c r="O4242" s="17"/>
      <c r="P4242" s="17" t="s">
        <v>2533</v>
      </c>
      <c r="Q4242" s="17"/>
      <c r="R4242" s="25" t="str">
        <f>HYPERLINK("https://ictv.global/taxonomy/taxondetails?taxnode_id=202307892","Majavirus maja")</f>
        <v>Majavirus maja</v>
      </c>
      <c r="S4242" s="18" t="s">
        <v>30</v>
      </c>
      <c r="T4242" s="18" t="s">
        <v>2534</v>
      </c>
      <c r="U4242" s="18"/>
      <c r="V4242" s="18"/>
      <c r="W4242" s="18" t="s">
        <v>2535</v>
      </c>
      <c r="X4242" s="18" t="s">
        <v>42</v>
      </c>
      <c r="Y4242" s="18" t="s">
        <v>36</v>
      </c>
      <c r="Z4242" s="18" t="s">
        <v>697</v>
      </c>
      <c r="AA4242" s="21" t="str">
        <f>HYPERLINK("https://www.ncbi.nlm.nih.gov/nuccore/MK279899","NCBI Nucleotide")</f>
        <v>NCBI Nucleotide</v>
      </c>
    </row>
    <row r="4243" spans="1:27" x14ac:dyDescent="0.35">
      <c r="A4243">
        <v>1024973</v>
      </c>
      <c r="B4243">
        <v>4219</v>
      </c>
      <c r="C4243">
        <v>1</v>
      </c>
      <c r="D4243" s="17" t="s">
        <v>155</v>
      </c>
      <c r="E4243" s="17"/>
      <c r="F4243" s="17" t="s">
        <v>156</v>
      </c>
      <c r="G4243" s="17"/>
      <c r="H4243" s="17" t="s">
        <v>692</v>
      </c>
      <c r="I4243" s="17"/>
      <c r="J4243" s="17" t="s">
        <v>693</v>
      </c>
      <c r="K4243" s="17"/>
      <c r="L4243" s="17"/>
      <c r="M4243" s="17"/>
      <c r="N4243" s="17"/>
      <c r="O4243" s="17"/>
      <c r="P4243" s="17" t="s">
        <v>39992</v>
      </c>
      <c r="Q4243" s="17"/>
      <c r="R4243" s="25" t="str">
        <f>HYPERLINK("https://ictv.global/taxonomy/taxondetails?taxnode_id=202317762","Malagasyrosevirus malagasyrose")</f>
        <v>Malagasyrosevirus malagasyrose</v>
      </c>
      <c r="S4243" s="18" t="s">
        <v>30</v>
      </c>
      <c r="T4243" s="18" t="s">
        <v>39993</v>
      </c>
      <c r="U4243" s="18"/>
      <c r="V4243" s="18"/>
      <c r="W4243" s="18" t="s">
        <v>48552</v>
      </c>
      <c r="X4243" s="18" t="s">
        <v>42</v>
      </c>
      <c r="Y4243" s="18" t="s">
        <v>36</v>
      </c>
      <c r="Z4243" s="18" t="s">
        <v>697</v>
      </c>
      <c r="AA4243" s="21" t="str">
        <f>HYPERLINK("https://www.ncbi.nlm.nih.gov/nuccore/MN234170","NCBI Nucleotide")</f>
        <v>NCBI Nucleotide</v>
      </c>
    </row>
    <row r="4244" spans="1:27" x14ac:dyDescent="0.35">
      <c r="A4244">
        <v>1005871</v>
      </c>
      <c r="B4244">
        <v>4220</v>
      </c>
      <c r="C4244">
        <v>1</v>
      </c>
      <c r="D4244" s="17" t="s">
        <v>155</v>
      </c>
      <c r="E4244" s="17"/>
      <c r="F4244" s="17" t="s">
        <v>156</v>
      </c>
      <c r="G4244" s="17"/>
      <c r="H4244" s="17" t="s">
        <v>692</v>
      </c>
      <c r="I4244" s="17"/>
      <c r="J4244" s="17" t="s">
        <v>693</v>
      </c>
      <c r="K4244" s="17"/>
      <c r="L4244" s="17"/>
      <c r="M4244" s="17"/>
      <c r="N4244" s="17"/>
      <c r="O4244" s="17"/>
      <c r="P4244" s="17" t="s">
        <v>2536</v>
      </c>
      <c r="Q4244" s="17"/>
      <c r="R4244" s="25" t="str">
        <f>HYPERLINK("https://ictv.global/taxonomy/taxondetails?taxnode_id=202312406","Manovirus Mano")</f>
        <v>Manovirus Mano</v>
      </c>
      <c r="S4244" s="18" t="s">
        <v>30</v>
      </c>
      <c r="T4244" s="18" t="s">
        <v>2537</v>
      </c>
      <c r="U4244" s="18"/>
      <c r="V4244" s="18"/>
      <c r="W4244" s="18" t="s">
        <v>2538</v>
      </c>
      <c r="X4244" s="18" t="s">
        <v>42</v>
      </c>
      <c r="Y4244" s="18" t="s">
        <v>36</v>
      </c>
      <c r="Z4244" s="18" t="s">
        <v>697</v>
      </c>
      <c r="AA4244" s="21" t="str">
        <f>HYPERLINK("https://www.ncbi.nlm.nih.gov/nuccore/MT708550","NCBI Nucleotide")</f>
        <v>NCBI Nucleotide</v>
      </c>
    </row>
    <row r="4245" spans="1:27" x14ac:dyDescent="0.35">
      <c r="A4245">
        <v>1005872</v>
      </c>
      <c r="B4245">
        <v>4221</v>
      </c>
      <c r="C4245">
        <v>1</v>
      </c>
      <c r="D4245" s="17" t="s">
        <v>155</v>
      </c>
      <c r="E4245" s="17"/>
      <c r="F4245" s="17" t="s">
        <v>156</v>
      </c>
      <c r="G4245" s="17"/>
      <c r="H4245" s="17" t="s">
        <v>692</v>
      </c>
      <c r="I4245" s="17"/>
      <c r="J4245" s="17" t="s">
        <v>693</v>
      </c>
      <c r="K4245" s="17"/>
      <c r="L4245" s="17"/>
      <c r="M4245" s="17"/>
      <c r="N4245" s="17"/>
      <c r="O4245" s="17"/>
      <c r="P4245" s="17" t="s">
        <v>2539</v>
      </c>
      <c r="Q4245" s="17"/>
      <c r="R4245" s="25" t="str">
        <f>HYPERLINK("https://ictv.global/taxonomy/taxondetails?taxnode_id=202300969","Mapvirus Ff47")</f>
        <v>Mapvirus Ff47</v>
      </c>
      <c r="S4245" s="18" t="s">
        <v>30</v>
      </c>
      <c r="T4245" s="18" t="s">
        <v>2540</v>
      </c>
      <c r="U4245" s="18"/>
      <c r="V4245" s="18"/>
      <c r="W4245" s="18" t="s">
        <v>2541</v>
      </c>
      <c r="X4245" s="18" t="s">
        <v>42</v>
      </c>
      <c r="Y4245" s="18" t="s">
        <v>36</v>
      </c>
      <c r="Z4245" s="18" t="s">
        <v>697</v>
      </c>
      <c r="AA4245" s="21" t="str">
        <f>HYPERLINK("https://www.ncbi.nlm.nih.gov/nuccore/JX901189","NCBI Nucleotide")</f>
        <v>NCBI Nucleotide</v>
      </c>
    </row>
    <row r="4246" spans="1:27" x14ac:dyDescent="0.35">
      <c r="A4246">
        <v>1005873</v>
      </c>
      <c r="B4246">
        <v>4222</v>
      </c>
      <c r="C4246">
        <v>1</v>
      </c>
      <c r="D4246" s="17" t="s">
        <v>155</v>
      </c>
      <c r="E4246" s="17"/>
      <c r="F4246" s="17" t="s">
        <v>156</v>
      </c>
      <c r="G4246" s="17"/>
      <c r="H4246" s="17" t="s">
        <v>692</v>
      </c>
      <c r="I4246" s="17"/>
      <c r="J4246" s="17" t="s">
        <v>693</v>
      </c>
      <c r="K4246" s="17"/>
      <c r="L4246" s="17"/>
      <c r="M4246" s="17"/>
      <c r="N4246" s="17"/>
      <c r="O4246" s="17"/>
      <c r="P4246" s="17" t="s">
        <v>2539</v>
      </c>
      <c r="Q4246" s="17"/>
      <c r="R4246" s="25" t="str">
        <f>HYPERLINK("https://ictv.global/taxonomy/taxondetails?taxnode_id=202300970","Mapvirus muddy")</f>
        <v>Mapvirus muddy</v>
      </c>
      <c r="S4246" s="18" t="s">
        <v>30</v>
      </c>
      <c r="T4246" s="18" t="s">
        <v>2542</v>
      </c>
      <c r="U4246" s="18"/>
      <c r="V4246" s="18"/>
      <c r="W4246" s="18" t="s">
        <v>2543</v>
      </c>
      <c r="X4246" s="18" t="s">
        <v>42</v>
      </c>
      <c r="Y4246" s="18" t="s">
        <v>36</v>
      </c>
      <c r="Z4246" s="18" t="s">
        <v>697</v>
      </c>
      <c r="AA4246" s="21" t="str">
        <f>HYPERLINK("https://www.ncbi.nlm.nih.gov/nuccore/KF024728","NCBI Nucleotide")</f>
        <v>NCBI Nucleotide</v>
      </c>
    </row>
    <row r="4247" spans="1:27" x14ac:dyDescent="0.35">
      <c r="A4247">
        <v>1005874</v>
      </c>
      <c r="B4247">
        <v>4223</v>
      </c>
      <c r="C4247">
        <v>1</v>
      </c>
      <c r="D4247" s="17" t="s">
        <v>155</v>
      </c>
      <c r="E4247" s="17"/>
      <c r="F4247" s="17" t="s">
        <v>156</v>
      </c>
      <c r="G4247" s="17"/>
      <c r="H4247" s="17" t="s">
        <v>692</v>
      </c>
      <c r="I4247" s="17"/>
      <c r="J4247" s="17" t="s">
        <v>693</v>
      </c>
      <c r="K4247" s="17"/>
      <c r="L4247" s="17"/>
      <c r="M4247" s="17"/>
      <c r="N4247" s="17"/>
      <c r="O4247" s="17"/>
      <c r="P4247" s="17" t="s">
        <v>2544</v>
      </c>
      <c r="Q4247" s="17"/>
      <c r="R4247" s="25" t="str">
        <f>HYPERLINK("https://ictv.global/taxonomy/taxondetails?taxnode_id=202301318","Mardecavirus MAR10")</f>
        <v>Mardecavirus MAR10</v>
      </c>
      <c r="S4247" s="18" t="s">
        <v>30</v>
      </c>
      <c r="T4247" s="18" t="s">
        <v>2545</v>
      </c>
      <c r="U4247" s="18"/>
      <c r="V4247" s="18"/>
      <c r="W4247" s="18" t="s">
        <v>2546</v>
      </c>
      <c r="X4247" s="18" t="s">
        <v>42</v>
      </c>
      <c r="Y4247" s="18" t="s">
        <v>36</v>
      </c>
      <c r="Z4247" s="18" t="s">
        <v>697</v>
      </c>
      <c r="AA4247" s="21" t="str">
        <f>HYPERLINK("https://www.ncbi.nlm.nih.gov/nuccore/JX556418","NCBI Nucleotide")</f>
        <v>NCBI Nucleotide</v>
      </c>
    </row>
    <row r="4248" spans="1:27" x14ac:dyDescent="0.35">
      <c r="A4248">
        <v>1005875</v>
      </c>
      <c r="B4248">
        <v>4224</v>
      </c>
      <c r="C4248">
        <v>1</v>
      </c>
      <c r="D4248" s="17" t="s">
        <v>155</v>
      </c>
      <c r="E4248" s="17"/>
      <c r="F4248" s="17" t="s">
        <v>156</v>
      </c>
      <c r="G4248" s="17"/>
      <c r="H4248" s="17" t="s">
        <v>692</v>
      </c>
      <c r="I4248" s="17"/>
      <c r="J4248" s="17" t="s">
        <v>693</v>
      </c>
      <c r="K4248" s="17"/>
      <c r="L4248" s="17"/>
      <c r="M4248" s="17"/>
      <c r="N4248" s="17"/>
      <c r="O4248" s="17"/>
      <c r="P4248" s="17" t="s">
        <v>2544</v>
      </c>
      <c r="Q4248" s="17"/>
      <c r="R4248" s="25" t="str">
        <f>HYPERLINK("https://ictv.global/taxonomy/taxondetails?taxnode_id=202301319","Mardecavirus SSP002")</f>
        <v>Mardecavirus SSP002</v>
      </c>
      <c r="S4248" s="18" t="s">
        <v>30</v>
      </c>
      <c r="T4248" s="18" t="s">
        <v>2547</v>
      </c>
      <c r="U4248" s="18"/>
      <c r="V4248" s="18"/>
      <c r="W4248" s="18" t="s">
        <v>2548</v>
      </c>
      <c r="X4248" s="18" t="s">
        <v>42</v>
      </c>
      <c r="Y4248" s="18" t="s">
        <v>36</v>
      </c>
      <c r="Z4248" s="18" t="s">
        <v>697</v>
      </c>
      <c r="AA4248" s="21" t="str">
        <f>HYPERLINK("https://www.ncbi.nlm.nih.gov/nuccore/JQ692107","NCBI Nucleotide")</f>
        <v>NCBI Nucleotide</v>
      </c>
    </row>
    <row r="4249" spans="1:27" x14ac:dyDescent="0.35">
      <c r="A4249">
        <v>1005876</v>
      </c>
      <c r="B4249">
        <v>4225</v>
      </c>
      <c r="C4249">
        <v>1</v>
      </c>
      <c r="D4249" s="17" t="s">
        <v>155</v>
      </c>
      <c r="E4249" s="17"/>
      <c r="F4249" s="17" t="s">
        <v>156</v>
      </c>
      <c r="G4249" s="17"/>
      <c r="H4249" s="17" t="s">
        <v>692</v>
      </c>
      <c r="I4249" s="17"/>
      <c r="J4249" s="17" t="s">
        <v>693</v>
      </c>
      <c r="K4249" s="17"/>
      <c r="L4249" s="17"/>
      <c r="M4249" s="17"/>
      <c r="N4249" s="17"/>
      <c r="O4249" s="17"/>
      <c r="P4249" s="17" t="s">
        <v>2549</v>
      </c>
      <c r="Q4249" s="17"/>
      <c r="R4249" s="25" t="str">
        <f>HYPERLINK("https://ictv.global/taxonomy/taxondetails?taxnode_id=202314669","Mareflavirus ZP6")</f>
        <v>Mareflavirus ZP6</v>
      </c>
      <c r="S4249" s="18" t="s">
        <v>30</v>
      </c>
      <c r="T4249" s="18" t="s">
        <v>2550</v>
      </c>
      <c r="U4249" s="18" t="s">
        <v>2551</v>
      </c>
      <c r="V4249" s="18"/>
      <c r="W4249" s="18" t="s">
        <v>2552</v>
      </c>
      <c r="X4249" s="18" t="s">
        <v>42</v>
      </c>
      <c r="Y4249" s="18" t="s">
        <v>36</v>
      </c>
      <c r="Z4249" s="18" t="s">
        <v>697</v>
      </c>
      <c r="AA4249" s="21" t="str">
        <f>HYPERLINK("https://www.ncbi.nlm.nih.gov/nuccore/MK203850","NCBI Nucleotide")</f>
        <v>NCBI Nucleotide</v>
      </c>
    </row>
    <row r="4250" spans="1:27" x14ac:dyDescent="0.35">
      <c r="A4250">
        <v>1005877</v>
      </c>
      <c r="B4250">
        <v>4226</v>
      </c>
      <c r="C4250">
        <v>1</v>
      </c>
      <c r="D4250" s="17" t="s">
        <v>155</v>
      </c>
      <c r="E4250" s="17"/>
      <c r="F4250" s="17" t="s">
        <v>156</v>
      </c>
      <c r="G4250" s="17"/>
      <c r="H4250" s="17" t="s">
        <v>692</v>
      </c>
      <c r="I4250" s="17"/>
      <c r="J4250" s="17" t="s">
        <v>693</v>
      </c>
      <c r="K4250" s="17"/>
      <c r="L4250" s="17"/>
      <c r="M4250" s="17"/>
      <c r="N4250" s="17"/>
      <c r="O4250" s="17"/>
      <c r="P4250" s="17" t="s">
        <v>2553</v>
      </c>
      <c r="Q4250" s="17"/>
      <c r="R4250" s="25" t="str">
        <f>HYPERLINK("https://ictv.global/taxonomy/taxondetails?taxnode_id=202311531","Marfavirus F48")</f>
        <v>Marfavirus F48</v>
      </c>
      <c r="S4250" s="18" t="s">
        <v>30</v>
      </c>
      <c r="T4250" s="18" t="s">
        <v>2554</v>
      </c>
      <c r="U4250" s="18"/>
      <c r="V4250" s="18"/>
      <c r="W4250" s="18" t="s">
        <v>2555</v>
      </c>
      <c r="X4250" s="18" t="s">
        <v>42</v>
      </c>
      <c r="Y4250" s="18" t="s">
        <v>36</v>
      </c>
      <c r="Z4250" s="18" t="s">
        <v>697</v>
      </c>
      <c r="AA4250" s="21" t="str">
        <f>HYPERLINK("https://www.ncbi.nlm.nih.gov/nuccore/MG746602","NCBI Nucleotide")</f>
        <v>NCBI Nucleotide</v>
      </c>
    </row>
    <row r="4251" spans="1:27" x14ac:dyDescent="0.35">
      <c r="A4251">
        <v>1005878</v>
      </c>
      <c r="B4251">
        <v>4227</v>
      </c>
      <c r="C4251">
        <v>1</v>
      </c>
      <c r="D4251" s="17" t="s">
        <v>155</v>
      </c>
      <c r="E4251" s="17"/>
      <c r="F4251" s="17" t="s">
        <v>156</v>
      </c>
      <c r="G4251" s="17"/>
      <c r="H4251" s="17" t="s">
        <v>692</v>
      </c>
      <c r="I4251" s="17"/>
      <c r="J4251" s="17" t="s">
        <v>693</v>
      </c>
      <c r="K4251" s="17"/>
      <c r="L4251" s="17"/>
      <c r="M4251" s="17"/>
      <c r="N4251" s="17"/>
      <c r="O4251" s="17"/>
      <c r="P4251" s="17" t="s">
        <v>2553</v>
      </c>
      <c r="Q4251" s="17"/>
      <c r="R4251" s="25" t="str">
        <f>HYPERLINK("https://ictv.global/taxonomy/taxondetails?taxnode_id=202311530","Marfavirus marfa")</f>
        <v>Marfavirus marfa</v>
      </c>
      <c r="S4251" s="18" t="s">
        <v>30</v>
      </c>
      <c r="T4251" s="18" t="s">
        <v>2556</v>
      </c>
      <c r="U4251" s="18"/>
      <c r="V4251" s="18"/>
      <c r="W4251" s="18" t="s">
        <v>2557</v>
      </c>
      <c r="X4251" s="18" t="s">
        <v>42</v>
      </c>
      <c r="Y4251" s="18" t="s">
        <v>36</v>
      </c>
      <c r="Z4251" s="18" t="s">
        <v>697</v>
      </c>
      <c r="AA4251" s="21" t="str">
        <f>HYPERLINK("https://www.ncbi.nlm.nih.gov/nuccore/MN044033","NCBI Nucleotide")</f>
        <v>NCBI Nucleotide</v>
      </c>
    </row>
    <row r="4252" spans="1:27" x14ac:dyDescent="0.35">
      <c r="A4252">
        <v>1005879</v>
      </c>
      <c r="B4252">
        <v>4228</v>
      </c>
      <c r="C4252">
        <v>1</v>
      </c>
      <c r="D4252" s="17" t="s">
        <v>155</v>
      </c>
      <c r="E4252" s="17"/>
      <c r="F4252" s="17" t="s">
        <v>156</v>
      </c>
      <c r="G4252" s="17"/>
      <c r="H4252" s="17" t="s">
        <v>692</v>
      </c>
      <c r="I4252" s="17"/>
      <c r="J4252" s="17" t="s">
        <v>693</v>
      </c>
      <c r="K4252" s="17"/>
      <c r="L4252" s="17"/>
      <c r="M4252" s="17"/>
      <c r="N4252" s="17"/>
      <c r="O4252" s="17"/>
      <c r="P4252" s="17" t="s">
        <v>2558</v>
      </c>
      <c r="Q4252" s="17"/>
      <c r="R4252" s="25" t="str">
        <f>HYPERLINK("https://ictv.global/taxonomy/taxondetails?taxnode_id=202309335","Marienburgvirus BP4795")</f>
        <v>Marienburgvirus BP4795</v>
      </c>
      <c r="S4252" s="18" t="s">
        <v>30</v>
      </c>
      <c r="T4252" s="18" t="s">
        <v>2559</v>
      </c>
      <c r="U4252" s="18"/>
      <c r="V4252" s="18"/>
      <c r="W4252" s="18" t="s">
        <v>2560</v>
      </c>
      <c r="X4252" s="18" t="s">
        <v>42</v>
      </c>
      <c r="Y4252" s="18" t="s">
        <v>36</v>
      </c>
      <c r="Z4252" s="18" t="s">
        <v>697</v>
      </c>
      <c r="AA4252" s="21" t="str">
        <f>HYPERLINK("https://www.ncbi.nlm.nih.gov/nuccore/AJ556162","NCBI Nucleotide")</f>
        <v>NCBI Nucleotide</v>
      </c>
    </row>
    <row r="4253" spans="1:27" x14ac:dyDescent="0.35">
      <c r="A4253">
        <v>1005880</v>
      </c>
      <c r="B4253">
        <v>4229</v>
      </c>
      <c r="C4253">
        <v>1</v>
      </c>
      <c r="D4253" s="17" t="s">
        <v>155</v>
      </c>
      <c r="E4253" s="17"/>
      <c r="F4253" s="17" t="s">
        <v>156</v>
      </c>
      <c r="G4253" s="17"/>
      <c r="H4253" s="17" t="s">
        <v>692</v>
      </c>
      <c r="I4253" s="17"/>
      <c r="J4253" s="17" t="s">
        <v>693</v>
      </c>
      <c r="K4253" s="17"/>
      <c r="L4253" s="17"/>
      <c r="M4253" s="17"/>
      <c r="N4253" s="17"/>
      <c r="O4253" s="17"/>
      <c r="P4253" s="17" t="s">
        <v>2558</v>
      </c>
      <c r="Q4253" s="17"/>
      <c r="R4253" s="25" t="str">
        <f>HYPERLINK("https://ictv.global/taxonomy/taxondetails?taxnode_id=202309336","Marienburgvirus JLK2012")</f>
        <v>Marienburgvirus JLK2012</v>
      </c>
      <c r="S4253" s="18" t="s">
        <v>30</v>
      </c>
      <c r="T4253" s="18" t="s">
        <v>2561</v>
      </c>
      <c r="U4253" s="18"/>
      <c r="V4253" s="18"/>
      <c r="W4253" s="18" t="s">
        <v>2562</v>
      </c>
      <c r="X4253" s="18" t="s">
        <v>42</v>
      </c>
      <c r="Y4253" s="18" t="s">
        <v>36</v>
      </c>
      <c r="Z4253" s="18" t="s">
        <v>697</v>
      </c>
      <c r="AA4253" s="21" t="str">
        <f>HYPERLINK("https://www.ncbi.nlm.nih.gov/nuccore/JQ347801","NCBI Nucleotide")</f>
        <v>NCBI Nucleotide</v>
      </c>
    </row>
    <row r="4254" spans="1:27" x14ac:dyDescent="0.35">
      <c r="A4254">
        <v>1005881</v>
      </c>
      <c r="B4254">
        <v>4230</v>
      </c>
      <c r="C4254">
        <v>1</v>
      </c>
      <c r="D4254" s="17" t="s">
        <v>155</v>
      </c>
      <c r="E4254" s="17"/>
      <c r="F4254" s="17" t="s">
        <v>156</v>
      </c>
      <c r="G4254" s="17"/>
      <c r="H4254" s="17" t="s">
        <v>692</v>
      </c>
      <c r="I4254" s="17"/>
      <c r="J4254" s="17" t="s">
        <v>693</v>
      </c>
      <c r="K4254" s="17"/>
      <c r="L4254" s="17"/>
      <c r="M4254" s="17"/>
      <c r="N4254" s="17"/>
      <c r="O4254" s="17"/>
      <c r="P4254" s="17" t="s">
        <v>2563</v>
      </c>
      <c r="Q4254" s="17"/>
      <c r="R4254" s="25" t="str">
        <f>HYPERLINK("https://ictv.global/taxonomy/taxondetails?taxnode_id=202307002","Marthavirus barretlemon")</f>
        <v>Marthavirus barretlemon</v>
      </c>
      <c r="S4254" s="18" t="s">
        <v>30</v>
      </c>
      <c r="T4254" s="18" t="s">
        <v>2564</v>
      </c>
      <c r="U4254" s="18"/>
      <c r="V4254" s="18"/>
      <c r="W4254" s="18" t="s">
        <v>2565</v>
      </c>
      <c r="X4254" s="18" t="s">
        <v>42</v>
      </c>
      <c r="Y4254" s="18" t="s">
        <v>36</v>
      </c>
      <c r="Z4254" s="18" t="s">
        <v>697</v>
      </c>
      <c r="AA4254" s="21" t="str">
        <f>HYPERLINK("https://www.ncbi.nlm.nih.gov/nuccore/KU647629","NCBI Nucleotide")</f>
        <v>NCBI Nucleotide</v>
      </c>
    </row>
    <row r="4255" spans="1:27" x14ac:dyDescent="0.35">
      <c r="A4255">
        <v>1005882</v>
      </c>
      <c r="B4255">
        <v>4231</v>
      </c>
      <c r="C4255">
        <v>1</v>
      </c>
      <c r="D4255" s="17" t="s">
        <v>155</v>
      </c>
      <c r="E4255" s="17"/>
      <c r="F4255" s="17" t="s">
        <v>156</v>
      </c>
      <c r="G4255" s="17"/>
      <c r="H4255" s="17" t="s">
        <v>692</v>
      </c>
      <c r="I4255" s="17"/>
      <c r="J4255" s="17" t="s">
        <v>693</v>
      </c>
      <c r="K4255" s="17"/>
      <c r="L4255" s="17"/>
      <c r="M4255" s="17"/>
      <c r="N4255" s="17"/>
      <c r="O4255" s="17"/>
      <c r="P4255" s="17" t="s">
        <v>2563</v>
      </c>
      <c r="Q4255" s="17"/>
      <c r="R4255" s="25" t="str">
        <f>HYPERLINK("https://ictv.global/taxonomy/taxondetails?taxnode_id=202307003","Marthavirus beans")</f>
        <v>Marthavirus beans</v>
      </c>
      <c r="S4255" s="18" t="s">
        <v>30</v>
      </c>
      <c r="T4255" s="18" t="s">
        <v>2566</v>
      </c>
      <c r="U4255" s="18"/>
      <c r="V4255" s="18"/>
      <c r="W4255" s="18" t="s">
        <v>2567</v>
      </c>
      <c r="X4255" s="18" t="s">
        <v>42</v>
      </c>
      <c r="Y4255" s="18" t="s">
        <v>36</v>
      </c>
      <c r="Z4255" s="18" t="s">
        <v>697</v>
      </c>
      <c r="AA4255" s="21" t="str">
        <f>HYPERLINK("https://www.ncbi.nlm.nih.gov/nuccore/MF324907","NCBI Nucleotide")</f>
        <v>NCBI Nucleotide</v>
      </c>
    </row>
    <row r="4256" spans="1:27" x14ac:dyDescent="0.35">
      <c r="A4256">
        <v>1005883</v>
      </c>
      <c r="B4256">
        <v>4232</v>
      </c>
      <c r="C4256">
        <v>1</v>
      </c>
      <c r="D4256" s="17" t="s">
        <v>155</v>
      </c>
      <c r="E4256" s="17"/>
      <c r="F4256" s="17" t="s">
        <v>156</v>
      </c>
      <c r="G4256" s="17"/>
      <c r="H4256" s="17" t="s">
        <v>692</v>
      </c>
      <c r="I4256" s="17"/>
      <c r="J4256" s="17" t="s">
        <v>693</v>
      </c>
      <c r="K4256" s="17"/>
      <c r="L4256" s="17"/>
      <c r="M4256" s="17"/>
      <c r="N4256" s="17"/>
      <c r="O4256" s="17"/>
      <c r="P4256" s="17" t="s">
        <v>2563</v>
      </c>
      <c r="Q4256" s="17"/>
      <c r="R4256" s="25" t="str">
        <f>HYPERLINK("https://ictv.global/taxonomy/taxondetails?taxnode_id=202300448","Marthavirus brent")</f>
        <v>Marthavirus brent</v>
      </c>
      <c r="S4256" s="18" t="s">
        <v>30</v>
      </c>
      <c r="T4256" s="18" t="s">
        <v>2568</v>
      </c>
      <c r="U4256" s="18"/>
      <c r="V4256" s="18"/>
      <c r="W4256" s="18" t="s">
        <v>2569</v>
      </c>
      <c r="X4256" s="18" t="s">
        <v>42</v>
      </c>
      <c r="Y4256" s="18" t="s">
        <v>36</v>
      </c>
      <c r="Z4256" s="18" t="s">
        <v>697</v>
      </c>
      <c r="AA4256" s="21" t="str">
        <f>HYPERLINK("https://www.ncbi.nlm.nih.gov/nuccore/KT365401","NCBI Nucleotide")</f>
        <v>NCBI Nucleotide</v>
      </c>
    </row>
    <row r="4257" spans="1:27" x14ac:dyDescent="0.35">
      <c r="A4257">
        <v>1005884</v>
      </c>
      <c r="B4257">
        <v>4233</v>
      </c>
      <c r="C4257">
        <v>1</v>
      </c>
      <c r="D4257" s="17" t="s">
        <v>155</v>
      </c>
      <c r="E4257" s="17"/>
      <c r="F4257" s="17" t="s">
        <v>156</v>
      </c>
      <c r="G4257" s="17"/>
      <c r="H4257" s="17" t="s">
        <v>692</v>
      </c>
      <c r="I4257" s="17"/>
      <c r="J4257" s="17" t="s">
        <v>693</v>
      </c>
      <c r="K4257" s="17"/>
      <c r="L4257" s="17"/>
      <c r="M4257" s="17"/>
      <c r="N4257" s="17"/>
      <c r="O4257" s="17"/>
      <c r="P4257" s="17" t="s">
        <v>2563</v>
      </c>
      <c r="Q4257" s="17"/>
      <c r="R4257" s="25" t="str">
        <f>HYPERLINK("https://ictv.global/taxonomy/taxondetails?taxnode_id=202300449","Marthavirus jawnski")</f>
        <v>Marthavirus jawnski</v>
      </c>
      <c r="S4257" s="18" t="s">
        <v>30</v>
      </c>
      <c r="T4257" s="18" t="s">
        <v>2570</v>
      </c>
      <c r="U4257" s="18"/>
      <c r="V4257" s="18"/>
      <c r="W4257" s="18" t="s">
        <v>2571</v>
      </c>
      <c r="X4257" s="18" t="s">
        <v>42</v>
      </c>
      <c r="Y4257" s="18" t="s">
        <v>36</v>
      </c>
      <c r="Z4257" s="18" t="s">
        <v>697</v>
      </c>
      <c r="AA4257" s="21" t="str">
        <f>HYPERLINK("https://www.ncbi.nlm.nih.gov/nuccore/KU160651","NCBI Nucleotide")</f>
        <v>NCBI Nucleotide</v>
      </c>
    </row>
    <row r="4258" spans="1:27" x14ac:dyDescent="0.35">
      <c r="A4258">
        <v>1005885</v>
      </c>
      <c r="B4258">
        <v>4234</v>
      </c>
      <c r="C4258">
        <v>1</v>
      </c>
      <c r="D4258" s="17" t="s">
        <v>155</v>
      </c>
      <c r="E4258" s="17"/>
      <c r="F4258" s="17" t="s">
        <v>156</v>
      </c>
      <c r="G4258" s="17"/>
      <c r="H4258" s="17" t="s">
        <v>692</v>
      </c>
      <c r="I4258" s="17"/>
      <c r="J4258" s="17" t="s">
        <v>693</v>
      </c>
      <c r="K4258" s="17"/>
      <c r="L4258" s="17"/>
      <c r="M4258" s="17"/>
      <c r="N4258" s="17"/>
      <c r="O4258" s="17"/>
      <c r="P4258" s="17" t="s">
        <v>2563</v>
      </c>
      <c r="Q4258" s="17"/>
      <c r="R4258" s="25" t="str">
        <f>HYPERLINK("https://ictv.global/taxonomy/taxondetails?taxnode_id=202300450","Marthavirus martha")</f>
        <v>Marthavirus martha</v>
      </c>
      <c r="S4258" s="18" t="s">
        <v>30</v>
      </c>
      <c r="T4258" s="18" t="s">
        <v>2572</v>
      </c>
      <c r="U4258" s="18"/>
      <c r="V4258" s="18"/>
      <c r="W4258" s="18" t="s">
        <v>2573</v>
      </c>
      <c r="X4258" s="18" t="s">
        <v>42</v>
      </c>
      <c r="Y4258" s="18" t="s">
        <v>36</v>
      </c>
      <c r="Z4258" s="18" t="s">
        <v>697</v>
      </c>
      <c r="AA4258" s="21" t="str">
        <f>HYPERLINK("https://www.ncbi.nlm.nih.gov/nuccore/KU160656","NCBI Nucleotide")</f>
        <v>NCBI Nucleotide</v>
      </c>
    </row>
    <row r="4259" spans="1:27" x14ac:dyDescent="0.35">
      <c r="A4259">
        <v>1005886</v>
      </c>
      <c r="B4259">
        <v>4235</v>
      </c>
      <c r="C4259">
        <v>1</v>
      </c>
      <c r="D4259" s="17" t="s">
        <v>155</v>
      </c>
      <c r="E4259" s="17"/>
      <c r="F4259" s="17" t="s">
        <v>156</v>
      </c>
      <c r="G4259" s="17"/>
      <c r="H4259" s="17" t="s">
        <v>692</v>
      </c>
      <c r="I4259" s="17"/>
      <c r="J4259" s="17" t="s">
        <v>693</v>
      </c>
      <c r="K4259" s="17"/>
      <c r="L4259" s="17"/>
      <c r="M4259" s="17"/>
      <c r="N4259" s="17"/>
      <c r="O4259" s="17"/>
      <c r="P4259" s="17" t="s">
        <v>2563</v>
      </c>
      <c r="Q4259" s="17"/>
      <c r="R4259" s="25" t="str">
        <f>HYPERLINK("https://ictv.global/taxonomy/taxondetails?taxnode_id=202307004","Marthavirus piccoletto")</f>
        <v>Marthavirus piccoletto</v>
      </c>
      <c r="S4259" s="18" t="s">
        <v>30</v>
      </c>
      <c r="T4259" s="18" t="s">
        <v>2574</v>
      </c>
      <c r="U4259" s="18"/>
      <c r="V4259" s="18"/>
      <c r="W4259" s="18" t="s">
        <v>2575</v>
      </c>
      <c r="X4259" s="18" t="s">
        <v>42</v>
      </c>
      <c r="Y4259" s="18" t="s">
        <v>36</v>
      </c>
      <c r="Z4259" s="18" t="s">
        <v>697</v>
      </c>
      <c r="AA4259" s="21" t="str">
        <f>HYPERLINK("https://www.ncbi.nlm.nih.gov/nuccore/MF189177","NCBI Nucleotide")</f>
        <v>NCBI Nucleotide</v>
      </c>
    </row>
    <row r="4260" spans="1:27" x14ac:dyDescent="0.35">
      <c r="A4260">
        <v>1005887</v>
      </c>
      <c r="B4260">
        <v>4236</v>
      </c>
      <c r="C4260">
        <v>1</v>
      </c>
      <c r="D4260" s="17" t="s">
        <v>155</v>
      </c>
      <c r="E4260" s="17"/>
      <c r="F4260" s="17" t="s">
        <v>156</v>
      </c>
      <c r="G4260" s="17"/>
      <c r="H4260" s="17" t="s">
        <v>692</v>
      </c>
      <c r="I4260" s="17"/>
      <c r="J4260" s="17" t="s">
        <v>693</v>
      </c>
      <c r="K4260" s="17"/>
      <c r="L4260" s="17"/>
      <c r="M4260" s="17"/>
      <c r="N4260" s="17"/>
      <c r="O4260" s="17"/>
      <c r="P4260" s="17" t="s">
        <v>2563</v>
      </c>
      <c r="Q4260" s="17"/>
      <c r="R4260" s="25" t="str">
        <f>HYPERLINK("https://ictv.global/taxonomy/taxondetails?taxnode_id=202307005","Marthavirus shade")</f>
        <v>Marthavirus shade</v>
      </c>
      <c r="S4260" s="18" t="s">
        <v>30</v>
      </c>
      <c r="T4260" s="18" t="s">
        <v>2576</v>
      </c>
      <c r="U4260" s="18"/>
      <c r="V4260" s="18"/>
      <c r="W4260" s="18" t="s">
        <v>2577</v>
      </c>
      <c r="X4260" s="18" t="s">
        <v>42</v>
      </c>
      <c r="Y4260" s="18" t="s">
        <v>36</v>
      </c>
      <c r="Z4260" s="18" t="s">
        <v>697</v>
      </c>
      <c r="AA4260" s="21" t="str">
        <f>HYPERLINK("https://www.ncbi.nlm.nih.gov/nuccore/MF189178","NCBI Nucleotide")</f>
        <v>NCBI Nucleotide</v>
      </c>
    </row>
    <row r="4261" spans="1:27" x14ac:dyDescent="0.35">
      <c r="A4261">
        <v>1005888</v>
      </c>
      <c r="B4261">
        <v>4237</v>
      </c>
      <c r="C4261">
        <v>1</v>
      </c>
      <c r="D4261" s="17" t="s">
        <v>155</v>
      </c>
      <c r="E4261" s="17"/>
      <c r="F4261" s="17" t="s">
        <v>156</v>
      </c>
      <c r="G4261" s="17"/>
      <c r="H4261" s="17" t="s">
        <v>692</v>
      </c>
      <c r="I4261" s="17"/>
      <c r="J4261" s="17" t="s">
        <v>693</v>
      </c>
      <c r="K4261" s="17"/>
      <c r="L4261" s="17"/>
      <c r="M4261" s="17"/>
      <c r="N4261" s="17"/>
      <c r="O4261" s="17"/>
      <c r="P4261" s="17" t="s">
        <v>2563</v>
      </c>
      <c r="Q4261" s="17"/>
      <c r="R4261" s="25" t="str">
        <f>HYPERLINK("https://ictv.global/taxonomy/taxondetails?taxnode_id=202311532","Marthavirus zartrosa")</f>
        <v>Marthavirus zartrosa</v>
      </c>
      <c r="S4261" s="18" t="s">
        <v>30</v>
      </c>
      <c r="T4261" s="18" t="s">
        <v>2578</v>
      </c>
      <c r="U4261" s="18"/>
      <c r="V4261" s="18"/>
      <c r="W4261" s="18" t="s">
        <v>2579</v>
      </c>
      <c r="X4261" s="18" t="s">
        <v>42</v>
      </c>
      <c r="Y4261" s="18" t="s">
        <v>36</v>
      </c>
      <c r="Z4261" s="18" t="s">
        <v>697</v>
      </c>
      <c r="AA4261" s="21" t="str">
        <f>HYPERLINK("https://www.ncbi.nlm.nih.gov/nuccore/MN183279","NCBI Nucleotide")</f>
        <v>NCBI Nucleotide</v>
      </c>
    </row>
    <row r="4262" spans="1:27" x14ac:dyDescent="0.35">
      <c r="A4262">
        <v>1005889</v>
      </c>
      <c r="B4262">
        <v>4238</v>
      </c>
      <c r="C4262">
        <v>1</v>
      </c>
      <c r="D4262" s="17" t="s">
        <v>155</v>
      </c>
      <c r="E4262" s="17"/>
      <c r="F4262" s="17" t="s">
        <v>156</v>
      </c>
      <c r="G4262" s="17"/>
      <c r="H4262" s="17" t="s">
        <v>692</v>
      </c>
      <c r="I4262" s="17"/>
      <c r="J4262" s="17" t="s">
        <v>693</v>
      </c>
      <c r="K4262" s="17"/>
      <c r="L4262" s="17"/>
      <c r="M4262" s="17"/>
      <c r="N4262" s="17"/>
      <c r="O4262" s="17"/>
      <c r="P4262" s="17" t="s">
        <v>2580</v>
      </c>
      <c r="Q4262" s="17"/>
      <c r="R4262" s="25" t="str">
        <f>HYPERLINK("https://ictv.global/taxonomy/taxondetails?taxnode_id=202301079","Marvinvirus marvin")</f>
        <v>Marvinvirus marvin</v>
      </c>
      <c r="S4262" s="18" t="s">
        <v>30</v>
      </c>
      <c r="T4262" s="18" t="s">
        <v>2581</v>
      </c>
      <c r="U4262" s="18"/>
      <c r="V4262" s="18"/>
      <c r="W4262" s="18" t="s">
        <v>2582</v>
      </c>
      <c r="X4262" s="18" t="s">
        <v>42</v>
      </c>
      <c r="Y4262" s="18" t="s">
        <v>36</v>
      </c>
      <c r="Z4262" s="18" t="s">
        <v>697</v>
      </c>
      <c r="AA4262" s="21" t="str">
        <f>HYPERLINK("https://www.ncbi.nlm.nih.gov/nuccore/JF704100","NCBI Nucleotide")</f>
        <v>NCBI Nucleotide</v>
      </c>
    </row>
    <row r="4263" spans="1:27" x14ac:dyDescent="0.35">
      <c r="A4263">
        <v>1005890</v>
      </c>
      <c r="B4263">
        <v>4239</v>
      </c>
      <c r="C4263">
        <v>1</v>
      </c>
      <c r="D4263" s="17" t="s">
        <v>155</v>
      </c>
      <c r="E4263" s="17"/>
      <c r="F4263" s="17" t="s">
        <v>156</v>
      </c>
      <c r="G4263" s="17"/>
      <c r="H4263" s="17" t="s">
        <v>692</v>
      </c>
      <c r="I4263" s="17"/>
      <c r="J4263" s="17" t="s">
        <v>693</v>
      </c>
      <c r="K4263" s="17"/>
      <c r="L4263" s="17"/>
      <c r="M4263" s="17"/>
      <c r="N4263" s="17"/>
      <c r="O4263" s="17"/>
      <c r="P4263" s="17" t="s">
        <v>2580</v>
      </c>
      <c r="Q4263" s="17"/>
      <c r="R4263" s="25" t="str">
        <f>HYPERLINK("https://ictv.global/taxonomy/taxondetails?taxnode_id=202301080","Marvinvirus mosmoris")</f>
        <v>Marvinvirus mosmoris</v>
      </c>
      <c r="S4263" s="18" t="s">
        <v>30</v>
      </c>
      <c r="T4263" s="18" t="s">
        <v>2583</v>
      </c>
      <c r="U4263" s="18"/>
      <c r="V4263" s="18"/>
      <c r="W4263" s="18" t="s">
        <v>2584</v>
      </c>
      <c r="X4263" s="18" t="s">
        <v>42</v>
      </c>
      <c r="Y4263" s="18" t="s">
        <v>36</v>
      </c>
      <c r="Z4263" s="18" t="s">
        <v>697</v>
      </c>
      <c r="AA4263" s="21" t="str">
        <f>HYPERLINK("https://www.ncbi.nlm.nih.gov/nuccore/KJ538721","NCBI Nucleotide")</f>
        <v>NCBI Nucleotide</v>
      </c>
    </row>
    <row r="4264" spans="1:27" x14ac:dyDescent="0.35">
      <c r="A4264">
        <v>1005891</v>
      </c>
      <c r="B4264">
        <v>4240</v>
      </c>
      <c r="C4264">
        <v>1</v>
      </c>
      <c r="D4264" s="17" t="s">
        <v>155</v>
      </c>
      <c r="E4264" s="17"/>
      <c r="F4264" s="17" t="s">
        <v>156</v>
      </c>
      <c r="G4264" s="17"/>
      <c r="H4264" s="17" t="s">
        <v>692</v>
      </c>
      <c r="I4264" s="17"/>
      <c r="J4264" s="17" t="s">
        <v>693</v>
      </c>
      <c r="K4264" s="17"/>
      <c r="L4264" s="17"/>
      <c r="M4264" s="17"/>
      <c r="N4264" s="17"/>
      <c r="O4264" s="17"/>
      <c r="P4264" s="17" t="s">
        <v>2585</v>
      </c>
      <c r="Q4264" s="17"/>
      <c r="R4264" s="25" t="str">
        <f>HYPERLINK("https://ictv.global/taxonomy/taxondetails?taxnode_id=202307894","Maxrubnervirus PMBT3")</f>
        <v>Maxrubnervirus PMBT3</v>
      </c>
      <c r="S4264" s="18" t="s">
        <v>30</v>
      </c>
      <c r="T4264" s="18" t="s">
        <v>2586</v>
      </c>
      <c r="U4264" s="18"/>
      <c r="V4264" s="18"/>
      <c r="W4264" s="18" t="s">
        <v>2587</v>
      </c>
      <c r="X4264" s="18" t="s">
        <v>42</v>
      </c>
      <c r="Y4264" s="18" t="s">
        <v>36</v>
      </c>
      <c r="Z4264" s="18" t="s">
        <v>697</v>
      </c>
      <c r="AA4264" s="21" t="str">
        <f>HYPERLINK("https://www.ncbi.nlm.nih.gov/nuccore/MG596799","NCBI Nucleotide")</f>
        <v>NCBI Nucleotide</v>
      </c>
    </row>
    <row r="4265" spans="1:27" x14ac:dyDescent="0.35">
      <c r="A4265">
        <v>1024970</v>
      </c>
      <c r="B4265">
        <v>4241</v>
      </c>
      <c r="C4265">
        <v>1</v>
      </c>
      <c r="D4265" s="17" t="s">
        <v>155</v>
      </c>
      <c r="E4265" s="17"/>
      <c r="F4265" s="17" t="s">
        <v>156</v>
      </c>
      <c r="G4265" s="17"/>
      <c r="H4265" s="17" t="s">
        <v>692</v>
      </c>
      <c r="I4265" s="17"/>
      <c r="J4265" s="17" t="s">
        <v>693</v>
      </c>
      <c r="K4265" s="17"/>
      <c r="L4265" s="17"/>
      <c r="M4265" s="17"/>
      <c r="N4265" s="17"/>
      <c r="O4265" s="17"/>
      <c r="P4265" s="17" t="s">
        <v>39994</v>
      </c>
      <c r="Q4265" s="17"/>
      <c r="R4265" s="25" t="str">
        <f>HYPERLINK("https://ictv.global/taxonomy/taxondetails?taxnode_id=202317775","Mboquatrovirus Mbo4")</f>
        <v>Mboquatrovirus Mbo4</v>
      </c>
      <c r="S4265" s="18" t="s">
        <v>30</v>
      </c>
      <c r="T4265" s="18" t="s">
        <v>39995</v>
      </c>
      <c r="U4265" s="18"/>
      <c r="V4265" s="18"/>
      <c r="W4265" s="18" t="s">
        <v>48553</v>
      </c>
      <c r="X4265" s="18" t="s">
        <v>42</v>
      </c>
      <c r="Y4265" s="18" t="s">
        <v>36</v>
      </c>
      <c r="Z4265" s="18" t="s">
        <v>697</v>
      </c>
      <c r="AA4265" s="21" t="str">
        <f>HYPERLINK("https://www.ncbi.nlm.nih.gov/nuccore/ON191532","NCBI Nucleotide")</f>
        <v>NCBI Nucleotide</v>
      </c>
    </row>
    <row r="4266" spans="1:27" x14ac:dyDescent="0.35">
      <c r="A4266">
        <v>1005892</v>
      </c>
      <c r="B4266">
        <v>4242</v>
      </c>
      <c r="C4266">
        <v>1</v>
      </c>
      <c r="D4266" s="17" t="s">
        <v>155</v>
      </c>
      <c r="E4266" s="17"/>
      <c r="F4266" s="17" t="s">
        <v>156</v>
      </c>
      <c r="G4266" s="17"/>
      <c r="H4266" s="17" t="s">
        <v>692</v>
      </c>
      <c r="I4266" s="17"/>
      <c r="J4266" s="17" t="s">
        <v>693</v>
      </c>
      <c r="K4266" s="17"/>
      <c r="L4266" s="17"/>
      <c r="M4266" s="17"/>
      <c r="N4266" s="17"/>
      <c r="O4266" s="17"/>
      <c r="P4266" s="17" t="s">
        <v>2588</v>
      </c>
      <c r="Q4266" s="17"/>
      <c r="R4266" s="25" t="str">
        <f>HYPERLINK("https://ictv.global/taxonomy/taxondetails?taxnode_id=202314594","Mcgonagallvirus macgonagall")</f>
        <v>Mcgonagallvirus macgonagall</v>
      </c>
      <c r="S4266" s="18" t="s">
        <v>30</v>
      </c>
      <c r="T4266" s="18" t="s">
        <v>2589</v>
      </c>
      <c r="U4266" s="18"/>
      <c r="V4266" s="18"/>
      <c r="W4266" s="18" t="s">
        <v>2590</v>
      </c>
      <c r="X4266" s="18" t="s">
        <v>42</v>
      </c>
      <c r="Y4266" s="18" t="s">
        <v>36</v>
      </c>
      <c r="Z4266" s="18" t="s">
        <v>697</v>
      </c>
      <c r="AA4266" s="21" t="str">
        <f>HYPERLINK("https://www.ncbi.nlm.nih.gov/nuccore/KU998255","NCBI Nucleotide")</f>
        <v>NCBI Nucleotide</v>
      </c>
    </row>
    <row r="4267" spans="1:27" x14ac:dyDescent="0.35">
      <c r="A4267">
        <v>1005893</v>
      </c>
      <c r="B4267">
        <v>4243</v>
      </c>
      <c r="C4267">
        <v>1</v>
      </c>
      <c r="D4267" s="17" t="s">
        <v>155</v>
      </c>
      <c r="E4267" s="17"/>
      <c r="F4267" s="17" t="s">
        <v>156</v>
      </c>
      <c r="G4267" s="17"/>
      <c r="H4267" s="17" t="s">
        <v>692</v>
      </c>
      <c r="I4267" s="17"/>
      <c r="J4267" s="17" t="s">
        <v>693</v>
      </c>
      <c r="K4267" s="17"/>
      <c r="L4267" s="17"/>
      <c r="M4267" s="17"/>
      <c r="N4267" s="17"/>
      <c r="O4267" s="17"/>
      <c r="P4267" s="17" t="s">
        <v>2591</v>
      </c>
      <c r="Q4267" s="17"/>
      <c r="R4267" s="25" t="str">
        <f>HYPERLINK("https://ictv.global/taxonomy/taxondetails?taxnode_id=202314671","Meadowvirus AH04")</f>
        <v>Meadowvirus AH04</v>
      </c>
      <c r="S4267" s="18" t="s">
        <v>30</v>
      </c>
      <c r="T4267" s="18" t="s">
        <v>2592</v>
      </c>
      <c r="U4267" s="18"/>
      <c r="V4267" s="18"/>
      <c r="W4267" s="18" t="s">
        <v>2593</v>
      </c>
      <c r="X4267" s="18" t="s">
        <v>42</v>
      </c>
      <c r="Y4267" s="18" t="s">
        <v>36</v>
      </c>
      <c r="Z4267" s="18" t="s">
        <v>697</v>
      </c>
      <c r="AA4267" s="21" t="str">
        <f>HYPERLINK("https://www.ncbi.nlm.nih.gov/nuccore/MZ501267","NCBI Nucleotide")</f>
        <v>NCBI Nucleotide</v>
      </c>
    </row>
    <row r="4268" spans="1:27" x14ac:dyDescent="0.35">
      <c r="A4268">
        <v>1024962</v>
      </c>
      <c r="B4268">
        <v>4244</v>
      </c>
      <c r="C4268">
        <v>1</v>
      </c>
      <c r="D4268" s="17" t="s">
        <v>155</v>
      </c>
      <c r="E4268" s="17"/>
      <c r="F4268" s="17" t="s">
        <v>156</v>
      </c>
      <c r="G4268" s="17"/>
      <c r="H4268" s="17" t="s">
        <v>692</v>
      </c>
      <c r="I4268" s="17"/>
      <c r="J4268" s="17" t="s">
        <v>693</v>
      </c>
      <c r="K4268" s="17"/>
      <c r="L4268" s="17"/>
      <c r="M4268" s="17"/>
      <c r="N4268" s="17"/>
      <c r="O4268" s="17"/>
      <c r="P4268" s="17" t="s">
        <v>39996</v>
      </c>
      <c r="Q4268" s="17"/>
      <c r="R4268" s="25" t="str">
        <f>HYPERLINK("https://ictv.global/taxonomy/taxondetails?taxnode_id=202318566","Medeavirus medea1")</f>
        <v>Medeavirus medea1</v>
      </c>
      <c r="S4268" s="18" t="s">
        <v>30</v>
      </c>
      <c r="T4268" s="18" t="s">
        <v>39997</v>
      </c>
      <c r="U4268" s="18"/>
      <c r="V4268" s="18"/>
      <c r="W4268" s="18" t="s">
        <v>48554</v>
      </c>
      <c r="X4268" s="18" t="s">
        <v>42</v>
      </c>
      <c r="Y4268" s="18" t="s">
        <v>36</v>
      </c>
      <c r="Z4268" s="18" t="s">
        <v>697</v>
      </c>
      <c r="AA4268" s="21" t="str">
        <f>HYPERLINK("https://www.ncbi.nlm.nih.gov/nuccore/MW862109","NCBI Nucleotide")</f>
        <v>NCBI Nucleotide</v>
      </c>
    </row>
    <row r="4269" spans="1:27" x14ac:dyDescent="0.35">
      <c r="A4269">
        <v>1005895</v>
      </c>
      <c r="B4269">
        <v>4245</v>
      </c>
      <c r="C4269">
        <v>1</v>
      </c>
      <c r="D4269" s="17" t="s">
        <v>155</v>
      </c>
      <c r="E4269" s="17"/>
      <c r="F4269" s="17" t="s">
        <v>156</v>
      </c>
      <c r="G4269" s="17"/>
      <c r="H4269" s="17" t="s">
        <v>692</v>
      </c>
      <c r="I4269" s="17"/>
      <c r="J4269" s="17" t="s">
        <v>693</v>
      </c>
      <c r="K4269" s="17"/>
      <c r="L4269" s="17"/>
      <c r="M4269" s="17"/>
      <c r="N4269" s="17"/>
      <c r="O4269" s="17"/>
      <c r="P4269" s="17" t="s">
        <v>2597</v>
      </c>
      <c r="Q4269" s="17"/>
      <c r="R4269" s="25" t="str">
        <f>HYPERLINK("https://ictv.global/taxonomy/taxondetails?taxnode_id=202311537","Menderavirus IMESM1")</f>
        <v>Menderavirus IMESM1</v>
      </c>
      <c r="S4269" s="18" t="s">
        <v>30</v>
      </c>
      <c r="T4269" s="18" t="s">
        <v>2598</v>
      </c>
      <c r="U4269" s="18"/>
      <c r="V4269" s="18"/>
      <c r="W4269" s="18" t="s">
        <v>2599</v>
      </c>
      <c r="X4269" s="18" t="s">
        <v>42</v>
      </c>
      <c r="Y4269" s="18" t="s">
        <v>36</v>
      </c>
      <c r="Z4269" s="18" t="s">
        <v>697</v>
      </c>
      <c r="AA4269" s="21" t="str">
        <f>HYPERLINK("https://www.ncbi.nlm.nih.gov/nuccore/KR560069","NCBI Nucleotide")</f>
        <v>NCBI Nucleotide</v>
      </c>
    </row>
    <row r="4270" spans="1:27" x14ac:dyDescent="0.35">
      <c r="A4270">
        <v>1005896</v>
      </c>
      <c r="B4270">
        <v>4246</v>
      </c>
      <c r="C4270">
        <v>1</v>
      </c>
      <c r="D4270" s="17" t="s">
        <v>155</v>
      </c>
      <c r="E4270" s="17"/>
      <c r="F4270" s="17" t="s">
        <v>156</v>
      </c>
      <c r="G4270" s="17"/>
      <c r="H4270" s="17" t="s">
        <v>692</v>
      </c>
      <c r="I4270" s="17"/>
      <c r="J4270" s="17" t="s">
        <v>693</v>
      </c>
      <c r="K4270" s="17"/>
      <c r="L4270" s="17"/>
      <c r="M4270" s="17"/>
      <c r="N4270" s="17"/>
      <c r="O4270" s="17"/>
      <c r="P4270" s="17" t="s">
        <v>2597</v>
      </c>
      <c r="Q4270" s="17"/>
      <c r="R4270" s="25" t="str">
        <f>HYPERLINK("https://ictv.global/taxonomy/taxondetails?taxnode_id=202311535","Menderavirus mendera")</f>
        <v>Menderavirus mendera</v>
      </c>
      <c r="S4270" s="18" t="s">
        <v>30</v>
      </c>
      <c r="T4270" s="18" t="s">
        <v>2600</v>
      </c>
      <c r="U4270" s="18"/>
      <c r="V4270" s="18"/>
      <c r="W4270" s="18" t="s">
        <v>2601</v>
      </c>
      <c r="X4270" s="18" t="s">
        <v>42</v>
      </c>
      <c r="Y4270" s="18" t="s">
        <v>36</v>
      </c>
      <c r="Z4270" s="18" t="s">
        <v>697</v>
      </c>
      <c r="AA4270" s="21" t="str">
        <f>HYPERLINK("https://www.ncbi.nlm.nih.gov/nuccore/MN098328","NCBI Nucleotide")</f>
        <v>NCBI Nucleotide</v>
      </c>
    </row>
    <row r="4271" spans="1:27" x14ac:dyDescent="0.35">
      <c r="A4271">
        <v>1005897</v>
      </c>
      <c r="B4271">
        <v>4247</v>
      </c>
      <c r="C4271">
        <v>1</v>
      </c>
      <c r="D4271" s="17" t="s">
        <v>155</v>
      </c>
      <c r="E4271" s="17"/>
      <c r="F4271" s="17" t="s">
        <v>156</v>
      </c>
      <c r="G4271" s="17"/>
      <c r="H4271" s="17" t="s">
        <v>692</v>
      </c>
      <c r="I4271" s="17"/>
      <c r="J4271" s="17" t="s">
        <v>693</v>
      </c>
      <c r="K4271" s="17"/>
      <c r="L4271" s="17"/>
      <c r="M4271" s="17"/>
      <c r="N4271" s="17"/>
      <c r="O4271" s="17"/>
      <c r="P4271" s="17" t="s">
        <v>2597</v>
      </c>
      <c r="Q4271" s="17"/>
      <c r="R4271" s="25" t="str">
        <f>HYPERLINK("https://ictv.global/taxonomy/taxondetails?taxnode_id=202311536","Menderavirus moby")</f>
        <v>Menderavirus moby</v>
      </c>
      <c r="S4271" s="18" t="s">
        <v>30</v>
      </c>
      <c r="T4271" s="18" t="s">
        <v>2602</v>
      </c>
      <c r="U4271" s="18"/>
      <c r="V4271" s="18"/>
      <c r="W4271" s="18" t="s">
        <v>2603</v>
      </c>
      <c r="X4271" s="18" t="s">
        <v>42</v>
      </c>
      <c r="Y4271" s="18" t="s">
        <v>36</v>
      </c>
      <c r="Z4271" s="18" t="s">
        <v>697</v>
      </c>
      <c r="AA4271" s="21" t="str">
        <f>HYPERLINK("https://www.ncbi.nlm.nih.gov/nuccore/MN095772","NCBI Nucleotide")</f>
        <v>NCBI Nucleotide</v>
      </c>
    </row>
    <row r="4272" spans="1:27" x14ac:dyDescent="0.35">
      <c r="A4272">
        <v>1005898</v>
      </c>
      <c r="B4272">
        <v>4248</v>
      </c>
      <c r="C4272">
        <v>1</v>
      </c>
      <c r="D4272" s="17" t="s">
        <v>155</v>
      </c>
      <c r="E4272" s="17"/>
      <c r="F4272" s="17" t="s">
        <v>156</v>
      </c>
      <c r="G4272" s="17"/>
      <c r="H4272" s="17" t="s">
        <v>692</v>
      </c>
      <c r="I4272" s="17"/>
      <c r="J4272" s="17" t="s">
        <v>693</v>
      </c>
      <c r="K4272" s="17"/>
      <c r="L4272" s="17"/>
      <c r="M4272" s="17"/>
      <c r="N4272" s="17"/>
      <c r="O4272" s="17"/>
      <c r="P4272" s="17" t="s">
        <v>2597</v>
      </c>
      <c r="Q4272" s="17"/>
      <c r="R4272" s="25" t="str">
        <f>HYPERLINK("https://ictv.global/taxonomy/taxondetails?taxnode_id=202314672","Menderavirus Ps15")</f>
        <v>Menderavirus Ps15</v>
      </c>
      <c r="S4272" s="18" t="s">
        <v>30</v>
      </c>
      <c r="T4272" s="18" t="s">
        <v>2604</v>
      </c>
      <c r="U4272" s="18"/>
      <c r="V4272" s="18"/>
      <c r="W4272" s="18" t="s">
        <v>2605</v>
      </c>
      <c r="X4272" s="18" t="s">
        <v>42</v>
      </c>
      <c r="Y4272" s="18" t="s">
        <v>36</v>
      </c>
      <c r="Z4272" s="18" t="s">
        <v>697</v>
      </c>
      <c r="AA4272" s="21" t="str">
        <f>HYPERLINK("https://www.ncbi.nlm.nih.gov/nuccore/OL702939","NCBI Nucleotide")</f>
        <v>NCBI Nucleotide</v>
      </c>
    </row>
    <row r="4273" spans="1:27" x14ac:dyDescent="0.35">
      <c r="A4273">
        <v>1005902</v>
      </c>
      <c r="B4273">
        <v>4249</v>
      </c>
      <c r="C4273">
        <v>1</v>
      </c>
      <c r="D4273" s="17" t="s">
        <v>155</v>
      </c>
      <c r="E4273" s="17"/>
      <c r="F4273" s="17" t="s">
        <v>156</v>
      </c>
      <c r="G4273" s="17"/>
      <c r="H4273" s="17" t="s">
        <v>692</v>
      </c>
      <c r="I4273" s="17"/>
      <c r="J4273" s="17" t="s">
        <v>693</v>
      </c>
      <c r="K4273" s="17"/>
      <c r="L4273" s="17"/>
      <c r="M4273" s="17"/>
      <c r="N4273" s="17"/>
      <c r="O4273" s="17"/>
      <c r="P4273" s="17" t="s">
        <v>2613</v>
      </c>
      <c r="Q4273" s="17"/>
      <c r="R4273" s="25" t="str">
        <f>HYPERLINK("https://ictv.global/taxonomy/taxondetails?taxnode_id=202306918","Metrivirus ME3")</f>
        <v>Metrivirus ME3</v>
      </c>
      <c r="S4273" s="18" t="s">
        <v>30</v>
      </c>
      <c r="T4273" s="18" t="s">
        <v>2614</v>
      </c>
      <c r="U4273" s="18"/>
      <c r="V4273" s="18"/>
      <c r="W4273" s="18" t="s">
        <v>2615</v>
      </c>
      <c r="X4273" s="18" t="s">
        <v>42</v>
      </c>
      <c r="Y4273" s="18" t="s">
        <v>36</v>
      </c>
      <c r="Z4273" s="18" t="s">
        <v>697</v>
      </c>
      <c r="AA4273" s="21" t="str">
        <f>HYPERLINK("https://www.ncbi.nlm.nih.gov/nuccore/KU935715","NCBI Nucleotide")</f>
        <v>NCBI Nucleotide</v>
      </c>
    </row>
    <row r="4274" spans="1:27" x14ac:dyDescent="0.35">
      <c r="A4274">
        <v>1005903</v>
      </c>
      <c r="B4274">
        <v>4250</v>
      </c>
      <c r="C4274">
        <v>1</v>
      </c>
      <c r="D4274" s="17" t="s">
        <v>155</v>
      </c>
      <c r="E4274" s="17"/>
      <c r="F4274" s="17" t="s">
        <v>156</v>
      </c>
      <c r="G4274" s="17"/>
      <c r="H4274" s="17" t="s">
        <v>692</v>
      </c>
      <c r="I4274" s="17"/>
      <c r="J4274" s="17" t="s">
        <v>693</v>
      </c>
      <c r="K4274" s="17"/>
      <c r="L4274" s="17"/>
      <c r="M4274" s="17"/>
      <c r="N4274" s="17"/>
      <c r="O4274" s="17"/>
      <c r="P4274" s="17" t="s">
        <v>2616</v>
      </c>
      <c r="Q4274" s="17"/>
      <c r="R4274" s="25" t="str">
        <f>HYPERLINK("https://ictv.global/taxonomy/taxondetails?taxnode_id=202314674","Miamivirus miami")</f>
        <v>Miamivirus miami</v>
      </c>
      <c r="S4274" s="18" t="s">
        <v>30</v>
      </c>
      <c r="T4274" s="18" t="s">
        <v>2617</v>
      </c>
      <c r="U4274" s="18"/>
      <c r="V4274" s="18"/>
      <c r="W4274" s="18" t="s">
        <v>2618</v>
      </c>
      <c r="X4274" s="18" t="s">
        <v>42</v>
      </c>
      <c r="Y4274" s="18" t="s">
        <v>36</v>
      </c>
      <c r="Z4274" s="18" t="s">
        <v>697</v>
      </c>
      <c r="AA4274" s="21" t="str">
        <f>HYPERLINK("https://www.ncbi.nlm.nih.gov/nuccore/MT701590","NCBI Nucleotide")</f>
        <v>NCBI Nucleotide</v>
      </c>
    </row>
    <row r="4275" spans="1:27" x14ac:dyDescent="0.35">
      <c r="A4275">
        <v>1005904</v>
      </c>
      <c r="B4275">
        <v>4251</v>
      </c>
      <c r="C4275">
        <v>1</v>
      </c>
      <c r="D4275" s="17" t="s">
        <v>155</v>
      </c>
      <c r="E4275" s="17"/>
      <c r="F4275" s="17" t="s">
        <v>156</v>
      </c>
      <c r="G4275" s="17"/>
      <c r="H4275" s="17" t="s">
        <v>692</v>
      </c>
      <c r="I4275" s="17"/>
      <c r="J4275" s="17" t="s">
        <v>693</v>
      </c>
      <c r="K4275" s="17"/>
      <c r="L4275" s="17"/>
      <c r="M4275" s="17"/>
      <c r="N4275" s="17"/>
      <c r="O4275" s="17"/>
      <c r="P4275" s="17" t="s">
        <v>2619</v>
      </c>
      <c r="Q4275" s="17"/>
      <c r="R4275" s="25" t="str">
        <f>HYPERLINK("https://ictv.global/taxonomy/taxondetails?taxnode_id=202312419","Micavirus Mica")</f>
        <v>Micavirus Mica</v>
      </c>
      <c r="S4275" s="18" t="s">
        <v>30</v>
      </c>
      <c r="T4275" s="18" t="s">
        <v>2620</v>
      </c>
      <c r="U4275" s="18"/>
      <c r="V4275" s="18"/>
      <c r="W4275" s="18" t="s">
        <v>2621</v>
      </c>
      <c r="X4275" s="18" t="s">
        <v>42</v>
      </c>
      <c r="Y4275" s="18" t="s">
        <v>36</v>
      </c>
      <c r="Z4275" s="18" t="s">
        <v>697</v>
      </c>
      <c r="AA4275" s="21" t="str">
        <f>HYPERLINK("https://www.ncbi.nlm.nih.gov/nuccore/MT701586","NCBI Nucleotide")</f>
        <v>NCBI Nucleotide</v>
      </c>
    </row>
    <row r="4276" spans="1:27" x14ac:dyDescent="0.35">
      <c r="A4276">
        <v>1005905</v>
      </c>
      <c r="B4276">
        <v>4252</v>
      </c>
      <c r="C4276">
        <v>1</v>
      </c>
      <c r="D4276" s="17" t="s">
        <v>155</v>
      </c>
      <c r="E4276" s="17"/>
      <c r="F4276" s="17" t="s">
        <v>156</v>
      </c>
      <c r="G4276" s="17"/>
      <c r="H4276" s="17" t="s">
        <v>692</v>
      </c>
      <c r="I4276" s="17"/>
      <c r="J4276" s="17" t="s">
        <v>693</v>
      </c>
      <c r="K4276" s="17"/>
      <c r="L4276" s="17"/>
      <c r="M4276" s="17"/>
      <c r="N4276" s="17"/>
      <c r="O4276" s="17"/>
      <c r="P4276" s="17" t="s">
        <v>2622</v>
      </c>
      <c r="Q4276" s="17"/>
      <c r="R4276" s="25" t="str">
        <f>HYPERLINK("https://ictv.global/taxonomy/taxondetails?taxnode_id=202301019","Microwolfvirus Bxz2")</f>
        <v>Microwolfvirus Bxz2</v>
      </c>
      <c r="S4276" s="18" t="s">
        <v>30</v>
      </c>
      <c r="T4276" s="18" t="s">
        <v>2623</v>
      </c>
      <c r="U4276" s="18"/>
      <c r="V4276" s="18"/>
      <c r="W4276" s="18" t="s">
        <v>2624</v>
      </c>
      <c r="X4276" s="18" t="s">
        <v>42</v>
      </c>
      <c r="Y4276" s="18" t="s">
        <v>36</v>
      </c>
      <c r="Z4276" s="18" t="s">
        <v>697</v>
      </c>
      <c r="AA4276" s="21" t="str">
        <f>HYPERLINK("https://www.ncbi.nlm.nih.gov/nuccore/AY129332","NCBI Nucleotide")</f>
        <v>NCBI Nucleotide</v>
      </c>
    </row>
    <row r="4277" spans="1:27" x14ac:dyDescent="0.35">
      <c r="A4277">
        <v>1005906</v>
      </c>
      <c r="B4277">
        <v>4253</v>
      </c>
      <c r="C4277">
        <v>1</v>
      </c>
      <c r="D4277" s="17" t="s">
        <v>155</v>
      </c>
      <c r="E4277" s="17"/>
      <c r="F4277" s="17" t="s">
        <v>156</v>
      </c>
      <c r="G4277" s="17"/>
      <c r="H4277" s="17" t="s">
        <v>692</v>
      </c>
      <c r="I4277" s="17"/>
      <c r="J4277" s="17" t="s">
        <v>693</v>
      </c>
      <c r="K4277" s="17"/>
      <c r="L4277" s="17"/>
      <c r="M4277" s="17"/>
      <c r="N4277" s="17"/>
      <c r="O4277" s="17"/>
      <c r="P4277" s="17" t="s">
        <v>2622</v>
      </c>
      <c r="Q4277" s="17"/>
      <c r="R4277" s="25" t="str">
        <f>HYPERLINK("https://ictv.global/taxonomy/taxondetails?taxnode_id=202301034","Microwolfvirus JHC117")</f>
        <v>Microwolfvirus JHC117</v>
      </c>
      <c r="S4277" s="18" t="s">
        <v>30</v>
      </c>
      <c r="T4277" s="18" t="s">
        <v>2625</v>
      </c>
      <c r="U4277" s="18"/>
      <c r="V4277" s="18"/>
      <c r="W4277" s="18" t="s">
        <v>2626</v>
      </c>
      <c r="X4277" s="18" t="s">
        <v>42</v>
      </c>
      <c r="Y4277" s="18" t="s">
        <v>36</v>
      </c>
      <c r="Z4277" s="18" t="s">
        <v>697</v>
      </c>
      <c r="AA4277" s="21" t="str">
        <f>HYPERLINK("https://www.ncbi.nlm.nih.gov/nuccore/JF704098","NCBI Nucleotide")</f>
        <v>NCBI Nucleotide</v>
      </c>
    </row>
    <row r="4278" spans="1:27" x14ac:dyDescent="0.35">
      <c r="A4278">
        <v>1005907</v>
      </c>
      <c r="B4278">
        <v>4254</v>
      </c>
      <c r="C4278">
        <v>1</v>
      </c>
      <c r="D4278" s="17" t="s">
        <v>155</v>
      </c>
      <c r="E4278" s="17"/>
      <c r="F4278" s="17" t="s">
        <v>156</v>
      </c>
      <c r="G4278" s="17"/>
      <c r="H4278" s="17" t="s">
        <v>692</v>
      </c>
      <c r="I4278" s="17"/>
      <c r="J4278" s="17" t="s">
        <v>693</v>
      </c>
      <c r="K4278" s="17"/>
      <c r="L4278" s="17"/>
      <c r="M4278" s="17"/>
      <c r="N4278" s="17"/>
      <c r="O4278" s="17"/>
      <c r="P4278" s="17" t="s">
        <v>2622</v>
      </c>
      <c r="Q4278" s="17"/>
      <c r="R4278" s="25" t="str">
        <f>HYPERLINK("https://ictv.global/taxonomy/taxondetails?taxnode_id=202301043","Microwolfvirus microwolf")</f>
        <v>Microwolfvirus microwolf</v>
      </c>
      <c r="S4278" s="18" t="s">
        <v>30</v>
      </c>
      <c r="T4278" s="18" t="s">
        <v>2627</v>
      </c>
      <c r="U4278" s="18"/>
      <c r="V4278" s="18"/>
      <c r="W4278" s="18" t="s">
        <v>2628</v>
      </c>
      <c r="X4278" s="18" t="s">
        <v>42</v>
      </c>
      <c r="Y4278" s="18" t="s">
        <v>36</v>
      </c>
      <c r="Z4278" s="18" t="s">
        <v>697</v>
      </c>
      <c r="AA4278" s="21" t="str">
        <f>HYPERLINK("https://www.ncbi.nlm.nih.gov/nuccore/JF704101","NCBI Nucleotide")</f>
        <v>NCBI Nucleotide</v>
      </c>
    </row>
    <row r="4279" spans="1:27" x14ac:dyDescent="0.35">
      <c r="A4279">
        <v>1005908</v>
      </c>
      <c r="B4279">
        <v>4255</v>
      </c>
      <c r="C4279">
        <v>1</v>
      </c>
      <c r="D4279" s="17" t="s">
        <v>155</v>
      </c>
      <c r="E4279" s="17"/>
      <c r="F4279" s="17" t="s">
        <v>156</v>
      </c>
      <c r="G4279" s="17"/>
      <c r="H4279" s="17" t="s">
        <v>692</v>
      </c>
      <c r="I4279" s="17"/>
      <c r="J4279" s="17" t="s">
        <v>693</v>
      </c>
      <c r="K4279" s="17"/>
      <c r="L4279" s="17"/>
      <c r="M4279" s="17"/>
      <c r="N4279" s="17"/>
      <c r="O4279" s="17"/>
      <c r="P4279" s="17" t="s">
        <v>2622</v>
      </c>
      <c r="Q4279" s="17"/>
      <c r="R4279" s="25" t="str">
        <f>HYPERLINK("https://ictv.global/taxonomy/taxondetails?taxnode_id=202312421","Microwolfvirus purplehaze")</f>
        <v>Microwolfvirus purplehaze</v>
      </c>
      <c r="S4279" s="18" t="s">
        <v>30</v>
      </c>
      <c r="T4279" s="18" t="s">
        <v>2629</v>
      </c>
      <c r="U4279" s="18"/>
      <c r="V4279" s="18"/>
      <c r="W4279" s="18" t="s">
        <v>2630</v>
      </c>
      <c r="X4279" s="18" t="s">
        <v>42</v>
      </c>
      <c r="Y4279" s="18" t="s">
        <v>36</v>
      </c>
      <c r="Z4279" s="18" t="s">
        <v>697</v>
      </c>
      <c r="AA4279" s="21" t="str">
        <f>HYPERLINK("https://www.ncbi.nlm.nih.gov/nuccore/KY965063","NCBI Nucleotide")</f>
        <v>NCBI Nucleotide</v>
      </c>
    </row>
    <row r="4280" spans="1:27" x14ac:dyDescent="0.35">
      <c r="A4280">
        <v>1005909</v>
      </c>
      <c r="B4280">
        <v>4256</v>
      </c>
      <c r="C4280">
        <v>1</v>
      </c>
      <c r="D4280" s="17" t="s">
        <v>155</v>
      </c>
      <c r="E4280" s="17"/>
      <c r="F4280" s="17" t="s">
        <v>156</v>
      </c>
      <c r="G4280" s="17"/>
      <c r="H4280" s="17" t="s">
        <v>692</v>
      </c>
      <c r="I4280" s="17"/>
      <c r="J4280" s="17" t="s">
        <v>693</v>
      </c>
      <c r="K4280" s="17"/>
      <c r="L4280" s="17"/>
      <c r="M4280" s="17"/>
      <c r="N4280" s="17"/>
      <c r="O4280" s="17"/>
      <c r="P4280" s="17" t="s">
        <v>2622</v>
      </c>
      <c r="Q4280" s="17"/>
      <c r="R4280" s="25" t="str">
        <f>HYPERLINK("https://ictv.global/taxonomy/taxondetails?taxnode_id=202312422","Microwolfvirus soildragon")</f>
        <v>Microwolfvirus soildragon</v>
      </c>
      <c r="S4280" s="18" t="s">
        <v>30</v>
      </c>
      <c r="T4280" s="18" t="s">
        <v>2631</v>
      </c>
      <c r="U4280" s="18"/>
      <c r="V4280" s="18"/>
      <c r="W4280" s="18" t="s">
        <v>2632</v>
      </c>
      <c r="X4280" s="18" t="s">
        <v>42</v>
      </c>
      <c r="Y4280" s="18" t="s">
        <v>36</v>
      </c>
      <c r="Z4280" s="18" t="s">
        <v>697</v>
      </c>
      <c r="AA4280" s="21" t="str">
        <f>HYPERLINK("https://www.ncbi.nlm.nih.gov/nuccore/MN062718","NCBI Nucleotide")</f>
        <v>NCBI Nucleotide</v>
      </c>
    </row>
    <row r="4281" spans="1:27" x14ac:dyDescent="0.35">
      <c r="A4281">
        <v>1005910</v>
      </c>
      <c r="B4281">
        <v>4257</v>
      </c>
      <c r="C4281">
        <v>1</v>
      </c>
      <c r="D4281" s="17" t="s">
        <v>155</v>
      </c>
      <c r="E4281" s="17"/>
      <c r="F4281" s="17" t="s">
        <v>156</v>
      </c>
      <c r="G4281" s="17"/>
      <c r="H4281" s="17" t="s">
        <v>692</v>
      </c>
      <c r="I4281" s="17"/>
      <c r="J4281" s="17" t="s">
        <v>693</v>
      </c>
      <c r="K4281" s="17"/>
      <c r="L4281" s="17"/>
      <c r="M4281" s="17"/>
      <c r="N4281" s="17"/>
      <c r="O4281" s="17"/>
      <c r="P4281" s="17" t="s">
        <v>2622</v>
      </c>
      <c r="Q4281" s="17"/>
      <c r="R4281" s="25" t="str">
        <f>HYPERLINK("https://ictv.global/taxonomy/taxondetails?taxnode_id=202301068","Microwolfvirus wonder")</f>
        <v>Microwolfvirus wonder</v>
      </c>
      <c r="S4281" s="18" t="s">
        <v>30</v>
      </c>
      <c r="T4281" s="18" t="s">
        <v>2633</v>
      </c>
      <c r="U4281" s="18"/>
      <c r="V4281" s="18"/>
      <c r="W4281" s="18" t="s">
        <v>2634</v>
      </c>
      <c r="X4281" s="18" t="s">
        <v>42</v>
      </c>
      <c r="Y4281" s="18" t="s">
        <v>36</v>
      </c>
      <c r="Z4281" s="18" t="s">
        <v>697</v>
      </c>
      <c r="AA4281" s="21" t="str">
        <f>HYPERLINK("https://www.ncbi.nlm.nih.gov/nuccore/HM755814","NCBI Nucleotide")</f>
        <v>NCBI Nucleotide</v>
      </c>
    </row>
    <row r="4282" spans="1:27" x14ac:dyDescent="0.35">
      <c r="A4282">
        <v>1005911</v>
      </c>
      <c r="B4282">
        <v>4258</v>
      </c>
      <c r="C4282">
        <v>1</v>
      </c>
      <c r="D4282" s="17" t="s">
        <v>155</v>
      </c>
      <c r="E4282" s="17"/>
      <c r="F4282" s="17" t="s">
        <v>156</v>
      </c>
      <c r="G4282" s="17"/>
      <c r="H4282" s="17" t="s">
        <v>692</v>
      </c>
      <c r="I4282" s="17"/>
      <c r="J4282" s="17" t="s">
        <v>693</v>
      </c>
      <c r="K4282" s="17"/>
      <c r="L4282" s="17"/>
      <c r="M4282" s="17"/>
      <c r="N4282" s="17"/>
      <c r="O4282" s="17"/>
      <c r="P4282" s="17" t="s">
        <v>2622</v>
      </c>
      <c r="Q4282" s="17"/>
      <c r="R4282" s="25" t="str">
        <f>HYPERLINK("https://ictv.global/taxonomy/taxondetails?taxnode_id=202312423","Microwolfvirus zetzy")</f>
        <v>Microwolfvirus zetzy</v>
      </c>
      <c r="S4282" s="18" t="s">
        <v>30</v>
      </c>
      <c r="T4282" s="18" t="s">
        <v>2635</v>
      </c>
      <c r="U4282" s="18"/>
      <c r="V4282" s="18"/>
      <c r="W4282" s="18" t="s">
        <v>2636</v>
      </c>
      <c r="X4282" s="18" t="s">
        <v>42</v>
      </c>
      <c r="Y4282" s="18" t="s">
        <v>36</v>
      </c>
      <c r="Z4282" s="18" t="s">
        <v>697</v>
      </c>
      <c r="AA4282" s="21" t="str">
        <f>HYPERLINK("https://www.ncbi.nlm.nih.gov/nuccore/MK279903","NCBI Nucleotide")</f>
        <v>NCBI Nucleotide</v>
      </c>
    </row>
    <row r="4283" spans="1:27" x14ac:dyDescent="0.35">
      <c r="A4283">
        <v>1005912</v>
      </c>
      <c r="B4283">
        <v>4259</v>
      </c>
      <c r="C4283">
        <v>1</v>
      </c>
      <c r="D4283" s="17" t="s">
        <v>155</v>
      </c>
      <c r="E4283" s="17"/>
      <c r="F4283" s="17" t="s">
        <v>156</v>
      </c>
      <c r="G4283" s="17"/>
      <c r="H4283" s="17" t="s">
        <v>692</v>
      </c>
      <c r="I4283" s="17"/>
      <c r="J4283" s="17" t="s">
        <v>693</v>
      </c>
      <c r="K4283" s="17"/>
      <c r="L4283" s="17"/>
      <c r="M4283" s="17"/>
      <c r="N4283" s="17"/>
      <c r="O4283" s="17"/>
      <c r="P4283" s="17" t="s">
        <v>2637</v>
      </c>
      <c r="Q4283" s="17"/>
      <c r="R4283" s="25" t="str">
        <f>HYPERLINK("https://ictv.global/taxonomy/taxondetails?taxnode_id=202314676","Midgardsormrvirus midgardsormr38")</f>
        <v>Midgardsormrvirus midgardsormr38</v>
      </c>
      <c r="S4283" s="18" t="s">
        <v>30</v>
      </c>
      <c r="T4283" s="18" t="s">
        <v>2638</v>
      </c>
      <c r="U4283" s="18"/>
      <c r="V4283" s="18"/>
      <c r="W4283" s="18" t="s">
        <v>2639</v>
      </c>
      <c r="X4283" s="18" t="s">
        <v>42</v>
      </c>
      <c r="Y4283" s="18" t="s">
        <v>36</v>
      </c>
      <c r="Z4283" s="18" t="s">
        <v>697</v>
      </c>
      <c r="AA4283" s="21" t="str">
        <f>HYPERLINK("https://www.ncbi.nlm.nih.gov/nuccore/MN602881","NCBI Nucleotide")</f>
        <v>NCBI Nucleotide</v>
      </c>
    </row>
    <row r="4284" spans="1:27" x14ac:dyDescent="0.35">
      <c r="A4284">
        <v>1024980</v>
      </c>
      <c r="B4284">
        <v>4260</v>
      </c>
      <c r="C4284">
        <v>1</v>
      </c>
      <c r="D4284" s="17" t="s">
        <v>155</v>
      </c>
      <c r="E4284" s="17"/>
      <c r="F4284" s="17" t="s">
        <v>156</v>
      </c>
      <c r="G4284" s="17"/>
      <c r="H4284" s="17" t="s">
        <v>692</v>
      </c>
      <c r="I4284" s="17"/>
      <c r="J4284" s="17" t="s">
        <v>693</v>
      </c>
      <c r="K4284" s="17"/>
      <c r="L4284" s="17"/>
      <c r="M4284" s="17"/>
      <c r="N4284" s="17"/>
      <c r="O4284" s="17"/>
      <c r="P4284" s="17" t="s">
        <v>39998</v>
      </c>
      <c r="Q4284" s="17"/>
      <c r="R4284" s="25" t="str">
        <f>HYPERLINK("https://ictv.global/taxonomy/taxondetails?taxnode_id=202318567","Miecznikowavirus AH14a")</f>
        <v>Miecznikowavirus AH14a</v>
      </c>
      <c r="S4284" s="18" t="s">
        <v>30</v>
      </c>
      <c r="T4284" s="18" t="s">
        <v>39999</v>
      </c>
      <c r="U4284" s="18"/>
      <c r="V4284" s="18"/>
      <c r="W4284" s="18" t="s">
        <v>48555</v>
      </c>
      <c r="X4284" s="18" t="s">
        <v>42</v>
      </c>
      <c r="Y4284" s="18" t="s">
        <v>36</v>
      </c>
      <c r="Z4284" s="18" t="s">
        <v>697</v>
      </c>
      <c r="AA4284" s="21" t="str">
        <f>HYPERLINK("https://www.ncbi.nlm.nih.gov/nuccore/KU708004","NCBI Nucleotide")</f>
        <v>NCBI Nucleotide</v>
      </c>
    </row>
    <row r="4285" spans="1:27" x14ac:dyDescent="0.35">
      <c r="A4285">
        <v>1005913</v>
      </c>
      <c r="B4285">
        <v>4261</v>
      </c>
      <c r="C4285">
        <v>1</v>
      </c>
      <c r="D4285" s="17" t="s">
        <v>155</v>
      </c>
      <c r="E4285" s="17"/>
      <c r="F4285" s="17" t="s">
        <v>156</v>
      </c>
      <c r="G4285" s="17"/>
      <c r="H4285" s="17" t="s">
        <v>692</v>
      </c>
      <c r="I4285" s="17"/>
      <c r="J4285" s="17" t="s">
        <v>693</v>
      </c>
      <c r="K4285" s="17"/>
      <c r="L4285" s="17"/>
      <c r="M4285" s="17"/>
      <c r="N4285" s="17"/>
      <c r="O4285" s="17"/>
      <c r="P4285" s="17" t="s">
        <v>2640</v>
      </c>
      <c r="Q4285" s="17"/>
      <c r="R4285" s="25" t="str">
        <f>HYPERLINK("https://ictv.global/taxonomy/taxondetails?taxnode_id=202300496","Mieseafarmvirus RSL1")</f>
        <v>Mieseafarmvirus RSL1</v>
      </c>
      <c r="S4285" s="18" t="s">
        <v>30</v>
      </c>
      <c r="T4285" s="18" t="s">
        <v>2641</v>
      </c>
      <c r="U4285" s="18"/>
      <c r="V4285" s="18"/>
      <c r="W4285" s="18" t="s">
        <v>2642</v>
      </c>
      <c r="X4285" s="18" t="s">
        <v>42</v>
      </c>
      <c r="Y4285" s="18" t="s">
        <v>36</v>
      </c>
      <c r="Z4285" s="18" t="s">
        <v>697</v>
      </c>
      <c r="AA4285" s="21" t="str">
        <f>HYPERLINK("https://www.ncbi.nlm.nih.gov/nuccore/AB366653","NCBI Nucleotide")</f>
        <v>NCBI Nucleotide</v>
      </c>
    </row>
    <row r="4286" spans="1:27" x14ac:dyDescent="0.35">
      <c r="A4286">
        <v>1005914</v>
      </c>
      <c r="B4286">
        <v>4262</v>
      </c>
      <c r="C4286">
        <v>1</v>
      </c>
      <c r="D4286" s="17" t="s">
        <v>155</v>
      </c>
      <c r="E4286" s="17"/>
      <c r="F4286" s="17" t="s">
        <v>156</v>
      </c>
      <c r="G4286" s="17"/>
      <c r="H4286" s="17" t="s">
        <v>692</v>
      </c>
      <c r="I4286" s="17"/>
      <c r="J4286" s="17" t="s">
        <v>693</v>
      </c>
      <c r="K4286" s="17"/>
      <c r="L4286" s="17"/>
      <c r="M4286" s="17"/>
      <c r="N4286" s="17"/>
      <c r="O4286" s="17"/>
      <c r="P4286" s="17" t="s">
        <v>2643</v>
      </c>
      <c r="Q4286" s="17"/>
      <c r="R4286" s="25" t="str">
        <f>HYPERLINK("https://ictv.global/taxonomy/taxondetails?taxnode_id=202314785","Miltoncavirus PhiPA3")</f>
        <v>Miltoncavirus PhiPA3</v>
      </c>
      <c r="S4286" s="18" t="s">
        <v>30</v>
      </c>
      <c r="T4286" s="18" t="s">
        <v>2644</v>
      </c>
      <c r="U4286" s="18"/>
      <c r="V4286" s="18"/>
      <c r="W4286" s="18" t="s">
        <v>2645</v>
      </c>
      <c r="X4286" s="18" t="s">
        <v>42</v>
      </c>
      <c r="Y4286" s="18" t="s">
        <v>36</v>
      </c>
      <c r="Z4286" s="18" t="s">
        <v>697</v>
      </c>
      <c r="AA4286" s="21" t="str">
        <f>HYPERLINK("https://www.ncbi.nlm.nih.gov/nuccore/HQ630627","NCBI Nucleotide")</f>
        <v>NCBI Nucleotide</v>
      </c>
    </row>
    <row r="4287" spans="1:27" x14ac:dyDescent="0.35">
      <c r="A4287">
        <v>1005915</v>
      </c>
      <c r="B4287">
        <v>4263</v>
      </c>
      <c r="C4287">
        <v>1</v>
      </c>
      <c r="D4287" s="17" t="s">
        <v>155</v>
      </c>
      <c r="E4287" s="17"/>
      <c r="F4287" s="17" t="s">
        <v>156</v>
      </c>
      <c r="G4287" s="17"/>
      <c r="H4287" s="17" t="s">
        <v>692</v>
      </c>
      <c r="I4287" s="17"/>
      <c r="J4287" s="17" t="s">
        <v>693</v>
      </c>
      <c r="K4287" s="17"/>
      <c r="L4287" s="17"/>
      <c r="M4287" s="17"/>
      <c r="N4287" s="17"/>
      <c r="O4287" s="17"/>
      <c r="P4287" s="17" t="s">
        <v>2646</v>
      </c>
      <c r="Q4287" s="17"/>
      <c r="R4287" s="25" t="str">
        <f>HYPERLINK("https://ictv.global/taxonomy/taxondetails?taxnode_id=202306680","Mimasvirus CBB")</f>
        <v>Mimasvirus CBB</v>
      </c>
      <c r="S4287" s="18" t="s">
        <v>30</v>
      </c>
      <c r="T4287" s="18" t="s">
        <v>2647</v>
      </c>
      <c r="U4287" s="18"/>
      <c r="V4287" s="18"/>
      <c r="W4287" s="18" t="s">
        <v>2648</v>
      </c>
      <c r="X4287" s="18" t="s">
        <v>42</v>
      </c>
      <c r="Y4287" s="18" t="s">
        <v>36</v>
      </c>
      <c r="Z4287" s="18" t="s">
        <v>697</v>
      </c>
      <c r="AA4287" s="21" t="str">
        <f>HYPERLINK("https://www.ncbi.nlm.nih.gov/nuccore/KU574722","NCBI Nucleotide")</f>
        <v>NCBI Nucleotide</v>
      </c>
    </row>
    <row r="4288" spans="1:27" x14ac:dyDescent="0.35">
      <c r="A4288">
        <v>1005916</v>
      </c>
      <c r="B4288">
        <v>4264</v>
      </c>
      <c r="C4288">
        <v>1</v>
      </c>
      <c r="D4288" s="17" t="s">
        <v>155</v>
      </c>
      <c r="E4288" s="17"/>
      <c r="F4288" s="17" t="s">
        <v>156</v>
      </c>
      <c r="G4288" s="17"/>
      <c r="H4288" s="17" t="s">
        <v>692</v>
      </c>
      <c r="I4288" s="17"/>
      <c r="J4288" s="17" t="s">
        <v>693</v>
      </c>
      <c r="K4288" s="17"/>
      <c r="L4288" s="17"/>
      <c r="M4288" s="17"/>
      <c r="N4288" s="17"/>
      <c r="O4288" s="17"/>
      <c r="P4288" s="17" t="s">
        <v>2646</v>
      </c>
      <c r="Q4288" s="17"/>
      <c r="R4288" s="25" t="str">
        <f>HYPERLINK("https://ictv.global/taxonomy/taxondetails?taxnode_id=202306679","Mimasvirus GAP32")</f>
        <v>Mimasvirus GAP32</v>
      </c>
      <c r="S4288" s="18" t="s">
        <v>30</v>
      </c>
      <c r="T4288" s="18" t="s">
        <v>2649</v>
      </c>
      <c r="U4288" s="18"/>
      <c r="V4288" s="18"/>
      <c r="W4288" s="18" t="s">
        <v>2650</v>
      </c>
      <c r="X4288" s="18" t="s">
        <v>42</v>
      </c>
      <c r="Y4288" s="18" t="s">
        <v>36</v>
      </c>
      <c r="Z4288" s="18" t="s">
        <v>697</v>
      </c>
      <c r="AA4288" s="21" t="str">
        <f>HYPERLINK("https://www.ncbi.nlm.nih.gov/nuccore/JN882285","NCBI Nucleotide")</f>
        <v>NCBI Nucleotide</v>
      </c>
    </row>
    <row r="4289" spans="1:27" x14ac:dyDescent="0.35">
      <c r="A4289">
        <v>1005917</v>
      </c>
      <c r="B4289">
        <v>4265</v>
      </c>
      <c r="C4289">
        <v>1</v>
      </c>
      <c r="D4289" s="17" t="s">
        <v>155</v>
      </c>
      <c r="E4289" s="17"/>
      <c r="F4289" s="17" t="s">
        <v>156</v>
      </c>
      <c r="G4289" s="17"/>
      <c r="H4289" s="17" t="s">
        <v>692</v>
      </c>
      <c r="I4289" s="17"/>
      <c r="J4289" s="17" t="s">
        <v>693</v>
      </c>
      <c r="K4289" s="17"/>
      <c r="L4289" s="17"/>
      <c r="M4289" s="17"/>
      <c r="N4289" s="17"/>
      <c r="O4289" s="17"/>
      <c r="P4289" s="17" t="s">
        <v>2651</v>
      </c>
      <c r="Q4289" s="17"/>
      <c r="R4289" s="25" t="str">
        <f>HYPERLINK("https://ictv.global/taxonomy/taxondetails?taxnode_id=202306747","Minunavirus Min1")</f>
        <v>Minunavirus Min1</v>
      </c>
      <c r="S4289" s="18" t="s">
        <v>30</v>
      </c>
      <c r="T4289" s="18" t="s">
        <v>2652</v>
      </c>
      <c r="U4289" s="18"/>
      <c r="V4289" s="18"/>
      <c r="W4289" s="18" t="s">
        <v>2653</v>
      </c>
      <c r="X4289" s="18" t="s">
        <v>42</v>
      </c>
      <c r="Y4289" s="18" t="s">
        <v>36</v>
      </c>
      <c r="Z4289" s="18" t="s">
        <v>697</v>
      </c>
      <c r="AA4289" s="21" t="str">
        <f>HYPERLINK("https://www.ncbi.nlm.nih.gov/nuccore/EF579802","NCBI Nucleotide")</f>
        <v>NCBI Nucleotide</v>
      </c>
    </row>
    <row r="4290" spans="1:27" x14ac:dyDescent="0.35">
      <c r="A4290">
        <v>1005920</v>
      </c>
      <c r="B4290">
        <v>4266</v>
      </c>
      <c r="C4290">
        <v>1</v>
      </c>
      <c r="D4290" s="17" t="s">
        <v>155</v>
      </c>
      <c r="E4290" s="17"/>
      <c r="F4290" s="17" t="s">
        <v>156</v>
      </c>
      <c r="G4290" s="17"/>
      <c r="H4290" s="17" t="s">
        <v>692</v>
      </c>
      <c r="I4290" s="17"/>
      <c r="J4290" s="17" t="s">
        <v>693</v>
      </c>
      <c r="K4290" s="17"/>
      <c r="L4290" s="17"/>
      <c r="M4290" s="17"/>
      <c r="N4290" s="17"/>
      <c r="O4290" s="17"/>
      <c r="P4290" s="17" t="s">
        <v>2659</v>
      </c>
      <c r="Q4290" s="17"/>
      <c r="R4290" s="25" t="str">
        <f>HYPERLINK("https://ictv.global/taxonomy/taxondetails?taxnode_id=202314678","Mohonavirus ICP1")</f>
        <v>Mohonavirus ICP1</v>
      </c>
      <c r="S4290" s="18" t="s">
        <v>30</v>
      </c>
      <c r="T4290" s="18" t="s">
        <v>2660</v>
      </c>
      <c r="U4290" s="18"/>
      <c r="V4290" s="18"/>
      <c r="W4290" s="18" t="s">
        <v>2661</v>
      </c>
      <c r="X4290" s="18" t="s">
        <v>42</v>
      </c>
      <c r="Y4290" s="18" t="s">
        <v>36</v>
      </c>
      <c r="Z4290" s="18" t="s">
        <v>697</v>
      </c>
      <c r="AA4290" s="21" t="str">
        <f>HYPERLINK("https://www.ncbi.nlm.nih.gov/nuccore/HQ641347","NCBI Nucleotide")</f>
        <v>NCBI Nucleotide</v>
      </c>
    </row>
    <row r="4291" spans="1:27" x14ac:dyDescent="0.35">
      <c r="A4291">
        <v>1005921</v>
      </c>
      <c r="B4291">
        <v>4267</v>
      </c>
      <c r="C4291">
        <v>1</v>
      </c>
      <c r="D4291" s="17" t="s">
        <v>155</v>
      </c>
      <c r="E4291" s="17"/>
      <c r="F4291" s="17" t="s">
        <v>156</v>
      </c>
      <c r="G4291" s="17"/>
      <c r="H4291" s="17" t="s">
        <v>692</v>
      </c>
      <c r="I4291" s="17"/>
      <c r="J4291" s="17" t="s">
        <v>693</v>
      </c>
      <c r="K4291" s="17"/>
      <c r="L4291" s="17"/>
      <c r="M4291" s="17"/>
      <c r="N4291" s="17"/>
      <c r="O4291" s="17"/>
      <c r="P4291" s="17" t="s">
        <v>2662</v>
      </c>
      <c r="Q4291" s="17"/>
      <c r="R4291" s="25" t="str">
        <f>HYPERLINK("https://ictv.global/taxonomy/taxondetails?taxnode_id=202314680","Mollymurvirus mollymur")</f>
        <v>Mollymurvirus mollymur</v>
      </c>
      <c r="S4291" s="18" t="s">
        <v>30</v>
      </c>
      <c r="T4291" s="18" t="s">
        <v>2663</v>
      </c>
      <c r="U4291" s="18"/>
      <c r="V4291" s="18"/>
      <c r="W4291" s="18" t="s">
        <v>2664</v>
      </c>
      <c r="X4291" s="18" t="s">
        <v>42</v>
      </c>
      <c r="Y4291" s="18" t="s">
        <v>36</v>
      </c>
      <c r="Z4291" s="18" t="s">
        <v>697</v>
      </c>
      <c r="AA4291" s="21" t="str">
        <f>HYPERLINK("https://www.ncbi.nlm.nih.gov/nuccore/MK977705","NCBI Nucleotide")</f>
        <v>NCBI Nucleotide</v>
      </c>
    </row>
    <row r="4292" spans="1:27" x14ac:dyDescent="0.35">
      <c r="A4292">
        <v>1005922</v>
      </c>
      <c r="B4292">
        <v>4268</v>
      </c>
      <c r="C4292">
        <v>1</v>
      </c>
      <c r="D4292" s="17" t="s">
        <v>155</v>
      </c>
      <c r="E4292" s="17"/>
      <c r="F4292" s="17" t="s">
        <v>156</v>
      </c>
      <c r="G4292" s="17"/>
      <c r="H4292" s="17" t="s">
        <v>692</v>
      </c>
      <c r="I4292" s="17"/>
      <c r="J4292" s="17" t="s">
        <v>693</v>
      </c>
      <c r="K4292" s="17"/>
      <c r="L4292" s="17"/>
      <c r="M4292" s="17"/>
      <c r="N4292" s="17"/>
      <c r="O4292" s="17"/>
      <c r="P4292" s="17" t="s">
        <v>2665</v>
      </c>
      <c r="Q4292" s="17"/>
      <c r="R4292" s="25" t="str">
        <f>HYPERLINK("https://ictv.global/taxonomy/taxondetails?taxnode_id=202309112","Montyvirus adgers")</f>
        <v>Montyvirus adgers</v>
      </c>
      <c r="S4292" s="18" t="s">
        <v>30</v>
      </c>
      <c r="T4292" s="18" t="s">
        <v>2666</v>
      </c>
      <c r="U4292" s="18"/>
      <c r="V4292" s="18"/>
      <c r="W4292" s="18" t="s">
        <v>2667</v>
      </c>
      <c r="X4292" s="18" t="s">
        <v>42</v>
      </c>
      <c r="Y4292" s="18" t="s">
        <v>36</v>
      </c>
      <c r="Z4292" s="18" t="s">
        <v>697</v>
      </c>
      <c r="AA4292" s="21" t="str">
        <f>HYPERLINK("https://www.ncbi.nlm.nih.gov/nuccore/MG757152","NCBI Nucleotide")</f>
        <v>NCBI Nucleotide</v>
      </c>
    </row>
    <row r="4293" spans="1:27" x14ac:dyDescent="0.35">
      <c r="A4293">
        <v>1005923</v>
      </c>
      <c r="B4293">
        <v>4269</v>
      </c>
      <c r="C4293">
        <v>1</v>
      </c>
      <c r="D4293" s="17" t="s">
        <v>155</v>
      </c>
      <c r="E4293" s="17"/>
      <c r="F4293" s="17" t="s">
        <v>156</v>
      </c>
      <c r="G4293" s="17"/>
      <c r="H4293" s="17" t="s">
        <v>692</v>
      </c>
      <c r="I4293" s="17"/>
      <c r="J4293" s="17" t="s">
        <v>693</v>
      </c>
      <c r="K4293" s="17"/>
      <c r="L4293" s="17"/>
      <c r="M4293" s="17"/>
      <c r="N4293" s="17"/>
      <c r="O4293" s="17"/>
      <c r="P4293" s="17" t="s">
        <v>2665</v>
      </c>
      <c r="Q4293" s="17"/>
      <c r="R4293" s="25" t="str">
        <f>HYPERLINK("https://ictv.global/taxonomy/taxondetails?taxnode_id=202309110","Montyvirus beaver")</f>
        <v>Montyvirus beaver</v>
      </c>
      <c r="S4293" s="18" t="s">
        <v>30</v>
      </c>
      <c r="T4293" s="18" t="s">
        <v>2668</v>
      </c>
      <c r="U4293" s="18"/>
      <c r="V4293" s="18"/>
      <c r="W4293" s="18" t="s">
        <v>2669</v>
      </c>
      <c r="X4293" s="18" t="s">
        <v>42</v>
      </c>
      <c r="Y4293" s="18" t="s">
        <v>36</v>
      </c>
      <c r="Z4293" s="18" t="s">
        <v>697</v>
      </c>
      <c r="AA4293" s="21" t="str">
        <f>HYPERLINK("https://www.ncbi.nlm.nih.gov/nuccore/MK967390","NCBI Nucleotide")</f>
        <v>NCBI Nucleotide</v>
      </c>
    </row>
    <row r="4294" spans="1:27" x14ac:dyDescent="0.35">
      <c r="A4294">
        <v>1005924</v>
      </c>
      <c r="B4294">
        <v>4270</v>
      </c>
      <c r="C4294">
        <v>1</v>
      </c>
      <c r="D4294" s="17" t="s">
        <v>155</v>
      </c>
      <c r="E4294" s="17"/>
      <c r="F4294" s="17" t="s">
        <v>156</v>
      </c>
      <c r="G4294" s="17"/>
      <c r="H4294" s="17" t="s">
        <v>692</v>
      </c>
      <c r="I4294" s="17"/>
      <c r="J4294" s="17" t="s">
        <v>693</v>
      </c>
      <c r="K4294" s="17"/>
      <c r="L4294" s="17"/>
      <c r="M4294" s="17"/>
      <c r="N4294" s="17"/>
      <c r="O4294" s="17"/>
      <c r="P4294" s="17" t="s">
        <v>2665</v>
      </c>
      <c r="Q4294" s="17"/>
      <c r="R4294" s="25" t="str">
        <f>HYPERLINK("https://ictv.global/taxonomy/taxondetails?taxnode_id=202308659","Montyvirus birksandsocks")</f>
        <v>Montyvirus birksandsocks</v>
      </c>
      <c r="S4294" s="18" t="s">
        <v>30</v>
      </c>
      <c r="T4294" s="18" t="s">
        <v>2670</v>
      </c>
      <c r="U4294" s="18"/>
      <c r="V4294" s="18"/>
      <c r="W4294" s="18" t="s">
        <v>2671</v>
      </c>
      <c r="X4294" s="18" t="s">
        <v>42</v>
      </c>
      <c r="Y4294" s="18" t="s">
        <v>36</v>
      </c>
      <c r="Z4294" s="18" t="s">
        <v>697</v>
      </c>
      <c r="AA4294" s="21" t="str">
        <f>HYPERLINK("https://www.ncbi.nlm.nih.gov/nuccore/MG099940","NCBI Nucleotide")</f>
        <v>NCBI Nucleotide</v>
      </c>
    </row>
    <row r="4295" spans="1:27" x14ac:dyDescent="0.35">
      <c r="A4295">
        <v>1005925</v>
      </c>
      <c r="B4295">
        <v>4271</v>
      </c>
      <c r="C4295">
        <v>1</v>
      </c>
      <c r="D4295" s="17" t="s">
        <v>155</v>
      </c>
      <c r="E4295" s="17"/>
      <c r="F4295" s="17" t="s">
        <v>156</v>
      </c>
      <c r="G4295" s="17"/>
      <c r="H4295" s="17" t="s">
        <v>692</v>
      </c>
      <c r="I4295" s="17"/>
      <c r="J4295" s="17" t="s">
        <v>693</v>
      </c>
      <c r="K4295" s="17"/>
      <c r="L4295" s="17"/>
      <c r="M4295" s="17"/>
      <c r="N4295" s="17"/>
      <c r="O4295" s="17"/>
      <c r="P4295" s="17" t="s">
        <v>2665</v>
      </c>
      <c r="Q4295" s="17"/>
      <c r="R4295" s="25" t="str">
        <f>HYPERLINK("https://ictv.global/taxonomy/taxondetails?taxnode_id=202309114","Montyvirus chelms")</f>
        <v>Montyvirus chelms</v>
      </c>
      <c r="S4295" s="18" t="s">
        <v>30</v>
      </c>
      <c r="T4295" s="18" t="s">
        <v>2672</v>
      </c>
      <c r="U4295" s="18"/>
      <c r="V4295" s="18"/>
      <c r="W4295" s="18" t="s">
        <v>2673</v>
      </c>
      <c r="X4295" s="18" t="s">
        <v>42</v>
      </c>
      <c r="Y4295" s="18" t="s">
        <v>36</v>
      </c>
      <c r="Z4295" s="18" t="s">
        <v>697</v>
      </c>
      <c r="AA4295" s="21" t="str">
        <f>HYPERLINK("https://www.ncbi.nlm.nih.gov/nuccore/MK801733","NCBI Nucleotide")</f>
        <v>NCBI Nucleotide</v>
      </c>
    </row>
    <row r="4296" spans="1:27" x14ac:dyDescent="0.35">
      <c r="A4296">
        <v>1005926</v>
      </c>
      <c r="B4296">
        <v>4272</v>
      </c>
      <c r="C4296">
        <v>1</v>
      </c>
      <c r="D4296" s="17" t="s">
        <v>155</v>
      </c>
      <c r="E4296" s="17"/>
      <c r="F4296" s="17" t="s">
        <v>156</v>
      </c>
      <c r="G4296" s="17"/>
      <c r="H4296" s="17" t="s">
        <v>692</v>
      </c>
      <c r="I4296" s="17"/>
      <c r="J4296" s="17" t="s">
        <v>693</v>
      </c>
      <c r="K4296" s="17"/>
      <c r="L4296" s="17"/>
      <c r="M4296" s="17"/>
      <c r="N4296" s="17"/>
      <c r="O4296" s="17"/>
      <c r="P4296" s="17" t="s">
        <v>2665</v>
      </c>
      <c r="Q4296" s="17"/>
      <c r="R4296" s="25" t="str">
        <f>HYPERLINK("https://ictv.global/taxonomy/taxondetails?taxnode_id=202308658","Montyvirus flakey")</f>
        <v>Montyvirus flakey</v>
      </c>
      <c r="S4296" s="18" t="s">
        <v>30</v>
      </c>
      <c r="T4296" s="18" t="s">
        <v>2674</v>
      </c>
      <c r="U4296" s="18"/>
      <c r="V4296" s="18"/>
      <c r="W4296" s="18" t="s">
        <v>2675</v>
      </c>
      <c r="X4296" s="18" t="s">
        <v>42</v>
      </c>
      <c r="Y4296" s="18" t="s">
        <v>36</v>
      </c>
      <c r="Z4296" s="18" t="s">
        <v>697</v>
      </c>
      <c r="AA4296" s="21" t="str">
        <f>HYPERLINK("https://www.ncbi.nlm.nih.gov/nuccore/MG770211","NCBI Nucleotide")</f>
        <v>NCBI Nucleotide</v>
      </c>
    </row>
    <row r="4297" spans="1:27" x14ac:dyDescent="0.35">
      <c r="A4297">
        <v>1005927</v>
      </c>
      <c r="B4297">
        <v>4273</v>
      </c>
      <c r="C4297">
        <v>1</v>
      </c>
      <c r="D4297" s="17" t="s">
        <v>155</v>
      </c>
      <c r="E4297" s="17"/>
      <c r="F4297" s="17" t="s">
        <v>156</v>
      </c>
      <c r="G4297" s="17"/>
      <c r="H4297" s="17" t="s">
        <v>692</v>
      </c>
      <c r="I4297" s="17"/>
      <c r="J4297" s="17" t="s">
        <v>693</v>
      </c>
      <c r="K4297" s="17"/>
      <c r="L4297" s="17"/>
      <c r="M4297" s="17"/>
      <c r="N4297" s="17"/>
      <c r="O4297" s="17"/>
      <c r="P4297" s="17" t="s">
        <v>2665</v>
      </c>
      <c r="Q4297" s="17"/>
      <c r="R4297" s="25" t="str">
        <f>HYPERLINK("https://ictv.global/taxonomy/taxondetails?taxnode_id=202309109","Montyvirus jellybones")</f>
        <v>Montyvirus jellybones</v>
      </c>
      <c r="S4297" s="18" t="s">
        <v>30</v>
      </c>
      <c r="T4297" s="18" t="s">
        <v>2676</v>
      </c>
      <c r="U4297" s="18"/>
      <c r="V4297" s="18"/>
      <c r="W4297" s="18" t="s">
        <v>2677</v>
      </c>
      <c r="X4297" s="18" t="s">
        <v>42</v>
      </c>
      <c r="Y4297" s="18" t="s">
        <v>36</v>
      </c>
      <c r="Z4297" s="18" t="s">
        <v>697</v>
      </c>
      <c r="AA4297" s="21" t="str">
        <f>HYPERLINK("https://www.ncbi.nlm.nih.gov/nuccore/MN444874","NCBI Nucleotide")</f>
        <v>NCBI Nucleotide</v>
      </c>
    </row>
    <row r="4298" spans="1:27" x14ac:dyDescent="0.35">
      <c r="A4298">
        <v>1005928</v>
      </c>
      <c r="B4298">
        <v>4274</v>
      </c>
      <c r="C4298">
        <v>1</v>
      </c>
      <c r="D4298" s="17" t="s">
        <v>155</v>
      </c>
      <c r="E4298" s="17"/>
      <c r="F4298" s="17" t="s">
        <v>156</v>
      </c>
      <c r="G4298" s="17"/>
      <c r="H4298" s="17" t="s">
        <v>692</v>
      </c>
      <c r="I4298" s="17"/>
      <c r="J4298" s="17" t="s">
        <v>693</v>
      </c>
      <c r="K4298" s="17"/>
      <c r="L4298" s="17"/>
      <c r="M4298" s="17"/>
      <c r="N4298" s="17"/>
      <c r="O4298" s="17"/>
      <c r="P4298" s="17" t="s">
        <v>2665</v>
      </c>
      <c r="Q4298" s="17"/>
      <c r="R4298" s="25" t="str">
        <f>HYPERLINK("https://ictv.global/taxonomy/taxondetails?taxnode_id=202309111","Montyvirus john316")</f>
        <v>Montyvirus john316</v>
      </c>
      <c r="S4298" s="18" t="s">
        <v>30</v>
      </c>
      <c r="T4298" s="18" t="s">
        <v>2678</v>
      </c>
      <c r="U4298" s="18"/>
      <c r="V4298" s="18"/>
      <c r="W4298" s="18" t="s">
        <v>2679</v>
      </c>
      <c r="X4298" s="18" t="s">
        <v>42</v>
      </c>
      <c r="Y4298" s="18" t="s">
        <v>36</v>
      </c>
      <c r="Z4298" s="18" t="s">
        <v>697</v>
      </c>
      <c r="AA4298" s="21" t="str">
        <f>HYPERLINK("https://www.ncbi.nlm.nih.gov/nuccore/MN945905","NCBI Nucleotide")</f>
        <v>NCBI Nucleotide</v>
      </c>
    </row>
    <row r="4299" spans="1:27" x14ac:dyDescent="0.35">
      <c r="A4299">
        <v>1005929</v>
      </c>
      <c r="B4299">
        <v>4275</v>
      </c>
      <c r="C4299">
        <v>1</v>
      </c>
      <c r="D4299" s="17" t="s">
        <v>155</v>
      </c>
      <c r="E4299" s="17"/>
      <c r="F4299" s="17" t="s">
        <v>156</v>
      </c>
      <c r="G4299" s="17"/>
      <c r="H4299" s="17" t="s">
        <v>692</v>
      </c>
      <c r="I4299" s="17"/>
      <c r="J4299" s="17" t="s">
        <v>693</v>
      </c>
      <c r="K4299" s="17"/>
      <c r="L4299" s="17"/>
      <c r="M4299" s="17"/>
      <c r="N4299" s="17"/>
      <c r="O4299" s="17"/>
      <c r="P4299" s="17" t="s">
        <v>2665</v>
      </c>
      <c r="Q4299" s="17"/>
      <c r="R4299" s="25" t="str">
        <f>HYPERLINK("https://ictv.global/taxonomy/taxondetails?taxnode_id=202301374","Montyvirus monty")</f>
        <v>Montyvirus monty</v>
      </c>
      <c r="S4299" s="18" t="s">
        <v>30</v>
      </c>
      <c r="T4299" s="18" t="s">
        <v>2680</v>
      </c>
      <c r="U4299" s="18"/>
      <c r="V4299" s="18"/>
      <c r="W4299" s="18" t="s">
        <v>2681</v>
      </c>
      <c r="X4299" s="18" t="s">
        <v>42</v>
      </c>
      <c r="Y4299" s="18" t="s">
        <v>36</v>
      </c>
      <c r="Z4299" s="18" t="s">
        <v>697</v>
      </c>
      <c r="AA4299" s="21" t="str">
        <f>HYPERLINK("https://www.ncbi.nlm.nih.gov/nuccore/KU998241","NCBI Nucleotide")</f>
        <v>NCBI Nucleotide</v>
      </c>
    </row>
    <row r="4300" spans="1:27" x14ac:dyDescent="0.35">
      <c r="A4300">
        <v>1005930</v>
      </c>
      <c r="B4300">
        <v>4276</v>
      </c>
      <c r="C4300">
        <v>1</v>
      </c>
      <c r="D4300" s="17" t="s">
        <v>155</v>
      </c>
      <c r="E4300" s="17"/>
      <c r="F4300" s="17" t="s">
        <v>156</v>
      </c>
      <c r="G4300" s="17"/>
      <c r="H4300" s="17" t="s">
        <v>692</v>
      </c>
      <c r="I4300" s="17"/>
      <c r="J4300" s="17" t="s">
        <v>693</v>
      </c>
      <c r="K4300" s="17"/>
      <c r="L4300" s="17"/>
      <c r="M4300" s="17"/>
      <c r="N4300" s="17"/>
      <c r="O4300" s="17"/>
      <c r="P4300" s="17" t="s">
        <v>2665</v>
      </c>
      <c r="Q4300" s="17"/>
      <c r="R4300" s="25" t="str">
        <f>HYPERLINK("https://ictv.global/taxonomy/taxondetails?taxnode_id=202309113","Montyvirus sombrero")</f>
        <v>Montyvirus sombrero</v>
      </c>
      <c r="S4300" s="18" t="s">
        <v>30</v>
      </c>
      <c r="T4300" s="18" t="s">
        <v>2682</v>
      </c>
      <c r="U4300" s="18"/>
      <c r="V4300" s="18"/>
      <c r="W4300" s="18" t="s">
        <v>2683</v>
      </c>
      <c r="X4300" s="18" t="s">
        <v>42</v>
      </c>
      <c r="Y4300" s="18" t="s">
        <v>36</v>
      </c>
      <c r="Z4300" s="18" t="s">
        <v>697</v>
      </c>
      <c r="AA4300" s="21" t="str">
        <f>HYPERLINK("https://www.ncbi.nlm.nih.gov/nuccore/MK359302","NCBI Nucleotide")</f>
        <v>NCBI Nucleotide</v>
      </c>
    </row>
    <row r="4301" spans="1:27" x14ac:dyDescent="0.35">
      <c r="A4301">
        <v>1005931</v>
      </c>
      <c r="B4301">
        <v>4277</v>
      </c>
      <c r="C4301">
        <v>1</v>
      </c>
      <c r="D4301" s="17" t="s">
        <v>155</v>
      </c>
      <c r="E4301" s="17"/>
      <c r="F4301" s="17" t="s">
        <v>156</v>
      </c>
      <c r="G4301" s="17"/>
      <c r="H4301" s="17" t="s">
        <v>692</v>
      </c>
      <c r="I4301" s="17"/>
      <c r="J4301" s="17" t="s">
        <v>693</v>
      </c>
      <c r="K4301" s="17"/>
      <c r="L4301" s="17"/>
      <c r="M4301" s="17"/>
      <c r="N4301" s="17"/>
      <c r="O4301" s="17"/>
      <c r="P4301" s="17" t="s">
        <v>2665</v>
      </c>
      <c r="Q4301" s="17"/>
      <c r="R4301" s="25" t="str">
        <f>HYPERLINK("https://ictv.global/taxonomy/taxondetails?taxnode_id=202308660","Montyvirus stevefrench")</f>
        <v>Montyvirus stevefrench</v>
      </c>
      <c r="S4301" s="18" t="s">
        <v>30</v>
      </c>
      <c r="T4301" s="18" t="s">
        <v>2684</v>
      </c>
      <c r="U4301" s="18"/>
      <c r="V4301" s="18"/>
      <c r="W4301" s="18" t="s">
        <v>2685</v>
      </c>
      <c r="X4301" s="18" t="s">
        <v>42</v>
      </c>
      <c r="Y4301" s="18" t="s">
        <v>36</v>
      </c>
      <c r="Z4301" s="18" t="s">
        <v>697</v>
      </c>
      <c r="AA4301" s="21" t="str">
        <f>HYPERLINK("https://www.ncbi.nlm.nih.gov/nuccore/MG770214","NCBI Nucleotide")</f>
        <v>NCBI Nucleotide</v>
      </c>
    </row>
    <row r="4302" spans="1:27" x14ac:dyDescent="0.35">
      <c r="A4302">
        <v>1005932</v>
      </c>
      <c r="B4302">
        <v>4278</v>
      </c>
      <c r="C4302">
        <v>1</v>
      </c>
      <c r="D4302" s="17" t="s">
        <v>155</v>
      </c>
      <c r="E4302" s="17"/>
      <c r="F4302" s="17" t="s">
        <v>156</v>
      </c>
      <c r="G4302" s="17"/>
      <c r="H4302" s="17" t="s">
        <v>692</v>
      </c>
      <c r="I4302" s="17"/>
      <c r="J4302" s="17" t="s">
        <v>693</v>
      </c>
      <c r="K4302" s="17"/>
      <c r="L4302" s="17"/>
      <c r="M4302" s="17"/>
      <c r="N4302" s="17"/>
      <c r="O4302" s="17"/>
      <c r="P4302" s="17" t="s">
        <v>2686</v>
      </c>
      <c r="Q4302" s="17"/>
      <c r="R4302" s="25" t="str">
        <f>HYPERLINK("https://ictv.global/taxonomy/taxondetails?taxnode_id=202311542","Moturavirus motura")</f>
        <v>Moturavirus motura</v>
      </c>
      <c r="S4302" s="18" t="s">
        <v>30</v>
      </c>
      <c r="T4302" s="18" t="s">
        <v>2687</v>
      </c>
      <c r="U4302" s="18"/>
      <c r="V4302" s="18"/>
      <c r="W4302" s="18" t="s">
        <v>2688</v>
      </c>
      <c r="X4302" s="18" t="s">
        <v>42</v>
      </c>
      <c r="Y4302" s="18" t="s">
        <v>36</v>
      </c>
      <c r="Z4302" s="18" t="s">
        <v>697</v>
      </c>
      <c r="AA4302" s="21" t="str">
        <f>HYPERLINK("https://www.ncbi.nlm.nih.gov/nuccore/MN094788","NCBI Nucleotide")</f>
        <v>NCBI Nucleotide</v>
      </c>
    </row>
    <row r="4303" spans="1:27" x14ac:dyDescent="0.35">
      <c r="A4303">
        <v>1005933</v>
      </c>
      <c r="B4303">
        <v>4279</v>
      </c>
      <c r="C4303">
        <v>1</v>
      </c>
      <c r="D4303" s="17" t="s">
        <v>155</v>
      </c>
      <c r="E4303" s="17"/>
      <c r="F4303" s="17" t="s">
        <v>156</v>
      </c>
      <c r="G4303" s="17"/>
      <c r="H4303" s="17" t="s">
        <v>692</v>
      </c>
      <c r="I4303" s="17"/>
      <c r="J4303" s="17" t="s">
        <v>693</v>
      </c>
      <c r="K4303" s="17"/>
      <c r="L4303" s="17"/>
      <c r="M4303" s="17"/>
      <c r="N4303" s="17"/>
      <c r="O4303" s="17"/>
      <c r="P4303" s="17" t="s">
        <v>2689</v>
      </c>
      <c r="Q4303" s="17"/>
      <c r="R4303" s="25" t="str">
        <f>HYPERLINK("https://ictv.global/taxonomy/taxondetails?taxnode_id=202314681","Mudcatvirus arcadia")</f>
        <v>Mudcatvirus arcadia</v>
      </c>
      <c r="S4303" s="18" t="s">
        <v>30</v>
      </c>
      <c r="T4303" s="18" t="s">
        <v>2690</v>
      </c>
      <c r="U4303" s="18"/>
      <c r="V4303" s="18"/>
      <c r="W4303" s="18" t="s">
        <v>2691</v>
      </c>
      <c r="X4303" s="18" t="s">
        <v>42</v>
      </c>
      <c r="Y4303" s="18" t="s">
        <v>36</v>
      </c>
      <c r="Z4303" s="18" t="s">
        <v>697</v>
      </c>
      <c r="AA4303" s="21" t="str">
        <f>HYPERLINK("https://www.ncbi.nlm.nih.gov/nuccore/MF189170","NCBI Nucleotide")</f>
        <v>NCBI Nucleotide</v>
      </c>
    </row>
    <row r="4304" spans="1:27" x14ac:dyDescent="0.35">
      <c r="A4304">
        <v>1005934</v>
      </c>
      <c r="B4304">
        <v>4280</v>
      </c>
      <c r="C4304">
        <v>1</v>
      </c>
      <c r="D4304" s="17" t="s">
        <v>155</v>
      </c>
      <c r="E4304" s="17"/>
      <c r="F4304" s="17" t="s">
        <v>156</v>
      </c>
      <c r="G4304" s="17"/>
      <c r="H4304" s="17" t="s">
        <v>692</v>
      </c>
      <c r="I4304" s="17"/>
      <c r="J4304" s="17" t="s">
        <v>693</v>
      </c>
      <c r="K4304" s="17"/>
      <c r="L4304" s="17"/>
      <c r="M4304" s="17"/>
      <c r="N4304" s="17"/>
      <c r="O4304" s="17"/>
      <c r="P4304" s="17" t="s">
        <v>2689</v>
      </c>
      <c r="Q4304" s="17"/>
      <c r="R4304" s="25" t="str">
        <f>HYPERLINK("https://ictv.global/taxonomy/taxondetails?taxnode_id=202314683","Mudcatvirus cheesy")</f>
        <v>Mudcatvirus cheesy</v>
      </c>
      <c r="S4304" s="18" t="s">
        <v>30</v>
      </c>
      <c r="T4304" s="18" t="s">
        <v>2692</v>
      </c>
      <c r="U4304" s="18"/>
      <c r="V4304" s="18"/>
      <c r="W4304" s="18" t="s">
        <v>2693</v>
      </c>
      <c r="X4304" s="18" t="s">
        <v>42</v>
      </c>
      <c r="Y4304" s="18" t="s">
        <v>36</v>
      </c>
      <c r="Z4304" s="18" t="s">
        <v>697</v>
      </c>
      <c r="AA4304" s="21" t="str">
        <f>HYPERLINK("https://www.ncbi.nlm.nih.gov/nuccore/MF324906","NCBI Nucleotide")</f>
        <v>NCBI Nucleotide</v>
      </c>
    </row>
    <row r="4305" spans="1:27" x14ac:dyDescent="0.35">
      <c r="A4305">
        <v>1005935</v>
      </c>
      <c r="B4305">
        <v>4281</v>
      </c>
      <c r="C4305">
        <v>1</v>
      </c>
      <c r="D4305" s="17" t="s">
        <v>155</v>
      </c>
      <c r="E4305" s="17"/>
      <c r="F4305" s="17" t="s">
        <v>156</v>
      </c>
      <c r="G4305" s="17"/>
      <c r="H4305" s="17" t="s">
        <v>692</v>
      </c>
      <c r="I4305" s="17"/>
      <c r="J4305" s="17" t="s">
        <v>693</v>
      </c>
      <c r="K4305" s="17"/>
      <c r="L4305" s="17"/>
      <c r="M4305" s="17"/>
      <c r="N4305" s="17"/>
      <c r="O4305" s="17"/>
      <c r="P4305" s="17" t="s">
        <v>2689</v>
      </c>
      <c r="Q4305" s="17"/>
      <c r="R4305" s="25" t="str">
        <f>HYPERLINK("https://ictv.global/taxonomy/taxondetails?taxnode_id=202301082","Mudcatvirus circum")</f>
        <v>Mudcatvirus circum</v>
      </c>
      <c r="S4305" s="18" t="s">
        <v>30</v>
      </c>
      <c r="T4305" s="18" t="s">
        <v>2694</v>
      </c>
      <c r="U4305" s="18"/>
      <c r="V4305" s="18"/>
      <c r="W4305" s="18" t="s">
        <v>2695</v>
      </c>
      <c r="X4305" s="18" t="s">
        <v>42</v>
      </c>
      <c r="Y4305" s="18" t="s">
        <v>36</v>
      </c>
      <c r="Z4305" s="18" t="s">
        <v>697</v>
      </c>
      <c r="AA4305" s="21" t="str">
        <f>HYPERLINK("https://www.ncbi.nlm.nih.gov/nuccore/KU160642","NCBI Nucleotide")</f>
        <v>NCBI Nucleotide</v>
      </c>
    </row>
    <row r="4306" spans="1:27" x14ac:dyDescent="0.35">
      <c r="A4306">
        <v>1005936</v>
      </c>
      <c r="B4306">
        <v>4282</v>
      </c>
      <c r="C4306">
        <v>1</v>
      </c>
      <c r="D4306" s="17" t="s">
        <v>155</v>
      </c>
      <c r="E4306" s="17"/>
      <c r="F4306" s="17" t="s">
        <v>156</v>
      </c>
      <c r="G4306" s="17"/>
      <c r="H4306" s="17" t="s">
        <v>692</v>
      </c>
      <c r="I4306" s="17"/>
      <c r="J4306" s="17" t="s">
        <v>693</v>
      </c>
      <c r="K4306" s="17"/>
      <c r="L4306" s="17"/>
      <c r="M4306" s="17"/>
      <c r="N4306" s="17"/>
      <c r="O4306" s="17"/>
      <c r="P4306" s="17" t="s">
        <v>2689</v>
      </c>
      <c r="Q4306" s="17"/>
      <c r="R4306" s="25" t="str">
        <f>HYPERLINK("https://ictv.global/taxonomy/taxondetails?taxnode_id=202314684","Mudcatvirus correa")</f>
        <v>Mudcatvirus correa</v>
      </c>
      <c r="S4306" s="18" t="s">
        <v>30</v>
      </c>
      <c r="T4306" s="18" t="s">
        <v>2696</v>
      </c>
      <c r="U4306" s="18"/>
      <c r="V4306" s="18"/>
      <c r="W4306" s="18" t="s">
        <v>2697</v>
      </c>
      <c r="X4306" s="18" t="s">
        <v>42</v>
      </c>
      <c r="Y4306" s="18" t="s">
        <v>36</v>
      </c>
      <c r="Z4306" s="18" t="s">
        <v>697</v>
      </c>
      <c r="AA4306" s="21" t="str">
        <f>HYPERLINK("https://www.ncbi.nlm.nih.gov/nuccore/MF189171","NCBI Nucleotide")</f>
        <v>NCBI Nucleotide</v>
      </c>
    </row>
    <row r="4307" spans="1:27" x14ac:dyDescent="0.35">
      <c r="A4307">
        <v>1005937</v>
      </c>
      <c r="B4307">
        <v>4283</v>
      </c>
      <c r="C4307">
        <v>1</v>
      </c>
      <c r="D4307" s="17" t="s">
        <v>155</v>
      </c>
      <c r="E4307" s="17"/>
      <c r="F4307" s="17" t="s">
        <v>156</v>
      </c>
      <c r="G4307" s="17"/>
      <c r="H4307" s="17" t="s">
        <v>692</v>
      </c>
      <c r="I4307" s="17"/>
      <c r="J4307" s="17" t="s">
        <v>693</v>
      </c>
      <c r="K4307" s="17"/>
      <c r="L4307" s="17"/>
      <c r="M4307" s="17"/>
      <c r="N4307" s="17"/>
      <c r="O4307" s="17"/>
      <c r="P4307" s="17" t="s">
        <v>2689</v>
      </c>
      <c r="Q4307" s="17"/>
      <c r="R4307" s="25" t="str">
        <f>HYPERLINK("https://ictv.global/taxonomy/taxondetails?taxnode_id=202314689","Mudcatvirus dynamite")</f>
        <v>Mudcatvirus dynamite</v>
      </c>
      <c r="S4307" s="18" t="s">
        <v>30</v>
      </c>
      <c r="T4307" s="18" t="s">
        <v>2698</v>
      </c>
      <c r="U4307" s="18"/>
      <c r="V4307" s="18"/>
      <c r="W4307" s="18" t="s">
        <v>2699</v>
      </c>
      <c r="X4307" s="18" t="s">
        <v>42</v>
      </c>
      <c r="Y4307" s="18" t="s">
        <v>36</v>
      </c>
      <c r="Z4307" s="18" t="s">
        <v>697</v>
      </c>
      <c r="AA4307" s="21" t="str">
        <f>HYPERLINK("https://www.ncbi.nlm.nih.gov/nuccore/MZ747520","NCBI Nucleotide")</f>
        <v>NCBI Nucleotide</v>
      </c>
    </row>
    <row r="4308" spans="1:27" x14ac:dyDescent="0.35">
      <c r="A4308">
        <v>1005938</v>
      </c>
      <c r="B4308">
        <v>4284</v>
      </c>
      <c r="C4308">
        <v>1</v>
      </c>
      <c r="D4308" s="17" t="s">
        <v>155</v>
      </c>
      <c r="E4308" s="17"/>
      <c r="F4308" s="17" t="s">
        <v>156</v>
      </c>
      <c r="G4308" s="17"/>
      <c r="H4308" s="17" t="s">
        <v>692</v>
      </c>
      <c r="I4308" s="17"/>
      <c r="J4308" s="17" t="s">
        <v>693</v>
      </c>
      <c r="K4308" s="17"/>
      <c r="L4308" s="17"/>
      <c r="M4308" s="17"/>
      <c r="N4308" s="17"/>
      <c r="O4308" s="17"/>
      <c r="P4308" s="17" t="s">
        <v>2689</v>
      </c>
      <c r="Q4308" s="17"/>
      <c r="R4308" s="25" t="str">
        <f>HYPERLINK("https://ictv.global/taxonomy/taxondetails?taxnode_id=202314686","Mudcatvirus heisenberger")</f>
        <v>Mudcatvirus heisenberger</v>
      </c>
      <c r="S4308" s="18" t="s">
        <v>30</v>
      </c>
      <c r="T4308" s="18" t="s">
        <v>2700</v>
      </c>
      <c r="U4308" s="18"/>
      <c r="V4308" s="18"/>
      <c r="W4308" s="18" t="s">
        <v>2701</v>
      </c>
      <c r="X4308" s="18" t="s">
        <v>42</v>
      </c>
      <c r="Y4308" s="18" t="s">
        <v>36</v>
      </c>
      <c r="Z4308" s="18" t="s">
        <v>697</v>
      </c>
      <c r="AA4308" s="21" t="str">
        <f>HYPERLINK("https://www.ncbi.nlm.nih.gov/nuccore/MF189173","NCBI Nucleotide")</f>
        <v>NCBI Nucleotide</v>
      </c>
    </row>
    <row r="4309" spans="1:27" x14ac:dyDescent="0.35">
      <c r="A4309">
        <v>1005939</v>
      </c>
      <c r="B4309">
        <v>4285</v>
      </c>
      <c r="C4309">
        <v>1</v>
      </c>
      <c r="D4309" s="17" t="s">
        <v>155</v>
      </c>
      <c r="E4309" s="17"/>
      <c r="F4309" s="17" t="s">
        <v>156</v>
      </c>
      <c r="G4309" s="17"/>
      <c r="H4309" s="17" t="s">
        <v>692</v>
      </c>
      <c r="I4309" s="17"/>
      <c r="J4309" s="17" t="s">
        <v>693</v>
      </c>
      <c r="K4309" s="17"/>
      <c r="L4309" s="17"/>
      <c r="M4309" s="17"/>
      <c r="N4309" s="17"/>
      <c r="O4309" s="17"/>
      <c r="P4309" s="17" t="s">
        <v>2689</v>
      </c>
      <c r="Q4309" s="17"/>
      <c r="R4309" s="25" t="str">
        <f>HYPERLINK("https://ictv.global/taxonomy/taxondetails?taxnode_id=202314687","Mudcatvirus JEGGS")</f>
        <v>Mudcatvirus JEGGS</v>
      </c>
      <c r="S4309" s="18" t="s">
        <v>30</v>
      </c>
      <c r="T4309" s="18" t="s">
        <v>2702</v>
      </c>
      <c r="U4309" s="18"/>
      <c r="V4309" s="18"/>
      <c r="W4309" s="18" t="s">
        <v>2703</v>
      </c>
      <c r="X4309" s="18" t="s">
        <v>42</v>
      </c>
      <c r="Y4309" s="18" t="s">
        <v>36</v>
      </c>
      <c r="Z4309" s="18" t="s">
        <v>697</v>
      </c>
      <c r="AA4309" s="21" t="str">
        <f>HYPERLINK("https://www.ncbi.nlm.nih.gov/nuccore/MK967398","NCBI Nucleotide")</f>
        <v>NCBI Nucleotide</v>
      </c>
    </row>
    <row r="4310" spans="1:27" x14ac:dyDescent="0.35">
      <c r="A4310">
        <v>1005940</v>
      </c>
      <c r="B4310">
        <v>4286</v>
      </c>
      <c r="C4310">
        <v>1</v>
      </c>
      <c r="D4310" s="17" t="s">
        <v>155</v>
      </c>
      <c r="E4310" s="17"/>
      <c r="F4310" s="17" t="s">
        <v>156</v>
      </c>
      <c r="G4310" s="17"/>
      <c r="H4310" s="17" t="s">
        <v>692</v>
      </c>
      <c r="I4310" s="17"/>
      <c r="J4310" s="17" t="s">
        <v>693</v>
      </c>
      <c r="K4310" s="17"/>
      <c r="L4310" s="17"/>
      <c r="M4310" s="17"/>
      <c r="N4310" s="17"/>
      <c r="O4310" s="17"/>
      <c r="P4310" s="17" t="s">
        <v>2689</v>
      </c>
      <c r="Q4310" s="17"/>
      <c r="R4310" s="25" t="str">
        <f>HYPERLINK("https://ictv.global/taxonomy/taxondetails?taxnode_id=202314688","Mudcatvirus kardesai")</f>
        <v>Mudcatvirus kardesai</v>
      </c>
      <c r="S4310" s="18" t="s">
        <v>30</v>
      </c>
      <c r="T4310" s="18" t="s">
        <v>2704</v>
      </c>
      <c r="U4310" s="18"/>
      <c r="V4310" s="18"/>
      <c r="W4310" s="18" t="s">
        <v>2705</v>
      </c>
      <c r="X4310" s="18" t="s">
        <v>42</v>
      </c>
      <c r="Y4310" s="18" t="s">
        <v>36</v>
      </c>
      <c r="Z4310" s="18" t="s">
        <v>697</v>
      </c>
      <c r="AA4310" s="21" t="str">
        <f>HYPERLINK("https://www.ncbi.nlm.nih.gov/nuccore/MZ209300","NCBI Nucleotide")</f>
        <v>NCBI Nucleotide</v>
      </c>
    </row>
    <row r="4311" spans="1:27" x14ac:dyDescent="0.35">
      <c r="A4311">
        <v>1005941</v>
      </c>
      <c r="B4311">
        <v>4287</v>
      </c>
      <c r="C4311">
        <v>1</v>
      </c>
      <c r="D4311" s="17" t="s">
        <v>155</v>
      </c>
      <c r="E4311" s="17"/>
      <c r="F4311" s="17" t="s">
        <v>156</v>
      </c>
      <c r="G4311" s="17"/>
      <c r="H4311" s="17" t="s">
        <v>692</v>
      </c>
      <c r="I4311" s="17"/>
      <c r="J4311" s="17" t="s">
        <v>693</v>
      </c>
      <c r="K4311" s="17"/>
      <c r="L4311" s="17"/>
      <c r="M4311" s="17"/>
      <c r="N4311" s="17"/>
      <c r="O4311" s="17"/>
      <c r="P4311" s="17" t="s">
        <v>2689</v>
      </c>
      <c r="Q4311" s="17"/>
      <c r="R4311" s="25" t="str">
        <f>HYPERLINK("https://ictv.global/taxonomy/taxondetails?taxnode_id=202314690","Mudcatvirus keaneylin")</f>
        <v>Mudcatvirus keaneylin</v>
      </c>
      <c r="S4311" s="18" t="s">
        <v>30</v>
      </c>
      <c r="T4311" s="18" t="s">
        <v>2706</v>
      </c>
      <c r="U4311" s="18"/>
      <c r="V4311" s="18"/>
      <c r="W4311" s="18" t="s">
        <v>2707</v>
      </c>
      <c r="X4311" s="18" t="s">
        <v>42</v>
      </c>
      <c r="Y4311" s="18" t="s">
        <v>36</v>
      </c>
      <c r="Z4311" s="18" t="s">
        <v>697</v>
      </c>
      <c r="AA4311" s="21" t="str">
        <f>HYPERLINK("https://www.ncbi.nlm.nih.gov/nuccore/MH450120","NCBI Nucleotide")</f>
        <v>NCBI Nucleotide</v>
      </c>
    </row>
    <row r="4312" spans="1:27" x14ac:dyDescent="0.35">
      <c r="A4312">
        <v>1005942</v>
      </c>
      <c r="B4312">
        <v>4288</v>
      </c>
      <c r="C4312">
        <v>1</v>
      </c>
      <c r="D4312" s="17" t="s">
        <v>155</v>
      </c>
      <c r="E4312" s="17"/>
      <c r="F4312" s="17" t="s">
        <v>156</v>
      </c>
      <c r="G4312" s="17"/>
      <c r="H4312" s="17" t="s">
        <v>692</v>
      </c>
      <c r="I4312" s="17"/>
      <c r="J4312" s="17" t="s">
        <v>693</v>
      </c>
      <c r="K4312" s="17"/>
      <c r="L4312" s="17"/>
      <c r="M4312" s="17"/>
      <c r="N4312" s="17"/>
      <c r="O4312" s="17"/>
      <c r="P4312" s="17" t="s">
        <v>2689</v>
      </c>
      <c r="Q4312" s="17"/>
      <c r="R4312" s="25" t="str">
        <f>HYPERLINK("https://ictv.global/taxonomy/taxondetails?taxnode_id=202301083","Mudcatvirus mudcat")</f>
        <v>Mudcatvirus mudcat</v>
      </c>
      <c r="S4312" s="18" t="s">
        <v>30</v>
      </c>
      <c r="T4312" s="18" t="s">
        <v>2708</v>
      </c>
      <c r="U4312" s="18"/>
      <c r="V4312" s="18"/>
      <c r="W4312" s="18" t="s">
        <v>2709</v>
      </c>
      <c r="X4312" s="18" t="s">
        <v>42</v>
      </c>
      <c r="Y4312" s="18" t="s">
        <v>36</v>
      </c>
      <c r="Z4312" s="18" t="s">
        <v>697</v>
      </c>
      <c r="AA4312" s="21" t="str">
        <f>HYPERLINK("https://www.ncbi.nlm.nih.gov/nuccore/KU647628","NCBI Nucleotide")</f>
        <v>NCBI Nucleotide</v>
      </c>
    </row>
    <row r="4313" spans="1:27" x14ac:dyDescent="0.35">
      <c r="A4313">
        <v>1005943</v>
      </c>
      <c r="B4313">
        <v>4289</v>
      </c>
      <c r="C4313">
        <v>1</v>
      </c>
      <c r="D4313" s="17" t="s">
        <v>155</v>
      </c>
      <c r="E4313" s="17"/>
      <c r="F4313" s="17" t="s">
        <v>156</v>
      </c>
      <c r="G4313" s="17"/>
      <c r="H4313" s="17" t="s">
        <v>692</v>
      </c>
      <c r="I4313" s="17"/>
      <c r="J4313" s="17" t="s">
        <v>693</v>
      </c>
      <c r="K4313" s="17"/>
      <c r="L4313" s="17"/>
      <c r="M4313" s="17"/>
      <c r="N4313" s="17"/>
      <c r="O4313" s="17"/>
      <c r="P4313" s="17" t="s">
        <v>2689</v>
      </c>
      <c r="Q4313" s="17"/>
      <c r="R4313" s="25" t="str">
        <f>HYPERLINK("https://ictv.global/taxonomy/taxondetails?taxnode_id=202314682","Mudcatvirus tribby")</f>
        <v>Mudcatvirus tribby</v>
      </c>
      <c r="S4313" s="18" t="s">
        <v>30</v>
      </c>
      <c r="T4313" s="18" t="s">
        <v>2710</v>
      </c>
      <c r="U4313" s="18"/>
      <c r="V4313" s="18"/>
      <c r="W4313" s="18" t="s">
        <v>2711</v>
      </c>
      <c r="X4313" s="18" t="s">
        <v>42</v>
      </c>
      <c r="Y4313" s="18" t="s">
        <v>36</v>
      </c>
      <c r="Z4313" s="18" t="s">
        <v>697</v>
      </c>
      <c r="AA4313" s="21" t="str">
        <f>HYPERLINK("https://www.ncbi.nlm.nih.gov/nuccore/MF189175","NCBI Nucleotide")</f>
        <v>NCBI Nucleotide</v>
      </c>
    </row>
    <row r="4314" spans="1:27" x14ac:dyDescent="0.35">
      <c r="A4314">
        <v>1005944</v>
      </c>
      <c r="B4314">
        <v>4290</v>
      </c>
      <c r="C4314">
        <v>1</v>
      </c>
      <c r="D4314" s="17" t="s">
        <v>155</v>
      </c>
      <c r="E4314" s="17"/>
      <c r="F4314" s="17" t="s">
        <v>156</v>
      </c>
      <c r="G4314" s="17"/>
      <c r="H4314" s="17" t="s">
        <v>692</v>
      </c>
      <c r="I4314" s="17"/>
      <c r="J4314" s="17" t="s">
        <v>693</v>
      </c>
      <c r="K4314" s="17"/>
      <c r="L4314" s="17"/>
      <c r="M4314" s="17"/>
      <c r="N4314" s="17"/>
      <c r="O4314" s="17"/>
      <c r="P4314" s="17" t="s">
        <v>2689</v>
      </c>
      <c r="Q4314" s="17"/>
      <c r="R4314" s="25" t="str">
        <f>HYPERLINK("https://ictv.global/taxonomy/taxondetails?taxnode_id=202314685","Mudcatvirus xenomorph")</f>
        <v>Mudcatvirus xenomorph</v>
      </c>
      <c r="S4314" s="18" t="s">
        <v>30</v>
      </c>
      <c r="T4314" s="18" t="s">
        <v>2712</v>
      </c>
      <c r="U4314" s="18"/>
      <c r="V4314" s="18"/>
      <c r="W4314" s="18" t="s">
        <v>2713</v>
      </c>
      <c r="X4314" s="18" t="s">
        <v>42</v>
      </c>
      <c r="Y4314" s="18" t="s">
        <v>36</v>
      </c>
      <c r="Z4314" s="18" t="s">
        <v>697</v>
      </c>
      <c r="AA4314" s="21" t="str">
        <f>HYPERLINK("https://www.ncbi.nlm.nih.gov/nuccore/MK919473","NCBI Nucleotide")</f>
        <v>NCBI Nucleotide</v>
      </c>
    </row>
    <row r="4315" spans="1:27" x14ac:dyDescent="0.35">
      <c r="A4315">
        <v>1005945</v>
      </c>
      <c r="B4315">
        <v>4291</v>
      </c>
      <c r="C4315">
        <v>1</v>
      </c>
      <c r="D4315" s="17" t="s">
        <v>155</v>
      </c>
      <c r="E4315" s="17"/>
      <c r="F4315" s="17" t="s">
        <v>156</v>
      </c>
      <c r="G4315" s="17"/>
      <c r="H4315" s="17" t="s">
        <v>692</v>
      </c>
      <c r="I4315" s="17"/>
      <c r="J4315" s="17" t="s">
        <v>693</v>
      </c>
      <c r="K4315" s="17"/>
      <c r="L4315" s="17"/>
      <c r="M4315" s="17"/>
      <c r="N4315" s="17"/>
      <c r="O4315" s="17"/>
      <c r="P4315" s="17" t="s">
        <v>2714</v>
      </c>
      <c r="Q4315" s="17"/>
      <c r="R4315" s="25" t="str">
        <f>HYPERLINK("https://ictv.global/taxonomy/taxondetails?taxnode_id=202311544","Mufasoctovirus mufasa8")</f>
        <v>Mufasoctovirus mufasa8</v>
      </c>
      <c r="S4315" s="18" t="s">
        <v>30</v>
      </c>
      <c r="T4315" s="18" t="s">
        <v>2715</v>
      </c>
      <c r="U4315" s="18"/>
      <c r="V4315" s="18"/>
      <c r="W4315" s="18" t="s">
        <v>2716</v>
      </c>
      <c r="X4315" s="18" t="s">
        <v>42</v>
      </c>
      <c r="Y4315" s="18" t="s">
        <v>36</v>
      </c>
      <c r="Z4315" s="18" t="s">
        <v>697</v>
      </c>
      <c r="AA4315" s="21" t="str">
        <f>HYPERLINK("https://www.ncbi.nlm.nih.gov/nuccore/MN586027","NCBI Nucleotide")</f>
        <v>NCBI Nucleotide</v>
      </c>
    </row>
    <row r="4316" spans="1:27" x14ac:dyDescent="0.35">
      <c r="A4316">
        <v>1005946</v>
      </c>
      <c r="B4316">
        <v>4292</v>
      </c>
      <c r="C4316">
        <v>1</v>
      </c>
      <c r="D4316" s="17" t="s">
        <v>155</v>
      </c>
      <c r="E4316" s="17"/>
      <c r="F4316" s="17" t="s">
        <v>156</v>
      </c>
      <c r="G4316" s="17"/>
      <c r="H4316" s="17" t="s">
        <v>692</v>
      </c>
      <c r="I4316" s="17"/>
      <c r="J4316" s="17" t="s">
        <v>693</v>
      </c>
      <c r="K4316" s="17"/>
      <c r="L4316" s="17"/>
      <c r="M4316" s="17"/>
      <c r="N4316" s="17"/>
      <c r="O4316" s="17"/>
      <c r="P4316" s="17" t="s">
        <v>2717</v>
      </c>
      <c r="Q4316" s="17"/>
      <c r="R4316" s="25" t="str">
        <f>HYPERLINK("https://ictv.global/taxonomy/taxondetails?taxnode_id=202311546","Muldoonvirus muldoon")</f>
        <v>Muldoonvirus muldoon</v>
      </c>
      <c r="S4316" s="18" t="s">
        <v>30</v>
      </c>
      <c r="T4316" s="18" t="s">
        <v>2718</v>
      </c>
      <c r="U4316" s="18"/>
      <c r="V4316" s="18"/>
      <c r="W4316" s="18" t="s">
        <v>2719</v>
      </c>
      <c r="X4316" s="18" t="s">
        <v>42</v>
      </c>
      <c r="Y4316" s="18" t="s">
        <v>36</v>
      </c>
      <c r="Z4316" s="18" t="s">
        <v>697</v>
      </c>
      <c r="AA4316" s="21" t="str">
        <f>HYPERLINK("https://www.ncbi.nlm.nih.gov/nuccore/MN095771","NCBI Nucleotide")</f>
        <v>NCBI Nucleotide</v>
      </c>
    </row>
    <row r="4317" spans="1:27" x14ac:dyDescent="0.35">
      <c r="A4317">
        <v>1005947</v>
      </c>
      <c r="B4317">
        <v>4293</v>
      </c>
      <c r="C4317">
        <v>1</v>
      </c>
      <c r="D4317" s="17" t="s">
        <v>155</v>
      </c>
      <c r="E4317" s="17"/>
      <c r="F4317" s="17" t="s">
        <v>156</v>
      </c>
      <c r="G4317" s="17"/>
      <c r="H4317" s="17" t="s">
        <v>692</v>
      </c>
      <c r="I4317" s="17"/>
      <c r="J4317" s="17" t="s">
        <v>693</v>
      </c>
      <c r="K4317" s="17"/>
      <c r="L4317" s="17"/>
      <c r="M4317" s="17"/>
      <c r="N4317" s="17"/>
      <c r="O4317" s="17"/>
      <c r="P4317" s="17" t="s">
        <v>2717</v>
      </c>
      <c r="Q4317" s="17"/>
      <c r="R4317" s="25" t="str">
        <f>HYPERLINK("https://ictv.global/taxonomy/taxondetails?taxnode_id=202311547","Muldoonvirus PS2")</f>
        <v>Muldoonvirus PS2</v>
      </c>
      <c r="S4317" s="18" t="s">
        <v>30</v>
      </c>
      <c r="T4317" s="18" t="s">
        <v>2720</v>
      </c>
      <c r="U4317" s="18"/>
      <c r="V4317" s="18"/>
      <c r="W4317" s="18" t="s">
        <v>2721</v>
      </c>
      <c r="X4317" s="18" t="s">
        <v>42</v>
      </c>
      <c r="Y4317" s="18" t="s">
        <v>36</v>
      </c>
      <c r="Z4317" s="18" t="s">
        <v>697</v>
      </c>
      <c r="AA4317" s="21" t="str">
        <f>HYPERLINK("https://www.ncbi.nlm.nih.gov/nuccore/KJ025957","NCBI Nucleotide")</f>
        <v>NCBI Nucleotide</v>
      </c>
    </row>
    <row r="4318" spans="1:27" x14ac:dyDescent="0.35">
      <c r="A4318">
        <v>1005948</v>
      </c>
      <c r="B4318">
        <v>4294</v>
      </c>
      <c r="C4318">
        <v>1</v>
      </c>
      <c r="D4318" s="17" t="s">
        <v>155</v>
      </c>
      <c r="E4318" s="17"/>
      <c r="F4318" s="17" t="s">
        <v>156</v>
      </c>
      <c r="G4318" s="17"/>
      <c r="H4318" s="17" t="s">
        <v>692</v>
      </c>
      <c r="I4318" s="17"/>
      <c r="J4318" s="17" t="s">
        <v>693</v>
      </c>
      <c r="K4318" s="17"/>
      <c r="L4318" s="17"/>
      <c r="M4318" s="17"/>
      <c r="N4318" s="17"/>
      <c r="O4318" s="17"/>
      <c r="P4318" s="17" t="s">
        <v>2722</v>
      </c>
      <c r="Q4318" s="17"/>
      <c r="R4318" s="25" t="str">
        <f>HYPERLINK("https://ictv.global/taxonomy/taxondetails?taxnode_id=202310022","Muminvirus filifjonk")</f>
        <v>Muminvirus filifjonk</v>
      </c>
      <c r="S4318" s="18" t="s">
        <v>30</v>
      </c>
      <c r="T4318" s="18" t="s">
        <v>2723</v>
      </c>
      <c r="U4318" s="18"/>
      <c r="V4318" s="18"/>
      <c r="W4318" s="18" t="s">
        <v>2724</v>
      </c>
      <c r="X4318" s="18" t="s">
        <v>42</v>
      </c>
      <c r="Y4318" s="18" t="s">
        <v>36</v>
      </c>
      <c r="Z4318" s="18" t="s">
        <v>697</v>
      </c>
      <c r="AA4318" s="21" t="str">
        <f>HYPERLINK("https://www.ncbi.nlm.nih.gov/nuccore/MN812206","NCBI Nucleotide")</f>
        <v>NCBI Nucleotide</v>
      </c>
    </row>
    <row r="4319" spans="1:27" x14ac:dyDescent="0.35">
      <c r="A4319">
        <v>1005949</v>
      </c>
      <c r="B4319">
        <v>4295</v>
      </c>
      <c r="C4319">
        <v>1</v>
      </c>
      <c r="D4319" s="17" t="s">
        <v>155</v>
      </c>
      <c r="E4319" s="17"/>
      <c r="F4319" s="17" t="s">
        <v>156</v>
      </c>
      <c r="G4319" s="17"/>
      <c r="H4319" s="17" t="s">
        <v>692</v>
      </c>
      <c r="I4319" s="17"/>
      <c r="J4319" s="17" t="s">
        <v>693</v>
      </c>
      <c r="K4319" s="17"/>
      <c r="L4319" s="17"/>
      <c r="M4319" s="17"/>
      <c r="N4319" s="17"/>
      <c r="O4319" s="17"/>
      <c r="P4319" s="17" t="s">
        <v>2722</v>
      </c>
      <c r="Q4319" s="17"/>
      <c r="R4319" s="25" t="str">
        <f>HYPERLINK("https://ictv.global/taxonomy/taxondetails?taxnode_id=202310019","Muminvirus mumin")</f>
        <v>Muminvirus mumin</v>
      </c>
      <c r="S4319" s="18" t="s">
        <v>30</v>
      </c>
      <c r="T4319" s="18" t="s">
        <v>2725</v>
      </c>
      <c r="U4319" s="18"/>
      <c r="V4319" s="18"/>
      <c r="W4319" s="18" t="s">
        <v>2726</v>
      </c>
      <c r="X4319" s="18" t="s">
        <v>42</v>
      </c>
      <c r="Y4319" s="18" t="s">
        <v>36</v>
      </c>
      <c r="Z4319" s="18" t="s">
        <v>697</v>
      </c>
      <c r="AA4319" s="21" t="str">
        <f>HYPERLINK("https://www.ncbi.nlm.nih.gov/nuccore/MN812224","NCBI Nucleotide")</f>
        <v>NCBI Nucleotide</v>
      </c>
    </row>
    <row r="4320" spans="1:27" x14ac:dyDescent="0.35">
      <c r="A4320">
        <v>1005950</v>
      </c>
      <c r="B4320">
        <v>4296</v>
      </c>
      <c r="C4320">
        <v>1</v>
      </c>
      <c r="D4320" s="17" t="s">
        <v>155</v>
      </c>
      <c r="E4320" s="17"/>
      <c r="F4320" s="17" t="s">
        <v>156</v>
      </c>
      <c r="G4320" s="17"/>
      <c r="H4320" s="17" t="s">
        <v>692</v>
      </c>
      <c r="I4320" s="17"/>
      <c r="J4320" s="17" t="s">
        <v>693</v>
      </c>
      <c r="K4320" s="17"/>
      <c r="L4320" s="17"/>
      <c r="M4320" s="17"/>
      <c r="N4320" s="17"/>
      <c r="O4320" s="17"/>
      <c r="P4320" s="17" t="s">
        <v>2722</v>
      </c>
      <c r="Q4320" s="17"/>
      <c r="R4320" s="25" t="str">
        <f>HYPERLINK("https://ictv.global/taxonomy/taxondetails?taxnode_id=202310020","Muminvirus mymlan")</f>
        <v>Muminvirus mymlan</v>
      </c>
      <c r="S4320" s="18" t="s">
        <v>30</v>
      </c>
      <c r="T4320" s="18" t="s">
        <v>2727</v>
      </c>
      <c r="U4320" s="18"/>
      <c r="V4320" s="18"/>
      <c r="W4320" s="18" t="s">
        <v>2728</v>
      </c>
      <c r="X4320" s="18" t="s">
        <v>42</v>
      </c>
      <c r="Y4320" s="18" t="s">
        <v>36</v>
      </c>
      <c r="Z4320" s="18" t="s">
        <v>697</v>
      </c>
      <c r="AA4320" s="21" t="str">
        <f>HYPERLINK("https://www.ncbi.nlm.nih.gov/nuccore/MN812227","NCBI Nucleotide")</f>
        <v>NCBI Nucleotide</v>
      </c>
    </row>
    <row r="4321" spans="1:27" x14ac:dyDescent="0.35">
      <c r="A4321">
        <v>1005951</v>
      </c>
      <c r="B4321">
        <v>4297</v>
      </c>
      <c r="C4321">
        <v>1</v>
      </c>
      <c r="D4321" s="17" t="s">
        <v>155</v>
      </c>
      <c r="E4321" s="17"/>
      <c r="F4321" s="17" t="s">
        <v>156</v>
      </c>
      <c r="G4321" s="17"/>
      <c r="H4321" s="17" t="s">
        <v>692</v>
      </c>
      <c r="I4321" s="17"/>
      <c r="J4321" s="17" t="s">
        <v>693</v>
      </c>
      <c r="K4321" s="17"/>
      <c r="L4321" s="17"/>
      <c r="M4321" s="17"/>
      <c r="N4321" s="17"/>
      <c r="O4321" s="17"/>
      <c r="P4321" s="17" t="s">
        <v>2722</v>
      </c>
      <c r="Q4321" s="17"/>
      <c r="R4321" s="25" t="str">
        <f>HYPERLINK("https://ictv.global/taxonomy/taxondetails?taxnode_id=202310023","Muminvirus snusmum")</f>
        <v>Muminvirus snusmum</v>
      </c>
      <c r="S4321" s="18" t="s">
        <v>30</v>
      </c>
      <c r="T4321" s="18" t="s">
        <v>2729</v>
      </c>
      <c r="U4321" s="18"/>
      <c r="V4321" s="18"/>
      <c r="W4321" s="18" t="s">
        <v>2730</v>
      </c>
      <c r="X4321" s="18" t="s">
        <v>42</v>
      </c>
      <c r="Y4321" s="18" t="s">
        <v>36</v>
      </c>
      <c r="Z4321" s="18" t="s">
        <v>697</v>
      </c>
      <c r="AA4321" s="21" t="str">
        <f>HYPERLINK("https://www.ncbi.nlm.nih.gov/nuccore/MN812234","NCBI Nucleotide")</f>
        <v>NCBI Nucleotide</v>
      </c>
    </row>
    <row r="4322" spans="1:27" x14ac:dyDescent="0.35">
      <c r="A4322">
        <v>1005952</v>
      </c>
      <c r="B4322">
        <v>4298</v>
      </c>
      <c r="C4322">
        <v>1</v>
      </c>
      <c r="D4322" s="17" t="s">
        <v>155</v>
      </c>
      <c r="E4322" s="17"/>
      <c r="F4322" s="17" t="s">
        <v>156</v>
      </c>
      <c r="G4322" s="17"/>
      <c r="H4322" s="17" t="s">
        <v>692</v>
      </c>
      <c r="I4322" s="17"/>
      <c r="J4322" s="17" t="s">
        <v>693</v>
      </c>
      <c r="K4322" s="17"/>
      <c r="L4322" s="17"/>
      <c r="M4322" s="17"/>
      <c r="N4322" s="17"/>
      <c r="O4322" s="17"/>
      <c r="P4322" s="17" t="s">
        <v>2722</v>
      </c>
      <c r="Q4322" s="17"/>
      <c r="R4322" s="25" t="str">
        <f>HYPERLINK("https://ictv.global/taxonomy/taxondetails?taxnode_id=202310021","Muminvirus tooticki")</f>
        <v>Muminvirus tooticki</v>
      </c>
      <c r="S4322" s="18" t="s">
        <v>30</v>
      </c>
      <c r="T4322" s="18" t="s">
        <v>2731</v>
      </c>
      <c r="U4322" s="18"/>
      <c r="V4322" s="18"/>
      <c r="W4322" s="18" t="s">
        <v>2732</v>
      </c>
      <c r="X4322" s="18" t="s">
        <v>42</v>
      </c>
      <c r="Y4322" s="18" t="s">
        <v>36</v>
      </c>
      <c r="Z4322" s="18" t="s">
        <v>697</v>
      </c>
      <c r="AA4322" s="21" t="str">
        <f>HYPERLINK("https://www.ncbi.nlm.nih.gov/nuccore/MN812240","NCBI Nucleotide")</f>
        <v>NCBI Nucleotide</v>
      </c>
    </row>
    <row r="4323" spans="1:27" x14ac:dyDescent="0.35">
      <c r="A4323">
        <v>1005953</v>
      </c>
      <c r="B4323">
        <v>4299</v>
      </c>
      <c r="C4323">
        <v>1</v>
      </c>
      <c r="D4323" s="17" t="s">
        <v>155</v>
      </c>
      <c r="E4323" s="17"/>
      <c r="F4323" s="17" t="s">
        <v>156</v>
      </c>
      <c r="G4323" s="17"/>
      <c r="H4323" s="17" t="s">
        <v>692</v>
      </c>
      <c r="I4323" s="17"/>
      <c r="J4323" s="17" t="s">
        <v>693</v>
      </c>
      <c r="K4323" s="17"/>
      <c r="L4323" s="17"/>
      <c r="M4323" s="17"/>
      <c r="N4323" s="17"/>
      <c r="O4323" s="17"/>
      <c r="P4323" s="17" t="s">
        <v>2733</v>
      </c>
      <c r="Q4323" s="17"/>
      <c r="R4323" s="25" t="str">
        <f>HYPERLINK("https://ictv.global/taxonomy/taxondetails?taxnode_id=202307905","Murrayvirus EC2")</f>
        <v>Murrayvirus EC2</v>
      </c>
      <c r="S4323" s="18" t="s">
        <v>30</v>
      </c>
      <c r="T4323" s="18" t="s">
        <v>2734</v>
      </c>
      <c r="U4323" s="18"/>
      <c r="V4323" s="18"/>
      <c r="W4323" s="18" t="s">
        <v>2735</v>
      </c>
      <c r="X4323" s="18" t="s">
        <v>42</v>
      </c>
      <c r="Y4323" s="18" t="s">
        <v>36</v>
      </c>
      <c r="Z4323" s="18" t="s">
        <v>697</v>
      </c>
      <c r="AA4323" s="21" t="str">
        <f>HYPERLINK("https://www.ncbi.nlm.nih.gov/nuccore/KF591601","NCBI Nucleotide")</f>
        <v>NCBI Nucleotide</v>
      </c>
    </row>
    <row r="4324" spans="1:27" x14ac:dyDescent="0.35">
      <c r="A4324">
        <v>1005954</v>
      </c>
      <c r="B4324">
        <v>4300</v>
      </c>
      <c r="C4324">
        <v>1</v>
      </c>
      <c r="D4324" s="17" t="s">
        <v>155</v>
      </c>
      <c r="E4324" s="17"/>
      <c r="F4324" s="17" t="s">
        <v>156</v>
      </c>
      <c r="G4324" s="17"/>
      <c r="H4324" s="17" t="s">
        <v>692</v>
      </c>
      <c r="I4324" s="17"/>
      <c r="J4324" s="17" t="s">
        <v>693</v>
      </c>
      <c r="K4324" s="17"/>
      <c r="L4324" s="17"/>
      <c r="M4324" s="17"/>
      <c r="N4324" s="17"/>
      <c r="O4324" s="17"/>
      <c r="P4324" s="17" t="s">
        <v>2733</v>
      </c>
      <c r="Q4324" s="17"/>
      <c r="R4324" s="25" t="str">
        <f>HYPERLINK("https://ictv.global/taxonomy/taxondetails?taxnode_id=202307906","Murrayvirus lumpael")</f>
        <v>Murrayvirus lumpael</v>
      </c>
      <c r="S4324" s="18" t="s">
        <v>30</v>
      </c>
      <c r="T4324" s="18" t="s">
        <v>2736</v>
      </c>
      <c r="U4324" s="18"/>
      <c r="V4324" s="18"/>
      <c r="W4324" s="18" t="s">
        <v>2737</v>
      </c>
      <c r="X4324" s="18" t="s">
        <v>42</v>
      </c>
      <c r="Y4324" s="18" t="s">
        <v>36</v>
      </c>
      <c r="Z4324" s="18" t="s">
        <v>697</v>
      </c>
      <c r="AA4324" s="21" t="str">
        <f>HYPERLINK("https://www.ncbi.nlm.nih.gov/nuccore/MK125141","NCBI Nucleotide")</f>
        <v>NCBI Nucleotide</v>
      </c>
    </row>
    <row r="4325" spans="1:27" x14ac:dyDescent="0.35">
      <c r="A4325">
        <v>1005955</v>
      </c>
      <c r="B4325">
        <v>4301</v>
      </c>
      <c r="C4325">
        <v>1</v>
      </c>
      <c r="D4325" s="17" t="s">
        <v>155</v>
      </c>
      <c r="E4325" s="17"/>
      <c r="F4325" s="17" t="s">
        <v>156</v>
      </c>
      <c r="G4325" s="17"/>
      <c r="H4325" s="17" t="s">
        <v>692</v>
      </c>
      <c r="I4325" s="17"/>
      <c r="J4325" s="17" t="s">
        <v>693</v>
      </c>
      <c r="K4325" s="17"/>
      <c r="L4325" s="17"/>
      <c r="M4325" s="17"/>
      <c r="N4325" s="17"/>
      <c r="O4325" s="17"/>
      <c r="P4325" s="17" t="s">
        <v>2738</v>
      </c>
      <c r="Q4325" s="17"/>
      <c r="R4325" s="25" t="str">
        <f>HYPERLINK("https://ictv.global/taxonomy/taxondetails?taxnode_id=202308042","Mushuvirus mushu")</f>
        <v>Mushuvirus mushu</v>
      </c>
      <c r="S4325" s="18" t="s">
        <v>30</v>
      </c>
      <c r="T4325" s="18" t="s">
        <v>2739</v>
      </c>
      <c r="U4325" s="18"/>
      <c r="V4325" s="18"/>
      <c r="W4325" s="18" t="s">
        <v>2740</v>
      </c>
      <c r="X4325" s="18" t="s">
        <v>42</v>
      </c>
      <c r="Y4325" s="18" t="s">
        <v>36</v>
      </c>
      <c r="Z4325" s="18" t="s">
        <v>697</v>
      </c>
      <c r="AA4325" s="21" t="str">
        <f>HYPERLINK("https://www.ncbi.nlm.nih.gov/nuccore/MG711460","NCBI Nucleotide")</f>
        <v>NCBI Nucleotide</v>
      </c>
    </row>
    <row r="4326" spans="1:27" x14ac:dyDescent="0.35">
      <c r="A4326">
        <v>1005956</v>
      </c>
      <c r="B4326">
        <v>4302</v>
      </c>
      <c r="C4326">
        <v>1</v>
      </c>
      <c r="D4326" s="17" t="s">
        <v>155</v>
      </c>
      <c r="E4326" s="17"/>
      <c r="F4326" s="17" t="s">
        <v>156</v>
      </c>
      <c r="G4326" s="17"/>
      <c r="H4326" s="17" t="s">
        <v>692</v>
      </c>
      <c r="I4326" s="17"/>
      <c r="J4326" s="17" t="s">
        <v>693</v>
      </c>
      <c r="K4326" s="17"/>
      <c r="L4326" s="17"/>
      <c r="M4326" s="17"/>
      <c r="N4326" s="17"/>
      <c r="O4326" s="17"/>
      <c r="P4326" s="17" t="s">
        <v>2741</v>
      </c>
      <c r="Q4326" s="17"/>
      <c r="R4326" s="25" t="str">
        <f>HYPERLINK("https://ictv.global/taxonomy/taxondetails?taxnode_id=202300456","Muvirus mu")</f>
        <v>Muvirus mu</v>
      </c>
      <c r="S4326" s="18" t="s">
        <v>30</v>
      </c>
      <c r="T4326" s="18" t="s">
        <v>2742</v>
      </c>
      <c r="U4326" s="18"/>
      <c r="V4326" s="18"/>
      <c r="W4326" s="18" t="s">
        <v>2743</v>
      </c>
      <c r="X4326" s="18" t="s">
        <v>42</v>
      </c>
      <c r="Y4326" s="18" t="s">
        <v>36</v>
      </c>
      <c r="Z4326" s="18" t="s">
        <v>697</v>
      </c>
      <c r="AA4326" s="21" t="str">
        <f>HYPERLINK("https://www.ncbi.nlm.nih.gov/nuccore/AF083977","NCBI Nucleotide")</f>
        <v>NCBI Nucleotide</v>
      </c>
    </row>
    <row r="4327" spans="1:27" x14ac:dyDescent="0.35">
      <c r="A4327">
        <v>1005957</v>
      </c>
      <c r="B4327">
        <v>4303</v>
      </c>
      <c r="C4327">
        <v>1</v>
      </c>
      <c r="D4327" s="17" t="s">
        <v>155</v>
      </c>
      <c r="E4327" s="17"/>
      <c r="F4327" s="17" t="s">
        <v>156</v>
      </c>
      <c r="G4327" s="17"/>
      <c r="H4327" s="17" t="s">
        <v>692</v>
      </c>
      <c r="I4327" s="17"/>
      <c r="J4327" s="17" t="s">
        <v>693</v>
      </c>
      <c r="K4327" s="17"/>
      <c r="L4327" s="17"/>
      <c r="M4327" s="17"/>
      <c r="N4327" s="17"/>
      <c r="O4327" s="17"/>
      <c r="P4327" s="17" t="s">
        <v>2741</v>
      </c>
      <c r="Q4327" s="17"/>
      <c r="R4327" s="25" t="str">
        <f>HYPERLINK("https://ictv.global/taxonomy/taxondetails?taxnode_id=202300457","Muvirus SfMu")</f>
        <v>Muvirus SfMu</v>
      </c>
      <c r="S4327" s="18" t="s">
        <v>30</v>
      </c>
      <c r="T4327" s="18" t="s">
        <v>2744</v>
      </c>
      <c r="U4327" s="18"/>
      <c r="V4327" s="18"/>
      <c r="W4327" s="18" t="s">
        <v>2745</v>
      </c>
      <c r="X4327" s="18" t="s">
        <v>42</v>
      </c>
      <c r="Y4327" s="18" t="s">
        <v>36</v>
      </c>
      <c r="Z4327" s="18" t="s">
        <v>697</v>
      </c>
      <c r="AA4327" s="21" t="str">
        <f>HYPERLINK("https://www.ncbi.nlm.nih.gov/nuccore/KP010268","NCBI Nucleotide")</f>
        <v>NCBI Nucleotide</v>
      </c>
    </row>
    <row r="4328" spans="1:27" x14ac:dyDescent="0.35">
      <c r="A4328">
        <v>1005958</v>
      </c>
      <c r="B4328">
        <v>4304</v>
      </c>
      <c r="C4328">
        <v>1</v>
      </c>
      <c r="D4328" s="17" t="s">
        <v>155</v>
      </c>
      <c r="E4328" s="17"/>
      <c r="F4328" s="17" t="s">
        <v>156</v>
      </c>
      <c r="G4328" s="17"/>
      <c r="H4328" s="17" t="s">
        <v>692</v>
      </c>
      <c r="I4328" s="17"/>
      <c r="J4328" s="17" t="s">
        <v>693</v>
      </c>
      <c r="K4328" s="17"/>
      <c r="L4328" s="17"/>
      <c r="M4328" s="17"/>
      <c r="N4328" s="17"/>
      <c r="O4328" s="17"/>
      <c r="P4328" s="17" t="s">
        <v>2746</v>
      </c>
      <c r="Q4328" s="17"/>
      <c r="R4328" s="25" t="str">
        <f>HYPERLINK("https://ictv.global/taxonomy/taxondetails?taxnode_id=202312425","Mycoabscvirus phiT46-1")</f>
        <v>Mycoabscvirus phiT46-1</v>
      </c>
      <c r="S4328" s="18" t="s">
        <v>30</v>
      </c>
      <c r="T4328" s="18" t="s">
        <v>2747</v>
      </c>
      <c r="U4328" s="18"/>
      <c r="V4328" s="18"/>
      <c r="W4328" s="18" t="s">
        <v>2748</v>
      </c>
      <c r="X4328" s="18" t="s">
        <v>42</v>
      </c>
      <c r="Y4328" s="18" t="s">
        <v>36</v>
      </c>
      <c r="Z4328" s="18" t="s">
        <v>697</v>
      </c>
      <c r="AA4328" s="21" t="str">
        <f>HYPERLINK("https://www.ncbi.nlm.nih.gov/nuccore/MW353181","NCBI Nucleotide")</f>
        <v>NCBI Nucleotide</v>
      </c>
    </row>
    <row r="4329" spans="1:27" x14ac:dyDescent="0.35">
      <c r="A4329">
        <v>1005959</v>
      </c>
      <c r="B4329">
        <v>4305</v>
      </c>
      <c r="C4329">
        <v>1</v>
      </c>
      <c r="D4329" s="17" t="s">
        <v>155</v>
      </c>
      <c r="E4329" s="17"/>
      <c r="F4329" s="17" t="s">
        <v>156</v>
      </c>
      <c r="G4329" s="17"/>
      <c r="H4329" s="17" t="s">
        <v>692</v>
      </c>
      <c r="I4329" s="17"/>
      <c r="J4329" s="17" t="s">
        <v>693</v>
      </c>
      <c r="K4329" s="17"/>
      <c r="L4329" s="17"/>
      <c r="M4329" s="17"/>
      <c r="N4329" s="17"/>
      <c r="O4329" s="17"/>
      <c r="P4329" s="17" t="s">
        <v>2749</v>
      </c>
      <c r="Q4329" s="17"/>
      <c r="R4329" s="25" t="str">
        <f>HYPERLINK("https://ictv.global/taxonomy/taxondetails?taxnode_id=202311556","Myoalterovirus PT11V22")</f>
        <v>Myoalterovirus PT11V22</v>
      </c>
      <c r="S4329" s="18" t="s">
        <v>30</v>
      </c>
      <c r="T4329" s="18" t="s">
        <v>2750</v>
      </c>
      <c r="U4329" s="18" t="s">
        <v>2751</v>
      </c>
      <c r="V4329" s="18"/>
      <c r="W4329" s="18" t="s">
        <v>2752</v>
      </c>
      <c r="X4329" s="18" t="s">
        <v>42</v>
      </c>
      <c r="Y4329" s="18" t="s">
        <v>36</v>
      </c>
      <c r="Z4329" s="18" t="s">
        <v>697</v>
      </c>
      <c r="AA4329" s="21" t="str">
        <f>HYPERLINK("https://www.ncbi.nlm.nih.gov/nuccore/MN877442","NCBI Nucleotide")</f>
        <v>NCBI Nucleotide</v>
      </c>
    </row>
    <row r="4330" spans="1:27" x14ac:dyDescent="0.35">
      <c r="A4330">
        <v>1005960</v>
      </c>
      <c r="B4330">
        <v>4306</v>
      </c>
      <c r="C4330">
        <v>1</v>
      </c>
      <c r="D4330" s="17" t="s">
        <v>155</v>
      </c>
      <c r="E4330" s="17"/>
      <c r="F4330" s="17" t="s">
        <v>156</v>
      </c>
      <c r="G4330" s="17"/>
      <c r="H4330" s="17" t="s">
        <v>692</v>
      </c>
      <c r="I4330" s="17"/>
      <c r="J4330" s="17" t="s">
        <v>693</v>
      </c>
      <c r="K4330" s="17"/>
      <c r="L4330" s="17"/>
      <c r="M4330" s="17"/>
      <c r="N4330" s="17"/>
      <c r="O4330" s="17"/>
      <c r="P4330" s="17" t="s">
        <v>2753</v>
      </c>
      <c r="Q4330" s="17"/>
      <c r="R4330" s="25" t="str">
        <f>HYPERLINK("https://ictv.global/taxonomy/taxondetails?taxnode_id=202311559","Myosmarvirus MTx")</f>
        <v>Myosmarvirus MTx</v>
      </c>
      <c r="S4330" s="18" t="s">
        <v>30</v>
      </c>
      <c r="T4330" s="18" t="s">
        <v>2754</v>
      </c>
      <c r="U4330" s="18"/>
      <c r="V4330" s="18"/>
      <c r="W4330" s="18" t="s">
        <v>2755</v>
      </c>
      <c r="X4330" s="18" t="s">
        <v>42</v>
      </c>
      <c r="Y4330" s="18" t="s">
        <v>36</v>
      </c>
      <c r="Z4330" s="18" t="s">
        <v>697</v>
      </c>
      <c r="AA4330" s="21" t="str">
        <f>HYPERLINK("https://www.ncbi.nlm.nih.gov/nuccore/MK618717","NCBI Nucleotide")</f>
        <v>NCBI Nucleotide</v>
      </c>
    </row>
    <row r="4331" spans="1:27" x14ac:dyDescent="0.35">
      <c r="A4331">
        <v>1005961</v>
      </c>
      <c r="B4331">
        <v>4307</v>
      </c>
      <c r="C4331">
        <v>1</v>
      </c>
      <c r="D4331" s="17" t="s">
        <v>155</v>
      </c>
      <c r="E4331" s="17"/>
      <c r="F4331" s="17" t="s">
        <v>156</v>
      </c>
      <c r="G4331" s="17"/>
      <c r="H4331" s="17" t="s">
        <v>692</v>
      </c>
      <c r="I4331" s="17"/>
      <c r="J4331" s="17" t="s">
        <v>693</v>
      </c>
      <c r="K4331" s="17"/>
      <c r="L4331" s="17"/>
      <c r="M4331" s="17"/>
      <c r="N4331" s="17"/>
      <c r="O4331" s="17"/>
      <c r="P4331" s="17" t="s">
        <v>2753</v>
      </c>
      <c r="Q4331" s="17"/>
      <c r="R4331" s="25" t="str">
        <f>HYPERLINK("https://ictv.global/taxonomy/taxondetails?taxnode_id=202311558","Myosmarvirus myosmar")</f>
        <v>Myosmarvirus myosmar</v>
      </c>
      <c r="S4331" s="18" t="s">
        <v>30</v>
      </c>
      <c r="T4331" s="18" t="s">
        <v>2756</v>
      </c>
      <c r="U4331" s="18"/>
      <c r="V4331" s="18"/>
      <c r="W4331" s="18" t="s">
        <v>2757</v>
      </c>
      <c r="X4331" s="18" t="s">
        <v>42</v>
      </c>
      <c r="Y4331" s="18" t="s">
        <v>36</v>
      </c>
      <c r="Z4331" s="18" t="s">
        <v>697</v>
      </c>
      <c r="AA4331" s="21" t="str">
        <f>HYPERLINK("https://www.ncbi.nlm.nih.gov/nuccore/MN062189","NCBI Nucleotide")</f>
        <v>NCBI Nucleotide</v>
      </c>
    </row>
    <row r="4332" spans="1:27" x14ac:dyDescent="0.35">
      <c r="A4332">
        <v>1005962</v>
      </c>
      <c r="B4332">
        <v>4308</v>
      </c>
      <c r="C4332">
        <v>1</v>
      </c>
      <c r="D4332" s="17" t="s">
        <v>155</v>
      </c>
      <c r="E4332" s="17"/>
      <c r="F4332" s="17" t="s">
        <v>156</v>
      </c>
      <c r="G4332" s="17"/>
      <c r="H4332" s="17" t="s">
        <v>692</v>
      </c>
      <c r="I4332" s="17"/>
      <c r="J4332" s="17" t="s">
        <v>693</v>
      </c>
      <c r="K4332" s="17"/>
      <c r="L4332" s="17"/>
      <c r="M4332" s="17"/>
      <c r="N4332" s="17"/>
      <c r="O4332" s="17"/>
      <c r="P4332" s="17" t="s">
        <v>2758</v>
      </c>
      <c r="Q4332" s="17"/>
      <c r="R4332" s="25" t="str">
        <f>HYPERLINK("https://ictv.global/taxonomy/taxondetails?taxnode_id=202312770","Myradeevirus MyraDee")</f>
        <v>Myradeevirus MyraDee</v>
      </c>
      <c r="S4332" s="18" t="s">
        <v>30</v>
      </c>
      <c r="T4332" s="18" t="s">
        <v>2759</v>
      </c>
      <c r="U4332" s="18"/>
      <c r="V4332" s="18"/>
      <c r="W4332" s="18" t="s">
        <v>2760</v>
      </c>
      <c r="X4332" s="18" t="s">
        <v>42</v>
      </c>
      <c r="Y4332" s="18" t="s">
        <v>36</v>
      </c>
      <c r="Z4332" s="18" t="s">
        <v>697</v>
      </c>
      <c r="AA4332" s="21" t="str">
        <f>HYPERLINK("https://www.ncbi.nlm.nih.gov/nuccore/MF141539","NCBI Nucleotide")</f>
        <v>NCBI Nucleotide</v>
      </c>
    </row>
    <row r="4333" spans="1:27" x14ac:dyDescent="0.35">
      <c r="A4333">
        <v>1005963</v>
      </c>
      <c r="B4333">
        <v>4309</v>
      </c>
      <c r="C4333">
        <v>1</v>
      </c>
      <c r="D4333" s="17" t="s">
        <v>155</v>
      </c>
      <c r="E4333" s="17"/>
      <c r="F4333" s="17" t="s">
        <v>156</v>
      </c>
      <c r="G4333" s="17"/>
      <c r="H4333" s="17" t="s">
        <v>692</v>
      </c>
      <c r="I4333" s="17"/>
      <c r="J4333" s="17" t="s">
        <v>693</v>
      </c>
      <c r="K4333" s="17"/>
      <c r="L4333" s="17"/>
      <c r="M4333" s="17"/>
      <c r="N4333" s="17"/>
      <c r="O4333" s="17"/>
      <c r="P4333" s="17" t="s">
        <v>2761</v>
      </c>
      <c r="Q4333" s="17"/>
      <c r="R4333" s="25" t="str">
        <f>HYPERLINK("https://ictv.global/taxonomy/taxondetails?taxnode_id=202306850","Myxoctovirus Mx8")</f>
        <v>Myxoctovirus Mx8</v>
      </c>
      <c r="S4333" s="18" t="s">
        <v>30</v>
      </c>
      <c r="T4333" s="18" t="s">
        <v>2762</v>
      </c>
      <c r="U4333" s="18"/>
      <c r="V4333" s="18"/>
      <c r="W4333" s="18" t="s">
        <v>2763</v>
      </c>
      <c r="X4333" s="18" t="s">
        <v>42</v>
      </c>
      <c r="Y4333" s="18" t="s">
        <v>36</v>
      </c>
      <c r="Z4333" s="18" t="s">
        <v>697</v>
      </c>
      <c r="AA4333" s="21" t="str">
        <f>HYPERLINK("https://www.ncbi.nlm.nih.gov/nuccore/AF396866","NCBI Nucleotide")</f>
        <v>NCBI Nucleotide</v>
      </c>
    </row>
    <row r="4334" spans="1:27" x14ac:dyDescent="0.35">
      <c r="A4334">
        <v>1005964</v>
      </c>
      <c r="B4334">
        <v>4310</v>
      </c>
      <c r="C4334">
        <v>1</v>
      </c>
      <c r="D4334" s="17" t="s">
        <v>155</v>
      </c>
      <c r="E4334" s="17"/>
      <c r="F4334" s="17" t="s">
        <v>156</v>
      </c>
      <c r="G4334" s="17"/>
      <c r="H4334" s="17" t="s">
        <v>692</v>
      </c>
      <c r="I4334" s="17"/>
      <c r="J4334" s="17" t="s">
        <v>693</v>
      </c>
      <c r="K4334" s="17"/>
      <c r="L4334" s="17"/>
      <c r="M4334" s="17"/>
      <c r="N4334" s="17"/>
      <c r="O4334" s="17"/>
      <c r="P4334" s="17" t="s">
        <v>2764</v>
      </c>
      <c r="Q4334" s="17"/>
      <c r="R4334" s="25" t="str">
        <f>HYPERLINK("https://ictv.global/taxonomy/taxondetails?taxnode_id=202300402","Naesvirus bcep1")</f>
        <v>Naesvirus bcep1</v>
      </c>
      <c r="S4334" s="18" t="s">
        <v>30</v>
      </c>
      <c r="T4334" s="18" t="s">
        <v>2765</v>
      </c>
      <c r="U4334" s="18"/>
      <c r="V4334" s="18"/>
      <c r="W4334" s="18" t="s">
        <v>2766</v>
      </c>
      <c r="X4334" s="18" t="s">
        <v>42</v>
      </c>
      <c r="Y4334" s="18" t="s">
        <v>36</v>
      </c>
      <c r="Z4334" s="18" t="s">
        <v>697</v>
      </c>
      <c r="AA4334" s="21" t="str">
        <f>HYPERLINK("https://www.ncbi.nlm.nih.gov/nuccore/AY369265","NCBI Nucleotide")</f>
        <v>NCBI Nucleotide</v>
      </c>
    </row>
    <row r="4335" spans="1:27" x14ac:dyDescent="0.35">
      <c r="A4335">
        <v>1005965</v>
      </c>
      <c r="B4335">
        <v>4311</v>
      </c>
      <c r="C4335">
        <v>1</v>
      </c>
      <c r="D4335" s="17" t="s">
        <v>155</v>
      </c>
      <c r="E4335" s="17"/>
      <c r="F4335" s="17" t="s">
        <v>156</v>
      </c>
      <c r="G4335" s="17"/>
      <c r="H4335" s="17" t="s">
        <v>692</v>
      </c>
      <c r="I4335" s="17"/>
      <c r="J4335" s="17" t="s">
        <v>693</v>
      </c>
      <c r="K4335" s="17"/>
      <c r="L4335" s="17"/>
      <c r="M4335" s="17"/>
      <c r="N4335" s="17"/>
      <c r="O4335" s="17"/>
      <c r="P4335" s="17" t="s">
        <v>2764</v>
      </c>
      <c r="Q4335" s="17"/>
      <c r="R4335" s="25" t="str">
        <f>HYPERLINK("https://ictv.global/taxonomy/taxondetails?taxnode_id=202300403","Naesvirus bcep43")</f>
        <v>Naesvirus bcep43</v>
      </c>
      <c r="S4335" s="18" t="s">
        <v>30</v>
      </c>
      <c r="T4335" s="18" t="s">
        <v>2767</v>
      </c>
      <c r="U4335" s="18"/>
      <c r="V4335" s="18"/>
      <c r="W4335" s="18" t="s">
        <v>2768</v>
      </c>
      <c r="X4335" s="18" t="s">
        <v>42</v>
      </c>
      <c r="Y4335" s="18" t="s">
        <v>36</v>
      </c>
      <c r="Z4335" s="18" t="s">
        <v>697</v>
      </c>
      <c r="AA4335" s="21" t="str">
        <f>HYPERLINK("https://www.ncbi.nlm.nih.gov/nuccore/AY368235","NCBI Nucleotide")</f>
        <v>NCBI Nucleotide</v>
      </c>
    </row>
    <row r="4336" spans="1:27" x14ac:dyDescent="0.35">
      <c r="A4336">
        <v>1005966</v>
      </c>
      <c r="B4336">
        <v>4312</v>
      </c>
      <c r="C4336">
        <v>1</v>
      </c>
      <c r="D4336" s="17" t="s">
        <v>155</v>
      </c>
      <c r="E4336" s="17"/>
      <c r="F4336" s="17" t="s">
        <v>156</v>
      </c>
      <c r="G4336" s="17"/>
      <c r="H4336" s="17" t="s">
        <v>692</v>
      </c>
      <c r="I4336" s="17"/>
      <c r="J4336" s="17" t="s">
        <v>693</v>
      </c>
      <c r="K4336" s="17"/>
      <c r="L4336" s="17"/>
      <c r="M4336" s="17"/>
      <c r="N4336" s="17"/>
      <c r="O4336" s="17"/>
      <c r="P4336" s="17" t="s">
        <v>2764</v>
      </c>
      <c r="Q4336" s="17"/>
      <c r="R4336" s="25" t="str">
        <f>HYPERLINK("https://ictv.global/taxonomy/taxondetails?taxnode_id=202300404","Naesvirus bcep781")</f>
        <v>Naesvirus bcep781</v>
      </c>
      <c r="S4336" s="18" t="s">
        <v>30</v>
      </c>
      <c r="T4336" s="18" t="s">
        <v>2769</v>
      </c>
      <c r="U4336" s="18"/>
      <c r="V4336" s="18"/>
      <c r="W4336" s="18" t="s">
        <v>2770</v>
      </c>
      <c r="X4336" s="18" t="s">
        <v>42</v>
      </c>
      <c r="Y4336" s="18" t="s">
        <v>36</v>
      </c>
      <c r="Z4336" s="18" t="s">
        <v>697</v>
      </c>
      <c r="AA4336" s="21" t="str">
        <f>HYPERLINK("https://www.ncbi.nlm.nih.gov/nuccore/AF543311","NCBI Nucleotide")</f>
        <v>NCBI Nucleotide</v>
      </c>
    </row>
    <row r="4337" spans="1:27" x14ac:dyDescent="0.35">
      <c r="A4337">
        <v>1005967</v>
      </c>
      <c r="B4337">
        <v>4313</v>
      </c>
      <c r="C4337">
        <v>1</v>
      </c>
      <c r="D4337" s="17" t="s">
        <v>155</v>
      </c>
      <c r="E4337" s="17"/>
      <c r="F4337" s="17" t="s">
        <v>156</v>
      </c>
      <c r="G4337" s="17"/>
      <c r="H4337" s="17" t="s">
        <v>692</v>
      </c>
      <c r="I4337" s="17"/>
      <c r="J4337" s="17" t="s">
        <v>693</v>
      </c>
      <c r="K4337" s="17"/>
      <c r="L4337" s="17"/>
      <c r="M4337" s="17"/>
      <c r="N4337" s="17"/>
      <c r="O4337" s="17"/>
      <c r="P4337" s="17" t="s">
        <v>2764</v>
      </c>
      <c r="Q4337" s="17"/>
      <c r="R4337" s="25" t="str">
        <f>HYPERLINK("https://ictv.global/taxonomy/taxondetails?taxnode_id=202300405","Naesvirus bcepNY3")</f>
        <v>Naesvirus bcepNY3</v>
      </c>
      <c r="S4337" s="18" t="s">
        <v>30</v>
      </c>
      <c r="T4337" s="18" t="s">
        <v>2771</v>
      </c>
      <c r="U4337" s="18"/>
      <c r="V4337" s="18"/>
      <c r="W4337" s="18" t="s">
        <v>2772</v>
      </c>
      <c r="X4337" s="18" t="s">
        <v>42</v>
      </c>
      <c r="Y4337" s="18" t="s">
        <v>36</v>
      </c>
      <c r="Z4337" s="18" t="s">
        <v>697</v>
      </c>
      <c r="AA4337" s="21" t="str">
        <f>HYPERLINK("https://www.ncbi.nlm.nih.gov/nuccore/EF602154","NCBI Nucleotide")</f>
        <v>NCBI Nucleotide</v>
      </c>
    </row>
    <row r="4338" spans="1:27" x14ac:dyDescent="0.35">
      <c r="A4338">
        <v>1005968</v>
      </c>
      <c r="B4338">
        <v>4314</v>
      </c>
      <c r="C4338">
        <v>1</v>
      </c>
      <c r="D4338" s="17" t="s">
        <v>155</v>
      </c>
      <c r="E4338" s="17"/>
      <c r="F4338" s="17" t="s">
        <v>156</v>
      </c>
      <c r="G4338" s="17"/>
      <c r="H4338" s="17" t="s">
        <v>692</v>
      </c>
      <c r="I4338" s="17"/>
      <c r="J4338" s="17" t="s">
        <v>693</v>
      </c>
      <c r="K4338" s="17"/>
      <c r="L4338" s="17"/>
      <c r="M4338" s="17"/>
      <c r="N4338" s="17"/>
      <c r="O4338" s="17"/>
      <c r="P4338" s="17" t="s">
        <v>2773</v>
      </c>
      <c r="Q4338" s="17"/>
      <c r="R4338" s="25" t="str">
        <f>HYPERLINK("https://ictv.global/taxonomy/taxondetails?taxnode_id=202314702","Namazuvirus POI1126")</f>
        <v>Namazuvirus POI1126</v>
      </c>
      <c r="S4338" s="18" t="s">
        <v>30</v>
      </c>
      <c r="T4338" s="18" t="s">
        <v>2774</v>
      </c>
      <c r="U4338" s="18"/>
      <c r="V4338" s="18"/>
      <c r="W4338" s="18" t="s">
        <v>2775</v>
      </c>
      <c r="X4338" s="18" t="s">
        <v>42</v>
      </c>
      <c r="Y4338" s="18" t="s">
        <v>36</v>
      </c>
      <c r="Z4338" s="18" t="s">
        <v>697</v>
      </c>
      <c r="AA4338" s="21" t="str">
        <f>HYPERLINK("https://www.ncbi.nlm.nih.gov/nuccore/KY417925","NCBI Nucleotide")</f>
        <v>NCBI Nucleotide</v>
      </c>
    </row>
    <row r="4339" spans="1:27" x14ac:dyDescent="0.35">
      <c r="A4339">
        <v>1005969</v>
      </c>
      <c r="B4339">
        <v>4315</v>
      </c>
      <c r="C4339">
        <v>1</v>
      </c>
      <c r="D4339" s="17" t="s">
        <v>155</v>
      </c>
      <c r="E4339" s="17"/>
      <c r="F4339" s="17" t="s">
        <v>156</v>
      </c>
      <c r="G4339" s="17"/>
      <c r="H4339" s="17" t="s">
        <v>692</v>
      </c>
      <c r="I4339" s="17"/>
      <c r="J4339" s="17" t="s">
        <v>693</v>
      </c>
      <c r="K4339" s="17"/>
      <c r="L4339" s="17"/>
      <c r="M4339" s="17"/>
      <c r="N4339" s="17"/>
      <c r="O4339" s="17"/>
      <c r="P4339" s="17" t="s">
        <v>2776</v>
      </c>
      <c r="Q4339" s="17"/>
      <c r="R4339" s="25" t="str">
        <f>HYPERLINK("https://ictv.global/taxonomy/taxondetails?taxnode_id=202306879","Nanhaivirus D5C")</f>
        <v>Nanhaivirus D5C</v>
      </c>
      <c r="S4339" s="18" t="s">
        <v>30</v>
      </c>
      <c r="T4339" s="18" t="s">
        <v>2777</v>
      </c>
      <c r="U4339" s="18"/>
      <c r="V4339" s="18"/>
      <c r="W4339" s="18" t="s">
        <v>2778</v>
      </c>
      <c r="X4339" s="18" t="s">
        <v>42</v>
      </c>
      <c r="Y4339" s="18" t="s">
        <v>36</v>
      </c>
      <c r="Z4339" s="18" t="s">
        <v>697</v>
      </c>
      <c r="AA4339" s="21" t="str">
        <f>HYPERLINK("https://www.ncbi.nlm.nih.gov/nuccore/KY606587","NCBI Nucleotide")</f>
        <v>NCBI Nucleotide</v>
      </c>
    </row>
    <row r="4340" spans="1:27" x14ac:dyDescent="0.35">
      <c r="A4340">
        <v>1005970</v>
      </c>
      <c r="B4340">
        <v>4316</v>
      </c>
      <c r="C4340">
        <v>1</v>
      </c>
      <c r="D4340" s="17" t="s">
        <v>155</v>
      </c>
      <c r="E4340" s="17"/>
      <c r="F4340" s="17" t="s">
        <v>156</v>
      </c>
      <c r="G4340" s="17"/>
      <c r="H4340" s="17" t="s">
        <v>692</v>
      </c>
      <c r="I4340" s="17"/>
      <c r="J4340" s="17" t="s">
        <v>693</v>
      </c>
      <c r="K4340" s="17"/>
      <c r="L4340" s="17"/>
      <c r="M4340" s="17"/>
      <c r="N4340" s="17"/>
      <c r="O4340" s="17"/>
      <c r="P4340" s="17" t="s">
        <v>2779</v>
      </c>
      <c r="Q4340" s="17"/>
      <c r="R4340" s="25" t="str">
        <f>HYPERLINK("https://ictv.global/taxonomy/taxondetails?taxnode_id=202300440","Nankokuvirus Ab03")</f>
        <v>Nankokuvirus Ab03</v>
      </c>
      <c r="S4340" s="18" t="s">
        <v>30</v>
      </c>
      <c r="T4340" s="18" t="s">
        <v>2780</v>
      </c>
      <c r="U4340" s="18"/>
      <c r="V4340" s="18"/>
      <c r="W4340" s="18" t="s">
        <v>2781</v>
      </c>
      <c r="X4340" s="18" t="s">
        <v>42</v>
      </c>
      <c r="Y4340" s="18" t="s">
        <v>36</v>
      </c>
      <c r="Z4340" s="18" t="s">
        <v>697</v>
      </c>
      <c r="AA4340" s="21" t="str">
        <f>HYPERLINK("https://www.ncbi.nlm.nih.gov/nuccore/LN610573","NCBI Nucleotide")</f>
        <v>NCBI Nucleotide</v>
      </c>
    </row>
    <row r="4341" spans="1:27" x14ac:dyDescent="0.35">
      <c r="A4341">
        <v>1005971</v>
      </c>
      <c r="B4341">
        <v>4317</v>
      </c>
      <c r="C4341">
        <v>1</v>
      </c>
      <c r="D4341" s="17" t="s">
        <v>155</v>
      </c>
      <c r="E4341" s="17"/>
      <c r="F4341" s="17" t="s">
        <v>156</v>
      </c>
      <c r="G4341" s="17"/>
      <c r="H4341" s="17" t="s">
        <v>692</v>
      </c>
      <c r="I4341" s="17"/>
      <c r="J4341" s="17" t="s">
        <v>693</v>
      </c>
      <c r="K4341" s="17"/>
      <c r="L4341" s="17"/>
      <c r="M4341" s="17"/>
      <c r="N4341" s="17"/>
      <c r="O4341" s="17"/>
      <c r="P4341" s="17" t="s">
        <v>2779</v>
      </c>
      <c r="Q4341" s="17"/>
      <c r="R4341" s="25" t="str">
        <f>HYPERLINK("https://ictv.global/taxonomy/taxondetails?taxnode_id=202307000","Nankokuvirus G1")</f>
        <v>Nankokuvirus G1</v>
      </c>
      <c r="S4341" s="18" t="s">
        <v>30</v>
      </c>
      <c r="T4341" s="18" t="s">
        <v>2782</v>
      </c>
      <c r="U4341" s="18"/>
      <c r="V4341" s="18"/>
      <c r="W4341" s="18" t="s">
        <v>2783</v>
      </c>
      <c r="X4341" s="18" t="s">
        <v>42</v>
      </c>
      <c r="Y4341" s="18" t="s">
        <v>36</v>
      </c>
      <c r="Z4341" s="18" t="s">
        <v>697</v>
      </c>
      <c r="AA4341" s="21" t="str">
        <f>HYPERLINK("https://www.ncbi.nlm.nih.gov/nuccore/KY994101","NCBI Nucleotide")</f>
        <v>NCBI Nucleotide</v>
      </c>
    </row>
    <row r="4342" spans="1:27" x14ac:dyDescent="0.35">
      <c r="A4342">
        <v>1005972</v>
      </c>
      <c r="B4342">
        <v>4318</v>
      </c>
      <c r="C4342">
        <v>1</v>
      </c>
      <c r="D4342" s="17" t="s">
        <v>155</v>
      </c>
      <c r="E4342" s="17"/>
      <c r="F4342" s="17" t="s">
        <v>156</v>
      </c>
      <c r="G4342" s="17"/>
      <c r="H4342" s="17" t="s">
        <v>692</v>
      </c>
      <c r="I4342" s="17"/>
      <c r="J4342" s="17" t="s">
        <v>693</v>
      </c>
      <c r="K4342" s="17"/>
      <c r="L4342" s="17"/>
      <c r="M4342" s="17"/>
      <c r="N4342" s="17"/>
      <c r="O4342" s="17"/>
      <c r="P4342" s="17" t="s">
        <v>2779</v>
      </c>
      <c r="Q4342" s="17"/>
      <c r="R4342" s="25" t="str">
        <f>HYPERLINK("https://ictv.global/taxonomy/taxondetails?taxnode_id=202300441","Nankokuvirus KPP10")</f>
        <v>Nankokuvirus KPP10</v>
      </c>
      <c r="S4342" s="18" t="s">
        <v>30</v>
      </c>
      <c r="T4342" s="18" t="s">
        <v>2784</v>
      </c>
      <c r="U4342" s="18"/>
      <c r="V4342" s="18"/>
      <c r="W4342" s="18" t="s">
        <v>2785</v>
      </c>
      <c r="X4342" s="18" t="s">
        <v>42</v>
      </c>
      <c r="Y4342" s="18" t="s">
        <v>36</v>
      </c>
      <c r="Z4342" s="18" t="s">
        <v>697</v>
      </c>
      <c r="AA4342" s="21" t="str">
        <f>HYPERLINK("https://www.ncbi.nlm.nih.gov/nuccore/AB472900","NCBI Nucleotide")</f>
        <v>NCBI Nucleotide</v>
      </c>
    </row>
    <row r="4343" spans="1:27" x14ac:dyDescent="0.35">
      <c r="A4343">
        <v>1005973</v>
      </c>
      <c r="B4343">
        <v>4319</v>
      </c>
      <c r="C4343">
        <v>1</v>
      </c>
      <c r="D4343" s="17" t="s">
        <v>155</v>
      </c>
      <c r="E4343" s="17"/>
      <c r="F4343" s="17" t="s">
        <v>156</v>
      </c>
      <c r="G4343" s="17"/>
      <c r="H4343" s="17" t="s">
        <v>692</v>
      </c>
      <c r="I4343" s="17"/>
      <c r="J4343" s="17" t="s">
        <v>693</v>
      </c>
      <c r="K4343" s="17"/>
      <c r="L4343" s="17"/>
      <c r="M4343" s="17"/>
      <c r="N4343" s="17"/>
      <c r="O4343" s="17"/>
      <c r="P4343" s="17" t="s">
        <v>2779</v>
      </c>
      <c r="Q4343" s="17"/>
      <c r="R4343" s="25" t="str">
        <f>HYPERLINK("https://ictv.global/taxonomy/taxondetails?taxnode_id=202300442","Nankokuvirus PAKP3")</f>
        <v>Nankokuvirus PAKP3</v>
      </c>
      <c r="S4343" s="18" t="s">
        <v>30</v>
      </c>
      <c r="T4343" s="18" t="s">
        <v>2786</v>
      </c>
      <c r="U4343" s="18"/>
      <c r="V4343" s="18"/>
      <c r="W4343" s="18" t="s">
        <v>2787</v>
      </c>
      <c r="X4343" s="18" t="s">
        <v>42</v>
      </c>
      <c r="Y4343" s="18" t="s">
        <v>36</v>
      </c>
      <c r="Z4343" s="18" t="s">
        <v>697</v>
      </c>
      <c r="AA4343" s="21" t="str">
        <f>HYPERLINK("https://www.ncbi.nlm.nih.gov/nuccore/KC862299","NCBI Nucleotide")</f>
        <v>NCBI Nucleotide</v>
      </c>
    </row>
    <row r="4344" spans="1:27" x14ac:dyDescent="0.35">
      <c r="A4344">
        <v>1005974</v>
      </c>
      <c r="B4344">
        <v>4320</v>
      </c>
      <c r="C4344">
        <v>1</v>
      </c>
      <c r="D4344" s="17" t="s">
        <v>155</v>
      </c>
      <c r="E4344" s="17"/>
      <c r="F4344" s="17" t="s">
        <v>156</v>
      </c>
      <c r="G4344" s="17"/>
      <c r="H4344" s="17" t="s">
        <v>692</v>
      </c>
      <c r="I4344" s="17"/>
      <c r="J4344" s="17" t="s">
        <v>693</v>
      </c>
      <c r="K4344" s="17"/>
      <c r="L4344" s="17"/>
      <c r="M4344" s="17"/>
      <c r="N4344" s="17"/>
      <c r="O4344" s="17"/>
      <c r="P4344" s="17" t="s">
        <v>2779</v>
      </c>
      <c r="Q4344" s="17"/>
      <c r="R4344" s="25" t="str">
        <f>HYPERLINK("https://ictv.global/taxonomy/taxondetails?taxnode_id=202307001","Nankokuvirus PS24")</f>
        <v>Nankokuvirus PS24</v>
      </c>
      <c r="S4344" s="18" t="s">
        <v>30</v>
      </c>
      <c r="T4344" s="18" t="s">
        <v>2788</v>
      </c>
      <c r="U4344" s="18"/>
      <c r="V4344" s="18"/>
      <c r="W4344" s="18" t="s">
        <v>2789</v>
      </c>
      <c r="X4344" s="18" t="s">
        <v>42</v>
      </c>
      <c r="Y4344" s="18" t="s">
        <v>36</v>
      </c>
      <c r="Z4344" s="18" t="s">
        <v>697</v>
      </c>
      <c r="AA4344" s="21" t="str">
        <f>HYPERLINK("https://www.ncbi.nlm.nih.gov/nuccore/KM434186","NCBI Nucleotide")</f>
        <v>NCBI Nucleotide</v>
      </c>
    </row>
    <row r="4345" spans="1:27" x14ac:dyDescent="0.35">
      <c r="A4345">
        <v>1005975</v>
      </c>
      <c r="B4345">
        <v>4321</v>
      </c>
      <c r="C4345">
        <v>1</v>
      </c>
      <c r="D4345" s="17" t="s">
        <v>155</v>
      </c>
      <c r="E4345" s="17"/>
      <c r="F4345" s="17" t="s">
        <v>156</v>
      </c>
      <c r="G4345" s="17"/>
      <c r="H4345" s="17" t="s">
        <v>692</v>
      </c>
      <c r="I4345" s="17"/>
      <c r="J4345" s="17" t="s">
        <v>693</v>
      </c>
      <c r="K4345" s="17"/>
      <c r="L4345" s="17"/>
      <c r="M4345" s="17"/>
      <c r="N4345" s="17"/>
      <c r="O4345" s="17"/>
      <c r="P4345" s="17" t="s">
        <v>2790</v>
      </c>
      <c r="Q4345" s="17"/>
      <c r="R4345" s="25" t="str">
        <f>HYPERLINK("https://ictv.global/taxonomy/taxondetails?taxnode_id=202307931","Neferthenavirus neferthena")</f>
        <v>Neferthenavirus neferthena</v>
      </c>
      <c r="S4345" s="18" t="s">
        <v>30</v>
      </c>
      <c r="T4345" s="18" t="s">
        <v>2791</v>
      </c>
      <c r="U4345" s="18"/>
      <c r="V4345" s="18"/>
      <c r="W4345" s="18" t="s">
        <v>2792</v>
      </c>
      <c r="X4345" s="18" t="s">
        <v>42</v>
      </c>
      <c r="Y4345" s="18" t="s">
        <v>36</v>
      </c>
      <c r="Z4345" s="18" t="s">
        <v>697</v>
      </c>
      <c r="AA4345" s="21" t="str">
        <f>HYPERLINK("https://www.ncbi.nlm.nih.gov/nuccore/MH697589","NCBI Nucleotide")</f>
        <v>NCBI Nucleotide</v>
      </c>
    </row>
    <row r="4346" spans="1:27" x14ac:dyDescent="0.35">
      <c r="A4346">
        <v>1005976</v>
      </c>
      <c r="B4346">
        <v>4322</v>
      </c>
      <c r="C4346">
        <v>1</v>
      </c>
      <c r="D4346" s="17" t="s">
        <v>155</v>
      </c>
      <c r="E4346" s="17"/>
      <c r="F4346" s="17" t="s">
        <v>156</v>
      </c>
      <c r="G4346" s="17"/>
      <c r="H4346" s="17" t="s">
        <v>692</v>
      </c>
      <c r="I4346" s="17"/>
      <c r="J4346" s="17" t="s">
        <v>693</v>
      </c>
      <c r="K4346" s="17"/>
      <c r="L4346" s="17"/>
      <c r="M4346" s="17"/>
      <c r="N4346" s="17"/>
      <c r="O4346" s="17"/>
      <c r="P4346" s="17" t="s">
        <v>2793</v>
      </c>
      <c r="Q4346" s="17"/>
      <c r="R4346" s="25" t="str">
        <f>HYPERLINK("https://ictv.global/taxonomy/taxondetails?taxnode_id=202309358","Nesevirus ev243")</f>
        <v>Nesevirus ev243</v>
      </c>
      <c r="S4346" s="18" t="s">
        <v>30</v>
      </c>
      <c r="T4346" s="18" t="s">
        <v>2794</v>
      </c>
      <c r="U4346" s="18"/>
      <c r="V4346" s="18"/>
      <c r="W4346" s="18" t="s">
        <v>2795</v>
      </c>
      <c r="X4346" s="18" t="s">
        <v>42</v>
      </c>
      <c r="Y4346" s="18" t="s">
        <v>36</v>
      </c>
      <c r="Z4346" s="18" t="s">
        <v>697</v>
      </c>
      <c r="AA4346" s="21" t="str">
        <f>HYPERLINK("https://www.ncbi.nlm.nih.gov/nuccore/LR597639","NCBI Nucleotide")</f>
        <v>NCBI Nucleotide</v>
      </c>
    </row>
    <row r="4347" spans="1:27" x14ac:dyDescent="0.35">
      <c r="A4347">
        <v>1005977</v>
      </c>
      <c r="B4347">
        <v>4323</v>
      </c>
      <c r="C4347">
        <v>1</v>
      </c>
      <c r="D4347" s="17" t="s">
        <v>155</v>
      </c>
      <c r="E4347" s="17"/>
      <c r="F4347" s="17" t="s">
        <v>156</v>
      </c>
      <c r="G4347" s="17"/>
      <c r="H4347" s="17" t="s">
        <v>692</v>
      </c>
      <c r="I4347" s="17"/>
      <c r="J4347" s="17" t="s">
        <v>693</v>
      </c>
      <c r="K4347" s="17"/>
      <c r="L4347" s="17"/>
      <c r="M4347" s="17"/>
      <c r="N4347" s="17"/>
      <c r="O4347" s="17"/>
      <c r="P4347" s="17" t="s">
        <v>2793</v>
      </c>
      <c r="Q4347" s="17"/>
      <c r="R4347" s="25" t="str">
        <f>HYPERLINK("https://ictv.global/taxonomy/taxondetails?taxnode_id=202309357","Nesevirus nv2G7b")</f>
        <v>Nesevirus nv2G7b</v>
      </c>
      <c r="S4347" s="18" t="s">
        <v>30</v>
      </c>
      <c r="T4347" s="18" t="s">
        <v>2796</v>
      </c>
      <c r="U4347" s="18"/>
      <c r="V4347" s="18"/>
      <c r="W4347" s="18" t="s">
        <v>2797</v>
      </c>
      <c r="X4347" s="18" t="s">
        <v>42</v>
      </c>
      <c r="Y4347" s="18" t="s">
        <v>36</v>
      </c>
      <c r="Z4347" s="18" t="s">
        <v>697</v>
      </c>
      <c r="AA4347" s="21" t="str">
        <f>HYPERLINK("https://www.ncbi.nlm.nih.gov/nuccore/LR595866","NCBI Nucleotide")</f>
        <v>NCBI Nucleotide</v>
      </c>
    </row>
    <row r="4348" spans="1:27" x14ac:dyDescent="0.35">
      <c r="A4348">
        <v>1005978</v>
      </c>
      <c r="B4348">
        <v>4324</v>
      </c>
      <c r="C4348">
        <v>1</v>
      </c>
      <c r="D4348" s="17" t="s">
        <v>155</v>
      </c>
      <c r="E4348" s="17"/>
      <c r="F4348" s="17" t="s">
        <v>156</v>
      </c>
      <c r="G4348" s="17"/>
      <c r="H4348" s="17" t="s">
        <v>692</v>
      </c>
      <c r="I4348" s="17"/>
      <c r="J4348" s="17" t="s">
        <v>693</v>
      </c>
      <c r="K4348" s="17"/>
      <c r="L4348" s="17"/>
      <c r="M4348" s="17"/>
      <c r="N4348" s="17"/>
      <c r="O4348" s="17"/>
      <c r="P4348" s="17" t="s">
        <v>2798</v>
      </c>
      <c r="Q4348" s="17"/>
      <c r="R4348" s="25" t="str">
        <f>HYPERLINK("https://ictv.global/taxonomy/taxondetails?taxnode_id=202311561","Nevevirus P078")</f>
        <v>Nevevirus P078</v>
      </c>
      <c r="S4348" s="18" t="s">
        <v>30</v>
      </c>
      <c r="T4348" s="18" t="s">
        <v>2799</v>
      </c>
      <c r="U4348" s="18"/>
      <c r="V4348" s="18"/>
      <c r="W4348" s="18" t="s">
        <v>2800</v>
      </c>
      <c r="X4348" s="18" t="s">
        <v>42</v>
      </c>
      <c r="Y4348" s="18" t="s">
        <v>36</v>
      </c>
      <c r="Z4348" s="18" t="s">
        <v>697</v>
      </c>
      <c r="AA4348" s="21" t="str">
        <f>HYPERLINK("https://www.ncbi.nlm.nih.gov/nuccore/KJ489010","NCBI Nucleotide")</f>
        <v>NCBI Nucleotide</v>
      </c>
    </row>
    <row r="4349" spans="1:27" x14ac:dyDescent="0.35">
      <c r="A4349">
        <v>1005979</v>
      </c>
      <c r="B4349">
        <v>4325</v>
      </c>
      <c r="C4349">
        <v>1</v>
      </c>
      <c r="D4349" s="17" t="s">
        <v>155</v>
      </c>
      <c r="E4349" s="17"/>
      <c r="F4349" s="17" t="s">
        <v>156</v>
      </c>
      <c r="G4349" s="17"/>
      <c r="H4349" s="17" t="s">
        <v>692</v>
      </c>
      <c r="I4349" s="17"/>
      <c r="J4349" s="17" t="s">
        <v>693</v>
      </c>
      <c r="K4349" s="17"/>
      <c r="L4349" s="17"/>
      <c r="M4349" s="17"/>
      <c r="N4349" s="17"/>
      <c r="O4349" s="17"/>
      <c r="P4349" s="17" t="s">
        <v>2798</v>
      </c>
      <c r="Q4349" s="17"/>
      <c r="R4349" s="25" t="str">
        <f>HYPERLINK("https://ictv.global/taxonomy/taxondetails?taxnode_id=202311563","Nevevirus P092")</f>
        <v>Nevevirus P092</v>
      </c>
      <c r="S4349" s="18" t="s">
        <v>30</v>
      </c>
      <c r="T4349" s="18" t="s">
        <v>2801</v>
      </c>
      <c r="U4349" s="18"/>
      <c r="V4349" s="18"/>
      <c r="W4349" s="18" t="s">
        <v>2802</v>
      </c>
      <c r="X4349" s="18" t="s">
        <v>42</v>
      </c>
      <c r="Y4349" s="18" t="s">
        <v>36</v>
      </c>
      <c r="Z4349" s="18" t="s">
        <v>697</v>
      </c>
      <c r="AA4349" s="21" t="str">
        <f>HYPERLINK("https://www.ncbi.nlm.nih.gov/nuccore/KJ489011","NCBI Nucleotide")</f>
        <v>NCBI Nucleotide</v>
      </c>
    </row>
    <row r="4350" spans="1:27" x14ac:dyDescent="0.35">
      <c r="A4350">
        <v>1005980</v>
      </c>
      <c r="B4350">
        <v>4326</v>
      </c>
      <c r="C4350">
        <v>1</v>
      </c>
      <c r="D4350" s="17" t="s">
        <v>155</v>
      </c>
      <c r="E4350" s="17"/>
      <c r="F4350" s="17" t="s">
        <v>156</v>
      </c>
      <c r="G4350" s="17"/>
      <c r="H4350" s="17" t="s">
        <v>692</v>
      </c>
      <c r="I4350" s="17"/>
      <c r="J4350" s="17" t="s">
        <v>693</v>
      </c>
      <c r="K4350" s="17"/>
      <c r="L4350" s="17"/>
      <c r="M4350" s="17"/>
      <c r="N4350" s="17"/>
      <c r="O4350" s="17"/>
      <c r="P4350" s="17" t="s">
        <v>2798</v>
      </c>
      <c r="Q4350" s="17"/>
      <c r="R4350" s="25" t="str">
        <f>HYPERLINK("https://ictv.global/taxonomy/taxondetails?taxnode_id=202311564","Nevevirus P118")</f>
        <v>Nevevirus P118</v>
      </c>
      <c r="S4350" s="18" t="s">
        <v>30</v>
      </c>
      <c r="T4350" s="18" t="s">
        <v>2803</v>
      </c>
      <c r="U4350" s="18"/>
      <c r="V4350" s="18"/>
      <c r="W4350" s="18" t="s">
        <v>2804</v>
      </c>
      <c r="X4350" s="18" t="s">
        <v>42</v>
      </c>
      <c r="Y4350" s="18" t="s">
        <v>36</v>
      </c>
      <c r="Z4350" s="18" t="s">
        <v>697</v>
      </c>
      <c r="AA4350" s="21" t="str">
        <f>HYPERLINK("https://www.ncbi.nlm.nih.gov/nuccore/KJ489012","NCBI Nucleotide")</f>
        <v>NCBI Nucleotide</v>
      </c>
    </row>
    <row r="4351" spans="1:27" x14ac:dyDescent="0.35">
      <c r="A4351">
        <v>1005981</v>
      </c>
      <c r="B4351">
        <v>4327</v>
      </c>
      <c r="C4351">
        <v>1</v>
      </c>
      <c r="D4351" s="17" t="s">
        <v>155</v>
      </c>
      <c r="E4351" s="17"/>
      <c r="F4351" s="17" t="s">
        <v>156</v>
      </c>
      <c r="G4351" s="17"/>
      <c r="H4351" s="17" t="s">
        <v>692</v>
      </c>
      <c r="I4351" s="17"/>
      <c r="J4351" s="17" t="s">
        <v>693</v>
      </c>
      <c r="K4351" s="17"/>
      <c r="L4351" s="17"/>
      <c r="M4351" s="17"/>
      <c r="N4351" s="17"/>
      <c r="O4351" s="17"/>
      <c r="P4351" s="17" t="s">
        <v>2798</v>
      </c>
      <c r="Q4351" s="17"/>
      <c r="R4351" s="25" t="str">
        <f>HYPERLINK("https://ictv.global/taxonomy/taxondetails?taxnode_id=202311562","Nevevirus P162")</f>
        <v>Nevevirus P162</v>
      </c>
      <c r="S4351" s="18" t="s">
        <v>30</v>
      </c>
      <c r="T4351" s="18" t="s">
        <v>2805</v>
      </c>
      <c r="U4351" s="18"/>
      <c r="V4351" s="18"/>
      <c r="W4351" s="18" t="s">
        <v>2806</v>
      </c>
      <c r="X4351" s="18" t="s">
        <v>42</v>
      </c>
      <c r="Y4351" s="18" t="s">
        <v>36</v>
      </c>
      <c r="Z4351" s="18" t="s">
        <v>697</v>
      </c>
      <c r="AA4351" s="21" t="str">
        <f>HYPERLINK("https://www.ncbi.nlm.nih.gov/nuccore/KJ489013","NCBI Nucleotide")</f>
        <v>NCBI Nucleotide</v>
      </c>
    </row>
    <row r="4352" spans="1:27" x14ac:dyDescent="0.35">
      <c r="A4352">
        <v>1005982</v>
      </c>
      <c r="B4352">
        <v>4328</v>
      </c>
      <c r="C4352">
        <v>1</v>
      </c>
      <c r="D4352" s="17" t="s">
        <v>155</v>
      </c>
      <c r="E4352" s="17"/>
      <c r="F4352" s="17" t="s">
        <v>156</v>
      </c>
      <c r="G4352" s="17"/>
      <c r="H4352" s="17" t="s">
        <v>692</v>
      </c>
      <c r="I4352" s="17"/>
      <c r="J4352" s="17" t="s">
        <v>693</v>
      </c>
      <c r="K4352" s="17"/>
      <c r="L4352" s="17"/>
      <c r="M4352" s="17"/>
      <c r="N4352" s="17"/>
      <c r="O4352" s="17"/>
      <c r="P4352" s="17" t="s">
        <v>2807</v>
      </c>
      <c r="Q4352" s="17"/>
      <c r="R4352" s="25" t="str">
        <f>HYPERLINK("https://ictv.global/taxonomy/taxondetails?taxnode_id=202306852","Nickievirus nickie")</f>
        <v>Nickievirus nickie</v>
      </c>
      <c r="S4352" s="18" t="s">
        <v>30</v>
      </c>
      <c r="T4352" s="18" t="s">
        <v>2808</v>
      </c>
      <c r="U4352" s="18"/>
      <c r="V4352" s="18"/>
      <c r="W4352" s="18" t="s">
        <v>2809</v>
      </c>
      <c r="X4352" s="18" t="s">
        <v>42</v>
      </c>
      <c r="Y4352" s="18" t="s">
        <v>36</v>
      </c>
      <c r="Z4352" s="18" t="s">
        <v>697</v>
      </c>
      <c r="AA4352" s="21" t="str">
        <f>HYPERLINK("https://www.ncbi.nlm.nih.gov/nuccore/MG018927","NCBI Nucleotide")</f>
        <v>NCBI Nucleotide</v>
      </c>
    </row>
    <row r="4353" spans="1:27" x14ac:dyDescent="0.35">
      <c r="A4353">
        <v>1005983</v>
      </c>
      <c r="B4353">
        <v>4329</v>
      </c>
      <c r="C4353">
        <v>1</v>
      </c>
      <c r="D4353" s="17" t="s">
        <v>155</v>
      </c>
      <c r="E4353" s="17"/>
      <c r="F4353" s="17" t="s">
        <v>156</v>
      </c>
      <c r="G4353" s="17"/>
      <c r="H4353" s="17" t="s">
        <v>692</v>
      </c>
      <c r="I4353" s="17"/>
      <c r="J4353" s="17" t="s">
        <v>693</v>
      </c>
      <c r="K4353" s="17"/>
      <c r="L4353" s="17"/>
      <c r="M4353" s="17"/>
      <c r="N4353" s="17"/>
      <c r="O4353" s="17"/>
      <c r="P4353" s="17" t="s">
        <v>2810</v>
      </c>
      <c r="Q4353" s="17"/>
      <c r="R4353" s="25" t="str">
        <f>HYPERLINK("https://ictv.global/taxonomy/taxondetails?taxnode_id=202314694","Nimduovirus N1M2")</f>
        <v>Nimduovirus N1M2</v>
      </c>
      <c r="S4353" s="18" t="s">
        <v>30</v>
      </c>
      <c r="T4353" s="18" t="s">
        <v>2811</v>
      </c>
      <c r="U4353" s="18"/>
      <c r="V4353" s="18"/>
      <c r="W4353" s="18" t="s">
        <v>2812</v>
      </c>
      <c r="X4353" s="18" t="s">
        <v>42</v>
      </c>
      <c r="Y4353" s="18" t="s">
        <v>36</v>
      </c>
      <c r="Z4353" s="18" t="s">
        <v>697</v>
      </c>
      <c r="AA4353" s="21" t="str">
        <f>HYPERLINK("https://www.ncbi.nlm.nih.gov/nuccore/MN642089","NCBI Nucleotide")</f>
        <v>NCBI Nucleotide</v>
      </c>
    </row>
    <row r="4354" spans="1:27" x14ac:dyDescent="0.35">
      <c r="A4354">
        <v>1005984</v>
      </c>
      <c r="B4354">
        <v>4330</v>
      </c>
      <c r="C4354">
        <v>1</v>
      </c>
      <c r="D4354" s="17" t="s">
        <v>155</v>
      </c>
      <c r="E4354" s="17"/>
      <c r="F4354" s="17" t="s">
        <v>156</v>
      </c>
      <c r="G4354" s="17"/>
      <c r="H4354" s="17" t="s">
        <v>692</v>
      </c>
      <c r="I4354" s="17"/>
      <c r="J4354" s="17" t="s">
        <v>693</v>
      </c>
      <c r="K4354" s="17"/>
      <c r="L4354" s="17"/>
      <c r="M4354" s="17"/>
      <c r="N4354" s="17"/>
      <c r="O4354" s="17"/>
      <c r="P4354" s="17" t="s">
        <v>2813</v>
      </c>
      <c r="Q4354" s="17"/>
      <c r="R4354" s="25" t="str">
        <f>HYPERLINK("https://ictv.global/taxonomy/taxondetails?taxnode_id=202300674","Nonanavirus nv9NA")</f>
        <v>Nonanavirus nv9NA</v>
      </c>
      <c r="S4354" s="18" t="s">
        <v>30</v>
      </c>
      <c r="T4354" s="18" t="s">
        <v>2814</v>
      </c>
      <c r="U4354" s="18"/>
      <c r="V4354" s="18"/>
      <c r="W4354" s="18" t="s">
        <v>2815</v>
      </c>
      <c r="X4354" s="18" t="s">
        <v>42</v>
      </c>
      <c r="Y4354" s="18" t="s">
        <v>36</v>
      </c>
      <c r="Z4354" s="18" t="s">
        <v>697</v>
      </c>
      <c r="AA4354" s="21" t="str">
        <f>HYPERLINK("https://www.ncbi.nlm.nih.gov/nuccore/KJ802832","NCBI Nucleotide")</f>
        <v>NCBI Nucleotide</v>
      </c>
    </row>
    <row r="4355" spans="1:27" x14ac:dyDescent="0.35">
      <c r="A4355">
        <v>1005985</v>
      </c>
      <c r="B4355">
        <v>4331</v>
      </c>
      <c r="C4355">
        <v>1</v>
      </c>
      <c r="D4355" s="17" t="s">
        <v>155</v>
      </c>
      <c r="E4355" s="17"/>
      <c r="F4355" s="17" t="s">
        <v>156</v>
      </c>
      <c r="G4355" s="17"/>
      <c r="H4355" s="17" t="s">
        <v>692</v>
      </c>
      <c r="I4355" s="17"/>
      <c r="J4355" s="17" t="s">
        <v>693</v>
      </c>
      <c r="K4355" s="17"/>
      <c r="L4355" s="17"/>
      <c r="M4355" s="17"/>
      <c r="N4355" s="17"/>
      <c r="O4355" s="17"/>
      <c r="P4355" s="17" t="s">
        <v>2813</v>
      </c>
      <c r="Q4355" s="17"/>
      <c r="R4355" s="25" t="str">
        <f>HYPERLINK("https://ictv.global/taxonomy/taxondetails?taxnode_id=202300675","Nonanavirus SP069")</f>
        <v>Nonanavirus SP069</v>
      </c>
      <c r="S4355" s="18" t="s">
        <v>30</v>
      </c>
      <c r="T4355" s="18" t="s">
        <v>2816</v>
      </c>
      <c r="U4355" s="18"/>
      <c r="V4355" s="18"/>
      <c r="W4355" s="18" t="s">
        <v>2817</v>
      </c>
      <c r="X4355" s="18" t="s">
        <v>42</v>
      </c>
      <c r="Y4355" s="18" t="s">
        <v>36</v>
      </c>
      <c r="Z4355" s="18" t="s">
        <v>697</v>
      </c>
      <c r="AA4355" s="21" t="str">
        <f>HYPERLINK("https://www.ncbi.nlm.nih.gov/nuccore/KC139649","NCBI Nucleotide")</f>
        <v>NCBI Nucleotide</v>
      </c>
    </row>
    <row r="4356" spans="1:27" x14ac:dyDescent="0.35">
      <c r="A4356">
        <v>1005986</v>
      </c>
      <c r="B4356">
        <v>4332</v>
      </c>
      <c r="C4356">
        <v>1</v>
      </c>
      <c r="D4356" s="17" t="s">
        <v>155</v>
      </c>
      <c r="E4356" s="17"/>
      <c r="F4356" s="17" t="s">
        <v>156</v>
      </c>
      <c r="G4356" s="17"/>
      <c r="H4356" s="17" t="s">
        <v>692</v>
      </c>
      <c r="I4356" s="17"/>
      <c r="J4356" s="17" t="s">
        <v>693</v>
      </c>
      <c r="K4356" s="17"/>
      <c r="L4356" s="17"/>
      <c r="M4356" s="17"/>
      <c r="N4356" s="17"/>
      <c r="O4356" s="17"/>
      <c r="P4356" s="17" t="s">
        <v>2818</v>
      </c>
      <c r="Q4356" s="17"/>
      <c r="R4356" s="25" t="str">
        <f>HYPERLINK("https://ictv.global/taxonomy/taxondetails?taxnode_id=202314696","Northamptonvirus jeon")</f>
        <v>Northamptonvirus jeon</v>
      </c>
      <c r="S4356" s="18" t="s">
        <v>30</v>
      </c>
      <c r="T4356" s="18" t="s">
        <v>2819</v>
      </c>
      <c r="U4356" s="18"/>
      <c r="V4356" s="18"/>
      <c r="W4356" s="18" t="s">
        <v>2820</v>
      </c>
      <c r="X4356" s="18" t="s">
        <v>42</v>
      </c>
      <c r="Y4356" s="18" t="s">
        <v>36</v>
      </c>
      <c r="Z4356" s="18" t="s">
        <v>697</v>
      </c>
      <c r="AA4356" s="21" t="str">
        <f>HYPERLINK("https://www.ncbi.nlm.nih.gov/nuccore/MH001450","NCBI Nucleotide")</f>
        <v>NCBI Nucleotide</v>
      </c>
    </row>
    <row r="4357" spans="1:27" x14ac:dyDescent="0.35">
      <c r="A4357">
        <v>1005987</v>
      </c>
      <c r="B4357">
        <v>4333</v>
      </c>
      <c r="C4357">
        <v>1</v>
      </c>
      <c r="D4357" s="17" t="s">
        <v>155</v>
      </c>
      <c r="E4357" s="17"/>
      <c r="F4357" s="17" t="s">
        <v>156</v>
      </c>
      <c r="G4357" s="17"/>
      <c r="H4357" s="17" t="s">
        <v>692</v>
      </c>
      <c r="I4357" s="17"/>
      <c r="J4357" s="17" t="s">
        <v>693</v>
      </c>
      <c r="K4357" s="17"/>
      <c r="L4357" s="17"/>
      <c r="M4357" s="17"/>
      <c r="N4357" s="17"/>
      <c r="O4357" s="17"/>
      <c r="P4357" s="17" t="s">
        <v>2818</v>
      </c>
      <c r="Q4357" s="17"/>
      <c r="R4357" s="25" t="str">
        <f>HYPERLINK("https://ictv.global/taxonomy/taxondetails?taxnode_id=202314697","Northamptonvirus taptic")</f>
        <v>Northamptonvirus taptic</v>
      </c>
      <c r="S4357" s="18" t="s">
        <v>30</v>
      </c>
      <c r="T4357" s="18" t="s">
        <v>2821</v>
      </c>
      <c r="U4357" s="18"/>
      <c r="V4357" s="18"/>
      <c r="W4357" s="18" t="s">
        <v>2822</v>
      </c>
      <c r="X4357" s="18" t="s">
        <v>42</v>
      </c>
      <c r="Y4357" s="18" t="s">
        <v>36</v>
      </c>
      <c r="Z4357" s="18" t="s">
        <v>697</v>
      </c>
      <c r="AA4357" s="21" t="str">
        <f>HYPERLINK("https://www.ncbi.nlm.nih.gov/nuccore/KY130461","NCBI Nucleotide")</f>
        <v>NCBI Nucleotide</v>
      </c>
    </row>
    <row r="4358" spans="1:27" x14ac:dyDescent="0.35">
      <c r="A4358">
        <v>1005989</v>
      </c>
      <c r="B4358">
        <v>4334</v>
      </c>
      <c r="C4358">
        <v>1</v>
      </c>
      <c r="D4358" s="17" t="s">
        <v>155</v>
      </c>
      <c r="E4358" s="17"/>
      <c r="F4358" s="17" t="s">
        <v>156</v>
      </c>
      <c r="G4358" s="17"/>
      <c r="H4358" s="17" t="s">
        <v>692</v>
      </c>
      <c r="I4358" s="17"/>
      <c r="J4358" s="17" t="s">
        <v>693</v>
      </c>
      <c r="K4358" s="17"/>
      <c r="L4358" s="17"/>
      <c r="M4358" s="17"/>
      <c r="N4358" s="17"/>
      <c r="O4358" s="17"/>
      <c r="P4358" s="17" t="s">
        <v>2826</v>
      </c>
      <c r="Q4358" s="17"/>
      <c r="R4358" s="25" t="str">
        <f>HYPERLINK("https://ictv.global/taxonomy/taxondetails?taxnode_id=202306692","Nyceiraevirus nyceirae")</f>
        <v>Nyceiraevirus nyceirae</v>
      </c>
      <c r="S4358" s="18" t="s">
        <v>30</v>
      </c>
      <c r="T4358" s="18" t="s">
        <v>2827</v>
      </c>
      <c r="U4358" s="18"/>
      <c r="V4358" s="18"/>
      <c r="W4358" s="18" t="s">
        <v>2828</v>
      </c>
      <c r="X4358" s="18" t="s">
        <v>42</v>
      </c>
      <c r="Y4358" s="18" t="s">
        <v>36</v>
      </c>
      <c r="Z4358" s="18" t="s">
        <v>697</v>
      </c>
      <c r="AA4358" s="21" t="str">
        <f>HYPERLINK("https://www.ncbi.nlm.nih.gov/nuccore/KX557282","NCBI Nucleotide")</f>
        <v>NCBI Nucleotide</v>
      </c>
    </row>
    <row r="4359" spans="1:27" x14ac:dyDescent="0.35">
      <c r="A4359">
        <v>1005990</v>
      </c>
      <c r="B4359">
        <v>4335</v>
      </c>
      <c r="C4359">
        <v>1</v>
      </c>
      <c r="D4359" s="17" t="s">
        <v>155</v>
      </c>
      <c r="E4359" s="17"/>
      <c r="F4359" s="17" t="s">
        <v>156</v>
      </c>
      <c r="G4359" s="17"/>
      <c r="H4359" s="17" t="s">
        <v>692</v>
      </c>
      <c r="I4359" s="17"/>
      <c r="J4359" s="17" t="s">
        <v>693</v>
      </c>
      <c r="K4359" s="17"/>
      <c r="L4359" s="17"/>
      <c r="M4359" s="17"/>
      <c r="N4359" s="17"/>
      <c r="O4359" s="17"/>
      <c r="P4359" s="17" t="s">
        <v>2829</v>
      </c>
      <c r="Q4359" s="17"/>
      <c r="R4359" s="25" t="str">
        <f>HYPERLINK("https://ictv.global/taxonomy/taxondetails?taxnode_id=202311566","Nylescharonvirus LE3")</f>
        <v>Nylescharonvirus LE3</v>
      </c>
      <c r="S4359" s="18" t="s">
        <v>30</v>
      </c>
      <c r="T4359" s="18" t="s">
        <v>2830</v>
      </c>
      <c r="U4359" s="18"/>
      <c r="V4359" s="18"/>
      <c r="W4359" s="18" t="s">
        <v>2831</v>
      </c>
      <c r="X4359" s="18" t="s">
        <v>42</v>
      </c>
      <c r="Y4359" s="18" t="s">
        <v>36</v>
      </c>
      <c r="Z4359" s="18" t="s">
        <v>697</v>
      </c>
      <c r="AA4359" s="21" t="str">
        <f>HYPERLINK("https://www.ncbi.nlm.nih.gov/nuccore/MF974396","NCBI Nucleotide")</f>
        <v>NCBI Nucleotide</v>
      </c>
    </row>
    <row r="4360" spans="1:27" x14ac:dyDescent="0.35">
      <c r="A4360">
        <v>1005991</v>
      </c>
      <c r="B4360">
        <v>4336</v>
      </c>
      <c r="C4360">
        <v>1</v>
      </c>
      <c r="D4360" s="17" t="s">
        <v>155</v>
      </c>
      <c r="E4360" s="17"/>
      <c r="F4360" s="17" t="s">
        <v>156</v>
      </c>
      <c r="G4360" s="17"/>
      <c r="H4360" s="17" t="s">
        <v>692</v>
      </c>
      <c r="I4360" s="17"/>
      <c r="J4360" s="17" t="s">
        <v>693</v>
      </c>
      <c r="K4360" s="17"/>
      <c r="L4360" s="17"/>
      <c r="M4360" s="17"/>
      <c r="N4360" s="17"/>
      <c r="O4360" s="17"/>
      <c r="P4360" s="17" t="s">
        <v>2829</v>
      </c>
      <c r="Q4360" s="17"/>
      <c r="R4360" s="25" t="str">
        <f>HYPERLINK("https://ictv.global/taxonomy/taxondetails?taxnode_id=202311567","Nylescharonvirus LE4")</f>
        <v>Nylescharonvirus LE4</v>
      </c>
      <c r="S4360" s="18" t="s">
        <v>30</v>
      </c>
      <c r="T4360" s="18" t="s">
        <v>2832</v>
      </c>
      <c r="U4360" s="18"/>
      <c r="V4360" s="18"/>
      <c r="W4360" s="18" t="s">
        <v>2833</v>
      </c>
      <c r="X4360" s="18" t="s">
        <v>42</v>
      </c>
      <c r="Y4360" s="18" t="s">
        <v>36</v>
      </c>
      <c r="Z4360" s="18" t="s">
        <v>697</v>
      </c>
      <c r="AA4360" s="21" t="str">
        <f>HYPERLINK("https://www.ncbi.nlm.nih.gov/nuccore/MF974397","NCBI Nucleotide")</f>
        <v>NCBI Nucleotide</v>
      </c>
    </row>
    <row r="4361" spans="1:27" x14ac:dyDescent="0.35">
      <c r="A4361">
        <v>1005992</v>
      </c>
      <c r="B4361">
        <v>4337</v>
      </c>
      <c r="C4361">
        <v>1</v>
      </c>
      <c r="D4361" s="17" t="s">
        <v>155</v>
      </c>
      <c r="E4361" s="17"/>
      <c r="F4361" s="17" t="s">
        <v>156</v>
      </c>
      <c r="G4361" s="17"/>
      <c r="H4361" s="17" t="s">
        <v>692</v>
      </c>
      <c r="I4361" s="17"/>
      <c r="J4361" s="17" t="s">
        <v>693</v>
      </c>
      <c r="K4361" s="17"/>
      <c r="L4361" s="17"/>
      <c r="M4361" s="17"/>
      <c r="N4361" s="17"/>
      <c r="O4361" s="17"/>
      <c r="P4361" s="17" t="s">
        <v>2834</v>
      </c>
      <c r="Q4361" s="17"/>
      <c r="R4361" s="25" t="str">
        <f>HYPERLINK("https://ictv.global/taxonomy/taxondetails?taxnode_id=202300377","Obolenskvirus AB1")</f>
        <v>Obolenskvirus AB1</v>
      </c>
      <c r="S4361" s="18" t="s">
        <v>30</v>
      </c>
      <c r="T4361" s="18" t="s">
        <v>2835</v>
      </c>
      <c r="U4361" s="18"/>
      <c r="V4361" s="18"/>
      <c r="W4361" s="18" t="s">
        <v>2836</v>
      </c>
      <c r="X4361" s="18" t="s">
        <v>42</v>
      </c>
      <c r="Y4361" s="18" t="s">
        <v>36</v>
      </c>
      <c r="Z4361" s="18" t="s">
        <v>697</v>
      </c>
      <c r="AA4361" s="21" t="str">
        <f>HYPERLINK("https://www.ncbi.nlm.nih.gov/nuccore/HM368260","NCBI Nucleotide")</f>
        <v>NCBI Nucleotide</v>
      </c>
    </row>
    <row r="4362" spans="1:27" x14ac:dyDescent="0.35">
      <c r="A4362">
        <v>1005993</v>
      </c>
      <c r="B4362">
        <v>4338</v>
      </c>
      <c r="C4362">
        <v>1</v>
      </c>
      <c r="D4362" s="17" t="s">
        <v>155</v>
      </c>
      <c r="E4362" s="17"/>
      <c r="F4362" s="17" t="s">
        <v>156</v>
      </c>
      <c r="G4362" s="17"/>
      <c r="H4362" s="17" t="s">
        <v>692</v>
      </c>
      <c r="I4362" s="17"/>
      <c r="J4362" s="17" t="s">
        <v>693</v>
      </c>
      <c r="K4362" s="17"/>
      <c r="L4362" s="17"/>
      <c r="M4362" s="17"/>
      <c r="N4362" s="17"/>
      <c r="O4362" s="17"/>
      <c r="P4362" s="17" t="s">
        <v>2834</v>
      </c>
      <c r="Q4362" s="17"/>
      <c r="R4362" s="25" t="str">
        <f>HYPERLINK("https://ictv.global/taxonomy/taxondetails?taxnode_id=202300378","Obolenskvirus AB2")</f>
        <v>Obolenskvirus AB2</v>
      </c>
      <c r="S4362" s="18" t="s">
        <v>30</v>
      </c>
      <c r="T4362" s="18" t="s">
        <v>2837</v>
      </c>
      <c r="U4362" s="18"/>
      <c r="V4362" s="18"/>
      <c r="W4362" s="18" t="s">
        <v>2838</v>
      </c>
      <c r="X4362" s="18" t="s">
        <v>42</v>
      </c>
      <c r="Y4362" s="18" t="s">
        <v>36</v>
      </c>
      <c r="Z4362" s="18" t="s">
        <v>697</v>
      </c>
      <c r="AA4362" s="21" t="str">
        <f>HYPERLINK("https://www.ncbi.nlm.nih.gov/nuccore/JX976549","NCBI Nucleotide")</f>
        <v>NCBI Nucleotide</v>
      </c>
    </row>
    <row r="4363" spans="1:27" x14ac:dyDescent="0.35">
      <c r="A4363">
        <v>1005994</v>
      </c>
      <c r="B4363">
        <v>4339</v>
      </c>
      <c r="C4363">
        <v>1</v>
      </c>
      <c r="D4363" s="17" t="s">
        <v>155</v>
      </c>
      <c r="E4363" s="17"/>
      <c r="F4363" s="17" t="s">
        <v>156</v>
      </c>
      <c r="G4363" s="17"/>
      <c r="H4363" s="17" t="s">
        <v>692</v>
      </c>
      <c r="I4363" s="17"/>
      <c r="J4363" s="17" t="s">
        <v>693</v>
      </c>
      <c r="K4363" s="17"/>
      <c r="L4363" s="17"/>
      <c r="M4363" s="17"/>
      <c r="N4363" s="17"/>
      <c r="O4363" s="17"/>
      <c r="P4363" s="17" t="s">
        <v>2834</v>
      </c>
      <c r="Q4363" s="17"/>
      <c r="R4363" s="25" t="str">
        <f>HYPERLINK("https://ictv.global/taxonomy/taxondetails?taxnode_id=202300379","Obolenskvirus AbC62")</f>
        <v>Obolenskvirus AbC62</v>
      </c>
      <c r="S4363" s="18" t="s">
        <v>30</v>
      </c>
      <c r="T4363" s="18" t="s">
        <v>2839</v>
      </c>
      <c r="U4363" s="18"/>
      <c r="V4363" s="18"/>
      <c r="W4363" s="18" t="s">
        <v>2840</v>
      </c>
      <c r="X4363" s="18" t="s">
        <v>42</v>
      </c>
      <c r="Y4363" s="18" t="s">
        <v>36</v>
      </c>
      <c r="Z4363" s="18" t="s">
        <v>697</v>
      </c>
      <c r="AA4363" s="21" t="str">
        <f>HYPERLINK("https://www.ncbi.nlm.nih.gov/nuccore/KJ817802","NCBI Nucleotide")</f>
        <v>NCBI Nucleotide</v>
      </c>
    </row>
    <row r="4364" spans="1:27" x14ac:dyDescent="0.35">
      <c r="A4364">
        <v>1005995</v>
      </c>
      <c r="B4364">
        <v>4340</v>
      </c>
      <c r="C4364">
        <v>1</v>
      </c>
      <c r="D4364" s="17" t="s">
        <v>155</v>
      </c>
      <c r="E4364" s="17"/>
      <c r="F4364" s="17" t="s">
        <v>156</v>
      </c>
      <c r="G4364" s="17"/>
      <c r="H4364" s="17" t="s">
        <v>692</v>
      </c>
      <c r="I4364" s="17"/>
      <c r="J4364" s="17" t="s">
        <v>693</v>
      </c>
      <c r="K4364" s="17"/>
      <c r="L4364" s="17"/>
      <c r="M4364" s="17"/>
      <c r="N4364" s="17"/>
      <c r="O4364" s="17"/>
      <c r="P4364" s="17" t="s">
        <v>2834</v>
      </c>
      <c r="Q4364" s="17"/>
      <c r="R4364" s="25" t="str">
        <f>HYPERLINK("https://ictv.global/taxonomy/taxondetails?taxnode_id=202306922","Obolenskvirus AbP2")</f>
        <v>Obolenskvirus AbP2</v>
      </c>
      <c r="S4364" s="18" t="s">
        <v>30</v>
      </c>
      <c r="T4364" s="18" t="s">
        <v>2841</v>
      </c>
      <c r="U4364" s="18"/>
      <c r="V4364" s="18"/>
      <c r="W4364" s="18" t="s">
        <v>2842</v>
      </c>
      <c r="X4364" s="18" t="s">
        <v>42</v>
      </c>
      <c r="Y4364" s="18" t="s">
        <v>36</v>
      </c>
      <c r="Z4364" s="18" t="s">
        <v>697</v>
      </c>
      <c r="AA4364" s="21" t="str">
        <f>HYPERLINK("https://www.ncbi.nlm.nih.gov/nuccore/MF346584","NCBI Nucleotide")</f>
        <v>NCBI Nucleotide</v>
      </c>
    </row>
    <row r="4365" spans="1:27" x14ac:dyDescent="0.35">
      <c r="A4365">
        <v>1005996</v>
      </c>
      <c r="B4365">
        <v>4341</v>
      </c>
      <c r="C4365">
        <v>1</v>
      </c>
      <c r="D4365" s="17" t="s">
        <v>155</v>
      </c>
      <c r="E4365" s="17"/>
      <c r="F4365" s="17" t="s">
        <v>156</v>
      </c>
      <c r="G4365" s="17"/>
      <c r="H4365" s="17" t="s">
        <v>692</v>
      </c>
      <c r="I4365" s="17"/>
      <c r="J4365" s="17" t="s">
        <v>693</v>
      </c>
      <c r="K4365" s="17"/>
      <c r="L4365" s="17"/>
      <c r="M4365" s="17"/>
      <c r="N4365" s="17"/>
      <c r="O4365" s="17"/>
      <c r="P4365" s="17" t="s">
        <v>2834</v>
      </c>
      <c r="Q4365" s="17"/>
      <c r="R4365" s="25" t="str">
        <f>HYPERLINK("https://ictv.global/taxonomy/taxondetails?taxnode_id=202300380","Obolenskvirus AP22")</f>
        <v>Obolenskvirus AP22</v>
      </c>
      <c r="S4365" s="18" t="s">
        <v>30</v>
      </c>
      <c r="T4365" s="18" t="s">
        <v>2843</v>
      </c>
      <c r="U4365" s="18"/>
      <c r="V4365" s="18"/>
      <c r="W4365" s="18" t="s">
        <v>2844</v>
      </c>
      <c r="X4365" s="18" t="s">
        <v>42</v>
      </c>
      <c r="Y4365" s="18" t="s">
        <v>36</v>
      </c>
      <c r="Z4365" s="18" t="s">
        <v>697</v>
      </c>
      <c r="AA4365" s="21" t="str">
        <f>HYPERLINK("https://www.ncbi.nlm.nih.gov/nuccore/HE806280","NCBI Nucleotide")</f>
        <v>NCBI Nucleotide</v>
      </c>
    </row>
    <row r="4366" spans="1:27" x14ac:dyDescent="0.35">
      <c r="A4366">
        <v>1005997</v>
      </c>
      <c r="B4366">
        <v>4342</v>
      </c>
      <c r="C4366">
        <v>1</v>
      </c>
      <c r="D4366" s="17" t="s">
        <v>155</v>
      </c>
      <c r="E4366" s="17"/>
      <c r="F4366" s="17" t="s">
        <v>156</v>
      </c>
      <c r="G4366" s="17"/>
      <c r="H4366" s="17" t="s">
        <v>692</v>
      </c>
      <c r="I4366" s="17"/>
      <c r="J4366" s="17" t="s">
        <v>693</v>
      </c>
      <c r="K4366" s="17"/>
      <c r="L4366" s="17"/>
      <c r="M4366" s="17"/>
      <c r="N4366" s="17"/>
      <c r="O4366" s="17"/>
      <c r="P4366" s="17" t="s">
        <v>2834</v>
      </c>
      <c r="Q4366" s="17"/>
      <c r="R4366" s="25" t="str">
        <f>HYPERLINK("https://ictv.global/taxonomy/taxondetails?taxnode_id=202306921","Obolenskvirus LZ35")</f>
        <v>Obolenskvirus LZ35</v>
      </c>
      <c r="S4366" s="18" t="s">
        <v>30</v>
      </c>
      <c r="T4366" s="18" t="s">
        <v>2845</v>
      </c>
      <c r="U4366" s="18"/>
      <c r="V4366" s="18"/>
      <c r="W4366" s="18" t="s">
        <v>2846</v>
      </c>
      <c r="X4366" s="18" t="s">
        <v>42</v>
      </c>
      <c r="Y4366" s="18" t="s">
        <v>36</v>
      </c>
      <c r="Z4366" s="18" t="s">
        <v>697</v>
      </c>
      <c r="AA4366" s="21" t="str">
        <f>HYPERLINK("https://www.ncbi.nlm.nih.gov/nuccore/KU510289","NCBI Nucleotide")</f>
        <v>NCBI Nucleotide</v>
      </c>
    </row>
    <row r="4367" spans="1:27" x14ac:dyDescent="0.35">
      <c r="A4367">
        <v>1005998</v>
      </c>
      <c r="B4367">
        <v>4343</v>
      </c>
      <c r="C4367">
        <v>1</v>
      </c>
      <c r="D4367" s="17" t="s">
        <v>155</v>
      </c>
      <c r="E4367" s="17"/>
      <c r="F4367" s="17" t="s">
        <v>156</v>
      </c>
      <c r="G4367" s="17"/>
      <c r="H4367" s="17" t="s">
        <v>692</v>
      </c>
      <c r="I4367" s="17"/>
      <c r="J4367" s="17" t="s">
        <v>693</v>
      </c>
      <c r="K4367" s="17"/>
      <c r="L4367" s="17"/>
      <c r="M4367" s="17"/>
      <c r="N4367" s="17"/>
      <c r="O4367" s="17"/>
      <c r="P4367" s="17" t="s">
        <v>2834</v>
      </c>
      <c r="Q4367" s="17"/>
      <c r="R4367" s="25" t="str">
        <f>HYPERLINK("https://ictv.global/taxonomy/taxondetails?taxnode_id=202306919","Obolenskvirus WCHABP1")</f>
        <v>Obolenskvirus WCHABP1</v>
      </c>
      <c r="S4367" s="18" t="s">
        <v>30</v>
      </c>
      <c r="T4367" s="18" t="s">
        <v>2847</v>
      </c>
      <c r="U4367" s="18"/>
      <c r="V4367" s="18"/>
      <c r="W4367" s="18" t="s">
        <v>2848</v>
      </c>
      <c r="X4367" s="18" t="s">
        <v>42</v>
      </c>
      <c r="Y4367" s="18" t="s">
        <v>36</v>
      </c>
      <c r="Z4367" s="18" t="s">
        <v>697</v>
      </c>
      <c r="AA4367" s="21" t="str">
        <f>HYPERLINK("https://www.ncbi.nlm.nih.gov/nuccore/KY829116","NCBI Nucleotide")</f>
        <v>NCBI Nucleotide</v>
      </c>
    </row>
    <row r="4368" spans="1:27" x14ac:dyDescent="0.35">
      <c r="A4368">
        <v>1005999</v>
      </c>
      <c r="B4368">
        <v>4344</v>
      </c>
      <c r="C4368">
        <v>1</v>
      </c>
      <c r="D4368" s="17" t="s">
        <v>155</v>
      </c>
      <c r="E4368" s="17"/>
      <c r="F4368" s="17" t="s">
        <v>156</v>
      </c>
      <c r="G4368" s="17"/>
      <c r="H4368" s="17" t="s">
        <v>692</v>
      </c>
      <c r="I4368" s="17"/>
      <c r="J4368" s="17" t="s">
        <v>693</v>
      </c>
      <c r="K4368" s="17"/>
      <c r="L4368" s="17"/>
      <c r="M4368" s="17"/>
      <c r="N4368" s="17"/>
      <c r="O4368" s="17"/>
      <c r="P4368" s="17" t="s">
        <v>2834</v>
      </c>
      <c r="Q4368" s="17"/>
      <c r="R4368" s="25" t="str">
        <f>HYPERLINK("https://ictv.global/taxonomy/taxondetails?taxnode_id=202306920","Obolenskvirus WCHABP12")</f>
        <v>Obolenskvirus WCHABP12</v>
      </c>
      <c r="S4368" s="18" t="s">
        <v>30</v>
      </c>
      <c r="T4368" s="18" t="s">
        <v>2849</v>
      </c>
      <c r="U4368" s="18"/>
      <c r="V4368" s="18"/>
      <c r="W4368" s="18" t="s">
        <v>2850</v>
      </c>
      <c r="X4368" s="18" t="s">
        <v>42</v>
      </c>
      <c r="Y4368" s="18" t="s">
        <v>36</v>
      </c>
      <c r="Z4368" s="18" t="s">
        <v>697</v>
      </c>
      <c r="AA4368" s="21" t="str">
        <f>HYPERLINK("https://www.ncbi.nlm.nih.gov/nuccore/KY670595","NCBI Nucleotide")</f>
        <v>NCBI Nucleotide</v>
      </c>
    </row>
    <row r="4369" spans="1:27" x14ac:dyDescent="0.35">
      <c r="A4369">
        <v>1006000</v>
      </c>
      <c r="B4369">
        <v>4345</v>
      </c>
      <c r="C4369">
        <v>1</v>
      </c>
      <c r="D4369" s="17" t="s">
        <v>155</v>
      </c>
      <c r="E4369" s="17"/>
      <c r="F4369" s="17" t="s">
        <v>156</v>
      </c>
      <c r="G4369" s="17"/>
      <c r="H4369" s="17" t="s">
        <v>692</v>
      </c>
      <c r="I4369" s="17"/>
      <c r="J4369" s="17" t="s">
        <v>693</v>
      </c>
      <c r="K4369" s="17"/>
      <c r="L4369" s="17"/>
      <c r="M4369" s="17"/>
      <c r="N4369" s="17"/>
      <c r="O4369" s="17"/>
      <c r="P4369" s="17" t="s">
        <v>2851</v>
      </c>
      <c r="Q4369" s="17"/>
      <c r="R4369" s="25" t="str">
        <f>HYPERLINK("https://ictv.global/taxonomy/taxondetails?taxnode_id=202308056","Oengusvirus oengus")</f>
        <v>Oengusvirus oengus</v>
      </c>
      <c r="S4369" s="18" t="s">
        <v>30</v>
      </c>
      <c r="T4369" s="18" t="s">
        <v>2852</v>
      </c>
      <c r="U4369" s="18"/>
      <c r="V4369" s="18"/>
      <c r="W4369" s="18" t="s">
        <v>2853</v>
      </c>
      <c r="X4369" s="18" t="s">
        <v>42</v>
      </c>
      <c r="Y4369" s="18" t="s">
        <v>36</v>
      </c>
      <c r="Z4369" s="18" t="s">
        <v>697</v>
      </c>
      <c r="AA4369" s="21" t="str">
        <f>HYPERLINK("https://www.ncbi.nlm.nih.gov/nuccore/MG711463","NCBI Nucleotide")</f>
        <v>NCBI Nucleotide</v>
      </c>
    </row>
    <row r="4370" spans="1:27" x14ac:dyDescent="0.35">
      <c r="A4370">
        <v>1006001</v>
      </c>
      <c r="B4370">
        <v>4346</v>
      </c>
      <c r="C4370">
        <v>1</v>
      </c>
      <c r="D4370" s="17" t="s">
        <v>155</v>
      </c>
      <c r="E4370" s="17"/>
      <c r="F4370" s="17" t="s">
        <v>156</v>
      </c>
      <c r="G4370" s="17"/>
      <c r="H4370" s="17" t="s">
        <v>692</v>
      </c>
      <c r="I4370" s="17"/>
      <c r="J4370" s="17" t="s">
        <v>693</v>
      </c>
      <c r="K4370" s="17"/>
      <c r="L4370" s="17"/>
      <c r="M4370" s="17"/>
      <c r="N4370" s="17"/>
      <c r="O4370" s="17"/>
      <c r="P4370" s="17" t="s">
        <v>2854</v>
      </c>
      <c r="Q4370" s="17"/>
      <c r="R4370" s="25" t="str">
        <f>HYPERLINK("https://ictv.global/taxonomy/taxondetails?taxnode_id=202301095","Omegavirus baka")</f>
        <v>Omegavirus baka</v>
      </c>
      <c r="S4370" s="18" t="s">
        <v>30</v>
      </c>
      <c r="T4370" s="18" t="s">
        <v>2855</v>
      </c>
      <c r="U4370" s="18"/>
      <c r="V4370" s="18"/>
      <c r="W4370" s="18" t="s">
        <v>2856</v>
      </c>
      <c r="X4370" s="18" t="s">
        <v>42</v>
      </c>
      <c r="Y4370" s="18" t="s">
        <v>36</v>
      </c>
      <c r="Z4370" s="18" t="s">
        <v>697</v>
      </c>
      <c r="AA4370" s="21" t="str">
        <f>HYPERLINK("https://www.ncbi.nlm.nih.gov/nuccore/JF937090","NCBI Nucleotide")</f>
        <v>NCBI Nucleotide</v>
      </c>
    </row>
    <row r="4371" spans="1:27" x14ac:dyDescent="0.35">
      <c r="A4371">
        <v>1006002</v>
      </c>
      <c r="B4371">
        <v>4347</v>
      </c>
      <c r="C4371">
        <v>1</v>
      </c>
      <c r="D4371" s="17" t="s">
        <v>155</v>
      </c>
      <c r="E4371" s="17"/>
      <c r="F4371" s="17" t="s">
        <v>156</v>
      </c>
      <c r="G4371" s="17"/>
      <c r="H4371" s="17" t="s">
        <v>692</v>
      </c>
      <c r="I4371" s="17"/>
      <c r="J4371" s="17" t="s">
        <v>693</v>
      </c>
      <c r="K4371" s="17"/>
      <c r="L4371" s="17"/>
      <c r="M4371" s="17"/>
      <c r="N4371" s="17"/>
      <c r="O4371" s="17"/>
      <c r="P4371" s="17" t="s">
        <v>2854</v>
      </c>
      <c r="Q4371" s="17"/>
      <c r="R4371" s="25" t="str">
        <f>HYPERLINK("https://ictv.global/taxonomy/taxondetails?taxnode_id=202301096","Omegavirus courthouse")</f>
        <v>Omegavirus courthouse</v>
      </c>
      <c r="S4371" s="18" t="s">
        <v>30</v>
      </c>
      <c r="T4371" s="18" t="s">
        <v>2857</v>
      </c>
      <c r="U4371" s="18"/>
      <c r="V4371" s="18"/>
      <c r="W4371" s="18" t="s">
        <v>2858</v>
      </c>
      <c r="X4371" s="18" t="s">
        <v>42</v>
      </c>
      <c r="Y4371" s="18" t="s">
        <v>36</v>
      </c>
      <c r="Z4371" s="18" t="s">
        <v>697</v>
      </c>
      <c r="AA4371" s="21" t="str">
        <f>HYPERLINK("https://www.ncbi.nlm.nih.gov/nuccore/JN698997","NCBI Nucleotide")</f>
        <v>NCBI Nucleotide</v>
      </c>
    </row>
    <row r="4372" spans="1:27" x14ac:dyDescent="0.35">
      <c r="A4372">
        <v>1006003</v>
      </c>
      <c r="B4372">
        <v>4348</v>
      </c>
      <c r="C4372">
        <v>1</v>
      </c>
      <c r="D4372" s="17" t="s">
        <v>155</v>
      </c>
      <c r="E4372" s="17"/>
      <c r="F4372" s="17" t="s">
        <v>156</v>
      </c>
      <c r="G4372" s="17"/>
      <c r="H4372" s="17" t="s">
        <v>692</v>
      </c>
      <c r="I4372" s="17"/>
      <c r="J4372" s="17" t="s">
        <v>693</v>
      </c>
      <c r="K4372" s="17"/>
      <c r="L4372" s="17"/>
      <c r="M4372" s="17"/>
      <c r="N4372" s="17"/>
      <c r="O4372" s="17"/>
      <c r="P4372" s="17" t="s">
        <v>2854</v>
      </c>
      <c r="Q4372" s="17"/>
      <c r="R4372" s="25" t="str">
        <f>HYPERLINK("https://ictv.global/taxonomy/taxondetails?taxnode_id=202301097","Omegavirus littlee")</f>
        <v>Omegavirus littlee</v>
      </c>
      <c r="S4372" s="18" t="s">
        <v>30</v>
      </c>
      <c r="T4372" s="18" t="s">
        <v>2859</v>
      </c>
      <c r="U4372" s="18"/>
      <c r="V4372" s="18"/>
      <c r="W4372" s="18" t="s">
        <v>2860</v>
      </c>
      <c r="X4372" s="18" t="s">
        <v>42</v>
      </c>
      <c r="Y4372" s="18" t="s">
        <v>36</v>
      </c>
      <c r="Z4372" s="18" t="s">
        <v>697</v>
      </c>
      <c r="AA4372" s="21" t="str">
        <f>HYPERLINK("https://www.ncbi.nlm.nih.gov/nuccore/JF937101","NCBI Nucleotide")</f>
        <v>NCBI Nucleotide</v>
      </c>
    </row>
    <row r="4373" spans="1:27" x14ac:dyDescent="0.35">
      <c r="A4373">
        <v>1006004</v>
      </c>
      <c r="B4373">
        <v>4349</v>
      </c>
      <c r="C4373">
        <v>1</v>
      </c>
      <c r="D4373" s="17" t="s">
        <v>155</v>
      </c>
      <c r="E4373" s="17"/>
      <c r="F4373" s="17" t="s">
        <v>156</v>
      </c>
      <c r="G4373" s="17"/>
      <c r="H4373" s="17" t="s">
        <v>692</v>
      </c>
      <c r="I4373" s="17"/>
      <c r="J4373" s="17" t="s">
        <v>693</v>
      </c>
      <c r="K4373" s="17"/>
      <c r="L4373" s="17"/>
      <c r="M4373" s="17"/>
      <c r="N4373" s="17"/>
      <c r="O4373" s="17"/>
      <c r="P4373" s="17" t="s">
        <v>2854</v>
      </c>
      <c r="Q4373" s="17"/>
      <c r="R4373" s="25" t="str">
        <f>HYPERLINK("https://ictv.global/taxonomy/taxondetails?taxnode_id=202301098","Omegavirus omega")</f>
        <v>Omegavirus omega</v>
      </c>
      <c r="S4373" s="18" t="s">
        <v>30</v>
      </c>
      <c r="T4373" s="18" t="s">
        <v>2861</v>
      </c>
      <c r="U4373" s="18"/>
      <c r="V4373" s="18"/>
      <c r="W4373" s="18" t="s">
        <v>2862</v>
      </c>
      <c r="X4373" s="18" t="s">
        <v>42</v>
      </c>
      <c r="Y4373" s="18" t="s">
        <v>36</v>
      </c>
      <c r="Z4373" s="18" t="s">
        <v>697</v>
      </c>
      <c r="AA4373" s="21" t="str">
        <f>HYPERLINK("https://www.ncbi.nlm.nih.gov/nuccore/AY129338","NCBI Nucleotide")</f>
        <v>NCBI Nucleotide</v>
      </c>
    </row>
    <row r="4374" spans="1:27" x14ac:dyDescent="0.35">
      <c r="A4374">
        <v>1006005</v>
      </c>
      <c r="B4374">
        <v>4350</v>
      </c>
      <c r="C4374">
        <v>1</v>
      </c>
      <c r="D4374" s="17" t="s">
        <v>155</v>
      </c>
      <c r="E4374" s="17"/>
      <c r="F4374" s="17" t="s">
        <v>156</v>
      </c>
      <c r="G4374" s="17"/>
      <c r="H4374" s="17" t="s">
        <v>692</v>
      </c>
      <c r="I4374" s="17"/>
      <c r="J4374" s="17" t="s">
        <v>693</v>
      </c>
      <c r="K4374" s="17"/>
      <c r="L4374" s="17"/>
      <c r="M4374" s="17"/>
      <c r="N4374" s="17"/>
      <c r="O4374" s="17"/>
      <c r="P4374" s="17" t="s">
        <v>2854</v>
      </c>
      <c r="Q4374" s="17"/>
      <c r="R4374" s="25" t="str">
        <f>HYPERLINK("https://ictv.global/taxonomy/taxondetails?taxnode_id=202301099","Omegavirus optimus")</f>
        <v>Omegavirus optimus</v>
      </c>
      <c r="S4374" s="18" t="s">
        <v>30</v>
      </c>
      <c r="T4374" s="18" t="s">
        <v>2863</v>
      </c>
      <c r="U4374" s="18"/>
      <c r="V4374" s="18"/>
      <c r="W4374" s="18" t="s">
        <v>2864</v>
      </c>
      <c r="X4374" s="18" t="s">
        <v>42</v>
      </c>
      <c r="Y4374" s="18" t="s">
        <v>36</v>
      </c>
      <c r="Z4374" s="18" t="s">
        <v>697</v>
      </c>
      <c r="AA4374" s="21" t="str">
        <f>HYPERLINK("https://www.ncbi.nlm.nih.gov/nuccore/JF957059","NCBI Nucleotide")</f>
        <v>NCBI Nucleotide</v>
      </c>
    </row>
    <row r="4375" spans="1:27" x14ac:dyDescent="0.35">
      <c r="A4375">
        <v>1006006</v>
      </c>
      <c r="B4375">
        <v>4351</v>
      </c>
      <c r="C4375">
        <v>1</v>
      </c>
      <c r="D4375" s="17" t="s">
        <v>155</v>
      </c>
      <c r="E4375" s="17"/>
      <c r="F4375" s="17" t="s">
        <v>156</v>
      </c>
      <c r="G4375" s="17"/>
      <c r="H4375" s="17" t="s">
        <v>692</v>
      </c>
      <c r="I4375" s="17"/>
      <c r="J4375" s="17" t="s">
        <v>693</v>
      </c>
      <c r="K4375" s="17"/>
      <c r="L4375" s="17"/>
      <c r="M4375" s="17"/>
      <c r="N4375" s="17"/>
      <c r="O4375" s="17"/>
      <c r="P4375" s="17" t="s">
        <v>2854</v>
      </c>
      <c r="Q4375" s="17"/>
      <c r="R4375" s="25" t="str">
        <f>HYPERLINK("https://ictv.global/taxonomy/taxondetails?taxnode_id=202301100","Omegavirus thibault")</f>
        <v>Omegavirus thibault</v>
      </c>
      <c r="S4375" s="18" t="s">
        <v>30</v>
      </c>
      <c r="T4375" s="18" t="s">
        <v>2865</v>
      </c>
      <c r="U4375" s="18"/>
      <c r="V4375" s="18"/>
      <c r="W4375" s="18" t="s">
        <v>2866</v>
      </c>
      <c r="X4375" s="18" t="s">
        <v>42</v>
      </c>
      <c r="Y4375" s="18" t="s">
        <v>36</v>
      </c>
      <c r="Z4375" s="18" t="s">
        <v>697</v>
      </c>
      <c r="AA4375" s="21" t="str">
        <f>HYPERLINK("https://www.ncbi.nlm.nih.gov/nuccore/JN201525","NCBI Nucleotide")</f>
        <v>NCBI Nucleotide</v>
      </c>
    </row>
    <row r="4376" spans="1:27" x14ac:dyDescent="0.35">
      <c r="A4376">
        <v>1006007</v>
      </c>
      <c r="B4376">
        <v>4352</v>
      </c>
      <c r="C4376">
        <v>1</v>
      </c>
      <c r="D4376" s="17" t="s">
        <v>155</v>
      </c>
      <c r="E4376" s="17"/>
      <c r="F4376" s="17" t="s">
        <v>156</v>
      </c>
      <c r="G4376" s="17"/>
      <c r="H4376" s="17" t="s">
        <v>692</v>
      </c>
      <c r="I4376" s="17"/>
      <c r="J4376" s="17" t="s">
        <v>693</v>
      </c>
      <c r="K4376" s="17"/>
      <c r="L4376" s="17"/>
      <c r="M4376" s="17"/>
      <c r="N4376" s="17"/>
      <c r="O4376" s="17"/>
      <c r="P4376" s="17" t="s">
        <v>2867</v>
      </c>
      <c r="Q4376" s="17"/>
      <c r="R4376" s="25" t="str">
        <f>HYPERLINK("https://ictv.global/taxonomy/taxondetails?taxnode_id=202307460","Oneupvirus brutongaster")</f>
        <v>Oneupvirus brutongaster</v>
      </c>
      <c r="S4376" s="18" t="s">
        <v>30</v>
      </c>
      <c r="T4376" s="18" t="s">
        <v>2868</v>
      </c>
      <c r="U4376" s="18"/>
      <c r="V4376" s="18"/>
      <c r="W4376" s="18" t="s">
        <v>2869</v>
      </c>
      <c r="X4376" s="18" t="s">
        <v>42</v>
      </c>
      <c r="Y4376" s="18" t="s">
        <v>36</v>
      </c>
      <c r="Z4376" s="18" t="s">
        <v>697</v>
      </c>
      <c r="AA4376" s="21" t="str">
        <f>HYPERLINK("https://www.ncbi.nlm.nih.gov/nuccore/MK524501","NCBI Nucleotide")</f>
        <v>NCBI Nucleotide</v>
      </c>
    </row>
    <row r="4377" spans="1:27" x14ac:dyDescent="0.35">
      <c r="A4377">
        <v>1006008</v>
      </c>
      <c r="B4377">
        <v>4353</v>
      </c>
      <c r="C4377">
        <v>1</v>
      </c>
      <c r="D4377" s="17" t="s">
        <v>155</v>
      </c>
      <c r="E4377" s="17"/>
      <c r="F4377" s="17" t="s">
        <v>156</v>
      </c>
      <c r="G4377" s="17"/>
      <c r="H4377" s="17" t="s">
        <v>692</v>
      </c>
      <c r="I4377" s="17"/>
      <c r="J4377" s="17" t="s">
        <v>693</v>
      </c>
      <c r="K4377" s="17"/>
      <c r="L4377" s="17"/>
      <c r="M4377" s="17"/>
      <c r="N4377" s="17"/>
      <c r="O4377" s="17"/>
      <c r="P4377" s="17" t="s">
        <v>2867</v>
      </c>
      <c r="Q4377" s="17"/>
      <c r="R4377" s="25" t="str">
        <f>HYPERLINK("https://ictv.global/taxonomy/taxondetails?taxnode_id=202301311","Oneupvirus oneup")</f>
        <v>Oneupvirus oneup</v>
      </c>
      <c r="S4377" s="18" t="s">
        <v>30</v>
      </c>
      <c r="T4377" s="18" t="s">
        <v>2870</v>
      </c>
      <c r="U4377" s="18"/>
      <c r="V4377" s="18"/>
      <c r="W4377" s="18" t="s">
        <v>2871</v>
      </c>
      <c r="X4377" s="18" t="s">
        <v>42</v>
      </c>
      <c r="Y4377" s="18" t="s">
        <v>36</v>
      </c>
      <c r="Z4377" s="18" t="s">
        <v>697</v>
      </c>
      <c r="AA4377" s="21" t="str">
        <f>HYPERLINK("https://www.ncbi.nlm.nih.gov/nuccore/KU998245","NCBI Nucleotide")</f>
        <v>NCBI Nucleotide</v>
      </c>
    </row>
    <row r="4378" spans="1:27" x14ac:dyDescent="0.35">
      <c r="A4378">
        <v>1006009</v>
      </c>
      <c r="B4378">
        <v>4354</v>
      </c>
      <c r="C4378">
        <v>1</v>
      </c>
      <c r="D4378" s="17" t="s">
        <v>155</v>
      </c>
      <c r="E4378" s="17"/>
      <c r="F4378" s="17" t="s">
        <v>156</v>
      </c>
      <c r="G4378" s="17"/>
      <c r="H4378" s="17" t="s">
        <v>692</v>
      </c>
      <c r="I4378" s="17"/>
      <c r="J4378" s="17" t="s">
        <v>693</v>
      </c>
      <c r="K4378" s="17"/>
      <c r="L4378" s="17"/>
      <c r="M4378" s="17"/>
      <c r="N4378" s="17"/>
      <c r="O4378" s="17"/>
      <c r="P4378" s="17" t="s">
        <v>2872</v>
      </c>
      <c r="Q4378" s="17"/>
      <c r="R4378" s="25" t="str">
        <f>HYPERLINK("https://ictv.global/taxonomy/taxondetails?taxnode_id=202314963","Onyinyevirus onyinye")</f>
        <v>Onyinyevirus onyinye</v>
      </c>
      <c r="S4378" s="18" t="s">
        <v>30</v>
      </c>
      <c r="T4378" s="18" t="s">
        <v>2873</v>
      </c>
      <c r="U4378" s="18"/>
      <c r="V4378" s="18"/>
      <c r="W4378" s="18" t="s">
        <v>2874</v>
      </c>
      <c r="X4378" s="18" t="s">
        <v>42</v>
      </c>
      <c r="Y4378" s="18" t="s">
        <v>36</v>
      </c>
      <c r="Z4378" s="18" t="s">
        <v>697</v>
      </c>
      <c r="AA4378" s="21" t="str">
        <f>HYPERLINK("https://www.ncbi.nlm.nih.gov/nuccore/MN813687","NCBI Nucleotide")</f>
        <v>NCBI Nucleotide</v>
      </c>
    </row>
    <row r="4379" spans="1:27" x14ac:dyDescent="0.35">
      <c r="A4379">
        <v>1006010</v>
      </c>
      <c r="B4379">
        <v>4355</v>
      </c>
      <c r="C4379">
        <v>1</v>
      </c>
      <c r="D4379" s="17" t="s">
        <v>155</v>
      </c>
      <c r="E4379" s="17"/>
      <c r="F4379" s="17" t="s">
        <v>156</v>
      </c>
      <c r="G4379" s="17"/>
      <c r="H4379" s="17" t="s">
        <v>692</v>
      </c>
      <c r="I4379" s="17"/>
      <c r="J4379" s="17" t="s">
        <v>693</v>
      </c>
      <c r="K4379" s="17"/>
      <c r="L4379" s="17"/>
      <c r="M4379" s="17"/>
      <c r="N4379" s="17"/>
      <c r="O4379" s="17"/>
      <c r="P4379" s="17" t="s">
        <v>2875</v>
      </c>
      <c r="Q4379" s="17"/>
      <c r="R4379" s="25" t="str">
        <f>HYPERLINK("https://ictv.global/taxonomy/taxondetails?taxnode_id=202306587","Orchidvirus orchid")</f>
        <v>Orchidvirus orchid</v>
      </c>
      <c r="S4379" s="18" t="s">
        <v>30</v>
      </c>
      <c r="T4379" s="18" t="s">
        <v>2876</v>
      </c>
      <c r="U4379" s="18"/>
      <c r="V4379" s="18"/>
      <c r="W4379" s="18" t="s">
        <v>2877</v>
      </c>
      <c r="X4379" s="18" t="s">
        <v>42</v>
      </c>
      <c r="Y4379" s="18" t="s">
        <v>36</v>
      </c>
      <c r="Z4379" s="18" t="s">
        <v>697</v>
      </c>
      <c r="AA4379" s="21" t="str">
        <f>HYPERLINK("https://www.ncbi.nlm.nih.gov/nuccore/KU998253","NCBI Nucleotide")</f>
        <v>NCBI Nucleotide</v>
      </c>
    </row>
    <row r="4380" spans="1:27" x14ac:dyDescent="0.35">
      <c r="A4380">
        <v>1024763</v>
      </c>
      <c r="B4380">
        <v>4356</v>
      </c>
      <c r="C4380">
        <v>1</v>
      </c>
      <c r="D4380" s="17" t="s">
        <v>155</v>
      </c>
      <c r="E4380" s="17"/>
      <c r="F4380" s="17" t="s">
        <v>156</v>
      </c>
      <c r="G4380" s="17"/>
      <c r="H4380" s="17" t="s">
        <v>692</v>
      </c>
      <c r="I4380" s="17"/>
      <c r="J4380" s="17" t="s">
        <v>693</v>
      </c>
      <c r="K4380" s="17"/>
      <c r="L4380" s="17"/>
      <c r="M4380" s="17"/>
      <c r="N4380" s="17"/>
      <c r="O4380" s="17"/>
      <c r="P4380" s="17" t="s">
        <v>40000</v>
      </c>
      <c r="Q4380" s="17"/>
      <c r="R4380" s="25" t="str">
        <f>HYPERLINK("https://ictv.global/taxonomy/taxondetails?taxnode_id=202317763","Oscarsovirus oscarso")</f>
        <v>Oscarsovirus oscarso</v>
      </c>
      <c r="S4380" s="18" t="s">
        <v>30</v>
      </c>
      <c r="T4380" s="18" t="s">
        <v>40001</v>
      </c>
      <c r="U4380" s="18"/>
      <c r="V4380" s="18"/>
      <c r="W4380" s="18" t="s">
        <v>48556</v>
      </c>
      <c r="X4380" s="18" t="s">
        <v>42</v>
      </c>
      <c r="Y4380" s="18" t="s">
        <v>36</v>
      </c>
      <c r="Z4380" s="18" t="s">
        <v>697</v>
      </c>
      <c r="AA4380" s="21" t="str">
        <f>HYPERLINK("https://www.ncbi.nlm.nih.gov/nuccore/OP434449","NCBI Nucleotide")</f>
        <v>NCBI Nucleotide</v>
      </c>
    </row>
    <row r="4381" spans="1:27" x14ac:dyDescent="0.35">
      <c r="A4381">
        <v>1006011</v>
      </c>
      <c r="B4381">
        <v>4357</v>
      </c>
      <c r="C4381">
        <v>1</v>
      </c>
      <c r="D4381" s="17" t="s">
        <v>155</v>
      </c>
      <c r="E4381" s="17"/>
      <c r="F4381" s="17" t="s">
        <v>156</v>
      </c>
      <c r="G4381" s="17"/>
      <c r="H4381" s="17" t="s">
        <v>692</v>
      </c>
      <c r="I4381" s="17"/>
      <c r="J4381" s="17" t="s">
        <v>693</v>
      </c>
      <c r="K4381" s="17"/>
      <c r="L4381" s="17"/>
      <c r="M4381" s="17"/>
      <c r="N4381" s="17"/>
      <c r="O4381" s="17"/>
      <c r="P4381" s="17" t="s">
        <v>2878</v>
      </c>
      <c r="Q4381" s="17"/>
      <c r="R4381" s="25" t="str">
        <f>HYPERLINK("https://ictv.global/taxonomy/taxondetails?taxnode_id=202301108","Oshimavirus P2345")</f>
        <v>Oshimavirus P2345</v>
      </c>
      <c r="S4381" s="18" t="s">
        <v>30</v>
      </c>
      <c r="T4381" s="18" t="s">
        <v>2879</v>
      </c>
      <c r="U4381" s="18"/>
      <c r="V4381" s="18"/>
      <c r="W4381" s="18" t="s">
        <v>2880</v>
      </c>
      <c r="X4381" s="18" t="s">
        <v>42</v>
      </c>
      <c r="Y4381" s="18" t="s">
        <v>36</v>
      </c>
      <c r="Z4381" s="18" t="s">
        <v>697</v>
      </c>
      <c r="AA4381" s="21" t="str">
        <f>HYPERLINK("https://www.ncbi.nlm.nih.gov/nuccore/EU100883","NCBI Nucleotide")</f>
        <v>NCBI Nucleotide</v>
      </c>
    </row>
    <row r="4382" spans="1:27" x14ac:dyDescent="0.35">
      <c r="A4382">
        <v>1006012</v>
      </c>
      <c r="B4382">
        <v>4358</v>
      </c>
      <c r="C4382">
        <v>1</v>
      </c>
      <c r="D4382" s="17" t="s">
        <v>155</v>
      </c>
      <c r="E4382" s="17"/>
      <c r="F4382" s="17" t="s">
        <v>156</v>
      </c>
      <c r="G4382" s="17"/>
      <c r="H4382" s="17" t="s">
        <v>692</v>
      </c>
      <c r="I4382" s="17"/>
      <c r="J4382" s="17" t="s">
        <v>693</v>
      </c>
      <c r="K4382" s="17"/>
      <c r="L4382" s="17"/>
      <c r="M4382" s="17"/>
      <c r="N4382" s="17"/>
      <c r="O4382" s="17"/>
      <c r="P4382" s="17" t="s">
        <v>2878</v>
      </c>
      <c r="Q4382" s="17"/>
      <c r="R4382" s="25" t="str">
        <f>HYPERLINK("https://ictv.global/taxonomy/taxondetails?taxnode_id=202301109","Oshimavirus P7426")</f>
        <v>Oshimavirus P7426</v>
      </c>
      <c r="S4382" s="18" t="s">
        <v>30</v>
      </c>
      <c r="T4382" s="18" t="s">
        <v>2881</v>
      </c>
      <c r="U4382" s="18"/>
      <c r="V4382" s="18"/>
      <c r="W4382" s="18" t="s">
        <v>2882</v>
      </c>
      <c r="X4382" s="18" t="s">
        <v>42</v>
      </c>
      <c r="Y4382" s="18" t="s">
        <v>36</v>
      </c>
      <c r="Z4382" s="18" t="s">
        <v>697</v>
      </c>
      <c r="AA4382" s="21" t="str">
        <f>HYPERLINK("https://www.ncbi.nlm.nih.gov/nuccore/EU100884","NCBI Nucleotide")</f>
        <v>NCBI Nucleotide</v>
      </c>
    </row>
    <row r="4383" spans="1:27" x14ac:dyDescent="0.35">
      <c r="A4383">
        <v>1024727</v>
      </c>
      <c r="B4383">
        <v>4359</v>
      </c>
      <c r="C4383">
        <v>1</v>
      </c>
      <c r="D4383" s="17" t="s">
        <v>155</v>
      </c>
      <c r="E4383" s="17"/>
      <c r="F4383" s="17" t="s">
        <v>156</v>
      </c>
      <c r="G4383" s="17"/>
      <c r="H4383" s="17" t="s">
        <v>692</v>
      </c>
      <c r="I4383" s="17"/>
      <c r="J4383" s="17" t="s">
        <v>693</v>
      </c>
      <c r="K4383" s="17"/>
      <c r="L4383" s="17"/>
      <c r="M4383" s="17"/>
      <c r="N4383" s="17"/>
      <c r="O4383" s="17"/>
      <c r="P4383" s="17" t="s">
        <v>40002</v>
      </c>
      <c r="Q4383" s="17"/>
      <c r="R4383" s="25" t="str">
        <f>HYPERLINK("https://ictv.global/taxonomy/taxondetails?taxnode_id=202319385","Otakuvirus otaku")</f>
        <v>Otakuvirus otaku</v>
      </c>
      <c r="S4383" s="18" t="s">
        <v>30</v>
      </c>
      <c r="T4383" s="18" t="s">
        <v>40003</v>
      </c>
      <c r="U4383" s="18"/>
      <c r="V4383" s="18"/>
      <c r="W4383" s="18" t="s">
        <v>48557</v>
      </c>
      <c r="X4383" s="18" t="s">
        <v>42</v>
      </c>
      <c r="Y4383" s="18" t="s">
        <v>36</v>
      </c>
      <c r="Z4383" s="18" t="s">
        <v>697</v>
      </c>
      <c r="AA4383" s="21" t="str">
        <f>HYPERLINK("https://www.ncbi.nlm.nih.gov/nuccore/ON087563","NCBI Nucleotide")</f>
        <v>NCBI Nucleotide</v>
      </c>
    </row>
    <row r="4384" spans="1:27" x14ac:dyDescent="0.35">
      <c r="A4384">
        <v>1024728</v>
      </c>
      <c r="B4384">
        <v>4360</v>
      </c>
      <c r="C4384">
        <v>1</v>
      </c>
      <c r="D4384" s="17" t="s">
        <v>155</v>
      </c>
      <c r="E4384" s="17"/>
      <c r="F4384" s="17" t="s">
        <v>156</v>
      </c>
      <c r="G4384" s="17"/>
      <c r="H4384" s="17" t="s">
        <v>692</v>
      </c>
      <c r="I4384" s="17"/>
      <c r="J4384" s="17" t="s">
        <v>693</v>
      </c>
      <c r="K4384" s="17"/>
      <c r="L4384" s="17"/>
      <c r="M4384" s="17"/>
      <c r="N4384" s="17"/>
      <c r="O4384" s="17"/>
      <c r="P4384" s="17" t="s">
        <v>40002</v>
      </c>
      <c r="Q4384" s="17"/>
      <c r="R4384" s="25" t="str">
        <f>HYPERLINK("https://ictv.global/taxonomy/taxondetails?taxnode_id=202319386","Otakuvirus Tsm2")</f>
        <v>Otakuvirus Tsm2</v>
      </c>
      <c r="S4384" s="18" t="s">
        <v>30</v>
      </c>
      <c r="T4384" s="18" t="s">
        <v>40004</v>
      </c>
      <c r="U4384" s="18"/>
      <c r="V4384" s="18"/>
      <c r="W4384" s="18" t="s">
        <v>48558</v>
      </c>
      <c r="X4384" s="18" t="s">
        <v>42</v>
      </c>
      <c r="Y4384" s="18" t="s">
        <v>36</v>
      </c>
      <c r="Z4384" s="18" t="s">
        <v>697</v>
      </c>
      <c r="AA4384" s="21" t="str">
        <f>HYPERLINK("https://www.ncbi.nlm.nih.gov/nuccore/MW082583","NCBI Nucleotide")</f>
        <v>NCBI Nucleotide</v>
      </c>
    </row>
    <row r="4385" spans="1:27" x14ac:dyDescent="0.35">
      <c r="A4385">
        <v>1006015</v>
      </c>
      <c r="B4385">
        <v>4361</v>
      </c>
      <c r="C4385">
        <v>1</v>
      </c>
      <c r="D4385" s="17" t="s">
        <v>155</v>
      </c>
      <c r="E4385" s="17"/>
      <c r="F4385" s="17" t="s">
        <v>156</v>
      </c>
      <c r="G4385" s="17"/>
      <c r="H4385" s="17" t="s">
        <v>692</v>
      </c>
      <c r="I4385" s="17"/>
      <c r="J4385" s="17" t="s">
        <v>693</v>
      </c>
      <c r="K4385" s="17"/>
      <c r="L4385" s="17"/>
      <c r="M4385" s="17"/>
      <c r="N4385" s="17"/>
      <c r="O4385" s="17"/>
      <c r="P4385" s="17" t="s">
        <v>2888</v>
      </c>
      <c r="Q4385" s="17"/>
      <c r="R4385" s="25" t="str">
        <f>HYPERLINK("https://ictv.global/taxonomy/taxondetails?taxnode_id=202314714","Paclarkvirus ARI04684")</f>
        <v>Paclarkvirus ARI04684</v>
      </c>
      <c r="S4385" s="18" t="s">
        <v>30</v>
      </c>
      <c r="T4385" s="18" t="s">
        <v>2889</v>
      </c>
      <c r="U4385" s="18"/>
      <c r="V4385" s="18"/>
      <c r="W4385" s="18" t="s">
        <v>2890</v>
      </c>
      <c r="X4385" s="18" t="s">
        <v>42</v>
      </c>
      <c r="Y4385" s="18" t="s">
        <v>36</v>
      </c>
      <c r="Z4385" s="18" t="s">
        <v>697</v>
      </c>
      <c r="AA4385" s="21" t="str">
        <f>HYPERLINK("https://www.ncbi.nlm.nih.gov/nuccore/KT337358","NCBI Nucleotide")</f>
        <v>NCBI Nucleotide</v>
      </c>
    </row>
    <row r="4386" spans="1:27" x14ac:dyDescent="0.35">
      <c r="A4386">
        <v>1006016</v>
      </c>
      <c r="B4386">
        <v>4362</v>
      </c>
      <c r="C4386">
        <v>1</v>
      </c>
      <c r="D4386" s="17" t="s">
        <v>155</v>
      </c>
      <c r="E4386" s="17"/>
      <c r="F4386" s="17" t="s">
        <v>156</v>
      </c>
      <c r="G4386" s="17"/>
      <c r="H4386" s="17" t="s">
        <v>692</v>
      </c>
      <c r="I4386" s="17"/>
      <c r="J4386" s="17" t="s">
        <v>693</v>
      </c>
      <c r="K4386" s="17"/>
      <c r="L4386" s="17"/>
      <c r="M4386" s="17"/>
      <c r="N4386" s="17"/>
      <c r="O4386" s="17"/>
      <c r="P4386" s="17" t="s">
        <v>2888</v>
      </c>
      <c r="Q4386" s="17"/>
      <c r="R4386" s="25" t="str">
        <f>HYPERLINK("https://ictv.global/taxonomy/taxondetails?taxnode_id=202314711","Paclarkvirus BHN167")</f>
        <v>Paclarkvirus BHN167</v>
      </c>
      <c r="S4386" s="18" t="s">
        <v>30</v>
      </c>
      <c r="T4386" s="18" t="s">
        <v>2891</v>
      </c>
      <c r="U4386" s="18"/>
      <c r="V4386" s="18"/>
      <c r="W4386" s="18" t="s">
        <v>2892</v>
      </c>
      <c r="X4386" s="18" t="s">
        <v>42</v>
      </c>
      <c r="Y4386" s="18" t="s">
        <v>36</v>
      </c>
      <c r="Z4386" s="18" t="s">
        <v>697</v>
      </c>
      <c r="AA4386" s="21" t="str">
        <f>HYPERLINK("https://www.ncbi.nlm.nih.gov/nuccore/HF563658","NCBI Nucleotide")</f>
        <v>NCBI Nucleotide</v>
      </c>
    </row>
    <row r="4387" spans="1:27" x14ac:dyDescent="0.35">
      <c r="A4387">
        <v>1006017</v>
      </c>
      <c r="B4387">
        <v>4363</v>
      </c>
      <c r="C4387">
        <v>1</v>
      </c>
      <c r="D4387" s="17" t="s">
        <v>155</v>
      </c>
      <c r="E4387" s="17"/>
      <c r="F4387" s="17" t="s">
        <v>156</v>
      </c>
      <c r="G4387" s="17"/>
      <c r="H4387" s="17" t="s">
        <v>692</v>
      </c>
      <c r="I4387" s="17"/>
      <c r="J4387" s="17" t="s">
        <v>693</v>
      </c>
      <c r="K4387" s="17"/>
      <c r="L4387" s="17"/>
      <c r="M4387" s="17"/>
      <c r="N4387" s="17"/>
      <c r="O4387" s="17"/>
      <c r="P4387" s="17" t="s">
        <v>2888</v>
      </c>
      <c r="Q4387" s="17"/>
      <c r="R4387" s="25" t="str">
        <f>HYPERLINK("https://ictv.global/taxonomy/taxondetails?taxnode_id=202314709","Paclarkvirus IPP14")</f>
        <v>Paclarkvirus IPP14</v>
      </c>
      <c r="S4387" s="18" t="s">
        <v>30</v>
      </c>
      <c r="T4387" s="18" t="s">
        <v>2893</v>
      </c>
      <c r="U4387" s="18"/>
      <c r="V4387" s="18"/>
      <c r="W4387" s="18" t="s">
        <v>2894</v>
      </c>
      <c r="X4387" s="18" t="s">
        <v>42</v>
      </c>
      <c r="Y4387" s="18" t="s">
        <v>36</v>
      </c>
      <c r="Z4387" s="18" t="s">
        <v>697</v>
      </c>
      <c r="AA4387" s="21" t="str">
        <f>HYPERLINK("https://www.ncbi.nlm.nih.gov/nuccore/KY065455","NCBI Nucleotide")</f>
        <v>NCBI Nucleotide</v>
      </c>
    </row>
    <row r="4388" spans="1:27" x14ac:dyDescent="0.35">
      <c r="A4388">
        <v>1006018</v>
      </c>
      <c r="B4388">
        <v>4364</v>
      </c>
      <c r="C4388">
        <v>1</v>
      </c>
      <c r="D4388" s="17" t="s">
        <v>155</v>
      </c>
      <c r="E4388" s="17"/>
      <c r="F4388" s="17" t="s">
        <v>156</v>
      </c>
      <c r="G4388" s="17"/>
      <c r="H4388" s="17" t="s">
        <v>692</v>
      </c>
      <c r="I4388" s="17"/>
      <c r="J4388" s="17" t="s">
        <v>693</v>
      </c>
      <c r="K4388" s="17"/>
      <c r="L4388" s="17"/>
      <c r="M4388" s="17"/>
      <c r="N4388" s="17"/>
      <c r="O4388" s="17"/>
      <c r="P4388" s="17" t="s">
        <v>2888</v>
      </c>
      <c r="Q4388" s="17"/>
      <c r="R4388" s="25" t="str">
        <f>HYPERLINK("https://ictv.global/taxonomy/taxondetails?taxnode_id=202314710","Paclarkvirus IPP39")</f>
        <v>Paclarkvirus IPP39</v>
      </c>
      <c r="S4388" s="18" t="s">
        <v>30</v>
      </c>
      <c r="T4388" s="18" t="s">
        <v>2895</v>
      </c>
      <c r="U4388" s="18"/>
      <c r="V4388" s="18"/>
      <c r="W4388" s="18" t="s">
        <v>2896</v>
      </c>
      <c r="X4388" s="18" t="s">
        <v>42</v>
      </c>
      <c r="Y4388" s="18" t="s">
        <v>36</v>
      </c>
      <c r="Z4388" s="18" t="s">
        <v>697</v>
      </c>
      <c r="AA4388" s="21" t="str">
        <f>HYPERLINK("https://www.ncbi.nlm.nih.gov/nuccore/KY065479","NCBI Nucleotide")</f>
        <v>NCBI Nucleotide</v>
      </c>
    </row>
    <row r="4389" spans="1:27" x14ac:dyDescent="0.35">
      <c r="A4389">
        <v>1006019</v>
      </c>
      <c r="B4389">
        <v>4365</v>
      </c>
      <c r="C4389">
        <v>1</v>
      </c>
      <c r="D4389" s="17" t="s">
        <v>155</v>
      </c>
      <c r="E4389" s="17"/>
      <c r="F4389" s="17" t="s">
        <v>156</v>
      </c>
      <c r="G4389" s="17"/>
      <c r="H4389" s="17" t="s">
        <v>692</v>
      </c>
      <c r="I4389" s="17"/>
      <c r="J4389" s="17" t="s">
        <v>693</v>
      </c>
      <c r="K4389" s="17"/>
      <c r="L4389" s="17"/>
      <c r="M4389" s="17"/>
      <c r="N4389" s="17"/>
      <c r="O4389" s="17"/>
      <c r="P4389" s="17" t="s">
        <v>2888</v>
      </c>
      <c r="Q4389" s="17"/>
      <c r="R4389" s="25" t="str">
        <f>HYPERLINK("https://ictv.global/taxonomy/taxondetails?taxnode_id=202314713","Paclarkvirus IPP48")</f>
        <v>Paclarkvirus IPP48</v>
      </c>
      <c r="S4389" s="18" t="s">
        <v>30</v>
      </c>
      <c r="T4389" s="18" t="s">
        <v>2897</v>
      </c>
      <c r="U4389" s="18"/>
      <c r="V4389" s="18"/>
      <c r="W4389" s="18" t="s">
        <v>2898</v>
      </c>
      <c r="X4389" s="18" t="s">
        <v>42</v>
      </c>
      <c r="Y4389" s="18" t="s">
        <v>36</v>
      </c>
      <c r="Z4389" s="18" t="s">
        <v>697</v>
      </c>
      <c r="AA4389" s="21" t="str">
        <f>HYPERLINK("https://www.ncbi.nlm.nih.gov/nuccore/KY065487","NCBI Nucleotide")</f>
        <v>NCBI Nucleotide</v>
      </c>
    </row>
    <row r="4390" spans="1:27" x14ac:dyDescent="0.35">
      <c r="A4390">
        <v>1006020</v>
      </c>
      <c r="B4390">
        <v>4366</v>
      </c>
      <c r="C4390">
        <v>1</v>
      </c>
      <c r="D4390" s="17" t="s">
        <v>155</v>
      </c>
      <c r="E4390" s="17"/>
      <c r="F4390" s="17" t="s">
        <v>156</v>
      </c>
      <c r="G4390" s="17"/>
      <c r="H4390" s="17" t="s">
        <v>692</v>
      </c>
      <c r="I4390" s="17"/>
      <c r="J4390" s="17" t="s">
        <v>693</v>
      </c>
      <c r="K4390" s="17"/>
      <c r="L4390" s="17"/>
      <c r="M4390" s="17"/>
      <c r="N4390" s="17"/>
      <c r="O4390" s="17"/>
      <c r="P4390" s="17" t="s">
        <v>2888</v>
      </c>
      <c r="Q4390" s="17"/>
      <c r="R4390" s="25" t="str">
        <f>HYPERLINK("https://ictv.global/taxonomy/taxondetails?taxnode_id=202314715","Paclarkvirus IPP52")</f>
        <v>Paclarkvirus IPP52</v>
      </c>
      <c r="S4390" s="18" t="s">
        <v>30</v>
      </c>
      <c r="T4390" s="18" t="s">
        <v>2899</v>
      </c>
      <c r="U4390" s="18"/>
      <c r="V4390" s="18"/>
      <c r="W4390" s="18" t="s">
        <v>2900</v>
      </c>
      <c r="X4390" s="18" t="s">
        <v>42</v>
      </c>
      <c r="Y4390" s="18" t="s">
        <v>36</v>
      </c>
      <c r="Z4390" s="18" t="s">
        <v>697</v>
      </c>
      <c r="AA4390" s="21" t="str">
        <f>HYPERLINK("https://www.ncbi.nlm.nih.gov/nuccore/KY065490","NCBI Nucleotide")</f>
        <v>NCBI Nucleotide</v>
      </c>
    </row>
    <row r="4391" spans="1:27" x14ac:dyDescent="0.35">
      <c r="A4391">
        <v>1006021</v>
      </c>
      <c r="B4391">
        <v>4367</v>
      </c>
      <c r="C4391">
        <v>1</v>
      </c>
      <c r="D4391" s="17" t="s">
        <v>155</v>
      </c>
      <c r="E4391" s="17"/>
      <c r="F4391" s="17" t="s">
        <v>156</v>
      </c>
      <c r="G4391" s="17"/>
      <c r="H4391" s="17" t="s">
        <v>692</v>
      </c>
      <c r="I4391" s="17"/>
      <c r="J4391" s="17" t="s">
        <v>693</v>
      </c>
      <c r="K4391" s="17"/>
      <c r="L4391" s="17"/>
      <c r="M4391" s="17"/>
      <c r="N4391" s="17"/>
      <c r="O4391" s="17"/>
      <c r="P4391" s="17" t="s">
        <v>2888</v>
      </c>
      <c r="Q4391" s="17"/>
      <c r="R4391" s="25" t="str">
        <f>HYPERLINK("https://ictv.global/taxonomy/taxondetails?taxnode_id=202314707","Paclarkvirus IPP54")</f>
        <v>Paclarkvirus IPP54</v>
      </c>
      <c r="S4391" s="18" t="s">
        <v>30</v>
      </c>
      <c r="T4391" s="18" t="s">
        <v>2901</v>
      </c>
      <c r="U4391" s="18"/>
      <c r="V4391" s="18"/>
      <c r="W4391" s="18" t="s">
        <v>2902</v>
      </c>
      <c r="X4391" s="18" t="s">
        <v>42</v>
      </c>
      <c r="Y4391" s="18" t="s">
        <v>36</v>
      </c>
      <c r="Z4391" s="18" t="s">
        <v>697</v>
      </c>
      <c r="AA4391" s="21" t="str">
        <f>HYPERLINK("https://www.ncbi.nlm.nih.gov/nuccore/KY065492","NCBI Nucleotide")</f>
        <v>NCBI Nucleotide</v>
      </c>
    </row>
    <row r="4392" spans="1:27" x14ac:dyDescent="0.35">
      <c r="A4392">
        <v>1006022</v>
      </c>
      <c r="B4392">
        <v>4368</v>
      </c>
      <c r="C4392">
        <v>1</v>
      </c>
      <c r="D4392" s="17" t="s">
        <v>155</v>
      </c>
      <c r="E4392" s="17"/>
      <c r="F4392" s="17" t="s">
        <v>156</v>
      </c>
      <c r="G4392" s="17"/>
      <c r="H4392" s="17" t="s">
        <v>692</v>
      </c>
      <c r="I4392" s="17"/>
      <c r="J4392" s="17" t="s">
        <v>693</v>
      </c>
      <c r="K4392" s="17"/>
      <c r="L4392" s="17"/>
      <c r="M4392" s="17"/>
      <c r="N4392" s="17"/>
      <c r="O4392" s="17"/>
      <c r="P4392" s="17" t="s">
        <v>2888</v>
      </c>
      <c r="Q4392" s="17"/>
      <c r="R4392" s="25" t="str">
        <f>HYPERLINK("https://ictv.global/taxonomy/taxondetails?taxnode_id=202314708","Paclarkvirus IPP55")</f>
        <v>Paclarkvirus IPP55</v>
      </c>
      <c r="S4392" s="18" t="s">
        <v>30</v>
      </c>
      <c r="T4392" s="18" t="s">
        <v>2903</v>
      </c>
      <c r="U4392" s="18"/>
      <c r="V4392" s="18"/>
      <c r="W4392" s="18" t="s">
        <v>2904</v>
      </c>
      <c r="X4392" s="18" t="s">
        <v>42</v>
      </c>
      <c r="Y4392" s="18" t="s">
        <v>36</v>
      </c>
      <c r="Z4392" s="18" t="s">
        <v>697</v>
      </c>
      <c r="AA4392" s="21" t="str">
        <f>HYPERLINK("https://www.ncbi.nlm.nih.gov/nuccore/KY065493","NCBI Nucleotide")</f>
        <v>NCBI Nucleotide</v>
      </c>
    </row>
    <row r="4393" spans="1:27" x14ac:dyDescent="0.35">
      <c r="A4393">
        <v>1006023</v>
      </c>
      <c r="B4393">
        <v>4369</v>
      </c>
      <c r="C4393">
        <v>1</v>
      </c>
      <c r="D4393" s="17" t="s">
        <v>155</v>
      </c>
      <c r="E4393" s="17"/>
      <c r="F4393" s="17" t="s">
        <v>156</v>
      </c>
      <c r="G4393" s="17"/>
      <c r="H4393" s="17" t="s">
        <v>692</v>
      </c>
      <c r="I4393" s="17"/>
      <c r="J4393" s="17" t="s">
        <v>693</v>
      </c>
      <c r="K4393" s="17"/>
      <c r="L4393" s="17"/>
      <c r="M4393" s="17"/>
      <c r="N4393" s="17"/>
      <c r="O4393" s="17"/>
      <c r="P4393" s="17" t="s">
        <v>2888</v>
      </c>
      <c r="Q4393" s="17"/>
      <c r="R4393" s="25" t="str">
        <f>HYPERLINK("https://ictv.global/taxonomy/taxondetails?taxnode_id=202314706","Paclarkvirus IPP65")</f>
        <v>Paclarkvirus IPP65</v>
      </c>
      <c r="S4393" s="18" t="s">
        <v>30</v>
      </c>
      <c r="T4393" s="18" t="s">
        <v>2905</v>
      </c>
      <c r="U4393" s="18"/>
      <c r="V4393" s="18"/>
      <c r="W4393" s="18" t="s">
        <v>2906</v>
      </c>
      <c r="X4393" s="18" t="s">
        <v>42</v>
      </c>
      <c r="Y4393" s="18" t="s">
        <v>36</v>
      </c>
      <c r="Z4393" s="18" t="s">
        <v>697</v>
      </c>
      <c r="AA4393" s="21" t="str">
        <f>HYPERLINK("https://www.ncbi.nlm.nih.gov/nuccore/KY065501","NCBI Nucleotide")</f>
        <v>NCBI Nucleotide</v>
      </c>
    </row>
    <row r="4394" spans="1:27" x14ac:dyDescent="0.35">
      <c r="A4394">
        <v>1006024</v>
      </c>
      <c r="B4394">
        <v>4370</v>
      </c>
      <c r="C4394">
        <v>1</v>
      </c>
      <c r="D4394" s="17" t="s">
        <v>155</v>
      </c>
      <c r="E4394" s="17"/>
      <c r="F4394" s="17" t="s">
        <v>156</v>
      </c>
      <c r="G4394" s="17"/>
      <c r="H4394" s="17" t="s">
        <v>692</v>
      </c>
      <c r="I4394" s="17"/>
      <c r="J4394" s="17" t="s">
        <v>693</v>
      </c>
      <c r="K4394" s="17"/>
      <c r="L4394" s="17"/>
      <c r="M4394" s="17"/>
      <c r="N4394" s="17"/>
      <c r="O4394" s="17"/>
      <c r="P4394" s="17" t="s">
        <v>2888</v>
      </c>
      <c r="Q4394" s="17"/>
      <c r="R4394" s="25" t="str">
        <f>HYPERLINK("https://ictv.global/taxonomy/taxondetails?taxnode_id=202314716","Paclarkvirus IPP66")</f>
        <v>Paclarkvirus IPP66</v>
      </c>
      <c r="S4394" s="18" t="s">
        <v>30</v>
      </c>
      <c r="T4394" s="18" t="s">
        <v>2907</v>
      </c>
      <c r="U4394" s="18"/>
      <c r="V4394" s="18"/>
      <c r="W4394" s="18" t="s">
        <v>2908</v>
      </c>
      <c r="X4394" s="18" t="s">
        <v>42</v>
      </c>
      <c r="Y4394" s="18" t="s">
        <v>36</v>
      </c>
      <c r="Z4394" s="18" t="s">
        <v>697</v>
      </c>
      <c r="AA4394" s="21" t="str">
        <f>HYPERLINK("https://www.ncbi.nlm.nih.gov/nuccore/KY065502","NCBI Nucleotide")</f>
        <v>NCBI Nucleotide</v>
      </c>
    </row>
    <row r="4395" spans="1:27" x14ac:dyDescent="0.35">
      <c r="A4395">
        <v>1006025</v>
      </c>
      <c r="B4395">
        <v>4371</v>
      </c>
      <c r="C4395">
        <v>1</v>
      </c>
      <c r="D4395" s="17" t="s">
        <v>155</v>
      </c>
      <c r="E4395" s="17"/>
      <c r="F4395" s="17" t="s">
        <v>156</v>
      </c>
      <c r="G4395" s="17"/>
      <c r="H4395" s="17" t="s">
        <v>692</v>
      </c>
      <c r="I4395" s="17"/>
      <c r="J4395" s="17" t="s">
        <v>693</v>
      </c>
      <c r="K4395" s="17"/>
      <c r="L4395" s="17"/>
      <c r="M4395" s="17"/>
      <c r="N4395" s="17"/>
      <c r="O4395" s="17"/>
      <c r="P4395" s="17" t="s">
        <v>2888</v>
      </c>
      <c r="Q4395" s="17"/>
      <c r="R4395" s="25" t="str">
        <f>HYPERLINK("https://ictv.global/taxonomy/taxondetails?taxnode_id=202314705","Paclarkvirus MM1")</f>
        <v>Paclarkvirus MM1</v>
      </c>
      <c r="S4395" s="18" t="s">
        <v>30</v>
      </c>
      <c r="T4395" s="18" t="s">
        <v>2909</v>
      </c>
      <c r="U4395" s="18"/>
      <c r="V4395" s="18"/>
      <c r="W4395" s="18" t="s">
        <v>2910</v>
      </c>
      <c r="X4395" s="18" t="s">
        <v>42</v>
      </c>
      <c r="Y4395" s="18" t="s">
        <v>36</v>
      </c>
      <c r="Z4395" s="18" t="s">
        <v>697</v>
      </c>
      <c r="AA4395" s="21" t="str">
        <f>HYPERLINK("https://www.ncbi.nlm.nih.gov/nuccore/AJ302074","NCBI Nucleotide")</f>
        <v>NCBI Nucleotide</v>
      </c>
    </row>
    <row r="4396" spans="1:27" x14ac:dyDescent="0.35">
      <c r="A4396">
        <v>1006026</v>
      </c>
      <c r="B4396">
        <v>4372</v>
      </c>
      <c r="C4396">
        <v>1</v>
      </c>
      <c r="D4396" s="17" t="s">
        <v>155</v>
      </c>
      <c r="E4396" s="17"/>
      <c r="F4396" s="17" t="s">
        <v>156</v>
      </c>
      <c r="G4396" s="17"/>
      <c r="H4396" s="17" t="s">
        <v>692</v>
      </c>
      <c r="I4396" s="17"/>
      <c r="J4396" s="17" t="s">
        <v>693</v>
      </c>
      <c r="K4396" s="17"/>
      <c r="L4396" s="17"/>
      <c r="M4396" s="17"/>
      <c r="N4396" s="17"/>
      <c r="O4396" s="17"/>
      <c r="P4396" s="17" t="s">
        <v>2888</v>
      </c>
      <c r="Q4396" s="17"/>
      <c r="R4396" s="25" t="str">
        <f>HYPERLINK("https://ictv.global/taxonomy/taxondetails?taxnode_id=202314712","Paclarkvirus SpGS-1")</f>
        <v>Paclarkvirus SpGS-1</v>
      </c>
      <c r="S4396" s="18" t="s">
        <v>30</v>
      </c>
      <c r="T4396" s="18" t="s">
        <v>2911</v>
      </c>
      <c r="U4396" s="18"/>
      <c r="V4396" s="18"/>
      <c r="W4396" s="18" t="s">
        <v>2912</v>
      </c>
      <c r="X4396" s="18" t="s">
        <v>42</v>
      </c>
      <c r="Y4396" s="18" t="s">
        <v>36</v>
      </c>
      <c r="Z4396" s="18" t="s">
        <v>697</v>
      </c>
      <c r="AA4396" s="21" t="str">
        <f>HYPERLINK("https://www.ncbi.nlm.nih.gov/nuccore/KX550065","NCBI Nucleotide")</f>
        <v>NCBI Nucleotide</v>
      </c>
    </row>
    <row r="4397" spans="1:27" x14ac:dyDescent="0.35">
      <c r="A4397">
        <v>1006027</v>
      </c>
      <c r="B4397">
        <v>4373</v>
      </c>
      <c r="C4397">
        <v>1</v>
      </c>
      <c r="D4397" s="17" t="s">
        <v>155</v>
      </c>
      <c r="E4397" s="17"/>
      <c r="F4397" s="17" t="s">
        <v>156</v>
      </c>
      <c r="G4397" s="17"/>
      <c r="H4397" s="17" t="s">
        <v>692</v>
      </c>
      <c r="I4397" s="17"/>
      <c r="J4397" s="17" t="s">
        <v>693</v>
      </c>
      <c r="K4397" s="17"/>
      <c r="L4397" s="17"/>
      <c r="M4397" s="17"/>
      <c r="N4397" s="17"/>
      <c r="O4397" s="17"/>
      <c r="P4397" s="17" t="s">
        <v>2913</v>
      </c>
      <c r="Q4397" s="17"/>
      <c r="R4397" s="25" t="str">
        <f>HYPERLINK("https://ictv.global/taxonomy/taxondetails?taxnode_id=202300682","Pagevirus page")</f>
        <v>Pagevirus page</v>
      </c>
      <c r="S4397" s="18" t="s">
        <v>30</v>
      </c>
      <c r="T4397" s="18" t="s">
        <v>2914</v>
      </c>
      <c r="U4397" s="18"/>
      <c r="V4397" s="18"/>
      <c r="W4397" s="18" t="s">
        <v>2915</v>
      </c>
      <c r="X4397" s="18" t="s">
        <v>42</v>
      </c>
      <c r="Y4397" s="18" t="s">
        <v>36</v>
      </c>
      <c r="Z4397" s="18" t="s">
        <v>697</v>
      </c>
      <c r="AA4397" s="21" t="str">
        <f>HYPERLINK("https://www.ncbi.nlm.nih.gov/nuccore/KF669655","NCBI Nucleotide")</f>
        <v>NCBI Nucleotide</v>
      </c>
    </row>
    <row r="4398" spans="1:27" x14ac:dyDescent="0.35">
      <c r="A4398">
        <v>1006028</v>
      </c>
      <c r="B4398">
        <v>4374</v>
      </c>
      <c r="C4398">
        <v>1</v>
      </c>
      <c r="D4398" s="17" t="s">
        <v>155</v>
      </c>
      <c r="E4398" s="17"/>
      <c r="F4398" s="17" t="s">
        <v>156</v>
      </c>
      <c r="G4398" s="17"/>
      <c r="H4398" s="17" t="s">
        <v>692</v>
      </c>
      <c r="I4398" s="17"/>
      <c r="J4398" s="17" t="s">
        <v>693</v>
      </c>
      <c r="K4398" s="17"/>
      <c r="L4398" s="17"/>
      <c r="M4398" s="17"/>
      <c r="N4398" s="17"/>
      <c r="O4398" s="17"/>
      <c r="P4398" s="17" t="s">
        <v>2913</v>
      </c>
      <c r="Q4398" s="17"/>
      <c r="R4398" s="25" t="str">
        <f>HYPERLINK("https://ictv.global/taxonomy/taxondetails?taxnode_id=202300683","Pagevirus palmer")</f>
        <v>Pagevirus palmer</v>
      </c>
      <c r="S4398" s="18" t="s">
        <v>30</v>
      </c>
      <c r="T4398" s="18" t="s">
        <v>2916</v>
      </c>
      <c r="U4398" s="18"/>
      <c r="V4398" s="18"/>
      <c r="W4398" s="18" t="s">
        <v>2917</v>
      </c>
      <c r="X4398" s="18" t="s">
        <v>42</v>
      </c>
      <c r="Y4398" s="18" t="s">
        <v>36</v>
      </c>
      <c r="Z4398" s="18" t="s">
        <v>697</v>
      </c>
      <c r="AA4398" s="21" t="str">
        <f>HYPERLINK("https://www.ncbi.nlm.nih.gov/nuccore/KP411017","NCBI Nucleotide")</f>
        <v>NCBI Nucleotide</v>
      </c>
    </row>
    <row r="4399" spans="1:27" x14ac:dyDescent="0.35">
      <c r="A4399">
        <v>1006029</v>
      </c>
      <c r="B4399">
        <v>4375</v>
      </c>
      <c r="C4399">
        <v>1</v>
      </c>
      <c r="D4399" s="17" t="s">
        <v>155</v>
      </c>
      <c r="E4399" s="17"/>
      <c r="F4399" s="17" t="s">
        <v>156</v>
      </c>
      <c r="G4399" s="17"/>
      <c r="H4399" s="17" t="s">
        <v>692</v>
      </c>
      <c r="I4399" s="17"/>
      <c r="J4399" s="17" t="s">
        <v>693</v>
      </c>
      <c r="K4399" s="17"/>
      <c r="L4399" s="17"/>
      <c r="M4399" s="17"/>
      <c r="N4399" s="17"/>
      <c r="O4399" s="17"/>
      <c r="P4399" s="17" t="s">
        <v>2913</v>
      </c>
      <c r="Q4399" s="17"/>
      <c r="R4399" s="25" t="str">
        <f>HYPERLINK("https://ictv.global/taxonomy/taxondetails?taxnode_id=202300684","Pagevirus pascal")</f>
        <v>Pagevirus pascal</v>
      </c>
      <c r="S4399" s="18" t="s">
        <v>30</v>
      </c>
      <c r="T4399" s="18" t="s">
        <v>2918</v>
      </c>
      <c r="U4399" s="18"/>
      <c r="V4399" s="18"/>
      <c r="W4399" s="18" t="s">
        <v>2919</v>
      </c>
      <c r="X4399" s="18" t="s">
        <v>42</v>
      </c>
      <c r="Y4399" s="18" t="s">
        <v>36</v>
      </c>
      <c r="Z4399" s="18" t="s">
        <v>697</v>
      </c>
      <c r="AA4399" s="21" t="str">
        <f>HYPERLINK("https://www.ncbi.nlm.nih.gov/nuccore/KM236247","NCBI Nucleotide")</f>
        <v>NCBI Nucleotide</v>
      </c>
    </row>
    <row r="4400" spans="1:27" x14ac:dyDescent="0.35">
      <c r="A4400">
        <v>1006030</v>
      </c>
      <c r="B4400">
        <v>4376</v>
      </c>
      <c r="C4400">
        <v>1</v>
      </c>
      <c r="D4400" s="17" t="s">
        <v>155</v>
      </c>
      <c r="E4400" s="17"/>
      <c r="F4400" s="17" t="s">
        <v>156</v>
      </c>
      <c r="G4400" s="17"/>
      <c r="H4400" s="17" t="s">
        <v>692</v>
      </c>
      <c r="I4400" s="17"/>
      <c r="J4400" s="17" t="s">
        <v>693</v>
      </c>
      <c r="K4400" s="17"/>
      <c r="L4400" s="17"/>
      <c r="M4400" s="17"/>
      <c r="N4400" s="17"/>
      <c r="O4400" s="17"/>
      <c r="P4400" s="17" t="s">
        <v>2913</v>
      </c>
      <c r="Q4400" s="17"/>
      <c r="R4400" s="25" t="str">
        <f>HYPERLINK("https://ictv.global/taxonomy/taxondetails?taxnode_id=202300685","Pagevirus pony")</f>
        <v>Pagevirus pony</v>
      </c>
      <c r="S4400" s="18" t="s">
        <v>30</v>
      </c>
      <c r="T4400" s="18" t="s">
        <v>2920</v>
      </c>
      <c r="U4400" s="18"/>
      <c r="V4400" s="18"/>
      <c r="W4400" s="18" t="s">
        <v>2921</v>
      </c>
      <c r="X4400" s="18" t="s">
        <v>42</v>
      </c>
      <c r="Y4400" s="18" t="s">
        <v>36</v>
      </c>
      <c r="Z4400" s="18" t="s">
        <v>697</v>
      </c>
      <c r="AA4400" s="21" t="str">
        <f>HYPERLINK("https://www.ncbi.nlm.nih.gov/nuccore/KF669660","NCBI Nucleotide")</f>
        <v>NCBI Nucleotide</v>
      </c>
    </row>
    <row r="4401" spans="1:27" x14ac:dyDescent="0.35">
      <c r="A4401">
        <v>1006031</v>
      </c>
      <c r="B4401">
        <v>4377</v>
      </c>
      <c r="C4401">
        <v>1</v>
      </c>
      <c r="D4401" s="17" t="s">
        <v>155</v>
      </c>
      <c r="E4401" s="17"/>
      <c r="F4401" s="17" t="s">
        <v>156</v>
      </c>
      <c r="G4401" s="17"/>
      <c r="H4401" s="17" t="s">
        <v>692</v>
      </c>
      <c r="I4401" s="17"/>
      <c r="J4401" s="17" t="s">
        <v>693</v>
      </c>
      <c r="K4401" s="17"/>
      <c r="L4401" s="17"/>
      <c r="M4401" s="17"/>
      <c r="N4401" s="17"/>
      <c r="O4401" s="17"/>
      <c r="P4401" s="17" t="s">
        <v>2913</v>
      </c>
      <c r="Q4401" s="17"/>
      <c r="R4401" s="25" t="str">
        <f>HYPERLINK("https://ictv.global/taxonomy/taxondetails?taxnode_id=202300686","Pagevirus pookie")</f>
        <v>Pagevirus pookie</v>
      </c>
      <c r="S4401" s="18" t="s">
        <v>30</v>
      </c>
      <c r="T4401" s="18" t="s">
        <v>2922</v>
      </c>
      <c r="U4401" s="18"/>
      <c r="V4401" s="18"/>
      <c r="W4401" s="18" t="s">
        <v>2923</v>
      </c>
      <c r="X4401" s="18" t="s">
        <v>42</v>
      </c>
      <c r="Y4401" s="18" t="s">
        <v>36</v>
      </c>
      <c r="Z4401" s="18" t="s">
        <v>697</v>
      </c>
      <c r="AA4401" s="21" t="str">
        <f>HYPERLINK("https://www.ncbi.nlm.nih.gov/nuccore/KM236248","NCBI Nucleotide")</f>
        <v>NCBI Nucleotide</v>
      </c>
    </row>
    <row r="4402" spans="1:27" x14ac:dyDescent="0.35">
      <c r="A4402">
        <v>1006032</v>
      </c>
      <c r="B4402">
        <v>4378</v>
      </c>
      <c r="C4402">
        <v>1</v>
      </c>
      <c r="D4402" s="17" t="s">
        <v>155</v>
      </c>
      <c r="E4402" s="17"/>
      <c r="F4402" s="17" t="s">
        <v>156</v>
      </c>
      <c r="G4402" s="17"/>
      <c r="H4402" s="17" t="s">
        <v>692</v>
      </c>
      <c r="I4402" s="17"/>
      <c r="J4402" s="17" t="s">
        <v>693</v>
      </c>
      <c r="K4402" s="17"/>
      <c r="L4402" s="17"/>
      <c r="M4402" s="17"/>
      <c r="N4402" s="17"/>
      <c r="O4402" s="17"/>
      <c r="P4402" s="17" t="s">
        <v>2924</v>
      </c>
      <c r="Q4402" s="17"/>
      <c r="R4402" s="25" t="str">
        <f>HYPERLINK("https://ictv.global/taxonomy/taxondetails?taxnode_id=202301117","Pahexavirus ATCC29399BC")</f>
        <v>Pahexavirus ATCC29399BC</v>
      </c>
      <c r="S4402" s="18" t="s">
        <v>30</v>
      </c>
      <c r="T4402" s="18" t="s">
        <v>2925</v>
      </c>
      <c r="U4402" s="18"/>
      <c r="V4402" s="18"/>
      <c r="W4402" s="18" t="s">
        <v>2926</v>
      </c>
      <c r="X4402" s="18" t="s">
        <v>42</v>
      </c>
      <c r="Y4402" s="18" t="s">
        <v>36</v>
      </c>
      <c r="Z4402" s="18" t="s">
        <v>697</v>
      </c>
      <c r="AA4402" s="21" t="str">
        <f>HYPERLINK("https://www.ncbi.nlm.nih.gov/nuccore/JX262225","NCBI Nucleotide")</f>
        <v>NCBI Nucleotide</v>
      </c>
    </row>
    <row r="4403" spans="1:27" x14ac:dyDescent="0.35">
      <c r="A4403">
        <v>1006033</v>
      </c>
      <c r="B4403">
        <v>4379</v>
      </c>
      <c r="C4403">
        <v>1</v>
      </c>
      <c r="D4403" s="17" t="s">
        <v>155</v>
      </c>
      <c r="E4403" s="17"/>
      <c r="F4403" s="17" t="s">
        <v>156</v>
      </c>
      <c r="G4403" s="17"/>
      <c r="H4403" s="17" t="s">
        <v>692</v>
      </c>
      <c r="I4403" s="17"/>
      <c r="J4403" s="17" t="s">
        <v>693</v>
      </c>
      <c r="K4403" s="17"/>
      <c r="L4403" s="17"/>
      <c r="M4403" s="17"/>
      <c r="N4403" s="17"/>
      <c r="O4403" s="17"/>
      <c r="P4403" s="17" t="s">
        <v>2924</v>
      </c>
      <c r="Q4403" s="17"/>
      <c r="R4403" s="25" t="str">
        <f>HYPERLINK("https://ictv.global/taxonomy/taxondetails?taxnode_id=202301118","Pahexavirus ATCC29399BT")</f>
        <v>Pahexavirus ATCC29399BT</v>
      </c>
      <c r="S4403" s="18" t="s">
        <v>30</v>
      </c>
      <c r="T4403" s="18" t="s">
        <v>2927</v>
      </c>
      <c r="U4403" s="18"/>
      <c r="V4403" s="18"/>
      <c r="W4403" s="18" t="s">
        <v>2928</v>
      </c>
      <c r="X4403" s="18" t="s">
        <v>42</v>
      </c>
      <c r="Y4403" s="18" t="s">
        <v>36</v>
      </c>
      <c r="Z4403" s="18" t="s">
        <v>697</v>
      </c>
      <c r="AA4403" s="21" t="str">
        <f>HYPERLINK("https://www.ncbi.nlm.nih.gov/nuccore/JX262224","NCBI Nucleotide")</f>
        <v>NCBI Nucleotide</v>
      </c>
    </row>
    <row r="4404" spans="1:27" x14ac:dyDescent="0.35">
      <c r="A4404">
        <v>1006034</v>
      </c>
      <c r="B4404">
        <v>4380</v>
      </c>
      <c r="C4404">
        <v>1</v>
      </c>
      <c r="D4404" s="17" t="s">
        <v>155</v>
      </c>
      <c r="E4404" s="17"/>
      <c r="F4404" s="17" t="s">
        <v>156</v>
      </c>
      <c r="G4404" s="17"/>
      <c r="H4404" s="17" t="s">
        <v>692</v>
      </c>
      <c r="I4404" s="17"/>
      <c r="J4404" s="17" t="s">
        <v>693</v>
      </c>
      <c r="K4404" s="17"/>
      <c r="L4404" s="17"/>
      <c r="M4404" s="17"/>
      <c r="N4404" s="17"/>
      <c r="O4404" s="17"/>
      <c r="P4404" s="17" t="s">
        <v>2924</v>
      </c>
      <c r="Q4404" s="17"/>
      <c r="R4404" s="25" t="str">
        <f>HYPERLINK("https://ictv.global/taxonomy/taxondetails?taxnode_id=202301119","Pahexavirus attacne")</f>
        <v>Pahexavirus attacne</v>
      </c>
      <c r="S4404" s="18" t="s">
        <v>30</v>
      </c>
      <c r="T4404" s="18" t="s">
        <v>2929</v>
      </c>
      <c r="U4404" s="18"/>
      <c r="V4404" s="18"/>
      <c r="W4404" s="18" t="s">
        <v>2930</v>
      </c>
      <c r="X4404" s="18" t="s">
        <v>42</v>
      </c>
      <c r="Y4404" s="18" t="s">
        <v>36</v>
      </c>
      <c r="Z4404" s="18" t="s">
        <v>697</v>
      </c>
      <c r="AA4404" s="21" t="str">
        <f>HYPERLINK("https://www.ncbi.nlm.nih.gov/nuccore/KR337651","NCBI Nucleotide")</f>
        <v>NCBI Nucleotide</v>
      </c>
    </row>
    <row r="4405" spans="1:27" x14ac:dyDescent="0.35">
      <c r="A4405">
        <v>1006035</v>
      </c>
      <c r="B4405">
        <v>4381</v>
      </c>
      <c r="C4405">
        <v>1</v>
      </c>
      <c r="D4405" s="17" t="s">
        <v>155</v>
      </c>
      <c r="E4405" s="17"/>
      <c r="F4405" s="17" t="s">
        <v>156</v>
      </c>
      <c r="G4405" s="17"/>
      <c r="H4405" s="17" t="s">
        <v>692</v>
      </c>
      <c r="I4405" s="17"/>
      <c r="J4405" s="17" t="s">
        <v>693</v>
      </c>
      <c r="K4405" s="17"/>
      <c r="L4405" s="17"/>
      <c r="M4405" s="17"/>
      <c r="N4405" s="17"/>
      <c r="O4405" s="17"/>
      <c r="P4405" s="17" t="s">
        <v>2924</v>
      </c>
      <c r="Q4405" s="17"/>
      <c r="R4405" s="25" t="str">
        <f>HYPERLINK("https://ictv.global/taxonomy/taxondetails?taxnode_id=202301120","Pahexavirus keiki")</f>
        <v>Pahexavirus keiki</v>
      </c>
      <c r="S4405" s="18" t="s">
        <v>30</v>
      </c>
      <c r="T4405" s="18" t="s">
        <v>2931</v>
      </c>
      <c r="U4405" s="18"/>
      <c r="V4405" s="18"/>
      <c r="W4405" s="18" t="s">
        <v>2932</v>
      </c>
      <c r="X4405" s="18" t="s">
        <v>42</v>
      </c>
      <c r="Y4405" s="18" t="s">
        <v>36</v>
      </c>
      <c r="Z4405" s="18" t="s">
        <v>697</v>
      </c>
      <c r="AA4405" s="21" t="str">
        <f>HYPERLINK("https://www.ncbi.nlm.nih.gov/nuccore/KR337649","NCBI Nucleotide")</f>
        <v>NCBI Nucleotide</v>
      </c>
    </row>
    <row r="4406" spans="1:27" x14ac:dyDescent="0.35">
      <c r="A4406">
        <v>1006036</v>
      </c>
      <c r="B4406">
        <v>4382</v>
      </c>
      <c r="C4406">
        <v>1</v>
      </c>
      <c r="D4406" s="17" t="s">
        <v>155</v>
      </c>
      <c r="E4406" s="17"/>
      <c r="F4406" s="17" t="s">
        <v>156</v>
      </c>
      <c r="G4406" s="17"/>
      <c r="H4406" s="17" t="s">
        <v>692</v>
      </c>
      <c r="I4406" s="17"/>
      <c r="J4406" s="17" t="s">
        <v>693</v>
      </c>
      <c r="K4406" s="17"/>
      <c r="L4406" s="17"/>
      <c r="M4406" s="17"/>
      <c r="N4406" s="17"/>
      <c r="O4406" s="17"/>
      <c r="P4406" s="17" t="s">
        <v>2924</v>
      </c>
      <c r="Q4406" s="17"/>
      <c r="R4406" s="25" t="str">
        <f>HYPERLINK("https://ictv.global/taxonomy/taxondetails?taxnode_id=202301121","Pahexavirus kubed")</f>
        <v>Pahexavirus kubed</v>
      </c>
      <c r="S4406" s="18" t="s">
        <v>30</v>
      </c>
      <c r="T4406" s="18" t="s">
        <v>2933</v>
      </c>
      <c r="U4406" s="18"/>
      <c r="V4406" s="18"/>
      <c r="W4406" s="18" t="s">
        <v>2934</v>
      </c>
      <c r="X4406" s="18" t="s">
        <v>42</v>
      </c>
      <c r="Y4406" s="18" t="s">
        <v>36</v>
      </c>
      <c r="Z4406" s="18" t="s">
        <v>697</v>
      </c>
      <c r="AA4406" s="21" t="str">
        <f>HYPERLINK("https://www.ncbi.nlm.nih.gov/nuccore/KR337645","NCBI Nucleotide")</f>
        <v>NCBI Nucleotide</v>
      </c>
    </row>
    <row r="4407" spans="1:27" x14ac:dyDescent="0.35">
      <c r="A4407">
        <v>1006037</v>
      </c>
      <c r="B4407">
        <v>4383</v>
      </c>
      <c r="C4407">
        <v>1</v>
      </c>
      <c r="D4407" s="17" t="s">
        <v>155</v>
      </c>
      <c r="E4407" s="17"/>
      <c r="F4407" s="17" t="s">
        <v>156</v>
      </c>
      <c r="G4407" s="17"/>
      <c r="H4407" s="17" t="s">
        <v>692</v>
      </c>
      <c r="I4407" s="17"/>
      <c r="J4407" s="17" t="s">
        <v>693</v>
      </c>
      <c r="K4407" s="17"/>
      <c r="L4407" s="17"/>
      <c r="M4407" s="17"/>
      <c r="N4407" s="17"/>
      <c r="O4407" s="17"/>
      <c r="P4407" s="17" t="s">
        <v>2924</v>
      </c>
      <c r="Q4407" s="17"/>
      <c r="R4407" s="25" t="str">
        <f>HYPERLINK("https://ictv.global/taxonomy/taxondetails?taxnode_id=202301122","Pahexavirus lauchelly")</f>
        <v>Pahexavirus lauchelly</v>
      </c>
      <c r="S4407" s="18" t="s">
        <v>30</v>
      </c>
      <c r="T4407" s="18" t="s">
        <v>2935</v>
      </c>
      <c r="U4407" s="18"/>
      <c r="V4407" s="18"/>
      <c r="W4407" s="18" t="s">
        <v>2936</v>
      </c>
      <c r="X4407" s="18" t="s">
        <v>42</v>
      </c>
      <c r="Y4407" s="18" t="s">
        <v>36</v>
      </c>
      <c r="Z4407" s="18" t="s">
        <v>697</v>
      </c>
      <c r="AA4407" s="21" t="str">
        <f>HYPERLINK("https://www.ncbi.nlm.nih.gov/nuccore/KR337650","NCBI Nucleotide")</f>
        <v>NCBI Nucleotide</v>
      </c>
    </row>
    <row r="4408" spans="1:27" x14ac:dyDescent="0.35">
      <c r="A4408">
        <v>1006038</v>
      </c>
      <c r="B4408">
        <v>4384</v>
      </c>
      <c r="C4408">
        <v>1</v>
      </c>
      <c r="D4408" s="17" t="s">
        <v>155</v>
      </c>
      <c r="E4408" s="17"/>
      <c r="F4408" s="17" t="s">
        <v>156</v>
      </c>
      <c r="G4408" s="17"/>
      <c r="H4408" s="17" t="s">
        <v>692</v>
      </c>
      <c r="I4408" s="17"/>
      <c r="J4408" s="17" t="s">
        <v>693</v>
      </c>
      <c r="K4408" s="17"/>
      <c r="L4408" s="17"/>
      <c r="M4408" s="17"/>
      <c r="N4408" s="17"/>
      <c r="O4408" s="17"/>
      <c r="P4408" s="17" t="s">
        <v>2924</v>
      </c>
      <c r="Q4408" s="17"/>
      <c r="R4408" s="25" t="str">
        <f>HYPERLINK("https://ictv.global/taxonomy/taxondetails?taxnode_id=202301123","Pahexavirus mrAK")</f>
        <v>Pahexavirus mrAK</v>
      </c>
      <c r="S4408" s="18" t="s">
        <v>30</v>
      </c>
      <c r="T4408" s="18" t="s">
        <v>2937</v>
      </c>
      <c r="U4408" s="18"/>
      <c r="V4408" s="18"/>
      <c r="W4408" s="18" t="s">
        <v>2938</v>
      </c>
      <c r="X4408" s="18" t="s">
        <v>42</v>
      </c>
      <c r="Y4408" s="18" t="s">
        <v>36</v>
      </c>
      <c r="Z4408" s="18" t="s">
        <v>697</v>
      </c>
      <c r="AA4408" s="21" t="str">
        <f>HYPERLINK("https://www.ncbi.nlm.nih.gov/nuccore/KR337643","NCBI Nucleotide")</f>
        <v>NCBI Nucleotide</v>
      </c>
    </row>
    <row r="4409" spans="1:27" x14ac:dyDescent="0.35">
      <c r="A4409">
        <v>1006039</v>
      </c>
      <c r="B4409">
        <v>4385</v>
      </c>
      <c r="C4409">
        <v>1</v>
      </c>
      <c r="D4409" s="17" t="s">
        <v>155</v>
      </c>
      <c r="E4409" s="17"/>
      <c r="F4409" s="17" t="s">
        <v>156</v>
      </c>
      <c r="G4409" s="17"/>
      <c r="H4409" s="17" t="s">
        <v>692</v>
      </c>
      <c r="I4409" s="17"/>
      <c r="J4409" s="17" t="s">
        <v>693</v>
      </c>
      <c r="K4409" s="17"/>
      <c r="L4409" s="17"/>
      <c r="M4409" s="17"/>
      <c r="N4409" s="17"/>
      <c r="O4409" s="17"/>
      <c r="P4409" s="17" t="s">
        <v>2924</v>
      </c>
      <c r="Q4409" s="17"/>
      <c r="R4409" s="25" t="str">
        <f>HYPERLINK("https://ictv.global/taxonomy/taxondetails?taxnode_id=202301124","Pahexavirus ouroboros")</f>
        <v>Pahexavirus ouroboros</v>
      </c>
      <c r="S4409" s="18" t="s">
        <v>30</v>
      </c>
      <c r="T4409" s="18" t="s">
        <v>2939</v>
      </c>
      <c r="U4409" s="18"/>
      <c r="V4409" s="18"/>
      <c r="W4409" s="18" t="s">
        <v>2940</v>
      </c>
      <c r="X4409" s="18" t="s">
        <v>42</v>
      </c>
      <c r="Y4409" s="18" t="s">
        <v>36</v>
      </c>
      <c r="Z4409" s="18" t="s">
        <v>697</v>
      </c>
      <c r="AA4409" s="21" t="str">
        <f>HYPERLINK("https://www.ncbi.nlm.nih.gov/nuccore/KR337654","NCBI Nucleotide")</f>
        <v>NCBI Nucleotide</v>
      </c>
    </row>
    <row r="4410" spans="1:27" x14ac:dyDescent="0.35">
      <c r="A4410">
        <v>1006046</v>
      </c>
      <c r="B4410">
        <v>4386</v>
      </c>
      <c r="C4410">
        <v>1</v>
      </c>
      <c r="D4410" s="17" t="s">
        <v>155</v>
      </c>
      <c r="E4410" s="17"/>
      <c r="F4410" s="17" t="s">
        <v>156</v>
      </c>
      <c r="G4410" s="17"/>
      <c r="H4410" s="17" t="s">
        <v>692</v>
      </c>
      <c r="I4410" s="17"/>
      <c r="J4410" s="17" t="s">
        <v>693</v>
      </c>
      <c r="K4410" s="17"/>
      <c r="L4410" s="17"/>
      <c r="M4410" s="17"/>
      <c r="N4410" s="17"/>
      <c r="O4410" s="17"/>
      <c r="P4410" s="17" t="s">
        <v>2924</v>
      </c>
      <c r="Q4410" s="17"/>
      <c r="R4410" s="25" t="str">
        <f>HYPERLINK("https://ictv.global/taxonomy/taxondetails?taxnode_id=202301129","Pahexavirus P11")</f>
        <v>Pahexavirus P11</v>
      </c>
      <c r="S4410" s="18" t="s">
        <v>30</v>
      </c>
      <c r="T4410" s="18" t="s">
        <v>2953</v>
      </c>
      <c r="U4410" s="18"/>
      <c r="V4410" s="18"/>
      <c r="W4410" s="18" t="s">
        <v>2954</v>
      </c>
      <c r="X4410" s="18" t="s">
        <v>42</v>
      </c>
      <c r="Y4410" s="18" t="s">
        <v>36</v>
      </c>
      <c r="Z4410" s="18" t="s">
        <v>697</v>
      </c>
      <c r="AA4410" s="21" t="str">
        <f>HYPERLINK("https://www.ncbi.nlm.nih.gov/nuccore/JX262223","NCBI Nucleotide")</f>
        <v>NCBI Nucleotide</v>
      </c>
    </row>
    <row r="4411" spans="1:27" x14ac:dyDescent="0.35">
      <c r="A4411">
        <v>1006048</v>
      </c>
      <c r="B4411">
        <v>4387</v>
      </c>
      <c r="C4411">
        <v>1</v>
      </c>
      <c r="D4411" s="17" t="s">
        <v>155</v>
      </c>
      <c r="E4411" s="17"/>
      <c r="F4411" s="17" t="s">
        <v>156</v>
      </c>
      <c r="G4411" s="17"/>
      <c r="H4411" s="17" t="s">
        <v>692</v>
      </c>
      <c r="I4411" s="17"/>
      <c r="J4411" s="17" t="s">
        <v>693</v>
      </c>
      <c r="K4411" s="17"/>
      <c r="L4411" s="17"/>
      <c r="M4411" s="17"/>
      <c r="N4411" s="17"/>
      <c r="O4411" s="17"/>
      <c r="P4411" s="17" t="s">
        <v>2924</v>
      </c>
      <c r="Q4411" s="17"/>
      <c r="R4411" s="25" t="str">
        <f>HYPERLINK("https://ictv.global/taxonomy/taxondetails?taxnode_id=202301125","Pahexavirus P91")</f>
        <v>Pahexavirus P91</v>
      </c>
      <c r="S4411" s="18" t="s">
        <v>30</v>
      </c>
      <c r="T4411" s="18" t="s">
        <v>2957</v>
      </c>
      <c r="U4411" s="18"/>
      <c r="V4411" s="18"/>
      <c r="W4411" s="18" t="s">
        <v>2958</v>
      </c>
      <c r="X4411" s="18" t="s">
        <v>42</v>
      </c>
      <c r="Y4411" s="18" t="s">
        <v>36</v>
      </c>
      <c r="Z4411" s="18" t="s">
        <v>697</v>
      </c>
      <c r="AA4411" s="21" t="str">
        <f>HYPERLINK("https://www.ncbi.nlm.nih.gov/nuccore/JX262215","NCBI Nucleotide")</f>
        <v>NCBI Nucleotide</v>
      </c>
    </row>
    <row r="4412" spans="1:27" x14ac:dyDescent="0.35">
      <c r="A4412">
        <v>1006045</v>
      </c>
      <c r="B4412">
        <v>4388</v>
      </c>
      <c r="C4412">
        <v>1</v>
      </c>
      <c r="D4412" s="17" t="s">
        <v>155</v>
      </c>
      <c r="E4412" s="17"/>
      <c r="F4412" s="17" t="s">
        <v>156</v>
      </c>
      <c r="G4412" s="17"/>
      <c r="H4412" s="17" t="s">
        <v>692</v>
      </c>
      <c r="I4412" s="17"/>
      <c r="J4412" s="17" t="s">
        <v>693</v>
      </c>
      <c r="K4412" s="17"/>
      <c r="L4412" s="17"/>
      <c r="M4412" s="17"/>
      <c r="N4412" s="17"/>
      <c r="O4412" s="17"/>
      <c r="P4412" s="17" t="s">
        <v>2924</v>
      </c>
      <c r="Q4412" s="17"/>
      <c r="R4412" s="25" t="str">
        <f>HYPERLINK("https://ictv.global/taxonomy/taxondetails?taxnode_id=202301126","Pahexavirus P105")</f>
        <v>Pahexavirus P105</v>
      </c>
      <c r="S4412" s="18" t="s">
        <v>30</v>
      </c>
      <c r="T4412" s="18" t="s">
        <v>2951</v>
      </c>
      <c r="U4412" s="18"/>
      <c r="V4412" s="18"/>
      <c r="W4412" s="18" t="s">
        <v>2952</v>
      </c>
      <c r="X4412" s="18" t="s">
        <v>42</v>
      </c>
      <c r="Y4412" s="18" t="s">
        <v>36</v>
      </c>
      <c r="Z4412" s="18" t="s">
        <v>697</v>
      </c>
      <c r="AA4412" s="21" t="str">
        <f>HYPERLINK("https://www.ncbi.nlm.nih.gov/nuccore/JX262219","NCBI Nucleotide")</f>
        <v>NCBI Nucleotide</v>
      </c>
    </row>
    <row r="4413" spans="1:27" x14ac:dyDescent="0.35">
      <c r="A4413">
        <v>1006047</v>
      </c>
      <c r="B4413">
        <v>4389</v>
      </c>
      <c r="C4413">
        <v>1</v>
      </c>
      <c r="D4413" s="17" t="s">
        <v>155</v>
      </c>
      <c r="E4413" s="17"/>
      <c r="F4413" s="17" t="s">
        <v>156</v>
      </c>
      <c r="G4413" s="17"/>
      <c r="H4413" s="17" t="s">
        <v>692</v>
      </c>
      <c r="I4413" s="17"/>
      <c r="J4413" s="17" t="s">
        <v>693</v>
      </c>
      <c r="K4413" s="17"/>
      <c r="L4413" s="17"/>
      <c r="M4413" s="17"/>
      <c r="N4413" s="17"/>
      <c r="O4413" s="17"/>
      <c r="P4413" s="17" t="s">
        <v>2924</v>
      </c>
      <c r="Q4413" s="17"/>
      <c r="R4413" s="25" t="str">
        <f>HYPERLINK("https://ictv.global/taxonomy/taxondetails?taxnode_id=202301127","Pahexavirus P144")</f>
        <v>Pahexavirus P144</v>
      </c>
      <c r="S4413" s="18" t="s">
        <v>30</v>
      </c>
      <c r="T4413" s="18" t="s">
        <v>2955</v>
      </c>
      <c r="U4413" s="18"/>
      <c r="V4413" s="18"/>
      <c r="W4413" s="18" t="s">
        <v>2956</v>
      </c>
      <c r="X4413" s="18" t="s">
        <v>42</v>
      </c>
      <c r="Y4413" s="18" t="s">
        <v>36</v>
      </c>
      <c r="Z4413" s="18" t="s">
        <v>697</v>
      </c>
      <c r="AA4413" s="21" t="str">
        <f>HYPERLINK("https://www.ncbi.nlm.nih.gov/nuccore/JX262216","NCBI Nucleotide")</f>
        <v>NCBI Nucleotide</v>
      </c>
    </row>
    <row r="4414" spans="1:27" x14ac:dyDescent="0.35">
      <c r="A4414">
        <v>1006040</v>
      </c>
      <c r="B4414">
        <v>4390</v>
      </c>
      <c r="C4414">
        <v>1</v>
      </c>
      <c r="D4414" s="17" t="s">
        <v>155</v>
      </c>
      <c r="E4414" s="17"/>
      <c r="F4414" s="17" t="s">
        <v>156</v>
      </c>
      <c r="G4414" s="17"/>
      <c r="H4414" s="17" t="s">
        <v>692</v>
      </c>
      <c r="I4414" s="17"/>
      <c r="J4414" s="17" t="s">
        <v>693</v>
      </c>
      <c r="K4414" s="17"/>
      <c r="L4414" s="17"/>
      <c r="M4414" s="17"/>
      <c r="N4414" s="17"/>
      <c r="O4414" s="17"/>
      <c r="P4414" s="17" t="s">
        <v>2924</v>
      </c>
      <c r="Q4414" s="17"/>
      <c r="R4414" s="25" t="str">
        <f>HYPERLINK("https://ictv.global/taxonomy/taxondetails?taxnode_id=202301128","Pahexavirus P1001")</f>
        <v>Pahexavirus P1001</v>
      </c>
      <c r="S4414" s="18" t="s">
        <v>30</v>
      </c>
      <c r="T4414" s="18" t="s">
        <v>2941</v>
      </c>
      <c r="U4414" s="18"/>
      <c r="V4414" s="18"/>
      <c r="W4414" s="18" t="s">
        <v>2942</v>
      </c>
      <c r="X4414" s="18" t="s">
        <v>42</v>
      </c>
      <c r="Y4414" s="18" t="s">
        <v>36</v>
      </c>
      <c r="Z4414" s="18" t="s">
        <v>697</v>
      </c>
      <c r="AA4414" s="21" t="str">
        <f>HYPERLINK("https://www.ncbi.nlm.nih.gov/nuccore/JX262222","NCBI Nucleotide")</f>
        <v>NCBI Nucleotide</v>
      </c>
    </row>
    <row r="4415" spans="1:27" x14ac:dyDescent="0.35">
      <c r="A4415">
        <v>1006041</v>
      </c>
      <c r="B4415">
        <v>4391</v>
      </c>
      <c r="C4415">
        <v>1</v>
      </c>
      <c r="D4415" s="17" t="s">
        <v>155</v>
      </c>
      <c r="E4415" s="17"/>
      <c r="F4415" s="17" t="s">
        <v>156</v>
      </c>
      <c r="G4415" s="17"/>
      <c r="H4415" s="17" t="s">
        <v>692</v>
      </c>
      <c r="I4415" s="17"/>
      <c r="J4415" s="17" t="s">
        <v>693</v>
      </c>
      <c r="K4415" s="17"/>
      <c r="L4415" s="17"/>
      <c r="M4415" s="17"/>
      <c r="N4415" s="17"/>
      <c r="O4415" s="17"/>
      <c r="P4415" s="17" t="s">
        <v>2924</v>
      </c>
      <c r="Q4415" s="17"/>
      <c r="R4415" s="25" t="str">
        <f>HYPERLINK("https://ictv.global/taxonomy/taxondetails?taxnode_id=202301130","Pahexavirus P100A")</f>
        <v>Pahexavirus P100A</v>
      </c>
      <c r="S4415" s="18" t="s">
        <v>30</v>
      </c>
      <c r="T4415" s="18" t="s">
        <v>2943</v>
      </c>
      <c r="U4415" s="18"/>
      <c r="V4415" s="18"/>
      <c r="W4415" s="18" t="s">
        <v>2944</v>
      </c>
      <c r="X4415" s="18" t="s">
        <v>42</v>
      </c>
      <c r="Y4415" s="18" t="s">
        <v>36</v>
      </c>
      <c r="Z4415" s="18" t="s">
        <v>697</v>
      </c>
      <c r="AA4415" s="21" t="str">
        <f>HYPERLINK("https://www.ncbi.nlm.nih.gov/nuccore/JX262221","NCBI Nucleotide")</f>
        <v>NCBI Nucleotide</v>
      </c>
    </row>
    <row r="4416" spans="1:27" x14ac:dyDescent="0.35">
      <c r="A4416">
        <v>1006042</v>
      </c>
      <c r="B4416">
        <v>4392</v>
      </c>
      <c r="C4416">
        <v>1</v>
      </c>
      <c r="D4416" s="17" t="s">
        <v>155</v>
      </c>
      <c r="E4416" s="17"/>
      <c r="F4416" s="17" t="s">
        <v>156</v>
      </c>
      <c r="G4416" s="17"/>
      <c r="H4416" s="17" t="s">
        <v>692</v>
      </c>
      <c r="I4416" s="17"/>
      <c r="J4416" s="17" t="s">
        <v>693</v>
      </c>
      <c r="K4416" s="17"/>
      <c r="L4416" s="17"/>
      <c r="M4416" s="17"/>
      <c r="N4416" s="17"/>
      <c r="O4416" s="17"/>
      <c r="P4416" s="17" t="s">
        <v>2924</v>
      </c>
      <c r="Q4416" s="17"/>
      <c r="R4416" s="25" t="str">
        <f>HYPERLINK("https://ictv.global/taxonomy/taxondetails?taxnode_id=202301131","Pahexavirus P100D")</f>
        <v>Pahexavirus P100D</v>
      </c>
      <c r="S4416" s="18" t="s">
        <v>30</v>
      </c>
      <c r="T4416" s="18" t="s">
        <v>2945</v>
      </c>
      <c r="U4416" s="18"/>
      <c r="V4416" s="18"/>
      <c r="W4416" s="18" t="s">
        <v>2946</v>
      </c>
      <c r="X4416" s="18" t="s">
        <v>42</v>
      </c>
      <c r="Y4416" s="18" t="s">
        <v>36</v>
      </c>
      <c r="Z4416" s="18" t="s">
        <v>697</v>
      </c>
      <c r="AA4416" s="21" t="str">
        <f>HYPERLINK("https://www.ncbi.nlm.nih.gov/nuccore/JX262220","NCBI Nucleotide")</f>
        <v>NCBI Nucleotide</v>
      </c>
    </row>
    <row r="4417" spans="1:27" x14ac:dyDescent="0.35">
      <c r="A4417">
        <v>1006043</v>
      </c>
      <c r="B4417">
        <v>4393</v>
      </c>
      <c r="C4417">
        <v>1</v>
      </c>
      <c r="D4417" s="17" t="s">
        <v>155</v>
      </c>
      <c r="E4417" s="17"/>
      <c r="F4417" s="17" t="s">
        <v>156</v>
      </c>
      <c r="G4417" s="17"/>
      <c r="H4417" s="17" t="s">
        <v>692</v>
      </c>
      <c r="I4417" s="17"/>
      <c r="J4417" s="17" t="s">
        <v>693</v>
      </c>
      <c r="K4417" s="17"/>
      <c r="L4417" s="17"/>
      <c r="M4417" s="17"/>
      <c r="N4417" s="17"/>
      <c r="O4417" s="17"/>
      <c r="P4417" s="17" t="s">
        <v>2924</v>
      </c>
      <c r="Q4417" s="17"/>
      <c r="R4417" s="25" t="str">
        <f>HYPERLINK("https://ictv.global/taxonomy/taxondetails?taxnode_id=202301132","Pahexavirus P101A")</f>
        <v>Pahexavirus P101A</v>
      </c>
      <c r="S4417" s="18" t="s">
        <v>30</v>
      </c>
      <c r="T4417" s="18" t="s">
        <v>2947</v>
      </c>
      <c r="U4417" s="18"/>
      <c r="V4417" s="18"/>
      <c r="W4417" s="18" t="s">
        <v>2948</v>
      </c>
      <c r="X4417" s="18" t="s">
        <v>42</v>
      </c>
      <c r="Y4417" s="18" t="s">
        <v>36</v>
      </c>
      <c r="Z4417" s="18" t="s">
        <v>697</v>
      </c>
      <c r="AA4417" s="21" t="str">
        <f>HYPERLINK("https://www.ncbi.nlm.nih.gov/nuccore/JX262217","NCBI Nucleotide")</f>
        <v>NCBI Nucleotide</v>
      </c>
    </row>
    <row r="4418" spans="1:27" x14ac:dyDescent="0.35">
      <c r="A4418">
        <v>1006044</v>
      </c>
      <c r="B4418">
        <v>4394</v>
      </c>
      <c r="C4418">
        <v>1</v>
      </c>
      <c r="D4418" s="17" t="s">
        <v>155</v>
      </c>
      <c r="E4418" s="17"/>
      <c r="F4418" s="17" t="s">
        <v>156</v>
      </c>
      <c r="G4418" s="17"/>
      <c r="H4418" s="17" t="s">
        <v>692</v>
      </c>
      <c r="I4418" s="17"/>
      <c r="J4418" s="17" t="s">
        <v>693</v>
      </c>
      <c r="K4418" s="17"/>
      <c r="L4418" s="17"/>
      <c r="M4418" s="17"/>
      <c r="N4418" s="17"/>
      <c r="O4418" s="17"/>
      <c r="P4418" s="17" t="s">
        <v>2924</v>
      </c>
      <c r="Q4418" s="17"/>
      <c r="R4418" s="25" t="str">
        <f>HYPERLINK("https://ictv.global/taxonomy/taxondetails?taxnode_id=202301133","Pahexavirus P104A")</f>
        <v>Pahexavirus P104A</v>
      </c>
      <c r="S4418" s="18" t="s">
        <v>30</v>
      </c>
      <c r="T4418" s="18" t="s">
        <v>2949</v>
      </c>
      <c r="U4418" s="18"/>
      <c r="V4418" s="18"/>
      <c r="W4418" s="18" t="s">
        <v>2950</v>
      </c>
      <c r="X4418" s="18" t="s">
        <v>42</v>
      </c>
      <c r="Y4418" s="18" t="s">
        <v>36</v>
      </c>
      <c r="Z4418" s="18" t="s">
        <v>697</v>
      </c>
      <c r="AA4418" s="21" t="str">
        <f>HYPERLINK("https://www.ncbi.nlm.nih.gov/nuccore/JX262218","NCBI Nucleotide")</f>
        <v>NCBI Nucleotide</v>
      </c>
    </row>
    <row r="4419" spans="1:27" x14ac:dyDescent="0.35">
      <c r="A4419">
        <v>1006049</v>
      </c>
      <c r="B4419">
        <v>4395</v>
      </c>
      <c r="C4419">
        <v>1</v>
      </c>
      <c r="D4419" s="17" t="s">
        <v>155</v>
      </c>
      <c r="E4419" s="17"/>
      <c r="F4419" s="17" t="s">
        <v>156</v>
      </c>
      <c r="G4419" s="17"/>
      <c r="H4419" s="17" t="s">
        <v>692</v>
      </c>
      <c r="I4419" s="17"/>
      <c r="J4419" s="17" t="s">
        <v>693</v>
      </c>
      <c r="K4419" s="17"/>
      <c r="L4419" s="17"/>
      <c r="M4419" s="17"/>
      <c r="N4419" s="17"/>
      <c r="O4419" s="17"/>
      <c r="P4419" s="17" t="s">
        <v>2924</v>
      </c>
      <c r="Q4419" s="17"/>
      <c r="R4419" s="25" t="str">
        <f>HYPERLINK("https://ictv.global/taxonomy/taxondetails?taxnode_id=202301134","Pahexavirus PA6")</f>
        <v>Pahexavirus PA6</v>
      </c>
      <c r="S4419" s="18" t="s">
        <v>30</v>
      </c>
      <c r="T4419" s="18" t="s">
        <v>2959</v>
      </c>
      <c r="U4419" s="18"/>
      <c r="V4419" s="18"/>
      <c r="W4419" s="18" t="s">
        <v>2960</v>
      </c>
      <c r="X4419" s="18" t="s">
        <v>42</v>
      </c>
      <c r="Y4419" s="18" t="s">
        <v>36</v>
      </c>
      <c r="Z4419" s="18" t="s">
        <v>697</v>
      </c>
      <c r="AA4419" s="21" t="str">
        <f>HYPERLINK("https://www.ncbi.nlm.nih.gov/nuccore/DQ431235","NCBI Nucleotide")</f>
        <v>NCBI Nucleotide</v>
      </c>
    </row>
    <row r="4420" spans="1:27" x14ac:dyDescent="0.35">
      <c r="A4420">
        <v>1006050</v>
      </c>
      <c r="B4420">
        <v>4396</v>
      </c>
      <c r="C4420">
        <v>1</v>
      </c>
      <c r="D4420" s="17" t="s">
        <v>155</v>
      </c>
      <c r="E4420" s="17"/>
      <c r="F4420" s="17" t="s">
        <v>156</v>
      </c>
      <c r="G4420" s="17"/>
      <c r="H4420" s="17" t="s">
        <v>692</v>
      </c>
      <c r="I4420" s="17"/>
      <c r="J4420" s="17" t="s">
        <v>693</v>
      </c>
      <c r="K4420" s="17"/>
      <c r="L4420" s="17"/>
      <c r="M4420" s="17"/>
      <c r="N4420" s="17"/>
      <c r="O4420" s="17"/>
      <c r="P4420" s="17" t="s">
        <v>2924</v>
      </c>
      <c r="Q4420" s="17"/>
      <c r="R4420" s="25" t="str">
        <f>HYPERLINK("https://ictv.global/taxonomy/taxondetails?taxnode_id=202301135","Pahexavirus pacnes201215")</f>
        <v>Pahexavirus pacnes201215</v>
      </c>
      <c r="S4420" s="18" t="s">
        <v>30</v>
      </c>
      <c r="T4420" s="18" t="s">
        <v>2961</v>
      </c>
      <c r="U4420" s="18"/>
      <c r="V4420" s="18"/>
      <c r="W4420" s="18" t="s">
        <v>2962</v>
      </c>
      <c r="X4420" s="18" t="s">
        <v>42</v>
      </c>
      <c r="Y4420" s="18" t="s">
        <v>36</v>
      </c>
      <c r="Z4420" s="18" t="s">
        <v>697</v>
      </c>
      <c r="AA4420" s="21" t="str">
        <f>HYPERLINK("https://www.ncbi.nlm.nih.gov/nuccore/KJ722067","NCBI Nucleotide")</f>
        <v>NCBI Nucleotide</v>
      </c>
    </row>
    <row r="4421" spans="1:27" x14ac:dyDescent="0.35">
      <c r="A4421">
        <v>1006051</v>
      </c>
      <c r="B4421">
        <v>4397</v>
      </c>
      <c r="C4421">
        <v>1</v>
      </c>
      <c r="D4421" s="17" t="s">
        <v>155</v>
      </c>
      <c r="E4421" s="17"/>
      <c r="F4421" s="17" t="s">
        <v>156</v>
      </c>
      <c r="G4421" s="17"/>
      <c r="H4421" s="17" t="s">
        <v>692</v>
      </c>
      <c r="I4421" s="17"/>
      <c r="J4421" s="17" t="s">
        <v>693</v>
      </c>
      <c r="K4421" s="17"/>
      <c r="L4421" s="17"/>
      <c r="M4421" s="17"/>
      <c r="N4421" s="17"/>
      <c r="O4421" s="17"/>
      <c r="P4421" s="17" t="s">
        <v>2924</v>
      </c>
      <c r="Q4421" s="17"/>
      <c r="R4421" s="25" t="str">
        <f>HYPERLINK("https://ictv.global/taxonomy/taxondetails?taxnode_id=202301136","Pahexavirus PAD20")</f>
        <v>Pahexavirus PAD20</v>
      </c>
      <c r="S4421" s="18" t="s">
        <v>30</v>
      </c>
      <c r="T4421" s="18" t="s">
        <v>2963</v>
      </c>
      <c r="U4421" s="18"/>
      <c r="V4421" s="18"/>
      <c r="W4421" s="18" t="s">
        <v>2964</v>
      </c>
      <c r="X4421" s="18" t="s">
        <v>42</v>
      </c>
      <c r="Y4421" s="18" t="s">
        <v>36</v>
      </c>
      <c r="Z4421" s="18" t="s">
        <v>697</v>
      </c>
      <c r="AA4421" s="21" t="str">
        <f>HYPERLINK("https://www.ncbi.nlm.nih.gov/nuccore/FJ706171","NCBI Nucleotide")</f>
        <v>NCBI Nucleotide</v>
      </c>
    </row>
    <row r="4422" spans="1:27" x14ac:dyDescent="0.35">
      <c r="A4422">
        <v>1006052</v>
      </c>
      <c r="B4422">
        <v>4398</v>
      </c>
      <c r="C4422">
        <v>1</v>
      </c>
      <c r="D4422" s="17" t="s">
        <v>155</v>
      </c>
      <c r="E4422" s="17"/>
      <c r="F4422" s="17" t="s">
        <v>156</v>
      </c>
      <c r="G4422" s="17"/>
      <c r="H4422" s="17" t="s">
        <v>692</v>
      </c>
      <c r="I4422" s="17"/>
      <c r="J4422" s="17" t="s">
        <v>693</v>
      </c>
      <c r="K4422" s="17"/>
      <c r="L4422" s="17"/>
      <c r="M4422" s="17"/>
      <c r="N4422" s="17"/>
      <c r="O4422" s="17"/>
      <c r="P4422" s="17" t="s">
        <v>2924</v>
      </c>
      <c r="Q4422" s="17"/>
      <c r="R4422" s="25" t="str">
        <f>HYPERLINK("https://ictv.global/taxonomy/taxondetails?taxnode_id=202301137","Pahexavirus PAS50")</f>
        <v>Pahexavirus PAS50</v>
      </c>
      <c r="S4422" s="18" t="s">
        <v>30</v>
      </c>
      <c r="T4422" s="18" t="s">
        <v>2965</v>
      </c>
      <c r="U4422" s="18"/>
      <c r="V4422" s="18"/>
      <c r="W4422" s="18" t="s">
        <v>2966</v>
      </c>
      <c r="X4422" s="18" t="s">
        <v>42</v>
      </c>
      <c r="Y4422" s="18" t="s">
        <v>36</v>
      </c>
      <c r="Z4422" s="18" t="s">
        <v>697</v>
      </c>
      <c r="AA4422" s="21" t="str">
        <f>HYPERLINK("https://www.ncbi.nlm.nih.gov/nuccore/FJ706172","NCBI Nucleotide")</f>
        <v>NCBI Nucleotide</v>
      </c>
    </row>
    <row r="4423" spans="1:27" x14ac:dyDescent="0.35">
      <c r="A4423">
        <v>1006053</v>
      </c>
      <c r="B4423">
        <v>4399</v>
      </c>
      <c r="C4423">
        <v>1</v>
      </c>
      <c r="D4423" s="17" t="s">
        <v>155</v>
      </c>
      <c r="E4423" s="17"/>
      <c r="F4423" s="17" t="s">
        <v>156</v>
      </c>
      <c r="G4423" s="17"/>
      <c r="H4423" s="17" t="s">
        <v>692</v>
      </c>
      <c r="I4423" s="17"/>
      <c r="J4423" s="17" t="s">
        <v>693</v>
      </c>
      <c r="K4423" s="17"/>
      <c r="L4423" s="17"/>
      <c r="M4423" s="17"/>
      <c r="N4423" s="17"/>
      <c r="O4423" s="17"/>
      <c r="P4423" s="17" t="s">
        <v>2924</v>
      </c>
      <c r="Q4423" s="17"/>
      <c r="R4423" s="25" t="str">
        <f>HYPERLINK("https://ictv.global/taxonomy/taxondetails?taxnode_id=202301138","Pahexavirus PHL009M11")</f>
        <v>Pahexavirus PHL009M11</v>
      </c>
      <c r="S4423" s="18" t="s">
        <v>30</v>
      </c>
      <c r="T4423" s="18" t="s">
        <v>2967</v>
      </c>
      <c r="U4423" s="18"/>
      <c r="V4423" s="18"/>
      <c r="W4423" s="18" t="s">
        <v>2968</v>
      </c>
      <c r="X4423" s="18" t="s">
        <v>42</v>
      </c>
      <c r="Y4423" s="18" t="s">
        <v>36</v>
      </c>
      <c r="Z4423" s="18" t="s">
        <v>697</v>
      </c>
      <c r="AA4423" s="21" t="str">
        <f>HYPERLINK("https://www.ncbi.nlm.nih.gov/nuccore/KJ578758","NCBI Nucleotide")</f>
        <v>NCBI Nucleotide</v>
      </c>
    </row>
    <row r="4424" spans="1:27" x14ac:dyDescent="0.35">
      <c r="A4424">
        <v>1006054</v>
      </c>
      <c r="B4424">
        <v>4400</v>
      </c>
      <c r="C4424">
        <v>1</v>
      </c>
      <c r="D4424" s="17" t="s">
        <v>155</v>
      </c>
      <c r="E4424" s="17"/>
      <c r="F4424" s="17" t="s">
        <v>156</v>
      </c>
      <c r="G4424" s="17"/>
      <c r="H4424" s="17" t="s">
        <v>692</v>
      </c>
      <c r="I4424" s="17"/>
      <c r="J4424" s="17" t="s">
        <v>693</v>
      </c>
      <c r="K4424" s="17"/>
      <c r="L4424" s="17"/>
      <c r="M4424" s="17"/>
      <c r="N4424" s="17"/>
      <c r="O4424" s="17"/>
      <c r="P4424" s="17" t="s">
        <v>2924</v>
      </c>
      <c r="Q4424" s="17"/>
      <c r="R4424" s="25" t="str">
        <f>HYPERLINK("https://ictv.global/taxonomy/taxondetails?taxnode_id=202301139","Pahexavirus PHL025M00")</f>
        <v>Pahexavirus PHL025M00</v>
      </c>
      <c r="S4424" s="18" t="s">
        <v>30</v>
      </c>
      <c r="T4424" s="18" t="s">
        <v>2969</v>
      </c>
      <c r="U4424" s="18"/>
      <c r="V4424" s="18"/>
      <c r="W4424" s="18" t="s">
        <v>2970</v>
      </c>
      <c r="X4424" s="18" t="s">
        <v>42</v>
      </c>
      <c r="Y4424" s="18" t="s">
        <v>36</v>
      </c>
      <c r="Z4424" s="18" t="s">
        <v>697</v>
      </c>
      <c r="AA4424" s="21" t="str">
        <f>HYPERLINK("https://www.ncbi.nlm.nih.gov/nuccore/KJ578759","NCBI Nucleotide")</f>
        <v>NCBI Nucleotide</v>
      </c>
    </row>
    <row r="4425" spans="1:27" x14ac:dyDescent="0.35">
      <c r="A4425">
        <v>1006055</v>
      </c>
      <c r="B4425">
        <v>4401</v>
      </c>
      <c r="C4425">
        <v>1</v>
      </c>
      <c r="D4425" s="17" t="s">
        <v>155</v>
      </c>
      <c r="E4425" s="17"/>
      <c r="F4425" s="17" t="s">
        <v>156</v>
      </c>
      <c r="G4425" s="17"/>
      <c r="H4425" s="17" t="s">
        <v>692</v>
      </c>
      <c r="I4425" s="17"/>
      <c r="J4425" s="17" t="s">
        <v>693</v>
      </c>
      <c r="K4425" s="17"/>
      <c r="L4425" s="17"/>
      <c r="M4425" s="17"/>
      <c r="N4425" s="17"/>
      <c r="O4425" s="17"/>
      <c r="P4425" s="17" t="s">
        <v>2924</v>
      </c>
      <c r="Q4425" s="17"/>
      <c r="R4425" s="25" t="str">
        <f>HYPERLINK("https://ictv.global/taxonomy/taxondetails?taxnode_id=202301140","Pahexavirus PHL037M02")</f>
        <v>Pahexavirus PHL037M02</v>
      </c>
      <c r="S4425" s="18" t="s">
        <v>30</v>
      </c>
      <c r="T4425" s="18" t="s">
        <v>2971</v>
      </c>
      <c r="U4425" s="18"/>
      <c r="V4425" s="18"/>
      <c r="W4425" s="18" t="s">
        <v>2972</v>
      </c>
      <c r="X4425" s="18" t="s">
        <v>42</v>
      </c>
      <c r="Y4425" s="18" t="s">
        <v>36</v>
      </c>
      <c r="Z4425" s="18" t="s">
        <v>697</v>
      </c>
      <c r="AA4425" s="21" t="str">
        <f>HYPERLINK("https://www.ncbi.nlm.nih.gov/nuccore/JX570706","NCBI Nucleotide")</f>
        <v>NCBI Nucleotide</v>
      </c>
    </row>
    <row r="4426" spans="1:27" x14ac:dyDescent="0.35">
      <c r="A4426">
        <v>1006183</v>
      </c>
      <c r="B4426">
        <v>4402</v>
      </c>
      <c r="C4426">
        <v>1</v>
      </c>
      <c r="D4426" s="17" t="s">
        <v>155</v>
      </c>
      <c r="E4426" s="17"/>
      <c r="F4426" s="17" t="s">
        <v>156</v>
      </c>
      <c r="G4426" s="17"/>
      <c r="H4426" s="17" t="s">
        <v>692</v>
      </c>
      <c r="I4426" s="17"/>
      <c r="J4426" s="17" t="s">
        <v>693</v>
      </c>
      <c r="K4426" s="17"/>
      <c r="L4426" s="17"/>
      <c r="M4426" s="17"/>
      <c r="N4426" s="17"/>
      <c r="O4426" s="17"/>
      <c r="P4426" s="17" t="s">
        <v>2924</v>
      </c>
      <c r="Q4426" s="17"/>
      <c r="R4426" s="25" t="str">
        <f>HYPERLINK("https://ictv.global/taxonomy/taxondetails?taxnode_id=202301141","Pahexavirus PHL041M10")</f>
        <v>Pahexavirus PHL041M10</v>
      </c>
      <c r="S4426" s="18" t="s">
        <v>30</v>
      </c>
      <c r="T4426" s="18" t="s">
        <v>2973</v>
      </c>
      <c r="U4426" s="18"/>
      <c r="V4426" s="18"/>
      <c r="W4426" s="18" t="s">
        <v>2974</v>
      </c>
      <c r="X4426" s="18" t="s">
        <v>42</v>
      </c>
      <c r="Y4426" s="18" t="s">
        <v>36</v>
      </c>
      <c r="Z4426" s="18" t="s">
        <v>697</v>
      </c>
      <c r="AA4426" s="21" t="str">
        <f>HYPERLINK("https://www.ncbi.nlm.nih.gov/nuccore/KJ578761","NCBI Nucleotide")</f>
        <v>NCBI Nucleotide</v>
      </c>
    </row>
    <row r="4427" spans="1:27" x14ac:dyDescent="0.35">
      <c r="A4427">
        <v>1006184</v>
      </c>
      <c r="B4427">
        <v>4403</v>
      </c>
      <c r="C4427">
        <v>1</v>
      </c>
      <c r="D4427" s="17" t="s">
        <v>155</v>
      </c>
      <c r="E4427" s="17"/>
      <c r="F4427" s="17" t="s">
        <v>156</v>
      </c>
      <c r="G4427" s="17"/>
      <c r="H4427" s="17" t="s">
        <v>692</v>
      </c>
      <c r="I4427" s="17"/>
      <c r="J4427" s="17" t="s">
        <v>693</v>
      </c>
      <c r="K4427" s="17"/>
      <c r="L4427" s="17"/>
      <c r="M4427" s="17"/>
      <c r="N4427" s="17"/>
      <c r="O4427" s="17"/>
      <c r="P4427" s="17" t="s">
        <v>2924</v>
      </c>
      <c r="Q4427" s="17"/>
      <c r="R4427" s="25" t="str">
        <f>HYPERLINK("https://ictv.global/taxonomy/taxondetails?taxnode_id=202301142","Pahexavirus PHL060L00")</f>
        <v>Pahexavirus PHL060L00</v>
      </c>
      <c r="S4427" s="18" t="s">
        <v>30</v>
      </c>
      <c r="T4427" s="18" t="s">
        <v>2975</v>
      </c>
      <c r="U4427" s="18"/>
      <c r="V4427" s="18"/>
      <c r="W4427" s="18" t="s">
        <v>2976</v>
      </c>
      <c r="X4427" s="18" t="s">
        <v>42</v>
      </c>
      <c r="Y4427" s="18" t="s">
        <v>36</v>
      </c>
      <c r="Z4427" s="18" t="s">
        <v>697</v>
      </c>
      <c r="AA4427" s="21" t="str">
        <f>HYPERLINK("https://www.ncbi.nlm.nih.gov/nuccore/JX570705","NCBI Nucleotide")</f>
        <v>NCBI Nucleotide</v>
      </c>
    </row>
    <row r="4428" spans="1:27" x14ac:dyDescent="0.35">
      <c r="A4428">
        <v>1006185</v>
      </c>
      <c r="B4428">
        <v>4404</v>
      </c>
      <c r="C4428">
        <v>1</v>
      </c>
      <c r="D4428" s="17" t="s">
        <v>155</v>
      </c>
      <c r="E4428" s="17"/>
      <c r="F4428" s="17" t="s">
        <v>156</v>
      </c>
      <c r="G4428" s="17"/>
      <c r="H4428" s="17" t="s">
        <v>692</v>
      </c>
      <c r="I4428" s="17"/>
      <c r="J4428" s="17" t="s">
        <v>693</v>
      </c>
      <c r="K4428" s="17"/>
      <c r="L4428" s="17"/>
      <c r="M4428" s="17"/>
      <c r="N4428" s="17"/>
      <c r="O4428" s="17"/>
      <c r="P4428" s="17" t="s">
        <v>2924</v>
      </c>
      <c r="Q4428" s="17"/>
      <c r="R4428" s="25" t="str">
        <f>HYPERLINK("https://ictv.global/taxonomy/taxondetails?taxnode_id=202301143","Pahexavirus PHL067M01")</f>
        <v>Pahexavirus PHL067M01</v>
      </c>
      <c r="S4428" s="18" t="s">
        <v>30</v>
      </c>
      <c r="T4428" s="18" t="s">
        <v>2977</v>
      </c>
      <c r="U4428" s="18"/>
      <c r="V4428" s="18"/>
      <c r="W4428" s="18" t="s">
        <v>2978</v>
      </c>
      <c r="X4428" s="18" t="s">
        <v>42</v>
      </c>
      <c r="Y4428" s="18" t="s">
        <v>36</v>
      </c>
      <c r="Z4428" s="18" t="s">
        <v>697</v>
      </c>
      <c r="AA4428" s="21" t="str">
        <f>HYPERLINK("https://www.ncbi.nlm.nih.gov/nuccore/KJ578765","NCBI Nucleotide")</f>
        <v>NCBI Nucleotide</v>
      </c>
    </row>
    <row r="4429" spans="1:27" x14ac:dyDescent="0.35">
      <c r="A4429">
        <v>1006186</v>
      </c>
      <c r="B4429">
        <v>4405</v>
      </c>
      <c r="C4429">
        <v>1</v>
      </c>
      <c r="D4429" s="17" t="s">
        <v>155</v>
      </c>
      <c r="E4429" s="17"/>
      <c r="F4429" s="17" t="s">
        <v>156</v>
      </c>
      <c r="G4429" s="17"/>
      <c r="H4429" s="17" t="s">
        <v>692</v>
      </c>
      <c r="I4429" s="17"/>
      <c r="J4429" s="17" t="s">
        <v>693</v>
      </c>
      <c r="K4429" s="17"/>
      <c r="L4429" s="17"/>
      <c r="M4429" s="17"/>
      <c r="N4429" s="17"/>
      <c r="O4429" s="17"/>
      <c r="P4429" s="17" t="s">
        <v>2924</v>
      </c>
      <c r="Q4429" s="17"/>
      <c r="R4429" s="25" t="str">
        <f>HYPERLINK("https://ictv.global/taxonomy/taxondetails?taxnode_id=202301144","Pahexavirus PHL070N00")</f>
        <v>Pahexavirus PHL070N00</v>
      </c>
      <c r="S4429" s="18" t="s">
        <v>30</v>
      </c>
      <c r="T4429" s="18" t="s">
        <v>2979</v>
      </c>
      <c r="U4429" s="18"/>
      <c r="V4429" s="18"/>
      <c r="W4429" s="18" t="s">
        <v>2980</v>
      </c>
      <c r="X4429" s="18" t="s">
        <v>42</v>
      </c>
      <c r="Y4429" s="18" t="s">
        <v>36</v>
      </c>
      <c r="Z4429" s="18" t="s">
        <v>697</v>
      </c>
      <c r="AA4429" s="21" t="str">
        <f>HYPERLINK("https://www.ncbi.nlm.nih.gov/nuccore/KJ578767","NCBI Nucleotide")</f>
        <v>NCBI Nucleotide</v>
      </c>
    </row>
    <row r="4430" spans="1:27" x14ac:dyDescent="0.35">
      <c r="A4430">
        <v>1006187</v>
      </c>
      <c r="B4430">
        <v>4406</v>
      </c>
      <c r="C4430">
        <v>1</v>
      </c>
      <c r="D4430" s="17" t="s">
        <v>155</v>
      </c>
      <c r="E4430" s="17"/>
      <c r="F4430" s="17" t="s">
        <v>156</v>
      </c>
      <c r="G4430" s="17"/>
      <c r="H4430" s="17" t="s">
        <v>692</v>
      </c>
      <c r="I4430" s="17"/>
      <c r="J4430" s="17" t="s">
        <v>693</v>
      </c>
      <c r="K4430" s="17"/>
      <c r="L4430" s="17"/>
      <c r="M4430" s="17"/>
      <c r="N4430" s="17"/>
      <c r="O4430" s="17"/>
      <c r="P4430" s="17" t="s">
        <v>2924</v>
      </c>
      <c r="Q4430" s="17"/>
      <c r="R4430" s="25" t="str">
        <f>HYPERLINK("https://ictv.global/taxonomy/taxondetails?taxnode_id=202301145","Pahexavirus PHL071N05")</f>
        <v>Pahexavirus PHL071N05</v>
      </c>
      <c r="S4430" s="18" t="s">
        <v>30</v>
      </c>
      <c r="T4430" s="18" t="s">
        <v>2981</v>
      </c>
      <c r="U4430" s="18"/>
      <c r="V4430" s="18"/>
      <c r="W4430" s="18" t="s">
        <v>2982</v>
      </c>
      <c r="X4430" s="18" t="s">
        <v>42</v>
      </c>
      <c r="Y4430" s="18" t="s">
        <v>36</v>
      </c>
      <c r="Z4430" s="18" t="s">
        <v>697</v>
      </c>
      <c r="AA4430" s="21" t="str">
        <f>HYPERLINK("https://www.ncbi.nlm.nih.gov/nuccore/JX570710","NCBI Nucleotide")</f>
        <v>NCBI Nucleotide</v>
      </c>
    </row>
    <row r="4431" spans="1:27" x14ac:dyDescent="0.35">
      <c r="A4431">
        <v>1006188</v>
      </c>
      <c r="B4431">
        <v>4407</v>
      </c>
      <c r="C4431">
        <v>1</v>
      </c>
      <c r="D4431" s="17" t="s">
        <v>155</v>
      </c>
      <c r="E4431" s="17"/>
      <c r="F4431" s="17" t="s">
        <v>156</v>
      </c>
      <c r="G4431" s="17"/>
      <c r="H4431" s="17" t="s">
        <v>692</v>
      </c>
      <c r="I4431" s="17"/>
      <c r="J4431" s="17" t="s">
        <v>693</v>
      </c>
      <c r="K4431" s="17"/>
      <c r="L4431" s="17"/>
      <c r="M4431" s="17"/>
      <c r="N4431" s="17"/>
      <c r="O4431" s="17"/>
      <c r="P4431" s="17" t="s">
        <v>2924</v>
      </c>
      <c r="Q4431" s="17"/>
      <c r="R4431" s="25" t="str">
        <f>HYPERLINK("https://ictv.global/taxonomy/taxondetails?taxnode_id=202301146","Pahexavirus PHL082M03")</f>
        <v>Pahexavirus PHL082M03</v>
      </c>
      <c r="S4431" s="18" t="s">
        <v>30</v>
      </c>
      <c r="T4431" s="18" t="s">
        <v>2983</v>
      </c>
      <c r="U4431" s="18"/>
      <c r="V4431" s="18"/>
      <c r="W4431" s="18" t="s">
        <v>2984</v>
      </c>
      <c r="X4431" s="18" t="s">
        <v>42</v>
      </c>
      <c r="Y4431" s="18" t="s">
        <v>36</v>
      </c>
      <c r="Z4431" s="18" t="s">
        <v>697</v>
      </c>
      <c r="AA4431" s="21" t="str">
        <f>HYPERLINK("https://www.ncbi.nlm.nih.gov/nuccore/KJ578770","NCBI Nucleotide")</f>
        <v>NCBI Nucleotide</v>
      </c>
    </row>
    <row r="4432" spans="1:27" x14ac:dyDescent="0.35">
      <c r="A4432">
        <v>1006189</v>
      </c>
      <c r="B4432">
        <v>4408</v>
      </c>
      <c r="C4432">
        <v>1</v>
      </c>
      <c r="D4432" s="17" t="s">
        <v>155</v>
      </c>
      <c r="E4432" s="17"/>
      <c r="F4432" s="17" t="s">
        <v>156</v>
      </c>
      <c r="G4432" s="17"/>
      <c r="H4432" s="17" t="s">
        <v>692</v>
      </c>
      <c r="I4432" s="17"/>
      <c r="J4432" s="17" t="s">
        <v>693</v>
      </c>
      <c r="K4432" s="17"/>
      <c r="L4432" s="17"/>
      <c r="M4432" s="17"/>
      <c r="N4432" s="17"/>
      <c r="O4432" s="17"/>
      <c r="P4432" s="17" t="s">
        <v>2924</v>
      </c>
      <c r="Q4432" s="17"/>
      <c r="R4432" s="25" t="str">
        <f>HYPERLINK("https://ictv.global/taxonomy/taxondetails?taxnode_id=202301147","Pahexavirus PHL092M00")</f>
        <v>Pahexavirus PHL092M00</v>
      </c>
      <c r="S4432" s="18" t="s">
        <v>30</v>
      </c>
      <c r="T4432" s="18" t="s">
        <v>2985</v>
      </c>
      <c r="U4432" s="18"/>
      <c r="V4432" s="18"/>
      <c r="W4432" s="18" t="s">
        <v>2986</v>
      </c>
      <c r="X4432" s="18" t="s">
        <v>42</v>
      </c>
      <c r="Y4432" s="18" t="s">
        <v>36</v>
      </c>
      <c r="Z4432" s="18" t="s">
        <v>697</v>
      </c>
      <c r="AA4432" s="21" t="str">
        <f>HYPERLINK("https://www.ncbi.nlm.nih.gov/nuccore/KJ578773","NCBI Nucleotide")</f>
        <v>NCBI Nucleotide</v>
      </c>
    </row>
    <row r="4433" spans="1:27" x14ac:dyDescent="0.35">
      <c r="A4433">
        <v>1006190</v>
      </c>
      <c r="B4433">
        <v>4409</v>
      </c>
      <c r="C4433">
        <v>1</v>
      </c>
      <c r="D4433" s="17" t="s">
        <v>155</v>
      </c>
      <c r="E4433" s="17"/>
      <c r="F4433" s="17" t="s">
        <v>156</v>
      </c>
      <c r="G4433" s="17"/>
      <c r="H4433" s="17" t="s">
        <v>692</v>
      </c>
      <c r="I4433" s="17"/>
      <c r="J4433" s="17" t="s">
        <v>693</v>
      </c>
      <c r="K4433" s="17"/>
      <c r="L4433" s="17"/>
      <c r="M4433" s="17"/>
      <c r="N4433" s="17"/>
      <c r="O4433" s="17"/>
      <c r="P4433" s="17" t="s">
        <v>2924</v>
      </c>
      <c r="Q4433" s="17"/>
      <c r="R4433" s="25" t="str">
        <f>HYPERLINK("https://ictv.global/taxonomy/taxondetails?taxnode_id=202301148","Pahexavirus PHL095N00")</f>
        <v>Pahexavirus PHL095N00</v>
      </c>
      <c r="S4433" s="18" t="s">
        <v>30</v>
      </c>
      <c r="T4433" s="18" t="s">
        <v>2987</v>
      </c>
      <c r="U4433" s="18"/>
      <c r="V4433" s="18"/>
      <c r="W4433" s="18" t="s">
        <v>2988</v>
      </c>
      <c r="X4433" s="18" t="s">
        <v>42</v>
      </c>
      <c r="Y4433" s="18" t="s">
        <v>36</v>
      </c>
      <c r="Z4433" s="18" t="s">
        <v>697</v>
      </c>
      <c r="AA4433" s="21" t="str">
        <f>HYPERLINK("https://www.ncbi.nlm.nih.gov/nuccore/KJ578774","NCBI Nucleotide")</f>
        <v>NCBI Nucleotide</v>
      </c>
    </row>
    <row r="4434" spans="1:27" x14ac:dyDescent="0.35">
      <c r="A4434">
        <v>1006191</v>
      </c>
      <c r="B4434">
        <v>4410</v>
      </c>
      <c r="C4434">
        <v>1</v>
      </c>
      <c r="D4434" s="17" t="s">
        <v>155</v>
      </c>
      <c r="E4434" s="17"/>
      <c r="F4434" s="17" t="s">
        <v>156</v>
      </c>
      <c r="G4434" s="17"/>
      <c r="H4434" s="17" t="s">
        <v>692</v>
      </c>
      <c r="I4434" s="17"/>
      <c r="J4434" s="17" t="s">
        <v>693</v>
      </c>
      <c r="K4434" s="17"/>
      <c r="L4434" s="17"/>
      <c r="M4434" s="17"/>
      <c r="N4434" s="17"/>
      <c r="O4434" s="17"/>
      <c r="P4434" s="17" t="s">
        <v>2924</v>
      </c>
      <c r="Q4434" s="17"/>
      <c r="R4434" s="25" t="str">
        <f>HYPERLINK("https://ictv.global/taxonomy/taxondetails?taxnode_id=202301149","Pahexavirus PHL111M01")</f>
        <v>Pahexavirus PHL111M01</v>
      </c>
      <c r="S4434" s="18" t="s">
        <v>30</v>
      </c>
      <c r="T4434" s="18" t="s">
        <v>2989</v>
      </c>
      <c r="U4434" s="18"/>
      <c r="V4434" s="18"/>
      <c r="W4434" s="18" t="s">
        <v>2990</v>
      </c>
      <c r="X4434" s="18" t="s">
        <v>42</v>
      </c>
      <c r="Y4434" s="18" t="s">
        <v>36</v>
      </c>
      <c r="Z4434" s="18" t="s">
        <v>697</v>
      </c>
      <c r="AA4434" s="21" t="str">
        <f>HYPERLINK("https://www.ncbi.nlm.nih.gov/nuccore/JX570702","NCBI Nucleotide")</f>
        <v>NCBI Nucleotide</v>
      </c>
    </row>
    <row r="4435" spans="1:27" x14ac:dyDescent="0.35">
      <c r="A4435">
        <v>1006192</v>
      </c>
      <c r="B4435">
        <v>4411</v>
      </c>
      <c r="C4435">
        <v>1</v>
      </c>
      <c r="D4435" s="17" t="s">
        <v>155</v>
      </c>
      <c r="E4435" s="17"/>
      <c r="F4435" s="17" t="s">
        <v>156</v>
      </c>
      <c r="G4435" s="17"/>
      <c r="H4435" s="17" t="s">
        <v>692</v>
      </c>
      <c r="I4435" s="17"/>
      <c r="J4435" s="17" t="s">
        <v>693</v>
      </c>
      <c r="K4435" s="17"/>
      <c r="L4435" s="17"/>
      <c r="M4435" s="17"/>
      <c r="N4435" s="17"/>
      <c r="O4435" s="17"/>
      <c r="P4435" s="17" t="s">
        <v>2924</v>
      </c>
      <c r="Q4435" s="17"/>
      <c r="R4435" s="25" t="str">
        <f>HYPERLINK("https://ictv.global/taxonomy/taxondetails?taxnode_id=202301150","Pahexavirus PHL112N00")</f>
        <v>Pahexavirus PHL112N00</v>
      </c>
      <c r="S4435" s="18" t="s">
        <v>30</v>
      </c>
      <c r="T4435" s="18" t="s">
        <v>2991</v>
      </c>
      <c r="U4435" s="18"/>
      <c r="V4435" s="18"/>
      <c r="W4435" s="18" t="s">
        <v>2992</v>
      </c>
      <c r="X4435" s="18" t="s">
        <v>42</v>
      </c>
      <c r="Y4435" s="18" t="s">
        <v>36</v>
      </c>
      <c r="Z4435" s="18" t="s">
        <v>697</v>
      </c>
      <c r="AA4435" s="21" t="str">
        <f>HYPERLINK("https://www.ncbi.nlm.nih.gov/nuccore/JX570714","NCBI Nucleotide")</f>
        <v>NCBI Nucleotide</v>
      </c>
    </row>
    <row r="4436" spans="1:27" x14ac:dyDescent="0.35">
      <c r="A4436">
        <v>1006193</v>
      </c>
      <c r="B4436">
        <v>4412</v>
      </c>
      <c r="C4436">
        <v>1</v>
      </c>
      <c r="D4436" s="17" t="s">
        <v>155</v>
      </c>
      <c r="E4436" s="17"/>
      <c r="F4436" s="17" t="s">
        <v>156</v>
      </c>
      <c r="G4436" s="17"/>
      <c r="H4436" s="17" t="s">
        <v>692</v>
      </c>
      <c r="I4436" s="17"/>
      <c r="J4436" s="17" t="s">
        <v>693</v>
      </c>
      <c r="K4436" s="17"/>
      <c r="L4436" s="17"/>
      <c r="M4436" s="17"/>
      <c r="N4436" s="17"/>
      <c r="O4436" s="17"/>
      <c r="P4436" s="17" t="s">
        <v>2924</v>
      </c>
      <c r="Q4436" s="17"/>
      <c r="R4436" s="25" t="str">
        <f>HYPERLINK("https://ictv.global/taxonomy/taxondetails?taxnode_id=202301151","Pahexavirus PHL113M01")</f>
        <v>Pahexavirus PHL113M01</v>
      </c>
      <c r="S4436" s="18" t="s">
        <v>30</v>
      </c>
      <c r="T4436" s="18" t="s">
        <v>2993</v>
      </c>
      <c r="U4436" s="18"/>
      <c r="V4436" s="18"/>
      <c r="W4436" s="18" t="s">
        <v>2994</v>
      </c>
      <c r="X4436" s="18" t="s">
        <v>42</v>
      </c>
      <c r="Y4436" s="18" t="s">
        <v>36</v>
      </c>
      <c r="Z4436" s="18" t="s">
        <v>697</v>
      </c>
      <c r="AA4436" s="21" t="str">
        <f>HYPERLINK("https://www.ncbi.nlm.nih.gov/nuccore/JX570713","NCBI Nucleotide")</f>
        <v>NCBI Nucleotide</v>
      </c>
    </row>
    <row r="4437" spans="1:27" x14ac:dyDescent="0.35">
      <c r="A4437">
        <v>1006194</v>
      </c>
      <c r="B4437">
        <v>4413</v>
      </c>
      <c r="C4437">
        <v>1</v>
      </c>
      <c r="D4437" s="17" t="s">
        <v>155</v>
      </c>
      <c r="E4437" s="17"/>
      <c r="F4437" s="17" t="s">
        <v>156</v>
      </c>
      <c r="G4437" s="17"/>
      <c r="H4437" s="17" t="s">
        <v>692</v>
      </c>
      <c r="I4437" s="17"/>
      <c r="J4437" s="17" t="s">
        <v>693</v>
      </c>
      <c r="K4437" s="17"/>
      <c r="L4437" s="17"/>
      <c r="M4437" s="17"/>
      <c r="N4437" s="17"/>
      <c r="O4437" s="17"/>
      <c r="P4437" s="17" t="s">
        <v>2924</v>
      </c>
      <c r="Q4437" s="17"/>
      <c r="R4437" s="25" t="str">
        <f>HYPERLINK("https://ictv.global/taxonomy/taxondetails?taxnode_id=202301152","Pahexavirus PHL114L00")</f>
        <v>Pahexavirus PHL114L00</v>
      </c>
      <c r="S4437" s="18" t="s">
        <v>30</v>
      </c>
      <c r="T4437" s="18" t="s">
        <v>2995</v>
      </c>
      <c r="U4437" s="18"/>
      <c r="V4437" s="18"/>
      <c r="W4437" s="18" t="s">
        <v>2996</v>
      </c>
      <c r="X4437" s="18" t="s">
        <v>42</v>
      </c>
      <c r="Y4437" s="18" t="s">
        <v>36</v>
      </c>
      <c r="Z4437" s="18" t="s">
        <v>697</v>
      </c>
      <c r="AA4437" s="21" t="str">
        <f>HYPERLINK("https://www.ncbi.nlm.nih.gov/nuccore/JX570712","NCBI Nucleotide")</f>
        <v>NCBI Nucleotide</v>
      </c>
    </row>
    <row r="4438" spans="1:27" x14ac:dyDescent="0.35">
      <c r="A4438">
        <v>1006195</v>
      </c>
      <c r="B4438">
        <v>4414</v>
      </c>
      <c r="C4438">
        <v>1</v>
      </c>
      <c r="D4438" s="17" t="s">
        <v>155</v>
      </c>
      <c r="E4438" s="17"/>
      <c r="F4438" s="17" t="s">
        <v>156</v>
      </c>
      <c r="G4438" s="17"/>
      <c r="H4438" s="17" t="s">
        <v>692</v>
      </c>
      <c r="I4438" s="17"/>
      <c r="J4438" s="17" t="s">
        <v>693</v>
      </c>
      <c r="K4438" s="17"/>
      <c r="L4438" s="17"/>
      <c r="M4438" s="17"/>
      <c r="N4438" s="17"/>
      <c r="O4438" s="17"/>
      <c r="P4438" s="17" t="s">
        <v>2924</v>
      </c>
      <c r="Q4438" s="17"/>
      <c r="R4438" s="25" t="str">
        <f>HYPERLINK("https://ictv.global/taxonomy/taxondetails?taxnode_id=202301153","Pahexavirus PHL116M00")</f>
        <v>Pahexavirus PHL116M00</v>
      </c>
      <c r="S4438" s="18" t="s">
        <v>30</v>
      </c>
      <c r="T4438" s="18" t="s">
        <v>2997</v>
      </c>
      <c r="U4438" s="18"/>
      <c r="V4438" s="18"/>
      <c r="W4438" s="18" t="s">
        <v>2998</v>
      </c>
      <c r="X4438" s="18" t="s">
        <v>42</v>
      </c>
      <c r="Y4438" s="18" t="s">
        <v>36</v>
      </c>
      <c r="Z4438" s="18" t="s">
        <v>697</v>
      </c>
      <c r="AA4438" s="21" t="str">
        <f>HYPERLINK("https://www.ncbi.nlm.nih.gov/nuccore/KJ578776","NCBI Nucleotide")</f>
        <v>NCBI Nucleotide</v>
      </c>
    </row>
    <row r="4439" spans="1:27" x14ac:dyDescent="0.35">
      <c r="A4439">
        <v>1006196</v>
      </c>
      <c r="B4439">
        <v>4415</v>
      </c>
      <c r="C4439">
        <v>1</v>
      </c>
      <c r="D4439" s="17" t="s">
        <v>155</v>
      </c>
      <c r="E4439" s="17"/>
      <c r="F4439" s="17" t="s">
        <v>156</v>
      </c>
      <c r="G4439" s="17"/>
      <c r="H4439" s="17" t="s">
        <v>692</v>
      </c>
      <c r="I4439" s="17"/>
      <c r="J4439" s="17" t="s">
        <v>693</v>
      </c>
      <c r="K4439" s="17"/>
      <c r="L4439" s="17"/>
      <c r="M4439" s="17"/>
      <c r="N4439" s="17"/>
      <c r="O4439" s="17"/>
      <c r="P4439" s="17" t="s">
        <v>2924</v>
      </c>
      <c r="Q4439" s="17"/>
      <c r="R4439" s="25" t="str">
        <f>HYPERLINK("https://ictv.global/taxonomy/taxondetails?taxnode_id=202301154","Pahexavirus PHL117M00")</f>
        <v>Pahexavirus PHL117M00</v>
      </c>
      <c r="S4439" s="18" t="s">
        <v>30</v>
      </c>
      <c r="T4439" s="18" t="s">
        <v>2999</v>
      </c>
      <c r="U4439" s="18"/>
      <c r="V4439" s="18"/>
      <c r="W4439" s="18" t="s">
        <v>3000</v>
      </c>
      <c r="X4439" s="18" t="s">
        <v>42</v>
      </c>
      <c r="Y4439" s="18" t="s">
        <v>36</v>
      </c>
      <c r="Z4439" s="18" t="s">
        <v>697</v>
      </c>
      <c r="AA4439" s="21" t="str">
        <f>HYPERLINK("https://www.ncbi.nlm.nih.gov/nuccore/KJ578778","NCBI Nucleotide")</f>
        <v>NCBI Nucleotide</v>
      </c>
    </row>
    <row r="4440" spans="1:27" x14ac:dyDescent="0.35">
      <c r="A4440">
        <v>1006197</v>
      </c>
      <c r="B4440">
        <v>4416</v>
      </c>
      <c r="C4440">
        <v>1</v>
      </c>
      <c r="D4440" s="17" t="s">
        <v>155</v>
      </c>
      <c r="E4440" s="17"/>
      <c r="F4440" s="17" t="s">
        <v>156</v>
      </c>
      <c r="G4440" s="17"/>
      <c r="H4440" s="17" t="s">
        <v>692</v>
      </c>
      <c r="I4440" s="17"/>
      <c r="J4440" s="17" t="s">
        <v>693</v>
      </c>
      <c r="K4440" s="17"/>
      <c r="L4440" s="17"/>
      <c r="M4440" s="17"/>
      <c r="N4440" s="17"/>
      <c r="O4440" s="17"/>
      <c r="P4440" s="17" t="s">
        <v>2924</v>
      </c>
      <c r="Q4440" s="17"/>
      <c r="R4440" s="25" t="str">
        <f>HYPERLINK("https://ictv.global/taxonomy/taxondetails?taxnode_id=202301155","Pahexavirus PHL117M01")</f>
        <v>Pahexavirus PHL117M01</v>
      </c>
      <c r="S4440" s="18" t="s">
        <v>30</v>
      </c>
      <c r="T4440" s="18" t="s">
        <v>3001</v>
      </c>
      <c r="U4440" s="18"/>
      <c r="V4440" s="18"/>
      <c r="W4440" s="18" t="s">
        <v>3002</v>
      </c>
      <c r="X4440" s="18" t="s">
        <v>42</v>
      </c>
      <c r="Y4440" s="18" t="s">
        <v>36</v>
      </c>
      <c r="Z4440" s="18" t="s">
        <v>697</v>
      </c>
      <c r="AA4440" s="21" t="str">
        <f>HYPERLINK("https://www.ncbi.nlm.nih.gov/nuccore/KJ578779","NCBI Nucleotide")</f>
        <v>NCBI Nucleotide</v>
      </c>
    </row>
    <row r="4441" spans="1:27" x14ac:dyDescent="0.35">
      <c r="A4441">
        <v>1006198</v>
      </c>
      <c r="B4441">
        <v>4417</v>
      </c>
      <c r="C4441">
        <v>1</v>
      </c>
      <c r="D4441" s="17" t="s">
        <v>155</v>
      </c>
      <c r="E4441" s="17"/>
      <c r="F4441" s="17" t="s">
        <v>156</v>
      </c>
      <c r="G4441" s="17"/>
      <c r="H4441" s="17" t="s">
        <v>692</v>
      </c>
      <c r="I4441" s="17"/>
      <c r="J4441" s="17" t="s">
        <v>693</v>
      </c>
      <c r="K4441" s="17"/>
      <c r="L4441" s="17"/>
      <c r="M4441" s="17"/>
      <c r="N4441" s="17"/>
      <c r="O4441" s="17"/>
      <c r="P4441" s="17" t="s">
        <v>2924</v>
      </c>
      <c r="Q4441" s="17"/>
      <c r="R4441" s="25" t="str">
        <f>HYPERLINK("https://ictv.global/taxonomy/taxondetails?taxnode_id=202301156","Pahexavirus PHL132N00")</f>
        <v>Pahexavirus PHL132N00</v>
      </c>
      <c r="S4441" s="18" t="s">
        <v>30</v>
      </c>
      <c r="T4441" s="18" t="s">
        <v>3003</v>
      </c>
      <c r="U4441" s="18"/>
      <c r="V4441" s="18"/>
      <c r="W4441" s="18" t="s">
        <v>3004</v>
      </c>
      <c r="X4441" s="18" t="s">
        <v>42</v>
      </c>
      <c r="Y4441" s="18" t="s">
        <v>36</v>
      </c>
      <c r="Z4441" s="18" t="s">
        <v>697</v>
      </c>
      <c r="AA4441" s="21" t="str">
        <f>HYPERLINK("https://www.ncbi.nlm.nih.gov/nuccore/KJ578780","NCBI Nucleotide")</f>
        <v>NCBI Nucleotide</v>
      </c>
    </row>
    <row r="4442" spans="1:27" x14ac:dyDescent="0.35">
      <c r="A4442">
        <v>1006199</v>
      </c>
      <c r="B4442">
        <v>4418</v>
      </c>
      <c r="C4442">
        <v>1</v>
      </c>
      <c r="D4442" s="17" t="s">
        <v>155</v>
      </c>
      <c r="E4442" s="17"/>
      <c r="F4442" s="17" t="s">
        <v>156</v>
      </c>
      <c r="G4442" s="17"/>
      <c r="H4442" s="17" t="s">
        <v>692</v>
      </c>
      <c r="I4442" s="17"/>
      <c r="J4442" s="17" t="s">
        <v>693</v>
      </c>
      <c r="K4442" s="17"/>
      <c r="L4442" s="17"/>
      <c r="M4442" s="17"/>
      <c r="N4442" s="17"/>
      <c r="O4442" s="17"/>
      <c r="P4442" s="17" t="s">
        <v>2924</v>
      </c>
      <c r="Q4442" s="17"/>
      <c r="R4442" s="25" t="str">
        <f>HYPERLINK("https://ictv.global/taxonomy/taxondetails?taxnode_id=202301157","Pahexavirus PHL141N00")</f>
        <v>Pahexavirus PHL141N00</v>
      </c>
      <c r="S4442" s="18" t="s">
        <v>30</v>
      </c>
      <c r="T4442" s="18" t="s">
        <v>3005</v>
      </c>
      <c r="U4442" s="18"/>
      <c r="V4442" s="18"/>
      <c r="W4442" s="18" t="s">
        <v>3006</v>
      </c>
      <c r="X4442" s="18" t="s">
        <v>42</v>
      </c>
      <c r="Y4442" s="18" t="s">
        <v>36</v>
      </c>
      <c r="Z4442" s="18" t="s">
        <v>697</v>
      </c>
      <c r="AA4442" s="21" t="str">
        <f>HYPERLINK("https://www.ncbi.nlm.nih.gov/nuccore/KJ578781","NCBI Nucleotide")</f>
        <v>NCBI Nucleotide</v>
      </c>
    </row>
    <row r="4443" spans="1:27" x14ac:dyDescent="0.35">
      <c r="A4443">
        <v>1006200</v>
      </c>
      <c r="B4443">
        <v>4419</v>
      </c>
      <c r="C4443">
        <v>1</v>
      </c>
      <c r="D4443" s="17" t="s">
        <v>155</v>
      </c>
      <c r="E4443" s="17"/>
      <c r="F4443" s="17" t="s">
        <v>156</v>
      </c>
      <c r="G4443" s="17"/>
      <c r="H4443" s="17" t="s">
        <v>692</v>
      </c>
      <c r="I4443" s="17"/>
      <c r="J4443" s="17" t="s">
        <v>693</v>
      </c>
      <c r="K4443" s="17"/>
      <c r="L4443" s="17"/>
      <c r="M4443" s="17"/>
      <c r="N4443" s="17"/>
      <c r="O4443" s="17"/>
      <c r="P4443" s="17" t="s">
        <v>2924</v>
      </c>
      <c r="Q4443" s="17"/>
      <c r="R4443" s="25" t="str">
        <f>HYPERLINK("https://ictv.global/taxonomy/taxondetails?taxnode_id=202301158","Pahexavirus PHL151M00")</f>
        <v>Pahexavirus PHL151M00</v>
      </c>
      <c r="S4443" s="18" t="s">
        <v>30</v>
      </c>
      <c r="T4443" s="18" t="s">
        <v>3007</v>
      </c>
      <c r="U4443" s="18"/>
      <c r="V4443" s="18"/>
      <c r="W4443" s="18" t="s">
        <v>3008</v>
      </c>
      <c r="X4443" s="18" t="s">
        <v>42</v>
      </c>
      <c r="Y4443" s="18" t="s">
        <v>36</v>
      </c>
      <c r="Z4443" s="18" t="s">
        <v>697</v>
      </c>
      <c r="AA4443" s="21" t="str">
        <f>HYPERLINK("https://www.ncbi.nlm.nih.gov/nuccore/KJ578783","NCBI Nucleotide")</f>
        <v>NCBI Nucleotide</v>
      </c>
    </row>
    <row r="4444" spans="1:27" x14ac:dyDescent="0.35">
      <c r="A4444">
        <v>1006201</v>
      </c>
      <c r="B4444">
        <v>4420</v>
      </c>
      <c r="C4444">
        <v>1</v>
      </c>
      <c r="D4444" s="17" t="s">
        <v>155</v>
      </c>
      <c r="E4444" s="17"/>
      <c r="F4444" s="17" t="s">
        <v>156</v>
      </c>
      <c r="G4444" s="17"/>
      <c r="H4444" s="17" t="s">
        <v>692</v>
      </c>
      <c r="I4444" s="17"/>
      <c r="J4444" s="17" t="s">
        <v>693</v>
      </c>
      <c r="K4444" s="17"/>
      <c r="L4444" s="17"/>
      <c r="M4444" s="17"/>
      <c r="N4444" s="17"/>
      <c r="O4444" s="17"/>
      <c r="P4444" s="17" t="s">
        <v>2924</v>
      </c>
      <c r="Q4444" s="17"/>
      <c r="R4444" s="25" t="str">
        <f>HYPERLINK("https://ictv.global/taxonomy/taxondetails?taxnode_id=202301159","Pahexavirus PHL151N00")</f>
        <v>Pahexavirus PHL151N00</v>
      </c>
      <c r="S4444" s="18" t="s">
        <v>30</v>
      </c>
      <c r="T4444" s="18" t="s">
        <v>3009</v>
      </c>
      <c r="U4444" s="18"/>
      <c r="V4444" s="18"/>
      <c r="W4444" s="18" t="s">
        <v>3010</v>
      </c>
      <c r="X4444" s="18" t="s">
        <v>42</v>
      </c>
      <c r="Y4444" s="18" t="s">
        <v>36</v>
      </c>
      <c r="Z4444" s="18" t="s">
        <v>697</v>
      </c>
      <c r="AA4444" s="21" t="str">
        <f>HYPERLINK("https://www.ncbi.nlm.nih.gov/nuccore/KJ578784","NCBI Nucleotide")</f>
        <v>NCBI Nucleotide</v>
      </c>
    </row>
    <row r="4445" spans="1:27" x14ac:dyDescent="0.35">
      <c r="A4445">
        <v>1006202</v>
      </c>
      <c r="B4445">
        <v>4421</v>
      </c>
      <c r="C4445">
        <v>1</v>
      </c>
      <c r="D4445" s="17" t="s">
        <v>155</v>
      </c>
      <c r="E4445" s="17"/>
      <c r="F4445" s="17" t="s">
        <v>156</v>
      </c>
      <c r="G4445" s="17"/>
      <c r="H4445" s="17" t="s">
        <v>692</v>
      </c>
      <c r="I4445" s="17"/>
      <c r="J4445" s="17" t="s">
        <v>693</v>
      </c>
      <c r="K4445" s="17"/>
      <c r="L4445" s="17"/>
      <c r="M4445" s="17"/>
      <c r="N4445" s="17"/>
      <c r="O4445" s="17"/>
      <c r="P4445" s="17" t="s">
        <v>2924</v>
      </c>
      <c r="Q4445" s="17"/>
      <c r="R4445" s="25" t="str">
        <f>HYPERLINK("https://ictv.global/taxonomy/taxondetails?taxnode_id=202301160","Pahexavirus PHL152M00")</f>
        <v>Pahexavirus PHL152M00</v>
      </c>
      <c r="S4445" s="18" t="s">
        <v>30</v>
      </c>
      <c r="T4445" s="18" t="s">
        <v>3011</v>
      </c>
      <c r="U4445" s="18"/>
      <c r="V4445" s="18"/>
      <c r="W4445" s="18" t="s">
        <v>3012</v>
      </c>
      <c r="X4445" s="18" t="s">
        <v>42</v>
      </c>
      <c r="Y4445" s="18" t="s">
        <v>36</v>
      </c>
      <c r="Z4445" s="18" t="s">
        <v>697</v>
      </c>
      <c r="AA4445" s="21" t="str">
        <f>HYPERLINK("https://www.ncbi.nlm.nih.gov/nuccore/KJ578785","NCBI Nucleotide")</f>
        <v>NCBI Nucleotide</v>
      </c>
    </row>
    <row r="4446" spans="1:27" x14ac:dyDescent="0.35">
      <c r="A4446">
        <v>1006203</v>
      </c>
      <c r="B4446">
        <v>4422</v>
      </c>
      <c r="C4446">
        <v>1</v>
      </c>
      <c r="D4446" s="17" t="s">
        <v>155</v>
      </c>
      <c r="E4446" s="17"/>
      <c r="F4446" s="17" t="s">
        <v>156</v>
      </c>
      <c r="G4446" s="17"/>
      <c r="H4446" s="17" t="s">
        <v>692</v>
      </c>
      <c r="I4446" s="17"/>
      <c r="J4446" s="17" t="s">
        <v>693</v>
      </c>
      <c r="K4446" s="17"/>
      <c r="L4446" s="17"/>
      <c r="M4446" s="17"/>
      <c r="N4446" s="17"/>
      <c r="O4446" s="17"/>
      <c r="P4446" s="17" t="s">
        <v>2924</v>
      </c>
      <c r="Q4446" s="17"/>
      <c r="R4446" s="25" t="str">
        <f>HYPERLINK("https://ictv.global/taxonomy/taxondetails?taxnode_id=202301161","Pahexavirus PHL163M00")</f>
        <v>Pahexavirus PHL163M00</v>
      </c>
      <c r="S4446" s="18" t="s">
        <v>30</v>
      </c>
      <c r="T4446" s="18" t="s">
        <v>3013</v>
      </c>
      <c r="U4446" s="18"/>
      <c r="V4446" s="18"/>
      <c r="W4446" s="18" t="s">
        <v>3014</v>
      </c>
      <c r="X4446" s="18" t="s">
        <v>42</v>
      </c>
      <c r="Y4446" s="18" t="s">
        <v>36</v>
      </c>
      <c r="Z4446" s="18" t="s">
        <v>697</v>
      </c>
      <c r="AA4446" s="21" t="str">
        <f>HYPERLINK("https://www.ncbi.nlm.nih.gov/nuccore/KJ578786","NCBI Nucleotide")</f>
        <v>NCBI Nucleotide</v>
      </c>
    </row>
    <row r="4447" spans="1:27" x14ac:dyDescent="0.35">
      <c r="A4447">
        <v>1006204</v>
      </c>
      <c r="B4447">
        <v>4423</v>
      </c>
      <c r="C4447">
        <v>1</v>
      </c>
      <c r="D4447" s="17" t="s">
        <v>155</v>
      </c>
      <c r="E4447" s="17"/>
      <c r="F4447" s="17" t="s">
        <v>156</v>
      </c>
      <c r="G4447" s="17"/>
      <c r="H4447" s="17" t="s">
        <v>692</v>
      </c>
      <c r="I4447" s="17"/>
      <c r="J4447" s="17" t="s">
        <v>693</v>
      </c>
      <c r="K4447" s="17"/>
      <c r="L4447" s="17"/>
      <c r="M4447" s="17"/>
      <c r="N4447" s="17"/>
      <c r="O4447" s="17"/>
      <c r="P4447" s="17" t="s">
        <v>2924</v>
      </c>
      <c r="Q4447" s="17"/>
      <c r="R4447" s="25" t="str">
        <f>HYPERLINK("https://ictv.global/taxonomy/taxondetails?taxnode_id=202301162","Pahexavirus PHL171M01")</f>
        <v>Pahexavirus PHL171M01</v>
      </c>
      <c r="S4447" s="18" t="s">
        <v>30</v>
      </c>
      <c r="T4447" s="18" t="s">
        <v>3015</v>
      </c>
      <c r="U4447" s="18"/>
      <c r="V4447" s="18"/>
      <c r="W4447" s="18" t="s">
        <v>3016</v>
      </c>
      <c r="X4447" s="18" t="s">
        <v>42</v>
      </c>
      <c r="Y4447" s="18" t="s">
        <v>36</v>
      </c>
      <c r="Z4447" s="18" t="s">
        <v>697</v>
      </c>
      <c r="AA4447" s="21" t="str">
        <f>HYPERLINK("https://www.ncbi.nlm.nih.gov/nuccore/KJ578787","NCBI Nucleotide")</f>
        <v>NCBI Nucleotide</v>
      </c>
    </row>
    <row r="4448" spans="1:27" x14ac:dyDescent="0.35">
      <c r="A4448">
        <v>1006205</v>
      </c>
      <c r="B4448">
        <v>4424</v>
      </c>
      <c r="C4448">
        <v>1</v>
      </c>
      <c r="D4448" s="17" t="s">
        <v>155</v>
      </c>
      <c r="E4448" s="17"/>
      <c r="F4448" s="17" t="s">
        <v>156</v>
      </c>
      <c r="G4448" s="17"/>
      <c r="H4448" s="17" t="s">
        <v>692</v>
      </c>
      <c r="I4448" s="17"/>
      <c r="J4448" s="17" t="s">
        <v>693</v>
      </c>
      <c r="K4448" s="17"/>
      <c r="L4448" s="17"/>
      <c r="M4448" s="17"/>
      <c r="N4448" s="17"/>
      <c r="O4448" s="17"/>
      <c r="P4448" s="17" t="s">
        <v>2924</v>
      </c>
      <c r="Q4448" s="17"/>
      <c r="R4448" s="25" t="str">
        <f>HYPERLINK("https://ictv.global/taxonomy/taxondetails?taxnode_id=202301163","Pahexavirus PHL179M00")</f>
        <v>Pahexavirus PHL179M00</v>
      </c>
      <c r="S4448" s="18" t="s">
        <v>30</v>
      </c>
      <c r="T4448" s="18" t="s">
        <v>3017</v>
      </c>
      <c r="U4448" s="18"/>
      <c r="V4448" s="18"/>
      <c r="W4448" s="18" t="s">
        <v>3018</v>
      </c>
      <c r="X4448" s="18" t="s">
        <v>42</v>
      </c>
      <c r="Y4448" s="18" t="s">
        <v>36</v>
      </c>
      <c r="Z4448" s="18" t="s">
        <v>697</v>
      </c>
      <c r="AA4448" s="21" t="str">
        <f>HYPERLINK("https://www.ncbi.nlm.nih.gov/nuccore/KJ578788","NCBI Nucleotide")</f>
        <v>NCBI Nucleotide</v>
      </c>
    </row>
    <row r="4449" spans="1:27" x14ac:dyDescent="0.35">
      <c r="A4449">
        <v>1006206</v>
      </c>
      <c r="B4449">
        <v>4425</v>
      </c>
      <c r="C4449">
        <v>1</v>
      </c>
      <c r="D4449" s="17" t="s">
        <v>155</v>
      </c>
      <c r="E4449" s="17"/>
      <c r="F4449" s="17" t="s">
        <v>156</v>
      </c>
      <c r="G4449" s="17"/>
      <c r="H4449" s="17" t="s">
        <v>692</v>
      </c>
      <c r="I4449" s="17"/>
      <c r="J4449" s="17" t="s">
        <v>693</v>
      </c>
      <c r="K4449" s="17"/>
      <c r="L4449" s="17"/>
      <c r="M4449" s="17"/>
      <c r="N4449" s="17"/>
      <c r="O4449" s="17"/>
      <c r="P4449" s="17" t="s">
        <v>2924</v>
      </c>
      <c r="Q4449" s="17"/>
      <c r="R4449" s="25" t="str">
        <f>HYPERLINK("https://ictv.global/taxonomy/taxondetails?taxnode_id=202301164","Pahexavirus PHL194M00")</f>
        <v>Pahexavirus PHL194M00</v>
      </c>
      <c r="S4449" s="18" t="s">
        <v>30</v>
      </c>
      <c r="T4449" s="18" t="s">
        <v>3019</v>
      </c>
      <c r="U4449" s="18"/>
      <c r="V4449" s="18"/>
      <c r="W4449" s="18" t="s">
        <v>3020</v>
      </c>
      <c r="X4449" s="18" t="s">
        <v>42</v>
      </c>
      <c r="Y4449" s="18" t="s">
        <v>36</v>
      </c>
      <c r="Z4449" s="18" t="s">
        <v>697</v>
      </c>
      <c r="AA4449" s="21" t="str">
        <f>HYPERLINK("https://www.ncbi.nlm.nih.gov/nuccore/KJ578789","NCBI Nucleotide")</f>
        <v>NCBI Nucleotide</v>
      </c>
    </row>
    <row r="4450" spans="1:27" x14ac:dyDescent="0.35">
      <c r="A4450">
        <v>1006207</v>
      </c>
      <c r="B4450">
        <v>4426</v>
      </c>
      <c r="C4450">
        <v>1</v>
      </c>
      <c r="D4450" s="17" t="s">
        <v>155</v>
      </c>
      <c r="E4450" s="17"/>
      <c r="F4450" s="17" t="s">
        <v>156</v>
      </c>
      <c r="G4450" s="17"/>
      <c r="H4450" s="17" t="s">
        <v>692</v>
      </c>
      <c r="I4450" s="17"/>
      <c r="J4450" s="17" t="s">
        <v>693</v>
      </c>
      <c r="K4450" s="17"/>
      <c r="L4450" s="17"/>
      <c r="M4450" s="17"/>
      <c r="N4450" s="17"/>
      <c r="O4450" s="17"/>
      <c r="P4450" s="17" t="s">
        <v>2924</v>
      </c>
      <c r="Q4450" s="17"/>
      <c r="R4450" s="25" t="str">
        <f>HYPERLINK("https://ictv.global/taxonomy/taxondetails?taxnode_id=202301165","Pahexavirus PHL199M00")</f>
        <v>Pahexavirus PHL199M00</v>
      </c>
      <c r="S4450" s="18" t="s">
        <v>30</v>
      </c>
      <c r="T4450" s="18" t="s">
        <v>3021</v>
      </c>
      <c r="U4450" s="18"/>
      <c r="V4450" s="18"/>
      <c r="W4450" s="18" t="s">
        <v>3022</v>
      </c>
      <c r="X4450" s="18" t="s">
        <v>42</v>
      </c>
      <c r="Y4450" s="18" t="s">
        <v>36</v>
      </c>
      <c r="Z4450" s="18" t="s">
        <v>697</v>
      </c>
      <c r="AA4450" s="21" t="str">
        <f>HYPERLINK("https://www.ncbi.nlm.nih.gov/nuccore/KJ578790","NCBI Nucleotide")</f>
        <v>NCBI Nucleotide</v>
      </c>
    </row>
    <row r="4451" spans="1:27" x14ac:dyDescent="0.35">
      <c r="A4451">
        <v>1006208</v>
      </c>
      <c r="B4451">
        <v>4427</v>
      </c>
      <c r="C4451">
        <v>1</v>
      </c>
      <c r="D4451" s="17" t="s">
        <v>155</v>
      </c>
      <c r="E4451" s="17"/>
      <c r="F4451" s="17" t="s">
        <v>156</v>
      </c>
      <c r="G4451" s="17"/>
      <c r="H4451" s="17" t="s">
        <v>692</v>
      </c>
      <c r="I4451" s="17"/>
      <c r="J4451" s="17" t="s">
        <v>693</v>
      </c>
      <c r="K4451" s="17"/>
      <c r="L4451" s="17"/>
      <c r="M4451" s="17"/>
      <c r="N4451" s="17"/>
      <c r="O4451" s="17"/>
      <c r="P4451" s="17" t="s">
        <v>2924</v>
      </c>
      <c r="Q4451" s="17"/>
      <c r="R4451" s="25" t="str">
        <f>HYPERLINK("https://ictv.global/taxonomy/taxondetails?taxnode_id=202301166","Pahexavirus PHL301M00")</f>
        <v>Pahexavirus PHL301M00</v>
      </c>
      <c r="S4451" s="18" t="s">
        <v>30</v>
      </c>
      <c r="T4451" s="18" t="s">
        <v>3023</v>
      </c>
      <c r="U4451" s="18"/>
      <c r="V4451" s="18"/>
      <c r="W4451" s="18" t="s">
        <v>3024</v>
      </c>
      <c r="X4451" s="18" t="s">
        <v>42</v>
      </c>
      <c r="Y4451" s="18" t="s">
        <v>36</v>
      </c>
      <c r="Z4451" s="18" t="s">
        <v>697</v>
      </c>
      <c r="AA4451" s="21" t="str">
        <f>HYPERLINK("https://www.ncbi.nlm.nih.gov/nuccore/KJ578791","NCBI Nucleotide")</f>
        <v>NCBI Nucleotide</v>
      </c>
    </row>
    <row r="4452" spans="1:27" x14ac:dyDescent="0.35">
      <c r="A4452">
        <v>1006209</v>
      </c>
      <c r="B4452">
        <v>4428</v>
      </c>
      <c r="C4452">
        <v>1</v>
      </c>
      <c r="D4452" s="17" t="s">
        <v>155</v>
      </c>
      <c r="E4452" s="17"/>
      <c r="F4452" s="17" t="s">
        <v>156</v>
      </c>
      <c r="G4452" s="17"/>
      <c r="H4452" s="17" t="s">
        <v>692</v>
      </c>
      <c r="I4452" s="17"/>
      <c r="J4452" s="17" t="s">
        <v>693</v>
      </c>
      <c r="K4452" s="17"/>
      <c r="L4452" s="17"/>
      <c r="M4452" s="17"/>
      <c r="N4452" s="17"/>
      <c r="O4452" s="17"/>
      <c r="P4452" s="17" t="s">
        <v>2924</v>
      </c>
      <c r="Q4452" s="17"/>
      <c r="R4452" s="25" t="str">
        <f>HYPERLINK("https://ictv.global/taxonomy/taxondetails?taxnode_id=202301167","Pahexavirus PHL308M00")</f>
        <v>Pahexavirus PHL308M00</v>
      </c>
      <c r="S4452" s="18" t="s">
        <v>30</v>
      </c>
      <c r="T4452" s="18" t="s">
        <v>3025</v>
      </c>
      <c r="U4452" s="18"/>
      <c r="V4452" s="18"/>
      <c r="W4452" s="18" t="s">
        <v>3026</v>
      </c>
      <c r="X4452" s="18" t="s">
        <v>42</v>
      </c>
      <c r="Y4452" s="18" t="s">
        <v>36</v>
      </c>
      <c r="Z4452" s="18" t="s">
        <v>697</v>
      </c>
      <c r="AA4452" s="21" t="str">
        <f>HYPERLINK("https://www.ncbi.nlm.nih.gov/nuccore/KJ578792","NCBI Nucleotide")</f>
        <v>NCBI Nucleotide</v>
      </c>
    </row>
    <row r="4453" spans="1:27" x14ac:dyDescent="0.35">
      <c r="A4453">
        <v>1006210</v>
      </c>
      <c r="B4453">
        <v>4429</v>
      </c>
      <c r="C4453">
        <v>1</v>
      </c>
      <c r="D4453" s="17" t="s">
        <v>155</v>
      </c>
      <c r="E4453" s="17"/>
      <c r="F4453" s="17" t="s">
        <v>156</v>
      </c>
      <c r="G4453" s="17"/>
      <c r="H4453" s="17" t="s">
        <v>692</v>
      </c>
      <c r="I4453" s="17"/>
      <c r="J4453" s="17" t="s">
        <v>693</v>
      </c>
      <c r="K4453" s="17"/>
      <c r="L4453" s="17"/>
      <c r="M4453" s="17"/>
      <c r="N4453" s="17"/>
      <c r="O4453" s="17"/>
      <c r="P4453" s="17" t="s">
        <v>2924</v>
      </c>
      <c r="Q4453" s="17"/>
      <c r="R4453" s="25" t="str">
        <f>HYPERLINK("https://ictv.global/taxonomy/taxondetails?taxnode_id=202301168","Pahexavirus pirate")</f>
        <v>Pahexavirus pirate</v>
      </c>
      <c r="S4453" s="18" t="s">
        <v>30</v>
      </c>
      <c r="T4453" s="18" t="s">
        <v>3027</v>
      </c>
      <c r="U4453" s="18"/>
      <c r="V4453" s="18"/>
      <c r="W4453" s="18" t="s">
        <v>3028</v>
      </c>
      <c r="X4453" s="18" t="s">
        <v>42</v>
      </c>
      <c r="Y4453" s="18" t="s">
        <v>36</v>
      </c>
      <c r="Z4453" s="18" t="s">
        <v>697</v>
      </c>
      <c r="AA4453" s="21" t="str">
        <f>HYPERLINK("https://www.ncbi.nlm.nih.gov/nuccore/KR337653","NCBI Nucleotide")</f>
        <v>NCBI Nucleotide</v>
      </c>
    </row>
    <row r="4454" spans="1:27" x14ac:dyDescent="0.35">
      <c r="A4454">
        <v>1006211</v>
      </c>
      <c r="B4454">
        <v>4430</v>
      </c>
      <c r="C4454">
        <v>1</v>
      </c>
      <c r="D4454" s="17" t="s">
        <v>155</v>
      </c>
      <c r="E4454" s="17"/>
      <c r="F4454" s="17" t="s">
        <v>156</v>
      </c>
      <c r="G4454" s="17"/>
      <c r="H4454" s="17" t="s">
        <v>692</v>
      </c>
      <c r="I4454" s="17"/>
      <c r="J4454" s="17" t="s">
        <v>693</v>
      </c>
      <c r="K4454" s="17"/>
      <c r="L4454" s="17"/>
      <c r="M4454" s="17"/>
      <c r="N4454" s="17"/>
      <c r="O4454" s="17"/>
      <c r="P4454" s="17" t="s">
        <v>2924</v>
      </c>
      <c r="Q4454" s="17"/>
      <c r="R4454" s="25" t="str">
        <f>HYPERLINK("https://ictv.global/taxonomy/taxondetails?taxnode_id=202301169","Pahexavirus procrass1")</f>
        <v>Pahexavirus procrass1</v>
      </c>
      <c r="S4454" s="18" t="s">
        <v>30</v>
      </c>
      <c r="T4454" s="18" t="s">
        <v>3029</v>
      </c>
      <c r="U4454" s="18"/>
      <c r="V4454" s="18"/>
      <c r="W4454" s="18" t="s">
        <v>3030</v>
      </c>
      <c r="X4454" s="18" t="s">
        <v>42</v>
      </c>
      <c r="Y4454" s="18" t="s">
        <v>36</v>
      </c>
      <c r="Z4454" s="18" t="s">
        <v>697</v>
      </c>
      <c r="AA4454" s="21" t="str">
        <f>HYPERLINK("https://www.ncbi.nlm.nih.gov/nuccore/KR337644","NCBI Nucleotide")</f>
        <v>NCBI Nucleotide</v>
      </c>
    </row>
    <row r="4455" spans="1:27" x14ac:dyDescent="0.35">
      <c r="A4455">
        <v>1006212</v>
      </c>
      <c r="B4455">
        <v>4431</v>
      </c>
      <c r="C4455">
        <v>1</v>
      </c>
      <c r="D4455" s="17" t="s">
        <v>155</v>
      </c>
      <c r="E4455" s="17"/>
      <c r="F4455" s="17" t="s">
        <v>156</v>
      </c>
      <c r="G4455" s="17"/>
      <c r="H4455" s="17" t="s">
        <v>692</v>
      </c>
      <c r="I4455" s="17"/>
      <c r="J4455" s="17" t="s">
        <v>693</v>
      </c>
      <c r="K4455" s="17"/>
      <c r="L4455" s="17"/>
      <c r="M4455" s="17"/>
      <c r="N4455" s="17"/>
      <c r="O4455" s="17"/>
      <c r="P4455" s="17" t="s">
        <v>2924</v>
      </c>
      <c r="Q4455" s="17"/>
      <c r="R4455" s="25" t="str">
        <f>HYPERLINK("https://ictv.global/taxonomy/taxondetails?taxnode_id=202301170","Pahexavirus SKKY")</f>
        <v>Pahexavirus SKKY</v>
      </c>
      <c r="S4455" s="18" t="s">
        <v>30</v>
      </c>
      <c r="T4455" s="18" t="s">
        <v>3031</v>
      </c>
      <c r="U4455" s="18"/>
      <c r="V4455" s="18"/>
      <c r="W4455" s="18" t="s">
        <v>3032</v>
      </c>
      <c r="X4455" s="18" t="s">
        <v>42</v>
      </c>
      <c r="Y4455" s="18" t="s">
        <v>36</v>
      </c>
      <c r="Z4455" s="18" t="s">
        <v>697</v>
      </c>
      <c r="AA4455" s="21" t="str">
        <f>HYPERLINK("https://www.ncbi.nlm.nih.gov/nuccore/KR337648","NCBI Nucleotide")</f>
        <v>NCBI Nucleotide</v>
      </c>
    </row>
    <row r="4456" spans="1:27" x14ac:dyDescent="0.35">
      <c r="A4456">
        <v>1006213</v>
      </c>
      <c r="B4456">
        <v>4432</v>
      </c>
      <c r="C4456">
        <v>1</v>
      </c>
      <c r="D4456" s="17" t="s">
        <v>155</v>
      </c>
      <c r="E4456" s="17"/>
      <c r="F4456" s="17" t="s">
        <v>156</v>
      </c>
      <c r="G4456" s="17"/>
      <c r="H4456" s="17" t="s">
        <v>692</v>
      </c>
      <c r="I4456" s="17"/>
      <c r="J4456" s="17" t="s">
        <v>693</v>
      </c>
      <c r="K4456" s="17"/>
      <c r="L4456" s="17"/>
      <c r="M4456" s="17"/>
      <c r="N4456" s="17"/>
      <c r="O4456" s="17"/>
      <c r="P4456" s="17" t="s">
        <v>2924</v>
      </c>
      <c r="Q4456" s="17"/>
      <c r="R4456" s="25" t="str">
        <f>HYPERLINK("https://ictv.global/taxonomy/taxondetails?taxnode_id=202301171","Pahexavirus solid")</f>
        <v>Pahexavirus solid</v>
      </c>
      <c r="S4456" s="18" t="s">
        <v>30</v>
      </c>
      <c r="T4456" s="18" t="s">
        <v>3033</v>
      </c>
      <c r="U4456" s="18"/>
      <c r="V4456" s="18"/>
      <c r="W4456" s="18" t="s">
        <v>3034</v>
      </c>
      <c r="X4456" s="18" t="s">
        <v>42</v>
      </c>
      <c r="Y4456" s="18" t="s">
        <v>36</v>
      </c>
      <c r="Z4456" s="18" t="s">
        <v>697</v>
      </c>
      <c r="AA4456" s="21" t="str">
        <f>HYPERLINK("https://www.ncbi.nlm.nih.gov/nuccore/KR337647","NCBI Nucleotide")</f>
        <v>NCBI Nucleotide</v>
      </c>
    </row>
    <row r="4457" spans="1:27" x14ac:dyDescent="0.35">
      <c r="A4457">
        <v>1006214</v>
      </c>
      <c r="B4457">
        <v>4433</v>
      </c>
      <c r="C4457">
        <v>1</v>
      </c>
      <c r="D4457" s="17" t="s">
        <v>155</v>
      </c>
      <c r="E4457" s="17"/>
      <c r="F4457" s="17" t="s">
        <v>156</v>
      </c>
      <c r="G4457" s="17"/>
      <c r="H4457" s="17" t="s">
        <v>692</v>
      </c>
      <c r="I4457" s="17"/>
      <c r="J4457" s="17" t="s">
        <v>693</v>
      </c>
      <c r="K4457" s="17"/>
      <c r="L4457" s="17"/>
      <c r="M4457" s="17"/>
      <c r="N4457" s="17"/>
      <c r="O4457" s="17"/>
      <c r="P4457" s="17" t="s">
        <v>2924</v>
      </c>
      <c r="Q4457" s="17"/>
      <c r="R4457" s="25" t="str">
        <f>HYPERLINK("https://ictv.global/taxonomy/taxondetails?taxnode_id=202301172","Pahexavirus stormborn")</f>
        <v>Pahexavirus stormborn</v>
      </c>
      <c r="S4457" s="18" t="s">
        <v>30</v>
      </c>
      <c r="T4457" s="18" t="s">
        <v>3035</v>
      </c>
      <c r="U4457" s="18"/>
      <c r="V4457" s="18"/>
      <c r="W4457" s="18" t="s">
        <v>3036</v>
      </c>
      <c r="X4457" s="18" t="s">
        <v>42</v>
      </c>
      <c r="Y4457" s="18" t="s">
        <v>36</v>
      </c>
      <c r="Z4457" s="18" t="s">
        <v>697</v>
      </c>
      <c r="AA4457" s="21" t="str">
        <f>HYPERLINK("https://www.ncbi.nlm.nih.gov/nuccore/KR337652","NCBI Nucleotide")</f>
        <v>NCBI Nucleotide</v>
      </c>
    </row>
    <row r="4458" spans="1:27" x14ac:dyDescent="0.35">
      <c r="A4458">
        <v>1006215</v>
      </c>
      <c r="B4458">
        <v>4434</v>
      </c>
      <c r="C4458">
        <v>1</v>
      </c>
      <c r="D4458" s="17" t="s">
        <v>155</v>
      </c>
      <c r="E4458" s="17"/>
      <c r="F4458" s="17" t="s">
        <v>156</v>
      </c>
      <c r="G4458" s="17"/>
      <c r="H4458" s="17" t="s">
        <v>692</v>
      </c>
      <c r="I4458" s="17"/>
      <c r="J4458" s="17" t="s">
        <v>693</v>
      </c>
      <c r="K4458" s="17"/>
      <c r="L4458" s="17"/>
      <c r="M4458" s="17"/>
      <c r="N4458" s="17"/>
      <c r="O4458" s="17"/>
      <c r="P4458" s="17" t="s">
        <v>2924</v>
      </c>
      <c r="Q4458" s="17"/>
      <c r="R4458" s="25" t="str">
        <f>HYPERLINK("https://ictv.global/taxonomy/taxondetails?taxnode_id=202301173","Pahexavirus wizzo")</f>
        <v>Pahexavirus wizzo</v>
      </c>
      <c r="S4458" s="18" t="s">
        <v>30</v>
      </c>
      <c r="T4458" s="18" t="s">
        <v>3037</v>
      </c>
      <c r="U4458" s="18"/>
      <c r="V4458" s="18"/>
      <c r="W4458" s="18" t="s">
        <v>3038</v>
      </c>
      <c r="X4458" s="18" t="s">
        <v>42</v>
      </c>
      <c r="Y4458" s="18" t="s">
        <v>36</v>
      </c>
      <c r="Z4458" s="18" t="s">
        <v>697</v>
      </c>
      <c r="AA4458" s="21" t="str">
        <f>HYPERLINK("https://www.ncbi.nlm.nih.gov/nuccore/KR337646","NCBI Nucleotide")</f>
        <v>NCBI Nucleotide</v>
      </c>
    </row>
    <row r="4459" spans="1:27" x14ac:dyDescent="0.35">
      <c r="A4459">
        <v>1006229</v>
      </c>
      <c r="B4459">
        <v>4435</v>
      </c>
      <c r="C4459">
        <v>1</v>
      </c>
      <c r="D4459" s="17" t="s">
        <v>155</v>
      </c>
      <c r="E4459" s="17"/>
      <c r="F4459" s="17" t="s">
        <v>156</v>
      </c>
      <c r="G4459" s="17"/>
      <c r="H4459" s="17" t="s">
        <v>692</v>
      </c>
      <c r="I4459" s="17"/>
      <c r="J4459" s="17" t="s">
        <v>693</v>
      </c>
      <c r="K4459" s="17"/>
      <c r="L4459" s="17"/>
      <c r="M4459" s="17"/>
      <c r="N4459" s="17"/>
      <c r="O4459" s="17"/>
      <c r="P4459" s="17" t="s">
        <v>3067</v>
      </c>
      <c r="Q4459" s="17"/>
      <c r="R4459" s="25" t="str">
        <f>HYPERLINK("https://ictv.global/taxonomy/taxondetails?taxnode_id=202309342","Pankowvirus pv1717")</f>
        <v>Pankowvirus pv1717</v>
      </c>
      <c r="S4459" s="18" t="s">
        <v>30</v>
      </c>
      <c r="T4459" s="18" t="s">
        <v>3068</v>
      </c>
      <c r="U4459" s="18"/>
      <c r="V4459" s="18"/>
      <c r="W4459" s="18" t="s">
        <v>3069</v>
      </c>
      <c r="X4459" s="18" t="s">
        <v>42</v>
      </c>
      <c r="Y4459" s="18" t="s">
        <v>36</v>
      </c>
      <c r="Z4459" s="18" t="s">
        <v>697</v>
      </c>
      <c r="AA4459" s="21" t="str">
        <f>HYPERLINK("https://www.ncbi.nlm.nih.gov/nuccore/FJ188381","NCBI Nucleotide")</f>
        <v>NCBI Nucleotide</v>
      </c>
    </row>
    <row r="4460" spans="1:27" x14ac:dyDescent="0.35">
      <c r="A4460">
        <v>1006230</v>
      </c>
      <c r="B4460">
        <v>4436</v>
      </c>
      <c r="C4460">
        <v>1</v>
      </c>
      <c r="D4460" s="17" t="s">
        <v>155</v>
      </c>
      <c r="E4460" s="17"/>
      <c r="F4460" s="17" t="s">
        <v>156</v>
      </c>
      <c r="G4460" s="17"/>
      <c r="H4460" s="17" t="s">
        <v>692</v>
      </c>
      <c r="I4460" s="17"/>
      <c r="J4460" s="17" t="s">
        <v>693</v>
      </c>
      <c r="K4460" s="17"/>
      <c r="L4460" s="17"/>
      <c r="M4460" s="17"/>
      <c r="N4460" s="17"/>
      <c r="O4460" s="17"/>
      <c r="P4460" s="17" t="s">
        <v>3067</v>
      </c>
      <c r="Q4460" s="17"/>
      <c r="R4460" s="25" t="str">
        <f>HYPERLINK("https://ictv.global/taxonomy/taxondetails?taxnode_id=202309338","Pankowvirus pv2851")</f>
        <v>Pankowvirus pv2851</v>
      </c>
      <c r="S4460" s="18" t="s">
        <v>30</v>
      </c>
      <c r="T4460" s="18" t="s">
        <v>3070</v>
      </c>
      <c r="U4460" s="18"/>
      <c r="V4460" s="18"/>
      <c r="W4460" s="18" t="s">
        <v>3071</v>
      </c>
      <c r="X4460" s="18" t="s">
        <v>42</v>
      </c>
      <c r="Y4460" s="18" t="s">
        <v>36</v>
      </c>
      <c r="Z4460" s="18" t="s">
        <v>697</v>
      </c>
      <c r="AA4460" s="21" t="str">
        <f>HYPERLINK("https://www.ncbi.nlm.nih.gov/nuccore/FM180578","NCBI Nucleotide")</f>
        <v>NCBI Nucleotide</v>
      </c>
    </row>
    <row r="4461" spans="1:27" x14ac:dyDescent="0.35">
      <c r="A4461">
        <v>1006231</v>
      </c>
      <c r="B4461">
        <v>4437</v>
      </c>
      <c r="C4461">
        <v>1</v>
      </c>
      <c r="D4461" s="17" t="s">
        <v>155</v>
      </c>
      <c r="E4461" s="17"/>
      <c r="F4461" s="17" t="s">
        <v>156</v>
      </c>
      <c r="G4461" s="17"/>
      <c r="H4461" s="17" t="s">
        <v>692</v>
      </c>
      <c r="I4461" s="17"/>
      <c r="J4461" s="17" t="s">
        <v>693</v>
      </c>
      <c r="K4461" s="17"/>
      <c r="L4461" s="17"/>
      <c r="M4461" s="17"/>
      <c r="N4461" s="17"/>
      <c r="O4461" s="17"/>
      <c r="P4461" s="17" t="s">
        <v>3067</v>
      </c>
      <c r="Q4461" s="17"/>
      <c r="R4461" s="25" t="str">
        <f>HYPERLINK("https://ictv.global/taxonomy/taxondetails?taxnode_id=202309341","Pankowvirus WGPS6")</f>
        <v>Pankowvirus WGPS6</v>
      </c>
      <c r="S4461" s="18" t="s">
        <v>30</v>
      </c>
      <c r="T4461" s="18" t="s">
        <v>3072</v>
      </c>
      <c r="U4461" s="18"/>
      <c r="V4461" s="18"/>
      <c r="W4461" s="18" t="s">
        <v>3073</v>
      </c>
      <c r="X4461" s="18" t="s">
        <v>42</v>
      </c>
      <c r="Y4461" s="18" t="s">
        <v>36</v>
      </c>
      <c r="Z4461" s="18" t="s">
        <v>697</v>
      </c>
      <c r="AA4461" s="21" t="str">
        <f>HYPERLINK("https://www.ncbi.nlm.nih.gov/nuccore/AP012539","NCBI Nucleotide")</f>
        <v>NCBI Nucleotide</v>
      </c>
    </row>
    <row r="4462" spans="1:27" x14ac:dyDescent="0.35">
      <c r="A4462">
        <v>1006232</v>
      </c>
      <c r="B4462">
        <v>4438</v>
      </c>
      <c r="C4462">
        <v>1</v>
      </c>
      <c r="D4462" s="17" t="s">
        <v>155</v>
      </c>
      <c r="E4462" s="17"/>
      <c r="F4462" s="17" t="s">
        <v>156</v>
      </c>
      <c r="G4462" s="17"/>
      <c r="H4462" s="17" t="s">
        <v>692</v>
      </c>
      <c r="I4462" s="17"/>
      <c r="J4462" s="17" t="s">
        <v>693</v>
      </c>
      <c r="K4462" s="17"/>
      <c r="L4462" s="17"/>
      <c r="M4462" s="17"/>
      <c r="N4462" s="17"/>
      <c r="O4462" s="17"/>
      <c r="P4462" s="17" t="s">
        <v>3067</v>
      </c>
      <c r="Q4462" s="17"/>
      <c r="R4462" s="25" t="str">
        <f>HYPERLINK("https://ictv.global/taxonomy/taxondetails?taxnode_id=202309340","Pankowvirus WGPS8")</f>
        <v>Pankowvirus WGPS8</v>
      </c>
      <c r="S4462" s="18" t="s">
        <v>30</v>
      </c>
      <c r="T4462" s="18" t="s">
        <v>3074</v>
      </c>
      <c r="U4462" s="18"/>
      <c r="V4462" s="18"/>
      <c r="W4462" s="18" t="s">
        <v>3075</v>
      </c>
      <c r="X4462" s="18" t="s">
        <v>42</v>
      </c>
      <c r="Y4462" s="18" t="s">
        <v>36</v>
      </c>
      <c r="Z4462" s="18" t="s">
        <v>697</v>
      </c>
      <c r="AA4462" s="21" t="str">
        <f>HYPERLINK("https://www.ncbi.nlm.nih.gov/nuccore/AP012540","NCBI Nucleotide")</f>
        <v>NCBI Nucleotide</v>
      </c>
    </row>
    <row r="4463" spans="1:27" x14ac:dyDescent="0.35">
      <c r="A4463">
        <v>1006233</v>
      </c>
      <c r="B4463">
        <v>4439</v>
      </c>
      <c r="C4463">
        <v>1</v>
      </c>
      <c r="D4463" s="17" t="s">
        <v>155</v>
      </c>
      <c r="E4463" s="17"/>
      <c r="F4463" s="17" t="s">
        <v>156</v>
      </c>
      <c r="G4463" s="17"/>
      <c r="H4463" s="17" t="s">
        <v>692</v>
      </c>
      <c r="I4463" s="17"/>
      <c r="J4463" s="17" t="s">
        <v>693</v>
      </c>
      <c r="K4463" s="17"/>
      <c r="L4463" s="17"/>
      <c r="M4463" s="17"/>
      <c r="N4463" s="17"/>
      <c r="O4463" s="17"/>
      <c r="P4463" s="17" t="s">
        <v>3067</v>
      </c>
      <c r="Q4463" s="17"/>
      <c r="R4463" s="25" t="str">
        <f>HYPERLINK("https://ictv.global/taxonomy/taxondetails?taxnode_id=202309339","Pankowvirus YYZ2008")</f>
        <v>Pankowvirus YYZ2008</v>
      </c>
      <c r="S4463" s="18" t="s">
        <v>30</v>
      </c>
      <c r="T4463" s="18" t="s">
        <v>3076</v>
      </c>
      <c r="U4463" s="18"/>
      <c r="V4463" s="18"/>
      <c r="W4463" s="18" t="s">
        <v>3077</v>
      </c>
      <c r="X4463" s="18" t="s">
        <v>42</v>
      </c>
      <c r="Y4463" s="18" t="s">
        <v>36</v>
      </c>
      <c r="Z4463" s="18" t="s">
        <v>697</v>
      </c>
      <c r="AA4463" s="21" t="str">
        <f>HYPERLINK("https://www.ncbi.nlm.nih.gov/nuccore/FJ184280","NCBI Nucleotide")</f>
        <v>NCBI Nucleotide</v>
      </c>
    </row>
    <row r="4464" spans="1:27" x14ac:dyDescent="0.35">
      <c r="A4464">
        <v>1006234</v>
      </c>
      <c r="B4464">
        <v>4440</v>
      </c>
      <c r="C4464">
        <v>1</v>
      </c>
      <c r="D4464" s="17" t="s">
        <v>155</v>
      </c>
      <c r="E4464" s="17"/>
      <c r="F4464" s="17" t="s">
        <v>156</v>
      </c>
      <c r="G4464" s="17"/>
      <c r="H4464" s="17" t="s">
        <v>692</v>
      </c>
      <c r="I4464" s="17"/>
      <c r="J4464" s="17" t="s">
        <v>693</v>
      </c>
      <c r="K4464" s="17"/>
      <c r="L4464" s="17"/>
      <c r="M4464" s="17"/>
      <c r="N4464" s="17"/>
      <c r="O4464" s="17"/>
      <c r="P4464" s="17" t="s">
        <v>3078</v>
      </c>
      <c r="Q4464" s="17"/>
      <c r="R4464" s="25" t="str">
        <f>HYPERLINK("https://ictv.global/taxonomy/taxondetails?taxnode_id=202301253","Papyrusvirus papyrus")</f>
        <v>Papyrusvirus papyrus</v>
      </c>
      <c r="S4464" s="18" t="s">
        <v>30</v>
      </c>
      <c r="T4464" s="18" t="s">
        <v>3079</v>
      </c>
      <c r="U4464" s="18"/>
      <c r="V4464" s="18"/>
      <c r="W4464" s="18" t="s">
        <v>3080</v>
      </c>
      <c r="X4464" s="18" t="s">
        <v>42</v>
      </c>
      <c r="Y4464" s="18" t="s">
        <v>36</v>
      </c>
      <c r="Z4464" s="18" t="s">
        <v>697</v>
      </c>
      <c r="AA4464" s="21" t="str">
        <f>HYPERLINK("https://www.ncbi.nlm.nih.gov/nuccore/KF416342","NCBI Nucleotide")</f>
        <v>NCBI Nucleotide</v>
      </c>
    </row>
    <row r="4465" spans="1:27" x14ac:dyDescent="0.35">
      <c r="A4465">
        <v>1006235</v>
      </c>
      <c r="B4465">
        <v>4441</v>
      </c>
      <c r="C4465">
        <v>1</v>
      </c>
      <c r="D4465" s="17" t="s">
        <v>155</v>
      </c>
      <c r="E4465" s="17"/>
      <c r="F4465" s="17" t="s">
        <v>156</v>
      </c>
      <c r="G4465" s="17"/>
      <c r="H4465" s="17" t="s">
        <v>692</v>
      </c>
      <c r="I4465" s="17"/>
      <c r="J4465" s="17" t="s">
        <v>693</v>
      </c>
      <c r="K4465" s="17"/>
      <c r="L4465" s="17"/>
      <c r="M4465" s="17"/>
      <c r="N4465" s="17"/>
      <c r="O4465" s="17"/>
      <c r="P4465" s="17" t="s">
        <v>3078</v>
      </c>
      <c r="Q4465" s="17"/>
      <c r="R4465" s="25" t="str">
        <f>HYPERLINK("https://ictv.global/taxonomy/taxondetails?taxnode_id=202301254","Papyrusvirus send513")</f>
        <v>Papyrusvirus send513</v>
      </c>
      <c r="S4465" s="18" t="s">
        <v>30</v>
      </c>
      <c r="T4465" s="18" t="s">
        <v>3081</v>
      </c>
      <c r="U4465" s="18"/>
      <c r="V4465" s="18"/>
      <c r="W4465" s="18" t="s">
        <v>3082</v>
      </c>
      <c r="X4465" s="18" t="s">
        <v>42</v>
      </c>
      <c r="Y4465" s="18" t="s">
        <v>36</v>
      </c>
      <c r="Z4465" s="18" t="s">
        <v>697</v>
      </c>
      <c r="AA4465" s="21" t="str">
        <f>HYPERLINK("https://www.ncbi.nlm.nih.gov/nuccore/JF704112","NCBI Nucleotide")</f>
        <v>NCBI Nucleotide</v>
      </c>
    </row>
    <row r="4466" spans="1:27" x14ac:dyDescent="0.35">
      <c r="A4466">
        <v>1006236</v>
      </c>
      <c r="B4466">
        <v>4442</v>
      </c>
      <c r="C4466">
        <v>1</v>
      </c>
      <c r="D4466" s="17" t="s">
        <v>155</v>
      </c>
      <c r="E4466" s="17"/>
      <c r="F4466" s="17" t="s">
        <v>156</v>
      </c>
      <c r="G4466" s="17"/>
      <c r="H4466" s="17" t="s">
        <v>692</v>
      </c>
      <c r="I4466" s="17"/>
      <c r="J4466" s="17" t="s">
        <v>693</v>
      </c>
      <c r="K4466" s="17"/>
      <c r="L4466" s="17"/>
      <c r="M4466" s="17"/>
      <c r="N4466" s="17"/>
      <c r="O4466" s="17"/>
      <c r="P4466" s="17" t="s">
        <v>3083</v>
      </c>
      <c r="Q4466" s="17"/>
      <c r="R4466" s="25" t="str">
        <f>HYPERLINK("https://ictv.global/taxonomy/taxondetails?taxnode_id=202311569","Parlovirus parlo")</f>
        <v>Parlovirus parlo</v>
      </c>
      <c r="S4466" s="18" t="s">
        <v>30</v>
      </c>
      <c r="T4466" s="18" t="s">
        <v>3084</v>
      </c>
      <c r="U4466" s="18"/>
      <c r="V4466" s="18"/>
      <c r="W4466" s="18" t="s">
        <v>3085</v>
      </c>
      <c r="X4466" s="18" t="s">
        <v>42</v>
      </c>
      <c r="Y4466" s="18" t="s">
        <v>36</v>
      </c>
      <c r="Z4466" s="18" t="s">
        <v>697</v>
      </c>
      <c r="AA4466" s="21" t="str">
        <f>HYPERLINK("https://www.ncbi.nlm.nih.gov/nuccore/MK618715","NCBI Nucleotide")</f>
        <v>NCBI Nucleotide</v>
      </c>
    </row>
    <row r="4467" spans="1:27" x14ac:dyDescent="0.35">
      <c r="A4467">
        <v>1006237</v>
      </c>
      <c r="B4467">
        <v>4443</v>
      </c>
      <c r="C4467">
        <v>1</v>
      </c>
      <c r="D4467" s="17" t="s">
        <v>155</v>
      </c>
      <c r="E4467" s="17"/>
      <c r="F4467" s="17" t="s">
        <v>156</v>
      </c>
      <c r="G4467" s="17"/>
      <c r="H4467" s="17" t="s">
        <v>692</v>
      </c>
      <c r="I4467" s="17"/>
      <c r="J4467" s="17" t="s">
        <v>693</v>
      </c>
      <c r="K4467" s="17"/>
      <c r="L4467" s="17"/>
      <c r="M4467" s="17"/>
      <c r="N4467" s="17"/>
      <c r="O4467" s="17"/>
      <c r="P4467" s="17" t="s">
        <v>3086</v>
      </c>
      <c r="Q4467" s="17"/>
      <c r="R4467" s="25" t="str">
        <f>HYPERLINK("https://ictv.global/taxonomy/taxondetails?taxnode_id=202301178","Patiencevirus patience")</f>
        <v>Patiencevirus patience</v>
      </c>
      <c r="S4467" s="18" t="s">
        <v>30</v>
      </c>
      <c r="T4467" s="18" t="s">
        <v>3087</v>
      </c>
      <c r="U4467" s="18"/>
      <c r="V4467" s="18"/>
      <c r="W4467" s="18" t="s">
        <v>3088</v>
      </c>
      <c r="X4467" s="18" t="s">
        <v>42</v>
      </c>
      <c r="Y4467" s="18" t="s">
        <v>36</v>
      </c>
      <c r="Z4467" s="18" t="s">
        <v>697</v>
      </c>
      <c r="AA4467" s="21" t="str">
        <f>HYPERLINK("https://www.ncbi.nlm.nih.gov/nuccore/JN412589","NCBI Nucleotide")</f>
        <v>NCBI Nucleotide</v>
      </c>
    </row>
    <row r="4468" spans="1:27" x14ac:dyDescent="0.35">
      <c r="A4468">
        <v>1006238</v>
      </c>
      <c r="B4468">
        <v>4444</v>
      </c>
      <c r="C4468">
        <v>1</v>
      </c>
      <c r="D4468" s="17" t="s">
        <v>155</v>
      </c>
      <c r="E4468" s="17"/>
      <c r="F4468" s="17" t="s">
        <v>156</v>
      </c>
      <c r="G4468" s="17"/>
      <c r="H4468" s="17" t="s">
        <v>692</v>
      </c>
      <c r="I4468" s="17"/>
      <c r="J4468" s="17" t="s">
        <v>693</v>
      </c>
      <c r="K4468" s="17"/>
      <c r="L4468" s="17"/>
      <c r="M4468" s="17"/>
      <c r="N4468" s="17"/>
      <c r="O4468" s="17"/>
      <c r="P4468" s="17" t="s">
        <v>3089</v>
      </c>
      <c r="Q4468" s="17"/>
      <c r="R4468" s="25" t="str">
        <f>HYPERLINK("https://ictv.global/taxonomy/taxondetails?taxnode_id=202314718","Pavtokvirus pavtok")</f>
        <v>Pavtokvirus pavtok</v>
      </c>
      <c r="S4468" s="18" t="s">
        <v>30</v>
      </c>
      <c r="T4468" s="18" t="s">
        <v>3090</v>
      </c>
      <c r="U4468" s="18"/>
      <c r="V4468" s="18"/>
      <c r="W4468" s="18" t="s">
        <v>3091</v>
      </c>
      <c r="X4468" s="18" t="s">
        <v>42</v>
      </c>
      <c r="Y4468" s="18" t="s">
        <v>36</v>
      </c>
      <c r="Z4468" s="18" t="s">
        <v>697</v>
      </c>
      <c r="AA4468" s="21" t="str">
        <f>HYPERLINK("https://www.ncbi.nlm.nih.gov/nuccore/MH426726","NCBI Nucleotide")</f>
        <v>NCBI Nucleotide</v>
      </c>
    </row>
    <row r="4469" spans="1:27" x14ac:dyDescent="0.35">
      <c r="A4469">
        <v>1006239</v>
      </c>
      <c r="B4469">
        <v>4445</v>
      </c>
      <c r="C4469">
        <v>1</v>
      </c>
      <c r="D4469" s="17" t="s">
        <v>155</v>
      </c>
      <c r="E4469" s="17"/>
      <c r="F4469" s="17" t="s">
        <v>156</v>
      </c>
      <c r="G4469" s="17"/>
      <c r="H4469" s="17" t="s">
        <v>692</v>
      </c>
      <c r="I4469" s="17"/>
      <c r="J4469" s="17" t="s">
        <v>693</v>
      </c>
      <c r="K4469" s="17"/>
      <c r="L4469" s="17"/>
      <c r="M4469" s="17"/>
      <c r="N4469" s="17"/>
      <c r="O4469" s="17"/>
      <c r="P4469" s="17" t="s">
        <v>3089</v>
      </c>
      <c r="Q4469" s="17"/>
      <c r="R4469" s="25" t="str">
        <f>HYPERLINK("https://ictv.global/taxonomy/taxondetails?taxnode_id=202314719","Pavtokvirus PEp14")</f>
        <v>Pavtokvirus PEp14</v>
      </c>
      <c r="S4469" s="18" t="s">
        <v>30</v>
      </c>
      <c r="T4469" s="18" t="s">
        <v>3092</v>
      </c>
      <c r="U4469" s="18"/>
      <c r="V4469" s="18"/>
      <c r="W4469" s="18" t="s">
        <v>3093</v>
      </c>
      <c r="X4469" s="18" t="s">
        <v>42</v>
      </c>
      <c r="Y4469" s="18" t="s">
        <v>36</v>
      </c>
      <c r="Z4469" s="18" t="s">
        <v>697</v>
      </c>
      <c r="AA4469" s="21" t="str">
        <f>HYPERLINK("https://www.ncbi.nlm.nih.gov/nuccore/JN585957","NCBI Nucleotide")</f>
        <v>NCBI Nucleotide</v>
      </c>
    </row>
    <row r="4470" spans="1:27" x14ac:dyDescent="0.35">
      <c r="A4470">
        <v>1006240</v>
      </c>
      <c r="B4470">
        <v>4446</v>
      </c>
      <c r="C4470">
        <v>1</v>
      </c>
      <c r="D4470" s="17" t="s">
        <v>155</v>
      </c>
      <c r="E4470" s="17"/>
      <c r="F4470" s="17" t="s">
        <v>156</v>
      </c>
      <c r="G4470" s="17"/>
      <c r="H4470" s="17" t="s">
        <v>692</v>
      </c>
      <c r="I4470" s="17"/>
      <c r="J4470" s="17" t="s">
        <v>693</v>
      </c>
      <c r="K4470" s="17"/>
      <c r="L4470" s="17"/>
      <c r="M4470" s="17"/>
      <c r="N4470" s="17"/>
      <c r="O4470" s="17"/>
      <c r="P4470" s="17" t="s">
        <v>3094</v>
      </c>
      <c r="Q4470" s="17"/>
      <c r="R4470" s="25" t="str">
        <f>HYPERLINK("https://ictv.global/taxonomy/taxondetails?taxnode_id=202314786","Pawinskivirus PS119XW")</f>
        <v>Pawinskivirus PS119XW</v>
      </c>
      <c r="S4470" s="18" t="s">
        <v>30</v>
      </c>
      <c r="T4470" s="18" t="s">
        <v>3095</v>
      </c>
      <c r="U4470" s="18"/>
      <c r="V4470" s="18"/>
      <c r="W4470" s="18" t="s">
        <v>3096</v>
      </c>
      <c r="X4470" s="18" t="s">
        <v>42</v>
      </c>
      <c r="Y4470" s="18" t="s">
        <v>36</v>
      </c>
      <c r="Z4470" s="18" t="s">
        <v>697</v>
      </c>
      <c r="AA4470" s="21" t="str">
        <f>HYPERLINK("https://www.ncbi.nlm.nih.gov/nuccore/MN103543","NCBI Nucleotide")</f>
        <v>NCBI Nucleotide</v>
      </c>
    </row>
    <row r="4471" spans="1:27" x14ac:dyDescent="0.35">
      <c r="A4471">
        <v>1006241</v>
      </c>
      <c r="B4471">
        <v>4447</v>
      </c>
      <c r="C4471">
        <v>1</v>
      </c>
      <c r="D4471" s="17" t="s">
        <v>155</v>
      </c>
      <c r="E4471" s="17"/>
      <c r="F4471" s="17" t="s">
        <v>156</v>
      </c>
      <c r="G4471" s="17"/>
      <c r="H4471" s="17" t="s">
        <v>692</v>
      </c>
      <c r="I4471" s="17"/>
      <c r="J4471" s="17" t="s">
        <v>693</v>
      </c>
      <c r="K4471" s="17"/>
      <c r="L4471" s="17"/>
      <c r="M4471" s="17"/>
      <c r="N4471" s="17"/>
      <c r="O4471" s="17"/>
      <c r="P4471" s="17" t="s">
        <v>3097</v>
      </c>
      <c r="Q4471" s="17"/>
      <c r="R4471" s="25" t="str">
        <f>HYPERLINK("https://ictv.global/taxonomy/taxondetails?taxnode_id=202300477","Pbunavirus Ab28")</f>
        <v>Pbunavirus Ab28</v>
      </c>
      <c r="S4471" s="18" t="s">
        <v>30</v>
      </c>
      <c r="T4471" s="18" t="s">
        <v>3098</v>
      </c>
      <c r="U4471" s="18"/>
      <c r="V4471" s="18"/>
      <c r="W4471" s="18" t="s">
        <v>3099</v>
      </c>
      <c r="X4471" s="18" t="s">
        <v>42</v>
      </c>
      <c r="Y4471" s="18" t="s">
        <v>36</v>
      </c>
      <c r="Z4471" s="18" t="s">
        <v>697</v>
      </c>
      <c r="AA4471" s="21" t="str">
        <f>HYPERLINK("https://www.ncbi.nlm.nih.gov/nuccore/LN610589","NCBI Nucleotide")</f>
        <v>NCBI Nucleotide</v>
      </c>
    </row>
    <row r="4472" spans="1:27" x14ac:dyDescent="0.35">
      <c r="A4472">
        <v>1006242</v>
      </c>
      <c r="B4472">
        <v>4448</v>
      </c>
      <c r="C4472">
        <v>1</v>
      </c>
      <c r="D4472" s="17" t="s">
        <v>155</v>
      </c>
      <c r="E4472" s="17"/>
      <c r="F4472" s="17" t="s">
        <v>156</v>
      </c>
      <c r="G4472" s="17"/>
      <c r="H4472" s="17" t="s">
        <v>692</v>
      </c>
      <c r="I4472" s="17"/>
      <c r="J4472" s="17" t="s">
        <v>693</v>
      </c>
      <c r="K4472" s="17"/>
      <c r="L4472" s="17"/>
      <c r="M4472" s="17"/>
      <c r="N4472" s="17"/>
      <c r="O4472" s="17"/>
      <c r="P4472" s="17" t="s">
        <v>3097</v>
      </c>
      <c r="Q4472" s="17"/>
      <c r="R4472" s="25" t="str">
        <f>HYPERLINK("https://ictv.global/taxonomy/taxondetails?taxnode_id=202312812","Pbunavirus antinowhere")</f>
        <v>Pbunavirus antinowhere</v>
      </c>
      <c r="S4472" s="18" t="s">
        <v>30</v>
      </c>
      <c r="T4472" s="18" t="s">
        <v>3100</v>
      </c>
      <c r="U4472" s="18"/>
      <c r="V4472" s="18"/>
      <c r="W4472" s="18" t="s">
        <v>3101</v>
      </c>
      <c r="X4472" s="18" t="s">
        <v>42</v>
      </c>
      <c r="Y4472" s="18" t="s">
        <v>36</v>
      </c>
      <c r="Z4472" s="18" t="s">
        <v>697</v>
      </c>
      <c r="AA4472" s="21" t="str">
        <f>HYPERLINK("https://www.ncbi.nlm.nih.gov/nuccore/MT119374","NCBI Nucleotide")</f>
        <v>NCBI Nucleotide</v>
      </c>
    </row>
    <row r="4473" spans="1:27" x14ac:dyDescent="0.35">
      <c r="A4473">
        <v>1006243</v>
      </c>
      <c r="B4473">
        <v>4449</v>
      </c>
      <c r="C4473">
        <v>1</v>
      </c>
      <c r="D4473" s="17" t="s">
        <v>155</v>
      </c>
      <c r="E4473" s="17"/>
      <c r="F4473" s="17" t="s">
        <v>156</v>
      </c>
      <c r="G4473" s="17"/>
      <c r="H4473" s="17" t="s">
        <v>692</v>
      </c>
      <c r="I4473" s="17"/>
      <c r="J4473" s="17" t="s">
        <v>693</v>
      </c>
      <c r="K4473" s="17"/>
      <c r="L4473" s="17"/>
      <c r="M4473" s="17"/>
      <c r="N4473" s="17"/>
      <c r="O4473" s="17"/>
      <c r="P4473" s="17" t="s">
        <v>3097</v>
      </c>
      <c r="Q4473" s="17"/>
      <c r="R4473" s="25" t="str">
        <f>HYPERLINK("https://ictv.global/taxonomy/taxondetails?taxnode_id=202311575","Pbunavirus BrSP1")</f>
        <v>Pbunavirus BrSP1</v>
      </c>
      <c r="S4473" s="18" t="s">
        <v>30</v>
      </c>
      <c r="T4473" s="18" t="s">
        <v>3102</v>
      </c>
      <c r="U4473" s="18"/>
      <c r="V4473" s="18"/>
      <c r="W4473" s="18" t="s">
        <v>3103</v>
      </c>
      <c r="X4473" s="18" t="s">
        <v>42</v>
      </c>
      <c r="Y4473" s="18" t="s">
        <v>36</v>
      </c>
      <c r="Z4473" s="18" t="s">
        <v>697</v>
      </c>
      <c r="AA4473" s="21" t="str">
        <f>HYPERLINK("https://www.ncbi.nlm.nih.gov/nuccore/MF623055","NCBI Nucleotide")</f>
        <v>NCBI Nucleotide</v>
      </c>
    </row>
    <row r="4474" spans="1:27" x14ac:dyDescent="0.35">
      <c r="A4474">
        <v>1006244</v>
      </c>
      <c r="B4474">
        <v>4450</v>
      </c>
      <c r="C4474">
        <v>1</v>
      </c>
      <c r="D4474" s="17" t="s">
        <v>155</v>
      </c>
      <c r="E4474" s="17"/>
      <c r="F4474" s="17" t="s">
        <v>156</v>
      </c>
      <c r="G4474" s="17"/>
      <c r="H4474" s="17" t="s">
        <v>692</v>
      </c>
      <c r="I4474" s="17"/>
      <c r="J4474" s="17" t="s">
        <v>693</v>
      </c>
      <c r="K4474" s="17"/>
      <c r="L4474" s="17"/>
      <c r="M4474" s="17"/>
      <c r="N4474" s="17"/>
      <c r="O4474" s="17"/>
      <c r="P4474" s="17" t="s">
        <v>3097</v>
      </c>
      <c r="Q4474" s="17"/>
      <c r="R4474" s="25" t="str">
        <f>HYPERLINK("https://ictv.global/taxonomy/taxondetails?taxnode_id=202312813","Pbunavirus crassa")</f>
        <v>Pbunavirus crassa</v>
      </c>
      <c r="S4474" s="18" t="s">
        <v>30</v>
      </c>
      <c r="T4474" s="18" t="s">
        <v>3104</v>
      </c>
      <c r="U4474" s="18"/>
      <c r="V4474" s="18"/>
      <c r="W4474" s="18" t="s">
        <v>3105</v>
      </c>
      <c r="X4474" s="18" t="s">
        <v>42</v>
      </c>
      <c r="Y4474" s="18" t="s">
        <v>36</v>
      </c>
      <c r="Z4474" s="18" t="s">
        <v>697</v>
      </c>
      <c r="AA4474" s="21" t="str">
        <f>HYPERLINK("https://www.ncbi.nlm.nih.gov/nuccore/MT119377","NCBI Nucleotide")</f>
        <v>NCBI Nucleotide</v>
      </c>
    </row>
    <row r="4475" spans="1:27" x14ac:dyDescent="0.35">
      <c r="A4475">
        <v>1006245</v>
      </c>
      <c r="B4475">
        <v>4451</v>
      </c>
      <c r="C4475">
        <v>1</v>
      </c>
      <c r="D4475" s="17" t="s">
        <v>155</v>
      </c>
      <c r="E4475" s="17"/>
      <c r="F4475" s="17" t="s">
        <v>156</v>
      </c>
      <c r="G4475" s="17"/>
      <c r="H4475" s="17" t="s">
        <v>692</v>
      </c>
      <c r="I4475" s="17"/>
      <c r="J4475" s="17" t="s">
        <v>693</v>
      </c>
      <c r="K4475" s="17"/>
      <c r="L4475" s="17"/>
      <c r="M4475" s="17"/>
      <c r="N4475" s="17"/>
      <c r="O4475" s="17"/>
      <c r="P4475" s="17" t="s">
        <v>3097</v>
      </c>
      <c r="Q4475" s="17"/>
      <c r="R4475" s="25" t="str">
        <f>HYPERLINK("https://ictv.global/taxonomy/taxondetails?taxnode_id=202312806","Pbunavirus datas")</f>
        <v>Pbunavirus datas</v>
      </c>
      <c r="S4475" s="18" t="s">
        <v>30</v>
      </c>
      <c r="T4475" s="18" t="s">
        <v>3106</v>
      </c>
      <c r="U4475" s="18"/>
      <c r="V4475" s="18"/>
      <c r="W4475" s="18" t="s">
        <v>3107</v>
      </c>
      <c r="X4475" s="18" t="s">
        <v>42</v>
      </c>
      <c r="Y4475" s="18" t="s">
        <v>36</v>
      </c>
      <c r="Z4475" s="18" t="s">
        <v>697</v>
      </c>
      <c r="AA4475" s="21" t="str">
        <f>HYPERLINK("https://www.ncbi.nlm.nih.gov/nuccore/MT119378","NCBI Nucleotide")</f>
        <v>NCBI Nucleotide</v>
      </c>
    </row>
    <row r="4476" spans="1:27" x14ac:dyDescent="0.35">
      <c r="A4476">
        <v>1006246</v>
      </c>
      <c r="B4476">
        <v>4452</v>
      </c>
      <c r="C4476">
        <v>1</v>
      </c>
      <c r="D4476" s="17" t="s">
        <v>155</v>
      </c>
      <c r="E4476" s="17"/>
      <c r="F4476" s="17" t="s">
        <v>156</v>
      </c>
      <c r="G4476" s="17"/>
      <c r="H4476" s="17" t="s">
        <v>692</v>
      </c>
      <c r="I4476" s="17"/>
      <c r="J4476" s="17" t="s">
        <v>693</v>
      </c>
      <c r="K4476" s="17"/>
      <c r="L4476" s="17"/>
      <c r="M4476" s="17"/>
      <c r="N4476" s="17"/>
      <c r="O4476" s="17"/>
      <c r="P4476" s="17" t="s">
        <v>3097</v>
      </c>
      <c r="Q4476" s="17"/>
      <c r="R4476" s="25" t="str">
        <f>HYPERLINK("https://ictv.global/taxonomy/taxondetails?taxnode_id=202300478","Pbunavirus DL60")</f>
        <v>Pbunavirus DL60</v>
      </c>
      <c r="S4476" s="18" t="s">
        <v>30</v>
      </c>
      <c r="T4476" s="18" t="s">
        <v>3108</v>
      </c>
      <c r="U4476" s="18"/>
      <c r="V4476" s="18"/>
      <c r="W4476" s="18" t="s">
        <v>3109</v>
      </c>
      <c r="X4476" s="18" t="s">
        <v>42</v>
      </c>
      <c r="Y4476" s="18" t="s">
        <v>36</v>
      </c>
      <c r="Z4476" s="18" t="s">
        <v>697</v>
      </c>
      <c r="AA4476" s="21" t="str">
        <f>HYPERLINK("https://www.ncbi.nlm.nih.gov/nuccore/KR054030","NCBI Nucleotide")</f>
        <v>NCBI Nucleotide</v>
      </c>
    </row>
    <row r="4477" spans="1:27" x14ac:dyDescent="0.35">
      <c r="A4477">
        <v>1006247</v>
      </c>
      <c r="B4477">
        <v>4453</v>
      </c>
      <c r="C4477">
        <v>1</v>
      </c>
      <c r="D4477" s="17" t="s">
        <v>155</v>
      </c>
      <c r="E4477" s="17"/>
      <c r="F4477" s="17" t="s">
        <v>156</v>
      </c>
      <c r="G4477" s="17"/>
      <c r="H4477" s="17" t="s">
        <v>692</v>
      </c>
      <c r="I4477" s="17"/>
      <c r="J4477" s="17" t="s">
        <v>693</v>
      </c>
      <c r="K4477" s="17"/>
      <c r="L4477" s="17"/>
      <c r="M4477" s="17"/>
      <c r="N4477" s="17"/>
      <c r="O4477" s="17"/>
      <c r="P4477" s="17" t="s">
        <v>3097</v>
      </c>
      <c r="Q4477" s="17"/>
      <c r="R4477" s="25" t="str">
        <f>HYPERLINK("https://ictv.global/taxonomy/taxondetails?taxnode_id=202307023","Pbunavirus DP1")</f>
        <v>Pbunavirus DP1</v>
      </c>
      <c r="S4477" s="18" t="s">
        <v>30</v>
      </c>
      <c r="T4477" s="18" t="s">
        <v>3110</v>
      </c>
      <c r="U4477" s="18"/>
      <c r="V4477" s="18"/>
      <c r="W4477" s="18" t="s">
        <v>3111</v>
      </c>
      <c r="X4477" s="18" t="s">
        <v>42</v>
      </c>
      <c r="Y4477" s="18" t="s">
        <v>36</v>
      </c>
      <c r="Z4477" s="18" t="s">
        <v>697</v>
      </c>
      <c r="AA4477" s="21" t="str">
        <f>HYPERLINK("https://www.ncbi.nlm.nih.gov/nuccore/KR869157","NCBI Nucleotide")</f>
        <v>NCBI Nucleotide</v>
      </c>
    </row>
    <row r="4478" spans="1:27" x14ac:dyDescent="0.35">
      <c r="A4478">
        <v>1006248</v>
      </c>
      <c r="B4478">
        <v>4454</v>
      </c>
      <c r="C4478">
        <v>1</v>
      </c>
      <c r="D4478" s="17" t="s">
        <v>155</v>
      </c>
      <c r="E4478" s="17"/>
      <c r="F4478" s="17" t="s">
        <v>156</v>
      </c>
      <c r="G4478" s="17"/>
      <c r="H4478" s="17" t="s">
        <v>692</v>
      </c>
      <c r="I4478" s="17"/>
      <c r="J4478" s="17" t="s">
        <v>693</v>
      </c>
      <c r="K4478" s="17"/>
      <c r="L4478" s="17"/>
      <c r="M4478" s="17"/>
      <c r="N4478" s="17"/>
      <c r="O4478" s="17"/>
      <c r="P4478" s="17" t="s">
        <v>3097</v>
      </c>
      <c r="Q4478" s="17"/>
      <c r="R4478" s="25" t="str">
        <f>HYPERLINK("https://ictv.global/taxonomy/taxondetails?taxnode_id=202307024","Pbunavirus E215")</f>
        <v>Pbunavirus E215</v>
      </c>
      <c r="S4478" s="18" t="s">
        <v>30</v>
      </c>
      <c r="T4478" s="18" t="s">
        <v>3112</v>
      </c>
      <c r="U4478" s="18"/>
      <c r="V4478" s="18"/>
      <c r="W4478" s="18" t="s">
        <v>3113</v>
      </c>
      <c r="X4478" s="18" t="s">
        <v>42</v>
      </c>
      <c r="Y4478" s="18" t="s">
        <v>36</v>
      </c>
      <c r="Z4478" s="18" t="s">
        <v>697</v>
      </c>
      <c r="AA4478" s="21" t="str">
        <f>HYPERLINK("https://www.ncbi.nlm.nih.gov/nuccore/MF490241","NCBI Nucleotide")</f>
        <v>NCBI Nucleotide</v>
      </c>
    </row>
    <row r="4479" spans="1:27" x14ac:dyDescent="0.35">
      <c r="A4479">
        <v>1006249</v>
      </c>
      <c r="B4479">
        <v>4455</v>
      </c>
      <c r="C4479">
        <v>1</v>
      </c>
      <c r="D4479" s="17" t="s">
        <v>155</v>
      </c>
      <c r="E4479" s="17"/>
      <c r="F4479" s="17" t="s">
        <v>156</v>
      </c>
      <c r="G4479" s="17"/>
      <c r="H4479" s="17" t="s">
        <v>692</v>
      </c>
      <c r="I4479" s="17"/>
      <c r="J4479" s="17" t="s">
        <v>693</v>
      </c>
      <c r="K4479" s="17"/>
      <c r="L4479" s="17"/>
      <c r="M4479" s="17"/>
      <c r="N4479" s="17"/>
      <c r="O4479" s="17"/>
      <c r="P4479" s="17" t="s">
        <v>3097</v>
      </c>
      <c r="Q4479" s="17"/>
      <c r="R4479" s="25" t="str">
        <f>HYPERLINK("https://ictv.global/taxonomy/taxondetails?taxnode_id=202307025","Pbunavirus E217")</f>
        <v>Pbunavirus E217</v>
      </c>
      <c r="S4479" s="18" t="s">
        <v>30</v>
      </c>
      <c r="T4479" s="18" t="s">
        <v>3114</v>
      </c>
      <c r="U4479" s="18"/>
      <c r="V4479" s="18"/>
      <c r="W4479" s="18" t="s">
        <v>3115</v>
      </c>
      <c r="X4479" s="18" t="s">
        <v>42</v>
      </c>
      <c r="Y4479" s="18" t="s">
        <v>36</v>
      </c>
      <c r="Z4479" s="18" t="s">
        <v>697</v>
      </c>
      <c r="AA4479" s="21" t="str">
        <f>HYPERLINK("https://www.ncbi.nlm.nih.gov/nuccore/MF490240","NCBI Nucleotide")</f>
        <v>NCBI Nucleotide</v>
      </c>
    </row>
    <row r="4480" spans="1:27" x14ac:dyDescent="0.35">
      <c r="A4480">
        <v>1006252</v>
      </c>
      <c r="B4480">
        <v>4456</v>
      </c>
      <c r="C4480">
        <v>1</v>
      </c>
      <c r="D4480" s="17" t="s">
        <v>155</v>
      </c>
      <c r="E4480" s="17"/>
      <c r="F4480" s="17" t="s">
        <v>156</v>
      </c>
      <c r="G4480" s="17"/>
      <c r="H4480" s="17" t="s">
        <v>692</v>
      </c>
      <c r="I4480" s="17"/>
      <c r="J4480" s="17" t="s">
        <v>693</v>
      </c>
      <c r="K4480" s="17"/>
      <c r="L4480" s="17"/>
      <c r="M4480" s="17"/>
      <c r="N4480" s="17"/>
      <c r="O4480" s="17"/>
      <c r="P4480" s="17" t="s">
        <v>3097</v>
      </c>
      <c r="Q4480" s="17"/>
      <c r="R4480" s="25" t="str">
        <f>HYPERLINK("https://ictv.global/taxonomy/taxondetails?taxnode_id=202312807","Pbunavirus Epa7")</f>
        <v>Pbunavirus Epa7</v>
      </c>
      <c r="S4480" s="18" t="s">
        <v>30</v>
      </c>
      <c r="T4480" s="18" t="s">
        <v>3120</v>
      </c>
      <c r="U4480" s="18"/>
      <c r="V4480" s="18"/>
      <c r="W4480" s="18" t="s">
        <v>3121</v>
      </c>
      <c r="X4480" s="18" t="s">
        <v>42</v>
      </c>
      <c r="Y4480" s="18" t="s">
        <v>36</v>
      </c>
      <c r="Z4480" s="18" t="s">
        <v>697</v>
      </c>
      <c r="AA4480" s="21" t="str">
        <f>HYPERLINK("https://www.ncbi.nlm.nih.gov/nuccore/MT118289","NCBI Nucleotide")</f>
        <v>NCBI Nucleotide</v>
      </c>
    </row>
    <row r="4481" spans="1:27" x14ac:dyDescent="0.35">
      <c r="A4481">
        <v>1006250</v>
      </c>
      <c r="B4481">
        <v>4457</v>
      </c>
      <c r="C4481">
        <v>1</v>
      </c>
      <c r="D4481" s="17" t="s">
        <v>155</v>
      </c>
      <c r="E4481" s="17"/>
      <c r="F4481" s="17" t="s">
        <v>156</v>
      </c>
      <c r="G4481" s="17"/>
      <c r="H4481" s="17" t="s">
        <v>692</v>
      </c>
      <c r="I4481" s="17"/>
      <c r="J4481" s="17" t="s">
        <v>693</v>
      </c>
      <c r="K4481" s="17"/>
      <c r="L4481" s="17"/>
      <c r="M4481" s="17"/>
      <c r="N4481" s="17"/>
      <c r="O4481" s="17"/>
      <c r="P4481" s="17" t="s">
        <v>3097</v>
      </c>
      <c r="Q4481" s="17"/>
      <c r="R4481" s="25" t="str">
        <f>HYPERLINK("https://ictv.global/taxonomy/taxondetails?taxnode_id=202312816","Pbunavirus Epa14")</f>
        <v>Pbunavirus Epa14</v>
      </c>
      <c r="S4481" s="18" t="s">
        <v>30</v>
      </c>
      <c r="T4481" s="18" t="s">
        <v>3116</v>
      </c>
      <c r="U4481" s="18"/>
      <c r="V4481" s="18"/>
      <c r="W4481" s="18" t="s">
        <v>3117</v>
      </c>
      <c r="X4481" s="18" t="s">
        <v>42</v>
      </c>
      <c r="Y4481" s="18" t="s">
        <v>36</v>
      </c>
      <c r="Z4481" s="18" t="s">
        <v>697</v>
      </c>
      <c r="AA4481" s="21" t="str">
        <f>HYPERLINK("https://www.ncbi.nlm.nih.gov/nuccore/MT118293","NCBI Nucleotide")</f>
        <v>NCBI Nucleotide</v>
      </c>
    </row>
    <row r="4482" spans="1:27" x14ac:dyDescent="0.35">
      <c r="A4482">
        <v>1006251</v>
      </c>
      <c r="B4482">
        <v>4458</v>
      </c>
      <c r="C4482">
        <v>1</v>
      </c>
      <c r="D4482" s="17" t="s">
        <v>155</v>
      </c>
      <c r="E4482" s="17"/>
      <c r="F4482" s="17" t="s">
        <v>156</v>
      </c>
      <c r="G4482" s="17"/>
      <c r="H4482" s="17" t="s">
        <v>692</v>
      </c>
      <c r="I4482" s="17"/>
      <c r="J4482" s="17" t="s">
        <v>693</v>
      </c>
      <c r="K4482" s="17"/>
      <c r="L4482" s="17"/>
      <c r="M4482" s="17"/>
      <c r="N4482" s="17"/>
      <c r="O4482" s="17"/>
      <c r="P4482" s="17" t="s">
        <v>3097</v>
      </c>
      <c r="Q4482" s="17"/>
      <c r="R4482" s="25" t="str">
        <f>HYPERLINK("https://ictv.global/taxonomy/taxondetails?taxnode_id=202311572","Pbunavirus EPa61")</f>
        <v>Pbunavirus EPa61</v>
      </c>
      <c r="S4482" s="18" t="s">
        <v>30</v>
      </c>
      <c r="T4482" s="18" t="s">
        <v>3118</v>
      </c>
      <c r="U4482" s="18"/>
      <c r="V4482" s="18"/>
      <c r="W4482" s="18" t="s">
        <v>3119</v>
      </c>
      <c r="X4482" s="18" t="s">
        <v>42</v>
      </c>
      <c r="Y4482" s="18" t="s">
        <v>36</v>
      </c>
      <c r="Z4482" s="18" t="s">
        <v>697</v>
      </c>
      <c r="AA4482" s="21" t="str">
        <f>HYPERLINK("https://www.ncbi.nlm.nih.gov/nuccore/MK317959","NCBI Nucleotide")</f>
        <v>NCBI Nucleotide</v>
      </c>
    </row>
    <row r="4483" spans="1:27" x14ac:dyDescent="0.35">
      <c r="A4483">
        <v>1006253</v>
      </c>
      <c r="B4483">
        <v>4459</v>
      </c>
      <c r="C4483">
        <v>1</v>
      </c>
      <c r="D4483" s="17" t="s">
        <v>155</v>
      </c>
      <c r="E4483" s="17"/>
      <c r="F4483" s="17" t="s">
        <v>156</v>
      </c>
      <c r="G4483" s="17"/>
      <c r="H4483" s="17" t="s">
        <v>692</v>
      </c>
      <c r="I4483" s="17"/>
      <c r="J4483" s="17" t="s">
        <v>693</v>
      </c>
      <c r="K4483" s="17"/>
      <c r="L4483" s="17"/>
      <c r="M4483" s="17"/>
      <c r="N4483" s="17"/>
      <c r="O4483" s="17"/>
      <c r="P4483" s="17" t="s">
        <v>3097</v>
      </c>
      <c r="Q4483" s="17"/>
      <c r="R4483" s="25" t="str">
        <f>HYPERLINK("https://ictv.global/taxonomy/taxondetails?taxnode_id=202300480","Pbunavirus F8")</f>
        <v>Pbunavirus F8</v>
      </c>
      <c r="S4483" s="18" t="s">
        <v>30</v>
      </c>
      <c r="T4483" s="18" t="s">
        <v>3122</v>
      </c>
      <c r="U4483" s="18"/>
      <c r="V4483" s="18"/>
      <c r="W4483" s="18" t="s">
        <v>3123</v>
      </c>
      <c r="X4483" s="18" t="s">
        <v>42</v>
      </c>
      <c r="Y4483" s="18" t="s">
        <v>36</v>
      </c>
      <c r="Z4483" s="18" t="s">
        <v>697</v>
      </c>
      <c r="AA4483" s="21" t="str">
        <f>HYPERLINK("https://www.ncbi.nlm.nih.gov/nuccore/DQ163917","NCBI Nucleotide")</f>
        <v>NCBI Nucleotide</v>
      </c>
    </row>
    <row r="4484" spans="1:27" x14ac:dyDescent="0.35">
      <c r="A4484">
        <v>1006254</v>
      </c>
      <c r="B4484">
        <v>4460</v>
      </c>
      <c r="C4484">
        <v>1</v>
      </c>
      <c r="D4484" s="17" t="s">
        <v>155</v>
      </c>
      <c r="E4484" s="17"/>
      <c r="F4484" s="17" t="s">
        <v>156</v>
      </c>
      <c r="G4484" s="17"/>
      <c r="H4484" s="17" t="s">
        <v>692</v>
      </c>
      <c r="I4484" s="17"/>
      <c r="J4484" s="17" t="s">
        <v>693</v>
      </c>
      <c r="K4484" s="17"/>
      <c r="L4484" s="17"/>
      <c r="M4484" s="17"/>
      <c r="N4484" s="17"/>
      <c r="O4484" s="17"/>
      <c r="P4484" s="17" t="s">
        <v>3097</v>
      </c>
      <c r="Q4484" s="17"/>
      <c r="R4484" s="25" t="str">
        <f>HYPERLINK("https://ictv.global/taxonomy/taxondetails?taxnode_id=202300482","Pbunavirus KPP12")</f>
        <v>Pbunavirus KPP12</v>
      </c>
      <c r="S4484" s="18" t="s">
        <v>30</v>
      </c>
      <c r="T4484" s="18" t="s">
        <v>3124</v>
      </c>
      <c r="U4484" s="18"/>
      <c r="V4484" s="18"/>
      <c r="W4484" s="18" t="s">
        <v>3125</v>
      </c>
      <c r="X4484" s="18" t="s">
        <v>42</v>
      </c>
      <c r="Y4484" s="18" t="s">
        <v>36</v>
      </c>
      <c r="Z4484" s="18" t="s">
        <v>697</v>
      </c>
      <c r="AA4484" s="21" t="str">
        <f>HYPERLINK("https://www.ncbi.nlm.nih.gov/nuccore/AB560486","NCBI Nucleotide")</f>
        <v>NCBI Nucleotide</v>
      </c>
    </row>
    <row r="4485" spans="1:27" x14ac:dyDescent="0.35">
      <c r="A4485">
        <v>1006255</v>
      </c>
      <c r="B4485">
        <v>4461</v>
      </c>
      <c r="C4485">
        <v>1</v>
      </c>
      <c r="D4485" s="17" t="s">
        <v>155</v>
      </c>
      <c r="E4485" s="17"/>
      <c r="F4485" s="17" t="s">
        <v>156</v>
      </c>
      <c r="G4485" s="17"/>
      <c r="H4485" s="17" t="s">
        <v>692</v>
      </c>
      <c r="I4485" s="17"/>
      <c r="J4485" s="17" t="s">
        <v>693</v>
      </c>
      <c r="K4485" s="17"/>
      <c r="L4485" s="17"/>
      <c r="M4485" s="17"/>
      <c r="N4485" s="17"/>
      <c r="O4485" s="17"/>
      <c r="P4485" s="17" t="s">
        <v>3097</v>
      </c>
      <c r="Q4485" s="17"/>
      <c r="R4485" s="25" t="str">
        <f>HYPERLINK("https://ictv.global/taxonomy/taxondetails?taxnode_id=202307021","Pbunavirus KTN6")</f>
        <v>Pbunavirus KTN6</v>
      </c>
      <c r="S4485" s="18" t="s">
        <v>30</v>
      </c>
      <c r="T4485" s="18" t="s">
        <v>3126</v>
      </c>
      <c r="U4485" s="18"/>
      <c r="V4485" s="18"/>
      <c r="W4485" s="18" t="s">
        <v>3127</v>
      </c>
      <c r="X4485" s="18" t="s">
        <v>42</v>
      </c>
      <c r="Y4485" s="18" t="s">
        <v>36</v>
      </c>
      <c r="Z4485" s="18" t="s">
        <v>697</v>
      </c>
      <c r="AA4485" s="21" t="str">
        <f>HYPERLINK("https://www.ncbi.nlm.nih.gov/nuccore/KP340288","NCBI Nucleotide")</f>
        <v>NCBI Nucleotide</v>
      </c>
    </row>
    <row r="4486" spans="1:27" x14ac:dyDescent="0.35">
      <c r="A4486">
        <v>1006256</v>
      </c>
      <c r="B4486">
        <v>4462</v>
      </c>
      <c r="C4486">
        <v>1</v>
      </c>
      <c r="D4486" s="17" t="s">
        <v>155</v>
      </c>
      <c r="E4486" s="17"/>
      <c r="F4486" s="17" t="s">
        <v>156</v>
      </c>
      <c r="G4486" s="17"/>
      <c r="H4486" s="17" t="s">
        <v>692</v>
      </c>
      <c r="I4486" s="17"/>
      <c r="J4486" s="17" t="s">
        <v>693</v>
      </c>
      <c r="K4486" s="17"/>
      <c r="L4486" s="17"/>
      <c r="M4486" s="17"/>
      <c r="N4486" s="17"/>
      <c r="O4486" s="17"/>
      <c r="P4486" s="17" t="s">
        <v>3097</v>
      </c>
      <c r="Q4486" s="17"/>
      <c r="R4486" s="25" t="str">
        <f>HYPERLINK("https://ictv.global/taxonomy/taxondetails?taxnode_id=202300483","Pbunavirus LBL3")</f>
        <v>Pbunavirus LBL3</v>
      </c>
      <c r="S4486" s="18" t="s">
        <v>30</v>
      </c>
      <c r="T4486" s="18" t="s">
        <v>3128</v>
      </c>
      <c r="U4486" s="18"/>
      <c r="V4486" s="18"/>
      <c r="W4486" s="18" t="s">
        <v>3129</v>
      </c>
      <c r="X4486" s="18" t="s">
        <v>42</v>
      </c>
      <c r="Y4486" s="18" t="s">
        <v>36</v>
      </c>
      <c r="Z4486" s="18" t="s">
        <v>697</v>
      </c>
      <c r="AA4486" s="21" t="str">
        <f>HYPERLINK("https://www.ncbi.nlm.nih.gov/nuccore/FM201281","NCBI Nucleotide")</f>
        <v>NCBI Nucleotide</v>
      </c>
    </row>
    <row r="4487" spans="1:27" x14ac:dyDescent="0.35">
      <c r="A4487">
        <v>1006257</v>
      </c>
      <c r="B4487">
        <v>4463</v>
      </c>
      <c r="C4487">
        <v>1</v>
      </c>
      <c r="D4487" s="17" t="s">
        <v>155</v>
      </c>
      <c r="E4487" s="17"/>
      <c r="F4487" s="17" t="s">
        <v>156</v>
      </c>
      <c r="G4487" s="17"/>
      <c r="H4487" s="17" t="s">
        <v>692</v>
      </c>
      <c r="I4487" s="17"/>
      <c r="J4487" s="17" t="s">
        <v>693</v>
      </c>
      <c r="K4487" s="17"/>
      <c r="L4487" s="17"/>
      <c r="M4487" s="17"/>
      <c r="N4487" s="17"/>
      <c r="O4487" s="17"/>
      <c r="P4487" s="17" t="s">
        <v>3097</v>
      </c>
      <c r="Q4487" s="17"/>
      <c r="R4487" s="25" t="str">
        <f>HYPERLINK("https://ictv.global/taxonomy/taxondetails?taxnode_id=202300484","Pbunavirus LMA2")</f>
        <v>Pbunavirus LMA2</v>
      </c>
      <c r="S4487" s="18" t="s">
        <v>30</v>
      </c>
      <c r="T4487" s="18" t="s">
        <v>3130</v>
      </c>
      <c r="U4487" s="18"/>
      <c r="V4487" s="18"/>
      <c r="W4487" s="18" t="s">
        <v>3131</v>
      </c>
      <c r="X4487" s="18" t="s">
        <v>42</v>
      </c>
      <c r="Y4487" s="18" t="s">
        <v>36</v>
      </c>
      <c r="Z4487" s="18" t="s">
        <v>697</v>
      </c>
      <c r="AA4487" s="21" t="str">
        <f>HYPERLINK("https://www.ncbi.nlm.nih.gov/nuccore/FM201282","NCBI Nucleotide")</f>
        <v>NCBI Nucleotide</v>
      </c>
    </row>
    <row r="4488" spans="1:27" x14ac:dyDescent="0.35">
      <c r="A4488">
        <v>1006258</v>
      </c>
      <c r="B4488">
        <v>4464</v>
      </c>
      <c r="C4488">
        <v>1</v>
      </c>
      <c r="D4488" s="17" t="s">
        <v>155</v>
      </c>
      <c r="E4488" s="17"/>
      <c r="F4488" s="17" t="s">
        <v>156</v>
      </c>
      <c r="G4488" s="17"/>
      <c r="H4488" s="17" t="s">
        <v>692</v>
      </c>
      <c r="I4488" s="17"/>
      <c r="J4488" s="17" t="s">
        <v>693</v>
      </c>
      <c r="K4488" s="17"/>
      <c r="L4488" s="17"/>
      <c r="M4488" s="17"/>
      <c r="N4488" s="17"/>
      <c r="O4488" s="17"/>
      <c r="P4488" s="17" t="s">
        <v>3097</v>
      </c>
      <c r="Q4488" s="17"/>
      <c r="R4488" s="25" t="str">
        <f>HYPERLINK("https://ictv.global/taxonomy/taxondetails?taxnode_id=202311577","Pbunavirus LS1")</f>
        <v>Pbunavirus LS1</v>
      </c>
      <c r="S4488" s="18" t="s">
        <v>30</v>
      </c>
      <c r="T4488" s="18" t="s">
        <v>3132</v>
      </c>
      <c r="U4488" s="18"/>
      <c r="V4488" s="18"/>
      <c r="W4488" s="18" t="s">
        <v>3133</v>
      </c>
      <c r="X4488" s="18" t="s">
        <v>42</v>
      </c>
      <c r="Y4488" s="18" t="s">
        <v>36</v>
      </c>
      <c r="Z4488" s="18" t="s">
        <v>697</v>
      </c>
      <c r="AA4488" s="21" t="str">
        <f>HYPERLINK("https://www.ncbi.nlm.nih.gov/nuccore/MG897799","NCBI Nucleotide")</f>
        <v>NCBI Nucleotide</v>
      </c>
    </row>
    <row r="4489" spans="1:27" x14ac:dyDescent="0.35">
      <c r="A4489">
        <v>1006259</v>
      </c>
      <c r="B4489">
        <v>4465</v>
      </c>
      <c r="C4489">
        <v>1</v>
      </c>
      <c r="D4489" s="17" t="s">
        <v>155</v>
      </c>
      <c r="E4489" s="17"/>
      <c r="F4489" s="17" t="s">
        <v>156</v>
      </c>
      <c r="G4489" s="17"/>
      <c r="H4489" s="17" t="s">
        <v>692</v>
      </c>
      <c r="I4489" s="17"/>
      <c r="J4489" s="17" t="s">
        <v>693</v>
      </c>
      <c r="K4489" s="17"/>
      <c r="L4489" s="17"/>
      <c r="M4489" s="17"/>
      <c r="N4489" s="17"/>
      <c r="O4489" s="17"/>
      <c r="P4489" s="17" t="s">
        <v>3097</v>
      </c>
      <c r="Q4489" s="17"/>
      <c r="R4489" s="25" t="str">
        <f>HYPERLINK("https://ictv.global/taxonomy/taxondetails?taxnode_id=202311576","Pbunavirus PA01")</f>
        <v>Pbunavirus PA01</v>
      </c>
      <c r="S4489" s="18" t="s">
        <v>30</v>
      </c>
      <c r="T4489" s="18" t="s">
        <v>3134</v>
      </c>
      <c r="U4489" s="18"/>
      <c r="V4489" s="18"/>
      <c r="W4489" s="18" t="s">
        <v>3135</v>
      </c>
      <c r="X4489" s="18" t="s">
        <v>42</v>
      </c>
      <c r="Y4489" s="18" t="s">
        <v>36</v>
      </c>
      <c r="Z4489" s="18" t="s">
        <v>697</v>
      </c>
      <c r="AA4489" s="21" t="str">
        <f>HYPERLINK("https://www.ncbi.nlm.nih.gov/nuccore/AP019535","NCBI Nucleotide")</f>
        <v>NCBI Nucleotide</v>
      </c>
    </row>
    <row r="4490" spans="1:27" x14ac:dyDescent="0.35">
      <c r="A4490">
        <v>1006261</v>
      </c>
      <c r="B4490">
        <v>4466</v>
      </c>
      <c r="C4490">
        <v>1</v>
      </c>
      <c r="D4490" s="17" t="s">
        <v>155</v>
      </c>
      <c r="E4490" s="17"/>
      <c r="F4490" s="17" t="s">
        <v>156</v>
      </c>
      <c r="G4490" s="17"/>
      <c r="H4490" s="17" t="s">
        <v>692</v>
      </c>
      <c r="I4490" s="17"/>
      <c r="J4490" s="17" t="s">
        <v>693</v>
      </c>
      <c r="K4490" s="17"/>
      <c r="L4490" s="17"/>
      <c r="M4490" s="17"/>
      <c r="N4490" s="17"/>
      <c r="O4490" s="17"/>
      <c r="P4490" s="17" t="s">
        <v>3097</v>
      </c>
      <c r="Q4490" s="17"/>
      <c r="R4490" s="25" t="str">
        <f>HYPERLINK("https://ictv.global/taxonomy/taxondetails?taxnode_id=202307022","Pbunavirus PA5")</f>
        <v>Pbunavirus PA5</v>
      </c>
      <c r="S4490" s="18" t="s">
        <v>30</v>
      </c>
      <c r="T4490" s="18" t="s">
        <v>3138</v>
      </c>
      <c r="U4490" s="18"/>
      <c r="V4490" s="18"/>
      <c r="W4490" s="18" t="s">
        <v>3139</v>
      </c>
      <c r="X4490" s="18" t="s">
        <v>42</v>
      </c>
      <c r="Y4490" s="18" t="s">
        <v>36</v>
      </c>
      <c r="Z4490" s="18" t="s">
        <v>697</v>
      </c>
      <c r="AA4490" s="21" t="str">
        <f>HYPERLINK("https://www.ncbi.nlm.nih.gov/nuccore/KY000082","NCBI Nucleotide")</f>
        <v>NCBI Nucleotide</v>
      </c>
    </row>
    <row r="4491" spans="1:27" x14ac:dyDescent="0.35">
      <c r="A4491">
        <v>1006260</v>
      </c>
      <c r="B4491">
        <v>4467</v>
      </c>
      <c r="C4491">
        <v>1</v>
      </c>
      <c r="D4491" s="17" t="s">
        <v>155</v>
      </c>
      <c r="E4491" s="17"/>
      <c r="F4491" s="17" t="s">
        <v>156</v>
      </c>
      <c r="G4491" s="17"/>
      <c r="H4491" s="17" t="s">
        <v>692</v>
      </c>
      <c r="I4491" s="17"/>
      <c r="J4491" s="17" t="s">
        <v>693</v>
      </c>
      <c r="K4491" s="17"/>
      <c r="L4491" s="17"/>
      <c r="M4491" s="17"/>
      <c r="N4491" s="17"/>
      <c r="O4491" s="17"/>
      <c r="P4491" s="17" t="s">
        <v>3097</v>
      </c>
      <c r="Q4491" s="17"/>
      <c r="R4491" s="25" t="str">
        <f>HYPERLINK("https://ictv.global/taxonomy/taxondetails?taxnode_id=202312809","Pbunavirus Pa193")</f>
        <v>Pbunavirus Pa193</v>
      </c>
      <c r="S4491" s="18" t="s">
        <v>30</v>
      </c>
      <c r="T4491" s="18" t="s">
        <v>3136</v>
      </c>
      <c r="U4491" s="18"/>
      <c r="V4491" s="18"/>
      <c r="W4491" s="18" t="s">
        <v>3137</v>
      </c>
      <c r="X4491" s="18" t="s">
        <v>42</v>
      </c>
      <c r="Y4491" s="18" t="s">
        <v>36</v>
      </c>
      <c r="Z4491" s="18" t="s">
        <v>697</v>
      </c>
      <c r="AA4491" s="21" t="str">
        <f>HYPERLINK("https://www.ncbi.nlm.nih.gov/nuccore/MK837009","NCBI Nucleotide")</f>
        <v>NCBI Nucleotide</v>
      </c>
    </row>
    <row r="4492" spans="1:27" x14ac:dyDescent="0.35">
      <c r="A4492">
        <v>1006262</v>
      </c>
      <c r="B4492">
        <v>4468</v>
      </c>
      <c r="C4492">
        <v>1</v>
      </c>
      <c r="D4492" s="17" t="s">
        <v>155</v>
      </c>
      <c r="E4492" s="17"/>
      <c r="F4492" s="17" t="s">
        <v>156</v>
      </c>
      <c r="G4492" s="17"/>
      <c r="H4492" s="17" t="s">
        <v>692</v>
      </c>
      <c r="I4492" s="17"/>
      <c r="J4492" s="17" t="s">
        <v>693</v>
      </c>
      <c r="K4492" s="17"/>
      <c r="L4492" s="17"/>
      <c r="M4492" s="17"/>
      <c r="N4492" s="17"/>
      <c r="O4492" s="17"/>
      <c r="P4492" s="17" t="s">
        <v>3097</v>
      </c>
      <c r="Q4492" s="17"/>
      <c r="R4492" s="25" t="str">
        <f>HYPERLINK("https://ictv.global/taxonomy/taxondetails?taxnode_id=202311579","Pbunavirus PA8P1")</f>
        <v>Pbunavirus PA8P1</v>
      </c>
      <c r="S4492" s="18" t="s">
        <v>30</v>
      </c>
      <c r="T4492" s="18" t="s">
        <v>3140</v>
      </c>
      <c r="U4492" s="18"/>
      <c r="V4492" s="18"/>
      <c r="W4492" s="18" t="s">
        <v>3141</v>
      </c>
      <c r="X4492" s="18" t="s">
        <v>42</v>
      </c>
      <c r="Y4492" s="18" t="s">
        <v>36</v>
      </c>
      <c r="Z4492" s="18" t="s">
        <v>697</v>
      </c>
      <c r="AA4492" s="21" t="str">
        <f>HYPERLINK("https://www.ncbi.nlm.nih.gov/nuccore/MN131142","NCBI Nucleotide")</f>
        <v>NCBI Nucleotide</v>
      </c>
    </row>
    <row r="4493" spans="1:27" x14ac:dyDescent="0.35">
      <c r="A4493">
        <v>1006263</v>
      </c>
      <c r="B4493">
        <v>4469</v>
      </c>
      <c r="C4493">
        <v>1</v>
      </c>
      <c r="D4493" s="17" t="s">
        <v>155</v>
      </c>
      <c r="E4493" s="17"/>
      <c r="F4493" s="17" t="s">
        <v>156</v>
      </c>
      <c r="G4493" s="17"/>
      <c r="H4493" s="17" t="s">
        <v>692</v>
      </c>
      <c r="I4493" s="17"/>
      <c r="J4493" s="17" t="s">
        <v>693</v>
      </c>
      <c r="K4493" s="17"/>
      <c r="L4493" s="17"/>
      <c r="M4493" s="17"/>
      <c r="N4493" s="17"/>
      <c r="O4493" s="17"/>
      <c r="P4493" s="17" t="s">
        <v>3097</v>
      </c>
      <c r="Q4493" s="17"/>
      <c r="R4493" s="25" t="str">
        <f>HYPERLINK("https://ictv.global/taxonomy/taxondetails?taxnode_id=202312808","Pbunavirus PaGU11")</f>
        <v>Pbunavirus PaGU11</v>
      </c>
      <c r="S4493" s="18" t="s">
        <v>30</v>
      </c>
      <c r="T4493" s="18" t="s">
        <v>3142</v>
      </c>
      <c r="U4493" s="18"/>
      <c r="V4493" s="18"/>
      <c r="W4493" s="18" t="s">
        <v>3143</v>
      </c>
      <c r="X4493" s="18" t="s">
        <v>42</v>
      </c>
      <c r="Y4493" s="18" t="s">
        <v>36</v>
      </c>
      <c r="Z4493" s="18" t="s">
        <v>697</v>
      </c>
      <c r="AA4493" s="21" t="str">
        <f>HYPERLINK("https://www.ncbi.nlm.nih.gov/nuccore/AP018815","NCBI Nucleotide")</f>
        <v>NCBI Nucleotide</v>
      </c>
    </row>
    <row r="4494" spans="1:27" x14ac:dyDescent="0.35">
      <c r="A4494">
        <v>1006264</v>
      </c>
      <c r="B4494">
        <v>4470</v>
      </c>
      <c r="C4494">
        <v>1</v>
      </c>
      <c r="D4494" s="17" t="s">
        <v>155</v>
      </c>
      <c r="E4494" s="17"/>
      <c r="F4494" s="17" t="s">
        <v>156</v>
      </c>
      <c r="G4494" s="17"/>
      <c r="H4494" s="17" t="s">
        <v>692</v>
      </c>
      <c r="I4494" s="17"/>
      <c r="J4494" s="17" t="s">
        <v>693</v>
      </c>
      <c r="K4494" s="17"/>
      <c r="L4494" s="17"/>
      <c r="M4494" s="17"/>
      <c r="N4494" s="17"/>
      <c r="O4494" s="17"/>
      <c r="P4494" s="17" t="s">
        <v>3097</v>
      </c>
      <c r="Q4494" s="17"/>
      <c r="R4494" s="25" t="str">
        <f>HYPERLINK("https://ictv.global/taxonomy/taxondetails?taxnode_id=202300485","Pbunavirus PB1")</f>
        <v>Pbunavirus PB1</v>
      </c>
      <c r="S4494" s="18" t="s">
        <v>30</v>
      </c>
      <c r="T4494" s="18" t="s">
        <v>3144</v>
      </c>
      <c r="U4494" s="18"/>
      <c r="V4494" s="18"/>
      <c r="W4494" s="18" t="s">
        <v>3145</v>
      </c>
      <c r="X4494" s="18" t="s">
        <v>42</v>
      </c>
      <c r="Y4494" s="18" t="s">
        <v>36</v>
      </c>
      <c r="Z4494" s="18" t="s">
        <v>697</v>
      </c>
      <c r="AA4494" s="21" t="str">
        <f>HYPERLINK("https://www.ncbi.nlm.nih.gov/nuccore/EU716414","NCBI Nucleotide")</f>
        <v>NCBI Nucleotide</v>
      </c>
    </row>
    <row r="4495" spans="1:27" x14ac:dyDescent="0.35">
      <c r="A4495">
        <v>1006265</v>
      </c>
      <c r="B4495">
        <v>4471</v>
      </c>
      <c r="C4495">
        <v>1</v>
      </c>
      <c r="D4495" s="17" t="s">
        <v>155</v>
      </c>
      <c r="E4495" s="17"/>
      <c r="F4495" s="17" t="s">
        <v>156</v>
      </c>
      <c r="G4495" s="17"/>
      <c r="H4495" s="17" t="s">
        <v>692</v>
      </c>
      <c r="I4495" s="17"/>
      <c r="J4495" s="17" t="s">
        <v>693</v>
      </c>
      <c r="K4495" s="17"/>
      <c r="L4495" s="17"/>
      <c r="M4495" s="17"/>
      <c r="N4495" s="17"/>
      <c r="O4495" s="17"/>
      <c r="P4495" s="17" t="s">
        <v>3097</v>
      </c>
      <c r="Q4495" s="17"/>
      <c r="R4495" s="25" t="str">
        <f>HYPERLINK("https://ictv.global/taxonomy/taxondetails?taxnode_id=202307027","Pbunavirus PS44")</f>
        <v>Pbunavirus PS44</v>
      </c>
      <c r="S4495" s="18" t="s">
        <v>30</v>
      </c>
      <c r="T4495" s="18" t="s">
        <v>3146</v>
      </c>
      <c r="U4495" s="18"/>
      <c r="V4495" s="18"/>
      <c r="W4495" s="18" t="s">
        <v>3147</v>
      </c>
      <c r="X4495" s="18" t="s">
        <v>42</v>
      </c>
      <c r="Y4495" s="18" t="s">
        <v>36</v>
      </c>
      <c r="Z4495" s="18" t="s">
        <v>697</v>
      </c>
      <c r="AA4495" s="21" t="str">
        <f>HYPERLINK("https://www.ncbi.nlm.nih.gov/nuccore/KM434184","NCBI Nucleotide")</f>
        <v>NCBI Nucleotide</v>
      </c>
    </row>
    <row r="4496" spans="1:27" x14ac:dyDescent="0.35">
      <c r="A4496">
        <v>1006266</v>
      </c>
      <c r="B4496">
        <v>4472</v>
      </c>
      <c r="C4496">
        <v>1</v>
      </c>
      <c r="D4496" s="17" t="s">
        <v>155</v>
      </c>
      <c r="E4496" s="17"/>
      <c r="F4496" s="17" t="s">
        <v>156</v>
      </c>
      <c r="G4496" s="17"/>
      <c r="H4496" s="17" t="s">
        <v>692</v>
      </c>
      <c r="I4496" s="17"/>
      <c r="J4496" s="17" t="s">
        <v>693</v>
      </c>
      <c r="K4496" s="17"/>
      <c r="L4496" s="17"/>
      <c r="M4496" s="17"/>
      <c r="N4496" s="17"/>
      <c r="O4496" s="17"/>
      <c r="P4496" s="17" t="s">
        <v>3097</v>
      </c>
      <c r="Q4496" s="17"/>
      <c r="R4496" s="25" t="str">
        <f>HYPERLINK("https://ictv.global/taxonomy/taxondetails?taxnode_id=202300476","Pbunavirus pv141")</f>
        <v>Pbunavirus pv141</v>
      </c>
      <c r="S4496" s="18" t="s">
        <v>30</v>
      </c>
      <c r="T4496" s="18" t="s">
        <v>3148</v>
      </c>
      <c r="U4496" s="18"/>
      <c r="V4496" s="18"/>
      <c r="W4496" s="18" t="s">
        <v>3149</v>
      </c>
      <c r="X4496" s="18" t="s">
        <v>42</v>
      </c>
      <c r="Y4496" s="18" t="s">
        <v>36</v>
      </c>
      <c r="Z4496" s="18" t="s">
        <v>697</v>
      </c>
      <c r="AA4496" s="21" t="str">
        <f>HYPERLINK("https://www.ncbi.nlm.nih.gov/nuccore/FM897211","NCBI Nucleotide")</f>
        <v>NCBI Nucleotide</v>
      </c>
    </row>
    <row r="4497" spans="1:27" x14ac:dyDescent="0.35">
      <c r="A4497">
        <v>1006267</v>
      </c>
      <c r="B4497">
        <v>4473</v>
      </c>
      <c r="C4497">
        <v>1</v>
      </c>
      <c r="D4497" s="17" t="s">
        <v>155</v>
      </c>
      <c r="E4497" s="17"/>
      <c r="F4497" s="17" t="s">
        <v>156</v>
      </c>
      <c r="G4497" s="17"/>
      <c r="H4497" s="17" t="s">
        <v>692</v>
      </c>
      <c r="I4497" s="17"/>
      <c r="J4497" s="17" t="s">
        <v>693</v>
      </c>
      <c r="K4497" s="17"/>
      <c r="L4497" s="17"/>
      <c r="M4497" s="17"/>
      <c r="N4497" s="17"/>
      <c r="O4497" s="17"/>
      <c r="P4497" s="17" t="s">
        <v>3097</v>
      </c>
      <c r="Q4497" s="17"/>
      <c r="R4497" s="25" t="str">
        <f>HYPERLINK("https://ictv.global/taxonomy/taxondetails?taxnode_id=202311580","Pbunavirus R12")</f>
        <v>Pbunavirus R12</v>
      </c>
      <c r="S4497" s="18" t="s">
        <v>30</v>
      </c>
      <c r="T4497" s="18" t="s">
        <v>3150</v>
      </c>
      <c r="U4497" s="18"/>
      <c r="V4497" s="18"/>
      <c r="W4497" s="18" t="s">
        <v>3151</v>
      </c>
      <c r="X4497" s="18" t="s">
        <v>42</v>
      </c>
      <c r="Y4497" s="18" t="s">
        <v>36</v>
      </c>
      <c r="Z4497" s="18" t="s">
        <v>697</v>
      </c>
      <c r="AA4497" s="21" t="str">
        <f>HYPERLINK("https://www.ncbi.nlm.nih.gov/nuccore/LC472881","NCBI Nucleotide")</f>
        <v>NCBI Nucleotide</v>
      </c>
    </row>
    <row r="4498" spans="1:27" x14ac:dyDescent="0.35">
      <c r="A4498">
        <v>1006268</v>
      </c>
      <c r="B4498">
        <v>4474</v>
      </c>
      <c r="C4498">
        <v>1</v>
      </c>
      <c r="D4498" s="17" t="s">
        <v>155</v>
      </c>
      <c r="E4498" s="17"/>
      <c r="F4498" s="17" t="s">
        <v>156</v>
      </c>
      <c r="G4498" s="17"/>
      <c r="H4498" s="17" t="s">
        <v>692</v>
      </c>
      <c r="I4498" s="17"/>
      <c r="J4498" s="17" t="s">
        <v>693</v>
      </c>
      <c r="K4498" s="17"/>
      <c r="L4498" s="17"/>
      <c r="M4498" s="17"/>
      <c r="N4498" s="17"/>
      <c r="O4498" s="17"/>
      <c r="P4498" s="17" t="s">
        <v>3097</v>
      </c>
      <c r="Q4498" s="17"/>
      <c r="R4498" s="25" t="str">
        <f>HYPERLINK("https://ictv.global/taxonomy/taxondetails?taxnode_id=202311574","Pbunavirus R26")</f>
        <v>Pbunavirus R26</v>
      </c>
      <c r="S4498" s="18" t="s">
        <v>30</v>
      </c>
      <c r="T4498" s="18" t="s">
        <v>3152</v>
      </c>
      <c r="U4498" s="18"/>
      <c r="V4498" s="18"/>
      <c r="W4498" s="18" t="s">
        <v>3153</v>
      </c>
      <c r="X4498" s="18" t="s">
        <v>42</v>
      </c>
      <c r="Y4498" s="18" t="s">
        <v>36</v>
      </c>
      <c r="Z4498" s="18" t="s">
        <v>697</v>
      </c>
      <c r="AA4498" s="21" t="str">
        <f>HYPERLINK("https://www.ncbi.nlm.nih.gov/nuccore/LC472882","NCBI Nucleotide")</f>
        <v>NCBI Nucleotide</v>
      </c>
    </row>
    <row r="4499" spans="1:27" x14ac:dyDescent="0.35">
      <c r="A4499">
        <v>1006269</v>
      </c>
      <c r="B4499">
        <v>4475</v>
      </c>
      <c r="C4499">
        <v>1</v>
      </c>
      <c r="D4499" s="17" t="s">
        <v>155</v>
      </c>
      <c r="E4499" s="17"/>
      <c r="F4499" s="17" t="s">
        <v>156</v>
      </c>
      <c r="G4499" s="17"/>
      <c r="H4499" s="17" t="s">
        <v>692</v>
      </c>
      <c r="I4499" s="17"/>
      <c r="J4499" s="17" t="s">
        <v>693</v>
      </c>
      <c r="K4499" s="17"/>
      <c r="L4499" s="17"/>
      <c r="M4499" s="17"/>
      <c r="N4499" s="17"/>
      <c r="O4499" s="17"/>
      <c r="P4499" s="17" t="s">
        <v>3097</v>
      </c>
      <c r="Q4499" s="17"/>
      <c r="R4499" s="25" t="str">
        <f>HYPERLINK("https://ictv.global/taxonomy/taxondetails?taxnode_id=202311573","Pbunavirus S1")</f>
        <v>Pbunavirus S1</v>
      </c>
      <c r="S4499" s="18" t="s">
        <v>30</v>
      </c>
      <c r="T4499" s="18" t="s">
        <v>3154</v>
      </c>
      <c r="U4499" s="18"/>
      <c r="V4499" s="18"/>
      <c r="W4499" s="18" t="s">
        <v>3155</v>
      </c>
      <c r="X4499" s="18" t="s">
        <v>42</v>
      </c>
      <c r="Y4499" s="18" t="s">
        <v>36</v>
      </c>
      <c r="Z4499" s="18" t="s">
        <v>697</v>
      </c>
      <c r="AA4499" s="21" t="str">
        <f>HYPERLINK("https://www.ncbi.nlm.nih.gov/nuccore/MK340760","NCBI Nucleotide")</f>
        <v>NCBI Nucleotide</v>
      </c>
    </row>
    <row r="4500" spans="1:27" x14ac:dyDescent="0.35">
      <c r="A4500">
        <v>1006270</v>
      </c>
      <c r="B4500">
        <v>4476</v>
      </c>
      <c r="C4500">
        <v>1</v>
      </c>
      <c r="D4500" s="17" t="s">
        <v>155</v>
      </c>
      <c r="E4500" s="17"/>
      <c r="F4500" s="17" t="s">
        <v>156</v>
      </c>
      <c r="G4500" s="17"/>
      <c r="H4500" s="17" t="s">
        <v>692</v>
      </c>
      <c r="I4500" s="17"/>
      <c r="J4500" s="17" t="s">
        <v>693</v>
      </c>
      <c r="K4500" s="17"/>
      <c r="L4500" s="17"/>
      <c r="M4500" s="17"/>
      <c r="N4500" s="17"/>
      <c r="O4500" s="17"/>
      <c r="P4500" s="17" t="s">
        <v>3097</v>
      </c>
      <c r="Q4500" s="17"/>
      <c r="R4500" s="25" t="str">
        <f>HYPERLINK("https://ictv.global/taxonomy/taxondetails?taxnode_id=202311578","Pbunavirus SL1")</f>
        <v>Pbunavirus SL1</v>
      </c>
      <c r="S4500" s="18" t="s">
        <v>30</v>
      </c>
      <c r="T4500" s="18" t="s">
        <v>3156</v>
      </c>
      <c r="U4500" s="18"/>
      <c r="V4500" s="18"/>
      <c r="W4500" s="18" t="s">
        <v>3157</v>
      </c>
      <c r="X4500" s="18" t="s">
        <v>42</v>
      </c>
      <c r="Y4500" s="18" t="s">
        <v>36</v>
      </c>
      <c r="Z4500" s="18" t="s">
        <v>697</v>
      </c>
      <c r="AA4500" s="21" t="str">
        <f>HYPERLINK("https://www.ncbi.nlm.nih.gov/nuccore/MF768470","NCBI Nucleotide")</f>
        <v>NCBI Nucleotide</v>
      </c>
    </row>
    <row r="4501" spans="1:27" x14ac:dyDescent="0.35">
      <c r="A4501">
        <v>1006271</v>
      </c>
      <c r="B4501">
        <v>4477</v>
      </c>
      <c r="C4501">
        <v>1</v>
      </c>
      <c r="D4501" s="17" t="s">
        <v>155</v>
      </c>
      <c r="E4501" s="17"/>
      <c r="F4501" s="17" t="s">
        <v>156</v>
      </c>
      <c r="G4501" s="17"/>
      <c r="H4501" s="17" t="s">
        <v>692</v>
      </c>
      <c r="I4501" s="17"/>
      <c r="J4501" s="17" t="s">
        <v>693</v>
      </c>
      <c r="K4501" s="17"/>
      <c r="L4501" s="17"/>
      <c r="M4501" s="17"/>
      <c r="N4501" s="17"/>
      <c r="O4501" s="17"/>
      <c r="P4501" s="17" t="s">
        <v>3097</v>
      </c>
      <c r="Q4501" s="17"/>
      <c r="R4501" s="25" t="str">
        <f>HYPERLINK("https://ictv.global/taxonomy/taxondetails?taxnode_id=202300486","Pbunavirus SN")</f>
        <v>Pbunavirus SN</v>
      </c>
      <c r="S4501" s="18" t="s">
        <v>30</v>
      </c>
      <c r="T4501" s="18" t="s">
        <v>3158</v>
      </c>
      <c r="U4501" s="18"/>
      <c r="V4501" s="18"/>
      <c r="W4501" s="18" t="s">
        <v>3159</v>
      </c>
      <c r="X4501" s="18" t="s">
        <v>42</v>
      </c>
      <c r="Y4501" s="18" t="s">
        <v>36</v>
      </c>
      <c r="Z4501" s="18" t="s">
        <v>697</v>
      </c>
      <c r="AA4501" s="21" t="str">
        <f>HYPERLINK("https://www.ncbi.nlm.nih.gov/nuccore/FM887021","NCBI Nucleotide")</f>
        <v>NCBI Nucleotide</v>
      </c>
    </row>
    <row r="4502" spans="1:27" x14ac:dyDescent="0.35">
      <c r="A4502">
        <v>1006272</v>
      </c>
      <c r="B4502">
        <v>4478</v>
      </c>
      <c r="C4502">
        <v>1</v>
      </c>
      <c r="D4502" s="17" t="s">
        <v>155</v>
      </c>
      <c r="E4502" s="17"/>
      <c r="F4502" s="17" t="s">
        <v>156</v>
      </c>
      <c r="G4502" s="17"/>
      <c r="H4502" s="17" t="s">
        <v>692</v>
      </c>
      <c r="I4502" s="17"/>
      <c r="J4502" s="17" t="s">
        <v>693</v>
      </c>
      <c r="K4502" s="17"/>
      <c r="L4502" s="17"/>
      <c r="M4502" s="17"/>
      <c r="N4502" s="17"/>
      <c r="O4502" s="17"/>
      <c r="P4502" s="17" t="s">
        <v>3097</v>
      </c>
      <c r="Q4502" s="17"/>
      <c r="R4502" s="25" t="str">
        <f>HYPERLINK("https://ictv.global/taxonomy/taxondetails?taxnode_id=202312811","Pbunavirus USP1")</f>
        <v>Pbunavirus USP1</v>
      </c>
      <c r="S4502" s="18" t="s">
        <v>30</v>
      </c>
      <c r="T4502" s="18" t="s">
        <v>3160</v>
      </c>
      <c r="U4502" s="18"/>
      <c r="V4502" s="18"/>
      <c r="W4502" s="18" t="s">
        <v>3161</v>
      </c>
      <c r="X4502" s="18" t="s">
        <v>42</v>
      </c>
      <c r="Y4502" s="18" t="s">
        <v>36</v>
      </c>
      <c r="Z4502" s="18" t="s">
        <v>697</v>
      </c>
      <c r="AA4502" s="21" t="str">
        <f>HYPERLINK("https://www.ncbi.nlm.nih.gov/nuccore/MT491204","NCBI Nucleotide")</f>
        <v>NCBI Nucleotide</v>
      </c>
    </row>
    <row r="4503" spans="1:27" x14ac:dyDescent="0.35">
      <c r="A4503">
        <v>1006273</v>
      </c>
      <c r="B4503">
        <v>4479</v>
      </c>
      <c r="C4503">
        <v>1</v>
      </c>
      <c r="D4503" s="17" t="s">
        <v>155</v>
      </c>
      <c r="E4503" s="17"/>
      <c r="F4503" s="17" t="s">
        <v>156</v>
      </c>
      <c r="G4503" s="17"/>
      <c r="H4503" s="17" t="s">
        <v>692</v>
      </c>
      <c r="I4503" s="17"/>
      <c r="J4503" s="17" t="s">
        <v>693</v>
      </c>
      <c r="K4503" s="17"/>
      <c r="L4503" s="17"/>
      <c r="M4503" s="17"/>
      <c r="N4503" s="17"/>
      <c r="O4503" s="17"/>
      <c r="P4503" s="17" t="s">
        <v>3097</v>
      </c>
      <c r="Q4503" s="17"/>
      <c r="R4503" s="25" t="str">
        <f>HYPERLINK("https://ictv.global/taxonomy/taxondetails?taxnode_id=202300479","Pseudomonas virus DL68")</f>
        <v>Pseudomonas virus DL68</v>
      </c>
      <c r="S4503" s="18" t="s">
        <v>30</v>
      </c>
      <c r="T4503" s="18" t="s">
        <v>3162</v>
      </c>
      <c r="U4503" s="18"/>
      <c r="V4503" s="18"/>
      <c r="W4503" s="18" t="s">
        <v>3163</v>
      </c>
      <c r="X4503" s="18" t="s">
        <v>42</v>
      </c>
      <c r="Y4503" s="18" t="s">
        <v>36</v>
      </c>
      <c r="Z4503" s="18" t="s">
        <v>697</v>
      </c>
      <c r="AA4503" s="21" t="str">
        <f>HYPERLINK("https://www.ncbi.nlm.nih.gov/nuccore/KR054033","NCBI Nucleotide")</f>
        <v>NCBI Nucleotide</v>
      </c>
    </row>
    <row r="4504" spans="1:27" x14ac:dyDescent="0.35">
      <c r="A4504">
        <v>1006274</v>
      </c>
      <c r="B4504">
        <v>4480</v>
      </c>
      <c r="C4504">
        <v>1</v>
      </c>
      <c r="D4504" s="17" t="s">
        <v>155</v>
      </c>
      <c r="E4504" s="17"/>
      <c r="F4504" s="17" t="s">
        <v>156</v>
      </c>
      <c r="G4504" s="17"/>
      <c r="H4504" s="17" t="s">
        <v>692</v>
      </c>
      <c r="I4504" s="17"/>
      <c r="J4504" s="17" t="s">
        <v>693</v>
      </c>
      <c r="K4504" s="17"/>
      <c r="L4504" s="17"/>
      <c r="M4504" s="17"/>
      <c r="N4504" s="17"/>
      <c r="O4504" s="17"/>
      <c r="P4504" s="17" t="s">
        <v>3097</v>
      </c>
      <c r="Q4504" s="17"/>
      <c r="R4504" s="25" t="str">
        <f>HYPERLINK("https://ictv.global/taxonomy/taxondetails?taxnode_id=202300481","Pseudomonas virus JG024")</f>
        <v>Pseudomonas virus JG024</v>
      </c>
      <c r="S4504" s="18" t="s">
        <v>30</v>
      </c>
      <c r="T4504" s="18" t="s">
        <v>3164</v>
      </c>
      <c r="U4504" s="18"/>
      <c r="V4504" s="18"/>
      <c r="W4504" s="18" t="s">
        <v>3165</v>
      </c>
      <c r="X4504" s="18" t="s">
        <v>42</v>
      </c>
      <c r="Y4504" s="18" t="s">
        <v>36</v>
      </c>
      <c r="Z4504" s="18" t="s">
        <v>697</v>
      </c>
      <c r="AA4504" s="21" t="str">
        <f>HYPERLINK("https://www.ncbi.nlm.nih.gov/nuccore/GU815091","NCBI Nucleotide")</f>
        <v>NCBI Nucleotide</v>
      </c>
    </row>
    <row r="4505" spans="1:27" x14ac:dyDescent="0.35">
      <c r="A4505">
        <v>1006275</v>
      </c>
      <c r="B4505">
        <v>4481</v>
      </c>
      <c r="C4505">
        <v>1</v>
      </c>
      <c r="D4505" s="17" t="s">
        <v>155</v>
      </c>
      <c r="E4505" s="17"/>
      <c r="F4505" s="17" t="s">
        <v>156</v>
      </c>
      <c r="G4505" s="17"/>
      <c r="H4505" s="17" t="s">
        <v>692</v>
      </c>
      <c r="I4505" s="17"/>
      <c r="J4505" s="17" t="s">
        <v>693</v>
      </c>
      <c r="K4505" s="17"/>
      <c r="L4505" s="17"/>
      <c r="M4505" s="17"/>
      <c r="N4505" s="17"/>
      <c r="O4505" s="17"/>
      <c r="P4505" s="17" t="s">
        <v>3097</v>
      </c>
      <c r="Q4505" s="17"/>
      <c r="R4505" s="25" t="str">
        <f>HYPERLINK("https://ictv.global/taxonomy/taxondetails?taxnode_id=202307026","Pseudomonas virus NH4")</f>
        <v>Pseudomonas virus NH4</v>
      </c>
      <c r="S4505" s="18" t="s">
        <v>30</v>
      </c>
      <c r="T4505" s="18" t="s">
        <v>3166</v>
      </c>
      <c r="U4505" s="18"/>
      <c r="V4505" s="18"/>
      <c r="W4505" s="18" t="s">
        <v>3167</v>
      </c>
      <c r="X4505" s="18" t="s">
        <v>42</v>
      </c>
      <c r="Y4505" s="18" t="s">
        <v>36</v>
      </c>
      <c r="Z4505" s="18" t="s">
        <v>697</v>
      </c>
      <c r="AA4505" s="21" t="str">
        <f>HYPERLINK("https://www.ncbi.nlm.nih.gov/nuccore/JN254800","NCBI Nucleotide")</f>
        <v>NCBI Nucleotide</v>
      </c>
    </row>
    <row r="4506" spans="1:27" x14ac:dyDescent="0.35">
      <c r="A4506">
        <v>1006277</v>
      </c>
      <c r="B4506">
        <v>4482</v>
      </c>
      <c r="C4506">
        <v>1</v>
      </c>
      <c r="D4506" s="17" t="s">
        <v>155</v>
      </c>
      <c r="E4506" s="17"/>
      <c r="F4506" s="17" t="s">
        <v>156</v>
      </c>
      <c r="G4506" s="17"/>
      <c r="H4506" s="17" t="s">
        <v>692</v>
      </c>
      <c r="I4506" s="17"/>
      <c r="J4506" s="17" t="s">
        <v>693</v>
      </c>
      <c r="K4506" s="17"/>
      <c r="L4506" s="17"/>
      <c r="M4506" s="17"/>
      <c r="N4506" s="17"/>
      <c r="O4506" s="17"/>
      <c r="P4506" s="17" t="s">
        <v>3171</v>
      </c>
      <c r="Q4506" s="17"/>
      <c r="R4506" s="25" t="str">
        <f>HYPERLINK("https://ictv.global/taxonomy/taxondetails?taxnode_id=202311617","Pemunavirus PM1")</f>
        <v>Pemunavirus PM1</v>
      </c>
      <c r="S4506" s="18" t="s">
        <v>30</v>
      </c>
      <c r="T4506" s="18" t="s">
        <v>3172</v>
      </c>
      <c r="U4506" s="18"/>
      <c r="V4506" s="18"/>
      <c r="W4506" s="18" t="s">
        <v>3173</v>
      </c>
      <c r="X4506" s="18" t="s">
        <v>42</v>
      </c>
      <c r="Y4506" s="18" t="s">
        <v>36</v>
      </c>
      <c r="Z4506" s="18" t="s">
        <v>697</v>
      </c>
      <c r="AA4506" s="21" t="str">
        <f>HYPERLINK("https://www.ncbi.nlm.nih.gov/nuccore/AB711120","NCBI Nucleotide")</f>
        <v>NCBI Nucleotide</v>
      </c>
    </row>
    <row r="4507" spans="1:27" x14ac:dyDescent="0.35">
      <c r="A4507">
        <v>1006278</v>
      </c>
      <c r="B4507">
        <v>4483</v>
      </c>
      <c r="C4507">
        <v>1</v>
      </c>
      <c r="D4507" s="17" t="s">
        <v>155</v>
      </c>
      <c r="E4507" s="17"/>
      <c r="F4507" s="17" t="s">
        <v>156</v>
      </c>
      <c r="G4507" s="17"/>
      <c r="H4507" s="17" t="s">
        <v>692</v>
      </c>
      <c r="I4507" s="17"/>
      <c r="J4507" s="17" t="s">
        <v>693</v>
      </c>
      <c r="K4507" s="17"/>
      <c r="L4507" s="17"/>
      <c r="M4507" s="17"/>
      <c r="N4507" s="17"/>
      <c r="O4507" s="17"/>
      <c r="P4507" s="17" t="s">
        <v>3174</v>
      </c>
      <c r="Q4507" s="17"/>
      <c r="R4507" s="25" t="str">
        <f>HYPERLINK("https://ictv.global/taxonomy/taxondetails?taxnode_id=202301182","Pepyhexavirus pepy6")</f>
        <v>Pepyhexavirus pepy6</v>
      </c>
      <c r="S4507" s="18" t="s">
        <v>30</v>
      </c>
      <c r="T4507" s="18" t="s">
        <v>3175</v>
      </c>
      <c r="U4507" s="18"/>
      <c r="V4507" s="18"/>
      <c r="W4507" s="18" t="s">
        <v>3176</v>
      </c>
      <c r="X4507" s="18" t="s">
        <v>42</v>
      </c>
      <c r="Y4507" s="18" t="s">
        <v>36</v>
      </c>
      <c r="Z4507" s="18" t="s">
        <v>697</v>
      </c>
      <c r="AA4507" s="21" t="str">
        <f>HYPERLINK("https://www.ncbi.nlm.nih.gov/nuccore/GU580941","NCBI Nucleotide")</f>
        <v>NCBI Nucleotide</v>
      </c>
    </row>
    <row r="4508" spans="1:27" x14ac:dyDescent="0.35">
      <c r="A4508">
        <v>1006279</v>
      </c>
      <c r="B4508">
        <v>4484</v>
      </c>
      <c r="C4508">
        <v>1</v>
      </c>
      <c r="D4508" s="17" t="s">
        <v>155</v>
      </c>
      <c r="E4508" s="17"/>
      <c r="F4508" s="17" t="s">
        <v>156</v>
      </c>
      <c r="G4508" s="17"/>
      <c r="H4508" s="17" t="s">
        <v>692</v>
      </c>
      <c r="I4508" s="17"/>
      <c r="J4508" s="17" t="s">
        <v>693</v>
      </c>
      <c r="K4508" s="17"/>
      <c r="L4508" s="17"/>
      <c r="M4508" s="17"/>
      <c r="N4508" s="17"/>
      <c r="O4508" s="17"/>
      <c r="P4508" s="17" t="s">
        <v>3174</v>
      </c>
      <c r="Q4508" s="17"/>
      <c r="R4508" s="25" t="str">
        <f>HYPERLINK("https://ictv.global/taxonomy/taxondetails?taxnode_id=202301183","Pepyhexavirus poco6")</f>
        <v>Pepyhexavirus poco6</v>
      </c>
      <c r="S4508" s="18" t="s">
        <v>30</v>
      </c>
      <c r="T4508" s="18" t="s">
        <v>3177</v>
      </c>
      <c r="U4508" s="18"/>
      <c r="V4508" s="18"/>
      <c r="W4508" s="18" t="s">
        <v>3178</v>
      </c>
      <c r="X4508" s="18" t="s">
        <v>42</v>
      </c>
      <c r="Y4508" s="18" t="s">
        <v>36</v>
      </c>
      <c r="Z4508" s="18" t="s">
        <v>697</v>
      </c>
      <c r="AA4508" s="21" t="str">
        <f>HYPERLINK("https://www.ncbi.nlm.nih.gov/nuccore/GU580942","NCBI Nucleotide")</f>
        <v>NCBI Nucleotide</v>
      </c>
    </row>
    <row r="4509" spans="1:27" x14ac:dyDescent="0.35">
      <c r="A4509">
        <v>1006280</v>
      </c>
      <c r="B4509">
        <v>4485</v>
      </c>
      <c r="C4509">
        <v>1</v>
      </c>
      <c r="D4509" s="17" t="s">
        <v>155</v>
      </c>
      <c r="E4509" s="17"/>
      <c r="F4509" s="17" t="s">
        <v>156</v>
      </c>
      <c r="G4509" s="17"/>
      <c r="H4509" s="17" t="s">
        <v>692</v>
      </c>
      <c r="I4509" s="17"/>
      <c r="J4509" s="17" t="s">
        <v>693</v>
      </c>
      <c r="K4509" s="17"/>
      <c r="L4509" s="17"/>
      <c r="M4509" s="17"/>
      <c r="N4509" s="17"/>
      <c r="O4509" s="17"/>
      <c r="P4509" s="17" t="s">
        <v>3179</v>
      </c>
      <c r="Q4509" s="17"/>
      <c r="R4509" s="25" t="str">
        <f>HYPERLINK("https://ictv.global/taxonomy/taxondetails?taxnode_id=202300695","Perisivirus Pr")</f>
        <v>Perisivirus Pr</v>
      </c>
      <c r="S4509" s="18" t="s">
        <v>30</v>
      </c>
      <c r="T4509" s="18" t="s">
        <v>3180</v>
      </c>
      <c r="U4509" s="18"/>
      <c r="V4509" s="18"/>
      <c r="W4509" s="18" t="s">
        <v>3181</v>
      </c>
      <c r="X4509" s="18" t="s">
        <v>42</v>
      </c>
      <c r="Y4509" s="18" t="s">
        <v>36</v>
      </c>
      <c r="Z4509" s="18" t="s">
        <v>697</v>
      </c>
      <c r="AA4509" s="21" t="str">
        <f>HYPERLINK("https://www.ncbi.nlm.nih.gov/nuccore/JN939332","NCBI Nucleotide")</f>
        <v>NCBI Nucleotide</v>
      </c>
    </row>
    <row r="4510" spans="1:27" x14ac:dyDescent="0.35">
      <c r="A4510">
        <v>1006281</v>
      </c>
      <c r="B4510">
        <v>4486</v>
      </c>
      <c r="C4510">
        <v>1</v>
      </c>
      <c r="D4510" s="17" t="s">
        <v>155</v>
      </c>
      <c r="E4510" s="17"/>
      <c r="F4510" s="17" t="s">
        <v>156</v>
      </c>
      <c r="G4510" s="17"/>
      <c r="H4510" s="17" t="s">
        <v>692</v>
      </c>
      <c r="I4510" s="17"/>
      <c r="J4510" s="17" t="s">
        <v>693</v>
      </c>
      <c r="K4510" s="17"/>
      <c r="L4510" s="17"/>
      <c r="M4510" s="17"/>
      <c r="N4510" s="17"/>
      <c r="O4510" s="17"/>
      <c r="P4510" s="17" t="s">
        <v>3179</v>
      </c>
      <c r="Q4510" s="17"/>
      <c r="R4510" s="25" t="str">
        <f>HYPERLINK("https://ictv.global/taxonomy/taxondetails?taxnode_id=202300696","Perisivirus Tb")</f>
        <v>Perisivirus Tb</v>
      </c>
      <c r="S4510" s="18" t="s">
        <v>30</v>
      </c>
      <c r="T4510" s="18" t="s">
        <v>3182</v>
      </c>
      <c r="U4510" s="18"/>
      <c r="V4510" s="18"/>
      <c r="W4510" s="18" t="s">
        <v>3183</v>
      </c>
      <c r="X4510" s="18" t="s">
        <v>42</v>
      </c>
      <c r="Y4510" s="18" t="s">
        <v>36</v>
      </c>
      <c r="Z4510" s="18" t="s">
        <v>697</v>
      </c>
      <c r="AA4510" s="21" t="str">
        <f>HYPERLINK("https://www.ncbi.nlm.nih.gov/nuccore/JN939331","NCBI Nucleotide")</f>
        <v>NCBI Nucleotide</v>
      </c>
    </row>
    <row r="4511" spans="1:27" x14ac:dyDescent="0.35">
      <c r="A4511">
        <v>1006282</v>
      </c>
      <c r="B4511">
        <v>4487</v>
      </c>
      <c r="C4511">
        <v>1</v>
      </c>
      <c r="D4511" s="17" t="s">
        <v>155</v>
      </c>
      <c r="E4511" s="17"/>
      <c r="F4511" s="17" t="s">
        <v>156</v>
      </c>
      <c r="G4511" s="17"/>
      <c r="H4511" s="17" t="s">
        <v>692</v>
      </c>
      <c r="I4511" s="17"/>
      <c r="J4511" s="17" t="s">
        <v>693</v>
      </c>
      <c r="K4511" s="17"/>
      <c r="L4511" s="17"/>
      <c r="M4511" s="17"/>
      <c r="N4511" s="17"/>
      <c r="O4511" s="17"/>
      <c r="P4511" s="17" t="s">
        <v>3184</v>
      </c>
      <c r="Q4511" s="17"/>
      <c r="R4511" s="25" t="str">
        <f>HYPERLINK("https://ictv.global/taxonomy/taxondetails?taxnode_id=202314866","Persistencevirus persistence")</f>
        <v>Persistencevirus persistence</v>
      </c>
      <c r="S4511" s="18" t="s">
        <v>30</v>
      </c>
      <c r="T4511" s="18" t="s">
        <v>3185</v>
      </c>
      <c r="U4511" s="18"/>
      <c r="V4511" s="18"/>
      <c r="W4511" s="18" t="s">
        <v>3186</v>
      </c>
      <c r="X4511" s="18" t="s">
        <v>42</v>
      </c>
      <c r="Y4511" s="18" t="s">
        <v>36</v>
      </c>
      <c r="Z4511" s="18" t="s">
        <v>697</v>
      </c>
      <c r="AA4511" s="21" t="str">
        <f>HYPERLINK("https://www.ncbi.nlm.nih.gov/nuccore/MW712719","NCBI Nucleotide")</f>
        <v>NCBI Nucleotide</v>
      </c>
    </row>
    <row r="4512" spans="1:27" x14ac:dyDescent="0.35">
      <c r="A4512">
        <v>1006284</v>
      </c>
      <c r="B4512">
        <v>4488</v>
      </c>
      <c r="C4512">
        <v>1</v>
      </c>
      <c r="D4512" s="17" t="s">
        <v>155</v>
      </c>
      <c r="E4512" s="17"/>
      <c r="F4512" s="17" t="s">
        <v>156</v>
      </c>
      <c r="G4512" s="17"/>
      <c r="H4512" s="17" t="s">
        <v>692</v>
      </c>
      <c r="I4512" s="17"/>
      <c r="J4512" s="17" t="s">
        <v>693</v>
      </c>
      <c r="K4512" s="17"/>
      <c r="L4512" s="17"/>
      <c r="M4512" s="17"/>
      <c r="N4512" s="17"/>
      <c r="O4512" s="17"/>
      <c r="P4512" s="17" t="s">
        <v>3190</v>
      </c>
      <c r="Q4512" s="17"/>
      <c r="R4512" s="25" t="str">
        <f>HYPERLINK("https://ictv.global/taxonomy/taxondetails?taxnode_id=202314783","Phabiovirus phabio")</f>
        <v>Phabiovirus phabio</v>
      </c>
      <c r="S4512" s="18" t="s">
        <v>30</v>
      </c>
      <c r="T4512" s="18" t="s">
        <v>3191</v>
      </c>
      <c r="U4512" s="18"/>
      <c r="V4512" s="18"/>
      <c r="W4512" s="18" t="s">
        <v>3192</v>
      </c>
      <c r="X4512" s="18" t="s">
        <v>42</v>
      </c>
      <c r="Y4512" s="18" t="s">
        <v>36</v>
      </c>
      <c r="Z4512" s="18" t="s">
        <v>697</v>
      </c>
      <c r="AA4512" s="21" t="str">
        <f>HYPERLINK("https://www.ncbi.nlm.nih.gov/nuccore/MF042360","NCBI Nucleotide")</f>
        <v>NCBI Nucleotide</v>
      </c>
    </row>
    <row r="4513" spans="1:27" x14ac:dyDescent="0.35">
      <c r="A4513">
        <v>1006285</v>
      </c>
      <c r="B4513">
        <v>4489</v>
      </c>
      <c r="C4513">
        <v>1</v>
      </c>
      <c r="D4513" s="17" t="s">
        <v>155</v>
      </c>
      <c r="E4513" s="17"/>
      <c r="F4513" s="17" t="s">
        <v>156</v>
      </c>
      <c r="G4513" s="17"/>
      <c r="H4513" s="17" t="s">
        <v>692</v>
      </c>
      <c r="I4513" s="17"/>
      <c r="J4513" s="17" t="s">
        <v>693</v>
      </c>
      <c r="K4513" s="17"/>
      <c r="L4513" s="17"/>
      <c r="M4513" s="17"/>
      <c r="N4513" s="17"/>
      <c r="O4513" s="17"/>
      <c r="P4513" s="17" t="s">
        <v>3193</v>
      </c>
      <c r="Q4513" s="17"/>
      <c r="R4513" s="25" t="str">
        <f>HYPERLINK("https://ictv.global/taxonomy/taxondetails?taxnode_id=202308188","Phabquatrovirus PHB04")</f>
        <v>Phabquatrovirus PHB04</v>
      </c>
      <c r="S4513" s="18" t="s">
        <v>30</v>
      </c>
      <c r="T4513" s="18" t="s">
        <v>3194</v>
      </c>
      <c r="U4513" s="18"/>
      <c r="V4513" s="18"/>
      <c r="W4513" s="18" t="s">
        <v>3195</v>
      </c>
      <c r="X4513" s="18" t="s">
        <v>42</v>
      </c>
      <c r="Y4513" s="18" t="s">
        <v>36</v>
      </c>
      <c r="Z4513" s="18" t="s">
        <v>697</v>
      </c>
      <c r="AA4513" s="21" t="str">
        <f>HYPERLINK("https://www.ncbi.nlm.nih.gov/nuccore/MF663786","NCBI Nucleotide")</f>
        <v>NCBI Nucleotide</v>
      </c>
    </row>
    <row r="4514" spans="1:27" x14ac:dyDescent="0.35">
      <c r="A4514">
        <v>1006286</v>
      </c>
      <c r="B4514">
        <v>4490</v>
      </c>
      <c r="C4514">
        <v>1</v>
      </c>
      <c r="D4514" s="17" t="s">
        <v>155</v>
      </c>
      <c r="E4514" s="17"/>
      <c r="F4514" s="17" t="s">
        <v>156</v>
      </c>
      <c r="G4514" s="17"/>
      <c r="H4514" s="17" t="s">
        <v>692</v>
      </c>
      <c r="I4514" s="17"/>
      <c r="J4514" s="17" t="s">
        <v>693</v>
      </c>
      <c r="K4514" s="17"/>
      <c r="L4514" s="17"/>
      <c r="M4514" s="17"/>
      <c r="N4514" s="17"/>
      <c r="O4514" s="17"/>
      <c r="P4514" s="17" t="s">
        <v>3196</v>
      </c>
      <c r="Q4514" s="17"/>
      <c r="R4514" s="25" t="str">
        <f>HYPERLINK("https://ictv.global/taxonomy/taxondetails?taxnode_id=202312878","Pharaohvirus pharaoh")</f>
        <v>Pharaohvirus pharaoh</v>
      </c>
      <c r="S4514" s="18" t="s">
        <v>30</v>
      </c>
      <c r="T4514" s="18" t="s">
        <v>3197</v>
      </c>
      <c r="U4514" s="18"/>
      <c r="V4514" s="18"/>
      <c r="W4514" s="18" t="s">
        <v>3198</v>
      </c>
      <c r="X4514" s="18" t="s">
        <v>42</v>
      </c>
      <c r="Y4514" s="18" t="s">
        <v>36</v>
      </c>
      <c r="Z4514" s="18" t="s">
        <v>697</v>
      </c>
      <c r="AA4514" s="21" t="str">
        <f>HYPERLINK("https://www.ncbi.nlm.nih.gov/nuccore/MK524530","NCBI Nucleotide")</f>
        <v>NCBI Nucleotide</v>
      </c>
    </row>
    <row r="4515" spans="1:27" x14ac:dyDescent="0.35">
      <c r="A4515">
        <v>1006287</v>
      </c>
      <c r="B4515">
        <v>4491</v>
      </c>
      <c r="C4515">
        <v>1</v>
      </c>
      <c r="D4515" s="17" t="s">
        <v>155</v>
      </c>
      <c r="E4515" s="17"/>
      <c r="F4515" s="17" t="s">
        <v>156</v>
      </c>
      <c r="G4515" s="17"/>
      <c r="H4515" s="17" t="s">
        <v>692</v>
      </c>
      <c r="I4515" s="17"/>
      <c r="J4515" s="17" t="s">
        <v>693</v>
      </c>
      <c r="K4515" s="17"/>
      <c r="L4515" s="17"/>
      <c r="M4515" s="17"/>
      <c r="N4515" s="17"/>
      <c r="O4515" s="17"/>
      <c r="P4515" s="17" t="s">
        <v>3196</v>
      </c>
      <c r="Q4515" s="17"/>
      <c r="R4515" s="25" t="str">
        <f>HYPERLINK("https://ictv.global/taxonomy/taxondetails?taxnode_id=202312879","Pharaohvirus steamy")</f>
        <v>Pharaohvirus steamy</v>
      </c>
      <c r="S4515" s="18" t="s">
        <v>30</v>
      </c>
      <c r="T4515" s="18" t="s">
        <v>3199</v>
      </c>
      <c r="U4515" s="18"/>
      <c r="V4515" s="18"/>
      <c r="W4515" s="18" t="s">
        <v>3200</v>
      </c>
      <c r="X4515" s="18" t="s">
        <v>42</v>
      </c>
      <c r="Y4515" s="18" t="s">
        <v>36</v>
      </c>
      <c r="Z4515" s="18" t="s">
        <v>697</v>
      </c>
      <c r="AA4515" s="21" t="str">
        <f>HYPERLINK("https://www.ncbi.nlm.nih.gov/nuccore/MH513984","NCBI Nucleotide")</f>
        <v>NCBI Nucleotide</v>
      </c>
    </row>
    <row r="4516" spans="1:27" x14ac:dyDescent="0.35">
      <c r="A4516">
        <v>1006288</v>
      </c>
      <c r="B4516">
        <v>4492</v>
      </c>
      <c r="C4516">
        <v>1</v>
      </c>
      <c r="D4516" s="17" t="s">
        <v>155</v>
      </c>
      <c r="E4516" s="17"/>
      <c r="F4516" s="17" t="s">
        <v>156</v>
      </c>
      <c r="G4516" s="17"/>
      <c r="H4516" s="17" t="s">
        <v>692</v>
      </c>
      <c r="I4516" s="17"/>
      <c r="J4516" s="17" t="s">
        <v>693</v>
      </c>
      <c r="K4516" s="17"/>
      <c r="L4516" s="17"/>
      <c r="M4516" s="17"/>
      <c r="N4516" s="17"/>
      <c r="O4516" s="17"/>
      <c r="P4516" s="17" t="s">
        <v>3201</v>
      </c>
      <c r="Q4516" s="17"/>
      <c r="R4516" s="25" t="str">
        <f>HYPERLINK("https://ictv.global/taxonomy/taxondetails?taxnode_id=202301227","Phifelvirus FL1")</f>
        <v>Phifelvirus FL1</v>
      </c>
      <c r="S4516" s="18" t="s">
        <v>30</v>
      </c>
      <c r="T4516" s="18" t="s">
        <v>3202</v>
      </c>
      <c r="U4516" s="18"/>
      <c r="V4516" s="18"/>
      <c r="W4516" s="18" t="s">
        <v>3203</v>
      </c>
      <c r="X4516" s="18" t="s">
        <v>42</v>
      </c>
      <c r="Y4516" s="18" t="s">
        <v>36</v>
      </c>
      <c r="Z4516" s="18" t="s">
        <v>697</v>
      </c>
      <c r="AA4516" s="21" t="str">
        <f>HYPERLINK("https://www.ncbi.nlm.nih.gov/nuccore/GQ478081","NCBI Nucleotide")</f>
        <v>NCBI Nucleotide</v>
      </c>
    </row>
    <row r="4517" spans="1:27" x14ac:dyDescent="0.35">
      <c r="A4517">
        <v>1006289</v>
      </c>
      <c r="B4517">
        <v>4493</v>
      </c>
      <c r="C4517">
        <v>1</v>
      </c>
      <c r="D4517" s="17" t="s">
        <v>155</v>
      </c>
      <c r="E4517" s="17"/>
      <c r="F4517" s="17" t="s">
        <v>156</v>
      </c>
      <c r="G4517" s="17"/>
      <c r="H4517" s="17" t="s">
        <v>692</v>
      </c>
      <c r="I4517" s="17"/>
      <c r="J4517" s="17" t="s">
        <v>693</v>
      </c>
      <c r="K4517" s="17"/>
      <c r="L4517" s="17"/>
      <c r="M4517" s="17"/>
      <c r="N4517" s="17"/>
      <c r="O4517" s="17"/>
      <c r="P4517" s="17" t="s">
        <v>3201</v>
      </c>
      <c r="Q4517" s="17"/>
      <c r="R4517" s="25" t="str">
        <f>HYPERLINK("https://ictv.global/taxonomy/taxondetails?taxnode_id=202301228","Phifelvirus FL2")</f>
        <v>Phifelvirus FL2</v>
      </c>
      <c r="S4517" s="18" t="s">
        <v>30</v>
      </c>
      <c r="T4517" s="18" t="s">
        <v>3204</v>
      </c>
      <c r="U4517" s="18"/>
      <c r="V4517" s="18"/>
      <c r="W4517" s="18" t="s">
        <v>3205</v>
      </c>
      <c r="X4517" s="18" t="s">
        <v>42</v>
      </c>
      <c r="Y4517" s="18" t="s">
        <v>36</v>
      </c>
      <c r="Z4517" s="18" t="s">
        <v>697</v>
      </c>
      <c r="AA4517" s="21" t="str">
        <f>HYPERLINK("https://www.ncbi.nlm.nih.gov/nuccore/GQ478084","NCBI Nucleotide")</f>
        <v>NCBI Nucleotide</v>
      </c>
    </row>
    <row r="4518" spans="1:27" x14ac:dyDescent="0.35">
      <c r="A4518">
        <v>1006290</v>
      </c>
      <c r="B4518">
        <v>4494</v>
      </c>
      <c r="C4518">
        <v>1</v>
      </c>
      <c r="D4518" s="17" t="s">
        <v>155</v>
      </c>
      <c r="E4518" s="17"/>
      <c r="F4518" s="17" t="s">
        <v>156</v>
      </c>
      <c r="G4518" s="17"/>
      <c r="H4518" s="17" t="s">
        <v>692</v>
      </c>
      <c r="I4518" s="17"/>
      <c r="J4518" s="17" t="s">
        <v>693</v>
      </c>
      <c r="K4518" s="17"/>
      <c r="L4518" s="17"/>
      <c r="M4518" s="17"/>
      <c r="N4518" s="17"/>
      <c r="O4518" s="17"/>
      <c r="P4518" s="17" t="s">
        <v>3201</v>
      </c>
      <c r="Q4518" s="17"/>
      <c r="R4518" s="25" t="str">
        <f>HYPERLINK("https://ictv.global/taxonomy/taxondetails?taxnode_id=202301229","Phifelvirus FL3")</f>
        <v>Phifelvirus FL3</v>
      </c>
      <c r="S4518" s="18" t="s">
        <v>30</v>
      </c>
      <c r="T4518" s="18" t="s">
        <v>3206</v>
      </c>
      <c r="U4518" s="18"/>
      <c r="V4518" s="18"/>
      <c r="W4518" s="18" t="s">
        <v>3207</v>
      </c>
      <c r="X4518" s="18" t="s">
        <v>42</v>
      </c>
      <c r="Y4518" s="18" t="s">
        <v>36</v>
      </c>
      <c r="Z4518" s="18" t="s">
        <v>697</v>
      </c>
      <c r="AA4518" s="21" t="str">
        <f>HYPERLINK("https://www.ncbi.nlm.nih.gov/nuccore/GQ478086","NCBI Nucleotide")</f>
        <v>NCBI Nucleotide</v>
      </c>
    </row>
    <row r="4519" spans="1:27" x14ac:dyDescent="0.35">
      <c r="A4519">
        <v>1006294</v>
      </c>
      <c r="B4519">
        <v>4495</v>
      </c>
      <c r="C4519">
        <v>1</v>
      </c>
      <c r="D4519" s="17" t="s">
        <v>155</v>
      </c>
      <c r="E4519" s="17"/>
      <c r="F4519" s="17" t="s">
        <v>156</v>
      </c>
      <c r="G4519" s="17"/>
      <c r="H4519" s="17" t="s">
        <v>692</v>
      </c>
      <c r="I4519" s="17"/>
      <c r="J4519" s="17" t="s">
        <v>693</v>
      </c>
      <c r="K4519" s="17"/>
      <c r="L4519" s="17"/>
      <c r="M4519" s="17"/>
      <c r="N4519" s="17"/>
      <c r="O4519" s="17"/>
      <c r="P4519" s="17" t="s">
        <v>3215</v>
      </c>
      <c r="Q4519" s="17"/>
      <c r="R4519" s="25" t="str">
        <f>HYPERLINK("https://ictv.global/taxonomy/taxondetails?taxnode_id=202312884","Phleivirus Phlei")</f>
        <v>Phleivirus Phlei</v>
      </c>
      <c r="S4519" s="18" t="s">
        <v>30</v>
      </c>
      <c r="T4519" s="18" t="s">
        <v>3216</v>
      </c>
      <c r="U4519" s="18"/>
      <c r="V4519" s="18"/>
      <c r="W4519" s="18" t="s">
        <v>3217</v>
      </c>
      <c r="X4519" s="18" t="s">
        <v>42</v>
      </c>
      <c r="Y4519" s="18" t="s">
        <v>36</v>
      </c>
      <c r="Z4519" s="18" t="s">
        <v>697</v>
      </c>
      <c r="AA4519" s="21" t="str">
        <f>HYPERLINK("https://www.ncbi.nlm.nih.gov/nuccore/KT206225","NCBI Nucleotide")</f>
        <v>NCBI Nucleotide</v>
      </c>
    </row>
    <row r="4520" spans="1:27" x14ac:dyDescent="0.35">
      <c r="A4520">
        <v>1006295</v>
      </c>
      <c r="B4520">
        <v>4496</v>
      </c>
      <c r="C4520">
        <v>1</v>
      </c>
      <c r="D4520" s="17" t="s">
        <v>155</v>
      </c>
      <c r="E4520" s="17"/>
      <c r="F4520" s="17" t="s">
        <v>156</v>
      </c>
      <c r="G4520" s="17"/>
      <c r="H4520" s="17" t="s">
        <v>692</v>
      </c>
      <c r="I4520" s="17"/>
      <c r="J4520" s="17" t="s">
        <v>693</v>
      </c>
      <c r="K4520" s="17"/>
      <c r="L4520" s="17"/>
      <c r="M4520" s="17"/>
      <c r="N4520" s="17"/>
      <c r="O4520" s="17"/>
      <c r="P4520" s="17" t="s">
        <v>3218</v>
      </c>
      <c r="Q4520" s="17"/>
      <c r="R4520" s="25" t="str">
        <f>HYPERLINK("https://ictv.global/taxonomy/taxondetails?taxnode_id=202312886","Phreappuccinovirus Phrappuccino")</f>
        <v>Phreappuccinovirus Phrappuccino</v>
      </c>
      <c r="S4520" s="18" t="s">
        <v>30</v>
      </c>
      <c r="T4520" s="18" t="s">
        <v>3219</v>
      </c>
      <c r="U4520" s="18"/>
      <c r="V4520" s="18"/>
      <c r="W4520" s="18" t="s">
        <v>3220</v>
      </c>
      <c r="X4520" s="18" t="s">
        <v>42</v>
      </c>
      <c r="Y4520" s="18" t="s">
        <v>36</v>
      </c>
      <c r="Z4520" s="18" t="s">
        <v>697</v>
      </c>
      <c r="AA4520" s="21" t="str">
        <f>HYPERLINK("https://www.ncbi.nlm.nih.gov/nuccore/MK937592","NCBI Nucleotide")</f>
        <v>NCBI Nucleotide</v>
      </c>
    </row>
    <row r="4521" spans="1:27" x14ac:dyDescent="0.35">
      <c r="A4521">
        <v>1006296</v>
      </c>
      <c r="B4521">
        <v>4497</v>
      </c>
      <c r="C4521">
        <v>1</v>
      </c>
      <c r="D4521" s="17" t="s">
        <v>155</v>
      </c>
      <c r="E4521" s="17"/>
      <c r="F4521" s="17" t="s">
        <v>156</v>
      </c>
      <c r="G4521" s="17"/>
      <c r="H4521" s="17" t="s">
        <v>692</v>
      </c>
      <c r="I4521" s="17"/>
      <c r="J4521" s="17" t="s">
        <v>693</v>
      </c>
      <c r="K4521" s="17"/>
      <c r="L4521" s="17"/>
      <c r="M4521" s="17"/>
      <c r="N4521" s="17"/>
      <c r="O4521" s="17"/>
      <c r="P4521" s="17" t="s">
        <v>3221</v>
      </c>
      <c r="Q4521" s="17"/>
      <c r="R4521" s="25" t="str">
        <f>HYPERLINK("https://ictv.global/taxonomy/taxondetails?taxnode_id=202307512","Picardvirus picard")</f>
        <v>Picardvirus picard</v>
      </c>
      <c r="S4521" s="18" t="s">
        <v>30</v>
      </c>
      <c r="T4521" s="18" t="s">
        <v>3222</v>
      </c>
      <c r="U4521" s="18"/>
      <c r="V4521" s="18"/>
      <c r="W4521" s="18" t="s">
        <v>3223</v>
      </c>
      <c r="X4521" s="18" t="s">
        <v>42</v>
      </c>
      <c r="Y4521" s="18" t="s">
        <v>36</v>
      </c>
      <c r="Z4521" s="18" t="s">
        <v>697</v>
      </c>
      <c r="AA4521" s="21" t="str">
        <f>HYPERLINK("https://www.ncbi.nlm.nih.gov/nuccore/KY092480","NCBI Nucleotide")</f>
        <v>NCBI Nucleotide</v>
      </c>
    </row>
    <row r="4522" spans="1:27" x14ac:dyDescent="0.35">
      <c r="A4522">
        <v>1006297</v>
      </c>
      <c r="B4522">
        <v>4498</v>
      </c>
      <c r="C4522">
        <v>1</v>
      </c>
      <c r="D4522" s="17" t="s">
        <v>155</v>
      </c>
      <c r="E4522" s="17"/>
      <c r="F4522" s="17" t="s">
        <v>156</v>
      </c>
      <c r="G4522" s="17"/>
      <c r="H4522" s="17" t="s">
        <v>692</v>
      </c>
      <c r="I4522" s="17"/>
      <c r="J4522" s="17" t="s">
        <v>693</v>
      </c>
      <c r="K4522" s="17"/>
      <c r="L4522" s="17"/>
      <c r="M4522" s="17"/>
      <c r="N4522" s="17"/>
      <c r="O4522" s="17"/>
      <c r="P4522" s="17" t="s">
        <v>3224</v>
      </c>
      <c r="Q4522" s="17"/>
      <c r="R4522" s="25" t="str">
        <f>HYPERLINK("https://ictv.global/taxonomy/taxondetails?taxnode_id=202306749","Pikminvirus pikmin")</f>
        <v>Pikminvirus pikmin</v>
      </c>
      <c r="S4522" s="18" t="s">
        <v>30</v>
      </c>
      <c r="T4522" s="18" t="s">
        <v>3225</v>
      </c>
      <c r="U4522" s="18"/>
      <c r="V4522" s="18"/>
      <c r="W4522" s="18" t="s">
        <v>3226</v>
      </c>
      <c r="X4522" s="18" t="s">
        <v>42</v>
      </c>
      <c r="Y4522" s="18" t="s">
        <v>36</v>
      </c>
      <c r="Z4522" s="18" t="s">
        <v>697</v>
      </c>
      <c r="AA4522" s="21" t="str">
        <f>HYPERLINK("https://www.ncbi.nlm.nih.gov/nuccore/MG944218","NCBI Nucleotide")</f>
        <v>NCBI Nucleotide</v>
      </c>
    </row>
    <row r="4523" spans="1:27" x14ac:dyDescent="0.35">
      <c r="A4523">
        <v>1006298</v>
      </c>
      <c r="B4523">
        <v>4499</v>
      </c>
      <c r="C4523">
        <v>1</v>
      </c>
      <c r="D4523" s="17" t="s">
        <v>155</v>
      </c>
      <c r="E4523" s="17"/>
      <c r="F4523" s="17" t="s">
        <v>156</v>
      </c>
      <c r="G4523" s="17"/>
      <c r="H4523" s="17" t="s">
        <v>692</v>
      </c>
      <c r="I4523" s="17"/>
      <c r="J4523" s="17" t="s">
        <v>693</v>
      </c>
      <c r="K4523" s="17"/>
      <c r="L4523" s="17"/>
      <c r="M4523" s="17"/>
      <c r="N4523" s="17"/>
      <c r="O4523" s="17"/>
      <c r="P4523" s="17" t="s">
        <v>3227</v>
      </c>
      <c r="Q4523" s="17"/>
      <c r="R4523" s="25" t="str">
        <f>HYPERLINK("https://ictv.global/taxonomy/taxondetails?taxnode_id=202314751","Piorkowskivirus CHPC577")</f>
        <v>Piorkowskivirus CHPC577</v>
      </c>
      <c r="S4523" s="18" t="s">
        <v>30</v>
      </c>
      <c r="T4523" s="18" t="s">
        <v>3228</v>
      </c>
      <c r="U4523" s="18"/>
      <c r="V4523" s="18"/>
      <c r="W4523" s="18" t="s">
        <v>3229</v>
      </c>
      <c r="X4523" s="18" t="s">
        <v>42</v>
      </c>
      <c r="Y4523" s="18" t="s">
        <v>36</v>
      </c>
      <c r="Z4523" s="18" t="s">
        <v>697</v>
      </c>
      <c r="AA4523" s="21" t="str">
        <f>HYPERLINK("https://www.ncbi.nlm.nih.gov/nuccore/KX879641","NCBI Nucleotide")</f>
        <v>NCBI Nucleotide</v>
      </c>
    </row>
    <row r="4524" spans="1:27" x14ac:dyDescent="0.35">
      <c r="A4524">
        <v>1006299</v>
      </c>
      <c r="B4524">
        <v>4500</v>
      </c>
      <c r="C4524">
        <v>1</v>
      </c>
      <c r="D4524" s="17" t="s">
        <v>155</v>
      </c>
      <c r="E4524" s="17"/>
      <c r="F4524" s="17" t="s">
        <v>156</v>
      </c>
      <c r="G4524" s="17"/>
      <c r="H4524" s="17" t="s">
        <v>692</v>
      </c>
      <c r="I4524" s="17"/>
      <c r="J4524" s="17" t="s">
        <v>693</v>
      </c>
      <c r="K4524" s="17"/>
      <c r="L4524" s="17"/>
      <c r="M4524" s="17"/>
      <c r="N4524" s="17"/>
      <c r="O4524" s="17"/>
      <c r="P4524" s="17" t="s">
        <v>3227</v>
      </c>
      <c r="Q4524" s="17"/>
      <c r="R4524" s="25" t="str">
        <f>HYPERLINK("https://ictv.global/taxonomy/taxondetails?taxnode_id=202314750","Piorkowskivirus CHPC926")</f>
        <v>Piorkowskivirus CHPC926</v>
      </c>
      <c r="S4524" s="18" t="s">
        <v>30</v>
      </c>
      <c r="T4524" s="18" t="s">
        <v>3230</v>
      </c>
      <c r="U4524" s="18"/>
      <c r="V4524" s="18"/>
      <c r="W4524" s="18" t="s">
        <v>3231</v>
      </c>
      <c r="X4524" s="18" t="s">
        <v>42</v>
      </c>
      <c r="Y4524" s="18" t="s">
        <v>36</v>
      </c>
      <c r="Z4524" s="18" t="s">
        <v>697</v>
      </c>
      <c r="AA4524" s="21" t="str">
        <f>HYPERLINK("https://www.ncbi.nlm.nih.gov/nuccore/KX879642","NCBI Nucleotide")</f>
        <v>NCBI Nucleotide</v>
      </c>
    </row>
    <row r="4525" spans="1:27" x14ac:dyDescent="0.35">
      <c r="A4525">
        <v>1006300</v>
      </c>
      <c r="B4525">
        <v>4501</v>
      </c>
      <c r="C4525">
        <v>1</v>
      </c>
      <c r="D4525" s="17" t="s">
        <v>155</v>
      </c>
      <c r="E4525" s="17"/>
      <c r="F4525" s="17" t="s">
        <v>156</v>
      </c>
      <c r="G4525" s="17"/>
      <c r="H4525" s="17" t="s">
        <v>692</v>
      </c>
      <c r="I4525" s="17"/>
      <c r="J4525" s="17" t="s">
        <v>693</v>
      </c>
      <c r="K4525" s="17"/>
      <c r="L4525" s="17"/>
      <c r="M4525" s="17"/>
      <c r="N4525" s="17"/>
      <c r="O4525" s="17"/>
      <c r="P4525" s="17" t="s">
        <v>3227</v>
      </c>
      <c r="Q4525" s="17"/>
      <c r="R4525" s="25" t="str">
        <f>HYPERLINK("https://ictv.global/taxonomy/taxondetails?taxnode_id=202314746","Piorkowskivirus pv9871")</f>
        <v>Piorkowskivirus pv9871</v>
      </c>
      <c r="S4525" s="18" t="s">
        <v>30</v>
      </c>
      <c r="T4525" s="18" t="s">
        <v>3232</v>
      </c>
      <c r="U4525" s="18"/>
      <c r="V4525" s="18"/>
      <c r="W4525" s="18" t="s">
        <v>3233</v>
      </c>
      <c r="X4525" s="18" t="s">
        <v>42</v>
      </c>
      <c r="Y4525" s="18" t="s">
        <v>36</v>
      </c>
      <c r="Z4525" s="18" t="s">
        <v>697</v>
      </c>
      <c r="AA4525" s="21" t="str">
        <f>HYPERLINK("https://www.ncbi.nlm.nih.gov/nuccore/KU678389","NCBI Nucleotide")</f>
        <v>NCBI Nucleotide</v>
      </c>
    </row>
    <row r="4526" spans="1:27" x14ac:dyDescent="0.35">
      <c r="A4526">
        <v>1006301</v>
      </c>
      <c r="B4526">
        <v>4502</v>
      </c>
      <c r="C4526">
        <v>1</v>
      </c>
      <c r="D4526" s="17" t="s">
        <v>155</v>
      </c>
      <c r="E4526" s="17"/>
      <c r="F4526" s="17" t="s">
        <v>156</v>
      </c>
      <c r="G4526" s="17"/>
      <c r="H4526" s="17" t="s">
        <v>692</v>
      </c>
      <c r="I4526" s="17"/>
      <c r="J4526" s="17" t="s">
        <v>693</v>
      </c>
      <c r="K4526" s="17"/>
      <c r="L4526" s="17"/>
      <c r="M4526" s="17"/>
      <c r="N4526" s="17"/>
      <c r="O4526" s="17"/>
      <c r="P4526" s="17" t="s">
        <v>3227</v>
      </c>
      <c r="Q4526" s="17"/>
      <c r="R4526" s="25" t="str">
        <f>HYPERLINK("https://ictv.global/taxonomy/taxondetails?taxnode_id=202314747","Piorkowskivirus pv9872")</f>
        <v>Piorkowskivirus pv9872</v>
      </c>
      <c r="S4526" s="18" t="s">
        <v>30</v>
      </c>
      <c r="T4526" s="18" t="s">
        <v>3234</v>
      </c>
      <c r="U4526" s="18"/>
      <c r="V4526" s="18"/>
      <c r="W4526" s="18" t="s">
        <v>3235</v>
      </c>
      <c r="X4526" s="18" t="s">
        <v>42</v>
      </c>
      <c r="Y4526" s="18" t="s">
        <v>36</v>
      </c>
      <c r="Z4526" s="18" t="s">
        <v>697</v>
      </c>
      <c r="AA4526" s="21" t="str">
        <f>HYPERLINK("https://www.ncbi.nlm.nih.gov/nuccore/KU678390","NCBI Nucleotide")</f>
        <v>NCBI Nucleotide</v>
      </c>
    </row>
    <row r="4527" spans="1:27" x14ac:dyDescent="0.35">
      <c r="A4527">
        <v>1006302</v>
      </c>
      <c r="B4527">
        <v>4503</v>
      </c>
      <c r="C4527">
        <v>1</v>
      </c>
      <c r="D4527" s="17" t="s">
        <v>155</v>
      </c>
      <c r="E4527" s="17"/>
      <c r="F4527" s="17" t="s">
        <v>156</v>
      </c>
      <c r="G4527" s="17"/>
      <c r="H4527" s="17" t="s">
        <v>692</v>
      </c>
      <c r="I4527" s="17"/>
      <c r="J4527" s="17" t="s">
        <v>693</v>
      </c>
      <c r="K4527" s="17"/>
      <c r="L4527" s="17"/>
      <c r="M4527" s="17"/>
      <c r="N4527" s="17"/>
      <c r="O4527" s="17"/>
      <c r="P4527" s="17" t="s">
        <v>3227</v>
      </c>
      <c r="Q4527" s="17"/>
      <c r="R4527" s="25" t="str">
        <f>HYPERLINK("https://ictv.global/taxonomy/taxondetails?taxnode_id=202314752","Piorkowskivirus pv9874")</f>
        <v>Piorkowskivirus pv9874</v>
      </c>
      <c r="S4527" s="18" t="s">
        <v>30</v>
      </c>
      <c r="T4527" s="18" t="s">
        <v>3236</v>
      </c>
      <c r="U4527" s="18"/>
      <c r="V4527" s="18"/>
      <c r="W4527" s="18" t="s">
        <v>3237</v>
      </c>
      <c r="X4527" s="18" t="s">
        <v>42</v>
      </c>
      <c r="Y4527" s="18" t="s">
        <v>36</v>
      </c>
      <c r="Z4527" s="18" t="s">
        <v>697</v>
      </c>
      <c r="AA4527" s="21" t="str">
        <f>HYPERLINK("https://www.ncbi.nlm.nih.gov/nuccore/KU678392","NCBI Nucleotide")</f>
        <v>NCBI Nucleotide</v>
      </c>
    </row>
    <row r="4528" spans="1:27" x14ac:dyDescent="0.35">
      <c r="A4528">
        <v>1006303</v>
      </c>
      <c r="B4528">
        <v>4504</v>
      </c>
      <c r="C4528">
        <v>1</v>
      </c>
      <c r="D4528" s="17" t="s">
        <v>155</v>
      </c>
      <c r="E4528" s="17"/>
      <c r="F4528" s="17" t="s">
        <v>156</v>
      </c>
      <c r="G4528" s="17"/>
      <c r="H4528" s="17" t="s">
        <v>692</v>
      </c>
      <c r="I4528" s="17"/>
      <c r="J4528" s="17" t="s">
        <v>693</v>
      </c>
      <c r="K4528" s="17"/>
      <c r="L4528" s="17"/>
      <c r="M4528" s="17"/>
      <c r="N4528" s="17"/>
      <c r="O4528" s="17"/>
      <c r="P4528" s="17" t="s">
        <v>3227</v>
      </c>
      <c r="Q4528" s="17"/>
      <c r="R4528" s="25" t="str">
        <f>HYPERLINK("https://ictv.global/taxonomy/taxondetails?taxnode_id=202314749","Piorkowskivirus SW16")</f>
        <v>Piorkowskivirus SW16</v>
      </c>
      <c r="S4528" s="18" t="s">
        <v>30</v>
      </c>
      <c r="T4528" s="18" t="s">
        <v>3238</v>
      </c>
      <c r="U4528" s="18"/>
      <c r="V4528" s="18"/>
      <c r="W4528" s="18" t="s">
        <v>3239</v>
      </c>
      <c r="X4528" s="18" t="s">
        <v>42</v>
      </c>
      <c r="Y4528" s="18" t="s">
        <v>36</v>
      </c>
      <c r="Z4528" s="18" t="s">
        <v>697</v>
      </c>
      <c r="AA4528" s="21" t="str">
        <f>HYPERLINK("https://www.ncbi.nlm.nih.gov/nuccore/MH892350","NCBI Nucleotide")</f>
        <v>NCBI Nucleotide</v>
      </c>
    </row>
    <row r="4529" spans="1:27" x14ac:dyDescent="0.35">
      <c r="A4529">
        <v>1006304</v>
      </c>
      <c r="B4529">
        <v>4505</v>
      </c>
      <c r="C4529">
        <v>1</v>
      </c>
      <c r="D4529" s="17" t="s">
        <v>155</v>
      </c>
      <c r="E4529" s="17"/>
      <c r="F4529" s="17" t="s">
        <v>156</v>
      </c>
      <c r="G4529" s="17"/>
      <c r="H4529" s="17" t="s">
        <v>692</v>
      </c>
      <c r="I4529" s="17"/>
      <c r="J4529" s="17" t="s">
        <v>693</v>
      </c>
      <c r="K4529" s="17"/>
      <c r="L4529" s="17"/>
      <c r="M4529" s="17"/>
      <c r="N4529" s="17"/>
      <c r="O4529" s="17"/>
      <c r="P4529" s="17" t="s">
        <v>3227</v>
      </c>
      <c r="Q4529" s="17"/>
      <c r="R4529" s="25" t="str">
        <f>HYPERLINK("https://ictv.global/taxonomy/taxondetails?taxnode_id=202314748","Piorkowskivirus SW22")</f>
        <v>Piorkowskivirus SW22</v>
      </c>
      <c r="S4529" s="18" t="s">
        <v>30</v>
      </c>
      <c r="T4529" s="18" t="s">
        <v>3240</v>
      </c>
      <c r="U4529" s="18"/>
      <c r="V4529" s="18"/>
      <c r="W4529" s="18" t="s">
        <v>3241</v>
      </c>
      <c r="X4529" s="18" t="s">
        <v>42</v>
      </c>
      <c r="Y4529" s="18" t="s">
        <v>36</v>
      </c>
      <c r="Z4529" s="18" t="s">
        <v>697</v>
      </c>
      <c r="AA4529" s="21" t="str">
        <f>HYPERLINK("https://www.ncbi.nlm.nih.gov/nuccore/MH892369","NCBI Nucleotide")</f>
        <v>NCBI Nucleotide</v>
      </c>
    </row>
    <row r="4530" spans="1:27" x14ac:dyDescent="0.35">
      <c r="A4530">
        <v>1006305</v>
      </c>
      <c r="B4530">
        <v>4506</v>
      </c>
      <c r="C4530">
        <v>1</v>
      </c>
      <c r="D4530" s="17" t="s">
        <v>155</v>
      </c>
      <c r="E4530" s="17"/>
      <c r="F4530" s="17" t="s">
        <v>156</v>
      </c>
      <c r="G4530" s="17"/>
      <c r="H4530" s="17" t="s">
        <v>692</v>
      </c>
      <c r="I4530" s="17"/>
      <c r="J4530" s="17" t="s">
        <v>693</v>
      </c>
      <c r="K4530" s="17"/>
      <c r="L4530" s="17"/>
      <c r="M4530" s="17"/>
      <c r="N4530" s="17"/>
      <c r="O4530" s="17"/>
      <c r="P4530" s="17" t="s">
        <v>3242</v>
      </c>
      <c r="Q4530" s="17"/>
      <c r="R4530" s="25" t="str">
        <f>HYPERLINK("https://ictv.global/taxonomy/taxondetails?taxnode_id=202306859","Plaisancevirus PMW")</f>
        <v>Plaisancevirus PMW</v>
      </c>
      <c r="S4530" s="18" t="s">
        <v>30</v>
      </c>
      <c r="T4530" s="18" t="s">
        <v>3243</v>
      </c>
      <c r="U4530" s="18"/>
      <c r="V4530" s="18"/>
      <c r="W4530" s="18" t="s">
        <v>3244</v>
      </c>
      <c r="X4530" s="18" t="s">
        <v>42</v>
      </c>
      <c r="Y4530" s="18" t="s">
        <v>36</v>
      </c>
      <c r="Z4530" s="18" t="s">
        <v>697</v>
      </c>
      <c r="AA4530" s="21" t="str">
        <f>HYPERLINK("https://www.ncbi.nlm.nih.gov/nuccore/KU862660","NCBI Nucleotide")</f>
        <v>NCBI Nucleotide</v>
      </c>
    </row>
    <row r="4531" spans="1:27" x14ac:dyDescent="0.35">
      <c r="A4531">
        <v>1006306</v>
      </c>
      <c r="B4531">
        <v>4507</v>
      </c>
      <c r="C4531">
        <v>1</v>
      </c>
      <c r="D4531" s="17" t="s">
        <v>155</v>
      </c>
      <c r="E4531" s="17"/>
      <c r="F4531" s="17" t="s">
        <v>156</v>
      </c>
      <c r="G4531" s="17"/>
      <c r="H4531" s="17" t="s">
        <v>692</v>
      </c>
      <c r="I4531" s="17"/>
      <c r="J4531" s="17" t="s">
        <v>693</v>
      </c>
      <c r="K4531" s="17"/>
      <c r="L4531" s="17"/>
      <c r="M4531" s="17"/>
      <c r="N4531" s="17"/>
      <c r="O4531" s="17"/>
      <c r="P4531" s="17" t="s">
        <v>3245</v>
      </c>
      <c r="Q4531" s="17"/>
      <c r="R4531" s="25" t="str">
        <f>HYPERLINK("https://ictv.global/taxonomy/taxondetails?taxnode_id=202311619","Plateaulakevirus pv2L372D")</f>
        <v>Plateaulakevirus pv2L372D</v>
      </c>
      <c r="S4531" s="18" t="s">
        <v>30</v>
      </c>
      <c r="T4531" s="18" t="s">
        <v>3246</v>
      </c>
      <c r="U4531" s="18"/>
      <c r="V4531" s="18"/>
      <c r="W4531" s="18" t="s">
        <v>3247</v>
      </c>
      <c r="X4531" s="18" t="s">
        <v>42</v>
      </c>
      <c r="Y4531" s="18" t="s">
        <v>36</v>
      </c>
      <c r="Z4531" s="18" t="s">
        <v>697</v>
      </c>
      <c r="AA4531" s="21" t="str">
        <f>HYPERLINK("https://www.ncbi.nlm.nih.gov/nuccore/MK804893","NCBI Nucleotide")</f>
        <v>NCBI Nucleotide</v>
      </c>
    </row>
    <row r="4532" spans="1:27" x14ac:dyDescent="0.35">
      <c r="A4532">
        <v>1006307</v>
      </c>
      <c r="B4532">
        <v>4508</v>
      </c>
      <c r="C4532">
        <v>1</v>
      </c>
      <c r="D4532" s="17" t="s">
        <v>155</v>
      </c>
      <c r="E4532" s="17"/>
      <c r="F4532" s="17" t="s">
        <v>156</v>
      </c>
      <c r="G4532" s="17"/>
      <c r="H4532" s="17" t="s">
        <v>692</v>
      </c>
      <c r="I4532" s="17"/>
      <c r="J4532" s="17" t="s">
        <v>693</v>
      </c>
      <c r="K4532" s="17"/>
      <c r="L4532" s="17"/>
      <c r="M4532" s="17"/>
      <c r="N4532" s="17"/>
      <c r="O4532" s="17"/>
      <c r="P4532" s="17" t="s">
        <v>3245</v>
      </c>
      <c r="Q4532" s="17"/>
      <c r="R4532" s="25" t="str">
        <f>HYPERLINK("https://ictv.global/taxonomy/taxondetails?taxnode_id=202311621","Plateaulakevirus pv2L372X")</f>
        <v>Plateaulakevirus pv2L372X</v>
      </c>
      <c r="S4532" s="18" t="s">
        <v>30</v>
      </c>
      <c r="T4532" s="18" t="s">
        <v>3248</v>
      </c>
      <c r="U4532" s="18"/>
      <c r="V4532" s="18"/>
      <c r="W4532" s="18" t="s">
        <v>3249</v>
      </c>
      <c r="X4532" s="18" t="s">
        <v>42</v>
      </c>
      <c r="Y4532" s="18" t="s">
        <v>36</v>
      </c>
      <c r="Z4532" s="18" t="s">
        <v>697</v>
      </c>
      <c r="AA4532" s="21" t="str">
        <f>HYPERLINK("https://www.ncbi.nlm.nih.gov/nuccore/MK813938","NCBI Nucleotide")</f>
        <v>NCBI Nucleotide</v>
      </c>
    </row>
    <row r="4533" spans="1:27" x14ac:dyDescent="0.35">
      <c r="A4533">
        <v>1006308</v>
      </c>
      <c r="B4533">
        <v>4509</v>
      </c>
      <c r="C4533">
        <v>1</v>
      </c>
      <c r="D4533" s="17" t="s">
        <v>155</v>
      </c>
      <c r="E4533" s="17"/>
      <c r="F4533" s="17" t="s">
        <v>156</v>
      </c>
      <c r="G4533" s="17"/>
      <c r="H4533" s="17" t="s">
        <v>692</v>
      </c>
      <c r="I4533" s="17"/>
      <c r="J4533" s="17" t="s">
        <v>693</v>
      </c>
      <c r="K4533" s="17"/>
      <c r="L4533" s="17"/>
      <c r="M4533" s="17"/>
      <c r="N4533" s="17"/>
      <c r="O4533" s="17"/>
      <c r="P4533" s="17" t="s">
        <v>3245</v>
      </c>
      <c r="Q4533" s="17"/>
      <c r="R4533" s="25" t="str">
        <f>HYPERLINK("https://ictv.global/taxonomy/taxondetails?taxnode_id=202311620","Plateaulakevirus pv4L372D")</f>
        <v>Plateaulakevirus pv4L372D</v>
      </c>
      <c r="S4533" s="18" t="s">
        <v>30</v>
      </c>
      <c r="T4533" s="18" t="s">
        <v>3250</v>
      </c>
      <c r="U4533" s="18"/>
      <c r="V4533" s="18"/>
      <c r="W4533" s="18" t="s">
        <v>3251</v>
      </c>
      <c r="X4533" s="18" t="s">
        <v>42</v>
      </c>
      <c r="Y4533" s="18" t="s">
        <v>36</v>
      </c>
      <c r="Z4533" s="18" t="s">
        <v>697</v>
      </c>
      <c r="AA4533" s="21" t="str">
        <f>HYPERLINK("https://www.ncbi.nlm.nih.gov/nuccore/MK813939","NCBI Nucleotide")</f>
        <v>NCBI Nucleotide</v>
      </c>
    </row>
    <row r="4534" spans="1:27" x14ac:dyDescent="0.35">
      <c r="A4534">
        <v>1006309</v>
      </c>
      <c r="B4534">
        <v>4510</v>
      </c>
      <c r="C4534">
        <v>1</v>
      </c>
      <c r="D4534" s="17" t="s">
        <v>155</v>
      </c>
      <c r="E4534" s="17"/>
      <c r="F4534" s="17" t="s">
        <v>156</v>
      </c>
      <c r="G4534" s="17"/>
      <c r="H4534" s="17" t="s">
        <v>692</v>
      </c>
      <c r="I4534" s="17"/>
      <c r="J4534" s="17" t="s">
        <v>693</v>
      </c>
      <c r="K4534" s="17"/>
      <c r="L4534" s="17"/>
      <c r="M4534" s="17"/>
      <c r="N4534" s="17"/>
      <c r="O4534" s="17"/>
      <c r="P4534" s="17" t="s">
        <v>3245</v>
      </c>
      <c r="Q4534" s="17"/>
      <c r="R4534" s="25" t="str">
        <f>HYPERLINK("https://ictv.global/taxonomy/taxondetails?taxnode_id=202311622","Plateaulakevirus pv4L372XY")</f>
        <v>Plateaulakevirus pv4L372XY</v>
      </c>
      <c r="S4534" s="18" t="s">
        <v>30</v>
      </c>
      <c r="T4534" s="18" t="s">
        <v>3252</v>
      </c>
      <c r="U4534" s="18"/>
      <c r="V4534" s="18"/>
      <c r="W4534" s="18" t="s">
        <v>3253</v>
      </c>
      <c r="X4534" s="18" t="s">
        <v>42</v>
      </c>
      <c r="Y4534" s="18" t="s">
        <v>36</v>
      </c>
      <c r="Z4534" s="18" t="s">
        <v>697</v>
      </c>
      <c r="AA4534" s="21" t="str">
        <f>HYPERLINK("https://www.ncbi.nlm.nih.gov/nuccore/MK813941","NCBI Nucleotide")</f>
        <v>NCBI Nucleotide</v>
      </c>
    </row>
    <row r="4535" spans="1:27" x14ac:dyDescent="0.35">
      <c r="A4535">
        <v>1006310</v>
      </c>
      <c r="B4535">
        <v>4511</v>
      </c>
      <c r="C4535">
        <v>1</v>
      </c>
      <c r="D4535" s="17" t="s">
        <v>155</v>
      </c>
      <c r="E4535" s="17"/>
      <c r="F4535" s="17" t="s">
        <v>156</v>
      </c>
      <c r="G4535" s="17"/>
      <c r="H4535" s="17" t="s">
        <v>692</v>
      </c>
      <c r="I4535" s="17"/>
      <c r="J4535" s="17" t="s">
        <v>693</v>
      </c>
      <c r="K4535" s="17"/>
      <c r="L4535" s="17"/>
      <c r="M4535" s="17"/>
      <c r="N4535" s="17"/>
      <c r="O4535" s="17"/>
      <c r="P4535" s="17" t="s">
        <v>3254</v>
      </c>
      <c r="Q4535" s="17"/>
      <c r="R4535" s="25" t="str">
        <f>HYPERLINK("https://ictv.global/taxonomy/taxondetails?taxnode_id=202310187","Pleeduovirus PLE2")</f>
        <v>Pleeduovirus PLE2</v>
      </c>
      <c r="S4535" s="18" t="s">
        <v>30</v>
      </c>
      <c r="T4535" s="18" t="s">
        <v>3255</v>
      </c>
      <c r="U4535" s="18"/>
      <c r="V4535" s="18"/>
      <c r="W4535" s="18" t="s">
        <v>3256</v>
      </c>
      <c r="X4535" s="18" t="s">
        <v>42</v>
      </c>
      <c r="Y4535" s="18" t="s">
        <v>36</v>
      </c>
      <c r="Z4535" s="18" t="s">
        <v>697</v>
      </c>
      <c r="AA4535" s="21" t="str">
        <f>HYPERLINK("https://www.ncbi.nlm.nih.gov/nuccore/KU848187","NCBI Nucleotide")</f>
        <v>NCBI Nucleotide</v>
      </c>
    </row>
    <row r="4536" spans="1:27" x14ac:dyDescent="0.35">
      <c r="A4536">
        <v>1006311</v>
      </c>
      <c r="B4536">
        <v>4512</v>
      </c>
      <c r="C4536">
        <v>1</v>
      </c>
      <c r="D4536" s="17" t="s">
        <v>155</v>
      </c>
      <c r="E4536" s="17"/>
      <c r="F4536" s="17" t="s">
        <v>156</v>
      </c>
      <c r="G4536" s="17"/>
      <c r="H4536" s="17" t="s">
        <v>692</v>
      </c>
      <c r="I4536" s="17"/>
      <c r="J4536" s="17" t="s">
        <v>693</v>
      </c>
      <c r="K4536" s="17"/>
      <c r="L4536" s="17"/>
      <c r="M4536" s="17"/>
      <c r="N4536" s="17"/>
      <c r="O4536" s="17"/>
      <c r="P4536" s="17" t="s">
        <v>3257</v>
      </c>
      <c r="Q4536" s="17"/>
      <c r="R4536" s="25" t="str">
        <f>HYPERLINK("https://ictv.global/taxonomy/taxondetails?taxnode_id=202310185","Pleetrevirus iLp84")</f>
        <v>Pleetrevirus iLp84</v>
      </c>
      <c r="S4536" s="18" t="s">
        <v>30</v>
      </c>
      <c r="T4536" s="18" t="s">
        <v>3258</v>
      </c>
      <c r="U4536" s="18"/>
      <c r="V4536" s="18"/>
      <c r="W4536" s="18" t="s">
        <v>3259</v>
      </c>
      <c r="X4536" s="18" t="s">
        <v>42</v>
      </c>
      <c r="Y4536" s="18" t="s">
        <v>36</v>
      </c>
      <c r="Z4536" s="18" t="s">
        <v>697</v>
      </c>
      <c r="AA4536" s="21" t="str">
        <f>HYPERLINK("https://www.ncbi.nlm.nih.gov/nuccore/KR905069","NCBI Nucleotide")</f>
        <v>NCBI Nucleotide</v>
      </c>
    </row>
    <row r="4537" spans="1:27" x14ac:dyDescent="0.35">
      <c r="A4537">
        <v>1006312</v>
      </c>
      <c r="B4537">
        <v>4513</v>
      </c>
      <c r="C4537">
        <v>1</v>
      </c>
      <c r="D4537" s="17" t="s">
        <v>155</v>
      </c>
      <c r="E4537" s="17"/>
      <c r="F4537" s="17" t="s">
        <v>156</v>
      </c>
      <c r="G4537" s="17"/>
      <c r="H4537" s="17" t="s">
        <v>692</v>
      </c>
      <c r="I4537" s="17"/>
      <c r="J4537" s="17" t="s">
        <v>693</v>
      </c>
      <c r="K4537" s="17"/>
      <c r="L4537" s="17"/>
      <c r="M4537" s="17"/>
      <c r="N4537" s="17"/>
      <c r="O4537" s="17"/>
      <c r="P4537" s="17" t="s">
        <v>3257</v>
      </c>
      <c r="Q4537" s="17"/>
      <c r="R4537" s="25" t="str">
        <f>HYPERLINK("https://ictv.global/taxonomy/taxondetails?taxnode_id=202310184","Pleetrevirus PLE3")</f>
        <v>Pleetrevirus PLE3</v>
      </c>
      <c r="S4537" s="18" t="s">
        <v>30</v>
      </c>
      <c r="T4537" s="18" t="s">
        <v>3260</v>
      </c>
      <c r="U4537" s="18"/>
      <c r="V4537" s="18"/>
      <c r="W4537" s="18" t="s">
        <v>3261</v>
      </c>
      <c r="X4537" s="18" t="s">
        <v>42</v>
      </c>
      <c r="Y4537" s="18" t="s">
        <v>36</v>
      </c>
      <c r="Z4537" s="18" t="s">
        <v>697</v>
      </c>
      <c r="AA4537" s="21" t="str">
        <f>HYPERLINK("https://www.ncbi.nlm.nih.gov/nuccore/KU848186","NCBI Nucleotide")</f>
        <v>NCBI Nucleotide</v>
      </c>
    </row>
    <row r="4538" spans="1:27" x14ac:dyDescent="0.35">
      <c r="A4538">
        <v>1006313</v>
      </c>
      <c r="B4538">
        <v>4514</v>
      </c>
      <c r="C4538">
        <v>1</v>
      </c>
      <c r="D4538" s="17" t="s">
        <v>155</v>
      </c>
      <c r="E4538" s="17"/>
      <c r="F4538" s="17" t="s">
        <v>156</v>
      </c>
      <c r="G4538" s="17"/>
      <c r="H4538" s="17" t="s">
        <v>692</v>
      </c>
      <c r="I4538" s="17"/>
      <c r="J4538" s="17" t="s">
        <v>693</v>
      </c>
      <c r="K4538" s="17"/>
      <c r="L4538" s="17"/>
      <c r="M4538" s="17"/>
      <c r="N4538" s="17"/>
      <c r="O4538" s="17"/>
      <c r="P4538" s="17" t="s">
        <v>3262</v>
      </c>
      <c r="Q4538" s="17"/>
      <c r="R4538" s="25" t="str">
        <f>HYPERLINK("https://ictv.global/taxonomy/taxondetails?taxnode_id=202306720","Polybotosvirus Atuph07")</f>
        <v>Polybotosvirus Atuph07</v>
      </c>
      <c r="S4538" s="18" t="s">
        <v>30</v>
      </c>
      <c r="T4538" s="18" t="s">
        <v>3263</v>
      </c>
      <c r="U4538" s="18"/>
      <c r="V4538" s="18"/>
      <c r="W4538" s="18" t="s">
        <v>3264</v>
      </c>
      <c r="X4538" s="18" t="s">
        <v>42</v>
      </c>
      <c r="Y4538" s="18" t="s">
        <v>36</v>
      </c>
      <c r="Z4538" s="18" t="s">
        <v>697</v>
      </c>
      <c r="AA4538" s="21" t="str">
        <f>HYPERLINK("https://www.ncbi.nlm.nih.gov/nuccore/MF403008","NCBI Nucleotide")</f>
        <v>NCBI Nucleotide</v>
      </c>
    </row>
    <row r="4539" spans="1:27" x14ac:dyDescent="0.35">
      <c r="A4539">
        <v>1006314</v>
      </c>
      <c r="B4539">
        <v>4515</v>
      </c>
      <c r="C4539">
        <v>1</v>
      </c>
      <c r="D4539" s="17" t="s">
        <v>155</v>
      </c>
      <c r="E4539" s="17"/>
      <c r="F4539" s="17" t="s">
        <v>156</v>
      </c>
      <c r="G4539" s="17"/>
      <c r="H4539" s="17" t="s">
        <v>692</v>
      </c>
      <c r="I4539" s="17"/>
      <c r="J4539" s="17" t="s">
        <v>693</v>
      </c>
      <c r="K4539" s="17"/>
      <c r="L4539" s="17"/>
      <c r="M4539" s="17"/>
      <c r="N4539" s="17"/>
      <c r="O4539" s="17"/>
      <c r="P4539" s="17" t="s">
        <v>3265</v>
      </c>
      <c r="Q4539" s="17"/>
      <c r="R4539" s="25" t="str">
        <f>HYPERLINK("https://ictv.global/taxonomy/taxondetails?taxnode_id=202314759","Ponsvirus bigchungus")</f>
        <v>Ponsvirus bigchungus</v>
      </c>
      <c r="S4539" s="18" t="s">
        <v>30</v>
      </c>
      <c r="T4539" s="18" t="s">
        <v>3266</v>
      </c>
      <c r="U4539" s="18"/>
      <c r="V4539" s="18"/>
      <c r="W4539" s="18" t="s">
        <v>3267</v>
      </c>
      <c r="X4539" s="18" t="s">
        <v>42</v>
      </c>
      <c r="Y4539" s="18" t="s">
        <v>36</v>
      </c>
      <c r="Z4539" s="18" t="s">
        <v>697</v>
      </c>
      <c r="AA4539" s="21" t="str">
        <f>HYPERLINK("https://www.ncbi.nlm.nih.gov/nuccore/MT776810","NCBI Nucleotide")</f>
        <v>NCBI Nucleotide</v>
      </c>
    </row>
    <row r="4540" spans="1:27" x14ac:dyDescent="0.35">
      <c r="A4540">
        <v>1006315</v>
      </c>
      <c r="B4540">
        <v>4516</v>
      </c>
      <c r="C4540">
        <v>1</v>
      </c>
      <c r="D4540" s="17" t="s">
        <v>155</v>
      </c>
      <c r="E4540" s="17"/>
      <c r="F4540" s="17" t="s">
        <v>156</v>
      </c>
      <c r="G4540" s="17"/>
      <c r="H4540" s="17" t="s">
        <v>692</v>
      </c>
      <c r="I4540" s="17"/>
      <c r="J4540" s="17" t="s">
        <v>693</v>
      </c>
      <c r="K4540" s="17"/>
      <c r="L4540" s="17"/>
      <c r="M4540" s="17"/>
      <c r="N4540" s="17"/>
      <c r="O4540" s="17"/>
      <c r="P4540" s="17" t="s">
        <v>3265</v>
      </c>
      <c r="Q4540" s="17"/>
      <c r="R4540" s="25" t="str">
        <f>HYPERLINK("https://ictv.global/taxonomy/taxondetails?taxnode_id=202314756","Ponsvirus cherryonlim")</f>
        <v>Ponsvirus cherryonlim</v>
      </c>
      <c r="S4540" s="18" t="s">
        <v>30</v>
      </c>
      <c r="T4540" s="18" t="s">
        <v>3268</v>
      </c>
      <c r="U4540" s="18"/>
      <c r="V4540" s="18"/>
      <c r="W4540" s="18" t="s">
        <v>3269</v>
      </c>
      <c r="X4540" s="18" t="s">
        <v>42</v>
      </c>
      <c r="Y4540" s="18" t="s">
        <v>36</v>
      </c>
      <c r="Z4540" s="18" t="s">
        <v>697</v>
      </c>
      <c r="AA4540" s="21" t="str">
        <f>HYPERLINK("https://www.ncbi.nlm.nih.gov/nuccore/MN284906","NCBI Nucleotide")</f>
        <v>NCBI Nucleotide</v>
      </c>
    </row>
    <row r="4541" spans="1:27" x14ac:dyDescent="0.35">
      <c r="A4541">
        <v>1006316</v>
      </c>
      <c r="B4541">
        <v>4517</v>
      </c>
      <c r="C4541">
        <v>1</v>
      </c>
      <c r="D4541" s="17" t="s">
        <v>155</v>
      </c>
      <c r="E4541" s="17"/>
      <c r="F4541" s="17" t="s">
        <v>156</v>
      </c>
      <c r="G4541" s="17"/>
      <c r="H4541" s="17" t="s">
        <v>692</v>
      </c>
      <c r="I4541" s="17"/>
      <c r="J4541" s="17" t="s">
        <v>693</v>
      </c>
      <c r="K4541" s="17"/>
      <c r="L4541" s="17"/>
      <c r="M4541" s="17"/>
      <c r="N4541" s="17"/>
      <c r="O4541" s="17"/>
      <c r="P4541" s="17" t="s">
        <v>3265</v>
      </c>
      <c r="Q4541" s="17"/>
      <c r="R4541" s="25" t="str">
        <f>HYPERLINK("https://ictv.global/taxonomy/taxondetails?taxnode_id=202314757","Ponsvirus lauer")</f>
        <v>Ponsvirus lauer</v>
      </c>
      <c r="S4541" s="18" t="s">
        <v>30</v>
      </c>
      <c r="T4541" s="18" t="s">
        <v>3270</v>
      </c>
      <c r="U4541" s="18"/>
      <c r="V4541" s="18"/>
      <c r="W4541" s="18" t="s">
        <v>3271</v>
      </c>
      <c r="X4541" s="18" t="s">
        <v>42</v>
      </c>
      <c r="Y4541" s="18" t="s">
        <v>36</v>
      </c>
      <c r="Z4541" s="18" t="s">
        <v>697</v>
      </c>
      <c r="AA4541" s="21" t="str">
        <f>HYPERLINK("https://www.ncbi.nlm.nih.gov/nuccore/MN586015","NCBI Nucleotide")</f>
        <v>NCBI Nucleotide</v>
      </c>
    </row>
    <row r="4542" spans="1:27" x14ac:dyDescent="0.35">
      <c r="A4542">
        <v>1006317</v>
      </c>
      <c r="B4542">
        <v>4518</v>
      </c>
      <c r="C4542">
        <v>1</v>
      </c>
      <c r="D4542" s="17" t="s">
        <v>155</v>
      </c>
      <c r="E4542" s="17"/>
      <c r="F4542" s="17" t="s">
        <v>156</v>
      </c>
      <c r="G4542" s="17"/>
      <c r="H4542" s="17" t="s">
        <v>692</v>
      </c>
      <c r="I4542" s="17"/>
      <c r="J4542" s="17" t="s">
        <v>693</v>
      </c>
      <c r="K4542" s="17"/>
      <c r="L4542" s="17"/>
      <c r="M4542" s="17"/>
      <c r="N4542" s="17"/>
      <c r="O4542" s="17"/>
      <c r="P4542" s="17" t="s">
        <v>3265</v>
      </c>
      <c r="Q4542" s="17"/>
      <c r="R4542" s="25" t="str">
        <f>HYPERLINK("https://ictv.global/taxonomy/taxondetails?taxnode_id=202314755","Ponsvirus mayweather")</f>
        <v>Ponsvirus mayweather</v>
      </c>
      <c r="S4542" s="18" t="s">
        <v>30</v>
      </c>
      <c r="T4542" s="18" t="s">
        <v>3272</v>
      </c>
      <c r="U4542" s="18"/>
      <c r="V4542" s="18"/>
      <c r="W4542" s="18" t="s">
        <v>3273</v>
      </c>
      <c r="X4542" s="18" t="s">
        <v>42</v>
      </c>
      <c r="Y4542" s="18" t="s">
        <v>36</v>
      </c>
      <c r="Z4542" s="18" t="s">
        <v>697</v>
      </c>
      <c r="AA4542" s="21" t="str">
        <f>HYPERLINK("https://www.ncbi.nlm.nih.gov/nuccore/MN062716","NCBI Nucleotide")</f>
        <v>NCBI Nucleotide</v>
      </c>
    </row>
    <row r="4543" spans="1:27" x14ac:dyDescent="0.35">
      <c r="A4543">
        <v>1006318</v>
      </c>
      <c r="B4543">
        <v>4519</v>
      </c>
      <c r="C4543">
        <v>1</v>
      </c>
      <c r="D4543" s="17" t="s">
        <v>155</v>
      </c>
      <c r="E4543" s="17"/>
      <c r="F4543" s="17" t="s">
        <v>156</v>
      </c>
      <c r="G4543" s="17"/>
      <c r="H4543" s="17" t="s">
        <v>692</v>
      </c>
      <c r="I4543" s="17"/>
      <c r="J4543" s="17" t="s">
        <v>693</v>
      </c>
      <c r="K4543" s="17"/>
      <c r="L4543" s="17"/>
      <c r="M4543" s="17"/>
      <c r="N4543" s="17"/>
      <c r="O4543" s="17"/>
      <c r="P4543" s="17" t="s">
        <v>3265</v>
      </c>
      <c r="Q4543" s="17"/>
      <c r="R4543" s="25" t="str">
        <f>HYPERLINK("https://ictv.global/taxonomy/taxondetails?taxnode_id=202314754","Ponsvirus pons")</f>
        <v>Ponsvirus pons</v>
      </c>
      <c r="S4543" s="18" t="s">
        <v>30</v>
      </c>
      <c r="T4543" s="18" t="s">
        <v>3274</v>
      </c>
      <c r="U4543" s="18"/>
      <c r="V4543" s="18"/>
      <c r="W4543" s="18" t="s">
        <v>3275</v>
      </c>
      <c r="X4543" s="18" t="s">
        <v>42</v>
      </c>
      <c r="Y4543" s="18" t="s">
        <v>36</v>
      </c>
      <c r="Z4543" s="18" t="s">
        <v>697</v>
      </c>
      <c r="AA4543" s="21" t="str">
        <f>HYPERLINK("https://www.ncbi.nlm.nih.gov/nuccore/OK040785","NCBI Nucleotide")</f>
        <v>NCBI Nucleotide</v>
      </c>
    </row>
    <row r="4544" spans="1:27" x14ac:dyDescent="0.35">
      <c r="A4544">
        <v>1006319</v>
      </c>
      <c r="B4544">
        <v>4520</v>
      </c>
      <c r="C4544">
        <v>1</v>
      </c>
      <c r="D4544" s="17" t="s">
        <v>155</v>
      </c>
      <c r="E4544" s="17"/>
      <c r="F4544" s="17" t="s">
        <v>156</v>
      </c>
      <c r="G4544" s="17"/>
      <c r="H4544" s="17" t="s">
        <v>692</v>
      </c>
      <c r="I4544" s="17"/>
      <c r="J4544" s="17" t="s">
        <v>693</v>
      </c>
      <c r="K4544" s="17"/>
      <c r="L4544" s="17"/>
      <c r="M4544" s="17"/>
      <c r="N4544" s="17"/>
      <c r="O4544" s="17"/>
      <c r="P4544" s="17" t="s">
        <v>3265</v>
      </c>
      <c r="Q4544" s="17"/>
      <c r="R4544" s="25" t="str">
        <f>HYPERLINK("https://ictv.global/taxonomy/taxondetails?taxnode_id=202314758","Ponsvirus sheckwes")</f>
        <v>Ponsvirus sheckwes</v>
      </c>
      <c r="S4544" s="18" t="s">
        <v>30</v>
      </c>
      <c r="T4544" s="18" t="s">
        <v>3276</v>
      </c>
      <c r="U4544" s="18"/>
      <c r="V4544" s="18"/>
      <c r="W4544" s="18" t="s">
        <v>3277</v>
      </c>
      <c r="X4544" s="18" t="s">
        <v>42</v>
      </c>
      <c r="Y4544" s="18" t="s">
        <v>36</v>
      </c>
      <c r="Z4544" s="18" t="s">
        <v>697</v>
      </c>
      <c r="AA4544" s="21" t="str">
        <f>HYPERLINK("https://www.ncbi.nlm.nih.gov/nuccore/MK967385","NCBI Nucleotide")</f>
        <v>NCBI Nucleotide</v>
      </c>
    </row>
    <row r="4545" spans="1:27" x14ac:dyDescent="0.35">
      <c r="A4545">
        <v>1006320</v>
      </c>
      <c r="B4545">
        <v>4521</v>
      </c>
      <c r="C4545">
        <v>1</v>
      </c>
      <c r="D4545" s="17" t="s">
        <v>155</v>
      </c>
      <c r="E4545" s="17"/>
      <c r="F4545" s="17" t="s">
        <v>156</v>
      </c>
      <c r="G4545" s="17"/>
      <c r="H4545" s="17" t="s">
        <v>692</v>
      </c>
      <c r="I4545" s="17"/>
      <c r="J4545" s="17" t="s">
        <v>693</v>
      </c>
      <c r="K4545" s="17"/>
      <c r="L4545" s="17"/>
      <c r="M4545" s="17"/>
      <c r="N4545" s="17"/>
      <c r="O4545" s="17"/>
      <c r="P4545" s="17" t="s">
        <v>3265</v>
      </c>
      <c r="Q4545" s="17"/>
      <c r="R4545" s="25" t="str">
        <f>HYPERLINK("https://ictv.global/taxonomy/taxondetails?taxnode_id=202314760","Ponsvirus vine")</f>
        <v>Ponsvirus vine</v>
      </c>
      <c r="S4545" s="18" t="s">
        <v>30</v>
      </c>
      <c r="T4545" s="18" t="s">
        <v>3278</v>
      </c>
      <c r="U4545" s="18"/>
      <c r="V4545" s="18"/>
      <c r="W4545" s="18" t="s">
        <v>3279</v>
      </c>
      <c r="X4545" s="18" t="s">
        <v>42</v>
      </c>
      <c r="Y4545" s="18" t="s">
        <v>36</v>
      </c>
      <c r="Z4545" s="18" t="s">
        <v>697</v>
      </c>
      <c r="AA4545" s="21" t="str">
        <f>HYPERLINK("https://www.ncbi.nlm.nih.gov/nuccore/MZ622167","NCBI Nucleotide")</f>
        <v>NCBI Nucleotide</v>
      </c>
    </row>
    <row r="4546" spans="1:27" x14ac:dyDescent="0.35">
      <c r="A4546">
        <v>1006321</v>
      </c>
      <c r="B4546">
        <v>4522</v>
      </c>
      <c r="C4546">
        <v>1</v>
      </c>
      <c r="D4546" s="17" t="s">
        <v>155</v>
      </c>
      <c r="E4546" s="17"/>
      <c r="F4546" s="17" t="s">
        <v>156</v>
      </c>
      <c r="G4546" s="17"/>
      <c r="H4546" s="17" t="s">
        <v>692</v>
      </c>
      <c r="I4546" s="17"/>
      <c r="J4546" s="17" t="s">
        <v>693</v>
      </c>
      <c r="K4546" s="17"/>
      <c r="L4546" s="17"/>
      <c r="M4546" s="17"/>
      <c r="N4546" s="17"/>
      <c r="O4546" s="17"/>
      <c r="P4546" s="17" t="s">
        <v>3280</v>
      </c>
      <c r="Q4546" s="17"/>
      <c r="R4546" s="25" t="str">
        <f>HYPERLINK("https://ictv.global/taxonomy/taxondetails?taxnode_id=202306778","Popoffvirus pv56")</f>
        <v>Popoffvirus pv56</v>
      </c>
      <c r="S4546" s="18" t="s">
        <v>30</v>
      </c>
      <c r="T4546" s="18" t="s">
        <v>3281</v>
      </c>
      <c r="U4546" s="18"/>
      <c r="V4546" s="18"/>
      <c r="W4546" s="18" t="s">
        <v>3282</v>
      </c>
      <c r="X4546" s="18" t="s">
        <v>42</v>
      </c>
      <c r="Y4546" s="18" t="s">
        <v>36</v>
      </c>
      <c r="Z4546" s="18" t="s">
        <v>697</v>
      </c>
      <c r="AA4546" s="21" t="str">
        <f>HYPERLINK("https://www.ncbi.nlm.nih.gov/nuccore/JQ177063","NCBI Nucleotide")</f>
        <v>NCBI Nucleotide</v>
      </c>
    </row>
    <row r="4547" spans="1:27" x14ac:dyDescent="0.35">
      <c r="A4547">
        <v>1024781</v>
      </c>
      <c r="B4547">
        <v>4523</v>
      </c>
      <c r="C4547">
        <v>1</v>
      </c>
      <c r="D4547" s="17" t="s">
        <v>155</v>
      </c>
      <c r="E4547" s="17"/>
      <c r="F4547" s="17" t="s">
        <v>156</v>
      </c>
      <c r="G4547" s="17"/>
      <c r="H4547" s="17" t="s">
        <v>692</v>
      </c>
      <c r="I4547" s="17"/>
      <c r="J4547" s="17" t="s">
        <v>693</v>
      </c>
      <c r="K4547" s="17"/>
      <c r="L4547" s="17"/>
      <c r="M4547" s="17"/>
      <c r="N4547" s="17"/>
      <c r="O4547" s="17"/>
      <c r="P4547" s="17" t="s">
        <v>40005</v>
      </c>
      <c r="Q4547" s="17"/>
      <c r="R4547" s="25" t="str">
        <f>HYPERLINK("https://ictv.global/taxonomy/taxondetails?taxnode_id=202319236","Porunavirus POR1")</f>
        <v>Porunavirus POR1</v>
      </c>
      <c r="S4547" s="18" t="s">
        <v>30</v>
      </c>
      <c r="T4547" s="18" t="s">
        <v>40006</v>
      </c>
      <c r="U4547" s="18"/>
      <c r="V4547" s="18"/>
      <c r="W4547" s="18" t="s">
        <v>48559</v>
      </c>
      <c r="X4547" s="18" t="s">
        <v>42</v>
      </c>
      <c r="Y4547" s="18" t="s">
        <v>36</v>
      </c>
      <c r="Z4547" s="18" t="s">
        <v>697</v>
      </c>
      <c r="AA4547" s="21" t="str">
        <f>HYPERLINK("https://www.ncbi.nlm.nih.gov/nuccore/KT716399","NCBI Nucleotide")</f>
        <v>NCBI Nucleotide</v>
      </c>
    </row>
    <row r="4548" spans="1:27" x14ac:dyDescent="0.35">
      <c r="A4548">
        <v>1006322</v>
      </c>
      <c r="B4548">
        <v>4524</v>
      </c>
      <c r="C4548">
        <v>1</v>
      </c>
      <c r="D4548" s="17" t="s">
        <v>155</v>
      </c>
      <c r="E4548" s="17"/>
      <c r="F4548" s="17" t="s">
        <v>156</v>
      </c>
      <c r="G4548" s="17"/>
      <c r="H4548" s="17" t="s">
        <v>692</v>
      </c>
      <c r="I4548" s="17"/>
      <c r="J4548" s="17" t="s">
        <v>693</v>
      </c>
      <c r="K4548" s="17"/>
      <c r="L4548" s="17"/>
      <c r="M4548" s="17"/>
      <c r="N4548" s="17"/>
      <c r="O4548" s="17"/>
      <c r="P4548" s="17" t="s">
        <v>3283</v>
      </c>
      <c r="Q4548" s="17"/>
      <c r="R4548" s="25" t="str">
        <f>HYPERLINK("https://ictv.global/taxonomy/taxondetails?taxnode_id=202306592","Poushouvirus Poushou")</f>
        <v>Poushouvirus Poushou</v>
      </c>
      <c r="S4548" s="18" t="s">
        <v>30</v>
      </c>
      <c r="T4548" s="18" t="s">
        <v>3284</v>
      </c>
      <c r="U4548" s="18"/>
      <c r="V4548" s="18"/>
      <c r="W4548" s="18" t="s">
        <v>3285</v>
      </c>
      <c r="X4548" s="18" t="s">
        <v>42</v>
      </c>
      <c r="Y4548" s="18" t="s">
        <v>36</v>
      </c>
      <c r="Z4548" s="18" t="s">
        <v>697</v>
      </c>
      <c r="AA4548" s="21" t="str">
        <f>HYPERLINK("https://www.ncbi.nlm.nih.gov/nuccore/MF197383","NCBI Nucleotide")</f>
        <v>NCBI Nucleotide</v>
      </c>
    </row>
    <row r="4549" spans="1:27" x14ac:dyDescent="0.35">
      <c r="A4549">
        <v>1006323</v>
      </c>
      <c r="B4549">
        <v>4525</v>
      </c>
      <c r="C4549">
        <v>1</v>
      </c>
      <c r="D4549" s="17" t="s">
        <v>155</v>
      </c>
      <c r="E4549" s="17"/>
      <c r="F4549" s="17" t="s">
        <v>156</v>
      </c>
      <c r="G4549" s="17"/>
      <c r="H4549" s="17" t="s">
        <v>692</v>
      </c>
      <c r="I4549" s="17"/>
      <c r="J4549" s="17" t="s">
        <v>693</v>
      </c>
      <c r="K4549" s="17"/>
      <c r="L4549" s="17"/>
      <c r="M4549" s="17"/>
      <c r="N4549" s="17"/>
      <c r="O4549" s="17"/>
      <c r="P4549" s="17" t="s">
        <v>3286</v>
      </c>
      <c r="Q4549" s="17"/>
      <c r="R4549" s="25" t="str">
        <f>HYPERLINK("https://ictv.global/taxonomy/taxondetails?taxnode_id=202314910","Powerballvirus powerball")</f>
        <v>Powerballvirus powerball</v>
      </c>
      <c r="S4549" s="18" t="s">
        <v>30</v>
      </c>
      <c r="T4549" s="18" t="s">
        <v>3287</v>
      </c>
      <c r="U4549" s="18"/>
      <c r="V4549" s="18"/>
      <c r="W4549" s="18" t="s">
        <v>3288</v>
      </c>
      <c r="X4549" s="18" t="s">
        <v>42</v>
      </c>
      <c r="Y4549" s="18" t="s">
        <v>36</v>
      </c>
      <c r="Z4549" s="18" t="s">
        <v>697</v>
      </c>
      <c r="AA4549" s="21" t="str">
        <f>HYPERLINK("https://www.ncbi.nlm.nih.gov/nuccore/MN234218","NCBI Nucleotide")</f>
        <v>NCBI Nucleotide</v>
      </c>
    </row>
    <row r="4550" spans="1:27" x14ac:dyDescent="0.35">
      <c r="A4550">
        <v>1006324</v>
      </c>
      <c r="B4550">
        <v>4526</v>
      </c>
      <c r="C4550">
        <v>1</v>
      </c>
      <c r="D4550" s="17" t="s">
        <v>155</v>
      </c>
      <c r="E4550" s="17"/>
      <c r="F4550" s="17" t="s">
        <v>156</v>
      </c>
      <c r="G4550" s="17"/>
      <c r="H4550" s="17" t="s">
        <v>692</v>
      </c>
      <c r="I4550" s="17"/>
      <c r="J4550" s="17" t="s">
        <v>693</v>
      </c>
      <c r="K4550" s="17"/>
      <c r="L4550" s="17"/>
      <c r="M4550" s="17"/>
      <c r="N4550" s="17"/>
      <c r="O4550" s="17"/>
      <c r="P4550" s="17" t="s">
        <v>3289</v>
      </c>
      <c r="Q4550" s="17"/>
      <c r="R4550" s="25" t="str">
        <f>HYPERLINK("https://ictv.global/taxonomy/taxondetails?taxnode_id=202300856","Predatorvirus predator")</f>
        <v>Predatorvirus predator</v>
      </c>
      <c r="S4550" s="18" t="s">
        <v>30</v>
      </c>
      <c r="T4550" s="18" t="s">
        <v>3290</v>
      </c>
      <c r="U4550" s="18"/>
      <c r="V4550" s="18"/>
      <c r="W4550" s="18" t="s">
        <v>3291</v>
      </c>
      <c r="X4550" s="18" t="s">
        <v>42</v>
      </c>
      <c r="Y4550" s="18" t="s">
        <v>36</v>
      </c>
      <c r="Z4550" s="18" t="s">
        <v>697</v>
      </c>
      <c r="AA4550" s="21" t="str">
        <f>HYPERLINK("https://www.ncbi.nlm.nih.gov/nuccore/EU770222","NCBI Nucleotide")</f>
        <v>NCBI Nucleotide</v>
      </c>
    </row>
    <row r="4551" spans="1:27" x14ac:dyDescent="0.35">
      <c r="A4551">
        <v>1006325</v>
      </c>
      <c r="B4551">
        <v>4527</v>
      </c>
      <c r="C4551">
        <v>1</v>
      </c>
      <c r="D4551" s="17" t="s">
        <v>155</v>
      </c>
      <c r="E4551" s="17"/>
      <c r="F4551" s="17" t="s">
        <v>156</v>
      </c>
      <c r="G4551" s="17"/>
      <c r="H4551" s="17" t="s">
        <v>692</v>
      </c>
      <c r="I4551" s="17"/>
      <c r="J4551" s="17" t="s">
        <v>693</v>
      </c>
      <c r="K4551" s="17"/>
      <c r="L4551" s="17"/>
      <c r="M4551" s="17"/>
      <c r="N4551" s="17"/>
      <c r="O4551" s="17"/>
      <c r="P4551" s="17" t="s">
        <v>3292</v>
      </c>
      <c r="Q4551" s="17"/>
      <c r="R4551" s="25" t="str">
        <f>HYPERLINK("https://ictv.global/taxonomy/taxondetails?taxnode_id=202301237","Psavirus LP302")</f>
        <v>Psavirus LP302</v>
      </c>
      <c r="S4551" s="18" t="s">
        <v>30</v>
      </c>
      <c r="T4551" s="18" t="s">
        <v>3293</v>
      </c>
      <c r="U4551" s="18"/>
      <c r="V4551" s="18"/>
      <c r="W4551" s="18" t="s">
        <v>3294</v>
      </c>
      <c r="X4551" s="18" t="s">
        <v>42</v>
      </c>
      <c r="Y4551" s="18" t="s">
        <v>36</v>
      </c>
      <c r="Z4551" s="18" t="s">
        <v>697</v>
      </c>
      <c r="AA4551" s="21" t="str">
        <f>HYPERLINK("https://www.ncbi.nlm.nih.gov/nuccore/JX120799","NCBI Nucleotide")</f>
        <v>NCBI Nucleotide</v>
      </c>
    </row>
    <row r="4552" spans="1:27" x14ac:dyDescent="0.35">
      <c r="A4552">
        <v>1006326</v>
      </c>
      <c r="B4552">
        <v>4528</v>
      </c>
      <c r="C4552">
        <v>1</v>
      </c>
      <c r="D4552" s="17" t="s">
        <v>155</v>
      </c>
      <c r="E4552" s="17"/>
      <c r="F4552" s="17" t="s">
        <v>156</v>
      </c>
      <c r="G4552" s="17"/>
      <c r="H4552" s="17" t="s">
        <v>692</v>
      </c>
      <c r="I4552" s="17"/>
      <c r="J4552" s="17" t="s">
        <v>693</v>
      </c>
      <c r="K4552" s="17"/>
      <c r="L4552" s="17"/>
      <c r="M4552" s="17"/>
      <c r="N4552" s="17"/>
      <c r="O4552" s="17"/>
      <c r="P4552" s="17" t="s">
        <v>3292</v>
      </c>
      <c r="Q4552" s="17"/>
      <c r="R4552" s="25" t="str">
        <f>HYPERLINK("https://ictv.global/taxonomy/taxondetails?taxnode_id=202301238","Psavirus PSA")</f>
        <v>Psavirus PSA</v>
      </c>
      <c r="S4552" s="18" t="s">
        <v>30</v>
      </c>
      <c r="T4552" s="18" t="s">
        <v>3295</v>
      </c>
      <c r="U4552" s="18"/>
      <c r="V4552" s="18"/>
      <c r="W4552" s="18" t="s">
        <v>3296</v>
      </c>
      <c r="X4552" s="18" t="s">
        <v>42</v>
      </c>
      <c r="Y4552" s="18" t="s">
        <v>36</v>
      </c>
      <c r="Z4552" s="18" t="s">
        <v>697</v>
      </c>
      <c r="AA4552" s="21" t="str">
        <f>HYPERLINK("https://www.ncbi.nlm.nih.gov/nuccore/AJ312240","NCBI Nucleotide")</f>
        <v>NCBI Nucleotide</v>
      </c>
    </row>
    <row r="4553" spans="1:27" x14ac:dyDescent="0.35">
      <c r="A4553">
        <v>1006327</v>
      </c>
      <c r="B4553">
        <v>4529</v>
      </c>
      <c r="C4553">
        <v>1</v>
      </c>
      <c r="D4553" s="17" t="s">
        <v>155</v>
      </c>
      <c r="E4553" s="17"/>
      <c r="F4553" s="17" t="s">
        <v>156</v>
      </c>
      <c r="G4553" s="17"/>
      <c r="H4553" s="17" t="s">
        <v>692</v>
      </c>
      <c r="I4553" s="17"/>
      <c r="J4553" s="17" t="s">
        <v>693</v>
      </c>
      <c r="K4553" s="17"/>
      <c r="L4553" s="17"/>
      <c r="M4553" s="17"/>
      <c r="N4553" s="17"/>
      <c r="O4553" s="17"/>
      <c r="P4553" s="17" t="s">
        <v>3297</v>
      </c>
      <c r="Q4553" s="17"/>
      <c r="R4553" s="25" t="str">
        <f>HYPERLINK("https://ictv.global/taxonomy/taxondetails?taxnode_id=202312889","Pukovnikvirus bactobuster")</f>
        <v>Pukovnikvirus bactobuster</v>
      </c>
      <c r="S4553" s="18" t="s">
        <v>30</v>
      </c>
      <c r="T4553" s="18" t="s">
        <v>3298</v>
      </c>
      <c r="U4553" s="18"/>
      <c r="V4553" s="18"/>
      <c r="W4553" s="18" t="s">
        <v>3299</v>
      </c>
      <c r="X4553" s="18" t="s">
        <v>42</v>
      </c>
      <c r="Y4553" s="18" t="s">
        <v>36</v>
      </c>
      <c r="Z4553" s="18" t="s">
        <v>697</v>
      </c>
      <c r="AA4553" s="21" t="str">
        <f>HYPERLINK("https://www.ncbi.nlm.nih.gov/nuccore/KU568494","NCBI Nucleotide")</f>
        <v>NCBI Nucleotide</v>
      </c>
    </row>
    <row r="4554" spans="1:27" x14ac:dyDescent="0.35">
      <c r="A4554">
        <v>1006328</v>
      </c>
      <c r="B4554">
        <v>4530</v>
      </c>
      <c r="C4554">
        <v>1</v>
      </c>
      <c r="D4554" s="17" t="s">
        <v>155</v>
      </c>
      <c r="E4554" s="17"/>
      <c r="F4554" s="17" t="s">
        <v>156</v>
      </c>
      <c r="G4554" s="17"/>
      <c r="H4554" s="17" t="s">
        <v>692</v>
      </c>
      <c r="I4554" s="17"/>
      <c r="J4554" s="17" t="s">
        <v>693</v>
      </c>
      <c r="K4554" s="17"/>
      <c r="L4554" s="17"/>
      <c r="M4554" s="17"/>
      <c r="N4554" s="17"/>
      <c r="O4554" s="17"/>
      <c r="P4554" s="17" t="s">
        <v>3297</v>
      </c>
      <c r="Q4554" s="17"/>
      <c r="R4554" s="25" t="str">
        <f>HYPERLINK("https://ictv.global/taxonomy/taxondetails?taxnode_id=202312888","Pukovnikvirus ironman")</f>
        <v>Pukovnikvirus ironman</v>
      </c>
      <c r="S4554" s="18" t="s">
        <v>30</v>
      </c>
      <c r="T4554" s="18" t="s">
        <v>3300</v>
      </c>
      <c r="U4554" s="18"/>
      <c r="V4554" s="18"/>
      <c r="W4554" s="18" t="s">
        <v>3301</v>
      </c>
      <c r="X4554" s="18" t="s">
        <v>42</v>
      </c>
      <c r="Y4554" s="18" t="s">
        <v>36</v>
      </c>
      <c r="Z4554" s="18" t="s">
        <v>697</v>
      </c>
      <c r="AA4554" s="21" t="str">
        <f>HYPERLINK("https://www.ncbi.nlm.nih.gov/nuccore/MK279857","NCBI Nucleotide")</f>
        <v>NCBI Nucleotide</v>
      </c>
    </row>
    <row r="4555" spans="1:27" x14ac:dyDescent="0.35">
      <c r="A4555">
        <v>1006329</v>
      </c>
      <c r="B4555">
        <v>4531</v>
      </c>
      <c r="C4555">
        <v>1</v>
      </c>
      <c r="D4555" s="17" t="s">
        <v>155</v>
      </c>
      <c r="E4555" s="17"/>
      <c r="F4555" s="17" t="s">
        <v>156</v>
      </c>
      <c r="G4555" s="17"/>
      <c r="H4555" s="17" t="s">
        <v>692</v>
      </c>
      <c r="I4555" s="17"/>
      <c r="J4555" s="17" t="s">
        <v>693</v>
      </c>
      <c r="K4555" s="17"/>
      <c r="L4555" s="17"/>
      <c r="M4555" s="17"/>
      <c r="N4555" s="17"/>
      <c r="O4555" s="17"/>
      <c r="P4555" s="17" t="s">
        <v>3297</v>
      </c>
      <c r="Q4555" s="17"/>
      <c r="R4555" s="25" t="str">
        <f>HYPERLINK("https://ictv.global/taxonomy/taxondetails?taxnode_id=202312890","Pukovnikvirus phaded")</f>
        <v>Pukovnikvirus phaded</v>
      </c>
      <c r="S4555" s="18" t="s">
        <v>30</v>
      </c>
      <c r="T4555" s="18" t="s">
        <v>3302</v>
      </c>
      <c r="U4555" s="18"/>
      <c r="V4555" s="18"/>
      <c r="W4555" s="18" t="s">
        <v>3303</v>
      </c>
      <c r="X4555" s="18" t="s">
        <v>42</v>
      </c>
      <c r="Y4555" s="18" t="s">
        <v>36</v>
      </c>
      <c r="Z4555" s="18" t="s">
        <v>697</v>
      </c>
      <c r="AA4555" s="21" t="str">
        <f>HYPERLINK("https://www.ncbi.nlm.nih.gov/nuccore/MN703408","NCBI Nucleotide")</f>
        <v>NCBI Nucleotide</v>
      </c>
    </row>
    <row r="4556" spans="1:27" x14ac:dyDescent="0.35">
      <c r="A4556">
        <v>1006330</v>
      </c>
      <c r="B4556">
        <v>4532</v>
      </c>
      <c r="C4556">
        <v>1</v>
      </c>
      <c r="D4556" s="17" t="s">
        <v>155</v>
      </c>
      <c r="E4556" s="17"/>
      <c r="F4556" s="17" t="s">
        <v>156</v>
      </c>
      <c r="G4556" s="17"/>
      <c r="H4556" s="17" t="s">
        <v>692</v>
      </c>
      <c r="I4556" s="17"/>
      <c r="J4556" s="17" t="s">
        <v>693</v>
      </c>
      <c r="K4556" s="17"/>
      <c r="L4556" s="17"/>
      <c r="M4556" s="17"/>
      <c r="N4556" s="17"/>
      <c r="O4556" s="17"/>
      <c r="P4556" s="17" t="s">
        <v>3297</v>
      </c>
      <c r="Q4556" s="17"/>
      <c r="R4556" s="25" t="str">
        <f>HYPERLINK("https://ictv.global/taxonomy/taxondetails?taxnode_id=202301050","Pukovnikvirus pukovnik")</f>
        <v>Pukovnikvirus pukovnik</v>
      </c>
      <c r="S4556" s="18" t="s">
        <v>30</v>
      </c>
      <c r="T4556" s="18" t="s">
        <v>3304</v>
      </c>
      <c r="U4556" s="18"/>
      <c r="V4556" s="18"/>
      <c r="W4556" s="18" t="s">
        <v>3305</v>
      </c>
      <c r="X4556" s="18" t="s">
        <v>42</v>
      </c>
      <c r="Y4556" s="18" t="s">
        <v>36</v>
      </c>
      <c r="Z4556" s="18" t="s">
        <v>697</v>
      </c>
      <c r="AA4556" s="21" t="str">
        <f>HYPERLINK("https://www.ncbi.nlm.nih.gov/nuccore/EU744250","NCBI Nucleotide")</f>
        <v>NCBI Nucleotide</v>
      </c>
    </row>
    <row r="4557" spans="1:27" x14ac:dyDescent="0.35">
      <c r="A4557">
        <v>1006331</v>
      </c>
      <c r="B4557">
        <v>4533</v>
      </c>
      <c r="C4557">
        <v>1</v>
      </c>
      <c r="D4557" s="17" t="s">
        <v>155</v>
      </c>
      <c r="E4557" s="17"/>
      <c r="F4557" s="17" t="s">
        <v>156</v>
      </c>
      <c r="G4557" s="17"/>
      <c r="H4557" s="17" t="s">
        <v>692</v>
      </c>
      <c r="I4557" s="17"/>
      <c r="J4557" s="17" t="s">
        <v>693</v>
      </c>
      <c r="K4557" s="17"/>
      <c r="L4557" s="17"/>
      <c r="M4557" s="17"/>
      <c r="N4557" s="17"/>
      <c r="O4557" s="17"/>
      <c r="P4557" s="17" t="s">
        <v>3306</v>
      </c>
      <c r="Q4557" s="17"/>
      <c r="R4557" s="25" t="str">
        <f>HYPERLINK("https://ictv.global/taxonomy/taxondetails?taxnode_id=202305561","Pulverervirus PFR1")</f>
        <v>Pulverervirus PFR1</v>
      </c>
      <c r="S4557" s="18" t="s">
        <v>30</v>
      </c>
      <c r="T4557" s="18" t="s">
        <v>3307</v>
      </c>
      <c r="U4557" s="18"/>
      <c r="V4557" s="18"/>
      <c r="W4557" s="18" t="s">
        <v>3308</v>
      </c>
      <c r="X4557" s="18" t="s">
        <v>42</v>
      </c>
      <c r="Y4557" s="18" t="s">
        <v>36</v>
      </c>
      <c r="Z4557" s="18" t="s">
        <v>697</v>
      </c>
      <c r="AA4557" s="21" t="str">
        <f>HYPERLINK("https://www.ncbi.nlm.nih.gov/nuccore/KU984979","NCBI Nucleotide")</f>
        <v>NCBI Nucleotide</v>
      </c>
    </row>
    <row r="4558" spans="1:27" x14ac:dyDescent="0.35">
      <c r="A4558">
        <v>1024791</v>
      </c>
      <c r="B4558">
        <v>4534</v>
      </c>
      <c r="C4558">
        <v>1</v>
      </c>
      <c r="D4558" s="17" t="s">
        <v>155</v>
      </c>
      <c r="E4558" s="17"/>
      <c r="F4558" s="17" t="s">
        <v>156</v>
      </c>
      <c r="G4558" s="17"/>
      <c r="H4558" s="17" t="s">
        <v>692</v>
      </c>
      <c r="I4558" s="17"/>
      <c r="J4558" s="17" t="s">
        <v>693</v>
      </c>
      <c r="K4558" s="17"/>
      <c r="L4558" s="17"/>
      <c r="M4558" s="17"/>
      <c r="N4558" s="17"/>
      <c r="O4558" s="17"/>
      <c r="P4558" s="17" t="s">
        <v>40007</v>
      </c>
      <c r="Q4558" s="17"/>
      <c r="R4558" s="25" t="str">
        <f>HYPERLINK("https://ictv.global/taxonomy/taxondetails?taxnode_id=202317766","Pumpernickelvirus pumpernickel")</f>
        <v>Pumpernickelvirus pumpernickel</v>
      </c>
      <c r="S4558" s="18" t="s">
        <v>30</v>
      </c>
      <c r="T4558" s="18" t="s">
        <v>40008</v>
      </c>
      <c r="U4558" s="18"/>
      <c r="V4558" s="18"/>
      <c r="W4558" s="18" t="s">
        <v>48560</v>
      </c>
      <c r="X4558" s="18" t="s">
        <v>42</v>
      </c>
      <c r="Y4558" s="18" t="s">
        <v>36</v>
      </c>
      <c r="Z4558" s="18" t="s">
        <v>697</v>
      </c>
      <c r="AA4558" s="21" t="str">
        <f>HYPERLINK("https://www.ncbi.nlm.nih.gov/nuccore/OK040790","NCBI Nucleotide")</f>
        <v>NCBI Nucleotide</v>
      </c>
    </row>
    <row r="4559" spans="1:27" x14ac:dyDescent="0.35">
      <c r="A4559">
        <v>1006332</v>
      </c>
      <c r="B4559">
        <v>4535</v>
      </c>
      <c r="C4559">
        <v>1</v>
      </c>
      <c r="D4559" s="17" t="s">
        <v>155</v>
      </c>
      <c r="E4559" s="17"/>
      <c r="F4559" s="17" t="s">
        <v>156</v>
      </c>
      <c r="G4559" s="17"/>
      <c r="H4559" s="17" t="s">
        <v>692</v>
      </c>
      <c r="I4559" s="17"/>
      <c r="J4559" s="17" t="s">
        <v>693</v>
      </c>
      <c r="K4559" s="17"/>
      <c r="L4559" s="17"/>
      <c r="M4559" s="17"/>
      <c r="N4559" s="17"/>
      <c r="O4559" s="17"/>
      <c r="P4559" s="17" t="s">
        <v>3309</v>
      </c>
      <c r="Q4559" s="17"/>
      <c r="R4559" s="25" t="str">
        <f>HYPERLINK("https://ictv.global/taxonomy/taxondetails?taxnode_id=202300465","Aeromonas virus 43")</f>
        <v>Aeromonas virus 43</v>
      </c>
      <c r="S4559" s="18" t="s">
        <v>30</v>
      </c>
      <c r="T4559" s="18" t="s">
        <v>3310</v>
      </c>
      <c r="U4559" s="18"/>
      <c r="V4559" s="18"/>
      <c r="W4559" s="18"/>
      <c r="X4559" s="18" t="s">
        <v>3311</v>
      </c>
      <c r="Y4559" s="18" t="s">
        <v>36</v>
      </c>
      <c r="Z4559" s="18" t="s">
        <v>697</v>
      </c>
      <c r="AA4559" s="21"/>
    </row>
    <row r="4560" spans="1:27" x14ac:dyDescent="0.35">
      <c r="A4560">
        <v>1006333</v>
      </c>
      <c r="B4560">
        <v>4536</v>
      </c>
      <c r="C4560">
        <v>1</v>
      </c>
      <c r="D4560" s="17" t="s">
        <v>155</v>
      </c>
      <c r="E4560" s="17"/>
      <c r="F4560" s="17" t="s">
        <v>156</v>
      </c>
      <c r="G4560" s="17"/>
      <c r="H4560" s="17" t="s">
        <v>692</v>
      </c>
      <c r="I4560" s="17"/>
      <c r="J4560" s="17" t="s">
        <v>693</v>
      </c>
      <c r="K4560" s="17"/>
      <c r="L4560" s="17"/>
      <c r="M4560" s="17"/>
      <c r="N4560" s="17"/>
      <c r="O4560" s="17"/>
      <c r="P4560" s="17" t="s">
        <v>3309</v>
      </c>
      <c r="Q4560" s="17"/>
      <c r="R4560" s="25" t="str">
        <f>HYPERLINK("https://ictv.global/taxonomy/taxondetails?taxnode_id=202300466","Punavirus P1")</f>
        <v>Punavirus P1</v>
      </c>
      <c r="S4560" s="18" t="s">
        <v>30</v>
      </c>
      <c r="T4560" s="18" t="s">
        <v>3312</v>
      </c>
      <c r="U4560" s="18"/>
      <c r="V4560" s="18"/>
      <c r="W4560" s="18" t="s">
        <v>3313</v>
      </c>
      <c r="X4560" s="18" t="s">
        <v>42</v>
      </c>
      <c r="Y4560" s="18" t="s">
        <v>36</v>
      </c>
      <c r="Z4560" s="18" t="s">
        <v>697</v>
      </c>
      <c r="AA4560" s="21" t="str">
        <f>HYPERLINK("https://www.ncbi.nlm.nih.gov/nuccore/AF234172","NCBI Nucleotide")</f>
        <v>NCBI Nucleotide</v>
      </c>
    </row>
    <row r="4561" spans="1:27" x14ac:dyDescent="0.35">
      <c r="A4561">
        <v>1006334</v>
      </c>
      <c r="B4561">
        <v>4537</v>
      </c>
      <c r="C4561">
        <v>1</v>
      </c>
      <c r="D4561" s="17" t="s">
        <v>155</v>
      </c>
      <c r="E4561" s="17"/>
      <c r="F4561" s="17" t="s">
        <v>156</v>
      </c>
      <c r="G4561" s="17"/>
      <c r="H4561" s="17" t="s">
        <v>692</v>
      </c>
      <c r="I4561" s="17"/>
      <c r="J4561" s="17" t="s">
        <v>693</v>
      </c>
      <c r="K4561" s="17"/>
      <c r="L4561" s="17"/>
      <c r="M4561" s="17"/>
      <c r="N4561" s="17"/>
      <c r="O4561" s="17"/>
      <c r="P4561" s="17" t="s">
        <v>3309</v>
      </c>
      <c r="Q4561" s="17"/>
      <c r="R4561" s="25" t="str">
        <f>HYPERLINK("https://ictv.global/taxonomy/taxondetails?taxnode_id=202307014","Punavirus RCS47")</f>
        <v>Punavirus RCS47</v>
      </c>
      <c r="S4561" s="18" t="s">
        <v>30</v>
      </c>
      <c r="T4561" s="18" t="s">
        <v>3314</v>
      </c>
      <c r="U4561" s="18"/>
      <c r="V4561" s="18"/>
      <c r="W4561" s="18" t="s">
        <v>3315</v>
      </c>
      <c r="X4561" s="18" t="s">
        <v>42</v>
      </c>
      <c r="Y4561" s="18" t="s">
        <v>36</v>
      </c>
      <c r="Z4561" s="18" t="s">
        <v>697</v>
      </c>
      <c r="AA4561" s="21" t="str">
        <f>HYPERLINK("https://www.ncbi.nlm.nih.gov/nuccore/FO818745","NCBI Nucleotide")</f>
        <v>NCBI Nucleotide</v>
      </c>
    </row>
    <row r="4562" spans="1:27" x14ac:dyDescent="0.35">
      <c r="A4562">
        <v>1006335</v>
      </c>
      <c r="B4562">
        <v>4538</v>
      </c>
      <c r="C4562">
        <v>1</v>
      </c>
      <c r="D4562" s="17" t="s">
        <v>155</v>
      </c>
      <c r="E4562" s="17"/>
      <c r="F4562" s="17" t="s">
        <v>156</v>
      </c>
      <c r="G4562" s="17"/>
      <c r="H4562" s="17" t="s">
        <v>692</v>
      </c>
      <c r="I4562" s="17"/>
      <c r="J4562" s="17" t="s">
        <v>693</v>
      </c>
      <c r="K4562" s="17"/>
      <c r="L4562" s="17"/>
      <c r="M4562" s="17"/>
      <c r="N4562" s="17"/>
      <c r="O4562" s="17"/>
      <c r="P4562" s="17" t="s">
        <v>3309</v>
      </c>
      <c r="Q4562" s="17"/>
      <c r="R4562" s="25" t="str">
        <f>HYPERLINK("https://ictv.global/taxonomy/taxondetails?taxnode_id=202307015","Punavirus SJ46")</f>
        <v>Punavirus SJ46</v>
      </c>
      <c r="S4562" s="18" t="s">
        <v>30</v>
      </c>
      <c r="T4562" s="18" t="s">
        <v>3316</v>
      </c>
      <c r="U4562" s="18"/>
      <c r="V4562" s="18"/>
      <c r="W4562" s="18" t="s">
        <v>3317</v>
      </c>
      <c r="X4562" s="18" t="s">
        <v>42</v>
      </c>
      <c r="Y4562" s="18" t="s">
        <v>36</v>
      </c>
      <c r="Z4562" s="18" t="s">
        <v>697</v>
      </c>
      <c r="AA4562" s="21" t="str">
        <f>HYPERLINK("https://www.ncbi.nlm.nih.gov/nuccore/KU760857","NCBI Nucleotide")</f>
        <v>NCBI Nucleotide</v>
      </c>
    </row>
    <row r="4563" spans="1:27" x14ac:dyDescent="0.35">
      <c r="A4563">
        <v>1006336</v>
      </c>
      <c r="B4563">
        <v>4539</v>
      </c>
      <c r="C4563">
        <v>1</v>
      </c>
      <c r="D4563" s="17" t="s">
        <v>155</v>
      </c>
      <c r="E4563" s="17"/>
      <c r="F4563" s="17" t="s">
        <v>156</v>
      </c>
      <c r="G4563" s="17"/>
      <c r="H4563" s="17" t="s">
        <v>692</v>
      </c>
      <c r="I4563" s="17"/>
      <c r="J4563" s="17" t="s">
        <v>693</v>
      </c>
      <c r="K4563" s="17"/>
      <c r="L4563" s="17"/>
      <c r="M4563" s="17"/>
      <c r="N4563" s="17"/>
      <c r="O4563" s="17"/>
      <c r="P4563" s="17" t="s">
        <v>3318</v>
      </c>
      <c r="Q4563" s="17"/>
      <c r="R4563" s="25" t="str">
        <f>HYPERLINK("https://ictv.global/taxonomy/taxondetails?taxnode_id=202312892","Puppervirus Pupper")</f>
        <v>Puppervirus Pupper</v>
      </c>
      <c r="S4563" s="18" t="s">
        <v>30</v>
      </c>
      <c r="T4563" s="18" t="s">
        <v>3319</v>
      </c>
      <c r="U4563" s="18"/>
      <c r="V4563" s="18"/>
      <c r="W4563" s="18" t="s">
        <v>3320</v>
      </c>
      <c r="X4563" s="18" t="s">
        <v>42</v>
      </c>
      <c r="Y4563" s="18" t="s">
        <v>36</v>
      </c>
      <c r="Z4563" s="18" t="s">
        <v>697</v>
      </c>
      <c r="AA4563" s="21" t="str">
        <f>HYPERLINK("https://www.ncbi.nlm.nih.gov/nuccore/MK977695","NCBI Nucleotide")</f>
        <v>NCBI Nucleotide</v>
      </c>
    </row>
    <row r="4564" spans="1:27" x14ac:dyDescent="0.35">
      <c r="A4564">
        <v>1006337</v>
      </c>
      <c r="B4564">
        <v>4540</v>
      </c>
      <c r="C4564">
        <v>1</v>
      </c>
      <c r="D4564" s="17" t="s">
        <v>155</v>
      </c>
      <c r="E4564" s="17"/>
      <c r="F4564" s="17" t="s">
        <v>156</v>
      </c>
      <c r="G4564" s="17"/>
      <c r="H4564" s="17" t="s">
        <v>692</v>
      </c>
      <c r="I4564" s="17"/>
      <c r="J4564" s="17" t="s">
        <v>693</v>
      </c>
      <c r="K4564" s="17"/>
      <c r="L4564" s="17"/>
      <c r="M4564" s="17"/>
      <c r="N4564" s="17"/>
      <c r="O4564" s="17"/>
      <c r="P4564" s="17" t="s">
        <v>3321</v>
      </c>
      <c r="Q4564" s="17"/>
      <c r="R4564" s="25" t="str">
        <f>HYPERLINK("https://ictv.global/taxonomy/taxondetails?taxnode_id=202314788","Purivirus UFJFPfDIW6")</f>
        <v>Purivirus UFJFPfDIW6</v>
      </c>
      <c r="S4564" s="18" t="s">
        <v>30</v>
      </c>
      <c r="T4564" s="18" t="s">
        <v>3322</v>
      </c>
      <c r="U4564" s="18"/>
      <c r="V4564" s="18"/>
      <c r="W4564" s="18" t="s">
        <v>3323</v>
      </c>
      <c r="X4564" s="18" t="s">
        <v>42</v>
      </c>
      <c r="Y4564" s="18" t="s">
        <v>36</v>
      </c>
      <c r="Z4564" s="18" t="s">
        <v>697</v>
      </c>
      <c r="AA4564" s="21" t="str">
        <f>HYPERLINK("https://www.ncbi.nlm.nih.gov/nuccore/OM418631","NCBI Nucleotide")</f>
        <v>NCBI Nucleotide</v>
      </c>
    </row>
    <row r="4565" spans="1:27" x14ac:dyDescent="0.35">
      <c r="A4565">
        <v>1006338</v>
      </c>
      <c r="B4565">
        <v>4541</v>
      </c>
      <c r="C4565">
        <v>1</v>
      </c>
      <c r="D4565" s="17" t="s">
        <v>155</v>
      </c>
      <c r="E4565" s="17"/>
      <c r="F4565" s="17" t="s">
        <v>156</v>
      </c>
      <c r="G4565" s="17"/>
      <c r="H4565" s="17" t="s">
        <v>692</v>
      </c>
      <c r="I4565" s="17"/>
      <c r="J4565" s="17" t="s">
        <v>693</v>
      </c>
      <c r="K4565" s="17"/>
      <c r="L4565" s="17"/>
      <c r="M4565" s="17"/>
      <c r="N4565" s="17"/>
      <c r="O4565" s="17"/>
      <c r="P4565" s="17" t="s">
        <v>3324</v>
      </c>
      <c r="Q4565" s="17"/>
      <c r="R4565" s="25" t="str">
        <f>HYPERLINK("https://ictv.global/taxonomy/taxondetails?taxnode_id=202307516","Qingdaovirus J21")</f>
        <v>Qingdaovirus J21</v>
      </c>
      <c r="S4565" s="18" t="s">
        <v>30</v>
      </c>
      <c r="T4565" s="18" t="s">
        <v>3325</v>
      </c>
      <c r="U4565" s="18"/>
      <c r="V4565" s="18"/>
      <c r="W4565" s="18" t="s">
        <v>3326</v>
      </c>
      <c r="X4565" s="18" t="s">
        <v>42</v>
      </c>
      <c r="Y4565" s="18" t="s">
        <v>36</v>
      </c>
      <c r="Z4565" s="18" t="s">
        <v>697</v>
      </c>
      <c r="AA4565" s="21" t="str">
        <f>HYPERLINK("https://www.ncbi.nlm.nih.gov/nuccore/MF370964","NCBI Nucleotide")</f>
        <v>NCBI Nucleotide</v>
      </c>
    </row>
    <row r="4566" spans="1:27" x14ac:dyDescent="0.35">
      <c r="A4566">
        <v>1006339</v>
      </c>
      <c r="B4566">
        <v>4542</v>
      </c>
      <c r="C4566">
        <v>1</v>
      </c>
      <c r="D4566" s="17" t="s">
        <v>155</v>
      </c>
      <c r="E4566" s="17"/>
      <c r="F4566" s="17" t="s">
        <v>156</v>
      </c>
      <c r="G4566" s="17"/>
      <c r="H4566" s="17" t="s">
        <v>692</v>
      </c>
      <c r="I4566" s="17"/>
      <c r="J4566" s="17" t="s">
        <v>693</v>
      </c>
      <c r="K4566" s="17"/>
      <c r="L4566" s="17"/>
      <c r="M4566" s="17"/>
      <c r="N4566" s="17"/>
      <c r="O4566" s="17"/>
      <c r="P4566" s="17" t="s">
        <v>3327</v>
      </c>
      <c r="Q4566" s="17"/>
      <c r="R4566" s="25" t="str">
        <f>HYPERLINK("https://ictv.global/taxonomy/taxondetails?taxnode_id=202311639","Questintvirus Q54")</f>
        <v>Questintvirus Q54</v>
      </c>
      <c r="S4566" s="18" t="s">
        <v>30</v>
      </c>
      <c r="T4566" s="18" t="s">
        <v>3328</v>
      </c>
      <c r="U4566" s="18"/>
      <c r="V4566" s="18"/>
      <c r="W4566" s="18" t="s">
        <v>3329</v>
      </c>
      <c r="X4566" s="18" t="s">
        <v>42</v>
      </c>
      <c r="Y4566" s="18" t="s">
        <v>36</v>
      </c>
      <c r="Z4566" s="18" t="s">
        <v>697</v>
      </c>
      <c r="AA4566" s="21" t="str">
        <f>HYPERLINK("https://www.ncbi.nlm.nih.gov/nuccore/DQ490056","NCBI Nucleotide")</f>
        <v>NCBI Nucleotide</v>
      </c>
    </row>
    <row r="4567" spans="1:27" x14ac:dyDescent="0.35">
      <c r="A4567">
        <v>1006343</v>
      </c>
      <c r="B4567">
        <v>4543</v>
      </c>
      <c r="C4567">
        <v>1</v>
      </c>
      <c r="D4567" s="17" t="s">
        <v>155</v>
      </c>
      <c r="E4567" s="17"/>
      <c r="F4567" s="17" t="s">
        <v>156</v>
      </c>
      <c r="G4567" s="17"/>
      <c r="H4567" s="17" t="s">
        <v>692</v>
      </c>
      <c r="I4567" s="17"/>
      <c r="J4567" s="17" t="s">
        <v>693</v>
      </c>
      <c r="K4567" s="17"/>
      <c r="L4567" s="17"/>
      <c r="M4567" s="17"/>
      <c r="N4567" s="17"/>
      <c r="O4567" s="17"/>
      <c r="P4567" s="17" t="s">
        <v>3337</v>
      </c>
      <c r="Q4567" s="17"/>
      <c r="R4567" s="25" t="str">
        <f>HYPERLINK("https://ictv.global/taxonomy/taxondetails?taxnode_id=202314793","Quivirus qui")</f>
        <v>Quivirus qui</v>
      </c>
      <c r="S4567" s="18" t="s">
        <v>30</v>
      </c>
      <c r="T4567" s="18" t="s">
        <v>3338</v>
      </c>
      <c r="U4567" s="18"/>
      <c r="V4567" s="18"/>
      <c r="W4567" s="18" t="s">
        <v>3339</v>
      </c>
      <c r="X4567" s="18" t="s">
        <v>42</v>
      </c>
      <c r="Y4567" s="18" t="s">
        <v>36</v>
      </c>
      <c r="Z4567" s="18" t="s">
        <v>697</v>
      </c>
      <c r="AA4567" s="21" t="str">
        <f>HYPERLINK("https://www.ncbi.nlm.nih.gov/nuccore/MN183282","NCBI Nucleotide")</f>
        <v>NCBI Nucleotide</v>
      </c>
    </row>
    <row r="4568" spans="1:27" x14ac:dyDescent="0.35">
      <c r="A4568">
        <v>1006344</v>
      </c>
      <c r="B4568">
        <v>4544</v>
      </c>
      <c r="C4568">
        <v>1</v>
      </c>
      <c r="D4568" s="17" t="s">
        <v>155</v>
      </c>
      <c r="E4568" s="17"/>
      <c r="F4568" s="17" t="s">
        <v>156</v>
      </c>
      <c r="G4568" s="17"/>
      <c r="H4568" s="17" t="s">
        <v>692</v>
      </c>
      <c r="I4568" s="17"/>
      <c r="J4568" s="17" t="s">
        <v>693</v>
      </c>
      <c r="K4568" s="17"/>
      <c r="L4568" s="17"/>
      <c r="M4568" s="17"/>
      <c r="N4568" s="17"/>
      <c r="O4568" s="17"/>
      <c r="P4568" s="17" t="s">
        <v>3340</v>
      </c>
      <c r="Q4568" s="17"/>
      <c r="R4568" s="25" t="str">
        <f>HYPERLINK("https://ictv.global/taxonomy/taxondetails?taxnode_id=202309355","Radostvirus ev099")</f>
        <v>Radostvirus ev099</v>
      </c>
      <c r="S4568" s="18" t="s">
        <v>30</v>
      </c>
      <c r="T4568" s="18" t="s">
        <v>3341</v>
      </c>
      <c r="U4568" s="18"/>
      <c r="V4568" s="18"/>
      <c r="W4568" s="18" t="s">
        <v>3342</v>
      </c>
      <c r="X4568" s="18" t="s">
        <v>42</v>
      </c>
      <c r="Y4568" s="18" t="s">
        <v>36</v>
      </c>
      <c r="Z4568" s="18" t="s">
        <v>697</v>
      </c>
      <c r="AA4568" s="21" t="str">
        <f>HYPERLINK("https://www.ncbi.nlm.nih.gov/nuccore/LR597635","NCBI Nucleotide")</f>
        <v>NCBI Nucleotide</v>
      </c>
    </row>
    <row r="4569" spans="1:27" x14ac:dyDescent="0.35">
      <c r="A4569">
        <v>1006345</v>
      </c>
      <c r="B4569">
        <v>4545</v>
      </c>
      <c r="C4569">
        <v>1</v>
      </c>
      <c r="D4569" s="17" t="s">
        <v>155</v>
      </c>
      <c r="E4569" s="17"/>
      <c r="F4569" s="17" t="s">
        <v>156</v>
      </c>
      <c r="G4569" s="17"/>
      <c r="H4569" s="17" t="s">
        <v>692</v>
      </c>
      <c r="I4569" s="17"/>
      <c r="J4569" s="17" t="s">
        <v>693</v>
      </c>
      <c r="K4569" s="17"/>
      <c r="L4569" s="17"/>
      <c r="M4569" s="17"/>
      <c r="N4569" s="17"/>
      <c r="O4569" s="17"/>
      <c r="P4569" s="17" t="s">
        <v>3343</v>
      </c>
      <c r="Q4569" s="17"/>
      <c r="R4569" s="25" t="str">
        <f>HYPERLINK("https://ictv.global/taxonomy/taxondetails?taxnode_id=202311667","Rahariannevirus raharianne")</f>
        <v>Rahariannevirus raharianne</v>
      </c>
      <c r="S4569" s="18" t="s">
        <v>30</v>
      </c>
      <c r="T4569" s="18" t="s">
        <v>3344</v>
      </c>
      <c r="U4569" s="18" t="s">
        <v>3345</v>
      </c>
      <c r="V4569" s="18"/>
      <c r="W4569" s="18" t="s">
        <v>3346</v>
      </c>
      <c r="X4569" s="18" t="s">
        <v>42</v>
      </c>
      <c r="Y4569" s="18" t="s">
        <v>36</v>
      </c>
      <c r="Z4569" s="18" t="s">
        <v>697</v>
      </c>
      <c r="AA4569" s="21" t="str">
        <f>HYPERLINK("https://www.ncbi.nlm.nih.gov/nuccore/MT740745","NCBI Nucleotide")</f>
        <v>NCBI Nucleotide</v>
      </c>
    </row>
    <row r="4570" spans="1:27" x14ac:dyDescent="0.35">
      <c r="A4570">
        <v>1006346</v>
      </c>
      <c r="B4570">
        <v>4546</v>
      </c>
      <c r="C4570">
        <v>1</v>
      </c>
      <c r="D4570" s="17" t="s">
        <v>155</v>
      </c>
      <c r="E4570" s="17"/>
      <c r="F4570" s="17" t="s">
        <v>156</v>
      </c>
      <c r="G4570" s="17"/>
      <c r="H4570" s="17" t="s">
        <v>692</v>
      </c>
      <c r="I4570" s="17"/>
      <c r="J4570" s="17" t="s">
        <v>693</v>
      </c>
      <c r="K4570" s="17"/>
      <c r="L4570" s="17"/>
      <c r="M4570" s="17"/>
      <c r="N4570" s="17"/>
      <c r="O4570" s="17"/>
      <c r="P4570" s="17" t="s">
        <v>3347</v>
      </c>
      <c r="Q4570" s="17"/>
      <c r="R4570" s="25" t="str">
        <f>HYPERLINK("https://ictv.global/taxonomy/taxondetails?taxnode_id=202308018","Raleighvirus darolandstone")</f>
        <v>Raleighvirus darolandstone</v>
      </c>
      <c r="S4570" s="18" t="s">
        <v>30</v>
      </c>
      <c r="T4570" s="18" t="s">
        <v>3348</v>
      </c>
      <c r="U4570" s="18"/>
      <c r="V4570" s="18"/>
      <c r="W4570" s="18" t="s">
        <v>3349</v>
      </c>
      <c r="X4570" s="18" t="s">
        <v>42</v>
      </c>
      <c r="Y4570" s="18" t="s">
        <v>36</v>
      </c>
      <c r="Z4570" s="18" t="s">
        <v>697</v>
      </c>
      <c r="AA4570" s="21" t="str">
        <f>HYPERLINK("https://www.ncbi.nlm.nih.gov/nuccore/MH825699","NCBI Nucleotide")</f>
        <v>NCBI Nucleotide</v>
      </c>
    </row>
    <row r="4571" spans="1:27" x14ac:dyDescent="0.35">
      <c r="A4571">
        <v>1006347</v>
      </c>
      <c r="B4571">
        <v>4547</v>
      </c>
      <c r="C4571">
        <v>1</v>
      </c>
      <c r="D4571" s="17" t="s">
        <v>155</v>
      </c>
      <c r="E4571" s="17"/>
      <c r="F4571" s="17" t="s">
        <v>156</v>
      </c>
      <c r="G4571" s="17"/>
      <c r="H4571" s="17" t="s">
        <v>692</v>
      </c>
      <c r="I4571" s="17"/>
      <c r="J4571" s="17" t="s">
        <v>693</v>
      </c>
      <c r="K4571" s="17"/>
      <c r="L4571" s="17"/>
      <c r="M4571" s="17"/>
      <c r="N4571" s="17"/>
      <c r="O4571" s="17"/>
      <c r="P4571" s="17" t="s">
        <v>3347</v>
      </c>
      <c r="Q4571" s="17"/>
      <c r="R4571" s="25" t="str">
        <f>HYPERLINK("https://ictv.global/taxonomy/taxondetails?taxnode_id=202308017","Raleighvirus raleigh")</f>
        <v>Raleighvirus raleigh</v>
      </c>
      <c r="S4571" s="18" t="s">
        <v>30</v>
      </c>
      <c r="T4571" s="18" t="s">
        <v>3350</v>
      </c>
      <c r="U4571" s="18"/>
      <c r="V4571" s="18"/>
      <c r="W4571" s="18" t="s">
        <v>3351</v>
      </c>
      <c r="X4571" s="18" t="s">
        <v>42</v>
      </c>
      <c r="Y4571" s="18" t="s">
        <v>36</v>
      </c>
      <c r="Z4571" s="18" t="s">
        <v>697</v>
      </c>
      <c r="AA4571" s="21" t="str">
        <f>HYPERLINK("https://www.ncbi.nlm.nih.gov/nuccore/KY092484","NCBI Nucleotide")</f>
        <v>NCBI Nucleotide</v>
      </c>
    </row>
    <row r="4572" spans="1:27" x14ac:dyDescent="0.35">
      <c r="A4572">
        <v>1006348</v>
      </c>
      <c r="B4572">
        <v>4548</v>
      </c>
      <c r="C4572">
        <v>1</v>
      </c>
      <c r="D4572" s="17" t="s">
        <v>155</v>
      </c>
      <c r="E4572" s="17"/>
      <c r="F4572" s="17" t="s">
        <v>156</v>
      </c>
      <c r="G4572" s="17"/>
      <c r="H4572" s="17" t="s">
        <v>692</v>
      </c>
      <c r="I4572" s="17"/>
      <c r="J4572" s="17" t="s">
        <v>693</v>
      </c>
      <c r="K4572" s="17"/>
      <c r="L4572" s="17"/>
      <c r="M4572" s="17"/>
      <c r="N4572" s="17"/>
      <c r="O4572" s="17"/>
      <c r="P4572" s="17" t="s">
        <v>3352</v>
      </c>
      <c r="Q4572" s="17"/>
      <c r="R4572" s="25" t="str">
        <f>HYPERLINK("https://ictv.global/taxonomy/taxondetails?taxnode_id=202300627","Rauchvirus BPP1")</f>
        <v>Rauchvirus BPP1</v>
      </c>
      <c r="S4572" s="18" t="s">
        <v>30</v>
      </c>
      <c r="T4572" s="18" t="s">
        <v>3353</v>
      </c>
      <c r="U4572" s="18"/>
      <c r="V4572" s="18"/>
      <c r="W4572" s="18" t="s">
        <v>3354</v>
      </c>
      <c r="X4572" s="18" t="s">
        <v>42</v>
      </c>
      <c r="Y4572" s="18" t="s">
        <v>36</v>
      </c>
      <c r="Z4572" s="18" t="s">
        <v>697</v>
      </c>
      <c r="AA4572" s="21" t="str">
        <f>HYPERLINK("https://www.ncbi.nlm.nih.gov/nuccore/AY029185","NCBI Nucleotide")</f>
        <v>NCBI Nucleotide</v>
      </c>
    </row>
    <row r="4573" spans="1:27" x14ac:dyDescent="0.35">
      <c r="A4573">
        <v>1006349</v>
      </c>
      <c r="B4573">
        <v>4549</v>
      </c>
      <c r="C4573">
        <v>1</v>
      </c>
      <c r="D4573" s="17" t="s">
        <v>155</v>
      </c>
      <c r="E4573" s="17"/>
      <c r="F4573" s="17" t="s">
        <v>156</v>
      </c>
      <c r="G4573" s="17"/>
      <c r="H4573" s="17" t="s">
        <v>692</v>
      </c>
      <c r="I4573" s="17"/>
      <c r="J4573" s="17" t="s">
        <v>693</v>
      </c>
      <c r="K4573" s="17"/>
      <c r="L4573" s="17"/>
      <c r="M4573" s="17"/>
      <c r="N4573" s="17"/>
      <c r="O4573" s="17"/>
      <c r="P4573" s="17" t="s">
        <v>3355</v>
      </c>
      <c r="Q4573" s="17"/>
      <c r="R4573" s="25" t="str">
        <f>HYPERLINK("https://ictv.global/taxonomy/taxondetails?taxnode_id=202311670","Ravarandavirus kac65v151")</f>
        <v>Ravarandavirus kac65v151</v>
      </c>
      <c r="S4573" s="18" t="s">
        <v>30</v>
      </c>
      <c r="T4573" s="18" t="s">
        <v>3356</v>
      </c>
      <c r="U4573" s="18"/>
      <c r="V4573" s="18"/>
      <c r="W4573" s="18" t="s">
        <v>3357</v>
      </c>
      <c r="X4573" s="18" t="s">
        <v>42</v>
      </c>
      <c r="Y4573" s="18" t="s">
        <v>36</v>
      </c>
      <c r="Z4573" s="18" t="s">
        <v>697</v>
      </c>
      <c r="AA4573" s="21" t="str">
        <f>HYPERLINK("https://www.ncbi.nlm.nih.gov/nuccore/MK605242","NCBI Nucleotide")</f>
        <v>NCBI Nucleotide</v>
      </c>
    </row>
    <row r="4574" spans="1:27" x14ac:dyDescent="0.35">
      <c r="A4574">
        <v>1006350</v>
      </c>
      <c r="B4574">
        <v>4550</v>
      </c>
      <c r="C4574">
        <v>1</v>
      </c>
      <c r="D4574" s="17" t="s">
        <v>155</v>
      </c>
      <c r="E4574" s="17"/>
      <c r="F4574" s="17" t="s">
        <v>156</v>
      </c>
      <c r="G4574" s="17"/>
      <c r="H4574" s="17" t="s">
        <v>692</v>
      </c>
      <c r="I4574" s="17"/>
      <c r="J4574" s="17" t="s">
        <v>693</v>
      </c>
      <c r="K4574" s="17"/>
      <c r="L4574" s="17"/>
      <c r="M4574" s="17"/>
      <c r="N4574" s="17"/>
      <c r="O4574" s="17"/>
      <c r="P4574" s="17" t="s">
        <v>3355</v>
      </c>
      <c r="Q4574" s="17"/>
      <c r="R4574" s="25" t="str">
        <f>HYPERLINK("https://ictv.global/taxonomy/taxondetails?taxnode_id=202311671","Ravarandavirus kac68v161")</f>
        <v>Ravarandavirus kac68v161</v>
      </c>
      <c r="S4574" s="18" t="s">
        <v>30</v>
      </c>
      <c r="T4574" s="18" t="s">
        <v>3358</v>
      </c>
      <c r="U4574" s="18"/>
      <c r="V4574" s="18"/>
      <c r="W4574" s="18" t="s">
        <v>3359</v>
      </c>
      <c r="X4574" s="18" t="s">
        <v>42</v>
      </c>
      <c r="Y4574" s="18" t="s">
        <v>36</v>
      </c>
      <c r="Z4574" s="18" t="s">
        <v>697</v>
      </c>
      <c r="AA4574" s="21" t="str">
        <f>HYPERLINK("https://www.ncbi.nlm.nih.gov/nuccore/MK605245","NCBI Nucleotide")</f>
        <v>NCBI Nucleotide</v>
      </c>
    </row>
    <row r="4575" spans="1:27" x14ac:dyDescent="0.35">
      <c r="A4575">
        <v>1006351</v>
      </c>
      <c r="B4575">
        <v>4551</v>
      </c>
      <c r="C4575">
        <v>1</v>
      </c>
      <c r="D4575" s="17" t="s">
        <v>155</v>
      </c>
      <c r="E4575" s="17"/>
      <c r="F4575" s="17" t="s">
        <v>156</v>
      </c>
      <c r="G4575" s="17"/>
      <c r="H4575" s="17" t="s">
        <v>692</v>
      </c>
      <c r="I4575" s="17"/>
      <c r="J4575" s="17" t="s">
        <v>693</v>
      </c>
      <c r="K4575" s="17"/>
      <c r="L4575" s="17"/>
      <c r="M4575" s="17"/>
      <c r="N4575" s="17"/>
      <c r="O4575" s="17"/>
      <c r="P4575" s="17" t="s">
        <v>3355</v>
      </c>
      <c r="Q4575" s="17"/>
      <c r="R4575" s="25" t="str">
        <f>HYPERLINK("https://ictv.global/taxonomy/taxondetails?taxnode_id=202311669","Ravarandavirus rv2AV2")</f>
        <v>Ravarandavirus rv2AV2</v>
      </c>
      <c r="S4575" s="18" t="s">
        <v>30</v>
      </c>
      <c r="T4575" s="18" t="s">
        <v>3360</v>
      </c>
      <c r="U4575" s="18"/>
      <c r="V4575" s="18"/>
      <c r="W4575" s="18" t="s">
        <v>3361</v>
      </c>
      <c r="X4575" s="18" t="s">
        <v>42</v>
      </c>
      <c r="Y4575" s="18" t="s">
        <v>36</v>
      </c>
      <c r="Z4575" s="18" t="s">
        <v>697</v>
      </c>
      <c r="AA4575" s="21" t="str">
        <f>HYPERLINK("https://www.ncbi.nlm.nih.gov/nuccore/KU230356","NCBI Nucleotide")</f>
        <v>NCBI Nucleotide</v>
      </c>
    </row>
    <row r="4576" spans="1:27" x14ac:dyDescent="0.35">
      <c r="A4576">
        <v>1006352</v>
      </c>
      <c r="B4576">
        <v>4552</v>
      </c>
      <c r="C4576">
        <v>1</v>
      </c>
      <c r="D4576" s="17" t="s">
        <v>155</v>
      </c>
      <c r="E4576" s="17"/>
      <c r="F4576" s="17" t="s">
        <v>156</v>
      </c>
      <c r="G4576" s="17"/>
      <c r="H4576" s="17" t="s">
        <v>692</v>
      </c>
      <c r="I4576" s="17"/>
      <c r="J4576" s="17" t="s">
        <v>693</v>
      </c>
      <c r="K4576" s="17"/>
      <c r="L4576" s="17"/>
      <c r="M4576" s="17"/>
      <c r="N4576" s="17"/>
      <c r="O4576" s="17"/>
      <c r="P4576" s="17" t="s">
        <v>3362</v>
      </c>
      <c r="Q4576" s="17"/>
      <c r="R4576" s="25" t="str">
        <f>HYPERLINK("https://ictv.global/taxonomy/taxondetails?taxnode_id=202301085","Ravinvirus N15")</f>
        <v>Ravinvirus N15</v>
      </c>
      <c r="S4576" s="18" t="s">
        <v>30</v>
      </c>
      <c r="T4576" s="18" t="s">
        <v>3363</v>
      </c>
      <c r="U4576" s="18"/>
      <c r="V4576" s="18"/>
      <c r="W4576" s="18" t="s">
        <v>3364</v>
      </c>
      <c r="X4576" s="18" t="s">
        <v>42</v>
      </c>
      <c r="Y4576" s="18" t="s">
        <v>36</v>
      </c>
      <c r="Z4576" s="18" t="s">
        <v>697</v>
      </c>
      <c r="AA4576" s="21" t="str">
        <f>HYPERLINK("https://www.ncbi.nlm.nih.gov/nuccore/AF064539","NCBI Nucleotide")</f>
        <v>NCBI Nucleotide</v>
      </c>
    </row>
    <row r="4577" spans="1:27" x14ac:dyDescent="0.35">
      <c r="A4577">
        <v>1024792</v>
      </c>
      <c r="B4577">
        <v>4553</v>
      </c>
      <c r="C4577">
        <v>1</v>
      </c>
      <c r="D4577" s="17" t="s">
        <v>155</v>
      </c>
      <c r="E4577" s="17"/>
      <c r="F4577" s="17" t="s">
        <v>156</v>
      </c>
      <c r="G4577" s="17"/>
      <c r="H4577" s="17" t="s">
        <v>692</v>
      </c>
      <c r="I4577" s="17"/>
      <c r="J4577" s="17" t="s">
        <v>693</v>
      </c>
      <c r="K4577" s="17"/>
      <c r="L4577" s="17"/>
      <c r="M4577" s="17"/>
      <c r="N4577" s="17"/>
      <c r="O4577" s="17"/>
      <c r="P4577" s="17" t="s">
        <v>40009</v>
      </c>
      <c r="Q4577" s="17"/>
      <c r="R4577" s="25" t="str">
        <f>HYPERLINK("https://ictv.global/taxonomy/taxondetails?taxnode_id=202318569","Readingvirus MR15")</f>
        <v>Readingvirus MR15</v>
      </c>
      <c r="S4577" s="18" t="s">
        <v>30</v>
      </c>
      <c r="T4577" s="18" t="s">
        <v>40010</v>
      </c>
      <c r="U4577" s="18"/>
      <c r="V4577" s="18"/>
      <c r="W4577" s="18" t="s">
        <v>48561</v>
      </c>
      <c r="X4577" s="18" t="s">
        <v>42</v>
      </c>
      <c r="Y4577" s="18" t="s">
        <v>36</v>
      </c>
      <c r="Z4577" s="18" t="s">
        <v>697</v>
      </c>
      <c r="AA4577" s="21" t="str">
        <f>HYPERLINK("https://www.ncbi.nlm.nih.gov/nuccore/MT104475","NCBI Nucleotide")</f>
        <v>NCBI Nucleotide</v>
      </c>
    </row>
    <row r="4578" spans="1:27" x14ac:dyDescent="0.35">
      <c r="A4578">
        <v>1024793</v>
      </c>
      <c r="B4578">
        <v>4554</v>
      </c>
      <c r="C4578">
        <v>1</v>
      </c>
      <c r="D4578" s="17" t="s">
        <v>155</v>
      </c>
      <c r="E4578" s="17"/>
      <c r="F4578" s="17" t="s">
        <v>156</v>
      </c>
      <c r="G4578" s="17"/>
      <c r="H4578" s="17" t="s">
        <v>692</v>
      </c>
      <c r="I4578" s="17"/>
      <c r="J4578" s="17" t="s">
        <v>693</v>
      </c>
      <c r="K4578" s="17"/>
      <c r="L4578" s="17"/>
      <c r="M4578" s="17"/>
      <c r="N4578" s="17"/>
      <c r="O4578" s="17"/>
      <c r="P4578" s="17" t="s">
        <v>40009</v>
      </c>
      <c r="Q4578" s="17"/>
      <c r="R4578" s="25" t="str">
        <f>HYPERLINK("https://ictv.global/taxonomy/taxondetails?taxnode_id=202318568","Readingvirus PSA1")</f>
        <v>Readingvirus PSA1</v>
      </c>
      <c r="S4578" s="18" t="s">
        <v>30</v>
      </c>
      <c r="T4578" s="18" t="s">
        <v>40011</v>
      </c>
      <c r="U4578" s="18"/>
      <c r="V4578" s="18"/>
      <c r="W4578" s="18" t="s">
        <v>40012</v>
      </c>
      <c r="X4578" s="18" t="s">
        <v>42</v>
      </c>
      <c r="Y4578" s="18" t="s">
        <v>36</v>
      </c>
      <c r="Z4578" s="18" t="s">
        <v>697</v>
      </c>
      <c r="AA4578" s="21" t="str">
        <f>HYPERLINK("https://www.ncbi.nlm.nih.gov/nuccore/KJ507100","NCBI Nucleotide")</f>
        <v>NCBI Nucleotide</v>
      </c>
    </row>
    <row r="4579" spans="1:27" x14ac:dyDescent="0.35">
      <c r="A4579">
        <v>1024794</v>
      </c>
      <c r="B4579">
        <v>4555</v>
      </c>
      <c r="C4579">
        <v>1</v>
      </c>
      <c r="D4579" s="17" t="s">
        <v>155</v>
      </c>
      <c r="E4579" s="17"/>
      <c r="F4579" s="17" t="s">
        <v>156</v>
      </c>
      <c r="G4579" s="17"/>
      <c r="H4579" s="17" t="s">
        <v>692</v>
      </c>
      <c r="I4579" s="17"/>
      <c r="J4579" s="17" t="s">
        <v>693</v>
      </c>
      <c r="K4579" s="17"/>
      <c r="L4579" s="17"/>
      <c r="M4579" s="17"/>
      <c r="N4579" s="17"/>
      <c r="O4579" s="17"/>
      <c r="P4579" s="17" t="s">
        <v>40009</v>
      </c>
      <c r="Q4579" s="17"/>
      <c r="R4579" s="25" t="str">
        <f>HYPERLINK("https://ictv.global/taxonomy/taxondetails?taxnode_id=202318570","Readingvirus psageK9")</f>
        <v>Readingvirus psageK9</v>
      </c>
      <c r="S4579" s="18" t="s">
        <v>30</v>
      </c>
      <c r="T4579" s="18" t="s">
        <v>40013</v>
      </c>
      <c r="U4579" s="18"/>
      <c r="V4579" s="18"/>
      <c r="W4579" s="18" t="s">
        <v>48562</v>
      </c>
      <c r="X4579" s="18" t="s">
        <v>42</v>
      </c>
      <c r="Y4579" s="18" t="s">
        <v>36</v>
      </c>
      <c r="Z4579" s="18" t="s">
        <v>697</v>
      </c>
      <c r="AA4579" s="21" t="str">
        <f>HYPERLINK("https://www.ncbi.nlm.nih.gov/nuccore/MZ868718","NCBI Nucleotide")</f>
        <v>NCBI Nucleotide</v>
      </c>
    </row>
    <row r="4580" spans="1:27" x14ac:dyDescent="0.35">
      <c r="A4580">
        <v>1006353</v>
      </c>
      <c r="B4580">
        <v>4556</v>
      </c>
      <c r="C4580">
        <v>1</v>
      </c>
      <c r="D4580" s="17" t="s">
        <v>155</v>
      </c>
      <c r="E4580" s="17"/>
      <c r="F4580" s="17" t="s">
        <v>156</v>
      </c>
      <c r="G4580" s="17"/>
      <c r="H4580" s="17" t="s">
        <v>692</v>
      </c>
      <c r="I4580" s="17"/>
      <c r="J4580" s="17" t="s">
        <v>693</v>
      </c>
      <c r="K4580" s="17"/>
      <c r="L4580" s="17"/>
      <c r="M4580" s="17"/>
      <c r="N4580" s="17"/>
      <c r="O4580" s="17"/>
      <c r="P4580" s="17" t="s">
        <v>3365</v>
      </c>
      <c r="Q4580" s="17"/>
      <c r="R4580" s="25" t="str">
        <f>HYPERLINK("https://ictv.global/taxonomy/taxondetails?taxnode_id=202312882","Refugevirus darthphader")</f>
        <v>Refugevirus darthphader</v>
      </c>
      <c r="S4580" s="18" t="s">
        <v>30</v>
      </c>
      <c r="T4580" s="18" t="s">
        <v>3366</v>
      </c>
      <c r="U4580" s="18"/>
      <c r="V4580" s="18"/>
      <c r="W4580" s="18" t="s">
        <v>3367</v>
      </c>
      <c r="X4580" s="18" t="s">
        <v>42</v>
      </c>
      <c r="Y4580" s="18" t="s">
        <v>36</v>
      </c>
      <c r="Z4580" s="18" t="s">
        <v>697</v>
      </c>
      <c r="AA4580" s="21" t="str">
        <f>HYPERLINK("https://www.ncbi.nlm.nih.gov/nuccore/KX657793","NCBI Nucleotide")</f>
        <v>NCBI Nucleotide</v>
      </c>
    </row>
    <row r="4581" spans="1:27" x14ac:dyDescent="0.35">
      <c r="A4581">
        <v>1006354</v>
      </c>
      <c r="B4581">
        <v>4557</v>
      </c>
      <c r="C4581">
        <v>1</v>
      </c>
      <c r="D4581" s="17" t="s">
        <v>155</v>
      </c>
      <c r="E4581" s="17"/>
      <c r="F4581" s="17" t="s">
        <v>156</v>
      </c>
      <c r="G4581" s="17"/>
      <c r="H4581" s="17" t="s">
        <v>692</v>
      </c>
      <c r="I4581" s="17"/>
      <c r="J4581" s="17" t="s">
        <v>693</v>
      </c>
      <c r="K4581" s="17"/>
      <c r="L4581" s="17"/>
      <c r="M4581" s="17"/>
      <c r="N4581" s="17"/>
      <c r="O4581" s="17"/>
      <c r="P4581" s="17" t="s">
        <v>3365</v>
      </c>
      <c r="Q4581" s="17"/>
      <c r="R4581" s="25" t="str">
        <f>HYPERLINK("https://ictv.global/taxonomy/taxondetails?taxnode_id=202312881","Refugevirus refuge")</f>
        <v>Refugevirus refuge</v>
      </c>
      <c r="S4581" s="18" t="s">
        <v>30</v>
      </c>
      <c r="T4581" s="18" t="s">
        <v>3368</v>
      </c>
      <c r="U4581" s="18"/>
      <c r="V4581" s="18"/>
      <c r="W4581" s="18" t="s">
        <v>3369</v>
      </c>
      <c r="X4581" s="18" t="s">
        <v>42</v>
      </c>
      <c r="Y4581" s="18" t="s">
        <v>36</v>
      </c>
      <c r="Z4581" s="18" t="s">
        <v>697</v>
      </c>
      <c r="AA4581" s="21" t="str">
        <f>HYPERLINK("https://www.ncbi.nlm.nih.gov/nuccore/MK494113","NCBI Nucleotide")</f>
        <v>NCBI Nucleotide</v>
      </c>
    </row>
    <row r="4582" spans="1:27" x14ac:dyDescent="0.35">
      <c r="A4582">
        <v>1006355</v>
      </c>
      <c r="B4582">
        <v>4558</v>
      </c>
      <c r="C4582">
        <v>1</v>
      </c>
      <c r="D4582" s="17" t="s">
        <v>155</v>
      </c>
      <c r="E4582" s="17"/>
      <c r="F4582" s="17" t="s">
        <v>156</v>
      </c>
      <c r="G4582" s="17"/>
      <c r="H4582" s="17" t="s">
        <v>692</v>
      </c>
      <c r="I4582" s="17"/>
      <c r="J4582" s="17" t="s">
        <v>693</v>
      </c>
      <c r="K4582" s="17"/>
      <c r="L4582" s="17"/>
      <c r="M4582" s="17"/>
      <c r="N4582" s="17"/>
      <c r="O4582" s="17"/>
      <c r="P4582" s="17" t="s">
        <v>3370</v>
      </c>
      <c r="Q4582" s="17"/>
      <c r="R4582" s="25" t="str">
        <f>HYPERLINK("https://ictv.global/taxonomy/taxondetails?taxnode_id=202312894","Rerduovirus hiro")</f>
        <v>Rerduovirus hiro</v>
      </c>
      <c r="S4582" s="18" t="s">
        <v>30</v>
      </c>
      <c r="T4582" s="18" t="s">
        <v>3371</v>
      </c>
      <c r="U4582" s="18"/>
      <c r="V4582" s="18"/>
      <c r="W4582" s="18" t="s">
        <v>3372</v>
      </c>
      <c r="X4582" s="18" t="s">
        <v>42</v>
      </c>
      <c r="Y4582" s="18" t="s">
        <v>36</v>
      </c>
      <c r="Z4582" s="18" t="s">
        <v>697</v>
      </c>
      <c r="AA4582" s="21" t="str">
        <f>HYPERLINK("https://www.ncbi.nlm.nih.gov/nuccore/MF324898","NCBI Nucleotide")</f>
        <v>NCBI Nucleotide</v>
      </c>
    </row>
    <row r="4583" spans="1:27" x14ac:dyDescent="0.35">
      <c r="A4583">
        <v>1006356</v>
      </c>
      <c r="B4583">
        <v>4559</v>
      </c>
      <c r="C4583">
        <v>1</v>
      </c>
      <c r="D4583" s="17" t="s">
        <v>155</v>
      </c>
      <c r="E4583" s="17"/>
      <c r="F4583" s="17" t="s">
        <v>156</v>
      </c>
      <c r="G4583" s="17"/>
      <c r="H4583" s="17" t="s">
        <v>692</v>
      </c>
      <c r="I4583" s="17"/>
      <c r="J4583" s="17" t="s">
        <v>693</v>
      </c>
      <c r="K4583" s="17"/>
      <c r="L4583" s="17"/>
      <c r="M4583" s="17"/>
      <c r="N4583" s="17"/>
      <c r="O4583" s="17"/>
      <c r="P4583" s="17" t="s">
        <v>3370</v>
      </c>
      <c r="Q4583" s="17"/>
      <c r="R4583" s="25" t="str">
        <f>HYPERLINK("https://ictv.global/taxonomy/taxondetails?taxnode_id=202312893","Rerduovirus phailmary")</f>
        <v>Rerduovirus phailmary</v>
      </c>
      <c r="S4583" s="18" t="s">
        <v>30</v>
      </c>
      <c r="T4583" s="18" t="s">
        <v>3373</v>
      </c>
      <c r="U4583" s="18"/>
      <c r="V4583" s="18"/>
      <c r="W4583" s="18" t="s">
        <v>3374</v>
      </c>
      <c r="X4583" s="18" t="s">
        <v>42</v>
      </c>
      <c r="Y4583" s="18" t="s">
        <v>36</v>
      </c>
      <c r="Z4583" s="18" t="s">
        <v>697</v>
      </c>
      <c r="AA4583" s="21" t="str">
        <f>HYPERLINK("https://www.ncbi.nlm.nih.gov/nuccore/MW291027","NCBI Nucleotide")</f>
        <v>NCBI Nucleotide</v>
      </c>
    </row>
    <row r="4584" spans="1:27" x14ac:dyDescent="0.35">
      <c r="A4584">
        <v>1006357</v>
      </c>
      <c r="B4584">
        <v>4560</v>
      </c>
      <c r="C4584">
        <v>1</v>
      </c>
      <c r="D4584" s="17" t="s">
        <v>155</v>
      </c>
      <c r="E4584" s="17"/>
      <c r="F4584" s="17" t="s">
        <v>156</v>
      </c>
      <c r="G4584" s="17"/>
      <c r="H4584" s="17" t="s">
        <v>692</v>
      </c>
      <c r="I4584" s="17"/>
      <c r="J4584" s="17" t="s">
        <v>693</v>
      </c>
      <c r="K4584" s="17"/>
      <c r="L4584" s="17"/>
      <c r="M4584" s="17"/>
      <c r="N4584" s="17"/>
      <c r="O4584" s="17"/>
      <c r="P4584" s="17" t="s">
        <v>3370</v>
      </c>
      <c r="Q4584" s="17"/>
      <c r="R4584" s="25" t="str">
        <f>HYPERLINK("https://ictv.global/taxonomy/taxondetails?taxnode_id=202301245","Rerduovirus RER2")</f>
        <v>Rerduovirus RER2</v>
      </c>
      <c r="S4584" s="18" t="s">
        <v>30</v>
      </c>
      <c r="T4584" s="18" t="s">
        <v>3375</v>
      </c>
      <c r="U4584" s="18"/>
      <c r="V4584" s="18"/>
      <c r="W4584" s="18" t="s">
        <v>3376</v>
      </c>
      <c r="X4584" s="18" t="s">
        <v>42</v>
      </c>
      <c r="Y4584" s="18" t="s">
        <v>36</v>
      </c>
      <c r="Z4584" s="18" t="s">
        <v>697</v>
      </c>
      <c r="AA4584" s="21" t="str">
        <f>HYPERLINK("https://www.ncbi.nlm.nih.gov/nuccore/JN116827","NCBI Nucleotide")</f>
        <v>NCBI Nucleotide</v>
      </c>
    </row>
    <row r="4585" spans="1:27" x14ac:dyDescent="0.35">
      <c r="A4585">
        <v>1006358</v>
      </c>
      <c r="B4585">
        <v>4561</v>
      </c>
      <c r="C4585">
        <v>1</v>
      </c>
      <c r="D4585" s="17" t="s">
        <v>155</v>
      </c>
      <c r="E4585" s="17"/>
      <c r="F4585" s="17" t="s">
        <v>156</v>
      </c>
      <c r="G4585" s="17"/>
      <c r="H4585" s="17" t="s">
        <v>692</v>
      </c>
      <c r="I4585" s="17"/>
      <c r="J4585" s="17" t="s">
        <v>693</v>
      </c>
      <c r="K4585" s="17"/>
      <c r="L4585" s="17"/>
      <c r="M4585" s="17"/>
      <c r="N4585" s="17"/>
      <c r="O4585" s="17"/>
      <c r="P4585" s="17" t="s">
        <v>3370</v>
      </c>
      <c r="Q4585" s="17"/>
      <c r="R4585" s="25" t="str">
        <f>HYPERLINK("https://ictv.global/taxonomy/taxondetails?taxnode_id=202301363","Rerduovirus RGL3")</f>
        <v>Rerduovirus RGL3</v>
      </c>
      <c r="S4585" s="18" t="s">
        <v>30</v>
      </c>
      <c r="T4585" s="18" t="s">
        <v>3377</v>
      </c>
      <c r="U4585" s="18"/>
      <c r="V4585" s="18"/>
      <c r="W4585" s="18" t="s">
        <v>3378</v>
      </c>
      <c r="X4585" s="18" t="s">
        <v>42</v>
      </c>
      <c r="Y4585" s="18" t="s">
        <v>36</v>
      </c>
      <c r="Z4585" s="18" t="s">
        <v>697</v>
      </c>
      <c r="AA4585" s="21" t="str">
        <f>HYPERLINK("https://www.ncbi.nlm.nih.gov/nuccore/JN116826","NCBI Nucleotide")</f>
        <v>NCBI Nucleotide</v>
      </c>
    </row>
    <row r="4586" spans="1:27" x14ac:dyDescent="0.35">
      <c r="A4586">
        <v>1006359</v>
      </c>
      <c r="B4586">
        <v>4562</v>
      </c>
      <c r="C4586">
        <v>1</v>
      </c>
      <c r="D4586" s="17" t="s">
        <v>155</v>
      </c>
      <c r="E4586" s="17"/>
      <c r="F4586" s="17" t="s">
        <v>156</v>
      </c>
      <c r="G4586" s="17"/>
      <c r="H4586" s="17" t="s">
        <v>692</v>
      </c>
      <c r="I4586" s="17"/>
      <c r="J4586" s="17" t="s">
        <v>693</v>
      </c>
      <c r="K4586" s="17"/>
      <c r="L4586" s="17"/>
      <c r="M4586" s="17"/>
      <c r="N4586" s="17"/>
      <c r="O4586" s="17"/>
      <c r="P4586" s="17" t="s">
        <v>3370</v>
      </c>
      <c r="Q4586" s="17"/>
      <c r="R4586" s="25" t="str">
        <f>HYPERLINK("https://ictv.global/taxonomy/taxondetails?taxnode_id=202312895","Rerduovirus takoda")</f>
        <v>Rerduovirus takoda</v>
      </c>
      <c r="S4586" s="18" t="s">
        <v>30</v>
      </c>
      <c r="T4586" s="18" t="s">
        <v>3379</v>
      </c>
      <c r="U4586" s="18"/>
      <c r="V4586" s="18"/>
      <c r="W4586" s="18" t="s">
        <v>3380</v>
      </c>
      <c r="X4586" s="18" t="s">
        <v>42</v>
      </c>
      <c r="Y4586" s="18" t="s">
        <v>36</v>
      </c>
      <c r="Z4586" s="18" t="s">
        <v>697</v>
      </c>
      <c r="AA4586" s="21" t="str">
        <f>HYPERLINK("https://www.ncbi.nlm.nih.gov/nuccore/MH271315","NCBI Nucleotide")</f>
        <v>NCBI Nucleotide</v>
      </c>
    </row>
    <row r="4587" spans="1:27" x14ac:dyDescent="0.35">
      <c r="A4587">
        <v>1006360</v>
      </c>
      <c r="B4587">
        <v>4563</v>
      </c>
      <c r="C4587">
        <v>1</v>
      </c>
      <c r="D4587" s="17" t="s">
        <v>155</v>
      </c>
      <c r="E4587" s="17"/>
      <c r="F4587" s="17" t="s">
        <v>156</v>
      </c>
      <c r="G4587" s="17"/>
      <c r="H4587" s="17" t="s">
        <v>692</v>
      </c>
      <c r="I4587" s="17"/>
      <c r="J4587" s="17" t="s">
        <v>693</v>
      </c>
      <c r="K4587" s="17"/>
      <c r="L4587" s="17"/>
      <c r="M4587" s="17"/>
      <c r="N4587" s="17"/>
      <c r="O4587" s="17"/>
      <c r="P4587" s="17" t="s">
        <v>3381</v>
      </c>
      <c r="Q4587" s="17"/>
      <c r="R4587" s="25" t="str">
        <f>HYPERLINK("https://ictv.global/taxonomy/taxondetails?taxnode_id=202314864","Richievirus auxilium")</f>
        <v>Richievirus auxilium</v>
      </c>
      <c r="S4587" s="18" t="s">
        <v>30</v>
      </c>
      <c r="T4587" s="18" t="s">
        <v>3382</v>
      </c>
      <c r="U4587" s="18"/>
      <c r="V4587" s="18"/>
      <c r="W4587" s="18" t="s">
        <v>3383</v>
      </c>
      <c r="X4587" s="18" t="s">
        <v>42</v>
      </c>
      <c r="Y4587" s="18" t="s">
        <v>36</v>
      </c>
      <c r="Z4587" s="18" t="s">
        <v>697</v>
      </c>
      <c r="AA4587" s="21" t="str">
        <f>HYPERLINK("https://www.ncbi.nlm.nih.gov/nuccore/MH834598","NCBI Nucleotide")</f>
        <v>NCBI Nucleotide</v>
      </c>
    </row>
    <row r="4588" spans="1:27" x14ac:dyDescent="0.35">
      <c r="A4588">
        <v>1006361</v>
      </c>
      <c r="B4588">
        <v>4564</v>
      </c>
      <c r="C4588">
        <v>1</v>
      </c>
      <c r="D4588" s="17" t="s">
        <v>155</v>
      </c>
      <c r="E4588" s="17"/>
      <c r="F4588" s="17" t="s">
        <v>156</v>
      </c>
      <c r="G4588" s="17"/>
      <c r="H4588" s="17" t="s">
        <v>692</v>
      </c>
      <c r="I4588" s="17"/>
      <c r="J4588" s="17" t="s">
        <v>693</v>
      </c>
      <c r="K4588" s="17"/>
      <c r="L4588" s="17"/>
      <c r="M4588" s="17"/>
      <c r="N4588" s="17"/>
      <c r="O4588" s="17"/>
      <c r="P4588" s="17" t="s">
        <v>3381</v>
      </c>
      <c r="Q4588" s="17"/>
      <c r="R4588" s="25" t="str">
        <f>HYPERLINK("https://ictv.global/taxonomy/taxondetails?taxnode_id=202314863","Richievirus richie")</f>
        <v>Richievirus richie</v>
      </c>
      <c r="S4588" s="18" t="s">
        <v>30</v>
      </c>
      <c r="T4588" s="18" t="s">
        <v>3384</v>
      </c>
      <c r="U4588" s="18"/>
      <c r="V4588" s="18"/>
      <c r="W4588" s="18" t="s">
        <v>3385</v>
      </c>
      <c r="X4588" s="18" t="s">
        <v>42</v>
      </c>
      <c r="Y4588" s="18" t="s">
        <v>36</v>
      </c>
      <c r="Z4588" s="18" t="s">
        <v>697</v>
      </c>
      <c r="AA4588" s="21" t="str">
        <f>HYPERLINK("https://www.ncbi.nlm.nih.gov/nuccore/MH834625","NCBI Nucleotide")</f>
        <v>NCBI Nucleotide</v>
      </c>
    </row>
    <row r="4589" spans="1:27" x14ac:dyDescent="0.35">
      <c r="A4589">
        <v>1006362</v>
      </c>
      <c r="B4589">
        <v>4565</v>
      </c>
      <c r="C4589">
        <v>1</v>
      </c>
      <c r="D4589" s="17" t="s">
        <v>155</v>
      </c>
      <c r="E4589" s="17"/>
      <c r="F4589" s="17" t="s">
        <v>156</v>
      </c>
      <c r="G4589" s="17"/>
      <c r="H4589" s="17" t="s">
        <v>692</v>
      </c>
      <c r="I4589" s="17"/>
      <c r="J4589" s="17" t="s">
        <v>693</v>
      </c>
      <c r="K4589" s="17"/>
      <c r="L4589" s="17"/>
      <c r="M4589" s="17"/>
      <c r="N4589" s="17"/>
      <c r="O4589" s="17"/>
      <c r="P4589" s="17" t="s">
        <v>3386</v>
      </c>
      <c r="Q4589" s="17"/>
      <c r="R4589" s="25" t="str">
        <f>HYPERLINK("https://ictv.global/taxonomy/taxondetails?taxnode_id=202306863","Rigallicvirus P106B")</f>
        <v>Rigallicvirus P106B</v>
      </c>
      <c r="S4589" s="18" t="s">
        <v>30</v>
      </c>
      <c r="T4589" s="18" t="s">
        <v>3387</v>
      </c>
      <c r="U4589" s="18"/>
      <c r="V4589" s="18"/>
      <c r="W4589" s="18" t="s">
        <v>3388</v>
      </c>
      <c r="X4589" s="18" t="s">
        <v>42</v>
      </c>
      <c r="Y4589" s="18" t="s">
        <v>36</v>
      </c>
      <c r="Z4589" s="18" t="s">
        <v>697</v>
      </c>
      <c r="AA4589" s="21" t="str">
        <f>HYPERLINK("https://www.ncbi.nlm.nih.gov/nuccore/KF977490","NCBI Nucleotide")</f>
        <v>NCBI Nucleotide</v>
      </c>
    </row>
    <row r="4590" spans="1:27" x14ac:dyDescent="0.35">
      <c r="A4590">
        <v>1006363</v>
      </c>
      <c r="B4590">
        <v>4566</v>
      </c>
      <c r="C4590">
        <v>1</v>
      </c>
      <c r="D4590" s="17" t="s">
        <v>155</v>
      </c>
      <c r="E4590" s="17"/>
      <c r="F4590" s="17" t="s">
        <v>156</v>
      </c>
      <c r="G4590" s="17"/>
      <c r="H4590" s="17" t="s">
        <v>692</v>
      </c>
      <c r="I4590" s="17"/>
      <c r="J4590" s="17" t="s">
        <v>693</v>
      </c>
      <c r="K4590" s="17"/>
      <c r="L4590" s="17"/>
      <c r="M4590" s="17"/>
      <c r="N4590" s="17"/>
      <c r="O4590" s="17"/>
      <c r="P4590" s="17" t="s">
        <v>3389</v>
      </c>
      <c r="Q4590" s="17"/>
      <c r="R4590" s="25" t="str">
        <f>HYPERLINK("https://ictv.global/taxonomy/taxondetails?taxnode_id=202306752","Rimavirus drgrey")</f>
        <v>Rimavirus drgrey</v>
      </c>
      <c r="S4590" s="18" t="s">
        <v>30</v>
      </c>
      <c r="T4590" s="18" t="s">
        <v>3390</v>
      </c>
      <c r="U4590" s="18"/>
      <c r="V4590" s="18"/>
      <c r="W4590" s="18" t="s">
        <v>3391</v>
      </c>
      <c r="X4590" s="18" t="s">
        <v>42</v>
      </c>
      <c r="Y4590" s="18" t="s">
        <v>36</v>
      </c>
      <c r="Z4590" s="18" t="s">
        <v>697</v>
      </c>
      <c r="AA4590" s="21" t="str">
        <f>HYPERLINK("https://www.ncbi.nlm.nih.gov/nuccore/MF467948","NCBI Nucleotide")</f>
        <v>NCBI Nucleotide</v>
      </c>
    </row>
    <row r="4591" spans="1:27" x14ac:dyDescent="0.35">
      <c r="A4591">
        <v>1006364</v>
      </c>
      <c r="B4591">
        <v>4567</v>
      </c>
      <c r="C4591">
        <v>1</v>
      </c>
      <c r="D4591" s="17" t="s">
        <v>155</v>
      </c>
      <c r="E4591" s="17"/>
      <c r="F4591" s="17" t="s">
        <v>156</v>
      </c>
      <c r="G4591" s="17"/>
      <c r="H4591" s="17" t="s">
        <v>692</v>
      </c>
      <c r="I4591" s="17"/>
      <c r="J4591" s="17" t="s">
        <v>693</v>
      </c>
      <c r="K4591" s="17"/>
      <c r="L4591" s="17"/>
      <c r="M4591" s="17"/>
      <c r="N4591" s="17"/>
      <c r="O4591" s="17"/>
      <c r="P4591" s="17" t="s">
        <v>3389</v>
      </c>
      <c r="Q4591" s="17"/>
      <c r="R4591" s="25" t="str">
        <f>HYPERLINK("https://ictv.global/taxonomy/taxondetails?taxnode_id=202306751","Rimavirus rima")</f>
        <v>Rimavirus rima</v>
      </c>
      <c r="S4591" s="18" t="s">
        <v>30</v>
      </c>
      <c r="T4591" s="18" t="s">
        <v>3392</v>
      </c>
      <c r="U4591" s="18"/>
      <c r="V4591" s="18"/>
      <c r="W4591" s="18" t="s">
        <v>3393</v>
      </c>
      <c r="X4591" s="18" t="s">
        <v>42</v>
      </c>
      <c r="Y4591" s="18" t="s">
        <v>36</v>
      </c>
      <c r="Z4591" s="18" t="s">
        <v>697</v>
      </c>
      <c r="AA4591" s="21" t="str">
        <f>HYPERLINK("https://www.ncbi.nlm.nih.gov/nuccore/KX670790","NCBI Nucleotide")</f>
        <v>NCBI Nucleotide</v>
      </c>
    </row>
    <row r="4592" spans="1:27" x14ac:dyDescent="0.35">
      <c r="A4592">
        <v>1006367</v>
      </c>
      <c r="B4592">
        <v>4568</v>
      </c>
      <c r="C4592">
        <v>1</v>
      </c>
      <c r="D4592" s="17" t="s">
        <v>155</v>
      </c>
      <c r="E4592" s="17"/>
      <c r="F4592" s="17" t="s">
        <v>156</v>
      </c>
      <c r="G4592" s="17"/>
      <c r="H4592" s="17" t="s">
        <v>692</v>
      </c>
      <c r="I4592" s="17"/>
      <c r="J4592" s="17" t="s">
        <v>693</v>
      </c>
      <c r="K4592" s="17"/>
      <c r="L4592" s="17"/>
      <c r="M4592" s="17"/>
      <c r="N4592" s="17"/>
      <c r="O4592" s="17"/>
      <c r="P4592" s="17" t="s">
        <v>3400</v>
      </c>
      <c r="Q4592" s="17"/>
      <c r="R4592" s="25" t="str">
        <f>HYPERLINK("https://ictv.global/taxonomy/taxondetails?taxnode_id=202314795","Rivsvirus SNUABM5")</f>
        <v>Rivsvirus SNUABM5</v>
      </c>
      <c r="S4592" s="18" t="s">
        <v>30</v>
      </c>
      <c r="T4592" s="18" t="s">
        <v>3401</v>
      </c>
      <c r="U4592" s="18"/>
      <c r="V4592" s="18"/>
      <c r="W4592" s="18" t="s">
        <v>3402</v>
      </c>
      <c r="X4592" s="18" t="s">
        <v>42</v>
      </c>
      <c r="Y4592" s="18" t="s">
        <v>36</v>
      </c>
      <c r="Z4592" s="18" t="s">
        <v>697</v>
      </c>
      <c r="AA4592" s="21" t="str">
        <f>HYPERLINK("https://www.ncbi.nlm.nih.gov/nuccore/MW366843","NCBI Nucleotide")</f>
        <v>NCBI Nucleotide</v>
      </c>
    </row>
    <row r="4593" spans="1:27" x14ac:dyDescent="0.35">
      <c r="A4593">
        <v>1006368</v>
      </c>
      <c r="B4593">
        <v>4569</v>
      </c>
      <c r="C4593">
        <v>1</v>
      </c>
      <c r="D4593" s="17" t="s">
        <v>155</v>
      </c>
      <c r="E4593" s="17"/>
      <c r="F4593" s="17" t="s">
        <v>156</v>
      </c>
      <c r="G4593" s="17"/>
      <c r="H4593" s="17" t="s">
        <v>692</v>
      </c>
      <c r="I4593" s="17"/>
      <c r="J4593" s="17" t="s">
        <v>693</v>
      </c>
      <c r="K4593" s="17"/>
      <c r="L4593" s="17"/>
      <c r="M4593" s="17"/>
      <c r="N4593" s="17"/>
      <c r="O4593" s="17"/>
      <c r="P4593" s="17" t="s">
        <v>3403</v>
      </c>
      <c r="Q4593" s="17"/>
      <c r="R4593" s="25" t="str">
        <f>HYPERLINK("https://ictv.global/taxonomy/taxondetails?taxnode_id=202301210","Rockefellervirus CNPH82")</f>
        <v>Rockefellervirus CNPH82</v>
      </c>
      <c r="S4593" s="18" t="s">
        <v>30</v>
      </c>
      <c r="T4593" s="18" t="s">
        <v>3404</v>
      </c>
      <c r="U4593" s="18"/>
      <c r="V4593" s="18"/>
      <c r="W4593" s="18" t="s">
        <v>3405</v>
      </c>
      <c r="X4593" s="18" t="s">
        <v>42</v>
      </c>
      <c r="Y4593" s="18" t="s">
        <v>36</v>
      </c>
      <c r="Z4593" s="18" t="s">
        <v>697</v>
      </c>
      <c r="AA4593" s="21" t="str">
        <f>HYPERLINK("https://www.ncbi.nlm.nih.gov/nuccore/DQ831957","NCBI Nucleotide")</f>
        <v>NCBI Nucleotide</v>
      </c>
    </row>
    <row r="4594" spans="1:27" x14ac:dyDescent="0.35">
      <c r="A4594">
        <v>1006369</v>
      </c>
      <c r="B4594">
        <v>4570</v>
      </c>
      <c r="C4594">
        <v>1</v>
      </c>
      <c r="D4594" s="17" t="s">
        <v>155</v>
      </c>
      <c r="E4594" s="17"/>
      <c r="F4594" s="17" t="s">
        <v>156</v>
      </c>
      <c r="G4594" s="17"/>
      <c r="H4594" s="17" t="s">
        <v>692</v>
      </c>
      <c r="I4594" s="17"/>
      <c r="J4594" s="17" t="s">
        <v>693</v>
      </c>
      <c r="K4594" s="17"/>
      <c r="L4594" s="17"/>
      <c r="M4594" s="17"/>
      <c r="N4594" s="17"/>
      <c r="O4594" s="17"/>
      <c r="P4594" s="17" t="s">
        <v>3403</v>
      </c>
      <c r="Q4594" s="17"/>
      <c r="R4594" s="25" t="str">
        <f>HYPERLINK("https://ictv.global/taxonomy/taxondetails?taxnode_id=202311676","Rockefellervirus CNPx")</f>
        <v>Rockefellervirus CNPx</v>
      </c>
      <c r="S4594" s="18" t="s">
        <v>30</v>
      </c>
      <c r="T4594" s="18" t="s">
        <v>3406</v>
      </c>
      <c r="U4594" s="18"/>
      <c r="V4594" s="18"/>
      <c r="W4594" s="18" t="s">
        <v>3407</v>
      </c>
      <c r="X4594" s="18" t="s">
        <v>42</v>
      </c>
      <c r="Y4594" s="18" t="s">
        <v>36</v>
      </c>
      <c r="Z4594" s="18" t="s">
        <v>697</v>
      </c>
      <c r="AA4594" s="21" t="str">
        <f>HYPERLINK("https://www.ncbi.nlm.nih.gov/nuccore/KU598975","NCBI Nucleotide")</f>
        <v>NCBI Nucleotide</v>
      </c>
    </row>
    <row r="4595" spans="1:27" x14ac:dyDescent="0.35">
      <c r="A4595">
        <v>1006370</v>
      </c>
      <c r="B4595">
        <v>4571</v>
      </c>
      <c r="C4595">
        <v>1</v>
      </c>
      <c r="D4595" s="17" t="s">
        <v>155</v>
      </c>
      <c r="E4595" s="17"/>
      <c r="F4595" s="17" t="s">
        <v>156</v>
      </c>
      <c r="G4595" s="17"/>
      <c r="H4595" s="17" t="s">
        <v>692</v>
      </c>
      <c r="I4595" s="17"/>
      <c r="J4595" s="17" t="s">
        <v>693</v>
      </c>
      <c r="K4595" s="17"/>
      <c r="L4595" s="17"/>
      <c r="M4595" s="17"/>
      <c r="N4595" s="17"/>
      <c r="O4595" s="17"/>
      <c r="P4595" s="17" t="s">
        <v>3403</v>
      </c>
      <c r="Q4595" s="17"/>
      <c r="R4595" s="25" t="str">
        <f>HYPERLINK("https://ictv.global/taxonomy/taxondetails?taxnode_id=202311675","Rockefellervirus IME134801")</f>
        <v>Rockefellervirus IME134801</v>
      </c>
      <c r="S4595" s="18" t="s">
        <v>30</v>
      </c>
      <c r="T4595" s="18" t="s">
        <v>3408</v>
      </c>
      <c r="U4595" s="18"/>
      <c r="V4595" s="18"/>
      <c r="W4595" s="18" t="s">
        <v>3409</v>
      </c>
      <c r="X4595" s="18" t="s">
        <v>42</v>
      </c>
      <c r="Y4595" s="18" t="s">
        <v>36</v>
      </c>
      <c r="Z4595" s="18" t="s">
        <v>697</v>
      </c>
      <c r="AA4595" s="21" t="str">
        <f>HYPERLINK("https://www.ncbi.nlm.nih.gov/nuccore/KY653120","NCBI Nucleotide")</f>
        <v>NCBI Nucleotide</v>
      </c>
    </row>
    <row r="4596" spans="1:27" x14ac:dyDescent="0.35">
      <c r="A4596">
        <v>1006371</v>
      </c>
      <c r="B4596">
        <v>4572</v>
      </c>
      <c r="C4596">
        <v>1</v>
      </c>
      <c r="D4596" s="17" t="s">
        <v>155</v>
      </c>
      <c r="E4596" s="17"/>
      <c r="F4596" s="17" t="s">
        <v>156</v>
      </c>
      <c r="G4596" s="17"/>
      <c r="H4596" s="17" t="s">
        <v>692</v>
      </c>
      <c r="I4596" s="17"/>
      <c r="J4596" s="17" t="s">
        <v>693</v>
      </c>
      <c r="K4596" s="17"/>
      <c r="L4596" s="17"/>
      <c r="M4596" s="17"/>
      <c r="N4596" s="17"/>
      <c r="O4596" s="17"/>
      <c r="P4596" s="17" t="s">
        <v>3403</v>
      </c>
      <c r="Q4596" s="17"/>
      <c r="R4596" s="25" t="str">
        <f>HYPERLINK("https://ictv.global/taxonomy/taxondetails?taxnode_id=202301212","Rockefellervirus IPLA5")</f>
        <v>Rockefellervirus IPLA5</v>
      </c>
      <c r="S4596" s="18" t="s">
        <v>30</v>
      </c>
      <c r="T4596" s="18" t="s">
        <v>3410</v>
      </c>
      <c r="U4596" s="18"/>
      <c r="V4596" s="18"/>
      <c r="W4596" s="18" t="s">
        <v>3411</v>
      </c>
      <c r="X4596" s="18" t="s">
        <v>42</v>
      </c>
      <c r="Y4596" s="18" t="s">
        <v>36</v>
      </c>
      <c r="Z4596" s="18" t="s">
        <v>697</v>
      </c>
      <c r="AA4596" s="21" t="str">
        <f>HYPERLINK("https://www.ncbi.nlm.nih.gov/nuccore/JN192400","NCBI Nucleotide")</f>
        <v>NCBI Nucleotide</v>
      </c>
    </row>
    <row r="4597" spans="1:27" x14ac:dyDescent="0.35">
      <c r="A4597">
        <v>1006372</v>
      </c>
      <c r="B4597">
        <v>4573</v>
      </c>
      <c r="C4597">
        <v>1</v>
      </c>
      <c r="D4597" s="17" t="s">
        <v>155</v>
      </c>
      <c r="E4597" s="17"/>
      <c r="F4597" s="17" t="s">
        <v>156</v>
      </c>
      <c r="G4597" s="17"/>
      <c r="H4597" s="17" t="s">
        <v>692</v>
      </c>
      <c r="I4597" s="17"/>
      <c r="J4597" s="17" t="s">
        <v>693</v>
      </c>
      <c r="K4597" s="17"/>
      <c r="L4597" s="17"/>
      <c r="M4597" s="17"/>
      <c r="N4597" s="17"/>
      <c r="O4597" s="17"/>
      <c r="P4597" s="17" t="s">
        <v>3403</v>
      </c>
      <c r="Q4597" s="17"/>
      <c r="R4597" s="25" t="str">
        <f>HYPERLINK("https://ictv.global/taxonomy/taxondetails?taxnode_id=202301213","Rockefellervirus IPLA7")</f>
        <v>Rockefellervirus IPLA7</v>
      </c>
      <c r="S4597" s="18" t="s">
        <v>30</v>
      </c>
      <c r="T4597" s="18" t="s">
        <v>3412</v>
      </c>
      <c r="U4597" s="18"/>
      <c r="V4597" s="18"/>
      <c r="W4597" s="18" t="s">
        <v>3413</v>
      </c>
      <c r="X4597" s="18" t="s">
        <v>42</v>
      </c>
      <c r="Y4597" s="18" t="s">
        <v>36</v>
      </c>
      <c r="Z4597" s="18" t="s">
        <v>697</v>
      </c>
      <c r="AA4597" s="21" t="str">
        <f>HYPERLINK("https://www.ncbi.nlm.nih.gov/nuccore/JN192401","NCBI Nucleotide")</f>
        <v>NCBI Nucleotide</v>
      </c>
    </row>
    <row r="4598" spans="1:27" x14ac:dyDescent="0.35">
      <c r="A4598">
        <v>1006373</v>
      </c>
      <c r="B4598">
        <v>4574</v>
      </c>
      <c r="C4598">
        <v>1</v>
      </c>
      <c r="D4598" s="17" t="s">
        <v>155</v>
      </c>
      <c r="E4598" s="17"/>
      <c r="F4598" s="17" t="s">
        <v>156</v>
      </c>
      <c r="G4598" s="17"/>
      <c r="H4598" s="17" t="s">
        <v>692</v>
      </c>
      <c r="I4598" s="17"/>
      <c r="J4598" s="17" t="s">
        <v>693</v>
      </c>
      <c r="K4598" s="17"/>
      <c r="L4598" s="17"/>
      <c r="M4598" s="17"/>
      <c r="N4598" s="17"/>
      <c r="O4598" s="17"/>
      <c r="P4598" s="17" t="s">
        <v>3403</v>
      </c>
      <c r="Q4598" s="17"/>
      <c r="R4598" s="25" t="str">
        <f>HYPERLINK("https://ictv.global/taxonomy/taxondetails?taxnode_id=202301215","Rockefellervirus PH15")</f>
        <v>Rockefellervirus PH15</v>
      </c>
      <c r="S4598" s="18" t="s">
        <v>30</v>
      </c>
      <c r="T4598" s="18" t="s">
        <v>3414</v>
      </c>
      <c r="U4598" s="18"/>
      <c r="V4598" s="18"/>
      <c r="W4598" s="18" t="s">
        <v>3415</v>
      </c>
      <c r="X4598" s="18" t="s">
        <v>42</v>
      </c>
      <c r="Y4598" s="18" t="s">
        <v>36</v>
      </c>
      <c r="Z4598" s="18" t="s">
        <v>697</v>
      </c>
      <c r="AA4598" s="21" t="str">
        <f>HYPERLINK("https://www.ncbi.nlm.nih.gov/nuccore/DQ834250","NCBI Nucleotide")</f>
        <v>NCBI Nucleotide</v>
      </c>
    </row>
    <row r="4599" spans="1:27" x14ac:dyDescent="0.35">
      <c r="A4599">
        <v>1006374</v>
      </c>
      <c r="B4599">
        <v>4575</v>
      </c>
      <c r="C4599">
        <v>1</v>
      </c>
      <c r="D4599" s="17" t="s">
        <v>155</v>
      </c>
      <c r="E4599" s="17"/>
      <c r="F4599" s="17" t="s">
        <v>156</v>
      </c>
      <c r="G4599" s="17"/>
      <c r="H4599" s="17" t="s">
        <v>692</v>
      </c>
      <c r="I4599" s="17"/>
      <c r="J4599" s="17" t="s">
        <v>693</v>
      </c>
      <c r="K4599" s="17"/>
      <c r="L4599" s="17"/>
      <c r="M4599" s="17"/>
      <c r="N4599" s="17"/>
      <c r="O4599" s="17"/>
      <c r="P4599" s="17" t="s">
        <v>3416</v>
      </c>
      <c r="Q4599" s="17"/>
      <c r="R4599" s="25" t="str">
        <f>HYPERLINK("https://ictv.global/taxonomy/taxondetails?taxnode_id=202311678","Rockvillevirus phi4J1")</f>
        <v>Rockvillevirus phi4J1</v>
      </c>
      <c r="S4599" s="18" t="s">
        <v>30</v>
      </c>
      <c r="T4599" s="18" t="s">
        <v>3417</v>
      </c>
      <c r="U4599" s="18"/>
      <c r="V4599" s="18"/>
      <c r="W4599" s="18" t="s">
        <v>3418</v>
      </c>
      <c r="X4599" s="18" t="s">
        <v>42</v>
      </c>
      <c r="Y4599" s="18" t="s">
        <v>36</v>
      </c>
      <c r="Z4599" s="18" t="s">
        <v>697</v>
      </c>
      <c r="AA4599" s="21" t="str">
        <f>HYPERLINK("https://www.ncbi.nlm.nih.gov/nuccore/KT970645","NCBI Nucleotide")</f>
        <v>NCBI Nucleotide</v>
      </c>
    </row>
    <row r="4600" spans="1:27" x14ac:dyDescent="0.35">
      <c r="A4600">
        <v>1006375</v>
      </c>
      <c r="B4600">
        <v>4576</v>
      </c>
      <c r="C4600">
        <v>1</v>
      </c>
      <c r="D4600" s="17" t="s">
        <v>155</v>
      </c>
      <c r="E4600" s="17"/>
      <c r="F4600" s="17" t="s">
        <v>156</v>
      </c>
      <c r="G4600" s="17"/>
      <c r="H4600" s="17" t="s">
        <v>692</v>
      </c>
      <c r="I4600" s="17"/>
      <c r="J4600" s="17" t="s">
        <v>693</v>
      </c>
      <c r="K4600" s="17"/>
      <c r="L4600" s="17"/>
      <c r="M4600" s="17"/>
      <c r="N4600" s="17"/>
      <c r="O4600" s="17"/>
      <c r="P4600" s="17" t="s">
        <v>3419</v>
      </c>
      <c r="Q4600" s="17"/>
      <c r="R4600" s="25" t="str">
        <f>HYPERLINK("https://ictv.global/taxonomy/taxondetails?taxnode_id=202307546","Rogerhendrixvirus hendrix")</f>
        <v>Rogerhendrixvirus hendrix</v>
      </c>
      <c r="S4600" s="18" t="s">
        <v>30</v>
      </c>
      <c r="T4600" s="18" t="s">
        <v>3420</v>
      </c>
      <c r="U4600" s="18"/>
      <c r="V4600" s="18"/>
      <c r="W4600" s="18" t="s">
        <v>3421</v>
      </c>
      <c r="X4600" s="18" t="s">
        <v>42</v>
      </c>
      <c r="Y4600" s="18" t="s">
        <v>36</v>
      </c>
      <c r="Z4600" s="18" t="s">
        <v>697</v>
      </c>
      <c r="AA4600" s="21" t="str">
        <f>HYPERLINK("https://www.ncbi.nlm.nih.gov/nuccore/MH183162","NCBI Nucleotide")</f>
        <v>NCBI Nucleotide</v>
      </c>
    </row>
    <row r="4601" spans="1:27" x14ac:dyDescent="0.35">
      <c r="A4601">
        <v>1006376</v>
      </c>
      <c r="B4601">
        <v>4577</v>
      </c>
      <c r="C4601">
        <v>1</v>
      </c>
      <c r="D4601" s="17" t="s">
        <v>155</v>
      </c>
      <c r="E4601" s="17"/>
      <c r="F4601" s="17" t="s">
        <v>156</v>
      </c>
      <c r="G4601" s="17"/>
      <c r="H4601" s="17" t="s">
        <v>692</v>
      </c>
      <c r="I4601" s="17"/>
      <c r="J4601" s="17" t="s">
        <v>693</v>
      </c>
      <c r="K4601" s="17"/>
      <c r="L4601" s="17"/>
      <c r="M4601" s="17"/>
      <c r="N4601" s="17"/>
      <c r="O4601" s="17"/>
      <c r="P4601" s="17" t="s">
        <v>3422</v>
      </c>
      <c r="Q4601" s="17"/>
      <c r="R4601" s="25" t="str">
        <f>HYPERLINK("https://ictv.global/taxonomy/taxondetails?taxnode_id=202307556","Ronaldovirus fryberger")</f>
        <v>Ronaldovirus fryberger</v>
      </c>
      <c r="S4601" s="18" t="s">
        <v>30</v>
      </c>
      <c r="T4601" s="18" t="s">
        <v>3423</v>
      </c>
      <c r="U4601" s="18"/>
      <c r="V4601" s="18"/>
      <c r="W4601" s="18" t="s">
        <v>3424</v>
      </c>
      <c r="X4601" s="18" t="s">
        <v>42</v>
      </c>
      <c r="Y4601" s="18" t="s">
        <v>36</v>
      </c>
      <c r="Z4601" s="18" t="s">
        <v>697</v>
      </c>
      <c r="AA4601" s="21" t="str">
        <f>HYPERLINK("https://www.ncbi.nlm.nih.gov/nuccore/MH479913","NCBI Nucleotide")</f>
        <v>NCBI Nucleotide</v>
      </c>
    </row>
    <row r="4602" spans="1:27" x14ac:dyDescent="0.35">
      <c r="A4602">
        <v>1006377</v>
      </c>
      <c r="B4602">
        <v>4578</v>
      </c>
      <c r="C4602">
        <v>1</v>
      </c>
      <c r="D4602" s="17" t="s">
        <v>155</v>
      </c>
      <c r="E4602" s="17"/>
      <c r="F4602" s="17" t="s">
        <v>156</v>
      </c>
      <c r="G4602" s="17"/>
      <c r="H4602" s="17" t="s">
        <v>692</v>
      </c>
      <c r="I4602" s="17"/>
      <c r="J4602" s="17" t="s">
        <v>693</v>
      </c>
      <c r="K4602" s="17"/>
      <c r="L4602" s="17"/>
      <c r="M4602" s="17"/>
      <c r="N4602" s="17"/>
      <c r="O4602" s="17"/>
      <c r="P4602" s="17" t="s">
        <v>3422</v>
      </c>
      <c r="Q4602" s="17"/>
      <c r="R4602" s="25" t="str">
        <f>HYPERLINK("https://ictv.global/taxonomy/taxondetails?taxnode_id=202307555","Ronaldovirus ronaldo")</f>
        <v>Ronaldovirus ronaldo</v>
      </c>
      <c r="S4602" s="18" t="s">
        <v>30</v>
      </c>
      <c r="T4602" s="18" t="s">
        <v>3425</v>
      </c>
      <c r="U4602" s="18"/>
      <c r="V4602" s="18"/>
      <c r="W4602" s="18" t="s">
        <v>3426</v>
      </c>
      <c r="X4602" s="18" t="s">
        <v>42</v>
      </c>
      <c r="Y4602" s="18" t="s">
        <v>36</v>
      </c>
      <c r="Z4602" s="18" t="s">
        <v>697</v>
      </c>
      <c r="AA4602" s="21" t="str">
        <f>HYPERLINK("https://www.ncbi.nlm.nih.gov/nuccore/MH479925","NCBI Nucleotide")</f>
        <v>NCBI Nucleotide</v>
      </c>
    </row>
    <row r="4603" spans="1:27" x14ac:dyDescent="0.35">
      <c r="A4603">
        <v>1006378</v>
      </c>
      <c r="B4603">
        <v>4579</v>
      </c>
      <c r="C4603">
        <v>1</v>
      </c>
      <c r="D4603" s="17" t="s">
        <v>155</v>
      </c>
      <c r="E4603" s="17"/>
      <c r="F4603" s="17" t="s">
        <v>156</v>
      </c>
      <c r="G4603" s="17"/>
      <c r="H4603" s="17" t="s">
        <v>692</v>
      </c>
      <c r="I4603" s="17"/>
      <c r="J4603" s="17" t="s">
        <v>693</v>
      </c>
      <c r="K4603" s="17"/>
      <c r="L4603" s="17"/>
      <c r="M4603" s="17"/>
      <c r="N4603" s="17"/>
      <c r="O4603" s="17"/>
      <c r="P4603" s="17" t="s">
        <v>3427</v>
      </c>
      <c r="Q4603" s="17"/>
      <c r="R4603" s="25" t="str">
        <f>HYPERLINK("https://ictv.global/taxonomy/taxondetails?taxnode_id=202312897","Rosariovirus Weirdo19ES")</f>
        <v>Rosariovirus Weirdo19ES</v>
      </c>
      <c r="S4603" s="18" t="s">
        <v>30</v>
      </c>
      <c r="T4603" s="18" t="s">
        <v>3428</v>
      </c>
      <c r="U4603" s="18"/>
      <c r="V4603" s="18"/>
      <c r="W4603" s="18" t="s">
        <v>3429</v>
      </c>
      <c r="X4603" s="18" t="s">
        <v>42</v>
      </c>
      <c r="Y4603" s="18" t="s">
        <v>36</v>
      </c>
      <c r="Z4603" s="18" t="s">
        <v>697</v>
      </c>
      <c r="AA4603" s="21" t="str">
        <f>HYPERLINK("https://www.ncbi.nlm.nih.gov/nuccore/MN103533","NCBI Nucleotide")</f>
        <v>NCBI Nucleotide</v>
      </c>
    </row>
    <row r="4604" spans="1:27" x14ac:dyDescent="0.35">
      <c r="A4604">
        <v>1006379</v>
      </c>
      <c r="B4604">
        <v>4580</v>
      </c>
      <c r="C4604">
        <v>1</v>
      </c>
      <c r="D4604" s="17" t="s">
        <v>155</v>
      </c>
      <c r="E4604" s="17"/>
      <c r="F4604" s="17" t="s">
        <v>156</v>
      </c>
      <c r="G4604" s="17"/>
      <c r="H4604" s="17" t="s">
        <v>692</v>
      </c>
      <c r="I4604" s="17"/>
      <c r="J4604" s="17" t="s">
        <v>693</v>
      </c>
      <c r="K4604" s="17"/>
      <c r="L4604" s="17"/>
      <c r="M4604" s="17"/>
      <c r="N4604" s="17"/>
      <c r="O4604" s="17"/>
      <c r="P4604" s="17" t="s">
        <v>3430</v>
      </c>
      <c r="Q4604" s="17"/>
      <c r="R4604" s="25" t="str">
        <f>HYPERLINK("https://ictv.global/taxonomy/taxondetails?taxnode_id=202311684","Rosemountvirus birk")</f>
        <v>Rosemountvirus birk</v>
      </c>
      <c r="S4604" s="18" t="s">
        <v>30</v>
      </c>
      <c r="T4604" s="18" t="s">
        <v>3431</v>
      </c>
      <c r="U4604" s="18"/>
      <c r="V4604" s="18"/>
      <c r="W4604" s="18" t="s">
        <v>3432</v>
      </c>
      <c r="X4604" s="18" t="s">
        <v>42</v>
      </c>
      <c r="Y4604" s="18" t="s">
        <v>36</v>
      </c>
      <c r="Z4604" s="18" t="s">
        <v>697</v>
      </c>
      <c r="AA4604" s="21" t="str">
        <f>HYPERLINK("https://www.ncbi.nlm.nih.gov/nuccore/MT074439","NCBI Nucleotide")</f>
        <v>NCBI Nucleotide</v>
      </c>
    </row>
    <row r="4605" spans="1:27" x14ac:dyDescent="0.35">
      <c r="A4605">
        <v>1006380</v>
      </c>
      <c r="B4605">
        <v>4581</v>
      </c>
      <c r="C4605">
        <v>1</v>
      </c>
      <c r="D4605" s="17" t="s">
        <v>155</v>
      </c>
      <c r="E4605" s="17"/>
      <c r="F4605" s="17" t="s">
        <v>156</v>
      </c>
      <c r="G4605" s="17"/>
      <c r="H4605" s="17" t="s">
        <v>692</v>
      </c>
      <c r="I4605" s="17"/>
      <c r="J4605" s="17" t="s">
        <v>693</v>
      </c>
      <c r="K4605" s="17"/>
      <c r="L4605" s="17"/>
      <c r="M4605" s="17"/>
      <c r="N4605" s="17"/>
      <c r="O4605" s="17"/>
      <c r="P4605" s="17" t="s">
        <v>3430</v>
      </c>
      <c r="Q4605" s="17"/>
      <c r="R4605" s="25" t="str">
        <f>HYPERLINK("https://ictv.global/taxonomy/taxondetails?taxnode_id=202307916","Rosemountvirus BP63")</f>
        <v>Rosemountvirus BP63</v>
      </c>
      <c r="S4605" s="18" t="s">
        <v>30</v>
      </c>
      <c r="T4605" s="18" t="s">
        <v>3433</v>
      </c>
      <c r="U4605" s="18"/>
      <c r="V4605" s="18"/>
      <c r="W4605" s="18" t="s">
        <v>3434</v>
      </c>
      <c r="X4605" s="18" t="s">
        <v>42</v>
      </c>
      <c r="Y4605" s="18" t="s">
        <v>36</v>
      </c>
      <c r="Z4605" s="18" t="s">
        <v>697</v>
      </c>
      <c r="AA4605" s="21" t="str">
        <f>HYPERLINK("https://www.ncbi.nlm.nih.gov/nuccore/KM366099","NCBI Nucleotide")</f>
        <v>NCBI Nucleotide</v>
      </c>
    </row>
    <row r="4606" spans="1:27" x14ac:dyDescent="0.35">
      <c r="A4606">
        <v>1006381</v>
      </c>
      <c r="B4606">
        <v>4582</v>
      </c>
      <c r="C4606">
        <v>1</v>
      </c>
      <c r="D4606" s="17" t="s">
        <v>155</v>
      </c>
      <c r="E4606" s="17"/>
      <c r="F4606" s="17" t="s">
        <v>156</v>
      </c>
      <c r="G4606" s="17"/>
      <c r="H4606" s="17" t="s">
        <v>692</v>
      </c>
      <c r="I4606" s="17"/>
      <c r="J4606" s="17" t="s">
        <v>693</v>
      </c>
      <c r="K4606" s="17"/>
      <c r="L4606" s="17"/>
      <c r="M4606" s="17"/>
      <c r="N4606" s="17"/>
      <c r="O4606" s="17"/>
      <c r="P4606" s="17" t="s">
        <v>3430</v>
      </c>
      <c r="Q4606" s="17"/>
      <c r="R4606" s="25" t="str">
        <f>HYPERLINK("https://ictv.global/taxonomy/taxondetails?taxnode_id=202311682","Rosemountvirus SE13")</f>
        <v>Rosemountvirus SE13</v>
      </c>
      <c r="S4606" s="18" t="s">
        <v>30</v>
      </c>
      <c r="T4606" s="18" t="s">
        <v>3435</v>
      </c>
      <c r="U4606" s="18"/>
      <c r="V4606" s="18"/>
      <c r="W4606" s="18" t="s">
        <v>3436</v>
      </c>
      <c r="X4606" s="18" t="s">
        <v>42</v>
      </c>
      <c r="Y4606" s="18" t="s">
        <v>36</v>
      </c>
      <c r="Z4606" s="18" t="s">
        <v>697</v>
      </c>
      <c r="AA4606" s="21" t="str">
        <f>HYPERLINK("https://www.ncbi.nlm.nih.gov/nuccore/MK770411","NCBI Nucleotide")</f>
        <v>NCBI Nucleotide</v>
      </c>
    </row>
    <row r="4607" spans="1:27" x14ac:dyDescent="0.35">
      <c r="A4607">
        <v>1006382</v>
      </c>
      <c r="B4607">
        <v>4583</v>
      </c>
      <c r="C4607">
        <v>1</v>
      </c>
      <c r="D4607" s="17" t="s">
        <v>155</v>
      </c>
      <c r="E4607" s="17"/>
      <c r="F4607" s="17" t="s">
        <v>156</v>
      </c>
      <c r="G4607" s="17"/>
      <c r="H4607" s="17" t="s">
        <v>692</v>
      </c>
      <c r="I4607" s="17"/>
      <c r="J4607" s="17" t="s">
        <v>693</v>
      </c>
      <c r="K4607" s="17"/>
      <c r="L4607" s="17"/>
      <c r="M4607" s="17"/>
      <c r="N4607" s="17"/>
      <c r="O4607" s="17"/>
      <c r="P4607" s="17" t="s">
        <v>3430</v>
      </c>
      <c r="Q4607" s="17"/>
      <c r="R4607" s="25" t="str">
        <f>HYPERLINK("https://ictv.global/taxonomy/taxondetails?taxnode_id=202311685","Rosemountvirus UPFBP2")</f>
        <v>Rosemountvirus UPFBP2</v>
      </c>
      <c r="S4607" s="18" t="s">
        <v>30</v>
      </c>
      <c r="T4607" s="18" t="s">
        <v>3437</v>
      </c>
      <c r="U4607" s="18"/>
      <c r="V4607" s="18"/>
      <c r="W4607" s="18" t="s">
        <v>3438</v>
      </c>
      <c r="X4607" s="18" t="s">
        <v>42</v>
      </c>
      <c r="Y4607" s="18" t="s">
        <v>36</v>
      </c>
      <c r="Z4607" s="18" t="s">
        <v>697</v>
      </c>
      <c r="AA4607" s="21" t="str">
        <f>HYPERLINK("https://www.ncbi.nlm.nih.gov/nuccore/KX826077","NCBI Nucleotide")</f>
        <v>NCBI Nucleotide</v>
      </c>
    </row>
    <row r="4608" spans="1:27" x14ac:dyDescent="0.35">
      <c r="A4608">
        <v>1006383</v>
      </c>
      <c r="B4608">
        <v>4584</v>
      </c>
      <c r="C4608">
        <v>1</v>
      </c>
      <c r="D4608" s="17" t="s">
        <v>155</v>
      </c>
      <c r="E4608" s="17"/>
      <c r="F4608" s="17" t="s">
        <v>156</v>
      </c>
      <c r="G4608" s="17"/>
      <c r="H4608" s="17" t="s">
        <v>692</v>
      </c>
      <c r="I4608" s="17"/>
      <c r="J4608" s="17" t="s">
        <v>693</v>
      </c>
      <c r="K4608" s="17"/>
      <c r="L4608" s="17"/>
      <c r="M4608" s="17"/>
      <c r="N4608" s="17"/>
      <c r="O4608" s="17"/>
      <c r="P4608" s="17" t="s">
        <v>3430</v>
      </c>
      <c r="Q4608" s="17"/>
      <c r="R4608" s="25" t="str">
        <f>HYPERLINK("https://ictv.global/taxonomy/taxondetails?taxnode_id=202311683","Rosemountvirus yarpen")</f>
        <v>Rosemountvirus yarpen</v>
      </c>
      <c r="S4608" s="18" t="s">
        <v>30</v>
      </c>
      <c r="T4608" s="18" t="s">
        <v>3439</v>
      </c>
      <c r="U4608" s="18"/>
      <c r="V4608" s="18"/>
      <c r="W4608" s="18" t="s">
        <v>3440</v>
      </c>
      <c r="X4608" s="18" t="s">
        <v>42</v>
      </c>
      <c r="Y4608" s="18" t="s">
        <v>36</v>
      </c>
      <c r="Z4608" s="18" t="s">
        <v>697</v>
      </c>
      <c r="AA4608" s="21" t="str">
        <f>HYPERLINK("https://www.ncbi.nlm.nih.gov/nuccore/MT074436","NCBI Nucleotide")</f>
        <v>NCBI Nucleotide</v>
      </c>
    </row>
    <row r="4609" spans="1:27" x14ac:dyDescent="0.35">
      <c r="A4609">
        <v>1006384</v>
      </c>
      <c r="B4609">
        <v>4585</v>
      </c>
      <c r="C4609">
        <v>1</v>
      </c>
      <c r="D4609" s="17" t="s">
        <v>155</v>
      </c>
      <c r="E4609" s="17"/>
      <c r="F4609" s="17" t="s">
        <v>156</v>
      </c>
      <c r="G4609" s="17"/>
      <c r="H4609" s="17" t="s">
        <v>692</v>
      </c>
      <c r="I4609" s="17"/>
      <c r="J4609" s="17" t="s">
        <v>693</v>
      </c>
      <c r="K4609" s="17"/>
      <c r="L4609" s="17"/>
      <c r="M4609" s="17"/>
      <c r="N4609" s="17"/>
      <c r="O4609" s="17"/>
      <c r="P4609" s="17" t="s">
        <v>3441</v>
      </c>
      <c r="Q4609" s="17"/>
      <c r="R4609" s="25" t="str">
        <f>HYPERLINK("https://ictv.global/taxonomy/taxondetails?taxnode_id=202314797","Roslyckyvirus ph08")</f>
        <v>Roslyckyvirus ph08</v>
      </c>
      <c r="S4609" s="18" t="s">
        <v>30</v>
      </c>
      <c r="T4609" s="18" t="s">
        <v>3442</v>
      </c>
      <c r="U4609" s="18"/>
      <c r="V4609" s="18"/>
      <c r="W4609" s="18" t="s">
        <v>3443</v>
      </c>
      <c r="X4609" s="18" t="s">
        <v>42</v>
      </c>
      <c r="Y4609" s="18" t="s">
        <v>36</v>
      </c>
      <c r="Z4609" s="18" t="s">
        <v>697</v>
      </c>
      <c r="AA4609" s="21" t="str">
        <f>HYPERLINK("https://www.ncbi.nlm.nih.gov/nuccore/MF403009","NCBI Nucleotide")</f>
        <v>NCBI Nucleotide</v>
      </c>
    </row>
    <row r="4610" spans="1:27" x14ac:dyDescent="0.35">
      <c r="A4610">
        <v>1006385</v>
      </c>
      <c r="B4610">
        <v>4586</v>
      </c>
      <c r="C4610">
        <v>1</v>
      </c>
      <c r="D4610" s="17" t="s">
        <v>155</v>
      </c>
      <c r="E4610" s="17"/>
      <c r="F4610" s="17" t="s">
        <v>156</v>
      </c>
      <c r="G4610" s="17"/>
      <c r="H4610" s="17" t="s">
        <v>692</v>
      </c>
      <c r="I4610" s="17"/>
      <c r="J4610" s="17" t="s">
        <v>693</v>
      </c>
      <c r="K4610" s="17"/>
      <c r="L4610" s="17"/>
      <c r="M4610" s="17"/>
      <c r="N4610" s="17"/>
      <c r="O4610" s="17"/>
      <c r="P4610" s="17" t="s">
        <v>3444</v>
      </c>
      <c r="Q4610" s="17"/>
      <c r="R4610" s="25" t="str">
        <f>HYPERLINK("https://ictv.global/taxonomy/taxondetails?taxnode_id=202301235","Roufvirus pIS4A")</f>
        <v>Roufvirus pIS4A</v>
      </c>
      <c r="S4610" s="18" t="s">
        <v>30</v>
      </c>
      <c r="T4610" s="18" t="s">
        <v>3445</v>
      </c>
      <c r="U4610" s="18"/>
      <c r="V4610" s="18"/>
      <c r="W4610" s="18" t="s">
        <v>3446</v>
      </c>
      <c r="X4610" s="18" t="s">
        <v>42</v>
      </c>
      <c r="Y4610" s="18" t="s">
        <v>36</v>
      </c>
      <c r="Z4610" s="18" t="s">
        <v>697</v>
      </c>
      <c r="AA4610" s="21" t="str">
        <f>HYPERLINK("https://www.ncbi.nlm.nih.gov/nuccore/JF974294","NCBI Nucleotide")</f>
        <v>NCBI Nucleotide</v>
      </c>
    </row>
    <row r="4611" spans="1:27" x14ac:dyDescent="0.35">
      <c r="A4611">
        <v>1024798</v>
      </c>
      <c r="B4611">
        <v>4587</v>
      </c>
      <c r="C4611">
        <v>1</v>
      </c>
      <c r="D4611" s="17" t="s">
        <v>155</v>
      </c>
      <c r="E4611" s="17"/>
      <c r="F4611" s="17" t="s">
        <v>156</v>
      </c>
      <c r="G4611" s="17"/>
      <c r="H4611" s="17" t="s">
        <v>692</v>
      </c>
      <c r="I4611" s="17"/>
      <c r="J4611" s="17" t="s">
        <v>693</v>
      </c>
      <c r="K4611" s="17"/>
      <c r="L4611" s="17"/>
      <c r="M4611" s="17"/>
      <c r="N4611" s="17"/>
      <c r="O4611" s="17"/>
      <c r="P4611" s="17" t="s">
        <v>40014</v>
      </c>
      <c r="Q4611" s="17"/>
      <c r="R4611" s="25" t="str">
        <f>HYPERLINK("https://ictv.global/taxonomy/taxondetails?taxnode_id=202319252","Rovertvirus rovert")</f>
        <v>Rovertvirus rovert</v>
      </c>
      <c r="S4611" s="18" t="s">
        <v>30</v>
      </c>
      <c r="T4611" s="18" t="s">
        <v>40015</v>
      </c>
      <c r="U4611" s="18" t="s">
        <v>40016</v>
      </c>
      <c r="V4611" s="18"/>
      <c r="W4611" s="18" t="s">
        <v>48563</v>
      </c>
      <c r="X4611" s="18" t="s">
        <v>42</v>
      </c>
      <c r="Y4611" s="18" t="s">
        <v>36</v>
      </c>
      <c r="Z4611" s="18" t="s">
        <v>697</v>
      </c>
      <c r="AA4611" s="21" t="str">
        <f>HYPERLINK("https://www.ncbi.nlm.nih.gov/nuccore/MW021761","NCBI Nucleotide")</f>
        <v>NCBI Nucleotide</v>
      </c>
    </row>
    <row r="4612" spans="1:27" x14ac:dyDescent="0.35">
      <c r="A4612">
        <v>1006386</v>
      </c>
      <c r="B4612">
        <v>4588</v>
      </c>
      <c r="C4612">
        <v>1</v>
      </c>
      <c r="D4612" s="17" t="s">
        <v>155</v>
      </c>
      <c r="E4612" s="17"/>
      <c r="F4612" s="17" t="s">
        <v>156</v>
      </c>
      <c r="G4612" s="17"/>
      <c r="H4612" s="17" t="s">
        <v>692</v>
      </c>
      <c r="I4612" s="17"/>
      <c r="J4612" s="17" t="s">
        <v>693</v>
      </c>
      <c r="K4612" s="17"/>
      <c r="L4612" s="17"/>
      <c r="M4612" s="17"/>
      <c r="N4612" s="17"/>
      <c r="O4612" s="17"/>
      <c r="P4612" s="17" t="s">
        <v>3447</v>
      </c>
      <c r="Q4612" s="17"/>
      <c r="R4612" s="25" t="str">
        <f>HYPERLINK("https://ictv.global/taxonomy/taxondetails?taxnode_id=202308025","Rowavirus rowa")</f>
        <v>Rowavirus rowa</v>
      </c>
      <c r="S4612" s="18" t="s">
        <v>30</v>
      </c>
      <c r="T4612" s="18" t="s">
        <v>3448</v>
      </c>
      <c r="U4612" s="18"/>
      <c r="V4612" s="18"/>
      <c r="W4612" s="18" t="s">
        <v>3449</v>
      </c>
      <c r="X4612" s="18" t="s">
        <v>42</v>
      </c>
      <c r="Y4612" s="18" t="s">
        <v>36</v>
      </c>
      <c r="Z4612" s="18" t="s">
        <v>697</v>
      </c>
      <c r="AA4612" s="21" t="str">
        <f>HYPERLINK("https://www.ncbi.nlm.nih.gov/nuccore/MG593803","NCBI Nucleotide")</f>
        <v>NCBI Nucleotide</v>
      </c>
    </row>
    <row r="4613" spans="1:27" x14ac:dyDescent="0.35">
      <c r="A4613">
        <v>1006387</v>
      </c>
      <c r="B4613">
        <v>4589</v>
      </c>
      <c r="C4613">
        <v>1</v>
      </c>
      <c r="D4613" s="17" t="s">
        <v>155</v>
      </c>
      <c r="E4613" s="17"/>
      <c r="F4613" s="17" t="s">
        <v>156</v>
      </c>
      <c r="G4613" s="17"/>
      <c r="H4613" s="17" t="s">
        <v>692</v>
      </c>
      <c r="I4613" s="17"/>
      <c r="J4613" s="17" t="s">
        <v>693</v>
      </c>
      <c r="K4613" s="17"/>
      <c r="L4613" s="17"/>
      <c r="M4613" s="17"/>
      <c r="N4613" s="17"/>
      <c r="O4613" s="17"/>
      <c r="P4613" s="17" t="s">
        <v>3450</v>
      </c>
      <c r="Q4613" s="17"/>
      <c r="R4613" s="25" t="str">
        <f>HYPERLINK("https://ictv.global/taxonomy/taxondetails?taxnode_id=202309982","Ruthyvirus dumpsterdude")</f>
        <v>Ruthyvirus dumpsterdude</v>
      </c>
      <c r="S4613" s="18" t="s">
        <v>30</v>
      </c>
      <c r="T4613" s="18" t="s">
        <v>3451</v>
      </c>
      <c r="U4613" s="18"/>
      <c r="V4613" s="18"/>
      <c r="W4613" s="18" t="s">
        <v>3452</v>
      </c>
      <c r="X4613" s="18" t="s">
        <v>42</v>
      </c>
      <c r="Y4613" s="18" t="s">
        <v>36</v>
      </c>
      <c r="Z4613" s="18" t="s">
        <v>697</v>
      </c>
      <c r="AA4613" s="21" t="str">
        <f>HYPERLINK("https://www.ncbi.nlm.nih.gov/nuccore/MT024859","NCBI Nucleotide")</f>
        <v>NCBI Nucleotide</v>
      </c>
    </row>
    <row r="4614" spans="1:27" x14ac:dyDescent="0.35">
      <c r="A4614">
        <v>1006388</v>
      </c>
      <c r="B4614">
        <v>4590</v>
      </c>
      <c r="C4614">
        <v>1</v>
      </c>
      <c r="D4614" s="17" t="s">
        <v>155</v>
      </c>
      <c r="E4614" s="17"/>
      <c r="F4614" s="17" t="s">
        <v>156</v>
      </c>
      <c r="G4614" s="17"/>
      <c r="H4614" s="17" t="s">
        <v>692</v>
      </c>
      <c r="I4614" s="17"/>
      <c r="J4614" s="17" t="s">
        <v>693</v>
      </c>
      <c r="K4614" s="17"/>
      <c r="L4614" s="17"/>
      <c r="M4614" s="17"/>
      <c r="N4614" s="17"/>
      <c r="O4614" s="17"/>
      <c r="P4614" s="17" t="s">
        <v>3450</v>
      </c>
      <c r="Q4614" s="17"/>
      <c r="R4614" s="25" t="str">
        <f>HYPERLINK("https://ictv.global/taxonomy/taxondetails?taxnode_id=202307568","Ruthyvirus ruthy")</f>
        <v>Ruthyvirus ruthy</v>
      </c>
      <c r="S4614" s="18" t="s">
        <v>30</v>
      </c>
      <c r="T4614" s="18" t="s">
        <v>3453</v>
      </c>
      <c r="U4614" s="18"/>
      <c r="V4614" s="18"/>
      <c r="W4614" s="18" t="s">
        <v>3454</v>
      </c>
      <c r="X4614" s="18" t="s">
        <v>42</v>
      </c>
      <c r="Y4614" s="18" t="s">
        <v>36</v>
      </c>
      <c r="Z4614" s="18" t="s">
        <v>697</v>
      </c>
      <c r="AA4614" s="21" t="str">
        <f>HYPERLINK("https://www.ncbi.nlm.nih.gov/nuccore/MH536826","NCBI Nucleotide")</f>
        <v>NCBI Nucleotide</v>
      </c>
    </row>
    <row r="4615" spans="1:27" x14ac:dyDescent="0.35">
      <c r="A4615">
        <v>1006389</v>
      </c>
      <c r="B4615">
        <v>4591</v>
      </c>
      <c r="C4615">
        <v>1</v>
      </c>
      <c r="D4615" s="17" t="s">
        <v>155</v>
      </c>
      <c r="E4615" s="17"/>
      <c r="F4615" s="17" t="s">
        <v>156</v>
      </c>
      <c r="G4615" s="17"/>
      <c r="H4615" s="17" t="s">
        <v>692</v>
      </c>
      <c r="I4615" s="17"/>
      <c r="J4615" s="17" t="s">
        <v>693</v>
      </c>
      <c r="K4615" s="17"/>
      <c r="L4615" s="17"/>
      <c r="M4615" s="17"/>
      <c r="N4615" s="17"/>
      <c r="O4615" s="17"/>
      <c r="P4615" s="17" t="s">
        <v>3455</v>
      </c>
      <c r="Q4615" s="17"/>
      <c r="R4615" s="25" t="str">
        <f>HYPERLINK("https://ictv.global/taxonomy/taxondetails?taxnode_id=202300628","Ryyoungvirus bcepC6B")</f>
        <v>Ryyoungvirus bcepC6B</v>
      </c>
      <c r="S4615" s="18" t="s">
        <v>30</v>
      </c>
      <c r="T4615" s="18" t="s">
        <v>3456</v>
      </c>
      <c r="U4615" s="18"/>
      <c r="V4615" s="18"/>
      <c r="W4615" s="18" t="s">
        <v>3457</v>
      </c>
      <c r="X4615" s="18" t="s">
        <v>42</v>
      </c>
      <c r="Y4615" s="18" t="s">
        <v>36</v>
      </c>
      <c r="Z4615" s="18" t="s">
        <v>697</v>
      </c>
      <c r="AA4615" s="21" t="str">
        <f>HYPERLINK("https://www.ncbi.nlm.nih.gov/nuccore/AY605181","NCBI Nucleotide")</f>
        <v>NCBI Nucleotide</v>
      </c>
    </row>
    <row r="4616" spans="1:27" x14ac:dyDescent="0.35">
      <c r="A4616">
        <v>1006392</v>
      </c>
      <c r="B4616">
        <v>4592</v>
      </c>
      <c r="C4616">
        <v>1</v>
      </c>
      <c r="D4616" s="17" t="s">
        <v>155</v>
      </c>
      <c r="E4616" s="17"/>
      <c r="F4616" s="17" t="s">
        <v>156</v>
      </c>
      <c r="G4616" s="17"/>
      <c r="H4616" s="17" t="s">
        <v>692</v>
      </c>
      <c r="I4616" s="17"/>
      <c r="J4616" s="17" t="s">
        <v>693</v>
      </c>
      <c r="K4616" s="17"/>
      <c r="L4616" s="17"/>
      <c r="M4616" s="17"/>
      <c r="N4616" s="17"/>
      <c r="O4616" s="17"/>
      <c r="P4616" s="17" t="s">
        <v>3458</v>
      </c>
      <c r="Q4616" s="17"/>
      <c r="R4616" s="25" t="str">
        <f>HYPERLINK("https://ictv.global/taxonomy/taxondetails?taxnode_id=202307935","Saclayvirus Aci05")</f>
        <v>Saclayvirus Aci05</v>
      </c>
      <c r="S4616" s="18" t="s">
        <v>30</v>
      </c>
      <c r="T4616" s="18" t="s">
        <v>3463</v>
      </c>
      <c r="U4616" s="18"/>
      <c r="V4616" s="18"/>
      <c r="W4616" s="18" t="s">
        <v>3464</v>
      </c>
      <c r="X4616" s="18" t="s">
        <v>42</v>
      </c>
      <c r="Y4616" s="18" t="s">
        <v>36</v>
      </c>
      <c r="Z4616" s="18" t="s">
        <v>697</v>
      </c>
      <c r="AA4616" s="21" t="str">
        <f>HYPERLINK("https://www.ncbi.nlm.nih.gov/nuccore/MH746814","NCBI Nucleotide")</f>
        <v>NCBI Nucleotide</v>
      </c>
    </row>
    <row r="4617" spans="1:27" x14ac:dyDescent="0.35">
      <c r="A4617">
        <v>1006390</v>
      </c>
      <c r="B4617">
        <v>4593</v>
      </c>
      <c r="C4617">
        <v>1</v>
      </c>
      <c r="D4617" s="17" t="s">
        <v>155</v>
      </c>
      <c r="E4617" s="17"/>
      <c r="F4617" s="17" t="s">
        <v>156</v>
      </c>
      <c r="G4617" s="17"/>
      <c r="H4617" s="17" t="s">
        <v>692</v>
      </c>
      <c r="I4617" s="17"/>
      <c r="J4617" s="17" t="s">
        <v>693</v>
      </c>
      <c r="K4617" s="17"/>
      <c r="L4617" s="17"/>
      <c r="M4617" s="17"/>
      <c r="N4617" s="17"/>
      <c r="O4617" s="17"/>
      <c r="P4617" s="17" t="s">
        <v>3458</v>
      </c>
      <c r="Q4617" s="17"/>
      <c r="R4617" s="25" t="str">
        <f>HYPERLINK("https://ictv.global/taxonomy/taxondetails?taxnode_id=202307934","Saclayvirus Aci011")</f>
        <v>Saclayvirus Aci011</v>
      </c>
      <c r="S4617" s="18" t="s">
        <v>30</v>
      </c>
      <c r="T4617" s="18" t="s">
        <v>3459</v>
      </c>
      <c r="U4617" s="18"/>
      <c r="V4617" s="18"/>
      <c r="W4617" s="18" t="s">
        <v>3460</v>
      </c>
      <c r="X4617" s="18" t="s">
        <v>42</v>
      </c>
      <c r="Y4617" s="18" t="s">
        <v>36</v>
      </c>
      <c r="Z4617" s="18" t="s">
        <v>697</v>
      </c>
      <c r="AA4617" s="21" t="str">
        <f>HYPERLINK("https://www.ncbi.nlm.nih.gov/nuccore/MH800198","NCBI Nucleotide")</f>
        <v>NCBI Nucleotide</v>
      </c>
    </row>
    <row r="4618" spans="1:27" x14ac:dyDescent="0.35">
      <c r="A4618">
        <v>1006391</v>
      </c>
      <c r="B4618">
        <v>4594</v>
      </c>
      <c r="C4618">
        <v>1</v>
      </c>
      <c r="D4618" s="17" t="s">
        <v>155</v>
      </c>
      <c r="E4618" s="17"/>
      <c r="F4618" s="17" t="s">
        <v>156</v>
      </c>
      <c r="G4618" s="17"/>
      <c r="H4618" s="17" t="s">
        <v>692</v>
      </c>
      <c r="I4618" s="17"/>
      <c r="J4618" s="17" t="s">
        <v>693</v>
      </c>
      <c r="K4618" s="17"/>
      <c r="L4618" s="17"/>
      <c r="M4618" s="17"/>
      <c r="N4618" s="17"/>
      <c r="O4618" s="17"/>
      <c r="P4618" s="17" t="s">
        <v>3458</v>
      </c>
      <c r="Q4618" s="17"/>
      <c r="R4618" s="25" t="str">
        <f>HYPERLINK("https://ictv.global/taxonomy/taxondetails?taxnode_id=202307933","Saclayvirus Aci022")</f>
        <v>Saclayvirus Aci022</v>
      </c>
      <c r="S4618" s="18" t="s">
        <v>30</v>
      </c>
      <c r="T4618" s="18" t="s">
        <v>3461</v>
      </c>
      <c r="U4618" s="18"/>
      <c r="V4618" s="18"/>
      <c r="W4618" s="18" t="s">
        <v>3462</v>
      </c>
      <c r="X4618" s="18" t="s">
        <v>42</v>
      </c>
      <c r="Y4618" s="18" t="s">
        <v>36</v>
      </c>
      <c r="Z4618" s="18" t="s">
        <v>697</v>
      </c>
      <c r="AA4618" s="21" t="str">
        <f>HYPERLINK("https://www.ncbi.nlm.nih.gov/nuccore/MH800199","NCBI Nucleotide")</f>
        <v>NCBI Nucleotide</v>
      </c>
    </row>
    <row r="4619" spans="1:27" x14ac:dyDescent="0.35">
      <c r="A4619">
        <v>1006393</v>
      </c>
      <c r="B4619">
        <v>4595</v>
      </c>
      <c r="C4619">
        <v>1</v>
      </c>
      <c r="D4619" s="17" t="s">
        <v>155</v>
      </c>
      <c r="E4619" s="17"/>
      <c r="F4619" s="17" t="s">
        <v>156</v>
      </c>
      <c r="G4619" s="17"/>
      <c r="H4619" s="17" t="s">
        <v>692</v>
      </c>
      <c r="I4619" s="17"/>
      <c r="J4619" s="17" t="s">
        <v>693</v>
      </c>
      <c r="K4619" s="17"/>
      <c r="L4619" s="17"/>
      <c r="M4619" s="17"/>
      <c r="N4619" s="17"/>
      <c r="O4619" s="17"/>
      <c r="P4619" s="17" t="s">
        <v>3465</v>
      </c>
      <c r="Q4619" s="17"/>
      <c r="R4619" s="25" t="str">
        <f>HYPERLINK("https://ictv.global/taxonomy/taxondetails?taxnode_id=202312913","Sagamiharavirus PP")</f>
        <v>Sagamiharavirus PP</v>
      </c>
      <c r="S4619" s="18" t="s">
        <v>30</v>
      </c>
      <c r="T4619" s="18" t="s">
        <v>3466</v>
      </c>
      <c r="U4619" s="18"/>
      <c r="V4619" s="18"/>
      <c r="W4619" s="18" t="s">
        <v>3467</v>
      </c>
      <c r="X4619" s="18" t="s">
        <v>42</v>
      </c>
      <c r="Y4619" s="18" t="s">
        <v>36</v>
      </c>
      <c r="Z4619" s="18" t="s">
        <v>697</v>
      </c>
      <c r="AA4619" s="21" t="str">
        <f>HYPERLINK("https://www.ncbi.nlm.nih.gov/nuccore/AP018486","NCBI Nucleotide")</f>
        <v>NCBI Nucleotide</v>
      </c>
    </row>
    <row r="4620" spans="1:27" x14ac:dyDescent="0.35">
      <c r="A4620">
        <v>1006394</v>
      </c>
      <c r="B4620">
        <v>4596</v>
      </c>
      <c r="C4620">
        <v>1</v>
      </c>
      <c r="D4620" s="17" t="s">
        <v>155</v>
      </c>
      <c r="E4620" s="17"/>
      <c r="F4620" s="17" t="s">
        <v>156</v>
      </c>
      <c r="G4620" s="17"/>
      <c r="H4620" s="17" t="s">
        <v>692</v>
      </c>
      <c r="I4620" s="17"/>
      <c r="J4620" s="17" t="s">
        <v>693</v>
      </c>
      <c r="K4620" s="17"/>
      <c r="L4620" s="17"/>
      <c r="M4620" s="17"/>
      <c r="N4620" s="17"/>
      <c r="O4620" s="17"/>
      <c r="P4620" s="17" t="s">
        <v>3468</v>
      </c>
      <c r="Q4620" s="17"/>
      <c r="R4620" s="25" t="str">
        <f>HYPERLINK("https://ictv.global/taxonomy/taxondetails?taxnode_id=202311724","Saintgironsvirus LE1")</f>
        <v>Saintgironsvirus LE1</v>
      </c>
      <c r="S4620" s="18" t="s">
        <v>30</v>
      </c>
      <c r="T4620" s="18" t="s">
        <v>3469</v>
      </c>
      <c r="U4620" s="18"/>
      <c r="V4620" s="18"/>
      <c r="W4620" s="18" t="s">
        <v>3470</v>
      </c>
      <c r="X4620" s="18" t="s">
        <v>42</v>
      </c>
      <c r="Y4620" s="18" t="s">
        <v>36</v>
      </c>
      <c r="Z4620" s="18" t="s">
        <v>697</v>
      </c>
      <c r="AA4620" s="21" t="str">
        <f>HYPERLINK("https://www.ncbi.nlm.nih.gov/nuccore/BX571876","NCBI Nucleotide")</f>
        <v>NCBI Nucleotide</v>
      </c>
    </row>
    <row r="4621" spans="1:27" x14ac:dyDescent="0.35">
      <c r="A4621">
        <v>1006395</v>
      </c>
      <c r="B4621">
        <v>4597</v>
      </c>
      <c r="C4621">
        <v>1</v>
      </c>
      <c r="D4621" s="17" t="s">
        <v>155</v>
      </c>
      <c r="E4621" s="17"/>
      <c r="F4621" s="17" t="s">
        <v>156</v>
      </c>
      <c r="G4621" s="17"/>
      <c r="H4621" s="17" t="s">
        <v>692</v>
      </c>
      <c r="I4621" s="17"/>
      <c r="J4621" s="17" t="s">
        <v>693</v>
      </c>
      <c r="K4621" s="17"/>
      <c r="L4621" s="17"/>
      <c r="M4621" s="17"/>
      <c r="N4621" s="17"/>
      <c r="O4621" s="17"/>
      <c r="P4621" s="17" t="s">
        <v>3471</v>
      </c>
      <c r="Q4621" s="17"/>
      <c r="R4621" s="25" t="str">
        <f>HYPERLINK("https://ictv.global/taxonomy/taxondetails?taxnode_id=202307925","Salmondvirus JA11")</f>
        <v>Salmondvirus JA11</v>
      </c>
      <c r="S4621" s="18" t="s">
        <v>30</v>
      </c>
      <c r="T4621" s="18" t="s">
        <v>3472</v>
      </c>
      <c r="U4621" s="18"/>
      <c r="V4621" s="18"/>
      <c r="W4621" s="18" t="s">
        <v>3473</v>
      </c>
      <c r="X4621" s="18" t="s">
        <v>42</v>
      </c>
      <c r="Y4621" s="18" t="s">
        <v>36</v>
      </c>
      <c r="Z4621" s="18" t="s">
        <v>697</v>
      </c>
      <c r="AA4621" s="21" t="str">
        <f>HYPERLINK("https://www.ncbi.nlm.nih.gov/nuccore/MH389777","NCBI Nucleotide")</f>
        <v>NCBI Nucleotide</v>
      </c>
    </row>
    <row r="4622" spans="1:27" x14ac:dyDescent="0.35">
      <c r="A4622">
        <v>1006396</v>
      </c>
      <c r="B4622">
        <v>4598</v>
      </c>
      <c r="C4622">
        <v>1</v>
      </c>
      <c r="D4622" s="17" t="s">
        <v>155</v>
      </c>
      <c r="E4622" s="17"/>
      <c r="F4622" s="17" t="s">
        <v>156</v>
      </c>
      <c r="G4622" s="17"/>
      <c r="H4622" s="17" t="s">
        <v>692</v>
      </c>
      <c r="I4622" s="17"/>
      <c r="J4622" s="17" t="s">
        <v>693</v>
      </c>
      <c r="K4622" s="17"/>
      <c r="L4622" s="17"/>
      <c r="M4622" s="17"/>
      <c r="N4622" s="17"/>
      <c r="O4622" s="17"/>
      <c r="P4622" s="17" t="s">
        <v>3471</v>
      </c>
      <c r="Q4622" s="17"/>
      <c r="R4622" s="25" t="str">
        <f>HYPERLINK("https://ictv.global/taxonomy/taxondetails?taxnode_id=202307926","Salmondvirus JA29")</f>
        <v>Salmondvirus JA29</v>
      </c>
      <c r="S4622" s="18" t="s">
        <v>30</v>
      </c>
      <c r="T4622" s="18" t="s">
        <v>3474</v>
      </c>
      <c r="U4622" s="18"/>
      <c r="V4622" s="18"/>
      <c r="W4622" s="18" t="s">
        <v>3475</v>
      </c>
      <c r="X4622" s="18" t="s">
        <v>42</v>
      </c>
      <c r="Y4622" s="18" t="s">
        <v>36</v>
      </c>
      <c r="Z4622" s="18" t="s">
        <v>697</v>
      </c>
      <c r="AA4622" s="21" t="str">
        <f>HYPERLINK("https://www.ncbi.nlm.nih.gov/nuccore/MH460461","NCBI Nucleotide")</f>
        <v>NCBI Nucleotide</v>
      </c>
    </row>
    <row r="4623" spans="1:27" x14ac:dyDescent="0.35">
      <c r="A4623">
        <v>1006397</v>
      </c>
      <c r="B4623">
        <v>4599</v>
      </c>
      <c r="C4623">
        <v>1</v>
      </c>
      <c r="D4623" s="17" t="s">
        <v>155</v>
      </c>
      <c r="E4623" s="17"/>
      <c r="F4623" s="17" t="s">
        <v>156</v>
      </c>
      <c r="G4623" s="17"/>
      <c r="H4623" s="17" t="s">
        <v>692</v>
      </c>
      <c r="I4623" s="17"/>
      <c r="J4623" s="17" t="s">
        <v>693</v>
      </c>
      <c r="K4623" s="17"/>
      <c r="L4623" s="17"/>
      <c r="M4623" s="17"/>
      <c r="N4623" s="17"/>
      <c r="O4623" s="17"/>
      <c r="P4623" s="17" t="s">
        <v>3476</v>
      </c>
      <c r="Q4623" s="17"/>
      <c r="R4623" s="25" t="str">
        <f>HYPERLINK("https://ictv.global/taxonomy/taxondetails?taxnode_id=202313642","Saltrevirus sv64795sal3")</f>
        <v>Saltrevirus sv64795sal3</v>
      </c>
      <c r="S4623" s="18" t="s">
        <v>30</v>
      </c>
      <c r="T4623" s="18" t="s">
        <v>3477</v>
      </c>
      <c r="U4623" s="18"/>
      <c r="V4623" s="18"/>
      <c r="W4623" s="18" t="s">
        <v>3478</v>
      </c>
      <c r="X4623" s="18" t="s">
        <v>42</v>
      </c>
      <c r="Y4623" s="18" t="s">
        <v>36</v>
      </c>
      <c r="Z4623" s="18" t="s">
        <v>697</v>
      </c>
      <c r="AA4623" s="21" t="str">
        <f>HYPERLINK("https://www.ncbi.nlm.nih.gov/nuccore/KX017520","NCBI Nucleotide")</f>
        <v>NCBI Nucleotide</v>
      </c>
    </row>
    <row r="4624" spans="1:27" x14ac:dyDescent="0.35">
      <c r="A4624">
        <v>1024801</v>
      </c>
      <c r="B4624">
        <v>4600</v>
      </c>
      <c r="C4624">
        <v>1</v>
      </c>
      <c r="D4624" s="17" t="s">
        <v>155</v>
      </c>
      <c r="E4624" s="17"/>
      <c r="F4624" s="17" t="s">
        <v>156</v>
      </c>
      <c r="G4624" s="17"/>
      <c r="H4624" s="17" t="s">
        <v>692</v>
      </c>
      <c r="I4624" s="17"/>
      <c r="J4624" s="17" t="s">
        <v>693</v>
      </c>
      <c r="K4624" s="17"/>
      <c r="L4624" s="17"/>
      <c r="M4624" s="17"/>
      <c r="N4624" s="17"/>
      <c r="O4624" s="17"/>
      <c r="P4624" s="17" t="s">
        <v>40017</v>
      </c>
      <c r="Q4624" s="17"/>
      <c r="R4624" s="25" t="str">
        <f>HYPERLINK("https://ictv.global/taxonomy/taxondetails?taxnode_id=202319266","Samaravirus sam46")</f>
        <v>Samaravirus sam46</v>
      </c>
      <c r="S4624" s="18" t="s">
        <v>30</v>
      </c>
      <c r="T4624" s="18" t="s">
        <v>40018</v>
      </c>
      <c r="U4624" s="18" t="s">
        <v>40019</v>
      </c>
      <c r="V4624" s="18"/>
      <c r="W4624" s="18" t="s">
        <v>48564</v>
      </c>
      <c r="X4624" s="18" t="s">
        <v>42</v>
      </c>
      <c r="Y4624" s="18" t="s">
        <v>36</v>
      </c>
      <c r="Z4624" s="18" t="s">
        <v>697</v>
      </c>
      <c r="AA4624" s="21" t="str">
        <f>HYPERLINK("https://www.ncbi.nlm.nih.gov/nuccore/MN604698","NCBI Nucleotide")</f>
        <v>NCBI Nucleotide</v>
      </c>
    </row>
    <row r="4625" spans="1:27" x14ac:dyDescent="0.35">
      <c r="A4625">
        <v>1006398</v>
      </c>
      <c r="B4625">
        <v>4601</v>
      </c>
      <c r="C4625">
        <v>1</v>
      </c>
      <c r="D4625" s="17" t="s">
        <v>155</v>
      </c>
      <c r="E4625" s="17"/>
      <c r="F4625" s="17" t="s">
        <v>156</v>
      </c>
      <c r="G4625" s="17"/>
      <c r="H4625" s="17" t="s">
        <v>692</v>
      </c>
      <c r="I4625" s="17"/>
      <c r="J4625" s="17" t="s">
        <v>693</v>
      </c>
      <c r="K4625" s="17"/>
      <c r="L4625" s="17"/>
      <c r="M4625" s="17"/>
      <c r="N4625" s="17"/>
      <c r="O4625" s="17"/>
      <c r="P4625" s="17" t="s">
        <v>3479</v>
      </c>
      <c r="Q4625" s="17"/>
      <c r="R4625" s="25" t="str">
        <f>HYPERLINK("https://ictv.global/taxonomy/taxondetails?taxnode_id=202306869","Samunavirus SM1")</f>
        <v>Samunavirus SM1</v>
      </c>
      <c r="S4625" s="18" t="s">
        <v>30</v>
      </c>
      <c r="T4625" s="18" t="s">
        <v>3480</v>
      </c>
      <c r="U4625" s="18"/>
      <c r="V4625" s="18"/>
      <c r="W4625" s="18" t="s">
        <v>3481</v>
      </c>
      <c r="X4625" s="18" t="s">
        <v>42</v>
      </c>
      <c r="Y4625" s="18" t="s">
        <v>36</v>
      </c>
      <c r="Z4625" s="18" t="s">
        <v>697</v>
      </c>
      <c r="AA4625" s="21" t="str">
        <f>HYPERLINK("https://www.ncbi.nlm.nih.gov/nuccore/KU245542","NCBI Nucleotide")</f>
        <v>NCBI Nucleotide</v>
      </c>
    </row>
    <row r="4626" spans="1:27" x14ac:dyDescent="0.35">
      <c r="A4626">
        <v>1006399</v>
      </c>
      <c r="B4626">
        <v>4602</v>
      </c>
      <c r="C4626">
        <v>1</v>
      </c>
      <c r="D4626" s="17" t="s">
        <v>155</v>
      </c>
      <c r="E4626" s="17"/>
      <c r="F4626" s="17" t="s">
        <v>156</v>
      </c>
      <c r="G4626" s="17"/>
      <c r="H4626" s="17" t="s">
        <v>692</v>
      </c>
      <c r="I4626" s="17"/>
      <c r="J4626" s="17" t="s">
        <v>693</v>
      </c>
      <c r="K4626" s="17"/>
      <c r="L4626" s="17"/>
      <c r="M4626" s="17"/>
      <c r="N4626" s="17"/>
      <c r="O4626" s="17"/>
      <c r="P4626" s="17" t="s">
        <v>3482</v>
      </c>
      <c r="Q4626" s="17"/>
      <c r="R4626" s="25" t="str">
        <f>HYPERLINK("https://ictv.global/taxonomy/taxondetails?taxnode_id=202311962","Samwavirus adelaide")</f>
        <v>Samwavirus adelaide</v>
      </c>
      <c r="S4626" s="18" t="s">
        <v>30</v>
      </c>
      <c r="T4626" s="18" t="s">
        <v>3483</v>
      </c>
      <c r="U4626" s="18"/>
      <c r="V4626" s="18"/>
      <c r="W4626" s="18" t="s">
        <v>3484</v>
      </c>
      <c r="X4626" s="18" t="s">
        <v>42</v>
      </c>
      <c r="Y4626" s="18" t="s">
        <v>36</v>
      </c>
      <c r="Z4626" s="18" t="s">
        <v>697</v>
      </c>
      <c r="AA4626" s="21" t="str">
        <f>HYPERLINK("https://www.ncbi.nlm.nih.gov/nuccore/MK977715","NCBI Nucleotide")</f>
        <v>NCBI Nucleotide</v>
      </c>
    </row>
    <row r="4627" spans="1:27" x14ac:dyDescent="0.35">
      <c r="A4627">
        <v>1006400</v>
      </c>
      <c r="B4627">
        <v>4603</v>
      </c>
      <c r="C4627">
        <v>1</v>
      </c>
      <c r="D4627" s="17" t="s">
        <v>155</v>
      </c>
      <c r="E4627" s="17"/>
      <c r="F4627" s="17" t="s">
        <v>156</v>
      </c>
      <c r="G4627" s="17"/>
      <c r="H4627" s="17" t="s">
        <v>692</v>
      </c>
      <c r="I4627" s="17"/>
      <c r="J4627" s="17" t="s">
        <v>693</v>
      </c>
      <c r="K4627" s="17"/>
      <c r="L4627" s="17"/>
      <c r="M4627" s="17"/>
      <c r="N4627" s="17"/>
      <c r="O4627" s="17"/>
      <c r="P4627" s="17" t="s">
        <v>3482</v>
      </c>
      <c r="Q4627" s="17"/>
      <c r="R4627" s="25" t="str">
        <f>HYPERLINK("https://ictv.global/taxonomy/taxondetails?taxnode_id=202311961","Samwavirus dina")</f>
        <v>Samwavirus dina</v>
      </c>
      <c r="S4627" s="18" t="s">
        <v>30</v>
      </c>
      <c r="T4627" s="18" t="s">
        <v>3485</v>
      </c>
      <c r="U4627" s="18"/>
      <c r="V4627" s="18"/>
      <c r="W4627" s="18" t="s">
        <v>3486</v>
      </c>
      <c r="X4627" s="18" t="s">
        <v>42</v>
      </c>
      <c r="Y4627" s="18" t="s">
        <v>36</v>
      </c>
      <c r="Z4627" s="18" t="s">
        <v>697</v>
      </c>
      <c r="AA4627" s="21" t="str">
        <f>HYPERLINK("https://www.ncbi.nlm.nih.gov/nuccore/MK977706","NCBI Nucleotide")</f>
        <v>NCBI Nucleotide</v>
      </c>
    </row>
    <row r="4628" spans="1:27" x14ac:dyDescent="0.35">
      <c r="A4628">
        <v>1006401</v>
      </c>
      <c r="B4628">
        <v>4604</v>
      </c>
      <c r="C4628">
        <v>1</v>
      </c>
      <c r="D4628" s="17" t="s">
        <v>155</v>
      </c>
      <c r="E4628" s="17"/>
      <c r="F4628" s="17" t="s">
        <v>156</v>
      </c>
      <c r="G4628" s="17"/>
      <c r="H4628" s="17" t="s">
        <v>692</v>
      </c>
      <c r="I4628" s="17"/>
      <c r="J4628" s="17" t="s">
        <v>693</v>
      </c>
      <c r="K4628" s="17"/>
      <c r="L4628" s="17"/>
      <c r="M4628" s="17"/>
      <c r="N4628" s="17"/>
      <c r="O4628" s="17"/>
      <c r="P4628" s="17" t="s">
        <v>3482</v>
      </c>
      <c r="Q4628" s="17"/>
      <c r="R4628" s="25" t="str">
        <f>HYPERLINK("https://ictv.global/taxonomy/taxondetails?taxnode_id=202307653","Samwavirus samW")</f>
        <v>Samwavirus samW</v>
      </c>
      <c r="S4628" s="18" t="s">
        <v>30</v>
      </c>
      <c r="T4628" s="18" t="s">
        <v>3487</v>
      </c>
      <c r="U4628" s="18"/>
      <c r="V4628" s="18"/>
      <c r="W4628" s="18" t="s">
        <v>3488</v>
      </c>
      <c r="X4628" s="18" t="s">
        <v>42</v>
      </c>
      <c r="Y4628" s="18" t="s">
        <v>36</v>
      </c>
      <c r="Z4628" s="18" t="s">
        <v>697</v>
      </c>
      <c r="AA4628" s="21" t="str">
        <f>HYPERLINK("https://www.ncbi.nlm.nih.gov/nuccore/MH727560","NCBI Nucleotide")</f>
        <v>NCBI Nucleotide</v>
      </c>
    </row>
    <row r="4629" spans="1:27" x14ac:dyDescent="0.35">
      <c r="A4629">
        <v>1006402</v>
      </c>
      <c r="B4629">
        <v>4605</v>
      </c>
      <c r="C4629">
        <v>1</v>
      </c>
      <c r="D4629" s="17" t="s">
        <v>155</v>
      </c>
      <c r="E4629" s="17"/>
      <c r="F4629" s="17" t="s">
        <v>156</v>
      </c>
      <c r="G4629" s="17"/>
      <c r="H4629" s="17" t="s">
        <v>692</v>
      </c>
      <c r="I4629" s="17"/>
      <c r="J4629" s="17" t="s">
        <v>693</v>
      </c>
      <c r="K4629" s="17"/>
      <c r="L4629" s="17"/>
      <c r="M4629" s="17"/>
      <c r="N4629" s="17"/>
      <c r="O4629" s="17"/>
      <c r="P4629" s="17" t="s">
        <v>3482</v>
      </c>
      <c r="Q4629" s="17"/>
      <c r="R4629" s="25" t="str">
        <f>HYPERLINK("https://ictv.global/taxonomy/taxondetails?taxnode_id=202311960","Samwavirus StAB")</f>
        <v>Samwavirus StAB</v>
      </c>
      <c r="S4629" s="18" t="s">
        <v>30</v>
      </c>
      <c r="T4629" s="18" t="s">
        <v>3489</v>
      </c>
      <c r="U4629" s="18"/>
      <c r="V4629" s="18"/>
      <c r="W4629" s="18" t="s">
        <v>3490</v>
      </c>
      <c r="X4629" s="18" t="s">
        <v>42</v>
      </c>
      <c r="Y4629" s="18" t="s">
        <v>36</v>
      </c>
      <c r="Z4629" s="18" t="s">
        <v>697</v>
      </c>
      <c r="AA4629" s="21" t="str">
        <f>HYPERLINK("https://www.ncbi.nlm.nih.gov/nuccore/MK937613","NCBI Nucleotide")</f>
        <v>NCBI Nucleotide</v>
      </c>
    </row>
    <row r="4630" spans="1:27" x14ac:dyDescent="0.35">
      <c r="A4630">
        <v>1006403</v>
      </c>
      <c r="B4630">
        <v>4606</v>
      </c>
      <c r="C4630">
        <v>1</v>
      </c>
      <c r="D4630" s="17" t="s">
        <v>155</v>
      </c>
      <c r="E4630" s="17"/>
      <c r="F4630" s="17" t="s">
        <v>156</v>
      </c>
      <c r="G4630" s="17"/>
      <c r="H4630" s="17" t="s">
        <v>692</v>
      </c>
      <c r="I4630" s="17"/>
      <c r="J4630" s="17" t="s">
        <v>693</v>
      </c>
      <c r="K4630" s="17"/>
      <c r="L4630" s="17"/>
      <c r="M4630" s="17"/>
      <c r="N4630" s="17"/>
      <c r="O4630" s="17"/>
      <c r="P4630" s="17" t="s">
        <v>3482</v>
      </c>
      <c r="Q4630" s="17"/>
      <c r="R4630" s="25" t="str">
        <f>HYPERLINK("https://ictv.global/taxonomy/taxondetails?taxnode_id=202311959","Samwavirus stiles")</f>
        <v>Samwavirus stiles</v>
      </c>
      <c r="S4630" s="18" t="s">
        <v>30</v>
      </c>
      <c r="T4630" s="18" t="s">
        <v>3491</v>
      </c>
      <c r="U4630" s="18"/>
      <c r="V4630" s="18"/>
      <c r="W4630" s="18" t="s">
        <v>3492</v>
      </c>
      <c r="X4630" s="18" t="s">
        <v>42</v>
      </c>
      <c r="Y4630" s="18" t="s">
        <v>36</v>
      </c>
      <c r="Z4630" s="18" t="s">
        <v>697</v>
      </c>
      <c r="AA4630" s="21" t="str">
        <f>HYPERLINK("https://www.ncbi.nlm.nih.gov/nuccore/MK977710","NCBI Nucleotide")</f>
        <v>NCBI Nucleotide</v>
      </c>
    </row>
    <row r="4631" spans="1:27" x14ac:dyDescent="0.35">
      <c r="A4631">
        <v>1006404</v>
      </c>
      <c r="B4631">
        <v>4607</v>
      </c>
      <c r="C4631">
        <v>1</v>
      </c>
      <c r="D4631" s="17" t="s">
        <v>155</v>
      </c>
      <c r="E4631" s="17"/>
      <c r="F4631" s="17" t="s">
        <v>156</v>
      </c>
      <c r="G4631" s="17"/>
      <c r="H4631" s="17" t="s">
        <v>692</v>
      </c>
      <c r="I4631" s="17"/>
      <c r="J4631" s="17" t="s">
        <v>693</v>
      </c>
      <c r="K4631" s="17"/>
      <c r="L4631" s="17"/>
      <c r="M4631" s="17"/>
      <c r="N4631" s="17"/>
      <c r="O4631" s="17"/>
      <c r="P4631" s="17" t="s">
        <v>3493</v>
      </c>
      <c r="Q4631" s="17"/>
      <c r="R4631" s="25" t="str">
        <f>HYPERLINK("https://ictv.global/taxonomy/taxondetails?taxnode_id=202311764","Sandinevirus BK5T")</f>
        <v>Sandinevirus BK5T</v>
      </c>
      <c r="S4631" s="18" t="s">
        <v>30</v>
      </c>
      <c r="T4631" s="18" t="s">
        <v>3494</v>
      </c>
      <c r="U4631" s="18"/>
      <c r="V4631" s="18"/>
      <c r="W4631" s="18" t="s">
        <v>3495</v>
      </c>
      <c r="X4631" s="18" t="s">
        <v>42</v>
      </c>
      <c r="Y4631" s="18" t="s">
        <v>36</v>
      </c>
      <c r="Z4631" s="18" t="s">
        <v>697</v>
      </c>
      <c r="AA4631" s="21" t="str">
        <f>HYPERLINK("https://www.ncbi.nlm.nih.gov/nuccore/AJ245616","NCBI Nucleotide")</f>
        <v>NCBI Nucleotide</v>
      </c>
    </row>
    <row r="4632" spans="1:27" x14ac:dyDescent="0.35">
      <c r="A4632">
        <v>1006405</v>
      </c>
      <c r="B4632">
        <v>4608</v>
      </c>
      <c r="C4632">
        <v>1</v>
      </c>
      <c r="D4632" s="17" t="s">
        <v>155</v>
      </c>
      <c r="E4632" s="17"/>
      <c r="F4632" s="17" t="s">
        <v>156</v>
      </c>
      <c r="G4632" s="17"/>
      <c r="H4632" s="17" t="s">
        <v>692</v>
      </c>
      <c r="I4632" s="17"/>
      <c r="J4632" s="17" t="s">
        <v>693</v>
      </c>
      <c r="K4632" s="17"/>
      <c r="L4632" s="17"/>
      <c r="M4632" s="17"/>
      <c r="N4632" s="17"/>
      <c r="O4632" s="17"/>
      <c r="P4632" s="17" t="s">
        <v>3496</v>
      </c>
      <c r="Q4632" s="17"/>
      <c r="R4632" s="25" t="str">
        <f>HYPERLINK("https://ictv.global/taxonomy/taxondetails?taxnode_id=202307658","Caulobacter virus Sansa")</f>
        <v>Caulobacter virus Sansa</v>
      </c>
      <c r="S4632" s="18" t="s">
        <v>30</v>
      </c>
      <c r="T4632" s="18" t="s">
        <v>3497</v>
      </c>
      <c r="U4632" s="18"/>
      <c r="V4632" s="18"/>
      <c r="W4632" s="18" t="s">
        <v>3498</v>
      </c>
      <c r="X4632" s="18" t="s">
        <v>42</v>
      </c>
      <c r="Y4632" s="18" t="s">
        <v>36</v>
      </c>
      <c r="Z4632" s="18" t="s">
        <v>697</v>
      </c>
      <c r="AA4632" s="21" t="str">
        <f>HYPERLINK("https://www.ncbi.nlm.nih.gov/nuccore/KT001913","NCBI Nucleotide")</f>
        <v>NCBI Nucleotide</v>
      </c>
    </row>
    <row r="4633" spans="1:27" x14ac:dyDescent="0.35">
      <c r="A4633">
        <v>1006406</v>
      </c>
      <c r="B4633">
        <v>4609</v>
      </c>
      <c r="C4633">
        <v>1</v>
      </c>
      <c r="D4633" s="17" t="s">
        <v>155</v>
      </c>
      <c r="E4633" s="17"/>
      <c r="F4633" s="17" t="s">
        <v>156</v>
      </c>
      <c r="G4633" s="17"/>
      <c r="H4633" s="17" t="s">
        <v>692</v>
      </c>
      <c r="I4633" s="17"/>
      <c r="J4633" s="17" t="s">
        <v>693</v>
      </c>
      <c r="K4633" s="17"/>
      <c r="L4633" s="17"/>
      <c r="M4633" s="17"/>
      <c r="N4633" s="17"/>
      <c r="O4633" s="17"/>
      <c r="P4633" s="17" t="s">
        <v>3499</v>
      </c>
      <c r="Q4633" s="17"/>
      <c r="R4633" s="25" t="str">
        <f>HYPERLINK("https://ictv.global/taxonomy/taxondetails?taxnode_id=202312915","Santafevirus sf40AC")</f>
        <v>Santafevirus sf40AC</v>
      </c>
      <c r="S4633" s="18" t="s">
        <v>30</v>
      </c>
      <c r="T4633" s="18" t="s">
        <v>3500</v>
      </c>
      <c r="U4633" s="18"/>
      <c r="V4633" s="18"/>
      <c r="W4633" s="18" t="s">
        <v>3501</v>
      </c>
      <c r="X4633" s="18" t="s">
        <v>42</v>
      </c>
      <c r="Y4633" s="18" t="s">
        <v>36</v>
      </c>
      <c r="Z4633" s="18" t="s">
        <v>697</v>
      </c>
      <c r="AA4633" s="21" t="str">
        <f>HYPERLINK("https://www.ncbi.nlm.nih.gov/nuccore/KJ192196","NCBI Nucleotide")</f>
        <v>NCBI Nucleotide</v>
      </c>
    </row>
    <row r="4634" spans="1:27" x14ac:dyDescent="0.35">
      <c r="A4634">
        <v>1024820</v>
      </c>
      <c r="B4634">
        <v>4610</v>
      </c>
      <c r="C4634">
        <v>1</v>
      </c>
      <c r="D4634" s="17" t="s">
        <v>155</v>
      </c>
      <c r="E4634" s="17"/>
      <c r="F4634" s="17" t="s">
        <v>156</v>
      </c>
      <c r="G4634" s="17"/>
      <c r="H4634" s="17" t="s">
        <v>692</v>
      </c>
      <c r="I4634" s="17"/>
      <c r="J4634" s="17" t="s">
        <v>693</v>
      </c>
      <c r="K4634" s="17"/>
      <c r="L4634" s="17"/>
      <c r="M4634" s="17"/>
      <c r="N4634" s="17"/>
      <c r="O4634" s="17"/>
      <c r="P4634" s="17" t="s">
        <v>40020</v>
      </c>
      <c r="Q4634" s="17"/>
      <c r="R4634" s="25" t="str">
        <f>HYPERLINK("https://ictv.global/taxonomy/taxondetails?taxnode_id=202318857","Santhisvirus jojo24")</f>
        <v>Santhisvirus jojo24</v>
      </c>
      <c r="S4634" s="18" t="s">
        <v>30</v>
      </c>
      <c r="T4634" s="18" t="s">
        <v>40021</v>
      </c>
      <c r="U4634" s="18"/>
      <c r="V4634" s="18"/>
      <c r="W4634" s="18" t="s">
        <v>48565</v>
      </c>
      <c r="X4634" s="18" t="s">
        <v>42</v>
      </c>
      <c r="Y4634" s="18" t="s">
        <v>36</v>
      </c>
      <c r="Z4634" s="18" t="s">
        <v>697</v>
      </c>
      <c r="AA4634" s="21" t="str">
        <f>HYPERLINK("https://www.ncbi.nlm.nih.gov/nuccore/MZ209302","NCBI Nucleotide")</f>
        <v>NCBI Nucleotide</v>
      </c>
    </row>
    <row r="4635" spans="1:27" x14ac:dyDescent="0.35">
      <c r="A4635">
        <v>1024821</v>
      </c>
      <c r="B4635">
        <v>4611</v>
      </c>
      <c r="C4635">
        <v>1</v>
      </c>
      <c r="D4635" s="17" t="s">
        <v>155</v>
      </c>
      <c r="E4635" s="17"/>
      <c r="F4635" s="17" t="s">
        <v>156</v>
      </c>
      <c r="G4635" s="17"/>
      <c r="H4635" s="17" t="s">
        <v>692</v>
      </c>
      <c r="I4635" s="17"/>
      <c r="J4635" s="17" t="s">
        <v>693</v>
      </c>
      <c r="K4635" s="17"/>
      <c r="L4635" s="17"/>
      <c r="M4635" s="17"/>
      <c r="N4635" s="17"/>
      <c r="O4635" s="17"/>
      <c r="P4635" s="17" t="s">
        <v>40020</v>
      </c>
      <c r="Q4635" s="17"/>
      <c r="R4635" s="25" t="str">
        <f>HYPERLINK("https://ictv.global/taxonomy/taxondetails?taxnode_id=202318856","Santhisvirus reyja")</f>
        <v>Santhisvirus reyja</v>
      </c>
      <c r="S4635" s="18" t="s">
        <v>30</v>
      </c>
      <c r="T4635" s="18" t="s">
        <v>40022</v>
      </c>
      <c r="U4635" s="18"/>
      <c r="V4635" s="18"/>
      <c r="W4635" s="18" t="s">
        <v>48566</v>
      </c>
      <c r="X4635" s="18" t="s">
        <v>42</v>
      </c>
      <c r="Y4635" s="18" t="s">
        <v>36</v>
      </c>
      <c r="Z4635" s="18" t="s">
        <v>697</v>
      </c>
      <c r="AA4635" s="21" t="str">
        <f>HYPERLINK("https://www.ncbi.nlm.nih.gov/nuccore/MK814759","NCBI Nucleotide")</f>
        <v>NCBI Nucleotide</v>
      </c>
    </row>
    <row r="4636" spans="1:27" x14ac:dyDescent="0.35">
      <c r="A4636">
        <v>1024822</v>
      </c>
      <c r="B4636">
        <v>4612</v>
      </c>
      <c r="C4636">
        <v>1</v>
      </c>
      <c r="D4636" s="17" t="s">
        <v>155</v>
      </c>
      <c r="E4636" s="17"/>
      <c r="F4636" s="17" t="s">
        <v>156</v>
      </c>
      <c r="G4636" s="17"/>
      <c r="H4636" s="17" t="s">
        <v>692</v>
      </c>
      <c r="I4636" s="17"/>
      <c r="J4636" s="17" t="s">
        <v>693</v>
      </c>
      <c r="K4636" s="17"/>
      <c r="L4636" s="17"/>
      <c r="M4636" s="17"/>
      <c r="N4636" s="17"/>
      <c r="O4636" s="17"/>
      <c r="P4636" s="17" t="s">
        <v>40020</v>
      </c>
      <c r="Q4636" s="17"/>
      <c r="R4636" s="25" t="str">
        <f>HYPERLINK("https://ictv.global/taxonomy/taxondetails?taxnode_id=202318854","Santhisvirus santhid")</f>
        <v>Santhisvirus santhid</v>
      </c>
      <c r="S4636" s="18" t="s">
        <v>30</v>
      </c>
      <c r="T4636" s="18" t="s">
        <v>40023</v>
      </c>
      <c r="U4636" s="18"/>
      <c r="V4636" s="18"/>
      <c r="W4636" s="18" t="s">
        <v>48567</v>
      </c>
      <c r="X4636" s="18" t="s">
        <v>42</v>
      </c>
      <c r="Y4636" s="18" t="s">
        <v>36</v>
      </c>
      <c r="Z4636" s="18" t="s">
        <v>697</v>
      </c>
      <c r="AA4636" s="21" t="str">
        <f>HYPERLINK("https://www.ncbi.nlm.nih.gov/nuccore/OM818327","NCBI Nucleotide")</f>
        <v>NCBI Nucleotide</v>
      </c>
    </row>
    <row r="4637" spans="1:27" x14ac:dyDescent="0.35">
      <c r="A4637">
        <v>1024823</v>
      </c>
      <c r="B4637">
        <v>4613</v>
      </c>
      <c r="C4637">
        <v>1</v>
      </c>
      <c r="D4637" s="17" t="s">
        <v>155</v>
      </c>
      <c r="E4637" s="17"/>
      <c r="F4637" s="17" t="s">
        <v>156</v>
      </c>
      <c r="G4637" s="17"/>
      <c r="H4637" s="17" t="s">
        <v>692</v>
      </c>
      <c r="I4637" s="17"/>
      <c r="J4637" s="17" t="s">
        <v>693</v>
      </c>
      <c r="K4637" s="17"/>
      <c r="L4637" s="17"/>
      <c r="M4637" s="17"/>
      <c r="N4637" s="17"/>
      <c r="O4637" s="17"/>
      <c r="P4637" s="17" t="s">
        <v>40020</v>
      </c>
      <c r="Q4637" s="17"/>
      <c r="R4637" s="25" t="str">
        <f>HYPERLINK("https://ictv.global/taxonomy/taxondetails?taxnode_id=202318855","Santhisvirus tarzan")</f>
        <v>Santhisvirus tarzan</v>
      </c>
      <c r="S4637" s="18" t="s">
        <v>30</v>
      </c>
      <c r="T4637" s="18" t="s">
        <v>40024</v>
      </c>
      <c r="U4637" s="18"/>
      <c r="V4637" s="18"/>
      <c r="W4637" s="18" t="s">
        <v>48568</v>
      </c>
      <c r="X4637" s="18" t="s">
        <v>42</v>
      </c>
      <c r="Y4637" s="18" t="s">
        <v>36</v>
      </c>
      <c r="Z4637" s="18" t="s">
        <v>697</v>
      </c>
      <c r="AA4637" s="21" t="str">
        <f>HYPERLINK("https://www.ncbi.nlm.nih.gov/nuccore/OQ709200","NCBI Nucleotide")</f>
        <v>NCBI Nucleotide</v>
      </c>
    </row>
    <row r="4638" spans="1:27" x14ac:dyDescent="0.35">
      <c r="A4638">
        <v>1006407</v>
      </c>
      <c r="B4638">
        <v>4614</v>
      </c>
      <c r="C4638">
        <v>1</v>
      </c>
      <c r="D4638" s="17" t="s">
        <v>155</v>
      </c>
      <c r="E4638" s="17"/>
      <c r="F4638" s="17" t="s">
        <v>156</v>
      </c>
      <c r="G4638" s="17"/>
      <c r="H4638" s="17" t="s">
        <v>692</v>
      </c>
      <c r="I4638" s="17"/>
      <c r="J4638" s="17" t="s">
        <v>693</v>
      </c>
      <c r="K4638" s="17"/>
      <c r="L4638" s="17"/>
      <c r="M4638" s="17"/>
      <c r="N4638" s="17"/>
      <c r="O4638" s="17"/>
      <c r="P4638" s="17" t="s">
        <v>3502</v>
      </c>
      <c r="Q4638" s="17"/>
      <c r="R4638" s="25" t="str">
        <f>HYPERLINK("https://ictv.global/taxonomy/taxondetails?taxnode_id=202301247","Saphexavirus BC611")</f>
        <v>Saphexavirus BC611</v>
      </c>
      <c r="S4638" s="18" t="s">
        <v>30</v>
      </c>
      <c r="T4638" s="18" t="s">
        <v>3503</v>
      </c>
      <c r="U4638" s="18"/>
      <c r="V4638" s="18"/>
      <c r="W4638" s="18" t="s">
        <v>3504</v>
      </c>
      <c r="X4638" s="18" t="s">
        <v>42</v>
      </c>
      <c r="Y4638" s="18" t="s">
        <v>36</v>
      </c>
      <c r="Z4638" s="18" t="s">
        <v>697</v>
      </c>
      <c r="AA4638" s="21" t="str">
        <f>HYPERLINK("https://www.ncbi.nlm.nih.gov/nuccore/AB712291","NCBI Nucleotide")</f>
        <v>NCBI Nucleotide</v>
      </c>
    </row>
    <row r="4639" spans="1:27" x14ac:dyDescent="0.35">
      <c r="A4639">
        <v>1006408</v>
      </c>
      <c r="B4639">
        <v>4615</v>
      </c>
      <c r="C4639">
        <v>1</v>
      </c>
      <c r="D4639" s="17" t="s">
        <v>155</v>
      </c>
      <c r="E4639" s="17"/>
      <c r="F4639" s="17" t="s">
        <v>156</v>
      </c>
      <c r="G4639" s="17"/>
      <c r="H4639" s="17" t="s">
        <v>692</v>
      </c>
      <c r="I4639" s="17"/>
      <c r="J4639" s="17" t="s">
        <v>693</v>
      </c>
      <c r="K4639" s="17"/>
      <c r="L4639" s="17"/>
      <c r="M4639" s="17"/>
      <c r="N4639" s="17"/>
      <c r="O4639" s="17"/>
      <c r="P4639" s="17" t="s">
        <v>3502</v>
      </c>
      <c r="Q4639" s="17"/>
      <c r="R4639" s="25" t="str">
        <f>HYPERLINK("https://ictv.global/taxonomy/taxondetails?taxnode_id=202301248","Saphexavirus IMEEF1")</f>
        <v>Saphexavirus IMEEF1</v>
      </c>
      <c r="S4639" s="18" t="s">
        <v>30</v>
      </c>
      <c r="T4639" s="18" t="s">
        <v>3505</v>
      </c>
      <c r="U4639" s="18"/>
      <c r="V4639" s="18"/>
      <c r="W4639" s="18" t="s">
        <v>3506</v>
      </c>
      <c r="X4639" s="18" t="s">
        <v>42</v>
      </c>
      <c r="Y4639" s="18" t="s">
        <v>36</v>
      </c>
      <c r="Z4639" s="18" t="s">
        <v>697</v>
      </c>
      <c r="AA4639" s="21" t="str">
        <f>HYPERLINK("https://www.ncbi.nlm.nih.gov/nuccore/KF192053","NCBI Nucleotide")</f>
        <v>NCBI Nucleotide</v>
      </c>
    </row>
    <row r="4640" spans="1:27" x14ac:dyDescent="0.35">
      <c r="A4640">
        <v>1006409</v>
      </c>
      <c r="B4640">
        <v>4616</v>
      </c>
      <c r="C4640">
        <v>1</v>
      </c>
      <c r="D4640" s="17" t="s">
        <v>155</v>
      </c>
      <c r="E4640" s="17"/>
      <c r="F4640" s="17" t="s">
        <v>156</v>
      </c>
      <c r="G4640" s="17"/>
      <c r="H4640" s="17" t="s">
        <v>692</v>
      </c>
      <c r="I4640" s="17"/>
      <c r="J4640" s="17" t="s">
        <v>693</v>
      </c>
      <c r="K4640" s="17"/>
      <c r="L4640" s="17"/>
      <c r="M4640" s="17"/>
      <c r="N4640" s="17"/>
      <c r="O4640" s="17"/>
      <c r="P4640" s="17" t="s">
        <v>3502</v>
      </c>
      <c r="Q4640" s="17"/>
      <c r="R4640" s="25" t="str">
        <f>HYPERLINK("https://ictv.global/taxonomy/taxondetails?taxnode_id=202301249","Saphexavirus SAP6")</f>
        <v>Saphexavirus SAP6</v>
      </c>
      <c r="S4640" s="18" t="s">
        <v>30</v>
      </c>
      <c r="T4640" s="18" t="s">
        <v>3507</v>
      </c>
      <c r="U4640" s="18"/>
      <c r="V4640" s="18"/>
      <c r="W4640" s="18" t="s">
        <v>3508</v>
      </c>
      <c r="X4640" s="18" t="s">
        <v>42</v>
      </c>
      <c r="Y4640" s="18" t="s">
        <v>36</v>
      </c>
      <c r="Z4640" s="18" t="s">
        <v>697</v>
      </c>
      <c r="AA4640" s="21" t="str">
        <f>HYPERLINK("https://www.ncbi.nlm.nih.gov/nuccore/JF731128","NCBI Nucleotide")</f>
        <v>NCBI Nucleotide</v>
      </c>
    </row>
    <row r="4641" spans="1:27" x14ac:dyDescent="0.35">
      <c r="A4641">
        <v>1006410</v>
      </c>
      <c r="B4641">
        <v>4617</v>
      </c>
      <c r="C4641">
        <v>1</v>
      </c>
      <c r="D4641" s="17" t="s">
        <v>155</v>
      </c>
      <c r="E4641" s="17"/>
      <c r="F4641" s="17" t="s">
        <v>156</v>
      </c>
      <c r="G4641" s="17"/>
      <c r="H4641" s="17" t="s">
        <v>692</v>
      </c>
      <c r="I4641" s="17"/>
      <c r="J4641" s="17" t="s">
        <v>693</v>
      </c>
      <c r="K4641" s="17"/>
      <c r="L4641" s="17"/>
      <c r="M4641" s="17"/>
      <c r="N4641" s="17"/>
      <c r="O4641" s="17"/>
      <c r="P4641" s="17" t="s">
        <v>3502</v>
      </c>
      <c r="Q4641" s="17"/>
      <c r="R4641" s="25" t="str">
        <f>HYPERLINK("https://ictv.global/taxonomy/taxondetails?taxnode_id=202301251","Saphexavirus SPQS1")</f>
        <v>Saphexavirus SPQS1</v>
      </c>
      <c r="S4641" s="18" t="s">
        <v>30</v>
      </c>
      <c r="T4641" s="18" t="s">
        <v>3509</v>
      </c>
      <c r="U4641" s="18"/>
      <c r="V4641" s="18"/>
      <c r="W4641" s="18" t="s">
        <v>3510</v>
      </c>
      <c r="X4641" s="18" t="s">
        <v>42</v>
      </c>
      <c r="Y4641" s="18" t="s">
        <v>36</v>
      </c>
      <c r="Z4641" s="18" t="s">
        <v>697</v>
      </c>
      <c r="AA4641" s="21" t="str">
        <f>HYPERLINK("https://www.ncbi.nlm.nih.gov/nuccore/HE962497","NCBI Nucleotide")</f>
        <v>NCBI Nucleotide</v>
      </c>
    </row>
    <row r="4642" spans="1:27" x14ac:dyDescent="0.35">
      <c r="A4642">
        <v>1024824</v>
      </c>
      <c r="B4642">
        <v>4618</v>
      </c>
      <c r="C4642">
        <v>1</v>
      </c>
      <c r="D4642" s="17" t="s">
        <v>155</v>
      </c>
      <c r="E4642" s="17"/>
      <c r="F4642" s="17" t="s">
        <v>156</v>
      </c>
      <c r="G4642" s="17"/>
      <c r="H4642" s="17" t="s">
        <v>692</v>
      </c>
      <c r="I4642" s="17"/>
      <c r="J4642" s="17" t="s">
        <v>693</v>
      </c>
      <c r="K4642" s="17"/>
      <c r="L4642" s="17"/>
      <c r="M4642" s="17"/>
      <c r="N4642" s="17"/>
      <c r="O4642" s="17"/>
      <c r="P4642" s="17" t="s">
        <v>3502</v>
      </c>
      <c r="Q4642" s="17"/>
      <c r="R4642" s="25" t="str">
        <f>HYPERLINK("https://ictv.global/taxonomy/taxondetails?taxnode_id=202319267","Saphexavirus SSsP1")</f>
        <v>Saphexavirus SSsP1</v>
      </c>
      <c r="S4642" s="18" t="s">
        <v>30</v>
      </c>
      <c r="T4642" s="18" t="s">
        <v>40025</v>
      </c>
      <c r="U4642" s="18" t="s">
        <v>40026</v>
      </c>
      <c r="V4642" s="18"/>
      <c r="W4642" s="18" t="s">
        <v>40027</v>
      </c>
      <c r="X4642" s="18" t="s">
        <v>42</v>
      </c>
      <c r="Y4642" s="18" t="s">
        <v>36</v>
      </c>
      <c r="Z4642" s="18" t="s">
        <v>697</v>
      </c>
      <c r="AA4642" s="21" t="str">
        <f>HYPERLINK("https://www.ncbi.nlm.nih.gov/nuccore/MZ333457","NCBI Nucleotide")</f>
        <v>NCBI Nucleotide</v>
      </c>
    </row>
    <row r="4643" spans="1:27" x14ac:dyDescent="0.35">
      <c r="A4643">
        <v>1006411</v>
      </c>
      <c r="B4643">
        <v>4619</v>
      </c>
      <c r="C4643">
        <v>1</v>
      </c>
      <c r="D4643" s="17" t="s">
        <v>155</v>
      </c>
      <c r="E4643" s="17"/>
      <c r="F4643" s="17" t="s">
        <v>156</v>
      </c>
      <c r="G4643" s="17"/>
      <c r="H4643" s="17" t="s">
        <v>692</v>
      </c>
      <c r="I4643" s="17"/>
      <c r="J4643" s="17" t="s">
        <v>693</v>
      </c>
      <c r="K4643" s="17"/>
      <c r="L4643" s="17"/>
      <c r="M4643" s="17"/>
      <c r="N4643" s="17"/>
      <c r="O4643" s="17"/>
      <c r="P4643" s="17" t="s">
        <v>3502</v>
      </c>
      <c r="Q4643" s="17"/>
      <c r="R4643" s="25" t="str">
        <f>HYPERLINK("https://ictv.global/taxonomy/taxondetails?taxnode_id=202301250","Saphexavirus VD13")</f>
        <v>Saphexavirus VD13</v>
      </c>
      <c r="S4643" s="18" t="s">
        <v>30</v>
      </c>
      <c r="T4643" s="18" t="s">
        <v>3511</v>
      </c>
      <c r="U4643" s="18"/>
      <c r="V4643" s="18"/>
      <c r="W4643" s="18" t="s">
        <v>3512</v>
      </c>
      <c r="X4643" s="18" t="s">
        <v>42</v>
      </c>
      <c r="Y4643" s="18" t="s">
        <v>36</v>
      </c>
      <c r="Z4643" s="18" t="s">
        <v>697</v>
      </c>
      <c r="AA4643" s="21" t="str">
        <f>HYPERLINK("https://www.ncbi.nlm.nih.gov/nuccore/KJ094032","NCBI Nucleotide")</f>
        <v>NCBI Nucleotide</v>
      </c>
    </row>
    <row r="4644" spans="1:27" x14ac:dyDescent="0.35">
      <c r="A4644">
        <v>1006412</v>
      </c>
      <c r="B4644">
        <v>4620</v>
      </c>
      <c r="C4644">
        <v>1</v>
      </c>
      <c r="D4644" s="17" t="s">
        <v>155</v>
      </c>
      <c r="E4644" s="17"/>
      <c r="F4644" s="17" t="s">
        <v>156</v>
      </c>
      <c r="G4644" s="17"/>
      <c r="H4644" s="17" t="s">
        <v>692</v>
      </c>
      <c r="I4644" s="17"/>
      <c r="J4644" s="17" t="s">
        <v>693</v>
      </c>
      <c r="K4644" s="17"/>
      <c r="L4644" s="17"/>
      <c r="M4644" s="17"/>
      <c r="N4644" s="17"/>
      <c r="O4644" s="17"/>
      <c r="P4644" s="17" t="s">
        <v>3513</v>
      </c>
      <c r="Q4644" s="17"/>
      <c r="R4644" s="25" t="str">
        <f>HYPERLINK("https://ictv.global/taxonomy/taxondetails?taxnode_id=202314958","Sargevirus sarge")</f>
        <v>Sargevirus sarge</v>
      </c>
      <c r="S4644" s="18" t="s">
        <v>30</v>
      </c>
      <c r="T4644" s="18" t="s">
        <v>3514</v>
      </c>
      <c r="U4644" s="18"/>
      <c r="V4644" s="18"/>
      <c r="W4644" s="18" t="s">
        <v>3515</v>
      </c>
      <c r="X4644" s="18" t="s">
        <v>42</v>
      </c>
      <c r="Y4644" s="18" t="s">
        <v>36</v>
      </c>
      <c r="Z4644" s="18" t="s">
        <v>697</v>
      </c>
      <c r="AA4644" s="21" t="str">
        <f>HYPERLINK("https://www.ncbi.nlm.nih.gov/nuccore/OK040780","NCBI Nucleotide")</f>
        <v>NCBI Nucleotide</v>
      </c>
    </row>
    <row r="4645" spans="1:27" x14ac:dyDescent="0.35">
      <c r="A4645">
        <v>1006413</v>
      </c>
      <c r="B4645">
        <v>4621</v>
      </c>
      <c r="C4645">
        <v>1</v>
      </c>
      <c r="D4645" s="17" t="s">
        <v>155</v>
      </c>
      <c r="E4645" s="17"/>
      <c r="F4645" s="17" t="s">
        <v>156</v>
      </c>
      <c r="G4645" s="17"/>
      <c r="H4645" s="17" t="s">
        <v>692</v>
      </c>
      <c r="I4645" s="17"/>
      <c r="J4645" s="17" t="s">
        <v>693</v>
      </c>
      <c r="K4645" s="17"/>
      <c r="L4645" s="17"/>
      <c r="M4645" s="17"/>
      <c r="N4645" s="17"/>
      <c r="O4645" s="17"/>
      <c r="P4645" s="17" t="s">
        <v>3516</v>
      </c>
      <c r="Q4645" s="17"/>
      <c r="R4645" s="25" t="str">
        <f>HYPERLINK("https://ictv.global/taxonomy/taxondetails?taxnode_id=202311766","Sarumanvirus bcepsaruman")</f>
        <v>Sarumanvirus bcepsaruman</v>
      </c>
      <c r="S4645" s="18" t="s">
        <v>30</v>
      </c>
      <c r="T4645" s="18" t="s">
        <v>3517</v>
      </c>
      <c r="U4645" s="18"/>
      <c r="V4645" s="18"/>
      <c r="W4645" s="18" t="s">
        <v>3518</v>
      </c>
      <c r="X4645" s="18" t="s">
        <v>42</v>
      </c>
      <c r="Y4645" s="18" t="s">
        <v>36</v>
      </c>
      <c r="Z4645" s="18" t="s">
        <v>697</v>
      </c>
      <c r="AA4645" s="21" t="str">
        <f>HYPERLINK("https://www.ncbi.nlm.nih.gov/nuccore/MK552140","NCBI Nucleotide")</f>
        <v>NCBI Nucleotide</v>
      </c>
    </row>
    <row r="4646" spans="1:27" x14ac:dyDescent="0.35">
      <c r="A4646">
        <v>1006414</v>
      </c>
      <c r="B4646">
        <v>4622</v>
      </c>
      <c r="C4646">
        <v>1</v>
      </c>
      <c r="D4646" s="17" t="s">
        <v>155</v>
      </c>
      <c r="E4646" s="17"/>
      <c r="F4646" s="17" t="s">
        <v>156</v>
      </c>
      <c r="G4646" s="17"/>
      <c r="H4646" s="17" t="s">
        <v>692</v>
      </c>
      <c r="I4646" s="17"/>
      <c r="J4646" s="17" t="s">
        <v>693</v>
      </c>
      <c r="K4646" s="17"/>
      <c r="L4646" s="17"/>
      <c r="M4646" s="17"/>
      <c r="N4646" s="17"/>
      <c r="O4646" s="17"/>
      <c r="P4646" s="17" t="s">
        <v>3516</v>
      </c>
      <c r="Q4646" s="17"/>
      <c r="R4646" s="25" t="str">
        <f>HYPERLINK("https://ictv.global/taxonomy/taxondetails?taxnode_id=202311767","Sarumanvirus bcepsauron")</f>
        <v>Sarumanvirus bcepsauron</v>
      </c>
      <c r="S4646" s="18" t="s">
        <v>30</v>
      </c>
      <c r="T4646" s="18" t="s">
        <v>3519</v>
      </c>
      <c r="U4646" s="18"/>
      <c r="V4646" s="18"/>
      <c r="W4646" s="18" t="s">
        <v>3520</v>
      </c>
      <c r="X4646" s="18" t="s">
        <v>42</v>
      </c>
      <c r="Y4646" s="18" t="s">
        <v>36</v>
      </c>
      <c r="Z4646" s="18" t="s">
        <v>697</v>
      </c>
      <c r="AA4646" s="21" t="str">
        <f>HYPERLINK("https://www.ncbi.nlm.nih.gov/nuccore/MK552141","NCBI Nucleotide")</f>
        <v>NCBI Nucleotide</v>
      </c>
    </row>
    <row r="4647" spans="1:27" x14ac:dyDescent="0.35">
      <c r="A4647">
        <v>1006415</v>
      </c>
      <c r="B4647">
        <v>4623</v>
      </c>
      <c r="C4647">
        <v>1</v>
      </c>
      <c r="D4647" s="17" t="s">
        <v>155</v>
      </c>
      <c r="E4647" s="17"/>
      <c r="F4647" s="17" t="s">
        <v>156</v>
      </c>
      <c r="G4647" s="17"/>
      <c r="H4647" s="17" t="s">
        <v>692</v>
      </c>
      <c r="I4647" s="17"/>
      <c r="J4647" s="17" t="s">
        <v>693</v>
      </c>
      <c r="K4647" s="17"/>
      <c r="L4647" s="17"/>
      <c r="M4647" s="17"/>
      <c r="N4647" s="17"/>
      <c r="O4647" s="17"/>
      <c r="P4647" s="17" t="s">
        <v>3521</v>
      </c>
      <c r="Q4647" s="17"/>
      <c r="R4647" s="25" t="str">
        <f>HYPERLINK("https://ictv.global/taxonomy/taxondetails?taxnode_id=202314876","Sasdunavirus SASD1")</f>
        <v>Sasdunavirus SASD1</v>
      </c>
      <c r="S4647" s="18" t="s">
        <v>30</v>
      </c>
      <c r="T4647" s="18" t="s">
        <v>3522</v>
      </c>
      <c r="U4647" s="18"/>
      <c r="V4647" s="18"/>
      <c r="W4647" s="18" t="s">
        <v>3523</v>
      </c>
      <c r="X4647" s="18" t="s">
        <v>42</v>
      </c>
      <c r="Y4647" s="18" t="s">
        <v>36</v>
      </c>
      <c r="Z4647" s="18" t="s">
        <v>697</v>
      </c>
      <c r="AA4647" s="21" t="str">
        <f>HYPERLINK("https://www.ncbi.nlm.nih.gov/nuccore/GQ379227","NCBI Nucleotide")</f>
        <v>NCBI Nucleotide</v>
      </c>
    </row>
    <row r="4648" spans="1:27" x14ac:dyDescent="0.35">
      <c r="A4648">
        <v>1006416</v>
      </c>
      <c r="B4648">
        <v>4624</v>
      </c>
      <c r="C4648">
        <v>1</v>
      </c>
      <c r="D4648" s="17" t="s">
        <v>155</v>
      </c>
      <c r="E4648" s="17"/>
      <c r="F4648" s="17" t="s">
        <v>156</v>
      </c>
      <c r="G4648" s="17"/>
      <c r="H4648" s="17" t="s">
        <v>692</v>
      </c>
      <c r="I4648" s="17"/>
      <c r="J4648" s="17" t="s">
        <v>693</v>
      </c>
      <c r="K4648" s="17"/>
      <c r="L4648" s="17"/>
      <c r="M4648" s="17"/>
      <c r="N4648" s="17"/>
      <c r="O4648" s="17"/>
      <c r="P4648" s="17" t="s">
        <v>3524</v>
      </c>
      <c r="Q4648" s="17"/>
      <c r="R4648" s="25" t="str">
        <f>HYPERLINK("https://ictv.global/taxonomy/taxondetails?taxnode_id=202308027","Sashavirus sasha")</f>
        <v>Sashavirus sasha</v>
      </c>
      <c r="S4648" s="18" t="s">
        <v>30</v>
      </c>
      <c r="T4648" s="18" t="s">
        <v>3525</v>
      </c>
      <c r="U4648" s="18"/>
      <c r="V4648" s="18"/>
      <c r="W4648" s="18" t="s">
        <v>3526</v>
      </c>
      <c r="X4648" s="18" t="s">
        <v>42</v>
      </c>
      <c r="Y4648" s="18" t="s">
        <v>36</v>
      </c>
      <c r="Z4648" s="18" t="s">
        <v>697</v>
      </c>
      <c r="AA4648" s="21" t="str">
        <f>HYPERLINK("https://www.ncbi.nlm.nih.gov/nuccore/KX987158","NCBI Nucleotide")</f>
        <v>NCBI Nucleotide</v>
      </c>
    </row>
    <row r="4649" spans="1:27" x14ac:dyDescent="0.35">
      <c r="A4649">
        <v>1006417</v>
      </c>
      <c r="B4649">
        <v>4625</v>
      </c>
      <c r="C4649">
        <v>1</v>
      </c>
      <c r="D4649" s="17" t="s">
        <v>155</v>
      </c>
      <c r="E4649" s="17"/>
      <c r="F4649" s="17" t="s">
        <v>156</v>
      </c>
      <c r="G4649" s="17"/>
      <c r="H4649" s="17" t="s">
        <v>692</v>
      </c>
      <c r="I4649" s="17"/>
      <c r="J4649" s="17" t="s">
        <v>693</v>
      </c>
      <c r="K4649" s="17"/>
      <c r="L4649" s="17"/>
      <c r="M4649" s="17"/>
      <c r="N4649" s="17"/>
      <c r="O4649" s="17"/>
      <c r="P4649" s="17" t="s">
        <v>3527</v>
      </c>
      <c r="Q4649" s="17"/>
      <c r="R4649" s="25" t="str">
        <f>HYPERLINK("https://ictv.global/taxonomy/taxondetails?taxnode_id=202307923","Sasquatchvirus Y3")</f>
        <v>Sasquatchvirus Y3</v>
      </c>
      <c r="S4649" s="18" t="s">
        <v>30</v>
      </c>
      <c r="T4649" s="18" t="s">
        <v>3528</v>
      </c>
      <c r="U4649" s="18"/>
      <c r="V4649" s="18"/>
      <c r="W4649" s="18" t="s">
        <v>3529</v>
      </c>
      <c r="X4649" s="18" t="s">
        <v>42</v>
      </c>
      <c r="Y4649" s="18" t="s">
        <v>36</v>
      </c>
      <c r="Z4649" s="18" t="s">
        <v>697</v>
      </c>
      <c r="AA4649" s="21" t="str">
        <f>HYPERLINK("https://www.ncbi.nlm.nih.gov/nuccore/KY984068","NCBI Nucleotide")</f>
        <v>NCBI Nucleotide</v>
      </c>
    </row>
    <row r="4650" spans="1:27" x14ac:dyDescent="0.35">
      <c r="A4650">
        <v>1006418</v>
      </c>
      <c r="B4650">
        <v>4626</v>
      </c>
      <c r="C4650">
        <v>1</v>
      </c>
      <c r="D4650" s="17" t="s">
        <v>155</v>
      </c>
      <c r="E4650" s="17"/>
      <c r="F4650" s="17" t="s">
        <v>156</v>
      </c>
      <c r="G4650" s="17"/>
      <c r="H4650" s="17" t="s">
        <v>692</v>
      </c>
      <c r="I4650" s="17"/>
      <c r="J4650" s="17" t="s">
        <v>693</v>
      </c>
      <c r="K4650" s="17"/>
      <c r="L4650" s="17"/>
      <c r="M4650" s="17"/>
      <c r="N4650" s="17"/>
      <c r="O4650" s="17"/>
      <c r="P4650" s="17" t="s">
        <v>3530</v>
      </c>
      <c r="Q4650" s="17"/>
      <c r="R4650" s="25" t="str">
        <f>HYPERLINK("https://ictv.global/taxonomy/taxondetails?taxnode_id=202306834","Sasvirus BFK20")</f>
        <v>Sasvirus BFK20</v>
      </c>
      <c r="S4650" s="18" t="s">
        <v>30</v>
      </c>
      <c r="T4650" s="18" t="s">
        <v>3531</v>
      </c>
      <c r="U4650" s="18"/>
      <c r="V4650" s="18"/>
      <c r="W4650" s="18" t="s">
        <v>3532</v>
      </c>
      <c r="X4650" s="18" t="s">
        <v>42</v>
      </c>
      <c r="Y4650" s="18" t="s">
        <v>36</v>
      </c>
      <c r="Z4650" s="18" t="s">
        <v>697</v>
      </c>
      <c r="AA4650" s="21" t="str">
        <f>HYPERLINK("https://www.ncbi.nlm.nih.gov/nuccore/AJ278322","NCBI Nucleotide")</f>
        <v>NCBI Nucleotide</v>
      </c>
    </row>
    <row r="4651" spans="1:27" x14ac:dyDescent="0.35">
      <c r="A4651">
        <v>1006419</v>
      </c>
      <c r="B4651">
        <v>4627</v>
      </c>
      <c r="C4651">
        <v>1</v>
      </c>
      <c r="D4651" s="17" t="s">
        <v>155</v>
      </c>
      <c r="E4651" s="17"/>
      <c r="F4651" s="17" t="s">
        <v>156</v>
      </c>
      <c r="G4651" s="17"/>
      <c r="H4651" s="17" t="s">
        <v>692</v>
      </c>
      <c r="I4651" s="17"/>
      <c r="J4651" s="17" t="s">
        <v>693</v>
      </c>
      <c r="K4651" s="17"/>
      <c r="L4651" s="17"/>
      <c r="M4651" s="17"/>
      <c r="N4651" s="17"/>
      <c r="O4651" s="17"/>
      <c r="P4651" s="17" t="s">
        <v>3533</v>
      </c>
      <c r="Q4651" s="17"/>
      <c r="R4651" s="25" t="str">
        <f>HYPERLINK("https://ictv.global/taxonomy/taxondetails?taxnode_id=202305563","Saundersvirus Tp84")</f>
        <v>Saundersvirus Tp84</v>
      </c>
      <c r="S4651" s="18" t="s">
        <v>30</v>
      </c>
      <c r="T4651" s="18" t="s">
        <v>3534</v>
      </c>
      <c r="U4651" s="18"/>
      <c r="V4651" s="18"/>
      <c r="W4651" s="18" t="s">
        <v>3535</v>
      </c>
      <c r="X4651" s="18" t="s">
        <v>42</v>
      </c>
      <c r="Y4651" s="18" t="s">
        <v>36</v>
      </c>
      <c r="Z4651" s="18" t="s">
        <v>697</v>
      </c>
      <c r="AA4651" s="21" t="str">
        <f>HYPERLINK("https://www.ncbi.nlm.nih.gov/nuccore/KY565347","NCBI Nucleotide")</f>
        <v>NCBI Nucleotide</v>
      </c>
    </row>
    <row r="4652" spans="1:27" x14ac:dyDescent="0.35">
      <c r="A4652">
        <v>1006420</v>
      </c>
      <c r="B4652">
        <v>4628</v>
      </c>
      <c r="C4652">
        <v>1</v>
      </c>
      <c r="D4652" s="17" t="s">
        <v>155</v>
      </c>
      <c r="E4652" s="17"/>
      <c r="F4652" s="17" t="s">
        <v>156</v>
      </c>
      <c r="G4652" s="17"/>
      <c r="H4652" s="17" t="s">
        <v>692</v>
      </c>
      <c r="I4652" s="17"/>
      <c r="J4652" s="17" t="s">
        <v>693</v>
      </c>
      <c r="K4652" s="17"/>
      <c r="L4652" s="17"/>
      <c r="M4652" s="17"/>
      <c r="N4652" s="17"/>
      <c r="O4652" s="17"/>
      <c r="P4652" s="17" t="s">
        <v>3536</v>
      </c>
      <c r="Q4652" s="17"/>
      <c r="R4652" s="25" t="str">
        <f>HYPERLINK("https://ictv.global/taxonomy/taxondetails?taxnode_id=202309333","Sawaravirus WGPS2")</f>
        <v>Sawaravirus WGPS2</v>
      </c>
      <c r="S4652" s="18" t="s">
        <v>30</v>
      </c>
      <c r="T4652" s="18" t="s">
        <v>3537</v>
      </c>
      <c r="U4652" s="18"/>
      <c r="V4652" s="18"/>
      <c r="W4652" s="18" t="s">
        <v>3538</v>
      </c>
      <c r="X4652" s="18" t="s">
        <v>42</v>
      </c>
      <c r="Y4652" s="18" t="s">
        <v>36</v>
      </c>
      <c r="Z4652" s="18" t="s">
        <v>697</v>
      </c>
      <c r="AA4652" s="21" t="str">
        <f>HYPERLINK("https://www.ncbi.nlm.nih.gov/nuccore/AP012537","NCBI Nucleotide")</f>
        <v>NCBI Nucleotide</v>
      </c>
    </row>
    <row r="4653" spans="1:27" x14ac:dyDescent="0.35">
      <c r="A4653">
        <v>1006421</v>
      </c>
      <c r="B4653">
        <v>4629</v>
      </c>
      <c r="C4653">
        <v>1</v>
      </c>
      <c r="D4653" s="17" t="s">
        <v>155</v>
      </c>
      <c r="E4653" s="17"/>
      <c r="F4653" s="17" t="s">
        <v>156</v>
      </c>
      <c r="G4653" s="17"/>
      <c r="H4653" s="17" t="s">
        <v>692</v>
      </c>
      <c r="I4653" s="17"/>
      <c r="J4653" s="17" t="s">
        <v>693</v>
      </c>
      <c r="K4653" s="17"/>
      <c r="L4653" s="17"/>
      <c r="M4653" s="17"/>
      <c r="N4653" s="17"/>
      <c r="O4653" s="17"/>
      <c r="P4653" s="17" t="s">
        <v>3539</v>
      </c>
      <c r="Q4653" s="17"/>
      <c r="R4653" s="25" t="str">
        <f>HYPERLINK("https://ictv.global/taxonomy/taxondetails?taxnode_id=202314799","Scappvirus scapp")</f>
        <v>Scappvirus scapp</v>
      </c>
      <c r="S4653" s="18" t="s">
        <v>30</v>
      </c>
      <c r="T4653" s="18" t="s">
        <v>3540</v>
      </c>
      <c r="U4653" s="18"/>
      <c r="V4653" s="18"/>
      <c r="W4653" s="18" t="s">
        <v>3541</v>
      </c>
      <c r="X4653" s="18" t="s">
        <v>42</v>
      </c>
      <c r="Y4653" s="18" t="s">
        <v>36</v>
      </c>
      <c r="Z4653" s="18" t="s">
        <v>697</v>
      </c>
      <c r="AA4653" s="21" t="str">
        <f>HYPERLINK("https://www.ncbi.nlm.nih.gov/nuccore/MH553517","NCBI Nucleotide")</f>
        <v>NCBI Nucleotide</v>
      </c>
    </row>
    <row r="4654" spans="1:27" x14ac:dyDescent="0.35">
      <c r="A4654">
        <v>1006422</v>
      </c>
      <c r="B4654">
        <v>4630</v>
      </c>
      <c r="C4654">
        <v>1</v>
      </c>
      <c r="D4654" s="17" t="s">
        <v>155</v>
      </c>
      <c r="E4654" s="17"/>
      <c r="F4654" s="17" t="s">
        <v>156</v>
      </c>
      <c r="G4654" s="17"/>
      <c r="H4654" s="17" t="s">
        <v>692</v>
      </c>
      <c r="I4654" s="17"/>
      <c r="J4654" s="17" t="s">
        <v>693</v>
      </c>
      <c r="K4654" s="17"/>
      <c r="L4654" s="17"/>
      <c r="M4654" s="17"/>
      <c r="N4654" s="17"/>
      <c r="O4654" s="17"/>
      <c r="P4654" s="17" t="s">
        <v>3542</v>
      </c>
      <c r="Q4654" s="17"/>
      <c r="R4654" s="25" t="str">
        <f>HYPERLINK("https://ictv.global/taxonomy/taxondetails?taxnode_id=202306754","Scapunavirus scap1")</f>
        <v>Scapunavirus scap1</v>
      </c>
      <c r="S4654" s="18" t="s">
        <v>30</v>
      </c>
      <c r="T4654" s="18" t="s">
        <v>3543</v>
      </c>
      <c r="U4654" s="18"/>
      <c r="V4654" s="18"/>
      <c r="W4654" s="18" t="s">
        <v>3544</v>
      </c>
      <c r="X4654" s="18" t="s">
        <v>42</v>
      </c>
      <c r="Y4654" s="18" t="s">
        <v>36</v>
      </c>
      <c r="Z4654" s="18" t="s">
        <v>697</v>
      </c>
      <c r="AA4654" s="21" t="str">
        <f>HYPERLINK("https://www.ncbi.nlm.nih.gov/nuccore/MF975637","NCBI Nucleotide")</f>
        <v>NCBI Nucleotide</v>
      </c>
    </row>
    <row r="4655" spans="1:27" x14ac:dyDescent="0.35">
      <c r="A4655">
        <v>1006423</v>
      </c>
      <c r="B4655">
        <v>4631</v>
      </c>
      <c r="C4655">
        <v>1</v>
      </c>
      <c r="D4655" s="17" t="s">
        <v>155</v>
      </c>
      <c r="E4655" s="17"/>
      <c r="F4655" s="17" t="s">
        <v>156</v>
      </c>
      <c r="G4655" s="17"/>
      <c r="H4655" s="17" t="s">
        <v>692</v>
      </c>
      <c r="I4655" s="17"/>
      <c r="J4655" s="17" t="s">
        <v>693</v>
      </c>
      <c r="K4655" s="17"/>
      <c r="L4655" s="17"/>
      <c r="M4655" s="17"/>
      <c r="N4655" s="17"/>
      <c r="O4655" s="17"/>
      <c r="P4655" s="17" t="s">
        <v>3545</v>
      </c>
      <c r="Q4655" s="17"/>
      <c r="R4655" s="25" t="str">
        <f>HYPERLINK("https://ictv.global/taxonomy/taxondetails?taxnode_id=202300699","Schmidvirus KHP30")</f>
        <v>Schmidvirus KHP30</v>
      </c>
      <c r="S4655" s="18" t="s">
        <v>30</v>
      </c>
      <c r="T4655" s="18" t="s">
        <v>3546</v>
      </c>
      <c r="U4655" s="18"/>
      <c r="V4655" s="18"/>
      <c r="W4655" s="18" t="s">
        <v>3547</v>
      </c>
      <c r="X4655" s="18" t="s">
        <v>42</v>
      </c>
      <c r="Y4655" s="18" t="s">
        <v>36</v>
      </c>
      <c r="Z4655" s="18" t="s">
        <v>697</v>
      </c>
      <c r="AA4655" s="21" t="str">
        <f>HYPERLINK("https://www.ncbi.nlm.nih.gov/nuccore/AB647160","NCBI Nucleotide")</f>
        <v>NCBI Nucleotide</v>
      </c>
    </row>
    <row r="4656" spans="1:27" x14ac:dyDescent="0.35">
      <c r="A4656">
        <v>1006424</v>
      </c>
      <c r="B4656">
        <v>4632</v>
      </c>
      <c r="C4656">
        <v>1</v>
      </c>
      <c r="D4656" s="17" t="s">
        <v>155</v>
      </c>
      <c r="E4656" s="17"/>
      <c r="F4656" s="17" t="s">
        <v>156</v>
      </c>
      <c r="G4656" s="17"/>
      <c r="H4656" s="17" t="s">
        <v>692</v>
      </c>
      <c r="I4656" s="17"/>
      <c r="J4656" s="17" t="s">
        <v>693</v>
      </c>
      <c r="K4656" s="17"/>
      <c r="L4656" s="17"/>
      <c r="M4656" s="17"/>
      <c r="N4656" s="17"/>
      <c r="O4656" s="17"/>
      <c r="P4656" s="17" t="s">
        <v>3545</v>
      </c>
      <c r="Q4656" s="17"/>
      <c r="R4656" s="25" t="str">
        <f>HYPERLINK("https://ictv.global/taxonomy/taxondetails?taxnode_id=202300700","Schmidvirus KHP40")</f>
        <v>Schmidvirus KHP40</v>
      </c>
      <c r="S4656" s="18" t="s">
        <v>30</v>
      </c>
      <c r="T4656" s="18" t="s">
        <v>3548</v>
      </c>
      <c r="U4656" s="18"/>
      <c r="V4656" s="18"/>
      <c r="W4656" s="18" t="s">
        <v>3549</v>
      </c>
      <c r="X4656" s="18" t="s">
        <v>42</v>
      </c>
      <c r="Y4656" s="18" t="s">
        <v>36</v>
      </c>
      <c r="Z4656" s="18" t="s">
        <v>697</v>
      </c>
      <c r="AA4656" s="21" t="str">
        <f>HYPERLINK("https://www.ncbi.nlm.nih.gov/nuccore/AB731695","NCBI Nucleotide")</f>
        <v>NCBI Nucleotide</v>
      </c>
    </row>
    <row r="4657" spans="1:27" x14ac:dyDescent="0.35">
      <c r="A4657">
        <v>1006425</v>
      </c>
      <c r="B4657">
        <v>4633</v>
      </c>
      <c r="C4657">
        <v>1</v>
      </c>
      <c r="D4657" s="17" t="s">
        <v>155</v>
      </c>
      <c r="E4657" s="17"/>
      <c r="F4657" s="17" t="s">
        <v>156</v>
      </c>
      <c r="G4657" s="17"/>
      <c r="H4657" s="17" t="s">
        <v>692</v>
      </c>
      <c r="I4657" s="17"/>
      <c r="J4657" s="17" t="s">
        <v>693</v>
      </c>
      <c r="K4657" s="17"/>
      <c r="L4657" s="17"/>
      <c r="M4657" s="17"/>
      <c r="N4657" s="17"/>
      <c r="O4657" s="17"/>
      <c r="P4657" s="17" t="s">
        <v>3545</v>
      </c>
      <c r="Q4657" s="17"/>
      <c r="R4657" s="25" t="str">
        <f>HYPERLINK("https://ictv.global/taxonomy/taxondetails?taxnode_id=202300698","Schmidvirus sv1961P")</f>
        <v>Schmidvirus sv1961P</v>
      </c>
      <c r="S4657" s="18" t="s">
        <v>30</v>
      </c>
      <c r="T4657" s="18" t="s">
        <v>3550</v>
      </c>
      <c r="U4657" s="18"/>
      <c r="V4657" s="18"/>
      <c r="W4657" s="18" t="s">
        <v>3551</v>
      </c>
      <c r="X4657" s="18" t="s">
        <v>42</v>
      </c>
      <c r="Y4657" s="18" t="s">
        <v>36</v>
      </c>
      <c r="Z4657" s="18" t="s">
        <v>697</v>
      </c>
      <c r="AA4657" s="21" t="str">
        <f>HYPERLINK("https://www.ncbi.nlm.nih.gov/nuccore/JQ617284","NCBI Nucleotide")</f>
        <v>NCBI Nucleotide</v>
      </c>
    </row>
    <row r="4658" spans="1:27" x14ac:dyDescent="0.35">
      <c r="A4658">
        <v>1006426</v>
      </c>
      <c r="B4658">
        <v>4634</v>
      </c>
      <c r="C4658">
        <v>1</v>
      </c>
      <c r="D4658" s="17" t="s">
        <v>155</v>
      </c>
      <c r="E4658" s="17"/>
      <c r="F4658" s="17" t="s">
        <v>156</v>
      </c>
      <c r="G4658" s="17"/>
      <c r="H4658" s="17" t="s">
        <v>692</v>
      </c>
      <c r="I4658" s="17"/>
      <c r="J4658" s="17" t="s">
        <v>693</v>
      </c>
      <c r="K4658" s="17"/>
      <c r="L4658" s="17"/>
      <c r="M4658" s="17"/>
      <c r="N4658" s="17"/>
      <c r="O4658" s="17"/>
      <c r="P4658" s="17" t="s">
        <v>3552</v>
      </c>
      <c r="Q4658" s="17"/>
      <c r="R4658" s="25" t="str">
        <f>HYPERLINK("https://ictv.global/taxonomy/taxondetails?taxnode_id=202308029","Schmittlotzvirus sv771")</f>
        <v>Schmittlotzvirus sv771</v>
      </c>
      <c r="S4658" s="18" t="s">
        <v>30</v>
      </c>
      <c r="T4658" s="18" t="s">
        <v>3553</v>
      </c>
      <c r="U4658" s="18"/>
      <c r="V4658" s="18"/>
      <c r="W4658" s="18" t="s">
        <v>3554</v>
      </c>
      <c r="X4658" s="18" t="s">
        <v>42</v>
      </c>
      <c r="Y4658" s="18" t="s">
        <v>36</v>
      </c>
      <c r="Z4658" s="18" t="s">
        <v>697</v>
      </c>
      <c r="AA4658" s="21" t="str">
        <f>HYPERLINK("https://www.ncbi.nlm.nih.gov/nuccore/JQ312117","NCBI Nucleotide")</f>
        <v>NCBI Nucleotide</v>
      </c>
    </row>
    <row r="4659" spans="1:27" x14ac:dyDescent="0.35">
      <c r="A4659">
        <v>1006427</v>
      </c>
      <c r="B4659">
        <v>4635</v>
      </c>
      <c r="C4659">
        <v>1</v>
      </c>
      <c r="D4659" s="17" t="s">
        <v>155</v>
      </c>
      <c r="E4659" s="17"/>
      <c r="F4659" s="17" t="s">
        <v>156</v>
      </c>
      <c r="G4659" s="17"/>
      <c r="H4659" s="17" t="s">
        <v>692</v>
      </c>
      <c r="I4659" s="17"/>
      <c r="J4659" s="17" t="s">
        <v>693</v>
      </c>
      <c r="K4659" s="17"/>
      <c r="L4659" s="17"/>
      <c r="M4659" s="17"/>
      <c r="N4659" s="17"/>
      <c r="O4659" s="17"/>
      <c r="P4659" s="17" t="s">
        <v>3555</v>
      </c>
      <c r="Q4659" s="17"/>
      <c r="R4659" s="25" t="str">
        <f>HYPERLINK("https://ictv.global/taxonomy/taxondetails?taxnode_id=202308031","Schnabeltiervirus schnabeltier")</f>
        <v>Schnabeltiervirus schnabeltier</v>
      </c>
      <c r="S4659" s="18" t="s">
        <v>30</v>
      </c>
      <c r="T4659" s="18" t="s">
        <v>3556</v>
      </c>
      <c r="U4659" s="18"/>
      <c r="V4659" s="18"/>
      <c r="W4659" s="18" t="s">
        <v>3557</v>
      </c>
      <c r="X4659" s="18" t="s">
        <v>42</v>
      </c>
      <c r="Y4659" s="18" t="s">
        <v>36</v>
      </c>
      <c r="Z4659" s="18" t="s">
        <v>697</v>
      </c>
      <c r="AA4659" s="21" t="str">
        <f>HYPERLINK("https://www.ncbi.nlm.nih.gov/nuccore/KU963252","NCBI Nucleotide")</f>
        <v>NCBI Nucleotide</v>
      </c>
    </row>
    <row r="4660" spans="1:27" x14ac:dyDescent="0.35">
      <c r="A4660">
        <v>1006428</v>
      </c>
      <c r="B4660">
        <v>4636</v>
      </c>
      <c r="C4660">
        <v>1</v>
      </c>
      <c r="D4660" s="17" t="s">
        <v>155</v>
      </c>
      <c r="E4660" s="17"/>
      <c r="F4660" s="17" t="s">
        <v>156</v>
      </c>
      <c r="G4660" s="17"/>
      <c r="H4660" s="17" t="s">
        <v>692</v>
      </c>
      <c r="I4660" s="17"/>
      <c r="J4660" s="17" t="s">
        <v>693</v>
      </c>
      <c r="K4660" s="17"/>
      <c r="L4660" s="17"/>
      <c r="M4660" s="17"/>
      <c r="N4660" s="17"/>
      <c r="O4660" s="17"/>
      <c r="P4660" s="17" t="s">
        <v>3558</v>
      </c>
      <c r="Q4660" s="17"/>
      <c r="R4660" s="25" t="str">
        <f>HYPERLINK("https://ictv.global/taxonomy/taxondetails?taxnode_id=202307665","Schubertvirus schubert")</f>
        <v>Schubertvirus schubert</v>
      </c>
      <c r="S4660" s="18" t="s">
        <v>30</v>
      </c>
      <c r="T4660" s="18" t="s">
        <v>3559</v>
      </c>
      <c r="U4660" s="18"/>
      <c r="V4660" s="18"/>
      <c r="W4660" s="18" t="s">
        <v>3560</v>
      </c>
      <c r="X4660" s="18" t="s">
        <v>42</v>
      </c>
      <c r="Y4660" s="18" t="s">
        <v>36</v>
      </c>
      <c r="Z4660" s="18" t="s">
        <v>697</v>
      </c>
      <c r="AA4660" s="21" t="str">
        <f>HYPERLINK("https://www.ncbi.nlm.nih.gov/nuccore/MK308637","NCBI Nucleotide")</f>
        <v>NCBI Nucleotide</v>
      </c>
    </row>
    <row r="4661" spans="1:27" x14ac:dyDescent="0.35">
      <c r="A4661">
        <v>1006429</v>
      </c>
      <c r="B4661">
        <v>4637</v>
      </c>
      <c r="C4661">
        <v>1</v>
      </c>
      <c r="D4661" s="17" t="s">
        <v>155</v>
      </c>
      <c r="E4661" s="17"/>
      <c r="F4661" s="17" t="s">
        <v>156</v>
      </c>
      <c r="G4661" s="17"/>
      <c r="H4661" s="17" t="s">
        <v>692</v>
      </c>
      <c r="I4661" s="17"/>
      <c r="J4661" s="17" t="s">
        <v>693</v>
      </c>
      <c r="K4661" s="17"/>
      <c r="L4661" s="17"/>
      <c r="M4661" s="17"/>
      <c r="N4661" s="17"/>
      <c r="O4661" s="17"/>
      <c r="P4661" s="17" t="s">
        <v>3561</v>
      </c>
      <c r="Q4661" s="17"/>
      <c r="R4661" s="25" t="str">
        <f>HYPERLINK("https://ictv.global/taxonomy/taxondetails?taxnode_id=202314950","Seahorsevirus seahorse")</f>
        <v>Seahorsevirus seahorse</v>
      </c>
      <c r="S4661" s="18" t="s">
        <v>30</v>
      </c>
      <c r="T4661" s="18" t="s">
        <v>3562</v>
      </c>
      <c r="U4661" s="18"/>
      <c r="V4661" s="18"/>
      <c r="W4661" s="18" t="s">
        <v>3563</v>
      </c>
      <c r="X4661" s="18" t="s">
        <v>42</v>
      </c>
      <c r="Y4661" s="18" t="s">
        <v>36</v>
      </c>
      <c r="Z4661" s="18" t="s">
        <v>697</v>
      </c>
      <c r="AA4661" s="21" t="str">
        <f>HYPERLINK("https://www.ncbi.nlm.nih.gov/nuccore/MN512538","NCBI Nucleotide")</f>
        <v>NCBI Nucleotide</v>
      </c>
    </row>
    <row r="4662" spans="1:27" x14ac:dyDescent="0.35">
      <c r="A4662">
        <v>1006430</v>
      </c>
      <c r="B4662">
        <v>4638</v>
      </c>
      <c r="C4662">
        <v>1</v>
      </c>
      <c r="D4662" s="17" t="s">
        <v>155</v>
      </c>
      <c r="E4662" s="17"/>
      <c r="F4662" s="17" t="s">
        <v>156</v>
      </c>
      <c r="G4662" s="17"/>
      <c r="H4662" s="17" t="s">
        <v>692</v>
      </c>
      <c r="I4662" s="17"/>
      <c r="J4662" s="17" t="s">
        <v>693</v>
      </c>
      <c r="K4662" s="17"/>
      <c r="L4662" s="17"/>
      <c r="M4662" s="17"/>
      <c r="N4662" s="17"/>
      <c r="O4662" s="17"/>
      <c r="P4662" s="17" t="s">
        <v>3564</v>
      </c>
      <c r="Q4662" s="17"/>
      <c r="R4662" s="25" t="str">
        <f>HYPERLINK("https://ictv.global/taxonomy/taxondetails?taxnode_id=202314868","Seamegvirus seahorse")</f>
        <v>Seamegvirus seahorse</v>
      </c>
      <c r="S4662" s="18" t="s">
        <v>30</v>
      </c>
      <c r="T4662" s="18" t="s">
        <v>3565</v>
      </c>
      <c r="U4662" s="18"/>
      <c r="V4662" s="18"/>
      <c r="W4662" s="18" t="s">
        <v>3566</v>
      </c>
      <c r="X4662" s="18" t="s">
        <v>42</v>
      </c>
      <c r="Y4662" s="18" t="s">
        <v>36</v>
      </c>
      <c r="Z4662" s="18" t="s">
        <v>697</v>
      </c>
      <c r="AA4662" s="21" t="str">
        <f>HYPERLINK("https://www.ncbi.nlm.nih.gov/nuccore/MH910041","NCBI Nucleotide")</f>
        <v>NCBI Nucleotide</v>
      </c>
    </row>
    <row r="4663" spans="1:27" x14ac:dyDescent="0.35">
      <c r="A4663">
        <v>1006431</v>
      </c>
      <c r="B4663">
        <v>4639</v>
      </c>
      <c r="C4663">
        <v>1</v>
      </c>
      <c r="D4663" s="17" t="s">
        <v>155</v>
      </c>
      <c r="E4663" s="17"/>
      <c r="F4663" s="17" t="s">
        <v>156</v>
      </c>
      <c r="G4663" s="17"/>
      <c r="H4663" s="17" t="s">
        <v>692</v>
      </c>
      <c r="I4663" s="17"/>
      <c r="J4663" s="17" t="s">
        <v>693</v>
      </c>
      <c r="K4663" s="17"/>
      <c r="L4663" s="17"/>
      <c r="M4663" s="17"/>
      <c r="N4663" s="17"/>
      <c r="O4663" s="17"/>
      <c r="P4663" s="17" t="s">
        <v>3567</v>
      </c>
      <c r="Q4663" s="17"/>
      <c r="R4663" s="25" t="str">
        <f>HYPERLINK("https://ictv.global/taxonomy/taxondetails?taxnode_id=202314840","Segzyvirus LPSTLL")</f>
        <v>Segzyvirus LPSTLL</v>
      </c>
      <c r="S4663" s="18" t="s">
        <v>30</v>
      </c>
      <c r="T4663" s="18" t="s">
        <v>3568</v>
      </c>
      <c r="U4663" s="18"/>
      <c r="V4663" s="18"/>
      <c r="W4663" s="18" t="s">
        <v>3569</v>
      </c>
      <c r="X4663" s="18" t="s">
        <v>42</v>
      </c>
      <c r="Y4663" s="18" t="s">
        <v>36</v>
      </c>
      <c r="Z4663" s="18" t="s">
        <v>697</v>
      </c>
      <c r="AA4663" s="21" t="str">
        <f>HYPERLINK("https://www.ncbi.nlm.nih.gov/nuccore/MN737551","NCBI Nucleotide")</f>
        <v>NCBI Nucleotide</v>
      </c>
    </row>
    <row r="4664" spans="1:27" x14ac:dyDescent="0.35">
      <c r="A4664">
        <v>1006432</v>
      </c>
      <c r="B4664">
        <v>4640</v>
      </c>
      <c r="C4664">
        <v>1</v>
      </c>
      <c r="D4664" s="17" t="s">
        <v>155</v>
      </c>
      <c r="E4664" s="17"/>
      <c r="F4664" s="17" t="s">
        <v>156</v>
      </c>
      <c r="G4664" s="17"/>
      <c r="H4664" s="17" t="s">
        <v>692</v>
      </c>
      <c r="I4664" s="17"/>
      <c r="J4664" s="17" t="s">
        <v>693</v>
      </c>
      <c r="K4664" s="17"/>
      <c r="L4664" s="17"/>
      <c r="M4664" s="17"/>
      <c r="N4664" s="17"/>
      <c r="O4664" s="17"/>
      <c r="P4664" s="17" t="s">
        <v>3567</v>
      </c>
      <c r="Q4664" s="17"/>
      <c r="R4664" s="25" t="str">
        <f>HYPERLINK("https://ictv.global/taxonomy/taxondetails?taxnode_id=202313644","Segzyvirus segz1")</f>
        <v>Segzyvirus segz1</v>
      </c>
      <c r="S4664" s="18" t="s">
        <v>30</v>
      </c>
      <c r="T4664" s="18" t="s">
        <v>3570</v>
      </c>
      <c r="U4664" s="18"/>
      <c r="V4664" s="18"/>
      <c r="W4664" s="18" t="s">
        <v>3571</v>
      </c>
      <c r="X4664" s="18" t="s">
        <v>42</v>
      </c>
      <c r="Y4664" s="18" t="s">
        <v>36</v>
      </c>
      <c r="Z4664" s="18" t="s">
        <v>697</v>
      </c>
      <c r="AA4664" s="21" t="str">
        <f>HYPERLINK("https://www.ncbi.nlm.nih.gov/nuccore/MH791402","NCBI Nucleotide")</f>
        <v>NCBI Nucleotide</v>
      </c>
    </row>
    <row r="4665" spans="1:27" x14ac:dyDescent="0.35">
      <c r="A4665">
        <v>1006433</v>
      </c>
      <c r="B4665">
        <v>4641</v>
      </c>
      <c r="C4665">
        <v>1</v>
      </c>
      <c r="D4665" s="17" t="s">
        <v>155</v>
      </c>
      <c r="E4665" s="17"/>
      <c r="F4665" s="17" t="s">
        <v>156</v>
      </c>
      <c r="G4665" s="17"/>
      <c r="H4665" s="17" t="s">
        <v>692</v>
      </c>
      <c r="I4665" s="17"/>
      <c r="J4665" s="17" t="s">
        <v>693</v>
      </c>
      <c r="K4665" s="17"/>
      <c r="L4665" s="17"/>
      <c r="M4665" s="17"/>
      <c r="N4665" s="17"/>
      <c r="O4665" s="17"/>
      <c r="P4665" s="17" t="s">
        <v>3572</v>
      </c>
      <c r="Q4665" s="17"/>
      <c r="R4665" s="25" t="str">
        <f>HYPERLINK("https://ictv.global/taxonomy/taxondetails?taxnode_id=202300702","Sendosyvirus APSE1")</f>
        <v>Sendosyvirus APSE1</v>
      </c>
      <c r="S4665" s="18" t="s">
        <v>30</v>
      </c>
      <c r="T4665" s="18" t="s">
        <v>3573</v>
      </c>
      <c r="U4665" s="18"/>
      <c r="V4665" s="18"/>
      <c r="W4665" s="18" t="s">
        <v>3574</v>
      </c>
      <c r="X4665" s="18" t="s">
        <v>42</v>
      </c>
      <c r="Y4665" s="18" t="s">
        <v>36</v>
      </c>
      <c r="Z4665" s="18" t="s">
        <v>697</v>
      </c>
      <c r="AA4665" s="21" t="str">
        <f>HYPERLINK("https://www.ncbi.nlm.nih.gov/nuccore/AF157835","NCBI Nucleotide")</f>
        <v>NCBI Nucleotide</v>
      </c>
    </row>
    <row r="4666" spans="1:27" x14ac:dyDescent="0.35">
      <c r="A4666">
        <v>1006434</v>
      </c>
      <c r="B4666">
        <v>4642</v>
      </c>
      <c r="C4666">
        <v>1</v>
      </c>
      <c r="D4666" s="17" t="s">
        <v>155</v>
      </c>
      <c r="E4666" s="17"/>
      <c r="F4666" s="17" t="s">
        <v>156</v>
      </c>
      <c r="G4666" s="17"/>
      <c r="H4666" s="17" t="s">
        <v>692</v>
      </c>
      <c r="I4666" s="17"/>
      <c r="J4666" s="17" t="s">
        <v>693</v>
      </c>
      <c r="K4666" s="17"/>
      <c r="L4666" s="17"/>
      <c r="M4666" s="17"/>
      <c r="N4666" s="17"/>
      <c r="O4666" s="17"/>
      <c r="P4666" s="17" t="s">
        <v>3572</v>
      </c>
      <c r="Q4666" s="17"/>
      <c r="R4666" s="25" t="str">
        <f>HYPERLINK("https://ictv.global/taxonomy/taxondetails?taxnode_id=202311844","Sendosyvirus APSE2")</f>
        <v>Sendosyvirus APSE2</v>
      </c>
      <c r="S4666" s="18" t="s">
        <v>30</v>
      </c>
      <c r="T4666" s="18" t="s">
        <v>3575</v>
      </c>
      <c r="U4666" s="18"/>
      <c r="V4666" s="18"/>
      <c r="W4666" s="18" t="s">
        <v>3576</v>
      </c>
      <c r="X4666" s="18" t="s">
        <v>42</v>
      </c>
      <c r="Y4666" s="18" t="s">
        <v>36</v>
      </c>
      <c r="Z4666" s="18" t="s">
        <v>697</v>
      </c>
      <c r="AA4666" s="21" t="str">
        <f>HYPERLINK("https://www.ncbi.nlm.nih.gov/nuccore/EU794049","NCBI Nucleotide")</f>
        <v>NCBI Nucleotide</v>
      </c>
    </row>
    <row r="4667" spans="1:27" x14ac:dyDescent="0.35">
      <c r="A4667">
        <v>1006435</v>
      </c>
      <c r="B4667">
        <v>4643</v>
      </c>
      <c r="C4667">
        <v>1</v>
      </c>
      <c r="D4667" s="17" t="s">
        <v>155</v>
      </c>
      <c r="E4667" s="17"/>
      <c r="F4667" s="17" t="s">
        <v>156</v>
      </c>
      <c r="G4667" s="17"/>
      <c r="H4667" s="17" t="s">
        <v>692</v>
      </c>
      <c r="I4667" s="17"/>
      <c r="J4667" s="17" t="s">
        <v>693</v>
      </c>
      <c r="K4667" s="17"/>
      <c r="L4667" s="17"/>
      <c r="M4667" s="17"/>
      <c r="N4667" s="17"/>
      <c r="O4667" s="17"/>
      <c r="P4667" s="17" t="s">
        <v>3577</v>
      </c>
      <c r="Q4667" s="17"/>
      <c r="R4667" s="25" t="str">
        <f>HYPERLINK("https://ictv.global/taxonomy/taxondetails?taxnode_id=202310213","Seongbukvirus MH1")</f>
        <v>Seongbukvirus MH1</v>
      </c>
      <c r="S4667" s="18" t="s">
        <v>30</v>
      </c>
      <c r="T4667" s="18" t="s">
        <v>3578</v>
      </c>
      <c r="U4667" s="18"/>
      <c r="V4667" s="18"/>
      <c r="W4667" s="18" t="s">
        <v>3579</v>
      </c>
      <c r="X4667" s="18" t="s">
        <v>42</v>
      </c>
      <c r="Y4667" s="18" t="s">
        <v>36</v>
      </c>
      <c r="Z4667" s="18" t="s">
        <v>697</v>
      </c>
      <c r="AA4667" s="21" t="str">
        <f>HYPERLINK("https://www.ncbi.nlm.nih.gov/nuccore/HM596271","NCBI Nucleotide")</f>
        <v>NCBI Nucleotide</v>
      </c>
    </row>
    <row r="4668" spans="1:27" x14ac:dyDescent="0.35">
      <c r="A4668">
        <v>1024846</v>
      </c>
      <c r="B4668">
        <v>4644</v>
      </c>
      <c r="C4668">
        <v>1</v>
      </c>
      <c r="D4668" s="17" t="s">
        <v>155</v>
      </c>
      <c r="E4668" s="17"/>
      <c r="F4668" s="17" t="s">
        <v>156</v>
      </c>
      <c r="G4668" s="17"/>
      <c r="H4668" s="17" t="s">
        <v>692</v>
      </c>
      <c r="I4668" s="17"/>
      <c r="J4668" s="17" t="s">
        <v>693</v>
      </c>
      <c r="K4668" s="17"/>
      <c r="L4668" s="17"/>
      <c r="M4668" s="17"/>
      <c r="N4668" s="17"/>
      <c r="O4668" s="17"/>
      <c r="P4668" s="17" t="s">
        <v>40028</v>
      </c>
      <c r="Q4668" s="17"/>
      <c r="R4668" s="25" t="str">
        <f>HYPERLINK("https://ictv.global/taxonomy/taxondetails?taxnode_id=202319384","Serbinvirus opt155")</f>
        <v>Serbinvirus opt155</v>
      </c>
      <c r="S4668" s="18" t="s">
        <v>30</v>
      </c>
      <c r="T4668" s="18" t="s">
        <v>40029</v>
      </c>
      <c r="U4668" s="18"/>
      <c r="V4668" s="18"/>
      <c r="W4668" s="18" t="s">
        <v>48569</v>
      </c>
      <c r="X4668" s="18" t="s">
        <v>42</v>
      </c>
      <c r="Y4668" s="18" t="s">
        <v>36</v>
      </c>
      <c r="Z4668" s="18" t="s">
        <v>697</v>
      </c>
      <c r="AA4668" s="21" t="str">
        <f>HYPERLINK("https://www.ncbi.nlm.nih.gov/nuccore/OL539452","NCBI Nucleotide")</f>
        <v>NCBI Nucleotide</v>
      </c>
    </row>
    <row r="4669" spans="1:27" x14ac:dyDescent="0.35">
      <c r="A4669">
        <v>1024847</v>
      </c>
      <c r="B4669">
        <v>4645</v>
      </c>
      <c r="C4669">
        <v>1</v>
      </c>
      <c r="D4669" s="17" t="s">
        <v>155</v>
      </c>
      <c r="E4669" s="17"/>
      <c r="F4669" s="17" t="s">
        <v>156</v>
      </c>
      <c r="G4669" s="17"/>
      <c r="H4669" s="17" t="s">
        <v>692</v>
      </c>
      <c r="I4669" s="17"/>
      <c r="J4669" s="17" t="s">
        <v>693</v>
      </c>
      <c r="K4669" s="17"/>
      <c r="L4669" s="17"/>
      <c r="M4669" s="17"/>
      <c r="N4669" s="17"/>
      <c r="O4669" s="17"/>
      <c r="P4669" s="17" t="s">
        <v>40028</v>
      </c>
      <c r="Q4669" s="17"/>
      <c r="R4669" s="25" t="str">
        <f>HYPERLINK("https://ictv.global/taxonomy/taxondetails?taxnode_id=202319382","Serbinvirus serbin")</f>
        <v>Serbinvirus serbin</v>
      </c>
      <c r="S4669" s="18" t="s">
        <v>30</v>
      </c>
      <c r="T4669" s="18" t="s">
        <v>40030</v>
      </c>
      <c r="U4669" s="18"/>
      <c r="V4669" s="18"/>
      <c r="W4669" s="18" t="s">
        <v>48570</v>
      </c>
      <c r="X4669" s="18" t="s">
        <v>42</v>
      </c>
      <c r="Y4669" s="18" t="s">
        <v>36</v>
      </c>
      <c r="Z4669" s="18" t="s">
        <v>697</v>
      </c>
      <c r="AA4669" s="21" t="str">
        <f>HYPERLINK("https://www.ncbi.nlm.nih.gov/nuccore/MK608336","NCBI Nucleotide")</f>
        <v>NCBI Nucleotide</v>
      </c>
    </row>
    <row r="4670" spans="1:27" x14ac:dyDescent="0.35">
      <c r="A4670">
        <v>1024848</v>
      </c>
      <c r="B4670">
        <v>4646</v>
      </c>
      <c r="C4670">
        <v>1</v>
      </c>
      <c r="D4670" s="17" t="s">
        <v>155</v>
      </c>
      <c r="E4670" s="17"/>
      <c r="F4670" s="17" t="s">
        <v>156</v>
      </c>
      <c r="G4670" s="17"/>
      <c r="H4670" s="17" t="s">
        <v>692</v>
      </c>
      <c r="I4670" s="17"/>
      <c r="J4670" s="17" t="s">
        <v>693</v>
      </c>
      <c r="K4670" s="17"/>
      <c r="L4670" s="17"/>
      <c r="M4670" s="17"/>
      <c r="N4670" s="17"/>
      <c r="O4670" s="17"/>
      <c r="P4670" s="17" t="s">
        <v>40028</v>
      </c>
      <c r="Q4670" s="17"/>
      <c r="R4670" s="25" t="str">
        <f>HYPERLINK("https://ictv.global/taxonomy/taxondetails?taxnode_id=202319383","Serbinvirus tlacuache")</f>
        <v>Serbinvirus tlacuache</v>
      </c>
      <c r="S4670" s="18" t="s">
        <v>30</v>
      </c>
      <c r="T4670" s="18" t="s">
        <v>40031</v>
      </c>
      <c r="U4670" s="18"/>
      <c r="V4670" s="18"/>
      <c r="W4670" s="18" t="s">
        <v>48571</v>
      </c>
      <c r="X4670" s="18" t="s">
        <v>42</v>
      </c>
      <c r="Y4670" s="18" t="s">
        <v>36</v>
      </c>
      <c r="Z4670" s="18" t="s">
        <v>697</v>
      </c>
      <c r="AA4670" s="21" t="str">
        <f>HYPERLINK("https://www.ncbi.nlm.nih.gov/nuccore/OK499995","NCBI Nucleotide")</f>
        <v>NCBI Nucleotide</v>
      </c>
    </row>
    <row r="4671" spans="1:27" x14ac:dyDescent="0.35">
      <c r="A4671">
        <v>1024849</v>
      </c>
      <c r="B4671">
        <v>4647</v>
      </c>
      <c r="C4671">
        <v>1</v>
      </c>
      <c r="D4671" s="17" t="s">
        <v>155</v>
      </c>
      <c r="E4671" s="17"/>
      <c r="F4671" s="17" t="s">
        <v>156</v>
      </c>
      <c r="G4671" s="17"/>
      <c r="H4671" s="17" t="s">
        <v>692</v>
      </c>
      <c r="I4671" s="17"/>
      <c r="J4671" s="17" t="s">
        <v>693</v>
      </c>
      <c r="K4671" s="17"/>
      <c r="L4671" s="17"/>
      <c r="M4671" s="17"/>
      <c r="N4671" s="17"/>
      <c r="O4671" s="17"/>
      <c r="P4671" s="17" t="s">
        <v>40032</v>
      </c>
      <c r="Q4671" s="17"/>
      <c r="R4671" s="25" t="str">
        <f>HYPERLINK("https://ictv.global/taxonomy/taxondetails?taxnode_id=202319381","Seretavirus eta")</f>
        <v>Seretavirus eta</v>
      </c>
      <c r="S4671" s="18" t="s">
        <v>30</v>
      </c>
      <c r="T4671" s="18" t="s">
        <v>40033</v>
      </c>
      <c r="U4671" s="18"/>
      <c r="V4671" s="18"/>
      <c r="W4671" s="18" t="s">
        <v>40034</v>
      </c>
      <c r="X4671" s="18" t="s">
        <v>42</v>
      </c>
      <c r="Y4671" s="18" t="s">
        <v>36</v>
      </c>
      <c r="Z4671" s="18" t="s">
        <v>697</v>
      </c>
      <c r="AA4671" s="21" t="str">
        <f>HYPERLINK("https://www.ncbi.nlm.nih.gov/nuccore/KC460990","NCBI Nucleotide")</f>
        <v>NCBI Nucleotide</v>
      </c>
    </row>
    <row r="4672" spans="1:27" x14ac:dyDescent="0.35">
      <c r="A4672">
        <v>1006440</v>
      </c>
      <c r="B4672">
        <v>4648</v>
      </c>
      <c r="C4672">
        <v>1</v>
      </c>
      <c r="D4672" s="17" t="s">
        <v>155</v>
      </c>
      <c r="E4672" s="17"/>
      <c r="F4672" s="17" t="s">
        <v>156</v>
      </c>
      <c r="G4672" s="17"/>
      <c r="H4672" s="17" t="s">
        <v>692</v>
      </c>
      <c r="I4672" s="17"/>
      <c r="J4672" s="17" t="s">
        <v>693</v>
      </c>
      <c r="K4672" s="17"/>
      <c r="L4672" s="17"/>
      <c r="M4672" s="17"/>
      <c r="N4672" s="17"/>
      <c r="O4672" s="17"/>
      <c r="P4672" s="17" t="s">
        <v>3590</v>
      </c>
      <c r="Q4672" s="17"/>
      <c r="R4672" s="25" t="str">
        <f>HYPERLINK("https://ictv.global/taxonomy/taxondetails?taxnode_id=202314784","Serwervirus 201phi21")</f>
        <v>Serwervirus 201phi21</v>
      </c>
      <c r="S4672" s="18" t="s">
        <v>30</v>
      </c>
      <c r="T4672" s="18" t="s">
        <v>3591</v>
      </c>
      <c r="U4672" s="18"/>
      <c r="V4672" s="18"/>
      <c r="W4672" s="18" t="s">
        <v>3592</v>
      </c>
      <c r="X4672" s="18" t="s">
        <v>42</v>
      </c>
      <c r="Y4672" s="18" t="s">
        <v>36</v>
      </c>
      <c r="Z4672" s="18" t="s">
        <v>697</v>
      </c>
      <c r="AA4672" s="21" t="str">
        <f>HYPERLINK("https://www.ncbi.nlm.nih.gov/nuccore/EU197055","NCBI Nucleotide")</f>
        <v>NCBI Nucleotide</v>
      </c>
    </row>
    <row r="4673" spans="1:27" x14ac:dyDescent="0.35">
      <c r="A4673">
        <v>1006441</v>
      </c>
      <c r="B4673">
        <v>4649</v>
      </c>
      <c r="C4673">
        <v>1</v>
      </c>
      <c r="D4673" s="17" t="s">
        <v>155</v>
      </c>
      <c r="E4673" s="17"/>
      <c r="F4673" s="17" t="s">
        <v>156</v>
      </c>
      <c r="G4673" s="17"/>
      <c r="H4673" s="17" t="s">
        <v>692</v>
      </c>
      <c r="I4673" s="17"/>
      <c r="J4673" s="17" t="s">
        <v>693</v>
      </c>
      <c r="K4673" s="17"/>
      <c r="L4673" s="17"/>
      <c r="M4673" s="17"/>
      <c r="N4673" s="17"/>
      <c r="O4673" s="17"/>
      <c r="P4673" s="17" t="s">
        <v>3593</v>
      </c>
      <c r="Q4673" s="17"/>
      <c r="R4673" s="25" t="str">
        <f>HYPERLINK("https://ictv.global/taxonomy/taxondetails?taxnode_id=202308035","Seussvirus seuss")</f>
        <v>Seussvirus seuss</v>
      </c>
      <c r="S4673" s="18" t="s">
        <v>30</v>
      </c>
      <c r="T4673" s="18" t="s">
        <v>3594</v>
      </c>
      <c r="U4673" s="18"/>
      <c r="V4673" s="18"/>
      <c r="W4673" s="18" t="s">
        <v>3595</v>
      </c>
      <c r="X4673" s="18" t="s">
        <v>42</v>
      </c>
      <c r="Y4673" s="18" t="s">
        <v>36</v>
      </c>
      <c r="Z4673" s="18" t="s">
        <v>697</v>
      </c>
      <c r="AA4673" s="21" t="str">
        <f>HYPERLINK("https://www.ncbi.nlm.nih.gov/nuccore/KT001914","NCBI Nucleotide")</f>
        <v>NCBI Nucleotide</v>
      </c>
    </row>
    <row r="4674" spans="1:27" x14ac:dyDescent="0.35">
      <c r="A4674">
        <v>1006442</v>
      </c>
      <c r="B4674">
        <v>4650</v>
      </c>
      <c r="C4674">
        <v>1</v>
      </c>
      <c r="D4674" s="17" t="s">
        <v>155</v>
      </c>
      <c r="E4674" s="17"/>
      <c r="F4674" s="17" t="s">
        <v>156</v>
      </c>
      <c r="G4674" s="17"/>
      <c r="H4674" s="17" t="s">
        <v>692</v>
      </c>
      <c r="I4674" s="17"/>
      <c r="J4674" s="17" t="s">
        <v>693</v>
      </c>
      <c r="K4674" s="17"/>
      <c r="L4674" s="17"/>
      <c r="M4674" s="17"/>
      <c r="N4674" s="17"/>
      <c r="O4674" s="17"/>
      <c r="P4674" s="17" t="s">
        <v>3596</v>
      </c>
      <c r="Q4674" s="17"/>
      <c r="R4674" s="25" t="str">
        <f>HYPERLINK("https://ictv.global/taxonomy/taxondetails?taxnode_id=202301264","Sextaecvirus SEP9")</f>
        <v>Sextaecvirus SEP9</v>
      </c>
      <c r="S4674" s="18" t="s">
        <v>30</v>
      </c>
      <c r="T4674" s="18" t="s">
        <v>3597</v>
      </c>
      <c r="U4674" s="18"/>
      <c r="V4674" s="18"/>
      <c r="W4674" s="18" t="s">
        <v>3598</v>
      </c>
      <c r="X4674" s="18" t="s">
        <v>42</v>
      </c>
      <c r="Y4674" s="18" t="s">
        <v>36</v>
      </c>
      <c r="Z4674" s="18" t="s">
        <v>697</v>
      </c>
      <c r="AA4674" s="21" t="str">
        <f>HYPERLINK("https://www.ncbi.nlm.nih.gov/nuccore/KF929199","NCBI Nucleotide")</f>
        <v>NCBI Nucleotide</v>
      </c>
    </row>
    <row r="4675" spans="1:27" x14ac:dyDescent="0.35">
      <c r="A4675">
        <v>1006443</v>
      </c>
      <c r="B4675">
        <v>4651</v>
      </c>
      <c r="C4675">
        <v>1</v>
      </c>
      <c r="D4675" s="17" t="s">
        <v>155</v>
      </c>
      <c r="E4675" s="17"/>
      <c r="F4675" s="17" t="s">
        <v>156</v>
      </c>
      <c r="G4675" s="17"/>
      <c r="H4675" s="17" t="s">
        <v>692</v>
      </c>
      <c r="I4675" s="17"/>
      <c r="J4675" s="17" t="s">
        <v>693</v>
      </c>
      <c r="K4675" s="17"/>
      <c r="L4675" s="17"/>
      <c r="M4675" s="17"/>
      <c r="N4675" s="17"/>
      <c r="O4675" s="17"/>
      <c r="P4675" s="17" t="s">
        <v>3596</v>
      </c>
      <c r="Q4675" s="17"/>
      <c r="R4675" s="25" t="str">
        <f>HYPERLINK("https://ictv.global/taxonomy/taxondetails?taxnode_id=202301265","Sextaecvirus sextaec")</f>
        <v>Sextaecvirus sextaec</v>
      </c>
      <c r="S4675" s="18" t="s">
        <v>30</v>
      </c>
      <c r="T4675" s="18" t="s">
        <v>3599</v>
      </c>
      <c r="U4675" s="18"/>
      <c r="V4675" s="18"/>
      <c r="W4675" s="18" t="s">
        <v>3600</v>
      </c>
      <c r="X4675" s="18" t="s">
        <v>42</v>
      </c>
      <c r="Y4675" s="18" t="s">
        <v>36</v>
      </c>
      <c r="Z4675" s="18" t="s">
        <v>697</v>
      </c>
      <c r="AA4675" s="21" t="str">
        <f>HYPERLINK("https://www.ncbi.nlm.nih.gov/nuccore/KJ804259","NCBI Nucleotide")</f>
        <v>NCBI Nucleotide</v>
      </c>
    </row>
    <row r="4676" spans="1:27" x14ac:dyDescent="0.35">
      <c r="A4676">
        <v>1006444</v>
      </c>
      <c r="B4676">
        <v>4652</v>
      </c>
      <c r="C4676">
        <v>1</v>
      </c>
      <c r="D4676" s="17" t="s">
        <v>155</v>
      </c>
      <c r="E4676" s="17"/>
      <c r="F4676" s="17" t="s">
        <v>156</v>
      </c>
      <c r="G4676" s="17"/>
      <c r="H4676" s="17" t="s">
        <v>692</v>
      </c>
      <c r="I4676" s="17"/>
      <c r="J4676" s="17" t="s">
        <v>693</v>
      </c>
      <c r="K4676" s="17"/>
      <c r="L4676" s="17"/>
      <c r="M4676" s="17"/>
      <c r="N4676" s="17"/>
      <c r="O4676" s="17"/>
      <c r="P4676" s="17" t="s">
        <v>3601</v>
      </c>
      <c r="Q4676" s="17"/>
      <c r="R4676" s="25" t="str">
        <f>HYPERLINK("https://ictv.global/taxonomy/taxondetails?taxnode_id=202314881","Sfunavirus SF1")</f>
        <v>Sfunavirus SF1</v>
      </c>
      <c r="S4676" s="18" t="s">
        <v>30</v>
      </c>
      <c r="T4676" s="18" t="s">
        <v>3602</v>
      </c>
      <c r="U4676" s="18"/>
      <c r="V4676" s="18"/>
      <c r="W4676" s="18" t="s">
        <v>3603</v>
      </c>
      <c r="X4676" s="18" t="s">
        <v>42</v>
      </c>
      <c r="Y4676" s="18" t="s">
        <v>36</v>
      </c>
      <c r="Z4676" s="18" t="s">
        <v>697</v>
      </c>
      <c r="AA4676" s="21" t="str">
        <f>HYPERLINK("https://www.ncbi.nlm.nih.gov/nuccore/KT221033","NCBI Nucleotide")</f>
        <v>NCBI Nucleotide</v>
      </c>
    </row>
    <row r="4677" spans="1:27" x14ac:dyDescent="0.35">
      <c r="A4677">
        <v>1006445</v>
      </c>
      <c r="B4677">
        <v>4653</v>
      </c>
      <c r="C4677">
        <v>1</v>
      </c>
      <c r="D4677" s="17" t="s">
        <v>155</v>
      </c>
      <c r="E4677" s="17"/>
      <c r="F4677" s="17" t="s">
        <v>156</v>
      </c>
      <c r="G4677" s="17"/>
      <c r="H4677" s="17" t="s">
        <v>692</v>
      </c>
      <c r="I4677" s="17"/>
      <c r="J4677" s="17" t="s">
        <v>693</v>
      </c>
      <c r="K4677" s="17"/>
      <c r="L4677" s="17"/>
      <c r="M4677" s="17"/>
      <c r="N4677" s="17"/>
      <c r="O4677" s="17"/>
      <c r="P4677" s="17" t="s">
        <v>3604</v>
      </c>
      <c r="Q4677" s="17"/>
      <c r="R4677" s="25" t="str">
        <f>HYPERLINK("https://ictv.global/taxonomy/taxondetails?taxnode_id=202311856","Shandongvirus H101")</f>
        <v>Shandongvirus H101</v>
      </c>
      <c r="S4677" s="18" t="s">
        <v>30</v>
      </c>
      <c r="T4677" s="18" t="s">
        <v>3605</v>
      </c>
      <c r="U4677" s="18"/>
      <c r="V4677" s="18"/>
      <c r="W4677" s="18" t="s">
        <v>3606</v>
      </c>
      <c r="X4677" s="18" t="s">
        <v>42</v>
      </c>
      <c r="Y4677" s="18" t="s">
        <v>36</v>
      </c>
      <c r="Z4677" s="18" t="s">
        <v>697</v>
      </c>
      <c r="AA4677" s="21" t="str">
        <f>HYPERLINK("https://www.ncbi.nlm.nih.gov/nuccore/KR534323","NCBI Nucleotide")</f>
        <v>NCBI Nucleotide</v>
      </c>
    </row>
    <row r="4678" spans="1:27" x14ac:dyDescent="0.35">
      <c r="A4678">
        <v>1006446</v>
      </c>
      <c r="B4678">
        <v>4654</v>
      </c>
      <c r="C4678">
        <v>1</v>
      </c>
      <c r="D4678" s="17" t="s">
        <v>155</v>
      </c>
      <c r="E4678" s="17"/>
      <c r="F4678" s="17" t="s">
        <v>156</v>
      </c>
      <c r="G4678" s="17"/>
      <c r="H4678" s="17" t="s">
        <v>692</v>
      </c>
      <c r="I4678" s="17"/>
      <c r="J4678" s="17" t="s">
        <v>693</v>
      </c>
      <c r="K4678" s="17"/>
      <c r="L4678" s="17"/>
      <c r="M4678" s="17"/>
      <c r="N4678" s="17"/>
      <c r="O4678" s="17"/>
      <c r="P4678" s="17" t="s">
        <v>3607</v>
      </c>
      <c r="Q4678" s="17"/>
      <c r="R4678" s="25" t="str">
        <f>HYPERLINK("https://ictv.global/taxonomy/taxondetails?taxnode_id=202313614","Sheenvirus Sheen")</f>
        <v>Sheenvirus Sheen</v>
      </c>
      <c r="S4678" s="18" t="s">
        <v>30</v>
      </c>
      <c r="T4678" s="18" t="s">
        <v>3608</v>
      </c>
      <c r="U4678" s="18"/>
      <c r="V4678" s="18"/>
      <c r="W4678" s="18" t="s">
        <v>3609</v>
      </c>
      <c r="X4678" s="18" t="s">
        <v>42</v>
      </c>
      <c r="Y4678" s="18" t="s">
        <v>36</v>
      </c>
      <c r="Z4678" s="18" t="s">
        <v>697</v>
      </c>
      <c r="AA4678" s="21" t="str">
        <f>HYPERLINK("https://www.ncbi.nlm.nih.gov/nuccore/KP273225","NCBI Nucleotide")</f>
        <v>NCBI Nucleotide</v>
      </c>
    </row>
    <row r="4679" spans="1:27" x14ac:dyDescent="0.35">
      <c r="A4679">
        <v>1006448</v>
      </c>
      <c r="B4679">
        <v>4655</v>
      </c>
      <c r="C4679">
        <v>1</v>
      </c>
      <c r="D4679" s="17" t="s">
        <v>155</v>
      </c>
      <c r="E4679" s="17"/>
      <c r="F4679" s="17" t="s">
        <v>156</v>
      </c>
      <c r="G4679" s="17"/>
      <c r="H4679" s="17" t="s">
        <v>692</v>
      </c>
      <c r="I4679" s="17"/>
      <c r="J4679" s="17" t="s">
        <v>693</v>
      </c>
      <c r="K4679" s="17"/>
      <c r="L4679" s="17"/>
      <c r="M4679" s="17"/>
      <c r="N4679" s="17"/>
      <c r="O4679" s="17"/>
      <c r="P4679" s="17" t="s">
        <v>3610</v>
      </c>
      <c r="Q4679" s="17"/>
      <c r="R4679" s="25" t="str">
        <f>HYPERLINK("https://ictv.global/taxonomy/taxondetails?taxnode_id=202309896","Sherbrookevirus CD506")</f>
        <v>Sherbrookevirus CD506</v>
      </c>
      <c r="S4679" s="18" t="s">
        <v>30</v>
      </c>
      <c r="T4679" s="18" t="s">
        <v>3613</v>
      </c>
      <c r="U4679" s="18"/>
      <c r="V4679" s="18"/>
      <c r="W4679" s="18" t="s">
        <v>3614</v>
      </c>
      <c r="X4679" s="18" t="s">
        <v>42</v>
      </c>
      <c r="Y4679" s="18" t="s">
        <v>36</v>
      </c>
      <c r="Z4679" s="18" t="s">
        <v>697</v>
      </c>
      <c r="AA4679" s="21" t="str">
        <f>HYPERLINK("https://www.ncbi.nlm.nih.gov/nuccore/LN681540","NCBI Nucleotide")</f>
        <v>NCBI Nucleotide</v>
      </c>
    </row>
    <row r="4680" spans="1:27" x14ac:dyDescent="0.35">
      <c r="A4680">
        <v>1006447</v>
      </c>
      <c r="B4680">
        <v>4656</v>
      </c>
      <c r="C4680">
        <v>1</v>
      </c>
      <c r="D4680" s="17" t="s">
        <v>155</v>
      </c>
      <c r="E4680" s="17"/>
      <c r="F4680" s="17" t="s">
        <v>156</v>
      </c>
      <c r="G4680" s="17"/>
      <c r="H4680" s="17" t="s">
        <v>692</v>
      </c>
      <c r="I4680" s="17"/>
      <c r="J4680" s="17" t="s">
        <v>693</v>
      </c>
      <c r="K4680" s="17"/>
      <c r="L4680" s="17"/>
      <c r="M4680" s="17"/>
      <c r="N4680" s="17"/>
      <c r="O4680" s="17"/>
      <c r="P4680" s="17" t="s">
        <v>3610</v>
      </c>
      <c r="Q4680" s="17"/>
      <c r="R4680" s="25" t="str">
        <f>HYPERLINK("https://ictv.global/taxonomy/taxondetails?taxnode_id=202309893","Sherbrookevirus CD4811")</f>
        <v>Sherbrookevirus CD4811</v>
      </c>
      <c r="S4680" s="18" t="s">
        <v>30</v>
      </c>
      <c r="T4680" s="18" t="s">
        <v>3611</v>
      </c>
      <c r="U4680" s="18"/>
      <c r="V4680" s="18"/>
      <c r="W4680" s="18" t="s">
        <v>3612</v>
      </c>
      <c r="X4680" s="18" t="s">
        <v>42</v>
      </c>
      <c r="Y4680" s="18" t="s">
        <v>36</v>
      </c>
      <c r="Z4680" s="18" t="s">
        <v>697</v>
      </c>
      <c r="AA4680" s="21" t="str">
        <f>HYPERLINK("https://www.ncbi.nlm.nih.gov/nuccore/LN681538","NCBI Nucleotide")</f>
        <v>NCBI Nucleotide</v>
      </c>
    </row>
    <row r="4681" spans="1:27" x14ac:dyDescent="0.35">
      <c r="A4681">
        <v>1006449</v>
      </c>
      <c r="B4681">
        <v>4657</v>
      </c>
      <c r="C4681">
        <v>1</v>
      </c>
      <c r="D4681" s="17" t="s">
        <v>155</v>
      </c>
      <c r="E4681" s="17"/>
      <c r="F4681" s="17" t="s">
        <v>156</v>
      </c>
      <c r="G4681" s="17"/>
      <c r="H4681" s="17" t="s">
        <v>692</v>
      </c>
      <c r="I4681" s="17"/>
      <c r="J4681" s="17" t="s">
        <v>693</v>
      </c>
      <c r="K4681" s="17"/>
      <c r="L4681" s="17"/>
      <c r="M4681" s="17"/>
      <c r="N4681" s="17"/>
      <c r="O4681" s="17"/>
      <c r="P4681" s="17" t="s">
        <v>3610</v>
      </c>
      <c r="Q4681" s="17"/>
      <c r="R4681" s="25" t="str">
        <f>HYPERLINK("https://ictv.global/taxonomy/taxondetails?taxnode_id=202309895","Sherbrookevirus CDHM11")</f>
        <v>Sherbrookevirus CDHM11</v>
      </c>
      <c r="S4681" s="18" t="s">
        <v>30</v>
      </c>
      <c r="T4681" s="18" t="s">
        <v>3615</v>
      </c>
      <c r="U4681" s="18"/>
      <c r="V4681" s="18"/>
      <c r="W4681" s="18" t="s">
        <v>3616</v>
      </c>
      <c r="X4681" s="18" t="s">
        <v>42</v>
      </c>
      <c r="Y4681" s="18" t="s">
        <v>36</v>
      </c>
      <c r="Z4681" s="18" t="s">
        <v>697</v>
      </c>
      <c r="AA4681" s="21" t="str">
        <f>HYPERLINK("https://www.ncbi.nlm.nih.gov/nuccore/HG798901","NCBI Nucleotide")</f>
        <v>NCBI Nucleotide</v>
      </c>
    </row>
    <row r="4682" spans="1:27" x14ac:dyDescent="0.35">
      <c r="A4682">
        <v>1006450</v>
      </c>
      <c r="B4682">
        <v>4658</v>
      </c>
      <c r="C4682">
        <v>1</v>
      </c>
      <c r="D4682" s="17" t="s">
        <v>155</v>
      </c>
      <c r="E4682" s="17"/>
      <c r="F4682" s="17" t="s">
        <v>156</v>
      </c>
      <c r="G4682" s="17"/>
      <c r="H4682" s="17" t="s">
        <v>692</v>
      </c>
      <c r="I4682" s="17"/>
      <c r="J4682" s="17" t="s">
        <v>693</v>
      </c>
      <c r="K4682" s="17"/>
      <c r="L4682" s="17"/>
      <c r="M4682" s="17"/>
      <c r="N4682" s="17"/>
      <c r="O4682" s="17"/>
      <c r="P4682" s="17" t="s">
        <v>3610</v>
      </c>
      <c r="Q4682" s="17"/>
      <c r="R4682" s="25" t="str">
        <f>HYPERLINK("https://ictv.global/taxonomy/taxondetails?taxnode_id=202309892","Sherbrookevirus CDHM13")</f>
        <v>Sherbrookevirus CDHM13</v>
      </c>
      <c r="S4682" s="18" t="s">
        <v>30</v>
      </c>
      <c r="T4682" s="18" t="s">
        <v>3617</v>
      </c>
      <c r="U4682" s="18"/>
      <c r="V4682" s="18"/>
      <c r="W4682" s="18" t="s">
        <v>3618</v>
      </c>
      <c r="X4682" s="18" t="s">
        <v>42</v>
      </c>
      <c r="Y4682" s="18" t="s">
        <v>36</v>
      </c>
      <c r="Z4682" s="18" t="s">
        <v>697</v>
      </c>
      <c r="AA4682" s="21" t="str">
        <f>HYPERLINK("https://www.ncbi.nlm.nih.gov/nuccore/HG796225","NCBI Nucleotide")</f>
        <v>NCBI Nucleotide</v>
      </c>
    </row>
    <row r="4683" spans="1:27" x14ac:dyDescent="0.35">
      <c r="A4683">
        <v>1006451</v>
      </c>
      <c r="B4683">
        <v>4659</v>
      </c>
      <c r="C4683">
        <v>1</v>
      </c>
      <c r="D4683" s="17" t="s">
        <v>155</v>
      </c>
      <c r="E4683" s="17"/>
      <c r="F4683" s="17" t="s">
        <v>156</v>
      </c>
      <c r="G4683" s="17"/>
      <c r="H4683" s="17" t="s">
        <v>692</v>
      </c>
      <c r="I4683" s="17"/>
      <c r="J4683" s="17" t="s">
        <v>693</v>
      </c>
      <c r="K4683" s="17"/>
      <c r="L4683" s="17"/>
      <c r="M4683" s="17"/>
      <c r="N4683" s="17"/>
      <c r="O4683" s="17"/>
      <c r="P4683" s="17" t="s">
        <v>3610</v>
      </c>
      <c r="Q4683" s="17"/>
      <c r="R4683" s="25" t="str">
        <f>HYPERLINK("https://ictv.global/taxonomy/taxondetails?taxnode_id=202309894","Sherbrookevirus CDHM14")</f>
        <v>Sherbrookevirus CDHM14</v>
      </c>
      <c r="S4683" s="18" t="s">
        <v>30</v>
      </c>
      <c r="T4683" s="18" t="s">
        <v>3619</v>
      </c>
      <c r="U4683" s="18"/>
      <c r="V4683" s="18"/>
      <c r="W4683" s="18" t="s">
        <v>3620</v>
      </c>
      <c r="X4683" s="18" t="s">
        <v>42</v>
      </c>
      <c r="Y4683" s="18" t="s">
        <v>36</v>
      </c>
      <c r="Z4683" s="18" t="s">
        <v>697</v>
      </c>
      <c r="AA4683" s="21" t="str">
        <f>HYPERLINK("https://www.ncbi.nlm.nih.gov/nuccore/LK985321","NCBI Nucleotide")</f>
        <v>NCBI Nucleotide</v>
      </c>
    </row>
    <row r="4684" spans="1:27" x14ac:dyDescent="0.35">
      <c r="A4684">
        <v>1006452</v>
      </c>
      <c r="B4684">
        <v>4660</v>
      </c>
      <c r="C4684">
        <v>1</v>
      </c>
      <c r="D4684" s="17" t="s">
        <v>155</v>
      </c>
      <c r="E4684" s="17"/>
      <c r="F4684" s="17" t="s">
        <v>156</v>
      </c>
      <c r="G4684" s="17"/>
      <c r="H4684" s="17" t="s">
        <v>692</v>
      </c>
      <c r="I4684" s="17"/>
      <c r="J4684" s="17" t="s">
        <v>693</v>
      </c>
      <c r="K4684" s="17"/>
      <c r="L4684" s="17"/>
      <c r="M4684" s="17"/>
      <c r="N4684" s="17"/>
      <c r="O4684" s="17"/>
      <c r="P4684" s="17" t="s">
        <v>3610</v>
      </c>
      <c r="Q4684" s="17"/>
      <c r="R4684" s="25" t="str">
        <f>HYPERLINK("https://ictv.global/taxonomy/taxondetails?taxnode_id=202309891","Sherbrookevirus MMP04")</f>
        <v>Sherbrookevirus MMP04</v>
      </c>
      <c r="S4684" s="18" t="s">
        <v>30</v>
      </c>
      <c r="T4684" s="18" t="s">
        <v>3621</v>
      </c>
      <c r="U4684" s="18"/>
      <c r="V4684" s="18"/>
      <c r="W4684" s="18" t="s">
        <v>3622</v>
      </c>
      <c r="X4684" s="18" t="s">
        <v>42</v>
      </c>
      <c r="Y4684" s="18" t="s">
        <v>36</v>
      </c>
      <c r="Z4684" s="18" t="s">
        <v>697</v>
      </c>
      <c r="AA4684" s="21" t="str">
        <f>HYPERLINK("https://www.ncbi.nlm.nih.gov/nuccore/JX145342","NCBI Nucleotide")</f>
        <v>NCBI Nucleotide</v>
      </c>
    </row>
    <row r="4685" spans="1:27" x14ac:dyDescent="0.35">
      <c r="A4685">
        <v>1006453</v>
      </c>
      <c r="B4685">
        <v>4661</v>
      </c>
      <c r="C4685">
        <v>1</v>
      </c>
      <c r="D4685" s="17" t="s">
        <v>155</v>
      </c>
      <c r="E4685" s="17"/>
      <c r="F4685" s="17" t="s">
        <v>156</v>
      </c>
      <c r="G4685" s="17"/>
      <c r="H4685" s="17" t="s">
        <v>692</v>
      </c>
      <c r="I4685" s="17"/>
      <c r="J4685" s="17" t="s">
        <v>693</v>
      </c>
      <c r="K4685" s="17"/>
      <c r="L4685" s="17"/>
      <c r="M4685" s="17"/>
      <c r="N4685" s="17"/>
      <c r="O4685" s="17"/>
      <c r="P4685" s="17" t="s">
        <v>3623</v>
      </c>
      <c r="Q4685" s="17"/>
      <c r="R4685" s="25" t="str">
        <f>HYPERLINK("https://ictv.global/taxonomy/taxondetails?taxnode_id=202311858","Shirahamavirus PTm1")</f>
        <v>Shirahamavirus PTm1</v>
      </c>
      <c r="S4685" s="18" t="s">
        <v>30</v>
      </c>
      <c r="T4685" s="18" t="s">
        <v>3624</v>
      </c>
      <c r="U4685" s="18"/>
      <c r="V4685" s="18"/>
      <c r="W4685" s="18" t="s">
        <v>3625</v>
      </c>
      <c r="X4685" s="18" t="s">
        <v>42</v>
      </c>
      <c r="Y4685" s="18" t="s">
        <v>36</v>
      </c>
      <c r="Z4685" s="18" t="s">
        <v>697</v>
      </c>
      <c r="AA4685" s="21" t="str">
        <f>HYPERLINK("https://www.ncbi.nlm.nih.gov/nuccore/AP019524","NCBI Nucleotide")</f>
        <v>NCBI Nucleotide</v>
      </c>
    </row>
    <row r="4686" spans="1:27" x14ac:dyDescent="0.35">
      <c r="A4686">
        <v>1024856</v>
      </c>
      <c r="B4686">
        <v>4662</v>
      </c>
      <c r="C4686">
        <v>1</v>
      </c>
      <c r="D4686" s="17" t="s">
        <v>155</v>
      </c>
      <c r="E4686" s="17"/>
      <c r="F4686" s="17" t="s">
        <v>156</v>
      </c>
      <c r="G4686" s="17"/>
      <c r="H4686" s="17" t="s">
        <v>692</v>
      </c>
      <c r="I4686" s="17"/>
      <c r="J4686" s="17" t="s">
        <v>693</v>
      </c>
      <c r="K4686" s="17"/>
      <c r="L4686" s="17"/>
      <c r="M4686" s="17"/>
      <c r="N4686" s="17"/>
      <c r="O4686" s="17"/>
      <c r="P4686" s="17" t="s">
        <v>40035</v>
      </c>
      <c r="Q4686" s="17"/>
      <c r="R4686" s="25" t="str">
        <f>HYPERLINK("https://ictv.global/taxonomy/taxondetails?taxnode_id=202317769","Shockervirus shocker")</f>
        <v>Shockervirus shocker</v>
      </c>
      <c r="S4686" s="18" t="s">
        <v>30</v>
      </c>
      <c r="T4686" s="18" t="s">
        <v>40036</v>
      </c>
      <c r="U4686" s="18"/>
      <c r="V4686" s="18"/>
      <c r="W4686" s="18" t="s">
        <v>48572</v>
      </c>
      <c r="X4686" s="18" t="s">
        <v>42</v>
      </c>
      <c r="Y4686" s="18" t="s">
        <v>36</v>
      </c>
      <c r="Z4686" s="18" t="s">
        <v>697</v>
      </c>
      <c r="AA4686" s="21" t="str">
        <f>HYPERLINK("https://www.ncbi.nlm.nih.gov/nuccore/MW507126","NCBI Nucleotide")</f>
        <v>NCBI Nucleotide</v>
      </c>
    </row>
    <row r="4687" spans="1:27" x14ac:dyDescent="0.35">
      <c r="A4687">
        <v>1006454</v>
      </c>
      <c r="B4687">
        <v>4663</v>
      </c>
      <c r="C4687">
        <v>1</v>
      </c>
      <c r="D4687" s="17" t="s">
        <v>155</v>
      </c>
      <c r="E4687" s="17"/>
      <c r="F4687" s="17" t="s">
        <v>156</v>
      </c>
      <c r="G4687" s="17"/>
      <c r="H4687" s="17" t="s">
        <v>692</v>
      </c>
      <c r="I4687" s="17"/>
      <c r="J4687" s="17" t="s">
        <v>693</v>
      </c>
      <c r="K4687" s="17"/>
      <c r="L4687" s="17"/>
      <c r="M4687" s="17"/>
      <c r="N4687" s="17"/>
      <c r="O4687" s="17"/>
      <c r="P4687" s="17" t="s">
        <v>3626</v>
      </c>
      <c r="Q4687" s="17"/>
      <c r="R4687" s="25" t="str">
        <f>HYPERLINK("https://ictv.global/taxonomy/taxondetails?taxnode_id=202314959","Shoyavirus shoya")</f>
        <v>Shoyavirus shoya</v>
      </c>
      <c r="S4687" s="18" t="s">
        <v>30</v>
      </c>
      <c r="T4687" s="18" t="s">
        <v>3627</v>
      </c>
      <c r="U4687" s="18"/>
      <c r="V4687" s="18"/>
      <c r="W4687" s="18" t="s">
        <v>3628</v>
      </c>
      <c r="X4687" s="18" t="s">
        <v>42</v>
      </c>
      <c r="Y4687" s="18" t="s">
        <v>36</v>
      </c>
      <c r="Z4687" s="18" t="s">
        <v>697</v>
      </c>
      <c r="AA4687" s="21" t="str">
        <f>HYPERLINK("https://www.ncbi.nlm.nih.gov/nuccore/MN908684","NCBI Nucleotide")</f>
        <v>NCBI Nucleotide</v>
      </c>
    </row>
    <row r="4688" spans="1:27" x14ac:dyDescent="0.35">
      <c r="A4688">
        <v>1006455</v>
      </c>
      <c r="B4688">
        <v>4664</v>
      </c>
      <c r="C4688">
        <v>1</v>
      </c>
      <c r="D4688" s="17" t="s">
        <v>155</v>
      </c>
      <c r="E4688" s="17"/>
      <c r="F4688" s="17" t="s">
        <v>156</v>
      </c>
      <c r="G4688" s="17"/>
      <c r="H4688" s="17" t="s">
        <v>692</v>
      </c>
      <c r="I4688" s="17"/>
      <c r="J4688" s="17" t="s">
        <v>693</v>
      </c>
      <c r="K4688" s="17"/>
      <c r="L4688" s="17"/>
      <c r="M4688" s="17"/>
      <c r="N4688" s="17"/>
      <c r="O4688" s="17"/>
      <c r="P4688" s="17" t="s">
        <v>3629</v>
      </c>
      <c r="Q4688" s="17"/>
      <c r="R4688" s="25" t="str">
        <f>HYPERLINK("https://ictv.global/taxonomy/taxondetails?taxnode_id=202313637","Shuimuvirus IME207")</f>
        <v>Shuimuvirus IME207</v>
      </c>
      <c r="S4688" s="18" t="s">
        <v>30</v>
      </c>
      <c r="T4688" s="18" t="s">
        <v>3630</v>
      </c>
      <c r="U4688" s="18"/>
      <c r="V4688" s="18"/>
      <c r="W4688" s="18" t="s">
        <v>3631</v>
      </c>
      <c r="X4688" s="18" t="s">
        <v>42</v>
      </c>
      <c r="Y4688" s="18" t="s">
        <v>36</v>
      </c>
      <c r="Z4688" s="18" t="s">
        <v>697</v>
      </c>
      <c r="AA4688" s="21" t="str">
        <f>HYPERLINK("https://www.ncbi.nlm.nih.gov/nuccore/KX523699","NCBI Nucleotide")</f>
        <v>NCBI Nucleotide</v>
      </c>
    </row>
    <row r="4689" spans="1:27" x14ac:dyDescent="0.35">
      <c r="A4689">
        <v>1006456</v>
      </c>
      <c r="B4689">
        <v>4665</v>
      </c>
      <c r="C4689">
        <v>1</v>
      </c>
      <c r="D4689" s="17" t="s">
        <v>155</v>
      </c>
      <c r="E4689" s="17"/>
      <c r="F4689" s="17" t="s">
        <v>156</v>
      </c>
      <c r="G4689" s="17"/>
      <c r="H4689" s="17" t="s">
        <v>692</v>
      </c>
      <c r="I4689" s="17"/>
      <c r="J4689" s="17" t="s">
        <v>693</v>
      </c>
      <c r="K4689" s="17"/>
      <c r="L4689" s="17"/>
      <c r="M4689" s="17"/>
      <c r="N4689" s="17"/>
      <c r="O4689" s="17"/>
      <c r="P4689" s="17" t="s">
        <v>3632</v>
      </c>
      <c r="Q4689" s="17"/>
      <c r="R4689" s="25" t="str">
        <f>HYPERLINK("https://ictv.global/taxonomy/taxondetails?taxnode_id=202314854","Siatvirus Lz245")</f>
        <v>Siatvirus Lz245</v>
      </c>
      <c r="S4689" s="18" t="s">
        <v>30</v>
      </c>
      <c r="T4689" s="18" t="s">
        <v>3633</v>
      </c>
      <c r="U4689" s="18"/>
      <c r="V4689" s="18"/>
      <c r="W4689" s="18" t="s">
        <v>3634</v>
      </c>
      <c r="X4689" s="18" t="s">
        <v>42</v>
      </c>
      <c r="Y4689" s="18" t="s">
        <v>36</v>
      </c>
      <c r="Z4689" s="18" t="s">
        <v>697</v>
      </c>
      <c r="AA4689" s="21" t="str">
        <f>HYPERLINK("https://www.ncbi.nlm.nih.gov/nuccore/MN871446","NCBI Nucleotide")</f>
        <v>NCBI Nucleotide</v>
      </c>
    </row>
    <row r="4690" spans="1:27" x14ac:dyDescent="0.35">
      <c r="A4690">
        <v>1006457</v>
      </c>
      <c r="B4690">
        <v>4666</v>
      </c>
      <c r="C4690">
        <v>1</v>
      </c>
      <c r="D4690" s="17" t="s">
        <v>155</v>
      </c>
      <c r="E4690" s="17"/>
      <c r="F4690" s="17" t="s">
        <v>156</v>
      </c>
      <c r="G4690" s="17"/>
      <c r="H4690" s="17" t="s">
        <v>692</v>
      </c>
      <c r="I4690" s="17"/>
      <c r="J4690" s="17" t="s">
        <v>693</v>
      </c>
      <c r="K4690" s="17"/>
      <c r="L4690" s="17"/>
      <c r="M4690" s="17"/>
      <c r="N4690" s="17"/>
      <c r="O4690" s="17"/>
      <c r="P4690" s="17" t="s">
        <v>3635</v>
      </c>
      <c r="Q4690" s="17"/>
      <c r="R4690" s="25" t="str">
        <f>HYPERLINK("https://ictv.global/taxonomy/taxondetails?taxnode_id=202314924","Sidiousvirus sidious")</f>
        <v>Sidiousvirus sidious</v>
      </c>
      <c r="S4690" s="18" t="s">
        <v>30</v>
      </c>
      <c r="T4690" s="18" t="s">
        <v>3636</v>
      </c>
      <c r="U4690" s="18"/>
      <c r="V4690" s="18"/>
      <c r="W4690" s="18" t="s">
        <v>3637</v>
      </c>
      <c r="X4690" s="18" t="s">
        <v>42</v>
      </c>
      <c r="Y4690" s="18" t="s">
        <v>36</v>
      </c>
      <c r="Z4690" s="18" t="s">
        <v>697</v>
      </c>
      <c r="AA4690" s="21" t="str">
        <f>HYPERLINK("https://www.ncbi.nlm.nih.gov/nuccore/MK967384","NCBI Nucleotide")</f>
        <v>NCBI Nucleotide</v>
      </c>
    </row>
    <row r="4691" spans="1:27" x14ac:dyDescent="0.35">
      <c r="A4691">
        <v>1006458</v>
      </c>
      <c r="B4691">
        <v>4667</v>
      </c>
      <c r="C4691">
        <v>1</v>
      </c>
      <c r="D4691" s="17" t="s">
        <v>155</v>
      </c>
      <c r="E4691" s="17"/>
      <c r="F4691" s="17" t="s">
        <v>156</v>
      </c>
      <c r="G4691" s="17"/>
      <c r="H4691" s="17" t="s">
        <v>692</v>
      </c>
      <c r="I4691" s="17"/>
      <c r="J4691" s="17" t="s">
        <v>693</v>
      </c>
      <c r="K4691" s="17"/>
      <c r="L4691" s="17"/>
      <c r="M4691" s="17"/>
      <c r="N4691" s="17"/>
      <c r="O4691" s="17"/>
      <c r="P4691" s="17" t="s">
        <v>3638</v>
      </c>
      <c r="Q4691" s="17"/>
      <c r="R4691" s="25" t="str">
        <f>HYPERLINK("https://ictv.global/taxonomy/taxondetails?taxnode_id=202314882","Siftrevirus SF3")</f>
        <v>Siftrevirus SF3</v>
      </c>
      <c r="S4691" s="18" t="s">
        <v>30</v>
      </c>
      <c r="T4691" s="18" t="s">
        <v>3639</v>
      </c>
      <c r="U4691" s="18"/>
      <c r="V4691" s="18"/>
      <c r="W4691" s="18" t="s">
        <v>3640</v>
      </c>
      <c r="X4691" s="18" t="s">
        <v>42</v>
      </c>
      <c r="Y4691" s="18" t="s">
        <v>36</v>
      </c>
      <c r="Z4691" s="18" t="s">
        <v>697</v>
      </c>
      <c r="AA4691" s="21" t="str">
        <f>HYPERLINK("https://www.ncbi.nlm.nih.gov/nuccore/KT221034","NCBI Nucleotide")</f>
        <v>NCBI Nucleotide</v>
      </c>
    </row>
    <row r="4692" spans="1:27" x14ac:dyDescent="0.35">
      <c r="A4692">
        <v>1006459</v>
      </c>
      <c r="B4692">
        <v>4668</v>
      </c>
      <c r="C4692">
        <v>1</v>
      </c>
      <c r="D4692" s="17" t="s">
        <v>155</v>
      </c>
      <c r="E4692" s="17"/>
      <c r="F4692" s="17" t="s">
        <v>156</v>
      </c>
      <c r="G4692" s="17"/>
      <c r="H4692" s="17" t="s">
        <v>692</v>
      </c>
      <c r="I4692" s="17"/>
      <c r="J4692" s="17" t="s">
        <v>693</v>
      </c>
      <c r="K4692" s="17"/>
      <c r="L4692" s="17"/>
      <c r="M4692" s="17"/>
      <c r="N4692" s="17"/>
      <c r="O4692" s="17"/>
      <c r="P4692" s="17" t="s">
        <v>3641</v>
      </c>
      <c r="Q4692" s="17"/>
      <c r="R4692" s="25" t="str">
        <f>HYPERLINK("https://ictv.global/taxonomy/taxondetails?taxnode_id=202314856","Silentrexvirus silentrx")</f>
        <v>Silentrexvirus silentrx</v>
      </c>
      <c r="S4692" s="18" t="s">
        <v>30</v>
      </c>
      <c r="T4692" s="18" t="s">
        <v>3642</v>
      </c>
      <c r="U4692" s="18"/>
      <c r="V4692" s="18"/>
      <c r="W4692" s="18" t="s">
        <v>3643</v>
      </c>
      <c r="X4692" s="18" t="s">
        <v>42</v>
      </c>
      <c r="Y4692" s="18" t="s">
        <v>36</v>
      </c>
      <c r="Z4692" s="18" t="s">
        <v>697</v>
      </c>
      <c r="AA4692" s="21" t="str">
        <f>HYPERLINK("https://www.ncbi.nlm.nih.gov/nuccore/MW862992","NCBI Nucleotide")</f>
        <v>NCBI Nucleotide</v>
      </c>
    </row>
    <row r="4693" spans="1:27" x14ac:dyDescent="0.35">
      <c r="A4693">
        <v>1006460</v>
      </c>
      <c r="B4693">
        <v>4669</v>
      </c>
      <c r="C4693">
        <v>1</v>
      </c>
      <c r="D4693" s="17" t="s">
        <v>155</v>
      </c>
      <c r="E4693" s="17"/>
      <c r="F4693" s="17" t="s">
        <v>156</v>
      </c>
      <c r="G4693" s="17"/>
      <c r="H4693" s="17" t="s">
        <v>692</v>
      </c>
      <c r="I4693" s="17"/>
      <c r="J4693" s="17" t="s">
        <v>693</v>
      </c>
      <c r="K4693" s="17"/>
      <c r="L4693" s="17"/>
      <c r="M4693" s="17"/>
      <c r="N4693" s="17"/>
      <c r="O4693" s="17"/>
      <c r="P4693" s="17" t="s">
        <v>3644</v>
      </c>
      <c r="Q4693" s="17"/>
      <c r="R4693" s="25" t="str">
        <f>HYPERLINK("https://ictv.global/taxonomy/taxondetails?taxnode_id=202314971","Sixamavirus sixama")</f>
        <v>Sixamavirus sixama</v>
      </c>
      <c r="S4693" s="18" t="s">
        <v>30</v>
      </c>
      <c r="T4693" s="18" t="s">
        <v>3645</v>
      </c>
      <c r="U4693" s="18"/>
      <c r="V4693" s="18"/>
      <c r="W4693" s="18" t="s">
        <v>3646</v>
      </c>
      <c r="X4693" s="18" t="s">
        <v>42</v>
      </c>
      <c r="Y4693" s="18" t="s">
        <v>36</v>
      </c>
      <c r="Z4693" s="18" t="s">
        <v>697</v>
      </c>
      <c r="AA4693" s="21" t="str">
        <f>HYPERLINK("https://www.ncbi.nlm.nih.gov/nuccore/MN484601","NCBI Nucleotide")</f>
        <v>NCBI Nucleotide</v>
      </c>
    </row>
    <row r="4694" spans="1:27" x14ac:dyDescent="0.35">
      <c r="A4694">
        <v>1006461</v>
      </c>
      <c r="B4694">
        <v>4670</v>
      </c>
      <c r="C4694">
        <v>1</v>
      </c>
      <c r="D4694" s="17" t="s">
        <v>155</v>
      </c>
      <c r="E4694" s="17"/>
      <c r="F4694" s="17" t="s">
        <v>156</v>
      </c>
      <c r="G4694" s="17"/>
      <c r="H4694" s="17" t="s">
        <v>692</v>
      </c>
      <c r="I4694" s="17"/>
      <c r="J4694" s="17" t="s">
        <v>693</v>
      </c>
      <c r="K4694" s="17"/>
      <c r="L4694" s="17"/>
      <c r="M4694" s="17"/>
      <c r="N4694" s="17"/>
      <c r="O4694" s="17"/>
      <c r="P4694" s="17" t="s">
        <v>3647</v>
      </c>
      <c r="Q4694" s="17"/>
      <c r="R4694" s="25" t="str">
        <f>HYPERLINK("https://ictv.global/taxonomy/taxondetails?taxnode_id=202307993","Skarprettervirus skarpretter")</f>
        <v>Skarprettervirus skarpretter</v>
      </c>
      <c r="S4694" s="18" t="s">
        <v>30</v>
      </c>
      <c r="T4694" s="18" t="s">
        <v>3648</v>
      </c>
      <c r="U4694" s="18"/>
      <c r="V4694" s="18"/>
      <c r="W4694" s="18" t="s">
        <v>3649</v>
      </c>
      <c r="X4694" s="18" t="s">
        <v>42</v>
      </c>
      <c r="Y4694" s="18" t="s">
        <v>36</v>
      </c>
      <c r="Z4694" s="18" t="s">
        <v>697</v>
      </c>
      <c r="AA4694" s="21" t="str">
        <f>HYPERLINK("https://www.ncbi.nlm.nih.gov/nuccore/MK105855","NCBI Nucleotide")</f>
        <v>NCBI Nucleotide</v>
      </c>
    </row>
    <row r="4695" spans="1:27" x14ac:dyDescent="0.35">
      <c r="A4695">
        <v>1006462</v>
      </c>
      <c r="B4695">
        <v>4671</v>
      </c>
      <c r="C4695">
        <v>1</v>
      </c>
      <c r="D4695" s="17" t="s">
        <v>155</v>
      </c>
      <c r="E4695" s="17"/>
      <c r="F4695" s="17" t="s">
        <v>156</v>
      </c>
      <c r="G4695" s="17"/>
      <c r="H4695" s="17" t="s">
        <v>692</v>
      </c>
      <c r="I4695" s="17"/>
      <c r="J4695" s="17" t="s">
        <v>693</v>
      </c>
      <c r="K4695" s="17"/>
      <c r="L4695" s="17"/>
      <c r="M4695" s="17"/>
      <c r="N4695" s="17"/>
      <c r="O4695" s="17"/>
      <c r="P4695" s="17" t="s">
        <v>3650</v>
      </c>
      <c r="Q4695" s="17"/>
      <c r="R4695" s="25" t="str">
        <f>HYPERLINK("https://ictv.global/taxonomy/taxondetails?taxnode_id=202313629","Skatevirus BS5")</f>
        <v>Skatevirus BS5</v>
      </c>
      <c r="S4695" s="18" t="s">
        <v>30</v>
      </c>
      <c r="T4695" s="18" t="s">
        <v>3651</v>
      </c>
      <c r="U4695" s="18"/>
      <c r="V4695" s="18"/>
      <c r="W4695" s="18" t="s">
        <v>3652</v>
      </c>
      <c r="X4695" s="18" t="s">
        <v>42</v>
      </c>
      <c r="Y4695" s="18" t="s">
        <v>36</v>
      </c>
      <c r="Z4695" s="18" t="s">
        <v>697</v>
      </c>
      <c r="AA4695" s="21" t="str">
        <f>HYPERLINK("https://www.ncbi.nlm.nih.gov/nuccore/MN692673","NCBI Nucleotide")</f>
        <v>NCBI Nucleotide</v>
      </c>
    </row>
    <row r="4696" spans="1:27" x14ac:dyDescent="0.35">
      <c r="A4696">
        <v>1006463</v>
      </c>
      <c r="B4696">
        <v>4672</v>
      </c>
      <c r="C4696">
        <v>1</v>
      </c>
      <c r="D4696" s="17" t="s">
        <v>155</v>
      </c>
      <c r="E4696" s="17"/>
      <c r="F4696" s="17" t="s">
        <v>156</v>
      </c>
      <c r="G4696" s="17"/>
      <c r="H4696" s="17" t="s">
        <v>692</v>
      </c>
      <c r="I4696" s="17"/>
      <c r="J4696" s="17" t="s">
        <v>693</v>
      </c>
      <c r="K4696" s="17"/>
      <c r="L4696" s="17"/>
      <c r="M4696" s="17"/>
      <c r="N4696" s="17"/>
      <c r="O4696" s="17"/>
      <c r="P4696" s="17" t="s">
        <v>3650</v>
      </c>
      <c r="Q4696" s="17"/>
      <c r="R4696" s="25" t="str">
        <f>HYPERLINK("https://ictv.global/taxonomy/taxondetails?taxnode_id=202313624","Skatevirus KFSSE2")</f>
        <v>Skatevirus KFSSE2</v>
      </c>
      <c r="S4696" s="18" t="s">
        <v>30</v>
      </c>
      <c r="T4696" s="18" t="s">
        <v>3653</v>
      </c>
      <c r="U4696" s="18"/>
      <c r="V4696" s="18"/>
      <c r="W4696" s="18" t="s">
        <v>3654</v>
      </c>
      <c r="X4696" s="18" t="s">
        <v>42</v>
      </c>
      <c r="Y4696" s="18" t="s">
        <v>36</v>
      </c>
      <c r="Z4696" s="18" t="s">
        <v>697</v>
      </c>
      <c r="AA4696" s="21" t="str">
        <f>HYPERLINK("https://www.ncbi.nlm.nih.gov/nuccore/MK112901","NCBI Nucleotide")</f>
        <v>NCBI Nucleotide</v>
      </c>
    </row>
    <row r="4697" spans="1:27" x14ac:dyDescent="0.35">
      <c r="A4697">
        <v>1006464</v>
      </c>
      <c r="B4697">
        <v>4673</v>
      </c>
      <c r="C4697">
        <v>1</v>
      </c>
      <c r="D4697" s="17" t="s">
        <v>155</v>
      </c>
      <c r="E4697" s="17"/>
      <c r="F4697" s="17" t="s">
        <v>156</v>
      </c>
      <c r="G4697" s="17"/>
      <c r="H4697" s="17" t="s">
        <v>692</v>
      </c>
      <c r="I4697" s="17"/>
      <c r="J4697" s="17" t="s">
        <v>693</v>
      </c>
      <c r="K4697" s="17"/>
      <c r="L4697" s="17"/>
      <c r="M4697" s="17"/>
      <c r="N4697" s="17"/>
      <c r="O4697" s="17"/>
      <c r="P4697" s="17" t="s">
        <v>3650</v>
      </c>
      <c r="Q4697" s="17"/>
      <c r="R4697" s="25" t="str">
        <f>HYPERLINK("https://ictv.global/taxonomy/taxondetails?taxnode_id=202313628","Skatevirus LPST10")</f>
        <v>Skatevirus LPST10</v>
      </c>
      <c r="S4697" s="18" t="s">
        <v>30</v>
      </c>
      <c r="T4697" s="18" t="s">
        <v>3655</v>
      </c>
      <c r="U4697" s="18"/>
      <c r="V4697" s="18"/>
      <c r="W4697" s="18" t="s">
        <v>3656</v>
      </c>
      <c r="X4697" s="18" t="s">
        <v>42</v>
      </c>
      <c r="Y4697" s="18" t="s">
        <v>36</v>
      </c>
      <c r="Z4697" s="18" t="s">
        <v>697</v>
      </c>
      <c r="AA4697" s="21" t="str">
        <f>HYPERLINK("https://www.ncbi.nlm.nih.gov/nuccore/KY860935","NCBI Nucleotide")</f>
        <v>NCBI Nucleotide</v>
      </c>
    </row>
    <row r="4698" spans="1:27" x14ac:dyDescent="0.35">
      <c r="A4698">
        <v>1006465</v>
      </c>
      <c r="B4698">
        <v>4674</v>
      </c>
      <c r="C4698">
        <v>1</v>
      </c>
      <c r="D4698" s="17" t="s">
        <v>155</v>
      </c>
      <c r="E4698" s="17"/>
      <c r="F4698" s="17" t="s">
        <v>156</v>
      </c>
      <c r="G4698" s="17"/>
      <c r="H4698" s="17" t="s">
        <v>692</v>
      </c>
      <c r="I4698" s="17"/>
      <c r="J4698" s="17" t="s">
        <v>693</v>
      </c>
      <c r="K4698" s="17"/>
      <c r="L4698" s="17"/>
      <c r="M4698" s="17"/>
      <c r="N4698" s="17"/>
      <c r="O4698" s="17"/>
      <c r="P4698" s="17" t="s">
        <v>3650</v>
      </c>
      <c r="Q4698" s="17"/>
      <c r="R4698" s="25" t="str">
        <f>HYPERLINK("https://ictv.global/taxonomy/taxondetails?taxnode_id=202313626","Skatevirus SeSz2")</f>
        <v>Skatevirus SeSz2</v>
      </c>
      <c r="S4698" s="18" t="s">
        <v>30</v>
      </c>
      <c r="T4698" s="18" t="s">
        <v>3657</v>
      </c>
      <c r="U4698" s="18"/>
      <c r="V4698" s="18"/>
      <c r="W4698" s="18" t="s">
        <v>3658</v>
      </c>
      <c r="X4698" s="18" t="s">
        <v>42</v>
      </c>
      <c r="Y4698" s="18" t="s">
        <v>36</v>
      </c>
      <c r="Z4698" s="18" t="s">
        <v>697</v>
      </c>
      <c r="AA4698" s="21" t="str">
        <f>HYPERLINK("https://www.ncbi.nlm.nih.gov/nuccore/MH791412","NCBI Nucleotide")</f>
        <v>NCBI Nucleotide</v>
      </c>
    </row>
    <row r="4699" spans="1:27" x14ac:dyDescent="0.35">
      <c r="A4699">
        <v>1006466</v>
      </c>
      <c r="B4699">
        <v>4675</v>
      </c>
      <c r="C4699">
        <v>1</v>
      </c>
      <c r="D4699" s="17" t="s">
        <v>155</v>
      </c>
      <c r="E4699" s="17"/>
      <c r="F4699" s="17" t="s">
        <v>156</v>
      </c>
      <c r="G4699" s="17"/>
      <c r="H4699" s="17" t="s">
        <v>692</v>
      </c>
      <c r="I4699" s="17"/>
      <c r="J4699" s="17" t="s">
        <v>693</v>
      </c>
      <c r="K4699" s="17"/>
      <c r="L4699" s="17"/>
      <c r="M4699" s="17"/>
      <c r="N4699" s="17"/>
      <c r="O4699" s="17"/>
      <c r="P4699" s="17" t="s">
        <v>3650</v>
      </c>
      <c r="Q4699" s="17"/>
      <c r="R4699" s="25" t="str">
        <f>HYPERLINK("https://ictv.global/taxonomy/taxondetails?taxnode_id=202313625","Skatevirus Seszw1")</f>
        <v>Skatevirus Seszw1</v>
      </c>
      <c r="S4699" s="18" t="s">
        <v>30</v>
      </c>
      <c r="T4699" s="18" t="s">
        <v>3659</v>
      </c>
      <c r="U4699" s="18"/>
      <c r="V4699" s="18"/>
      <c r="W4699" s="18" t="s">
        <v>3660</v>
      </c>
      <c r="X4699" s="18" t="s">
        <v>42</v>
      </c>
      <c r="Y4699" s="18" t="s">
        <v>36</v>
      </c>
      <c r="Z4699" s="18" t="s">
        <v>697</v>
      </c>
      <c r="AA4699" s="21" t="str">
        <f>HYPERLINK("https://www.ncbi.nlm.nih.gov/nuccore/MH791410","NCBI Nucleotide")</f>
        <v>NCBI Nucleotide</v>
      </c>
    </row>
    <row r="4700" spans="1:27" x14ac:dyDescent="0.35">
      <c r="A4700">
        <v>1006467</v>
      </c>
      <c r="B4700">
        <v>4676</v>
      </c>
      <c r="C4700">
        <v>1</v>
      </c>
      <c r="D4700" s="17" t="s">
        <v>155</v>
      </c>
      <c r="E4700" s="17"/>
      <c r="F4700" s="17" t="s">
        <v>156</v>
      </c>
      <c r="G4700" s="17"/>
      <c r="H4700" s="17" t="s">
        <v>692</v>
      </c>
      <c r="I4700" s="17"/>
      <c r="J4700" s="17" t="s">
        <v>693</v>
      </c>
      <c r="K4700" s="17"/>
      <c r="L4700" s="17"/>
      <c r="M4700" s="17"/>
      <c r="N4700" s="17"/>
      <c r="O4700" s="17"/>
      <c r="P4700" s="17" t="s">
        <v>3650</v>
      </c>
      <c r="Q4700" s="17"/>
      <c r="R4700" s="25" t="str">
        <f>HYPERLINK("https://ictv.global/taxonomy/taxondetails?taxnode_id=202313623","Skatevirus skate")</f>
        <v>Skatevirus skate</v>
      </c>
      <c r="S4700" s="18" t="s">
        <v>30</v>
      </c>
      <c r="T4700" s="18" t="s">
        <v>3661</v>
      </c>
      <c r="U4700" s="18"/>
      <c r="V4700" s="18"/>
      <c r="W4700" s="18" t="s">
        <v>3662</v>
      </c>
      <c r="X4700" s="18" t="s">
        <v>42</v>
      </c>
      <c r="Y4700" s="18" t="s">
        <v>36</v>
      </c>
      <c r="Z4700" s="18" t="s">
        <v>697</v>
      </c>
      <c r="AA4700" s="21" t="str">
        <f>HYPERLINK("https://www.ncbi.nlm.nih.gov/nuccore/MH321493","NCBI Nucleotide")</f>
        <v>NCBI Nucleotide</v>
      </c>
    </row>
    <row r="4701" spans="1:27" x14ac:dyDescent="0.35">
      <c r="A4701">
        <v>1006468</v>
      </c>
      <c r="B4701">
        <v>4677</v>
      </c>
      <c r="C4701">
        <v>1</v>
      </c>
      <c r="D4701" s="17" t="s">
        <v>155</v>
      </c>
      <c r="E4701" s="17"/>
      <c r="F4701" s="17" t="s">
        <v>156</v>
      </c>
      <c r="G4701" s="17"/>
      <c r="H4701" s="17" t="s">
        <v>692</v>
      </c>
      <c r="I4701" s="17"/>
      <c r="J4701" s="17" t="s">
        <v>693</v>
      </c>
      <c r="K4701" s="17"/>
      <c r="L4701" s="17"/>
      <c r="M4701" s="17"/>
      <c r="N4701" s="17"/>
      <c r="O4701" s="17"/>
      <c r="P4701" s="17" t="s">
        <v>3650</v>
      </c>
      <c r="Q4701" s="17"/>
      <c r="R4701" s="25" t="str">
        <f>HYPERLINK("https://ictv.global/taxonomy/taxondetails?taxnode_id=202313627","Skatevirus VSt472")</f>
        <v>Skatevirus VSt472</v>
      </c>
      <c r="S4701" s="18" t="s">
        <v>30</v>
      </c>
      <c r="T4701" s="18" t="s">
        <v>3663</v>
      </c>
      <c r="U4701" s="18"/>
      <c r="V4701" s="18"/>
      <c r="W4701" s="18" t="s">
        <v>3664</v>
      </c>
      <c r="X4701" s="18" t="s">
        <v>42</v>
      </c>
      <c r="Y4701" s="18" t="s">
        <v>36</v>
      </c>
      <c r="Z4701" s="18" t="s">
        <v>697</v>
      </c>
      <c r="AA4701" s="21" t="str">
        <f>HYPERLINK("https://www.ncbi.nlm.nih.gov/nuccore/MH424446","NCBI Nucleotide")</f>
        <v>NCBI Nucleotide</v>
      </c>
    </row>
    <row r="4702" spans="1:27" x14ac:dyDescent="0.35">
      <c r="A4702">
        <v>1006469</v>
      </c>
      <c r="B4702">
        <v>4678</v>
      </c>
      <c r="C4702">
        <v>1</v>
      </c>
      <c r="D4702" s="17" t="s">
        <v>155</v>
      </c>
      <c r="E4702" s="17"/>
      <c r="F4702" s="17" t="s">
        <v>156</v>
      </c>
      <c r="G4702" s="17"/>
      <c r="H4702" s="17" t="s">
        <v>692</v>
      </c>
      <c r="I4702" s="17"/>
      <c r="J4702" s="17" t="s">
        <v>693</v>
      </c>
      <c r="K4702" s="17"/>
      <c r="L4702" s="17"/>
      <c r="M4702" s="17"/>
      <c r="N4702" s="17"/>
      <c r="O4702" s="17"/>
      <c r="P4702" s="17" t="s">
        <v>3665</v>
      </c>
      <c r="Q4702" s="17"/>
      <c r="R4702" s="25" t="str">
        <f>HYPERLINK("https://ictv.global/taxonomy/taxondetails?taxnode_id=202313646","Skogvirus Skog")</f>
        <v>Skogvirus Skog</v>
      </c>
      <c r="S4702" s="18" t="s">
        <v>30</v>
      </c>
      <c r="T4702" s="18" t="s">
        <v>3666</v>
      </c>
      <c r="U4702" s="18"/>
      <c r="V4702" s="18"/>
      <c r="W4702" s="18" t="s">
        <v>3667</v>
      </c>
      <c r="X4702" s="18" t="s">
        <v>42</v>
      </c>
      <c r="Y4702" s="18" t="s">
        <v>36</v>
      </c>
      <c r="Z4702" s="18" t="s">
        <v>697</v>
      </c>
      <c r="AA4702" s="21" t="str">
        <f>HYPERLINK("https://www.ncbi.nlm.nih.gov/nuccore/MN908687","NCBI Nucleotide")</f>
        <v>NCBI Nucleotide</v>
      </c>
    </row>
    <row r="4703" spans="1:27" x14ac:dyDescent="0.35">
      <c r="A4703">
        <v>1006470</v>
      </c>
      <c r="B4703">
        <v>4679</v>
      </c>
      <c r="C4703">
        <v>1</v>
      </c>
      <c r="D4703" s="17" t="s">
        <v>155</v>
      </c>
      <c r="E4703" s="17"/>
      <c r="F4703" s="17" t="s">
        <v>156</v>
      </c>
      <c r="G4703" s="17"/>
      <c r="H4703" s="17" t="s">
        <v>692</v>
      </c>
      <c r="I4703" s="17"/>
      <c r="J4703" s="17" t="s">
        <v>693</v>
      </c>
      <c r="K4703" s="17"/>
      <c r="L4703" s="17"/>
      <c r="M4703" s="17"/>
      <c r="N4703" s="17"/>
      <c r="O4703" s="17"/>
      <c r="P4703" s="17" t="s">
        <v>3668</v>
      </c>
      <c r="Q4703" s="17"/>
      <c r="R4703" s="25" t="str">
        <f>HYPERLINK("https://ictv.global/taxonomy/taxondetails?taxnode_id=202314884","Skulduggeryvirus skulduggery")</f>
        <v>Skulduggeryvirus skulduggery</v>
      </c>
      <c r="S4703" s="18" t="s">
        <v>30</v>
      </c>
      <c r="T4703" s="18" t="s">
        <v>3669</v>
      </c>
      <c r="U4703" s="18"/>
      <c r="V4703" s="18"/>
      <c r="W4703" s="18" t="s">
        <v>3670</v>
      </c>
      <c r="X4703" s="18" t="s">
        <v>42</v>
      </c>
      <c r="Y4703" s="18" t="s">
        <v>36</v>
      </c>
      <c r="Z4703" s="18" t="s">
        <v>697</v>
      </c>
      <c r="AA4703" s="21" t="str">
        <f>HYPERLINK("https://www.ncbi.nlm.nih.gov/nuccore/MF042361","NCBI Nucleotide")</f>
        <v>NCBI Nucleotide</v>
      </c>
    </row>
    <row r="4704" spans="1:27" x14ac:dyDescent="0.35">
      <c r="A4704">
        <v>1006471</v>
      </c>
      <c r="B4704">
        <v>4680</v>
      </c>
      <c r="C4704">
        <v>1</v>
      </c>
      <c r="D4704" s="17" t="s">
        <v>155</v>
      </c>
      <c r="E4704" s="17"/>
      <c r="F4704" s="17" t="s">
        <v>156</v>
      </c>
      <c r="G4704" s="17"/>
      <c r="H4704" s="17" t="s">
        <v>692</v>
      </c>
      <c r="I4704" s="17"/>
      <c r="J4704" s="17" t="s">
        <v>693</v>
      </c>
      <c r="K4704" s="17"/>
      <c r="L4704" s="17"/>
      <c r="M4704" s="17"/>
      <c r="N4704" s="17"/>
      <c r="O4704" s="17"/>
      <c r="P4704" s="17" t="s">
        <v>3671</v>
      </c>
      <c r="Q4704" s="17"/>
      <c r="R4704" s="25" t="str">
        <f>HYPERLINK("https://ictv.global/taxonomy/taxondetails?taxnode_id=202311879","Skunavirus A16")</f>
        <v>Skunavirus A16</v>
      </c>
      <c r="S4704" s="18" t="s">
        <v>30</v>
      </c>
      <c r="T4704" s="18" t="s">
        <v>3672</v>
      </c>
      <c r="U4704" s="18"/>
      <c r="V4704" s="18"/>
      <c r="W4704" s="18" t="s">
        <v>3673</v>
      </c>
      <c r="X4704" s="18" t="s">
        <v>42</v>
      </c>
      <c r="Y4704" s="18" t="s">
        <v>36</v>
      </c>
      <c r="Z4704" s="18" t="s">
        <v>697</v>
      </c>
      <c r="AA4704" s="21" t="str">
        <f>HYPERLINK("https://www.ncbi.nlm.nih.gov/nuccore/KP793102","NCBI Nucleotide")</f>
        <v>NCBI Nucleotide</v>
      </c>
    </row>
    <row r="4705" spans="1:27" x14ac:dyDescent="0.35">
      <c r="A4705">
        <v>1006472</v>
      </c>
      <c r="B4705">
        <v>4681</v>
      </c>
      <c r="C4705">
        <v>1</v>
      </c>
      <c r="D4705" s="17" t="s">
        <v>155</v>
      </c>
      <c r="E4705" s="17"/>
      <c r="F4705" s="17" t="s">
        <v>156</v>
      </c>
      <c r="G4705" s="17"/>
      <c r="H4705" s="17" t="s">
        <v>692</v>
      </c>
      <c r="I4705" s="17"/>
      <c r="J4705" s="17" t="s">
        <v>693</v>
      </c>
      <c r="K4705" s="17"/>
      <c r="L4705" s="17"/>
      <c r="M4705" s="17"/>
      <c r="N4705" s="17"/>
      <c r="O4705" s="17"/>
      <c r="P4705" s="17" t="s">
        <v>3671</v>
      </c>
      <c r="Q4705" s="17"/>
      <c r="R4705" s="25" t="str">
        <f>HYPERLINK("https://ictv.global/taxonomy/taxondetails?taxnode_id=202301287","Skunavirus ASCC191")</f>
        <v>Skunavirus ASCC191</v>
      </c>
      <c r="S4705" s="18" t="s">
        <v>30</v>
      </c>
      <c r="T4705" s="18" t="s">
        <v>3674</v>
      </c>
      <c r="U4705" s="18"/>
      <c r="V4705" s="18"/>
      <c r="W4705" s="18" t="s">
        <v>3675</v>
      </c>
      <c r="X4705" s="18" t="s">
        <v>42</v>
      </c>
      <c r="Y4705" s="18" t="s">
        <v>36</v>
      </c>
      <c r="Z4705" s="18" t="s">
        <v>697</v>
      </c>
      <c r="AA4705" s="21" t="str">
        <f>HYPERLINK("https://www.ncbi.nlm.nih.gov/nuccore/JQ740787","NCBI Nucleotide")</f>
        <v>NCBI Nucleotide</v>
      </c>
    </row>
    <row r="4706" spans="1:27" x14ac:dyDescent="0.35">
      <c r="A4706">
        <v>1006473</v>
      </c>
      <c r="B4706">
        <v>4682</v>
      </c>
      <c r="C4706">
        <v>1</v>
      </c>
      <c r="D4706" s="17" t="s">
        <v>155</v>
      </c>
      <c r="E4706" s="17"/>
      <c r="F4706" s="17" t="s">
        <v>156</v>
      </c>
      <c r="G4706" s="17"/>
      <c r="H4706" s="17" t="s">
        <v>692</v>
      </c>
      <c r="I4706" s="17"/>
      <c r="J4706" s="17" t="s">
        <v>693</v>
      </c>
      <c r="K4706" s="17"/>
      <c r="L4706" s="17"/>
      <c r="M4706" s="17"/>
      <c r="N4706" s="17"/>
      <c r="O4706" s="17"/>
      <c r="P4706" s="17" t="s">
        <v>3671</v>
      </c>
      <c r="Q4706" s="17"/>
      <c r="R4706" s="25" t="str">
        <f>HYPERLINK("https://ictv.global/taxonomy/taxondetails?taxnode_id=202301288","Skunavirus ASCC273")</f>
        <v>Skunavirus ASCC273</v>
      </c>
      <c r="S4706" s="18" t="s">
        <v>30</v>
      </c>
      <c r="T4706" s="18" t="s">
        <v>3676</v>
      </c>
      <c r="U4706" s="18"/>
      <c r="V4706" s="18"/>
      <c r="W4706" s="18" t="s">
        <v>3677</v>
      </c>
      <c r="X4706" s="18" t="s">
        <v>42</v>
      </c>
      <c r="Y4706" s="18" t="s">
        <v>36</v>
      </c>
      <c r="Z4706" s="18" t="s">
        <v>697</v>
      </c>
      <c r="AA4706" s="21" t="str">
        <f>HYPERLINK("https://www.ncbi.nlm.nih.gov/nuccore/JQ740788","NCBI Nucleotide")</f>
        <v>NCBI Nucleotide</v>
      </c>
    </row>
    <row r="4707" spans="1:27" x14ac:dyDescent="0.35">
      <c r="A4707">
        <v>1006474</v>
      </c>
      <c r="B4707">
        <v>4683</v>
      </c>
      <c r="C4707">
        <v>1</v>
      </c>
      <c r="D4707" s="17" t="s">
        <v>155</v>
      </c>
      <c r="E4707" s="17"/>
      <c r="F4707" s="17" t="s">
        <v>156</v>
      </c>
      <c r="G4707" s="17"/>
      <c r="H4707" s="17" t="s">
        <v>692</v>
      </c>
      <c r="I4707" s="17"/>
      <c r="J4707" s="17" t="s">
        <v>693</v>
      </c>
      <c r="K4707" s="17"/>
      <c r="L4707" s="17"/>
      <c r="M4707" s="17"/>
      <c r="N4707" s="17"/>
      <c r="O4707" s="17"/>
      <c r="P4707" s="17" t="s">
        <v>3671</v>
      </c>
      <c r="Q4707" s="17"/>
      <c r="R4707" s="25" t="str">
        <f>HYPERLINK("https://ictv.global/taxonomy/taxondetails?taxnode_id=202301289","Skunavirus ASCC281")</f>
        <v>Skunavirus ASCC281</v>
      </c>
      <c r="S4707" s="18" t="s">
        <v>30</v>
      </c>
      <c r="T4707" s="18" t="s">
        <v>3678</v>
      </c>
      <c r="U4707" s="18"/>
      <c r="V4707" s="18"/>
      <c r="W4707" s="18" t="s">
        <v>3679</v>
      </c>
      <c r="X4707" s="18" t="s">
        <v>42</v>
      </c>
      <c r="Y4707" s="18" t="s">
        <v>36</v>
      </c>
      <c r="Z4707" s="18" t="s">
        <v>697</v>
      </c>
      <c r="AA4707" s="21" t="str">
        <f>HYPERLINK("https://www.ncbi.nlm.nih.gov/nuccore/JQ740789","NCBI Nucleotide")</f>
        <v>NCBI Nucleotide</v>
      </c>
    </row>
    <row r="4708" spans="1:27" x14ac:dyDescent="0.35">
      <c r="A4708">
        <v>1006475</v>
      </c>
      <c r="B4708">
        <v>4684</v>
      </c>
      <c r="C4708">
        <v>1</v>
      </c>
      <c r="D4708" s="17" t="s">
        <v>155</v>
      </c>
      <c r="E4708" s="17"/>
      <c r="F4708" s="17" t="s">
        <v>156</v>
      </c>
      <c r="G4708" s="17"/>
      <c r="H4708" s="17" t="s">
        <v>692</v>
      </c>
      <c r="I4708" s="17"/>
      <c r="J4708" s="17" t="s">
        <v>693</v>
      </c>
      <c r="K4708" s="17"/>
      <c r="L4708" s="17"/>
      <c r="M4708" s="17"/>
      <c r="N4708" s="17"/>
      <c r="O4708" s="17"/>
      <c r="P4708" s="17" t="s">
        <v>3671</v>
      </c>
      <c r="Q4708" s="17"/>
      <c r="R4708" s="25" t="str">
        <f>HYPERLINK("https://ictv.global/taxonomy/taxondetails?taxnode_id=202301290","Skunavirus ASCC465")</f>
        <v>Skunavirus ASCC465</v>
      </c>
      <c r="S4708" s="18" t="s">
        <v>30</v>
      </c>
      <c r="T4708" s="18" t="s">
        <v>3680</v>
      </c>
      <c r="U4708" s="18"/>
      <c r="V4708" s="18"/>
      <c r="W4708" s="18" t="s">
        <v>3681</v>
      </c>
      <c r="X4708" s="18" t="s">
        <v>42</v>
      </c>
      <c r="Y4708" s="18" t="s">
        <v>36</v>
      </c>
      <c r="Z4708" s="18" t="s">
        <v>697</v>
      </c>
      <c r="AA4708" s="21" t="str">
        <f>HYPERLINK("https://www.ncbi.nlm.nih.gov/nuccore/JQ740804","NCBI Nucleotide")</f>
        <v>NCBI Nucleotide</v>
      </c>
    </row>
    <row r="4709" spans="1:27" x14ac:dyDescent="0.35">
      <c r="A4709">
        <v>1006476</v>
      </c>
      <c r="B4709">
        <v>4685</v>
      </c>
      <c r="C4709">
        <v>1</v>
      </c>
      <c r="D4709" s="17" t="s">
        <v>155</v>
      </c>
      <c r="E4709" s="17"/>
      <c r="F4709" s="17" t="s">
        <v>156</v>
      </c>
      <c r="G4709" s="17"/>
      <c r="H4709" s="17" t="s">
        <v>692</v>
      </c>
      <c r="I4709" s="17"/>
      <c r="J4709" s="17" t="s">
        <v>693</v>
      </c>
      <c r="K4709" s="17"/>
      <c r="L4709" s="17"/>
      <c r="M4709" s="17"/>
      <c r="N4709" s="17"/>
      <c r="O4709" s="17"/>
      <c r="P4709" s="17" t="s">
        <v>3671</v>
      </c>
      <c r="Q4709" s="17"/>
      <c r="R4709" s="25" t="str">
        <f>HYPERLINK("https://ictv.global/taxonomy/taxondetails?taxnode_id=202301291","Skunavirus ASCC532")</f>
        <v>Skunavirus ASCC532</v>
      </c>
      <c r="S4709" s="18" t="s">
        <v>30</v>
      </c>
      <c r="T4709" s="18" t="s">
        <v>3682</v>
      </c>
      <c r="U4709" s="18"/>
      <c r="V4709" s="18"/>
      <c r="W4709" s="18" t="s">
        <v>3683</v>
      </c>
      <c r="X4709" s="18" t="s">
        <v>42</v>
      </c>
      <c r="Y4709" s="18" t="s">
        <v>36</v>
      </c>
      <c r="Z4709" s="18" t="s">
        <v>697</v>
      </c>
      <c r="AA4709" s="21" t="str">
        <f>HYPERLINK("https://www.ncbi.nlm.nih.gov/nuccore/JQ740813","NCBI Nucleotide")</f>
        <v>NCBI Nucleotide</v>
      </c>
    </row>
    <row r="4710" spans="1:27" x14ac:dyDescent="0.35">
      <c r="A4710">
        <v>1006477</v>
      </c>
      <c r="B4710">
        <v>4686</v>
      </c>
      <c r="C4710">
        <v>1</v>
      </c>
      <c r="D4710" s="17" t="s">
        <v>155</v>
      </c>
      <c r="E4710" s="17"/>
      <c r="F4710" s="17" t="s">
        <v>156</v>
      </c>
      <c r="G4710" s="17"/>
      <c r="H4710" s="17" t="s">
        <v>692</v>
      </c>
      <c r="I4710" s="17"/>
      <c r="J4710" s="17" t="s">
        <v>693</v>
      </c>
      <c r="K4710" s="17"/>
      <c r="L4710" s="17"/>
      <c r="M4710" s="17"/>
      <c r="N4710" s="17"/>
      <c r="O4710" s="17"/>
      <c r="P4710" s="17" t="s">
        <v>3671</v>
      </c>
      <c r="Q4710" s="17"/>
      <c r="R4710" s="25" t="str">
        <f>HYPERLINK("https://ictv.global/taxonomy/taxondetails?taxnode_id=202311880","Skunavirus B1127")</f>
        <v>Skunavirus B1127</v>
      </c>
      <c r="S4710" s="18" t="s">
        <v>30</v>
      </c>
      <c r="T4710" s="18" t="s">
        <v>3684</v>
      </c>
      <c r="U4710" s="18"/>
      <c r="V4710" s="18"/>
      <c r="W4710" s="18" t="s">
        <v>3685</v>
      </c>
      <c r="X4710" s="18" t="s">
        <v>42</v>
      </c>
      <c r="Y4710" s="18" t="s">
        <v>36</v>
      </c>
      <c r="Z4710" s="18" t="s">
        <v>697</v>
      </c>
      <c r="AA4710" s="21" t="str">
        <f>HYPERLINK("https://www.ncbi.nlm.nih.gov/nuccore/KP793104","NCBI Nucleotide")</f>
        <v>NCBI Nucleotide</v>
      </c>
    </row>
    <row r="4711" spans="1:27" x14ac:dyDescent="0.35">
      <c r="A4711">
        <v>1006478</v>
      </c>
      <c r="B4711">
        <v>4687</v>
      </c>
      <c r="C4711">
        <v>1</v>
      </c>
      <c r="D4711" s="17" t="s">
        <v>155</v>
      </c>
      <c r="E4711" s="17"/>
      <c r="F4711" s="17" t="s">
        <v>156</v>
      </c>
      <c r="G4711" s="17"/>
      <c r="H4711" s="17" t="s">
        <v>692</v>
      </c>
      <c r="I4711" s="17"/>
      <c r="J4711" s="17" t="s">
        <v>693</v>
      </c>
      <c r="K4711" s="17"/>
      <c r="L4711" s="17"/>
      <c r="M4711" s="17"/>
      <c r="N4711" s="17"/>
      <c r="O4711" s="17"/>
      <c r="P4711" s="17" t="s">
        <v>3671</v>
      </c>
      <c r="Q4711" s="17"/>
      <c r="R4711" s="25" t="str">
        <f>HYPERLINK("https://ictv.global/taxonomy/taxondetails?taxnode_id=202301292","Skunavirus bibb29")</f>
        <v>Skunavirus bibb29</v>
      </c>
      <c r="S4711" s="18" t="s">
        <v>30</v>
      </c>
      <c r="T4711" s="18" t="s">
        <v>3686</v>
      </c>
      <c r="U4711" s="18"/>
      <c r="V4711" s="18"/>
      <c r="W4711" s="18" t="s">
        <v>3687</v>
      </c>
      <c r="X4711" s="18" t="s">
        <v>42</v>
      </c>
      <c r="Y4711" s="18" t="s">
        <v>36</v>
      </c>
      <c r="Z4711" s="18" t="s">
        <v>697</v>
      </c>
      <c r="AA4711" s="21" t="str">
        <f>HYPERLINK("https://www.ncbi.nlm.nih.gov/nuccore/EU221285","NCBI Nucleotide")</f>
        <v>NCBI Nucleotide</v>
      </c>
    </row>
    <row r="4712" spans="1:27" x14ac:dyDescent="0.35">
      <c r="A4712">
        <v>1006479</v>
      </c>
      <c r="B4712">
        <v>4688</v>
      </c>
      <c r="C4712">
        <v>1</v>
      </c>
      <c r="D4712" s="17" t="s">
        <v>155</v>
      </c>
      <c r="E4712" s="17"/>
      <c r="F4712" s="17" t="s">
        <v>156</v>
      </c>
      <c r="G4712" s="17"/>
      <c r="H4712" s="17" t="s">
        <v>692</v>
      </c>
      <c r="I4712" s="17"/>
      <c r="J4712" s="17" t="s">
        <v>693</v>
      </c>
      <c r="K4712" s="17"/>
      <c r="L4712" s="17"/>
      <c r="M4712" s="17"/>
      <c r="N4712" s="17"/>
      <c r="O4712" s="17"/>
      <c r="P4712" s="17" t="s">
        <v>3671</v>
      </c>
      <c r="Q4712" s="17"/>
      <c r="R4712" s="25" t="str">
        <f>HYPERLINK("https://ictv.global/taxonomy/taxondetails?taxnode_id=202311942","Skunavirus bIBB5g1")</f>
        <v>Skunavirus bIBB5g1</v>
      </c>
      <c r="S4712" s="18" t="s">
        <v>30</v>
      </c>
      <c r="T4712" s="18" t="s">
        <v>3688</v>
      </c>
      <c r="U4712" s="18"/>
      <c r="V4712" s="18"/>
      <c r="W4712" s="18" t="s">
        <v>3689</v>
      </c>
      <c r="X4712" s="18" t="s">
        <v>42</v>
      </c>
      <c r="Y4712" s="18" t="s">
        <v>36</v>
      </c>
      <c r="Z4712" s="18" t="s">
        <v>697</v>
      </c>
      <c r="AA4712" s="21" t="str">
        <f>HYPERLINK("https://www.ncbi.nlm.nih.gov/nuccore/MG253647","NCBI Nucleotide")</f>
        <v>NCBI Nucleotide</v>
      </c>
    </row>
    <row r="4713" spans="1:27" x14ac:dyDescent="0.35">
      <c r="A4713">
        <v>1006480</v>
      </c>
      <c r="B4713">
        <v>4689</v>
      </c>
      <c r="C4713">
        <v>1</v>
      </c>
      <c r="D4713" s="17" t="s">
        <v>155</v>
      </c>
      <c r="E4713" s="17"/>
      <c r="F4713" s="17" t="s">
        <v>156</v>
      </c>
      <c r="G4713" s="17"/>
      <c r="H4713" s="17" t="s">
        <v>692</v>
      </c>
      <c r="I4713" s="17"/>
      <c r="J4713" s="17" t="s">
        <v>693</v>
      </c>
      <c r="K4713" s="17"/>
      <c r="L4713" s="17"/>
      <c r="M4713" s="17"/>
      <c r="N4713" s="17"/>
      <c r="O4713" s="17"/>
      <c r="P4713" s="17" t="s">
        <v>3671</v>
      </c>
      <c r="Q4713" s="17"/>
      <c r="R4713" s="25" t="str">
        <f>HYPERLINK("https://ictv.global/taxonomy/taxondetails?taxnode_id=202311926","Skunavirus bIBBF12")</f>
        <v>Skunavirus bIBBF12</v>
      </c>
      <c r="S4713" s="18" t="s">
        <v>30</v>
      </c>
      <c r="T4713" s="18" t="s">
        <v>3690</v>
      </c>
      <c r="U4713" s="18"/>
      <c r="V4713" s="18"/>
      <c r="W4713" s="18" t="s">
        <v>3691</v>
      </c>
      <c r="X4713" s="18" t="s">
        <v>42</v>
      </c>
      <c r="Y4713" s="18" t="s">
        <v>36</v>
      </c>
      <c r="Z4713" s="18" t="s">
        <v>697</v>
      </c>
      <c r="AA4713" s="21" t="str">
        <f>HYPERLINK("https://www.ncbi.nlm.nih.gov/nuccore/MG253652","NCBI Nucleotide")</f>
        <v>NCBI Nucleotide</v>
      </c>
    </row>
    <row r="4714" spans="1:27" x14ac:dyDescent="0.35">
      <c r="A4714">
        <v>1006481</v>
      </c>
      <c r="B4714">
        <v>4690</v>
      </c>
      <c r="C4714">
        <v>1</v>
      </c>
      <c r="D4714" s="17" t="s">
        <v>155</v>
      </c>
      <c r="E4714" s="17"/>
      <c r="F4714" s="17" t="s">
        <v>156</v>
      </c>
      <c r="G4714" s="17"/>
      <c r="H4714" s="17" t="s">
        <v>692</v>
      </c>
      <c r="I4714" s="17"/>
      <c r="J4714" s="17" t="s">
        <v>693</v>
      </c>
      <c r="K4714" s="17"/>
      <c r="L4714" s="17"/>
      <c r="M4714" s="17"/>
      <c r="N4714" s="17"/>
      <c r="O4714" s="17"/>
      <c r="P4714" s="17" t="s">
        <v>3671</v>
      </c>
      <c r="Q4714" s="17"/>
      <c r="R4714" s="25" t="str">
        <f>HYPERLINK("https://ictv.global/taxonomy/taxondetails?taxnode_id=202301293","Skunavirus bIL170")</f>
        <v>Skunavirus bIL170</v>
      </c>
      <c r="S4714" s="18" t="s">
        <v>30</v>
      </c>
      <c r="T4714" s="18" t="s">
        <v>3692</v>
      </c>
      <c r="U4714" s="18"/>
      <c r="V4714" s="18"/>
      <c r="W4714" s="18" t="s">
        <v>3693</v>
      </c>
      <c r="X4714" s="18" t="s">
        <v>42</v>
      </c>
      <c r="Y4714" s="18" t="s">
        <v>36</v>
      </c>
      <c r="Z4714" s="18" t="s">
        <v>697</v>
      </c>
      <c r="AA4714" s="21" t="str">
        <f>HYPERLINK("https://www.ncbi.nlm.nih.gov/nuccore/AF009630","NCBI Nucleotide")</f>
        <v>NCBI Nucleotide</v>
      </c>
    </row>
    <row r="4715" spans="1:27" x14ac:dyDescent="0.35">
      <c r="A4715">
        <v>1006482</v>
      </c>
      <c r="B4715">
        <v>4691</v>
      </c>
      <c r="C4715">
        <v>1</v>
      </c>
      <c r="D4715" s="17" t="s">
        <v>155</v>
      </c>
      <c r="E4715" s="17"/>
      <c r="F4715" s="17" t="s">
        <v>156</v>
      </c>
      <c r="G4715" s="17"/>
      <c r="H4715" s="17" t="s">
        <v>692</v>
      </c>
      <c r="I4715" s="17"/>
      <c r="J4715" s="17" t="s">
        <v>693</v>
      </c>
      <c r="K4715" s="17"/>
      <c r="L4715" s="17"/>
      <c r="M4715" s="17"/>
      <c r="N4715" s="17"/>
      <c r="O4715" s="17"/>
      <c r="P4715" s="17" t="s">
        <v>3671</v>
      </c>
      <c r="Q4715" s="17"/>
      <c r="R4715" s="25" t="str">
        <f>HYPERLINK("https://ictv.global/taxonomy/taxondetails?taxnode_id=202311876","Skunavirus caseusJM1")</f>
        <v>Skunavirus caseusJM1</v>
      </c>
      <c r="S4715" s="18" t="s">
        <v>30</v>
      </c>
      <c r="T4715" s="18" t="s">
        <v>3694</v>
      </c>
      <c r="U4715" s="18"/>
      <c r="V4715" s="18"/>
      <c r="W4715" s="18" t="s">
        <v>3695</v>
      </c>
      <c r="X4715" s="18" t="s">
        <v>42</v>
      </c>
      <c r="Y4715" s="18" t="s">
        <v>36</v>
      </c>
      <c r="Z4715" s="18" t="s">
        <v>697</v>
      </c>
      <c r="AA4715" s="21" t="str">
        <f>HYPERLINK("https://www.ncbi.nlm.nih.gov/nuccore/KC522412","NCBI Nucleotide")</f>
        <v>NCBI Nucleotide</v>
      </c>
    </row>
    <row r="4716" spans="1:27" x14ac:dyDescent="0.35">
      <c r="A4716">
        <v>1006483</v>
      </c>
      <c r="B4716">
        <v>4692</v>
      </c>
      <c r="C4716">
        <v>1</v>
      </c>
      <c r="D4716" s="17" t="s">
        <v>155</v>
      </c>
      <c r="E4716" s="17"/>
      <c r="F4716" s="17" t="s">
        <v>156</v>
      </c>
      <c r="G4716" s="17"/>
      <c r="H4716" s="17" t="s">
        <v>692</v>
      </c>
      <c r="I4716" s="17"/>
      <c r="J4716" s="17" t="s">
        <v>693</v>
      </c>
      <c r="K4716" s="17"/>
      <c r="L4716" s="17"/>
      <c r="M4716" s="17"/>
      <c r="N4716" s="17"/>
      <c r="O4716" s="17"/>
      <c r="P4716" s="17" t="s">
        <v>3671</v>
      </c>
      <c r="Q4716" s="17"/>
      <c r="R4716" s="25" t="str">
        <f>HYPERLINK("https://ictv.global/taxonomy/taxondetails?taxnode_id=202301294","Skunavirus CB13")</f>
        <v>Skunavirus CB13</v>
      </c>
      <c r="S4716" s="18" t="s">
        <v>30</v>
      </c>
      <c r="T4716" s="18" t="s">
        <v>3696</v>
      </c>
      <c r="U4716" s="18"/>
      <c r="V4716" s="18"/>
      <c r="W4716" s="18" t="s">
        <v>3697</v>
      </c>
      <c r="X4716" s="18" t="s">
        <v>42</v>
      </c>
      <c r="Y4716" s="18" t="s">
        <v>36</v>
      </c>
      <c r="Z4716" s="18" t="s">
        <v>697</v>
      </c>
      <c r="AA4716" s="21" t="str">
        <f>HYPERLINK("https://www.ncbi.nlm.nih.gov/nuccore/FJ848882","NCBI Nucleotide")</f>
        <v>NCBI Nucleotide</v>
      </c>
    </row>
    <row r="4717" spans="1:27" x14ac:dyDescent="0.35">
      <c r="A4717">
        <v>1006484</v>
      </c>
      <c r="B4717">
        <v>4693</v>
      </c>
      <c r="C4717">
        <v>1</v>
      </c>
      <c r="D4717" s="17" t="s">
        <v>155</v>
      </c>
      <c r="E4717" s="17"/>
      <c r="F4717" s="17" t="s">
        <v>156</v>
      </c>
      <c r="G4717" s="17"/>
      <c r="H4717" s="17" t="s">
        <v>692</v>
      </c>
      <c r="I4717" s="17"/>
      <c r="J4717" s="17" t="s">
        <v>693</v>
      </c>
      <c r="K4717" s="17"/>
      <c r="L4717" s="17"/>
      <c r="M4717" s="17"/>
      <c r="N4717" s="17"/>
      <c r="O4717" s="17"/>
      <c r="P4717" s="17" t="s">
        <v>3671</v>
      </c>
      <c r="Q4717" s="17"/>
      <c r="R4717" s="25" t="str">
        <f>HYPERLINK("https://ictv.global/taxonomy/taxondetails?taxnode_id=202301295","Skunavirus CB14")</f>
        <v>Skunavirus CB14</v>
      </c>
      <c r="S4717" s="18" t="s">
        <v>30</v>
      </c>
      <c r="T4717" s="18" t="s">
        <v>3698</v>
      </c>
      <c r="U4717" s="18"/>
      <c r="V4717" s="18"/>
      <c r="W4717" s="18" t="s">
        <v>3699</v>
      </c>
      <c r="X4717" s="18" t="s">
        <v>42</v>
      </c>
      <c r="Y4717" s="18" t="s">
        <v>36</v>
      </c>
      <c r="Z4717" s="18" t="s">
        <v>697</v>
      </c>
      <c r="AA4717" s="21" t="str">
        <f>HYPERLINK("https://www.ncbi.nlm.nih.gov/nuccore/FJ848883","NCBI Nucleotide")</f>
        <v>NCBI Nucleotide</v>
      </c>
    </row>
    <row r="4718" spans="1:27" x14ac:dyDescent="0.35">
      <c r="A4718">
        <v>1006485</v>
      </c>
      <c r="B4718">
        <v>4694</v>
      </c>
      <c r="C4718">
        <v>1</v>
      </c>
      <c r="D4718" s="17" t="s">
        <v>155</v>
      </c>
      <c r="E4718" s="17"/>
      <c r="F4718" s="17" t="s">
        <v>156</v>
      </c>
      <c r="G4718" s="17"/>
      <c r="H4718" s="17" t="s">
        <v>692</v>
      </c>
      <c r="I4718" s="17"/>
      <c r="J4718" s="17" t="s">
        <v>693</v>
      </c>
      <c r="K4718" s="17"/>
      <c r="L4718" s="17"/>
      <c r="M4718" s="17"/>
      <c r="N4718" s="17"/>
      <c r="O4718" s="17"/>
      <c r="P4718" s="17" t="s">
        <v>3671</v>
      </c>
      <c r="Q4718" s="17"/>
      <c r="R4718" s="25" t="str">
        <f>HYPERLINK("https://ictv.global/taxonomy/taxondetails?taxnode_id=202301296","Skunavirus CB19")</f>
        <v>Skunavirus CB19</v>
      </c>
      <c r="S4718" s="18" t="s">
        <v>30</v>
      </c>
      <c r="T4718" s="18" t="s">
        <v>3700</v>
      </c>
      <c r="U4718" s="18"/>
      <c r="V4718" s="18"/>
      <c r="W4718" s="18" t="s">
        <v>3701</v>
      </c>
      <c r="X4718" s="18" t="s">
        <v>42</v>
      </c>
      <c r="Y4718" s="18" t="s">
        <v>36</v>
      </c>
      <c r="Z4718" s="18" t="s">
        <v>697</v>
      </c>
      <c r="AA4718" s="21" t="str">
        <f>HYPERLINK("https://www.ncbi.nlm.nih.gov/nuccore/FJ848884","NCBI Nucleotide")</f>
        <v>NCBI Nucleotide</v>
      </c>
    </row>
    <row r="4719" spans="1:27" x14ac:dyDescent="0.35">
      <c r="A4719">
        <v>1006489</v>
      </c>
      <c r="B4719">
        <v>4695</v>
      </c>
      <c r="C4719">
        <v>1</v>
      </c>
      <c r="D4719" s="17" t="s">
        <v>155</v>
      </c>
      <c r="E4719" s="17"/>
      <c r="F4719" s="17" t="s">
        <v>156</v>
      </c>
      <c r="G4719" s="17"/>
      <c r="H4719" s="17" t="s">
        <v>692</v>
      </c>
      <c r="I4719" s="17"/>
      <c r="J4719" s="17" t="s">
        <v>693</v>
      </c>
      <c r="K4719" s="17"/>
      <c r="L4719" s="17"/>
      <c r="M4719" s="17"/>
      <c r="N4719" s="17"/>
      <c r="O4719" s="17"/>
      <c r="P4719" s="17" t="s">
        <v>3671</v>
      </c>
      <c r="Q4719" s="17"/>
      <c r="R4719" s="25" t="str">
        <f>HYPERLINK("https://ictv.global/taxonomy/taxondetails?taxnode_id=202311936","Skunavirus CHPC52")</f>
        <v>Skunavirus CHPC52</v>
      </c>
      <c r="S4719" s="18" t="s">
        <v>30</v>
      </c>
      <c r="T4719" s="18" t="s">
        <v>3708</v>
      </c>
      <c r="U4719" s="18"/>
      <c r="V4719" s="18"/>
      <c r="W4719" s="18" t="s">
        <v>3709</v>
      </c>
      <c r="X4719" s="18" t="s">
        <v>42</v>
      </c>
      <c r="Y4719" s="18" t="s">
        <v>36</v>
      </c>
      <c r="Z4719" s="18" t="s">
        <v>697</v>
      </c>
      <c r="AA4719" s="21" t="str">
        <f>HYPERLINK("https://www.ncbi.nlm.nih.gov/nuccore/MN689519","NCBI Nucleotide")</f>
        <v>NCBI Nucleotide</v>
      </c>
    </row>
    <row r="4720" spans="1:27" x14ac:dyDescent="0.35">
      <c r="A4720">
        <v>1006486</v>
      </c>
      <c r="B4720">
        <v>4696</v>
      </c>
      <c r="C4720">
        <v>1</v>
      </c>
      <c r="D4720" s="17" t="s">
        <v>155</v>
      </c>
      <c r="E4720" s="17"/>
      <c r="F4720" s="17" t="s">
        <v>156</v>
      </c>
      <c r="G4720" s="17"/>
      <c r="H4720" s="17" t="s">
        <v>692</v>
      </c>
      <c r="I4720" s="17"/>
      <c r="J4720" s="17" t="s">
        <v>693</v>
      </c>
      <c r="K4720" s="17"/>
      <c r="L4720" s="17"/>
      <c r="M4720" s="17"/>
      <c r="N4720" s="17"/>
      <c r="O4720" s="17"/>
      <c r="P4720" s="17" t="s">
        <v>3671</v>
      </c>
      <c r="Q4720" s="17"/>
      <c r="R4720" s="25" t="str">
        <f>HYPERLINK("https://ictv.global/taxonomy/taxondetails?taxnode_id=202311933","Skunavirus CHPC129")</f>
        <v>Skunavirus CHPC129</v>
      </c>
      <c r="S4720" s="18" t="s">
        <v>30</v>
      </c>
      <c r="T4720" s="18" t="s">
        <v>3702</v>
      </c>
      <c r="U4720" s="18"/>
      <c r="V4720" s="18"/>
      <c r="W4720" s="18" t="s">
        <v>3703</v>
      </c>
      <c r="X4720" s="18" t="s">
        <v>42</v>
      </c>
      <c r="Y4720" s="18" t="s">
        <v>36</v>
      </c>
      <c r="Z4720" s="18" t="s">
        <v>697</v>
      </c>
      <c r="AA4720" s="21" t="str">
        <f>HYPERLINK("https://www.ncbi.nlm.nih.gov/nuccore/MN689514","NCBI Nucleotide")</f>
        <v>NCBI Nucleotide</v>
      </c>
    </row>
    <row r="4721" spans="1:27" x14ac:dyDescent="0.35">
      <c r="A4721">
        <v>1006487</v>
      </c>
      <c r="B4721">
        <v>4697</v>
      </c>
      <c r="C4721">
        <v>1</v>
      </c>
      <c r="D4721" s="17" t="s">
        <v>155</v>
      </c>
      <c r="E4721" s="17"/>
      <c r="F4721" s="17" t="s">
        <v>156</v>
      </c>
      <c r="G4721" s="17"/>
      <c r="H4721" s="17" t="s">
        <v>692</v>
      </c>
      <c r="I4721" s="17"/>
      <c r="J4721" s="17" t="s">
        <v>693</v>
      </c>
      <c r="K4721" s="17"/>
      <c r="L4721" s="17"/>
      <c r="M4721" s="17"/>
      <c r="N4721" s="17"/>
      <c r="O4721" s="17"/>
      <c r="P4721" s="17" t="s">
        <v>3671</v>
      </c>
      <c r="Q4721" s="17"/>
      <c r="R4721" s="25" t="str">
        <f>HYPERLINK("https://ictv.global/taxonomy/taxondetails?taxnode_id=202311934","Skunavirus CHPC361")</f>
        <v>Skunavirus CHPC361</v>
      </c>
      <c r="S4721" s="18" t="s">
        <v>30</v>
      </c>
      <c r="T4721" s="18" t="s">
        <v>3704</v>
      </c>
      <c r="U4721" s="18"/>
      <c r="V4721" s="18"/>
      <c r="W4721" s="18" t="s">
        <v>3705</v>
      </c>
      <c r="X4721" s="18" t="s">
        <v>42</v>
      </c>
      <c r="Y4721" s="18" t="s">
        <v>36</v>
      </c>
      <c r="Z4721" s="18" t="s">
        <v>697</v>
      </c>
      <c r="AA4721" s="21" t="str">
        <f>HYPERLINK("https://www.ncbi.nlm.nih.gov/nuccore/MN689517","NCBI Nucleotide")</f>
        <v>NCBI Nucleotide</v>
      </c>
    </row>
    <row r="4722" spans="1:27" x14ac:dyDescent="0.35">
      <c r="A4722">
        <v>1006488</v>
      </c>
      <c r="B4722">
        <v>4698</v>
      </c>
      <c r="C4722">
        <v>1</v>
      </c>
      <c r="D4722" s="17" t="s">
        <v>155</v>
      </c>
      <c r="E4722" s="17"/>
      <c r="F4722" s="17" t="s">
        <v>156</v>
      </c>
      <c r="G4722" s="17"/>
      <c r="H4722" s="17" t="s">
        <v>692</v>
      </c>
      <c r="I4722" s="17"/>
      <c r="J4722" s="17" t="s">
        <v>693</v>
      </c>
      <c r="K4722" s="17"/>
      <c r="L4722" s="17"/>
      <c r="M4722" s="17"/>
      <c r="N4722" s="17"/>
      <c r="O4722" s="17"/>
      <c r="P4722" s="17" t="s">
        <v>3671</v>
      </c>
      <c r="Q4722" s="17"/>
      <c r="R4722" s="25" t="str">
        <f>HYPERLINK("https://ictv.global/taxonomy/taxondetails?taxnode_id=202311935","Skunavirus CHPC362")</f>
        <v>Skunavirus CHPC362</v>
      </c>
      <c r="S4722" s="18" t="s">
        <v>30</v>
      </c>
      <c r="T4722" s="18" t="s">
        <v>3706</v>
      </c>
      <c r="U4722" s="18"/>
      <c r="V4722" s="18"/>
      <c r="W4722" s="18" t="s">
        <v>3707</v>
      </c>
      <c r="X4722" s="18" t="s">
        <v>42</v>
      </c>
      <c r="Y4722" s="18" t="s">
        <v>36</v>
      </c>
      <c r="Z4722" s="18" t="s">
        <v>697</v>
      </c>
      <c r="AA4722" s="21" t="str">
        <f>HYPERLINK("https://www.ncbi.nlm.nih.gov/nuccore/MN689518","NCBI Nucleotide")</f>
        <v>NCBI Nucleotide</v>
      </c>
    </row>
    <row r="4723" spans="1:27" x14ac:dyDescent="0.35">
      <c r="A4723">
        <v>1006490</v>
      </c>
      <c r="B4723">
        <v>4699</v>
      </c>
      <c r="C4723">
        <v>1</v>
      </c>
      <c r="D4723" s="17" t="s">
        <v>155</v>
      </c>
      <c r="E4723" s="17"/>
      <c r="F4723" s="17" t="s">
        <v>156</v>
      </c>
      <c r="G4723" s="17"/>
      <c r="H4723" s="17" t="s">
        <v>692</v>
      </c>
      <c r="I4723" s="17"/>
      <c r="J4723" s="17" t="s">
        <v>693</v>
      </c>
      <c r="K4723" s="17"/>
      <c r="L4723" s="17"/>
      <c r="M4723" s="17"/>
      <c r="N4723" s="17"/>
      <c r="O4723" s="17"/>
      <c r="P4723" s="17" t="s">
        <v>3671</v>
      </c>
      <c r="Q4723" s="17"/>
      <c r="R4723" s="25" t="str">
        <f>HYPERLINK("https://ictv.global/taxonomy/taxondetails?taxnode_id=202311937","Skunavirus CHPC781")</f>
        <v>Skunavirus CHPC781</v>
      </c>
      <c r="S4723" s="18" t="s">
        <v>30</v>
      </c>
      <c r="T4723" s="18" t="s">
        <v>3710</v>
      </c>
      <c r="U4723" s="18"/>
      <c r="V4723" s="18"/>
      <c r="W4723" s="18" t="s">
        <v>3711</v>
      </c>
      <c r="X4723" s="18" t="s">
        <v>42</v>
      </c>
      <c r="Y4723" s="18" t="s">
        <v>36</v>
      </c>
      <c r="Z4723" s="18" t="s">
        <v>697</v>
      </c>
      <c r="AA4723" s="21" t="str">
        <f>HYPERLINK("https://www.ncbi.nlm.nih.gov/nuccore/MN689520","NCBI Nucleotide")</f>
        <v>NCBI Nucleotide</v>
      </c>
    </row>
    <row r="4724" spans="1:27" x14ac:dyDescent="0.35">
      <c r="A4724">
        <v>1006491</v>
      </c>
      <c r="B4724">
        <v>4700</v>
      </c>
      <c r="C4724">
        <v>1</v>
      </c>
      <c r="D4724" s="17" t="s">
        <v>155</v>
      </c>
      <c r="E4724" s="17"/>
      <c r="F4724" s="17" t="s">
        <v>156</v>
      </c>
      <c r="G4724" s="17"/>
      <c r="H4724" s="17" t="s">
        <v>692</v>
      </c>
      <c r="I4724" s="17"/>
      <c r="J4724" s="17" t="s">
        <v>693</v>
      </c>
      <c r="K4724" s="17"/>
      <c r="L4724" s="17"/>
      <c r="M4724" s="17"/>
      <c r="N4724" s="17"/>
      <c r="O4724" s="17"/>
      <c r="P4724" s="17" t="s">
        <v>3671</v>
      </c>
      <c r="Q4724" s="17"/>
      <c r="R4724" s="25" t="str">
        <f>HYPERLINK("https://ictv.global/taxonomy/taxondetails?taxnode_id=202311938","Skunavirus CHPC958")</f>
        <v>Skunavirus CHPC958</v>
      </c>
      <c r="S4724" s="18" t="s">
        <v>30</v>
      </c>
      <c r="T4724" s="18" t="s">
        <v>3712</v>
      </c>
      <c r="U4724" s="18"/>
      <c r="V4724" s="18"/>
      <c r="W4724" s="18" t="s">
        <v>3713</v>
      </c>
      <c r="X4724" s="18" t="s">
        <v>42</v>
      </c>
      <c r="Y4724" s="18" t="s">
        <v>36</v>
      </c>
      <c r="Z4724" s="18" t="s">
        <v>697</v>
      </c>
      <c r="AA4724" s="21" t="str">
        <f>HYPERLINK("https://www.ncbi.nlm.nih.gov/nuccore/MN689522","NCBI Nucleotide")</f>
        <v>NCBI Nucleotide</v>
      </c>
    </row>
    <row r="4725" spans="1:27" x14ac:dyDescent="0.35">
      <c r="A4725">
        <v>1006492</v>
      </c>
      <c r="B4725">
        <v>4701</v>
      </c>
      <c r="C4725">
        <v>1</v>
      </c>
      <c r="D4725" s="17" t="s">
        <v>155</v>
      </c>
      <c r="E4725" s="17"/>
      <c r="F4725" s="17" t="s">
        <v>156</v>
      </c>
      <c r="G4725" s="17"/>
      <c r="H4725" s="17" t="s">
        <v>692</v>
      </c>
      <c r="I4725" s="17"/>
      <c r="J4725" s="17" t="s">
        <v>693</v>
      </c>
      <c r="K4725" s="17"/>
      <c r="L4725" s="17"/>
      <c r="M4725" s="17"/>
      <c r="N4725" s="17"/>
      <c r="O4725" s="17"/>
      <c r="P4725" s="17" t="s">
        <v>3671</v>
      </c>
      <c r="Q4725" s="17"/>
      <c r="R4725" s="25" t="str">
        <f>HYPERLINK("https://ictv.global/taxonomy/taxondetails?taxnode_id=202311939","Skunavirus CHPC959")</f>
        <v>Skunavirus CHPC959</v>
      </c>
      <c r="S4725" s="18" t="s">
        <v>30</v>
      </c>
      <c r="T4725" s="18" t="s">
        <v>3714</v>
      </c>
      <c r="U4725" s="18"/>
      <c r="V4725" s="18"/>
      <c r="W4725" s="18" t="s">
        <v>3715</v>
      </c>
      <c r="X4725" s="18" t="s">
        <v>42</v>
      </c>
      <c r="Y4725" s="18" t="s">
        <v>36</v>
      </c>
      <c r="Z4725" s="18" t="s">
        <v>697</v>
      </c>
      <c r="AA4725" s="21" t="str">
        <f>HYPERLINK("https://www.ncbi.nlm.nih.gov/nuccore/MN689523","NCBI Nucleotide")</f>
        <v>NCBI Nucleotide</v>
      </c>
    </row>
    <row r="4726" spans="1:27" x14ac:dyDescent="0.35">
      <c r="A4726">
        <v>1006493</v>
      </c>
      <c r="B4726">
        <v>4702</v>
      </c>
      <c r="C4726">
        <v>1</v>
      </c>
      <c r="D4726" s="17" t="s">
        <v>155</v>
      </c>
      <c r="E4726" s="17"/>
      <c r="F4726" s="17" t="s">
        <v>156</v>
      </c>
      <c r="G4726" s="17"/>
      <c r="H4726" s="17" t="s">
        <v>692</v>
      </c>
      <c r="I4726" s="17"/>
      <c r="J4726" s="17" t="s">
        <v>693</v>
      </c>
      <c r="K4726" s="17"/>
      <c r="L4726" s="17"/>
      <c r="M4726" s="17"/>
      <c r="N4726" s="17"/>
      <c r="O4726" s="17"/>
      <c r="P4726" s="17" t="s">
        <v>3671</v>
      </c>
      <c r="Q4726" s="17"/>
      <c r="R4726" s="25" t="str">
        <f>HYPERLINK("https://ictv.global/taxonomy/taxondetails?taxnode_id=202311940","Skunavirus CHPC964")</f>
        <v>Skunavirus CHPC964</v>
      </c>
      <c r="S4726" s="18" t="s">
        <v>30</v>
      </c>
      <c r="T4726" s="18" t="s">
        <v>3716</v>
      </c>
      <c r="U4726" s="18"/>
      <c r="V4726" s="18"/>
      <c r="W4726" s="18" t="s">
        <v>3717</v>
      </c>
      <c r="X4726" s="18" t="s">
        <v>42</v>
      </c>
      <c r="Y4726" s="18" t="s">
        <v>36</v>
      </c>
      <c r="Z4726" s="18" t="s">
        <v>697</v>
      </c>
      <c r="AA4726" s="21" t="str">
        <f>HYPERLINK("https://www.ncbi.nlm.nih.gov/nuccore/MN689524","NCBI Nucleotide")</f>
        <v>NCBI Nucleotide</v>
      </c>
    </row>
    <row r="4727" spans="1:27" x14ac:dyDescent="0.35">
      <c r="A4727">
        <v>1006494</v>
      </c>
      <c r="B4727">
        <v>4703</v>
      </c>
      <c r="C4727">
        <v>1</v>
      </c>
      <c r="D4727" s="17" t="s">
        <v>155</v>
      </c>
      <c r="E4727" s="17"/>
      <c r="F4727" s="17" t="s">
        <v>156</v>
      </c>
      <c r="G4727" s="17"/>
      <c r="H4727" s="17" t="s">
        <v>692</v>
      </c>
      <c r="I4727" s="17"/>
      <c r="J4727" s="17" t="s">
        <v>693</v>
      </c>
      <c r="K4727" s="17"/>
      <c r="L4727" s="17"/>
      <c r="M4727" s="17"/>
      <c r="N4727" s="17"/>
      <c r="O4727" s="17"/>
      <c r="P4727" s="17" t="s">
        <v>3671</v>
      </c>
      <c r="Q4727" s="17"/>
      <c r="R4727" s="25" t="str">
        <f>HYPERLINK("https://ictv.global/taxonomy/taxondetails?taxnode_id=202311941","Skunavirus CHPC965")</f>
        <v>Skunavirus CHPC965</v>
      </c>
      <c r="S4727" s="18" t="s">
        <v>30</v>
      </c>
      <c r="T4727" s="18" t="s">
        <v>3718</v>
      </c>
      <c r="U4727" s="18"/>
      <c r="V4727" s="18"/>
      <c r="W4727" s="18" t="s">
        <v>3719</v>
      </c>
      <c r="X4727" s="18" t="s">
        <v>42</v>
      </c>
      <c r="Y4727" s="18" t="s">
        <v>36</v>
      </c>
      <c r="Z4727" s="18" t="s">
        <v>697</v>
      </c>
      <c r="AA4727" s="21" t="str">
        <f>HYPERLINK("https://www.ncbi.nlm.nih.gov/nuccore/MN689525","NCBI Nucleotide")</f>
        <v>NCBI Nucleotide</v>
      </c>
    </row>
    <row r="4728" spans="1:27" x14ac:dyDescent="0.35">
      <c r="A4728">
        <v>1006495</v>
      </c>
      <c r="B4728">
        <v>4704</v>
      </c>
      <c r="C4728">
        <v>1</v>
      </c>
      <c r="D4728" s="17" t="s">
        <v>155</v>
      </c>
      <c r="E4728" s="17"/>
      <c r="F4728" s="17" t="s">
        <v>156</v>
      </c>
      <c r="G4728" s="17"/>
      <c r="H4728" s="17" t="s">
        <v>692</v>
      </c>
      <c r="I4728" s="17"/>
      <c r="J4728" s="17" t="s">
        <v>693</v>
      </c>
      <c r="K4728" s="17"/>
      <c r="L4728" s="17"/>
      <c r="M4728" s="17"/>
      <c r="N4728" s="17"/>
      <c r="O4728" s="17"/>
      <c r="P4728" s="17" t="s">
        <v>3671</v>
      </c>
      <c r="Q4728" s="17"/>
      <c r="R4728" s="25" t="str">
        <f>HYPERLINK("https://ictv.global/taxonomy/taxondetails?taxnode_id=202311891","Skunavirus E1127")</f>
        <v>Skunavirus E1127</v>
      </c>
      <c r="S4728" s="18" t="s">
        <v>30</v>
      </c>
      <c r="T4728" s="18" t="s">
        <v>3720</v>
      </c>
      <c r="U4728" s="18"/>
      <c r="V4728" s="18"/>
      <c r="W4728" s="18" t="s">
        <v>3721</v>
      </c>
      <c r="X4728" s="18" t="s">
        <v>42</v>
      </c>
      <c r="Y4728" s="18" t="s">
        <v>36</v>
      </c>
      <c r="Z4728" s="18" t="s">
        <v>697</v>
      </c>
      <c r="AA4728" s="21" t="str">
        <f>HYPERLINK("https://www.ncbi.nlm.nih.gov/nuccore/KP793131","NCBI Nucleotide")</f>
        <v>NCBI Nucleotide</v>
      </c>
    </row>
    <row r="4729" spans="1:27" x14ac:dyDescent="0.35">
      <c r="A4729">
        <v>1006496</v>
      </c>
      <c r="B4729">
        <v>4705</v>
      </c>
      <c r="C4729">
        <v>1</v>
      </c>
      <c r="D4729" s="17" t="s">
        <v>155</v>
      </c>
      <c r="E4729" s="17"/>
      <c r="F4729" s="17" t="s">
        <v>156</v>
      </c>
      <c r="G4729" s="17"/>
      <c r="H4729" s="17" t="s">
        <v>692</v>
      </c>
      <c r="I4729" s="17"/>
      <c r="J4729" s="17" t="s">
        <v>693</v>
      </c>
      <c r="K4729" s="17"/>
      <c r="L4729" s="17"/>
      <c r="M4729" s="17"/>
      <c r="N4729" s="17"/>
      <c r="O4729" s="17"/>
      <c r="P4729" s="17" t="s">
        <v>3671</v>
      </c>
      <c r="Q4729" s="17"/>
      <c r="R4729" s="25" t="str">
        <f>HYPERLINK("https://ictv.global/taxonomy/taxondetails?taxnode_id=202311883","Skunavirus F0139")</f>
        <v>Skunavirus F0139</v>
      </c>
      <c r="S4729" s="18" t="s">
        <v>30</v>
      </c>
      <c r="T4729" s="18" t="s">
        <v>3722</v>
      </c>
      <c r="U4729" s="18"/>
      <c r="V4729" s="18"/>
      <c r="W4729" s="18" t="s">
        <v>3723</v>
      </c>
      <c r="X4729" s="18" t="s">
        <v>42</v>
      </c>
      <c r="Y4729" s="18" t="s">
        <v>36</v>
      </c>
      <c r="Z4729" s="18" t="s">
        <v>697</v>
      </c>
      <c r="AA4729" s="21" t="str">
        <f>HYPERLINK("https://www.ncbi.nlm.nih.gov/nuccore/KP793118","NCBI Nucleotide")</f>
        <v>NCBI Nucleotide</v>
      </c>
    </row>
    <row r="4730" spans="1:27" x14ac:dyDescent="0.35">
      <c r="A4730">
        <v>1006497</v>
      </c>
      <c r="B4730">
        <v>4706</v>
      </c>
      <c r="C4730">
        <v>1</v>
      </c>
      <c r="D4730" s="17" t="s">
        <v>155</v>
      </c>
      <c r="E4730" s="17"/>
      <c r="F4730" s="17" t="s">
        <v>156</v>
      </c>
      <c r="G4730" s="17"/>
      <c r="H4730" s="17" t="s">
        <v>692</v>
      </c>
      <c r="I4730" s="17"/>
      <c r="J4730" s="17" t="s">
        <v>693</v>
      </c>
      <c r="K4730" s="17"/>
      <c r="L4730" s="17"/>
      <c r="M4730" s="17"/>
      <c r="N4730" s="17"/>
      <c r="O4730" s="17"/>
      <c r="P4730" s="17" t="s">
        <v>3671</v>
      </c>
      <c r="Q4730" s="17"/>
      <c r="R4730" s="25" t="str">
        <f>HYPERLINK("https://ictv.global/taxonomy/taxondetails?taxnode_id=202311869","Skunavirus fd13")</f>
        <v>Skunavirus fd13</v>
      </c>
      <c r="S4730" s="18" t="s">
        <v>30</v>
      </c>
      <c r="T4730" s="18" t="s">
        <v>3724</v>
      </c>
      <c r="U4730" s="18"/>
      <c r="V4730" s="18"/>
      <c r="W4730" s="18" t="s">
        <v>3725</v>
      </c>
      <c r="X4730" s="18" t="s">
        <v>42</v>
      </c>
      <c r="Y4730" s="18" t="s">
        <v>36</v>
      </c>
      <c r="Z4730" s="18" t="s">
        <v>697</v>
      </c>
      <c r="AA4730" s="21" t="str">
        <f>HYPERLINK("https://www.ncbi.nlm.nih.gov/nuccore/KC182545","NCBI Nucleotide")</f>
        <v>NCBI Nucleotide</v>
      </c>
    </row>
    <row r="4731" spans="1:27" x14ac:dyDescent="0.35">
      <c r="A4731">
        <v>1006498</v>
      </c>
      <c r="B4731">
        <v>4707</v>
      </c>
      <c r="C4731">
        <v>1</v>
      </c>
      <c r="D4731" s="17" t="s">
        <v>155</v>
      </c>
      <c r="E4731" s="17"/>
      <c r="F4731" s="17" t="s">
        <v>156</v>
      </c>
      <c r="G4731" s="17"/>
      <c r="H4731" s="17" t="s">
        <v>692</v>
      </c>
      <c r="I4731" s="17"/>
      <c r="J4731" s="17" t="s">
        <v>693</v>
      </c>
      <c r="K4731" s="17"/>
      <c r="L4731" s="17"/>
      <c r="M4731" s="17"/>
      <c r="N4731" s="17"/>
      <c r="O4731" s="17"/>
      <c r="P4731" s="17" t="s">
        <v>3671</v>
      </c>
      <c r="Q4731" s="17"/>
      <c r="R4731" s="25" t="str">
        <f>HYPERLINK("https://ictv.global/taxonomy/taxondetails?taxnode_id=202311896","Skunavirus i0139")</f>
        <v>Skunavirus i0139</v>
      </c>
      <c r="S4731" s="18" t="s">
        <v>30</v>
      </c>
      <c r="T4731" s="18" t="s">
        <v>3726</v>
      </c>
      <c r="U4731" s="18"/>
      <c r="V4731" s="18"/>
      <c r="W4731" s="18" t="s">
        <v>3727</v>
      </c>
      <c r="X4731" s="18" t="s">
        <v>42</v>
      </c>
      <c r="Y4731" s="18" t="s">
        <v>36</v>
      </c>
      <c r="Z4731" s="18" t="s">
        <v>697</v>
      </c>
      <c r="AA4731" s="21" t="str">
        <f>HYPERLINK("https://www.ncbi.nlm.nih.gov/nuccore/KX379665","NCBI Nucleotide")</f>
        <v>NCBI Nucleotide</v>
      </c>
    </row>
    <row r="4732" spans="1:27" x14ac:dyDescent="0.35">
      <c r="A4732">
        <v>1006499</v>
      </c>
      <c r="B4732">
        <v>4708</v>
      </c>
      <c r="C4732">
        <v>1</v>
      </c>
      <c r="D4732" s="17" t="s">
        <v>155</v>
      </c>
      <c r="E4732" s="17"/>
      <c r="F4732" s="17" t="s">
        <v>156</v>
      </c>
      <c r="G4732" s="17"/>
      <c r="H4732" s="17" t="s">
        <v>692</v>
      </c>
      <c r="I4732" s="17"/>
      <c r="J4732" s="17" t="s">
        <v>693</v>
      </c>
      <c r="K4732" s="17"/>
      <c r="L4732" s="17"/>
      <c r="M4732" s="17"/>
      <c r="N4732" s="17"/>
      <c r="O4732" s="17"/>
      <c r="P4732" s="17" t="s">
        <v>3671</v>
      </c>
      <c r="Q4732" s="17"/>
      <c r="R4732" s="25" t="str">
        <f>HYPERLINK("https://ictv.global/taxonomy/taxondetails?taxnode_id=202311889","Skunavirus JF1")</f>
        <v>Skunavirus JF1</v>
      </c>
      <c r="S4732" s="18" t="s">
        <v>30</v>
      </c>
      <c r="T4732" s="18" t="s">
        <v>3728</v>
      </c>
      <c r="U4732" s="18"/>
      <c r="V4732" s="18"/>
      <c r="W4732" s="18" t="s">
        <v>3729</v>
      </c>
      <c r="X4732" s="18" t="s">
        <v>42</v>
      </c>
      <c r="Y4732" s="18" t="s">
        <v>36</v>
      </c>
      <c r="Z4732" s="18" t="s">
        <v>697</v>
      </c>
      <c r="AA4732" s="21" t="str">
        <f>HYPERLINK("https://www.ncbi.nlm.nih.gov/nuccore/KP793129","NCBI Nucleotide")</f>
        <v>NCBI Nucleotide</v>
      </c>
    </row>
    <row r="4733" spans="1:27" x14ac:dyDescent="0.35">
      <c r="A4733">
        <v>1006500</v>
      </c>
      <c r="B4733">
        <v>4709</v>
      </c>
      <c r="C4733">
        <v>1</v>
      </c>
      <c r="D4733" s="17" t="s">
        <v>155</v>
      </c>
      <c r="E4733" s="17"/>
      <c r="F4733" s="17" t="s">
        <v>156</v>
      </c>
      <c r="G4733" s="17"/>
      <c r="H4733" s="17" t="s">
        <v>692</v>
      </c>
      <c r="I4733" s="17"/>
      <c r="J4733" s="17" t="s">
        <v>693</v>
      </c>
      <c r="K4733" s="17"/>
      <c r="L4733" s="17"/>
      <c r="M4733" s="17"/>
      <c r="N4733" s="17"/>
      <c r="O4733" s="17"/>
      <c r="P4733" s="17" t="s">
        <v>3671</v>
      </c>
      <c r="Q4733" s="17"/>
      <c r="R4733" s="25" t="str">
        <f>HYPERLINK("https://ictv.global/taxonomy/taxondetails?taxnode_id=202311870","Skunavirus jm2")</f>
        <v>Skunavirus jm2</v>
      </c>
      <c r="S4733" s="18" t="s">
        <v>30</v>
      </c>
      <c r="T4733" s="18" t="s">
        <v>3730</v>
      </c>
      <c r="U4733" s="18"/>
      <c r="V4733" s="18"/>
      <c r="W4733" s="18" t="s">
        <v>3731</v>
      </c>
      <c r="X4733" s="18" t="s">
        <v>42</v>
      </c>
      <c r="Y4733" s="18" t="s">
        <v>36</v>
      </c>
      <c r="Z4733" s="18" t="s">
        <v>697</v>
      </c>
      <c r="AA4733" s="21" t="str">
        <f>HYPERLINK("https://www.ncbi.nlm.nih.gov/nuccore/KC182546","NCBI Nucleotide")</f>
        <v>NCBI Nucleotide</v>
      </c>
    </row>
    <row r="4734" spans="1:27" x14ac:dyDescent="0.35">
      <c r="A4734">
        <v>1006501</v>
      </c>
      <c r="B4734">
        <v>4710</v>
      </c>
      <c r="C4734">
        <v>1</v>
      </c>
      <c r="D4734" s="17" t="s">
        <v>155</v>
      </c>
      <c r="E4734" s="17"/>
      <c r="F4734" s="17" t="s">
        <v>156</v>
      </c>
      <c r="G4734" s="17"/>
      <c r="H4734" s="17" t="s">
        <v>692</v>
      </c>
      <c r="I4734" s="17"/>
      <c r="J4734" s="17" t="s">
        <v>693</v>
      </c>
      <c r="K4734" s="17"/>
      <c r="L4734" s="17"/>
      <c r="M4734" s="17"/>
      <c r="N4734" s="17"/>
      <c r="O4734" s="17"/>
      <c r="P4734" s="17" t="s">
        <v>3671</v>
      </c>
      <c r="Q4734" s="17"/>
      <c r="R4734" s="25" t="str">
        <f>HYPERLINK("https://ictv.global/taxonomy/taxondetails?taxnode_id=202311871","Skunavirus jm3")</f>
        <v>Skunavirus jm3</v>
      </c>
      <c r="S4734" s="18" t="s">
        <v>30</v>
      </c>
      <c r="T4734" s="18" t="s">
        <v>3732</v>
      </c>
      <c r="U4734" s="18"/>
      <c r="V4734" s="18"/>
      <c r="W4734" s="18" t="s">
        <v>3733</v>
      </c>
      <c r="X4734" s="18" t="s">
        <v>42</v>
      </c>
      <c r="Y4734" s="18" t="s">
        <v>36</v>
      </c>
      <c r="Z4734" s="18" t="s">
        <v>697</v>
      </c>
      <c r="AA4734" s="21" t="str">
        <f>HYPERLINK("https://www.ncbi.nlm.nih.gov/nuccore/KC182547","NCBI Nucleotide")</f>
        <v>NCBI Nucleotide</v>
      </c>
    </row>
    <row r="4735" spans="1:27" x14ac:dyDescent="0.35">
      <c r="A4735">
        <v>1006503</v>
      </c>
      <c r="B4735">
        <v>4711</v>
      </c>
      <c r="C4735">
        <v>1</v>
      </c>
      <c r="D4735" s="17" t="s">
        <v>155</v>
      </c>
      <c r="E4735" s="17"/>
      <c r="F4735" s="17" t="s">
        <v>156</v>
      </c>
      <c r="G4735" s="17"/>
      <c r="H4735" s="17" t="s">
        <v>692</v>
      </c>
      <c r="I4735" s="17"/>
      <c r="J4735" s="17" t="s">
        <v>693</v>
      </c>
      <c r="K4735" s="17"/>
      <c r="L4735" s="17"/>
      <c r="M4735" s="17"/>
      <c r="N4735" s="17"/>
      <c r="O4735" s="17"/>
      <c r="P4735" s="17" t="s">
        <v>3671</v>
      </c>
      <c r="Q4735" s="17"/>
      <c r="R4735" s="25" t="str">
        <f>HYPERLINK("https://ictv.global/taxonomy/taxondetails?taxnode_id=202311886","Skunavirus L6")</f>
        <v>Skunavirus L6</v>
      </c>
      <c r="S4735" s="18" t="s">
        <v>30</v>
      </c>
      <c r="T4735" s="18" t="s">
        <v>3736</v>
      </c>
      <c r="U4735" s="18"/>
      <c r="V4735" s="18"/>
      <c r="W4735" s="18" t="s">
        <v>3737</v>
      </c>
      <c r="X4735" s="18" t="s">
        <v>42</v>
      </c>
      <c r="Y4735" s="18" t="s">
        <v>36</v>
      </c>
      <c r="Z4735" s="18" t="s">
        <v>697</v>
      </c>
      <c r="AA4735" s="21" t="str">
        <f>HYPERLINK("https://www.ncbi.nlm.nih.gov/nuccore/KP793122","NCBI Nucleotide")</f>
        <v>NCBI Nucleotide</v>
      </c>
    </row>
    <row r="4736" spans="1:27" x14ac:dyDescent="0.35">
      <c r="A4736">
        <v>1006502</v>
      </c>
      <c r="B4736">
        <v>4712</v>
      </c>
      <c r="C4736">
        <v>1</v>
      </c>
      <c r="D4736" s="17" t="s">
        <v>155</v>
      </c>
      <c r="E4736" s="17"/>
      <c r="F4736" s="17" t="s">
        <v>156</v>
      </c>
      <c r="G4736" s="17"/>
      <c r="H4736" s="17" t="s">
        <v>692</v>
      </c>
      <c r="I4736" s="17"/>
      <c r="J4736" s="17" t="s">
        <v>693</v>
      </c>
      <c r="K4736" s="17"/>
      <c r="L4736" s="17"/>
      <c r="M4736" s="17"/>
      <c r="N4736" s="17"/>
      <c r="O4736" s="17"/>
      <c r="P4736" s="17" t="s">
        <v>3671</v>
      </c>
      <c r="Q4736" s="17"/>
      <c r="R4736" s="25" t="str">
        <f>HYPERLINK("https://ictv.global/taxonomy/taxondetails?taxnode_id=202311884","Skunavirus L18")</f>
        <v>Skunavirus L18</v>
      </c>
      <c r="S4736" s="18" t="s">
        <v>30</v>
      </c>
      <c r="T4736" s="18" t="s">
        <v>3734</v>
      </c>
      <c r="U4736" s="18"/>
      <c r="V4736" s="18"/>
      <c r="W4736" s="18" t="s">
        <v>3735</v>
      </c>
      <c r="X4736" s="18" t="s">
        <v>42</v>
      </c>
      <c r="Y4736" s="18" t="s">
        <v>36</v>
      </c>
      <c r="Z4736" s="18" t="s">
        <v>697</v>
      </c>
      <c r="AA4736" s="21" t="str">
        <f>HYPERLINK("https://www.ncbi.nlm.nih.gov/nuccore/KP793120","NCBI Nucleotide")</f>
        <v>NCBI Nucleotide</v>
      </c>
    </row>
    <row r="4737" spans="1:27" x14ac:dyDescent="0.35">
      <c r="A4737">
        <v>1006504</v>
      </c>
      <c r="B4737">
        <v>4713</v>
      </c>
      <c r="C4737">
        <v>1</v>
      </c>
      <c r="D4737" s="17" t="s">
        <v>155</v>
      </c>
      <c r="E4737" s="17"/>
      <c r="F4737" s="17" t="s">
        <v>156</v>
      </c>
      <c r="G4737" s="17"/>
      <c r="H4737" s="17" t="s">
        <v>692</v>
      </c>
      <c r="I4737" s="17"/>
      <c r="J4737" s="17" t="s">
        <v>693</v>
      </c>
      <c r="K4737" s="17"/>
      <c r="L4737" s="17"/>
      <c r="M4737" s="17"/>
      <c r="N4737" s="17"/>
      <c r="O4737" s="17"/>
      <c r="P4737" s="17" t="s">
        <v>3671</v>
      </c>
      <c r="Q4737" s="17"/>
      <c r="R4737" s="25" t="str">
        <f>HYPERLINK("https://ictv.global/taxonomy/taxondetails?taxnode_id=202311893","Skunavirus Lj")</f>
        <v>Skunavirus Lj</v>
      </c>
      <c r="S4737" s="18" t="s">
        <v>30</v>
      </c>
      <c r="T4737" s="18" t="s">
        <v>3738</v>
      </c>
      <c r="U4737" s="18"/>
      <c r="V4737" s="18"/>
      <c r="W4737" s="18" t="s">
        <v>3739</v>
      </c>
      <c r="X4737" s="18" t="s">
        <v>42</v>
      </c>
      <c r="Y4737" s="18" t="s">
        <v>36</v>
      </c>
      <c r="Z4737" s="18" t="s">
        <v>697</v>
      </c>
      <c r="AA4737" s="21" t="str">
        <f>HYPERLINK("https://www.ncbi.nlm.nih.gov/nuccore/KP793133","NCBI Nucleotide")</f>
        <v>NCBI Nucleotide</v>
      </c>
    </row>
    <row r="4738" spans="1:27" x14ac:dyDescent="0.35">
      <c r="A4738">
        <v>1006505</v>
      </c>
      <c r="B4738">
        <v>4714</v>
      </c>
      <c r="C4738">
        <v>1</v>
      </c>
      <c r="D4738" s="17" t="s">
        <v>155</v>
      </c>
      <c r="E4738" s="17"/>
      <c r="F4738" s="17" t="s">
        <v>156</v>
      </c>
      <c r="G4738" s="17"/>
      <c r="H4738" s="17" t="s">
        <v>692</v>
      </c>
      <c r="I4738" s="17"/>
      <c r="J4738" s="17" t="s">
        <v>693</v>
      </c>
      <c r="K4738" s="17"/>
      <c r="L4738" s="17"/>
      <c r="M4738" s="17"/>
      <c r="N4738" s="17"/>
      <c r="O4738" s="17"/>
      <c r="P4738" s="17" t="s">
        <v>3671</v>
      </c>
      <c r="Q4738" s="17"/>
      <c r="R4738" s="25" t="str">
        <f>HYPERLINK("https://ictv.global/taxonomy/taxondetails?taxnode_id=202311923","Skunavirus LP0209")</f>
        <v>Skunavirus LP0209</v>
      </c>
      <c r="S4738" s="18" t="s">
        <v>30</v>
      </c>
      <c r="T4738" s="18" t="s">
        <v>3740</v>
      </c>
      <c r="U4738" s="18"/>
      <c r="V4738" s="18"/>
      <c r="W4738" s="18" t="s">
        <v>3741</v>
      </c>
      <c r="X4738" s="18" t="s">
        <v>42</v>
      </c>
      <c r="Y4738" s="18" t="s">
        <v>36</v>
      </c>
      <c r="Z4738" s="18" t="s">
        <v>697</v>
      </c>
      <c r="AA4738" s="21" t="str">
        <f>HYPERLINK("https://www.ncbi.nlm.nih.gov/nuccore/MF775693","NCBI Nucleotide")</f>
        <v>NCBI Nucleotide</v>
      </c>
    </row>
    <row r="4739" spans="1:27" x14ac:dyDescent="0.35">
      <c r="A4739">
        <v>1006506</v>
      </c>
      <c r="B4739">
        <v>4715</v>
      </c>
      <c r="C4739">
        <v>1</v>
      </c>
      <c r="D4739" s="17" t="s">
        <v>155</v>
      </c>
      <c r="E4739" s="17"/>
      <c r="F4739" s="17" t="s">
        <v>156</v>
      </c>
      <c r="G4739" s="17"/>
      <c r="H4739" s="17" t="s">
        <v>692</v>
      </c>
      <c r="I4739" s="17"/>
      <c r="J4739" s="17" t="s">
        <v>693</v>
      </c>
      <c r="K4739" s="17"/>
      <c r="L4739" s="17"/>
      <c r="M4739" s="17"/>
      <c r="N4739" s="17"/>
      <c r="O4739" s="17"/>
      <c r="P4739" s="17" t="s">
        <v>3671</v>
      </c>
      <c r="Q4739" s="17"/>
      <c r="R4739" s="25" t="str">
        <f>HYPERLINK("https://ictv.global/taxonomy/taxondetails?taxnode_id=202311924","Skunavirus LP0903")</f>
        <v>Skunavirus LP0903</v>
      </c>
      <c r="S4739" s="18" t="s">
        <v>30</v>
      </c>
      <c r="T4739" s="18" t="s">
        <v>3742</v>
      </c>
      <c r="U4739" s="18"/>
      <c r="V4739" s="18"/>
      <c r="W4739" s="18" t="s">
        <v>3743</v>
      </c>
      <c r="X4739" s="18" t="s">
        <v>42</v>
      </c>
      <c r="Y4739" s="18" t="s">
        <v>36</v>
      </c>
      <c r="Z4739" s="18" t="s">
        <v>697</v>
      </c>
      <c r="AA4739" s="21" t="str">
        <f>HYPERLINK("https://www.ncbi.nlm.nih.gov/nuccore/MF775698","NCBI Nucleotide")</f>
        <v>NCBI Nucleotide</v>
      </c>
    </row>
    <row r="4740" spans="1:27" x14ac:dyDescent="0.35">
      <c r="A4740">
        <v>1006508</v>
      </c>
      <c r="B4740">
        <v>4716</v>
      </c>
      <c r="C4740">
        <v>1</v>
      </c>
      <c r="D4740" s="17" t="s">
        <v>155</v>
      </c>
      <c r="E4740" s="17"/>
      <c r="F4740" s="17" t="s">
        <v>156</v>
      </c>
      <c r="G4740" s="17"/>
      <c r="H4740" s="17" t="s">
        <v>692</v>
      </c>
      <c r="I4740" s="17"/>
      <c r="J4740" s="17" t="s">
        <v>693</v>
      </c>
      <c r="K4740" s="17"/>
      <c r="L4740" s="17"/>
      <c r="M4740" s="17"/>
      <c r="N4740" s="17"/>
      <c r="O4740" s="17"/>
      <c r="P4740" s="17" t="s">
        <v>3671</v>
      </c>
      <c r="Q4740" s="17"/>
      <c r="R4740" s="25" t="str">
        <f>HYPERLINK("https://ictv.global/taxonomy/taxondetails?taxnode_id=202311918","Skunavirus LP8511")</f>
        <v>Skunavirus LP8511</v>
      </c>
      <c r="S4740" s="18" t="s">
        <v>30</v>
      </c>
      <c r="T4740" s="18" t="s">
        <v>3746</v>
      </c>
      <c r="U4740" s="18"/>
      <c r="V4740" s="18"/>
      <c r="W4740" s="18" t="s">
        <v>3747</v>
      </c>
      <c r="X4740" s="18" t="s">
        <v>42</v>
      </c>
      <c r="Y4740" s="18" t="s">
        <v>36</v>
      </c>
      <c r="Z4740" s="18" t="s">
        <v>697</v>
      </c>
      <c r="AA4740" s="21" t="str">
        <f>HYPERLINK("https://www.ncbi.nlm.nih.gov/nuccore/MF775669","NCBI Nucleotide")</f>
        <v>NCBI Nucleotide</v>
      </c>
    </row>
    <row r="4741" spans="1:27" x14ac:dyDescent="0.35">
      <c r="A4741">
        <v>1006509</v>
      </c>
      <c r="B4741">
        <v>4717</v>
      </c>
      <c r="C4741">
        <v>1</v>
      </c>
      <c r="D4741" s="17" t="s">
        <v>155</v>
      </c>
      <c r="E4741" s="17"/>
      <c r="F4741" s="17" t="s">
        <v>156</v>
      </c>
      <c r="G4741" s="17"/>
      <c r="H4741" s="17" t="s">
        <v>692</v>
      </c>
      <c r="I4741" s="17"/>
      <c r="J4741" s="17" t="s">
        <v>693</v>
      </c>
      <c r="K4741" s="17"/>
      <c r="L4741" s="17"/>
      <c r="M4741" s="17"/>
      <c r="N4741" s="17"/>
      <c r="O4741" s="17"/>
      <c r="P4741" s="17" t="s">
        <v>3671</v>
      </c>
      <c r="Q4741" s="17"/>
      <c r="R4741" s="25" t="str">
        <f>HYPERLINK("https://ictv.global/taxonomy/taxondetails?taxnode_id=202311919","Skunavirus LP9207")</f>
        <v>Skunavirus LP9207</v>
      </c>
      <c r="S4741" s="18" t="s">
        <v>30</v>
      </c>
      <c r="T4741" s="18" t="s">
        <v>3748</v>
      </c>
      <c r="U4741" s="18"/>
      <c r="V4741" s="18"/>
      <c r="W4741" s="18" t="s">
        <v>3749</v>
      </c>
      <c r="X4741" s="18" t="s">
        <v>42</v>
      </c>
      <c r="Y4741" s="18" t="s">
        <v>36</v>
      </c>
      <c r="Z4741" s="18" t="s">
        <v>697</v>
      </c>
      <c r="AA4741" s="21" t="str">
        <f>HYPERLINK("https://www.ncbi.nlm.nih.gov/nuccore/MF775676","NCBI Nucleotide")</f>
        <v>NCBI Nucleotide</v>
      </c>
    </row>
    <row r="4742" spans="1:27" x14ac:dyDescent="0.35">
      <c r="A4742">
        <v>1006510</v>
      </c>
      <c r="B4742">
        <v>4718</v>
      </c>
      <c r="C4742">
        <v>1</v>
      </c>
      <c r="D4742" s="17" t="s">
        <v>155</v>
      </c>
      <c r="E4742" s="17"/>
      <c r="F4742" s="17" t="s">
        <v>156</v>
      </c>
      <c r="G4742" s="17"/>
      <c r="H4742" s="17" t="s">
        <v>692</v>
      </c>
      <c r="I4742" s="17"/>
      <c r="J4742" s="17" t="s">
        <v>693</v>
      </c>
      <c r="K4742" s="17"/>
      <c r="L4742" s="17"/>
      <c r="M4742" s="17"/>
      <c r="N4742" s="17"/>
      <c r="O4742" s="17"/>
      <c r="P4742" s="17" t="s">
        <v>3671</v>
      </c>
      <c r="Q4742" s="17"/>
      <c r="R4742" s="25" t="str">
        <f>HYPERLINK("https://ictv.global/taxonomy/taxondetails?taxnode_id=202311920","Skunavirus LP9404")</f>
        <v>Skunavirus LP9404</v>
      </c>
      <c r="S4742" s="18" t="s">
        <v>30</v>
      </c>
      <c r="T4742" s="18" t="s">
        <v>3750</v>
      </c>
      <c r="U4742" s="18"/>
      <c r="V4742" s="18"/>
      <c r="W4742" s="18" t="s">
        <v>3751</v>
      </c>
      <c r="X4742" s="18" t="s">
        <v>42</v>
      </c>
      <c r="Y4742" s="18" t="s">
        <v>36</v>
      </c>
      <c r="Z4742" s="18" t="s">
        <v>697</v>
      </c>
      <c r="AA4742" s="21" t="str">
        <f>HYPERLINK("https://www.ncbi.nlm.nih.gov/nuccore/MF775678","NCBI Nucleotide")</f>
        <v>NCBI Nucleotide</v>
      </c>
    </row>
    <row r="4743" spans="1:27" x14ac:dyDescent="0.35">
      <c r="A4743">
        <v>1006511</v>
      </c>
      <c r="B4743">
        <v>4719</v>
      </c>
      <c r="C4743">
        <v>1</v>
      </c>
      <c r="D4743" s="17" t="s">
        <v>155</v>
      </c>
      <c r="E4743" s="17"/>
      <c r="F4743" s="17" t="s">
        <v>156</v>
      </c>
      <c r="G4743" s="17"/>
      <c r="H4743" s="17" t="s">
        <v>692</v>
      </c>
      <c r="I4743" s="17"/>
      <c r="J4743" s="17" t="s">
        <v>693</v>
      </c>
      <c r="K4743" s="17"/>
      <c r="L4743" s="17"/>
      <c r="M4743" s="17"/>
      <c r="N4743" s="17"/>
      <c r="O4743" s="17"/>
      <c r="P4743" s="17" t="s">
        <v>3671</v>
      </c>
      <c r="Q4743" s="17"/>
      <c r="R4743" s="25" t="str">
        <f>HYPERLINK("https://ictv.global/taxonomy/taxondetails?taxnode_id=202311921","Skunavirus LP9609")</f>
        <v>Skunavirus LP9609</v>
      </c>
      <c r="S4743" s="18" t="s">
        <v>30</v>
      </c>
      <c r="T4743" s="18" t="s">
        <v>3752</v>
      </c>
      <c r="U4743" s="18"/>
      <c r="V4743" s="18"/>
      <c r="W4743" s="18" t="s">
        <v>3753</v>
      </c>
      <c r="X4743" s="18" t="s">
        <v>42</v>
      </c>
      <c r="Y4743" s="18" t="s">
        <v>36</v>
      </c>
      <c r="Z4743" s="18" t="s">
        <v>697</v>
      </c>
      <c r="AA4743" s="21" t="str">
        <f>HYPERLINK("https://www.ncbi.nlm.nih.gov/nuccore/MF775682","NCBI Nucleotide")</f>
        <v>NCBI Nucleotide</v>
      </c>
    </row>
    <row r="4744" spans="1:27" x14ac:dyDescent="0.35">
      <c r="A4744">
        <v>1006512</v>
      </c>
      <c r="B4744">
        <v>4720</v>
      </c>
      <c r="C4744">
        <v>1</v>
      </c>
      <c r="D4744" s="17" t="s">
        <v>155</v>
      </c>
      <c r="E4744" s="17"/>
      <c r="F4744" s="17" t="s">
        <v>156</v>
      </c>
      <c r="G4744" s="17"/>
      <c r="H4744" s="17" t="s">
        <v>692</v>
      </c>
      <c r="I4744" s="17"/>
      <c r="J4744" s="17" t="s">
        <v>693</v>
      </c>
      <c r="K4744" s="17"/>
      <c r="L4744" s="17"/>
      <c r="M4744" s="17"/>
      <c r="N4744" s="17"/>
      <c r="O4744" s="17"/>
      <c r="P4744" s="17" t="s">
        <v>3671</v>
      </c>
      <c r="Q4744" s="17"/>
      <c r="R4744" s="25" t="str">
        <f>HYPERLINK("https://ictv.global/taxonomy/taxondetails?taxnode_id=202311943","Skunavirus LP9903")</f>
        <v>Skunavirus LP9903</v>
      </c>
      <c r="S4744" s="18" t="s">
        <v>30</v>
      </c>
      <c r="T4744" s="18" t="s">
        <v>3754</v>
      </c>
      <c r="U4744" s="18"/>
      <c r="V4744" s="18"/>
      <c r="W4744" s="18" t="s">
        <v>3755</v>
      </c>
      <c r="X4744" s="18" t="s">
        <v>42</v>
      </c>
      <c r="Y4744" s="18" t="s">
        <v>36</v>
      </c>
      <c r="Z4744" s="18" t="s">
        <v>697</v>
      </c>
      <c r="AA4744" s="21" t="str">
        <f>HYPERLINK("https://www.ncbi.nlm.nih.gov/nuccore/MF775685","NCBI Nucleotide")</f>
        <v>NCBI Nucleotide</v>
      </c>
    </row>
    <row r="4745" spans="1:27" x14ac:dyDescent="0.35">
      <c r="A4745">
        <v>1006513</v>
      </c>
      <c r="B4745">
        <v>4721</v>
      </c>
      <c r="C4745">
        <v>1</v>
      </c>
      <c r="D4745" s="17" t="s">
        <v>155</v>
      </c>
      <c r="E4745" s="17"/>
      <c r="F4745" s="17" t="s">
        <v>156</v>
      </c>
      <c r="G4745" s="17"/>
      <c r="H4745" s="17" t="s">
        <v>692</v>
      </c>
      <c r="I4745" s="17"/>
      <c r="J4745" s="17" t="s">
        <v>693</v>
      </c>
      <c r="K4745" s="17"/>
      <c r="L4745" s="17"/>
      <c r="M4745" s="17"/>
      <c r="N4745" s="17"/>
      <c r="O4745" s="17"/>
      <c r="P4745" s="17" t="s">
        <v>3671</v>
      </c>
      <c r="Q4745" s="17"/>
      <c r="R4745" s="25" t="str">
        <f>HYPERLINK("https://ictv.global/taxonomy/taxondetails?taxnode_id=202311922","Skunavirus LP9908")</f>
        <v>Skunavirus LP9908</v>
      </c>
      <c r="S4745" s="18" t="s">
        <v>30</v>
      </c>
      <c r="T4745" s="18" t="s">
        <v>3756</v>
      </c>
      <c r="U4745" s="18"/>
      <c r="V4745" s="18"/>
      <c r="W4745" s="18" t="s">
        <v>3757</v>
      </c>
      <c r="X4745" s="18" t="s">
        <v>42</v>
      </c>
      <c r="Y4745" s="18" t="s">
        <v>36</v>
      </c>
      <c r="Z4745" s="18" t="s">
        <v>697</v>
      </c>
      <c r="AA4745" s="21" t="str">
        <f>HYPERLINK("https://www.ncbi.nlm.nih.gov/nuccore/MF775686","NCBI Nucleotide")</f>
        <v>NCBI Nucleotide</v>
      </c>
    </row>
    <row r="4746" spans="1:27" x14ac:dyDescent="0.35">
      <c r="A4746">
        <v>1006507</v>
      </c>
      <c r="B4746">
        <v>4722</v>
      </c>
      <c r="C4746">
        <v>1</v>
      </c>
      <c r="D4746" s="17" t="s">
        <v>155</v>
      </c>
      <c r="E4746" s="17"/>
      <c r="F4746" s="17" t="s">
        <v>156</v>
      </c>
      <c r="G4746" s="17"/>
      <c r="H4746" s="17" t="s">
        <v>692</v>
      </c>
      <c r="I4746" s="17"/>
      <c r="J4746" s="17" t="s">
        <v>693</v>
      </c>
      <c r="K4746" s="17"/>
      <c r="L4746" s="17"/>
      <c r="M4746" s="17"/>
      <c r="N4746" s="17"/>
      <c r="O4746" s="17"/>
      <c r="P4746" s="17" t="s">
        <v>3671</v>
      </c>
      <c r="Q4746" s="17"/>
      <c r="R4746" s="25" t="str">
        <f>HYPERLINK("https://ictv.global/taxonomy/taxondetails?taxnode_id=202311925","Skunavirus LP1502a")</f>
        <v>Skunavirus LP1502a</v>
      </c>
      <c r="S4746" s="18" t="s">
        <v>30</v>
      </c>
      <c r="T4746" s="18" t="s">
        <v>3744</v>
      </c>
      <c r="U4746" s="18"/>
      <c r="V4746" s="18"/>
      <c r="W4746" s="18" t="s">
        <v>3745</v>
      </c>
      <c r="X4746" s="18" t="s">
        <v>42</v>
      </c>
      <c r="Y4746" s="18" t="s">
        <v>36</v>
      </c>
      <c r="Z4746" s="18" t="s">
        <v>697</v>
      </c>
      <c r="AA4746" s="21" t="str">
        <f>HYPERLINK("https://www.ncbi.nlm.nih.gov/nuccore/MF775703","NCBI Nucleotide")</f>
        <v>NCBI Nucleotide</v>
      </c>
    </row>
    <row r="4747" spans="1:27" x14ac:dyDescent="0.35">
      <c r="A4747">
        <v>1006514</v>
      </c>
      <c r="B4747">
        <v>4723</v>
      </c>
      <c r="C4747">
        <v>1</v>
      </c>
      <c r="D4747" s="17" t="s">
        <v>155</v>
      </c>
      <c r="E4747" s="17"/>
      <c r="F4747" s="17" t="s">
        <v>156</v>
      </c>
      <c r="G4747" s="17"/>
      <c r="H4747" s="17" t="s">
        <v>692</v>
      </c>
      <c r="I4747" s="17"/>
      <c r="J4747" s="17" t="s">
        <v>693</v>
      </c>
      <c r="K4747" s="17"/>
      <c r="L4747" s="17"/>
      <c r="M4747" s="17"/>
      <c r="N4747" s="17"/>
      <c r="O4747" s="17"/>
      <c r="P4747" s="17" t="s">
        <v>3671</v>
      </c>
      <c r="Q4747" s="17"/>
      <c r="R4747" s="25" t="str">
        <f>HYPERLINK("https://ictv.global/taxonomy/taxondetails?taxnode_id=202311892","Skunavirus M1127")</f>
        <v>Skunavirus M1127</v>
      </c>
      <c r="S4747" s="18" t="s">
        <v>30</v>
      </c>
      <c r="T4747" s="18" t="s">
        <v>3758</v>
      </c>
      <c r="U4747" s="18"/>
      <c r="V4747" s="18"/>
      <c r="W4747" s="18" t="s">
        <v>3759</v>
      </c>
      <c r="X4747" s="18" t="s">
        <v>42</v>
      </c>
      <c r="Y4747" s="18" t="s">
        <v>36</v>
      </c>
      <c r="Z4747" s="18" t="s">
        <v>697</v>
      </c>
      <c r="AA4747" s="21" t="str">
        <f>HYPERLINK("https://www.ncbi.nlm.nih.gov/nuccore/KP793132","NCBI Nucleotide")</f>
        <v>NCBI Nucleotide</v>
      </c>
    </row>
    <row r="4748" spans="1:27" x14ac:dyDescent="0.35">
      <c r="A4748">
        <v>1006515</v>
      </c>
      <c r="B4748">
        <v>4724</v>
      </c>
      <c r="C4748">
        <v>1</v>
      </c>
      <c r="D4748" s="17" t="s">
        <v>155</v>
      </c>
      <c r="E4748" s="17"/>
      <c r="F4748" s="17" t="s">
        <v>156</v>
      </c>
      <c r="G4748" s="17"/>
      <c r="H4748" s="17" t="s">
        <v>692</v>
      </c>
      <c r="I4748" s="17"/>
      <c r="J4748" s="17" t="s">
        <v>693</v>
      </c>
      <c r="K4748" s="17"/>
      <c r="L4748" s="17"/>
      <c r="M4748" s="17"/>
      <c r="N4748" s="17"/>
      <c r="O4748" s="17"/>
      <c r="P4748" s="17" t="s">
        <v>3671</v>
      </c>
      <c r="Q4748" s="17"/>
      <c r="R4748" s="25" t="str">
        <f>HYPERLINK("https://ictv.global/taxonomy/taxondetails?taxnode_id=202311927","Skunavirus MP1")</f>
        <v>Skunavirus MP1</v>
      </c>
      <c r="S4748" s="18" t="s">
        <v>30</v>
      </c>
      <c r="T4748" s="18" t="s">
        <v>3760</v>
      </c>
      <c r="U4748" s="18"/>
      <c r="V4748" s="18"/>
      <c r="W4748" s="18" t="s">
        <v>3761</v>
      </c>
      <c r="X4748" s="18" t="s">
        <v>42</v>
      </c>
      <c r="Y4748" s="18" t="s">
        <v>36</v>
      </c>
      <c r="Z4748" s="18" t="s">
        <v>697</v>
      </c>
      <c r="AA4748" s="21" t="str">
        <f>HYPERLINK("https://www.ncbi.nlm.nih.gov/nuccore/MG779474","NCBI Nucleotide")</f>
        <v>NCBI Nucleotide</v>
      </c>
    </row>
    <row r="4749" spans="1:27" x14ac:dyDescent="0.35">
      <c r="A4749">
        <v>1006516</v>
      </c>
      <c r="B4749">
        <v>4725</v>
      </c>
      <c r="C4749">
        <v>1</v>
      </c>
      <c r="D4749" s="17" t="s">
        <v>155</v>
      </c>
      <c r="E4749" s="17"/>
      <c r="F4749" s="17" t="s">
        <v>156</v>
      </c>
      <c r="G4749" s="17"/>
      <c r="H4749" s="17" t="s">
        <v>692</v>
      </c>
      <c r="I4749" s="17"/>
      <c r="J4749" s="17" t="s">
        <v>693</v>
      </c>
      <c r="K4749" s="17"/>
      <c r="L4749" s="17"/>
      <c r="M4749" s="17"/>
      <c r="N4749" s="17"/>
      <c r="O4749" s="17"/>
      <c r="P4749" s="17" t="s">
        <v>3671</v>
      </c>
      <c r="Q4749" s="17"/>
      <c r="R4749" s="25" t="str">
        <f>HYPERLINK("https://ictv.global/taxonomy/taxondetails?taxnode_id=202311929","Skunavirus MV10L")</f>
        <v>Skunavirus MV10L</v>
      </c>
      <c r="S4749" s="18" t="s">
        <v>30</v>
      </c>
      <c r="T4749" s="18" t="s">
        <v>3762</v>
      </c>
      <c r="U4749" s="18"/>
      <c r="V4749" s="18"/>
      <c r="W4749" s="18" t="s">
        <v>3763</v>
      </c>
      <c r="X4749" s="18" t="s">
        <v>42</v>
      </c>
      <c r="Y4749" s="18" t="s">
        <v>36</v>
      </c>
      <c r="Z4749" s="18" t="s">
        <v>697</v>
      </c>
      <c r="AA4749" s="21" t="str">
        <f>HYPERLINK("https://www.ncbi.nlm.nih.gov/nuccore/MK301440","NCBI Nucleotide")</f>
        <v>NCBI Nucleotide</v>
      </c>
    </row>
    <row r="4750" spans="1:27" x14ac:dyDescent="0.35">
      <c r="A4750">
        <v>1006517</v>
      </c>
      <c r="B4750">
        <v>4726</v>
      </c>
      <c r="C4750">
        <v>1</v>
      </c>
      <c r="D4750" s="17" t="s">
        <v>155</v>
      </c>
      <c r="E4750" s="17"/>
      <c r="F4750" s="17" t="s">
        <v>156</v>
      </c>
      <c r="G4750" s="17"/>
      <c r="H4750" s="17" t="s">
        <v>692</v>
      </c>
      <c r="I4750" s="17"/>
      <c r="J4750" s="17" t="s">
        <v>693</v>
      </c>
      <c r="K4750" s="17"/>
      <c r="L4750" s="17"/>
      <c r="M4750" s="17"/>
      <c r="N4750" s="17"/>
      <c r="O4750" s="17"/>
      <c r="P4750" s="17" t="s">
        <v>3671</v>
      </c>
      <c r="Q4750" s="17"/>
      <c r="R4750" s="25" t="str">
        <f>HYPERLINK("https://ictv.global/taxonomy/taxondetails?taxnode_id=202301300","Skunavirus P008")</f>
        <v>Skunavirus P008</v>
      </c>
      <c r="S4750" s="18" t="s">
        <v>30</v>
      </c>
      <c r="T4750" s="18" t="s">
        <v>3764</v>
      </c>
      <c r="U4750" s="18"/>
      <c r="V4750" s="18"/>
      <c r="W4750" s="18" t="s">
        <v>3765</v>
      </c>
      <c r="X4750" s="18" t="s">
        <v>42</v>
      </c>
      <c r="Y4750" s="18" t="s">
        <v>36</v>
      </c>
      <c r="Z4750" s="18" t="s">
        <v>697</v>
      </c>
      <c r="AA4750" s="21" t="str">
        <f>HYPERLINK("https://www.ncbi.nlm.nih.gov/nuccore/DQ054536","NCBI Nucleotide")</f>
        <v>NCBI Nucleotide</v>
      </c>
    </row>
    <row r="4751" spans="1:27" x14ac:dyDescent="0.35">
      <c r="A4751">
        <v>1006519</v>
      </c>
      <c r="B4751">
        <v>4727</v>
      </c>
      <c r="C4751">
        <v>1</v>
      </c>
      <c r="D4751" s="17" t="s">
        <v>155</v>
      </c>
      <c r="E4751" s="17"/>
      <c r="F4751" s="17" t="s">
        <v>156</v>
      </c>
      <c r="G4751" s="17"/>
      <c r="H4751" s="17" t="s">
        <v>692</v>
      </c>
      <c r="I4751" s="17"/>
      <c r="J4751" s="17" t="s">
        <v>693</v>
      </c>
      <c r="K4751" s="17"/>
      <c r="L4751" s="17"/>
      <c r="M4751" s="17"/>
      <c r="N4751" s="17"/>
      <c r="O4751" s="17"/>
      <c r="P4751" s="17" t="s">
        <v>3671</v>
      </c>
      <c r="Q4751" s="17"/>
      <c r="R4751" s="25" t="str">
        <f>HYPERLINK("https://ictv.global/taxonomy/taxondetails?taxnode_id=202311872","Skunavirus p272")</f>
        <v>Skunavirus p272</v>
      </c>
      <c r="S4751" s="18" t="s">
        <v>30</v>
      </c>
      <c r="T4751" s="18" t="s">
        <v>3768</v>
      </c>
      <c r="U4751" s="18"/>
      <c r="V4751" s="18"/>
      <c r="W4751" s="18" t="s">
        <v>3769</v>
      </c>
      <c r="X4751" s="18" t="s">
        <v>42</v>
      </c>
      <c r="Y4751" s="18" t="s">
        <v>36</v>
      </c>
      <c r="Z4751" s="18" t="s">
        <v>697</v>
      </c>
      <c r="AA4751" s="21" t="str">
        <f>HYPERLINK("https://www.ncbi.nlm.nih.gov/nuccore/KC182549","NCBI Nucleotide")</f>
        <v>NCBI Nucleotide</v>
      </c>
    </row>
    <row r="4752" spans="1:27" x14ac:dyDescent="0.35">
      <c r="A4752">
        <v>1006521</v>
      </c>
      <c r="B4752">
        <v>4728</v>
      </c>
      <c r="C4752">
        <v>1</v>
      </c>
      <c r="D4752" s="17" t="s">
        <v>155</v>
      </c>
      <c r="E4752" s="17"/>
      <c r="F4752" s="17" t="s">
        <v>156</v>
      </c>
      <c r="G4752" s="17"/>
      <c r="H4752" s="17" t="s">
        <v>692</v>
      </c>
      <c r="I4752" s="17"/>
      <c r="J4752" s="17" t="s">
        <v>693</v>
      </c>
      <c r="K4752" s="17"/>
      <c r="L4752" s="17"/>
      <c r="M4752" s="17"/>
      <c r="N4752" s="17"/>
      <c r="O4752" s="17"/>
      <c r="P4752" s="17" t="s">
        <v>3671</v>
      </c>
      <c r="Q4752" s="17"/>
      <c r="R4752" s="25" t="str">
        <f>HYPERLINK("https://ictv.global/taxonomy/taxondetails?taxnode_id=202311873","Skunavirus P475")</f>
        <v>Skunavirus P475</v>
      </c>
      <c r="S4752" s="18" t="s">
        <v>30</v>
      </c>
      <c r="T4752" s="18" t="s">
        <v>3772</v>
      </c>
      <c r="U4752" s="18"/>
      <c r="V4752" s="18"/>
      <c r="W4752" s="18" t="s">
        <v>3773</v>
      </c>
      <c r="X4752" s="18" t="s">
        <v>42</v>
      </c>
      <c r="Y4752" s="18" t="s">
        <v>36</v>
      </c>
      <c r="Z4752" s="18" t="s">
        <v>697</v>
      </c>
      <c r="AA4752" s="21" t="str">
        <f>HYPERLINK("https://www.ncbi.nlm.nih.gov/nuccore/KC182550","NCBI Nucleotide")</f>
        <v>NCBI Nucleotide</v>
      </c>
    </row>
    <row r="4753" spans="1:27" x14ac:dyDescent="0.35">
      <c r="A4753">
        <v>1006522</v>
      </c>
      <c r="B4753">
        <v>4729</v>
      </c>
      <c r="C4753">
        <v>1</v>
      </c>
      <c r="D4753" s="17" t="s">
        <v>155</v>
      </c>
      <c r="E4753" s="17"/>
      <c r="F4753" s="17" t="s">
        <v>156</v>
      </c>
      <c r="G4753" s="17"/>
      <c r="H4753" s="17" t="s">
        <v>692</v>
      </c>
      <c r="I4753" s="17"/>
      <c r="J4753" s="17" t="s">
        <v>693</v>
      </c>
      <c r="K4753" s="17"/>
      <c r="L4753" s="17"/>
      <c r="M4753" s="17"/>
      <c r="N4753" s="17"/>
      <c r="O4753" s="17"/>
      <c r="P4753" s="17" t="s">
        <v>3671</v>
      </c>
      <c r="Q4753" s="17"/>
      <c r="R4753" s="25" t="str">
        <f>HYPERLINK("https://ictv.global/taxonomy/taxondetails?taxnode_id=202311931","Skunavirus P656")</f>
        <v>Skunavirus P656</v>
      </c>
      <c r="S4753" s="18" t="s">
        <v>30</v>
      </c>
      <c r="T4753" s="18" t="s">
        <v>3774</v>
      </c>
      <c r="U4753" s="18"/>
      <c r="V4753" s="18"/>
      <c r="W4753" s="18" t="s">
        <v>3775</v>
      </c>
      <c r="X4753" s="18" t="s">
        <v>42</v>
      </c>
      <c r="Y4753" s="18" t="s">
        <v>36</v>
      </c>
      <c r="Z4753" s="18" t="s">
        <v>697</v>
      </c>
      <c r="AA4753" s="21" t="str">
        <f>HYPERLINK("https://www.ncbi.nlm.nih.gov/nuccore/MN552149","NCBI Nucleotide")</f>
        <v>NCBI Nucleotide</v>
      </c>
    </row>
    <row r="4754" spans="1:27" x14ac:dyDescent="0.35">
      <c r="A4754">
        <v>1006523</v>
      </c>
      <c r="B4754">
        <v>4730</v>
      </c>
      <c r="C4754">
        <v>1</v>
      </c>
      <c r="D4754" s="17" t="s">
        <v>155</v>
      </c>
      <c r="E4754" s="17"/>
      <c r="F4754" s="17" t="s">
        <v>156</v>
      </c>
      <c r="G4754" s="17"/>
      <c r="H4754" s="17" t="s">
        <v>692</v>
      </c>
      <c r="I4754" s="17"/>
      <c r="J4754" s="17" t="s">
        <v>693</v>
      </c>
      <c r="K4754" s="17"/>
      <c r="L4754" s="17"/>
      <c r="M4754" s="17"/>
      <c r="N4754" s="17"/>
      <c r="O4754" s="17"/>
      <c r="P4754" s="17" t="s">
        <v>3671</v>
      </c>
      <c r="Q4754" s="17"/>
      <c r="R4754" s="25" t="str">
        <f>HYPERLINK("https://ictv.global/taxonomy/taxondetails?taxnode_id=202311874","Skunavirus P680")</f>
        <v>Skunavirus P680</v>
      </c>
      <c r="S4754" s="18" t="s">
        <v>30</v>
      </c>
      <c r="T4754" s="18" t="s">
        <v>3776</v>
      </c>
      <c r="U4754" s="18"/>
      <c r="V4754" s="18"/>
      <c r="W4754" s="18" t="s">
        <v>3777</v>
      </c>
      <c r="X4754" s="18" t="s">
        <v>42</v>
      </c>
      <c r="Y4754" s="18" t="s">
        <v>36</v>
      </c>
      <c r="Z4754" s="18" t="s">
        <v>697</v>
      </c>
      <c r="AA4754" s="21" t="str">
        <f>HYPERLINK("https://www.ncbi.nlm.nih.gov/nuccore/KC182551","NCBI Nucleotide")</f>
        <v>NCBI Nucleotide</v>
      </c>
    </row>
    <row r="4755" spans="1:27" x14ac:dyDescent="0.35">
      <c r="A4755">
        <v>1006518</v>
      </c>
      <c r="B4755">
        <v>4731</v>
      </c>
      <c r="C4755">
        <v>1</v>
      </c>
      <c r="D4755" s="17" t="s">
        <v>155</v>
      </c>
      <c r="E4755" s="17"/>
      <c r="F4755" s="17" t="s">
        <v>156</v>
      </c>
      <c r="G4755" s="17"/>
      <c r="H4755" s="17" t="s">
        <v>692</v>
      </c>
      <c r="I4755" s="17"/>
      <c r="J4755" s="17" t="s">
        <v>693</v>
      </c>
      <c r="K4755" s="17"/>
      <c r="L4755" s="17"/>
      <c r="M4755" s="17"/>
      <c r="N4755" s="17"/>
      <c r="O4755" s="17"/>
      <c r="P4755" s="17" t="s">
        <v>3671</v>
      </c>
      <c r="Q4755" s="17"/>
      <c r="R4755" s="25" t="str">
        <f>HYPERLINK("https://ictv.global/taxonomy/taxondetails?taxnode_id=202311930","Skunavirus P1532")</f>
        <v>Skunavirus P1532</v>
      </c>
      <c r="S4755" s="18" t="s">
        <v>30</v>
      </c>
      <c r="T4755" s="18" t="s">
        <v>3766</v>
      </c>
      <c r="U4755" s="18"/>
      <c r="V4755" s="18"/>
      <c r="W4755" s="18" t="s">
        <v>3767</v>
      </c>
      <c r="X4755" s="18" t="s">
        <v>42</v>
      </c>
      <c r="Y4755" s="18" t="s">
        <v>36</v>
      </c>
      <c r="Z4755" s="18" t="s">
        <v>697</v>
      </c>
      <c r="AA4755" s="21" t="str">
        <f>HYPERLINK("https://www.ncbi.nlm.nih.gov/nuccore/MN552148","NCBI Nucleotide")</f>
        <v>NCBI Nucleotide</v>
      </c>
    </row>
    <row r="4756" spans="1:27" x14ac:dyDescent="0.35">
      <c r="A4756">
        <v>1006520</v>
      </c>
      <c r="B4756">
        <v>4732</v>
      </c>
      <c r="C4756">
        <v>1</v>
      </c>
      <c r="D4756" s="17" t="s">
        <v>155</v>
      </c>
      <c r="E4756" s="17"/>
      <c r="F4756" s="17" t="s">
        <v>156</v>
      </c>
      <c r="G4756" s="17"/>
      <c r="H4756" s="17" t="s">
        <v>692</v>
      </c>
      <c r="I4756" s="17"/>
      <c r="J4756" s="17" t="s">
        <v>693</v>
      </c>
      <c r="K4756" s="17"/>
      <c r="L4756" s="17"/>
      <c r="M4756" s="17"/>
      <c r="N4756" s="17"/>
      <c r="O4756" s="17"/>
      <c r="P4756" s="17" t="s">
        <v>3671</v>
      </c>
      <c r="Q4756" s="17"/>
      <c r="R4756" s="25" t="str">
        <f>HYPERLINK("https://ictv.global/taxonomy/taxondetails?taxnode_id=202311932","Skunavirus P4565")</f>
        <v>Skunavirus P4565</v>
      </c>
      <c r="S4756" s="18" t="s">
        <v>30</v>
      </c>
      <c r="T4756" s="18" t="s">
        <v>3770</v>
      </c>
      <c r="U4756" s="18"/>
      <c r="V4756" s="18"/>
      <c r="W4756" s="18" t="s">
        <v>3771</v>
      </c>
      <c r="X4756" s="18" t="s">
        <v>42</v>
      </c>
      <c r="Y4756" s="18" t="s">
        <v>36</v>
      </c>
      <c r="Z4756" s="18" t="s">
        <v>697</v>
      </c>
      <c r="AA4756" s="21" t="str">
        <f>HYPERLINK("https://www.ncbi.nlm.nih.gov/nuccore/MN552150","NCBI Nucleotide")</f>
        <v>NCBI Nucleotide</v>
      </c>
    </row>
    <row r="4757" spans="1:27" x14ac:dyDescent="0.35">
      <c r="A4757">
        <v>1006524</v>
      </c>
      <c r="B4757">
        <v>4733</v>
      </c>
      <c r="C4757">
        <v>1</v>
      </c>
      <c r="D4757" s="17" t="s">
        <v>155</v>
      </c>
      <c r="E4757" s="17"/>
      <c r="F4757" s="17" t="s">
        <v>156</v>
      </c>
      <c r="G4757" s="17"/>
      <c r="H4757" s="17" t="s">
        <v>692</v>
      </c>
      <c r="I4757" s="17"/>
      <c r="J4757" s="17" t="s">
        <v>693</v>
      </c>
      <c r="K4757" s="17"/>
      <c r="L4757" s="17"/>
      <c r="M4757" s="17"/>
      <c r="N4757" s="17"/>
      <c r="O4757" s="17"/>
      <c r="P4757" s="17" t="s">
        <v>3671</v>
      </c>
      <c r="Q4757" s="17"/>
      <c r="R4757" s="25" t="str">
        <f>HYPERLINK("https://ictv.global/taxonomy/taxondetails?taxnode_id=202311898","Skunavirus R31")</f>
        <v>Skunavirus R31</v>
      </c>
      <c r="S4757" s="18" t="s">
        <v>30</v>
      </c>
      <c r="T4757" s="18" t="s">
        <v>3778</v>
      </c>
      <c r="U4757" s="18"/>
      <c r="V4757" s="18"/>
      <c r="W4757" s="18" t="s">
        <v>3779</v>
      </c>
      <c r="X4757" s="18" t="s">
        <v>42</v>
      </c>
      <c r="Y4757" s="18" t="s">
        <v>36</v>
      </c>
      <c r="Z4757" s="18" t="s">
        <v>697</v>
      </c>
      <c r="AA4757" s="21" t="str">
        <f>HYPERLINK("https://www.ncbi.nlm.nih.gov/nuccore/KY554761","NCBI Nucleotide")</f>
        <v>NCBI Nucleotide</v>
      </c>
    </row>
    <row r="4758" spans="1:27" x14ac:dyDescent="0.35">
      <c r="A4758">
        <v>1006525</v>
      </c>
      <c r="B4758">
        <v>4734</v>
      </c>
      <c r="C4758">
        <v>1</v>
      </c>
      <c r="D4758" s="17" t="s">
        <v>155</v>
      </c>
      <c r="E4758" s="17"/>
      <c r="F4758" s="17" t="s">
        <v>156</v>
      </c>
      <c r="G4758" s="17"/>
      <c r="H4758" s="17" t="s">
        <v>692</v>
      </c>
      <c r="I4758" s="17"/>
      <c r="J4758" s="17" t="s">
        <v>693</v>
      </c>
      <c r="K4758" s="17"/>
      <c r="L4758" s="17"/>
      <c r="M4758" s="17"/>
      <c r="N4758" s="17"/>
      <c r="O4758" s="17"/>
      <c r="P4758" s="17" t="s">
        <v>3671</v>
      </c>
      <c r="Q4758" s="17"/>
      <c r="R4758" s="25" t="str">
        <f>HYPERLINK("https://ictv.global/taxonomy/taxondetails?taxnode_id=202311894","Skunavirus S0139")</f>
        <v>Skunavirus S0139</v>
      </c>
      <c r="S4758" s="18" t="s">
        <v>30</v>
      </c>
      <c r="T4758" s="18" t="s">
        <v>3780</v>
      </c>
      <c r="U4758" s="18"/>
      <c r="V4758" s="18"/>
      <c r="W4758" s="18" t="s">
        <v>3781</v>
      </c>
      <c r="X4758" s="18" t="s">
        <v>42</v>
      </c>
      <c r="Y4758" s="18" t="s">
        <v>36</v>
      </c>
      <c r="Z4758" s="18" t="s">
        <v>697</v>
      </c>
      <c r="AA4758" s="21" t="str">
        <f>HYPERLINK("https://www.ncbi.nlm.nih.gov/nuccore/KP793134","NCBI Nucleotide")</f>
        <v>NCBI Nucleotide</v>
      </c>
    </row>
    <row r="4759" spans="1:27" x14ac:dyDescent="0.35">
      <c r="A4759">
        <v>1006526</v>
      </c>
      <c r="B4759">
        <v>4735</v>
      </c>
      <c r="C4759">
        <v>1</v>
      </c>
      <c r="D4759" s="17" t="s">
        <v>155</v>
      </c>
      <c r="E4759" s="17"/>
      <c r="F4759" s="17" t="s">
        <v>156</v>
      </c>
      <c r="G4759" s="17"/>
      <c r="H4759" s="17" t="s">
        <v>692</v>
      </c>
      <c r="I4759" s="17"/>
      <c r="J4759" s="17" t="s">
        <v>693</v>
      </c>
      <c r="K4759" s="17"/>
      <c r="L4759" s="17"/>
      <c r="M4759" s="17"/>
      <c r="N4759" s="17"/>
      <c r="O4759" s="17"/>
      <c r="P4759" s="17" t="s">
        <v>3671</v>
      </c>
      <c r="Q4759" s="17"/>
      <c r="R4759" s="25" t="str">
        <f>HYPERLINK("https://ictv.global/taxonomy/taxondetails?taxnode_id=202301301","Skunavirus sk1")</f>
        <v>Skunavirus sk1</v>
      </c>
      <c r="S4759" s="18" t="s">
        <v>30</v>
      </c>
      <c r="T4759" s="18" t="s">
        <v>3782</v>
      </c>
      <c r="U4759" s="18"/>
      <c r="V4759" s="18"/>
      <c r="W4759" s="18" t="s">
        <v>3783</v>
      </c>
      <c r="X4759" s="18" t="s">
        <v>42</v>
      </c>
      <c r="Y4759" s="18" t="s">
        <v>36</v>
      </c>
      <c r="Z4759" s="18" t="s">
        <v>697</v>
      </c>
      <c r="AA4759" s="21" t="str">
        <f>HYPERLINK("https://www.ncbi.nlm.nih.gov/nuccore/AF011378","NCBI Nucleotide")</f>
        <v>NCBI Nucleotide</v>
      </c>
    </row>
    <row r="4760" spans="1:27" x14ac:dyDescent="0.35">
      <c r="A4760">
        <v>1006527</v>
      </c>
      <c r="B4760">
        <v>4736</v>
      </c>
      <c r="C4760">
        <v>1</v>
      </c>
      <c r="D4760" s="17" t="s">
        <v>155</v>
      </c>
      <c r="E4760" s="17"/>
      <c r="F4760" s="17" t="s">
        <v>156</v>
      </c>
      <c r="G4760" s="17"/>
      <c r="H4760" s="17" t="s">
        <v>692</v>
      </c>
      <c r="I4760" s="17"/>
      <c r="J4760" s="17" t="s">
        <v>693</v>
      </c>
      <c r="K4760" s="17"/>
      <c r="L4760" s="17"/>
      <c r="M4760" s="17"/>
      <c r="N4760" s="17"/>
      <c r="O4760" s="17"/>
      <c r="P4760" s="17" t="s">
        <v>3671</v>
      </c>
      <c r="Q4760" s="17"/>
      <c r="R4760" s="25" t="str">
        <f>HYPERLINK("https://ictv.global/taxonomy/taxondetails?taxnode_id=202301302","Skunavirus Sl4")</f>
        <v>Skunavirus Sl4</v>
      </c>
      <c r="S4760" s="18" t="s">
        <v>30</v>
      </c>
      <c r="T4760" s="18" t="s">
        <v>3784</v>
      </c>
      <c r="U4760" s="18"/>
      <c r="V4760" s="18"/>
      <c r="W4760" s="18" t="s">
        <v>3785</v>
      </c>
      <c r="X4760" s="18" t="s">
        <v>42</v>
      </c>
      <c r="Y4760" s="18" t="s">
        <v>36</v>
      </c>
      <c r="Z4760" s="18" t="s">
        <v>697</v>
      </c>
      <c r="AA4760" s="21" t="str">
        <f>HYPERLINK("https://www.ncbi.nlm.nih.gov/nuccore/FJ848881","NCBI Nucleotide")</f>
        <v>NCBI Nucleotide</v>
      </c>
    </row>
    <row r="4761" spans="1:27" x14ac:dyDescent="0.35">
      <c r="A4761">
        <v>1006555</v>
      </c>
      <c r="B4761">
        <v>4737</v>
      </c>
      <c r="C4761">
        <v>1</v>
      </c>
      <c r="D4761" s="17" t="s">
        <v>155</v>
      </c>
      <c r="E4761" s="17"/>
      <c r="F4761" s="17" t="s">
        <v>156</v>
      </c>
      <c r="G4761" s="17"/>
      <c r="H4761" s="17" t="s">
        <v>692</v>
      </c>
      <c r="I4761" s="17"/>
      <c r="J4761" s="17" t="s">
        <v>693</v>
      </c>
      <c r="K4761" s="17"/>
      <c r="L4761" s="17"/>
      <c r="M4761" s="17"/>
      <c r="N4761" s="17"/>
      <c r="O4761" s="17"/>
      <c r="P4761" s="17" t="s">
        <v>3671</v>
      </c>
      <c r="Q4761" s="17"/>
      <c r="R4761" s="25" t="str">
        <f>HYPERLINK("https://ictv.global/taxonomy/taxondetails?taxnode_id=202311875","Skunavirus sv7")</f>
        <v>Skunavirus sv7</v>
      </c>
      <c r="S4761" s="18" t="s">
        <v>30</v>
      </c>
      <c r="T4761" s="18" t="s">
        <v>3840</v>
      </c>
      <c r="U4761" s="18"/>
      <c r="V4761" s="18"/>
      <c r="W4761" s="18" t="s">
        <v>3841</v>
      </c>
      <c r="X4761" s="18" t="s">
        <v>42</v>
      </c>
      <c r="Y4761" s="18" t="s">
        <v>36</v>
      </c>
      <c r="Z4761" s="18" t="s">
        <v>697</v>
      </c>
      <c r="AA4761" s="21" t="str">
        <f>HYPERLINK("https://www.ncbi.nlm.nih.gov/nuccore/KC182552","NCBI Nucleotide")</f>
        <v>NCBI Nucleotide</v>
      </c>
    </row>
    <row r="4762" spans="1:27" x14ac:dyDescent="0.35">
      <c r="A4762">
        <v>1006533</v>
      </c>
      <c r="B4762">
        <v>4738</v>
      </c>
      <c r="C4762">
        <v>1</v>
      </c>
      <c r="D4762" s="17" t="s">
        <v>155</v>
      </c>
      <c r="E4762" s="17"/>
      <c r="F4762" s="17" t="s">
        <v>156</v>
      </c>
      <c r="G4762" s="17"/>
      <c r="H4762" s="17" t="s">
        <v>692</v>
      </c>
      <c r="I4762" s="17"/>
      <c r="J4762" s="17" t="s">
        <v>693</v>
      </c>
      <c r="K4762" s="17"/>
      <c r="L4762" s="17"/>
      <c r="M4762" s="17"/>
      <c r="N4762" s="17"/>
      <c r="O4762" s="17"/>
      <c r="P4762" s="17" t="s">
        <v>3671</v>
      </c>
      <c r="Q4762" s="17"/>
      <c r="R4762" s="25" t="str">
        <f>HYPERLINK("https://ictv.global/taxonomy/taxondetails?taxnode_id=202311877","Skunavirus sv15")</f>
        <v>Skunavirus sv15</v>
      </c>
      <c r="S4762" s="18" t="s">
        <v>30</v>
      </c>
      <c r="T4762" s="18" t="s">
        <v>3796</v>
      </c>
      <c r="U4762" s="18"/>
      <c r="V4762" s="18"/>
      <c r="W4762" s="18" t="s">
        <v>3797</v>
      </c>
      <c r="X4762" s="18" t="s">
        <v>42</v>
      </c>
      <c r="Y4762" s="18" t="s">
        <v>36</v>
      </c>
      <c r="Z4762" s="18" t="s">
        <v>697</v>
      </c>
      <c r="AA4762" s="21" t="str">
        <f>HYPERLINK("https://www.ncbi.nlm.nih.gov/nuccore/KM091442","NCBI Nucleotide")</f>
        <v>NCBI Nucleotide</v>
      </c>
    </row>
    <row r="4763" spans="1:27" x14ac:dyDescent="0.35">
      <c r="A4763">
        <v>1006544</v>
      </c>
      <c r="B4763">
        <v>4739</v>
      </c>
      <c r="C4763">
        <v>1</v>
      </c>
      <c r="D4763" s="17" t="s">
        <v>155</v>
      </c>
      <c r="E4763" s="17"/>
      <c r="F4763" s="17" t="s">
        <v>156</v>
      </c>
      <c r="G4763" s="17"/>
      <c r="H4763" s="17" t="s">
        <v>692</v>
      </c>
      <c r="I4763" s="17"/>
      <c r="J4763" s="17" t="s">
        <v>693</v>
      </c>
      <c r="K4763" s="17"/>
      <c r="L4763" s="17"/>
      <c r="M4763" s="17"/>
      <c r="N4763" s="17"/>
      <c r="O4763" s="17"/>
      <c r="P4763" s="17" t="s">
        <v>3671</v>
      </c>
      <c r="Q4763" s="17"/>
      <c r="R4763" s="25" t="str">
        <f>HYPERLINK("https://ictv.global/taxonomy/taxondetails?taxnode_id=202311887","Skunavirus sv42")</f>
        <v>Skunavirus sv42</v>
      </c>
      <c r="S4763" s="18" t="s">
        <v>30</v>
      </c>
      <c r="T4763" s="18" t="s">
        <v>3818</v>
      </c>
      <c r="U4763" s="18"/>
      <c r="V4763" s="18"/>
      <c r="W4763" s="18" t="s">
        <v>3819</v>
      </c>
      <c r="X4763" s="18" t="s">
        <v>42</v>
      </c>
      <c r="Y4763" s="18" t="s">
        <v>36</v>
      </c>
      <c r="Z4763" s="18" t="s">
        <v>697</v>
      </c>
      <c r="AA4763" s="21" t="str">
        <f>HYPERLINK("https://www.ncbi.nlm.nih.gov/nuccore/KP793123","NCBI Nucleotide")</f>
        <v>NCBI Nucleotide</v>
      </c>
    </row>
    <row r="4764" spans="1:27" x14ac:dyDescent="0.35">
      <c r="A4764">
        <v>1006545</v>
      </c>
      <c r="B4764">
        <v>4740</v>
      </c>
      <c r="C4764">
        <v>1</v>
      </c>
      <c r="D4764" s="17" t="s">
        <v>155</v>
      </c>
      <c r="E4764" s="17"/>
      <c r="F4764" s="17" t="s">
        <v>156</v>
      </c>
      <c r="G4764" s="17"/>
      <c r="H4764" s="17" t="s">
        <v>692</v>
      </c>
      <c r="I4764" s="17"/>
      <c r="J4764" s="17" t="s">
        <v>693</v>
      </c>
      <c r="K4764" s="17"/>
      <c r="L4764" s="17"/>
      <c r="M4764" s="17"/>
      <c r="N4764" s="17"/>
      <c r="O4764" s="17"/>
      <c r="P4764" s="17" t="s">
        <v>3671</v>
      </c>
      <c r="Q4764" s="17"/>
      <c r="R4764" s="25" t="str">
        <f>HYPERLINK("https://ictv.global/taxonomy/taxondetails?taxnode_id=202311946","Skunavirus sv44")</f>
        <v>Skunavirus sv44</v>
      </c>
      <c r="S4764" s="18" t="s">
        <v>30</v>
      </c>
      <c r="T4764" s="18" t="s">
        <v>3820</v>
      </c>
      <c r="U4764" s="18"/>
      <c r="V4764" s="18"/>
      <c r="W4764" s="18" t="s">
        <v>3821</v>
      </c>
      <c r="X4764" s="18" t="s">
        <v>42</v>
      </c>
      <c r="Y4764" s="18" t="s">
        <v>36</v>
      </c>
      <c r="Z4764" s="18" t="s">
        <v>697</v>
      </c>
      <c r="AA4764" s="21" t="str">
        <f>HYPERLINK("https://www.ncbi.nlm.nih.gov/nuccore/KP793124","NCBI Nucleotide")</f>
        <v>NCBI Nucleotide</v>
      </c>
    </row>
    <row r="4765" spans="1:27" x14ac:dyDescent="0.35">
      <c r="A4765">
        <v>1006529</v>
      </c>
      <c r="B4765">
        <v>4741</v>
      </c>
      <c r="C4765">
        <v>1</v>
      </c>
      <c r="D4765" s="17" t="s">
        <v>155</v>
      </c>
      <c r="E4765" s="17"/>
      <c r="F4765" s="17" t="s">
        <v>156</v>
      </c>
      <c r="G4765" s="17"/>
      <c r="H4765" s="17" t="s">
        <v>692</v>
      </c>
      <c r="I4765" s="17"/>
      <c r="J4765" s="17" t="s">
        <v>693</v>
      </c>
      <c r="K4765" s="17"/>
      <c r="L4765" s="17"/>
      <c r="M4765" s="17"/>
      <c r="N4765" s="17"/>
      <c r="O4765" s="17"/>
      <c r="P4765" s="17" t="s">
        <v>3671</v>
      </c>
      <c r="Q4765" s="17"/>
      <c r="R4765" s="25" t="str">
        <f>HYPERLINK("https://ictv.global/taxonomy/taxondetails?taxnode_id=202311885","Skunavirus sv109")</f>
        <v>Skunavirus sv109</v>
      </c>
      <c r="S4765" s="18" t="s">
        <v>30</v>
      </c>
      <c r="T4765" s="18" t="s">
        <v>3788</v>
      </c>
      <c r="U4765" s="18"/>
      <c r="V4765" s="18"/>
      <c r="W4765" s="18" t="s">
        <v>3789</v>
      </c>
      <c r="X4765" s="18" t="s">
        <v>42</v>
      </c>
      <c r="Y4765" s="18" t="s">
        <v>36</v>
      </c>
      <c r="Z4765" s="18" t="s">
        <v>697</v>
      </c>
      <c r="AA4765" s="21" t="str">
        <f>HYPERLINK("https://www.ncbi.nlm.nih.gov/nuccore/KP793121","NCBI Nucleotide")</f>
        <v>NCBI Nucleotide</v>
      </c>
    </row>
    <row r="4766" spans="1:27" x14ac:dyDescent="0.35">
      <c r="A4766">
        <v>1006532</v>
      </c>
      <c r="B4766">
        <v>4742</v>
      </c>
      <c r="C4766">
        <v>1</v>
      </c>
      <c r="D4766" s="17" t="s">
        <v>155</v>
      </c>
      <c r="E4766" s="17"/>
      <c r="F4766" s="17" t="s">
        <v>156</v>
      </c>
      <c r="G4766" s="17"/>
      <c r="H4766" s="17" t="s">
        <v>692</v>
      </c>
      <c r="I4766" s="17"/>
      <c r="J4766" s="17" t="s">
        <v>693</v>
      </c>
      <c r="K4766" s="17"/>
      <c r="L4766" s="17"/>
      <c r="M4766" s="17"/>
      <c r="N4766" s="17"/>
      <c r="O4766" s="17"/>
      <c r="P4766" s="17" t="s">
        <v>3671</v>
      </c>
      <c r="Q4766" s="17"/>
      <c r="R4766" s="25" t="str">
        <f>HYPERLINK("https://ictv.global/taxonomy/taxondetails?taxnode_id=202311878","Skunavirus sv145")</f>
        <v>Skunavirus sv145</v>
      </c>
      <c r="S4766" s="18" t="s">
        <v>30</v>
      </c>
      <c r="T4766" s="18" t="s">
        <v>3794</v>
      </c>
      <c r="U4766" s="18"/>
      <c r="V4766" s="18"/>
      <c r="W4766" s="18" t="s">
        <v>3795</v>
      </c>
      <c r="X4766" s="18" t="s">
        <v>42</v>
      </c>
      <c r="Y4766" s="18" t="s">
        <v>36</v>
      </c>
      <c r="Z4766" s="18" t="s">
        <v>697</v>
      </c>
      <c r="AA4766" s="21" t="str">
        <f>HYPERLINK("https://www.ncbi.nlm.nih.gov/nuccore/KM091444","NCBI Nucleotide")</f>
        <v>NCBI Nucleotide</v>
      </c>
    </row>
    <row r="4767" spans="1:27" x14ac:dyDescent="0.35">
      <c r="A4767">
        <v>1006534</v>
      </c>
      <c r="B4767">
        <v>4743</v>
      </c>
      <c r="C4767">
        <v>1</v>
      </c>
      <c r="D4767" s="17" t="s">
        <v>155</v>
      </c>
      <c r="E4767" s="17"/>
      <c r="F4767" s="17" t="s">
        <v>156</v>
      </c>
      <c r="G4767" s="17"/>
      <c r="H4767" s="17" t="s">
        <v>692</v>
      </c>
      <c r="I4767" s="17"/>
      <c r="J4767" s="17" t="s">
        <v>693</v>
      </c>
      <c r="K4767" s="17"/>
      <c r="L4767" s="17"/>
      <c r="M4767" s="17"/>
      <c r="N4767" s="17"/>
      <c r="O4767" s="17"/>
      <c r="P4767" s="17" t="s">
        <v>3671</v>
      </c>
      <c r="Q4767" s="17"/>
      <c r="R4767" s="25" t="str">
        <f>HYPERLINK("https://ictv.global/taxonomy/taxondetails?taxnode_id=202311890","Skunavirus sv155")</f>
        <v>Skunavirus sv155</v>
      </c>
      <c r="S4767" s="18" t="s">
        <v>30</v>
      </c>
      <c r="T4767" s="18" t="s">
        <v>3798</v>
      </c>
      <c r="U4767" s="18"/>
      <c r="V4767" s="18"/>
      <c r="W4767" s="18" t="s">
        <v>3799</v>
      </c>
      <c r="X4767" s="18" t="s">
        <v>42</v>
      </c>
      <c r="Y4767" s="18" t="s">
        <v>36</v>
      </c>
      <c r="Z4767" s="18" t="s">
        <v>697</v>
      </c>
      <c r="AA4767" s="21" t="str">
        <f>HYPERLINK("https://www.ncbi.nlm.nih.gov/nuccore/KP793130","NCBI Nucleotide")</f>
        <v>NCBI Nucleotide</v>
      </c>
    </row>
    <row r="4768" spans="1:27" x14ac:dyDescent="0.35">
      <c r="A4768">
        <v>1006537</v>
      </c>
      <c r="B4768">
        <v>4744</v>
      </c>
      <c r="C4768">
        <v>1</v>
      </c>
      <c r="D4768" s="17" t="s">
        <v>155</v>
      </c>
      <c r="E4768" s="17"/>
      <c r="F4768" s="17" t="s">
        <v>156</v>
      </c>
      <c r="G4768" s="17"/>
      <c r="H4768" s="17" t="s">
        <v>692</v>
      </c>
      <c r="I4768" s="17"/>
      <c r="J4768" s="17" t="s">
        <v>693</v>
      </c>
      <c r="K4768" s="17"/>
      <c r="L4768" s="17"/>
      <c r="M4768" s="17"/>
      <c r="N4768" s="17"/>
      <c r="O4768" s="17"/>
      <c r="P4768" s="17" t="s">
        <v>3671</v>
      </c>
      <c r="Q4768" s="17"/>
      <c r="R4768" s="25" t="str">
        <f>HYPERLINK("https://ictv.global/taxonomy/taxondetails?taxnode_id=202311881","Skunavirus sv193")</f>
        <v>Skunavirus sv193</v>
      </c>
      <c r="S4768" s="18" t="s">
        <v>30</v>
      </c>
      <c r="T4768" s="18" t="s">
        <v>3804</v>
      </c>
      <c r="U4768" s="18"/>
      <c r="V4768" s="18"/>
      <c r="W4768" s="18" t="s">
        <v>3805</v>
      </c>
      <c r="X4768" s="18" t="s">
        <v>42</v>
      </c>
      <c r="Y4768" s="18" t="s">
        <v>36</v>
      </c>
      <c r="Z4768" s="18" t="s">
        <v>697</v>
      </c>
      <c r="AA4768" s="21" t="str">
        <f>HYPERLINK("https://www.ncbi.nlm.nih.gov/nuccore/KP793105","NCBI Nucleotide")</f>
        <v>NCBI Nucleotide</v>
      </c>
    </row>
    <row r="4769" spans="1:27" x14ac:dyDescent="0.35">
      <c r="A4769">
        <v>1006539</v>
      </c>
      <c r="B4769">
        <v>4745</v>
      </c>
      <c r="C4769">
        <v>1</v>
      </c>
      <c r="D4769" s="17" t="s">
        <v>155</v>
      </c>
      <c r="E4769" s="17"/>
      <c r="F4769" s="17" t="s">
        <v>156</v>
      </c>
      <c r="G4769" s="17"/>
      <c r="H4769" s="17" t="s">
        <v>692</v>
      </c>
      <c r="I4769" s="17"/>
      <c r="J4769" s="17" t="s">
        <v>693</v>
      </c>
      <c r="K4769" s="17"/>
      <c r="L4769" s="17"/>
      <c r="M4769" s="17"/>
      <c r="N4769" s="17"/>
      <c r="O4769" s="17"/>
      <c r="P4769" s="17" t="s">
        <v>3671</v>
      </c>
      <c r="Q4769" s="17"/>
      <c r="R4769" s="25" t="str">
        <f>HYPERLINK("https://ictv.global/taxonomy/taxondetails?taxnode_id=202311867","Skunavirus sv340")</f>
        <v>Skunavirus sv340</v>
      </c>
      <c r="S4769" s="18" t="s">
        <v>30</v>
      </c>
      <c r="T4769" s="18" t="s">
        <v>3808</v>
      </c>
      <c r="U4769" s="18"/>
      <c r="V4769" s="18"/>
      <c r="W4769" s="18" t="s">
        <v>3809</v>
      </c>
      <c r="X4769" s="18" t="s">
        <v>42</v>
      </c>
      <c r="Y4769" s="18" t="s">
        <v>36</v>
      </c>
      <c r="Z4769" s="18" t="s">
        <v>697</v>
      </c>
      <c r="AA4769" s="21" t="str">
        <f>HYPERLINK("https://www.ncbi.nlm.nih.gov/nuccore/KC182542","NCBI Nucleotide")</f>
        <v>NCBI Nucleotide</v>
      </c>
    </row>
    <row r="4770" spans="1:27" x14ac:dyDescent="0.35">
      <c r="A4770">
        <v>1006546</v>
      </c>
      <c r="B4770">
        <v>4746</v>
      </c>
      <c r="C4770">
        <v>1</v>
      </c>
      <c r="D4770" s="17" t="s">
        <v>155</v>
      </c>
      <c r="E4770" s="17"/>
      <c r="F4770" s="17" t="s">
        <v>156</v>
      </c>
      <c r="G4770" s="17"/>
      <c r="H4770" s="17" t="s">
        <v>692</v>
      </c>
      <c r="I4770" s="17"/>
      <c r="J4770" s="17" t="s">
        <v>693</v>
      </c>
      <c r="K4770" s="17"/>
      <c r="L4770" s="17"/>
      <c r="M4770" s="17"/>
      <c r="N4770" s="17"/>
      <c r="O4770" s="17"/>
      <c r="P4770" s="17" t="s">
        <v>3671</v>
      </c>
      <c r="Q4770" s="17"/>
      <c r="R4770" s="25" t="str">
        <f>HYPERLINK("https://ictv.global/taxonomy/taxondetails?taxnode_id=202311882","Skunavirus sv512")</f>
        <v>Skunavirus sv512</v>
      </c>
      <c r="S4770" s="18" t="s">
        <v>30</v>
      </c>
      <c r="T4770" s="18" t="s">
        <v>3822</v>
      </c>
      <c r="U4770" s="18"/>
      <c r="V4770" s="18"/>
      <c r="W4770" s="18" t="s">
        <v>3823</v>
      </c>
      <c r="X4770" s="18" t="s">
        <v>42</v>
      </c>
      <c r="Y4770" s="18" t="s">
        <v>36</v>
      </c>
      <c r="Z4770" s="18" t="s">
        <v>697</v>
      </c>
      <c r="AA4770" s="21" t="str">
        <f>HYPERLINK("https://www.ncbi.nlm.nih.gov/nuccore/KP793108","NCBI Nucleotide")</f>
        <v>NCBI Nucleotide</v>
      </c>
    </row>
    <row r="4771" spans="1:27" x14ac:dyDescent="0.35">
      <c r="A4771">
        <v>1006556</v>
      </c>
      <c r="B4771">
        <v>4747</v>
      </c>
      <c r="C4771">
        <v>1</v>
      </c>
      <c r="D4771" s="17" t="s">
        <v>155</v>
      </c>
      <c r="E4771" s="17"/>
      <c r="F4771" s="17" t="s">
        <v>156</v>
      </c>
      <c r="G4771" s="17"/>
      <c r="H4771" s="17" t="s">
        <v>692</v>
      </c>
      <c r="I4771" s="17"/>
      <c r="J4771" s="17" t="s">
        <v>693</v>
      </c>
      <c r="K4771" s="17"/>
      <c r="L4771" s="17"/>
      <c r="M4771" s="17"/>
      <c r="N4771" s="17"/>
      <c r="O4771" s="17"/>
      <c r="P4771" s="17" t="s">
        <v>3671</v>
      </c>
      <c r="Q4771" s="17"/>
      <c r="R4771" s="25" t="str">
        <f>HYPERLINK("https://ictv.global/taxonomy/taxondetails?taxnode_id=202301286","Skunavirus sv712")</f>
        <v>Skunavirus sv712</v>
      </c>
      <c r="S4771" s="18" t="s">
        <v>30</v>
      </c>
      <c r="T4771" s="18" t="s">
        <v>3842</v>
      </c>
      <c r="U4771" s="18"/>
      <c r="V4771" s="18"/>
      <c r="W4771" s="18" t="s">
        <v>3843</v>
      </c>
      <c r="X4771" s="18" t="s">
        <v>42</v>
      </c>
      <c r="Y4771" s="18" t="s">
        <v>36</v>
      </c>
      <c r="Z4771" s="18" t="s">
        <v>697</v>
      </c>
      <c r="AA4771" s="21" t="str">
        <f>HYPERLINK("https://www.ncbi.nlm.nih.gov/nuccore/DQ227763","NCBI Nucleotide")</f>
        <v>NCBI Nucleotide</v>
      </c>
    </row>
    <row r="4772" spans="1:27" x14ac:dyDescent="0.35">
      <c r="A4772">
        <v>1006561</v>
      </c>
      <c r="B4772">
        <v>4748</v>
      </c>
      <c r="C4772">
        <v>1</v>
      </c>
      <c r="D4772" s="17" t="s">
        <v>155</v>
      </c>
      <c r="E4772" s="17"/>
      <c r="F4772" s="17" t="s">
        <v>156</v>
      </c>
      <c r="G4772" s="17"/>
      <c r="H4772" s="17" t="s">
        <v>692</v>
      </c>
      <c r="I4772" s="17"/>
      <c r="J4772" s="17" t="s">
        <v>693</v>
      </c>
      <c r="K4772" s="17"/>
      <c r="L4772" s="17"/>
      <c r="M4772" s="17"/>
      <c r="N4772" s="17"/>
      <c r="O4772" s="17"/>
      <c r="P4772" s="17" t="s">
        <v>3671</v>
      </c>
      <c r="Q4772" s="17"/>
      <c r="R4772" s="25" t="str">
        <f>HYPERLINK("https://ictv.global/taxonomy/taxondetails?taxnode_id=202311868","Skunavirus sv936")</f>
        <v>Skunavirus sv936</v>
      </c>
      <c r="S4772" s="18" t="s">
        <v>30</v>
      </c>
      <c r="T4772" s="18" t="s">
        <v>3852</v>
      </c>
      <c r="U4772" s="18"/>
      <c r="V4772" s="18"/>
      <c r="W4772" s="18" t="s">
        <v>3853</v>
      </c>
      <c r="X4772" s="18" t="s">
        <v>42</v>
      </c>
      <c r="Y4772" s="18" t="s">
        <v>36</v>
      </c>
      <c r="Z4772" s="18" t="s">
        <v>697</v>
      </c>
      <c r="AA4772" s="21" t="str">
        <f>HYPERLINK("https://www.ncbi.nlm.nih.gov/nuccore/KC182544","NCBI Nucleotide")</f>
        <v>NCBI Nucleotide</v>
      </c>
    </row>
    <row r="4773" spans="1:27" x14ac:dyDescent="0.35">
      <c r="A4773">
        <v>1006528</v>
      </c>
      <c r="B4773">
        <v>4749</v>
      </c>
      <c r="C4773">
        <v>1</v>
      </c>
      <c r="D4773" s="17" t="s">
        <v>155</v>
      </c>
      <c r="E4773" s="17"/>
      <c r="F4773" s="17" t="s">
        <v>156</v>
      </c>
      <c r="G4773" s="17"/>
      <c r="H4773" s="17" t="s">
        <v>692</v>
      </c>
      <c r="I4773" s="17"/>
      <c r="J4773" s="17" t="s">
        <v>693</v>
      </c>
      <c r="K4773" s="17"/>
      <c r="L4773" s="17"/>
      <c r="M4773" s="17"/>
      <c r="N4773" s="17"/>
      <c r="O4773" s="17"/>
      <c r="P4773" s="17" t="s">
        <v>3671</v>
      </c>
      <c r="Q4773" s="17"/>
      <c r="R4773" s="25" t="str">
        <f>HYPERLINK("https://ictv.global/taxonomy/taxondetails?taxnode_id=202311899","Skunavirus sv05601")</f>
        <v>Skunavirus sv05601</v>
      </c>
      <c r="S4773" s="18" t="s">
        <v>30</v>
      </c>
      <c r="T4773" s="18" t="s">
        <v>3786</v>
      </c>
      <c r="U4773" s="18"/>
      <c r="V4773" s="18"/>
      <c r="W4773" s="18" t="s">
        <v>3787</v>
      </c>
      <c r="X4773" s="18" t="s">
        <v>42</v>
      </c>
      <c r="Y4773" s="18" t="s">
        <v>36</v>
      </c>
      <c r="Z4773" s="18" t="s">
        <v>697</v>
      </c>
      <c r="AA4773" s="21" t="str">
        <f>HYPERLINK("https://www.ncbi.nlm.nih.gov/nuccore/MF448554","NCBI Nucleotide")</f>
        <v>NCBI Nucleotide</v>
      </c>
    </row>
    <row r="4774" spans="1:27" x14ac:dyDescent="0.35">
      <c r="A4774">
        <v>1006535</v>
      </c>
      <c r="B4774">
        <v>4750</v>
      </c>
      <c r="C4774">
        <v>1</v>
      </c>
      <c r="D4774" s="17" t="s">
        <v>155</v>
      </c>
      <c r="E4774" s="17"/>
      <c r="F4774" s="17" t="s">
        <v>156</v>
      </c>
      <c r="G4774" s="17"/>
      <c r="H4774" s="17" t="s">
        <v>692</v>
      </c>
      <c r="I4774" s="17"/>
      <c r="J4774" s="17" t="s">
        <v>693</v>
      </c>
      <c r="K4774" s="17"/>
      <c r="L4774" s="17"/>
      <c r="M4774" s="17"/>
      <c r="N4774" s="17"/>
      <c r="O4774" s="17"/>
      <c r="P4774" s="17" t="s">
        <v>3671</v>
      </c>
      <c r="Q4774" s="17"/>
      <c r="R4774" s="25" t="str">
        <f>HYPERLINK("https://ictv.global/taxonomy/taxondetails?taxnode_id=202311900","Skunavirus sv16802")</f>
        <v>Skunavirus sv16802</v>
      </c>
      <c r="S4774" s="18" t="s">
        <v>30</v>
      </c>
      <c r="T4774" s="18" t="s">
        <v>3800</v>
      </c>
      <c r="U4774" s="18"/>
      <c r="V4774" s="18"/>
      <c r="W4774" s="18" t="s">
        <v>3801</v>
      </c>
      <c r="X4774" s="18" t="s">
        <v>42</v>
      </c>
      <c r="Y4774" s="18" t="s">
        <v>36</v>
      </c>
      <c r="Z4774" s="18" t="s">
        <v>697</v>
      </c>
      <c r="AA4774" s="21" t="str">
        <f>HYPERLINK("https://www.ncbi.nlm.nih.gov/nuccore/MF448555","NCBI Nucleotide")</f>
        <v>NCBI Nucleotide</v>
      </c>
    </row>
    <row r="4775" spans="1:27" x14ac:dyDescent="0.35">
      <c r="A4775">
        <v>1006530</v>
      </c>
      <c r="B4775">
        <v>4751</v>
      </c>
      <c r="C4775">
        <v>1</v>
      </c>
      <c r="D4775" s="17" t="s">
        <v>155</v>
      </c>
      <c r="E4775" s="17"/>
      <c r="F4775" s="17" t="s">
        <v>156</v>
      </c>
      <c r="G4775" s="17"/>
      <c r="H4775" s="17" t="s">
        <v>692</v>
      </c>
      <c r="I4775" s="17"/>
      <c r="J4775" s="17" t="s">
        <v>693</v>
      </c>
      <c r="K4775" s="17"/>
      <c r="L4775" s="17"/>
      <c r="M4775" s="17"/>
      <c r="N4775" s="17"/>
      <c r="O4775" s="17"/>
      <c r="P4775" s="17" t="s">
        <v>3671</v>
      </c>
      <c r="Q4775" s="17"/>
      <c r="R4775" s="25" t="str">
        <f>HYPERLINK("https://ictv.global/taxonomy/taxondetails?taxnode_id=202311895","Skunavirus sv10W18")</f>
        <v>Skunavirus sv10W18</v>
      </c>
      <c r="S4775" s="18" t="s">
        <v>30</v>
      </c>
      <c r="T4775" s="18" t="s">
        <v>3790</v>
      </c>
      <c r="U4775" s="18"/>
      <c r="V4775" s="18"/>
      <c r="W4775" s="18" t="s">
        <v>3791</v>
      </c>
      <c r="X4775" s="18" t="s">
        <v>42</v>
      </c>
      <c r="Y4775" s="18" t="s">
        <v>36</v>
      </c>
      <c r="Z4775" s="18" t="s">
        <v>697</v>
      </c>
      <c r="AA4775" s="21" t="str">
        <f>HYPERLINK("https://www.ncbi.nlm.nih.gov/nuccore/KX379664","NCBI Nucleotide")</f>
        <v>NCBI Nucleotide</v>
      </c>
    </row>
    <row r="4776" spans="1:27" x14ac:dyDescent="0.35">
      <c r="A4776">
        <v>1006531</v>
      </c>
      <c r="B4776">
        <v>4752</v>
      </c>
      <c r="C4776">
        <v>1</v>
      </c>
      <c r="D4776" s="17" t="s">
        <v>155</v>
      </c>
      <c r="E4776" s="17"/>
      <c r="F4776" s="17" t="s">
        <v>156</v>
      </c>
      <c r="G4776" s="17"/>
      <c r="H4776" s="17" t="s">
        <v>692</v>
      </c>
      <c r="I4776" s="17"/>
      <c r="J4776" s="17" t="s">
        <v>693</v>
      </c>
      <c r="K4776" s="17"/>
      <c r="L4776" s="17"/>
      <c r="M4776" s="17"/>
      <c r="N4776" s="17"/>
      <c r="O4776" s="17"/>
      <c r="P4776" s="17" t="s">
        <v>3671</v>
      </c>
      <c r="Q4776" s="17"/>
      <c r="R4776" s="25" t="str">
        <f>HYPERLINK("https://ictv.global/taxonomy/taxondetails?taxnode_id=202311945","Skunavirus sv13W11L")</f>
        <v>Skunavirus sv13W11L</v>
      </c>
      <c r="S4776" s="18" t="s">
        <v>30</v>
      </c>
      <c r="T4776" s="18" t="s">
        <v>3792</v>
      </c>
      <c r="U4776" s="18"/>
      <c r="V4776" s="18"/>
      <c r="W4776" s="18" t="s">
        <v>3793</v>
      </c>
      <c r="X4776" s="18" t="s">
        <v>42</v>
      </c>
      <c r="Y4776" s="18" t="s">
        <v>36</v>
      </c>
      <c r="Z4776" s="18" t="s">
        <v>697</v>
      </c>
      <c r="AA4776" s="21" t="str">
        <f>HYPERLINK("https://www.ncbi.nlm.nih.gov/nuccore/KX379671","NCBI Nucleotide")</f>
        <v>NCBI Nucleotide</v>
      </c>
    </row>
    <row r="4777" spans="1:27" x14ac:dyDescent="0.35">
      <c r="A4777">
        <v>1006536</v>
      </c>
      <c r="B4777">
        <v>4753</v>
      </c>
      <c r="C4777">
        <v>1</v>
      </c>
      <c r="D4777" s="17" t="s">
        <v>155</v>
      </c>
      <c r="E4777" s="17"/>
      <c r="F4777" s="17" t="s">
        <v>156</v>
      </c>
      <c r="G4777" s="17"/>
      <c r="H4777" s="17" t="s">
        <v>692</v>
      </c>
      <c r="I4777" s="17"/>
      <c r="J4777" s="17" t="s">
        <v>693</v>
      </c>
      <c r="K4777" s="17"/>
      <c r="L4777" s="17"/>
      <c r="M4777" s="17"/>
      <c r="N4777" s="17"/>
      <c r="O4777" s="17"/>
      <c r="P4777" s="17" t="s">
        <v>3671</v>
      </c>
      <c r="Q4777" s="17"/>
      <c r="R4777" s="25" t="str">
        <f>HYPERLINK("https://ictv.global/taxonomy/taxondetails?taxnode_id=202311944","Skunavirus sv16W23")</f>
        <v>Skunavirus sv16W23</v>
      </c>
      <c r="S4777" s="18" t="s">
        <v>30</v>
      </c>
      <c r="T4777" s="18" t="s">
        <v>3802</v>
      </c>
      <c r="U4777" s="18"/>
      <c r="V4777" s="18"/>
      <c r="W4777" s="18" t="s">
        <v>3803</v>
      </c>
      <c r="X4777" s="18" t="s">
        <v>42</v>
      </c>
      <c r="Y4777" s="18" t="s">
        <v>36</v>
      </c>
      <c r="Z4777" s="18" t="s">
        <v>697</v>
      </c>
      <c r="AA4777" s="21" t="str">
        <f>HYPERLINK("https://www.ncbi.nlm.nih.gov/nuccore/KX346249","NCBI Nucleotide")</f>
        <v>NCBI Nucleotide</v>
      </c>
    </row>
    <row r="4778" spans="1:27" x14ac:dyDescent="0.35">
      <c r="A4778">
        <v>1006538</v>
      </c>
      <c r="B4778">
        <v>4754</v>
      </c>
      <c r="C4778">
        <v>1</v>
      </c>
      <c r="D4778" s="17" t="s">
        <v>155</v>
      </c>
      <c r="E4778" s="17"/>
      <c r="F4778" s="17" t="s">
        <v>156</v>
      </c>
      <c r="G4778" s="17"/>
      <c r="H4778" s="17" t="s">
        <v>692</v>
      </c>
      <c r="I4778" s="17"/>
      <c r="J4778" s="17" t="s">
        <v>693</v>
      </c>
      <c r="K4778" s="17"/>
      <c r="L4778" s="17"/>
      <c r="M4778" s="17"/>
      <c r="N4778" s="17"/>
      <c r="O4778" s="17"/>
      <c r="P4778" s="17" t="s">
        <v>3671</v>
      </c>
      <c r="Q4778" s="17"/>
      <c r="R4778" s="25" t="str">
        <f>HYPERLINK("https://ictv.global/taxonomy/taxondetails?taxnode_id=202311901","Skunavirus sv30804")</f>
        <v>Skunavirus sv30804</v>
      </c>
      <c r="S4778" s="18" t="s">
        <v>30</v>
      </c>
      <c r="T4778" s="18" t="s">
        <v>3806</v>
      </c>
      <c r="U4778" s="18"/>
      <c r="V4778" s="18"/>
      <c r="W4778" s="18" t="s">
        <v>3807</v>
      </c>
      <c r="X4778" s="18" t="s">
        <v>42</v>
      </c>
      <c r="Y4778" s="18" t="s">
        <v>36</v>
      </c>
      <c r="Z4778" s="18" t="s">
        <v>697</v>
      </c>
      <c r="AA4778" s="21" t="str">
        <f>HYPERLINK("https://www.ncbi.nlm.nih.gov/nuccore/MF448556","NCBI Nucleotide")</f>
        <v>NCBI Nucleotide</v>
      </c>
    </row>
    <row r="4779" spans="1:27" x14ac:dyDescent="0.35">
      <c r="A4779">
        <v>1006540</v>
      </c>
      <c r="B4779">
        <v>4755</v>
      </c>
      <c r="C4779">
        <v>1</v>
      </c>
      <c r="D4779" s="17" t="s">
        <v>155</v>
      </c>
      <c r="E4779" s="17"/>
      <c r="F4779" s="17" t="s">
        <v>156</v>
      </c>
      <c r="G4779" s="17"/>
      <c r="H4779" s="17" t="s">
        <v>692</v>
      </c>
      <c r="I4779" s="17"/>
      <c r="J4779" s="17" t="s">
        <v>693</v>
      </c>
      <c r="K4779" s="17"/>
      <c r="L4779" s="17"/>
      <c r="M4779" s="17"/>
      <c r="N4779" s="17"/>
      <c r="O4779" s="17"/>
      <c r="P4779" s="17" t="s">
        <v>3671</v>
      </c>
      <c r="Q4779" s="17"/>
      <c r="R4779" s="25" t="str">
        <f>HYPERLINK("https://ictv.global/taxonomy/taxondetails?taxnode_id=202311902","Skunavirus sv37201")</f>
        <v>Skunavirus sv37201</v>
      </c>
      <c r="S4779" s="18" t="s">
        <v>30</v>
      </c>
      <c r="T4779" s="18" t="s">
        <v>3810</v>
      </c>
      <c r="U4779" s="18"/>
      <c r="V4779" s="18"/>
      <c r="W4779" s="18" t="s">
        <v>3811</v>
      </c>
      <c r="X4779" s="18" t="s">
        <v>42</v>
      </c>
      <c r="Y4779" s="18" t="s">
        <v>36</v>
      </c>
      <c r="Z4779" s="18" t="s">
        <v>697</v>
      </c>
      <c r="AA4779" s="21" t="str">
        <f>HYPERLINK("https://www.ncbi.nlm.nih.gov/nuccore/MF448557","NCBI Nucleotide")</f>
        <v>NCBI Nucleotide</v>
      </c>
    </row>
    <row r="4780" spans="1:27" x14ac:dyDescent="0.35">
      <c r="A4780">
        <v>1006541</v>
      </c>
      <c r="B4780">
        <v>4756</v>
      </c>
      <c r="C4780">
        <v>1</v>
      </c>
      <c r="D4780" s="17" t="s">
        <v>155</v>
      </c>
      <c r="E4780" s="17"/>
      <c r="F4780" s="17" t="s">
        <v>156</v>
      </c>
      <c r="G4780" s="17"/>
      <c r="H4780" s="17" t="s">
        <v>692</v>
      </c>
      <c r="I4780" s="17"/>
      <c r="J4780" s="17" t="s">
        <v>693</v>
      </c>
      <c r="K4780" s="17"/>
      <c r="L4780" s="17"/>
      <c r="M4780" s="17"/>
      <c r="N4780" s="17"/>
      <c r="O4780" s="17"/>
      <c r="P4780" s="17" t="s">
        <v>3671</v>
      </c>
      <c r="Q4780" s="17"/>
      <c r="R4780" s="25" t="str">
        <f>HYPERLINK("https://ictv.global/taxonomy/taxondetails?taxnode_id=202311903","Skunavirus sv38503")</f>
        <v>Skunavirus sv38503</v>
      </c>
      <c r="S4780" s="18" t="s">
        <v>30</v>
      </c>
      <c r="T4780" s="18" t="s">
        <v>3812</v>
      </c>
      <c r="U4780" s="18"/>
      <c r="V4780" s="18"/>
      <c r="W4780" s="18" t="s">
        <v>3813</v>
      </c>
      <c r="X4780" s="18" t="s">
        <v>42</v>
      </c>
      <c r="Y4780" s="18" t="s">
        <v>36</v>
      </c>
      <c r="Z4780" s="18" t="s">
        <v>697</v>
      </c>
      <c r="AA4780" s="21" t="str">
        <f>HYPERLINK("https://www.ncbi.nlm.nih.gov/nuccore/MF448558","NCBI Nucleotide")</f>
        <v>NCBI Nucleotide</v>
      </c>
    </row>
    <row r="4781" spans="1:27" x14ac:dyDescent="0.35">
      <c r="A4781">
        <v>1006542</v>
      </c>
      <c r="B4781">
        <v>4757</v>
      </c>
      <c r="C4781">
        <v>1</v>
      </c>
      <c r="D4781" s="17" t="s">
        <v>155</v>
      </c>
      <c r="E4781" s="17"/>
      <c r="F4781" s="17" t="s">
        <v>156</v>
      </c>
      <c r="G4781" s="17"/>
      <c r="H4781" s="17" t="s">
        <v>692</v>
      </c>
      <c r="I4781" s="17"/>
      <c r="J4781" s="17" t="s">
        <v>693</v>
      </c>
      <c r="K4781" s="17"/>
      <c r="L4781" s="17"/>
      <c r="M4781" s="17"/>
      <c r="N4781" s="17"/>
      <c r="O4781" s="17"/>
      <c r="P4781" s="17" t="s">
        <v>3671</v>
      </c>
      <c r="Q4781" s="17"/>
      <c r="R4781" s="25" t="str">
        <f>HYPERLINK("https://ictv.global/taxonomy/taxondetails?taxnode_id=202311904","Skunavirus sv38507")</f>
        <v>Skunavirus sv38507</v>
      </c>
      <c r="S4781" s="18" t="s">
        <v>30</v>
      </c>
      <c r="T4781" s="18" t="s">
        <v>3814</v>
      </c>
      <c r="U4781" s="18"/>
      <c r="V4781" s="18"/>
      <c r="W4781" s="18" t="s">
        <v>3815</v>
      </c>
      <c r="X4781" s="18" t="s">
        <v>42</v>
      </c>
      <c r="Y4781" s="18" t="s">
        <v>36</v>
      </c>
      <c r="Z4781" s="18" t="s">
        <v>697</v>
      </c>
      <c r="AA4781" s="21" t="str">
        <f>HYPERLINK("https://www.ncbi.nlm.nih.gov/nuccore/MF448559","NCBI Nucleotide")</f>
        <v>NCBI Nucleotide</v>
      </c>
    </row>
    <row r="4782" spans="1:27" x14ac:dyDescent="0.35">
      <c r="A4782">
        <v>1006543</v>
      </c>
      <c r="B4782">
        <v>4758</v>
      </c>
      <c r="C4782">
        <v>1</v>
      </c>
      <c r="D4782" s="17" t="s">
        <v>155</v>
      </c>
      <c r="E4782" s="17"/>
      <c r="F4782" s="17" t="s">
        <v>156</v>
      </c>
      <c r="G4782" s="17"/>
      <c r="H4782" s="17" t="s">
        <v>692</v>
      </c>
      <c r="I4782" s="17"/>
      <c r="J4782" s="17" t="s">
        <v>693</v>
      </c>
      <c r="K4782" s="17"/>
      <c r="L4782" s="17"/>
      <c r="M4782" s="17"/>
      <c r="N4782" s="17"/>
      <c r="O4782" s="17"/>
      <c r="P4782" s="17" t="s">
        <v>3671</v>
      </c>
      <c r="Q4782" s="17"/>
      <c r="R4782" s="25" t="str">
        <f>HYPERLINK("https://ictv.global/taxonomy/taxondetails?taxnode_id=202311897","Skunavirus sv3R16S")</f>
        <v>Skunavirus sv3R16S</v>
      </c>
      <c r="S4782" s="18" t="s">
        <v>30</v>
      </c>
      <c r="T4782" s="18" t="s">
        <v>3816</v>
      </c>
      <c r="U4782" s="18"/>
      <c r="V4782" s="18"/>
      <c r="W4782" s="18" t="s">
        <v>3817</v>
      </c>
      <c r="X4782" s="18" t="s">
        <v>42</v>
      </c>
      <c r="Y4782" s="18" t="s">
        <v>36</v>
      </c>
      <c r="Z4782" s="18" t="s">
        <v>697</v>
      </c>
      <c r="AA4782" s="21" t="str">
        <f>HYPERLINK("https://www.ncbi.nlm.nih.gov/nuccore/KX379666","NCBI Nucleotide")</f>
        <v>NCBI Nucleotide</v>
      </c>
    </row>
    <row r="4783" spans="1:27" x14ac:dyDescent="0.35">
      <c r="A4783">
        <v>1006547</v>
      </c>
      <c r="B4783">
        <v>4759</v>
      </c>
      <c r="C4783">
        <v>1</v>
      </c>
      <c r="D4783" s="17" t="s">
        <v>155</v>
      </c>
      <c r="E4783" s="17"/>
      <c r="F4783" s="17" t="s">
        <v>156</v>
      </c>
      <c r="G4783" s="17"/>
      <c r="H4783" s="17" t="s">
        <v>692</v>
      </c>
      <c r="I4783" s="17"/>
      <c r="J4783" s="17" t="s">
        <v>693</v>
      </c>
      <c r="K4783" s="17"/>
      <c r="L4783" s="17"/>
      <c r="M4783" s="17"/>
      <c r="N4783" s="17"/>
      <c r="O4783" s="17"/>
      <c r="P4783" s="17" t="s">
        <v>3671</v>
      </c>
      <c r="Q4783" s="17"/>
      <c r="R4783" s="25" t="str">
        <f>HYPERLINK("https://ictv.global/taxonomy/taxondetails?taxnode_id=202311905","Skunavirus sv51701")</f>
        <v>Skunavirus sv51701</v>
      </c>
      <c r="S4783" s="18" t="s">
        <v>30</v>
      </c>
      <c r="T4783" s="18" t="s">
        <v>3824</v>
      </c>
      <c r="U4783" s="18"/>
      <c r="V4783" s="18"/>
      <c r="W4783" s="18" t="s">
        <v>3825</v>
      </c>
      <c r="X4783" s="18" t="s">
        <v>42</v>
      </c>
      <c r="Y4783" s="18" t="s">
        <v>36</v>
      </c>
      <c r="Z4783" s="18" t="s">
        <v>697</v>
      </c>
      <c r="AA4783" s="21" t="str">
        <f>HYPERLINK("https://www.ncbi.nlm.nih.gov/nuccore/MF448560","NCBI Nucleotide")</f>
        <v>NCBI Nucleotide</v>
      </c>
    </row>
    <row r="4784" spans="1:27" x14ac:dyDescent="0.35">
      <c r="A4784">
        <v>1006548</v>
      </c>
      <c r="B4784">
        <v>4760</v>
      </c>
      <c r="C4784">
        <v>1</v>
      </c>
      <c r="D4784" s="17" t="s">
        <v>155</v>
      </c>
      <c r="E4784" s="17"/>
      <c r="F4784" s="17" t="s">
        <v>156</v>
      </c>
      <c r="G4784" s="17"/>
      <c r="H4784" s="17" t="s">
        <v>692</v>
      </c>
      <c r="I4784" s="17"/>
      <c r="J4784" s="17" t="s">
        <v>693</v>
      </c>
      <c r="K4784" s="17"/>
      <c r="L4784" s="17"/>
      <c r="M4784" s="17"/>
      <c r="N4784" s="17"/>
      <c r="O4784" s="17"/>
      <c r="P4784" s="17" t="s">
        <v>3671</v>
      </c>
      <c r="Q4784" s="17"/>
      <c r="R4784" s="25" t="str">
        <f>HYPERLINK("https://ictv.global/taxonomy/taxondetails?taxnode_id=202311906","Skunavirus sv56003")</f>
        <v>Skunavirus sv56003</v>
      </c>
      <c r="S4784" s="18" t="s">
        <v>30</v>
      </c>
      <c r="T4784" s="18" t="s">
        <v>3826</v>
      </c>
      <c r="U4784" s="18"/>
      <c r="V4784" s="18"/>
      <c r="W4784" s="18" t="s">
        <v>3827</v>
      </c>
      <c r="X4784" s="18" t="s">
        <v>42</v>
      </c>
      <c r="Y4784" s="18" t="s">
        <v>36</v>
      </c>
      <c r="Z4784" s="18" t="s">
        <v>697</v>
      </c>
      <c r="AA4784" s="21" t="str">
        <f>HYPERLINK("https://www.ncbi.nlm.nih.gov/nuccore/MF448561","NCBI Nucleotide")</f>
        <v>NCBI Nucleotide</v>
      </c>
    </row>
    <row r="4785" spans="1:27" x14ac:dyDescent="0.35">
      <c r="A4785">
        <v>1006549</v>
      </c>
      <c r="B4785">
        <v>4761</v>
      </c>
      <c r="C4785">
        <v>1</v>
      </c>
      <c r="D4785" s="17" t="s">
        <v>155</v>
      </c>
      <c r="E4785" s="17"/>
      <c r="F4785" s="17" t="s">
        <v>156</v>
      </c>
      <c r="G4785" s="17"/>
      <c r="H4785" s="17" t="s">
        <v>692</v>
      </c>
      <c r="I4785" s="17"/>
      <c r="J4785" s="17" t="s">
        <v>693</v>
      </c>
      <c r="K4785" s="17"/>
      <c r="L4785" s="17"/>
      <c r="M4785" s="17"/>
      <c r="N4785" s="17"/>
      <c r="O4785" s="17"/>
      <c r="P4785" s="17" t="s">
        <v>3671</v>
      </c>
      <c r="Q4785" s="17"/>
      <c r="R4785" s="25" t="str">
        <f>HYPERLINK("https://ictv.global/taxonomy/taxondetails?taxnode_id=202311907","Skunavirus sv56301")</f>
        <v>Skunavirus sv56301</v>
      </c>
      <c r="S4785" s="18" t="s">
        <v>30</v>
      </c>
      <c r="T4785" s="18" t="s">
        <v>3828</v>
      </c>
      <c r="U4785" s="18"/>
      <c r="V4785" s="18"/>
      <c r="W4785" s="18" t="s">
        <v>3829</v>
      </c>
      <c r="X4785" s="18" t="s">
        <v>42</v>
      </c>
      <c r="Y4785" s="18" t="s">
        <v>36</v>
      </c>
      <c r="Z4785" s="18" t="s">
        <v>697</v>
      </c>
      <c r="AA4785" s="21" t="str">
        <f>HYPERLINK("https://www.ncbi.nlm.nih.gov/nuccore/MF448562","NCBI Nucleotide")</f>
        <v>NCBI Nucleotide</v>
      </c>
    </row>
    <row r="4786" spans="1:27" x14ac:dyDescent="0.35">
      <c r="A4786">
        <v>1006550</v>
      </c>
      <c r="B4786">
        <v>4762</v>
      </c>
      <c r="C4786">
        <v>1</v>
      </c>
      <c r="D4786" s="17" t="s">
        <v>155</v>
      </c>
      <c r="E4786" s="17"/>
      <c r="F4786" s="17" t="s">
        <v>156</v>
      </c>
      <c r="G4786" s="17"/>
      <c r="H4786" s="17" t="s">
        <v>692</v>
      </c>
      <c r="I4786" s="17"/>
      <c r="J4786" s="17" t="s">
        <v>693</v>
      </c>
      <c r="K4786" s="17"/>
      <c r="L4786" s="17"/>
      <c r="M4786" s="17"/>
      <c r="N4786" s="17"/>
      <c r="O4786" s="17"/>
      <c r="P4786" s="17" t="s">
        <v>3671</v>
      </c>
      <c r="Q4786" s="17"/>
      <c r="R4786" s="25" t="str">
        <f>HYPERLINK("https://ictv.global/taxonomy/taxondetails?taxnode_id=202311908","Skunavirus sv57001")</f>
        <v>Skunavirus sv57001</v>
      </c>
      <c r="S4786" s="18" t="s">
        <v>30</v>
      </c>
      <c r="T4786" s="18" t="s">
        <v>3830</v>
      </c>
      <c r="U4786" s="18"/>
      <c r="V4786" s="18"/>
      <c r="W4786" s="18" t="s">
        <v>3831</v>
      </c>
      <c r="X4786" s="18" t="s">
        <v>42</v>
      </c>
      <c r="Y4786" s="18" t="s">
        <v>36</v>
      </c>
      <c r="Z4786" s="18" t="s">
        <v>697</v>
      </c>
      <c r="AA4786" s="21" t="str">
        <f>HYPERLINK("https://www.ncbi.nlm.nih.gov/nuccore/MF448563","NCBI Nucleotide")</f>
        <v>NCBI Nucleotide</v>
      </c>
    </row>
    <row r="4787" spans="1:27" x14ac:dyDescent="0.35">
      <c r="A4787">
        <v>1006551</v>
      </c>
      <c r="B4787">
        <v>4763</v>
      </c>
      <c r="C4787">
        <v>1</v>
      </c>
      <c r="D4787" s="17" t="s">
        <v>155</v>
      </c>
      <c r="E4787" s="17"/>
      <c r="F4787" s="17" t="s">
        <v>156</v>
      </c>
      <c r="G4787" s="17"/>
      <c r="H4787" s="17" t="s">
        <v>692</v>
      </c>
      <c r="I4787" s="17"/>
      <c r="J4787" s="17" t="s">
        <v>693</v>
      </c>
      <c r="K4787" s="17"/>
      <c r="L4787" s="17"/>
      <c r="M4787" s="17"/>
      <c r="N4787" s="17"/>
      <c r="O4787" s="17"/>
      <c r="P4787" s="17" t="s">
        <v>3671</v>
      </c>
      <c r="Q4787" s="17"/>
      <c r="R4787" s="25" t="str">
        <f>HYPERLINK("https://ictv.global/taxonomy/taxondetails?taxnode_id=202311909","Skunavirus sv62601")</f>
        <v>Skunavirus sv62601</v>
      </c>
      <c r="S4787" s="18" t="s">
        <v>30</v>
      </c>
      <c r="T4787" s="18" t="s">
        <v>3832</v>
      </c>
      <c r="U4787" s="18"/>
      <c r="V4787" s="18"/>
      <c r="W4787" s="18" t="s">
        <v>3833</v>
      </c>
      <c r="X4787" s="18" t="s">
        <v>42</v>
      </c>
      <c r="Y4787" s="18" t="s">
        <v>36</v>
      </c>
      <c r="Z4787" s="18" t="s">
        <v>697</v>
      </c>
      <c r="AA4787" s="21" t="str">
        <f>HYPERLINK("https://www.ncbi.nlm.nih.gov/nuccore/MF448564","NCBI Nucleotide")</f>
        <v>NCBI Nucleotide</v>
      </c>
    </row>
    <row r="4788" spans="1:27" x14ac:dyDescent="0.35">
      <c r="A4788">
        <v>1006552</v>
      </c>
      <c r="B4788">
        <v>4764</v>
      </c>
      <c r="C4788">
        <v>1</v>
      </c>
      <c r="D4788" s="17" t="s">
        <v>155</v>
      </c>
      <c r="E4788" s="17"/>
      <c r="F4788" s="17" t="s">
        <v>156</v>
      </c>
      <c r="G4788" s="17"/>
      <c r="H4788" s="17" t="s">
        <v>692</v>
      </c>
      <c r="I4788" s="17"/>
      <c r="J4788" s="17" t="s">
        <v>693</v>
      </c>
      <c r="K4788" s="17"/>
      <c r="L4788" s="17"/>
      <c r="M4788" s="17"/>
      <c r="N4788" s="17"/>
      <c r="O4788" s="17"/>
      <c r="P4788" s="17" t="s">
        <v>3671</v>
      </c>
      <c r="Q4788" s="17"/>
      <c r="R4788" s="25" t="str">
        <f>HYPERLINK("https://ictv.global/taxonomy/taxondetails?taxnode_id=202311910","Skunavirus sv62605")</f>
        <v>Skunavirus sv62605</v>
      </c>
      <c r="S4788" s="18" t="s">
        <v>30</v>
      </c>
      <c r="T4788" s="18" t="s">
        <v>3834</v>
      </c>
      <c r="U4788" s="18"/>
      <c r="V4788" s="18"/>
      <c r="W4788" s="18" t="s">
        <v>3835</v>
      </c>
      <c r="X4788" s="18" t="s">
        <v>42</v>
      </c>
      <c r="Y4788" s="18" t="s">
        <v>36</v>
      </c>
      <c r="Z4788" s="18" t="s">
        <v>697</v>
      </c>
      <c r="AA4788" s="21" t="str">
        <f>HYPERLINK("https://www.ncbi.nlm.nih.gov/nuccore/MF448565","NCBI Nucleotide")</f>
        <v>NCBI Nucleotide</v>
      </c>
    </row>
    <row r="4789" spans="1:27" x14ac:dyDescent="0.35">
      <c r="A4789">
        <v>1006553</v>
      </c>
      <c r="B4789">
        <v>4765</v>
      </c>
      <c r="C4789">
        <v>1</v>
      </c>
      <c r="D4789" s="17" t="s">
        <v>155</v>
      </c>
      <c r="E4789" s="17"/>
      <c r="F4789" s="17" t="s">
        <v>156</v>
      </c>
      <c r="G4789" s="17"/>
      <c r="H4789" s="17" t="s">
        <v>692</v>
      </c>
      <c r="I4789" s="17"/>
      <c r="J4789" s="17" t="s">
        <v>693</v>
      </c>
      <c r="K4789" s="17"/>
      <c r="L4789" s="17"/>
      <c r="M4789" s="17"/>
      <c r="N4789" s="17"/>
      <c r="O4789" s="17"/>
      <c r="P4789" s="17" t="s">
        <v>3671</v>
      </c>
      <c r="Q4789" s="17"/>
      <c r="R4789" s="25" t="str">
        <f>HYPERLINK("https://ictv.global/taxonomy/taxondetails?taxnode_id=202311911","Skunavirus sv63302")</f>
        <v>Skunavirus sv63302</v>
      </c>
      <c r="S4789" s="18" t="s">
        <v>30</v>
      </c>
      <c r="T4789" s="18" t="s">
        <v>3836</v>
      </c>
      <c r="U4789" s="18"/>
      <c r="V4789" s="18"/>
      <c r="W4789" s="18" t="s">
        <v>3837</v>
      </c>
      <c r="X4789" s="18" t="s">
        <v>42</v>
      </c>
      <c r="Y4789" s="18" t="s">
        <v>36</v>
      </c>
      <c r="Z4789" s="18" t="s">
        <v>697</v>
      </c>
      <c r="AA4789" s="21" t="str">
        <f>HYPERLINK("https://www.ncbi.nlm.nih.gov/nuccore/MF448566","NCBI Nucleotide")</f>
        <v>NCBI Nucleotide</v>
      </c>
    </row>
    <row r="4790" spans="1:27" x14ac:dyDescent="0.35">
      <c r="A4790">
        <v>1006554</v>
      </c>
      <c r="B4790">
        <v>4766</v>
      </c>
      <c r="C4790">
        <v>1</v>
      </c>
      <c r="D4790" s="17" t="s">
        <v>155</v>
      </c>
      <c r="E4790" s="17"/>
      <c r="F4790" s="17" t="s">
        <v>156</v>
      </c>
      <c r="G4790" s="17"/>
      <c r="H4790" s="17" t="s">
        <v>692</v>
      </c>
      <c r="I4790" s="17"/>
      <c r="J4790" s="17" t="s">
        <v>693</v>
      </c>
      <c r="K4790" s="17"/>
      <c r="L4790" s="17"/>
      <c r="M4790" s="17"/>
      <c r="N4790" s="17"/>
      <c r="O4790" s="17"/>
      <c r="P4790" s="17" t="s">
        <v>3671</v>
      </c>
      <c r="Q4790" s="17"/>
      <c r="R4790" s="25" t="str">
        <f>HYPERLINK("https://ictv.global/taxonomy/taxondetails?taxnode_id=202311912","Skunavirus sv66901")</f>
        <v>Skunavirus sv66901</v>
      </c>
      <c r="S4790" s="18" t="s">
        <v>30</v>
      </c>
      <c r="T4790" s="18" t="s">
        <v>3838</v>
      </c>
      <c r="U4790" s="18"/>
      <c r="V4790" s="18"/>
      <c r="W4790" s="18" t="s">
        <v>3839</v>
      </c>
      <c r="X4790" s="18" t="s">
        <v>42</v>
      </c>
      <c r="Y4790" s="18" t="s">
        <v>36</v>
      </c>
      <c r="Z4790" s="18" t="s">
        <v>697</v>
      </c>
      <c r="AA4790" s="21" t="str">
        <f>HYPERLINK("https://www.ncbi.nlm.nih.gov/nuccore/MF448567","NCBI Nucleotide")</f>
        <v>NCBI Nucleotide</v>
      </c>
    </row>
    <row r="4791" spans="1:27" x14ac:dyDescent="0.35">
      <c r="A4791">
        <v>1006557</v>
      </c>
      <c r="B4791">
        <v>4767</v>
      </c>
      <c r="C4791">
        <v>1</v>
      </c>
      <c r="D4791" s="17" t="s">
        <v>155</v>
      </c>
      <c r="E4791" s="17"/>
      <c r="F4791" s="17" t="s">
        <v>156</v>
      </c>
      <c r="G4791" s="17"/>
      <c r="H4791" s="17" t="s">
        <v>692</v>
      </c>
      <c r="I4791" s="17"/>
      <c r="J4791" s="17" t="s">
        <v>693</v>
      </c>
      <c r="K4791" s="17"/>
      <c r="L4791" s="17"/>
      <c r="M4791" s="17"/>
      <c r="N4791" s="17"/>
      <c r="O4791" s="17"/>
      <c r="P4791" s="17" t="s">
        <v>3671</v>
      </c>
      <c r="Q4791" s="17"/>
      <c r="R4791" s="25" t="str">
        <f>HYPERLINK("https://ictv.global/taxonomy/taxondetails?taxnode_id=202311913","Skunavirus sv79201")</f>
        <v>Skunavirus sv79201</v>
      </c>
      <c r="S4791" s="18" t="s">
        <v>30</v>
      </c>
      <c r="T4791" s="18" t="s">
        <v>3844</v>
      </c>
      <c r="U4791" s="18"/>
      <c r="V4791" s="18"/>
      <c r="W4791" s="18" t="s">
        <v>3845</v>
      </c>
      <c r="X4791" s="18" t="s">
        <v>42</v>
      </c>
      <c r="Y4791" s="18" t="s">
        <v>36</v>
      </c>
      <c r="Z4791" s="18" t="s">
        <v>697</v>
      </c>
      <c r="AA4791" s="21" t="str">
        <f>HYPERLINK("https://www.ncbi.nlm.nih.gov/nuccore/MF448568","NCBI Nucleotide")</f>
        <v>NCBI Nucleotide</v>
      </c>
    </row>
    <row r="4792" spans="1:27" x14ac:dyDescent="0.35">
      <c r="A4792">
        <v>1006558</v>
      </c>
      <c r="B4792">
        <v>4768</v>
      </c>
      <c r="C4792">
        <v>1</v>
      </c>
      <c r="D4792" s="17" t="s">
        <v>155</v>
      </c>
      <c r="E4792" s="17"/>
      <c r="F4792" s="17" t="s">
        <v>156</v>
      </c>
      <c r="G4792" s="17"/>
      <c r="H4792" s="17" t="s">
        <v>692</v>
      </c>
      <c r="I4792" s="17"/>
      <c r="J4792" s="17" t="s">
        <v>693</v>
      </c>
      <c r="K4792" s="17"/>
      <c r="L4792" s="17"/>
      <c r="M4792" s="17"/>
      <c r="N4792" s="17"/>
      <c r="O4792" s="17"/>
      <c r="P4792" s="17" t="s">
        <v>3671</v>
      </c>
      <c r="Q4792" s="17"/>
      <c r="R4792" s="25" t="str">
        <f>HYPERLINK("https://ictv.global/taxonomy/taxondetails?taxnode_id=202311914","Skunavirus sv88605")</f>
        <v>Skunavirus sv88605</v>
      </c>
      <c r="S4792" s="18" t="s">
        <v>30</v>
      </c>
      <c r="T4792" s="18" t="s">
        <v>3846</v>
      </c>
      <c r="U4792" s="18"/>
      <c r="V4792" s="18"/>
      <c r="W4792" s="18" t="s">
        <v>3847</v>
      </c>
      <c r="X4792" s="18" t="s">
        <v>42</v>
      </c>
      <c r="Y4792" s="18" t="s">
        <v>36</v>
      </c>
      <c r="Z4792" s="18" t="s">
        <v>697</v>
      </c>
      <c r="AA4792" s="21" t="str">
        <f>HYPERLINK("https://www.ncbi.nlm.nih.gov/nuccore/MF448569","NCBI Nucleotide")</f>
        <v>NCBI Nucleotide</v>
      </c>
    </row>
    <row r="4793" spans="1:27" x14ac:dyDescent="0.35">
      <c r="A4793">
        <v>1006559</v>
      </c>
      <c r="B4793">
        <v>4769</v>
      </c>
      <c r="C4793">
        <v>1</v>
      </c>
      <c r="D4793" s="17" t="s">
        <v>155</v>
      </c>
      <c r="E4793" s="17"/>
      <c r="F4793" s="17" t="s">
        <v>156</v>
      </c>
      <c r="G4793" s="17"/>
      <c r="H4793" s="17" t="s">
        <v>692</v>
      </c>
      <c r="I4793" s="17"/>
      <c r="J4793" s="17" t="s">
        <v>693</v>
      </c>
      <c r="K4793" s="17"/>
      <c r="L4793" s="17"/>
      <c r="M4793" s="17"/>
      <c r="N4793" s="17"/>
      <c r="O4793" s="17"/>
      <c r="P4793" s="17" t="s">
        <v>3671</v>
      </c>
      <c r="Q4793" s="17"/>
      <c r="R4793" s="25" t="str">
        <f>HYPERLINK("https://ictv.global/taxonomy/taxondetails?taxnode_id=202311928","Skunavirus sv8V08")</f>
        <v>Skunavirus sv8V08</v>
      </c>
      <c r="S4793" s="18" t="s">
        <v>30</v>
      </c>
      <c r="T4793" s="18" t="s">
        <v>3848</v>
      </c>
      <c r="U4793" s="18"/>
      <c r="V4793" s="18"/>
      <c r="W4793" s="18" t="s">
        <v>3849</v>
      </c>
      <c r="X4793" s="18" t="s">
        <v>42</v>
      </c>
      <c r="Y4793" s="18" t="s">
        <v>36</v>
      </c>
      <c r="Z4793" s="18" t="s">
        <v>697</v>
      </c>
      <c r="AA4793" s="21" t="str">
        <f>HYPERLINK("https://www.ncbi.nlm.nih.gov/nuccore/MK301438","NCBI Nucleotide")</f>
        <v>NCBI Nucleotide</v>
      </c>
    </row>
    <row r="4794" spans="1:27" x14ac:dyDescent="0.35">
      <c r="A4794">
        <v>1006560</v>
      </c>
      <c r="B4794">
        <v>4770</v>
      </c>
      <c r="C4794">
        <v>1</v>
      </c>
      <c r="D4794" s="17" t="s">
        <v>155</v>
      </c>
      <c r="E4794" s="17"/>
      <c r="F4794" s="17" t="s">
        <v>156</v>
      </c>
      <c r="G4794" s="17"/>
      <c r="H4794" s="17" t="s">
        <v>692</v>
      </c>
      <c r="I4794" s="17"/>
      <c r="J4794" s="17" t="s">
        <v>693</v>
      </c>
      <c r="K4794" s="17"/>
      <c r="L4794" s="17"/>
      <c r="M4794" s="17"/>
      <c r="N4794" s="17"/>
      <c r="O4794" s="17"/>
      <c r="P4794" s="17" t="s">
        <v>3671</v>
      </c>
      <c r="Q4794" s="17"/>
      <c r="R4794" s="25" t="str">
        <f>HYPERLINK("https://ictv.global/taxonomy/taxondetails?taxnode_id=202311888","Skunavirus sv91127")</f>
        <v>Skunavirus sv91127</v>
      </c>
      <c r="S4794" s="18" t="s">
        <v>30</v>
      </c>
      <c r="T4794" s="18" t="s">
        <v>3850</v>
      </c>
      <c r="U4794" s="18"/>
      <c r="V4794" s="18"/>
      <c r="W4794" s="18" t="s">
        <v>3851</v>
      </c>
      <c r="X4794" s="18" t="s">
        <v>42</v>
      </c>
      <c r="Y4794" s="18" t="s">
        <v>36</v>
      </c>
      <c r="Z4794" s="18" t="s">
        <v>697</v>
      </c>
      <c r="AA4794" s="21" t="str">
        <f>HYPERLINK("https://www.ncbi.nlm.nih.gov/nuccore/KP793125","NCBI Nucleotide")</f>
        <v>NCBI Nucleotide</v>
      </c>
    </row>
    <row r="4795" spans="1:27" x14ac:dyDescent="0.35">
      <c r="A4795">
        <v>1006562</v>
      </c>
      <c r="B4795">
        <v>4771</v>
      </c>
      <c r="C4795">
        <v>1</v>
      </c>
      <c r="D4795" s="17" t="s">
        <v>155</v>
      </c>
      <c r="E4795" s="17"/>
      <c r="F4795" s="17" t="s">
        <v>156</v>
      </c>
      <c r="G4795" s="17"/>
      <c r="H4795" s="17" t="s">
        <v>692</v>
      </c>
      <c r="I4795" s="17"/>
      <c r="J4795" s="17" t="s">
        <v>693</v>
      </c>
      <c r="K4795" s="17"/>
      <c r="L4795" s="17"/>
      <c r="M4795" s="17"/>
      <c r="N4795" s="17"/>
      <c r="O4795" s="17"/>
      <c r="P4795" s="17" t="s">
        <v>3671</v>
      </c>
      <c r="Q4795" s="17"/>
      <c r="R4795" s="25" t="str">
        <f>HYPERLINK("https://ictv.global/taxonomy/taxondetails?taxnode_id=202311915","Skunavirus sv96401")</f>
        <v>Skunavirus sv96401</v>
      </c>
      <c r="S4795" s="18" t="s">
        <v>30</v>
      </c>
      <c r="T4795" s="18" t="s">
        <v>3854</v>
      </c>
      <c r="U4795" s="18"/>
      <c r="V4795" s="18"/>
      <c r="W4795" s="18" t="s">
        <v>3855</v>
      </c>
      <c r="X4795" s="18" t="s">
        <v>42</v>
      </c>
      <c r="Y4795" s="18" t="s">
        <v>36</v>
      </c>
      <c r="Z4795" s="18" t="s">
        <v>697</v>
      </c>
      <c r="AA4795" s="21" t="str">
        <f>HYPERLINK("https://www.ncbi.nlm.nih.gov/nuccore/MF448570","NCBI Nucleotide")</f>
        <v>NCBI Nucleotide</v>
      </c>
    </row>
    <row r="4796" spans="1:27" x14ac:dyDescent="0.35">
      <c r="A4796">
        <v>1006563</v>
      </c>
      <c r="B4796">
        <v>4772</v>
      </c>
      <c r="C4796">
        <v>1</v>
      </c>
      <c r="D4796" s="17" t="s">
        <v>155</v>
      </c>
      <c r="E4796" s="17"/>
      <c r="F4796" s="17" t="s">
        <v>156</v>
      </c>
      <c r="G4796" s="17"/>
      <c r="H4796" s="17" t="s">
        <v>692</v>
      </c>
      <c r="I4796" s="17"/>
      <c r="J4796" s="17" t="s">
        <v>693</v>
      </c>
      <c r="K4796" s="17"/>
      <c r="L4796" s="17"/>
      <c r="M4796" s="17"/>
      <c r="N4796" s="17"/>
      <c r="O4796" s="17"/>
      <c r="P4796" s="17" t="s">
        <v>3671</v>
      </c>
      <c r="Q4796" s="17"/>
      <c r="R4796" s="25" t="str">
        <f>HYPERLINK("https://ictv.global/taxonomy/taxondetails?taxnode_id=202311916","Skunavirus sv96403")</f>
        <v>Skunavirus sv96403</v>
      </c>
      <c r="S4796" s="18" t="s">
        <v>30</v>
      </c>
      <c r="T4796" s="18" t="s">
        <v>3856</v>
      </c>
      <c r="U4796" s="18"/>
      <c r="V4796" s="18"/>
      <c r="W4796" s="18" t="s">
        <v>3857</v>
      </c>
      <c r="X4796" s="18" t="s">
        <v>42</v>
      </c>
      <c r="Y4796" s="18" t="s">
        <v>36</v>
      </c>
      <c r="Z4796" s="18" t="s">
        <v>697</v>
      </c>
      <c r="AA4796" s="21" t="str">
        <f>HYPERLINK("https://www.ncbi.nlm.nih.gov/nuccore/MF448571","NCBI Nucleotide")</f>
        <v>NCBI Nucleotide</v>
      </c>
    </row>
    <row r="4797" spans="1:27" x14ac:dyDescent="0.35">
      <c r="A4797">
        <v>1006564</v>
      </c>
      <c r="B4797">
        <v>4773</v>
      </c>
      <c r="C4797">
        <v>1</v>
      </c>
      <c r="D4797" s="17" t="s">
        <v>155</v>
      </c>
      <c r="E4797" s="17"/>
      <c r="F4797" s="17" t="s">
        <v>156</v>
      </c>
      <c r="G4797" s="17"/>
      <c r="H4797" s="17" t="s">
        <v>692</v>
      </c>
      <c r="I4797" s="17"/>
      <c r="J4797" s="17" t="s">
        <v>693</v>
      </c>
      <c r="K4797" s="17"/>
      <c r="L4797" s="17"/>
      <c r="M4797" s="17"/>
      <c r="N4797" s="17"/>
      <c r="O4797" s="17"/>
      <c r="P4797" s="17" t="s">
        <v>3671</v>
      </c>
      <c r="Q4797" s="17"/>
      <c r="R4797" s="25" t="str">
        <f>HYPERLINK("https://ictv.global/taxonomy/taxondetails?taxnode_id=202311917","Skunavirus sv96603")</f>
        <v>Skunavirus sv96603</v>
      </c>
      <c r="S4797" s="18" t="s">
        <v>30</v>
      </c>
      <c r="T4797" s="18" t="s">
        <v>3858</v>
      </c>
      <c r="U4797" s="18"/>
      <c r="V4797" s="18"/>
      <c r="W4797" s="18" t="s">
        <v>3859</v>
      </c>
      <c r="X4797" s="18" t="s">
        <v>42</v>
      </c>
      <c r="Y4797" s="18" t="s">
        <v>36</v>
      </c>
      <c r="Z4797" s="18" t="s">
        <v>697</v>
      </c>
      <c r="AA4797" s="21" t="str">
        <f>HYPERLINK("https://www.ncbi.nlm.nih.gov/nuccore/MF448572","NCBI Nucleotide")</f>
        <v>NCBI Nucleotide</v>
      </c>
    </row>
    <row r="4798" spans="1:27" x14ac:dyDescent="0.35">
      <c r="A4798">
        <v>1006565</v>
      </c>
      <c r="B4798">
        <v>4774</v>
      </c>
      <c r="C4798">
        <v>1</v>
      </c>
      <c r="D4798" s="17" t="s">
        <v>155</v>
      </c>
      <c r="E4798" s="17"/>
      <c r="F4798" s="17" t="s">
        <v>156</v>
      </c>
      <c r="G4798" s="17"/>
      <c r="H4798" s="17" t="s">
        <v>692</v>
      </c>
      <c r="I4798" s="17"/>
      <c r="J4798" s="17" t="s">
        <v>693</v>
      </c>
      <c r="K4798" s="17"/>
      <c r="L4798" s="17"/>
      <c r="M4798" s="17"/>
      <c r="N4798" s="17"/>
      <c r="O4798" s="17"/>
      <c r="P4798" s="17" t="s">
        <v>3860</v>
      </c>
      <c r="Q4798" s="17"/>
      <c r="R4798" s="25" t="str">
        <f>HYPERLINK("https://ictv.global/taxonomy/taxondetails?taxnode_id=202301304","Slashvirus slash")</f>
        <v>Slashvirus slash</v>
      </c>
      <c r="S4798" s="18" t="s">
        <v>30</v>
      </c>
      <c r="T4798" s="18" t="s">
        <v>3861</v>
      </c>
      <c r="U4798" s="18"/>
      <c r="V4798" s="18"/>
      <c r="W4798" s="18" t="s">
        <v>3862</v>
      </c>
      <c r="X4798" s="18" t="s">
        <v>42</v>
      </c>
      <c r="Y4798" s="18" t="s">
        <v>36</v>
      </c>
      <c r="Z4798" s="18" t="s">
        <v>697</v>
      </c>
      <c r="AA4798" s="21" t="str">
        <f>HYPERLINK("https://www.ncbi.nlm.nih.gov/nuccore/KF669661","NCBI Nucleotide")</f>
        <v>NCBI Nucleotide</v>
      </c>
    </row>
    <row r="4799" spans="1:27" x14ac:dyDescent="0.35">
      <c r="A4799">
        <v>1006566</v>
      </c>
      <c r="B4799">
        <v>4775</v>
      </c>
      <c r="C4799">
        <v>1</v>
      </c>
      <c r="D4799" s="17" t="s">
        <v>155</v>
      </c>
      <c r="E4799" s="17"/>
      <c r="F4799" s="17" t="s">
        <v>156</v>
      </c>
      <c r="G4799" s="17"/>
      <c r="H4799" s="17" t="s">
        <v>692</v>
      </c>
      <c r="I4799" s="17"/>
      <c r="J4799" s="17" t="s">
        <v>693</v>
      </c>
      <c r="K4799" s="17"/>
      <c r="L4799" s="17"/>
      <c r="M4799" s="17"/>
      <c r="N4799" s="17"/>
      <c r="O4799" s="17"/>
      <c r="P4799" s="17" t="s">
        <v>3860</v>
      </c>
      <c r="Q4799" s="17"/>
      <c r="R4799" s="25" t="str">
        <f>HYPERLINK("https://ictv.global/taxonomy/taxondetails?taxnode_id=202301305","Slashvirus stahl")</f>
        <v>Slashvirus stahl</v>
      </c>
      <c r="S4799" s="18" t="s">
        <v>30</v>
      </c>
      <c r="T4799" s="18" t="s">
        <v>3863</v>
      </c>
      <c r="U4799" s="18"/>
      <c r="V4799" s="18"/>
      <c r="W4799" s="18" t="s">
        <v>3864</v>
      </c>
      <c r="X4799" s="18" t="s">
        <v>42</v>
      </c>
      <c r="Y4799" s="18" t="s">
        <v>36</v>
      </c>
      <c r="Z4799" s="18" t="s">
        <v>697</v>
      </c>
      <c r="AA4799" s="21" t="str">
        <f>HYPERLINK("https://www.ncbi.nlm.nih.gov/nuccore/KP696447","NCBI Nucleotide")</f>
        <v>NCBI Nucleotide</v>
      </c>
    </row>
    <row r="4800" spans="1:27" x14ac:dyDescent="0.35">
      <c r="A4800">
        <v>1006567</v>
      </c>
      <c r="B4800">
        <v>4776</v>
      </c>
      <c r="C4800">
        <v>1</v>
      </c>
      <c r="D4800" s="17" t="s">
        <v>155</v>
      </c>
      <c r="E4800" s="17"/>
      <c r="F4800" s="17" t="s">
        <v>156</v>
      </c>
      <c r="G4800" s="17"/>
      <c r="H4800" s="17" t="s">
        <v>692</v>
      </c>
      <c r="I4800" s="17"/>
      <c r="J4800" s="17" t="s">
        <v>693</v>
      </c>
      <c r="K4800" s="17"/>
      <c r="L4800" s="17"/>
      <c r="M4800" s="17"/>
      <c r="N4800" s="17"/>
      <c r="O4800" s="17"/>
      <c r="P4800" s="17" t="s">
        <v>3860</v>
      </c>
      <c r="Q4800" s="17"/>
      <c r="R4800" s="25" t="str">
        <f>HYPERLINK("https://ictv.global/taxonomy/taxondetails?taxnode_id=202301306","Slashvirus staley")</f>
        <v>Slashvirus staley</v>
      </c>
      <c r="S4800" s="18" t="s">
        <v>30</v>
      </c>
      <c r="T4800" s="18" t="s">
        <v>3865</v>
      </c>
      <c r="U4800" s="18"/>
      <c r="V4800" s="18"/>
      <c r="W4800" s="18" t="s">
        <v>3866</v>
      </c>
      <c r="X4800" s="18" t="s">
        <v>42</v>
      </c>
      <c r="Y4800" s="18" t="s">
        <v>36</v>
      </c>
      <c r="Z4800" s="18" t="s">
        <v>697</v>
      </c>
      <c r="AA4800" s="21" t="str">
        <f>HYPERLINK("https://www.ncbi.nlm.nih.gov/nuccore/KF669663","NCBI Nucleotide")</f>
        <v>NCBI Nucleotide</v>
      </c>
    </row>
    <row r="4801" spans="1:27" x14ac:dyDescent="0.35">
      <c r="A4801">
        <v>1006568</v>
      </c>
      <c r="B4801">
        <v>4777</v>
      </c>
      <c r="C4801">
        <v>1</v>
      </c>
      <c r="D4801" s="17" t="s">
        <v>155</v>
      </c>
      <c r="E4801" s="17"/>
      <c r="F4801" s="17" t="s">
        <v>156</v>
      </c>
      <c r="G4801" s="17"/>
      <c r="H4801" s="17" t="s">
        <v>692</v>
      </c>
      <c r="I4801" s="17"/>
      <c r="J4801" s="17" t="s">
        <v>693</v>
      </c>
      <c r="K4801" s="17"/>
      <c r="L4801" s="17"/>
      <c r="M4801" s="17"/>
      <c r="N4801" s="17"/>
      <c r="O4801" s="17"/>
      <c r="P4801" s="17" t="s">
        <v>3860</v>
      </c>
      <c r="Q4801" s="17"/>
      <c r="R4801" s="25" t="str">
        <f>HYPERLINK("https://ictv.global/taxonomy/taxondetails?taxnode_id=202301307","Slashvirus stills")</f>
        <v>Slashvirus stills</v>
      </c>
      <c r="S4801" s="18" t="s">
        <v>30</v>
      </c>
      <c r="T4801" s="18" t="s">
        <v>3867</v>
      </c>
      <c r="U4801" s="18"/>
      <c r="V4801" s="18"/>
      <c r="W4801" s="18" t="s">
        <v>3868</v>
      </c>
      <c r="X4801" s="18" t="s">
        <v>42</v>
      </c>
      <c r="Y4801" s="18" t="s">
        <v>36</v>
      </c>
      <c r="Z4801" s="18" t="s">
        <v>697</v>
      </c>
      <c r="AA4801" s="21" t="str">
        <f>HYPERLINK("https://www.ncbi.nlm.nih.gov/nuccore/KP696448","NCBI Nucleotide")</f>
        <v>NCBI Nucleotide</v>
      </c>
    </row>
    <row r="4802" spans="1:27" x14ac:dyDescent="0.35">
      <c r="A4802">
        <v>1006569</v>
      </c>
      <c r="B4802">
        <v>4778</v>
      </c>
      <c r="C4802">
        <v>1</v>
      </c>
      <c r="D4802" s="17" t="s">
        <v>155</v>
      </c>
      <c r="E4802" s="17"/>
      <c r="F4802" s="17" t="s">
        <v>156</v>
      </c>
      <c r="G4802" s="17"/>
      <c r="H4802" s="17" t="s">
        <v>692</v>
      </c>
      <c r="I4802" s="17"/>
      <c r="J4802" s="17" t="s">
        <v>693</v>
      </c>
      <c r="K4802" s="17"/>
      <c r="L4802" s="17"/>
      <c r="M4802" s="17"/>
      <c r="N4802" s="17"/>
      <c r="O4802" s="17"/>
      <c r="P4802" s="17" t="s">
        <v>3869</v>
      </c>
      <c r="Q4802" s="17"/>
      <c r="R4802" s="25" t="str">
        <f>HYPERLINK("https://ictv.global/taxonomy/taxondetails?taxnode_id=202311948","Sleepyheadvirus sleepyhead")</f>
        <v>Sleepyheadvirus sleepyhead</v>
      </c>
      <c r="S4802" s="18" t="s">
        <v>30</v>
      </c>
      <c r="T4802" s="18" t="s">
        <v>3870</v>
      </c>
      <c r="U4802" s="18"/>
      <c r="V4802" s="18"/>
      <c r="W4802" s="18" t="s">
        <v>3871</v>
      </c>
      <c r="X4802" s="18" t="s">
        <v>42</v>
      </c>
      <c r="Y4802" s="18" t="s">
        <v>36</v>
      </c>
      <c r="Z4802" s="18" t="s">
        <v>697</v>
      </c>
      <c r="AA4802" s="21" t="str">
        <f>HYPERLINK("https://www.ncbi.nlm.nih.gov/nuccore/MK967380","NCBI Nucleotide")</f>
        <v>NCBI Nucleotide</v>
      </c>
    </row>
    <row r="4803" spans="1:27" x14ac:dyDescent="0.35">
      <c r="A4803">
        <v>1006570</v>
      </c>
      <c r="B4803">
        <v>4779</v>
      </c>
      <c r="C4803">
        <v>1</v>
      </c>
      <c r="D4803" s="17" t="s">
        <v>155</v>
      </c>
      <c r="E4803" s="17"/>
      <c r="F4803" s="17" t="s">
        <v>156</v>
      </c>
      <c r="G4803" s="17"/>
      <c r="H4803" s="17" t="s">
        <v>692</v>
      </c>
      <c r="I4803" s="17"/>
      <c r="J4803" s="17" t="s">
        <v>693</v>
      </c>
      <c r="K4803" s="17"/>
      <c r="L4803" s="17"/>
      <c r="M4803" s="17"/>
      <c r="N4803" s="17"/>
      <c r="O4803" s="17"/>
      <c r="P4803" s="17" t="s">
        <v>3872</v>
      </c>
      <c r="Q4803" s="17"/>
      <c r="R4803" s="25" t="str">
        <f>HYPERLINK("https://ictv.global/taxonomy/taxondetails?taxnode_id=202301309","Smoothievirus bachita")</f>
        <v>Smoothievirus bachita</v>
      </c>
      <c r="S4803" s="18" t="s">
        <v>30</v>
      </c>
      <c r="T4803" s="18" t="s">
        <v>3873</v>
      </c>
      <c r="U4803" s="18"/>
      <c r="V4803" s="18"/>
      <c r="W4803" s="18" t="s">
        <v>3874</v>
      </c>
      <c r="X4803" s="18" t="s">
        <v>42</v>
      </c>
      <c r="Y4803" s="18" t="s">
        <v>36</v>
      </c>
      <c r="Z4803" s="18" t="s">
        <v>697</v>
      </c>
      <c r="AA4803" s="21" t="str">
        <f>HYPERLINK("https://www.ncbi.nlm.nih.gov/nuccore/KU998247","NCBI Nucleotide")</f>
        <v>NCBI Nucleotide</v>
      </c>
    </row>
    <row r="4804" spans="1:27" x14ac:dyDescent="0.35">
      <c r="A4804">
        <v>1006571</v>
      </c>
      <c r="B4804">
        <v>4780</v>
      </c>
      <c r="C4804">
        <v>1</v>
      </c>
      <c r="D4804" s="17" t="s">
        <v>155</v>
      </c>
      <c r="E4804" s="17"/>
      <c r="F4804" s="17" t="s">
        <v>156</v>
      </c>
      <c r="G4804" s="17"/>
      <c r="H4804" s="17" t="s">
        <v>692</v>
      </c>
      <c r="I4804" s="17"/>
      <c r="J4804" s="17" t="s">
        <v>693</v>
      </c>
      <c r="K4804" s="17"/>
      <c r="L4804" s="17"/>
      <c r="M4804" s="17"/>
      <c r="N4804" s="17"/>
      <c r="O4804" s="17"/>
      <c r="P4804" s="17" t="s">
        <v>3872</v>
      </c>
      <c r="Q4804" s="17"/>
      <c r="R4804" s="25" t="str">
        <f>HYPERLINK("https://ictv.global/taxonomy/taxondetails?taxnode_id=202301310","Smoothievirus clubL")</f>
        <v>Smoothievirus clubL</v>
      </c>
      <c r="S4804" s="18" t="s">
        <v>30</v>
      </c>
      <c r="T4804" s="18" t="s">
        <v>3875</v>
      </c>
      <c r="U4804" s="18"/>
      <c r="V4804" s="18"/>
      <c r="W4804" s="18" t="s">
        <v>3876</v>
      </c>
      <c r="X4804" s="18" t="s">
        <v>42</v>
      </c>
      <c r="Y4804" s="18" t="s">
        <v>36</v>
      </c>
      <c r="Z4804" s="18" t="s">
        <v>697</v>
      </c>
      <c r="AA4804" s="21" t="str">
        <f>HYPERLINK("https://www.ncbi.nlm.nih.gov/nuccore/KU998246","NCBI Nucleotide")</f>
        <v>NCBI Nucleotide</v>
      </c>
    </row>
    <row r="4805" spans="1:27" x14ac:dyDescent="0.35">
      <c r="A4805">
        <v>1006572</v>
      </c>
      <c r="B4805">
        <v>4781</v>
      </c>
      <c r="C4805">
        <v>1</v>
      </c>
      <c r="D4805" s="17" t="s">
        <v>155</v>
      </c>
      <c r="E4805" s="17"/>
      <c r="F4805" s="17" t="s">
        <v>156</v>
      </c>
      <c r="G4805" s="17"/>
      <c r="H4805" s="17" t="s">
        <v>692</v>
      </c>
      <c r="I4805" s="17"/>
      <c r="J4805" s="17" t="s">
        <v>693</v>
      </c>
      <c r="K4805" s="17"/>
      <c r="L4805" s="17"/>
      <c r="M4805" s="17"/>
      <c r="N4805" s="17"/>
      <c r="O4805" s="17"/>
      <c r="P4805" s="17" t="s">
        <v>3872</v>
      </c>
      <c r="Q4805" s="17"/>
      <c r="R4805" s="25" t="str">
        <f>HYPERLINK("https://ictv.global/taxonomy/taxondetails?taxnode_id=202301312","Smoothievirus smoothie")</f>
        <v>Smoothievirus smoothie</v>
      </c>
      <c r="S4805" s="18" t="s">
        <v>30</v>
      </c>
      <c r="T4805" s="18" t="s">
        <v>3877</v>
      </c>
      <c r="U4805" s="18"/>
      <c r="V4805" s="18"/>
      <c r="W4805" s="18" t="s">
        <v>3878</v>
      </c>
      <c r="X4805" s="18" t="s">
        <v>42</v>
      </c>
      <c r="Y4805" s="18" t="s">
        <v>36</v>
      </c>
      <c r="Z4805" s="18" t="s">
        <v>697</v>
      </c>
      <c r="AA4805" s="21" t="str">
        <f>HYPERLINK("https://www.ncbi.nlm.nih.gov/nuccore/KU998244","NCBI Nucleotide")</f>
        <v>NCBI Nucleotide</v>
      </c>
    </row>
    <row r="4806" spans="1:27" x14ac:dyDescent="0.35">
      <c r="A4806">
        <v>1006573</v>
      </c>
      <c r="B4806">
        <v>4782</v>
      </c>
      <c r="C4806">
        <v>1</v>
      </c>
      <c r="D4806" s="17" t="s">
        <v>155</v>
      </c>
      <c r="E4806" s="17"/>
      <c r="F4806" s="17" t="s">
        <v>156</v>
      </c>
      <c r="G4806" s="17"/>
      <c r="H4806" s="17" t="s">
        <v>692</v>
      </c>
      <c r="I4806" s="17"/>
      <c r="J4806" s="17" t="s">
        <v>693</v>
      </c>
      <c r="K4806" s="17"/>
      <c r="L4806" s="17"/>
      <c r="M4806" s="17"/>
      <c r="N4806" s="17"/>
      <c r="O4806" s="17"/>
      <c r="P4806" s="17" t="s">
        <v>3879</v>
      </c>
      <c r="Q4806" s="17"/>
      <c r="R4806" s="25" t="str">
        <f>HYPERLINK("https://ictv.global/taxonomy/taxondetails?taxnode_id=202314886","Snuvirus SNUABM7")</f>
        <v>Snuvirus SNUABM7</v>
      </c>
      <c r="S4806" s="18" t="s">
        <v>30</v>
      </c>
      <c r="T4806" s="18" t="s">
        <v>3880</v>
      </c>
      <c r="U4806" s="18"/>
      <c r="V4806" s="18"/>
      <c r="W4806" s="18" t="s">
        <v>3881</v>
      </c>
      <c r="X4806" s="18" t="s">
        <v>42</v>
      </c>
      <c r="Y4806" s="18" t="s">
        <v>36</v>
      </c>
      <c r="Z4806" s="18" t="s">
        <v>697</v>
      </c>
      <c r="AA4806" s="21" t="str">
        <f>HYPERLINK("https://www.ncbi.nlm.nih.gov/nuccore/MZ475896","NCBI Nucleotide")</f>
        <v>NCBI Nucleotide</v>
      </c>
    </row>
    <row r="4807" spans="1:27" x14ac:dyDescent="0.35">
      <c r="A4807">
        <v>1006574</v>
      </c>
      <c r="B4807">
        <v>4783</v>
      </c>
      <c r="C4807">
        <v>1</v>
      </c>
      <c r="D4807" s="17" t="s">
        <v>155</v>
      </c>
      <c r="E4807" s="17"/>
      <c r="F4807" s="17" t="s">
        <v>156</v>
      </c>
      <c r="G4807" s="17"/>
      <c r="H4807" s="17" t="s">
        <v>692</v>
      </c>
      <c r="I4807" s="17"/>
      <c r="J4807" s="17" t="s">
        <v>693</v>
      </c>
      <c r="K4807" s="17"/>
      <c r="L4807" s="17"/>
      <c r="M4807" s="17"/>
      <c r="N4807" s="17"/>
      <c r="O4807" s="17"/>
      <c r="P4807" s="17" t="s">
        <v>3882</v>
      </c>
      <c r="Q4807" s="17"/>
      <c r="R4807" s="25" t="str">
        <f>HYPERLINK("https://ictv.global/taxonomy/taxondetails?taxnode_id=202307699","Sonalivirus sonali")</f>
        <v>Sonalivirus sonali</v>
      </c>
      <c r="S4807" s="18" t="s">
        <v>30</v>
      </c>
      <c r="T4807" s="18" t="s">
        <v>3883</v>
      </c>
      <c r="U4807" s="18"/>
      <c r="V4807" s="18"/>
      <c r="W4807" s="18" t="s">
        <v>3884</v>
      </c>
      <c r="X4807" s="18" t="s">
        <v>42</v>
      </c>
      <c r="Y4807" s="18" t="s">
        <v>36</v>
      </c>
      <c r="Z4807" s="18" t="s">
        <v>697</v>
      </c>
      <c r="AA4807" s="21" t="str">
        <f>HYPERLINK("https://www.ncbi.nlm.nih.gov/nuccore/MK411746","NCBI Nucleotide")</f>
        <v>NCBI Nucleotide</v>
      </c>
    </row>
    <row r="4808" spans="1:27" x14ac:dyDescent="0.35">
      <c r="A4808">
        <v>1006575</v>
      </c>
      <c r="B4808">
        <v>4784</v>
      </c>
      <c r="C4808">
        <v>1</v>
      </c>
      <c r="D4808" s="17" t="s">
        <v>155</v>
      </c>
      <c r="E4808" s="17"/>
      <c r="F4808" s="17" t="s">
        <v>156</v>
      </c>
      <c r="G4808" s="17"/>
      <c r="H4808" s="17" t="s">
        <v>692</v>
      </c>
      <c r="I4808" s="17"/>
      <c r="J4808" s="17" t="s">
        <v>693</v>
      </c>
      <c r="K4808" s="17"/>
      <c r="L4808" s="17"/>
      <c r="M4808" s="17"/>
      <c r="N4808" s="17"/>
      <c r="O4808" s="17"/>
      <c r="P4808" s="17" t="s">
        <v>3885</v>
      </c>
      <c r="Q4808" s="17"/>
      <c r="R4808" s="25" t="str">
        <f>HYPERLINK("https://ictv.global/taxonomy/taxondetails?taxnode_id=202307998","Sortsnevirus IME279")</f>
        <v>Sortsnevirus IME279</v>
      </c>
      <c r="S4808" s="18" t="s">
        <v>30</v>
      </c>
      <c r="T4808" s="18" t="s">
        <v>3886</v>
      </c>
      <c r="U4808" s="18"/>
      <c r="V4808" s="18"/>
      <c r="W4808" s="18" t="s">
        <v>3887</v>
      </c>
      <c r="X4808" s="18" t="s">
        <v>42</v>
      </c>
      <c r="Y4808" s="18" t="s">
        <v>36</v>
      </c>
      <c r="Z4808" s="18" t="s">
        <v>697</v>
      </c>
      <c r="AA4808" s="21" t="str">
        <f>HYPERLINK("https://www.ncbi.nlm.nih.gov/nuccore/MF614100","NCBI Nucleotide")</f>
        <v>NCBI Nucleotide</v>
      </c>
    </row>
    <row r="4809" spans="1:27" x14ac:dyDescent="0.35">
      <c r="A4809">
        <v>1006576</v>
      </c>
      <c r="B4809">
        <v>4785</v>
      </c>
      <c r="C4809">
        <v>1</v>
      </c>
      <c r="D4809" s="17" t="s">
        <v>155</v>
      </c>
      <c r="E4809" s="17"/>
      <c r="F4809" s="17" t="s">
        <v>156</v>
      </c>
      <c r="G4809" s="17"/>
      <c r="H4809" s="17" t="s">
        <v>692</v>
      </c>
      <c r="I4809" s="17"/>
      <c r="J4809" s="17" t="s">
        <v>693</v>
      </c>
      <c r="K4809" s="17"/>
      <c r="L4809" s="17"/>
      <c r="M4809" s="17"/>
      <c r="N4809" s="17"/>
      <c r="O4809" s="17"/>
      <c r="P4809" s="17" t="s">
        <v>3885</v>
      </c>
      <c r="Q4809" s="17"/>
      <c r="R4809" s="25" t="str">
        <f>HYPERLINK("https://ictv.global/taxonomy/taxondetails?taxnode_id=202307997","Sortsnevirus sortsne")</f>
        <v>Sortsnevirus sortsne</v>
      </c>
      <c r="S4809" s="18" t="s">
        <v>30</v>
      </c>
      <c r="T4809" s="18" t="s">
        <v>3888</v>
      </c>
      <c r="U4809" s="18"/>
      <c r="V4809" s="18"/>
      <c r="W4809" s="18" t="s">
        <v>3889</v>
      </c>
      <c r="X4809" s="18" t="s">
        <v>42</v>
      </c>
      <c r="Y4809" s="18" t="s">
        <v>36</v>
      </c>
      <c r="Z4809" s="18" t="s">
        <v>697</v>
      </c>
      <c r="AA4809" s="21" t="str">
        <f>HYPERLINK("https://www.ncbi.nlm.nih.gov/nuccore/MK651787","NCBI Nucleotide")</f>
        <v>NCBI Nucleotide</v>
      </c>
    </row>
    <row r="4810" spans="1:27" x14ac:dyDescent="0.35">
      <c r="A4810">
        <v>1006577</v>
      </c>
      <c r="B4810">
        <v>4786</v>
      </c>
      <c r="C4810">
        <v>1</v>
      </c>
      <c r="D4810" s="17" t="s">
        <v>155</v>
      </c>
      <c r="E4810" s="17"/>
      <c r="F4810" s="17" t="s">
        <v>156</v>
      </c>
      <c r="G4810" s="17"/>
      <c r="H4810" s="17" t="s">
        <v>692</v>
      </c>
      <c r="I4810" s="17"/>
      <c r="J4810" s="17" t="s">
        <v>693</v>
      </c>
      <c r="K4810" s="17"/>
      <c r="L4810" s="17"/>
      <c r="M4810" s="17"/>
      <c r="N4810" s="17"/>
      <c r="O4810" s="17"/>
      <c r="P4810" s="17" t="s">
        <v>3890</v>
      </c>
      <c r="Q4810" s="17"/>
      <c r="R4810" s="25" t="str">
        <f>HYPERLINK("https://ictv.global/taxonomy/taxondetails?taxnode_id=202301314","Soupsvirus soups")</f>
        <v>Soupsvirus soups</v>
      </c>
      <c r="S4810" s="18" t="s">
        <v>30</v>
      </c>
      <c r="T4810" s="18" t="s">
        <v>3891</v>
      </c>
      <c r="U4810" s="18"/>
      <c r="V4810" s="18"/>
      <c r="W4810" s="18" t="s">
        <v>3892</v>
      </c>
      <c r="X4810" s="18" t="s">
        <v>42</v>
      </c>
      <c r="Y4810" s="18" t="s">
        <v>36</v>
      </c>
      <c r="Z4810" s="18" t="s">
        <v>697</v>
      </c>
      <c r="AA4810" s="21" t="str">
        <f>HYPERLINK("https://www.ncbi.nlm.nih.gov/nuccore/KU998249","NCBI Nucleotide")</f>
        <v>NCBI Nucleotide</v>
      </c>
    </row>
    <row r="4811" spans="1:27" x14ac:dyDescent="0.35">
      <c r="A4811">
        <v>1006578</v>
      </c>
      <c r="B4811">
        <v>4787</v>
      </c>
      <c r="C4811">
        <v>1</v>
      </c>
      <c r="D4811" s="17" t="s">
        <v>155</v>
      </c>
      <c r="E4811" s="17"/>
      <c r="F4811" s="17" t="s">
        <v>156</v>
      </c>
      <c r="G4811" s="17"/>
      <c r="H4811" s="17" t="s">
        <v>692</v>
      </c>
      <c r="I4811" s="17"/>
      <c r="J4811" s="17" t="s">
        <v>693</v>
      </c>
      <c r="K4811" s="17"/>
      <c r="L4811" s="17"/>
      <c r="M4811" s="17"/>
      <c r="N4811" s="17"/>
      <c r="O4811" s="17"/>
      <c r="P4811" s="17" t="s">
        <v>3890</v>
      </c>
      <c r="Q4811" s="17"/>
      <c r="R4811" s="25" t="str">
        <f>HYPERLINK("https://ictv.global/taxonomy/taxondetails?taxnode_id=202306886","Soupsvirus strosahl")</f>
        <v>Soupsvirus strosahl</v>
      </c>
      <c r="S4811" s="18" t="s">
        <v>30</v>
      </c>
      <c r="T4811" s="18" t="s">
        <v>3893</v>
      </c>
      <c r="U4811" s="18"/>
      <c r="V4811" s="18"/>
      <c r="W4811" s="18" t="s">
        <v>3894</v>
      </c>
      <c r="X4811" s="18" t="s">
        <v>42</v>
      </c>
      <c r="Y4811" s="18" t="s">
        <v>36</v>
      </c>
      <c r="Z4811" s="18" t="s">
        <v>697</v>
      </c>
      <c r="AA4811" s="21" t="str">
        <f>HYPERLINK("https://www.ncbi.nlm.nih.gov/nuccore/KX557284","NCBI Nucleotide")</f>
        <v>NCBI Nucleotide</v>
      </c>
    </row>
    <row r="4812" spans="1:27" x14ac:dyDescent="0.35">
      <c r="A4812">
        <v>1006579</v>
      </c>
      <c r="B4812">
        <v>4788</v>
      </c>
      <c r="C4812">
        <v>1</v>
      </c>
      <c r="D4812" s="17" t="s">
        <v>155</v>
      </c>
      <c r="E4812" s="17"/>
      <c r="F4812" s="17" t="s">
        <v>156</v>
      </c>
      <c r="G4812" s="17"/>
      <c r="H4812" s="17" t="s">
        <v>692</v>
      </c>
      <c r="I4812" s="17"/>
      <c r="J4812" s="17" t="s">
        <v>693</v>
      </c>
      <c r="K4812" s="17"/>
      <c r="L4812" s="17"/>
      <c r="M4812" s="17"/>
      <c r="N4812" s="17"/>
      <c r="O4812" s="17"/>
      <c r="P4812" s="17" t="s">
        <v>3890</v>
      </c>
      <c r="Q4812" s="17"/>
      <c r="R4812" s="25" t="str">
        <f>HYPERLINK("https://ictv.global/taxonomy/taxondetails?taxnode_id=202306885","Soupsvirus wait")</f>
        <v>Soupsvirus wait</v>
      </c>
      <c r="S4812" s="18" t="s">
        <v>30</v>
      </c>
      <c r="T4812" s="18" t="s">
        <v>3895</v>
      </c>
      <c r="U4812" s="18"/>
      <c r="V4812" s="18"/>
      <c r="W4812" s="18" t="s">
        <v>3896</v>
      </c>
      <c r="X4812" s="18" t="s">
        <v>42</v>
      </c>
      <c r="Y4812" s="18" t="s">
        <v>36</v>
      </c>
      <c r="Z4812" s="18" t="s">
        <v>697</v>
      </c>
      <c r="AA4812" s="21" t="str">
        <f>HYPERLINK("https://www.ncbi.nlm.nih.gov/nuccore/MH001454","NCBI Nucleotide")</f>
        <v>NCBI Nucleotide</v>
      </c>
    </row>
    <row r="4813" spans="1:27" x14ac:dyDescent="0.35">
      <c r="A4813">
        <v>1006580</v>
      </c>
      <c r="B4813">
        <v>4789</v>
      </c>
      <c r="C4813">
        <v>1</v>
      </c>
      <c r="D4813" s="17" t="s">
        <v>155</v>
      </c>
      <c r="E4813" s="17"/>
      <c r="F4813" s="17" t="s">
        <v>156</v>
      </c>
      <c r="G4813" s="17"/>
      <c r="H4813" s="17" t="s">
        <v>692</v>
      </c>
      <c r="I4813" s="17"/>
      <c r="J4813" s="17" t="s">
        <v>693</v>
      </c>
      <c r="K4813" s="17"/>
      <c r="L4813" s="17"/>
      <c r="M4813" s="17"/>
      <c r="N4813" s="17"/>
      <c r="O4813" s="17"/>
      <c r="P4813" s="17" t="s">
        <v>3897</v>
      </c>
      <c r="Q4813" s="17"/>
      <c r="R4813" s="25" t="str">
        <f>HYPERLINK("https://ictv.global/taxonomy/taxondetails?taxnode_id=202306991","Sourvirus sour")</f>
        <v>Sourvirus sour</v>
      </c>
      <c r="S4813" s="18" t="s">
        <v>30</v>
      </c>
      <c r="T4813" s="18" t="s">
        <v>3898</v>
      </c>
      <c r="U4813" s="18"/>
      <c r="V4813" s="18"/>
      <c r="W4813" s="18" t="s">
        <v>3899</v>
      </c>
      <c r="X4813" s="18" t="s">
        <v>42</v>
      </c>
      <c r="Y4813" s="18" t="s">
        <v>36</v>
      </c>
      <c r="Z4813" s="18" t="s">
        <v>697</v>
      </c>
      <c r="AA4813" s="21" t="str">
        <f>HYPERLINK("https://www.ncbi.nlm.nih.gov/nuccore/MH153810","NCBI Nucleotide")</f>
        <v>NCBI Nucleotide</v>
      </c>
    </row>
    <row r="4814" spans="1:27" x14ac:dyDescent="0.35">
      <c r="A4814">
        <v>1006581</v>
      </c>
      <c r="B4814">
        <v>4790</v>
      </c>
      <c r="C4814">
        <v>1</v>
      </c>
      <c r="D4814" s="17" t="s">
        <v>155</v>
      </c>
      <c r="E4814" s="17"/>
      <c r="F4814" s="17" t="s">
        <v>156</v>
      </c>
      <c r="G4814" s="17"/>
      <c r="H4814" s="17" t="s">
        <v>692</v>
      </c>
      <c r="I4814" s="17"/>
      <c r="J4814" s="17" t="s">
        <v>693</v>
      </c>
      <c r="K4814" s="17"/>
      <c r="L4814" s="17"/>
      <c r="M4814" s="17"/>
      <c r="N4814" s="17"/>
      <c r="O4814" s="17"/>
      <c r="P4814" s="17" t="s">
        <v>3900</v>
      </c>
      <c r="Q4814" s="17"/>
      <c r="R4814" s="25" t="str">
        <f>HYPERLINK("https://ictv.global/taxonomy/taxondetails?taxnode_id=202311950","Sozzivirus S11")</f>
        <v>Sozzivirus S11</v>
      </c>
      <c r="S4814" s="18" t="s">
        <v>30</v>
      </c>
      <c r="T4814" s="18" t="s">
        <v>3901</v>
      </c>
      <c r="U4814" s="18"/>
      <c r="V4814" s="18"/>
      <c r="W4814" s="18" t="s">
        <v>3902</v>
      </c>
      <c r="X4814" s="18" t="s">
        <v>42</v>
      </c>
      <c r="Y4814" s="18" t="s">
        <v>36</v>
      </c>
      <c r="Z4814" s="18" t="s">
        <v>697</v>
      </c>
      <c r="AA4814" s="21" t="str">
        <f>HYPERLINK("https://www.ncbi.nlm.nih.gov/nuccore/KF183314","NCBI Nucleotide")</f>
        <v>NCBI Nucleotide</v>
      </c>
    </row>
    <row r="4815" spans="1:27" x14ac:dyDescent="0.35">
      <c r="A4815">
        <v>1006582</v>
      </c>
      <c r="B4815">
        <v>4791</v>
      </c>
      <c r="C4815">
        <v>1</v>
      </c>
      <c r="D4815" s="17" t="s">
        <v>155</v>
      </c>
      <c r="E4815" s="17"/>
      <c r="F4815" s="17" t="s">
        <v>156</v>
      </c>
      <c r="G4815" s="17"/>
      <c r="H4815" s="17" t="s">
        <v>692</v>
      </c>
      <c r="I4815" s="17"/>
      <c r="J4815" s="17" t="s">
        <v>693</v>
      </c>
      <c r="K4815" s="17"/>
      <c r="L4815" s="17"/>
      <c r="M4815" s="17"/>
      <c r="N4815" s="17"/>
      <c r="O4815" s="17"/>
      <c r="P4815" s="17" t="s">
        <v>3900</v>
      </c>
      <c r="Q4815" s="17"/>
      <c r="R4815" s="25" t="str">
        <f>HYPERLINK("https://ictv.global/taxonomy/taxondetails?taxnode_id=202311951","Sozzivirus S13")</f>
        <v>Sozzivirus S13</v>
      </c>
      <c r="S4815" s="18" t="s">
        <v>30</v>
      </c>
      <c r="T4815" s="18" t="s">
        <v>3903</v>
      </c>
      <c r="U4815" s="18"/>
      <c r="V4815" s="18"/>
      <c r="W4815" s="18" t="s">
        <v>3904</v>
      </c>
      <c r="X4815" s="18" t="s">
        <v>42</v>
      </c>
      <c r="Y4815" s="18" t="s">
        <v>36</v>
      </c>
      <c r="Z4815" s="18" t="s">
        <v>697</v>
      </c>
      <c r="AA4815" s="21" t="str">
        <f>HYPERLINK("https://www.ncbi.nlm.nih.gov/nuccore/KF183315","NCBI Nucleotide")</f>
        <v>NCBI Nucleotide</v>
      </c>
    </row>
    <row r="4816" spans="1:27" x14ac:dyDescent="0.35">
      <c r="A4816">
        <v>1006583</v>
      </c>
      <c r="B4816">
        <v>4792</v>
      </c>
      <c r="C4816">
        <v>1</v>
      </c>
      <c r="D4816" s="17" t="s">
        <v>155</v>
      </c>
      <c r="E4816" s="17"/>
      <c r="F4816" s="17" t="s">
        <v>156</v>
      </c>
      <c r="G4816" s="17"/>
      <c r="H4816" s="17" t="s">
        <v>692</v>
      </c>
      <c r="I4816" s="17"/>
      <c r="J4816" s="17" t="s">
        <v>693</v>
      </c>
      <c r="K4816" s="17"/>
      <c r="L4816" s="17"/>
      <c r="M4816" s="17"/>
      <c r="N4816" s="17"/>
      <c r="O4816" s="17"/>
      <c r="P4816" s="17" t="s">
        <v>3900</v>
      </c>
      <c r="Q4816" s="17"/>
      <c r="R4816" s="25" t="str">
        <f>HYPERLINK("https://ictv.global/taxonomy/taxondetails?taxnode_id=202311952","Sozzivirus sv9805")</f>
        <v>Sozzivirus sv9805</v>
      </c>
      <c r="S4816" s="18" t="s">
        <v>30</v>
      </c>
      <c r="T4816" s="18" t="s">
        <v>3905</v>
      </c>
      <c r="U4816" s="18"/>
      <c r="V4816" s="18"/>
      <c r="W4816" s="18" t="s">
        <v>3906</v>
      </c>
      <c r="X4816" s="18" t="s">
        <v>42</v>
      </c>
      <c r="Y4816" s="18" t="s">
        <v>36</v>
      </c>
      <c r="Z4816" s="18" t="s">
        <v>697</v>
      </c>
      <c r="AA4816" s="21" t="str">
        <f>HYPERLINK("https://www.ncbi.nlm.nih.gov/nuccore/KF147927","NCBI Nucleotide")</f>
        <v>NCBI Nucleotide</v>
      </c>
    </row>
    <row r="4817" spans="1:27" x14ac:dyDescent="0.35">
      <c r="A4817">
        <v>1006584</v>
      </c>
      <c r="B4817">
        <v>4793</v>
      </c>
      <c r="C4817">
        <v>1</v>
      </c>
      <c r="D4817" s="17" t="s">
        <v>155</v>
      </c>
      <c r="E4817" s="17"/>
      <c r="F4817" s="17" t="s">
        <v>156</v>
      </c>
      <c r="G4817" s="17"/>
      <c r="H4817" s="17" t="s">
        <v>692</v>
      </c>
      <c r="I4817" s="17"/>
      <c r="J4817" s="17" t="s">
        <v>693</v>
      </c>
      <c r="K4817" s="17"/>
      <c r="L4817" s="17"/>
      <c r="M4817" s="17"/>
      <c r="N4817" s="17"/>
      <c r="O4817" s="17"/>
      <c r="P4817" s="17" t="s">
        <v>3907</v>
      </c>
      <c r="Q4817" s="17"/>
      <c r="R4817" s="25" t="str">
        <f>HYPERLINK("https://ictv.global/taxonomy/taxondetails?taxnode_id=202311954","Sparkyvirus sparky")</f>
        <v>Sparkyvirus sparky</v>
      </c>
      <c r="S4817" s="18" t="s">
        <v>30</v>
      </c>
      <c r="T4817" s="18" t="s">
        <v>3908</v>
      </c>
      <c r="U4817" s="18"/>
      <c r="V4817" s="18"/>
      <c r="W4817" s="18" t="s">
        <v>3909</v>
      </c>
      <c r="X4817" s="18" t="s">
        <v>42</v>
      </c>
      <c r="Y4817" s="18" t="s">
        <v>36</v>
      </c>
      <c r="Z4817" s="18" t="s">
        <v>697</v>
      </c>
      <c r="AA4817" s="21" t="str">
        <f>HYPERLINK("https://www.ncbi.nlm.nih.gov/nuccore/KM083128","NCBI Nucleotide")</f>
        <v>NCBI Nucleotide</v>
      </c>
    </row>
    <row r="4818" spans="1:27" x14ac:dyDescent="0.35">
      <c r="A4818">
        <v>1024861</v>
      </c>
      <c r="B4818">
        <v>4794</v>
      </c>
      <c r="C4818">
        <v>1</v>
      </c>
      <c r="D4818" s="17" t="s">
        <v>155</v>
      </c>
      <c r="E4818" s="17"/>
      <c r="F4818" s="17" t="s">
        <v>156</v>
      </c>
      <c r="G4818" s="17"/>
      <c r="H4818" s="17" t="s">
        <v>692</v>
      </c>
      <c r="I4818" s="17"/>
      <c r="J4818" s="17" t="s">
        <v>693</v>
      </c>
      <c r="K4818" s="17"/>
      <c r="L4818" s="17"/>
      <c r="M4818" s="17"/>
      <c r="N4818" s="17"/>
      <c r="O4818" s="17"/>
      <c r="P4818" s="17" t="s">
        <v>40037</v>
      </c>
      <c r="Q4818" s="17"/>
      <c r="R4818" s="25" t="str">
        <f>HYPERLINK("https://ictv.global/taxonomy/taxondetails?taxnode_id=202317770","Spartoivirus spartoi")</f>
        <v>Spartoivirus spartoi</v>
      </c>
      <c r="S4818" s="18" t="s">
        <v>30</v>
      </c>
      <c r="T4818" s="18" t="s">
        <v>40038</v>
      </c>
      <c r="U4818" s="18"/>
      <c r="V4818" s="18"/>
      <c r="W4818" s="18" t="s">
        <v>48573</v>
      </c>
      <c r="X4818" s="18" t="s">
        <v>42</v>
      </c>
      <c r="Y4818" s="18" t="s">
        <v>36</v>
      </c>
      <c r="Z4818" s="18" t="s">
        <v>697</v>
      </c>
      <c r="AA4818" s="21" t="str">
        <f>HYPERLINK("https://www.ncbi.nlm.nih.gov/nuccore/MK061416","NCBI Nucleotide")</f>
        <v>NCBI Nucleotide</v>
      </c>
    </row>
    <row r="4819" spans="1:27" x14ac:dyDescent="0.35">
      <c r="A4819">
        <v>1006585</v>
      </c>
      <c r="B4819">
        <v>4795</v>
      </c>
      <c r="C4819">
        <v>1</v>
      </c>
      <c r="D4819" s="17" t="s">
        <v>155</v>
      </c>
      <c r="E4819" s="17"/>
      <c r="F4819" s="17" t="s">
        <v>156</v>
      </c>
      <c r="G4819" s="17"/>
      <c r="H4819" s="17" t="s">
        <v>692</v>
      </c>
      <c r="I4819" s="17"/>
      <c r="J4819" s="17" t="s">
        <v>693</v>
      </c>
      <c r="K4819" s="17"/>
      <c r="L4819" s="17"/>
      <c r="M4819" s="17"/>
      <c r="N4819" s="17"/>
      <c r="O4819" s="17"/>
      <c r="P4819" s="17" t="s">
        <v>3910</v>
      </c>
      <c r="Q4819" s="17"/>
      <c r="R4819" s="25" t="str">
        <f>HYPERLINK("https://ictv.global/taxonomy/taxondetails?taxnode_id=202301316","Spbetavirus SPbeta")</f>
        <v>Spbetavirus SPbeta</v>
      </c>
      <c r="S4819" s="18" t="s">
        <v>30</v>
      </c>
      <c r="T4819" s="18" t="s">
        <v>3911</v>
      </c>
      <c r="U4819" s="18"/>
      <c r="V4819" s="18"/>
      <c r="W4819" s="18" t="s">
        <v>3912</v>
      </c>
      <c r="X4819" s="18" t="s">
        <v>42</v>
      </c>
      <c r="Y4819" s="18" t="s">
        <v>36</v>
      </c>
      <c r="Z4819" s="18" t="s">
        <v>697</v>
      </c>
      <c r="AA4819" s="21" t="str">
        <f>HYPERLINK("https://www.ncbi.nlm.nih.gov/nuccore/AF020713","NCBI Nucleotide")</f>
        <v>NCBI Nucleotide</v>
      </c>
    </row>
    <row r="4820" spans="1:27" x14ac:dyDescent="0.35">
      <c r="A4820">
        <v>1006586</v>
      </c>
      <c r="B4820">
        <v>4796</v>
      </c>
      <c r="C4820">
        <v>1</v>
      </c>
      <c r="D4820" s="17" t="s">
        <v>155</v>
      </c>
      <c r="E4820" s="17"/>
      <c r="F4820" s="17" t="s">
        <v>156</v>
      </c>
      <c r="G4820" s="17"/>
      <c r="H4820" s="17" t="s">
        <v>692</v>
      </c>
      <c r="I4820" s="17"/>
      <c r="J4820" s="17" t="s">
        <v>693</v>
      </c>
      <c r="K4820" s="17"/>
      <c r="L4820" s="17"/>
      <c r="M4820" s="17"/>
      <c r="N4820" s="17"/>
      <c r="O4820" s="17"/>
      <c r="P4820" s="17" t="s">
        <v>3913</v>
      </c>
      <c r="Q4820" s="17"/>
      <c r="R4820" s="25" t="str">
        <f>HYPERLINK("https://ictv.global/taxonomy/taxondetails?taxnode_id=202311956","Spizizenvirus sv105")</f>
        <v>Spizizenvirus sv105</v>
      </c>
      <c r="S4820" s="18" t="s">
        <v>30</v>
      </c>
      <c r="T4820" s="18" t="s">
        <v>3914</v>
      </c>
      <c r="U4820" s="18"/>
      <c r="V4820" s="18"/>
      <c r="W4820" s="18" t="s">
        <v>3915</v>
      </c>
      <c r="X4820" s="18" t="s">
        <v>42</v>
      </c>
      <c r="Y4820" s="18" t="s">
        <v>36</v>
      </c>
      <c r="Z4820" s="18" t="s">
        <v>697</v>
      </c>
      <c r="AA4820" s="21" t="str">
        <f>HYPERLINK("https://www.ncbi.nlm.nih.gov/nuccore/HM072038","NCBI Nucleotide")</f>
        <v>NCBI Nucleotide</v>
      </c>
    </row>
    <row r="4821" spans="1:27" x14ac:dyDescent="0.35">
      <c r="A4821">
        <v>1006587</v>
      </c>
      <c r="B4821">
        <v>4797</v>
      </c>
      <c r="C4821">
        <v>1</v>
      </c>
      <c r="D4821" s="17" t="s">
        <v>155</v>
      </c>
      <c r="E4821" s="17"/>
      <c r="F4821" s="17" t="s">
        <v>156</v>
      </c>
      <c r="G4821" s="17"/>
      <c r="H4821" s="17" t="s">
        <v>692</v>
      </c>
      <c r="I4821" s="17"/>
      <c r="J4821" s="17" t="s">
        <v>693</v>
      </c>
      <c r="K4821" s="17"/>
      <c r="L4821" s="17"/>
      <c r="M4821" s="17"/>
      <c r="N4821" s="17"/>
      <c r="O4821" s="17"/>
      <c r="P4821" s="17" t="s">
        <v>3916</v>
      </c>
      <c r="Q4821" s="17"/>
      <c r="R4821" s="25" t="str">
        <f>HYPERLINK("https://ictv.global/taxonomy/taxondetails?taxnode_id=202307703","Squashvirus hyperion")</f>
        <v>Squashvirus hyperion</v>
      </c>
      <c r="S4821" s="18" t="s">
        <v>30</v>
      </c>
      <c r="T4821" s="18" t="s">
        <v>3917</v>
      </c>
      <c r="U4821" s="18"/>
      <c r="V4821" s="18"/>
      <c r="W4821" s="18" t="s">
        <v>3918</v>
      </c>
      <c r="X4821" s="18" t="s">
        <v>42</v>
      </c>
      <c r="Y4821" s="18" t="s">
        <v>36</v>
      </c>
      <c r="Z4821" s="18" t="s">
        <v>697</v>
      </c>
      <c r="AA4821" s="21" t="str">
        <f>HYPERLINK("https://www.ncbi.nlm.nih.gov/nuccore/MH153803","NCBI Nucleotide")</f>
        <v>NCBI Nucleotide</v>
      </c>
    </row>
    <row r="4822" spans="1:27" x14ac:dyDescent="0.35">
      <c r="A4822">
        <v>1006588</v>
      </c>
      <c r="B4822">
        <v>4798</v>
      </c>
      <c r="C4822">
        <v>1</v>
      </c>
      <c r="D4822" s="17" t="s">
        <v>155</v>
      </c>
      <c r="E4822" s="17"/>
      <c r="F4822" s="17" t="s">
        <v>156</v>
      </c>
      <c r="G4822" s="17"/>
      <c r="H4822" s="17" t="s">
        <v>692</v>
      </c>
      <c r="I4822" s="17"/>
      <c r="J4822" s="17" t="s">
        <v>693</v>
      </c>
      <c r="K4822" s="17"/>
      <c r="L4822" s="17"/>
      <c r="M4822" s="17"/>
      <c r="N4822" s="17"/>
      <c r="O4822" s="17"/>
      <c r="P4822" s="17" t="s">
        <v>3916</v>
      </c>
      <c r="Q4822" s="17"/>
      <c r="R4822" s="25" t="str">
        <f>HYPERLINK("https://ictv.global/taxonomy/taxondetails?taxnode_id=202307702","Squashvirus squash")</f>
        <v>Squashvirus squash</v>
      </c>
      <c r="S4822" s="18" t="s">
        <v>30</v>
      </c>
      <c r="T4822" s="18" t="s">
        <v>3919</v>
      </c>
      <c r="U4822" s="18"/>
      <c r="V4822" s="18"/>
      <c r="W4822" s="18" t="s">
        <v>3920</v>
      </c>
      <c r="X4822" s="18" t="s">
        <v>42</v>
      </c>
      <c r="Y4822" s="18" t="s">
        <v>36</v>
      </c>
      <c r="Z4822" s="18" t="s">
        <v>697</v>
      </c>
      <c r="AA4822" s="21" t="str">
        <f>HYPERLINK("https://www.ncbi.nlm.nih.gov/nuccore/MH153813","NCBI Nucleotide")</f>
        <v>NCBI Nucleotide</v>
      </c>
    </row>
    <row r="4823" spans="1:27" x14ac:dyDescent="0.35">
      <c r="A4823">
        <v>1006589</v>
      </c>
      <c r="B4823">
        <v>4799</v>
      </c>
      <c r="C4823">
        <v>1</v>
      </c>
      <c r="D4823" s="17" t="s">
        <v>155</v>
      </c>
      <c r="E4823" s="17"/>
      <c r="F4823" s="17" t="s">
        <v>156</v>
      </c>
      <c r="G4823" s="17"/>
      <c r="H4823" s="17" t="s">
        <v>692</v>
      </c>
      <c r="I4823" s="17"/>
      <c r="J4823" s="17" t="s">
        <v>693</v>
      </c>
      <c r="K4823" s="17"/>
      <c r="L4823" s="17"/>
      <c r="M4823" s="17"/>
      <c r="N4823" s="17"/>
      <c r="O4823" s="17"/>
      <c r="P4823" s="17" t="s">
        <v>3921</v>
      </c>
      <c r="Q4823" s="17"/>
      <c r="R4823" s="25" t="str">
        <f>HYPERLINK("https://ictv.global/taxonomy/taxondetails?taxnode_id=202300965","Stanholtvirus E125")</f>
        <v>Stanholtvirus E125</v>
      </c>
      <c r="S4823" s="18" t="s">
        <v>30</v>
      </c>
      <c r="T4823" s="18" t="s">
        <v>3922</v>
      </c>
      <c r="U4823" s="18"/>
      <c r="V4823" s="18"/>
      <c r="W4823" s="18" t="s">
        <v>3923</v>
      </c>
      <c r="X4823" s="18" t="s">
        <v>42</v>
      </c>
      <c r="Y4823" s="18" t="s">
        <v>36</v>
      </c>
      <c r="Z4823" s="18" t="s">
        <v>697</v>
      </c>
      <c r="AA4823" s="21" t="str">
        <f>HYPERLINK("https://www.ncbi.nlm.nih.gov/nuccore/AF447491","NCBI Nucleotide")</f>
        <v>NCBI Nucleotide</v>
      </c>
    </row>
    <row r="4824" spans="1:27" x14ac:dyDescent="0.35">
      <c r="A4824">
        <v>1006591</v>
      </c>
      <c r="B4824">
        <v>4800</v>
      </c>
      <c r="C4824">
        <v>1</v>
      </c>
      <c r="D4824" s="17" t="s">
        <v>155</v>
      </c>
      <c r="E4824" s="17"/>
      <c r="F4824" s="17" t="s">
        <v>156</v>
      </c>
      <c r="G4824" s="17"/>
      <c r="H4824" s="17" t="s">
        <v>692</v>
      </c>
      <c r="I4824" s="17"/>
      <c r="J4824" s="17" t="s">
        <v>693</v>
      </c>
      <c r="K4824" s="17"/>
      <c r="L4824" s="17"/>
      <c r="M4824" s="17"/>
      <c r="N4824" s="17"/>
      <c r="O4824" s="17"/>
      <c r="P4824" s="17" t="s">
        <v>3921</v>
      </c>
      <c r="Q4824" s="17"/>
      <c r="R4824" s="25" t="str">
        <f>HYPERLINK("https://ictv.global/taxonomy/taxondetails?taxnode_id=202300963","Stanholtvirus sv6442")</f>
        <v>Stanholtvirus sv6442</v>
      </c>
      <c r="S4824" s="18" t="s">
        <v>30</v>
      </c>
      <c r="T4824" s="18" t="s">
        <v>3926</v>
      </c>
      <c r="U4824" s="18"/>
      <c r="V4824" s="18"/>
      <c r="W4824" s="18" t="s">
        <v>3927</v>
      </c>
      <c r="X4824" s="18" t="s">
        <v>42</v>
      </c>
      <c r="Y4824" s="18" t="s">
        <v>36</v>
      </c>
      <c r="Z4824" s="18" t="s">
        <v>697</v>
      </c>
      <c r="AA4824" s="21" t="str">
        <f>HYPERLINK("https://www.ncbi.nlm.nih.gov/nuccore/CP000625","NCBI Nucleotide")</f>
        <v>NCBI Nucleotide</v>
      </c>
    </row>
    <row r="4825" spans="1:27" x14ac:dyDescent="0.35">
      <c r="A4825">
        <v>1006590</v>
      </c>
      <c r="B4825">
        <v>4801</v>
      </c>
      <c r="C4825">
        <v>1</v>
      </c>
      <c r="D4825" s="17" t="s">
        <v>155</v>
      </c>
      <c r="E4825" s="17"/>
      <c r="F4825" s="17" t="s">
        <v>156</v>
      </c>
      <c r="G4825" s="17"/>
      <c r="H4825" s="17" t="s">
        <v>692</v>
      </c>
      <c r="I4825" s="17"/>
      <c r="J4825" s="17" t="s">
        <v>693</v>
      </c>
      <c r="K4825" s="17"/>
      <c r="L4825" s="17"/>
      <c r="M4825" s="17"/>
      <c r="N4825" s="17"/>
      <c r="O4825" s="17"/>
      <c r="P4825" s="17" t="s">
        <v>3921</v>
      </c>
      <c r="Q4825" s="17"/>
      <c r="R4825" s="25" t="str">
        <f>HYPERLINK("https://ictv.global/taxonomy/taxondetails?taxnode_id=202300964","Stanholtvirus sv1026b")</f>
        <v>Stanholtvirus sv1026b</v>
      </c>
      <c r="S4825" s="18" t="s">
        <v>30</v>
      </c>
      <c r="T4825" s="18" t="s">
        <v>3924</v>
      </c>
      <c r="U4825" s="18"/>
      <c r="V4825" s="18"/>
      <c r="W4825" s="18" t="s">
        <v>3925</v>
      </c>
      <c r="X4825" s="18" t="s">
        <v>42</v>
      </c>
      <c r="Y4825" s="18" t="s">
        <v>36</v>
      </c>
      <c r="Z4825" s="18" t="s">
        <v>697</v>
      </c>
      <c r="AA4825" s="21" t="str">
        <f>HYPERLINK("https://www.ncbi.nlm.nih.gov/nuccore/AY453853","NCBI Nucleotide")</f>
        <v>NCBI Nucleotide</v>
      </c>
    </row>
    <row r="4826" spans="1:27" x14ac:dyDescent="0.35">
      <c r="A4826">
        <v>1006592</v>
      </c>
      <c r="B4826">
        <v>4802</v>
      </c>
      <c r="C4826">
        <v>1</v>
      </c>
      <c r="D4826" s="17" t="s">
        <v>155</v>
      </c>
      <c r="E4826" s="17"/>
      <c r="F4826" s="17" t="s">
        <v>156</v>
      </c>
      <c r="G4826" s="17"/>
      <c r="H4826" s="17" t="s">
        <v>692</v>
      </c>
      <c r="I4826" s="17"/>
      <c r="J4826" s="17" t="s">
        <v>693</v>
      </c>
      <c r="K4826" s="17"/>
      <c r="L4826" s="17"/>
      <c r="M4826" s="17"/>
      <c r="N4826" s="17"/>
      <c r="O4826" s="17"/>
      <c r="P4826" s="17" t="s">
        <v>3928</v>
      </c>
      <c r="Q4826" s="17"/>
      <c r="R4826" s="25" t="str">
        <f>HYPERLINK("https://ictv.global/taxonomy/taxondetails?taxnode_id=202300994","Steinhofvirus JWX")</f>
        <v>Steinhofvirus JWX</v>
      </c>
      <c r="S4826" s="18" t="s">
        <v>30</v>
      </c>
      <c r="T4826" s="18" t="s">
        <v>3929</v>
      </c>
      <c r="U4826" s="18"/>
      <c r="V4826" s="18"/>
      <c r="W4826" s="18" t="s">
        <v>3930</v>
      </c>
      <c r="X4826" s="18" t="s">
        <v>42</v>
      </c>
      <c r="Y4826" s="18" t="s">
        <v>36</v>
      </c>
      <c r="Z4826" s="18" t="s">
        <v>697</v>
      </c>
      <c r="AA4826" s="21" t="str">
        <f>HYPERLINK("https://www.ncbi.nlm.nih.gov/nuccore/KP202969","NCBI Nucleotide")</f>
        <v>NCBI Nucleotide</v>
      </c>
    </row>
    <row r="4827" spans="1:27" x14ac:dyDescent="0.35">
      <c r="A4827">
        <v>1006593</v>
      </c>
      <c r="B4827">
        <v>4803</v>
      </c>
      <c r="C4827">
        <v>1</v>
      </c>
      <c r="D4827" s="17" t="s">
        <v>155</v>
      </c>
      <c r="E4827" s="17"/>
      <c r="F4827" s="17" t="s">
        <v>156</v>
      </c>
      <c r="G4827" s="17"/>
      <c r="H4827" s="17" t="s">
        <v>692</v>
      </c>
      <c r="I4827" s="17"/>
      <c r="J4827" s="17" t="s">
        <v>693</v>
      </c>
      <c r="K4827" s="17"/>
      <c r="L4827" s="17"/>
      <c r="M4827" s="17"/>
      <c r="N4827" s="17"/>
      <c r="O4827" s="17"/>
      <c r="P4827" s="17" t="s">
        <v>3928</v>
      </c>
      <c r="Q4827" s="17"/>
      <c r="R4827" s="25" t="str">
        <f>HYPERLINK("https://ictv.global/taxonomy/taxondetails?taxnode_id=202300993","Steinhofvirus sv8324")</f>
        <v>Steinhofvirus sv8324</v>
      </c>
      <c r="S4827" s="18" t="s">
        <v>30</v>
      </c>
      <c r="T4827" s="18" t="s">
        <v>3931</v>
      </c>
      <c r="U4827" s="18"/>
      <c r="V4827" s="18"/>
      <c r="W4827" s="18" t="s">
        <v>3932</v>
      </c>
      <c r="X4827" s="18" t="s">
        <v>42</v>
      </c>
      <c r="Y4827" s="18" t="s">
        <v>36</v>
      </c>
      <c r="Z4827" s="18" t="s">
        <v>697</v>
      </c>
      <c r="AA4827" s="21" t="str">
        <f>HYPERLINK("https://www.ncbi.nlm.nih.gov/nuccore/KP202970","NCBI Nucleotide")</f>
        <v>NCBI Nucleotide</v>
      </c>
    </row>
    <row r="4828" spans="1:27" x14ac:dyDescent="0.35">
      <c r="A4828">
        <v>1006594</v>
      </c>
      <c r="B4828">
        <v>4804</v>
      </c>
      <c r="C4828">
        <v>1</v>
      </c>
      <c r="D4828" s="17" t="s">
        <v>155</v>
      </c>
      <c r="E4828" s="17"/>
      <c r="F4828" s="17" t="s">
        <v>156</v>
      </c>
      <c r="G4828" s="17"/>
      <c r="H4828" s="17" t="s">
        <v>692</v>
      </c>
      <c r="I4828" s="17"/>
      <c r="J4828" s="17" t="s">
        <v>693</v>
      </c>
      <c r="K4828" s="17"/>
      <c r="L4828" s="17"/>
      <c r="M4828" s="17"/>
      <c r="N4828" s="17"/>
      <c r="O4828" s="17"/>
      <c r="P4828" s="17" t="s">
        <v>3933</v>
      </c>
      <c r="Q4828" s="17"/>
      <c r="R4828" s="25" t="str">
        <f>HYPERLINK("https://ictv.global/taxonomy/taxondetails?taxnode_id=202314938","Stonewallvirus A25")</f>
        <v>Stonewallvirus A25</v>
      </c>
      <c r="S4828" s="18" t="s">
        <v>30</v>
      </c>
      <c r="T4828" s="18" t="s">
        <v>3934</v>
      </c>
      <c r="U4828" s="18"/>
      <c r="V4828" s="18"/>
      <c r="W4828" s="18" t="s">
        <v>3935</v>
      </c>
      <c r="X4828" s="18" t="s">
        <v>42</v>
      </c>
      <c r="Y4828" s="18" t="s">
        <v>36</v>
      </c>
      <c r="Z4828" s="18" t="s">
        <v>697</v>
      </c>
      <c r="AA4828" s="21" t="str">
        <f>HYPERLINK("https://www.ncbi.nlm.nih.gov/nuccore/KT388093","NCBI Nucleotide")</f>
        <v>NCBI Nucleotide</v>
      </c>
    </row>
    <row r="4829" spans="1:27" x14ac:dyDescent="0.35">
      <c r="A4829">
        <v>1006595</v>
      </c>
      <c r="B4829">
        <v>4805</v>
      </c>
      <c r="C4829">
        <v>1</v>
      </c>
      <c r="D4829" s="17" t="s">
        <v>155</v>
      </c>
      <c r="E4829" s="17"/>
      <c r="F4829" s="17" t="s">
        <v>156</v>
      </c>
      <c r="G4829" s="17"/>
      <c r="H4829" s="17" t="s">
        <v>692</v>
      </c>
      <c r="I4829" s="17"/>
      <c r="J4829" s="17" t="s">
        <v>693</v>
      </c>
      <c r="K4829" s="17"/>
      <c r="L4829" s="17"/>
      <c r="M4829" s="17"/>
      <c r="N4829" s="17"/>
      <c r="O4829" s="17"/>
      <c r="P4829" s="17" t="s">
        <v>3936</v>
      </c>
      <c r="Q4829" s="17"/>
      <c r="R4829" s="25" t="str">
        <f>HYPERLINK("https://ictv.global/taxonomy/taxondetails?taxnode_id=202313664","Stormageddonvirus Stormageddon")</f>
        <v>Stormageddonvirus Stormageddon</v>
      </c>
      <c r="S4829" s="18" t="s">
        <v>30</v>
      </c>
      <c r="T4829" s="18" t="s">
        <v>3937</v>
      </c>
      <c r="U4829" s="18"/>
      <c r="V4829" s="18"/>
      <c r="W4829" s="18" t="s">
        <v>3938</v>
      </c>
      <c r="X4829" s="18" t="s">
        <v>42</v>
      </c>
      <c r="Y4829" s="18" t="s">
        <v>36</v>
      </c>
      <c r="Z4829" s="18" t="s">
        <v>697</v>
      </c>
      <c r="AA4829" s="21" t="str">
        <f>HYPERLINK("https://www.ncbi.nlm.nih.gov/nuccore/MN586040","NCBI Nucleotide")</f>
        <v>NCBI Nucleotide</v>
      </c>
    </row>
    <row r="4830" spans="1:27" x14ac:dyDescent="0.35">
      <c r="A4830">
        <v>1024868</v>
      </c>
      <c r="B4830">
        <v>4806</v>
      </c>
      <c r="C4830">
        <v>1</v>
      </c>
      <c r="D4830" s="17" t="s">
        <v>155</v>
      </c>
      <c r="E4830" s="17"/>
      <c r="F4830" s="17" t="s">
        <v>156</v>
      </c>
      <c r="G4830" s="17"/>
      <c r="H4830" s="17" t="s">
        <v>692</v>
      </c>
      <c r="I4830" s="17"/>
      <c r="J4830" s="17" t="s">
        <v>693</v>
      </c>
      <c r="K4830" s="17"/>
      <c r="L4830" s="17"/>
      <c r="M4830" s="17"/>
      <c r="N4830" s="17"/>
      <c r="O4830" s="17"/>
      <c r="P4830" s="17" t="s">
        <v>40039</v>
      </c>
      <c r="Q4830" s="17"/>
      <c r="R4830" s="25" t="str">
        <f>HYPERLINK("https://ictv.global/taxonomy/taxondetails?taxnode_id=202317771","Successvirus success")</f>
        <v>Successvirus success</v>
      </c>
      <c r="S4830" s="18" t="s">
        <v>30</v>
      </c>
      <c r="T4830" s="18" t="s">
        <v>40040</v>
      </c>
      <c r="U4830" s="18"/>
      <c r="V4830" s="18"/>
      <c r="W4830" s="18" t="s">
        <v>48574</v>
      </c>
      <c r="X4830" s="18" t="s">
        <v>42</v>
      </c>
      <c r="Y4830" s="18" t="s">
        <v>36</v>
      </c>
      <c r="Z4830" s="18" t="s">
        <v>697</v>
      </c>
      <c r="AA4830" s="21" t="str">
        <f>HYPERLINK("https://www.ncbi.nlm.nih.gov/nuccore/OP751148","NCBI Nucleotide")</f>
        <v>NCBI Nucleotide</v>
      </c>
    </row>
    <row r="4831" spans="1:27" x14ac:dyDescent="0.35">
      <c r="A4831">
        <v>1006596</v>
      </c>
      <c r="B4831">
        <v>4807</v>
      </c>
      <c r="C4831">
        <v>1</v>
      </c>
      <c r="D4831" s="17" t="s">
        <v>155</v>
      </c>
      <c r="E4831" s="17"/>
      <c r="F4831" s="17" t="s">
        <v>156</v>
      </c>
      <c r="G4831" s="17"/>
      <c r="H4831" s="17" t="s">
        <v>692</v>
      </c>
      <c r="I4831" s="17"/>
      <c r="J4831" s="17" t="s">
        <v>693</v>
      </c>
      <c r="K4831" s="17"/>
      <c r="L4831" s="17"/>
      <c r="M4831" s="17"/>
      <c r="N4831" s="17"/>
      <c r="O4831" s="17"/>
      <c r="P4831" s="17" t="s">
        <v>3939</v>
      </c>
      <c r="Q4831" s="17"/>
      <c r="R4831" s="25" t="str">
        <f>HYPERLINK("https://ictv.global/taxonomy/taxondetails?taxnode_id=202310176","Sukhumvitvirus T25")</f>
        <v>Sukhumvitvirus T25</v>
      </c>
      <c r="S4831" s="18" t="s">
        <v>30</v>
      </c>
      <c r="T4831" s="18" t="s">
        <v>3940</v>
      </c>
      <c r="U4831" s="18"/>
      <c r="V4831" s="18"/>
      <c r="W4831" s="18" t="s">
        <v>3941</v>
      </c>
      <c r="X4831" s="18" t="s">
        <v>42</v>
      </c>
      <c r="Y4831" s="18" t="s">
        <v>36</v>
      </c>
      <c r="Z4831" s="18" t="s">
        <v>697</v>
      </c>
      <c r="AA4831" s="21" t="str">
        <f>HYPERLINK("https://www.ncbi.nlm.nih.gov/nuccore/AP018361","NCBI Nucleotide")</f>
        <v>NCBI Nucleotide</v>
      </c>
    </row>
    <row r="4832" spans="1:27" x14ac:dyDescent="0.35">
      <c r="A4832">
        <v>1006597</v>
      </c>
      <c r="B4832">
        <v>4808</v>
      </c>
      <c r="C4832">
        <v>1</v>
      </c>
      <c r="D4832" s="17" t="s">
        <v>155</v>
      </c>
      <c r="E4832" s="17"/>
      <c r="F4832" s="17" t="s">
        <v>156</v>
      </c>
      <c r="G4832" s="17"/>
      <c r="H4832" s="17" t="s">
        <v>692</v>
      </c>
      <c r="I4832" s="17"/>
      <c r="J4832" s="17" t="s">
        <v>693</v>
      </c>
      <c r="K4832" s="17"/>
      <c r="L4832" s="17"/>
      <c r="M4832" s="17"/>
      <c r="N4832" s="17"/>
      <c r="O4832" s="17"/>
      <c r="P4832" s="17" t="s">
        <v>3942</v>
      </c>
      <c r="Q4832" s="17"/>
      <c r="R4832" s="25" t="str">
        <f>HYPERLINK("https://ictv.global/taxonomy/taxondetails?taxnode_id=202305486","Svunavirus GBSV1")</f>
        <v>Svunavirus GBSV1</v>
      </c>
      <c r="S4832" s="18" t="s">
        <v>30</v>
      </c>
      <c r="T4832" s="18" t="s">
        <v>3943</v>
      </c>
      <c r="U4832" s="18"/>
      <c r="V4832" s="18"/>
      <c r="W4832" s="18" t="s">
        <v>3944</v>
      </c>
      <c r="X4832" s="18" t="s">
        <v>42</v>
      </c>
      <c r="Y4832" s="18" t="s">
        <v>36</v>
      </c>
      <c r="Z4832" s="18" t="s">
        <v>697</v>
      </c>
      <c r="AA4832" s="21" t="str">
        <f>HYPERLINK("https://www.ncbi.nlm.nih.gov/nuccore/DQ340064","NCBI Nucleotide")</f>
        <v>NCBI Nucleotide</v>
      </c>
    </row>
    <row r="4833" spans="1:27" x14ac:dyDescent="0.35">
      <c r="A4833">
        <v>1006598</v>
      </c>
      <c r="B4833">
        <v>4809</v>
      </c>
      <c r="C4833">
        <v>1</v>
      </c>
      <c r="D4833" s="17" t="s">
        <v>155</v>
      </c>
      <c r="E4833" s="17"/>
      <c r="F4833" s="17" t="s">
        <v>156</v>
      </c>
      <c r="G4833" s="17"/>
      <c r="H4833" s="17" t="s">
        <v>692</v>
      </c>
      <c r="I4833" s="17"/>
      <c r="J4833" s="17" t="s">
        <v>693</v>
      </c>
      <c r="K4833" s="17"/>
      <c r="L4833" s="17"/>
      <c r="M4833" s="17"/>
      <c r="N4833" s="17"/>
      <c r="O4833" s="17"/>
      <c r="P4833" s="17" t="s">
        <v>3942</v>
      </c>
      <c r="Q4833" s="17"/>
      <c r="R4833" s="25" t="str">
        <f>HYPERLINK("https://ictv.global/taxonomy/taxondetails?taxnode_id=202305485","Svunavirus sv1")</f>
        <v>Svunavirus sv1</v>
      </c>
      <c r="S4833" s="18" t="s">
        <v>30</v>
      </c>
      <c r="T4833" s="18" t="s">
        <v>3945</v>
      </c>
      <c r="U4833" s="18"/>
      <c r="V4833" s="18"/>
      <c r="W4833" s="18" t="s">
        <v>3946</v>
      </c>
      <c r="X4833" s="18" t="s">
        <v>42</v>
      </c>
      <c r="Y4833" s="18" t="s">
        <v>36</v>
      </c>
      <c r="Z4833" s="18" t="s">
        <v>697</v>
      </c>
      <c r="AA4833" s="21" t="str">
        <f>HYPERLINK("https://www.ncbi.nlm.nih.gov/nuccore/DQ840344","NCBI Nucleotide")</f>
        <v>NCBI Nucleotide</v>
      </c>
    </row>
    <row r="4834" spans="1:27" x14ac:dyDescent="0.35">
      <c r="A4834">
        <v>1006599</v>
      </c>
      <c r="B4834">
        <v>4810</v>
      </c>
      <c r="C4834">
        <v>1</v>
      </c>
      <c r="D4834" s="17" t="s">
        <v>155</v>
      </c>
      <c r="E4834" s="17"/>
      <c r="F4834" s="17" t="s">
        <v>156</v>
      </c>
      <c r="G4834" s="17"/>
      <c r="H4834" s="17" t="s">
        <v>692</v>
      </c>
      <c r="I4834" s="17"/>
      <c r="J4834" s="17" t="s">
        <v>693</v>
      </c>
      <c r="K4834" s="17"/>
      <c r="L4834" s="17"/>
      <c r="M4834" s="17"/>
      <c r="N4834" s="17"/>
      <c r="O4834" s="17"/>
      <c r="P4834" s="17" t="s">
        <v>3947</v>
      </c>
      <c r="Q4834" s="17"/>
      <c r="R4834" s="25" t="str">
        <f>HYPERLINK("https://ictv.global/taxonomy/taxondetails?taxnode_id=202313635","Swiduovirus swi2")</f>
        <v>Swiduovirus swi2</v>
      </c>
      <c r="S4834" s="18" t="s">
        <v>30</v>
      </c>
      <c r="T4834" s="18" t="s">
        <v>3948</v>
      </c>
      <c r="U4834" s="18"/>
      <c r="V4834" s="18"/>
      <c r="W4834" s="18" t="s">
        <v>3949</v>
      </c>
      <c r="X4834" s="18" t="s">
        <v>42</v>
      </c>
      <c r="Y4834" s="18" t="s">
        <v>36</v>
      </c>
      <c r="Z4834" s="18" t="s">
        <v>697</v>
      </c>
      <c r="AA4834" s="21" t="str">
        <f>HYPERLINK("https://www.ncbi.nlm.nih.gov/nuccore/MT768060","NCBI Nucleotide")</f>
        <v>NCBI Nucleotide</v>
      </c>
    </row>
    <row r="4835" spans="1:27" x14ac:dyDescent="0.35">
      <c r="A4835">
        <v>1006600</v>
      </c>
      <c r="B4835">
        <v>4811</v>
      </c>
      <c r="C4835">
        <v>1</v>
      </c>
      <c r="D4835" s="17" t="s">
        <v>155</v>
      </c>
      <c r="E4835" s="17"/>
      <c r="F4835" s="17" t="s">
        <v>156</v>
      </c>
      <c r="G4835" s="17"/>
      <c r="H4835" s="17" t="s">
        <v>692</v>
      </c>
      <c r="I4835" s="17"/>
      <c r="J4835" s="17" t="s">
        <v>693</v>
      </c>
      <c r="K4835" s="17"/>
      <c r="L4835" s="17"/>
      <c r="M4835" s="17"/>
      <c r="N4835" s="17"/>
      <c r="O4835" s="17"/>
      <c r="P4835" s="17" t="s">
        <v>3950</v>
      </c>
      <c r="Q4835" s="17"/>
      <c r="R4835" s="25" t="str">
        <f>HYPERLINK("https://ictv.global/taxonomy/taxondetails?taxnode_id=202314946","Syrbvirus R1")</f>
        <v>Syrbvirus R1</v>
      </c>
      <c r="S4835" s="18" t="s">
        <v>30</v>
      </c>
      <c r="T4835" s="18" t="s">
        <v>3951</v>
      </c>
      <c r="U4835" s="18"/>
      <c r="V4835" s="18"/>
      <c r="W4835" s="18" t="s">
        <v>3952</v>
      </c>
      <c r="X4835" s="18" t="s">
        <v>42</v>
      </c>
      <c r="Y4835" s="18" t="s">
        <v>36</v>
      </c>
      <c r="Z4835" s="18" t="s">
        <v>697</v>
      </c>
      <c r="AA4835" s="21" t="str">
        <f>HYPERLINK("https://www.ncbi.nlm.nih.gov/nuccore/MW073100","NCBI Nucleotide")</f>
        <v>NCBI Nucleotide</v>
      </c>
    </row>
    <row r="4836" spans="1:27" x14ac:dyDescent="0.35">
      <c r="A4836">
        <v>1006601</v>
      </c>
      <c r="B4836">
        <v>4812</v>
      </c>
      <c r="C4836">
        <v>1</v>
      </c>
      <c r="D4836" s="17" t="s">
        <v>155</v>
      </c>
      <c r="E4836" s="17"/>
      <c r="F4836" s="17" t="s">
        <v>156</v>
      </c>
      <c r="G4836" s="17"/>
      <c r="H4836" s="17" t="s">
        <v>692</v>
      </c>
      <c r="I4836" s="17"/>
      <c r="J4836" s="17" t="s">
        <v>693</v>
      </c>
      <c r="K4836" s="17"/>
      <c r="L4836" s="17"/>
      <c r="M4836" s="17"/>
      <c r="N4836" s="17"/>
      <c r="O4836" s="17"/>
      <c r="P4836" s="17" t="s">
        <v>3953</v>
      </c>
      <c r="Q4836" s="17"/>
      <c r="R4836" s="25" t="str">
        <f>HYPERLINK("https://ictv.global/taxonomy/taxondetails?taxnode_id=202306888","Tabernariusvirus tabernarius")</f>
        <v>Tabernariusvirus tabernarius</v>
      </c>
      <c r="S4836" s="18" t="s">
        <v>30</v>
      </c>
      <c r="T4836" s="18" t="s">
        <v>3954</v>
      </c>
      <c r="U4836" s="18"/>
      <c r="V4836" s="18"/>
      <c r="W4836" s="18" t="s">
        <v>3955</v>
      </c>
      <c r="X4836" s="18" t="s">
        <v>42</v>
      </c>
      <c r="Y4836" s="18" t="s">
        <v>36</v>
      </c>
      <c r="Z4836" s="18" t="s">
        <v>697</v>
      </c>
      <c r="AA4836" s="21" t="str">
        <f>HYPERLINK("https://www.ncbi.nlm.nih.gov/nuccore/MG018926","NCBI Nucleotide")</f>
        <v>NCBI Nucleotide</v>
      </c>
    </row>
    <row r="4837" spans="1:27" x14ac:dyDescent="0.35">
      <c r="A4837">
        <v>1006603</v>
      </c>
      <c r="B4837">
        <v>4813</v>
      </c>
      <c r="C4837">
        <v>1</v>
      </c>
      <c r="D4837" s="17" t="s">
        <v>155</v>
      </c>
      <c r="E4837" s="17"/>
      <c r="F4837" s="17" t="s">
        <v>156</v>
      </c>
      <c r="G4837" s="17"/>
      <c r="H4837" s="17" t="s">
        <v>692</v>
      </c>
      <c r="I4837" s="17"/>
      <c r="J4837" s="17" t="s">
        <v>693</v>
      </c>
      <c r="K4837" s="17"/>
      <c r="L4837" s="17"/>
      <c r="M4837" s="17"/>
      <c r="N4837" s="17"/>
      <c r="O4837" s="17"/>
      <c r="P4837" s="17" t="s">
        <v>3959</v>
      </c>
      <c r="Q4837" s="17"/>
      <c r="R4837" s="25" t="str">
        <f>HYPERLINK("https://ictv.global/taxonomy/taxondetails?taxnode_id=202311965","Tandoganvirus A403")</f>
        <v>Tandoganvirus A403</v>
      </c>
      <c r="S4837" s="18" t="s">
        <v>30</v>
      </c>
      <c r="T4837" s="18" t="s">
        <v>3960</v>
      </c>
      <c r="U4837" s="18"/>
      <c r="V4837" s="18"/>
      <c r="W4837" s="18" t="s">
        <v>3961</v>
      </c>
      <c r="X4837" s="18" t="s">
        <v>42</v>
      </c>
      <c r="Y4837" s="18" t="s">
        <v>36</v>
      </c>
      <c r="Z4837" s="18" t="s">
        <v>697</v>
      </c>
      <c r="AA4837" s="21" t="str">
        <f>HYPERLINK("https://www.ncbi.nlm.nih.gov/nuccore/MG969427","NCBI Nucleotide")</f>
        <v>NCBI Nucleotide</v>
      </c>
    </row>
    <row r="4838" spans="1:27" x14ac:dyDescent="0.35">
      <c r="A4838">
        <v>1006604</v>
      </c>
      <c r="B4838">
        <v>4814</v>
      </c>
      <c r="C4838">
        <v>1</v>
      </c>
      <c r="D4838" s="17" t="s">
        <v>155</v>
      </c>
      <c r="E4838" s="17"/>
      <c r="F4838" s="17" t="s">
        <v>156</v>
      </c>
      <c r="G4838" s="17"/>
      <c r="H4838" s="17" t="s">
        <v>692</v>
      </c>
      <c r="I4838" s="17"/>
      <c r="J4838" s="17" t="s">
        <v>693</v>
      </c>
      <c r="K4838" s="17"/>
      <c r="L4838" s="17"/>
      <c r="M4838" s="17"/>
      <c r="N4838" s="17"/>
      <c r="O4838" s="17"/>
      <c r="P4838" s="17" t="s">
        <v>3962</v>
      </c>
      <c r="Q4838" s="17"/>
      <c r="R4838" s="25" t="str">
        <f>HYPERLINK("https://ictv.global/taxonomy/taxondetails?taxnode_id=202301334","Tankvirus tank")</f>
        <v>Tankvirus tank</v>
      </c>
      <c r="S4838" s="18" t="s">
        <v>30</v>
      </c>
      <c r="T4838" s="18" t="s">
        <v>3963</v>
      </c>
      <c r="U4838" s="18"/>
      <c r="V4838" s="18"/>
      <c r="W4838" s="18" t="s">
        <v>3964</v>
      </c>
      <c r="X4838" s="18" t="s">
        <v>42</v>
      </c>
      <c r="Y4838" s="18" t="s">
        <v>36</v>
      </c>
      <c r="Z4838" s="18" t="s">
        <v>697</v>
      </c>
      <c r="AA4838" s="21" t="str">
        <f>HYPERLINK("https://www.ncbi.nlm.nih.gov/nuccore/KU160669","NCBI Nucleotide")</f>
        <v>NCBI Nucleotide</v>
      </c>
    </row>
    <row r="4839" spans="1:27" x14ac:dyDescent="0.35">
      <c r="A4839">
        <v>1006605</v>
      </c>
      <c r="B4839">
        <v>4815</v>
      </c>
      <c r="C4839">
        <v>1</v>
      </c>
      <c r="D4839" s="17" t="s">
        <v>155</v>
      </c>
      <c r="E4839" s="17"/>
      <c r="F4839" s="17" t="s">
        <v>156</v>
      </c>
      <c r="G4839" s="17"/>
      <c r="H4839" s="17" t="s">
        <v>692</v>
      </c>
      <c r="I4839" s="17"/>
      <c r="J4839" s="17" t="s">
        <v>693</v>
      </c>
      <c r="K4839" s="17"/>
      <c r="L4839" s="17"/>
      <c r="M4839" s="17"/>
      <c r="N4839" s="17"/>
      <c r="O4839" s="17"/>
      <c r="P4839" s="17" t="s">
        <v>3965</v>
      </c>
      <c r="Q4839" s="17"/>
      <c r="R4839" s="25" t="str">
        <f>HYPERLINK("https://ictv.global/taxonomy/taxondetails?taxnode_id=202310017","Tantvirus tant")</f>
        <v>Tantvirus tant</v>
      </c>
      <c r="S4839" s="18" t="s">
        <v>30</v>
      </c>
      <c r="T4839" s="18" t="s">
        <v>3966</v>
      </c>
      <c r="U4839" s="18"/>
      <c r="V4839" s="18"/>
      <c r="W4839" s="18" t="s">
        <v>3967</v>
      </c>
      <c r="X4839" s="18" t="s">
        <v>42</v>
      </c>
      <c r="Y4839" s="18" t="s">
        <v>36</v>
      </c>
      <c r="Z4839" s="18" t="s">
        <v>697</v>
      </c>
      <c r="AA4839" s="21" t="str">
        <f>HYPERLINK("https://www.ncbi.nlm.nih.gov/nuccore/MN812239","NCBI Nucleotide")</f>
        <v>NCBI Nucleotide</v>
      </c>
    </row>
    <row r="4840" spans="1:27" x14ac:dyDescent="0.35">
      <c r="A4840">
        <v>1006606</v>
      </c>
      <c r="B4840">
        <v>4816</v>
      </c>
      <c r="C4840">
        <v>1</v>
      </c>
      <c r="D4840" s="17" t="s">
        <v>155</v>
      </c>
      <c r="E4840" s="17"/>
      <c r="F4840" s="17" t="s">
        <v>156</v>
      </c>
      <c r="G4840" s="17"/>
      <c r="H4840" s="17" t="s">
        <v>692</v>
      </c>
      <c r="I4840" s="17"/>
      <c r="J4840" s="17" t="s">
        <v>693</v>
      </c>
      <c r="K4840" s="17"/>
      <c r="L4840" s="17"/>
      <c r="M4840" s="17"/>
      <c r="N4840" s="17"/>
      <c r="O4840" s="17"/>
      <c r="P4840" s="17" t="s">
        <v>3968</v>
      </c>
      <c r="Q4840" s="17"/>
      <c r="R4840" s="25" t="str">
        <f>HYPERLINK("https://ictv.global/taxonomy/taxondetails?taxnode_id=202308046","Taranisvirus taranis")</f>
        <v>Taranisvirus taranis</v>
      </c>
      <c r="S4840" s="18" t="s">
        <v>30</v>
      </c>
      <c r="T4840" s="18" t="s">
        <v>3969</v>
      </c>
      <c r="U4840" s="18"/>
      <c r="V4840" s="18"/>
      <c r="W4840" s="18" t="s">
        <v>3970</v>
      </c>
      <c r="X4840" s="18" t="s">
        <v>42</v>
      </c>
      <c r="Y4840" s="18" t="s">
        <v>36</v>
      </c>
      <c r="Z4840" s="18" t="s">
        <v>697</v>
      </c>
      <c r="AA4840" s="21" t="str">
        <f>HYPERLINK("https://www.ncbi.nlm.nih.gov/nuccore/MG711467","NCBI Nucleotide")</f>
        <v>NCBI Nucleotide</v>
      </c>
    </row>
    <row r="4841" spans="1:27" x14ac:dyDescent="0.35">
      <c r="A4841">
        <v>1006607</v>
      </c>
      <c r="B4841">
        <v>4817</v>
      </c>
      <c r="C4841">
        <v>1</v>
      </c>
      <c r="D4841" s="17" t="s">
        <v>155</v>
      </c>
      <c r="E4841" s="17"/>
      <c r="F4841" s="17" t="s">
        <v>156</v>
      </c>
      <c r="G4841" s="17"/>
      <c r="H4841" s="17" t="s">
        <v>692</v>
      </c>
      <c r="I4841" s="17"/>
      <c r="J4841" s="17" t="s">
        <v>693</v>
      </c>
      <c r="K4841" s="17"/>
      <c r="L4841" s="17"/>
      <c r="M4841" s="17"/>
      <c r="N4841" s="17"/>
      <c r="O4841" s="17"/>
      <c r="P4841" s="17" t="s">
        <v>3971</v>
      </c>
      <c r="Q4841" s="17"/>
      <c r="R4841" s="25" t="str">
        <f>HYPERLINK("https://ictv.global/taxonomy/taxondetails?taxnode_id=202314782","Tepukevirus Psa21")</f>
        <v>Tepukevirus Psa21</v>
      </c>
      <c r="S4841" s="18" t="s">
        <v>30</v>
      </c>
      <c r="T4841" s="18" t="s">
        <v>3972</v>
      </c>
      <c r="U4841" s="18"/>
      <c r="V4841" s="18"/>
      <c r="W4841" s="18" t="s">
        <v>3973</v>
      </c>
      <c r="X4841" s="18" t="s">
        <v>42</v>
      </c>
      <c r="Y4841" s="18" t="s">
        <v>36</v>
      </c>
      <c r="Z4841" s="18" t="s">
        <v>697</v>
      </c>
      <c r="AA4841" s="21" t="str">
        <f>HYPERLINK("https://www.ncbi.nlm.nih.gov/nuccore/MK552327","NCBI Nucleotide")</f>
        <v>NCBI Nucleotide</v>
      </c>
    </row>
    <row r="4842" spans="1:27" x14ac:dyDescent="0.35">
      <c r="A4842">
        <v>1006608</v>
      </c>
      <c r="B4842">
        <v>4818</v>
      </c>
      <c r="C4842">
        <v>1</v>
      </c>
      <c r="D4842" s="17" t="s">
        <v>155</v>
      </c>
      <c r="E4842" s="17"/>
      <c r="F4842" s="17" t="s">
        <v>156</v>
      </c>
      <c r="G4842" s="17"/>
      <c r="H4842" s="17" t="s">
        <v>692</v>
      </c>
      <c r="I4842" s="17"/>
      <c r="J4842" s="17" t="s">
        <v>693</v>
      </c>
      <c r="K4842" s="17"/>
      <c r="L4842" s="17"/>
      <c r="M4842" s="17"/>
      <c r="N4842" s="17"/>
      <c r="O4842" s="17"/>
      <c r="P4842" s="17" t="s">
        <v>3974</v>
      </c>
      <c r="Q4842" s="17"/>
      <c r="R4842" s="25" t="str">
        <f>HYPERLINK("https://ictv.global/taxonomy/taxondetails?taxnode_id=202307706","Terapinvirus suzy")</f>
        <v>Terapinvirus suzy</v>
      </c>
      <c r="S4842" s="18" t="s">
        <v>30</v>
      </c>
      <c r="T4842" s="18" t="s">
        <v>3975</v>
      </c>
      <c r="U4842" s="18"/>
      <c r="V4842" s="18"/>
      <c r="W4842" s="18" t="s">
        <v>3976</v>
      </c>
      <c r="X4842" s="18" t="s">
        <v>42</v>
      </c>
      <c r="Y4842" s="18" t="s">
        <v>36</v>
      </c>
      <c r="Z4842" s="18" t="s">
        <v>697</v>
      </c>
      <c r="AA4842" s="21" t="str">
        <f>HYPERLINK("https://www.ncbi.nlm.nih.gov/nuccore/MH271313","NCBI Nucleotide")</f>
        <v>NCBI Nucleotide</v>
      </c>
    </row>
    <row r="4843" spans="1:27" x14ac:dyDescent="0.35">
      <c r="A4843">
        <v>1006609</v>
      </c>
      <c r="B4843">
        <v>4819</v>
      </c>
      <c r="C4843">
        <v>1</v>
      </c>
      <c r="D4843" s="17" t="s">
        <v>155</v>
      </c>
      <c r="E4843" s="17"/>
      <c r="F4843" s="17" t="s">
        <v>156</v>
      </c>
      <c r="G4843" s="17"/>
      <c r="H4843" s="17" t="s">
        <v>692</v>
      </c>
      <c r="I4843" s="17"/>
      <c r="J4843" s="17" t="s">
        <v>693</v>
      </c>
      <c r="K4843" s="17"/>
      <c r="L4843" s="17"/>
      <c r="M4843" s="17"/>
      <c r="N4843" s="17"/>
      <c r="O4843" s="17"/>
      <c r="P4843" s="17" t="s">
        <v>3974</v>
      </c>
      <c r="Q4843" s="17"/>
      <c r="R4843" s="25" t="str">
        <f>HYPERLINK("https://ictv.global/taxonomy/taxondetails?taxnode_id=202307705","Terapinvirus terapin")</f>
        <v>Terapinvirus terapin</v>
      </c>
      <c r="S4843" s="18" t="s">
        <v>30</v>
      </c>
      <c r="T4843" s="18" t="s">
        <v>3977</v>
      </c>
      <c r="U4843" s="18"/>
      <c r="V4843" s="18"/>
      <c r="W4843" s="18" t="s">
        <v>3978</v>
      </c>
      <c r="X4843" s="18" t="s">
        <v>42</v>
      </c>
      <c r="Y4843" s="18" t="s">
        <v>36</v>
      </c>
      <c r="Z4843" s="18" t="s">
        <v>697</v>
      </c>
      <c r="AA4843" s="21" t="str">
        <f>HYPERLINK("https://www.ncbi.nlm.nih.gov/nuccore/KX557285","NCBI Nucleotide")</f>
        <v>NCBI Nucleotide</v>
      </c>
    </row>
    <row r="4844" spans="1:27" x14ac:dyDescent="0.35">
      <c r="A4844">
        <v>1006610</v>
      </c>
      <c r="B4844">
        <v>4820</v>
      </c>
      <c r="C4844">
        <v>1</v>
      </c>
      <c r="D4844" s="17" t="s">
        <v>155</v>
      </c>
      <c r="E4844" s="17"/>
      <c r="F4844" s="17" t="s">
        <v>156</v>
      </c>
      <c r="G4844" s="17"/>
      <c r="H4844" s="17" t="s">
        <v>692</v>
      </c>
      <c r="I4844" s="17"/>
      <c r="J4844" s="17" t="s">
        <v>693</v>
      </c>
      <c r="K4844" s="17"/>
      <c r="L4844" s="17"/>
      <c r="M4844" s="17"/>
      <c r="N4844" s="17"/>
      <c r="O4844" s="17"/>
      <c r="P4844" s="17" t="s">
        <v>3979</v>
      </c>
      <c r="Q4844" s="17"/>
      <c r="R4844" s="25" t="str">
        <f>HYPERLINK("https://ictv.global/taxonomy/taxondetails?taxnode_id=202312022","Teubervirus AM6")</f>
        <v>Teubervirus AM6</v>
      </c>
      <c r="S4844" s="18" t="s">
        <v>30</v>
      </c>
      <c r="T4844" s="18" t="s">
        <v>3980</v>
      </c>
      <c r="U4844" s="18"/>
      <c r="V4844" s="18"/>
      <c r="W4844" s="18" t="s">
        <v>3981</v>
      </c>
      <c r="X4844" s="18" t="s">
        <v>42</v>
      </c>
      <c r="Y4844" s="18" t="s">
        <v>36</v>
      </c>
      <c r="Z4844" s="18" t="s">
        <v>697</v>
      </c>
      <c r="AA4844" s="21" t="str">
        <f>HYPERLINK("https://www.ncbi.nlm.nih.gov/nuccore/KY554766","NCBI Nucleotide")</f>
        <v>NCBI Nucleotide</v>
      </c>
    </row>
    <row r="4845" spans="1:27" x14ac:dyDescent="0.35">
      <c r="A4845">
        <v>1006611</v>
      </c>
      <c r="B4845">
        <v>4821</v>
      </c>
      <c r="C4845">
        <v>1</v>
      </c>
      <c r="D4845" s="17" t="s">
        <v>155</v>
      </c>
      <c r="E4845" s="17"/>
      <c r="F4845" s="17" t="s">
        <v>156</v>
      </c>
      <c r="G4845" s="17"/>
      <c r="H4845" s="17" t="s">
        <v>692</v>
      </c>
      <c r="I4845" s="17"/>
      <c r="J4845" s="17" t="s">
        <v>693</v>
      </c>
      <c r="K4845" s="17"/>
      <c r="L4845" s="17"/>
      <c r="M4845" s="17"/>
      <c r="N4845" s="17"/>
      <c r="O4845" s="17"/>
      <c r="P4845" s="17" t="s">
        <v>3979</v>
      </c>
      <c r="Q4845" s="17"/>
      <c r="R4845" s="25" t="str">
        <f>HYPERLINK("https://ictv.global/taxonomy/taxondetails?taxnode_id=202312021","Teubervirus LW31")</f>
        <v>Teubervirus LW31</v>
      </c>
      <c r="S4845" s="18" t="s">
        <v>30</v>
      </c>
      <c r="T4845" s="18" t="s">
        <v>3982</v>
      </c>
      <c r="U4845" s="18"/>
      <c r="V4845" s="18"/>
      <c r="W4845" s="18" t="s">
        <v>3983</v>
      </c>
      <c r="X4845" s="18" t="s">
        <v>42</v>
      </c>
      <c r="Y4845" s="18" t="s">
        <v>36</v>
      </c>
      <c r="Z4845" s="18" t="s">
        <v>697</v>
      </c>
      <c r="AA4845" s="21" t="str">
        <f>HYPERLINK("https://www.ncbi.nlm.nih.gov/nuccore/KY554762","NCBI Nucleotide")</f>
        <v>NCBI Nucleotide</v>
      </c>
    </row>
    <row r="4846" spans="1:27" x14ac:dyDescent="0.35">
      <c r="A4846">
        <v>1006612</v>
      </c>
      <c r="B4846">
        <v>4822</v>
      </c>
      <c r="C4846">
        <v>1</v>
      </c>
      <c r="D4846" s="17" t="s">
        <v>155</v>
      </c>
      <c r="E4846" s="17"/>
      <c r="F4846" s="17" t="s">
        <v>156</v>
      </c>
      <c r="G4846" s="17"/>
      <c r="H4846" s="17" t="s">
        <v>692</v>
      </c>
      <c r="I4846" s="17"/>
      <c r="J4846" s="17" t="s">
        <v>693</v>
      </c>
      <c r="K4846" s="17"/>
      <c r="L4846" s="17"/>
      <c r="M4846" s="17"/>
      <c r="N4846" s="17"/>
      <c r="O4846" s="17"/>
      <c r="P4846" s="17" t="s">
        <v>3979</v>
      </c>
      <c r="Q4846" s="17"/>
      <c r="R4846" s="25" t="str">
        <f>HYPERLINK("https://ictv.global/taxonomy/taxondetails?taxnode_id=202312023","Teubervirus P087")</f>
        <v>Teubervirus P087</v>
      </c>
      <c r="S4846" s="18" t="s">
        <v>30</v>
      </c>
      <c r="T4846" s="18" t="s">
        <v>3984</v>
      </c>
      <c r="U4846" s="18"/>
      <c r="V4846" s="18"/>
      <c r="W4846" s="18" t="s">
        <v>3985</v>
      </c>
      <c r="X4846" s="18" t="s">
        <v>42</v>
      </c>
      <c r="Y4846" s="18" t="s">
        <v>36</v>
      </c>
      <c r="Z4846" s="18" t="s">
        <v>697</v>
      </c>
      <c r="AA4846" s="21" t="str">
        <f>HYPERLINK("https://www.ncbi.nlm.nih.gov/nuccore/FJ429185","NCBI Nucleotide")</f>
        <v>NCBI Nucleotide</v>
      </c>
    </row>
    <row r="4847" spans="1:27" x14ac:dyDescent="0.35">
      <c r="A4847">
        <v>1006613</v>
      </c>
      <c r="B4847">
        <v>4823</v>
      </c>
      <c r="C4847">
        <v>1</v>
      </c>
      <c r="D4847" s="17" t="s">
        <v>155</v>
      </c>
      <c r="E4847" s="17"/>
      <c r="F4847" s="17" t="s">
        <v>156</v>
      </c>
      <c r="G4847" s="17"/>
      <c r="H4847" s="17" t="s">
        <v>692</v>
      </c>
      <c r="I4847" s="17"/>
      <c r="J4847" s="17" t="s">
        <v>693</v>
      </c>
      <c r="K4847" s="17"/>
      <c r="L4847" s="17"/>
      <c r="M4847" s="17"/>
      <c r="N4847" s="17"/>
      <c r="O4847" s="17"/>
      <c r="P4847" s="17" t="s">
        <v>3979</v>
      </c>
      <c r="Q4847" s="17"/>
      <c r="R4847" s="25" t="str">
        <f>HYPERLINK("https://ictv.global/taxonomy/taxondetails?taxnode_id=202312024","Teubervirus P596")</f>
        <v>Teubervirus P596</v>
      </c>
      <c r="S4847" s="18" t="s">
        <v>30</v>
      </c>
      <c r="T4847" s="18" t="s">
        <v>3986</v>
      </c>
      <c r="U4847" s="18"/>
      <c r="V4847" s="18"/>
      <c r="W4847" s="18" t="s">
        <v>3987</v>
      </c>
      <c r="X4847" s="18" t="s">
        <v>42</v>
      </c>
      <c r="Y4847" s="18" t="s">
        <v>36</v>
      </c>
      <c r="Z4847" s="18" t="s">
        <v>697</v>
      </c>
      <c r="AA4847" s="21" t="str">
        <f>HYPERLINK("https://www.ncbi.nlm.nih.gov/nuccore/MN528768","NCBI Nucleotide")</f>
        <v>NCBI Nucleotide</v>
      </c>
    </row>
    <row r="4848" spans="1:27" x14ac:dyDescent="0.35">
      <c r="A4848">
        <v>1006614</v>
      </c>
      <c r="B4848">
        <v>4824</v>
      </c>
      <c r="C4848">
        <v>1</v>
      </c>
      <c r="D4848" s="17" t="s">
        <v>155</v>
      </c>
      <c r="E4848" s="17"/>
      <c r="F4848" s="17" t="s">
        <v>156</v>
      </c>
      <c r="G4848" s="17"/>
      <c r="H4848" s="17" t="s">
        <v>692</v>
      </c>
      <c r="I4848" s="17"/>
      <c r="J4848" s="17" t="s">
        <v>693</v>
      </c>
      <c r="K4848" s="17"/>
      <c r="L4848" s="17"/>
      <c r="M4848" s="17"/>
      <c r="N4848" s="17"/>
      <c r="O4848" s="17"/>
      <c r="P4848" s="17" t="s">
        <v>3979</v>
      </c>
      <c r="Q4848" s="17"/>
      <c r="R4848" s="25" t="str">
        <f>HYPERLINK("https://ictv.global/taxonomy/taxondetails?taxnode_id=202312020","Teubervirus Q1")</f>
        <v>Teubervirus Q1</v>
      </c>
      <c r="S4848" s="18" t="s">
        <v>30</v>
      </c>
      <c r="T4848" s="18" t="s">
        <v>3988</v>
      </c>
      <c r="U4848" s="18"/>
      <c r="V4848" s="18"/>
      <c r="W4848" s="18" t="s">
        <v>3989</v>
      </c>
      <c r="X4848" s="18" t="s">
        <v>42</v>
      </c>
      <c r="Y4848" s="18" t="s">
        <v>36</v>
      </c>
      <c r="Z4848" s="18" t="s">
        <v>697</v>
      </c>
      <c r="AA4848" s="21" t="str">
        <f>HYPERLINK("https://www.ncbi.nlm.nih.gov/nuccore/AP019527","NCBI Nucleotide")</f>
        <v>NCBI Nucleotide</v>
      </c>
    </row>
    <row r="4849" spans="1:27" x14ac:dyDescent="0.35">
      <c r="A4849">
        <v>1024923</v>
      </c>
      <c r="B4849">
        <v>4825</v>
      </c>
      <c r="C4849">
        <v>1</v>
      </c>
      <c r="D4849" s="17" t="s">
        <v>155</v>
      </c>
      <c r="E4849" s="17"/>
      <c r="F4849" s="17" t="s">
        <v>156</v>
      </c>
      <c r="G4849" s="17"/>
      <c r="H4849" s="17" t="s">
        <v>692</v>
      </c>
      <c r="I4849" s="17"/>
      <c r="J4849" s="17" t="s">
        <v>693</v>
      </c>
      <c r="K4849" s="17"/>
      <c r="L4849" s="17"/>
      <c r="M4849" s="17"/>
      <c r="N4849" s="17"/>
      <c r="O4849" s="17"/>
      <c r="P4849" s="17" t="s">
        <v>40041</v>
      </c>
      <c r="Q4849" s="17"/>
      <c r="R4849" s="25" t="str">
        <f>HYPERLINK("https://ictv.global/taxonomy/taxondetails?taxnode_id=202317872","Theosmithvirus tv0105phi72")</f>
        <v>Theosmithvirus tv0105phi72</v>
      </c>
      <c r="S4849" s="18" t="s">
        <v>30</v>
      </c>
      <c r="T4849" s="18" t="s">
        <v>40042</v>
      </c>
      <c r="U4849" s="18"/>
      <c r="V4849" s="18"/>
      <c r="W4849" s="18" t="s">
        <v>48575</v>
      </c>
      <c r="X4849" s="18" t="s">
        <v>42</v>
      </c>
      <c r="Y4849" s="18" t="s">
        <v>36</v>
      </c>
      <c r="Z4849" s="18" t="s">
        <v>697</v>
      </c>
      <c r="AA4849" s="21" t="str">
        <f>HYPERLINK("https://www.ncbi.nlm.nih.gov/nuccore/OQ317942","NCBI Nucleotide")</f>
        <v>NCBI Nucleotide</v>
      </c>
    </row>
    <row r="4850" spans="1:27" x14ac:dyDescent="0.35">
      <c r="A4850">
        <v>1024924</v>
      </c>
      <c r="B4850">
        <v>4826</v>
      </c>
      <c r="C4850">
        <v>1</v>
      </c>
      <c r="D4850" s="17" t="s">
        <v>155</v>
      </c>
      <c r="E4850" s="17"/>
      <c r="F4850" s="17" t="s">
        <v>156</v>
      </c>
      <c r="G4850" s="17"/>
      <c r="H4850" s="17" t="s">
        <v>692</v>
      </c>
      <c r="I4850" s="17"/>
      <c r="J4850" s="17" t="s">
        <v>693</v>
      </c>
      <c r="K4850" s="17"/>
      <c r="L4850" s="17"/>
      <c r="M4850" s="17"/>
      <c r="N4850" s="17"/>
      <c r="O4850" s="17"/>
      <c r="P4850" s="17" t="s">
        <v>40043</v>
      </c>
      <c r="Q4850" s="17"/>
      <c r="R4850" s="25" t="str">
        <f>HYPERLINK("https://ictv.global/taxonomy/taxondetails?taxnode_id=202319215","Thiercelinvirus v9184")</f>
        <v>Thiercelinvirus v9184</v>
      </c>
      <c r="S4850" s="18" t="s">
        <v>30</v>
      </c>
      <c r="T4850" s="18" t="s">
        <v>40044</v>
      </c>
      <c r="U4850" s="18"/>
      <c r="V4850" s="18"/>
      <c r="W4850" s="18" t="s">
        <v>48576</v>
      </c>
      <c r="X4850" s="18" t="s">
        <v>42</v>
      </c>
      <c r="Y4850" s="18" t="s">
        <v>36</v>
      </c>
      <c r="Z4850" s="18" t="s">
        <v>697</v>
      </c>
      <c r="AA4850" s="21" t="str">
        <f>HYPERLINK("https://www.ncbi.nlm.nih.gov/nuccore/MT939242","NCBI Nucleotide")</f>
        <v>NCBI Nucleotide</v>
      </c>
    </row>
    <row r="4851" spans="1:27" x14ac:dyDescent="0.35">
      <c r="A4851">
        <v>1006615</v>
      </c>
      <c r="B4851">
        <v>4827</v>
      </c>
      <c r="C4851">
        <v>1</v>
      </c>
      <c r="D4851" s="17" t="s">
        <v>155</v>
      </c>
      <c r="E4851" s="17"/>
      <c r="F4851" s="17" t="s">
        <v>156</v>
      </c>
      <c r="G4851" s="17"/>
      <c r="H4851" s="17" t="s">
        <v>692</v>
      </c>
      <c r="I4851" s="17"/>
      <c r="J4851" s="17" t="s">
        <v>693</v>
      </c>
      <c r="K4851" s="17"/>
      <c r="L4851" s="17"/>
      <c r="M4851" s="17"/>
      <c r="N4851" s="17"/>
      <c r="O4851" s="17"/>
      <c r="P4851" s="17" t="s">
        <v>3990</v>
      </c>
      <c r="Q4851" s="17"/>
      <c r="R4851" s="25" t="str">
        <f>HYPERLINK("https://ictv.global/taxonomy/taxondetails?taxnode_id=202306890","Thornevirus SP15")</f>
        <v>Thornevirus SP15</v>
      </c>
      <c r="S4851" s="18" t="s">
        <v>30</v>
      </c>
      <c r="T4851" s="18" t="s">
        <v>3991</v>
      </c>
      <c r="U4851" s="18"/>
      <c r="V4851" s="18"/>
      <c r="W4851" s="18" t="s">
        <v>3992</v>
      </c>
      <c r="X4851" s="18" t="s">
        <v>42</v>
      </c>
      <c r="Y4851" s="18" t="s">
        <v>36</v>
      </c>
      <c r="Z4851" s="18" t="s">
        <v>697</v>
      </c>
      <c r="AA4851" s="21" t="str">
        <f>HYPERLINK("https://www.ncbi.nlm.nih.gov/nuccore/KT624200","NCBI Nucleotide")</f>
        <v>NCBI Nucleotide</v>
      </c>
    </row>
    <row r="4852" spans="1:27" x14ac:dyDescent="0.35">
      <c r="A4852">
        <v>1006616</v>
      </c>
      <c r="B4852">
        <v>4828</v>
      </c>
      <c r="C4852">
        <v>1</v>
      </c>
      <c r="D4852" s="17" t="s">
        <v>155</v>
      </c>
      <c r="E4852" s="17"/>
      <c r="F4852" s="17" t="s">
        <v>156</v>
      </c>
      <c r="G4852" s="17"/>
      <c r="H4852" s="17" t="s">
        <v>692</v>
      </c>
      <c r="I4852" s="17"/>
      <c r="J4852" s="17" t="s">
        <v>693</v>
      </c>
      <c r="K4852" s="17"/>
      <c r="L4852" s="17"/>
      <c r="M4852" s="17"/>
      <c r="N4852" s="17"/>
      <c r="O4852" s="17"/>
      <c r="P4852" s="17" t="s">
        <v>3993</v>
      </c>
      <c r="Q4852" s="17"/>
      <c r="R4852" s="25" t="str">
        <f>HYPERLINK("https://ictv.global/taxonomy/taxondetails?taxnode_id=202314952","Tieomvirus BT1011")</f>
        <v>Tieomvirus BT1011</v>
      </c>
      <c r="S4852" s="18" t="s">
        <v>30</v>
      </c>
      <c r="T4852" s="18" t="s">
        <v>3994</v>
      </c>
      <c r="U4852" s="18"/>
      <c r="V4852" s="18"/>
      <c r="W4852" s="18" t="s">
        <v>3995</v>
      </c>
      <c r="X4852" s="18" t="s">
        <v>42</v>
      </c>
      <c r="Y4852" s="18" t="s">
        <v>36</v>
      </c>
      <c r="Z4852" s="18" t="s">
        <v>697</v>
      </c>
      <c r="AA4852" s="21" t="str">
        <f>HYPERLINK("https://www.ncbi.nlm.nih.gov/nuccore/MW009675","NCBI Nucleotide")</f>
        <v>NCBI Nucleotide</v>
      </c>
    </row>
    <row r="4853" spans="1:27" x14ac:dyDescent="0.35">
      <c r="A4853">
        <v>1006617</v>
      </c>
      <c r="B4853">
        <v>4829</v>
      </c>
      <c r="C4853">
        <v>1</v>
      </c>
      <c r="D4853" s="17" t="s">
        <v>155</v>
      </c>
      <c r="E4853" s="17"/>
      <c r="F4853" s="17" t="s">
        <v>156</v>
      </c>
      <c r="G4853" s="17"/>
      <c r="H4853" s="17" t="s">
        <v>692</v>
      </c>
      <c r="I4853" s="17"/>
      <c r="J4853" s="17" t="s">
        <v>693</v>
      </c>
      <c r="K4853" s="17"/>
      <c r="L4853" s="17"/>
      <c r="M4853" s="17"/>
      <c r="N4853" s="17"/>
      <c r="O4853" s="17"/>
      <c r="P4853" s="17" t="s">
        <v>3996</v>
      </c>
      <c r="Q4853" s="17"/>
      <c r="R4853" s="25" t="str">
        <f>HYPERLINK("https://ictv.global/taxonomy/taxondetails?taxnode_id=202301187","Tigunavirus TG1")</f>
        <v>Tigunavirus TG1</v>
      </c>
      <c r="S4853" s="18" t="s">
        <v>30</v>
      </c>
      <c r="T4853" s="18" t="s">
        <v>3997</v>
      </c>
      <c r="U4853" s="18"/>
      <c r="V4853" s="18"/>
      <c r="W4853" s="18" t="s">
        <v>3998</v>
      </c>
      <c r="X4853" s="18" t="s">
        <v>42</v>
      </c>
      <c r="Y4853" s="18" t="s">
        <v>36</v>
      </c>
      <c r="Z4853" s="18" t="s">
        <v>697</v>
      </c>
      <c r="AA4853" s="21" t="str">
        <f>HYPERLINK("https://www.ncbi.nlm.nih.gov/nuccore/JX182372","NCBI Nucleotide")</f>
        <v>NCBI Nucleotide</v>
      </c>
    </row>
    <row r="4854" spans="1:27" x14ac:dyDescent="0.35">
      <c r="A4854">
        <v>1006618</v>
      </c>
      <c r="B4854">
        <v>4830</v>
      </c>
      <c r="C4854">
        <v>1</v>
      </c>
      <c r="D4854" s="17" t="s">
        <v>155</v>
      </c>
      <c r="E4854" s="17"/>
      <c r="F4854" s="17" t="s">
        <v>156</v>
      </c>
      <c r="G4854" s="17"/>
      <c r="H4854" s="17" t="s">
        <v>692</v>
      </c>
      <c r="I4854" s="17"/>
      <c r="J4854" s="17" t="s">
        <v>693</v>
      </c>
      <c r="K4854" s="17"/>
      <c r="L4854" s="17"/>
      <c r="M4854" s="17"/>
      <c r="N4854" s="17"/>
      <c r="O4854" s="17"/>
      <c r="P4854" s="17" t="s">
        <v>3999</v>
      </c>
      <c r="Q4854" s="17"/>
      <c r="R4854" s="25" t="str">
        <f>HYPERLINK("https://ictv.global/taxonomy/taxondetails?taxnode_id=202306787","Tijeunavirus TJE1")</f>
        <v>Tijeunavirus TJE1</v>
      </c>
      <c r="S4854" s="18" t="s">
        <v>30</v>
      </c>
      <c r="T4854" s="18" t="s">
        <v>4000</v>
      </c>
      <c r="U4854" s="18"/>
      <c r="V4854" s="18"/>
      <c r="W4854" s="18" t="s">
        <v>4001</v>
      </c>
      <c r="X4854" s="18" t="s">
        <v>42</v>
      </c>
      <c r="Y4854" s="18" t="s">
        <v>36</v>
      </c>
      <c r="Z4854" s="18" t="s">
        <v>697</v>
      </c>
      <c r="AA4854" s="21" t="str">
        <f>HYPERLINK("https://www.ncbi.nlm.nih.gov/nuccore/HQ225832","NCBI Nucleotide")</f>
        <v>NCBI Nucleotide</v>
      </c>
    </row>
    <row r="4855" spans="1:27" x14ac:dyDescent="0.35">
      <c r="A4855">
        <v>1006619</v>
      </c>
      <c r="B4855">
        <v>4831</v>
      </c>
      <c r="C4855">
        <v>1</v>
      </c>
      <c r="D4855" s="17" t="s">
        <v>155</v>
      </c>
      <c r="E4855" s="17"/>
      <c r="F4855" s="17" t="s">
        <v>156</v>
      </c>
      <c r="G4855" s="17"/>
      <c r="H4855" s="17" t="s">
        <v>692</v>
      </c>
      <c r="I4855" s="17"/>
      <c r="J4855" s="17" t="s">
        <v>693</v>
      </c>
      <c r="K4855" s="17"/>
      <c r="L4855" s="17"/>
      <c r="M4855" s="17"/>
      <c r="N4855" s="17"/>
      <c r="O4855" s="17"/>
      <c r="P4855" s="17" t="s">
        <v>4002</v>
      </c>
      <c r="Q4855" s="17"/>
      <c r="R4855" s="25" t="str">
        <f>HYPERLINK("https://ictv.global/taxonomy/taxondetails?taxnode_id=202312612","Timshelvirus droogsarmy")</f>
        <v>Timshelvirus droogsarmy</v>
      </c>
      <c r="S4855" s="18" t="s">
        <v>30</v>
      </c>
      <c r="T4855" s="18" t="s">
        <v>4003</v>
      </c>
      <c r="U4855" s="18"/>
      <c r="V4855" s="18"/>
      <c r="W4855" s="18" t="s">
        <v>4004</v>
      </c>
      <c r="X4855" s="18" t="s">
        <v>42</v>
      </c>
      <c r="Y4855" s="18" t="s">
        <v>36</v>
      </c>
      <c r="Z4855" s="18" t="s">
        <v>697</v>
      </c>
      <c r="AA4855" s="21" t="str">
        <f>HYPERLINK("https://www.ncbi.nlm.nih.gov/nuccore/MT553337","NCBI Nucleotide")</f>
        <v>NCBI Nucleotide</v>
      </c>
    </row>
    <row r="4856" spans="1:27" x14ac:dyDescent="0.35">
      <c r="A4856">
        <v>1006620</v>
      </c>
      <c r="B4856">
        <v>4832</v>
      </c>
      <c r="C4856">
        <v>1</v>
      </c>
      <c r="D4856" s="17" t="s">
        <v>155</v>
      </c>
      <c r="E4856" s="17"/>
      <c r="F4856" s="17" t="s">
        <v>156</v>
      </c>
      <c r="G4856" s="17"/>
      <c r="H4856" s="17" t="s">
        <v>692</v>
      </c>
      <c r="I4856" s="17"/>
      <c r="J4856" s="17" t="s">
        <v>693</v>
      </c>
      <c r="K4856" s="17"/>
      <c r="L4856" s="17"/>
      <c r="M4856" s="17"/>
      <c r="N4856" s="17"/>
      <c r="O4856" s="17"/>
      <c r="P4856" s="17" t="s">
        <v>4002</v>
      </c>
      <c r="Q4856" s="17"/>
      <c r="R4856" s="25" t="str">
        <f>HYPERLINK("https://ictv.global/taxonomy/taxondetails?taxnode_id=202312611","Timshelvirus HINdeR")</f>
        <v>Timshelvirus HINdeR</v>
      </c>
      <c r="S4856" s="18" t="s">
        <v>30</v>
      </c>
      <c r="T4856" s="18" t="s">
        <v>4005</v>
      </c>
      <c r="U4856" s="18"/>
      <c r="V4856" s="18"/>
      <c r="W4856" s="18" t="s">
        <v>4006</v>
      </c>
      <c r="X4856" s="18" t="s">
        <v>42</v>
      </c>
      <c r="Y4856" s="18" t="s">
        <v>36</v>
      </c>
      <c r="Z4856" s="18" t="s">
        <v>697</v>
      </c>
      <c r="AA4856" s="21" t="str">
        <f>HYPERLINK("https://www.ncbi.nlm.nih.gov/nuccore/KC661275","NCBI Nucleotide")</f>
        <v>NCBI Nucleotide</v>
      </c>
    </row>
    <row r="4857" spans="1:27" x14ac:dyDescent="0.35">
      <c r="A4857">
        <v>1006621</v>
      </c>
      <c r="B4857">
        <v>4833</v>
      </c>
      <c r="C4857">
        <v>1</v>
      </c>
      <c r="D4857" s="17" t="s">
        <v>155</v>
      </c>
      <c r="E4857" s="17"/>
      <c r="F4857" s="17" t="s">
        <v>156</v>
      </c>
      <c r="G4857" s="17"/>
      <c r="H4857" s="17" t="s">
        <v>692</v>
      </c>
      <c r="I4857" s="17"/>
      <c r="J4857" s="17" t="s">
        <v>693</v>
      </c>
      <c r="K4857" s="17"/>
      <c r="L4857" s="17"/>
      <c r="M4857" s="17"/>
      <c r="N4857" s="17"/>
      <c r="O4857" s="17"/>
      <c r="P4857" s="17" t="s">
        <v>4002</v>
      </c>
      <c r="Q4857" s="17"/>
      <c r="R4857" s="25" t="str">
        <f>HYPERLINK("https://ictv.global/taxonomy/taxondetails?taxnode_id=202312610","Timshelvirus SWU2")</f>
        <v>Timshelvirus SWU2</v>
      </c>
      <c r="S4857" s="18" t="s">
        <v>30</v>
      </c>
      <c r="T4857" s="18" t="s">
        <v>4007</v>
      </c>
      <c r="U4857" s="18"/>
      <c r="V4857" s="18"/>
      <c r="W4857" s="18" t="s">
        <v>4008</v>
      </c>
      <c r="X4857" s="18" t="s">
        <v>42</v>
      </c>
      <c r="Y4857" s="18" t="s">
        <v>36</v>
      </c>
      <c r="Z4857" s="18" t="s">
        <v>697</v>
      </c>
      <c r="AA4857" s="21" t="str">
        <f>HYPERLINK("https://www.ncbi.nlm.nih.gov/nuccore/MG793454","NCBI Nucleotide")</f>
        <v>NCBI Nucleotide</v>
      </c>
    </row>
    <row r="4858" spans="1:27" x14ac:dyDescent="0.35">
      <c r="A4858">
        <v>1006622</v>
      </c>
      <c r="B4858">
        <v>4834</v>
      </c>
      <c r="C4858">
        <v>1</v>
      </c>
      <c r="D4858" s="17" t="s">
        <v>155</v>
      </c>
      <c r="E4858" s="17"/>
      <c r="F4858" s="17" t="s">
        <v>156</v>
      </c>
      <c r="G4858" s="17"/>
      <c r="H4858" s="17" t="s">
        <v>692</v>
      </c>
      <c r="I4858" s="17"/>
      <c r="J4858" s="17" t="s">
        <v>693</v>
      </c>
      <c r="K4858" s="17"/>
      <c r="L4858" s="17"/>
      <c r="M4858" s="17"/>
      <c r="N4858" s="17"/>
      <c r="O4858" s="17"/>
      <c r="P4858" s="17" t="s">
        <v>4002</v>
      </c>
      <c r="Q4858" s="17"/>
      <c r="R4858" s="25" t="str">
        <f>HYPERLINK("https://ictv.global/taxonomy/taxondetails?taxnode_id=202301062","Timshelvirus timshel")</f>
        <v>Timshelvirus timshel</v>
      </c>
      <c r="S4858" s="18" t="s">
        <v>30</v>
      </c>
      <c r="T4858" s="18" t="s">
        <v>4009</v>
      </c>
      <c r="U4858" s="18"/>
      <c r="V4858" s="18"/>
      <c r="W4858" s="18" t="s">
        <v>4010</v>
      </c>
      <c r="X4858" s="18" t="s">
        <v>42</v>
      </c>
      <c r="Y4858" s="18" t="s">
        <v>36</v>
      </c>
      <c r="Z4858" s="18" t="s">
        <v>697</v>
      </c>
      <c r="AA4858" s="21" t="str">
        <f>HYPERLINK("https://www.ncbi.nlm.nih.gov/nuccore/JF957060","NCBI Nucleotide")</f>
        <v>NCBI Nucleotide</v>
      </c>
    </row>
    <row r="4859" spans="1:27" x14ac:dyDescent="0.35">
      <c r="A4859">
        <v>1006623</v>
      </c>
      <c r="B4859">
        <v>4835</v>
      </c>
      <c r="C4859">
        <v>1</v>
      </c>
      <c r="D4859" s="17" t="s">
        <v>155</v>
      </c>
      <c r="E4859" s="17"/>
      <c r="F4859" s="17" t="s">
        <v>156</v>
      </c>
      <c r="G4859" s="17"/>
      <c r="H4859" s="17" t="s">
        <v>692</v>
      </c>
      <c r="I4859" s="17"/>
      <c r="J4859" s="17" t="s">
        <v>693</v>
      </c>
      <c r="K4859" s="17"/>
      <c r="L4859" s="17"/>
      <c r="M4859" s="17"/>
      <c r="N4859" s="17"/>
      <c r="O4859" s="17"/>
      <c r="P4859" s="17" t="s">
        <v>4011</v>
      </c>
      <c r="Q4859" s="17"/>
      <c r="R4859" s="25" t="str">
        <f>HYPERLINK("https://ictv.global/taxonomy/taxondetails?taxnode_id=202301336","Tinduovirus TIN2")</f>
        <v>Tinduovirus TIN2</v>
      </c>
      <c r="S4859" s="18" t="s">
        <v>30</v>
      </c>
      <c r="T4859" s="18" t="s">
        <v>4012</v>
      </c>
      <c r="U4859" s="18"/>
      <c r="V4859" s="18"/>
      <c r="W4859" s="18" t="s">
        <v>4013</v>
      </c>
      <c r="X4859" s="18" t="s">
        <v>42</v>
      </c>
      <c r="Y4859" s="18" t="s">
        <v>36</v>
      </c>
      <c r="Z4859" s="18" t="s">
        <v>697</v>
      </c>
      <c r="AA4859" s="21" t="str">
        <f>HYPERLINK("https://www.ncbi.nlm.nih.gov/nuccore/KR011062","NCBI Nucleotide")</f>
        <v>NCBI Nucleotide</v>
      </c>
    </row>
    <row r="4860" spans="1:27" x14ac:dyDescent="0.35">
      <c r="A4860">
        <v>1006624</v>
      </c>
      <c r="B4860">
        <v>4836</v>
      </c>
      <c r="C4860">
        <v>1</v>
      </c>
      <c r="D4860" s="17" t="s">
        <v>155</v>
      </c>
      <c r="E4860" s="17"/>
      <c r="F4860" s="17" t="s">
        <v>156</v>
      </c>
      <c r="G4860" s="17"/>
      <c r="H4860" s="17" t="s">
        <v>692</v>
      </c>
      <c r="I4860" s="17"/>
      <c r="J4860" s="17" t="s">
        <v>693</v>
      </c>
      <c r="K4860" s="17"/>
      <c r="L4860" s="17"/>
      <c r="M4860" s="17"/>
      <c r="N4860" s="17"/>
      <c r="O4860" s="17"/>
      <c r="P4860" s="17" t="s">
        <v>4011</v>
      </c>
      <c r="Q4860" s="17"/>
      <c r="R4860" s="25" t="str">
        <f>HYPERLINK("https://ictv.global/taxonomy/taxondetails?taxnode_id=202301337","Tinduovirus TIN3")</f>
        <v>Tinduovirus TIN3</v>
      </c>
      <c r="S4860" s="18" t="s">
        <v>30</v>
      </c>
      <c r="T4860" s="18" t="s">
        <v>4014</v>
      </c>
      <c r="U4860" s="18"/>
      <c r="V4860" s="18"/>
      <c r="W4860" s="18" t="s">
        <v>4015</v>
      </c>
      <c r="X4860" s="18" t="s">
        <v>42</v>
      </c>
      <c r="Y4860" s="18" t="s">
        <v>36</v>
      </c>
      <c r="Z4860" s="18" t="s">
        <v>697</v>
      </c>
      <c r="AA4860" s="21" t="str">
        <f>HYPERLINK("https://www.ncbi.nlm.nih.gov/nuccore/KR011063","NCBI Nucleotide")</f>
        <v>NCBI Nucleotide</v>
      </c>
    </row>
    <row r="4861" spans="1:27" x14ac:dyDescent="0.35">
      <c r="A4861">
        <v>1006625</v>
      </c>
      <c r="B4861">
        <v>4837</v>
      </c>
      <c r="C4861">
        <v>1</v>
      </c>
      <c r="D4861" s="17" t="s">
        <v>155</v>
      </c>
      <c r="E4861" s="17"/>
      <c r="F4861" s="17" t="s">
        <v>156</v>
      </c>
      <c r="G4861" s="17"/>
      <c r="H4861" s="17" t="s">
        <v>692</v>
      </c>
      <c r="I4861" s="17"/>
      <c r="J4861" s="17" t="s">
        <v>693</v>
      </c>
      <c r="K4861" s="17"/>
      <c r="L4861" s="17"/>
      <c r="M4861" s="17"/>
      <c r="N4861" s="17"/>
      <c r="O4861" s="17"/>
      <c r="P4861" s="17" t="s">
        <v>4016</v>
      </c>
      <c r="Q4861" s="17"/>
      <c r="R4861" s="25" t="str">
        <f>HYPERLINK("https://ictv.global/taxonomy/taxondetails?taxnode_id=202301340","Titanvirus rcspartan")</f>
        <v>Titanvirus rcspartan</v>
      </c>
      <c r="S4861" s="18" t="s">
        <v>30</v>
      </c>
      <c r="T4861" s="18" t="s">
        <v>4017</v>
      </c>
      <c r="U4861" s="18"/>
      <c r="V4861" s="18"/>
      <c r="W4861" s="18" t="s">
        <v>4018</v>
      </c>
      <c r="X4861" s="18" t="s">
        <v>42</v>
      </c>
      <c r="Y4861" s="18" t="s">
        <v>36</v>
      </c>
      <c r="Z4861" s="18" t="s">
        <v>697</v>
      </c>
      <c r="AA4861" s="21" t="str">
        <f>HYPERLINK("https://www.ncbi.nlm.nih.gov/nuccore/KR935215","NCBI Nucleotide")</f>
        <v>NCBI Nucleotide</v>
      </c>
    </row>
    <row r="4862" spans="1:27" x14ac:dyDescent="0.35">
      <c r="A4862">
        <v>1006626</v>
      </c>
      <c r="B4862">
        <v>4838</v>
      </c>
      <c r="C4862">
        <v>1</v>
      </c>
      <c r="D4862" s="17" t="s">
        <v>155</v>
      </c>
      <c r="E4862" s="17"/>
      <c r="F4862" s="17" t="s">
        <v>156</v>
      </c>
      <c r="G4862" s="17"/>
      <c r="H4862" s="17" t="s">
        <v>692</v>
      </c>
      <c r="I4862" s="17"/>
      <c r="J4862" s="17" t="s">
        <v>693</v>
      </c>
      <c r="K4862" s="17"/>
      <c r="L4862" s="17"/>
      <c r="M4862" s="17"/>
      <c r="N4862" s="17"/>
      <c r="O4862" s="17"/>
      <c r="P4862" s="17" t="s">
        <v>4016</v>
      </c>
      <c r="Q4862" s="17"/>
      <c r="R4862" s="25" t="str">
        <f>HYPERLINK("https://ictv.global/taxonomy/taxondetails?taxnode_id=202301341","Titanvirus rctitan")</f>
        <v>Titanvirus rctitan</v>
      </c>
      <c r="S4862" s="18" t="s">
        <v>30</v>
      </c>
      <c r="T4862" s="18" t="s">
        <v>4019</v>
      </c>
      <c r="U4862" s="18"/>
      <c r="V4862" s="18"/>
      <c r="W4862" s="18" t="s">
        <v>4020</v>
      </c>
      <c r="X4862" s="18" t="s">
        <v>42</v>
      </c>
      <c r="Y4862" s="18" t="s">
        <v>36</v>
      </c>
      <c r="Z4862" s="18" t="s">
        <v>697</v>
      </c>
      <c r="AA4862" s="21" t="str">
        <f>HYPERLINK("https://www.ncbi.nlm.nih.gov/nuccore/KR935213","NCBI Nucleotide")</f>
        <v>NCBI Nucleotide</v>
      </c>
    </row>
    <row r="4863" spans="1:27" x14ac:dyDescent="0.35">
      <c r="A4863">
        <v>1006627</v>
      </c>
      <c r="B4863">
        <v>4839</v>
      </c>
      <c r="C4863">
        <v>1</v>
      </c>
      <c r="D4863" s="17" t="s">
        <v>155</v>
      </c>
      <c r="E4863" s="17"/>
      <c r="F4863" s="17" t="s">
        <v>156</v>
      </c>
      <c r="G4863" s="17"/>
      <c r="H4863" s="17" t="s">
        <v>692</v>
      </c>
      <c r="I4863" s="17"/>
      <c r="J4863" s="17" t="s">
        <v>693</v>
      </c>
      <c r="K4863" s="17"/>
      <c r="L4863" s="17"/>
      <c r="M4863" s="17"/>
      <c r="N4863" s="17"/>
      <c r="O4863" s="17"/>
      <c r="P4863" s="17" t="s">
        <v>4021</v>
      </c>
      <c r="Q4863" s="17"/>
      <c r="R4863" s="25" t="str">
        <f>HYPERLINK("https://ictv.global/taxonomy/taxondetails?taxnode_id=202308050","Toutatisvirus toutatis")</f>
        <v>Toutatisvirus toutatis</v>
      </c>
      <c r="S4863" s="18" t="s">
        <v>30</v>
      </c>
      <c r="T4863" s="18" t="s">
        <v>4022</v>
      </c>
      <c r="U4863" s="18"/>
      <c r="V4863" s="18"/>
      <c r="W4863" s="18" t="s">
        <v>4023</v>
      </c>
      <c r="X4863" s="18" t="s">
        <v>42</v>
      </c>
      <c r="Y4863" s="18" t="s">
        <v>36</v>
      </c>
      <c r="Z4863" s="18" t="s">
        <v>697</v>
      </c>
      <c r="AA4863" s="21" t="str">
        <f>HYPERLINK("https://www.ncbi.nlm.nih.gov/nuccore/MG711466","NCBI Nucleotide")</f>
        <v>NCBI Nucleotide</v>
      </c>
    </row>
    <row r="4864" spans="1:27" x14ac:dyDescent="0.35">
      <c r="A4864">
        <v>1006628</v>
      </c>
      <c r="B4864">
        <v>4840</v>
      </c>
      <c r="C4864">
        <v>1</v>
      </c>
      <c r="D4864" s="17" t="s">
        <v>155</v>
      </c>
      <c r="E4864" s="17"/>
      <c r="F4864" s="17" t="s">
        <v>156</v>
      </c>
      <c r="G4864" s="17"/>
      <c r="H4864" s="17" t="s">
        <v>692</v>
      </c>
      <c r="I4864" s="17"/>
      <c r="J4864" s="17" t="s">
        <v>693</v>
      </c>
      <c r="K4864" s="17"/>
      <c r="L4864" s="17"/>
      <c r="M4864" s="17"/>
      <c r="N4864" s="17"/>
      <c r="O4864" s="17"/>
      <c r="P4864" s="17" t="s">
        <v>4024</v>
      </c>
      <c r="Q4864" s="17"/>
      <c r="R4864" s="25" t="str">
        <f>HYPERLINK("https://ictv.global/taxonomy/taxondetails?taxnode_id=202312050","Triavirus fPfSau02")</f>
        <v>Triavirus fPfSau02</v>
      </c>
      <c r="S4864" s="18" t="s">
        <v>30</v>
      </c>
      <c r="T4864" s="18" t="s">
        <v>4025</v>
      </c>
      <c r="U4864" s="18"/>
      <c r="V4864" s="18"/>
      <c r="W4864" s="18" t="s">
        <v>4026</v>
      </c>
      <c r="X4864" s="18" t="s">
        <v>42</v>
      </c>
      <c r="Y4864" s="18" t="s">
        <v>36</v>
      </c>
      <c r="Z4864" s="18" t="s">
        <v>697</v>
      </c>
      <c r="AA4864" s="21" t="str">
        <f>HYPERLINK("https://www.ncbi.nlm.nih.gov/nuccore/MK348510","NCBI Nucleotide")</f>
        <v>NCBI Nucleotide</v>
      </c>
    </row>
    <row r="4865" spans="1:27" x14ac:dyDescent="0.35">
      <c r="A4865">
        <v>1006629</v>
      </c>
      <c r="B4865">
        <v>4841</v>
      </c>
      <c r="C4865">
        <v>1</v>
      </c>
      <c r="D4865" s="17" t="s">
        <v>155</v>
      </c>
      <c r="E4865" s="17"/>
      <c r="F4865" s="17" t="s">
        <v>156</v>
      </c>
      <c r="G4865" s="17"/>
      <c r="H4865" s="17" t="s">
        <v>692</v>
      </c>
      <c r="I4865" s="17"/>
      <c r="J4865" s="17" t="s">
        <v>693</v>
      </c>
      <c r="K4865" s="17"/>
      <c r="L4865" s="17"/>
      <c r="M4865" s="17"/>
      <c r="N4865" s="17"/>
      <c r="O4865" s="17"/>
      <c r="P4865" s="17" t="s">
        <v>4024</v>
      </c>
      <c r="Q4865" s="17"/>
      <c r="R4865" s="25" t="str">
        <f>HYPERLINK("https://ictv.global/taxonomy/taxondetails?taxnode_id=202301359","Triavirus IPLA35")</f>
        <v>Triavirus IPLA35</v>
      </c>
      <c r="S4865" s="18" t="s">
        <v>30</v>
      </c>
      <c r="T4865" s="18" t="s">
        <v>4027</v>
      </c>
      <c r="U4865" s="18"/>
      <c r="V4865" s="18"/>
      <c r="W4865" s="18" t="s">
        <v>4028</v>
      </c>
      <c r="X4865" s="18" t="s">
        <v>42</v>
      </c>
      <c r="Y4865" s="18" t="s">
        <v>36</v>
      </c>
      <c r="Z4865" s="18" t="s">
        <v>697</v>
      </c>
      <c r="AA4865" s="21" t="str">
        <f>HYPERLINK("https://www.ncbi.nlm.nih.gov/nuccore/EU861005","NCBI Nucleotide")</f>
        <v>NCBI Nucleotide</v>
      </c>
    </row>
    <row r="4866" spans="1:27" x14ac:dyDescent="0.35">
      <c r="A4866">
        <v>1006630</v>
      </c>
      <c r="B4866">
        <v>4842</v>
      </c>
      <c r="C4866">
        <v>1</v>
      </c>
      <c r="D4866" s="17" t="s">
        <v>155</v>
      </c>
      <c r="E4866" s="17"/>
      <c r="F4866" s="17" t="s">
        <v>156</v>
      </c>
      <c r="G4866" s="17"/>
      <c r="H4866" s="17" t="s">
        <v>692</v>
      </c>
      <c r="I4866" s="17"/>
      <c r="J4866" s="17" t="s">
        <v>693</v>
      </c>
      <c r="K4866" s="17"/>
      <c r="L4866" s="17"/>
      <c r="M4866" s="17"/>
      <c r="N4866" s="17"/>
      <c r="O4866" s="17"/>
      <c r="P4866" s="17" t="s">
        <v>4024</v>
      </c>
      <c r="Q4866" s="17"/>
      <c r="R4866" s="25" t="str">
        <f>HYPERLINK("https://ictv.global/taxonomy/taxondetails?taxnode_id=202312040","Triavirus JS02")</f>
        <v>Triavirus JS02</v>
      </c>
      <c r="S4866" s="18" t="s">
        <v>30</v>
      </c>
      <c r="T4866" s="18" t="s">
        <v>4029</v>
      </c>
      <c r="U4866" s="18"/>
      <c r="V4866" s="18"/>
      <c r="W4866" s="18" t="s">
        <v>4030</v>
      </c>
      <c r="X4866" s="18" t="s">
        <v>42</v>
      </c>
      <c r="Y4866" s="18" t="s">
        <v>36</v>
      </c>
      <c r="Z4866" s="18" t="s">
        <v>697</v>
      </c>
      <c r="AA4866" s="21" t="str">
        <f>HYPERLINK("https://www.ncbi.nlm.nih.gov/nuccore/LC541428","NCBI Nucleotide")</f>
        <v>NCBI Nucleotide</v>
      </c>
    </row>
    <row r="4867" spans="1:27" x14ac:dyDescent="0.35">
      <c r="A4867">
        <v>1006631</v>
      </c>
      <c r="B4867">
        <v>4843</v>
      </c>
      <c r="C4867">
        <v>1</v>
      </c>
      <c r="D4867" s="17" t="s">
        <v>155</v>
      </c>
      <c r="E4867" s="17"/>
      <c r="F4867" s="17" t="s">
        <v>156</v>
      </c>
      <c r="G4867" s="17"/>
      <c r="H4867" s="17" t="s">
        <v>692</v>
      </c>
      <c r="I4867" s="17"/>
      <c r="J4867" s="17" t="s">
        <v>693</v>
      </c>
      <c r="K4867" s="17"/>
      <c r="L4867" s="17"/>
      <c r="M4867" s="17"/>
      <c r="N4867" s="17"/>
      <c r="O4867" s="17"/>
      <c r="P4867" s="17" t="s">
        <v>4024</v>
      </c>
      <c r="Q4867" s="17"/>
      <c r="R4867" s="25" t="str">
        <f>HYPERLINK("https://ictv.global/taxonomy/taxondetails?taxnode_id=202312044","Triavirus LH1")</f>
        <v>Triavirus LH1</v>
      </c>
      <c r="S4867" s="18" t="s">
        <v>30</v>
      </c>
      <c r="T4867" s="18" t="s">
        <v>4031</v>
      </c>
      <c r="U4867" s="18"/>
      <c r="V4867" s="18"/>
      <c r="W4867" s="18" t="s">
        <v>4032</v>
      </c>
      <c r="X4867" s="18" t="s">
        <v>42</v>
      </c>
      <c r="Y4867" s="18" t="s">
        <v>36</v>
      </c>
      <c r="Z4867" s="18" t="s">
        <v>697</v>
      </c>
      <c r="AA4867" s="21" t="str">
        <f>HYPERLINK("https://www.ncbi.nlm.nih.gov/nuccore/JX174275","NCBI Nucleotide")</f>
        <v>NCBI Nucleotide</v>
      </c>
    </row>
    <row r="4868" spans="1:27" x14ac:dyDescent="0.35">
      <c r="A4868">
        <v>1006632</v>
      </c>
      <c r="B4868">
        <v>4844</v>
      </c>
      <c r="C4868">
        <v>1</v>
      </c>
      <c r="D4868" s="17" t="s">
        <v>155</v>
      </c>
      <c r="E4868" s="17"/>
      <c r="F4868" s="17" t="s">
        <v>156</v>
      </c>
      <c r="G4868" s="17"/>
      <c r="H4868" s="17" t="s">
        <v>692</v>
      </c>
      <c r="I4868" s="17"/>
      <c r="J4868" s="17" t="s">
        <v>693</v>
      </c>
      <c r="K4868" s="17"/>
      <c r="L4868" s="17"/>
      <c r="M4868" s="17"/>
      <c r="N4868" s="17"/>
      <c r="O4868" s="17"/>
      <c r="P4868" s="17" t="s">
        <v>4024</v>
      </c>
      <c r="Q4868" s="17"/>
      <c r="R4868" s="25" t="str">
        <f>HYPERLINK("https://ictv.global/taxonomy/taxondetails?taxnode_id=202312037","Triavirus P240")</f>
        <v>Triavirus P240</v>
      </c>
      <c r="S4868" s="18" t="s">
        <v>30</v>
      </c>
      <c r="T4868" s="18" t="s">
        <v>4033</v>
      </c>
      <c r="U4868" s="18"/>
      <c r="V4868" s="18"/>
      <c r="W4868" s="18" t="s">
        <v>4034</v>
      </c>
      <c r="X4868" s="18" t="s">
        <v>42</v>
      </c>
      <c r="Y4868" s="18" t="s">
        <v>36</v>
      </c>
      <c r="Z4868" s="18" t="s">
        <v>697</v>
      </c>
      <c r="AA4868" s="21" t="str">
        <f>HYPERLINK("https://www.ncbi.nlm.nih.gov/nuccore/KY056620","NCBI Nucleotide")</f>
        <v>NCBI Nucleotide</v>
      </c>
    </row>
    <row r="4869" spans="1:27" x14ac:dyDescent="0.35">
      <c r="A4869">
        <v>1006633</v>
      </c>
      <c r="B4869">
        <v>4845</v>
      </c>
      <c r="C4869">
        <v>1</v>
      </c>
      <c r="D4869" s="17" t="s">
        <v>155</v>
      </c>
      <c r="E4869" s="17"/>
      <c r="F4869" s="17" t="s">
        <v>156</v>
      </c>
      <c r="G4869" s="17"/>
      <c r="H4869" s="17" t="s">
        <v>692</v>
      </c>
      <c r="I4869" s="17"/>
      <c r="J4869" s="17" t="s">
        <v>693</v>
      </c>
      <c r="K4869" s="17"/>
      <c r="L4869" s="17"/>
      <c r="M4869" s="17"/>
      <c r="N4869" s="17"/>
      <c r="O4869" s="17"/>
      <c r="P4869" s="17" t="s">
        <v>4024</v>
      </c>
      <c r="Q4869" s="17"/>
      <c r="R4869" s="25" t="str">
        <f>HYPERLINK("https://ictv.global/taxonomy/taxondetails?taxnode_id=202312047","Triavirus R1988")</f>
        <v>Triavirus R1988</v>
      </c>
      <c r="S4869" s="18" t="s">
        <v>30</v>
      </c>
      <c r="T4869" s="18" t="s">
        <v>4035</v>
      </c>
      <c r="U4869" s="18"/>
      <c r="V4869" s="18"/>
      <c r="W4869" s="18" t="s">
        <v>4036</v>
      </c>
      <c r="X4869" s="18" t="s">
        <v>42</v>
      </c>
      <c r="Y4869" s="18" t="s">
        <v>36</v>
      </c>
      <c r="Z4869" s="18" t="s">
        <v>697</v>
      </c>
      <c r="AA4869" s="21" t="str">
        <f>HYPERLINK("https://www.ncbi.nlm.nih.gov/nuccore/KF598856","NCBI Nucleotide")</f>
        <v>NCBI Nucleotide</v>
      </c>
    </row>
    <row r="4870" spans="1:27" x14ac:dyDescent="0.35">
      <c r="A4870">
        <v>1006634</v>
      </c>
      <c r="B4870">
        <v>4846</v>
      </c>
      <c r="C4870">
        <v>1</v>
      </c>
      <c r="D4870" s="17" t="s">
        <v>155</v>
      </c>
      <c r="E4870" s="17"/>
      <c r="F4870" s="17" t="s">
        <v>156</v>
      </c>
      <c r="G4870" s="17"/>
      <c r="H4870" s="17" t="s">
        <v>692</v>
      </c>
      <c r="I4870" s="17"/>
      <c r="J4870" s="17" t="s">
        <v>693</v>
      </c>
      <c r="K4870" s="17"/>
      <c r="L4870" s="17"/>
      <c r="M4870" s="17"/>
      <c r="N4870" s="17"/>
      <c r="O4870" s="17"/>
      <c r="P4870" s="17" t="s">
        <v>4024</v>
      </c>
      <c r="Q4870" s="17"/>
      <c r="R4870" s="25" t="str">
        <f>HYPERLINK("https://ictv.global/taxonomy/taxondetails?taxnode_id=202312046","Triavirus SA137ruMSSAST121PVL")</f>
        <v>Triavirus SA137ruMSSAST121PVL</v>
      </c>
      <c r="S4870" s="18" t="s">
        <v>30</v>
      </c>
      <c r="T4870" s="18" t="s">
        <v>4037</v>
      </c>
      <c r="U4870" s="18"/>
      <c r="V4870" s="18"/>
      <c r="W4870" s="18" t="s">
        <v>4038</v>
      </c>
      <c r="X4870" s="18" t="s">
        <v>42</v>
      </c>
      <c r="Y4870" s="18" t="s">
        <v>36</v>
      </c>
      <c r="Z4870" s="18" t="s">
        <v>697</v>
      </c>
      <c r="AA4870" s="21" t="str">
        <f>HYPERLINK("https://www.ncbi.nlm.nih.gov/nuccore/MH384261","NCBI Nucleotide")</f>
        <v>NCBI Nucleotide</v>
      </c>
    </row>
    <row r="4871" spans="1:27" x14ac:dyDescent="0.35">
      <c r="A4871">
        <v>1006635</v>
      </c>
      <c r="B4871">
        <v>4847</v>
      </c>
      <c r="C4871">
        <v>1</v>
      </c>
      <c r="D4871" s="17" t="s">
        <v>155</v>
      </c>
      <c r="E4871" s="17"/>
      <c r="F4871" s="17" t="s">
        <v>156</v>
      </c>
      <c r="G4871" s="17"/>
      <c r="H4871" s="17" t="s">
        <v>692</v>
      </c>
      <c r="I4871" s="17"/>
      <c r="J4871" s="17" t="s">
        <v>693</v>
      </c>
      <c r="K4871" s="17"/>
      <c r="L4871" s="17"/>
      <c r="M4871" s="17"/>
      <c r="N4871" s="17"/>
      <c r="O4871" s="17"/>
      <c r="P4871" s="17" t="s">
        <v>4024</v>
      </c>
      <c r="Q4871" s="17"/>
      <c r="R4871" s="25" t="str">
        <f>HYPERLINK("https://ictv.global/taxonomy/taxondetails?taxnode_id=202312038","Triavirus SAP11")</f>
        <v>Triavirus SAP11</v>
      </c>
      <c r="S4871" s="18" t="s">
        <v>30</v>
      </c>
      <c r="T4871" s="18" t="s">
        <v>4039</v>
      </c>
      <c r="U4871" s="18"/>
      <c r="V4871" s="18"/>
      <c r="W4871" s="18" t="s">
        <v>4040</v>
      </c>
      <c r="X4871" s="18" t="s">
        <v>42</v>
      </c>
      <c r="Y4871" s="18" t="s">
        <v>36</v>
      </c>
      <c r="Z4871" s="18" t="s">
        <v>697</v>
      </c>
      <c r="AA4871" s="21" t="str">
        <f>HYPERLINK("https://www.ncbi.nlm.nih.gov/nuccore/MK801681","NCBI Nucleotide")</f>
        <v>NCBI Nucleotide</v>
      </c>
    </row>
    <row r="4872" spans="1:27" x14ac:dyDescent="0.35">
      <c r="A4872">
        <v>1006636</v>
      </c>
      <c r="B4872">
        <v>4848</v>
      </c>
      <c r="C4872">
        <v>1</v>
      </c>
      <c r="D4872" s="17" t="s">
        <v>155</v>
      </c>
      <c r="E4872" s="17"/>
      <c r="F4872" s="17" t="s">
        <v>156</v>
      </c>
      <c r="G4872" s="17"/>
      <c r="H4872" s="17" t="s">
        <v>692</v>
      </c>
      <c r="I4872" s="17"/>
      <c r="J4872" s="17" t="s">
        <v>693</v>
      </c>
      <c r="K4872" s="17"/>
      <c r="L4872" s="17"/>
      <c r="M4872" s="17"/>
      <c r="N4872" s="17"/>
      <c r="O4872" s="17"/>
      <c r="P4872" s="17" t="s">
        <v>4024</v>
      </c>
      <c r="Q4872" s="17"/>
      <c r="R4872" s="25" t="str">
        <f>HYPERLINK("https://ictv.global/taxonomy/taxondetails?taxnode_id=202301361","Triavirus SLT")</f>
        <v>Triavirus SLT</v>
      </c>
      <c r="S4872" s="18" t="s">
        <v>30</v>
      </c>
      <c r="T4872" s="18" t="s">
        <v>4041</v>
      </c>
      <c r="U4872" s="18"/>
      <c r="V4872" s="18"/>
      <c r="W4872" s="18" t="s">
        <v>4042</v>
      </c>
      <c r="X4872" s="18" t="s">
        <v>42</v>
      </c>
      <c r="Y4872" s="18" t="s">
        <v>36</v>
      </c>
      <c r="Z4872" s="18" t="s">
        <v>697</v>
      </c>
      <c r="AA4872" s="21" t="str">
        <f>HYPERLINK("https://www.ncbi.nlm.nih.gov/nuccore/AB045978","NCBI Nucleotide")</f>
        <v>NCBI Nucleotide</v>
      </c>
    </row>
    <row r="4873" spans="1:27" x14ac:dyDescent="0.35">
      <c r="A4873">
        <v>1006637</v>
      </c>
      <c r="B4873">
        <v>4849</v>
      </c>
      <c r="C4873">
        <v>1</v>
      </c>
      <c r="D4873" s="17" t="s">
        <v>155</v>
      </c>
      <c r="E4873" s="17"/>
      <c r="F4873" s="17" t="s">
        <v>156</v>
      </c>
      <c r="G4873" s="17"/>
      <c r="H4873" s="17" t="s">
        <v>692</v>
      </c>
      <c r="I4873" s="17"/>
      <c r="J4873" s="17" t="s">
        <v>693</v>
      </c>
      <c r="K4873" s="17"/>
      <c r="L4873" s="17"/>
      <c r="M4873" s="17"/>
      <c r="N4873" s="17"/>
      <c r="O4873" s="17"/>
      <c r="P4873" s="17" t="s">
        <v>4024</v>
      </c>
      <c r="Q4873" s="17"/>
      <c r="R4873" s="25" t="str">
        <f>HYPERLINK("https://ictv.global/taxonomy/taxondetails?taxnode_id=202312041","Triavirus st1")</f>
        <v>Triavirus st1</v>
      </c>
      <c r="S4873" s="18" t="s">
        <v>30</v>
      </c>
      <c r="T4873" s="18" t="s">
        <v>4043</v>
      </c>
      <c r="U4873" s="18"/>
      <c r="V4873" s="18"/>
      <c r="W4873" s="18" t="s">
        <v>4044</v>
      </c>
      <c r="X4873" s="18" t="s">
        <v>42</v>
      </c>
      <c r="Y4873" s="18" t="s">
        <v>36</v>
      </c>
      <c r="Z4873" s="18" t="s">
        <v>697</v>
      </c>
      <c r="AA4873" s="21" t="str">
        <f>HYPERLINK("https://www.ncbi.nlm.nih.gov/nuccore/MF580410","NCBI Nucleotide")</f>
        <v>NCBI Nucleotide</v>
      </c>
    </row>
    <row r="4874" spans="1:27" x14ac:dyDescent="0.35">
      <c r="A4874">
        <v>1006640</v>
      </c>
      <c r="B4874">
        <v>4850</v>
      </c>
      <c r="C4874">
        <v>1</v>
      </c>
      <c r="D4874" s="17" t="s">
        <v>155</v>
      </c>
      <c r="E4874" s="17"/>
      <c r="F4874" s="17" t="s">
        <v>156</v>
      </c>
      <c r="G4874" s="17"/>
      <c r="H4874" s="17" t="s">
        <v>692</v>
      </c>
      <c r="I4874" s="17"/>
      <c r="J4874" s="17" t="s">
        <v>693</v>
      </c>
      <c r="K4874" s="17"/>
      <c r="L4874" s="17"/>
      <c r="M4874" s="17"/>
      <c r="N4874" s="17"/>
      <c r="O4874" s="17"/>
      <c r="P4874" s="17" t="s">
        <v>4024</v>
      </c>
      <c r="Q4874" s="17"/>
      <c r="R4874" s="25" t="str">
        <f>HYPERLINK("https://ictv.global/taxonomy/taxondetails?taxnode_id=202312051","Triavirus st5")</f>
        <v>Triavirus st5</v>
      </c>
      <c r="S4874" s="18" t="s">
        <v>30</v>
      </c>
      <c r="T4874" s="18" t="s">
        <v>4049</v>
      </c>
      <c r="U4874" s="18"/>
      <c r="V4874" s="18"/>
      <c r="W4874" s="18" t="s">
        <v>4050</v>
      </c>
      <c r="X4874" s="18" t="s">
        <v>42</v>
      </c>
      <c r="Y4874" s="18" t="s">
        <v>36</v>
      </c>
      <c r="Z4874" s="18" t="s">
        <v>697</v>
      </c>
      <c r="AA4874" s="21" t="str">
        <f>HYPERLINK("https://www.ncbi.nlm.nih.gov/nuccore/MG029509","NCBI Nucleotide")</f>
        <v>NCBI Nucleotide</v>
      </c>
    </row>
    <row r="4875" spans="1:27" x14ac:dyDescent="0.35">
      <c r="A4875">
        <v>1006639</v>
      </c>
      <c r="B4875">
        <v>4851</v>
      </c>
      <c r="C4875">
        <v>1</v>
      </c>
      <c r="D4875" s="17" t="s">
        <v>155</v>
      </c>
      <c r="E4875" s="17"/>
      <c r="F4875" s="17" t="s">
        <v>156</v>
      </c>
      <c r="G4875" s="17"/>
      <c r="H4875" s="17" t="s">
        <v>692</v>
      </c>
      <c r="I4875" s="17"/>
      <c r="J4875" s="17" t="s">
        <v>693</v>
      </c>
      <c r="K4875" s="17"/>
      <c r="L4875" s="17"/>
      <c r="M4875" s="17"/>
      <c r="N4875" s="17"/>
      <c r="O4875" s="17"/>
      <c r="P4875" s="17" t="s">
        <v>4024</v>
      </c>
      <c r="Q4875" s="17"/>
      <c r="R4875" s="25" t="str">
        <f>HYPERLINK("https://ictv.global/taxonomy/taxondetails?taxnode_id=202312045","Triavirus st30")</f>
        <v>Triavirus st30</v>
      </c>
      <c r="S4875" s="18" t="s">
        <v>30</v>
      </c>
      <c r="T4875" s="18" t="s">
        <v>4047</v>
      </c>
      <c r="U4875" s="18"/>
      <c r="V4875" s="18"/>
      <c r="W4875" s="18" t="s">
        <v>4048</v>
      </c>
      <c r="X4875" s="18" t="s">
        <v>42</v>
      </c>
      <c r="Y4875" s="18" t="s">
        <v>36</v>
      </c>
      <c r="Z4875" s="18" t="s">
        <v>697</v>
      </c>
      <c r="AA4875" s="21" t="str">
        <f>HYPERLINK("https://www.ncbi.nlm.nih.gov/nuccore/MG029511","NCBI Nucleotide")</f>
        <v>NCBI Nucleotide</v>
      </c>
    </row>
    <row r="4876" spans="1:27" x14ac:dyDescent="0.35">
      <c r="A4876">
        <v>1006641</v>
      </c>
      <c r="B4876">
        <v>4852</v>
      </c>
      <c r="C4876">
        <v>1</v>
      </c>
      <c r="D4876" s="17" t="s">
        <v>155</v>
      </c>
      <c r="E4876" s="17"/>
      <c r="F4876" s="17" t="s">
        <v>156</v>
      </c>
      <c r="G4876" s="17"/>
      <c r="H4876" s="17" t="s">
        <v>692</v>
      </c>
      <c r="I4876" s="17"/>
      <c r="J4876" s="17" t="s">
        <v>693</v>
      </c>
      <c r="K4876" s="17"/>
      <c r="L4876" s="17"/>
      <c r="M4876" s="17"/>
      <c r="N4876" s="17"/>
      <c r="O4876" s="17"/>
      <c r="P4876" s="17" t="s">
        <v>4024</v>
      </c>
      <c r="Q4876" s="17"/>
      <c r="R4876" s="25" t="str">
        <f>HYPERLINK("https://ictv.global/taxonomy/taxondetails?taxnode_id=202312042","Triavirus st78")</f>
        <v>Triavirus st78</v>
      </c>
      <c r="S4876" s="18" t="s">
        <v>30</v>
      </c>
      <c r="T4876" s="18" t="s">
        <v>4051</v>
      </c>
      <c r="U4876" s="18"/>
      <c r="V4876" s="18"/>
      <c r="W4876" s="18" t="s">
        <v>4052</v>
      </c>
      <c r="X4876" s="18" t="s">
        <v>42</v>
      </c>
      <c r="Y4876" s="18" t="s">
        <v>36</v>
      </c>
      <c r="Z4876" s="18" t="s">
        <v>697</v>
      </c>
      <c r="AA4876" s="21" t="str">
        <f>HYPERLINK("https://www.ncbi.nlm.nih.gov/nuccore/MG029514","NCBI Nucleotide")</f>
        <v>NCBI Nucleotide</v>
      </c>
    </row>
    <row r="4877" spans="1:27" x14ac:dyDescent="0.35">
      <c r="A4877">
        <v>1006638</v>
      </c>
      <c r="B4877">
        <v>4853</v>
      </c>
      <c r="C4877">
        <v>1</v>
      </c>
      <c r="D4877" s="17" t="s">
        <v>155</v>
      </c>
      <c r="E4877" s="17"/>
      <c r="F4877" s="17" t="s">
        <v>156</v>
      </c>
      <c r="G4877" s="17"/>
      <c r="H4877" s="17" t="s">
        <v>692</v>
      </c>
      <c r="I4877" s="17"/>
      <c r="J4877" s="17" t="s">
        <v>693</v>
      </c>
      <c r="K4877" s="17"/>
      <c r="L4877" s="17"/>
      <c r="M4877" s="17"/>
      <c r="N4877" s="17"/>
      <c r="O4877" s="17"/>
      <c r="P4877" s="17" t="s">
        <v>4024</v>
      </c>
      <c r="Q4877" s="17"/>
      <c r="R4877" s="25" t="str">
        <f>HYPERLINK("https://ictv.global/taxonomy/taxondetails?taxnode_id=202312039","Triavirus st121mssa")</f>
        <v>Triavirus st121mssa</v>
      </c>
      <c r="S4877" s="18" t="s">
        <v>30</v>
      </c>
      <c r="T4877" s="18" t="s">
        <v>4045</v>
      </c>
      <c r="U4877" s="18"/>
      <c r="V4877" s="18"/>
      <c r="W4877" s="18" t="s">
        <v>4046</v>
      </c>
      <c r="X4877" s="18" t="s">
        <v>42</v>
      </c>
      <c r="Y4877" s="18" t="s">
        <v>36</v>
      </c>
      <c r="Z4877" s="18" t="s">
        <v>697</v>
      </c>
      <c r="AA4877" s="21" t="str">
        <f>HYPERLINK("https://www.ncbi.nlm.nih.gov/nuccore/MG029518","NCBI Nucleotide")</f>
        <v>NCBI Nucleotide</v>
      </c>
    </row>
    <row r="4878" spans="1:27" x14ac:dyDescent="0.35">
      <c r="A4878">
        <v>1006642</v>
      </c>
      <c r="B4878">
        <v>4854</v>
      </c>
      <c r="C4878">
        <v>1</v>
      </c>
      <c r="D4878" s="17" t="s">
        <v>155</v>
      </c>
      <c r="E4878" s="17"/>
      <c r="F4878" s="17" t="s">
        <v>156</v>
      </c>
      <c r="G4878" s="17"/>
      <c r="H4878" s="17" t="s">
        <v>692</v>
      </c>
      <c r="I4878" s="17"/>
      <c r="J4878" s="17" t="s">
        <v>693</v>
      </c>
      <c r="K4878" s="17"/>
      <c r="L4878" s="17"/>
      <c r="M4878" s="17"/>
      <c r="N4878" s="17"/>
      <c r="O4878" s="17"/>
      <c r="P4878" s="17" t="s">
        <v>4024</v>
      </c>
      <c r="Q4878" s="17"/>
      <c r="R4878" s="25" t="str">
        <f>HYPERLINK("https://ictv.global/taxonomy/taxondetails?taxnode_id=202312035","Triavirus StauST3982")</f>
        <v>Triavirus StauST3982</v>
      </c>
      <c r="S4878" s="18" t="s">
        <v>30</v>
      </c>
      <c r="T4878" s="18" t="s">
        <v>4053</v>
      </c>
      <c r="U4878" s="18"/>
      <c r="V4878" s="18"/>
      <c r="W4878" s="18" t="s">
        <v>4054</v>
      </c>
      <c r="X4878" s="18" t="s">
        <v>42</v>
      </c>
      <c r="Y4878" s="18" t="s">
        <v>36</v>
      </c>
      <c r="Z4878" s="18" t="s">
        <v>697</v>
      </c>
      <c r="AA4878" s="21" t="str">
        <f>HYPERLINK("https://www.ncbi.nlm.nih.gov/nuccore/JQ957932","NCBI Nucleotide")</f>
        <v>NCBI Nucleotide</v>
      </c>
    </row>
    <row r="4879" spans="1:27" x14ac:dyDescent="0.35">
      <c r="A4879">
        <v>1006643</v>
      </c>
      <c r="B4879">
        <v>4855</v>
      </c>
      <c r="C4879">
        <v>1</v>
      </c>
      <c r="D4879" s="17" t="s">
        <v>155</v>
      </c>
      <c r="E4879" s="17"/>
      <c r="F4879" s="17" t="s">
        <v>156</v>
      </c>
      <c r="G4879" s="17"/>
      <c r="H4879" s="17" t="s">
        <v>692</v>
      </c>
      <c r="I4879" s="17"/>
      <c r="J4879" s="17" t="s">
        <v>693</v>
      </c>
      <c r="K4879" s="17"/>
      <c r="L4879" s="17"/>
      <c r="M4879" s="17"/>
      <c r="N4879" s="17"/>
      <c r="O4879" s="17"/>
      <c r="P4879" s="17" t="s">
        <v>4024</v>
      </c>
      <c r="Q4879" s="17"/>
      <c r="R4879" s="25" t="str">
        <f>HYPERLINK("https://ictv.global/taxonomy/taxondetails?taxnode_id=202312049","Triavirus tp3102")</f>
        <v>Triavirus tp3102</v>
      </c>
      <c r="S4879" s="18" t="s">
        <v>30</v>
      </c>
      <c r="T4879" s="18" t="s">
        <v>4055</v>
      </c>
      <c r="U4879" s="18"/>
      <c r="V4879" s="18"/>
      <c r="W4879" s="18" t="s">
        <v>4056</v>
      </c>
      <c r="X4879" s="18" t="s">
        <v>42</v>
      </c>
      <c r="Y4879" s="18" t="s">
        <v>36</v>
      </c>
      <c r="Z4879" s="18" t="s">
        <v>697</v>
      </c>
      <c r="AA4879" s="21" t="str">
        <f>HYPERLINK("https://www.ncbi.nlm.nih.gov/nuccore/EF462198","NCBI Nucleotide")</f>
        <v>NCBI Nucleotide</v>
      </c>
    </row>
    <row r="4880" spans="1:27" x14ac:dyDescent="0.35">
      <c r="A4880">
        <v>1006646</v>
      </c>
      <c r="B4880">
        <v>4856</v>
      </c>
      <c r="C4880">
        <v>1</v>
      </c>
      <c r="D4880" s="17" t="s">
        <v>155</v>
      </c>
      <c r="E4880" s="17"/>
      <c r="F4880" s="17" t="s">
        <v>156</v>
      </c>
      <c r="G4880" s="17"/>
      <c r="H4880" s="17" t="s">
        <v>692</v>
      </c>
      <c r="I4880" s="17"/>
      <c r="J4880" s="17" t="s">
        <v>693</v>
      </c>
      <c r="K4880" s="17"/>
      <c r="L4880" s="17"/>
      <c r="M4880" s="17"/>
      <c r="N4880" s="17"/>
      <c r="O4880" s="17"/>
      <c r="P4880" s="17" t="s">
        <v>4024</v>
      </c>
      <c r="Q4880" s="17"/>
      <c r="R4880" s="25" t="str">
        <f>HYPERLINK("https://ictv.global/taxonomy/taxondetails?taxnode_id=202312036","Triavirus tv2")</f>
        <v>Triavirus tv2</v>
      </c>
      <c r="S4880" s="18" t="s">
        <v>30</v>
      </c>
      <c r="T4880" s="18" t="s">
        <v>4061</v>
      </c>
      <c r="U4880" s="18"/>
      <c r="V4880" s="18"/>
      <c r="W4880" s="18" t="s">
        <v>4062</v>
      </c>
      <c r="X4880" s="18" t="s">
        <v>42</v>
      </c>
      <c r="Y4880" s="18" t="s">
        <v>36</v>
      </c>
      <c r="Z4880" s="18" t="s">
        <v>697</v>
      </c>
      <c r="AA4880" s="21" t="str">
        <f>HYPERLINK("https://www.ncbi.nlm.nih.gov/nuccore/KT186243","NCBI Nucleotide")</f>
        <v>NCBI Nucleotide</v>
      </c>
    </row>
    <row r="4881" spans="1:27" x14ac:dyDescent="0.35">
      <c r="A4881">
        <v>1006644</v>
      </c>
      <c r="B4881">
        <v>4857</v>
      </c>
      <c r="C4881">
        <v>1</v>
      </c>
      <c r="D4881" s="17" t="s">
        <v>155</v>
      </c>
      <c r="E4881" s="17"/>
      <c r="F4881" s="17" t="s">
        <v>156</v>
      </c>
      <c r="G4881" s="17"/>
      <c r="H4881" s="17" t="s">
        <v>692</v>
      </c>
      <c r="I4881" s="17"/>
      <c r="J4881" s="17" t="s">
        <v>693</v>
      </c>
      <c r="K4881" s="17"/>
      <c r="L4881" s="17"/>
      <c r="M4881" s="17"/>
      <c r="N4881" s="17"/>
      <c r="O4881" s="17"/>
      <c r="P4881" s="17" t="s">
        <v>4024</v>
      </c>
      <c r="Q4881" s="17"/>
      <c r="R4881" s="25" t="str">
        <f>HYPERLINK("https://ictv.global/taxonomy/taxondetails?taxnode_id=202301360","Triavirus tv12")</f>
        <v>Triavirus tv12</v>
      </c>
      <c r="S4881" s="18" t="s">
        <v>30</v>
      </c>
      <c r="T4881" s="18" t="s">
        <v>4057</v>
      </c>
      <c r="U4881" s="18"/>
      <c r="V4881" s="18"/>
      <c r="W4881" s="18" t="s">
        <v>4058</v>
      </c>
      <c r="X4881" s="18" t="s">
        <v>42</v>
      </c>
      <c r="Y4881" s="18" t="s">
        <v>36</v>
      </c>
      <c r="Z4881" s="18" t="s">
        <v>697</v>
      </c>
      <c r="AA4881" s="21" t="str">
        <f>HYPERLINK("https://www.ncbi.nlm.nih.gov/nuccore/AF424782","NCBI Nucleotide")</f>
        <v>NCBI Nucleotide</v>
      </c>
    </row>
    <row r="4882" spans="1:27" x14ac:dyDescent="0.35">
      <c r="A4882">
        <v>1006650</v>
      </c>
      <c r="B4882">
        <v>4858</v>
      </c>
      <c r="C4882">
        <v>1</v>
      </c>
      <c r="D4882" s="17" t="s">
        <v>155</v>
      </c>
      <c r="E4882" s="17"/>
      <c r="F4882" s="17" t="s">
        <v>156</v>
      </c>
      <c r="G4882" s="17"/>
      <c r="H4882" s="17" t="s">
        <v>692</v>
      </c>
      <c r="I4882" s="17"/>
      <c r="J4882" s="17" t="s">
        <v>693</v>
      </c>
      <c r="K4882" s="17"/>
      <c r="L4882" s="17"/>
      <c r="M4882" s="17"/>
      <c r="N4882" s="17"/>
      <c r="O4882" s="17"/>
      <c r="P4882" s="17" t="s">
        <v>4024</v>
      </c>
      <c r="Q4882" s="17"/>
      <c r="R4882" s="25" t="str">
        <f>HYPERLINK("https://ictv.global/taxonomy/taxondetails?taxnode_id=202301356","Triavirus tv47")</f>
        <v>Triavirus tv47</v>
      </c>
      <c r="S4882" s="18" t="s">
        <v>30</v>
      </c>
      <c r="T4882" s="18" t="s">
        <v>4069</v>
      </c>
      <c r="U4882" s="18"/>
      <c r="V4882" s="18"/>
      <c r="W4882" s="18" t="s">
        <v>4070</v>
      </c>
      <c r="X4882" s="18" t="s">
        <v>42</v>
      </c>
      <c r="Y4882" s="18" t="s">
        <v>36</v>
      </c>
      <c r="Z4882" s="18" t="s">
        <v>697</v>
      </c>
      <c r="AA4882" s="21" t="str">
        <f>HYPERLINK("https://www.ncbi.nlm.nih.gov/nuccore/AY954957","NCBI Nucleotide")</f>
        <v>NCBI Nucleotide</v>
      </c>
    </row>
    <row r="4883" spans="1:27" x14ac:dyDescent="0.35">
      <c r="A4883">
        <v>1006645</v>
      </c>
      <c r="B4883">
        <v>4859</v>
      </c>
      <c r="C4883">
        <v>1</v>
      </c>
      <c r="D4883" s="17" t="s">
        <v>155</v>
      </c>
      <c r="E4883" s="17"/>
      <c r="F4883" s="17" t="s">
        <v>156</v>
      </c>
      <c r="G4883" s="17"/>
      <c r="H4883" s="17" t="s">
        <v>692</v>
      </c>
      <c r="I4883" s="17"/>
      <c r="J4883" s="17" t="s">
        <v>693</v>
      </c>
      <c r="K4883" s="17"/>
      <c r="L4883" s="17"/>
      <c r="M4883" s="17"/>
      <c r="N4883" s="17"/>
      <c r="O4883" s="17"/>
      <c r="P4883" s="17" t="s">
        <v>4024</v>
      </c>
      <c r="Q4883" s="17"/>
      <c r="R4883" s="25" t="str">
        <f>HYPERLINK("https://ictv.global/taxonomy/taxondetails?taxnode_id=202312048","Triavirus tv15644")</f>
        <v>Triavirus tv15644</v>
      </c>
      <c r="S4883" s="18" t="s">
        <v>30</v>
      </c>
      <c r="T4883" s="18" t="s">
        <v>4059</v>
      </c>
      <c r="U4883" s="18"/>
      <c r="V4883" s="18"/>
      <c r="W4883" s="18" t="s">
        <v>4060</v>
      </c>
      <c r="X4883" s="18" t="s">
        <v>42</v>
      </c>
      <c r="Y4883" s="18" t="s">
        <v>36</v>
      </c>
      <c r="Z4883" s="18" t="s">
        <v>697</v>
      </c>
      <c r="AA4883" s="21" t="str">
        <f>HYPERLINK("https://www.ncbi.nlm.nih.gov/nuccore/MG770897","NCBI Nucleotide")</f>
        <v>NCBI Nucleotide</v>
      </c>
    </row>
    <row r="4884" spans="1:27" x14ac:dyDescent="0.35">
      <c r="A4884">
        <v>1006647</v>
      </c>
      <c r="B4884">
        <v>4860</v>
      </c>
      <c r="C4884">
        <v>1</v>
      </c>
      <c r="D4884" s="17" t="s">
        <v>155</v>
      </c>
      <c r="E4884" s="17"/>
      <c r="F4884" s="17" t="s">
        <v>156</v>
      </c>
      <c r="G4884" s="17"/>
      <c r="H4884" s="17" t="s">
        <v>692</v>
      </c>
      <c r="I4884" s="17"/>
      <c r="J4884" s="17" t="s">
        <v>693</v>
      </c>
      <c r="K4884" s="17"/>
      <c r="L4884" s="17"/>
      <c r="M4884" s="17"/>
      <c r="N4884" s="17"/>
      <c r="O4884" s="17"/>
      <c r="P4884" s="17" t="s">
        <v>4024</v>
      </c>
      <c r="Q4884" s="17"/>
      <c r="R4884" s="25" t="str">
        <f>HYPERLINK("https://ictv.global/taxonomy/taxondetails?taxnode_id=202312043","Triavirus tv2958PVL")</f>
        <v>Triavirus tv2958PVL</v>
      </c>
      <c r="S4884" s="18" t="s">
        <v>30</v>
      </c>
      <c r="T4884" s="18" t="s">
        <v>4063</v>
      </c>
      <c r="U4884" s="18"/>
      <c r="V4884" s="18"/>
      <c r="W4884" s="18" t="s">
        <v>4064</v>
      </c>
      <c r="X4884" s="18" t="s">
        <v>42</v>
      </c>
      <c r="Y4884" s="18" t="s">
        <v>36</v>
      </c>
      <c r="Z4884" s="18" t="s">
        <v>697</v>
      </c>
      <c r="AA4884" s="21" t="str">
        <f>HYPERLINK("https://www.ncbi.nlm.nih.gov/nuccore/AP009363","NCBI Nucleotide")</f>
        <v>NCBI Nucleotide</v>
      </c>
    </row>
    <row r="4885" spans="1:27" x14ac:dyDescent="0.35">
      <c r="A4885">
        <v>1006648</v>
      </c>
      <c r="B4885">
        <v>4861</v>
      </c>
      <c r="C4885">
        <v>1</v>
      </c>
      <c r="D4885" s="17" t="s">
        <v>155</v>
      </c>
      <c r="E4885" s="17"/>
      <c r="F4885" s="17" t="s">
        <v>156</v>
      </c>
      <c r="G4885" s="17"/>
      <c r="H4885" s="17" t="s">
        <v>692</v>
      </c>
      <c r="I4885" s="17"/>
      <c r="J4885" s="17" t="s">
        <v>693</v>
      </c>
      <c r="K4885" s="17"/>
      <c r="L4885" s="17"/>
      <c r="M4885" s="17"/>
      <c r="N4885" s="17"/>
      <c r="O4885" s="17"/>
      <c r="P4885" s="17" t="s">
        <v>4024</v>
      </c>
      <c r="Q4885" s="17"/>
      <c r="R4885" s="25" t="str">
        <f>HYPERLINK("https://ictv.global/taxonomy/taxondetails?taxnode_id=202301357","Triavirus tv3a")</f>
        <v>Triavirus tv3a</v>
      </c>
      <c r="S4885" s="18" t="s">
        <v>30</v>
      </c>
      <c r="T4885" s="18" t="s">
        <v>4065</v>
      </c>
      <c r="U4885" s="18"/>
      <c r="V4885" s="18"/>
      <c r="W4885" s="18" t="s">
        <v>4066</v>
      </c>
      <c r="X4885" s="18" t="s">
        <v>42</v>
      </c>
      <c r="Y4885" s="18" t="s">
        <v>36</v>
      </c>
      <c r="Z4885" s="18" t="s">
        <v>697</v>
      </c>
      <c r="AA4885" s="21" t="str">
        <f>HYPERLINK("https://www.ncbi.nlm.nih.gov/nuccore/AY954956","NCBI Nucleotide")</f>
        <v>NCBI Nucleotide</v>
      </c>
    </row>
    <row r="4886" spans="1:27" x14ac:dyDescent="0.35">
      <c r="A4886">
        <v>1006649</v>
      </c>
      <c r="B4886">
        <v>4862</v>
      </c>
      <c r="C4886">
        <v>1</v>
      </c>
      <c r="D4886" s="17" t="s">
        <v>155</v>
      </c>
      <c r="E4886" s="17"/>
      <c r="F4886" s="17" t="s">
        <v>156</v>
      </c>
      <c r="G4886" s="17"/>
      <c r="H4886" s="17" t="s">
        <v>692</v>
      </c>
      <c r="I4886" s="17"/>
      <c r="J4886" s="17" t="s">
        <v>693</v>
      </c>
      <c r="K4886" s="17"/>
      <c r="L4886" s="17"/>
      <c r="M4886" s="17"/>
      <c r="N4886" s="17"/>
      <c r="O4886" s="17"/>
      <c r="P4886" s="17" t="s">
        <v>4024</v>
      </c>
      <c r="Q4886" s="17"/>
      <c r="R4886" s="25" t="str">
        <f>HYPERLINK("https://ictv.global/taxonomy/taxondetails?taxnode_id=202301358","Triavirus tv42e")</f>
        <v>Triavirus tv42e</v>
      </c>
      <c r="S4886" s="18" t="s">
        <v>30</v>
      </c>
      <c r="T4886" s="18" t="s">
        <v>4067</v>
      </c>
      <c r="U4886" s="18"/>
      <c r="V4886" s="18"/>
      <c r="W4886" s="18" t="s">
        <v>4068</v>
      </c>
      <c r="X4886" s="18" t="s">
        <v>42</v>
      </c>
      <c r="Y4886" s="18" t="s">
        <v>36</v>
      </c>
      <c r="Z4886" s="18" t="s">
        <v>697</v>
      </c>
      <c r="AA4886" s="21" t="str">
        <f>HYPERLINK("https://www.ncbi.nlm.nih.gov/nuccore/AY954955","NCBI Nucleotide")</f>
        <v>NCBI Nucleotide</v>
      </c>
    </row>
    <row r="4887" spans="1:27" x14ac:dyDescent="0.35">
      <c r="A4887">
        <v>1006651</v>
      </c>
      <c r="B4887">
        <v>4863</v>
      </c>
      <c r="C4887">
        <v>1</v>
      </c>
      <c r="D4887" s="17" t="s">
        <v>155</v>
      </c>
      <c r="E4887" s="17"/>
      <c r="F4887" s="17" t="s">
        <v>156</v>
      </c>
      <c r="G4887" s="17"/>
      <c r="H4887" s="17" t="s">
        <v>692</v>
      </c>
      <c r="I4887" s="17"/>
      <c r="J4887" s="17" t="s">
        <v>693</v>
      </c>
      <c r="K4887" s="17"/>
      <c r="L4887" s="17"/>
      <c r="M4887" s="17"/>
      <c r="N4887" s="17"/>
      <c r="O4887" s="17"/>
      <c r="P4887" s="17" t="s">
        <v>4071</v>
      </c>
      <c r="Q4887" s="17"/>
      <c r="R4887" s="25" t="str">
        <f>HYPERLINK("https://ictv.global/taxonomy/taxondetails?taxnode_id=202305565","Trigintaduovirus 32HC")</f>
        <v>Trigintaduovirus 32HC</v>
      </c>
      <c r="S4887" s="18" t="s">
        <v>30</v>
      </c>
      <c r="T4887" s="18" t="s">
        <v>4072</v>
      </c>
      <c r="U4887" s="18"/>
      <c r="V4887" s="18"/>
      <c r="W4887" s="18" t="s">
        <v>4073</v>
      </c>
      <c r="X4887" s="18" t="s">
        <v>42</v>
      </c>
      <c r="Y4887" s="18" t="s">
        <v>36</v>
      </c>
      <c r="Z4887" s="18" t="s">
        <v>697</v>
      </c>
      <c r="AA4887" s="21" t="str">
        <f>HYPERLINK("https://www.ncbi.nlm.nih.gov/nuccore/KJ028219","NCBI Nucleotide")</f>
        <v>NCBI Nucleotide</v>
      </c>
    </row>
    <row r="4888" spans="1:27" x14ac:dyDescent="0.35">
      <c r="A4888">
        <v>1006652</v>
      </c>
      <c r="B4888">
        <v>4864</v>
      </c>
      <c r="C4888">
        <v>1</v>
      </c>
      <c r="D4888" s="17" t="s">
        <v>155</v>
      </c>
      <c r="E4888" s="17"/>
      <c r="F4888" s="17" t="s">
        <v>156</v>
      </c>
      <c r="G4888" s="17"/>
      <c r="H4888" s="17" t="s">
        <v>692</v>
      </c>
      <c r="I4888" s="17"/>
      <c r="J4888" s="17" t="s">
        <v>693</v>
      </c>
      <c r="K4888" s="17"/>
      <c r="L4888" s="17"/>
      <c r="M4888" s="17"/>
      <c r="N4888" s="17"/>
      <c r="O4888" s="17"/>
      <c r="P4888" s="17" t="s">
        <v>4071</v>
      </c>
      <c r="Q4888" s="17"/>
      <c r="R4888" s="25" t="str">
        <f>HYPERLINK("https://ictv.global/taxonomy/taxondetails?taxnode_id=202312613","Trigintaduovirus rem711")</f>
        <v>Trigintaduovirus rem711</v>
      </c>
      <c r="S4888" s="18" t="s">
        <v>30</v>
      </c>
      <c r="T4888" s="18" t="s">
        <v>4074</v>
      </c>
      <c r="U4888" s="18"/>
      <c r="V4888" s="18"/>
      <c r="W4888" s="18" t="s">
        <v>4075</v>
      </c>
      <c r="X4888" s="18" t="s">
        <v>42</v>
      </c>
      <c r="Y4888" s="18" t="s">
        <v>36</v>
      </c>
      <c r="Z4888" s="18" t="s">
        <v>697</v>
      </c>
      <c r="AA4888" s="21" t="str">
        <f>HYPERLINK("https://www.ncbi.nlm.nih.gov/nuccore/MG770216","NCBI Nucleotide")</f>
        <v>NCBI Nucleotide</v>
      </c>
    </row>
    <row r="4889" spans="1:27" x14ac:dyDescent="0.35">
      <c r="A4889">
        <v>1006653</v>
      </c>
      <c r="B4889">
        <v>4865</v>
      </c>
      <c r="C4889">
        <v>1</v>
      </c>
      <c r="D4889" s="17" t="s">
        <v>155</v>
      </c>
      <c r="E4889" s="17"/>
      <c r="F4889" s="17" t="s">
        <v>156</v>
      </c>
      <c r="G4889" s="17"/>
      <c r="H4889" s="17" t="s">
        <v>692</v>
      </c>
      <c r="I4889" s="17"/>
      <c r="J4889" s="17" t="s">
        <v>693</v>
      </c>
      <c r="K4889" s="17"/>
      <c r="L4889" s="17"/>
      <c r="M4889" s="17"/>
      <c r="N4889" s="17"/>
      <c r="O4889" s="17"/>
      <c r="P4889" s="17" t="s">
        <v>4076</v>
      </c>
      <c r="Q4889" s="17"/>
      <c r="R4889" s="25" t="str">
        <f>HYPERLINK("https://ictv.global/taxonomy/taxondetails?taxnode_id=202306789","Trinavirus trina")</f>
        <v>Trinavirus trina</v>
      </c>
      <c r="S4889" s="18" t="s">
        <v>30</v>
      </c>
      <c r="T4889" s="18" t="s">
        <v>4077</v>
      </c>
      <c r="U4889" s="18"/>
      <c r="V4889" s="18"/>
      <c r="W4889" s="18" t="s">
        <v>4078</v>
      </c>
      <c r="X4889" s="18" t="s">
        <v>42</v>
      </c>
      <c r="Y4889" s="18" t="s">
        <v>36</v>
      </c>
      <c r="Z4889" s="18" t="s">
        <v>697</v>
      </c>
      <c r="AA4889" s="21" t="str">
        <f>HYPERLINK("https://www.ncbi.nlm.nih.gov/nuccore/MF668286","NCBI Nucleotide")</f>
        <v>NCBI Nucleotide</v>
      </c>
    </row>
    <row r="4890" spans="1:27" x14ac:dyDescent="0.35">
      <c r="A4890">
        <v>1006654</v>
      </c>
      <c r="B4890">
        <v>4866</v>
      </c>
      <c r="C4890">
        <v>1</v>
      </c>
      <c r="D4890" s="17" t="s">
        <v>155</v>
      </c>
      <c r="E4890" s="17"/>
      <c r="F4890" s="17" t="s">
        <v>156</v>
      </c>
      <c r="G4890" s="17"/>
      <c r="H4890" s="17" t="s">
        <v>692</v>
      </c>
      <c r="I4890" s="17"/>
      <c r="J4890" s="17" t="s">
        <v>693</v>
      </c>
      <c r="K4890" s="17"/>
      <c r="L4890" s="17"/>
      <c r="M4890" s="17"/>
      <c r="N4890" s="17"/>
      <c r="O4890" s="17"/>
      <c r="P4890" s="17" t="s">
        <v>4079</v>
      </c>
      <c r="Q4890" s="17"/>
      <c r="R4890" s="25" t="str">
        <f>HYPERLINK("https://ictv.global/taxonomy/taxondetails?taxnode_id=202307708","Trinevirus trine")</f>
        <v>Trinevirus trine</v>
      </c>
      <c r="S4890" s="18" t="s">
        <v>30</v>
      </c>
      <c r="T4890" s="18" t="s">
        <v>4080</v>
      </c>
      <c r="U4890" s="18"/>
      <c r="V4890" s="18"/>
      <c r="W4890" s="18" t="s">
        <v>4081</v>
      </c>
      <c r="X4890" s="18" t="s">
        <v>42</v>
      </c>
      <c r="Y4890" s="18" t="s">
        <v>36</v>
      </c>
      <c r="Z4890" s="18" t="s">
        <v>697</v>
      </c>
      <c r="AA4890" s="21" t="str">
        <f>HYPERLINK("https://www.ncbi.nlm.nih.gov/nuccore/MH271318","NCBI Nucleotide")</f>
        <v>NCBI Nucleotide</v>
      </c>
    </row>
    <row r="4891" spans="1:27" x14ac:dyDescent="0.35">
      <c r="A4891">
        <v>1006655</v>
      </c>
      <c r="B4891">
        <v>4867</v>
      </c>
      <c r="C4891">
        <v>1</v>
      </c>
      <c r="D4891" s="17" t="s">
        <v>155</v>
      </c>
      <c r="E4891" s="17"/>
      <c r="F4891" s="17" t="s">
        <v>156</v>
      </c>
      <c r="G4891" s="17"/>
      <c r="H4891" s="17" t="s">
        <v>692</v>
      </c>
      <c r="I4891" s="17"/>
      <c r="J4891" s="17" t="s">
        <v>693</v>
      </c>
      <c r="K4891" s="17"/>
      <c r="L4891" s="17"/>
      <c r="M4891" s="17"/>
      <c r="N4891" s="17"/>
      <c r="O4891" s="17"/>
      <c r="P4891" s="17" t="s">
        <v>4082</v>
      </c>
      <c r="Q4891" s="17"/>
      <c r="R4891" s="25" t="str">
        <f>HYPERLINK("https://ictv.global/taxonomy/taxondetails?taxnode_id=202312053","Triplejayvirus tripleJ")</f>
        <v>Triplejayvirus tripleJ</v>
      </c>
      <c r="S4891" s="18" t="s">
        <v>30</v>
      </c>
      <c r="T4891" s="18" t="s">
        <v>4083</v>
      </c>
      <c r="U4891" s="18"/>
      <c r="V4891" s="18"/>
      <c r="W4891" s="18" t="s">
        <v>4084</v>
      </c>
      <c r="X4891" s="18" t="s">
        <v>42</v>
      </c>
      <c r="Y4891" s="18" t="s">
        <v>36</v>
      </c>
      <c r="Z4891" s="18" t="s">
        <v>697</v>
      </c>
      <c r="AA4891" s="21" t="str">
        <f>HYPERLINK("https://www.ncbi.nlm.nih.gov/nuccore/MN234178","NCBI Nucleotide")</f>
        <v>NCBI Nucleotide</v>
      </c>
    </row>
    <row r="4892" spans="1:27" x14ac:dyDescent="0.35">
      <c r="A4892">
        <v>1006656</v>
      </c>
      <c r="B4892">
        <v>4868</v>
      </c>
      <c r="C4892">
        <v>1</v>
      </c>
      <c r="D4892" s="17" t="s">
        <v>155</v>
      </c>
      <c r="E4892" s="17"/>
      <c r="F4892" s="17" t="s">
        <v>156</v>
      </c>
      <c r="G4892" s="17"/>
      <c r="H4892" s="17" t="s">
        <v>692</v>
      </c>
      <c r="I4892" s="17"/>
      <c r="J4892" s="17" t="s">
        <v>693</v>
      </c>
      <c r="K4892" s="17"/>
      <c r="L4892" s="17"/>
      <c r="M4892" s="17"/>
      <c r="N4892" s="17"/>
      <c r="O4892" s="17"/>
      <c r="P4892" s="17" t="s">
        <v>4085</v>
      </c>
      <c r="Q4892" s="17"/>
      <c r="R4892" s="25" t="str">
        <f>HYPERLINK("https://ictv.global/taxonomy/taxondetails?taxnode_id=202312637","Turbidovirus anselm")</f>
        <v>Turbidovirus anselm</v>
      </c>
      <c r="S4892" s="18" t="s">
        <v>30</v>
      </c>
      <c r="T4892" s="18" t="s">
        <v>4086</v>
      </c>
      <c r="U4892" s="18"/>
      <c r="V4892" s="18"/>
      <c r="W4892" s="18" t="s">
        <v>4087</v>
      </c>
      <c r="X4892" s="18" t="s">
        <v>42</v>
      </c>
      <c r="Y4892" s="18" t="s">
        <v>36</v>
      </c>
      <c r="Z4892" s="18" t="s">
        <v>697</v>
      </c>
      <c r="AA4892" s="21" t="str">
        <f>HYPERLINK("https://www.ncbi.nlm.nih.gov/nuccore/MF919490","NCBI Nucleotide")</f>
        <v>NCBI Nucleotide</v>
      </c>
    </row>
    <row r="4893" spans="1:27" x14ac:dyDescent="0.35">
      <c r="A4893">
        <v>1006657</v>
      </c>
      <c r="B4893">
        <v>4869</v>
      </c>
      <c r="C4893">
        <v>1</v>
      </c>
      <c r="D4893" s="17" t="s">
        <v>155</v>
      </c>
      <c r="E4893" s="17"/>
      <c r="F4893" s="17" t="s">
        <v>156</v>
      </c>
      <c r="G4893" s="17"/>
      <c r="H4893" s="17" t="s">
        <v>692</v>
      </c>
      <c r="I4893" s="17"/>
      <c r="J4893" s="17" t="s">
        <v>693</v>
      </c>
      <c r="K4893" s="17"/>
      <c r="L4893" s="17"/>
      <c r="M4893" s="17"/>
      <c r="N4893" s="17"/>
      <c r="O4893" s="17"/>
      <c r="P4893" s="17" t="s">
        <v>4085</v>
      </c>
      <c r="Q4893" s="17"/>
      <c r="R4893" s="25" t="str">
        <f>HYPERLINK("https://ictv.global/taxonomy/taxondetails?taxnode_id=202312638","Turbidovirus benvolio")</f>
        <v>Turbidovirus benvolio</v>
      </c>
      <c r="S4893" s="18" t="s">
        <v>30</v>
      </c>
      <c r="T4893" s="18" t="s">
        <v>4088</v>
      </c>
      <c r="U4893" s="18"/>
      <c r="V4893" s="18"/>
      <c r="W4893" s="18" t="s">
        <v>4089</v>
      </c>
      <c r="X4893" s="18" t="s">
        <v>42</v>
      </c>
      <c r="Y4893" s="18" t="s">
        <v>36</v>
      </c>
      <c r="Z4893" s="18" t="s">
        <v>697</v>
      </c>
      <c r="AA4893" s="21" t="str">
        <f>HYPERLINK("https://www.ncbi.nlm.nih.gov/nuccore/MK919472","NCBI Nucleotide")</f>
        <v>NCBI Nucleotide</v>
      </c>
    </row>
    <row r="4894" spans="1:27" x14ac:dyDescent="0.35">
      <c r="A4894">
        <v>1006658</v>
      </c>
      <c r="B4894">
        <v>4870</v>
      </c>
      <c r="C4894">
        <v>1</v>
      </c>
      <c r="D4894" s="17" t="s">
        <v>155</v>
      </c>
      <c r="E4894" s="17"/>
      <c r="F4894" s="17" t="s">
        <v>156</v>
      </c>
      <c r="G4894" s="17"/>
      <c r="H4894" s="17" t="s">
        <v>692</v>
      </c>
      <c r="I4894" s="17"/>
      <c r="J4894" s="17" t="s">
        <v>693</v>
      </c>
      <c r="K4894" s="17"/>
      <c r="L4894" s="17"/>
      <c r="M4894" s="17"/>
      <c r="N4894" s="17"/>
      <c r="O4894" s="17"/>
      <c r="P4894" s="17" t="s">
        <v>4085</v>
      </c>
      <c r="Q4894" s="17"/>
      <c r="R4894" s="25" t="str">
        <f>HYPERLINK("https://ictv.global/taxonomy/taxondetails?taxnode_id=202312639","Turbidovirus bugsy")</f>
        <v>Turbidovirus bugsy</v>
      </c>
      <c r="S4894" s="18" t="s">
        <v>30</v>
      </c>
      <c r="T4894" s="18" t="s">
        <v>4090</v>
      </c>
      <c r="U4894" s="18"/>
      <c r="V4894" s="18"/>
      <c r="W4894" s="18" t="s">
        <v>4091</v>
      </c>
      <c r="X4894" s="18" t="s">
        <v>42</v>
      </c>
      <c r="Y4894" s="18" t="s">
        <v>36</v>
      </c>
      <c r="Z4894" s="18" t="s">
        <v>697</v>
      </c>
      <c r="AA4894" s="21" t="str">
        <f>HYPERLINK("https://www.ncbi.nlm.nih.gov/nuccore/MN585998","NCBI Nucleotide")</f>
        <v>NCBI Nucleotide</v>
      </c>
    </row>
    <row r="4895" spans="1:27" x14ac:dyDescent="0.35">
      <c r="A4895">
        <v>1006659</v>
      </c>
      <c r="B4895">
        <v>4871</v>
      </c>
      <c r="C4895">
        <v>1</v>
      </c>
      <c r="D4895" s="17" t="s">
        <v>155</v>
      </c>
      <c r="E4895" s="17"/>
      <c r="F4895" s="17" t="s">
        <v>156</v>
      </c>
      <c r="G4895" s="17"/>
      <c r="H4895" s="17" t="s">
        <v>692</v>
      </c>
      <c r="I4895" s="17"/>
      <c r="J4895" s="17" t="s">
        <v>693</v>
      </c>
      <c r="K4895" s="17"/>
      <c r="L4895" s="17"/>
      <c r="M4895" s="17"/>
      <c r="N4895" s="17"/>
      <c r="O4895" s="17"/>
      <c r="P4895" s="17" t="s">
        <v>4085</v>
      </c>
      <c r="Q4895" s="17"/>
      <c r="R4895" s="25" t="str">
        <f>HYPERLINK("https://ictv.global/taxonomy/taxondetails?taxnode_id=202312640","Turbidovirus centaur")</f>
        <v>Turbidovirus centaur</v>
      </c>
      <c r="S4895" s="18" t="s">
        <v>30</v>
      </c>
      <c r="T4895" s="18" t="s">
        <v>4092</v>
      </c>
      <c r="U4895" s="18"/>
      <c r="V4895" s="18"/>
      <c r="W4895" s="18" t="s">
        <v>4093</v>
      </c>
      <c r="X4895" s="18" t="s">
        <v>42</v>
      </c>
      <c r="Y4895" s="18" t="s">
        <v>36</v>
      </c>
      <c r="Z4895" s="18" t="s">
        <v>697</v>
      </c>
      <c r="AA4895" s="21" t="str">
        <f>HYPERLINK("https://www.ncbi.nlm.nih.gov/nuccore/MK061408","NCBI Nucleotide")</f>
        <v>NCBI Nucleotide</v>
      </c>
    </row>
    <row r="4896" spans="1:27" x14ac:dyDescent="0.35">
      <c r="A4896">
        <v>1006660</v>
      </c>
      <c r="B4896">
        <v>4872</v>
      </c>
      <c r="C4896">
        <v>1</v>
      </c>
      <c r="D4896" s="17" t="s">
        <v>155</v>
      </c>
      <c r="E4896" s="17"/>
      <c r="F4896" s="17" t="s">
        <v>156</v>
      </c>
      <c r="G4896" s="17"/>
      <c r="H4896" s="17" t="s">
        <v>692</v>
      </c>
      <c r="I4896" s="17"/>
      <c r="J4896" s="17" t="s">
        <v>693</v>
      </c>
      <c r="K4896" s="17"/>
      <c r="L4896" s="17"/>
      <c r="M4896" s="17"/>
      <c r="N4896" s="17"/>
      <c r="O4896" s="17"/>
      <c r="P4896" s="17" t="s">
        <v>4085</v>
      </c>
      <c r="Q4896" s="17"/>
      <c r="R4896" s="25" t="str">
        <f>HYPERLINK("https://ictv.global/taxonomy/taxondetails?taxnode_id=202312641","Turbidovirus evilgenius")</f>
        <v>Turbidovirus evilgenius</v>
      </c>
      <c r="S4896" s="18" t="s">
        <v>30</v>
      </c>
      <c r="T4896" s="18" t="s">
        <v>4094</v>
      </c>
      <c r="U4896" s="18"/>
      <c r="V4896" s="18"/>
      <c r="W4896" s="18" t="s">
        <v>4095</v>
      </c>
      <c r="X4896" s="18" t="s">
        <v>42</v>
      </c>
      <c r="Y4896" s="18" t="s">
        <v>36</v>
      </c>
      <c r="Z4896" s="18" t="s">
        <v>697</v>
      </c>
      <c r="AA4896" s="21" t="str">
        <f>HYPERLINK("https://www.ncbi.nlm.nih.gov/nuccore/KU985093","NCBI Nucleotide")</f>
        <v>NCBI Nucleotide</v>
      </c>
    </row>
    <row r="4897" spans="1:27" x14ac:dyDescent="0.35">
      <c r="A4897">
        <v>1006661</v>
      </c>
      <c r="B4897">
        <v>4873</v>
      </c>
      <c r="C4897">
        <v>1</v>
      </c>
      <c r="D4897" s="17" t="s">
        <v>155</v>
      </c>
      <c r="E4897" s="17"/>
      <c r="F4897" s="17" t="s">
        <v>156</v>
      </c>
      <c r="G4897" s="17"/>
      <c r="H4897" s="17" t="s">
        <v>692</v>
      </c>
      <c r="I4897" s="17"/>
      <c r="J4897" s="17" t="s">
        <v>693</v>
      </c>
      <c r="K4897" s="17"/>
      <c r="L4897" s="17"/>
      <c r="M4897" s="17"/>
      <c r="N4897" s="17"/>
      <c r="O4897" s="17"/>
      <c r="P4897" s="17" t="s">
        <v>4085</v>
      </c>
      <c r="Q4897" s="17"/>
      <c r="R4897" s="25" t="str">
        <f>HYPERLINK("https://ictv.global/taxonomy/taxondetails?taxnode_id=202312642","Turbidovirus fameo")</f>
        <v>Turbidovirus fameo</v>
      </c>
      <c r="S4897" s="18" t="s">
        <v>30</v>
      </c>
      <c r="T4897" s="18" t="s">
        <v>4096</v>
      </c>
      <c r="U4897" s="18"/>
      <c r="V4897" s="18"/>
      <c r="W4897" s="18" t="s">
        <v>4097</v>
      </c>
      <c r="X4897" s="18" t="s">
        <v>42</v>
      </c>
      <c r="Y4897" s="18" t="s">
        <v>36</v>
      </c>
      <c r="Z4897" s="18" t="s">
        <v>697</v>
      </c>
      <c r="AA4897" s="21" t="str">
        <f>HYPERLINK("https://www.ncbi.nlm.nih.gov/nuccore/MH051252","NCBI Nucleotide")</f>
        <v>NCBI Nucleotide</v>
      </c>
    </row>
    <row r="4898" spans="1:27" x14ac:dyDescent="0.35">
      <c r="A4898">
        <v>1006662</v>
      </c>
      <c r="B4898">
        <v>4874</v>
      </c>
      <c r="C4898">
        <v>1</v>
      </c>
      <c r="D4898" s="17" t="s">
        <v>155</v>
      </c>
      <c r="E4898" s="17"/>
      <c r="F4898" s="17" t="s">
        <v>156</v>
      </c>
      <c r="G4898" s="17"/>
      <c r="H4898" s="17" t="s">
        <v>692</v>
      </c>
      <c r="I4898" s="17"/>
      <c r="J4898" s="17" t="s">
        <v>693</v>
      </c>
      <c r="K4898" s="17"/>
      <c r="L4898" s="17"/>
      <c r="M4898" s="17"/>
      <c r="N4898" s="17"/>
      <c r="O4898" s="17"/>
      <c r="P4898" s="17" t="s">
        <v>4085</v>
      </c>
      <c r="Q4898" s="17"/>
      <c r="R4898" s="25" t="str">
        <f>HYPERLINK("https://ictv.global/taxonomy/taxondetails?taxnode_id=202312643","Turbidovirus georgie2")</f>
        <v>Turbidovirus georgie2</v>
      </c>
      <c r="S4898" s="18" t="s">
        <v>30</v>
      </c>
      <c r="T4898" s="18" t="s">
        <v>4098</v>
      </c>
      <c r="U4898" s="18"/>
      <c r="V4898" s="18"/>
      <c r="W4898" s="18" t="s">
        <v>4099</v>
      </c>
      <c r="X4898" s="18" t="s">
        <v>42</v>
      </c>
      <c r="Y4898" s="18" t="s">
        <v>36</v>
      </c>
      <c r="Z4898" s="18" t="s">
        <v>697</v>
      </c>
      <c r="AA4898" s="21" t="str">
        <f>HYPERLINK("https://www.ncbi.nlm.nih.gov/nuccore/MT498066","NCBI Nucleotide")</f>
        <v>NCBI Nucleotide</v>
      </c>
    </row>
    <row r="4899" spans="1:27" x14ac:dyDescent="0.35">
      <c r="A4899">
        <v>1006663</v>
      </c>
      <c r="B4899">
        <v>4875</v>
      </c>
      <c r="C4899">
        <v>1</v>
      </c>
      <c r="D4899" s="17" t="s">
        <v>155</v>
      </c>
      <c r="E4899" s="17"/>
      <c r="F4899" s="17" t="s">
        <v>156</v>
      </c>
      <c r="G4899" s="17"/>
      <c r="H4899" s="17" t="s">
        <v>692</v>
      </c>
      <c r="I4899" s="17"/>
      <c r="J4899" s="17" t="s">
        <v>693</v>
      </c>
      <c r="K4899" s="17"/>
      <c r="L4899" s="17"/>
      <c r="M4899" s="17"/>
      <c r="N4899" s="17"/>
      <c r="O4899" s="17"/>
      <c r="P4899" s="17" t="s">
        <v>4085</v>
      </c>
      <c r="Q4899" s="17"/>
      <c r="R4899" s="25" t="str">
        <f>HYPERLINK("https://ictv.global/taxonomy/taxondetails?taxnode_id=202312644","Turbidovirus heffalump")</f>
        <v>Turbidovirus heffalump</v>
      </c>
      <c r="S4899" s="18" t="s">
        <v>30</v>
      </c>
      <c r="T4899" s="18" t="s">
        <v>4100</v>
      </c>
      <c r="U4899" s="18"/>
      <c r="V4899" s="18"/>
      <c r="W4899" s="18" t="s">
        <v>4101</v>
      </c>
      <c r="X4899" s="18" t="s">
        <v>42</v>
      </c>
      <c r="Y4899" s="18" t="s">
        <v>36</v>
      </c>
      <c r="Z4899" s="18" t="s">
        <v>697</v>
      </c>
      <c r="AA4899" s="21" t="str">
        <f>HYPERLINK("https://www.ncbi.nlm.nih.gov/nuccore/KY965065","NCBI Nucleotide")</f>
        <v>NCBI Nucleotide</v>
      </c>
    </row>
    <row r="4900" spans="1:27" x14ac:dyDescent="0.35">
      <c r="A4900">
        <v>1006664</v>
      </c>
      <c r="B4900">
        <v>4876</v>
      </c>
      <c r="C4900">
        <v>1</v>
      </c>
      <c r="D4900" s="17" t="s">
        <v>155</v>
      </c>
      <c r="E4900" s="17"/>
      <c r="F4900" s="17" t="s">
        <v>156</v>
      </c>
      <c r="G4900" s="17"/>
      <c r="H4900" s="17" t="s">
        <v>692</v>
      </c>
      <c r="I4900" s="17"/>
      <c r="J4900" s="17" t="s">
        <v>693</v>
      </c>
      <c r="K4900" s="17"/>
      <c r="L4900" s="17"/>
      <c r="M4900" s="17"/>
      <c r="N4900" s="17"/>
      <c r="O4900" s="17"/>
      <c r="P4900" s="17" t="s">
        <v>4085</v>
      </c>
      <c r="Q4900" s="17"/>
      <c r="R4900" s="25" t="str">
        <f>HYPERLINK("https://ictv.global/taxonomy/taxondetails?taxnode_id=202312645","Turbidovirus joshkayV")</f>
        <v>Turbidovirus joshkayV</v>
      </c>
      <c r="S4900" s="18" t="s">
        <v>30</v>
      </c>
      <c r="T4900" s="18" t="s">
        <v>4102</v>
      </c>
      <c r="U4900" s="18"/>
      <c r="V4900" s="18"/>
      <c r="W4900" s="18" t="s">
        <v>4103</v>
      </c>
      <c r="X4900" s="18" t="s">
        <v>42</v>
      </c>
      <c r="Y4900" s="18" t="s">
        <v>36</v>
      </c>
      <c r="Z4900" s="18" t="s">
        <v>697</v>
      </c>
      <c r="AA4900" s="21" t="str">
        <f>HYPERLINK("https://www.ncbi.nlm.nih.gov/nuccore/MF472896","NCBI Nucleotide")</f>
        <v>NCBI Nucleotide</v>
      </c>
    </row>
    <row r="4901" spans="1:27" x14ac:dyDescent="0.35">
      <c r="A4901">
        <v>1006665</v>
      </c>
      <c r="B4901">
        <v>4877</v>
      </c>
      <c r="C4901">
        <v>1</v>
      </c>
      <c r="D4901" s="17" t="s">
        <v>155</v>
      </c>
      <c r="E4901" s="17"/>
      <c r="F4901" s="17" t="s">
        <v>156</v>
      </c>
      <c r="G4901" s="17"/>
      <c r="H4901" s="17" t="s">
        <v>692</v>
      </c>
      <c r="I4901" s="17"/>
      <c r="J4901" s="17" t="s">
        <v>693</v>
      </c>
      <c r="K4901" s="17"/>
      <c r="L4901" s="17"/>
      <c r="M4901" s="17"/>
      <c r="N4901" s="17"/>
      <c r="O4901" s="17"/>
      <c r="P4901" s="17" t="s">
        <v>4085</v>
      </c>
      <c r="Q4901" s="17"/>
      <c r="R4901" s="25" t="str">
        <f>HYPERLINK("https://ictv.global/taxonomy/taxondetails?taxnode_id=202312646","Turbidovirus larenn")</f>
        <v>Turbidovirus larenn</v>
      </c>
      <c r="S4901" s="18" t="s">
        <v>30</v>
      </c>
      <c r="T4901" s="18" t="s">
        <v>4104</v>
      </c>
      <c r="U4901" s="18"/>
      <c r="V4901" s="18"/>
      <c r="W4901" s="18" t="s">
        <v>4105</v>
      </c>
      <c r="X4901" s="18" t="s">
        <v>42</v>
      </c>
      <c r="Y4901" s="18" t="s">
        <v>36</v>
      </c>
      <c r="Z4901" s="18" t="s">
        <v>697</v>
      </c>
      <c r="AA4901" s="21" t="str">
        <f>HYPERLINK("https://www.ncbi.nlm.nih.gov/nuccore/KM677210","NCBI Nucleotide")</f>
        <v>NCBI Nucleotide</v>
      </c>
    </row>
    <row r="4902" spans="1:27" x14ac:dyDescent="0.35">
      <c r="A4902">
        <v>1006666</v>
      </c>
      <c r="B4902">
        <v>4878</v>
      </c>
      <c r="C4902">
        <v>1</v>
      </c>
      <c r="D4902" s="17" t="s">
        <v>155</v>
      </c>
      <c r="E4902" s="17"/>
      <c r="F4902" s="17" t="s">
        <v>156</v>
      </c>
      <c r="G4902" s="17"/>
      <c r="H4902" s="17" t="s">
        <v>692</v>
      </c>
      <c r="I4902" s="17"/>
      <c r="J4902" s="17" t="s">
        <v>693</v>
      </c>
      <c r="K4902" s="17"/>
      <c r="L4902" s="17"/>
      <c r="M4902" s="17"/>
      <c r="N4902" s="17"/>
      <c r="O4902" s="17"/>
      <c r="P4902" s="17" t="s">
        <v>4085</v>
      </c>
      <c r="Q4902" s="17"/>
      <c r="R4902" s="25" t="str">
        <f>HYPERLINK("https://ictv.global/taxonomy/taxondetails?taxnode_id=202312647","Turbidovirus malec")</f>
        <v>Turbidovirus malec</v>
      </c>
      <c r="S4902" s="18" t="s">
        <v>30</v>
      </c>
      <c r="T4902" s="18" t="s">
        <v>4106</v>
      </c>
      <c r="U4902" s="18"/>
      <c r="V4902" s="18"/>
      <c r="W4902" s="18" t="s">
        <v>4107</v>
      </c>
      <c r="X4902" s="18" t="s">
        <v>42</v>
      </c>
      <c r="Y4902" s="18" t="s">
        <v>36</v>
      </c>
      <c r="Z4902" s="18" t="s">
        <v>697</v>
      </c>
      <c r="AA4902" s="21" t="str">
        <f>HYPERLINK("https://www.ncbi.nlm.nih.gov/nuccore/MK284522","NCBI Nucleotide")</f>
        <v>NCBI Nucleotide</v>
      </c>
    </row>
    <row r="4903" spans="1:27" x14ac:dyDescent="0.35">
      <c r="A4903">
        <v>1006667</v>
      </c>
      <c r="B4903">
        <v>4879</v>
      </c>
      <c r="C4903">
        <v>1</v>
      </c>
      <c r="D4903" s="17" t="s">
        <v>155</v>
      </c>
      <c r="E4903" s="17"/>
      <c r="F4903" s="17" t="s">
        <v>156</v>
      </c>
      <c r="G4903" s="17"/>
      <c r="H4903" s="17" t="s">
        <v>692</v>
      </c>
      <c r="I4903" s="17"/>
      <c r="J4903" s="17" t="s">
        <v>693</v>
      </c>
      <c r="K4903" s="17"/>
      <c r="L4903" s="17"/>
      <c r="M4903" s="17"/>
      <c r="N4903" s="17"/>
      <c r="O4903" s="17"/>
      <c r="P4903" s="17" t="s">
        <v>4085</v>
      </c>
      <c r="Q4903" s="17"/>
      <c r="R4903" s="25" t="str">
        <f>HYPERLINK("https://ictv.global/taxonomy/taxondetails?taxnode_id=202312648","Turbidovirus piro94")</f>
        <v>Turbidovirus piro94</v>
      </c>
      <c r="S4903" s="18" t="s">
        <v>30</v>
      </c>
      <c r="T4903" s="18" t="s">
        <v>4108</v>
      </c>
      <c r="U4903" s="18"/>
      <c r="V4903" s="18"/>
      <c r="W4903" s="18" t="s">
        <v>4109</v>
      </c>
      <c r="X4903" s="18" t="s">
        <v>42</v>
      </c>
      <c r="Y4903" s="18" t="s">
        <v>36</v>
      </c>
      <c r="Z4903" s="18" t="s">
        <v>697</v>
      </c>
      <c r="AA4903" s="21" t="str">
        <f>HYPERLINK("https://www.ncbi.nlm.nih.gov/nuccore/KM197169","NCBI Nucleotide")</f>
        <v>NCBI Nucleotide</v>
      </c>
    </row>
    <row r="4904" spans="1:27" x14ac:dyDescent="0.35">
      <c r="A4904">
        <v>1006668</v>
      </c>
      <c r="B4904">
        <v>4880</v>
      </c>
      <c r="C4904">
        <v>1</v>
      </c>
      <c r="D4904" s="17" t="s">
        <v>155</v>
      </c>
      <c r="E4904" s="17"/>
      <c r="F4904" s="17" t="s">
        <v>156</v>
      </c>
      <c r="G4904" s="17"/>
      <c r="H4904" s="17" t="s">
        <v>692</v>
      </c>
      <c r="I4904" s="17"/>
      <c r="J4904" s="17" t="s">
        <v>693</v>
      </c>
      <c r="K4904" s="17"/>
      <c r="L4904" s="17"/>
      <c r="M4904" s="17"/>
      <c r="N4904" s="17"/>
      <c r="O4904" s="17"/>
      <c r="P4904" s="17" t="s">
        <v>4085</v>
      </c>
      <c r="Q4904" s="17"/>
      <c r="R4904" s="25" t="str">
        <f>HYPERLINK("https://ictv.global/taxonomy/taxondetails?taxnode_id=202301064","Turbidovirus turbido")</f>
        <v>Turbidovirus turbido</v>
      </c>
      <c r="S4904" s="18" t="s">
        <v>30</v>
      </c>
      <c r="T4904" s="18" t="s">
        <v>4110</v>
      </c>
      <c r="U4904" s="18"/>
      <c r="V4904" s="18"/>
      <c r="W4904" s="18" t="s">
        <v>4111</v>
      </c>
      <c r="X4904" s="18" t="s">
        <v>42</v>
      </c>
      <c r="Y4904" s="18" t="s">
        <v>36</v>
      </c>
      <c r="Z4904" s="18" t="s">
        <v>697</v>
      </c>
      <c r="AA4904" s="21" t="str">
        <f>HYPERLINK("https://www.ncbi.nlm.nih.gov/nuccore/JN408460","NCBI Nucleotide")</f>
        <v>NCBI Nucleotide</v>
      </c>
    </row>
    <row r="4905" spans="1:27" x14ac:dyDescent="0.35">
      <c r="A4905">
        <v>1006669</v>
      </c>
      <c r="B4905">
        <v>4881</v>
      </c>
      <c r="C4905">
        <v>1</v>
      </c>
      <c r="D4905" s="17" t="s">
        <v>155</v>
      </c>
      <c r="E4905" s="17"/>
      <c r="F4905" s="17" t="s">
        <v>156</v>
      </c>
      <c r="G4905" s="17"/>
      <c r="H4905" s="17" t="s">
        <v>692</v>
      </c>
      <c r="I4905" s="17"/>
      <c r="J4905" s="17" t="s">
        <v>693</v>
      </c>
      <c r="K4905" s="17"/>
      <c r="L4905" s="17"/>
      <c r="M4905" s="17"/>
      <c r="N4905" s="17"/>
      <c r="O4905" s="17"/>
      <c r="P4905" s="17" t="s">
        <v>4112</v>
      </c>
      <c r="Q4905" s="17"/>
      <c r="R4905" s="25" t="str">
        <f>HYPERLINK("https://ictv.global/taxonomy/taxondetails?taxnode_id=202312650","Typhavirus typha")</f>
        <v>Typhavirus typha</v>
      </c>
      <c r="S4905" s="18" t="s">
        <v>30</v>
      </c>
      <c r="T4905" s="18" t="s">
        <v>4113</v>
      </c>
      <c r="U4905" s="18"/>
      <c r="V4905" s="18"/>
      <c r="W4905" s="18" t="s">
        <v>4114</v>
      </c>
      <c r="X4905" s="18" t="s">
        <v>42</v>
      </c>
      <c r="Y4905" s="18" t="s">
        <v>36</v>
      </c>
      <c r="Z4905" s="18" t="s">
        <v>697</v>
      </c>
      <c r="AA4905" s="21" t="str">
        <f>HYPERLINK("https://www.ncbi.nlm.nih.gov/nuccore/MK494099","NCBI Nucleotide")</f>
        <v>NCBI Nucleotide</v>
      </c>
    </row>
    <row r="4906" spans="1:27" x14ac:dyDescent="0.35">
      <c r="A4906">
        <v>1006670</v>
      </c>
      <c r="B4906">
        <v>4882</v>
      </c>
      <c r="C4906">
        <v>1</v>
      </c>
      <c r="D4906" s="17" t="s">
        <v>155</v>
      </c>
      <c r="E4906" s="17"/>
      <c r="F4906" s="17" t="s">
        <v>156</v>
      </c>
      <c r="G4906" s="17"/>
      <c r="H4906" s="17" t="s">
        <v>692</v>
      </c>
      <c r="I4906" s="17"/>
      <c r="J4906" s="17" t="s">
        <v>693</v>
      </c>
      <c r="K4906" s="17"/>
      <c r="L4906" s="17"/>
      <c r="M4906" s="17"/>
      <c r="N4906" s="17"/>
      <c r="O4906" s="17"/>
      <c r="P4906" s="17" t="s">
        <v>4115</v>
      </c>
      <c r="Q4906" s="17"/>
      <c r="R4906" s="25" t="str">
        <f>HYPERLINK("https://ictv.global/taxonomy/taxondetails?taxnode_id=202300637","Uetakevirus epsilon15")</f>
        <v>Uetakevirus epsilon15</v>
      </c>
      <c r="S4906" s="18" t="s">
        <v>30</v>
      </c>
      <c r="T4906" s="18" t="s">
        <v>4116</v>
      </c>
      <c r="U4906" s="18"/>
      <c r="V4906" s="18"/>
      <c r="W4906" s="18" t="s">
        <v>4117</v>
      </c>
      <c r="X4906" s="18" t="s">
        <v>42</v>
      </c>
      <c r="Y4906" s="18" t="s">
        <v>36</v>
      </c>
      <c r="Z4906" s="18" t="s">
        <v>697</v>
      </c>
      <c r="AA4906" s="21" t="str">
        <f>HYPERLINK("https://www.ncbi.nlm.nih.gov/nuccore/AY150271","NCBI Nucleotide")</f>
        <v>NCBI Nucleotide</v>
      </c>
    </row>
    <row r="4907" spans="1:27" x14ac:dyDescent="0.35">
      <c r="A4907">
        <v>1006671</v>
      </c>
      <c r="B4907">
        <v>4883</v>
      </c>
      <c r="C4907">
        <v>1</v>
      </c>
      <c r="D4907" s="17" t="s">
        <v>155</v>
      </c>
      <c r="E4907" s="17"/>
      <c r="F4907" s="17" t="s">
        <v>156</v>
      </c>
      <c r="G4907" s="17"/>
      <c r="H4907" s="17" t="s">
        <v>692</v>
      </c>
      <c r="I4907" s="17"/>
      <c r="J4907" s="17" t="s">
        <v>693</v>
      </c>
      <c r="K4907" s="17"/>
      <c r="L4907" s="17"/>
      <c r="M4907" s="17"/>
      <c r="N4907" s="17"/>
      <c r="O4907" s="17"/>
      <c r="P4907" s="17" t="s">
        <v>4115</v>
      </c>
      <c r="Q4907" s="17"/>
      <c r="R4907" s="25" t="str">
        <f>HYPERLINK("https://ictv.global/taxonomy/taxondetails?taxnode_id=202300636","Uetakevirus phiV10")</f>
        <v>Uetakevirus phiV10</v>
      </c>
      <c r="S4907" s="18" t="s">
        <v>30</v>
      </c>
      <c r="T4907" s="18" t="s">
        <v>4118</v>
      </c>
      <c r="U4907" s="18"/>
      <c r="V4907" s="18"/>
      <c r="W4907" s="18" t="s">
        <v>4119</v>
      </c>
      <c r="X4907" s="18" t="s">
        <v>42</v>
      </c>
      <c r="Y4907" s="18" t="s">
        <v>36</v>
      </c>
      <c r="Z4907" s="18" t="s">
        <v>697</v>
      </c>
      <c r="AA4907" s="21" t="str">
        <f>HYPERLINK("https://www.ncbi.nlm.nih.gov/nuccore/DQ126339","NCBI Nucleotide")</f>
        <v>NCBI Nucleotide</v>
      </c>
    </row>
    <row r="4908" spans="1:27" x14ac:dyDescent="0.35">
      <c r="A4908">
        <v>1006672</v>
      </c>
      <c r="B4908">
        <v>4884</v>
      </c>
      <c r="C4908">
        <v>1</v>
      </c>
      <c r="D4908" s="17" t="s">
        <v>155</v>
      </c>
      <c r="E4908" s="17"/>
      <c r="F4908" s="17" t="s">
        <v>156</v>
      </c>
      <c r="G4908" s="17"/>
      <c r="H4908" s="17" t="s">
        <v>692</v>
      </c>
      <c r="I4908" s="17"/>
      <c r="J4908" s="17" t="s">
        <v>693</v>
      </c>
      <c r="K4908" s="17"/>
      <c r="L4908" s="17"/>
      <c r="M4908" s="17"/>
      <c r="N4908" s="17"/>
      <c r="O4908" s="17"/>
      <c r="P4908" s="17" t="s">
        <v>4115</v>
      </c>
      <c r="Q4908" s="17"/>
      <c r="R4908" s="25" t="str">
        <f>HYPERLINK("https://ictv.global/taxonomy/taxondetails?taxnode_id=202300638","Uetakevirus SPN1S")</f>
        <v>Uetakevirus SPN1S</v>
      </c>
      <c r="S4908" s="18" t="s">
        <v>30</v>
      </c>
      <c r="T4908" s="18" t="s">
        <v>4120</v>
      </c>
      <c r="U4908" s="18"/>
      <c r="V4908" s="18"/>
      <c r="W4908" s="18" t="s">
        <v>4121</v>
      </c>
      <c r="X4908" s="18" t="s">
        <v>42</v>
      </c>
      <c r="Y4908" s="18" t="s">
        <v>36</v>
      </c>
      <c r="Z4908" s="18" t="s">
        <v>697</v>
      </c>
      <c r="AA4908" s="21" t="str">
        <f>HYPERLINK("https://www.ncbi.nlm.nih.gov/nuccore/JN391180","NCBI Nucleotide")</f>
        <v>NCBI Nucleotide</v>
      </c>
    </row>
    <row r="4909" spans="1:27" x14ac:dyDescent="0.35">
      <c r="A4909">
        <v>1006673</v>
      </c>
      <c r="B4909">
        <v>4885</v>
      </c>
      <c r="C4909">
        <v>1</v>
      </c>
      <c r="D4909" s="17" t="s">
        <v>155</v>
      </c>
      <c r="E4909" s="17"/>
      <c r="F4909" s="17" t="s">
        <v>156</v>
      </c>
      <c r="G4909" s="17"/>
      <c r="H4909" s="17" t="s">
        <v>692</v>
      </c>
      <c r="I4909" s="17"/>
      <c r="J4909" s="17" t="s">
        <v>693</v>
      </c>
      <c r="K4909" s="17"/>
      <c r="L4909" s="17"/>
      <c r="M4909" s="17"/>
      <c r="N4909" s="17"/>
      <c r="O4909" s="17"/>
      <c r="P4909" s="17" t="s">
        <v>4122</v>
      </c>
      <c r="Q4909" s="17"/>
      <c r="R4909" s="25" t="str">
        <f>HYPERLINK("https://ictv.global/taxonomy/taxondetails?taxnode_id=202312078","Uwajimavirus PLgW1")</f>
        <v>Uwajimavirus PLgW1</v>
      </c>
      <c r="S4909" s="18" t="s">
        <v>30</v>
      </c>
      <c r="T4909" s="18" t="s">
        <v>4123</v>
      </c>
      <c r="U4909" s="18"/>
      <c r="V4909" s="18"/>
      <c r="W4909" s="18" t="s">
        <v>4124</v>
      </c>
      <c r="X4909" s="18" t="s">
        <v>42</v>
      </c>
      <c r="Y4909" s="18" t="s">
        <v>36</v>
      </c>
      <c r="Z4909" s="18" t="s">
        <v>697</v>
      </c>
      <c r="AA4909" s="21" t="str">
        <f>HYPERLINK("https://www.ncbi.nlm.nih.gov/nuccore/KY888143","NCBI Nucleotide")</f>
        <v>NCBI Nucleotide</v>
      </c>
    </row>
    <row r="4910" spans="1:27" x14ac:dyDescent="0.35">
      <c r="A4910">
        <v>1024956</v>
      </c>
      <c r="B4910">
        <v>4886</v>
      </c>
      <c r="C4910">
        <v>1</v>
      </c>
      <c r="D4910" s="17" t="s">
        <v>155</v>
      </c>
      <c r="E4910" s="17"/>
      <c r="F4910" s="17" t="s">
        <v>156</v>
      </c>
      <c r="G4910" s="17"/>
      <c r="H4910" s="17" t="s">
        <v>692</v>
      </c>
      <c r="I4910" s="17"/>
      <c r="J4910" s="17" t="s">
        <v>693</v>
      </c>
      <c r="K4910" s="17"/>
      <c r="L4910" s="17"/>
      <c r="M4910" s="17"/>
      <c r="N4910" s="17"/>
      <c r="O4910" s="17"/>
      <c r="P4910" s="17" t="s">
        <v>40045</v>
      </c>
      <c r="Q4910" s="17"/>
      <c r="R4910" s="25" t="str">
        <f>HYPERLINK("https://ictv.global/taxonomy/taxondetails?taxnode_id=202317773","Valentinivirus valentinipuff")</f>
        <v>Valentinivirus valentinipuff</v>
      </c>
      <c r="S4910" s="18" t="s">
        <v>30</v>
      </c>
      <c r="T4910" s="18" t="s">
        <v>40046</v>
      </c>
      <c r="U4910" s="18"/>
      <c r="V4910" s="18"/>
      <c r="W4910" s="18" t="s">
        <v>48577</v>
      </c>
      <c r="X4910" s="18" t="s">
        <v>42</v>
      </c>
      <c r="Y4910" s="18" t="s">
        <v>36</v>
      </c>
      <c r="Z4910" s="18" t="s">
        <v>697</v>
      </c>
      <c r="AA4910" s="21" t="str">
        <f>HYPERLINK("https://www.ncbi.nlm.nih.gov/nuccore/MH825712","NCBI Nucleotide")</f>
        <v>NCBI Nucleotide</v>
      </c>
    </row>
    <row r="4911" spans="1:27" x14ac:dyDescent="0.35">
      <c r="A4911">
        <v>1024958</v>
      </c>
      <c r="B4911">
        <v>4887</v>
      </c>
      <c r="C4911">
        <v>1</v>
      </c>
      <c r="D4911" s="17" t="s">
        <v>155</v>
      </c>
      <c r="E4911" s="17"/>
      <c r="F4911" s="17" t="s">
        <v>156</v>
      </c>
      <c r="G4911" s="17"/>
      <c r="H4911" s="17" t="s">
        <v>692</v>
      </c>
      <c r="I4911" s="17"/>
      <c r="J4911" s="17" t="s">
        <v>693</v>
      </c>
      <c r="K4911" s="17"/>
      <c r="L4911" s="17"/>
      <c r="M4911" s="17"/>
      <c r="N4911" s="17"/>
      <c r="O4911" s="17"/>
      <c r="P4911" s="17" t="s">
        <v>40047</v>
      </c>
      <c r="Q4911" s="17"/>
      <c r="R4911" s="25" t="str">
        <f>HYPERLINK("https://ictv.global/taxonomy/taxondetails?taxnode_id=202317774","Vanleevirus vanlee")</f>
        <v>Vanleevirus vanlee</v>
      </c>
      <c r="S4911" s="18" t="s">
        <v>30</v>
      </c>
      <c r="T4911" s="18" t="s">
        <v>40048</v>
      </c>
      <c r="U4911" s="18"/>
      <c r="V4911" s="18"/>
      <c r="W4911" s="18" t="s">
        <v>48578</v>
      </c>
      <c r="X4911" s="18" t="s">
        <v>42</v>
      </c>
      <c r="Y4911" s="18" t="s">
        <v>36</v>
      </c>
      <c r="Z4911" s="18" t="s">
        <v>697</v>
      </c>
      <c r="AA4911" s="21" t="str">
        <f>HYPERLINK("https://www.ncbi.nlm.nih.gov/nuccore/MZ028627","NCBI Nucleotide")</f>
        <v>NCBI Nucleotide</v>
      </c>
    </row>
    <row r="4912" spans="1:27" x14ac:dyDescent="0.35">
      <c r="A4912">
        <v>1006674</v>
      </c>
      <c r="B4912">
        <v>4888</v>
      </c>
      <c r="C4912">
        <v>1</v>
      </c>
      <c r="D4912" s="17" t="s">
        <v>155</v>
      </c>
      <c r="E4912" s="17"/>
      <c r="F4912" s="17" t="s">
        <v>156</v>
      </c>
      <c r="G4912" s="17"/>
      <c r="H4912" s="17" t="s">
        <v>692</v>
      </c>
      <c r="I4912" s="17"/>
      <c r="J4912" s="17" t="s">
        <v>693</v>
      </c>
      <c r="K4912" s="17"/>
      <c r="L4912" s="17"/>
      <c r="M4912" s="17"/>
      <c r="N4912" s="17"/>
      <c r="O4912" s="17"/>
      <c r="P4912" s="17" t="s">
        <v>4125</v>
      </c>
      <c r="Q4912" s="17"/>
      <c r="R4912" s="25" t="str">
        <f>HYPERLINK("https://ictv.global/taxonomy/taxondetails?taxnode_id=202308191","Vashvirus lilbooboo")</f>
        <v>Vashvirus lilbooboo</v>
      </c>
      <c r="S4912" s="18" t="s">
        <v>30</v>
      </c>
      <c r="T4912" s="18" t="s">
        <v>4126</v>
      </c>
      <c r="U4912" s="18"/>
      <c r="V4912" s="18"/>
      <c r="W4912" s="18" t="s">
        <v>4127</v>
      </c>
      <c r="X4912" s="18" t="s">
        <v>42</v>
      </c>
      <c r="Y4912" s="18" t="s">
        <v>36</v>
      </c>
      <c r="Z4912" s="18" t="s">
        <v>697</v>
      </c>
      <c r="AA4912" s="21" t="str">
        <f>HYPERLINK("https://www.ncbi.nlm.nih.gov/nuccore/MK450431","NCBI Nucleotide")</f>
        <v>NCBI Nucleotide</v>
      </c>
    </row>
    <row r="4913" spans="1:27" x14ac:dyDescent="0.35">
      <c r="A4913">
        <v>1006675</v>
      </c>
      <c r="B4913">
        <v>4889</v>
      </c>
      <c r="C4913">
        <v>1</v>
      </c>
      <c r="D4913" s="17" t="s">
        <v>155</v>
      </c>
      <c r="E4913" s="17"/>
      <c r="F4913" s="17" t="s">
        <v>156</v>
      </c>
      <c r="G4913" s="17"/>
      <c r="H4913" s="17" t="s">
        <v>692</v>
      </c>
      <c r="I4913" s="17"/>
      <c r="J4913" s="17" t="s">
        <v>693</v>
      </c>
      <c r="K4913" s="17"/>
      <c r="L4913" s="17"/>
      <c r="M4913" s="17"/>
      <c r="N4913" s="17"/>
      <c r="O4913" s="17"/>
      <c r="P4913" s="17" t="s">
        <v>4125</v>
      </c>
      <c r="Q4913" s="17"/>
      <c r="R4913" s="25" t="str">
        <f>HYPERLINK("https://ictv.global/taxonomy/taxondetails?taxnode_id=202308190","Vashvirus vash")</f>
        <v>Vashvirus vash</v>
      </c>
      <c r="S4913" s="18" t="s">
        <v>30</v>
      </c>
      <c r="T4913" s="18" t="s">
        <v>4128</v>
      </c>
      <c r="U4913" s="18"/>
      <c r="V4913" s="18"/>
      <c r="W4913" s="18" t="s">
        <v>4129</v>
      </c>
      <c r="X4913" s="18" t="s">
        <v>42</v>
      </c>
      <c r="Y4913" s="18" t="s">
        <v>36</v>
      </c>
      <c r="Z4913" s="18" t="s">
        <v>697</v>
      </c>
      <c r="AA4913" s="21" t="str">
        <f>HYPERLINK("https://www.ncbi.nlm.nih.gov/nuccore/MK450421","NCBI Nucleotide")</f>
        <v>NCBI Nucleotide</v>
      </c>
    </row>
    <row r="4914" spans="1:27" x14ac:dyDescent="0.35">
      <c r="A4914">
        <v>1006676</v>
      </c>
      <c r="B4914">
        <v>4890</v>
      </c>
      <c r="C4914">
        <v>1</v>
      </c>
      <c r="D4914" s="17" t="s">
        <v>155</v>
      </c>
      <c r="E4914" s="17"/>
      <c r="F4914" s="17" t="s">
        <v>156</v>
      </c>
      <c r="G4914" s="17"/>
      <c r="H4914" s="17" t="s">
        <v>692</v>
      </c>
      <c r="I4914" s="17"/>
      <c r="J4914" s="17" t="s">
        <v>693</v>
      </c>
      <c r="K4914" s="17"/>
      <c r="L4914" s="17"/>
      <c r="M4914" s="17"/>
      <c r="N4914" s="17"/>
      <c r="O4914" s="17"/>
      <c r="P4914" s="17" t="s">
        <v>4130</v>
      </c>
      <c r="Q4914" s="17"/>
      <c r="R4914" s="25" t="str">
        <f>HYPERLINK("https://ictv.global/taxonomy/taxondetails?taxnode_id=202312082","Vedamuthuvirus BM13")</f>
        <v>Vedamuthuvirus BM13</v>
      </c>
      <c r="S4914" s="18" t="s">
        <v>30</v>
      </c>
      <c r="T4914" s="18" t="s">
        <v>4131</v>
      </c>
      <c r="U4914" s="18"/>
      <c r="V4914" s="18"/>
      <c r="W4914" s="18" t="s">
        <v>4132</v>
      </c>
      <c r="X4914" s="18" t="s">
        <v>42</v>
      </c>
      <c r="Y4914" s="18" t="s">
        <v>36</v>
      </c>
      <c r="Z4914" s="18" t="s">
        <v>697</v>
      </c>
      <c r="AA4914" s="21" t="str">
        <f>HYPERLINK("https://www.ncbi.nlm.nih.gov/nuccore/JX567312","NCBI Nucleotide")</f>
        <v>NCBI Nucleotide</v>
      </c>
    </row>
    <row r="4915" spans="1:27" x14ac:dyDescent="0.35">
      <c r="A4915">
        <v>1006677</v>
      </c>
      <c r="B4915">
        <v>4891</v>
      </c>
      <c r="C4915">
        <v>1</v>
      </c>
      <c r="D4915" s="17" t="s">
        <v>155</v>
      </c>
      <c r="E4915" s="17"/>
      <c r="F4915" s="17" t="s">
        <v>156</v>
      </c>
      <c r="G4915" s="17"/>
      <c r="H4915" s="17" t="s">
        <v>692</v>
      </c>
      <c r="I4915" s="17"/>
      <c r="J4915" s="17" t="s">
        <v>693</v>
      </c>
      <c r="K4915" s="17"/>
      <c r="L4915" s="17"/>
      <c r="M4915" s="17"/>
      <c r="N4915" s="17"/>
      <c r="O4915" s="17"/>
      <c r="P4915" s="17" t="s">
        <v>4130</v>
      </c>
      <c r="Q4915" s="17"/>
      <c r="R4915" s="25" t="str">
        <f>HYPERLINK("https://ictv.global/taxonomy/taxondetails?taxnode_id=202312084","Vedamuthuvirus P1045")</f>
        <v>Vedamuthuvirus P1045</v>
      </c>
      <c r="S4915" s="18" t="s">
        <v>30</v>
      </c>
      <c r="T4915" s="18" t="s">
        <v>4133</v>
      </c>
      <c r="U4915" s="18"/>
      <c r="V4915" s="18"/>
      <c r="W4915" s="18" t="s">
        <v>4134</v>
      </c>
      <c r="X4915" s="18" t="s">
        <v>42</v>
      </c>
      <c r="Y4915" s="18" t="s">
        <v>36</v>
      </c>
      <c r="Z4915" s="18" t="s">
        <v>697</v>
      </c>
      <c r="AA4915" s="21" t="str">
        <f>HYPERLINK("https://www.ncbi.nlm.nih.gov/nuccore/MN552144","NCBI Nucleotide")</f>
        <v>NCBI Nucleotide</v>
      </c>
    </row>
    <row r="4916" spans="1:27" x14ac:dyDescent="0.35">
      <c r="A4916">
        <v>1006678</v>
      </c>
      <c r="B4916">
        <v>4892</v>
      </c>
      <c r="C4916">
        <v>1</v>
      </c>
      <c r="D4916" s="17" t="s">
        <v>155</v>
      </c>
      <c r="E4916" s="17"/>
      <c r="F4916" s="17" t="s">
        <v>156</v>
      </c>
      <c r="G4916" s="17"/>
      <c r="H4916" s="17" t="s">
        <v>692</v>
      </c>
      <c r="I4916" s="17"/>
      <c r="J4916" s="17" t="s">
        <v>693</v>
      </c>
      <c r="K4916" s="17"/>
      <c r="L4916" s="17"/>
      <c r="M4916" s="17"/>
      <c r="N4916" s="17"/>
      <c r="O4916" s="17"/>
      <c r="P4916" s="17" t="s">
        <v>4130</v>
      </c>
      <c r="Q4916" s="17"/>
      <c r="R4916" s="25" t="str">
        <f>HYPERLINK("https://ictv.global/taxonomy/taxondetails?taxnode_id=202312080","Vedamuthuvirus Q33")</f>
        <v>Vedamuthuvirus Q33</v>
      </c>
      <c r="S4916" s="18" t="s">
        <v>30</v>
      </c>
      <c r="T4916" s="18" t="s">
        <v>4135</v>
      </c>
      <c r="U4916" s="18"/>
      <c r="V4916" s="18"/>
      <c r="W4916" s="18" t="s">
        <v>4136</v>
      </c>
      <c r="X4916" s="18" t="s">
        <v>42</v>
      </c>
      <c r="Y4916" s="18" t="s">
        <v>36</v>
      </c>
      <c r="Z4916" s="18" t="s">
        <v>697</v>
      </c>
      <c r="AA4916" s="21" t="str">
        <f>HYPERLINK("https://www.ncbi.nlm.nih.gov/nuccore/JX564242","NCBI Nucleotide")</f>
        <v>NCBI Nucleotide</v>
      </c>
    </row>
    <row r="4917" spans="1:27" x14ac:dyDescent="0.35">
      <c r="A4917">
        <v>1006679</v>
      </c>
      <c r="B4917">
        <v>4893</v>
      </c>
      <c r="C4917">
        <v>1</v>
      </c>
      <c r="D4917" s="17" t="s">
        <v>155</v>
      </c>
      <c r="E4917" s="17"/>
      <c r="F4917" s="17" t="s">
        <v>156</v>
      </c>
      <c r="G4917" s="17"/>
      <c r="H4917" s="17" t="s">
        <v>692</v>
      </c>
      <c r="I4917" s="17"/>
      <c r="J4917" s="17" t="s">
        <v>693</v>
      </c>
      <c r="K4917" s="17"/>
      <c r="L4917" s="17"/>
      <c r="M4917" s="17"/>
      <c r="N4917" s="17"/>
      <c r="O4917" s="17"/>
      <c r="P4917" s="17" t="s">
        <v>4130</v>
      </c>
      <c r="Q4917" s="17"/>
      <c r="R4917" s="25" t="str">
        <f>HYPERLINK("https://ictv.global/taxonomy/taxondetails?taxnode_id=202312081","Vedamuthuvirus vv50902")</f>
        <v>Vedamuthuvirus vv50902</v>
      </c>
      <c r="S4917" s="18" t="s">
        <v>30</v>
      </c>
      <c r="T4917" s="18" t="s">
        <v>4137</v>
      </c>
      <c r="U4917" s="18"/>
      <c r="V4917" s="18"/>
      <c r="W4917" s="18" t="s">
        <v>4138</v>
      </c>
      <c r="X4917" s="18" t="s">
        <v>42</v>
      </c>
      <c r="Y4917" s="18" t="s">
        <v>36</v>
      </c>
      <c r="Z4917" s="18" t="s">
        <v>697</v>
      </c>
      <c r="AA4917" s="21" t="str">
        <f>HYPERLINK("https://www.ncbi.nlm.nih.gov/nuccore/KX160206","NCBI Nucleotide")</f>
        <v>NCBI Nucleotide</v>
      </c>
    </row>
    <row r="4918" spans="1:27" x14ac:dyDescent="0.35">
      <c r="A4918">
        <v>1006680</v>
      </c>
      <c r="B4918">
        <v>4894</v>
      </c>
      <c r="C4918">
        <v>1</v>
      </c>
      <c r="D4918" s="17" t="s">
        <v>155</v>
      </c>
      <c r="E4918" s="17"/>
      <c r="F4918" s="17" t="s">
        <v>156</v>
      </c>
      <c r="G4918" s="17"/>
      <c r="H4918" s="17" t="s">
        <v>692</v>
      </c>
      <c r="I4918" s="17"/>
      <c r="J4918" s="17" t="s">
        <v>693</v>
      </c>
      <c r="K4918" s="17"/>
      <c r="L4918" s="17"/>
      <c r="M4918" s="17"/>
      <c r="N4918" s="17"/>
      <c r="O4918" s="17"/>
      <c r="P4918" s="17" t="s">
        <v>4130</v>
      </c>
      <c r="Q4918" s="17"/>
      <c r="R4918" s="25" t="str">
        <f>HYPERLINK("https://ictv.global/taxonomy/taxondetails?taxnode_id=202312083","Vedamuthuvirus vv62503")</f>
        <v>Vedamuthuvirus vv62503</v>
      </c>
      <c r="S4918" s="18" t="s">
        <v>30</v>
      </c>
      <c r="T4918" s="18" t="s">
        <v>4139</v>
      </c>
      <c r="U4918" s="18"/>
      <c r="V4918" s="18"/>
      <c r="W4918" s="18" t="s">
        <v>4140</v>
      </c>
      <c r="X4918" s="18" t="s">
        <v>42</v>
      </c>
      <c r="Y4918" s="18" t="s">
        <v>36</v>
      </c>
      <c r="Z4918" s="18" t="s">
        <v>697</v>
      </c>
      <c r="AA4918" s="21" t="str">
        <f>HYPERLINK("https://www.ncbi.nlm.nih.gov/nuccore/KX160211","NCBI Nucleotide")</f>
        <v>NCBI Nucleotide</v>
      </c>
    </row>
    <row r="4919" spans="1:27" x14ac:dyDescent="0.35">
      <c r="A4919">
        <v>1006681</v>
      </c>
      <c r="B4919">
        <v>4895</v>
      </c>
      <c r="C4919">
        <v>1</v>
      </c>
      <c r="D4919" s="17" t="s">
        <v>155</v>
      </c>
      <c r="E4919" s="17"/>
      <c r="F4919" s="17" t="s">
        <v>156</v>
      </c>
      <c r="G4919" s="17"/>
      <c r="H4919" s="17" t="s">
        <v>692</v>
      </c>
      <c r="I4919" s="17"/>
      <c r="J4919" s="17" t="s">
        <v>693</v>
      </c>
      <c r="K4919" s="17"/>
      <c r="L4919" s="17"/>
      <c r="M4919" s="17"/>
      <c r="N4919" s="17"/>
      <c r="O4919" s="17"/>
      <c r="P4919" s="17" t="s">
        <v>4141</v>
      </c>
      <c r="Q4919" s="17"/>
      <c r="R4919" s="25" t="str">
        <f>HYPERLINK("https://ictv.global/taxonomy/taxondetails?taxnode_id=202314878","Veewebvirus vwb")</f>
        <v>Veewebvirus vwb</v>
      </c>
      <c r="S4919" s="18" t="s">
        <v>30</v>
      </c>
      <c r="T4919" s="18" t="s">
        <v>4142</v>
      </c>
      <c r="U4919" s="18"/>
      <c r="V4919" s="18"/>
      <c r="W4919" s="18" t="s">
        <v>4143</v>
      </c>
      <c r="X4919" s="18" t="s">
        <v>42</v>
      </c>
      <c r="Y4919" s="18" t="s">
        <v>36</v>
      </c>
      <c r="Z4919" s="18" t="s">
        <v>697</v>
      </c>
      <c r="AA4919" s="21" t="str">
        <f>HYPERLINK("https://www.ncbi.nlm.nih.gov/nuccore/AY320035","NCBI Nucleotide")</f>
        <v>NCBI Nucleotide</v>
      </c>
    </row>
    <row r="4920" spans="1:27" x14ac:dyDescent="0.35">
      <c r="A4920">
        <v>1006682</v>
      </c>
      <c r="B4920">
        <v>4896</v>
      </c>
      <c r="C4920">
        <v>1</v>
      </c>
      <c r="D4920" s="17" t="s">
        <v>155</v>
      </c>
      <c r="E4920" s="17"/>
      <c r="F4920" s="17" t="s">
        <v>156</v>
      </c>
      <c r="G4920" s="17"/>
      <c r="H4920" s="17" t="s">
        <v>692</v>
      </c>
      <c r="I4920" s="17"/>
      <c r="J4920" s="17" t="s">
        <v>693</v>
      </c>
      <c r="K4920" s="17"/>
      <c r="L4920" s="17"/>
      <c r="M4920" s="17"/>
      <c r="N4920" s="17"/>
      <c r="O4920" s="17"/>
      <c r="P4920" s="17" t="s">
        <v>4144</v>
      </c>
      <c r="Q4920" s="17"/>
      <c r="R4920" s="25" t="str">
        <f>HYPERLINK("https://ictv.global/taxonomy/taxondetails?taxnode_id=202312656","Veracruzvirus babyboy")</f>
        <v>Veracruzvirus babyboy</v>
      </c>
      <c r="S4920" s="18" t="s">
        <v>30</v>
      </c>
      <c r="T4920" s="18" t="s">
        <v>4145</v>
      </c>
      <c r="U4920" s="18"/>
      <c r="V4920" s="18"/>
      <c r="W4920" s="18" t="s">
        <v>4146</v>
      </c>
      <c r="X4920" s="18" t="s">
        <v>42</v>
      </c>
      <c r="Y4920" s="18" t="s">
        <v>36</v>
      </c>
      <c r="Z4920" s="18" t="s">
        <v>697</v>
      </c>
      <c r="AA4920" s="21" t="str">
        <f>HYPERLINK("https://www.ncbi.nlm.nih.gov/nuccore/KX683423","NCBI Nucleotide")</f>
        <v>NCBI Nucleotide</v>
      </c>
    </row>
    <row r="4921" spans="1:27" x14ac:dyDescent="0.35">
      <c r="A4921">
        <v>1006683</v>
      </c>
      <c r="B4921">
        <v>4897</v>
      </c>
      <c r="C4921">
        <v>1</v>
      </c>
      <c r="D4921" s="17" t="s">
        <v>155</v>
      </c>
      <c r="E4921" s="17"/>
      <c r="F4921" s="17" t="s">
        <v>156</v>
      </c>
      <c r="G4921" s="17"/>
      <c r="H4921" s="17" t="s">
        <v>692</v>
      </c>
      <c r="I4921" s="17"/>
      <c r="J4921" s="17" t="s">
        <v>693</v>
      </c>
      <c r="K4921" s="17"/>
      <c r="L4921" s="17"/>
      <c r="M4921" s="17"/>
      <c r="N4921" s="17"/>
      <c r="O4921" s="17"/>
      <c r="P4921" s="17" t="s">
        <v>4144</v>
      </c>
      <c r="Q4921" s="17"/>
      <c r="R4921" s="25" t="str">
        <f>HYPERLINK("https://ictv.global/taxonomy/taxondetails?taxnode_id=202312654","Veracruzvirus BTCU1")</f>
        <v>Veracruzvirus BTCU1</v>
      </c>
      <c r="S4921" s="18" t="s">
        <v>30</v>
      </c>
      <c r="T4921" s="18" t="s">
        <v>4147</v>
      </c>
      <c r="U4921" s="18"/>
      <c r="V4921" s="18"/>
      <c r="W4921" s="18" t="s">
        <v>4148</v>
      </c>
      <c r="X4921" s="18" t="s">
        <v>42</v>
      </c>
      <c r="Y4921" s="18" t="s">
        <v>36</v>
      </c>
      <c r="Z4921" s="18" t="s">
        <v>697</v>
      </c>
      <c r="AA4921" s="21" t="str">
        <f>HYPERLINK("https://www.ncbi.nlm.nih.gov/nuccore/KC172839","NCBI Nucleotide")</f>
        <v>NCBI Nucleotide</v>
      </c>
    </row>
    <row r="4922" spans="1:27" x14ac:dyDescent="0.35">
      <c r="A4922">
        <v>1006684</v>
      </c>
      <c r="B4922">
        <v>4898</v>
      </c>
      <c r="C4922">
        <v>1</v>
      </c>
      <c r="D4922" s="17" t="s">
        <v>155</v>
      </c>
      <c r="E4922" s="17"/>
      <c r="F4922" s="17" t="s">
        <v>156</v>
      </c>
      <c r="G4922" s="17"/>
      <c r="H4922" s="17" t="s">
        <v>692</v>
      </c>
      <c r="I4922" s="17"/>
      <c r="J4922" s="17" t="s">
        <v>693</v>
      </c>
      <c r="K4922" s="17"/>
      <c r="L4922" s="17"/>
      <c r="M4922" s="17"/>
      <c r="N4922" s="17"/>
      <c r="O4922" s="17"/>
      <c r="P4922" s="17" t="s">
        <v>4144</v>
      </c>
      <c r="Q4922" s="17"/>
      <c r="R4922" s="25" t="str">
        <f>HYPERLINK("https://ictv.global/taxonomy/taxondetails?taxnode_id=202301030","Veracruzvirus heldan")</f>
        <v>Veracruzvirus heldan</v>
      </c>
      <c r="S4922" s="18" t="s">
        <v>30</v>
      </c>
      <c r="T4922" s="18" t="s">
        <v>4149</v>
      </c>
      <c r="U4922" s="18"/>
      <c r="V4922" s="18"/>
      <c r="W4922" s="18" t="s">
        <v>4150</v>
      </c>
      <c r="X4922" s="18" t="s">
        <v>42</v>
      </c>
      <c r="Y4922" s="18" t="s">
        <v>36</v>
      </c>
      <c r="Z4922" s="18" t="s">
        <v>697</v>
      </c>
      <c r="AA4922" s="21" t="str">
        <f>HYPERLINK("https://www.ncbi.nlm.nih.gov/nuccore/JF957058","NCBI Nucleotide")</f>
        <v>NCBI Nucleotide</v>
      </c>
    </row>
    <row r="4923" spans="1:27" x14ac:dyDescent="0.35">
      <c r="A4923">
        <v>1006685</v>
      </c>
      <c r="B4923">
        <v>4899</v>
      </c>
      <c r="C4923">
        <v>1</v>
      </c>
      <c r="D4923" s="17" t="s">
        <v>155</v>
      </c>
      <c r="E4923" s="17"/>
      <c r="F4923" s="17" t="s">
        <v>156</v>
      </c>
      <c r="G4923" s="17"/>
      <c r="H4923" s="17" t="s">
        <v>692</v>
      </c>
      <c r="I4923" s="17"/>
      <c r="J4923" s="17" t="s">
        <v>693</v>
      </c>
      <c r="K4923" s="17"/>
      <c r="L4923" s="17"/>
      <c r="M4923" s="17"/>
      <c r="N4923" s="17"/>
      <c r="O4923" s="17"/>
      <c r="P4923" s="17" t="s">
        <v>4144</v>
      </c>
      <c r="Q4923" s="17"/>
      <c r="R4923" s="25" t="str">
        <f>HYPERLINK("https://ictv.global/taxonomy/taxondetails?taxnode_id=202312655","Veracruzvirus MA5")</f>
        <v>Veracruzvirus MA5</v>
      </c>
      <c r="S4923" s="18" t="s">
        <v>30</v>
      </c>
      <c r="T4923" s="18" t="s">
        <v>4151</v>
      </c>
      <c r="U4923" s="18"/>
      <c r="V4923" s="18"/>
      <c r="W4923" s="18" t="s">
        <v>4152</v>
      </c>
      <c r="X4923" s="18" t="s">
        <v>42</v>
      </c>
      <c r="Y4923" s="18" t="s">
        <v>36</v>
      </c>
      <c r="Z4923" s="18" t="s">
        <v>697</v>
      </c>
      <c r="AA4923" s="21" t="str">
        <f>HYPERLINK("https://www.ncbi.nlm.nih.gov/nuccore/MT310879","NCBI Nucleotide")</f>
        <v>NCBI Nucleotide</v>
      </c>
    </row>
    <row r="4924" spans="1:27" x14ac:dyDescent="0.35">
      <c r="A4924">
        <v>1006686</v>
      </c>
      <c r="B4924">
        <v>4900</v>
      </c>
      <c r="C4924">
        <v>1</v>
      </c>
      <c r="D4924" s="17" t="s">
        <v>155</v>
      </c>
      <c r="E4924" s="17"/>
      <c r="F4924" s="17" t="s">
        <v>156</v>
      </c>
      <c r="G4924" s="17"/>
      <c r="H4924" s="17" t="s">
        <v>692</v>
      </c>
      <c r="I4924" s="17"/>
      <c r="J4924" s="17" t="s">
        <v>693</v>
      </c>
      <c r="K4924" s="17"/>
      <c r="L4924" s="17"/>
      <c r="M4924" s="17"/>
      <c r="N4924" s="17"/>
      <c r="O4924" s="17"/>
      <c r="P4924" s="17" t="s">
        <v>4144</v>
      </c>
      <c r="Q4924" s="17"/>
      <c r="R4924" s="25" t="str">
        <f>HYPERLINK("https://ictv.global/taxonomy/taxondetails?taxnode_id=202312653","Veracruzvirus phantastic")</f>
        <v>Veracruzvirus phantastic</v>
      </c>
      <c r="S4924" s="18" t="s">
        <v>30</v>
      </c>
      <c r="T4924" s="18" t="s">
        <v>4153</v>
      </c>
      <c r="U4924" s="18"/>
      <c r="V4924" s="18"/>
      <c r="W4924" s="18" t="s">
        <v>4154</v>
      </c>
      <c r="X4924" s="18" t="s">
        <v>42</v>
      </c>
      <c r="Y4924" s="18" t="s">
        <v>36</v>
      </c>
      <c r="Z4924" s="18" t="s">
        <v>697</v>
      </c>
      <c r="AA4924" s="21" t="str">
        <f>HYPERLINK("https://www.ncbi.nlm.nih.gov/nuccore/KJ510415","NCBI Nucleotide")</f>
        <v>NCBI Nucleotide</v>
      </c>
    </row>
    <row r="4925" spans="1:27" x14ac:dyDescent="0.35">
      <c r="A4925">
        <v>1006687</v>
      </c>
      <c r="B4925">
        <v>4901</v>
      </c>
      <c r="C4925">
        <v>1</v>
      </c>
      <c r="D4925" s="17" t="s">
        <v>155</v>
      </c>
      <c r="E4925" s="17"/>
      <c r="F4925" s="17" t="s">
        <v>156</v>
      </c>
      <c r="G4925" s="17"/>
      <c r="H4925" s="17" t="s">
        <v>692</v>
      </c>
      <c r="I4925" s="17"/>
      <c r="J4925" s="17" t="s">
        <v>693</v>
      </c>
      <c r="K4925" s="17"/>
      <c r="L4925" s="17"/>
      <c r="M4925" s="17"/>
      <c r="N4925" s="17"/>
      <c r="O4925" s="17"/>
      <c r="P4925" s="17" t="s">
        <v>4144</v>
      </c>
      <c r="Q4925" s="17"/>
      <c r="R4925" s="25" t="str">
        <f>HYPERLINK("https://ictv.global/taxonomy/taxondetails?taxnode_id=202312657","Veracruzvirus pistachio")</f>
        <v>Veracruzvirus pistachio</v>
      </c>
      <c r="S4925" s="18" t="s">
        <v>30</v>
      </c>
      <c r="T4925" s="18" t="s">
        <v>4155</v>
      </c>
      <c r="U4925" s="18"/>
      <c r="V4925" s="18"/>
      <c r="W4925" s="18" t="s">
        <v>4156</v>
      </c>
      <c r="X4925" s="18" t="s">
        <v>42</v>
      </c>
      <c r="Y4925" s="18" t="s">
        <v>36</v>
      </c>
      <c r="Z4925" s="18" t="s">
        <v>697</v>
      </c>
      <c r="AA4925" s="21" t="str">
        <f>HYPERLINK("https://www.ncbi.nlm.nih.gov/nuccore/MH047633","NCBI Nucleotide")</f>
        <v>NCBI Nucleotide</v>
      </c>
    </row>
    <row r="4926" spans="1:27" x14ac:dyDescent="0.35">
      <c r="A4926">
        <v>1006688</v>
      </c>
      <c r="B4926">
        <v>4902</v>
      </c>
      <c r="C4926">
        <v>1</v>
      </c>
      <c r="D4926" s="17" t="s">
        <v>155</v>
      </c>
      <c r="E4926" s="17"/>
      <c r="F4926" s="17" t="s">
        <v>156</v>
      </c>
      <c r="G4926" s="17"/>
      <c r="H4926" s="17" t="s">
        <v>692</v>
      </c>
      <c r="I4926" s="17"/>
      <c r="J4926" s="17" t="s">
        <v>693</v>
      </c>
      <c r="K4926" s="17"/>
      <c r="L4926" s="17"/>
      <c r="M4926" s="17"/>
      <c r="N4926" s="17"/>
      <c r="O4926" s="17"/>
      <c r="P4926" s="17" t="s">
        <v>4144</v>
      </c>
      <c r="Q4926" s="17"/>
      <c r="R4926" s="25" t="str">
        <f>HYPERLINK("https://ictv.global/taxonomy/taxondetails?taxnode_id=202301054","Veracruzvirus rockstar")</f>
        <v>Veracruzvirus rockstar</v>
      </c>
      <c r="S4926" s="18" t="s">
        <v>30</v>
      </c>
      <c r="T4926" s="18" t="s">
        <v>4157</v>
      </c>
      <c r="U4926" s="18"/>
      <c r="V4926" s="18"/>
      <c r="W4926" s="18" t="s">
        <v>4158</v>
      </c>
      <c r="X4926" s="18" t="s">
        <v>42</v>
      </c>
      <c r="Y4926" s="18" t="s">
        <v>36</v>
      </c>
      <c r="Z4926" s="18" t="s">
        <v>697</v>
      </c>
      <c r="AA4926" s="21" t="str">
        <f>HYPERLINK("https://www.ncbi.nlm.nih.gov/nuccore/JF704111","NCBI Nucleotide")</f>
        <v>NCBI Nucleotide</v>
      </c>
    </row>
    <row r="4927" spans="1:27" x14ac:dyDescent="0.35">
      <c r="A4927">
        <v>1006689</v>
      </c>
      <c r="B4927">
        <v>4903</v>
      </c>
      <c r="C4927">
        <v>1</v>
      </c>
      <c r="D4927" s="17" t="s">
        <v>155</v>
      </c>
      <c r="E4927" s="17"/>
      <c r="F4927" s="17" t="s">
        <v>156</v>
      </c>
      <c r="G4927" s="17"/>
      <c r="H4927" s="17" t="s">
        <v>692</v>
      </c>
      <c r="I4927" s="17"/>
      <c r="J4927" s="17" t="s">
        <v>693</v>
      </c>
      <c r="K4927" s="17"/>
      <c r="L4927" s="17"/>
      <c r="M4927" s="17"/>
      <c r="N4927" s="17"/>
      <c r="O4927" s="17"/>
      <c r="P4927" s="17" t="s">
        <v>4144</v>
      </c>
      <c r="Q4927" s="17"/>
      <c r="R4927" s="25" t="str">
        <f>HYPERLINK("https://ictv.global/taxonomy/taxondetails?taxnode_id=202312652","Veracruzvirus veracruz")</f>
        <v>Veracruzvirus veracruz</v>
      </c>
      <c r="S4927" s="18" t="s">
        <v>30</v>
      </c>
      <c r="T4927" s="18" t="s">
        <v>4159</v>
      </c>
      <c r="U4927" s="18"/>
      <c r="V4927" s="18"/>
      <c r="W4927" s="18" t="s">
        <v>4160</v>
      </c>
      <c r="X4927" s="18" t="s">
        <v>42</v>
      </c>
      <c r="Y4927" s="18" t="s">
        <v>36</v>
      </c>
      <c r="Z4927" s="18" t="s">
        <v>697</v>
      </c>
      <c r="AA4927" s="21" t="str">
        <f>HYPERLINK("https://www.ncbi.nlm.nih.gov/nuccore/MK524496","NCBI Nucleotide")</f>
        <v>NCBI Nucleotide</v>
      </c>
    </row>
    <row r="4928" spans="1:27" x14ac:dyDescent="0.35">
      <c r="A4928">
        <v>1025181</v>
      </c>
      <c r="B4928">
        <v>4904</v>
      </c>
      <c r="C4928">
        <v>1</v>
      </c>
      <c r="D4928" s="17" t="s">
        <v>155</v>
      </c>
      <c r="E4928" s="17"/>
      <c r="F4928" s="17" t="s">
        <v>156</v>
      </c>
      <c r="G4928" s="17"/>
      <c r="H4928" s="17" t="s">
        <v>692</v>
      </c>
      <c r="I4928" s="17"/>
      <c r="J4928" s="17" t="s">
        <v>693</v>
      </c>
      <c r="K4928" s="17"/>
      <c r="L4928" s="17"/>
      <c r="M4928" s="17"/>
      <c r="N4928" s="17"/>
      <c r="O4928" s="17"/>
      <c r="P4928" s="17" t="s">
        <v>40049</v>
      </c>
      <c r="Q4928" s="17"/>
      <c r="R4928" s="25" t="str">
        <f>HYPERLINK("https://ictv.global/taxonomy/taxondetails?taxnode_id=202319492","Vespunovirus vesp1")</f>
        <v>Vespunovirus vesp1</v>
      </c>
      <c r="S4928" s="18" t="s">
        <v>30</v>
      </c>
      <c r="T4928" s="18" t="s">
        <v>40050</v>
      </c>
      <c r="U4928" s="18" t="s">
        <v>40051</v>
      </c>
      <c r="V4928" s="18"/>
      <c r="W4928" s="18" t="s">
        <v>40052</v>
      </c>
      <c r="X4928" s="18" t="s">
        <v>42</v>
      </c>
      <c r="Y4928" s="18" t="s">
        <v>36</v>
      </c>
      <c r="Z4928" s="18" t="s">
        <v>697</v>
      </c>
      <c r="AA4928" s="21" t="str">
        <f>HYPERLINK("https://www.ncbi.nlm.nih.gov/nuccore/MZ333456","NCBI Nucleotide")</f>
        <v>NCBI Nucleotide</v>
      </c>
    </row>
    <row r="4929" spans="1:27" x14ac:dyDescent="0.35">
      <c r="A4929">
        <v>1006690</v>
      </c>
      <c r="B4929">
        <v>4905</v>
      </c>
      <c r="C4929">
        <v>1</v>
      </c>
      <c r="D4929" s="17" t="s">
        <v>155</v>
      </c>
      <c r="E4929" s="17"/>
      <c r="F4929" s="17" t="s">
        <v>156</v>
      </c>
      <c r="G4929" s="17"/>
      <c r="H4929" s="17" t="s">
        <v>692</v>
      </c>
      <c r="I4929" s="17"/>
      <c r="J4929" s="17" t="s">
        <v>693</v>
      </c>
      <c r="K4929" s="17"/>
      <c r="L4929" s="17"/>
      <c r="M4929" s="17"/>
      <c r="N4929" s="17"/>
      <c r="O4929" s="17"/>
      <c r="P4929" s="17" t="s">
        <v>4161</v>
      </c>
      <c r="Q4929" s="17"/>
      <c r="R4929" s="25" t="str">
        <f>HYPERLINK("https://ictv.global/taxonomy/taxondetails?taxnode_id=202300517","Vhmlvirus mar")</f>
        <v>Vhmlvirus mar</v>
      </c>
      <c r="S4929" s="18" t="s">
        <v>30</v>
      </c>
      <c r="T4929" s="18" t="s">
        <v>4162</v>
      </c>
      <c r="U4929" s="18"/>
      <c r="V4929" s="18"/>
      <c r="W4929" s="18" t="s">
        <v>4163</v>
      </c>
      <c r="X4929" s="18" t="s">
        <v>42</v>
      </c>
      <c r="Y4929" s="18" t="s">
        <v>36</v>
      </c>
      <c r="Z4929" s="18" t="s">
        <v>697</v>
      </c>
      <c r="AA4929" s="21" t="str">
        <f>HYPERLINK("https://www.ncbi.nlm.nih.gov/nuccore/JX556417","NCBI Nucleotide")</f>
        <v>NCBI Nucleotide</v>
      </c>
    </row>
    <row r="4930" spans="1:27" x14ac:dyDescent="0.35">
      <c r="A4930">
        <v>1006691</v>
      </c>
      <c r="B4930">
        <v>4906</v>
      </c>
      <c r="C4930">
        <v>1</v>
      </c>
      <c r="D4930" s="17" t="s">
        <v>155</v>
      </c>
      <c r="E4930" s="17"/>
      <c r="F4930" s="17" t="s">
        <v>156</v>
      </c>
      <c r="G4930" s="17"/>
      <c r="H4930" s="17" t="s">
        <v>692</v>
      </c>
      <c r="I4930" s="17"/>
      <c r="J4930" s="17" t="s">
        <v>693</v>
      </c>
      <c r="K4930" s="17"/>
      <c r="L4930" s="17"/>
      <c r="M4930" s="17"/>
      <c r="N4930" s="17"/>
      <c r="O4930" s="17"/>
      <c r="P4930" s="17" t="s">
        <v>4161</v>
      </c>
      <c r="Q4930" s="17"/>
      <c r="R4930" s="25" t="str">
        <f>HYPERLINK("https://ictv.global/taxonomy/taxondetails?taxnode_id=202300518","Vhmlvirus VHML")</f>
        <v>Vhmlvirus VHML</v>
      </c>
      <c r="S4930" s="18" t="s">
        <v>30</v>
      </c>
      <c r="T4930" s="18" t="s">
        <v>4164</v>
      </c>
      <c r="U4930" s="18"/>
      <c r="V4930" s="18"/>
      <c r="W4930" s="18" t="s">
        <v>4165</v>
      </c>
      <c r="X4930" s="18" t="s">
        <v>42</v>
      </c>
      <c r="Y4930" s="18" t="s">
        <v>36</v>
      </c>
      <c r="Z4930" s="18" t="s">
        <v>697</v>
      </c>
      <c r="AA4930" s="21" t="str">
        <f>HYPERLINK("https://www.ncbi.nlm.nih.gov/nuccore/AY133112","NCBI Nucleotide")</f>
        <v>NCBI Nucleotide</v>
      </c>
    </row>
    <row r="4931" spans="1:27" x14ac:dyDescent="0.35">
      <c r="A4931">
        <v>1006692</v>
      </c>
      <c r="B4931">
        <v>4907</v>
      </c>
      <c r="C4931">
        <v>1</v>
      </c>
      <c r="D4931" s="17" t="s">
        <v>155</v>
      </c>
      <c r="E4931" s="17"/>
      <c r="F4931" s="17" t="s">
        <v>156</v>
      </c>
      <c r="G4931" s="17"/>
      <c r="H4931" s="17" t="s">
        <v>692</v>
      </c>
      <c r="I4931" s="17"/>
      <c r="J4931" s="17" t="s">
        <v>693</v>
      </c>
      <c r="K4931" s="17"/>
      <c r="L4931" s="17"/>
      <c r="M4931" s="17"/>
      <c r="N4931" s="17"/>
      <c r="O4931" s="17"/>
      <c r="P4931" s="17" t="s">
        <v>4161</v>
      </c>
      <c r="Q4931" s="17"/>
      <c r="R4931" s="25" t="str">
        <f>HYPERLINK("https://ictv.global/taxonomy/taxondetails?taxnode_id=202300519","Vhmlvirus VP585")</f>
        <v>Vhmlvirus VP585</v>
      </c>
      <c r="S4931" s="18" t="s">
        <v>30</v>
      </c>
      <c r="T4931" s="18" t="s">
        <v>4166</v>
      </c>
      <c r="U4931" s="18"/>
      <c r="V4931" s="18"/>
      <c r="W4931" s="18" t="s">
        <v>4167</v>
      </c>
      <c r="X4931" s="18" t="s">
        <v>42</v>
      </c>
      <c r="Y4931" s="18" t="s">
        <v>36</v>
      </c>
      <c r="Z4931" s="18" t="s">
        <v>697</v>
      </c>
      <c r="AA4931" s="21" t="str">
        <f>HYPERLINK("https://www.ncbi.nlm.nih.gov/nuccore/FN297812","NCBI Nucleotide")</f>
        <v>NCBI Nucleotide</v>
      </c>
    </row>
    <row r="4932" spans="1:27" x14ac:dyDescent="0.35">
      <c r="A4932">
        <v>1006693</v>
      </c>
      <c r="B4932">
        <v>4908</v>
      </c>
      <c r="C4932">
        <v>1</v>
      </c>
      <c r="D4932" s="17" t="s">
        <v>155</v>
      </c>
      <c r="E4932" s="17"/>
      <c r="F4932" s="17" t="s">
        <v>156</v>
      </c>
      <c r="G4932" s="17"/>
      <c r="H4932" s="17" t="s">
        <v>692</v>
      </c>
      <c r="I4932" s="17"/>
      <c r="J4932" s="17" t="s">
        <v>693</v>
      </c>
      <c r="K4932" s="17"/>
      <c r="L4932" s="17"/>
      <c r="M4932" s="17"/>
      <c r="N4932" s="17"/>
      <c r="O4932" s="17"/>
      <c r="P4932" s="17" t="s">
        <v>4168</v>
      </c>
      <c r="Q4932" s="17"/>
      <c r="R4932" s="25" t="str">
        <f>HYPERLINK("https://ictv.global/taxonomy/taxondetails?taxnode_id=202306994","Vhulanivirus Shpa")</f>
        <v>Vhulanivirus Shpa</v>
      </c>
      <c r="S4932" s="18" t="s">
        <v>30</v>
      </c>
      <c r="T4932" s="18" t="s">
        <v>4169</v>
      </c>
      <c r="U4932" s="18"/>
      <c r="V4932" s="18"/>
      <c r="W4932" s="18" t="s">
        <v>4170</v>
      </c>
      <c r="X4932" s="18" t="s">
        <v>42</v>
      </c>
      <c r="Y4932" s="18" t="s">
        <v>36</v>
      </c>
      <c r="Z4932" s="18" t="s">
        <v>697</v>
      </c>
      <c r="AA4932" s="21" t="str">
        <f>HYPERLINK("https://www.ncbi.nlm.nih.gov/nuccore/KR072689","NCBI Nucleotide")</f>
        <v>NCBI Nucleotide</v>
      </c>
    </row>
    <row r="4933" spans="1:27" x14ac:dyDescent="0.35">
      <c r="A4933">
        <v>1006694</v>
      </c>
      <c r="B4933">
        <v>4909</v>
      </c>
      <c r="C4933">
        <v>1</v>
      </c>
      <c r="D4933" s="17" t="s">
        <v>155</v>
      </c>
      <c r="E4933" s="17"/>
      <c r="F4933" s="17" t="s">
        <v>156</v>
      </c>
      <c r="G4933" s="17"/>
      <c r="H4933" s="17" t="s">
        <v>692</v>
      </c>
      <c r="I4933" s="17"/>
      <c r="J4933" s="17" t="s">
        <v>693</v>
      </c>
      <c r="K4933" s="17"/>
      <c r="L4933" s="17"/>
      <c r="M4933" s="17"/>
      <c r="N4933" s="17"/>
      <c r="O4933" s="17"/>
      <c r="P4933" s="17" t="s">
        <v>4171</v>
      </c>
      <c r="Q4933" s="17"/>
      <c r="R4933" s="25" t="str">
        <f>HYPERLINK("https://ictv.global/taxonomy/taxondetails?taxnode_id=202312088","Vibakivirus vibaki")</f>
        <v>Vibakivirus vibaki</v>
      </c>
      <c r="S4933" s="18" t="s">
        <v>30</v>
      </c>
      <c r="T4933" s="18" t="s">
        <v>4172</v>
      </c>
      <c r="U4933" s="18"/>
      <c r="V4933" s="18"/>
      <c r="W4933" s="18" t="s">
        <v>4173</v>
      </c>
      <c r="X4933" s="18" t="s">
        <v>42</v>
      </c>
      <c r="Y4933" s="18" t="s">
        <v>36</v>
      </c>
      <c r="Z4933" s="18" t="s">
        <v>697</v>
      </c>
      <c r="AA4933" s="21" t="str">
        <f>HYPERLINK("https://www.ncbi.nlm.nih.gov/nuccore/MN096362","NCBI Nucleotide")</f>
        <v>NCBI Nucleotide</v>
      </c>
    </row>
    <row r="4934" spans="1:27" x14ac:dyDescent="0.35">
      <c r="A4934">
        <v>1006695</v>
      </c>
      <c r="B4934">
        <v>4910</v>
      </c>
      <c r="C4934">
        <v>1</v>
      </c>
      <c r="D4934" s="17" t="s">
        <v>155</v>
      </c>
      <c r="E4934" s="17"/>
      <c r="F4934" s="17" t="s">
        <v>156</v>
      </c>
      <c r="G4934" s="17"/>
      <c r="H4934" s="17" t="s">
        <v>692</v>
      </c>
      <c r="I4934" s="17"/>
      <c r="J4934" s="17" t="s">
        <v>693</v>
      </c>
      <c r="K4934" s="17"/>
      <c r="L4934" s="17"/>
      <c r="M4934" s="17"/>
      <c r="N4934" s="17"/>
      <c r="O4934" s="17"/>
      <c r="P4934" s="17" t="s">
        <v>4174</v>
      </c>
      <c r="Q4934" s="17"/>
      <c r="R4934" s="25" t="str">
        <f>HYPERLINK("https://ictv.global/taxonomy/taxondetails?taxnode_id=202306898","Vicosavirus NV1")</f>
        <v>Vicosavirus NV1</v>
      </c>
      <c r="S4934" s="18" t="s">
        <v>30</v>
      </c>
      <c r="T4934" s="18" t="s">
        <v>4175</v>
      </c>
      <c r="U4934" s="18"/>
      <c r="V4934" s="18"/>
      <c r="W4934" s="18" t="s">
        <v>4176</v>
      </c>
      <c r="X4934" s="18" t="s">
        <v>42</v>
      </c>
      <c r="Y4934" s="18" t="s">
        <v>36</v>
      </c>
      <c r="Z4934" s="18" t="s">
        <v>697</v>
      </c>
      <c r="AA4934" s="21" t="str">
        <f>HYPERLINK("https://www.ncbi.nlm.nih.gov/nuccore/MG845684","NCBI Nucleotide")</f>
        <v>NCBI Nucleotide</v>
      </c>
    </row>
    <row r="4935" spans="1:27" x14ac:dyDescent="0.35">
      <c r="A4935">
        <v>1006696</v>
      </c>
      <c r="B4935">
        <v>4911</v>
      </c>
      <c r="C4935">
        <v>1</v>
      </c>
      <c r="D4935" s="17" t="s">
        <v>155</v>
      </c>
      <c r="E4935" s="17"/>
      <c r="F4935" s="17" t="s">
        <v>156</v>
      </c>
      <c r="G4935" s="17"/>
      <c r="H4935" s="17" t="s">
        <v>692</v>
      </c>
      <c r="I4935" s="17"/>
      <c r="J4935" s="17" t="s">
        <v>693</v>
      </c>
      <c r="K4935" s="17"/>
      <c r="L4935" s="17"/>
      <c r="M4935" s="17"/>
      <c r="N4935" s="17"/>
      <c r="O4935" s="17"/>
      <c r="P4935" s="17" t="s">
        <v>4174</v>
      </c>
      <c r="Q4935" s="17"/>
      <c r="R4935" s="25" t="str">
        <f>HYPERLINK("https://ictv.global/taxonomy/taxondetails?taxnode_id=202306897","Vicosavirus UFVP2")</f>
        <v>Vicosavirus UFVP2</v>
      </c>
      <c r="S4935" s="18" t="s">
        <v>30</v>
      </c>
      <c r="T4935" s="18" t="s">
        <v>4177</v>
      </c>
      <c r="U4935" s="18"/>
      <c r="V4935" s="18"/>
      <c r="W4935" s="18" t="s">
        <v>4178</v>
      </c>
      <c r="X4935" s="18" t="s">
        <v>42</v>
      </c>
      <c r="Y4935" s="18" t="s">
        <v>36</v>
      </c>
      <c r="Z4935" s="18" t="s">
        <v>697</v>
      </c>
      <c r="AA4935" s="21" t="str">
        <f>HYPERLINK("https://www.ncbi.nlm.nih.gov/nuccore/JX863101","NCBI Nucleotide")</f>
        <v>NCBI Nucleotide</v>
      </c>
    </row>
    <row r="4936" spans="1:27" x14ac:dyDescent="0.35">
      <c r="A4936">
        <v>1006697</v>
      </c>
      <c r="B4936">
        <v>4912</v>
      </c>
      <c r="C4936">
        <v>1</v>
      </c>
      <c r="D4936" s="17" t="s">
        <v>155</v>
      </c>
      <c r="E4936" s="17"/>
      <c r="F4936" s="17" t="s">
        <v>156</v>
      </c>
      <c r="G4936" s="17"/>
      <c r="H4936" s="17" t="s">
        <v>692</v>
      </c>
      <c r="I4936" s="17"/>
      <c r="J4936" s="17" t="s">
        <v>693</v>
      </c>
      <c r="K4936" s="17"/>
      <c r="L4936" s="17"/>
      <c r="M4936" s="17"/>
      <c r="N4936" s="17"/>
      <c r="O4936" s="17"/>
      <c r="P4936" s="17" t="s">
        <v>4179</v>
      </c>
      <c r="Q4936" s="17"/>
      <c r="R4936" s="25" t="str">
        <f>HYPERLINK("https://ictv.global/taxonomy/taxondetails?taxnode_id=202306756","Vidquintavirus Vid5")</f>
        <v>Vidquintavirus Vid5</v>
      </c>
      <c r="S4936" s="18" t="s">
        <v>30</v>
      </c>
      <c r="T4936" s="18" t="s">
        <v>4180</v>
      </c>
      <c r="U4936" s="18"/>
      <c r="V4936" s="18"/>
      <c r="W4936" s="18" t="s">
        <v>4181</v>
      </c>
      <c r="X4936" s="18" t="s">
        <v>42</v>
      </c>
      <c r="Y4936" s="18" t="s">
        <v>36</v>
      </c>
      <c r="Z4936" s="18" t="s">
        <v>697</v>
      </c>
      <c r="AA4936" s="21" t="str">
        <f>HYPERLINK("https://www.ncbi.nlm.nih.gov/nuccore/MG948468","NCBI Nucleotide")</f>
        <v>NCBI Nucleotide</v>
      </c>
    </row>
    <row r="4937" spans="1:27" x14ac:dyDescent="0.35">
      <c r="A4937">
        <v>1006698</v>
      </c>
      <c r="B4937">
        <v>4913</v>
      </c>
      <c r="C4937">
        <v>1</v>
      </c>
      <c r="D4937" s="17" t="s">
        <v>155</v>
      </c>
      <c r="E4937" s="17"/>
      <c r="F4937" s="17" t="s">
        <v>156</v>
      </c>
      <c r="G4937" s="17"/>
      <c r="H4937" s="17" t="s">
        <v>692</v>
      </c>
      <c r="I4937" s="17"/>
      <c r="J4937" s="17" t="s">
        <v>693</v>
      </c>
      <c r="K4937" s="17"/>
      <c r="L4937" s="17"/>
      <c r="M4937" s="17"/>
      <c r="N4937" s="17"/>
      <c r="O4937" s="17"/>
      <c r="P4937" s="17" t="s">
        <v>4182</v>
      </c>
      <c r="Q4937" s="17"/>
      <c r="R4937" s="25" t="str">
        <f>HYPERLINK("https://ictv.global/taxonomy/taxondetails?taxnode_id=202306929","Vieuvirus B1251")</f>
        <v>Vieuvirus B1251</v>
      </c>
      <c r="S4937" s="18" t="s">
        <v>30</v>
      </c>
      <c r="T4937" s="18" t="s">
        <v>4183</v>
      </c>
      <c r="U4937" s="18"/>
      <c r="V4937" s="18"/>
      <c r="W4937" s="18" t="s">
        <v>4184</v>
      </c>
      <c r="X4937" s="18" t="s">
        <v>42</v>
      </c>
      <c r="Y4937" s="18" t="s">
        <v>36</v>
      </c>
      <c r="Z4937" s="18" t="s">
        <v>697</v>
      </c>
      <c r="AA4937" s="21" t="str">
        <f>HYPERLINK("https://www.ncbi.nlm.nih.gov/nuccore/JX403940","NCBI Nucleotide")</f>
        <v>NCBI Nucleotide</v>
      </c>
    </row>
    <row r="4938" spans="1:27" x14ac:dyDescent="0.35">
      <c r="A4938">
        <v>1006699</v>
      </c>
      <c r="B4938">
        <v>4914</v>
      </c>
      <c r="C4938">
        <v>1</v>
      </c>
      <c r="D4938" s="17" t="s">
        <v>155</v>
      </c>
      <c r="E4938" s="17"/>
      <c r="F4938" s="17" t="s">
        <v>156</v>
      </c>
      <c r="G4938" s="17"/>
      <c r="H4938" s="17" t="s">
        <v>692</v>
      </c>
      <c r="I4938" s="17"/>
      <c r="J4938" s="17" t="s">
        <v>693</v>
      </c>
      <c r="K4938" s="17"/>
      <c r="L4938" s="17"/>
      <c r="M4938" s="17"/>
      <c r="N4938" s="17"/>
      <c r="O4938" s="17"/>
      <c r="P4938" s="17" t="s">
        <v>4182</v>
      </c>
      <c r="Q4938" s="17"/>
      <c r="R4938" s="25" t="str">
        <f>HYPERLINK("https://ictv.global/taxonomy/taxondetails?taxnode_id=202306930","Vieuvirus R3177")</f>
        <v>Vieuvirus R3177</v>
      </c>
      <c r="S4938" s="18" t="s">
        <v>30</v>
      </c>
      <c r="T4938" s="18" t="s">
        <v>4185</v>
      </c>
      <c r="U4938" s="18"/>
      <c r="V4938" s="18"/>
      <c r="W4938" s="18" t="s">
        <v>4186</v>
      </c>
      <c r="X4938" s="18" t="s">
        <v>42</v>
      </c>
      <c r="Y4938" s="18" t="s">
        <v>36</v>
      </c>
      <c r="Z4938" s="18" t="s">
        <v>697</v>
      </c>
      <c r="AA4938" s="21" t="str">
        <f>HYPERLINK("https://www.ncbi.nlm.nih.gov/nuccore/KP861230","NCBI Nucleotide")</f>
        <v>NCBI Nucleotide</v>
      </c>
    </row>
    <row r="4939" spans="1:27" x14ac:dyDescent="0.35">
      <c r="A4939">
        <v>1006700</v>
      </c>
      <c r="B4939">
        <v>4915</v>
      </c>
      <c r="C4939">
        <v>1</v>
      </c>
      <c r="D4939" s="17" t="s">
        <v>155</v>
      </c>
      <c r="E4939" s="17"/>
      <c r="F4939" s="17" t="s">
        <v>156</v>
      </c>
      <c r="G4939" s="17"/>
      <c r="H4939" s="17" t="s">
        <v>692</v>
      </c>
      <c r="I4939" s="17"/>
      <c r="J4939" s="17" t="s">
        <v>693</v>
      </c>
      <c r="K4939" s="17"/>
      <c r="L4939" s="17"/>
      <c r="M4939" s="17"/>
      <c r="N4939" s="17"/>
      <c r="O4939" s="17"/>
      <c r="P4939" s="17" t="s">
        <v>4187</v>
      </c>
      <c r="Q4939" s="17"/>
      <c r="R4939" s="25" t="str">
        <f>HYPERLINK("https://ictv.global/taxonomy/taxondetails?taxnode_id=202306793","Gordonia virus Lennon")</f>
        <v>Gordonia virus Lennon</v>
      </c>
      <c r="S4939" s="18" t="s">
        <v>30</v>
      </c>
      <c r="T4939" s="18" t="s">
        <v>4188</v>
      </c>
      <c r="U4939" s="18"/>
      <c r="V4939" s="18"/>
      <c r="W4939" s="18" t="s">
        <v>4189</v>
      </c>
      <c r="X4939" s="18" t="s">
        <v>42</v>
      </c>
      <c r="Y4939" s="18" t="s">
        <v>36</v>
      </c>
      <c r="Z4939" s="18" t="s">
        <v>697</v>
      </c>
      <c r="AA4939" s="21" t="str">
        <f>HYPERLINK("https://www.ncbi.nlm.nih.gov/nuccore/MF919514","NCBI Nucleotide")</f>
        <v>NCBI Nucleotide</v>
      </c>
    </row>
    <row r="4940" spans="1:27" x14ac:dyDescent="0.35">
      <c r="A4940">
        <v>1006701</v>
      </c>
      <c r="B4940">
        <v>4916</v>
      </c>
      <c r="C4940">
        <v>1</v>
      </c>
      <c r="D4940" s="17" t="s">
        <v>155</v>
      </c>
      <c r="E4940" s="17"/>
      <c r="F4940" s="17" t="s">
        <v>156</v>
      </c>
      <c r="G4940" s="17"/>
      <c r="H4940" s="17" t="s">
        <v>692</v>
      </c>
      <c r="I4940" s="17"/>
      <c r="J4940" s="17" t="s">
        <v>693</v>
      </c>
      <c r="K4940" s="17"/>
      <c r="L4940" s="17"/>
      <c r="M4940" s="17"/>
      <c r="N4940" s="17"/>
      <c r="O4940" s="17"/>
      <c r="P4940" s="17" t="s">
        <v>4187</v>
      </c>
      <c r="Q4940" s="17"/>
      <c r="R4940" s="25" t="str">
        <f>HYPERLINK("https://ictv.global/taxonomy/taxondetails?taxnode_id=202312690","Vividuovirus ailee")</f>
        <v>Vividuovirus ailee</v>
      </c>
      <c r="S4940" s="18" t="s">
        <v>30</v>
      </c>
      <c r="T4940" s="18" t="s">
        <v>4190</v>
      </c>
      <c r="U4940" s="18"/>
      <c r="V4940" s="18"/>
      <c r="W4940" s="18" t="s">
        <v>4191</v>
      </c>
      <c r="X4940" s="18" t="s">
        <v>42</v>
      </c>
      <c r="Y4940" s="18" t="s">
        <v>36</v>
      </c>
      <c r="Z4940" s="18" t="s">
        <v>697</v>
      </c>
      <c r="AA4940" s="21" t="str">
        <f>HYPERLINK("https://www.ncbi.nlm.nih.gov/nuccore/MH976507","NCBI Nucleotide")</f>
        <v>NCBI Nucleotide</v>
      </c>
    </row>
    <row r="4941" spans="1:27" x14ac:dyDescent="0.35">
      <c r="A4941">
        <v>1006702</v>
      </c>
      <c r="B4941">
        <v>4917</v>
      </c>
      <c r="C4941">
        <v>1</v>
      </c>
      <c r="D4941" s="17" t="s">
        <v>155</v>
      </c>
      <c r="E4941" s="17"/>
      <c r="F4941" s="17" t="s">
        <v>156</v>
      </c>
      <c r="G4941" s="17"/>
      <c r="H4941" s="17" t="s">
        <v>692</v>
      </c>
      <c r="I4941" s="17"/>
      <c r="J4941" s="17" t="s">
        <v>693</v>
      </c>
      <c r="K4941" s="17"/>
      <c r="L4941" s="17"/>
      <c r="M4941" s="17"/>
      <c r="N4941" s="17"/>
      <c r="O4941" s="17"/>
      <c r="P4941" s="17" t="s">
        <v>4187</v>
      </c>
      <c r="Q4941" s="17"/>
      <c r="R4941" s="25" t="str">
        <f>HYPERLINK("https://ictv.global/taxonomy/taxondetails?taxnode_id=202312694","Vividuovirus angelicage")</f>
        <v>Vividuovirus angelicage</v>
      </c>
      <c r="S4941" s="18" t="s">
        <v>30</v>
      </c>
      <c r="T4941" s="18" t="s">
        <v>4192</v>
      </c>
      <c r="U4941" s="18"/>
      <c r="V4941" s="18"/>
      <c r="W4941" s="18" t="s">
        <v>4193</v>
      </c>
      <c r="X4941" s="18" t="s">
        <v>42</v>
      </c>
      <c r="Y4941" s="18" t="s">
        <v>36</v>
      </c>
      <c r="Z4941" s="18" t="s">
        <v>697</v>
      </c>
      <c r="AA4941" s="21" t="str">
        <f>HYPERLINK("https://www.ncbi.nlm.nih.gov/nuccore/MH651166","NCBI Nucleotide")</f>
        <v>NCBI Nucleotide</v>
      </c>
    </row>
    <row r="4942" spans="1:27" x14ac:dyDescent="0.35">
      <c r="A4942">
        <v>1006703</v>
      </c>
      <c r="B4942">
        <v>4918</v>
      </c>
      <c r="C4942">
        <v>1</v>
      </c>
      <c r="D4942" s="17" t="s">
        <v>155</v>
      </c>
      <c r="E4942" s="17"/>
      <c r="F4942" s="17" t="s">
        <v>156</v>
      </c>
      <c r="G4942" s="17"/>
      <c r="H4942" s="17" t="s">
        <v>692</v>
      </c>
      <c r="I4942" s="17"/>
      <c r="J4942" s="17" t="s">
        <v>693</v>
      </c>
      <c r="K4942" s="17"/>
      <c r="L4942" s="17"/>
      <c r="M4942" s="17"/>
      <c r="N4942" s="17"/>
      <c r="O4942" s="17"/>
      <c r="P4942" s="17" t="s">
        <v>4187</v>
      </c>
      <c r="Q4942" s="17"/>
      <c r="R4942" s="25" t="str">
        <f>HYPERLINK("https://ictv.global/taxonomy/taxondetails?taxnode_id=202312685","Vividuovirus barsten")</f>
        <v>Vividuovirus barsten</v>
      </c>
      <c r="S4942" s="18" t="s">
        <v>30</v>
      </c>
      <c r="T4942" s="18" t="s">
        <v>4194</v>
      </c>
      <c r="U4942" s="18"/>
      <c r="V4942" s="18"/>
      <c r="W4942" s="18" t="s">
        <v>4195</v>
      </c>
      <c r="X4942" s="18" t="s">
        <v>42</v>
      </c>
      <c r="Y4942" s="18" t="s">
        <v>36</v>
      </c>
      <c r="Z4942" s="18" t="s">
        <v>697</v>
      </c>
      <c r="AA4942" s="21" t="str">
        <f>HYPERLINK("https://www.ncbi.nlm.nih.gov/nuccore/MT498035","NCBI Nucleotide")</f>
        <v>NCBI Nucleotide</v>
      </c>
    </row>
    <row r="4943" spans="1:27" x14ac:dyDescent="0.35">
      <c r="A4943">
        <v>1006704</v>
      </c>
      <c r="B4943">
        <v>4919</v>
      </c>
      <c r="C4943">
        <v>1</v>
      </c>
      <c r="D4943" s="17" t="s">
        <v>155</v>
      </c>
      <c r="E4943" s="17"/>
      <c r="F4943" s="17" t="s">
        <v>156</v>
      </c>
      <c r="G4943" s="17"/>
      <c r="H4943" s="17" t="s">
        <v>692</v>
      </c>
      <c r="I4943" s="17"/>
      <c r="J4943" s="17" t="s">
        <v>693</v>
      </c>
      <c r="K4943" s="17"/>
      <c r="L4943" s="17"/>
      <c r="M4943" s="17"/>
      <c r="N4943" s="17"/>
      <c r="O4943" s="17"/>
      <c r="P4943" s="17" t="s">
        <v>4187</v>
      </c>
      <c r="Q4943" s="17"/>
      <c r="R4943" s="25" t="str">
        <f>HYPERLINK("https://ictv.global/taxonomy/taxondetails?taxnode_id=202312688","Vividuovirus bibwit")</f>
        <v>Vividuovirus bibwit</v>
      </c>
      <c r="S4943" s="18" t="s">
        <v>30</v>
      </c>
      <c r="T4943" s="18" t="s">
        <v>4196</v>
      </c>
      <c r="U4943" s="18"/>
      <c r="V4943" s="18"/>
      <c r="W4943" s="18" t="s">
        <v>4197</v>
      </c>
      <c r="X4943" s="18" t="s">
        <v>42</v>
      </c>
      <c r="Y4943" s="18" t="s">
        <v>36</v>
      </c>
      <c r="Z4943" s="18" t="s">
        <v>697</v>
      </c>
      <c r="AA4943" s="21" t="str">
        <f>HYPERLINK("https://www.ncbi.nlm.nih.gov/nuccore/MH976508","NCBI Nucleotide")</f>
        <v>NCBI Nucleotide</v>
      </c>
    </row>
    <row r="4944" spans="1:27" x14ac:dyDescent="0.35">
      <c r="A4944">
        <v>1006705</v>
      </c>
      <c r="B4944">
        <v>4920</v>
      </c>
      <c r="C4944">
        <v>1</v>
      </c>
      <c r="D4944" s="17" t="s">
        <v>155</v>
      </c>
      <c r="E4944" s="17"/>
      <c r="F4944" s="17" t="s">
        <v>156</v>
      </c>
      <c r="G4944" s="17"/>
      <c r="H4944" s="17" t="s">
        <v>692</v>
      </c>
      <c r="I4944" s="17"/>
      <c r="J4944" s="17" t="s">
        <v>693</v>
      </c>
      <c r="K4944" s="17"/>
      <c r="L4944" s="17"/>
      <c r="M4944" s="17"/>
      <c r="N4944" s="17"/>
      <c r="O4944" s="17"/>
      <c r="P4944" s="17" t="s">
        <v>4187</v>
      </c>
      <c r="Q4944" s="17"/>
      <c r="R4944" s="25" t="str">
        <f>HYPERLINK("https://ictv.global/taxonomy/taxondetails?taxnode_id=202306792","Vividuovirus brandonk123")</f>
        <v>Vividuovirus brandonk123</v>
      </c>
      <c r="S4944" s="18" t="s">
        <v>30</v>
      </c>
      <c r="T4944" s="18" t="s">
        <v>4198</v>
      </c>
      <c r="U4944" s="18"/>
      <c r="V4944" s="18"/>
      <c r="W4944" s="18" t="s">
        <v>4199</v>
      </c>
      <c r="X4944" s="18" t="s">
        <v>42</v>
      </c>
      <c r="Y4944" s="18" t="s">
        <v>36</v>
      </c>
      <c r="Z4944" s="18" t="s">
        <v>697</v>
      </c>
      <c r="AA4944" s="21" t="str">
        <f>HYPERLINK("https://www.ncbi.nlm.nih.gov/nuccore/MG812487","NCBI Nucleotide")</f>
        <v>NCBI Nucleotide</v>
      </c>
    </row>
    <row r="4945" spans="1:27" x14ac:dyDescent="0.35">
      <c r="A4945">
        <v>1006706</v>
      </c>
      <c r="B4945">
        <v>4921</v>
      </c>
      <c r="C4945">
        <v>1</v>
      </c>
      <c r="D4945" s="17" t="s">
        <v>155</v>
      </c>
      <c r="E4945" s="17"/>
      <c r="F4945" s="17" t="s">
        <v>156</v>
      </c>
      <c r="G4945" s="17"/>
      <c r="H4945" s="17" t="s">
        <v>692</v>
      </c>
      <c r="I4945" s="17"/>
      <c r="J4945" s="17" t="s">
        <v>693</v>
      </c>
      <c r="K4945" s="17"/>
      <c r="L4945" s="17"/>
      <c r="M4945" s="17"/>
      <c r="N4945" s="17"/>
      <c r="O4945" s="17"/>
      <c r="P4945" s="17" t="s">
        <v>4187</v>
      </c>
      <c r="Q4945" s="17"/>
      <c r="R4945" s="25" t="str">
        <f>HYPERLINK("https://ictv.global/taxonomy/taxondetails?taxnode_id=202312691","Vividuovirus fosterous")</f>
        <v>Vividuovirus fosterous</v>
      </c>
      <c r="S4945" s="18" t="s">
        <v>30</v>
      </c>
      <c r="T4945" s="18" t="s">
        <v>4200</v>
      </c>
      <c r="U4945" s="18"/>
      <c r="V4945" s="18"/>
      <c r="W4945" s="18" t="s">
        <v>4201</v>
      </c>
      <c r="X4945" s="18" t="s">
        <v>42</v>
      </c>
      <c r="Y4945" s="18" t="s">
        <v>36</v>
      </c>
      <c r="Z4945" s="18" t="s">
        <v>697</v>
      </c>
      <c r="AA4945" s="21" t="str">
        <f>HYPERLINK("https://www.ncbi.nlm.nih.gov/nuccore/MH976510","NCBI Nucleotide")</f>
        <v>NCBI Nucleotide</v>
      </c>
    </row>
    <row r="4946" spans="1:27" x14ac:dyDescent="0.35">
      <c r="A4946">
        <v>1006707</v>
      </c>
      <c r="B4946">
        <v>4922</v>
      </c>
      <c r="C4946">
        <v>1</v>
      </c>
      <c r="D4946" s="17" t="s">
        <v>155</v>
      </c>
      <c r="E4946" s="17"/>
      <c r="F4946" s="17" t="s">
        <v>156</v>
      </c>
      <c r="G4946" s="17"/>
      <c r="H4946" s="17" t="s">
        <v>692</v>
      </c>
      <c r="I4946" s="17"/>
      <c r="J4946" s="17" t="s">
        <v>693</v>
      </c>
      <c r="K4946" s="17"/>
      <c r="L4946" s="17"/>
      <c r="M4946" s="17"/>
      <c r="N4946" s="17"/>
      <c r="O4946" s="17"/>
      <c r="P4946" s="17" t="s">
        <v>4187</v>
      </c>
      <c r="Q4946" s="17"/>
      <c r="R4946" s="25" t="str">
        <f>HYPERLINK("https://ictv.global/taxonomy/taxondetails?taxnode_id=202312696","Vividuovirus galadriel")</f>
        <v>Vividuovirus galadriel</v>
      </c>
      <c r="S4946" s="18" t="s">
        <v>30</v>
      </c>
      <c r="T4946" s="18" t="s">
        <v>4202</v>
      </c>
      <c r="U4946" s="18"/>
      <c r="V4946" s="18"/>
      <c r="W4946" s="18" t="s">
        <v>4203</v>
      </c>
      <c r="X4946" s="18" t="s">
        <v>42</v>
      </c>
      <c r="Y4946" s="18" t="s">
        <v>36</v>
      </c>
      <c r="Z4946" s="18" t="s">
        <v>697</v>
      </c>
      <c r="AA4946" s="21" t="str">
        <f>HYPERLINK("https://www.ncbi.nlm.nih.gov/nuccore/MK937594","NCBI Nucleotide")</f>
        <v>NCBI Nucleotide</v>
      </c>
    </row>
    <row r="4947" spans="1:27" x14ac:dyDescent="0.35">
      <c r="A4947">
        <v>1006708</v>
      </c>
      <c r="B4947">
        <v>4923</v>
      </c>
      <c r="C4947">
        <v>1</v>
      </c>
      <c r="D4947" s="17" t="s">
        <v>155</v>
      </c>
      <c r="E4947" s="17"/>
      <c r="F4947" s="17" t="s">
        <v>156</v>
      </c>
      <c r="G4947" s="17"/>
      <c r="H4947" s="17" t="s">
        <v>692</v>
      </c>
      <c r="I4947" s="17"/>
      <c r="J4947" s="17" t="s">
        <v>693</v>
      </c>
      <c r="K4947" s="17"/>
      <c r="L4947" s="17"/>
      <c r="M4947" s="17"/>
      <c r="N4947" s="17"/>
      <c r="O4947" s="17"/>
      <c r="P4947" s="17" t="s">
        <v>4187</v>
      </c>
      <c r="Q4947" s="17"/>
      <c r="R4947" s="25" t="str">
        <f>HYPERLINK("https://ictv.global/taxonomy/taxondetails?taxnode_id=202312686","Vividuovirus geodirt")</f>
        <v>Vividuovirus geodirt</v>
      </c>
      <c r="S4947" s="18" t="s">
        <v>30</v>
      </c>
      <c r="T4947" s="18" t="s">
        <v>4204</v>
      </c>
      <c r="U4947" s="18"/>
      <c r="V4947" s="18"/>
      <c r="W4947" s="18" t="s">
        <v>4205</v>
      </c>
      <c r="X4947" s="18" t="s">
        <v>42</v>
      </c>
      <c r="Y4947" s="18" t="s">
        <v>36</v>
      </c>
      <c r="Z4947" s="18" t="s">
        <v>697</v>
      </c>
      <c r="AA4947" s="21" t="str">
        <f>HYPERLINK("https://www.ncbi.nlm.nih.gov/nuccore/MH976512","NCBI Nucleotide")</f>
        <v>NCBI Nucleotide</v>
      </c>
    </row>
    <row r="4948" spans="1:27" x14ac:dyDescent="0.35">
      <c r="A4948">
        <v>1006709</v>
      </c>
      <c r="B4948">
        <v>4924</v>
      </c>
      <c r="C4948">
        <v>1</v>
      </c>
      <c r="D4948" s="17" t="s">
        <v>155</v>
      </c>
      <c r="E4948" s="17"/>
      <c r="F4948" s="17" t="s">
        <v>156</v>
      </c>
      <c r="G4948" s="17"/>
      <c r="H4948" s="17" t="s">
        <v>692</v>
      </c>
      <c r="I4948" s="17"/>
      <c r="J4948" s="17" t="s">
        <v>693</v>
      </c>
      <c r="K4948" s="17"/>
      <c r="L4948" s="17"/>
      <c r="M4948" s="17"/>
      <c r="N4948" s="17"/>
      <c r="O4948" s="17"/>
      <c r="P4948" s="17" t="s">
        <v>4187</v>
      </c>
      <c r="Q4948" s="17"/>
      <c r="R4948" s="25" t="str">
        <f>HYPERLINK("https://ictv.global/taxonomy/taxondetails?taxnode_id=202312684","Vividuovirus jabberwocky")</f>
        <v>Vividuovirus jabberwocky</v>
      </c>
      <c r="S4948" s="18" t="s">
        <v>30</v>
      </c>
      <c r="T4948" s="18" t="s">
        <v>4206</v>
      </c>
      <c r="U4948" s="18"/>
      <c r="V4948" s="18"/>
      <c r="W4948" s="18" t="s">
        <v>4207</v>
      </c>
      <c r="X4948" s="18" t="s">
        <v>42</v>
      </c>
      <c r="Y4948" s="18" t="s">
        <v>36</v>
      </c>
      <c r="Z4948" s="18" t="s">
        <v>697</v>
      </c>
      <c r="AA4948" s="21" t="str">
        <f>HYPERLINK("https://www.ncbi.nlm.nih.gov/nuccore/MN329673","NCBI Nucleotide")</f>
        <v>NCBI Nucleotide</v>
      </c>
    </row>
    <row r="4949" spans="1:27" x14ac:dyDescent="0.35">
      <c r="A4949">
        <v>1006710</v>
      </c>
      <c r="B4949">
        <v>4925</v>
      </c>
      <c r="C4949">
        <v>1</v>
      </c>
      <c r="D4949" s="17" t="s">
        <v>155</v>
      </c>
      <c r="E4949" s="17"/>
      <c r="F4949" s="17" t="s">
        <v>156</v>
      </c>
      <c r="G4949" s="17"/>
      <c r="H4949" s="17" t="s">
        <v>692</v>
      </c>
      <c r="I4949" s="17"/>
      <c r="J4949" s="17" t="s">
        <v>693</v>
      </c>
      <c r="K4949" s="17"/>
      <c r="L4949" s="17"/>
      <c r="M4949" s="17"/>
      <c r="N4949" s="17"/>
      <c r="O4949" s="17"/>
      <c r="P4949" s="17" t="s">
        <v>4187</v>
      </c>
      <c r="Q4949" s="17"/>
      <c r="R4949" s="25" t="str">
        <f>HYPERLINK("https://ictv.global/taxonomy/taxondetails?taxnode_id=202312689","Vividuovirus keitabear")</f>
        <v>Vividuovirus keitabear</v>
      </c>
      <c r="S4949" s="18" t="s">
        <v>30</v>
      </c>
      <c r="T4949" s="18" t="s">
        <v>4208</v>
      </c>
      <c r="U4949" s="18"/>
      <c r="V4949" s="18"/>
      <c r="W4949" s="18" t="s">
        <v>4209</v>
      </c>
      <c r="X4949" s="18" t="s">
        <v>42</v>
      </c>
      <c r="Y4949" s="18" t="s">
        <v>36</v>
      </c>
      <c r="Z4949" s="18" t="s">
        <v>697</v>
      </c>
      <c r="AA4949" s="21" t="str">
        <f>HYPERLINK("https://www.ncbi.nlm.nih.gov/nuccore/MN329677","NCBI Nucleotide")</f>
        <v>NCBI Nucleotide</v>
      </c>
    </row>
    <row r="4950" spans="1:27" x14ac:dyDescent="0.35">
      <c r="A4950">
        <v>1006711</v>
      </c>
      <c r="B4950">
        <v>4926</v>
      </c>
      <c r="C4950">
        <v>1</v>
      </c>
      <c r="D4950" s="17" t="s">
        <v>155</v>
      </c>
      <c r="E4950" s="17"/>
      <c r="F4950" s="17" t="s">
        <v>156</v>
      </c>
      <c r="G4950" s="17"/>
      <c r="H4950" s="17" t="s">
        <v>692</v>
      </c>
      <c r="I4950" s="17"/>
      <c r="J4950" s="17" t="s">
        <v>693</v>
      </c>
      <c r="K4950" s="17"/>
      <c r="L4950" s="17"/>
      <c r="M4950" s="17"/>
      <c r="N4950" s="17"/>
      <c r="O4950" s="17"/>
      <c r="P4950" s="17" t="s">
        <v>4187</v>
      </c>
      <c r="Q4950" s="17"/>
      <c r="R4950" s="25" t="str">
        <f>HYPERLINK("https://ictv.global/taxonomy/taxondetails?taxnode_id=202312699","Vividuovirus love")</f>
        <v>Vividuovirus love</v>
      </c>
      <c r="S4950" s="18" t="s">
        <v>30</v>
      </c>
      <c r="T4950" s="18" t="s">
        <v>4210</v>
      </c>
      <c r="U4950" s="18"/>
      <c r="V4950" s="18"/>
      <c r="W4950" s="18" t="s">
        <v>4211</v>
      </c>
      <c r="X4950" s="18" t="s">
        <v>42</v>
      </c>
      <c r="Y4950" s="18" t="s">
        <v>36</v>
      </c>
      <c r="Z4950" s="18" t="s">
        <v>697</v>
      </c>
      <c r="AA4950" s="21" t="str">
        <f>HYPERLINK("https://www.ncbi.nlm.nih.gov/nuccore/MT723934","NCBI Nucleotide")</f>
        <v>NCBI Nucleotide</v>
      </c>
    </row>
    <row r="4951" spans="1:27" x14ac:dyDescent="0.35">
      <c r="A4951">
        <v>1006712</v>
      </c>
      <c r="B4951">
        <v>4927</v>
      </c>
      <c r="C4951">
        <v>1</v>
      </c>
      <c r="D4951" s="17" t="s">
        <v>155</v>
      </c>
      <c r="E4951" s="17"/>
      <c r="F4951" s="17" t="s">
        <v>156</v>
      </c>
      <c r="G4951" s="17"/>
      <c r="H4951" s="17" t="s">
        <v>692</v>
      </c>
      <c r="I4951" s="17"/>
      <c r="J4951" s="17" t="s">
        <v>693</v>
      </c>
      <c r="K4951" s="17"/>
      <c r="L4951" s="17"/>
      <c r="M4951" s="17"/>
      <c r="N4951" s="17"/>
      <c r="O4951" s="17"/>
      <c r="P4951" s="17" t="s">
        <v>4187</v>
      </c>
      <c r="Q4951" s="17"/>
      <c r="R4951" s="25" t="str">
        <f>HYPERLINK("https://ictv.global/taxonomy/taxondetails?taxnode_id=202312697","Vividuovirus mckinley")</f>
        <v>Vividuovirus mckinley</v>
      </c>
      <c r="S4951" s="18" t="s">
        <v>30</v>
      </c>
      <c r="T4951" s="18" t="s">
        <v>4212</v>
      </c>
      <c r="U4951" s="18"/>
      <c r="V4951" s="18"/>
      <c r="W4951" s="18" t="s">
        <v>4213</v>
      </c>
      <c r="X4951" s="18" t="s">
        <v>42</v>
      </c>
      <c r="Y4951" s="18" t="s">
        <v>36</v>
      </c>
      <c r="Z4951" s="18" t="s">
        <v>697</v>
      </c>
      <c r="AA4951" s="21" t="str">
        <f>HYPERLINK("https://www.ncbi.nlm.nih.gov/nuccore/MK977702","NCBI Nucleotide")</f>
        <v>NCBI Nucleotide</v>
      </c>
    </row>
    <row r="4952" spans="1:27" x14ac:dyDescent="0.35">
      <c r="A4952">
        <v>1006713</v>
      </c>
      <c r="B4952">
        <v>4928</v>
      </c>
      <c r="C4952">
        <v>1</v>
      </c>
      <c r="D4952" s="17" t="s">
        <v>155</v>
      </c>
      <c r="E4952" s="17"/>
      <c r="F4952" s="17" t="s">
        <v>156</v>
      </c>
      <c r="G4952" s="17"/>
      <c r="H4952" s="17" t="s">
        <v>692</v>
      </c>
      <c r="I4952" s="17"/>
      <c r="J4952" s="17" t="s">
        <v>693</v>
      </c>
      <c r="K4952" s="17"/>
      <c r="L4952" s="17"/>
      <c r="M4952" s="17"/>
      <c r="N4952" s="17"/>
      <c r="O4952" s="17"/>
      <c r="P4952" s="17" t="s">
        <v>4187</v>
      </c>
      <c r="Q4952" s="17"/>
      <c r="R4952" s="25" t="str">
        <f>HYPERLINK("https://ictv.global/taxonomy/taxondetails?taxnode_id=202312695","Vividuovirus nordenberg")</f>
        <v>Vividuovirus nordenberg</v>
      </c>
      <c r="S4952" s="18" t="s">
        <v>30</v>
      </c>
      <c r="T4952" s="18" t="s">
        <v>4214</v>
      </c>
      <c r="U4952" s="18"/>
      <c r="V4952" s="18"/>
      <c r="W4952" s="18" t="s">
        <v>4215</v>
      </c>
      <c r="X4952" s="18" t="s">
        <v>42</v>
      </c>
      <c r="Y4952" s="18" t="s">
        <v>36</v>
      </c>
      <c r="Z4952" s="18" t="s">
        <v>697</v>
      </c>
      <c r="AA4952" s="21" t="str">
        <f>HYPERLINK("https://www.ncbi.nlm.nih.gov/nuccore/MH976514","NCBI Nucleotide")</f>
        <v>NCBI Nucleotide</v>
      </c>
    </row>
    <row r="4953" spans="1:27" x14ac:dyDescent="0.35">
      <c r="A4953">
        <v>1006714</v>
      </c>
      <c r="B4953">
        <v>4929</v>
      </c>
      <c r="C4953">
        <v>1</v>
      </c>
      <c r="D4953" s="17" t="s">
        <v>155</v>
      </c>
      <c r="E4953" s="17"/>
      <c r="F4953" s="17" t="s">
        <v>156</v>
      </c>
      <c r="G4953" s="17"/>
      <c r="H4953" s="17" t="s">
        <v>692</v>
      </c>
      <c r="I4953" s="17"/>
      <c r="J4953" s="17" t="s">
        <v>693</v>
      </c>
      <c r="K4953" s="17"/>
      <c r="L4953" s="17"/>
      <c r="M4953" s="17"/>
      <c r="N4953" s="17"/>
      <c r="O4953" s="17"/>
      <c r="P4953" s="17" t="s">
        <v>4187</v>
      </c>
      <c r="Q4953" s="17"/>
      <c r="R4953" s="25" t="str">
        <f>HYPERLINK("https://ictv.global/taxonomy/taxondetails?taxnode_id=202312698","Vividuovirus paries")</f>
        <v>Vividuovirus paries</v>
      </c>
      <c r="S4953" s="18" t="s">
        <v>30</v>
      </c>
      <c r="T4953" s="18" t="s">
        <v>4216</v>
      </c>
      <c r="U4953" s="18"/>
      <c r="V4953" s="18"/>
      <c r="W4953" s="18" t="s">
        <v>4217</v>
      </c>
      <c r="X4953" s="18" t="s">
        <v>42</v>
      </c>
      <c r="Y4953" s="18" t="s">
        <v>36</v>
      </c>
      <c r="Z4953" s="18" t="s">
        <v>697</v>
      </c>
      <c r="AA4953" s="21" t="str">
        <f>HYPERLINK("https://www.ncbi.nlm.nih.gov/nuccore/MT639640","NCBI Nucleotide")</f>
        <v>NCBI Nucleotide</v>
      </c>
    </row>
    <row r="4954" spans="1:27" x14ac:dyDescent="0.35">
      <c r="A4954">
        <v>1006715</v>
      </c>
      <c r="B4954">
        <v>4930</v>
      </c>
      <c r="C4954">
        <v>1</v>
      </c>
      <c r="D4954" s="17" t="s">
        <v>155</v>
      </c>
      <c r="E4954" s="17"/>
      <c r="F4954" s="17" t="s">
        <v>156</v>
      </c>
      <c r="G4954" s="17"/>
      <c r="H4954" s="17" t="s">
        <v>692</v>
      </c>
      <c r="I4954" s="17"/>
      <c r="J4954" s="17" t="s">
        <v>693</v>
      </c>
      <c r="K4954" s="17"/>
      <c r="L4954" s="17"/>
      <c r="M4954" s="17"/>
      <c r="N4954" s="17"/>
      <c r="O4954" s="17"/>
      <c r="P4954" s="17" t="s">
        <v>4187</v>
      </c>
      <c r="Q4954" s="17"/>
      <c r="R4954" s="25" t="str">
        <f>HYPERLINK("https://ictv.global/taxonomy/taxondetails?taxnode_id=202312692","Vividuovirus rofo")</f>
        <v>Vividuovirus rofo</v>
      </c>
      <c r="S4954" s="18" t="s">
        <v>30</v>
      </c>
      <c r="T4954" s="18" t="s">
        <v>4218</v>
      </c>
      <c r="U4954" s="18"/>
      <c r="V4954" s="18"/>
      <c r="W4954" s="18" t="s">
        <v>4219</v>
      </c>
      <c r="X4954" s="18" t="s">
        <v>42</v>
      </c>
      <c r="Y4954" s="18" t="s">
        <v>36</v>
      </c>
      <c r="Z4954" s="18" t="s">
        <v>697</v>
      </c>
      <c r="AA4954" s="21" t="str">
        <f>HYPERLINK("https://www.ncbi.nlm.nih.gov/nuccore/MH479924","NCBI Nucleotide")</f>
        <v>NCBI Nucleotide</v>
      </c>
    </row>
    <row r="4955" spans="1:27" x14ac:dyDescent="0.35">
      <c r="A4955">
        <v>1006716</v>
      </c>
      <c r="B4955">
        <v>4931</v>
      </c>
      <c r="C4955">
        <v>1</v>
      </c>
      <c r="D4955" s="17" t="s">
        <v>155</v>
      </c>
      <c r="E4955" s="17"/>
      <c r="F4955" s="17" t="s">
        <v>156</v>
      </c>
      <c r="G4955" s="17"/>
      <c r="H4955" s="17" t="s">
        <v>692</v>
      </c>
      <c r="I4955" s="17"/>
      <c r="J4955" s="17" t="s">
        <v>693</v>
      </c>
      <c r="K4955" s="17"/>
      <c r="L4955" s="17"/>
      <c r="M4955" s="17"/>
      <c r="N4955" s="17"/>
      <c r="O4955" s="17"/>
      <c r="P4955" s="17" t="s">
        <v>4187</v>
      </c>
      <c r="Q4955" s="17"/>
      <c r="R4955" s="25" t="str">
        <f>HYPERLINK("https://ictv.global/taxonomy/taxondetails?taxnode_id=202312687","Vividuovirus stultus")</f>
        <v>Vividuovirus stultus</v>
      </c>
      <c r="S4955" s="18" t="s">
        <v>30</v>
      </c>
      <c r="T4955" s="18" t="s">
        <v>4220</v>
      </c>
      <c r="U4955" s="18"/>
      <c r="V4955" s="18"/>
      <c r="W4955" s="18" t="s">
        <v>4221</v>
      </c>
      <c r="X4955" s="18" t="s">
        <v>42</v>
      </c>
      <c r="Y4955" s="18" t="s">
        <v>36</v>
      </c>
      <c r="Z4955" s="18" t="s">
        <v>697</v>
      </c>
      <c r="AA4955" s="21" t="str">
        <f>HYPERLINK("https://www.ncbi.nlm.nih.gov/nuccore/MH976518","NCBI Nucleotide")</f>
        <v>NCBI Nucleotide</v>
      </c>
    </row>
    <row r="4956" spans="1:27" x14ac:dyDescent="0.35">
      <c r="A4956">
        <v>1006717</v>
      </c>
      <c r="B4956">
        <v>4932</v>
      </c>
      <c r="C4956">
        <v>1</v>
      </c>
      <c r="D4956" s="17" t="s">
        <v>155</v>
      </c>
      <c r="E4956" s="17"/>
      <c r="F4956" s="17" t="s">
        <v>156</v>
      </c>
      <c r="G4956" s="17"/>
      <c r="H4956" s="17" t="s">
        <v>692</v>
      </c>
      <c r="I4956" s="17"/>
      <c r="J4956" s="17" t="s">
        <v>693</v>
      </c>
      <c r="K4956" s="17"/>
      <c r="L4956" s="17"/>
      <c r="M4956" s="17"/>
      <c r="N4956" s="17"/>
      <c r="O4956" s="17"/>
      <c r="P4956" s="17" t="s">
        <v>4187</v>
      </c>
      <c r="Q4956" s="17"/>
      <c r="R4956" s="25" t="str">
        <f>HYPERLINK("https://ictv.global/taxonomy/taxondetails?taxnode_id=202312693","Vividuovirus tangent")</f>
        <v>Vividuovirus tangent</v>
      </c>
      <c r="S4956" s="18" t="s">
        <v>30</v>
      </c>
      <c r="T4956" s="18" t="s">
        <v>4222</v>
      </c>
      <c r="U4956" s="18"/>
      <c r="V4956" s="18"/>
      <c r="W4956" s="18" t="s">
        <v>4223</v>
      </c>
      <c r="X4956" s="18" t="s">
        <v>42</v>
      </c>
      <c r="Y4956" s="18" t="s">
        <v>36</v>
      </c>
      <c r="Z4956" s="18" t="s">
        <v>697</v>
      </c>
      <c r="AA4956" s="21" t="str">
        <f>HYPERLINK("https://www.ncbi.nlm.nih.gov/nuccore/MH976519","NCBI Nucleotide")</f>
        <v>NCBI Nucleotide</v>
      </c>
    </row>
    <row r="4957" spans="1:27" x14ac:dyDescent="0.35">
      <c r="A4957">
        <v>1006718</v>
      </c>
      <c r="B4957">
        <v>4933</v>
      </c>
      <c r="C4957">
        <v>1</v>
      </c>
      <c r="D4957" s="17" t="s">
        <v>155</v>
      </c>
      <c r="E4957" s="17"/>
      <c r="F4957" s="17" t="s">
        <v>156</v>
      </c>
      <c r="G4957" s="17"/>
      <c r="H4957" s="17" t="s">
        <v>692</v>
      </c>
      <c r="I4957" s="17"/>
      <c r="J4957" s="17" t="s">
        <v>693</v>
      </c>
      <c r="K4957" s="17"/>
      <c r="L4957" s="17"/>
      <c r="M4957" s="17"/>
      <c r="N4957" s="17"/>
      <c r="O4957" s="17"/>
      <c r="P4957" s="17" t="s">
        <v>4187</v>
      </c>
      <c r="Q4957" s="17"/>
      <c r="R4957" s="25" t="str">
        <f>HYPERLINK("https://ictv.global/taxonomy/taxondetails?taxnode_id=202306791","Vividuovirus vivi2")</f>
        <v>Vividuovirus vivi2</v>
      </c>
      <c r="S4957" s="18" t="s">
        <v>30</v>
      </c>
      <c r="T4957" s="18" t="s">
        <v>4224</v>
      </c>
      <c r="U4957" s="18"/>
      <c r="V4957" s="18"/>
      <c r="W4957" s="18" t="s">
        <v>4225</v>
      </c>
      <c r="X4957" s="18" t="s">
        <v>42</v>
      </c>
      <c r="Y4957" s="18" t="s">
        <v>36</v>
      </c>
      <c r="Z4957" s="18" t="s">
        <v>697</v>
      </c>
      <c r="AA4957" s="21" t="str">
        <f>HYPERLINK("https://www.ncbi.nlm.nih.gov/nuccore/KU963250","NCBI Nucleotide")</f>
        <v>NCBI Nucleotide</v>
      </c>
    </row>
    <row r="4958" spans="1:27" x14ac:dyDescent="0.35">
      <c r="A4958">
        <v>1006719</v>
      </c>
      <c r="B4958">
        <v>4934</v>
      </c>
      <c r="C4958">
        <v>1</v>
      </c>
      <c r="D4958" s="17" t="s">
        <v>155</v>
      </c>
      <c r="E4958" s="17"/>
      <c r="F4958" s="17" t="s">
        <v>156</v>
      </c>
      <c r="G4958" s="17"/>
      <c r="H4958" s="17" t="s">
        <v>692</v>
      </c>
      <c r="I4958" s="17"/>
      <c r="J4958" s="17" t="s">
        <v>693</v>
      </c>
      <c r="K4958" s="17"/>
      <c r="L4958" s="17"/>
      <c r="M4958" s="17"/>
      <c r="N4958" s="17"/>
      <c r="O4958" s="17"/>
      <c r="P4958" s="17" t="s">
        <v>4226</v>
      </c>
      <c r="Q4958" s="17"/>
      <c r="R4958" s="25" t="str">
        <f>HYPERLINK("https://ictv.global/taxonomy/taxondetails?taxnode_id=202312101","Waukeshavirus BMBtp3")</f>
        <v>Waukeshavirus BMBtp3</v>
      </c>
      <c r="S4958" s="18" t="s">
        <v>30</v>
      </c>
      <c r="T4958" s="18" t="s">
        <v>4227</v>
      </c>
      <c r="U4958" s="18"/>
      <c r="V4958" s="18"/>
      <c r="W4958" s="18" t="s">
        <v>4228</v>
      </c>
      <c r="X4958" s="18" t="s">
        <v>42</v>
      </c>
      <c r="Y4958" s="18" t="s">
        <v>36</v>
      </c>
      <c r="Z4958" s="18" t="s">
        <v>697</v>
      </c>
      <c r="AA4958" s="21" t="str">
        <f>HYPERLINK("https://www.ncbi.nlm.nih.gov/nuccore/KJ024807","NCBI Nucleotide")</f>
        <v>NCBI Nucleotide</v>
      </c>
    </row>
    <row r="4959" spans="1:27" x14ac:dyDescent="0.35">
      <c r="A4959">
        <v>1006720</v>
      </c>
      <c r="B4959">
        <v>4935</v>
      </c>
      <c r="C4959">
        <v>1</v>
      </c>
      <c r="D4959" s="17" t="s">
        <v>155</v>
      </c>
      <c r="E4959" s="17"/>
      <c r="F4959" s="17" t="s">
        <v>156</v>
      </c>
      <c r="G4959" s="17"/>
      <c r="H4959" s="17" t="s">
        <v>692</v>
      </c>
      <c r="I4959" s="17"/>
      <c r="J4959" s="17" t="s">
        <v>693</v>
      </c>
      <c r="K4959" s="17"/>
      <c r="L4959" s="17"/>
      <c r="M4959" s="17"/>
      <c r="N4959" s="17"/>
      <c r="O4959" s="17"/>
      <c r="P4959" s="17" t="s">
        <v>4226</v>
      </c>
      <c r="Q4959" s="17"/>
      <c r="R4959" s="25" t="str">
        <f>HYPERLINK("https://ictv.global/taxonomy/taxondetails?taxnode_id=202312100","Waukeshavirus waukesha92")</f>
        <v>Waukeshavirus waukesha92</v>
      </c>
      <c r="S4959" s="18" t="s">
        <v>30</v>
      </c>
      <c r="T4959" s="18" t="s">
        <v>4229</v>
      </c>
      <c r="U4959" s="18"/>
      <c r="V4959" s="18"/>
      <c r="W4959" s="18" t="s">
        <v>4230</v>
      </c>
      <c r="X4959" s="18" t="s">
        <v>42</v>
      </c>
      <c r="Y4959" s="18" t="s">
        <v>36</v>
      </c>
      <c r="Z4959" s="18" t="s">
        <v>697</v>
      </c>
      <c r="AA4959" s="21" t="str">
        <f>HYPERLINK("https://www.ncbi.nlm.nih.gov/nuccore/KJ920400","NCBI Nucleotide")</f>
        <v>NCBI Nucleotide</v>
      </c>
    </row>
    <row r="4960" spans="1:27" x14ac:dyDescent="0.35">
      <c r="A4960">
        <v>1025186</v>
      </c>
      <c r="B4960">
        <v>4936</v>
      </c>
      <c r="C4960">
        <v>1</v>
      </c>
      <c r="D4960" s="17" t="s">
        <v>155</v>
      </c>
      <c r="E4960" s="17"/>
      <c r="F4960" s="17" t="s">
        <v>156</v>
      </c>
      <c r="G4960" s="17"/>
      <c r="H4960" s="17" t="s">
        <v>692</v>
      </c>
      <c r="I4960" s="17"/>
      <c r="J4960" s="17" t="s">
        <v>693</v>
      </c>
      <c r="K4960" s="17"/>
      <c r="L4960" s="17"/>
      <c r="M4960" s="17"/>
      <c r="N4960" s="17"/>
      <c r="O4960" s="17"/>
      <c r="P4960" s="17" t="s">
        <v>4231</v>
      </c>
      <c r="Q4960" s="17"/>
      <c r="R4960" s="25" t="str">
        <f>HYPERLINK("https://ictv.global/taxonomy/taxondetails?taxnode_id=202319493","Wbetavirus AP631")</f>
        <v>Wbetavirus AP631</v>
      </c>
      <c r="S4960" s="18" t="s">
        <v>30</v>
      </c>
      <c r="T4960" s="18" t="s">
        <v>40053</v>
      </c>
      <c r="U4960" s="18" t="s">
        <v>40054</v>
      </c>
      <c r="V4960" s="18"/>
      <c r="W4960" s="18" t="s">
        <v>48579</v>
      </c>
      <c r="X4960" s="18" t="s">
        <v>42</v>
      </c>
      <c r="Y4960" s="18" t="s">
        <v>36</v>
      </c>
      <c r="Z4960" s="18" t="s">
        <v>697</v>
      </c>
      <c r="AA4960" s="21" t="str">
        <f>HYPERLINK("https://www.ncbi.nlm.nih.gov/nuccore/MK085976","NCBI Nucleotide")</f>
        <v>NCBI Nucleotide</v>
      </c>
    </row>
    <row r="4961" spans="1:27" x14ac:dyDescent="0.35">
      <c r="A4961">
        <v>1025187</v>
      </c>
      <c r="B4961">
        <v>4937</v>
      </c>
      <c r="C4961">
        <v>1</v>
      </c>
      <c r="D4961" s="17" t="s">
        <v>155</v>
      </c>
      <c r="E4961" s="17"/>
      <c r="F4961" s="17" t="s">
        <v>156</v>
      </c>
      <c r="G4961" s="17"/>
      <c r="H4961" s="17" t="s">
        <v>692</v>
      </c>
      <c r="I4961" s="17"/>
      <c r="J4961" s="17" t="s">
        <v>693</v>
      </c>
      <c r="K4961" s="17"/>
      <c r="L4961" s="17"/>
      <c r="M4961" s="17"/>
      <c r="N4961" s="17"/>
      <c r="O4961" s="17"/>
      <c r="P4961" s="17" t="s">
        <v>4231</v>
      </c>
      <c r="Q4961" s="17"/>
      <c r="R4961" s="25" t="str">
        <f>HYPERLINK("https://ictv.global/taxonomy/taxondetails?taxnode_id=202319500","Wbetavirus booya")</f>
        <v>Wbetavirus booya</v>
      </c>
      <c r="S4961" s="18" t="s">
        <v>30</v>
      </c>
      <c r="T4961" s="18" t="s">
        <v>40055</v>
      </c>
      <c r="U4961" s="18" t="s">
        <v>40056</v>
      </c>
      <c r="V4961" s="18"/>
      <c r="W4961" s="18" t="s">
        <v>48580</v>
      </c>
      <c r="X4961" s="18" t="s">
        <v>42</v>
      </c>
      <c r="Y4961" s="18" t="s">
        <v>36</v>
      </c>
      <c r="Z4961" s="18" t="s">
        <v>697</v>
      </c>
      <c r="AA4961" s="21" t="str">
        <f>HYPERLINK("https://www.ncbi.nlm.nih.gov/nuccore/OK499999","NCBI Nucleotide")</f>
        <v>NCBI Nucleotide</v>
      </c>
    </row>
    <row r="4962" spans="1:27" x14ac:dyDescent="0.35">
      <c r="A4962">
        <v>1025188</v>
      </c>
      <c r="B4962">
        <v>4938</v>
      </c>
      <c r="C4962">
        <v>1</v>
      </c>
      <c r="D4962" s="17" t="s">
        <v>155</v>
      </c>
      <c r="E4962" s="17"/>
      <c r="F4962" s="17" t="s">
        <v>156</v>
      </c>
      <c r="G4962" s="17"/>
      <c r="H4962" s="17" t="s">
        <v>692</v>
      </c>
      <c r="I4962" s="17"/>
      <c r="J4962" s="17" t="s">
        <v>693</v>
      </c>
      <c r="K4962" s="17"/>
      <c r="L4962" s="17"/>
      <c r="M4962" s="17"/>
      <c r="N4962" s="17"/>
      <c r="O4962" s="17"/>
      <c r="P4962" s="17" t="s">
        <v>4231</v>
      </c>
      <c r="Q4962" s="17"/>
      <c r="R4962" s="25" t="str">
        <f>HYPERLINK("https://ictv.global/taxonomy/taxondetails?taxnode_id=202319496","Wbetavirus carmel")</f>
        <v>Wbetavirus carmel</v>
      </c>
      <c r="S4962" s="18" t="s">
        <v>30</v>
      </c>
      <c r="T4962" s="18" t="s">
        <v>40057</v>
      </c>
      <c r="U4962" s="18" t="s">
        <v>40058</v>
      </c>
      <c r="V4962" s="18"/>
      <c r="W4962" s="18" t="s">
        <v>48581</v>
      </c>
      <c r="X4962" s="18" t="s">
        <v>42</v>
      </c>
      <c r="Y4962" s="18" t="s">
        <v>36</v>
      </c>
      <c r="Z4962" s="18" t="s">
        <v>697</v>
      </c>
      <c r="AA4962" s="21" t="str">
        <f>HYPERLINK("https://www.ncbi.nlm.nih.gov/nuccore/KY963371","NCBI Nucleotide")</f>
        <v>NCBI Nucleotide</v>
      </c>
    </row>
    <row r="4963" spans="1:27" x14ac:dyDescent="0.35">
      <c r="A4963">
        <v>1025189</v>
      </c>
      <c r="B4963">
        <v>4939</v>
      </c>
      <c r="C4963">
        <v>1</v>
      </c>
      <c r="D4963" s="17" t="s">
        <v>155</v>
      </c>
      <c r="E4963" s="17"/>
      <c r="F4963" s="17" t="s">
        <v>156</v>
      </c>
      <c r="G4963" s="17"/>
      <c r="H4963" s="17" t="s">
        <v>692</v>
      </c>
      <c r="I4963" s="17"/>
      <c r="J4963" s="17" t="s">
        <v>693</v>
      </c>
      <c r="K4963" s="17"/>
      <c r="L4963" s="17"/>
      <c r="M4963" s="17"/>
      <c r="N4963" s="17"/>
      <c r="O4963" s="17"/>
      <c r="P4963" s="17" t="s">
        <v>4231</v>
      </c>
      <c r="Q4963" s="17"/>
      <c r="R4963" s="25" t="str">
        <f>HYPERLINK("https://ictv.global/taxonomy/taxondetails?taxnode_id=202319497","Wbetavirus F16Ba")</f>
        <v>Wbetavirus F16Ba</v>
      </c>
      <c r="S4963" s="18" t="s">
        <v>30</v>
      </c>
      <c r="T4963" s="18" t="s">
        <v>40059</v>
      </c>
      <c r="U4963" s="18" t="s">
        <v>40060</v>
      </c>
      <c r="V4963" s="18"/>
      <c r="W4963" s="18" t="s">
        <v>48582</v>
      </c>
      <c r="X4963" s="18" t="s">
        <v>42</v>
      </c>
      <c r="Y4963" s="18" t="s">
        <v>36</v>
      </c>
      <c r="Z4963" s="18" t="s">
        <v>697</v>
      </c>
      <c r="AA4963" s="21" t="str">
        <f>HYPERLINK("https://www.ncbi.nlm.nih.gov/nuccore/MT745954","NCBI Nucleotide")</f>
        <v>NCBI Nucleotide</v>
      </c>
    </row>
    <row r="4964" spans="1:27" x14ac:dyDescent="0.35">
      <c r="A4964">
        <v>1025190</v>
      </c>
      <c r="B4964">
        <v>4940</v>
      </c>
      <c r="C4964">
        <v>1</v>
      </c>
      <c r="D4964" s="17" t="s">
        <v>155</v>
      </c>
      <c r="E4964" s="17"/>
      <c r="F4964" s="17" t="s">
        <v>156</v>
      </c>
      <c r="G4964" s="17"/>
      <c r="H4964" s="17" t="s">
        <v>692</v>
      </c>
      <c r="I4964" s="17"/>
      <c r="J4964" s="17" t="s">
        <v>693</v>
      </c>
      <c r="K4964" s="17"/>
      <c r="L4964" s="17"/>
      <c r="M4964" s="17"/>
      <c r="N4964" s="17"/>
      <c r="O4964" s="17"/>
      <c r="P4964" s="17" t="s">
        <v>4231</v>
      </c>
      <c r="Q4964" s="17"/>
      <c r="R4964" s="25" t="str">
        <f>HYPERLINK("https://ictv.global/taxonomy/taxondetails?taxnode_id=202319494","Wbetavirus fah")</f>
        <v>Wbetavirus fah</v>
      </c>
      <c r="S4964" s="18" t="s">
        <v>30</v>
      </c>
      <c r="T4964" s="18" t="s">
        <v>40061</v>
      </c>
      <c r="U4964" s="18" t="s">
        <v>40062</v>
      </c>
      <c r="V4964" s="18"/>
      <c r="W4964" s="18" t="s">
        <v>40063</v>
      </c>
      <c r="X4964" s="18" t="s">
        <v>42</v>
      </c>
      <c r="Y4964" s="18" t="s">
        <v>36</v>
      </c>
      <c r="Z4964" s="18" t="s">
        <v>697</v>
      </c>
      <c r="AA4964" s="21" t="str">
        <f>HYPERLINK("https://www.ncbi.nlm.nih.gov/nuccore/DQ150593","NCBI Nucleotide")</f>
        <v>NCBI Nucleotide</v>
      </c>
    </row>
    <row r="4965" spans="1:27" x14ac:dyDescent="0.35">
      <c r="A4965">
        <v>1025191</v>
      </c>
      <c r="B4965">
        <v>4941</v>
      </c>
      <c r="C4965">
        <v>1</v>
      </c>
      <c r="D4965" s="17" t="s">
        <v>155</v>
      </c>
      <c r="E4965" s="17"/>
      <c r="F4965" s="17" t="s">
        <v>156</v>
      </c>
      <c r="G4965" s="17"/>
      <c r="H4965" s="17" t="s">
        <v>692</v>
      </c>
      <c r="I4965" s="17"/>
      <c r="J4965" s="17" t="s">
        <v>693</v>
      </c>
      <c r="K4965" s="17"/>
      <c r="L4965" s="17"/>
      <c r="M4965" s="17"/>
      <c r="N4965" s="17"/>
      <c r="O4965" s="17"/>
      <c r="P4965" s="17" t="s">
        <v>4231</v>
      </c>
      <c r="Q4965" s="17"/>
      <c r="R4965" s="25" t="str">
        <f>HYPERLINK("https://ictv.global/taxonomy/taxondetails?taxnode_id=202319495","Wbetavirus gamma53")</f>
        <v>Wbetavirus gamma53</v>
      </c>
      <c r="S4965" s="18" t="s">
        <v>30</v>
      </c>
      <c r="T4965" s="18" t="s">
        <v>40064</v>
      </c>
      <c r="U4965" s="18" t="s">
        <v>40065</v>
      </c>
      <c r="V4965" s="18">
        <v>53</v>
      </c>
      <c r="W4965" s="18" t="s">
        <v>48583</v>
      </c>
      <c r="X4965" s="18" t="s">
        <v>42</v>
      </c>
      <c r="Y4965" s="18" t="s">
        <v>36</v>
      </c>
      <c r="Z4965" s="18" t="s">
        <v>697</v>
      </c>
      <c r="AA4965" s="21" t="str">
        <f>HYPERLINK("https://www.ncbi.nlm.nih.gov/nuccore/DQ222855","NCBI Nucleotide")</f>
        <v>NCBI Nucleotide</v>
      </c>
    </row>
    <row r="4966" spans="1:27" x14ac:dyDescent="0.35">
      <c r="A4966">
        <v>1025192</v>
      </c>
      <c r="B4966">
        <v>4942</v>
      </c>
      <c r="C4966">
        <v>1</v>
      </c>
      <c r="D4966" s="17" t="s">
        <v>155</v>
      </c>
      <c r="E4966" s="17"/>
      <c r="F4966" s="17" t="s">
        <v>156</v>
      </c>
      <c r="G4966" s="17"/>
      <c r="H4966" s="17" t="s">
        <v>692</v>
      </c>
      <c r="I4966" s="17"/>
      <c r="J4966" s="17" t="s">
        <v>693</v>
      </c>
      <c r="K4966" s="17"/>
      <c r="L4966" s="17"/>
      <c r="M4966" s="17"/>
      <c r="N4966" s="17"/>
      <c r="O4966" s="17"/>
      <c r="P4966" s="17" t="s">
        <v>4231</v>
      </c>
      <c r="Q4966" s="17"/>
      <c r="R4966" s="25" t="str">
        <f>HYPERLINK("https://ictv.global/taxonomy/taxondetails?taxnode_id=202319502","Wbetavirus J5a")</f>
        <v>Wbetavirus J5a</v>
      </c>
      <c r="S4966" s="18" t="s">
        <v>30</v>
      </c>
      <c r="T4966" s="18" t="s">
        <v>40066</v>
      </c>
      <c r="U4966" s="18" t="s">
        <v>40067</v>
      </c>
      <c r="V4966" s="18"/>
      <c r="W4966" s="18" t="s">
        <v>48584</v>
      </c>
      <c r="X4966" s="18" t="s">
        <v>42</v>
      </c>
      <c r="Y4966" s="18" t="s">
        <v>36</v>
      </c>
      <c r="Z4966" s="18" t="s">
        <v>697</v>
      </c>
      <c r="AA4966" s="21" t="str">
        <f>HYPERLINK("https://www.ncbi.nlm.nih.gov/nuccore/MT745955","NCBI Nucleotide")</f>
        <v>NCBI Nucleotide</v>
      </c>
    </row>
    <row r="4967" spans="1:27" x14ac:dyDescent="0.35">
      <c r="A4967">
        <v>1025193</v>
      </c>
      <c r="B4967">
        <v>4943</v>
      </c>
      <c r="C4967">
        <v>1</v>
      </c>
      <c r="D4967" s="17" t="s">
        <v>155</v>
      </c>
      <c r="E4967" s="17"/>
      <c r="F4967" s="17" t="s">
        <v>156</v>
      </c>
      <c r="G4967" s="17"/>
      <c r="H4967" s="17" t="s">
        <v>692</v>
      </c>
      <c r="I4967" s="17"/>
      <c r="J4967" s="17" t="s">
        <v>693</v>
      </c>
      <c r="K4967" s="17"/>
      <c r="L4967" s="17"/>
      <c r="M4967" s="17"/>
      <c r="N4967" s="17"/>
      <c r="O4967" s="17"/>
      <c r="P4967" s="17" t="s">
        <v>4231</v>
      </c>
      <c r="Q4967" s="17"/>
      <c r="R4967" s="25" t="str">
        <f>HYPERLINK("https://ictv.global/taxonomy/taxondetails?taxnode_id=202319499","Wbetavirus mcsteamy")</f>
        <v>Wbetavirus mcsteamy</v>
      </c>
      <c r="S4967" s="18" t="s">
        <v>30</v>
      </c>
      <c r="T4967" s="18" t="s">
        <v>40068</v>
      </c>
      <c r="U4967" s="18" t="s">
        <v>40069</v>
      </c>
      <c r="V4967" s="18"/>
      <c r="W4967" s="18" t="s">
        <v>48585</v>
      </c>
      <c r="X4967" s="18" t="s">
        <v>42</v>
      </c>
      <c r="Y4967" s="18" t="s">
        <v>36</v>
      </c>
      <c r="Z4967" s="18" t="s">
        <v>697</v>
      </c>
      <c r="AA4967" s="21" t="str">
        <f>HYPERLINK("https://www.ncbi.nlm.nih.gov/nuccore/OK499979","NCBI Nucleotide")</f>
        <v>NCBI Nucleotide</v>
      </c>
    </row>
    <row r="4968" spans="1:27" x14ac:dyDescent="0.35">
      <c r="A4968">
        <v>1025194</v>
      </c>
      <c r="B4968">
        <v>4944</v>
      </c>
      <c r="C4968">
        <v>1</v>
      </c>
      <c r="D4968" s="17" t="s">
        <v>155</v>
      </c>
      <c r="E4968" s="17"/>
      <c r="F4968" s="17" t="s">
        <v>156</v>
      </c>
      <c r="G4968" s="17"/>
      <c r="H4968" s="17" t="s">
        <v>692</v>
      </c>
      <c r="I4968" s="17"/>
      <c r="J4968" s="17" t="s">
        <v>693</v>
      </c>
      <c r="K4968" s="17"/>
      <c r="L4968" s="17"/>
      <c r="M4968" s="17"/>
      <c r="N4968" s="17"/>
      <c r="O4968" s="17"/>
      <c r="P4968" s="17" t="s">
        <v>4231</v>
      </c>
      <c r="Q4968" s="17"/>
      <c r="R4968" s="25" t="str">
        <f>HYPERLINK("https://ictv.global/taxonomy/taxondetails?taxnode_id=202319498","Wbetavirus negev")</f>
        <v>Wbetavirus negev</v>
      </c>
      <c r="S4968" s="18" t="s">
        <v>30</v>
      </c>
      <c r="T4968" s="18" t="s">
        <v>40070</v>
      </c>
      <c r="U4968" s="18" t="s">
        <v>40071</v>
      </c>
      <c r="V4968" s="18"/>
      <c r="W4968" s="18" t="s">
        <v>48586</v>
      </c>
      <c r="X4968" s="18" t="s">
        <v>42</v>
      </c>
      <c r="Y4968" s="18" t="s">
        <v>36</v>
      </c>
      <c r="Z4968" s="18" t="s">
        <v>697</v>
      </c>
      <c r="AA4968" s="21" t="str">
        <f>HYPERLINK("https://www.ncbi.nlm.nih.gov/nuccore/KY963370","NCBI Nucleotide")</f>
        <v>NCBI Nucleotide</v>
      </c>
    </row>
    <row r="4969" spans="1:27" x14ac:dyDescent="0.35">
      <c r="A4969">
        <v>1025195</v>
      </c>
      <c r="B4969">
        <v>4945</v>
      </c>
      <c r="C4969">
        <v>1</v>
      </c>
      <c r="D4969" s="17" t="s">
        <v>155</v>
      </c>
      <c r="E4969" s="17"/>
      <c r="F4969" s="17" t="s">
        <v>156</v>
      </c>
      <c r="G4969" s="17"/>
      <c r="H4969" s="17" t="s">
        <v>692</v>
      </c>
      <c r="I4969" s="17"/>
      <c r="J4969" s="17" t="s">
        <v>693</v>
      </c>
      <c r="K4969" s="17"/>
      <c r="L4969" s="17"/>
      <c r="M4969" s="17"/>
      <c r="N4969" s="17"/>
      <c r="O4969" s="17"/>
      <c r="P4969" s="17" t="s">
        <v>4231</v>
      </c>
      <c r="Q4969" s="17"/>
      <c r="R4969" s="25" t="str">
        <f>HYPERLINK("https://ictv.global/taxonomy/taxondetails?taxnode_id=202319501","Wbetavirus tavor")</f>
        <v>Wbetavirus tavor</v>
      </c>
      <c r="S4969" s="18" t="s">
        <v>30</v>
      </c>
      <c r="T4969" s="18" t="s">
        <v>40072</v>
      </c>
      <c r="U4969" s="18" t="s">
        <v>40073</v>
      </c>
      <c r="V4969" s="18"/>
      <c r="W4969" s="18" t="s">
        <v>48587</v>
      </c>
      <c r="X4969" s="18" t="s">
        <v>42</v>
      </c>
      <c r="Y4969" s="18" t="s">
        <v>36</v>
      </c>
      <c r="Z4969" s="18" t="s">
        <v>697</v>
      </c>
      <c r="AA4969" s="21" t="str">
        <f>HYPERLINK("https://www.ncbi.nlm.nih.gov/nuccore/KY963369","NCBI Nucleotide")</f>
        <v>NCBI Nucleotide</v>
      </c>
    </row>
    <row r="4970" spans="1:27" x14ac:dyDescent="0.35">
      <c r="A4970">
        <v>1006721</v>
      </c>
      <c r="B4970">
        <v>4946</v>
      </c>
      <c r="C4970">
        <v>1</v>
      </c>
      <c r="D4970" s="17" t="s">
        <v>155</v>
      </c>
      <c r="E4970" s="17"/>
      <c r="F4970" s="17" t="s">
        <v>156</v>
      </c>
      <c r="G4970" s="17"/>
      <c r="H4970" s="17" t="s">
        <v>692</v>
      </c>
      <c r="I4970" s="17"/>
      <c r="J4970" s="17" t="s">
        <v>693</v>
      </c>
      <c r="K4970" s="17"/>
      <c r="L4970" s="17"/>
      <c r="M4970" s="17"/>
      <c r="N4970" s="17"/>
      <c r="O4970" s="17"/>
      <c r="P4970" s="17" t="s">
        <v>4231</v>
      </c>
      <c r="Q4970" s="17"/>
      <c r="R4970" s="25" t="str">
        <f>HYPERLINK("https://ictv.global/taxonomy/taxondetails?taxnode_id=202301369","Wbetavirus wbeta")</f>
        <v>Wbetavirus wbeta</v>
      </c>
      <c r="S4970" s="18" t="s">
        <v>30</v>
      </c>
      <c r="T4970" s="18" t="s">
        <v>4232</v>
      </c>
      <c r="U4970" s="18"/>
      <c r="V4970" s="18"/>
      <c r="W4970" s="18" t="s">
        <v>4233</v>
      </c>
      <c r="X4970" s="18" t="s">
        <v>42</v>
      </c>
      <c r="Y4970" s="18" t="s">
        <v>36</v>
      </c>
      <c r="Z4970" s="18" t="s">
        <v>697</v>
      </c>
      <c r="AA4970" s="21" t="str">
        <f>HYPERLINK("https://www.ncbi.nlm.nih.gov/nuccore/DQ289555","NCBI Nucleotide")</f>
        <v>NCBI Nucleotide</v>
      </c>
    </row>
    <row r="4971" spans="1:27" x14ac:dyDescent="0.35">
      <c r="A4971">
        <v>1025196</v>
      </c>
      <c r="B4971">
        <v>4947</v>
      </c>
      <c r="C4971">
        <v>1</v>
      </c>
      <c r="D4971" s="17" t="s">
        <v>155</v>
      </c>
      <c r="E4971" s="17"/>
      <c r="F4971" s="17" t="s">
        <v>156</v>
      </c>
      <c r="G4971" s="17"/>
      <c r="H4971" s="17" t="s">
        <v>692</v>
      </c>
      <c r="I4971" s="17"/>
      <c r="J4971" s="17" t="s">
        <v>693</v>
      </c>
      <c r="K4971" s="17"/>
      <c r="L4971" s="17"/>
      <c r="M4971" s="17"/>
      <c r="N4971" s="17"/>
      <c r="O4971" s="17"/>
      <c r="P4971" s="17" t="s">
        <v>4231</v>
      </c>
      <c r="Q4971" s="17"/>
      <c r="R4971" s="25" t="str">
        <f>HYPERLINK("https://ictv.global/taxonomy/taxondetails?taxnode_id=202319503","Wbetavirus z1a")</f>
        <v>Wbetavirus z1a</v>
      </c>
      <c r="S4971" s="18" t="s">
        <v>30</v>
      </c>
      <c r="T4971" s="18" t="s">
        <v>40074</v>
      </c>
      <c r="U4971" s="18" t="s">
        <v>40075</v>
      </c>
      <c r="V4971" s="18"/>
      <c r="W4971" s="18" t="s">
        <v>48588</v>
      </c>
      <c r="X4971" s="18" t="s">
        <v>42</v>
      </c>
      <c r="Y4971" s="18" t="s">
        <v>36</v>
      </c>
      <c r="Z4971" s="18" t="s">
        <v>697</v>
      </c>
      <c r="AA4971" s="21" t="str">
        <f>HYPERLINK("https://www.ncbi.nlm.nih.gov/nuccore/MT745956","NCBI Nucleotide")</f>
        <v>NCBI Nucleotide</v>
      </c>
    </row>
    <row r="4972" spans="1:27" x14ac:dyDescent="0.35">
      <c r="A4972">
        <v>1006722</v>
      </c>
      <c r="B4972">
        <v>4948</v>
      </c>
      <c r="C4972">
        <v>1</v>
      </c>
      <c r="D4972" s="17" t="s">
        <v>155</v>
      </c>
      <c r="E4972" s="17"/>
      <c r="F4972" s="17" t="s">
        <v>156</v>
      </c>
      <c r="G4972" s="17"/>
      <c r="H4972" s="17" t="s">
        <v>692</v>
      </c>
      <c r="I4972" s="17"/>
      <c r="J4972" s="17" t="s">
        <v>693</v>
      </c>
      <c r="K4972" s="17"/>
      <c r="L4972" s="17"/>
      <c r="M4972" s="17"/>
      <c r="N4972" s="17"/>
      <c r="O4972" s="17"/>
      <c r="P4972" s="17" t="s">
        <v>4234</v>
      </c>
      <c r="Q4972" s="17"/>
      <c r="R4972" s="25" t="str">
        <f>HYPERLINK("https://ictv.global/taxonomy/taxondetails?taxnode_id=202306795","Weaselvirus weasel")</f>
        <v>Weaselvirus weasel</v>
      </c>
      <c r="S4972" s="18" t="s">
        <v>30</v>
      </c>
      <c r="T4972" s="18" t="s">
        <v>4235</v>
      </c>
      <c r="U4972" s="18"/>
      <c r="V4972" s="18"/>
      <c r="W4972" s="18" t="s">
        <v>4236</v>
      </c>
      <c r="X4972" s="18" t="s">
        <v>42</v>
      </c>
      <c r="Y4972" s="18" t="s">
        <v>36</v>
      </c>
      <c r="Z4972" s="18" t="s">
        <v>697</v>
      </c>
      <c r="AA4972" s="21" t="str">
        <f>HYPERLINK("https://www.ncbi.nlm.nih.gov/nuccore/KX774321","NCBI Nucleotide")</f>
        <v>NCBI Nucleotide</v>
      </c>
    </row>
    <row r="4973" spans="1:27" x14ac:dyDescent="0.35">
      <c r="A4973">
        <v>1006724</v>
      </c>
      <c r="B4973">
        <v>4949</v>
      </c>
      <c r="C4973">
        <v>1</v>
      </c>
      <c r="D4973" s="17" t="s">
        <v>155</v>
      </c>
      <c r="E4973" s="17"/>
      <c r="F4973" s="17" t="s">
        <v>156</v>
      </c>
      <c r="G4973" s="17"/>
      <c r="H4973" s="17" t="s">
        <v>692</v>
      </c>
      <c r="I4973" s="17"/>
      <c r="J4973" s="17" t="s">
        <v>693</v>
      </c>
      <c r="K4973" s="17"/>
      <c r="L4973" s="17"/>
      <c r="M4973" s="17"/>
      <c r="N4973" s="17"/>
      <c r="O4973" s="17"/>
      <c r="P4973" s="17" t="s">
        <v>4240</v>
      </c>
      <c r="Q4973" s="17"/>
      <c r="R4973" s="25" t="str">
        <f>HYPERLINK("https://ictv.global/taxonomy/taxondetails?taxnode_id=202312119","Whackvirus whack")</f>
        <v>Whackvirus whack</v>
      </c>
      <c r="S4973" s="18" t="s">
        <v>30</v>
      </c>
      <c r="T4973" s="18" t="s">
        <v>4241</v>
      </c>
      <c r="U4973" s="18"/>
      <c r="V4973" s="18"/>
      <c r="W4973" s="18" t="s">
        <v>4242</v>
      </c>
      <c r="X4973" s="18" t="s">
        <v>42</v>
      </c>
      <c r="Y4973" s="18" t="s">
        <v>36</v>
      </c>
      <c r="Z4973" s="18" t="s">
        <v>697</v>
      </c>
      <c r="AA4973" s="21" t="str">
        <f>HYPERLINK("https://www.ncbi.nlm.nih.gov/nuccore/MK967393","NCBI Nucleotide")</f>
        <v>NCBI Nucleotide</v>
      </c>
    </row>
    <row r="4974" spans="1:27" x14ac:dyDescent="0.35">
      <c r="A4974">
        <v>1006725</v>
      </c>
      <c r="B4974">
        <v>4950</v>
      </c>
      <c r="C4974">
        <v>1</v>
      </c>
      <c r="D4974" s="17" t="s">
        <v>155</v>
      </c>
      <c r="E4974" s="17"/>
      <c r="F4974" s="17" t="s">
        <v>156</v>
      </c>
      <c r="G4974" s="17"/>
      <c r="H4974" s="17" t="s">
        <v>692</v>
      </c>
      <c r="I4974" s="17"/>
      <c r="J4974" s="17" t="s">
        <v>693</v>
      </c>
      <c r="K4974" s="17"/>
      <c r="L4974" s="17"/>
      <c r="M4974" s="17"/>
      <c r="N4974" s="17"/>
      <c r="O4974" s="17"/>
      <c r="P4974" s="17" t="s">
        <v>4243</v>
      </c>
      <c r="Q4974" s="17"/>
      <c r="R4974" s="25" t="str">
        <f>HYPERLINK("https://ictv.global/taxonomy/taxondetails?taxnode_id=202312121","Whiteheadvirus wv1358")</f>
        <v>Whiteheadvirus wv1358</v>
      </c>
      <c r="S4974" s="18" t="s">
        <v>30</v>
      </c>
      <c r="T4974" s="18" t="s">
        <v>4244</v>
      </c>
      <c r="U4974" s="18"/>
      <c r="V4974" s="18"/>
      <c r="W4974" s="18" t="s">
        <v>4245</v>
      </c>
      <c r="X4974" s="18" t="s">
        <v>42</v>
      </c>
      <c r="Y4974" s="18" t="s">
        <v>36</v>
      </c>
      <c r="Z4974" s="18" t="s">
        <v>697</v>
      </c>
      <c r="AA4974" s="21" t="str">
        <f>HYPERLINK("https://www.ncbi.nlm.nih.gov/nuccore/GQ403788","NCBI Nucleotide")</f>
        <v>NCBI Nucleotide</v>
      </c>
    </row>
    <row r="4975" spans="1:27" x14ac:dyDescent="0.35">
      <c r="A4975">
        <v>1025266</v>
      </c>
      <c r="B4975">
        <v>4951</v>
      </c>
      <c r="C4975">
        <v>1</v>
      </c>
      <c r="D4975" s="17" t="s">
        <v>155</v>
      </c>
      <c r="E4975" s="17"/>
      <c r="F4975" s="17" t="s">
        <v>156</v>
      </c>
      <c r="G4975" s="17"/>
      <c r="H4975" s="17" t="s">
        <v>692</v>
      </c>
      <c r="I4975" s="17"/>
      <c r="J4975" s="17" t="s">
        <v>693</v>
      </c>
      <c r="K4975" s="17"/>
      <c r="L4975" s="17"/>
      <c r="M4975" s="17"/>
      <c r="N4975" s="17"/>
      <c r="O4975" s="17"/>
      <c r="P4975" s="17" t="s">
        <v>40076</v>
      </c>
      <c r="Q4975" s="17"/>
      <c r="R4975" s="25" t="str">
        <f>HYPERLINK("https://ictv.global/taxonomy/taxondetails?taxnode_id=202317744","Whytuvirus whytu")</f>
        <v>Whytuvirus whytu</v>
      </c>
      <c r="S4975" s="18" t="s">
        <v>30</v>
      </c>
      <c r="T4975" s="18" t="s">
        <v>40077</v>
      </c>
      <c r="U4975" s="18"/>
      <c r="V4975" s="18"/>
      <c r="W4975" s="18" t="s">
        <v>48589</v>
      </c>
      <c r="X4975" s="18" t="s">
        <v>42</v>
      </c>
      <c r="Y4975" s="18" t="s">
        <v>36</v>
      </c>
      <c r="Z4975" s="18" t="s">
        <v>697</v>
      </c>
      <c r="AA4975" s="21" t="str">
        <f>HYPERLINK("https://www.ncbi.nlm.nih.gov/nuccore/MT024870","NCBI Nucleotide")</f>
        <v>NCBI Nucleotide</v>
      </c>
    </row>
    <row r="4976" spans="1:27" x14ac:dyDescent="0.35">
      <c r="A4976">
        <v>1025267</v>
      </c>
      <c r="B4976">
        <v>4952</v>
      </c>
      <c r="C4976">
        <v>1</v>
      </c>
      <c r="D4976" s="17" t="s">
        <v>155</v>
      </c>
      <c r="E4976" s="17"/>
      <c r="F4976" s="17" t="s">
        <v>156</v>
      </c>
      <c r="G4976" s="17"/>
      <c r="H4976" s="17" t="s">
        <v>692</v>
      </c>
      <c r="I4976" s="17"/>
      <c r="J4976" s="17" t="s">
        <v>693</v>
      </c>
      <c r="K4976" s="17"/>
      <c r="L4976" s="17"/>
      <c r="M4976" s="17"/>
      <c r="N4976" s="17"/>
      <c r="O4976" s="17"/>
      <c r="P4976" s="17" t="s">
        <v>40076</v>
      </c>
      <c r="Q4976" s="17"/>
      <c r="R4976" s="25" t="str">
        <f>HYPERLINK("https://ictv.global/taxonomy/taxondetails?taxnode_id=202317745","Whytuvirus yavru")</f>
        <v>Whytuvirus yavru</v>
      </c>
      <c r="S4976" s="18" t="s">
        <v>30</v>
      </c>
      <c r="T4976" s="18" t="s">
        <v>40078</v>
      </c>
      <c r="U4976" s="18"/>
      <c r="V4976" s="18"/>
      <c r="W4976" s="18" t="s">
        <v>48590</v>
      </c>
      <c r="X4976" s="18" t="s">
        <v>42</v>
      </c>
      <c r="Y4976" s="18" t="s">
        <v>36</v>
      </c>
      <c r="Z4976" s="18" t="s">
        <v>697</v>
      </c>
      <c r="AA4976" s="21" t="str">
        <f>HYPERLINK("https://www.ncbi.nlm.nih.gov/nuccore/MT889364","NCBI Nucleotide")</f>
        <v>NCBI Nucleotide</v>
      </c>
    </row>
    <row r="4977" spans="1:27" x14ac:dyDescent="0.35">
      <c r="A4977">
        <v>1006726</v>
      </c>
      <c r="B4977">
        <v>4953</v>
      </c>
      <c r="C4977">
        <v>1</v>
      </c>
      <c r="D4977" s="17" t="s">
        <v>155</v>
      </c>
      <c r="E4977" s="17"/>
      <c r="F4977" s="17" t="s">
        <v>156</v>
      </c>
      <c r="G4977" s="17"/>
      <c r="H4977" s="17" t="s">
        <v>692</v>
      </c>
      <c r="I4977" s="17"/>
      <c r="J4977" s="17" t="s">
        <v>693</v>
      </c>
      <c r="K4977" s="17"/>
      <c r="L4977" s="17"/>
      <c r="M4977" s="17"/>
      <c r="N4977" s="17"/>
      <c r="O4977" s="17"/>
      <c r="P4977" s="17" t="s">
        <v>4246</v>
      </c>
      <c r="Q4977" s="17"/>
      <c r="R4977" s="25" t="str">
        <f>HYPERLINK("https://ictv.global/taxonomy/taxondetails?taxnode_id=202308076","Wifcevirus ECML117")</f>
        <v>Wifcevirus ECML117</v>
      </c>
      <c r="S4977" s="18" t="s">
        <v>30</v>
      </c>
      <c r="T4977" s="18" t="s">
        <v>4247</v>
      </c>
      <c r="U4977" s="18"/>
      <c r="V4977" s="18"/>
      <c r="W4977" s="18" t="s">
        <v>4248</v>
      </c>
      <c r="X4977" s="18" t="s">
        <v>42</v>
      </c>
      <c r="Y4977" s="18" t="s">
        <v>36</v>
      </c>
      <c r="Z4977" s="18" t="s">
        <v>697</v>
      </c>
      <c r="AA4977" s="21" t="str">
        <f>HYPERLINK("https://www.ncbi.nlm.nih.gov/nuccore/JX128258","NCBI Nucleotide")</f>
        <v>NCBI Nucleotide</v>
      </c>
    </row>
    <row r="4978" spans="1:27" x14ac:dyDescent="0.35">
      <c r="A4978">
        <v>1006727</v>
      </c>
      <c r="B4978">
        <v>4954</v>
      </c>
      <c r="C4978">
        <v>1</v>
      </c>
      <c r="D4978" s="17" t="s">
        <v>155</v>
      </c>
      <c r="E4978" s="17"/>
      <c r="F4978" s="17" t="s">
        <v>156</v>
      </c>
      <c r="G4978" s="17"/>
      <c r="H4978" s="17" t="s">
        <v>692</v>
      </c>
      <c r="I4978" s="17"/>
      <c r="J4978" s="17" t="s">
        <v>693</v>
      </c>
      <c r="K4978" s="17"/>
      <c r="L4978" s="17"/>
      <c r="M4978" s="17"/>
      <c r="N4978" s="17"/>
      <c r="O4978" s="17"/>
      <c r="P4978" s="17" t="s">
        <v>4246</v>
      </c>
      <c r="Q4978" s="17"/>
      <c r="R4978" s="25" t="str">
        <f>HYPERLINK("https://ictv.global/taxonomy/taxondetails?taxnode_id=202308075","Wifcevirus FEC19")</f>
        <v>Wifcevirus FEC19</v>
      </c>
      <c r="S4978" s="18" t="s">
        <v>30</v>
      </c>
      <c r="T4978" s="18" t="s">
        <v>4249</v>
      </c>
      <c r="U4978" s="18"/>
      <c r="V4978" s="18"/>
      <c r="W4978" s="18" t="s">
        <v>4250</v>
      </c>
      <c r="X4978" s="18" t="s">
        <v>42</v>
      </c>
      <c r="Y4978" s="18" t="s">
        <v>36</v>
      </c>
      <c r="Z4978" s="18" t="s">
        <v>697</v>
      </c>
      <c r="AA4978" s="21" t="str">
        <f>HYPERLINK("https://www.ncbi.nlm.nih.gov/nuccore/MH816966","NCBI Nucleotide")</f>
        <v>NCBI Nucleotide</v>
      </c>
    </row>
    <row r="4979" spans="1:27" x14ac:dyDescent="0.35">
      <c r="A4979">
        <v>1006728</v>
      </c>
      <c r="B4979">
        <v>4955</v>
      </c>
      <c r="C4979">
        <v>1</v>
      </c>
      <c r="D4979" s="17" t="s">
        <v>155</v>
      </c>
      <c r="E4979" s="17"/>
      <c r="F4979" s="17" t="s">
        <v>156</v>
      </c>
      <c r="G4979" s="17"/>
      <c r="H4979" s="17" t="s">
        <v>692</v>
      </c>
      <c r="I4979" s="17"/>
      <c r="J4979" s="17" t="s">
        <v>693</v>
      </c>
      <c r="K4979" s="17"/>
      <c r="L4979" s="17"/>
      <c r="M4979" s="17"/>
      <c r="N4979" s="17"/>
      <c r="O4979" s="17"/>
      <c r="P4979" s="17" t="s">
        <v>4246</v>
      </c>
      <c r="Q4979" s="17"/>
      <c r="R4979" s="25" t="str">
        <f>HYPERLINK("https://ictv.global/taxonomy/taxondetails?taxnode_id=202308074","Wifcevirus WFC")</f>
        <v>Wifcevirus WFC</v>
      </c>
      <c r="S4979" s="18" t="s">
        <v>30</v>
      </c>
      <c r="T4979" s="18" t="s">
        <v>4251</v>
      </c>
      <c r="U4979" s="18"/>
      <c r="V4979" s="18"/>
      <c r="W4979" s="18" t="s">
        <v>4252</v>
      </c>
      <c r="X4979" s="18" t="s">
        <v>42</v>
      </c>
      <c r="Y4979" s="18" t="s">
        <v>36</v>
      </c>
      <c r="Z4979" s="18" t="s">
        <v>697</v>
      </c>
      <c r="AA4979" s="21" t="str">
        <f>HYPERLINK("https://www.ncbi.nlm.nih.gov/nuccore/MK373777","NCBI Nucleotide")</f>
        <v>NCBI Nucleotide</v>
      </c>
    </row>
    <row r="4980" spans="1:27" x14ac:dyDescent="0.35">
      <c r="A4980">
        <v>1006729</v>
      </c>
      <c r="B4980">
        <v>4956</v>
      </c>
      <c r="C4980">
        <v>1</v>
      </c>
      <c r="D4980" s="17" t="s">
        <v>155</v>
      </c>
      <c r="E4980" s="17"/>
      <c r="F4980" s="17" t="s">
        <v>156</v>
      </c>
      <c r="G4980" s="17"/>
      <c r="H4980" s="17" t="s">
        <v>692</v>
      </c>
      <c r="I4980" s="17"/>
      <c r="J4980" s="17" t="s">
        <v>693</v>
      </c>
      <c r="K4980" s="17"/>
      <c r="L4980" s="17"/>
      <c r="M4980" s="17"/>
      <c r="N4980" s="17"/>
      <c r="O4980" s="17"/>
      <c r="P4980" s="17" t="s">
        <v>4246</v>
      </c>
      <c r="Q4980" s="17"/>
      <c r="R4980" s="25" t="str">
        <f>HYPERLINK("https://ictv.global/taxonomy/taxondetails?taxnode_id=202308077","Wifcevirus WFH")</f>
        <v>Wifcevirus WFH</v>
      </c>
      <c r="S4980" s="18" t="s">
        <v>30</v>
      </c>
      <c r="T4980" s="18" t="s">
        <v>4253</v>
      </c>
      <c r="U4980" s="18"/>
      <c r="V4980" s="18"/>
      <c r="W4980" s="18" t="s">
        <v>4254</v>
      </c>
      <c r="X4980" s="18" t="s">
        <v>42</v>
      </c>
      <c r="Y4980" s="18" t="s">
        <v>36</v>
      </c>
      <c r="Z4980" s="18" t="s">
        <v>697</v>
      </c>
      <c r="AA4980" s="21" t="str">
        <f>HYPERLINK("https://www.ncbi.nlm.nih.gov/nuccore/MK373776","NCBI Nucleotide")</f>
        <v>NCBI Nucleotide</v>
      </c>
    </row>
    <row r="4981" spans="1:27" x14ac:dyDescent="0.35">
      <c r="A4981">
        <v>1006730</v>
      </c>
      <c r="B4981">
        <v>4957</v>
      </c>
      <c r="C4981">
        <v>1</v>
      </c>
      <c r="D4981" s="17" t="s">
        <v>155</v>
      </c>
      <c r="E4981" s="17"/>
      <c r="F4981" s="17" t="s">
        <v>156</v>
      </c>
      <c r="G4981" s="17"/>
      <c r="H4981" s="17" t="s">
        <v>692</v>
      </c>
      <c r="I4981" s="17"/>
      <c r="J4981" s="17" t="s">
        <v>693</v>
      </c>
      <c r="K4981" s="17"/>
      <c r="L4981" s="17"/>
      <c r="M4981" s="17"/>
      <c r="N4981" s="17"/>
      <c r="O4981" s="17"/>
      <c r="P4981" s="17" t="s">
        <v>4255</v>
      </c>
      <c r="Q4981" s="17"/>
      <c r="R4981" s="25" t="str">
        <f>HYPERLINK("https://ictv.global/taxonomy/taxondetails?taxnode_id=202313384","Wizardvirus Arri")</f>
        <v>Wizardvirus Arri</v>
      </c>
      <c r="S4981" s="18" t="s">
        <v>30</v>
      </c>
      <c r="T4981" s="18" t="s">
        <v>4256</v>
      </c>
      <c r="U4981" s="18"/>
      <c r="V4981" s="18"/>
      <c r="W4981" s="18" t="s">
        <v>4257</v>
      </c>
      <c r="X4981" s="18" t="s">
        <v>42</v>
      </c>
      <c r="Y4981" s="18" t="s">
        <v>36</v>
      </c>
      <c r="Z4981" s="18" t="s">
        <v>697</v>
      </c>
      <c r="AA4981" s="21" t="str">
        <f>HYPERLINK("https://www.ncbi.nlm.nih.gov/nuccore/MK864266","NCBI Nucleotide")</f>
        <v>NCBI Nucleotide</v>
      </c>
    </row>
    <row r="4982" spans="1:27" x14ac:dyDescent="0.35">
      <c r="A4982">
        <v>1006731</v>
      </c>
      <c r="B4982">
        <v>4958</v>
      </c>
      <c r="C4982">
        <v>1</v>
      </c>
      <c r="D4982" s="17" t="s">
        <v>155</v>
      </c>
      <c r="E4982" s="17"/>
      <c r="F4982" s="17" t="s">
        <v>156</v>
      </c>
      <c r="G4982" s="17"/>
      <c r="H4982" s="17" t="s">
        <v>692</v>
      </c>
      <c r="I4982" s="17"/>
      <c r="J4982" s="17" t="s">
        <v>693</v>
      </c>
      <c r="K4982" s="17"/>
      <c r="L4982" s="17"/>
      <c r="M4982" s="17"/>
      <c r="N4982" s="17"/>
      <c r="O4982" s="17"/>
      <c r="P4982" s="17" t="s">
        <v>4255</v>
      </c>
      <c r="Q4982" s="17"/>
      <c r="R4982" s="25" t="str">
        <f>HYPERLINK("https://ictv.global/taxonomy/taxondetails?taxnode_id=202312763","Wizardvirus bakery")</f>
        <v>Wizardvirus bakery</v>
      </c>
      <c r="S4982" s="18" t="s">
        <v>30</v>
      </c>
      <c r="T4982" s="18" t="s">
        <v>4258</v>
      </c>
      <c r="U4982" s="18"/>
      <c r="V4982" s="18"/>
      <c r="W4982" s="18" t="s">
        <v>4259</v>
      </c>
      <c r="X4982" s="18" t="s">
        <v>42</v>
      </c>
      <c r="Y4982" s="18" t="s">
        <v>36</v>
      </c>
      <c r="Z4982" s="18" t="s">
        <v>697</v>
      </c>
      <c r="AA4982" s="21" t="str">
        <f>HYPERLINK("https://www.ncbi.nlm.nih.gov/nuccore/MK937603","NCBI Nucleotide")</f>
        <v>NCBI Nucleotide</v>
      </c>
    </row>
    <row r="4983" spans="1:27" x14ac:dyDescent="0.35">
      <c r="A4983">
        <v>1006732</v>
      </c>
      <c r="B4983">
        <v>4959</v>
      </c>
      <c r="C4983">
        <v>1</v>
      </c>
      <c r="D4983" s="17" t="s">
        <v>155</v>
      </c>
      <c r="E4983" s="17"/>
      <c r="F4983" s="17" t="s">
        <v>156</v>
      </c>
      <c r="G4983" s="17"/>
      <c r="H4983" s="17" t="s">
        <v>692</v>
      </c>
      <c r="I4983" s="17"/>
      <c r="J4983" s="17" t="s">
        <v>693</v>
      </c>
      <c r="K4983" s="17"/>
      <c r="L4983" s="17"/>
      <c r="M4983" s="17"/>
      <c r="N4983" s="17"/>
      <c r="O4983" s="17"/>
      <c r="P4983" s="17" t="s">
        <v>4255</v>
      </c>
      <c r="Q4983" s="17"/>
      <c r="R4983" s="25" t="str">
        <f>HYPERLINK("https://ictv.global/taxonomy/taxondetails?taxnode_id=202313381","Wizardvirus barb")</f>
        <v>Wizardvirus barb</v>
      </c>
      <c r="S4983" s="18" t="s">
        <v>30</v>
      </c>
      <c r="T4983" s="18" t="s">
        <v>4260</v>
      </c>
      <c r="U4983" s="18"/>
      <c r="V4983" s="18"/>
      <c r="W4983" s="18" t="s">
        <v>4261</v>
      </c>
      <c r="X4983" s="18" t="s">
        <v>42</v>
      </c>
      <c r="Y4983" s="18" t="s">
        <v>36</v>
      </c>
      <c r="Z4983" s="18" t="s">
        <v>697</v>
      </c>
      <c r="AA4983" s="21" t="str">
        <f>HYPERLINK("https://www.ncbi.nlm.nih.gov/nuccore/MK864265","NCBI Nucleotide")</f>
        <v>NCBI Nucleotide</v>
      </c>
    </row>
    <row r="4984" spans="1:27" x14ac:dyDescent="0.35">
      <c r="A4984">
        <v>1006733</v>
      </c>
      <c r="B4984">
        <v>4960</v>
      </c>
      <c r="C4984">
        <v>1</v>
      </c>
      <c r="D4984" s="17" t="s">
        <v>155</v>
      </c>
      <c r="E4984" s="17"/>
      <c r="F4984" s="17" t="s">
        <v>156</v>
      </c>
      <c r="G4984" s="17"/>
      <c r="H4984" s="17" t="s">
        <v>692</v>
      </c>
      <c r="I4984" s="17"/>
      <c r="J4984" s="17" t="s">
        <v>693</v>
      </c>
      <c r="K4984" s="17"/>
      <c r="L4984" s="17"/>
      <c r="M4984" s="17"/>
      <c r="N4984" s="17"/>
      <c r="O4984" s="17"/>
      <c r="P4984" s="17" t="s">
        <v>4255</v>
      </c>
      <c r="Q4984" s="17"/>
      <c r="R4984" s="25" t="str">
        <f>HYPERLINK("https://ictv.global/taxonomy/taxondetails?taxnode_id=202312767","Wizardvirus danyall")</f>
        <v>Wizardvirus danyall</v>
      </c>
      <c r="S4984" s="18" t="s">
        <v>30</v>
      </c>
      <c r="T4984" s="18" t="s">
        <v>4262</v>
      </c>
      <c r="U4984" s="18"/>
      <c r="V4984" s="18"/>
      <c r="W4984" s="18" t="s">
        <v>4263</v>
      </c>
      <c r="X4984" s="18" t="s">
        <v>42</v>
      </c>
      <c r="Y4984" s="18" t="s">
        <v>36</v>
      </c>
      <c r="Z4984" s="18" t="s">
        <v>697</v>
      </c>
      <c r="AA4984" s="21" t="str">
        <f>HYPERLINK("https://www.ncbi.nlm.nih.gov/nuccore/MH479910","NCBI Nucleotide")</f>
        <v>NCBI Nucleotide</v>
      </c>
    </row>
    <row r="4985" spans="1:27" x14ac:dyDescent="0.35">
      <c r="A4985">
        <v>1006734</v>
      </c>
      <c r="B4985">
        <v>4961</v>
      </c>
      <c r="C4985">
        <v>1</v>
      </c>
      <c r="D4985" s="17" t="s">
        <v>155</v>
      </c>
      <c r="E4985" s="17"/>
      <c r="F4985" s="17" t="s">
        <v>156</v>
      </c>
      <c r="G4985" s="17"/>
      <c r="H4985" s="17" t="s">
        <v>692</v>
      </c>
      <c r="I4985" s="17"/>
      <c r="J4985" s="17" t="s">
        <v>693</v>
      </c>
      <c r="K4985" s="17"/>
      <c r="L4985" s="17"/>
      <c r="M4985" s="17"/>
      <c r="N4985" s="17"/>
      <c r="O4985" s="17"/>
      <c r="P4985" s="17" t="s">
        <v>4255</v>
      </c>
      <c r="Q4985" s="17"/>
      <c r="R4985" s="25" t="str">
        <f>HYPERLINK("https://ictv.global/taxonomy/taxondetails?taxnode_id=202313377","Wizardvirus evamon")</f>
        <v>Wizardvirus evamon</v>
      </c>
      <c r="S4985" s="18" t="s">
        <v>30</v>
      </c>
      <c r="T4985" s="18" t="s">
        <v>4264</v>
      </c>
      <c r="U4985" s="18"/>
      <c r="V4985" s="18"/>
      <c r="W4985" s="18" t="s">
        <v>4265</v>
      </c>
      <c r="X4985" s="18" t="s">
        <v>42</v>
      </c>
      <c r="Y4985" s="18" t="s">
        <v>36</v>
      </c>
      <c r="Z4985" s="18" t="s">
        <v>697</v>
      </c>
      <c r="AA4985" s="21" t="str">
        <f>HYPERLINK("https://www.ncbi.nlm.nih.gov/nuccore/MT310872","NCBI Nucleotide")</f>
        <v>NCBI Nucleotide</v>
      </c>
    </row>
    <row r="4986" spans="1:27" x14ac:dyDescent="0.35">
      <c r="A4986">
        <v>1006735</v>
      </c>
      <c r="B4986">
        <v>4962</v>
      </c>
      <c r="C4986">
        <v>1</v>
      </c>
      <c r="D4986" s="17" t="s">
        <v>155</v>
      </c>
      <c r="E4986" s="17"/>
      <c r="F4986" s="17" t="s">
        <v>156</v>
      </c>
      <c r="G4986" s="17"/>
      <c r="H4986" s="17" t="s">
        <v>692</v>
      </c>
      <c r="I4986" s="17"/>
      <c r="J4986" s="17" t="s">
        <v>693</v>
      </c>
      <c r="K4986" s="17"/>
      <c r="L4986" s="17"/>
      <c r="M4986" s="17"/>
      <c r="N4986" s="17"/>
      <c r="O4986" s="17"/>
      <c r="P4986" s="17" t="s">
        <v>4255</v>
      </c>
      <c r="Q4986" s="17"/>
      <c r="R4986" s="25" t="str">
        <f>HYPERLINK("https://ictv.global/taxonomy/taxondetails?taxnode_id=202312766","Wizardvirus fireball")</f>
        <v>Wizardvirus fireball</v>
      </c>
      <c r="S4986" s="18" t="s">
        <v>30</v>
      </c>
      <c r="T4986" s="18" t="s">
        <v>4266</v>
      </c>
      <c r="U4986" s="18"/>
      <c r="V4986" s="18"/>
      <c r="W4986" s="18" t="s">
        <v>4267</v>
      </c>
      <c r="X4986" s="18" t="s">
        <v>42</v>
      </c>
      <c r="Y4986" s="18" t="s">
        <v>36</v>
      </c>
      <c r="Z4986" s="18" t="s">
        <v>697</v>
      </c>
      <c r="AA4986" s="21" t="str">
        <f>HYPERLINK("https://www.ncbi.nlm.nih.gov/nuccore/MN284907","NCBI Nucleotide")</f>
        <v>NCBI Nucleotide</v>
      </c>
    </row>
    <row r="4987" spans="1:27" x14ac:dyDescent="0.35">
      <c r="A4987">
        <v>1006736</v>
      </c>
      <c r="B4987">
        <v>4963</v>
      </c>
      <c r="C4987">
        <v>1</v>
      </c>
      <c r="D4987" s="17" t="s">
        <v>155</v>
      </c>
      <c r="E4987" s="17"/>
      <c r="F4987" s="17" t="s">
        <v>156</v>
      </c>
      <c r="G4987" s="17"/>
      <c r="H4987" s="17" t="s">
        <v>692</v>
      </c>
      <c r="I4987" s="17"/>
      <c r="J4987" s="17" t="s">
        <v>693</v>
      </c>
      <c r="K4987" s="17"/>
      <c r="L4987" s="17"/>
      <c r="M4987" s="17"/>
      <c r="N4987" s="17"/>
      <c r="O4987" s="17"/>
      <c r="P4987" s="17" t="s">
        <v>4255</v>
      </c>
      <c r="Q4987" s="17"/>
      <c r="R4987" s="25" t="str">
        <f>HYPERLINK("https://ictv.global/taxonomy/taxondetails?taxnode_id=202312768","Wizardvirus jambalaya")</f>
        <v>Wizardvirus jambalaya</v>
      </c>
      <c r="S4987" s="18" t="s">
        <v>30</v>
      </c>
      <c r="T4987" s="18" t="s">
        <v>4268</v>
      </c>
      <c r="U4987" s="18"/>
      <c r="V4987" s="18"/>
      <c r="W4987" s="18" t="s">
        <v>4269</v>
      </c>
      <c r="X4987" s="18" t="s">
        <v>42</v>
      </c>
      <c r="Y4987" s="18" t="s">
        <v>36</v>
      </c>
      <c r="Z4987" s="18" t="s">
        <v>697</v>
      </c>
      <c r="AA4987" s="21" t="str">
        <f>HYPERLINK("https://www.ncbi.nlm.nih.gov/nuccore/MT521998","NCBI Nucleotide")</f>
        <v>NCBI Nucleotide</v>
      </c>
    </row>
    <row r="4988" spans="1:27" x14ac:dyDescent="0.35">
      <c r="A4988">
        <v>1006737</v>
      </c>
      <c r="B4988">
        <v>4964</v>
      </c>
      <c r="C4988">
        <v>1</v>
      </c>
      <c r="D4988" s="17" t="s">
        <v>155</v>
      </c>
      <c r="E4988" s="17"/>
      <c r="F4988" s="17" t="s">
        <v>156</v>
      </c>
      <c r="G4988" s="17"/>
      <c r="H4988" s="17" t="s">
        <v>692</v>
      </c>
      <c r="I4988" s="17"/>
      <c r="J4988" s="17" t="s">
        <v>693</v>
      </c>
      <c r="K4988" s="17"/>
      <c r="L4988" s="17"/>
      <c r="M4988" s="17"/>
      <c r="N4988" s="17"/>
      <c r="O4988" s="17"/>
      <c r="P4988" s="17" t="s">
        <v>4255</v>
      </c>
      <c r="Q4988" s="17"/>
      <c r="R4988" s="25" t="str">
        <f>HYPERLINK("https://ictv.global/taxonomy/taxondetails?taxnode_id=202313379","Wizardvirus kimmyK")</f>
        <v>Wizardvirus kimmyK</v>
      </c>
      <c r="S4988" s="18" t="s">
        <v>30</v>
      </c>
      <c r="T4988" s="18" t="s">
        <v>4270</v>
      </c>
      <c r="U4988" s="18"/>
      <c r="V4988" s="18"/>
      <c r="W4988" s="18" t="s">
        <v>4271</v>
      </c>
      <c r="X4988" s="18" t="s">
        <v>42</v>
      </c>
      <c r="Y4988" s="18" t="s">
        <v>36</v>
      </c>
      <c r="Z4988" s="18" t="s">
        <v>697</v>
      </c>
      <c r="AA4988" s="21" t="str">
        <f>HYPERLINK("https://www.ncbi.nlm.nih.gov/nuccore/MH479917","NCBI Nucleotide")</f>
        <v>NCBI Nucleotide</v>
      </c>
    </row>
    <row r="4989" spans="1:27" x14ac:dyDescent="0.35">
      <c r="A4989">
        <v>1006738</v>
      </c>
      <c r="B4989">
        <v>4965</v>
      </c>
      <c r="C4989">
        <v>1</v>
      </c>
      <c r="D4989" s="17" t="s">
        <v>155</v>
      </c>
      <c r="E4989" s="17"/>
      <c r="F4989" s="17" t="s">
        <v>156</v>
      </c>
      <c r="G4989" s="17"/>
      <c r="H4989" s="17" t="s">
        <v>692</v>
      </c>
      <c r="I4989" s="17"/>
      <c r="J4989" s="17" t="s">
        <v>693</v>
      </c>
      <c r="K4989" s="17"/>
      <c r="L4989" s="17"/>
      <c r="M4989" s="17"/>
      <c r="N4989" s="17"/>
      <c r="O4989" s="17"/>
      <c r="P4989" s="17" t="s">
        <v>4255</v>
      </c>
      <c r="Q4989" s="17"/>
      <c r="R4989" s="25" t="str">
        <f>HYPERLINK("https://ictv.global/taxonomy/taxondetails?taxnode_id=202312764","Wizardvirus mutzi")</f>
        <v>Wizardvirus mutzi</v>
      </c>
      <c r="S4989" s="18" t="s">
        <v>30</v>
      </c>
      <c r="T4989" s="18" t="s">
        <v>4272</v>
      </c>
      <c r="U4989" s="18"/>
      <c r="V4989" s="18"/>
      <c r="W4989" s="18" t="s">
        <v>4273</v>
      </c>
      <c r="X4989" s="18" t="s">
        <v>42</v>
      </c>
      <c r="Y4989" s="18" t="s">
        <v>36</v>
      </c>
      <c r="Z4989" s="18" t="s">
        <v>697</v>
      </c>
      <c r="AA4989" s="21" t="str">
        <f>HYPERLINK("https://www.ncbi.nlm.nih.gov/nuccore/MK305889","NCBI Nucleotide")</f>
        <v>NCBI Nucleotide</v>
      </c>
    </row>
    <row r="4990" spans="1:27" x14ac:dyDescent="0.35">
      <c r="A4990">
        <v>1006739</v>
      </c>
      <c r="B4990">
        <v>4966</v>
      </c>
      <c r="C4990">
        <v>1</v>
      </c>
      <c r="D4990" s="17" t="s">
        <v>155</v>
      </c>
      <c r="E4990" s="17"/>
      <c r="F4990" s="17" t="s">
        <v>156</v>
      </c>
      <c r="G4990" s="17"/>
      <c r="H4990" s="17" t="s">
        <v>692</v>
      </c>
      <c r="I4990" s="17"/>
      <c r="J4990" s="17" t="s">
        <v>693</v>
      </c>
      <c r="K4990" s="17"/>
      <c r="L4990" s="17"/>
      <c r="M4990" s="17"/>
      <c r="N4990" s="17"/>
      <c r="O4990" s="17"/>
      <c r="P4990" s="17" t="s">
        <v>4255</v>
      </c>
      <c r="Q4990" s="17"/>
      <c r="R4990" s="25" t="str">
        <f>HYPERLINK("https://ictv.global/taxonomy/taxondetails?taxnode_id=202313375","Wizardvirus nubi")</f>
        <v>Wizardvirus nubi</v>
      </c>
      <c r="S4990" s="18" t="s">
        <v>30</v>
      </c>
      <c r="T4990" s="18" t="s">
        <v>4274</v>
      </c>
      <c r="U4990" s="18"/>
      <c r="V4990" s="18"/>
      <c r="W4990" s="18" t="s">
        <v>4275</v>
      </c>
      <c r="X4990" s="18" t="s">
        <v>42</v>
      </c>
      <c r="Y4990" s="18" t="s">
        <v>36</v>
      </c>
      <c r="Z4990" s="18" t="s">
        <v>697</v>
      </c>
      <c r="AA4990" s="21" t="str">
        <f>HYPERLINK("https://www.ncbi.nlm.nih.gov/nuccore/MN010760","NCBI Nucleotide")</f>
        <v>NCBI Nucleotide</v>
      </c>
    </row>
    <row r="4991" spans="1:27" x14ac:dyDescent="0.35">
      <c r="A4991">
        <v>1006740</v>
      </c>
      <c r="B4991">
        <v>4967</v>
      </c>
      <c r="C4991">
        <v>1</v>
      </c>
      <c r="D4991" s="17" t="s">
        <v>155</v>
      </c>
      <c r="E4991" s="17"/>
      <c r="F4991" s="17" t="s">
        <v>156</v>
      </c>
      <c r="G4991" s="17"/>
      <c r="H4991" s="17" t="s">
        <v>692</v>
      </c>
      <c r="I4991" s="17"/>
      <c r="J4991" s="17" t="s">
        <v>693</v>
      </c>
      <c r="K4991" s="17"/>
      <c r="L4991" s="17"/>
      <c r="M4991" s="17"/>
      <c r="N4991" s="17"/>
      <c r="O4991" s="17"/>
      <c r="P4991" s="17" t="s">
        <v>4255</v>
      </c>
      <c r="Q4991" s="17"/>
      <c r="R4991" s="25" t="str">
        <f>HYPERLINK("https://ictv.global/taxonomy/taxondetails?taxnode_id=202313378","Wizardvirus phlop")</f>
        <v>Wizardvirus phlop</v>
      </c>
      <c r="S4991" s="18" t="s">
        <v>30</v>
      </c>
      <c r="T4991" s="18" t="s">
        <v>4276</v>
      </c>
      <c r="U4991" s="18"/>
      <c r="V4991" s="18"/>
      <c r="W4991" s="18" t="s">
        <v>4277</v>
      </c>
      <c r="X4991" s="18" t="s">
        <v>42</v>
      </c>
      <c r="Y4991" s="18" t="s">
        <v>36</v>
      </c>
      <c r="Z4991" s="18" t="s">
        <v>697</v>
      </c>
      <c r="AA4991" s="21" t="str">
        <f>HYPERLINK("https://www.ncbi.nlm.nih.gov/nuccore/MW507125","NCBI Nucleotide")</f>
        <v>NCBI Nucleotide</v>
      </c>
    </row>
    <row r="4992" spans="1:27" x14ac:dyDescent="0.35">
      <c r="A4992">
        <v>1006741</v>
      </c>
      <c r="B4992">
        <v>4968</v>
      </c>
      <c r="C4992">
        <v>1</v>
      </c>
      <c r="D4992" s="17" t="s">
        <v>155</v>
      </c>
      <c r="E4992" s="17"/>
      <c r="F4992" s="17" t="s">
        <v>156</v>
      </c>
      <c r="G4992" s="17"/>
      <c r="H4992" s="17" t="s">
        <v>692</v>
      </c>
      <c r="I4992" s="17"/>
      <c r="J4992" s="17" t="s">
        <v>693</v>
      </c>
      <c r="K4992" s="17"/>
      <c r="L4992" s="17"/>
      <c r="M4992" s="17"/>
      <c r="N4992" s="17"/>
      <c r="O4992" s="17"/>
      <c r="P4992" s="17" t="s">
        <v>4255</v>
      </c>
      <c r="Q4992" s="17"/>
      <c r="R4992" s="25" t="str">
        <f>HYPERLINK("https://ictv.global/taxonomy/taxondetails?taxnode_id=202313374","Wizardvirus portcullis")</f>
        <v>Wizardvirus portcullis</v>
      </c>
      <c r="S4992" s="18" t="s">
        <v>30</v>
      </c>
      <c r="T4992" s="18" t="s">
        <v>4278</v>
      </c>
      <c r="U4992" s="18"/>
      <c r="V4992" s="18"/>
      <c r="W4992" s="18" t="s">
        <v>4279</v>
      </c>
      <c r="X4992" s="18" t="s">
        <v>42</v>
      </c>
      <c r="Y4992" s="18" t="s">
        <v>36</v>
      </c>
      <c r="Z4992" s="18" t="s">
        <v>697</v>
      </c>
      <c r="AA4992" s="21" t="str">
        <f>HYPERLINK("https://www.ncbi.nlm.nih.gov/nuccore/MT639651","NCBI Nucleotide")</f>
        <v>NCBI Nucleotide</v>
      </c>
    </row>
    <row r="4993" spans="1:27" x14ac:dyDescent="0.35">
      <c r="A4993">
        <v>1006742</v>
      </c>
      <c r="B4993">
        <v>4969</v>
      </c>
      <c r="C4993">
        <v>1</v>
      </c>
      <c r="D4993" s="17" t="s">
        <v>155</v>
      </c>
      <c r="E4993" s="17"/>
      <c r="F4993" s="17" t="s">
        <v>156</v>
      </c>
      <c r="G4993" s="17"/>
      <c r="H4993" s="17" t="s">
        <v>692</v>
      </c>
      <c r="I4993" s="17"/>
      <c r="J4993" s="17" t="s">
        <v>693</v>
      </c>
      <c r="K4993" s="17"/>
      <c r="L4993" s="17"/>
      <c r="M4993" s="17"/>
      <c r="N4993" s="17"/>
      <c r="O4993" s="17"/>
      <c r="P4993" s="17" t="s">
        <v>4255</v>
      </c>
      <c r="Q4993" s="17"/>
      <c r="R4993" s="25" t="str">
        <f>HYPERLINK("https://ictv.global/taxonomy/taxondetails?taxnode_id=202313382","Wizardvirus rogerdodger")</f>
        <v>Wizardvirus rogerdodger</v>
      </c>
      <c r="S4993" s="18" t="s">
        <v>30</v>
      </c>
      <c r="T4993" s="18" t="s">
        <v>4280</v>
      </c>
      <c r="U4993" s="18"/>
      <c r="V4993" s="18"/>
      <c r="W4993" s="18" t="s">
        <v>4281</v>
      </c>
      <c r="X4993" s="18" t="s">
        <v>42</v>
      </c>
      <c r="Y4993" s="18" t="s">
        <v>36</v>
      </c>
      <c r="Z4993" s="18" t="s">
        <v>697</v>
      </c>
      <c r="AA4993" s="21" t="str">
        <f>HYPERLINK("https://www.ncbi.nlm.nih.gov/nuccore/MK967381","NCBI Nucleotide")</f>
        <v>NCBI Nucleotide</v>
      </c>
    </row>
    <row r="4994" spans="1:27" x14ac:dyDescent="0.35">
      <c r="A4994">
        <v>1006743</v>
      </c>
      <c r="B4994">
        <v>4970</v>
      </c>
      <c r="C4994">
        <v>1</v>
      </c>
      <c r="D4994" s="17" t="s">
        <v>155</v>
      </c>
      <c r="E4994" s="17"/>
      <c r="F4994" s="17" t="s">
        <v>156</v>
      </c>
      <c r="G4994" s="17"/>
      <c r="H4994" s="17" t="s">
        <v>692</v>
      </c>
      <c r="I4994" s="17"/>
      <c r="J4994" s="17" t="s">
        <v>693</v>
      </c>
      <c r="K4994" s="17"/>
      <c r="L4994" s="17"/>
      <c r="M4994" s="17"/>
      <c r="N4994" s="17"/>
      <c r="O4994" s="17"/>
      <c r="P4994" s="17" t="s">
        <v>4255</v>
      </c>
      <c r="Q4994" s="17"/>
      <c r="R4994" s="25" t="str">
        <f>HYPERLINK("https://ictv.global/taxonomy/taxondetails?taxnode_id=202313376","Wizardvirus smokingbunny")</f>
        <v>Wizardvirus smokingbunny</v>
      </c>
      <c r="S4994" s="18" t="s">
        <v>30</v>
      </c>
      <c r="T4994" s="18" t="s">
        <v>4282</v>
      </c>
      <c r="U4994" s="18"/>
      <c r="V4994" s="18"/>
      <c r="W4994" s="18" t="s">
        <v>4283</v>
      </c>
      <c r="X4994" s="18" t="s">
        <v>42</v>
      </c>
      <c r="Y4994" s="18" t="s">
        <v>36</v>
      </c>
      <c r="Z4994" s="18" t="s">
        <v>697</v>
      </c>
      <c r="AA4994" s="21" t="str">
        <f>HYPERLINK("https://www.ncbi.nlm.nih.gov/nuccore/MK814761","NCBI Nucleotide")</f>
        <v>NCBI Nucleotide</v>
      </c>
    </row>
    <row r="4995" spans="1:27" x14ac:dyDescent="0.35">
      <c r="A4995">
        <v>1006744</v>
      </c>
      <c r="B4995">
        <v>4971</v>
      </c>
      <c r="C4995">
        <v>1</v>
      </c>
      <c r="D4995" s="17" t="s">
        <v>155</v>
      </c>
      <c r="E4995" s="17"/>
      <c r="F4995" s="17" t="s">
        <v>156</v>
      </c>
      <c r="G4995" s="17"/>
      <c r="H4995" s="17" t="s">
        <v>692</v>
      </c>
      <c r="I4995" s="17"/>
      <c r="J4995" s="17" t="s">
        <v>693</v>
      </c>
      <c r="K4995" s="17"/>
      <c r="L4995" s="17"/>
      <c r="M4995" s="17"/>
      <c r="N4995" s="17"/>
      <c r="O4995" s="17"/>
      <c r="P4995" s="17" t="s">
        <v>4255</v>
      </c>
      <c r="Q4995" s="17"/>
      <c r="R4995" s="25" t="str">
        <f>HYPERLINK("https://ictv.global/taxonomy/taxondetails?taxnode_id=202312765","Wizardvirus tillybobjoe")</f>
        <v>Wizardvirus tillybobjoe</v>
      </c>
      <c r="S4995" s="18" t="s">
        <v>30</v>
      </c>
      <c r="T4995" s="18" t="s">
        <v>4284</v>
      </c>
      <c r="U4995" s="18"/>
      <c r="V4995" s="18"/>
      <c r="W4995" s="18" t="s">
        <v>4285</v>
      </c>
      <c r="X4995" s="18" t="s">
        <v>42</v>
      </c>
      <c r="Y4995" s="18" t="s">
        <v>36</v>
      </c>
      <c r="Z4995" s="18" t="s">
        <v>697</v>
      </c>
      <c r="AA4995" s="21" t="str">
        <f>HYPERLINK("https://www.ncbi.nlm.nih.gov/nuccore/MH669015","NCBI Nucleotide")</f>
        <v>NCBI Nucleotide</v>
      </c>
    </row>
    <row r="4996" spans="1:27" x14ac:dyDescent="0.35">
      <c r="A4996">
        <v>1006745</v>
      </c>
      <c r="B4996">
        <v>4972</v>
      </c>
      <c r="C4996">
        <v>1</v>
      </c>
      <c r="D4996" s="17" t="s">
        <v>155</v>
      </c>
      <c r="E4996" s="17"/>
      <c r="F4996" s="17" t="s">
        <v>156</v>
      </c>
      <c r="G4996" s="17"/>
      <c r="H4996" s="17" t="s">
        <v>692</v>
      </c>
      <c r="I4996" s="17"/>
      <c r="J4996" s="17" t="s">
        <v>693</v>
      </c>
      <c r="K4996" s="17"/>
      <c r="L4996" s="17"/>
      <c r="M4996" s="17"/>
      <c r="N4996" s="17"/>
      <c r="O4996" s="17"/>
      <c r="P4996" s="17" t="s">
        <v>4255</v>
      </c>
      <c r="Q4996" s="17"/>
      <c r="R4996" s="25" t="str">
        <f>HYPERLINK("https://ictv.global/taxonomy/taxondetails?taxnode_id=202305567","Wizardvirus twister6")</f>
        <v>Wizardvirus twister6</v>
      </c>
      <c r="S4996" s="18" t="s">
        <v>30</v>
      </c>
      <c r="T4996" s="18" t="s">
        <v>4286</v>
      </c>
      <c r="U4996" s="18"/>
      <c r="V4996" s="18"/>
      <c r="W4996" s="18" t="s">
        <v>4287</v>
      </c>
      <c r="X4996" s="18" t="s">
        <v>42</v>
      </c>
      <c r="Y4996" s="18" t="s">
        <v>36</v>
      </c>
      <c r="Z4996" s="18" t="s">
        <v>697</v>
      </c>
      <c r="AA4996" s="21" t="str">
        <f>HYPERLINK("https://www.ncbi.nlm.nih.gov/nuccore/KX557286","NCBI Nucleotide")</f>
        <v>NCBI Nucleotide</v>
      </c>
    </row>
    <row r="4997" spans="1:27" x14ac:dyDescent="0.35">
      <c r="A4997">
        <v>1006746</v>
      </c>
      <c r="B4997">
        <v>4973</v>
      </c>
      <c r="C4997">
        <v>1</v>
      </c>
      <c r="D4997" s="17" t="s">
        <v>155</v>
      </c>
      <c r="E4997" s="17"/>
      <c r="F4997" s="17" t="s">
        <v>156</v>
      </c>
      <c r="G4997" s="17"/>
      <c r="H4997" s="17" t="s">
        <v>692</v>
      </c>
      <c r="I4997" s="17"/>
      <c r="J4997" s="17" t="s">
        <v>693</v>
      </c>
      <c r="K4997" s="17"/>
      <c r="L4997" s="17"/>
      <c r="M4997" s="17"/>
      <c r="N4997" s="17"/>
      <c r="O4997" s="17"/>
      <c r="P4997" s="17" t="s">
        <v>4255</v>
      </c>
      <c r="Q4997" s="17"/>
      <c r="R4997" s="25" t="str">
        <f>HYPERLINK("https://ictv.global/taxonomy/taxondetails?taxnode_id=202313380","Wizardvirus valary")</f>
        <v>Wizardvirus valary</v>
      </c>
      <c r="S4997" s="18" t="s">
        <v>30</v>
      </c>
      <c r="T4997" s="18" t="s">
        <v>4288</v>
      </c>
      <c r="U4997" s="18"/>
      <c r="V4997" s="18"/>
      <c r="W4997" s="18" t="s">
        <v>4289</v>
      </c>
      <c r="X4997" s="18" t="s">
        <v>42</v>
      </c>
      <c r="Y4997" s="18" t="s">
        <v>36</v>
      </c>
      <c r="Z4997" s="18" t="s">
        <v>697</v>
      </c>
      <c r="AA4997" s="21" t="str">
        <f>HYPERLINK("https://www.ncbi.nlm.nih.gov/nuccore/MK864267","NCBI Nucleotide")</f>
        <v>NCBI Nucleotide</v>
      </c>
    </row>
    <row r="4998" spans="1:27" x14ac:dyDescent="0.35">
      <c r="A4998">
        <v>1006747</v>
      </c>
      <c r="B4998">
        <v>4974</v>
      </c>
      <c r="C4998">
        <v>1</v>
      </c>
      <c r="D4998" s="17" t="s">
        <v>155</v>
      </c>
      <c r="E4998" s="17"/>
      <c r="F4998" s="17" t="s">
        <v>156</v>
      </c>
      <c r="G4998" s="17"/>
      <c r="H4998" s="17" t="s">
        <v>692</v>
      </c>
      <c r="I4998" s="17"/>
      <c r="J4998" s="17" t="s">
        <v>693</v>
      </c>
      <c r="K4998" s="17"/>
      <c r="L4998" s="17"/>
      <c r="M4998" s="17"/>
      <c r="N4998" s="17"/>
      <c r="O4998" s="17"/>
      <c r="P4998" s="17" t="s">
        <v>4255</v>
      </c>
      <c r="Q4998" s="17"/>
      <c r="R4998" s="25" t="str">
        <f>HYPERLINK("https://ictv.global/taxonomy/taxondetails?taxnode_id=202313383","Wizardvirus vandewege")</f>
        <v>Wizardvirus vandewege</v>
      </c>
      <c r="S4998" s="18" t="s">
        <v>30</v>
      </c>
      <c r="T4998" s="18" t="s">
        <v>4290</v>
      </c>
      <c r="U4998" s="18"/>
      <c r="V4998" s="18"/>
      <c r="W4998" s="18" t="s">
        <v>4291</v>
      </c>
      <c r="X4998" s="18" t="s">
        <v>42</v>
      </c>
      <c r="Y4998" s="18" t="s">
        <v>36</v>
      </c>
      <c r="Z4998" s="18" t="s">
        <v>697</v>
      </c>
      <c r="AA4998" s="21" t="str">
        <f>HYPERLINK("https://www.ncbi.nlm.nih.gov/nuccore/MK864264","NCBI Nucleotide")</f>
        <v>NCBI Nucleotide</v>
      </c>
    </row>
    <row r="4999" spans="1:27" x14ac:dyDescent="0.35">
      <c r="A4999">
        <v>1006748</v>
      </c>
      <c r="B4999">
        <v>4975</v>
      </c>
      <c r="C4999">
        <v>1</v>
      </c>
      <c r="D4999" s="17" t="s">
        <v>155</v>
      </c>
      <c r="E4999" s="17"/>
      <c r="F4999" s="17" t="s">
        <v>156</v>
      </c>
      <c r="G4999" s="17"/>
      <c r="H4999" s="17" t="s">
        <v>692</v>
      </c>
      <c r="I4999" s="17"/>
      <c r="J4999" s="17" t="s">
        <v>693</v>
      </c>
      <c r="K4999" s="17"/>
      <c r="L4999" s="17"/>
      <c r="M4999" s="17"/>
      <c r="N4999" s="17"/>
      <c r="O4999" s="17"/>
      <c r="P4999" s="17" t="s">
        <v>4255</v>
      </c>
      <c r="Q4999" s="17"/>
      <c r="R4999" s="25" t="str">
        <f>HYPERLINK("https://ictv.global/taxonomy/taxondetails?taxnode_id=202305568","Wizardvirus wizard")</f>
        <v>Wizardvirus wizard</v>
      </c>
      <c r="S4999" s="18" t="s">
        <v>30</v>
      </c>
      <c r="T4999" s="18" t="s">
        <v>4292</v>
      </c>
      <c r="U4999" s="18"/>
      <c r="V4999" s="18"/>
      <c r="W4999" s="18" t="s">
        <v>4293</v>
      </c>
      <c r="X4999" s="18" t="s">
        <v>42</v>
      </c>
      <c r="Y4999" s="18" t="s">
        <v>36</v>
      </c>
      <c r="Z4999" s="18" t="s">
        <v>697</v>
      </c>
      <c r="AA4999" s="21" t="str">
        <f>HYPERLINK("https://www.ncbi.nlm.nih.gov/nuccore/KU998234","NCBI Nucleotide")</f>
        <v>NCBI Nucleotide</v>
      </c>
    </row>
    <row r="5000" spans="1:27" x14ac:dyDescent="0.35">
      <c r="A5000">
        <v>1006749</v>
      </c>
      <c r="B5000">
        <v>4976</v>
      </c>
      <c r="C5000">
        <v>1</v>
      </c>
      <c r="D5000" s="17" t="s">
        <v>155</v>
      </c>
      <c r="E5000" s="17"/>
      <c r="F5000" s="17" t="s">
        <v>156</v>
      </c>
      <c r="G5000" s="17"/>
      <c r="H5000" s="17" t="s">
        <v>692</v>
      </c>
      <c r="I5000" s="17"/>
      <c r="J5000" s="17" t="s">
        <v>693</v>
      </c>
      <c r="K5000" s="17"/>
      <c r="L5000" s="17"/>
      <c r="M5000" s="17"/>
      <c r="N5000" s="17"/>
      <c r="O5000" s="17"/>
      <c r="P5000" s="17" t="s">
        <v>4294</v>
      </c>
      <c r="Q5000" s="17"/>
      <c r="R5000" s="25" t="str">
        <f>HYPERLINK("https://ictv.global/taxonomy/taxondetails?taxnode_id=202301375","Woesvirus woes")</f>
        <v>Woesvirus woes</v>
      </c>
      <c r="S5000" s="18" t="s">
        <v>30</v>
      </c>
      <c r="T5000" s="18" t="s">
        <v>4295</v>
      </c>
      <c r="U5000" s="18"/>
      <c r="V5000" s="18"/>
      <c r="W5000" s="18" t="s">
        <v>4296</v>
      </c>
      <c r="X5000" s="18" t="s">
        <v>42</v>
      </c>
      <c r="Y5000" s="18" t="s">
        <v>36</v>
      </c>
      <c r="Z5000" s="18" t="s">
        <v>697</v>
      </c>
      <c r="AA5000" s="21" t="str">
        <f>HYPERLINK("https://www.ncbi.nlm.nih.gov/nuccore/KU998240","NCBI Nucleotide")</f>
        <v>NCBI Nucleotide</v>
      </c>
    </row>
    <row r="5001" spans="1:27" x14ac:dyDescent="0.35">
      <c r="A5001">
        <v>1006750</v>
      </c>
      <c r="B5001">
        <v>4977</v>
      </c>
      <c r="C5001">
        <v>1</v>
      </c>
      <c r="D5001" s="17" t="s">
        <v>155</v>
      </c>
      <c r="E5001" s="17"/>
      <c r="F5001" s="17" t="s">
        <v>156</v>
      </c>
      <c r="G5001" s="17"/>
      <c r="H5001" s="17" t="s">
        <v>692</v>
      </c>
      <c r="I5001" s="17"/>
      <c r="J5001" s="17" t="s">
        <v>693</v>
      </c>
      <c r="K5001" s="17"/>
      <c r="L5001" s="17"/>
      <c r="M5001" s="17"/>
      <c r="N5001" s="17"/>
      <c r="O5001" s="17"/>
      <c r="P5001" s="17" t="s">
        <v>4297</v>
      </c>
      <c r="Q5001" s="17"/>
      <c r="R5001" s="25" t="str">
        <f>HYPERLINK("https://ictv.global/taxonomy/taxondetails?taxnode_id=202314974","Wollypogvirus wollypog")</f>
        <v>Wollypogvirus wollypog</v>
      </c>
      <c r="S5001" s="18" t="s">
        <v>30</v>
      </c>
      <c r="T5001" s="18" t="s">
        <v>4298</v>
      </c>
      <c r="U5001" s="18"/>
      <c r="V5001" s="18"/>
      <c r="W5001" s="18" t="s">
        <v>4299</v>
      </c>
      <c r="X5001" s="18" t="s">
        <v>42</v>
      </c>
      <c r="Y5001" s="18" t="s">
        <v>36</v>
      </c>
      <c r="Z5001" s="18" t="s">
        <v>697</v>
      </c>
      <c r="AA5001" s="21" t="str">
        <f>HYPERLINK("https://www.ncbi.nlm.nih.gov/nuccore/MW055913","NCBI Nucleotide")</f>
        <v>NCBI Nucleotide</v>
      </c>
    </row>
    <row r="5002" spans="1:27" x14ac:dyDescent="0.35">
      <c r="A5002">
        <v>1006751</v>
      </c>
      <c r="B5002">
        <v>4978</v>
      </c>
      <c r="C5002">
        <v>1</v>
      </c>
      <c r="D5002" s="17" t="s">
        <v>155</v>
      </c>
      <c r="E5002" s="17"/>
      <c r="F5002" s="17" t="s">
        <v>156</v>
      </c>
      <c r="G5002" s="17"/>
      <c r="H5002" s="17" t="s">
        <v>692</v>
      </c>
      <c r="I5002" s="17"/>
      <c r="J5002" s="17" t="s">
        <v>693</v>
      </c>
      <c r="K5002" s="17"/>
      <c r="L5002" s="17"/>
      <c r="M5002" s="17"/>
      <c r="N5002" s="17"/>
      <c r="O5002" s="17"/>
      <c r="P5002" s="17" t="s">
        <v>4300</v>
      </c>
      <c r="Q5002" s="17"/>
      <c r="R5002" s="25" t="str">
        <f>HYPERLINK("https://ictv.global/taxonomy/taxondetails?taxnode_id=202314703","Wolominvirus OH")</f>
        <v>Wolominvirus OH</v>
      </c>
      <c r="S5002" s="18" t="s">
        <v>30</v>
      </c>
      <c r="T5002" s="18" t="s">
        <v>4301</v>
      </c>
      <c r="U5002" s="18"/>
      <c r="V5002" s="18"/>
      <c r="W5002" s="18" t="s">
        <v>4302</v>
      </c>
      <c r="X5002" s="18" t="s">
        <v>42</v>
      </c>
      <c r="Y5002" s="18" t="s">
        <v>36</v>
      </c>
      <c r="Z5002" s="18" t="s">
        <v>697</v>
      </c>
      <c r="AA5002" s="21" t="str">
        <f>HYPERLINK("https://www.ncbi.nlm.nih.gov/nuccore/MT028492","NCBI Nucleotide")</f>
        <v>NCBI Nucleotide</v>
      </c>
    </row>
    <row r="5003" spans="1:27" x14ac:dyDescent="0.35">
      <c r="A5003">
        <v>1006752</v>
      </c>
      <c r="B5003">
        <v>4979</v>
      </c>
      <c r="C5003">
        <v>1</v>
      </c>
      <c r="D5003" s="17" t="s">
        <v>155</v>
      </c>
      <c r="E5003" s="17"/>
      <c r="F5003" s="17" t="s">
        <v>156</v>
      </c>
      <c r="G5003" s="17"/>
      <c r="H5003" s="17" t="s">
        <v>692</v>
      </c>
      <c r="I5003" s="17"/>
      <c r="J5003" s="17" t="s">
        <v>693</v>
      </c>
      <c r="K5003" s="17"/>
      <c r="L5003" s="17"/>
      <c r="M5003" s="17"/>
      <c r="N5003" s="17"/>
      <c r="O5003" s="17"/>
      <c r="P5003" s="17" t="s">
        <v>4303</v>
      </c>
      <c r="Q5003" s="17"/>
      <c r="R5003" s="25" t="str">
        <f>HYPERLINK("https://ictv.global/taxonomy/taxondetails?taxnode_id=202301383","Woodruffvirus TP1604")</f>
        <v>Woodruffvirus TP1604</v>
      </c>
      <c r="S5003" s="18" t="s">
        <v>30</v>
      </c>
      <c r="T5003" s="18" t="s">
        <v>4304</v>
      </c>
      <c r="U5003" s="18"/>
      <c r="V5003" s="18"/>
      <c r="W5003" s="18" t="s">
        <v>4305</v>
      </c>
      <c r="X5003" s="18" t="s">
        <v>42</v>
      </c>
      <c r="Y5003" s="18" t="s">
        <v>36</v>
      </c>
      <c r="Z5003" s="18" t="s">
        <v>697</v>
      </c>
      <c r="AA5003" s="21" t="str">
        <f>HYPERLINK("https://www.ncbi.nlm.nih.gov/nuccore/KP876466","NCBI Nucleotide")</f>
        <v>NCBI Nucleotide</v>
      </c>
    </row>
    <row r="5004" spans="1:27" x14ac:dyDescent="0.35">
      <c r="A5004">
        <v>1006753</v>
      </c>
      <c r="B5004">
        <v>4980</v>
      </c>
      <c r="C5004">
        <v>1</v>
      </c>
      <c r="D5004" s="17" t="s">
        <v>155</v>
      </c>
      <c r="E5004" s="17"/>
      <c r="F5004" s="17" t="s">
        <v>156</v>
      </c>
      <c r="G5004" s="17"/>
      <c r="H5004" s="17" t="s">
        <v>692</v>
      </c>
      <c r="I5004" s="17"/>
      <c r="J5004" s="17" t="s">
        <v>693</v>
      </c>
      <c r="K5004" s="17"/>
      <c r="L5004" s="17"/>
      <c r="M5004" s="17"/>
      <c r="N5004" s="17"/>
      <c r="O5004" s="17"/>
      <c r="P5004" s="17" t="s">
        <v>4303</v>
      </c>
      <c r="Q5004" s="17"/>
      <c r="R5004" s="25" t="str">
        <f>HYPERLINK("https://ictv.global/taxonomy/taxondetails?taxnode_id=202301384","Woodruffvirus YDN12")</f>
        <v>Woodruffvirus YDN12</v>
      </c>
      <c r="S5004" s="18" t="s">
        <v>30</v>
      </c>
      <c r="T5004" s="18" t="s">
        <v>4306</v>
      </c>
      <c r="U5004" s="18"/>
      <c r="V5004" s="18"/>
      <c r="W5004" s="18" t="s">
        <v>4307</v>
      </c>
      <c r="X5004" s="18" t="s">
        <v>42</v>
      </c>
      <c r="Y5004" s="18" t="s">
        <v>36</v>
      </c>
      <c r="Z5004" s="18" t="s">
        <v>697</v>
      </c>
      <c r="AA5004" s="21" t="str">
        <f>HYPERLINK("https://www.ncbi.nlm.nih.gov/nuccore/KP876465","NCBI Nucleotide")</f>
        <v>NCBI Nucleotide</v>
      </c>
    </row>
    <row r="5005" spans="1:27" x14ac:dyDescent="0.35">
      <c r="A5005">
        <v>1025276</v>
      </c>
      <c r="B5005">
        <v>4981</v>
      </c>
      <c r="C5005">
        <v>1</v>
      </c>
      <c r="D5005" s="17" t="s">
        <v>155</v>
      </c>
      <c r="E5005" s="17"/>
      <c r="F5005" s="17" t="s">
        <v>156</v>
      </c>
      <c r="G5005" s="17"/>
      <c r="H5005" s="17" t="s">
        <v>692</v>
      </c>
      <c r="I5005" s="17"/>
      <c r="J5005" s="17" t="s">
        <v>693</v>
      </c>
      <c r="K5005" s="17"/>
      <c r="L5005" s="17"/>
      <c r="M5005" s="17"/>
      <c r="N5005" s="17"/>
      <c r="O5005" s="17"/>
      <c r="P5005" s="17" t="s">
        <v>40079</v>
      </c>
      <c r="Q5005" s="17"/>
      <c r="R5005" s="25" t="str">
        <f>HYPERLINK("https://ictv.global/taxonomy/taxondetails?taxnode_id=202319572","Xajduovirus XAJ2")</f>
        <v>Xajduovirus XAJ2</v>
      </c>
      <c r="S5005" s="18" t="s">
        <v>30</v>
      </c>
      <c r="T5005" s="18" t="s">
        <v>40080</v>
      </c>
      <c r="U5005" s="18" t="s">
        <v>40081</v>
      </c>
      <c r="V5005" s="18"/>
      <c r="W5005" s="18" t="s">
        <v>40082</v>
      </c>
      <c r="X5005" s="18" t="s">
        <v>42</v>
      </c>
      <c r="Y5005" s="18" t="s">
        <v>36</v>
      </c>
      <c r="Z5005" s="18" t="s">
        <v>697</v>
      </c>
      <c r="AA5005" s="21" t="str">
        <f>HYPERLINK("https://www.ncbi.nlm.nih.gov/nuccore/KU197014","NCBI Nucleotide")</f>
        <v>NCBI Nucleotide</v>
      </c>
    </row>
    <row r="5006" spans="1:27" x14ac:dyDescent="0.35">
      <c r="A5006">
        <v>1006757</v>
      </c>
      <c r="B5006">
        <v>4982</v>
      </c>
      <c r="C5006">
        <v>1</v>
      </c>
      <c r="D5006" s="17" t="s">
        <v>155</v>
      </c>
      <c r="E5006" s="17"/>
      <c r="F5006" s="17" t="s">
        <v>156</v>
      </c>
      <c r="G5006" s="17"/>
      <c r="H5006" s="17" t="s">
        <v>692</v>
      </c>
      <c r="I5006" s="17"/>
      <c r="J5006" s="17" t="s">
        <v>693</v>
      </c>
      <c r="K5006" s="17"/>
      <c r="L5006" s="17"/>
      <c r="M5006" s="17"/>
      <c r="N5006" s="17"/>
      <c r="O5006" s="17"/>
      <c r="P5006" s="17" t="s">
        <v>4316</v>
      </c>
      <c r="Q5006" s="17"/>
      <c r="R5006" s="25" t="str">
        <f>HYPERLINK("https://ictv.global/taxonomy/taxondetails?taxnode_id=202301242","Xiamenvirus RDJL1")</f>
        <v>Xiamenvirus RDJL1</v>
      </c>
      <c r="S5006" s="18" t="s">
        <v>30</v>
      </c>
      <c r="T5006" s="18" t="s">
        <v>4317</v>
      </c>
      <c r="U5006" s="18"/>
      <c r="V5006" s="18"/>
      <c r="W5006" s="18" t="s">
        <v>4318</v>
      </c>
      <c r="X5006" s="18" t="s">
        <v>42</v>
      </c>
      <c r="Y5006" s="18" t="s">
        <v>36</v>
      </c>
      <c r="Z5006" s="18" t="s">
        <v>697</v>
      </c>
      <c r="AA5006" s="21" t="str">
        <f>HYPERLINK("https://www.ncbi.nlm.nih.gov/nuccore/HM151342","NCBI Nucleotide")</f>
        <v>NCBI Nucleotide</v>
      </c>
    </row>
    <row r="5007" spans="1:27" x14ac:dyDescent="0.35">
      <c r="A5007">
        <v>1006758</v>
      </c>
      <c r="B5007">
        <v>4983</v>
      </c>
      <c r="C5007">
        <v>1</v>
      </c>
      <c r="D5007" s="17" t="s">
        <v>155</v>
      </c>
      <c r="E5007" s="17"/>
      <c r="F5007" s="17" t="s">
        <v>156</v>
      </c>
      <c r="G5007" s="17"/>
      <c r="H5007" s="17" t="s">
        <v>692</v>
      </c>
      <c r="I5007" s="17"/>
      <c r="J5007" s="17" t="s">
        <v>693</v>
      </c>
      <c r="K5007" s="17"/>
      <c r="L5007" s="17"/>
      <c r="M5007" s="17"/>
      <c r="N5007" s="17"/>
      <c r="O5007" s="17"/>
      <c r="P5007" s="17" t="s">
        <v>4316</v>
      </c>
      <c r="Q5007" s="17"/>
      <c r="R5007" s="25" t="str">
        <f>HYPERLINK("https://ictv.global/taxonomy/taxondetails?taxnode_id=202301243","Xiamenvirus RDJL2")</f>
        <v>Xiamenvirus RDJL2</v>
      </c>
      <c r="S5007" s="18" t="s">
        <v>30</v>
      </c>
      <c r="T5007" s="18" t="s">
        <v>4319</v>
      </c>
      <c r="U5007" s="18"/>
      <c r="V5007" s="18"/>
      <c r="W5007" s="18" t="s">
        <v>4320</v>
      </c>
      <c r="X5007" s="18" t="s">
        <v>42</v>
      </c>
      <c r="Y5007" s="18" t="s">
        <v>36</v>
      </c>
      <c r="Z5007" s="18" t="s">
        <v>697</v>
      </c>
      <c r="AA5007" s="21" t="str">
        <f>HYPERLINK("https://www.ncbi.nlm.nih.gov/nuccore/KT266805","NCBI Nucleotide")</f>
        <v>NCBI Nucleotide</v>
      </c>
    </row>
    <row r="5008" spans="1:27" x14ac:dyDescent="0.35">
      <c r="A5008">
        <v>1006759</v>
      </c>
      <c r="B5008">
        <v>4984</v>
      </c>
      <c r="C5008">
        <v>1</v>
      </c>
      <c r="D5008" s="17" t="s">
        <v>155</v>
      </c>
      <c r="E5008" s="17"/>
      <c r="F5008" s="17" t="s">
        <v>156</v>
      </c>
      <c r="G5008" s="17"/>
      <c r="H5008" s="17" t="s">
        <v>692</v>
      </c>
      <c r="I5008" s="17"/>
      <c r="J5008" s="17" t="s">
        <v>693</v>
      </c>
      <c r="K5008" s="17"/>
      <c r="L5008" s="17"/>
      <c r="M5008" s="17"/>
      <c r="N5008" s="17"/>
      <c r="O5008" s="17"/>
      <c r="P5008" s="17" t="s">
        <v>4321</v>
      </c>
      <c r="Q5008" s="17"/>
      <c r="R5008" s="25" t="str">
        <f>HYPERLINK("https://ictv.global/taxonomy/taxondetails?taxnode_id=202301378","Xipdecavirus OP1")</f>
        <v>Xipdecavirus OP1</v>
      </c>
      <c r="S5008" s="18" t="s">
        <v>30</v>
      </c>
      <c r="T5008" s="18" t="s">
        <v>4322</v>
      </c>
      <c r="U5008" s="18"/>
      <c r="V5008" s="18"/>
      <c r="W5008" s="18" t="s">
        <v>4323</v>
      </c>
      <c r="X5008" s="18" t="s">
        <v>42</v>
      </c>
      <c r="Y5008" s="18" t="s">
        <v>36</v>
      </c>
      <c r="Z5008" s="18" t="s">
        <v>697</v>
      </c>
      <c r="AA5008" s="21" t="str">
        <f>HYPERLINK("https://www.ncbi.nlm.nih.gov/nuccore/AP008979","NCBI Nucleotide")</f>
        <v>NCBI Nucleotide</v>
      </c>
    </row>
    <row r="5009" spans="1:27" x14ac:dyDescent="0.35">
      <c r="A5009">
        <v>1006760</v>
      </c>
      <c r="B5009">
        <v>4985</v>
      </c>
      <c r="C5009">
        <v>1</v>
      </c>
      <c r="D5009" s="17" t="s">
        <v>155</v>
      </c>
      <c r="E5009" s="17"/>
      <c r="F5009" s="17" t="s">
        <v>156</v>
      </c>
      <c r="G5009" s="17"/>
      <c r="H5009" s="17" t="s">
        <v>692</v>
      </c>
      <c r="I5009" s="17"/>
      <c r="J5009" s="17" t="s">
        <v>693</v>
      </c>
      <c r="K5009" s="17"/>
      <c r="L5009" s="17"/>
      <c r="M5009" s="17"/>
      <c r="N5009" s="17"/>
      <c r="O5009" s="17"/>
      <c r="P5009" s="17" t="s">
        <v>4321</v>
      </c>
      <c r="Q5009" s="17"/>
      <c r="R5009" s="25" t="str">
        <f>HYPERLINK("https://ictv.global/taxonomy/taxondetails?taxnode_id=202301380","Xipdecavirus Xop411")</f>
        <v>Xipdecavirus Xop411</v>
      </c>
      <c r="S5009" s="18" t="s">
        <v>30</v>
      </c>
      <c r="T5009" s="18" t="s">
        <v>4324</v>
      </c>
      <c r="U5009" s="18"/>
      <c r="V5009" s="18"/>
      <c r="W5009" s="18" t="s">
        <v>4325</v>
      </c>
      <c r="X5009" s="18" t="s">
        <v>42</v>
      </c>
      <c r="Y5009" s="18" t="s">
        <v>36</v>
      </c>
      <c r="Z5009" s="18" t="s">
        <v>697</v>
      </c>
      <c r="AA5009" s="21" t="str">
        <f>HYPERLINK("https://www.ncbi.nlm.nih.gov/nuccore/DQ777876","NCBI Nucleotide")</f>
        <v>NCBI Nucleotide</v>
      </c>
    </row>
    <row r="5010" spans="1:27" x14ac:dyDescent="0.35">
      <c r="A5010">
        <v>1006761</v>
      </c>
      <c r="B5010">
        <v>4986</v>
      </c>
      <c r="C5010">
        <v>1</v>
      </c>
      <c r="D5010" s="17" t="s">
        <v>155</v>
      </c>
      <c r="E5010" s="17"/>
      <c r="F5010" s="17" t="s">
        <v>156</v>
      </c>
      <c r="G5010" s="17"/>
      <c r="H5010" s="17" t="s">
        <v>692</v>
      </c>
      <c r="I5010" s="17"/>
      <c r="J5010" s="17" t="s">
        <v>693</v>
      </c>
      <c r="K5010" s="17"/>
      <c r="L5010" s="17"/>
      <c r="M5010" s="17"/>
      <c r="N5010" s="17"/>
      <c r="O5010" s="17"/>
      <c r="P5010" s="17" t="s">
        <v>4321</v>
      </c>
      <c r="Q5010" s="17"/>
      <c r="R5010" s="25" t="str">
        <f>HYPERLINK("https://ictv.global/taxonomy/taxondetails?taxnode_id=202301381","Xipdecavirus Xp10")</f>
        <v>Xipdecavirus Xp10</v>
      </c>
      <c r="S5010" s="18" t="s">
        <v>30</v>
      </c>
      <c r="T5010" s="18" t="s">
        <v>4326</v>
      </c>
      <c r="U5010" s="18"/>
      <c r="V5010" s="18"/>
      <c r="W5010" s="18" t="s">
        <v>4327</v>
      </c>
      <c r="X5010" s="18" t="s">
        <v>42</v>
      </c>
      <c r="Y5010" s="18" t="s">
        <v>36</v>
      </c>
      <c r="Z5010" s="18" t="s">
        <v>697</v>
      </c>
      <c r="AA5010" s="21" t="str">
        <f>HYPERLINK("https://www.ncbi.nlm.nih.gov/nuccore/AY299121","NCBI Nucleotide")</f>
        <v>NCBI Nucleotide</v>
      </c>
    </row>
    <row r="5011" spans="1:27" x14ac:dyDescent="0.35">
      <c r="A5011">
        <v>1006762</v>
      </c>
      <c r="B5011">
        <v>4987</v>
      </c>
      <c r="C5011">
        <v>1</v>
      </c>
      <c r="D5011" s="17" t="s">
        <v>155</v>
      </c>
      <c r="E5011" s="17"/>
      <c r="F5011" s="17" t="s">
        <v>156</v>
      </c>
      <c r="G5011" s="17"/>
      <c r="H5011" s="17" t="s">
        <v>692</v>
      </c>
      <c r="I5011" s="17"/>
      <c r="J5011" s="17" t="s">
        <v>693</v>
      </c>
      <c r="K5011" s="17"/>
      <c r="L5011" s="17"/>
      <c r="M5011" s="17"/>
      <c r="N5011" s="17"/>
      <c r="O5011" s="17"/>
      <c r="P5011" s="17" t="s">
        <v>4328</v>
      </c>
      <c r="Q5011" s="17"/>
      <c r="R5011" s="25" t="str">
        <f>HYPERLINK("https://ictv.global/taxonomy/taxondetails?taxnode_id=202307710","Xuquatrovirus PTXU04")</f>
        <v>Xuquatrovirus PTXU04</v>
      </c>
      <c r="S5011" s="18" t="s">
        <v>30</v>
      </c>
      <c r="T5011" s="18" t="s">
        <v>4329</v>
      </c>
      <c r="U5011" s="18"/>
      <c r="V5011" s="18"/>
      <c r="W5011" s="18" t="s">
        <v>4330</v>
      </c>
      <c r="X5011" s="18" t="s">
        <v>42</v>
      </c>
      <c r="Y5011" s="18" t="s">
        <v>36</v>
      </c>
      <c r="Z5011" s="18" t="s">
        <v>697</v>
      </c>
      <c r="AA5011" s="21" t="str">
        <f>HYPERLINK("https://www.ncbi.nlm.nih.gov/nuccore/MK373772","NCBI Nucleotide")</f>
        <v>NCBI Nucleotide</v>
      </c>
    </row>
    <row r="5012" spans="1:27" x14ac:dyDescent="0.35">
      <c r="A5012">
        <v>1006763</v>
      </c>
      <c r="B5012">
        <v>4988</v>
      </c>
      <c r="C5012">
        <v>1</v>
      </c>
      <c r="D5012" s="17" t="s">
        <v>155</v>
      </c>
      <c r="E5012" s="17"/>
      <c r="F5012" s="17" t="s">
        <v>156</v>
      </c>
      <c r="G5012" s="17"/>
      <c r="H5012" s="17" t="s">
        <v>692</v>
      </c>
      <c r="I5012" s="17"/>
      <c r="J5012" s="17" t="s">
        <v>693</v>
      </c>
      <c r="K5012" s="17"/>
      <c r="L5012" s="17"/>
      <c r="M5012" s="17"/>
      <c r="N5012" s="17"/>
      <c r="O5012" s="17"/>
      <c r="P5012" s="17" t="s">
        <v>4331</v>
      </c>
      <c r="Q5012" s="17"/>
      <c r="R5012" s="25" t="str">
        <f>HYPERLINK("https://ictv.global/taxonomy/taxondetails?taxnode_id=202314976","Yanchengvirus pAEv1818")</f>
        <v>Yanchengvirus pAEv1818</v>
      </c>
      <c r="S5012" s="18" t="s">
        <v>30</v>
      </c>
      <c r="T5012" s="18" t="s">
        <v>4332</v>
      </c>
      <c r="U5012" s="18"/>
      <c r="V5012" s="18"/>
      <c r="W5012" s="18" t="s">
        <v>4333</v>
      </c>
      <c r="X5012" s="18" t="s">
        <v>42</v>
      </c>
      <c r="Y5012" s="18" t="s">
        <v>36</v>
      </c>
      <c r="Z5012" s="18" t="s">
        <v>697</v>
      </c>
      <c r="AA5012" s="21" t="str">
        <f>HYPERLINK("https://www.ncbi.nlm.nih.gov/nuccore/OL964755","NCBI Nucleotide")</f>
        <v>NCBI Nucleotide</v>
      </c>
    </row>
    <row r="5013" spans="1:27" x14ac:dyDescent="0.35">
      <c r="A5013">
        <v>1006764</v>
      </c>
      <c r="B5013">
        <v>4989</v>
      </c>
      <c r="C5013">
        <v>1</v>
      </c>
      <c r="D5013" s="17" t="s">
        <v>155</v>
      </c>
      <c r="E5013" s="17"/>
      <c r="F5013" s="17" t="s">
        <v>156</v>
      </c>
      <c r="G5013" s="17"/>
      <c r="H5013" s="17" t="s">
        <v>692</v>
      </c>
      <c r="I5013" s="17"/>
      <c r="J5013" s="17" t="s">
        <v>693</v>
      </c>
      <c r="K5013" s="17"/>
      <c r="L5013" s="17"/>
      <c r="M5013" s="17"/>
      <c r="N5013" s="17"/>
      <c r="O5013" s="17"/>
      <c r="P5013" s="17" t="s">
        <v>4334</v>
      </c>
      <c r="Q5013" s="17"/>
      <c r="R5013" s="25" t="str">
        <f>HYPERLINK("https://ictv.global/taxonomy/taxondetails?taxnode_id=202313387","Yeceytrevirus yecey3")</f>
        <v>Yeceytrevirus yecey3</v>
      </c>
      <c r="S5013" s="18" t="s">
        <v>30</v>
      </c>
      <c r="T5013" s="18" t="s">
        <v>4335</v>
      </c>
      <c r="U5013" s="18"/>
      <c r="V5013" s="18"/>
      <c r="W5013" s="18" t="s">
        <v>4336</v>
      </c>
      <c r="X5013" s="18" t="s">
        <v>42</v>
      </c>
      <c r="Y5013" s="18" t="s">
        <v>36</v>
      </c>
      <c r="Z5013" s="18" t="s">
        <v>697</v>
      </c>
      <c r="AA5013" s="21" t="str">
        <f>HYPERLINK("https://www.ncbi.nlm.nih.gov/nuccore/MN585979","NCBI Nucleotide")</f>
        <v>NCBI Nucleotide</v>
      </c>
    </row>
    <row r="5014" spans="1:27" x14ac:dyDescent="0.35">
      <c r="A5014">
        <v>1006765</v>
      </c>
      <c r="B5014">
        <v>4990</v>
      </c>
      <c r="C5014">
        <v>1</v>
      </c>
      <c r="D5014" s="17" t="s">
        <v>155</v>
      </c>
      <c r="E5014" s="17"/>
      <c r="F5014" s="17" t="s">
        <v>156</v>
      </c>
      <c r="G5014" s="17"/>
      <c r="H5014" s="17" t="s">
        <v>692</v>
      </c>
      <c r="I5014" s="17"/>
      <c r="J5014" s="17" t="s">
        <v>693</v>
      </c>
      <c r="K5014" s="17"/>
      <c r="L5014" s="17"/>
      <c r="M5014" s="17"/>
      <c r="N5014" s="17"/>
      <c r="O5014" s="17"/>
      <c r="P5014" s="17" t="s">
        <v>4337</v>
      </c>
      <c r="Q5014" s="17"/>
      <c r="R5014" s="25" t="str">
        <f>HYPERLINK("https://ictv.global/taxonomy/taxondetails?taxnode_id=202300453","Yokohamavirus MSW3")</f>
        <v>Yokohamavirus MSW3</v>
      </c>
      <c r="S5014" s="18" t="s">
        <v>30</v>
      </c>
      <c r="T5014" s="18" t="s">
        <v>4338</v>
      </c>
      <c r="U5014" s="18"/>
      <c r="V5014" s="18"/>
      <c r="W5014" s="18" t="s">
        <v>4339</v>
      </c>
      <c r="X5014" s="18" t="s">
        <v>42</v>
      </c>
      <c r="Y5014" s="18" t="s">
        <v>36</v>
      </c>
      <c r="Z5014" s="18" t="s">
        <v>697</v>
      </c>
      <c r="AA5014" s="21" t="str">
        <f>HYPERLINK("https://www.ncbi.nlm.nih.gov/nuccore/AB767244","NCBI Nucleotide")</f>
        <v>NCBI Nucleotide</v>
      </c>
    </row>
    <row r="5015" spans="1:27" x14ac:dyDescent="0.35">
      <c r="A5015">
        <v>1006766</v>
      </c>
      <c r="B5015">
        <v>4991</v>
      </c>
      <c r="C5015">
        <v>1</v>
      </c>
      <c r="D5015" s="17" t="s">
        <v>155</v>
      </c>
      <c r="E5015" s="17"/>
      <c r="F5015" s="17" t="s">
        <v>156</v>
      </c>
      <c r="G5015" s="17"/>
      <c r="H5015" s="17" t="s">
        <v>692</v>
      </c>
      <c r="I5015" s="17"/>
      <c r="J5015" s="17" t="s">
        <v>693</v>
      </c>
      <c r="K5015" s="17"/>
      <c r="L5015" s="17"/>
      <c r="M5015" s="17"/>
      <c r="N5015" s="17"/>
      <c r="O5015" s="17"/>
      <c r="P5015" s="17" t="s">
        <v>4337</v>
      </c>
      <c r="Q5015" s="17"/>
      <c r="R5015" s="25" t="str">
        <f>HYPERLINK("https://ictv.global/taxonomy/taxondetails?taxnode_id=202300454","Yokohamavirus PEi21")</f>
        <v>Yokohamavirus PEi21</v>
      </c>
      <c r="S5015" s="18" t="s">
        <v>30</v>
      </c>
      <c r="T5015" s="18" t="s">
        <v>4340</v>
      </c>
      <c r="U5015" s="18"/>
      <c r="V5015" s="18"/>
      <c r="W5015" s="18" t="s">
        <v>4341</v>
      </c>
      <c r="X5015" s="18" t="s">
        <v>42</v>
      </c>
      <c r="Y5015" s="18" t="s">
        <v>36</v>
      </c>
      <c r="Z5015" s="18" t="s">
        <v>697</v>
      </c>
      <c r="AA5015" s="21" t="str">
        <f>HYPERLINK("https://www.ncbi.nlm.nih.gov/nuccore/AP013057","NCBI Nucleotide")</f>
        <v>NCBI Nucleotide</v>
      </c>
    </row>
    <row r="5016" spans="1:27" x14ac:dyDescent="0.35">
      <c r="A5016">
        <v>1006767</v>
      </c>
      <c r="B5016">
        <v>4992</v>
      </c>
      <c r="C5016">
        <v>1</v>
      </c>
      <c r="D5016" s="17" t="s">
        <v>155</v>
      </c>
      <c r="E5016" s="17"/>
      <c r="F5016" s="17" t="s">
        <v>156</v>
      </c>
      <c r="G5016" s="17"/>
      <c r="H5016" s="17" t="s">
        <v>692</v>
      </c>
      <c r="I5016" s="17"/>
      <c r="J5016" s="17" t="s">
        <v>693</v>
      </c>
      <c r="K5016" s="17"/>
      <c r="L5016" s="17"/>
      <c r="M5016" s="17"/>
      <c r="N5016" s="17"/>
      <c r="O5016" s="17"/>
      <c r="P5016" s="17" t="s">
        <v>4342</v>
      </c>
      <c r="Q5016" s="17"/>
      <c r="R5016" s="25" t="str">
        <f>HYPERLINK("https://ictv.global/taxonomy/taxondetails?taxnode_id=202307918","Yoloswagvirus yoloswag")</f>
        <v>Yoloswagvirus yoloswag</v>
      </c>
      <c r="S5016" s="18" t="s">
        <v>30</v>
      </c>
      <c r="T5016" s="18" t="s">
        <v>4343</v>
      </c>
      <c r="U5016" s="18"/>
      <c r="V5016" s="18"/>
      <c r="W5016" s="18" t="s">
        <v>4344</v>
      </c>
      <c r="X5016" s="18" t="s">
        <v>42</v>
      </c>
      <c r="Y5016" s="18" t="s">
        <v>36</v>
      </c>
      <c r="Z5016" s="18" t="s">
        <v>697</v>
      </c>
      <c r="AA5016" s="21" t="str">
        <f>HYPERLINK("https://www.ncbi.nlm.nih.gov/nuccore/KY448244","NCBI Nucleotide")</f>
        <v>NCBI Nucleotide</v>
      </c>
    </row>
    <row r="5017" spans="1:27" x14ac:dyDescent="0.35">
      <c r="A5017">
        <v>1006768</v>
      </c>
      <c r="B5017">
        <v>4993</v>
      </c>
      <c r="C5017">
        <v>1</v>
      </c>
      <c r="D5017" s="17" t="s">
        <v>155</v>
      </c>
      <c r="E5017" s="17"/>
      <c r="F5017" s="17" t="s">
        <v>156</v>
      </c>
      <c r="G5017" s="17"/>
      <c r="H5017" s="17" t="s">
        <v>692</v>
      </c>
      <c r="I5017" s="17"/>
      <c r="J5017" s="17" t="s">
        <v>693</v>
      </c>
      <c r="K5017" s="17"/>
      <c r="L5017" s="17"/>
      <c r="M5017" s="17"/>
      <c r="N5017" s="17"/>
      <c r="O5017" s="17"/>
      <c r="P5017" s="17" t="s">
        <v>4345</v>
      </c>
      <c r="Q5017" s="17"/>
      <c r="R5017" s="25" t="str">
        <f>HYPERLINK("https://ictv.global/taxonomy/taxondetails?taxnode_id=202300421","Yongloolinvirus C2")</f>
        <v>Yongloolinvirus C2</v>
      </c>
      <c r="S5017" s="18" t="s">
        <v>30</v>
      </c>
      <c r="T5017" s="18" t="s">
        <v>4346</v>
      </c>
      <c r="U5017" s="18"/>
      <c r="V5017" s="18"/>
      <c r="W5017" s="18" t="s">
        <v>4347</v>
      </c>
      <c r="X5017" s="18" t="s">
        <v>42</v>
      </c>
      <c r="Y5017" s="18" t="s">
        <v>36</v>
      </c>
      <c r="Z5017" s="18" t="s">
        <v>697</v>
      </c>
      <c r="AA5017" s="21" t="str">
        <f>HYPERLINK("https://www.ncbi.nlm.nih.gov/nuccore/DQ466086","NCBI Nucleotide")</f>
        <v>NCBI Nucleotide</v>
      </c>
    </row>
    <row r="5018" spans="1:27" x14ac:dyDescent="0.35">
      <c r="A5018">
        <v>1006769</v>
      </c>
      <c r="B5018">
        <v>4994</v>
      </c>
      <c r="C5018">
        <v>1</v>
      </c>
      <c r="D5018" s="17" t="s">
        <v>155</v>
      </c>
      <c r="E5018" s="17"/>
      <c r="F5018" s="17" t="s">
        <v>156</v>
      </c>
      <c r="G5018" s="17"/>
      <c r="H5018" s="17" t="s">
        <v>692</v>
      </c>
      <c r="I5018" s="17"/>
      <c r="J5018" s="17" t="s">
        <v>693</v>
      </c>
      <c r="K5018" s="17"/>
      <c r="L5018" s="17"/>
      <c r="M5018" s="17"/>
      <c r="N5018" s="17"/>
      <c r="O5018" s="17"/>
      <c r="P5018" s="17" t="s">
        <v>4345</v>
      </c>
      <c r="Q5018" s="17"/>
      <c r="R5018" s="25" t="str">
        <f>HYPERLINK("https://ictv.global/taxonomy/taxondetails?taxnode_id=202309883","Yongloolinvirus CDMH1")</f>
        <v>Yongloolinvirus CDMH1</v>
      </c>
      <c r="S5018" s="18" t="s">
        <v>30</v>
      </c>
      <c r="T5018" s="18" t="s">
        <v>4348</v>
      </c>
      <c r="U5018" s="18"/>
      <c r="V5018" s="18"/>
      <c r="W5018" s="18" t="s">
        <v>4349</v>
      </c>
      <c r="X5018" s="18" t="s">
        <v>42</v>
      </c>
      <c r="Y5018" s="18" t="s">
        <v>36</v>
      </c>
      <c r="Z5018" s="18" t="s">
        <v>697</v>
      </c>
      <c r="AA5018" s="21" t="str">
        <f>HYPERLINK("https://www.ncbi.nlm.nih.gov/nuccore/HG531805","NCBI Nucleotide")</f>
        <v>NCBI Nucleotide</v>
      </c>
    </row>
    <row r="5019" spans="1:27" x14ac:dyDescent="0.35">
      <c r="A5019">
        <v>1006770</v>
      </c>
      <c r="B5019">
        <v>4995</v>
      </c>
      <c r="C5019">
        <v>1</v>
      </c>
      <c r="D5019" s="17" t="s">
        <v>155</v>
      </c>
      <c r="E5019" s="17"/>
      <c r="F5019" s="17" t="s">
        <v>156</v>
      </c>
      <c r="G5019" s="17"/>
      <c r="H5019" s="17" t="s">
        <v>692</v>
      </c>
      <c r="I5019" s="17"/>
      <c r="J5019" s="17" t="s">
        <v>693</v>
      </c>
      <c r="K5019" s="17"/>
      <c r="L5019" s="17"/>
      <c r="M5019" s="17"/>
      <c r="N5019" s="17"/>
      <c r="O5019" s="17"/>
      <c r="P5019" s="17" t="s">
        <v>4345</v>
      </c>
      <c r="Q5019" s="17"/>
      <c r="R5019" s="25" t="str">
        <f>HYPERLINK("https://ictv.global/taxonomy/taxondetails?taxnode_id=202309882","Yongloolinvirus MMP01")</f>
        <v>Yongloolinvirus MMP01</v>
      </c>
      <c r="S5019" s="18" t="s">
        <v>30</v>
      </c>
      <c r="T5019" s="18" t="s">
        <v>4350</v>
      </c>
      <c r="U5019" s="18"/>
      <c r="V5019" s="18"/>
      <c r="W5019" s="18" t="s">
        <v>4351</v>
      </c>
      <c r="X5019" s="18" t="s">
        <v>42</v>
      </c>
      <c r="Y5019" s="18" t="s">
        <v>36</v>
      </c>
      <c r="Z5019" s="18" t="s">
        <v>697</v>
      </c>
      <c r="AA5019" s="21" t="str">
        <f>HYPERLINK("https://www.ncbi.nlm.nih.gov/nuccore/LN681541","NCBI Nucleotide")</f>
        <v>NCBI Nucleotide</v>
      </c>
    </row>
    <row r="5020" spans="1:27" x14ac:dyDescent="0.35">
      <c r="A5020">
        <v>1006771</v>
      </c>
      <c r="B5020">
        <v>4996</v>
      </c>
      <c r="C5020">
        <v>1</v>
      </c>
      <c r="D5020" s="17" t="s">
        <v>155</v>
      </c>
      <c r="E5020" s="17"/>
      <c r="F5020" s="17" t="s">
        <v>156</v>
      </c>
      <c r="G5020" s="17"/>
      <c r="H5020" s="17" t="s">
        <v>692</v>
      </c>
      <c r="I5020" s="17"/>
      <c r="J5020" s="17" t="s">
        <v>693</v>
      </c>
      <c r="K5020" s="17"/>
      <c r="L5020" s="17"/>
      <c r="M5020" s="17"/>
      <c r="N5020" s="17"/>
      <c r="O5020" s="17"/>
      <c r="P5020" s="17" t="s">
        <v>4345</v>
      </c>
      <c r="Q5020" s="17"/>
      <c r="R5020" s="25" t="str">
        <f>HYPERLINK("https://ictv.global/taxonomy/taxondetails?taxnode_id=202309881","Yongloolinvirus MMP03")</f>
        <v>Yongloolinvirus MMP03</v>
      </c>
      <c r="S5020" s="18" t="s">
        <v>30</v>
      </c>
      <c r="T5020" s="18" t="s">
        <v>4352</v>
      </c>
      <c r="U5020" s="18"/>
      <c r="V5020" s="18"/>
      <c r="W5020" s="18" t="s">
        <v>4353</v>
      </c>
      <c r="X5020" s="18" t="s">
        <v>42</v>
      </c>
      <c r="Y5020" s="18" t="s">
        <v>36</v>
      </c>
      <c r="Z5020" s="18" t="s">
        <v>697</v>
      </c>
      <c r="AA5020" s="21" t="str">
        <f>HYPERLINK("https://www.ncbi.nlm.nih.gov/nuccore/LN681542","NCBI Nucleotide")</f>
        <v>NCBI Nucleotide</v>
      </c>
    </row>
    <row r="5021" spans="1:27" x14ac:dyDescent="0.35">
      <c r="A5021">
        <v>1006772</v>
      </c>
      <c r="B5021">
        <v>4997</v>
      </c>
      <c r="C5021">
        <v>1</v>
      </c>
      <c r="D5021" s="17" t="s">
        <v>155</v>
      </c>
      <c r="E5021" s="17"/>
      <c r="F5021" s="17" t="s">
        <v>156</v>
      </c>
      <c r="G5021" s="17"/>
      <c r="H5021" s="17" t="s">
        <v>692</v>
      </c>
      <c r="I5021" s="17"/>
      <c r="J5021" s="17" t="s">
        <v>693</v>
      </c>
      <c r="K5021" s="17"/>
      <c r="L5021" s="17"/>
      <c r="M5021" s="17"/>
      <c r="N5021" s="17"/>
      <c r="O5021" s="17"/>
      <c r="P5021" s="17" t="s">
        <v>4354</v>
      </c>
      <c r="Q5021" s="17"/>
      <c r="R5021" s="25" t="str">
        <f>HYPERLINK("https://ictv.global/taxonomy/taxondetails?taxnode_id=202306617","Gordonia virus Yvonnetastic")</f>
        <v>Gordonia virus Yvonnetastic</v>
      </c>
      <c r="S5021" s="18" t="s">
        <v>30</v>
      </c>
      <c r="T5021" s="18" t="s">
        <v>4355</v>
      </c>
      <c r="U5021" s="18"/>
      <c r="V5021" s="18"/>
      <c r="W5021" s="18" t="s">
        <v>4356</v>
      </c>
      <c r="X5021" s="18" t="s">
        <v>42</v>
      </c>
      <c r="Y5021" s="18" t="s">
        <v>36</v>
      </c>
      <c r="Z5021" s="18" t="s">
        <v>697</v>
      </c>
      <c r="AA5021" s="21" t="str">
        <f>HYPERLINK("https://www.ncbi.nlm.nih.gov/nuccore/KU963248","NCBI Nucleotide")</f>
        <v>NCBI Nucleotide</v>
      </c>
    </row>
    <row r="5022" spans="1:27" x14ac:dyDescent="0.35">
      <c r="A5022">
        <v>1006773</v>
      </c>
      <c r="B5022">
        <v>4998</v>
      </c>
      <c r="C5022">
        <v>1</v>
      </c>
      <c r="D5022" s="17" t="s">
        <v>155</v>
      </c>
      <c r="E5022" s="17"/>
      <c r="F5022" s="17" t="s">
        <v>156</v>
      </c>
      <c r="G5022" s="17"/>
      <c r="H5022" s="17" t="s">
        <v>692</v>
      </c>
      <c r="I5022" s="17"/>
      <c r="J5022" s="17" t="s">
        <v>693</v>
      </c>
      <c r="K5022" s="17"/>
      <c r="L5022" s="17"/>
      <c r="M5022" s="17"/>
      <c r="N5022" s="17"/>
      <c r="O5022" s="17"/>
      <c r="P5022" s="17" t="s">
        <v>4357</v>
      </c>
      <c r="Q5022" s="17"/>
      <c r="R5022" s="25" t="str">
        <f>HYPERLINK("https://ictv.global/taxonomy/taxondetails?taxnode_id=202308079","Zetavirus zeta1847")</f>
        <v>Zetavirus zeta1847</v>
      </c>
      <c r="S5022" s="18" t="s">
        <v>30</v>
      </c>
      <c r="T5022" s="18" t="s">
        <v>4358</v>
      </c>
      <c r="U5022" s="18"/>
      <c r="V5022" s="18"/>
      <c r="W5022" s="18" t="s">
        <v>4359</v>
      </c>
      <c r="X5022" s="18" t="s">
        <v>42</v>
      </c>
      <c r="Y5022" s="18" t="s">
        <v>36</v>
      </c>
      <c r="Z5022" s="18" t="s">
        <v>697</v>
      </c>
      <c r="AA5022" s="21" t="str">
        <f>HYPERLINK("https://www.ncbi.nlm.nih.gov/nuccore/MH271320","NCBI Nucleotide")</f>
        <v>NCBI Nucleotide</v>
      </c>
    </row>
    <row r="5023" spans="1:27" x14ac:dyDescent="0.35">
      <c r="A5023">
        <v>1006775</v>
      </c>
      <c r="B5023">
        <v>4999</v>
      </c>
      <c r="C5023">
        <v>1</v>
      </c>
      <c r="D5023" s="17" t="s">
        <v>155</v>
      </c>
      <c r="E5023" s="17"/>
      <c r="F5023" s="17" t="s">
        <v>156</v>
      </c>
      <c r="G5023" s="17"/>
      <c r="H5023" s="17" t="s">
        <v>692</v>
      </c>
      <c r="I5023" s="17"/>
      <c r="J5023" s="17" t="s">
        <v>693</v>
      </c>
      <c r="K5023" s="17"/>
      <c r="L5023" s="17"/>
      <c r="M5023" s="17"/>
      <c r="N5023" s="17"/>
      <c r="O5023" s="17"/>
      <c r="P5023" s="17" t="s">
        <v>4363</v>
      </c>
      <c r="Q5023" s="17"/>
      <c r="R5023" s="25" t="str">
        <f>HYPERLINK("https://ictv.global/taxonomy/taxondetails?taxnode_id=202314980","Zhangqianvirus IME1354")</f>
        <v>Zhangqianvirus IME1354</v>
      </c>
      <c r="S5023" s="18" t="s">
        <v>30</v>
      </c>
      <c r="T5023" s="18" t="s">
        <v>4364</v>
      </c>
      <c r="U5023" s="18"/>
      <c r="V5023" s="18"/>
      <c r="W5023" s="18" t="s">
        <v>4365</v>
      </c>
      <c r="X5023" s="18" t="s">
        <v>42</v>
      </c>
      <c r="Y5023" s="18" t="s">
        <v>36</v>
      </c>
      <c r="Z5023" s="18" t="s">
        <v>697</v>
      </c>
      <c r="AA5023" s="21" t="str">
        <f>HYPERLINK("https://www.ncbi.nlm.nih.gov/nuccore/KY653126","NCBI Nucleotide")</f>
        <v>NCBI Nucleotide</v>
      </c>
    </row>
    <row r="5024" spans="1:27" x14ac:dyDescent="0.35">
      <c r="A5024">
        <v>1025281</v>
      </c>
      <c r="B5024">
        <v>5000</v>
      </c>
      <c r="C5024">
        <v>1</v>
      </c>
      <c r="D5024" s="17" t="s">
        <v>155</v>
      </c>
      <c r="E5024" s="17"/>
      <c r="F5024" s="17" t="s">
        <v>156</v>
      </c>
      <c r="G5024" s="17"/>
      <c r="H5024" s="17" t="s">
        <v>692</v>
      </c>
      <c r="I5024" s="17"/>
      <c r="J5024" s="17" t="s">
        <v>693</v>
      </c>
      <c r="K5024" s="17"/>
      <c r="L5024" s="17"/>
      <c r="M5024" s="17"/>
      <c r="N5024" s="17"/>
      <c r="O5024" s="17"/>
      <c r="P5024" s="17" t="s">
        <v>40083</v>
      </c>
      <c r="Q5024" s="17"/>
      <c r="R5024" s="25" t="str">
        <f>HYPERLINK("https://ictv.global/taxonomy/taxondetails?taxnode_id=202319573","Zhuquevirus R3")</f>
        <v>Zhuquevirus R3</v>
      </c>
      <c r="S5024" s="18" t="s">
        <v>30</v>
      </c>
      <c r="T5024" s="18" t="s">
        <v>40084</v>
      </c>
      <c r="U5024" s="18" t="s">
        <v>40085</v>
      </c>
      <c r="V5024" s="18"/>
      <c r="W5024" s="18" t="s">
        <v>40086</v>
      </c>
      <c r="X5024" s="18" t="s">
        <v>42</v>
      </c>
      <c r="Y5024" s="18" t="s">
        <v>36</v>
      </c>
      <c r="Z5024" s="18" t="s">
        <v>697</v>
      </c>
      <c r="AA5024" s="21" t="str">
        <f>HYPERLINK("https://www.ncbi.nlm.nih.gov/nuccore/KP162168","NCBI Nucleotide")</f>
        <v>NCBI Nucleotide</v>
      </c>
    </row>
    <row r="5025" spans="1:27" x14ac:dyDescent="0.35">
      <c r="A5025">
        <v>1006776</v>
      </c>
      <c r="B5025">
        <v>5001</v>
      </c>
      <c r="C5025">
        <v>1</v>
      </c>
      <c r="D5025" s="17" t="s">
        <v>155</v>
      </c>
      <c r="E5025" s="17"/>
      <c r="F5025" s="17" t="s">
        <v>156</v>
      </c>
      <c r="G5025" s="17"/>
      <c r="H5025" s="17" t="s">
        <v>692</v>
      </c>
      <c r="I5025" s="17"/>
      <c r="J5025" s="17" t="s">
        <v>693</v>
      </c>
      <c r="K5025" s="17"/>
      <c r="L5025" s="17"/>
      <c r="M5025" s="17"/>
      <c r="N5025" s="17"/>
      <c r="O5025" s="17"/>
      <c r="P5025" s="17" t="s">
        <v>4366</v>
      </c>
      <c r="Q5025" s="17"/>
      <c r="R5025" s="25" t="str">
        <f>HYPERLINK("https://ictv.global/taxonomy/taxondetails?taxnode_id=202313422","Zitchvirus verity")</f>
        <v>Zitchvirus verity</v>
      </c>
      <c r="S5025" s="18" t="s">
        <v>30</v>
      </c>
      <c r="T5025" s="18" t="s">
        <v>4367</v>
      </c>
      <c r="U5025" s="18"/>
      <c r="V5025" s="18"/>
      <c r="W5025" s="18" t="s">
        <v>4368</v>
      </c>
      <c r="X5025" s="18" t="s">
        <v>42</v>
      </c>
      <c r="Y5025" s="18" t="s">
        <v>36</v>
      </c>
      <c r="Z5025" s="18" t="s">
        <v>697</v>
      </c>
      <c r="AA5025" s="21" t="str">
        <f>HYPERLINK("https://www.ncbi.nlm.nih.gov/nuccore/MK937611","NCBI Nucleotide")</f>
        <v>NCBI Nucleotide</v>
      </c>
    </row>
    <row r="5026" spans="1:27" x14ac:dyDescent="0.35">
      <c r="A5026">
        <v>1006777</v>
      </c>
      <c r="B5026">
        <v>5002</v>
      </c>
      <c r="C5026">
        <v>1</v>
      </c>
      <c r="D5026" s="17" t="s">
        <v>155</v>
      </c>
      <c r="E5026" s="17"/>
      <c r="F5026" s="17" t="s">
        <v>156</v>
      </c>
      <c r="G5026" s="17"/>
      <c r="H5026" s="17" t="s">
        <v>692</v>
      </c>
      <c r="I5026" s="17"/>
      <c r="J5026" s="17" t="s">
        <v>693</v>
      </c>
      <c r="K5026" s="17"/>
      <c r="L5026" s="17"/>
      <c r="M5026" s="17"/>
      <c r="N5026" s="17"/>
      <c r="O5026" s="17"/>
      <c r="P5026" s="17" t="s">
        <v>4366</v>
      </c>
      <c r="Q5026" s="17"/>
      <c r="R5026" s="25" t="str">
        <f>HYPERLINK("https://ictv.global/taxonomy/taxondetails?taxnode_id=202313421","Zitchvirus zipp")</f>
        <v>Zitchvirus zipp</v>
      </c>
      <c r="S5026" s="18" t="s">
        <v>30</v>
      </c>
      <c r="T5026" s="18" t="s">
        <v>4369</v>
      </c>
      <c r="U5026" s="18"/>
      <c r="V5026" s="18"/>
      <c r="W5026" s="18" t="s">
        <v>4370</v>
      </c>
      <c r="X5026" s="18" t="s">
        <v>42</v>
      </c>
      <c r="Y5026" s="18" t="s">
        <v>36</v>
      </c>
      <c r="Z5026" s="18" t="s">
        <v>697</v>
      </c>
      <c r="AA5026" s="21" t="str">
        <f>HYPERLINK("https://www.ncbi.nlm.nih.gov/nuccore/MK937607","NCBI Nucleotide")</f>
        <v>NCBI Nucleotide</v>
      </c>
    </row>
    <row r="5027" spans="1:27" x14ac:dyDescent="0.35">
      <c r="A5027">
        <v>1006778</v>
      </c>
      <c r="B5027">
        <v>5003</v>
      </c>
      <c r="C5027">
        <v>1</v>
      </c>
      <c r="D5027" s="17" t="s">
        <v>155</v>
      </c>
      <c r="E5027" s="17"/>
      <c r="F5027" s="17" t="s">
        <v>156</v>
      </c>
      <c r="G5027" s="17"/>
      <c r="H5027" s="17" t="s">
        <v>692</v>
      </c>
      <c r="I5027" s="17"/>
      <c r="J5027" s="17" t="s">
        <v>693</v>
      </c>
      <c r="K5027" s="17"/>
      <c r="L5027" s="17"/>
      <c r="M5027" s="17"/>
      <c r="N5027" s="17"/>
      <c r="O5027" s="17"/>
      <c r="P5027" s="17" t="s">
        <v>4366</v>
      </c>
      <c r="Q5027" s="17"/>
      <c r="R5027" s="25" t="str">
        <f>HYPERLINK("https://ictv.global/taxonomy/taxondetails?taxnode_id=202313420","Zitchvirus zitch")</f>
        <v>Zitchvirus zitch</v>
      </c>
      <c r="S5027" s="18" t="s">
        <v>30</v>
      </c>
      <c r="T5027" s="18" t="s">
        <v>4371</v>
      </c>
      <c r="U5027" s="18"/>
      <c r="V5027" s="18"/>
      <c r="W5027" s="18" t="s">
        <v>4372</v>
      </c>
      <c r="X5027" s="18" t="s">
        <v>42</v>
      </c>
      <c r="Y5027" s="18" t="s">
        <v>36</v>
      </c>
      <c r="Z5027" s="18" t="s">
        <v>697</v>
      </c>
      <c r="AA5027" s="21" t="str">
        <f>HYPERLINK("https://www.ncbi.nlm.nih.gov/nuccore/MT498036","NCBI Nucleotide")</f>
        <v>NCBI Nucleotide</v>
      </c>
    </row>
    <row r="5028" spans="1:27" x14ac:dyDescent="0.35">
      <c r="A5028">
        <v>1006779</v>
      </c>
      <c r="B5028">
        <v>5004</v>
      </c>
      <c r="C5028">
        <v>1</v>
      </c>
      <c r="D5028" s="17" t="s">
        <v>155</v>
      </c>
      <c r="E5028" s="17"/>
      <c r="F5028" s="17" t="s">
        <v>156</v>
      </c>
      <c r="G5028" s="17"/>
      <c r="H5028" s="17" t="s">
        <v>692</v>
      </c>
      <c r="I5028" s="17"/>
      <c r="J5028" s="17" t="s">
        <v>693</v>
      </c>
      <c r="K5028" s="17"/>
      <c r="L5028" s="17"/>
      <c r="M5028" s="17"/>
      <c r="N5028" s="17"/>
      <c r="O5028" s="17"/>
      <c r="P5028" s="17" t="s">
        <v>4373</v>
      </c>
      <c r="Q5028" s="17"/>
      <c r="R5028" s="25" t="str">
        <f>HYPERLINK("https://ictv.global/taxonomy/taxondetails?taxnode_id=202314880","Zukovirus phill")</f>
        <v>Zukovirus phill</v>
      </c>
      <c r="S5028" s="18" t="s">
        <v>30</v>
      </c>
      <c r="T5028" s="18" t="s">
        <v>4374</v>
      </c>
      <c r="U5028" s="18"/>
      <c r="V5028" s="18"/>
      <c r="W5028" s="18" t="s">
        <v>4375</v>
      </c>
      <c r="X5028" s="18" t="s">
        <v>42</v>
      </c>
      <c r="Y5028" s="18" t="s">
        <v>36</v>
      </c>
      <c r="Z5028" s="18" t="s">
        <v>697</v>
      </c>
      <c r="AA5028" s="21" t="str">
        <f>HYPERLINK("https://www.ncbi.nlm.nih.gov/nuccore/MW822144","NCBI Nucleotide")</f>
        <v>NCBI Nucleotide</v>
      </c>
    </row>
    <row r="5029" spans="1:27" x14ac:dyDescent="0.35">
      <c r="A5029">
        <v>1006780</v>
      </c>
      <c r="B5029">
        <v>5005</v>
      </c>
      <c r="C5029">
        <v>1</v>
      </c>
      <c r="D5029" s="17" t="s">
        <v>155</v>
      </c>
      <c r="E5029" s="17"/>
      <c r="F5029" s="17" t="s">
        <v>156</v>
      </c>
      <c r="G5029" s="17"/>
      <c r="H5029" s="17" t="s">
        <v>692</v>
      </c>
      <c r="I5029" s="17"/>
      <c r="J5029" s="17" t="s">
        <v>693</v>
      </c>
      <c r="K5029" s="17"/>
      <c r="L5029" s="17"/>
      <c r="M5029" s="17"/>
      <c r="N5029" s="17"/>
      <c r="O5029" s="17"/>
      <c r="P5029" s="17" t="s">
        <v>4373</v>
      </c>
      <c r="Q5029" s="17"/>
      <c r="R5029" s="25" t="str">
        <f>HYPERLINK("https://ictv.global/taxonomy/taxondetails?taxnode_id=202314879","Zukovirus zuko")</f>
        <v>Zukovirus zuko</v>
      </c>
      <c r="S5029" s="18" t="s">
        <v>30</v>
      </c>
      <c r="T5029" s="18" t="s">
        <v>4376</v>
      </c>
      <c r="U5029" s="18"/>
      <c r="V5029" s="18"/>
      <c r="W5029" s="18" t="s">
        <v>4377</v>
      </c>
      <c r="X5029" s="18" t="s">
        <v>42</v>
      </c>
      <c r="Y5029" s="18" t="s">
        <v>36</v>
      </c>
      <c r="Z5029" s="18" t="s">
        <v>697</v>
      </c>
      <c r="AA5029" s="21" t="str">
        <f>HYPERLINK("https://www.ncbi.nlm.nih.gov/nuccore/MN204493","NCBI Nucleotide")</f>
        <v>NCBI Nucleotide</v>
      </c>
    </row>
    <row r="5030" spans="1:27" x14ac:dyDescent="0.35">
      <c r="A5030">
        <v>1006781</v>
      </c>
      <c r="B5030">
        <v>5006</v>
      </c>
      <c r="C5030">
        <v>1</v>
      </c>
      <c r="D5030" s="17" t="s">
        <v>10507</v>
      </c>
      <c r="E5030" s="17"/>
      <c r="F5030" s="17" t="s">
        <v>10508</v>
      </c>
      <c r="G5030" s="17"/>
      <c r="H5030" s="17" t="s">
        <v>10509</v>
      </c>
      <c r="I5030" s="17"/>
      <c r="J5030" s="17" t="s">
        <v>10510</v>
      </c>
      <c r="K5030" s="17"/>
      <c r="L5030" s="17" t="s">
        <v>10511</v>
      </c>
      <c r="M5030" s="17"/>
      <c r="N5030" s="17" t="s">
        <v>10512</v>
      </c>
      <c r="O5030" s="17"/>
      <c r="P5030" s="17" t="s">
        <v>10513</v>
      </c>
      <c r="Q5030" s="17"/>
      <c r="R5030" s="25" t="str">
        <f>HYPERLINK("https://ictv.global/taxonomy/taxondetails?taxnode_id=202303715","Affertcholeramvirus CTXphi")</f>
        <v>Affertcholeramvirus CTXphi</v>
      </c>
      <c r="S5030" s="18" t="s">
        <v>30</v>
      </c>
      <c r="T5030" s="18" t="s">
        <v>10514</v>
      </c>
      <c r="U5030" s="18" t="s">
        <v>10515</v>
      </c>
      <c r="V5030" s="18"/>
      <c r="W5030" s="18" t="s">
        <v>10516</v>
      </c>
      <c r="X5030" s="18" t="s">
        <v>42</v>
      </c>
      <c r="Y5030" s="18" t="s">
        <v>12266</v>
      </c>
      <c r="Z5030" s="18" t="s">
        <v>697</v>
      </c>
      <c r="AA5030" s="21" t="str">
        <f>HYPERLINK("https://www.ncbi.nlm.nih.gov/nuccore/HQ224500","NCBI Nucleotide")</f>
        <v>NCBI Nucleotide</v>
      </c>
    </row>
    <row r="5031" spans="1:27" x14ac:dyDescent="0.35">
      <c r="A5031">
        <v>1006782</v>
      </c>
      <c r="B5031">
        <v>5007</v>
      </c>
      <c r="C5031">
        <v>1</v>
      </c>
      <c r="D5031" s="17" t="s">
        <v>10507</v>
      </c>
      <c r="E5031" s="17"/>
      <c r="F5031" s="17" t="s">
        <v>10508</v>
      </c>
      <c r="G5031" s="17"/>
      <c r="H5031" s="17" t="s">
        <v>10509</v>
      </c>
      <c r="I5031" s="17"/>
      <c r="J5031" s="17" t="s">
        <v>10510</v>
      </c>
      <c r="K5031" s="17"/>
      <c r="L5031" s="17" t="s">
        <v>10511</v>
      </c>
      <c r="M5031" s="17"/>
      <c r="N5031" s="17" t="s">
        <v>10512</v>
      </c>
      <c r="O5031" s="17"/>
      <c r="P5031" s="17" t="s">
        <v>10513</v>
      </c>
      <c r="Q5031" s="17"/>
      <c r="R5031" s="25" t="str">
        <f>HYPERLINK("https://ictv.global/taxonomy/taxondetails?taxnode_id=202312621","Affertcholeramvirus preCTX1")</f>
        <v>Affertcholeramvirus preCTX1</v>
      </c>
      <c r="S5031" s="18" t="s">
        <v>30</v>
      </c>
      <c r="T5031" s="18" t="s">
        <v>10518</v>
      </c>
      <c r="U5031" s="18"/>
      <c r="V5031" s="18"/>
      <c r="W5031" s="18" t="s">
        <v>10519</v>
      </c>
      <c r="X5031" s="18" t="s">
        <v>42</v>
      </c>
      <c r="Y5031" s="18" t="s">
        <v>12266</v>
      </c>
      <c r="Z5031" s="18" t="s">
        <v>697</v>
      </c>
      <c r="AA5031" s="21" t="str">
        <f>HYPERLINK("https://www.ncbi.nlm.nih.gov/nuccore/KP972568","NCBI Nucleotide")</f>
        <v>NCBI Nucleotide</v>
      </c>
    </row>
    <row r="5032" spans="1:27" x14ac:dyDescent="0.35">
      <c r="A5032">
        <v>1006783</v>
      </c>
      <c r="B5032">
        <v>5008</v>
      </c>
      <c r="C5032">
        <v>1</v>
      </c>
      <c r="D5032" s="17" t="s">
        <v>10507</v>
      </c>
      <c r="E5032" s="17"/>
      <c r="F5032" s="17" t="s">
        <v>10508</v>
      </c>
      <c r="G5032" s="17"/>
      <c r="H5032" s="17" t="s">
        <v>10509</v>
      </c>
      <c r="I5032" s="17"/>
      <c r="J5032" s="17" t="s">
        <v>10510</v>
      </c>
      <c r="K5032" s="17"/>
      <c r="L5032" s="17" t="s">
        <v>10511</v>
      </c>
      <c r="M5032" s="17"/>
      <c r="N5032" s="17" t="s">
        <v>10512</v>
      </c>
      <c r="O5032" s="17"/>
      <c r="P5032" s="17" t="s">
        <v>10513</v>
      </c>
      <c r="Q5032" s="17"/>
      <c r="R5032" s="25" t="str">
        <f>HYPERLINK("https://ictv.global/taxonomy/taxondetails?taxnode_id=202312622","Affertcholeramvirus preCTX2")</f>
        <v>Affertcholeramvirus preCTX2</v>
      </c>
      <c r="S5032" s="18" t="s">
        <v>30</v>
      </c>
      <c r="T5032" s="18" t="s">
        <v>10518</v>
      </c>
      <c r="U5032" s="18"/>
      <c r="V5032" s="18"/>
      <c r="W5032" s="18" t="s">
        <v>10520</v>
      </c>
      <c r="X5032" s="18" t="s">
        <v>42</v>
      </c>
      <c r="Y5032" s="18" t="s">
        <v>12266</v>
      </c>
      <c r="Z5032" s="18" t="s">
        <v>697</v>
      </c>
      <c r="AA5032" s="21" t="str">
        <f>HYPERLINK("https://www.ncbi.nlm.nih.gov/nuccore/KT728930","NCBI Nucleotide")</f>
        <v>NCBI Nucleotide</v>
      </c>
    </row>
    <row r="5033" spans="1:27" x14ac:dyDescent="0.35">
      <c r="A5033">
        <v>1025295</v>
      </c>
      <c r="B5033">
        <v>5009</v>
      </c>
      <c r="C5033">
        <v>1</v>
      </c>
      <c r="D5033" s="17" t="s">
        <v>10507</v>
      </c>
      <c r="E5033" s="17"/>
      <c r="F5033" s="17" t="s">
        <v>10508</v>
      </c>
      <c r="G5033" s="17"/>
      <c r="H5033" s="17" t="s">
        <v>10509</v>
      </c>
      <c r="I5033" s="17"/>
      <c r="J5033" s="17" t="s">
        <v>10510</v>
      </c>
      <c r="K5033" s="17"/>
      <c r="L5033" s="17" t="s">
        <v>10511</v>
      </c>
      <c r="M5033" s="17"/>
      <c r="N5033" s="17" t="s">
        <v>10512</v>
      </c>
      <c r="O5033" s="17"/>
      <c r="P5033" s="17" t="s">
        <v>40087</v>
      </c>
      <c r="Q5033" s="17"/>
      <c r="R5033" s="25" t="str">
        <f>HYPERLINK("https://ictv.global/taxonomy/taxondetails?taxnode_id=202319390","Anademivirus AFP")</f>
        <v>Anademivirus AFP</v>
      </c>
      <c r="S5033" s="18" t="s">
        <v>30</v>
      </c>
      <c r="T5033" s="18" t="s">
        <v>40088</v>
      </c>
      <c r="U5033" s="18"/>
      <c r="V5033" s="18"/>
      <c r="W5033" s="18" t="s">
        <v>48591</v>
      </c>
      <c r="X5033" s="18" t="s">
        <v>42</v>
      </c>
      <c r="Y5033" s="18" t="s">
        <v>10517</v>
      </c>
      <c r="Z5033" s="18" t="s">
        <v>697</v>
      </c>
      <c r="AA5033" s="21" t="str">
        <f>HYPERLINK("https://www.ncbi.nlm.nih.gov/nuccore/MT975991","NCBI Nucleotide")</f>
        <v>NCBI Nucleotide</v>
      </c>
    </row>
    <row r="5034" spans="1:27" x14ac:dyDescent="0.35">
      <c r="A5034">
        <v>1006784</v>
      </c>
      <c r="B5034">
        <v>5010</v>
      </c>
      <c r="C5034">
        <v>1</v>
      </c>
      <c r="D5034" s="17" t="s">
        <v>10507</v>
      </c>
      <c r="E5034" s="17"/>
      <c r="F5034" s="17" t="s">
        <v>10508</v>
      </c>
      <c r="G5034" s="17"/>
      <c r="H5034" s="17" t="s">
        <v>10509</v>
      </c>
      <c r="I5034" s="17"/>
      <c r="J5034" s="17" t="s">
        <v>10510</v>
      </c>
      <c r="K5034" s="17"/>
      <c r="L5034" s="17" t="s">
        <v>10511</v>
      </c>
      <c r="M5034" s="17"/>
      <c r="N5034" s="17" t="s">
        <v>10512</v>
      </c>
      <c r="O5034" s="17"/>
      <c r="P5034" s="17" t="s">
        <v>10521</v>
      </c>
      <c r="Q5034" s="17"/>
      <c r="R5034" s="25" t="str">
        <f>HYPERLINK("https://ictv.global/taxonomy/taxondetails?taxnode_id=202303716","Capistrivirus KSF1")</f>
        <v>Capistrivirus KSF1</v>
      </c>
      <c r="S5034" s="18" t="s">
        <v>30</v>
      </c>
      <c r="T5034" s="18" t="s">
        <v>10522</v>
      </c>
      <c r="U5034" s="18" t="s">
        <v>10523</v>
      </c>
      <c r="V5034" s="18"/>
      <c r="W5034" s="18" t="s">
        <v>10524</v>
      </c>
      <c r="X5034" s="18" t="s">
        <v>42</v>
      </c>
      <c r="Y5034" s="18" t="s">
        <v>10517</v>
      </c>
      <c r="Z5034" s="18" t="s">
        <v>697</v>
      </c>
      <c r="AA5034" s="21" t="str">
        <f>HYPERLINK("https://www.ncbi.nlm.nih.gov/nuccore/AY714348","NCBI Nucleotide")</f>
        <v>NCBI Nucleotide</v>
      </c>
    </row>
    <row r="5035" spans="1:27" x14ac:dyDescent="0.35">
      <c r="A5035">
        <v>1006785</v>
      </c>
      <c r="B5035">
        <v>5011</v>
      </c>
      <c r="C5035">
        <v>1</v>
      </c>
      <c r="D5035" s="17" t="s">
        <v>10507</v>
      </c>
      <c r="E5035" s="17"/>
      <c r="F5035" s="17" t="s">
        <v>10508</v>
      </c>
      <c r="G5035" s="17"/>
      <c r="H5035" s="17" t="s">
        <v>10509</v>
      </c>
      <c r="I5035" s="17"/>
      <c r="J5035" s="17" t="s">
        <v>10510</v>
      </c>
      <c r="K5035" s="17"/>
      <c r="L5035" s="17" t="s">
        <v>10511</v>
      </c>
      <c r="M5035" s="17"/>
      <c r="N5035" s="17" t="s">
        <v>10512</v>
      </c>
      <c r="O5035" s="17"/>
      <c r="P5035" s="17" t="s">
        <v>10525</v>
      </c>
      <c r="Q5035" s="17"/>
      <c r="R5035" s="25" t="str">
        <f>HYPERLINK("https://ictv.global/taxonomy/taxondetails?taxnode_id=202303720","Coriovirus Cf1c")</f>
        <v>Coriovirus Cf1c</v>
      </c>
      <c r="S5035" s="18" t="s">
        <v>30</v>
      </c>
      <c r="T5035" s="18" t="s">
        <v>10526</v>
      </c>
      <c r="U5035" s="18" t="s">
        <v>10527</v>
      </c>
      <c r="V5035" s="18"/>
      <c r="W5035" s="18" t="s">
        <v>10528</v>
      </c>
      <c r="X5035" s="18" t="s">
        <v>42</v>
      </c>
      <c r="Y5035" s="18" t="s">
        <v>12266</v>
      </c>
      <c r="Z5035" s="18" t="s">
        <v>697</v>
      </c>
      <c r="AA5035" s="21" t="str">
        <f>HYPERLINK("https://www.ncbi.nlm.nih.gov/nuccore/M57538","NCBI Nucleotide")</f>
        <v>NCBI Nucleotide</v>
      </c>
    </row>
    <row r="5036" spans="1:27" x14ac:dyDescent="0.35">
      <c r="A5036">
        <v>1012192</v>
      </c>
      <c r="B5036">
        <v>5011</v>
      </c>
      <c r="C5036">
        <v>2</v>
      </c>
      <c r="D5036" s="17" t="s">
        <v>10507</v>
      </c>
      <c r="E5036" s="17"/>
      <c r="F5036" s="17" t="s">
        <v>10508</v>
      </c>
      <c r="G5036" s="17"/>
      <c r="H5036" s="17" t="s">
        <v>10509</v>
      </c>
      <c r="I5036" s="17"/>
      <c r="J5036" s="17" t="s">
        <v>10510</v>
      </c>
      <c r="K5036" s="17"/>
      <c r="L5036" s="17" t="s">
        <v>10511</v>
      </c>
      <c r="M5036" s="17"/>
      <c r="N5036" s="17" t="s">
        <v>10512</v>
      </c>
      <c r="O5036" s="17"/>
      <c r="P5036" s="17" t="s">
        <v>10525</v>
      </c>
      <c r="Q5036" s="17"/>
      <c r="R5036" s="25" t="str">
        <f>HYPERLINK("https://ictv.global/taxonomy/taxondetails?taxnode_id=202303720","Coriovirus Cf1c")</f>
        <v>Coriovirus Cf1c</v>
      </c>
      <c r="S5036" s="18" t="s">
        <v>8141</v>
      </c>
      <c r="T5036" s="18" t="s">
        <v>10529</v>
      </c>
      <c r="U5036" s="18" t="s">
        <v>10530</v>
      </c>
      <c r="V5036" s="18"/>
      <c r="W5036" s="18" t="s">
        <v>48754</v>
      </c>
      <c r="X5036" s="18" t="s">
        <v>42</v>
      </c>
      <c r="Y5036" s="18" t="s">
        <v>12266</v>
      </c>
      <c r="Z5036" s="18" t="s">
        <v>697</v>
      </c>
      <c r="AA5036" s="21" t="str">
        <f>HYPERLINK("https://www.ncbi.nlm.nih.gov/nuccore/AB910602","NCBI Nucleotide")</f>
        <v>NCBI Nucleotide</v>
      </c>
    </row>
    <row r="5037" spans="1:27" x14ac:dyDescent="0.35">
      <c r="A5037">
        <v>1006786</v>
      </c>
      <c r="B5037">
        <v>5012</v>
      </c>
      <c r="C5037">
        <v>1</v>
      </c>
      <c r="D5037" s="17" t="s">
        <v>10507</v>
      </c>
      <c r="E5037" s="17"/>
      <c r="F5037" s="17" t="s">
        <v>10508</v>
      </c>
      <c r="G5037" s="17"/>
      <c r="H5037" s="17" t="s">
        <v>10509</v>
      </c>
      <c r="I5037" s="17"/>
      <c r="J5037" s="17" t="s">
        <v>10510</v>
      </c>
      <c r="K5037" s="17"/>
      <c r="L5037" s="17" t="s">
        <v>10511</v>
      </c>
      <c r="M5037" s="17"/>
      <c r="N5037" s="17" t="s">
        <v>10512</v>
      </c>
      <c r="O5037" s="17"/>
      <c r="P5037" s="17" t="s">
        <v>10531</v>
      </c>
      <c r="Q5037" s="17"/>
      <c r="R5037" s="25" t="str">
        <f>HYPERLINK("https://ictv.global/taxonomy/taxondetails?taxnode_id=202303687","Fibrovirus fs1")</f>
        <v>Fibrovirus fs1</v>
      </c>
      <c r="S5037" s="18" t="s">
        <v>30</v>
      </c>
      <c r="T5037" s="18" t="s">
        <v>10532</v>
      </c>
      <c r="U5037" s="18" t="s">
        <v>10533</v>
      </c>
      <c r="V5037" s="18"/>
      <c r="W5037" s="18" t="s">
        <v>10534</v>
      </c>
      <c r="X5037" s="18" t="s">
        <v>42</v>
      </c>
      <c r="Y5037" s="18" t="s">
        <v>10517</v>
      </c>
      <c r="Z5037" s="18" t="s">
        <v>697</v>
      </c>
      <c r="AA5037" s="21" t="str">
        <f>HYPERLINK("https://www.ncbi.nlm.nih.gov/nuccore/D89074","NCBI Nucleotide")</f>
        <v>NCBI Nucleotide</v>
      </c>
    </row>
    <row r="5038" spans="1:27" x14ac:dyDescent="0.35">
      <c r="A5038">
        <v>1012193</v>
      </c>
      <c r="B5038">
        <v>5012</v>
      </c>
      <c r="C5038">
        <v>2</v>
      </c>
      <c r="D5038" s="17" t="s">
        <v>10507</v>
      </c>
      <c r="E5038" s="17"/>
      <c r="F5038" s="17" t="s">
        <v>10508</v>
      </c>
      <c r="G5038" s="17"/>
      <c r="H5038" s="17" t="s">
        <v>10509</v>
      </c>
      <c r="I5038" s="17"/>
      <c r="J5038" s="17" t="s">
        <v>10510</v>
      </c>
      <c r="K5038" s="17"/>
      <c r="L5038" s="17" t="s">
        <v>10511</v>
      </c>
      <c r="M5038" s="17"/>
      <c r="N5038" s="17" t="s">
        <v>10512</v>
      </c>
      <c r="O5038" s="17"/>
      <c r="P5038" s="17" t="s">
        <v>10531</v>
      </c>
      <c r="Q5038" s="17"/>
      <c r="R5038" s="25" t="str">
        <f>HYPERLINK("https://ictv.global/taxonomy/taxondetails?taxnode_id=202303687","Fibrovirus fs1")</f>
        <v>Fibrovirus fs1</v>
      </c>
      <c r="S5038" s="18" t="s">
        <v>8141</v>
      </c>
      <c r="T5038" s="18" t="s">
        <v>10536</v>
      </c>
      <c r="U5038" s="18" t="s">
        <v>10537</v>
      </c>
      <c r="V5038" s="18"/>
      <c r="W5038" s="18" t="s">
        <v>48755</v>
      </c>
      <c r="X5038" s="18" t="s">
        <v>42</v>
      </c>
      <c r="Y5038" s="18" t="s">
        <v>12266</v>
      </c>
      <c r="Z5038" s="18" t="s">
        <v>697</v>
      </c>
      <c r="AA5038" s="21" t="str">
        <f>HYPERLINK("https://www.ncbi.nlm.nih.gov/nuccore/AB572858","NCBI Nucleotide")</f>
        <v>NCBI Nucleotide</v>
      </c>
    </row>
    <row r="5039" spans="1:27" x14ac:dyDescent="0.35">
      <c r="A5039">
        <v>1012196</v>
      </c>
      <c r="B5039">
        <v>5012</v>
      </c>
      <c r="C5039">
        <v>3</v>
      </c>
      <c r="D5039" s="17" t="s">
        <v>10507</v>
      </c>
      <c r="E5039" s="17"/>
      <c r="F5039" s="17" t="s">
        <v>10508</v>
      </c>
      <c r="G5039" s="17"/>
      <c r="H5039" s="17" t="s">
        <v>10509</v>
      </c>
      <c r="I5039" s="17"/>
      <c r="J5039" s="17" t="s">
        <v>10510</v>
      </c>
      <c r="K5039" s="17"/>
      <c r="L5039" s="17" t="s">
        <v>10511</v>
      </c>
      <c r="M5039" s="17"/>
      <c r="N5039" s="17" t="s">
        <v>10512</v>
      </c>
      <c r="O5039" s="17"/>
      <c r="P5039" s="17" t="s">
        <v>10531</v>
      </c>
      <c r="Q5039" s="17"/>
      <c r="R5039" s="25" t="str">
        <f>HYPERLINK("https://ictv.global/taxonomy/taxondetails?taxnode_id=202303687","Fibrovirus fs1")</f>
        <v>Fibrovirus fs1</v>
      </c>
      <c r="S5039" s="18" t="s">
        <v>8141</v>
      </c>
      <c r="T5039" s="18" t="s">
        <v>10542</v>
      </c>
      <c r="U5039" s="18" t="s">
        <v>10543</v>
      </c>
      <c r="V5039" s="18"/>
      <c r="W5039" s="18" t="s">
        <v>48756</v>
      </c>
      <c r="X5039" s="18" t="s">
        <v>42</v>
      </c>
      <c r="Y5039" s="18" t="s">
        <v>12266</v>
      </c>
      <c r="Z5039" s="18" t="s">
        <v>697</v>
      </c>
      <c r="AA5039" s="21" t="str">
        <f>HYPERLINK("https://www.ncbi.nlm.nih.gov/nuccore/FJ904927","NCBI Nucleotide")</f>
        <v>NCBI Nucleotide</v>
      </c>
    </row>
    <row r="5040" spans="1:27" x14ac:dyDescent="0.35">
      <c r="A5040">
        <v>1012194</v>
      </c>
      <c r="B5040">
        <v>5012</v>
      </c>
      <c r="C5040">
        <v>4</v>
      </c>
      <c r="D5040" s="17" t="s">
        <v>10507</v>
      </c>
      <c r="E5040" s="17"/>
      <c r="F5040" s="17" t="s">
        <v>10508</v>
      </c>
      <c r="G5040" s="17"/>
      <c r="H5040" s="17" t="s">
        <v>10509</v>
      </c>
      <c r="I5040" s="17"/>
      <c r="J5040" s="17" t="s">
        <v>10510</v>
      </c>
      <c r="K5040" s="17"/>
      <c r="L5040" s="17" t="s">
        <v>10511</v>
      </c>
      <c r="M5040" s="17"/>
      <c r="N5040" s="17" t="s">
        <v>10512</v>
      </c>
      <c r="O5040" s="17"/>
      <c r="P5040" s="17" t="s">
        <v>10531</v>
      </c>
      <c r="Q5040" s="17"/>
      <c r="R5040" s="25" t="str">
        <f>HYPERLINK("https://ictv.global/taxonomy/taxondetails?taxnode_id=202303687","Fibrovirus fs1")</f>
        <v>Fibrovirus fs1</v>
      </c>
      <c r="S5040" s="18" t="s">
        <v>8141</v>
      </c>
      <c r="T5040" s="18" t="s">
        <v>10538</v>
      </c>
      <c r="U5040" s="18" t="s">
        <v>10539</v>
      </c>
      <c r="V5040" s="18"/>
      <c r="W5040" s="18" t="s">
        <v>48757</v>
      </c>
      <c r="X5040" s="18" t="s">
        <v>42</v>
      </c>
      <c r="Y5040" s="18" t="s">
        <v>12266</v>
      </c>
      <c r="Z5040" s="18" t="s">
        <v>697</v>
      </c>
      <c r="AA5040" s="21" t="str">
        <f>HYPERLINK("https://www.ncbi.nlm.nih.gov/nuccore/AF453500","NCBI Nucleotide")</f>
        <v>NCBI Nucleotide</v>
      </c>
    </row>
    <row r="5041" spans="1:27" x14ac:dyDescent="0.35">
      <c r="A5041">
        <v>1012195</v>
      </c>
      <c r="B5041">
        <v>5012</v>
      </c>
      <c r="C5041">
        <v>5</v>
      </c>
      <c r="D5041" s="17" t="s">
        <v>10507</v>
      </c>
      <c r="E5041" s="17"/>
      <c r="F5041" s="17" t="s">
        <v>10508</v>
      </c>
      <c r="G5041" s="17"/>
      <c r="H5041" s="17" t="s">
        <v>10509</v>
      </c>
      <c r="I5041" s="17"/>
      <c r="J5041" s="17" t="s">
        <v>10510</v>
      </c>
      <c r="K5041" s="17"/>
      <c r="L5041" s="17" t="s">
        <v>10511</v>
      </c>
      <c r="M5041" s="17"/>
      <c r="N5041" s="17" t="s">
        <v>10512</v>
      </c>
      <c r="O5041" s="17"/>
      <c r="P5041" s="17" t="s">
        <v>10531</v>
      </c>
      <c r="Q5041" s="17"/>
      <c r="R5041" s="25" t="str">
        <f>HYPERLINK("https://ictv.global/taxonomy/taxondetails?taxnode_id=202303687","Fibrovirus fs1")</f>
        <v>Fibrovirus fs1</v>
      </c>
      <c r="S5041" s="18" t="s">
        <v>8141</v>
      </c>
      <c r="T5041" s="18" t="s">
        <v>10540</v>
      </c>
      <c r="U5041" s="18" t="s">
        <v>10541</v>
      </c>
      <c r="V5041" s="18"/>
      <c r="W5041" s="18" t="s">
        <v>48758</v>
      </c>
      <c r="X5041" s="18" t="s">
        <v>42</v>
      </c>
      <c r="Y5041" s="18" t="s">
        <v>10517</v>
      </c>
      <c r="Z5041" s="18" t="s">
        <v>697</v>
      </c>
      <c r="AA5041" s="21" t="str">
        <f>HYPERLINK("https://www.ncbi.nlm.nih.gov/nuccore/AF452449","NCBI Nucleotide")</f>
        <v>NCBI Nucleotide</v>
      </c>
    </row>
    <row r="5042" spans="1:27" x14ac:dyDescent="0.35">
      <c r="A5042">
        <v>1006787</v>
      </c>
      <c r="B5042">
        <v>5013</v>
      </c>
      <c r="C5042">
        <v>1</v>
      </c>
      <c r="D5042" s="17" t="s">
        <v>10507</v>
      </c>
      <c r="E5042" s="17"/>
      <c r="F5042" s="17" t="s">
        <v>10508</v>
      </c>
      <c r="G5042" s="17"/>
      <c r="H5042" s="17" t="s">
        <v>10509</v>
      </c>
      <c r="I5042" s="17"/>
      <c r="J5042" s="17" t="s">
        <v>10510</v>
      </c>
      <c r="K5042" s="17"/>
      <c r="L5042" s="17" t="s">
        <v>10511</v>
      </c>
      <c r="M5042" s="17"/>
      <c r="N5042" s="17" t="s">
        <v>10512</v>
      </c>
      <c r="O5042" s="17"/>
      <c r="P5042" s="17" t="s">
        <v>10531</v>
      </c>
      <c r="Q5042" s="17"/>
      <c r="R5042" s="25" t="str">
        <f>HYPERLINK("https://ictv.global/taxonomy/taxondetails?taxnode_id=202303688","Fibrovirus VGJ")</f>
        <v>Fibrovirus VGJ</v>
      </c>
      <c r="S5042" s="18" t="s">
        <v>30</v>
      </c>
      <c r="T5042" s="18" t="s">
        <v>10544</v>
      </c>
      <c r="U5042" s="18" t="s">
        <v>10545</v>
      </c>
      <c r="V5042" s="18"/>
      <c r="W5042" s="18" t="s">
        <v>10546</v>
      </c>
      <c r="X5042" s="18" t="s">
        <v>42</v>
      </c>
      <c r="Y5042" s="18" t="s">
        <v>12266</v>
      </c>
      <c r="Z5042" s="18" t="s">
        <v>697</v>
      </c>
      <c r="AA5042" s="21" t="str">
        <f>HYPERLINK("https://www.ncbi.nlm.nih.gov/nuccore/AY242528","NCBI Nucleotide")</f>
        <v>NCBI Nucleotide</v>
      </c>
    </row>
    <row r="5043" spans="1:27" x14ac:dyDescent="0.35">
      <c r="A5043">
        <v>1006788</v>
      </c>
      <c r="B5043">
        <v>5014</v>
      </c>
      <c r="C5043">
        <v>1</v>
      </c>
      <c r="D5043" s="17" t="s">
        <v>10507</v>
      </c>
      <c r="E5043" s="17"/>
      <c r="F5043" s="17" t="s">
        <v>10508</v>
      </c>
      <c r="G5043" s="17"/>
      <c r="H5043" s="17" t="s">
        <v>10509</v>
      </c>
      <c r="I5043" s="17"/>
      <c r="J5043" s="17" t="s">
        <v>10510</v>
      </c>
      <c r="K5043" s="17"/>
      <c r="L5043" s="17" t="s">
        <v>10511</v>
      </c>
      <c r="M5043" s="17"/>
      <c r="N5043" s="17" t="s">
        <v>10512</v>
      </c>
      <c r="O5043" s="17"/>
      <c r="P5043" s="17" t="s">
        <v>10531</v>
      </c>
      <c r="Q5043" s="17"/>
      <c r="R5043" s="25" t="str">
        <f>HYPERLINK("https://ictv.global/taxonomy/taxondetails?taxnode_id=202312614","Fobrovirus VP24")</f>
        <v>Fobrovirus VP24</v>
      </c>
      <c r="S5043" s="18" t="s">
        <v>30</v>
      </c>
      <c r="T5043" s="18" t="s">
        <v>10547</v>
      </c>
      <c r="U5043" s="18"/>
      <c r="V5043" s="18"/>
      <c r="W5043" s="18" t="s">
        <v>10548</v>
      </c>
      <c r="X5043" s="18" t="s">
        <v>42</v>
      </c>
      <c r="Y5043" s="18" t="s">
        <v>12266</v>
      </c>
      <c r="Z5043" s="18" t="s">
        <v>697</v>
      </c>
      <c r="AA5043" s="21" t="str">
        <f>HYPERLINK("https://www.ncbi.nlm.nih.gov/nuccore/MN536023","NCBI Nucleotide")</f>
        <v>NCBI Nucleotide</v>
      </c>
    </row>
    <row r="5044" spans="1:27" x14ac:dyDescent="0.35">
      <c r="A5044">
        <v>1006789</v>
      </c>
      <c r="B5044">
        <v>5015</v>
      </c>
      <c r="C5044">
        <v>1</v>
      </c>
      <c r="D5044" s="17" t="s">
        <v>10507</v>
      </c>
      <c r="E5044" s="17"/>
      <c r="F5044" s="17" t="s">
        <v>10508</v>
      </c>
      <c r="G5044" s="17"/>
      <c r="H5044" s="17" t="s">
        <v>10509</v>
      </c>
      <c r="I5044" s="17"/>
      <c r="J5044" s="17" t="s">
        <v>10510</v>
      </c>
      <c r="K5044" s="17"/>
      <c r="L5044" s="17" t="s">
        <v>10511</v>
      </c>
      <c r="M5044" s="17"/>
      <c r="N5044" s="17" t="s">
        <v>10512</v>
      </c>
      <c r="O5044" s="17"/>
      <c r="P5044" s="17" t="s">
        <v>10549</v>
      </c>
      <c r="Q5044" s="17"/>
      <c r="R5044" s="25" t="str">
        <f>HYPERLINK("https://ictv.global/taxonomy/taxondetails?taxnode_id=202307856","Habenivirus RS551")</f>
        <v>Habenivirus RS551</v>
      </c>
      <c r="S5044" s="18" t="s">
        <v>30</v>
      </c>
      <c r="T5044" s="18" t="s">
        <v>10550</v>
      </c>
      <c r="U5044" s="18" t="s">
        <v>10551</v>
      </c>
      <c r="V5044" s="18"/>
      <c r="W5044" s="18" t="s">
        <v>10552</v>
      </c>
      <c r="X5044" s="18" t="s">
        <v>42</v>
      </c>
      <c r="Y5044" s="18" t="s">
        <v>12266</v>
      </c>
      <c r="Z5044" s="18" t="s">
        <v>697</v>
      </c>
      <c r="AA5044" s="21" t="str">
        <f>HYPERLINK("https://www.ncbi.nlm.nih.gov/nuccore/KX179905","NCBI Nucleotide")</f>
        <v>NCBI Nucleotide</v>
      </c>
    </row>
    <row r="5045" spans="1:27" x14ac:dyDescent="0.35">
      <c r="A5045">
        <v>1012197</v>
      </c>
      <c r="B5045">
        <v>5015</v>
      </c>
      <c r="C5045">
        <v>2</v>
      </c>
      <c r="D5045" s="17" t="s">
        <v>10507</v>
      </c>
      <c r="E5045" s="17"/>
      <c r="F5045" s="17" t="s">
        <v>10508</v>
      </c>
      <c r="G5045" s="17"/>
      <c r="H5045" s="17" t="s">
        <v>10509</v>
      </c>
      <c r="I5045" s="17"/>
      <c r="J5045" s="17" t="s">
        <v>10510</v>
      </c>
      <c r="K5045" s="17"/>
      <c r="L5045" s="17" t="s">
        <v>10511</v>
      </c>
      <c r="M5045" s="17"/>
      <c r="N5045" s="17" t="s">
        <v>10512</v>
      </c>
      <c r="O5045" s="17"/>
      <c r="P5045" s="17" t="s">
        <v>10549</v>
      </c>
      <c r="Q5045" s="17"/>
      <c r="R5045" s="25" t="str">
        <f>HYPERLINK("https://ictv.global/taxonomy/taxondetails?taxnode_id=202307856","Habenivirus RS551")</f>
        <v>Habenivirus RS551</v>
      </c>
      <c r="S5045" s="18" t="s">
        <v>8141</v>
      </c>
      <c r="T5045" s="18" t="s">
        <v>10553</v>
      </c>
      <c r="U5045" s="18" t="s">
        <v>10554</v>
      </c>
      <c r="V5045" s="18"/>
      <c r="W5045" s="18" t="s">
        <v>48759</v>
      </c>
      <c r="X5045" s="18" t="s">
        <v>42</v>
      </c>
      <c r="Y5045" s="18" t="s">
        <v>12266</v>
      </c>
      <c r="Z5045" s="18" t="s">
        <v>697</v>
      </c>
      <c r="AA5045" s="21" t="str">
        <f>HYPERLINK("https://www.ncbi.nlm.nih.gov/nuccore/MF716957","NCBI Nucleotide")</f>
        <v>NCBI Nucleotide</v>
      </c>
    </row>
    <row r="5046" spans="1:27" x14ac:dyDescent="0.35">
      <c r="A5046">
        <v>1006790</v>
      </c>
      <c r="B5046">
        <v>5016</v>
      </c>
      <c r="C5046">
        <v>1</v>
      </c>
      <c r="D5046" s="17" t="s">
        <v>10507</v>
      </c>
      <c r="E5046" s="17"/>
      <c r="F5046" s="17" t="s">
        <v>10508</v>
      </c>
      <c r="G5046" s="17"/>
      <c r="H5046" s="17" t="s">
        <v>10509</v>
      </c>
      <c r="I5046" s="17"/>
      <c r="J5046" s="17" t="s">
        <v>10510</v>
      </c>
      <c r="K5046" s="17"/>
      <c r="L5046" s="17" t="s">
        <v>10511</v>
      </c>
      <c r="M5046" s="17"/>
      <c r="N5046" s="17" t="s">
        <v>10512</v>
      </c>
      <c r="O5046" s="17"/>
      <c r="P5046" s="17" t="s">
        <v>10549</v>
      </c>
      <c r="Q5046" s="17"/>
      <c r="R5046" s="25" t="str">
        <f>HYPERLINK("https://ictv.global/taxonomy/taxondetails?taxnode_id=202303690","Habenivirus RS603")</f>
        <v>Habenivirus RS603</v>
      </c>
      <c r="S5046" s="18" t="s">
        <v>30</v>
      </c>
      <c r="T5046" s="18" t="s">
        <v>10555</v>
      </c>
      <c r="U5046" s="18" t="s">
        <v>10556</v>
      </c>
      <c r="V5046" s="18"/>
      <c r="W5046" s="18" t="s">
        <v>10557</v>
      </c>
      <c r="X5046" s="18" t="s">
        <v>42</v>
      </c>
      <c r="Y5046" s="18" t="s">
        <v>12266</v>
      </c>
      <c r="Z5046" s="18" t="s">
        <v>697</v>
      </c>
      <c r="AA5046" s="21" t="str">
        <f>HYPERLINK("https://www.ncbi.nlm.nih.gov/nuccore/AB937974","NCBI Nucleotide")</f>
        <v>NCBI Nucleotide</v>
      </c>
    </row>
    <row r="5047" spans="1:27" x14ac:dyDescent="0.35">
      <c r="A5047">
        <v>1006791</v>
      </c>
      <c r="B5047">
        <v>5017</v>
      </c>
      <c r="C5047">
        <v>1</v>
      </c>
      <c r="D5047" s="17" t="s">
        <v>10507</v>
      </c>
      <c r="E5047" s="17"/>
      <c r="F5047" s="17" t="s">
        <v>10508</v>
      </c>
      <c r="G5047" s="17"/>
      <c r="H5047" s="17" t="s">
        <v>10509</v>
      </c>
      <c r="I5047" s="17"/>
      <c r="J5047" s="17" t="s">
        <v>10510</v>
      </c>
      <c r="K5047" s="17"/>
      <c r="L5047" s="17" t="s">
        <v>10511</v>
      </c>
      <c r="M5047" s="17"/>
      <c r="N5047" s="17" t="s">
        <v>10512</v>
      </c>
      <c r="O5047" s="17"/>
      <c r="P5047" s="17" t="s">
        <v>10549</v>
      </c>
      <c r="Q5047" s="17"/>
      <c r="R5047" s="25" t="str">
        <f>HYPERLINK("https://ictv.global/taxonomy/taxondetails?taxnode_id=202303691","Habenivirus RSM1")</f>
        <v>Habenivirus RSM1</v>
      </c>
      <c r="S5047" s="18" t="s">
        <v>30</v>
      </c>
      <c r="T5047" s="18" t="s">
        <v>10558</v>
      </c>
      <c r="U5047" s="18" t="s">
        <v>10559</v>
      </c>
      <c r="V5047" s="18"/>
      <c r="W5047" s="18" t="s">
        <v>10560</v>
      </c>
      <c r="X5047" s="18" t="s">
        <v>42</v>
      </c>
      <c r="Y5047" s="18" t="s">
        <v>12266</v>
      </c>
      <c r="Z5047" s="18" t="s">
        <v>697</v>
      </c>
      <c r="AA5047" s="21" t="str">
        <f>HYPERLINK("https://www.ncbi.nlm.nih.gov/nuccore/AB259123","NCBI Nucleotide")</f>
        <v>NCBI Nucleotide</v>
      </c>
    </row>
    <row r="5048" spans="1:27" x14ac:dyDescent="0.35">
      <c r="A5048">
        <v>1006792</v>
      </c>
      <c r="B5048">
        <v>5018</v>
      </c>
      <c r="C5048">
        <v>1</v>
      </c>
      <c r="D5048" s="17" t="s">
        <v>10507</v>
      </c>
      <c r="E5048" s="17"/>
      <c r="F5048" s="17" t="s">
        <v>10508</v>
      </c>
      <c r="G5048" s="17"/>
      <c r="H5048" s="17" t="s">
        <v>10509</v>
      </c>
      <c r="I5048" s="17"/>
      <c r="J5048" s="17" t="s">
        <v>10510</v>
      </c>
      <c r="K5048" s="17"/>
      <c r="L5048" s="17" t="s">
        <v>10511</v>
      </c>
      <c r="M5048" s="17"/>
      <c r="N5048" s="17" t="s">
        <v>10512</v>
      </c>
      <c r="O5048" s="17"/>
      <c r="P5048" s="17" t="s">
        <v>10549</v>
      </c>
      <c r="Q5048" s="17"/>
      <c r="R5048" s="25" t="str">
        <f>HYPERLINK("https://ictv.global/taxonomy/taxondetails?taxnode_id=202303692","Habenivirus RSM3")</f>
        <v>Habenivirus RSM3</v>
      </c>
      <c r="S5048" s="18" t="s">
        <v>30</v>
      </c>
      <c r="T5048" s="18" t="s">
        <v>10561</v>
      </c>
      <c r="U5048" s="18" t="s">
        <v>10562</v>
      </c>
      <c r="V5048" s="18"/>
      <c r="W5048" s="18" t="s">
        <v>10563</v>
      </c>
      <c r="X5048" s="18" t="s">
        <v>42</v>
      </c>
      <c r="Y5048" s="18" t="s">
        <v>12266</v>
      </c>
      <c r="Z5048" s="18" t="s">
        <v>697</v>
      </c>
      <c r="AA5048" s="21" t="str">
        <f>HYPERLINK("https://www.ncbi.nlm.nih.gov/nuccore/AB434711","NCBI Nucleotide")</f>
        <v>NCBI Nucleotide</v>
      </c>
    </row>
    <row r="5049" spans="1:27" x14ac:dyDescent="0.35">
      <c r="A5049">
        <v>1012198</v>
      </c>
      <c r="B5049">
        <v>5018</v>
      </c>
      <c r="C5049">
        <v>2</v>
      </c>
      <c r="D5049" s="17" t="s">
        <v>10507</v>
      </c>
      <c r="E5049" s="17"/>
      <c r="F5049" s="17" t="s">
        <v>10508</v>
      </c>
      <c r="G5049" s="17"/>
      <c r="H5049" s="17" t="s">
        <v>10509</v>
      </c>
      <c r="I5049" s="17"/>
      <c r="J5049" s="17" t="s">
        <v>10510</v>
      </c>
      <c r="K5049" s="17"/>
      <c r="L5049" s="17" t="s">
        <v>10511</v>
      </c>
      <c r="M5049" s="17"/>
      <c r="N5049" s="17" t="s">
        <v>10512</v>
      </c>
      <c r="O5049" s="17"/>
      <c r="P5049" s="17" t="s">
        <v>10549</v>
      </c>
      <c r="Q5049" s="17"/>
      <c r="R5049" s="25" t="str">
        <f>HYPERLINK("https://ictv.global/taxonomy/taxondetails?taxnode_id=202303692","Habenivirus RSM3")</f>
        <v>Habenivirus RSM3</v>
      </c>
      <c r="S5049" s="18" t="s">
        <v>8141</v>
      </c>
      <c r="T5049" s="18" t="s">
        <v>10564</v>
      </c>
      <c r="U5049" s="18" t="s">
        <v>10565</v>
      </c>
      <c r="V5049" s="18"/>
      <c r="W5049" s="18" t="s">
        <v>48760</v>
      </c>
      <c r="X5049" s="18" t="s">
        <v>42</v>
      </c>
      <c r="Y5049" s="18" t="s">
        <v>12266</v>
      </c>
      <c r="Z5049" s="18" t="s">
        <v>697</v>
      </c>
      <c r="AA5049" s="21" t="str">
        <f>HYPERLINK("https://www.ncbi.nlm.nih.gov/nuccore/AB981170","NCBI Nucleotide")</f>
        <v>NCBI Nucleotide</v>
      </c>
    </row>
    <row r="5050" spans="1:27" x14ac:dyDescent="0.35">
      <c r="A5050">
        <v>1006793</v>
      </c>
      <c r="B5050">
        <v>5019</v>
      </c>
      <c r="C5050">
        <v>1</v>
      </c>
      <c r="D5050" s="17" t="s">
        <v>10507</v>
      </c>
      <c r="E5050" s="17"/>
      <c r="F5050" s="17" t="s">
        <v>10508</v>
      </c>
      <c r="G5050" s="17"/>
      <c r="H5050" s="17" t="s">
        <v>10509</v>
      </c>
      <c r="I5050" s="17"/>
      <c r="J5050" s="17" t="s">
        <v>10510</v>
      </c>
      <c r="K5050" s="17"/>
      <c r="L5050" s="17" t="s">
        <v>10511</v>
      </c>
      <c r="M5050" s="17"/>
      <c r="N5050" s="17" t="s">
        <v>10512</v>
      </c>
      <c r="O5050" s="17"/>
      <c r="P5050" s="17" t="s">
        <v>10566</v>
      </c>
      <c r="Q5050" s="17"/>
      <c r="R5050" s="25" t="str">
        <f>HYPERLINK("https://ictv.global/taxonomy/taxondetails?taxnode_id=202303704","Infulavirus If1")</f>
        <v>Infulavirus If1</v>
      </c>
      <c r="S5050" s="18" t="s">
        <v>30</v>
      </c>
      <c r="T5050" s="18" t="s">
        <v>10567</v>
      </c>
      <c r="U5050" s="18" t="s">
        <v>10568</v>
      </c>
      <c r="V5050" s="18"/>
      <c r="W5050" s="18" t="s">
        <v>10569</v>
      </c>
      <c r="X5050" s="18" t="s">
        <v>42</v>
      </c>
      <c r="Y5050" s="18" t="s">
        <v>10517</v>
      </c>
      <c r="Z5050" s="18" t="s">
        <v>697</v>
      </c>
      <c r="AA5050" s="21" t="str">
        <f>HYPERLINK("https://www.ncbi.nlm.nih.gov/nuccore/U02303","NCBI Nucleotide")</f>
        <v>NCBI Nucleotide</v>
      </c>
    </row>
    <row r="5051" spans="1:27" x14ac:dyDescent="0.35">
      <c r="A5051">
        <v>1006794</v>
      </c>
      <c r="B5051">
        <v>5020</v>
      </c>
      <c r="C5051">
        <v>1</v>
      </c>
      <c r="D5051" s="17" t="s">
        <v>10507</v>
      </c>
      <c r="E5051" s="17"/>
      <c r="F5051" s="17" t="s">
        <v>10508</v>
      </c>
      <c r="G5051" s="17"/>
      <c r="H5051" s="17" t="s">
        <v>10509</v>
      </c>
      <c r="I5051" s="17"/>
      <c r="J5051" s="17" t="s">
        <v>10510</v>
      </c>
      <c r="K5051" s="17"/>
      <c r="L5051" s="17" t="s">
        <v>10511</v>
      </c>
      <c r="M5051" s="17"/>
      <c r="N5051" s="17" t="s">
        <v>10512</v>
      </c>
      <c r="O5051" s="17"/>
      <c r="P5051" s="17" t="s">
        <v>10570</v>
      </c>
      <c r="Q5051" s="17"/>
      <c r="R5051" s="25" t="str">
        <f t="shared" ref="R5051:R5063" si="1">HYPERLINK("https://ictv.global/taxonomy/taxondetails?taxnode_id=202303694","Inovirus M13")</f>
        <v>Inovirus M13</v>
      </c>
      <c r="S5051" s="18" t="s">
        <v>30</v>
      </c>
      <c r="T5051" s="18" t="s">
        <v>10571</v>
      </c>
      <c r="U5051" s="18" t="s">
        <v>10572</v>
      </c>
      <c r="V5051" s="18"/>
      <c r="W5051" s="18" t="s">
        <v>10573</v>
      </c>
      <c r="X5051" s="18" t="s">
        <v>42</v>
      </c>
      <c r="Y5051" s="18" t="s">
        <v>10517</v>
      </c>
      <c r="Z5051" s="18" t="s">
        <v>697</v>
      </c>
      <c r="AA5051" s="21" t="str">
        <f>HYPERLINK("https://www.ncbi.nlm.nih.gov/nuccore/V00604","NCBI Nucleotide")</f>
        <v>NCBI Nucleotide</v>
      </c>
    </row>
    <row r="5052" spans="1:27" x14ac:dyDescent="0.35">
      <c r="A5052">
        <v>1012201</v>
      </c>
      <c r="B5052">
        <v>5020</v>
      </c>
      <c r="C5052">
        <v>2</v>
      </c>
      <c r="D5052" s="17" t="s">
        <v>10507</v>
      </c>
      <c r="E5052" s="17"/>
      <c r="F5052" s="17" t="s">
        <v>10508</v>
      </c>
      <c r="G5052" s="17"/>
      <c r="H5052" s="17" t="s">
        <v>10509</v>
      </c>
      <c r="I5052" s="17"/>
      <c r="J5052" s="17" t="s">
        <v>10510</v>
      </c>
      <c r="K5052" s="17"/>
      <c r="L5052" s="17" t="s">
        <v>10511</v>
      </c>
      <c r="M5052" s="17"/>
      <c r="N5052" s="17" t="s">
        <v>10512</v>
      </c>
      <c r="O5052" s="17"/>
      <c r="P5052" s="17" t="s">
        <v>10570</v>
      </c>
      <c r="Q5052" s="17"/>
      <c r="R5052" s="25" t="str">
        <f t="shared" si="1"/>
        <v>Inovirus M13</v>
      </c>
      <c r="S5052" s="18" t="s">
        <v>8141</v>
      </c>
      <c r="T5052" s="18" t="s">
        <v>10578</v>
      </c>
      <c r="U5052" s="18" t="s">
        <v>10579</v>
      </c>
      <c r="V5052" s="18" t="s">
        <v>10580</v>
      </c>
      <c r="W5052" s="18" t="s">
        <v>48761</v>
      </c>
      <c r="X5052" s="18" t="s">
        <v>42</v>
      </c>
      <c r="Y5052" s="18" t="s">
        <v>10517</v>
      </c>
      <c r="Z5052" s="18" t="s">
        <v>697</v>
      </c>
      <c r="AA5052" s="21" t="str">
        <f>HYPERLINK("https://www.ncbi.nlm.nih.gov/nuccore/JF719734","NCBI Nucleotide")</f>
        <v>NCBI Nucleotide</v>
      </c>
    </row>
    <row r="5053" spans="1:27" x14ac:dyDescent="0.35">
      <c r="A5053">
        <v>1012202</v>
      </c>
      <c r="B5053">
        <v>5020</v>
      </c>
      <c r="C5053">
        <v>3</v>
      </c>
      <c r="D5053" s="17" t="s">
        <v>10507</v>
      </c>
      <c r="E5053" s="17"/>
      <c r="F5053" s="17" t="s">
        <v>10508</v>
      </c>
      <c r="G5053" s="17"/>
      <c r="H5053" s="17" t="s">
        <v>10509</v>
      </c>
      <c r="I5053" s="17"/>
      <c r="J5053" s="17" t="s">
        <v>10510</v>
      </c>
      <c r="K5053" s="17"/>
      <c r="L5053" s="17" t="s">
        <v>10511</v>
      </c>
      <c r="M5053" s="17"/>
      <c r="N5053" s="17" t="s">
        <v>10512</v>
      </c>
      <c r="O5053" s="17"/>
      <c r="P5053" s="17" t="s">
        <v>10570</v>
      </c>
      <c r="Q5053" s="17"/>
      <c r="R5053" s="25" t="str">
        <f t="shared" si="1"/>
        <v>Inovirus M13</v>
      </c>
      <c r="S5053" s="18" t="s">
        <v>8141</v>
      </c>
      <c r="T5053" s="18" t="s">
        <v>10578</v>
      </c>
      <c r="U5053" s="18" t="s">
        <v>10579</v>
      </c>
      <c r="V5053" s="18" t="s">
        <v>10581</v>
      </c>
      <c r="W5053" s="18" t="s">
        <v>48762</v>
      </c>
      <c r="X5053" s="18" t="s">
        <v>42</v>
      </c>
      <c r="Y5053" s="18" t="s">
        <v>10517</v>
      </c>
      <c r="Z5053" s="18" t="s">
        <v>697</v>
      </c>
      <c r="AA5053" s="21" t="str">
        <f>HYPERLINK("https://www.ncbi.nlm.nih.gov/nuccore/JF719733","NCBI Nucleotide")</f>
        <v>NCBI Nucleotide</v>
      </c>
    </row>
    <row r="5054" spans="1:27" x14ac:dyDescent="0.35">
      <c r="A5054">
        <v>1012203</v>
      </c>
      <c r="B5054">
        <v>5020</v>
      </c>
      <c r="C5054">
        <v>4</v>
      </c>
      <c r="D5054" s="17" t="s">
        <v>10507</v>
      </c>
      <c r="E5054" s="17"/>
      <c r="F5054" s="17" t="s">
        <v>10508</v>
      </c>
      <c r="G5054" s="17"/>
      <c r="H5054" s="17" t="s">
        <v>10509</v>
      </c>
      <c r="I5054" s="17"/>
      <c r="J5054" s="17" t="s">
        <v>10510</v>
      </c>
      <c r="K5054" s="17"/>
      <c r="L5054" s="17" t="s">
        <v>10511</v>
      </c>
      <c r="M5054" s="17"/>
      <c r="N5054" s="17" t="s">
        <v>10512</v>
      </c>
      <c r="O5054" s="17"/>
      <c r="P5054" s="17" t="s">
        <v>10570</v>
      </c>
      <c r="Q5054" s="17"/>
      <c r="R5054" s="25" t="str">
        <f t="shared" si="1"/>
        <v>Inovirus M13</v>
      </c>
      <c r="S5054" s="18" t="s">
        <v>8141</v>
      </c>
      <c r="T5054" s="18" t="s">
        <v>10578</v>
      </c>
      <c r="U5054" s="18" t="s">
        <v>10579</v>
      </c>
      <c r="V5054" s="18" t="s">
        <v>10582</v>
      </c>
      <c r="W5054" s="18" t="s">
        <v>48763</v>
      </c>
      <c r="X5054" s="18" t="s">
        <v>42</v>
      </c>
      <c r="Y5054" s="18" t="s">
        <v>10517</v>
      </c>
      <c r="Z5054" s="18" t="s">
        <v>697</v>
      </c>
      <c r="AA5054" s="21" t="str">
        <f>HYPERLINK("https://www.ncbi.nlm.nih.gov/nuccore/JF719732","NCBI Nucleotide")</f>
        <v>NCBI Nucleotide</v>
      </c>
    </row>
    <row r="5055" spans="1:27" x14ac:dyDescent="0.35">
      <c r="A5055">
        <v>1012204</v>
      </c>
      <c r="B5055">
        <v>5020</v>
      </c>
      <c r="C5055">
        <v>5</v>
      </c>
      <c r="D5055" s="17" t="s">
        <v>10507</v>
      </c>
      <c r="E5055" s="17"/>
      <c r="F5055" s="17" t="s">
        <v>10508</v>
      </c>
      <c r="G5055" s="17"/>
      <c r="H5055" s="17" t="s">
        <v>10509</v>
      </c>
      <c r="I5055" s="17"/>
      <c r="J5055" s="17" t="s">
        <v>10510</v>
      </c>
      <c r="K5055" s="17"/>
      <c r="L5055" s="17" t="s">
        <v>10511</v>
      </c>
      <c r="M5055" s="17"/>
      <c r="N5055" s="17" t="s">
        <v>10512</v>
      </c>
      <c r="O5055" s="17"/>
      <c r="P5055" s="17" t="s">
        <v>10570</v>
      </c>
      <c r="Q5055" s="17"/>
      <c r="R5055" s="25" t="str">
        <f t="shared" si="1"/>
        <v>Inovirus M13</v>
      </c>
      <c r="S5055" s="18" t="s">
        <v>8141</v>
      </c>
      <c r="T5055" s="18" t="s">
        <v>10578</v>
      </c>
      <c r="U5055" s="18" t="s">
        <v>10579</v>
      </c>
      <c r="V5055" s="18" t="s">
        <v>10583</v>
      </c>
      <c r="W5055" s="18" t="s">
        <v>48764</v>
      </c>
      <c r="X5055" s="18" t="s">
        <v>42</v>
      </c>
      <c r="Y5055" s="18" t="s">
        <v>10517</v>
      </c>
      <c r="Z5055" s="18" t="s">
        <v>697</v>
      </c>
      <c r="AA5055" s="21" t="str">
        <f>HYPERLINK("https://www.ncbi.nlm.nih.gov/nuccore/GQ153919","NCBI Nucleotide")</f>
        <v>NCBI Nucleotide</v>
      </c>
    </row>
    <row r="5056" spans="1:27" x14ac:dyDescent="0.35">
      <c r="A5056">
        <v>1012205</v>
      </c>
      <c r="B5056">
        <v>5020</v>
      </c>
      <c r="C5056">
        <v>6</v>
      </c>
      <c r="D5056" s="17" t="s">
        <v>10507</v>
      </c>
      <c r="E5056" s="17"/>
      <c r="F5056" s="17" t="s">
        <v>10508</v>
      </c>
      <c r="G5056" s="17"/>
      <c r="H5056" s="17" t="s">
        <v>10509</v>
      </c>
      <c r="I5056" s="17"/>
      <c r="J5056" s="17" t="s">
        <v>10510</v>
      </c>
      <c r="K5056" s="17"/>
      <c r="L5056" s="17" t="s">
        <v>10511</v>
      </c>
      <c r="M5056" s="17"/>
      <c r="N5056" s="17" t="s">
        <v>10512</v>
      </c>
      <c r="O5056" s="17"/>
      <c r="P5056" s="17" t="s">
        <v>10570</v>
      </c>
      <c r="Q5056" s="17"/>
      <c r="R5056" s="25" t="str">
        <f t="shared" si="1"/>
        <v>Inovirus M13</v>
      </c>
      <c r="S5056" s="18" t="s">
        <v>8141</v>
      </c>
      <c r="T5056" s="18" t="s">
        <v>10578</v>
      </c>
      <c r="U5056" s="18" t="s">
        <v>10579</v>
      </c>
      <c r="V5056" s="18" t="s">
        <v>10584</v>
      </c>
      <c r="W5056" s="18" t="s">
        <v>48765</v>
      </c>
      <c r="X5056" s="18" t="s">
        <v>42</v>
      </c>
      <c r="Y5056" s="18" t="s">
        <v>10517</v>
      </c>
      <c r="Z5056" s="18" t="s">
        <v>697</v>
      </c>
      <c r="AA5056" s="21" t="str">
        <f>HYPERLINK("https://www.ncbi.nlm.nih.gov/nuccore/GQ153918","NCBI Nucleotide")</f>
        <v>NCBI Nucleotide</v>
      </c>
    </row>
    <row r="5057" spans="1:27" x14ac:dyDescent="0.35">
      <c r="A5057">
        <v>1012206</v>
      </c>
      <c r="B5057">
        <v>5020</v>
      </c>
      <c r="C5057">
        <v>7</v>
      </c>
      <c r="D5057" s="17" t="s">
        <v>10507</v>
      </c>
      <c r="E5057" s="17"/>
      <c r="F5057" s="17" t="s">
        <v>10508</v>
      </c>
      <c r="G5057" s="17"/>
      <c r="H5057" s="17" t="s">
        <v>10509</v>
      </c>
      <c r="I5057" s="17"/>
      <c r="J5057" s="17" t="s">
        <v>10510</v>
      </c>
      <c r="K5057" s="17"/>
      <c r="L5057" s="17" t="s">
        <v>10511</v>
      </c>
      <c r="M5057" s="17"/>
      <c r="N5057" s="17" t="s">
        <v>10512</v>
      </c>
      <c r="O5057" s="17"/>
      <c r="P5057" s="17" t="s">
        <v>10570</v>
      </c>
      <c r="Q5057" s="17"/>
      <c r="R5057" s="25" t="str">
        <f t="shared" si="1"/>
        <v>Inovirus M13</v>
      </c>
      <c r="S5057" s="18" t="s">
        <v>8141</v>
      </c>
      <c r="T5057" s="18" t="s">
        <v>10578</v>
      </c>
      <c r="U5057" s="18" t="s">
        <v>10579</v>
      </c>
      <c r="V5057" s="18" t="s">
        <v>10585</v>
      </c>
      <c r="W5057" s="18" t="s">
        <v>48766</v>
      </c>
      <c r="X5057" s="18" t="s">
        <v>42</v>
      </c>
      <c r="Y5057" s="18" t="s">
        <v>10517</v>
      </c>
      <c r="Z5057" s="18" t="s">
        <v>697</v>
      </c>
      <c r="AA5057" s="21" t="str">
        <f>HYPERLINK("https://www.ncbi.nlm.nih.gov/nuccore/GQ153917","NCBI Nucleotide")</f>
        <v>NCBI Nucleotide</v>
      </c>
    </row>
    <row r="5058" spans="1:27" x14ac:dyDescent="0.35">
      <c r="A5058">
        <v>1012207</v>
      </c>
      <c r="B5058">
        <v>5020</v>
      </c>
      <c r="C5058">
        <v>8</v>
      </c>
      <c r="D5058" s="17" t="s">
        <v>10507</v>
      </c>
      <c r="E5058" s="17"/>
      <c r="F5058" s="17" t="s">
        <v>10508</v>
      </c>
      <c r="G5058" s="17"/>
      <c r="H5058" s="17" t="s">
        <v>10509</v>
      </c>
      <c r="I5058" s="17"/>
      <c r="J5058" s="17" t="s">
        <v>10510</v>
      </c>
      <c r="K5058" s="17"/>
      <c r="L5058" s="17" t="s">
        <v>10511</v>
      </c>
      <c r="M5058" s="17"/>
      <c r="N5058" s="17" t="s">
        <v>10512</v>
      </c>
      <c r="O5058" s="17"/>
      <c r="P5058" s="17" t="s">
        <v>10570</v>
      </c>
      <c r="Q5058" s="17"/>
      <c r="R5058" s="25" t="str">
        <f t="shared" si="1"/>
        <v>Inovirus M13</v>
      </c>
      <c r="S5058" s="18" t="s">
        <v>8141</v>
      </c>
      <c r="T5058" s="18" t="s">
        <v>10578</v>
      </c>
      <c r="U5058" s="18" t="s">
        <v>10579</v>
      </c>
      <c r="V5058" s="18" t="s">
        <v>10586</v>
      </c>
      <c r="W5058" s="18" t="s">
        <v>48767</v>
      </c>
      <c r="X5058" s="18" t="s">
        <v>42</v>
      </c>
      <c r="Y5058" s="18" t="s">
        <v>10517</v>
      </c>
      <c r="Z5058" s="18" t="s">
        <v>697</v>
      </c>
      <c r="AA5058" s="21" t="str">
        <f>HYPERLINK("https://www.ncbi.nlm.nih.gov/nuccore/GQ153916","NCBI Nucleotide")</f>
        <v>NCBI Nucleotide</v>
      </c>
    </row>
    <row r="5059" spans="1:27" x14ac:dyDescent="0.35">
      <c r="A5059">
        <v>1012208</v>
      </c>
      <c r="B5059">
        <v>5020</v>
      </c>
      <c r="C5059">
        <v>9</v>
      </c>
      <c r="D5059" s="17" t="s">
        <v>10507</v>
      </c>
      <c r="E5059" s="17"/>
      <c r="F5059" s="17" t="s">
        <v>10508</v>
      </c>
      <c r="G5059" s="17"/>
      <c r="H5059" s="17" t="s">
        <v>10509</v>
      </c>
      <c r="I5059" s="17"/>
      <c r="J5059" s="17" t="s">
        <v>10510</v>
      </c>
      <c r="K5059" s="17"/>
      <c r="L5059" s="17" t="s">
        <v>10511</v>
      </c>
      <c r="M5059" s="17"/>
      <c r="N5059" s="17" t="s">
        <v>10512</v>
      </c>
      <c r="O5059" s="17"/>
      <c r="P5059" s="17" t="s">
        <v>10570</v>
      </c>
      <c r="Q5059" s="17"/>
      <c r="R5059" s="25" t="str">
        <f t="shared" si="1"/>
        <v>Inovirus M13</v>
      </c>
      <c r="S5059" s="18" t="s">
        <v>8141</v>
      </c>
      <c r="T5059" s="18" t="s">
        <v>10578</v>
      </c>
      <c r="U5059" s="18" t="s">
        <v>10579</v>
      </c>
      <c r="V5059" s="18" t="s">
        <v>10587</v>
      </c>
      <c r="W5059" s="18" t="s">
        <v>48768</v>
      </c>
      <c r="X5059" s="18" t="s">
        <v>42</v>
      </c>
      <c r="Y5059" s="18" t="s">
        <v>10517</v>
      </c>
      <c r="Z5059" s="18" t="s">
        <v>697</v>
      </c>
      <c r="AA5059" s="21" t="str">
        <f>HYPERLINK("https://www.ncbi.nlm.nih.gov/nuccore/AB334721","NCBI Nucleotide")</f>
        <v>NCBI Nucleotide</v>
      </c>
    </row>
    <row r="5060" spans="1:27" x14ac:dyDescent="0.35">
      <c r="A5060">
        <v>1012209</v>
      </c>
      <c r="B5060">
        <v>5020</v>
      </c>
      <c r="C5060">
        <v>10</v>
      </c>
      <c r="D5060" s="17" t="s">
        <v>10507</v>
      </c>
      <c r="E5060" s="17"/>
      <c r="F5060" s="17" t="s">
        <v>10508</v>
      </c>
      <c r="G5060" s="17"/>
      <c r="H5060" s="17" t="s">
        <v>10509</v>
      </c>
      <c r="I5060" s="17"/>
      <c r="J5060" s="17" t="s">
        <v>10510</v>
      </c>
      <c r="K5060" s="17"/>
      <c r="L5060" s="17" t="s">
        <v>10511</v>
      </c>
      <c r="M5060" s="17"/>
      <c r="N5060" s="17" t="s">
        <v>10512</v>
      </c>
      <c r="O5060" s="17"/>
      <c r="P5060" s="17" t="s">
        <v>10570</v>
      </c>
      <c r="Q5060" s="17"/>
      <c r="R5060" s="25" t="str">
        <f t="shared" si="1"/>
        <v>Inovirus M13</v>
      </c>
      <c r="S5060" s="18" t="s">
        <v>8141</v>
      </c>
      <c r="T5060" s="18" t="s">
        <v>10578</v>
      </c>
      <c r="U5060" s="18" t="s">
        <v>10579</v>
      </c>
      <c r="V5060" s="18" t="s">
        <v>10588</v>
      </c>
      <c r="W5060" s="18" t="s">
        <v>48769</v>
      </c>
      <c r="X5060" s="18" t="s">
        <v>42</v>
      </c>
      <c r="Y5060" s="18" t="s">
        <v>10517</v>
      </c>
      <c r="Z5060" s="18" t="s">
        <v>697</v>
      </c>
      <c r="AA5060" s="21" t="str">
        <f>HYPERLINK("https://www.ncbi.nlm.nih.gov/nuccore/AB334720","NCBI Nucleotide")</f>
        <v>NCBI Nucleotide</v>
      </c>
    </row>
    <row r="5061" spans="1:27" x14ac:dyDescent="0.35">
      <c r="A5061">
        <v>1012210</v>
      </c>
      <c r="B5061">
        <v>5020</v>
      </c>
      <c r="C5061">
        <v>11</v>
      </c>
      <c r="D5061" s="17" t="s">
        <v>10507</v>
      </c>
      <c r="E5061" s="17"/>
      <c r="F5061" s="17" t="s">
        <v>10508</v>
      </c>
      <c r="G5061" s="17"/>
      <c r="H5061" s="17" t="s">
        <v>10509</v>
      </c>
      <c r="I5061" s="17"/>
      <c r="J5061" s="17" t="s">
        <v>10510</v>
      </c>
      <c r="K5061" s="17"/>
      <c r="L5061" s="17" t="s">
        <v>10511</v>
      </c>
      <c r="M5061" s="17"/>
      <c r="N5061" s="17" t="s">
        <v>10512</v>
      </c>
      <c r="O5061" s="17"/>
      <c r="P5061" s="17" t="s">
        <v>10570</v>
      </c>
      <c r="Q5061" s="17"/>
      <c r="R5061" s="25" t="str">
        <f t="shared" si="1"/>
        <v>Inovirus M13</v>
      </c>
      <c r="S5061" s="18" t="s">
        <v>8141</v>
      </c>
      <c r="T5061" s="18" t="s">
        <v>10578</v>
      </c>
      <c r="U5061" s="18" t="s">
        <v>10579</v>
      </c>
      <c r="V5061" s="18"/>
      <c r="W5061" s="18" t="s">
        <v>48770</v>
      </c>
      <c r="X5061" s="18" t="s">
        <v>42</v>
      </c>
      <c r="Y5061" s="18" t="s">
        <v>10517</v>
      </c>
      <c r="Z5061" s="18" t="s">
        <v>697</v>
      </c>
      <c r="AA5061" s="21" t="str">
        <f>HYPERLINK("https://www.ncbi.nlm.nih.gov/nuccore/J02448","NCBI Nucleotide")</f>
        <v>NCBI Nucleotide</v>
      </c>
    </row>
    <row r="5062" spans="1:27" x14ac:dyDescent="0.35">
      <c r="A5062">
        <v>1012200</v>
      </c>
      <c r="B5062">
        <v>5020</v>
      </c>
      <c r="C5062">
        <v>12</v>
      </c>
      <c r="D5062" s="17" t="s">
        <v>10507</v>
      </c>
      <c r="E5062" s="17"/>
      <c r="F5062" s="17" t="s">
        <v>10508</v>
      </c>
      <c r="G5062" s="17"/>
      <c r="H5062" s="17" t="s">
        <v>10509</v>
      </c>
      <c r="I5062" s="17"/>
      <c r="J5062" s="17" t="s">
        <v>10510</v>
      </c>
      <c r="K5062" s="17"/>
      <c r="L5062" s="17" t="s">
        <v>10511</v>
      </c>
      <c r="M5062" s="17"/>
      <c r="N5062" s="17" t="s">
        <v>10512</v>
      </c>
      <c r="O5062" s="17"/>
      <c r="P5062" s="17" t="s">
        <v>10570</v>
      </c>
      <c r="Q5062" s="17"/>
      <c r="R5062" s="25" t="str">
        <f t="shared" si="1"/>
        <v>Inovirus M13</v>
      </c>
      <c r="S5062" s="18" t="s">
        <v>8141</v>
      </c>
      <c r="T5062" s="18" t="s">
        <v>10576</v>
      </c>
      <c r="U5062" s="18" t="s">
        <v>10572</v>
      </c>
      <c r="V5062" s="18" t="s">
        <v>10577</v>
      </c>
      <c r="W5062" s="18" t="s">
        <v>48771</v>
      </c>
      <c r="X5062" s="18" t="s">
        <v>42</v>
      </c>
      <c r="Y5062" s="18" t="s">
        <v>10517</v>
      </c>
      <c r="Z5062" s="18" t="s">
        <v>697</v>
      </c>
      <c r="AA5062" s="21" t="str">
        <f>HYPERLINK("https://www.ncbi.nlm.nih.gov/nuccore/JX412914","NCBI Nucleotide")</f>
        <v>NCBI Nucleotide</v>
      </c>
    </row>
    <row r="5063" spans="1:27" x14ac:dyDescent="0.35">
      <c r="A5063">
        <v>1012199</v>
      </c>
      <c r="B5063">
        <v>5020</v>
      </c>
      <c r="C5063">
        <v>13</v>
      </c>
      <c r="D5063" s="17" t="s">
        <v>10507</v>
      </c>
      <c r="E5063" s="17"/>
      <c r="F5063" s="17" t="s">
        <v>10508</v>
      </c>
      <c r="G5063" s="17"/>
      <c r="H5063" s="17" t="s">
        <v>10509</v>
      </c>
      <c r="I5063" s="17"/>
      <c r="J5063" s="17" t="s">
        <v>10510</v>
      </c>
      <c r="K5063" s="17"/>
      <c r="L5063" s="17" t="s">
        <v>10511</v>
      </c>
      <c r="M5063" s="17"/>
      <c r="N5063" s="17" t="s">
        <v>10512</v>
      </c>
      <c r="O5063" s="17"/>
      <c r="P5063" s="17" t="s">
        <v>10570</v>
      </c>
      <c r="Q5063" s="17"/>
      <c r="R5063" s="25" t="str">
        <f t="shared" si="1"/>
        <v>Inovirus M13</v>
      </c>
      <c r="S5063" s="18" t="s">
        <v>8141</v>
      </c>
      <c r="T5063" s="18" t="s">
        <v>10574</v>
      </c>
      <c r="U5063" s="18" t="s">
        <v>10575</v>
      </c>
      <c r="V5063" s="18">
        <v>487</v>
      </c>
      <c r="W5063" s="18" t="s">
        <v>48772</v>
      </c>
      <c r="X5063" s="18" t="s">
        <v>42</v>
      </c>
      <c r="Y5063" s="18" t="s">
        <v>10517</v>
      </c>
      <c r="Z5063" s="18" t="s">
        <v>697</v>
      </c>
      <c r="AA5063" s="21" t="str">
        <f>HYPERLINK("https://www.ncbi.nlm.nih.gov/nuccore/J02451","NCBI Nucleotide")</f>
        <v>NCBI Nucleotide</v>
      </c>
    </row>
    <row r="5064" spans="1:27" x14ac:dyDescent="0.35">
      <c r="A5064">
        <v>1006795</v>
      </c>
      <c r="B5064">
        <v>5021</v>
      </c>
      <c r="C5064">
        <v>1</v>
      </c>
      <c r="D5064" s="17" t="s">
        <v>10507</v>
      </c>
      <c r="E5064" s="17"/>
      <c r="F5064" s="17" t="s">
        <v>10508</v>
      </c>
      <c r="G5064" s="17"/>
      <c r="H5064" s="17" t="s">
        <v>10509</v>
      </c>
      <c r="I5064" s="17"/>
      <c r="J5064" s="17" t="s">
        <v>10510</v>
      </c>
      <c r="K5064" s="17"/>
      <c r="L5064" s="17" t="s">
        <v>10511</v>
      </c>
      <c r="M5064" s="17"/>
      <c r="N5064" s="17" t="s">
        <v>10512</v>
      </c>
      <c r="O5064" s="17"/>
      <c r="P5064" s="17" t="s">
        <v>10589</v>
      </c>
      <c r="Q5064" s="17"/>
      <c r="R5064" s="25" t="str">
        <f>HYPERLINK("https://ictv.global/taxonomy/taxondetails?taxnode_id=202303696","Lineavirus I22")</f>
        <v>Lineavirus I22</v>
      </c>
      <c r="S5064" s="18" t="s">
        <v>30</v>
      </c>
      <c r="T5064" s="18" t="s">
        <v>10590</v>
      </c>
      <c r="U5064" s="18" t="s">
        <v>10591</v>
      </c>
      <c r="V5064" s="18"/>
      <c r="W5064" s="18" t="s">
        <v>10592</v>
      </c>
      <c r="X5064" s="18" t="s">
        <v>42</v>
      </c>
      <c r="Y5064" s="18" t="s">
        <v>10517</v>
      </c>
      <c r="Z5064" s="18" t="s">
        <v>697</v>
      </c>
      <c r="AA5064" s="21" t="str">
        <f>HYPERLINK("https://www.ncbi.nlm.nih.gov/nuccore/X14336","NCBI Nucleotide")</f>
        <v>NCBI Nucleotide</v>
      </c>
    </row>
    <row r="5065" spans="1:27" x14ac:dyDescent="0.35">
      <c r="A5065">
        <v>1006796</v>
      </c>
      <c r="B5065">
        <v>5022</v>
      </c>
      <c r="C5065">
        <v>1</v>
      </c>
      <c r="D5065" s="17" t="s">
        <v>10507</v>
      </c>
      <c r="E5065" s="17"/>
      <c r="F5065" s="17" t="s">
        <v>10508</v>
      </c>
      <c r="G5065" s="17"/>
      <c r="H5065" s="17" t="s">
        <v>10509</v>
      </c>
      <c r="I5065" s="17"/>
      <c r="J5065" s="17" t="s">
        <v>10510</v>
      </c>
      <c r="K5065" s="17"/>
      <c r="L5065" s="17" t="s">
        <v>10511</v>
      </c>
      <c r="M5065" s="17"/>
      <c r="N5065" s="17" t="s">
        <v>10512</v>
      </c>
      <c r="O5065" s="17"/>
      <c r="P5065" s="17" t="s">
        <v>10589</v>
      </c>
      <c r="Q5065" s="17"/>
      <c r="R5065" s="25" t="str">
        <f>HYPERLINK("https://ictv.global/taxonomy/taxondetails?taxnode_id=202303697","Lineavirus IKe")</f>
        <v>Lineavirus IKe</v>
      </c>
      <c r="S5065" s="18" t="s">
        <v>30</v>
      </c>
      <c r="T5065" s="18" t="s">
        <v>10593</v>
      </c>
      <c r="U5065" s="18" t="s">
        <v>10594</v>
      </c>
      <c r="V5065" s="18"/>
      <c r="W5065" s="18" t="s">
        <v>10595</v>
      </c>
      <c r="X5065" s="18" t="s">
        <v>42</v>
      </c>
      <c r="Y5065" s="18" t="s">
        <v>10517</v>
      </c>
      <c r="Z5065" s="18" t="s">
        <v>697</v>
      </c>
      <c r="AA5065" s="21" t="str">
        <f>HYPERLINK("https://www.ncbi.nlm.nih.gov/nuccore/X02139","NCBI Nucleotide")</f>
        <v>NCBI Nucleotide</v>
      </c>
    </row>
    <row r="5066" spans="1:27" x14ac:dyDescent="0.35">
      <c r="A5066">
        <v>1006797</v>
      </c>
      <c r="B5066">
        <v>5023</v>
      </c>
      <c r="C5066">
        <v>1</v>
      </c>
      <c r="D5066" s="17" t="s">
        <v>10507</v>
      </c>
      <c r="E5066" s="17"/>
      <c r="F5066" s="17" t="s">
        <v>10508</v>
      </c>
      <c r="G5066" s="17"/>
      <c r="H5066" s="17" t="s">
        <v>10509</v>
      </c>
      <c r="I5066" s="17"/>
      <c r="J5066" s="17" t="s">
        <v>10510</v>
      </c>
      <c r="K5066" s="17"/>
      <c r="L5066" s="17" t="s">
        <v>10511</v>
      </c>
      <c r="M5066" s="17"/>
      <c r="N5066" s="17" t="s">
        <v>10512</v>
      </c>
      <c r="O5066" s="17"/>
      <c r="P5066" s="17" t="s">
        <v>10589</v>
      </c>
      <c r="Q5066" s="17"/>
      <c r="R5066" s="25" t="str">
        <f>HYPERLINK("https://ictv.global/taxonomy/taxondetails?taxnode_id=202312619","Lineavirus pear")</f>
        <v>Lineavirus pear</v>
      </c>
      <c r="S5066" s="18" t="s">
        <v>30</v>
      </c>
      <c r="T5066" s="18" t="s">
        <v>10596</v>
      </c>
      <c r="U5066" s="18"/>
      <c r="V5066" s="18"/>
      <c r="W5066" s="18" t="s">
        <v>10597</v>
      </c>
      <c r="X5066" s="18" t="s">
        <v>42</v>
      </c>
      <c r="Y5066" s="18" t="s">
        <v>10517</v>
      </c>
      <c r="Z5066" s="18" t="s">
        <v>697</v>
      </c>
      <c r="AA5066" s="21" t="str">
        <f>HYPERLINK("https://www.ncbi.nlm.nih.gov/nuccore/MT901800","NCBI Nucleotide")</f>
        <v>NCBI Nucleotide</v>
      </c>
    </row>
    <row r="5067" spans="1:27" x14ac:dyDescent="0.35">
      <c r="A5067">
        <v>1006798</v>
      </c>
      <c r="B5067">
        <v>5024</v>
      </c>
      <c r="C5067">
        <v>1</v>
      </c>
      <c r="D5067" s="17" t="s">
        <v>10507</v>
      </c>
      <c r="E5067" s="17"/>
      <c r="F5067" s="17" t="s">
        <v>10508</v>
      </c>
      <c r="G5067" s="17"/>
      <c r="H5067" s="17" t="s">
        <v>10509</v>
      </c>
      <c r="I5067" s="17"/>
      <c r="J5067" s="17" t="s">
        <v>10510</v>
      </c>
      <c r="K5067" s="17"/>
      <c r="L5067" s="17" t="s">
        <v>10511</v>
      </c>
      <c r="M5067" s="17"/>
      <c r="N5067" s="17" t="s">
        <v>10512</v>
      </c>
      <c r="O5067" s="17"/>
      <c r="P5067" s="17" t="s">
        <v>10598</v>
      </c>
      <c r="Q5067" s="17"/>
      <c r="R5067" s="25" t="str">
        <f>HYPERLINK("https://ictv.global/taxonomy/taxondetails?taxnode_id=202312629","Lophivirus Cf2")</f>
        <v>Lophivirus Cf2</v>
      </c>
      <c r="S5067" s="18" t="s">
        <v>30</v>
      </c>
      <c r="T5067" s="18" t="s">
        <v>10599</v>
      </c>
      <c r="U5067" s="18"/>
      <c r="V5067" s="18"/>
      <c r="W5067" s="18" t="s">
        <v>10600</v>
      </c>
      <c r="X5067" s="18" t="s">
        <v>42</v>
      </c>
      <c r="Y5067" s="18" t="s">
        <v>12266</v>
      </c>
      <c r="Z5067" s="18" t="s">
        <v>697</v>
      </c>
      <c r="AA5067" s="21" t="str">
        <f>HYPERLINK("https://www.ncbi.nlm.nih.gov/nuccore/MK512531","NCBI Nucleotide")</f>
        <v>NCBI Nucleotide</v>
      </c>
    </row>
    <row r="5068" spans="1:27" x14ac:dyDescent="0.35">
      <c r="A5068">
        <v>1006799</v>
      </c>
      <c r="B5068">
        <v>5025</v>
      </c>
      <c r="C5068">
        <v>1</v>
      </c>
      <c r="D5068" s="17" t="s">
        <v>10507</v>
      </c>
      <c r="E5068" s="17"/>
      <c r="F5068" s="17" t="s">
        <v>10508</v>
      </c>
      <c r="G5068" s="17"/>
      <c r="H5068" s="17" t="s">
        <v>10509</v>
      </c>
      <c r="I5068" s="17"/>
      <c r="J5068" s="17" t="s">
        <v>10510</v>
      </c>
      <c r="K5068" s="17"/>
      <c r="L5068" s="17" t="s">
        <v>10511</v>
      </c>
      <c r="M5068" s="17"/>
      <c r="N5068" s="17" t="s">
        <v>10512</v>
      </c>
      <c r="O5068" s="17"/>
      <c r="P5068" s="17" t="s">
        <v>10598</v>
      </c>
      <c r="Q5068" s="17"/>
      <c r="R5068" s="25" t="str">
        <f>HYPERLINK("https://ictv.global/taxonomy/taxondetails?taxnode_id=202312628","Lophivirus Lf2")</f>
        <v>Lophivirus Lf2</v>
      </c>
      <c r="S5068" s="18" t="s">
        <v>30</v>
      </c>
      <c r="T5068" s="18" t="s">
        <v>10601</v>
      </c>
      <c r="U5068" s="18"/>
      <c r="V5068" s="18"/>
      <c r="W5068" s="18" t="s">
        <v>10602</v>
      </c>
      <c r="X5068" s="18" t="s">
        <v>42</v>
      </c>
      <c r="Y5068" s="18" t="s">
        <v>12266</v>
      </c>
      <c r="Z5068" s="18" t="s">
        <v>697</v>
      </c>
      <c r="AA5068" s="21" t="str">
        <f>HYPERLINK("https://www.ncbi.nlm.nih.gov/nuccore/MH218848","NCBI Nucleotide")</f>
        <v>NCBI Nucleotide</v>
      </c>
    </row>
    <row r="5069" spans="1:27" x14ac:dyDescent="0.35">
      <c r="A5069">
        <v>1006800</v>
      </c>
      <c r="B5069">
        <v>5026</v>
      </c>
      <c r="C5069">
        <v>1</v>
      </c>
      <c r="D5069" s="17" t="s">
        <v>10507</v>
      </c>
      <c r="E5069" s="17"/>
      <c r="F5069" s="17" t="s">
        <v>10508</v>
      </c>
      <c r="G5069" s="17"/>
      <c r="H5069" s="17" t="s">
        <v>10509</v>
      </c>
      <c r="I5069" s="17"/>
      <c r="J5069" s="17" t="s">
        <v>10510</v>
      </c>
      <c r="K5069" s="17"/>
      <c r="L5069" s="17" t="s">
        <v>10511</v>
      </c>
      <c r="M5069" s="17"/>
      <c r="N5069" s="17" t="s">
        <v>10512</v>
      </c>
      <c r="O5069" s="17"/>
      <c r="P5069" s="17" t="s">
        <v>10598</v>
      </c>
      <c r="Q5069" s="17"/>
      <c r="R5069" s="25" t="str">
        <f>HYPERLINK("https://ictv.global/taxonomy/taxondetails?taxnode_id=202312626","Lophivirus LfUK")</f>
        <v>Lophivirus LfUK</v>
      </c>
      <c r="S5069" s="18" t="s">
        <v>30</v>
      </c>
      <c r="T5069" s="18" t="s">
        <v>10603</v>
      </c>
      <c r="U5069" s="18"/>
      <c r="V5069" s="18"/>
      <c r="W5069" s="18" t="s">
        <v>10604</v>
      </c>
      <c r="X5069" s="18" t="s">
        <v>42</v>
      </c>
      <c r="Y5069" s="18" t="s">
        <v>12266</v>
      </c>
      <c r="Z5069" s="18" t="s">
        <v>697</v>
      </c>
      <c r="AA5069" s="21" t="str">
        <f>HYPERLINK("https://www.ncbi.nlm.nih.gov/nuccore/MH206184","NCBI Nucleotide")</f>
        <v>NCBI Nucleotide</v>
      </c>
    </row>
    <row r="5070" spans="1:27" x14ac:dyDescent="0.35">
      <c r="A5070">
        <v>1006801</v>
      </c>
      <c r="B5070">
        <v>5027</v>
      </c>
      <c r="C5070">
        <v>1</v>
      </c>
      <c r="D5070" s="17" t="s">
        <v>10507</v>
      </c>
      <c r="E5070" s="17"/>
      <c r="F5070" s="17" t="s">
        <v>10508</v>
      </c>
      <c r="G5070" s="17"/>
      <c r="H5070" s="17" t="s">
        <v>10509</v>
      </c>
      <c r="I5070" s="17"/>
      <c r="J5070" s="17" t="s">
        <v>10510</v>
      </c>
      <c r="K5070" s="17"/>
      <c r="L5070" s="17" t="s">
        <v>10511</v>
      </c>
      <c r="M5070" s="17"/>
      <c r="N5070" s="17" t="s">
        <v>10512</v>
      </c>
      <c r="O5070" s="17"/>
      <c r="P5070" s="17" t="s">
        <v>10598</v>
      </c>
      <c r="Q5070" s="17"/>
      <c r="R5070" s="25" t="str">
        <f>HYPERLINK("https://ictv.global/taxonomy/taxondetails?taxnode_id=202312627","Lophivirus Xv2")</f>
        <v>Lophivirus Xv2</v>
      </c>
      <c r="S5070" s="18" t="s">
        <v>30</v>
      </c>
      <c r="T5070" s="18" t="s">
        <v>10605</v>
      </c>
      <c r="U5070" s="18"/>
      <c r="V5070" s="18"/>
      <c r="W5070" s="18" t="s">
        <v>10606</v>
      </c>
      <c r="X5070" s="18" t="s">
        <v>42</v>
      </c>
      <c r="Y5070" s="18" t="s">
        <v>12266</v>
      </c>
      <c r="Z5070" s="18" t="s">
        <v>697</v>
      </c>
      <c r="AA5070" s="21" t="str">
        <f>HYPERLINK("https://www.ncbi.nlm.nih.gov/nuccore/MH206183","NCBI Nucleotide")</f>
        <v>NCBI Nucleotide</v>
      </c>
    </row>
    <row r="5071" spans="1:27" x14ac:dyDescent="0.35">
      <c r="A5071">
        <v>1006802</v>
      </c>
      <c r="B5071">
        <v>5028</v>
      </c>
      <c r="C5071">
        <v>1</v>
      </c>
      <c r="D5071" s="17" t="s">
        <v>10507</v>
      </c>
      <c r="E5071" s="17"/>
      <c r="F5071" s="17" t="s">
        <v>10508</v>
      </c>
      <c r="G5071" s="17"/>
      <c r="H5071" s="17" t="s">
        <v>10509</v>
      </c>
      <c r="I5071" s="17"/>
      <c r="J5071" s="17" t="s">
        <v>10510</v>
      </c>
      <c r="K5071" s="17"/>
      <c r="L5071" s="17" t="s">
        <v>10511</v>
      </c>
      <c r="M5071" s="17"/>
      <c r="N5071" s="17" t="s">
        <v>10512</v>
      </c>
      <c r="O5071" s="17"/>
      <c r="P5071" s="17" t="s">
        <v>10607</v>
      </c>
      <c r="Q5071" s="17"/>
      <c r="R5071" s="25" t="str">
        <f>HYPERLINK("https://ictv.global/taxonomy/taxondetails?taxnode_id=202303708","Parhipatevirus PE226")</f>
        <v>Parhipatevirus PE226</v>
      </c>
      <c r="S5071" s="18" t="s">
        <v>30</v>
      </c>
      <c r="T5071" s="18" t="s">
        <v>10608</v>
      </c>
      <c r="U5071" s="18" t="s">
        <v>10609</v>
      </c>
      <c r="V5071" s="18"/>
      <c r="W5071" s="18" t="s">
        <v>10610</v>
      </c>
      <c r="X5071" s="18" t="s">
        <v>42</v>
      </c>
      <c r="Y5071" s="18" t="s">
        <v>10517</v>
      </c>
      <c r="Z5071" s="18" t="s">
        <v>697</v>
      </c>
      <c r="AA5071" s="21" t="str">
        <f>HYPERLINK("https://www.ncbi.nlm.nih.gov/nuccore/HM064452","NCBI Nucleotide")</f>
        <v>NCBI Nucleotide</v>
      </c>
    </row>
    <row r="5072" spans="1:27" x14ac:dyDescent="0.35">
      <c r="A5072">
        <v>1006803</v>
      </c>
      <c r="B5072">
        <v>5029</v>
      </c>
      <c r="C5072">
        <v>1</v>
      </c>
      <c r="D5072" s="17" t="s">
        <v>10507</v>
      </c>
      <c r="E5072" s="17"/>
      <c r="F5072" s="17" t="s">
        <v>10508</v>
      </c>
      <c r="G5072" s="17"/>
      <c r="H5072" s="17" t="s">
        <v>10509</v>
      </c>
      <c r="I5072" s="17"/>
      <c r="J5072" s="17" t="s">
        <v>10510</v>
      </c>
      <c r="K5072" s="17"/>
      <c r="L5072" s="17" t="s">
        <v>10511</v>
      </c>
      <c r="M5072" s="17"/>
      <c r="N5072" s="17" t="s">
        <v>10512</v>
      </c>
      <c r="O5072" s="17"/>
      <c r="P5072" s="17" t="s">
        <v>10611</v>
      </c>
      <c r="Q5072" s="17"/>
      <c r="R5072" s="25" t="str">
        <f>HYPERLINK("https://ictv.global/taxonomy/taxondetails?taxnode_id=202312631","Porrectionivirus p12J")</f>
        <v>Porrectionivirus p12J</v>
      </c>
      <c r="S5072" s="18" t="s">
        <v>30</v>
      </c>
      <c r="T5072" s="18" t="s">
        <v>10612</v>
      </c>
      <c r="U5072" s="18"/>
      <c r="V5072" s="18"/>
      <c r="W5072" s="18" t="s">
        <v>10613</v>
      </c>
      <c r="X5072" s="18" t="s">
        <v>42</v>
      </c>
      <c r="Y5072" s="18" t="s">
        <v>10517</v>
      </c>
      <c r="Z5072" s="18" t="s">
        <v>697</v>
      </c>
      <c r="AA5072" s="21" t="str">
        <f>HYPERLINK("https://www.ncbi.nlm.nih.gov/nuccore/AY374414","NCBI Nucleotide")</f>
        <v>NCBI Nucleotide</v>
      </c>
    </row>
    <row r="5073" spans="1:27" x14ac:dyDescent="0.35">
      <c r="A5073">
        <v>1006804</v>
      </c>
      <c r="B5073">
        <v>5030</v>
      </c>
      <c r="C5073">
        <v>1</v>
      </c>
      <c r="D5073" s="17" t="s">
        <v>10507</v>
      </c>
      <c r="E5073" s="17"/>
      <c r="F5073" s="17" t="s">
        <v>10508</v>
      </c>
      <c r="G5073" s="17"/>
      <c r="H5073" s="17" t="s">
        <v>10509</v>
      </c>
      <c r="I5073" s="17"/>
      <c r="J5073" s="17" t="s">
        <v>10510</v>
      </c>
      <c r="K5073" s="17"/>
      <c r="L5073" s="17" t="s">
        <v>10511</v>
      </c>
      <c r="M5073" s="17"/>
      <c r="N5073" s="17" t="s">
        <v>10512</v>
      </c>
      <c r="O5073" s="17"/>
      <c r="P5073" s="17" t="s">
        <v>10614</v>
      </c>
      <c r="Q5073" s="17"/>
      <c r="R5073" s="25" t="str">
        <f>HYPERLINK("https://ictv.global/taxonomy/taxondetails?taxnode_id=202303706","Primolicivirus Pf1")</f>
        <v>Primolicivirus Pf1</v>
      </c>
      <c r="S5073" s="18" t="s">
        <v>30</v>
      </c>
      <c r="T5073" s="18" t="s">
        <v>10615</v>
      </c>
      <c r="U5073" s="18" t="s">
        <v>10616</v>
      </c>
      <c r="V5073" s="18"/>
      <c r="W5073" s="18" t="s">
        <v>10617</v>
      </c>
      <c r="X5073" s="18" t="s">
        <v>42</v>
      </c>
      <c r="Y5073" s="18" t="s">
        <v>10517</v>
      </c>
      <c r="Z5073" s="18" t="s">
        <v>697</v>
      </c>
      <c r="AA5073" s="21" t="str">
        <f>HYPERLINK("https://www.ncbi.nlm.nih.gov/nuccore/X52107","NCBI Nucleotide")</f>
        <v>NCBI Nucleotide</v>
      </c>
    </row>
    <row r="5074" spans="1:27" x14ac:dyDescent="0.35">
      <c r="A5074">
        <v>1006805</v>
      </c>
      <c r="B5074">
        <v>5031</v>
      </c>
      <c r="C5074">
        <v>1</v>
      </c>
      <c r="D5074" s="17" t="s">
        <v>10507</v>
      </c>
      <c r="E5074" s="17"/>
      <c r="F5074" s="17" t="s">
        <v>10508</v>
      </c>
      <c r="G5074" s="17"/>
      <c r="H5074" s="17" t="s">
        <v>10509</v>
      </c>
      <c r="I5074" s="17"/>
      <c r="J5074" s="17" t="s">
        <v>10510</v>
      </c>
      <c r="K5074" s="17"/>
      <c r="L5074" s="17" t="s">
        <v>10511</v>
      </c>
      <c r="M5074" s="17"/>
      <c r="N5074" s="17" t="s">
        <v>10512</v>
      </c>
      <c r="O5074" s="17"/>
      <c r="P5074" s="17" t="s">
        <v>10614</v>
      </c>
      <c r="Q5074" s="17"/>
      <c r="R5074" s="25" t="str">
        <f>HYPERLINK("https://ictv.global/taxonomy/taxondetails?taxnode_id=202312620","Primolicivirus Pf8")</f>
        <v>Primolicivirus Pf8</v>
      </c>
      <c r="S5074" s="18" t="s">
        <v>30</v>
      </c>
      <c r="T5074" s="18" t="s">
        <v>10618</v>
      </c>
      <c r="U5074" s="18"/>
      <c r="V5074" s="18"/>
      <c r="W5074" s="18" t="s">
        <v>10619</v>
      </c>
      <c r="X5074" s="18" t="s">
        <v>42</v>
      </c>
      <c r="Y5074" s="18" t="s">
        <v>12266</v>
      </c>
      <c r="Z5074" s="18" t="s">
        <v>697</v>
      </c>
      <c r="AA5074" s="21" t="str">
        <f>HYPERLINK("https://www.ncbi.nlm.nih.gov/nuccore/MN710383","NCBI Nucleotide")</f>
        <v>NCBI Nucleotide</v>
      </c>
    </row>
    <row r="5075" spans="1:27" x14ac:dyDescent="0.35">
      <c r="A5075">
        <v>1006806</v>
      </c>
      <c r="B5075">
        <v>5032</v>
      </c>
      <c r="C5075">
        <v>1</v>
      </c>
      <c r="D5075" s="17" t="s">
        <v>10507</v>
      </c>
      <c r="E5075" s="17"/>
      <c r="F5075" s="17" t="s">
        <v>10508</v>
      </c>
      <c r="G5075" s="17"/>
      <c r="H5075" s="17" t="s">
        <v>10509</v>
      </c>
      <c r="I5075" s="17"/>
      <c r="J5075" s="17" t="s">
        <v>10510</v>
      </c>
      <c r="K5075" s="17"/>
      <c r="L5075" s="17" t="s">
        <v>10511</v>
      </c>
      <c r="M5075" s="17"/>
      <c r="N5075" s="17" t="s">
        <v>10512</v>
      </c>
      <c r="O5075" s="17"/>
      <c r="P5075" s="17" t="s">
        <v>10620</v>
      </c>
      <c r="Q5075" s="17"/>
      <c r="R5075" s="25" t="str">
        <f>HYPERLINK("https://ictv.global/taxonomy/taxondetails?taxnode_id=202303711","Psecadovirus PSH1")</f>
        <v>Psecadovirus PSH1</v>
      </c>
      <c r="S5075" s="18" t="s">
        <v>30</v>
      </c>
      <c r="T5075" s="18" t="s">
        <v>10621</v>
      </c>
      <c r="U5075" s="18" t="s">
        <v>10622</v>
      </c>
      <c r="V5075" s="18"/>
      <c r="W5075" s="18" t="s">
        <v>10623</v>
      </c>
      <c r="X5075" s="18" t="s">
        <v>42</v>
      </c>
      <c r="Y5075" s="18" t="s">
        <v>12266</v>
      </c>
      <c r="Z5075" s="18" t="s">
        <v>697</v>
      </c>
      <c r="AA5075" s="21" t="str">
        <f>HYPERLINK("https://www.ncbi.nlm.nih.gov/nuccore/EF489910","NCBI Nucleotide")</f>
        <v>NCBI Nucleotide</v>
      </c>
    </row>
    <row r="5076" spans="1:27" x14ac:dyDescent="0.35">
      <c r="A5076">
        <v>1006807</v>
      </c>
      <c r="B5076">
        <v>5033</v>
      </c>
      <c r="C5076">
        <v>1</v>
      </c>
      <c r="D5076" s="17" t="s">
        <v>10507</v>
      </c>
      <c r="E5076" s="17"/>
      <c r="F5076" s="17" t="s">
        <v>10508</v>
      </c>
      <c r="G5076" s="17"/>
      <c r="H5076" s="17" t="s">
        <v>10509</v>
      </c>
      <c r="I5076" s="17"/>
      <c r="J5076" s="17" t="s">
        <v>10510</v>
      </c>
      <c r="K5076" s="17"/>
      <c r="L5076" s="17" t="s">
        <v>10511</v>
      </c>
      <c r="M5076" s="17"/>
      <c r="N5076" s="17" t="s">
        <v>10512</v>
      </c>
      <c r="O5076" s="17"/>
      <c r="P5076" s="17" t="s">
        <v>10624</v>
      </c>
      <c r="Q5076" s="17"/>
      <c r="R5076" s="25" t="str">
        <f>HYPERLINK("https://ictv.global/taxonomy/taxondetails?taxnode_id=202312618","Restivirus RSBg")</f>
        <v>Restivirus RSBg</v>
      </c>
      <c r="S5076" s="18" t="s">
        <v>30</v>
      </c>
      <c r="T5076" s="18" t="s">
        <v>10625</v>
      </c>
      <c r="U5076" s="18"/>
      <c r="V5076" s="18"/>
      <c r="W5076" s="18" t="s">
        <v>10626</v>
      </c>
      <c r="X5076" s="18" t="s">
        <v>42</v>
      </c>
      <c r="Y5076" s="18" t="s">
        <v>12266</v>
      </c>
      <c r="Z5076" s="18" t="s">
        <v>697</v>
      </c>
      <c r="AA5076" s="21" t="str">
        <f>HYPERLINK("https://www.ncbi.nlm.nih.gov/nuccore/MT495635","NCBI Nucleotide")</f>
        <v>NCBI Nucleotide</v>
      </c>
    </row>
    <row r="5077" spans="1:27" x14ac:dyDescent="0.35">
      <c r="A5077">
        <v>1006808</v>
      </c>
      <c r="B5077">
        <v>5034</v>
      </c>
      <c r="C5077">
        <v>1</v>
      </c>
      <c r="D5077" s="17" t="s">
        <v>10507</v>
      </c>
      <c r="E5077" s="17"/>
      <c r="F5077" s="17" t="s">
        <v>10508</v>
      </c>
      <c r="G5077" s="17"/>
      <c r="H5077" s="17" t="s">
        <v>10509</v>
      </c>
      <c r="I5077" s="17"/>
      <c r="J5077" s="17" t="s">
        <v>10510</v>
      </c>
      <c r="K5077" s="17"/>
      <c r="L5077" s="17" t="s">
        <v>10511</v>
      </c>
      <c r="M5077" s="17"/>
      <c r="N5077" s="17" t="s">
        <v>10512</v>
      </c>
      <c r="O5077" s="17"/>
      <c r="P5077" s="17" t="s">
        <v>10624</v>
      </c>
      <c r="Q5077" s="17"/>
      <c r="R5077" s="25" t="str">
        <f>HYPERLINK("https://ictv.global/taxonomy/taxondetails?taxnode_id=202303709","Restivirus RSS1")</f>
        <v>Restivirus RSS1</v>
      </c>
      <c r="S5077" s="18" t="s">
        <v>30</v>
      </c>
      <c r="T5077" s="18" t="s">
        <v>10627</v>
      </c>
      <c r="U5077" s="18" t="s">
        <v>10628</v>
      </c>
      <c r="V5077" s="18"/>
      <c r="W5077" s="18" t="s">
        <v>10629</v>
      </c>
      <c r="X5077" s="18" t="s">
        <v>42</v>
      </c>
      <c r="Y5077" s="18" t="s">
        <v>10517</v>
      </c>
      <c r="Z5077" s="18" t="s">
        <v>697</v>
      </c>
      <c r="AA5077" s="21" t="str">
        <f>HYPERLINK("https://www.ncbi.nlm.nih.gov/nuccore/AB259124","NCBI Nucleotide")</f>
        <v>NCBI Nucleotide</v>
      </c>
    </row>
    <row r="5078" spans="1:27" x14ac:dyDescent="0.35">
      <c r="A5078">
        <v>1012213</v>
      </c>
      <c r="B5078">
        <v>5034</v>
      </c>
      <c r="C5078">
        <v>2</v>
      </c>
      <c r="D5078" s="17" t="s">
        <v>10507</v>
      </c>
      <c r="E5078" s="17"/>
      <c r="F5078" s="17" t="s">
        <v>10508</v>
      </c>
      <c r="G5078" s="17"/>
      <c r="H5078" s="17" t="s">
        <v>10509</v>
      </c>
      <c r="I5078" s="17"/>
      <c r="J5078" s="17" t="s">
        <v>10510</v>
      </c>
      <c r="K5078" s="17"/>
      <c r="L5078" s="17" t="s">
        <v>10511</v>
      </c>
      <c r="M5078" s="17"/>
      <c r="N5078" s="17" t="s">
        <v>10512</v>
      </c>
      <c r="O5078" s="17"/>
      <c r="P5078" s="17" t="s">
        <v>10624</v>
      </c>
      <c r="Q5078" s="17"/>
      <c r="R5078" s="25" t="str">
        <f>HYPERLINK("https://ictv.global/taxonomy/taxondetails?taxnode_id=202303709","Restivirus RSS1")</f>
        <v>Restivirus RSS1</v>
      </c>
      <c r="S5078" s="18" t="s">
        <v>8141</v>
      </c>
      <c r="T5078" s="18" t="s">
        <v>10634</v>
      </c>
      <c r="U5078" s="18" t="s">
        <v>10635</v>
      </c>
      <c r="V5078" s="18"/>
      <c r="W5078" s="18" t="s">
        <v>48773</v>
      </c>
      <c r="X5078" s="18" t="s">
        <v>42</v>
      </c>
      <c r="Y5078" s="18" t="s">
        <v>12266</v>
      </c>
      <c r="Z5078" s="18" t="s">
        <v>697</v>
      </c>
      <c r="AA5078" s="21" t="str">
        <f>HYPERLINK("https://www.ncbi.nlm.nih.gov/nuccore/AB931172","NCBI Nucleotide")</f>
        <v>NCBI Nucleotide</v>
      </c>
    </row>
    <row r="5079" spans="1:27" x14ac:dyDescent="0.35">
      <c r="A5079">
        <v>1012211</v>
      </c>
      <c r="B5079">
        <v>5034</v>
      </c>
      <c r="C5079">
        <v>3</v>
      </c>
      <c r="D5079" s="17" t="s">
        <v>10507</v>
      </c>
      <c r="E5079" s="17"/>
      <c r="F5079" s="17" t="s">
        <v>10508</v>
      </c>
      <c r="G5079" s="17"/>
      <c r="H5079" s="17" t="s">
        <v>10509</v>
      </c>
      <c r="I5079" s="17"/>
      <c r="J5079" s="17" t="s">
        <v>10510</v>
      </c>
      <c r="K5079" s="17"/>
      <c r="L5079" s="17" t="s">
        <v>10511</v>
      </c>
      <c r="M5079" s="17"/>
      <c r="N5079" s="17" t="s">
        <v>10512</v>
      </c>
      <c r="O5079" s="17"/>
      <c r="P5079" s="17" t="s">
        <v>10624</v>
      </c>
      <c r="Q5079" s="17"/>
      <c r="R5079" s="25" t="str">
        <f>HYPERLINK("https://ictv.global/taxonomy/taxondetails?taxnode_id=202303709","Restivirus RSS1")</f>
        <v>Restivirus RSS1</v>
      </c>
      <c r="S5079" s="18" t="s">
        <v>8141</v>
      </c>
      <c r="T5079" s="18" t="s">
        <v>10630</v>
      </c>
      <c r="U5079" s="18" t="s">
        <v>10631</v>
      </c>
      <c r="V5079" s="18"/>
      <c r="W5079" s="18" t="s">
        <v>48774</v>
      </c>
      <c r="X5079" s="18" t="s">
        <v>42</v>
      </c>
      <c r="Y5079" s="18" t="s">
        <v>12266</v>
      </c>
      <c r="Z5079" s="18" t="s">
        <v>697</v>
      </c>
      <c r="AA5079" s="21" t="str">
        <f>HYPERLINK("https://www.ncbi.nlm.nih.gov/nuccore/JQ408219","NCBI Nucleotide")</f>
        <v>NCBI Nucleotide</v>
      </c>
    </row>
    <row r="5080" spans="1:27" x14ac:dyDescent="0.35">
      <c r="A5080">
        <v>1012212</v>
      </c>
      <c r="B5080">
        <v>5034</v>
      </c>
      <c r="C5080">
        <v>4</v>
      </c>
      <c r="D5080" s="17" t="s">
        <v>10507</v>
      </c>
      <c r="E5080" s="17"/>
      <c r="F5080" s="17" t="s">
        <v>10508</v>
      </c>
      <c r="G5080" s="17"/>
      <c r="H5080" s="17" t="s">
        <v>10509</v>
      </c>
      <c r="I5080" s="17"/>
      <c r="J5080" s="17" t="s">
        <v>10510</v>
      </c>
      <c r="K5080" s="17"/>
      <c r="L5080" s="17" t="s">
        <v>10511</v>
      </c>
      <c r="M5080" s="17"/>
      <c r="N5080" s="17" t="s">
        <v>10512</v>
      </c>
      <c r="O5080" s="17"/>
      <c r="P5080" s="17" t="s">
        <v>10624</v>
      </c>
      <c r="Q5080" s="17"/>
      <c r="R5080" s="25" t="str">
        <f>HYPERLINK("https://ictv.global/taxonomy/taxondetails?taxnode_id=202303709","Restivirus RSS1")</f>
        <v>Restivirus RSS1</v>
      </c>
      <c r="S5080" s="18" t="s">
        <v>8141</v>
      </c>
      <c r="T5080" s="18" t="s">
        <v>10632</v>
      </c>
      <c r="U5080" s="18" t="s">
        <v>10633</v>
      </c>
      <c r="V5080" s="18"/>
      <c r="W5080" s="18" t="s">
        <v>48775</v>
      </c>
      <c r="X5080" s="18" t="s">
        <v>42</v>
      </c>
      <c r="Y5080" s="18" t="s">
        <v>12266</v>
      </c>
      <c r="Z5080" s="18" t="s">
        <v>697</v>
      </c>
      <c r="AA5080" s="21" t="str">
        <f>HYPERLINK("https://www.ncbi.nlm.nih.gov/nuccore/LC066596","NCBI Nucleotide")</f>
        <v>NCBI Nucleotide</v>
      </c>
    </row>
    <row r="5081" spans="1:27" x14ac:dyDescent="0.35">
      <c r="A5081">
        <v>1006809</v>
      </c>
      <c r="B5081">
        <v>5035</v>
      </c>
      <c r="C5081">
        <v>1</v>
      </c>
      <c r="D5081" s="17" t="s">
        <v>10507</v>
      </c>
      <c r="E5081" s="17"/>
      <c r="F5081" s="17" t="s">
        <v>10508</v>
      </c>
      <c r="G5081" s="17"/>
      <c r="H5081" s="17" t="s">
        <v>10509</v>
      </c>
      <c r="I5081" s="17"/>
      <c r="J5081" s="17" t="s">
        <v>10510</v>
      </c>
      <c r="K5081" s="17"/>
      <c r="L5081" s="17" t="s">
        <v>10511</v>
      </c>
      <c r="M5081" s="17"/>
      <c r="N5081" s="17" t="s">
        <v>10512</v>
      </c>
      <c r="O5081" s="17"/>
      <c r="P5081" s="17" t="s">
        <v>10636</v>
      </c>
      <c r="Q5081" s="17"/>
      <c r="R5081" s="25" t="str">
        <f>HYPERLINK("https://ictv.global/taxonomy/taxondetails?taxnode_id=202303701","Saetivirus fs2")</f>
        <v>Saetivirus fs2</v>
      </c>
      <c r="S5081" s="18" t="s">
        <v>30</v>
      </c>
      <c r="T5081" s="18" t="s">
        <v>10637</v>
      </c>
      <c r="U5081" s="18" t="s">
        <v>10638</v>
      </c>
      <c r="V5081" s="18"/>
      <c r="W5081" s="18" t="s">
        <v>10639</v>
      </c>
      <c r="X5081" s="18" t="s">
        <v>42</v>
      </c>
      <c r="Y5081" s="18" t="s">
        <v>10517</v>
      </c>
      <c r="Z5081" s="18" t="s">
        <v>697</v>
      </c>
      <c r="AA5081" s="21" t="str">
        <f>HYPERLINK("https://www.ncbi.nlm.nih.gov/nuccore/AB002632","NCBI Nucleotide")</f>
        <v>NCBI Nucleotide</v>
      </c>
    </row>
    <row r="5082" spans="1:27" x14ac:dyDescent="0.35">
      <c r="A5082">
        <v>1006810</v>
      </c>
      <c r="B5082">
        <v>5036</v>
      </c>
      <c r="C5082">
        <v>1</v>
      </c>
      <c r="D5082" s="17" t="s">
        <v>10507</v>
      </c>
      <c r="E5082" s="17"/>
      <c r="F5082" s="17" t="s">
        <v>10508</v>
      </c>
      <c r="G5082" s="17"/>
      <c r="H5082" s="17" t="s">
        <v>10509</v>
      </c>
      <c r="I5082" s="17"/>
      <c r="J5082" s="17" t="s">
        <v>10510</v>
      </c>
      <c r="K5082" s="17"/>
      <c r="L5082" s="17" t="s">
        <v>10511</v>
      </c>
      <c r="M5082" s="17"/>
      <c r="N5082" s="17" t="s">
        <v>10512</v>
      </c>
      <c r="O5082" s="17"/>
      <c r="P5082" s="17" t="s">
        <v>10636</v>
      </c>
      <c r="Q5082" s="17"/>
      <c r="R5082" s="25" t="str">
        <f>HYPERLINK("https://ictv.global/taxonomy/taxondetails?taxnode_id=202303702","Saetivirus VFJ")</f>
        <v>Saetivirus VFJ</v>
      </c>
      <c r="S5082" s="18" t="s">
        <v>30</v>
      </c>
      <c r="T5082" s="18" t="s">
        <v>10640</v>
      </c>
      <c r="U5082" s="18" t="s">
        <v>10641</v>
      </c>
      <c r="V5082" s="18"/>
      <c r="W5082" s="18" t="s">
        <v>10642</v>
      </c>
      <c r="X5082" s="18" t="s">
        <v>42</v>
      </c>
      <c r="Y5082" s="18" t="s">
        <v>12266</v>
      </c>
      <c r="Z5082" s="18" t="s">
        <v>697</v>
      </c>
      <c r="AA5082" s="21" t="str">
        <f>HYPERLINK("https://www.ncbi.nlm.nih.gov/nuccore/KC357596","NCBI Nucleotide")</f>
        <v>NCBI Nucleotide</v>
      </c>
    </row>
    <row r="5083" spans="1:27" x14ac:dyDescent="0.35">
      <c r="A5083">
        <v>1006811</v>
      </c>
      <c r="B5083">
        <v>5037</v>
      </c>
      <c r="C5083">
        <v>1</v>
      </c>
      <c r="D5083" s="17" t="s">
        <v>10507</v>
      </c>
      <c r="E5083" s="17"/>
      <c r="F5083" s="17" t="s">
        <v>10508</v>
      </c>
      <c r="G5083" s="17"/>
      <c r="H5083" s="17" t="s">
        <v>10509</v>
      </c>
      <c r="I5083" s="17"/>
      <c r="J5083" s="17" t="s">
        <v>10510</v>
      </c>
      <c r="K5083" s="17"/>
      <c r="L5083" s="17" t="s">
        <v>10511</v>
      </c>
      <c r="M5083" s="17"/>
      <c r="N5083" s="17" t="s">
        <v>10512</v>
      </c>
      <c r="O5083" s="17"/>
      <c r="P5083" s="17" t="s">
        <v>10643</v>
      </c>
      <c r="Q5083" s="17"/>
      <c r="R5083" s="25" t="str">
        <f>HYPERLINK("https://ictv.global/taxonomy/taxondetails?taxnode_id=202303712","Scuticavirus SMA6")</f>
        <v>Scuticavirus SMA6</v>
      </c>
      <c r="S5083" s="18" t="s">
        <v>30</v>
      </c>
      <c r="T5083" s="18" t="s">
        <v>10644</v>
      </c>
      <c r="U5083" s="18" t="s">
        <v>10645</v>
      </c>
      <c r="V5083" s="18"/>
      <c r="W5083" s="18" t="s">
        <v>10646</v>
      </c>
      <c r="X5083" s="18" t="s">
        <v>42</v>
      </c>
      <c r="Y5083" s="18" t="s">
        <v>12266</v>
      </c>
      <c r="Z5083" s="18" t="s">
        <v>697</v>
      </c>
      <c r="AA5083" s="21" t="str">
        <f>HYPERLINK("https://www.ncbi.nlm.nih.gov/nuccore/HG315669","NCBI Nucleotide")</f>
        <v>NCBI Nucleotide</v>
      </c>
    </row>
    <row r="5084" spans="1:27" x14ac:dyDescent="0.35">
      <c r="A5084">
        <v>1006812</v>
      </c>
      <c r="B5084">
        <v>5038</v>
      </c>
      <c r="C5084">
        <v>1</v>
      </c>
      <c r="D5084" s="17" t="s">
        <v>10507</v>
      </c>
      <c r="E5084" s="17"/>
      <c r="F5084" s="17" t="s">
        <v>10508</v>
      </c>
      <c r="G5084" s="17"/>
      <c r="H5084" s="17" t="s">
        <v>10509</v>
      </c>
      <c r="I5084" s="17"/>
      <c r="J5084" s="17" t="s">
        <v>10510</v>
      </c>
      <c r="K5084" s="17"/>
      <c r="L5084" s="17" t="s">
        <v>10511</v>
      </c>
      <c r="M5084" s="17"/>
      <c r="N5084" s="17" t="s">
        <v>10512</v>
      </c>
      <c r="O5084" s="17"/>
      <c r="P5084" s="17" t="s">
        <v>10647</v>
      </c>
      <c r="Q5084" s="17"/>
      <c r="R5084" s="25" t="str">
        <f>HYPERLINK("https://ictv.global/taxonomy/taxondetails?taxnode_id=202312633","Siphunculivirus SHP2")</f>
        <v>Siphunculivirus SHP2</v>
      </c>
      <c r="S5084" s="18" t="s">
        <v>30</v>
      </c>
      <c r="T5084" s="18" t="s">
        <v>10648</v>
      </c>
      <c r="U5084" s="18"/>
      <c r="V5084" s="18"/>
      <c r="W5084" s="18" t="s">
        <v>10649</v>
      </c>
      <c r="X5084" s="18" t="s">
        <v>42</v>
      </c>
      <c r="Y5084" s="18" t="s">
        <v>12266</v>
      </c>
      <c r="Z5084" s="18" t="s">
        <v>697</v>
      </c>
      <c r="AA5084" s="21" t="str">
        <f>HYPERLINK("https://www.ncbi.nlm.nih.gov/nuccore/HM150760","NCBI Nucleotide")</f>
        <v>NCBI Nucleotide</v>
      </c>
    </row>
    <row r="5085" spans="1:27" x14ac:dyDescent="0.35">
      <c r="A5085">
        <v>1006813</v>
      </c>
      <c r="B5085">
        <v>5039</v>
      </c>
      <c r="C5085">
        <v>1</v>
      </c>
      <c r="D5085" s="17" t="s">
        <v>10507</v>
      </c>
      <c r="E5085" s="17"/>
      <c r="F5085" s="17" t="s">
        <v>10508</v>
      </c>
      <c r="G5085" s="17"/>
      <c r="H5085" s="17" t="s">
        <v>10509</v>
      </c>
      <c r="I5085" s="17"/>
      <c r="J5085" s="17" t="s">
        <v>10510</v>
      </c>
      <c r="K5085" s="17"/>
      <c r="L5085" s="17" t="s">
        <v>10511</v>
      </c>
      <c r="M5085" s="17"/>
      <c r="N5085" s="17" t="s">
        <v>10512</v>
      </c>
      <c r="O5085" s="17"/>
      <c r="P5085" s="17" t="s">
        <v>10650</v>
      </c>
      <c r="Q5085" s="17"/>
      <c r="R5085" s="25" t="str">
        <f>HYPERLINK("https://ictv.global/taxonomy/taxondetails?taxnode_id=202303714","Staminivirus SMA9")</f>
        <v>Staminivirus SMA9</v>
      </c>
      <c r="S5085" s="18" t="s">
        <v>30</v>
      </c>
      <c r="T5085" s="18" t="s">
        <v>10651</v>
      </c>
      <c r="U5085" s="18" t="s">
        <v>10652</v>
      </c>
      <c r="V5085" s="18"/>
      <c r="W5085" s="18" t="s">
        <v>10653</v>
      </c>
      <c r="X5085" s="18" t="s">
        <v>42</v>
      </c>
      <c r="Y5085" s="18" t="s">
        <v>12266</v>
      </c>
      <c r="Z5085" s="18" t="s">
        <v>697</v>
      </c>
      <c r="AA5085" s="21" t="str">
        <f>HYPERLINK("https://www.ncbi.nlm.nih.gov/nuccore/AM040673","NCBI Nucleotide")</f>
        <v>NCBI Nucleotide</v>
      </c>
    </row>
    <row r="5086" spans="1:27" x14ac:dyDescent="0.35">
      <c r="A5086">
        <v>1006814</v>
      </c>
      <c r="B5086">
        <v>5040</v>
      </c>
      <c r="C5086">
        <v>1</v>
      </c>
      <c r="D5086" s="17" t="s">
        <v>10507</v>
      </c>
      <c r="E5086" s="17"/>
      <c r="F5086" s="17" t="s">
        <v>10508</v>
      </c>
      <c r="G5086" s="17"/>
      <c r="H5086" s="17" t="s">
        <v>10509</v>
      </c>
      <c r="I5086" s="17"/>
      <c r="J5086" s="17" t="s">
        <v>10510</v>
      </c>
      <c r="K5086" s="17"/>
      <c r="L5086" s="17" t="s">
        <v>10511</v>
      </c>
      <c r="M5086" s="17"/>
      <c r="N5086" s="17" t="s">
        <v>10512</v>
      </c>
      <c r="O5086" s="17"/>
      <c r="P5086" s="17" t="s">
        <v>10654</v>
      </c>
      <c r="Q5086" s="17"/>
      <c r="R5086" s="25" t="str">
        <f>HYPERLINK("https://ictv.global/taxonomy/taxondetails?taxnode_id=202303713","Subteminivirus SMA7")</f>
        <v>Subteminivirus SMA7</v>
      </c>
      <c r="S5086" s="18" t="s">
        <v>30</v>
      </c>
      <c r="T5086" s="18" t="s">
        <v>10655</v>
      </c>
      <c r="U5086" s="18" t="s">
        <v>10656</v>
      </c>
      <c r="V5086" s="18"/>
      <c r="W5086" s="18" t="s">
        <v>10657</v>
      </c>
      <c r="X5086" s="18" t="s">
        <v>42</v>
      </c>
      <c r="Y5086" s="18" t="s">
        <v>12266</v>
      </c>
      <c r="Z5086" s="18" t="s">
        <v>697</v>
      </c>
      <c r="AA5086" s="21" t="str">
        <f>HYPERLINK("https://www.ncbi.nlm.nih.gov/nuccore/HG007973","NCBI Nucleotide")</f>
        <v>NCBI Nucleotide</v>
      </c>
    </row>
    <row r="5087" spans="1:27" x14ac:dyDescent="0.35">
      <c r="A5087">
        <v>1006815</v>
      </c>
      <c r="B5087">
        <v>5041</v>
      </c>
      <c r="C5087">
        <v>1</v>
      </c>
      <c r="D5087" s="17" t="s">
        <v>10507</v>
      </c>
      <c r="E5087" s="17"/>
      <c r="F5087" s="17" t="s">
        <v>10508</v>
      </c>
      <c r="G5087" s="17"/>
      <c r="H5087" s="17" t="s">
        <v>10509</v>
      </c>
      <c r="I5087" s="17"/>
      <c r="J5087" s="17" t="s">
        <v>10510</v>
      </c>
      <c r="K5087" s="17"/>
      <c r="L5087" s="17" t="s">
        <v>10511</v>
      </c>
      <c r="M5087" s="17"/>
      <c r="N5087" s="17" t="s">
        <v>10512</v>
      </c>
      <c r="O5087" s="17"/>
      <c r="P5087" s="17" t="s">
        <v>10658</v>
      </c>
      <c r="Q5087" s="17"/>
      <c r="R5087" s="25" t="str">
        <f>HYPERLINK("https://ictv.global/taxonomy/taxondetails?taxnode_id=202303707","Tertilicivirus Pf3")</f>
        <v>Tertilicivirus Pf3</v>
      </c>
      <c r="S5087" s="18" t="s">
        <v>30</v>
      </c>
      <c r="T5087" s="18" t="s">
        <v>10659</v>
      </c>
      <c r="U5087" s="18" t="s">
        <v>10660</v>
      </c>
      <c r="V5087" s="18" t="s">
        <v>10661</v>
      </c>
      <c r="W5087" s="18" t="s">
        <v>10662</v>
      </c>
      <c r="X5087" s="18" t="s">
        <v>42</v>
      </c>
      <c r="Y5087" s="18" t="s">
        <v>10517</v>
      </c>
      <c r="Z5087" s="18" t="s">
        <v>697</v>
      </c>
      <c r="AA5087" s="21" t="str">
        <f>HYPERLINK("https://www.ncbi.nlm.nih.gov/nuccore/M11912","NCBI Nucleotide")</f>
        <v>NCBI Nucleotide</v>
      </c>
    </row>
    <row r="5088" spans="1:27" x14ac:dyDescent="0.35">
      <c r="A5088">
        <v>1012214</v>
      </c>
      <c r="B5088">
        <v>5041</v>
      </c>
      <c r="C5088">
        <v>2</v>
      </c>
      <c r="D5088" s="17" t="s">
        <v>10507</v>
      </c>
      <c r="E5088" s="17"/>
      <c r="F5088" s="17" t="s">
        <v>10508</v>
      </c>
      <c r="G5088" s="17"/>
      <c r="H5088" s="17" t="s">
        <v>10509</v>
      </c>
      <c r="I5088" s="17"/>
      <c r="J5088" s="17" t="s">
        <v>10510</v>
      </c>
      <c r="K5088" s="17"/>
      <c r="L5088" s="17" t="s">
        <v>10511</v>
      </c>
      <c r="M5088" s="17"/>
      <c r="N5088" s="17" t="s">
        <v>10512</v>
      </c>
      <c r="O5088" s="17"/>
      <c r="P5088" s="17" t="s">
        <v>10658</v>
      </c>
      <c r="Q5088" s="17"/>
      <c r="R5088" s="25" t="str">
        <f>HYPERLINK("https://ictv.global/taxonomy/taxondetails?taxnode_id=202303707","Tertilicivirus Pf3")</f>
        <v>Tertilicivirus Pf3</v>
      </c>
      <c r="S5088" s="18" t="s">
        <v>8141</v>
      </c>
      <c r="T5088" s="18" t="s">
        <v>10659</v>
      </c>
      <c r="U5088" s="18" t="s">
        <v>10660</v>
      </c>
      <c r="V5088" s="18" t="s">
        <v>10663</v>
      </c>
      <c r="W5088" s="18" t="s">
        <v>48776</v>
      </c>
      <c r="X5088" s="18" t="s">
        <v>42</v>
      </c>
      <c r="Y5088" s="18" t="s">
        <v>10517</v>
      </c>
      <c r="Z5088" s="18" t="s">
        <v>697</v>
      </c>
      <c r="AA5088" s="21" t="str">
        <f>HYPERLINK("https://www.ncbi.nlm.nih.gov/nuccore/M19377","NCBI Nucleotide")</f>
        <v>NCBI Nucleotide</v>
      </c>
    </row>
    <row r="5089" spans="1:27" x14ac:dyDescent="0.35">
      <c r="A5089">
        <v>1006816</v>
      </c>
      <c r="B5089">
        <v>5042</v>
      </c>
      <c r="C5089">
        <v>1</v>
      </c>
      <c r="D5089" s="17" t="s">
        <v>10507</v>
      </c>
      <c r="E5089" s="17"/>
      <c r="F5089" s="17" t="s">
        <v>10508</v>
      </c>
      <c r="G5089" s="17"/>
      <c r="H5089" s="17" t="s">
        <v>10509</v>
      </c>
      <c r="I5089" s="17"/>
      <c r="J5089" s="17" t="s">
        <v>10510</v>
      </c>
      <c r="K5089" s="17"/>
      <c r="L5089" s="17" t="s">
        <v>10511</v>
      </c>
      <c r="M5089" s="17"/>
      <c r="N5089" s="17" t="s">
        <v>10512</v>
      </c>
      <c r="O5089" s="17"/>
      <c r="P5089" s="17" t="s">
        <v>10664</v>
      </c>
      <c r="Q5089" s="17"/>
      <c r="R5089" s="25" t="str">
        <f>HYPERLINK("https://ictv.global/taxonomy/taxondetails?taxnode_id=202312624","Vasivirus VAI")</f>
        <v>Vasivirus VAI</v>
      </c>
      <c r="S5089" s="18" t="s">
        <v>30</v>
      </c>
      <c r="T5089" s="18" t="s">
        <v>10665</v>
      </c>
      <c r="U5089" s="18"/>
      <c r="V5089" s="18"/>
      <c r="W5089" s="18" t="s">
        <v>10666</v>
      </c>
      <c r="X5089" s="18" t="s">
        <v>42</v>
      </c>
      <c r="Y5089" s="18" t="s">
        <v>12266</v>
      </c>
      <c r="Z5089" s="18" t="s">
        <v>697</v>
      </c>
      <c r="AA5089" s="21" t="str">
        <f>HYPERLINK("https://www.ncbi.nlm.nih.gov/nuccore/MN200778","NCBI Nucleotide")</f>
        <v>NCBI Nucleotide</v>
      </c>
    </row>
    <row r="5090" spans="1:27" x14ac:dyDescent="0.35">
      <c r="A5090">
        <v>1006817</v>
      </c>
      <c r="B5090">
        <v>5043</v>
      </c>
      <c r="C5090">
        <v>1</v>
      </c>
      <c r="D5090" s="17" t="s">
        <v>10507</v>
      </c>
      <c r="E5090" s="17"/>
      <c r="F5090" s="17" t="s">
        <v>10508</v>
      </c>
      <c r="G5090" s="17"/>
      <c r="H5090" s="17" t="s">
        <v>10509</v>
      </c>
      <c r="I5090" s="17"/>
      <c r="J5090" s="17" t="s">
        <v>10510</v>
      </c>
      <c r="K5090" s="17"/>
      <c r="L5090" s="17" t="s">
        <v>10511</v>
      </c>
      <c r="M5090" s="17"/>
      <c r="N5090" s="17" t="s">
        <v>10512</v>
      </c>
      <c r="O5090" s="17"/>
      <c r="P5090" s="17" t="s">
        <v>10667</v>
      </c>
      <c r="Q5090" s="17"/>
      <c r="R5090" s="25" t="str">
        <f>HYPERLINK("https://ictv.global/taxonomy/taxondetails?taxnode_id=202312616","Versovirus VALG6")</f>
        <v>Versovirus VALG6</v>
      </c>
      <c r="S5090" s="18" t="s">
        <v>30</v>
      </c>
      <c r="T5090" s="18" t="s">
        <v>10668</v>
      </c>
      <c r="U5090" s="18"/>
      <c r="V5090" s="18"/>
      <c r="W5090" s="18" t="s">
        <v>10669</v>
      </c>
      <c r="X5090" s="18" t="s">
        <v>42</v>
      </c>
      <c r="Y5090" s="18" t="s">
        <v>12266</v>
      </c>
      <c r="Z5090" s="18" t="s">
        <v>697</v>
      </c>
      <c r="AA5090" s="21" t="str">
        <f>HYPERLINK("https://www.ncbi.nlm.nih.gov/nuccore/MN719123","NCBI Nucleotide")</f>
        <v>NCBI Nucleotide</v>
      </c>
    </row>
    <row r="5091" spans="1:27" x14ac:dyDescent="0.35">
      <c r="A5091">
        <v>1006818</v>
      </c>
      <c r="B5091">
        <v>5044</v>
      </c>
      <c r="C5091">
        <v>1</v>
      </c>
      <c r="D5091" s="17" t="s">
        <v>10507</v>
      </c>
      <c r="E5091" s="17"/>
      <c r="F5091" s="17" t="s">
        <v>10508</v>
      </c>
      <c r="G5091" s="17"/>
      <c r="H5091" s="17" t="s">
        <v>10509</v>
      </c>
      <c r="I5091" s="17"/>
      <c r="J5091" s="17" t="s">
        <v>10510</v>
      </c>
      <c r="K5091" s="17"/>
      <c r="L5091" s="17" t="s">
        <v>10511</v>
      </c>
      <c r="M5091" s="17"/>
      <c r="N5091" s="17" t="s">
        <v>10512</v>
      </c>
      <c r="O5091" s="17"/>
      <c r="P5091" s="17" t="s">
        <v>10667</v>
      </c>
      <c r="Q5091" s="17"/>
      <c r="R5091" s="25" t="str">
        <f>HYPERLINK("https://ictv.global/taxonomy/taxondetails?taxnode_id=202303719","Versovirus VfO3K6")</f>
        <v>Versovirus VfO3K6</v>
      </c>
      <c r="S5091" s="18" t="s">
        <v>30</v>
      </c>
      <c r="T5091" s="18" t="s">
        <v>10670</v>
      </c>
      <c r="U5091" s="18" t="s">
        <v>10671</v>
      </c>
      <c r="V5091" s="18"/>
      <c r="W5091" s="18" t="s">
        <v>10672</v>
      </c>
      <c r="X5091" s="18" t="s">
        <v>42</v>
      </c>
      <c r="Y5091" s="18" t="s">
        <v>12266</v>
      </c>
      <c r="Z5091" s="18" t="s">
        <v>697</v>
      </c>
      <c r="AA5091" s="21" t="str">
        <f>HYPERLINK("https://www.ncbi.nlm.nih.gov/nuccore/AB043678","NCBI Nucleotide")</f>
        <v>NCBI Nucleotide</v>
      </c>
    </row>
    <row r="5092" spans="1:27" x14ac:dyDescent="0.35">
      <c r="A5092">
        <v>1012215</v>
      </c>
      <c r="B5092">
        <v>5044</v>
      </c>
      <c r="C5092">
        <v>2</v>
      </c>
      <c r="D5092" s="17" t="s">
        <v>10507</v>
      </c>
      <c r="E5092" s="17"/>
      <c r="F5092" s="17" t="s">
        <v>10508</v>
      </c>
      <c r="G5092" s="17"/>
      <c r="H5092" s="17" t="s">
        <v>10509</v>
      </c>
      <c r="I5092" s="17"/>
      <c r="J5092" s="17" t="s">
        <v>10510</v>
      </c>
      <c r="K5092" s="17"/>
      <c r="L5092" s="17" t="s">
        <v>10511</v>
      </c>
      <c r="M5092" s="17"/>
      <c r="N5092" s="17" t="s">
        <v>10512</v>
      </c>
      <c r="O5092" s="17"/>
      <c r="P5092" s="17" t="s">
        <v>10667</v>
      </c>
      <c r="Q5092" s="17"/>
      <c r="R5092" s="25" t="str">
        <f>HYPERLINK("https://ictv.global/taxonomy/taxondetails?taxnode_id=202303719","Versovirus VfO3K6")</f>
        <v>Versovirus VfO3K6</v>
      </c>
      <c r="S5092" s="18" t="s">
        <v>8141</v>
      </c>
      <c r="T5092" s="18" t="s">
        <v>10673</v>
      </c>
      <c r="U5092" s="18" t="s">
        <v>10674</v>
      </c>
      <c r="V5092" s="18"/>
      <c r="W5092" s="18" t="s">
        <v>48777</v>
      </c>
      <c r="X5092" s="18" t="s">
        <v>42</v>
      </c>
      <c r="Y5092" s="18" t="s">
        <v>10517</v>
      </c>
      <c r="Z5092" s="18" t="s">
        <v>697</v>
      </c>
      <c r="AA5092" s="21" t="str">
        <f>HYPERLINK("https://www.ncbi.nlm.nih.gov/nuccore/AB043679","NCBI Nucleotide")</f>
        <v>NCBI Nucleotide</v>
      </c>
    </row>
    <row r="5093" spans="1:27" x14ac:dyDescent="0.35">
      <c r="A5093">
        <v>1027865</v>
      </c>
      <c r="B5093">
        <v>5045</v>
      </c>
      <c r="C5093">
        <v>1</v>
      </c>
      <c r="D5093" s="17" t="s">
        <v>10507</v>
      </c>
      <c r="E5093" s="17"/>
      <c r="F5093" s="17" t="s">
        <v>10508</v>
      </c>
      <c r="G5093" s="17"/>
      <c r="H5093" s="17" t="s">
        <v>10509</v>
      </c>
      <c r="I5093" s="17"/>
      <c r="J5093" s="17" t="s">
        <v>10510</v>
      </c>
      <c r="K5093" s="17"/>
      <c r="L5093" s="17" t="s">
        <v>10511</v>
      </c>
      <c r="M5093" s="17"/>
      <c r="N5093" s="17" t="s">
        <v>10512</v>
      </c>
      <c r="O5093" s="17"/>
      <c r="P5093" s="17" t="s">
        <v>10667</v>
      </c>
      <c r="Q5093" s="17"/>
      <c r="R5093" s="25" t="str">
        <f>HYPERLINK("https://ictv.global/taxonomy/taxondetails?taxnode_id=202319397","Versovirus Vipa10")</f>
        <v>Versovirus Vipa10</v>
      </c>
      <c r="S5093" s="18" t="s">
        <v>30</v>
      </c>
      <c r="T5093" s="18" t="s">
        <v>40089</v>
      </c>
      <c r="U5093" s="18"/>
      <c r="V5093" s="18"/>
      <c r="W5093" s="18" t="s">
        <v>48592</v>
      </c>
      <c r="X5093" s="18" t="s">
        <v>42</v>
      </c>
      <c r="Y5093" s="18" t="s">
        <v>12266</v>
      </c>
      <c r="Z5093" s="18" t="s">
        <v>697</v>
      </c>
      <c r="AA5093" s="21" t="str">
        <f>HYPERLINK("https://www.ncbi.nlm.nih.gov/nuccore/MT188666","NCBI Nucleotide")</f>
        <v>NCBI Nucleotide</v>
      </c>
    </row>
    <row r="5094" spans="1:27" x14ac:dyDescent="0.35">
      <c r="A5094">
        <v>1027866</v>
      </c>
      <c r="B5094">
        <v>5046</v>
      </c>
      <c r="C5094">
        <v>1</v>
      </c>
      <c r="D5094" s="17" t="s">
        <v>10507</v>
      </c>
      <c r="E5094" s="17"/>
      <c r="F5094" s="17" t="s">
        <v>10508</v>
      </c>
      <c r="G5094" s="17"/>
      <c r="H5094" s="17" t="s">
        <v>10509</v>
      </c>
      <c r="I5094" s="17"/>
      <c r="J5094" s="17" t="s">
        <v>10510</v>
      </c>
      <c r="K5094" s="17"/>
      <c r="L5094" s="17" t="s">
        <v>10511</v>
      </c>
      <c r="M5094" s="17"/>
      <c r="N5094" s="17" t="s">
        <v>10512</v>
      </c>
      <c r="O5094" s="17"/>
      <c r="P5094" s="17" t="s">
        <v>10667</v>
      </c>
      <c r="Q5094" s="17"/>
      <c r="R5094" s="25" t="str">
        <f>HYPERLINK("https://ictv.global/taxonomy/taxondetails?taxnode_id=202319395","Versovirus Vipa26")</f>
        <v>Versovirus Vipa26</v>
      </c>
      <c r="S5094" s="18" t="s">
        <v>30</v>
      </c>
      <c r="T5094" s="18" t="s">
        <v>40090</v>
      </c>
      <c r="U5094" s="18"/>
      <c r="V5094" s="18"/>
      <c r="W5094" s="18" t="s">
        <v>48593</v>
      </c>
      <c r="X5094" s="18" t="s">
        <v>42</v>
      </c>
      <c r="Y5094" s="18" t="s">
        <v>12266</v>
      </c>
      <c r="Z5094" s="18" t="s">
        <v>697</v>
      </c>
      <c r="AA5094" s="21" t="str">
        <f>HYPERLINK("https://www.ncbi.nlm.nih.gov/nuccore/MT188662","NCBI Nucleotide")</f>
        <v>NCBI Nucleotide</v>
      </c>
    </row>
    <row r="5095" spans="1:27" x14ac:dyDescent="0.35">
      <c r="A5095">
        <v>1027867</v>
      </c>
      <c r="B5095">
        <v>5047</v>
      </c>
      <c r="C5095">
        <v>1</v>
      </c>
      <c r="D5095" s="17" t="s">
        <v>10507</v>
      </c>
      <c r="E5095" s="17"/>
      <c r="F5095" s="17" t="s">
        <v>10508</v>
      </c>
      <c r="G5095" s="17"/>
      <c r="H5095" s="17" t="s">
        <v>10509</v>
      </c>
      <c r="I5095" s="17"/>
      <c r="J5095" s="17" t="s">
        <v>10510</v>
      </c>
      <c r="K5095" s="17"/>
      <c r="L5095" s="17" t="s">
        <v>10511</v>
      </c>
      <c r="M5095" s="17"/>
      <c r="N5095" s="17" t="s">
        <v>10512</v>
      </c>
      <c r="O5095" s="17"/>
      <c r="P5095" s="17" t="s">
        <v>10667</v>
      </c>
      <c r="Q5095" s="17"/>
      <c r="R5095" s="25" t="str">
        <f>HYPERLINK("https://ictv.global/taxonomy/taxondetails?taxnode_id=202319396","Versovirus Vipa36")</f>
        <v>Versovirus Vipa36</v>
      </c>
      <c r="S5095" s="18" t="s">
        <v>30</v>
      </c>
      <c r="T5095" s="18" t="s">
        <v>40091</v>
      </c>
      <c r="U5095" s="18"/>
      <c r="V5095" s="18"/>
      <c r="W5095" s="18" t="s">
        <v>48594</v>
      </c>
      <c r="X5095" s="18" t="s">
        <v>42</v>
      </c>
      <c r="Y5095" s="18" t="s">
        <v>12266</v>
      </c>
      <c r="Z5095" s="18" t="s">
        <v>697</v>
      </c>
      <c r="AA5095" s="21" t="str">
        <f>HYPERLINK("https://www.ncbi.nlm.nih.gov/nuccore/MT188663","NCBI Nucleotide")</f>
        <v>NCBI Nucleotide</v>
      </c>
    </row>
    <row r="5096" spans="1:27" x14ac:dyDescent="0.35">
      <c r="A5096">
        <v>1027869</v>
      </c>
      <c r="B5096">
        <v>5048</v>
      </c>
      <c r="C5096">
        <v>1</v>
      </c>
      <c r="D5096" s="17" t="s">
        <v>10507</v>
      </c>
      <c r="E5096" s="17"/>
      <c r="F5096" s="17" t="s">
        <v>10508</v>
      </c>
      <c r="G5096" s="17"/>
      <c r="H5096" s="17" t="s">
        <v>10509</v>
      </c>
      <c r="I5096" s="17"/>
      <c r="J5096" s="17" t="s">
        <v>10510</v>
      </c>
      <c r="K5096" s="17"/>
      <c r="L5096" s="17" t="s">
        <v>10511</v>
      </c>
      <c r="M5096" s="17"/>
      <c r="N5096" s="17" t="s">
        <v>10512</v>
      </c>
      <c r="O5096" s="17"/>
      <c r="P5096" s="17" t="s">
        <v>10667</v>
      </c>
      <c r="Q5096" s="17"/>
      <c r="R5096" s="25" t="str">
        <f>HYPERLINK("https://ictv.global/taxonomy/taxondetails?taxnode_id=202319398","Versovirus Vipa71")</f>
        <v>Versovirus Vipa71</v>
      </c>
      <c r="S5096" s="18" t="s">
        <v>30</v>
      </c>
      <c r="T5096" s="18" t="s">
        <v>40092</v>
      </c>
      <c r="U5096" s="18"/>
      <c r="V5096" s="18"/>
      <c r="W5096" s="18" t="s">
        <v>48595</v>
      </c>
      <c r="X5096" s="18" t="s">
        <v>42</v>
      </c>
      <c r="Y5096" s="18" t="s">
        <v>12266</v>
      </c>
      <c r="Z5096" s="18" t="s">
        <v>697</v>
      </c>
      <c r="AA5096" s="21" t="str">
        <f>HYPERLINK("https://www.ncbi.nlm.nih.gov/nuccore/MT193890","NCBI Nucleotide")</f>
        <v>NCBI Nucleotide</v>
      </c>
    </row>
    <row r="5097" spans="1:27" x14ac:dyDescent="0.35">
      <c r="A5097">
        <v>1027868</v>
      </c>
      <c r="B5097">
        <v>5049</v>
      </c>
      <c r="C5097">
        <v>1</v>
      </c>
      <c r="D5097" s="17" t="s">
        <v>10507</v>
      </c>
      <c r="E5097" s="17"/>
      <c r="F5097" s="17" t="s">
        <v>10508</v>
      </c>
      <c r="G5097" s="17"/>
      <c r="H5097" s="17" t="s">
        <v>10509</v>
      </c>
      <c r="I5097" s="17"/>
      <c r="J5097" s="17" t="s">
        <v>10510</v>
      </c>
      <c r="K5097" s="17"/>
      <c r="L5097" s="17" t="s">
        <v>10511</v>
      </c>
      <c r="M5097" s="17"/>
      <c r="N5097" s="17" t="s">
        <v>10512</v>
      </c>
      <c r="O5097" s="17"/>
      <c r="P5097" s="17" t="s">
        <v>10667</v>
      </c>
      <c r="Q5097" s="17"/>
      <c r="R5097" s="25" t="str">
        <f>HYPERLINK("https://ictv.global/taxonomy/taxondetails?taxnode_id=202319394","Versovirus Vipa4291")</f>
        <v>Versovirus Vipa4291</v>
      </c>
      <c r="S5097" s="18" t="s">
        <v>30</v>
      </c>
      <c r="T5097" s="18" t="s">
        <v>40093</v>
      </c>
      <c r="U5097" s="18"/>
      <c r="V5097" s="18"/>
      <c r="W5097" s="18" t="s">
        <v>48596</v>
      </c>
      <c r="X5097" s="18" t="s">
        <v>42</v>
      </c>
      <c r="Y5097" s="18" t="s">
        <v>12266</v>
      </c>
      <c r="Z5097" s="18" t="s">
        <v>697</v>
      </c>
      <c r="AA5097" s="21" t="str">
        <f>HYPERLINK("https://www.ncbi.nlm.nih.gov/nuccore/MT188665","NCBI Nucleotide")</f>
        <v>NCBI Nucleotide</v>
      </c>
    </row>
    <row r="5098" spans="1:27" x14ac:dyDescent="0.35">
      <c r="A5098">
        <v>1027870</v>
      </c>
      <c r="B5098">
        <v>5050</v>
      </c>
      <c r="C5098">
        <v>1</v>
      </c>
      <c r="D5098" s="17" t="s">
        <v>10507</v>
      </c>
      <c r="E5098" s="17"/>
      <c r="F5098" s="17" t="s">
        <v>10508</v>
      </c>
      <c r="G5098" s="17"/>
      <c r="H5098" s="17" t="s">
        <v>10509</v>
      </c>
      <c r="I5098" s="17"/>
      <c r="J5098" s="17" t="s">
        <v>10510</v>
      </c>
      <c r="K5098" s="17"/>
      <c r="L5098" s="17" t="s">
        <v>10511</v>
      </c>
      <c r="M5098" s="17"/>
      <c r="N5098" s="17" t="s">
        <v>10512</v>
      </c>
      <c r="O5098" s="17"/>
      <c r="P5098" s="17" t="s">
        <v>10667</v>
      </c>
      <c r="Q5098" s="17"/>
      <c r="R5098" s="25" t="str">
        <f>HYPERLINK("https://ictv.global/taxonomy/taxondetails?taxnode_id=202319393","Versovirus VipaK")</f>
        <v>Versovirus VipaK</v>
      </c>
      <c r="S5098" s="18" t="s">
        <v>30</v>
      </c>
      <c r="T5098" s="18" t="s">
        <v>40094</v>
      </c>
      <c r="U5098" s="18"/>
      <c r="V5098" s="18"/>
      <c r="W5098" s="18" t="s">
        <v>48597</v>
      </c>
      <c r="X5098" s="18" t="s">
        <v>42</v>
      </c>
      <c r="Y5098" s="18" t="s">
        <v>12266</v>
      </c>
      <c r="Z5098" s="18" t="s">
        <v>697</v>
      </c>
      <c r="AA5098" s="21" t="str">
        <f>HYPERLINK("https://www.ncbi.nlm.nih.gov/nuccore/MT188664","NCBI Nucleotide")</f>
        <v>NCBI Nucleotide</v>
      </c>
    </row>
    <row r="5099" spans="1:27" x14ac:dyDescent="0.35">
      <c r="A5099">
        <v>1006819</v>
      </c>
      <c r="B5099">
        <v>5051</v>
      </c>
      <c r="C5099">
        <v>1</v>
      </c>
      <c r="D5099" s="17" t="s">
        <v>10507</v>
      </c>
      <c r="E5099" s="17"/>
      <c r="F5099" s="17" t="s">
        <v>10508</v>
      </c>
      <c r="G5099" s="17"/>
      <c r="H5099" s="17" t="s">
        <v>10509</v>
      </c>
      <c r="I5099" s="17"/>
      <c r="J5099" s="17" t="s">
        <v>10510</v>
      </c>
      <c r="K5099" s="17"/>
      <c r="L5099" s="17" t="s">
        <v>10511</v>
      </c>
      <c r="M5099" s="17"/>
      <c r="N5099" s="17" t="s">
        <v>10512</v>
      </c>
      <c r="O5099" s="17"/>
      <c r="P5099" s="17" t="s">
        <v>10675</v>
      </c>
      <c r="Q5099" s="17"/>
      <c r="R5099" s="25" t="str">
        <f>HYPERLINK("https://ictv.global/taxonomy/taxondetails?taxnode_id=202303717","Vicialiavirus VCY")</f>
        <v>Vicialiavirus VCY</v>
      </c>
      <c r="S5099" s="18" t="s">
        <v>30</v>
      </c>
      <c r="T5099" s="18" t="s">
        <v>10676</v>
      </c>
      <c r="U5099" s="18" t="s">
        <v>10677</v>
      </c>
      <c r="V5099" s="18"/>
      <c r="W5099" s="18" t="s">
        <v>10678</v>
      </c>
      <c r="X5099" s="18" t="s">
        <v>42</v>
      </c>
      <c r="Y5099" s="18" t="s">
        <v>12266</v>
      </c>
      <c r="Z5099" s="18" t="s">
        <v>697</v>
      </c>
      <c r="AA5099" s="21" t="str">
        <f>HYPERLINK("https://www.ncbi.nlm.nih.gov/nuccore/JN848801","NCBI Nucleotide")</f>
        <v>NCBI Nucleotide</v>
      </c>
    </row>
    <row r="5100" spans="1:27" x14ac:dyDescent="0.35">
      <c r="A5100">
        <v>1027863</v>
      </c>
      <c r="B5100">
        <v>5052</v>
      </c>
      <c r="C5100">
        <v>1</v>
      </c>
      <c r="D5100" s="17" t="s">
        <v>10507</v>
      </c>
      <c r="E5100" s="17"/>
      <c r="F5100" s="17" t="s">
        <v>10508</v>
      </c>
      <c r="G5100" s="17"/>
      <c r="H5100" s="17" t="s">
        <v>10509</v>
      </c>
      <c r="I5100" s="17"/>
      <c r="J5100" s="17" t="s">
        <v>10510</v>
      </c>
      <c r="K5100" s="17"/>
      <c r="L5100" s="17" t="s">
        <v>10511</v>
      </c>
      <c r="M5100" s="17"/>
      <c r="N5100" s="17" t="s">
        <v>10512</v>
      </c>
      <c r="O5100" s="17"/>
      <c r="P5100" s="17" t="s">
        <v>10679</v>
      </c>
      <c r="Q5100" s="17"/>
      <c r="R5100" s="25" t="str">
        <f>HYPERLINK("https://ictv.global/taxonomy/taxondetails?taxnode_id=202319392","Villovirus FR")</f>
        <v>Villovirus FR</v>
      </c>
      <c r="S5100" s="18" t="s">
        <v>30</v>
      </c>
      <c r="T5100" s="18" t="s">
        <v>40095</v>
      </c>
      <c r="U5100" s="18"/>
      <c r="V5100" s="18"/>
      <c r="W5100" s="18" t="s">
        <v>48598</v>
      </c>
      <c r="X5100" s="18" t="s">
        <v>42</v>
      </c>
      <c r="Y5100" s="18" t="s">
        <v>12266</v>
      </c>
      <c r="Z5100" s="18" t="s">
        <v>697</v>
      </c>
      <c r="AA5100" s="21" t="str">
        <f>HYPERLINK("https://www.ncbi.nlm.nih.gov/nuccore/OP628074","NCBI Nucleotide")</f>
        <v>NCBI Nucleotide</v>
      </c>
    </row>
    <row r="5101" spans="1:27" x14ac:dyDescent="0.35">
      <c r="A5101">
        <v>1027864</v>
      </c>
      <c r="B5101">
        <v>5053</v>
      </c>
      <c r="C5101">
        <v>1</v>
      </c>
      <c r="D5101" s="17" t="s">
        <v>10507</v>
      </c>
      <c r="E5101" s="17"/>
      <c r="F5101" s="17" t="s">
        <v>10508</v>
      </c>
      <c r="G5101" s="17"/>
      <c r="H5101" s="17" t="s">
        <v>10509</v>
      </c>
      <c r="I5101" s="17"/>
      <c r="J5101" s="17" t="s">
        <v>10510</v>
      </c>
      <c r="K5101" s="17"/>
      <c r="L5101" s="17" t="s">
        <v>10511</v>
      </c>
      <c r="M5101" s="17"/>
      <c r="N5101" s="17" t="s">
        <v>10512</v>
      </c>
      <c r="O5101" s="17"/>
      <c r="P5101" s="17" t="s">
        <v>10679</v>
      </c>
      <c r="Q5101" s="17"/>
      <c r="R5101" s="25" t="str">
        <f>HYPERLINK("https://ictv.global/taxonomy/taxondetails?taxnode_id=202319391","Villovirus V5")</f>
        <v>Villovirus V5</v>
      </c>
      <c r="S5101" s="18" t="s">
        <v>30</v>
      </c>
      <c r="T5101" s="18" t="s">
        <v>40096</v>
      </c>
      <c r="U5101" s="18"/>
      <c r="V5101" s="18"/>
      <c r="W5101" s="18" t="s">
        <v>48599</v>
      </c>
      <c r="X5101" s="18" t="s">
        <v>42</v>
      </c>
      <c r="Y5101" s="18" t="s">
        <v>10517</v>
      </c>
      <c r="Z5101" s="18" t="s">
        <v>697</v>
      </c>
      <c r="AA5101" s="21" t="str">
        <f>HYPERLINK("https://www.ncbi.nlm.nih.gov/nuccore/OL512807","NCBI Nucleotide")</f>
        <v>NCBI Nucleotide</v>
      </c>
    </row>
    <row r="5102" spans="1:27" x14ac:dyDescent="0.35">
      <c r="A5102">
        <v>1006820</v>
      </c>
      <c r="B5102">
        <v>5054</v>
      </c>
      <c r="C5102">
        <v>1</v>
      </c>
      <c r="D5102" s="17" t="s">
        <v>10507</v>
      </c>
      <c r="E5102" s="17"/>
      <c r="F5102" s="17" t="s">
        <v>10508</v>
      </c>
      <c r="G5102" s="17"/>
      <c r="H5102" s="17" t="s">
        <v>10509</v>
      </c>
      <c r="I5102" s="17"/>
      <c r="J5102" s="17" t="s">
        <v>10510</v>
      </c>
      <c r="K5102" s="17"/>
      <c r="L5102" s="17" t="s">
        <v>10511</v>
      </c>
      <c r="M5102" s="17"/>
      <c r="N5102" s="17" t="s">
        <v>10512</v>
      </c>
      <c r="O5102" s="17"/>
      <c r="P5102" s="17" t="s">
        <v>10679</v>
      </c>
      <c r="Q5102" s="17"/>
      <c r="R5102" s="25" t="str">
        <f>HYPERLINK("https://ictv.global/taxonomy/taxondetails?taxnode_id=202312615","Villovirus VALG8")</f>
        <v>Villovirus VALG8</v>
      </c>
      <c r="S5102" s="18" t="s">
        <v>30</v>
      </c>
      <c r="T5102" s="18" t="s">
        <v>10680</v>
      </c>
      <c r="U5102" s="18"/>
      <c r="V5102" s="18"/>
      <c r="W5102" s="18" t="s">
        <v>10681</v>
      </c>
      <c r="X5102" s="18" t="s">
        <v>42</v>
      </c>
      <c r="Y5102" s="18" t="s">
        <v>12266</v>
      </c>
      <c r="Z5102" s="18" t="s">
        <v>697</v>
      </c>
      <c r="AA5102" s="21" t="str">
        <f>HYPERLINK("https://www.ncbi.nlm.nih.gov/nuccore/MN690600","NCBI Nucleotide")</f>
        <v>NCBI Nucleotide</v>
      </c>
    </row>
    <row r="5103" spans="1:27" x14ac:dyDescent="0.35">
      <c r="A5103">
        <v>1006821</v>
      </c>
      <c r="B5103">
        <v>5055</v>
      </c>
      <c r="C5103">
        <v>1</v>
      </c>
      <c r="D5103" s="17" t="s">
        <v>10507</v>
      </c>
      <c r="E5103" s="17"/>
      <c r="F5103" s="17" t="s">
        <v>10508</v>
      </c>
      <c r="G5103" s="17"/>
      <c r="H5103" s="17" t="s">
        <v>10509</v>
      </c>
      <c r="I5103" s="17"/>
      <c r="J5103" s="17" t="s">
        <v>10510</v>
      </c>
      <c r="K5103" s="17"/>
      <c r="L5103" s="17" t="s">
        <v>10511</v>
      </c>
      <c r="M5103" s="17"/>
      <c r="N5103" s="17" t="s">
        <v>10512</v>
      </c>
      <c r="O5103" s="17"/>
      <c r="P5103" s="17" t="s">
        <v>10679</v>
      </c>
      <c r="Q5103" s="17"/>
      <c r="R5103" s="25" t="str">
        <f>HYPERLINK("https://ictv.global/taxonomy/taxondetails?taxnode_id=202303718","Villovirus Vf33")</f>
        <v>Villovirus Vf33</v>
      </c>
      <c r="S5103" s="18" t="s">
        <v>30</v>
      </c>
      <c r="T5103" s="18" t="s">
        <v>10682</v>
      </c>
      <c r="U5103" s="18" t="s">
        <v>10683</v>
      </c>
      <c r="V5103" s="18"/>
      <c r="W5103" s="18" t="s">
        <v>10684</v>
      </c>
      <c r="X5103" s="18" t="s">
        <v>42</v>
      </c>
      <c r="Y5103" s="18" t="s">
        <v>10517</v>
      </c>
      <c r="Z5103" s="18" t="s">
        <v>697</v>
      </c>
      <c r="AA5103" s="21" t="str">
        <f>HYPERLINK("https://www.ncbi.nlm.nih.gov/nuccore/AB012573","NCBI Nucleotide")</f>
        <v>NCBI Nucleotide</v>
      </c>
    </row>
    <row r="5104" spans="1:27" x14ac:dyDescent="0.35">
      <c r="A5104">
        <v>1012216</v>
      </c>
      <c r="B5104">
        <v>5055</v>
      </c>
      <c r="C5104">
        <v>2</v>
      </c>
      <c r="D5104" s="17" t="s">
        <v>10507</v>
      </c>
      <c r="E5104" s="17"/>
      <c r="F5104" s="17" t="s">
        <v>10508</v>
      </c>
      <c r="G5104" s="17"/>
      <c r="H5104" s="17" t="s">
        <v>10509</v>
      </c>
      <c r="I5104" s="17"/>
      <c r="J5104" s="17" t="s">
        <v>10510</v>
      </c>
      <c r="K5104" s="17"/>
      <c r="L5104" s="17" t="s">
        <v>10511</v>
      </c>
      <c r="M5104" s="17"/>
      <c r="N5104" s="17" t="s">
        <v>10512</v>
      </c>
      <c r="O5104" s="17"/>
      <c r="P5104" s="17" t="s">
        <v>10679</v>
      </c>
      <c r="Q5104" s="17"/>
      <c r="R5104" s="25" t="str">
        <f>HYPERLINK("https://ictv.global/taxonomy/taxondetails?taxnode_id=202303718","Villovirus Vf33")</f>
        <v>Villovirus Vf33</v>
      </c>
      <c r="S5104" s="18" t="s">
        <v>8141</v>
      </c>
      <c r="T5104" s="18" t="s">
        <v>10685</v>
      </c>
      <c r="U5104" s="18" t="s">
        <v>10686</v>
      </c>
      <c r="V5104" s="18"/>
      <c r="W5104" s="18" t="s">
        <v>48778</v>
      </c>
      <c r="X5104" s="18" t="s">
        <v>42</v>
      </c>
      <c r="Y5104" s="18" t="s">
        <v>10517</v>
      </c>
      <c r="Z5104" s="18" t="s">
        <v>697</v>
      </c>
      <c r="AA5104" s="21" t="str">
        <f>HYPERLINK("https://www.ncbi.nlm.nih.gov/nuccore/AB012574","NCBI Nucleotide")</f>
        <v>NCBI Nucleotide</v>
      </c>
    </row>
    <row r="5105" spans="1:27" x14ac:dyDescent="0.35">
      <c r="A5105">
        <v>1006822</v>
      </c>
      <c r="B5105">
        <v>5056</v>
      </c>
      <c r="C5105">
        <v>1</v>
      </c>
      <c r="D5105" s="17" t="s">
        <v>10507</v>
      </c>
      <c r="E5105" s="17"/>
      <c r="F5105" s="17" t="s">
        <v>10508</v>
      </c>
      <c r="G5105" s="17"/>
      <c r="H5105" s="17" t="s">
        <v>10509</v>
      </c>
      <c r="I5105" s="17"/>
      <c r="J5105" s="17" t="s">
        <v>10510</v>
      </c>
      <c r="K5105" s="17"/>
      <c r="L5105" s="17" t="s">
        <v>10511</v>
      </c>
      <c r="M5105" s="17"/>
      <c r="N5105" s="17" t="s">
        <v>10512</v>
      </c>
      <c r="O5105" s="17"/>
      <c r="P5105" s="17" t="s">
        <v>10687</v>
      </c>
      <c r="Q5105" s="17"/>
      <c r="R5105" s="25" t="str">
        <f>HYPERLINK("https://ictv.global/taxonomy/taxondetails?taxnode_id=202312617","Xylivirus XacF13")</f>
        <v>Xylivirus XacF13</v>
      </c>
      <c r="S5105" s="18" t="s">
        <v>30</v>
      </c>
      <c r="T5105" s="18" t="s">
        <v>10688</v>
      </c>
      <c r="U5105" s="18"/>
      <c r="V5105" s="18"/>
      <c r="W5105" s="18" t="s">
        <v>10689</v>
      </c>
      <c r="X5105" s="18" t="s">
        <v>42</v>
      </c>
      <c r="Y5105" s="18" t="s">
        <v>12266</v>
      </c>
      <c r="Z5105" s="18" t="s">
        <v>697</v>
      </c>
      <c r="AA5105" s="21" t="str">
        <f>HYPERLINK("https://www.ncbi.nlm.nih.gov/nuccore/MN335248","NCBI Nucleotide")</f>
        <v>NCBI Nucleotide</v>
      </c>
    </row>
    <row r="5106" spans="1:27" x14ac:dyDescent="0.35">
      <c r="A5106">
        <v>1006823</v>
      </c>
      <c r="B5106">
        <v>5057</v>
      </c>
      <c r="C5106">
        <v>1</v>
      </c>
      <c r="D5106" s="17" t="s">
        <v>10507</v>
      </c>
      <c r="E5106" s="17"/>
      <c r="F5106" s="17" t="s">
        <v>10508</v>
      </c>
      <c r="G5106" s="17"/>
      <c r="H5106" s="17" t="s">
        <v>10509</v>
      </c>
      <c r="I5106" s="17"/>
      <c r="J5106" s="17" t="s">
        <v>10510</v>
      </c>
      <c r="K5106" s="17"/>
      <c r="L5106" s="17" t="s">
        <v>10511</v>
      </c>
      <c r="M5106" s="17"/>
      <c r="N5106" s="17" t="s">
        <v>10512</v>
      </c>
      <c r="O5106" s="17"/>
      <c r="P5106" s="17" t="s">
        <v>10687</v>
      </c>
      <c r="Q5106" s="17"/>
      <c r="R5106" s="25" t="str">
        <f>HYPERLINK("https://ictv.global/taxonomy/taxondetails?taxnode_id=202306876","Xylivirus Xf109")</f>
        <v>Xylivirus Xf109</v>
      </c>
      <c r="S5106" s="18" t="s">
        <v>30</v>
      </c>
      <c r="T5106" s="18" t="s">
        <v>10690</v>
      </c>
      <c r="U5106" s="18" t="s">
        <v>10691</v>
      </c>
      <c r="V5106" s="18"/>
      <c r="W5106" s="18" t="s">
        <v>10692</v>
      </c>
      <c r="X5106" s="18" t="s">
        <v>42</v>
      </c>
      <c r="Y5106" s="18" t="s">
        <v>12266</v>
      </c>
      <c r="Z5106" s="18" t="s">
        <v>697</v>
      </c>
      <c r="AA5106" s="21" t="str">
        <f>HYPERLINK("https://www.ncbi.nlm.nih.gov/nuccore/KX181651","NCBI Nucleotide")</f>
        <v>NCBI Nucleotide</v>
      </c>
    </row>
    <row r="5107" spans="1:27" x14ac:dyDescent="0.35">
      <c r="A5107">
        <v>1012217</v>
      </c>
      <c r="B5107">
        <v>5057</v>
      </c>
      <c r="C5107">
        <v>2</v>
      </c>
      <c r="D5107" s="17" t="s">
        <v>10507</v>
      </c>
      <c r="E5107" s="17"/>
      <c r="F5107" s="17" t="s">
        <v>10508</v>
      </c>
      <c r="G5107" s="17"/>
      <c r="H5107" s="17" t="s">
        <v>10509</v>
      </c>
      <c r="I5107" s="17"/>
      <c r="J5107" s="17" t="s">
        <v>10510</v>
      </c>
      <c r="K5107" s="17"/>
      <c r="L5107" s="17" t="s">
        <v>10511</v>
      </c>
      <c r="M5107" s="17"/>
      <c r="N5107" s="17" t="s">
        <v>10512</v>
      </c>
      <c r="O5107" s="17"/>
      <c r="P5107" s="17" t="s">
        <v>10687</v>
      </c>
      <c r="Q5107" s="17"/>
      <c r="R5107" s="25" t="str">
        <f>HYPERLINK("https://ictv.global/taxonomy/taxondetails?taxnode_id=202306876","Xylivirus Xf109")</f>
        <v>Xylivirus Xf109</v>
      </c>
      <c r="S5107" s="18" t="s">
        <v>8141</v>
      </c>
      <c r="T5107" s="18" t="s">
        <v>10693</v>
      </c>
      <c r="U5107" s="18" t="s">
        <v>10694</v>
      </c>
      <c r="V5107" s="18"/>
      <c r="W5107" s="18" t="s">
        <v>48779</v>
      </c>
      <c r="X5107" s="18" t="s">
        <v>42</v>
      </c>
      <c r="Y5107" s="18" t="s">
        <v>12266</v>
      </c>
      <c r="Z5107" s="18" t="s">
        <v>697</v>
      </c>
      <c r="AA5107" s="21" t="str">
        <f>HYPERLINK("https://www.ncbi.nlm.nih.gov/nuccore/KY853667","NCBI Nucleotide")</f>
        <v>NCBI Nucleotide</v>
      </c>
    </row>
    <row r="5108" spans="1:27" x14ac:dyDescent="0.35">
      <c r="A5108">
        <v>1006824</v>
      </c>
      <c r="B5108">
        <v>5058</v>
      </c>
      <c r="C5108">
        <v>1</v>
      </c>
      <c r="D5108" s="17" t="s">
        <v>10507</v>
      </c>
      <c r="E5108" s="17"/>
      <c r="F5108" s="17" t="s">
        <v>10508</v>
      </c>
      <c r="G5108" s="17"/>
      <c r="H5108" s="17" t="s">
        <v>10509</v>
      </c>
      <c r="I5108" s="17"/>
      <c r="J5108" s="17" t="s">
        <v>10510</v>
      </c>
      <c r="K5108" s="17"/>
      <c r="L5108" s="17" t="s">
        <v>10511</v>
      </c>
      <c r="M5108" s="17"/>
      <c r="N5108" s="17" t="s">
        <v>10695</v>
      </c>
      <c r="O5108" s="17"/>
      <c r="P5108" s="17" t="s">
        <v>10696</v>
      </c>
      <c r="Q5108" s="17"/>
      <c r="R5108" s="25" t="str">
        <f>HYPERLINK("https://ictv.global/taxonomy/taxondetails?taxnode_id=202303705","Bifilivirus B5")</f>
        <v>Bifilivirus B5</v>
      </c>
      <c r="S5108" s="18" t="s">
        <v>30</v>
      </c>
      <c r="T5108" s="18" t="s">
        <v>10697</v>
      </c>
      <c r="U5108" s="18"/>
      <c r="V5108" s="18"/>
      <c r="W5108" s="18" t="s">
        <v>10698</v>
      </c>
      <c r="X5108" s="18" t="s">
        <v>42</v>
      </c>
      <c r="Y5108" s="18" t="s">
        <v>10517</v>
      </c>
      <c r="Z5108" s="18" t="s">
        <v>697</v>
      </c>
      <c r="AA5108" s="21" t="str">
        <f>HYPERLINK("https://www.ncbi.nlm.nih.gov/nuccore/AF428260","NCBI Nucleotide")</f>
        <v>NCBI Nucleotide</v>
      </c>
    </row>
    <row r="5109" spans="1:27" x14ac:dyDescent="0.35">
      <c r="A5109">
        <v>1006825</v>
      </c>
      <c r="B5109">
        <v>5059</v>
      </c>
      <c r="C5109">
        <v>1</v>
      </c>
      <c r="D5109" s="17" t="s">
        <v>10507</v>
      </c>
      <c r="E5109" s="17"/>
      <c r="F5109" s="17" t="s">
        <v>10508</v>
      </c>
      <c r="G5109" s="17"/>
      <c r="H5109" s="17" t="s">
        <v>10509</v>
      </c>
      <c r="I5109" s="17"/>
      <c r="J5109" s="17" t="s">
        <v>10510</v>
      </c>
      <c r="K5109" s="17"/>
      <c r="L5109" s="17" t="s">
        <v>10511</v>
      </c>
      <c r="M5109" s="17"/>
      <c r="N5109" s="17" t="s">
        <v>10695</v>
      </c>
      <c r="O5109" s="17"/>
      <c r="P5109" s="17" t="s">
        <v>10699</v>
      </c>
      <c r="Q5109" s="17"/>
      <c r="R5109" s="25" t="str">
        <f>HYPERLINK("https://ictv.global/taxonomy/taxondetails?taxnode_id=202306877","Thomixvirus OH3")</f>
        <v>Thomixvirus OH3</v>
      </c>
      <c r="S5109" s="18" t="s">
        <v>30</v>
      </c>
      <c r="T5109" s="18" t="s">
        <v>10700</v>
      </c>
      <c r="U5109" s="18"/>
      <c r="V5109" s="18"/>
      <c r="W5109" s="18" t="s">
        <v>10701</v>
      </c>
      <c r="X5109" s="18" t="s">
        <v>42</v>
      </c>
      <c r="Y5109" s="18" t="s">
        <v>10517</v>
      </c>
      <c r="Z5109" s="18" t="s">
        <v>697</v>
      </c>
      <c r="AA5109" s="21" t="str">
        <f>HYPERLINK("https://www.ncbi.nlm.nih.gov/nuccore/LC035386","NCBI Nucleotide")</f>
        <v>NCBI Nucleotide</v>
      </c>
    </row>
    <row r="5110" spans="1:27" x14ac:dyDescent="0.35">
      <c r="A5110">
        <v>1006826</v>
      </c>
      <c r="B5110">
        <v>5060</v>
      </c>
      <c r="C5110">
        <v>1</v>
      </c>
      <c r="D5110" s="17" t="s">
        <v>10507</v>
      </c>
      <c r="E5110" s="17"/>
      <c r="F5110" s="17" t="s">
        <v>10508</v>
      </c>
      <c r="G5110" s="17"/>
      <c r="H5110" s="17" t="s">
        <v>10509</v>
      </c>
      <c r="I5110" s="17"/>
      <c r="J5110" s="17" t="s">
        <v>10510</v>
      </c>
      <c r="K5110" s="17"/>
      <c r="L5110" s="17" t="s">
        <v>10511</v>
      </c>
      <c r="M5110" s="17"/>
      <c r="N5110" s="17" t="s">
        <v>10702</v>
      </c>
      <c r="O5110" s="17"/>
      <c r="P5110" s="17" t="s">
        <v>10703</v>
      </c>
      <c r="Q5110" s="17"/>
      <c r="R5110" s="25" t="str">
        <f>HYPERLINK("https://ictv.global/taxonomy/taxondetails?taxnode_id=202303699","Plectrovirus L51")</f>
        <v>Plectrovirus L51</v>
      </c>
      <c r="S5110" s="18" t="s">
        <v>30</v>
      </c>
      <c r="T5110" s="18" t="s">
        <v>10706</v>
      </c>
      <c r="U5110" s="18"/>
      <c r="V5110" s="18" t="s">
        <v>10704</v>
      </c>
      <c r="W5110" s="18" t="s">
        <v>10705</v>
      </c>
      <c r="X5110" s="18" t="s">
        <v>42</v>
      </c>
      <c r="Y5110" s="18" t="s">
        <v>10517</v>
      </c>
      <c r="Z5110" s="18" t="s">
        <v>697</v>
      </c>
      <c r="AA5110" s="21" t="str">
        <f>HYPERLINK("https://www.ncbi.nlm.nih.gov/nuccore/X58839","NCBI Nucleotide")</f>
        <v>NCBI Nucleotide</v>
      </c>
    </row>
    <row r="5111" spans="1:27" x14ac:dyDescent="0.35">
      <c r="A5111">
        <v>1012218</v>
      </c>
      <c r="B5111">
        <v>5060</v>
      </c>
      <c r="C5111">
        <v>2</v>
      </c>
      <c r="D5111" s="17" t="s">
        <v>10507</v>
      </c>
      <c r="E5111" s="17"/>
      <c r="F5111" s="17" t="s">
        <v>10508</v>
      </c>
      <c r="G5111" s="17"/>
      <c r="H5111" s="17" t="s">
        <v>10509</v>
      </c>
      <c r="I5111" s="17"/>
      <c r="J5111" s="17" t="s">
        <v>10510</v>
      </c>
      <c r="K5111" s="17"/>
      <c r="L5111" s="17" t="s">
        <v>10511</v>
      </c>
      <c r="M5111" s="17"/>
      <c r="N5111" s="17" t="s">
        <v>10702</v>
      </c>
      <c r="O5111" s="17"/>
      <c r="P5111" s="17" t="s">
        <v>10703</v>
      </c>
      <c r="Q5111" s="17"/>
      <c r="R5111" s="25" t="str">
        <f>HYPERLINK("https://ictv.global/taxonomy/taxondetails?taxnode_id=202303699","Plectrovirus L51")</f>
        <v>Plectrovirus L51</v>
      </c>
      <c r="S5111" s="18" t="s">
        <v>8141</v>
      </c>
      <c r="T5111" s="18" t="s">
        <v>10706</v>
      </c>
      <c r="U5111" s="18"/>
      <c r="V5111" s="18"/>
      <c r="W5111" s="18"/>
      <c r="X5111" s="18" t="s">
        <v>3311</v>
      </c>
      <c r="Y5111" s="18" t="s">
        <v>10517</v>
      </c>
      <c r="Z5111" s="18" t="s">
        <v>697</v>
      </c>
      <c r="AA5111" s="21"/>
    </row>
    <row r="5112" spans="1:27" x14ac:dyDescent="0.35">
      <c r="A5112">
        <v>1006827</v>
      </c>
      <c r="B5112">
        <v>5061</v>
      </c>
      <c r="C5112">
        <v>1</v>
      </c>
      <c r="D5112" s="17" t="s">
        <v>10507</v>
      </c>
      <c r="E5112" s="17"/>
      <c r="F5112" s="17" t="s">
        <v>10508</v>
      </c>
      <c r="G5112" s="17"/>
      <c r="H5112" s="17" t="s">
        <v>10509</v>
      </c>
      <c r="I5112" s="17"/>
      <c r="J5112" s="17" t="s">
        <v>10510</v>
      </c>
      <c r="K5112" s="17"/>
      <c r="L5112" s="17" t="s">
        <v>10511</v>
      </c>
      <c r="M5112" s="17"/>
      <c r="N5112" s="17" t="s">
        <v>10702</v>
      </c>
      <c r="O5112" s="17"/>
      <c r="P5112" s="17" t="s">
        <v>10707</v>
      </c>
      <c r="Q5112" s="17"/>
      <c r="R5112" s="25" t="str">
        <f>HYPERLINK("https://ictv.global/taxonomy/taxondetails?taxnode_id=202303710","Suturavirus SVTS2")</f>
        <v>Suturavirus SVTS2</v>
      </c>
      <c r="S5112" s="18" t="s">
        <v>30</v>
      </c>
      <c r="T5112" s="18" t="s">
        <v>10708</v>
      </c>
      <c r="U5112" s="18"/>
      <c r="V5112" s="18"/>
      <c r="W5112" s="18" t="s">
        <v>10709</v>
      </c>
      <c r="X5112" s="18" t="s">
        <v>42</v>
      </c>
      <c r="Y5112" s="18" t="s">
        <v>10517</v>
      </c>
      <c r="Z5112" s="18" t="s">
        <v>697</v>
      </c>
      <c r="AA5112" s="21" t="str">
        <f>HYPERLINK("https://www.ncbi.nlm.nih.gov/nuccore/AF133242","NCBI Nucleotide")</f>
        <v>NCBI Nucleotide</v>
      </c>
    </row>
    <row r="5113" spans="1:27" x14ac:dyDescent="0.35">
      <c r="A5113">
        <v>1006828</v>
      </c>
      <c r="B5113">
        <v>5062</v>
      </c>
      <c r="C5113">
        <v>1</v>
      </c>
      <c r="D5113" s="17" t="s">
        <v>10507</v>
      </c>
      <c r="E5113" s="17"/>
      <c r="F5113" s="17" t="s">
        <v>10508</v>
      </c>
      <c r="G5113" s="17"/>
      <c r="H5113" s="17" t="s">
        <v>10509</v>
      </c>
      <c r="I5113" s="17"/>
      <c r="J5113" s="17" t="s">
        <v>10510</v>
      </c>
      <c r="K5113" s="17"/>
      <c r="L5113" s="17" t="s">
        <v>10511</v>
      </c>
      <c r="M5113" s="17"/>
      <c r="N5113" s="17" t="s">
        <v>10702</v>
      </c>
      <c r="O5113" s="17"/>
      <c r="P5113" s="17" t="s">
        <v>10710</v>
      </c>
      <c r="Q5113" s="17"/>
      <c r="R5113" s="25" t="str">
        <f>HYPERLINK("https://ictv.global/taxonomy/taxondetails?taxnode_id=202303722","Vespertiliovirus C74")</f>
        <v>Vespertiliovirus C74</v>
      </c>
      <c r="S5113" s="18" t="s">
        <v>30</v>
      </c>
      <c r="T5113" s="18" t="s">
        <v>10711</v>
      </c>
      <c r="U5113" s="18" t="s">
        <v>10712</v>
      </c>
      <c r="V5113" s="18"/>
      <c r="W5113" s="18" t="s">
        <v>10713</v>
      </c>
      <c r="X5113" s="18" t="s">
        <v>42</v>
      </c>
      <c r="Y5113" s="18" t="s">
        <v>10517</v>
      </c>
      <c r="Z5113" s="18" t="s">
        <v>697</v>
      </c>
      <c r="AA5113" s="21" t="str">
        <f>HYPERLINK("https://www.ncbi.nlm.nih.gov/nuccore/U28974","NCBI Nucleotide")</f>
        <v>NCBI Nucleotide</v>
      </c>
    </row>
    <row r="5114" spans="1:27" x14ac:dyDescent="0.35">
      <c r="A5114">
        <v>1006829</v>
      </c>
      <c r="B5114">
        <v>5063</v>
      </c>
      <c r="C5114">
        <v>1</v>
      </c>
      <c r="D5114" s="17" t="s">
        <v>10507</v>
      </c>
      <c r="E5114" s="17"/>
      <c r="F5114" s="17" t="s">
        <v>10508</v>
      </c>
      <c r="G5114" s="17"/>
      <c r="H5114" s="17" t="s">
        <v>10509</v>
      </c>
      <c r="I5114" s="17"/>
      <c r="J5114" s="17" t="s">
        <v>10510</v>
      </c>
      <c r="K5114" s="17"/>
      <c r="L5114" s="17" t="s">
        <v>10511</v>
      </c>
      <c r="M5114" s="17"/>
      <c r="N5114" s="17" t="s">
        <v>10702</v>
      </c>
      <c r="O5114" s="17"/>
      <c r="P5114" s="17" t="s">
        <v>10710</v>
      </c>
      <c r="Q5114" s="17"/>
      <c r="R5114" s="25" t="str">
        <f>HYPERLINK("https://ictv.global/taxonomy/taxondetails?taxnode_id=202303723","Vespertiliovirus R8A2B")</f>
        <v>Vespertiliovirus R8A2B</v>
      </c>
      <c r="S5114" s="18" t="s">
        <v>30</v>
      </c>
      <c r="T5114" s="18" t="s">
        <v>10714</v>
      </c>
      <c r="U5114" s="18"/>
      <c r="V5114" s="18"/>
      <c r="W5114" s="18" t="s">
        <v>10715</v>
      </c>
      <c r="X5114" s="18" t="s">
        <v>42</v>
      </c>
      <c r="Y5114" s="18" t="s">
        <v>10517</v>
      </c>
      <c r="Z5114" s="18" t="s">
        <v>697</v>
      </c>
      <c r="AA5114" s="21" t="str">
        <f>HYPERLINK("https://www.ncbi.nlm.nih.gov/nuccore/X51344","NCBI Nucleotide")</f>
        <v>NCBI Nucleotide</v>
      </c>
    </row>
    <row r="5115" spans="1:27" x14ac:dyDescent="0.35">
      <c r="A5115">
        <v>1006830</v>
      </c>
      <c r="B5115">
        <v>5064</v>
      </c>
      <c r="C5115">
        <v>1</v>
      </c>
      <c r="D5115" s="17" t="s">
        <v>10507</v>
      </c>
      <c r="E5115" s="17"/>
      <c r="F5115" s="17" t="s">
        <v>10508</v>
      </c>
      <c r="G5115" s="17"/>
      <c r="H5115" s="17" t="s">
        <v>10509</v>
      </c>
      <c r="I5115" s="17"/>
      <c r="J5115" s="17" t="s">
        <v>10510</v>
      </c>
      <c r="K5115" s="17"/>
      <c r="L5115" s="17" t="s">
        <v>10511</v>
      </c>
      <c r="M5115" s="17"/>
      <c r="N5115" s="17" t="s">
        <v>10702</v>
      </c>
      <c r="O5115" s="17"/>
      <c r="P5115" s="17" t="s">
        <v>10710</v>
      </c>
      <c r="Q5115" s="17"/>
      <c r="R5115" s="25" t="str">
        <f>HYPERLINK("https://ictv.global/taxonomy/taxondetails?taxnode_id=202303724","Vespertiliovirus SkV1CR23x")</f>
        <v>Vespertiliovirus SkV1CR23x</v>
      </c>
      <c r="S5115" s="18" t="s">
        <v>30</v>
      </c>
      <c r="T5115" s="18" t="s">
        <v>10716</v>
      </c>
      <c r="U5115" s="18"/>
      <c r="V5115" s="18"/>
      <c r="W5115" s="18" t="s">
        <v>10717</v>
      </c>
      <c r="X5115" s="18" t="s">
        <v>42</v>
      </c>
      <c r="Y5115" s="18" t="s">
        <v>10517</v>
      </c>
      <c r="Z5115" s="18" t="s">
        <v>697</v>
      </c>
      <c r="AA5115" s="21" t="str">
        <f>HYPERLINK("https://www.ncbi.nlm.nih.gov/nuccore/EF506570","NCBI Nucleotide")</f>
        <v>NCBI Nucleotide</v>
      </c>
    </row>
    <row r="5116" spans="1:27" x14ac:dyDescent="0.35">
      <c r="A5116">
        <v>1006831</v>
      </c>
      <c r="B5116">
        <v>5065</v>
      </c>
      <c r="C5116">
        <v>1</v>
      </c>
      <c r="D5116" s="17" t="s">
        <v>10507</v>
      </c>
      <c r="E5116" s="17"/>
      <c r="F5116" s="17" t="s">
        <v>10508</v>
      </c>
      <c r="G5116" s="17"/>
      <c r="H5116" s="17" t="s">
        <v>10509</v>
      </c>
      <c r="I5116" s="17"/>
      <c r="J5116" s="17" t="s">
        <v>10510</v>
      </c>
      <c r="K5116" s="17"/>
      <c r="L5116" s="17" t="s">
        <v>10511</v>
      </c>
      <c r="M5116" s="17"/>
      <c r="N5116" s="17" t="s">
        <v>10702</v>
      </c>
      <c r="O5116" s="17"/>
      <c r="P5116" s="17" t="s">
        <v>10718</v>
      </c>
      <c r="Q5116" s="17"/>
      <c r="R5116" s="25" t="str">
        <f>HYPERLINK("https://ictv.global/taxonomy/taxondetails?taxnode_id=202312635","Virgulavirus SVGII3")</f>
        <v>Virgulavirus SVGII3</v>
      </c>
      <c r="S5116" s="18" t="s">
        <v>30</v>
      </c>
      <c r="T5116" s="18" t="s">
        <v>10719</v>
      </c>
      <c r="U5116" s="18"/>
      <c r="V5116" s="18"/>
      <c r="W5116" s="18" t="s">
        <v>10720</v>
      </c>
      <c r="X5116" s="18" t="s">
        <v>42</v>
      </c>
      <c r="Y5116" s="18" t="s">
        <v>10517</v>
      </c>
      <c r="Z5116" s="18" t="s">
        <v>697</v>
      </c>
      <c r="AA5116" s="21" t="str">
        <f>HYPERLINK("https://www.ncbi.nlm.nih.gov/nuccore/AJ969242","NCBI Nucleotide")</f>
        <v>NCBI Nucleotide</v>
      </c>
    </row>
    <row r="5117" spans="1:27" x14ac:dyDescent="0.35">
      <c r="A5117">
        <v>1006832</v>
      </c>
      <c r="B5117">
        <v>5066</v>
      </c>
      <c r="C5117">
        <v>1</v>
      </c>
      <c r="D5117" s="17" t="s">
        <v>10507</v>
      </c>
      <c r="E5117" s="17"/>
      <c r="F5117" s="17" t="s">
        <v>10721</v>
      </c>
      <c r="G5117" s="17"/>
      <c r="H5117" s="17" t="s">
        <v>10722</v>
      </c>
      <c r="I5117" s="17"/>
      <c r="J5117" s="17" t="s">
        <v>10723</v>
      </c>
      <c r="K5117" s="17"/>
      <c r="L5117" s="17" t="s">
        <v>10724</v>
      </c>
      <c r="M5117" s="17"/>
      <c r="N5117" s="17" t="s">
        <v>10725</v>
      </c>
      <c r="O5117" s="17" t="s">
        <v>10726</v>
      </c>
      <c r="P5117" s="17" t="s">
        <v>10727</v>
      </c>
      <c r="Q5117" s="17"/>
      <c r="R5117" s="25" t="str">
        <f>HYPERLINK("https://ictv.global/taxonomy/taxondetails?taxnode_id=202303858","Alphatrevirus alpha3")</f>
        <v>Alphatrevirus alpha3</v>
      </c>
      <c r="S5117" s="18" t="s">
        <v>30</v>
      </c>
      <c r="T5117" s="18" t="s">
        <v>10728</v>
      </c>
      <c r="U5117" s="18"/>
      <c r="V5117" s="18" t="s">
        <v>10729</v>
      </c>
      <c r="W5117" s="18" t="s">
        <v>10730</v>
      </c>
      <c r="X5117" s="18" t="s">
        <v>42</v>
      </c>
      <c r="Y5117" s="18" t="s">
        <v>10517</v>
      </c>
      <c r="Z5117" s="18" t="s">
        <v>697</v>
      </c>
      <c r="AA5117" s="21" t="str">
        <f>HYPERLINK("https://www.ncbi.nlm.nih.gov/nuccore/X60322","NCBI Nucleotide")</f>
        <v>NCBI Nucleotide</v>
      </c>
    </row>
    <row r="5118" spans="1:27" x14ac:dyDescent="0.35">
      <c r="A5118">
        <v>1006833</v>
      </c>
      <c r="B5118">
        <v>5067</v>
      </c>
      <c r="C5118">
        <v>1</v>
      </c>
      <c r="D5118" s="17" t="s">
        <v>10507</v>
      </c>
      <c r="E5118" s="17"/>
      <c r="F5118" s="17" t="s">
        <v>10721</v>
      </c>
      <c r="G5118" s="17"/>
      <c r="H5118" s="17" t="s">
        <v>10722</v>
      </c>
      <c r="I5118" s="17"/>
      <c r="J5118" s="17" t="s">
        <v>10723</v>
      </c>
      <c r="K5118" s="17"/>
      <c r="L5118" s="17" t="s">
        <v>10724</v>
      </c>
      <c r="M5118" s="17"/>
      <c r="N5118" s="17" t="s">
        <v>10725</v>
      </c>
      <c r="O5118" s="17" t="s">
        <v>10726</v>
      </c>
      <c r="P5118" s="17" t="s">
        <v>10727</v>
      </c>
      <c r="Q5118" s="17"/>
      <c r="R5118" s="25" t="str">
        <f>HYPERLINK("https://ictv.global/taxonomy/taxondetails?taxnode_id=202303859","Alphatrevirus ID21")</f>
        <v>Alphatrevirus ID21</v>
      </c>
      <c r="S5118" s="18" t="s">
        <v>30</v>
      </c>
      <c r="T5118" s="18" t="s">
        <v>10731</v>
      </c>
      <c r="U5118" s="18"/>
      <c r="V5118" s="18"/>
      <c r="W5118" s="18" t="s">
        <v>10732</v>
      </c>
      <c r="X5118" s="18" t="s">
        <v>42</v>
      </c>
      <c r="Y5118" s="18" t="s">
        <v>10517</v>
      </c>
      <c r="Z5118" s="18" t="s">
        <v>697</v>
      </c>
      <c r="AA5118" s="21" t="str">
        <f>HYPERLINK("https://www.ncbi.nlm.nih.gov/nuccore/DQ079870","NCBI Nucleotide")</f>
        <v>NCBI Nucleotide</v>
      </c>
    </row>
    <row r="5119" spans="1:27" x14ac:dyDescent="0.35">
      <c r="A5119">
        <v>1006834</v>
      </c>
      <c r="B5119">
        <v>5068</v>
      </c>
      <c r="C5119">
        <v>1</v>
      </c>
      <c r="D5119" s="17" t="s">
        <v>10507</v>
      </c>
      <c r="E5119" s="17"/>
      <c r="F5119" s="17" t="s">
        <v>10721</v>
      </c>
      <c r="G5119" s="17"/>
      <c r="H5119" s="17" t="s">
        <v>10722</v>
      </c>
      <c r="I5119" s="17"/>
      <c r="J5119" s="17" t="s">
        <v>10723</v>
      </c>
      <c r="K5119" s="17"/>
      <c r="L5119" s="17" t="s">
        <v>10724</v>
      </c>
      <c r="M5119" s="17"/>
      <c r="N5119" s="17" t="s">
        <v>10725</v>
      </c>
      <c r="O5119" s="17" t="s">
        <v>10726</v>
      </c>
      <c r="P5119" s="17" t="s">
        <v>10727</v>
      </c>
      <c r="Q5119" s="17"/>
      <c r="R5119" s="25" t="str">
        <f>HYPERLINK("https://ictv.global/taxonomy/taxondetails?taxnode_id=202303860","Alphatrevirus ID32")</f>
        <v>Alphatrevirus ID32</v>
      </c>
      <c r="S5119" s="18" t="s">
        <v>30</v>
      </c>
      <c r="T5119" s="18" t="s">
        <v>10733</v>
      </c>
      <c r="U5119" s="18"/>
      <c r="V5119" s="18"/>
      <c r="W5119" s="18" t="s">
        <v>10734</v>
      </c>
      <c r="X5119" s="18" t="s">
        <v>42</v>
      </c>
      <c r="Y5119" s="18" t="s">
        <v>10517</v>
      </c>
      <c r="Z5119" s="18" t="s">
        <v>697</v>
      </c>
      <c r="AA5119" s="21" t="str">
        <f>HYPERLINK("https://www.ncbi.nlm.nih.gov/nuccore/DQ079871","NCBI Nucleotide")</f>
        <v>NCBI Nucleotide</v>
      </c>
    </row>
    <row r="5120" spans="1:27" x14ac:dyDescent="0.35">
      <c r="A5120">
        <v>1006835</v>
      </c>
      <c r="B5120">
        <v>5069</v>
      </c>
      <c r="C5120">
        <v>1</v>
      </c>
      <c r="D5120" s="17" t="s">
        <v>10507</v>
      </c>
      <c r="E5120" s="17"/>
      <c r="F5120" s="17" t="s">
        <v>10721</v>
      </c>
      <c r="G5120" s="17"/>
      <c r="H5120" s="17" t="s">
        <v>10722</v>
      </c>
      <c r="I5120" s="17"/>
      <c r="J5120" s="17" t="s">
        <v>10723</v>
      </c>
      <c r="K5120" s="17"/>
      <c r="L5120" s="17" t="s">
        <v>10724</v>
      </c>
      <c r="M5120" s="17"/>
      <c r="N5120" s="17" t="s">
        <v>10725</v>
      </c>
      <c r="O5120" s="17" t="s">
        <v>10726</v>
      </c>
      <c r="P5120" s="17" t="s">
        <v>10727</v>
      </c>
      <c r="Q5120" s="17"/>
      <c r="R5120" s="25" t="str">
        <f>HYPERLINK("https://ictv.global/taxonomy/taxondetails?taxnode_id=202303861","Alphatrevirus ID62")</f>
        <v>Alphatrevirus ID62</v>
      </c>
      <c r="S5120" s="18" t="s">
        <v>30</v>
      </c>
      <c r="T5120" s="18" t="s">
        <v>10735</v>
      </c>
      <c r="U5120" s="18"/>
      <c r="V5120" s="18"/>
      <c r="W5120" s="18" t="s">
        <v>10736</v>
      </c>
      <c r="X5120" s="18" t="s">
        <v>42</v>
      </c>
      <c r="Y5120" s="18" t="s">
        <v>10517</v>
      </c>
      <c r="Z5120" s="18" t="s">
        <v>697</v>
      </c>
      <c r="AA5120" s="21" t="str">
        <f>HYPERLINK("https://www.ncbi.nlm.nih.gov/nuccore/DQ079876","NCBI Nucleotide")</f>
        <v>NCBI Nucleotide</v>
      </c>
    </row>
    <row r="5121" spans="1:27" x14ac:dyDescent="0.35">
      <c r="A5121">
        <v>1006836</v>
      </c>
      <c r="B5121">
        <v>5070</v>
      </c>
      <c r="C5121">
        <v>1</v>
      </c>
      <c r="D5121" s="17" t="s">
        <v>10507</v>
      </c>
      <c r="E5121" s="17"/>
      <c r="F5121" s="17" t="s">
        <v>10721</v>
      </c>
      <c r="G5121" s="17"/>
      <c r="H5121" s="17" t="s">
        <v>10722</v>
      </c>
      <c r="I5121" s="17"/>
      <c r="J5121" s="17" t="s">
        <v>10723</v>
      </c>
      <c r="K5121" s="17"/>
      <c r="L5121" s="17" t="s">
        <v>10724</v>
      </c>
      <c r="M5121" s="17"/>
      <c r="N5121" s="17" t="s">
        <v>10725</v>
      </c>
      <c r="O5121" s="17" t="s">
        <v>10726</v>
      </c>
      <c r="P5121" s="17" t="s">
        <v>10727</v>
      </c>
      <c r="Q5121" s="17"/>
      <c r="R5121" s="25" t="str">
        <f>HYPERLINK("https://ictv.global/taxonomy/taxondetails?taxnode_id=202303862","Alphatrevirus NC28")</f>
        <v>Alphatrevirus NC28</v>
      </c>
      <c r="S5121" s="18" t="s">
        <v>30</v>
      </c>
      <c r="T5121" s="18" t="s">
        <v>10737</v>
      </c>
      <c r="U5121" s="18"/>
      <c r="V5121" s="18"/>
      <c r="W5121" s="18" t="s">
        <v>10738</v>
      </c>
      <c r="X5121" s="18" t="s">
        <v>42</v>
      </c>
      <c r="Y5121" s="18" t="s">
        <v>10517</v>
      </c>
      <c r="Z5121" s="18" t="s">
        <v>697</v>
      </c>
      <c r="AA5121" s="21" t="str">
        <f>HYPERLINK("https://www.ncbi.nlm.nih.gov/nuccore/DQ079875","NCBI Nucleotide")</f>
        <v>NCBI Nucleotide</v>
      </c>
    </row>
    <row r="5122" spans="1:27" x14ac:dyDescent="0.35">
      <c r="A5122">
        <v>1006837</v>
      </c>
      <c r="B5122">
        <v>5071</v>
      </c>
      <c r="C5122">
        <v>1</v>
      </c>
      <c r="D5122" s="17" t="s">
        <v>10507</v>
      </c>
      <c r="E5122" s="17"/>
      <c r="F5122" s="17" t="s">
        <v>10721</v>
      </c>
      <c r="G5122" s="17"/>
      <c r="H5122" s="17" t="s">
        <v>10722</v>
      </c>
      <c r="I5122" s="17"/>
      <c r="J5122" s="17" t="s">
        <v>10723</v>
      </c>
      <c r="K5122" s="17"/>
      <c r="L5122" s="17" t="s">
        <v>10724</v>
      </c>
      <c r="M5122" s="17"/>
      <c r="N5122" s="17" t="s">
        <v>10725</v>
      </c>
      <c r="O5122" s="17" t="s">
        <v>10726</v>
      </c>
      <c r="P5122" s="17" t="s">
        <v>10727</v>
      </c>
      <c r="Q5122" s="17"/>
      <c r="R5122" s="25" t="str">
        <f>HYPERLINK("https://ictv.global/taxonomy/taxondetails?taxnode_id=202303863","Alphatrevirus NC29")</f>
        <v>Alphatrevirus NC29</v>
      </c>
      <c r="S5122" s="18" t="s">
        <v>30</v>
      </c>
      <c r="T5122" s="18" t="s">
        <v>10739</v>
      </c>
      <c r="U5122" s="18"/>
      <c r="V5122" s="18"/>
      <c r="W5122" s="18" t="s">
        <v>10740</v>
      </c>
      <c r="X5122" s="18" t="s">
        <v>42</v>
      </c>
      <c r="Y5122" s="18" t="s">
        <v>10517</v>
      </c>
      <c r="Z5122" s="18" t="s">
        <v>697</v>
      </c>
      <c r="AA5122" s="21" t="str">
        <f>HYPERLINK("https://www.ncbi.nlm.nih.gov/nuccore/DQ079879","NCBI Nucleotide")</f>
        <v>NCBI Nucleotide</v>
      </c>
    </row>
    <row r="5123" spans="1:27" x14ac:dyDescent="0.35">
      <c r="A5123">
        <v>1006838</v>
      </c>
      <c r="B5123">
        <v>5072</v>
      </c>
      <c r="C5123">
        <v>1</v>
      </c>
      <c r="D5123" s="17" t="s">
        <v>10507</v>
      </c>
      <c r="E5123" s="17"/>
      <c r="F5123" s="17" t="s">
        <v>10721</v>
      </c>
      <c r="G5123" s="17"/>
      <c r="H5123" s="17" t="s">
        <v>10722</v>
      </c>
      <c r="I5123" s="17"/>
      <c r="J5123" s="17" t="s">
        <v>10723</v>
      </c>
      <c r="K5123" s="17"/>
      <c r="L5123" s="17" t="s">
        <v>10724</v>
      </c>
      <c r="M5123" s="17"/>
      <c r="N5123" s="17" t="s">
        <v>10725</v>
      </c>
      <c r="O5123" s="17" t="s">
        <v>10726</v>
      </c>
      <c r="P5123" s="17" t="s">
        <v>10727</v>
      </c>
      <c r="Q5123" s="17"/>
      <c r="R5123" s="25" t="str">
        <f>HYPERLINK("https://ictv.global/taxonomy/taxondetails?taxnode_id=202303864","Alphatrevirus NC35")</f>
        <v>Alphatrevirus NC35</v>
      </c>
      <c r="S5123" s="18" t="s">
        <v>30</v>
      </c>
      <c r="T5123" s="18" t="s">
        <v>10741</v>
      </c>
      <c r="U5123" s="18"/>
      <c r="V5123" s="18"/>
      <c r="W5123" s="18" t="s">
        <v>10742</v>
      </c>
      <c r="X5123" s="18" t="s">
        <v>42</v>
      </c>
      <c r="Y5123" s="18" t="s">
        <v>10517</v>
      </c>
      <c r="Z5123" s="18" t="s">
        <v>697</v>
      </c>
      <c r="AA5123" s="21" t="str">
        <f>HYPERLINK("https://www.ncbi.nlm.nih.gov/nuccore/DQ079872","NCBI Nucleotide")</f>
        <v>NCBI Nucleotide</v>
      </c>
    </row>
    <row r="5124" spans="1:27" x14ac:dyDescent="0.35">
      <c r="A5124">
        <v>1006839</v>
      </c>
      <c r="B5124">
        <v>5073</v>
      </c>
      <c r="C5124">
        <v>1</v>
      </c>
      <c r="D5124" s="17" t="s">
        <v>10507</v>
      </c>
      <c r="E5124" s="17"/>
      <c r="F5124" s="17" t="s">
        <v>10721</v>
      </c>
      <c r="G5124" s="17"/>
      <c r="H5124" s="17" t="s">
        <v>10722</v>
      </c>
      <c r="I5124" s="17"/>
      <c r="J5124" s="17" t="s">
        <v>10723</v>
      </c>
      <c r="K5124" s="17"/>
      <c r="L5124" s="17" t="s">
        <v>10724</v>
      </c>
      <c r="M5124" s="17"/>
      <c r="N5124" s="17" t="s">
        <v>10725</v>
      </c>
      <c r="O5124" s="17" t="s">
        <v>10726</v>
      </c>
      <c r="P5124" s="17" t="s">
        <v>10727</v>
      </c>
      <c r="Q5124" s="17"/>
      <c r="R5124" s="25" t="str">
        <f>HYPERLINK("https://ictv.global/taxonomy/taxondetails?taxnode_id=202303865","Alphatrevirus phiK")</f>
        <v>Alphatrevirus phiK</v>
      </c>
      <c r="S5124" s="18" t="s">
        <v>30</v>
      </c>
      <c r="T5124" s="18" t="s">
        <v>10743</v>
      </c>
      <c r="U5124" s="18"/>
      <c r="V5124" s="18" t="s">
        <v>10744</v>
      </c>
      <c r="W5124" s="18" t="s">
        <v>10745</v>
      </c>
      <c r="X5124" s="18" t="s">
        <v>42</v>
      </c>
      <c r="Y5124" s="18" t="s">
        <v>10517</v>
      </c>
      <c r="Z5124" s="18" t="s">
        <v>697</v>
      </c>
      <c r="AA5124" s="21" t="str">
        <f>HYPERLINK("https://www.ncbi.nlm.nih.gov/nuccore/X60323","NCBI Nucleotide")</f>
        <v>NCBI Nucleotide</v>
      </c>
    </row>
    <row r="5125" spans="1:27" x14ac:dyDescent="0.35">
      <c r="A5125">
        <v>1006840</v>
      </c>
      <c r="B5125">
        <v>5074</v>
      </c>
      <c r="C5125">
        <v>1</v>
      </c>
      <c r="D5125" s="17" t="s">
        <v>10507</v>
      </c>
      <c r="E5125" s="17"/>
      <c r="F5125" s="17" t="s">
        <v>10721</v>
      </c>
      <c r="G5125" s="17"/>
      <c r="H5125" s="17" t="s">
        <v>10722</v>
      </c>
      <c r="I5125" s="17"/>
      <c r="J5125" s="17" t="s">
        <v>10723</v>
      </c>
      <c r="K5125" s="17"/>
      <c r="L5125" s="17" t="s">
        <v>10724</v>
      </c>
      <c r="M5125" s="17"/>
      <c r="N5125" s="17" t="s">
        <v>10725</v>
      </c>
      <c r="O5125" s="17" t="s">
        <v>10726</v>
      </c>
      <c r="P5125" s="17" t="s">
        <v>10727</v>
      </c>
      <c r="Q5125" s="17"/>
      <c r="R5125" s="25" t="str">
        <f>HYPERLINK("https://ictv.global/taxonomy/taxondetails?taxnode_id=202303866","Alphatrevirus St1")</f>
        <v>Alphatrevirus St1</v>
      </c>
      <c r="S5125" s="18" t="s">
        <v>30</v>
      </c>
      <c r="T5125" s="18" t="s">
        <v>10746</v>
      </c>
      <c r="U5125" s="18"/>
      <c r="V5125" s="18"/>
      <c r="W5125" s="18" t="s">
        <v>10747</v>
      </c>
      <c r="X5125" s="18" t="s">
        <v>42</v>
      </c>
      <c r="Y5125" s="18" t="s">
        <v>10517</v>
      </c>
      <c r="Z5125" s="18" t="s">
        <v>697</v>
      </c>
      <c r="AA5125" s="21" t="str">
        <f>HYPERLINK("https://www.ncbi.nlm.nih.gov/nuccore/GQ149088","NCBI Nucleotide")</f>
        <v>NCBI Nucleotide</v>
      </c>
    </row>
    <row r="5126" spans="1:27" x14ac:dyDescent="0.35">
      <c r="A5126">
        <v>1006841</v>
      </c>
      <c r="B5126">
        <v>5075</v>
      </c>
      <c r="C5126">
        <v>1</v>
      </c>
      <c r="D5126" s="17" t="s">
        <v>10507</v>
      </c>
      <c r="E5126" s="17"/>
      <c r="F5126" s="17" t="s">
        <v>10721</v>
      </c>
      <c r="G5126" s="17"/>
      <c r="H5126" s="17" t="s">
        <v>10722</v>
      </c>
      <c r="I5126" s="17"/>
      <c r="J5126" s="17" t="s">
        <v>10723</v>
      </c>
      <c r="K5126" s="17"/>
      <c r="L5126" s="17" t="s">
        <v>10724</v>
      </c>
      <c r="M5126" s="17"/>
      <c r="N5126" s="17" t="s">
        <v>10725</v>
      </c>
      <c r="O5126" s="17" t="s">
        <v>10726</v>
      </c>
      <c r="P5126" s="17" t="s">
        <v>10727</v>
      </c>
      <c r="Q5126" s="17"/>
      <c r="R5126" s="25" t="str">
        <f>HYPERLINK("https://ictv.global/taxonomy/taxondetails?taxnode_id=202303867","Alphatrevirus WA45")</f>
        <v>Alphatrevirus WA45</v>
      </c>
      <c r="S5126" s="18" t="s">
        <v>30</v>
      </c>
      <c r="T5126" s="18" t="s">
        <v>10748</v>
      </c>
      <c r="U5126" s="18"/>
      <c r="V5126" s="18"/>
      <c r="W5126" s="18" t="s">
        <v>10749</v>
      </c>
      <c r="X5126" s="18" t="s">
        <v>42</v>
      </c>
      <c r="Y5126" s="18" t="s">
        <v>10517</v>
      </c>
      <c r="Z5126" s="18" t="s">
        <v>697</v>
      </c>
      <c r="AA5126" s="21" t="str">
        <f>HYPERLINK("https://www.ncbi.nlm.nih.gov/nuccore/DQ079874","NCBI Nucleotide")</f>
        <v>NCBI Nucleotide</v>
      </c>
    </row>
    <row r="5127" spans="1:27" x14ac:dyDescent="0.35">
      <c r="A5127">
        <v>1006842</v>
      </c>
      <c r="B5127">
        <v>5076</v>
      </c>
      <c r="C5127">
        <v>1</v>
      </c>
      <c r="D5127" s="17" t="s">
        <v>10507</v>
      </c>
      <c r="E5127" s="17"/>
      <c r="F5127" s="17" t="s">
        <v>10721</v>
      </c>
      <c r="G5127" s="17"/>
      <c r="H5127" s="17" t="s">
        <v>10722</v>
      </c>
      <c r="I5127" s="17"/>
      <c r="J5127" s="17" t="s">
        <v>10723</v>
      </c>
      <c r="K5127" s="17"/>
      <c r="L5127" s="17" t="s">
        <v>10724</v>
      </c>
      <c r="M5127" s="17"/>
      <c r="N5127" s="17" t="s">
        <v>10725</v>
      </c>
      <c r="O5127" s="17" t="s">
        <v>10726</v>
      </c>
      <c r="P5127" s="17" t="s">
        <v>10750</v>
      </c>
      <c r="Q5127" s="17"/>
      <c r="R5127" s="25" t="str">
        <f>HYPERLINK("https://ictv.global/taxonomy/taxondetails?taxnode_id=202303869","Gequatrovirus G4")</f>
        <v>Gequatrovirus G4</v>
      </c>
      <c r="S5127" s="18" t="s">
        <v>30</v>
      </c>
      <c r="T5127" s="18" t="s">
        <v>10751</v>
      </c>
      <c r="U5127" s="18"/>
      <c r="V5127" s="18"/>
      <c r="W5127" s="18" t="s">
        <v>10752</v>
      </c>
      <c r="X5127" s="18" t="s">
        <v>42</v>
      </c>
      <c r="Y5127" s="18" t="s">
        <v>10517</v>
      </c>
      <c r="Z5127" s="18" t="s">
        <v>697</v>
      </c>
      <c r="AA5127" s="21" t="str">
        <f>HYPERLINK("https://www.ncbi.nlm.nih.gov/nuccore/V00657","NCBI Nucleotide")</f>
        <v>NCBI Nucleotide</v>
      </c>
    </row>
    <row r="5128" spans="1:27" x14ac:dyDescent="0.35">
      <c r="A5128">
        <v>1006843</v>
      </c>
      <c r="B5128">
        <v>5077</v>
      </c>
      <c r="C5128">
        <v>1</v>
      </c>
      <c r="D5128" s="17" t="s">
        <v>10507</v>
      </c>
      <c r="E5128" s="17"/>
      <c r="F5128" s="17" t="s">
        <v>10721</v>
      </c>
      <c r="G5128" s="17"/>
      <c r="H5128" s="17" t="s">
        <v>10722</v>
      </c>
      <c r="I5128" s="17"/>
      <c r="J5128" s="17" t="s">
        <v>10723</v>
      </c>
      <c r="K5128" s="17"/>
      <c r="L5128" s="17" t="s">
        <v>10724</v>
      </c>
      <c r="M5128" s="17"/>
      <c r="N5128" s="17" t="s">
        <v>10725</v>
      </c>
      <c r="O5128" s="17" t="s">
        <v>10726</v>
      </c>
      <c r="P5128" s="17" t="s">
        <v>10750</v>
      </c>
      <c r="Q5128" s="17"/>
      <c r="R5128" s="25" t="str">
        <f>HYPERLINK("https://ictv.global/taxonomy/taxondetails?taxnode_id=202303870","Gequatrovirus ID52")</f>
        <v>Gequatrovirus ID52</v>
      </c>
      <c r="S5128" s="18" t="s">
        <v>30</v>
      </c>
      <c r="T5128" s="18" t="s">
        <v>10753</v>
      </c>
      <c r="U5128" s="18"/>
      <c r="V5128" s="18"/>
      <c r="W5128" s="18" t="s">
        <v>10754</v>
      </c>
      <c r="X5128" s="18" t="s">
        <v>42</v>
      </c>
      <c r="Y5128" s="18" t="s">
        <v>10517</v>
      </c>
      <c r="Z5128" s="18" t="s">
        <v>697</v>
      </c>
      <c r="AA5128" s="21" t="str">
        <f>HYPERLINK("https://www.ncbi.nlm.nih.gov/nuccore/DQ079877","NCBI Nucleotide")</f>
        <v>NCBI Nucleotide</v>
      </c>
    </row>
    <row r="5129" spans="1:27" x14ac:dyDescent="0.35">
      <c r="A5129">
        <v>1006844</v>
      </c>
      <c r="B5129">
        <v>5078</v>
      </c>
      <c r="C5129">
        <v>1</v>
      </c>
      <c r="D5129" s="17" t="s">
        <v>10507</v>
      </c>
      <c r="E5129" s="17"/>
      <c r="F5129" s="17" t="s">
        <v>10721</v>
      </c>
      <c r="G5129" s="17"/>
      <c r="H5129" s="17" t="s">
        <v>10722</v>
      </c>
      <c r="I5129" s="17"/>
      <c r="J5129" s="17" t="s">
        <v>10723</v>
      </c>
      <c r="K5129" s="17"/>
      <c r="L5129" s="17" t="s">
        <v>10724</v>
      </c>
      <c r="M5129" s="17"/>
      <c r="N5129" s="17" t="s">
        <v>10725</v>
      </c>
      <c r="O5129" s="17" t="s">
        <v>10726</v>
      </c>
      <c r="P5129" s="17" t="s">
        <v>10750</v>
      </c>
      <c r="Q5129" s="17"/>
      <c r="R5129" s="25" t="str">
        <f>HYPERLINK("https://ictv.global/taxonomy/taxondetails?taxnode_id=202303871","Gequatrovirus talmos")</f>
        <v>Gequatrovirus talmos</v>
      </c>
      <c r="S5129" s="18" t="s">
        <v>30</v>
      </c>
      <c r="T5129" s="18" t="s">
        <v>10755</v>
      </c>
      <c r="U5129" s="18"/>
      <c r="V5129" s="18"/>
      <c r="W5129" s="18" t="s">
        <v>10756</v>
      </c>
      <c r="X5129" s="18" t="s">
        <v>42</v>
      </c>
      <c r="Y5129" s="18" t="s">
        <v>10517</v>
      </c>
      <c r="Z5129" s="18" t="s">
        <v>697</v>
      </c>
      <c r="AA5129" s="21" t="str">
        <f>HYPERLINK("https://www.ncbi.nlm.nih.gov/nuccore/DQ079869","NCBI Nucleotide")</f>
        <v>NCBI Nucleotide</v>
      </c>
    </row>
    <row r="5130" spans="1:27" x14ac:dyDescent="0.35">
      <c r="A5130">
        <v>1006845</v>
      </c>
      <c r="B5130">
        <v>5079</v>
      </c>
      <c r="C5130">
        <v>1</v>
      </c>
      <c r="D5130" s="17" t="s">
        <v>10507</v>
      </c>
      <c r="E5130" s="17"/>
      <c r="F5130" s="17" t="s">
        <v>10721</v>
      </c>
      <c r="G5130" s="17"/>
      <c r="H5130" s="17" t="s">
        <v>10722</v>
      </c>
      <c r="I5130" s="17"/>
      <c r="J5130" s="17" t="s">
        <v>10723</v>
      </c>
      <c r="K5130" s="17"/>
      <c r="L5130" s="17" t="s">
        <v>10724</v>
      </c>
      <c r="M5130" s="17"/>
      <c r="N5130" s="17" t="s">
        <v>10725</v>
      </c>
      <c r="O5130" s="17" t="s">
        <v>10726</v>
      </c>
      <c r="P5130" s="17" t="s">
        <v>10757</v>
      </c>
      <c r="Q5130" s="17"/>
      <c r="R5130" s="25" t="str">
        <f>HYPERLINK("https://ictv.global/taxonomy/taxondetails?taxnode_id=202303873","Sinsheimervirus phiX174")</f>
        <v>Sinsheimervirus phiX174</v>
      </c>
      <c r="S5130" s="18" t="s">
        <v>30</v>
      </c>
      <c r="T5130" s="18" t="s">
        <v>10758</v>
      </c>
      <c r="U5130" s="18"/>
      <c r="V5130" s="18"/>
      <c r="W5130" s="18" t="s">
        <v>10759</v>
      </c>
      <c r="X5130" s="18" t="s">
        <v>42</v>
      </c>
      <c r="Y5130" s="18" t="s">
        <v>10517</v>
      </c>
      <c r="Z5130" s="18" t="s">
        <v>697</v>
      </c>
      <c r="AA5130" s="21" t="str">
        <f>HYPERLINK("https://www.ncbi.nlm.nih.gov/nuccore/J02482","NCBI Nucleotide")</f>
        <v>NCBI Nucleotide</v>
      </c>
    </row>
    <row r="5131" spans="1:27" x14ac:dyDescent="0.35">
      <c r="A5131">
        <v>1006846</v>
      </c>
      <c r="B5131">
        <v>5080</v>
      </c>
      <c r="C5131">
        <v>1</v>
      </c>
      <c r="D5131" s="17" t="s">
        <v>10507</v>
      </c>
      <c r="E5131" s="17"/>
      <c r="F5131" s="17" t="s">
        <v>10721</v>
      </c>
      <c r="G5131" s="17"/>
      <c r="H5131" s="17" t="s">
        <v>10722</v>
      </c>
      <c r="I5131" s="17"/>
      <c r="J5131" s="17" t="s">
        <v>10723</v>
      </c>
      <c r="K5131" s="17"/>
      <c r="L5131" s="17" t="s">
        <v>10724</v>
      </c>
      <c r="M5131" s="17"/>
      <c r="N5131" s="17" t="s">
        <v>10725</v>
      </c>
      <c r="O5131" s="17" t="s">
        <v>10760</v>
      </c>
      <c r="P5131" s="17" t="s">
        <v>10761</v>
      </c>
      <c r="Q5131" s="17"/>
      <c r="R5131" s="25" t="str">
        <f>HYPERLINK("https://ictv.global/taxonomy/taxondetails?taxnode_id=202303877","Bdellomicrovirus MH2K")</f>
        <v>Bdellomicrovirus MH2K</v>
      </c>
      <c r="S5131" s="18" t="s">
        <v>30</v>
      </c>
      <c r="T5131" s="18" t="s">
        <v>10762</v>
      </c>
      <c r="U5131" s="18"/>
      <c r="V5131" s="18"/>
      <c r="W5131" s="18" t="s">
        <v>10763</v>
      </c>
      <c r="X5131" s="18" t="s">
        <v>42</v>
      </c>
      <c r="Y5131" s="18" t="s">
        <v>10517</v>
      </c>
      <c r="Z5131" s="18" t="s">
        <v>697</v>
      </c>
      <c r="AA5131" s="21" t="str">
        <f>HYPERLINK("https://www.ncbi.nlm.nih.gov/nuccore/AF306496","NCBI Nucleotide")</f>
        <v>NCBI Nucleotide</v>
      </c>
    </row>
    <row r="5132" spans="1:27" x14ac:dyDescent="0.35">
      <c r="A5132">
        <v>1006847</v>
      </c>
      <c r="B5132">
        <v>5081</v>
      </c>
      <c r="C5132">
        <v>1</v>
      </c>
      <c r="D5132" s="17" t="s">
        <v>10507</v>
      </c>
      <c r="E5132" s="17"/>
      <c r="F5132" s="17" t="s">
        <v>10721</v>
      </c>
      <c r="G5132" s="17"/>
      <c r="H5132" s="17" t="s">
        <v>10722</v>
      </c>
      <c r="I5132" s="17"/>
      <c r="J5132" s="17" t="s">
        <v>10723</v>
      </c>
      <c r="K5132" s="17"/>
      <c r="L5132" s="17" t="s">
        <v>10724</v>
      </c>
      <c r="M5132" s="17"/>
      <c r="N5132" s="17" t="s">
        <v>10725</v>
      </c>
      <c r="O5132" s="17" t="s">
        <v>10760</v>
      </c>
      <c r="P5132" s="17" t="s">
        <v>10761</v>
      </c>
      <c r="Q5132" s="17"/>
      <c r="R5132" s="25" t="str">
        <f>HYPERLINK("https://ictv.global/taxonomy/taxondetails?taxnode_id=202303876","Bdellovibrio virus MAC1")</f>
        <v>Bdellovibrio virus MAC1</v>
      </c>
      <c r="S5132" s="18" t="s">
        <v>30</v>
      </c>
      <c r="T5132" s="18" t="s">
        <v>10764</v>
      </c>
      <c r="U5132" s="18"/>
      <c r="V5132" s="18"/>
      <c r="W5132" s="18"/>
      <c r="X5132" s="18" t="s">
        <v>3311</v>
      </c>
      <c r="Y5132" s="18" t="s">
        <v>10517</v>
      </c>
      <c r="Z5132" s="18" t="s">
        <v>697</v>
      </c>
      <c r="AA5132" s="21"/>
    </row>
    <row r="5133" spans="1:27" x14ac:dyDescent="0.35">
      <c r="A5133">
        <v>1006848</v>
      </c>
      <c r="B5133">
        <v>5082</v>
      </c>
      <c r="C5133">
        <v>1</v>
      </c>
      <c r="D5133" s="17" t="s">
        <v>10507</v>
      </c>
      <c r="E5133" s="17"/>
      <c r="F5133" s="17" t="s">
        <v>10721</v>
      </c>
      <c r="G5133" s="17"/>
      <c r="H5133" s="17" t="s">
        <v>10722</v>
      </c>
      <c r="I5133" s="17"/>
      <c r="J5133" s="17" t="s">
        <v>10723</v>
      </c>
      <c r="K5133" s="17"/>
      <c r="L5133" s="17" t="s">
        <v>10724</v>
      </c>
      <c r="M5133" s="17"/>
      <c r="N5133" s="17" t="s">
        <v>10725</v>
      </c>
      <c r="O5133" s="17" t="s">
        <v>10760</v>
      </c>
      <c r="P5133" s="17" t="s">
        <v>10765</v>
      </c>
      <c r="Q5133" s="17"/>
      <c r="R5133" s="25" t="str">
        <f>HYPERLINK("https://ictv.global/taxonomy/taxondetails?taxnode_id=202303879","Chlamydiamicrovirus Chp1")</f>
        <v>Chlamydiamicrovirus Chp1</v>
      </c>
      <c r="S5133" s="18" t="s">
        <v>30</v>
      </c>
      <c r="T5133" s="18" t="s">
        <v>10766</v>
      </c>
      <c r="U5133" s="18"/>
      <c r="V5133" s="18"/>
      <c r="W5133" s="18" t="s">
        <v>10767</v>
      </c>
      <c r="X5133" s="18" t="s">
        <v>42</v>
      </c>
      <c r="Y5133" s="18" t="s">
        <v>10517</v>
      </c>
      <c r="Z5133" s="18" t="s">
        <v>697</v>
      </c>
      <c r="AA5133" s="21" t="str">
        <f>HYPERLINK("https://www.ncbi.nlm.nih.gov/nuccore/D00624","NCBI Nucleotide")</f>
        <v>NCBI Nucleotide</v>
      </c>
    </row>
    <row r="5134" spans="1:27" x14ac:dyDescent="0.35">
      <c r="A5134">
        <v>1006849</v>
      </c>
      <c r="B5134">
        <v>5083</v>
      </c>
      <c r="C5134">
        <v>1</v>
      </c>
      <c r="D5134" s="17" t="s">
        <v>10507</v>
      </c>
      <c r="E5134" s="17"/>
      <c r="F5134" s="17" t="s">
        <v>10721</v>
      </c>
      <c r="G5134" s="17"/>
      <c r="H5134" s="17" t="s">
        <v>10722</v>
      </c>
      <c r="I5134" s="17"/>
      <c r="J5134" s="17" t="s">
        <v>10723</v>
      </c>
      <c r="K5134" s="17"/>
      <c r="L5134" s="17" t="s">
        <v>10724</v>
      </c>
      <c r="M5134" s="17"/>
      <c r="N5134" s="17" t="s">
        <v>10725</v>
      </c>
      <c r="O5134" s="17" t="s">
        <v>10760</v>
      </c>
      <c r="P5134" s="17" t="s">
        <v>10765</v>
      </c>
      <c r="Q5134" s="17"/>
      <c r="R5134" s="25" t="str">
        <f>HYPERLINK("https://ictv.global/taxonomy/taxondetails?taxnode_id=202303880","Chlamydiamicrovirus Chp2")</f>
        <v>Chlamydiamicrovirus Chp2</v>
      </c>
      <c r="S5134" s="18" t="s">
        <v>30</v>
      </c>
      <c r="T5134" s="18" t="s">
        <v>10768</v>
      </c>
      <c r="U5134" s="18"/>
      <c r="V5134" s="18"/>
      <c r="W5134" s="18" t="s">
        <v>10769</v>
      </c>
      <c r="X5134" s="18" t="s">
        <v>42</v>
      </c>
      <c r="Y5134" s="18" t="s">
        <v>10517</v>
      </c>
      <c r="Z5134" s="18" t="s">
        <v>697</v>
      </c>
      <c r="AA5134" s="21" t="str">
        <f>HYPERLINK("https://www.ncbi.nlm.nih.gov/nuccore/AJ270057","NCBI Nucleotide")</f>
        <v>NCBI Nucleotide</v>
      </c>
    </row>
    <row r="5135" spans="1:27" x14ac:dyDescent="0.35">
      <c r="A5135">
        <v>1006850</v>
      </c>
      <c r="B5135">
        <v>5084</v>
      </c>
      <c r="C5135">
        <v>1</v>
      </c>
      <c r="D5135" s="17" t="s">
        <v>10507</v>
      </c>
      <c r="E5135" s="17"/>
      <c r="F5135" s="17" t="s">
        <v>10721</v>
      </c>
      <c r="G5135" s="17"/>
      <c r="H5135" s="17" t="s">
        <v>10722</v>
      </c>
      <c r="I5135" s="17"/>
      <c r="J5135" s="17" t="s">
        <v>10723</v>
      </c>
      <c r="K5135" s="17"/>
      <c r="L5135" s="17" t="s">
        <v>10724</v>
      </c>
      <c r="M5135" s="17"/>
      <c r="N5135" s="17" t="s">
        <v>10725</v>
      </c>
      <c r="O5135" s="17" t="s">
        <v>10760</v>
      </c>
      <c r="P5135" s="17" t="s">
        <v>10765</v>
      </c>
      <c r="Q5135" s="17"/>
      <c r="R5135" s="25" t="str">
        <f>HYPERLINK("https://ictv.global/taxonomy/taxondetails?taxnode_id=202303881","Chlamydiamicrovirus CPAR39")</f>
        <v>Chlamydiamicrovirus CPAR39</v>
      </c>
      <c r="S5135" s="18" t="s">
        <v>30</v>
      </c>
      <c r="T5135" s="18" t="s">
        <v>10770</v>
      </c>
      <c r="U5135" s="18"/>
      <c r="V5135" s="18"/>
      <c r="W5135" s="18" t="s">
        <v>10771</v>
      </c>
      <c r="X5135" s="18" t="s">
        <v>42</v>
      </c>
      <c r="Y5135" s="18" t="s">
        <v>10517</v>
      </c>
      <c r="Z5135" s="18" t="s">
        <v>697</v>
      </c>
      <c r="AA5135" s="21" t="str">
        <f>HYPERLINK("https://www.ncbi.nlm.nih.gov/nuccore/AE002163","NCBI Nucleotide")</f>
        <v>NCBI Nucleotide</v>
      </c>
    </row>
    <row r="5136" spans="1:27" x14ac:dyDescent="0.35">
      <c r="A5136">
        <v>1006851</v>
      </c>
      <c r="B5136">
        <v>5085</v>
      </c>
      <c r="C5136">
        <v>1</v>
      </c>
      <c r="D5136" s="17" t="s">
        <v>10507</v>
      </c>
      <c r="E5136" s="17"/>
      <c r="F5136" s="17" t="s">
        <v>10721</v>
      </c>
      <c r="G5136" s="17"/>
      <c r="H5136" s="17" t="s">
        <v>10722</v>
      </c>
      <c r="I5136" s="17"/>
      <c r="J5136" s="17" t="s">
        <v>10723</v>
      </c>
      <c r="K5136" s="17"/>
      <c r="L5136" s="17" t="s">
        <v>10724</v>
      </c>
      <c r="M5136" s="17"/>
      <c r="N5136" s="17" t="s">
        <v>10725</v>
      </c>
      <c r="O5136" s="17" t="s">
        <v>10760</v>
      </c>
      <c r="P5136" s="17" t="s">
        <v>10765</v>
      </c>
      <c r="Q5136" s="17"/>
      <c r="R5136" s="25" t="str">
        <f>HYPERLINK("https://ictv.global/taxonomy/taxondetails?taxnode_id=202303882","Chlamydiamicrovirus CPG1")</f>
        <v>Chlamydiamicrovirus CPG1</v>
      </c>
      <c r="S5136" s="18" t="s">
        <v>30</v>
      </c>
      <c r="T5136" s="18" t="s">
        <v>10772</v>
      </c>
      <c r="U5136" s="18"/>
      <c r="V5136" s="18"/>
      <c r="W5136" s="18" t="s">
        <v>10773</v>
      </c>
      <c r="X5136" s="18" t="s">
        <v>42</v>
      </c>
      <c r="Y5136" s="18" t="s">
        <v>10517</v>
      </c>
      <c r="Z5136" s="18" t="s">
        <v>697</v>
      </c>
      <c r="AA5136" s="21" t="str">
        <f>HYPERLINK("https://www.ncbi.nlm.nih.gov/nuccore/U41758","NCBI Nucleotide")</f>
        <v>NCBI Nucleotide</v>
      </c>
    </row>
    <row r="5137" spans="1:27" x14ac:dyDescent="0.35">
      <c r="A5137">
        <v>1006852</v>
      </c>
      <c r="B5137">
        <v>5086</v>
      </c>
      <c r="C5137">
        <v>1</v>
      </c>
      <c r="D5137" s="17" t="s">
        <v>10507</v>
      </c>
      <c r="E5137" s="17"/>
      <c r="F5137" s="17" t="s">
        <v>10721</v>
      </c>
      <c r="G5137" s="17"/>
      <c r="H5137" s="17" t="s">
        <v>10722</v>
      </c>
      <c r="I5137" s="17"/>
      <c r="J5137" s="17" t="s">
        <v>10723</v>
      </c>
      <c r="K5137" s="17"/>
      <c r="L5137" s="17" t="s">
        <v>10724</v>
      </c>
      <c r="M5137" s="17"/>
      <c r="N5137" s="17" t="s">
        <v>10725</v>
      </c>
      <c r="O5137" s="17" t="s">
        <v>10760</v>
      </c>
      <c r="P5137" s="17" t="s">
        <v>10774</v>
      </c>
      <c r="Q5137" s="17"/>
      <c r="R5137" s="25" t="str">
        <f>HYPERLINK("https://ictv.global/taxonomy/taxondetails?taxnode_id=202309999","Enterogokushovirus EC6098")</f>
        <v>Enterogokushovirus EC6098</v>
      </c>
      <c r="S5137" s="18" t="s">
        <v>30</v>
      </c>
      <c r="T5137" s="18" t="s">
        <v>10775</v>
      </c>
      <c r="U5137" s="18"/>
      <c r="V5137" s="18"/>
      <c r="W5137" s="18" t="s">
        <v>10776</v>
      </c>
      <c r="X5137" s="18" t="s">
        <v>35</v>
      </c>
      <c r="Y5137" s="18" t="s">
        <v>10517</v>
      </c>
      <c r="Z5137" s="18" t="s">
        <v>697</v>
      </c>
      <c r="AA5137" s="21" t="str">
        <f>HYPERLINK("https://www.ncbi.nlm.nih.gov/nuccore/MT185428","NCBI Nucleotide")</f>
        <v>NCBI Nucleotide</v>
      </c>
    </row>
    <row r="5138" spans="1:27" x14ac:dyDescent="0.35">
      <c r="A5138">
        <v>1006853</v>
      </c>
      <c r="B5138">
        <v>5087</v>
      </c>
      <c r="C5138">
        <v>1</v>
      </c>
      <c r="D5138" s="17" t="s">
        <v>10507</v>
      </c>
      <c r="E5138" s="17"/>
      <c r="F5138" s="17" t="s">
        <v>10721</v>
      </c>
      <c r="G5138" s="17"/>
      <c r="H5138" s="17" t="s">
        <v>10722</v>
      </c>
      <c r="I5138" s="17"/>
      <c r="J5138" s="17" t="s">
        <v>10723</v>
      </c>
      <c r="K5138" s="17"/>
      <c r="L5138" s="17" t="s">
        <v>10724</v>
      </c>
      <c r="M5138" s="17"/>
      <c r="N5138" s="17" t="s">
        <v>10725</v>
      </c>
      <c r="O5138" s="17" t="s">
        <v>10760</v>
      </c>
      <c r="P5138" s="17" t="s">
        <v>10777</v>
      </c>
      <c r="Q5138" s="17"/>
      <c r="R5138" s="25" t="str">
        <f>HYPERLINK("https://ictv.global/taxonomy/taxondetails?taxnode_id=202303884","Spiromicrovirus SpV4")</f>
        <v>Spiromicrovirus SpV4</v>
      </c>
      <c r="S5138" s="18" t="s">
        <v>30</v>
      </c>
      <c r="T5138" s="18" t="s">
        <v>10778</v>
      </c>
      <c r="U5138" s="18"/>
      <c r="V5138" s="18"/>
      <c r="W5138" s="18" t="s">
        <v>10779</v>
      </c>
      <c r="X5138" s="18" t="s">
        <v>42</v>
      </c>
      <c r="Y5138" s="18" t="s">
        <v>10517</v>
      </c>
      <c r="Z5138" s="18" t="s">
        <v>697</v>
      </c>
      <c r="AA5138" s="21" t="str">
        <f>HYPERLINK("https://www.ncbi.nlm.nih.gov/nuccore/M17988","NCBI Nucleotide")</f>
        <v>NCBI Nucleotide</v>
      </c>
    </row>
    <row r="5139" spans="1:27" x14ac:dyDescent="0.35">
      <c r="A5139">
        <v>1006854</v>
      </c>
      <c r="B5139">
        <v>5088</v>
      </c>
      <c r="C5139">
        <v>1</v>
      </c>
      <c r="D5139" s="17" t="s">
        <v>10507</v>
      </c>
      <c r="E5139" s="17"/>
      <c r="F5139" s="17" t="s">
        <v>10780</v>
      </c>
      <c r="G5139" s="17"/>
      <c r="H5139" s="17" t="s">
        <v>10781</v>
      </c>
      <c r="I5139" s="17"/>
      <c r="J5139" s="17" t="s">
        <v>10782</v>
      </c>
      <c r="K5139" s="17"/>
      <c r="L5139" s="17" t="s">
        <v>10783</v>
      </c>
      <c r="M5139" s="17"/>
      <c r="N5139" s="17" t="s">
        <v>10784</v>
      </c>
      <c r="O5139" s="17"/>
      <c r="P5139" s="17" t="s">
        <v>10785</v>
      </c>
      <c r="Q5139" s="17"/>
      <c r="R5139" s="25" t="str">
        <f>HYPERLINK("https://ictv.global/taxonomy/taxondetails?taxnode_id=202302744","Bombyx mori bidensovirus")</f>
        <v>Bombyx mori bidensovirus</v>
      </c>
      <c r="S5139" s="18" t="s">
        <v>30</v>
      </c>
      <c r="T5139" s="18" t="s">
        <v>10786</v>
      </c>
      <c r="U5139" s="18" t="s">
        <v>10787</v>
      </c>
      <c r="V5139" s="18" t="s">
        <v>10788</v>
      </c>
      <c r="W5139" s="18" t="s">
        <v>10789</v>
      </c>
      <c r="X5139" s="18" t="s">
        <v>42</v>
      </c>
      <c r="Y5139" s="18" t="s">
        <v>12266</v>
      </c>
      <c r="Z5139" s="18" t="s">
        <v>10790</v>
      </c>
      <c r="AA5139" s="21" t="str">
        <f>HYPERLINK("https://www.ncbi.nlm.nih.gov/nuccore/EU623082,EU623083","NCBI Nucleotide")</f>
        <v>NCBI Nucleotide</v>
      </c>
    </row>
    <row r="5140" spans="1:27" x14ac:dyDescent="0.35">
      <c r="A5140">
        <v>1006855</v>
      </c>
      <c r="B5140">
        <v>5089</v>
      </c>
      <c r="C5140">
        <v>1</v>
      </c>
      <c r="D5140" s="17" t="s">
        <v>10507</v>
      </c>
      <c r="E5140" s="17"/>
      <c r="F5140" s="17" t="s">
        <v>10780</v>
      </c>
      <c r="G5140" s="17"/>
      <c r="H5140" s="17" t="s">
        <v>10781</v>
      </c>
      <c r="I5140" s="17"/>
      <c r="J5140" s="17" t="s">
        <v>10791</v>
      </c>
      <c r="K5140" s="17"/>
      <c r="L5140" s="17" t="s">
        <v>10792</v>
      </c>
      <c r="M5140" s="17"/>
      <c r="N5140" s="17" t="s">
        <v>10793</v>
      </c>
      <c r="O5140" s="17"/>
      <c r="P5140" s="17" t="s">
        <v>10794</v>
      </c>
      <c r="Q5140" s="17"/>
      <c r="R5140" s="25" t="str">
        <f>HYPERLINK("https://ictv.global/taxonomy/taxondetails?taxnode_id=202304412","Alphapolyomavirus acelebensis")</f>
        <v>Alphapolyomavirus acelebensis</v>
      </c>
      <c r="S5140" s="18" t="s">
        <v>30</v>
      </c>
      <c r="T5140" s="18" t="s">
        <v>10795</v>
      </c>
      <c r="U5140" s="18" t="s">
        <v>10796</v>
      </c>
      <c r="V5140" s="18" t="s">
        <v>10797</v>
      </c>
      <c r="W5140" s="18" t="s">
        <v>10798</v>
      </c>
      <c r="X5140" s="18" t="s">
        <v>42</v>
      </c>
      <c r="Y5140" s="18" t="s">
        <v>36</v>
      </c>
      <c r="Z5140" s="18" t="s">
        <v>166</v>
      </c>
      <c r="AA5140" s="21" t="str">
        <f>HYPERLINK("https://www.ncbi.nlm.nih.gov/nuccore/AB972940","NCBI Nucleotide")</f>
        <v>NCBI Nucleotide</v>
      </c>
    </row>
    <row r="5141" spans="1:27" x14ac:dyDescent="0.35">
      <c r="A5141">
        <v>1006856</v>
      </c>
      <c r="B5141">
        <v>5090</v>
      </c>
      <c r="C5141">
        <v>1</v>
      </c>
      <c r="D5141" s="17" t="s">
        <v>10507</v>
      </c>
      <c r="E5141" s="17"/>
      <c r="F5141" s="17" t="s">
        <v>10780</v>
      </c>
      <c r="G5141" s="17"/>
      <c r="H5141" s="17" t="s">
        <v>10781</v>
      </c>
      <c r="I5141" s="17"/>
      <c r="J5141" s="17" t="s">
        <v>10791</v>
      </c>
      <c r="K5141" s="17"/>
      <c r="L5141" s="17" t="s">
        <v>10792</v>
      </c>
      <c r="M5141" s="17"/>
      <c r="N5141" s="17" t="s">
        <v>10793</v>
      </c>
      <c r="O5141" s="17"/>
      <c r="P5141" s="17" t="s">
        <v>10794</v>
      </c>
      <c r="Q5141" s="17"/>
      <c r="R5141" s="25" t="str">
        <f>HYPERLINK("https://ictv.global/taxonomy/taxondetails?taxnode_id=202309582","Alphapolyomavirus aflavicollis")</f>
        <v>Alphapolyomavirus aflavicollis</v>
      </c>
      <c r="S5141" s="18" t="s">
        <v>30</v>
      </c>
      <c r="T5141" s="18" t="s">
        <v>10799</v>
      </c>
      <c r="U5141" s="18" t="s">
        <v>10800</v>
      </c>
      <c r="V5141" s="18">
        <v>3349</v>
      </c>
      <c r="W5141" s="18" t="s">
        <v>10801</v>
      </c>
      <c r="X5141" s="18" t="s">
        <v>42</v>
      </c>
      <c r="Y5141" s="18" t="s">
        <v>36</v>
      </c>
      <c r="Z5141" s="18" t="s">
        <v>166</v>
      </c>
      <c r="AA5141" s="21" t="str">
        <f>HYPERLINK("https://www.ncbi.nlm.nih.gov/nuccore/MG654476","NCBI Nucleotide")</f>
        <v>NCBI Nucleotide</v>
      </c>
    </row>
    <row r="5142" spans="1:27" x14ac:dyDescent="0.35">
      <c r="A5142">
        <v>1006857</v>
      </c>
      <c r="B5142">
        <v>5091</v>
      </c>
      <c r="C5142">
        <v>1</v>
      </c>
      <c r="D5142" s="17" t="s">
        <v>10507</v>
      </c>
      <c r="E5142" s="17"/>
      <c r="F5142" s="17" t="s">
        <v>10780</v>
      </c>
      <c r="G5142" s="17"/>
      <c r="H5142" s="17" t="s">
        <v>10781</v>
      </c>
      <c r="I5142" s="17"/>
      <c r="J5142" s="17" t="s">
        <v>10791</v>
      </c>
      <c r="K5142" s="17"/>
      <c r="L5142" s="17" t="s">
        <v>10792</v>
      </c>
      <c r="M5142" s="17"/>
      <c r="N5142" s="17" t="s">
        <v>10793</v>
      </c>
      <c r="O5142" s="17"/>
      <c r="P5142" s="17" t="s">
        <v>10794</v>
      </c>
      <c r="Q5142" s="17"/>
      <c r="R5142" s="25" t="str">
        <f>HYPERLINK("https://ictv.global/taxonomy/taxondetails?taxnode_id=202304415","Alphapolyomavirus apaniscus")</f>
        <v>Alphapolyomavirus apaniscus</v>
      </c>
      <c r="S5142" s="18" t="s">
        <v>30</v>
      </c>
      <c r="T5142" s="18" t="s">
        <v>10802</v>
      </c>
      <c r="U5142" s="18" t="s">
        <v>10803</v>
      </c>
      <c r="V5142" s="18">
        <v>1960</v>
      </c>
      <c r="W5142" s="18" t="s">
        <v>10804</v>
      </c>
      <c r="X5142" s="18" t="s">
        <v>42</v>
      </c>
      <c r="Y5142" s="18" t="s">
        <v>36</v>
      </c>
      <c r="Z5142" s="18" t="s">
        <v>166</v>
      </c>
      <c r="AA5142" s="21" t="str">
        <f>HYPERLINK("https://www.ncbi.nlm.nih.gov/nuccore/JX159987","NCBI Nucleotide")</f>
        <v>NCBI Nucleotide</v>
      </c>
    </row>
    <row r="5143" spans="1:27" x14ac:dyDescent="0.35">
      <c r="A5143">
        <v>1006858</v>
      </c>
      <c r="B5143">
        <v>5092</v>
      </c>
      <c r="C5143">
        <v>1</v>
      </c>
      <c r="D5143" s="17" t="s">
        <v>10507</v>
      </c>
      <c r="E5143" s="17"/>
      <c r="F5143" s="17" t="s">
        <v>10780</v>
      </c>
      <c r="G5143" s="17"/>
      <c r="H5143" s="17" t="s">
        <v>10781</v>
      </c>
      <c r="I5143" s="17"/>
      <c r="J5143" s="17" t="s">
        <v>10791</v>
      </c>
      <c r="K5143" s="17"/>
      <c r="L5143" s="17" t="s">
        <v>10792</v>
      </c>
      <c r="M5143" s="17"/>
      <c r="N5143" s="17" t="s">
        <v>10793</v>
      </c>
      <c r="O5143" s="17"/>
      <c r="P5143" s="17" t="s">
        <v>10794</v>
      </c>
      <c r="Q5143" s="17"/>
      <c r="R5143" s="25" t="str">
        <f>HYPERLINK("https://ictv.global/taxonomy/taxondetails?taxnode_id=202309587","Alphapolyomavirus callosciuri")</f>
        <v>Alphapolyomavirus callosciuri</v>
      </c>
      <c r="S5143" s="18" t="s">
        <v>30</v>
      </c>
      <c r="T5143" s="18" t="s">
        <v>10805</v>
      </c>
      <c r="U5143" s="18" t="s">
        <v>10806</v>
      </c>
      <c r="V5143" s="18" t="s">
        <v>10807</v>
      </c>
      <c r="W5143" s="18" t="s">
        <v>10808</v>
      </c>
      <c r="X5143" s="18" t="s">
        <v>42</v>
      </c>
      <c r="Y5143" s="18" t="s">
        <v>36</v>
      </c>
      <c r="Z5143" s="18" t="s">
        <v>166</v>
      </c>
      <c r="AA5143" s="21" t="str">
        <f>HYPERLINK("https://www.ncbi.nlm.nih.gov/nuccore/MK671087","NCBI Nucleotide")</f>
        <v>NCBI Nucleotide</v>
      </c>
    </row>
    <row r="5144" spans="1:27" x14ac:dyDescent="0.35">
      <c r="A5144">
        <v>1006859</v>
      </c>
      <c r="B5144">
        <v>5093</v>
      </c>
      <c r="C5144">
        <v>1</v>
      </c>
      <c r="D5144" s="17" t="s">
        <v>10507</v>
      </c>
      <c r="E5144" s="17"/>
      <c r="F5144" s="17" t="s">
        <v>10780</v>
      </c>
      <c r="G5144" s="17"/>
      <c r="H5144" s="17" t="s">
        <v>10781</v>
      </c>
      <c r="I5144" s="17"/>
      <c r="J5144" s="17" t="s">
        <v>10791</v>
      </c>
      <c r="K5144" s="17"/>
      <c r="L5144" s="17" t="s">
        <v>10792</v>
      </c>
      <c r="M5144" s="17"/>
      <c r="N5144" s="17" t="s">
        <v>10793</v>
      </c>
      <c r="O5144" s="17"/>
      <c r="P5144" s="17" t="s">
        <v>10794</v>
      </c>
      <c r="Q5144" s="17"/>
      <c r="R5144" s="25" t="str">
        <f>HYPERLINK("https://ictv.global/taxonomy/taxondetails?taxnode_id=202304416","Alphapolyomavirus cardiodermae")</f>
        <v>Alphapolyomavirus cardiodermae</v>
      </c>
      <c r="S5144" s="18" t="s">
        <v>30</v>
      </c>
      <c r="T5144" s="18" t="s">
        <v>10809</v>
      </c>
      <c r="U5144" s="18" t="s">
        <v>10810</v>
      </c>
      <c r="V5144" s="18" t="s">
        <v>10811</v>
      </c>
      <c r="W5144" s="18" t="s">
        <v>10812</v>
      </c>
      <c r="X5144" s="18" t="s">
        <v>42</v>
      </c>
      <c r="Y5144" s="18" t="s">
        <v>36</v>
      </c>
      <c r="Z5144" s="18" t="s">
        <v>166</v>
      </c>
      <c r="AA5144" s="21" t="str">
        <f>HYPERLINK("https://www.ncbi.nlm.nih.gov/nuccore/JX520659","NCBI Nucleotide")</f>
        <v>NCBI Nucleotide</v>
      </c>
    </row>
    <row r="5145" spans="1:27" x14ac:dyDescent="0.35">
      <c r="A5145">
        <v>1006860</v>
      </c>
      <c r="B5145">
        <v>5094</v>
      </c>
      <c r="C5145">
        <v>1</v>
      </c>
      <c r="D5145" s="17" t="s">
        <v>10507</v>
      </c>
      <c r="E5145" s="17"/>
      <c r="F5145" s="17" t="s">
        <v>10780</v>
      </c>
      <c r="G5145" s="17"/>
      <c r="H5145" s="17" t="s">
        <v>10781</v>
      </c>
      <c r="I5145" s="17"/>
      <c r="J5145" s="17" t="s">
        <v>10791</v>
      </c>
      <c r="K5145" s="17"/>
      <c r="L5145" s="17" t="s">
        <v>10792</v>
      </c>
      <c r="M5145" s="17"/>
      <c r="N5145" s="17" t="s">
        <v>10793</v>
      </c>
      <c r="O5145" s="17"/>
      <c r="P5145" s="17" t="s">
        <v>10794</v>
      </c>
      <c r="Q5145" s="17"/>
      <c r="R5145" s="25" t="str">
        <f>HYPERLINK("https://ictv.global/taxonomy/taxondetails?taxnode_id=202304417","Alphapolyomavirus carolliae")</f>
        <v>Alphapolyomavirus carolliae</v>
      </c>
      <c r="S5145" s="18" t="s">
        <v>30</v>
      </c>
      <c r="T5145" s="18" t="s">
        <v>10813</v>
      </c>
      <c r="U5145" s="18" t="s">
        <v>10814</v>
      </c>
      <c r="V5145" s="18" t="s">
        <v>10815</v>
      </c>
      <c r="W5145" s="18" t="s">
        <v>10816</v>
      </c>
      <c r="X5145" s="18" t="s">
        <v>42</v>
      </c>
      <c r="Y5145" s="18" t="s">
        <v>36</v>
      </c>
      <c r="Z5145" s="18" t="s">
        <v>166</v>
      </c>
      <c r="AA5145" s="21" t="str">
        <f>HYPERLINK("https://www.ncbi.nlm.nih.gov/nuccore/JQ958889","NCBI Nucleotide")</f>
        <v>NCBI Nucleotide</v>
      </c>
    </row>
    <row r="5146" spans="1:27" x14ac:dyDescent="0.35">
      <c r="A5146">
        <v>1006861</v>
      </c>
      <c r="B5146">
        <v>5095</v>
      </c>
      <c r="C5146">
        <v>1</v>
      </c>
      <c r="D5146" s="17" t="s">
        <v>10507</v>
      </c>
      <c r="E5146" s="17"/>
      <c r="F5146" s="17" t="s">
        <v>10780</v>
      </c>
      <c r="G5146" s="17"/>
      <c r="H5146" s="17" t="s">
        <v>10781</v>
      </c>
      <c r="I5146" s="17"/>
      <c r="J5146" s="17" t="s">
        <v>10791</v>
      </c>
      <c r="K5146" s="17"/>
      <c r="L5146" s="17" t="s">
        <v>10792</v>
      </c>
      <c r="M5146" s="17"/>
      <c r="N5146" s="17" t="s">
        <v>10793</v>
      </c>
      <c r="O5146" s="17"/>
      <c r="P5146" s="17" t="s">
        <v>10794</v>
      </c>
      <c r="Q5146" s="17"/>
      <c r="R5146" s="25" t="str">
        <f>HYPERLINK("https://ictv.global/taxonomy/taxondetails?taxnode_id=202304418","Alphapolyomavirus chlopygerythrus")</f>
        <v>Alphapolyomavirus chlopygerythrus</v>
      </c>
      <c r="S5146" s="18" t="s">
        <v>30</v>
      </c>
      <c r="T5146" s="18" t="s">
        <v>10817</v>
      </c>
      <c r="U5146" s="18" t="s">
        <v>10818</v>
      </c>
      <c r="V5146" s="18" t="s">
        <v>10819</v>
      </c>
      <c r="W5146" s="18" t="s">
        <v>10820</v>
      </c>
      <c r="X5146" s="18" t="s">
        <v>42</v>
      </c>
      <c r="Y5146" s="18" t="s">
        <v>36</v>
      </c>
      <c r="Z5146" s="18" t="s">
        <v>166</v>
      </c>
      <c r="AA5146" s="21" t="str">
        <f>HYPERLINK("https://www.ncbi.nlm.nih.gov/nuccore/AB767298","NCBI Nucleotide")</f>
        <v>NCBI Nucleotide</v>
      </c>
    </row>
    <row r="5147" spans="1:27" x14ac:dyDescent="0.35">
      <c r="A5147">
        <v>1006862</v>
      </c>
      <c r="B5147">
        <v>5096</v>
      </c>
      <c r="C5147">
        <v>1</v>
      </c>
      <c r="D5147" s="17" t="s">
        <v>10507</v>
      </c>
      <c r="E5147" s="17"/>
      <c r="F5147" s="17" t="s">
        <v>10780</v>
      </c>
      <c r="G5147" s="17"/>
      <c r="H5147" s="17" t="s">
        <v>10781</v>
      </c>
      <c r="I5147" s="17"/>
      <c r="J5147" s="17" t="s">
        <v>10791</v>
      </c>
      <c r="K5147" s="17"/>
      <c r="L5147" s="17" t="s">
        <v>10792</v>
      </c>
      <c r="M5147" s="17"/>
      <c r="N5147" s="17" t="s">
        <v>10793</v>
      </c>
      <c r="O5147" s="17"/>
      <c r="P5147" s="17" t="s">
        <v>10794</v>
      </c>
      <c r="Q5147" s="17"/>
      <c r="R5147" s="25" t="str">
        <f>HYPERLINK("https://ictv.global/taxonomy/taxondetails?taxnode_id=202304420","Alphapolyomavirus dobsoniae")</f>
        <v>Alphapolyomavirus dobsoniae</v>
      </c>
      <c r="S5147" s="18" t="s">
        <v>30</v>
      </c>
      <c r="T5147" s="18" t="s">
        <v>10821</v>
      </c>
      <c r="U5147" s="18" t="s">
        <v>10822</v>
      </c>
      <c r="V5147" s="18" t="s">
        <v>10823</v>
      </c>
      <c r="W5147" s="18" t="s">
        <v>10824</v>
      </c>
      <c r="X5147" s="18" t="s">
        <v>42</v>
      </c>
      <c r="Y5147" s="18" t="s">
        <v>36</v>
      </c>
      <c r="Z5147" s="18" t="s">
        <v>166</v>
      </c>
      <c r="AA5147" s="21" t="str">
        <f>HYPERLINK("https://www.ncbi.nlm.nih.gov/nuccore/AB972945","NCBI Nucleotide")</f>
        <v>NCBI Nucleotide</v>
      </c>
    </row>
    <row r="5148" spans="1:27" x14ac:dyDescent="0.35">
      <c r="A5148">
        <v>1006863</v>
      </c>
      <c r="B5148">
        <v>5097</v>
      </c>
      <c r="C5148">
        <v>1</v>
      </c>
      <c r="D5148" s="17" t="s">
        <v>10507</v>
      </c>
      <c r="E5148" s="17"/>
      <c r="F5148" s="17" t="s">
        <v>10780</v>
      </c>
      <c r="G5148" s="17"/>
      <c r="H5148" s="17" t="s">
        <v>10781</v>
      </c>
      <c r="I5148" s="17"/>
      <c r="J5148" s="17" t="s">
        <v>10791</v>
      </c>
      <c r="K5148" s="17"/>
      <c r="L5148" s="17" t="s">
        <v>10792</v>
      </c>
      <c r="M5148" s="17"/>
      <c r="N5148" s="17" t="s">
        <v>10793</v>
      </c>
      <c r="O5148" s="17"/>
      <c r="P5148" s="17" t="s">
        <v>10794</v>
      </c>
      <c r="Q5148" s="17"/>
      <c r="R5148" s="25" t="str">
        <f>HYPERLINK("https://ictv.global/taxonomy/taxondetails?taxnode_id=202304421","Alphapolyomavirus eidoli")</f>
        <v>Alphapolyomavirus eidoli</v>
      </c>
      <c r="S5148" s="18" t="s">
        <v>30</v>
      </c>
      <c r="T5148" s="18" t="s">
        <v>10825</v>
      </c>
      <c r="U5148" s="18" t="s">
        <v>10826</v>
      </c>
      <c r="V5148" s="18" t="s">
        <v>10827</v>
      </c>
      <c r="W5148" s="18" t="s">
        <v>10828</v>
      </c>
      <c r="X5148" s="18" t="s">
        <v>42</v>
      </c>
      <c r="Y5148" s="18" t="s">
        <v>36</v>
      </c>
      <c r="Z5148" s="18" t="s">
        <v>166</v>
      </c>
      <c r="AA5148" s="21" t="str">
        <f>HYPERLINK("https://www.ncbi.nlm.nih.gov/nuccore/JX520660","NCBI Nucleotide")</f>
        <v>NCBI Nucleotide</v>
      </c>
    </row>
    <row r="5149" spans="1:27" x14ac:dyDescent="0.35">
      <c r="A5149">
        <v>1006864</v>
      </c>
      <c r="B5149">
        <v>5098</v>
      </c>
      <c r="C5149">
        <v>1</v>
      </c>
      <c r="D5149" s="17" t="s">
        <v>10507</v>
      </c>
      <c r="E5149" s="17"/>
      <c r="F5149" s="17" t="s">
        <v>10780</v>
      </c>
      <c r="G5149" s="17"/>
      <c r="H5149" s="17" t="s">
        <v>10781</v>
      </c>
      <c r="I5149" s="17"/>
      <c r="J5149" s="17" t="s">
        <v>10791</v>
      </c>
      <c r="K5149" s="17"/>
      <c r="L5149" s="17" t="s">
        <v>10792</v>
      </c>
      <c r="M5149" s="17"/>
      <c r="N5149" s="17" t="s">
        <v>10793</v>
      </c>
      <c r="O5149" s="17"/>
      <c r="P5149" s="17" t="s">
        <v>10794</v>
      </c>
      <c r="Q5149" s="17"/>
      <c r="R5149" s="25" t="str">
        <f>HYPERLINK("https://ictv.global/taxonomy/taxondetails?taxnode_id=202304422","Alphapolyomavirus gorillae")</f>
        <v>Alphapolyomavirus gorillae</v>
      </c>
      <c r="S5149" s="18" t="s">
        <v>30</v>
      </c>
      <c r="T5149" s="18" t="s">
        <v>10829</v>
      </c>
      <c r="U5149" s="18" t="s">
        <v>10830</v>
      </c>
      <c r="V5149" s="18">
        <v>5766</v>
      </c>
      <c r="W5149" s="18" t="s">
        <v>10831</v>
      </c>
      <c r="X5149" s="18" t="s">
        <v>42</v>
      </c>
      <c r="Y5149" s="18" t="s">
        <v>36</v>
      </c>
      <c r="Z5149" s="18" t="s">
        <v>166</v>
      </c>
      <c r="AA5149" s="21" t="str">
        <f>HYPERLINK("https://www.ncbi.nlm.nih.gov/nuccore/HQ385752","NCBI Nucleotide")</f>
        <v>NCBI Nucleotide</v>
      </c>
    </row>
    <row r="5150" spans="1:27" x14ac:dyDescent="0.35">
      <c r="A5150">
        <v>1006865</v>
      </c>
      <c r="B5150">
        <v>5099</v>
      </c>
      <c r="C5150">
        <v>1</v>
      </c>
      <c r="D5150" s="17" t="s">
        <v>10507</v>
      </c>
      <c r="E5150" s="17"/>
      <c r="F5150" s="17" t="s">
        <v>10780</v>
      </c>
      <c r="G5150" s="17"/>
      <c r="H5150" s="17" t="s">
        <v>10781</v>
      </c>
      <c r="I5150" s="17"/>
      <c r="J5150" s="17" t="s">
        <v>10791</v>
      </c>
      <c r="K5150" s="17"/>
      <c r="L5150" s="17" t="s">
        <v>10792</v>
      </c>
      <c r="M5150" s="17"/>
      <c r="N5150" s="17" t="s">
        <v>10793</v>
      </c>
      <c r="O5150" s="17"/>
      <c r="P5150" s="17" t="s">
        <v>10794</v>
      </c>
      <c r="Q5150" s="17"/>
      <c r="R5150" s="25" t="str">
        <f>HYPERLINK("https://ictv.global/taxonomy/taxondetails?taxnode_id=202304428","Alphapolyomavirus macacae")</f>
        <v>Alphapolyomavirus macacae</v>
      </c>
      <c r="S5150" s="18" t="s">
        <v>30</v>
      </c>
      <c r="T5150" s="18" t="s">
        <v>10832</v>
      </c>
      <c r="U5150" s="18" t="s">
        <v>10833</v>
      </c>
      <c r="V5150" s="18">
        <v>2085</v>
      </c>
      <c r="W5150" s="18" t="s">
        <v>10834</v>
      </c>
      <c r="X5150" s="18" t="s">
        <v>42</v>
      </c>
      <c r="Y5150" s="18" t="s">
        <v>36</v>
      </c>
      <c r="Z5150" s="18" t="s">
        <v>166</v>
      </c>
      <c r="AA5150" s="21" t="str">
        <f>HYPERLINK("https://www.ncbi.nlm.nih.gov/nuccore/JX159986","NCBI Nucleotide")</f>
        <v>NCBI Nucleotide</v>
      </c>
    </row>
    <row r="5151" spans="1:27" x14ac:dyDescent="0.35">
      <c r="A5151">
        <v>1006866</v>
      </c>
      <c r="B5151">
        <v>5100</v>
      </c>
      <c r="C5151">
        <v>1</v>
      </c>
      <c r="D5151" s="17" t="s">
        <v>10507</v>
      </c>
      <c r="E5151" s="17"/>
      <c r="F5151" s="17" t="s">
        <v>10780</v>
      </c>
      <c r="G5151" s="17"/>
      <c r="H5151" s="17" t="s">
        <v>10781</v>
      </c>
      <c r="I5151" s="17"/>
      <c r="J5151" s="17" t="s">
        <v>10791</v>
      </c>
      <c r="K5151" s="17"/>
      <c r="L5151" s="17" t="s">
        <v>10792</v>
      </c>
      <c r="M5151" s="17"/>
      <c r="N5151" s="17" t="s">
        <v>10793</v>
      </c>
      <c r="O5151" s="17"/>
      <c r="P5151" s="17" t="s">
        <v>10794</v>
      </c>
      <c r="Q5151" s="17"/>
      <c r="R5151" s="25" t="str">
        <f>HYPERLINK("https://ictv.global/taxonomy/taxondetails?taxnode_id=202304429","Alphapolyomavirus mauratus")</f>
        <v>Alphapolyomavirus mauratus</v>
      </c>
      <c r="S5151" s="18" t="s">
        <v>30</v>
      </c>
      <c r="T5151" s="18" t="s">
        <v>10835</v>
      </c>
      <c r="U5151" s="18" t="s">
        <v>10836</v>
      </c>
      <c r="V5151" s="18" t="s">
        <v>10837</v>
      </c>
      <c r="W5151" s="18" t="s">
        <v>10838</v>
      </c>
      <c r="X5151" s="18" t="s">
        <v>42</v>
      </c>
      <c r="Y5151" s="18" t="s">
        <v>36</v>
      </c>
      <c r="Z5151" s="18" t="s">
        <v>166</v>
      </c>
      <c r="AA5151" s="21" t="str">
        <f>HYPERLINK("https://www.ncbi.nlm.nih.gov/nuccore/JX036360","NCBI Nucleotide")</f>
        <v>NCBI Nucleotide</v>
      </c>
    </row>
    <row r="5152" spans="1:27" x14ac:dyDescent="0.35">
      <c r="A5152">
        <v>1006867</v>
      </c>
      <c r="B5152">
        <v>5101</v>
      </c>
      <c r="C5152">
        <v>1</v>
      </c>
      <c r="D5152" s="17" t="s">
        <v>10507</v>
      </c>
      <c r="E5152" s="17"/>
      <c r="F5152" s="17" t="s">
        <v>10780</v>
      </c>
      <c r="G5152" s="17"/>
      <c r="H5152" s="17" t="s">
        <v>10781</v>
      </c>
      <c r="I5152" s="17"/>
      <c r="J5152" s="17" t="s">
        <v>10791</v>
      </c>
      <c r="K5152" s="17"/>
      <c r="L5152" s="17" t="s">
        <v>10792</v>
      </c>
      <c r="M5152" s="17"/>
      <c r="N5152" s="17" t="s">
        <v>10793</v>
      </c>
      <c r="O5152" s="17"/>
      <c r="P5152" s="17" t="s">
        <v>10794</v>
      </c>
      <c r="Q5152" s="17"/>
      <c r="R5152" s="25" t="str">
        <f>HYPERLINK("https://ictv.global/taxonomy/taxondetails?taxnode_id=202306343","Alphapolyomavirus mischreibersii")</f>
        <v>Alphapolyomavirus mischreibersii</v>
      </c>
      <c r="S5152" s="18" t="s">
        <v>30</v>
      </c>
      <c r="T5152" s="18" t="s">
        <v>10839</v>
      </c>
      <c r="U5152" s="18" t="s">
        <v>10840</v>
      </c>
      <c r="V5152" s="18" t="s">
        <v>10841</v>
      </c>
      <c r="W5152" s="18" t="s">
        <v>10842</v>
      </c>
      <c r="X5152" s="18" t="s">
        <v>42</v>
      </c>
      <c r="Y5152" s="18" t="s">
        <v>36</v>
      </c>
      <c r="Z5152" s="18" t="s">
        <v>166</v>
      </c>
      <c r="AA5152" s="21" t="str">
        <f>HYPERLINK("https://www.ncbi.nlm.nih.gov/nuccore/LC185213","NCBI Nucleotide")</f>
        <v>NCBI Nucleotide</v>
      </c>
    </row>
    <row r="5153" spans="1:27" x14ac:dyDescent="0.35">
      <c r="A5153">
        <v>1006868</v>
      </c>
      <c r="B5153">
        <v>5102</v>
      </c>
      <c r="C5153">
        <v>1</v>
      </c>
      <c r="D5153" s="17" t="s">
        <v>10507</v>
      </c>
      <c r="E5153" s="17"/>
      <c r="F5153" s="17" t="s">
        <v>10780</v>
      </c>
      <c r="G5153" s="17"/>
      <c r="H5153" s="17" t="s">
        <v>10781</v>
      </c>
      <c r="I5153" s="17"/>
      <c r="J5153" s="17" t="s">
        <v>10791</v>
      </c>
      <c r="K5153" s="17"/>
      <c r="L5153" s="17" t="s">
        <v>10792</v>
      </c>
      <c r="M5153" s="17"/>
      <c r="N5153" s="17" t="s">
        <v>10793</v>
      </c>
      <c r="O5153" s="17"/>
      <c r="P5153" s="17" t="s">
        <v>10794</v>
      </c>
      <c r="Q5153" s="17"/>
      <c r="R5153" s="25" t="str">
        <f>HYPERLINK("https://ictv.global/taxonomy/taxondetails?taxnode_id=202304430","Alphapolyomavirus molossi")</f>
        <v>Alphapolyomavirus molossi</v>
      </c>
      <c r="S5153" s="18" t="s">
        <v>30</v>
      </c>
      <c r="T5153" s="18" t="s">
        <v>10843</v>
      </c>
      <c r="U5153" s="18" t="s">
        <v>10844</v>
      </c>
      <c r="V5153" s="18" t="s">
        <v>10845</v>
      </c>
      <c r="W5153" s="18" t="s">
        <v>10846</v>
      </c>
      <c r="X5153" s="18" t="s">
        <v>42</v>
      </c>
      <c r="Y5153" s="18" t="s">
        <v>36</v>
      </c>
      <c r="Z5153" s="18" t="s">
        <v>166</v>
      </c>
      <c r="AA5153" s="21" t="str">
        <f>HYPERLINK("https://www.ncbi.nlm.nih.gov/nuccore/JQ958893","NCBI Nucleotide")</f>
        <v>NCBI Nucleotide</v>
      </c>
    </row>
    <row r="5154" spans="1:27" x14ac:dyDescent="0.35">
      <c r="A5154">
        <v>1006869</v>
      </c>
      <c r="B5154">
        <v>5103</v>
      </c>
      <c r="C5154">
        <v>1</v>
      </c>
      <c r="D5154" s="17" t="s">
        <v>10507</v>
      </c>
      <c r="E5154" s="17"/>
      <c r="F5154" s="17" t="s">
        <v>10780</v>
      </c>
      <c r="G5154" s="17"/>
      <c r="H5154" s="17" t="s">
        <v>10781</v>
      </c>
      <c r="I5154" s="17"/>
      <c r="J5154" s="17" t="s">
        <v>10791</v>
      </c>
      <c r="K5154" s="17"/>
      <c r="L5154" s="17" t="s">
        <v>10792</v>
      </c>
      <c r="M5154" s="17"/>
      <c r="N5154" s="17" t="s">
        <v>10793</v>
      </c>
      <c r="O5154" s="17"/>
      <c r="P5154" s="17" t="s">
        <v>10794</v>
      </c>
      <c r="Q5154" s="17"/>
      <c r="R5154" s="25" t="str">
        <f>HYPERLINK("https://ictv.global/taxonomy/taxondetails?taxnode_id=202304431","Alphapolyomavirus muris")</f>
        <v>Alphapolyomavirus muris</v>
      </c>
      <c r="S5154" s="18" t="s">
        <v>30</v>
      </c>
      <c r="T5154" s="18" t="s">
        <v>10847</v>
      </c>
      <c r="U5154" s="18" t="s">
        <v>10848</v>
      </c>
      <c r="V5154" s="18" t="s">
        <v>10849</v>
      </c>
      <c r="W5154" s="18" t="s">
        <v>10850</v>
      </c>
      <c r="X5154" s="18" t="s">
        <v>42</v>
      </c>
      <c r="Y5154" s="18" t="s">
        <v>36</v>
      </c>
      <c r="Z5154" s="18" t="s">
        <v>166</v>
      </c>
      <c r="AA5154" s="21" t="str">
        <f>HYPERLINK("https://www.ncbi.nlm.nih.gov/nuccore/AF442959","NCBI Nucleotide")</f>
        <v>NCBI Nucleotide</v>
      </c>
    </row>
    <row r="5155" spans="1:27" x14ac:dyDescent="0.35">
      <c r="A5155">
        <v>1006870</v>
      </c>
      <c r="B5155">
        <v>5104</v>
      </c>
      <c r="C5155">
        <v>1</v>
      </c>
      <c r="D5155" s="17" t="s">
        <v>10507</v>
      </c>
      <c r="E5155" s="17"/>
      <c r="F5155" s="17" t="s">
        <v>10780</v>
      </c>
      <c r="G5155" s="17"/>
      <c r="H5155" s="17" t="s">
        <v>10781</v>
      </c>
      <c r="I5155" s="17"/>
      <c r="J5155" s="17" t="s">
        <v>10791</v>
      </c>
      <c r="K5155" s="17"/>
      <c r="L5155" s="17" t="s">
        <v>10792</v>
      </c>
      <c r="M5155" s="17"/>
      <c r="N5155" s="17" t="s">
        <v>10793</v>
      </c>
      <c r="O5155" s="17"/>
      <c r="P5155" s="17" t="s">
        <v>10794</v>
      </c>
      <c r="Q5155" s="17"/>
      <c r="R5155" s="25" t="str">
        <f>HYPERLINK("https://ictv.global/taxonomy/taxondetails?taxnode_id=202304425","Alphapolyomavirus nonihominis")</f>
        <v>Alphapolyomavirus nonihominis</v>
      </c>
      <c r="S5155" s="18" t="s">
        <v>30</v>
      </c>
      <c r="T5155" s="18" t="s">
        <v>10851</v>
      </c>
      <c r="U5155" s="18" t="s">
        <v>10852</v>
      </c>
      <c r="V5155" s="18">
        <v>2540</v>
      </c>
      <c r="W5155" s="18" t="s">
        <v>10853</v>
      </c>
      <c r="X5155" s="18" t="s">
        <v>42</v>
      </c>
      <c r="Y5155" s="18" t="s">
        <v>36</v>
      </c>
      <c r="Z5155" s="18" t="s">
        <v>166</v>
      </c>
      <c r="AA5155" s="21" t="str">
        <f>HYPERLINK("https://www.ncbi.nlm.nih.gov/nuccore/HQ696595","NCBI Nucleotide")</f>
        <v>NCBI Nucleotide</v>
      </c>
    </row>
    <row r="5156" spans="1:27" x14ac:dyDescent="0.35">
      <c r="A5156">
        <v>1006871</v>
      </c>
      <c r="B5156">
        <v>5105</v>
      </c>
      <c r="C5156">
        <v>1</v>
      </c>
      <c r="D5156" s="17" t="s">
        <v>10507</v>
      </c>
      <c r="E5156" s="17"/>
      <c r="F5156" s="17" t="s">
        <v>10780</v>
      </c>
      <c r="G5156" s="17"/>
      <c r="H5156" s="17" t="s">
        <v>10781</v>
      </c>
      <c r="I5156" s="17"/>
      <c r="J5156" s="17" t="s">
        <v>10791</v>
      </c>
      <c r="K5156" s="17"/>
      <c r="L5156" s="17" t="s">
        <v>10792</v>
      </c>
      <c r="M5156" s="17"/>
      <c r="N5156" s="17" t="s">
        <v>10793</v>
      </c>
      <c r="O5156" s="17"/>
      <c r="P5156" s="17" t="s">
        <v>10794</v>
      </c>
      <c r="Q5156" s="17"/>
      <c r="R5156" s="25" t="str">
        <f>HYPERLINK("https://ictv.global/taxonomy/taxondetails?taxnode_id=202304424","Alphapolyomavirus octihominis")</f>
        <v>Alphapolyomavirus octihominis</v>
      </c>
      <c r="S5156" s="18" t="s">
        <v>30</v>
      </c>
      <c r="T5156" s="18" t="s">
        <v>10854</v>
      </c>
      <c r="U5156" s="18" t="s">
        <v>10855</v>
      </c>
      <c r="V5156" s="18" t="s">
        <v>10856</v>
      </c>
      <c r="W5156" s="18" t="s">
        <v>10857</v>
      </c>
      <c r="X5156" s="18" t="s">
        <v>42</v>
      </c>
      <c r="Y5156" s="18" t="s">
        <v>36</v>
      </c>
      <c r="Z5156" s="18" t="s">
        <v>166</v>
      </c>
      <c r="AA5156" s="21" t="str">
        <f>HYPERLINK("https://www.ncbi.nlm.nih.gov/nuccore/GU989205","NCBI Nucleotide")</f>
        <v>NCBI Nucleotide</v>
      </c>
    </row>
    <row r="5157" spans="1:27" x14ac:dyDescent="0.35">
      <c r="A5157">
        <v>1006872</v>
      </c>
      <c r="B5157">
        <v>5106</v>
      </c>
      <c r="C5157">
        <v>1</v>
      </c>
      <c r="D5157" s="17" t="s">
        <v>10507</v>
      </c>
      <c r="E5157" s="17"/>
      <c r="F5157" s="17" t="s">
        <v>10780</v>
      </c>
      <c r="G5157" s="17"/>
      <c r="H5157" s="17" t="s">
        <v>10781</v>
      </c>
      <c r="I5157" s="17"/>
      <c r="J5157" s="17" t="s">
        <v>10791</v>
      </c>
      <c r="K5157" s="17"/>
      <c r="L5157" s="17" t="s">
        <v>10792</v>
      </c>
      <c r="M5157" s="17"/>
      <c r="N5157" s="17" t="s">
        <v>10793</v>
      </c>
      <c r="O5157" s="17"/>
      <c r="P5157" s="17" t="s">
        <v>10794</v>
      </c>
      <c r="Q5157" s="17"/>
      <c r="R5157" s="25" t="str">
        <f>HYPERLINK("https://ictv.global/taxonomy/taxondetails?taxnode_id=202304432","Alphapolyomavirus omartiensseni")</f>
        <v>Alphapolyomavirus omartiensseni</v>
      </c>
      <c r="S5157" s="18" t="s">
        <v>30</v>
      </c>
      <c r="T5157" s="18" t="s">
        <v>10858</v>
      </c>
      <c r="U5157" s="18" t="s">
        <v>10859</v>
      </c>
      <c r="V5157" s="18" t="s">
        <v>10860</v>
      </c>
      <c r="W5157" s="18" t="s">
        <v>10861</v>
      </c>
      <c r="X5157" s="18" t="s">
        <v>42</v>
      </c>
      <c r="Y5157" s="18" t="s">
        <v>36</v>
      </c>
      <c r="Z5157" s="18" t="s">
        <v>166</v>
      </c>
      <c r="AA5157" s="21" t="str">
        <f>HYPERLINK("https://www.ncbi.nlm.nih.gov/nuccore/JX520664","NCBI Nucleotide")</f>
        <v>NCBI Nucleotide</v>
      </c>
    </row>
    <row r="5158" spans="1:27" x14ac:dyDescent="0.35">
      <c r="A5158">
        <v>1006873</v>
      </c>
      <c r="B5158">
        <v>5107</v>
      </c>
      <c r="C5158">
        <v>1</v>
      </c>
      <c r="D5158" s="17" t="s">
        <v>10507</v>
      </c>
      <c r="E5158" s="17"/>
      <c r="F5158" s="17" t="s">
        <v>10780</v>
      </c>
      <c r="G5158" s="17"/>
      <c r="H5158" s="17" t="s">
        <v>10781</v>
      </c>
      <c r="I5158" s="17"/>
      <c r="J5158" s="17" t="s">
        <v>10791</v>
      </c>
      <c r="K5158" s="17"/>
      <c r="L5158" s="17" t="s">
        <v>10792</v>
      </c>
      <c r="M5158" s="17"/>
      <c r="N5158" s="17" t="s">
        <v>10793</v>
      </c>
      <c r="O5158" s="17"/>
      <c r="P5158" s="17" t="s">
        <v>10794</v>
      </c>
      <c r="Q5158" s="17"/>
      <c r="R5158" s="25" t="str">
        <f>HYPERLINK("https://ictv.global/taxonomy/taxondetails?taxnode_id=202304441","Alphapolyomavirus pacynocephalus")</f>
        <v>Alphapolyomavirus pacynocephalus</v>
      </c>
      <c r="S5158" s="18" t="s">
        <v>30</v>
      </c>
      <c r="T5158" s="18" t="s">
        <v>10862</v>
      </c>
      <c r="U5158" s="18" t="s">
        <v>10863</v>
      </c>
      <c r="V5158" s="18" t="s">
        <v>10864</v>
      </c>
      <c r="W5158" s="18" t="s">
        <v>10865</v>
      </c>
      <c r="X5158" s="18" t="s">
        <v>42</v>
      </c>
      <c r="Y5158" s="18" t="s">
        <v>36</v>
      </c>
      <c r="Z5158" s="18" t="s">
        <v>166</v>
      </c>
      <c r="AA5158" s="21" t="str">
        <f>HYPERLINK("https://www.ncbi.nlm.nih.gov/nuccore/AB767294","NCBI Nucleotide")</f>
        <v>NCBI Nucleotide</v>
      </c>
    </row>
    <row r="5159" spans="1:27" x14ac:dyDescent="0.35">
      <c r="A5159">
        <v>1006874</v>
      </c>
      <c r="B5159">
        <v>5108</v>
      </c>
      <c r="C5159">
        <v>1</v>
      </c>
      <c r="D5159" s="17" t="s">
        <v>10507</v>
      </c>
      <c r="E5159" s="17"/>
      <c r="F5159" s="17" t="s">
        <v>10780</v>
      </c>
      <c r="G5159" s="17"/>
      <c r="H5159" s="17" t="s">
        <v>10781</v>
      </c>
      <c r="I5159" s="17"/>
      <c r="J5159" s="17" t="s">
        <v>10791</v>
      </c>
      <c r="K5159" s="17"/>
      <c r="L5159" s="17" t="s">
        <v>10792</v>
      </c>
      <c r="M5159" s="17"/>
      <c r="N5159" s="17" t="s">
        <v>10793</v>
      </c>
      <c r="O5159" s="17"/>
      <c r="P5159" s="17" t="s">
        <v>10794</v>
      </c>
      <c r="Q5159" s="17"/>
      <c r="R5159" s="25" t="str">
        <f>HYPERLINK("https://ictv.global/taxonomy/taxondetails?taxnode_id=202304434","Alphapolyomavirus panos")</f>
        <v>Alphapolyomavirus panos</v>
      </c>
      <c r="S5159" s="18" t="s">
        <v>30</v>
      </c>
      <c r="T5159" s="18" t="s">
        <v>10866</v>
      </c>
      <c r="U5159" s="18" t="s">
        <v>10867</v>
      </c>
      <c r="V5159" s="18" t="s">
        <v>10868</v>
      </c>
      <c r="W5159" s="18" t="s">
        <v>10869</v>
      </c>
      <c r="X5159" s="18" t="s">
        <v>42</v>
      </c>
      <c r="Y5159" s="18" t="s">
        <v>36</v>
      </c>
      <c r="Z5159" s="18" t="s">
        <v>166</v>
      </c>
      <c r="AA5159" s="21" t="str">
        <f>HYPERLINK("https://www.ncbi.nlm.nih.gov/nuccore/FR692334","NCBI Nucleotide")</f>
        <v>NCBI Nucleotide</v>
      </c>
    </row>
    <row r="5160" spans="1:27" x14ac:dyDescent="0.35">
      <c r="A5160">
        <v>1006875</v>
      </c>
      <c r="B5160">
        <v>5109</v>
      </c>
      <c r="C5160">
        <v>1</v>
      </c>
      <c r="D5160" s="17" t="s">
        <v>10507</v>
      </c>
      <c r="E5160" s="17"/>
      <c r="F5160" s="17" t="s">
        <v>10780</v>
      </c>
      <c r="G5160" s="17"/>
      <c r="H5160" s="17" t="s">
        <v>10781</v>
      </c>
      <c r="I5160" s="17"/>
      <c r="J5160" s="17" t="s">
        <v>10791</v>
      </c>
      <c r="K5160" s="17"/>
      <c r="L5160" s="17" t="s">
        <v>10792</v>
      </c>
      <c r="M5160" s="17"/>
      <c r="N5160" s="17" t="s">
        <v>10793</v>
      </c>
      <c r="O5160" s="17"/>
      <c r="P5160" s="17" t="s">
        <v>10794</v>
      </c>
      <c r="Q5160" s="17"/>
      <c r="R5160" s="25" t="str">
        <f>HYPERLINK("https://ictv.global/taxonomy/taxondetails?taxnode_id=202309586","Alphapolyomavirus philantombae")</f>
        <v>Alphapolyomavirus philantombae</v>
      </c>
      <c r="S5160" s="18" t="s">
        <v>30</v>
      </c>
      <c r="T5160" s="18" t="s">
        <v>10870</v>
      </c>
      <c r="U5160" s="18" t="s">
        <v>10871</v>
      </c>
      <c r="V5160" s="18" t="s">
        <v>10872</v>
      </c>
      <c r="W5160" s="18" t="s">
        <v>10873</v>
      </c>
      <c r="X5160" s="18" t="s">
        <v>42</v>
      </c>
      <c r="Y5160" s="18" t="s">
        <v>36</v>
      </c>
      <c r="Z5160" s="18" t="s">
        <v>166</v>
      </c>
      <c r="AA5160" s="21" t="str">
        <f>HYPERLINK("https://www.ncbi.nlm.nih.gov/nuccore/MG654482","NCBI Nucleotide")</f>
        <v>NCBI Nucleotide</v>
      </c>
    </row>
    <row r="5161" spans="1:27" x14ac:dyDescent="0.35">
      <c r="A5161">
        <v>1006876</v>
      </c>
      <c r="B5161">
        <v>5110</v>
      </c>
      <c r="C5161">
        <v>1</v>
      </c>
      <c r="D5161" s="17" t="s">
        <v>10507</v>
      </c>
      <c r="E5161" s="17"/>
      <c r="F5161" s="17" t="s">
        <v>10780</v>
      </c>
      <c r="G5161" s="17"/>
      <c r="H5161" s="17" t="s">
        <v>10781</v>
      </c>
      <c r="I5161" s="17"/>
      <c r="J5161" s="17" t="s">
        <v>10791</v>
      </c>
      <c r="K5161" s="17"/>
      <c r="L5161" s="17" t="s">
        <v>10792</v>
      </c>
      <c r="M5161" s="17"/>
      <c r="N5161" s="17" t="s">
        <v>10793</v>
      </c>
      <c r="O5161" s="17"/>
      <c r="P5161" s="17" t="s">
        <v>10794</v>
      </c>
      <c r="Q5161" s="17"/>
      <c r="R5161" s="25" t="str">
        <f>HYPERLINK("https://ictv.global/taxonomy/taxondetails?taxnode_id=202305904","Alphapolyomavirus pibadius")</f>
        <v>Alphapolyomavirus pibadius</v>
      </c>
      <c r="S5161" s="18" t="s">
        <v>30</v>
      </c>
      <c r="T5161" s="18" t="s">
        <v>10874</v>
      </c>
      <c r="U5161" s="18" t="s">
        <v>10875</v>
      </c>
      <c r="V5161" s="18">
        <v>5947</v>
      </c>
      <c r="W5161" s="18" t="s">
        <v>10876</v>
      </c>
      <c r="X5161" s="18" t="s">
        <v>42</v>
      </c>
      <c r="Y5161" s="18" t="s">
        <v>36</v>
      </c>
      <c r="Z5161" s="18" t="s">
        <v>166</v>
      </c>
      <c r="AA5161" s="21" t="str">
        <f>HYPERLINK("https://www.ncbi.nlm.nih.gov/nuccore/KX509984","NCBI Nucleotide")</f>
        <v>NCBI Nucleotide</v>
      </c>
    </row>
    <row r="5162" spans="1:27" x14ac:dyDescent="0.35">
      <c r="A5162">
        <v>1006877</v>
      </c>
      <c r="B5162">
        <v>5111</v>
      </c>
      <c r="C5162">
        <v>1</v>
      </c>
      <c r="D5162" s="17" t="s">
        <v>10507</v>
      </c>
      <c r="E5162" s="17"/>
      <c r="F5162" s="17" t="s">
        <v>10780</v>
      </c>
      <c r="G5162" s="17"/>
      <c r="H5162" s="17" t="s">
        <v>10781</v>
      </c>
      <c r="I5162" s="17"/>
      <c r="J5162" s="17" t="s">
        <v>10791</v>
      </c>
      <c r="K5162" s="17"/>
      <c r="L5162" s="17" t="s">
        <v>10792</v>
      </c>
      <c r="M5162" s="17"/>
      <c r="N5162" s="17" t="s">
        <v>10793</v>
      </c>
      <c r="O5162" s="17"/>
      <c r="P5162" s="17" t="s">
        <v>10794</v>
      </c>
      <c r="Q5162" s="17"/>
      <c r="R5162" s="25" t="str">
        <f>HYPERLINK("https://ictv.global/taxonomy/taxondetails?taxnode_id=202304442","Alphapolyomavirus pirufomitratus")</f>
        <v>Alphapolyomavirus pirufomitratus</v>
      </c>
      <c r="S5162" s="18" t="s">
        <v>30</v>
      </c>
      <c r="T5162" s="18" t="s">
        <v>10877</v>
      </c>
      <c r="U5162" s="18" t="s">
        <v>10878</v>
      </c>
      <c r="V5162" s="18">
        <v>4601</v>
      </c>
      <c r="W5162" s="18" t="s">
        <v>10879</v>
      </c>
      <c r="X5162" s="18" t="s">
        <v>42</v>
      </c>
      <c r="Y5162" s="18" t="s">
        <v>36</v>
      </c>
      <c r="Z5162" s="18" t="s">
        <v>166</v>
      </c>
      <c r="AA5162" s="21" t="str">
        <f>HYPERLINK("https://www.ncbi.nlm.nih.gov/nuccore/JX159984","NCBI Nucleotide")</f>
        <v>NCBI Nucleotide</v>
      </c>
    </row>
    <row r="5163" spans="1:27" x14ac:dyDescent="0.35">
      <c r="A5163">
        <v>1006878</v>
      </c>
      <c r="B5163">
        <v>5112</v>
      </c>
      <c r="C5163">
        <v>1</v>
      </c>
      <c r="D5163" s="17" t="s">
        <v>10507</v>
      </c>
      <c r="E5163" s="17"/>
      <c r="F5163" s="17" t="s">
        <v>10780</v>
      </c>
      <c r="G5163" s="17"/>
      <c r="H5163" s="17" t="s">
        <v>10781</v>
      </c>
      <c r="I5163" s="17"/>
      <c r="J5163" s="17" t="s">
        <v>10791</v>
      </c>
      <c r="K5163" s="17"/>
      <c r="L5163" s="17" t="s">
        <v>10792</v>
      </c>
      <c r="M5163" s="17"/>
      <c r="N5163" s="17" t="s">
        <v>10793</v>
      </c>
      <c r="O5163" s="17"/>
      <c r="P5163" s="17" t="s">
        <v>10794</v>
      </c>
      <c r="Q5163" s="17"/>
      <c r="R5163" s="25" t="str">
        <f>HYPERLINK("https://ictv.global/taxonomy/taxondetails?taxnode_id=202304443","Alphapolyomavirus ponabelii")</f>
        <v>Alphapolyomavirus ponabelii</v>
      </c>
      <c r="S5163" s="18" t="s">
        <v>30</v>
      </c>
      <c r="T5163" s="18" t="s">
        <v>10880</v>
      </c>
      <c r="U5163" s="18" t="s">
        <v>10881</v>
      </c>
      <c r="V5163" s="18" t="s">
        <v>10882</v>
      </c>
      <c r="W5163" s="18" t="s">
        <v>10883</v>
      </c>
      <c r="X5163" s="18" t="s">
        <v>42</v>
      </c>
      <c r="Y5163" s="18" t="s">
        <v>36</v>
      </c>
      <c r="Z5163" s="18" t="s">
        <v>166</v>
      </c>
      <c r="AA5163" s="21" t="str">
        <f>HYPERLINK("https://www.ncbi.nlm.nih.gov/nuccore/FN356901","NCBI Nucleotide")</f>
        <v>NCBI Nucleotide</v>
      </c>
    </row>
    <row r="5164" spans="1:27" x14ac:dyDescent="0.35">
      <c r="A5164">
        <v>1006879</v>
      </c>
      <c r="B5164">
        <v>5113</v>
      </c>
      <c r="C5164">
        <v>1</v>
      </c>
      <c r="D5164" s="17" t="s">
        <v>10507</v>
      </c>
      <c r="E5164" s="17"/>
      <c r="F5164" s="17" t="s">
        <v>10780</v>
      </c>
      <c r="G5164" s="17"/>
      <c r="H5164" s="17" t="s">
        <v>10781</v>
      </c>
      <c r="I5164" s="17"/>
      <c r="J5164" s="17" t="s">
        <v>10791</v>
      </c>
      <c r="K5164" s="17"/>
      <c r="L5164" s="17" t="s">
        <v>10792</v>
      </c>
      <c r="M5164" s="17"/>
      <c r="N5164" s="17" t="s">
        <v>10793</v>
      </c>
      <c r="O5164" s="17"/>
      <c r="P5164" s="17" t="s">
        <v>10794</v>
      </c>
      <c r="Q5164" s="17"/>
      <c r="R5164" s="25" t="str">
        <f>HYPERLINK("https://ictv.global/taxonomy/taxondetails?taxnode_id=202304444","Alphapolyomavirus ponpygmaeus")</f>
        <v>Alphapolyomavirus ponpygmaeus</v>
      </c>
      <c r="S5164" s="18" t="s">
        <v>30</v>
      </c>
      <c r="T5164" s="18" t="s">
        <v>10884</v>
      </c>
      <c r="U5164" s="18" t="s">
        <v>10885</v>
      </c>
      <c r="V5164" s="18" t="s">
        <v>10886</v>
      </c>
      <c r="W5164" s="18" t="s">
        <v>10887</v>
      </c>
      <c r="X5164" s="18" t="s">
        <v>42</v>
      </c>
      <c r="Y5164" s="18" t="s">
        <v>36</v>
      </c>
      <c r="Z5164" s="18" t="s">
        <v>166</v>
      </c>
      <c r="AA5164" s="21" t="str">
        <f>HYPERLINK("https://www.ncbi.nlm.nih.gov/nuccore/FN356900","NCBI Nucleotide")</f>
        <v>NCBI Nucleotide</v>
      </c>
    </row>
    <row r="5165" spans="1:27" x14ac:dyDescent="0.35">
      <c r="A5165">
        <v>1006880</v>
      </c>
      <c r="B5165">
        <v>5114</v>
      </c>
      <c r="C5165">
        <v>1</v>
      </c>
      <c r="D5165" s="17" t="s">
        <v>10507</v>
      </c>
      <c r="E5165" s="17"/>
      <c r="F5165" s="17" t="s">
        <v>10780</v>
      </c>
      <c r="G5165" s="17"/>
      <c r="H5165" s="17" t="s">
        <v>10781</v>
      </c>
      <c r="I5165" s="17"/>
      <c r="J5165" s="17" t="s">
        <v>10791</v>
      </c>
      <c r="K5165" s="17"/>
      <c r="L5165" s="17" t="s">
        <v>10792</v>
      </c>
      <c r="M5165" s="17"/>
      <c r="N5165" s="17" t="s">
        <v>10793</v>
      </c>
      <c r="O5165" s="17"/>
      <c r="P5165" s="17" t="s">
        <v>10794</v>
      </c>
      <c r="Q5165" s="17"/>
      <c r="R5165" s="25" t="str">
        <f>HYPERLINK("https://ictv.global/taxonomy/taxondetails?taxnode_id=202304445","Alphapolyomavirus procyonis")</f>
        <v>Alphapolyomavirus procyonis</v>
      </c>
      <c r="S5165" s="18" t="s">
        <v>30</v>
      </c>
      <c r="T5165" s="18" t="s">
        <v>10888</v>
      </c>
      <c r="U5165" s="18" t="s">
        <v>10889</v>
      </c>
      <c r="V5165" s="18" t="s">
        <v>10890</v>
      </c>
      <c r="W5165" s="18" t="s">
        <v>10891</v>
      </c>
      <c r="X5165" s="18" t="s">
        <v>42</v>
      </c>
      <c r="Y5165" s="18" t="s">
        <v>36</v>
      </c>
      <c r="Z5165" s="18" t="s">
        <v>166</v>
      </c>
      <c r="AA5165" s="21" t="str">
        <f>HYPERLINK("https://www.ncbi.nlm.nih.gov/nuccore/JQ178241","NCBI Nucleotide")</f>
        <v>NCBI Nucleotide</v>
      </c>
    </row>
    <row r="5166" spans="1:27" x14ac:dyDescent="0.35">
      <c r="A5166">
        <v>1006881</v>
      </c>
      <c r="B5166">
        <v>5115</v>
      </c>
      <c r="C5166">
        <v>1</v>
      </c>
      <c r="D5166" s="17" t="s">
        <v>10507</v>
      </c>
      <c r="E5166" s="17"/>
      <c r="F5166" s="17" t="s">
        <v>10780</v>
      </c>
      <c r="G5166" s="17"/>
      <c r="H5166" s="17" t="s">
        <v>10781</v>
      </c>
      <c r="I5166" s="17"/>
      <c r="J5166" s="17" t="s">
        <v>10791</v>
      </c>
      <c r="K5166" s="17"/>
      <c r="L5166" s="17" t="s">
        <v>10792</v>
      </c>
      <c r="M5166" s="17"/>
      <c r="N5166" s="17" t="s">
        <v>10793</v>
      </c>
      <c r="O5166" s="17"/>
      <c r="P5166" s="17" t="s">
        <v>10794</v>
      </c>
      <c r="Q5166" s="17"/>
      <c r="R5166" s="25" t="str">
        <f>HYPERLINK("https://ictv.global/taxonomy/taxondetails?taxnode_id=202304446","Alphapolyomavirus ptevampyrus")</f>
        <v>Alphapolyomavirus ptevampyrus</v>
      </c>
      <c r="S5166" s="18" t="s">
        <v>30</v>
      </c>
      <c r="T5166" s="18" t="s">
        <v>10892</v>
      </c>
      <c r="U5166" s="18" t="s">
        <v>10893</v>
      </c>
      <c r="V5166" s="18" t="s">
        <v>10894</v>
      </c>
      <c r="W5166" s="18" t="s">
        <v>10895</v>
      </c>
      <c r="X5166" s="18" t="s">
        <v>42</v>
      </c>
      <c r="Y5166" s="18" t="s">
        <v>36</v>
      </c>
      <c r="Z5166" s="18" t="s">
        <v>166</v>
      </c>
      <c r="AA5166" s="21" t="str">
        <f>HYPERLINK("https://www.ncbi.nlm.nih.gov/nuccore/AB972944","NCBI Nucleotide")</f>
        <v>NCBI Nucleotide</v>
      </c>
    </row>
    <row r="5167" spans="1:27" x14ac:dyDescent="0.35">
      <c r="A5167">
        <v>1006882</v>
      </c>
      <c r="B5167">
        <v>5116</v>
      </c>
      <c r="C5167">
        <v>1</v>
      </c>
      <c r="D5167" s="17" t="s">
        <v>10507</v>
      </c>
      <c r="E5167" s="17"/>
      <c r="F5167" s="17" t="s">
        <v>10780</v>
      </c>
      <c r="G5167" s="17"/>
      <c r="H5167" s="17" t="s">
        <v>10781</v>
      </c>
      <c r="I5167" s="17"/>
      <c r="J5167" s="17" t="s">
        <v>10791</v>
      </c>
      <c r="K5167" s="17"/>
      <c r="L5167" s="17" t="s">
        <v>10792</v>
      </c>
      <c r="M5167" s="17"/>
      <c r="N5167" s="17" t="s">
        <v>10793</v>
      </c>
      <c r="O5167" s="17"/>
      <c r="P5167" s="17" t="s">
        <v>10794</v>
      </c>
      <c r="Q5167" s="17"/>
      <c r="R5167" s="25" t="str">
        <f>HYPERLINK("https://ictv.global/taxonomy/taxondetails?taxnode_id=202307113","Alphapolyomavirus quardecihominis")</f>
        <v>Alphapolyomavirus quardecihominis</v>
      </c>
      <c r="S5167" s="18" t="s">
        <v>30</v>
      </c>
      <c r="T5167" s="18" t="s">
        <v>10896</v>
      </c>
      <c r="U5167" s="18" t="s">
        <v>10897</v>
      </c>
      <c r="V5167" s="18">
        <v>2016</v>
      </c>
      <c r="W5167" s="18" t="s">
        <v>10898</v>
      </c>
      <c r="X5167" s="18" t="s">
        <v>42</v>
      </c>
      <c r="Y5167" s="18" t="s">
        <v>36</v>
      </c>
      <c r="Z5167" s="18" t="s">
        <v>166</v>
      </c>
      <c r="AA5167" s="21" t="str">
        <f>HYPERLINK("https://www.ncbi.nlm.nih.gov/nuccore/KY404016","NCBI Nucleotide")</f>
        <v>NCBI Nucleotide</v>
      </c>
    </row>
    <row r="5168" spans="1:27" x14ac:dyDescent="0.35">
      <c r="A5168">
        <v>1006883</v>
      </c>
      <c r="B5168">
        <v>5117</v>
      </c>
      <c r="C5168">
        <v>1</v>
      </c>
      <c r="D5168" s="17" t="s">
        <v>10507</v>
      </c>
      <c r="E5168" s="17"/>
      <c r="F5168" s="17" t="s">
        <v>10780</v>
      </c>
      <c r="G5168" s="17"/>
      <c r="H5168" s="17" t="s">
        <v>10781</v>
      </c>
      <c r="I5168" s="17"/>
      <c r="J5168" s="17" t="s">
        <v>10791</v>
      </c>
      <c r="K5168" s="17"/>
      <c r="L5168" s="17" t="s">
        <v>10792</v>
      </c>
      <c r="M5168" s="17"/>
      <c r="N5168" s="17" t="s">
        <v>10793</v>
      </c>
      <c r="O5168" s="17"/>
      <c r="P5168" s="17" t="s">
        <v>10794</v>
      </c>
      <c r="Q5168" s="17"/>
      <c r="R5168" s="25" t="str">
        <f>HYPERLINK("https://ictv.global/taxonomy/taxondetails?taxnode_id=202304437","Alphapolyomavirus quartipanos")</f>
        <v>Alphapolyomavirus quartipanos</v>
      </c>
      <c r="S5168" s="18" t="s">
        <v>30</v>
      </c>
      <c r="T5168" s="18" t="s">
        <v>10899</v>
      </c>
      <c r="U5168" s="18" t="s">
        <v>10900</v>
      </c>
      <c r="V5168" s="18">
        <v>3161</v>
      </c>
      <c r="W5168" s="18" t="s">
        <v>10901</v>
      </c>
      <c r="X5168" s="18" t="s">
        <v>42</v>
      </c>
      <c r="Y5168" s="18" t="s">
        <v>36</v>
      </c>
      <c r="Z5168" s="18" t="s">
        <v>166</v>
      </c>
      <c r="AA5168" s="21" t="str">
        <f>HYPERLINK("https://www.ncbi.nlm.nih.gov/nuccore/JX159980","NCBI Nucleotide")</f>
        <v>NCBI Nucleotide</v>
      </c>
    </row>
    <row r="5169" spans="1:27" x14ac:dyDescent="0.35">
      <c r="A5169">
        <v>1006884</v>
      </c>
      <c r="B5169">
        <v>5118</v>
      </c>
      <c r="C5169">
        <v>1</v>
      </c>
      <c r="D5169" s="17" t="s">
        <v>10507</v>
      </c>
      <c r="E5169" s="17"/>
      <c r="F5169" s="17" t="s">
        <v>10780</v>
      </c>
      <c r="G5169" s="17"/>
      <c r="H5169" s="17" t="s">
        <v>10781</v>
      </c>
      <c r="I5169" s="17"/>
      <c r="J5169" s="17" t="s">
        <v>10791</v>
      </c>
      <c r="K5169" s="17"/>
      <c r="L5169" s="17" t="s">
        <v>10792</v>
      </c>
      <c r="M5169" s="17"/>
      <c r="N5169" s="17" t="s">
        <v>10793</v>
      </c>
      <c r="O5169" s="17"/>
      <c r="P5169" s="17" t="s">
        <v>10794</v>
      </c>
      <c r="Q5169" s="17"/>
      <c r="R5169" s="25" t="str">
        <f>HYPERLINK("https://ictv.global/taxonomy/taxondetails?taxnode_id=202304423","Alphapolyomavirus quintihominis")</f>
        <v>Alphapolyomavirus quintihominis</v>
      </c>
      <c r="S5169" s="18" t="s">
        <v>30</v>
      </c>
      <c r="T5169" s="18" t="s">
        <v>10902</v>
      </c>
      <c r="U5169" s="18" t="s">
        <v>10903</v>
      </c>
      <c r="V5169" s="18" t="s">
        <v>10904</v>
      </c>
      <c r="W5169" s="18" t="s">
        <v>10905</v>
      </c>
      <c r="X5169" s="18" t="s">
        <v>42</v>
      </c>
      <c r="Y5169" s="18" t="s">
        <v>36</v>
      </c>
      <c r="Z5169" s="18" t="s">
        <v>166</v>
      </c>
      <c r="AA5169" s="21" t="str">
        <f>HYPERLINK("https://www.ncbi.nlm.nih.gov/nuccore/HM011556","NCBI Nucleotide")</f>
        <v>NCBI Nucleotide</v>
      </c>
    </row>
    <row r="5170" spans="1:27" x14ac:dyDescent="0.35">
      <c r="A5170">
        <v>1006885</v>
      </c>
      <c r="B5170">
        <v>5119</v>
      </c>
      <c r="C5170">
        <v>1</v>
      </c>
      <c r="D5170" s="17" t="s">
        <v>10507</v>
      </c>
      <c r="E5170" s="17"/>
      <c r="F5170" s="17" t="s">
        <v>10780</v>
      </c>
      <c r="G5170" s="17"/>
      <c r="H5170" s="17" t="s">
        <v>10781</v>
      </c>
      <c r="I5170" s="17"/>
      <c r="J5170" s="17" t="s">
        <v>10791</v>
      </c>
      <c r="K5170" s="17"/>
      <c r="L5170" s="17" t="s">
        <v>10792</v>
      </c>
      <c r="M5170" s="17"/>
      <c r="N5170" s="17" t="s">
        <v>10793</v>
      </c>
      <c r="O5170" s="17"/>
      <c r="P5170" s="17" t="s">
        <v>10794</v>
      </c>
      <c r="Q5170" s="17"/>
      <c r="R5170" s="25" t="str">
        <f>HYPERLINK("https://ictv.global/taxonomy/taxondetails?taxnode_id=202304438","Alphapolyomavirus quintipanos")</f>
        <v>Alphapolyomavirus quintipanos</v>
      </c>
      <c r="S5170" s="18" t="s">
        <v>30</v>
      </c>
      <c r="T5170" s="18" t="s">
        <v>10906</v>
      </c>
      <c r="U5170" s="18" t="s">
        <v>10907</v>
      </c>
      <c r="V5170" s="18">
        <v>3147</v>
      </c>
      <c r="W5170" s="18" t="s">
        <v>10908</v>
      </c>
      <c r="X5170" s="18" t="s">
        <v>42</v>
      </c>
      <c r="Y5170" s="18" t="s">
        <v>36</v>
      </c>
      <c r="Z5170" s="18" t="s">
        <v>166</v>
      </c>
      <c r="AA5170" s="21" t="str">
        <f>HYPERLINK("https://www.ncbi.nlm.nih.gov/nuccore/JX159981","NCBI Nucleotide")</f>
        <v>NCBI Nucleotide</v>
      </c>
    </row>
    <row r="5171" spans="1:27" x14ac:dyDescent="0.35">
      <c r="A5171">
        <v>1006886</v>
      </c>
      <c r="B5171">
        <v>5120</v>
      </c>
      <c r="C5171">
        <v>1</v>
      </c>
      <c r="D5171" s="17" t="s">
        <v>10507</v>
      </c>
      <c r="E5171" s="17"/>
      <c r="F5171" s="17" t="s">
        <v>10780</v>
      </c>
      <c r="G5171" s="17"/>
      <c r="H5171" s="17" t="s">
        <v>10781</v>
      </c>
      <c r="I5171" s="17"/>
      <c r="J5171" s="17" t="s">
        <v>10791</v>
      </c>
      <c r="K5171" s="17"/>
      <c r="L5171" s="17" t="s">
        <v>10792</v>
      </c>
      <c r="M5171" s="17"/>
      <c r="N5171" s="17" t="s">
        <v>10793</v>
      </c>
      <c r="O5171" s="17"/>
      <c r="P5171" s="17" t="s">
        <v>10794</v>
      </c>
      <c r="Q5171" s="17"/>
      <c r="R5171" s="25" t="str">
        <f>HYPERLINK("https://ictv.global/taxonomy/taxondetails?taxnode_id=202304447","Alphapolyomavirus ranorvegicus")</f>
        <v>Alphapolyomavirus ranorvegicus</v>
      </c>
      <c r="S5171" s="18" t="s">
        <v>30</v>
      </c>
      <c r="T5171" s="18" t="s">
        <v>10909</v>
      </c>
      <c r="U5171" s="18" t="s">
        <v>10910</v>
      </c>
      <c r="V5171" s="18">
        <v>3690</v>
      </c>
      <c r="W5171" s="18" t="s">
        <v>10911</v>
      </c>
      <c r="X5171" s="18" t="s">
        <v>42</v>
      </c>
      <c r="Y5171" s="18" t="s">
        <v>36</v>
      </c>
      <c r="Z5171" s="18" t="s">
        <v>166</v>
      </c>
      <c r="AA5171" s="21" t="str">
        <f>HYPERLINK("https://www.ncbi.nlm.nih.gov/nuccore/KR075943","NCBI Nucleotide")</f>
        <v>NCBI Nucleotide</v>
      </c>
    </row>
    <row r="5172" spans="1:27" x14ac:dyDescent="0.35">
      <c r="A5172">
        <v>1006887</v>
      </c>
      <c r="B5172">
        <v>5121</v>
      </c>
      <c r="C5172">
        <v>1</v>
      </c>
      <c r="D5172" s="17" t="s">
        <v>10507</v>
      </c>
      <c r="E5172" s="17"/>
      <c r="F5172" s="17" t="s">
        <v>10780</v>
      </c>
      <c r="G5172" s="17"/>
      <c r="H5172" s="17" t="s">
        <v>10781</v>
      </c>
      <c r="I5172" s="17"/>
      <c r="J5172" s="17" t="s">
        <v>10791</v>
      </c>
      <c r="K5172" s="17"/>
      <c r="L5172" s="17" t="s">
        <v>10792</v>
      </c>
      <c r="M5172" s="17"/>
      <c r="N5172" s="17" t="s">
        <v>10793</v>
      </c>
      <c r="O5172" s="17"/>
      <c r="P5172" s="17" t="s">
        <v>10794</v>
      </c>
      <c r="Q5172" s="17"/>
      <c r="R5172" s="25" t="str">
        <f>HYPERLINK("https://ictv.global/taxonomy/taxondetails?taxnode_id=202304426","Alphapolyomavirus saraneus")</f>
        <v>Alphapolyomavirus saraneus</v>
      </c>
      <c r="S5172" s="18" t="s">
        <v>30</v>
      </c>
      <c r="T5172" s="18" t="s">
        <v>10912</v>
      </c>
      <c r="U5172" s="18" t="s">
        <v>10913</v>
      </c>
      <c r="V5172" s="18" t="s">
        <v>10914</v>
      </c>
      <c r="W5172" s="18" t="s">
        <v>10915</v>
      </c>
      <c r="X5172" s="18" t="s">
        <v>42</v>
      </c>
      <c r="Y5172" s="18" t="s">
        <v>36</v>
      </c>
      <c r="Z5172" s="18" t="s">
        <v>166</v>
      </c>
      <c r="AA5172" s="21" t="str">
        <f>HYPERLINK("https://www.ncbi.nlm.nih.gov/nuccore/MF374997","NCBI Nucleotide")</f>
        <v>NCBI Nucleotide</v>
      </c>
    </row>
    <row r="5173" spans="1:27" x14ac:dyDescent="0.35">
      <c r="A5173">
        <v>1006888</v>
      </c>
      <c r="B5173">
        <v>5122</v>
      </c>
      <c r="C5173">
        <v>1</v>
      </c>
      <c r="D5173" s="17" t="s">
        <v>10507</v>
      </c>
      <c r="E5173" s="17"/>
      <c r="F5173" s="17" t="s">
        <v>10780</v>
      </c>
      <c r="G5173" s="17"/>
      <c r="H5173" s="17" t="s">
        <v>10781</v>
      </c>
      <c r="I5173" s="17"/>
      <c r="J5173" s="17" t="s">
        <v>10791</v>
      </c>
      <c r="K5173" s="17"/>
      <c r="L5173" s="17" t="s">
        <v>10792</v>
      </c>
      <c r="M5173" s="17"/>
      <c r="N5173" s="17" t="s">
        <v>10793</v>
      </c>
      <c r="O5173" s="17"/>
      <c r="P5173" s="17" t="s">
        <v>10794</v>
      </c>
      <c r="Q5173" s="17"/>
      <c r="R5173" s="25" t="str">
        <f>HYPERLINK("https://ictv.global/taxonomy/taxondetails?taxnode_id=202304413","Alphapolyomavirus secarplanirostris")</f>
        <v>Alphapolyomavirus secarplanirostris</v>
      </c>
      <c r="S5173" s="18" t="s">
        <v>30</v>
      </c>
      <c r="T5173" s="18" t="s">
        <v>10916</v>
      </c>
      <c r="U5173" s="18" t="s">
        <v>10917</v>
      </c>
      <c r="V5173" s="18" t="s">
        <v>10918</v>
      </c>
      <c r="W5173" s="18" t="s">
        <v>10919</v>
      </c>
      <c r="X5173" s="18" t="s">
        <v>42</v>
      </c>
      <c r="Y5173" s="18" t="s">
        <v>36</v>
      </c>
      <c r="Z5173" s="18" t="s">
        <v>166</v>
      </c>
      <c r="AA5173" s="21" t="str">
        <f>HYPERLINK("https://www.ncbi.nlm.nih.gov/nuccore/JQ958886","NCBI Nucleotide")</f>
        <v>NCBI Nucleotide</v>
      </c>
    </row>
    <row r="5174" spans="1:27" x14ac:dyDescent="0.35">
      <c r="A5174">
        <v>1006889</v>
      </c>
      <c r="B5174">
        <v>5123</v>
      </c>
      <c r="C5174">
        <v>1</v>
      </c>
      <c r="D5174" s="17" t="s">
        <v>10507</v>
      </c>
      <c r="E5174" s="17"/>
      <c r="F5174" s="17" t="s">
        <v>10780</v>
      </c>
      <c r="G5174" s="17"/>
      <c r="H5174" s="17" t="s">
        <v>10781</v>
      </c>
      <c r="I5174" s="17"/>
      <c r="J5174" s="17" t="s">
        <v>10791</v>
      </c>
      <c r="K5174" s="17"/>
      <c r="L5174" s="17" t="s">
        <v>10792</v>
      </c>
      <c r="M5174" s="17"/>
      <c r="N5174" s="17" t="s">
        <v>10793</v>
      </c>
      <c r="O5174" s="17"/>
      <c r="P5174" s="17" t="s">
        <v>10794</v>
      </c>
      <c r="Q5174" s="17"/>
      <c r="R5174" s="25" t="str">
        <f>HYPERLINK("https://ictv.global/taxonomy/taxondetails?taxnode_id=202304433","Alphapolyomavirus secomartiensseni")</f>
        <v>Alphapolyomavirus secomartiensseni</v>
      </c>
      <c r="S5174" s="18" t="s">
        <v>30</v>
      </c>
      <c r="T5174" s="18" t="s">
        <v>10920</v>
      </c>
      <c r="U5174" s="18" t="s">
        <v>10921</v>
      </c>
      <c r="V5174" s="18" t="s">
        <v>10922</v>
      </c>
      <c r="W5174" s="18" t="s">
        <v>10923</v>
      </c>
      <c r="X5174" s="18" t="s">
        <v>42</v>
      </c>
      <c r="Y5174" s="18" t="s">
        <v>36</v>
      </c>
      <c r="Z5174" s="18" t="s">
        <v>166</v>
      </c>
      <c r="AA5174" s="21" t="str">
        <f>HYPERLINK("https://www.ncbi.nlm.nih.gov/nuccore/JX520658","NCBI Nucleotide")</f>
        <v>NCBI Nucleotide</v>
      </c>
    </row>
    <row r="5175" spans="1:27" x14ac:dyDescent="0.35">
      <c r="A5175">
        <v>1006890</v>
      </c>
      <c r="B5175">
        <v>5124</v>
      </c>
      <c r="C5175">
        <v>1</v>
      </c>
      <c r="D5175" s="17" t="s">
        <v>10507</v>
      </c>
      <c r="E5175" s="17"/>
      <c r="F5175" s="17" t="s">
        <v>10780</v>
      </c>
      <c r="G5175" s="17"/>
      <c r="H5175" s="17" t="s">
        <v>10781</v>
      </c>
      <c r="I5175" s="17"/>
      <c r="J5175" s="17" t="s">
        <v>10791</v>
      </c>
      <c r="K5175" s="17"/>
      <c r="L5175" s="17" t="s">
        <v>10792</v>
      </c>
      <c r="M5175" s="17"/>
      <c r="N5175" s="17" t="s">
        <v>10793</v>
      </c>
      <c r="O5175" s="17"/>
      <c r="P5175" s="17" t="s">
        <v>10794</v>
      </c>
      <c r="Q5175" s="17"/>
      <c r="R5175" s="25" t="str">
        <f>HYPERLINK("https://ictv.global/taxonomy/taxondetails?taxnode_id=202309583","Alphapolyomavirus secumastomysis")</f>
        <v>Alphapolyomavirus secumastomysis</v>
      </c>
      <c r="S5175" s="18" t="s">
        <v>30</v>
      </c>
      <c r="T5175" s="18" t="s">
        <v>10924</v>
      </c>
      <c r="U5175" s="18" t="s">
        <v>10925</v>
      </c>
      <c r="V5175" s="18" t="s">
        <v>10926</v>
      </c>
      <c r="W5175" s="18" t="s">
        <v>10927</v>
      </c>
      <c r="X5175" s="18" t="s">
        <v>42</v>
      </c>
      <c r="Y5175" s="18" t="s">
        <v>36</v>
      </c>
      <c r="Z5175" s="18" t="s">
        <v>166</v>
      </c>
      <c r="AA5175" s="21" t="str">
        <f>HYPERLINK("https://www.ncbi.nlm.nih.gov/nuccore/MG701350","NCBI Nucleotide")</f>
        <v>NCBI Nucleotide</v>
      </c>
    </row>
    <row r="5176" spans="1:27" x14ac:dyDescent="0.35">
      <c r="A5176">
        <v>1006891</v>
      </c>
      <c r="B5176">
        <v>5125</v>
      </c>
      <c r="C5176">
        <v>1</v>
      </c>
      <c r="D5176" s="17" t="s">
        <v>10507</v>
      </c>
      <c r="E5176" s="17"/>
      <c r="F5176" s="17" t="s">
        <v>10780</v>
      </c>
      <c r="G5176" s="17"/>
      <c r="H5176" s="17" t="s">
        <v>10781</v>
      </c>
      <c r="I5176" s="17"/>
      <c r="J5176" s="17" t="s">
        <v>10791</v>
      </c>
      <c r="K5176" s="17"/>
      <c r="L5176" s="17" t="s">
        <v>10792</v>
      </c>
      <c r="M5176" s="17"/>
      <c r="N5176" s="17" t="s">
        <v>10793</v>
      </c>
      <c r="O5176" s="17"/>
      <c r="P5176" s="17" t="s">
        <v>10794</v>
      </c>
      <c r="Q5176" s="17"/>
      <c r="R5176" s="25" t="str">
        <f>HYPERLINK("https://ictv.global/taxonomy/taxondetails?taxnode_id=202306344","Alphapolyomavirus secumischreibersii")</f>
        <v>Alphapolyomavirus secumischreibersii</v>
      </c>
      <c r="S5176" s="18" t="s">
        <v>30</v>
      </c>
      <c r="T5176" s="18" t="s">
        <v>10928</v>
      </c>
      <c r="U5176" s="18" t="s">
        <v>10929</v>
      </c>
      <c r="V5176" s="18" t="s">
        <v>10930</v>
      </c>
      <c r="W5176" s="18" t="s">
        <v>10931</v>
      </c>
      <c r="X5176" s="18" t="s">
        <v>42</v>
      </c>
      <c r="Y5176" s="18" t="s">
        <v>36</v>
      </c>
      <c r="Z5176" s="18" t="s">
        <v>166</v>
      </c>
      <c r="AA5176" s="21" t="str">
        <f>HYPERLINK("https://www.ncbi.nlm.nih.gov/nuccore/LC185216","NCBI Nucleotide")</f>
        <v>NCBI Nucleotide</v>
      </c>
    </row>
    <row r="5177" spans="1:27" x14ac:dyDescent="0.35">
      <c r="A5177">
        <v>1006892</v>
      </c>
      <c r="B5177">
        <v>5126</v>
      </c>
      <c r="C5177">
        <v>1</v>
      </c>
      <c r="D5177" s="17" t="s">
        <v>10507</v>
      </c>
      <c r="E5177" s="17"/>
      <c r="F5177" s="17" t="s">
        <v>10780</v>
      </c>
      <c r="G5177" s="17"/>
      <c r="H5177" s="17" t="s">
        <v>10781</v>
      </c>
      <c r="I5177" s="17"/>
      <c r="J5177" s="17" t="s">
        <v>10791</v>
      </c>
      <c r="K5177" s="17"/>
      <c r="L5177" s="17" t="s">
        <v>10792</v>
      </c>
      <c r="M5177" s="17"/>
      <c r="N5177" s="17" t="s">
        <v>10793</v>
      </c>
      <c r="O5177" s="17"/>
      <c r="P5177" s="17" t="s">
        <v>10794</v>
      </c>
      <c r="Q5177" s="17"/>
      <c r="R5177" s="25" t="str">
        <f>HYPERLINK("https://ictv.global/taxonomy/taxondetails?taxnode_id=202304435","Alphapolyomavirus secupanos")</f>
        <v>Alphapolyomavirus secupanos</v>
      </c>
      <c r="S5177" s="18" t="s">
        <v>30</v>
      </c>
      <c r="T5177" s="18" t="s">
        <v>10932</v>
      </c>
      <c r="U5177" s="18" t="s">
        <v>10933</v>
      </c>
      <c r="V5177" s="18">
        <v>6444</v>
      </c>
      <c r="W5177" s="18" t="s">
        <v>10934</v>
      </c>
      <c r="X5177" s="18" t="s">
        <v>42</v>
      </c>
      <c r="Y5177" s="18" t="s">
        <v>36</v>
      </c>
      <c r="Z5177" s="18" t="s">
        <v>166</v>
      </c>
      <c r="AA5177" s="21" t="str">
        <f>HYPERLINK("https://www.ncbi.nlm.nih.gov/nuccore/HQ385746","NCBI Nucleotide")</f>
        <v>NCBI Nucleotide</v>
      </c>
    </row>
    <row r="5178" spans="1:27" x14ac:dyDescent="0.35">
      <c r="A5178">
        <v>1006893</v>
      </c>
      <c r="B5178">
        <v>5127</v>
      </c>
      <c r="C5178">
        <v>1</v>
      </c>
      <c r="D5178" s="17" t="s">
        <v>10507</v>
      </c>
      <c r="E5178" s="17"/>
      <c r="F5178" s="17" t="s">
        <v>10780</v>
      </c>
      <c r="G5178" s="17"/>
      <c r="H5178" s="17" t="s">
        <v>10781</v>
      </c>
      <c r="I5178" s="17"/>
      <c r="J5178" s="17" t="s">
        <v>10791</v>
      </c>
      <c r="K5178" s="17"/>
      <c r="L5178" s="17" t="s">
        <v>10792</v>
      </c>
      <c r="M5178" s="17"/>
      <c r="N5178" s="17" t="s">
        <v>10793</v>
      </c>
      <c r="O5178" s="17"/>
      <c r="P5178" s="17" t="s">
        <v>10794</v>
      </c>
      <c r="Q5178" s="17"/>
      <c r="R5178" s="25" t="str">
        <f>HYPERLINK("https://ictv.global/taxonomy/taxondetails?taxnode_id=202304440","Alphapolyomavirus septipanos")</f>
        <v>Alphapolyomavirus septipanos</v>
      </c>
      <c r="S5178" s="18" t="s">
        <v>30</v>
      </c>
      <c r="T5178" s="18" t="s">
        <v>10935</v>
      </c>
      <c r="U5178" s="18" t="s">
        <v>10936</v>
      </c>
      <c r="V5178" s="18">
        <v>6350</v>
      </c>
      <c r="W5178" s="18" t="s">
        <v>10937</v>
      </c>
      <c r="X5178" s="18" t="s">
        <v>42</v>
      </c>
      <c r="Y5178" s="18" t="s">
        <v>36</v>
      </c>
      <c r="Z5178" s="18" t="s">
        <v>166</v>
      </c>
      <c r="AA5178" s="21" t="str">
        <f>HYPERLINK("https://www.ncbi.nlm.nih.gov/nuccore/JX159983","NCBI Nucleotide")</f>
        <v>NCBI Nucleotide</v>
      </c>
    </row>
    <row r="5179" spans="1:27" x14ac:dyDescent="0.35">
      <c r="A5179">
        <v>1006894</v>
      </c>
      <c r="B5179">
        <v>5128</v>
      </c>
      <c r="C5179">
        <v>1</v>
      </c>
      <c r="D5179" s="17" t="s">
        <v>10507</v>
      </c>
      <c r="E5179" s="17"/>
      <c r="F5179" s="17" t="s">
        <v>10780</v>
      </c>
      <c r="G5179" s="17"/>
      <c r="H5179" s="17" t="s">
        <v>10781</v>
      </c>
      <c r="I5179" s="17"/>
      <c r="J5179" s="17" t="s">
        <v>10791</v>
      </c>
      <c r="K5179" s="17"/>
      <c r="L5179" s="17" t="s">
        <v>10792</v>
      </c>
      <c r="M5179" s="17"/>
      <c r="N5179" s="17" t="s">
        <v>10793</v>
      </c>
      <c r="O5179" s="17"/>
      <c r="P5179" s="17" t="s">
        <v>10794</v>
      </c>
      <c r="Q5179" s="17"/>
      <c r="R5179" s="25" t="str">
        <f>HYPERLINK("https://ictv.global/taxonomy/taxondetails?taxnode_id=202304439","Alphapolyomavirus sextipanos")</f>
        <v>Alphapolyomavirus sextipanos</v>
      </c>
      <c r="S5179" s="18" t="s">
        <v>30</v>
      </c>
      <c r="T5179" s="18" t="s">
        <v>10938</v>
      </c>
      <c r="U5179" s="18" t="s">
        <v>10939</v>
      </c>
      <c r="V5179" s="18">
        <v>5743</v>
      </c>
      <c r="W5179" s="18" t="s">
        <v>10940</v>
      </c>
      <c r="X5179" s="18" t="s">
        <v>42</v>
      </c>
      <c r="Y5179" s="18" t="s">
        <v>36</v>
      </c>
      <c r="Z5179" s="18" t="s">
        <v>166</v>
      </c>
      <c r="AA5179" s="21" t="str">
        <f>HYPERLINK("https://www.ncbi.nlm.nih.gov/nuccore/JX159982","NCBI Nucleotide")</f>
        <v>NCBI Nucleotide</v>
      </c>
    </row>
    <row r="5180" spans="1:27" x14ac:dyDescent="0.35">
      <c r="A5180">
        <v>1006895</v>
      </c>
      <c r="B5180">
        <v>5129</v>
      </c>
      <c r="C5180">
        <v>1</v>
      </c>
      <c r="D5180" s="17" t="s">
        <v>10507</v>
      </c>
      <c r="E5180" s="17"/>
      <c r="F5180" s="17" t="s">
        <v>10780</v>
      </c>
      <c r="G5180" s="17"/>
      <c r="H5180" s="17" t="s">
        <v>10781</v>
      </c>
      <c r="I5180" s="17"/>
      <c r="J5180" s="17" t="s">
        <v>10791</v>
      </c>
      <c r="K5180" s="17"/>
      <c r="L5180" s="17" t="s">
        <v>10792</v>
      </c>
      <c r="M5180" s="17"/>
      <c r="N5180" s="17" t="s">
        <v>10793</v>
      </c>
      <c r="O5180" s="17"/>
      <c r="P5180" s="17" t="s">
        <v>10794</v>
      </c>
      <c r="Q5180" s="17"/>
      <c r="R5180" s="25" t="str">
        <f>HYPERLINK("https://ictv.global/taxonomy/taxondetails?taxnode_id=202306345","Alphapolyomavirus socoronatus")</f>
        <v>Alphapolyomavirus socoronatus</v>
      </c>
      <c r="S5180" s="18" t="s">
        <v>30</v>
      </c>
      <c r="T5180" s="18" t="s">
        <v>10941</v>
      </c>
      <c r="U5180" s="18" t="s">
        <v>10942</v>
      </c>
      <c r="V5180" s="18" t="s">
        <v>10943</v>
      </c>
      <c r="W5180" s="18" t="s">
        <v>10944</v>
      </c>
      <c r="X5180" s="18" t="s">
        <v>42</v>
      </c>
      <c r="Y5180" s="18" t="s">
        <v>36</v>
      </c>
      <c r="Z5180" s="18" t="s">
        <v>166</v>
      </c>
      <c r="AA5180" s="21" t="str">
        <f>HYPERLINK("https://www.ncbi.nlm.nih.gov/nuccore/MF374999","NCBI Nucleotide")</f>
        <v>NCBI Nucleotide</v>
      </c>
    </row>
    <row r="5181" spans="1:27" x14ac:dyDescent="0.35">
      <c r="A5181">
        <v>1006896</v>
      </c>
      <c r="B5181">
        <v>5130</v>
      </c>
      <c r="C5181">
        <v>1</v>
      </c>
      <c r="D5181" s="17" t="s">
        <v>10507</v>
      </c>
      <c r="E5181" s="17"/>
      <c r="F5181" s="17" t="s">
        <v>10780</v>
      </c>
      <c r="G5181" s="17"/>
      <c r="H5181" s="17" t="s">
        <v>10781</v>
      </c>
      <c r="I5181" s="17"/>
      <c r="J5181" s="17" t="s">
        <v>10791</v>
      </c>
      <c r="K5181" s="17"/>
      <c r="L5181" s="17" t="s">
        <v>10792</v>
      </c>
      <c r="M5181" s="17"/>
      <c r="N5181" s="17" t="s">
        <v>10793</v>
      </c>
      <c r="O5181" s="17"/>
      <c r="P5181" s="17" t="s">
        <v>10794</v>
      </c>
      <c r="Q5181" s="17"/>
      <c r="R5181" s="25" t="str">
        <f>HYPERLINK("https://ictv.global/taxonomy/taxondetails?taxnode_id=202306346","Alphapolyomavirus sominutus")</f>
        <v>Alphapolyomavirus sominutus</v>
      </c>
      <c r="S5181" s="18" t="s">
        <v>30</v>
      </c>
      <c r="T5181" s="18" t="s">
        <v>10945</v>
      </c>
      <c r="U5181" s="18" t="s">
        <v>10946</v>
      </c>
      <c r="V5181" s="18" t="s">
        <v>10947</v>
      </c>
      <c r="W5181" s="18" t="s">
        <v>10948</v>
      </c>
      <c r="X5181" s="18" t="s">
        <v>42</v>
      </c>
      <c r="Y5181" s="18" t="s">
        <v>36</v>
      </c>
      <c r="Z5181" s="18" t="s">
        <v>166</v>
      </c>
      <c r="AA5181" s="21" t="str">
        <f>HYPERLINK("https://www.ncbi.nlm.nih.gov/nuccore/MF401583","NCBI Nucleotide")</f>
        <v>NCBI Nucleotide</v>
      </c>
    </row>
    <row r="5182" spans="1:27" x14ac:dyDescent="0.35">
      <c r="A5182">
        <v>1006897</v>
      </c>
      <c r="B5182">
        <v>5131</v>
      </c>
      <c r="C5182">
        <v>1</v>
      </c>
      <c r="D5182" s="17" t="s">
        <v>10507</v>
      </c>
      <c r="E5182" s="17"/>
      <c r="F5182" s="17" t="s">
        <v>10780</v>
      </c>
      <c r="G5182" s="17"/>
      <c r="H5182" s="17" t="s">
        <v>10781</v>
      </c>
      <c r="I5182" s="17"/>
      <c r="J5182" s="17" t="s">
        <v>10791</v>
      </c>
      <c r="K5182" s="17"/>
      <c r="L5182" s="17" t="s">
        <v>10792</v>
      </c>
      <c r="M5182" s="17"/>
      <c r="N5182" s="17" t="s">
        <v>10793</v>
      </c>
      <c r="O5182" s="17"/>
      <c r="P5182" s="17" t="s">
        <v>10794</v>
      </c>
      <c r="Q5182" s="17"/>
      <c r="R5182" s="25" t="str">
        <f>HYPERLINK("https://ictv.global/taxonomy/taxondetails?taxnode_id=202304448","Alphapolyomavirus sturnirae")</f>
        <v>Alphapolyomavirus sturnirae</v>
      </c>
      <c r="S5182" s="18" t="s">
        <v>30</v>
      </c>
      <c r="T5182" s="18" t="s">
        <v>10949</v>
      </c>
      <c r="U5182" s="18" t="s">
        <v>10950</v>
      </c>
      <c r="V5182" s="18" t="s">
        <v>10951</v>
      </c>
      <c r="W5182" s="18" t="s">
        <v>10952</v>
      </c>
      <c r="X5182" s="18" t="s">
        <v>42</v>
      </c>
      <c r="Y5182" s="18" t="s">
        <v>36</v>
      </c>
      <c r="Z5182" s="18" t="s">
        <v>166</v>
      </c>
      <c r="AA5182" s="21" t="str">
        <f>HYPERLINK("https://www.ncbi.nlm.nih.gov/nuccore/JQ958888","NCBI Nucleotide")</f>
        <v>NCBI Nucleotide</v>
      </c>
    </row>
    <row r="5183" spans="1:27" x14ac:dyDescent="0.35">
      <c r="A5183">
        <v>1006898</v>
      </c>
      <c r="B5183">
        <v>5132</v>
      </c>
      <c r="C5183">
        <v>1</v>
      </c>
      <c r="D5183" s="17" t="s">
        <v>10507</v>
      </c>
      <c r="E5183" s="17"/>
      <c r="F5183" s="17" t="s">
        <v>10780</v>
      </c>
      <c r="G5183" s="17"/>
      <c r="H5183" s="17" t="s">
        <v>10781</v>
      </c>
      <c r="I5183" s="17"/>
      <c r="J5183" s="17" t="s">
        <v>10791</v>
      </c>
      <c r="K5183" s="17"/>
      <c r="L5183" s="17" t="s">
        <v>10792</v>
      </c>
      <c r="M5183" s="17"/>
      <c r="N5183" s="17" t="s">
        <v>10793</v>
      </c>
      <c r="O5183" s="17"/>
      <c r="P5183" s="17" t="s">
        <v>10794</v>
      </c>
      <c r="Q5183" s="17"/>
      <c r="R5183" s="25" t="str">
        <f>HYPERLINK("https://ictv.global/taxonomy/taxondetails?taxnode_id=202309585","Alphapolyomavirus suis")</f>
        <v>Alphapolyomavirus suis</v>
      </c>
      <c r="S5183" s="18" t="s">
        <v>30</v>
      </c>
      <c r="T5183" s="18" t="s">
        <v>10953</v>
      </c>
      <c r="U5183" s="18" t="s">
        <v>10954</v>
      </c>
      <c r="V5183" s="18">
        <v>471</v>
      </c>
      <c r="W5183" s="18" t="s">
        <v>10955</v>
      </c>
      <c r="X5183" s="18" t="s">
        <v>42</v>
      </c>
      <c r="Y5183" s="18" t="s">
        <v>36</v>
      </c>
      <c r="Z5183" s="18" t="s">
        <v>166</v>
      </c>
      <c r="AA5183" s="21" t="str">
        <f>HYPERLINK("https://www.ncbi.nlm.nih.gov/nuccore/KR065722","NCBI Nucleotide")</f>
        <v>NCBI Nucleotide</v>
      </c>
    </row>
    <row r="5184" spans="1:27" x14ac:dyDescent="0.35">
      <c r="A5184">
        <v>1006899</v>
      </c>
      <c r="B5184">
        <v>5133</v>
      </c>
      <c r="C5184">
        <v>1</v>
      </c>
      <c r="D5184" s="17" t="s">
        <v>10507</v>
      </c>
      <c r="E5184" s="17"/>
      <c r="F5184" s="17" t="s">
        <v>10780</v>
      </c>
      <c r="G5184" s="17"/>
      <c r="H5184" s="17" t="s">
        <v>10781</v>
      </c>
      <c r="I5184" s="17"/>
      <c r="J5184" s="17" t="s">
        <v>10791</v>
      </c>
      <c r="K5184" s="17"/>
      <c r="L5184" s="17" t="s">
        <v>10792</v>
      </c>
      <c r="M5184" s="17"/>
      <c r="N5184" s="17" t="s">
        <v>10793</v>
      </c>
      <c r="O5184" s="17"/>
      <c r="P5184" s="17" t="s">
        <v>10794</v>
      </c>
      <c r="Q5184" s="17"/>
      <c r="R5184" s="25" t="str">
        <f>HYPERLINK("https://ictv.global/taxonomy/taxondetails?taxnode_id=202304427","Alphapolyomavirus terdecihominis")</f>
        <v>Alphapolyomavirus terdecihominis</v>
      </c>
      <c r="S5184" s="18" t="s">
        <v>30</v>
      </c>
      <c r="T5184" s="18" t="s">
        <v>10956</v>
      </c>
      <c r="U5184" s="18" t="s">
        <v>10957</v>
      </c>
      <c r="V5184" s="18">
        <v>2013</v>
      </c>
      <c r="W5184" s="18" t="s">
        <v>10958</v>
      </c>
      <c r="X5184" s="18" t="s">
        <v>42</v>
      </c>
      <c r="Y5184" s="18" t="s">
        <v>36</v>
      </c>
      <c r="Z5184" s="18" t="s">
        <v>166</v>
      </c>
      <c r="AA5184" s="21" t="str">
        <f>HYPERLINK("https://www.ncbi.nlm.nih.gov/nuccore/KF954417","NCBI Nucleotide")</f>
        <v>NCBI Nucleotide</v>
      </c>
    </row>
    <row r="5185" spans="1:27" x14ac:dyDescent="0.35">
      <c r="A5185">
        <v>1006900</v>
      </c>
      <c r="B5185">
        <v>5134</v>
      </c>
      <c r="C5185">
        <v>1</v>
      </c>
      <c r="D5185" s="17" t="s">
        <v>10507</v>
      </c>
      <c r="E5185" s="17"/>
      <c r="F5185" s="17" t="s">
        <v>10780</v>
      </c>
      <c r="G5185" s="17"/>
      <c r="H5185" s="17" t="s">
        <v>10781</v>
      </c>
      <c r="I5185" s="17"/>
      <c r="J5185" s="17" t="s">
        <v>10791</v>
      </c>
      <c r="K5185" s="17"/>
      <c r="L5185" s="17" t="s">
        <v>10792</v>
      </c>
      <c r="M5185" s="17"/>
      <c r="N5185" s="17" t="s">
        <v>10793</v>
      </c>
      <c r="O5185" s="17"/>
      <c r="P5185" s="17" t="s">
        <v>10794</v>
      </c>
      <c r="Q5185" s="17"/>
      <c r="R5185" s="25" t="str">
        <f>HYPERLINK("https://ictv.global/taxonomy/taxondetails?taxnode_id=202304414","Alphapolyomavirus tertarplanisrostris")</f>
        <v>Alphapolyomavirus tertarplanisrostris</v>
      </c>
      <c r="S5185" s="18" t="s">
        <v>30</v>
      </c>
      <c r="T5185" s="18" t="s">
        <v>10959</v>
      </c>
      <c r="U5185" s="18" t="s">
        <v>10960</v>
      </c>
      <c r="V5185" s="18" t="s">
        <v>10961</v>
      </c>
      <c r="W5185" s="18" t="s">
        <v>10962</v>
      </c>
      <c r="X5185" s="18" t="s">
        <v>42</v>
      </c>
      <c r="Y5185" s="18" t="s">
        <v>36</v>
      </c>
      <c r="Z5185" s="18" t="s">
        <v>166</v>
      </c>
      <c r="AA5185" s="21" t="str">
        <f>HYPERLINK("https://www.ncbi.nlm.nih.gov/nuccore/JQ958890","NCBI Nucleotide")</f>
        <v>NCBI Nucleotide</v>
      </c>
    </row>
    <row r="5186" spans="1:27" x14ac:dyDescent="0.35">
      <c r="A5186">
        <v>1006901</v>
      </c>
      <c r="B5186">
        <v>5135</v>
      </c>
      <c r="C5186">
        <v>1</v>
      </c>
      <c r="D5186" s="17" t="s">
        <v>10507</v>
      </c>
      <c r="E5186" s="17"/>
      <c r="F5186" s="17" t="s">
        <v>10780</v>
      </c>
      <c r="G5186" s="17"/>
      <c r="H5186" s="17" t="s">
        <v>10781</v>
      </c>
      <c r="I5186" s="17"/>
      <c r="J5186" s="17" t="s">
        <v>10791</v>
      </c>
      <c r="K5186" s="17"/>
      <c r="L5186" s="17" t="s">
        <v>10792</v>
      </c>
      <c r="M5186" s="17"/>
      <c r="N5186" s="17" t="s">
        <v>10793</v>
      </c>
      <c r="O5186" s="17"/>
      <c r="P5186" s="17" t="s">
        <v>10794</v>
      </c>
      <c r="Q5186" s="17"/>
      <c r="R5186" s="25" t="str">
        <f>HYPERLINK("https://ictv.global/taxonomy/taxondetails?taxnode_id=202304419","Alphapolyomavirus tertichlopygerythrus")</f>
        <v>Alphapolyomavirus tertichlopygerythrus</v>
      </c>
      <c r="S5186" s="18" t="s">
        <v>30</v>
      </c>
      <c r="T5186" s="18" t="s">
        <v>10963</v>
      </c>
      <c r="U5186" s="18" t="s">
        <v>10964</v>
      </c>
      <c r="V5186" s="18" t="s">
        <v>10965</v>
      </c>
      <c r="W5186" s="18" t="s">
        <v>10966</v>
      </c>
      <c r="X5186" s="18" t="s">
        <v>42</v>
      </c>
      <c r="Y5186" s="18" t="s">
        <v>36</v>
      </c>
      <c r="Z5186" s="18" t="s">
        <v>166</v>
      </c>
      <c r="AA5186" s="21" t="str">
        <f>HYPERLINK("https://www.ncbi.nlm.nih.gov/nuccore/AB767297","NCBI Nucleotide")</f>
        <v>NCBI Nucleotide</v>
      </c>
    </row>
    <row r="5187" spans="1:27" x14ac:dyDescent="0.35">
      <c r="A5187">
        <v>1006902</v>
      </c>
      <c r="B5187">
        <v>5136</v>
      </c>
      <c r="C5187">
        <v>1</v>
      </c>
      <c r="D5187" s="17" t="s">
        <v>10507</v>
      </c>
      <c r="E5187" s="17"/>
      <c r="F5187" s="17" t="s">
        <v>10780</v>
      </c>
      <c r="G5187" s="17"/>
      <c r="H5187" s="17" t="s">
        <v>10781</v>
      </c>
      <c r="I5187" s="17"/>
      <c r="J5187" s="17" t="s">
        <v>10791</v>
      </c>
      <c r="K5187" s="17"/>
      <c r="L5187" s="17" t="s">
        <v>10792</v>
      </c>
      <c r="M5187" s="17"/>
      <c r="N5187" s="17" t="s">
        <v>10793</v>
      </c>
      <c r="O5187" s="17"/>
      <c r="P5187" s="17" t="s">
        <v>10794</v>
      </c>
      <c r="Q5187" s="17"/>
      <c r="R5187" s="25" t="str">
        <f>HYPERLINK("https://ictv.global/taxonomy/taxondetails?taxnode_id=202309584","Alphapolyomavirus tertimastomysis")</f>
        <v>Alphapolyomavirus tertimastomysis</v>
      </c>
      <c r="S5187" s="18" t="s">
        <v>30</v>
      </c>
      <c r="T5187" s="18" t="s">
        <v>10967</v>
      </c>
      <c r="U5187" s="18" t="s">
        <v>10968</v>
      </c>
      <c r="V5187" s="18">
        <v>9947</v>
      </c>
      <c r="W5187" s="18" t="s">
        <v>10969</v>
      </c>
      <c r="X5187" s="18" t="s">
        <v>42</v>
      </c>
      <c r="Y5187" s="18" t="s">
        <v>36</v>
      </c>
      <c r="Z5187" s="18" t="s">
        <v>166</v>
      </c>
      <c r="AA5187" s="21" t="str">
        <f>HYPERLINK("https://www.ncbi.nlm.nih.gov/nuccore/MN417229","NCBI Nucleotide")</f>
        <v>NCBI Nucleotide</v>
      </c>
    </row>
    <row r="5188" spans="1:27" x14ac:dyDescent="0.35">
      <c r="A5188">
        <v>1006903</v>
      </c>
      <c r="B5188">
        <v>5137</v>
      </c>
      <c r="C5188">
        <v>1</v>
      </c>
      <c r="D5188" s="17" t="s">
        <v>10507</v>
      </c>
      <c r="E5188" s="17"/>
      <c r="F5188" s="17" t="s">
        <v>10780</v>
      </c>
      <c r="G5188" s="17"/>
      <c r="H5188" s="17" t="s">
        <v>10781</v>
      </c>
      <c r="I5188" s="17"/>
      <c r="J5188" s="17" t="s">
        <v>10791</v>
      </c>
      <c r="K5188" s="17"/>
      <c r="L5188" s="17" t="s">
        <v>10792</v>
      </c>
      <c r="M5188" s="17"/>
      <c r="N5188" s="17" t="s">
        <v>10793</v>
      </c>
      <c r="O5188" s="17"/>
      <c r="P5188" s="17" t="s">
        <v>10794</v>
      </c>
      <c r="Q5188" s="17"/>
      <c r="R5188" s="25" t="str">
        <f>HYPERLINK("https://ictv.global/taxonomy/taxondetails?taxnode_id=202304436","Alphapolyomavirus tertipanos")</f>
        <v>Alphapolyomavirus tertipanos</v>
      </c>
      <c r="S5188" s="18" t="s">
        <v>30</v>
      </c>
      <c r="T5188" s="18" t="s">
        <v>10970</v>
      </c>
      <c r="U5188" s="18" t="s">
        <v>10971</v>
      </c>
      <c r="V5188" s="18">
        <v>6512</v>
      </c>
      <c r="W5188" s="18" t="s">
        <v>10972</v>
      </c>
      <c r="X5188" s="18" t="s">
        <v>42</v>
      </c>
      <c r="Y5188" s="18" t="s">
        <v>36</v>
      </c>
      <c r="Z5188" s="18" t="s">
        <v>166</v>
      </c>
      <c r="AA5188" s="21" t="str">
        <f>HYPERLINK("https://www.ncbi.nlm.nih.gov/nuccore/HQ385748","NCBI Nucleotide")</f>
        <v>NCBI Nucleotide</v>
      </c>
    </row>
    <row r="5189" spans="1:27" x14ac:dyDescent="0.35">
      <c r="A5189">
        <v>1006904</v>
      </c>
      <c r="B5189">
        <v>5138</v>
      </c>
      <c r="C5189">
        <v>1</v>
      </c>
      <c r="D5189" s="17" t="s">
        <v>10507</v>
      </c>
      <c r="E5189" s="17"/>
      <c r="F5189" s="17" t="s">
        <v>10780</v>
      </c>
      <c r="G5189" s="17"/>
      <c r="H5189" s="17" t="s">
        <v>10781</v>
      </c>
      <c r="I5189" s="17"/>
      <c r="J5189" s="17" t="s">
        <v>10791</v>
      </c>
      <c r="K5189" s="17"/>
      <c r="L5189" s="17" t="s">
        <v>10792</v>
      </c>
      <c r="M5189" s="17"/>
      <c r="N5189" s="17" t="s">
        <v>10793</v>
      </c>
      <c r="O5189" s="17"/>
      <c r="P5189" s="17" t="s">
        <v>10794</v>
      </c>
      <c r="Q5189" s="17"/>
      <c r="R5189" s="25" t="str">
        <f>HYPERLINK("https://ictv.global/taxonomy/taxondetails?taxnode_id=202307114","Alphapolyomavirus tubelangeri")</f>
        <v>Alphapolyomavirus tubelangeri</v>
      </c>
      <c r="S5189" s="18" t="s">
        <v>30</v>
      </c>
      <c r="T5189" s="18" t="s">
        <v>10973</v>
      </c>
      <c r="U5189" s="18"/>
      <c r="V5189" s="18"/>
      <c r="W5189" s="18" t="s">
        <v>10974</v>
      </c>
      <c r="X5189" s="18" t="s">
        <v>42</v>
      </c>
      <c r="Y5189" s="18" t="s">
        <v>36</v>
      </c>
      <c r="Z5189" s="18" t="s">
        <v>166</v>
      </c>
      <c r="AA5189" s="21" t="str">
        <f>HYPERLINK("https://www.ncbi.nlm.nih.gov/nuccore/MK443498","NCBI Nucleotide")</f>
        <v>NCBI Nucleotide</v>
      </c>
    </row>
    <row r="5190" spans="1:27" x14ac:dyDescent="0.35">
      <c r="A5190">
        <v>1006905</v>
      </c>
      <c r="B5190">
        <v>5139</v>
      </c>
      <c r="C5190">
        <v>1</v>
      </c>
      <c r="D5190" s="17" t="s">
        <v>10507</v>
      </c>
      <c r="E5190" s="17"/>
      <c r="F5190" s="17" t="s">
        <v>10780</v>
      </c>
      <c r="G5190" s="17"/>
      <c r="H5190" s="17" t="s">
        <v>10781</v>
      </c>
      <c r="I5190" s="17"/>
      <c r="J5190" s="17" t="s">
        <v>10791</v>
      </c>
      <c r="K5190" s="17"/>
      <c r="L5190" s="17" t="s">
        <v>10792</v>
      </c>
      <c r="M5190" s="17"/>
      <c r="N5190" s="17" t="s">
        <v>10793</v>
      </c>
      <c r="O5190" s="17"/>
      <c r="P5190" s="17" t="s">
        <v>10794</v>
      </c>
      <c r="Q5190" s="17"/>
      <c r="R5190" s="25" t="str">
        <f>HYPERLINK("https://ictv.global/taxonomy/taxondetails?taxnode_id=202309588","Alphapolyomavirus tuglis")</f>
        <v>Alphapolyomavirus tuglis</v>
      </c>
      <c r="S5190" s="18" t="s">
        <v>30</v>
      </c>
      <c r="T5190" s="18" t="s">
        <v>10975</v>
      </c>
      <c r="U5190" s="18" t="s">
        <v>10976</v>
      </c>
      <c r="V5190" s="18" t="s">
        <v>10977</v>
      </c>
      <c r="W5190" s="18" t="s">
        <v>10978</v>
      </c>
      <c r="X5190" s="18" t="s">
        <v>42</v>
      </c>
      <c r="Y5190" s="18" t="s">
        <v>36</v>
      </c>
      <c r="Z5190" s="18" t="s">
        <v>166</v>
      </c>
      <c r="AA5190" s="21" t="str">
        <f>HYPERLINK("https://www.ncbi.nlm.nih.gov/nuccore/MG721015","NCBI Nucleotide")</f>
        <v>NCBI Nucleotide</v>
      </c>
    </row>
    <row r="5191" spans="1:27" x14ac:dyDescent="0.35">
      <c r="A5191">
        <v>1006906</v>
      </c>
      <c r="B5191">
        <v>5140</v>
      </c>
      <c r="C5191">
        <v>1</v>
      </c>
      <c r="D5191" s="17" t="s">
        <v>10507</v>
      </c>
      <c r="E5191" s="17"/>
      <c r="F5191" s="17" t="s">
        <v>10780</v>
      </c>
      <c r="G5191" s="17"/>
      <c r="H5191" s="17" t="s">
        <v>10781</v>
      </c>
      <c r="I5191" s="17"/>
      <c r="J5191" s="17" t="s">
        <v>10791</v>
      </c>
      <c r="K5191" s="17"/>
      <c r="L5191" s="17" t="s">
        <v>10792</v>
      </c>
      <c r="M5191" s="17"/>
      <c r="N5191" s="17" t="s">
        <v>10793</v>
      </c>
      <c r="O5191" s="17"/>
      <c r="P5191" s="17" t="s">
        <v>10979</v>
      </c>
      <c r="Q5191" s="17"/>
      <c r="R5191" s="25" t="str">
        <f>HYPERLINK("https://ictv.global/taxonomy/taxondetails?taxnode_id=202304451","Betapolyomavirus arplanirostris")</f>
        <v>Betapolyomavirus arplanirostris</v>
      </c>
      <c r="S5191" s="18" t="s">
        <v>30</v>
      </c>
      <c r="T5191" s="18" t="s">
        <v>10980</v>
      </c>
      <c r="U5191" s="18" t="s">
        <v>10981</v>
      </c>
      <c r="V5191" s="18" t="s">
        <v>10982</v>
      </c>
      <c r="W5191" s="18" t="s">
        <v>10983</v>
      </c>
      <c r="X5191" s="18" t="s">
        <v>42</v>
      </c>
      <c r="Y5191" s="18" t="s">
        <v>36</v>
      </c>
      <c r="Z5191" s="18" t="s">
        <v>166</v>
      </c>
      <c r="AA5191" s="21" t="str">
        <f>HYPERLINK("https://www.ncbi.nlm.nih.gov/nuccore/JQ958887","NCBI Nucleotide")</f>
        <v>NCBI Nucleotide</v>
      </c>
    </row>
    <row r="5192" spans="1:27" x14ac:dyDescent="0.35">
      <c r="A5192">
        <v>1006907</v>
      </c>
      <c r="B5192">
        <v>5141</v>
      </c>
      <c r="C5192">
        <v>1</v>
      </c>
      <c r="D5192" s="17" t="s">
        <v>10507</v>
      </c>
      <c r="E5192" s="17"/>
      <c r="F5192" s="17" t="s">
        <v>10780</v>
      </c>
      <c r="G5192" s="17"/>
      <c r="H5192" s="17" t="s">
        <v>10781</v>
      </c>
      <c r="I5192" s="17"/>
      <c r="J5192" s="17" t="s">
        <v>10791</v>
      </c>
      <c r="K5192" s="17"/>
      <c r="L5192" s="17" t="s">
        <v>10792</v>
      </c>
      <c r="M5192" s="17"/>
      <c r="N5192" s="17" t="s">
        <v>10793</v>
      </c>
      <c r="O5192" s="17"/>
      <c r="P5192" s="17" t="s">
        <v>10979</v>
      </c>
      <c r="Q5192" s="17"/>
      <c r="R5192" s="25" t="str">
        <f>HYPERLINK("https://ictv.global/taxonomy/taxondetails?taxnode_id=202304452","Betapolyomavirus calbifrons")</f>
        <v>Betapolyomavirus calbifrons</v>
      </c>
      <c r="S5192" s="18" t="s">
        <v>30</v>
      </c>
      <c r="T5192" s="18" t="s">
        <v>10984</v>
      </c>
      <c r="U5192" s="18" t="s">
        <v>10985</v>
      </c>
      <c r="V5192" s="18">
        <v>2141</v>
      </c>
      <c r="W5192" s="18" t="s">
        <v>10986</v>
      </c>
      <c r="X5192" s="18" t="s">
        <v>42</v>
      </c>
      <c r="Y5192" s="18" t="s">
        <v>36</v>
      </c>
      <c r="Z5192" s="18" t="s">
        <v>166</v>
      </c>
      <c r="AA5192" s="21" t="str">
        <f>HYPERLINK("https://www.ncbi.nlm.nih.gov/nuccore/JX159988","NCBI Nucleotide")</f>
        <v>NCBI Nucleotide</v>
      </c>
    </row>
    <row r="5193" spans="1:27" x14ac:dyDescent="0.35">
      <c r="A5193">
        <v>1006908</v>
      </c>
      <c r="B5193">
        <v>5142</v>
      </c>
      <c r="C5193">
        <v>1</v>
      </c>
      <c r="D5193" s="17" t="s">
        <v>10507</v>
      </c>
      <c r="E5193" s="17"/>
      <c r="F5193" s="17" t="s">
        <v>10780</v>
      </c>
      <c r="G5193" s="17"/>
      <c r="H5193" s="17" t="s">
        <v>10781</v>
      </c>
      <c r="I5193" s="17"/>
      <c r="J5193" s="17" t="s">
        <v>10791</v>
      </c>
      <c r="K5193" s="17"/>
      <c r="L5193" s="17" t="s">
        <v>10792</v>
      </c>
      <c r="M5193" s="17"/>
      <c r="N5193" s="17" t="s">
        <v>10793</v>
      </c>
      <c r="O5193" s="17"/>
      <c r="P5193" s="17" t="s">
        <v>10979</v>
      </c>
      <c r="Q5193" s="17"/>
      <c r="R5193" s="25" t="str">
        <f>HYPERLINK("https://ictv.global/taxonomy/taxondetails?taxnode_id=202309593","Betapolyomavirus callosciuri")</f>
        <v>Betapolyomavirus callosciuri</v>
      </c>
      <c r="S5193" s="18" t="s">
        <v>30</v>
      </c>
      <c r="T5193" s="18" t="s">
        <v>10987</v>
      </c>
      <c r="U5193" s="18" t="s">
        <v>10988</v>
      </c>
      <c r="V5193" s="18" t="s">
        <v>10989</v>
      </c>
      <c r="W5193" s="18" t="s">
        <v>10990</v>
      </c>
      <c r="X5193" s="18" t="s">
        <v>42</v>
      </c>
      <c r="Y5193" s="18" t="s">
        <v>36</v>
      </c>
      <c r="Z5193" s="18" t="s">
        <v>166</v>
      </c>
      <c r="AA5193" s="21" t="str">
        <f>HYPERLINK("https://www.ncbi.nlm.nih.gov/nuccore/MK883808","NCBI Nucleotide")</f>
        <v>NCBI Nucleotide</v>
      </c>
    </row>
    <row r="5194" spans="1:27" x14ac:dyDescent="0.35">
      <c r="A5194">
        <v>1006909</v>
      </c>
      <c r="B5194">
        <v>5143</v>
      </c>
      <c r="C5194">
        <v>1</v>
      </c>
      <c r="D5194" s="17" t="s">
        <v>10507</v>
      </c>
      <c r="E5194" s="17"/>
      <c r="F5194" s="17" t="s">
        <v>10780</v>
      </c>
      <c r="G5194" s="17"/>
      <c r="H5194" s="17" t="s">
        <v>10781</v>
      </c>
      <c r="I5194" s="17"/>
      <c r="J5194" s="17" t="s">
        <v>10791</v>
      </c>
      <c r="K5194" s="17"/>
      <c r="L5194" s="17" t="s">
        <v>10792</v>
      </c>
      <c r="M5194" s="17"/>
      <c r="N5194" s="17" t="s">
        <v>10793</v>
      </c>
      <c r="O5194" s="17"/>
      <c r="P5194" s="17" t="s">
        <v>10979</v>
      </c>
      <c r="Q5194" s="17"/>
      <c r="R5194" s="25" t="str">
        <f>HYPERLINK("https://ictv.global/taxonomy/taxondetails?taxnode_id=202306347","Betapolyomavirus canis")</f>
        <v>Betapolyomavirus canis</v>
      </c>
      <c r="S5194" s="18" t="s">
        <v>30</v>
      </c>
      <c r="T5194" s="18" t="s">
        <v>10991</v>
      </c>
      <c r="U5194" s="18" t="s">
        <v>10992</v>
      </c>
      <c r="V5194" s="18" t="s">
        <v>10993</v>
      </c>
      <c r="W5194" s="18" t="s">
        <v>10994</v>
      </c>
      <c r="X5194" s="18" t="s">
        <v>42</v>
      </c>
      <c r="Y5194" s="18" t="s">
        <v>36</v>
      </c>
      <c r="Z5194" s="18" t="s">
        <v>166</v>
      </c>
      <c r="AA5194" s="21" t="str">
        <f>HYPERLINK("https://www.ncbi.nlm.nih.gov/nuccore/KY341899","NCBI Nucleotide")</f>
        <v>NCBI Nucleotide</v>
      </c>
    </row>
    <row r="5195" spans="1:27" x14ac:dyDescent="0.35">
      <c r="A5195">
        <v>1006910</v>
      </c>
      <c r="B5195">
        <v>5144</v>
      </c>
      <c r="C5195">
        <v>1</v>
      </c>
      <c r="D5195" s="17" t="s">
        <v>10507</v>
      </c>
      <c r="E5195" s="17"/>
      <c r="F5195" s="17" t="s">
        <v>10780</v>
      </c>
      <c r="G5195" s="17"/>
      <c r="H5195" s="17" t="s">
        <v>10781</v>
      </c>
      <c r="I5195" s="17"/>
      <c r="J5195" s="17" t="s">
        <v>10791</v>
      </c>
      <c r="K5195" s="17"/>
      <c r="L5195" s="17" t="s">
        <v>10792</v>
      </c>
      <c r="M5195" s="17"/>
      <c r="N5195" s="17" t="s">
        <v>10793</v>
      </c>
      <c r="O5195" s="17"/>
      <c r="P5195" s="17" t="s">
        <v>10979</v>
      </c>
      <c r="Q5195" s="17"/>
      <c r="R5195" s="25" t="str">
        <f>HYPERLINK("https://ictv.global/taxonomy/taxondetails?taxnode_id=202304453","Betapolyomavirus cercopitheci")</f>
        <v>Betapolyomavirus cercopitheci</v>
      </c>
      <c r="S5195" s="18" t="s">
        <v>30</v>
      </c>
      <c r="T5195" s="18" t="s">
        <v>10995</v>
      </c>
      <c r="U5195" s="18" t="s">
        <v>10806</v>
      </c>
      <c r="V5195" s="18">
        <v>4077</v>
      </c>
      <c r="W5195" s="18" t="s">
        <v>10996</v>
      </c>
      <c r="X5195" s="18" t="s">
        <v>42</v>
      </c>
      <c r="Y5195" s="18" t="s">
        <v>36</v>
      </c>
      <c r="Z5195" s="18" t="s">
        <v>166</v>
      </c>
      <c r="AA5195" s="21" t="str">
        <f>HYPERLINK("https://www.ncbi.nlm.nih.gov/nuccore/JX159985","NCBI Nucleotide")</f>
        <v>NCBI Nucleotide</v>
      </c>
    </row>
    <row r="5196" spans="1:27" x14ac:dyDescent="0.35">
      <c r="A5196">
        <v>1006911</v>
      </c>
      <c r="B5196">
        <v>5145</v>
      </c>
      <c r="C5196">
        <v>1</v>
      </c>
      <c r="D5196" s="17" t="s">
        <v>10507</v>
      </c>
      <c r="E5196" s="17"/>
      <c r="F5196" s="17" t="s">
        <v>10780</v>
      </c>
      <c r="G5196" s="17"/>
      <c r="H5196" s="17" t="s">
        <v>10781</v>
      </c>
      <c r="I5196" s="17"/>
      <c r="J5196" s="17" t="s">
        <v>10791</v>
      </c>
      <c r="K5196" s="17"/>
      <c r="L5196" s="17" t="s">
        <v>10792</v>
      </c>
      <c r="M5196" s="17"/>
      <c r="N5196" s="17" t="s">
        <v>10793</v>
      </c>
      <c r="O5196" s="17"/>
      <c r="P5196" s="17" t="s">
        <v>10979</v>
      </c>
      <c r="Q5196" s="17"/>
      <c r="R5196" s="25" t="str">
        <f>HYPERLINK("https://ictv.global/taxonomy/taxondetails?taxnode_id=202304455","Betapolyomavirus desrotundus")</f>
        <v>Betapolyomavirus desrotundus</v>
      </c>
      <c r="S5196" s="18" t="s">
        <v>30</v>
      </c>
      <c r="T5196" s="18" t="s">
        <v>10997</v>
      </c>
      <c r="U5196" s="18" t="s">
        <v>10998</v>
      </c>
      <c r="V5196" s="18" t="s">
        <v>10999</v>
      </c>
      <c r="W5196" s="18" t="s">
        <v>11000</v>
      </c>
      <c r="X5196" s="18" t="s">
        <v>42</v>
      </c>
      <c r="Y5196" s="18" t="s">
        <v>36</v>
      </c>
      <c r="Z5196" s="18" t="s">
        <v>166</v>
      </c>
      <c r="AA5196" s="21" t="str">
        <f>HYPERLINK("https://www.ncbi.nlm.nih.gov/nuccore/JQ958892","NCBI Nucleotide")</f>
        <v>NCBI Nucleotide</v>
      </c>
    </row>
    <row r="5197" spans="1:27" x14ac:dyDescent="0.35">
      <c r="A5197">
        <v>1006912</v>
      </c>
      <c r="B5197">
        <v>5146</v>
      </c>
      <c r="C5197">
        <v>1</v>
      </c>
      <c r="D5197" s="17" t="s">
        <v>10507</v>
      </c>
      <c r="E5197" s="17"/>
      <c r="F5197" s="17" t="s">
        <v>10780</v>
      </c>
      <c r="G5197" s="17"/>
      <c r="H5197" s="17" t="s">
        <v>10781</v>
      </c>
      <c r="I5197" s="17"/>
      <c r="J5197" s="17" t="s">
        <v>10791</v>
      </c>
      <c r="K5197" s="17"/>
      <c r="L5197" s="17" t="s">
        <v>10792</v>
      </c>
      <c r="M5197" s="17"/>
      <c r="N5197" s="17" t="s">
        <v>10793</v>
      </c>
      <c r="O5197" s="17"/>
      <c r="P5197" s="17" t="s">
        <v>10979</v>
      </c>
      <c r="Q5197" s="17"/>
      <c r="R5197" s="25" t="str">
        <f>HYPERLINK("https://ictv.global/taxonomy/taxondetails?taxnode_id=202304463","Betapolyomavirus elephanti")</f>
        <v>Betapolyomavirus elephanti</v>
      </c>
      <c r="S5197" s="18" t="s">
        <v>30</v>
      </c>
      <c r="T5197" s="18" t="s">
        <v>11001</v>
      </c>
      <c r="U5197" s="18" t="s">
        <v>11002</v>
      </c>
      <c r="V5197" s="18" t="s">
        <v>11003</v>
      </c>
      <c r="W5197" s="18" t="s">
        <v>11004</v>
      </c>
      <c r="X5197" s="18" t="s">
        <v>42</v>
      </c>
      <c r="Y5197" s="18" t="s">
        <v>36</v>
      </c>
      <c r="Z5197" s="18" t="s">
        <v>166</v>
      </c>
      <c r="AA5197" s="21" t="str">
        <f>HYPERLINK("https://www.ncbi.nlm.nih.gov/nuccore/KF147833","NCBI Nucleotide")</f>
        <v>NCBI Nucleotide</v>
      </c>
    </row>
    <row r="5198" spans="1:27" x14ac:dyDescent="0.35">
      <c r="A5198">
        <v>1006913</v>
      </c>
      <c r="B5198">
        <v>5147</v>
      </c>
      <c r="C5198">
        <v>1</v>
      </c>
      <c r="D5198" s="17" t="s">
        <v>10507</v>
      </c>
      <c r="E5198" s="17"/>
      <c r="F5198" s="17" t="s">
        <v>10780</v>
      </c>
      <c r="G5198" s="17"/>
      <c r="H5198" s="17" t="s">
        <v>10781</v>
      </c>
      <c r="I5198" s="17"/>
      <c r="J5198" s="17" t="s">
        <v>10791</v>
      </c>
      <c r="K5198" s="17"/>
      <c r="L5198" s="17" t="s">
        <v>10792</v>
      </c>
      <c r="M5198" s="17"/>
      <c r="N5198" s="17" t="s">
        <v>10793</v>
      </c>
      <c r="O5198" s="17"/>
      <c r="P5198" s="17" t="s">
        <v>10979</v>
      </c>
      <c r="Q5198" s="17"/>
      <c r="R5198" s="25" t="str">
        <f>HYPERLINK("https://ictv.global/taxonomy/taxondetails?taxnode_id=202307115","Betapolyomavirus enhydrae")</f>
        <v>Betapolyomavirus enhydrae</v>
      </c>
      <c r="S5198" s="18" t="s">
        <v>30</v>
      </c>
      <c r="T5198" s="18" t="s">
        <v>11005</v>
      </c>
      <c r="U5198" s="18"/>
      <c r="V5198" s="18" t="s">
        <v>11006</v>
      </c>
      <c r="W5198" s="18" t="s">
        <v>11007</v>
      </c>
      <c r="X5198" s="18" t="s">
        <v>42</v>
      </c>
      <c r="Y5198" s="18" t="s">
        <v>36</v>
      </c>
      <c r="Z5198" s="18" t="s">
        <v>166</v>
      </c>
      <c r="AA5198" s="21" t="str">
        <f>HYPERLINK("https://www.ncbi.nlm.nih.gov/nuccore/KM282376","NCBI Nucleotide")</f>
        <v>NCBI Nucleotide</v>
      </c>
    </row>
    <row r="5199" spans="1:27" x14ac:dyDescent="0.35">
      <c r="A5199">
        <v>1006914</v>
      </c>
      <c r="B5199">
        <v>5148</v>
      </c>
      <c r="C5199">
        <v>1</v>
      </c>
      <c r="D5199" s="17" t="s">
        <v>10507</v>
      </c>
      <c r="E5199" s="17"/>
      <c r="F5199" s="17" t="s">
        <v>10780</v>
      </c>
      <c r="G5199" s="17"/>
      <c r="H5199" s="17" t="s">
        <v>10781</v>
      </c>
      <c r="I5199" s="17"/>
      <c r="J5199" s="17" t="s">
        <v>10791</v>
      </c>
      <c r="K5199" s="17"/>
      <c r="L5199" s="17" t="s">
        <v>10792</v>
      </c>
      <c r="M5199" s="17"/>
      <c r="N5199" s="17" t="s">
        <v>10793</v>
      </c>
      <c r="O5199" s="17"/>
      <c r="P5199" s="17" t="s">
        <v>10979</v>
      </c>
      <c r="Q5199" s="17"/>
      <c r="R5199" s="25" t="str">
        <f>HYPERLINK("https://ictv.global/taxonomy/taxondetails?taxnode_id=202304458","Betapolyomavirus equi")</f>
        <v>Betapolyomavirus equi</v>
      </c>
      <c r="S5199" s="18" t="s">
        <v>30</v>
      </c>
      <c r="T5199" s="18" t="s">
        <v>11008</v>
      </c>
      <c r="U5199" s="18" t="s">
        <v>11009</v>
      </c>
      <c r="V5199" s="18" t="s">
        <v>11010</v>
      </c>
      <c r="W5199" s="18" t="s">
        <v>11011</v>
      </c>
      <c r="X5199" s="18" t="s">
        <v>42</v>
      </c>
      <c r="Y5199" s="18" t="s">
        <v>36</v>
      </c>
      <c r="Z5199" s="18" t="s">
        <v>166</v>
      </c>
      <c r="AA5199" s="21" t="str">
        <f>HYPERLINK("https://www.ncbi.nlm.nih.gov/nuccore/JQ412134","NCBI Nucleotide")</f>
        <v>NCBI Nucleotide</v>
      </c>
    </row>
    <row r="5200" spans="1:27" x14ac:dyDescent="0.35">
      <c r="A5200">
        <v>1006915</v>
      </c>
      <c r="B5200">
        <v>5149</v>
      </c>
      <c r="C5200">
        <v>1</v>
      </c>
      <c r="D5200" s="17" t="s">
        <v>10507</v>
      </c>
      <c r="E5200" s="17"/>
      <c r="F5200" s="17" t="s">
        <v>10780</v>
      </c>
      <c r="G5200" s="17"/>
      <c r="H5200" s="17" t="s">
        <v>10781</v>
      </c>
      <c r="I5200" s="17"/>
      <c r="J5200" s="17" t="s">
        <v>10791</v>
      </c>
      <c r="K5200" s="17"/>
      <c r="L5200" s="17" t="s">
        <v>10792</v>
      </c>
      <c r="M5200" s="17"/>
      <c r="N5200" s="17" t="s">
        <v>10793</v>
      </c>
      <c r="O5200" s="17"/>
      <c r="P5200" s="17" t="s">
        <v>10979</v>
      </c>
      <c r="Q5200" s="17"/>
      <c r="R5200" s="25" t="str">
        <f>HYPERLINK("https://ictv.global/taxonomy/taxondetails?taxnode_id=202309590","Betapolyomavirus gliris")</f>
        <v>Betapolyomavirus gliris</v>
      </c>
      <c r="S5200" s="18" t="s">
        <v>30</v>
      </c>
      <c r="T5200" s="18" t="s">
        <v>11012</v>
      </c>
      <c r="U5200" s="18" t="s">
        <v>11013</v>
      </c>
      <c r="V5200" s="18" t="s">
        <v>11014</v>
      </c>
      <c r="W5200" s="18" t="s">
        <v>11015</v>
      </c>
      <c r="X5200" s="18" t="s">
        <v>42</v>
      </c>
      <c r="Y5200" s="18" t="s">
        <v>36</v>
      </c>
      <c r="Z5200" s="18" t="s">
        <v>166</v>
      </c>
      <c r="AA5200" s="21" t="str">
        <f>HYPERLINK("https://www.ncbi.nlm.nih.gov/nuccore/MG701352","NCBI Nucleotide")</f>
        <v>NCBI Nucleotide</v>
      </c>
    </row>
    <row r="5201" spans="1:27" x14ac:dyDescent="0.35">
      <c r="A5201">
        <v>1006916</v>
      </c>
      <c r="B5201">
        <v>5150</v>
      </c>
      <c r="C5201">
        <v>1</v>
      </c>
      <c r="D5201" s="17" t="s">
        <v>10507</v>
      </c>
      <c r="E5201" s="17"/>
      <c r="F5201" s="17" t="s">
        <v>10780</v>
      </c>
      <c r="G5201" s="17"/>
      <c r="H5201" s="17" t="s">
        <v>10781</v>
      </c>
      <c r="I5201" s="17"/>
      <c r="J5201" s="17" t="s">
        <v>10791</v>
      </c>
      <c r="K5201" s="17"/>
      <c r="L5201" s="17" t="s">
        <v>10792</v>
      </c>
      <c r="M5201" s="17"/>
      <c r="N5201" s="17" t="s">
        <v>10793</v>
      </c>
      <c r="O5201" s="17"/>
      <c r="P5201" s="17" t="s">
        <v>10979</v>
      </c>
      <c r="Q5201" s="17"/>
      <c r="R5201" s="25" t="str">
        <f>HYPERLINK("https://ictv.global/taxonomy/taxondetails?taxnode_id=202304459","Betapolyomavirus hominis")</f>
        <v>Betapolyomavirus hominis</v>
      </c>
      <c r="S5201" s="18" t="s">
        <v>30</v>
      </c>
      <c r="T5201" s="18" t="s">
        <v>11016</v>
      </c>
      <c r="U5201" s="18" t="s">
        <v>11017</v>
      </c>
      <c r="V5201" s="18" t="s">
        <v>11018</v>
      </c>
      <c r="W5201" s="18" t="s">
        <v>11019</v>
      </c>
      <c r="X5201" s="18" t="s">
        <v>42</v>
      </c>
      <c r="Y5201" s="18" t="s">
        <v>36</v>
      </c>
      <c r="Z5201" s="18" t="s">
        <v>166</v>
      </c>
      <c r="AA5201" s="21" t="str">
        <f>HYPERLINK("https://www.ncbi.nlm.nih.gov/nuccore/V01108","NCBI Nucleotide")</f>
        <v>NCBI Nucleotide</v>
      </c>
    </row>
    <row r="5202" spans="1:27" x14ac:dyDescent="0.35">
      <c r="A5202">
        <v>1006917</v>
      </c>
      <c r="B5202">
        <v>5151</v>
      </c>
      <c r="C5202">
        <v>1</v>
      </c>
      <c r="D5202" s="17" t="s">
        <v>10507</v>
      </c>
      <c r="E5202" s="17"/>
      <c r="F5202" s="17" t="s">
        <v>10780</v>
      </c>
      <c r="G5202" s="17"/>
      <c r="H5202" s="17" t="s">
        <v>10781</v>
      </c>
      <c r="I5202" s="17"/>
      <c r="J5202" s="17" t="s">
        <v>10791</v>
      </c>
      <c r="K5202" s="17"/>
      <c r="L5202" s="17" t="s">
        <v>10792</v>
      </c>
      <c r="M5202" s="17"/>
      <c r="N5202" s="17" t="s">
        <v>10793</v>
      </c>
      <c r="O5202" s="17"/>
      <c r="P5202" s="17" t="s">
        <v>10979</v>
      </c>
      <c r="Q5202" s="17"/>
      <c r="R5202" s="25" t="str">
        <f>HYPERLINK("https://ictv.global/taxonomy/taxondetails?taxnode_id=202309591","Betapolyomavirus leporis")</f>
        <v>Betapolyomavirus leporis</v>
      </c>
      <c r="S5202" s="18" t="s">
        <v>30</v>
      </c>
      <c r="T5202" s="18" t="s">
        <v>11020</v>
      </c>
      <c r="U5202" s="18" t="s">
        <v>11021</v>
      </c>
      <c r="V5202" s="18" t="s">
        <v>11022</v>
      </c>
      <c r="W5202" s="18" t="s">
        <v>11023</v>
      </c>
      <c r="X5202" s="18" t="s">
        <v>42</v>
      </c>
      <c r="Y5202" s="18" t="s">
        <v>36</v>
      </c>
      <c r="Z5202" s="18" t="s">
        <v>166</v>
      </c>
      <c r="AA5202" s="21" t="str">
        <f>HYPERLINK("https://www.ncbi.nlm.nih.gov/nuccore/MN994868","NCBI Nucleotide")</f>
        <v>NCBI Nucleotide</v>
      </c>
    </row>
    <row r="5203" spans="1:27" x14ac:dyDescent="0.35">
      <c r="A5203">
        <v>1006918</v>
      </c>
      <c r="B5203">
        <v>5152</v>
      </c>
      <c r="C5203">
        <v>1</v>
      </c>
      <c r="D5203" s="17" t="s">
        <v>10507</v>
      </c>
      <c r="E5203" s="17"/>
      <c r="F5203" s="17" t="s">
        <v>10780</v>
      </c>
      <c r="G5203" s="17"/>
      <c r="H5203" s="17" t="s">
        <v>10781</v>
      </c>
      <c r="I5203" s="17"/>
      <c r="J5203" s="17" t="s">
        <v>10791</v>
      </c>
      <c r="K5203" s="17"/>
      <c r="L5203" s="17" t="s">
        <v>10792</v>
      </c>
      <c r="M5203" s="17"/>
      <c r="N5203" s="17" t="s">
        <v>10793</v>
      </c>
      <c r="O5203" s="17"/>
      <c r="P5203" s="17" t="s">
        <v>10979</v>
      </c>
      <c r="Q5203" s="17"/>
      <c r="R5203" s="25" t="str">
        <f>HYPERLINK("https://ictv.global/taxonomy/taxondetails?taxnode_id=202305905","Betapolyomavirus lepweddellii")</f>
        <v>Betapolyomavirus lepweddellii</v>
      </c>
      <c r="S5203" s="18" t="s">
        <v>30</v>
      </c>
      <c r="T5203" s="18" t="s">
        <v>11024</v>
      </c>
      <c r="U5203" s="18" t="s">
        <v>11025</v>
      </c>
      <c r="V5203" s="18">
        <v>17461</v>
      </c>
      <c r="W5203" s="18" t="s">
        <v>11026</v>
      </c>
      <c r="X5203" s="18" t="s">
        <v>42</v>
      </c>
      <c r="Y5203" s="18" t="s">
        <v>36</v>
      </c>
      <c r="Z5203" s="18" t="s">
        <v>166</v>
      </c>
      <c r="AA5203" s="21" t="str">
        <f>HYPERLINK("https://www.ncbi.nlm.nih.gov/nuccore/KX533457","NCBI Nucleotide")</f>
        <v>NCBI Nucleotide</v>
      </c>
    </row>
    <row r="5204" spans="1:27" x14ac:dyDescent="0.35">
      <c r="A5204">
        <v>1006919</v>
      </c>
      <c r="B5204">
        <v>5153</v>
      </c>
      <c r="C5204">
        <v>1</v>
      </c>
      <c r="D5204" s="17" t="s">
        <v>10507</v>
      </c>
      <c r="E5204" s="17"/>
      <c r="F5204" s="17" t="s">
        <v>10780</v>
      </c>
      <c r="G5204" s="17"/>
      <c r="H5204" s="17" t="s">
        <v>10781</v>
      </c>
      <c r="I5204" s="17"/>
      <c r="J5204" s="17" t="s">
        <v>10791</v>
      </c>
      <c r="K5204" s="17"/>
      <c r="L5204" s="17" t="s">
        <v>10792</v>
      </c>
      <c r="M5204" s="17"/>
      <c r="N5204" s="17" t="s">
        <v>10793</v>
      </c>
      <c r="O5204" s="17"/>
      <c r="P5204" s="17" t="s">
        <v>10979</v>
      </c>
      <c r="Q5204" s="17"/>
      <c r="R5204" s="25" t="str">
        <f>HYPERLINK("https://ictv.global/taxonomy/taxondetails?taxnode_id=202304464","Betapolyomavirus macacae")</f>
        <v>Betapolyomavirus macacae</v>
      </c>
      <c r="S5204" s="18" t="s">
        <v>30</v>
      </c>
      <c r="T5204" s="18" t="s">
        <v>11027</v>
      </c>
      <c r="U5204" s="18" t="s">
        <v>11028</v>
      </c>
      <c r="V5204" s="18">
        <v>776</v>
      </c>
      <c r="W5204" s="18" t="s">
        <v>11029</v>
      </c>
      <c r="X5204" s="18" t="s">
        <v>42</v>
      </c>
      <c r="Y5204" s="18" t="s">
        <v>36</v>
      </c>
      <c r="Z5204" s="18" t="s">
        <v>166</v>
      </c>
      <c r="AA5204" s="21" t="str">
        <f>HYPERLINK("https://www.ncbi.nlm.nih.gov/nuccore/J02400","NCBI Nucleotide")</f>
        <v>NCBI Nucleotide</v>
      </c>
    </row>
    <row r="5205" spans="1:27" x14ac:dyDescent="0.35">
      <c r="A5205">
        <v>1006920</v>
      </c>
      <c r="B5205">
        <v>5154</v>
      </c>
      <c r="C5205">
        <v>1</v>
      </c>
      <c r="D5205" s="17" t="s">
        <v>10507</v>
      </c>
      <c r="E5205" s="17"/>
      <c r="F5205" s="17" t="s">
        <v>10780</v>
      </c>
      <c r="G5205" s="17"/>
      <c r="H5205" s="17" t="s">
        <v>10781</v>
      </c>
      <c r="I5205" s="17"/>
      <c r="J5205" s="17" t="s">
        <v>10791</v>
      </c>
      <c r="K5205" s="17"/>
      <c r="L5205" s="17" t="s">
        <v>10792</v>
      </c>
      <c r="M5205" s="17"/>
      <c r="N5205" s="17" t="s">
        <v>10793</v>
      </c>
      <c r="O5205" s="17"/>
      <c r="P5205" s="17" t="s">
        <v>10979</v>
      </c>
      <c r="Q5205" s="17"/>
      <c r="R5205" s="25" t="str">
        <f>HYPERLINK("https://ictv.global/taxonomy/taxondetails?taxnode_id=202304468","Betapolyomavirus mafricanus")</f>
        <v>Betapolyomavirus mafricanus</v>
      </c>
      <c r="S5205" s="18" t="s">
        <v>30</v>
      </c>
      <c r="T5205" s="18" t="s">
        <v>11030</v>
      </c>
      <c r="U5205" s="18" t="s">
        <v>11031</v>
      </c>
      <c r="V5205" s="18" t="s">
        <v>11032</v>
      </c>
      <c r="W5205" s="18" t="s">
        <v>11033</v>
      </c>
      <c r="X5205" s="18" t="s">
        <v>42</v>
      </c>
      <c r="Y5205" s="18" t="s">
        <v>36</v>
      </c>
      <c r="Z5205" s="18" t="s">
        <v>166</v>
      </c>
      <c r="AA5205" s="21" t="str">
        <f>HYPERLINK("https://www.ncbi.nlm.nih.gov/nuccore/JX520661","NCBI Nucleotide")</f>
        <v>NCBI Nucleotide</v>
      </c>
    </row>
    <row r="5206" spans="1:27" x14ac:dyDescent="0.35">
      <c r="A5206">
        <v>1006921</v>
      </c>
      <c r="B5206">
        <v>5155</v>
      </c>
      <c r="C5206">
        <v>1</v>
      </c>
      <c r="D5206" s="17" t="s">
        <v>10507</v>
      </c>
      <c r="E5206" s="17"/>
      <c r="F5206" s="17" t="s">
        <v>10780</v>
      </c>
      <c r="G5206" s="17"/>
      <c r="H5206" s="17" t="s">
        <v>10781</v>
      </c>
      <c r="I5206" s="17"/>
      <c r="J5206" s="17" t="s">
        <v>10791</v>
      </c>
      <c r="K5206" s="17"/>
      <c r="L5206" s="17" t="s">
        <v>10792</v>
      </c>
      <c r="M5206" s="17"/>
      <c r="N5206" s="17" t="s">
        <v>10793</v>
      </c>
      <c r="O5206" s="17"/>
      <c r="P5206" s="17" t="s">
        <v>10979</v>
      </c>
      <c r="Q5206" s="17"/>
      <c r="R5206" s="25" t="str">
        <f>HYPERLINK("https://ictv.global/taxonomy/taxondetails?taxnode_id=202304467","Betapolyomavirus marvalis")</f>
        <v>Betapolyomavirus marvalis</v>
      </c>
      <c r="S5206" s="18" t="s">
        <v>30</v>
      </c>
      <c r="T5206" s="18" t="s">
        <v>11034</v>
      </c>
      <c r="U5206" s="18" t="s">
        <v>11035</v>
      </c>
      <c r="V5206" s="18" t="s">
        <v>11036</v>
      </c>
      <c r="W5206" s="18" t="s">
        <v>11037</v>
      </c>
      <c r="X5206" s="18" t="s">
        <v>42</v>
      </c>
      <c r="Y5206" s="18" t="s">
        <v>36</v>
      </c>
      <c r="Z5206" s="18" t="s">
        <v>166</v>
      </c>
      <c r="AA5206" s="21" t="str">
        <f>HYPERLINK("https://www.ncbi.nlm.nih.gov/nuccore/KR612373","NCBI Nucleotide")</f>
        <v>NCBI Nucleotide</v>
      </c>
    </row>
    <row r="5207" spans="1:27" x14ac:dyDescent="0.35">
      <c r="A5207">
        <v>1006922</v>
      </c>
      <c r="B5207">
        <v>5156</v>
      </c>
      <c r="C5207">
        <v>1</v>
      </c>
      <c r="D5207" s="17" t="s">
        <v>10507</v>
      </c>
      <c r="E5207" s="17"/>
      <c r="F5207" s="17" t="s">
        <v>10780</v>
      </c>
      <c r="G5207" s="17"/>
      <c r="H5207" s="17" t="s">
        <v>10781</v>
      </c>
      <c r="I5207" s="17"/>
      <c r="J5207" s="17" t="s">
        <v>10791</v>
      </c>
      <c r="K5207" s="17"/>
      <c r="L5207" s="17" t="s">
        <v>10792</v>
      </c>
      <c r="M5207" s="17"/>
      <c r="N5207" s="17" t="s">
        <v>10793</v>
      </c>
      <c r="O5207" s="17"/>
      <c r="P5207" s="17" t="s">
        <v>10979</v>
      </c>
      <c r="Q5207" s="17"/>
      <c r="R5207" s="25" t="str">
        <f>HYPERLINK("https://ictv.global/taxonomy/taxondetails?taxnode_id=202304465","Betapolyomavirus mastomysis")</f>
        <v>Betapolyomavirus mastomysis</v>
      </c>
      <c r="S5207" s="18" t="s">
        <v>30</v>
      </c>
      <c r="T5207" s="18" t="s">
        <v>11038</v>
      </c>
      <c r="U5207" s="18" t="s">
        <v>11039</v>
      </c>
      <c r="V5207" s="18" t="s">
        <v>11040</v>
      </c>
      <c r="W5207" s="18" t="s">
        <v>11041</v>
      </c>
      <c r="X5207" s="18" t="s">
        <v>42</v>
      </c>
      <c r="Y5207" s="18" t="s">
        <v>36</v>
      </c>
      <c r="Z5207" s="18" t="s">
        <v>166</v>
      </c>
      <c r="AA5207" s="21" t="str">
        <f>HYPERLINK("https://www.ncbi.nlm.nih.gov/nuccore/AB588640","NCBI Nucleotide")</f>
        <v>NCBI Nucleotide</v>
      </c>
    </row>
    <row r="5208" spans="1:27" x14ac:dyDescent="0.35">
      <c r="A5208">
        <v>1006923</v>
      </c>
      <c r="B5208">
        <v>5157</v>
      </c>
      <c r="C5208">
        <v>1</v>
      </c>
      <c r="D5208" s="17" t="s">
        <v>10507</v>
      </c>
      <c r="E5208" s="17"/>
      <c r="F5208" s="17" t="s">
        <v>10780</v>
      </c>
      <c r="G5208" s="17"/>
      <c r="H5208" s="17" t="s">
        <v>10781</v>
      </c>
      <c r="I5208" s="17"/>
      <c r="J5208" s="17" t="s">
        <v>10791</v>
      </c>
      <c r="K5208" s="17"/>
      <c r="L5208" s="17" t="s">
        <v>10792</v>
      </c>
      <c r="M5208" s="17"/>
      <c r="N5208" s="17" t="s">
        <v>10793</v>
      </c>
      <c r="O5208" s="17"/>
      <c r="P5208" s="17" t="s">
        <v>10979</v>
      </c>
      <c r="Q5208" s="17"/>
      <c r="R5208" s="25" t="str">
        <f>HYPERLINK("https://ictv.global/taxonomy/taxondetails?taxnode_id=202304466","Betapolyomavirus meletis")</f>
        <v>Betapolyomavirus meletis</v>
      </c>
      <c r="S5208" s="18" t="s">
        <v>30</v>
      </c>
      <c r="T5208" s="18" t="s">
        <v>11042</v>
      </c>
      <c r="U5208" s="18" t="s">
        <v>11043</v>
      </c>
      <c r="V5208" s="18" t="s">
        <v>11044</v>
      </c>
      <c r="W5208" s="18" t="s">
        <v>11045</v>
      </c>
      <c r="X5208" s="18" t="s">
        <v>42</v>
      </c>
      <c r="Y5208" s="18" t="s">
        <v>36</v>
      </c>
      <c r="Z5208" s="18" t="s">
        <v>166</v>
      </c>
      <c r="AA5208" s="21" t="str">
        <f>HYPERLINK("https://www.ncbi.nlm.nih.gov/nuccore/KP644238","NCBI Nucleotide")</f>
        <v>NCBI Nucleotide</v>
      </c>
    </row>
    <row r="5209" spans="1:27" x14ac:dyDescent="0.35">
      <c r="A5209">
        <v>1006924</v>
      </c>
      <c r="B5209">
        <v>5158</v>
      </c>
      <c r="C5209">
        <v>1</v>
      </c>
      <c r="D5209" s="17" t="s">
        <v>10507</v>
      </c>
      <c r="E5209" s="17"/>
      <c r="F5209" s="17" t="s">
        <v>10780</v>
      </c>
      <c r="G5209" s="17"/>
      <c r="H5209" s="17" t="s">
        <v>10781</v>
      </c>
      <c r="I5209" s="17"/>
      <c r="J5209" s="17" t="s">
        <v>10791</v>
      </c>
      <c r="K5209" s="17"/>
      <c r="L5209" s="17" t="s">
        <v>10792</v>
      </c>
      <c r="M5209" s="17"/>
      <c r="N5209" s="17" t="s">
        <v>10793</v>
      </c>
      <c r="O5209" s="17"/>
      <c r="P5209" s="17" t="s">
        <v>10979</v>
      </c>
      <c r="Q5209" s="17"/>
      <c r="R5209" s="25" t="str">
        <f>HYPERLINK("https://ictv.global/taxonomy/taxondetails?taxnode_id=202304470","Betapolyomavirus myoglareolus")</f>
        <v>Betapolyomavirus myoglareolus</v>
      </c>
      <c r="S5209" s="18" t="s">
        <v>30</v>
      </c>
      <c r="T5209" s="18" t="s">
        <v>11046</v>
      </c>
      <c r="U5209" s="18" t="s">
        <v>11047</v>
      </c>
      <c r="V5209" s="18" t="s">
        <v>11048</v>
      </c>
      <c r="W5209" s="18" t="s">
        <v>11049</v>
      </c>
      <c r="X5209" s="18" t="s">
        <v>42</v>
      </c>
      <c r="Y5209" s="18" t="s">
        <v>36</v>
      </c>
      <c r="Z5209" s="18" t="s">
        <v>166</v>
      </c>
      <c r="AA5209" s="21" t="str">
        <f>HYPERLINK("https://www.ncbi.nlm.nih.gov/nuccore/KR612368","NCBI Nucleotide")</f>
        <v>NCBI Nucleotide</v>
      </c>
    </row>
    <row r="5210" spans="1:27" x14ac:dyDescent="0.35">
      <c r="A5210">
        <v>1006925</v>
      </c>
      <c r="B5210">
        <v>5159</v>
      </c>
      <c r="C5210">
        <v>1</v>
      </c>
      <c r="D5210" s="17" t="s">
        <v>10507</v>
      </c>
      <c r="E5210" s="17"/>
      <c r="F5210" s="17" t="s">
        <v>10780</v>
      </c>
      <c r="G5210" s="17"/>
      <c r="H5210" s="17" t="s">
        <v>10781</v>
      </c>
      <c r="I5210" s="17"/>
      <c r="J5210" s="17" t="s">
        <v>10791</v>
      </c>
      <c r="K5210" s="17"/>
      <c r="L5210" s="17" t="s">
        <v>10792</v>
      </c>
      <c r="M5210" s="17"/>
      <c r="N5210" s="17" t="s">
        <v>10793</v>
      </c>
      <c r="O5210" s="17"/>
      <c r="P5210" s="17" t="s">
        <v>10979</v>
      </c>
      <c r="Q5210" s="17"/>
      <c r="R5210" s="25" t="str">
        <f>HYPERLINK("https://ictv.global/taxonomy/taxondetails?taxnode_id=202304471","Betapolyomavirus myolucifugus")</f>
        <v>Betapolyomavirus myolucifugus</v>
      </c>
      <c r="S5210" s="18" t="s">
        <v>30</v>
      </c>
      <c r="T5210" s="18" t="s">
        <v>11050</v>
      </c>
      <c r="U5210" s="18" t="s">
        <v>11051</v>
      </c>
      <c r="V5210" s="18" t="s">
        <v>11052</v>
      </c>
      <c r="W5210" s="18" t="s">
        <v>11053</v>
      </c>
      <c r="X5210" s="18" t="s">
        <v>42</v>
      </c>
      <c r="Y5210" s="18" t="s">
        <v>36</v>
      </c>
      <c r="Z5210" s="18" t="s">
        <v>166</v>
      </c>
      <c r="AA5210" s="21" t="str">
        <f>HYPERLINK("https://www.ncbi.nlm.nih.gov/nuccore/FJ188392","NCBI Nucleotide")</f>
        <v>NCBI Nucleotide</v>
      </c>
    </row>
    <row r="5211" spans="1:27" x14ac:dyDescent="0.35">
      <c r="A5211">
        <v>1006926</v>
      </c>
      <c r="B5211">
        <v>5160</v>
      </c>
      <c r="C5211">
        <v>1</v>
      </c>
      <c r="D5211" s="17" t="s">
        <v>10507</v>
      </c>
      <c r="E5211" s="17"/>
      <c r="F5211" s="17" t="s">
        <v>10780</v>
      </c>
      <c r="G5211" s="17"/>
      <c r="H5211" s="17" t="s">
        <v>10781</v>
      </c>
      <c r="I5211" s="17"/>
      <c r="J5211" s="17" t="s">
        <v>10791</v>
      </c>
      <c r="K5211" s="17"/>
      <c r="L5211" s="17" t="s">
        <v>10792</v>
      </c>
      <c r="M5211" s="17"/>
      <c r="N5211" s="17" t="s">
        <v>10793</v>
      </c>
      <c r="O5211" s="17"/>
      <c r="P5211" s="17" t="s">
        <v>10979</v>
      </c>
      <c r="Q5211" s="17"/>
      <c r="R5211" s="25" t="str">
        <f>HYPERLINK("https://ictv.global/taxonomy/taxondetails?taxnode_id=202304472","Betapolyomavirus octipanos")</f>
        <v>Betapolyomavirus octipanos</v>
      </c>
      <c r="S5211" s="18" t="s">
        <v>30</v>
      </c>
      <c r="T5211" s="18" t="s">
        <v>11054</v>
      </c>
      <c r="U5211" s="18" t="s">
        <v>11055</v>
      </c>
      <c r="V5211" s="18" t="s">
        <v>11056</v>
      </c>
      <c r="W5211" s="18" t="s">
        <v>11057</v>
      </c>
      <c r="X5211" s="18" t="s">
        <v>42</v>
      </c>
      <c r="Y5211" s="18" t="s">
        <v>36</v>
      </c>
      <c r="Z5211" s="18" t="s">
        <v>166</v>
      </c>
      <c r="AA5211" s="21" t="str">
        <f>HYPERLINK("https://www.ncbi.nlm.nih.gov/nuccore/KT884050","NCBI Nucleotide")</f>
        <v>NCBI Nucleotide</v>
      </c>
    </row>
    <row r="5212" spans="1:27" x14ac:dyDescent="0.35">
      <c r="A5212">
        <v>1006927</v>
      </c>
      <c r="B5212">
        <v>5161</v>
      </c>
      <c r="C5212">
        <v>1</v>
      </c>
      <c r="D5212" s="17" t="s">
        <v>10507</v>
      </c>
      <c r="E5212" s="17"/>
      <c r="F5212" s="17" t="s">
        <v>10780</v>
      </c>
      <c r="G5212" s="17"/>
      <c r="H5212" s="17" t="s">
        <v>10781</v>
      </c>
      <c r="I5212" s="17"/>
      <c r="J5212" s="17" t="s">
        <v>10791</v>
      </c>
      <c r="K5212" s="17"/>
      <c r="L5212" s="17" t="s">
        <v>10792</v>
      </c>
      <c r="M5212" s="17"/>
      <c r="N5212" s="17" t="s">
        <v>10793</v>
      </c>
      <c r="O5212" s="17"/>
      <c r="P5212" s="17" t="s">
        <v>10979</v>
      </c>
      <c r="Q5212" s="17"/>
      <c r="R5212" s="25" t="str">
        <f>HYPERLINK("https://ictv.global/taxonomy/taxondetails?taxnode_id=202309589","Betapolyomavirus pantherae")</f>
        <v>Betapolyomavirus pantherae</v>
      </c>
      <c r="S5212" s="18" t="s">
        <v>30</v>
      </c>
      <c r="T5212" s="18" t="s">
        <v>11058</v>
      </c>
      <c r="U5212" s="18" t="s">
        <v>11059</v>
      </c>
      <c r="V5212" s="18">
        <v>3884</v>
      </c>
      <c r="W5212" s="18" t="s">
        <v>11060</v>
      </c>
      <c r="X5212" s="18" t="s">
        <v>42</v>
      </c>
      <c r="Y5212" s="18" t="s">
        <v>36</v>
      </c>
      <c r="Z5212" s="18" t="s">
        <v>166</v>
      </c>
      <c r="AA5212" s="21" t="str">
        <f>HYPERLINK("https://www.ncbi.nlm.nih.gov/nuccore/MG701353","NCBI Nucleotide")</f>
        <v>NCBI Nucleotide</v>
      </c>
    </row>
    <row r="5213" spans="1:27" x14ac:dyDescent="0.35">
      <c r="A5213">
        <v>1006928</v>
      </c>
      <c r="B5213">
        <v>5162</v>
      </c>
      <c r="C5213">
        <v>1</v>
      </c>
      <c r="D5213" s="17" t="s">
        <v>10507</v>
      </c>
      <c r="E5213" s="17"/>
      <c r="F5213" s="17" t="s">
        <v>10780</v>
      </c>
      <c r="G5213" s="17"/>
      <c r="H5213" s="17" t="s">
        <v>10781</v>
      </c>
      <c r="I5213" s="17"/>
      <c r="J5213" s="17" t="s">
        <v>10791</v>
      </c>
      <c r="K5213" s="17"/>
      <c r="L5213" s="17" t="s">
        <v>10792</v>
      </c>
      <c r="M5213" s="17"/>
      <c r="N5213" s="17" t="s">
        <v>10793</v>
      </c>
      <c r="O5213" s="17"/>
      <c r="P5213" s="17" t="s">
        <v>10979</v>
      </c>
      <c r="Q5213" s="17"/>
      <c r="R5213" s="25" t="str">
        <f>HYPERLINK("https://ictv.global/taxonomy/taxondetails?taxnode_id=202304474","Betapolyomavirus ptedavyi")</f>
        <v>Betapolyomavirus ptedavyi</v>
      </c>
      <c r="S5213" s="18" t="s">
        <v>30</v>
      </c>
      <c r="T5213" s="18" t="s">
        <v>11061</v>
      </c>
      <c r="U5213" s="18" t="s">
        <v>11062</v>
      </c>
      <c r="V5213" s="18" t="s">
        <v>11063</v>
      </c>
      <c r="W5213" s="18" t="s">
        <v>11064</v>
      </c>
      <c r="X5213" s="18" t="s">
        <v>42</v>
      </c>
      <c r="Y5213" s="18" t="s">
        <v>36</v>
      </c>
      <c r="Z5213" s="18" t="s">
        <v>166</v>
      </c>
      <c r="AA5213" s="21" t="str">
        <f>HYPERLINK("https://www.ncbi.nlm.nih.gov/nuccore/JX520662","NCBI Nucleotide")</f>
        <v>NCBI Nucleotide</v>
      </c>
    </row>
    <row r="5214" spans="1:27" x14ac:dyDescent="0.35">
      <c r="A5214">
        <v>1006929</v>
      </c>
      <c r="B5214">
        <v>5163</v>
      </c>
      <c r="C5214">
        <v>1</v>
      </c>
      <c r="D5214" s="17" t="s">
        <v>10507</v>
      </c>
      <c r="E5214" s="17"/>
      <c r="F5214" s="17" t="s">
        <v>10780</v>
      </c>
      <c r="G5214" s="17"/>
      <c r="H5214" s="17" t="s">
        <v>10781</v>
      </c>
      <c r="I5214" s="17"/>
      <c r="J5214" s="17" t="s">
        <v>10791</v>
      </c>
      <c r="K5214" s="17"/>
      <c r="L5214" s="17" t="s">
        <v>10792</v>
      </c>
      <c r="M5214" s="17"/>
      <c r="N5214" s="17" t="s">
        <v>10793</v>
      </c>
      <c r="O5214" s="17"/>
      <c r="P5214" s="17" t="s">
        <v>10979</v>
      </c>
      <c r="Q5214" s="17"/>
      <c r="R5214" s="25" t="str">
        <f>HYPERLINK("https://ictv.global/taxonomy/taxondetails?taxnode_id=202304475","Betapolyomavirus pteparnellii")</f>
        <v>Betapolyomavirus pteparnellii</v>
      </c>
      <c r="S5214" s="18" t="s">
        <v>30</v>
      </c>
      <c r="T5214" s="18" t="s">
        <v>11065</v>
      </c>
      <c r="U5214" s="18" t="s">
        <v>11066</v>
      </c>
      <c r="V5214" s="18" t="s">
        <v>11067</v>
      </c>
      <c r="W5214" s="18" t="s">
        <v>11068</v>
      </c>
      <c r="X5214" s="18" t="s">
        <v>42</v>
      </c>
      <c r="Y5214" s="18" t="s">
        <v>36</v>
      </c>
      <c r="Z5214" s="18" t="s">
        <v>166</v>
      </c>
      <c r="AA5214" s="21" t="str">
        <f>HYPERLINK("https://www.ncbi.nlm.nih.gov/nuccore/JQ958891","NCBI Nucleotide")</f>
        <v>NCBI Nucleotide</v>
      </c>
    </row>
    <row r="5215" spans="1:27" x14ac:dyDescent="0.35">
      <c r="A5215">
        <v>1006930</v>
      </c>
      <c r="B5215">
        <v>5164</v>
      </c>
      <c r="C5215">
        <v>1</v>
      </c>
      <c r="D5215" s="17" t="s">
        <v>10507</v>
      </c>
      <c r="E5215" s="17"/>
      <c r="F5215" s="17" t="s">
        <v>10780</v>
      </c>
      <c r="G5215" s="17"/>
      <c r="H5215" s="17" t="s">
        <v>10781</v>
      </c>
      <c r="I5215" s="17"/>
      <c r="J5215" s="17" t="s">
        <v>10791</v>
      </c>
      <c r="K5215" s="17"/>
      <c r="L5215" s="17" t="s">
        <v>10792</v>
      </c>
      <c r="M5215" s="17"/>
      <c r="N5215" s="17" t="s">
        <v>10793</v>
      </c>
      <c r="O5215" s="17"/>
      <c r="P5215" s="17" t="s">
        <v>10979</v>
      </c>
      <c r="Q5215" s="17"/>
      <c r="R5215" s="25" t="str">
        <f>HYPERLINK("https://ictv.global/taxonomy/taxondetails?taxnode_id=202304462","Betapolyomavirus quartihominis")</f>
        <v>Betapolyomavirus quartihominis</v>
      </c>
      <c r="S5215" s="18" t="s">
        <v>30</v>
      </c>
      <c r="T5215" s="18" t="s">
        <v>11069</v>
      </c>
      <c r="U5215" s="18" t="s">
        <v>11070</v>
      </c>
      <c r="V5215" s="18" t="s">
        <v>11071</v>
      </c>
      <c r="W5215" s="18" t="s">
        <v>11072</v>
      </c>
      <c r="X5215" s="18" t="s">
        <v>42</v>
      </c>
      <c r="Y5215" s="18" t="s">
        <v>36</v>
      </c>
      <c r="Z5215" s="18" t="s">
        <v>166</v>
      </c>
      <c r="AA5215" s="21" t="str">
        <f>HYPERLINK("https://www.ncbi.nlm.nih.gov/nuccore/EF444549","NCBI Nucleotide")</f>
        <v>NCBI Nucleotide</v>
      </c>
    </row>
    <row r="5216" spans="1:27" x14ac:dyDescent="0.35">
      <c r="A5216">
        <v>1006931</v>
      </c>
      <c r="B5216">
        <v>5165</v>
      </c>
      <c r="C5216">
        <v>1</v>
      </c>
      <c r="D5216" s="17" t="s">
        <v>10507</v>
      </c>
      <c r="E5216" s="17"/>
      <c r="F5216" s="17" t="s">
        <v>10780</v>
      </c>
      <c r="G5216" s="17"/>
      <c r="H5216" s="17" t="s">
        <v>10781</v>
      </c>
      <c r="I5216" s="17"/>
      <c r="J5216" s="17" t="s">
        <v>10791</v>
      </c>
      <c r="K5216" s="17"/>
      <c r="L5216" s="17" t="s">
        <v>10792</v>
      </c>
      <c r="M5216" s="17"/>
      <c r="N5216" s="17" t="s">
        <v>10793</v>
      </c>
      <c r="O5216" s="17"/>
      <c r="P5216" s="17" t="s">
        <v>10979</v>
      </c>
      <c r="Q5216" s="17"/>
      <c r="R5216" s="25" t="str">
        <f>HYPERLINK("https://ictv.global/taxonomy/taxondetails?taxnode_id=202306348","Betapolyomavirus raegyptiacus")</f>
        <v>Betapolyomavirus raegyptiacus</v>
      </c>
      <c r="S5216" s="18" t="s">
        <v>30</v>
      </c>
      <c r="T5216" s="18" t="s">
        <v>11073</v>
      </c>
      <c r="U5216" s="18" t="s">
        <v>11074</v>
      </c>
      <c r="V5216" s="18" t="s">
        <v>11075</v>
      </c>
      <c r="W5216" s="18" t="s">
        <v>11076</v>
      </c>
      <c r="X5216" s="18" t="s">
        <v>42</v>
      </c>
      <c r="Y5216" s="18" t="s">
        <v>36</v>
      </c>
      <c r="Z5216" s="18" t="s">
        <v>166</v>
      </c>
      <c r="AA5216" s="21" t="str">
        <f>HYPERLINK("https://www.ncbi.nlm.nih.gov/nuccore/LC185218","NCBI Nucleotide")</f>
        <v>NCBI Nucleotide</v>
      </c>
    </row>
    <row r="5217" spans="1:27" x14ac:dyDescent="0.35">
      <c r="A5217">
        <v>1006932</v>
      </c>
      <c r="B5217">
        <v>5166</v>
      </c>
      <c r="C5217">
        <v>1</v>
      </c>
      <c r="D5217" s="17" t="s">
        <v>10507</v>
      </c>
      <c r="E5217" s="17"/>
      <c r="F5217" s="17" t="s">
        <v>10780</v>
      </c>
      <c r="G5217" s="17"/>
      <c r="H5217" s="17" t="s">
        <v>10781</v>
      </c>
      <c r="I5217" s="17"/>
      <c r="J5217" s="17" t="s">
        <v>10791</v>
      </c>
      <c r="K5217" s="17"/>
      <c r="L5217" s="17" t="s">
        <v>10792</v>
      </c>
      <c r="M5217" s="17"/>
      <c r="N5217" s="17" t="s">
        <v>10793</v>
      </c>
      <c r="O5217" s="17"/>
      <c r="P5217" s="17" t="s">
        <v>10979</v>
      </c>
      <c r="Q5217" s="17"/>
      <c r="R5217" s="25" t="str">
        <f>HYPERLINK("https://ictv.global/taxonomy/taxondetails?taxnode_id=202304476","Betapolyomavirus saboliviensis")</f>
        <v>Betapolyomavirus saboliviensis</v>
      </c>
      <c r="S5217" s="18" t="s">
        <v>30</v>
      </c>
      <c r="T5217" s="18" t="s">
        <v>11077</v>
      </c>
      <c r="U5217" s="18" t="s">
        <v>11078</v>
      </c>
      <c r="V5217" s="18" t="s">
        <v>11079</v>
      </c>
      <c r="W5217" s="18" t="s">
        <v>11080</v>
      </c>
      <c r="X5217" s="18" t="s">
        <v>42</v>
      </c>
      <c r="Y5217" s="18" t="s">
        <v>36</v>
      </c>
      <c r="Z5217" s="18" t="s">
        <v>166</v>
      </c>
      <c r="AA5217" s="21" t="str">
        <f>HYPERLINK("https://www.ncbi.nlm.nih.gov/nuccore/AM748741","NCBI Nucleotide")</f>
        <v>NCBI Nucleotide</v>
      </c>
    </row>
    <row r="5218" spans="1:27" x14ac:dyDescent="0.35">
      <c r="A5218">
        <v>1006933</v>
      </c>
      <c r="B5218">
        <v>5167</v>
      </c>
      <c r="C5218">
        <v>1</v>
      </c>
      <c r="D5218" s="17" t="s">
        <v>10507</v>
      </c>
      <c r="E5218" s="17"/>
      <c r="F5218" s="17" t="s">
        <v>10780</v>
      </c>
      <c r="G5218" s="17"/>
      <c r="H5218" s="17" t="s">
        <v>10781</v>
      </c>
      <c r="I5218" s="17"/>
      <c r="J5218" s="17" t="s">
        <v>10791</v>
      </c>
      <c r="K5218" s="17"/>
      <c r="L5218" s="17" t="s">
        <v>10792</v>
      </c>
      <c r="M5218" s="17"/>
      <c r="N5218" s="17" t="s">
        <v>10793</v>
      </c>
      <c r="O5218" s="17"/>
      <c r="P5218" s="17" t="s">
        <v>10979</v>
      </c>
      <c r="Q5218" s="17"/>
      <c r="R5218" s="25" t="str">
        <f>HYPERLINK("https://ictv.global/taxonomy/taxondetails?taxnode_id=202304477","Betapolyomavirus sasciureus")</f>
        <v>Betapolyomavirus sasciureus</v>
      </c>
      <c r="S5218" s="18" t="s">
        <v>30</v>
      </c>
      <c r="T5218" s="18" t="s">
        <v>11081</v>
      </c>
      <c r="U5218" s="18" t="s">
        <v>11082</v>
      </c>
      <c r="V5218" s="18">
        <v>2033</v>
      </c>
      <c r="W5218" s="18" t="s">
        <v>11083</v>
      </c>
      <c r="X5218" s="18" t="s">
        <v>42</v>
      </c>
      <c r="Y5218" s="18" t="s">
        <v>36</v>
      </c>
      <c r="Z5218" s="18" t="s">
        <v>166</v>
      </c>
      <c r="AA5218" s="21" t="str">
        <f>HYPERLINK("https://www.ncbi.nlm.nih.gov/nuccore/JX159989","NCBI Nucleotide")</f>
        <v>NCBI Nucleotide</v>
      </c>
    </row>
    <row r="5219" spans="1:27" x14ac:dyDescent="0.35">
      <c r="A5219">
        <v>1006934</v>
      </c>
      <c r="B5219">
        <v>5168</v>
      </c>
      <c r="C5219">
        <v>1</v>
      </c>
      <c r="D5219" s="17" t="s">
        <v>10507</v>
      </c>
      <c r="E5219" s="17"/>
      <c r="F5219" s="17" t="s">
        <v>10780</v>
      </c>
      <c r="G5219" s="17"/>
      <c r="H5219" s="17" t="s">
        <v>10781</v>
      </c>
      <c r="I5219" s="17"/>
      <c r="J5219" s="17" t="s">
        <v>10791</v>
      </c>
      <c r="K5219" s="17"/>
      <c r="L5219" s="17" t="s">
        <v>10792</v>
      </c>
      <c r="M5219" s="17"/>
      <c r="N5219" s="17" t="s">
        <v>10793</v>
      </c>
      <c r="O5219" s="17"/>
      <c r="P5219" s="17" t="s">
        <v>10979</v>
      </c>
      <c r="Q5219" s="17"/>
      <c r="R5219" s="25" t="str">
        <f>HYPERLINK("https://ictv.global/taxonomy/taxondetails?taxnode_id=202309592","Betapolyomavirus sciuri")</f>
        <v>Betapolyomavirus sciuri</v>
      </c>
      <c r="S5219" s="18" t="s">
        <v>30</v>
      </c>
      <c r="T5219" s="18" t="s">
        <v>11084</v>
      </c>
      <c r="U5219" s="18" t="s">
        <v>11085</v>
      </c>
      <c r="V5219" s="18" t="s">
        <v>11086</v>
      </c>
      <c r="W5219" s="18" t="s">
        <v>11087</v>
      </c>
      <c r="X5219" s="18" t="s">
        <v>42</v>
      </c>
      <c r="Y5219" s="18" t="s">
        <v>36</v>
      </c>
      <c r="Z5219" s="18" t="s">
        <v>166</v>
      </c>
      <c r="AA5219" s="21" t="str">
        <f>HYPERLINK("https://www.ncbi.nlm.nih.gov/nuccore/MK671101","NCBI Nucleotide")</f>
        <v>NCBI Nucleotide</v>
      </c>
    </row>
    <row r="5220" spans="1:27" x14ac:dyDescent="0.35">
      <c r="A5220">
        <v>1006935</v>
      </c>
      <c r="B5220">
        <v>5169</v>
      </c>
      <c r="C5220">
        <v>1</v>
      </c>
      <c r="D5220" s="17" t="s">
        <v>10507</v>
      </c>
      <c r="E5220" s="17"/>
      <c r="F5220" s="17" t="s">
        <v>10780</v>
      </c>
      <c r="G5220" s="17"/>
      <c r="H5220" s="17" t="s">
        <v>10781</v>
      </c>
      <c r="I5220" s="17"/>
      <c r="J5220" s="17" t="s">
        <v>10791</v>
      </c>
      <c r="K5220" s="17"/>
      <c r="L5220" s="17" t="s">
        <v>10792</v>
      </c>
      <c r="M5220" s="17"/>
      <c r="N5220" s="17" t="s">
        <v>10793</v>
      </c>
      <c r="O5220" s="17"/>
      <c r="P5220" s="17" t="s">
        <v>10979</v>
      </c>
      <c r="Q5220" s="17"/>
      <c r="R5220" s="25" t="str">
        <f>HYPERLINK("https://ictv.global/taxonomy/taxondetails?taxnode_id=202304450","Betapolyomavirus secacelebensis")</f>
        <v>Betapolyomavirus secacelebensis</v>
      </c>
      <c r="S5220" s="18" t="s">
        <v>30</v>
      </c>
      <c r="T5220" s="18" t="s">
        <v>11088</v>
      </c>
      <c r="U5220" s="18" t="s">
        <v>11089</v>
      </c>
      <c r="V5220" s="18" t="s">
        <v>11090</v>
      </c>
      <c r="W5220" s="18" t="s">
        <v>11091</v>
      </c>
      <c r="X5220" s="18" t="s">
        <v>42</v>
      </c>
      <c r="Y5220" s="18" t="s">
        <v>36</v>
      </c>
      <c r="Z5220" s="18" t="s">
        <v>166</v>
      </c>
      <c r="AA5220" s="21" t="str">
        <f>HYPERLINK("https://www.ncbi.nlm.nih.gov/nuccore/AB972941","NCBI Nucleotide")</f>
        <v>NCBI Nucleotide</v>
      </c>
    </row>
    <row r="5221" spans="1:27" x14ac:dyDescent="0.35">
      <c r="A5221">
        <v>1006936</v>
      </c>
      <c r="B5221">
        <v>5170</v>
      </c>
      <c r="C5221">
        <v>1</v>
      </c>
      <c r="D5221" s="17" t="s">
        <v>10507</v>
      </c>
      <c r="E5221" s="17"/>
      <c r="F5221" s="17" t="s">
        <v>10780</v>
      </c>
      <c r="G5221" s="17"/>
      <c r="H5221" s="17" t="s">
        <v>10781</v>
      </c>
      <c r="I5221" s="17"/>
      <c r="J5221" s="17" t="s">
        <v>10791</v>
      </c>
      <c r="K5221" s="17"/>
      <c r="L5221" s="17" t="s">
        <v>10792</v>
      </c>
      <c r="M5221" s="17"/>
      <c r="N5221" s="17" t="s">
        <v>10793</v>
      </c>
      <c r="O5221" s="17"/>
      <c r="P5221" s="17" t="s">
        <v>10979</v>
      </c>
      <c r="Q5221" s="17"/>
      <c r="R5221" s="25" t="str">
        <f>HYPERLINK("https://ictv.global/taxonomy/taxondetails?taxnode_id=202304454","Betapolyomavirus secuchlopygerythrus")</f>
        <v>Betapolyomavirus secuchlopygerythrus</v>
      </c>
      <c r="S5221" s="18" t="s">
        <v>30</v>
      </c>
      <c r="T5221" s="18" t="s">
        <v>11092</v>
      </c>
      <c r="U5221" s="18" t="s">
        <v>11093</v>
      </c>
      <c r="V5221" s="18" t="s">
        <v>11094</v>
      </c>
      <c r="W5221" s="18" t="s">
        <v>11095</v>
      </c>
      <c r="X5221" s="18" t="s">
        <v>42</v>
      </c>
      <c r="Y5221" s="18" t="s">
        <v>36</v>
      </c>
      <c r="Z5221" s="18" t="s">
        <v>166</v>
      </c>
      <c r="AA5221" s="21" t="str">
        <f>HYPERLINK("https://www.ncbi.nlm.nih.gov/nuccore/AB767299","NCBI Nucleotide")</f>
        <v>NCBI Nucleotide</v>
      </c>
    </row>
    <row r="5222" spans="1:27" x14ac:dyDescent="0.35">
      <c r="A5222">
        <v>1006937</v>
      </c>
      <c r="B5222">
        <v>5171</v>
      </c>
      <c r="C5222">
        <v>1</v>
      </c>
      <c r="D5222" s="17" t="s">
        <v>10507</v>
      </c>
      <c r="E5222" s="17"/>
      <c r="F5222" s="17" t="s">
        <v>10780</v>
      </c>
      <c r="G5222" s="17"/>
      <c r="H5222" s="17" t="s">
        <v>10781</v>
      </c>
      <c r="I5222" s="17"/>
      <c r="J5222" s="17" t="s">
        <v>10791</v>
      </c>
      <c r="K5222" s="17"/>
      <c r="L5222" s="17" t="s">
        <v>10792</v>
      </c>
      <c r="M5222" s="17"/>
      <c r="N5222" s="17" t="s">
        <v>10793</v>
      </c>
      <c r="O5222" s="17"/>
      <c r="P5222" s="17" t="s">
        <v>10979</v>
      </c>
      <c r="Q5222" s="17"/>
      <c r="R5222" s="25" t="str">
        <f>HYPERLINK("https://ictv.global/taxonomy/taxondetails?taxnode_id=202304456","Betapolyomavirus secudobsoniae")</f>
        <v>Betapolyomavirus secudobsoniae</v>
      </c>
      <c r="S5222" s="18" t="s">
        <v>30</v>
      </c>
      <c r="T5222" s="18" t="s">
        <v>11096</v>
      </c>
      <c r="U5222" s="18" t="s">
        <v>11097</v>
      </c>
      <c r="V5222" s="18" t="s">
        <v>11098</v>
      </c>
      <c r="W5222" s="18" t="s">
        <v>11099</v>
      </c>
      <c r="X5222" s="18" t="s">
        <v>42</v>
      </c>
      <c r="Y5222" s="18" t="s">
        <v>36</v>
      </c>
      <c r="Z5222" s="18" t="s">
        <v>166</v>
      </c>
      <c r="AA5222" s="21" t="str">
        <f>HYPERLINK("https://www.ncbi.nlm.nih.gov/nuccore/AB972947","NCBI Nucleotide")</f>
        <v>NCBI Nucleotide</v>
      </c>
    </row>
    <row r="5223" spans="1:27" x14ac:dyDescent="0.35">
      <c r="A5223">
        <v>1006938</v>
      </c>
      <c r="B5223">
        <v>5172</v>
      </c>
      <c r="C5223">
        <v>1</v>
      </c>
      <c r="D5223" s="17" t="s">
        <v>10507</v>
      </c>
      <c r="E5223" s="17"/>
      <c r="F5223" s="17" t="s">
        <v>10780</v>
      </c>
      <c r="G5223" s="17"/>
      <c r="H5223" s="17" t="s">
        <v>10781</v>
      </c>
      <c r="I5223" s="17"/>
      <c r="J5223" s="17" t="s">
        <v>10791</v>
      </c>
      <c r="K5223" s="17"/>
      <c r="L5223" s="17" t="s">
        <v>10792</v>
      </c>
      <c r="M5223" s="17"/>
      <c r="N5223" s="17" t="s">
        <v>10793</v>
      </c>
      <c r="O5223" s="17"/>
      <c r="P5223" s="17" t="s">
        <v>10979</v>
      </c>
      <c r="Q5223" s="17"/>
      <c r="R5223" s="25" t="str">
        <f>HYPERLINK("https://ictv.global/taxonomy/taxondetails?taxnode_id=202304460","Betapolyomavirus secuhominis")</f>
        <v>Betapolyomavirus secuhominis</v>
      </c>
      <c r="S5223" s="18" t="s">
        <v>30</v>
      </c>
      <c r="T5223" s="18" t="s">
        <v>11100</v>
      </c>
      <c r="U5223" s="18" t="s">
        <v>11101</v>
      </c>
      <c r="V5223" s="18" t="s">
        <v>11102</v>
      </c>
      <c r="W5223" s="18" t="s">
        <v>11103</v>
      </c>
      <c r="X5223" s="18" t="s">
        <v>42</v>
      </c>
      <c r="Y5223" s="18" t="s">
        <v>36</v>
      </c>
      <c r="Z5223" s="18" t="s">
        <v>166</v>
      </c>
      <c r="AA5223" s="21" t="str">
        <f>HYPERLINK("https://www.ncbi.nlm.nih.gov/nuccore/J02226","NCBI Nucleotide")</f>
        <v>NCBI Nucleotide</v>
      </c>
    </row>
    <row r="5224" spans="1:27" x14ac:dyDescent="0.35">
      <c r="A5224">
        <v>1006939</v>
      </c>
      <c r="B5224">
        <v>5173</v>
      </c>
      <c r="C5224">
        <v>1</v>
      </c>
      <c r="D5224" s="17" t="s">
        <v>10507</v>
      </c>
      <c r="E5224" s="17"/>
      <c r="F5224" s="17" t="s">
        <v>10780</v>
      </c>
      <c r="G5224" s="17"/>
      <c r="H5224" s="17" t="s">
        <v>10781</v>
      </c>
      <c r="I5224" s="17"/>
      <c r="J5224" s="17" t="s">
        <v>10791</v>
      </c>
      <c r="K5224" s="17"/>
      <c r="L5224" s="17" t="s">
        <v>10792</v>
      </c>
      <c r="M5224" s="17"/>
      <c r="N5224" s="17" t="s">
        <v>10793</v>
      </c>
      <c r="O5224" s="17"/>
      <c r="P5224" s="17" t="s">
        <v>10979</v>
      </c>
      <c r="Q5224" s="17"/>
      <c r="R5224" s="25" t="str">
        <f>HYPERLINK("https://ictv.global/taxonomy/taxondetails?taxnode_id=202304469","Betapolyomavirus secumuris")</f>
        <v>Betapolyomavirus secumuris</v>
      </c>
      <c r="S5224" s="18" t="s">
        <v>30</v>
      </c>
      <c r="T5224" s="18" t="s">
        <v>11104</v>
      </c>
      <c r="U5224" s="18" t="s">
        <v>11105</v>
      </c>
      <c r="V5224" s="18" t="s">
        <v>11106</v>
      </c>
      <c r="W5224" s="18" t="s">
        <v>11107</v>
      </c>
      <c r="X5224" s="18" t="s">
        <v>42</v>
      </c>
      <c r="Y5224" s="18" t="s">
        <v>36</v>
      </c>
      <c r="Z5224" s="18" t="s">
        <v>166</v>
      </c>
      <c r="AA5224" s="21" t="str">
        <f>HYPERLINK("https://www.ncbi.nlm.nih.gov/nuccore/KT987216","NCBI Nucleotide")</f>
        <v>NCBI Nucleotide</v>
      </c>
    </row>
    <row r="5225" spans="1:27" x14ac:dyDescent="0.35">
      <c r="A5225">
        <v>1006940</v>
      </c>
      <c r="B5225">
        <v>5174</v>
      </c>
      <c r="C5225">
        <v>1</v>
      </c>
      <c r="D5225" s="17" t="s">
        <v>10507</v>
      </c>
      <c r="E5225" s="17"/>
      <c r="F5225" s="17" t="s">
        <v>10780</v>
      </c>
      <c r="G5225" s="17"/>
      <c r="H5225" s="17" t="s">
        <v>10781</v>
      </c>
      <c r="I5225" s="17"/>
      <c r="J5225" s="17" t="s">
        <v>10791</v>
      </c>
      <c r="K5225" s="17"/>
      <c r="L5225" s="17" t="s">
        <v>10792</v>
      </c>
      <c r="M5225" s="17"/>
      <c r="N5225" s="17" t="s">
        <v>10793</v>
      </c>
      <c r="O5225" s="17"/>
      <c r="P5225" s="17" t="s">
        <v>10979</v>
      </c>
      <c r="Q5225" s="17"/>
      <c r="R5225" s="25" t="str">
        <f>HYPERLINK("https://ictv.global/taxonomy/taxondetails?taxnode_id=202304473","Betapolyomavirus secupacynocephalus")</f>
        <v>Betapolyomavirus secupacynocephalus</v>
      </c>
      <c r="S5225" s="18" t="s">
        <v>30</v>
      </c>
      <c r="T5225" s="18" t="s">
        <v>11108</v>
      </c>
      <c r="U5225" s="18" t="s">
        <v>11109</v>
      </c>
      <c r="V5225" s="18" t="s">
        <v>11110</v>
      </c>
      <c r="W5225" s="18" t="s">
        <v>11111</v>
      </c>
      <c r="X5225" s="18" t="s">
        <v>42</v>
      </c>
      <c r="Y5225" s="18" t="s">
        <v>36</v>
      </c>
      <c r="Z5225" s="18" t="s">
        <v>166</v>
      </c>
      <c r="AA5225" s="21" t="str">
        <f>HYPERLINK("https://www.ncbi.nlm.nih.gov/nuccore/AB767295","NCBI Nucleotide")</f>
        <v>NCBI Nucleotide</v>
      </c>
    </row>
    <row r="5226" spans="1:27" x14ac:dyDescent="0.35">
      <c r="A5226">
        <v>1006941</v>
      </c>
      <c r="B5226">
        <v>5175</v>
      </c>
      <c r="C5226">
        <v>1</v>
      </c>
      <c r="D5226" s="17" t="s">
        <v>10507</v>
      </c>
      <c r="E5226" s="17"/>
      <c r="F5226" s="17" t="s">
        <v>10780</v>
      </c>
      <c r="G5226" s="17"/>
      <c r="H5226" s="17" t="s">
        <v>10781</v>
      </c>
      <c r="I5226" s="17"/>
      <c r="J5226" s="17" t="s">
        <v>10791</v>
      </c>
      <c r="K5226" s="17"/>
      <c r="L5226" s="17" t="s">
        <v>10792</v>
      </c>
      <c r="M5226" s="17"/>
      <c r="N5226" s="17" t="s">
        <v>10793</v>
      </c>
      <c r="O5226" s="17"/>
      <c r="P5226" s="17" t="s">
        <v>10979</v>
      </c>
      <c r="Q5226" s="17"/>
      <c r="R5226" s="25" t="str">
        <f>HYPERLINK("https://ictv.global/taxonomy/taxondetails?taxnode_id=202305906","Betapolyomavirus securanorvegicus")</f>
        <v>Betapolyomavirus securanorvegicus</v>
      </c>
      <c r="S5226" s="18" t="s">
        <v>30</v>
      </c>
      <c r="T5226" s="18" t="s">
        <v>11112</v>
      </c>
      <c r="U5226" s="18" t="s">
        <v>11113</v>
      </c>
      <c r="V5226" s="18" t="s">
        <v>11114</v>
      </c>
      <c r="W5226" s="18" t="s">
        <v>11115</v>
      </c>
      <c r="X5226" s="18" t="s">
        <v>42</v>
      </c>
      <c r="Y5226" s="18" t="s">
        <v>36</v>
      </c>
      <c r="Z5226" s="18" t="s">
        <v>166</v>
      </c>
      <c r="AA5226" s="21" t="str">
        <f>HYPERLINK("https://www.ncbi.nlm.nih.gov/nuccore/KX574453","NCBI Nucleotide")</f>
        <v>NCBI Nucleotide</v>
      </c>
    </row>
    <row r="5227" spans="1:27" x14ac:dyDescent="0.35">
      <c r="A5227">
        <v>1006942</v>
      </c>
      <c r="B5227">
        <v>5176</v>
      </c>
      <c r="C5227">
        <v>1</v>
      </c>
      <c r="D5227" s="17" t="s">
        <v>10507</v>
      </c>
      <c r="E5227" s="17"/>
      <c r="F5227" s="17" t="s">
        <v>10780</v>
      </c>
      <c r="G5227" s="17"/>
      <c r="H5227" s="17" t="s">
        <v>10781</v>
      </c>
      <c r="I5227" s="17"/>
      <c r="J5227" s="17" t="s">
        <v>10791</v>
      </c>
      <c r="K5227" s="17"/>
      <c r="L5227" s="17" t="s">
        <v>10792</v>
      </c>
      <c r="M5227" s="17"/>
      <c r="N5227" s="17" t="s">
        <v>10793</v>
      </c>
      <c r="O5227" s="17"/>
      <c r="P5227" s="17" t="s">
        <v>10979</v>
      </c>
      <c r="Q5227" s="17"/>
      <c r="R5227" s="25" t="str">
        <f>HYPERLINK("https://ictv.global/taxonomy/taxondetails?taxnode_id=202304457","Betapolyomavirus tertidobsoniae")</f>
        <v>Betapolyomavirus tertidobsoniae</v>
      </c>
      <c r="S5227" s="18" t="s">
        <v>30</v>
      </c>
      <c r="T5227" s="18" t="s">
        <v>11116</v>
      </c>
      <c r="U5227" s="18" t="s">
        <v>11117</v>
      </c>
      <c r="V5227" s="18" t="s">
        <v>11118</v>
      </c>
      <c r="W5227" s="18" t="s">
        <v>11119</v>
      </c>
      <c r="X5227" s="18" t="s">
        <v>42</v>
      </c>
      <c r="Y5227" s="18" t="s">
        <v>36</v>
      </c>
      <c r="Z5227" s="18" t="s">
        <v>166</v>
      </c>
      <c r="AA5227" s="21" t="str">
        <f>HYPERLINK("https://www.ncbi.nlm.nih.gov/nuccore/AB972946","NCBI Nucleotide")</f>
        <v>NCBI Nucleotide</v>
      </c>
    </row>
    <row r="5228" spans="1:27" x14ac:dyDescent="0.35">
      <c r="A5228">
        <v>1006943</v>
      </c>
      <c r="B5228">
        <v>5177</v>
      </c>
      <c r="C5228">
        <v>1</v>
      </c>
      <c r="D5228" s="17" t="s">
        <v>10507</v>
      </c>
      <c r="E5228" s="17"/>
      <c r="F5228" s="17" t="s">
        <v>10780</v>
      </c>
      <c r="G5228" s="17"/>
      <c r="H5228" s="17" t="s">
        <v>10781</v>
      </c>
      <c r="I5228" s="17"/>
      <c r="J5228" s="17" t="s">
        <v>10791</v>
      </c>
      <c r="K5228" s="17"/>
      <c r="L5228" s="17" t="s">
        <v>10792</v>
      </c>
      <c r="M5228" s="17"/>
      <c r="N5228" s="17" t="s">
        <v>10793</v>
      </c>
      <c r="O5228" s="17"/>
      <c r="P5228" s="17" t="s">
        <v>10979</v>
      </c>
      <c r="Q5228" s="17"/>
      <c r="R5228" s="25" t="str">
        <f>HYPERLINK("https://ictv.global/taxonomy/taxondetails?taxnode_id=202304461","Betapolyomavirus tertihominis")</f>
        <v>Betapolyomavirus tertihominis</v>
      </c>
      <c r="S5228" s="18" t="s">
        <v>30</v>
      </c>
      <c r="T5228" s="18" t="s">
        <v>11120</v>
      </c>
      <c r="U5228" s="18" t="s">
        <v>11121</v>
      </c>
      <c r="V5228" s="18" t="s">
        <v>11122</v>
      </c>
      <c r="W5228" s="18" t="s">
        <v>11123</v>
      </c>
      <c r="X5228" s="18" t="s">
        <v>42</v>
      </c>
      <c r="Y5228" s="18" t="s">
        <v>36</v>
      </c>
      <c r="Z5228" s="18" t="s">
        <v>166</v>
      </c>
      <c r="AA5228" s="21" t="str">
        <f>HYPERLINK("https://www.ncbi.nlm.nih.gov/nuccore/EF127906","NCBI Nucleotide")</f>
        <v>NCBI Nucleotide</v>
      </c>
    </row>
    <row r="5229" spans="1:27" x14ac:dyDescent="0.35">
      <c r="A5229">
        <v>1006944</v>
      </c>
      <c r="B5229">
        <v>5178</v>
      </c>
      <c r="C5229">
        <v>1</v>
      </c>
      <c r="D5229" s="17" t="s">
        <v>10507</v>
      </c>
      <c r="E5229" s="17"/>
      <c r="F5229" s="17" t="s">
        <v>10780</v>
      </c>
      <c r="G5229" s="17"/>
      <c r="H5229" s="17" t="s">
        <v>10781</v>
      </c>
      <c r="I5229" s="17"/>
      <c r="J5229" s="17" t="s">
        <v>10791</v>
      </c>
      <c r="K5229" s="17"/>
      <c r="L5229" s="17" t="s">
        <v>10792</v>
      </c>
      <c r="M5229" s="17"/>
      <c r="N5229" s="17" t="s">
        <v>10793</v>
      </c>
      <c r="O5229" s="17"/>
      <c r="P5229" s="17" t="s">
        <v>10979</v>
      </c>
      <c r="Q5229" s="17"/>
      <c r="R5229" s="25" t="str">
        <f>HYPERLINK("https://ictv.global/taxonomy/taxondetails?taxnode_id=202307116","Betapolyomavirus tertimuris")</f>
        <v>Betapolyomavirus tertimuris</v>
      </c>
      <c r="S5229" s="18" t="s">
        <v>30</v>
      </c>
      <c r="T5229" s="18" t="s">
        <v>11124</v>
      </c>
      <c r="U5229" s="18" t="s">
        <v>11125</v>
      </c>
      <c r="V5229" s="18" t="s">
        <v>11126</v>
      </c>
      <c r="W5229" s="18" t="s">
        <v>11127</v>
      </c>
      <c r="X5229" s="18" t="s">
        <v>42</v>
      </c>
      <c r="Y5229" s="18" t="s">
        <v>36</v>
      </c>
      <c r="Z5229" s="18" t="s">
        <v>166</v>
      </c>
      <c r="AA5229" s="21" t="str">
        <f>HYPERLINK("https://www.ncbi.nlm.nih.gov/nuccore/MF175082","NCBI Nucleotide")</f>
        <v>NCBI Nucleotide</v>
      </c>
    </row>
    <row r="5230" spans="1:27" x14ac:dyDescent="0.35">
      <c r="A5230">
        <v>1006945</v>
      </c>
      <c r="B5230">
        <v>5179</v>
      </c>
      <c r="C5230">
        <v>1</v>
      </c>
      <c r="D5230" s="17" t="s">
        <v>10507</v>
      </c>
      <c r="E5230" s="17"/>
      <c r="F5230" s="17" t="s">
        <v>10780</v>
      </c>
      <c r="G5230" s="17"/>
      <c r="H5230" s="17" t="s">
        <v>10781</v>
      </c>
      <c r="I5230" s="17"/>
      <c r="J5230" s="17" t="s">
        <v>10791</v>
      </c>
      <c r="K5230" s="17"/>
      <c r="L5230" s="17" t="s">
        <v>10792</v>
      </c>
      <c r="M5230" s="17"/>
      <c r="N5230" s="17" t="s">
        <v>10793</v>
      </c>
      <c r="O5230" s="17"/>
      <c r="P5230" s="17" t="s">
        <v>10979</v>
      </c>
      <c r="Q5230" s="17"/>
      <c r="R5230" s="25" t="str">
        <f>HYPERLINK("https://ictv.global/taxonomy/taxondetails?taxnode_id=202305907","Betapolyomavirus vicugnae")</f>
        <v>Betapolyomavirus vicugnae</v>
      </c>
      <c r="S5230" s="18" t="s">
        <v>30</v>
      </c>
      <c r="T5230" s="18" t="s">
        <v>11128</v>
      </c>
      <c r="U5230" s="18" t="s">
        <v>11129</v>
      </c>
      <c r="V5230" s="18" t="s">
        <v>11130</v>
      </c>
      <c r="W5230" s="18" t="s">
        <v>11131</v>
      </c>
      <c r="X5230" s="18" t="s">
        <v>42</v>
      </c>
      <c r="Y5230" s="18" t="s">
        <v>36</v>
      </c>
      <c r="Z5230" s="18" t="s">
        <v>166</v>
      </c>
      <c r="AA5230" s="21" t="str">
        <f>HYPERLINK("https://www.ncbi.nlm.nih.gov/nuccore/KU879245","NCBI Nucleotide")</f>
        <v>NCBI Nucleotide</v>
      </c>
    </row>
    <row r="5231" spans="1:27" x14ac:dyDescent="0.35">
      <c r="A5231">
        <v>1006946</v>
      </c>
      <c r="B5231">
        <v>5180</v>
      </c>
      <c r="C5231">
        <v>1</v>
      </c>
      <c r="D5231" s="17" t="s">
        <v>10507</v>
      </c>
      <c r="E5231" s="17"/>
      <c r="F5231" s="17" t="s">
        <v>10780</v>
      </c>
      <c r="G5231" s="17"/>
      <c r="H5231" s="17" t="s">
        <v>10781</v>
      </c>
      <c r="I5231" s="17"/>
      <c r="J5231" s="17" t="s">
        <v>10791</v>
      </c>
      <c r="K5231" s="17"/>
      <c r="L5231" s="17" t="s">
        <v>10792</v>
      </c>
      <c r="M5231" s="17"/>
      <c r="N5231" s="17" t="s">
        <v>10793</v>
      </c>
      <c r="O5231" s="17"/>
      <c r="P5231" s="17" t="s">
        <v>10979</v>
      </c>
      <c r="Q5231" s="17"/>
      <c r="R5231" s="25" t="str">
        <f>HYPERLINK("https://ictv.global/taxonomy/taxondetails?taxnode_id=202304478","Betapolyomavirus zacalifornianus")</f>
        <v>Betapolyomavirus zacalifornianus</v>
      </c>
      <c r="S5231" s="18" t="s">
        <v>30</v>
      </c>
      <c r="T5231" s="18" t="s">
        <v>11132</v>
      </c>
      <c r="U5231" s="18" t="s">
        <v>11133</v>
      </c>
      <c r="V5231" s="18" t="s">
        <v>11134</v>
      </c>
      <c r="W5231" s="18" t="s">
        <v>11135</v>
      </c>
      <c r="X5231" s="18" t="s">
        <v>42</v>
      </c>
      <c r="Y5231" s="18" t="s">
        <v>36</v>
      </c>
      <c r="Z5231" s="18" t="s">
        <v>166</v>
      </c>
      <c r="AA5231" s="21" t="str">
        <f>HYPERLINK("https://www.ncbi.nlm.nih.gov/nuccore/GQ331138","NCBI Nucleotide")</f>
        <v>NCBI Nucleotide</v>
      </c>
    </row>
    <row r="5232" spans="1:27" x14ac:dyDescent="0.35">
      <c r="A5232">
        <v>1006947</v>
      </c>
      <c r="B5232">
        <v>5181</v>
      </c>
      <c r="C5232">
        <v>1</v>
      </c>
      <c r="D5232" s="17" t="s">
        <v>10507</v>
      </c>
      <c r="E5232" s="17"/>
      <c r="F5232" s="17" t="s">
        <v>10780</v>
      </c>
      <c r="G5232" s="17"/>
      <c r="H5232" s="17" t="s">
        <v>10781</v>
      </c>
      <c r="I5232" s="17"/>
      <c r="J5232" s="17" t="s">
        <v>10791</v>
      </c>
      <c r="K5232" s="17"/>
      <c r="L5232" s="17" t="s">
        <v>10792</v>
      </c>
      <c r="M5232" s="17"/>
      <c r="N5232" s="17" t="s">
        <v>10793</v>
      </c>
      <c r="O5232" s="17"/>
      <c r="P5232" s="17" t="s">
        <v>11136</v>
      </c>
      <c r="Q5232" s="17"/>
      <c r="R5232" s="25" t="str">
        <f>HYPERLINK("https://ictv.global/taxonomy/taxondetails?taxnode_id=202306349","Deltapolyomavirus ailuropodae")</f>
        <v>Deltapolyomavirus ailuropodae</v>
      </c>
      <c r="S5232" s="18" t="s">
        <v>30</v>
      </c>
      <c r="T5232" s="18" t="s">
        <v>11137</v>
      </c>
      <c r="U5232" s="18" t="s">
        <v>11138</v>
      </c>
      <c r="V5232" s="18" t="s">
        <v>11139</v>
      </c>
      <c r="W5232" s="18" t="s">
        <v>11140</v>
      </c>
      <c r="X5232" s="18" t="s">
        <v>42</v>
      </c>
      <c r="Y5232" s="18" t="s">
        <v>36</v>
      </c>
      <c r="Z5232" s="18" t="s">
        <v>166</v>
      </c>
      <c r="AA5232" s="21" t="str">
        <f>HYPERLINK("https://www.ncbi.nlm.nih.gov/nuccore/KY612371","NCBI Nucleotide")</f>
        <v>NCBI Nucleotide</v>
      </c>
    </row>
    <row r="5233" spans="1:27" x14ac:dyDescent="0.35">
      <c r="A5233">
        <v>1006948</v>
      </c>
      <c r="B5233">
        <v>5182</v>
      </c>
      <c r="C5233">
        <v>1</v>
      </c>
      <c r="D5233" s="17" t="s">
        <v>10507</v>
      </c>
      <c r="E5233" s="17"/>
      <c r="F5233" s="17" t="s">
        <v>10780</v>
      </c>
      <c r="G5233" s="17"/>
      <c r="H5233" s="17" t="s">
        <v>10781</v>
      </c>
      <c r="I5233" s="17"/>
      <c r="J5233" s="17" t="s">
        <v>10791</v>
      </c>
      <c r="K5233" s="17"/>
      <c r="L5233" s="17" t="s">
        <v>10792</v>
      </c>
      <c r="M5233" s="17"/>
      <c r="N5233" s="17" t="s">
        <v>10793</v>
      </c>
      <c r="O5233" s="17"/>
      <c r="P5233" s="17" t="s">
        <v>11136</v>
      </c>
      <c r="Q5233" s="17"/>
      <c r="R5233" s="25" t="str">
        <f>HYPERLINK("https://ictv.global/taxonomy/taxondetails?taxnode_id=202309594","Deltapolyomavirus canis")</f>
        <v>Deltapolyomavirus canis</v>
      </c>
      <c r="S5233" s="18" t="s">
        <v>30</v>
      </c>
      <c r="T5233" s="18" t="s">
        <v>11141</v>
      </c>
      <c r="U5233" s="18" t="s">
        <v>11142</v>
      </c>
      <c r="V5233" s="18">
        <v>8472</v>
      </c>
      <c r="W5233" s="18" t="s">
        <v>11143</v>
      </c>
      <c r="X5233" s="18" t="s">
        <v>42</v>
      </c>
      <c r="Y5233" s="18" t="s">
        <v>36</v>
      </c>
      <c r="Z5233" s="18" t="s">
        <v>166</v>
      </c>
      <c r="AA5233" s="21" t="str">
        <f>HYPERLINK("https://www.ncbi.nlm.nih.gov/nuccore/MG701355","NCBI Nucleotide")</f>
        <v>NCBI Nucleotide</v>
      </c>
    </row>
    <row r="5234" spans="1:27" x14ac:dyDescent="0.35">
      <c r="A5234">
        <v>1006949</v>
      </c>
      <c r="B5234">
        <v>5183</v>
      </c>
      <c r="C5234">
        <v>1</v>
      </c>
      <c r="D5234" s="17" t="s">
        <v>10507</v>
      </c>
      <c r="E5234" s="17"/>
      <c r="F5234" s="17" t="s">
        <v>10780</v>
      </c>
      <c r="G5234" s="17"/>
      <c r="H5234" s="17" t="s">
        <v>10781</v>
      </c>
      <c r="I5234" s="17"/>
      <c r="J5234" s="17" t="s">
        <v>10791</v>
      </c>
      <c r="K5234" s="17"/>
      <c r="L5234" s="17" t="s">
        <v>10792</v>
      </c>
      <c r="M5234" s="17"/>
      <c r="N5234" s="17" t="s">
        <v>10793</v>
      </c>
      <c r="O5234" s="17"/>
      <c r="P5234" s="17" t="s">
        <v>11136</v>
      </c>
      <c r="Q5234" s="17"/>
      <c r="R5234" s="25" t="str">
        <f>HYPERLINK("https://ictv.global/taxonomy/taxondetails?taxnode_id=202304482","Deltapolyomavirus decihominis")</f>
        <v>Deltapolyomavirus decihominis</v>
      </c>
      <c r="S5234" s="18" t="s">
        <v>30</v>
      </c>
      <c r="T5234" s="18" t="s">
        <v>11144</v>
      </c>
      <c r="U5234" s="18" t="s">
        <v>11145</v>
      </c>
      <c r="V5234" s="18" t="s">
        <v>11146</v>
      </c>
      <c r="W5234" s="18" t="s">
        <v>11147</v>
      </c>
      <c r="X5234" s="18" t="s">
        <v>42</v>
      </c>
      <c r="Y5234" s="18" t="s">
        <v>36</v>
      </c>
      <c r="Z5234" s="18" t="s">
        <v>166</v>
      </c>
      <c r="AA5234" s="21" t="str">
        <f>HYPERLINK("https://www.ncbi.nlm.nih.gov/nuccore/JQ898291","NCBI Nucleotide")</f>
        <v>NCBI Nucleotide</v>
      </c>
    </row>
    <row r="5235" spans="1:27" x14ac:dyDescent="0.35">
      <c r="A5235">
        <v>1006950</v>
      </c>
      <c r="B5235">
        <v>5184</v>
      </c>
      <c r="C5235">
        <v>1</v>
      </c>
      <c r="D5235" s="17" t="s">
        <v>10507</v>
      </c>
      <c r="E5235" s="17"/>
      <c r="F5235" s="17" t="s">
        <v>10780</v>
      </c>
      <c r="G5235" s="17"/>
      <c r="H5235" s="17" t="s">
        <v>10781</v>
      </c>
      <c r="I5235" s="17"/>
      <c r="J5235" s="17" t="s">
        <v>10791</v>
      </c>
      <c r="K5235" s="17"/>
      <c r="L5235" s="17" t="s">
        <v>10792</v>
      </c>
      <c r="M5235" s="17"/>
      <c r="N5235" s="17" t="s">
        <v>10793</v>
      </c>
      <c r="O5235" s="17"/>
      <c r="P5235" s="17" t="s">
        <v>11136</v>
      </c>
      <c r="Q5235" s="17"/>
      <c r="R5235" s="25" t="str">
        <f>HYPERLINK("https://ictv.global/taxonomy/taxondetails?taxnode_id=202306350","Deltapolyomavirus secuprocyonis")</f>
        <v>Deltapolyomavirus secuprocyonis</v>
      </c>
      <c r="S5235" s="18" t="s">
        <v>30</v>
      </c>
      <c r="T5235" s="18" t="s">
        <v>11148</v>
      </c>
      <c r="U5235" s="18" t="s">
        <v>11149</v>
      </c>
      <c r="V5235" s="18" t="s">
        <v>11150</v>
      </c>
      <c r="W5235" s="18" t="s">
        <v>11151</v>
      </c>
      <c r="X5235" s="18" t="s">
        <v>42</v>
      </c>
      <c r="Y5235" s="18" t="s">
        <v>36</v>
      </c>
      <c r="Z5235" s="18" t="s">
        <v>166</v>
      </c>
      <c r="AA5235" s="21" t="str">
        <f>HYPERLINK("https://www.ncbi.nlm.nih.gov/nuccore/KY549442","NCBI Nucleotide")</f>
        <v>NCBI Nucleotide</v>
      </c>
    </row>
    <row r="5236" spans="1:27" x14ac:dyDescent="0.35">
      <c r="A5236">
        <v>1006951</v>
      </c>
      <c r="B5236">
        <v>5185</v>
      </c>
      <c r="C5236">
        <v>1</v>
      </c>
      <c r="D5236" s="17" t="s">
        <v>10507</v>
      </c>
      <c r="E5236" s="17"/>
      <c r="F5236" s="17" t="s">
        <v>10780</v>
      </c>
      <c r="G5236" s="17"/>
      <c r="H5236" s="17" t="s">
        <v>10781</v>
      </c>
      <c r="I5236" s="17"/>
      <c r="J5236" s="17" t="s">
        <v>10791</v>
      </c>
      <c r="K5236" s="17"/>
      <c r="L5236" s="17" t="s">
        <v>10792</v>
      </c>
      <c r="M5236" s="17"/>
      <c r="N5236" s="17" t="s">
        <v>10793</v>
      </c>
      <c r="O5236" s="17"/>
      <c r="P5236" s="17" t="s">
        <v>11136</v>
      </c>
      <c r="Q5236" s="17"/>
      <c r="R5236" s="25" t="str">
        <f>HYPERLINK("https://ictv.global/taxonomy/taxondetails?taxnode_id=202304481","Deltapolyomavirus septihominis")</f>
        <v>Deltapolyomavirus septihominis</v>
      </c>
      <c r="S5236" s="18" t="s">
        <v>30</v>
      </c>
      <c r="T5236" s="18" t="s">
        <v>11152</v>
      </c>
      <c r="U5236" s="18" t="s">
        <v>11153</v>
      </c>
      <c r="V5236" s="18" t="s">
        <v>11154</v>
      </c>
      <c r="W5236" s="18" t="s">
        <v>11155</v>
      </c>
      <c r="X5236" s="18" t="s">
        <v>42</v>
      </c>
      <c r="Y5236" s="18" t="s">
        <v>36</v>
      </c>
      <c r="Z5236" s="18" t="s">
        <v>166</v>
      </c>
      <c r="AA5236" s="21" t="str">
        <f>HYPERLINK("https://www.ncbi.nlm.nih.gov/nuccore/HM011566","NCBI Nucleotide")</f>
        <v>NCBI Nucleotide</v>
      </c>
    </row>
    <row r="5237" spans="1:27" x14ac:dyDescent="0.35">
      <c r="A5237">
        <v>1006952</v>
      </c>
      <c r="B5237">
        <v>5186</v>
      </c>
      <c r="C5237">
        <v>1</v>
      </c>
      <c r="D5237" s="17" t="s">
        <v>10507</v>
      </c>
      <c r="E5237" s="17"/>
      <c r="F5237" s="17" t="s">
        <v>10780</v>
      </c>
      <c r="G5237" s="17"/>
      <c r="H5237" s="17" t="s">
        <v>10781</v>
      </c>
      <c r="I5237" s="17"/>
      <c r="J5237" s="17" t="s">
        <v>10791</v>
      </c>
      <c r="K5237" s="17"/>
      <c r="L5237" s="17" t="s">
        <v>10792</v>
      </c>
      <c r="M5237" s="17"/>
      <c r="N5237" s="17" t="s">
        <v>10793</v>
      </c>
      <c r="O5237" s="17"/>
      <c r="P5237" s="17" t="s">
        <v>11136</v>
      </c>
      <c r="Q5237" s="17"/>
      <c r="R5237" s="25" t="str">
        <f>HYPERLINK("https://ictv.global/taxonomy/taxondetails?taxnode_id=202304480","Deltapolyomavirus sextihominis")</f>
        <v>Deltapolyomavirus sextihominis</v>
      </c>
      <c r="S5237" s="18" t="s">
        <v>30</v>
      </c>
      <c r="T5237" s="18" t="s">
        <v>11156</v>
      </c>
      <c r="U5237" s="18" t="s">
        <v>11157</v>
      </c>
      <c r="V5237" s="18" t="s">
        <v>11158</v>
      </c>
      <c r="W5237" s="18" t="s">
        <v>11159</v>
      </c>
      <c r="X5237" s="18" t="s">
        <v>42</v>
      </c>
      <c r="Y5237" s="18" t="s">
        <v>36</v>
      </c>
      <c r="Z5237" s="18" t="s">
        <v>166</v>
      </c>
      <c r="AA5237" s="21" t="str">
        <f>HYPERLINK("https://www.ncbi.nlm.nih.gov/nuccore/HM011560","NCBI Nucleotide")</f>
        <v>NCBI Nucleotide</v>
      </c>
    </row>
    <row r="5238" spans="1:27" x14ac:dyDescent="0.35">
      <c r="A5238">
        <v>1006953</v>
      </c>
      <c r="B5238">
        <v>5187</v>
      </c>
      <c r="C5238">
        <v>1</v>
      </c>
      <c r="D5238" s="17" t="s">
        <v>10507</v>
      </c>
      <c r="E5238" s="17"/>
      <c r="F5238" s="17" t="s">
        <v>10780</v>
      </c>
      <c r="G5238" s="17"/>
      <c r="H5238" s="17" t="s">
        <v>10781</v>
      </c>
      <c r="I5238" s="17"/>
      <c r="J5238" s="17" t="s">
        <v>10791</v>
      </c>
      <c r="K5238" s="17"/>
      <c r="L5238" s="17" t="s">
        <v>10792</v>
      </c>
      <c r="M5238" s="17"/>
      <c r="N5238" s="17" t="s">
        <v>10793</v>
      </c>
      <c r="O5238" s="17"/>
      <c r="P5238" s="17" t="s">
        <v>11136</v>
      </c>
      <c r="Q5238" s="17"/>
      <c r="R5238" s="25" t="str">
        <f>HYPERLINK("https://ictv.global/taxonomy/taxondetails?taxnode_id=202304483","Deltapolyomavirus undecihominis")</f>
        <v>Deltapolyomavirus undecihominis</v>
      </c>
      <c r="S5238" s="18" t="s">
        <v>30</v>
      </c>
      <c r="T5238" s="18" t="s">
        <v>11160</v>
      </c>
      <c r="U5238" s="18" t="s">
        <v>11161</v>
      </c>
      <c r="V5238" s="18" t="s">
        <v>11162</v>
      </c>
      <c r="W5238" s="18" t="s">
        <v>11163</v>
      </c>
      <c r="X5238" s="18" t="s">
        <v>42</v>
      </c>
      <c r="Y5238" s="18" t="s">
        <v>36</v>
      </c>
      <c r="Z5238" s="18" t="s">
        <v>166</v>
      </c>
      <c r="AA5238" s="21" t="str">
        <f>HYPERLINK("https://www.ncbi.nlm.nih.gov/nuccore/JX463183","NCBI Nucleotide")</f>
        <v>NCBI Nucleotide</v>
      </c>
    </row>
    <row r="5239" spans="1:27" x14ac:dyDescent="0.35">
      <c r="A5239">
        <v>1006954</v>
      </c>
      <c r="B5239">
        <v>5188</v>
      </c>
      <c r="C5239">
        <v>1</v>
      </c>
      <c r="D5239" s="17" t="s">
        <v>10507</v>
      </c>
      <c r="E5239" s="17"/>
      <c r="F5239" s="17" t="s">
        <v>10780</v>
      </c>
      <c r="G5239" s="17"/>
      <c r="H5239" s="17" t="s">
        <v>10781</v>
      </c>
      <c r="I5239" s="17"/>
      <c r="J5239" s="17" t="s">
        <v>10791</v>
      </c>
      <c r="K5239" s="17"/>
      <c r="L5239" s="17" t="s">
        <v>10792</v>
      </c>
      <c r="M5239" s="17"/>
      <c r="N5239" s="17" t="s">
        <v>10793</v>
      </c>
      <c r="O5239" s="17"/>
      <c r="P5239" s="17" t="s">
        <v>11164</v>
      </c>
      <c r="Q5239" s="17"/>
      <c r="R5239" s="25" t="str">
        <f>HYPERLINK("https://ictv.global/taxonomy/taxondetails?taxnode_id=202304493","Epsilonpolyomavirus bovis")</f>
        <v>Epsilonpolyomavirus bovis</v>
      </c>
      <c r="S5239" s="18" t="s">
        <v>30</v>
      </c>
      <c r="T5239" s="18" t="s">
        <v>11165</v>
      </c>
      <c r="U5239" s="18" t="s">
        <v>11166</v>
      </c>
      <c r="V5239" s="18" t="s">
        <v>11167</v>
      </c>
      <c r="W5239" s="18" t="s">
        <v>11168</v>
      </c>
      <c r="X5239" s="18" t="s">
        <v>42</v>
      </c>
      <c r="Y5239" s="18" t="s">
        <v>36</v>
      </c>
      <c r="Z5239" s="18" t="s">
        <v>166</v>
      </c>
      <c r="AA5239" s="21" t="str">
        <f>HYPERLINK("https://www.ncbi.nlm.nih.gov/nuccore/D13942","NCBI Nucleotide")</f>
        <v>NCBI Nucleotide</v>
      </c>
    </row>
    <row r="5240" spans="1:27" x14ac:dyDescent="0.35">
      <c r="A5240">
        <v>1006955</v>
      </c>
      <c r="B5240">
        <v>5189</v>
      </c>
      <c r="C5240">
        <v>1</v>
      </c>
      <c r="D5240" s="17" t="s">
        <v>10507</v>
      </c>
      <c r="E5240" s="17"/>
      <c r="F5240" s="17" t="s">
        <v>10780</v>
      </c>
      <c r="G5240" s="17"/>
      <c r="H5240" s="17" t="s">
        <v>10781</v>
      </c>
      <c r="I5240" s="17"/>
      <c r="J5240" s="17" t="s">
        <v>10791</v>
      </c>
      <c r="K5240" s="17"/>
      <c r="L5240" s="17" t="s">
        <v>10792</v>
      </c>
      <c r="M5240" s="17"/>
      <c r="N5240" s="17" t="s">
        <v>10793</v>
      </c>
      <c r="O5240" s="17"/>
      <c r="P5240" s="17" t="s">
        <v>11164</v>
      </c>
      <c r="Q5240" s="17"/>
      <c r="R5240" s="25" t="str">
        <f>HYPERLINK("https://ictv.global/taxonomy/taxondetails?taxnode_id=202309597","Epsilonpolyomavirus caprae")</f>
        <v>Epsilonpolyomavirus caprae</v>
      </c>
      <c r="S5240" s="18" t="s">
        <v>30</v>
      </c>
      <c r="T5240" s="18" t="s">
        <v>11169</v>
      </c>
      <c r="U5240" s="18" t="s">
        <v>11170</v>
      </c>
      <c r="V5240" s="18" t="s">
        <v>11171</v>
      </c>
      <c r="W5240" s="18" t="s">
        <v>11172</v>
      </c>
      <c r="X5240" s="18" t="s">
        <v>42</v>
      </c>
      <c r="Y5240" s="18" t="s">
        <v>36</v>
      </c>
      <c r="Z5240" s="18" t="s">
        <v>166</v>
      </c>
      <c r="AA5240" s="21" t="str">
        <f>HYPERLINK("https://www.ncbi.nlm.nih.gov/nuccore/MG654479","NCBI Nucleotide")</f>
        <v>NCBI Nucleotide</v>
      </c>
    </row>
    <row r="5241" spans="1:27" x14ac:dyDescent="0.35">
      <c r="A5241">
        <v>1006956</v>
      </c>
      <c r="B5241">
        <v>5190</v>
      </c>
      <c r="C5241">
        <v>1</v>
      </c>
      <c r="D5241" s="17" t="s">
        <v>10507</v>
      </c>
      <c r="E5241" s="17"/>
      <c r="F5241" s="17" t="s">
        <v>10780</v>
      </c>
      <c r="G5241" s="17"/>
      <c r="H5241" s="17" t="s">
        <v>10781</v>
      </c>
      <c r="I5241" s="17"/>
      <c r="J5241" s="17" t="s">
        <v>10791</v>
      </c>
      <c r="K5241" s="17"/>
      <c r="L5241" s="17" t="s">
        <v>10792</v>
      </c>
      <c r="M5241" s="17"/>
      <c r="N5241" s="17" t="s">
        <v>10793</v>
      </c>
      <c r="O5241" s="17"/>
      <c r="P5241" s="17" t="s">
        <v>11164</v>
      </c>
      <c r="Q5241" s="17"/>
      <c r="R5241" s="25" t="str">
        <f>HYPERLINK("https://ictv.global/taxonomy/taxondetails?taxnode_id=202309596","Epsilonpolyomavirus poporcus")</f>
        <v>Epsilonpolyomavirus poporcus</v>
      </c>
      <c r="S5241" s="18" t="s">
        <v>30</v>
      </c>
      <c r="T5241" s="18" t="s">
        <v>11173</v>
      </c>
      <c r="U5241" s="18" t="s">
        <v>11174</v>
      </c>
      <c r="V5241" s="18" t="s">
        <v>11175</v>
      </c>
      <c r="W5241" s="18" t="s">
        <v>11176</v>
      </c>
      <c r="X5241" s="18" t="s">
        <v>42</v>
      </c>
      <c r="Y5241" s="18" t="s">
        <v>36</v>
      </c>
      <c r="Z5241" s="18" t="s">
        <v>166</v>
      </c>
      <c r="AA5241" s="21" t="str">
        <f>HYPERLINK("https://www.ncbi.nlm.nih.gov/nuccore/MG654481","NCBI Nucleotide")</f>
        <v>NCBI Nucleotide</v>
      </c>
    </row>
    <row r="5242" spans="1:27" x14ac:dyDescent="0.35">
      <c r="A5242">
        <v>1006957</v>
      </c>
      <c r="B5242">
        <v>5191</v>
      </c>
      <c r="C5242">
        <v>1</v>
      </c>
      <c r="D5242" s="17" t="s">
        <v>10507</v>
      </c>
      <c r="E5242" s="17"/>
      <c r="F5242" s="17" t="s">
        <v>10780</v>
      </c>
      <c r="G5242" s="17"/>
      <c r="H5242" s="17" t="s">
        <v>10781</v>
      </c>
      <c r="I5242" s="17"/>
      <c r="J5242" s="17" t="s">
        <v>10791</v>
      </c>
      <c r="K5242" s="17"/>
      <c r="L5242" s="17" t="s">
        <v>10792</v>
      </c>
      <c r="M5242" s="17"/>
      <c r="N5242" s="17" t="s">
        <v>10793</v>
      </c>
      <c r="O5242" s="17"/>
      <c r="P5242" s="17" t="s">
        <v>11177</v>
      </c>
      <c r="Q5242" s="17"/>
      <c r="R5242" s="25" t="str">
        <f>HYPERLINK("https://ictv.global/taxonomy/taxondetails?taxnode_id=202305910","Etapolyomavirus rhyndjiddensis")</f>
        <v>Etapolyomavirus rhyndjiddensis</v>
      </c>
      <c r="S5242" s="18" t="s">
        <v>30</v>
      </c>
      <c r="T5242" s="18" t="s">
        <v>11178</v>
      </c>
      <c r="U5242" s="18" t="s">
        <v>11179</v>
      </c>
      <c r="V5242" s="18" t="s">
        <v>11180</v>
      </c>
      <c r="W5242" s="18" t="s">
        <v>11181</v>
      </c>
      <c r="X5242" s="18" t="s">
        <v>42</v>
      </c>
      <c r="Y5242" s="18" t="s">
        <v>36</v>
      </c>
      <c r="Z5242" s="18" t="s">
        <v>166</v>
      </c>
      <c r="AA5242" s="21" t="str">
        <f>HYPERLINK("https://www.ncbi.nlm.nih.gov/nuccore/KP264963","NCBI Nucleotide")</f>
        <v>NCBI Nucleotide</v>
      </c>
    </row>
    <row r="5243" spans="1:27" x14ac:dyDescent="0.35">
      <c r="A5243">
        <v>1006958</v>
      </c>
      <c r="B5243">
        <v>5192</v>
      </c>
      <c r="C5243">
        <v>1</v>
      </c>
      <c r="D5243" s="17" t="s">
        <v>10507</v>
      </c>
      <c r="E5243" s="17"/>
      <c r="F5243" s="17" t="s">
        <v>10780</v>
      </c>
      <c r="G5243" s="17"/>
      <c r="H5243" s="17" t="s">
        <v>10781</v>
      </c>
      <c r="I5243" s="17"/>
      <c r="J5243" s="17" t="s">
        <v>10791</v>
      </c>
      <c r="K5243" s="17"/>
      <c r="L5243" s="17" t="s">
        <v>10792</v>
      </c>
      <c r="M5243" s="17"/>
      <c r="N5243" s="17" t="s">
        <v>10793</v>
      </c>
      <c r="O5243" s="17"/>
      <c r="P5243" s="17" t="s">
        <v>11182</v>
      </c>
      <c r="Q5243" s="17"/>
      <c r="R5243" s="25" t="str">
        <f>HYPERLINK("https://ictv.global/taxonomy/taxondetails?taxnode_id=202304485","Gammapolyomavirus anseris")</f>
        <v>Gammapolyomavirus anseris</v>
      </c>
      <c r="S5243" s="18" t="s">
        <v>30</v>
      </c>
      <c r="T5243" s="18" t="s">
        <v>11183</v>
      </c>
      <c r="U5243" s="18" t="s">
        <v>11184</v>
      </c>
      <c r="V5243" s="18" t="s">
        <v>11185</v>
      </c>
      <c r="W5243" s="18" t="s">
        <v>11186</v>
      </c>
      <c r="X5243" s="18" t="s">
        <v>42</v>
      </c>
      <c r="Y5243" s="18" t="s">
        <v>36</v>
      </c>
      <c r="Z5243" s="18" t="s">
        <v>166</v>
      </c>
      <c r="AA5243" s="21" t="str">
        <f>HYPERLINK("https://www.ncbi.nlm.nih.gov/nuccore/AY140894","NCBI Nucleotide")</f>
        <v>NCBI Nucleotide</v>
      </c>
    </row>
    <row r="5244" spans="1:27" x14ac:dyDescent="0.35">
      <c r="A5244">
        <v>1006959</v>
      </c>
      <c r="B5244">
        <v>5193</v>
      </c>
      <c r="C5244">
        <v>1</v>
      </c>
      <c r="D5244" s="17" t="s">
        <v>10507</v>
      </c>
      <c r="E5244" s="17"/>
      <c r="F5244" s="17" t="s">
        <v>10780</v>
      </c>
      <c r="G5244" s="17"/>
      <c r="H5244" s="17" t="s">
        <v>10781</v>
      </c>
      <c r="I5244" s="17"/>
      <c r="J5244" s="17" t="s">
        <v>10791</v>
      </c>
      <c r="K5244" s="17"/>
      <c r="L5244" s="17" t="s">
        <v>10792</v>
      </c>
      <c r="M5244" s="17"/>
      <c r="N5244" s="17" t="s">
        <v>10793</v>
      </c>
      <c r="O5244" s="17"/>
      <c r="P5244" s="17" t="s">
        <v>11182</v>
      </c>
      <c r="Q5244" s="17"/>
      <c r="R5244" s="25" t="str">
        <f>HYPERLINK("https://ictv.global/taxonomy/taxondetails?taxnode_id=202304486","Gammapolyomavirus avis")</f>
        <v>Gammapolyomavirus avis</v>
      </c>
      <c r="S5244" s="18" t="s">
        <v>30</v>
      </c>
      <c r="T5244" s="18" t="s">
        <v>11187</v>
      </c>
      <c r="U5244" s="18" t="s">
        <v>11188</v>
      </c>
      <c r="V5244" s="18"/>
      <c r="W5244" s="18" t="s">
        <v>11189</v>
      </c>
      <c r="X5244" s="18" t="s">
        <v>42</v>
      </c>
      <c r="Y5244" s="18" t="s">
        <v>36</v>
      </c>
      <c r="Z5244" s="18" t="s">
        <v>166</v>
      </c>
      <c r="AA5244" s="21" t="str">
        <f>HYPERLINK("https://www.ncbi.nlm.nih.gov/nuccore/AF241168","NCBI Nucleotide")</f>
        <v>NCBI Nucleotide</v>
      </c>
    </row>
    <row r="5245" spans="1:27" x14ac:dyDescent="0.35">
      <c r="A5245">
        <v>1006960</v>
      </c>
      <c r="B5245">
        <v>5194</v>
      </c>
      <c r="C5245">
        <v>1</v>
      </c>
      <c r="D5245" s="17" t="s">
        <v>10507</v>
      </c>
      <c r="E5245" s="17"/>
      <c r="F5245" s="17" t="s">
        <v>10780</v>
      </c>
      <c r="G5245" s="17"/>
      <c r="H5245" s="17" t="s">
        <v>10781</v>
      </c>
      <c r="I5245" s="17"/>
      <c r="J5245" s="17" t="s">
        <v>10791</v>
      </c>
      <c r="K5245" s="17"/>
      <c r="L5245" s="17" t="s">
        <v>10792</v>
      </c>
      <c r="M5245" s="17"/>
      <c r="N5245" s="17" t="s">
        <v>10793</v>
      </c>
      <c r="O5245" s="17"/>
      <c r="P5245" s="17" t="s">
        <v>11182</v>
      </c>
      <c r="Q5245" s="17"/>
      <c r="R5245" s="25" t="str">
        <f>HYPERLINK("https://ictv.global/taxonomy/taxondetails?taxnode_id=202304487","Gammapolyomavirus corvi")</f>
        <v>Gammapolyomavirus corvi</v>
      </c>
      <c r="S5245" s="18" t="s">
        <v>30</v>
      </c>
      <c r="T5245" s="18" t="s">
        <v>11190</v>
      </c>
      <c r="U5245" s="18" t="s">
        <v>11191</v>
      </c>
      <c r="V5245" s="18"/>
      <c r="W5245" s="18" t="s">
        <v>11192</v>
      </c>
      <c r="X5245" s="18" t="s">
        <v>42</v>
      </c>
      <c r="Y5245" s="18" t="s">
        <v>36</v>
      </c>
      <c r="Z5245" s="18" t="s">
        <v>166</v>
      </c>
      <c r="AA5245" s="21" t="str">
        <f>HYPERLINK("https://www.ncbi.nlm.nih.gov/nuccore/DQ192570","NCBI Nucleotide")</f>
        <v>NCBI Nucleotide</v>
      </c>
    </row>
    <row r="5246" spans="1:27" x14ac:dyDescent="0.35">
      <c r="A5246">
        <v>1006961</v>
      </c>
      <c r="B5246">
        <v>5195</v>
      </c>
      <c r="C5246">
        <v>1</v>
      </c>
      <c r="D5246" s="17" t="s">
        <v>10507</v>
      </c>
      <c r="E5246" s="17"/>
      <c r="F5246" s="17" t="s">
        <v>10780</v>
      </c>
      <c r="G5246" s="17"/>
      <c r="H5246" s="17" t="s">
        <v>10781</v>
      </c>
      <c r="I5246" s="17"/>
      <c r="J5246" s="17" t="s">
        <v>10791</v>
      </c>
      <c r="K5246" s="17"/>
      <c r="L5246" s="17" t="s">
        <v>10792</v>
      </c>
      <c r="M5246" s="17"/>
      <c r="N5246" s="17" t="s">
        <v>10793</v>
      </c>
      <c r="O5246" s="17"/>
      <c r="P5246" s="17" t="s">
        <v>11182</v>
      </c>
      <c r="Q5246" s="17"/>
      <c r="R5246" s="25" t="str">
        <f>HYPERLINK("https://ictv.global/taxonomy/taxondetails?taxnode_id=202304488","Gammapolyomavirus cratorquatus")</f>
        <v>Gammapolyomavirus cratorquatus</v>
      </c>
      <c r="S5246" s="18" t="s">
        <v>30</v>
      </c>
      <c r="T5246" s="18" t="s">
        <v>11193</v>
      </c>
      <c r="U5246" s="18" t="s">
        <v>11194</v>
      </c>
      <c r="V5246" s="18" t="s">
        <v>11195</v>
      </c>
      <c r="W5246" s="18" t="s">
        <v>11196</v>
      </c>
      <c r="X5246" s="18" t="s">
        <v>42</v>
      </c>
      <c r="Y5246" s="18" t="s">
        <v>36</v>
      </c>
      <c r="Z5246" s="18" t="s">
        <v>166</v>
      </c>
      <c r="AA5246" s="21" t="str">
        <f>HYPERLINK("https://www.ncbi.nlm.nih.gov/nuccore/KF360862","NCBI Nucleotide")</f>
        <v>NCBI Nucleotide</v>
      </c>
    </row>
    <row r="5247" spans="1:27" x14ac:dyDescent="0.35">
      <c r="A5247">
        <v>1006962</v>
      </c>
      <c r="B5247">
        <v>5196</v>
      </c>
      <c r="C5247">
        <v>1</v>
      </c>
      <c r="D5247" s="17" t="s">
        <v>10507</v>
      </c>
      <c r="E5247" s="17"/>
      <c r="F5247" s="17" t="s">
        <v>10780</v>
      </c>
      <c r="G5247" s="17"/>
      <c r="H5247" s="17" t="s">
        <v>10781</v>
      </c>
      <c r="I5247" s="17"/>
      <c r="J5247" s="17" t="s">
        <v>10791</v>
      </c>
      <c r="K5247" s="17"/>
      <c r="L5247" s="17" t="s">
        <v>10792</v>
      </c>
      <c r="M5247" s="17"/>
      <c r="N5247" s="17" t="s">
        <v>10793</v>
      </c>
      <c r="O5247" s="17"/>
      <c r="P5247" s="17" t="s">
        <v>11182</v>
      </c>
      <c r="Q5247" s="17"/>
      <c r="R5247" s="25" t="str">
        <f>HYPERLINK("https://ictv.global/taxonomy/taxondetails?taxnode_id=202305908","Gammapolyomavirus egouldiae")</f>
        <v>Gammapolyomavirus egouldiae</v>
      </c>
      <c r="S5247" s="18" t="s">
        <v>30</v>
      </c>
      <c r="T5247" s="18" t="s">
        <v>11197</v>
      </c>
      <c r="U5247" s="18" t="s">
        <v>11198</v>
      </c>
      <c r="V5247" s="18">
        <v>1209</v>
      </c>
      <c r="W5247" s="18" t="s">
        <v>11199</v>
      </c>
      <c r="X5247" s="18" t="s">
        <v>42</v>
      </c>
      <c r="Y5247" s="18" t="s">
        <v>36</v>
      </c>
      <c r="Z5247" s="18" t="s">
        <v>166</v>
      </c>
      <c r="AA5247" s="21" t="str">
        <f>HYPERLINK("https://www.ncbi.nlm.nih.gov/nuccore/KT302407","NCBI Nucleotide")</f>
        <v>NCBI Nucleotide</v>
      </c>
    </row>
    <row r="5248" spans="1:27" x14ac:dyDescent="0.35">
      <c r="A5248">
        <v>1006963</v>
      </c>
      <c r="B5248">
        <v>5197</v>
      </c>
      <c r="C5248">
        <v>1</v>
      </c>
      <c r="D5248" s="17" t="s">
        <v>10507</v>
      </c>
      <c r="E5248" s="17"/>
      <c r="F5248" s="17" t="s">
        <v>10780</v>
      </c>
      <c r="G5248" s="17"/>
      <c r="H5248" s="17" t="s">
        <v>10781</v>
      </c>
      <c r="I5248" s="17"/>
      <c r="J5248" s="17" t="s">
        <v>10791</v>
      </c>
      <c r="K5248" s="17"/>
      <c r="L5248" s="17" t="s">
        <v>10792</v>
      </c>
      <c r="M5248" s="17"/>
      <c r="N5248" s="17" t="s">
        <v>10793</v>
      </c>
      <c r="O5248" s="17"/>
      <c r="P5248" s="17" t="s">
        <v>11182</v>
      </c>
      <c r="Q5248" s="17"/>
      <c r="R5248" s="25" t="str">
        <f>HYPERLINK("https://ictv.global/taxonomy/taxondetails?taxnode_id=202305909","Gammapolyomavirus lonmaja")</f>
        <v>Gammapolyomavirus lonmaja</v>
      </c>
      <c r="S5248" s="18" t="s">
        <v>30</v>
      </c>
      <c r="T5248" s="18" t="s">
        <v>11200</v>
      </c>
      <c r="U5248" s="18" t="s">
        <v>11201</v>
      </c>
      <c r="V5248" s="18" t="s">
        <v>11202</v>
      </c>
      <c r="W5248" s="18" t="s">
        <v>11203</v>
      </c>
      <c r="X5248" s="18" t="s">
        <v>42</v>
      </c>
      <c r="Y5248" s="18" t="s">
        <v>36</v>
      </c>
      <c r="Z5248" s="18" t="s">
        <v>166</v>
      </c>
      <c r="AA5248" s="21" t="str">
        <f>HYPERLINK("https://www.ncbi.nlm.nih.gov/nuccore/KX756154","NCBI Nucleotide")</f>
        <v>NCBI Nucleotide</v>
      </c>
    </row>
    <row r="5249" spans="1:27" x14ac:dyDescent="0.35">
      <c r="A5249">
        <v>1006964</v>
      </c>
      <c r="B5249">
        <v>5198</v>
      </c>
      <c r="C5249">
        <v>1</v>
      </c>
      <c r="D5249" s="17" t="s">
        <v>10507</v>
      </c>
      <c r="E5249" s="17"/>
      <c r="F5249" s="17" t="s">
        <v>10780</v>
      </c>
      <c r="G5249" s="17"/>
      <c r="H5249" s="17" t="s">
        <v>10781</v>
      </c>
      <c r="I5249" s="17"/>
      <c r="J5249" s="17" t="s">
        <v>10791</v>
      </c>
      <c r="K5249" s="17"/>
      <c r="L5249" s="17" t="s">
        <v>10792</v>
      </c>
      <c r="M5249" s="17"/>
      <c r="N5249" s="17" t="s">
        <v>10793</v>
      </c>
      <c r="O5249" s="17"/>
      <c r="P5249" s="17" t="s">
        <v>11182</v>
      </c>
      <c r="Q5249" s="17"/>
      <c r="R5249" s="25" t="str">
        <f>HYPERLINK("https://ictv.global/taxonomy/taxondetails?taxnode_id=202304489","Gammapolyomavirus padeliae")</f>
        <v>Gammapolyomavirus padeliae</v>
      </c>
      <c r="S5249" s="18" t="s">
        <v>30</v>
      </c>
      <c r="T5249" s="18" t="s">
        <v>11204</v>
      </c>
      <c r="U5249" s="18" t="s">
        <v>11205</v>
      </c>
      <c r="V5249" s="18" t="s">
        <v>11206</v>
      </c>
      <c r="W5249" s="18" t="s">
        <v>11207</v>
      </c>
      <c r="X5249" s="18" t="s">
        <v>42</v>
      </c>
      <c r="Y5249" s="18" t="s">
        <v>36</v>
      </c>
      <c r="Z5249" s="18" t="s">
        <v>166</v>
      </c>
      <c r="AA5249" s="21" t="str">
        <f>HYPERLINK("https://www.ncbi.nlm.nih.gov/nuccore/KP033140","NCBI Nucleotide")</f>
        <v>NCBI Nucleotide</v>
      </c>
    </row>
    <row r="5250" spans="1:27" x14ac:dyDescent="0.35">
      <c r="A5250">
        <v>1024555</v>
      </c>
      <c r="B5250">
        <v>5199</v>
      </c>
      <c r="C5250">
        <v>1</v>
      </c>
      <c r="D5250" s="17" t="s">
        <v>10507</v>
      </c>
      <c r="E5250" s="17"/>
      <c r="F5250" s="17" t="s">
        <v>10780</v>
      </c>
      <c r="G5250" s="17"/>
      <c r="H5250" s="17" t="s">
        <v>10781</v>
      </c>
      <c r="I5250" s="17"/>
      <c r="J5250" s="17" t="s">
        <v>10791</v>
      </c>
      <c r="K5250" s="17"/>
      <c r="L5250" s="17" t="s">
        <v>10792</v>
      </c>
      <c r="M5250" s="17"/>
      <c r="N5250" s="17" t="s">
        <v>10793</v>
      </c>
      <c r="O5250" s="17"/>
      <c r="P5250" s="17" t="s">
        <v>11182</v>
      </c>
      <c r="Q5250" s="17"/>
      <c r="R5250" s="25" t="str">
        <f>HYPERLINK("https://ictv.global/taxonomy/taxondetails?taxnode_id=202318066","Gammapolyomavirus phacarbo")</f>
        <v>Gammapolyomavirus phacarbo</v>
      </c>
      <c r="S5250" s="18" t="s">
        <v>30</v>
      </c>
      <c r="T5250" s="18" t="s">
        <v>40097</v>
      </c>
      <c r="U5250" s="18" t="s">
        <v>40098</v>
      </c>
      <c r="V5250" s="18" t="s">
        <v>40099</v>
      </c>
      <c r="W5250" s="18" t="s">
        <v>40100</v>
      </c>
      <c r="X5250" s="18" t="s">
        <v>42</v>
      </c>
      <c r="Y5250" s="18" t="s">
        <v>36</v>
      </c>
      <c r="Z5250" s="18" t="s">
        <v>166</v>
      </c>
      <c r="AA5250" s="21" t="str">
        <f>HYPERLINK("https://www.ncbi.nlm.nih.gov/nuccore/MZ666388","NCBI Nucleotide")</f>
        <v>NCBI Nucleotide</v>
      </c>
    </row>
    <row r="5251" spans="1:27" x14ac:dyDescent="0.35">
      <c r="A5251">
        <v>1006965</v>
      </c>
      <c r="B5251">
        <v>5200</v>
      </c>
      <c r="C5251">
        <v>1</v>
      </c>
      <c r="D5251" s="17" t="s">
        <v>10507</v>
      </c>
      <c r="E5251" s="17"/>
      <c r="F5251" s="17" t="s">
        <v>10780</v>
      </c>
      <c r="G5251" s="17"/>
      <c r="H5251" s="17" t="s">
        <v>10781</v>
      </c>
      <c r="I5251" s="17"/>
      <c r="J5251" s="17" t="s">
        <v>10791</v>
      </c>
      <c r="K5251" s="17"/>
      <c r="L5251" s="17" t="s">
        <v>10792</v>
      </c>
      <c r="M5251" s="17"/>
      <c r="N5251" s="17" t="s">
        <v>10793</v>
      </c>
      <c r="O5251" s="17"/>
      <c r="P5251" s="17" t="s">
        <v>11182</v>
      </c>
      <c r="Q5251" s="17"/>
      <c r="R5251" s="25" t="str">
        <f>HYPERLINK("https://ictv.global/taxonomy/taxondetails?taxnode_id=202304490","Gammapolyomavirus pypyrrhula")</f>
        <v>Gammapolyomavirus pypyrrhula</v>
      </c>
      <c r="S5251" s="18" t="s">
        <v>30</v>
      </c>
      <c r="T5251" s="18" t="s">
        <v>11208</v>
      </c>
      <c r="U5251" s="18" t="s">
        <v>11209</v>
      </c>
      <c r="V5251" s="18"/>
      <c r="W5251" s="18" t="s">
        <v>11210</v>
      </c>
      <c r="X5251" s="18" t="s">
        <v>42</v>
      </c>
      <c r="Y5251" s="18" t="s">
        <v>36</v>
      </c>
      <c r="Z5251" s="18" t="s">
        <v>166</v>
      </c>
      <c r="AA5251" s="21" t="str">
        <f>HYPERLINK("https://www.ncbi.nlm.nih.gov/nuccore/DQ192571","NCBI Nucleotide")</f>
        <v>NCBI Nucleotide</v>
      </c>
    </row>
    <row r="5252" spans="1:27" x14ac:dyDescent="0.35">
      <c r="A5252">
        <v>1006966</v>
      </c>
      <c r="B5252">
        <v>5201</v>
      </c>
      <c r="C5252">
        <v>1</v>
      </c>
      <c r="D5252" s="17" t="s">
        <v>10507</v>
      </c>
      <c r="E5252" s="17"/>
      <c r="F5252" s="17" t="s">
        <v>10780</v>
      </c>
      <c r="G5252" s="17"/>
      <c r="H5252" s="17" t="s">
        <v>10781</v>
      </c>
      <c r="I5252" s="17"/>
      <c r="J5252" s="17" t="s">
        <v>10791</v>
      </c>
      <c r="K5252" s="17"/>
      <c r="L5252" s="17" t="s">
        <v>10792</v>
      </c>
      <c r="M5252" s="17"/>
      <c r="N5252" s="17" t="s">
        <v>10793</v>
      </c>
      <c r="O5252" s="17"/>
      <c r="P5252" s="17" t="s">
        <v>11182</v>
      </c>
      <c r="Q5252" s="17"/>
      <c r="R5252" s="25" t="str">
        <f>HYPERLINK("https://ictv.global/taxonomy/taxondetails?taxnode_id=202304491","Gammapolyomavirus secanaria")</f>
        <v>Gammapolyomavirus secanaria</v>
      </c>
      <c r="S5252" s="18" t="s">
        <v>30</v>
      </c>
      <c r="T5252" s="18" t="s">
        <v>11211</v>
      </c>
      <c r="U5252" s="18" t="s">
        <v>11212</v>
      </c>
      <c r="V5252" s="18" t="s">
        <v>11213</v>
      </c>
      <c r="W5252" s="18" t="s">
        <v>11214</v>
      </c>
      <c r="X5252" s="18" t="s">
        <v>42</v>
      </c>
      <c r="Y5252" s="18" t="s">
        <v>36</v>
      </c>
      <c r="Z5252" s="18" t="s">
        <v>166</v>
      </c>
      <c r="AA5252" s="21" t="str">
        <f>HYPERLINK("https://www.ncbi.nlm.nih.gov/nuccore/GU345044","NCBI Nucleotide")</f>
        <v>NCBI Nucleotide</v>
      </c>
    </row>
    <row r="5253" spans="1:27" x14ac:dyDescent="0.35">
      <c r="A5253">
        <v>1006967</v>
      </c>
      <c r="B5253">
        <v>5202</v>
      </c>
      <c r="C5253">
        <v>1</v>
      </c>
      <c r="D5253" s="17" t="s">
        <v>10507</v>
      </c>
      <c r="E5253" s="17"/>
      <c r="F5253" s="17" t="s">
        <v>10780</v>
      </c>
      <c r="G5253" s="17"/>
      <c r="H5253" s="17" t="s">
        <v>10781</v>
      </c>
      <c r="I5253" s="17"/>
      <c r="J5253" s="17" t="s">
        <v>10791</v>
      </c>
      <c r="K5253" s="17"/>
      <c r="L5253" s="17" t="s">
        <v>10792</v>
      </c>
      <c r="M5253" s="17"/>
      <c r="N5253" s="17" t="s">
        <v>10793</v>
      </c>
      <c r="O5253" s="17"/>
      <c r="P5253" s="17" t="s">
        <v>11215</v>
      </c>
      <c r="Q5253" s="17"/>
      <c r="R5253" s="25" t="str">
        <f>HYPERLINK("https://ictv.global/taxonomy/taxondetails?taxnode_id=202304494","Thetapolyomavirus censtriata")</f>
        <v>Thetapolyomavirus censtriata</v>
      </c>
      <c r="S5253" s="18" t="s">
        <v>30</v>
      </c>
      <c r="T5253" s="18" t="s">
        <v>11216</v>
      </c>
      <c r="U5253" s="18" t="s">
        <v>11217</v>
      </c>
      <c r="V5253" s="18">
        <v>2835</v>
      </c>
      <c r="W5253" s="18" t="s">
        <v>11218</v>
      </c>
      <c r="X5253" s="18" t="s">
        <v>42</v>
      </c>
      <c r="Y5253" s="18" t="s">
        <v>36</v>
      </c>
      <c r="Z5253" s="18" t="s">
        <v>166</v>
      </c>
      <c r="AA5253" s="21" t="str">
        <f>HYPERLINK("https://www.ncbi.nlm.nih.gov/nuccore/KP071318","NCBI Nucleotide")</f>
        <v>NCBI Nucleotide</v>
      </c>
    </row>
    <row r="5254" spans="1:27" x14ac:dyDescent="0.35">
      <c r="A5254">
        <v>1006968</v>
      </c>
      <c r="B5254">
        <v>5203</v>
      </c>
      <c r="C5254">
        <v>1</v>
      </c>
      <c r="D5254" s="17" t="s">
        <v>10507</v>
      </c>
      <c r="E5254" s="17"/>
      <c r="F5254" s="17" t="s">
        <v>10780</v>
      </c>
      <c r="G5254" s="17"/>
      <c r="H5254" s="17" t="s">
        <v>10781</v>
      </c>
      <c r="I5254" s="17"/>
      <c r="J5254" s="17" t="s">
        <v>10791</v>
      </c>
      <c r="K5254" s="17"/>
      <c r="L5254" s="17" t="s">
        <v>10792</v>
      </c>
      <c r="M5254" s="17"/>
      <c r="N5254" s="17" t="s">
        <v>10793</v>
      </c>
      <c r="O5254" s="17"/>
      <c r="P5254" s="17" t="s">
        <v>11215</v>
      </c>
      <c r="Q5254" s="17"/>
      <c r="R5254" s="25" t="str">
        <f>HYPERLINK("https://ictv.global/taxonomy/taxondetails?taxnode_id=202306351","Thetapolyomavirus spari")</f>
        <v>Thetapolyomavirus spari</v>
      </c>
      <c r="S5254" s="18" t="s">
        <v>30</v>
      </c>
      <c r="T5254" s="18" t="s">
        <v>11219</v>
      </c>
      <c r="U5254" s="18" t="s">
        <v>11220</v>
      </c>
      <c r="V5254" s="18" t="s">
        <v>11221</v>
      </c>
      <c r="W5254" s="18" t="s">
        <v>11222</v>
      </c>
      <c r="X5254" s="18" t="s">
        <v>42</v>
      </c>
      <c r="Y5254" s="18" t="s">
        <v>36</v>
      </c>
      <c r="Z5254" s="18" t="s">
        <v>166</v>
      </c>
      <c r="AA5254" s="21" t="str">
        <f>HYPERLINK("https://www.ncbi.nlm.nih.gov/nuccore/KX643371","NCBI Nucleotide")</f>
        <v>NCBI Nucleotide</v>
      </c>
    </row>
    <row r="5255" spans="1:27" x14ac:dyDescent="0.35">
      <c r="A5255">
        <v>1006969</v>
      </c>
      <c r="B5255">
        <v>5204</v>
      </c>
      <c r="C5255">
        <v>1</v>
      </c>
      <c r="D5255" s="17" t="s">
        <v>10507</v>
      </c>
      <c r="E5255" s="17"/>
      <c r="F5255" s="17" t="s">
        <v>10780</v>
      </c>
      <c r="G5255" s="17"/>
      <c r="H5255" s="17" t="s">
        <v>10781</v>
      </c>
      <c r="I5255" s="17"/>
      <c r="J5255" s="17" t="s">
        <v>10791</v>
      </c>
      <c r="K5255" s="17"/>
      <c r="L5255" s="17" t="s">
        <v>10792</v>
      </c>
      <c r="M5255" s="17"/>
      <c r="N5255" s="17" t="s">
        <v>10793</v>
      </c>
      <c r="O5255" s="17"/>
      <c r="P5255" s="17" t="s">
        <v>11215</v>
      </c>
      <c r="Q5255" s="17"/>
      <c r="R5255" s="25" t="str">
        <f>HYPERLINK("https://ictv.global/taxonomy/taxondetails?taxnode_id=202306352","Thetapolyomavirus trebernacchii")</f>
        <v>Thetapolyomavirus trebernacchii</v>
      </c>
      <c r="S5255" s="18" t="s">
        <v>30</v>
      </c>
      <c r="T5255" s="18" t="s">
        <v>11223</v>
      </c>
      <c r="U5255" s="18" t="s">
        <v>11224</v>
      </c>
      <c r="V5255" s="18" t="s">
        <v>11225</v>
      </c>
      <c r="W5255" s="18" t="s">
        <v>11226</v>
      </c>
      <c r="X5255" s="18" t="s">
        <v>42</v>
      </c>
      <c r="Y5255" s="18" t="s">
        <v>36</v>
      </c>
      <c r="Z5255" s="18" t="s">
        <v>166</v>
      </c>
      <c r="AA5255" s="21" t="str">
        <f>HYPERLINK("https://www.ncbi.nlm.nih.gov/nuccore/MG800627","NCBI Nucleotide")</f>
        <v>NCBI Nucleotide</v>
      </c>
    </row>
    <row r="5256" spans="1:27" x14ac:dyDescent="0.35">
      <c r="A5256">
        <v>1006970</v>
      </c>
      <c r="B5256">
        <v>5205</v>
      </c>
      <c r="C5256">
        <v>1</v>
      </c>
      <c r="D5256" s="17" t="s">
        <v>10507</v>
      </c>
      <c r="E5256" s="17"/>
      <c r="F5256" s="17" t="s">
        <v>10780</v>
      </c>
      <c r="G5256" s="17"/>
      <c r="H5256" s="17" t="s">
        <v>10781</v>
      </c>
      <c r="I5256" s="17"/>
      <c r="J5256" s="17" t="s">
        <v>10791</v>
      </c>
      <c r="K5256" s="17"/>
      <c r="L5256" s="17" t="s">
        <v>10792</v>
      </c>
      <c r="M5256" s="17"/>
      <c r="N5256" s="17" t="s">
        <v>10793</v>
      </c>
      <c r="O5256" s="17"/>
      <c r="P5256" s="17" t="s">
        <v>11215</v>
      </c>
      <c r="Q5256" s="17"/>
      <c r="R5256" s="25" t="str">
        <f>HYPERLINK("https://ictv.global/taxonomy/taxondetails?taxnode_id=202305911","Thetapolyomavirus trepennellii")</f>
        <v>Thetapolyomavirus trepennellii</v>
      </c>
      <c r="S5256" s="18" t="s">
        <v>30</v>
      </c>
      <c r="T5256" s="18" t="s">
        <v>11227</v>
      </c>
      <c r="U5256" s="18" t="s">
        <v>11228</v>
      </c>
      <c r="V5256" s="18" t="s">
        <v>11229</v>
      </c>
      <c r="W5256" s="18" t="s">
        <v>11230</v>
      </c>
      <c r="X5256" s="18" t="s">
        <v>42</v>
      </c>
      <c r="Y5256" s="18" t="s">
        <v>36</v>
      </c>
      <c r="Z5256" s="18" t="s">
        <v>166</v>
      </c>
      <c r="AA5256" s="21" t="str">
        <f>HYPERLINK("https://www.ncbi.nlm.nih.gov/nuccore/KP768176","NCBI Nucleotide")</f>
        <v>NCBI Nucleotide</v>
      </c>
    </row>
    <row r="5257" spans="1:27" x14ac:dyDescent="0.35">
      <c r="A5257">
        <v>1006971</v>
      </c>
      <c r="B5257">
        <v>5206</v>
      </c>
      <c r="C5257">
        <v>1</v>
      </c>
      <c r="D5257" s="17" t="s">
        <v>10507</v>
      </c>
      <c r="E5257" s="17"/>
      <c r="F5257" s="17" t="s">
        <v>10780</v>
      </c>
      <c r="G5257" s="17"/>
      <c r="H5257" s="17" t="s">
        <v>10781</v>
      </c>
      <c r="I5257" s="17"/>
      <c r="J5257" s="17" t="s">
        <v>10791</v>
      </c>
      <c r="K5257" s="17"/>
      <c r="L5257" s="17" t="s">
        <v>10792</v>
      </c>
      <c r="M5257" s="17"/>
      <c r="N5257" s="17" t="s">
        <v>10793</v>
      </c>
      <c r="O5257" s="17"/>
      <c r="P5257" s="17" t="s">
        <v>11231</v>
      </c>
      <c r="Q5257" s="17"/>
      <c r="R5257" s="25" t="str">
        <f>HYPERLINK("https://ictv.global/taxonomy/taxondetails?taxnode_id=202304495","Zetapolyomavirus delphini")</f>
        <v>Zetapolyomavirus delphini</v>
      </c>
      <c r="S5257" s="18" t="s">
        <v>30</v>
      </c>
      <c r="T5257" s="18" t="s">
        <v>11232</v>
      </c>
      <c r="U5257" s="18" t="s">
        <v>11233</v>
      </c>
      <c r="V5257" s="18" t="s">
        <v>11234</v>
      </c>
      <c r="W5257" s="18" t="s">
        <v>11235</v>
      </c>
      <c r="X5257" s="18" t="s">
        <v>42</v>
      </c>
      <c r="Y5257" s="18" t="s">
        <v>36</v>
      </c>
      <c r="Z5257" s="18" t="s">
        <v>166</v>
      </c>
      <c r="AA5257" s="21" t="str">
        <f>HYPERLINK("https://www.ncbi.nlm.nih.gov/nuccore/KC594077","NCBI Nucleotide")</f>
        <v>NCBI Nucleotide</v>
      </c>
    </row>
    <row r="5258" spans="1:27" x14ac:dyDescent="0.35">
      <c r="A5258">
        <v>1006972</v>
      </c>
      <c r="B5258">
        <v>5207</v>
      </c>
      <c r="C5258">
        <v>1</v>
      </c>
      <c r="D5258" s="17" t="s">
        <v>10507</v>
      </c>
      <c r="E5258" s="17"/>
      <c r="F5258" s="17" t="s">
        <v>10780</v>
      </c>
      <c r="G5258" s="17"/>
      <c r="H5258" s="17" t="s">
        <v>10781</v>
      </c>
      <c r="I5258" s="17"/>
      <c r="J5258" s="17" t="s">
        <v>10791</v>
      </c>
      <c r="K5258" s="17"/>
      <c r="L5258" s="17" t="s">
        <v>11236</v>
      </c>
      <c r="M5258" s="17"/>
      <c r="N5258" s="17" t="s">
        <v>11237</v>
      </c>
      <c r="O5258" s="17" t="s">
        <v>11238</v>
      </c>
      <c r="P5258" s="17" t="s">
        <v>11239</v>
      </c>
      <c r="Q5258" s="17"/>
      <c r="R5258" s="25" t="str">
        <f>HYPERLINK("https://ictv.global/taxonomy/taxondetails?taxnode_id=202303974","Alphapapillomavirus 1")</f>
        <v>Alphapapillomavirus 1</v>
      </c>
      <c r="S5258" s="18" t="s">
        <v>30</v>
      </c>
      <c r="T5258" s="18" t="s">
        <v>11240</v>
      </c>
      <c r="U5258" s="18" t="s">
        <v>11241</v>
      </c>
      <c r="V5258" s="18"/>
      <c r="W5258" s="18" t="s">
        <v>11242</v>
      </c>
      <c r="X5258" s="18" t="s">
        <v>42</v>
      </c>
      <c r="Y5258" s="18" t="s">
        <v>36</v>
      </c>
      <c r="Z5258" s="18" t="s">
        <v>166</v>
      </c>
      <c r="AA5258" s="21" t="str">
        <f>HYPERLINK("https://www.ncbi.nlm.nih.gov/nuccore/X74475","NCBI Nucleotide")</f>
        <v>NCBI Nucleotide</v>
      </c>
    </row>
    <row r="5259" spans="1:27" x14ac:dyDescent="0.35">
      <c r="A5259">
        <v>1012219</v>
      </c>
      <c r="B5259">
        <v>5207</v>
      </c>
      <c r="C5259">
        <v>2</v>
      </c>
      <c r="D5259" s="17" t="s">
        <v>10507</v>
      </c>
      <c r="E5259" s="17"/>
      <c r="F5259" s="17" t="s">
        <v>10780</v>
      </c>
      <c r="G5259" s="17"/>
      <c r="H5259" s="17" t="s">
        <v>10781</v>
      </c>
      <c r="I5259" s="17"/>
      <c r="J5259" s="17" t="s">
        <v>10791</v>
      </c>
      <c r="K5259" s="17"/>
      <c r="L5259" s="17" t="s">
        <v>11236</v>
      </c>
      <c r="M5259" s="17"/>
      <c r="N5259" s="17" t="s">
        <v>11237</v>
      </c>
      <c r="O5259" s="17" t="s">
        <v>11238</v>
      </c>
      <c r="P5259" s="17" t="s">
        <v>11239</v>
      </c>
      <c r="Q5259" s="17"/>
      <c r="R5259" s="25" t="str">
        <f>HYPERLINK("https://ictv.global/taxonomy/taxondetails?taxnode_id=202303974","Alphapapillomavirus 1")</f>
        <v>Alphapapillomavirus 1</v>
      </c>
      <c r="S5259" s="18" t="s">
        <v>8141</v>
      </c>
      <c r="T5259" s="18" t="s">
        <v>11243</v>
      </c>
      <c r="U5259" s="18" t="s">
        <v>11244</v>
      </c>
      <c r="V5259" s="18"/>
      <c r="W5259" s="18" t="s">
        <v>48780</v>
      </c>
      <c r="X5259" s="18" t="s">
        <v>42</v>
      </c>
      <c r="Y5259" s="18" t="s">
        <v>36</v>
      </c>
      <c r="Z5259" s="18" t="s">
        <v>166</v>
      </c>
      <c r="AA5259" s="21" t="str">
        <f>HYPERLINK("https://www.ncbi.nlm.nih.gov/nuccore/M73236","NCBI Nucleotide")</f>
        <v>NCBI Nucleotide</v>
      </c>
    </row>
    <row r="5260" spans="1:27" x14ac:dyDescent="0.35">
      <c r="A5260">
        <v>1006978</v>
      </c>
      <c r="B5260">
        <v>5208</v>
      </c>
      <c r="C5260">
        <v>1</v>
      </c>
      <c r="D5260" s="17" t="s">
        <v>10507</v>
      </c>
      <c r="E5260" s="17"/>
      <c r="F5260" s="17" t="s">
        <v>10780</v>
      </c>
      <c r="G5260" s="17"/>
      <c r="H5260" s="17" t="s">
        <v>10781</v>
      </c>
      <c r="I5260" s="17"/>
      <c r="J5260" s="17" t="s">
        <v>10791</v>
      </c>
      <c r="K5260" s="17"/>
      <c r="L5260" s="17" t="s">
        <v>11236</v>
      </c>
      <c r="M5260" s="17"/>
      <c r="N5260" s="17" t="s">
        <v>11237</v>
      </c>
      <c r="O5260" s="17" t="s">
        <v>11238</v>
      </c>
      <c r="P5260" s="17" t="s">
        <v>11239</v>
      </c>
      <c r="Q5260" s="17"/>
      <c r="R5260" s="25" t="str">
        <f t="shared" ref="R5260:R5269" si="2">HYPERLINK("https://ictv.global/taxonomy/taxondetails?taxnode_id=202303975","Alphapapillomavirus 2")</f>
        <v>Alphapapillomavirus 2</v>
      </c>
      <c r="S5260" s="18" t="s">
        <v>30</v>
      </c>
      <c r="T5260" s="18" t="s">
        <v>11313</v>
      </c>
      <c r="U5260" s="18" t="s">
        <v>11314</v>
      </c>
      <c r="V5260" s="18"/>
      <c r="W5260" s="18" t="s">
        <v>11315</v>
      </c>
      <c r="X5260" s="18" t="s">
        <v>42</v>
      </c>
      <c r="Y5260" s="18" t="s">
        <v>36</v>
      </c>
      <c r="Z5260" s="18" t="s">
        <v>166</v>
      </c>
      <c r="AA5260" s="21" t="str">
        <f>HYPERLINK("https://www.ncbi.nlm.nih.gov/nuccore/X74465","NCBI Nucleotide")</f>
        <v>NCBI Nucleotide</v>
      </c>
    </row>
    <row r="5261" spans="1:27" x14ac:dyDescent="0.35">
      <c r="A5261">
        <v>1012247</v>
      </c>
      <c r="B5261">
        <v>5208</v>
      </c>
      <c r="C5261">
        <v>2</v>
      </c>
      <c r="D5261" s="17" t="s">
        <v>10507</v>
      </c>
      <c r="E5261" s="17"/>
      <c r="F5261" s="17" t="s">
        <v>10780</v>
      </c>
      <c r="G5261" s="17"/>
      <c r="H5261" s="17" t="s">
        <v>10781</v>
      </c>
      <c r="I5261" s="17"/>
      <c r="J5261" s="17" t="s">
        <v>10791</v>
      </c>
      <c r="K5261" s="17"/>
      <c r="L5261" s="17" t="s">
        <v>11236</v>
      </c>
      <c r="M5261" s="17"/>
      <c r="N5261" s="17" t="s">
        <v>11237</v>
      </c>
      <c r="O5261" s="17" t="s">
        <v>11238</v>
      </c>
      <c r="P5261" s="17" t="s">
        <v>11239</v>
      </c>
      <c r="Q5261" s="17"/>
      <c r="R5261" s="25" t="str">
        <f t="shared" si="2"/>
        <v>Alphapapillomavirus 2</v>
      </c>
      <c r="S5261" s="18" t="s">
        <v>8141</v>
      </c>
      <c r="T5261" s="18" t="s">
        <v>11334</v>
      </c>
      <c r="U5261" s="18" t="s">
        <v>11335</v>
      </c>
      <c r="V5261" s="18"/>
      <c r="W5261" s="18" t="s">
        <v>48781</v>
      </c>
      <c r="X5261" s="18" t="s">
        <v>42</v>
      </c>
      <c r="Y5261" s="18" t="s">
        <v>36</v>
      </c>
      <c r="Z5261" s="18" t="s">
        <v>166</v>
      </c>
      <c r="AA5261" s="21" t="str">
        <f>HYPERLINK("https://www.ncbi.nlm.nih.gov/nuccore/X74462","NCBI Nucleotide")</f>
        <v>NCBI Nucleotide</v>
      </c>
    </row>
    <row r="5262" spans="1:27" x14ac:dyDescent="0.35">
      <c r="A5262">
        <v>1012245</v>
      </c>
      <c r="B5262">
        <v>5208</v>
      </c>
      <c r="C5262">
        <v>3</v>
      </c>
      <c r="D5262" s="17" t="s">
        <v>10507</v>
      </c>
      <c r="E5262" s="17"/>
      <c r="F5262" s="17" t="s">
        <v>10780</v>
      </c>
      <c r="G5262" s="17"/>
      <c r="H5262" s="17" t="s">
        <v>10781</v>
      </c>
      <c r="I5262" s="17"/>
      <c r="J5262" s="17" t="s">
        <v>10791</v>
      </c>
      <c r="K5262" s="17"/>
      <c r="L5262" s="17" t="s">
        <v>11236</v>
      </c>
      <c r="M5262" s="17"/>
      <c r="N5262" s="17" t="s">
        <v>11237</v>
      </c>
      <c r="O5262" s="17" t="s">
        <v>11238</v>
      </c>
      <c r="P5262" s="17" t="s">
        <v>11239</v>
      </c>
      <c r="Q5262" s="17"/>
      <c r="R5262" s="25" t="str">
        <f t="shared" si="2"/>
        <v>Alphapapillomavirus 2</v>
      </c>
      <c r="S5262" s="18" t="s">
        <v>8141</v>
      </c>
      <c r="T5262" s="18" t="s">
        <v>11330</v>
      </c>
      <c r="U5262" s="18" t="s">
        <v>11331</v>
      </c>
      <c r="V5262" s="18"/>
      <c r="W5262" s="18" t="s">
        <v>48782</v>
      </c>
      <c r="X5262" s="18" t="s">
        <v>42</v>
      </c>
      <c r="Y5262" s="18" t="s">
        <v>36</v>
      </c>
      <c r="Z5262" s="18" t="s">
        <v>166</v>
      </c>
      <c r="AA5262" s="21" t="str">
        <f>HYPERLINK("https://www.ncbi.nlm.nih.gov/nuccore/U31783","NCBI Nucleotide")</f>
        <v>NCBI Nucleotide</v>
      </c>
    </row>
    <row r="5263" spans="1:27" x14ac:dyDescent="0.35">
      <c r="A5263">
        <v>1012246</v>
      </c>
      <c r="B5263">
        <v>5208</v>
      </c>
      <c r="C5263">
        <v>4</v>
      </c>
      <c r="D5263" s="17" t="s">
        <v>10507</v>
      </c>
      <c r="E5263" s="17"/>
      <c r="F5263" s="17" t="s">
        <v>10780</v>
      </c>
      <c r="G5263" s="17"/>
      <c r="H5263" s="17" t="s">
        <v>10781</v>
      </c>
      <c r="I5263" s="17"/>
      <c r="J5263" s="17" t="s">
        <v>10791</v>
      </c>
      <c r="K5263" s="17"/>
      <c r="L5263" s="17" t="s">
        <v>11236</v>
      </c>
      <c r="M5263" s="17"/>
      <c r="N5263" s="17" t="s">
        <v>11237</v>
      </c>
      <c r="O5263" s="17" t="s">
        <v>11238</v>
      </c>
      <c r="P5263" s="17" t="s">
        <v>11239</v>
      </c>
      <c r="Q5263" s="17"/>
      <c r="R5263" s="25" t="str">
        <f t="shared" si="2"/>
        <v>Alphapapillomavirus 2</v>
      </c>
      <c r="S5263" s="18" t="s">
        <v>8141</v>
      </c>
      <c r="T5263" s="18" t="s">
        <v>11332</v>
      </c>
      <c r="U5263" s="18" t="s">
        <v>11333</v>
      </c>
      <c r="V5263" s="18"/>
      <c r="W5263" s="18" t="s">
        <v>48783</v>
      </c>
      <c r="X5263" s="18" t="s">
        <v>42</v>
      </c>
      <c r="Y5263" s="18" t="s">
        <v>36</v>
      </c>
      <c r="Z5263" s="18" t="s">
        <v>166</v>
      </c>
      <c r="AA5263" s="21" t="str">
        <f>HYPERLINK("https://www.ncbi.nlm.nih.gov/nuccore/U31784","NCBI Nucleotide")</f>
        <v>NCBI Nucleotide</v>
      </c>
    </row>
    <row r="5264" spans="1:27" x14ac:dyDescent="0.35">
      <c r="A5264">
        <v>1012248</v>
      </c>
      <c r="B5264">
        <v>5208</v>
      </c>
      <c r="C5264">
        <v>5</v>
      </c>
      <c r="D5264" s="17" t="s">
        <v>10507</v>
      </c>
      <c r="E5264" s="17"/>
      <c r="F5264" s="17" t="s">
        <v>10780</v>
      </c>
      <c r="G5264" s="17"/>
      <c r="H5264" s="17" t="s">
        <v>10781</v>
      </c>
      <c r="I5264" s="17"/>
      <c r="J5264" s="17" t="s">
        <v>10791</v>
      </c>
      <c r="K5264" s="17"/>
      <c r="L5264" s="17" t="s">
        <v>11236</v>
      </c>
      <c r="M5264" s="17"/>
      <c r="N5264" s="17" t="s">
        <v>11237</v>
      </c>
      <c r="O5264" s="17" t="s">
        <v>11238</v>
      </c>
      <c r="P5264" s="17" t="s">
        <v>11239</v>
      </c>
      <c r="Q5264" s="17"/>
      <c r="R5264" s="25" t="str">
        <f t="shared" si="2"/>
        <v>Alphapapillomavirus 2</v>
      </c>
      <c r="S5264" s="18" t="s">
        <v>8141</v>
      </c>
      <c r="T5264" s="18" t="s">
        <v>11336</v>
      </c>
      <c r="U5264" s="18" t="s">
        <v>11337</v>
      </c>
      <c r="V5264" s="18"/>
      <c r="W5264" s="18" t="s">
        <v>48784</v>
      </c>
      <c r="X5264" s="18" t="s">
        <v>42</v>
      </c>
      <c r="Y5264" s="18" t="s">
        <v>36</v>
      </c>
      <c r="Z5264" s="18" t="s">
        <v>166</v>
      </c>
      <c r="AA5264" s="21" t="str">
        <f>HYPERLINK("https://www.ncbi.nlm.nih.gov/nuccore/Y15175","NCBI Nucleotide")</f>
        <v>NCBI Nucleotide</v>
      </c>
    </row>
    <row r="5265" spans="1:27" x14ac:dyDescent="0.35">
      <c r="A5265">
        <v>1012244</v>
      </c>
      <c r="B5265">
        <v>5208</v>
      </c>
      <c r="C5265">
        <v>6</v>
      </c>
      <c r="D5265" s="17" t="s">
        <v>10507</v>
      </c>
      <c r="E5265" s="17"/>
      <c r="F5265" s="17" t="s">
        <v>10780</v>
      </c>
      <c r="G5265" s="17"/>
      <c r="H5265" s="17" t="s">
        <v>10781</v>
      </c>
      <c r="I5265" s="17"/>
      <c r="J5265" s="17" t="s">
        <v>10791</v>
      </c>
      <c r="K5265" s="17"/>
      <c r="L5265" s="17" t="s">
        <v>11236</v>
      </c>
      <c r="M5265" s="17"/>
      <c r="N5265" s="17" t="s">
        <v>11237</v>
      </c>
      <c r="O5265" s="17" t="s">
        <v>11238</v>
      </c>
      <c r="P5265" s="17" t="s">
        <v>11239</v>
      </c>
      <c r="Q5265" s="17"/>
      <c r="R5265" s="25" t="str">
        <f t="shared" si="2"/>
        <v>Alphapapillomavirus 2</v>
      </c>
      <c r="S5265" s="18" t="s">
        <v>8141</v>
      </c>
      <c r="T5265" s="18" t="s">
        <v>11327</v>
      </c>
      <c r="U5265" s="18" t="s">
        <v>11328</v>
      </c>
      <c r="V5265" s="18" t="s">
        <v>11329</v>
      </c>
      <c r="W5265" s="18" t="s">
        <v>48785</v>
      </c>
      <c r="X5265" s="18" t="s">
        <v>42</v>
      </c>
      <c r="Y5265" s="18" t="s">
        <v>36</v>
      </c>
      <c r="Z5265" s="18" t="s">
        <v>166</v>
      </c>
      <c r="AA5265" s="21" t="str">
        <f>HYPERLINK("https://www.ncbi.nlm.nih.gov/nuccore/KC138720","NCBI Nucleotide")</f>
        <v>NCBI Nucleotide</v>
      </c>
    </row>
    <row r="5266" spans="1:27" x14ac:dyDescent="0.35">
      <c r="A5266">
        <v>1012241</v>
      </c>
      <c r="B5266">
        <v>5208</v>
      </c>
      <c r="C5266">
        <v>7</v>
      </c>
      <c r="D5266" s="17" t="s">
        <v>10507</v>
      </c>
      <c r="E5266" s="17"/>
      <c r="F5266" s="17" t="s">
        <v>10780</v>
      </c>
      <c r="G5266" s="17"/>
      <c r="H5266" s="17" t="s">
        <v>10781</v>
      </c>
      <c r="I5266" s="17"/>
      <c r="J5266" s="17" t="s">
        <v>10791</v>
      </c>
      <c r="K5266" s="17"/>
      <c r="L5266" s="17" t="s">
        <v>11236</v>
      </c>
      <c r="M5266" s="17"/>
      <c r="N5266" s="17" t="s">
        <v>11237</v>
      </c>
      <c r="O5266" s="17" t="s">
        <v>11238</v>
      </c>
      <c r="P5266" s="17" t="s">
        <v>11239</v>
      </c>
      <c r="Q5266" s="17"/>
      <c r="R5266" s="25" t="str">
        <f t="shared" si="2"/>
        <v>Alphapapillomavirus 2</v>
      </c>
      <c r="S5266" s="18" t="s">
        <v>8141</v>
      </c>
      <c r="T5266" s="18" t="s">
        <v>11319</v>
      </c>
      <c r="U5266" s="18" t="s">
        <v>11320</v>
      </c>
      <c r="V5266" s="18"/>
      <c r="W5266" s="18" t="s">
        <v>48786</v>
      </c>
      <c r="X5266" s="18" t="s">
        <v>42</v>
      </c>
      <c r="Y5266" s="18" t="s">
        <v>36</v>
      </c>
      <c r="Z5266" s="18" t="s">
        <v>166</v>
      </c>
      <c r="AA5266" s="21" t="str">
        <f>HYPERLINK("https://www.ncbi.nlm.nih.gov/nuccore/AJ620211","NCBI Nucleotide")</f>
        <v>NCBI Nucleotide</v>
      </c>
    </row>
    <row r="5267" spans="1:27" x14ac:dyDescent="0.35">
      <c r="A5267">
        <v>1012243</v>
      </c>
      <c r="B5267">
        <v>5208</v>
      </c>
      <c r="C5267">
        <v>8</v>
      </c>
      <c r="D5267" s="17" t="s">
        <v>10507</v>
      </c>
      <c r="E5267" s="17"/>
      <c r="F5267" s="17" t="s">
        <v>10780</v>
      </c>
      <c r="G5267" s="17"/>
      <c r="H5267" s="17" t="s">
        <v>10781</v>
      </c>
      <c r="I5267" s="17"/>
      <c r="J5267" s="17" t="s">
        <v>10791</v>
      </c>
      <c r="K5267" s="17"/>
      <c r="L5267" s="17" t="s">
        <v>11236</v>
      </c>
      <c r="M5267" s="17"/>
      <c r="N5267" s="17" t="s">
        <v>11237</v>
      </c>
      <c r="O5267" s="17" t="s">
        <v>11238</v>
      </c>
      <c r="P5267" s="17" t="s">
        <v>11239</v>
      </c>
      <c r="Q5267" s="17"/>
      <c r="R5267" s="25" t="str">
        <f t="shared" si="2"/>
        <v>Alphapapillomavirus 2</v>
      </c>
      <c r="S5267" s="18" t="s">
        <v>8141</v>
      </c>
      <c r="T5267" s="18" t="s">
        <v>11324</v>
      </c>
      <c r="U5267" s="18" t="s">
        <v>11325</v>
      </c>
      <c r="V5267" s="18" t="s">
        <v>11326</v>
      </c>
      <c r="W5267" s="18" t="s">
        <v>48787</v>
      </c>
      <c r="X5267" s="18" t="s">
        <v>42</v>
      </c>
      <c r="Y5267" s="18" t="s">
        <v>36</v>
      </c>
      <c r="Z5267" s="18" t="s">
        <v>166</v>
      </c>
      <c r="AA5267" s="21" t="str">
        <f>HYPERLINK("https://www.ncbi.nlm.nih.gov/nuccore/GQ246950","NCBI Nucleotide")</f>
        <v>NCBI Nucleotide</v>
      </c>
    </row>
    <row r="5268" spans="1:27" x14ac:dyDescent="0.35">
      <c r="A5268">
        <v>1012242</v>
      </c>
      <c r="B5268">
        <v>5208</v>
      </c>
      <c r="C5268">
        <v>9</v>
      </c>
      <c r="D5268" s="17" t="s">
        <v>10507</v>
      </c>
      <c r="E5268" s="17"/>
      <c r="F5268" s="17" t="s">
        <v>10780</v>
      </c>
      <c r="G5268" s="17"/>
      <c r="H5268" s="17" t="s">
        <v>10781</v>
      </c>
      <c r="I5268" s="17"/>
      <c r="J5268" s="17" t="s">
        <v>10791</v>
      </c>
      <c r="K5268" s="17"/>
      <c r="L5268" s="17" t="s">
        <v>11236</v>
      </c>
      <c r="M5268" s="17"/>
      <c r="N5268" s="17" t="s">
        <v>11237</v>
      </c>
      <c r="O5268" s="17" t="s">
        <v>11238</v>
      </c>
      <c r="P5268" s="17" t="s">
        <v>11239</v>
      </c>
      <c r="Q5268" s="17"/>
      <c r="R5268" s="25" t="str">
        <f t="shared" si="2"/>
        <v>Alphapapillomavirus 2</v>
      </c>
      <c r="S5268" s="18" t="s">
        <v>8141</v>
      </c>
      <c r="T5268" s="18" t="s">
        <v>11321</v>
      </c>
      <c r="U5268" s="18" t="s">
        <v>11322</v>
      </c>
      <c r="V5268" s="18" t="s">
        <v>11323</v>
      </c>
      <c r="W5268" s="18" t="s">
        <v>48788</v>
      </c>
      <c r="X5268" s="18" t="s">
        <v>42</v>
      </c>
      <c r="Y5268" s="18" t="s">
        <v>36</v>
      </c>
      <c r="Z5268" s="18" t="s">
        <v>166</v>
      </c>
      <c r="AA5268" s="21" t="str">
        <f>HYPERLINK("https://www.ncbi.nlm.nih.gov/nuccore/FN547152","NCBI Nucleotide")</f>
        <v>NCBI Nucleotide</v>
      </c>
    </row>
    <row r="5269" spans="1:27" x14ac:dyDescent="0.35">
      <c r="A5269">
        <v>1012240</v>
      </c>
      <c r="B5269">
        <v>5208</v>
      </c>
      <c r="C5269">
        <v>10</v>
      </c>
      <c r="D5269" s="17" t="s">
        <v>10507</v>
      </c>
      <c r="E5269" s="17"/>
      <c r="F5269" s="17" t="s">
        <v>10780</v>
      </c>
      <c r="G5269" s="17"/>
      <c r="H5269" s="17" t="s">
        <v>10781</v>
      </c>
      <c r="I5269" s="17"/>
      <c r="J5269" s="17" t="s">
        <v>10791</v>
      </c>
      <c r="K5269" s="17"/>
      <c r="L5269" s="17" t="s">
        <v>11236</v>
      </c>
      <c r="M5269" s="17"/>
      <c r="N5269" s="17" t="s">
        <v>11237</v>
      </c>
      <c r="O5269" s="17" t="s">
        <v>11238</v>
      </c>
      <c r="P5269" s="17" t="s">
        <v>11239</v>
      </c>
      <c r="Q5269" s="17"/>
      <c r="R5269" s="25" t="str">
        <f t="shared" si="2"/>
        <v>Alphapapillomavirus 2</v>
      </c>
      <c r="S5269" s="18" t="s">
        <v>8141</v>
      </c>
      <c r="T5269" s="18" t="s">
        <v>11316</v>
      </c>
      <c r="U5269" s="18" t="s">
        <v>11317</v>
      </c>
      <c r="V5269" s="18" t="s">
        <v>11318</v>
      </c>
      <c r="W5269" s="18" t="s">
        <v>48789</v>
      </c>
      <c r="X5269" s="18" t="s">
        <v>42</v>
      </c>
      <c r="Y5269" s="18" t="s">
        <v>36</v>
      </c>
      <c r="Z5269" s="18" t="s">
        <v>166</v>
      </c>
      <c r="AA5269" s="21" t="str">
        <f>HYPERLINK("https://www.ncbi.nlm.nih.gov/nuccore/AB745694","NCBI Nucleotide")</f>
        <v>NCBI Nucleotide</v>
      </c>
    </row>
    <row r="5270" spans="1:27" x14ac:dyDescent="0.35">
      <c r="A5270">
        <v>1006979</v>
      </c>
      <c r="B5270">
        <v>5209</v>
      </c>
      <c r="C5270">
        <v>1</v>
      </c>
      <c r="D5270" s="17" t="s">
        <v>10507</v>
      </c>
      <c r="E5270" s="17"/>
      <c r="F5270" s="17" t="s">
        <v>10780</v>
      </c>
      <c r="G5270" s="17"/>
      <c r="H5270" s="17" t="s">
        <v>10781</v>
      </c>
      <c r="I5270" s="17"/>
      <c r="J5270" s="17" t="s">
        <v>10791</v>
      </c>
      <c r="K5270" s="17"/>
      <c r="L5270" s="17" t="s">
        <v>11236</v>
      </c>
      <c r="M5270" s="17"/>
      <c r="N5270" s="17" t="s">
        <v>11237</v>
      </c>
      <c r="O5270" s="17" t="s">
        <v>11238</v>
      </c>
      <c r="P5270" s="17" t="s">
        <v>11239</v>
      </c>
      <c r="Q5270" s="17"/>
      <c r="R5270" s="25" t="str">
        <f t="shared" ref="R5270:R5280" si="3">HYPERLINK("https://ictv.global/taxonomy/taxondetails?taxnode_id=202303976","Alphapapillomavirus 3")</f>
        <v>Alphapapillomavirus 3</v>
      </c>
      <c r="S5270" s="18" t="s">
        <v>30</v>
      </c>
      <c r="T5270" s="18" t="s">
        <v>11338</v>
      </c>
      <c r="U5270" s="18" t="s">
        <v>11339</v>
      </c>
      <c r="V5270" s="18"/>
      <c r="W5270" s="18" t="s">
        <v>11340</v>
      </c>
      <c r="X5270" s="18" t="s">
        <v>42</v>
      </c>
      <c r="Y5270" s="18" t="s">
        <v>36</v>
      </c>
      <c r="Z5270" s="18" t="s">
        <v>166</v>
      </c>
      <c r="AA5270" s="21" t="str">
        <f>HYPERLINK("https://www.ncbi.nlm.nih.gov/nuccore/U31793","NCBI Nucleotide")</f>
        <v>NCBI Nucleotide</v>
      </c>
    </row>
    <row r="5271" spans="1:27" x14ac:dyDescent="0.35">
      <c r="A5271">
        <v>1012255</v>
      </c>
      <c r="B5271">
        <v>5209</v>
      </c>
      <c r="C5271">
        <v>2</v>
      </c>
      <c r="D5271" s="17" t="s">
        <v>10507</v>
      </c>
      <c r="E5271" s="17"/>
      <c r="F5271" s="17" t="s">
        <v>10780</v>
      </c>
      <c r="G5271" s="17"/>
      <c r="H5271" s="17" t="s">
        <v>10781</v>
      </c>
      <c r="I5271" s="17"/>
      <c r="J5271" s="17" t="s">
        <v>10791</v>
      </c>
      <c r="K5271" s="17"/>
      <c r="L5271" s="17" t="s">
        <v>11236</v>
      </c>
      <c r="M5271" s="17"/>
      <c r="N5271" s="17" t="s">
        <v>11237</v>
      </c>
      <c r="O5271" s="17" t="s">
        <v>11238</v>
      </c>
      <c r="P5271" s="17" t="s">
        <v>11239</v>
      </c>
      <c r="Q5271" s="17"/>
      <c r="R5271" s="25" t="str">
        <f t="shared" si="3"/>
        <v>Alphapapillomavirus 3</v>
      </c>
      <c r="S5271" s="18" t="s">
        <v>8141</v>
      </c>
      <c r="T5271" s="18" t="s">
        <v>11354</v>
      </c>
      <c r="U5271" s="18" t="s">
        <v>11355</v>
      </c>
      <c r="V5271" s="18" t="s">
        <v>11356</v>
      </c>
      <c r="W5271" s="18" t="s">
        <v>48790</v>
      </c>
      <c r="X5271" s="18" t="s">
        <v>42</v>
      </c>
      <c r="Y5271" s="18" t="s">
        <v>36</v>
      </c>
      <c r="Z5271" s="18" t="s">
        <v>166</v>
      </c>
      <c r="AA5271" s="21" t="str">
        <f>HYPERLINK("https://www.ncbi.nlm.nih.gov/nuccore/AY395706","NCBI Nucleotide")</f>
        <v>NCBI Nucleotide</v>
      </c>
    </row>
    <row r="5272" spans="1:27" x14ac:dyDescent="0.35">
      <c r="A5272">
        <v>1012258</v>
      </c>
      <c r="B5272">
        <v>5209</v>
      </c>
      <c r="C5272">
        <v>3</v>
      </c>
      <c r="D5272" s="17" t="s">
        <v>10507</v>
      </c>
      <c r="E5272" s="17"/>
      <c r="F5272" s="17" t="s">
        <v>10780</v>
      </c>
      <c r="G5272" s="17"/>
      <c r="H5272" s="17" t="s">
        <v>10781</v>
      </c>
      <c r="I5272" s="17"/>
      <c r="J5272" s="17" t="s">
        <v>10791</v>
      </c>
      <c r="K5272" s="17"/>
      <c r="L5272" s="17" t="s">
        <v>11236</v>
      </c>
      <c r="M5272" s="17"/>
      <c r="N5272" s="17" t="s">
        <v>11237</v>
      </c>
      <c r="O5272" s="17" t="s">
        <v>11238</v>
      </c>
      <c r="P5272" s="17" t="s">
        <v>11239</v>
      </c>
      <c r="Q5272" s="17"/>
      <c r="R5272" s="25" t="str">
        <f t="shared" si="3"/>
        <v>Alphapapillomavirus 3</v>
      </c>
      <c r="S5272" s="18" t="s">
        <v>8141</v>
      </c>
      <c r="T5272" s="18" t="s">
        <v>11362</v>
      </c>
      <c r="U5272" s="18" t="s">
        <v>11363</v>
      </c>
      <c r="V5272" s="18"/>
      <c r="W5272" s="18" t="s">
        <v>48791</v>
      </c>
      <c r="X5272" s="18" t="s">
        <v>42</v>
      </c>
      <c r="Y5272" s="18" t="s">
        <v>36</v>
      </c>
      <c r="Z5272" s="18" t="s">
        <v>166</v>
      </c>
      <c r="AA5272" s="21" t="str">
        <f>HYPERLINK("https://www.ncbi.nlm.nih.gov/nuccore/X94164","NCBI Nucleotide")</f>
        <v>NCBI Nucleotide</v>
      </c>
    </row>
    <row r="5273" spans="1:27" x14ac:dyDescent="0.35">
      <c r="A5273">
        <v>1012254</v>
      </c>
      <c r="B5273">
        <v>5209</v>
      </c>
      <c r="C5273">
        <v>4</v>
      </c>
      <c r="D5273" s="17" t="s">
        <v>10507</v>
      </c>
      <c r="E5273" s="17"/>
      <c r="F5273" s="17" t="s">
        <v>10780</v>
      </c>
      <c r="G5273" s="17"/>
      <c r="H5273" s="17" t="s">
        <v>10781</v>
      </c>
      <c r="I5273" s="17"/>
      <c r="J5273" s="17" t="s">
        <v>10791</v>
      </c>
      <c r="K5273" s="17"/>
      <c r="L5273" s="17" t="s">
        <v>11236</v>
      </c>
      <c r="M5273" s="17"/>
      <c r="N5273" s="17" t="s">
        <v>11237</v>
      </c>
      <c r="O5273" s="17" t="s">
        <v>11238</v>
      </c>
      <c r="P5273" s="17" t="s">
        <v>11239</v>
      </c>
      <c r="Q5273" s="17"/>
      <c r="R5273" s="25" t="str">
        <f t="shared" si="3"/>
        <v>Alphapapillomavirus 3</v>
      </c>
      <c r="S5273" s="18" t="s">
        <v>8141</v>
      </c>
      <c r="T5273" s="18" t="s">
        <v>11352</v>
      </c>
      <c r="U5273" s="18" t="s">
        <v>11353</v>
      </c>
      <c r="V5273" s="18"/>
      <c r="W5273" s="18" t="s">
        <v>48792</v>
      </c>
      <c r="X5273" s="18" t="s">
        <v>42</v>
      </c>
      <c r="Y5273" s="18" t="s">
        <v>36</v>
      </c>
      <c r="Z5273" s="18" t="s">
        <v>166</v>
      </c>
      <c r="AA5273" s="21" t="str">
        <f>HYPERLINK("https://www.ncbi.nlm.nih.gov/nuccore/AJ620209","NCBI Nucleotide")</f>
        <v>NCBI Nucleotide</v>
      </c>
    </row>
    <row r="5274" spans="1:27" x14ac:dyDescent="0.35">
      <c r="A5274">
        <v>1012249</v>
      </c>
      <c r="B5274">
        <v>5209</v>
      </c>
      <c r="C5274">
        <v>5</v>
      </c>
      <c r="D5274" s="17" t="s">
        <v>10507</v>
      </c>
      <c r="E5274" s="17"/>
      <c r="F5274" s="17" t="s">
        <v>10780</v>
      </c>
      <c r="G5274" s="17"/>
      <c r="H5274" s="17" t="s">
        <v>10781</v>
      </c>
      <c r="I5274" s="17"/>
      <c r="J5274" s="17" t="s">
        <v>10791</v>
      </c>
      <c r="K5274" s="17"/>
      <c r="L5274" s="17" t="s">
        <v>11236</v>
      </c>
      <c r="M5274" s="17"/>
      <c r="N5274" s="17" t="s">
        <v>11237</v>
      </c>
      <c r="O5274" s="17" t="s">
        <v>11238</v>
      </c>
      <c r="P5274" s="17" t="s">
        <v>11239</v>
      </c>
      <c r="Q5274" s="17"/>
      <c r="R5274" s="25" t="str">
        <f t="shared" si="3"/>
        <v>Alphapapillomavirus 3</v>
      </c>
      <c r="S5274" s="18" t="s">
        <v>8141</v>
      </c>
      <c r="T5274" s="18" t="s">
        <v>11341</v>
      </c>
      <c r="U5274" s="18" t="s">
        <v>11342</v>
      </c>
      <c r="V5274" s="18"/>
      <c r="W5274" s="18" t="s">
        <v>48793</v>
      </c>
      <c r="X5274" s="18" t="s">
        <v>42</v>
      </c>
      <c r="Y5274" s="18" t="s">
        <v>36</v>
      </c>
      <c r="Z5274" s="18" t="s">
        <v>166</v>
      </c>
      <c r="AA5274" s="21" t="str">
        <f>HYPERLINK("https://www.ncbi.nlm.nih.gov/nuccore/AF151983","NCBI Nucleotide")</f>
        <v>NCBI Nucleotide</v>
      </c>
    </row>
    <row r="5275" spans="1:27" x14ac:dyDescent="0.35">
      <c r="A5275">
        <v>1012250</v>
      </c>
      <c r="B5275">
        <v>5209</v>
      </c>
      <c r="C5275">
        <v>6</v>
      </c>
      <c r="D5275" s="17" t="s">
        <v>10507</v>
      </c>
      <c r="E5275" s="17"/>
      <c r="F5275" s="17" t="s">
        <v>10780</v>
      </c>
      <c r="G5275" s="17"/>
      <c r="H5275" s="17" t="s">
        <v>10781</v>
      </c>
      <c r="I5275" s="17"/>
      <c r="J5275" s="17" t="s">
        <v>10791</v>
      </c>
      <c r="K5275" s="17"/>
      <c r="L5275" s="17" t="s">
        <v>11236</v>
      </c>
      <c r="M5275" s="17"/>
      <c r="N5275" s="17" t="s">
        <v>11237</v>
      </c>
      <c r="O5275" s="17" t="s">
        <v>11238</v>
      </c>
      <c r="P5275" s="17" t="s">
        <v>11239</v>
      </c>
      <c r="Q5275" s="17"/>
      <c r="R5275" s="25" t="str">
        <f t="shared" si="3"/>
        <v>Alphapapillomavirus 3</v>
      </c>
      <c r="S5275" s="18" t="s">
        <v>8141</v>
      </c>
      <c r="T5275" s="18" t="s">
        <v>11343</v>
      </c>
      <c r="U5275" s="18" t="s">
        <v>11344</v>
      </c>
      <c r="V5275" s="18" t="s">
        <v>11345</v>
      </c>
      <c r="W5275" s="18" t="s">
        <v>48794</v>
      </c>
      <c r="X5275" s="18" t="s">
        <v>42</v>
      </c>
      <c r="Y5275" s="18" t="s">
        <v>36</v>
      </c>
      <c r="Z5275" s="18" t="s">
        <v>166</v>
      </c>
      <c r="AA5275" s="21" t="str">
        <f>HYPERLINK("https://www.ncbi.nlm.nih.gov/nuccore/AF293960","NCBI Nucleotide")</f>
        <v>NCBI Nucleotide</v>
      </c>
    </row>
    <row r="5276" spans="1:27" x14ac:dyDescent="0.35">
      <c r="A5276">
        <v>1012251</v>
      </c>
      <c r="B5276">
        <v>5209</v>
      </c>
      <c r="C5276">
        <v>7</v>
      </c>
      <c r="D5276" s="17" t="s">
        <v>10507</v>
      </c>
      <c r="E5276" s="17"/>
      <c r="F5276" s="17" t="s">
        <v>10780</v>
      </c>
      <c r="G5276" s="17"/>
      <c r="H5276" s="17" t="s">
        <v>10781</v>
      </c>
      <c r="I5276" s="17"/>
      <c r="J5276" s="17" t="s">
        <v>10791</v>
      </c>
      <c r="K5276" s="17"/>
      <c r="L5276" s="17" t="s">
        <v>11236</v>
      </c>
      <c r="M5276" s="17"/>
      <c r="N5276" s="17" t="s">
        <v>11237</v>
      </c>
      <c r="O5276" s="17" t="s">
        <v>11238</v>
      </c>
      <c r="P5276" s="17" t="s">
        <v>11239</v>
      </c>
      <c r="Q5276" s="17"/>
      <c r="R5276" s="25" t="str">
        <f t="shared" si="3"/>
        <v>Alphapapillomavirus 3</v>
      </c>
      <c r="S5276" s="18" t="s">
        <v>8141</v>
      </c>
      <c r="T5276" s="18" t="s">
        <v>11346</v>
      </c>
      <c r="U5276" s="18" t="s">
        <v>11347</v>
      </c>
      <c r="V5276" s="18"/>
      <c r="W5276" s="18" t="s">
        <v>48795</v>
      </c>
      <c r="X5276" s="18" t="s">
        <v>42</v>
      </c>
      <c r="Y5276" s="18" t="s">
        <v>36</v>
      </c>
      <c r="Z5276" s="18" t="s">
        <v>166</v>
      </c>
      <c r="AA5276" s="21" t="str">
        <f>HYPERLINK("https://www.ncbi.nlm.nih.gov/nuccore/AF349909","NCBI Nucleotide")</f>
        <v>NCBI Nucleotide</v>
      </c>
    </row>
    <row r="5277" spans="1:27" x14ac:dyDescent="0.35">
      <c r="A5277">
        <v>1012253</v>
      </c>
      <c r="B5277">
        <v>5209</v>
      </c>
      <c r="C5277">
        <v>8</v>
      </c>
      <c r="D5277" s="17" t="s">
        <v>10507</v>
      </c>
      <c r="E5277" s="17"/>
      <c r="F5277" s="17" t="s">
        <v>10780</v>
      </c>
      <c r="G5277" s="17"/>
      <c r="H5277" s="17" t="s">
        <v>10781</v>
      </c>
      <c r="I5277" s="17"/>
      <c r="J5277" s="17" t="s">
        <v>10791</v>
      </c>
      <c r="K5277" s="17"/>
      <c r="L5277" s="17" t="s">
        <v>11236</v>
      </c>
      <c r="M5277" s="17"/>
      <c r="N5277" s="17" t="s">
        <v>11237</v>
      </c>
      <c r="O5277" s="17" t="s">
        <v>11238</v>
      </c>
      <c r="P5277" s="17" t="s">
        <v>11239</v>
      </c>
      <c r="Q5277" s="17"/>
      <c r="R5277" s="25" t="str">
        <f t="shared" si="3"/>
        <v>Alphapapillomavirus 3</v>
      </c>
      <c r="S5277" s="18" t="s">
        <v>8141</v>
      </c>
      <c r="T5277" s="18" t="s">
        <v>11350</v>
      </c>
      <c r="U5277" s="18" t="s">
        <v>11351</v>
      </c>
      <c r="V5277" s="18"/>
      <c r="W5277" s="18" t="s">
        <v>48796</v>
      </c>
      <c r="X5277" s="18" t="s">
        <v>42</v>
      </c>
      <c r="Y5277" s="18" t="s">
        <v>36</v>
      </c>
      <c r="Z5277" s="18" t="s">
        <v>166</v>
      </c>
      <c r="AA5277" s="21" t="str">
        <f>HYPERLINK("https://www.ncbi.nlm.nih.gov/nuccore/AJ400628","NCBI Nucleotide")</f>
        <v>NCBI Nucleotide</v>
      </c>
    </row>
    <row r="5278" spans="1:27" x14ac:dyDescent="0.35">
      <c r="A5278">
        <v>1012252</v>
      </c>
      <c r="B5278">
        <v>5209</v>
      </c>
      <c r="C5278">
        <v>9</v>
      </c>
      <c r="D5278" s="17" t="s">
        <v>10507</v>
      </c>
      <c r="E5278" s="17"/>
      <c r="F5278" s="17" t="s">
        <v>10780</v>
      </c>
      <c r="G5278" s="17"/>
      <c r="H5278" s="17" t="s">
        <v>10781</v>
      </c>
      <c r="I5278" s="17"/>
      <c r="J5278" s="17" t="s">
        <v>10791</v>
      </c>
      <c r="K5278" s="17"/>
      <c r="L5278" s="17" t="s">
        <v>11236</v>
      </c>
      <c r="M5278" s="17"/>
      <c r="N5278" s="17" t="s">
        <v>11237</v>
      </c>
      <c r="O5278" s="17" t="s">
        <v>11238</v>
      </c>
      <c r="P5278" s="17" t="s">
        <v>11239</v>
      </c>
      <c r="Q5278" s="17"/>
      <c r="R5278" s="25" t="str">
        <f t="shared" si="3"/>
        <v>Alphapapillomavirus 3</v>
      </c>
      <c r="S5278" s="18" t="s">
        <v>8141</v>
      </c>
      <c r="T5278" s="18" t="s">
        <v>11348</v>
      </c>
      <c r="U5278" s="18" t="s">
        <v>11349</v>
      </c>
      <c r="V5278" s="18"/>
      <c r="W5278" s="18" t="s">
        <v>48797</v>
      </c>
      <c r="X5278" s="18" t="s">
        <v>42</v>
      </c>
      <c r="Y5278" s="18" t="s">
        <v>36</v>
      </c>
      <c r="Z5278" s="18" t="s">
        <v>166</v>
      </c>
      <c r="AA5278" s="21" t="str">
        <f>HYPERLINK("https://www.ncbi.nlm.nih.gov/nuccore/AF436128","NCBI Nucleotide")</f>
        <v>NCBI Nucleotide</v>
      </c>
    </row>
    <row r="5279" spans="1:27" x14ac:dyDescent="0.35">
      <c r="A5279">
        <v>1012256</v>
      </c>
      <c r="B5279">
        <v>5209</v>
      </c>
      <c r="C5279">
        <v>10</v>
      </c>
      <c r="D5279" s="17" t="s">
        <v>10507</v>
      </c>
      <c r="E5279" s="17"/>
      <c r="F5279" s="17" t="s">
        <v>10780</v>
      </c>
      <c r="G5279" s="17"/>
      <c r="H5279" s="17" t="s">
        <v>10781</v>
      </c>
      <c r="I5279" s="17"/>
      <c r="J5279" s="17" t="s">
        <v>10791</v>
      </c>
      <c r="K5279" s="17"/>
      <c r="L5279" s="17" t="s">
        <v>11236</v>
      </c>
      <c r="M5279" s="17"/>
      <c r="N5279" s="17" t="s">
        <v>11237</v>
      </c>
      <c r="O5279" s="17" t="s">
        <v>11238</v>
      </c>
      <c r="P5279" s="17" t="s">
        <v>11239</v>
      </c>
      <c r="Q5279" s="17"/>
      <c r="R5279" s="25" t="str">
        <f t="shared" si="3"/>
        <v>Alphapapillomavirus 3</v>
      </c>
      <c r="S5279" s="18" t="s">
        <v>8141</v>
      </c>
      <c r="T5279" s="18" t="s">
        <v>11357</v>
      </c>
      <c r="U5279" s="18" t="s">
        <v>11358</v>
      </c>
      <c r="V5279" s="18" t="s">
        <v>11359</v>
      </c>
      <c r="W5279" s="18" t="s">
        <v>48798</v>
      </c>
      <c r="X5279" s="18" t="s">
        <v>42</v>
      </c>
      <c r="Y5279" s="18" t="s">
        <v>36</v>
      </c>
      <c r="Z5279" s="18" t="s">
        <v>166</v>
      </c>
      <c r="AA5279" s="21" t="str">
        <f>HYPERLINK("https://www.ncbi.nlm.nih.gov/nuccore/DQ080083","NCBI Nucleotide")</f>
        <v>NCBI Nucleotide</v>
      </c>
    </row>
    <row r="5280" spans="1:27" x14ac:dyDescent="0.35">
      <c r="A5280">
        <v>1012257</v>
      </c>
      <c r="B5280">
        <v>5209</v>
      </c>
      <c r="C5280">
        <v>11</v>
      </c>
      <c r="D5280" s="17" t="s">
        <v>10507</v>
      </c>
      <c r="E5280" s="17"/>
      <c r="F5280" s="17" t="s">
        <v>10780</v>
      </c>
      <c r="G5280" s="17"/>
      <c r="H5280" s="17" t="s">
        <v>10781</v>
      </c>
      <c r="I5280" s="17"/>
      <c r="J5280" s="17" t="s">
        <v>10791</v>
      </c>
      <c r="K5280" s="17"/>
      <c r="L5280" s="17" t="s">
        <v>11236</v>
      </c>
      <c r="M5280" s="17"/>
      <c r="N5280" s="17" t="s">
        <v>11237</v>
      </c>
      <c r="O5280" s="17" t="s">
        <v>11238</v>
      </c>
      <c r="P5280" s="17" t="s">
        <v>11239</v>
      </c>
      <c r="Q5280" s="17"/>
      <c r="R5280" s="25" t="str">
        <f t="shared" si="3"/>
        <v>Alphapapillomavirus 3</v>
      </c>
      <c r="S5280" s="18" t="s">
        <v>8141</v>
      </c>
      <c r="T5280" s="18" t="s">
        <v>11360</v>
      </c>
      <c r="U5280" s="18" t="s">
        <v>11361</v>
      </c>
      <c r="V5280" s="18"/>
      <c r="W5280" s="18" t="s">
        <v>48799</v>
      </c>
      <c r="X5280" s="18" t="s">
        <v>42</v>
      </c>
      <c r="Y5280" s="18" t="s">
        <v>36</v>
      </c>
      <c r="Z5280" s="18" t="s">
        <v>166</v>
      </c>
      <c r="AA5280" s="21" t="str">
        <f>HYPERLINK("https://www.ncbi.nlm.nih.gov/nuccore/GQ244463","NCBI Nucleotide")</f>
        <v>NCBI Nucleotide</v>
      </c>
    </row>
    <row r="5281" spans="1:27" x14ac:dyDescent="0.35">
      <c r="A5281">
        <v>1006980</v>
      </c>
      <c r="B5281">
        <v>5210</v>
      </c>
      <c r="C5281">
        <v>1</v>
      </c>
      <c r="D5281" s="17" t="s">
        <v>10507</v>
      </c>
      <c r="E5281" s="17"/>
      <c r="F5281" s="17" t="s">
        <v>10780</v>
      </c>
      <c r="G5281" s="17"/>
      <c r="H5281" s="17" t="s">
        <v>10781</v>
      </c>
      <c r="I5281" s="17"/>
      <c r="J5281" s="17" t="s">
        <v>10791</v>
      </c>
      <c r="K5281" s="17"/>
      <c r="L5281" s="17" t="s">
        <v>11236</v>
      </c>
      <c r="M5281" s="17"/>
      <c r="N5281" s="17" t="s">
        <v>11237</v>
      </c>
      <c r="O5281" s="17" t="s">
        <v>11238</v>
      </c>
      <c r="P5281" s="17" t="s">
        <v>11239</v>
      </c>
      <c r="Q5281" s="17"/>
      <c r="R5281" s="25" t="str">
        <f>HYPERLINK("https://ictv.global/taxonomy/taxondetails?taxnode_id=202303977","Alphapapillomavirus 4")</f>
        <v>Alphapapillomavirus 4</v>
      </c>
      <c r="S5281" s="18" t="s">
        <v>30</v>
      </c>
      <c r="T5281" s="18" t="s">
        <v>11364</v>
      </c>
      <c r="U5281" s="18" t="s">
        <v>11365</v>
      </c>
      <c r="V5281" s="18"/>
      <c r="W5281" s="18" t="s">
        <v>11366</v>
      </c>
      <c r="X5281" s="18" t="s">
        <v>42</v>
      </c>
      <c r="Y5281" s="18" t="s">
        <v>36</v>
      </c>
      <c r="Z5281" s="18" t="s">
        <v>166</v>
      </c>
      <c r="AA5281" s="21" t="str">
        <f>HYPERLINK("https://www.ncbi.nlm.nih.gov/nuccore/X55964","NCBI Nucleotide")</f>
        <v>NCBI Nucleotide</v>
      </c>
    </row>
    <row r="5282" spans="1:27" x14ac:dyDescent="0.35">
      <c r="A5282">
        <v>1012260</v>
      </c>
      <c r="B5282">
        <v>5210</v>
      </c>
      <c r="C5282">
        <v>2</v>
      </c>
      <c r="D5282" s="17" t="s">
        <v>10507</v>
      </c>
      <c r="E5282" s="17"/>
      <c r="F5282" s="17" t="s">
        <v>10780</v>
      </c>
      <c r="G5282" s="17"/>
      <c r="H5282" s="17" t="s">
        <v>10781</v>
      </c>
      <c r="I5282" s="17"/>
      <c r="J5282" s="17" t="s">
        <v>10791</v>
      </c>
      <c r="K5282" s="17"/>
      <c r="L5282" s="17" t="s">
        <v>11236</v>
      </c>
      <c r="M5282" s="17"/>
      <c r="N5282" s="17" t="s">
        <v>11237</v>
      </c>
      <c r="O5282" s="17" t="s">
        <v>11238</v>
      </c>
      <c r="P5282" s="17" t="s">
        <v>11239</v>
      </c>
      <c r="Q5282" s="17"/>
      <c r="R5282" s="25" t="str">
        <f>HYPERLINK("https://ictv.global/taxonomy/taxondetails?taxnode_id=202303977","Alphapapillomavirus 4")</f>
        <v>Alphapapillomavirus 4</v>
      </c>
      <c r="S5282" s="18" t="s">
        <v>8141</v>
      </c>
      <c r="T5282" s="18" t="s">
        <v>11369</v>
      </c>
      <c r="U5282" s="18" t="s">
        <v>11370</v>
      </c>
      <c r="V5282" s="18"/>
      <c r="W5282" s="18" t="s">
        <v>48800</v>
      </c>
      <c r="X5282" s="18" t="s">
        <v>42</v>
      </c>
      <c r="Y5282" s="18" t="s">
        <v>36</v>
      </c>
      <c r="Z5282" s="18" t="s">
        <v>166</v>
      </c>
      <c r="AA5282" s="21" t="str">
        <f>HYPERLINK("https://www.ncbi.nlm.nih.gov/nuccore/X74473","NCBI Nucleotide")</f>
        <v>NCBI Nucleotide</v>
      </c>
    </row>
    <row r="5283" spans="1:27" x14ac:dyDescent="0.35">
      <c r="A5283">
        <v>1012259</v>
      </c>
      <c r="B5283">
        <v>5210</v>
      </c>
      <c r="C5283">
        <v>3</v>
      </c>
      <c r="D5283" s="17" t="s">
        <v>10507</v>
      </c>
      <c r="E5283" s="17"/>
      <c r="F5283" s="17" t="s">
        <v>10780</v>
      </c>
      <c r="G5283" s="17"/>
      <c r="H5283" s="17" t="s">
        <v>10781</v>
      </c>
      <c r="I5283" s="17"/>
      <c r="J5283" s="17" t="s">
        <v>10791</v>
      </c>
      <c r="K5283" s="17"/>
      <c r="L5283" s="17" t="s">
        <v>11236</v>
      </c>
      <c r="M5283" s="17"/>
      <c r="N5283" s="17" t="s">
        <v>11237</v>
      </c>
      <c r="O5283" s="17" t="s">
        <v>11238</v>
      </c>
      <c r="P5283" s="17" t="s">
        <v>11239</v>
      </c>
      <c r="Q5283" s="17"/>
      <c r="R5283" s="25" t="str">
        <f>HYPERLINK("https://ictv.global/taxonomy/taxondetails?taxnode_id=202303977","Alphapapillomavirus 4")</f>
        <v>Alphapapillomavirus 4</v>
      </c>
      <c r="S5283" s="18" t="s">
        <v>8141</v>
      </c>
      <c r="T5283" s="18" t="s">
        <v>11367</v>
      </c>
      <c r="U5283" s="18" t="s">
        <v>11368</v>
      </c>
      <c r="V5283" s="18"/>
      <c r="W5283" s="18" t="s">
        <v>48801</v>
      </c>
      <c r="X5283" s="18" t="s">
        <v>42</v>
      </c>
      <c r="Y5283" s="18" t="s">
        <v>36</v>
      </c>
      <c r="Z5283" s="18" t="s">
        <v>166</v>
      </c>
      <c r="AA5283" s="21" t="str">
        <f>HYPERLINK("https://www.ncbi.nlm.nih.gov/nuccore/X55965","NCBI Nucleotide")</f>
        <v>NCBI Nucleotide</v>
      </c>
    </row>
    <row r="5284" spans="1:27" x14ac:dyDescent="0.35">
      <c r="A5284">
        <v>1006981</v>
      </c>
      <c r="B5284">
        <v>5211</v>
      </c>
      <c r="C5284">
        <v>1</v>
      </c>
      <c r="D5284" s="17" t="s">
        <v>10507</v>
      </c>
      <c r="E5284" s="17"/>
      <c r="F5284" s="17" t="s">
        <v>10780</v>
      </c>
      <c r="G5284" s="17"/>
      <c r="H5284" s="17" t="s">
        <v>10781</v>
      </c>
      <c r="I5284" s="17"/>
      <c r="J5284" s="17" t="s">
        <v>10791</v>
      </c>
      <c r="K5284" s="17"/>
      <c r="L5284" s="17" t="s">
        <v>11236</v>
      </c>
      <c r="M5284" s="17"/>
      <c r="N5284" s="17" t="s">
        <v>11237</v>
      </c>
      <c r="O5284" s="17" t="s">
        <v>11238</v>
      </c>
      <c r="P5284" s="17" t="s">
        <v>11239</v>
      </c>
      <c r="Q5284" s="17"/>
      <c r="R5284" s="25" t="str">
        <f>HYPERLINK("https://ictv.global/taxonomy/taxondetails?taxnode_id=202303978","Alphapapillomavirus 5")</f>
        <v>Alphapapillomavirus 5</v>
      </c>
      <c r="S5284" s="18" t="s">
        <v>30</v>
      </c>
      <c r="T5284" s="18" t="s">
        <v>11371</v>
      </c>
      <c r="U5284" s="18" t="s">
        <v>11372</v>
      </c>
      <c r="V5284" s="18"/>
      <c r="W5284" s="18" t="s">
        <v>11373</v>
      </c>
      <c r="X5284" s="18" t="s">
        <v>42</v>
      </c>
      <c r="Y5284" s="18" t="s">
        <v>36</v>
      </c>
      <c r="Z5284" s="18" t="s">
        <v>166</v>
      </c>
      <c r="AA5284" s="21" t="str">
        <f>HYPERLINK("https://www.ncbi.nlm.nih.gov/nuccore/X74472","NCBI Nucleotide")</f>
        <v>NCBI Nucleotide</v>
      </c>
    </row>
    <row r="5285" spans="1:27" x14ac:dyDescent="0.35">
      <c r="A5285">
        <v>1012263</v>
      </c>
      <c r="B5285">
        <v>5211</v>
      </c>
      <c r="C5285">
        <v>2</v>
      </c>
      <c r="D5285" s="17" t="s">
        <v>10507</v>
      </c>
      <c r="E5285" s="17"/>
      <c r="F5285" s="17" t="s">
        <v>10780</v>
      </c>
      <c r="G5285" s="17"/>
      <c r="H5285" s="17" t="s">
        <v>10781</v>
      </c>
      <c r="I5285" s="17"/>
      <c r="J5285" s="17" t="s">
        <v>10791</v>
      </c>
      <c r="K5285" s="17"/>
      <c r="L5285" s="17" t="s">
        <v>11236</v>
      </c>
      <c r="M5285" s="17"/>
      <c r="N5285" s="17" t="s">
        <v>11237</v>
      </c>
      <c r="O5285" s="17" t="s">
        <v>11238</v>
      </c>
      <c r="P5285" s="17" t="s">
        <v>11239</v>
      </c>
      <c r="Q5285" s="17"/>
      <c r="R5285" s="25" t="str">
        <f>HYPERLINK("https://ictv.global/taxonomy/taxondetails?taxnode_id=202303978","Alphapapillomavirus 5")</f>
        <v>Alphapapillomavirus 5</v>
      </c>
      <c r="S5285" s="18" t="s">
        <v>8141</v>
      </c>
      <c r="T5285" s="18" t="s">
        <v>11378</v>
      </c>
      <c r="U5285" s="18" t="s">
        <v>11379</v>
      </c>
      <c r="V5285" s="18"/>
      <c r="W5285" s="18" t="s">
        <v>48802</v>
      </c>
      <c r="X5285" s="18" t="s">
        <v>42</v>
      </c>
      <c r="Y5285" s="18" t="s">
        <v>36</v>
      </c>
      <c r="Z5285" s="18" t="s">
        <v>166</v>
      </c>
      <c r="AA5285" s="21" t="str">
        <f>HYPERLINK("https://www.ncbi.nlm.nih.gov/nuccore/M62877","NCBI Nucleotide")</f>
        <v>NCBI Nucleotide</v>
      </c>
    </row>
    <row r="5286" spans="1:27" x14ac:dyDescent="0.35">
      <c r="A5286">
        <v>1012261</v>
      </c>
      <c r="B5286">
        <v>5211</v>
      </c>
      <c r="C5286">
        <v>3</v>
      </c>
      <c r="D5286" s="17" t="s">
        <v>10507</v>
      </c>
      <c r="E5286" s="17"/>
      <c r="F5286" s="17" t="s">
        <v>10780</v>
      </c>
      <c r="G5286" s="17"/>
      <c r="H5286" s="17" t="s">
        <v>10781</v>
      </c>
      <c r="I5286" s="17"/>
      <c r="J5286" s="17" t="s">
        <v>10791</v>
      </c>
      <c r="K5286" s="17"/>
      <c r="L5286" s="17" t="s">
        <v>11236</v>
      </c>
      <c r="M5286" s="17"/>
      <c r="N5286" s="17" t="s">
        <v>11237</v>
      </c>
      <c r="O5286" s="17" t="s">
        <v>11238</v>
      </c>
      <c r="P5286" s="17" t="s">
        <v>11239</v>
      </c>
      <c r="Q5286" s="17"/>
      <c r="R5286" s="25" t="str">
        <f>HYPERLINK("https://ictv.global/taxonomy/taxondetails?taxnode_id=202303978","Alphapapillomavirus 5")</f>
        <v>Alphapapillomavirus 5</v>
      </c>
      <c r="S5286" s="18" t="s">
        <v>8141</v>
      </c>
      <c r="T5286" s="18" t="s">
        <v>11374</v>
      </c>
      <c r="U5286" s="18" t="s">
        <v>11375</v>
      </c>
      <c r="V5286" s="18"/>
      <c r="W5286" s="18" t="s">
        <v>48803</v>
      </c>
      <c r="X5286" s="18" t="s">
        <v>42</v>
      </c>
      <c r="Y5286" s="18" t="s">
        <v>36</v>
      </c>
      <c r="Z5286" s="18" t="s">
        <v>166</v>
      </c>
      <c r="AA5286" s="21" t="str">
        <f>HYPERLINK("https://www.ncbi.nlm.nih.gov/nuccore/AB027020","NCBI Nucleotide")</f>
        <v>NCBI Nucleotide</v>
      </c>
    </row>
    <row r="5287" spans="1:27" x14ac:dyDescent="0.35">
      <c r="A5287">
        <v>1012262</v>
      </c>
      <c r="B5287">
        <v>5211</v>
      </c>
      <c r="C5287">
        <v>4</v>
      </c>
      <c r="D5287" s="17" t="s">
        <v>10507</v>
      </c>
      <c r="E5287" s="17"/>
      <c r="F5287" s="17" t="s">
        <v>10780</v>
      </c>
      <c r="G5287" s="17"/>
      <c r="H5287" s="17" t="s">
        <v>10781</v>
      </c>
      <c r="I5287" s="17"/>
      <c r="J5287" s="17" t="s">
        <v>10791</v>
      </c>
      <c r="K5287" s="17"/>
      <c r="L5287" s="17" t="s">
        <v>11236</v>
      </c>
      <c r="M5287" s="17"/>
      <c r="N5287" s="17" t="s">
        <v>11237</v>
      </c>
      <c r="O5287" s="17" t="s">
        <v>11238</v>
      </c>
      <c r="P5287" s="17" t="s">
        <v>11239</v>
      </c>
      <c r="Q5287" s="17"/>
      <c r="R5287" s="25" t="str">
        <f>HYPERLINK("https://ictv.global/taxonomy/taxondetails?taxnode_id=202303978","Alphapapillomavirus 5")</f>
        <v>Alphapapillomavirus 5</v>
      </c>
      <c r="S5287" s="18" t="s">
        <v>8141</v>
      </c>
      <c r="T5287" s="18" t="s">
        <v>11376</v>
      </c>
      <c r="U5287" s="18" t="s">
        <v>11377</v>
      </c>
      <c r="V5287" s="18"/>
      <c r="W5287" s="18" t="s">
        <v>48804</v>
      </c>
      <c r="X5287" s="18" t="s">
        <v>42</v>
      </c>
      <c r="Y5287" s="18" t="s">
        <v>36</v>
      </c>
      <c r="Z5287" s="18" t="s">
        <v>166</v>
      </c>
      <c r="AA5287" s="21" t="str">
        <f>HYPERLINK("https://www.ncbi.nlm.nih.gov/nuccore/AB027021","NCBI Nucleotide")</f>
        <v>NCBI Nucleotide</v>
      </c>
    </row>
    <row r="5288" spans="1:27" x14ac:dyDescent="0.35">
      <c r="A5288">
        <v>1006982</v>
      </c>
      <c r="B5288">
        <v>5212</v>
      </c>
      <c r="C5288">
        <v>1</v>
      </c>
      <c r="D5288" s="17" t="s">
        <v>10507</v>
      </c>
      <c r="E5288" s="17"/>
      <c r="F5288" s="17" t="s">
        <v>10780</v>
      </c>
      <c r="G5288" s="17"/>
      <c r="H5288" s="17" t="s">
        <v>10781</v>
      </c>
      <c r="I5288" s="17"/>
      <c r="J5288" s="17" t="s">
        <v>10791</v>
      </c>
      <c r="K5288" s="17"/>
      <c r="L5288" s="17" t="s">
        <v>11236</v>
      </c>
      <c r="M5288" s="17"/>
      <c r="N5288" s="17" t="s">
        <v>11237</v>
      </c>
      <c r="O5288" s="17" t="s">
        <v>11238</v>
      </c>
      <c r="P5288" s="17" t="s">
        <v>11239</v>
      </c>
      <c r="Q5288" s="17"/>
      <c r="R5288" s="25" t="str">
        <f>HYPERLINK("https://ictv.global/taxonomy/taxondetails?taxnode_id=202303979","Alphapapillomavirus 6")</f>
        <v>Alphapapillomavirus 6</v>
      </c>
      <c r="S5288" s="18" t="s">
        <v>30</v>
      </c>
      <c r="T5288" s="18" t="s">
        <v>11380</v>
      </c>
      <c r="U5288" s="18" t="s">
        <v>11381</v>
      </c>
      <c r="V5288" s="18"/>
      <c r="W5288" s="18" t="s">
        <v>11382</v>
      </c>
      <c r="X5288" s="18" t="s">
        <v>42</v>
      </c>
      <c r="Y5288" s="18" t="s">
        <v>36</v>
      </c>
      <c r="Z5288" s="18" t="s">
        <v>166</v>
      </c>
      <c r="AA5288" s="21" t="str">
        <f>HYPERLINK("https://www.ncbi.nlm.nih.gov/nuccore/X74474","NCBI Nucleotide")</f>
        <v>NCBI Nucleotide</v>
      </c>
    </row>
    <row r="5289" spans="1:27" x14ac:dyDescent="0.35">
      <c r="A5289">
        <v>1012265</v>
      </c>
      <c r="B5289">
        <v>5212</v>
      </c>
      <c r="C5289">
        <v>2</v>
      </c>
      <c r="D5289" s="17" t="s">
        <v>10507</v>
      </c>
      <c r="E5289" s="17"/>
      <c r="F5289" s="17" t="s">
        <v>10780</v>
      </c>
      <c r="G5289" s="17"/>
      <c r="H5289" s="17" t="s">
        <v>10781</v>
      </c>
      <c r="I5289" s="17"/>
      <c r="J5289" s="17" t="s">
        <v>10791</v>
      </c>
      <c r="K5289" s="17"/>
      <c r="L5289" s="17" t="s">
        <v>11236</v>
      </c>
      <c r="M5289" s="17"/>
      <c r="N5289" s="17" t="s">
        <v>11237</v>
      </c>
      <c r="O5289" s="17" t="s">
        <v>11238</v>
      </c>
      <c r="P5289" s="17" t="s">
        <v>11239</v>
      </c>
      <c r="Q5289" s="17"/>
      <c r="R5289" s="25" t="str">
        <f>HYPERLINK("https://ictv.global/taxonomy/taxondetails?taxnode_id=202303979","Alphapapillomavirus 6")</f>
        <v>Alphapapillomavirus 6</v>
      </c>
      <c r="S5289" s="18" t="s">
        <v>8141</v>
      </c>
      <c r="T5289" s="18" t="s">
        <v>11385</v>
      </c>
      <c r="U5289" s="18" t="s">
        <v>11386</v>
      </c>
      <c r="V5289" s="18"/>
      <c r="W5289" s="18" t="s">
        <v>48805</v>
      </c>
      <c r="X5289" s="18" t="s">
        <v>42</v>
      </c>
      <c r="Y5289" s="18" t="s">
        <v>36</v>
      </c>
      <c r="Z5289" s="18" t="s">
        <v>166</v>
      </c>
      <c r="AA5289" s="21" t="str">
        <f>HYPERLINK("https://www.ncbi.nlm.nih.gov/nuccore/X74482","NCBI Nucleotide")</f>
        <v>NCBI Nucleotide</v>
      </c>
    </row>
    <row r="5290" spans="1:27" x14ac:dyDescent="0.35">
      <c r="A5290">
        <v>1012266</v>
      </c>
      <c r="B5290">
        <v>5212</v>
      </c>
      <c r="C5290">
        <v>3</v>
      </c>
      <c r="D5290" s="17" t="s">
        <v>10507</v>
      </c>
      <c r="E5290" s="17"/>
      <c r="F5290" s="17" t="s">
        <v>10780</v>
      </c>
      <c r="G5290" s="17"/>
      <c r="H5290" s="17" t="s">
        <v>10781</v>
      </c>
      <c r="I5290" s="17"/>
      <c r="J5290" s="17" t="s">
        <v>10791</v>
      </c>
      <c r="K5290" s="17"/>
      <c r="L5290" s="17" t="s">
        <v>11236</v>
      </c>
      <c r="M5290" s="17"/>
      <c r="N5290" s="17" t="s">
        <v>11237</v>
      </c>
      <c r="O5290" s="17" t="s">
        <v>11238</v>
      </c>
      <c r="P5290" s="17" t="s">
        <v>11239</v>
      </c>
      <c r="Q5290" s="17"/>
      <c r="R5290" s="25" t="str">
        <f>HYPERLINK("https://ictv.global/taxonomy/taxondetails?taxnode_id=202303979","Alphapapillomavirus 6")</f>
        <v>Alphapapillomavirus 6</v>
      </c>
      <c r="S5290" s="18" t="s">
        <v>8141</v>
      </c>
      <c r="T5290" s="18" t="s">
        <v>11387</v>
      </c>
      <c r="U5290" s="18" t="s">
        <v>11388</v>
      </c>
      <c r="V5290" s="18"/>
      <c r="W5290" s="18" t="s">
        <v>48806</v>
      </c>
      <c r="X5290" s="18" t="s">
        <v>42</v>
      </c>
      <c r="Y5290" s="18" t="s">
        <v>36</v>
      </c>
      <c r="Z5290" s="18" t="s">
        <v>166</v>
      </c>
      <c r="AA5290" s="21" t="str">
        <f>HYPERLINK("https://www.ncbi.nlm.nih.gov/nuccore/X74483","NCBI Nucleotide")</f>
        <v>NCBI Nucleotide</v>
      </c>
    </row>
    <row r="5291" spans="1:27" x14ac:dyDescent="0.35">
      <c r="A5291">
        <v>1012264</v>
      </c>
      <c r="B5291">
        <v>5212</v>
      </c>
      <c r="C5291">
        <v>4</v>
      </c>
      <c r="D5291" s="17" t="s">
        <v>10507</v>
      </c>
      <c r="E5291" s="17"/>
      <c r="F5291" s="17" t="s">
        <v>10780</v>
      </c>
      <c r="G5291" s="17"/>
      <c r="H5291" s="17" t="s">
        <v>10781</v>
      </c>
      <c r="I5291" s="17"/>
      <c r="J5291" s="17" t="s">
        <v>10791</v>
      </c>
      <c r="K5291" s="17"/>
      <c r="L5291" s="17" t="s">
        <v>11236</v>
      </c>
      <c r="M5291" s="17"/>
      <c r="N5291" s="17" t="s">
        <v>11237</v>
      </c>
      <c r="O5291" s="17" t="s">
        <v>11238</v>
      </c>
      <c r="P5291" s="17" t="s">
        <v>11239</v>
      </c>
      <c r="Q5291" s="17"/>
      <c r="R5291" s="25" t="str">
        <f>HYPERLINK("https://ictv.global/taxonomy/taxondetails?taxnode_id=202303979","Alphapapillomavirus 6")</f>
        <v>Alphapapillomavirus 6</v>
      </c>
      <c r="S5291" s="18" t="s">
        <v>8141</v>
      </c>
      <c r="T5291" s="18" t="s">
        <v>11383</v>
      </c>
      <c r="U5291" s="18" t="s">
        <v>11384</v>
      </c>
      <c r="V5291" s="18"/>
      <c r="W5291" s="18" t="s">
        <v>48807</v>
      </c>
      <c r="X5291" s="18" t="s">
        <v>42</v>
      </c>
      <c r="Y5291" s="18" t="s">
        <v>36</v>
      </c>
      <c r="Z5291" s="18" t="s">
        <v>166</v>
      </c>
      <c r="AA5291" s="21" t="str">
        <f>HYPERLINK("https://www.ncbi.nlm.nih.gov/nuccore/U31794","NCBI Nucleotide")</f>
        <v>NCBI Nucleotide</v>
      </c>
    </row>
    <row r="5292" spans="1:27" x14ac:dyDescent="0.35">
      <c r="A5292">
        <v>1006983</v>
      </c>
      <c r="B5292">
        <v>5213</v>
      </c>
      <c r="C5292">
        <v>1</v>
      </c>
      <c r="D5292" s="17" t="s">
        <v>10507</v>
      </c>
      <c r="E5292" s="17"/>
      <c r="F5292" s="17" t="s">
        <v>10780</v>
      </c>
      <c r="G5292" s="17"/>
      <c r="H5292" s="17" t="s">
        <v>10781</v>
      </c>
      <c r="I5292" s="17"/>
      <c r="J5292" s="17" t="s">
        <v>10791</v>
      </c>
      <c r="K5292" s="17"/>
      <c r="L5292" s="17" t="s">
        <v>11236</v>
      </c>
      <c r="M5292" s="17"/>
      <c r="N5292" s="17" t="s">
        <v>11237</v>
      </c>
      <c r="O5292" s="17" t="s">
        <v>11238</v>
      </c>
      <c r="P5292" s="17" t="s">
        <v>11239</v>
      </c>
      <c r="Q5292" s="17"/>
      <c r="R5292" s="25" t="str">
        <f t="shared" ref="R5292:R5299" si="4">HYPERLINK("https://ictv.global/taxonomy/taxondetails?taxnode_id=202303980","Alphapapillomavirus 7")</f>
        <v>Alphapapillomavirus 7</v>
      </c>
      <c r="S5292" s="18" t="s">
        <v>30</v>
      </c>
      <c r="T5292" s="18" t="s">
        <v>11389</v>
      </c>
      <c r="U5292" s="18" t="s">
        <v>11390</v>
      </c>
      <c r="V5292" s="18"/>
      <c r="W5292" s="18" t="s">
        <v>11391</v>
      </c>
      <c r="X5292" s="18" t="s">
        <v>42</v>
      </c>
      <c r="Y5292" s="18" t="s">
        <v>36</v>
      </c>
      <c r="Z5292" s="18" t="s">
        <v>166</v>
      </c>
      <c r="AA5292" s="21" t="str">
        <f>HYPERLINK("https://www.ncbi.nlm.nih.gov/nuccore/X05015","NCBI Nucleotide")</f>
        <v>NCBI Nucleotide</v>
      </c>
    </row>
    <row r="5293" spans="1:27" x14ac:dyDescent="0.35">
      <c r="A5293">
        <v>1012270</v>
      </c>
      <c r="B5293">
        <v>5213</v>
      </c>
      <c r="C5293">
        <v>2</v>
      </c>
      <c r="D5293" s="17" t="s">
        <v>10507</v>
      </c>
      <c r="E5293" s="17"/>
      <c r="F5293" s="17" t="s">
        <v>10780</v>
      </c>
      <c r="G5293" s="17"/>
      <c r="H5293" s="17" t="s">
        <v>10781</v>
      </c>
      <c r="I5293" s="17"/>
      <c r="J5293" s="17" t="s">
        <v>10791</v>
      </c>
      <c r="K5293" s="17"/>
      <c r="L5293" s="17" t="s">
        <v>11236</v>
      </c>
      <c r="M5293" s="17"/>
      <c r="N5293" s="17" t="s">
        <v>11237</v>
      </c>
      <c r="O5293" s="17" t="s">
        <v>11238</v>
      </c>
      <c r="P5293" s="17" t="s">
        <v>11239</v>
      </c>
      <c r="Q5293" s="17"/>
      <c r="R5293" s="25" t="str">
        <f t="shared" si="4"/>
        <v>Alphapapillomavirus 7</v>
      </c>
      <c r="S5293" s="18" t="s">
        <v>8141</v>
      </c>
      <c r="T5293" s="18" t="s">
        <v>11400</v>
      </c>
      <c r="U5293" s="18" t="s">
        <v>11401</v>
      </c>
      <c r="V5293" s="18"/>
      <c r="W5293" s="18" t="s">
        <v>48808</v>
      </c>
      <c r="X5293" s="18" t="s">
        <v>42</v>
      </c>
      <c r="Y5293" s="18" t="s">
        <v>36</v>
      </c>
      <c r="Z5293" s="18" t="s">
        <v>166</v>
      </c>
      <c r="AA5293" s="21" t="str">
        <f>HYPERLINK("https://www.ncbi.nlm.nih.gov/nuccore/M62849","NCBI Nucleotide")</f>
        <v>NCBI Nucleotide</v>
      </c>
    </row>
    <row r="5294" spans="1:27" x14ac:dyDescent="0.35">
      <c r="A5294">
        <v>1012272</v>
      </c>
      <c r="B5294">
        <v>5213</v>
      </c>
      <c r="C5294">
        <v>3</v>
      </c>
      <c r="D5294" s="17" t="s">
        <v>10507</v>
      </c>
      <c r="E5294" s="17"/>
      <c r="F5294" s="17" t="s">
        <v>10780</v>
      </c>
      <c r="G5294" s="17"/>
      <c r="H5294" s="17" t="s">
        <v>10781</v>
      </c>
      <c r="I5294" s="17"/>
      <c r="J5294" s="17" t="s">
        <v>10791</v>
      </c>
      <c r="K5294" s="17"/>
      <c r="L5294" s="17" t="s">
        <v>11236</v>
      </c>
      <c r="M5294" s="17"/>
      <c r="N5294" s="17" t="s">
        <v>11237</v>
      </c>
      <c r="O5294" s="17" t="s">
        <v>11238</v>
      </c>
      <c r="P5294" s="17" t="s">
        <v>11239</v>
      </c>
      <c r="Q5294" s="17"/>
      <c r="R5294" s="25" t="str">
        <f t="shared" si="4"/>
        <v>Alphapapillomavirus 7</v>
      </c>
      <c r="S5294" s="18" t="s">
        <v>8141</v>
      </c>
      <c r="T5294" s="18" t="s">
        <v>11404</v>
      </c>
      <c r="U5294" s="18" t="s">
        <v>11405</v>
      </c>
      <c r="V5294" s="18"/>
      <c r="W5294" s="18" t="s">
        <v>48809</v>
      </c>
      <c r="X5294" s="18" t="s">
        <v>42</v>
      </c>
      <c r="Y5294" s="18" t="s">
        <v>36</v>
      </c>
      <c r="Z5294" s="18" t="s">
        <v>166</v>
      </c>
      <c r="AA5294" s="21" t="str">
        <f>HYPERLINK("https://www.ncbi.nlm.nih.gov/nuccore/X74479","NCBI Nucleotide")</f>
        <v>NCBI Nucleotide</v>
      </c>
    </row>
    <row r="5295" spans="1:27" x14ac:dyDescent="0.35">
      <c r="A5295">
        <v>1012273</v>
      </c>
      <c r="B5295">
        <v>5213</v>
      </c>
      <c r="C5295">
        <v>4</v>
      </c>
      <c r="D5295" s="17" t="s">
        <v>10507</v>
      </c>
      <c r="E5295" s="17"/>
      <c r="F5295" s="17" t="s">
        <v>10780</v>
      </c>
      <c r="G5295" s="17"/>
      <c r="H5295" s="17" t="s">
        <v>10781</v>
      </c>
      <c r="I5295" s="17"/>
      <c r="J5295" s="17" t="s">
        <v>10791</v>
      </c>
      <c r="K5295" s="17"/>
      <c r="L5295" s="17" t="s">
        <v>11236</v>
      </c>
      <c r="M5295" s="17"/>
      <c r="N5295" s="17" t="s">
        <v>11237</v>
      </c>
      <c r="O5295" s="17" t="s">
        <v>11238</v>
      </c>
      <c r="P5295" s="17" t="s">
        <v>11239</v>
      </c>
      <c r="Q5295" s="17"/>
      <c r="R5295" s="25" t="str">
        <f t="shared" si="4"/>
        <v>Alphapapillomavirus 7</v>
      </c>
      <c r="S5295" s="18" t="s">
        <v>8141</v>
      </c>
      <c r="T5295" s="18" t="s">
        <v>11406</v>
      </c>
      <c r="U5295" s="18" t="s">
        <v>11407</v>
      </c>
      <c r="V5295" s="18"/>
      <c r="W5295" s="18" t="s">
        <v>48810</v>
      </c>
      <c r="X5295" s="18" t="s">
        <v>42</v>
      </c>
      <c r="Y5295" s="18" t="s">
        <v>36</v>
      </c>
      <c r="Z5295" s="18" t="s">
        <v>166</v>
      </c>
      <c r="AA5295" s="21" t="str">
        <f>HYPERLINK("https://www.ncbi.nlm.nih.gov/nuccore/X77858","NCBI Nucleotide")</f>
        <v>NCBI Nucleotide</v>
      </c>
    </row>
    <row r="5296" spans="1:27" x14ac:dyDescent="0.35">
      <c r="A5296">
        <v>1012268</v>
      </c>
      <c r="B5296">
        <v>5213</v>
      </c>
      <c r="C5296">
        <v>5</v>
      </c>
      <c r="D5296" s="17" t="s">
        <v>10507</v>
      </c>
      <c r="E5296" s="17"/>
      <c r="F5296" s="17" t="s">
        <v>10780</v>
      </c>
      <c r="G5296" s="17"/>
      <c r="H5296" s="17" t="s">
        <v>10781</v>
      </c>
      <c r="I5296" s="17"/>
      <c r="J5296" s="17" t="s">
        <v>10791</v>
      </c>
      <c r="K5296" s="17"/>
      <c r="L5296" s="17" t="s">
        <v>11236</v>
      </c>
      <c r="M5296" s="17"/>
      <c r="N5296" s="17" t="s">
        <v>11237</v>
      </c>
      <c r="O5296" s="17" t="s">
        <v>11238</v>
      </c>
      <c r="P5296" s="17" t="s">
        <v>11239</v>
      </c>
      <c r="Q5296" s="17"/>
      <c r="R5296" s="25" t="str">
        <f t="shared" si="4"/>
        <v>Alphapapillomavirus 7</v>
      </c>
      <c r="S5296" s="18" t="s">
        <v>8141</v>
      </c>
      <c r="T5296" s="18" t="s">
        <v>11394</v>
      </c>
      <c r="U5296" s="18" t="s">
        <v>11395</v>
      </c>
      <c r="V5296" s="18" t="s">
        <v>11396</v>
      </c>
      <c r="W5296" s="18" t="s">
        <v>48811</v>
      </c>
      <c r="X5296" s="18" t="s">
        <v>42</v>
      </c>
      <c r="Y5296" s="18" t="s">
        <v>36</v>
      </c>
      <c r="Z5296" s="18" t="s">
        <v>166</v>
      </c>
      <c r="AA5296" s="21" t="str">
        <f>HYPERLINK("https://www.ncbi.nlm.nih.gov/nuccore/DQ080079","NCBI Nucleotide")</f>
        <v>NCBI Nucleotide</v>
      </c>
    </row>
    <row r="5297" spans="1:27" x14ac:dyDescent="0.35">
      <c r="A5297">
        <v>1012271</v>
      </c>
      <c r="B5297">
        <v>5213</v>
      </c>
      <c r="C5297">
        <v>6</v>
      </c>
      <c r="D5297" s="17" t="s">
        <v>10507</v>
      </c>
      <c r="E5297" s="17"/>
      <c r="F5297" s="17" t="s">
        <v>10780</v>
      </c>
      <c r="G5297" s="17"/>
      <c r="H5297" s="17" t="s">
        <v>10781</v>
      </c>
      <c r="I5297" s="17"/>
      <c r="J5297" s="17" t="s">
        <v>10791</v>
      </c>
      <c r="K5297" s="17"/>
      <c r="L5297" s="17" t="s">
        <v>11236</v>
      </c>
      <c r="M5297" s="17"/>
      <c r="N5297" s="17" t="s">
        <v>11237</v>
      </c>
      <c r="O5297" s="17" t="s">
        <v>11238</v>
      </c>
      <c r="P5297" s="17" t="s">
        <v>11239</v>
      </c>
      <c r="Q5297" s="17"/>
      <c r="R5297" s="25" t="str">
        <f t="shared" si="4"/>
        <v>Alphapapillomavirus 7</v>
      </c>
      <c r="S5297" s="18" t="s">
        <v>8141</v>
      </c>
      <c r="T5297" s="18" t="s">
        <v>11402</v>
      </c>
      <c r="U5297" s="18" t="s">
        <v>11403</v>
      </c>
      <c r="V5297" s="18"/>
      <c r="W5297" s="18" t="s">
        <v>48812</v>
      </c>
      <c r="X5297" s="18" t="s">
        <v>42</v>
      </c>
      <c r="Y5297" s="18" t="s">
        <v>36</v>
      </c>
      <c r="Z5297" s="18" t="s">
        <v>166</v>
      </c>
      <c r="AA5297" s="21" t="str">
        <f>HYPERLINK("https://www.ncbi.nlm.nih.gov/nuccore/U21941","NCBI Nucleotide")</f>
        <v>NCBI Nucleotide</v>
      </c>
    </row>
    <row r="5298" spans="1:27" x14ac:dyDescent="0.35">
      <c r="A5298">
        <v>1012267</v>
      </c>
      <c r="B5298">
        <v>5213</v>
      </c>
      <c r="C5298">
        <v>7</v>
      </c>
      <c r="D5298" s="17" t="s">
        <v>10507</v>
      </c>
      <c r="E5298" s="17"/>
      <c r="F5298" s="17" t="s">
        <v>10780</v>
      </c>
      <c r="G5298" s="17"/>
      <c r="H5298" s="17" t="s">
        <v>10781</v>
      </c>
      <c r="I5298" s="17"/>
      <c r="J5298" s="17" t="s">
        <v>10791</v>
      </c>
      <c r="K5298" s="17"/>
      <c r="L5298" s="17" t="s">
        <v>11236</v>
      </c>
      <c r="M5298" s="17"/>
      <c r="N5298" s="17" t="s">
        <v>11237</v>
      </c>
      <c r="O5298" s="17" t="s">
        <v>11238</v>
      </c>
      <c r="P5298" s="17" t="s">
        <v>11239</v>
      </c>
      <c r="Q5298" s="17"/>
      <c r="R5298" s="25" t="str">
        <f t="shared" si="4"/>
        <v>Alphapapillomavirus 7</v>
      </c>
      <c r="S5298" s="18" t="s">
        <v>8141</v>
      </c>
      <c r="T5298" s="18" t="s">
        <v>11392</v>
      </c>
      <c r="U5298" s="18" t="s">
        <v>11393</v>
      </c>
      <c r="V5298" s="18"/>
      <c r="W5298" s="18" t="s">
        <v>48813</v>
      </c>
      <c r="X5298" s="18" t="s">
        <v>42</v>
      </c>
      <c r="Y5298" s="18" t="s">
        <v>36</v>
      </c>
      <c r="Z5298" s="18" t="s">
        <v>166</v>
      </c>
      <c r="AA5298" s="21" t="str">
        <f>HYPERLINK("https://www.ncbi.nlm.nih.gov/nuccore/AF131950","NCBI Nucleotide")</f>
        <v>NCBI Nucleotide</v>
      </c>
    </row>
    <row r="5299" spans="1:27" x14ac:dyDescent="0.35">
      <c r="A5299">
        <v>1012269</v>
      </c>
      <c r="B5299">
        <v>5213</v>
      </c>
      <c r="C5299">
        <v>8</v>
      </c>
      <c r="D5299" s="17" t="s">
        <v>10507</v>
      </c>
      <c r="E5299" s="17"/>
      <c r="F5299" s="17" t="s">
        <v>10780</v>
      </c>
      <c r="G5299" s="17"/>
      <c r="H5299" s="17" t="s">
        <v>10781</v>
      </c>
      <c r="I5299" s="17"/>
      <c r="J5299" s="17" t="s">
        <v>10791</v>
      </c>
      <c r="K5299" s="17"/>
      <c r="L5299" s="17" t="s">
        <v>11236</v>
      </c>
      <c r="M5299" s="17"/>
      <c r="N5299" s="17" t="s">
        <v>11237</v>
      </c>
      <c r="O5299" s="17" t="s">
        <v>11238</v>
      </c>
      <c r="P5299" s="17" t="s">
        <v>11239</v>
      </c>
      <c r="Q5299" s="17"/>
      <c r="R5299" s="25" t="str">
        <f t="shared" si="4"/>
        <v>Alphapapillomavirus 7</v>
      </c>
      <c r="S5299" s="18" t="s">
        <v>8141</v>
      </c>
      <c r="T5299" s="18" t="s">
        <v>11397</v>
      </c>
      <c r="U5299" s="18" t="s">
        <v>11398</v>
      </c>
      <c r="V5299" s="18" t="s">
        <v>11399</v>
      </c>
      <c r="W5299" s="18" t="s">
        <v>48814</v>
      </c>
      <c r="X5299" s="18" t="s">
        <v>42</v>
      </c>
      <c r="Y5299" s="18" t="s">
        <v>36</v>
      </c>
      <c r="Z5299" s="18" t="s">
        <v>166</v>
      </c>
      <c r="AA5299" s="21" t="str">
        <f>HYPERLINK("https://www.ncbi.nlm.nih.gov/nuccore/DQ080080","NCBI Nucleotide")</f>
        <v>NCBI Nucleotide</v>
      </c>
    </row>
    <row r="5300" spans="1:27" x14ac:dyDescent="0.35">
      <c r="A5300">
        <v>1006984</v>
      </c>
      <c r="B5300">
        <v>5214</v>
      </c>
      <c r="C5300">
        <v>1</v>
      </c>
      <c r="D5300" s="17" t="s">
        <v>10507</v>
      </c>
      <c r="E5300" s="17"/>
      <c r="F5300" s="17" t="s">
        <v>10780</v>
      </c>
      <c r="G5300" s="17"/>
      <c r="H5300" s="17" t="s">
        <v>10781</v>
      </c>
      <c r="I5300" s="17"/>
      <c r="J5300" s="17" t="s">
        <v>10791</v>
      </c>
      <c r="K5300" s="17"/>
      <c r="L5300" s="17" t="s">
        <v>11236</v>
      </c>
      <c r="M5300" s="17"/>
      <c r="N5300" s="17" t="s">
        <v>11237</v>
      </c>
      <c r="O5300" s="17" t="s">
        <v>11238</v>
      </c>
      <c r="P5300" s="17" t="s">
        <v>11239</v>
      </c>
      <c r="Q5300" s="17"/>
      <c r="R5300" s="25" t="str">
        <f>HYPERLINK("https://ictv.global/taxonomy/taxondetails?taxnode_id=202303981","Alphapapillomavirus 8")</f>
        <v>Alphapapillomavirus 8</v>
      </c>
      <c r="S5300" s="18" t="s">
        <v>30</v>
      </c>
      <c r="T5300" s="18" t="s">
        <v>11408</v>
      </c>
      <c r="U5300" s="18" t="s">
        <v>11409</v>
      </c>
      <c r="V5300" s="18"/>
      <c r="W5300" s="18" t="s">
        <v>11410</v>
      </c>
      <c r="X5300" s="18" t="s">
        <v>42</v>
      </c>
      <c r="Y5300" s="18" t="s">
        <v>36</v>
      </c>
      <c r="Z5300" s="18" t="s">
        <v>166</v>
      </c>
      <c r="AA5300" s="21" t="str">
        <f>HYPERLINK("https://www.ncbi.nlm.nih.gov/nuccore/X74463","NCBI Nucleotide")</f>
        <v>NCBI Nucleotide</v>
      </c>
    </row>
    <row r="5301" spans="1:27" x14ac:dyDescent="0.35">
      <c r="A5301">
        <v>1012276</v>
      </c>
      <c r="B5301">
        <v>5214</v>
      </c>
      <c r="C5301">
        <v>2</v>
      </c>
      <c r="D5301" s="17" t="s">
        <v>10507</v>
      </c>
      <c r="E5301" s="17"/>
      <c r="F5301" s="17" t="s">
        <v>10780</v>
      </c>
      <c r="G5301" s="17"/>
      <c r="H5301" s="17" t="s">
        <v>10781</v>
      </c>
      <c r="I5301" s="17"/>
      <c r="J5301" s="17" t="s">
        <v>10791</v>
      </c>
      <c r="K5301" s="17"/>
      <c r="L5301" s="17" t="s">
        <v>11236</v>
      </c>
      <c r="M5301" s="17"/>
      <c r="N5301" s="17" t="s">
        <v>11237</v>
      </c>
      <c r="O5301" s="17" t="s">
        <v>11238</v>
      </c>
      <c r="P5301" s="17" t="s">
        <v>11239</v>
      </c>
      <c r="Q5301" s="17"/>
      <c r="R5301" s="25" t="str">
        <f>HYPERLINK("https://ictv.global/taxonomy/taxondetails?taxnode_id=202303981","Alphapapillomavirus 8")</f>
        <v>Alphapapillomavirus 8</v>
      </c>
      <c r="S5301" s="18" t="s">
        <v>8141</v>
      </c>
      <c r="T5301" s="18" t="s">
        <v>11415</v>
      </c>
      <c r="U5301" s="18" t="s">
        <v>11416</v>
      </c>
      <c r="V5301" s="18"/>
      <c r="W5301" s="18" t="s">
        <v>48815</v>
      </c>
      <c r="X5301" s="18" t="s">
        <v>42</v>
      </c>
      <c r="Y5301" s="18" t="s">
        <v>36</v>
      </c>
      <c r="Z5301" s="18" t="s">
        <v>166</v>
      </c>
      <c r="AA5301" s="21" t="str">
        <f>HYPERLINK("https://www.ncbi.nlm.nih.gov/nuccore/X74478","NCBI Nucleotide")</f>
        <v>NCBI Nucleotide</v>
      </c>
    </row>
    <row r="5302" spans="1:27" x14ac:dyDescent="0.35">
      <c r="A5302">
        <v>1012275</v>
      </c>
      <c r="B5302">
        <v>5214</v>
      </c>
      <c r="C5302">
        <v>3</v>
      </c>
      <c r="D5302" s="17" t="s">
        <v>10507</v>
      </c>
      <c r="E5302" s="17"/>
      <c r="F5302" s="17" t="s">
        <v>10780</v>
      </c>
      <c r="G5302" s="17"/>
      <c r="H5302" s="17" t="s">
        <v>10781</v>
      </c>
      <c r="I5302" s="17"/>
      <c r="J5302" s="17" t="s">
        <v>10791</v>
      </c>
      <c r="K5302" s="17"/>
      <c r="L5302" s="17" t="s">
        <v>11236</v>
      </c>
      <c r="M5302" s="17"/>
      <c r="N5302" s="17" t="s">
        <v>11237</v>
      </c>
      <c r="O5302" s="17" t="s">
        <v>11238</v>
      </c>
      <c r="P5302" s="17" t="s">
        <v>11239</v>
      </c>
      <c r="Q5302" s="17"/>
      <c r="R5302" s="25" t="str">
        <f>HYPERLINK("https://ictv.global/taxonomy/taxondetails?taxnode_id=202303981","Alphapapillomavirus 8")</f>
        <v>Alphapapillomavirus 8</v>
      </c>
      <c r="S5302" s="18" t="s">
        <v>8141</v>
      </c>
      <c r="T5302" s="18" t="s">
        <v>11413</v>
      </c>
      <c r="U5302" s="18" t="s">
        <v>11414</v>
      </c>
      <c r="V5302" s="18"/>
      <c r="W5302" s="18" t="s">
        <v>48816</v>
      </c>
      <c r="X5302" s="18" t="s">
        <v>42</v>
      </c>
      <c r="Y5302" s="18" t="s">
        <v>36</v>
      </c>
      <c r="Z5302" s="18" t="s">
        <v>166</v>
      </c>
      <c r="AA5302" s="21" t="str">
        <f>HYPERLINK("https://www.ncbi.nlm.nih.gov/nuccore/AJ620205","NCBI Nucleotide")</f>
        <v>NCBI Nucleotide</v>
      </c>
    </row>
    <row r="5303" spans="1:27" x14ac:dyDescent="0.35">
      <c r="A5303">
        <v>1012274</v>
      </c>
      <c r="B5303">
        <v>5214</v>
      </c>
      <c r="C5303">
        <v>4</v>
      </c>
      <c r="D5303" s="17" t="s">
        <v>10507</v>
      </c>
      <c r="E5303" s="17"/>
      <c r="F5303" s="17" t="s">
        <v>10780</v>
      </c>
      <c r="G5303" s="17"/>
      <c r="H5303" s="17" t="s">
        <v>10781</v>
      </c>
      <c r="I5303" s="17"/>
      <c r="J5303" s="17" t="s">
        <v>10791</v>
      </c>
      <c r="K5303" s="17"/>
      <c r="L5303" s="17" t="s">
        <v>11236</v>
      </c>
      <c r="M5303" s="17"/>
      <c r="N5303" s="17" t="s">
        <v>11237</v>
      </c>
      <c r="O5303" s="17" t="s">
        <v>11238</v>
      </c>
      <c r="P5303" s="17" t="s">
        <v>11239</v>
      </c>
      <c r="Q5303" s="17"/>
      <c r="R5303" s="25" t="str">
        <f>HYPERLINK("https://ictv.global/taxonomy/taxondetails?taxnode_id=202303981","Alphapapillomavirus 8")</f>
        <v>Alphapapillomavirus 8</v>
      </c>
      <c r="S5303" s="18" t="s">
        <v>8141</v>
      </c>
      <c r="T5303" s="18" t="s">
        <v>11411</v>
      </c>
      <c r="U5303" s="18" t="s">
        <v>11412</v>
      </c>
      <c r="V5303" s="18"/>
      <c r="W5303" s="18" t="s">
        <v>48817</v>
      </c>
      <c r="X5303" s="18" t="s">
        <v>42</v>
      </c>
      <c r="Y5303" s="18" t="s">
        <v>36</v>
      </c>
      <c r="Z5303" s="18" t="s">
        <v>166</v>
      </c>
      <c r="AA5303" s="21" t="str">
        <f>HYPERLINK("https://www.ncbi.nlm.nih.gov/nuccore/AF419318","NCBI Nucleotide")</f>
        <v>NCBI Nucleotide</v>
      </c>
    </row>
    <row r="5304" spans="1:27" x14ac:dyDescent="0.35">
      <c r="A5304">
        <v>1006985</v>
      </c>
      <c r="B5304">
        <v>5215</v>
      </c>
      <c r="C5304">
        <v>1</v>
      </c>
      <c r="D5304" s="17" t="s">
        <v>10507</v>
      </c>
      <c r="E5304" s="17"/>
      <c r="F5304" s="17" t="s">
        <v>10780</v>
      </c>
      <c r="G5304" s="17"/>
      <c r="H5304" s="17" t="s">
        <v>10781</v>
      </c>
      <c r="I5304" s="17"/>
      <c r="J5304" s="17" t="s">
        <v>10791</v>
      </c>
      <c r="K5304" s="17"/>
      <c r="L5304" s="17" t="s">
        <v>11236</v>
      </c>
      <c r="M5304" s="17"/>
      <c r="N5304" s="17" t="s">
        <v>11237</v>
      </c>
      <c r="O5304" s="17" t="s">
        <v>11238</v>
      </c>
      <c r="P5304" s="17" t="s">
        <v>11239</v>
      </c>
      <c r="Q5304" s="17"/>
      <c r="R5304" s="25" t="str">
        <f t="shared" ref="R5304:R5310" si="5">HYPERLINK("https://ictv.global/taxonomy/taxondetails?taxnode_id=202303982","Alphapapillomavirus 9")</f>
        <v>Alphapapillomavirus 9</v>
      </c>
      <c r="S5304" s="18" t="s">
        <v>30</v>
      </c>
      <c r="T5304" s="18" t="s">
        <v>11417</v>
      </c>
      <c r="U5304" s="18" t="s">
        <v>11418</v>
      </c>
      <c r="V5304" s="18"/>
      <c r="W5304" s="18" t="s">
        <v>11419</v>
      </c>
      <c r="X5304" s="18" t="s">
        <v>42</v>
      </c>
      <c r="Y5304" s="18" t="s">
        <v>36</v>
      </c>
      <c r="Z5304" s="18" t="s">
        <v>166</v>
      </c>
      <c r="AA5304" s="21" t="str">
        <f>HYPERLINK("https://www.ncbi.nlm.nih.gov/nuccore/K02718","NCBI Nucleotide")</f>
        <v>NCBI Nucleotide</v>
      </c>
    </row>
    <row r="5305" spans="1:27" x14ac:dyDescent="0.35">
      <c r="A5305">
        <v>1012279</v>
      </c>
      <c r="B5305">
        <v>5215</v>
      </c>
      <c r="C5305">
        <v>2</v>
      </c>
      <c r="D5305" s="17" t="s">
        <v>10507</v>
      </c>
      <c r="E5305" s="17"/>
      <c r="F5305" s="17" t="s">
        <v>10780</v>
      </c>
      <c r="G5305" s="17"/>
      <c r="H5305" s="17" t="s">
        <v>10781</v>
      </c>
      <c r="I5305" s="17"/>
      <c r="J5305" s="17" t="s">
        <v>10791</v>
      </c>
      <c r="K5305" s="17"/>
      <c r="L5305" s="17" t="s">
        <v>11236</v>
      </c>
      <c r="M5305" s="17"/>
      <c r="N5305" s="17" t="s">
        <v>11237</v>
      </c>
      <c r="O5305" s="17" t="s">
        <v>11238</v>
      </c>
      <c r="P5305" s="17" t="s">
        <v>11239</v>
      </c>
      <c r="Q5305" s="17"/>
      <c r="R5305" s="25" t="str">
        <f t="shared" si="5"/>
        <v>Alphapapillomavirus 9</v>
      </c>
      <c r="S5305" s="18" t="s">
        <v>8141</v>
      </c>
      <c r="T5305" s="18" t="s">
        <v>11425</v>
      </c>
      <c r="U5305" s="18" t="s">
        <v>11426</v>
      </c>
      <c r="V5305" s="18"/>
      <c r="W5305" s="18" t="s">
        <v>48818</v>
      </c>
      <c r="X5305" s="18" t="s">
        <v>42</v>
      </c>
      <c r="Y5305" s="18" t="s">
        <v>36</v>
      </c>
      <c r="Z5305" s="18" t="s">
        <v>166</v>
      </c>
      <c r="AA5305" s="21" t="str">
        <f>HYPERLINK("https://www.ncbi.nlm.nih.gov/nuccore/J04353","NCBI Nucleotide")</f>
        <v>NCBI Nucleotide</v>
      </c>
    </row>
    <row r="5306" spans="1:27" x14ac:dyDescent="0.35">
      <c r="A5306">
        <v>1012280</v>
      </c>
      <c r="B5306">
        <v>5215</v>
      </c>
      <c r="C5306">
        <v>3</v>
      </c>
      <c r="D5306" s="17" t="s">
        <v>10507</v>
      </c>
      <c r="E5306" s="17"/>
      <c r="F5306" s="17" t="s">
        <v>10780</v>
      </c>
      <c r="G5306" s="17"/>
      <c r="H5306" s="17" t="s">
        <v>10781</v>
      </c>
      <c r="I5306" s="17"/>
      <c r="J5306" s="17" t="s">
        <v>10791</v>
      </c>
      <c r="K5306" s="17"/>
      <c r="L5306" s="17" t="s">
        <v>11236</v>
      </c>
      <c r="M5306" s="17"/>
      <c r="N5306" s="17" t="s">
        <v>11237</v>
      </c>
      <c r="O5306" s="17" t="s">
        <v>11238</v>
      </c>
      <c r="P5306" s="17" t="s">
        <v>11239</v>
      </c>
      <c r="Q5306" s="17"/>
      <c r="R5306" s="25" t="str">
        <f t="shared" si="5"/>
        <v>Alphapapillomavirus 9</v>
      </c>
      <c r="S5306" s="18" t="s">
        <v>8141</v>
      </c>
      <c r="T5306" s="18" t="s">
        <v>11427</v>
      </c>
      <c r="U5306" s="18" t="s">
        <v>11428</v>
      </c>
      <c r="V5306" s="18"/>
      <c r="W5306" s="18" t="s">
        <v>48819</v>
      </c>
      <c r="X5306" s="18" t="s">
        <v>42</v>
      </c>
      <c r="Y5306" s="18" t="s">
        <v>36</v>
      </c>
      <c r="Z5306" s="18" t="s">
        <v>166</v>
      </c>
      <c r="AA5306" s="21" t="str">
        <f>HYPERLINK("https://www.ncbi.nlm.nih.gov/nuccore/M12732","NCBI Nucleotide")</f>
        <v>NCBI Nucleotide</v>
      </c>
    </row>
    <row r="5307" spans="1:27" x14ac:dyDescent="0.35">
      <c r="A5307">
        <v>1012281</v>
      </c>
      <c r="B5307">
        <v>5215</v>
      </c>
      <c r="C5307">
        <v>4</v>
      </c>
      <c r="D5307" s="17" t="s">
        <v>10507</v>
      </c>
      <c r="E5307" s="17"/>
      <c r="F5307" s="17" t="s">
        <v>10780</v>
      </c>
      <c r="G5307" s="17"/>
      <c r="H5307" s="17" t="s">
        <v>10781</v>
      </c>
      <c r="I5307" s="17"/>
      <c r="J5307" s="17" t="s">
        <v>10791</v>
      </c>
      <c r="K5307" s="17"/>
      <c r="L5307" s="17" t="s">
        <v>11236</v>
      </c>
      <c r="M5307" s="17"/>
      <c r="N5307" s="17" t="s">
        <v>11237</v>
      </c>
      <c r="O5307" s="17" t="s">
        <v>11238</v>
      </c>
      <c r="P5307" s="17" t="s">
        <v>11239</v>
      </c>
      <c r="Q5307" s="17"/>
      <c r="R5307" s="25" t="str">
        <f t="shared" si="5"/>
        <v>Alphapapillomavirus 9</v>
      </c>
      <c r="S5307" s="18" t="s">
        <v>8141</v>
      </c>
      <c r="T5307" s="18" t="s">
        <v>11429</v>
      </c>
      <c r="U5307" s="18" t="s">
        <v>11430</v>
      </c>
      <c r="V5307" s="18"/>
      <c r="W5307" s="18" t="s">
        <v>48820</v>
      </c>
      <c r="X5307" s="18" t="s">
        <v>42</v>
      </c>
      <c r="Y5307" s="18" t="s">
        <v>36</v>
      </c>
      <c r="Z5307" s="18" t="s">
        <v>166</v>
      </c>
      <c r="AA5307" s="21" t="str">
        <f>HYPERLINK("https://www.ncbi.nlm.nih.gov/nuccore/X74477","NCBI Nucleotide")</f>
        <v>NCBI Nucleotide</v>
      </c>
    </row>
    <row r="5308" spans="1:27" x14ac:dyDescent="0.35">
      <c r="A5308">
        <v>1012282</v>
      </c>
      <c r="B5308">
        <v>5215</v>
      </c>
      <c r="C5308">
        <v>5</v>
      </c>
      <c r="D5308" s="17" t="s">
        <v>10507</v>
      </c>
      <c r="E5308" s="17"/>
      <c r="F5308" s="17" t="s">
        <v>10780</v>
      </c>
      <c r="G5308" s="17"/>
      <c r="H5308" s="17" t="s">
        <v>10781</v>
      </c>
      <c r="I5308" s="17"/>
      <c r="J5308" s="17" t="s">
        <v>10791</v>
      </c>
      <c r="K5308" s="17"/>
      <c r="L5308" s="17" t="s">
        <v>11236</v>
      </c>
      <c r="M5308" s="17"/>
      <c r="N5308" s="17" t="s">
        <v>11237</v>
      </c>
      <c r="O5308" s="17" t="s">
        <v>11238</v>
      </c>
      <c r="P5308" s="17" t="s">
        <v>11239</v>
      </c>
      <c r="Q5308" s="17"/>
      <c r="R5308" s="25" t="str">
        <f t="shared" si="5"/>
        <v>Alphapapillomavirus 9</v>
      </c>
      <c r="S5308" s="18" t="s">
        <v>8141</v>
      </c>
      <c r="T5308" s="18" t="s">
        <v>11431</v>
      </c>
      <c r="U5308" s="18" t="s">
        <v>11432</v>
      </c>
      <c r="V5308" s="18"/>
      <c r="W5308" s="18" t="s">
        <v>48821</v>
      </c>
      <c r="X5308" s="18" t="s">
        <v>42</v>
      </c>
      <c r="Y5308" s="18" t="s">
        <v>36</v>
      </c>
      <c r="Z5308" s="18" t="s">
        <v>166</v>
      </c>
      <c r="AA5308" s="21" t="str">
        <f>HYPERLINK("https://www.ncbi.nlm.nih.gov/nuccore/X74481","NCBI Nucleotide")</f>
        <v>NCBI Nucleotide</v>
      </c>
    </row>
    <row r="5309" spans="1:27" x14ac:dyDescent="0.35">
      <c r="A5309">
        <v>1012278</v>
      </c>
      <c r="B5309">
        <v>5215</v>
      </c>
      <c r="C5309">
        <v>6</v>
      </c>
      <c r="D5309" s="17" t="s">
        <v>10507</v>
      </c>
      <c r="E5309" s="17"/>
      <c r="F5309" s="17" t="s">
        <v>10780</v>
      </c>
      <c r="G5309" s="17"/>
      <c r="H5309" s="17" t="s">
        <v>10781</v>
      </c>
      <c r="I5309" s="17"/>
      <c r="J5309" s="17" t="s">
        <v>10791</v>
      </c>
      <c r="K5309" s="17"/>
      <c r="L5309" s="17" t="s">
        <v>11236</v>
      </c>
      <c r="M5309" s="17"/>
      <c r="N5309" s="17" t="s">
        <v>11237</v>
      </c>
      <c r="O5309" s="17" t="s">
        <v>11238</v>
      </c>
      <c r="P5309" s="17" t="s">
        <v>11239</v>
      </c>
      <c r="Q5309" s="17"/>
      <c r="R5309" s="25" t="str">
        <f t="shared" si="5"/>
        <v>Alphapapillomavirus 9</v>
      </c>
      <c r="S5309" s="18" t="s">
        <v>8141</v>
      </c>
      <c r="T5309" s="18" t="s">
        <v>11422</v>
      </c>
      <c r="U5309" s="18" t="s">
        <v>11423</v>
      </c>
      <c r="V5309" s="18" t="s">
        <v>11424</v>
      </c>
      <c r="W5309" s="18" t="s">
        <v>48822</v>
      </c>
      <c r="X5309" s="18" t="s">
        <v>42</v>
      </c>
      <c r="Y5309" s="18" t="s">
        <v>36</v>
      </c>
      <c r="Z5309" s="18" t="s">
        <v>166</v>
      </c>
      <c r="AA5309" s="21" t="str">
        <f>HYPERLINK("https://www.ncbi.nlm.nih.gov/nuccore/D90400","NCBI Nucleotide")</f>
        <v>NCBI Nucleotide</v>
      </c>
    </row>
    <row r="5310" spans="1:27" x14ac:dyDescent="0.35">
      <c r="A5310">
        <v>1012277</v>
      </c>
      <c r="B5310">
        <v>5215</v>
      </c>
      <c r="C5310">
        <v>7</v>
      </c>
      <c r="D5310" s="17" t="s">
        <v>10507</v>
      </c>
      <c r="E5310" s="17"/>
      <c r="F5310" s="17" t="s">
        <v>10780</v>
      </c>
      <c r="G5310" s="17"/>
      <c r="H5310" s="17" t="s">
        <v>10781</v>
      </c>
      <c r="I5310" s="17"/>
      <c r="J5310" s="17" t="s">
        <v>10791</v>
      </c>
      <c r="K5310" s="17"/>
      <c r="L5310" s="17" t="s">
        <v>11236</v>
      </c>
      <c r="M5310" s="17"/>
      <c r="N5310" s="17" t="s">
        <v>11237</v>
      </c>
      <c r="O5310" s="17" t="s">
        <v>11238</v>
      </c>
      <c r="P5310" s="17" t="s">
        <v>11239</v>
      </c>
      <c r="Q5310" s="17"/>
      <c r="R5310" s="25" t="str">
        <f t="shared" si="5"/>
        <v>Alphapapillomavirus 9</v>
      </c>
      <c r="S5310" s="18" t="s">
        <v>8141</v>
      </c>
      <c r="T5310" s="18" t="s">
        <v>11420</v>
      </c>
      <c r="U5310" s="18" t="s">
        <v>11421</v>
      </c>
      <c r="V5310" s="18"/>
      <c r="W5310" s="18" t="s">
        <v>48823</v>
      </c>
      <c r="X5310" s="18" t="s">
        <v>42</v>
      </c>
      <c r="Y5310" s="18" t="s">
        <v>36</v>
      </c>
      <c r="Z5310" s="18" t="s">
        <v>166</v>
      </c>
      <c r="AA5310" s="21" t="str">
        <f>HYPERLINK("https://www.ncbi.nlm.nih.gov/nuccore/D21208","NCBI Nucleotide")</f>
        <v>NCBI Nucleotide</v>
      </c>
    </row>
    <row r="5311" spans="1:27" x14ac:dyDescent="0.35">
      <c r="A5311">
        <v>1006973</v>
      </c>
      <c r="B5311">
        <v>5216</v>
      </c>
      <c r="C5311">
        <v>1</v>
      </c>
      <c r="D5311" s="17" t="s">
        <v>10507</v>
      </c>
      <c r="E5311" s="17"/>
      <c r="F5311" s="17" t="s">
        <v>10780</v>
      </c>
      <c r="G5311" s="17"/>
      <c r="H5311" s="17" t="s">
        <v>10781</v>
      </c>
      <c r="I5311" s="17"/>
      <c r="J5311" s="17" t="s">
        <v>10791</v>
      </c>
      <c r="K5311" s="17"/>
      <c r="L5311" s="17" t="s">
        <v>11236</v>
      </c>
      <c r="M5311" s="17"/>
      <c r="N5311" s="17" t="s">
        <v>11237</v>
      </c>
      <c r="O5311" s="17" t="s">
        <v>11238</v>
      </c>
      <c r="P5311" s="17" t="s">
        <v>11239</v>
      </c>
      <c r="Q5311" s="17"/>
      <c r="R5311" s="25" t="str">
        <f t="shared" ref="R5311:R5316" si="6">HYPERLINK("https://ictv.global/taxonomy/taxondetails?taxnode_id=202303983","Alphapapillomavirus 10")</f>
        <v>Alphapapillomavirus 10</v>
      </c>
      <c r="S5311" s="18" t="s">
        <v>30</v>
      </c>
      <c r="T5311" s="18" t="s">
        <v>11245</v>
      </c>
      <c r="U5311" s="18" t="s">
        <v>11246</v>
      </c>
      <c r="V5311" s="18"/>
      <c r="W5311" s="18" t="s">
        <v>11247</v>
      </c>
      <c r="X5311" s="18" t="s">
        <v>42</v>
      </c>
      <c r="Y5311" s="18" t="s">
        <v>36</v>
      </c>
      <c r="Z5311" s="18" t="s">
        <v>166</v>
      </c>
      <c r="AA5311" s="21" t="str">
        <f>HYPERLINK("https://www.ncbi.nlm.nih.gov/nuccore/X00203","NCBI Nucleotide")</f>
        <v>NCBI Nucleotide</v>
      </c>
    </row>
    <row r="5312" spans="1:27" x14ac:dyDescent="0.35">
      <c r="A5312">
        <v>1012221</v>
      </c>
      <c r="B5312">
        <v>5216</v>
      </c>
      <c r="C5312">
        <v>2</v>
      </c>
      <c r="D5312" s="17" t="s">
        <v>10507</v>
      </c>
      <c r="E5312" s="17"/>
      <c r="F5312" s="17" t="s">
        <v>10780</v>
      </c>
      <c r="G5312" s="17"/>
      <c r="H5312" s="17" t="s">
        <v>10781</v>
      </c>
      <c r="I5312" s="17"/>
      <c r="J5312" s="17" t="s">
        <v>10791</v>
      </c>
      <c r="K5312" s="17"/>
      <c r="L5312" s="17" t="s">
        <v>11236</v>
      </c>
      <c r="M5312" s="17"/>
      <c r="N5312" s="17" t="s">
        <v>11237</v>
      </c>
      <c r="O5312" s="17" t="s">
        <v>11238</v>
      </c>
      <c r="P5312" s="17" t="s">
        <v>11239</v>
      </c>
      <c r="Q5312" s="17"/>
      <c r="R5312" s="25" t="str">
        <f t="shared" si="6"/>
        <v>Alphapapillomavirus 10</v>
      </c>
      <c r="S5312" s="18" t="s">
        <v>8141</v>
      </c>
      <c r="T5312" s="18" t="s">
        <v>11251</v>
      </c>
      <c r="U5312" s="18" t="s">
        <v>11252</v>
      </c>
      <c r="V5312" s="18"/>
      <c r="W5312" s="18" t="s">
        <v>48824</v>
      </c>
      <c r="X5312" s="18" t="s">
        <v>42</v>
      </c>
      <c r="Y5312" s="18" t="s">
        <v>36</v>
      </c>
      <c r="Z5312" s="18" t="s">
        <v>166</v>
      </c>
      <c r="AA5312" s="21" t="str">
        <f>HYPERLINK("https://www.ncbi.nlm.nih.gov/nuccore/M14119","NCBI Nucleotide")</f>
        <v>NCBI Nucleotide</v>
      </c>
    </row>
    <row r="5313" spans="1:27" x14ac:dyDescent="0.35">
      <c r="A5313">
        <v>1012223</v>
      </c>
      <c r="B5313">
        <v>5216</v>
      </c>
      <c r="C5313">
        <v>3</v>
      </c>
      <c r="D5313" s="17" t="s">
        <v>10507</v>
      </c>
      <c r="E5313" s="17"/>
      <c r="F5313" s="17" t="s">
        <v>10780</v>
      </c>
      <c r="G5313" s="17"/>
      <c r="H5313" s="17" t="s">
        <v>10781</v>
      </c>
      <c r="I5313" s="17"/>
      <c r="J5313" s="17" t="s">
        <v>10791</v>
      </c>
      <c r="K5313" s="17"/>
      <c r="L5313" s="17" t="s">
        <v>11236</v>
      </c>
      <c r="M5313" s="17"/>
      <c r="N5313" s="17" t="s">
        <v>11237</v>
      </c>
      <c r="O5313" s="17" t="s">
        <v>11238</v>
      </c>
      <c r="P5313" s="17" t="s">
        <v>11239</v>
      </c>
      <c r="Q5313" s="17"/>
      <c r="R5313" s="25" t="str">
        <f t="shared" si="6"/>
        <v>Alphapapillomavirus 10</v>
      </c>
      <c r="S5313" s="18" t="s">
        <v>8141</v>
      </c>
      <c r="T5313" s="18" t="s">
        <v>11255</v>
      </c>
      <c r="U5313" s="18" t="s">
        <v>11256</v>
      </c>
      <c r="V5313" s="18"/>
      <c r="W5313" s="18" t="s">
        <v>48825</v>
      </c>
      <c r="X5313" s="18" t="s">
        <v>42</v>
      </c>
      <c r="Y5313" s="18" t="s">
        <v>36</v>
      </c>
      <c r="Z5313" s="18" t="s">
        <v>166</v>
      </c>
      <c r="AA5313" s="21" t="str">
        <f>HYPERLINK("https://www.ncbi.nlm.nih.gov/nuccore/X62843","NCBI Nucleotide")</f>
        <v>NCBI Nucleotide</v>
      </c>
    </row>
    <row r="5314" spans="1:27" x14ac:dyDescent="0.35">
      <c r="A5314">
        <v>1012222</v>
      </c>
      <c r="B5314">
        <v>5216</v>
      </c>
      <c r="C5314">
        <v>4</v>
      </c>
      <c r="D5314" s="17" t="s">
        <v>10507</v>
      </c>
      <c r="E5314" s="17"/>
      <c r="F5314" s="17" t="s">
        <v>10780</v>
      </c>
      <c r="G5314" s="17"/>
      <c r="H5314" s="17" t="s">
        <v>10781</v>
      </c>
      <c r="I5314" s="17"/>
      <c r="J5314" s="17" t="s">
        <v>10791</v>
      </c>
      <c r="K5314" s="17"/>
      <c r="L5314" s="17" t="s">
        <v>11236</v>
      </c>
      <c r="M5314" s="17"/>
      <c r="N5314" s="17" t="s">
        <v>11237</v>
      </c>
      <c r="O5314" s="17" t="s">
        <v>11238</v>
      </c>
      <c r="P5314" s="17" t="s">
        <v>11239</v>
      </c>
      <c r="Q5314" s="17"/>
      <c r="R5314" s="25" t="str">
        <f t="shared" si="6"/>
        <v>Alphapapillomavirus 10</v>
      </c>
      <c r="S5314" s="18" t="s">
        <v>8141</v>
      </c>
      <c r="T5314" s="18" t="s">
        <v>11253</v>
      </c>
      <c r="U5314" s="18" t="s">
        <v>11254</v>
      </c>
      <c r="V5314" s="18"/>
      <c r="W5314" s="18" t="s">
        <v>48826</v>
      </c>
      <c r="X5314" s="18" t="s">
        <v>42</v>
      </c>
      <c r="Y5314" s="18" t="s">
        <v>36</v>
      </c>
      <c r="Z5314" s="18" t="s">
        <v>166</v>
      </c>
      <c r="AA5314" s="21" t="str">
        <f>HYPERLINK("https://www.ncbi.nlm.nih.gov/nuccore/U31788","NCBI Nucleotide")</f>
        <v>NCBI Nucleotide</v>
      </c>
    </row>
    <row r="5315" spans="1:27" x14ac:dyDescent="0.35">
      <c r="A5315">
        <v>1012220</v>
      </c>
      <c r="B5315">
        <v>5216</v>
      </c>
      <c r="C5315">
        <v>5</v>
      </c>
      <c r="D5315" s="17" t="s">
        <v>10507</v>
      </c>
      <c r="E5315" s="17"/>
      <c r="F5315" s="17" t="s">
        <v>10780</v>
      </c>
      <c r="G5315" s="17"/>
      <c r="H5315" s="17" t="s">
        <v>10781</v>
      </c>
      <c r="I5315" s="17"/>
      <c r="J5315" s="17" t="s">
        <v>10791</v>
      </c>
      <c r="K5315" s="17"/>
      <c r="L5315" s="17" t="s">
        <v>11236</v>
      </c>
      <c r="M5315" s="17"/>
      <c r="N5315" s="17" t="s">
        <v>11237</v>
      </c>
      <c r="O5315" s="17" t="s">
        <v>11238</v>
      </c>
      <c r="P5315" s="17" t="s">
        <v>11239</v>
      </c>
      <c r="Q5315" s="17"/>
      <c r="R5315" s="25" t="str">
        <f t="shared" si="6"/>
        <v>Alphapapillomavirus 10</v>
      </c>
      <c r="S5315" s="18" t="s">
        <v>8141</v>
      </c>
      <c r="T5315" s="18" t="s">
        <v>11248</v>
      </c>
      <c r="U5315" s="18" t="s">
        <v>11249</v>
      </c>
      <c r="V5315" s="18" t="s">
        <v>11250</v>
      </c>
      <c r="W5315" s="18" t="s">
        <v>48827</v>
      </c>
      <c r="X5315" s="18" t="s">
        <v>42</v>
      </c>
      <c r="Y5315" s="18" t="s">
        <v>36</v>
      </c>
      <c r="Z5315" s="18" t="s">
        <v>166</v>
      </c>
      <c r="AA5315" s="21" t="str">
        <f>HYPERLINK("https://www.ncbi.nlm.nih.gov/nuccore/AF436130","NCBI Nucleotide")</f>
        <v>NCBI Nucleotide</v>
      </c>
    </row>
    <row r="5316" spans="1:27" x14ac:dyDescent="0.35">
      <c r="A5316">
        <v>1012224</v>
      </c>
      <c r="B5316">
        <v>5216</v>
      </c>
      <c r="C5316">
        <v>6</v>
      </c>
      <c r="D5316" s="17" t="s">
        <v>10507</v>
      </c>
      <c r="E5316" s="17"/>
      <c r="F5316" s="17" t="s">
        <v>10780</v>
      </c>
      <c r="G5316" s="17"/>
      <c r="H5316" s="17" t="s">
        <v>10781</v>
      </c>
      <c r="I5316" s="17"/>
      <c r="J5316" s="17" t="s">
        <v>10791</v>
      </c>
      <c r="K5316" s="17"/>
      <c r="L5316" s="17" t="s">
        <v>11236</v>
      </c>
      <c r="M5316" s="17"/>
      <c r="N5316" s="17" t="s">
        <v>11237</v>
      </c>
      <c r="O5316" s="17" t="s">
        <v>11238</v>
      </c>
      <c r="P5316" s="17" t="s">
        <v>11239</v>
      </c>
      <c r="Q5316" s="17"/>
      <c r="R5316" s="25" t="str">
        <f t="shared" si="6"/>
        <v>Alphapapillomavirus 10</v>
      </c>
      <c r="S5316" s="18" t="s">
        <v>8141</v>
      </c>
      <c r="T5316" s="18" t="s">
        <v>11257</v>
      </c>
      <c r="U5316" s="18" t="s">
        <v>11258</v>
      </c>
      <c r="V5316" s="18"/>
      <c r="W5316" s="18" t="s">
        <v>48828</v>
      </c>
      <c r="X5316" s="18" t="s">
        <v>42</v>
      </c>
      <c r="Y5316" s="18" t="s">
        <v>36</v>
      </c>
      <c r="Z5316" s="18" t="s">
        <v>166</v>
      </c>
      <c r="AA5316" s="21" t="str">
        <f>HYPERLINK("https://www.ncbi.nlm.nih.gov/nuccore/X62844","NCBI Nucleotide")</f>
        <v>NCBI Nucleotide</v>
      </c>
    </row>
    <row r="5317" spans="1:27" x14ac:dyDescent="0.35">
      <c r="A5317">
        <v>1006974</v>
      </c>
      <c r="B5317">
        <v>5217</v>
      </c>
      <c r="C5317">
        <v>1</v>
      </c>
      <c r="D5317" s="17" t="s">
        <v>10507</v>
      </c>
      <c r="E5317" s="17"/>
      <c r="F5317" s="17" t="s">
        <v>10780</v>
      </c>
      <c r="G5317" s="17"/>
      <c r="H5317" s="17" t="s">
        <v>10781</v>
      </c>
      <c r="I5317" s="17"/>
      <c r="J5317" s="17" t="s">
        <v>10791</v>
      </c>
      <c r="K5317" s="17"/>
      <c r="L5317" s="17" t="s">
        <v>11236</v>
      </c>
      <c r="M5317" s="17"/>
      <c r="N5317" s="17" t="s">
        <v>11237</v>
      </c>
      <c r="O5317" s="17" t="s">
        <v>11238</v>
      </c>
      <c r="P5317" s="17" t="s">
        <v>11239</v>
      </c>
      <c r="Q5317" s="17"/>
      <c r="R5317" s="25" t="str">
        <f>HYPERLINK("https://ictv.global/taxonomy/taxondetails?taxnode_id=202303984","Alphapapillomavirus 11")</f>
        <v>Alphapapillomavirus 11</v>
      </c>
      <c r="S5317" s="18" t="s">
        <v>30</v>
      </c>
      <c r="T5317" s="18" t="s">
        <v>11259</v>
      </c>
      <c r="U5317" s="18" t="s">
        <v>11260</v>
      </c>
      <c r="V5317" s="18"/>
      <c r="W5317" s="18" t="s">
        <v>11261</v>
      </c>
      <c r="X5317" s="18" t="s">
        <v>42</v>
      </c>
      <c r="Y5317" s="18" t="s">
        <v>36</v>
      </c>
      <c r="Z5317" s="18" t="s">
        <v>166</v>
      </c>
      <c r="AA5317" s="21" t="str">
        <f>HYPERLINK("https://www.ncbi.nlm.nih.gov/nuccore/X74476","NCBI Nucleotide")</f>
        <v>NCBI Nucleotide</v>
      </c>
    </row>
    <row r="5318" spans="1:27" x14ac:dyDescent="0.35">
      <c r="A5318">
        <v>1012225</v>
      </c>
      <c r="B5318">
        <v>5217</v>
      </c>
      <c r="C5318">
        <v>2</v>
      </c>
      <c r="D5318" s="17" t="s">
        <v>10507</v>
      </c>
      <c r="E5318" s="17"/>
      <c r="F5318" s="17" t="s">
        <v>10780</v>
      </c>
      <c r="G5318" s="17"/>
      <c r="H5318" s="17" t="s">
        <v>10781</v>
      </c>
      <c r="I5318" s="17"/>
      <c r="J5318" s="17" t="s">
        <v>10791</v>
      </c>
      <c r="K5318" s="17"/>
      <c r="L5318" s="17" t="s">
        <v>11236</v>
      </c>
      <c r="M5318" s="17"/>
      <c r="N5318" s="17" t="s">
        <v>11237</v>
      </c>
      <c r="O5318" s="17" t="s">
        <v>11238</v>
      </c>
      <c r="P5318" s="17" t="s">
        <v>11239</v>
      </c>
      <c r="Q5318" s="17"/>
      <c r="R5318" s="25" t="str">
        <f>HYPERLINK("https://ictv.global/taxonomy/taxondetails?taxnode_id=202303984","Alphapapillomavirus 11")</f>
        <v>Alphapapillomavirus 11</v>
      </c>
      <c r="S5318" s="18" t="s">
        <v>8141</v>
      </c>
      <c r="T5318" s="18" t="s">
        <v>11262</v>
      </c>
      <c r="U5318" s="18" t="s">
        <v>11263</v>
      </c>
      <c r="V5318" s="18"/>
      <c r="W5318" s="18" t="s">
        <v>48829</v>
      </c>
      <c r="X5318" s="18" t="s">
        <v>42</v>
      </c>
      <c r="Y5318" s="18" t="s">
        <v>36</v>
      </c>
      <c r="Z5318" s="18" t="s">
        <v>166</v>
      </c>
      <c r="AA5318" s="21" t="str">
        <f>HYPERLINK("https://www.ncbi.nlm.nih.gov/nuccore/X94165","NCBI Nucleotide")</f>
        <v>NCBI Nucleotide</v>
      </c>
    </row>
    <row r="5319" spans="1:27" x14ac:dyDescent="0.35">
      <c r="A5319">
        <v>1006975</v>
      </c>
      <c r="B5319">
        <v>5218</v>
      </c>
      <c r="C5319">
        <v>1</v>
      </c>
      <c r="D5319" s="17" t="s">
        <v>10507</v>
      </c>
      <c r="E5319" s="17"/>
      <c r="F5319" s="17" t="s">
        <v>10780</v>
      </c>
      <c r="G5319" s="17"/>
      <c r="H5319" s="17" t="s">
        <v>10781</v>
      </c>
      <c r="I5319" s="17"/>
      <c r="J5319" s="17" t="s">
        <v>10791</v>
      </c>
      <c r="K5319" s="17"/>
      <c r="L5319" s="17" t="s">
        <v>11236</v>
      </c>
      <c r="M5319" s="17"/>
      <c r="N5319" s="17" t="s">
        <v>11237</v>
      </c>
      <c r="O5319" s="17" t="s">
        <v>11238</v>
      </c>
      <c r="P5319" s="17" t="s">
        <v>11239</v>
      </c>
      <c r="Q5319" s="17"/>
      <c r="R5319" s="25" t="str">
        <f t="shared" ref="R5319:R5330" si="7">HYPERLINK("https://ictv.global/taxonomy/taxondetails?taxnode_id=202303985","Alphapapillomavirus 12")</f>
        <v>Alphapapillomavirus 12</v>
      </c>
      <c r="S5319" s="18" t="s">
        <v>30</v>
      </c>
      <c r="T5319" s="18" t="s">
        <v>11264</v>
      </c>
      <c r="U5319" s="18" t="s">
        <v>11265</v>
      </c>
      <c r="V5319" s="18"/>
      <c r="W5319" s="18" t="s">
        <v>11266</v>
      </c>
      <c r="X5319" s="18" t="s">
        <v>42</v>
      </c>
      <c r="Y5319" s="18" t="s">
        <v>36</v>
      </c>
      <c r="Z5319" s="18" t="s">
        <v>166</v>
      </c>
      <c r="AA5319" s="21" t="str">
        <f>HYPERLINK("https://www.ncbi.nlm.nih.gov/nuccore/M60184","NCBI Nucleotide")</f>
        <v>NCBI Nucleotide</v>
      </c>
    </row>
    <row r="5320" spans="1:27" x14ac:dyDescent="0.35">
      <c r="A5320">
        <v>1012227</v>
      </c>
      <c r="B5320">
        <v>5218</v>
      </c>
      <c r="C5320">
        <v>2</v>
      </c>
      <c r="D5320" s="17" t="s">
        <v>10507</v>
      </c>
      <c r="E5320" s="17"/>
      <c r="F5320" s="17" t="s">
        <v>10780</v>
      </c>
      <c r="G5320" s="17"/>
      <c r="H5320" s="17" t="s">
        <v>10781</v>
      </c>
      <c r="I5320" s="17"/>
      <c r="J5320" s="17" t="s">
        <v>10791</v>
      </c>
      <c r="K5320" s="17"/>
      <c r="L5320" s="17" t="s">
        <v>11236</v>
      </c>
      <c r="M5320" s="17"/>
      <c r="N5320" s="17" t="s">
        <v>11237</v>
      </c>
      <c r="O5320" s="17" t="s">
        <v>11238</v>
      </c>
      <c r="P5320" s="17" t="s">
        <v>11239</v>
      </c>
      <c r="Q5320" s="17"/>
      <c r="R5320" s="25" t="str">
        <f t="shared" si="7"/>
        <v>Alphapapillomavirus 12</v>
      </c>
      <c r="S5320" s="18" t="s">
        <v>8141</v>
      </c>
      <c r="T5320" s="18" t="s">
        <v>11270</v>
      </c>
      <c r="U5320" s="18" t="s">
        <v>11271</v>
      </c>
      <c r="V5320" s="18" t="s">
        <v>11272</v>
      </c>
      <c r="W5320" s="18" t="s">
        <v>48830</v>
      </c>
      <c r="X5320" s="18" t="s">
        <v>42</v>
      </c>
      <c r="Y5320" s="18" t="s">
        <v>36</v>
      </c>
      <c r="Z5320" s="18" t="s">
        <v>166</v>
      </c>
      <c r="AA5320" s="21" t="str">
        <f>HYPERLINK("https://www.ncbi.nlm.nih.gov/nuccore/EF558839","NCBI Nucleotide")</f>
        <v>NCBI Nucleotide</v>
      </c>
    </row>
    <row r="5321" spans="1:27" x14ac:dyDescent="0.35">
      <c r="A5321">
        <v>1012229</v>
      </c>
      <c r="B5321">
        <v>5218</v>
      </c>
      <c r="C5321">
        <v>3</v>
      </c>
      <c r="D5321" s="17" t="s">
        <v>10507</v>
      </c>
      <c r="E5321" s="17"/>
      <c r="F5321" s="17" t="s">
        <v>10780</v>
      </c>
      <c r="G5321" s="17"/>
      <c r="H5321" s="17" t="s">
        <v>10781</v>
      </c>
      <c r="I5321" s="17"/>
      <c r="J5321" s="17" t="s">
        <v>10791</v>
      </c>
      <c r="K5321" s="17"/>
      <c r="L5321" s="17" t="s">
        <v>11236</v>
      </c>
      <c r="M5321" s="17"/>
      <c r="N5321" s="17" t="s">
        <v>11237</v>
      </c>
      <c r="O5321" s="17" t="s">
        <v>11238</v>
      </c>
      <c r="P5321" s="17" t="s">
        <v>11239</v>
      </c>
      <c r="Q5321" s="17"/>
      <c r="R5321" s="25" t="str">
        <f t="shared" si="7"/>
        <v>Alphapapillomavirus 12</v>
      </c>
      <c r="S5321" s="18" t="s">
        <v>8141</v>
      </c>
      <c r="T5321" s="18" t="s">
        <v>11276</v>
      </c>
      <c r="U5321" s="18" t="s">
        <v>11277</v>
      </c>
      <c r="V5321" s="18" t="s">
        <v>11278</v>
      </c>
      <c r="W5321" s="18" t="s">
        <v>48831</v>
      </c>
      <c r="X5321" s="18" t="s">
        <v>42</v>
      </c>
      <c r="Y5321" s="18" t="s">
        <v>36</v>
      </c>
      <c r="Z5321" s="18" t="s">
        <v>166</v>
      </c>
      <c r="AA5321" s="21" t="str">
        <f>HYPERLINK("https://www.ncbi.nlm.nih.gov/nuccore/EF558841","NCBI Nucleotide")</f>
        <v>NCBI Nucleotide</v>
      </c>
    </row>
    <row r="5322" spans="1:27" x14ac:dyDescent="0.35">
      <c r="A5322">
        <v>1012231</v>
      </c>
      <c r="B5322">
        <v>5218</v>
      </c>
      <c r="C5322">
        <v>4</v>
      </c>
      <c r="D5322" s="17" t="s">
        <v>10507</v>
      </c>
      <c r="E5322" s="17"/>
      <c r="F5322" s="17" t="s">
        <v>10780</v>
      </c>
      <c r="G5322" s="17"/>
      <c r="H5322" s="17" t="s">
        <v>10781</v>
      </c>
      <c r="I5322" s="17"/>
      <c r="J5322" s="17" t="s">
        <v>10791</v>
      </c>
      <c r="K5322" s="17"/>
      <c r="L5322" s="17" t="s">
        <v>11236</v>
      </c>
      <c r="M5322" s="17"/>
      <c r="N5322" s="17" t="s">
        <v>11237</v>
      </c>
      <c r="O5322" s="17" t="s">
        <v>11238</v>
      </c>
      <c r="P5322" s="17" t="s">
        <v>11239</v>
      </c>
      <c r="Q5322" s="17"/>
      <c r="R5322" s="25" t="str">
        <f t="shared" si="7"/>
        <v>Alphapapillomavirus 12</v>
      </c>
      <c r="S5322" s="18" t="s">
        <v>8141</v>
      </c>
      <c r="T5322" s="18" t="s">
        <v>11282</v>
      </c>
      <c r="U5322" s="18" t="s">
        <v>11283</v>
      </c>
      <c r="V5322" s="18" t="s">
        <v>11284</v>
      </c>
      <c r="W5322" s="18" t="s">
        <v>48832</v>
      </c>
      <c r="X5322" s="18" t="s">
        <v>42</v>
      </c>
      <c r="Y5322" s="18" t="s">
        <v>36</v>
      </c>
      <c r="Z5322" s="18" t="s">
        <v>166</v>
      </c>
      <c r="AA5322" s="21" t="str">
        <f>HYPERLINK("https://www.ncbi.nlm.nih.gov/nuccore/EF558843","NCBI Nucleotide")</f>
        <v>NCBI Nucleotide</v>
      </c>
    </row>
    <row r="5323" spans="1:27" x14ac:dyDescent="0.35">
      <c r="A5323">
        <v>1012228</v>
      </c>
      <c r="B5323">
        <v>5218</v>
      </c>
      <c r="C5323">
        <v>5</v>
      </c>
      <c r="D5323" s="17" t="s">
        <v>10507</v>
      </c>
      <c r="E5323" s="17"/>
      <c r="F5323" s="17" t="s">
        <v>10780</v>
      </c>
      <c r="G5323" s="17"/>
      <c r="H5323" s="17" t="s">
        <v>10781</v>
      </c>
      <c r="I5323" s="17"/>
      <c r="J5323" s="17" t="s">
        <v>10791</v>
      </c>
      <c r="K5323" s="17"/>
      <c r="L5323" s="17" t="s">
        <v>11236</v>
      </c>
      <c r="M5323" s="17"/>
      <c r="N5323" s="17" t="s">
        <v>11237</v>
      </c>
      <c r="O5323" s="17" t="s">
        <v>11238</v>
      </c>
      <c r="P5323" s="17" t="s">
        <v>11239</v>
      </c>
      <c r="Q5323" s="17"/>
      <c r="R5323" s="25" t="str">
        <f t="shared" si="7"/>
        <v>Alphapapillomavirus 12</v>
      </c>
      <c r="S5323" s="18" t="s">
        <v>8141</v>
      </c>
      <c r="T5323" s="18" t="s">
        <v>11273</v>
      </c>
      <c r="U5323" s="18" t="s">
        <v>11274</v>
      </c>
      <c r="V5323" s="18" t="s">
        <v>11275</v>
      </c>
      <c r="W5323" s="18" t="s">
        <v>48833</v>
      </c>
      <c r="X5323" s="18" t="s">
        <v>42</v>
      </c>
      <c r="Y5323" s="18" t="s">
        <v>36</v>
      </c>
      <c r="Z5323" s="18" t="s">
        <v>166</v>
      </c>
      <c r="AA5323" s="21" t="str">
        <f>HYPERLINK("https://www.ncbi.nlm.nih.gov/nuccore/EF558840","NCBI Nucleotide")</f>
        <v>NCBI Nucleotide</v>
      </c>
    </row>
    <row r="5324" spans="1:27" x14ac:dyDescent="0.35">
      <c r="A5324">
        <v>1012226</v>
      </c>
      <c r="B5324">
        <v>5218</v>
      </c>
      <c r="C5324">
        <v>6</v>
      </c>
      <c r="D5324" s="17" t="s">
        <v>10507</v>
      </c>
      <c r="E5324" s="17"/>
      <c r="F5324" s="17" t="s">
        <v>10780</v>
      </c>
      <c r="G5324" s="17"/>
      <c r="H5324" s="17" t="s">
        <v>10781</v>
      </c>
      <c r="I5324" s="17"/>
      <c r="J5324" s="17" t="s">
        <v>10791</v>
      </c>
      <c r="K5324" s="17"/>
      <c r="L5324" s="17" t="s">
        <v>11236</v>
      </c>
      <c r="M5324" s="17"/>
      <c r="N5324" s="17" t="s">
        <v>11237</v>
      </c>
      <c r="O5324" s="17" t="s">
        <v>11238</v>
      </c>
      <c r="P5324" s="17" t="s">
        <v>11239</v>
      </c>
      <c r="Q5324" s="17"/>
      <c r="R5324" s="25" t="str">
        <f t="shared" si="7"/>
        <v>Alphapapillomavirus 12</v>
      </c>
      <c r="S5324" s="18" t="s">
        <v>8141</v>
      </c>
      <c r="T5324" s="18" t="s">
        <v>11267</v>
      </c>
      <c r="U5324" s="18" t="s">
        <v>11268</v>
      </c>
      <c r="V5324" s="18" t="s">
        <v>11269</v>
      </c>
      <c r="W5324" s="18" t="s">
        <v>48834</v>
      </c>
      <c r="X5324" s="18" t="s">
        <v>42</v>
      </c>
      <c r="Y5324" s="18" t="s">
        <v>36</v>
      </c>
      <c r="Z5324" s="18" t="s">
        <v>166</v>
      </c>
      <c r="AA5324" s="21" t="str">
        <f>HYPERLINK("https://www.ncbi.nlm.nih.gov/nuccore/EF558838","NCBI Nucleotide")</f>
        <v>NCBI Nucleotide</v>
      </c>
    </row>
    <row r="5325" spans="1:27" x14ac:dyDescent="0.35">
      <c r="A5325">
        <v>1012230</v>
      </c>
      <c r="B5325">
        <v>5218</v>
      </c>
      <c r="C5325">
        <v>7</v>
      </c>
      <c r="D5325" s="17" t="s">
        <v>10507</v>
      </c>
      <c r="E5325" s="17"/>
      <c r="F5325" s="17" t="s">
        <v>10780</v>
      </c>
      <c r="G5325" s="17"/>
      <c r="H5325" s="17" t="s">
        <v>10781</v>
      </c>
      <c r="I5325" s="17"/>
      <c r="J5325" s="17" t="s">
        <v>10791</v>
      </c>
      <c r="K5325" s="17"/>
      <c r="L5325" s="17" t="s">
        <v>11236</v>
      </c>
      <c r="M5325" s="17"/>
      <c r="N5325" s="17" t="s">
        <v>11237</v>
      </c>
      <c r="O5325" s="17" t="s">
        <v>11238</v>
      </c>
      <c r="P5325" s="17" t="s">
        <v>11239</v>
      </c>
      <c r="Q5325" s="17"/>
      <c r="R5325" s="25" t="str">
        <f t="shared" si="7"/>
        <v>Alphapapillomavirus 12</v>
      </c>
      <c r="S5325" s="18" t="s">
        <v>8141</v>
      </c>
      <c r="T5325" s="18" t="s">
        <v>11279</v>
      </c>
      <c r="U5325" s="18" t="s">
        <v>11280</v>
      </c>
      <c r="V5325" s="18" t="s">
        <v>11281</v>
      </c>
      <c r="W5325" s="18" t="s">
        <v>48835</v>
      </c>
      <c r="X5325" s="18" t="s">
        <v>42</v>
      </c>
      <c r="Y5325" s="18" t="s">
        <v>36</v>
      </c>
      <c r="Z5325" s="18" t="s">
        <v>166</v>
      </c>
      <c r="AA5325" s="21" t="str">
        <f>HYPERLINK("https://www.ncbi.nlm.nih.gov/nuccore/EF558842","NCBI Nucleotide")</f>
        <v>NCBI Nucleotide</v>
      </c>
    </row>
    <row r="5326" spans="1:27" x14ac:dyDescent="0.35">
      <c r="A5326">
        <v>1012233</v>
      </c>
      <c r="B5326">
        <v>5218</v>
      </c>
      <c r="C5326">
        <v>8</v>
      </c>
      <c r="D5326" s="17" t="s">
        <v>10507</v>
      </c>
      <c r="E5326" s="17"/>
      <c r="F5326" s="17" t="s">
        <v>10780</v>
      </c>
      <c r="G5326" s="17"/>
      <c r="H5326" s="17" t="s">
        <v>10781</v>
      </c>
      <c r="I5326" s="17"/>
      <c r="J5326" s="17" t="s">
        <v>10791</v>
      </c>
      <c r="K5326" s="17"/>
      <c r="L5326" s="17" t="s">
        <v>11236</v>
      </c>
      <c r="M5326" s="17"/>
      <c r="N5326" s="17" t="s">
        <v>11237</v>
      </c>
      <c r="O5326" s="17" t="s">
        <v>11238</v>
      </c>
      <c r="P5326" s="17" t="s">
        <v>11239</v>
      </c>
      <c r="Q5326" s="17"/>
      <c r="R5326" s="25" t="str">
        <f t="shared" si="7"/>
        <v>Alphapapillomavirus 12</v>
      </c>
      <c r="S5326" s="18" t="s">
        <v>8141</v>
      </c>
      <c r="T5326" s="18" t="s">
        <v>11288</v>
      </c>
      <c r="U5326" s="18" t="s">
        <v>11289</v>
      </c>
      <c r="V5326" s="18" t="s">
        <v>11290</v>
      </c>
      <c r="W5326" s="18" t="s">
        <v>48836</v>
      </c>
      <c r="X5326" s="18" t="s">
        <v>42</v>
      </c>
      <c r="Y5326" s="18" t="s">
        <v>36</v>
      </c>
      <c r="Z5326" s="18" t="s">
        <v>166</v>
      </c>
      <c r="AA5326" s="21" t="str">
        <f>HYPERLINK("https://www.ncbi.nlm.nih.gov/nuccore/EU490516","NCBI Nucleotide")</f>
        <v>NCBI Nucleotide</v>
      </c>
    </row>
    <row r="5327" spans="1:27" x14ac:dyDescent="0.35">
      <c r="A5327">
        <v>1012232</v>
      </c>
      <c r="B5327">
        <v>5218</v>
      </c>
      <c r="C5327">
        <v>9</v>
      </c>
      <c r="D5327" s="17" t="s">
        <v>10507</v>
      </c>
      <c r="E5327" s="17"/>
      <c r="F5327" s="17" t="s">
        <v>10780</v>
      </c>
      <c r="G5327" s="17"/>
      <c r="H5327" s="17" t="s">
        <v>10781</v>
      </c>
      <c r="I5327" s="17"/>
      <c r="J5327" s="17" t="s">
        <v>10791</v>
      </c>
      <c r="K5327" s="17"/>
      <c r="L5327" s="17" t="s">
        <v>11236</v>
      </c>
      <c r="M5327" s="17"/>
      <c r="N5327" s="17" t="s">
        <v>11237</v>
      </c>
      <c r="O5327" s="17" t="s">
        <v>11238</v>
      </c>
      <c r="P5327" s="17" t="s">
        <v>11239</v>
      </c>
      <c r="Q5327" s="17"/>
      <c r="R5327" s="25" t="str">
        <f t="shared" si="7"/>
        <v>Alphapapillomavirus 12</v>
      </c>
      <c r="S5327" s="18" t="s">
        <v>8141</v>
      </c>
      <c r="T5327" s="18" t="s">
        <v>11285</v>
      </c>
      <c r="U5327" s="18" t="s">
        <v>11286</v>
      </c>
      <c r="V5327" s="18" t="s">
        <v>11287</v>
      </c>
      <c r="W5327" s="18" t="s">
        <v>48837</v>
      </c>
      <c r="X5327" s="18" t="s">
        <v>42</v>
      </c>
      <c r="Y5327" s="18" t="s">
        <v>36</v>
      </c>
      <c r="Z5327" s="18" t="s">
        <v>166</v>
      </c>
      <c r="AA5327" s="21" t="str">
        <f>HYPERLINK("https://www.ncbi.nlm.nih.gov/nuccore/EU490515","NCBI Nucleotide")</f>
        <v>NCBI Nucleotide</v>
      </c>
    </row>
    <row r="5328" spans="1:27" x14ac:dyDescent="0.35">
      <c r="A5328">
        <v>1012234</v>
      </c>
      <c r="B5328">
        <v>5218</v>
      </c>
      <c r="C5328">
        <v>10</v>
      </c>
      <c r="D5328" s="17" t="s">
        <v>10507</v>
      </c>
      <c r="E5328" s="17"/>
      <c r="F5328" s="17" t="s">
        <v>10780</v>
      </c>
      <c r="G5328" s="17"/>
      <c r="H5328" s="17" t="s">
        <v>10781</v>
      </c>
      <c r="I5328" s="17"/>
      <c r="J5328" s="17" t="s">
        <v>10791</v>
      </c>
      <c r="K5328" s="17"/>
      <c r="L5328" s="17" t="s">
        <v>11236</v>
      </c>
      <c r="M5328" s="17"/>
      <c r="N5328" s="17" t="s">
        <v>11237</v>
      </c>
      <c r="O5328" s="17" t="s">
        <v>11238</v>
      </c>
      <c r="P5328" s="17" t="s">
        <v>11239</v>
      </c>
      <c r="Q5328" s="17"/>
      <c r="R5328" s="25" t="str">
        <f t="shared" si="7"/>
        <v>Alphapapillomavirus 12</v>
      </c>
      <c r="S5328" s="18" t="s">
        <v>8141</v>
      </c>
      <c r="T5328" s="18" t="s">
        <v>11291</v>
      </c>
      <c r="U5328" s="18" t="s">
        <v>11292</v>
      </c>
      <c r="V5328" s="18" t="s">
        <v>11293</v>
      </c>
      <c r="W5328" s="18" t="s">
        <v>48838</v>
      </c>
      <c r="X5328" s="18" t="s">
        <v>42</v>
      </c>
      <c r="Y5328" s="18" t="s">
        <v>36</v>
      </c>
      <c r="Z5328" s="18" t="s">
        <v>166</v>
      </c>
      <c r="AA5328" s="21" t="str">
        <f>HYPERLINK("https://www.ncbi.nlm.nih.gov/nuccore/GQ227670","NCBI Nucleotide")</f>
        <v>NCBI Nucleotide</v>
      </c>
    </row>
    <row r="5329" spans="1:27" x14ac:dyDescent="0.35">
      <c r="A5329">
        <v>1012236</v>
      </c>
      <c r="B5329">
        <v>5218</v>
      </c>
      <c r="C5329">
        <v>11</v>
      </c>
      <c r="D5329" s="17" t="s">
        <v>10507</v>
      </c>
      <c r="E5329" s="17"/>
      <c r="F5329" s="17" t="s">
        <v>10780</v>
      </c>
      <c r="G5329" s="17"/>
      <c r="H5329" s="17" t="s">
        <v>10781</v>
      </c>
      <c r="I5329" s="17"/>
      <c r="J5329" s="17" t="s">
        <v>10791</v>
      </c>
      <c r="K5329" s="17"/>
      <c r="L5329" s="17" t="s">
        <v>11236</v>
      </c>
      <c r="M5329" s="17"/>
      <c r="N5329" s="17" t="s">
        <v>11237</v>
      </c>
      <c r="O5329" s="17" t="s">
        <v>11238</v>
      </c>
      <c r="P5329" s="17" t="s">
        <v>11239</v>
      </c>
      <c r="Q5329" s="17"/>
      <c r="R5329" s="25" t="str">
        <f t="shared" si="7"/>
        <v>Alphapapillomavirus 12</v>
      </c>
      <c r="S5329" s="18" t="s">
        <v>8141</v>
      </c>
      <c r="T5329" s="18" t="s">
        <v>11297</v>
      </c>
      <c r="U5329" s="18" t="s">
        <v>11298</v>
      </c>
      <c r="V5329" s="18" t="s">
        <v>11299</v>
      </c>
      <c r="W5329" s="18" t="s">
        <v>48839</v>
      </c>
      <c r="X5329" s="18" t="s">
        <v>42</v>
      </c>
      <c r="Y5329" s="18" t="s">
        <v>36</v>
      </c>
      <c r="Z5329" s="18" t="s">
        <v>166</v>
      </c>
      <c r="AA5329" s="21" t="str">
        <f>HYPERLINK("https://www.ncbi.nlm.nih.gov/nuccore/KT944080","NCBI Nucleotide")</f>
        <v>NCBI Nucleotide</v>
      </c>
    </row>
    <row r="5330" spans="1:27" x14ac:dyDescent="0.35">
      <c r="A5330">
        <v>1012235</v>
      </c>
      <c r="B5330">
        <v>5218</v>
      </c>
      <c r="C5330">
        <v>12</v>
      </c>
      <c r="D5330" s="17" t="s">
        <v>10507</v>
      </c>
      <c r="E5330" s="17"/>
      <c r="F5330" s="17" t="s">
        <v>10780</v>
      </c>
      <c r="G5330" s="17"/>
      <c r="H5330" s="17" t="s">
        <v>10781</v>
      </c>
      <c r="I5330" s="17"/>
      <c r="J5330" s="17" t="s">
        <v>10791</v>
      </c>
      <c r="K5330" s="17"/>
      <c r="L5330" s="17" t="s">
        <v>11236</v>
      </c>
      <c r="M5330" s="17"/>
      <c r="N5330" s="17" t="s">
        <v>11237</v>
      </c>
      <c r="O5330" s="17" t="s">
        <v>11238</v>
      </c>
      <c r="P5330" s="17" t="s">
        <v>11239</v>
      </c>
      <c r="Q5330" s="17"/>
      <c r="R5330" s="25" t="str">
        <f t="shared" si="7"/>
        <v>Alphapapillomavirus 12</v>
      </c>
      <c r="S5330" s="18" t="s">
        <v>8141</v>
      </c>
      <c r="T5330" s="18" t="s">
        <v>11294</v>
      </c>
      <c r="U5330" s="18" t="s">
        <v>11295</v>
      </c>
      <c r="V5330" s="18" t="s">
        <v>11296</v>
      </c>
      <c r="W5330" s="18" t="s">
        <v>48840</v>
      </c>
      <c r="X5330" s="18" t="s">
        <v>42</v>
      </c>
      <c r="Y5330" s="18" t="s">
        <v>36</v>
      </c>
      <c r="Z5330" s="18" t="s">
        <v>166</v>
      </c>
      <c r="AA5330" s="21" t="str">
        <f>HYPERLINK("https://www.ncbi.nlm.nih.gov/nuccore/JF304764","NCBI Nucleotide")</f>
        <v>NCBI Nucleotide</v>
      </c>
    </row>
    <row r="5331" spans="1:27" x14ac:dyDescent="0.35">
      <c r="A5331">
        <v>1006976</v>
      </c>
      <c r="B5331">
        <v>5219</v>
      </c>
      <c r="C5331">
        <v>1</v>
      </c>
      <c r="D5331" s="17" t="s">
        <v>10507</v>
      </c>
      <c r="E5331" s="17"/>
      <c r="F5331" s="17" t="s">
        <v>10780</v>
      </c>
      <c r="G5331" s="17"/>
      <c r="H5331" s="17" t="s">
        <v>10781</v>
      </c>
      <c r="I5331" s="17"/>
      <c r="J5331" s="17" t="s">
        <v>10791</v>
      </c>
      <c r="K5331" s="17"/>
      <c r="L5331" s="17" t="s">
        <v>11236</v>
      </c>
      <c r="M5331" s="17"/>
      <c r="N5331" s="17" t="s">
        <v>11237</v>
      </c>
      <c r="O5331" s="17" t="s">
        <v>11238</v>
      </c>
      <c r="P5331" s="17" t="s">
        <v>11239</v>
      </c>
      <c r="Q5331" s="17"/>
      <c r="R5331" s="25" t="str">
        <f>HYPERLINK("https://ictv.global/taxonomy/taxondetails?taxnode_id=202303986","Alphapapillomavirus 13")</f>
        <v>Alphapapillomavirus 13</v>
      </c>
      <c r="S5331" s="18" t="s">
        <v>30</v>
      </c>
      <c r="T5331" s="18" t="s">
        <v>11300</v>
      </c>
      <c r="U5331" s="18" t="s">
        <v>11301</v>
      </c>
      <c r="V5331" s="18"/>
      <c r="W5331" s="18" t="s">
        <v>11302</v>
      </c>
      <c r="X5331" s="18" t="s">
        <v>42</v>
      </c>
      <c r="Y5331" s="18" t="s">
        <v>36</v>
      </c>
      <c r="Z5331" s="18" t="s">
        <v>166</v>
      </c>
      <c r="AA5331" s="21" t="str">
        <f>HYPERLINK("https://www.ncbi.nlm.nih.gov/nuccore/U37488","NCBI Nucleotide")</f>
        <v>NCBI Nucleotide</v>
      </c>
    </row>
    <row r="5332" spans="1:27" x14ac:dyDescent="0.35">
      <c r="A5332">
        <v>1006977</v>
      </c>
      <c r="B5332">
        <v>5220</v>
      </c>
      <c r="C5332">
        <v>1</v>
      </c>
      <c r="D5332" s="17" t="s">
        <v>10507</v>
      </c>
      <c r="E5332" s="17"/>
      <c r="F5332" s="17" t="s">
        <v>10780</v>
      </c>
      <c r="G5332" s="17"/>
      <c r="H5332" s="17" t="s">
        <v>10781</v>
      </c>
      <c r="I5332" s="17"/>
      <c r="J5332" s="17" t="s">
        <v>10791</v>
      </c>
      <c r="K5332" s="17"/>
      <c r="L5332" s="17" t="s">
        <v>11236</v>
      </c>
      <c r="M5332" s="17"/>
      <c r="N5332" s="17" t="s">
        <v>11237</v>
      </c>
      <c r="O5332" s="17" t="s">
        <v>11238</v>
      </c>
      <c r="P5332" s="17" t="s">
        <v>11239</v>
      </c>
      <c r="Q5332" s="17"/>
      <c r="R5332" s="25" t="str">
        <f>HYPERLINK("https://ictv.global/taxonomy/taxondetails?taxnode_id=202303987","Alphapapillomavirus 14")</f>
        <v>Alphapapillomavirus 14</v>
      </c>
      <c r="S5332" s="18" t="s">
        <v>30</v>
      </c>
      <c r="T5332" s="18" t="s">
        <v>11303</v>
      </c>
      <c r="U5332" s="18" t="s">
        <v>11304</v>
      </c>
      <c r="V5332" s="18"/>
      <c r="W5332" s="18" t="s">
        <v>11305</v>
      </c>
      <c r="X5332" s="18" t="s">
        <v>42</v>
      </c>
      <c r="Y5332" s="18" t="s">
        <v>36</v>
      </c>
      <c r="Z5332" s="18" t="s">
        <v>166</v>
      </c>
      <c r="AA5332" s="21" t="str">
        <f>HYPERLINK("https://www.ncbi.nlm.nih.gov/nuccore/AB040456","NCBI Nucleotide")</f>
        <v>NCBI Nucleotide</v>
      </c>
    </row>
    <row r="5333" spans="1:27" x14ac:dyDescent="0.35">
      <c r="A5333">
        <v>1012239</v>
      </c>
      <c r="B5333">
        <v>5220</v>
      </c>
      <c r="C5333">
        <v>2</v>
      </c>
      <c r="D5333" s="17" t="s">
        <v>10507</v>
      </c>
      <c r="E5333" s="17"/>
      <c r="F5333" s="17" t="s">
        <v>10780</v>
      </c>
      <c r="G5333" s="17"/>
      <c r="H5333" s="17" t="s">
        <v>10781</v>
      </c>
      <c r="I5333" s="17"/>
      <c r="J5333" s="17" t="s">
        <v>10791</v>
      </c>
      <c r="K5333" s="17"/>
      <c r="L5333" s="17" t="s">
        <v>11236</v>
      </c>
      <c r="M5333" s="17"/>
      <c r="N5333" s="17" t="s">
        <v>11237</v>
      </c>
      <c r="O5333" s="17" t="s">
        <v>11238</v>
      </c>
      <c r="P5333" s="17" t="s">
        <v>11239</v>
      </c>
      <c r="Q5333" s="17"/>
      <c r="R5333" s="25" t="str">
        <f>HYPERLINK("https://ictv.global/taxonomy/taxondetails?taxnode_id=202303987","Alphapapillomavirus 14")</f>
        <v>Alphapapillomavirus 14</v>
      </c>
      <c r="S5333" s="18" t="s">
        <v>8141</v>
      </c>
      <c r="T5333" s="18" t="s">
        <v>11311</v>
      </c>
      <c r="U5333" s="18" t="s">
        <v>11312</v>
      </c>
      <c r="V5333" s="18"/>
      <c r="W5333" s="18" t="s">
        <v>48841</v>
      </c>
      <c r="X5333" s="18" t="s">
        <v>42</v>
      </c>
      <c r="Y5333" s="18" t="s">
        <v>36</v>
      </c>
      <c r="Z5333" s="18" t="s">
        <v>166</v>
      </c>
      <c r="AA5333" s="21" t="str">
        <f>HYPERLINK("https://www.ncbi.nlm.nih.gov/nuccore/GU014532","NCBI Nucleotide")</f>
        <v>NCBI Nucleotide</v>
      </c>
    </row>
    <row r="5334" spans="1:27" x14ac:dyDescent="0.35">
      <c r="A5334">
        <v>1012237</v>
      </c>
      <c r="B5334">
        <v>5220</v>
      </c>
      <c r="C5334">
        <v>3</v>
      </c>
      <c r="D5334" s="17" t="s">
        <v>10507</v>
      </c>
      <c r="E5334" s="17"/>
      <c r="F5334" s="17" t="s">
        <v>10780</v>
      </c>
      <c r="G5334" s="17"/>
      <c r="H5334" s="17" t="s">
        <v>10781</v>
      </c>
      <c r="I5334" s="17"/>
      <c r="J5334" s="17" t="s">
        <v>10791</v>
      </c>
      <c r="K5334" s="17"/>
      <c r="L5334" s="17" t="s">
        <v>11236</v>
      </c>
      <c r="M5334" s="17"/>
      <c r="N5334" s="17" t="s">
        <v>11237</v>
      </c>
      <c r="O5334" s="17" t="s">
        <v>11238</v>
      </c>
      <c r="P5334" s="17" t="s">
        <v>11239</v>
      </c>
      <c r="Q5334" s="17"/>
      <c r="R5334" s="25" t="str">
        <f>HYPERLINK("https://ictv.global/taxonomy/taxondetails?taxnode_id=202303987","Alphapapillomavirus 14")</f>
        <v>Alphapapillomavirus 14</v>
      </c>
      <c r="S5334" s="18" t="s">
        <v>8141</v>
      </c>
      <c r="T5334" s="18" t="s">
        <v>11306</v>
      </c>
      <c r="U5334" s="18" t="s">
        <v>11307</v>
      </c>
      <c r="V5334" s="18"/>
      <c r="W5334" s="18" t="s">
        <v>48842</v>
      </c>
      <c r="X5334" s="18" t="s">
        <v>42</v>
      </c>
      <c r="Y5334" s="18" t="s">
        <v>36</v>
      </c>
      <c r="Z5334" s="18" t="s">
        <v>166</v>
      </c>
      <c r="AA5334" s="21" t="str">
        <f>HYPERLINK("https://www.ncbi.nlm.nih.gov/nuccore/AY057438","NCBI Nucleotide")</f>
        <v>NCBI Nucleotide</v>
      </c>
    </row>
    <row r="5335" spans="1:27" x14ac:dyDescent="0.35">
      <c r="A5335">
        <v>1012238</v>
      </c>
      <c r="B5335">
        <v>5220</v>
      </c>
      <c r="C5335">
        <v>4</v>
      </c>
      <c r="D5335" s="17" t="s">
        <v>10507</v>
      </c>
      <c r="E5335" s="17"/>
      <c r="F5335" s="17" t="s">
        <v>10780</v>
      </c>
      <c r="G5335" s="17"/>
      <c r="H5335" s="17" t="s">
        <v>10781</v>
      </c>
      <c r="I5335" s="17"/>
      <c r="J5335" s="17" t="s">
        <v>10791</v>
      </c>
      <c r="K5335" s="17"/>
      <c r="L5335" s="17" t="s">
        <v>11236</v>
      </c>
      <c r="M5335" s="17"/>
      <c r="N5335" s="17" t="s">
        <v>11237</v>
      </c>
      <c r="O5335" s="17" t="s">
        <v>11238</v>
      </c>
      <c r="P5335" s="17" t="s">
        <v>11239</v>
      </c>
      <c r="Q5335" s="17"/>
      <c r="R5335" s="25" t="str">
        <f>HYPERLINK("https://ictv.global/taxonomy/taxondetails?taxnode_id=202303987","Alphapapillomavirus 14")</f>
        <v>Alphapapillomavirus 14</v>
      </c>
      <c r="S5335" s="18" t="s">
        <v>8141</v>
      </c>
      <c r="T5335" s="18" t="s">
        <v>11308</v>
      </c>
      <c r="U5335" s="18" t="s">
        <v>11309</v>
      </c>
      <c r="V5335" s="18" t="s">
        <v>11310</v>
      </c>
      <c r="W5335" s="18" t="s">
        <v>48843</v>
      </c>
      <c r="X5335" s="18" t="s">
        <v>42</v>
      </c>
      <c r="Y5335" s="18" t="s">
        <v>36</v>
      </c>
      <c r="Z5335" s="18" t="s">
        <v>166</v>
      </c>
      <c r="AA5335" s="21" t="str">
        <f>HYPERLINK("https://www.ncbi.nlm.nih.gov/nuccore/DQ080082","NCBI Nucleotide")</f>
        <v>NCBI Nucleotide</v>
      </c>
    </row>
    <row r="5336" spans="1:27" x14ac:dyDescent="0.35">
      <c r="A5336">
        <v>1006986</v>
      </c>
      <c r="B5336">
        <v>5221</v>
      </c>
      <c r="C5336">
        <v>1</v>
      </c>
      <c r="D5336" s="17" t="s">
        <v>10507</v>
      </c>
      <c r="E5336" s="17"/>
      <c r="F5336" s="17" t="s">
        <v>10780</v>
      </c>
      <c r="G5336" s="17"/>
      <c r="H5336" s="17" t="s">
        <v>10781</v>
      </c>
      <c r="I5336" s="17"/>
      <c r="J5336" s="17" t="s">
        <v>10791</v>
      </c>
      <c r="K5336" s="17"/>
      <c r="L5336" s="17" t="s">
        <v>11236</v>
      </c>
      <c r="M5336" s="17"/>
      <c r="N5336" s="17" t="s">
        <v>11237</v>
      </c>
      <c r="O5336" s="17" t="s">
        <v>11238</v>
      </c>
      <c r="P5336" s="17" t="s">
        <v>11433</v>
      </c>
      <c r="Q5336" s="17"/>
      <c r="R5336" s="25" t="str">
        <f t="shared" ref="R5336:R5356" si="8">HYPERLINK("https://ictv.global/taxonomy/taxondetails?taxnode_id=202303989","Betapapillomavirus 1")</f>
        <v>Betapapillomavirus 1</v>
      </c>
      <c r="S5336" s="18" t="s">
        <v>30</v>
      </c>
      <c r="T5336" s="18" t="s">
        <v>11434</v>
      </c>
      <c r="U5336" s="18" t="s">
        <v>11435</v>
      </c>
      <c r="V5336" s="18"/>
      <c r="W5336" s="18" t="s">
        <v>11436</v>
      </c>
      <c r="X5336" s="18" t="s">
        <v>42</v>
      </c>
      <c r="Y5336" s="18" t="s">
        <v>36</v>
      </c>
      <c r="Z5336" s="18" t="s">
        <v>166</v>
      </c>
      <c r="AA5336" s="21" t="str">
        <f>HYPERLINK("https://www.ncbi.nlm.nih.gov/nuccore/M17463","NCBI Nucleotide")</f>
        <v>NCBI Nucleotide</v>
      </c>
    </row>
    <row r="5337" spans="1:27" x14ac:dyDescent="0.35">
      <c r="A5337">
        <v>1012290</v>
      </c>
      <c r="B5337">
        <v>5221</v>
      </c>
      <c r="C5337">
        <v>2</v>
      </c>
      <c r="D5337" s="17" t="s">
        <v>10507</v>
      </c>
      <c r="E5337" s="17"/>
      <c r="F5337" s="17" t="s">
        <v>10780</v>
      </c>
      <c r="G5337" s="17"/>
      <c r="H5337" s="17" t="s">
        <v>10781</v>
      </c>
      <c r="I5337" s="17"/>
      <c r="J5337" s="17" t="s">
        <v>10791</v>
      </c>
      <c r="K5337" s="17"/>
      <c r="L5337" s="17" t="s">
        <v>11236</v>
      </c>
      <c r="M5337" s="17"/>
      <c r="N5337" s="17" t="s">
        <v>11237</v>
      </c>
      <c r="O5337" s="17" t="s">
        <v>11238</v>
      </c>
      <c r="P5337" s="17" t="s">
        <v>11433</v>
      </c>
      <c r="Q5337" s="17"/>
      <c r="R5337" s="25" t="str">
        <f t="shared" si="8"/>
        <v>Betapapillomavirus 1</v>
      </c>
      <c r="S5337" s="18" t="s">
        <v>8141</v>
      </c>
      <c r="T5337" s="18" t="s">
        <v>11456</v>
      </c>
      <c r="U5337" s="18" t="s">
        <v>11457</v>
      </c>
      <c r="V5337" s="18"/>
      <c r="W5337" s="18" t="s">
        <v>48844</v>
      </c>
      <c r="X5337" s="18" t="s">
        <v>42</v>
      </c>
      <c r="Y5337" s="18" t="s">
        <v>36</v>
      </c>
      <c r="Z5337" s="18" t="s">
        <v>166</v>
      </c>
      <c r="AA5337" s="21" t="str">
        <f>HYPERLINK("https://www.ncbi.nlm.nih.gov/nuccore/GU014533","NCBI Nucleotide")</f>
        <v>NCBI Nucleotide</v>
      </c>
    </row>
    <row r="5338" spans="1:27" x14ac:dyDescent="0.35">
      <c r="A5338">
        <v>1012293</v>
      </c>
      <c r="B5338">
        <v>5221</v>
      </c>
      <c r="C5338">
        <v>3</v>
      </c>
      <c r="D5338" s="17" t="s">
        <v>10507</v>
      </c>
      <c r="E5338" s="17"/>
      <c r="F5338" s="17" t="s">
        <v>10780</v>
      </c>
      <c r="G5338" s="17"/>
      <c r="H5338" s="17" t="s">
        <v>10781</v>
      </c>
      <c r="I5338" s="17"/>
      <c r="J5338" s="17" t="s">
        <v>10791</v>
      </c>
      <c r="K5338" s="17"/>
      <c r="L5338" s="17" t="s">
        <v>11236</v>
      </c>
      <c r="M5338" s="17"/>
      <c r="N5338" s="17" t="s">
        <v>11237</v>
      </c>
      <c r="O5338" s="17" t="s">
        <v>11238</v>
      </c>
      <c r="P5338" s="17" t="s">
        <v>11433</v>
      </c>
      <c r="Q5338" s="17"/>
      <c r="R5338" s="25" t="str">
        <f t="shared" si="8"/>
        <v>Betapapillomavirus 1</v>
      </c>
      <c r="S5338" s="18" t="s">
        <v>8141</v>
      </c>
      <c r="T5338" s="18" t="s">
        <v>11464</v>
      </c>
      <c r="U5338" s="18" t="s">
        <v>11465</v>
      </c>
      <c r="V5338" s="18"/>
      <c r="W5338" s="18" t="s">
        <v>48845</v>
      </c>
      <c r="X5338" s="18" t="s">
        <v>42</v>
      </c>
      <c r="Y5338" s="18" t="s">
        <v>36</v>
      </c>
      <c r="Z5338" s="18" t="s">
        <v>166</v>
      </c>
      <c r="AA5338" s="21" t="str">
        <f>HYPERLINK("https://www.ncbi.nlm.nih.gov/nuccore/M12737","NCBI Nucleotide")</f>
        <v>NCBI Nucleotide</v>
      </c>
    </row>
    <row r="5339" spans="1:27" x14ac:dyDescent="0.35">
      <c r="A5339">
        <v>1012299</v>
      </c>
      <c r="B5339">
        <v>5221</v>
      </c>
      <c r="C5339">
        <v>4</v>
      </c>
      <c r="D5339" s="17" t="s">
        <v>10507</v>
      </c>
      <c r="E5339" s="17"/>
      <c r="F5339" s="17" t="s">
        <v>10780</v>
      </c>
      <c r="G5339" s="17"/>
      <c r="H5339" s="17" t="s">
        <v>10781</v>
      </c>
      <c r="I5339" s="17"/>
      <c r="J5339" s="17" t="s">
        <v>10791</v>
      </c>
      <c r="K5339" s="17"/>
      <c r="L5339" s="17" t="s">
        <v>11236</v>
      </c>
      <c r="M5339" s="17"/>
      <c r="N5339" s="17" t="s">
        <v>11237</v>
      </c>
      <c r="O5339" s="17" t="s">
        <v>11238</v>
      </c>
      <c r="P5339" s="17" t="s">
        <v>11433</v>
      </c>
      <c r="Q5339" s="17"/>
      <c r="R5339" s="25" t="str">
        <f t="shared" si="8"/>
        <v>Betapapillomavirus 1</v>
      </c>
      <c r="S5339" s="18" t="s">
        <v>8141</v>
      </c>
      <c r="T5339" s="18" t="s">
        <v>11476</v>
      </c>
      <c r="U5339" s="18" t="s">
        <v>11477</v>
      </c>
      <c r="V5339" s="18"/>
      <c r="W5339" s="18" t="s">
        <v>48846</v>
      </c>
      <c r="X5339" s="18" t="s">
        <v>42</v>
      </c>
      <c r="Y5339" s="18" t="s">
        <v>36</v>
      </c>
      <c r="Z5339" s="18" t="s">
        <v>166</v>
      </c>
      <c r="AA5339" s="21" t="str">
        <f>HYPERLINK("https://www.ncbi.nlm.nih.gov/nuccore/X74466","NCBI Nucleotide")</f>
        <v>NCBI Nucleotide</v>
      </c>
    </row>
    <row r="5340" spans="1:27" x14ac:dyDescent="0.35">
      <c r="A5340">
        <v>1012300</v>
      </c>
      <c r="B5340">
        <v>5221</v>
      </c>
      <c r="C5340">
        <v>5</v>
      </c>
      <c r="D5340" s="17" t="s">
        <v>10507</v>
      </c>
      <c r="E5340" s="17"/>
      <c r="F5340" s="17" t="s">
        <v>10780</v>
      </c>
      <c r="G5340" s="17"/>
      <c r="H5340" s="17" t="s">
        <v>10781</v>
      </c>
      <c r="I5340" s="17"/>
      <c r="J5340" s="17" t="s">
        <v>10791</v>
      </c>
      <c r="K5340" s="17"/>
      <c r="L5340" s="17" t="s">
        <v>11236</v>
      </c>
      <c r="M5340" s="17"/>
      <c r="N5340" s="17" t="s">
        <v>11237</v>
      </c>
      <c r="O5340" s="17" t="s">
        <v>11238</v>
      </c>
      <c r="P5340" s="17" t="s">
        <v>11433</v>
      </c>
      <c r="Q5340" s="17"/>
      <c r="R5340" s="25" t="str">
        <f t="shared" si="8"/>
        <v>Betapapillomavirus 1</v>
      </c>
      <c r="S5340" s="18" t="s">
        <v>8141</v>
      </c>
      <c r="T5340" s="18" t="s">
        <v>11478</v>
      </c>
      <c r="U5340" s="18" t="s">
        <v>11479</v>
      </c>
      <c r="V5340" s="18"/>
      <c r="W5340" s="18" t="s">
        <v>48847</v>
      </c>
      <c r="X5340" s="18" t="s">
        <v>42</v>
      </c>
      <c r="Y5340" s="18" t="s">
        <v>36</v>
      </c>
      <c r="Z5340" s="18" t="s">
        <v>166</v>
      </c>
      <c r="AA5340" s="21" t="str">
        <f>HYPERLINK("https://www.ncbi.nlm.nih.gov/nuccore/X74467","NCBI Nucleotide")</f>
        <v>NCBI Nucleotide</v>
      </c>
    </row>
    <row r="5341" spans="1:27" x14ac:dyDescent="0.35">
      <c r="A5341">
        <v>1012301</v>
      </c>
      <c r="B5341">
        <v>5221</v>
      </c>
      <c r="C5341">
        <v>6</v>
      </c>
      <c r="D5341" s="17" t="s">
        <v>10507</v>
      </c>
      <c r="E5341" s="17"/>
      <c r="F5341" s="17" t="s">
        <v>10780</v>
      </c>
      <c r="G5341" s="17"/>
      <c r="H5341" s="17" t="s">
        <v>10781</v>
      </c>
      <c r="I5341" s="17"/>
      <c r="J5341" s="17" t="s">
        <v>10791</v>
      </c>
      <c r="K5341" s="17"/>
      <c r="L5341" s="17" t="s">
        <v>11236</v>
      </c>
      <c r="M5341" s="17"/>
      <c r="N5341" s="17" t="s">
        <v>11237</v>
      </c>
      <c r="O5341" s="17" t="s">
        <v>11238</v>
      </c>
      <c r="P5341" s="17" t="s">
        <v>11433</v>
      </c>
      <c r="Q5341" s="17"/>
      <c r="R5341" s="25" t="str">
        <f t="shared" si="8"/>
        <v>Betapapillomavirus 1</v>
      </c>
      <c r="S5341" s="18" t="s">
        <v>8141</v>
      </c>
      <c r="T5341" s="18" t="s">
        <v>11480</v>
      </c>
      <c r="U5341" s="18" t="s">
        <v>11481</v>
      </c>
      <c r="V5341" s="18"/>
      <c r="W5341" s="18" t="s">
        <v>48848</v>
      </c>
      <c r="X5341" s="18" t="s">
        <v>42</v>
      </c>
      <c r="Y5341" s="18" t="s">
        <v>36</v>
      </c>
      <c r="Z5341" s="18" t="s">
        <v>166</v>
      </c>
      <c r="AA5341" s="21" t="str">
        <f>HYPERLINK("https://www.ncbi.nlm.nih.gov/nuccore/X74470","NCBI Nucleotide")</f>
        <v>NCBI Nucleotide</v>
      </c>
    </row>
    <row r="5342" spans="1:27" x14ac:dyDescent="0.35">
      <c r="A5342">
        <v>1012295</v>
      </c>
      <c r="B5342">
        <v>5221</v>
      </c>
      <c r="C5342">
        <v>7</v>
      </c>
      <c r="D5342" s="17" t="s">
        <v>10507</v>
      </c>
      <c r="E5342" s="17"/>
      <c r="F5342" s="17" t="s">
        <v>10780</v>
      </c>
      <c r="G5342" s="17"/>
      <c r="H5342" s="17" t="s">
        <v>10781</v>
      </c>
      <c r="I5342" s="17"/>
      <c r="J5342" s="17" t="s">
        <v>10791</v>
      </c>
      <c r="K5342" s="17"/>
      <c r="L5342" s="17" t="s">
        <v>11236</v>
      </c>
      <c r="M5342" s="17"/>
      <c r="N5342" s="17" t="s">
        <v>11237</v>
      </c>
      <c r="O5342" s="17" t="s">
        <v>11238</v>
      </c>
      <c r="P5342" s="17" t="s">
        <v>11433</v>
      </c>
      <c r="Q5342" s="17"/>
      <c r="R5342" s="25" t="str">
        <f t="shared" si="8"/>
        <v>Betapapillomavirus 1</v>
      </c>
      <c r="S5342" s="18" t="s">
        <v>8141</v>
      </c>
      <c r="T5342" s="18" t="s">
        <v>11468</v>
      </c>
      <c r="U5342" s="18" t="s">
        <v>11469</v>
      </c>
      <c r="V5342" s="18"/>
      <c r="W5342" s="18" t="s">
        <v>48849</v>
      </c>
      <c r="X5342" s="18" t="s">
        <v>42</v>
      </c>
      <c r="Y5342" s="18" t="s">
        <v>36</v>
      </c>
      <c r="Z5342" s="18" t="s">
        <v>166</v>
      </c>
      <c r="AA5342" s="21" t="str">
        <f>HYPERLINK("https://www.ncbi.nlm.nih.gov/nuccore/U31778","NCBI Nucleotide")</f>
        <v>NCBI Nucleotide</v>
      </c>
    </row>
    <row r="5343" spans="1:27" x14ac:dyDescent="0.35">
      <c r="A5343">
        <v>1012296</v>
      </c>
      <c r="B5343">
        <v>5221</v>
      </c>
      <c r="C5343">
        <v>8</v>
      </c>
      <c r="D5343" s="17" t="s">
        <v>10507</v>
      </c>
      <c r="E5343" s="17"/>
      <c r="F5343" s="17" t="s">
        <v>10780</v>
      </c>
      <c r="G5343" s="17"/>
      <c r="H5343" s="17" t="s">
        <v>10781</v>
      </c>
      <c r="I5343" s="17"/>
      <c r="J5343" s="17" t="s">
        <v>10791</v>
      </c>
      <c r="K5343" s="17"/>
      <c r="L5343" s="17" t="s">
        <v>11236</v>
      </c>
      <c r="M5343" s="17"/>
      <c r="N5343" s="17" t="s">
        <v>11237</v>
      </c>
      <c r="O5343" s="17" t="s">
        <v>11238</v>
      </c>
      <c r="P5343" s="17" t="s">
        <v>11433</v>
      </c>
      <c r="Q5343" s="17"/>
      <c r="R5343" s="25" t="str">
        <f t="shared" si="8"/>
        <v>Betapapillomavirus 1</v>
      </c>
      <c r="S5343" s="18" t="s">
        <v>8141</v>
      </c>
      <c r="T5343" s="18" t="s">
        <v>11470</v>
      </c>
      <c r="U5343" s="18" t="s">
        <v>11471</v>
      </c>
      <c r="V5343" s="18"/>
      <c r="W5343" s="18" t="s">
        <v>48850</v>
      </c>
      <c r="X5343" s="18" t="s">
        <v>42</v>
      </c>
      <c r="Y5343" s="18" t="s">
        <v>36</v>
      </c>
      <c r="Z5343" s="18" t="s">
        <v>166</v>
      </c>
      <c r="AA5343" s="21" t="str">
        <f>HYPERLINK("https://www.ncbi.nlm.nih.gov/nuccore/U31779","NCBI Nucleotide")</f>
        <v>NCBI Nucleotide</v>
      </c>
    </row>
    <row r="5344" spans="1:27" x14ac:dyDescent="0.35">
      <c r="A5344">
        <v>1012297</v>
      </c>
      <c r="B5344">
        <v>5221</v>
      </c>
      <c r="C5344">
        <v>9</v>
      </c>
      <c r="D5344" s="17" t="s">
        <v>10507</v>
      </c>
      <c r="E5344" s="17"/>
      <c r="F5344" s="17" t="s">
        <v>10780</v>
      </c>
      <c r="G5344" s="17"/>
      <c r="H5344" s="17" t="s">
        <v>10781</v>
      </c>
      <c r="I5344" s="17"/>
      <c r="J5344" s="17" t="s">
        <v>10791</v>
      </c>
      <c r="K5344" s="17"/>
      <c r="L5344" s="17" t="s">
        <v>11236</v>
      </c>
      <c r="M5344" s="17"/>
      <c r="N5344" s="17" t="s">
        <v>11237</v>
      </c>
      <c r="O5344" s="17" t="s">
        <v>11238</v>
      </c>
      <c r="P5344" s="17" t="s">
        <v>11433</v>
      </c>
      <c r="Q5344" s="17"/>
      <c r="R5344" s="25" t="str">
        <f t="shared" si="8"/>
        <v>Betapapillomavirus 1</v>
      </c>
      <c r="S5344" s="18" t="s">
        <v>8141</v>
      </c>
      <c r="T5344" s="18" t="s">
        <v>11472</v>
      </c>
      <c r="U5344" s="18" t="s">
        <v>11473</v>
      </c>
      <c r="V5344" s="18"/>
      <c r="W5344" s="18" t="s">
        <v>48851</v>
      </c>
      <c r="X5344" s="18" t="s">
        <v>42</v>
      </c>
      <c r="Y5344" s="18" t="s">
        <v>36</v>
      </c>
      <c r="Z5344" s="18" t="s">
        <v>166</v>
      </c>
      <c r="AA5344" s="21" t="str">
        <f>HYPERLINK("https://www.ncbi.nlm.nih.gov/nuccore/U31782","NCBI Nucleotide")</f>
        <v>NCBI Nucleotide</v>
      </c>
    </row>
    <row r="5345" spans="1:27" x14ac:dyDescent="0.35">
      <c r="A5345">
        <v>1012302</v>
      </c>
      <c r="B5345">
        <v>5221</v>
      </c>
      <c r="C5345">
        <v>10</v>
      </c>
      <c r="D5345" s="17" t="s">
        <v>10507</v>
      </c>
      <c r="E5345" s="17"/>
      <c r="F5345" s="17" t="s">
        <v>10780</v>
      </c>
      <c r="G5345" s="17"/>
      <c r="H5345" s="17" t="s">
        <v>10781</v>
      </c>
      <c r="I5345" s="17"/>
      <c r="J5345" s="17" t="s">
        <v>10791</v>
      </c>
      <c r="K5345" s="17"/>
      <c r="L5345" s="17" t="s">
        <v>11236</v>
      </c>
      <c r="M5345" s="17"/>
      <c r="N5345" s="17" t="s">
        <v>11237</v>
      </c>
      <c r="O5345" s="17" t="s">
        <v>11238</v>
      </c>
      <c r="P5345" s="17" t="s">
        <v>11433</v>
      </c>
      <c r="Q5345" s="17"/>
      <c r="R5345" s="25" t="str">
        <f t="shared" si="8"/>
        <v>Betapapillomavirus 1</v>
      </c>
      <c r="S5345" s="18" t="s">
        <v>8141</v>
      </c>
      <c r="T5345" s="18" t="s">
        <v>11482</v>
      </c>
      <c r="U5345" s="18" t="s">
        <v>11483</v>
      </c>
      <c r="V5345" s="18"/>
      <c r="W5345" s="18" t="s">
        <v>48852</v>
      </c>
      <c r="X5345" s="18" t="s">
        <v>42</v>
      </c>
      <c r="Y5345" s="18" t="s">
        <v>36</v>
      </c>
      <c r="Z5345" s="18" t="s">
        <v>166</v>
      </c>
      <c r="AA5345" s="21" t="str">
        <f>HYPERLINK("https://www.ncbi.nlm.nih.gov/nuccore/X74471","NCBI Nucleotide")</f>
        <v>NCBI Nucleotide</v>
      </c>
    </row>
    <row r="5346" spans="1:27" x14ac:dyDescent="0.35">
      <c r="A5346">
        <v>1012298</v>
      </c>
      <c r="B5346">
        <v>5221</v>
      </c>
      <c r="C5346">
        <v>11</v>
      </c>
      <c r="D5346" s="17" t="s">
        <v>10507</v>
      </c>
      <c r="E5346" s="17"/>
      <c r="F5346" s="17" t="s">
        <v>10780</v>
      </c>
      <c r="G5346" s="17"/>
      <c r="H5346" s="17" t="s">
        <v>10781</v>
      </c>
      <c r="I5346" s="17"/>
      <c r="J5346" s="17" t="s">
        <v>10791</v>
      </c>
      <c r="K5346" s="17"/>
      <c r="L5346" s="17" t="s">
        <v>11236</v>
      </c>
      <c r="M5346" s="17"/>
      <c r="N5346" s="17" t="s">
        <v>11237</v>
      </c>
      <c r="O5346" s="17" t="s">
        <v>11238</v>
      </c>
      <c r="P5346" s="17" t="s">
        <v>11433</v>
      </c>
      <c r="Q5346" s="17"/>
      <c r="R5346" s="25" t="str">
        <f t="shared" si="8"/>
        <v>Betapapillomavirus 1</v>
      </c>
      <c r="S5346" s="18" t="s">
        <v>8141</v>
      </c>
      <c r="T5346" s="18" t="s">
        <v>11474</v>
      </c>
      <c r="U5346" s="18" t="s">
        <v>11475</v>
      </c>
      <c r="V5346" s="18"/>
      <c r="W5346" s="18" t="s">
        <v>48853</v>
      </c>
      <c r="X5346" s="18" t="s">
        <v>42</v>
      </c>
      <c r="Y5346" s="18" t="s">
        <v>36</v>
      </c>
      <c r="Z5346" s="18" t="s">
        <v>166</v>
      </c>
      <c r="AA5346" s="21" t="str">
        <f>HYPERLINK("https://www.ncbi.nlm.nih.gov/nuccore/U31785","NCBI Nucleotide")</f>
        <v>NCBI Nucleotide</v>
      </c>
    </row>
    <row r="5347" spans="1:27" x14ac:dyDescent="0.35">
      <c r="A5347">
        <v>1012294</v>
      </c>
      <c r="B5347">
        <v>5221</v>
      </c>
      <c r="C5347">
        <v>12</v>
      </c>
      <c r="D5347" s="17" t="s">
        <v>10507</v>
      </c>
      <c r="E5347" s="17"/>
      <c r="F5347" s="17" t="s">
        <v>10780</v>
      </c>
      <c r="G5347" s="17"/>
      <c r="H5347" s="17" t="s">
        <v>10781</v>
      </c>
      <c r="I5347" s="17"/>
      <c r="J5347" s="17" t="s">
        <v>10791</v>
      </c>
      <c r="K5347" s="17"/>
      <c r="L5347" s="17" t="s">
        <v>11236</v>
      </c>
      <c r="M5347" s="17"/>
      <c r="N5347" s="17" t="s">
        <v>11237</v>
      </c>
      <c r="O5347" s="17" t="s">
        <v>11238</v>
      </c>
      <c r="P5347" s="17" t="s">
        <v>11433</v>
      </c>
      <c r="Q5347" s="17"/>
      <c r="R5347" s="25" t="str">
        <f t="shared" si="8"/>
        <v>Betapapillomavirus 1</v>
      </c>
      <c r="S5347" s="18" t="s">
        <v>8141</v>
      </c>
      <c r="T5347" s="18" t="s">
        <v>11466</v>
      </c>
      <c r="U5347" s="18" t="s">
        <v>11467</v>
      </c>
      <c r="V5347" s="18"/>
      <c r="W5347" s="18" t="s">
        <v>48854</v>
      </c>
      <c r="X5347" s="18" t="s">
        <v>42</v>
      </c>
      <c r="Y5347" s="18" t="s">
        <v>36</v>
      </c>
      <c r="Z5347" s="18" t="s">
        <v>166</v>
      </c>
      <c r="AA5347" s="21" t="str">
        <f>HYPERLINK("https://www.ncbi.nlm.nih.gov/nuccore/M32305","NCBI Nucleotide")</f>
        <v>NCBI Nucleotide</v>
      </c>
    </row>
    <row r="5348" spans="1:27" x14ac:dyDescent="0.35">
      <c r="A5348">
        <v>1012283</v>
      </c>
      <c r="B5348">
        <v>5221</v>
      </c>
      <c r="C5348">
        <v>13</v>
      </c>
      <c r="D5348" s="17" t="s">
        <v>10507</v>
      </c>
      <c r="E5348" s="17"/>
      <c r="F5348" s="17" t="s">
        <v>10780</v>
      </c>
      <c r="G5348" s="17"/>
      <c r="H5348" s="17" t="s">
        <v>10781</v>
      </c>
      <c r="I5348" s="17"/>
      <c r="J5348" s="17" t="s">
        <v>10791</v>
      </c>
      <c r="K5348" s="17"/>
      <c r="L5348" s="17" t="s">
        <v>11236</v>
      </c>
      <c r="M5348" s="17"/>
      <c r="N5348" s="17" t="s">
        <v>11237</v>
      </c>
      <c r="O5348" s="17" t="s">
        <v>11238</v>
      </c>
      <c r="P5348" s="17" t="s">
        <v>11433</v>
      </c>
      <c r="Q5348" s="17"/>
      <c r="R5348" s="25" t="str">
        <f t="shared" si="8"/>
        <v>Betapapillomavirus 1</v>
      </c>
      <c r="S5348" s="18" t="s">
        <v>8141</v>
      </c>
      <c r="T5348" s="18" t="s">
        <v>11437</v>
      </c>
      <c r="U5348" s="18" t="s">
        <v>11438</v>
      </c>
      <c r="V5348" s="18"/>
      <c r="W5348" s="18" t="s">
        <v>48855</v>
      </c>
      <c r="X5348" s="18" t="s">
        <v>42</v>
      </c>
      <c r="Y5348" s="18" t="s">
        <v>36</v>
      </c>
      <c r="Z5348" s="18" t="s">
        <v>166</v>
      </c>
      <c r="AA5348" s="21" t="str">
        <f>HYPERLINK("https://www.ncbi.nlm.nih.gov/nuccore/AY382778","NCBI Nucleotide")</f>
        <v>NCBI Nucleotide</v>
      </c>
    </row>
    <row r="5349" spans="1:27" x14ac:dyDescent="0.35">
      <c r="A5349">
        <v>1012285</v>
      </c>
      <c r="B5349">
        <v>5221</v>
      </c>
      <c r="C5349">
        <v>14</v>
      </c>
      <c r="D5349" s="17" t="s">
        <v>10507</v>
      </c>
      <c r="E5349" s="17"/>
      <c r="F5349" s="17" t="s">
        <v>10780</v>
      </c>
      <c r="G5349" s="17"/>
      <c r="H5349" s="17" t="s">
        <v>10781</v>
      </c>
      <c r="I5349" s="17"/>
      <c r="J5349" s="17" t="s">
        <v>10791</v>
      </c>
      <c r="K5349" s="17"/>
      <c r="L5349" s="17" t="s">
        <v>11236</v>
      </c>
      <c r="M5349" s="17"/>
      <c r="N5349" s="17" t="s">
        <v>11237</v>
      </c>
      <c r="O5349" s="17" t="s">
        <v>11238</v>
      </c>
      <c r="P5349" s="17" t="s">
        <v>11433</v>
      </c>
      <c r="Q5349" s="17"/>
      <c r="R5349" s="25" t="str">
        <f t="shared" si="8"/>
        <v>Betapapillomavirus 1</v>
      </c>
      <c r="S5349" s="18" t="s">
        <v>8141</v>
      </c>
      <c r="T5349" s="18" t="s">
        <v>11441</v>
      </c>
      <c r="U5349" s="18" t="s">
        <v>11442</v>
      </c>
      <c r="V5349" s="18" t="s">
        <v>11443</v>
      </c>
      <c r="W5349" s="18" t="s">
        <v>48856</v>
      </c>
      <c r="X5349" s="18" t="s">
        <v>42</v>
      </c>
      <c r="Y5349" s="18" t="s">
        <v>36</v>
      </c>
      <c r="Z5349" s="18" t="s">
        <v>166</v>
      </c>
      <c r="AA5349" s="21" t="str">
        <f>HYPERLINK("https://www.ncbi.nlm.nih.gov/nuccore/FM955837","NCBI Nucleotide")</f>
        <v>NCBI Nucleotide</v>
      </c>
    </row>
    <row r="5350" spans="1:27" x14ac:dyDescent="0.35">
      <c r="A5350">
        <v>1012286</v>
      </c>
      <c r="B5350">
        <v>5221</v>
      </c>
      <c r="C5350">
        <v>15</v>
      </c>
      <c r="D5350" s="17" t="s">
        <v>10507</v>
      </c>
      <c r="E5350" s="17"/>
      <c r="F5350" s="17" t="s">
        <v>10780</v>
      </c>
      <c r="G5350" s="17"/>
      <c r="H5350" s="17" t="s">
        <v>10781</v>
      </c>
      <c r="I5350" s="17"/>
      <c r="J5350" s="17" t="s">
        <v>10791</v>
      </c>
      <c r="K5350" s="17"/>
      <c r="L5350" s="17" t="s">
        <v>11236</v>
      </c>
      <c r="M5350" s="17"/>
      <c r="N5350" s="17" t="s">
        <v>11237</v>
      </c>
      <c r="O5350" s="17" t="s">
        <v>11238</v>
      </c>
      <c r="P5350" s="17" t="s">
        <v>11433</v>
      </c>
      <c r="Q5350" s="17"/>
      <c r="R5350" s="25" t="str">
        <f t="shared" si="8"/>
        <v>Betapapillomavirus 1</v>
      </c>
      <c r="S5350" s="18" t="s">
        <v>8141</v>
      </c>
      <c r="T5350" s="18" t="s">
        <v>11444</v>
      </c>
      <c r="U5350" s="18" t="s">
        <v>11445</v>
      </c>
      <c r="V5350" s="18" t="s">
        <v>11446</v>
      </c>
      <c r="W5350" s="18" t="s">
        <v>48857</v>
      </c>
      <c r="X5350" s="18" t="s">
        <v>42</v>
      </c>
      <c r="Y5350" s="18" t="s">
        <v>36</v>
      </c>
      <c r="Z5350" s="18" t="s">
        <v>166</v>
      </c>
      <c r="AA5350" s="21" t="str">
        <f>HYPERLINK("https://www.ncbi.nlm.nih.gov/nuccore/FM955838","NCBI Nucleotide")</f>
        <v>NCBI Nucleotide</v>
      </c>
    </row>
    <row r="5351" spans="1:27" x14ac:dyDescent="0.35">
      <c r="A5351">
        <v>1012287</v>
      </c>
      <c r="B5351">
        <v>5221</v>
      </c>
      <c r="C5351">
        <v>16</v>
      </c>
      <c r="D5351" s="17" t="s">
        <v>10507</v>
      </c>
      <c r="E5351" s="17"/>
      <c r="F5351" s="17" t="s">
        <v>10780</v>
      </c>
      <c r="G5351" s="17"/>
      <c r="H5351" s="17" t="s">
        <v>10781</v>
      </c>
      <c r="I5351" s="17"/>
      <c r="J5351" s="17" t="s">
        <v>10791</v>
      </c>
      <c r="K5351" s="17"/>
      <c r="L5351" s="17" t="s">
        <v>11236</v>
      </c>
      <c r="M5351" s="17"/>
      <c r="N5351" s="17" t="s">
        <v>11237</v>
      </c>
      <c r="O5351" s="17" t="s">
        <v>11238</v>
      </c>
      <c r="P5351" s="17" t="s">
        <v>11433</v>
      </c>
      <c r="Q5351" s="17"/>
      <c r="R5351" s="25" t="str">
        <f t="shared" si="8"/>
        <v>Betapapillomavirus 1</v>
      </c>
      <c r="S5351" s="18" t="s">
        <v>8141</v>
      </c>
      <c r="T5351" s="18" t="s">
        <v>11447</v>
      </c>
      <c r="U5351" s="18" t="s">
        <v>11448</v>
      </c>
      <c r="V5351" s="18" t="s">
        <v>11449</v>
      </c>
      <c r="W5351" s="18" t="s">
        <v>48858</v>
      </c>
      <c r="X5351" s="18" t="s">
        <v>42</v>
      </c>
      <c r="Y5351" s="18" t="s">
        <v>36</v>
      </c>
      <c r="Z5351" s="18" t="s">
        <v>166</v>
      </c>
      <c r="AA5351" s="21" t="str">
        <f>HYPERLINK("https://www.ncbi.nlm.nih.gov/nuccore/FM955841","NCBI Nucleotide")</f>
        <v>NCBI Nucleotide</v>
      </c>
    </row>
    <row r="5352" spans="1:27" x14ac:dyDescent="0.35">
      <c r="A5352">
        <v>1012288</v>
      </c>
      <c r="B5352">
        <v>5221</v>
      </c>
      <c r="C5352">
        <v>17</v>
      </c>
      <c r="D5352" s="17" t="s">
        <v>10507</v>
      </c>
      <c r="E5352" s="17"/>
      <c r="F5352" s="17" t="s">
        <v>10780</v>
      </c>
      <c r="G5352" s="17"/>
      <c r="H5352" s="17" t="s">
        <v>10781</v>
      </c>
      <c r="I5352" s="17"/>
      <c r="J5352" s="17" t="s">
        <v>10791</v>
      </c>
      <c r="K5352" s="17"/>
      <c r="L5352" s="17" t="s">
        <v>11236</v>
      </c>
      <c r="M5352" s="17"/>
      <c r="N5352" s="17" t="s">
        <v>11237</v>
      </c>
      <c r="O5352" s="17" t="s">
        <v>11238</v>
      </c>
      <c r="P5352" s="17" t="s">
        <v>11433</v>
      </c>
      <c r="Q5352" s="17"/>
      <c r="R5352" s="25" t="str">
        <f t="shared" si="8"/>
        <v>Betapapillomavirus 1</v>
      </c>
      <c r="S5352" s="18" t="s">
        <v>8141</v>
      </c>
      <c r="T5352" s="18" t="s">
        <v>11450</v>
      </c>
      <c r="U5352" s="18" t="s">
        <v>11451</v>
      </c>
      <c r="V5352" s="18" t="s">
        <v>11452</v>
      </c>
      <c r="W5352" s="18" t="s">
        <v>48859</v>
      </c>
      <c r="X5352" s="18" t="s">
        <v>42</v>
      </c>
      <c r="Y5352" s="18" t="s">
        <v>36</v>
      </c>
      <c r="Z5352" s="18" t="s">
        <v>166</v>
      </c>
      <c r="AA5352" s="21" t="str">
        <f>HYPERLINK("https://www.ncbi.nlm.nih.gov/nuccore/GQ246951","NCBI Nucleotide")</f>
        <v>NCBI Nucleotide</v>
      </c>
    </row>
    <row r="5353" spans="1:27" x14ac:dyDescent="0.35">
      <c r="A5353">
        <v>1012289</v>
      </c>
      <c r="B5353">
        <v>5221</v>
      </c>
      <c r="C5353">
        <v>18</v>
      </c>
      <c r="D5353" s="17" t="s">
        <v>10507</v>
      </c>
      <c r="E5353" s="17"/>
      <c r="F5353" s="17" t="s">
        <v>10780</v>
      </c>
      <c r="G5353" s="17"/>
      <c r="H5353" s="17" t="s">
        <v>10781</v>
      </c>
      <c r="I5353" s="17"/>
      <c r="J5353" s="17" t="s">
        <v>10791</v>
      </c>
      <c r="K5353" s="17"/>
      <c r="L5353" s="17" t="s">
        <v>11236</v>
      </c>
      <c r="M5353" s="17"/>
      <c r="N5353" s="17" t="s">
        <v>11237</v>
      </c>
      <c r="O5353" s="17" t="s">
        <v>11238</v>
      </c>
      <c r="P5353" s="17" t="s">
        <v>11433</v>
      </c>
      <c r="Q5353" s="17"/>
      <c r="R5353" s="25" t="str">
        <f t="shared" si="8"/>
        <v>Betapapillomavirus 1</v>
      </c>
      <c r="S5353" s="18" t="s">
        <v>8141</v>
      </c>
      <c r="T5353" s="18" t="s">
        <v>11453</v>
      </c>
      <c r="U5353" s="18" t="s">
        <v>11454</v>
      </c>
      <c r="V5353" s="18" t="s">
        <v>11455</v>
      </c>
      <c r="W5353" s="18" t="s">
        <v>48860</v>
      </c>
      <c r="X5353" s="18" t="s">
        <v>42</v>
      </c>
      <c r="Y5353" s="18" t="s">
        <v>36</v>
      </c>
      <c r="Z5353" s="18" t="s">
        <v>166</v>
      </c>
      <c r="AA5353" s="21" t="str">
        <f>HYPERLINK("https://www.ncbi.nlm.nih.gov/nuccore/GQ845446","NCBI Nucleotide")</f>
        <v>NCBI Nucleotide</v>
      </c>
    </row>
    <row r="5354" spans="1:27" x14ac:dyDescent="0.35">
      <c r="A5354">
        <v>1012291</v>
      </c>
      <c r="B5354">
        <v>5221</v>
      </c>
      <c r="C5354">
        <v>19</v>
      </c>
      <c r="D5354" s="17" t="s">
        <v>10507</v>
      </c>
      <c r="E5354" s="17"/>
      <c r="F5354" s="17" t="s">
        <v>10780</v>
      </c>
      <c r="G5354" s="17"/>
      <c r="H5354" s="17" t="s">
        <v>10781</v>
      </c>
      <c r="I5354" s="17"/>
      <c r="J5354" s="17" t="s">
        <v>10791</v>
      </c>
      <c r="K5354" s="17"/>
      <c r="L5354" s="17" t="s">
        <v>11236</v>
      </c>
      <c r="M5354" s="17"/>
      <c r="N5354" s="17" t="s">
        <v>11237</v>
      </c>
      <c r="O5354" s="17" t="s">
        <v>11238</v>
      </c>
      <c r="P5354" s="17" t="s">
        <v>11433</v>
      </c>
      <c r="Q5354" s="17"/>
      <c r="R5354" s="25" t="str">
        <f t="shared" si="8"/>
        <v>Betapapillomavirus 1</v>
      </c>
      <c r="S5354" s="18" t="s">
        <v>8141</v>
      </c>
      <c r="T5354" s="18" t="s">
        <v>11458</v>
      </c>
      <c r="U5354" s="18" t="s">
        <v>11459</v>
      </c>
      <c r="V5354" s="18" t="s">
        <v>11460</v>
      </c>
      <c r="W5354" s="18" t="s">
        <v>48861</v>
      </c>
      <c r="X5354" s="18" t="s">
        <v>42</v>
      </c>
      <c r="Y5354" s="18" t="s">
        <v>36</v>
      </c>
      <c r="Z5354" s="18" t="s">
        <v>166</v>
      </c>
      <c r="AA5354" s="21" t="str">
        <f>HYPERLINK("https://www.ncbi.nlm.nih.gov/nuccore/HM999995","NCBI Nucleotide")</f>
        <v>NCBI Nucleotide</v>
      </c>
    </row>
    <row r="5355" spans="1:27" x14ac:dyDescent="0.35">
      <c r="A5355">
        <v>1012292</v>
      </c>
      <c r="B5355">
        <v>5221</v>
      </c>
      <c r="C5355">
        <v>20</v>
      </c>
      <c r="D5355" s="17" t="s">
        <v>10507</v>
      </c>
      <c r="E5355" s="17"/>
      <c r="F5355" s="17" t="s">
        <v>10780</v>
      </c>
      <c r="G5355" s="17"/>
      <c r="H5355" s="17" t="s">
        <v>10781</v>
      </c>
      <c r="I5355" s="17"/>
      <c r="J5355" s="17" t="s">
        <v>10791</v>
      </c>
      <c r="K5355" s="17"/>
      <c r="L5355" s="17" t="s">
        <v>11236</v>
      </c>
      <c r="M5355" s="17"/>
      <c r="N5355" s="17" t="s">
        <v>11237</v>
      </c>
      <c r="O5355" s="17" t="s">
        <v>11238</v>
      </c>
      <c r="P5355" s="17" t="s">
        <v>11433</v>
      </c>
      <c r="Q5355" s="17"/>
      <c r="R5355" s="25" t="str">
        <f t="shared" si="8"/>
        <v>Betapapillomavirus 1</v>
      </c>
      <c r="S5355" s="18" t="s">
        <v>8141</v>
      </c>
      <c r="T5355" s="18" t="s">
        <v>11461</v>
      </c>
      <c r="U5355" s="18" t="s">
        <v>11462</v>
      </c>
      <c r="V5355" s="18" t="s">
        <v>11463</v>
      </c>
      <c r="W5355" s="18" t="s">
        <v>48862</v>
      </c>
      <c r="X5355" s="18" t="s">
        <v>42</v>
      </c>
      <c r="Y5355" s="18" t="s">
        <v>36</v>
      </c>
      <c r="Z5355" s="18" t="s">
        <v>166</v>
      </c>
      <c r="AA5355" s="21" t="str">
        <f>HYPERLINK("https://www.ncbi.nlm.nih.gov/nuccore/JF304768","NCBI Nucleotide")</f>
        <v>NCBI Nucleotide</v>
      </c>
    </row>
    <row r="5356" spans="1:27" x14ac:dyDescent="0.35">
      <c r="A5356">
        <v>1012284</v>
      </c>
      <c r="B5356">
        <v>5221</v>
      </c>
      <c r="C5356">
        <v>21</v>
      </c>
      <c r="D5356" s="17" t="s">
        <v>10507</v>
      </c>
      <c r="E5356" s="17"/>
      <c r="F5356" s="17" t="s">
        <v>10780</v>
      </c>
      <c r="G5356" s="17"/>
      <c r="H5356" s="17" t="s">
        <v>10781</v>
      </c>
      <c r="I5356" s="17"/>
      <c r="J5356" s="17" t="s">
        <v>10791</v>
      </c>
      <c r="K5356" s="17"/>
      <c r="L5356" s="17" t="s">
        <v>11236</v>
      </c>
      <c r="M5356" s="17"/>
      <c r="N5356" s="17" t="s">
        <v>11237</v>
      </c>
      <c r="O5356" s="17" t="s">
        <v>11238</v>
      </c>
      <c r="P5356" s="17" t="s">
        <v>11433</v>
      </c>
      <c r="Q5356" s="17"/>
      <c r="R5356" s="25" t="str">
        <f t="shared" si="8"/>
        <v>Betapapillomavirus 1</v>
      </c>
      <c r="S5356" s="18" t="s">
        <v>8141</v>
      </c>
      <c r="T5356" s="18" t="s">
        <v>11439</v>
      </c>
      <c r="U5356" s="18" t="s">
        <v>11440</v>
      </c>
      <c r="V5356" s="18"/>
      <c r="W5356" s="18" t="s">
        <v>48863</v>
      </c>
      <c r="X5356" s="18" t="s">
        <v>42</v>
      </c>
      <c r="Y5356" s="18" t="s">
        <v>36</v>
      </c>
      <c r="Z5356" s="18" t="s">
        <v>166</v>
      </c>
      <c r="AA5356" s="21" t="str">
        <f>HYPERLINK("https://www.ncbi.nlm.nih.gov/nuccore/EF028290","NCBI Nucleotide")</f>
        <v>NCBI Nucleotide</v>
      </c>
    </row>
    <row r="5357" spans="1:27" x14ac:dyDescent="0.35">
      <c r="A5357">
        <v>1006987</v>
      </c>
      <c r="B5357">
        <v>5222</v>
      </c>
      <c r="C5357">
        <v>1</v>
      </c>
      <c r="D5357" s="17" t="s">
        <v>10507</v>
      </c>
      <c r="E5357" s="17"/>
      <c r="F5357" s="17" t="s">
        <v>10780</v>
      </c>
      <c r="G5357" s="17"/>
      <c r="H5357" s="17" t="s">
        <v>10781</v>
      </c>
      <c r="I5357" s="17"/>
      <c r="J5357" s="17" t="s">
        <v>10791</v>
      </c>
      <c r="K5357" s="17"/>
      <c r="L5357" s="17" t="s">
        <v>11236</v>
      </c>
      <c r="M5357" s="17"/>
      <c r="N5357" s="17" t="s">
        <v>11237</v>
      </c>
      <c r="O5357" s="17" t="s">
        <v>11238</v>
      </c>
      <c r="P5357" s="17" t="s">
        <v>11433</v>
      </c>
      <c r="Q5357" s="17"/>
      <c r="R5357" s="25" t="str">
        <f t="shared" ref="R5357:R5376" si="9">HYPERLINK("https://ictv.global/taxonomy/taxondetails?taxnode_id=202303990","Betapapillomavirus 2")</f>
        <v>Betapapillomavirus 2</v>
      </c>
      <c r="S5357" s="18" t="s">
        <v>30</v>
      </c>
      <c r="T5357" s="18" t="s">
        <v>11484</v>
      </c>
      <c r="U5357" s="18" t="s">
        <v>11485</v>
      </c>
      <c r="V5357" s="18"/>
      <c r="W5357" s="18" t="s">
        <v>11486</v>
      </c>
      <c r="X5357" s="18" t="s">
        <v>42</v>
      </c>
      <c r="Y5357" s="18" t="s">
        <v>36</v>
      </c>
      <c r="Z5357" s="18" t="s">
        <v>166</v>
      </c>
      <c r="AA5357" s="21" t="str">
        <f>HYPERLINK("https://www.ncbi.nlm.nih.gov/nuccore/X74464","NCBI Nucleotide")</f>
        <v>NCBI Nucleotide</v>
      </c>
    </row>
    <row r="5358" spans="1:27" x14ac:dyDescent="0.35">
      <c r="A5358">
        <v>1012319</v>
      </c>
      <c r="B5358">
        <v>5222</v>
      </c>
      <c r="C5358">
        <v>2</v>
      </c>
      <c r="D5358" s="17" t="s">
        <v>10507</v>
      </c>
      <c r="E5358" s="17"/>
      <c r="F5358" s="17" t="s">
        <v>10780</v>
      </c>
      <c r="G5358" s="17"/>
      <c r="H5358" s="17" t="s">
        <v>10781</v>
      </c>
      <c r="I5358" s="17"/>
      <c r="J5358" s="17" t="s">
        <v>10791</v>
      </c>
      <c r="K5358" s="17"/>
      <c r="L5358" s="17" t="s">
        <v>11236</v>
      </c>
      <c r="M5358" s="17"/>
      <c r="N5358" s="17" t="s">
        <v>11237</v>
      </c>
      <c r="O5358" s="17" t="s">
        <v>11238</v>
      </c>
      <c r="P5358" s="17" t="s">
        <v>11433</v>
      </c>
      <c r="Q5358" s="17"/>
      <c r="R5358" s="25" t="str">
        <f t="shared" si="9"/>
        <v>Betapapillomavirus 2</v>
      </c>
      <c r="S5358" s="18" t="s">
        <v>8141</v>
      </c>
      <c r="T5358" s="18" t="s">
        <v>11529</v>
      </c>
      <c r="U5358" s="18" t="s">
        <v>11530</v>
      </c>
      <c r="V5358" s="18"/>
      <c r="W5358" s="18" t="s">
        <v>48864</v>
      </c>
      <c r="X5358" s="18" t="s">
        <v>42</v>
      </c>
      <c r="Y5358" s="18" t="s">
        <v>36</v>
      </c>
      <c r="Z5358" s="18" t="s">
        <v>166</v>
      </c>
      <c r="AA5358" s="21" t="str">
        <f>HYPERLINK("https://www.ncbi.nlm.nih.gov/nuccore/X74468","NCBI Nucleotide")</f>
        <v>NCBI Nucleotide</v>
      </c>
    </row>
    <row r="5359" spans="1:27" x14ac:dyDescent="0.35">
      <c r="A5359">
        <v>1012320</v>
      </c>
      <c r="B5359">
        <v>5222</v>
      </c>
      <c r="C5359">
        <v>3</v>
      </c>
      <c r="D5359" s="17" t="s">
        <v>10507</v>
      </c>
      <c r="E5359" s="17"/>
      <c r="F5359" s="17" t="s">
        <v>10780</v>
      </c>
      <c r="G5359" s="17"/>
      <c r="H5359" s="17" t="s">
        <v>10781</v>
      </c>
      <c r="I5359" s="17"/>
      <c r="J5359" s="17" t="s">
        <v>10791</v>
      </c>
      <c r="K5359" s="17"/>
      <c r="L5359" s="17" t="s">
        <v>11236</v>
      </c>
      <c r="M5359" s="17"/>
      <c r="N5359" s="17" t="s">
        <v>11237</v>
      </c>
      <c r="O5359" s="17" t="s">
        <v>11238</v>
      </c>
      <c r="P5359" s="17" t="s">
        <v>11433</v>
      </c>
      <c r="Q5359" s="17"/>
      <c r="R5359" s="25" t="str">
        <f t="shared" si="9"/>
        <v>Betapapillomavirus 2</v>
      </c>
      <c r="S5359" s="18" t="s">
        <v>8141</v>
      </c>
      <c r="T5359" s="18" t="s">
        <v>11531</v>
      </c>
      <c r="U5359" s="18" t="s">
        <v>11532</v>
      </c>
      <c r="V5359" s="18"/>
      <c r="W5359" s="18" t="s">
        <v>48865</v>
      </c>
      <c r="X5359" s="18" t="s">
        <v>42</v>
      </c>
      <c r="Y5359" s="18" t="s">
        <v>36</v>
      </c>
      <c r="Z5359" s="18" t="s">
        <v>166</v>
      </c>
      <c r="AA5359" s="21" t="str">
        <f>HYPERLINK("https://www.ncbi.nlm.nih.gov/nuccore/X74469","NCBI Nucleotide")</f>
        <v>NCBI Nucleotide</v>
      </c>
    </row>
    <row r="5360" spans="1:27" x14ac:dyDescent="0.35">
      <c r="A5360">
        <v>1012315</v>
      </c>
      <c r="B5360">
        <v>5222</v>
      </c>
      <c r="C5360">
        <v>4</v>
      </c>
      <c r="D5360" s="17" t="s">
        <v>10507</v>
      </c>
      <c r="E5360" s="17"/>
      <c r="F5360" s="17" t="s">
        <v>10780</v>
      </c>
      <c r="G5360" s="17"/>
      <c r="H5360" s="17" t="s">
        <v>10781</v>
      </c>
      <c r="I5360" s="17"/>
      <c r="J5360" s="17" t="s">
        <v>10791</v>
      </c>
      <c r="K5360" s="17"/>
      <c r="L5360" s="17" t="s">
        <v>11236</v>
      </c>
      <c r="M5360" s="17"/>
      <c r="N5360" s="17" t="s">
        <v>11237</v>
      </c>
      <c r="O5360" s="17" t="s">
        <v>11238</v>
      </c>
      <c r="P5360" s="17" t="s">
        <v>11433</v>
      </c>
      <c r="Q5360" s="17"/>
      <c r="R5360" s="25" t="str">
        <f t="shared" si="9"/>
        <v>Betapapillomavirus 2</v>
      </c>
      <c r="S5360" s="18" t="s">
        <v>8141</v>
      </c>
      <c r="T5360" s="18" t="s">
        <v>11521</v>
      </c>
      <c r="U5360" s="18" t="s">
        <v>11522</v>
      </c>
      <c r="V5360" s="18"/>
      <c r="W5360" s="18" t="s">
        <v>48866</v>
      </c>
      <c r="X5360" s="18" t="s">
        <v>42</v>
      </c>
      <c r="Y5360" s="18" t="s">
        <v>36</v>
      </c>
      <c r="Z5360" s="18" t="s">
        <v>166</v>
      </c>
      <c r="AA5360" s="21" t="str">
        <f>HYPERLINK("https://www.ncbi.nlm.nih.gov/nuccore/U31780","NCBI Nucleotide")</f>
        <v>NCBI Nucleotide</v>
      </c>
    </row>
    <row r="5361" spans="1:27" x14ac:dyDescent="0.35">
      <c r="A5361">
        <v>1012316</v>
      </c>
      <c r="B5361">
        <v>5222</v>
      </c>
      <c r="C5361">
        <v>5</v>
      </c>
      <c r="D5361" s="17" t="s">
        <v>10507</v>
      </c>
      <c r="E5361" s="17"/>
      <c r="F5361" s="17" t="s">
        <v>10780</v>
      </c>
      <c r="G5361" s="17"/>
      <c r="H5361" s="17" t="s">
        <v>10781</v>
      </c>
      <c r="I5361" s="17"/>
      <c r="J5361" s="17" t="s">
        <v>10791</v>
      </c>
      <c r="K5361" s="17"/>
      <c r="L5361" s="17" t="s">
        <v>11236</v>
      </c>
      <c r="M5361" s="17"/>
      <c r="N5361" s="17" t="s">
        <v>11237</v>
      </c>
      <c r="O5361" s="17" t="s">
        <v>11238</v>
      </c>
      <c r="P5361" s="17" t="s">
        <v>11433</v>
      </c>
      <c r="Q5361" s="17"/>
      <c r="R5361" s="25" t="str">
        <f t="shared" si="9"/>
        <v>Betapapillomavirus 2</v>
      </c>
      <c r="S5361" s="18" t="s">
        <v>8141</v>
      </c>
      <c r="T5361" s="18" t="s">
        <v>11523</v>
      </c>
      <c r="U5361" s="18" t="s">
        <v>11524</v>
      </c>
      <c r="V5361" s="18"/>
      <c r="W5361" s="18" t="s">
        <v>48867</v>
      </c>
      <c r="X5361" s="18" t="s">
        <v>42</v>
      </c>
      <c r="Y5361" s="18" t="s">
        <v>36</v>
      </c>
      <c r="Z5361" s="18" t="s">
        <v>166</v>
      </c>
      <c r="AA5361" s="21" t="str">
        <f>HYPERLINK("https://www.ncbi.nlm.nih.gov/nuccore/U31781","NCBI Nucleotide")</f>
        <v>NCBI Nucleotide</v>
      </c>
    </row>
    <row r="5362" spans="1:27" x14ac:dyDescent="0.35">
      <c r="A5362">
        <v>1012317</v>
      </c>
      <c r="B5362">
        <v>5222</v>
      </c>
      <c r="C5362">
        <v>6</v>
      </c>
      <c r="D5362" s="17" t="s">
        <v>10507</v>
      </c>
      <c r="E5362" s="17"/>
      <c r="F5362" s="17" t="s">
        <v>10780</v>
      </c>
      <c r="G5362" s="17"/>
      <c r="H5362" s="17" t="s">
        <v>10781</v>
      </c>
      <c r="I5362" s="17"/>
      <c r="J5362" s="17" t="s">
        <v>10791</v>
      </c>
      <c r="K5362" s="17"/>
      <c r="L5362" s="17" t="s">
        <v>11236</v>
      </c>
      <c r="M5362" s="17"/>
      <c r="N5362" s="17" t="s">
        <v>11237</v>
      </c>
      <c r="O5362" s="17" t="s">
        <v>11238</v>
      </c>
      <c r="P5362" s="17" t="s">
        <v>11433</v>
      </c>
      <c r="Q5362" s="17"/>
      <c r="R5362" s="25" t="str">
        <f t="shared" si="9"/>
        <v>Betapapillomavirus 2</v>
      </c>
      <c r="S5362" s="18" t="s">
        <v>8141</v>
      </c>
      <c r="T5362" s="18" t="s">
        <v>11525</v>
      </c>
      <c r="U5362" s="18" t="s">
        <v>11526</v>
      </c>
      <c r="V5362" s="18"/>
      <c r="W5362" s="18" t="s">
        <v>48868</v>
      </c>
      <c r="X5362" s="18" t="s">
        <v>42</v>
      </c>
      <c r="Y5362" s="18" t="s">
        <v>36</v>
      </c>
      <c r="Z5362" s="18" t="s">
        <v>166</v>
      </c>
      <c r="AA5362" s="21" t="str">
        <f>HYPERLINK("https://www.ncbi.nlm.nih.gov/nuccore/U31786","NCBI Nucleotide")</f>
        <v>NCBI Nucleotide</v>
      </c>
    </row>
    <row r="5363" spans="1:27" x14ac:dyDescent="0.35">
      <c r="A5363">
        <v>1012318</v>
      </c>
      <c r="B5363">
        <v>5222</v>
      </c>
      <c r="C5363">
        <v>7</v>
      </c>
      <c r="D5363" s="17" t="s">
        <v>10507</v>
      </c>
      <c r="E5363" s="17"/>
      <c r="F5363" s="17" t="s">
        <v>10780</v>
      </c>
      <c r="G5363" s="17"/>
      <c r="H5363" s="17" t="s">
        <v>10781</v>
      </c>
      <c r="I5363" s="17"/>
      <c r="J5363" s="17" t="s">
        <v>10791</v>
      </c>
      <c r="K5363" s="17"/>
      <c r="L5363" s="17" t="s">
        <v>11236</v>
      </c>
      <c r="M5363" s="17"/>
      <c r="N5363" s="17" t="s">
        <v>11237</v>
      </c>
      <c r="O5363" s="17" t="s">
        <v>11238</v>
      </c>
      <c r="P5363" s="17" t="s">
        <v>11433</v>
      </c>
      <c r="Q5363" s="17"/>
      <c r="R5363" s="25" t="str">
        <f t="shared" si="9"/>
        <v>Betapapillomavirus 2</v>
      </c>
      <c r="S5363" s="18" t="s">
        <v>8141</v>
      </c>
      <c r="T5363" s="18" t="s">
        <v>11527</v>
      </c>
      <c r="U5363" s="18" t="s">
        <v>11528</v>
      </c>
      <c r="V5363" s="18"/>
      <c r="W5363" s="18" t="s">
        <v>48869</v>
      </c>
      <c r="X5363" s="18" t="s">
        <v>42</v>
      </c>
      <c r="Y5363" s="18" t="s">
        <v>36</v>
      </c>
      <c r="Z5363" s="18" t="s">
        <v>166</v>
      </c>
      <c r="AA5363" s="21" t="str">
        <f>HYPERLINK("https://www.ncbi.nlm.nih.gov/nuccore/U31787","NCBI Nucleotide")</f>
        <v>NCBI Nucleotide</v>
      </c>
    </row>
    <row r="5364" spans="1:27" x14ac:dyDescent="0.35">
      <c r="A5364">
        <v>1012321</v>
      </c>
      <c r="B5364">
        <v>5222</v>
      </c>
      <c r="C5364">
        <v>8</v>
      </c>
      <c r="D5364" s="17" t="s">
        <v>10507</v>
      </c>
      <c r="E5364" s="17"/>
      <c r="F5364" s="17" t="s">
        <v>10780</v>
      </c>
      <c r="G5364" s="17"/>
      <c r="H5364" s="17" t="s">
        <v>10781</v>
      </c>
      <c r="I5364" s="17"/>
      <c r="J5364" s="17" t="s">
        <v>10791</v>
      </c>
      <c r="K5364" s="17"/>
      <c r="L5364" s="17" t="s">
        <v>11236</v>
      </c>
      <c r="M5364" s="17"/>
      <c r="N5364" s="17" t="s">
        <v>11237</v>
      </c>
      <c r="O5364" s="17" t="s">
        <v>11238</v>
      </c>
      <c r="P5364" s="17" t="s">
        <v>11433</v>
      </c>
      <c r="Q5364" s="17"/>
      <c r="R5364" s="25" t="str">
        <f t="shared" si="9"/>
        <v>Betapapillomavirus 2</v>
      </c>
      <c r="S5364" s="18" t="s">
        <v>8141</v>
      </c>
      <c r="T5364" s="18" t="s">
        <v>11533</v>
      </c>
      <c r="U5364" s="18" t="s">
        <v>11534</v>
      </c>
      <c r="V5364" s="18"/>
      <c r="W5364" s="18" t="s">
        <v>48870</v>
      </c>
      <c r="X5364" s="18" t="s">
        <v>42</v>
      </c>
      <c r="Y5364" s="18" t="s">
        <v>36</v>
      </c>
      <c r="Z5364" s="18" t="s">
        <v>166</v>
      </c>
      <c r="AA5364" s="21" t="str">
        <f>HYPERLINK("https://www.ncbi.nlm.nih.gov/nuccore/Y15176","NCBI Nucleotide")</f>
        <v>NCBI Nucleotide</v>
      </c>
    </row>
    <row r="5365" spans="1:27" x14ac:dyDescent="0.35">
      <c r="A5365">
        <v>1012306</v>
      </c>
      <c r="B5365">
        <v>5222</v>
      </c>
      <c r="C5365">
        <v>9</v>
      </c>
      <c r="D5365" s="17" t="s">
        <v>10507</v>
      </c>
      <c r="E5365" s="17"/>
      <c r="F5365" s="17" t="s">
        <v>10780</v>
      </c>
      <c r="G5365" s="17"/>
      <c r="H5365" s="17" t="s">
        <v>10781</v>
      </c>
      <c r="I5365" s="17"/>
      <c r="J5365" s="17" t="s">
        <v>10791</v>
      </c>
      <c r="K5365" s="17"/>
      <c r="L5365" s="17" t="s">
        <v>11236</v>
      </c>
      <c r="M5365" s="17"/>
      <c r="N5365" s="17" t="s">
        <v>11237</v>
      </c>
      <c r="O5365" s="17" t="s">
        <v>11238</v>
      </c>
      <c r="P5365" s="17" t="s">
        <v>11433</v>
      </c>
      <c r="Q5365" s="17"/>
      <c r="R5365" s="25" t="str">
        <f t="shared" si="9"/>
        <v>Betapapillomavirus 2</v>
      </c>
      <c r="S5365" s="18" t="s">
        <v>8141</v>
      </c>
      <c r="T5365" s="18" t="s">
        <v>11494</v>
      </c>
      <c r="U5365" s="18" t="s">
        <v>11495</v>
      </c>
      <c r="V5365" s="18" t="s">
        <v>11496</v>
      </c>
      <c r="W5365" s="18" t="s">
        <v>48871</v>
      </c>
      <c r="X5365" s="18" t="s">
        <v>42</v>
      </c>
      <c r="Y5365" s="18" t="s">
        <v>36</v>
      </c>
      <c r="Z5365" s="18" t="s">
        <v>166</v>
      </c>
      <c r="AA5365" s="21" t="str">
        <f>HYPERLINK("https://www.ncbi.nlm.nih.gov/nuccore/FM955839","NCBI Nucleotide")</f>
        <v>NCBI Nucleotide</v>
      </c>
    </row>
    <row r="5366" spans="1:27" x14ac:dyDescent="0.35">
      <c r="A5366">
        <v>1012307</v>
      </c>
      <c r="B5366">
        <v>5222</v>
      </c>
      <c r="C5366">
        <v>10</v>
      </c>
      <c r="D5366" s="17" t="s">
        <v>10507</v>
      </c>
      <c r="E5366" s="17"/>
      <c r="F5366" s="17" t="s">
        <v>10780</v>
      </c>
      <c r="G5366" s="17"/>
      <c r="H5366" s="17" t="s">
        <v>10781</v>
      </c>
      <c r="I5366" s="17"/>
      <c r="J5366" s="17" t="s">
        <v>10791</v>
      </c>
      <c r="K5366" s="17"/>
      <c r="L5366" s="17" t="s">
        <v>11236</v>
      </c>
      <c r="M5366" s="17"/>
      <c r="N5366" s="17" t="s">
        <v>11237</v>
      </c>
      <c r="O5366" s="17" t="s">
        <v>11238</v>
      </c>
      <c r="P5366" s="17" t="s">
        <v>11433</v>
      </c>
      <c r="Q5366" s="17"/>
      <c r="R5366" s="25" t="str">
        <f t="shared" si="9"/>
        <v>Betapapillomavirus 2</v>
      </c>
      <c r="S5366" s="18" t="s">
        <v>8141</v>
      </c>
      <c r="T5366" s="18" t="s">
        <v>11497</v>
      </c>
      <c r="U5366" s="18" t="s">
        <v>11498</v>
      </c>
      <c r="V5366" s="18" t="s">
        <v>11499</v>
      </c>
      <c r="W5366" s="18" t="s">
        <v>48872</v>
      </c>
      <c r="X5366" s="18" t="s">
        <v>42</v>
      </c>
      <c r="Y5366" s="18" t="s">
        <v>36</v>
      </c>
      <c r="Z5366" s="18" t="s">
        <v>166</v>
      </c>
      <c r="AA5366" s="21" t="str">
        <f>HYPERLINK("https://www.ncbi.nlm.nih.gov/nuccore/FM955840","NCBI Nucleotide")</f>
        <v>NCBI Nucleotide</v>
      </c>
    </row>
    <row r="5367" spans="1:27" x14ac:dyDescent="0.35">
      <c r="A5367">
        <v>1012303</v>
      </c>
      <c r="B5367">
        <v>5222</v>
      </c>
      <c r="C5367">
        <v>11</v>
      </c>
      <c r="D5367" s="17" t="s">
        <v>10507</v>
      </c>
      <c r="E5367" s="17"/>
      <c r="F5367" s="17" t="s">
        <v>10780</v>
      </c>
      <c r="G5367" s="17"/>
      <c r="H5367" s="17" t="s">
        <v>10781</v>
      </c>
      <c r="I5367" s="17"/>
      <c r="J5367" s="17" t="s">
        <v>10791</v>
      </c>
      <c r="K5367" s="17"/>
      <c r="L5367" s="17" t="s">
        <v>11236</v>
      </c>
      <c r="M5367" s="17"/>
      <c r="N5367" s="17" t="s">
        <v>11237</v>
      </c>
      <c r="O5367" s="17" t="s">
        <v>11238</v>
      </c>
      <c r="P5367" s="17" t="s">
        <v>11433</v>
      </c>
      <c r="Q5367" s="17"/>
      <c r="R5367" s="25" t="str">
        <f t="shared" si="9"/>
        <v>Betapapillomavirus 2</v>
      </c>
      <c r="S5367" s="18" t="s">
        <v>8141</v>
      </c>
      <c r="T5367" s="18" t="s">
        <v>11487</v>
      </c>
      <c r="U5367" s="18" t="s">
        <v>11488</v>
      </c>
      <c r="V5367" s="18" t="s">
        <v>11489</v>
      </c>
      <c r="W5367" s="18" t="s">
        <v>48873</v>
      </c>
      <c r="X5367" s="18" t="s">
        <v>42</v>
      </c>
      <c r="Y5367" s="18" t="s">
        <v>36</v>
      </c>
      <c r="Z5367" s="18" t="s">
        <v>166</v>
      </c>
      <c r="AA5367" s="21" t="str">
        <f>HYPERLINK("https://www.ncbi.nlm.nih.gov/nuccore/EF422221","NCBI Nucleotide")</f>
        <v>NCBI Nucleotide</v>
      </c>
    </row>
    <row r="5368" spans="1:27" x14ac:dyDescent="0.35">
      <c r="A5368">
        <v>1012304</v>
      </c>
      <c r="B5368">
        <v>5222</v>
      </c>
      <c r="C5368">
        <v>12</v>
      </c>
      <c r="D5368" s="17" t="s">
        <v>10507</v>
      </c>
      <c r="E5368" s="17"/>
      <c r="F5368" s="17" t="s">
        <v>10780</v>
      </c>
      <c r="G5368" s="17"/>
      <c r="H5368" s="17" t="s">
        <v>10781</v>
      </c>
      <c r="I5368" s="17"/>
      <c r="J5368" s="17" t="s">
        <v>10791</v>
      </c>
      <c r="K5368" s="17"/>
      <c r="L5368" s="17" t="s">
        <v>11236</v>
      </c>
      <c r="M5368" s="17"/>
      <c r="N5368" s="17" t="s">
        <v>11237</v>
      </c>
      <c r="O5368" s="17" t="s">
        <v>11238</v>
      </c>
      <c r="P5368" s="17" t="s">
        <v>11433</v>
      </c>
      <c r="Q5368" s="17"/>
      <c r="R5368" s="25" t="str">
        <f t="shared" si="9"/>
        <v>Betapapillomavirus 2</v>
      </c>
      <c r="S5368" s="18" t="s">
        <v>8141</v>
      </c>
      <c r="T5368" s="18" t="s">
        <v>11490</v>
      </c>
      <c r="U5368" s="18" t="s">
        <v>11491</v>
      </c>
      <c r="V5368" s="18"/>
      <c r="W5368" s="18" t="s">
        <v>48874</v>
      </c>
      <c r="X5368" s="18" t="s">
        <v>42</v>
      </c>
      <c r="Y5368" s="18" t="s">
        <v>36</v>
      </c>
      <c r="Z5368" s="18" t="s">
        <v>166</v>
      </c>
      <c r="AA5368" s="21" t="str">
        <f>HYPERLINK("https://www.ncbi.nlm.nih.gov/nuccore/EU410348","NCBI Nucleotide")</f>
        <v>NCBI Nucleotide</v>
      </c>
    </row>
    <row r="5369" spans="1:27" x14ac:dyDescent="0.35">
      <c r="A5369">
        <v>1012305</v>
      </c>
      <c r="B5369">
        <v>5222</v>
      </c>
      <c r="C5369">
        <v>13</v>
      </c>
      <c r="D5369" s="17" t="s">
        <v>10507</v>
      </c>
      <c r="E5369" s="17"/>
      <c r="F5369" s="17" t="s">
        <v>10780</v>
      </c>
      <c r="G5369" s="17"/>
      <c r="H5369" s="17" t="s">
        <v>10781</v>
      </c>
      <c r="I5369" s="17"/>
      <c r="J5369" s="17" t="s">
        <v>10791</v>
      </c>
      <c r="K5369" s="17"/>
      <c r="L5369" s="17" t="s">
        <v>11236</v>
      </c>
      <c r="M5369" s="17"/>
      <c r="N5369" s="17" t="s">
        <v>11237</v>
      </c>
      <c r="O5369" s="17" t="s">
        <v>11238</v>
      </c>
      <c r="P5369" s="17" t="s">
        <v>11433</v>
      </c>
      <c r="Q5369" s="17"/>
      <c r="R5369" s="25" t="str">
        <f t="shared" si="9"/>
        <v>Betapapillomavirus 2</v>
      </c>
      <c r="S5369" s="18" t="s">
        <v>8141</v>
      </c>
      <c r="T5369" s="18" t="s">
        <v>11492</v>
      </c>
      <c r="U5369" s="18" t="s">
        <v>11493</v>
      </c>
      <c r="V5369" s="18"/>
      <c r="W5369" s="18" t="s">
        <v>48875</v>
      </c>
      <c r="X5369" s="18" t="s">
        <v>42</v>
      </c>
      <c r="Y5369" s="18" t="s">
        <v>36</v>
      </c>
      <c r="Z5369" s="18" t="s">
        <v>166</v>
      </c>
      <c r="AA5369" s="21" t="str">
        <f>HYPERLINK("https://www.ncbi.nlm.nih.gov/nuccore/EU410349","NCBI Nucleotide")</f>
        <v>NCBI Nucleotide</v>
      </c>
    </row>
    <row r="5370" spans="1:27" x14ac:dyDescent="0.35">
      <c r="A5370">
        <v>1012308</v>
      </c>
      <c r="B5370">
        <v>5222</v>
      </c>
      <c r="C5370">
        <v>14</v>
      </c>
      <c r="D5370" s="17" t="s">
        <v>10507</v>
      </c>
      <c r="E5370" s="17"/>
      <c r="F5370" s="17" t="s">
        <v>10780</v>
      </c>
      <c r="G5370" s="17"/>
      <c r="H5370" s="17" t="s">
        <v>10781</v>
      </c>
      <c r="I5370" s="17"/>
      <c r="J5370" s="17" t="s">
        <v>10791</v>
      </c>
      <c r="K5370" s="17"/>
      <c r="L5370" s="17" t="s">
        <v>11236</v>
      </c>
      <c r="M5370" s="17"/>
      <c r="N5370" s="17" t="s">
        <v>11237</v>
      </c>
      <c r="O5370" s="17" t="s">
        <v>11238</v>
      </c>
      <c r="P5370" s="17" t="s">
        <v>11433</v>
      </c>
      <c r="Q5370" s="17"/>
      <c r="R5370" s="25" t="str">
        <f t="shared" si="9"/>
        <v>Betapapillomavirus 2</v>
      </c>
      <c r="S5370" s="18" t="s">
        <v>8141</v>
      </c>
      <c r="T5370" s="18" t="s">
        <v>11500</v>
      </c>
      <c r="U5370" s="18" t="s">
        <v>11501</v>
      </c>
      <c r="V5370" s="18" t="s">
        <v>11502</v>
      </c>
      <c r="W5370" s="18" t="s">
        <v>48876</v>
      </c>
      <c r="X5370" s="18" t="s">
        <v>42</v>
      </c>
      <c r="Y5370" s="18" t="s">
        <v>36</v>
      </c>
      <c r="Z5370" s="18" t="s">
        <v>166</v>
      </c>
      <c r="AA5370" s="21" t="str">
        <f>HYPERLINK("https://www.ncbi.nlm.nih.gov/nuccore/FM955842","NCBI Nucleotide")</f>
        <v>NCBI Nucleotide</v>
      </c>
    </row>
    <row r="5371" spans="1:27" x14ac:dyDescent="0.35">
      <c r="A5371">
        <v>1012310</v>
      </c>
      <c r="B5371">
        <v>5222</v>
      </c>
      <c r="C5371">
        <v>15</v>
      </c>
      <c r="D5371" s="17" t="s">
        <v>10507</v>
      </c>
      <c r="E5371" s="17"/>
      <c r="F5371" s="17" t="s">
        <v>10780</v>
      </c>
      <c r="G5371" s="17"/>
      <c r="H5371" s="17" t="s">
        <v>10781</v>
      </c>
      <c r="I5371" s="17"/>
      <c r="J5371" s="17" t="s">
        <v>10791</v>
      </c>
      <c r="K5371" s="17"/>
      <c r="L5371" s="17" t="s">
        <v>11236</v>
      </c>
      <c r="M5371" s="17"/>
      <c r="N5371" s="17" t="s">
        <v>11237</v>
      </c>
      <c r="O5371" s="17" t="s">
        <v>11238</v>
      </c>
      <c r="P5371" s="17" t="s">
        <v>11433</v>
      </c>
      <c r="Q5371" s="17"/>
      <c r="R5371" s="25" t="str">
        <f t="shared" si="9"/>
        <v>Betapapillomavirus 2</v>
      </c>
      <c r="S5371" s="18" t="s">
        <v>8141</v>
      </c>
      <c r="T5371" s="18" t="s">
        <v>11506</v>
      </c>
      <c r="U5371" s="18" t="s">
        <v>11507</v>
      </c>
      <c r="V5371" s="18" t="s">
        <v>11508</v>
      </c>
      <c r="W5371" s="18" t="s">
        <v>48877</v>
      </c>
      <c r="X5371" s="18" t="s">
        <v>42</v>
      </c>
      <c r="Y5371" s="18" t="s">
        <v>36</v>
      </c>
      <c r="Z5371" s="18" t="s">
        <v>166</v>
      </c>
      <c r="AA5371" s="21" t="str">
        <f>HYPERLINK("https://www.ncbi.nlm.nih.gov/nuccore/GQ845442","NCBI Nucleotide")</f>
        <v>NCBI Nucleotide</v>
      </c>
    </row>
    <row r="5372" spans="1:27" x14ac:dyDescent="0.35">
      <c r="A5372">
        <v>1012311</v>
      </c>
      <c r="B5372">
        <v>5222</v>
      </c>
      <c r="C5372">
        <v>16</v>
      </c>
      <c r="D5372" s="17" t="s">
        <v>10507</v>
      </c>
      <c r="E5372" s="17"/>
      <c r="F5372" s="17" t="s">
        <v>10780</v>
      </c>
      <c r="G5372" s="17"/>
      <c r="H5372" s="17" t="s">
        <v>10781</v>
      </c>
      <c r="I5372" s="17"/>
      <c r="J5372" s="17" t="s">
        <v>10791</v>
      </c>
      <c r="K5372" s="17"/>
      <c r="L5372" s="17" t="s">
        <v>11236</v>
      </c>
      <c r="M5372" s="17"/>
      <c r="N5372" s="17" t="s">
        <v>11237</v>
      </c>
      <c r="O5372" s="17" t="s">
        <v>11238</v>
      </c>
      <c r="P5372" s="17" t="s">
        <v>11433</v>
      </c>
      <c r="Q5372" s="17"/>
      <c r="R5372" s="25" t="str">
        <f t="shared" si="9"/>
        <v>Betapapillomavirus 2</v>
      </c>
      <c r="S5372" s="18" t="s">
        <v>8141</v>
      </c>
      <c r="T5372" s="18" t="s">
        <v>11509</v>
      </c>
      <c r="U5372" s="18" t="s">
        <v>11510</v>
      </c>
      <c r="V5372" s="18" t="s">
        <v>11511</v>
      </c>
      <c r="W5372" s="18" t="s">
        <v>48878</v>
      </c>
      <c r="X5372" s="18" t="s">
        <v>42</v>
      </c>
      <c r="Y5372" s="18" t="s">
        <v>36</v>
      </c>
      <c r="Z5372" s="18" t="s">
        <v>166</v>
      </c>
      <c r="AA5372" s="21" t="str">
        <f>HYPERLINK("https://www.ncbi.nlm.nih.gov/nuccore/GQ845444","NCBI Nucleotide")</f>
        <v>NCBI Nucleotide</v>
      </c>
    </row>
    <row r="5373" spans="1:27" x14ac:dyDescent="0.35">
      <c r="A5373">
        <v>1012314</v>
      </c>
      <c r="B5373">
        <v>5222</v>
      </c>
      <c r="C5373">
        <v>17</v>
      </c>
      <c r="D5373" s="17" t="s">
        <v>10507</v>
      </c>
      <c r="E5373" s="17"/>
      <c r="F5373" s="17" t="s">
        <v>10780</v>
      </c>
      <c r="G5373" s="17"/>
      <c r="H5373" s="17" t="s">
        <v>10781</v>
      </c>
      <c r="I5373" s="17"/>
      <c r="J5373" s="17" t="s">
        <v>10791</v>
      </c>
      <c r="K5373" s="17"/>
      <c r="L5373" s="17" t="s">
        <v>11236</v>
      </c>
      <c r="M5373" s="17"/>
      <c r="N5373" s="17" t="s">
        <v>11237</v>
      </c>
      <c r="O5373" s="17" t="s">
        <v>11238</v>
      </c>
      <c r="P5373" s="17" t="s">
        <v>11433</v>
      </c>
      <c r="Q5373" s="17"/>
      <c r="R5373" s="25" t="str">
        <f t="shared" si="9"/>
        <v>Betapapillomavirus 2</v>
      </c>
      <c r="S5373" s="18" t="s">
        <v>8141</v>
      </c>
      <c r="T5373" s="18" t="s">
        <v>11518</v>
      </c>
      <c r="U5373" s="18" t="s">
        <v>11519</v>
      </c>
      <c r="V5373" s="18" t="s">
        <v>11520</v>
      </c>
      <c r="W5373" s="18" t="s">
        <v>48879</v>
      </c>
      <c r="X5373" s="18" t="s">
        <v>42</v>
      </c>
      <c r="Y5373" s="18" t="s">
        <v>36</v>
      </c>
      <c r="Z5373" s="18" t="s">
        <v>166</v>
      </c>
      <c r="AA5373" s="21" t="str">
        <f>HYPERLINK("https://www.ncbi.nlm.nih.gov/nuccore/HM999997","NCBI Nucleotide")</f>
        <v>NCBI Nucleotide</v>
      </c>
    </row>
    <row r="5374" spans="1:27" x14ac:dyDescent="0.35">
      <c r="A5374">
        <v>1012309</v>
      </c>
      <c r="B5374">
        <v>5222</v>
      </c>
      <c r="C5374">
        <v>18</v>
      </c>
      <c r="D5374" s="17" t="s">
        <v>10507</v>
      </c>
      <c r="E5374" s="17"/>
      <c r="F5374" s="17" t="s">
        <v>10780</v>
      </c>
      <c r="G5374" s="17"/>
      <c r="H5374" s="17" t="s">
        <v>10781</v>
      </c>
      <c r="I5374" s="17"/>
      <c r="J5374" s="17" t="s">
        <v>10791</v>
      </c>
      <c r="K5374" s="17"/>
      <c r="L5374" s="17" t="s">
        <v>11236</v>
      </c>
      <c r="M5374" s="17"/>
      <c r="N5374" s="17" t="s">
        <v>11237</v>
      </c>
      <c r="O5374" s="17" t="s">
        <v>11238</v>
      </c>
      <c r="P5374" s="17" t="s">
        <v>11433</v>
      </c>
      <c r="Q5374" s="17"/>
      <c r="R5374" s="25" t="str">
        <f t="shared" si="9"/>
        <v>Betapapillomavirus 2</v>
      </c>
      <c r="S5374" s="18" t="s">
        <v>8141</v>
      </c>
      <c r="T5374" s="18" t="s">
        <v>11503</v>
      </c>
      <c r="U5374" s="18" t="s">
        <v>11504</v>
      </c>
      <c r="V5374" s="18" t="s">
        <v>11505</v>
      </c>
      <c r="W5374" s="18" t="s">
        <v>48880</v>
      </c>
      <c r="X5374" s="18" t="s">
        <v>42</v>
      </c>
      <c r="Y5374" s="18" t="s">
        <v>36</v>
      </c>
      <c r="Z5374" s="18" t="s">
        <v>166</v>
      </c>
      <c r="AA5374" s="21" t="str">
        <f>HYPERLINK("https://www.ncbi.nlm.nih.gov/nuccore/FN677756","NCBI Nucleotide")</f>
        <v>NCBI Nucleotide</v>
      </c>
    </row>
    <row r="5375" spans="1:27" x14ac:dyDescent="0.35">
      <c r="A5375">
        <v>1012312</v>
      </c>
      <c r="B5375">
        <v>5222</v>
      </c>
      <c r="C5375">
        <v>19</v>
      </c>
      <c r="D5375" s="17" t="s">
        <v>10507</v>
      </c>
      <c r="E5375" s="17"/>
      <c r="F5375" s="17" t="s">
        <v>10780</v>
      </c>
      <c r="G5375" s="17"/>
      <c r="H5375" s="17" t="s">
        <v>10781</v>
      </c>
      <c r="I5375" s="17"/>
      <c r="J5375" s="17" t="s">
        <v>10791</v>
      </c>
      <c r="K5375" s="17"/>
      <c r="L5375" s="17" t="s">
        <v>11236</v>
      </c>
      <c r="M5375" s="17"/>
      <c r="N5375" s="17" t="s">
        <v>11237</v>
      </c>
      <c r="O5375" s="17" t="s">
        <v>11238</v>
      </c>
      <c r="P5375" s="17" t="s">
        <v>11433</v>
      </c>
      <c r="Q5375" s="17"/>
      <c r="R5375" s="25" t="str">
        <f t="shared" si="9"/>
        <v>Betapapillomavirus 2</v>
      </c>
      <c r="S5375" s="18" t="s">
        <v>8141</v>
      </c>
      <c r="T5375" s="18" t="s">
        <v>11512</v>
      </c>
      <c r="U5375" s="18" t="s">
        <v>11513</v>
      </c>
      <c r="V5375" s="18" t="s">
        <v>11514</v>
      </c>
      <c r="W5375" s="18" t="s">
        <v>48881</v>
      </c>
      <c r="X5375" s="18" t="s">
        <v>42</v>
      </c>
      <c r="Y5375" s="18" t="s">
        <v>36</v>
      </c>
      <c r="Z5375" s="18" t="s">
        <v>166</v>
      </c>
      <c r="AA5375" s="21" t="str">
        <f>HYPERLINK("https://www.ncbi.nlm.nih.gov/nuccore/HE963025","NCBI Nucleotide")</f>
        <v>NCBI Nucleotide</v>
      </c>
    </row>
    <row r="5376" spans="1:27" x14ac:dyDescent="0.35">
      <c r="A5376">
        <v>1012313</v>
      </c>
      <c r="B5376">
        <v>5222</v>
      </c>
      <c r="C5376">
        <v>20</v>
      </c>
      <c r="D5376" s="17" t="s">
        <v>10507</v>
      </c>
      <c r="E5376" s="17"/>
      <c r="F5376" s="17" t="s">
        <v>10780</v>
      </c>
      <c r="G5376" s="17"/>
      <c r="H5376" s="17" t="s">
        <v>10781</v>
      </c>
      <c r="I5376" s="17"/>
      <c r="J5376" s="17" t="s">
        <v>10791</v>
      </c>
      <c r="K5376" s="17"/>
      <c r="L5376" s="17" t="s">
        <v>11236</v>
      </c>
      <c r="M5376" s="17"/>
      <c r="N5376" s="17" t="s">
        <v>11237</v>
      </c>
      <c r="O5376" s="17" t="s">
        <v>11238</v>
      </c>
      <c r="P5376" s="17" t="s">
        <v>11433</v>
      </c>
      <c r="Q5376" s="17"/>
      <c r="R5376" s="25" t="str">
        <f t="shared" si="9"/>
        <v>Betapapillomavirus 2</v>
      </c>
      <c r="S5376" s="18" t="s">
        <v>8141</v>
      </c>
      <c r="T5376" s="18" t="s">
        <v>11515</v>
      </c>
      <c r="U5376" s="18" t="s">
        <v>11516</v>
      </c>
      <c r="V5376" s="18" t="s">
        <v>11517</v>
      </c>
      <c r="W5376" s="18" t="s">
        <v>48882</v>
      </c>
      <c r="X5376" s="18" t="s">
        <v>42</v>
      </c>
      <c r="Y5376" s="18" t="s">
        <v>36</v>
      </c>
      <c r="Z5376" s="18" t="s">
        <v>166</v>
      </c>
      <c r="AA5376" s="21" t="str">
        <f>HYPERLINK("https://www.ncbi.nlm.nih.gov/nuccore/HF930491","NCBI Nucleotide")</f>
        <v>NCBI Nucleotide</v>
      </c>
    </row>
    <row r="5377" spans="1:27" x14ac:dyDescent="0.35">
      <c r="A5377">
        <v>1006988</v>
      </c>
      <c r="B5377">
        <v>5223</v>
      </c>
      <c r="C5377">
        <v>1</v>
      </c>
      <c r="D5377" s="17" t="s">
        <v>10507</v>
      </c>
      <c r="E5377" s="17"/>
      <c r="F5377" s="17" t="s">
        <v>10780</v>
      </c>
      <c r="G5377" s="17"/>
      <c r="H5377" s="17" t="s">
        <v>10781</v>
      </c>
      <c r="I5377" s="17"/>
      <c r="J5377" s="17" t="s">
        <v>10791</v>
      </c>
      <c r="K5377" s="17"/>
      <c r="L5377" s="17" t="s">
        <v>11236</v>
      </c>
      <c r="M5377" s="17"/>
      <c r="N5377" s="17" t="s">
        <v>11237</v>
      </c>
      <c r="O5377" s="17" t="s">
        <v>11238</v>
      </c>
      <c r="P5377" s="17" t="s">
        <v>11433</v>
      </c>
      <c r="Q5377" s="17"/>
      <c r="R5377" s="25" t="str">
        <f>HYPERLINK("https://ictv.global/taxonomy/taxondetails?taxnode_id=202303991","Betapapillomavirus 3")</f>
        <v>Betapapillomavirus 3</v>
      </c>
      <c r="S5377" s="18" t="s">
        <v>30</v>
      </c>
      <c r="T5377" s="18" t="s">
        <v>11535</v>
      </c>
      <c r="U5377" s="18" t="s">
        <v>11536</v>
      </c>
      <c r="V5377" s="18"/>
      <c r="W5377" s="18" t="s">
        <v>11537</v>
      </c>
      <c r="X5377" s="18" t="s">
        <v>42</v>
      </c>
      <c r="Y5377" s="18" t="s">
        <v>36</v>
      </c>
      <c r="Z5377" s="18" t="s">
        <v>166</v>
      </c>
      <c r="AA5377" s="21" t="str">
        <f>HYPERLINK("https://www.ncbi.nlm.nih.gov/nuccore/X74480","NCBI Nucleotide")</f>
        <v>NCBI Nucleotide</v>
      </c>
    </row>
    <row r="5378" spans="1:27" x14ac:dyDescent="0.35">
      <c r="A5378">
        <v>1012323</v>
      </c>
      <c r="B5378">
        <v>5223</v>
      </c>
      <c r="C5378">
        <v>2</v>
      </c>
      <c r="D5378" s="17" t="s">
        <v>10507</v>
      </c>
      <c r="E5378" s="17"/>
      <c r="F5378" s="17" t="s">
        <v>10780</v>
      </c>
      <c r="G5378" s="17"/>
      <c r="H5378" s="17" t="s">
        <v>10781</v>
      </c>
      <c r="I5378" s="17"/>
      <c r="J5378" s="17" t="s">
        <v>10791</v>
      </c>
      <c r="K5378" s="17"/>
      <c r="L5378" s="17" t="s">
        <v>11236</v>
      </c>
      <c r="M5378" s="17"/>
      <c r="N5378" s="17" t="s">
        <v>11237</v>
      </c>
      <c r="O5378" s="17" t="s">
        <v>11238</v>
      </c>
      <c r="P5378" s="17" t="s">
        <v>11433</v>
      </c>
      <c r="Q5378" s="17"/>
      <c r="R5378" s="25" t="str">
        <f>HYPERLINK("https://ictv.global/taxonomy/taxondetails?taxnode_id=202303991","Betapapillomavirus 3")</f>
        <v>Betapapillomavirus 3</v>
      </c>
      <c r="S5378" s="18" t="s">
        <v>8141</v>
      </c>
      <c r="T5378" s="18" t="s">
        <v>11541</v>
      </c>
      <c r="U5378" s="18" t="s">
        <v>11542</v>
      </c>
      <c r="V5378" s="18"/>
      <c r="W5378" s="18" t="s">
        <v>48883</v>
      </c>
      <c r="X5378" s="18" t="s">
        <v>42</v>
      </c>
      <c r="Y5378" s="18" t="s">
        <v>36</v>
      </c>
      <c r="Z5378" s="18" t="s">
        <v>166</v>
      </c>
      <c r="AA5378" s="21" t="str">
        <f>HYPERLINK("https://www.ncbi.nlm.nih.gov/nuccore/Y15173","NCBI Nucleotide")</f>
        <v>NCBI Nucleotide</v>
      </c>
    </row>
    <row r="5379" spans="1:27" x14ac:dyDescent="0.35">
      <c r="A5379">
        <v>1012324</v>
      </c>
      <c r="B5379">
        <v>5223</v>
      </c>
      <c r="C5379">
        <v>3</v>
      </c>
      <c r="D5379" s="17" t="s">
        <v>10507</v>
      </c>
      <c r="E5379" s="17"/>
      <c r="F5379" s="17" t="s">
        <v>10780</v>
      </c>
      <c r="G5379" s="17"/>
      <c r="H5379" s="17" t="s">
        <v>10781</v>
      </c>
      <c r="I5379" s="17"/>
      <c r="J5379" s="17" t="s">
        <v>10791</v>
      </c>
      <c r="K5379" s="17"/>
      <c r="L5379" s="17" t="s">
        <v>11236</v>
      </c>
      <c r="M5379" s="17"/>
      <c r="N5379" s="17" t="s">
        <v>11237</v>
      </c>
      <c r="O5379" s="17" t="s">
        <v>11238</v>
      </c>
      <c r="P5379" s="17" t="s">
        <v>11433</v>
      </c>
      <c r="Q5379" s="17"/>
      <c r="R5379" s="25" t="str">
        <f>HYPERLINK("https://ictv.global/taxonomy/taxondetails?taxnode_id=202303991","Betapapillomavirus 3")</f>
        <v>Betapapillomavirus 3</v>
      </c>
      <c r="S5379" s="18" t="s">
        <v>8141</v>
      </c>
      <c r="T5379" s="18" t="s">
        <v>11543</v>
      </c>
      <c r="U5379" s="18" t="s">
        <v>11544</v>
      </c>
      <c r="V5379" s="18"/>
      <c r="W5379" s="18" t="s">
        <v>48884</v>
      </c>
      <c r="X5379" s="18" t="s">
        <v>42</v>
      </c>
      <c r="Y5379" s="18" t="s">
        <v>36</v>
      </c>
      <c r="Z5379" s="18" t="s">
        <v>166</v>
      </c>
      <c r="AA5379" s="21" t="str">
        <f>HYPERLINK("https://www.ncbi.nlm.nih.gov/nuccore/Y15174","NCBI Nucleotide")</f>
        <v>NCBI Nucleotide</v>
      </c>
    </row>
    <row r="5380" spans="1:27" x14ac:dyDescent="0.35">
      <c r="A5380">
        <v>1012322</v>
      </c>
      <c r="B5380">
        <v>5223</v>
      </c>
      <c r="C5380">
        <v>4</v>
      </c>
      <c r="D5380" s="17" t="s">
        <v>10507</v>
      </c>
      <c r="E5380" s="17"/>
      <c r="F5380" s="17" t="s">
        <v>10780</v>
      </c>
      <c r="G5380" s="17"/>
      <c r="H5380" s="17" t="s">
        <v>10781</v>
      </c>
      <c r="I5380" s="17"/>
      <c r="J5380" s="17" t="s">
        <v>10791</v>
      </c>
      <c r="K5380" s="17"/>
      <c r="L5380" s="17" t="s">
        <v>11236</v>
      </c>
      <c r="M5380" s="17"/>
      <c r="N5380" s="17" t="s">
        <v>11237</v>
      </c>
      <c r="O5380" s="17" t="s">
        <v>11238</v>
      </c>
      <c r="P5380" s="17" t="s">
        <v>11433</v>
      </c>
      <c r="Q5380" s="17"/>
      <c r="R5380" s="25" t="str">
        <f>HYPERLINK("https://ictv.global/taxonomy/taxondetails?taxnode_id=202303991","Betapapillomavirus 3")</f>
        <v>Betapapillomavirus 3</v>
      </c>
      <c r="S5380" s="18" t="s">
        <v>8141</v>
      </c>
      <c r="T5380" s="18" t="s">
        <v>11538</v>
      </c>
      <c r="U5380" s="18" t="s">
        <v>11539</v>
      </c>
      <c r="V5380" s="18" t="s">
        <v>11540</v>
      </c>
      <c r="W5380" s="18" t="s">
        <v>48885</v>
      </c>
      <c r="X5380" s="18" t="s">
        <v>42</v>
      </c>
      <c r="Y5380" s="18" t="s">
        <v>36</v>
      </c>
      <c r="Z5380" s="18" t="s">
        <v>166</v>
      </c>
      <c r="AA5380" s="21" t="str">
        <f>HYPERLINK("https://www.ncbi.nlm.nih.gov/nuccore/FJ947080","NCBI Nucleotide")</f>
        <v>NCBI Nucleotide</v>
      </c>
    </row>
    <row r="5381" spans="1:27" x14ac:dyDescent="0.35">
      <c r="A5381">
        <v>1006989</v>
      </c>
      <c r="B5381">
        <v>5224</v>
      </c>
      <c r="C5381">
        <v>1</v>
      </c>
      <c r="D5381" s="17" t="s">
        <v>10507</v>
      </c>
      <c r="E5381" s="17"/>
      <c r="F5381" s="17" t="s">
        <v>10780</v>
      </c>
      <c r="G5381" s="17"/>
      <c r="H5381" s="17" t="s">
        <v>10781</v>
      </c>
      <c r="I5381" s="17"/>
      <c r="J5381" s="17" t="s">
        <v>10791</v>
      </c>
      <c r="K5381" s="17"/>
      <c r="L5381" s="17" t="s">
        <v>11236</v>
      </c>
      <c r="M5381" s="17"/>
      <c r="N5381" s="17" t="s">
        <v>11237</v>
      </c>
      <c r="O5381" s="17" t="s">
        <v>11238</v>
      </c>
      <c r="P5381" s="17" t="s">
        <v>11433</v>
      </c>
      <c r="Q5381" s="17"/>
      <c r="R5381" s="25" t="str">
        <f>HYPERLINK("https://ictv.global/taxonomy/taxondetails?taxnode_id=202303992","Betapapillomavirus 4")</f>
        <v>Betapapillomavirus 4</v>
      </c>
      <c r="S5381" s="18" t="s">
        <v>30</v>
      </c>
      <c r="T5381" s="18" t="s">
        <v>11545</v>
      </c>
      <c r="U5381" s="18" t="s">
        <v>11546</v>
      </c>
      <c r="V5381" s="18"/>
      <c r="W5381" s="18" t="s">
        <v>11547</v>
      </c>
      <c r="X5381" s="18" t="s">
        <v>42</v>
      </c>
      <c r="Y5381" s="18" t="s">
        <v>36</v>
      </c>
      <c r="Z5381" s="18" t="s">
        <v>166</v>
      </c>
      <c r="AA5381" s="21" t="str">
        <f>HYPERLINK("https://www.ncbi.nlm.nih.gov/nuccore/AF531420","NCBI Nucleotide")</f>
        <v>NCBI Nucleotide</v>
      </c>
    </row>
    <row r="5382" spans="1:27" x14ac:dyDescent="0.35">
      <c r="A5382">
        <v>1006990</v>
      </c>
      <c r="B5382">
        <v>5225</v>
      </c>
      <c r="C5382">
        <v>1</v>
      </c>
      <c r="D5382" s="17" t="s">
        <v>10507</v>
      </c>
      <c r="E5382" s="17"/>
      <c r="F5382" s="17" t="s">
        <v>10780</v>
      </c>
      <c r="G5382" s="17"/>
      <c r="H5382" s="17" t="s">
        <v>10781</v>
      </c>
      <c r="I5382" s="17"/>
      <c r="J5382" s="17" t="s">
        <v>10791</v>
      </c>
      <c r="K5382" s="17"/>
      <c r="L5382" s="17" t="s">
        <v>11236</v>
      </c>
      <c r="M5382" s="17"/>
      <c r="N5382" s="17" t="s">
        <v>11237</v>
      </c>
      <c r="O5382" s="17" t="s">
        <v>11238</v>
      </c>
      <c r="P5382" s="17" t="s">
        <v>11433</v>
      </c>
      <c r="Q5382" s="17"/>
      <c r="R5382" s="25" t="str">
        <f>HYPERLINK("https://ictv.global/taxonomy/taxondetails?taxnode_id=202303993","Betapapillomavirus 5")</f>
        <v>Betapapillomavirus 5</v>
      </c>
      <c r="S5382" s="18" t="s">
        <v>30</v>
      </c>
      <c r="T5382" s="18" t="s">
        <v>11548</v>
      </c>
      <c r="U5382" s="18" t="s">
        <v>11549</v>
      </c>
      <c r="V5382" s="18"/>
      <c r="W5382" s="18" t="s">
        <v>11550</v>
      </c>
      <c r="X5382" s="18" t="s">
        <v>42</v>
      </c>
      <c r="Y5382" s="18" t="s">
        <v>36</v>
      </c>
      <c r="Z5382" s="18" t="s">
        <v>166</v>
      </c>
      <c r="AA5382" s="21" t="str">
        <f>HYPERLINK("https://www.ncbi.nlm.nih.gov/nuccore/AY382779","NCBI Nucleotide")</f>
        <v>NCBI Nucleotide</v>
      </c>
    </row>
    <row r="5383" spans="1:27" x14ac:dyDescent="0.35">
      <c r="A5383">
        <v>1012325</v>
      </c>
      <c r="B5383">
        <v>5225</v>
      </c>
      <c r="C5383">
        <v>2</v>
      </c>
      <c r="D5383" s="17" t="s">
        <v>10507</v>
      </c>
      <c r="E5383" s="17"/>
      <c r="F5383" s="17" t="s">
        <v>10780</v>
      </c>
      <c r="G5383" s="17"/>
      <c r="H5383" s="17" t="s">
        <v>10781</v>
      </c>
      <c r="I5383" s="17"/>
      <c r="J5383" s="17" t="s">
        <v>10791</v>
      </c>
      <c r="K5383" s="17"/>
      <c r="L5383" s="17" t="s">
        <v>11236</v>
      </c>
      <c r="M5383" s="17"/>
      <c r="N5383" s="17" t="s">
        <v>11237</v>
      </c>
      <c r="O5383" s="17" t="s">
        <v>11238</v>
      </c>
      <c r="P5383" s="17" t="s">
        <v>11433</v>
      </c>
      <c r="Q5383" s="17"/>
      <c r="R5383" s="25" t="str">
        <f>HYPERLINK("https://ictv.global/taxonomy/taxondetails?taxnode_id=202303993","Betapapillomavirus 5")</f>
        <v>Betapapillomavirus 5</v>
      </c>
      <c r="S5383" s="18" t="s">
        <v>8141</v>
      </c>
      <c r="T5383" s="18" t="s">
        <v>11551</v>
      </c>
      <c r="U5383" s="18" t="s">
        <v>11552</v>
      </c>
      <c r="V5383" s="18" t="s">
        <v>11553</v>
      </c>
      <c r="W5383" s="18" t="s">
        <v>48886</v>
      </c>
      <c r="X5383" s="18" t="s">
        <v>42</v>
      </c>
      <c r="Y5383" s="18" t="s">
        <v>36</v>
      </c>
      <c r="Z5383" s="18" t="s">
        <v>166</v>
      </c>
      <c r="AA5383" s="21" t="str">
        <f>HYPERLINK("https://www.ncbi.nlm.nih.gov/nuccore/FN677755","NCBI Nucleotide")</f>
        <v>NCBI Nucleotide</v>
      </c>
    </row>
    <row r="5384" spans="1:27" x14ac:dyDescent="0.35">
      <c r="A5384">
        <v>1006991</v>
      </c>
      <c r="B5384">
        <v>5226</v>
      </c>
      <c r="C5384">
        <v>1</v>
      </c>
      <c r="D5384" s="17" t="s">
        <v>10507</v>
      </c>
      <c r="E5384" s="17"/>
      <c r="F5384" s="17" t="s">
        <v>10780</v>
      </c>
      <c r="G5384" s="17"/>
      <c r="H5384" s="17" t="s">
        <v>10781</v>
      </c>
      <c r="I5384" s="17"/>
      <c r="J5384" s="17" t="s">
        <v>10791</v>
      </c>
      <c r="K5384" s="17"/>
      <c r="L5384" s="17" t="s">
        <v>11236</v>
      </c>
      <c r="M5384" s="17"/>
      <c r="N5384" s="17" t="s">
        <v>11237</v>
      </c>
      <c r="O5384" s="17" t="s">
        <v>11238</v>
      </c>
      <c r="P5384" s="17" t="s">
        <v>11433</v>
      </c>
      <c r="Q5384" s="17"/>
      <c r="R5384" s="25" t="str">
        <f>HYPERLINK("https://ictv.global/taxonomy/taxondetails?taxnode_id=202303994","Betapapillomavirus 6")</f>
        <v>Betapapillomavirus 6</v>
      </c>
      <c r="S5384" s="18" t="s">
        <v>30</v>
      </c>
      <c r="T5384" s="18" t="s">
        <v>11554</v>
      </c>
      <c r="U5384" s="18" t="s">
        <v>11555</v>
      </c>
      <c r="V5384" s="18" t="s">
        <v>11556</v>
      </c>
      <c r="W5384" s="18" t="s">
        <v>11557</v>
      </c>
      <c r="X5384" s="18" t="s">
        <v>42</v>
      </c>
      <c r="Y5384" s="18" t="s">
        <v>36</v>
      </c>
      <c r="Z5384" s="18" t="s">
        <v>166</v>
      </c>
      <c r="AA5384" s="21" t="str">
        <f>HYPERLINK("https://www.ncbi.nlm.nih.gov/nuccore/GU014531","NCBI Nucleotide")</f>
        <v>NCBI Nucleotide</v>
      </c>
    </row>
    <row r="5385" spans="1:27" x14ac:dyDescent="0.35">
      <c r="A5385">
        <v>1006992</v>
      </c>
      <c r="B5385">
        <v>5227</v>
      </c>
      <c r="C5385">
        <v>1</v>
      </c>
      <c r="D5385" s="17" t="s">
        <v>10507</v>
      </c>
      <c r="E5385" s="17"/>
      <c r="F5385" s="17" t="s">
        <v>10780</v>
      </c>
      <c r="G5385" s="17"/>
      <c r="H5385" s="17" t="s">
        <v>10781</v>
      </c>
      <c r="I5385" s="17"/>
      <c r="J5385" s="17" t="s">
        <v>10791</v>
      </c>
      <c r="K5385" s="17"/>
      <c r="L5385" s="17" t="s">
        <v>11236</v>
      </c>
      <c r="M5385" s="17"/>
      <c r="N5385" s="17" t="s">
        <v>11237</v>
      </c>
      <c r="O5385" s="17" t="s">
        <v>11238</v>
      </c>
      <c r="P5385" s="17" t="s">
        <v>11558</v>
      </c>
      <c r="Q5385" s="17"/>
      <c r="R5385" s="25" t="str">
        <f t="shared" ref="R5385:R5391" si="10">HYPERLINK("https://ictv.global/taxonomy/taxondetails?taxnode_id=202303996","Chipapillomavirus 1")</f>
        <v>Chipapillomavirus 1</v>
      </c>
      <c r="S5385" s="18" t="s">
        <v>30</v>
      </c>
      <c r="T5385" s="18" t="s">
        <v>11559</v>
      </c>
      <c r="U5385" s="18" t="s">
        <v>11560</v>
      </c>
      <c r="V5385" s="18"/>
      <c r="W5385" s="18" t="s">
        <v>11561</v>
      </c>
      <c r="X5385" s="18" t="s">
        <v>42</v>
      </c>
      <c r="Y5385" s="18" t="s">
        <v>36</v>
      </c>
      <c r="Z5385" s="18" t="s">
        <v>166</v>
      </c>
      <c r="AA5385" s="21" t="str">
        <f>HYPERLINK("https://www.ncbi.nlm.nih.gov/nuccore/DQ295066","NCBI Nucleotide")</f>
        <v>NCBI Nucleotide</v>
      </c>
    </row>
    <row r="5386" spans="1:27" x14ac:dyDescent="0.35">
      <c r="A5386">
        <v>1012326</v>
      </c>
      <c r="B5386">
        <v>5227</v>
      </c>
      <c r="C5386">
        <v>2</v>
      </c>
      <c r="D5386" s="17" t="s">
        <v>10507</v>
      </c>
      <c r="E5386" s="17"/>
      <c r="F5386" s="17" t="s">
        <v>10780</v>
      </c>
      <c r="G5386" s="17"/>
      <c r="H5386" s="17" t="s">
        <v>10781</v>
      </c>
      <c r="I5386" s="17"/>
      <c r="J5386" s="17" t="s">
        <v>10791</v>
      </c>
      <c r="K5386" s="17"/>
      <c r="L5386" s="17" t="s">
        <v>11236</v>
      </c>
      <c r="M5386" s="17"/>
      <c r="N5386" s="17" t="s">
        <v>11237</v>
      </c>
      <c r="O5386" s="17" t="s">
        <v>11238</v>
      </c>
      <c r="P5386" s="17" t="s">
        <v>11558</v>
      </c>
      <c r="Q5386" s="17"/>
      <c r="R5386" s="25" t="str">
        <f t="shared" si="10"/>
        <v>Chipapillomavirus 1</v>
      </c>
      <c r="S5386" s="18" t="s">
        <v>8141</v>
      </c>
      <c r="T5386" s="18" t="s">
        <v>11562</v>
      </c>
      <c r="U5386" s="18" t="s">
        <v>11563</v>
      </c>
      <c r="V5386" s="18" t="s">
        <v>11564</v>
      </c>
      <c r="W5386" s="18" t="s">
        <v>48887</v>
      </c>
      <c r="X5386" s="18" t="s">
        <v>42</v>
      </c>
      <c r="Y5386" s="18" t="s">
        <v>36</v>
      </c>
      <c r="Z5386" s="18" t="s">
        <v>166</v>
      </c>
      <c r="AA5386" s="21" t="str">
        <f>HYPERLINK("https://www.ncbi.nlm.nih.gov/nuccore/FJ492743","NCBI Nucleotide")</f>
        <v>NCBI Nucleotide</v>
      </c>
    </row>
    <row r="5387" spans="1:27" x14ac:dyDescent="0.35">
      <c r="A5387">
        <v>1012327</v>
      </c>
      <c r="B5387">
        <v>5227</v>
      </c>
      <c r="C5387">
        <v>3</v>
      </c>
      <c r="D5387" s="17" t="s">
        <v>10507</v>
      </c>
      <c r="E5387" s="17"/>
      <c r="F5387" s="17" t="s">
        <v>10780</v>
      </c>
      <c r="G5387" s="17"/>
      <c r="H5387" s="17" t="s">
        <v>10781</v>
      </c>
      <c r="I5387" s="17"/>
      <c r="J5387" s="17" t="s">
        <v>10791</v>
      </c>
      <c r="K5387" s="17"/>
      <c r="L5387" s="17" t="s">
        <v>11236</v>
      </c>
      <c r="M5387" s="17"/>
      <c r="N5387" s="17" t="s">
        <v>11237</v>
      </c>
      <c r="O5387" s="17" t="s">
        <v>11238</v>
      </c>
      <c r="P5387" s="17" t="s">
        <v>11558</v>
      </c>
      <c r="Q5387" s="17"/>
      <c r="R5387" s="25" t="str">
        <f t="shared" si="10"/>
        <v>Chipapillomavirus 1</v>
      </c>
      <c r="S5387" s="18" t="s">
        <v>8141</v>
      </c>
      <c r="T5387" s="18" t="s">
        <v>11565</v>
      </c>
      <c r="U5387" s="18" t="s">
        <v>11566</v>
      </c>
      <c r="V5387" s="18"/>
      <c r="W5387" s="18" t="s">
        <v>48888</v>
      </c>
      <c r="X5387" s="18" t="s">
        <v>42</v>
      </c>
      <c r="Y5387" s="18" t="s">
        <v>36</v>
      </c>
      <c r="Z5387" s="18" t="s">
        <v>166</v>
      </c>
      <c r="AA5387" s="21" t="str">
        <f>HYPERLINK("https://www.ncbi.nlm.nih.gov/nuccore/JF800656","NCBI Nucleotide")</f>
        <v>NCBI Nucleotide</v>
      </c>
    </row>
    <row r="5388" spans="1:27" x14ac:dyDescent="0.35">
      <c r="A5388">
        <v>1012328</v>
      </c>
      <c r="B5388">
        <v>5227</v>
      </c>
      <c r="C5388">
        <v>4</v>
      </c>
      <c r="D5388" s="17" t="s">
        <v>10507</v>
      </c>
      <c r="E5388" s="17"/>
      <c r="F5388" s="17" t="s">
        <v>10780</v>
      </c>
      <c r="G5388" s="17"/>
      <c r="H5388" s="17" t="s">
        <v>10781</v>
      </c>
      <c r="I5388" s="17"/>
      <c r="J5388" s="17" t="s">
        <v>10791</v>
      </c>
      <c r="K5388" s="17"/>
      <c r="L5388" s="17" t="s">
        <v>11236</v>
      </c>
      <c r="M5388" s="17"/>
      <c r="N5388" s="17" t="s">
        <v>11237</v>
      </c>
      <c r="O5388" s="17" t="s">
        <v>11238</v>
      </c>
      <c r="P5388" s="17" t="s">
        <v>11558</v>
      </c>
      <c r="Q5388" s="17"/>
      <c r="R5388" s="25" t="str">
        <f t="shared" si="10"/>
        <v>Chipapillomavirus 1</v>
      </c>
      <c r="S5388" s="18" t="s">
        <v>8141</v>
      </c>
      <c r="T5388" s="18" t="s">
        <v>11567</v>
      </c>
      <c r="U5388" s="18" t="s">
        <v>11568</v>
      </c>
      <c r="V5388" s="18"/>
      <c r="W5388" s="18" t="s">
        <v>48889</v>
      </c>
      <c r="X5388" s="18" t="s">
        <v>42</v>
      </c>
      <c r="Y5388" s="18" t="s">
        <v>36</v>
      </c>
      <c r="Z5388" s="18" t="s">
        <v>166</v>
      </c>
      <c r="AA5388" s="21" t="str">
        <f>HYPERLINK("https://www.ncbi.nlm.nih.gov/nuccore/JF800658","NCBI Nucleotide")</f>
        <v>NCBI Nucleotide</v>
      </c>
    </row>
    <row r="5389" spans="1:27" x14ac:dyDescent="0.35">
      <c r="A5389">
        <v>1012329</v>
      </c>
      <c r="B5389">
        <v>5227</v>
      </c>
      <c r="C5389">
        <v>5</v>
      </c>
      <c r="D5389" s="17" t="s">
        <v>10507</v>
      </c>
      <c r="E5389" s="17"/>
      <c r="F5389" s="17" t="s">
        <v>10780</v>
      </c>
      <c r="G5389" s="17"/>
      <c r="H5389" s="17" t="s">
        <v>10781</v>
      </c>
      <c r="I5389" s="17"/>
      <c r="J5389" s="17" t="s">
        <v>10791</v>
      </c>
      <c r="K5389" s="17"/>
      <c r="L5389" s="17" t="s">
        <v>11236</v>
      </c>
      <c r="M5389" s="17"/>
      <c r="N5389" s="17" t="s">
        <v>11237</v>
      </c>
      <c r="O5389" s="17" t="s">
        <v>11238</v>
      </c>
      <c r="P5389" s="17" t="s">
        <v>11558</v>
      </c>
      <c r="Q5389" s="17"/>
      <c r="R5389" s="25" t="str">
        <f t="shared" si="10"/>
        <v>Chipapillomavirus 1</v>
      </c>
      <c r="S5389" s="18" t="s">
        <v>8141</v>
      </c>
      <c r="T5389" s="18" t="s">
        <v>11569</v>
      </c>
      <c r="U5389" s="18" t="s">
        <v>11570</v>
      </c>
      <c r="V5389" s="18" t="s">
        <v>11571</v>
      </c>
      <c r="W5389" s="18" t="s">
        <v>48890</v>
      </c>
      <c r="X5389" s="18" t="s">
        <v>42</v>
      </c>
      <c r="Y5389" s="18" t="s">
        <v>36</v>
      </c>
      <c r="Z5389" s="18" t="s">
        <v>166</v>
      </c>
      <c r="AA5389" s="21" t="str">
        <f>HYPERLINK("https://www.ncbi.nlm.nih.gov/nuccore/JQ754321","NCBI Nucleotide")</f>
        <v>NCBI Nucleotide</v>
      </c>
    </row>
    <row r="5390" spans="1:27" x14ac:dyDescent="0.35">
      <c r="A5390">
        <v>1012330</v>
      </c>
      <c r="B5390">
        <v>5227</v>
      </c>
      <c r="C5390">
        <v>6</v>
      </c>
      <c r="D5390" s="17" t="s">
        <v>10507</v>
      </c>
      <c r="E5390" s="17"/>
      <c r="F5390" s="17" t="s">
        <v>10780</v>
      </c>
      <c r="G5390" s="17"/>
      <c r="H5390" s="17" t="s">
        <v>10781</v>
      </c>
      <c r="I5390" s="17"/>
      <c r="J5390" s="17" t="s">
        <v>10791</v>
      </c>
      <c r="K5390" s="17"/>
      <c r="L5390" s="17" t="s">
        <v>11236</v>
      </c>
      <c r="M5390" s="17"/>
      <c r="N5390" s="17" t="s">
        <v>11237</v>
      </c>
      <c r="O5390" s="17" t="s">
        <v>11238</v>
      </c>
      <c r="P5390" s="17" t="s">
        <v>11558</v>
      </c>
      <c r="Q5390" s="17"/>
      <c r="R5390" s="25" t="str">
        <f t="shared" si="10"/>
        <v>Chipapillomavirus 1</v>
      </c>
      <c r="S5390" s="18" t="s">
        <v>8141</v>
      </c>
      <c r="T5390" s="18" t="s">
        <v>11572</v>
      </c>
      <c r="U5390" s="18" t="s">
        <v>11573</v>
      </c>
      <c r="V5390" s="18" t="s">
        <v>11574</v>
      </c>
      <c r="W5390" s="18" t="s">
        <v>48891</v>
      </c>
      <c r="X5390" s="18" t="s">
        <v>42</v>
      </c>
      <c r="Y5390" s="18" t="s">
        <v>36</v>
      </c>
      <c r="Z5390" s="18" t="s">
        <v>166</v>
      </c>
      <c r="AA5390" s="21" t="str">
        <f>HYPERLINK("https://www.ncbi.nlm.nih.gov/nuccore/KT326919","NCBI Nucleotide")</f>
        <v>NCBI Nucleotide</v>
      </c>
    </row>
    <row r="5391" spans="1:27" x14ac:dyDescent="0.35">
      <c r="A5391">
        <v>1012331</v>
      </c>
      <c r="B5391">
        <v>5227</v>
      </c>
      <c r="C5391">
        <v>7</v>
      </c>
      <c r="D5391" s="17" t="s">
        <v>10507</v>
      </c>
      <c r="E5391" s="17"/>
      <c r="F5391" s="17" t="s">
        <v>10780</v>
      </c>
      <c r="G5391" s="17"/>
      <c r="H5391" s="17" t="s">
        <v>10781</v>
      </c>
      <c r="I5391" s="17"/>
      <c r="J5391" s="17" t="s">
        <v>10791</v>
      </c>
      <c r="K5391" s="17"/>
      <c r="L5391" s="17" t="s">
        <v>11236</v>
      </c>
      <c r="M5391" s="17"/>
      <c r="N5391" s="17" t="s">
        <v>11237</v>
      </c>
      <c r="O5391" s="17" t="s">
        <v>11238</v>
      </c>
      <c r="P5391" s="17" t="s">
        <v>11558</v>
      </c>
      <c r="Q5391" s="17"/>
      <c r="R5391" s="25" t="str">
        <f t="shared" si="10"/>
        <v>Chipapillomavirus 1</v>
      </c>
      <c r="S5391" s="18" t="s">
        <v>8141</v>
      </c>
      <c r="T5391" s="18" t="s">
        <v>11575</v>
      </c>
      <c r="U5391" s="18" t="s">
        <v>11576</v>
      </c>
      <c r="V5391" s="18" t="s">
        <v>11577</v>
      </c>
      <c r="W5391" s="18" t="s">
        <v>48892</v>
      </c>
      <c r="X5391" s="18" t="s">
        <v>42</v>
      </c>
      <c r="Y5391" s="18" t="s">
        <v>36</v>
      </c>
      <c r="Z5391" s="18" t="s">
        <v>166</v>
      </c>
      <c r="AA5391" s="21" t="str">
        <f>HYPERLINK("https://www.ncbi.nlm.nih.gov/nuccore/KT901797","NCBI Nucleotide")</f>
        <v>NCBI Nucleotide</v>
      </c>
    </row>
    <row r="5392" spans="1:27" x14ac:dyDescent="0.35">
      <c r="A5392">
        <v>1006993</v>
      </c>
      <c r="B5392">
        <v>5228</v>
      </c>
      <c r="C5392">
        <v>1</v>
      </c>
      <c r="D5392" s="17" t="s">
        <v>10507</v>
      </c>
      <c r="E5392" s="17"/>
      <c r="F5392" s="17" t="s">
        <v>10780</v>
      </c>
      <c r="G5392" s="17"/>
      <c r="H5392" s="17" t="s">
        <v>10781</v>
      </c>
      <c r="I5392" s="17"/>
      <c r="J5392" s="17" t="s">
        <v>10791</v>
      </c>
      <c r="K5392" s="17"/>
      <c r="L5392" s="17" t="s">
        <v>11236</v>
      </c>
      <c r="M5392" s="17"/>
      <c r="N5392" s="17" t="s">
        <v>11237</v>
      </c>
      <c r="O5392" s="17" t="s">
        <v>11238</v>
      </c>
      <c r="P5392" s="17" t="s">
        <v>11558</v>
      </c>
      <c r="Q5392" s="17"/>
      <c r="R5392" s="25" t="str">
        <f>HYPERLINK("https://ictv.global/taxonomy/taxondetails?taxnode_id=202303997","Chipapillomavirus 2")</f>
        <v>Chipapillomavirus 2</v>
      </c>
      <c r="S5392" s="18" t="s">
        <v>30</v>
      </c>
      <c r="T5392" s="18" t="s">
        <v>11578</v>
      </c>
      <c r="U5392" s="18" t="s">
        <v>11579</v>
      </c>
      <c r="V5392" s="18" t="s">
        <v>11580</v>
      </c>
      <c r="W5392" s="18" t="s">
        <v>11581</v>
      </c>
      <c r="X5392" s="18" t="s">
        <v>42</v>
      </c>
      <c r="Y5392" s="18" t="s">
        <v>36</v>
      </c>
      <c r="Z5392" s="18" t="s">
        <v>166</v>
      </c>
      <c r="AA5392" s="21" t="str">
        <f>HYPERLINK("https://www.ncbi.nlm.nih.gov/nuccore/EF584537","NCBI Nucleotide")</f>
        <v>NCBI Nucleotide</v>
      </c>
    </row>
    <row r="5393" spans="1:27" x14ac:dyDescent="0.35">
      <c r="A5393">
        <v>1012332</v>
      </c>
      <c r="B5393">
        <v>5228</v>
      </c>
      <c r="C5393">
        <v>2</v>
      </c>
      <c r="D5393" s="17" t="s">
        <v>10507</v>
      </c>
      <c r="E5393" s="17"/>
      <c r="F5393" s="17" t="s">
        <v>10780</v>
      </c>
      <c r="G5393" s="17"/>
      <c r="H5393" s="17" t="s">
        <v>10781</v>
      </c>
      <c r="I5393" s="17"/>
      <c r="J5393" s="17" t="s">
        <v>10791</v>
      </c>
      <c r="K5393" s="17"/>
      <c r="L5393" s="17" t="s">
        <v>11236</v>
      </c>
      <c r="M5393" s="17"/>
      <c r="N5393" s="17" t="s">
        <v>11237</v>
      </c>
      <c r="O5393" s="17" t="s">
        <v>11238</v>
      </c>
      <c r="P5393" s="17" t="s">
        <v>11558</v>
      </c>
      <c r="Q5393" s="17"/>
      <c r="R5393" s="25" t="str">
        <f>HYPERLINK("https://ictv.global/taxonomy/taxondetails?taxnode_id=202303997","Chipapillomavirus 2")</f>
        <v>Chipapillomavirus 2</v>
      </c>
      <c r="S5393" s="18" t="s">
        <v>8141</v>
      </c>
      <c r="T5393" s="18" t="s">
        <v>11582</v>
      </c>
      <c r="U5393" s="18" t="s">
        <v>11583</v>
      </c>
      <c r="V5393" s="18" t="s">
        <v>11584</v>
      </c>
      <c r="W5393" s="18" t="s">
        <v>48893</v>
      </c>
      <c r="X5393" s="18" t="s">
        <v>42</v>
      </c>
      <c r="Y5393" s="18" t="s">
        <v>36</v>
      </c>
      <c r="Z5393" s="18" t="s">
        <v>166</v>
      </c>
      <c r="AA5393" s="21" t="str">
        <f>HYPERLINK("https://www.ncbi.nlm.nih.gov/nuccore/KP099966","NCBI Nucleotide")</f>
        <v>NCBI Nucleotide</v>
      </c>
    </row>
    <row r="5394" spans="1:27" x14ac:dyDescent="0.35">
      <c r="A5394">
        <v>1006994</v>
      </c>
      <c r="B5394">
        <v>5229</v>
      </c>
      <c r="C5394">
        <v>1</v>
      </c>
      <c r="D5394" s="17" t="s">
        <v>10507</v>
      </c>
      <c r="E5394" s="17"/>
      <c r="F5394" s="17" t="s">
        <v>10780</v>
      </c>
      <c r="G5394" s="17"/>
      <c r="H5394" s="17" t="s">
        <v>10781</v>
      </c>
      <c r="I5394" s="17"/>
      <c r="J5394" s="17" t="s">
        <v>10791</v>
      </c>
      <c r="K5394" s="17"/>
      <c r="L5394" s="17" t="s">
        <v>11236</v>
      </c>
      <c r="M5394" s="17"/>
      <c r="N5394" s="17" t="s">
        <v>11237</v>
      </c>
      <c r="O5394" s="17" t="s">
        <v>11238</v>
      </c>
      <c r="P5394" s="17" t="s">
        <v>11558</v>
      </c>
      <c r="Q5394" s="17"/>
      <c r="R5394" s="25" t="str">
        <f>HYPERLINK("https://ictv.global/taxonomy/taxondetails?taxnode_id=202303998","Chipapillomavirus 3")</f>
        <v>Chipapillomavirus 3</v>
      </c>
      <c r="S5394" s="18" t="s">
        <v>30</v>
      </c>
      <c r="T5394" s="18" t="s">
        <v>11585</v>
      </c>
      <c r="U5394" s="18" t="s">
        <v>11586</v>
      </c>
      <c r="V5394" s="18" t="s">
        <v>11587</v>
      </c>
      <c r="W5394" s="18" t="s">
        <v>11588</v>
      </c>
      <c r="X5394" s="18" t="s">
        <v>42</v>
      </c>
      <c r="Y5394" s="18" t="s">
        <v>36</v>
      </c>
      <c r="Z5394" s="18" t="s">
        <v>166</v>
      </c>
      <c r="AA5394" s="21" t="str">
        <f>HYPERLINK("https://www.ncbi.nlm.nih.gov/nuccore/HQ262536","NCBI Nucleotide")</f>
        <v>NCBI Nucleotide</v>
      </c>
    </row>
    <row r="5395" spans="1:27" x14ac:dyDescent="0.35">
      <c r="A5395">
        <v>1012333</v>
      </c>
      <c r="B5395">
        <v>5229</v>
      </c>
      <c r="C5395">
        <v>2</v>
      </c>
      <c r="D5395" s="17" t="s">
        <v>10507</v>
      </c>
      <c r="E5395" s="17"/>
      <c r="F5395" s="17" t="s">
        <v>10780</v>
      </c>
      <c r="G5395" s="17"/>
      <c r="H5395" s="17" t="s">
        <v>10781</v>
      </c>
      <c r="I5395" s="17"/>
      <c r="J5395" s="17" t="s">
        <v>10791</v>
      </c>
      <c r="K5395" s="17"/>
      <c r="L5395" s="17" t="s">
        <v>11236</v>
      </c>
      <c r="M5395" s="17"/>
      <c r="N5395" s="17" t="s">
        <v>11237</v>
      </c>
      <c r="O5395" s="17" t="s">
        <v>11238</v>
      </c>
      <c r="P5395" s="17" t="s">
        <v>11558</v>
      </c>
      <c r="Q5395" s="17"/>
      <c r="R5395" s="25" t="str">
        <f>HYPERLINK("https://ictv.global/taxonomy/taxondetails?taxnode_id=202303998","Chipapillomavirus 3")</f>
        <v>Chipapillomavirus 3</v>
      </c>
      <c r="S5395" s="18" t="s">
        <v>8141</v>
      </c>
      <c r="T5395" s="18" t="s">
        <v>11589</v>
      </c>
      <c r="U5395" s="18" t="s">
        <v>11590</v>
      </c>
      <c r="V5395" s="18"/>
      <c r="W5395" s="18" t="s">
        <v>48894</v>
      </c>
      <c r="X5395" s="18" t="s">
        <v>42</v>
      </c>
      <c r="Y5395" s="18" t="s">
        <v>36</v>
      </c>
      <c r="Z5395" s="18" t="s">
        <v>166</v>
      </c>
      <c r="AA5395" s="21" t="str">
        <f>HYPERLINK("https://www.ncbi.nlm.nih.gov/nuccore/JF800657","NCBI Nucleotide")</f>
        <v>NCBI Nucleotide</v>
      </c>
    </row>
    <row r="5396" spans="1:27" x14ac:dyDescent="0.35">
      <c r="A5396">
        <v>1012334</v>
      </c>
      <c r="B5396">
        <v>5229</v>
      </c>
      <c r="C5396">
        <v>3</v>
      </c>
      <c r="D5396" s="17" t="s">
        <v>10507</v>
      </c>
      <c r="E5396" s="17"/>
      <c r="F5396" s="17" t="s">
        <v>10780</v>
      </c>
      <c r="G5396" s="17"/>
      <c r="H5396" s="17" t="s">
        <v>10781</v>
      </c>
      <c r="I5396" s="17"/>
      <c r="J5396" s="17" t="s">
        <v>10791</v>
      </c>
      <c r="K5396" s="17"/>
      <c r="L5396" s="17" t="s">
        <v>11236</v>
      </c>
      <c r="M5396" s="17"/>
      <c r="N5396" s="17" t="s">
        <v>11237</v>
      </c>
      <c r="O5396" s="17" t="s">
        <v>11238</v>
      </c>
      <c r="P5396" s="17" t="s">
        <v>11558</v>
      </c>
      <c r="Q5396" s="17"/>
      <c r="R5396" s="25" t="str">
        <f>HYPERLINK("https://ictv.global/taxonomy/taxondetails?taxnode_id=202303998","Chipapillomavirus 3")</f>
        <v>Chipapillomavirus 3</v>
      </c>
      <c r="S5396" s="18" t="s">
        <v>8141</v>
      </c>
      <c r="T5396" s="18" t="s">
        <v>11591</v>
      </c>
      <c r="U5396" s="18" t="s">
        <v>11592</v>
      </c>
      <c r="V5396" s="18"/>
      <c r="W5396" s="18" t="s">
        <v>48895</v>
      </c>
      <c r="X5396" s="18" t="s">
        <v>42</v>
      </c>
      <c r="Y5396" s="18" t="s">
        <v>36</v>
      </c>
      <c r="Z5396" s="18" t="s">
        <v>166</v>
      </c>
      <c r="AA5396" s="21" t="str">
        <f>HYPERLINK("https://www.ncbi.nlm.nih.gov/nuccore/JQ701802","NCBI Nucleotide")</f>
        <v>NCBI Nucleotide</v>
      </c>
    </row>
    <row r="5397" spans="1:27" x14ac:dyDescent="0.35">
      <c r="A5397">
        <v>1012335</v>
      </c>
      <c r="B5397">
        <v>5229</v>
      </c>
      <c r="C5397">
        <v>4</v>
      </c>
      <c r="D5397" s="17" t="s">
        <v>10507</v>
      </c>
      <c r="E5397" s="17"/>
      <c r="F5397" s="17" t="s">
        <v>10780</v>
      </c>
      <c r="G5397" s="17"/>
      <c r="H5397" s="17" t="s">
        <v>10781</v>
      </c>
      <c r="I5397" s="17"/>
      <c r="J5397" s="17" t="s">
        <v>10791</v>
      </c>
      <c r="K5397" s="17"/>
      <c r="L5397" s="17" t="s">
        <v>11236</v>
      </c>
      <c r="M5397" s="17"/>
      <c r="N5397" s="17" t="s">
        <v>11237</v>
      </c>
      <c r="O5397" s="17" t="s">
        <v>11238</v>
      </c>
      <c r="P5397" s="17" t="s">
        <v>11558</v>
      </c>
      <c r="Q5397" s="17"/>
      <c r="R5397" s="25" t="str">
        <f>HYPERLINK("https://ictv.global/taxonomy/taxondetails?taxnode_id=202303998","Chipapillomavirus 3")</f>
        <v>Chipapillomavirus 3</v>
      </c>
      <c r="S5397" s="18" t="s">
        <v>8141</v>
      </c>
      <c r="T5397" s="18" t="s">
        <v>11593</v>
      </c>
      <c r="U5397" s="18" t="s">
        <v>11594</v>
      </c>
      <c r="V5397" s="18" t="s">
        <v>11595</v>
      </c>
      <c r="W5397" s="18" t="s">
        <v>48896</v>
      </c>
      <c r="X5397" s="18" t="s">
        <v>42</v>
      </c>
      <c r="Y5397" s="18" t="s">
        <v>36</v>
      </c>
      <c r="Z5397" s="18" t="s">
        <v>166</v>
      </c>
      <c r="AA5397" s="21" t="str">
        <f>HYPERLINK("https://www.ncbi.nlm.nih.gov/nuccore/JX899359","NCBI Nucleotide")</f>
        <v>NCBI Nucleotide</v>
      </c>
    </row>
    <row r="5398" spans="1:27" x14ac:dyDescent="0.35">
      <c r="A5398">
        <v>1006995</v>
      </c>
      <c r="B5398">
        <v>5230</v>
      </c>
      <c r="C5398">
        <v>1</v>
      </c>
      <c r="D5398" s="17" t="s">
        <v>10507</v>
      </c>
      <c r="E5398" s="17"/>
      <c r="F5398" s="17" t="s">
        <v>10780</v>
      </c>
      <c r="G5398" s="17"/>
      <c r="H5398" s="17" t="s">
        <v>10781</v>
      </c>
      <c r="I5398" s="17"/>
      <c r="J5398" s="17" t="s">
        <v>10791</v>
      </c>
      <c r="K5398" s="17"/>
      <c r="L5398" s="17" t="s">
        <v>11236</v>
      </c>
      <c r="M5398" s="17"/>
      <c r="N5398" s="17" t="s">
        <v>11237</v>
      </c>
      <c r="O5398" s="17" t="s">
        <v>11238</v>
      </c>
      <c r="P5398" s="17" t="s">
        <v>11596</v>
      </c>
      <c r="Q5398" s="17"/>
      <c r="R5398" s="25" t="str">
        <f>HYPERLINK("https://ictv.global/taxonomy/taxondetails?taxnode_id=202304000","Deltapapillomavirus 1")</f>
        <v>Deltapapillomavirus 1</v>
      </c>
      <c r="S5398" s="18" t="s">
        <v>30</v>
      </c>
      <c r="T5398" s="18" t="s">
        <v>11597</v>
      </c>
      <c r="U5398" s="18" t="s">
        <v>11598</v>
      </c>
      <c r="V5398" s="18"/>
      <c r="W5398" s="18" t="s">
        <v>11599</v>
      </c>
      <c r="X5398" s="18" t="s">
        <v>42</v>
      </c>
      <c r="Y5398" s="18" t="s">
        <v>36</v>
      </c>
      <c r="Z5398" s="18" t="s">
        <v>166</v>
      </c>
      <c r="AA5398" s="21" t="str">
        <f>HYPERLINK("https://www.ncbi.nlm.nih.gov/nuccore/M15953","NCBI Nucleotide")</f>
        <v>NCBI Nucleotide</v>
      </c>
    </row>
    <row r="5399" spans="1:27" x14ac:dyDescent="0.35">
      <c r="A5399">
        <v>1012336</v>
      </c>
      <c r="B5399">
        <v>5230</v>
      </c>
      <c r="C5399">
        <v>2</v>
      </c>
      <c r="D5399" s="17" t="s">
        <v>10507</v>
      </c>
      <c r="E5399" s="17"/>
      <c r="F5399" s="17" t="s">
        <v>10780</v>
      </c>
      <c r="G5399" s="17"/>
      <c r="H5399" s="17" t="s">
        <v>10781</v>
      </c>
      <c r="I5399" s="17"/>
      <c r="J5399" s="17" t="s">
        <v>10791</v>
      </c>
      <c r="K5399" s="17"/>
      <c r="L5399" s="17" t="s">
        <v>11236</v>
      </c>
      <c r="M5399" s="17"/>
      <c r="N5399" s="17" t="s">
        <v>11237</v>
      </c>
      <c r="O5399" s="17" t="s">
        <v>11238</v>
      </c>
      <c r="P5399" s="17" t="s">
        <v>11596</v>
      </c>
      <c r="Q5399" s="17"/>
      <c r="R5399" s="25" t="str">
        <f>HYPERLINK("https://ictv.global/taxonomy/taxondetails?taxnode_id=202304000","Deltapapillomavirus 1")</f>
        <v>Deltapapillomavirus 1</v>
      </c>
      <c r="S5399" s="18" t="s">
        <v>8141</v>
      </c>
      <c r="T5399" s="18" t="s">
        <v>11600</v>
      </c>
      <c r="U5399" s="18" t="s">
        <v>11601</v>
      </c>
      <c r="V5399" s="18"/>
      <c r="W5399" s="18" t="s">
        <v>48897</v>
      </c>
      <c r="X5399" s="18" t="s">
        <v>42</v>
      </c>
      <c r="Y5399" s="18" t="s">
        <v>36</v>
      </c>
      <c r="Z5399" s="18" t="s">
        <v>166</v>
      </c>
      <c r="AA5399" s="21" t="str">
        <f>HYPERLINK("https://www.ncbi.nlm.nih.gov/nuccore/AF443292","NCBI Nucleotide")</f>
        <v>NCBI Nucleotide</v>
      </c>
    </row>
    <row r="5400" spans="1:27" x14ac:dyDescent="0.35">
      <c r="A5400">
        <v>1006996</v>
      </c>
      <c r="B5400">
        <v>5231</v>
      </c>
      <c r="C5400">
        <v>1</v>
      </c>
      <c r="D5400" s="17" t="s">
        <v>10507</v>
      </c>
      <c r="E5400" s="17"/>
      <c r="F5400" s="17" t="s">
        <v>10780</v>
      </c>
      <c r="G5400" s="17"/>
      <c r="H5400" s="17" t="s">
        <v>10781</v>
      </c>
      <c r="I5400" s="17"/>
      <c r="J5400" s="17" t="s">
        <v>10791</v>
      </c>
      <c r="K5400" s="17"/>
      <c r="L5400" s="17" t="s">
        <v>11236</v>
      </c>
      <c r="M5400" s="17"/>
      <c r="N5400" s="17" t="s">
        <v>11237</v>
      </c>
      <c r="O5400" s="17" t="s">
        <v>11238</v>
      </c>
      <c r="P5400" s="17" t="s">
        <v>11596</v>
      </c>
      <c r="Q5400" s="17"/>
      <c r="R5400" s="25" t="str">
        <f>HYPERLINK("https://ictv.global/taxonomy/taxondetails?taxnode_id=202304001","Deltapapillomavirus 2")</f>
        <v>Deltapapillomavirus 2</v>
      </c>
      <c r="S5400" s="18" t="s">
        <v>30</v>
      </c>
      <c r="T5400" s="18" t="s">
        <v>11602</v>
      </c>
      <c r="U5400" s="18" t="s">
        <v>11603</v>
      </c>
      <c r="V5400" s="18"/>
      <c r="W5400" s="18" t="s">
        <v>11604</v>
      </c>
      <c r="X5400" s="18" t="s">
        <v>42</v>
      </c>
      <c r="Y5400" s="18" t="s">
        <v>36</v>
      </c>
      <c r="Z5400" s="18" t="s">
        <v>166</v>
      </c>
      <c r="AA5400" s="21" t="str">
        <f>HYPERLINK("https://www.ncbi.nlm.nih.gov/nuccore/M11910","NCBI Nucleotide")</f>
        <v>NCBI Nucleotide</v>
      </c>
    </row>
    <row r="5401" spans="1:27" x14ac:dyDescent="0.35">
      <c r="A5401">
        <v>1006997</v>
      </c>
      <c r="B5401">
        <v>5232</v>
      </c>
      <c r="C5401">
        <v>1</v>
      </c>
      <c r="D5401" s="17" t="s">
        <v>10507</v>
      </c>
      <c r="E5401" s="17"/>
      <c r="F5401" s="17" t="s">
        <v>10780</v>
      </c>
      <c r="G5401" s="17"/>
      <c r="H5401" s="17" t="s">
        <v>10781</v>
      </c>
      <c r="I5401" s="17"/>
      <c r="J5401" s="17" t="s">
        <v>10791</v>
      </c>
      <c r="K5401" s="17"/>
      <c r="L5401" s="17" t="s">
        <v>11236</v>
      </c>
      <c r="M5401" s="17"/>
      <c r="N5401" s="17" t="s">
        <v>11237</v>
      </c>
      <c r="O5401" s="17" t="s">
        <v>11238</v>
      </c>
      <c r="P5401" s="17" t="s">
        <v>11596</v>
      </c>
      <c r="Q5401" s="17"/>
      <c r="R5401" s="25" t="str">
        <f>HYPERLINK("https://ictv.global/taxonomy/taxondetails?taxnode_id=202304002","Deltapapillomavirus 3")</f>
        <v>Deltapapillomavirus 3</v>
      </c>
      <c r="S5401" s="18" t="s">
        <v>30</v>
      </c>
      <c r="T5401" s="18" t="s">
        <v>11605</v>
      </c>
      <c r="U5401" s="18" t="s">
        <v>11606</v>
      </c>
      <c r="V5401" s="18"/>
      <c r="W5401" s="18" t="s">
        <v>11607</v>
      </c>
      <c r="X5401" s="18" t="s">
        <v>42</v>
      </c>
      <c r="Y5401" s="18" t="s">
        <v>36</v>
      </c>
      <c r="Z5401" s="18" t="s">
        <v>166</v>
      </c>
      <c r="AA5401" s="21" t="str">
        <f>HYPERLINK("https://www.ncbi.nlm.nih.gov/nuccore/U83594","NCBI Nucleotide")</f>
        <v>NCBI Nucleotide</v>
      </c>
    </row>
    <row r="5402" spans="1:27" x14ac:dyDescent="0.35">
      <c r="A5402">
        <v>1012337</v>
      </c>
      <c r="B5402">
        <v>5232</v>
      </c>
      <c r="C5402">
        <v>2</v>
      </c>
      <c r="D5402" s="17" t="s">
        <v>10507</v>
      </c>
      <c r="E5402" s="17"/>
      <c r="F5402" s="17" t="s">
        <v>10780</v>
      </c>
      <c r="G5402" s="17"/>
      <c r="H5402" s="17" t="s">
        <v>10781</v>
      </c>
      <c r="I5402" s="17"/>
      <c r="J5402" s="17" t="s">
        <v>10791</v>
      </c>
      <c r="K5402" s="17"/>
      <c r="L5402" s="17" t="s">
        <v>11236</v>
      </c>
      <c r="M5402" s="17"/>
      <c r="N5402" s="17" t="s">
        <v>11237</v>
      </c>
      <c r="O5402" s="17" t="s">
        <v>11238</v>
      </c>
      <c r="P5402" s="17" t="s">
        <v>11596</v>
      </c>
      <c r="Q5402" s="17"/>
      <c r="R5402" s="25" t="str">
        <f>HYPERLINK("https://ictv.global/taxonomy/taxondetails?taxnode_id=202304002","Deltapapillomavirus 3")</f>
        <v>Deltapapillomavirus 3</v>
      </c>
      <c r="S5402" s="18" t="s">
        <v>8141</v>
      </c>
      <c r="T5402" s="18" t="s">
        <v>11608</v>
      </c>
      <c r="U5402" s="18" t="s">
        <v>11609</v>
      </c>
      <c r="V5402" s="18"/>
      <c r="W5402" s="18" t="s">
        <v>48898</v>
      </c>
      <c r="X5402" s="18" t="s">
        <v>42</v>
      </c>
      <c r="Y5402" s="18" t="s">
        <v>36</v>
      </c>
      <c r="Z5402" s="18" t="s">
        <v>166</v>
      </c>
      <c r="AA5402" s="21" t="str">
        <f>HYPERLINK("https://www.ncbi.nlm.nih.gov/nuccore/U83595","NCBI Nucleotide")</f>
        <v>NCBI Nucleotide</v>
      </c>
    </row>
    <row r="5403" spans="1:27" x14ac:dyDescent="0.35">
      <c r="A5403">
        <v>1006998</v>
      </c>
      <c r="B5403">
        <v>5233</v>
      </c>
      <c r="C5403">
        <v>1</v>
      </c>
      <c r="D5403" s="17" t="s">
        <v>10507</v>
      </c>
      <c r="E5403" s="17"/>
      <c r="F5403" s="17" t="s">
        <v>10780</v>
      </c>
      <c r="G5403" s="17"/>
      <c r="H5403" s="17" t="s">
        <v>10781</v>
      </c>
      <c r="I5403" s="17"/>
      <c r="J5403" s="17" t="s">
        <v>10791</v>
      </c>
      <c r="K5403" s="17"/>
      <c r="L5403" s="17" t="s">
        <v>11236</v>
      </c>
      <c r="M5403" s="17"/>
      <c r="N5403" s="17" t="s">
        <v>11237</v>
      </c>
      <c r="O5403" s="17" t="s">
        <v>11238</v>
      </c>
      <c r="P5403" s="17" t="s">
        <v>11596</v>
      </c>
      <c r="Q5403" s="17"/>
      <c r="R5403" s="25" t="str">
        <f>HYPERLINK("https://ictv.global/taxonomy/taxondetails?taxnode_id=202304003","Deltapapillomavirus 4")</f>
        <v>Deltapapillomavirus 4</v>
      </c>
      <c r="S5403" s="18" t="s">
        <v>30</v>
      </c>
      <c r="T5403" s="18" t="s">
        <v>11610</v>
      </c>
      <c r="U5403" s="18" t="s">
        <v>11611</v>
      </c>
      <c r="V5403" s="18"/>
      <c r="W5403" s="18" t="s">
        <v>11612</v>
      </c>
      <c r="X5403" s="18" t="s">
        <v>42</v>
      </c>
      <c r="Y5403" s="18" t="s">
        <v>36</v>
      </c>
      <c r="Z5403" s="18" t="s">
        <v>166</v>
      </c>
      <c r="AA5403" s="21" t="str">
        <f>HYPERLINK("https://www.ncbi.nlm.nih.gov/nuccore/X02346","NCBI Nucleotide")</f>
        <v>NCBI Nucleotide</v>
      </c>
    </row>
    <row r="5404" spans="1:27" x14ac:dyDescent="0.35">
      <c r="A5404">
        <v>1012339</v>
      </c>
      <c r="B5404">
        <v>5233</v>
      </c>
      <c r="C5404">
        <v>2</v>
      </c>
      <c r="D5404" s="17" t="s">
        <v>10507</v>
      </c>
      <c r="E5404" s="17"/>
      <c r="F5404" s="17" t="s">
        <v>10780</v>
      </c>
      <c r="G5404" s="17"/>
      <c r="H5404" s="17" t="s">
        <v>10781</v>
      </c>
      <c r="I5404" s="17"/>
      <c r="J5404" s="17" t="s">
        <v>10791</v>
      </c>
      <c r="K5404" s="17"/>
      <c r="L5404" s="17" t="s">
        <v>11236</v>
      </c>
      <c r="M5404" s="17"/>
      <c r="N5404" s="17" t="s">
        <v>11237</v>
      </c>
      <c r="O5404" s="17" t="s">
        <v>11238</v>
      </c>
      <c r="P5404" s="17" t="s">
        <v>11596</v>
      </c>
      <c r="Q5404" s="17"/>
      <c r="R5404" s="25" t="str">
        <f>HYPERLINK("https://ictv.global/taxonomy/taxondetails?taxnode_id=202304003","Deltapapillomavirus 4")</f>
        <v>Deltapapillomavirus 4</v>
      </c>
      <c r="S5404" s="18" t="s">
        <v>8141</v>
      </c>
      <c r="T5404" s="18" t="s">
        <v>11615</v>
      </c>
      <c r="U5404" s="18" t="s">
        <v>11616</v>
      </c>
      <c r="V5404" s="18" t="s">
        <v>11617</v>
      </c>
      <c r="W5404" s="18" t="s">
        <v>48899</v>
      </c>
      <c r="X5404" s="18" t="s">
        <v>42</v>
      </c>
      <c r="Y5404" s="18" t="s">
        <v>36</v>
      </c>
      <c r="Z5404" s="18" t="s">
        <v>166</v>
      </c>
      <c r="AA5404" s="21" t="str">
        <f>HYPERLINK("https://www.ncbi.nlm.nih.gov/nuccore/JX174437","NCBI Nucleotide")</f>
        <v>NCBI Nucleotide</v>
      </c>
    </row>
    <row r="5405" spans="1:27" x14ac:dyDescent="0.35">
      <c r="A5405">
        <v>1012341</v>
      </c>
      <c r="B5405">
        <v>5233</v>
      </c>
      <c r="C5405">
        <v>3</v>
      </c>
      <c r="D5405" s="17" t="s">
        <v>10507</v>
      </c>
      <c r="E5405" s="17"/>
      <c r="F5405" s="17" t="s">
        <v>10780</v>
      </c>
      <c r="G5405" s="17"/>
      <c r="H5405" s="17" t="s">
        <v>10781</v>
      </c>
      <c r="I5405" s="17"/>
      <c r="J5405" s="17" t="s">
        <v>10791</v>
      </c>
      <c r="K5405" s="17"/>
      <c r="L5405" s="17" t="s">
        <v>11236</v>
      </c>
      <c r="M5405" s="17"/>
      <c r="N5405" s="17" t="s">
        <v>11237</v>
      </c>
      <c r="O5405" s="17" t="s">
        <v>11238</v>
      </c>
      <c r="P5405" s="17" t="s">
        <v>11596</v>
      </c>
      <c r="Q5405" s="17"/>
      <c r="R5405" s="25" t="str">
        <f>HYPERLINK("https://ictv.global/taxonomy/taxondetails?taxnode_id=202304003","Deltapapillomavirus 4")</f>
        <v>Deltapapillomavirus 4</v>
      </c>
      <c r="S5405" s="18" t="s">
        <v>8141</v>
      </c>
      <c r="T5405" s="18" t="s">
        <v>11621</v>
      </c>
      <c r="U5405" s="18" t="s">
        <v>11622</v>
      </c>
      <c r="V5405" s="18"/>
      <c r="W5405" s="18" t="s">
        <v>48900</v>
      </c>
      <c r="X5405" s="18" t="s">
        <v>42</v>
      </c>
      <c r="Y5405" s="18" t="s">
        <v>36</v>
      </c>
      <c r="Z5405" s="18" t="s">
        <v>166</v>
      </c>
      <c r="AA5405" s="21" t="str">
        <f>HYPERLINK("https://www.ncbi.nlm.nih.gov/nuccore/M20219","NCBI Nucleotide")</f>
        <v>NCBI Nucleotide</v>
      </c>
    </row>
    <row r="5406" spans="1:27" x14ac:dyDescent="0.35">
      <c r="A5406">
        <v>1012338</v>
      </c>
      <c r="B5406">
        <v>5233</v>
      </c>
      <c r="C5406">
        <v>4</v>
      </c>
      <c r="D5406" s="17" t="s">
        <v>10507</v>
      </c>
      <c r="E5406" s="17"/>
      <c r="F5406" s="17" t="s">
        <v>10780</v>
      </c>
      <c r="G5406" s="17"/>
      <c r="H5406" s="17" t="s">
        <v>10781</v>
      </c>
      <c r="I5406" s="17"/>
      <c r="J5406" s="17" t="s">
        <v>10791</v>
      </c>
      <c r="K5406" s="17"/>
      <c r="L5406" s="17" t="s">
        <v>11236</v>
      </c>
      <c r="M5406" s="17"/>
      <c r="N5406" s="17" t="s">
        <v>11237</v>
      </c>
      <c r="O5406" s="17" t="s">
        <v>11238</v>
      </c>
      <c r="P5406" s="17" t="s">
        <v>11596</v>
      </c>
      <c r="Q5406" s="17"/>
      <c r="R5406" s="25" t="str">
        <f>HYPERLINK("https://ictv.global/taxonomy/taxondetails?taxnode_id=202304003","Deltapapillomavirus 4")</f>
        <v>Deltapapillomavirus 4</v>
      </c>
      <c r="S5406" s="18" t="s">
        <v>8141</v>
      </c>
      <c r="T5406" s="18" t="s">
        <v>11613</v>
      </c>
      <c r="U5406" s="18" t="s">
        <v>11614</v>
      </c>
      <c r="V5406" s="18"/>
      <c r="W5406" s="18" t="s">
        <v>48901</v>
      </c>
      <c r="X5406" s="18" t="s">
        <v>42</v>
      </c>
      <c r="Y5406" s="18" t="s">
        <v>36</v>
      </c>
      <c r="Z5406" s="18" t="s">
        <v>166</v>
      </c>
      <c r="AA5406" s="21" t="str">
        <f>HYPERLINK("https://www.ncbi.nlm.nih.gov/nuccore/JQ798171","NCBI Nucleotide")</f>
        <v>NCBI Nucleotide</v>
      </c>
    </row>
    <row r="5407" spans="1:27" x14ac:dyDescent="0.35">
      <c r="A5407">
        <v>1012340</v>
      </c>
      <c r="B5407">
        <v>5233</v>
      </c>
      <c r="C5407">
        <v>5</v>
      </c>
      <c r="D5407" s="17" t="s">
        <v>10507</v>
      </c>
      <c r="E5407" s="17"/>
      <c r="F5407" s="17" t="s">
        <v>10780</v>
      </c>
      <c r="G5407" s="17"/>
      <c r="H5407" s="17" t="s">
        <v>10781</v>
      </c>
      <c r="I5407" s="17"/>
      <c r="J5407" s="17" t="s">
        <v>10791</v>
      </c>
      <c r="K5407" s="17"/>
      <c r="L5407" s="17" t="s">
        <v>11236</v>
      </c>
      <c r="M5407" s="17"/>
      <c r="N5407" s="17" t="s">
        <v>11237</v>
      </c>
      <c r="O5407" s="17" t="s">
        <v>11238</v>
      </c>
      <c r="P5407" s="17" t="s">
        <v>11596</v>
      </c>
      <c r="Q5407" s="17"/>
      <c r="R5407" s="25" t="str">
        <f>HYPERLINK("https://ictv.global/taxonomy/taxondetails?taxnode_id=202304003","Deltapapillomavirus 4")</f>
        <v>Deltapapillomavirus 4</v>
      </c>
      <c r="S5407" s="18" t="s">
        <v>8141</v>
      </c>
      <c r="T5407" s="18" t="s">
        <v>11618</v>
      </c>
      <c r="U5407" s="18" t="s">
        <v>11619</v>
      </c>
      <c r="V5407" s="18" t="s">
        <v>11620</v>
      </c>
      <c r="W5407" s="18" t="s">
        <v>48902</v>
      </c>
      <c r="X5407" s="18" t="s">
        <v>42</v>
      </c>
      <c r="Y5407" s="18" t="s">
        <v>36</v>
      </c>
      <c r="Z5407" s="18" t="s">
        <v>166</v>
      </c>
      <c r="AA5407" s="21" t="str">
        <f>HYPERLINK("https://www.ncbi.nlm.nih.gov/nuccore/KP276343","NCBI Nucleotide")</f>
        <v>NCBI Nucleotide</v>
      </c>
    </row>
    <row r="5408" spans="1:27" x14ac:dyDescent="0.35">
      <c r="A5408">
        <v>1006999</v>
      </c>
      <c r="B5408">
        <v>5234</v>
      </c>
      <c r="C5408">
        <v>1</v>
      </c>
      <c r="D5408" s="17" t="s">
        <v>10507</v>
      </c>
      <c r="E5408" s="17"/>
      <c r="F5408" s="17" t="s">
        <v>10780</v>
      </c>
      <c r="G5408" s="17"/>
      <c r="H5408" s="17" t="s">
        <v>10781</v>
      </c>
      <c r="I5408" s="17"/>
      <c r="J5408" s="17" t="s">
        <v>10791</v>
      </c>
      <c r="K5408" s="17"/>
      <c r="L5408" s="17" t="s">
        <v>11236</v>
      </c>
      <c r="M5408" s="17"/>
      <c r="N5408" s="17" t="s">
        <v>11237</v>
      </c>
      <c r="O5408" s="17" t="s">
        <v>11238</v>
      </c>
      <c r="P5408" s="17" t="s">
        <v>11596</v>
      </c>
      <c r="Q5408" s="17"/>
      <c r="R5408" s="25" t="str">
        <f>HYPERLINK("https://ictv.global/taxonomy/taxondetails?taxnode_id=202304004","Deltapapillomavirus 5")</f>
        <v>Deltapapillomavirus 5</v>
      </c>
      <c r="S5408" s="18" t="s">
        <v>30</v>
      </c>
      <c r="T5408" s="18" t="s">
        <v>11623</v>
      </c>
      <c r="U5408" s="18" t="s">
        <v>11624</v>
      </c>
      <c r="V5408" s="18"/>
      <c r="W5408" s="18" t="s">
        <v>11625</v>
      </c>
      <c r="X5408" s="18" t="s">
        <v>42</v>
      </c>
      <c r="Y5408" s="18" t="s">
        <v>36</v>
      </c>
      <c r="Z5408" s="18" t="s">
        <v>166</v>
      </c>
      <c r="AA5408" s="21" t="str">
        <f>HYPERLINK("https://www.ncbi.nlm.nih.gov/nuccore/EF680235","NCBI Nucleotide")</f>
        <v>NCBI Nucleotide</v>
      </c>
    </row>
    <row r="5409" spans="1:27" x14ac:dyDescent="0.35">
      <c r="A5409">
        <v>1012342</v>
      </c>
      <c r="B5409">
        <v>5234</v>
      </c>
      <c r="C5409">
        <v>2</v>
      </c>
      <c r="D5409" s="17" t="s">
        <v>10507</v>
      </c>
      <c r="E5409" s="17"/>
      <c r="F5409" s="17" t="s">
        <v>10780</v>
      </c>
      <c r="G5409" s="17"/>
      <c r="H5409" s="17" t="s">
        <v>10781</v>
      </c>
      <c r="I5409" s="17"/>
      <c r="J5409" s="17" t="s">
        <v>10791</v>
      </c>
      <c r="K5409" s="17"/>
      <c r="L5409" s="17" t="s">
        <v>11236</v>
      </c>
      <c r="M5409" s="17"/>
      <c r="N5409" s="17" t="s">
        <v>11237</v>
      </c>
      <c r="O5409" s="17" t="s">
        <v>11238</v>
      </c>
      <c r="P5409" s="17" t="s">
        <v>11596</v>
      </c>
      <c r="Q5409" s="17"/>
      <c r="R5409" s="25" t="str">
        <f>HYPERLINK("https://ictv.global/taxonomy/taxondetails?taxnode_id=202304004","Deltapapillomavirus 5")</f>
        <v>Deltapapillomavirus 5</v>
      </c>
      <c r="S5409" s="18" t="s">
        <v>8141</v>
      </c>
      <c r="T5409" s="18" t="s">
        <v>11626</v>
      </c>
      <c r="U5409" s="18" t="s">
        <v>11627</v>
      </c>
      <c r="V5409" s="18" t="s">
        <v>11628</v>
      </c>
      <c r="W5409" s="18" t="s">
        <v>48903</v>
      </c>
      <c r="X5409" s="18" t="s">
        <v>42</v>
      </c>
      <c r="Y5409" s="18" t="s">
        <v>36</v>
      </c>
      <c r="Z5409" s="18" t="s">
        <v>166</v>
      </c>
      <c r="AA5409" s="21" t="str">
        <f>HYPERLINK("https://www.ncbi.nlm.nih.gov/nuccore/KT626573","NCBI Nucleotide")</f>
        <v>NCBI Nucleotide</v>
      </c>
    </row>
    <row r="5410" spans="1:27" x14ac:dyDescent="0.35">
      <c r="A5410">
        <v>1007000</v>
      </c>
      <c r="B5410">
        <v>5235</v>
      </c>
      <c r="C5410">
        <v>1</v>
      </c>
      <c r="D5410" s="17" t="s">
        <v>10507</v>
      </c>
      <c r="E5410" s="17"/>
      <c r="F5410" s="17" t="s">
        <v>10780</v>
      </c>
      <c r="G5410" s="17"/>
      <c r="H5410" s="17" t="s">
        <v>10781</v>
      </c>
      <c r="I5410" s="17"/>
      <c r="J5410" s="17" t="s">
        <v>10791</v>
      </c>
      <c r="K5410" s="17"/>
      <c r="L5410" s="17" t="s">
        <v>11236</v>
      </c>
      <c r="M5410" s="17"/>
      <c r="N5410" s="17" t="s">
        <v>11237</v>
      </c>
      <c r="O5410" s="17" t="s">
        <v>11238</v>
      </c>
      <c r="P5410" s="17" t="s">
        <v>11596</v>
      </c>
      <c r="Q5410" s="17"/>
      <c r="R5410" s="25" t="str">
        <f>HYPERLINK("https://ictv.global/taxonomy/taxondetails?taxnode_id=202304005","Deltapapillomavirus 6")</f>
        <v>Deltapapillomavirus 6</v>
      </c>
      <c r="S5410" s="18" t="s">
        <v>30</v>
      </c>
      <c r="T5410" s="18" t="s">
        <v>11629</v>
      </c>
      <c r="U5410" s="18" t="s">
        <v>11630</v>
      </c>
      <c r="V5410" s="18"/>
      <c r="W5410" s="18" t="s">
        <v>11631</v>
      </c>
      <c r="X5410" s="18" t="s">
        <v>42</v>
      </c>
      <c r="Y5410" s="18" t="s">
        <v>36</v>
      </c>
      <c r="Z5410" s="18" t="s">
        <v>166</v>
      </c>
      <c r="AA5410" s="21" t="str">
        <f>HYPERLINK("https://www.ncbi.nlm.nih.gov/nuccore/HQ912790","NCBI Nucleotide")</f>
        <v>NCBI Nucleotide</v>
      </c>
    </row>
    <row r="5411" spans="1:27" x14ac:dyDescent="0.35">
      <c r="A5411">
        <v>1012343</v>
      </c>
      <c r="B5411">
        <v>5235</v>
      </c>
      <c r="C5411">
        <v>2</v>
      </c>
      <c r="D5411" s="17" t="s">
        <v>10507</v>
      </c>
      <c r="E5411" s="17"/>
      <c r="F5411" s="17" t="s">
        <v>10780</v>
      </c>
      <c r="G5411" s="17"/>
      <c r="H5411" s="17" t="s">
        <v>10781</v>
      </c>
      <c r="I5411" s="17"/>
      <c r="J5411" s="17" t="s">
        <v>10791</v>
      </c>
      <c r="K5411" s="17"/>
      <c r="L5411" s="17" t="s">
        <v>11236</v>
      </c>
      <c r="M5411" s="17"/>
      <c r="N5411" s="17" t="s">
        <v>11237</v>
      </c>
      <c r="O5411" s="17" t="s">
        <v>11238</v>
      </c>
      <c r="P5411" s="17" t="s">
        <v>11596</v>
      </c>
      <c r="Q5411" s="17"/>
      <c r="R5411" s="25" t="str">
        <f>HYPERLINK("https://ictv.global/taxonomy/taxondetails?taxnode_id=202304005","Deltapapillomavirus 6")</f>
        <v>Deltapapillomavirus 6</v>
      </c>
      <c r="S5411" s="18" t="s">
        <v>8141</v>
      </c>
      <c r="T5411" s="18" t="s">
        <v>11632</v>
      </c>
      <c r="U5411" s="18" t="s">
        <v>11633</v>
      </c>
      <c r="V5411" s="18"/>
      <c r="W5411" s="18" t="s">
        <v>48904</v>
      </c>
      <c r="X5411" s="18" t="s">
        <v>42</v>
      </c>
      <c r="Y5411" s="18" t="s">
        <v>36</v>
      </c>
      <c r="Z5411" s="18" t="s">
        <v>166</v>
      </c>
      <c r="AA5411" s="21" t="str">
        <f>HYPERLINK("https://www.ncbi.nlm.nih.gov/nuccore/HQ912791","NCBI Nucleotide")</f>
        <v>NCBI Nucleotide</v>
      </c>
    </row>
    <row r="5412" spans="1:27" x14ac:dyDescent="0.35">
      <c r="A5412">
        <v>1007001</v>
      </c>
      <c r="B5412">
        <v>5236</v>
      </c>
      <c r="C5412">
        <v>1</v>
      </c>
      <c r="D5412" s="17" t="s">
        <v>10507</v>
      </c>
      <c r="E5412" s="17"/>
      <c r="F5412" s="17" t="s">
        <v>10780</v>
      </c>
      <c r="G5412" s="17"/>
      <c r="H5412" s="17" t="s">
        <v>10781</v>
      </c>
      <c r="I5412" s="17"/>
      <c r="J5412" s="17" t="s">
        <v>10791</v>
      </c>
      <c r="K5412" s="17"/>
      <c r="L5412" s="17" t="s">
        <v>11236</v>
      </c>
      <c r="M5412" s="17"/>
      <c r="N5412" s="17" t="s">
        <v>11237</v>
      </c>
      <c r="O5412" s="17" t="s">
        <v>11238</v>
      </c>
      <c r="P5412" s="17" t="s">
        <v>11596</v>
      </c>
      <c r="Q5412" s="17"/>
      <c r="R5412" s="25" t="str">
        <f>HYPERLINK("https://ictv.global/taxonomy/taxondetails?taxnode_id=202305864","Deltapapillomavirus 7")</f>
        <v>Deltapapillomavirus 7</v>
      </c>
      <c r="S5412" s="18" t="s">
        <v>30</v>
      </c>
      <c r="T5412" s="18" t="s">
        <v>11634</v>
      </c>
      <c r="U5412" s="18" t="s">
        <v>11635</v>
      </c>
      <c r="V5412" s="18" t="s">
        <v>11636</v>
      </c>
      <c r="W5412" s="18" t="s">
        <v>11637</v>
      </c>
      <c r="X5412" s="18" t="s">
        <v>42</v>
      </c>
      <c r="Y5412" s="18" t="s">
        <v>36</v>
      </c>
      <c r="Z5412" s="18" t="s">
        <v>166</v>
      </c>
      <c r="AA5412" s="21" t="str">
        <f>HYPERLINK("https://www.ncbi.nlm.nih.gov/nuccore/KX954132","NCBI Nucleotide")</f>
        <v>NCBI Nucleotide</v>
      </c>
    </row>
    <row r="5413" spans="1:27" x14ac:dyDescent="0.35">
      <c r="A5413">
        <v>1007002</v>
      </c>
      <c r="B5413">
        <v>5237</v>
      </c>
      <c r="C5413">
        <v>1</v>
      </c>
      <c r="D5413" s="17" t="s">
        <v>10507</v>
      </c>
      <c r="E5413" s="17"/>
      <c r="F5413" s="17" t="s">
        <v>10780</v>
      </c>
      <c r="G5413" s="17"/>
      <c r="H5413" s="17" t="s">
        <v>10781</v>
      </c>
      <c r="I5413" s="17"/>
      <c r="J5413" s="17" t="s">
        <v>10791</v>
      </c>
      <c r="K5413" s="17"/>
      <c r="L5413" s="17" t="s">
        <v>11236</v>
      </c>
      <c r="M5413" s="17"/>
      <c r="N5413" s="17" t="s">
        <v>11237</v>
      </c>
      <c r="O5413" s="17" t="s">
        <v>11238</v>
      </c>
      <c r="P5413" s="17" t="s">
        <v>11638</v>
      </c>
      <c r="Q5413" s="17"/>
      <c r="R5413" s="25" t="str">
        <f>HYPERLINK("https://ictv.global/taxonomy/taxondetails?taxnode_id=202304007","Dyochipapillomavirus 1")</f>
        <v>Dyochipapillomavirus 1</v>
      </c>
      <c r="S5413" s="18" t="s">
        <v>30</v>
      </c>
      <c r="T5413" s="18" t="s">
        <v>11639</v>
      </c>
      <c r="U5413" s="18" t="s">
        <v>11640</v>
      </c>
      <c r="V5413" s="18" t="s">
        <v>11641</v>
      </c>
      <c r="W5413" s="18" t="s">
        <v>11642</v>
      </c>
      <c r="X5413" s="18" t="s">
        <v>42</v>
      </c>
      <c r="Y5413" s="18" t="s">
        <v>36</v>
      </c>
      <c r="Z5413" s="18" t="s">
        <v>166</v>
      </c>
      <c r="AA5413" s="21" t="str">
        <f>HYPERLINK("https://www.ncbi.nlm.nih.gov/nuccore/KF741371","NCBI Nucleotide")</f>
        <v>NCBI Nucleotide</v>
      </c>
    </row>
    <row r="5414" spans="1:27" x14ac:dyDescent="0.35">
      <c r="A5414">
        <v>1007003</v>
      </c>
      <c r="B5414">
        <v>5238</v>
      </c>
      <c r="C5414">
        <v>1</v>
      </c>
      <c r="D5414" s="17" t="s">
        <v>10507</v>
      </c>
      <c r="E5414" s="17"/>
      <c r="F5414" s="17" t="s">
        <v>10780</v>
      </c>
      <c r="G5414" s="17"/>
      <c r="H5414" s="17" t="s">
        <v>10781</v>
      </c>
      <c r="I5414" s="17"/>
      <c r="J5414" s="17" t="s">
        <v>10791</v>
      </c>
      <c r="K5414" s="17"/>
      <c r="L5414" s="17" t="s">
        <v>11236</v>
      </c>
      <c r="M5414" s="17"/>
      <c r="N5414" s="17" t="s">
        <v>11237</v>
      </c>
      <c r="O5414" s="17" t="s">
        <v>11238</v>
      </c>
      <c r="P5414" s="17" t="s">
        <v>11643</v>
      </c>
      <c r="Q5414" s="17"/>
      <c r="R5414" s="25" t="str">
        <f>HYPERLINK("https://ictv.global/taxonomy/taxondetails?taxnode_id=202304009","Dyodeltapapillomavirus 1")</f>
        <v>Dyodeltapapillomavirus 1</v>
      </c>
      <c r="S5414" s="18" t="s">
        <v>30</v>
      </c>
      <c r="T5414" s="18" t="s">
        <v>11644</v>
      </c>
      <c r="U5414" s="18" t="s">
        <v>11645</v>
      </c>
      <c r="V5414" s="18" t="s">
        <v>11646</v>
      </c>
      <c r="W5414" s="18" t="s">
        <v>11647</v>
      </c>
      <c r="X5414" s="18" t="s">
        <v>42</v>
      </c>
      <c r="Y5414" s="18" t="s">
        <v>36</v>
      </c>
      <c r="Z5414" s="18" t="s">
        <v>166</v>
      </c>
      <c r="AA5414" s="21" t="str">
        <f>HYPERLINK("https://www.ncbi.nlm.nih.gov/nuccore/EF395818","NCBI Nucleotide")</f>
        <v>NCBI Nucleotide</v>
      </c>
    </row>
    <row r="5415" spans="1:27" x14ac:dyDescent="0.35">
      <c r="A5415">
        <v>1007004</v>
      </c>
      <c r="B5415">
        <v>5239</v>
      </c>
      <c r="C5415">
        <v>1</v>
      </c>
      <c r="D5415" s="17" t="s">
        <v>10507</v>
      </c>
      <c r="E5415" s="17"/>
      <c r="F5415" s="17" t="s">
        <v>10780</v>
      </c>
      <c r="G5415" s="17"/>
      <c r="H5415" s="17" t="s">
        <v>10781</v>
      </c>
      <c r="I5415" s="17"/>
      <c r="J5415" s="17" t="s">
        <v>10791</v>
      </c>
      <c r="K5415" s="17"/>
      <c r="L5415" s="17" t="s">
        <v>11236</v>
      </c>
      <c r="M5415" s="17"/>
      <c r="N5415" s="17" t="s">
        <v>11237</v>
      </c>
      <c r="O5415" s="17" t="s">
        <v>11238</v>
      </c>
      <c r="P5415" s="17" t="s">
        <v>11648</v>
      </c>
      <c r="Q5415" s="17"/>
      <c r="R5415" s="25" t="str">
        <f>HYPERLINK("https://ictv.global/taxonomy/taxondetails?taxnode_id=202304011","Dyoepsilonpapillomavirus 1")</f>
        <v>Dyoepsilonpapillomavirus 1</v>
      </c>
      <c r="S5415" s="18" t="s">
        <v>30</v>
      </c>
      <c r="T5415" s="18" t="s">
        <v>11649</v>
      </c>
      <c r="U5415" s="18" t="s">
        <v>11650</v>
      </c>
      <c r="V5415" s="18"/>
      <c r="W5415" s="18" t="s">
        <v>11651</v>
      </c>
      <c r="X5415" s="18" t="s">
        <v>42</v>
      </c>
      <c r="Y5415" s="18" t="s">
        <v>36</v>
      </c>
      <c r="Z5415" s="18" t="s">
        <v>166</v>
      </c>
      <c r="AA5415" s="21" t="str">
        <f>HYPERLINK("https://www.ncbi.nlm.nih.gov/nuccore/EU188799","NCBI Nucleotide")</f>
        <v>NCBI Nucleotide</v>
      </c>
    </row>
    <row r="5416" spans="1:27" x14ac:dyDescent="0.35">
      <c r="A5416">
        <v>1007005</v>
      </c>
      <c r="B5416">
        <v>5240</v>
      </c>
      <c r="C5416">
        <v>1</v>
      </c>
      <c r="D5416" s="17" t="s">
        <v>10507</v>
      </c>
      <c r="E5416" s="17"/>
      <c r="F5416" s="17" t="s">
        <v>10780</v>
      </c>
      <c r="G5416" s="17"/>
      <c r="H5416" s="17" t="s">
        <v>10781</v>
      </c>
      <c r="I5416" s="17"/>
      <c r="J5416" s="17" t="s">
        <v>10791</v>
      </c>
      <c r="K5416" s="17"/>
      <c r="L5416" s="17" t="s">
        <v>11236</v>
      </c>
      <c r="M5416" s="17"/>
      <c r="N5416" s="17" t="s">
        <v>11237</v>
      </c>
      <c r="O5416" s="17" t="s">
        <v>11238</v>
      </c>
      <c r="P5416" s="17" t="s">
        <v>11652</v>
      </c>
      <c r="Q5416" s="17"/>
      <c r="R5416" s="25" t="str">
        <f>HYPERLINK("https://ictv.global/taxonomy/taxondetails?taxnode_id=202304013","Dyoetapapillomavirus 1")</f>
        <v>Dyoetapapillomavirus 1</v>
      </c>
      <c r="S5416" s="18" t="s">
        <v>30</v>
      </c>
      <c r="T5416" s="18" t="s">
        <v>11653</v>
      </c>
      <c r="U5416" s="18" t="s">
        <v>11654</v>
      </c>
      <c r="V5416" s="18"/>
      <c r="W5416" s="18" t="s">
        <v>11655</v>
      </c>
      <c r="X5416" s="18" t="s">
        <v>42</v>
      </c>
      <c r="Y5416" s="18" t="s">
        <v>36</v>
      </c>
      <c r="Z5416" s="18" t="s">
        <v>166</v>
      </c>
      <c r="AA5416" s="21" t="str">
        <f>HYPERLINK("https://www.ncbi.nlm.nih.gov/nuccore/FJ379293","NCBI Nucleotide")</f>
        <v>NCBI Nucleotide</v>
      </c>
    </row>
    <row r="5417" spans="1:27" x14ac:dyDescent="0.35">
      <c r="A5417">
        <v>1007006</v>
      </c>
      <c r="B5417">
        <v>5241</v>
      </c>
      <c r="C5417">
        <v>1</v>
      </c>
      <c r="D5417" s="17" t="s">
        <v>10507</v>
      </c>
      <c r="E5417" s="17"/>
      <c r="F5417" s="17" t="s">
        <v>10780</v>
      </c>
      <c r="G5417" s="17"/>
      <c r="H5417" s="17" t="s">
        <v>10781</v>
      </c>
      <c r="I5417" s="17"/>
      <c r="J5417" s="17" t="s">
        <v>10791</v>
      </c>
      <c r="K5417" s="17"/>
      <c r="L5417" s="17" t="s">
        <v>11236</v>
      </c>
      <c r="M5417" s="17"/>
      <c r="N5417" s="17" t="s">
        <v>11237</v>
      </c>
      <c r="O5417" s="17" t="s">
        <v>11238</v>
      </c>
      <c r="P5417" s="17" t="s">
        <v>11656</v>
      </c>
      <c r="Q5417" s="17"/>
      <c r="R5417" s="25" t="str">
        <f>HYPERLINK("https://ictv.global/taxonomy/taxondetails?taxnode_id=202304015","Dyoiotapapillomavirus 1")</f>
        <v>Dyoiotapapillomavirus 1</v>
      </c>
      <c r="S5417" s="18" t="s">
        <v>30</v>
      </c>
      <c r="T5417" s="18" t="s">
        <v>11661</v>
      </c>
      <c r="U5417" s="18" t="s">
        <v>11662</v>
      </c>
      <c r="V5417" s="18"/>
      <c r="W5417" s="18" t="s">
        <v>11663</v>
      </c>
      <c r="X5417" s="18" t="s">
        <v>42</v>
      </c>
      <c r="Y5417" s="18" t="s">
        <v>36</v>
      </c>
      <c r="Z5417" s="18" t="s">
        <v>166</v>
      </c>
      <c r="AA5417" s="21" t="str">
        <f>HYPERLINK("https://www.ncbi.nlm.nih.gov/nuccore/EU503122","NCBI Nucleotide")</f>
        <v>NCBI Nucleotide</v>
      </c>
    </row>
    <row r="5418" spans="1:27" x14ac:dyDescent="0.35">
      <c r="A5418">
        <v>1007007</v>
      </c>
      <c r="B5418">
        <v>5242</v>
      </c>
      <c r="C5418">
        <v>1</v>
      </c>
      <c r="D5418" s="17" t="s">
        <v>10507</v>
      </c>
      <c r="E5418" s="17"/>
      <c r="F5418" s="17" t="s">
        <v>10780</v>
      </c>
      <c r="G5418" s="17"/>
      <c r="H5418" s="17" t="s">
        <v>10781</v>
      </c>
      <c r="I5418" s="17"/>
      <c r="J5418" s="17" t="s">
        <v>10791</v>
      </c>
      <c r="K5418" s="17"/>
      <c r="L5418" s="17" t="s">
        <v>11236</v>
      </c>
      <c r="M5418" s="17"/>
      <c r="N5418" s="17" t="s">
        <v>11237</v>
      </c>
      <c r="O5418" s="17" t="s">
        <v>11238</v>
      </c>
      <c r="P5418" s="17" t="s">
        <v>11656</v>
      </c>
      <c r="Q5418" s="17"/>
      <c r="R5418" s="25" t="str">
        <f>HYPERLINK("https://ictv.global/taxonomy/taxondetails?taxnode_id=202304016","Dyoiotapapillomavirus 2")</f>
        <v>Dyoiotapapillomavirus 2</v>
      </c>
      <c r="S5418" s="18" t="s">
        <v>30</v>
      </c>
      <c r="T5418" s="18" t="s">
        <v>11664</v>
      </c>
      <c r="U5418" s="18" t="s">
        <v>11665</v>
      </c>
      <c r="V5418" s="18"/>
      <c r="W5418" s="18" t="s">
        <v>11666</v>
      </c>
      <c r="X5418" s="18" t="s">
        <v>42</v>
      </c>
      <c r="Y5418" s="18" t="s">
        <v>36</v>
      </c>
      <c r="Z5418" s="18" t="s">
        <v>166</v>
      </c>
      <c r="AA5418" s="21" t="str">
        <f>HYPERLINK("https://www.ncbi.nlm.nih.gov/nuccore/JQ031032","NCBI Nucleotide")</f>
        <v>NCBI Nucleotide</v>
      </c>
    </row>
    <row r="5419" spans="1:27" x14ac:dyDescent="0.35">
      <c r="A5419">
        <v>1012344</v>
      </c>
      <c r="B5419">
        <v>5242</v>
      </c>
      <c r="C5419">
        <v>2</v>
      </c>
      <c r="D5419" s="17" t="s">
        <v>10507</v>
      </c>
      <c r="E5419" s="17"/>
      <c r="F5419" s="17" t="s">
        <v>10780</v>
      </c>
      <c r="G5419" s="17"/>
      <c r="H5419" s="17" t="s">
        <v>10781</v>
      </c>
      <c r="I5419" s="17"/>
      <c r="J5419" s="17" t="s">
        <v>10791</v>
      </c>
      <c r="K5419" s="17"/>
      <c r="L5419" s="17" t="s">
        <v>11236</v>
      </c>
      <c r="M5419" s="17"/>
      <c r="N5419" s="17" t="s">
        <v>11237</v>
      </c>
      <c r="O5419" s="17" t="s">
        <v>11238</v>
      </c>
      <c r="P5419" s="17" t="s">
        <v>11656</v>
      </c>
      <c r="Q5419" s="17"/>
      <c r="R5419" s="25" t="str">
        <f>HYPERLINK("https://ictv.global/taxonomy/taxondetails?taxnode_id=202304016","Dyoiotapapillomavirus 2")</f>
        <v>Dyoiotapapillomavirus 2</v>
      </c>
      <c r="S5419" s="18" t="s">
        <v>8141</v>
      </c>
      <c r="T5419" s="18" t="s">
        <v>11667</v>
      </c>
      <c r="U5419" s="18" t="s">
        <v>11668</v>
      </c>
      <c r="V5419" s="18"/>
      <c r="W5419" s="18" t="s">
        <v>48905</v>
      </c>
      <c r="X5419" s="18" t="s">
        <v>42</v>
      </c>
      <c r="Y5419" s="18" t="s">
        <v>36</v>
      </c>
      <c r="Z5419" s="18" t="s">
        <v>166</v>
      </c>
      <c r="AA5419" s="21" t="str">
        <f>HYPERLINK("https://www.ncbi.nlm.nih.gov/nuccore/JQ031033","NCBI Nucleotide")</f>
        <v>NCBI Nucleotide</v>
      </c>
    </row>
    <row r="5420" spans="1:27" x14ac:dyDescent="0.35">
      <c r="A5420">
        <v>1007008</v>
      </c>
      <c r="B5420">
        <v>5243</v>
      </c>
      <c r="C5420">
        <v>1</v>
      </c>
      <c r="D5420" s="17" t="s">
        <v>10507</v>
      </c>
      <c r="E5420" s="17"/>
      <c r="F5420" s="17" t="s">
        <v>10780</v>
      </c>
      <c r="G5420" s="17"/>
      <c r="H5420" s="17" t="s">
        <v>10781</v>
      </c>
      <c r="I5420" s="17"/>
      <c r="J5420" s="17" t="s">
        <v>10791</v>
      </c>
      <c r="K5420" s="17"/>
      <c r="L5420" s="17" t="s">
        <v>11236</v>
      </c>
      <c r="M5420" s="17"/>
      <c r="N5420" s="17" t="s">
        <v>11237</v>
      </c>
      <c r="O5420" s="17" t="s">
        <v>11238</v>
      </c>
      <c r="P5420" s="17" t="s">
        <v>11669</v>
      </c>
      <c r="Q5420" s="17"/>
      <c r="R5420" s="25" t="str">
        <f>HYPERLINK("https://ictv.global/taxonomy/taxondetails?taxnode_id=202304018","Dyokappapapillomavirus 1")</f>
        <v>Dyokappapapillomavirus 1</v>
      </c>
      <c r="S5420" s="18" t="s">
        <v>30</v>
      </c>
      <c r="T5420" s="18" t="s">
        <v>11670</v>
      </c>
      <c r="U5420" s="18" t="s">
        <v>11671</v>
      </c>
      <c r="V5420" s="18" t="s">
        <v>11672</v>
      </c>
      <c r="W5420" s="18" t="s">
        <v>11673</v>
      </c>
      <c r="X5420" s="18" t="s">
        <v>42</v>
      </c>
      <c r="Y5420" s="18" t="s">
        <v>36</v>
      </c>
      <c r="Z5420" s="18" t="s">
        <v>166</v>
      </c>
      <c r="AA5420" s="21" t="str">
        <f>HYPERLINK("https://www.ncbi.nlm.nih.gov/nuccore/FJ796965","NCBI Nucleotide")</f>
        <v>NCBI Nucleotide</v>
      </c>
    </row>
    <row r="5421" spans="1:27" x14ac:dyDescent="0.35">
      <c r="A5421">
        <v>1007009</v>
      </c>
      <c r="B5421">
        <v>5244</v>
      </c>
      <c r="C5421">
        <v>1</v>
      </c>
      <c r="D5421" s="17" t="s">
        <v>10507</v>
      </c>
      <c r="E5421" s="17"/>
      <c r="F5421" s="17" t="s">
        <v>10780</v>
      </c>
      <c r="G5421" s="17"/>
      <c r="H5421" s="17" t="s">
        <v>10781</v>
      </c>
      <c r="I5421" s="17"/>
      <c r="J5421" s="17" t="s">
        <v>10791</v>
      </c>
      <c r="K5421" s="17"/>
      <c r="L5421" s="17" t="s">
        <v>11236</v>
      </c>
      <c r="M5421" s="17"/>
      <c r="N5421" s="17" t="s">
        <v>11237</v>
      </c>
      <c r="O5421" s="17" t="s">
        <v>11238</v>
      </c>
      <c r="P5421" s="17" t="s">
        <v>11669</v>
      </c>
      <c r="Q5421" s="17"/>
      <c r="R5421" s="25" t="str">
        <f>HYPERLINK("https://ictv.global/taxonomy/taxondetails?taxnode_id=202304019","Dyokappapapillomavirus 2")</f>
        <v>Dyokappapapillomavirus 2</v>
      </c>
      <c r="S5421" s="18" t="s">
        <v>30</v>
      </c>
      <c r="T5421" s="18" t="s">
        <v>11674</v>
      </c>
      <c r="U5421" s="18" t="s">
        <v>11675</v>
      </c>
      <c r="V5421" s="18"/>
      <c r="W5421" s="18" t="s">
        <v>11676</v>
      </c>
      <c r="X5421" s="18" t="s">
        <v>42</v>
      </c>
      <c r="Y5421" s="18" t="s">
        <v>36</v>
      </c>
      <c r="Z5421" s="18" t="s">
        <v>166</v>
      </c>
      <c r="AA5421" s="21" t="str">
        <f>HYPERLINK("https://www.ncbi.nlm.nih.gov/nuccore/KC876045","NCBI Nucleotide")</f>
        <v>NCBI Nucleotide</v>
      </c>
    </row>
    <row r="5422" spans="1:27" x14ac:dyDescent="0.35">
      <c r="A5422">
        <v>1007010</v>
      </c>
      <c r="B5422">
        <v>5245</v>
      </c>
      <c r="C5422">
        <v>1</v>
      </c>
      <c r="D5422" s="17" t="s">
        <v>10507</v>
      </c>
      <c r="E5422" s="17"/>
      <c r="F5422" s="17" t="s">
        <v>10780</v>
      </c>
      <c r="G5422" s="17"/>
      <c r="H5422" s="17" t="s">
        <v>10781</v>
      </c>
      <c r="I5422" s="17"/>
      <c r="J5422" s="17" t="s">
        <v>10791</v>
      </c>
      <c r="K5422" s="17"/>
      <c r="L5422" s="17" t="s">
        <v>11236</v>
      </c>
      <c r="M5422" s="17"/>
      <c r="N5422" s="17" t="s">
        <v>11237</v>
      </c>
      <c r="O5422" s="17" t="s">
        <v>11238</v>
      </c>
      <c r="P5422" s="17" t="s">
        <v>11669</v>
      </c>
      <c r="Q5422" s="17"/>
      <c r="R5422" s="25" t="str">
        <f>HYPERLINK("https://ictv.global/taxonomy/taxondetails?taxnode_id=202305865","Dyokappapapillomavirus 3")</f>
        <v>Dyokappapapillomavirus 3</v>
      </c>
      <c r="S5422" s="18" t="s">
        <v>30</v>
      </c>
      <c r="T5422" s="18" t="s">
        <v>11677</v>
      </c>
      <c r="U5422" s="18" t="s">
        <v>11678</v>
      </c>
      <c r="V5422" s="18"/>
      <c r="W5422" s="18" t="s">
        <v>11679</v>
      </c>
      <c r="X5422" s="18" t="s">
        <v>42</v>
      </c>
      <c r="Y5422" s="18" t="s">
        <v>36</v>
      </c>
      <c r="Z5422" s="18" t="s">
        <v>166</v>
      </c>
      <c r="AA5422" s="21" t="str">
        <f>HYPERLINK("https://www.ncbi.nlm.nih.gov/nuccore/KU519391","NCBI Nucleotide")</f>
        <v>NCBI Nucleotide</v>
      </c>
    </row>
    <row r="5423" spans="1:27" x14ac:dyDescent="0.35">
      <c r="A5423">
        <v>1007011</v>
      </c>
      <c r="B5423">
        <v>5246</v>
      </c>
      <c r="C5423">
        <v>1</v>
      </c>
      <c r="D5423" s="17" t="s">
        <v>10507</v>
      </c>
      <c r="E5423" s="17"/>
      <c r="F5423" s="17" t="s">
        <v>10780</v>
      </c>
      <c r="G5423" s="17"/>
      <c r="H5423" s="17" t="s">
        <v>10781</v>
      </c>
      <c r="I5423" s="17"/>
      <c r="J5423" s="17" t="s">
        <v>10791</v>
      </c>
      <c r="K5423" s="17"/>
      <c r="L5423" s="17" t="s">
        <v>11236</v>
      </c>
      <c r="M5423" s="17"/>
      <c r="N5423" s="17" t="s">
        <v>11237</v>
      </c>
      <c r="O5423" s="17" t="s">
        <v>11238</v>
      </c>
      <c r="P5423" s="17" t="s">
        <v>11669</v>
      </c>
      <c r="Q5423" s="17"/>
      <c r="R5423" s="25" t="str">
        <f>HYPERLINK("https://ictv.global/taxonomy/taxondetails?taxnode_id=202305866","Dyokappapapillomavirus 4")</f>
        <v>Dyokappapapillomavirus 4</v>
      </c>
      <c r="S5423" s="18" t="s">
        <v>30</v>
      </c>
      <c r="T5423" s="18" t="s">
        <v>11680</v>
      </c>
      <c r="U5423" s="18" t="s">
        <v>11681</v>
      </c>
      <c r="V5423" s="18"/>
      <c r="W5423" s="18" t="s">
        <v>11682</v>
      </c>
      <c r="X5423" s="18" t="s">
        <v>42</v>
      </c>
      <c r="Y5423" s="18" t="s">
        <v>36</v>
      </c>
      <c r="Z5423" s="18" t="s">
        <v>166</v>
      </c>
      <c r="AA5423" s="21" t="str">
        <f>HYPERLINK("https://www.ncbi.nlm.nih.gov/nuccore/KU519393","NCBI Nucleotide")</f>
        <v>NCBI Nucleotide</v>
      </c>
    </row>
    <row r="5424" spans="1:27" x14ac:dyDescent="0.35">
      <c r="A5424">
        <v>1007012</v>
      </c>
      <c r="B5424">
        <v>5247</v>
      </c>
      <c r="C5424">
        <v>1</v>
      </c>
      <c r="D5424" s="17" t="s">
        <v>10507</v>
      </c>
      <c r="E5424" s="17"/>
      <c r="F5424" s="17" t="s">
        <v>10780</v>
      </c>
      <c r="G5424" s="17"/>
      <c r="H5424" s="17" t="s">
        <v>10781</v>
      </c>
      <c r="I5424" s="17"/>
      <c r="J5424" s="17" t="s">
        <v>10791</v>
      </c>
      <c r="K5424" s="17"/>
      <c r="L5424" s="17" t="s">
        <v>11236</v>
      </c>
      <c r="M5424" s="17"/>
      <c r="N5424" s="17" t="s">
        <v>11237</v>
      </c>
      <c r="O5424" s="17" t="s">
        <v>11238</v>
      </c>
      <c r="P5424" s="17" t="s">
        <v>11669</v>
      </c>
      <c r="Q5424" s="17"/>
      <c r="R5424" s="25" t="str">
        <f>HYPERLINK("https://ictv.global/taxonomy/taxondetails?taxnode_id=202305867","Dyokappapapillomavirus 5")</f>
        <v>Dyokappapapillomavirus 5</v>
      </c>
      <c r="S5424" s="18" t="s">
        <v>30</v>
      </c>
      <c r="T5424" s="18" t="s">
        <v>11683</v>
      </c>
      <c r="U5424" s="18" t="s">
        <v>11684</v>
      </c>
      <c r="V5424" s="18" t="s">
        <v>11685</v>
      </c>
      <c r="W5424" s="18" t="s">
        <v>11686</v>
      </c>
      <c r="X5424" s="18" t="s">
        <v>42</v>
      </c>
      <c r="Y5424" s="18" t="s">
        <v>36</v>
      </c>
      <c r="Z5424" s="18" t="s">
        <v>166</v>
      </c>
      <c r="AA5424" s="21" t="str">
        <f>HYPERLINK("https://www.ncbi.nlm.nih.gov/nuccore/KT932713","NCBI Nucleotide")</f>
        <v>NCBI Nucleotide</v>
      </c>
    </row>
    <row r="5425" spans="1:27" x14ac:dyDescent="0.35">
      <c r="A5425">
        <v>1007013</v>
      </c>
      <c r="B5425">
        <v>5248</v>
      </c>
      <c r="C5425">
        <v>1</v>
      </c>
      <c r="D5425" s="17" t="s">
        <v>10507</v>
      </c>
      <c r="E5425" s="17"/>
      <c r="F5425" s="17" t="s">
        <v>10780</v>
      </c>
      <c r="G5425" s="17"/>
      <c r="H5425" s="17" t="s">
        <v>10781</v>
      </c>
      <c r="I5425" s="17"/>
      <c r="J5425" s="17" t="s">
        <v>10791</v>
      </c>
      <c r="K5425" s="17"/>
      <c r="L5425" s="17" t="s">
        <v>11236</v>
      </c>
      <c r="M5425" s="17"/>
      <c r="N5425" s="17" t="s">
        <v>11237</v>
      </c>
      <c r="O5425" s="17" t="s">
        <v>11238</v>
      </c>
      <c r="P5425" s="17" t="s">
        <v>11687</v>
      </c>
      <c r="Q5425" s="17"/>
      <c r="R5425" s="25" t="str">
        <f>HYPERLINK("https://ictv.global/taxonomy/taxondetails?taxnode_id=202304021","Dyolambdapapillomavirus 1")</f>
        <v>Dyolambdapapillomavirus 1</v>
      </c>
      <c r="S5425" s="18" t="s">
        <v>30</v>
      </c>
      <c r="T5425" s="18" t="s">
        <v>11688</v>
      </c>
      <c r="U5425" s="18" t="s">
        <v>11689</v>
      </c>
      <c r="V5425" s="18"/>
      <c r="W5425" s="18" t="s">
        <v>11690</v>
      </c>
      <c r="X5425" s="18" t="s">
        <v>42</v>
      </c>
      <c r="Y5425" s="18" t="s">
        <v>36</v>
      </c>
      <c r="Z5425" s="18" t="s">
        <v>166</v>
      </c>
      <c r="AA5425" s="21" t="str">
        <f>HYPERLINK("https://www.ncbi.nlm.nih.gov/nuccore/GU220391","NCBI Nucleotide")</f>
        <v>NCBI Nucleotide</v>
      </c>
    </row>
    <row r="5426" spans="1:27" x14ac:dyDescent="0.35">
      <c r="A5426">
        <v>1007014</v>
      </c>
      <c r="B5426">
        <v>5249</v>
      </c>
      <c r="C5426">
        <v>1</v>
      </c>
      <c r="D5426" s="17" t="s">
        <v>10507</v>
      </c>
      <c r="E5426" s="17"/>
      <c r="F5426" s="17" t="s">
        <v>10780</v>
      </c>
      <c r="G5426" s="17"/>
      <c r="H5426" s="17" t="s">
        <v>10781</v>
      </c>
      <c r="I5426" s="17"/>
      <c r="J5426" s="17" t="s">
        <v>10791</v>
      </c>
      <c r="K5426" s="17"/>
      <c r="L5426" s="17" t="s">
        <v>11236</v>
      </c>
      <c r="M5426" s="17"/>
      <c r="N5426" s="17" t="s">
        <v>11237</v>
      </c>
      <c r="O5426" s="17" t="s">
        <v>11238</v>
      </c>
      <c r="P5426" s="17" t="s">
        <v>11691</v>
      </c>
      <c r="Q5426" s="17"/>
      <c r="R5426" s="25" t="str">
        <f>HYPERLINK("https://ictv.global/taxonomy/taxondetails?taxnode_id=202304023","Dyomupapillomavirus 1")</f>
        <v>Dyomupapillomavirus 1</v>
      </c>
      <c r="S5426" s="18" t="s">
        <v>30</v>
      </c>
      <c r="T5426" s="18" t="s">
        <v>11692</v>
      </c>
      <c r="U5426" s="18" t="s">
        <v>11693</v>
      </c>
      <c r="V5426" s="18" t="s">
        <v>11694</v>
      </c>
      <c r="W5426" s="18" t="s">
        <v>11695</v>
      </c>
      <c r="X5426" s="18" t="s">
        <v>42</v>
      </c>
      <c r="Y5426" s="18" t="s">
        <v>36</v>
      </c>
      <c r="Z5426" s="18" t="s">
        <v>166</v>
      </c>
      <c r="AA5426" s="21" t="str">
        <f>HYPERLINK("https://www.ncbi.nlm.nih.gov/nuccore/HQ262535","NCBI Nucleotide")</f>
        <v>NCBI Nucleotide</v>
      </c>
    </row>
    <row r="5427" spans="1:27" x14ac:dyDescent="0.35">
      <c r="A5427">
        <v>1007015</v>
      </c>
      <c r="B5427">
        <v>5250</v>
      </c>
      <c r="C5427">
        <v>1</v>
      </c>
      <c r="D5427" s="17" t="s">
        <v>10507</v>
      </c>
      <c r="E5427" s="17"/>
      <c r="F5427" s="17" t="s">
        <v>10780</v>
      </c>
      <c r="G5427" s="17"/>
      <c r="H5427" s="17" t="s">
        <v>10781</v>
      </c>
      <c r="I5427" s="17"/>
      <c r="J5427" s="17" t="s">
        <v>10791</v>
      </c>
      <c r="K5427" s="17"/>
      <c r="L5427" s="17" t="s">
        <v>11236</v>
      </c>
      <c r="M5427" s="17"/>
      <c r="N5427" s="17" t="s">
        <v>11237</v>
      </c>
      <c r="O5427" s="17" t="s">
        <v>11238</v>
      </c>
      <c r="P5427" s="17" t="s">
        <v>11696</v>
      </c>
      <c r="Q5427" s="17"/>
      <c r="R5427" s="25" t="str">
        <f>HYPERLINK("https://ictv.global/taxonomy/taxondetails?taxnode_id=202304025","Dyonupapillomavirus 1")</f>
        <v>Dyonupapillomavirus 1</v>
      </c>
      <c r="S5427" s="18" t="s">
        <v>30</v>
      </c>
      <c r="T5427" s="18" t="s">
        <v>11697</v>
      </c>
      <c r="U5427" s="18" t="s">
        <v>11698</v>
      </c>
      <c r="V5427" s="18">
        <v>2008</v>
      </c>
      <c r="W5427" s="18" t="s">
        <v>11699</v>
      </c>
      <c r="X5427" s="18" t="s">
        <v>42</v>
      </c>
      <c r="Y5427" s="18" t="s">
        <v>36</v>
      </c>
      <c r="Z5427" s="18" t="s">
        <v>166</v>
      </c>
      <c r="AA5427" s="21" t="str">
        <f>HYPERLINK("https://www.ncbi.nlm.nih.gov/nuccore/HQ293213","NCBI Nucleotide")</f>
        <v>NCBI Nucleotide</v>
      </c>
    </row>
    <row r="5428" spans="1:27" x14ac:dyDescent="0.35">
      <c r="A5428">
        <v>1007016</v>
      </c>
      <c r="B5428">
        <v>5251</v>
      </c>
      <c r="C5428">
        <v>1</v>
      </c>
      <c r="D5428" s="17" t="s">
        <v>10507</v>
      </c>
      <c r="E5428" s="17"/>
      <c r="F5428" s="17" t="s">
        <v>10780</v>
      </c>
      <c r="G5428" s="17"/>
      <c r="H5428" s="17" t="s">
        <v>10781</v>
      </c>
      <c r="I5428" s="17"/>
      <c r="J5428" s="17" t="s">
        <v>10791</v>
      </c>
      <c r="K5428" s="17"/>
      <c r="L5428" s="17" t="s">
        <v>11236</v>
      </c>
      <c r="M5428" s="17"/>
      <c r="N5428" s="17" t="s">
        <v>11237</v>
      </c>
      <c r="O5428" s="17" t="s">
        <v>11238</v>
      </c>
      <c r="P5428" s="17" t="s">
        <v>11700</v>
      </c>
      <c r="Q5428" s="17"/>
      <c r="R5428" s="25" t="str">
        <f>HYPERLINK("https://ictv.global/taxonomy/taxondetails?taxnode_id=202304027","Dyoomegapapillomavirus 1")</f>
        <v>Dyoomegapapillomavirus 1</v>
      </c>
      <c r="S5428" s="18" t="s">
        <v>30</v>
      </c>
      <c r="T5428" s="18" t="s">
        <v>11701</v>
      </c>
      <c r="U5428" s="18" t="s">
        <v>11702</v>
      </c>
      <c r="V5428" s="18"/>
      <c r="W5428" s="18" t="s">
        <v>11703</v>
      </c>
      <c r="X5428" s="18" t="s">
        <v>42</v>
      </c>
      <c r="Y5428" s="18" t="s">
        <v>36</v>
      </c>
      <c r="Z5428" s="18" t="s">
        <v>166</v>
      </c>
      <c r="AA5428" s="21" t="str">
        <f>HYPERLINK("https://www.ncbi.nlm.nih.gov/nuccore/KC858264","NCBI Nucleotide")</f>
        <v>NCBI Nucleotide</v>
      </c>
    </row>
    <row r="5429" spans="1:27" x14ac:dyDescent="0.35">
      <c r="A5429">
        <v>1007017</v>
      </c>
      <c r="B5429">
        <v>5252</v>
      </c>
      <c r="C5429">
        <v>1</v>
      </c>
      <c r="D5429" s="17" t="s">
        <v>10507</v>
      </c>
      <c r="E5429" s="17"/>
      <c r="F5429" s="17" t="s">
        <v>10780</v>
      </c>
      <c r="G5429" s="17"/>
      <c r="H5429" s="17" t="s">
        <v>10781</v>
      </c>
      <c r="I5429" s="17"/>
      <c r="J5429" s="17" t="s">
        <v>10791</v>
      </c>
      <c r="K5429" s="17"/>
      <c r="L5429" s="17" t="s">
        <v>11236</v>
      </c>
      <c r="M5429" s="17"/>
      <c r="N5429" s="17" t="s">
        <v>11237</v>
      </c>
      <c r="O5429" s="17" t="s">
        <v>11238</v>
      </c>
      <c r="P5429" s="17" t="s">
        <v>11704</v>
      </c>
      <c r="Q5429" s="17"/>
      <c r="R5429" s="25" t="str">
        <f>HYPERLINK("https://ictv.global/taxonomy/taxondetails?taxnode_id=202304029","Dyoomikronpapillomavirus 1")</f>
        <v>Dyoomikronpapillomavirus 1</v>
      </c>
      <c r="S5429" s="18" t="s">
        <v>30</v>
      </c>
      <c r="T5429" s="18" t="s">
        <v>11705</v>
      </c>
      <c r="U5429" s="18" t="s">
        <v>11706</v>
      </c>
      <c r="V5429" s="18" t="s">
        <v>11707</v>
      </c>
      <c r="W5429" s="18" t="s">
        <v>11708</v>
      </c>
      <c r="X5429" s="18" t="s">
        <v>42</v>
      </c>
      <c r="Y5429" s="18" t="s">
        <v>36</v>
      </c>
      <c r="Z5429" s="18" t="s">
        <v>166</v>
      </c>
      <c r="AA5429" s="21" t="str">
        <f>HYPERLINK("https://www.ncbi.nlm.nih.gov/nuccore/JF304765","NCBI Nucleotide")</f>
        <v>NCBI Nucleotide</v>
      </c>
    </row>
    <row r="5430" spans="1:27" x14ac:dyDescent="0.35">
      <c r="A5430">
        <v>1012347</v>
      </c>
      <c r="B5430">
        <v>5252</v>
      </c>
      <c r="C5430">
        <v>2</v>
      </c>
      <c r="D5430" s="17" t="s">
        <v>10507</v>
      </c>
      <c r="E5430" s="17"/>
      <c r="F5430" s="17" t="s">
        <v>10780</v>
      </c>
      <c r="G5430" s="17"/>
      <c r="H5430" s="17" t="s">
        <v>10781</v>
      </c>
      <c r="I5430" s="17"/>
      <c r="J5430" s="17" t="s">
        <v>10791</v>
      </c>
      <c r="K5430" s="17"/>
      <c r="L5430" s="17" t="s">
        <v>11236</v>
      </c>
      <c r="M5430" s="17"/>
      <c r="N5430" s="17" t="s">
        <v>11237</v>
      </c>
      <c r="O5430" s="17" t="s">
        <v>11238</v>
      </c>
      <c r="P5430" s="17" t="s">
        <v>11704</v>
      </c>
      <c r="Q5430" s="17"/>
      <c r="R5430" s="25" t="str">
        <f>HYPERLINK("https://ictv.global/taxonomy/taxondetails?taxnode_id=202304029","Dyoomikronpapillomavirus 1")</f>
        <v>Dyoomikronpapillomavirus 1</v>
      </c>
      <c r="S5430" s="18" t="s">
        <v>8141</v>
      </c>
      <c r="T5430" s="18" t="s">
        <v>11715</v>
      </c>
      <c r="U5430" s="18" t="s">
        <v>11716</v>
      </c>
      <c r="V5430" s="18" t="s">
        <v>11717</v>
      </c>
      <c r="W5430" s="18" t="s">
        <v>48906</v>
      </c>
      <c r="X5430" s="18" t="s">
        <v>42</v>
      </c>
      <c r="Y5430" s="18" t="s">
        <v>36</v>
      </c>
      <c r="Z5430" s="18" t="s">
        <v>166</v>
      </c>
      <c r="AA5430" s="21" t="str">
        <f>HYPERLINK("https://www.ncbi.nlm.nih.gov/nuccore/KP861980","NCBI Nucleotide")</f>
        <v>NCBI Nucleotide</v>
      </c>
    </row>
    <row r="5431" spans="1:27" x14ac:dyDescent="0.35">
      <c r="A5431">
        <v>1012345</v>
      </c>
      <c r="B5431">
        <v>5252</v>
      </c>
      <c r="C5431">
        <v>3</v>
      </c>
      <c r="D5431" s="17" t="s">
        <v>10507</v>
      </c>
      <c r="E5431" s="17"/>
      <c r="F5431" s="17" t="s">
        <v>10780</v>
      </c>
      <c r="G5431" s="17"/>
      <c r="H5431" s="17" t="s">
        <v>10781</v>
      </c>
      <c r="I5431" s="17"/>
      <c r="J5431" s="17" t="s">
        <v>10791</v>
      </c>
      <c r="K5431" s="17"/>
      <c r="L5431" s="17" t="s">
        <v>11236</v>
      </c>
      <c r="M5431" s="17"/>
      <c r="N5431" s="17" t="s">
        <v>11237</v>
      </c>
      <c r="O5431" s="17" t="s">
        <v>11238</v>
      </c>
      <c r="P5431" s="17" t="s">
        <v>11704</v>
      </c>
      <c r="Q5431" s="17"/>
      <c r="R5431" s="25" t="str">
        <f>HYPERLINK("https://ictv.global/taxonomy/taxondetails?taxnode_id=202304029","Dyoomikronpapillomavirus 1")</f>
        <v>Dyoomikronpapillomavirus 1</v>
      </c>
      <c r="S5431" s="18" t="s">
        <v>8141</v>
      </c>
      <c r="T5431" s="18" t="s">
        <v>11709</v>
      </c>
      <c r="U5431" s="18" t="s">
        <v>11710</v>
      </c>
      <c r="V5431" s="18" t="s">
        <v>11711</v>
      </c>
      <c r="W5431" s="18" t="s">
        <v>48907</v>
      </c>
      <c r="X5431" s="18" t="s">
        <v>42</v>
      </c>
      <c r="Y5431" s="18" t="s">
        <v>36</v>
      </c>
      <c r="Z5431" s="18" t="s">
        <v>166</v>
      </c>
      <c r="AA5431" s="21" t="str">
        <f>HYPERLINK("https://www.ncbi.nlm.nih.gov/nuccore/JF304766","NCBI Nucleotide")</f>
        <v>NCBI Nucleotide</v>
      </c>
    </row>
    <row r="5432" spans="1:27" x14ac:dyDescent="0.35">
      <c r="A5432">
        <v>1012346</v>
      </c>
      <c r="B5432">
        <v>5252</v>
      </c>
      <c r="C5432">
        <v>4</v>
      </c>
      <c r="D5432" s="17" t="s">
        <v>10507</v>
      </c>
      <c r="E5432" s="17"/>
      <c r="F5432" s="17" t="s">
        <v>10780</v>
      </c>
      <c r="G5432" s="17"/>
      <c r="H5432" s="17" t="s">
        <v>10781</v>
      </c>
      <c r="I5432" s="17"/>
      <c r="J5432" s="17" t="s">
        <v>10791</v>
      </c>
      <c r="K5432" s="17"/>
      <c r="L5432" s="17" t="s">
        <v>11236</v>
      </c>
      <c r="M5432" s="17"/>
      <c r="N5432" s="17" t="s">
        <v>11237</v>
      </c>
      <c r="O5432" s="17" t="s">
        <v>11238</v>
      </c>
      <c r="P5432" s="17" t="s">
        <v>11704</v>
      </c>
      <c r="Q5432" s="17"/>
      <c r="R5432" s="25" t="str">
        <f>HYPERLINK("https://ictv.global/taxonomy/taxondetails?taxnode_id=202304029","Dyoomikronpapillomavirus 1")</f>
        <v>Dyoomikronpapillomavirus 1</v>
      </c>
      <c r="S5432" s="18" t="s">
        <v>8141</v>
      </c>
      <c r="T5432" s="18" t="s">
        <v>11712</v>
      </c>
      <c r="U5432" s="18" t="s">
        <v>11713</v>
      </c>
      <c r="V5432" s="18" t="s">
        <v>11714</v>
      </c>
      <c r="W5432" s="18" t="s">
        <v>48908</v>
      </c>
      <c r="X5432" s="18" t="s">
        <v>42</v>
      </c>
      <c r="Y5432" s="18" t="s">
        <v>36</v>
      </c>
      <c r="Z5432" s="18" t="s">
        <v>166</v>
      </c>
      <c r="AA5432" s="21" t="str">
        <f>HYPERLINK("https://www.ncbi.nlm.nih.gov/nuccore/JF304767","NCBI Nucleotide")</f>
        <v>NCBI Nucleotide</v>
      </c>
    </row>
    <row r="5433" spans="1:27" x14ac:dyDescent="0.35">
      <c r="A5433">
        <v>1007018</v>
      </c>
      <c r="B5433">
        <v>5253</v>
      </c>
      <c r="C5433">
        <v>1</v>
      </c>
      <c r="D5433" s="17" t="s">
        <v>10507</v>
      </c>
      <c r="E5433" s="17"/>
      <c r="F5433" s="17" t="s">
        <v>10780</v>
      </c>
      <c r="G5433" s="17"/>
      <c r="H5433" s="17" t="s">
        <v>10781</v>
      </c>
      <c r="I5433" s="17"/>
      <c r="J5433" s="17" t="s">
        <v>10791</v>
      </c>
      <c r="K5433" s="17"/>
      <c r="L5433" s="17" t="s">
        <v>11236</v>
      </c>
      <c r="M5433" s="17"/>
      <c r="N5433" s="17" t="s">
        <v>11237</v>
      </c>
      <c r="O5433" s="17" t="s">
        <v>11238</v>
      </c>
      <c r="P5433" s="17" t="s">
        <v>11718</v>
      </c>
      <c r="Q5433" s="17"/>
      <c r="R5433" s="25" t="str">
        <f>HYPERLINK("https://ictv.global/taxonomy/taxondetails?taxnode_id=202304031","Dyophipapillomavirus 1")</f>
        <v>Dyophipapillomavirus 1</v>
      </c>
      <c r="S5433" s="18" t="s">
        <v>30</v>
      </c>
      <c r="T5433" s="18" t="s">
        <v>11719</v>
      </c>
      <c r="U5433" s="18" t="s">
        <v>11720</v>
      </c>
      <c r="V5433" s="18" t="s">
        <v>11721</v>
      </c>
      <c r="W5433" s="18" t="s">
        <v>11722</v>
      </c>
      <c r="X5433" s="18" t="s">
        <v>42</v>
      </c>
      <c r="Y5433" s="18" t="s">
        <v>36</v>
      </c>
      <c r="Z5433" s="18" t="s">
        <v>166</v>
      </c>
      <c r="AA5433" s="21" t="str">
        <f>HYPERLINK("https://www.ncbi.nlm.nih.gov/nuccore/KC460987","NCBI Nucleotide")</f>
        <v>NCBI Nucleotide</v>
      </c>
    </row>
    <row r="5434" spans="1:27" x14ac:dyDescent="0.35">
      <c r="A5434">
        <v>1007019</v>
      </c>
      <c r="B5434">
        <v>5254</v>
      </c>
      <c r="C5434">
        <v>1</v>
      </c>
      <c r="D5434" s="17" t="s">
        <v>10507</v>
      </c>
      <c r="E5434" s="17"/>
      <c r="F5434" s="17" t="s">
        <v>10780</v>
      </c>
      <c r="G5434" s="17"/>
      <c r="H5434" s="17" t="s">
        <v>10781</v>
      </c>
      <c r="I5434" s="17"/>
      <c r="J5434" s="17" t="s">
        <v>10791</v>
      </c>
      <c r="K5434" s="17"/>
      <c r="L5434" s="17" t="s">
        <v>11236</v>
      </c>
      <c r="M5434" s="17"/>
      <c r="N5434" s="17" t="s">
        <v>11237</v>
      </c>
      <c r="O5434" s="17" t="s">
        <v>11238</v>
      </c>
      <c r="P5434" s="17" t="s">
        <v>11723</v>
      </c>
      <c r="Q5434" s="17"/>
      <c r="R5434" s="25" t="str">
        <f>HYPERLINK("https://ictv.global/taxonomy/taxondetails?taxnode_id=202304033","Dyopipapillomavirus 1")</f>
        <v>Dyopipapillomavirus 1</v>
      </c>
      <c r="S5434" s="18" t="s">
        <v>30</v>
      </c>
      <c r="T5434" s="18" t="s">
        <v>11724</v>
      </c>
      <c r="U5434" s="18" t="s">
        <v>11725</v>
      </c>
      <c r="V5434" s="18"/>
      <c r="W5434" s="18" t="s">
        <v>11726</v>
      </c>
      <c r="X5434" s="18" t="s">
        <v>42</v>
      </c>
      <c r="Y5434" s="18" t="s">
        <v>36</v>
      </c>
      <c r="Z5434" s="18" t="s">
        <v>166</v>
      </c>
      <c r="AA5434" s="21" t="str">
        <f>HYPERLINK("https://www.ncbi.nlm.nih.gov/nuccore/GU117623","NCBI Nucleotide")</f>
        <v>NCBI Nucleotide</v>
      </c>
    </row>
    <row r="5435" spans="1:27" x14ac:dyDescent="0.35">
      <c r="A5435">
        <v>1007020</v>
      </c>
      <c r="B5435">
        <v>5255</v>
      </c>
      <c r="C5435">
        <v>1</v>
      </c>
      <c r="D5435" s="17" t="s">
        <v>10507</v>
      </c>
      <c r="E5435" s="17"/>
      <c r="F5435" s="17" t="s">
        <v>10780</v>
      </c>
      <c r="G5435" s="17"/>
      <c r="H5435" s="17" t="s">
        <v>10781</v>
      </c>
      <c r="I5435" s="17"/>
      <c r="J5435" s="17" t="s">
        <v>10791</v>
      </c>
      <c r="K5435" s="17"/>
      <c r="L5435" s="17" t="s">
        <v>11236</v>
      </c>
      <c r="M5435" s="17"/>
      <c r="N5435" s="17" t="s">
        <v>11237</v>
      </c>
      <c r="O5435" s="17" t="s">
        <v>11238</v>
      </c>
      <c r="P5435" s="17" t="s">
        <v>11727</v>
      </c>
      <c r="Q5435" s="17"/>
      <c r="R5435" s="25" t="str">
        <f>HYPERLINK("https://ictv.global/taxonomy/taxondetails?taxnode_id=202304035","Dyopsipapillomavirus 1")</f>
        <v>Dyopsipapillomavirus 1</v>
      </c>
      <c r="S5435" s="18" t="s">
        <v>30</v>
      </c>
      <c r="T5435" s="18" t="s">
        <v>11728</v>
      </c>
      <c r="U5435" s="18" t="s">
        <v>11729</v>
      </c>
      <c r="V5435" s="18"/>
      <c r="W5435" s="18" t="s">
        <v>11730</v>
      </c>
      <c r="X5435" s="18" t="s">
        <v>42</v>
      </c>
      <c r="Y5435" s="18" t="s">
        <v>36</v>
      </c>
      <c r="Z5435" s="18" t="s">
        <v>166</v>
      </c>
      <c r="AA5435" s="21" t="str">
        <f>HYPERLINK("https://www.ncbi.nlm.nih.gov/nuccore/KC858263","NCBI Nucleotide")</f>
        <v>NCBI Nucleotide</v>
      </c>
    </row>
    <row r="5436" spans="1:27" x14ac:dyDescent="0.35">
      <c r="A5436">
        <v>1012348</v>
      </c>
      <c r="B5436">
        <v>5255</v>
      </c>
      <c r="C5436">
        <v>2</v>
      </c>
      <c r="D5436" s="17" t="s">
        <v>10507</v>
      </c>
      <c r="E5436" s="17"/>
      <c r="F5436" s="17" t="s">
        <v>10780</v>
      </c>
      <c r="G5436" s="17"/>
      <c r="H5436" s="17" t="s">
        <v>10781</v>
      </c>
      <c r="I5436" s="17"/>
      <c r="J5436" s="17" t="s">
        <v>10791</v>
      </c>
      <c r="K5436" s="17"/>
      <c r="L5436" s="17" t="s">
        <v>11236</v>
      </c>
      <c r="M5436" s="17"/>
      <c r="N5436" s="17" t="s">
        <v>11237</v>
      </c>
      <c r="O5436" s="17" t="s">
        <v>11238</v>
      </c>
      <c r="P5436" s="17" t="s">
        <v>11727</v>
      </c>
      <c r="Q5436" s="17"/>
      <c r="R5436" s="25" t="str">
        <f>HYPERLINK("https://ictv.global/taxonomy/taxondetails?taxnode_id=202304035","Dyopsipapillomavirus 1")</f>
        <v>Dyopsipapillomavirus 1</v>
      </c>
      <c r="S5436" s="18" t="s">
        <v>8141</v>
      </c>
      <c r="T5436" s="18" t="s">
        <v>11731</v>
      </c>
      <c r="U5436" s="18" t="s">
        <v>11732</v>
      </c>
      <c r="V5436" s="18"/>
      <c r="W5436" s="18" t="s">
        <v>48909</v>
      </c>
      <c r="X5436" s="18" t="s">
        <v>42</v>
      </c>
      <c r="Y5436" s="18" t="s">
        <v>36</v>
      </c>
      <c r="Z5436" s="18" t="s">
        <v>166</v>
      </c>
      <c r="AA5436" s="21" t="str">
        <f>HYPERLINK("https://www.ncbi.nlm.nih.gov/nuccore/KC858265","NCBI Nucleotide")</f>
        <v>NCBI Nucleotide</v>
      </c>
    </row>
    <row r="5437" spans="1:27" x14ac:dyDescent="0.35">
      <c r="A5437">
        <v>1007021</v>
      </c>
      <c r="B5437">
        <v>5256</v>
      </c>
      <c r="C5437">
        <v>1</v>
      </c>
      <c r="D5437" s="17" t="s">
        <v>10507</v>
      </c>
      <c r="E5437" s="17"/>
      <c r="F5437" s="17" t="s">
        <v>10780</v>
      </c>
      <c r="G5437" s="17"/>
      <c r="H5437" s="17" t="s">
        <v>10781</v>
      </c>
      <c r="I5437" s="17"/>
      <c r="J5437" s="17" t="s">
        <v>10791</v>
      </c>
      <c r="K5437" s="17"/>
      <c r="L5437" s="17" t="s">
        <v>11236</v>
      </c>
      <c r="M5437" s="17"/>
      <c r="N5437" s="17" t="s">
        <v>11237</v>
      </c>
      <c r="O5437" s="17" t="s">
        <v>11238</v>
      </c>
      <c r="P5437" s="17" t="s">
        <v>11733</v>
      </c>
      <c r="Q5437" s="17"/>
      <c r="R5437" s="25" t="str">
        <f>HYPERLINK("https://ictv.global/taxonomy/taxondetails?taxnode_id=202304037","Dyorhopapillomavirus 1")</f>
        <v>Dyorhopapillomavirus 1</v>
      </c>
      <c r="S5437" s="18" t="s">
        <v>30</v>
      </c>
      <c r="T5437" s="18" t="s">
        <v>11657</v>
      </c>
      <c r="U5437" s="18" t="s">
        <v>11658</v>
      </c>
      <c r="V5437" s="18" t="s">
        <v>11659</v>
      </c>
      <c r="W5437" s="18" t="s">
        <v>11660</v>
      </c>
      <c r="X5437" s="18" t="s">
        <v>42</v>
      </c>
      <c r="Y5437" s="18" t="s">
        <v>36</v>
      </c>
      <c r="Z5437" s="18" t="s">
        <v>166</v>
      </c>
      <c r="AA5437" s="21" t="str">
        <f>HYPERLINK("https://www.ncbi.nlm.nih.gov/nuccore/GU384895","NCBI Nucleotide")</f>
        <v>NCBI Nucleotide</v>
      </c>
    </row>
    <row r="5438" spans="1:27" x14ac:dyDescent="0.35">
      <c r="A5438">
        <v>1012350</v>
      </c>
      <c r="B5438">
        <v>5256</v>
      </c>
      <c r="C5438">
        <v>2</v>
      </c>
      <c r="D5438" s="17" t="s">
        <v>10507</v>
      </c>
      <c r="E5438" s="17"/>
      <c r="F5438" s="17" t="s">
        <v>10780</v>
      </c>
      <c r="G5438" s="17"/>
      <c r="H5438" s="17" t="s">
        <v>10781</v>
      </c>
      <c r="I5438" s="17"/>
      <c r="J5438" s="17" t="s">
        <v>10791</v>
      </c>
      <c r="K5438" s="17"/>
      <c r="L5438" s="17" t="s">
        <v>11236</v>
      </c>
      <c r="M5438" s="17"/>
      <c r="N5438" s="17" t="s">
        <v>11237</v>
      </c>
      <c r="O5438" s="17" t="s">
        <v>11238</v>
      </c>
      <c r="P5438" s="17" t="s">
        <v>11733</v>
      </c>
      <c r="Q5438" s="17"/>
      <c r="R5438" s="25" t="str">
        <f>HYPERLINK("https://ictv.global/taxonomy/taxondetails?taxnode_id=202304037","Dyorhopapillomavirus 1")</f>
        <v>Dyorhopapillomavirus 1</v>
      </c>
      <c r="S5438" s="18" t="s">
        <v>8141</v>
      </c>
      <c r="T5438" s="18" t="s">
        <v>11734</v>
      </c>
      <c r="U5438" s="18" t="s">
        <v>11735</v>
      </c>
      <c r="V5438" s="18" t="s">
        <v>11736</v>
      </c>
      <c r="W5438" s="18" t="s">
        <v>48910</v>
      </c>
      <c r="X5438" s="18" t="s">
        <v>42</v>
      </c>
      <c r="Y5438" s="18" t="s">
        <v>36</v>
      </c>
      <c r="Z5438" s="18" t="s">
        <v>166</v>
      </c>
      <c r="AA5438" s="21" t="str">
        <f>HYPERLINK("https://www.ncbi.nlm.nih.gov/nuccore/JQ965698","NCBI Nucleotide")</f>
        <v>NCBI Nucleotide</v>
      </c>
    </row>
    <row r="5439" spans="1:27" x14ac:dyDescent="0.35">
      <c r="A5439">
        <v>1012349</v>
      </c>
      <c r="B5439">
        <v>5256</v>
      </c>
      <c r="C5439">
        <v>3</v>
      </c>
      <c r="D5439" s="17" t="s">
        <v>10507</v>
      </c>
      <c r="E5439" s="17"/>
      <c r="F5439" s="17" t="s">
        <v>10780</v>
      </c>
      <c r="G5439" s="17"/>
      <c r="H5439" s="17" t="s">
        <v>10781</v>
      </c>
      <c r="I5439" s="17"/>
      <c r="J5439" s="17" t="s">
        <v>10791</v>
      </c>
      <c r="K5439" s="17"/>
      <c r="L5439" s="17" t="s">
        <v>11236</v>
      </c>
      <c r="M5439" s="17"/>
      <c r="N5439" s="17" t="s">
        <v>11237</v>
      </c>
      <c r="O5439" s="17" t="s">
        <v>11238</v>
      </c>
      <c r="P5439" s="17" t="s">
        <v>11733</v>
      </c>
      <c r="Q5439" s="17"/>
      <c r="R5439" s="25" t="str">
        <f>HYPERLINK("https://ictv.global/taxonomy/taxondetails?taxnode_id=202304037","Dyorhopapillomavirus 1")</f>
        <v>Dyorhopapillomavirus 1</v>
      </c>
      <c r="S5439" s="18" t="s">
        <v>8141</v>
      </c>
      <c r="T5439" s="18" t="s">
        <v>11737</v>
      </c>
      <c r="U5439" s="18" t="s">
        <v>11738</v>
      </c>
      <c r="V5439" s="18"/>
      <c r="W5439" s="18" t="s">
        <v>48911</v>
      </c>
      <c r="X5439" s="18" t="s">
        <v>42</v>
      </c>
      <c r="Y5439" s="18" t="s">
        <v>36</v>
      </c>
      <c r="Z5439" s="18" t="s">
        <v>166</v>
      </c>
      <c r="AA5439" s="21" t="str">
        <f>HYPERLINK("https://www.ncbi.nlm.nih.gov/nuccore/JX035935","NCBI Nucleotide")</f>
        <v>NCBI Nucleotide</v>
      </c>
    </row>
    <row r="5440" spans="1:27" x14ac:dyDescent="0.35">
      <c r="A5440">
        <v>1007022</v>
      </c>
      <c r="B5440">
        <v>5257</v>
      </c>
      <c r="C5440">
        <v>1</v>
      </c>
      <c r="D5440" s="17" t="s">
        <v>10507</v>
      </c>
      <c r="E5440" s="17"/>
      <c r="F5440" s="17" t="s">
        <v>10780</v>
      </c>
      <c r="G5440" s="17"/>
      <c r="H5440" s="17" t="s">
        <v>10781</v>
      </c>
      <c r="I5440" s="17"/>
      <c r="J5440" s="17" t="s">
        <v>10791</v>
      </c>
      <c r="K5440" s="17"/>
      <c r="L5440" s="17" t="s">
        <v>11236</v>
      </c>
      <c r="M5440" s="17"/>
      <c r="N5440" s="17" t="s">
        <v>11237</v>
      </c>
      <c r="O5440" s="17" t="s">
        <v>11238</v>
      </c>
      <c r="P5440" s="17" t="s">
        <v>11739</v>
      </c>
      <c r="Q5440" s="17"/>
      <c r="R5440" s="25" t="str">
        <f>HYPERLINK("https://ictv.global/taxonomy/taxondetails?taxnode_id=202304039","Dyosigmapapillomavirus 1")</f>
        <v>Dyosigmapapillomavirus 1</v>
      </c>
      <c r="S5440" s="18" t="s">
        <v>30</v>
      </c>
      <c r="T5440" s="18" t="s">
        <v>11740</v>
      </c>
      <c r="U5440" s="18" t="s">
        <v>11741</v>
      </c>
      <c r="V5440" s="18"/>
      <c r="W5440" s="18" t="s">
        <v>11742</v>
      </c>
      <c r="X5440" s="18" t="s">
        <v>42</v>
      </c>
      <c r="Y5440" s="18" t="s">
        <v>36</v>
      </c>
      <c r="Z5440" s="18" t="s">
        <v>166</v>
      </c>
      <c r="AA5440" s="21" t="str">
        <f>HYPERLINK("https://www.ncbi.nlm.nih.gov/nuccore/KC020689","NCBI Nucleotide")</f>
        <v>NCBI Nucleotide</v>
      </c>
    </row>
    <row r="5441" spans="1:27" x14ac:dyDescent="0.35">
      <c r="A5441">
        <v>1007023</v>
      </c>
      <c r="B5441">
        <v>5258</v>
      </c>
      <c r="C5441">
        <v>1</v>
      </c>
      <c r="D5441" s="17" t="s">
        <v>10507</v>
      </c>
      <c r="E5441" s="17"/>
      <c r="F5441" s="17" t="s">
        <v>10780</v>
      </c>
      <c r="G5441" s="17"/>
      <c r="H5441" s="17" t="s">
        <v>10781</v>
      </c>
      <c r="I5441" s="17"/>
      <c r="J5441" s="17" t="s">
        <v>10791</v>
      </c>
      <c r="K5441" s="17"/>
      <c r="L5441" s="17" t="s">
        <v>11236</v>
      </c>
      <c r="M5441" s="17"/>
      <c r="N5441" s="17" t="s">
        <v>11237</v>
      </c>
      <c r="O5441" s="17" t="s">
        <v>11238</v>
      </c>
      <c r="P5441" s="17" t="s">
        <v>11743</v>
      </c>
      <c r="Q5441" s="17"/>
      <c r="R5441" s="25" t="str">
        <f>HYPERLINK("https://ictv.global/taxonomy/taxondetails?taxnode_id=202304041","Dyotaupapillomavirus 1")</f>
        <v>Dyotaupapillomavirus 1</v>
      </c>
      <c r="S5441" s="18" t="s">
        <v>30</v>
      </c>
      <c r="T5441" s="18" t="s">
        <v>11744</v>
      </c>
      <c r="U5441" s="18" t="s">
        <v>11745</v>
      </c>
      <c r="V5441" s="18" t="s">
        <v>11746</v>
      </c>
      <c r="W5441" s="18" t="s">
        <v>11747</v>
      </c>
      <c r="X5441" s="18" t="s">
        <v>42</v>
      </c>
      <c r="Y5441" s="18" t="s">
        <v>36</v>
      </c>
      <c r="Z5441" s="18" t="s">
        <v>166</v>
      </c>
      <c r="AA5441" s="21" t="str">
        <f>HYPERLINK("https://www.ncbi.nlm.nih.gov/nuccore/JQ692938","NCBI Nucleotide")</f>
        <v>NCBI Nucleotide</v>
      </c>
    </row>
    <row r="5442" spans="1:27" x14ac:dyDescent="0.35">
      <c r="A5442">
        <v>1007024</v>
      </c>
      <c r="B5442">
        <v>5259</v>
      </c>
      <c r="C5442">
        <v>1</v>
      </c>
      <c r="D5442" s="17" t="s">
        <v>10507</v>
      </c>
      <c r="E5442" s="17"/>
      <c r="F5442" s="17" t="s">
        <v>10780</v>
      </c>
      <c r="G5442" s="17"/>
      <c r="H5442" s="17" t="s">
        <v>10781</v>
      </c>
      <c r="I5442" s="17"/>
      <c r="J5442" s="17" t="s">
        <v>10791</v>
      </c>
      <c r="K5442" s="17"/>
      <c r="L5442" s="17" t="s">
        <v>11236</v>
      </c>
      <c r="M5442" s="17"/>
      <c r="N5442" s="17" t="s">
        <v>11237</v>
      </c>
      <c r="O5442" s="17" t="s">
        <v>11238</v>
      </c>
      <c r="P5442" s="17" t="s">
        <v>11748</v>
      </c>
      <c r="Q5442" s="17"/>
      <c r="R5442" s="25" t="str">
        <f>HYPERLINK("https://ictv.global/taxonomy/taxondetails?taxnode_id=202304043","Dyothetapapillomavirus 1")</f>
        <v>Dyothetapapillomavirus 1</v>
      </c>
      <c r="S5442" s="18" t="s">
        <v>30</v>
      </c>
      <c r="T5442" s="18" t="s">
        <v>11749</v>
      </c>
      <c r="U5442" s="18" t="s">
        <v>11750</v>
      </c>
      <c r="V5442" s="18" t="s">
        <v>11751</v>
      </c>
      <c r="W5442" s="18" t="s">
        <v>11752</v>
      </c>
      <c r="X5442" s="18" t="s">
        <v>42</v>
      </c>
      <c r="Y5442" s="18" t="s">
        <v>36</v>
      </c>
      <c r="Z5442" s="18" t="s">
        <v>166</v>
      </c>
      <c r="AA5442" s="21" t="str">
        <f>HYPERLINK("https://www.ncbi.nlm.nih.gov/nuccore/EU796884","NCBI Nucleotide")</f>
        <v>NCBI Nucleotide</v>
      </c>
    </row>
    <row r="5443" spans="1:27" x14ac:dyDescent="0.35">
      <c r="A5443">
        <v>1007025</v>
      </c>
      <c r="B5443">
        <v>5260</v>
      </c>
      <c r="C5443">
        <v>1</v>
      </c>
      <c r="D5443" s="17" t="s">
        <v>10507</v>
      </c>
      <c r="E5443" s="17"/>
      <c r="F5443" s="17" t="s">
        <v>10780</v>
      </c>
      <c r="G5443" s="17"/>
      <c r="H5443" s="17" t="s">
        <v>10781</v>
      </c>
      <c r="I5443" s="17"/>
      <c r="J5443" s="17" t="s">
        <v>10791</v>
      </c>
      <c r="K5443" s="17"/>
      <c r="L5443" s="17" t="s">
        <v>11236</v>
      </c>
      <c r="M5443" s="17"/>
      <c r="N5443" s="17" t="s">
        <v>11237</v>
      </c>
      <c r="O5443" s="17" t="s">
        <v>11238</v>
      </c>
      <c r="P5443" s="17" t="s">
        <v>11753</v>
      </c>
      <c r="Q5443" s="17"/>
      <c r="R5443" s="25" t="str">
        <f>HYPERLINK("https://ictv.global/taxonomy/taxondetails?taxnode_id=202304045","Dyoupsilonpapillomavirus 1")</f>
        <v>Dyoupsilonpapillomavirus 1</v>
      </c>
      <c r="S5443" s="18" t="s">
        <v>30</v>
      </c>
      <c r="T5443" s="18" t="s">
        <v>11754</v>
      </c>
      <c r="U5443" s="18" t="s">
        <v>11755</v>
      </c>
      <c r="V5443" s="18"/>
      <c r="W5443" s="18" t="s">
        <v>11756</v>
      </c>
      <c r="X5443" s="18" t="s">
        <v>42</v>
      </c>
      <c r="Y5443" s="18" t="s">
        <v>36</v>
      </c>
      <c r="Z5443" s="18" t="s">
        <v>166</v>
      </c>
      <c r="AA5443" s="21" t="str">
        <f>HYPERLINK("https://www.ncbi.nlm.nih.gov/nuccore/JX123128","NCBI Nucleotide")</f>
        <v>NCBI Nucleotide</v>
      </c>
    </row>
    <row r="5444" spans="1:27" x14ac:dyDescent="0.35">
      <c r="A5444">
        <v>1007026</v>
      </c>
      <c r="B5444">
        <v>5261</v>
      </c>
      <c r="C5444">
        <v>1</v>
      </c>
      <c r="D5444" s="17" t="s">
        <v>10507</v>
      </c>
      <c r="E5444" s="17"/>
      <c r="F5444" s="17" t="s">
        <v>10780</v>
      </c>
      <c r="G5444" s="17"/>
      <c r="H5444" s="17" t="s">
        <v>10781</v>
      </c>
      <c r="I5444" s="17"/>
      <c r="J5444" s="17" t="s">
        <v>10791</v>
      </c>
      <c r="K5444" s="17"/>
      <c r="L5444" s="17" t="s">
        <v>11236</v>
      </c>
      <c r="M5444" s="17"/>
      <c r="N5444" s="17" t="s">
        <v>11237</v>
      </c>
      <c r="O5444" s="17" t="s">
        <v>11238</v>
      </c>
      <c r="P5444" s="17" t="s">
        <v>11757</v>
      </c>
      <c r="Q5444" s="17"/>
      <c r="R5444" s="25" t="str">
        <f>HYPERLINK("https://ictv.global/taxonomy/taxondetails?taxnode_id=202304047","Dyoxipapillomavirus 1")</f>
        <v>Dyoxipapillomavirus 1</v>
      </c>
      <c r="S5444" s="18" t="s">
        <v>30</v>
      </c>
      <c r="T5444" s="18" t="s">
        <v>11758</v>
      </c>
      <c r="U5444" s="18" t="s">
        <v>11759</v>
      </c>
      <c r="V5444" s="18"/>
      <c r="W5444" s="18" t="s">
        <v>11760</v>
      </c>
      <c r="X5444" s="18" t="s">
        <v>42</v>
      </c>
      <c r="Y5444" s="18" t="s">
        <v>36</v>
      </c>
      <c r="Z5444" s="18" t="s">
        <v>166</v>
      </c>
      <c r="AA5444" s="21" t="str">
        <f>HYPERLINK("https://www.ncbi.nlm.nih.gov/nuccore/DQ217793","NCBI Nucleotide")</f>
        <v>NCBI Nucleotide</v>
      </c>
    </row>
    <row r="5445" spans="1:27" x14ac:dyDescent="0.35">
      <c r="A5445">
        <v>1007027</v>
      </c>
      <c r="B5445">
        <v>5262</v>
      </c>
      <c r="C5445">
        <v>1</v>
      </c>
      <c r="D5445" s="17" t="s">
        <v>10507</v>
      </c>
      <c r="E5445" s="17"/>
      <c r="F5445" s="17" t="s">
        <v>10780</v>
      </c>
      <c r="G5445" s="17"/>
      <c r="H5445" s="17" t="s">
        <v>10781</v>
      </c>
      <c r="I5445" s="17"/>
      <c r="J5445" s="17" t="s">
        <v>10791</v>
      </c>
      <c r="K5445" s="17"/>
      <c r="L5445" s="17" t="s">
        <v>11236</v>
      </c>
      <c r="M5445" s="17"/>
      <c r="N5445" s="17" t="s">
        <v>11237</v>
      </c>
      <c r="O5445" s="17" t="s">
        <v>11238</v>
      </c>
      <c r="P5445" s="17" t="s">
        <v>11757</v>
      </c>
      <c r="Q5445" s="17"/>
      <c r="R5445" s="25" t="str">
        <f>HYPERLINK("https://ictv.global/taxonomy/taxondetails?taxnode_id=202305868","Dyoxipapillomavirus 2")</f>
        <v>Dyoxipapillomavirus 2</v>
      </c>
      <c r="S5445" s="18" t="s">
        <v>30</v>
      </c>
      <c r="T5445" s="18" t="s">
        <v>11761</v>
      </c>
      <c r="U5445" s="18" t="s">
        <v>11762</v>
      </c>
      <c r="V5445" s="18"/>
      <c r="W5445" s="18" t="s">
        <v>11763</v>
      </c>
      <c r="X5445" s="18" t="s">
        <v>42</v>
      </c>
      <c r="Y5445" s="18" t="s">
        <v>36</v>
      </c>
      <c r="Z5445" s="18" t="s">
        <v>166</v>
      </c>
      <c r="AA5445" s="21" t="str">
        <f>HYPERLINK("https://www.ncbi.nlm.nih.gov/nuccore/KU519394","NCBI Nucleotide")</f>
        <v>NCBI Nucleotide</v>
      </c>
    </row>
    <row r="5446" spans="1:27" x14ac:dyDescent="0.35">
      <c r="A5446">
        <v>1012351</v>
      </c>
      <c r="B5446">
        <v>5262</v>
      </c>
      <c r="C5446">
        <v>2</v>
      </c>
      <c r="D5446" s="17" t="s">
        <v>10507</v>
      </c>
      <c r="E5446" s="17"/>
      <c r="F5446" s="17" t="s">
        <v>10780</v>
      </c>
      <c r="G5446" s="17"/>
      <c r="H5446" s="17" t="s">
        <v>10781</v>
      </c>
      <c r="I5446" s="17"/>
      <c r="J5446" s="17" t="s">
        <v>10791</v>
      </c>
      <c r="K5446" s="17"/>
      <c r="L5446" s="17" t="s">
        <v>11236</v>
      </c>
      <c r="M5446" s="17"/>
      <c r="N5446" s="17" t="s">
        <v>11237</v>
      </c>
      <c r="O5446" s="17" t="s">
        <v>11238</v>
      </c>
      <c r="P5446" s="17" t="s">
        <v>11757</v>
      </c>
      <c r="Q5446" s="17"/>
      <c r="R5446" s="25" t="str">
        <f>HYPERLINK("https://ictv.global/taxonomy/taxondetails?taxnode_id=202305868","Dyoxipapillomavirus 2")</f>
        <v>Dyoxipapillomavirus 2</v>
      </c>
      <c r="S5446" s="18" t="s">
        <v>8141</v>
      </c>
      <c r="T5446" s="18" t="s">
        <v>11764</v>
      </c>
      <c r="U5446" s="18" t="s">
        <v>11765</v>
      </c>
      <c r="V5446" s="18"/>
      <c r="W5446" s="18" t="s">
        <v>48912</v>
      </c>
      <c r="X5446" s="18" t="s">
        <v>42</v>
      </c>
      <c r="Y5446" s="18" t="s">
        <v>36</v>
      </c>
      <c r="Z5446" s="18" t="s">
        <v>166</v>
      </c>
      <c r="AA5446" s="21" t="str">
        <f>HYPERLINK("https://www.ncbi.nlm.nih.gov/nuccore/KU519396","NCBI Nucleotide")</f>
        <v>NCBI Nucleotide</v>
      </c>
    </row>
    <row r="5447" spans="1:27" x14ac:dyDescent="0.35">
      <c r="A5447">
        <v>1007028</v>
      </c>
      <c r="B5447">
        <v>5263</v>
      </c>
      <c r="C5447">
        <v>1</v>
      </c>
      <c r="D5447" s="17" t="s">
        <v>10507</v>
      </c>
      <c r="E5447" s="17"/>
      <c r="F5447" s="17" t="s">
        <v>10780</v>
      </c>
      <c r="G5447" s="17"/>
      <c r="H5447" s="17" t="s">
        <v>10781</v>
      </c>
      <c r="I5447" s="17"/>
      <c r="J5447" s="17" t="s">
        <v>10791</v>
      </c>
      <c r="K5447" s="17"/>
      <c r="L5447" s="17" t="s">
        <v>11236</v>
      </c>
      <c r="M5447" s="17"/>
      <c r="N5447" s="17" t="s">
        <v>11237</v>
      </c>
      <c r="O5447" s="17" t="s">
        <v>11238</v>
      </c>
      <c r="P5447" s="17" t="s">
        <v>11766</v>
      </c>
      <c r="Q5447" s="17"/>
      <c r="R5447" s="25" t="str">
        <f>HYPERLINK("https://ictv.global/taxonomy/taxondetails?taxnode_id=202304049","Dyozetapapillomavirus 1")</f>
        <v>Dyozetapapillomavirus 1</v>
      </c>
      <c r="S5447" s="18" t="s">
        <v>30</v>
      </c>
      <c r="T5447" s="18" t="s">
        <v>11767</v>
      </c>
      <c r="U5447" s="18" t="s">
        <v>11768</v>
      </c>
      <c r="V5447" s="18"/>
      <c r="W5447" s="18" t="s">
        <v>11769</v>
      </c>
      <c r="X5447" s="18" t="s">
        <v>42</v>
      </c>
      <c r="Y5447" s="18" t="s">
        <v>36</v>
      </c>
      <c r="Z5447" s="18" t="s">
        <v>166</v>
      </c>
      <c r="AA5447" s="21" t="str">
        <f>HYPERLINK("https://www.ncbi.nlm.nih.gov/nuccore/EU493092","NCBI Nucleotide")</f>
        <v>NCBI Nucleotide</v>
      </c>
    </row>
    <row r="5448" spans="1:27" x14ac:dyDescent="0.35">
      <c r="A5448">
        <v>1012352</v>
      </c>
      <c r="B5448">
        <v>5263</v>
      </c>
      <c r="C5448">
        <v>2</v>
      </c>
      <c r="D5448" s="17" t="s">
        <v>10507</v>
      </c>
      <c r="E5448" s="17"/>
      <c r="F5448" s="17" t="s">
        <v>10780</v>
      </c>
      <c r="G5448" s="17"/>
      <c r="H5448" s="17" t="s">
        <v>10781</v>
      </c>
      <c r="I5448" s="17"/>
      <c r="J5448" s="17" t="s">
        <v>10791</v>
      </c>
      <c r="K5448" s="17"/>
      <c r="L5448" s="17" t="s">
        <v>11236</v>
      </c>
      <c r="M5448" s="17"/>
      <c r="N5448" s="17" t="s">
        <v>11237</v>
      </c>
      <c r="O5448" s="17" t="s">
        <v>11238</v>
      </c>
      <c r="P5448" s="17" t="s">
        <v>11766</v>
      </c>
      <c r="Q5448" s="17"/>
      <c r="R5448" s="25" t="str">
        <f>HYPERLINK("https://ictv.global/taxonomy/taxondetails?taxnode_id=202304049","Dyozetapapillomavirus 1")</f>
        <v>Dyozetapapillomavirus 1</v>
      </c>
      <c r="S5448" s="18" t="s">
        <v>8141</v>
      </c>
      <c r="T5448" s="18" t="s">
        <v>11770</v>
      </c>
      <c r="U5448" s="18" t="s">
        <v>11771</v>
      </c>
      <c r="V5448" s="18"/>
      <c r="W5448" s="18" t="s">
        <v>48913</v>
      </c>
      <c r="X5448" s="18" t="s">
        <v>42</v>
      </c>
      <c r="Y5448" s="18" t="s">
        <v>36</v>
      </c>
      <c r="Z5448" s="18" t="s">
        <v>166</v>
      </c>
      <c r="AA5448" s="21" t="str">
        <f>HYPERLINK("https://www.ncbi.nlm.nih.gov/nuccore/EU493091","NCBI Nucleotide")</f>
        <v>NCBI Nucleotide</v>
      </c>
    </row>
    <row r="5449" spans="1:27" x14ac:dyDescent="0.35">
      <c r="A5449">
        <v>1007029</v>
      </c>
      <c r="B5449">
        <v>5264</v>
      </c>
      <c r="C5449">
        <v>1</v>
      </c>
      <c r="D5449" s="17" t="s">
        <v>10507</v>
      </c>
      <c r="E5449" s="17"/>
      <c r="F5449" s="17" t="s">
        <v>10780</v>
      </c>
      <c r="G5449" s="17"/>
      <c r="H5449" s="17" t="s">
        <v>10781</v>
      </c>
      <c r="I5449" s="17"/>
      <c r="J5449" s="17" t="s">
        <v>10791</v>
      </c>
      <c r="K5449" s="17"/>
      <c r="L5449" s="17" t="s">
        <v>11236</v>
      </c>
      <c r="M5449" s="17"/>
      <c r="N5449" s="17" t="s">
        <v>11237</v>
      </c>
      <c r="O5449" s="17" t="s">
        <v>11238</v>
      </c>
      <c r="P5449" s="17" t="s">
        <v>11772</v>
      </c>
      <c r="Q5449" s="17"/>
      <c r="R5449" s="25" t="str">
        <f>HYPERLINK("https://ictv.global/taxonomy/taxondetails?taxnode_id=202304051","Epsilonpapillomavirus 1")</f>
        <v>Epsilonpapillomavirus 1</v>
      </c>
      <c r="S5449" s="18" t="s">
        <v>30</v>
      </c>
      <c r="T5449" s="18" t="s">
        <v>11773</v>
      </c>
      <c r="U5449" s="18" t="s">
        <v>11774</v>
      </c>
      <c r="V5449" s="18"/>
      <c r="W5449" s="18" t="s">
        <v>11775</v>
      </c>
      <c r="X5449" s="18" t="s">
        <v>42</v>
      </c>
      <c r="Y5449" s="18" t="s">
        <v>36</v>
      </c>
      <c r="Z5449" s="18" t="s">
        <v>166</v>
      </c>
      <c r="AA5449" s="21" t="str">
        <f>HYPERLINK("https://www.ncbi.nlm.nih.gov/nuccore/AF457465","NCBI Nucleotide")</f>
        <v>NCBI Nucleotide</v>
      </c>
    </row>
    <row r="5450" spans="1:27" x14ac:dyDescent="0.35">
      <c r="A5450">
        <v>1012353</v>
      </c>
      <c r="B5450">
        <v>5264</v>
      </c>
      <c r="C5450">
        <v>2</v>
      </c>
      <c r="D5450" s="17" t="s">
        <v>10507</v>
      </c>
      <c r="E5450" s="17"/>
      <c r="F5450" s="17" t="s">
        <v>10780</v>
      </c>
      <c r="G5450" s="17"/>
      <c r="H5450" s="17" t="s">
        <v>10781</v>
      </c>
      <c r="I5450" s="17"/>
      <c r="J5450" s="17" t="s">
        <v>10791</v>
      </c>
      <c r="K5450" s="17"/>
      <c r="L5450" s="17" t="s">
        <v>11236</v>
      </c>
      <c r="M5450" s="17"/>
      <c r="N5450" s="17" t="s">
        <v>11237</v>
      </c>
      <c r="O5450" s="17" t="s">
        <v>11238</v>
      </c>
      <c r="P5450" s="17" t="s">
        <v>11772</v>
      </c>
      <c r="Q5450" s="17"/>
      <c r="R5450" s="25" t="str">
        <f>HYPERLINK("https://ictv.global/taxonomy/taxondetails?taxnode_id=202304051","Epsilonpapillomavirus 1")</f>
        <v>Epsilonpapillomavirus 1</v>
      </c>
      <c r="S5450" s="18" t="s">
        <v>8141</v>
      </c>
      <c r="T5450" s="18" t="s">
        <v>11776</v>
      </c>
      <c r="U5450" s="18" t="s">
        <v>11777</v>
      </c>
      <c r="V5450" s="18" t="s">
        <v>11778</v>
      </c>
      <c r="W5450" s="18" t="s">
        <v>48914</v>
      </c>
      <c r="X5450" s="18" t="s">
        <v>42</v>
      </c>
      <c r="Y5450" s="18" t="s">
        <v>36</v>
      </c>
      <c r="Z5450" s="18" t="s">
        <v>166</v>
      </c>
      <c r="AA5450" s="21" t="str">
        <f>HYPERLINK("https://www.ncbi.nlm.nih.gov/nuccore/DQ098913","NCBI Nucleotide")</f>
        <v>NCBI Nucleotide</v>
      </c>
    </row>
    <row r="5451" spans="1:27" x14ac:dyDescent="0.35">
      <c r="A5451">
        <v>1007030</v>
      </c>
      <c r="B5451">
        <v>5265</v>
      </c>
      <c r="C5451">
        <v>1</v>
      </c>
      <c r="D5451" s="17" t="s">
        <v>10507</v>
      </c>
      <c r="E5451" s="17"/>
      <c r="F5451" s="17" t="s">
        <v>10780</v>
      </c>
      <c r="G5451" s="17"/>
      <c r="H5451" s="17" t="s">
        <v>10781</v>
      </c>
      <c r="I5451" s="17"/>
      <c r="J5451" s="17" t="s">
        <v>10791</v>
      </c>
      <c r="K5451" s="17"/>
      <c r="L5451" s="17" t="s">
        <v>11236</v>
      </c>
      <c r="M5451" s="17"/>
      <c r="N5451" s="17" t="s">
        <v>11237</v>
      </c>
      <c r="O5451" s="17" t="s">
        <v>11238</v>
      </c>
      <c r="P5451" s="17" t="s">
        <v>11772</v>
      </c>
      <c r="Q5451" s="17"/>
      <c r="R5451" s="25" t="str">
        <f>HYPERLINK("https://ictv.global/taxonomy/taxondetails?taxnode_id=202305869","Epsilonpapillomavirus 2")</f>
        <v>Epsilonpapillomavirus 2</v>
      </c>
      <c r="S5451" s="18" t="s">
        <v>30</v>
      </c>
      <c r="T5451" s="18" t="s">
        <v>11779</v>
      </c>
      <c r="U5451" s="18" t="s">
        <v>11780</v>
      </c>
      <c r="V5451" s="18" t="s">
        <v>11781</v>
      </c>
      <c r="W5451" s="18" t="s">
        <v>11782</v>
      </c>
      <c r="X5451" s="18" t="s">
        <v>42</v>
      </c>
      <c r="Y5451" s="18" t="s">
        <v>36</v>
      </c>
      <c r="Z5451" s="18" t="s">
        <v>166</v>
      </c>
      <c r="AA5451" s="21" t="str">
        <f>HYPERLINK("https://www.ncbi.nlm.nih.gov/nuccore/KU350625","NCBI Nucleotide")</f>
        <v>NCBI Nucleotide</v>
      </c>
    </row>
    <row r="5452" spans="1:27" x14ac:dyDescent="0.35">
      <c r="A5452">
        <v>1007031</v>
      </c>
      <c r="B5452">
        <v>5266</v>
      </c>
      <c r="C5452">
        <v>1</v>
      </c>
      <c r="D5452" s="17" t="s">
        <v>10507</v>
      </c>
      <c r="E5452" s="17"/>
      <c r="F5452" s="17" t="s">
        <v>10780</v>
      </c>
      <c r="G5452" s="17"/>
      <c r="H5452" s="17" t="s">
        <v>10781</v>
      </c>
      <c r="I5452" s="17"/>
      <c r="J5452" s="17" t="s">
        <v>10791</v>
      </c>
      <c r="K5452" s="17"/>
      <c r="L5452" s="17" t="s">
        <v>11236</v>
      </c>
      <c r="M5452" s="17"/>
      <c r="N5452" s="17" t="s">
        <v>11237</v>
      </c>
      <c r="O5452" s="17" t="s">
        <v>11238</v>
      </c>
      <c r="P5452" s="17" t="s">
        <v>11783</v>
      </c>
      <c r="Q5452" s="17"/>
      <c r="R5452" s="25" t="str">
        <f>HYPERLINK("https://ictv.global/taxonomy/taxondetails?taxnode_id=202304053","Etapapillomavirus 1")</f>
        <v>Etapapillomavirus 1</v>
      </c>
      <c r="S5452" s="18" t="s">
        <v>30</v>
      </c>
      <c r="T5452" s="18" t="s">
        <v>11784</v>
      </c>
      <c r="U5452" s="18" t="s">
        <v>11785</v>
      </c>
      <c r="V5452" s="18"/>
      <c r="W5452" s="18" t="s">
        <v>11786</v>
      </c>
      <c r="X5452" s="18" t="s">
        <v>42</v>
      </c>
      <c r="Y5452" s="18" t="s">
        <v>36</v>
      </c>
      <c r="Z5452" s="18" t="s">
        <v>166</v>
      </c>
      <c r="AA5452" s="21" t="str">
        <f>HYPERLINK("https://www.ncbi.nlm.nih.gov/nuccore/AY057109","NCBI Nucleotide")</f>
        <v>NCBI Nucleotide</v>
      </c>
    </row>
    <row r="5453" spans="1:27" x14ac:dyDescent="0.35">
      <c r="A5453">
        <v>1007032</v>
      </c>
      <c r="B5453">
        <v>5267</v>
      </c>
      <c r="C5453">
        <v>1</v>
      </c>
      <c r="D5453" s="17" t="s">
        <v>10507</v>
      </c>
      <c r="E5453" s="17"/>
      <c r="F5453" s="17" t="s">
        <v>10780</v>
      </c>
      <c r="G5453" s="17"/>
      <c r="H5453" s="17" t="s">
        <v>10781</v>
      </c>
      <c r="I5453" s="17"/>
      <c r="J5453" s="17" t="s">
        <v>10791</v>
      </c>
      <c r="K5453" s="17"/>
      <c r="L5453" s="17" t="s">
        <v>11236</v>
      </c>
      <c r="M5453" s="17"/>
      <c r="N5453" s="17" t="s">
        <v>11237</v>
      </c>
      <c r="O5453" s="17" t="s">
        <v>11238</v>
      </c>
      <c r="P5453" s="17" t="s">
        <v>11787</v>
      </c>
      <c r="Q5453" s="17"/>
      <c r="R5453" s="25" t="str">
        <f>HYPERLINK("https://ictv.global/taxonomy/taxondetails?taxnode_id=202304055","Gammapapillomavirus 1")</f>
        <v>Gammapapillomavirus 1</v>
      </c>
      <c r="S5453" s="18" t="s">
        <v>30</v>
      </c>
      <c r="T5453" s="18" t="s">
        <v>11788</v>
      </c>
      <c r="U5453" s="18" t="s">
        <v>11789</v>
      </c>
      <c r="V5453" s="18"/>
      <c r="W5453" s="18" t="s">
        <v>11790</v>
      </c>
      <c r="X5453" s="18" t="s">
        <v>42</v>
      </c>
      <c r="Y5453" s="18" t="s">
        <v>36</v>
      </c>
      <c r="Z5453" s="18" t="s">
        <v>166</v>
      </c>
      <c r="AA5453" s="21" t="str">
        <f>HYPERLINK("https://www.ncbi.nlm.nih.gov/nuccore/X70827","NCBI Nucleotide")</f>
        <v>NCBI Nucleotide</v>
      </c>
    </row>
    <row r="5454" spans="1:27" x14ac:dyDescent="0.35">
      <c r="A5454">
        <v>1012357</v>
      </c>
      <c r="B5454">
        <v>5267</v>
      </c>
      <c r="C5454">
        <v>2</v>
      </c>
      <c r="D5454" s="17" t="s">
        <v>10507</v>
      </c>
      <c r="E5454" s="17"/>
      <c r="F5454" s="17" t="s">
        <v>10780</v>
      </c>
      <c r="G5454" s="17"/>
      <c r="H5454" s="17" t="s">
        <v>10781</v>
      </c>
      <c r="I5454" s="17"/>
      <c r="J5454" s="17" t="s">
        <v>10791</v>
      </c>
      <c r="K5454" s="17"/>
      <c r="L5454" s="17" t="s">
        <v>11236</v>
      </c>
      <c r="M5454" s="17"/>
      <c r="N5454" s="17" t="s">
        <v>11237</v>
      </c>
      <c r="O5454" s="17" t="s">
        <v>11238</v>
      </c>
      <c r="P5454" s="17" t="s">
        <v>11787</v>
      </c>
      <c r="Q5454" s="17"/>
      <c r="R5454" s="25" t="str">
        <f>HYPERLINK("https://ictv.global/taxonomy/taxondetails?taxnode_id=202304055","Gammapapillomavirus 1")</f>
        <v>Gammapapillomavirus 1</v>
      </c>
      <c r="S5454" s="18" t="s">
        <v>8141</v>
      </c>
      <c r="T5454" s="18" t="s">
        <v>11798</v>
      </c>
      <c r="U5454" s="18" t="s">
        <v>11799</v>
      </c>
      <c r="V5454" s="18"/>
      <c r="W5454" s="18" t="s">
        <v>48915</v>
      </c>
      <c r="X5454" s="18" t="s">
        <v>42</v>
      </c>
      <c r="Y5454" s="18" t="s">
        <v>36</v>
      </c>
      <c r="Z5454" s="18" t="s">
        <v>166</v>
      </c>
      <c r="AA5454" s="21" t="str">
        <f>HYPERLINK("https://www.ncbi.nlm.nih.gov/nuccore/X70829","NCBI Nucleotide")</f>
        <v>NCBI Nucleotide</v>
      </c>
    </row>
    <row r="5455" spans="1:27" x14ac:dyDescent="0.35">
      <c r="A5455">
        <v>1012354</v>
      </c>
      <c r="B5455">
        <v>5267</v>
      </c>
      <c r="C5455">
        <v>3</v>
      </c>
      <c r="D5455" s="17" t="s">
        <v>10507</v>
      </c>
      <c r="E5455" s="17"/>
      <c r="F5455" s="17" t="s">
        <v>10780</v>
      </c>
      <c r="G5455" s="17"/>
      <c r="H5455" s="17" t="s">
        <v>10781</v>
      </c>
      <c r="I5455" s="17"/>
      <c r="J5455" s="17" t="s">
        <v>10791</v>
      </c>
      <c r="K5455" s="17"/>
      <c r="L5455" s="17" t="s">
        <v>11236</v>
      </c>
      <c r="M5455" s="17"/>
      <c r="N5455" s="17" t="s">
        <v>11237</v>
      </c>
      <c r="O5455" s="17" t="s">
        <v>11238</v>
      </c>
      <c r="P5455" s="17" t="s">
        <v>11787</v>
      </c>
      <c r="Q5455" s="17"/>
      <c r="R5455" s="25" t="str">
        <f>HYPERLINK("https://ictv.global/taxonomy/taxondetails?taxnode_id=202304055","Gammapapillomavirus 1")</f>
        <v>Gammapapillomavirus 1</v>
      </c>
      <c r="S5455" s="18" t="s">
        <v>8141</v>
      </c>
      <c r="T5455" s="18" t="s">
        <v>11791</v>
      </c>
      <c r="U5455" s="18" t="s">
        <v>11792</v>
      </c>
      <c r="V5455" s="18"/>
      <c r="W5455" s="18" t="s">
        <v>48916</v>
      </c>
      <c r="X5455" s="18" t="s">
        <v>42</v>
      </c>
      <c r="Y5455" s="18" t="s">
        <v>36</v>
      </c>
      <c r="Z5455" s="18" t="s">
        <v>166</v>
      </c>
      <c r="AA5455" s="21" t="str">
        <f>HYPERLINK("https://www.ncbi.nlm.nih.gov/nuccore/AJ620210","NCBI Nucleotide")</f>
        <v>NCBI Nucleotide</v>
      </c>
    </row>
    <row r="5456" spans="1:27" x14ac:dyDescent="0.35">
      <c r="A5456">
        <v>1012355</v>
      </c>
      <c r="B5456">
        <v>5267</v>
      </c>
      <c r="C5456">
        <v>4</v>
      </c>
      <c r="D5456" s="17" t="s">
        <v>10507</v>
      </c>
      <c r="E5456" s="17"/>
      <c r="F5456" s="17" t="s">
        <v>10780</v>
      </c>
      <c r="G5456" s="17"/>
      <c r="H5456" s="17" t="s">
        <v>10781</v>
      </c>
      <c r="I5456" s="17"/>
      <c r="J5456" s="17" t="s">
        <v>10791</v>
      </c>
      <c r="K5456" s="17"/>
      <c r="L5456" s="17" t="s">
        <v>11236</v>
      </c>
      <c r="M5456" s="17"/>
      <c r="N5456" s="17" t="s">
        <v>11237</v>
      </c>
      <c r="O5456" s="17" t="s">
        <v>11238</v>
      </c>
      <c r="P5456" s="17" t="s">
        <v>11787</v>
      </c>
      <c r="Q5456" s="17"/>
      <c r="R5456" s="25" t="str">
        <f>HYPERLINK("https://ictv.global/taxonomy/taxondetails?taxnode_id=202304055","Gammapapillomavirus 1")</f>
        <v>Gammapapillomavirus 1</v>
      </c>
      <c r="S5456" s="18" t="s">
        <v>8141</v>
      </c>
      <c r="T5456" s="18" t="s">
        <v>11793</v>
      </c>
      <c r="U5456" s="18" t="s">
        <v>11794</v>
      </c>
      <c r="V5456" s="18"/>
      <c r="W5456" s="18" t="s">
        <v>48917</v>
      </c>
      <c r="X5456" s="18" t="s">
        <v>42</v>
      </c>
      <c r="Y5456" s="18" t="s">
        <v>36</v>
      </c>
      <c r="Z5456" s="18" t="s">
        <v>166</v>
      </c>
      <c r="AA5456" s="21" t="str">
        <f>HYPERLINK("https://www.ncbi.nlm.nih.gov/nuccore/KF006400","NCBI Nucleotide")</f>
        <v>NCBI Nucleotide</v>
      </c>
    </row>
    <row r="5457" spans="1:27" x14ac:dyDescent="0.35">
      <c r="A5457">
        <v>1012356</v>
      </c>
      <c r="B5457">
        <v>5267</v>
      </c>
      <c r="C5457">
        <v>5</v>
      </c>
      <c r="D5457" s="17" t="s">
        <v>10507</v>
      </c>
      <c r="E5457" s="17"/>
      <c r="F5457" s="17" t="s">
        <v>10780</v>
      </c>
      <c r="G5457" s="17"/>
      <c r="H5457" s="17" t="s">
        <v>10781</v>
      </c>
      <c r="I5457" s="17"/>
      <c r="J5457" s="17" t="s">
        <v>10791</v>
      </c>
      <c r="K5457" s="17"/>
      <c r="L5457" s="17" t="s">
        <v>11236</v>
      </c>
      <c r="M5457" s="17"/>
      <c r="N5457" s="17" t="s">
        <v>11237</v>
      </c>
      <c r="O5457" s="17" t="s">
        <v>11238</v>
      </c>
      <c r="P5457" s="17" t="s">
        <v>11787</v>
      </c>
      <c r="Q5457" s="17"/>
      <c r="R5457" s="25" t="str">
        <f>HYPERLINK("https://ictv.global/taxonomy/taxondetails?taxnode_id=202304055","Gammapapillomavirus 1")</f>
        <v>Gammapapillomavirus 1</v>
      </c>
      <c r="S5457" s="18" t="s">
        <v>8141</v>
      </c>
      <c r="T5457" s="18" t="s">
        <v>11795</v>
      </c>
      <c r="U5457" s="18" t="s">
        <v>11796</v>
      </c>
      <c r="V5457" s="18" t="s">
        <v>11797</v>
      </c>
      <c r="W5457" s="18" t="s">
        <v>48918</v>
      </c>
      <c r="X5457" s="18" t="s">
        <v>42</v>
      </c>
      <c r="Y5457" s="18" t="s">
        <v>36</v>
      </c>
      <c r="Z5457" s="18" t="s">
        <v>166</v>
      </c>
      <c r="AA5457" s="21" t="str">
        <f>HYPERLINK("https://www.ncbi.nlm.nih.gov/nuccore/KT698167","NCBI Nucleotide")</f>
        <v>NCBI Nucleotide</v>
      </c>
    </row>
    <row r="5458" spans="1:27" x14ac:dyDescent="0.35">
      <c r="A5458">
        <v>1007043</v>
      </c>
      <c r="B5458">
        <v>5268</v>
      </c>
      <c r="C5458">
        <v>1</v>
      </c>
      <c r="D5458" s="17" t="s">
        <v>10507</v>
      </c>
      <c r="E5458" s="17"/>
      <c r="F5458" s="17" t="s">
        <v>10780</v>
      </c>
      <c r="G5458" s="17"/>
      <c r="H5458" s="17" t="s">
        <v>10781</v>
      </c>
      <c r="I5458" s="17"/>
      <c r="J5458" s="17" t="s">
        <v>10791</v>
      </c>
      <c r="K5458" s="17"/>
      <c r="L5458" s="17" t="s">
        <v>11236</v>
      </c>
      <c r="M5458" s="17"/>
      <c r="N5458" s="17" t="s">
        <v>11237</v>
      </c>
      <c r="O5458" s="17" t="s">
        <v>11238</v>
      </c>
      <c r="P5458" s="17" t="s">
        <v>11787</v>
      </c>
      <c r="Q5458" s="17"/>
      <c r="R5458" s="25" t="str">
        <f>HYPERLINK("https://ictv.global/taxonomy/taxondetails?taxnode_id=202304056","Gammapapillomavirus 2")</f>
        <v>Gammapapillomavirus 2</v>
      </c>
      <c r="S5458" s="18" t="s">
        <v>30</v>
      </c>
      <c r="T5458" s="18" t="s">
        <v>11901</v>
      </c>
      <c r="U5458" s="18" t="s">
        <v>11902</v>
      </c>
      <c r="V5458" s="18"/>
      <c r="W5458" s="18" t="s">
        <v>11903</v>
      </c>
      <c r="X5458" s="18" t="s">
        <v>42</v>
      </c>
      <c r="Y5458" s="18" t="s">
        <v>36</v>
      </c>
      <c r="Z5458" s="18" t="s">
        <v>166</v>
      </c>
      <c r="AA5458" s="21" t="str">
        <f>HYPERLINK("https://www.ncbi.nlm.nih.gov/nuccore/U31789","NCBI Nucleotide")</f>
        <v>NCBI Nucleotide</v>
      </c>
    </row>
    <row r="5459" spans="1:27" x14ac:dyDescent="0.35">
      <c r="A5459">
        <v>1012380</v>
      </c>
      <c r="B5459">
        <v>5268</v>
      </c>
      <c r="C5459">
        <v>2</v>
      </c>
      <c r="D5459" s="17" t="s">
        <v>10507</v>
      </c>
      <c r="E5459" s="17"/>
      <c r="F5459" s="17" t="s">
        <v>10780</v>
      </c>
      <c r="G5459" s="17"/>
      <c r="H5459" s="17" t="s">
        <v>10781</v>
      </c>
      <c r="I5459" s="17"/>
      <c r="J5459" s="17" t="s">
        <v>10791</v>
      </c>
      <c r="K5459" s="17"/>
      <c r="L5459" s="17" t="s">
        <v>11236</v>
      </c>
      <c r="M5459" s="17"/>
      <c r="N5459" s="17" t="s">
        <v>11237</v>
      </c>
      <c r="O5459" s="17" t="s">
        <v>11238</v>
      </c>
      <c r="P5459" s="17" t="s">
        <v>11787</v>
      </c>
      <c r="Q5459" s="17"/>
      <c r="R5459" s="25" t="str">
        <f>HYPERLINK("https://ictv.global/taxonomy/taxondetails?taxnode_id=202304056","Gammapapillomavirus 2")</f>
        <v>Gammapapillomavirus 2</v>
      </c>
      <c r="S5459" s="18" t="s">
        <v>8141</v>
      </c>
      <c r="T5459" s="18" t="s">
        <v>11904</v>
      </c>
      <c r="U5459" s="18" t="s">
        <v>11905</v>
      </c>
      <c r="V5459" s="18"/>
      <c r="W5459" s="18" t="s">
        <v>48919</v>
      </c>
      <c r="X5459" s="18" t="s">
        <v>42</v>
      </c>
      <c r="Y5459" s="18" t="s">
        <v>36</v>
      </c>
      <c r="Z5459" s="18" t="s">
        <v>166</v>
      </c>
      <c r="AA5459" s="21" t="str">
        <f>HYPERLINK("https://www.ncbi.nlm.nih.gov/nuccore/KP692114","NCBI Nucleotide")</f>
        <v>NCBI Nucleotide</v>
      </c>
    </row>
    <row r="5460" spans="1:27" x14ac:dyDescent="0.35">
      <c r="A5460">
        <v>1007052</v>
      </c>
      <c r="B5460">
        <v>5269</v>
      </c>
      <c r="C5460">
        <v>1</v>
      </c>
      <c r="D5460" s="17" t="s">
        <v>10507</v>
      </c>
      <c r="E5460" s="17"/>
      <c r="F5460" s="17" t="s">
        <v>10780</v>
      </c>
      <c r="G5460" s="17"/>
      <c r="H5460" s="17" t="s">
        <v>10781</v>
      </c>
      <c r="I5460" s="17"/>
      <c r="J5460" s="17" t="s">
        <v>10791</v>
      </c>
      <c r="K5460" s="17"/>
      <c r="L5460" s="17" t="s">
        <v>11236</v>
      </c>
      <c r="M5460" s="17"/>
      <c r="N5460" s="17" t="s">
        <v>11237</v>
      </c>
      <c r="O5460" s="17" t="s">
        <v>11238</v>
      </c>
      <c r="P5460" s="17" t="s">
        <v>11787</v>
      </c>
      <c r="Q5460" s="17"/>
      <c r="R5460" s="25" t="str">
        <f>HYPERLINK("https://ictv.global/taxonomy/taxondetails?taxnode_id=202304057","Gammapapillomavirus 3")</f>
        <v>Gammapapillomavirus 3</v>
      </c>
      <c r="S5460" s="18" t="s">
        <v>30</v>
      </c>
      <c r="T5460" s="18" t="s">
        <v>11938</v>
      </c>
      <c r="U5460" s="18" t="s">
        <v>11939</v>
      </c>
      <c r="V5460" s="18"/>
      <c r="W5460" s="18" t="s">
        <v>11940</v>
      </c>
      <c r="X5460" s="18" t="s">
        <v>42</v>
      </c>
      <c r="Y5460" s="18" t="s">
        <v>36</v>
      </c>
      <c r="Z5460" s="18" t="s">
        <v>166</v>
      </c>
      <c r="AA5460" s="21" t="str">
        <f>HYPERLINK("https://www.ncbi.nlm.nih.gov/nuccore/U31790","NCBI Nucleotide")</f>
        <v>NCBI Nucleotide</v>
      </c>
    </row>
    <row r="5461" spans="1:27" x14ac:dyDescent="0.35">
      <c r="A5461">
        <v>1007053</v>
      </c>
      <c r="B5461">
        <v>5270</v>
      </c>
      <c r="C5461">
        <v>1</v>
      </c>
      <c r="D5461" s="17" t="s">
        <v>10507</v>
      </c>
      <c r="E5461" s="17"/>
      <c r="F5461" s="17" t="s">
        <v>10780</v>
      </c>
      <c r="G5461" s="17"/>
      <c r="H5461" s="17" t="s">
        <v>10781</v>
      </c>
      <c r="I5461" s="17"/>
      <c r="J5461" s="17" t="s">
        <v>10791</v>
      </c>
      <c r="K5461" s="17"/>
      <c r="L5461" s="17" t="s">
        <v>11236</v>
      </c>
      <c r="M5461" s="17"/>
      <c r="N5461" s="17" t="s">
        <v>11237</v>
      </c>
      <c r="O5461" s="17" t="s">
        <v>11238</v>
      </c>
      <c r="P5461" s="17" t="s">
        <v>11787</v>
      </c>
      <c r="Q5461" s="17"/>
      <c r="R5461" s="25" t="str">
        <f>HYPERLINK("https://ictv.global/taxonomy/taxondetails?taxnode_id=202304058","Gammapapillomavirus 4")</f>
        <v>Gammapapillomavirus 4</v>
      </c>
      <c r="S5461" s="18" t="s">
        <v>30</v>
      </c>
      <c r="T5461" s="18" t="s">
        <v>11941</v>
      </c>
      <c r="U5461" s="18" t="s">
        <v>11942</v>
      </c>
      <c r="V5461" s="18"/>
      <c r="W5461" s="18" t="s">
        <v>11943</v>
      </c>
      <c r="X5461" s="18" t="s">
        <v>42</v>
      </c>
      <c r="Y5461" s="18" t="s">
        <v>36</v>
      </c>
      <c r="Z5461" s="18" t="s">
        <v>166</v>
      </c>
      <c r="AA5461" s="21" t="str">
        <f>HYPERLINK("https://www.ncbi.nlm.nih.gov/nuccore/U31792","NCBI Nucleotide")</f>
        <v>NCBI Nucleotide</v>
      </c>
    </row>
    <row r="5462" spans="1:27" x14ac:dyDescent="0.35">
      <c r="A5462">
        <v>1007054</v>
      </c>
      <c r="B5462">
        <v>5271</v>
      </c>
      <c r="C5462">
        <v>1</v>
      </c>
      <c r="D5462" s="17" t="s">
        <v>10507</v>
      </c>
      <c r="E5462" s="17"/>
      <c r="F5462" s="17" t="s">
        <v>10780</v>
      </c>
      <c r="G5462" s="17"/>
      <c r="H5462" s="17" t="s">
        <v>10781</v>
      </c>
      <c r="I5462" s="17"/>
      <c r="J5462" s="17" t="s">
        <v>10791</v>
      </c>
      <c r="K5462" s="17"/>
      <c r="L5462" s="17" t="s">
        <v>11236</v>
      </c>
      <c r="M5462" s="17"/>
      <c r="N5462" s="17" t="s">
        <v>11237</v>
      </c>
      <c r="O5462" s="17" t="s">
        <v>11238</v>
      </c>
      <c r="P5462" s="17" t="s">
        <v>11787</v>
      </c>
      <c r="Q5462" s="17"/>
      <c r="R5462" s="25" t="str">
        <f>HYPERLINK("https://ictv.global/taxonomy/taxondetails?taxnode_id=202304059","Gammapapillomavirus 5")</f>
        <v>Gammapapillomavirus 5</v>
      </c>
      <c r="S5462" s="18" t="s">
        <v>30</v>
      </c>
      <c r="T5462" s="18" t="s">
        <v>11944</v>
      </c>
      <c r="U5462" s="18" t="s">
        <v>11945</v>
      </c>
      <c r="V5462" s="18"/>
      <c r="W5462" s="18" t="s">
        <v>11946</v>
      </c>
      <c r="X5462" s="18" t="s">
        <v>42</v>
      </c>
      <c r="Y5462" s="18" t="s">
        <v>36</v>
      </c>
      <c r="Z5462" s="18" t="s">
        <v>166</v>
      </c>
      <c r="AA5462" s="21" t="str">
        <f>HYPERLINK("https://www.ncbi.nlm.nih.gov/nuccore/EF467176","NCBI Nucleotide")</f>
        <v>NCBI Nucleotide</v>
      </c>
    </row>
    <row r="5463" spans="1:27" x14ac:dyDescent="0.35">
      <c r="A5463">
        <v>1007055</v>
      </c>
      <c r="B5463">
        <v>5272</v>
      </c>
      <c r="C5463">
        <v>1</v>
      </c>
      <c r="D5463" s="17" t="s">
        <v>10507</v>
      </c>
      <c r="E5463" s="17"/>
      <c r="F5463" s="17" t="s">
        <v>10780</v>
      </c>
      <c r="G5463" s="17"/>
      <c r="H5463" s="17" t="s">
        <v>10781</v>
      </c>
      <c r="I5463" s="17"/>
      <c r="J5463" s="17" t="s">
        <v>10791</v>
      </c>
      <c r="K5463" s="17"/>
      <c r="L5463" s="17" t="s">
        <v>11236</v>
      </c>
      <c r="M5463" s="17"/>
      <c r="N5463" s="17" t="s">
        <v>11237</v>
      </c>
      <c r="O5463" s="17" t="s">
        <v>11238</v>
      </c>
      <c r="P5463" s="17" t="s">
        <v>11787</v>
      </c>
      <c r="Q5463" s="17"/>
      <c r="R5463" s="25" t="str">
        <f>HYPERLINK("https://ictv.global/taxonomy/taxondetails?taxnode_id=202304060","Gammapapillomavirus 6")</f>
        <v>Gammapapillomavirus 6</v>
      </c>
      <c r="S5463" s="18" t="s">
        <v>30</v>
      </c>
      <c r="T5463" s="18" t="s">
        <v>11947</v>
      </c>
      <c r="U5463" s="18" t="s">
        <v>11948</v>
      </c>
      <c r="V5463" s="18" t="s">
        <v>11949</v>
      </c>
      <c r="W5463" s="18" t="s">
        <v>11950</v>
      </c>
      <c r="X5463" s="18" t="s">
        <v>42</v>
      </c>
      <c r="Y5463" s="18" t="s">
        <v>36</v>
      </c>
      <c r="Z5463" s="18" t="s">
        <v>166</v>
      </c>
      <c r="AA5463" s="21" t="str">
        <f>HYPERLINK("https://www.ncbi.nlm.nih.gov/nuccore/DQ080081","NCBI Nucleotide")</f>
        <v>NCBI Nucleotide</v>
      </c>
    </row>
    <row r="5464" spans="1:27" x14ac:dyDescent="0.35">
      <c r="A5464">
        <v>1012382</v>
      </c>
      <c r="B5464">
        <v>5272</v>
      </c>
      <c r="C5464">
        <v>2</v>
      </c>
      <c r="D5464" s="17" t="s">
        <v>10507</v>
      </c>
      <c r="E5464" s="17"/>
      <c r="F5464" s="17" t="s">
        <v>10780</v>
      </c>
      <c r="G5464" s="17"/>
      <c r="H5464" s="17" t="s">
        <v>10781</v>
      </c>
      <c r="I5464" s="17"/>
      <c r="J5464" s="17" t="s">
        <v>10791</v>
      </c>
      <c r="K5464" s="17"/>
      <c r="L5464" s="17" t="s">
        <v>11236</v>
      </c>
      <c r="M5464" s="17"/>
      <c r="N5464" s="17" t="s">
        <v>11237</v>
      </c>
      <c r="O5464" s="17" t="s">
        <v>11238</v>
      </c>
      <c r="P5464" s="17" t="s">
        <v>11787</v>
      </c>
      <c r="Q5464" s="17"/>
      <c r="R5464" s="25" t="str">
        <f>HYPERLINK("https://ictv.global/taxonomy/taxondetails?taxnode_id=202304060","Gammapapillomavirus 6")</f>
        <v>Gammapapillomavirus 6</v>
      </c>
      <c r="S5464" s="18" t="s">
        <v>8141</v>
      </c>
      <c r="T5464" s="18" t="s">
        <v>11951</v>
      </c>
      <c r="U5464" s="18" t="s">
        <v>11952</v>
      </c>
      <c r="V5464" s="18" t="s">
        <v>11953</v>
      </c>
      <c r="W5464" s="18" t="s">
        <v>48920</v>
      </c>
      <c r="X5464" s="18" t="s">
        <v>42</v>
      </c>
      <c r="Y5464" s="18" t="s">
        <v>36</v>
      </c>
      <c r="Z5464" s="18" t="s">
        <v>166</v>
      </c>
      <c r="AA5464" s="21" t="str">
        <f>HYPERLINK("https://www.ncbi.nlm.nih.gov/nuccore/DQ080078","NCBI Nucleotide")</f>
        <v>NCBI Nucleotide</v>
      </c>
    </row>
    <row r="5465" spans="1:27" x14ac:dyDescent="0.35">
      <c r="A5465">
        <v>1012383</v>
      </c>
      <c r="B5465">
        <v>5272</v>
      </c>
      <c r="C5465">
        <v>3</v>
      </c>
      <c r="D5465" s="17" t="s">
        <v>10507</v>
      </c>
      <c r="E5465" s="17"/>
      <c r="F5465" s="17" t="s">
        <v>10780</v>
      </c>
      <c r="G5465" s="17"/>
      <c r="H5465" s="17" t="s">
        <v>10781</v>
      </c>
      <c r="I5465" s="17"/>
      <c r="J5465" s="17" t="s">
        <v>10791</v>
      </c>
      <c r="K5465" s="17"/>
      <c r="L5465" s="17" t="s">
        <v>11236</v>
      </c>
      <c r="M5465" s="17"/>
      <c r="N5465" s="17" t="s">
        <v>11237</v>
      </c>
      <c r="O5465" s="17" t="s">
        <v>11238</v>
      </c>
      <c r="P5465" s="17" t="s">
        <v>11787</v>
      </c>
      <c r="Q5465" s="17"/>
      <c r="R5465" s="25" t="str">
        <f>HYPERLINK("https://ictv.global/taxonomy/taxondetails?taxnode_id=202304060","Gammapapillomavirus 6")</f>
        <v>Gammapapillomavirus 6</v>
      </c>
      <c r="S5465" s="18" t="s">
        <v>8141</v>
      </c>
      <c r="T5465" s="18" t="s">
        <v>11954</v>
      </c>
      <c r="U5465" s="18" t="s">
        <v>11955</v>
      </c>
      <c r="V5465" s="18"/>
      <c r="W5465" s="18" t="s">
        <v>48921</v>
      </c>
      <c r="X5465" s="18" t="s">
        <v>42</v>
      </c>
      <c r="Y5465" s="18" t="s">
        <v>36</v>
      </c>
      <c r="Z5465" s="18" t="s">
        <v>166</v>
      </c>
      <c r="AA5465" s="21" t="str">
        <f>HYPERLINK("https://www.ncbi.nlm.nih.gov/nuccore/FM212639","NCBI Nucleotide")</f>
        <v>NCBI Nucleotide</v>
      </c>
    </row>
    <row r="5466" spans="1:27" x14ac:dyDescent="0.35">
      <c r="A5466">
        <v>1007056</v>
      </c>
      <c r="B5466">
        <v>5273</v>
      </c>
      <c r="C5466">
        <v>1</v>
      </c>
      <c r="D5466" s="17" t="s">
        <v>10507</v>
      </c>
      <c r="E5466" s="17"/>
      <c r="F5466" s="17" t="s">
        <v>10780</v>
      </c>
      <c r="G5466" s="17"/>
      <c r="H5466" s="17" t="s">
        <v>10781</v>
      </c>
      <c r="I5466" s="17"/>
      <c r="J5466" s="17" t="s">
        <v>10791</v>
      </c>
      <c r="K5466" s="17"/>
      <c r="L5466" s="17" t="s">
        <v>11236</v>
      </c>
      <c r="M5466" s="17"/>
      <c r="N5466" s="17" t="s">
        <v>11237</v>
      </c>
      <c r="O5466" s="17" t="s">
        <v>11238</v>
      </c>
      <c r="P5466" s="17" t="s">
        <v>11787</v>
      </c>
      <c r="Q5466" s="17"/>
      <c r="R5466" s="25" t="str">
        <f t="shared" ref="R5466:R5473" si="11">HYPERLINK("https://ictv.global/taxonomy/taxondetails?taxnode_id=202304061","Gammapapillomavirus 7")</f>
        <v>Gammapapillomavirus 7</v>
      </c>
      <c r="S5466" s="18" t="s">
        <v>30</v>
      </c>
      <c r="T5466" s="18" t="s">
        <v>11956</v>
      </c>
      <c r="U5466" s="18" t="s">
        <v>11957</v>
      </c>
      <c r="V5466" s="18"/>
      <c r="W5466" s="18" t="s">
        <v>11958</v>
      </c>
      <c r="X5466" s="18" t="s">
        <v>42</v>
      </c>
      <c r="Y5466" s="18" t="s">
        <v>36</v>
      </c>
      <c r="Z5466" s="18" t="s">
        <v>166</v>
      </c>
      <c r="AA5466" s="21" t="str">
        <f>HYPERLINK("https://www.ncbi.nlm.nih.gov/nuccore/EU541441","NCBI Nucleotide")</f>
        <v>NCBI Nucleotide</v>
      </c>
    </row>
    <row r="5467" spans="1:27" x14ac:dyDescent="0.35">
      <c r="A5467">
        <v>1012384</v>
      </c>
      <c r="B5467">
        <v>5273</v>
      </c>
      <c r="C5467">
        <v>2</v>
      </c>
      <c r="D5467" s="17" t="s">
        <v>10507</v>
      </c>
      <c r="E5467" s="17"/>
      <c r="F5467" s="17" t="s">
        <v>10780</v>
      </c>
      <c r="G5467" s="17"/>
      <c r="H5467" s="17" t="s">
        <v>10781</v>
      </c>
      <c r="I5467" s="17"/>
      <c r="J5467" s="17" t="s">
        <v>10791</v>
      </c>
      <c r="K5467" s="17"/>
      <c r="L5467" s="17" t="s">
        <v>11236</v>
      </c>
      <c r="M5467" s="17"/>
      <c r="N5467" s="17" t="s">
        <v>11237</v>
      </c>
      <c r="O5467" s="17" t="s">
        <v>11238</v>
      </c>
      <c r="P5467" s="17" t="s">
        <v>11787</v>
      </c>
      <c r="Q5467" s="17"/>
      <c r="R5467" s="25" t="str">
        <f t="shared" si="11"/>
        <v>Gammapapillomavirus 7</v>
      </c>
      <c r="S5467" s="18" t="s">
        <v>8141</v>
      </c>
      <c r="T5467" s="18" t="s">
        <v>11959</v>
      </c>
      <c r="U5467" s="18" t="s">
        <v>11960</v>
      </c>
      <c r="V5467" s="18" t="s">
        <v>11961</v>
      </c>
      <c r="W5467" s="18" t="s">
        <v>48922</v>
      </c>
      <c r="X5467" s="18" t="s">
        <v>42</v>
      </c>
      <c r="Y5467" s="18" t="s">
        <v>36</v>
      </c>
      <c r="Z5467" s="18" t="s">
        <v>166</v>
      </c>
      <c r="AA5467" s="21" t="str">
        <f>HYPERLINK("https://www.ncbi.nlm.nih.gov/nuccore/GQ845445","NCBI Nucleotide")</f>
        <v>NCBI Nucleotide</v>
      </c>
    </row>
    <row r="5468" spans="1:27" x14ac:dyDescent="0.35">
      <c r="A5468">
        <v>1012386</v>
      </c>
      <c r="B5468">
        <v>5273</v>
      </c>
      <c r="C5468">
        <v>3</v>
      </c>
      <c r="D5468" s="17" t="s">
        <v>10507</v>
      </c>
      <c r="E5468" s="17"/>
      <c r="F5468" s="17" t="s">
        <v>10780</v>
      </c>
      <c r="G5468" s="17"/>
      <c r="H5468" s="17" t="s">
        <v>10781</v>
      </c>
      <c r="I5468" s="17"/>
      <c r="J5468" s="17" t="s">
        <v>10791</v>
      </c>
      <c r="K5468" s="17"/>
      <c r="L5468" s="17" t="s">
        <v>11236</v>
      </c>
      <c r="M5468" s="17"/>
      <c r="N5468" s="17" t="s">
        <v>11237</v>
      </c>
      <c r="O5468" s="17" t="s">
        <v>11238</v>
      </c>
      <c r="P5468" s="17" t="s">
        <v>11787</v>
      </c>
      <c r="Q5468" s="17"/>
      <c r="R5468" s="25" t="str">
        <f t="shared" si="11"/>
        <v>Gammapapillomavirus 7</v>
      </c>
      <c r="S5468" s="18" t="s">
        <v>8141</v>
      </c>
      <c r="T5468" s="18" t="s">
        <v>11964</v>
      </c>
      <c r="U5468" s="18" t="s">
        <v>11965</v>
      </c>
      <c r="V5468" s="18" t="s">
        <v>11966</v>
      </c>
      <c r="W5468" s="18" t="s">
        <v>48923</v>
      </c>
      <c r="X5468" s="18" t="s">
        <v>42</v>
      </c>
      <c r="Y5468" s="18" t="s">
        <v>36</v>
      </c>
      <c r="Z5468" s="18" t="s">
        <v>166</v>
      </c>
      <c r="AA5468" s="21" t="str">
        <f>HYPERLINK("https://www.ncbi.nlm.nih.gov/nuccore/GU117634","NCBI Nucleotide")</f>
        <v>NCBI Nucleotide</v>
      </c>
    </row>
    <row r="5469" spans="1:27" x14ac:dyDescent="0.35">
      <c r="A5469">
        <v>1012387</v>
      </c>
      <c r="B5469">
        <v>5273</v>
      </c>
      <c r="C5469">
        <v>4</v>
      </c>
      <c r="D5469" s="17" t="s">
        <v>10507</v>
      </c>
      <c r="E5469" s="17"/>
      <c r="F5469" s="17" t="s">
        <v>10780</v>
      </c>
      <c r="G5469" s="17"/>
      <c r="H5469" s="17" t="s">
        <v>10781</v>
      </c>
      <c r="I5469" s="17"/>
      <c r="J5469" s="17" t="s">
        <v>10791</v>
      </c>
      <c r="K5469" s="17"/>
      <c r="L5469" s="17" t="s">
        <v>11236</v>
      </c>
      <c r="M5469" s="17"/>
      <c r="N5469" s="17" t="s">
        <v>11237</v>
      </c>
      <c r="O5469" s="17" t="s">
        <v>11238</v>
      </c>
      <c r="P5469" s="17" t="s">
        <v>11787</v>
      </c>
      <c r="Q5469" s="17"/>
      <c r="R5469" s="25" t="str">
        <f t="shared" si="11"/>
        <v>Gammapapillomavirus 7</v>
      </c>
      <c r="S5469" s="18" t="s">
        <v>8141</v>
      </c>
      <c r="T5469" s="18" t="s">
        <v>11967</v>
      </c>
      <c r="U5469" s="18" t="s">
        <v>11968</v>
      </c>
      <c r="V5469" s="18" t="s">
        <v>11969</v>
      </c>
      <c r="W5469" s="18" t="s">
        <v>48924</v>
      </c>
      <c r="X5469" s="18" t="s">
        <v>42</v>
      </c>
      <c r="Y5469" s="18" t="s">
        <v>36</v>
      </c>
      <c r="Z5469" s="18" t="s">
        <v>166</v>
      </c>
      <c r="AA5469" s="21" t="str">
        <f>HYPERLINK("https://www.ncbi.nlm.nih.gov/nuccore/HM999990","NCBI Nucleotide")</f>
        <v>NCBI Nucleotide</v>
      </c>
    </row>
    <row r="5470" spans="1:27" x14ac:dyDescent="0.35">
      <c r="A5470">
        <v>1012388</v>
      </c>
      <c r="B5470">
        <v>5273</v>
      </c>
      <c r="C5470">
        <v>5</v>
      </c>
      <c r="D5470" s="17" t="s">
        <v>10507</v>
      </c>
      <c r="E5470" s="17"/>
      <c r="F5470" s="17" t="s">
        <v>10780</v>
      </c>
      <c r="G5470" s="17"/>
      <c r="H5470" s="17" t="s">
        <v>10781</v>
      </c>
      <c r="I5470" s="17"/>
      <c r="J5470" s="17" t="s">
        <v>10791</v>
      </c>
      <c r="K5470" s="17"/>
      <c r="L5470" s="17" t="s">
        <v>11236</v>
      </c>
      <c r="M5470" s="17"/>
      <c r="N5470" s="17" t="s">
        <v>11237</v>
      </c>
      <c r="O5470" s="17" t="s">
        <v>11238</v>
      </c>
      <c r="P5470" s="17" t="s">
        <v>11787</v>
      </c>
      <c r="Q5470" s="17"/>
      <c r="R5470" s="25" t="str">
        <f t="shared" si="11"/>
        <v>Gammapapillomavirus 7</v>
      </c>
      <c r="S5470" s="18" t="s">
        <v>8141</v>
      </c>
      <c r="T5470" s="18" t="s">
        <v>11970</v>
      </c>
      <c r="U5470" s="18" t="s">
        <v>11971</v>
      </c>
      <c r="V5470" s="18" t="s">
        <v>11972</v>
      </c>
      <c r="W5470" s="18" t="s">
        <v>48925</v>
      </c>
      <c r="X5470" s="18" t="s">
        <v>42</v>
      </c>
      <c r="Y5470" s="18" t="s">
        <v>36</v>
      </c>
      <c r="Z5470" s="18" t="s">
        <v>166</v>
      </c>
      <c r="AA5470" s="21" t="str">
        <f>HYPERLINK("https://www.ncbi.nlm.nih.gov/nuccore/HM999991","NCBI Nucleotide")</f>
        <v>NCBI Nucleotide</v>
      </c>
    </row>
    <row r="5471" spans="1:27" x14ac:dyDescent="0.35">
      <c r="A5471">
        <v>1012385</v>
      </c>
      <c r="B5471">
        <v>5273</v>
      </c>
      <c r="C5471">
        <v>6</v>
      </c>
      <c r="D5471" s="17" t="s">
        <v>10507</v>
      </c>
      <c r="E5471" s="17"/>
      <c r="F5471" s="17" t="s">
        <v>10780</v>
      </c>
      <c r="G5471" s="17"/>
      <c r="H5471" s="17" t="s">
        <v>10781</v>
      </c>
      <c r="I5471" s="17"/>
      <c r="J5471" s="17" t="s">
        <v>10791</v>
      </c>
      <c r="K5471" s="17"/>
      <c r="L5471" s="17" t="s">
        <v>11236</v>
      </c>
      <c r="M5471" s="17"/>
      <c r="N5471" s="17" t="s">
        <v>11237</v>
      </c>
      <c r="O5471" s="17" t="s">
        <v>11238</v>
      </c>
      <c r="P5471" s="17" t="s">
        <v>11787</v>
      </c>
      <c r="Q5471" s="17"/>
      <c r="R5471" s="25" t="str">
        <f t="shared" si="11"/>
        <v>Gammapapillomavirus 7</v>
      </c>
      <c r="S5471" s="18" t="s">
        <v>8141</v>
      </c>
      <c r="T5471" s="18" t="s">
        <v>11962</v>
      </c>
      <c r="U5471" s="18" t="s">
        <v>11963</v>
      </c>
      <c r="V5471" s="18">
        <v>43374</v>
      </c>
      <c r="W5471" s="18" t="s">
        <v>48926</v>
      </c>
      <c r="X5471" s="18" t="s">
        <v>42</v>
      </c>
      <c r="Y5471" s="18" t="s">
        <v>36</v>
      </c>
      <c r="Z5471" s="18" t="s">
        <v>166</v>
      </c>
      <c r="AA5471" s="21" t="str">
        <f>HYPERLINK("https://www.ncbi.nlm.nih.gov/nuccore/GU117629","NCBI Nucleotide")</f>
        <v>NCBI Nucleotide</v>
      </c>
    </row>
    <row r="5472" spans="1:27" x14ac:dyDescent="0.35">
      <c r="A5472">
        <v>1012389</v>
      </c>
      <c r="B5472">
        <v>5273</v>
      </c>
      <c r="C5472">
        <v>7</v>
      </c>
      <c r="D5472" s="17" t="s">
        <v>10507</v>
      </c>
      <c r="E5472" s="17"/>
      <c r="F5472" s="17" t="s">
        <v>10780</v>
      </c>
      <c r="G5472" s="17"/>
      <c r="H5472" s="17" t="s">
        <v>10781</v>
      </c>
      <c r="I5472" s="17"/>
      <c r="J5472" s="17" t="s">
        <v>10791</v>
      </c>
      <c r="K5472" s="17"/>
      <c r="L5472" s="17" t="s">
        <v>11236</v>
      </c>
      <c r="M5472" s="17"/>
      <c r="N5472" s="17" t="s">
        <v>11237</v>
      </c>
      <c r="O5472" s="17" t="s">
        <v>11238</v>
      </c>
      <c r="P5472" s="17" t="s">
        <v>11787</v>
      </c>
      <c r="Q5472" s="17"/>
      <c r="R5472" s="25" t="str">
        <f t="shared" si="11"/>
        <v>Gammapapillomavirus 7</v>
      </c>
      <c r="S5472" s="18" t="s">
        <v>8141</v>
      </c>
      <c r="T5472" s="18" t="s">
        <v>11973</v>
      </c>
      <c r="U5472" s="18" t="s">
        <v>11974</v>
      </c>
      <c r="V5472" s="18" t="s">
        <v>11975</v>
      </c>
      <c r="W5472" s="18" t="s">
        <v>48927</v>
      </c>
      <c r="X5472" s="18" t="s">
        <v>42</v>
      </c>
      <c r="Y5472" s="18" t="s">
        <v>36</v>
      </c>
      <c r="Z5472" s="18" t="s">
        <v>166</v>
      </c>
      <c r="AA5472" s="21" t="str">
        <f>HYPERLINK("https://www.ncbi.nlm.nih.gov/nuccore/JF906559","NCBI Nucleotide")</f>
        <v>NCBI Nucleotide</v>
      </c>
    </row>
    <row r="5473" spans="1:27" x14ac:dyDescent="0.35">
      <c r="A5473">
        <v>1012390</v>
      </c>
      <c r="B5473">
        <v>5273</v>
      </c>
      <c r="C5473">
        <v>8</v>
      </c>
      <c r="D5473" s="17" t="s">
        <v>10507</v>
      </c>
      <c r="E5473" s="17"/>
      <c r="F5473" s="17" t="s">
        <v>10780</v>
      </c>
      <c r="G5473" s="17"/>
      <c r="H5473" s="17" t="s">
        <v>10781</v>
      </c>
      <c r="I5473" s="17"/>
      <c r="J5473" s="17" t="s">
        <v>10791</v>
      </c>
      <c r="K5473" s="17"/>
      <c r="L5473" s="17" t="s">
        <v>11236</v>
      </c>
      <c r="M5473" s="17"/>
      <c r="N5473" s="17" t="s">
        <v>11237</v>
      </c>
      <c r="O5473" s="17" t="s">
        <v>11238</v>
      </c>
      <c r="P5473" s="17" t="s">
        <v>11787</v>
      </c>
      <c r="Q5473" s="17"/>
      <c r="R5473" s="25" t="str">
        <f t="shared" si="11"/>
        <v>Gammapapillomavirus 7</v>
      </c>
      <c r="S5473" s="18" t="s">
        <v>8141</v>
      </c>
      <c r="T5473" s="18" t="s">
        <v>11976</v>
      </c>
      <c r="U5473" s="18" t="s">
        <v>11977</v>
      </c>
      <c r="V5473" s="18" t="s">
        <v>11978</v>
      </c>
      <c r="W5473" s="18" t="s">
        <v>48928</v>
      </c>
      <c r="X5473" s="18" t="s">
        <v>42</v>
      </c>
      <c r="Y5473" s="18" t="s">
        <v>36</v>
      </c>
      <c r="Z5473" s="18" t="s">
        <v>166</v>
      </c>
      <c r="AA5473" s="21" t="str">
        <f>HYPERLINK("https://www.ncbi.nlm.nih.gov/nuccore/JX413110","NCBI Nucleotide")</f>
        <v>NCBI Nucleotide</v>
      </c>
    </row>
    <row r="5474" spans="1:27" x14ac:dyDescent="0.35">
      <c r="A5474">
        <v>1007057</v>
      </c>
      <c r="B5474">
        <v>5274</v>
      </c>
      <c r="C5474">
        <v>1</v>
      </c>
      <c r="D5474" s="17" t="s">
        <v>10507</v>
      </c>
      <c r="E5474" s="17"/>
      <c r="F5474" s="17" t="s">
        <v>10780</v>
      </c>
      <c r="G5474" s="17"/>
      <c r="H5474" s="17" t="s">
        <v>10781</v>
      </c>
      <c r="I5474" s="17"/>
      <c r="J5474" s="17" t="s">
        <v>10791</v>
      </c>
      <c r="K5474" s="17"/>
      <c r="L5474" s="17" t="s">
        <v>11236</v>
      </c>
      <c r="M5474" s="17"/>
      <c r="N5474" s="17" t="s">
        <v>11237</v>
      </c>
      <c r="O5474" s="17" t="s">
        <v>11238</v>
      </c>
      <c r="P5474" s="17" t="s">
        <v>11787</v>
      </c>
      <c r="Q5474" s="17"/>
      <c r="R5474" s="25" t="str">
        <f>HYPERLINK("https://ictv.global/taxonomy/taxondetails?taxnode_id=202304062","Gammapapillomavirus 8")</f>
        <v>Gammapapillomavirus 8</v>
      </c>
      <c r="S5474" s="18" t="s">
        <v>30</v>
      </c>
      <c r="T5474" s="18" t="s">
        <v>11979</v>
      </c>
      <c r="U5474" s="18" t="s">
        <v>11980</v>
      </c>
      <c r="V5474" s="18"/>
      <c r="W5474" s="18" t="s">
        <v>11981</v>
      </c>
      <c r="X5474" s="18" t="s">
        <v>42</v>
      </c>
      <c r="Y5474" s="18" t="s">
        <v>36</v>
      </c>
      <c r="Z5474" s="18" t="s">
        <v>166</v>
      </c>
      <c r="AA5474" s="21" t="str">
        <f>HYPERLINK("https://www.ncbi.nlm.nih.gov/nuccore/EU541442","NCBI Nucleotide")</f>
        <v>NCBI Nucleotide</v>
      </c>
    </row>
    <row r="5475" spans="1:27" x14ac:dyDescent="0.35">
      <c r="A5475">
        <v>1012391</v>
      </c>
      <c r="B5475">
        <v>5274</v>
      </c>
      <c r="C5475">
        <v>2</v>
      </c>
      <c r="D5475" s="17" t="s">
        <v>10507</v>
      </c>
      <c r="E5475" s="17"/>
      <c r="F5475" s="17" t="s">
        <v>10780</v>
      </c>
      <c r="G5475" s="17"/>
      <c r="H5475" s="17" t="s">
        <v>10781</v>
      </c>
      <c r="I5475" s="17"/>
      <c r="J5475" s="17" t="s">
        <v>10791</v>
      </c>
      <c r="K5475" s="17"/>
      <c r="L5475" s="17" t="s">
        <v>11236</v>
      </c>
      <c r="M5475" s="17"/>
      <c r="N5475" s="17" t="s">
        <v>11237</v>
      </c>
      <c r="O5475" s="17" t="s">
        <v>11238</v>
      </c>
      <c r="P5475" s="17" t="s">
        <v>11787</v>
      </c>
      <c r="Q5475" s="17"/>
      <c r="R5475" s="25" t="str">
        <f>HYPERLINK("https://ictv.global/taxonomy/taxondetails?taxnode_id=202304062","Gammapapillomavirus 8")</f>
        <v>Gammapapillomavirus 8</v>
      </c>
      <c r="S5475" s="18" t="s">
        <v>8141</v>
      </c>
      <c r="T5475" s="18" t="s">
        <v>11982</v>
      </c>
      <c r="U5475" s="18" t="s">
        <v>11983</v>
      </c>
      <c r="V5475" s="18" t="s">
        <v>11984</v>
      </c>
      <c r="W5475" s="18" t="s">
        <v>48929</v>
      </c>
      <c r="X5475" s="18" t="s">
        <v>42</v>
      </c>
      <c r="Y5475" s="18" t="s">
        <v>36</v>
      </c>
      <c r="Z5475" s="18" t="s">
        <v>166</v>
      </c>
      <c r="AA5475" s="21" t="str">
        <f>HYPERLINK("https://www.ncbi.nlm.nih.gov/nuccore/GQ845441","NCBI Nucleotide")</f>
        <v>NCBI Nucleotide</v>
      </c>
    </row>
    <row r="5476" spans="1:27" x14ac:dyDescent="0.35">
      <c r="A5476">
        <v>1012392</v>
      </c>
      <c r="B5476">
        <v>5274</v>
      </c>
      <c r="C5476">
        <v>3</v>
      </c>
      <c r="D5476" s="17" t="s">
        <v>10507</v>
      </c>
      <c r="E5476" s="17"/>
      <c r="F5476" s="17" t="s">
        <v>10780</v>
      </c>
      <c r="G5476" s="17"/>
      <c r="H5476" s="17" t="s">
        <v>10781</v>
      </c>
      <c r="I5476" s="17"/>
      <c r="J5476" s="17" t="s">
        <v>10791</v>
      </c>
      <c r="K5476" s="17"/>
      <c r="L5476" s="17" t="s">
        <v>11236</v>
      </c>
      <c r="M5476" s="17"/>
      <c r="N5476" s="17" t="s">
        <v>11237</v>
      </c>
      <c r="O5476" s="17" t="s">
        <v>11238</v>
      </c>
      <c r="P5476" s="17" t="s">
        <v>11787</v>
      </c>
      <c r="Q5476" s="17"/>
      <c r="R5476" s="25" t="str">
        <f>HYPERLINK("https://ictv.global/taxonomy/taxondetails?taxnode_id=202304062","Gammapapillomavirus 8")</f>
        <v>Gammapapillomavirus 8</v>
      </c>
      <c r="S5476" s="18" t="s">
        <v>8141</v>
      </c>
      <c r="T5476" s="18" t="s">
        <v>11985</v>
      </c>
      <c r="U5476" s="18" t="s">
        <v>11986</v>
      </c>
      <c r="V5476" s="18" t="s">
        <v>11987</v>
      </c>
      <c r="W5476" s="18" t="s">
        <v>48930</v>
      </c>
      <c r="X5476" s="18" t="s">
        <v>42</v>
      </c>
      <c r="Y5476" s="18" t="s">
        <v>36</v>
      </c>
      <c r="Z5476" s="18" t="s">
        <v>166</v>
      </c>
      <c r="AA5476" s="21" t="str">
        <f>HYPERLINK("https://www.ncbi.nlm.nih.gov/nuccore/HM999999","NCBI Nucleotide")</f>
        <v>NCBI Nucleotide</v>
      </c>
    </row>
    <row r="5477" spans="1:27" x14ac:dyDescent="0.35">
      <c r="A5477">
        <v>1012393</v>
      </c>
      <c r="B5477">
        <v>5274</v>
      </c>
      <c r="C5477">
        <v>4</v>
      </c>
      <c r="D5477" s="17" t="s">
        <v>10507</v>
      </c>
      <c r="E5477" s="17"/>
      <c r="F5477" s="17" t="s">
        <v>10780</v>
      </c>
      <c r="G5477" s="17"/>
      <c r="H5477" s="17" t="s">
        <v>10781</v>
      </c>
      <c r="I5477" s="17"/>
      <c r="J5477" s="17" t="s">
        <v>10791</v>
      </c>
      <c r="K5477" s="17"/>
      <c r="L5477" s="17" t="s">
        <v>11236</v>
      </c>
      <c r="M5477" s="17"/>
      <c r="N5477" s="17" t="s">
        <v>11237</v>
      </c>
      <c r="O5477" s="17" t="s">
        <v>11238</v>
      </c>
      <c r="P5477" s="17" t="s">
        <v>11787</v>
      </c>
      <c r="Q5477" s="17"/>
      <c r="R5477" s="25" t="str">
        <f>HYPERLINK("https://ictv.global/taxonomy/taxondetails?taxnode_id=202304062","Gammapapillomavirus 8")</f>
        <v>Gammapapillomavirus 8</v>
      </c>
      <c r="S5477" s="18" t="s">
        <v>8141</v>
      </c>
      <c r="T5477" s="18" t="s">
        <v>11988</v>
      </c>
      <c r="U5477" s="18" t="s">
        <v>11989</v>
      </c>
      <c r="V5477" s="18" t="s">
        <v>11990</v>
      </c>
      <c r="W5477" s="18" t="s">
        <v>48931</v>
      </c>
      <c r="X5477" s="18" t="s">
        <v>42</v>
      </c>
      <c r="Y5477" s="18" t="s">
        <v>36</v>
      </c>
      <c r="Z5477" s="18" t="s">
        <v>166</v>
      </c>
      <c r="AA5477" s="21" t="str">
        <f>HYPERLINK("https://www.ncbi.nlm.nih.gov/nuccore/JX413106","NCBI Nucleotide")</f>
        <v>NCBI Nucleotide</v>
      </c>
    </row>
    <row r="5478" spans="1:27" x14ac:dyDescent="0.35">
      <c r="A5478">
        <v>1012394</v>
      </c>
      <c r="B5478">
        <v>5274</v>
      </c>
      <c r="C5478">
        <v>5</v>
      </c>
      <c r="D5478" s="17" t="s">
        <v>10507</v>
      </c>
      <c r="E5478" s="17"/>
      <c r="F5478" s="17" t="s">
        <v>10780</v>
      </c>
      <c r="G5478" s="17"/>
      <c r="H5478" s="17" t="s">
        <v>10781</v>
      </c>
      <c r="I5478" s="17"/>
      <c r="J5478" s="17" t="s">
        <v>10791</v>
      </c>
      <c r="K5478" s="17"/>
      <c r="L5478" s="17" t="s">
        <v>11236</v>
      </c>
      <c r="M5478" s="17"/>
      <c r="N5478" s="17" t="s">
        <v>11237</v>
      </c>
      <c r="O5478" s="17" t="s">
        <v>11238</v>
      </c>
      <c r="P5478" s="17" t="s">
        <v>11787</v>
      </c>
      <c r="Q5478" s="17"/>
      <c r="R5478" s="25" t="str">
        <f>HYPERLINK("https://ictv.global/taxonomy/taxondetails?taxnode_id=202304062","Gammapapillomavirus 8")</f>
        <v>Gammapapillomavirus 8</v>
      </c>
      <c r="S5478" s="18" t="s">
        <v>8141</v>
      </c>
      <c r="T5478" s="18" t="s">
        <v>11991</v>
      </c>
      <c r="U5478" s="18" t="s">
        <v>11992</v>
      </c>
      <c r="V5478" s="18" t="s">
        <v>11993</v>
      </c>
      <c r="W5478" s="18" t="s">
        <v>48932</v>
      </c>
      <c r="X5478" s="18" t="s">
        <v>42</v>
      </c>
      <c r="Y5478" s="18" t="s">
        <v>36</v>
      </c>
      <c r="Z5478" s="18" t="s">
        <v>166</v>
      </c>
      <c r="AA5478" s="21" t="str">
        <f>HYPERLINK("https://www.ncbi.nlm.nih.gov/nuccore/KC862317","NCBI Nucleotide")</f>
        <v>NCBI Nucleotide</v>
      </c>
    </row>
    <row r="5479" spans="1:27" x14ac:dyDescent="0.35">
      <c r="A5479">
        <v>1007058</v>
      </c>
      <c r="B5479">
        <v>5275</v>
      </c>
      <c r="C5479">
        <v>1</v>
      </c>
      <c r="D5479" s="17" t="s">
        <v>10507</v>
      </c>
      <c r="E5479" s="17"/>
      <c r="F5479" s="17" t="s">
        <v>10780</v>
      </c>
      <c r="G5479" s="17"/>
      <c r="H5479" s="17" t="s">
        <v>10781</v>
      </c>
      <c r="I5479" s="17"/>
      <c r="J5479" s="17" t="s">
        <v>10791</v>
      </c>
      <c r="K5479" s="17"/>
      <c r="L5479" s="17" t="s">
        <v>11236</v>
      </c>
      <c r="M5479" s="17"/>
      <c r="N5479" s="17" t="s">
        <v>11237</v>
      </c>
      <c r="O5479" s="17" t="s">
        <v>11238</v>
      </c>
      <c r="P5479" s="17" t="s">
        <v>11787</v>
      </c>
      <c r="Q5479" s="17"/>
      <c r="R5479" s="25" t="str">
        <f>HYPERLINK("https://ictv.global/taxonomy/taxondetails?taxnode_id=202304063","Gammapapillomavirus 9")</f>
        <v>Gammapapillomavirus 9</v>
      </c>
      <c r="S5479" s="18" t="s">
        <v>30</v>
      </c>
      <c r="T5479" s="18" t="s">
        <v>11994</v>
      </c>
      <c r="U5479" s="18" t="s">
        <v>11995</v>
      </c>
      <c r="V5479" s="18"/>
      <c r="W5479" s="18" t="s">
        <v>11996</v>
      </c>
      <c r="X5479" s="18" t="s">
        <v>42</v>
      </c>
      <c r="Y5479" s="18" t="s">
        <v>36</v>
      </c>
      <c r="Z5479" s="18" t="s">
        <v>166</v>
      </c>
      <c r="AA5479" s="21" t="str">
        <f>HYPERLINK("https://www.ncbi.nlm.nih.gov/nuccore/FJ804072","NCBI Nucleotide")</f>
        <v>NCBI Nucleotide</v>
      </c>
    </row>
    <row r="5480" spans="1:27" x14ac:dyDescent="0.35">
      <c r="A5480">
        <v>1012395</v>
      </c>
      <c r="B5480">
        <v>5275</v>
      </c>
      <c r="C5480">
        <v>2</v>
      </c>
      <c r="D5480" s="17" t="s">
        <v>10507</v>
      </c>
      <c r="E5480" s="17"/>
      <c r="F5480" s="17" t="s">
        <v>10780</v>
      </c>
      <c r="G5480" s="17"/>
      <c r="H5480" s="17" t="s">
        <v>10781</v>
      </c>
      <c r="I5480" s="17"/>
      <c r="J5480" s="17" t="s">
        <v>10791</v>
      </c>
      <c r="K5480" s="17"/>
      <c r="L5480" s="17" t="s">
        <v>11236</v>
      </c>
      <c r="M5480" s="17"/>
      <c r="N5480" s="17" t="s">
        <v>11237</v>
      </c>
      <c r="O5480" s="17" t="s">
        <v>11238</v>
      </c>
      <c r="P5480" s="17" t="s">
        <v>11787</v>
      </c>
      <c r="Q5480" s="17"/>
      <c r="R5480" s="25" t="str">
        <f>HYPERLINK("https://ictv.global/taxonomy/taxondetails?taxnode_id=202304063","Gammapapillomavirus 9")</f>
        <v>Gammapapillomavirus 9</v>
      </c>
      <c r="S5480" s="18" t="s">
        <v>8141</v>
      </c>
      <c r="T5480" s="18" t="s">
        <v>11997</v>
      </c>
      <c r="U5480" s="18" t="s">
        <v>11998</v>
      </c>
      <c r="V5480" s="18"/>
      <c r="W5480" s="18" t="s">
        <v>48933</v>
      </c>
      <c r="X5480" s="18" t="s">
        <v>42</v>
      </c>
      <c r="Y5480" s="18" t="s">
        <v>36</v>
      </c>
      <c r="Z5480" s="18" t="s">
        <v>166</v>
      </c>
      <c r="AA5480" s="21" t="str">
        <f>HYPERLINK("https://www.ncbi.nlm.nih.gov/nuccore/GU233853","NCBI Nucleotide")</f>
        <v>NCBI Nucleotide</v>
      </c>
    </row>
    <row r="5481" spans="1:27" x14ac:dyDescent="0.35">
      <c r="A5481">
        <v>1007033</v>
      </c>
      <c r="B5481">
        <v>5276</v>
      </c>
      <c r="C5481">
        <v>1</v>
      </c>
      <c r="D5481" s="17" t="s">
        <v>10507</v>
      </c>
      <c r="E5481" s="17"/>
      <c r="F5481" s="17" t="s">
        <v>10780</v>
      </c>
      <c r="G5481" s="17"/>
      <c r="H5481" s="17" t="s">
        <v>10781</v>
      </c>
      <c r="I5481" s="17"/>
      <c r="J5481" s="17" t="s">
        <v>10791</v>
      </c>
      <c r="K5481" s="17"/>
      <c r="L5481" s="17" t="s">
        <v>11236</v>
      </c>
      <c r="M5481" s="17"/>
      <c r="N5481" s="17" t="s">
        <v>11237</v>
      </c>
      <c r="O5481" s="17" t="s">
        <v>11238</v>
      </c>
      <c r="P5481" s="17" t="s">
        <v>11787</v>
      </c>
      <c r="Q5481" s="17"/>
      <c r="R5481" s="25" t="str">
        <f>HYPERLINK("https://ictv.global/taxonomy/taxondetails?taxnode_id=202304064","Gammapapillomavirus 10")</f>
        <v>Gammapapillomavirus 10</v>
      </c>
      <c r="S5481" s="18" t="s">
        <v>30</v>
      </c>
      <c r="T5481" s="18" t="s">
        <v>11800</v>
      </c>
      <c r="U5481" s="18" t="s">
        <v>11801</v>
      </c>
      <c r="V5481" s="18" t="s">
        <v>11802</v>
      </c>
      <c r="W5481" s="18" t="s">
        <v>11803</v>
      </c>
      <c r="X5481" s="18" t="s">
        <v>42</v>
      </c>
      <c r="Y5481" s="18" t="s">
        <v>36</v>
      </c>
      <c r="Z5481" s="18" t="s">
        <v>166</v>
      </c>
      <c r="AA5481" s="21" t="str">
        <f>HYPERLINK("https://www.ncbi.nlm.nih.gov/nuccore/GQ845443","NCBI Nucleotide")</f>
        <v>NCBI Nucleotide</v>
      </c>
    </row>
    <row r="5482" spans="1:27" x14ac:dyDescent="0.35">
      <c r="A5482">
        <v>1012358</v>
      </c>
      <c r="B5482">
        <v>5276</v>
      </c>
      <c r="C5482">
        <v>2</v>
      </c>
      <c r="D5482" s="17" t="s">
        <v>10507</v>
      </c>
      <c r="E5482" s="17"/>
      <c r="F5482" s="17" t="s">
        <v>10780</v>
      </c>
      <c r="G5482" s="17"/>
      <c r="H5482" s="17" t="s">
        <v>10781</v>
      </c>
      <c r="I5482" s="17"/>
      <c r="J5482" s="17" t="s">
        <v>10791</v>
      </c>
      <c r="K5482" s="17"/>
      <c r="L5482" s="17" t="s">
        <v>11236</v>
      </c>
      <c r="M5482" s="17"/>
      <c r="N5482" s="17" t="s">
        <v>11237</v>
      </c>
      <c r="O5482" s="17" t="s">
        <v>11238</v>
      </c>
      <c r="P5482" s="17" t="s">
        <v>11787</v>
      </c>
      <c r="Q5482" s="17"/>
      <c r="R5482" s="25" t="str">
        <f>HYPERLINK("https://ictv.global/taxonomy/taxondetails?taxnode_id=202304064","Gammapapillomavirus 10")</f>
        <v>Gammapapillomavirus 10</v>
      </c>
      <c r="S5482" s="18" t="s">
        <v>8141</v>
      </c>
      <c r="T5482" s="18" t="s">
        <v>11804</v>
      </c>
      <c r="U5482" s="18" t="s">
        <v>11805</v>
      </c>
      <c r="V5482" s="18" t="s">
        <v>11806</v>
      </c>
      <c r="W5482" s="18" t="s">
        <v>48934</v>
      </c>
      <c r="X5482" s="18" t="s">
        <v>42</v>
      </c>
      <c r="Y5482" s="18" t="s">
        <v>36</v>
      </c>
      <c r="Z5482" s="18" t="s">
        <v>166</v>
      </c>
      <c r="AA5482" s="21" t="str">
        <f>HYPERLINK("https://www.ncbi.nlm.nih.gov/nuccore/GU117630","NCBI Nucleotide")</f>
        <v>NCBI Nucleotide</v>
      </c>
    </row>
    <row r="5483" spans="1:27" x14ac:dyDescent="0.35">
      <c r="A5483">
        <v>1012359</v>
      </c>
      <c r="B5483">
        <v>5276</v>
      </c>
      <c r="C5483">
        <v>3</v>
      </c>
      <c r="D5483" s="17" t="s">
        <v>10507</v>
      </c>
      <c r="E5483" s="17"/>
      <c r="F5483" s="17" t="s">
        <v>10780</v>
      </c>
      <c r="G5483" s="17"/>
      <c r="H5483" s="17" t="s">
        <v>10781</v>
      </c>
      <c r="I5483" s="17"/>
      <c r="J5483" s="17" t="s">
        <v>10791</v>
      </c>
      <c r="K5483" s="17"/>
      <c r="L5483" s="17" t="s">
        <v>11236</v>
      </c>
      <c r="M5483" s="17"/>
      <c r="N5483" s="17" t="s">
        <v>11237</v>
      </c>
      <c r="O5483" s="17" t="s">
        <v>11238</v>
      </c>
      <c r="P5483" s="17" t="s">
        <v>11787</v>
      </c>
      <c r="Q5483" s="17"/>
      <c r="R5483" s="25" t="str">
        <f>HYPERLINK("https://ictv.global/taxonomy/taxondetails?taxnode_id=202304064","Gammapapillomavirus 10")</f>
        <v>Gammapapillomavirus 10</v>
      </c>
      <c r="S5483" s="18" t="s">
        <v>8141</v>
      </c>
      <c r="T5483" s="18" t="s">
        <v>11807</v>
      </c>
      <c r="U5483" s="18" t="s">
        <v>11808</v>
      </c>
      <c r="V5483" s="18" t="s">
        <v>11809</v>
      </c>
      <c r="W5483" s="18" t="s">
        <v>48935</v>
      </c>
      <c r="X5483" s="18" t="s">
        <v>42</v>
      </c>
      <c r="Y5483" s="18" t="s">
        <v>36</v>
      </c>
      <c r="Z5483" s="18" t="s">
        <v>166</v>
      </c>
      <c r="AA5483" s="21" t="str">
        <f>HYPERLINK("https://www.ncbi.nlm.nih.gov/nuccore/GU117633","NCBI Nucleotide")</f>
        <v>NCBI Nucleotide</v>
      </c>
    </row>
    <row r="5484" spans="1:27" x14ac:dyDescent="0.35">
      <c r="A5484">
        <v>1012360</v>
      </c>
      <c r="B5484">
        <v>5276</v>
      </c>
      <c r="C5484">
        <v>4</v>
      </c>
      <c r="D5484" s="17" t="s">
        <v>10507</v>
      </c>
      <c r="E5484" s="17"/>
      <c r="F5484" s="17" t="s">
        <v>10780</v>
      </c>
      <c r="G5484" s="17"/>
      <c r="H5484" s="17" t="s">
        <v>10781</v>
      </c>
      <c r="I5484" s="17"/>
      <c r="J5484" s="17" t="s">
        <v>10791</v>
      </c>
      <c r="K5484" s="17"/>
      <c r="L5484" s="17" t="s">
        <v>11236</v>
      </c>
      <c r="M5484" s="17"/>
      <c r="N5484" s="17" t="s">
        <v>11237</v>
      </c>
      <c r="O5484" s="17" t="s">
        <v>11238</v>
      </c>
      <c r="P5484" s="17" t="s">
        <v>11787</v>
      </c>
      <c r="Q5484" s="17"/>
      <c r="R5484" s="25" t="str">
        <f>HYPERLINK("https://ictv.global/taxonomy/taxondetails?taxnode_id=202304064","Gammapapillomavirus 10")</f>
        <v>Gammapapillomavirus 10</v>
      </c>
      <c r="S5484" s="18" t="s">
        <v>8141</v>
      </c>
      <c r="T5484" s="18" t="s">
        <v>11810</v>
      </c>
      <c r="U5484" s="18" t="s">
        <v>11811</v>
      </c>
      <c r="V5484" s="18" t="s">
        <v>11812</v>
      </c>
      <c r="W5484" s="18" t="s">
        <v>48936</v>
      </c>
      <c r="X5484" s="18" t="s">
        <v>42</v>
      </c>
      <c r="Y5484" s="18" t="s">
        <v>36</v>
      </c>
      <c r="Z5484" s="18" t="s">
        <v>166</v>
      </c>
      <c r="AA5484" s="21" t="str">
        <f>HYPERLINK("https://www.ncbi.nlm.nih.gov/nuccore/HM999994","NCBI Nucleotide")</f>
        <v>NCBI Nucleotide</v>
      </c>
    </row>
    <row r="5485" spans="1:27" x14ac:dyDescent="0.35">
      <c r="A5485">
        <v>1012361</v>
      </c>
      <c r="B5485">
        <v>5276</v>
      </c>
      <c r="C5485">
        <v>5</v>
      </c>
      <c r="D5485" s="17" t="s">
        <v>10507</v>
      </c>
      <c r="E5485" s="17"/>
      <c r="F5485" s="17" t="s">
        <v>10780</v>
      </c>
      <c r="G5485" s="17"/>
      <c r="H5485" s="17" t="s">
        <v>10781</v>
      </c>
      <c r="I5485" s="17"/>
      <c r="J5485" s="17" t="s">
        <v>10791</v>
      </c>
      <c r="K5485" s="17"/>
      <c r="L5485" s="17" t="s">
        <v>11236</v>
      </c>
      <c r="M5485" s="17"/>
      <c r="N5485" s="17" t="s">
        <v>11237</v>
      </c>
      <c r="O5485" s="17" t="s">
        <v>11238</v>
      </c>
      <c r="P5485" s="17" t="s">
        <v>11787</v>
      </c>
      <c r="Q5485" s="17"/>
      <c r="R5485" s="25" t="str">
        <f>HYPERLINK("https://ictv.global/taxonomy/taxondetails?taxnode_id=202304064","Gammapapillomavirus 10")</f>
        <v>Gammapapillomavirus 10</v>
      </c>
      <c r="S5485" s="18" t="s">
        <v>8141</v>
      </c>
      <c r="T5485" s="18" t="s">
        <v>11813</v>
      </c>
      <c r="U5485" s="18" t="s">
        <v>11814</v>
      </c>
      <c r="V5485" s="18" t="s">
        <v>11815</v>
      </c>
      <c r="W5485" s="18" t="s">
        <v>48937</v>
      </c>
      <c r="X5485" s="18" t="s">
        <v>42</v>
      </c>
      <c r="Y5485" s="18" t="s">
        <v>36</v>
      </c>
      <c r="Z5485" s="18" t="s">
        <v>166</v>
      </c>
      <c r="AA5485" s="21" t="str">
        <f>HYPERLINK("https://www.ncbi.nlm.nih.gov/nuccore/KC108722","NCBI Nucleotide")</f>
        <v>NCBI Nucleotide</v>
      </c>
    </row>
    <row r="5486" spans="1:27" x14ac:dyDescent="0.35">
      <c r="A5486">
        <v>1007034</v>
      </c>
      <c r="B5486">
        <v>5277</v>
      </c>
      <c r="C5486">
        <v>1</v>
      </c>
      <c r="D5486" s="17" t="s">
        <v>10507</v>
      </c>
      <c r="E5486" s="17"/>
      <c r="F5486" s="17" t="s">
        <v>10780</v>
      </c>
      <c r="G5486" s="17"/>
      <c r="H5486" s="17" t="s">
        <v>10781</v>
      </c>
      <c r="I5486" s="17"/>
      <c r="J5486" s="17" t="s">
        <v>10791</v>
      </c>
      <c r="K5486" s="17"/>
      <c r="L5486" s="17" t="s">
        <v>11236</v>
      </c>
      <c r="M5486" s="17"/>
      <c r="N5486" s="17" t="s">
        <v>11237</v>
      </c>
      <c r="O5486" s="17" t="s">
        <v>11238</v>
      </c>
      <c r="P5486" s="17" t="s">
        <v>11787</v>
      </c>
      <c r="Q5486" s="17"/>
      <c r="R5486" s="25" t="str">
        <f t="shared" ref="R5486:R5493" si="12">HYPERLINK("https://ictv.global/taxonomy/taxondetails?taxnode_id=202304065","Gammapapillomavirus 11")</f>
        <v>Gammapapillomavirus 11</v>
      </c>
      <c r="S5486" s="18" t="s">
        <v>30</v>
      </c>
      <c r="T5486" s="18" t="s">
        <v>11816</v>
      </c>
      <c r="U5486" s="18" t="s">
        <v>11817</v>
      </c>
      <c r="V5486" s="18"/>
      <c r="W5486" s="18" t="s">
        <v>11818</v>
      </c>
      <c r="X5486" s="18" t="s">
        <v>42</v>
      </c>
      <c r="Y5486" s="18" t="s">
        <v>36</v>
      </c>
      <c r="Z5486" s="18" t="s">
        <v>166</v>
      </c>
      <c r="AA5486" s="21" t="str">
        <f>HYPERLINK("https://www.ncbi.nlm.nih.gov/nuccore/AB646346","NCBI Nucleotide")</f>
        <v>NCBI Nucleotide</v>
      </c>
    </row>
    <row r="5487" spans="1:27" x14ac:dyDescent="0.35">
      <c r="A5487">
        <v>1012362</v>
      </c>
      <c r="B5487">
        <v>5277</v>
      </c>
      <c r="C5487">
        <v>2</v>
      </c>
      <c r="D5487" s="17" t="s">
        <v>10507</v>
      </c>
      <c r="E5487" s="17"/>
      <c r="F5487" s="17" t="s">
        <v>10780</v>
      </c>
      <c r="G5487" s="17"/>
      <c r="H5487" s="17" t="s">
        <v>10781</v>
      </c>
      <c r="I5487" s="17"/>
      <c r="J5487" s="17" t="s">
        <v>10791</v>
      </c>
      <c r="K5487" s="17"/>
      <c r="L5487" s="17" t="s">
        <v>11236</v>
      </c>
      <c r="M5487" s="17"/>
      <c r="N5487" s="17" t="s">
        <v>11237</v>
      </c>
      <c r="O5487" s="17" t="s">
        <v>11238</v>
      </c>
      <c r="P5487" s="17" t="s">
        <v>11787</v>
      </c>
      <c r="Q5487" s="17"/>
      <c r="R5487" s="25" t="str">
        <f t="shared" si="12"/>
        <v>Gammapapillomavirus 11</v>
      </c>
      <c r="S5487" s="18" t="s">
        <v>8141</v>
      </c>
      <c r="T5487" s="18" t="s">
        <v>11819</v>
      </c>
      <c r="U5487" s="18" t="s">
        <v>11820</v>
      </c>
      <c r="V5487" s="18" t="s">
        <v>11821</v>
      </c>
      <c r="W5487" s="18" t="s">
        <v>48938</v>
      </c>
      <c r="X5487" s="18" t="s">
        <v>42</v>
      </c>
      <c r="Y5487" s="18" t="s">
        <v>36</v>
      </c>
      <c r="Z5487" s="18" t="s">
        <v>166</v>
      </c>
      <c r="AA5487" s="21" t="str">
        <f>HYPERLINK("https://www.ncbi.nlm.nih.gov/nuccore/HM999988","NCBI Nucleotide")</f>
        <v>NCBI Nucleotide</v>
      </c>
    </row>
    <row r="5488" spans="1:27" x14ac:dyDescent="0.35">
      <c r="A5488">
        <v>1012363</v>
      </c>
      <c r="B5488">
        <v>5277</v>
      </c>
      <c r="C5488">
        <v>3</v>
      </c>
      <c r="D5488" s="17" t="s">
        <v>10507</v>
      </c>
      <c r="E5488" s="17"/>
      <c r="F5488" s="17" t="s">
        <v>10780</v>
      </c>
      <c r="G5488" s="17"/>
      <c r="H5488" s="17" t="s">
        <v>10781</v>
      </c>
      <c r="I5488" s="17"/>
      <c r="J5488" s="17" t="s">
        <v>10791</v>
      </c>
      <c r="K5488" s="17"/>
      <c r="L5488" s="17" t="s">
        <v>11236</v>
      </c>
      <c r="M5488" s="17"/>
      <c r="N5488" s="17" t="s">
        <v>11237</v>
      </c>
      <c r="O5488" s="17" t="s">
        <v>11238</v>
      </c>
      <c r="P5488" s="17" t="s">
        <v>11787</v>
      </c>
      <c r="Q5488" s="17"/>
      <c r="R5488" s="25" t="str">
        <f t="shared" si="12"/>
        <v>Gammapapillomavirus 11</v>
      </c>
      <c r="S5488" s="18" t="s">
        <v>8141</v>
      </c>
      <c r="T5488" s="18" t="s">
        <v>11822</v>
      </c>
      <c r="U5488" s="18" t="s">
        <v>11823</v>
      </c>
      <c r="V5488" s="18" t="s">
        <v>11824</v>
      </c>
      <c r="W5488" s="18" t="s">
        <v>48939</v>
      </c>
      <c r="X5488" s="18" t="s">
        <v>42</v>
      </c>
      <c r="Y5488" s="18" t="s">
        <v>36</v>
      </c>
      <c r="Z5488" s="18" t="s">
        <v>166</v>
      </c>
      <c r="AA5488" s="21" t="str">
        <f>HYPERLINK("https://www.ncbi.nlm.nih.gov/nuccore/HM999992","NCBI Nucleotide")</f>
        <v>NCBI Nucleotide</v>
      </c>
    </row>
    <row r="5489" spans="1:27" x14ac:dyDescent="0.35">
      <c r="A5489">
        <v>1012364</v>
      </c>
      <c r="B5489">
        <v>5277</v>
      </c>
      <c r="C5489">
        <v>4</v>
      </c>
      <c r="D5489" s="17" t="s">
        <v>10507</v>
      </c>
      <c r="E5489" s="17"/>
      <c r="F5489" s="17" t="s">
        <v>10780</v>
      </c>
      <c r="G5489" s="17"/>
      <c r="H5489" s="17" t="s">
        <v>10781</v>
      </c>
      <c r="I5489" s="17"/>
      <c r="J5489" s="17" t="s">
        <v>10791</v>
      </c>
      <c r="K5489" s="17"/>
      <c r="L5489" s="17" t="s">
        <v>11236</v>
      </c>
      <c r="M5489" s="17"/>
      <c r="N5489" s="17" t="s">
        <v>11237</v>
      </c>
      <c r="O5489" s="17" t="s">
        <v>11238</v>
      </c>
      <c r="P5489" s="17" t="s">
        <v>11787</v>
      </c>
      <c r="Q5489" s="17"/>
      <c r="R5489" s="25" t="str">
        <f t="shared" si="12"/>
        <v>Gammapapillomavirus 11</v>
      </c>
      <c r="S5489" s="18" t="s">
        <v>8141</v>
      </c>
      <c r="T5489" s="18" t="s">
        <v>11825</v>
      </c>
      <c r="U5489" s="18" t="s">
        <v>11826</v>
      </c>
      <c r="V5489" s="18" t="s">
        <v>11827</v>
      </c>
      <c r="W5489" s="18" t="s">
        <v>48940</v>
      </c>
      <c r="X5489" s="18" t="s">
        <v>42</v>
      </c>
      <c r="Y5489" s="18" t="s">
        <v>36</v>
      </c>
      <c r="Z5489" s="18" t="s">
        <v>166</v>
      </c>
      <c r="AA5489" s="21" t="str">
        <f>HYPERLINK("https://www.ncbi.nlm.nih.gov/nuccore/HM999993","NCBI Nucleotide")</f>
        <v>NCBI Nucleotide</v>
      </c>
    </row>
    <row r="5490" spans="1:27" x14ac:dyDescent="0.35">
      <c r="A5490">
        <v>1012365</v>
      </c>
      <c r="B5490">
        <v>5277</v>
      </c>
      <c r="C5490">
        <v>5</v>
      </c>
      <c r="D5490" s="17" t="s">
        <v>10507</v>
      </c>
      <c r="E5490" s="17"/>
      <c r="F5490" s="17" t="s">
        <v>10780</v>
      </c>
      <c r="G5490" s="17"/>
      <c r="H5490" s="17" t="s">
        <v>10781</v>
      </c>
      <c r="I5490" s="17"/>
      <c r="J5490" s="17" t="s">
        <v>10791</v>
      </c>
      <c r="K5490" s="17"/>
      <c r="L5490" s="17" t="s">
        <v>11236</v>
      </c>
      <c r="M5490" s="17"/>
      <c r="N5490" s="17" t="s">
        <v>11237</v>
      </c>
      <c r="O5490" s="17" t="s">
        <v>11238</v>
      </c>
      <c r="P5490" s="17" t="s">
        <v>11787</v>
      </c>
      <c r="Q5490" s="17"/>
      <c r="R5490" s="25" t="str">
        <f t="shared" si="12"/>
        <v>Gammapapillomavirus 11</v>
      </c>
      <c r="S5490" s="18" t="s">
        <v>8141</v>
      </c>
      <c r="T5490" s="18" t="s">
        <v>11828</v>
      </c>
      <c r="U5490" s="18" t="s">
        <v>11829</v>
      </c>
      <c r="V5490" s="18" t="s">
        <v>11830</v>
      </c>
      <c r="W5490" s="18" t="s">
        <v>48941</v>
      </c>
      <c r="X5490" s="18" t="s">
        <v>42</v>
      </c>
      <c r="Y5490" s="18" t="s">
        <v>36</v>
      </c>
      <c r="Z5490" s="18" t="s">
        <v>166</v>
      </c>
      <c r="AA5490" s="21" t="str">
        <f>HYPERLINK("https://www.ncbi.nlm.nih.gov/nuccore/JN211193","NCBI Nucleotide")</f>
        <v>NCBI Nucleotide</v>
      </c>
    </row>
    <row r="5491" spans="1:27" x14ac:dyDescent="0.35">
      <c r="A5491">
        <v>1012366</v>
      </c>
      <c r="B5491">
        <v>5277</v>
      </c>
      <c r="C5491">
        <v>6</v>
      </c>
      <c r="D5491" s="17" t="s">
        <v>10507</v>
      </c>
      <c r="E5491" s="17"/>
      <c r="F5491" s="17" t="s">
        <v>10780</v>
      </c>
      <c r="G5491" s="17"/>
      <c r="H5491" s="17" t="s">
        <v>10781</v>
      </c>
      <c r="I5491" s="17"/>
      <c r="J5491" s="17" t="s">
        <v>10791</v>
      </c>
      <c r="K5491" s="17"/>
      <c r="L5491" s="17" t="s">
        <v>11236</v>
      </c>
      <c r="M5491" s="17"/>
      <c r="N5491" s="17" t="s">
        <v>11237</v>
      </c>
      <c r="O5491" s="17" t="s">
        <v>11238</v>
      </c>
      <c r="P5491" s="17" t="s">
        <v>11787</v>
      </c>
      <c r="Q5491" s="17"/>
      <c r="R5491" s="25" t="str">
        <f t="shared" si="12"/>
        <v>Gammapapillomavirus 11</v>
      </c>
      <c r="S5491" s="18" t="s">
        <v>8141</v>
      </c>
      <c r="T5491" s="18" t="s">
        <v>11831</v>
      </c>
      <c r="U5491" s="18" t="s">
        <v>11832</v>
      </c>
      <c r="V5491" s="18" t="s">
        <v>11833</v>
      </c>
      <c r="W5491" s="18" t="s">
        <v>48942</v>
      </c>
      <c r="X5491" s="18" t="s">
        <v>42</v>
      </c>
      <c r="Y5491" s="18" t="s">
        <v>36</v>
      </c>
      <c r="Z5491" s="18" t="s">
        <v>166</v>
      </c>
      <c r="AA5491" s="21" t="str">
        <f>HYPERLINK("https://www.ncbi.nlm.nih.gov/nuccore/JX413105","NCBI Nucleotide")</f>
        <v>NCBI Nucleotide</v>
      </c>
    </row>
    <row r="5492" spans="1:27" x14ac:dyDescent="0.35">
      <c r="A5492">
        <v>1012367</v>
      </c>
      <c r="B5492">
        <v>5277</v>
      </c>
      <c r="C5492">
        <v>7</v>
      </c>
      <c r="D5492" s="17" t="s">
        <v>10507</v>
      </c>
      <c r="E5492" s="17"/>
      <c r="F5492" s="17" t="s">
        <v>10780</v>
      </c>
      <c r="G5492" s="17"/>
      <c r="H5492" s="17" t="s">
        <v>10781</v>
      </c>
      <c r="I5492" s="17"/>
      <c r="J5492" s="17" t="s">
        <v>10791</v>
      </c>
      <c r="K5492" s="17"/>
      <c r="L5492" s="17" t="s">
        <v>11236</v>
      </c>
      <c r="M5492" s="17"/>
      <c r="N5492" s="17" t="s">
        <v>11237</v>
      </c>
      <c r="O5492" s="17" t="s">
        <v>11238</v>
      </c>
      <c r="P5492" s="17" t="s">
        <v>11787</v>
      </c>
      <c r="Q5492" s="17"/>
      <c r="R5492" s="25" t="str">
        <f t="shared" si="12"/>
        <v>Gammapapillomavirus 11</v>
      </c>
      <c r="S5492" s="18" t="s">
        <v>8141</v>
      </c>
      <c r="T5492" s="18" t="s">
        <v>11834</v>
      </c>
      <c r="U5492" s="18" t="s">
        <v>11835</v>
      </c>
      <c r="V5492" s="18"/>
      <c r="W5492" s="18" t="s">
        <v>48943</v>
      </c>
      <c r="X5492" s="18" t="s">
        <v>42</v>
      </c>
      <c r="Y5492" s="18" t="s">
        <v>36</v>
      </c>
      <c r="Z5492" s="18" t="s">
        <v>166</v>
      </c>
      <c r="AA5492" s="21" t="str">
        <f>HYPERLINK("https://www.ncbi.nlm.nih.gov/nuccore/KF006398","NCBI Nucleotide")</f>
        <v>NCBI Nucleotide</v>
      </c>
    </row>
    <row r="5493" spans="1:27" x14ac:dyDescent="0.35">
      <c r="A5493">
        <v>1012368</v>
      </c>
      <c r="B5493">
        <v>5277</v>
      </c>
      <c r="C5493">
        <v>8</v>
      </c>
      <c r="D5493" s="17" t="s">
        <v>10507</v>
      </c>
      <c r="E5493" s="17"/>
      <c r="F5493" s="17" t="s">
        <v>10780</v>
      </c>
      <c r="G5493" s="17"/>
      <c r="H5493" s="17" t="s">
        <v>10781</v>
      </c>
      <c r="I5493" s="17"/>
      <c r="J5493" s="17" t="s">
        <v>10791</v>
      </c>
      <c r="K5493" s="17"/>
      <c r="L5493" s="17" t="s">
        <v>11236</v>
      </c>
      <c r="M5493" s="17"/>
      <c r="N5493" s="17" t="s">
        <v>11237</v>
      </c>
      <c r="O5493" s="17" t="s">
        <v>11238</v>
      </c>
      <c r="P5493" s="17" t="s">
        <v>11787</v>
      </c>
      <c r="Q5493" s="17"/>
      <c r="R5493" s="25" t="str">
        <f t="shared" si="12"/>
        <v>Gammapapillomavirus 11</v>
      </c>
      <c r="S5493" s="18" t="s">
        <v>8141</v>
      </c>
      <c r="T5493" s="18" t="s">
        <v>11836</v>
      </c>
      <c r="U5493" s="18" t="s">
        <v>11837</v>
      </c>
      <c r="V5493" s="18"/>
      <c r="W5493" s="18" t="s">
        <v>48944</v>
      </c>
      <c r="X5493" s="18" t="s">
        <v>42</v>
      </c>
      <c r="Y5493" s="18" t="s">
        <v>36</v>
      </c>
      <c r="Z5493" s="18" t="s">
        <v>166</v>
      </c>
      <c r="AA5493" s="21" t="str">
        <f>HYPERLINK("https://www.ncbi.nlm.nih.gov/nuccore/KP692116","NCBI Nucleotide")</f>
        <v>NCBI Nucleotide</v>
      </c>
    </row>
    <row r="5494" spans="1:27" x14ac:dyDescent="0.35">
      <c r="A5494">
        <v>1007035</v>
      </c>
      <c r="B5494">
        <v>5278</v>
      </c>
      <c r="C5494">
        <v>1</v>
      </c>
      <c r="D5494" s="17" t="s">
        <v>10507</v>
      </c>
      <c r="E5494" s="17"/>
      <c r="F5494" s="17" t="s">
        <v>10780</v>
      </c>
      <c r="G5494" s="17"/>
      <c r="H5494" s="17" t="s">
        <v>10781</v>
      </c>
      <c r="I5494" s="17"/>
      <c r="J5494" s="17" t="s">
        <v>10791</v>
      </c>
      <c r="K5494" s="17"/>
      <c r="L5494" s="17" t="s">
        <v>11236</v>
      </c>
      <c r="M5494" s="17"/>
      <c r="N5494" s="17" t="s">
        <v>11237</v>
      </c>
      <c r="O5494" s="17" t="s">
        <v>11238</v>
      </c>
      <c r="P5494" s="17" t="s">
        <v>11787</v>
      </c>
      <c r="Q5494" s="17"/>
      <c r="R5494" s="25" t="str">
        <f t="shared" ref="R5494:R5500" si="13">HYPERLINK("https://ictv.global/taxonomy/taxondetails?taxnode_id=202304066","Gammapapillomavirus 12")</f>
        <v>Gammapapillomavirus 12</v>
      </c>
      <c r="S5494" s="18" t="s">
        <v>30</v>
      </c>
      <c r="T5494" s="18" t="s">
        <v>11838</v>
      </c>
      <c r="U5494" s="18" t="s">
        <v>11839</v>
      </c>
      <c r="V5494" s="18" t="s">
        <v>11840</v>
      </c>
      <c r="W5494" s="18" t="s">
        <v>11841</v>
      </c>
      <c r="X5494" s="18" t="s">
        <v>42</v>
      </c>
      <c r="Y5494" s="18" t="s">
        <v>36</v>
      </c>
      <c r="Z5494" s="18" t="s">
        <v>166</v>
      </c>
      <c r="AA5494" s="21" t="str">
        <f>HYPERLINK("https://www.ncbi.nlm.nih.gov/nuccore/HM011570","NCBI Nucleotide")</f>
        <v>NCBI Nucleotide</v>
      </c>
    </row>
    <row r="5495" spans="1:27" x14ac:dyDescent="0.35">
      <c r="A5495">
        <v>1012370</v>
      </c>
      <c r="B5495">
        <v>5278</v>
      </c>
      <c r="C5495">
        <v>2</v>
      </c>
      <c r="D5495" s="17" t="s">
        <v>10507</v>
      </c>
      <c r="E5495" s="17"/>
      <c r="F5495" s="17" t="s">
        <v>10780</v>
      </c>
      <c r="G5495" s="17"/>
      <c r="H5495" s="17" t="s">
        <v>10781</v>
      </c>
      <c r="I5495" s="17"/>
      <c r="J5495" s="17" t="s">
        <v>10791</v>
      </c>
      <c r="K5495" s="17"/>
      <c r="L5495" s="17" t="s">
        <v>11236</v>
      </c>
      <c r="M5495" s="17"/>
      <c r="N5495" s="17" t="s">
        <v>11237</v>
      </c>
      <c r="O5495" s="17" t="s">
        <v>11238</v>
      </c>
      <c r="P5495" s="17" t="s">
        <v>11787</v>
      </c>
      <c r="Q5495" s="17"/>
      <c r="R5495" s="25" t="str">
        <f t="shared" si="13"/>
        <v>Gammapapillomavirus 12</v>
      </c>
      <c r="S5495" s="18" t="s">
        <v>8141</v>
      </c>
      <c r="T5495" s="18" t="s">
        <v>11845</v>
      </c>
      <c r="U5495" s="18" t="s">
        <v>11846</v>
      </c>
      <c r="V5495" s="18" t="s">
        <v>11847</v>
      </c>
      <c r="W5495" s="18" t="s">
        <v>48945</v>
      </c>
      <c r="X5495" s="18" t="s">
        <v>42</v>
      </c>
      <c r="Y5495" s="18" t="s">
        <v>36</v>
      </c>
      <c r="Z5495" s="18" t="s">
        <v>166</v>
      </c>
      <c r="AA5495" s="21" t="str">
        <f>HYPERLINK("https://www.ncbi.nlm.nih.gov/nuccore/GU117632","NCBI Nucleotide")</f>
        <v>NCBI Nucleotide</v>
      </c>
    </row>
    <row r="5496" spans="1:27" x14ac:dyDescent="0.35">
      <c r="A5496">
        <v>1012371</v>
      </c>
      <c r="B5496">
        <v>5278</v>
      </c>
      <c r="C5496">
        <v>3</v>
      </c>
      <c r="D5496" s="17" t="s">
        <v>10507</v>
      </c>
      <c r="E5496" s="17"/>
      <c r="F5496" s="17" t="s">
        <v>10780</v>
      </c>
      <c r="G5496" s="17"/>
      <c r="H5496" s="17" t="s">
        <v>10781</v>
      </c>
      <c r="I5496" s="17"/>
      <c r="J5496" s="17" t="s">
        <v>10791</v>
      </c>
      <c r="K5496" s="17"/>
      <c r="L5496" s="17" t="s">
        <v>11236</v>
      </c>
      <c r="M5496" s="17"/>
      <c r="N5496" s="17" t="s">
        <v>11237</v>
      </c>
      <c r="O5496" s="17" t="s">
        <v>11238</v>
      </c>
      <c r="P5496" s="17" t="s">
        <v>11787</v>
      </c>
      <c r="Q5496" s="17"/>
      <c r="R5496" s="25" t="str">
        <f t="shared" si="13"/>
        <v>Gammapapillomavirus 12</v>
      </c>
      <c r="S5496" s="18" t="s">
        <v>8141</v>
      </c>
      <c r="T5496" s="18" t="s">
        <v>11848</v>
      </c>
      <c r="U5496" s="18" t="s">
        <v>11849</v>
      </c>
      <c r="V5496" s="18" t="s">
        <v>11850</v>
      </c>
      <c r="W5496" s="18" t="s">
        <v>48946</v>
      </c>
      <c r="X5496" s="18" t="s">
        <v>42</v>
      </c>
      <c r="Y5496" s="18" t="s">
        <v>36</v>
      </c>
      <c r="Z5496" s="18" t="s">
        <v>166</v>
      </c>
      <c r="AA5496" s="21" t="str">
        <f>HYPERLINK("https://www.ncbi.nlm.nih.gov/nuccore/GU129016","NCBI Nucleotide")</f>
        <v>NCBI Nucleotide</v>
      </c>
    </row>
    <row r="5497" spans="1:27" x14ac:dyDescent="0.35">
      <c r="A5497">
        <v>1012369</v>
      </c>
      <c r="B5497">
        <v>5278</v>
      </c>
      <c r="C5497">
        <v>4</v>
      </c>
      <c r="D5497" s="17" t="s">
        <v>10507</v>
      </c>
      <c r="E5497" s="17"/>
      <c r="F5497" s="17" t="s">
        <v>10780</v>
      </c>
      <c r="G5497" s="17"/>
      <c r="H5497" s="17" t="s">
        <v>10781</v>
      </c>
      <c r="I5497" s="17"/>
      <c r="J5497" s="17" t="s">
        <v>10791</v>
      </c>
      <c r="K5497" s="17"/>
      <c r="L5497" s="17" t="s">
        <v>11236</v>
      </c>
      <c r="M5497" s="17"/>
      <c r="N5497" s="17" t="s">
        <v>11237</v>
      </c>
      <c r="O5497" s="17" t="s">
        <v>11238</v>
      </c>
      <c r="P5497" s="17" t="s">
        <v>11787</v>
      </c>
      <c r="Q5497" s="17"/>
      <c r="R5497" s="25" t="str">
        <f t="shared" si="13"/>
        <v>Gammapapillomavirus 12</v>
      </c>
      <c r="S5497" s="18" t="s">
        <v>8141</v>
      </c>
      <c r="T5497" s="18" t="s">
        <v>11842</v>
      </c>
      <c r="U5497" s="18" t="s">
        <v>11843</v>
      </c>
      <c r="V5497" s="18" t="s">
        <v>11844</v>
      </c>
      <c r="W5497" s="18" t="s">
        <v>48947</v>
      </c>
      <c r="X5497" s="18" t="s">
        <v>42</v>
      </c>
      <c r="Y5497" s="18" t="s">
        <v>36</v>
      </c>
      <c r="Z5497" s="18" t="s">
        <v>166</v>
      </c>
      <c r="AA5497" s="21" t="str">
        <f>HYPERLINK("https://www.ncbi.nlm.nih.gov/nuccore/KT698166","NCBI Nucleotide")</f>
        <v>NCBI Nucleotide</v>
      </c>
    </row>
    <row r="5498" spans="1:27" x14ac:dyDescent="0.35">
      <c r="A5498">
        <v>1012374</v>
      </c>
      <c r="B5498">
        <v>5278</v>
      </c>
      <c r="C5498">
        <v>5</v>
      </c>
      <c r="D5498" s="17" t="s">
        <v>10507</v>
      </c>
      <c r="E5498" s="17"/>
      <c r="F5498" s="17" t="s">
        <v>10780</v>
      </c>
      <c r="G5498" s="17"/>
      <c r="H5498" s="17" t="s">
        <v>10781</v>
      </c>
      <c r="I5498" s="17"/>
      <c r="J5498" s="17" t="s">
        <v>10791</v>
      </c>
      <c r="K5498" s="17"/>
      <c r="L5498" s="17" t="s">
        <v>11236</v>
      </c>
      <c r="M5498" s="17"/>
      <c r="N5498" s="17" t="s">
        <v>11237</v>
      </c>
      <c r="O5498" s="17" t="s">
        <v>11238</v>
      </c>
      <c r="P5498" s="17" t="s">
        <v>11787</v>
      </c>
      <c r="Q5498" s="17"/>
      <c r="R5498" s="25" t="str">
        <f t="shared" si="13"/>
        <v>Gammapapillomavirus 12</v>
      </c>
      <c r="S5498" s="18" t="s">
        <v>8141</v>
      </c>
      <c r="T5498" s="18" t="s">
        <v>11857</v>
      </c>
      <c r="U5498" s="18" t="s">
        <v>11858</v>
      </c>
      <c r="V5498" s="18" t="s">
        <v>11859</v>
      </c>
      <c r="W5498" s="18" t="s">
        <v>48948</v>
      </c>
      <c r="X5498" s="18" t="s">
        <v>42</v>
      </c>
      <c r="Y5498" s="18" t="s">
        <v>36</v>
      </c>
      <c r="Z5498" s="18" t="s">
        <v>166</v>
      </c>
      <c r="AA5498" s="21" t="str">
        <f>HYPERLINK("https://www.ncbi.nlm.nih.gov/nuccore/KT698168","NCBI Nucleotide")</f>
        <v>NCBI Nucleotide</v>
      </c>
    </row>
    <row r="5499" spans="1:27" x14ac:dyDescent="0.35">
      <c r="A5499">
        <v>1012372</v>
      </c>
      <c r="B5499">
        <v>5278</v>
      </c>
      <c r="C5499">
        <v>6</v>
      </c>
      <c r="D5499" s="17" t="s">
        <v>10507</v>
      </c>
      <c r="E5499" s="17"/>
      <c r="F5499" s="17" t="s">
        <v>10780</v>
      </c>
      <c r="G5499" s="17"/>
      <c r="H5499" s="17" t="s">
        <v>10781</v>
      </c>
      <c r="I5499" s="17"/>
      <c r="J5499" s="17" t="s">
        <v>10791</v>
      </c>
      <c r="K5499" s="17"/>
      <c r="L5499" s="17" t="s">
        <v>11236</v>
      </c>
      <c r="M5499" s="17"/>
      <c r="N5499" s="17" t="s">
        <v>11237</v>
      </c>
      <c r="O5499" s="17" t="s">
        <v>11238</v>
      </c>
      <c r="P5499" s="17" t="s">
        <v>11787</v>
      </c>
      <c r="Q5499" s="17"/>
      <c r="R5499" s="25" t="str">
        <f t="shared" si="13"/>
        <v>Gammapapillomavirus 12</v>
      </c>
      <c r="S5499" s="18" t="s">
        <v>8141</v>
      </c>
      <c r="T5499" s="18" t="s">
        <v>11851</v>
      </c>
      <c r="U5499" s="18" t="s">
        <v>11852</v>
      </c>
      <c r="V5499" s="18" t="s">
        <v>11853</v>
      </c>
      <c r="W5499" s="18" t="s">
        <v>48949</v>
      </c>
      <c r="X5499" s="18" t="s">
        <v>42</v>
      </c>
      <c r="Y5499" s="18" t="s">
        <v>36</v>
      </c>
      <c r="Z5499" s="18" t="s">
        <v>166</v>
      </c>
      <c r="AA5499" s="21" t="str">
        <f>HYPERLINK("https://www.ncbi.nlm.nih.gov/nuccore/JX444072","NCBI Nucleotide")</f>
        <v>NCBI Nucleotide</v>
      </c>
    </row>
    <row r="5500" spans="1:27" x14ac:dyDescent="0.35">
      <c r="A5500">
        <v>1012373</v>
      </c>
      <c r="B5500">
        <v>5278</v>
      </c>
      <c r="C5500">
        <v>7</v>
      </c>
      <c r="D5500" s="17" t="s">
        <v>10507</v>
      </c>
      <c r="E5500" s="17"/>
      <c r="F5500" s="17" t="s">
        <v>10780</v>
      </c>
      <c r="G5500" s="17"/>
      <c r="H5500" s="17" t="s">
        <v>10781</v>
      </c>
      <c r="I5500" s="17"/>
      <c r="J5500" s="17" t="s">
        <v>10791</v>
      </c>
      <c r="K5500" s="17"/>
      <c r="L5500" s="17" t="s">
        <v>11236</v>
      </c>
      <c r="M5500" s="17"/>
      <c r="N5500" s="17" t="s">
        <v>11237</v>
      </c>
      <c r="O5500" s="17" t="s">
        <v>11238</v>
      </c>
      <c r="P5500" s="17" t="s">
        <v>11787</v>
      </c>
      <c r="Q5500" s="17"/>
      <c r="R5500" s="25" t="str">
        <f t="shared" si="13"/>
        <v>Gammapapillomavirus 12</v>
      </c>
      <c r="S5500" s="18" t="s">
        <v>8141</v>
      </c>
      <c r="T5500" s="18" t="s">
        <v>11854</v>
      </c>
      <c r="U5500" s="18" t="s">
        <v>11855</v>
      </c>
      <c r="V5500" s="18" t="s">
        <v>11856</v>
      </c>
      <c r="W5500" s="18" t="s">
        <v>48950</v>
      </c>
      <c r="X5500" s="18" t="s">
        <v>42</v>
      </c>
      <c r="Y5500" s="18" t="s">
        <v>36</v>
      </c>
      <c r="Z5500" s="18" t="s">
        <v>166</v>
      </c>
      <c r="AA5500" s="21" t="str">
        <f>HYPERLINK("https://www.ncbi.nlm.nih.gov/nuccore/KJ913662","NCBI Nucleotide")</f>
        <v>NCBI Nucleotide</v>
      </c>
    </row>
    <row r="5501" spans="1:27" x14ac:dyDescent="0.35">
      <c r="A5501">
        <v>1007036</v>
      </c>
      <c r="B5501">
        <v>5279</v>
      </c>
      <c r="C5501">
        <v>1</v>
      </c>
      <c r="D5501" s="17" t="s">
        <v>10507</v>
      </c>
      <c r="E5501" s="17"/>
      <c r="F5501" s="17" t="s">
        <v>10780</v>
      </c>
      <c r="G5501" s="17"/>
      <c r="H5501" s="17" t="s">
        <v>10781</v>
      </c>
      <c r="I5501" s="17"/>
      <c r="J5501" s="17" t="s">
        <v>10791</v>
      </c>
      <c r="K5501" s="17"/>
      <c r="L5501" s="17" t="s">
        <v>11236</v>
      </c>
      <c r="M5501" s="17"/>
      <c r="N5501" s="17" t="s">
        <v>11237</v>
      </c>
      <c r="O5501" s="17" t="s">
        <v>11238</v>
      </c>
      <c r="P5501" s="17" t="s">
        <v>11787</v>
      </c>
      <c r="Q5501" s="17"/>
      <c r="R5501" s="25" t="str">
        <f>HYPERLINK("https://ictv.global/taxonomy/taxondetails?taxnode_id=202304067","Gammapapillomavirus 13")</f>
        <v>Gammapapillomavirus 13</v>
      </c>
      <c r="S5501" s="18" t="s">
        <v>30</v>
      </c>
      <c r="T5501" s="18" t="s">
        <v>11860</v>
      </c>
      <c r="U5501" s="18" t="s">
        <v>11861</v>
      </c>
      <c r="V5501" s="18"/>
      <c r="W5501" s="18" t="s">
        <v>11862</v>
      </c>
      <c r="X5501" s="18" t="s">
        <v>42</v>
      </c>
      <c r="Y5501" s="18" t="s">
        <v>36</v>
      </c>
      <c r="Z5501" s="18" t="s">
        <v>166</v>
      </c>
      <c r="AA5501" s="21" t="str">
        <f>HYPERLINK("https://www.ncbi.nlm.nih.gov/nuccore/GU225708","NCBI Nucleotide")</f>
        <v>NCBI Nucleotide</v>
      </c>
    </row>
    <row r="5502" spans="1:27" x14ac:dyDescent="0.35">
      <c r="A5502">
        <v>1012375</v>
      </c>
      <c r="B5502">
        <v>5279</v>
      </c>
      <c r="C5502">
        <v>2</v>
      </c>
      <c r="D5502" s="17" t="s">
        <v>10507</v>
      </c>
      <c r="E5502" s="17"/>
      <c r="F5502" s="17" t="s">
        <v>10780</v>
      </c>
      <c r="G5502" s="17"/>
      <c r="H5502" s="17" t="s">
        <v>10781</v>
      </c>
      <c r="I5502" s="17"/>
      <c r="J5502" s="17" t="s">
        <v>10791</v>
      </c>
      <c r="K5502" s="17"/>
      <c r="L5502" s="17" t="s">
        <v>11236</v>
      </c>
      <c r="M5502" s="17"/>
      <c r="N5502" s="17" t="s">
        <v>11237</v>
      </c>
      <c r="O5502" s="17" t="s">
        <v>11238</v>
      </c>
      <c r="P5502" s="17" t="s">
        <v>11787</v>
      </c>
      <c r="Q5502" s="17"/>
      <c r="R5502" s="25" t="str">
        <f>HYPERLINK("https://ictv.global/taxonomy/taxondetails?taxnode_id=202304067","Gammapapillomavirus 13")</f>
        <v>Gammapapillomavirus 13</v>
      </c>
      <c r="S5502" s="18" t="s">
        <v>8141</v>
      </c>
      <c r="T5502" s="18" t="s">
        <v>11863</v>
      </c>
      <c r="U5502" s="18" t="s">
        <v>11864</v>
      </c>
      <c r="V5502" s="18"/>
      <c r="W5502" s="18" t="s">
        <v>48951</v>
      </c>
      <c r="X5502" s="18" t="s">
        <v>42</v>
      </c>
      <c r="Y5502" s="18" t="s">
        <v>36</v>
      </c>
      <c r="Z5502" s="18" t="s">
        <v>166</v>
      </c>
      <c r="AA5502" s="21" t="str">
        <f>HYPERLINK("https://www.ncbi.nlm.nih.gov/nuccore/JN171845","NCBI Nucleotide")</f>
        <v>NCBI Nucleotide</v>
      </c>
    </row>
    <row r="5503" spans="1:27" x14ac:dyDescent="0.35">
      <c r="A5503">
        <v>1007037</v>
      </c>
      <c r="B5503">
        <v>5280</v>
      </c>
      <c r="C5503">
        <v>1</v>
      </c>
      <c r="D5503" s="17" t="s">
        <v>10507</v>
      </c>
      <c r="E5503" s="17"/>
      <c r="F5503" s="17" t="s">
        <v>10780</v>
      </c>
      <c r="G5503" s="17"/>
      <c r="H5503" s="17" t="s">
        <v>10781</v>
      </c>
      <c r="I5503" s="17"/>
      <c r="J5503" s="17" t="s">
        <v>10791</v>
      </c>
      <c r="K5503" s="17"/>
      <c r="L5503" s="17" t="s">
        <v>11236</v>
      </c>
      <c r="M5503" s="17"/>
      <c r="N5503" s="17" t="s">
        <v>11237</v>
      </c>
      <c r="O5503" s="17" t="s">
        <v>11238</v>
      </c>
      <c r="P5503" s="17" t="s">
        <v>11787</v>
      </c>
      <c r="Q5503" s="17"/>
      <c r="R5503" s="25" t="str">
        <f>HYPERLINK("https://ictv.global/taxonomy/taxondetails?taxnode_id=202304068","Gammapapillomavirus 14")</f>
        <v>Gammapapillomavirus 14</v>
      </c>
      <c r="S5503" s="18" t="s">
        <v>30</v>
      </c>
      <c r="T5503" s="18" t="s">
        <v>11865</v>
      </c>
      <c r="U5503" s="18" t="s">
        <v>11866</v>
      </c>
      <c r="V5503" s="18" t="s">
        <v>11867</v>
      </c>
      <c r="W5503" s="18" t="s">
        <v>11868</v>
      </c>
      <c r="X5503" s="18" t="s">
        <v>42</v>
      </c>
      <c r="Y5503" s="18" t="s">
        <v>36</v>
      </c>
      <c r="Z5503" s="18" t="s">
        <v>166</v>
      </c>
      <c r="AA5503" s="21" t="str">
        <f>HYPERLINK("https://www.ncbi.nlm.nih.gov/nuccore/GU117631","NCBI Nucleotide")</f>
        <v>NCBI Nucleotide</v>
      </c>
    </row>
    <row r="5504" spans="1:27" x14ac:dyDescent="0.35">
      <c r="A5504">
        <v>1007038</v>
      </c>
      <c r="B5504">
        <v>5281</v>
      </c>
      <c r="C5504">
        <v>1</v>
      </c>
      <c r="D5504" s="17" t="s">
        <v>10507</v>
      </c>
      <c r="E5504" s="17"/>
      <c r="F5504" s="17" t="s">
        <v>10780</v>
      </c>
      <c r="G5504" s="17"/>
      <c r="H5504" s="17" t="s">
        <v>10781</v>
      </c>
      <c r="I5504" s="17"/>
      <c r="J5504" s="17" t="s">
        <v>10791</v>
      </c>
      <c r="K5504" s="17"/>
      <c r="L5504" s="17" t="s">
        <v>11236</v>
      </c>
      <c r="M5504" s="17"/>
      <c r="N5504" s="17" t="s">
        <v>11237</v>
      </c>
      <c r="O5504" s="17" t="s">
        <v>11238</v>
      </c>
      <c r="P5504" s="17" t="s">
        <v>11787</v>
      </c>
      <c r="Q5504" s="17"/>
      <c r="R5504" s="25" t="str">
        <f>HYPERLINK("https://ictv.global/taxonomy/taxondetails?taxnode_id=202304069","Gammapapillomavirus 15")</f>
        <v>Gammapapillomavirus 15</v>
      </c>
      <c r="S5504" s="18" t="s">
        <v>30</v>
      </c>
      <c r="T5504" s="18" t="s">
        <v>11869</v>
      </c>
      <c r="U5504" s="18" t="s">
        <v>11870</v>
      </c>
      <c r="V5504" s="18" t="s">
        <v>11871</v>
      </c>
      <c r="W5504" s="18" t="s">
        <v>11872</v>
      </c>
      <c r="X5504" s="18" t="s">
        <v>42</v>
      </c>
      <c r="Y5504" s="18" t="s">
        <v>36</v>
      </c>
      <c r="Z5504" s="18" t="s">
        <v>166</v>
      </c>
      <c r="AA5504" s="21" t="str">
        <f>HYPERLINK("https://www.ncbi.nlm.nih.gov/nuccore/HM999987","NCBI Nucleotide")</f>
        <v>NCBI Nucleotide</v>
      </c>
    </row>
    <row r="5505" spans="1:27" x14ac:dyDescent="0.35">
      <c r="A5505">
        <v>1012377</v>
      </c>
      <c r="B5505">
        <v>5281</v>
      </c>
      <c r="C5505">
        <v>2</v>
      </c>
      <c r="D5505" s="17" t="s">
        <v>10507</v>
      </c>
      <c r="E5505" s="17"/>
      <c r="F5505" s="17" t="s">
        <v>10780</v>
      </c>
      <c r="G5505" s="17"/>
      <c r="H5505" s="17" t="s">
        <v>10781</v>
      </c>
      <c r="I5505" s="17"/>
      <c r="J5505" s="17" t="s">
        <v>10791</v>
      </c>
      <c r="K5505" s="17"/>
      <c r="L5505" s="17" t="s">
        <v>11236</v>
      </c>
      <c r="M5505" s="17"/>
      <c r="N5505" s="17" t="s">
        <v>11237</v>
      </c>
      <c r="O5505" s="17" t="s">
        <v>11238</v>
      </c>
      <c r="P5505" s="17" t="s">
        <v>11787</v>
      </c>
      <c r="Q5505" s="17"/>
      <c r="R5505" s="25" t="str">
        <f>HYPERLINK("https://ictv.global/taxonomy/taxondetails?taxnode_id=202304069","Gammapapillomavirus 15")</f>
        <v>Gammapapillomavirus 15</v>
      </c>
      <c r="S5505" s="18" t="s">
        <v>8141</v>
      </c>
      <c r="T5505" s="18" t="s">
        <v>11876</v>
      </c>
      <c r="U5505" s="18" t="s">
        <v>11877</v>
      </c>
      <c r="V5505" s="18" t="s">
        <v>11878</v>
      </c>
      <c r="W5505" s="18" t="s">
        <v>48952</v>
      </c>
      <c r="X5505" s="18" t="s">
        <v>42</v>
      </c>
      <c r="Y5505" s="18" t="s">
        <v>36</v>
      </c>
      <c r="Z5505" s="18" t="s">
        <v>166</v>
      </c>
      <c r="AA5505" s="21" t="str">
        <f>HYPERLINK("https://www.ncbi.nlm.nih.gov/nuccore/HM999998","NCBI Nucleotide")</f>
        <v>NCBI Nucleotide</v>
      </c>
    </row>
    <row r="5506" spans="1:27" x14ac:dyDescent="0.35">
      <c r="A5506">
        <v>1012376</v>
      </c>
      <c r="B5506">
        <v>5281</v>
      </c>
      <c r="C5506">
        <v>3</v>
      </c>
      <c r="D5506" s="17" t="s">
        <v>10507</v>
      </c>
      <c r="E5506" s="17"/>
      <c r="F5506" s="17" t="s">
        <v>10780</v>
      </c>
      <c r="G5506" s="17"/>
      <c r="H5506" s="17" t="s">
        <v>10781</v>
      </c>
      <c r="I5506" s="17"/>
      <c r="J5506" s="17" t="s">
        <v>10791</v>
      </c>
      <c r="K5506" s="17"/>
      <c r="L5506" s="17" t="s">
        <v>11236</v>
      </c>
      <c r="M5506" s="17"/>
      <c r="N5506" s="17" t="s">
        <v>11237</v>
      </c>
      <c r="O5506" s="17" t="s">
        <v>11238</v>
      </c>
      <c r="P5506" s="17" t="s">
        <v>11787</v>
      </c>
      <c r="Q5506" s="17"/>
      <c r="R5506" s="25" t="str">
        <f>HYPERLINK("https://ictv.global/taxonomy/taxondetails?taxnode_id=202304069","Gammapapillomavirus 15")</f>
        <v>Gammapapillomavirus 15</v>
      </c>
      <c r="S5506" s="18" t="s">
        <v>8141</v>
      </c>
      <c r="T5506" s="18" t="s">
        <v>11873</v>
      </c>
      <c r="U5506" s="18" t="s">
        <v>11874</v>
      </c>
      <c r="V5506" s="18" t="s">
        <v>11875</v>
      </c>
      <c r="W5506" s="18" t="s">
        <v>48953</v>
      </c>
      <c r="X5506" s="18" t="s">
        <v>42</v>
      </c>
      <c r="Y5506" s="18" t="s">
        <v>36</v>
      </c>
      <c r="Z5506" s="18" t="s">
        <v>166</v>
      </c>
      <c r="AA5506" s="21" t="str">
        <f>HYPERLINK("https://www.ncbi.nlm.nih.gov/nuccore/HG421739","NCBI Nucleotide")</f>
        <v>NCBI Nucleotide</v>
      </c>
    </row>
    <row r="5507" spans="1:27" x14ac:dyDescent="0.35">
      <c r="A5507">
        <v>1007039</v>
      </c>
      <c r="B5507">
        <v>5282</v>
      </c>
      <c r="C5507">
        <v>1</v>
      </c>
      <c r="D5507" s="17" t="s">
        <v>10507</v>
      </c>
      <c r="E5507" s="17"/>
      <c r="F5507" s="17" t="s">
        <v>10780</v>
      </c>
      <c r="G5507" s="17"/>
      <c r="H5507" s="17" t="s">
        <v>10781</v>
      </c>
      <c r="I5507" s="17"/>
      <c r="J5507" s="17" t="s">
        <v>10791</v>
      </c>
      <c r="K5507" s="17"/>
      <c r="L5507" s="17" t="s">
        <v>11236</v>
      </c>
      <c r="M5507" s="17"/>
      <c r="N5507" s="17" t="s">
        <v>11237</v>
      </c>
      <c r="O5507" s="17" t="s">
        <v>11238</v>
      </c>
      <c r="P5507" s="17" t="s">
        <v>11787</v>
      </c>
      <c r="Q5507" s="17"/>
      <c r="R5507" s="25" t="str">
        <f>HYPERLINK("https://ictv.global/taxonomy/taxondetails?taxnode_id=202304070","Gammapapillomavirus 16")</f>
        <v>Gammapapillomavirus 16</v>
      </c>
      <c r="S5507" s="18" t="s">
        <v>30</v>
      </c>
      <c r="T5507" s="18" t="s">
        <v>11879</v>
      </c>
      <c r="U5507" s="18" t="s">
        <v>11880</v>
      </c>
      <c r="V5507" s="18" t="s">
        <v>11881</v>
      </c>
      <c r="W5507" s="18" t="s">
        <v>11882</v>
      </c>
      <c r="X5507" s="18" t="s">
        <v>42</v>
      </c>
      <c r="Y5507" s="18" t="s">
        <v>36</v>
      </c>
      <c r="Z5507" s="18" t="s">
        <v>166</v>
      </c>
      <c r="AA5507" s="21" t="str">
        <f>HYPERLINK("https://www.ncbi.nlm.nih.gov/nuccore/HM999989","NCBI Nucleotide")</f>
        <v>NCBI Nucleotide</v>
      </c>
    </row>
    <row r="5508" spans="1:27" x14ac:dyDescent="0.35">
      <c r="A5508">
        <v>1007040</v>
      </c>
      <c r="B5508">
        <v>5283</v>
      </c>
      <c r="C5508">
        <v>1</v>
      </c>
      <c r="D5508" s="17" t="s">
        <v>10507</v>
      </c>
      <c r="E5508" s="17"/>
      <c r="F5508" s="17" t="s">
        <v>10780</v>
      </c>
      <c r="G5508" s="17"/>
      <c r="H5508" s="17" t="s">
        <v>10781</v>
      </c>
      <c r="I5508" s="17"/>
      <c r="J5508" s="17" t="s">
        <v>10791</v>
      </c>
      <c r="K5508" s="17"/>
      <c r="L5508" s="17" t="s">
        <v>11236</v>
      </c>
      <c r="M5508" s="17"/>
      <c r="N5508" s="17" t="s">
        <v>11237</v>
      </c>
      <c r="O5508" s="17" t="s">
        <v>11238</v>
      </c>
      <c r="P5508" s="17" t="s">
        <v>11787</v>
      </c>
      <c r="Q5508" s="17"/>
      <c r="R5508" s="25" t="str">
        <f>HYPERLINK("https://ictv.global/taxonomy/taxondetails?taxnode_id=202304071","Gammapapillomavirus 17")</f>
        <v>Gammapapillomavirus 17</v>
      </c>
      <c r="S5508" s="18" t="s">
        <v>30</v>
      </c>
      <c r="T5508" s="18" t="s">
        <v>11883</v>
      </c>
      <c r="U5508" s="18" t="s">
        <v>11884</v>
      </c>
      <c r="V5508" s="18" t="s">
        <v>11885</v>
      </c>
      <c r="W5508" s="18" t="s">
        <v>11886</v>
      </c>
      <c r="X5508" s="18" t="s">
        <v>42</v>
      </c>
      <c r="Y5508" s="18" t="s">
        <v>36</v>
      </c>
      <c r="Z5508" s="18" t="s">
        <v>166</v>
      </c>
      <c r="AA5508" s="21" t="str">
        <f>HYPERLINK("https://www.ncbi.nlm.nih.gov/nuccore/HM999996","NCBI Nucleotide")</f>
        <v>NCBI Nucleotide</v>
      </c>
    </row>
    <row r="5509" spans="1:27" x14ac:dyDescent="0.35">
      <c r="A5509">
        <v>1007041</v>
      </c>
      <c r="B5509">
        <v>5284</v>
      </c>
      <c r="C5509">
        <v>1</v>
      </c>
      <c r="D5509" s="17" t="s">
        <v>10507</v>
      </c>
      <c r="E5509" s="17"/>
      <c r="F5509" s="17" t="s">
        <v>10780</v>
      </c>
      <c r="G5509" s="17"/>
      <c r="H5509" s="17" t="s">
        <v>10781</v>
      </c>
      <c r="I5509" s="17"/>
      <c r="J5509" s="17" t="s">
        <v>10791</v>
      </c>
      <c r="K5509" s="17"/>
      <c r="L5509" s="17" t="s">
        <v>11236</v>
      </c>
      <c r="M5509" s="17"/>
      <c r="N5509" s="17" t="s">
        <v>11237</v>
      </c>
      <c r="O5509" s="17" t="s">
        <v>11238</v>
      </c>
      <c r="P5509" s="17" t="s">
        <v>11787</v>
      </c>
      <c r="Q5509" s="17"/>
      <c r="R5509" s="25" t="str">
        <f>HYPERLINK("https://ictv.global/taxonomy/taxondetails?taxnode_id=202304072","Gammapapillomavirus 18")</f>
        <v>Gammapapillomavirus 18</v>
      </c>
      <c r="S5509" s="18" t="s">
        <v>30</v>
      </c>
      <c r="T5509" s="18" t="s">
        <v>11887</v>
      </c>
      <c r="U5509" s="18" t="s">
        <v>11888</v>
      </c>
      <c r="V5509" s="18" t="s">
        <v>11889</v>
      </c>
      <c r="W5509" s="18" t="s">
        <v>11890</v>
      </c>
      <c r="X5509" s="18" t="s">
        <v>42</v>
      </c>
      <c r="Y5509" s="18" t="s">
        <v>36</v>
      </c>
      <c r="Z5509" s="18" t="s">
        <v>166</v>
      </c>
      <c r="AA5509" s="21" t="str">
        <f>HYPERLINK("https://www.ncbi.nlm.nih.gov/nuccore/JX429973","NCBI Nucleotide")</f>
        <v>NCBI Nucleotide</v>
      </c>
    </row>
    <row r="5510" spans="1:27" x14ac:dyDescent="0.35">
      <c r="A5510">
        <v>1007042</v>
      </c>
      <c r="B5510">
        <v>5285</v>
      </c>
      <c r="C5510">
        <v>1</v>
      </c>
      <c r="D5510" s="17" t="s">
        <v>10507</v>
      </c>
      <c r="E5510" s="17"/>
      <c r="F5510" s="17" t="s">
        <v>10780</v>
      </c>
      <c r="G5510" s="17"/>
      <c r="H5510" s="17" t="s">
        <v>10781</v>
      </c>
      <c r="I5510" s="17"/>
      <c r="J5510" s="17" t="s">
        <v>10791</v>
      </c>
      <c r="K5510" s="17"/>
      <c r="L5510" s="17" t="s">
        <v>11236</v>
      </c>
      <c r="M5510" s="17"/>
      <c r="N5510" s="17" t="s">
        <v>11237</v>
      </c>
      <c r="O5510" s="17" t="s">
        <v>11238</v>
      </c>
      <c r="P5510" s="17" t="s">
        <v>11787</v>
      </c>
      <c r="Q5510" s="17"/>
      <c r="R5510" s="25" t="str">
        <f>HYPERLINK("https://ictv.global/taxonomy/taxondetails?taxnode_id=202304073","Gammapapillomavirus 19")</f>
        <v>Gammapapillomavirus 19</v>
      </c>
      <c r="S5510" s="18" t="s">
        <v>30</v>
      </c>
      <c r="T5510" s="18" t="s">
        <v>11891</v>
      </c>
      <c r="U5510" s="18" t="s">
        <v>11892</v>
      </c>
      <c r="V5510" s="18" t="s">
        <v>11893</v>
      </c>
      <c r="W5510" s="18" t="s">
        <v>11894</v>
      </c>
      <c r="X5510" s="18" t="s">
        <v>42</v>
      </c>
      <c r="Y5510" s="18" t="s">
        <v>36</v>
      </c>
      <c r="Z5510" s="18" t="s">
        <v>166</v>
      </c>
      <c r="AA5510" s="21" t="str">
        <f>HYPERLINK("https://www.ncbi.nlm.nih.gov/nuccore/JX413109","NCBI Nucleotide")</f>
        <v>NCBI Nucleotide</v>
      </c>
    </row>
    <row r="5511" spans="1:27" x14ac:dyDescent="0.35">
      <c r="A5511">
        <v>1012379</v>
      </c>
      <c r="B5511">
        <v>5285</v>
      </c>
      <c r="C5511">
        <v>2</v>
      </c>
      <c r="D5511" s="17" t="s">
        <v>10507</v>
      </c>
      <c r="E5511" s="17"/>
      <c r="F5511" s="17" t="s">
        <v>10780</v>
      </c>
      <c r="G5511" s="17"/>
      <c r="H5511" s="17" t="s">
        <v>10781</v>
      </c>
      <c r="I5511" s="17"/>
      <c r="J5511" s="17" t="s">
        <v>10791</v>
      </c>
      <c r="K5511" s="17"/>
      <c r="L5511" s="17" t="s">
        <v>11236</v>
      </c>
      <c r="M5511" s="17"/>
      <c r="N5511" s="17" t="s">
        <v>11237</v>
      </c>
      <c r="O5511" s="17" t="s">
        <v>11238</v>
      </c>
      <c r="P5511" s="17" t="s">
        <v>11787</v>
      </c>
      <c r="Q5511" s="17"/>
      <c r="R5511" s="25" t="str">
        <f>HYPERLINK("https://ictv.global/taxonomy/taxondetails?taxnode_id=202304073","Gammapapillomavirus 19")</f>
        <v>Gammapapillomavirus 19</v>
      </c>
      <c r="S5511" s="18" t="s">
        <v>8141</v>
      </c>
      <c r="T5511" s="18" t="s">
        <v>11898</v>
      </c>
      <c r="U5511" s="18" t="s">
        <v>11899</v>
      </c>
      <c r="V5511" s="18" t="s">
        <v>11900</v>
      </c>
      <c r="W5511" s="18" t="s">
        <v>48954</v>
      </c>
      <c r="X5511" s="18" t="s">
        <v>42</v>
      </c>
      <c r="Y5511" s="18" t="s">
        <v>36</v>
      </c>
      <c r="Z5511" s="18" t="s">
        <v>166</v>
      </c>
      <c r="AA5511" s="21" t="str">
        <f>HYPERLINK("https://www.ncbi.nlm.nih.gov/nuccore/JX413108","NCBI Nucleotide")</f>
        <v>NCBI Nucleotide</v>
      </c>
    </row>
    <row r="5512" spans="1:27" x14ac:dyDescent="0.35">
      <c r="A5512">
        <v>1012378</v>
      </c>
      <c r="B5512">
        <v>5285</v>
      </c>
      <c r="C5512">
        <v>3</v>
      </c>
      <c r="D5512" s="17" t="s">
        <v>10507</v>
      </c>
      <c r="E5512" s="17"/>
      <c r="F5512" s="17" t="s">
        <v>10780</v>
      </c>
      <c r="G5512" s="17"/>
      <c r="H5512" s="17" t="s">
        <v>10781</v>
      </c>
      <c r="I5512" s="17"/>
      <c r="J5512" s="17" t="s">
        <v>10791</v>
      </c>
      <c r="K5512" s="17"/>
      <c r="L5512" s="17" t="s">
        <v>11236</v>
      </c>
      <c r="M5512" s="17"/>
      <c r="N5512" s="17" t="s">
        <v>11237</v>
      </c>
      <c r="O5512" s="17" t="s">
        <v>11238</v>
      </c>
      <c r="P5512" s="17" t="s">
        <v>11787</v>
      </c>
      <c r="Q5512" s="17"/>
      <c r="R5512" s="25" t="str">
        <f>HYPERLINK("https://ictv.global/taxonomy/taxondetails?taxnode_id=202304073","Gammapapillomavirus 19")</f>
        <v>Gammapapillomavirus 19</v>
      </c>
      <c r="S5512" s="18" t="s">
        <v>8141</v>
      </c>
      <c r="T5512" s="18" t="s">
        <v>11895</v>
      </c>
      <c r="U5512" s="18" t="s">
        <v>11896</v>
      </c>
      <c r="V5512" s="18" t="s">
        <v>11897</v>
      </c>
      <c r="W5512" s="18" t="s">
        <v>48955</v>
      </c>
      <c r="X5512" s="18" t="s">
        <v>42</v>
      </c>
      <c r="Y5512" s="18" t="s">
        <v>36</v>
      </c>
      <c r="Z5512" s="18" t="s">
        <v>166</v>
      </c>
      <c r="AA5512" s="21" t="str">
        <f>HYPERLINK("https://www.ncbi.nlm.nih.gov/nuccore/JX413104","NCBI Nucleotide")</f>
        <v>NCBI Nucleotide</v>
      </c>
    </row>
    <row r="5513" spans="1:27" x14ac:dyDescent="0.35">
      <c r="A5513">
        <v>1007044</v>
      </c>
      <c r="B5513">
        <v>5286</v>
      </c>
      <c r="C5513">
        <v>1</v>
      </c>
      <c r="D5513" s="17" t="s">
        <v>10507</v>
      </c>
      <c r="E5513" s="17"/>
      <c r="F5513" s="17" t="s">
        <v>10780</v>
      </c>
      <c r="G5513" s="17"/>
      <c r="H5513" s="17" t="s">
        <v>10781</v>
      </c>
      <c r="I5513" s="17"/>
      <c r="J5513" s="17" t="s">
        <v>10791</v>
      </c>
      <c r="K5513" s="17"/>
      <c r="L5513" s="17" t="s">
        <v>11236</v>
      </c>
      <c r="M5513" s="17"/>
      <c r="N5513" s="17" t="s">
        <v>11237</v>
      </c>
      <c r="O5513" s="17" t="s">
        <v>11238</v>
      </c>
      <c r="P5513" s="17" t="s">
        <v>11787</v>
      </c>
      <c r="Q5513" s="17"/>
      <c r="R5513" s="25" t="str">
        <f>HYPERLINK("https://ictv.global/taxonomy/taxondetails?taxnode_id=202304074","Gammapapillomavirus 20")</f>
        <v>Gammapapillomavirus 20</v>
      </c>
      <c r="S5513" s="18" t="s">
        <v>30</v>
      </c>
      <c r="T5513" s="18" t="s">
        <v>11906</v>
      </c>
      <c r="U5513" s="18" t="s">
        <v>11907</v>
      </c>
      <c r="V5513" s="18" t="s">
        <v>11908</v>
      </c>
      <c r="W5513" s="18" t="s">
        <v>11909</v>
      </c>
      <c r="X5513" s="18" t="s">
        <v>42</v>
      </c>
      <c r="Y5513" s="18" t="s">
        <v>36</v>
      </c>
      <c r="Z5513" s="18" t="s">
        <v>166</v>
      </c>
      <c r="AA5513" s="21" t="str">
        <f>HYPERLINK("https://www.ncbi.nlm.nih.gov/nuccore/JX413107","NCBI Nucleotide")</f>
        <v>NCBI Nucleotide</v>
      </c>
    </row>
    <row r="5514" spans="1:27" x14ac:dyDescent="0.35">
      <c r="A5514">
        <v>1007045</v>
      </c>
      <c r="B5514">
        <v>5287</v>
      </c>
      <c r="C5514">
        <v>1</v>
      </c>
      <c r="D5514" s="17" t="s">
        <v>10507</v>
      </c>
      <c r="E5514" s="17"/>
      <c r="F5514" s="17" t="s">
        <v>10780</v>
      </c>
      <c r="G5514" s="17"/>
      <c r="H5514" s="17" t="s">
        <v>10781</v>
      </c>
      <c r="I5514" s="17"/>
      <c r="J5514" s="17" t="s">
        <v>10791</v>
      </c>
      <c r="K5514" s="17"/>
      <c r="L5514" s="17" t="s">
        <v>11236</v>
      </c>
      <c r="M5514" s="17"/>
      <c r="N5514" s="17" t="s">
        <v>11237</v>
      </c>
      <c r="O5514" s="17" t="s">
        <v>11238</v>
      </c>
      <c r="P5514" s="17" t="s">
        <v>11787</v>
      </c>
      <c r="Q5514" s="17"/>
      <c r="R5514" s="25" t="str">
        <f>HYPERLINK("https://ictv.global/taxonomy/taxondetails?taxnode_id=202304075","Gammapapillomavirus 21")</f>
        <v>Gammapapillomavirus 21</v>
      </c>
      <c r="S5514" s="18" t="s">
        <v>30</v>
      </c>
      <c r="T5514" s="18" t="s">
        <v>11910</v>
      </c>
      <c r="U5514" s="18" t="s">
        <v>11911</v>
      </c>
      <c r="V5514" s="18" t="s">
        <v>11912</v>
      </c>
      <c r="W5514" s="18" t="s">
        <v>11913</v>
      </c>
      <c r="X5514" s="18" t="s">
        <v>42</v>
      </c>
      <c r="Y5514" s="18" t="s">
        <v>36</v>
      </c>
      <c r="Z5514" s="18" t="s">
        <v>166</v>
      </c>
      <c r="AA5514" s="21" t="str">
        <f>HYPERLINK("https://www.ncbi.nlm.nih.gov/nuccore/KC862318","NCBI Nucleotide")</f>
        <v>NCBI Nucleotide</v>
      </c>
    </row>
    <row r="5515" spans="1:27" x14ac:dyDescent="0.35">
      <c r="A5515">
        <v>1007046</v>
      </c>
      <c r="B5515">
        <v>5288</v>
      </c>
      <c r="C5515">
        <v>1</v>
      </c>
      <c r="D5515" s="17" t="s">
        <v>10507</v>
      </c>
      <c r="E5515" s="17"/>
      <c r="F5515" s="17" t="s">
        <v>10780</v>
      </c>
      <c r="G5515" s="17"/>
      <c r="H5515" s="17" t="s">
        <v>10781</v>
      </c>
      <c r="I5515" s="17"/>
      <c r="J5515" s="17" t="s">
        <v>10791</v>
      </c>
      <c r="K5515" s="17"/>
      <c r="L5515" s="17" t="s">
        <v>11236</v>
      </c>
      <c r="M5515" s="17"/>
      <c r="N5515" s="17" t="s">
        <v>11237</v>
      </c>
      <c r="O5515" s="17" t="s">
        <v>11238</v>
      </c>
      <c r="P5515" s="17" t="s">
        <v>11787</v>
      </c>
      <c r="Q5515" s="17"/>
      <c r="R5515" s="25" t="str">
        <f>HYPERLINK("https://ictv.global/taxonomy/taxondetails?taxnode_id=202304076","Gammapapillomavirus 22")</f>
        <v>Gammapapillomavirus 22</v>
      </c>
      <c r="S5515" s="18" t="s">
        <v>30</v>
      </c>
      <c r="T5515" s="18" t="s">
        <v>11914</v>
      </c>
      <c r="U5515" s="18" t="s">
        <v>11915</v>
      </c>
      <c r="V5515" s="18"/>
      <c r="W5515" s="18" t="s">
        <v>11916</v>
      </c>
      <c r="X5515" s="18" t="s">
        <v>42</v>
      </c>
      <c r="Y5515" s="18" t="s">
        <v>36</v>
      </c>
      <c r="Z5515" s="18" t="s">
        <v>166</v>
      </c>
      <c r="AA5515" s="21" t="str">
        <f>HYPERLINK("https://www.ncbi.nlm.nih.gov/nuccore/KF006399","NCBI Nucleotide")</f>
        <v>NCBI Nucleotide</v>
      </c>
    </row>
    <row r="5516" spans="1:27" x14ac:dyDescent="0.35">
      <c r="A5516">
        <v>1007047</v>
      </c>
      <c r="B5516">
        <v>5289</v>
      </c>
      <c r="C5516">
        <v>1</v>
      </c>
      <c r="D5516" s="17" t="s">
        <v>10507</v>
      </c>
      <c r="E5516" s="17"/>
      <c r="F5516" s="17" t="s">
        <v>10780</v>
      </c>
      <c r="G5516" s="17"/>
      <c r="H5516" s="17" t="s">
        <v>10781</v>
      </c>
      <c r="I5516" s="17"/>
      <c r="J5516" s="17" t="s">
        <v>10791</v>
      </c>
      <c r="K5516" s="17"/>
      <c r="L5516" s="17" t="s">
        <v>11236</v>
      </c>
      <c r="M5516" s="17"/>
      <c r="N5516" s="17" t="s">
        <v>11237</v>
      </c>
      <c r="O5516" s="17" t="s">
        <v>11238</v>
      </c>
      <c r="P5516" s="17" t="s">
        <v>11787</v>
      </c>
      <c r="Q5516" s="17"/>
      <c r="R5516" s="25" t="str">
        <f>HYPERLINK("https://ictv.global/taxonomy/taxondetails?taxnode_id=202304077","Gammapapillomavirus 23")</f>
        <v>Gammapapillomavirus 23</v>
      </c>
      <c r="S5516" s="18" t="s">
        <v>30</v>
      </c>
      <c r="T5516" s="18" t="s">
        <v>11917</v>
      </c>
      <c r="U5516" s="18" t="s">
        <v>11918</v>
      </c>
      <c r="V5516" s="18" t="s">
        <v>11919</v>
      </c>
      <c r="W5516" s="18" t="s">
        <v>11920</v>
      </c>
      <c r="X5516" s="18" t="s">
        <v>42</v>
      </c>
      <c r="Y5516" s="18" t="s">
        <v>36</v>
      </c>
      <c r="Z5516" s="18" t="s">
        <v>166</v>
      </c>
      <c r="AA5516" s="21" t="str">
        <f>HYPERLINK("https://www.ncbi.nlm.nih.gov/nuccore/KC108721","NCBI Nucleotide")</f>
        <v>NCBI Nucleotide</v>
      </c>
    </row>
    <row r="5517" spans="1:27" x14ac:dyDescent="0.35">
      <c r="A5517">
        <v>1007048</v>
      </c>
      <c r="B5517">
        <v>5290</v>
      </c>
      <c r="C5517">
        <v>1</v>
      </c>
      <c r="D5517" s="17" t="s">
        <v>10507</v>
      </c>
      <c r="E5517" s="17"/>
      <c r="F5517" s="17" t="s">
        <v>10780</v>
      </c>
      <c r="G5517" s="17"/>
      <c r="H5517" s="17" t="s">
        <v>10781</v>
      </c>
      <c r="I5517" s="17"/>
      <c r="J5517" s="17" t="s">
        <v>10791</v>
      </c>
      <c r="K5517" s="17"/>
      <c r="L5517" s="17" t="s">
        <v>11236</v>
      </c>
      <c r="M5517" s="17"/>
      <c r="N5517" s="17" t="s">
        <v>11237</v>
      </c>
      <c r="O5517" s="17" t="s">
        <v>11238</v>
      </c>
      <c r="P5517" s="17" t="s">
        <v>11787</v>
      </c>
      <c r="Q5517" s="17"/>
      <c r="R5517" s="25" t="str">
        <f>HYPERLINK("https://ictv.global/taxonomy/taxondetails?taxnode_id=202304078","Gammapapillomavirus 24")</f>
        <v>Gammapapillomavirus 24</v>
      </c>
      <c r="S5517" s="18" t="s">
        <v>30</v>
      </c>
      <c r="T5517" s="18" t="s">
        <v>11921</v>
      </c>
      <c r="U5517" s="18" t="s">
        <v>11922</v>
      </c>
      <c r="V5517" s="18"/>
      <c r="W5517" s="18" t="s">
        <v>11923</v>
      </c>
      <c r="X5517" s="18" t="s">
        <v>42</v>
      </c>
      <c r="Y5517" s="18" t="s">
        <v>36</v>
      </c>
      <c r="Z5517" s="18" t="s">
        <v>166</v>
      </c>
      <c r="AA5517" s="21" t="str">
        <f>HYPERLINK("https://www.ncbi.nlm.nih.gov/nuccore/KJ130020","NCBI Nucleotide")</f>
        <v>NCBI Nucleotide</v>
      </c>
    </row>
    <row r="5518" spans="1:27" x14ac:dyDescent="0.35">
      <c r="A5518">
        <v>1012381</v>
      </c>
      <c r="B5518">
        <v>5290</v>
      </c>
      <c r="C5518">
        <v>2</v>
      </c>
      <c r="D5518" s="17" t="s">
        <v>10507</v>
      </c>
      <c r="E5518" s="17"/>
      <c r="F5518" s="17" t="s">
        <v>10780</v>
      </c>
      <c r="G5518" s="17"/>
      <c r="H5518" s="17" t="s">
        <v>10781</v>
      </c>
      <c r="I5518" s="17"/>
      <c r="J5518" s="17" t="s">
        <v>10791</v>
      </c>
      <c r="K5518" s="17"/>
      <c r="L5518" s="17" t="s">
        <v>11236</v>
      </c>
      <c r="M5518" s="17"/>
      <c r="N5518" s="17" t="s">
        <v>11237</v>
      </c>
      <c r="O5518" s="17" t="s">
        <v>11238</v>
      </c>
      <c r="P5518" s="17" t="s">
        <v>11787</v>
      </c>
      <c r="Q5518" s="17"/>
      <c r="R5518" s="25" t="str">
        <f>HYPERLINK("https://ictv.global/taxonomy/taxondetails?taxnode_id=202304078","Gammapapillomavirus 24")</f>
        <v>Gammapapillomavirus 24</v>
      </c>
      <c r="S5518" s="18" t="s">
        <v>8141</v>
      </c>
      <c r="T5518" s="18" t="s">
        <v>11924</v>
      </c>
      <c r="U5518" s="18" t="s">
        <v>11925</v>
      </c>
      <c r="V5518" s="18" t="s">
        <v>11926</v>
      </c>
      <c r="W5518" s="18" t="s">
        <v>48956</v>
      </c>
      <c r="X5518" s="18" t="s">
        <v>42</v>
      </c>
      <c r="Y5518" s="18" t="s">
        <v>36</v>
      </c>
      <c r="Z5518" s="18" t="s">
        <v>166</v>
      </c>
      <c r="AA5518" s="21" t="str">
        <f>HYPERLINK("https://www.ncbi.nlm.nih.gov/nuccore/KM085343","NCBI Nucleotide")</f>
        <v>NCBI Nucleotide</v>
      </c>
    </row>
    <row r="5519" spans="1:27" x14ac:dyDescent="0.35">
      <c r="A5519">
        <v>1007049</v>
      </c>
      <c r="B5519">
        <v>5291</v>
      </c>
      <c r="C5519">
        <v>1</v>
      </c>
      <c r="D5519" s="17" t="s">
        <v>10507</v>
      </c>
      <c r="E5519" s="17"/>
      <c r="F5519" s="17" t="s">
        <v>10780</v>
      </c>
      <c r="G5519" s="17"/>
      <c r="H5519" s="17" t="s">
        <v>10781</v>
      </c>
      <c r="I5519" s="17"/>
      <c r="J5519" s="17" t="s">
        <v>10791</v>
      </c>
      <c r="K5519" s="17"/>
      <c r="L5519" s="17" t="s">
        <v>11236</v>
      </c>
      <c r="M5519" s="17"/>
      <c r="N5519" s="17" t="s">
        <v>11237</v>
      </c>
      <c r="O5519" s="17" t="s">
        <v>11238</v>
      </c>
      <c r="P5519" s="17" t="s">
        <v>11787</v>
      </c>
      <c r="Q5519" s="17"/>
      <c r="R5519" s="25" t="str">
        <f>HYPERLINK("https://ictv.global/taxonomy/taxondetails?taxnode_id=202304079","Gammapapillomavirus 25")</f>
        <v>Gammapapillomavirus 25</v>
      </c>
      <c r="S5519" s="18" t="s">
        <v>30</v>
      </c>
      <c r="T5519" s="18" t="s">
        <v>11927</v>
      </c>
      <c r="U5519" s="18" t="s">
        <v>11928</v>
      </c>
      <c r="V5519" s="18" t="s">
        <v>11929</v>
      </c>
      <c r="W5519" s="18" t="s">
        <v>11930</v>
      </c>
      <c r="X5519" s="18" t="s">
        <v>42</v>
      </c>
      <c r="Y5519" s="18" t="s">
        <v>36</v>
      </c>
      <c r="Z5519" s="18" t="s">
        <v>166</v>
      </c>
      <c r="AA5519" s="21" t="str">
        <f>HYPERLINK("https://www.ncbi.nlm.nih.gov/nuccore/HG530535","NCBI Nucleotide")</f>
        <v>NCBI Nucleotide</v>
      </c>
    </row>
    <row r="5520" spans="1:27" x14ac:dyDescent="0.35">
      <c r="A5520">
        <v>1007050</v>
      </c>
      <c r="B5520">
        <v>5292</v>
      </c>
      <c r="C5520">
        <v>1</v>
      </c>
      <c r="D5520" s="17" t="s">
        <v>10507</v>
      </c>
      <c r="E5520" s="17"/>
      <c r="F5520" s="17" t="s">
        <v>10780</v>
      </c>
      <c r="G5520" s="17"/>
      <c r="H5520" s="17" t="s">
        <v>10781</v>
      </c>
      <c r="I5520" s="17"/>
      <c r="J5520" s="17" t="s">
        <v>10791</v>
      </c>
      <c r="K5520" s="17"/>
      <c r="L5520" s="17" t="s">
        <v>11236</v>
      </c>
      <c r="M5520" s="17"/>
      <c r="N5520" s="17" t="s">
        <v>11237</v>
      </c>
      <c r="O5520" s="17" t="s">
        <v>11238</v>
      </c>
      <c r="P5520" s="17" t="s">
        <v>11787</v>
      </c>
      <c r="Q5520" s="17"/>
      <c r="R5520" s="25" t="str">
        <f>HYPERLINK("https://ictv.global/taxonomy/taxondetails?taxnode_id=202304080","Gammapapillomavirus 26")</f>
        <v>Gammapapillomavirus 26</v>
      </c>
      <c r="S5520" s="18" t="s">
        <v>30</v>
      </c>
      <c r="T5520" s="18" t="s">
        <v>11931</v>
      </c>
      <c r="U5520" s="18" t="s">
        <v>11932</v>
      </c>
      <c r="V5520" s="18" t="s">
        <v>11933</v>
      </c>
      <c r="W5520" s="18" t="s">
        <v>11934</v>
      </c>
      <c r="X5520" s="18" t="s">
        <v>42</v>
      </c>
      <c r="Y5520" s="18" t="s">
        <v>36</v>
      </c>
      <c r="Z5520" s="18" t="s">
        <v>166</v>
      </c>
      <c r="AA5520" s="21" t="str">
        <f>HYPERLINK("https://www.ncbi.nlm.nih.gov/nuccore/KR816174","NCBI Nucleotide")</f>
        <v>NCBI Nucleotide</v>
      </c>
    </row>
    <row r="5521" spans="1:27" x14ac:dyDescent="0.35">
      <c r="A5521">
        <v>1007051</v>
      </c>
      <c r="B5521">
        <v>5293</v>
      </c>
      <c r="C5521">
        <v>1</v>
      </c>
      <c r="D5521" s="17" t="s">
        <v>10507</v>
      </c>
      <c r="E5521" s="17"/>
      <c r="F5521" s="17" t="s">
        <v>10780</v>
      </c>
      <c r="G5521" s="17"/>
      <c r="H5521" s="17" t="s">
        <v>10781</v>
      </c>
      <c r="I5521" s="17"/>
      <c r="J5521" s="17" t="s">
        <v>10791</v>
      </c>
      <c r="K5521" s="17"/>
      <c r="L5521" s="17" t="s">
        <v>11236</v>
      </c>
      <c r="M5521" s="17"/>
      <c r="N5521" s="17" t="s">
        <v>11237</v>
      </c>
      <c r="O5521" s="17" t="s">
        <v>11238</v>
      </c>
      <c r="P5521" s="17" t="s">
        <v>11787</v>
      </c>
      <c r="Q5521" s="17"/>
      <c r="R5521" s="25" t="str">
        <f>HYPERLINK("https://ictv.global/taxonomy/taxondetails?taxnode_id=202305870","Gammapapillomavirus 27")</f>
        <v>Gammapapillomavirus 27</v>
      </c>
      <c r="S5521" s="18" t="s">
        <v>30</v>
      </c>
      <c r="T5521" s="18" t="s">
        <v>11935</v>
      </c>
      <c r="U5521" s="18" t="s">
        <v>11936</v>
      </c>
      <c r="V5521" s="18"/>
      <c r="W5521" s="18" t="s">
        <v>11937</v>
      </c>
      <c r="X5521" s="18" t="s">
        <v>42</v>
      </c>
      <c r="Y5521" s="18" t="s">
        <v>36</v>
      </c>
      <c r="Z5521" s="18" t="s">
        <v>166</v>
      </c>
      <c r="AA5521" s="21" t="str">
        <f>HYPERLINK("https://www.ncbi.nlm.nih.gov/nuccore/KP692115","NCBI Nucleotide")</f>
        <v>NCBI Nucleotide</v>
      </c>
    </row>
    <row r="5522" spans="1:27" x14ac:dyDescent="0.35">
      <c r="A5522">
        <v>1007059</v>
      </c>
      <c r="B5522">
        <v>5294</v>
      </c>
      <c r="C5522">
        <v>1</v>
      </c>
      <c r="D5522" s="17" t="s">
        <v>10507</v>
      </c>
      <c r="E5522" s="17"/>
      <c r="F5522" s="17" t="s">
        <v>10780</v>
      </c>
      <c r="G5522" s="17"/>
      <c r="H5522" s="17" t="s">
        <v>10781</v>
      </c>
      <c r="I5522" s="17"/>
      <c r="J5522" s="17" t="s">
        <v>10791</v>
      </c>
      <c r="K5522" s="17"/>
      <c r="L5522" s="17" t="s">
        <v>11236</v>
      </c>
      <c r="M5522" s="17"/>
      <c r="N5522" s="17" t="s">
        <v>11237</v>
      </c>
      <c r="O5522" s="17" t="s">
        <v>11238</v>
      </c>
      <c r="P5522" s="17" t="s">
        <v>11999</v>
      </c>
      <c r="Q5522" s="17"/>
      <c r="R5522" s="25" t="str">
        <f>HYPERLINK("https://ictv.global/taxonomy/taxondetails?taxnode_id=202304082","Iotapapillomavirus 1")</f>
        <v>Iotapapillomavirus 1</v>
      </c>
      <c r="S5522" s="18" t="s">
        <v>30</v>
      </c>
      <c r="T5522" s="18" t="s">
        <v>12000</v>
      </c>
      <c r="U5522" s="18" t="s">
        <v>12001</v>
      </c>
      <c r="V5522" s="18"/>
      <c r="W5522" s="18" t="s">
        <v>12002</v>
      </c>
      <c r="X5522" s="18" t="s">
        <v>42</v>
      </c>
      <c r="Y5522" s="18" t="s">
        <v>36</v>
      </c>
      <c r="Z5522" s="18" t="s">
        <v>166</v>
      </c>
      <c r="AA5522" s="21" t="str">
        <f>HYPERLINK("https://www.ncbi.nlm.nih.gov/nuccore/U01834","NCBI Nucleotide")</f>
        <v>NCBI Nucleotide</v>
      </c>
    </row>
    <row r="5523" spans="1:27" x14ac:dyDescent="0.35">
      <c r="A5523">
        <v>1012396</v>
      </c>
      <c r="B5523">
        <v>5294</v>
      </c>
      <c r="C5523">
        <v>2</v>
      </c>
      <c r="D5523" s="17" t="s">
        <v>10507</v>
      </c>
      <c r="E5523" s="17"/>
      <c r="F5523" s="17" t="s">
        <v>10780</v>
      </c>
      <c r="G5523" s="17"/>
      <c r="H5523" s="17" t="s">
        <v>10781</v>
      </c>
      <c r="I5523" s="17"/>
      <c r="J5523" s="17" t="s">
        <v>10791</v>
      </c>
      <c r="K5523" s="17"/>
      <c r="L5523" s="17" t="s">
        <v>11236</v>
      </c>
      <c r="M5523" s="17"/>
      <c r="N5523" s="17" t="s">
        <v>11237</v>
      </c>
      <c r="O5523" s="17" t="s">
        <v>11238</v>
      </c>
      <c r="P5523" s="17" t="s">
        <v>11999</v>
      </c>
      <c r="Q5523" s="17"/>
      <c r="R5523" s="25" t="str">
        <f>HYPERLINK("https://ictv.global/taxonomy/taxondetails?taxnode_id=202304082","Iotapapillomavirus 1")</f>
        <v>Iotapapillomavirus 1</v>
      </c>
      <c r="S5523" s="18" t="s">
        <v>8141</v>
      </c>
      <c r="T5523" s="18" t="s">
        <v>12003</v>
      </c>
      <c r="U5523" s="18" t="s">
        <v>12004</v>
      </c>
      <c r="V5523" s="18"/>
      <c r="W5523" s="18" t="s">
        <v>48957</v>
      </c>
      <c r="X5523" s="18" t="s">
        <v>42</v>
      </c>
      <c r="Y5523" s="18" t="s">
        <v>36</v>
      </c>
      <c r="Z5523" s="18" t="s">
        <v>166</v>
      </c>
      <c r="AA5523" s="21" t="str">
        <f>HYPERLINK("https://www.ncbi.nlm.nih.gov/nuccore/HQ625441","NCBI Nucleotide")</f>
        <v>NCBI Nucleotide</v>
      </c>
    </row>
    <row r="5524" spans="1:27" x14ac:dyDescent="0.35">
      <c r="A5524">
        <v>1012397</v>
      </c>
      <c r="B5524">
        <v>5294</v>
      </c>
      <c r="C5524">
        <v>3</v>
      </c>
      <c r="D5524" s="17" t="s">
        <v>10507</v>
      </c>
      <c r="E5524" s="17"/>
      <c r="F5524" s="17" t="s">
        <v>10780</v>
      </c>
      <c r="G5524" s="17"/>
      <c r="H5524" s="17" t="s">
        <v>10781</v>
      </c>
      <c r="I5524" s="17"/>
      <c r="J5524" s="17" t="s">
        <v>10791</v>
      </c>
      <c r="K5524" s="17"/>
      <c r="L5524" s="17" t="s">
        <v>11236</v>
      </c>
      <c r="M5524" s="17"/>
      <c r="N5524" s="17" t="s">
        <v>11237</v>
      </c>
      <c r="O5524" s="17" t="s">
        <v>11238</v>
      </c>
      <c r="P5524" s="17" t="s">
        <v>11999</v>
      </c>
      <c r="Q5524" s="17"/>
      <c r="R5524" s="25" t="str">
        <f>HYPERLINK("https://ictv.global/taxonomy/taxondetails?taxnode_id=202304082","Iotapapillomavirus 1")</f>
        <v>Iotapapillomavirus 1</v>
      </c>
      <c r="S5524" s="18" t="s">
        <v>8141</v>
      </c>
      <c r="T5524" s="18" t="s">
        <v>12005</v>
      </c>
      <c r="U5524" s="18" t="s">
        <v>12006</v>
      </c>
      <c r="V5524" s="18" t="s">
        <v>12007</v>
      </c>
      <c r="W5524" s="18" t="s">
        <v>48958</v>
      </c>
      <c r="X5524" s="18" t="s">
        <v>42</v>
      </c>
      <c r="Y5524" s="18" t="s">
        <v>36</v>
      </c>
      <c r="Z5524" s="18" t="s">
        <v>166</v>
      </c>
      <c r="AA5524" s="21" t="str">
        <f>HYPERLINK("https://www.ncbi.nlm.nih.gov/nuccore/KT945134","NCBI Nucleotide")</f>
        <v>NCBI Nucleotide</v>
      </c>
    </row>
    <row r="5525" spans="1:27" x14ac:dyDescent="0.35">
      <c r="A5525">
        <v>1007060</v>
      </c>
      <c r="B5525">
        <v>5295</v>
      </c>
      <c r="C5525">
        <v>1</v>
      </c>
      <c r="D5525" s="17" t="s">
        <v>10507</v>
      </c>
      <c r="E5525" s="17"/>
      <c r="F5525" s="17" t="s">
        <v>10780</v>
      </c>
      <c r="G5525" s="17"/>
      <c r="H5525" s="17" t="s">
        <v>10781</v>
      </c>
      <c r="I5525" s="17"/>
      <c r="J5525" s="17" t="s">
        <v>10791</v>
      </c>
      <c r="K5525" s="17"/>
      <c r="L5525" s="17" t="s">
        <v>11236</v>
      </c>
      <c r="M5525" s="17"/>
      <c r="N5525" s="17" t="s">
        <v>11237</v>
      </c>
      <c r="O5525" s="17" t="s">
        <v>11238</v>
      </c>
      <c r="P5525" s="17" t="s">
        <v>11999</v>
      </c>
      <c r="Q5525" s="17"/>
      <c r="R5525" s="25" t="str">
        <f>HYPERLINK("https://ictv.global/taxonomy/taxondetails?taxnode_id=202305871","Iotapapillomavirus 2")</f>
        <v>Iotapapillomavirus 2</v>
      </c>
      <c r="S5525" s="18" t="s">
        <v>30</v>
      </c>
      <c r="T5525" s="18" t="s">
        <v>12008</v>
      </c>
      <c r="U5525" s="18" t="s">
        <v>12009</v>
      </c>
      <c r="V5525" s="18" t="s">
        <v>12010</v>
      </c>
      <c r="W5525" s="18" t="s">
        <v>12011</v>
      </c>
      <c r="X5525" s="18" t="s">
        <v>42</v>
      </c>
      <c r="Y5525" s="18" t="s">
        <v>36</v>
      </c>
      <c r="Z5525" s="18" t="s">
        <v>166</v>
      </c>
      <c r="AA5525" s="21" t="str">
        <f>HYPERLINK("https://www.ncbi.nlm.nih.gov/nuccore/JF755418","NCBI Nucleotide")</f>
        <v>NCBI Nucleotide</v>
      </c>
    </row>
    <row r="5526" spans="1:27" x14ac:dyDescent="0.35">
      <c r="A5526">
        <v>1007061</v>
      </c>
      <c r="B5526">
        <v>5296</v>
      </c>
      <c r="C5526">
        <v>1</v>
      </c>
      <c r="D5526" s="17" t="s">
        <v>10507</v>
      </c>
      <c r="E5526" s="17"/>
      <c r="F5526" s="17" t="s">
        <v>10780</v>
      </c>
      <c r="G5526" s="17"/>
      <c r="H5526" s="17" t="s">
        <v>10781</v>
      </c>
      <c r="I5526" s="17"/>
      <c r="J5526" s="17" t="s">
        <v>10791</v>
      </c>
      <c r="K5526" s="17"/>
      <c r="L5526" s="17" t="s">
        <v>11236</v>
      </c>
      <c r="M5526" s="17"/>
      <c r="N5526" s="17" t="s">
        <v>11237</v>
      </c>
      <c r="O5526" s="17" t="s">
        <v>11238</v>
      </c>
      <c r="P5526" s="17" t="s">
        <v>12012</v>
      </c>
      <c r="Q5526" s="17"/>
      <c r="R5526" s="25" t="str">
        <f>HYPERLINK("https://ictv.global/taxonomy/taxondetails?taxnode_id=202304084","Kappapapillomavirus 1")</f>
        <v>Kappapapillomavirus 1</v>
      </c>
      <c r="S5526" s="18" t="s">
        <v>30</v>
      </c>
      <c r="T5526" s="18" t="s">
        <v>12013</v>
      </c>
      <c r="U5526" s="18" t="s">
        <v>12014</v>
      </c>
      <c r="V5526" s="18"/>
      <c r="W5526" s="18" t="s">
        <v>12015</v>
      </c>
      <c r="X5526" s="18" t="s">
        <v>42</v>
      </c>
      <c r="Y5526" s="18" t="s">
        <v>36</v>
      </c>
      <c r="Z5526" s="18" t="s">
        <v>166</v>
      </c>
      <c r="AA5526" s="21" t="str">
        <f>HYPERLINK("https://www.ncbi.nlm.nih.gov/nuccore/AF227240","NCBI Nucleotide")</f>
        <v>NCBI Nucleotide</v>
      </c>
    </row>
    <row r="5527" spans="1:27" x14ac:dyDescent="0.35">
      <c r="A5527">
        <v>1007062</v>
      </c>
      <c r="B5527">
        <v>5297</v>
      </c>
      <c r="C5527">
        <v>1</v>
      </c>
      <c r="D5527" s="17" t="s">
        <v>10507</v>
      </c>
      <c r="E5527" s="17"/>
      <c r="F5527" s="17" t="s">
        <v>10780</v>
      </c>
      <c r="G5527" s="17"/>
      <c r="H5527" s="17" t="s">
        <v>10781</v>
      </c>
      <c r="I5527" s="17"/>
      <c r="J5527" s="17" t="s">
        <v>10791</v>
      </c>
      <c r="K5527" s="17"/>
      <c r="L5527" s="17" t="s">
        <v>11236</v>
      </c>
      <c r="M5527" s="17"/>
      <c r="N5527" s="17" t="s">
        <v>11237</v>
      </c>
      <c r="O5527" s="17" t="s">
        <v>11238</v>
      </c>
      <c r="P5527" s="17" t="s">
        <v>12012</v>
      </c>
      <c r="Q5527" s="17"/>
      <c r="R5527" s="25" t="str">
        <f>HYPERLINK("https://ictv.global/taxonomy/taxondetails?taxnode_id=202304085","Kappapapillomavirus 2")</f>
        <v>Kappapapillomavirus 2</v>
      </c>
      <c r="S5527" s="18" t="s">
        <v>30</v>
      </c>
      <c r="T5527" s="18" t="s">
        <v>12016</v>
      </c>
      <c r="U5527" s="18" t="s">
        <v>12017</v>
      </c>
      <c r="V5527" s="18"/>
      <c r="W5527" s="18" t="s">
        <v>12018</v>
      </c>
      <c r="X5527" s="18" t="s">
        <v>42</v>
      </c>
      <c r="Y5527" s="18" t="s">
        <v>36</v>
      </c>
      <c r="Z5527" s="18" t="s">
        <v>166</v>
      </c>
      <c r="AA5527" s="21" t="str">
        <f>HYPERLINK("https://www.ncbi.nlm.nih.gov/nuccore/K02708","NCBI Nucleotide")</f>
        <v>NCBI Nucleotide</v>
      </c>
    </row>
    <row r="5528" spans="1:27" x14ac:dyDescent="0.35">
      <c r="A5528">
        <v>1007063</v>
      </c>
      <c r="B5528">
        <v>5298</v>
      </c>
      <c r="C5528">
        <v>1</v>
      </c>
      <c r="D5528" s="17" t="s">
        <v>10507</v>
      </c>
      <c r="E5528" s="17"/>
      <c r="F5528" s="17" t="s">
        <v>10780</v>
      </c>
      <c r="G5528" s="17"/>
      <c r="H5528" s="17" t="s">
        <v>10781</v>
      </c>
      <c r="I5528" s="17"/>
      <c r="J5528" s="17" t="s">
        <v>10791</v>
      </c>
      <c r="K5528" s="17"/>
      <c r="L5528" s="17" t="s">
        <v>11236</v>
      </c>
      <c r="M5528" s="17"/>
      <c r="N5528" s="17" t="s">
        <v>11237</v>
      </c>
      <c r="O5528" s="17" t="s">
        <v>11238</v>
      </c>
      <c r="P5528" s="17" t="s">
        <v>12019</v>
      </c>
      <c r="Q5528" s="17"/>
      <c r="R5528" s="25" t="str">
        <f>HYPERLINK("https://ictv.global/taxonomy/taxondetails?taxnode_id=202304087","Lambdapapillomavirus 1")</f>
        <v>Lambdapapillomavirus 1</v>
      </c>
      <c r="S5528" s="18" t="s">
        <v>30</v>
      </c>
      <c r="T5528" s="18" t="s">
        <v>12020</v>
      </c>
      <c r="U5528" s="18" t="s">
        <v>12021</v>
      </c>
      <c r="V5528" s="18"/>
      <c r="W5528" s="18" t="s">
        <v>12022</v>
      </c>
      <c r="X5528" s="18" t="s">
        <v>42</v>
      </c>
      <c r="Y5528" s="18" t="s">
        <v>36</v>
      </c>
      <c r="Z5528" s="18" t="s">
        <v>166</v>
      </c>
      <c r="AA5528" s="21" t="str">
        <f>HYPERLINK("https://www.ncbi.nlm.nih.gov/nuccore/AF480454","NCBI Nucleotide")</f>
        <v>NCBI Nucleotide</v>
      </c>
    </row>
    <row r="5529" spans="1:27" x14ac:dyDescent="0.35">
      <c r="A5529">
        <v>1012398</v>
      </c>
      <c r="B5529">
        <v>5298</v>
      </c>
      <c r="C5529">
        <v>2</v>
      </c>
      <c r="D5529" s="17" t="s">
        <v>10507</v>
      </c>
      <c r="E5529" s="17"/>
      <c r="F5529" s="17" t="s">
        <v>10780</v>
      </c>
      <c r="G5529" s="17"/>
      <c r="H5529" s="17" t="s">
        <v>10781</v>
      </c>
      <c r="I5529" s="17"/>
      <c r="J5529" s="17" t="s">
        <v>10791</v>
      </c>
      <c r="K5529" s="17"/>
      <c r="L5529" s="17" t="s">
        <v>11236</v>
      </c>
      <c r="M5529" s="17"/>
      <c r="N5529" s="17" t="s">
        <v>11237</v>
      </c>
      <c r="O5529" s="17" t="s">
        <v>11238</v>
      </c>
      <c r="P5529" s="17" t="s">
        <v>12019</v>
      </c>
      <c r="Q5529" s="17"/>
      <c r="R5529" s="25" t="str">
        <f>HYPERLINK("https://ictv.global/taxonomy/taxondetails?taxnode_id=202304087","Lambdapapillomavirus 1")</f>
        <v>Lambdapapillomavirus 1</v>
      </c>
      <c r="S5529" s="18" t="s">
        <v>8141</v>
      </c>
      <c r="T5529" s="18" t="s">
        <v>12023</v>
      </c>
      <c r="U5529" s="18" t="s">
        <v>12024</v>
      </c>
      <c r="V5529" s="18"/>
      <c r="W5529" s="18" t="s">
        <v>48959</v>
      </c>
      <c r="X5529" s="18" t="s">
        <v>42</v>
      </c>
      <c r="Y5529" s="18" t="s">
        <v>36</v>
      </c>
      <c r="Z5529" s="18" t="s">
        <v>166</v>
      </c>
      <c r="AA5529" s="21" t="str">
        <f>HYPERLINK("https://www.ncbi.nlm.nih.gov/nuccore/AY904722","NCBI Nucleotide")</f>
        <v>NCBI Nucleotide</v>
      </c>
    </row>
    <row r="5530" spans="1:27" x14ac:dyDescent="0.35">
      <c r="A5530">
        <v>1012400</v>
      </c>
      <c r="B5530">
        <v>5298</v>
      </c>
      <c r="C5530">
        <v>3</v>
      </c>
      <c r="D5530" s="17" t="s">
        <v>10507</v>
      </c>
      <c r="E5530" s="17"/>
      <c r="F5530" s="17" t="s">
        <v>10780</v>
      </c>
      <c r="G5530" s="17"/>
      <c r="H5530" s="17" t="s">
        <v>10781</v>
      </c>
      <c r="I5530" s="17"/>
      <c r="J5530" s="17" t="s">
        <v>10791</v>
      </c>
      <c r="K5530" s="17"/>
      <c r="L5530" s="17" t="s">
        <v>11236</v>
      </c>
      <c r="M5530" s="17"/>
      <c r="N5530" s="17" t="s">
        <v>11237</v>
      </c>
      <c r="O5530" s="17" t="s">
        <v>11238</v>
      </c>
      <c r="P5530" s="17" t="s">
        <v>12019</v>
      </c>
      <c r="Q5530" s="17"/>
      <c r="R5530" s="25" t="str">
        <f>HYPERLINK("https://ictv.global/taxonomy/taxondetails?taxnode_id=202304087","Lambdapapillomavirus 1")</f>
        <v>Lambdapapillomavirus 1</v>
      </c>
      <c r="S5530" s="18" t="s">
        <v>8141</v>
      </c>
      <c r="T5530" s="18" t="s">
        <v>12027</v>
      </c>
      <c r="U5530" s="18" t="s">
        <v>12028</v>
      </c>
      <c r="V5530" s="18"/>
      <c r="W5530" s="18" t="s">
        <v>48960</v>
      </c>
      <c r="X5530" s="18" t="s">
        <v>42</v>
      </c>
      <c r="Y5530" s="18" t="s">
        <v>36</v>
      </c>
      <c r="Z5530" s="18" t="s">
        <v>166</v>
      </c>
      <c r="AA5530" s="21" t="str">
        <f>HYPERLINK("https://www.ncbi.nlm.nih.gov/nuccore/AY904724","NCBI Nucleotide")</f>
        <v>NCBI Nucleotide</v>
      </c>
    </row>
    <row r="5531" spans="1:27" x14ac:dyDescent="0.35">
      <c r="A5531">
        <v>1012399</v>
      </c>
      <c r="B5531">
        <v>5298</v>
      </c>
      <c r="C5531">
        <v>4</v>
      </c>
      <c r="D5531" s="17" t="s">
        <v>10507</v>
      </c>
      <c r="E5531" s="17"/>
      <c r="F5531" s="17" t="s">
        <v>10780</v>
      </c>
      <c r="G5531" s="17"/>
      <c r="H5531" s="17" t="s">
        <v>10781</v>
      </c>
      <c r="I5531" s="17"/>
      <c r="J5531" s="17" t="s">
        <v>10791</v>
      </c>
      <c r="K5531" s="17"/>
      <c r="L5531" s="17" t="s">
        <v>11236</v>
      </c>
      <c r="M5531" s="17"/>
      <c r="N5531" s="17" t="s">
        <v>11237</v>
      </c>
      <c r="O5531" s="17" t="s">
        <v>11238</v>
      </c>
      <c r="P5531" s="17" t="s">
        <v>12019</v>
      </c>
      <c r="Q5531" s="17"/>
      <c r="R5531" s="25" t="str">
        <f>HYPERLINK("https://ictv.global/taxonomy/taxondetails?taxnode_id=202304087","Lambdapapillomavirus 1")</f>
        <v>Lambdapapillomavirus 1</v>
      </c>
      <c r="S5531" s="18" t="s">
        <v>8141</v>
      </c>
      <c r="T5531" s="18" t="s">
        <v>12025</v>
      </c>
      <c r="U5531" s="18" t="s">
        <v>12026</v>
      </c>
      <c r="V5531" s="18"/>
      <c r="W5531" s="18" t="s">
        <v>48961</v>
      </c>
      <c r="X5531" s="18" t="s">
        <v>42</v>
      </c>
      <c r="Y5531" s="18" t="s">
        <v>36</v>
      </c>
      <c r="Z5531" s="18" t="s">
        <v>166</v>
      </c>
      <c r="AA5531" s="21" t="str">
        <f>HYPERLINK("https://www.ncbi.nlm.nih.gov/nuccore/AY904723","NCBI Nucleotide")</f>
        <v>NCBI Nucleotide</v>
      </c>
    </row>
    <row r="5532" spans="1:27" x14ac:dyDescent="0.35">
      <c r="A5532">
        <v>1012401</v>
      </c>
      <c r="B5532">
        <v>5298</v>
      </c>
      <c r="C5532">
        <v>5</v>
      </c>
      <c r="D5532" s="17" t="s">
        <v>10507</v>
      </c>
      <c r="E5532" s="17"/>
      <c r="F5532" s="17" t="s">
        <v>10780</v>
      </c>
      <c r="G5532" s="17"/>
      <c r="H5532" s="17" t="s">
        <v>10781</v>
      </c>
      <c r="I5532" s="17"/>
      <c r="J5532" s="17" t="s">
        <v>10791</v>
      </c>
      <c r="K5532" s="17"/>
      <c r="L5532" s="17" t="s">
        <v>11236</v>
      </c>
      <c r="M5532" s="17"/>
      <c r="N5532" s="17" t="s">
        <v>11237</v>
      </c>
      <c r="O5532" s="17" t="s">
        <v>11238</v>
      </c>
      <c r="P5532" s="17" t="s">
        <v>12019</v>
      </c>
      <c r="Q5532" s="17"/>
      <c r="R5532" s="25" t="str">
        <f>HYPERLINK("https://ictv.global/taxonomy/taxondetails?taxnode_id=202304087","Lambdapapillomavirus 1")</f>
        <v>Lambdapapillomavirus 1</v>
      </c>
      <c r="S5532" s="18" t="s">
        <v>8141</v>
      </c>
      <c r="T5532" s="18" t="s">
        <v>12029</v>
      </c>
      <c r="U5532" s="18" t="s">
        <v>12030</v>
      </c>
      <c r="V5532" s="18"/>
      <c r="W5532" s="18" t="s">
        <v>48962</v>
      </c>
      <c r="X5532" s="18" t="s">
        <v>42</v>
      </c>
      <c r="Y5532" s="18" t="s">
        <v>36</v>
      </c>
      <c r="Z5532" s="18" t="s">
        <v>166</v>
      </c>
      <c r="AA5532" s="21" t="str">
        <f>HYPERLINK("https://www.ncbi.nlm.nih.gov/nuccore/DQ180494","NCBI Nucleotide")</f>
        <v>NCBI Nucleotide</v>
      </c>
    </row>
    <row r="5533" spans="1:27" x14ac:dyDescent="0.35">
      <c r="A5533">
        <v>1007064</v>
      </c>
      <c r="B5533">
        <v>5299</v>
      </c>
      <c r="C5533">
        <v>1</v>
      </c>
      <c r="D5533" s="17" t="s">
        <v>10507</v>
      </c>
      <c r="E5533" s="17"/>
      <c r="F5533" s="17" t="s">
        <v>10780</v>
      </c>
      <c r="G5533" s="17"/>
      <c r="H5533" s="17" t="s">
        <v>10781</v>
      </c>
      <c r="I5533" s="17"/>
      <c r="J5533" s="17" t="s">
        <v>10791</v>
      </c>
      <c r="K5533" s="17"/>
      <c r="L5533" s="17" t="s">
        <v>11236</v>
      </c>
      <c r="M5533" s="17"/>
      <c r="N5533" s="17" t="s">
        <v>11237</v>
      </c>
      <c r="O5533" s="17" t="s">
        <v>11238</v>
      </c>
      <c r="P5533" s="17" t="s">
        <v>12019</v>
      </c>
      <c r="Q5533" s="17"/>
      <c r="R5533" s="25" t="str">
        <f>HYPERLINK("https://ictv.global/taxonomy/taxondetails?taxnode_id=202304088","Lambdapapillomavirus 2")</f>
        <v>Lambdapapillomavirus 2</v>
      </c>
      <c r="S5533" s="18" t="s">
        <v>30</v>
      </c>
      <c r="T5533" s="18" t="s">
        <v>12031</v>
      </c>
      <c r="U5533" s="18" t="s">
        <v>12032</v>
      </c>
      <c r="V5533" s="18" t="s">
        <v>12033</v>
      </c>
      <c r="W5533" s="18" t="s">
        <v>12034</v>
      </c>
      <c r="X5533" s="18" t="s">
        <v>42</v>
      </c>
      <c r="Y5533" s="18" t="s">
        <v>36</v>
      </c>
      <c r="Z5533" s="18" t="s">
        <v>166</v>
      </c>
      <c r="AA5533" s="21" t="str">
        <f>HYPERLINK("https://www.ncbi.nlm.nih.gov/nuccore/D55633","NCBI Nucleotide")</f>
        <v>NCBI Nucleotide</v>
      </c>
    </row>
    <row r="5534" spans="1:27" x14ac:dyDescent="0.35">
      <c r="A5534">
        <v>1007065</v>
      </c>
      <c r="B5534">
        <v>5300</v>
      </c>
      <c r="C5534">
        <v>1</v>
      </c>
      <c r="D5534" s="17" t="s">
        <v>10507</v>
      </c>
      <c r="E5534" s="17"/>
      <c r="F5534" s="17" t="s">
        <v>10780</v>
      </c>
      <c r="G5534" s="17"/>
      <c r="H5534" s="17" t="s">
        <v>10781</v>
      </c>
      <c r="I5534" s="17"/>
      <c r="J5534" s="17" t="s">
        <v>10791</v>
      </c>
      <c r="K5534" s="17"/>
      <c r="L5534" s="17" t="s">
        <v>11236</v>
      </c>
      <c r="M5534" s="17"/>
      <c r="N5534" s="17" t="s">
        <v>11237</v>
      </c>
      <c r="O5534" s="17" t="s">
        <v>11238</v>
      </c>
      <c r="P5534" s="17" t="s">
        <v>12019</v>
      </c>
      <c r="Q5534" s="17"/>
      <c r="R5534" s="25" t="str">
        <f>HYPERLINK("https://ictv.global/taxonomy/taxondetails?taxnode_id=202304089","Lambdapapillomavirus 3")</f>
        <v>Lambdapapillomavirus 3</v>
      </c>
      <c r="S5534" s="18" t="s">
        <v>30</v>
      </c>
      <c r="T5534" s="18" t="s">
        <v>12035</v>
      </c>
      <c r="U5534" s="18" t="s">
        <v>12036</v>
      </c>
      <c r="V5534" s="18" t="s">
        <v>12037</v>
      </c>
      <c r="W5534" s="18" t="s">
        <v>12038</v>
      </c>
      <c r="X5534" s="18" t="s">
        <v>42</v>
      </c>
      <c r="Y5534" s="18" t="s">
        <v>36</v>
      </c>
      <c r="Z5534" s="18" t="s">
        <v>166</v>
      </c>
      <c r="AA5534" s="21" t="str">
        <f>HYPERLINK("https://www.ncbi.nlm.nih.gov/nuccore/FJ492744","NCBI Nucleotide")</f>
        <v>NCBI Nucleotide</v>
      </c>
    </row>
    <row r="5535" spans="1:27" x14ac:dyDescent="0.35">
      <c r="A5535">
        <v>1007066</v>
      </c>
      <c r="B5535">
        <v>5301</v>
      </c>
      <c r="C5535">
        <v>1</v>
      </c>
      <c r="D5535" s="17" t="s">
        <v>10507</v>
      </c>
      <c r="E5535" s="17"/>
      <c r="F5535" s="17" t="s">
        <v>10780</v>
      </c>
      <c r="G5535" s="17"/>
      <c r="H5535" s="17" t="s">
        <v>10781</v>
      </c>
      <c r="I5535" s="17"/>
      <c r="J5535" s="17" t="s">
        <v>10791</v>
      </c>
      <c r="K5535" s="17"/>
      <c r="L5535" s="17" t="s">
        <v>11236</v>
      </c>
      <c r="M5535" s="17"/>
      <c r="N5535" s="17" t="s">
        <v>11237</v>
      </c>
      <c r="O5535" s="17" t="s">
        <v>11238</v>
      </c>
      <c r="P5535" s="17" t="s">
        <v>12019</v>
      </c>
      <c r="Q5535" s="17"/>
      <c r="R5535" s="25" t="str">
        <f>HYPERLINK("https://ictv.global/taxonomy/taxondetails?taxnode_id=202304090","Lambdapapillomavirus 4")</f>
        <v>Lambdapapillomavirus 4</v>
      </c>
      <c r="S5535" s="18" t="s">
        <v>30</v>
      </c>
      <c r="T5535" s="18" t="s">
        <v>12039</v>
      </c>
      <c r="U5535" s="18" t="s">
        <v>12040</v>
      </c>
      <c r="V5535" s="18" t="s">
        <v>12041</v>
      </c>
      <c r="W5535" s="18" t="s">
        <v>12042</v>
      </c>
      <c r="X5535" s="18" t="s">
        <v>42</v>
      </c>
      <c r="Y5535" s="18" t="s">
        <v>36</v>
      </c>
      <c r="Z5535" s="18" t="s">
        <v>166</v>
      </c>
      <c r="AA5535" s="21" t="str">
        <f>HYPERLINK("https://www.ncbi.nlm.nih.gov/nuccore/AY763115","NCBI Nucleotide")</f>
        <v>NCBI Nucleotide</v>
      </c>
    </row>
    <row r="5536" spans="1:27" x14ac:dyDescent="0.35">
      <c r="A5536">
        <v>1012402</v>
      </c>
      <c r="B5536">
        <v>5301</v>
      </c>
      <c r="C5536">
        <v>2</v>
      </c>
      <c r="D5536" s="17" t="s">
        <v>10507</v>
      </c>
      <c r="E5536" s="17"/>
      <c r="F5536" s="17" t="s">
        <v>10780</v>
      </c>
      <c r="G5536" s="17"/>
      <c r="H5536" s="17" t="s">
        <v>10781</v>
      </c>
      <c r="I5536" s="17"/>
      <c r="J5536" s="17" t="s">
        <v>10791</v>
      </c>
      <c r="K5536" s="17"/>
      <c r="L5536" s="17" t="s">
        <v>11236</v>
      </c>
      <c r="M5536" s="17"/>
      <c r="N5536" s="17" t="s">
        <v>11237</v>
      </c>
      <c r="O5536" s="17" t="s">
        <v>11238</v>
      </c>
      <c r="P5536" s="17" t="s">
        <v>12019</v>
      </c>
      <c r="Q5536" s="17"/>
      <c r="R5536" s="25" t="str">
        <f>HYPERLINK("https://ictv.global/taxonomy/taxondetails?taxnode_id=202304090","Lambdapapillomavirus 4")</f>
        <v>Lambdapapillomavirus 4</v>
      </c>
      <c r="S5536" s="18" t="s">
        <v>8141</v>
      </c>
      <c r="T5536" s="18" t="s">
        <v>12043</v>
      </c>
      <c r="U5536" s="18" t="s">
        <v>12044</v>
      </c>
      <c r="V5536" s="18" t="s">
        <v>12045</v>
      </c>
      <c r="W5536" s="18" t="s">
        <v>48963</v>
      </c>
      <c r="X5536" s="18" t="s">
        <v>42</v>
      </c>
      <c r="Y5536" s="18" t="s">
        <v>36</v>
      </c>
      <c r="Z5536" s="18" t="s">
        <v>166</v>
      </c>
      <c r="AA5536" s="21" t="str">
        <f>HYPERLINK("https://www.ncbi.nlm.nih.gov/nuccore/KJ410351","NCBI Nucleotide")</f>
        <v>NCBI Nucleotide</v>
      </c>
    </row>
    <row r="5537" spans="1:27" x14ac:dyDescent="0.35">
      <c r="A5537">
        <v>1007067</v>
      </c>
      <c r="B5537">
        <v>5302</v>
      </c>
      <c r="C5537">
        <v>1</v>
      </c>
      <c r="D5537" s="17" t="s">
        <v>10507</v>
      </c>
      <c r="E5537" s="17"/>
      <c r="F5537" s="17" t="s">
        <v>10780</v>
      </c>
      <c r="G5537" s="17"/>
      <c r="H5537" s="17" t="s">
        <v>10781</v>
      </c>
      <c r="I5537" s="17"/>
      <c r="J5537" s="17" t="s">
        <v>10791</v>
      </c>
      <c r="K5537" s="17"/>
      <c r="L5537" s="17" t="s">
        <v>11236</v>
      </c>
      <c r="M5537" s="17"/>
      <c r="N5537" s="17" t="s">
        <v>11237</v>
      </c>
      <c r="O5537" s="17" t="s">
        <v>11238</v>
      </c>
      <c r="P5537" s="17" t="s">
        <v>12019</v>
      </c>
      <c r="Q5537" s="17"/>
      <c r="R5537" s="25" t="str">
        <f>HYPERLINK("https://ictv.global/taxonomy/taxondetails?taxnode_id=202304091","Lambdapapillomavirus 5")</f>
        <v>Lambdapapillomavirus 5</v>
      </c>
      <c r="S5537" s="18" t="s">
        <v>30</v>
      </c>
      <c r="T5537" s="18" t="s">
        <v>12046</v>
      </c>
      <c r="U5537" s="18" t="s">
        <v>12047</v>
      </c>
      <c r="V5537" s="18"/>
      <c r="W5537" s="18" t="s">
        <v>12048</v>
      </c>
      <c r="X5537" s="18" t="s">
        <v>42</v>
      </c>
      <c r="Y5537" s="18" t="s">
        <v>36</v>
      </c>
      <c r="Z5537" s="18" t="s">
        <v>166</v>
      </c>
      <c r="AA5537" s="21" t="str">
        <f>HYPERLINK("https://www.ncbi.nlm.nih.gov/nuccore/HQ585856","NCBI Nucleotide")</f>
        <v>NCBI Nucleotide</v>
      </c>
    </row>
    <row r="5538" spans="1:27" x14ac:dyDescent="0.35">
      <c r="A5538">
        <v>1007068</v>
      </c>
      <c r="B5538">
        <v>5303</v>
      </c>
      <c r="C5538">
        <v>1</v>
      </c>
      <c r="D5538" s="17" t="s">
        <v>10507</v>
      </c>
      <c r="E5538" s="17"/>
      <c r="F5538" s="17" t="s">
        <v>10780</v>
      </c>
      <c r="G5538" s="17"/>
      <c r="H5538" s="17" t="s">
        <v>10781</v>
      </c>
      <c r="I5538" s="17"/>
      <c r="J5538" s="17" t="s">
        <v>10791</v>
      </c>
      <c r="K5538" s="17"/>
      <c r="L5538" s="17" t="s">
        <v>11236</v>
      </c>
      <c r="M5538" s="17"/>
      <c r="N5538" s="17" t="s">
        <v>11237</v>
      </c>
      <c r="O5538" s="17" t="s">
        <v>11238</v>
      </c>
      <c r="P5538" s="17" t="s">
        <v>12049</v>
      </c>
      <c r="Q5538" s="17"/>
      <c r="R5538" s="25" t="str">
        <f>HYPERLINK("https://ictv.global/taxonomy/taxondetails?taxnode_id=202304093","Mupapillomavirus 1")</f>
        <v>Mupapillomavirus 1</v>
      </c>
      <c r="S5538" s="18" t="s">
        <v>30</v>
      </c>
      <c r="T5538" s="18" t="s">
        <v>12050</v>
      </c>
      <c r="U5538" s="18" t="s">
        <v>12051</v>
      </c>
      <c r="V5538" s="18"/>
      <c r="W5538" s="18" t="s">
        <v>12052</v>
      </c>
      <c r="X5538" s="18" t="s">
        <v>42</v>
      </c>
      <c r="Y5538" s="18" t="s">
        <v>36</v>
      </c>
      <c r="Z5538" s="18" t="s">
        <v>166</v>
      </c>
      <c r="AA5538" s="21" t="str">
        <f>HYPERLINK("https://www.ncbi.nlm.nih.gov/nuccore/V01116","NCBI Nucleotide")</f>
        <v>NCBI Nucleotide</v>
      </c>
    </row>
    <row r="5539" spans="1:27" x14ac:dyDescent="0.35">
      <c r="A5539">
        <v>1007069</v>
      </c>
      <c r="B5539">
        <v>5304</v>
      </c>
      <c r="C5539">
        <v>1</v>
      </c>
      <c r="D5539" s="17" t="s">
        <v>10507</v>
      </c>
      <c r="E5539" s="17"/>
      <c r="F5539" s="17" t="s">
        <v>10780</v>
      </c>
      <c r="G5539" s="17"/>
      <c r="H5539" s="17" t="s">
        <v>10781</v>
      </c>
      <c r="I5539" s="17"/>
      <c r="J5539" s="17" t="s">
        <v>10791</v>
      </c>
      <c r="K5539" s="17"/>
      <c r="L5539" s="17" t="s">
        <v>11236</v>
      </c>
      <c r="M5539" s="17"/>
      <c r="N5539" s="17" t="s">
        <v>11237</v>
      </c>
      <c r="O5539" s="17" t="s">
        <v>11238</v>
      </c>
      <c r="P5539" s="17" t="s">
        <v>12049</v>
      </c>
      <c r="Q5539" s="17"/>
      <c r="R5539" s="25" t="str">
        <f>HYPERLINK("https://ictv.global/taxonomy/taxondetails?taxnode_id=202304094","Mupapillomavirus 2")</f>
        <v>Mupapillomavirus 2</v>
      </c>
      <c r="S5539" s="18" t="s">
        <v>30</v>
      </c>
      <c r="T5539" s="18" t="s">
        <v>12053</v>
      </c>
      <c r="U5539" s="18" t="s">
        <v>12054</v>
      </c>
      <c r="V5539" s="18"/>
      <c r="W5539" s="18" t="s">
        <v>12055</v>
      </c>
      <c r="X5539" s="18" t="s">
        <v>42</v>
      </c>
      <c r="Y5539" s="18" t="s">
        <v>36</v>
      </c>
      <c r="Z5539" s="18" t="s">
        <v>166</v>
      </c>
      <c r="AA5539" s="21" t="str">
        <f>HYPERLINK("https://www.ncbi.nlm.nih.gov/nuccore/X70828","NCBI Nucleotide")</f>
        <v>NCBI Nucleotide</v>
      </c>
    </row>
    <row r="5540" spans="1:27" x14ac:dyDescent="0.35">
      <c r="A5540">
        <v>1007070</v>
      </c>
      <c r="B5540">
        <v>5305</v>
      </c>
      <c r="C5540">
        <v>1</v>
      </c>
      <c r="D5540" s="17" t="s">
        <v>10507</v>
      </c>
      <c r="E5540" s="17"/>
      <c r="F5540" s="17" t="s">
        <v>10780</v>
      </c>
      <c r="G5540" s="17"/>
      <c r="H5540" s="17" t="s">
        <v>10781</v>
      </c>
      <c r="I5540" s="17"/>
      <c r="J5540" s="17" t="s">
        <v>10791</v>
      </c>
      <c r="K5540" s="17"/>
      <c r="L5540" s="17" t="s">
        <v>11236</v>
      </c>
      <c r="M5540" s="17"/>
      <c r="N5540" s="17" t="s">
        <v>11237</v>
      </c>
      <c r="O5540" s="17" t="s">
        <v>11238</v>
      </c>
      <c r="P5540" s="17" t="s">
        <v>12049</v>
      </c>
      <c r="Q5540" s="17"/>
      <c r="R5540" s="25" t="str">
        <f>HYPERLINK("https://ictv.global/taxonomy/taxondetails?taxnode_id=202304095","Mupapillomavirus 3")</f>
        <v>Mupapillomavirus 3</v>
      </c>
      <c r="S5540" s="18" t="s">
        <v>30</v>
      </c>
      <c r="T5540" s="18" t="s">
        <v>12056</v>
      </c>
      <c r="U5540" s="18" t="s">
        <v>12057</v>
      </c>
      <c r="V5540" s="18" t="s">
        <v>12058</v>
      </c>
      <c r="W5540" s="18" t="s">
        <v>12059</v>
      </c>
      <c r="X5540" s="18" t="s">
        <v>42</v>
      </c>
      <c r="Y5540" s="18" t="s">
        <v>36</v>
      </c>
      <c r="Z5540" s="18" t="s">
        <v>166</v>
      </c>
      <c r="AA5540" s="21" t="str">
        <f>HYPERLINK("https://www.ncbi.nlm.nih.gov/nuccore/KP769769","NCBI Nucleotide")</f>
        <v>NCBI Nucleotide</v>
      </c>
    </row>
    <row r="5541" spans="1:27" x14ac:dyDescent="0.35">
      <c r="A5541">
        <v>1007071</v>
      </c>
      <c r="B5541">
        <v>5306</v>
      </c>
      <c r="C5541">
        <v>1</v>
      </c>
      <c r="D5541" s="17" t="s">
        <v>10507</v>
      </c>
      <c r="E5541" s="17"/>
      <c r="F5541" s="17" t="s">
        <v>10780</v>
      </c>
      <c r="G5541" s="17"/>
      <c r="H5541" s="17" t="s">
        <v>10781</v>
      </c>
      <c r="I5541" s="17"/>
      <c r="J5541" s="17" t="s">
        <v>10791</v>
      </c>
      <c r="K5541" s="17"/>
      <c r="L5541" s="17" t="s">
        <v>11236</v>
      </c>
      <c r="M5541" s="17"/>
      <c r="N5541" s="17" t="s">
        <v>11237</v>
      </c>
      <c r="O5541" s="17" t="s">
        <v>11238</v>
      </c>
      <c r="P5541" s="17" t="s">
        <v>12060</v>
      </c>
      <c r="Q5541" s="17"/>
      <c r="R5541" s="25" t="str">
        <f>HYPERLINK("https://ictv.global/taxonomy/taxondetails?taxnode_id=202304097","Nupapillomavirus 1")</f>
        <v>Nupapillomavirus 1</v>
      </c>
      <c r="S5541" s="18" t="s">
        <v>30</v>
      </c>
      <c r="T5541" s="18" t="s">
        <v>12061</v>
      </c>
      <c r="U5541" s="18" t="s">
        <v>12062</v>
      </c>
      <c r="V5541" s="18"/>
      <c r="W5541" s="18" t="s">
        <v>12063</v>
      </c>
      <c r="X5541" s="18" t="s">
        <v>42</v>
      </c>
      <c r="Y5541" s="18" t="s">
        <v>36</v>
      </c>
      <c r="Z5541" s="18" t="s">
        <v>166</v>
      </c>
      <c r="AA5541" s="21" t="str">
        <f>HYPERLINK("https://www.ncbi.nlm.nih.gov/nuccore/X56147","NCBI Nucleotide")</f>
        <v>NCBI Nucleotide</v>
      </c>
    </row>
    <row r="5542" spans="1:27" x14ac:dyDescent="0.35">
      <c r="A5542">
        <v>1007072</v>
      </c>
      <c r="B5542">
        <v>5307</v>
      </c>
      <c r="C5542">
        <v>1</v>
      </c>
      <c r="D5542" s="17" t="s">
        <v>10507</v>
      </c>
      <c r="E5542" s="17"/>
      <c r="F5542" s="17" t="s">
        <v>10780</v>
      </c>
      <c r="G5542" s="17"/>
      <c r="H5542" s="17" t="s">
        <v>10781</v>
      </c>
      <c r="I5542" s="17"/>
      <c r="J5542" s="17" t="s">
        <v>10791</v>
      </c>
      <c r="K5542" s="17"/>
      <c r="L5542" s="17" t="s">
        <v>11236</v>
      </c>
      <c r="M5542" s="17"/>
      <c r="N5542" s="17" t="s">
        <v>11237</v>
      </c>
      <c r="O5542" s="17" t="s">
        <v>11238</v>
      </c>
      <c r="P5542" s="17" t="s">
        <v>12064</v>
      </c>
      <c r="Q5542" s="17"/>
      <c r="R5542" s="25" t="str">
        <f>HYPERLINK("https://ictv.global/taxonomy/taxondetails?taxnode_id=202304099","Omegapapillomavirus 1")</f>
        <v>Omegapapillomavirus 1</v>
      </c>
      <c r="S5542" s="18" t="s">
        <v>30</v>
      </c>
      <c r="T5542" s="18" t="s">
        <v>12065</v>
      </c>
      <c r="U5542" s="18" t="s">
        <v>12066</v>
      </c>
      <c r="V5542" s="18"/>
      <c r="W5542" s="18" t="s">
        <v>12067</v>
      </c>
      <c r="X5542" s="18" t="s">
        <v>42</v>
      </c>
      <c r="Y5542" s="18" t="s">
        <v>36</v>
      </c>
      <c r="Z5542" s="18" t="s">
        <v>166</v>
      </c>
      <c r="AA5542" s="21" t="str">
        <f>HYPERLINK("https://www.ncbi.nlm.nih.gov/nuccore/EF536349","NCBI Nucleotide")</f>
        <v>NCBI Nucleotide</v>
      </c>
    </row>
    <row r="5543" spans="1:27" x14ac:dyDescent="0.35">
      <c r="A5543">
        <v>1007073</v>
      </c>
      <c r="B5543">
        <v>5308</v>
      </c>
      <c r="C5543">
        <v>1</v>
      </c>
      <c r="D5543" s="17" t="s">
        <v>10507</v>
      </c>
      <c r="E5543" s="17"/>
      <c r="F5543" s="17" t="s">
        <v>10780</v>
      </c>
      <c r="G5543" s="17"/>
      <c r="H5543" s="17" t="s">
        <v>10781</v>
      </c>
      <c r="I5543" s="17"/>
      <c r="J5543" s="17" t="s">
        <v>10791</v>
      </c>
      <c r="K5543" s="17"/>
      <c r="L5543" s="17" t="s">
        <v>11236</v>
      </c>
      <c r="M5543" s="17"/>
      <c r="N5543" s="17" t="s">
        <v>11237</v>
      </c>
      <c r="O5543" s="17" t="s">
        <v>11238</v>
      </c>
      <c r="P5543" s="17" t="s">
        <v>12068</v>
      </c>
      <c r="Q5543" s="17"/>
      <c r="R5543" s="25" t="str">
        <f>HYPERLINK("https://ictv.global/taxonomy/taxondetails?taxnode_id=202304101","Omikronpapillomavirus 1")</f>
        <v>Omikronpapillomavirus 1</v>
      </c>
      <c r="S5543" s="18" t="s">
        <v>30</v>
      </c>
      <c r="T5543" s="18" t="s">
        <v>12069</v>
      </c>
      <c r="U5543" s="18" t="s">
        <v>12070</v>
      </c>
      <c r="V5543" s="18"/>
      <c r="W5543" s="18" t="s">
        <v>12071</v>
      </c>
      <c r="X5543" s="18" t="s">
        <v>42</v>
      </c>
      <c r="Y5543" s="18" t="s">
        <v>36</v>
      </c>
      <c r="Z5543" s="18" t="s">
        <v>166</v>
      </c>
      <c r="AA5543" s="21" t="str">
        <f>HYPERLINK("https://www.ncbi.nlm.nih.gov/nuccore/AJ238373","NCBI Nucleotide")</f>
        <v>NCBI Nucleotide</v>
      </c>
    </row>
    <row r="5544" spans="1:27" x14ac:dyDescent="0.35">
      <c r="A5544">
        <v>1012403</v>
      </c>
      <c r="B5544">
        <v>5308</v>
      </c>
      <c r="C5544">
        <v>2</v>
      </c>
      <c r="D5544" s="17" t="s">
        <v>10507</v>
      </c>
      <c r="E5544" s="17"/>
      <c r="F5544" s="17" t="s">
        <v>10780</v>
      </c>
      <c r="G5544" s="17"/>
      <c r="H5544" s="17" t="s">
        <v>10781</v>
      </c>
      <c r="I5544" s="17"/>
      <c r="J5544" s="17" t="s">
        <v>10791</v>
      </c>
      <c r="K5544" s="17"/>
      <c r="L5544" s="17" t="s">
        <v>11236</v>
      </c>
      <c r="M5544" s="17"/>
      <c r="N5544" s="17" t="s">
        <v>11237</v>
      </c>
      <c r="O5544" s="17" t="s">
        <v>11238</v>
      </c>
      <c r="P5544" s="17" t="s">
        <v>12068</v>
      </c>
      <c r="Q5544" s="17"/>
      <c r="R5544" s="25" t="str">
        <f>HYPERLINK("https://ictv.global/taxonomy/taxondetails?taxnode_id=202304101","Omikronpapillomavirus 1")</f>
        <v>Omikronpapillomavirus 1</v>
      </c>
      <c r="S5544" s="18" t="s">
        <v>8141</v>
      </c>
      <c r="T5544" s="18" t="s">
        <v>12072</v>
      </c>
      <c r="U5544" s="18" t="s">
        <v>12073</v>
      </c>
      <c r="V5544" s="18"/>
      <c r="W5544" s="18" t="s">
        <v>48964</v>
      </c>
      <c r="X5544" s="18" t="s">
        <v>42</v>
      </c>
      <c r="Y5544" s="18" t="s">
        <v>36</v>
      </c>
      <c r="Z5544" s="18" t="s">
        <v>166</v>
      </c>
      <c r="AA5544" s="21" t="str">
        <f>HYPERLINK("https://www.ncbi.nlm.nih.gov/nuccore/GU117621","NCBI Nucleotide")</f>
        <v>NCBI Nucleotide</v>
      </c>
    </row>
    <row r="5545" spans="1:27" x14ac:dyDescent="0.35">
      <c r="A5545">
        <v>1012404</v>
      </c>
      <c r="B5545">
        <v>5308</v>
      </c>
      <c r="C5545">
        <v>3</v>
      </c>
      <c r="D5545" s="17" t="s">
        <v>10507</v>
      </c>
      <c r="E5545" s="17"/>
      <c r="F5545" s="17" t="s">
        <v>10780</v>
      </c>
      <c r="G5545" s="17"/>
      <c r="H5545" s="17" t="s">
        <v>10781</v>
      </c>
      <c r="I5545" s="17"/>
      <c r="J5545" s="17" t="s">
        <v>10791</v>
      </c>
      <c r="K5545" s="17"/>
      <c r="L5545" s="17" t="s">
        <v>11236</v>
      </c>
      <c r="M5545" s="17"/>
      <c r="N5545" s="17" t="s">
        <v>11237</v>
      </c>
      <c r="O5545" s="17" t="s">
        <v>11238</v>
      </c>
      <c r="P5545" s="17" t="s">
        <v>12068</v>
      </c>
      <c r="Q5545" s="17"/>
      <c r="R5545" s="25" t="str">
        <f>HYPERLINK("https://ictv.global/taxonomy/taxondetails?taxnode_id=202304101","Omikronpapillomavirus 1")</f>
        <v>Omikronpapillomavirus 1</v>
      </c>
      <c r="S5545" s="18" t="s">
        <v>8141</v>
      </c>
      <c r="T5545" s="18" t="s">
        <v>12074</v>
      </c>
      <c r="U5545" s="18" t="s">
        <v>12075</v>
      </c>
      <c r="V5545" s="18" t="s">
        <v>12076</v>
      </c>
      <c r="W5545" s="18" t="s">
        <v>48965</v>
      </c>
      <c r="X5545" s="18" t="s">
        <v>42</v>
      </c>
      <c r="Y5545" s="18" t="s">
        <v>36</v>
      </c>
      <c r="Z5545" s="18" t="s">
        <v>166</v>
      </c>
      <c r="AA5545" s="21" t="str">
        <f>HYPERLINK("https://www.ncbi.nlm.nih.gov/nuccore/JN709470","NCBI Nucleotide")</f>
        <v>NCBI Nucleotide</v>
      </c>
    </row>
    <row r="5546" spans="1:27" x14ac:dyDescent="0.35">
      <c r="A5546">
        <v>1012405</v>
      </c>
      <c r="B5546">
        <v>5308</v>
      </c>
      <c r="C5546">
        <v>4</v>
      </c>
      <c r="D5546" s="17" t="s">
        <v>10507</v>
      </c>
      <c r="E5546" s="17"/>
      <c r="F5546" s="17" t="s">
        <v>10780</v>
      </c>
      <c r="G5546" s="17"/>
      <c r="H5546" s="17" t="s">
        <v>10781</v>
      </c>
      <c r="I5546" s="17"/>
      <c r="J5546" s="17" t="s">
        <v>10791</v>
      </c>
      <c r="K5546" s="17"/>
      <c r="L5546" s="17" t="s">
        <v>11236</v>
      </c>
      <c r="M5546" s="17"/>
      <c r="N5546" s="17" t="s">
        <v>11237</v>
      </c>
      <c r="O5546" s="17" t="s">
        <v>11238</v>
      </c>
      <c r="P5546" s="17" t="s">
        <v>12068</v>
      </c>
      <c r="Q5546" s="17"/>
      <c r="R5546" s="25" t="str">
        <f>HYPERLINK("https://ictv.global/taxonomy/taxondetails?taxnode_id=202304101","Omikronpapillomavirus 1")</f>
        <v>Omikronpapillomavirus 1</v>
      </c>
      <c r="S5546" s="18" t="s">
        <v>8141</v>
      </c>
      <c r="T5546" s="18" t="s">
        <v>12077</v>
      </c>
      <c r="U5546" s="18" t="s">
        <v>12078</v>
      </c>
      <c r="V5546" s="18" t="s">
        <v>12079</v>
      </c>
      <c r="W5546" s="18" t="s">
        <v>48966</v>
      </c>
      <c r="X5546" s="18" t="s">
        <v>42</v>
      </c>
      <c r="Y5546" s="18" t="s">
        <v>36</v>
      </c>
      <c r="Z5546" s="18" t="s">
        <v>166</v>
      </c>
      <c r="AA5546" s="21" t="str">
        <f>HYPERLINK("https://www.ncbi.nlm.nih.gov/nuccore/JN709471","NCBI Nucleotide")</f>
        <v>NCBI Nucleotide</v>
      </c>
    </row>
    <row r="5547" spans="1:27" x14ac:dyDescent="0.35">
      <c r="A5547">
        <v>1007074</v>
      </c>
      <c r="B5547">
        <v>5309</v>
      </c>
      <c r="C5547">
        <v>1</v>
      </c>
      <c r="D5547" s="17" t="s">
        <v>10507</v>
      </c>
      <c r="E5547" s="17"/>
      <c r="F5547" s="17" t="s">
        <v>10780</v>
      </c>
      <c r="G5547" s="17"/>
      <c r="H5547" s="17" t="s">
        <v>10781</v>
      </c>
      <c r="I5547" s="17"/>
      <c r="J5547" s="17" t="s">
        <v>10791</v>
      </c>
      <c r="K5547" s="17"/>
      <c r="L5547" s="17" t="s">
        <v>11236</v>
      </c>
      <c r="M5547" s="17"/>
      <c r="N5547" s="17" t="s">
        <v>11237</v>
      </c>
      <c r="O5547" s="17" t="s">
        <v>11238</v>
      </c>
      <c r="P5547" s="17" t="s">
        <v>12080</v>
      </c>
      <c r="Q5547" s="17"/>
      <c r="R5547" s="25" t="str">
        <f>HYPERLINK("https://ictv.global/taxonomy/taxondetails?taxnode_id=202304103","Phipapillomavirus 1")</f>
        <v>Phipapillomavirus 1</v>
      </c>
      <c r="S5547" s="18" t="s">
        <v>30</v>
      </c>
      <c r="T5547" s="18" t="s">
        <v>12081</v>
      </c>
      <c r="U5547" s="18" t="s">
        <v>12082</v>
      </c>
      <c r="V5547" s="18"/>
      <c r="W5547" s="18" t="s">
        <v>12083</v>
      </c>
      <c r="X5547" s="18" t="s">
        <v>42</v>
      </c>
      <c r="Y5547" s="18" t="s">
        <v>36</v>
      </c>
      <c r="Z5547" s="18" t="s">
        <v>166</v>
      </c>
      <c r="AA5547" s="21" t="str">
        <f>HYPERLINK("https://www.ncbi.nlm.nih.gov/nuccore/DQ091200","NCBI Nucleotide")</f>
        <v>NCBI Nucleotide</v>
      </c>
    </row>
    <row r="5548" spans="1:27" x14ac:dyDescent="0.35">
      <c r="A5548">
        <v>1007075</v>
      </c>
      <c r="B5548">
        <v>5310</v>
      </c>
      <c r="C5548">
        <v>1</v>
      </c>
      <c r="D5548" s="17" t="s">
        <v>10507</v>
      </c>
      <c r="E5548" s="17"/>
      <c r="F5548" s="17" t="s">
        <v>10780</v>
      </c>
      <c r="G5548" s="17"/>
      <c r="H5548" s="17" t="s">
        <v>10781</v>
      </c>
      <c r="I5548" s="17"/>
      <c r="J5548" s="17" t="s">
        <v>10791</v>
      </c>
      <c r="K5548" s="17"/>
      <c r="L5548" s="17" t="s">
        <v>11236</v>
      </c>
      <c r="M5548" s="17"/>
      <c r="N5548" s="17" t="s">
        <v>11237</v>
      </c>
      <c r="O5548" s="17" t="s">
        <v>11238</v>
      </c>
      <c r="P5548" s="17" t="s">
        <v>12084</v>
      </c>
      <c r="Q5548" s="17"/>
      <c r="R5548" s="25" t="str">
        <f>HYPERLINK("https://ictv.global/taxonomy/taxondetails?taxnode_id=202304105","Pipapillomavirus 1")</f>
        <v>Pipapillomavirus 1</v>
      </c>
      <c r="S5548" s="18" t="s">
        <v>30</v>
      </c>
      <c r="T5548" s="18" t="s">
        <v>12085</v>
      </c>
      <c r="U5548" s="18" t="s">
        <v>12086</v>
      </c>
      <c r="V5548" s="18" t="s">
        <v>12087</v>
      </c>
      <c r="W5548" s="18" t="s">
        <v>12088</v>
      </c>
      <c r="X5548" s="18" t="s">
        <v>42</v>
      </c>
      <c r="Y5548" s="18" t="s">
        <v>36</v>
      </c>
      <c r="Z5548" s="18" t="s">
        <v>166</v>
      </c>
      <c r="AA5548" s="21" t="str">
        <f>HYPERLINK("https://www.ncbi.nlm.nih.gov/nuccore/HG530538","NCBI Nucleotide")</f>
        <v>NCBI Nucleotide</v>
      </c>
    </row>
    <row r="5549" spans="1:27" x14ac:dyDescent="0.35">
      <c r="A5549">
        <v>1012406</v>
      </c>
      <c r="B5549">
        <v>5310</v>
      </c>
      <c r="C5549">
        <v>2</v>
      </c>
      <c r="D5549" s="17" t="s">
        <v>10507</v>
      </c>
      <c r="E5549" s="17"/>
      <c r="F5549" s="17" t="s">
        <v>10780</v>
      </c>
      <c r="G5549" s="17"/>
      <c r="H5549" s="17" t="s">
        <v>10781</v>
      </c>
      <c r="I5549" s="17"/>
      <c r="J5549" s="17" t="s">
        <v>10791</v>
      </c>
      <c r="K5549" s="17"/>
      <c r="L5549" s="17" t="s">
        <v>11236</v>
      </c>
      <c r="M5549" s="17"/>
      <c r="N5549" s="17" t="s">
        <v>11237</v>
      </c>
      <c r="O5549" s="17" t="s">
        <v>11238</v>
      </c>
      <c r="P5549" s="17" t="s">
        <v>12084</v>
      </c>
      <c r="Q5549" s="17"/>
      <c r="R5549" s="25" t="str">
        <f>HYPERLINK("https://ictv.global/taxonomy/taxondetails?taxnode_id=202304105","Pipapillomavirus 1")</f>
        <v>Pipapillomavirus 1</v>
      </c>
      <c r="S5549" s="18" t="s">
        <v>8141</v>
      </c>
      <c r="T5549" s="18" t="s">
        <v>12089</v>
      </c>
      <c r="U5549" s="18" t="s">
        <v>12090</v>
      </c>
      <c r="V5549" s="18"/>
      <c r="W5549" s="18" t="s">
        <v>48967</v>
      </c>
      <c r="X5549" s="18" t="s">
        <v>42</v>
      </c>
      <c r="Y5549" s="18" t="s">
        <v>36</v>
      </c>
      <c r="Z5549" s="18" t="s">
        <v>166</v>
      </c>
      <c r="AA5549" s="21" t="str">
        <f>HYPERLINK("https://www.ncbi.nlm.nih.gov/nuccore/HG939559","NCBI Nucleotide")</f>
        <v>NCBI Nucleotide</v>
      </c>
    </row>
    <row r="5550" spans="1:27" x14ac:dyDescent="0.35">
      <c r="A5550">
        <v>1007076</v>
      </c>
      <c r="B5550">
        <v>5311</v>
      </c>
      <c r="C5550">
        <v>1</v>
      </c>
      <c r="D5550" s="17" t="s">
        <v>10507</v>
      </c>
      <c r="E5550" s="17"/>
      <c r="F5550" s="17" t="s">
        <v>10780</v>
      </c>
      <c r="G5550" s="17"/>
      <c r="H5550" s="17" t="s">
        <v>10781</v>
      </c>
      <c r="I5550" s="17"/>
      <c r="J5550" s="17" t="s">
        <v>10791</v>
      </c>
      <c r="K5550" s="17"/>
      <c r="L5550" s="17" t="s">
        <v>11236</v>
      </c>
      <c r="M5550" s="17"/>
      <c r="N5550" s="17" t="s">
        <v>11237</v>
      </c>
      <c r="O5550" s="17" t="s">
        <v>11238</v>
      </c>
      <c r="P5550" s="17" t="s">
        <v>12084</v>
      </c>
      <c r="Q5550" s="17"/>
      <c r="R5550" s="25" t="str">
        <f>HYPERLINK("https://ictv.global/taxonomy/taxondetails?taxnode_id=202304106","Pipapillomavirus 2")</f>
        <v>Pipapillomavirus 2</v>
      </c>
      <c r="S5550" s="18" t="s">
        <v>30</v>
      </c>
      <c r="T5550" s="18" t="s">
        <v>12091</v>
      </c>
      <c r="U5550" s="18" t="s">
        <v>12092</v>
      </c>
      <c r="V5550" s="18"/>
      <c r="W5550" s="18" t="s">
        <v>12093</v>
      </c>
      <c r="X5550" s="18" t="s">
        <v>42</v>
      </c>
      <c r="Y5550" s="18" t="s">
        <v>36</v>
      </c>
      <c r="Z5550" s="18" t="s">
        <v>166</v>
      </c>
      <c r="AA5550" s="21" t="str">
        <f>HYPERLINK("https://www.ncbi.nlm.nih.gov/nuccore/DQ664501","NCBI Nucleotide")</f>
        <v>NCBI Nucleotide</v>
      </c>
    </row>
    <row r="5551" spans="1:27" x14ac:dyDescent="0.35">
      <c r="A5551">
        <v>1012410</v>
      </c>
      <c r="B5551">
        <v>5311</v>
      </c>
      <c r="C5551">
        <v>2</v>
      </c>
      <c r="D5551" s="17" t="s">
        <v>10507</v>
      </c>
      <c r="E5551" s="17"/>
      <c r="F5551" s="17" t="s">
        <v>10780</v>
      </c>
      <c r="G5551" s="17"/>
      <c r="H5551" s="17" t="s">
        <v>10781</v>
      </c>
      <c r="I5551" s="17"/>
      <c r="J5551" s="17" t="s">
        <v>10791</v>
      </c>
      <c r="K5551" s="17"/>
      <c r="L5551" s="17" t="s">
        <v>11236</v>
      </c>
      <c r="M5551" s="17"/>
      <c r="N5551" s="17" t="s">
        <v>11237</v>
      </c>
      <c r="O5551" s="17" t="s">
        <v>11238</v>
      </c>
      <c r="P5551" s="17" t="s">
        <v>12084</v>
      </c>
      <c r="Q5551" s="17"/>
      <c r="R5551" s="25" t="str">
        <f>HYPERLINK("https://ictv.global/taxonomy/taxondetails?taxnode_id=202304106","Pipapillomavirus 2")</f>
        <v>Pipapillomavirus 2</v>
      </c>
      <c r="S5551" s="18" t="s">
        <v>8141</v>
      </c>
      <c r="T5551" s="18" t="s">
        <v>12102</v>
      </c>
      <c r="U5551" s="18" t="s">
        <v>12103</v>
      </c>
      <c r="V5551" s="18"/>
      <c r="W5551" s="18" t="s">
        <v>48968</v>
      </c>
      <c r="X5551" s="18" t="s">
        <v>42</v>
      </c>
      <c r="Y5551" s="18" t="s">
        <v>36</v>
      </c>
      <c r="Z5551" s="18" t="s">
        <v>166</v>
      </c>
      <c r="AA5551" s="21" t="str">
        <f>HYPERLINK("https://www.ncbi.nlm.nih.gov/nuccore/HQ625440","NCBI Nucleotide")</f>
        <v>NCBI Nucleotide</v>
      </c>
    </row>
    <row r="5552" spans="1:27" x14ac:dyDescent="0.35">
      <c r="A5552">
        <v>1012407</v>
      </c>
      <c r="B5552">
        <v>5311</v>
      </c>
      <c r="C5552">
        <v>3</v>
      </c>
      <c r="D5552" s="17" t="s">
        <v>10507</v>
      </c>
      <c r="E5552" s="17"/>
      <c r="F5552" s="17" t="s">
        <v>10780</v>
      </c>
      <c r="G5552" s="17"/>
      <c r="H5552" s="17" t="s">
        <v>10781</v>
      </c>
      <c r="I5552" s="17"/>
      <c r="J5552" s="17" t="s">
        <v>10791</v>
      </c>
      <c r="K5552" s="17"/>
      <c r="L5552" s="17" t="s">
        <v>11236</v>
      </c>
      <c r="M5552" s="17"/>
      <c r="N5552" s="17" t="s">
        <v>11237</v>
      </c>
      <c r="O5552" s="17" t="s">
        <v>11238</v>
      </c>
      <c r="P5552" s="17" t="s">
        <v>12084</v>
      </c>
      <c r="Q5552" s="17"/>
      <c r="R5552" s="25" t="str">
        <f>HYPERLINK("https://ictv.global/taxonomy/taxondetails?taxnode_id=202304106","Pipapillomavirus 2")</f>
        <v>Pipapillomavirus 2</v>
      </c>
      <c r="S5552" s="18" t="s">
        <v>8141</v>
      </c>
      <c r="T5552" s="18" t="s">
        <v>12094</v>
      </c>
      <c r="U5552" s="18" t="s">
        <v>12095</v>
      </c>
      <c r="V5552" s="18"/>
      <c r="W5552" s="18" t="s">
        <v>48969</v>
      </c>
      <c r="X5552" s="18" t="s">
        <v>42</v>
      </c>
      <c r="Y5552" s="18" t="s">
        <v>36</v>
      </c>
      <c r="Z5552" s="18" t="s">
        <v>166</v>
      </c>
      <c r="AA5552" s="21" t="str">
        <f>HYPERLINK("https://www.ncbi.nlm.nih.gov/nuccore/DQ269468","NCBI Nucleotide")</f>
        <v>NCBI Nucleotide</v>
      </c>
    </row>
    <row r="5553" spans="1:27" x14ac:dyDescent="0.35">
      <c r="A5553">
        <v>1012409</v>
      </c>
      <c r="B5553">
        <v>5311</v>
      </c>
      <c r="C5553">
        <v>4</v>
      </c>
      <c r="D5553" s="17" t="s">
        <v>10507</v>
      </c>
      <c r="E5553" s="17"/>
      <c r="F5553" s="17" t="s">
        <v>10780</v>
      </c>
      <c r="G5553" s="17"/>
      <c r="H5553" s="17" t="s">
        <v>10781</v>
      </c>
      <c r="I5553" s="17"/>
      <c r="J5553" s="17" t="s">
        <v>10791</v>
      </c>
      <c r="K5553" s="17"/>
      <c r="L5553" s="17" t="s">
        <v>11236</v>
      </c>
      <c r="M5553" s="17"/>
      <c r="N5553" s="17" t="s">
        <v>11237</v>
      </c>
      <c r="O5553" s="17" t="s">
        <v>11238</v>
      </c>
      <c r="P5553" s="17" t="s">
        <v>12084</v>
      </c>
      <c r="Q5553" s="17"/>
      <c r="R5553" s="25" t="str">
        <f>HYPERLINK("https://ictv.global/taxonomy/taxondetails?taxnode_id=202304106","Pipapillomavirus 2")</f>
        <v>Pipapillomavirus 2</v>
      </c>
      <c r="S5553" s="18" t="s">
        <v>8141</v>
      </c>
      <c r="T5553" s="18" t="s">
        <v>12099</v>
      </c>
      <c r="U5553" s="18" t="s">
        <v>12100</v>
      </c>
      <c r="V5553" s="18" t="s">
        <v>12101</v>
      </c>
      <c r="W5553" s="18" t="s">
        <v>48970</v>
      </c>
      <c r="X5553" s="18" t="s">
        <v>42</v>
      </c>
      <c r="Y5553" s="18" t="s">
        <v>36</v>
      </c>
      <c r="Z5553" s="18" t="s">
        <v>166</v>
      </c>
      <c r="AA5553" s="21" t="str">
        <f>HYPERLINK("https://www.ncbi.nlm.nih.gov/nuccore/GU808564","NCBI Nucleotide")</f>
        <v>NCBI Nucleotide</v>
      </c>
    </row>
    <row r="5554" spans="1:27" x14ac:dyDescent="0.35">
      <c r="A5554">
        <v>1012408</v>
      </c>
      <c r="B5554">
        <v>5311</v>
      </c>
      <c r="C5554">
        <v>5</v>
      </c>
      <c r="D5554" s="17" t="s">
        <v>10507</v>
      </c>
      <c r="E5554" s="17"/>
      <c r="F5554" s="17" t="s">
        <v>10780</v>
      </c>
      <c r="G5554" s="17"/>
      <c r="H5554" s="17" t="s">
        <v>10781</v>
      </c>
      <c r="I5554" s="17"/>
      <c r="J5554" s="17" t="s">
        <v>10791</v>
      </c>
      <c r="K5554" s="17"/>
      <c r="L5554" s="17" t="s">
        <v>11236</v>
      </c>
      <c r="M5554" s="17"/>
      <c r="N5554" s="17" t="s">
        <v>11237</v>
      </c>
      <c r="O5554" s="17" t="s">
        <v>11238</v>
      </c>
      <c r="P5554" s="17" t="s">
        <v>12084</v>
      </c>
      <c r="Q5554" s="17"/>
      <c r="R5554" s="25" t="str">
        <f>HYPERLINK("https://ictv.global/taxonomy/taxondetails?taxnode_id=202304106","Pipapillomavirus 2")</f>
        <v>Pipapillomavirus 2</v>
      </c>
      <c r="S5554" s="18" t="s">
        <v>8141</v>
      </c>
      <c r="T5554" s="18" t="s">
        <v>12096</v>
      </c>
      <c r="U5554" s="18" t="s">
        <v>12097</v>
      </c>
      <c r="V5554" s="18" t="s">
        <v>12098</v>
      </c>
      <c r="W5554" s="18" t="s">
        <v>48971</v>
      </c>
      <c r="X5554" s="18" t="s">
        <v>42</v>
      </c>
      <c r="Y5554" s="18" t="s">
        <v>36</v>
      </c>
      <c r="Z5554" s="18" t="s">
        <v>166</v>
      </c>
      <c r="AA5554" s="21" t="str">
        <f>HYPERLINK("https://www.ncbi.nlm.nih.gov/nuccore/GQ180114","NCBI Nucleotide")</f>
        <v>NCBI Nucleotide</v>
      </c>
    </row>
    <row r="5555" spans="1:27" x14ac:dyDescent="0.35">
      <c r="A5555">
        <v>1007077</v>
      </c>
      <c r="B5555">
        <v>5312</v>
      </c>
      <c r="C5555">
        <v>1</v>
      </c>
      <c r="D5555" s="17" t="s">
        <v>10507</v>
      </c>
      <c r="E5555" s="17"/>
      <c r="F5555" s="17" t="s">
        <v>10780</v>
      </c>
      <c r="G5555" s="17"/>
      <c r="H5555" s="17" t="s">
        <v>10781</v>
      </c>
      <c r="I5555" s="17"/>
      <c r="J5555" s="17" t="s">
        <v>10791</v>
      </c>
      <c r="K5555" s="17"/>
      <c r="L5555" s="17" t="s">
        <v>11236</v>
      </c>
      <c r="M5555" s="17"/>
      <c r="N5555" s="17" t="s">
        <v>11237</v>
      </c>
      <c r="O5555" s="17" t="s">
        <v>11238</v>
      </c>
      <c r="P5555" s="17" t="s">
        <v>12104</v>
      </c>
      <c r="Q5555" s="17"/>
      <c r="R5555" s="25" t="str">
        <f>HYPERLINK("https://ictv.global/taxonomy/taxondetails?taxnode_id=202304108","Psipapillomavirus 1")</f>
        <v>Psipapillomavirus 1</v>
      </c>
      <c r="S5555" s="18" t="s">
        <v>30</v>
      </c>
      <c r="T5555" s="18" t="s">
        <v>12105</v>
      </c>
      <c r="U5555" s="18" t="s">
        <v>12106</v>
      </c>
      <c r="V5555" s="18"/>
      <c r="W5555" s="18" t="s">
        <v>12107</v>
      </c>
      <c r="X5555" s="18" t="s">
        <v>42</v>
      </c>
      <c r="Y5555" s="18" t="s">
        <v>36</v>
      </c>
      <c r="Z5555" s="18" t="s">
        <v>166</v>
      </c>
      <c r="AA5555" s="21" t="str">
        <f>HYPERLINK("https://www.ncbi.nlm.nih.gov/nuccore/DQ366842","NCBI Nucleotide")</f>
        <v>NCBI Nucleotide</v>
      </c>
    </row>
    <row r="5556" spans="1:27" x14ac:dyDescent="0.35">
      <c r="A5556">
        <v>1007078</v>
      </c>
      <c r="B5556">
        <v>5313</v>
      </c>
      <c r="C5556">
        <v>1</v>
      </c>
      <c r="D5556" s="17" t="s">
        <v>10507</v>
      </c>
      <c r="E5556" s="17"/>
      <c r="F5556" s="17" t="s">
        <v>10780</v>
      </c>
      <c r="G5556" s="17"/>
      <c r="H5556" s="17" t="s">
        <v>10781</v>
      </c>
      <c r="I5556" s="17"/>
      <c r="J5556" s="17" t="s">
        <v>10791</v>
      </c>
      <c r="K5556" s="17"/>
      <c r="L5556" s="17" t="s">
        <v>11236</v>
      </c>
      <c r="M5556" s="17"/>
      <c r="N5556" s="17" t="s">
        <v>11237</v>
      </c>
      <c r="O5556" s="17" t="s">
        <v>11238</v>
      </c>
      <c r="P5556" s="17" t="s">
        <v>12104</v>
      </c>
      <c r="Q5556" s="17"/>
      <c r="R5556" s="25" t="str">
        <f>HYPERLINK("https://ictv.global/taxonomy/taxondetails?taxnode_id=202305872","Psipapillomavirus 2")</f>
        <v>Psipapillomavirus 2</v>
      </c>
      <c r="S5556" s="18" t="s">
        <v>30</v>
      </c>
      <c r="T5556" s="18" t="s">
        <v>12108</v>
      </c>
      <c r="U5556" s="18" t="s">
        <v>12109</v>
      </c>
      <c r="V5556" s="18"/>
      <c r="W5556" s="18" t="s">
        <v>12110</v>
      </c>
      <c r="X5556" s="18" t="s">
        <v>42</v>
      </c>
      <c r="Y5556" s="18" t="s">
        <v>36</v>
      </c>
      <c r="Z5556" s="18" t="s">
        <v>166</v>
      </c>
      <c r="AA5556" s="21" t="str">
        <f>HYPERLINK("https://www.ncbi.nlm.nih.gov/nuccore/KX276957","NCBI Nucleotide")</f>
        <v>NCBI Nucleotide</v>
      </c>
    </row>
    <row r="5557" spans="1:27" x14ac:dyDescent="0.35">
      <c r="A5557">
        <v>1007079</v>
      </c>
      <c r="B5557">
        <v>5314</v>
      </c>
      <c r="C5557">
        <v>1</v>
      </c>
      <c r="D5557" s="17" t="s">
        <v>10507</v>
      </c>
      <c r="E5557" s="17"/>
      <c r="F5557" s="17" t="s">
        <v>10780</v>
      </c>
      <c r="G5557" s="17"/>
      <c r="H5557" s="17" t="s">
        <v>10781</v>
      </c>
      <c r="I5557" s="17"/>
      <c r="J5557" s="17" t="s">
        <v>10791</v>
      </c>
      <c r="K5557" s="17"/>
      <c r="L5557" s="17" t="s">
        <v>11236</v>
      </c>
      <c r="M5557" s="17"/>
      <c r="N5557" s="17" t="s">
        <v>11237</v>
      </c>
      <c r="O5557" s="17" t="s">
        <v>11238</v>
      </c>
      <c r="P5557" s="17" t="s">
        <v>12104</v>
      </c>
      <c r="Q5557" s="17"/>
      <c r="R5557" s="25" t="str">
        <f>HYPERLINK("https://ictv.global/taxonomy/taxondetails?taxnode_id=202305873","Psipapillomavirus 3")</f>
        <v>Psipapillomavirus 3</v>
      </c>
      <c r="S5557" s="18" t="s">
        <v>30</v>
      </c>
      <c r="T5557" s="18" t="s">
        <v>12111</v>
      </c>
      <c r="U5557" s="18" t="s">
        <v>12112</v>
      </c>
      <c r="V5557" s="18"/>
      <c r="W5557" s="18" t="s">
        <v>12113</v>
      </c>
      <c r="X5557" s="18" t="s">
        <v>42</v>
      </c>
      <c r="Y5557" s="18" t="s">
        <v>36</v>
      </c>
      <c r="Z5557" s="18" t="s">
        <v>166</v>
      </c>
      <c r="AA5557" s="21" t="str">
        <f>HYPERLINK("https://www.ncbi.nlm.nih.gov/nuccore/KX276956","NCBI Nucleotide")</f>
        <v>NCBI Nucleotide</v>
      </c>
    </row>
    <row r="5558" spans="1:27" x14ac:dyDescent="0.35">
      <c r="A5558">
        <v>1007080</v>
      </c>
      <c r="B5558">
        <v>5315</v>
      </c>
      <c r="C5558">
        <v>1</v>
      </c>
      <c r="D5558" s="17" t="s">
        <v>10507</v>
      </c>
      <c r="E5558" s="17"/>
      <c r="F5558" s="17" t="s">
        <v>10780</v>
      </c>
      <c r="G5558" s="17"/>
      <c r="H5558" s="17" t="s">
        <v>10781</v>
      </c>
      <c r="I5558" s="17"/>
      <c r="J5558" s="17" t="s">
        <v>10791</v>
      </c>
      <c r="K5558" s="17"/>
      <c r="L5558" s="17" t="s">
        <v>11236</v>
      </c>
      <c r="M5558" s="17"/>
      <c r="N5558" s="17" t="s">
        <v>11237</v>
      </c>
      <c r="O5558" s="17" t="s">
        <v>11238</v>
      </c>
      <c r="P5558" s="17" t="s">
        <v>12114</v>
      </c>
      <c r="Q5558" s="17"/>
      <c r="R5558" s="25" t="str">
        <f>HYPERLINK("https://ictv.global/taxonomy/taxondetails?taxnode_id=202304110","Rhopapillomavirus 1")</f>
        <v>Rhopapillomavirus 1</v>
      </c>
      <c r="S5558" s="18" t="s">
        <v>30</v>
      </c>
      <c r="T5558" s="18" t="s">
        <v>12115</v>
      </c>
      <c r="U5558" s="18" t="s">
        <v>12116</v>
      </c>
      <c r="V5558" s="18"/>
      <c r="W5558" s="18" t="s">
        <v>12117</v>
      </c>
      <c r="X5558" s="18" t="s">
        <v>42</v>
      </c>
      <c r="Y5558" s="18" t="s">
        <v>36</v>
      </c>
      <c r="Z5558" s="18" t="s">
        <v>166</v>
      </c>
      <c r="AA5558" s="21" t="str">
        <f>HYPERLINK("https://www.ncbi.nlm.nih.gov/nuccore/AY609301","NCBI Nucleotide")</f>
        <v>NCBI Nucleotide</v>
      </c>
    </row>
    <row r="5559" spans="1:27" x14ac:dyDescent="0.35">
      <c r="A5559">
        <v>1012411</v>
      </c>
      <c r="B5559">
        <v>5315</v>
      </c>
      <c r="C5559">
        <v>2</v>
      </c>
      <c r="D5559" s="17" t="s">
        <v>10507</v>
      </c>
      <c r="E5559" s="17"/>
      <c r="F5559" s="17" t="s">
        <v>10780</v>
      </c>
      <c r="G5559" s="17"/>
      <c r="H5559" s="17" t="s">
        <v>10781</v>
      </c>
      <c r="I5559" s="17"/>
      <c r="J5559" s="17" t="s">
        <v>10791</v>
      </c>
      <c r="K5559" s="17"/>
      <c r="L5559" s="17" t="s">
        <v>11236</v>
      </c>
      <c r="M5559" s="17"/>
      <c r="N5559" s="17" t="s">
        <v>11237</v>
      </c>
      <c r="O5559" s="17" t="s">
        <v>11238</v>
      </c>
      <c r="P5559" s="17" t="s">
        <v>12114</v>
      </c>
      <c r="Q5559" s="17"/>
      <c r="R5559" s="25" t="str">
        <f>HYPERLINK("https://ictv.global/taxonomy/taxondetails?taxnode_id=202304110","Rhopapillomavirus 1")</f>
        <v>Rhopapillomavirus 1</v>
      </c>
      <c r="S5559" s="18" t="s">
        <v>8141</v>
      </c>
      <c r="T5559" s="18" t="s">
        <v>12118</v>
      </c>
      <c r="U5559" s="18" t="s">
        <v>12119</v>
      </c>
      <c r="V5559" s="18" t="s">
        <v>12120</v>
      </c>
      <c r="W5559" s="18" t="s">
        <v>48972</v>
      </c>
      <c r="X5559" s="18" t="s">
        <v>42</v>
      </c>
      <c r="Y5559" s="18" t="s">
        <v>36</v>
      </c>
      <c r="Z5559" s="18" t="s">
        <v>166</v>
      </c>
      <c r="AA5559" s="21" t="str">
        <f>HYPERLINK("https://www.ncbi.nlm.nih.gov/nuccore/JN709473","NCBI Nucleotide")</f>
        <v>NCBI Nucleotide</v>
      </c>
    </row>
    <row r="5560" spans="1:27" x14ac:dyDescent="0.35">
      <c r="A5560">
        <v>1007081</v>
      </c>
      <c r="B5560">
        <v>5316</v>
      </c>
      <c r="C5560">
        <v>1</v>
      </c>
      <c r="D5560" s="17" t="s">
        <v>10507</v>
      </c>
      <c r="E5560" s="17"/>
      <c r="F5560" s="17" t="s">
        <v>10780</v>
      </c>
      <c r="G5560" s="17"/>
      <c r="H5560" s="17" t="s">
        <v>10781</v>
      </c>
      <c r="I5560" s="17"/>
      <c r="J5560" s="17" t="s">
        <v>10791</v>
      </c>
      <c r="K5560" s="17"/>
      <c r="L5560" s="17" t="s">
        <v>11236</v>
      </c>
      <c r="M5560" s="17"/>
      <c r="N5560" s="17" t="s">
        <v>11237</v>
      </c>
      <c r="O5560" s="17" t="s">
        <v>11238</v>
      </c>
      <c r="P5560" s="17" t="s">
        <v>12114</v>
      </c>
      <c r="Q5560" s="17"/>
      <c r="R5560" s="25" t="str">
        <f>HYPERLINK("https://ictv.global/taxonomy/taxondetails?taxnode_id=202304111","Rhopapillomavirus 2")</f>
        <v>Rhopapillomavirus 2</v>
      </c>
      <c r="S5560" s="18" t="s">
        <v>30</v>
      </c>
      <c r="T5560" s="18" t="s">
        <v>12121</v>
      </c>
      <c r="U5560" s="18" t="s">
        <v>12122</v>
      </c>
      <c r="V5560" s="18"/>
      <c r="W5560" s="18" t="s">
        <v>12123</v>
      </c>
      <c r="X5560" s="18" t="s">
        <v>42</v>
      </c>
      <c r="Y5560" s="18" t="s">
        <v>36</v>
      </c>
      <c r="Z5560" s="18" t="s">
        <v>166</v>
      </c>
      <c r="AA5560" s="21" t="str">
        <f>HYPERLINK("https://www.ncbi.nlm.nih.gov/nuccore/KP205502","NCBI Nucleotide")</f>
        <v>NCBI Nucleotide</v>
      </c>
    </row>
    <row r="5561" spans="1:27" x14ac:dyDescent="0.35">
      <c r="A5561">
        <v>1012412</v>
      </c>
      <c r="B5561">
        <v>5316</v>
      </c>
      <c r="C5561">
        <v>2</v>
      </c>
      <c r="D5561" s="17" t="s">
        <v>10507</v>
      </c>
      <c r="E5561" s="17"/>
      <c r="F5561" s="17" t="s">
        <v>10780</v>
      </c>
      <c r="G5561" s="17"/>
      <c r="H5561" s="17" t="s">
        <v>10781</v>
      </c>
      <c r="I5561" s="17"/>
      <c r="J5561" s="17" t="s">
        <v>10791</v>
      </c>
      <c r="K5561" s="17"/>
      <c r="L5561" s="17" t="s">
        <v>11236</v>
      </c>
      <c r="M5561" s="17"/>
      <c r="N5561" s="17" t="s">
        <v>11237</v>
      </c>
      <c r="O5561" s="17" t="s">
        <v>11238</v>
      </c>
      <c r="P5561" s="17" t="s">
        <v>12114</v>
      </c>
      <c r="Q5561" s="17"/>
      <c r="R5561" s="25" t="str">
        <f>HYPERLINK("https://ictv.global/taxonomy/taxondetails?taxnode_id=202304111","Rhopapillomavirus 2")</f>
        <v>Rhopapillomavirus 2</v>
      </c>
      <c r="S5561" s="18" t="s">
        <v>8141</v>
      </c>
      <c r="T5561" s="18" t="s">
        <v>12124</v>
      </c>
      <c r="U5561" s="18" t="s">
        <v>12125</v>
      </c>
      <c r="V5561" s="18"/>
      <c r="W5561" s="18" t="s">
        <v>48973</v>
      </c>
      <c r="X5561" s="18" t="s">
        <v>42</v>
      </c>
      <c r="Y5561" s="18" t="s">
        <v>36</v>
      </c>
      <c r="Z5561" s="18" t="s">
        <v>166</v>
      </c>
      <c r="AA5561" s="21" t="str">
        <f>HYPERLINK("https://www.ncbi.nlm.nih.gov/nuccore/KP205503","NCBI Nucleotide")</f>
        <v>NCBI Nucleotide</v>
      </c>
    </row>
    <row r="5562" spans="1:27" x14ac:dyDescent="0.35">
      <c r="A5562">
        <v>1007082</v>
      </c>
      <c r="B5562">
        <v>5317</v>
      </c>
      <c r="C5562">
        <v>1</v>
      </c>
      <c r="D5562" s="17" t="s">
        <v>10507</v>
      </c>
      <c r="E5562" s="17"/>
      <c r="F5562" s="17" t="s">
        <v>10780</v>
      </c>
      <c r="G5562" s="17"/>
      <c r="H5562" s="17" t="s">
        <v>10781</v>
      </c>
      <c r="I5562" s="17"/>
      <c r="J5562" s="17" t="s">
        <v>10791</v>
      </c>
      <c r="K5562" s="17"/>
      <c r="L5562" s="17" t="s">
        <v>11236</v>
      </c>
      <c r="M5562" s="17"/>
      <c r="N5562" s="17" t="s">
        <v>11237</v>
      </c>
      <c r="O5562" s="17" t="s">
        <v>11238</v>
      </c>
      <c r="P5562" s="17" t="s">
        <v>12126</v>
      </c>
      <c r="Q5562" s="17"/>
      <c r="R5562" s="25" t="str">
        <f>HYPERLINK("https://ictv.global/taxonomy/taxondetails?taxnode_id=202304113","Sigmapapillomavirus 1")</f>
        <v>Sigmapapillomavirus 1</v>
      </c>
      <c r="S5562" s="18" t="s">
        <v>30</v>
      </c>
      <c r="T5562" s="18" t="s">
        <v>12127</v>
      </c>
      <c r="U5562" s="18" t="s">
        <v>12128</v>
      </c>
      <c r="V5562" s="18"/>
      <c r="W5562" s="18" t="s">
        <v>12129</v>
      </c>
      <c r="X5562" s="18" t="s">
        <v>42</v>
      </c>
      <c r="Y5562" s="18" t="s">
        <v>36</v>
      </c>
      <c r="Z5562" s="18" t="s">
        <v>166</v>
      </c>
      <c r="AA5562" s="21" t="str">
        <f>HYPERLINK("https://www.ncbi.nlm.nih.gov/nuccore/AY684126","NCBI Nucleotide")</f>
        <v>NCBI Nucleotide</v>
      </c>
    </row>
    <row r="5563" spans="1:27" x14ac:dyDescent="0.35">
      <c r="A5563">
        <v>1007083</v>
      </c>
      <c r="B5563">
        <v>5318</v>
      </c>
      <c r="C5563">
        <v>1</v>
      </c>
      <c r="D5563" s="17" t="s">
        <v>10507</v>
      </c>
      <c r="E5563" s="17"/>
      <c r="F5563" s="17" t="s">
        <v>10780</v>
      </c>
      <c r="G5563" s="17"/>
      <c r="H5563" s="17" t="s">
        <v>10781</v>
      </c>
      <c r="I5563" s="17"/>
      <c r="J5563" s="17" t="s">
        <v>10791</v>
      </c>
      <c r="K5563" s="17"/>
      <c r="L5563" s="17" t="s">
        <v>11236</v>
      </c>
      <c r="M5563" s="17"/>
      <c r="N5563" s="17" t="s">
        <v>11237</v>
      </c>
      <c r="O5563" s="17" t="s">
        <v>11238</v>
      </c>
      <c r="P5563" s="17" t="s">
        <v>12130</v>
      </c>
      <c r="Q5563" s="17"/>
      <c r="R5563" s="25" t="str">
        <f>HYPERLINK("https://ictv.global/taxonomy/taxondetails?taxnode_id=202304115","Taupapillomavirus 1")</f>
        <v>Taupapillomavirus 1</v>
      </c>
      <c r="S5563" s="18" t="s">
        <v>30</v>
      </c>
      <c r="T5563" s="18" t="s">
        <v>12131</v>
      </c>
      <c r="U5563" s="18" t="s">
        <v>12132</v>
      </c>
      <c r="V5563" s="18"/>
      <c r="W5563" s="18" t="s">
        <v>12133</v>
      </c>
      <c r="X5563" s="18" t="s">
        <v>42</v>
      </c>
      <c r="Y5563" s="18" t="s">
        <v>36</v>
      </c>
      <c r="Z5563" s="18" t="s">
        <v>166</v>
      </c>
      <c r="AA5563" s="21" t="str">
        <f>HYPERLINK("https://www.ncbi.nlm.nih.gov/nuccore/AY722648","NCBI Nucleotide")</f>
        <v>NCBI Nucleotide</v>
      </c>
    </row>
    <row r="5564" spans="1:27" x14ac:dyDescent="0.35">
      <c r="A5564">
        <v>1012413</v>
      </c>
      <c r="B5564">
        <v>5318</v>
      </c>
      <c r="C5564">
        <v>2</v>
      </c>
      <c r="D5564" s="17" t="s">
        <v>10507</v>
      </c>
      <c r="E5564" s="17"/>
      <c r="F5564" s="17" t="s">
        <v>10780</v>
      </c>
      <c r="G5564" s="17"/>
      <c r="H5564" s="17" t="s">
        <v>10781</v>
      </c>
      <c r="I5564" s="17"/>
      <c r="J5564" s="17" t="s">
        <v>10791</v>
      </c>
      <c r="K5564" s="17"/>
      <c r="L5564" s="17" t="s">
        <v>11236</v>
      </c>
      <c r="M5564" s="17"/>
      <c r="N5564" s="17" t="s">
        <v>11237</v>
      </c>
      <c r="O5564" s="17" t="s">
        <v>11238</v>
      </c>
      <c r="P5564" s="17" t="s">
        <v>12130</v>
      </c>
      <c r="Q5564" s="17"/>
      <c r="R5564" s="25" t="str">
        <f>HYPERLINK("https://ictv.global/taxonomy/taxondetails?taxnode_id=202304115","Taupapillomavirus 1")</f>
        <v>Taupapillomavirus 1</v>
      </c>
      <c r="S5564" s="18" t="s">
        <v>8141</v>
      </c>
      <c r="T5564" s="18" t="s">
        <v>12134</v>
      </c>
      <c r="U5564" s="18" t="s">
        <v>12135</v>
      </c>
      <c r="V5564" s="18" t="s">
        <v>12136</v>
      </c>
      <c r="W5564" s="18" t="s">
        <v>48974</v>
      </c>
      <c r="X5564" s="18" t="s">
        <v>42</v>
      </c>
      <c r="Y5564" s="18" t="s">
        <v>36</v>
      </c>
      <c r="Z5564" s="18" t="s">
        <v>166</v>
      </c>
      <c r="AA5564" s="21" t="str">
        <f>HYPERLINK("https://www.ncbi.nlm.nih.gov/nuccore/FJ492742","NCBI Nucleotide")</f>
        <v>NCBI Nucleotide</v>
      </c>
    </row>
    <row r="5565" spans="1:27" x14ac:dyDescent="0.35">
      <c r="A5565">
        <v>1012414</v>
      </c>
      <c r="B5565">
        <v>5318</v>
      </c>
      <c r="C5565">
        <v>3</v>
      </c>
      <c r="D5565" s="17" t="s">
        <v>10507</v>
      </c>
      <c r="E5565" s="17"/>
      <c r="F5565" s="17" t="s">
        <v>10780</v>
      </c>
      <c r="G5565" s="17"/>
      <c r="H5565" s="17" t="s">
        <v>10781</v>
      </c>
      <c r="I5565" s="17"/>
      <c r="J5565" s="17" t="s">
        <v>10791</v>
      </c>
      <c r="K5565" s="17"/>
      <c r="L5565" s="17" t="s">
        <v>11236</v>
      </c>
      <c r="M5565" s="17"/>
      <c r="N5565" s="17" t="s">
        <v>11237</v>
      </c>
      <c r="O5565" s="17" t="s">
        <v>11238</v>
      </c>
      <c r="P5565" s="17" t="s">
        <v>12130</v>
      </c>
      <c r="Q5565" s="17"/>
      <c r="R5565" s="25" t="str">
        <f>HYPERLINK("https://ictv.global/taxonomy/taxondetails?taxnode_id=202304115","Taupapillomavirus 1")</f>
        <v>Taupapillomavirus 1</v>
      </c>
      <c r="S5565" s="18" t="s">
        <v>8141</v>
      </c>
      <c r="T5565" s="18" t="s">
        <v>12137</v>
      </c>
      <c r="U5565" s="18" t="s">
        <v>12138</v>
      </c>
      <c r="V5565" s="18" t="s">
        <v>12139</v>
      </c>
      <c r="W5565" s="18" t="s">
        <v>48975</v>
      </c>
      <c r="X5565" s="18" t="s">
        <v>42</v>
      </c>
      <c r="Y5565" s="18" t="s">
        <v>36</v>
      </c>
      <c r="Z5565" s="18" t="s">
        <v>166</v>
      </c>
      <c r="AA5565" s="21" t="str">
        <f>HYPERLINK("https://www.ncbi.nlm.nih.gov/nuccore/KT272399","NCBI Nucleotide")</f>
        <v>NCBI Nucleotide</v>
      </c>
    </row>
    <row r="5566" spans="1:27" x14ac:dyDescent="0.35">
      <c r="A5566">
        <v>1012415</v>
      </c>
      <c r="B5566">
        <v>5318</v>
      </c>
      <c r="C5566">
        <v>4</v>
      </c>
      <c r="D5566" s="17" t="s">
        <v>10507</v>
      </c>
      <c r="E5566" s="17"/>
      <c r="F5566" s="17" t="s">
        <v>10780</v>
      </c>
      <c r="G5566" s="17"/>
      <c r="H5566" s="17" t="s">
        <v>10781</v>
      </c>
      <c r="I5566" s="17"/>
      <c r="J5566" s="17" t="s">
        <v>10791</v>
      </c>
      <c r="K5566" s="17"/>
      <c r="L5566" s="17" t="s">
        <v>11236</v>
      </c>
      <c r="M5566" s="17"/>
      <c r="N5566" s="17" t="s">
        <v>11237</v>
      </c>
      <c r="O5566" s="17" t="s">
        <v>11238</v>
      </c>
      <c r="P5566" s="17" t="s">
        <v>12130</v>
      </c>
      <c r="Q5566" s="17"/>
      <c r="R5566" s="25" t="str">
        <f>HYPERLINK("https://ictv.global/taxonomy/taxondetails?taxnode_id=202304115","Taupapillomavirus 1")</f>
        <v>Taupapillomavirus 1</v>
      </c>
      <c r="S5566" s="18" t="s">
        <v>8141</v>
      </c>
      <c r="T5566" s="18" t="s">
        <v>12140</v>
      </c>
      <c r="U5566" s="18" t="s">
        <v>12141</v>
      </c>
      <c r="V5566" s="18" t="s">
        <v>12142</v>
      </c>
      <c r="W5566" s="18" t="s">
        <v>48976</v>
      </c>
      <c r="X5566" s="18" t="s">
        <v>42</v>
      </c>
      <c r="Y5566" s="18" t="s">
        <v>36</v>
      </c>
      <c r="Z5566" s="18" t="s">
        <v>166</v>
      </c>
      <c r="AA5566" s="21" t="str">
        <f>HYPERLINK("https://www.ncbi.nlm.nih.gov/nuccore/KX599536","NCBI Nucleotide")</f>
        <v>NCBI Nucleotide</v>
      </c>
    </row>
    <row r="5567" spans="1:27" x14ac:dyDescent="0.35">
      <c r="A5567">
        <v>1007084</v>
      </c>
      <c r="B5567">
        <v>5319</v>
      </c>
      <c r="C5567">
        <v>1</v>
      </c>
      <c r="D5567" s="17" t="s">
        <v>10507</v>
      </c>
      <c r="E5567" s="17"/>
      <c r="F5567" s="17" t="s">
        <v>10780</v>
      </c>
      <c r="G5567" s="17"/>
      <c r="H5567" s="17" t="s">
        <v>10781</v>
      </c>
      <c r="I5567" s="17"/>
      <c r="J5567" s="17" t="s">
        <v>10791</v>
      </c>
      <c r="K5567" s="17"/>
      <c r="L5567" s="17" t="s">
        <v>11236</v>
      </c>
      <c r="M5567" s="17"/>
      <c r="N5567" s="17" t="s">
        <v>11237</v>
      </c>
      <c r="O5567" s="17" t="s">
        <v>11238</v>
      </c>
      <c r="P5567" s="17" t="s">
        <v>12130</v>
      </c>
      <c r="Q5567" s="17"/>
      <c r="R5567" s="25" t="str">
        <f>HYPERLINK("https://ictv.global/taxonomy/taxondetails?taxnode_id=202304116","Taupapillomavirus 2")</f>
        <v>Taupapillomavirus 2</v>
      </c>
      <c r="S5567" s="18" t="s">
        <v>30</v>
      </c>
      <c r="T5567" s="18" t="s">
        <v>12143</v>
      </c>
      <c r="U5567" s="18" t="s">
        <v>12144</v>
      </c>
      <c r="V5567" s="18" t="s">
        <v>12145</v>
      </c>
      <c r="W5567" s="18" t="s">
        <v>12146</v>
      </c>
      <c r="X5567" s="18" t="s">
        <v>42</v>
      </c>
      <c r="Y5567" s="18" t="s">
        <v>36</v>
      </c>
      <c r="Z5567" s="18" t="s">
        <v>166</v>
      </c>
      <c r="AA5567" s="21" t="str">
        <f>HYPERLINK("https://www.ncbi.nlm.nih.gov/nuccore/JX141478","NCBI Nucleotide")</f>
        <v>NCBI Nucleotide</v>
      </c>
    </row>
    <row r="5568" spans="1:27" x14ac:dyDescent="0.35">
      <c r="A5568">
        <v>1007085</v>
      </c>
      <c r="B5568">
        <v>5320</v>
      </c>
      <c r="C5568">
        <v>1</v>
      </c>
      <c r="D5568" s="17" t="s">
        <v>10507</v>
      </c>
      <c r="E5568" s="17"/>
      <c r="F5568" s="17" t="s">
        <v>10780</v>
      </c>
      <c r="G5568" s="17"/>
      <c r="H5568" s="17" t="s">
        <v>10781</v>
      </c>
      <c r="I5568" s="17"/>
      <c r="J5568" s="17" t="s">
        <v>10791</v>
      </c>
      <c r="K5568" s="17"/>
      <c r="L5568" s="17" t="s">
        <v>11236</v>
      </c>
      <c r="M5568" s="17"/>
      <c r="N5568" s="17" t="s">
        <v>11237</v>
      </c>
      <c r="O5568" s="17" t="s">
        <v>11238</v>
      </c>
      <c r="P5568" s="17" t="s">
        <v>12130</v>
      </c>
      <c r="Q5568" s="17"/>
      <c r="R5568" s="25" t="str">
        <f>HYPERLINK("https://ictv.global/taxonomy/taxondetails?taxnode_id=202304117","Taupapillomavirus 3")</f>
        <v>Taupapillomavirus 3</v>
      </c>
      <c r="S5568" s="18" t="s">
        <v>30</v>
      </c>
      <c r="T5568" s="18" t="s">
        <v>12147</v>
      </c>
      <c r="U5568" s="18" t="s">
        <v>12148</v>
      </c>
      <c r="V5568" s="18" t="s">
        <v>12149</v>
      </c>
      <c r="W5568" s="18" t="s">
        <v>12150</v>
      </c>
      <c r="X5568" s="18" t="s">
        <v>42</v>
      </c>
      <c r="Y5568" s="18" t="s">
        <v>36</v>
      </c>
      <c r="Z5568" s="18" t="s">
        <v>166</v>
      </c>
      <c r="AA5568" s="21" t="str">
        <f>HYPERLINK("https://www.ncbi.nlm.nih.gov/nuccore/JX972168","NCBI Nucleotide")</f>
        <v>NCBI Nucleotide</v>
      </c>
    </row>
    <row r="5569" spans="1:27" x14ac:dyDescent="0.35">
      <c r="A5569">
        <v>1012416</v>
      </c>
      <c r="B5569">
        <v>5320</v>
      </c>
      <c r="C5569">
        <v>2</v>
      </c>
      <c r="D5569" s="17" t="s">
        <v>10507</v>
      </c>
      <c r="E5569" s="17"/>
      <c r="F5569" s="17" t="s">
        <v>10780</v>
      </c>
      <c r="G5569" s="17"/>
      <c r="H5569" s="17" t="s">
        <v>10781</v>
      </c>
      <c r="I5569" s="17"/>
      <c r="J5569" s="17" t="s">
        <v>10791</v>
      </c>
      <c r="K5569" s="17"/>
      <c r="L5569" s="17" t="s">
        <v>11236</v>
      </c>
      <c r="M5569" s="17"/>
      <c r="N5569" s="17" t="s">
        <v>11237</v>
      </c>
      <c r="O5569" s="17" t="s">
        <v>11238</v>
      </c>
      <c r="P5569" s="17" t="s">
        <v>12130</v>
      </c>
      <c r="Q5569" s="17"/>
      <c r="R5569" s="25" t="str">
        <f>HYPERLINK("https://ictv.global/taxonomy/taxondetails?taxnode_id=202304117","Taupapillomavirus 3")</f>
        <v>Taupapillomavirus 3</v>
      </c>
      <c r="S5569" s="18" t="s">
        <v>8141</v>
      </c>
      <c r="T5569" s="18" t="s">
        <v>12151</v>
      </c>
      <c r="U5569" s="18" t="s">
        <v>12152</v>
      </c>
      <c r="V5569" s="18" t="s">
        <v>12153</v>
      </c>
      <c r="W5569" s="18" t="s">
        <v>48977</v>
      </c>
      <c r="X5569" s="18" t="s">
        <v>42</v>
      </c>
      <c r="Y5569" s="18" t="s">
        <v>36</v>
      </c>
      <c r="Z5569" s="18" t="s">
        <v>166</v>
      </c>
      <c r="AA5569" s="21" t="str">
        <f>HYPERLINK("https://www.ncbi.nlm.nih.gov/nuccore/KF147892","NCBI Nucleotide")</f>
        <v>NCBI Nucleotide</v>
      </c>
    </row>
    <row r="5570" spans="1:27" x14ac:dyDescent="0.35">
      <c r="A5570">
        <v>1007086</v>
      </c>
      <c r="B5570">
        <v>5321</v>
      </c>
      <c r="C5570">
        <v>1</v>
      </c>
      <c r="D5570" s="17" t="s">
        <v>10507</v>
      </c>
      <c r="E5570" s="17"/>
      <c r="F5570" s="17" t="s">
        <v>10780</v>
      </c>
      <c r="G5570" s="17"/>
      <c r="H5570" s="17" t="s">
        <v>10781</v>
      </c>
      <c r="I5570" s="17"/>
      <c r="J5570" s="17" t="s">
        <v>10791</v>
      </c>
      <c r="K5570" s="17"/>
      <c r="L5570" s="17" t="s">
        <v>11236</v>
      </c>
      <c r="M5570" s="17"/>
      <c r="N5570" s="17" t="s">
        <v>11237</v>
      </c>
      <c r="O5570" s="17" t="s">
        <v>11238</v>
      </c>
      <c r="P5570" s="17" t="s">
        <v>12130</v>
      </c>
      <c r="Q5570" s="17"/>
      <c r="R5570" s="25" t="str">
        <f>HYPERLINK("https://ictv.global/taxonomy/taxondetails?taxnode_id=202305874","Taupapillomavirus 4")</f>
        <v>Taupapillomavirus 4</v>
      </c>
      <c r="S5570" s="18" t="s">
        <v>30</v>
      </c>
      <c r="T5570" s="18" t="s">
        <v>12154</v>
      </c>
      <c r="U5570" s="18" t="s">
        <v>12155</v>
      </c>
      <c r="V5570" s="18"/>
      <c r="W5570" s="18" t="s">
        <v>12156</v>
      </c>
      <c r="X5570" s="18" t="s">
        <v>42</v>
      </c>
      <c r="Y5570" s="18" t="s">
        <v>36</v>
      </c>
      <c r="Z5570" s="18" t="s">
        <v>166</v>
      </c>
      <c r="AA5570" s="21" t="str">
        <f>HYPERLINK("https://www.ncbi.nlm.nih.gov/nuccore/KF006988","NCBI Nucleotide")</f>
        <v>NCBI Nucleotide</v>
      </c>
    </row>
    <row r="5571" spans="1:27" x14ac:dyDescent="0.35">
      <c r="A5571">
        <v>1007087</v>
      </c>
      <c r="B5571">
        <v>5322</v>
      </c>
      <c r="C5571">
        <v>1</v>
      </c>
      <c r="D5571" s="17" t="s">
        <v>10507</v>
      </c>
      <c r="E5571" s="17"/>
      <c r="F5571" s="17" t="s">
        <v>10780</v>
      </c>
      <c r="G5571" s="17"/>
      <c r="H5571" s="17" t="s">
        <v>10781</v>
      </c>
      <c r="I5571" s="17"/>
      <c r="J5571" s="17" t="s">
        <v>10791</v>
      </c>
      <c r="K5571" s="17"/>
      <c r="L5571" s="17" t="s">
        <v>11236</v>
      </c>
      <c r="M5571" s="17"/>
      <c r="N5571" s="17" t="s">
        <v>11237</v>
      </c>
      <c r="O5571" s="17" t="s">
        <v>11238</v>
      </c>
      <c r="P5571" s="17" t="s">
        <v>12157</v>
      </c>
      <c r="Q5571" s="17"/>
      <c r="R5571" s="25" t="str">
        <f>HYPERLINK("https://ictv.global/taxonomy/taxondetails?taxnode_id=202304119","Thetapapillomavirus 1")</f>
        <v>Thetapapillomavirus 1</v>
      </c>
      <c r="S5571" s="18" t="s">
        <v>30</v>
      </c>
      <c r="T5571" s="18" t="s">
        <v>12158</v>
      </c>
      <c r="U5571" s="18" t="s">
        <v>12159</v>
      </c>
      <c r="V5571" s="18"/>
      <c r="W5571" s="18" t="s">
        <v>12160</v>
      </c>
      <c r="X5571" s="18" t="s">
        <v>42</v>
      </c>
      <c r="Y5571" s="18" t="s">
        <v>36</v>
      </c>
      <c r="Z5571" s="18" t="s">
        <v>166</v>
      </c>
      <c r="AA5571" s="21" t="str">
        <f>HYPERLINK("https://www.ncbi.nlm.nih.gov/nuccore/AF502599","NCBI Nucleotide")</f>
        <v>NCBI Nucleotide</v>
      </c>
    </row>
    <row r="5572" spans="1:27" x14ac:dyDescent="0.35">
      <c r="A5572">
        <v>1007088</v>
      </c>
      <c r="B5572">
        <v>5323</v>
      </c>
      <c r="C5572">
        <v>1</v>
      </c>
      <c r="D5572" s="17" t="s">
        <v>10507</v>
      </c>
      <c r="E5572" s="17"/>
      <c r="F5572" s="17" t="s">
        <v>10780</v>
      </c>
      <c r="G5572" s="17"/>
      <c r="H5572" s="17" t="s">
        <v>10781</v>
      </c>
      <c r="I5572" s="17"/>
      <c r="J5572" s="17" t="s">
        <v>10791</v>
      </c>
      <c r="K5572" s="17"/>
      <c r="L5572" s="17" t="s">
        <v>11236</v>
      </c>
      <c r="M5572" s="17"/>
      <c r="N5572" s="17" t="s">
        <v>11237</v>
      </c>
      <c r="O5572" s="17" t="s">
        <v>11238</v>
      </c>
      <c r="P5572" s="17" t="s">
        <v>12161</v>
      </c>
      <c r="Q5572" s="17"/>
      <c r="R5572" s="25" t="str">
        <f>HYPERLINK("https://ictv.global/taxonomy/taxondetails?taxnode_id=202304121","Treisdeltapapillomavirus 1")</f>
        <v>Treisdeltapapillomavirus 1</v>
      </c>
      <c r="S5572" s="18" t="s">
        <v>30</v>
      </c>
      <c r="T5572" s="18" t="s">
        <v>12162</v>
      </c>
      <c r="U5572" s="18" t="s">
        <v>12163</v>
      </c>
      <c r="V5572" s="18"/>
      <c r="W5572" s="18" t="s">
        <v>12164</v>
      </c>
      <c r="X5572" s="18" t="s">
        <v>42</v>
      </c>
      <c r="Y5572" s="18" t="s">
        <v>36</v>
      </c>
      <c r="Z5572" s="18" t="s">
        <v>166</v>
      </c>
      <c r="AA5572" s="21" t="str">
        <f>HYPERLINK("https://www.ncbi.nlm.nih.gov/nuccore/KC858266","NCBI Nucleotide")</f>
        <v>NCBI Nucleotide</v>
      </c>
    </row>
    <row r="5573" spans="1:27" x14ac:dyDescent="0.35">
      <c r="A5573">
        <v>1007089</v>
      </c>
      <c r="B5573">
        <v>5324</v>
      </c>
      <c r="C5573">
        <v>1</v>
      </c>
      <c r="D5573" s="17" t="s">
        <v>10507</v>
      </c>
      <c r="E5573" s="17"/>
      <c r="F5573" s="17" t="s">
        <v>10780</v>
      </c>
      <c r="G5573" s="17"/>
      <c r="H5573" s="17" t="s">
        <v>10781</v>
      </c>
      <c r="I5573" s="17"/>
      <c r="J5573" s="17" t="s">
        <v>10791</v>
      </c>
      <c r="K5573" s="17"/>
      <c r="L5573" s="17" t="s">
        <v>11236</v>
      </c>
      <c r="M5573" s="17"/>
      <c r="N5573" s="17" t="s">
        <v>11237</v>
      </c>
      <c r="O5573" s="17" t="s">
        <v>11238</v>
      </c>
      <c r="P5573" s="17" t="s">
        <v>12165</v>
      </c>
      <c r="Q5573" s="17"/>
      <c r="R5573" s="25" t="str">
        <f>HYPERLINK("https://ictv.global/taxonomy/taxondetails?taxnode_id=202304123","Treisepsilonpapillomavirus 1")</f>
        <v>Treisepsilonpapillomavirus 1</v>
      </c>
      <c r="S5573" s="18" t="s">
        <v>30</v>
      </c>
      <c r="T5573" s="18" t="s">
        <v>12166</v>
      </c>
      <c r="U5573" s="18" t="s">
        <v>12167</v>
      </c>
      <c r="V5573" s="18" t="s">
        <v>12168</v>
      </c>
      <c r="W5573" s="18" t="s">
        <v>12169</v>
      </c>
      <c r="X5573" s="18" t="s">
        <v>42</v>
      </c>
      <c r="Y5573" s="18" t="s">
        <v>36</v>
      </c>
      <c r="Z5573" s="18" t="s">
        <v>166</v>
      </c>
      <c r="AA5573" s="21" t="str">
        <f>HYPERLINK("https://www.ncbi.nlm.nih.gov/nuccore/KJ173785","NCBI Nucleotide")</f>
        <v>NCBI Nucleotide</v>
      </c>
    </row>
    <row r="5574" spans="1:27" x14ac:dyDescent="0.35">
      <c r="A5574">
        <v>1012417</v>
      </c>
      <c r="B5574">
        <v>5324</v>
      </c>
      <c r="C5574">
        <v>2</v>
      </c>
      <c r="D5574" s="17" t="s">
        <v>10507</v>
      </c>
      <c r="E5574" s="17"/>
      <c r="F5574" s="17" t="s">
        <v>10780</v>
      </c>
      <c r="G5574" s="17"/>
      <c r="H5574" s="17" t="s">
        <v>10781</v>
      </c>
      <c r="I5574" s="17"/>
      <c r="J5574" s="17" t="s">
        <v>10791</v>
      </c>
      <c r="K5574" s="17"/>
      <c r="L5574" s="17" t="s">
        <v>11236</v>
      </c>
      <c r="M5574" s="17"/>
      <c r="N5574" s="17" t="s">
        <v>11237</v>
      </c>
      <c r="O5574" s="17" t="s">
        <v>11238</v>
      </c>
      <c r="P5574" s="17" t="s">
        <v>12165</v>
      </c>
      <c r="Q5574" s="17"/>
      <c r="R5574" s="25" t="str">
        <f>HYPERLINK("https://ictv.global/taxonomy/taxondetails?taxnode_id=202304123","Treisepsilonpapillomavirus 1")</f>
        <v>Treisepsilonpapillomavirus 1</v>
      </c>
      <c r="S5574" s="18" t="s">
        <v>8141</v>
      </c>
      <c r="T5574" s="18" t="s">
        <v>12170</v>
      </c>
      <c r="U5574" s="18" t="s">
        <v>12167</v>
      </c>
      <c r="V5574" s="18"/>
      <c r="W5574" s="18" t="s">
        <v>48978</v>
      </c>
      <c r="X5574" s="18" t="s">
        <v>42</v>
      </c>
      <c r="Y5574" s="18" t="s">
        <v>36</v>
      </c>
      <c r="Z5574" s="18" t="s">
        <v>166</v>
      </c>
      <c r="AA5574" s="21" t="str">
        <f>HYPERLINK("https://www.ncbi.nlm.nih.gov/nuccore/MF168943","NCBI Nucleotide")</f>
        <v>NCBI Nucleotide</v>
      </c>
    </row>
    <row r="5575" spans="1:27" x14ac:dyDescent="0.35">
      <c r="A5575">
        <v>1007090</v>
      </c>
      <c r="B5575">
        <v>5325</v>
      </c>
      <c r="C5575">
        <v>1</v>
      </c>
      <c r="D5575" s="17" t="s">
        <v>10507</v>
      </c>
      <c r="E5575" s="17"/>
      <c r="F5575" s="17" t="s">
        <v>10780</v>
      </c>
      <c r="G5575" s="17"/>
      <c r="H5575" s="17" t="s">
        <v>10781</v>
      </c>
      <c r="I5575" s="17"/>
      <c r="J5575" s="17" t="s">
        <v>10791</v>
      </c>
      <c r="K5575" s="17"/>
      <c r="L5575" s="17" t="s">
        <v>11236</v>
      </c>
      <c r="M5575" s="17"/>
      <c r="N5575" s="17" t="s">
        <v>11237</v>
      </c>
      <c r="O5575" s="17" t="s">
        <v>11238</v>
      </c>
      <c r="P5575" s="17" t="s">
        <v>12171</v>
      </c>
      <c r="Q5575" s="17"/>
      <c r="R5575" s="25" t="str">
        <f>HYPERLINK("https://ictv.global/taxonomy/taxondetails?taxnode_id=202304125","Treisetapapillomavirus 1")</f>
        <v>Treisetapapillomavirus 1</v>
      </c>
      <c r="S5575" s="18" t="s">
        <v>30</v>
      </c>
      <c r="T5575" s="18" t="s">
        <v>12172</v>
      </c>
      <c r="U5575" s="18" t="s">
        <v>12173</v>
      </c>
      <c r="V5575" s="18" t="s">
        <v>12174</v>
      </c>
      <c r="W5575" s="18" t="s">
        <v>12175</v>
      </c>
      <c r="X5575" s="18" t="s">
        <v>42</v>
      </c>
      <c r="Y5575" s="18" t="s">
        <v>36</v>
      </c>
      <c r="Z5575" s="18" t="s">
        <v>166</v>
      </c>
      <c r="AA5575" s="21" t="str">
        <f>HYPERLINK("https://www.ncbi.nlm.nih.gov/nuccore/KF857586","NCBI Nucleotide")</f>
        <v>NCBI Nucleotide</v>
      </c>
    </row>
    <row r="5576" spans="1:27" x14ac:dyDescent="0.35">
      <c r="A5576">
        <v>1007091</v>
      </c>
      <c r="B5576">
        <v>5326</v>
      </c>
      <c r="C5576">
        <v>1</v>
      </c>
      <c r="D5576" s="17" t="s">
        <v>10507</v>
      </c>
      <c r="E5576" s="17"/>
      <c r="F5576" s="17" t="s">
        <v>10780</v>
      </c>
      <c r="G5576" s="17"/>
      <c r="H5576" s="17" t="s">
        <v>10781</v>
      </c>
      <c r="I5576" s="17"/>
      <c r="J5576" s="17" t="s">
        <v>10791</v>
      </c>
      <c r="K5576" s="17"/>
      <c r="L5576" s="17" t="s">
        <v>11236</v>
      </c>
      <c r="M5576" s="17"/>
      <c r="N5576" s="17" t="s">
        <v>11237</v>
      </c>
      <c r="O5576" s="17" t="s">
        <v>11238</v>
      </c>
      <c r="P5576" s="17" t="s">
        <v>12176</v>
      </c>
      <c r="Q5576" s="17"/>
      <c r="R5576" s="25" t="str">
        <f>HYPERLINK("https://ictv.global/taxonomy/taxondetails?taxnode_id=202305875","Treisiotapapillomavirus 1")</f>
        <v>Treisiotapapillomavirus 1</v>
      </c>
      <c r="S5576" s="18" t="s">
        <v>30</v>
      </c>
      <c r="T5576" s="18" t="s">
        <v>12177</v>
      </c>
      <c r="U5576" s="18" t="s">
        <v>12178</v>
      </c>
      <c r="V5576" s="18"/>
      <c r="W5576" s="18" t="s">
        <v>12179</v>
      </c>
      <c r="X5576" s="18" t="s">
        <v>42</v>
      </c>
      <c r="Y5576" s="18" t="s">
        <v>36</v>
      </c>
      <c r="Z5576" s="18" t="s">
        <v>166</v>
      </c>
      <c r="AA5576" s="21" t="str">
        <f>HYPERLINK("https://www.ncbi.nlm.nih.gov/nuccore/JQ814847","NCBI Nucleotide")</f>
        <v>NCBI Nucleotide</v>
      </c>
    </row>
    <row r="5577" spans="1:27" x14ac:dyDescent="0.35">
      <c r="A5577">
        <v>1007092</v>
      </c>
      <c r="B5577">
        <v>5327</v>
      </c>
      <c r="C5577">
        <v>1</v>
      </c>
      <c r="D5577" s="17" t="s">
        <v>10507</v>
      </c>
      <c r="E5577" s="17"/>
      <c r="F5577" s="17" t="s">
        <v>10780</v>
      </c>
      <c r="G5577" s="17"/>
      <c r="H5577" s="17" t="s">
        <v>10781</v>
      </c>
      <c r="I5577" s="17"/>
      <c r="J5577" s="17" t="s">
        <v>10791</v>
      </c>
      <c r="K5577" s="17"/>
      <c r="L5577" s="17" t="s">
        <v>11236</v>
      </c>
      <c r="M5577" s="17"/>
      <c r="N5577" s="17" t="s">
        <v>11237</v>
      </c>
      <c r="O5577" s="17" t="s">
        <v>11238</v>
      </c>
      <c r="P5577" s="17" t="s">
        <v>12180</v>
      </c>
      <c r="Q5577" s="17"/>
      <c r="R5577" s="25" t="str">
        <f>HYPERLINK("https://ictv.global/taxonomy/taxondetails?taxnode_id=202305877","Treiskappapapillomavirus 1")</f>
        <v>Treiskappapapillomavirus 1</v>
      </c>
      <c r="S5577" s="18" t="s">
        <v>30</v>
      </c>
      <c r="T5577" s="18" t="s">
        <v>12181</v>
      </c>
      <c r="U5577" s="18" t="s">
        <v>12182</v>
      </c>
      <c r="V5577" s="18" t="s">
        <v>12183</v>
      </c>
      <c r="W5577" s="18" t="s">
        <v>12184</v>
      </c>
      <c r="X5577" s="18" t="s">
        <v>42</v>
      </c>
      <c r="Y5577" s="18" t="s">
        <v>36</v>
      </c>
      <c r="Z5577" s="18" t="s">
        <v>166</v>
      </c>
      <c r="AA5577" s="21" t="str">
        <f>HYPERLINK("https://www.ncbi.nlm.nih.gov/nuccore/KU963288","NCBI Nucleotide")</f>
        <v>NCBI Nucleotide</v>
      </c>
    </row>
    <row r="5578" spans="1:27" x14ac:dyDescent="0.35">
      <c r="A5578">
        <v>1007093</v>
      </c>
      <c r="B5578">
        <v>5328</v>
      </c>
      <c r="C5578">
        <v>1</v>
      </c>
      <c r="D5578" s="17" t="s">
        <v>10507</v>
      </c>
      <c r="E5578" s="17"/>
      <c r="F5578" s="17" t="s">
        <v>10780</v>
      </c>
      <c r="G5578" s="17"/>
      <c r="H5578" s="17" t="s">
        <v>10781</v>
      </c>
      <c r="I5578" s="17"/>
      <c r="J5578" s="17" t="s">
        <v>10791</v>
      </c>
      <c r="K5578" s="17"/>
      <c r="L5578" s="17" t="s">
        <v>11236</v>
      </c>
      <c r="M5578" s="17"/>
      <c r="N5578" s="17" t="s">
        <v>11237</v>
      </c>
      <c r="O5578" s="17" t="s">
        <v>11238</v>
      </c>
      <c r="P5578" s="17" t="s">
        <v>12185</v>
      </c>
      <c r="Q5578" s="17"/>
      <c r="R5578" s="25" t="str">
        <f>HYPERLINK("https://ictv.global/taxonomy/taxondetails?taxnode_id=202305879","Treisthetapapillomavirus 1")</f>
        <v>Treisthetapapillomavirus 1</v>
      </c>
      <c r="S5578" s="18" t="s">
        <v>30</v>
      </c>
      <c r="T5578" s="18" t="s">
        <v>12186</v>
      </c>
      <c r="U5578" s="18" t="s">
        <v>12187</v>
      </c>
      <c r="V5578" s="18" t="s">
        <v>12188</v>
      </c>
      <c r="W5578" s="18" t="s">
        <v>12189</v>
      </c>
      <c r="X5578" s="18" t="s">
        <v>42</v>
      </c>
      <c r="Y5578" s="18" t="s">
        <v>36</v>
      </c>
      <c r="Z5578" s="18" t="s">
        <v>166</v>
      </c>
      <c r="AA5578" s="21" t="str">
        <f>HYPERLINK("https://www.ncbi.nlm.nih.gov/nuccore/KP757765","NCBI Nucleotide")</f>
        <v>NCBI Nucleotide</v>
      </c>
    </row>
    <row r="5579" spans="1:27" x14ac:dyDescent="0.35">
      <c r="A5579">
        <v>1007094</v>
      </c>
      <c r="B5579">
        <v>5329</v>
      </c>
      <c r="C5579">
        <v>1</v>
      </c>
      <c r="D5579" s="17" t="s">
        <v>10507</v>
      </c>
      <c r="E5579" s="17"/>
      <c r="F5579" s="17" t="s">
        <v>10780</v>
      </c>
      <c r="G5579" s="17"/>
      <c r="H5579" s="17" t="s">
        <v>10781</v>
      </c>
      <c r="I5579" s="17"/>
      <c r="J5579" s="17" t="s">
        <v>10791</v>
      </c>
      <c r="K5579" s="17"/>
      <c r="L5579" s="17" t="s">
        <v>11236</v>
      </c>
      <c r="M5579" s="17"/>
      <c r="N5579" s="17" t="s">
        <v>11237</v>
      </c>
      <c r="O5579" s="17" t="s">
        <v>11238</v>
      </c>
      <c r="P5579" s="17" t="s">
        <v>12190</v>
      </c>
      <c r="Q5579" s="17"/>
      <c r="R5579" s="25" t="str">
        <f>HYPERLINK("https://ictv.global/taxonomy/taxondetails?taxnode_id=202304127","Treiszetapapillomavirus 1")</f>
        <v>Treiszetapapillomavirus 1</v>
      </c>
      <c r="S5579" s="18" t="s">
        <v>30</v>
      </c>
      <c r="T5579" s="18" t="s">
        <v>12191</v>
      </c>
      <c r="U5579" s="18" t="s">
        <v>12192</v>
      </c>
      <c r="V5579" s="18"/>
      <c r="W5579" s="18" t="s">
        <v>12193</v>
      </c>
      <c r="X5579" s="18" t="s">
        <v>42</v>
      </c>
      <c r="Y5579" s="18" t="s">
        <v>36</v>
      </c>
      <c r="Z5579" s="18" t="s">
        <v>166</v>
      </c>
      <c r="AA5579" s="21" t="str">
        <f>HYPERLINK("https://www.ncbi.nlm.nih.gov/nuccore/KJ452243","NCBI Nucleotide")</f>
        <v>NCBI Nucleotide</v>
      </c>
    </row>
    <row r="5580" spans="1:27" x14ac:dyDescent="0.35">
      <c r="A5580">
        <v>1007095</v>
      </c>
      <c r="B5580">
        <v>5330</v>
      </c>
      <c r="C5580">
        <v>1</v>
      </c>
      <c r="D5580" s="17" t="s">
        <v>10507</v>
      </c>
      <c r="E5580" s="17"/>
      <c r="F5580" s="17" t="s">
        <v>10780</v>
      </c>
      <c r="G5580" s="17"/>
      <c r="H5580" s="17" t="s">
        <v>10781</v>
      </c>
      <c r="I5580" s="17"/>
      <c r="J5580" s="17" t="s">
        <v>10791</v>
      </c>
      <c r="K5580" s="17"/>
      <c r="L5580" s="17" t="s">
        <v>11236</v>
      </c>
      <c r="M5580" s="17"/>
      <c r="N5580" s="17" t="s">
        <v>11237</v>
      </c>
      <c r="O5580" s="17" t="s">
        <v>11238</v>
      </c>
      <c r="P5580" s="17" t="s">
        <v>12194</v>
      </c>
      <c r="Q5580" s="17"/>
      <c r="R5580" s="25" t="str">
        <f>HYPERLINK("https://ictv.global/taxonomy/taxondetails?taxnode_id=202304129","Upsilonpapillomavirus 1")</f>
        <v>Upsilonpapillomavirus 1</v>
      </c>
      <c r="S5580" s="18" t="s">
        <v>30</v>
      </c>
      <c r="T5580" s="18" t="s">
        <v>12195</v>
      </c>
      <c r="U5580" s="18" t="s">
        <v>12196</v>
      </c>
      <c r="V5580" s="18"/>
      <c r="W5580" s="18" t="s">
        <v>12197</v>
      </c>
      <c r="X5580" s="18" t="s">
        <v>42</v>
      </c>
      <c r="Y5580" s="18" t="s">
        <v>36</v>
      </c>
      <c r="Z5580" s="18" t="s">
        <v>166</v>
      </c>
      <c r="AA5580" s="21" t="str">
        <f>HYPERLINK("https://www.ncbi.nlm.nih.gov/nuccore/EU240894","NCBI Nucleotide")</f>
        <v>NCBI Nucleotide</v>
      </c>
    </row>
    <row r="5581" spans="1:27" x14ac:dyDescent="0.35">
      <c r="A5581">
        <v>1012419</v>
      </c>
      <c r="B5581">
        <v>5330</v>
      </c>
      <c r="C5581">
        <v>2</v>
      </c>
      <c r="D5581" s="17" t="s">
        <v>10507</v>
      </c>
      <c r="E5581" s="17"/>
      <c r="F5581" s="17" t="s">
        <v>10780</v>
      </c>
      <c r="G5581" s="17"/>
      <c r="H5581" s="17" t="s">
        <v>10781</v>
      </c>
      <c r="I5581" s="17"/>
      <c r="J5581" s="17" t="s">
        <v>10791</v>
      </c>
      <c r="K5581" s="17"/>
      <c r="L5581" s="17" t="s">
        <v>11236</v>
      </c>
      <c r="M5581" s="17"/>
      <c r="N5581" s="17" t="s">
        <v>11237</v>
      </c>
      <c r="O5581" s="17" t="s">
        <v>11238</v>
      </c>
      <c r="P5581" s="17" t="s">
        <v>12194</v>
      </c>
      <c r="Q5581" s="17"/>
      <c r="R5581" s="25" t="str">
        <f>HYPERLINK("https://ictv.global/taxonomy/taxondetails?taxnode_id=202304129","Upsilonpapillomavirus 1")</f>
        <v>Upsilonpapillomavirus 1</v>
      </c>
      <c r="S5581" s="18" t="s">
        <v>8141</v>
      </c>
      <c r="T5581" s="18" t="s">
        <v>12200</v>
      </c>
      <c r="U5581" s="18" t="s">
        <v>12201</v>
      </c>
      <c r="V5581" s="18"/>
      <c r="W5581" s="18" t="s">
        <v>48979</v>
      </c>
      <c r="X5581" s="18" t="s">
        <v>42</v>
      </c>
      <c r="Y5581" s="18" t="s">
        <v>36</v>
      </c>
      <c r="Z5581" s="18" t="s">
        <v>166</v>
      </c>
      <c r="AA5581" s="21" t="str">
        <f>HYPERLINK("https://www.ncbi.nlm.nih.gov/nuccore/GU117620","NCBI Nucleotide")</f>
        <v>NCBI Nucleotide</v>
      </c>
    </row>
    <row r="5582" spans="1:27" x14ac:dyDescent="0.35">
      <c r="A5582">
        <v>1012418</v>
      </c>
      <c r="B5582">
        <v>5330</v>
      </c>
      <c r="C5582">
        <v>3</v>
      </c>
      <c r="D5582" s="17" t="s">
        <v>10507</v>
      </c>
      <c r="E5582" s="17"/>
      <c r="F5582" s="17" t="s">
        <v>10780</v>
      </c>
      <c r="G5582" s="17"/>
      <c r="H5582" s="17" t="s">
        <v>10781</v>
      </c>
      <c r="I5582" s="17"/>
      <c r="J5582" s="17" t="s">
        <v>10791</v>
      </c>
      <c r="K5582" s="17"/>
      <c r="L5582" s="17" t="s">
        <v>11236</v>
      </c>
      <c r="M5582" s="17"/>
      <c r="N5582" s="17" t="s">
        <v>11237</v>
      </c>
      <c r="O5582" s="17" t="s">
        <v>11238</v>
      </c>
      <c r="P5582" s="17" t="s">
        <v>12194</v>
      </c>
      <c r="Q5582" s="17"/>
      <c r="R5582" s="25" t="str">
        <f>HYPERLINK("https://ictv.global/taxonomy/taxondetails?taxnode_id=202304129","Upsilonpapillomavirus 1")</f>
        <v>Upsilonpapillomavirus 1</v>
      </c>
      <c r="S5582" s="18" t="s">
        <v>8141</v>
      </c>
      <c r="T5582" s="18" t="s">
        <v>12198</v>
      </c>
      <c r="U5582" s="18" t="s">
        <v>12199</v>
      </c>
      <c r="V5582" s="18"/>
      <c r="W5582" s="18" t="s">
        <v>48980</v>
      </c>
      <c r="X5582" s="18" t="s">
        <v>42</v>
      </c>
      <c r="Y5582" s="18" t="s">
        <v>36</v>
      </c>
      <c r="Z5582" s="18" t="s">
        <v>166</v>
      </c>
      <c r="AA5582" s="21" t="str">
        <f>HYPERLINK("https://www.ncbi.nlm.nih.gov/nuccore/EU240895","NCBI Nucleotide")</f>
        <v>NCBI Nucleotide</v>
      </c>
    </row>
    <row r="5583" spans="1:27" x14ac:dyDescent="0.35">
      <c r="A5583">
        <v>1012420</v>
      </c>
      <c r="B5583">
        <v>5330</v>
      </c>
      <c r="C5583">
        <v>4</v>
      </c>
      <c r="D5583" s="17" t="s">
        <v>10507</v>
      </c>
      <c r="E5583" s="17"/>
      <c r="F5583" s="17" t="s">
        <v>10780</v>
      </c>
      <c r="G5583" s="17"/>
      <c r="H5583" s="17" t="s">
        <v>10781</v>
      </c>
      <c r="I5583" s="17"/>
      <c r="J5583" s="17" t="s">
        <v>10791</v>
      </c>
      <c r="K5583" s="17"/>
      <c r="L5583" s="17" t="s">
        <v>11236</v>
      </c>
      <c r="M5583" s="17"/>
      <c r="N5583" s="17" t="s">
        <v>11237</v>
      </c>
      <c r="O5583" s="17" t="s">
        <v>11238</v>
      </c>
      <c r="P5583" s="17" t="s">
        <v>12194</v>
      </c>
      <c r="Q5583" s="17"/>
      <c r="R5583" s="25" t="str">
        <f>HYPERLINK("https://ictv.global/taxonomy/taxondetails?taxnode_id=202304129","Upsilonpapillomavirus 1")</f>
        <v>Upsilonpapillomavirus 1</v>
      </c>
      <c r="S5583" s="18" t="s">
        <v>8141</v>
      </c>
      <c r="T5583" s="18" t="s">
        <v>12202</v>
      </c>
      <c r="U5583" s="18" t="s">
        <v>12203</v>
      </c>
      <c r="V5583" s="18" t="s">
        <v>12204</v>
      </c>
      <c r="W5583" s="18" t="s">
        <v>48981</v>
      </c>
      <c r="X5583" s="18" t="s">
        <v>42</v>
      </c>
      <c r="Y5583" s="18" t="s">
        <v>36</v>
      </c>
      <c r="Z5583" s="18" t="s">
        <v>166</v>
      </c>
      <c r="AA5583" s="21" t="str">
        <f>HYPERLINK("https://www.ncbi.nlm.nih.gov/nuccore/JN709469","NCBI Nucleotide")</f>
        <v>NCBI Nucleotide</v>
      </c>
    </row>
    <row r="5584" spans="1:27" x14ac:dyDescent="0.35">
      <c r="A5584">
        <v>1012421</v>
      </c>
      <c r="B5584">
        <v>5330</v>
      </c>
      <c r="C5584">
        <v>5</v>
      </c>
      <c r="D5584" s="17" t="s">
        <v>10507</v>
      </c>
      <c r="E5584" s="17"/>
      <c r="F5584" s="17" t="s">
        <v>10780</v>
      </c>
      <c r="G5584" s="17"/>
      <c r="H5584" s="17" t="s">
        <v>10781</v>
      </c>
      <c r="I5584" s="17"/>
      <c r="J5584" s="17" t="s">
        <v>10791</v>
      </c>
      <c r="K5584" s="17"/>
      <c r="L5584" s="17" t="s">
        <v>11236</v>
      </c>
      <c r="M5584" s="17"/>
      <c r="N5584" s="17" t="s">
        <v>11237</v>
      </c>
      <c r="O5584" s="17" t="s">
        <v>11238</v>
      </c>
      <c r="P5584" s="17" t="s">
        <v>12194</v>
      </c>
      <c r="Q5584" s="17"/>
      <c r="R5584" s="25" t="str">
        <f>HYPERLINK("https://ictv.global/taxonomy/taxondetails?taxnode_id=202304129","Upsilonpapillomavirus 1")</f>
        <v>Upsilonpapillomavirus 1</v>
      </c>
      <c r="S5584" s="18" t="s">
        <v>8141</v>
      </c>
      <c r="T5584" s="18" t="s">
        <v>12205</v>
      </c>
      <c r="U5584" s="18" t="s">
        <v>12206</v>
      </c>
      <c r="V5584" s="18" t="s">
        <v>12207</v>
      </c>
      <c r="W5584" s="18" t="s">
        <v>48982</v>
      </c>
      <c r="X5584" s="18" t="s">
        <v>42</v>
      </c>
      <c r="Y5584" s="18" t="s">
        <v>36</v>
      </c>
      <c r="Z5584" s="18" t="s">
        <v>166</v>
      </c>
      <c r="AA5584" s="21" t="str">
        <f>HYPERLINK("https://www.ncbi.nlm.nih.gov/nuccore/JN709472","NCBI Nucleotide")</f>
        <v>NCBI Nucleotide</v>
      </c>
    </row>
    <row r="5585" spans="1:27" x14ac:dyDescent="0.35">
      <c r="A5585">
        <v>1007096</v>
      </c>
      <c r="B5585">
        <v>5331</v>
      </c>
      <c r="C5585">
        <v>1</v>
      </c>
      <c r="D5585" s="17" t="s">
        <v>10507</v>
      </c>
      <c r="E5585" s="17"/>
      <c r="F5585" s="17" t="s">
        <v>10780</v>
      </c>
      <c r="G5585" s="17"/>
      <c r="H5585" s="17" t="s">
        <v>10781</v>
      </c>
      <c r="I5585" s="17"/>
      <c r="J5585" s="17" t="s">
        <v>10791</v>
      </c>
      <c r="K5585" s="17"/>
      <c r="L5585" s="17" t="s">
        <v>11236</v>
      </c>
      <c r="M5585" s="17"/>
      <c r="N5585" s="17" t="s">
        <v>11237</v>
      </c>
      <c r="O5585" s="17" t="s">
        <v>11238</v>
      </c>
      <c r="P5585" s="17" t="s">
        <v>12194</v>
      </c>
      <c r="Q5585" s="17"/>
      <c r="R5585" s="25" t="str">
        <f>HYPERLINK("https://ictv.global/taxonomy/taxondetails?taxnode_id=202304130","Upsilonpapillomavirus 2")</f>
        <v>Upsilonpapillomavirus 2</v>
      </c>
      <c r="S5585" s="18" t="s">
        <v>30</v>
      </c>
      <c r="T5585" s="18" t="s">
        <v>12208</v>
      </c>
      <c r="U5585" s="18" t="s">
        <v>12209</v>
      </c>
      <c r="V5585" s="18"/>
      <c r="W5585" s="18" t="s">
        <v>12210</v>
      </c>
      <c r="X5585" s="18" t="s">
        <v>42</v>
      </c>
      <c r="Y5585" s="18" t="s">
        <v>36</v>
      </c>
      <c r="Z5585" s="18" t="s">
        <v>166</v>
      </c>
      <c r="AA5585" s="21" t="str">
        <f>HYPERLINK("https://www.ncbi.nlm.nih.gov/nuccore/AY956402","NCBI Nucleotide")</f>
        <v>NCBI Nucleotide</v>
      </c>
    </row>
    <row r="5586" spans="1:27" x14ac:dyDescent="0.35">
      <c r="A5586">
        <v>1007097</v>
      </c>
      <c r="B5586">
        <v>5332</v>
      </c>
      <c r="C5586">
        <v>1</v>
      </c>
      <c r="D5586" s="17" t="s">
        <v>10507</v>
      </c>
      <c r="E5586" s="17"/>
      <c r="F5586" s="17" t="s">
        <v>10780</v>
      </c>
      <c r="G5586" s="17"/>
      <c r="H5586" s="17" t="s">
        <v>10781</v>
      </c>
      <c r="I5586" s="17"/>
      <c r="J5586" s="17" t="s">
        <v>10791</v>
      </c>
      <c r="K5586" s="17"/>
      <c r="L5586" s="17" t="s">
        <v>11236</v>
      </c>
      <c r="M5586" s="17"/>
      <c r="N5586" s="17" t="s">
        <v>11237</v>
      </c>
      <c r="O5586" s="17" t="s">
        <v>11238</v>
      </c>
      <c r="P5586" s="17" t="s">
        <v>12194</v>
      </c>
      <c r="Q5586" s="17"/>
      <c r="R5586" s="25" t="str">
        <f>HYPERLINK("https://ictv.global/taxonomy/taxondetails?taxnode_id=202304131","Upsilonpapillomavirus 3")</f>
        <v>Upsilonpapillomavirus 3</v>
      </c>
      <c r="S5586" s="18" t="s">
        <v>30</v>
      </c>
      <c r="T5586" s="18" t="s">
        <v>12211</v>
      </c>
      <c r="U5586" s="18" t="s">
        <v>12212</v>
      </c>
      <c r="V5586" s="18"/>
      <c r="W5586" s="18" t="s">
        <v>12213</v>
      </c>
      <c r="X5586" s="18" t="s">
        <v>42</v>
      </c>
      <c r="Y5586" s="18" t="s">
        <v>36</v>
      </c>
      <c r="Z5586" s="18" t="s">
        <v>166</v>
      </c>
      <c r="AA5586" s="21" t="str">
        <f>HYPERLINK("https://www.ncbi.nlm.nih.gov/nuccore/GU117622","NCBI Nucleotide")</f>
        <v>NCBI Nucleotide</v>
      </c>
    </row>
    <row r="5587" spans="1:27" x14ac:dyDescent="0.35">
      <c r="A5587">
        <v>1007098</v>
      </c>
      <c r="B5587">
        <v>5333</v>
      </c>
      <c r="C5587">
        <v>1</v>
      </c>
      <c r="D5587" s="17" t="s">
        <v>10507</v>
      </c>
      <c r="E5587" s="17"/>
      <c r="F5587" s="17" t="s">
        <v>10780</v>
      </c>
      <c r="G5587" s="17"/>
      <c r="H5587" s="17" t="s">
        <v>10781</v>
      </c>
      <c r="I5587" s="17"/>
      <c r="J5587" s="17" t="s">
        <v>10791</v>
      </c>
      <c r="K5587" s="17"/>
      <c r="L5587" s="17" t="s">
        <v>11236</v>
      </c>
      <c r="M5587" s="17"/>
      <c r="N5587" s="17" t="s">
        <v>11237</v>
      </c>
      <c r="O5587" s="17" t="s">
        <v>11238</v>
      </c>
      <c r="P5587" s="17" t="s">
        <v>12214</v>
      </c>
      <c r="Q5587" s="17"/>
      <c r="R5587" s="25" t="str">
        <f t="shared" ref="R5587:R5594" si="14">HYPERLINK("https://ictv.global/taxonomy/taxondetails?taxnode_id=202304133","Xipapillomavirus 1")</f>
        <v>Xipapillomavirus 1</v>
      </c>
      <c r="S5587" s="18" t="s">
        <v>30</v>
      </c>
      <c r="T5587" s="18" t="s">
        <v>12215</v>
      </c>
      <c r="U5587" s="18" t="s">
        <v>12216</v>
      </c>
      <c r="V5587" s="18"/>
      <c r="W5587" s="18" t="s">
        <v>12217</v>
      </c>
      <c r="X5587" s="18" t="s">
        <v>42</v>
      </c>
      <c r="Y5587" s="18" t="s">
        <v>36</v>
      </c>
      <c r="Z5587" s="18" t="s">
        <v>166</v>
      </c>
      <c r="AA5587" s="21" t="str">
        <f>HYPERLINK("https://www.ncbi.nlm.nih.gov/nuccore/AF486184","NCBI Nucleotide")</f>
        <v>NCBI Nucleotide</v>
      </c>
    </row>
    <row r="5588" spans="1:27" x14ac:dyDescent="0.35">
      <c r="A5588">
        <v>1012428</v>
      </c>
      <c r="B5588">
        <v>5333</v>
      </c>
      <c r="C5588">
        <v>2</v>
      </c>
      <c r="D5588" s="17" t="s">
        <v>10507</v>
      </c>
      <c r="E5588" s="17"/>
      <c r="F5588" s="17" t="s">
        <v>10780</v>
      </c>
      <c r="G5588" s="17"/>
      <c r="H5588" s="17" t="s">
        <v>10781</v>
      </c>
      <c r="I5588" s="17"/>
      <c r="J5588" s="17" t="s">
        <v>10791</v>
      </c>
      <c r="K5588" s="17"/>
      <c r="L5588" s="17" t="s">
        <v>11236</v>
      </c>
      <c r="M5588" s="17"/>
      <c r="N5588" s="17" t="s">
        <v>11237</v>
      </c>
      <c r="O5588" s="17" t="s">
        <v>11238</v>
      </c>
      <c r="P5588" s="17" t="s">
        <v>12214</v>
      </c>
      <c r="Q5588" s="17"/>
      <c r="R5588" s="25" t="str">
        <f t="shared" si="14"/>
        <v>Xipapillomavirus 1</v>
      </c>
      <c r="S5588" s="18" t="s">
        <v>8141</v>
      </c>
      <c r="T5588" s="18" t="s">
        <v>12232</v>
      </c>
      <c r="U5588" s="18" t="s">
        <v>12233</v>
      </c>
      <c r="V5588" s="18"/>
      <c r="W5588" s="18" t="s">
        <v>48983</v>
      </c>
      <c r="X5588" s="18" t="s">
        <v>42</v>
      </c>
      <c r="Y5588" s="18" t="s">
        <v>36</v>
      </c>
      <c r="Z5588" s="18" t="s">
        <v>166</v>
      </c>
      <c r="AA5588" s="21" t="str">
        <f>HYPERLINK("https://www.ncbi.nlm.nih.gov/nuccore/X05817","NCBI Nucleotide")</f>
        <v>NCBI Nucleotide</v>
      </c>
    </row>
    <row r="5589" spans="1:27" x14ac:dyDescent="0.35">
      <c r="A5589">
        <v>1012425</v>
      </c>
      <c r="B5589">
        <v>5333</v>
      </c>
      <c r="C5589">
        <v>3</v>
      </c>
      <c r="D5589" s="17" t="s">
        <v>10507</v>
      </c>
      <c r="E5589" s="17"/>
      <c r="F5589" s="17" t="s">
        <v>10780</v>
      </c>
      <c r="G5589" s="17"/>
      <c r="H5589" s="17" t="s">
        <v>10781</v>
      </c>
      <c r="I5589" s="17"/>
      <c r="J5589" s="17" t="s">
        <v>10791</v>
      </c>
      <c r="K5589" s="17"/>
      <c r="L5589" s="17" t="s">
        <v>11236</v>
      </c>
      <c r="M5589" s="17"/>
      <c r="N5589" s="17" t="s">
        <v>11237</v>
      </c>
      <c r="O5589" s="17" t="s">
        <v>11238</v>
      </c>
      <c r="P5589" s="17" t="s">
        <v>12214</v>
      </c>
      <c r="Q5589" s="17"/>
      <c r="R5589" s="25" t="str">
        <f t="shared" si="14"/>
        <v>Xipapillomavirus 1</v>
      </c>
      <c r="S5589" s="18" t="s">
        <v>8141</v>
      </c>
      <c r="T5589" s="18" t="s">
        <v>12224</v>
      </c>
      <c r="U5589" s="18" t="s">
        <v>12225</v>
      </c>
      <c r="V5589" s="18"/>
      <c r="W5589" s="18" t="s">
        <v>48984</v>
      </c>
      <c r="X5589" s="18" t="s">
        <v>42</v>
      </c>
      <c r="Y5589" s="18" t="s">
        <v>36</v>
      </c>
      <c r="Z5589" s="18" t="s">
        <v>166</v>
      </c>
      <c r="AA5589" s="21" t="str">
        <f>HYPERLINK("https://www.ncbi.nlm.nih.gov/nuccore/AJ620208","NCBI Nucleotide")</f>
        <v>NCBI Nucleotide</v>
      </c>
    </row>
    <row r="5590" spans="1:27" x14ac:dyDescent="0.35">
      <c r="A5590">
        <v>1012422</v>
      </c>
      <c r="B5590">
        <v>5333</v>
      </c>
      <c r="C5590">
        <v>4</v>
      </c>
      <c r="D5590" s="17" t="s">
        <v>10507</v>
      </c>
      <c r="E5590" s="17"/>
      <c r="F5590" s="17" t="s">
        <v>10780</v>
      </c>
      <c r="G5590" s="17"/>
      <c r="H5590" s="17" t="s">
        <v>10781</v>
      </c>
      <c r="I5590" s="17"/>
      <c r="J5590" s="17" t="s">
        <v>10791</v>
      </c>
      <c r="K5590" s="17"/>
      <c r="L5590" s="17" t="s">
        <v>11236</v>
      </c>
      <c r="M5590" s="17"/>
      <c r="N5590" s="17" t="s">
        <v>11237</v>
      </c>
      <c r="O5590" s="17" t="s">
        <v>11238</v>
      </c>
      <c r="P5590" s="17" t="s">
        <v>12214</v>
      </c>
      <c r="Q5590" s="17"/>
      <c r="R5590" s="25" t="str">
        <f t="shared" si="14"/>
        <v>Xipapillomavirus 1</v>
      </c>
      <c r="S5590" s="18" t="s">
        <v>8141</v>
      </c>
      <c r="T5590" s="18" t="s">
        <v>12218</v>
      </c>
      <c r="U5590" s="18" t="s">
        <v>12219</v>
      </c>
      <c r="V5590" s="18"/>
      <c r="W5590" s="18" t="s">
        <v>48985</v>
      </c>
      <c r="X5590" s="18" t="s">
        <v>42</v>
      </c>
      <c r="Y5590" s="18" t="s">
        <v>36</v>
      </c>
      <c r="Z5590" s="18" t="s">
        <v>166</v>
      </c>
      <c r="AA5590" s="21" t="str">
        <f>HYPERLINK("https://www.ncbi.nlm.nih.gov/nuccore/AB331650","NCBI Nucleotide")</f>
        <v>NCBI Nucleotide</v>
      </c>
    </row>
    <row r="5591" spans="1:27" x14ac:dyDescent="0.35">
      <c r="A5591">
        <v>1012423</v>
      </c>
      <c r="B5591">
        <v>5333</v>
      </c>
      <c r="C5591">
        <v>5</v>
      </c>
      <c r="D5591" s="17" t="s">
        <v>10507</v>
      </c>
      <c r="E5591" s="17"/>
      <c r="F5591" s="17" t="s">
        <v>10780</v>
      </c>
      <c r="G5591" s="17"/>
      <c r="H5591" s="17" t="s">
        <v>10781</v>
      </c>
      <c r="I5591" s="17"/>
      <c r="J5591" s="17" t="s">
        <v>10791</v>
      </c>
      <c r="K5591" s="17"/>
      <c r="L5591" s="17" t="s">
        <v>11236</v>
      </c>
      <c r="M5591" s="17"/>
      <c r="N5591" s="17" t="s">
        <v>11237</v>
      </c>
      <c r="O5591" s="17" t="s">
        <v>11238</v>
      </c>
      <c r="P5591" s="17" t="s">
        <v>12214</v>
      </c>
      <c r="Q5591" s="17"/>
      <c r="R5591" s="25" t="str">
        <f t="shared" si="14"/>
        <v>Xipapillomavirus 1</v>
      </c>
      <c r="S5591" s="18" t="s">
        <v>8141</v>
      </c>
      <c r="T5591" s="18" t="s">
        <v>12220</v>
      </c>
      <c r="U5591" s="18" t="s">
        <v>12221</v>
      </c>
      <c r="V5591" s="18"/>
      <c r="W5591" s="18" t="s">
        <v>48986</v>
      </c>
      <c r="X5591" s="18" t="s">
        <v>42</v>
      </c>
      <c r="Y5591" s="18" t="s">
        <v>36</v>
      </c>
      <c r="Z5591" s="18" t="s">
        <v>166</v>
      </c>
      <c r="AA5591" s="21" t="str">
        <f>HYPERLINK("https://www.ncbi.nlm.nih.gov/nuccore/AB331651","NCBI Nucleotide")</f>
        <v>NCBI Nucleotide</v>
      </c>
    </row>
    <row r="5592" spans="1:27" x14ac:dyDescent="0.35">
      <c r="A5592">
        <v>1012424</v>
      </c>
      <c r="B5592">
        <v>5333</v>
      </c>
      <c r="C5592">
        <v>6</v>
      </c>
      <c r="D5592" s="17" t="s">
        <v>10507</v>
      </c>
      <c r="E5592" s="17"/>
      <c r="F5592" s="17" t="s">
        <v>10780</v>
      </c>
      <c r="G5592" s="17"/>
      <c r="H5592" s="17" t="s">
        <v>10781</v>
      </c>
      <c r="I5592" s="17"/>
      <c r="J5592" s="17" t="s">
        <v>10791</v>
      </c>
      <c r="K5592" s="17"/>
      <c r="L5592" s="17" t="s">
        <v>11236</v>
      </c>
      <c r="M5592" s="17"/>
      <c r="N5592" s="17" t="s">
        <v>11237</v>
      </c>
      <c r="O5592" s="17" t="s">
        <v>11238</v>
      </c>
      <c r="P5592" s="17" t="s">
        <v>12214</v>
      </c>
      <c r="Q5592" s="17"/>
      <c r="R5592" s="25" t="str">
        <f t="shared" si="14"/>
        <v>Xipapillomavirus 1</v>
      </c>
      <c r="S5592" s="18" t="s">
        <v>8141</v>
      </c>
      <c r="T5592" s="18" t="s">
        <v>12222</v>
      </c>
      <c r="U5592" s="18" t="s">
        <v>12223</v>
      </c>
      <c r="V5592" s="18"/>
      <c r="W5592" s="18" t="s">
        <v>48987</v>
      </c>
      <c r="X5592" s="18" t="s">
        <v>42</v>
      </c>
      <c r="Y5592" s="18" t="s">
        <v>36</v>
      </c>
      <c r="Z5592" s="18" t="s">
        <v>166</v>
      </c>
      <c r="AA5592" s="21" t="str">
        <f>HYPERLINK("https://www.ncbi.nlm.nih.gov/nuccore/AB543507","NCBI Nucleotide")</f>
        <v>NCBI Nucleotide</v>
      </c>
    </row>
    <row r="5593" spans="1:27" x14ac:dyDescent="0.35">
      <c r="A5593">
        <v>1012426</v>
      </c>
      <c r="B5593">
        <v>5333</v>
      </c>
      <c r="C5593">
        <v>7</v>
      </c>
      <c r="D5593" s="17" t="s">
        <v>10507</v>
      </c>
      <c r="E5593" s="17"/>
      <c r="F5593" s="17" t="s">
        <v>10780</v>
      </c>
      <c r="G5593" s="17"/>
      <c r="H5593" s="17" t="s">
        <v>10781</v>
      </c>
      <c r="I5593" s="17"/>
      <c r="J5593" s="17" t="s">
        <v>10791</v>
      </c>
      <c r="K5593" s="17"/>
      <c r="L5593" s="17" t="s">
        <v>11236</v>
      </c>
      <c r="M5593" s="17"/>
      <c r="N5593" s="17" t="s">
        <v>11237</v>
      </c>
      <c r="O5593" s="17" t="s">
        <v>11238</v>
      </c>
      <c r="P5593" s="17" t="s">
        <v>12214</v>
      </c>
      <c r="Q5593" s="17"/>
      <c r="R5593" s="25" t="str">
        <f t="shared" si="14"/>
        <v>Xipapillomavirus 1</v>
      </c>
      <c r="S5593" s="18" t="s">
        <v>8141</v>
      </c>
      <c r="T5593" s="18" t="s">
        <v>12226</v>
      </c>
      <c r="U5593" s="18" t="s">
        <v>12227</v>
      </c>
      <c r="V5593" s="18" t="s">
        <v>12228</v>
      </c>
      <c r="W5593" s="18" t="s">
        <v>48988</v>
      </c>
      <c r="X5593" s="18" t="s">
        <v>42</v>
      </c>
      <c r="Y5593" s="18" t="s">
        <v>36</v>
      </c>
      <c r="Z5593" s="18" t="s">
        <v>166</v>
      </c>
      <c r="AA5593" s="21" t="str">
        <f>HYPERLINK("https://www.ncbi.nlm.nih.gov/nuccore/KM983393","NCBI Nucleotide")</f>
        <v>NCBI Nucleotide</v>
      </c>
    </row>
    <row r="5594" spans="1:27" x14ac:dyDescent="0.35">
      <c r="A5594">
        <v>1012427</v>
      </c>
      <c r="B5594">
        <v>5333</v>
      </c>
      <c r="C5594">
        <v>8</v>
      </c>
      <c r="D5594" s="17" t="s">
        <v>10507</v>
      </c>
      <c r="E5594" s="17"/>
      <c r="F5594" s="17" t="s">
        <v>10780</v>
      </c>
      <c r="G5594" s="17"/>
      <c r="H5594" s="17" t="s">
        <v>10781</v>
      </c>
      <c r="I5594" s="17"/>
      <c r="J5594" s="17" t="s">
        <v>10791</v>
      </c>
      <c r="K5594" s="17"/>
      <c r="L5594" s="17" t="s">
        <v>11236</v>
      </c>
      <c r="M5594" s="17"/>
      <c r="N5594" s="17" t="s">
        <v>11237</v>
      </c>
      <c r="O5594" s="17" t="s">
        <v>11238</v>
      </c>
      <c r="P5594" s="17" t="s">
        <v>12214</v>
      </c>
      <c r="Q5594" s="17"/>
      <c r="R5594" s="25" t="str">
        <f t="shared" si="14"/>
        <v>Xipapillomavirus 1</v>
      </c>
      <c r="S5594" s="18" t="s">
        <v>8141</v>
      </c>
      <c r="T5594" s="18" t="s">
        <v>12229</v>
      </c>
      <c r="U5594" s="18" t="s">
        <v>12230</v>
      </c>
      <c r="V5594" s="18" t="s">
        <v>12231</v>
      </c>
      <c r="W5594" s="18" t="s">
        <v>48989</v>
      </c>
      <c r="X5594" s="18" t="s">
        <v>42</v>
      </c>
      <c r="Y5594" s="18" t="s">
        <v>36</v>
      </c>
      <c r="Z5594" s="18" t="s">
        <v>166</v>
      </c>
      <c r="AA5594" s="21" t="str">
        <f>HYPERLINK("https://www.ncbi.nlm.nih.gov/nuccore/KX098515","NCBI Nucleotide")</f>
        <v>NCBI Nucleotide</v>
      </c>
    </row>
    <row r="5595" spans="1:27" x14ac:dyDescent="0.35">
      <c r="A5595">
        <v>1007099</v>
      </c>
      <c r="B5595">
        <v>5334</v>
      </c>
      <c r="C5595">
        <v>1</v>
      </c>
      <c r="D5595" s="17" t="s">
        <v>10507</v>
      </c>
      <c r="E5595" s="17"/>
      <c r="F5595" s="17" t="s">
        <v>10780</v>
      </c>
      <c r="G5595" s="17"/>
      <c r="H5595" s="17" t="s">
        <v>10781</v>
      </c>
      <c r="I5595" s="17"/>
      <c r="J5595" s="17" t="s">
        <v>10791</v>
      </c>
      <c r="K5595" s="17"/>
      <c r="L5595" s="17" t="s">
        <v>11236</v>
      </c>
      <c r="M5595" s="17"/>
      <c r="N5595" s="17" t="s">
        <v>11237</v>
      </c>
      <c r="O5595" s="17" t="s">
        <v>11238</v>
      </c>
      <c r="P5595" s="17" t="s">
        <v>12214</v>
      </c>
      <c r="Q5595" s="17"/>
      <c r="R5595" s="25" t="str">
        <f>HYPERLINK("https://ictv.global/taxonomy/taxondetails?taxnode_id=202304134","Xipapillomavirus 2")</f>
        <v>Xipapillomavirus 2</v>
      </c>
      <c r="S5595" s="18" t="s">
        <v>30</v>
      </c>
      <c r="T5595" s="18" t="s">
        <v>12234</v>
      </c>
      <c r="U5595" s="18" t="s">
        <v>12235</v>
      </c>
      <c r="V5595" s="18" t="s">
        <v>12236</v>
      </c>
      <c r="W5595" s="18" t="s">
        <v>12237</v>
      </c>
      <c r="X5595" s="18" t="s">
        <v>42</v>
      </c>
      <c r="Y5595" s="18" t="s">
        <v>36</v>
      </c>
      <c r="Z5595" s="18" t="s">
        <v>166</v>
      </c>
      <c r="AA5595" s="21" t="str">
        <f>HYPERLINK("https://www.ncbi.nlm.nih.gov/nuccore/JF834523","NCBI Nucleotide")</f>
        <v>NCBI Nucleotide</v>
      </c>
    </row>
    <row r="5596" spans="1:27" x14ac:dyDescent="0.35">
      <c r="A5596">
        <v>1007100</v>
      </c>
      <c r="B5596">
        <v>5335</v>
      </c>
      <c r="C5596">
        <v>1</v>
      </c>
      <c r="D5596" s="17" t="s">
        <v>10507</v>
      </c>
      <c r="E5596" s="17"/>
      <c r="F5596" s="17" t="s">
        <v>10780</v>
      </c>
      <c r="G5596" s="17"/>
      <c r="H5596" s="17" t="s">
        <v>10781</v>
      </c>
      <c r="I5596" s="17"/>
      <c r="J5596" s="17" t="s">
        <v>10791</v>
      </c>
      <c r="K5596" s="17"/>
      <c r="L5596" s="17" t="s">
        <v>11236</v>
      </c>
      <c r="M5596" s="17"/>
      <c r="N5596" s="17" t="s">
        <v>11237</v>
      </c>
      <c r="O5596" s="17" t="s">
        <v>11238</v>
      </c>
      <c r="P5596" s="17" t="s">
        <v>12214</v>
      </c>
      <c r="Q5596" s="17"/>
      <c r="R5596" s="25" t="str">
        <f>HYPERLINK("https://ictv.global/taxonomy/taxondetails?taxnode_id=202304135","Xipapillomavirus 3")</f>
        <v>Xipapillomavirus 3</v>
      </c>
      <c r="S5596" s="18" t="s">
        <v>30</v>
      </c>
      <c r="T5596" s="18" t="s">
        <v>12238</v>
      </c>
      <c r="U5596" s="18" t="s">
        <v>12239</v>
      </c>
      <c r="V5596" s="18"/>
      <c r="W5596" s="18" t="s">
        <v>12240</v>
      </c>
      <c r="X5596" s="18" t="s">
        <v>42</v>
      </c>
      <c r="Y5596" s="18" t="s">
        <v>36</v>
      </c>
      <c r="Z5596" s="18" t="s">
        <v>166</v>
      </c>
      <c r="AA5596" s="21" t="str">
        <f>HYPERLINK("https://www.ncbi.nlm.nih.gov/nuccore/KC810012","NCBI Nucleotide")</f>
        <v>NCBI Nucleotide</v>
      </c>
    </row>
    <row r="5597" spans="1:27" x14ac:dyDescent="0.35">
      <c r="A5597">
        <v>1007101</v>
      </c>
      <c r="B5597">
        <v>5336</v>
      </c>
      <c r="C5597">
        <v>1</v>
      </c>
      <c r="D5597" s="17" t="s">
        <v>10507</v>
      </c>
      <c r="E5597" s="17"/>
      <c r="F5597" s="17" t="s">
        <v>10780</v>
      </c>
      <c r="G5597" s="17"/>
      <c r="H5597" s="17" t="s">
        <v>10781</v>
      </c>
      <c r="I5597" s="17"/>
      <c r="J5597" s="17" t="s">
        <v>10791</v>
      </c>
      <c r="K5597" s="17"/>
      <c r="L5597" s="17" t="s">
        <v>11236</v>
      </c>
      <c r="M5597" s="17"/>
      <c r="N5597" s="17" t="s">
        <v>11237</v>
      </c>
      <c r="O5597" s="17" t="s">
        <v>11238</v>
      </c>
      <c r="P5597" s="17" t="s">
        <v>12214</v>
      </c>
      <c r="Q5597" s="17"/>
      <c r="R5597" s="25" t="str">
        <f>HYPERLINK("https://ictv.global/taxonomy/taxondetails?taxnode_id=202305881","Xipapillomavirus 4")</f>
        <v>Xipapillomavirus 4</v>
      </c>
      <c r="S5597" s="18" t="s">
        <v>30</v>
      </c>
      <c r="T5597" s="18" t="s">
        <v>12241</v>
      </c>
      <c r="U5597" s="18" t="s">
        <v>12242</v>
      </c>
      <c r="V5597" s="18"/>
      <c r="W5597" s="18" t="s">
        <v>12243</v>
      </c>
      <c r="X5597" s="18" t="s">
        <v>42</v>
      </c>
      <c r="Y5597" s="18" t="s">
        <v>36</v>
      </c>
      <c r="Z5597" s="18" t="s">
        <v>166</v>
      </c>
      <c r="AA5597" s="21" t="str">
        <f>HYPERLINK("https://www.ncbi.nlm.nih.gov/nuccore/KU519392","NCBI Nucleotide")</f>
        <v>NCBI Nucleotide</v>
      </c>
    </row>
    <row r="5598" spans="1:27" x14ac:dyDescent="0.35">
      <c r="A5598">
        <v>1007102</v>
      </c>
      <c r="B5598">
        <v>5337</v>
      </c>
      <c r="C5598">
        <v>1</v>
      </c>
      <c r="D5598" s="17" t="s">
        <v>10507</v>
      </c>
      <c r="E5598" s="17"/>
      <c r="F5598" s="17" t="s">
        <v>10780</v>
      </c>
      <c r="G5598" s="17"/>
      <c r="H5598" s="17" t="s">
        <v>10781</v>
      </c>
      <c r="I5598" s="17"/>
      <c r="J5598" s="17" t="s">
        <v>10791</v>
      </c>
      <c r="K5598" s="17"/>
      <c r="L5598" s="17" t="s">
        <v>11236</v>
      </c>
      <c r="M5598" s="17"/>
      <c r="N5598" s="17" t="s">
        <v>11237</v>
      </c>
      <c r="O5598" s="17" t="s">
        <v>11238</v>
      </c>
      <c r="P5598" s="17" t="s">
        <v>12214</v>
      </c>
      <c r="Q5598" s="17"/>
      <c r="R5598" s="25" t="str">
        <f>HYPERLINK("https://ictv.global/taxonomy/taxondetails?taxnode_id=202305882","Xipapillomavirus 5")</f>
        <v>Xipapillomavirus 5</v>
      </c>
      <c r="S5598" s="18" t="s">
        <v>30</v>
      </c>
      <c r="T5598" s="18" t="s">
        <v>12244</v>
      </c>
      <c r="U5598" s="18" t="s">
        <v>12245</v>
      </c>
      <c r="V5598" s="18" t="s">
        <v>12246</v>
      </c>
      <c r="W5598" s="18" t="s">
        <v>12247</v>
      </c>
      <c r="X5598" s="18" t="s">
        <v>42</v>
      </c>
      <c r="Y5598" s="18" t="s">
        <v>36</v>
      </c>
      <c r="Z5598" s="18" t="s">
        <v>166</v>
      </c>
      <c r="AA5598" s="21" t="str">
        <f>HYPERLINK("https://www.ncbi.nlm.nih.gov/nuccore/KT932712","NCBI Nucleotide")</f>
        <v>NCBI Nucleotide</v>
      </c>
    </row>
    <row r="5599" spans="1:27" x14ac:dyDescent="0.35">
      <c r="A5599">
        <v>1007103</v>
      </c>
      <c r="B5599">
        <v>5338</v>
      </c>
      <c r="C5599">
        <v>1</v>
      </c>
      <c r="D5599" s="17" t="s">
        <v>10507</v>
      </c>
      <c r="E5599" s="17"/>
      <c r="F5599" s="17" t="s">
        <v>10780</v>
      </c>
      <c r="G5599" s="17"/>
      <c r="H5599" s="17" t="s">
        <v>10781</v>
      </c>
      <c r="I5599" s="17"/>
      <c r="J5599" s="17" t="s">
        <v>10791</v>
      </c>
      <c r="K5599" s="17"/>
      <c r="L5599" s="17" t="s">
        <v>11236</v>
      </c>
      <c r="M5599" s="17"/>
      <c r="N5599" s="17" t="s">
        <v>11237</v>
      </c>
      <c r="O5599" s="17" t="s">
        <v>11238</v>
      </c>
      <c r="P5599" s="17" t="s">
        <v>12248</v>
      </c>
      <c r="Q5599" s="17"/>
      <c r="R5599" s="25" t="str">
        <f>HYPERLINK("https://ictv.global/taxonomy/taxondetails?taxnode_id=202304137","Zetapapillomavirus 1")</f>
        <v>Zetapapillomavirus 1</v>
      </c>
      <c r="S5599" s="18" t="s">
        <v>30</v>
      </c>
      <c r="T5599" s="18" t="s">
        <v>12249</v>
      </c>
      <c r="U5599" s="18" t="s">
        <v>12250</v>
      </c>
      <c r="V5599" s="18"/>
      <c r="W5599" s="18" t="s">
        <v>12251</v>
      </c>
      <c r="X5599" s="18" t="s">
        <v>42</v>
      </c>
      <c r="Y5599" s="18" t="s">
        <v>36</v>
      </c>
      <c r="Z5599" s="18" t="s">
        <v>166</v>
      </c>
      <c r="AA5599" s="21" t="str">
        <f>HYPERLINK("https://www.ncbi.nlm.nih.gov/nuccore/AF498323","NCBI Nucleotide")</f>
        <v>NCBI Nucleotide</v>
      </c>
    </row>
    <row r="5600" spans="1:27" x14ac:dyDescent="0.35">
      <c r="A5600">
        <v>1007104</v>
      </c>
      <c r="B5600">
        <v>5339</v>
      </c>
      <c r="C5600">
        <v>1</v>
      </c>
      <c r="D5600" s="17" t="s">
        <v>10507</v>
      </c>
      <c r="E5600" s="17"/>
      <c r="F5600" s="17" t="s">
        <v>10780</v>
      </c>
      <c r="G5600" s="17"/>
      <c r="H5600" s="17" t="s">
        <v>10781</v>
      </c>
      <c r="I5600" s="17"/>
      <c r="J5600" s="17" t="s">
        <v>10791</v>
      </c>
      <c r="K5600" s="17"/>
      <c r="L5600" s="17" t="s">
        <v>11236</v>
      </c>
      <c r="M5600" s="17"/>
      <c r="N5600" s="17" t="s">
        <v>11237</v>
      </c>
      <c r="O5600" s="17" t="s">
        <v>12252</v>
      </c>
      <c r="P5600" s="17" t="s">
        <v>12253</v>
      </c>
      <c r="Q5600" s="17"/>
      <c r="R5600" s="25" t="str">
        <f>HYPERLINK("https://ictv.global/taxonomy/taxondetails?taxnode_id=202305884","Alefpapillomavirus 1")</f>
        <v>Alefpapillomavirus 1</v>
      </c>
      <c r="S5600" s="18" t="s">
        <v>30</v>
      </c>
      <c r="T5600" s="18" t="s">
        <v>12254</v>
      </c>
      <c r="U5600" s="18" t="s">
        <v>12255</v>
      </c>
      <c r="V5600" s="18" t="s">
        <v>12256</v>
      </c>
      <c r="W5600" s="18" t="s">
        <v>12257</v>
      </c>
      <c r="X5600" s="18" t="s">
        <v>42</v>
      </c>
      <c r="Y5600" s="18" t="s">
        <v>36</v>
      </c>
      <c r="Z5600" s="18" t="s">
        <v>166</v>
      </c>
      <c r="AA5600" s="21" t="str">
        <f>HYPERLINK("https://www.ncbi.nlm.nih.gov/nuccore/KX643372","NCBI Nucleotide")</f>
        <v>NCBI Nucleotide</v>
      </c>
    </row>
    <row r="5601" spans="1:27" x14ac:dyDescent="0.35">
      <c r="A5601">
        <v>1007105</v>
      </c>
      <c r="B5601">
        <v>5340</v>
      </c>
      <c r="C5601">
        <v>1</v>
      </c>
      <c r="D5601" s="17" t="s">
        <v>10507</v>
      </c>
      <c r="E5601" s="17"/>
      <c r="F5601" s="17" t="s">
        <v>10780</v>
      </c>
      <c r="G5601" s="17"/>
      <c r="H5601" s="17" t="s">
        <v>10781</v>
      </c>
      <c r="I5601" s="17"/>
      <c r="J5601" s="17" t="s">
        <v>12258</v>
      </c>
      <c r="K5601" s="17"/>
      <c r="L5601" s="17" t="s">
        <v>12259</v>
      </c>
      <c r="M5601" s="17"/>
      <c r="N5601" s="17" t="s">
        <v>12260</v>
      </c>
      <c r="O5601" s="17" t="s">
        <v>12267</v>
      </c>
      <c r="P5601" s="17" t="s">
        <v>12268</v>
      </c>
      <c r="Q5601" s="17"/>
      <c r="R5601" s="25" t="str">
        <f>HYPERLINK("https://ictv.global/taxonomy/taxondetails?taxnode_id=202304209","Aquambidensovirus asteroid1")</f>
        <v>Aquambidensovirus asteroid1</v>
      </c>
      <c r="S5601" s="18" t="s">
        <v>30</v>
      </c>
      <c r="T5601" s="18" t="s">
        <v>12269</v>
      </c>
      <c r="U5601" s="18" t="s">
        <v>12270</v>
      </c>
      <c r="V5601" s="18"/>
      <c r="W5601" s="18" t="s">
        <v>12271</v>
      </c>
      <c r="X5601" s="18" t="s">
        <v>35</v>
      </c>
      <c r="Y5601" s="18" t="s">
        <v>12266</v>
      </c>
      <c r="Z5601" s="18" t="s">
        <v>10790</v>
      </c>
      <c r="AA5601" s="21" t="str">
        <f>HYPERLINK("https://www.ncbi.nlm.nih.gov/nuccore/KM052275","NCBI Nucleotide")</f>
        <v>NCBI Nucleotide</v>
      </c>
    </row>
    <row r="5602" spans="1:27" x14ac:dyDescent="0.35">
      <c r="A5602">
        <v>1007106</v>
      </c>
      <c r="B5602">
        <v>5341</v>
      </c>
      <c r="C5602">
        <v>1</v>
      </c>
      <c r="D5602" s="17" t="s">
        <v>10507</v>
      </c>
      <c r="E5602" s="17"/>
      <c r="F5602" s="17" t="s">
        <v>10780</v>
      </c>
      <c r="G5602" s="17"/>
      <c r="H5602" s="17" t="s">
        <v>10781</v>
      </c>
      <c r="I5602" s="17"/>
      <c r="J5602" s="17" t="s">
        <v>12258</v>
      </c>
      <c r="K5602" s="17"/>
      <c r="L5602" s="17" t="s">
        <v>12259</v>
      </c>
      <c r="M5602" s="17"/>
      <c r="N5602" s="17" t="s">
        <v>12260</v>
      </c>
      <c r="O5602" s="17" t="s">
        <v>12267</v>
      </c>
      <c r="P5602" s="17" t="s">
        <v>12268</v>
      </c>
      <c r="Q5602" s="17"/>
      <c r="R5602" s="25" t="str">
        <f>HYPERLINK("https://ictv.global/taxonomy/taxondetails?taxnode_id=202314045","Aquambidensovirus asteroid2")</f>
        <v>Aquambidensovirus asteroid2</v>
      </c>
      <c r="S5602" s="18" t="s">
        <v>30</v>
      </c>
      <c r="T5602" s="18" t="s">
        <v>12272</v>
      </c>
      <c r="U5602" s="18" t="s">
        <v>12273</v>
      </c>
      <c r="V5602" s="18"/>
      <c r="W5602" s="18" t="s">
        <v>12274</v>
      </c>
      <c r="X5602" s="18" t="s">
        <v>42</v>
      </c>
      <c r="Y5602" s="18" t="s">
        <v>12266</v>
      </c>
      <c r="Z5602" s="18" t="s">
        <v>10790</v>
      </c>
      <c r="AA5602" s="21" t="str">
        <f>HYPERLINK("https://www.ncbi.nlm.nih.gov/nuccore/MN190158","NCBI Nucleotide")</f>
        <v>NCBI Nucleotide</v>
      </c>
    </row>
    <row r="5603" spans="1:27" x14ac:dyDescent="0.35">
      <c r="A5603">
        <v>1007107</v>
      </c>
      <c r="B5603">
        <v>5342</v>
      </c>
      <c r="C5603">
        <v>1</v>
      </c>
      <c r="D5603" s="17" t="s">
        <v>10507</v>
      </c>
      <c r="E5603" s="17"/>
      <c r="F5603" s="17" t="s">
        <v>10780</v>
      </c>
      <c r="G5603" s="17"/>
      <c r="H5603" s="17" t="s">
        <v>10781</v>
      </c>
      <c r="I5603" s="17"/>
      <c r="J5603" s="17" t="s">
        <v>12258</v>
      </c>
      <c r="K5603" s="17"/>
      <c r="L5603" s="17" t="s">
        <v>12259</v>
      </c>
      <c r="M5603" s="17"/>
      <c r="N5603" s="17" t="s">
        <v>12260</v>
      </c>
      <c r="O5603" s="17" t="s">
        <v>12267</v>
      </c>
      <c r="P5603" s="17" t="s">
        <v>12268</v>
      </c>
      <c r="Q5603" s="17"/>
      <c r="R5603" s="25" t="str">
        <f>HYPERLINK("https://ictv.global/taxonomy/taxondetails?taxnode_id=202304212","Aquambidensovirus decapod1")</f>
        <v>Aquambidensovirus decapod1</v>
      </c>
      <c r="S5603" s="18" t="s">
        <v>30</v>
      </c>
      <c r="T5603" s="18" t="s">
        <v>12275</v>
      </c>
      <c r="U5603" s="18" t="s">
        <v>12276</v>
      </c>
      <c r="V5603" s="18"/>
      <c r="W5603" s="18" t="s">
        <v>12277</v>
      </c>
      <c r="X5603" s="18" t="s">
        <v>35</v>
      </c>
      <c r="Y5603" s="18" t="s">
        <v>12266</v>
      </c>
      <c r="Z5603" s="18" t="s">
        <v>10790</v>
      </c>
      <c r="AA5603" s="21" t="str">
        <f>HYPERLINK("https://www.ncbi.nlm.nih.gov/nuccore/KP410261","NCBI Nucleotide")</f>
        <v>NCBI Nucleotide</v>
      </c>
    </row>
    <row r="5604" spans="1:27" x14ac:dyDescent="0.35">
      <c r="A5604">
        <v>1007108</v>
      </c>
      <c r="B5604">
        <v>5343</v>
      </c>
      <c r="C5604">
        <v>1</v>
      </c>
      <c r="D5604" s="17" t="s">
        <v>10507</v>
      </c>
      <c r="E5604" s="17"/>
      <c r="F5604" s="17" t="s">
        <v>10780</v>
      </c>
      <c r="G5604" s="17"/>
      <c r="H5604" s="17" t="s">
        <v>10781</v>
      </c>
      <c r="I5604" s="17"/>
      <c r="J5604" s="17" t="s">
        <v>12258</v>
      </c>
      <c r="K5604" s="17"/>
      <c r="L5604" s="17" t="s">
        <v>12259</v>
      </c>
      <c r="M5604" s="17"/>
      <c r="N5604" s="17" t="s">
        <v>12260</v>
      </c>
      <c r="O5604" s="17" t="s">
        <v>12267</v>
      </c>
      <c r="P5604" s="17" t="s">
        <v>12268</v>
      </c>
      <c r="Q5604" s="17"/>
      <c r="R5604" s="25" t="str">
        <f>HYPERLINK("https://ictv.global/taxonomy/taxondetails?taxnode_id=202309264","Aquambidensovirus ostreid1")</f>
        <v>Aquambidensovirus ostreid1</v>
      </c>
      <c r="S5604" s="18" t="s">
        <v>30</v>
      </c>
      <c r="T5604" s="18" t="s">
        <v>12278</v>
      </c>
      <c r="U5604" s="18" t="s">
        <v>12279</v>
      </c>
      <c r="V5604" s="18" t="s">
        <v>12280</v>
      </c>
      <c r="W5604" s="18" t="s">
        <v>12281</v>
      </c>
      <c r="X5604" s="18" t="s">
        <v>35</v>
      </c>
      <c r="Y5604" s="18" t="s">
        <v>12266</v>
      </c>
      <c r="Z5604" s="18" t="s">
        <v>10790</v>
      </c>
      <c r="AA5604" s="21" t="str">
        <f>HYPERLINK("https://www.ncbi.nlm.nih.gov/nuccore/KY548840","NCBI Nucleotide")</f>
        <v>NCBI Nucleotide</v>
      </c>
    </row>
    <row r="5605" spans="1:27" x14ac:dyDescent="0.35">
      <c r="A5605">
        <v>1007109</v>
      </c>
      <c r="B5605">
        <v>5344</v>
      </c>
      <c r="C5605">
        <v>1</v>
      </c>
      <c r="D5605" s="17" t="s">
        <v>10507</v>
      </c>
      <c r="E5605" s="17"/>
      <c r="F5605" s="17" t="s">
        <v>10780</v>
      </c>
      <c r="G5605" s="17"/>
      <c r="H5605" s="17" t="s">
        <v>10781</v>
      </c>
      <c r="I5605" s="17"/>
      <c r="J5605" s="17" t="s">
        <v>12258</v>
      </c>
      <c r="K5605" s="17"/>
      <c r="L5605" s="17" t="s">
        <v>12259</v>
      </c>
      <c r="M5605" s="17"/>
      <c r="N5605" s="17" t="s">
        <v>12260</v>
      </c>
      <c r="O5605" s="17" t="s">
        <v>12267</v>
      </c>
      <c r="P5605" s="17" t="s">
        <v>12282</v>
      </c>
      <c r="Q5605" s="17"/>
      <c r="R5605" s="25" t="str">
        <f>HYPERLINK("https://ictv.global/taxonomy/taxondetails?taxnode_id=202304211","Blattambidensovirus blattodean1")</f>
        <v>Blattambidensovirus blattodean1</v>
      </c>
      <c r="S5605" s="18" t="s">
        <v>30</v>
      </c>
      <c r="T5605" s="18" t="s">
        <v>12283</v>
      </c>
      <c r="U5605" s="18" t="s">
        <v>12284</v>
      </c>
      <c r="V5605" s="18"/>
      <c r="W5605" s="18" t="s">
        <v>12285</v>
      </c>
      <c r="X5605" s="18" t="s">
        <v>42</v>
      </c>
      <c r="Y5605" s="18" t="s">
        <v>12266</v>
      </c>
      <c r="Z5605" s="18" t="s">
        <v>10790</v>
      </c>
      <c r="AA5605" s="21" t="str">
        <f>HYPERLINK("https://www.ncbi.nlm.nih.gov/nuccore/AY189948","NCBI Nucleotide")</f>
        <v>NCBI Nucleotide</v>
      </c>
    </row>
    <row r="5606" spans="1:27" x14ac:dyDescent="0.35">
      <c r="A5606">
        <v>1007110</v>
      </c>
      <c r="B5606">
        <v>5345</v>
      </c>
      <c r="C5606">
        <v>1</v>
      </c>
      <c r="D5606" s="17" t="s">
        <v>10507</v>
      </c>
      <c r="E5606" s="17"/>
      <c r="F5606" s="17" t="s">
        <v>10780</v>
      </c>
      <c r="G5606" s="17"/>
      <c r="H5606" s="17" t="s">
        <v>10781</v>
      </c>
      <c r="I5606" s="17"/>
      <c r="J5606" s="17" t="s">
        <v>12258</v>
      </c>
      <c r="K5606" s="17"/>
      <c r="L5606" s="17" t="s">
        <v>12259</v>
      </c>
      <c r="M5606" s="17"/>
      <c r="N5606" s="17" t="s">
        <v>12260</v>
      </c>
      <c r="O5606" s="17" t="s">
        <v>12267</v>
      </c>
      <c r="P5606" s="17" t="s">
        <v>12282</v>
      </c>
      <c r="Q5606" s="17"/>
      <c r="R5606" s="25" t="str">
        <f>HYPERLINK("https://ictv.global/taxonomy/taxondetails?taxnode_id=202314046","Blattambidensovirus incertum1")</f>
        <v>Blattambidensovirus incertum1</v>
      </c>
      <c r="S5606" s="18" t="s">
        <v>30</v>
      </c>
      <c r="T5606" s="18" t="s">
        <v>12286</v>
      </c>
      <c r="U5606" s="18" t="s">
        <v>12287</v>
      </c>
      <c r="V5606" s="18"/>
      <c r="W5606" s="18" t="s">
        <v>12288</v>
      </c>
      <c r="X5606" s="18" t="s">
        <v>35</v>
      </c>
      <c r="Y5606" s="18" t="s">
        <v>12266</v>
      </c>
      <c r="Z5606" s="18" t="s">
        <v>12289</v>
      </c>
      <c r="AA5606" s="21" t="str">
        <f>HYPERLINK("https://www.ncbi.nlm.nih.gov/nuccore/KU727766","NCBI Nucleotide")</f>
        <v>NCBI Nucleotide</v>
      </c>
    </row>
    <row r="5607" spans="1:27" x14ac:dyDescent="0.35">
      <c r="A5607">
        <v>1007111</v>
      </c>
      <c r="B5607">
        <v>5346</v>
      </c>
      <c r="C5607">
        <v>1</v>
      </c>
      <c r="D5607" s="17" t="s">
        <v>10507</v>
      </c>
      <c r="E5607" s="17"/>
      <c r="F5607" s="17" t="s">
        <v>10780</v>
      </c>
      <c r="G5607" s="17"/>
      <c r="H5607" s="17" t="s">
        <v>10781</v>
      </c>
      <c r="I5607" s="17"/>
      <c r="J5607" s="17" t="s">
        <v>12258</v>
      </c>
      <c r="K5607" s="17"/>
      <c r="L5607" s="17" t="s">
        <v>12259</v>
      </c>
      <c r="M5607" s="17"/>
      <c r="N5607" s="17" t="s">
        <v>12260</v>
      </c>
      <c r="O5607" s="17" t="s">
        <v>12267</v>
      </c>
      <c r="P5607" s="17" t="s">
        <v>12282</v>
      </c>
      <c r="Q5607" s="17"/>
      <c r="R5607" s="25" t="str">
        <f>HYPERLINK("https://ictv.global/taxonomy/taxondetails?taxnode_id=202314047","Blattambidensovirus incertum2")</f>
        <v>Blattambidensovirus incertum2</v>
      </c>
      <c r="S5607" s="18" t="s">
        <v>30</v>
      </c>
      <c r="T5607" s="18" t="s">
        <v>12290</v>
      </c>
      <c r="U5607" s="18" t="s">
        <v>12291</v>
      </c>
      <c r="V5607" s="18" t="s">
        <v>12292</v>
      </c>
      <c r="W5607" s="18" t="s">
        <v>12293</v>
      </c>
      <c r="X5607" s="18" t="s">
        <v>35</v>
      </c>
      <c r="Y5607" s="18" t="s">
        <v>12266</v>
      </c>
      <c r="Z5607" s="18" t="s">
        <v>12289</v>
      </c>
      <c r="AA5607" s="21" t="str">
        <f>HYPERLINK("https://www.ncbi.nlm.nih.gov/nuccore/MN765191","NCBI Nucleotide")</f>
        <v>NCBI Nucleotide</v>
      </c>
    </row>
    <row r="5608" spans="1:27" x14ac:dyDescent="0.35">
      <c r="A5608">
        <v>1007112</v>
      </c>
      <c r="B5608">
        <v>5347</v>
      </c>
      <c r="C5608">
        <v>1</v>
      </c>
      <c r="D5608" s="17" t="s">
        <v>10507</v>
      </c>
      <c r="E5608" s="17"/>
      <c r="F5608" s="17" t="s">
        <v>10780</v>
      </c>
      <c r="G5608" s="17"/>
      <c r="H5608" s="17" t="s">
        <v>10781</v>
      </c>
      <c r="I5608" s="17"/>
      <c r="J5608" s="17" t="s">
        <v>12258</v>
      </c>
      <c r="K5608" s="17"/>
      <c r="L5608" s="17" t="s">
        <v>12259</v>
      </c>
      <c r="M5608" s="17"/>
      <c r="N5608" s="17" t="s">
        <v>12260</v>
      </c>
      <c r="O5608" s="17" t="s">
        <v>12267</v>
      </c>
      <c r="P5608" s="17" t="s">
        <v>12282</v>
      </c>
      <c r="Q5608" s="17"/>
      <c r="R5608" s="25" t="str">
        <f>HYPERLINK("https://ictv.global/taxonomy/taxondetails?taxnode_id=202314048","Blattambidensovirus incertum3")</f>
        <v>Blattambidensovirus incertum3</v>
      </c>
      <c r="S5608" s="18" t="s">
        <v>30</v>
      </c>
      <c r="T5608" s="18" t="s">
        <v>12294</v>
      </c>
      <c r="U5608" s="18" t="s">
        <v>12295</v>
      </c>
      <c r="V5608" s="18" t="s">
        <v>12296</v>
      </c>
      <c r="W5608" s="18" t="s">
        <v>12297</v>
      </c>
      <c r="X5608" s="18" t="s">
        <v>42</v>
      </c>
      <c r="Y5608" s="18" t="s">
        <v>12266</v>
      </c>
      <c r="Z5608" s="18" t="s">
        <v>10790</v>
      </c>
      <c r="AA5608" s="21" t="str">
        <f>HYPERLINK("https://www.ncbi.nlm.nih.gov/nuccore/MN099038","NCBI Nucleotide")</f>
        <v>NCBI Nucleotide</v>
      </c>
    </row>
    <row r="5609" spans="1:27" x14ac:dyDescent="0.35">
      <c r="A5609">
        <v>1007113</v>
      </c>
      <c r="B5609">
        <v>5348</v>
      </c>
      <c r="C5609">
        <v>1</v>
      </c>
      <c r="D5609" s="17" t="s">
        <v>10507</v>
      </c>
      <c r="E5609" s="17"/>
      <c r="F5609" s="17" t="s">
        <v>10780</v>
      </c>
      <c r="G5609" s="17"/>
      <c r="H5609" s="17" t="s">
        <v>10781</v>
      </c>
      <c r="I5609" s="17"/>
      <c r="J5609" s="17" t="s">
        <v>12258</v>
      </c>
      <c r="K5609" s="17"/>
      <c r="L5609" s="17" t="s">
        <v>12259</v>
      </c>
      <c r="M5609" s="17"/>
      <c r="N5609" s="17" t="s">
        <v>12260</v>
      </c>
      <c r="O5609" s="17" t="s">
        <v>12267</v>
      </c>
      <c r="P5609" s="17" t="s">
        <v>12282</v>
      </c>
      <c r="Q5609" s="17"/>
      <c r="R5609" s="25" t="str">
        <f>HYPERLINK("https://ictv.global/taxonomy/taxondetails?taxnode_id=202314049","Blattambidensovirus incertum4")</f>
        <v>Blattambidensovirus incertum4</v>
      </c>
      <c r="S5609" s="18" t="s">
        <v>30</v>
      </c>
      <c r="T5609" s="18" t="s">
        <v>12298</v>
      </c>
      <c r="U5609" s="18" t="s">
        <v>12299</v>
      </c>
      <c r="V5609" s="18" t="s">
        <v>12300</v>
      </c>
      <c r="W5609" s="18" t="s">
        <v>12301</v>
      </c>
      <c r="X5609" s="18" t="s">
        <v>42</v>
      </c>
      <c r="Y5609" s="18" t="s">
        <v>12266</v>
      </c>
      <c r="Z5609" s="18" t="s">
        <v>10790</v>
      </c>
      <c r="AA5609" s="21" t="str">
        <f>HYPERLINK("https://www.ncbi.nlm.nih.gov/nuccore/MT734807","NCBI Nucleotide")</f>
        <v>NCBI Nucleotide</v>
      </c>
    </row>
    <row r="5610" spans="1:27" x14ac:dyDescent="0.35">
      <c r="A5610">
        <v>1007114</v>
      </c>
      <c r="B5610">
        <v>5349</v>
      </c>
      <c r="C5610">
        <v>1</v>
      </c>
      <c r="D5610" s="17" t="s">
        <v>10507</v>
      </c>
      <c r="E5610" s="17"/>
      <c r="F5610" s="17" t="s">
        <v>10780</v>
      </c>
      <c r="G5610" s="17"/>
      <c r="H5610" s="17" t="s">
        <v>10781</v>
      </c>
      <c r="I5610" s="17"/>
      <c r="J5610" s="17" t="s">
        <v>12258</v>
      </c>
      <c r="K5610" s="17"/>
      <c r="L5610" s="17" t="s">
        <v>12259</v>
      </c>
      <c r="M5610" s="17"/>
      <c r="N5610" s="17" t="s">
        <v>12260</v>
      </c>
      <c r="O5610" s="17" t="s">
        <v>12267</v>
      </c>
      <c r="P5610" s="17" t="s">
        <v>12302</v>
      </c>
      <c r="Q5610" s="17"/>
      <c r="R5610" s="25" t="str">
        <f>HYPERLINK("https://ictv.global/taxonomy/taxondetails?taxnode_id=202309266","Diciambidensovirus hemipteran1")</f>
        <v>Diciambidensovirus hemipteran1</v>
      </c>
      <c r="S5610" s="18" t="s">
        <v>30</v>
      </c>
      <c r="T5610" s="18" t="s">
        <v>12303</v>
      </c>
      <c r="U5610" s="18" t="s">
        <v>12304</v>
      </c>
      <c r="V5610" s="18"/>
      <c r="W5610" s="18" t="s">
        <v>12305</v>
      </c>
      <c r="X5610" s="18" t="s">
        <v>42</v>
      </c>
      <c r="Y5610" s="18" t="s">
        <v>12266</v>
      </c>
      <c r="Z5610" s="18" t="s">
        <v>10790</v>
      </c>
      <c r="AA5610" s="21" t="str">
        <f>HYPERLINK("https://www.ncbi.nlm.nih.gov/nuccore/KX165268","NCBI Nucleotide")</f>
        <v>NCBI Nucleotide</v>
      </c>
    </row>
    <row r="5611" spans="1:27" x14ac:dyDescent="0.35">
      <c r="A5611">
        <v>1007115</v>
      </c>
      <c r="B5611">
        <v>5350</v>
      </c>
      <c r="C5611">
        <v>1</v>
      </c>
      <c r="D5611" s="17" t="s">
        <v>10507</v>
      </c>
      <c r="E5611" s="17"/>
      <c r="F5611" s="17" t="s">
        <v>10780</v>
      </c>
      <c r="G5611" s="17"/>
      <c r="H5611" s="17" t="s">
        <v>10781</v>
      </c>
      <c r="I5611" s="17"/>
      <c r="J5611" s="17" t="s">
        <v>12258</v>
      </c>
      <c r="K5611" s="17"/>
      <c r="L5611" s="17" t="s">
        <v>12259</v>
      </c>
      <c r="M5611" s="17"/>
      <c r="N5611" s="17" t="s">
        <v>12260</v>
      </c>
      <c r="O5611" s="17" t="s">
        <v>12267</v>
      </c>
      <c r="P5611" s="17" t="s">
        <v>12302</v>
      </c>
      <c r="Q5611" s="17"/>
      <c r="R5611" s="25" t="str">
        <f>HYPERLINK("https://ictv.global/taxonomy/taxondetails?taxnode_id=202314050","Diciambidensovirus hemipteran2")</f>
        <v>Diciambidensovirus hemipteran2</v>
      </c>
      <c r="S5611" s="18" t="s">
        <v>30</v>
      </c>
      <c r="T5611" s="18" t="s">
        <v>12306</v>
      </c>
      <c r="U5611" s="18" t="s">
        <v>12307</v>
      </c>
      <c r="V5611" s="18"/>
      <c r="W5611" s="18" t="s">
        <v>12308</v>
      </c>
      <c r="X5611" s="18" t="s">
        <v>42</v>
      </c>
      <c r="Y5611" s="18" t="s">
        <v>12266</v>
      </c>
      <c r="Z5611" s="18" t="s">
        <v>10790</v>
      </c>
      <c r="AA5611" s="21" t="str">
        <f>HYPERLINK("https://www.ncbi.nlm.nih.gov/nuccore/MN364694","NCBI Nucleotide")</f>
        <v>NCBI Nucleotide</v>
      </c>
    </row>
    <row r="5612" spans="1:27" x14ac:dyDescent="0.35">
      <c r="A5612">
        <v>1007116</v>
      </c>
      <c r="B5612">
        <v>5351</v>
      </c>
      <c r="C5612">
        <v>1</v>
      </c>
      <c r="D5612" s="17" t="s">
        <v>10507</v>
      </c>
      <c r="E5612" s="17"/>
      <c r="F5612" s="17" t="s">
        <v>10780</v>
      </c>
      <c r="G5612" s="17"/>
      <c r="H5612" s="17" t="s">
        <v>10781</v>
      </c>
      <c r="I5612" s="17"/>
      <c r="J5612" s="17" t="s">
        <v>12258</v>
      </c>
      <c r="K5612" s="17"/>
      <c r="L5612" s="17" t="s">
        <v>12259</v>
      </c>
      <c r="M5612" s="17"/>
      <c r="N5612" s="17" t="s">
        <v>12260</v>
      </c>
      <c r="O5612" s="17" t="s">
        <v>12267</v>
      </c>
      <c r="P5612" s="17" t="s">
        <v>12302</v>
      </c>
      <c r="Q5612" s="17"/>
      <c r="R5612" s="25" t="str">
        <f>HYPERLINK("https://ictv.global/taxonomy/taxondetails?taxnode_id=202314051","Diciambidensovirus incertum1")</f>
        <v>Diciambidensovirus incertum1</v>
      </c>
      <c r="S5612" s="18" t="s">
        <v>30</v>
      </c>
      <c r="T5612" s="18" t="s">
        <v>12309</v>
      </c>
      <c r="U5612" s="18" t="s">
        <v>12310</v>
      </c>
      <c r="V5612" s="18" t="s">
        <v>12311</v>
      </c>
      <c r="W5612" s="18" t="s">
        <v>12312</v>
      </c>
      <c r="X5612" s="18" t="s">
        <v>35</v>
      </c>
      <c r="Y5612" s="18" t="s">
        <v>12266</v>
      </c>
      <c r="Z5612" s="18" t="s">
        <v>10790</v>
      </c>
      <c r="AA5612" s="21" t="str">
        <f>HYPERLINK("https://www.ncbi.nlm.nih.gov/nuccore/MN765189","NCBI Nucleotide")</f>
        <v>NCBI Nucleotide</v>
      </c>
    </row>
    <row r="5613" spans="1:27" x14ac:dyDescent="0.35">
      <c r="A5613">
        <v>1007117</v>
      </c>
      <c r="B5613">
        <v>5352</v>
      </c>
      <c r="C5613">
        <v>1</v>
      </c>
      <c r="D5613" s="17" t="s">
        <v>10507</v>
      </c>
      <c r="E5613" s="17"/>
      <c r="F5613" s="17" t="s">
        <v>10780</v>
      </c>
      <c r="G5613" s="17"/>
      <c r="H5613" s="17" t="s">
        <v>10781</v>
      </c>
      <c r="I5613" s="17"/>
      <c r="J5613" s="17" t="s">
        <v>12258</v>
      </c>
      <c r="K5613" s="17"/>
      <c r="L5613" s="17" t="s">
        <v>12259</v>
      </c>
      <c r="M5613" s="17"/>
      <c r="N5613" s="17" t="s">
        <v>12260</v>
      </c>
      <c r="O5613" s="17" t="s">
        <v>12267</v>
      </c>
      <c r="P5613" s="17" t="s">
        <v>12313</v>
      </c>
      <c r="Q5613" s="17"/>
      <c r="R5613" s="25" t="str">
        <f>HYPERLINK("https://ictv.global/taxonomy/taxondetails?taxnode_id=202304215","Hemiambidensovirus hemipteran1")</f>
        <v>Hemiambidensovirus hemipteran1</v>
      </c>
      <c r="S5613" s="18" t="s">
        <v>30</v>
      </c>
      <c r="T5613" s="18" t="s">
        <v>12314</v>
      </c>
      <c r="U5613" s="18" t="s">
        <v>12315</v>
      </c>
      <c r="V5613" s="18"/>
      <c r="W5613" s="18" t="s">
        <v>12316</v>
      </c>
      <c r="X5613" s="18" t="s">
        <v>42</v>
      </c>
      <c r="Y5613" s="18" t="s">
        <v>12266</v>
      </c>
      <c r="Z5613" s="18" t="s">
        <v>10790</v>
      </c>
      <c r="AA5613" s="21" t="str">
        <f>HYPERLINK("https://www.ncbi.nlm.nih.gov/nuccore/FJ040397","NCBI Nucleotide")</f>
        <v>NCBI Nucleotide</v>
      </c>
    </row>
    <row r="5614" spans="1:27" x14ac:dyDescent="0.35">
      <c r="A5614">
        <v>1007118</v>
      </c>
      <c r="B5614">
        <v>5353</v>
      </c>
      <c r="C5614">
        <v>1</v>
      </c>
      <c r="D5614" s="17" t="s">
        <v>10507</v>
      </c>
      <c r="E5614" s="17"/>
      <c r="F5614" s="17" t="s">
        <v>10780</v>
      </c>
      <c r="G5614" s="17"/>
      <c r="H5614" s="17" t="s">
        <v>10781</v>
      </c>
      <c r="I5614" s="17"/>
      <c r="J5614" s="17" t="s">
        <v>12258</v>
      </c>
      <c r="K5614" s="17"/>
      <c r="L5614" s="17" t="s">
        <v>12259</v>
      </c>
      <c r="M5614" s="17"/>
      <c r="N5614" s="17" t="s">
        <v>12260</v>
      </c>
      <c r="O5614" s="17" t="s">
        <v>12267</v>
      </c>
      <c r="P5614" s="17" t="s">
        <v>12313</v>
      </c>
      <c r="Q5614" s="17"/>
      <c r="R5614" s="25" t="str">
        <f>HYPERLINK("https://ictv.global/taxonomy/taxondetails?taxnode_id=202304216","Hemiambidensovirus hemipteran2")</f>
        <v>Hemiambidensovirus hemipteran2</v>
      </c>
      <c r="S5614" s="18" t="s">
        <v>30</v>
      </c>
      <c r="T5614" s="18" t="s">
        <v>12317</v>
      </c>
      <c r="U5614" s="18" t="s">
        <v>12318</v>
      </c>
      <c r="V5614" s="18"/>
      <c r="W5614" s="18" t="s">
        <v>12319</v>
      </c>
      <c r="X5614" s="18" t="s">
        <v>42</v>
      </c>
      <c r="Y5614" s="18" t="s">
        <v>12266</v>
      </c>
      <c r="Z5614" s="18" t="s">
        <v>10790</v>
      </c>
      <c r="AA5614" s="21" t="str">
        <f>HYPERLINK("https://www.ncbi.nlm.nih.gov/nuccore/AY148187","NCBI Nucleotide")</f>
        <v>NCBI Nucleotide</v>
      </c>
    </row>
    <row r="5615" spans="1:27" x14ac:dyDescent="0.35">
      <c r="A5615">
        <v>1027904</v>
      </c>
      <c r="B5615">
        <v>5354</v>
      </c>
      <c r="C5615">
        <v>1</v>
      </c>
      <c r="D5615" s="17" t="s">
        <v>10507</v>
      </c>
      <c r="E5615" s="17"/>
      <c r="F5615" s="17" t="s">
        <v>10780</v>
      </c>
      <c r="G5615" s="17"/>
      <c r="H5615" s="17" t="s">
        <v>10781</v>
      </c>
      <c r="I5615" s="17"/>
      <c r="J5615" s="17" t="s">
        <v>12258</v>
      </c>
      <c r="K5615" s="17"/>
      <c r="L5615" s="17" t="s">
        <v>12259</v>
      </c>
      <c r="M5615" s="17"/>
      <c r="N5615" s="17" t="s">
        <v>12260</v>
      </c>
      <c r="O5615" s="17" t="s">
        <v>12267</v>
      </c>
      <c r="P5615" s="17" t="s">
        <v>12313</v>
      </c>
      <c r="Q5615" s="17"/>
      <c r="R5615" s="25" t="str">
        <f>HYPERLINK("https://ictv.global/taxonomy/taxondetails?taxnode_id=202317837","Hemiambidensovirus hemipteran3")</f>
        <v>Hemiambidensovirus hemipteran3</v>
      </c>
      <c r="S5615" s="18" t="s">
        <v>30</v>
      </c>
      <c r="T5615" s="18" t="s">
        <v>40101</v>
      </c>
      <c r="U5615" s="18" t="s">
        <v>40102</v>
      </c>
      <c r="V5615" s="18"/>
      <c r="W5615" s="18" t="s">
        <v>40103</v>
      </c>
      <c r="X5615" s="18" t="s">
        <v>42</v>
      </c>
      <c r="Y5615" s="18" t="s">
        <v>12266</v>
      </c>
      <c r="Z5615" s="18" t="s">
        <v>10790</v>
      </c>
      <c r="AA5615" s="21" t="str">
        <f>HYPERLINK("https://www.ncbi.nlm.nih.gov/nuccore/MF083940","NCBI Nucleotide")</f>
        <v>NCBI Nucleotide</v>
      </c>
    </row>
    <row r="5616" spans="1:27" x14ac:dyDescent="0.35">
      <c r="A5616">
        <v>1007119</v>
      </c>
      <c r="B5616">
        <v>5355</v>
      </c>
      <c r="C5616">
        <v>1</v>
      </c>
      <c r="D5616" s="17" t="s">
        <v>10507</v>
      </c>
      <c r="E5616" s="17"/>
      <c r="F5616" s="17" t="s">
        <v>10780</v>
      </c>
      <c r="G5616" s="17"/>
      <c r="H5616" s="17" t="s">
        <v>10781</v>
      </c>
      <c r="I5616" s="17"/>
      <c r="J5616" s="17" t="s">
        <v>12258</v>
      </c>
      <c r="K5616" s="17"/>
      <c r="L5616" s="17" t="s">
        <v>12259</v>
      </c>
      <c r="M5616" s="17"/>
      <c r="N5616" s="17" t="s">
        <v>12260</v>
      </c>
      <c r="O5616" s="17" t="s">
        <v>12267</v>
      </c>
      <c r="P5616" s="17" t="s">
        <v>12320</v>
      </c>
      <c r="Q5616" s="17"/>
      <c r="R5616" s="25" t="str">
        <f>HYPERLINK("https://ictv.global/taxonomy/taxondetails?taxnode_id=202314052","Iteradensovirus incertum1")</f>
        <v>Iteradensovirus incertum1</v>
      </c>
      <c r="S5616" s="18" t="s">
        <v>30</v>
      </c>
      <c r="T5616" s="18" t="s">
        <v>12321</v>
      </c>
      <c r="U5616" s="18" t="s">
        <v>12322</v>
      </c>
      <c r="V5616" s="18" t="s">
        <v>12323</v>
      </c>
      <c r="W5616" s="18" t="s">
        <v>12324</v>
      </c>
      <c r="X5616" s="18" t="s">
        <v>42</v>
      </c>
      <c r="Y5616" s="18" t="s">
        <v>10535</v>
      </c>
      <c r="Z5616" s="18" t="s">
        <v>10790</v>
      </c>
      <c r="AA5616" s="21" t="str">
        <f>HYPERLINK("https://www.ncbi.nlm.nih.gov/nuccore/MT734808","NCBI Nucleotide")</f>
        <v>NCBI Nucleotide</v>
      </c>
    </row>
    <row r="5617" spans="1:27" x14ac:dyDescent="0.35">
      <c r="A5617">
        <v>1007120</v>
      </c>
      <c r="B5617">
        <v>5356</v>
      </c>
      <c r="C5617">
        <v>1</v>
      </c>
      <c r="D5617" s="17" t="s">
        <v>10507</v>
      </c>
      <c r="E5617" s="17"/>
      <c r="F5617" s="17" t="s">
        <v>10780</v>
      </c>
      <c r="G5617" s="17"/>
      <c r="H5617" s="17" t="s">
        <v>10781</v>
      </c>
      <c r="I5617" s="17"/>
      <c r="J5617" s="17" t="s">
        <v>12258</v>
      </c>
      <c r="K5617" s="17"/>
      <c r="L5617" s="17" t="s">
        <v>12259</v>
      </c>
      <c r="M5617" s="17"/>
      <c r="N5617" s="17" t="s">
        <v>12260</v>
      </c>
      <c r="O5617" s="17" t="s">
        <v>12267</v>
      </c>
      <c r="P5617" s="17" t="s">
        <v>12320</v>
      </c>
      <c r="Q5617" s="17"/>
      <c r="R5617" s="25" t="str">
        <f>HYPERLINK("https://ictv.global/taxonomy/taxondetails?taxnode_id=202314053","Iteradensovirus incertum2")</f>
        <v>Iteradensovirus incertum2</v>
      </c>
      <c r="S5617" s="18" t="s">
        <v>30</v>
      </c>
      <c r="T5617" s="18" t="s">
        <v>12325</v>
      </c>
      <c r="U5617" s="18" t="s">
        <v>12326</v>
      </c>
      <c r="V5617" s="18"/>
      <c r="W5617" s="18" t="s">
        <v>12327</v>
      </c>
      <c r="X5617" s="18" t="s">
        <v>35</v>
      </c>
      <c r="Y5617" s="18" t="s">
        <v>10535</v>
      </c>
      <c r="Z5617" s="18" t="s">
        <v>10790</v>
      </c>
      <c r="AA5617" s="21" t="str">
        <f>HYPERLINK("https://www.ncbi.nlm.nih.gov/nuccore/KX035107","NCBI Nucleotide")</f>
        <v>NCBI Nucleotide</v>
      </c>
    </row>
    <row r="5618" spans="1:27" x14ac:dyDescent="0.35">
      <c r="A5618">
        <v>1007121</v>
      </c>
      <c r="B5618">
        <v>5357</v>
      </c>
      <c r="C5618">
        <v>1</v>
      </c>
      <c r="D5618" s="17" t="s">
        <v>10507</v>
      </c>
      <c r="E5618" s="17"/>
      <c r="F5618" s="17" t="s">
        <v>10780</v>
      </c>
      <c r="G5618" s="17"/>
      <c r="H5618" s="17" t="s">
        <v>10781</v>
      </c>
      <c r="I5618" s="17"/>
      <c r="J5618" s="17" t="s">
        <v>12258</v>
      </c>
      <c r="K5618" s="17"/>
      <c r="L5618" s="17" t="s">
        <v>12259</v>
      </c>
      <c r="M5618" s="17"/>
      <c r="N5618" s="17" t="s">
        <v>12260</v>
      </c>
      <c r="O5618" s="17" t="s">
        <v>12267</v>
      </c>
      <c r="P5618" s="17" t="s">
        <v>12320</v>
      </c>
      <c r="Q5618" s="17"/>
      <c r="R5618" s="25" t="str">
        <f>HYPERLINK("https://ictv.global/taxonomy/taxondetails?taxnode_id=202304226","Iteradensovirus lepidopteran1")</f>
        <v>Iteradensovirus lepidopteran1</v>
      </c>
      <c r="S5618" s="18" t="s">
        <v>30</v>
      </c>
      <c r="T5618" s="18" t="s">
        <v>12328</v>
      </c>
      <c r="U5618" s="18" t="s">
        <v>12329</v>
      </c>
      <c r="V5618" s="18" t="s">
        <v>12330</v>
      </c>
      <c r="W5618" s="18" t="s">
        <v>12331</v>
      </c>
      <c r="X5618" s="18" t="s">
        <v>42</v>
      </c>
      <c r="Y5618" s="18" t="s">
        <v>10535</v>
      </c>
      <c r="Z5618" s="18" t="s">
        <v>10790</v>
      </c>
      <c r="AA5618" s="21" t="str">
        <f>HYPERLINK("https://www.ncbi.nlm.nih.gov/nuccore/AY033435","NCBI Nucleotide")</f>
        <v>NCBI Nucleotide</v>
      </c>
    </row>
    <row r="5619" spans="1:27" x14ac:dyDescent="0.35">
      <c r="A5619">
        <v>1007122</v>
      </c>
      <c r="B5619">
        <v>5358</v>
      </c>
      <c r="C5619">
        <v>1</v>
      </c>
      <c r="D5619" s="17" t="s">
        <v>10507</v>
      </c>
      <c r="E5619" s="17"/>
      <c r="F5619" s="17" t="s">
        <v>10780</v>
      </c>
      <c r="G5619" s="17"/>
      <c r="H5619" s="17" t="s">
        <v>10781</v>
      </c>
      <c r="I5619" s="17"/>
      <c r="J5619" s="17" t="s">
        <v>12258</v>
      </c>
      <c r="K5619" s="17"/>
      <c r="L5619" s="17" t="s">
        <v>12259</v>
      </c>
      <c r="M5619" s="17"/>
      <c r="N5619" s="17" t="s">
        <v>12260</v>
      </c>
      <c r="O5619" s="17" t="s">
        <v>12267</v>
      </c>
      <c r="P5619" s="17" t="s">
        <v>12320</v>
      </c>
      <c r="Q5619" s="17"/>
      <c r="R5619" s="25" t="str">
        <f>HYPERLINK("https://ictv.global/taxonomy/taxondetails?taxnode_id=202304227","Iteradensovirus lepidopteran2")</f>
        <v>Iteradensovirus lepidopteran2</v>
      </c>
      <c r="S5619" s="18" t="s">
        <v>30</v>
      </c>
      <c r="T5619" s="18" t="s">
        <v>12332</v>
      </c>
      <c r="U5619" s="18" t="s">
        <v>12333</v>
      </c>
      <c r="V5619" s="18"/>
      <c r="W5619" s="18" t="s">
        <v>12334</v>
      </c>
      <c r="X5619" s="18" t="s">
        <v>42</v>
      </c>
      <c r="Y5619" s="18" t="s">
        <v>10535</v>
      </c>
      <c r="Z5619" s="18" t="s">
        <v>10790</v>
      </c>
      <c r="AA5619" s="21" t="str">
        <f>HYPERLINK("https://www.ncbi.nlm.nih.gov/nuccore/AF375296","NCBI Nucleotide")</f>
        <v>NCBI Nucleotide</v>
      </c>
    </row>
    <row r="5620" spans="1:27" x14ac:dyDescent="0.35">
      <c r="A5620">
        <v>1007123</v>
      </c>
      <c r="B5620">
        <v>5359</v>
      </c>
      <c r="C5620">
        <v>1</v>
      </c>
      <c r="D5620" s="17" t="s">
        <v>10507</v>
      </c>
      <c r="E5620" s="17"/>
      <c r="F5620" s="17" t="s">
        <v>10780</v>
      </c>
      <c r="G5620" s="17"/>
      <c r="H5620" s="17" t="s">
        <v>10781</v>
      </c>
      <c r="I5620" s="17"/>
      <c r="J5620" s="17" t="s">
        <v>12258</v>
      </c>
      <c r="K5620" s="17"/>
      <c r="L5620" s="17" t="s">
        <v>12259</v>
      </c>
      <c r="M5620" s="17"/>
      <c r="N5620" s="17" t="s">
        <v>12260</v>
      </c>
      <c r="O5620" s="17" t="s">
        <v>12267</v>
      </c>
      <c r="P5620" s="17" t="s">
        <v>12320</v>
      </c>
      <c r="Q5620" s="17"/>
      <c r="R5620" s="25" t="str">
        <f>HYPERLINK("https://ictv.global/taxonomy/taxondetails?taxnode_id=202304228","Iteradensovirus lepidopteran3")</f>
        <v>Iteradensovirus lepidopteran3</v>
      </c>
      <c r="S5620" s="18" t="s">
        <v>30</v>
      </c>
      <c r="T5620" s="18" t="s">
        <v>12335</v>
      </c>
      <c r="U5620" s="18" t="s">
        <v>12336</v>
      </c>
      <c r="V5620" s="18"/>
      <c r="W5620" s="18" t="s">
        <v>12337</v>
      </c>
      <c r="X5620" s="18" t="s">
        <v>42</v>
      </c>
      <c r="Y5620" s="18" t="s">
        <v>10535</v>
      </c>
      <c r="Z5620" s="18" t="s">
        <v>10790</v>
      </c>
      <c r="AA5620" s="21" t="str">
        <f>HYPERLINK("https://www.ncbi.nlm.nih.gov/nuccore/AY665654","NCBI Nucleotide")</f>
        <v>NCBI Nucleotide</v>
      </c>
    </row>
    <row r="5621" spans="1:27" x14ac:dyDescent="0.35">
      <c r="A5621">
        <v>1007124</v>
      </c>
      <c r="B5621">
        <v>5360</v>
      </c>
      <c r="C5621">
        <v>1</v>
      </c>
      <c r="D5621" s="17" t="s">
        <v>10507</v>
      </c>
      <c r="E5621" s="17"/>
      <c r="F5621" s="17" t="s">
        <v>10780</v>
      </c>
      <c r="G5621" s="17"/>
      <c r="H5621" s="17" t="s">
        <v>10781</v>
      </c>
      <c r="I5621" s="17"/>
      <c r="J5621" s="17" t="s">
        <v>12258</v>
      </c>
      <c r="K5621" s="17"/>
      <c r="L5621" s="17" t="s">
        <v>12259</v>
      </c>
      <c r="M5621" s="17"/>
      <c r="N5621" s="17" t="s">
        <v>12260</v>
      </c>
      <c r="O5621" s="17" t="s">
        <v>12267</v>
      </c>
      <c r="P5621" s="17" t="s">
        <v>12320</v>
      </c>
      <c r="Q5621" s="17"/>
      <c r="R5621" s="25" t="str">
        <f>HYPERLINK("https://ictv.global/taxonomy/taxondetails?taxnode_id=202304229","Iteradensovirus lepidopteran4")</f>
        <v>Iteradensovirus lepidopteran4</v>
      </c>
      <c r="S5621" s="18" t="s">
        <v>30</v>
      </c>
      <c r="T5621" s="18" t="s">
        <v>12338</v>
      </c>
      <c r="U5621" s="18" t="s">
        <v>12339</v>
      </c>
      <c r="V5621" s="18" t="s">
        <v>12340</v>
      </c>
      <c r="W5621" s="18" t="s">
        <v>12341</v>
      </c>
      <c r="X5621" s="18" t="s">
        <v>42</v>
      </c>
      <c r="Y5621" s="18" t="s">
        <v>10535</v>
      </c>
      <c r="Z5621" s="18" t="s">
        <v>10790</v>
      </c>
      <c r="AA5621" s="21" t="str">
        <f>HYPERLINK("https://www.ncbi.nlm.nih.gov/nuccore/JX110122","NCBI Nucleotide")</f>
        <v>NCBI Nucleotide</v>
      </c>
    </row>
    <row r="5622" spans="1:27" x14ac:dyDescent="0.35">
      <c r="A5622">
        <v>1007125</v>
      </c>
      <c r="B5622">
        <v>5361</v>
      </c>
      <c r="C5622">
        <v>1</v>
      </c>
      <c r="D5622" s="17" t="s">
        <v>10507</v>
      </c>
      <c r="E5622" s="17"/>
      <c r="F5622" s="17" t="s">
        <v>10780</v>
      </c>
      <c r="G5622" s="17"/>
      <c r="H5622" s="17" t="s">
        <v>10781</v>
      </c>
      <c r="I5622" s="17"/>
      <c r="J5622" s="17" t="s">
        <v>12258</v>
      </c>
      <c r="K5622" s="17"/>
      <c r="L5622" s="17" t="s">
        <v>12259</v>
      </c>
      <c r="M5622" s="17"/>
      <c r="N5622" s="17" t="s">
        <v>12260</v>
      </c>
      <c r="O5622" s="17" t="s">
        <v>12267</v>
      </c>
      <c r="P5622" s="17" t="s">
        <v>12320</v>
      </c>
      <c r="Q5622" s="17"/>
      <c r="R5622" s="25" t="str">
        <f>HYPERLINK("https://ictv.global/taxonomy/taxondetails?taxnode_id=202304230","Iteradensovirus lepidopteran5")</f>
        <v>Iteradensovirus lepidopteran5</v>
      </c>
      <c r="S5622" s="18" t="s">
        <v>30</v>
      </c>
      <c r="T5622" s="18" t="s">
        <v>12342</v>
      </c>
      <c r="U5622" s="18" t="s">
        <v>12343</v>
      </c>
      <c r="V5622" s="18" t="s">
        <v>12344</v>
      </c>
      <c r="W5622" s="18" t="s">
        <v>12345</v>
      </c>
      <c r="X5622" s="18" t="s">
        <v>42</v>
      </c>
      <c r="Y5622" s="18" t="s">
        <v>10535</v>
      </c>
      <c r="Z5622" s="18" t="s">
        <v>10790</v>
      </c>
      <c r="AA5622" s="21" t="str">
        <f>HYPERLINK("https://www.ncbi.nlm.nih.gov/nuccore/HQ613271","NCBI Nucleotide")</f>
        <v>NCBI Nucleotide</v>
      </c>
    </row>
    <row r="5623" spans="1:27" x14ac:dyDescent="0.35">
      <c r="A5623">
        <v>1007126</v>
      </c>
      <c r="B5623">
        <v>5362</v>
      </c>
      <c r="C5623">
        <v>1</v>
      </c>
      <c r="D5623" s="17" t="s">
        <v>10507</v>
      </c>
      <c r="E5623" s="17"/>
      <c r="F5623" s="17" t="s">
        <v>10780</v>
      </c>
      <c r="G5623" s="17"/>
      <c r="H5623" s="17" t="s">
        <v>10781</v>
      </c>
      <c r="I5623" s="17"/>
      <c r="J5623" s="17" t="s">
        <v>12258</v>
      </c>
      <c r="K5623" s="17"/>
      <c r="L5623" s="17" t="s">
        <v>12259</v>
      </c>
      <c r="M5623" s="17"/>
      <c r="N5623" s="17" t="s">
        <v>12260</v>
      </c>
      <c r="O5623" s="17" t="s">
        <v>12267</v>
      </c>
      <c r="P5623" s="17" t="s">
        <v>12346</v>
      </c>
      <c r="Q5623" s="17"/>
      <c r="R5623" s="25" t="str">
        <f>HYPERLINK("https://ictv.global/taxonomy/taxondetails?taxnode_id=202304234","Orthopteran miniambidensovirus 1")</f>
        <v>Orthopteran miniambidensovirus 1</v>
      </c>
      <c r="S5623" s="18" t="s">
        <v>30</v>
      </c>
      <c r="T5623" s="18" t="s">
        <v>12347</v>
      </c>
      <c r="U5623" s="18" t="s">
        <v>12348</v>
      </c>
      <c r="V5623" s="18"/>
      <c r="W5623" s="18" t="s">
        <v>12349</v>
      </c>
      <c r="X5623" s="18" t="s">
        <v>42</v>
      </c>
      <c r="Y5623" s="18" t="s">
        <v>12266</v>
      </c>
      <c r="Z5623" s="18" t="s">
        <v>10790</v>
      </c>
      <c r="AA5623" s="21" t="str">
        <f>HYPERLINK("https://www.ncbi.nlm.nih.gov/nuccore/KF275669","NCBI Nucleotide")</f>
        <v>NCBI Nucleotide</v>
      </c>
    </row>
    <row r="5624" spans="1:27" x14ac:dyDescent="0.35">
      <c r="A5624">
        <v>1007127</v>
      </c>
      <c r="B5624">
        <v>5363</v>
      </c>
      <c r="C5624">
        <v>1</v>
      </c>
      <c r="D5624" s="17" t="s">
        <v>10507</v>
      </c>
      <c r="E5624" s="17"/>
      <c r="F5624" s="17" t="s">
        <v>10780</v>
      </c>
      <c r="G5624" s="17"/>
      <c r="H5624" s="17" t="s">
        <v>10781</v>
      </c>
      <c r="I5624" s="17"/>
      <c r="J5624" s="17" t="s">
        <v>12258</v>
      </c>
      <c r="K5624" s="17"/>
      <c r="L5624" s="17" t="s">
        <v>12259</v>
      </c>
      <c r="M5624" s="17"/>
      <c r="N5624" s="17" t="s">
        <v>12260</v>
      </c>
      <c r="O5624" s="17" t="s">
        <v>12267</v>
      </c>
      <c r="P5624" s="17" t="s">
        <v>12350</v>
      </c>
      <c r="Q5624" s="17"/>
      <c r="R5624" s="25" t="str">
        <f>HYPERLINK("https://ictv.global/taxonomy/taxondetails?taxnode_id=202309268","Muscodensovirus dipteran1")</f>
        <v>Muscodensovirus dipteran1</v>
      </c>
      <c r="S5624" s="18" t="s">
        <v>30</v>
      </c>
      <c r="T5624" s="18" t="s">
        <v>12351</v>
      </c>
      <c r="U5624" s="18" t="s">
        <v>12352</v>
      </c>
      <c r="V5624" s="18" t="s">
        <v>12353</v>
      </c>
      <c r="W5624" s="18" t="s">
        <v>12354</v>
      </c>
      <c r="X5624" s="18" t="s">
        <v>35</v>
      </c>
      <c r="Y5624" s="18" t="s">
        <v>10535</v>
      </c>
      <c r="Z5624" s="18" t="s">
        <v>10790</v>
      </c>
      <c r="AA5624" s="21" t="str">
        <f>HYPERLINK("https://www.ncbi.nlm.nih.gov/nuccore/MK643151","NCBI Nucleotide")</f>
        <v>NCBI Nucleotide</v>
      </c>
    </row>
    <row r="5625" spans="1:27" x14ac:dyDescent="0.35">
      <c r="A5625">
        <v>1007128</v>
      </c>
      <c r="B5625">
        <v>5364</v>
      </c>
      <c r="C5625">
        <v>1</v>
      </c>
      <c r="D5625" s="17" t="s">
        <v>10507</v>
      </c>
      <c r="E5625" s="17"/>
      <c r="F5625" s="17" t="s">
        <v>10780</v>
      </c>
      <c r="G5625" s="17"/>
      <c r="H5625" s="17" t="s">
        <v>10781</v>
      </c>
      <c r="I5625" s="17"/>
      <c r="J5625" s="17" t="s">
        <v>12258</v>
      </c>
      <c r="K5625" s="17"/>
      <c r="L5625" s="17" t="s">
        <v>12259</v>
      </c>
      <c r="M5625" s="17"/>
      <c r="N5625" s="17" t="s">
        <v>12260</v>
      </c>
      <c r="O5625" s="17" t="s">
        <v>12267</v>
      </c>
      <c r="P5625" s="17" t="s">
        <v>12350</v>
      </c>
      <c r="Q5625" s="17"/>
      <c r="R5625" s="25" t="str">
        <f>HYPERLINK("https://ictv.global/taxonomy/taxondetails?taxnode_id=202314054","Muscodensovirus dipteran2")</f>
        <v>Muscodensovirus dipteran2</v>
      </c>
      <c r="S5625" s="18" t="s">
        <v>30</v>
      </c>
      <c r="T5625" s="18" t="s">
        <v>12355</v>
      </c>
      <c r="U5625" s="18" t="s">
        <v>12356</v>
      </c>
      <c r="V5625" s="18" t="s">
        <v>12357</v>
      </c>
      <c r="W5625" s="18" t="s">
        <v>12358</v>
      </c>
      <c r="X5625" s="18" t="s">
        <v>42</v>
      </c>
      <c r="Y5625" s="18" t="s">
        <v>10535</v>
      </c>
      <c r="Z5625" s="18" t="s">
        <v>10790</v>
      </c>
      <c r="AA5625" s="21" t="str">
        <f>HYPERLINK("https://www.ncbi.nlm.nih.gov/nuccore/MT498824","NCBI Nucleotide")</f>
        <v>NCBI Nucleotide</v>
      </c>
    </row>
    <row r="5626" spans="1:27" x14ac:dyDescent="0.35">
      <c r="A5626">
        <v>1007129</v>
      </c>
      <c r="B5626">
        <v>5365</v>
      </c>
      <c r="C5626">
        <v>1</v>
      </c>
      <c r="D5626" s="17" t="s">
        <v>10507</v>
      </c>
      <c r="E5626" s="17"/>
      <c r="F5626" s="17" t="s">
        <v>10780</v>
      </c>
      <c r="G5626" s="17"/>
      <c r="H5626" s="17" t="s">
        <v>10781</v>
      </c>
      <c r="I5626" s="17"/>
      <c r="J5626" s="17" t="s">
        <v>12258</v>
      </c>
      <c r="K5626" s="17"/>
      <c r="L5626" s="17" t="s">
        <v>12259</v>
      </c>
      <c r="M5626" s="17"/>
      <c r="N5626" s="17" t="s">
        <v>12260</v>
      </c>
      <c r="O5626" s="17" t="s">
        <v>12267</v>
      </c>
      <c r="P5626" s="17" t="s">
        <v>12359</v>
      </c>
      <c r="Q5626" s="17"/>
      <c r="R5626" s="25" t="str">
        <f>HYPERLINK("https://ictv.global/taxonomy/taxondetails?taxnode_id=202304210","Pefuambidensovirus blattodean1")</f>
        <v>Pefuambidensovirus blattodean1</v>
      </c>
      <c r="S5626" s="18" t="s">
        <v>30</v>
      </c>
      <c r="T5626" s="18" t="s">
        <v>12360</v>
      </c>
      <c r="U5626" s="18" t="s">
        <v>12361</v>
      </c>
      <c r="V5626" s="18"/>
      <c r="W5626" s="18" t="s">
        <v>12362</v>
      </c>
      <c r="X5626" s="18" t="s">
        <v>42</v>
      </c>
      <c r="Y5626" s="18" t="s">
        <v>12266</v>
      </c>
      <c r="Z5626" s="18" t="s">
        <v>10790</v>
      </c>
      <c r="AA5626" s="21" t="str">
        <f>HYPERLINK("https://www.ncbi.nlm.nih.gov/nuccore/AF192260","NCBI Nucleotide")</f>
        <v>NCBI Nucleotide</v>
      </c>
    </row>
    <row r="5627" spans="1:27" x14ac:dyDescent="0.35">
      <c r="A5627">
        <v>1007130</v>
      </c>
      <c r="B5627">
        <v>5366</v>
      </c>
      <c r="C5627">
        <v>1</v>
      </c>
      <c r="D5627" s="17" t="s">
        <v>10507</v>
      </c>
      <c r="E5627" s="17"/>
      <c r="F5627" s="17" t="s">
        <v>10780</v>
      </c>
      <c r="G5627" s="17"/>
      <c r="H5627" s="17" t="s">
        <v>10781</v>
      </c>
      <c r="I5627" s="17"/>
      <c r="J5627" s="17" t="s">
        <v>12258</v>
      </c>
      <c r="K5627" s="17"/>
      <c r="L5627" s="17" t="s">
        <v>12259</v>
      </c>
      <c r="M5627" s="17"/>
      <c r="N5627" s="17" t="s">
        <v>12260</v>
      </c>
      <c r="O5627" s="17" t="s">
        <v>12267</v>
      </c>
      <c r="P5627" s="17" t="s">
        <v>12359</v>
      </c>
      <c r="Q5627" s="17"/>
      <c r="R5627" s="25" t="str">
        <f>HYPERLINK("https://ictv.global/taxonomy/taxondetails?taxnode_id=202314055","Pefuambidensovirus unionid1")</f>
        <v>Pefuambidensovirus unionid1</v>
      </c>
      <c r="S5627" s="18" t="s">
        <v>30</v>
      </c>
      <c r="T5627" s="18" t="s">
        <v>12363</v>
      </c>
      <c r="U5627" s="18" t="s">
        <v>12364</v>
      </c>
      <c r="V5627" s="18" t="s">
        <v>12365</v>
      </c>
      <c r="W5627" s="18" t="s">
        <v>12366</v>
      </c>
      <c r="X5627" s="18" t="s">
        <v>42</v>
      </c>
      <c r="Y5627" s="18" t="s">
        <v>12266</v>
      </c>
      <c r="Z5627" s="18" t="s">
        <v>10790</v>
      </c>
      <c r="AA5627" s="21" t="str">
        <f>HYPERLINK("https://www.ncbi.nlm.nih.gov/nuccore/MT341473","NCBI Nucleotide")</f>
        <v>NCBI Nucleotide</v>
      </c>
    </row>
    <row r="5628" spans="1:27" x14ac:dyDescent="0.35">
      <c r="A5628">
        <v>1007131</v>
      </c>
      <c r="B5628">
        <v>5367</v>
      </c>
      <c r="C5628">
        <v>1</v>
      </c>
      <c r="D5628" s="17" t="s">
        <v>10507</v>
      </c>
      <c r="E5628" s="17"/>
      <c r="F5628" s="17" t="s">
        <v>10780</v>
      </c>
      <c r="G5628" s="17"/>
      <c r="H5628" s="17" t="s">
        <v>10781</v>
      </c>
      <c r="I5628" s="17"/>
      <c r="J5628" s="17" t="s">
        <v>12258</v>
      </c>
      <c r="K5628" s="17"/>
      <c r="L5628" s="17" t="s">
        <v>12259</v>
      </c>
      <c r="M5628" s="17"/>
      <c r="N5628" s="17" t="s">
        <v>12260</v>
      </c>
      <c r="O5628" s="17" t="s">
        <v>12267</v>
      </c>
      <c r="P5628" s="17" t="s">
        <v>12367</v>
      </c>
      <c r="Q5628" s="17"/>
      <c r="R5628" s="25" t="str">
        <f>HYPERLINK("https://ictv.global/taxonomy/taxondetails?taxnode_id=202304213","Protoambidensovirus dipteran1")</f>
        <v>Protoambidensovirus dipteran1</v>
      </c>
      <c r="S5628" s="18" t="s">
        <v>30</v>
      </c>
      <c r="T5628" s="18" t="s">
        <v>12368</v>
      </c>
      <c r="U5628" s="18" t="s">
        <v>12369</v>
      </c>
      <c r="V5628" s="18"/>
      <c r="W5628" s="18" t="s">
        <v>12370</v>
      </c>
      <c r="X5628" s="18" t="s">
        <v>42</v>
      </c>
      <c r="Y5628" s="18" t="s">
        <v>12266</v>
      </c>
      <c r="Z5628" s="18" t="s">
        <v>10790</v>
      </c>
      <c r="AA5628" s="21" t="str">
        <f>HYPERLINK("https://www.ncbi.nlm.nih.gov/nuccore/FJ810126","NCBI Nucleotide")</f>
        <v>NCBI Nucleotide</v>
      </c>
    </row>
    <row r="5629" spans="1:27" x14ac:dyDescent="0.35">
      <c r="A5629">
        <v>1007132</v>
      </c>
      <c r="B5629">
        <v>5368</v>
      </c>
      <c r="C5629">
        <v>1</v>
      </c>
      <c r="D5629" s="17" t="s">
        <v>10507</v>
      </c>
      <c r="E5629" s="17"/>
      <c r="F5629" s="17" t="s">
        <v>10780</v>
      </c>
      <c r="G5629" s="17"/>
      <c r="H5629" s="17" t="s">
        <v>10781</v>
      </c>
      <c r="I5629" s="17"/>
      <c r="J5629" s="17" t="s">
        <v>12258</v>
      </c>
      <c r="K5629" s="17"/>
      <c r="L5629" s="17" t="s">
        <v>12259</v>
      </c>
      <c r="M5629" s="17"/>
      <c r="N5629" s="17" t="s">
        <v>12260</v>
      </c>
      <c r="O5629" s="17" t="s">
        <v>12267</v>
      </c>
      <c r="P5629" s="17" t="s">
        <v>12367</v>
      </c>
      <c r="Q5629" s="17"/>
      <c r="R5629" s="25" t="str">
        <f>HYPERLINK("https://ictv.global/taxonomy/taxondetails?taxnode_id=202314056","Protoambidensovirus incertum1")</f>
        <v>Protoambidensovirus incertum1</v>
      </c>
      <c r="S5629" s="18" t="s">
        <v>30</v>
      </c>
      <c r="T5629" s="18" t="s">
        <v>12371</v>
      </c>
      <c r="U5629" s="18" t="s">
        <v>12372</v>
      </c>
      <c r="V5629" s="18" t="s">
        <v>12373</v>
      </c>
      <c r="W5629" s="18" t="s">
        <v>12374</v>
      </c>
      <c r="X5629" s="18" t="s">
        <v>42</v>
      </c>
      <c r="Y5629" s="18" t="s">
        <v>12266</v>
      </c>
      <c r="Z5629" s="18" t="s">
        <v>10790</v>
      </c>
      <c r="AA5629" s="21" t="str">
        <f>HYPERLINK("https://www.ncbi.nlm.nih.gov/nuccore/MW306771","NCBI Nucleotide")</f>
        <v>NCBI Nucleotide</v>
      </c>
    </row>
    <row r="5630" spans="1:27" x14ac:dyDescent="0.35">
      <c r="A5630">
        <v>1007133</v>
      </c>
      <c r="B5630">
        <v>5369</v>
      </c>
      <c r="C5630">
        <v>1</v>
      </c>
      <c r="D5630" s="17" t="s">
        <v>10507</v>
      </c>
      <c r="E5630" s="17"/>
      <c r="F5630" s="17" t="s">
        <v>10780</v>
      </c>
      <c r="G5630" s="17"/>
      <c r="H5630" s="17" t="s">
        <v>10781</v>
      </c>
      <c r="I5630" s="17"/>
      <c r="J5630" s="17" t="s">
        <v>12258</v>
      </c>
      <c r="K5630" s="17"/>
      <c r="L5630" s="17" t="s">
        <v>12259</v>
      </c>
      <c r="M5630" s="17"/>
      <c r="N5630" s="17" t="s">
        <v>12260</v>
      </c>
      <c r="O5630" s="17" t="s">
        <v>12267</v>
      </c>
      <c r="P5630" s="17" t="s">
        <v>12367</v>
      </c>
      <c r="Q5630" s="17"/>
      <c r="R5630" s="25" t="str">
        <f>HYPERLINK("https://ictv.global/taxonomy/taxondetails?taxnode_id=202304218","Protoambidensovirus lepidopteran1")</f>
        <v>Protoambidensovirus lepidopteran1</v>
      </c>
      <c r="S5630" s="18" t="s">
        <v>30</v>
      </c>
      <c r="T5630" s="18" t="s">
        <v>12375</v>
      </c>
      <c r="U5630" s="18" t="s">
        <v>12376</v>
      </c>
      <c r="V5630" s="18"/>
      <c r="W5630" s="18" t="s">
        <v>12377</v>
      </c>
      <c r="X5630" s="18" t="s">
        <v>42</v>
      </c>
      <c r="Y5630" s="18" t="s">
        <v>12266</v>
      </c>
      <c r="Z5630" s="18" t="s">
        <v>10790</v>
      </c>
      <c r="AA5630" s="21" t="str">
        <f>HYPERLINK("https://www.ncbi.nlm.nih.gov/nuccore/L32896","NCBI Nucleotide")</f>
        <v>NCBI Nucleotide</v>
      </c>
    </row>
    <row r="5631" spans="1:27" x14ac:dyDescent="0.35">
      <c r="A5631">
        <v>1007134</v>
      </c>
      <c r="B5631">
        <v>5370</v>
      </c>
      <c r="C5631">
        <v>1</v>
      </c>
      <c r="D5631" s="17" t="s">
        <v>10507</v>
      </c>
      <c r="E5631" s="17"/>
      <c r="F5631" s="17" t="s">
        <v>10780</v>
      </c>
      <c r="G5631" s="17"/>
      <c r="H5631" s="17" t="s">
        <v>10781</v>
      </c>
      <c r="I5631" s="17"/>
      <c r="J5631" s="17" t="s">
        <v>12258</v>
      </c>
      <c r="K5631" s="17"/>
      <c r="L5631" s="17" t="s">
        <v>12259</v>
      </c>
      <c r="M5631" s="17"/>
      <c r="N5631" s="17" t="s">
        <v>12260</v>
      </c>
      <c r="O5631" s="17" t="s">
        <v>12267</v>
      </c>
      <c r="P5631" s="17" t="s">
        <v>12378</v>
      </c>
      <c r="Q5631" s="17"/>
      <c r="R5631" s="25" t="str">
        <f>HYPERLINK("https://ictv.global/taxonomy/taxondetails?taxnode_id=202304214","Scindoambidensovirus hemipteran1")</f>
        <v>Scindoambidensovirus hemipteran1</v>
      </c>
      <c r="S5631" s="18" t="s">
        <v>30</v>
      </c>
      <c r="T5631" s="18" t="s">
        <v>12379</v>
      </c>
      <c r="U5631" s="18" t="s">
        <v>12380</v>
      </c>
      <c r="V5631" s="18"/>
      <c r="W5631" s="18" t="s">
        <v>12381</v>
      </c>
      <c r="X5631" s="18" t="s">
        <v>42</v>
      </c>
      <c r="Y5631" s="18" t="s">
        <v>12266</v>
      </c>
      <c r="Z5631" s="18" t="s">
        <v>10790</v>
      </c>
      <c r="AA5631" s="21" t="str">
        <f>HYPERLINK("https://www.ncbi.nlm.nih.gov/nuccore/AY032882","NCBI Nucleotide")</f>
        <v>NCBI Nucleotide</v>
      </c>
    </row>
    <row r="5632" spans="1:27" x14ac:dyDescent="0.35">
      <c r="A5632">
        <v>1007135</v>
      </c>
      <c r="B5632">
        <v>5371</v>
      </c>
      <c r="C5632">
        <v>1</v>
      </c>
      <c r="D5632" s="17" t="s">
        <v>10507</v>
      </c>
      <c r="E5632" s="17"/>
      <c r="F5632" s="17" t="s">
        <v>10780</v>
      </c>
      <c r="G5632" s="17"/>
      <c r="H5632" s="17" t="s">
        <v>10781</v>
      </c>
      <c r="I5632" s="17"/>
      <c r="J5632" s="17" t="s">
        <v>12258</v>
      </c>
      <c r="K5632" s="17"/>
      <c r="L5632" s="17" t="s">
        <v>12259</v>
      </c>
      <c r="M5632" s="17"/>
      <c r="N5632" s="17" t="s">
        <v>12260</v>
      </c>
      <c r="O5632" s="17" t="s">
        <v>12267</v>
      </c>
      <c r="P5632" s="17" t="s">
        <v>12378</v>
      </c>
      <c r="Q5632" s="17"/>
      <c r="R5632" s="25" t="str">
        <f>HYPERLINK("https://ictv.global/taxonomy/taxondetails?taxnode_id=202304217","Scindoambidensovirus hymenopteran1")</f>
        <v>Scindoambidensovirus hymenopteran1</v>
      </c>
      <c r="S5632" s="18" t="s">
        <v>30</v>
      </c>
      <c r="T5632" s="18" t="s">
        <v>12382</v>
      </c>
      <c r="U5632" s="18" t="s">
        <v>12383</v>
      </c>
      <c r="V5632" s="18"/>
      <c r="W5632" s="18" t="s">
        <v>12384</v>
      </c>
      <c r="X5632" s="18" t="s">
        <v>42</v>
      </c>
      <c r="Y5632" s="18" t="s">
        <v>12266</v>
      </c>
      <c r="Z5632" s="18" t="s">
        <v>10790</v>
      </c>
      <c r="AA5632" s="21" t="str">
        <f>HYPERLINK("https://www.ncbi.nlm.nih.gov/nuccore/KC991097","NCBI Nucleotide")</f>
        <v>NCBI Nucleotide</v>
      </c>
    </row>
    <row r="5633" spans="1:27" x14ac:dyDescent="0.35">
      <c r="A5633">
        <v>1007136</v>
      </c>
      <c r="B5633">
        <v>5372</v>
      </c>
      <c r="C5633">
        <v>1</v>
      </c>
      <c r="D5633" s="17" t="s">
        <v>10507</v>
      </c>
      <c r="E5633" s="17"/>
      <c r="F5633" s="17" t="s">
        <v>10780</v>
      </c>
      <c r="G5633" s="17"/>
      <c r="H5633" s="17" t="s">
        <v>10781</v>
      </c>
      <c r="I5633" s="17"/>
      <c r="J5633" s="17" t="s">
        <v>12258</v>
      </c>
      <c r="K5633" s="17"/>
      <c r="L5633" s="17" t="s">
        <v>12259</v>
      </c>
      <c r="M5633" s="17"/>
      <c r="N5633" s="17" t="s">
        <v>12260</v>
      </c>
      <c r="O5633" s="17" t="s">
        <v>12267</v>
      </c>
      <c r="P5633" s="17" t="s">
        <v>12378</v>
      </c>
      <c r="Q5633" s="17"/>
      <c r="R5633" s="25" t="str">
        <f>HYPERLINK("https://ictv.global/taxonomy/taxondetails?taxnode_id=202314057","Scindoambidensovirus incertum1")</f>
        <v>Scindoambidensovirus incertum1</v>
      </c>
      <c r="S5633" s="18" t="s">
        <v>30</v>
      </c>
      <c r="T5633" s="18" t="s">
        <v>12385</v>
      </c>
      <c r="U5633" s="18" t="s">
        <v>12386</v>
      </c>
      <c r="V5633" s="18" t="s">
        <v>12387</v>
      </c>
      <c r="W5633" s="18" t="s">
        <v>12388</v>
      </c>
      <c r="X5633" s="18" t="s">
        <v>42</v>
      </c>
      <c r="Y5633" s="18" t="s">
        <v>12266</v>
      </c>
      <c r="Z5633" s="18" t="s">
        <v>10790</v>
      </c>
      <c r="AA5633" s="21" t="str">
        <f>HYPERLINK("https://www.ncbi.nlm.nih.gov/nuccore/MT734804","NCBI Nucleotide")</f>
        <v>NCBI Nucleotide</v>
      </c>
    </row>
    <row r="5634" spans="1:27" x14ac:dyDescent="0.35">
      <c r="A5634">
        <v>1007137</v>
      </c>
      <c r="B5634">
        <v>5373</v>
      </c>
      <c r="C5634">
        <v>1</v>
      </c>
      <c r="D5634" s="17" t="s">
        <v>10507</v>
      </c>
      <c r="E5634" s="17"/>
      <c r="F5634" s="17" t="s">
        <v>10780</v>
      </c>
      <c r="G5634" s="17"/>
      <c r="H5634" s="17" t="s">
        <v>10781</v>
      </c>
      <c r="I5634" s="17"/>
      <c r="J5634" s="17" t="s">
        <v>12258</v>
      </c>
      <c r="K5634" s="17"/>
      <c r="L5634" s="17" t="s">
        <v>12259</v>
      </c>
      <c r="M5634" s="17"/>
      <c r="N5634" s="17" t="s">
        <v>12260</v>
      </c>
      <c r="O5634" s="17" t="s">
        <v>12267</v>
      </c>
      <c r="P5634" s="17" t="s">
        <v>12378</v>
      </c>
      <c r="Q5634" s="17"/>
      <c r="R5634" s="25" t="str">
        <f>HYPERLINK("https://ictv.global/taxonomy/taxondetails?taxnode_id=202314058","Scindoambidensovirus incertum2")</f>
        <v>Scindoambidensovirus incertum2</v>
      </c>
      <c r="S5634" s="18" t="s">
        <v>30</v>
      </c>
      <c r="T5634" s="18" t="s">
        <v>12389</v>
      </c>
      <c r="U5634" s="18" t="s">
        <v>12390</v>
      </c>
      <c r="V5634" s="18" t="s">
        <v>12391</v>
      </c>
      <c r="W5634" s="18" t="s">
        <v>12392</v>
      </c>
      <c r="X5634" s="18" t="s">
        <v>42</v>
      </c>
      <c r="Y5634" s="18" t="s">
        <v>12266</v>
      </c>
      <c r="Z5634" s="18" t="s">
        <v>10790</v>
      </c>
      <c r="AA5634" s="21" t="str">
        <f>HYPERLINK("https://www.ncbi.nlm.nih.gov/nuccore/MT734805","NCBI Nucleotide")</f>
        <v>NCBI Nucleotide</v>
      </c>
    </row>
    <row r="5635" spans="1:27" x14ac:dyDescent="0.35">
      <c r="A5635">
        <v>1007138</v>
      </c>
      <c r="B5635">
        <v>5374</v>
      </c>
      <c r="C5635">
        <v>1</v>
      </c>
      <c r="D5635" s="17" t="s">
        <v>10507</v>
      </c>
      <c r="E5635" s="17"/>
      <c r="F5635" s="17" t="s">
        <v>10780</v>
      </c>
      <c r="G5635" s="17"/>
      <c r="H5635" s="17" t="s">
        <v>10781</v>
      </c>
      <c r="I5635" s="17"/>
      <c r="J5635" s="17" t="s">
        <v>12258</v>
      </c>
      <c r="K5635" s="17"/>
      <c r="L5635" s="17" t="s">
        <v>12259</v>
      </c>
      <c r="M5635" s="17"/>
      <c r="N5635" s="17" t="s">
        <v>12260</v>
      </c>
      <c r="O5635" s="17" t="s">
        <v>12267</v>
      </c>
      <c r="P5635" s="17" t="s">
        <v>12378</v>
      </c>
      <c r="Q5635" s="17"/>
      <c r="R5635" s="25" t="str">
        <f>HYPERLINK("https://ictv.global/taxonomy/taxondetails?taxnode_id=202304219","Scindoambidensovirus orthopteran1")</f>
        <v>Scindoambidensovirus orthopteran1</v>
      </c>
      <c r="S5635" s="18" t="s">
        <v>30</v>
      </c>
      <c r="T5635" s="18" t="s">
        <v>12393</v>
      </c>
      <c r="U5635" s="18" t="s">
        <v>12394</v>
      </c>
      <c r="V5635" s="18"/>
      <c r="W5635" s="18" t="s">
        <v>12395</v>
      </c>
      <c r="X5635" s="18" t="s">
        <v>42</v>
      </c>
      <c r="Y5635" s="18" t="s">
        <v>12266</v>
      </c>
      <c r="Z5635" s="18" t="s">
        <v>10790</v>
      </c>
      <c r="AA5635" s="21" t="str">
        <f>HYPERLINK("https://www.ncbi.nlm.nih.gov/nuccore/HQ827781","NCBI Nucleotide")</f>
        <v>NCBI Nucleotide</v>
      </c>
    </row>
    <row r="5636" spans="1:27" x14ac:dyDescent="0.35">
      <c r="A5636">
        <v>1007139</v>
      </c>
      <c r="B5636">
        <v>5375</v>
      </c>
      <c r="C5636">
        <v>1</v>
      </c>
      <c r="D5636" s="17" t="s">
        <v>10507</v>
      </c>
      <c r="E5636" s="17"/>
      <c r="F5636" s="17" t="s">
        <v>10780</v>
      </c>
      <c r="G5636" s="17"/>
      <c r="H5636" s="17" t="s">
        <v>10781</v>
      </c>
      <c r="I5636" s="17"/>
      <c r="J5636" s="17" t="s">
        <v>12258</v>
      </c>
      <c r="K5636" s="17"/>
      <c r="L5636" s="17" t="s">
        <v>12259</v>
      </c>
      <c r="M5636" s="17"/>
      <c r="N5636" s="17" t="s">
        <v>12260</v>
      </c>
      <c r="O5636" s="17" t="s">
        <v>12267</v>
      </c>
      <c r="P5636" s="17" t="s">
        <v>12396</v>
      </c>
      <c r="Q5636" s="17"/>
      <c r="R5636" s="25" t="str">
        <f>HYPERLINK("https://ictv.global/taxonomy/taxondetails?taxnode_id=202314059","Tetuambidensovirus incertum1")</f>
        <v>Tetuambidensovirus incertum1</v>
      </c>
      <c r="S5636" s="18" t="s">
        <v>30</v>
      </c>
      <c r="T5636" s="18" t="s">
        <v>12397</v>
      </c>
      <c r="U5636" s="18" t="s">
        <v>12398</v>
      </c>
      <c r="V5636" s="18" t="s">
        <v>12399</v>
      </c>
      <c r="W5636" s="18" t="s">
        <v>12400</v>
      </c>
      <c r="X5636" s="18" t="s">
        <v>42</v>
      </c>
      <c r="Y5636" s="18" t="s">
        <v>12266</v>
      </c>
      <c r="Z5636" s="18" t="s">
        <v>10790</v>
      </c>
      <c r="AA5636" s="21" t="str">
        <f>HYPERLINK("https://www.ncbi.nlm.nih.gov/nuccore/MT734806","NCBI Nucleotide")</f>
        <v>NCBI Nucleotide</v>
      </c>
    </row>
    <row r="5637" spans="1:27" x14ac:dyDescent="0.35">
      <c r="A5637">
        <v>1007140</v>
      </c>
      <c r="B5637">
        <v>5376</v>
      </c>
      <c r="C5637">
        <v>1</v>
      </c>
      <c r="D5637" s="17" t="s">
        <v>10507</v>
      </c>
      <c r="E5637" s="17"/>
      <c r="F5637" s="17" t="s">
        <v>10780</v>
      </c>
      <c r="G5637" s="17"/>
      <c r="H5637" s="17" t="s">
        <v>10781</v>
      </c>
      <c r="I5637" s="17"/>
      <c r="J5637" s="17" t="s">
        <v>12258</v>
      </c>
      <c r="K5637" s="17"/>
      <c r="L5637" s="17" t="s">
        <v>12259</v>
      </c>
      <c r="M5637" s="17"/>
      <c r="N5637" s="17" t="s">
        <v>12260</v>
      </c>
      <c r="O5637" s="17" t="s">
        <v>12267</v>
      </c>
      <c r="P5637" s="17" t="s">
        <v>12396</v>
      </c>
      <c r="Q5637" s="17"/>
      <c r="R5637" s="25" t="str">
        <f>HYPERLINK("https://ictv.global/taxonomy/taxondetails?taxnode_id=202314060","Tetuambidensovirus incertum2")</f>
        <v>Tetuambidensovirus incertum2</v>
      </c>
      <c r="S5637" s="18" t="s">
        <v>30</v>
      </c>
      <c r="T5637" s="18" t="s">
        <v>12401</v>
      </c>
      <c r="U5637" s="18" t="s">
        <v>12402</v>
      </c>
      <c r="V5637" s="18" t="s">
        <v>12403</v>
      </c>
      <c r="W5637" s="18" t="s">
        <v>12404</v>
      </c>
      <c r="X5637" s="18" t="s">
        <v>35</v>
      </c>
      <c r="Y5637" s="18" t="s">
        <v>12266</v>
      </c>
      <c r="Z5637" s="18" t="s">
        <v>10790</v>
      </c>
      <c r="AA5637" s="21" t="str">
        <f>HYPERLINK("https://www.ncbi.nlm.nih.gov/nuccore/KY214444","NCBI Nucleotide")</f>
        <v>NCBI Nucleotide</v>
      </c>
    </row>
    <row r="5638" spans="1:27" x14ac:dyDescent="0.35">
      <c r="A5638">
        <v>1007141</v>
      </c>
      <c r="B5638">
        <v>5377</v>
      </c>
      <c r="C5638">
        <v>1</v>
      </c>
      <c r="D5638" s="17" t="s">
        <v>10507</v>
      </c>
      <c r="E5638" s="17"/>
      <c r="F5638" s="17" t="s">
        <v>10780</v>
      </c>
      <c r="G5638" s="17"/>
      <c r="H5638" s="17" t="s">
        <v>10781</v>
      </c>
      <c r="I5638" s="17"/>
      <c r="J5638" s="17" t="s">
        <v>12258</v>
      </c>
      <c r="K5638" s="17"/>
      <c r="L5638" s="17" t="s">
        <v>12259</v>
      </c>
      <c r="M5638" s="17"/>
      <c r="N5638" s="17" t="s">
        <v>12260</v>
      </c>
      <c r="O5638" s="17" t="s">
        <v>12267</v>
      </c>
      <c r="P5638" s="17" t="s">
        <v>12396</v>
      </c>
      <c r="Q5638" s="17"/>
      <c r="R5638" s="25" t="str">
        <f>HYPERLINK("https://ictv.global/taxonomy/taxondetails?taxnode_id=202309270","Tetuambidensovirus trombidiform1")</f>
        <v>Tetuambidensovirus trombidiform1</v>
      </c>
      <c r="S5638" s="18" t="s">
        <v>30</v>
      </c>
      <c r="T5638" s="18" t="s">
        <v>12405</v>
      </c>
      <c r="U5638" s="18" t="s">
        <v>12406</v>
      </c>
      <c r="V5638" s="18" t="s">
        <v>12407</v>
      </c>
      <c r="W5638" s="18" t="s">
        <v>12408</v>
      </c>
      <c r="X5638" s="18" t="s">
        <v>35</v>
      </c>
      <c r="Y5638" s="18" t="s">
        <v>12266</v>
      </c>
      <c r="Z5638" s="18" t="s">
        <v>10790</v>
      </c>
      <c r="AA5638" s="21" t="str">
        <f>HYPERLINK("https://www.ncbi.nlm.nih.gov/nuccore/MK543949","NCBI Nucleotide")</f>
        <v>NCBI Nucleotide</v>
      </c>
    </row>
    <row r="5639" spans="1:27" x14ac:dyDescent="0.35">
      <c r="A5639">
        <v>1007142</v>
      </c>
      <c r="B5639">
        <v>5378</v>
      </c>
      <c r="C5639">
        <v>1</v>
      </c>
      <c r="D5639" s="17" t="s">
        <v>10507</v>
      </c>
      <c r="E5639" s="17"/>
      <c r="F5639" s="17" t="s">
        <v>10780</v>
      </c>
      <c r="G5639" s="17"/>
      <c r="H5639" s="17" t="s">
        <v>10781</v>
      </c>
      <c r="I5639" s="17"/>
      <c r="J5639" s="17" t="s">
        <v>12258</v>
      </c>
      <c r="K5639" s="17"/>
      <c r="L5639" s="17" t="s">
        <v>12259</v>
      </c>
      <c r="M5639" s="17"/>
      <c r="N5639" s="17" t="s">
        <v>12260</v>
      </c>
      <c r="O5639" s="17" t="s">
        <v>12409</v>
      </c>
      <c r="P5639" s="17" t="s">
        <v>12410</v>
      </c>
      <c r="Q5639" s="17"/>
      <c r="R5639" s="25" t="str">
        <f>HYPERLINK("https://ictv.global/taxonomy/taxondetails?taxnode_id=202304221","Brevihamaparvovirus dipteran1")</f>
        <v>Brevihamaparvovirus dipteran1</v>
      </c>
      <c r="S5639" s="18" t="s">
        <v>30</v>
      </c>
      <c r="T5639" s="18" t="s">
        <v>12411</v>
      </c>
      <c r="U5639" s="18" t="s">
        <v>12412</v>
      </c>
      <c r="V5639" s="18"/>
      <c r="W5639" s="18" t="s">
        <v>12413</v>
      </c>
      <c r="X5639" s="18" t="s">
        <v>42</v>
      </c>
      <c r="Y5639" s="18" t="s">
        <v>10535</v>
      </c>
      <c r="Z5639" s="18" t="s">
        <v>10790</v>
      </c>
      <c r="AA5639" s="21" t="str">
        <f>HYPERLINK("https://www.ncbi.nlm.nih.gov/nuccore/EU233812","NCBI Nucleotide")</f>
        <v>NCBI Nucleotide</v>
      </c>
    </row>
    <row r="5640" spans="1:27" x14ac:dyDescent="0.35">
      <c r="A5640">
        <v>1007143</v>
      </c>
      <c r="B5640">
        <v>5379</v>
      </c>
      <c r="C5640">
        <v>1</v>
      </c>
      <c r="D5640" s="17" t="s">
        <v>10507</v>
      </c>
      <c r="E5640" s="17"/>
      <c r="F5640" s="17" t="s">
        <v>10780</v>
      </c>
      <c r="G5640" s="17"/>
      <c r="H5640" s="17" t="s">
        <v>10781</v>
      </c>
      <c r="I5640" s="17"/>
      <c r="J5640" s="17" t="s">
        <v>12258</v>
      </c>
      <c r="K5640" s="17"/>
      <c r="L5640" s="17" t="s">
        <v>12259</v>
      </c>
      <c r="M5640" s="17"/>
      <c r="N5640" s="17" t="s">
        <v>12260</v>
      </c>
      <c r="O5640" s="17" t="s">
        <v>12409</v>
      </c>
      <c r="P5640" s="17" t="s">
        <v>12410</v>
      </c>
      <c r="Q5640" s="17"/>
      <c r="R5640" s="25" t="str">
        <f>HYPERLINK("https://ictv.global/taxonomy/taxondetails?taxnode_id=202304222","Brevihamaparvovirus dipteran2")</f>
        <v>Brevihamaparvovirus dipteran2</v>
      </c>
      <c r="S5640" s="18" t="s">
        <v>30</v>
      </c>
      <c r="T5640" s="18" t="s">
        <v>12414</v>
      </c>
      <c r="U5640" s="18" t="s">
        <v>12415</v>
      </c>
      <c r="V5640" s="18"/>
      <c r="W5640" s="18" t="s">
        <v>12416</v>
      </c>
      <c r="X5640" s="18" t="s">
        <v>42</v>
      </c>
      <c r="Y5640" s="18" t="s">
        <v>10535</v>
      </c>
      <c r="Z5640" s="18" t="s">
        <v>10790</v>
      </c>
      <c r="AA5640" s="21" t="str">
        <f>HYPERLINK("https://www.ncbi.nlm.nih.gov/nuccore/X74945","NCBI Nucleotide")</f>
        <v>NCBI Nucleotide</v>
      </c>
    </row>
    <row r="5641" spans="1:27" x14ac:dyDescent="0.35">
      <c r="A5641">
        <v>1027919</v>
      </c>
      <c r="B5641">
        <v>5380</v>
      </c>
      <c r="C5641">
        <v>1</v>
      </c>
      <c r="D5641" s="17" t="s">
        <v>10507</v>
      </c>
      <c r="E5641" s="17"/>
      <c r="F5641" s="17" t="s">
        <v>10780</v>
      </c>
      <c r="G5641" s="17"/>
      <c r="H5641" s="17" t="s">
        <v>10781</v>
      </c>
      <c r="I5641" s="17"/>
      <c r="J5641" s="17" t="s">
        <v>12258</v>
      </c>
      <c r="K5641" s="17"/>
      <c r="L5641" s="17" t="s">
        <v>12259</v>
      </c>
      <c r="M5641" s="17"/>
      <c r="N5641" s="17" t="s">
        <v>12260</v>
      </c>
      <c r="O5641" s="17" t="s">
        <v>12409</v>
      </c>
      <c r="P5641" s="17" t="s">
        <v>12410</v>
      </c>
      <c r="Q5641" s="17"/>
      <c r="R5641" s="25" t="str">
        <f>HYPERLINK("https://ictv.global/taxonomy/taxondetails?taxnode_id=202317842","Brevihamaparvovirus orthopteran1")</f>
        <v>Brevihamaparvovirus orthopteran1</v>
      </c>
      <c r="S5641" s="18" t="s">
        <v>30</v>
      </c>
      <c r="T5641" s="18" t="s">
        <v>40104</v>
      </c>
      <c r="U5641" s="18" t="s">
        <v>40105</v>
      </c>
      <c r="V5641" s="18" t="s">
        <v>40106</v>
      </c>
      <c r="W5641" s="18" t="s">
        <v>48727</v>
      </c>
      <c r="X5641" s="18" t="s">
        <v>42</v>
      </c>
      <c r="Y5641" s="18" t="s">
        <v>10535</v>
      </c>
      <c r="Z5641" s="18" t="s">
        <v>10790</v>
      </c>
      <c r="AA5641" s="21" t="str">
        <f>HYPERLINK("https://www.ncbi.nlm.nih.gov/nuccore/OP436269,OP436270","NCBI Nucleotide")</f>
        <v>NCBI Nucleotide</v>
      </c>
    </row>
    <row r="5642" spans="1:27" x14ac:dyDescent="0.35">
      <c r="A5642">
        <v>1007144</v>
      </c>
      <c r="B5642">
        <v>5381</v>
      </c>
      <c r="C5642">
        <v>1</v>
      </c>
      <c r="D5642" s="17" t="s">
        <v>10507</v>
      </c>
      <c r="E5642" s="17"/>
      <c r="F5642" s="17" t="s">
        <v>10780</v>
      </c>
      <c r="G5642" s="17"/>
      <c r="H5642" s="17" t="s">
        <v>10781</v>
      </c>
      <c r="I5642" s="17"/>
      <c r="J5642" s="17" t="s">
        <v>12258</v>
      </c>
      <c r="K5642" s="17"/>
      <c r="L5642" s="17" t="s">
        <v>12259</v>
      </c>
      <c r="M5642" s="17"/>
      <c r="N5642" s="17" t="s">
        <v>12260</v>
      </c>
      <c r="O5642" s="17" t="s">
        <v>12409</v>
      </c>
      <c r="P5642" s="17" t="s">
        <v>12417</v>
      </c>
      <c r="Q5642" s="17"/>
      <c r="R5642" s="25" t="str">
        <f>HYPERLINK("https://ictv.global/taxonomy/taxondetails?taxnode_id=202314068","Chaphamaparvovirus anseriform1")</f>
        <v>Chaphamaparvovirus anseriform1</v>
      </c>
      <c r="S5642" s="18" t="s">
        <v>30</v>
      </c>
      <c r="T5642" s="18" t="s">
        <v>12418</v>
      </c>
      <c r="U5642" s="18" t="s">
        <v>12419</v>
      </c>
      <c r="V5642" s="18" t="s">
        <v>12420</v>
      </c>
      <c r="W5642" s="18" t="s">
        <v>12421</v>
      </c>
      <c r="X5642" s="18" t="s">
        <v>35</v>
      </c>
      <c r="Y5642" s="18" t="s">
        <v>10535</v>
      </c>
      <c r="Z5642" s="18" t="s">
        <v>166</v>
      </c>
      <c r="AA5642" s="21" t="str">
        <f>HYPERLINK("https://www.ncbi.nlm.nih.gov/nuccore/MT247758","NCBI Nucleotide")</f>
        <v>NCBI Nucleotide</v>
      </c>
    </row>
    <row r="5643" spans="1:27" x14ac:dyDescent="0.35">
      <c r="A5643">
        <v>1007145</v>
      </c>
      <c r="B5643">
        <v>5382</v>
      </c>
      <c r="C5643">
        <v>1</v>
      </c>
      <c r="D5643" s="17" t="s">
        <v>10507</v>
      </c>
      <c r="E5643" s="17"/>
      <c r="F5643" s="17" t="s">
        <v>10780</v>
      </c>
      <c r="G5643" s="17"/>
      <c r="H5643" s="17" t="s">
        <v>10781</v>
      </c>
      <c r="I5643" s="17"/>
      <c r="J5643" s="17" t="s">
        <v>12258</v>
      </c>
      <c r="K5643" s="17"/>
      <c r="L5643" s="17" t="s">
        <v>12259</v>
      </c>
      <c r="M5643" s="17"/>
      <c r="N5643" s="17" t="s">
        <v>12260</v>
      </c>
      <c r="O5643" s="17" t="s">
        <v>12409</v>
      </c>
      <c r="P5643" s="17" t="s">
        <v>12417</v>
      </c>
      <c r="Q5643" s="17"/>
      <c r="R5643" s="25" t="str">
        <f>HYPERLINK("https://ictv.global/taxonomy/taxondetails?taxnode_id=202314067","Chaphamaparvovirus anseriform2")</f>
        <v>Chaphamaparvovirus anseriform2</v>
      </c>
      <c r="S5643" s="18" t="s">
        <v>30</v>
      </c>
      <c r="T5643" s="18" t="s">
        <v>12422</v>
      </c>
      <c r="U5643" s="18" t="s">
        <v>12423</v>
      </c>
      <c r="V5643" s="18" t="s">
        <v>12424</v>
      </c>
      <c r="W5643" s="18" t="s">
        <v>12425</v>
      </c>
      <c r="X5643" s="18" t="s">
        <v>35</v>
      </c>
      <c r="Y5643" s="18" t="s">
        <v>10535</v>
      </c>
      <c r="Z5643" s="18" t="s">
        <v>166</v>
      </c>
      <c r="AA5643" s="21" t="str">
        <f>HYPERLINK("https://www.ncbi.nlm.nih.gov/nuccore/MT247759","NCBI Nucleotide")</f>
        <v>NCBI Nucleotide</v>
      </c>
    </row>
    <row r="5644" spans="1:27" x14ac:dyDescent="0.35">
      <c r="A5644">
        <v>1007146</v>
      </c>
      <c r="B5644">
        <v>5383</v>
      </c>
      <c r="C5644">
        <v>1</v>
      </c>
      <c r="D5644" s="17" t="s">
        <v>10507</v>
      </c>
      <c r="E5644" s="17"/>
      <c r="F5644" s="17" t="s">
        <v>10780</v>
      </c>
      <c r="G5644" s="17"/>
      <c r="H5644" s="17" t="s">
        <v>10781</v>
      </c>
      <c r="I5644" s="17"/>
      <c r="J5644" s="17" t="s">
        <v>12258</v>
      </c>
      <c r="K5644" s="17"/>
      <c r="L5644" s="17" t="s">
        <v>12259</v>
      </c>
      <c r="M5644" s="17"/>
      <c r="N5644" s="17" t="s">
        <v>12260</v>
      </c>
      <c r="O5644" s="17" t="s">
        <v>12409</v>
      </c>
      <c r="P5644" s="17" t="s">
        <v>12417</v>
      </c>
      <c r="Q5644" s="17"/>
      <c r="R5644" s="25" t="str">
        <f>HYPERLINK("https://ictv.global/taxonomy/taxondetails?taxnode_id=202314065","Chaphamaparvovirus anseriform3")</f>
        <v>Chaphamaparvovirus anseriform3</v>
      </c>
      <c r="S5644" s="18" t="s">
        <v>30</v>
      </c>
      <c r="T5644" s="18" t="s">
        <v>12426</v>
      </c>
      <c r="U5644" s="18" t="s">
        <v>12427</v>
      </c>
      <c r="V5644" s="18" t="s">
        <v>12428</v>
      </c>
      <c r="W5644" s="18" t="s">
        <v>12429</v>
      </c>
      <c r="X5644" s="18" t="s">
        <v>35</v>
      </c>
      <c r="Y5644" s="18" t="s">
        <v>10535</v>
      </c>
      <c r="Z5644" s="18" t="s">
        <v>166</v>
      </c>
      <c r="AA5644" s="21" t="str">
        <f>HYPERLINK("https://www.ncbi.nlm.nih.gov/nuccore/MT247760","NCBI Nucleotide")</f>
        <v>NCBI Nucleotide</v>
      </c>
    </row>
    <row r="5645" spans="1:27" x14ac:dyDescent="0.35">
      <c r="A5645">
        <v>1007147</v>
      </c>
      <c r="B5645">
        <v>5384</v>
      </c>
      <c r="C5645">
        <v>1</v>
      </c>
      <c r="D5645" s="17" t="s">
        <v>10507</v>
      </c>
      <c r="E5645" s="17"/>
      <c r="F5645" s="17" t="s">
        <v>10780</v>
      </c>
      <c r="G5645" s="17"/>
      <c r="H5645" s="17" t="s">
        <v>10781</v>
      </c>
      <c r="I5645" s="17"/>
      <c r="J5645" s="17" t="s">
        <v>12258</v>
      </c>
      <c r="K5645" s="17"/>
      <c r="L5645" s="17" t="s">
        <v>12259</v>
      </c>
      <c r="M5645" s="17"/>
      <c r="N5645" s="17" t="s">
        <v>12260</v>
      </c>
      <c r="O5645" s="17" t="s">
        <v>12409</v>
      </c>
      <c r="P5645" s="17" t="s">
        <v>12417</v>
      </c>
      <c r="Q5645" s="17"/>
      <c r="R5645" s="25" t="str">
        <f>HYPERLINK("https://ictv.global/taxonomy/taxondetails?taxnode_id=202314066","Chaphamaparvovirus anseriform4")</f>
        <v>Chaphamaparvovirus anseriform4</v>
      </c>
      <c r="S5645" s="18" t="s">
        <v>30</v>
      </c>
      <c r="T5645" s="18" t="s">
        <v>12430</v>
      </c>
      <c r="U5645" s="18" t="s">
        <v>12431</v>
      </c>
      <c r="V5645" s="18" t="s">
        <v>12432</v>
      </c>
      <c r="W5645" s="18" t="s">
        <v>12433</v>
      </c>
      <c r="X5645" s="18" t="s">
        <v>35</v>
      </c>
      <c r="Y5645" s="18" t="s">
        <v>10535</v>
      </c>
      <c r="Z5645" s="18" t="s">
        <v>166</v>
      </c>
      <c r="AA5645" s="21" t="str">
        <f>HYPERLINK("https://www.ncbi.nlm.nih.gov/nuccore/MT247730","NCBI Nucleotide")</f>
        <v>NCBI Nucleotide</v>
      </c>
    </row>
    <row r="5646" spans="1:27" x14ac:dyDescent="0.35">
      <c r="A5646">
        <v>1007148</v>
      </c>
      <c r="B5646">
        <v>5385</v>
      </c>
      <c r="C5646">
        <v>1</v>
      </c>
      <c r="D5646" s="17" t="s">
        <v>10507</v>
      </c>
      <c r="E5646" s="17"/>
      <c r="F5646" s="17" t="s">
        <v>10780</v>
      </c>
      <c r="G5646" s="17"/>
      <c r="H5646" s="17" t="s">
        <v>10781</v>
      </c>
      <c r="I5646" s="17"/>
      <c r="J5646" s="17" t="s">
        <v>12258</v>
      </c>
      <c r="K5646" s="17"/>
      <c r="L5646" s="17" t="s">
        <v>12259</v>
      </c>
      <c r="M5646" s="17"/>
      <c r="N5646" s="17" t="s">
        <v>12260</v>
      </c>
      <c r="O5646" s="17" t="s">
        <v>12409</v>
      </c>
      <c r="P5646" s="17" t="s">
        <v>12417</v>
      </c>
      <c r="Q5646" s="17"/>
      <c r="R5646" s="25" t="str">
        <f>HYPERLINK("https://ictv.global/taxonomy/taxondetails?taxnode_id=202314069","Chaphamaparvovirus anseriform5")</f>
        <v>Chaphamaparvovirus anseriform5</v>
      </c>
      <c r="S5646" s="18" t="s">
        <v>30</v>
      </c>
      <c r="T5646" s="18" t="s">
        <v>12434</v>
      </c>
      <c r="U5646" s="18" t="s">
        <v>12435</v>
      </c>
      <c r="V5646" s="18" t="s">
        <v>12436</v>
      </c>
      <c r="W5646" s="18" t="s">
        <v>12437</v>
      </c>
      <c r="X5646" s="18" t="s">
        <v>35</v>
      </c>
      <c r="Y5646" s="18" t="s">
        <v>10535</v>
      </c>
      <c r="Z5646" s="18" t="s">
        <v>166</v>
      </c>
      <c r="AA5646" s="21" t="str">
        <f>HYPERLINK("https://www.ncbi.nlm.nih.gov/nuccore/MW306775","NCBI Nucleotide")</f>
        <v>NCBI Nucleotide</v>
      </c>
    </row>
    <row r="5647" spans="1:27" x14ac:dyDescent="0.35">
      <c r="A5647">
        <v>1007149</v>
      </c>
      <c r="B5647">
        <v>5386</v>
      </c>
      <c r="C5647">
        <v>1</v>
      </c>
      <c r="D5647" s="17" t="s">
        <v>10507</v>
      </c>
      <c r="E5647" s="17"/>
      <c r="F5647" s="17" t="s">
        <v>10780</v>
      </c>
      <c r="G5647" s="17"/>
      <c r="H5647" s="17" t="s">
        <v>10781</v>
      </c>
      <c r="I5647" s="17"/>
      <c r="J5647" s="17" t="s">
        <v>12258</v>
      </c>
      <c r="K5647" s="17"/>
      <c r="L5647" s="17" t="s">
        <v>12259</v>
      </c>
      <c r="M5647" s="17"/>
      <c r="N5647" s="17" t="s">
        <v>12260</v>
      </c>
      <c r="O5647" s="17" t="s">
        <v>12409</v>
      </c>
      <c r="P5647" s="17" t="s">
        <v>12417</v>
      </c>
      <c r="Q5647" s="17"/>
      <c r="R5647" s="25" t="str">
        <f>HYPERLINK("https://ictv.global/taxonomy/taxondetails?taxnode_id=202314070","Chaphamaparvovirus anseriform6")</f>
        <v>Chaphamaparvovirus anseriform6</v>
      </c>
      <c r="S5647" s="18" t="s">
        <v>30</v>
      </c>
      <c r="T5647" s="18" t="s">
        <v>12438</v>
      </c>
      <c r="U5647" s="18" t="s">
        <v>12439</v>
      </c>
      <c r="V5647" s="18" t="s">
        <v>12440</v>
      </c>
      <c r="W5647" s="18" t="s">
        <v>12441</v>
      </c>
      <c r="X5647" s="18" t="s">
        <v>35</v>
      </c>
      <c r="Y5647" s="18" t="s">
        <v>10535</v>
      </c>
      <c r="Z5647" s="18" t="s">
        <v>166</v>
      </c>
      <c r="AA5647" s="21" t="str">
        <f>HYPERLINK("https://www.ncbi.nlm.nih.gov/nuccore/MW306778","NCBI Nucleotide")</f>
        <v>NCBI Nucleotide</v>
      </c>
    </row>
    <row r="5648" spans="1:27" x14ac:dyDescent="0.35">
      <c r="A5648">
        <v>1007150</v>
      </c>
      <c r="B5648">
        <v>5387</v>
      </c>
      <c r="C5648">
        <v>1</v>
      </c>
      <c r="D5648" s="17" t="s">
        <v>10507</v>
      </c>
      <c r="E5648" s="17"/>
      <c r="F5648" s="17" t="s">
        <v>10780</v>
      </c>
      <c r="G5648" s="17"/>
      <c r="H5648" s="17" t="s">
        <v>10781</v>
      </c>
      <c r="I5648" s="17"/>
      <c r="J5648" s="17" t="s">
        <v>12258</v>
      </c>
      <c r="K5648" s="17"/>
      <c r="L5648" s="17" t="s">
        <v>12259</v>
      </c>
      <c r="M5648" s="17"/>
      <c r="N5648" s="17" t="s">
        <v>12260</v>
      </c>
      <c r="O5648" s="17" t="s">
        <v>12409</v>
      </c>
      <c r="P5648" s="17" t="s">
        <v>12417</v>
      </c>
      <c r="Q5648" s="17"/>
      <c r="R5648" s="25" t="str">
        <f>HYPERLINK("https://ictv.global/taxonomy/taxondetails?taxnode_id=202314077","Chaphamaparvovirus avian1")</f>
        <v>Chaphamaparvovirus avian1</v>
      </c>
      <c r="S5648" s="18" t="s">
        <v>30</v>
      </c>
      <c r="T5648" s="18" t="s">
        <v>12442</v>
      </c>
      <c r="U5648" s="18" t="s">
        <v>12443</v>
      </c>
      <c r="V5648" s="18" t="s">
        <v>12444</v>
      </c>
      <c r="W5648" s="18" t="s">
        <v>12445</v>
      </c>
      <c r="X5648" s="18" t="s">
        <v>42</v>
      </c>
      <c r="Y5648" s="18" t="s">
        <v>10535</v>
      </c>
      <c r="Z5648" s="18" t="s">
        <v>166</v>
      </c>
      <c r="AA5648" s="21" t="str">
        <f>HYPERLINK("https://www.ncbi.nlm.nih.gov/nuccore/MN175612","NCBI Nucleotide")</f>
        <v>NCBI Nucleotide</v>
      </c>
    </row>
    <row r="5649" spans="1:27" x14ac:dyDescent="0.35">
      <c r="A5649">
        <v>1007151</v>
      </c>
      <c r="B5649">
        <v>5388</v>
      </c>
      <c r="C5649">
        <v>1</v>
      </c>
      <c r="D5649" s="17" t="s">
        <v>10507</v>
      </c>
      <c r="E5649" s="17"/>
      <c r="F5649" s="17" t="s">
        <v>10780</v>
      </c>
      <c r="G5649" s="17"/>
      <c r="H5649" s="17" t="s">
        <v>10781</v>
      </c>
      <c r="I5649" s="17"/>
      <c r="J5649" s="17" t="s">
        <v>12258</v>
      </c>
      <c r="K5649" s="17"/>
      <c r="L5649" s="17" t="s">
        <v>12259</v>
      </c>
      <c r="M5649" s="17"/>
      <c r="N5649" s="17" t="s">
        <v>12260</v>
      </c>
      <c r="O5649" s="17" t="s">
        <v>12409</v>
      </c>
      <c r="P5649" s="17" t="s">
        <v>12417</v>
      </c>
      <c r="Q5649" s="17"/>
      <c r="R5649" s="25" t="str">
        <f>HYPERLINK("https://ictv.global/taxonomy/taxondetails?taxnode_id=202307331","Chaphamaparvovirus carnivoran1")</f>
        <v>Chaphamaparvovirus carnivoran1</v>
      </c>
      <c r="S5649" s="18" t="s">
        <v>30</v>
      </c>
      <c r="T5649" s="18" t="s">
        <v>12447</v>
      </c>
      <c r="U5649" s="18" t="s">
        <v>12448</v>
      </c>
      <c r="V5649" s="18"/>
      <c r="W5649" s="18" t="s">
        <v>12449</v>
      </c>
      <c r="X5649" s="18" t="s">
        <v>35</v>
      </c>
      <c r="Y5649" s="18" t="s">
        <v>10535</v>
      </c>
      <c r="Z5649" s="18" t="s">
        <v>166</v>
      </c>
      <c r="AA5649" s="21" t="str">
        <f>HYPERLINK("https://www.ncbi.nlm.nih.gov/nuccore/MH893826","NCBI Nucleotide")</f>
        <v>NCBI Nucleotide</v>
      </c>
    </row>
    <row r="5650" spans="1:27" x14ac:dyDescent="0.35">
      <c r="A5650">
        <v>1007152</v>
      </c>
      <c r="B5650">
        <v>5389</v>
      </c>
      <c r="C5650">
        <v>1</v>
      </c>
      <c r="D5650" s="17" t="s">
        <v>10507</v>
      </c>
      <c r="E5650" s="17"/>
      <c r="F5650" s="17" t="s">
        <v>10780</v>
      </c>
      <c r="G5650" s="17"/>
      <c r="H5650" s="17" t="s">
        <v>10781</v>
      </c>
      <c r="I5650" s="17"/>
      <c r="J5650" s="17" t="s">
        <v>12258</v>
      </c>
      <c r="K5650" s="17"/>
      <c r="L5650" s="17" t="s">
        <v>12259</v>
      </c>
      <c r="M5650" s="17"/>
      <c r="N5650" s="17" t="s">
        <v>12260</v>
      </c>
      <c r="O5650" s="17" t="s">
        <v>12409</v>
      </c>
      <c r="P5650" s="17" t="s">
        <v>12417</v>
      </c>
      <c r="Q5650" s="17"/>
      <c r="R5650" s="25" t="str">
        <f>HYPERLINK("https://ictv.global/taxonomy/taxondetails?taxnode_id=202309271","Chaphamaparvovirus carnivoran2")</f>
        <v>Chaphamaparvovirus carnivoran2</v>
      </c>
      <c r="S5650" s="18" t="s">
        <v>30</v>
      </c>
      <c r="T5650" s="18" t="s">
        <v>12450</v>
      </c>
      <c r="U5650" s="18" t="s">
        <v>12451</v>
      </c>
      <c r="V5650" s="18" t="s">
        <v>12452</v>
      </c>
      <c r="W5650" s="18" t="s">
        <v>12453</v>
      </c>
      <c r="X5650" s="18" t="s">
        <v>35</v>
      </c>
      <c r="Y5650" s="18" t="s">
        <v>10535</v>
      </c>
      <c r="Z5650" s="18" t="s">
        <v>166</v>
      </c>
      <c r="AA5650" s="21" t="str">
        <f>HYPERLINK("https://www.ncbi.nlm.nih.gov/nuccore/MN396757","NCBI Nucleotide")</f>
        <v>NCBI Nucleotide</v>
      </c>
    </row>
    <row r="5651" spans="1:27" x14ac:dyDescent="0.35">
      <c r="A5651">
        <v>1007153</v>
      </c>
      <c r="B5651">
        <v>5390</v>
      </c>
      <c r="C5651">
        <v>1</v>
      </c>
      <c r="D5651" s="17" t="s">
        <v>10507</v>
      </c>
      <c r="E5651" s="17"/>
      <c r="F5651" s="17" t="s">
        <v>10780</v>
      </c>
      <c r="G5651" s="17"/>
      <c r="H5651" s="17" t="s">
        <v>10781</v>
      </c>
      <c r="I5651" s="17"/>
      <c r="J5651" s="17" t="s">
        <v>12258</v>
      </c>
      <c r="K5651" s="17"/>
      <c r="L5651" s="17" t="s">
        <v>12259</v>
      </c>
      <c r="M5651" s="17"/>
      <c r="N5651" s="17" t="s">
        <v>12260</v>
      </c>
      <c r="O5651" s="17" t="s">
        <v>12409</v>
      </c>
      <c r="P5651" s="17" t="s">
        <v>12417</v>
      </c>
      <c r="Q5651" s="17"/>
      <c r="R5651" s="25" t="str">
        <f>HYPERLINK("https://ictv.global/taxonomy/taxondetails?taxnode_id=202314064","Chaphamaparvovirus carnivoran3")</f>
        <v>Chaphamaparvovirus carnivoran3</v>
      </c>
      <c r="S5651" s="18" t="s">
        <v>30</v>
      </c>
      <c r="T5651" s="18" t="s">
        <v>12454</v>
      </c>
      <c r="U5651" s="18" t="s">
        <v>12455</v>
      </c>
      <c r="V5651" s="18" t="s">
        <v>12456</v>
      </c>
      <c r="W5651" s="18" t="s">
        <v>12457</v>
      </c>
      <c r="X5651" s="18" t="s">
        <v>42</v>
      </c>
      <c r="Y5651" s="18" t="s">
        <v>10535</v>
      </c>
      <c r="Z5651" s="18" t="s">
        <v>166</v>
      </c>
      <c r="AA5651" s="21" t="str">
        <f>HYPERLINK("https://www.ncbi.nlm.nih.gov/nuccore/MN166196","NCBI Nucleotide")</f>
        <v>NCBI Nucleotide</v>
      </c>
    </row>
    <row r="5652" spans="1:27" x14ac:dyDescent="0.35">
      <c r="A5652">
        <v>1007154</v>
      </c>
      <c r="B5652">
        <v>5391</v>
      </c>
      <c r="C5652">
        <v>1</v>
      </c>
      <c r="D5652" s="17" t="s">
        <v>10507</v>
      </c>
      <c r="E5652" s="17"/>
      <c r="F5652" s="17" t="s">
        <v>10780</v>
      </c>
      <c r="G5652" s="17"/>
      <c r="H5652" s="17" t="s">
        <v>10781</v>
      </c>
      <c r="I5652" s="17"/>
      <c r="J5652" s="17" t="s">
        <v>12258</v>
      </c>
      <c r="K5652" s="17"/>
      <c r="L5652" s="17" t="s">
        <v>12259</v>
      </c>
      <c r="M5652" s="17"/>
      <c r="N5652" s="17" t="s">
        <v>12260</v>
      </c>
      <c r="O5652" s="17" t="s">
        <v>12409</v>
      </c>
      <c r="P5652" s="17" t="s">
        <v>12417</v>
      </c>
      <c r="Q5652" s="17"/>
      <c r="R5652" s="25" t="str">
        <f>HYPERLINK("https://ictv.global/taxonomy/taxondetails?taxnode_id=202307332","Chaphamaparvovirus chiropteran1")</f>
        <v>Chaphamaparvovirus chiropteran1</v>
      </c>
      <c r="S5652" s="18" t="s">
        <v>30</v>
      </c>
      <c r="T5652" s="18" t="s">
        <v>12458</v>
      </c>
      <c r="U5652" s="18" t="s">
        <v>12459</v>
      </c>
      <c r="V5652" s="18"/>
      <c r="W5652" s="18" t="s">
        <v>12460</v>
      </c>
      <c r="X5652" s="18" t="s">
        <v>35</v>
      </c>
      <c r="Y5652" s="18" t="s">
        <v>10535</v>
      </c>
      <c r="Z5652" s="18" t="s">
        <v>166</v>
      </c>
      <c r="AA5652" s="21" t="str">
        <f>HYPERLINK("https://www.ncbi.nlm.nih.gov/nuccore/KX907333","NCBI Nucleotide")</f>
        <v>NCBI Nucleotide</v>
      </c>
    </row>
    <row r="5653" spans="1:27" x14ac:dyDescent="0.35">
      <c r="A5653">
        <v>1027907</v>
      </c>
      <c r="B5653">
        <v>5392</v>
      </c>
      <c r="C5653">
        <v>1</v>
      </c>
      <c r="D5653" s="17" t="s">
        <v>10507</v>
      </c>
      <c r="E5653" s="17"/>
      <c r="F5653" s="17" t="s">
        <v>10780</v>
      </c>
      <c r="G5653" s="17"/>
      <c r="H5653" s="17" t="s">
        <v>10781</v>
      </c>
      <c r="I5653" s="17"/>
      <c r="J5653" s="17" t="s">
        <v>12258</v>
      </c>
      <c r="K5653" s="17"/>
      <c r="L5653" s="17" t="s">
        <v>12259</v>
      </c>
      <c r="M5653" s="17"/>
      <c r="N5653" s="17" t="s">
        <v>12260</v>
      </c>
      <c r="O5653" s="17" t="s">
        <v>12409</v>
      </c>
      <c r="P5653" s="17" t="s">
        <v>12417</v>
      </c>
      <c r="Q5653" s="17"/>
      <c r="R5653" s="25" t="str">
        <f>HYPERLINK("https://ictv.global/taxonomy/taxondetails?taxnode_id=202317841","Chaphamaparvovirus chiropteran2")</f>
        <v>Chaphamaparvovirus chiropteran2</v>
      </c>
      <c r="S5653" s="18" t="s">
        <v>30</v>
      </c>
      <c r="T5653" s="18" t="s">
        <v>40107</v>
      </c>
      <c r="U5653" s="18" t="s">
        <v>40108</v>
      </c>
      <c r="V5653" s="18"/>
      <c r="W5653" s="18" t="s">
        <v>40109</v>
      </c>
      <c r="X5653" s="18" t="s">
        <v>42</v>
      </c>
      <c r="Y5653" s="18" t="s">
        <v>10535</v>
      </c>
      <c r="Z5653" s="18" t="s">
        <v>166</v>
      </c>
      <c r="AA5653" s="21" t="str">
        <f>HYPERLINK("https://www.ncbi.nlm.nih.gov/nuccore/OQ420634","NCBI Nucleotide")</f>
        <v>NCBI Nucleotide</v>
      </c>
    </row>
    <row r="5654" spans="1:27" x14ac:dyDescent="0.35">
      <c r="A5654">
        <v>1007155</v>
      </c>
      <c r="B5654">
        <v>5393</v>
      </c>
      <c r="C5654">
        <v>1</v>
      </c>
      <c r="D5654" s="17" t="s">
        <v>10507</v>
      </c>
      <c r="E5654" s="17"/>
      <c r="F5654" s="17" t="s">
        <v>10780</v>
      </c>
      <c r="G5654" s="17"/>
      <c r="H5654" s="17" t="s">
        <v>10781</v>
      </c>
      <c r="I5654" s="17"/>
      <c r="J5654" s="17" t="s">
        <v>12258</v>
      </c>
      <c r="K5654" s="17"/>
      <c r="L5654" s="17" t="s">
        <v>12259</v>
      </c>
      <c r="M5654" s="17"/>
      <c r="N5654" s="17" t="s">
        <v>12260</v>
      </c>
      <c r="O5654" s="17" t="s">
        <v>12409</v>
      </c>
      <c r="P5654" s="17" t="s">
        <v>12417</v>
      </c>
      <c r="Q5654" s="17"/>
      <c r="R5654" s="25" t="str">
        <f>HYPERLINK("https://ictv.global/taxonomy/taxondetails?taxnode_id=202309272","Chaphamaparvovirus dasyurid1")</f>
        <v>Chaphamaparvovirus dasyurid1</v>
      </c>
      <c r="S5654" s="18" t="s">
        <v>30</v>
      </c>
      <c r="T5654" s="18" t="s">
        <v>12461</v>
      </c>
      <c r="U5654" s="18" t="s">
        <v>12462</v>
      </c>
      <c r="V5654" s="18" t="s">
        <v>12463</v>
      </c>
      <c r="W5654" s="18" t="s">
        <v>12464</v>
      </c>
      <c r="X5654" s="18" t="s">
        <v>35</v>
      </c>
      <c r="Y5654" s="18" t="s">
        <v>10535</v>
      </c>
      <c r="Z5654" s="18" t="s">
        <v>166</v>
      </c>
      <c r="AA5654" s="21" t="str">
        <f>HYPERLINK("https://www.ncbi.nlm.nih.gov/nuccore/MK513528","NCBI Nucleotide")</f>
        <v>NCBI Nucleotide</v>
      </c>
    </row>
    <row r="5655" spans="1:27" x14ac:dyDescent="0.35">
      <c r="A5655">
        <v>1007156</v>
      </c>
      <c r="B5655">
        <v>5394</v>
      </c>
      <c r="C5655">
        <v>1</v>
      </c>
      <c r="D5655" s="17" t="s">
        <v>10507</v>
      </c>
      <c r="E5655" s="17"/>
      <c r="F5655" s="17" t="s">
        <v>10780</v>
      </c>
      <c r="G5655" s="17"/>
      <c r="H5655" s="17" t="s">
        <v>10781</v>
      </c>
      <c r="I5655" s="17"/>
      <c r="J5655" s="17" t="s">
        <v>12258</v>
      </c>
      <c r="K5655" s="17"/>
      <c r="L5655" s="17" t="s">
        <v>12259</v>
      </c>
      <c r="M5655" s="17"/>
      <c r="N5655" s="17" t="s">
        <v>12260</v>
      </c>
      <c r="O5655" s="17" t="s">
        <v>12409</v>
      </c>
      <c r="P5655" s="17" t="s">
        <v>12417</v>
      </c>
      <c r="Q5655" s="17"/>
      <c r="R5655" s="25" t="str">
        <f>HYPERLINK("https://ictv.global/taxonomy/taxondetails?taxnode_id=202309273","Chaphamaparvovirus dasyurid2")</f>
        <v>Chaphamaparvovirus dasyurid2</v>
      </c>
      <c r="S5655" s="18" t="s">
        <v>30</v>
      </c>
      <c r="T5655" s="18" t="s">
        <v>12465</v>
      </c>
      <c r="U5655" s="18" t="s">
        <v>12466</v>
      </c>
      <c r="V5655" s="18" t="s">
        <v>12467</v>
      </c>
      <c r="W5655" s="18" t="s">
        <v>12468</v>
      </c>
      <c r="X5655" s="18" t="s">
        <v>35</v>
      </c>
      <c r="Y5655" s="18" t="s">
        <v>10535</v>
      </c>
      <c r="Z5655" s="18" t="s">
        <v>166</v>
      </c>
      <c r="AA5655" s="21" t="str">
        <f>HYPERLINK("https://www.ncbi.nlm.nih.gov/nuccore/MK513529","NCBI Nucleotide")</f>
        <v>NCBI Nucleotide</v>
      </c>
    </row>
    <row r="5656" spans="1:27" x14ac:dyDescent="0.35">
      <c r="A5656">
        <v>1007157</v>
      </c>
      <c r="B5656">
        <v>5395</v>
      </c>
      <c r="C5656">
        <v>1</v>
      </c>
      <c r="D5656" s="17" t="s">
        <v>10507</v>
      </c>
      <c r="E5656" s="17"/>
      <c r="F5656" s="17" t="s">
        <v>10780</v>
      </c>
      <c r="G5656" s="17"/>
      <c r="H5656" s="17" t="s">
        <v>10781</v>
      </c>
      <c r="I5656" s="17"/>
      <c r="J5656" s="17" t="s">
        <v>12258</v>
      </c>
      <c r="K5656" s="17"/>
      <c r="L5656" s="17" t="s">
        <v>12259</v>
      </c>
      <c r="M5656" s="17"/>
      <c r="N5656" s="17" t="s">
        <v>12260</v>
      </c>
      <c r="O5656" s="17" t="s">
        <v>12409</v>
      </c>
      <c r="P5656" s="17" t="s">
        <v>12417</v>
      </c>
      <c r="Q5656" s="17"/>
      <c r="R5656" s="25" t="str">
        <f>HYPERLINK("https://ictv.global/taxonomy/taxondetails?taxnode_id=202309274","Chaphamaparvovirus dasyurid3")</f>
        <v>Chaphamaparvovirus dasyurid3</v>
      </c>
      <c r="S5656" s="18" t="s">
        <v>30</v>
      </c>
      <c r="T5656" s="18" t="s">
        <v>12469</v>
      </c>
      <c r="U5656" s="18" t="s">
        <v>12470</v>
      </c>
      <c r="V5656" s="18" t="s">
        <v>12471</v>
      </c>
      <c r="W5656" s="18" t="s">
        <v>12472</v>
      </c>
      <c r="X5656" s="18" t="s">
        <v>35</v>
      </c>
      <c r="Y5656" s="18" t="s">
        <v>10535</v>
      </c>
      <c r="Z5656" s="18" t="s">
        <v>166</v>
      </c>
      <c r="AA5656" s="21" t="str">
        <f>HYPERLINK("https://www.ncbi.nlm.nih.gov/nuccore/MK513533","NCBI Nucleotide")</f>
        <v>NCBI Nucleotide</v>
      </c>
    </row>
    <row r="5657" spans="1:27" x14ac:dyDescent="0.35">
      <c r="A5657">
        <v>1007158</v>
      </c>
      <c r="B5657">
        <v>5396</v>
      </c>
      <c r="C5657">
        <v>1</v>
      </c>
      <c r="D5657" s="17" t="s">
        <v>10507</v>
      </c>
      <c r="E5657" s="17"/>
      <c r="F5657" s="17" t="s">
        <v>10780</v>
      </c>
      <c r="G5657" s="17"/>
      <c r="H5657" s="17" t="s">
        <v>10781</v>
      </c>
      <c r="I5657" s="17"/>
      <c r="J5657" s="17" t="s">
        <v>12258</v>
      </c>
      <c r="K5657" s="17"/>
      <c r="L5657" s="17" t="s">
        <v>12259</v>
      </c>
      <c r="M5657" s="17"/>
      <c r="N5657" s="17" t="s">
        <v>12260</v>
      </c>
      <c r="O5657" s="17" t="s">
        <v>12409</v>
      </c>
      <c r="P5657" s="17" t="s">
        <v>12417</v>
      </c>
      <c r="Q5657" s="17"/>
      <c r="R5657" s="25" t="str">
        <f>HYPERLINK("https://ictv.global/taxonomy/taxondetails?taxnode_id=202307333","Chaphamaparvovirus galliform1")</f>
        <v>Chaphamaparvovirus galliform1</v>
      </c>
      <c r="S5657" s="18" t="s">
        <v>30</v>
      </c>
      <c r="T5657" s="18" t="s">
        <v>12473</v>
      </c>
      <c r="U5657" s="18" t="s">
        <v>12474</v>
      </c>
      <c r="V5657" s="18"/>
      <c r="W5657" s="18" t="s">
        <v>12475</v>
      </c>
      <c r="X5657" s="18" t="s">
        <v>35</v>
      </c>
      <c r="Y5657" s="18" t="s">
        <v>10535</v>
      </c>
      <c r="Z5657" s="18" t="s">
        <v>166</v>
      </c>
      <c r="AA5657" s="21" t="str">
        <f>HYPERLINK("https://www.ncbi.nlm.nih.gov/nuccore/KF925531","NCBI Nucleotide")</f>
        <v>NCBI Nucleotide</v>
      </c>
    </row>
    <row r="5658" spans="1:27" x14ac:dyDescent="0.35">
      <c r="A5658">
        <v>1007159</v>
      </c>
      <c r="B5658">
        <v>5397</v>
      </c>
      <c r="C5658">
        <v>1</v>
      </c>
      <c r="D5658" s="17" t="s">
        <v>10507</v>
      </c>
      <c r="E5658" s="17"/>
      <c r="F5658" s="17" t="s">
        <v>10780</v>
      </c>
      <c r="G5658" s="17"/>
      <c r="H5658" s="17" t="s">
        <v>10781</v>
      </c>
      <c r="I5658" s="17"/>
      <c r="J5658" s="17" t="s">
        <v>12258</v>
      </c>
      <c r="K5658" s="17"/>
      <c r="L5658" s="17" t="s">
        <v>12259</v>
      </c>
      <c r="M5658" s="17"/>
      <c r="N5658" s="17" t="s">
        <v>12260</v>
      </c>
      <c r="O5658" s="17" t="s">
        <v>12409</v>
      </c>
      <c r="P5658" s="17" t="s">
        <v>12417</v>
      </c>
      <c r="Q5658" s="17"/>
      <c r="R5658" s="25" t="str">
        <f>HYPERLINK("https://ictv.global/taxonomy/taxondetails?taxnode_id=202307334","Chaphamaparvovirus galliform2")</f>
        <v>Chaphamaparvovirus galliform2</v>
      </c>
      <c r="S5658" s="18" t="s">
        <v>30</v>
      </c>
      <c r="T5658" s="18" t="s">
        <v>12476</v>
      </c>
      <c r="U5658" s="18" t="s">
        <v>12477</v>
      </c>
      <c r="V5658" s="18"/>
      <c r="W5658" s="18" t="s">
        <v>12478</v>
      </c>
      <c r="X5658" s="18" t="s">
        <v>35</v>
      </c>
      <c r="Y5658" s="18" t="s">
        <v>10535</v>
      </c>
      <c r="Z5658" s="18" t="s">
        <v>166</v>
      </c>
      <c r="AA5658" s="21" t="str">
        <f>HYPERLINK("https://www.ncbi.nlm.nih.gov/nuccore/MG846442","NCBI Nucleotide")</f>
        <v>NCBI Nucleotide</v>
      </c>
    </row>
    <row r="5659" spans="1:27" x14ac:dyDescent="0.35">
      <c r="A5659">
        <v>1007160</v>
      </c>
      <c r="B5659">
        <v>5398</v>
      </c>
      <c r="C5659">
        <v>1</v>
      </c>
      <c r="D5659" s="17" t="s">
        <v>10507</v>
      </c>
      <c r="E5659" s="17"/>
      <c r="F5659" s="17" t="s">
        <v>10780</v>
      </c>
      <c r="G5659" s="17"/>
      <c r="H5659" s="17" t="s">
        <v>10781</v>
      </c>
      <c r="I5659" s="17"/>
      <c r="J5659" s="17" t="s">
        <v>12258</v>
      </c>
      <c r="K5659" s="17"/>
      <c r="L5659" s="17" t="s">
        <v>12259</v>
      </c>
      <c r="M5659" s="17"/>
      <c r="N5659" s="17" t="s">
        <v>12260</v>
      </c>
      <c r="O5659" s="17" t="s">
        <v>12409</v>
      </c>
      <c r="P5659" s="17" t="s">
        <v>12417</v>
      </c>
      <c r="Q5659" s="17"/>
      <c r="R5659" s="25" t="str">
        <f>HYPERLINK("https://ictv.global/taxonomy/taxondetails?taxnode_id=202307335","Chaphamaparvovirus galliform3")</f>
        <v>Chaphamaparvovirus galliform3</v>
      </c>
      <c r="S5659" s="18" t="s">
        <v>30</v>
      </c>
      <c r="T5659" s="18" t="s">
        <v>50388</v>
      </c>
      <c r="U5659" s="18" t="s">
        <v>50389</v>
      </c>
      <c r="V5659" s="18" t="s">
        <v>50390</v>
      </c>
      <c r="W5659" s="18" t="s">
        <v>50984</v>
      </c>
      <c r="X5659" s="18" t="s">
        <v>35</v>
      </c>
      <c r="Y5659" s="18" t="s">
        <v>10535</v>
      </c>
      <c r="Z5659" s="18" t="s">
        <v>166</v>
      </c>
      <c r="AA5659" s="21" t="str">
        <f>HYPERLINK("https://www.ncbi.nlm.nih.gov/nuccore/OM469121","NCBI Nucleotide")</f>
        <v>NCBI Nucleotide</v>
      </c>
    </row>
    <row r="5660" spans="1:27" x14ac:dyDescent="0.35">
      <c r="A5660">
        <v>1007161</v>
      </c>
      <c r="B5660">
        <v>5399</v>
      </c>
      <c r="C5660">
        <v>1</v>
      </c>
      <c r="D5660" s="17" t="s">
        <v>10507</v>
      </c>
      <c r="E5660" s="17"/>
      <c r="F5660" s="17" t="s">
        <v>10780</v>
      </c>
      <c r="G5660" s="17"/>
      <c r="H5660" s="17" t="s">
        <v>10781</v>
      </c>
      <c r="I5660" s="17"/>
      <c r="J5660" s="17" t="s">
        <v>12258</v>
      </c>
      <c r="K5660" s="17"/>
      <c r="L5660" s="17" t="s">
        <v>12259</v>
      </c>
      <c r="M5660" s="17"/>
      <c r="N5660" s="17" t="s">
        <v>12260</v>
      </c>
      <c r="O5660" s="17" t="s">
        <v>12409</v>
      </c>
      <c r="P5660" s="17" t="s">
        <v>12417</v>
      </c>
      <c r="Q5660" s="17"/>
      <c r="R5660" s="25" t="str">
        <f>HYPERLINK("https://ictv.global/taxonomy/taxondetails?taxnode_id=202309275","Chaphamaparvovirus galliform4")</f>
        <v>Chaphamaparvovirus galliform4</v>
      </c>
      <c r="S5660" s="18" t="s">
        <v>30</v>
      </c>
      <c r="T5660" s="18" t="s">
        <v>12479</v>
      </c>
      <c r="U5660" s="18" t="s">
        <v>12159</v>
      </c>
      <c r="V5660" s="18"/>
      <c r="W5660" s="18" t="s">
        <v>12480</v>
      </c>
      <c r="X5660" s="18" t="s">
        <v>35</v>
      </c>
      <c r="Y5660" s="18" t="s">
        <v>10535</v>
      </c>
      <c r="Z5660" s="18" t="s">
        <v>166</v>
      </c>
      <c r="AA5660" s="21" t="str">
        <f>HYPERLINK("https://www.ncbi.nlm.nih.gov/nuccore/MK988619","NCBI Nucleotide")</f>
        <v>NCBI Nucleotide</v>
      </c>
    </row>
    <row r="5661" spans="1:27" x14ac:dyDescent="0.35">
      <c r="A5661">
        <v>1007162</v>
      </c>
      <c r="B5661">
        <v>5400</v>
      </c>
      <c r="C5661">
        <v>1</v>
      </c>
      <c r="D5661" s="17" t="s">
        <v>10507</v>
      </c>
      <c r="E5661" s="17"/>
      <c r="F5661" s="17" t="s">
        <v>10780</v>
      </c>
      <c r="G5661" s="17"/>
      <c r="H5661" s="17" t="s">
        <v>10781</v>
      </c>
      <c r="I5661" s="17"/>
      <c r="J5661" s="17" t="s">
        <v>12258</v>
      </c>
      <c r="K5661" s="17"/>
      <c r="L5661" s="17" t="s">
        <v>12259</v>
      </c>
      <c r="M5661" s="17"/>
      <c r="N5661" s="17" t="s">
        <v>12260</v>
      </c>
      <c r="O5661" s="17" t="s">
        <v>12409</v>
      </c>
      <c r="P5661" s="17" t="s">
        <v>12417</v>
      </c>
      <c r="Q5661" s="17"/>
      <c r="R5661" s="25" t="str">
        <f>HYPERLINK("https://ictv.global/taxonomy/taxondetails?taxnode_id=202309276","Chaphamaparvovirus galliform5")</f>
        <v>Chaphamaparvovirus galliform5</v>
      </c>
      <c r="S5661" s="18" t="s">
        <v>30</v>
      </c>
      <c r="T5661" s="18" t="s">
        <v>12481</v>
      </c>
      <c r="U5661" s="18" t="s">
        <v>12482</v>
      </c>
      <c r="V5661" s="18"/>
      <c r="W5661" s="18" t="s">
        <v>12483</v>
      </c>
      <c r="X5661" s="18" t="s">
        <v>35</v>
      </c>
      <c r="Y5661" s="18" t="s">
        <v>10535</v>
      </c>
      <c r="Z5661" s="18" t="s">
        <v>166</v>
      </c>
      <c r="AA5661" s="21" t="str">
        <f>HYPERLINK("https://www.ncbi.nlm.nih.gov/nuccore/MK988620","NCBI Nucleotide")</f>
        <v>NCBI Nucleotide</v>
      </c>
    </row>
    <row r="5662" spans="1:27" x14ac:dyDescent="0.35">
      <c r="A5662">
        <v>1027908</v>
      </c>
      <c r="B5662">
        <v>5401</v>
      </c>
      <c r="C5662">
        <v>1</v>
      </c>
      <c r="D5662" s="17" t="s">
        <v>10507</v>
      </c>
      <c r="E5662" s="17"/>
      <c r="F5662" s="17" t="s">
        <v>10780</v>
      </c>
      <c r="G5662" s="17"/>
      <c r="H5662" s="17" t="s">
        <v>10781</v>
      </c>
      <c r="I5662" s="17"/>
      <c r="J5662" s="17" t="s">
        <v>12258</v>
      </c>
      <c r="K5662" s="17"/>
      <c r="L5662" s="17" t="s">
        <v>12259</v>
      </c>
      <c r="M5662" s="17"/>
      <c r="N5662" s="17" t="s">
        <v>12260</v>
      </c>
      <c r="O5662" s="17" t="s">
        <v>12409</v>
      </c>
      <c r="P5662" s="17" t="s">
        <v>12417</v>
      </c>
      <c r="Q5662" s="17"/>
      <c r="R5662" s="25" t="str">
        <f>HYPERLINK("https://ictv.global/taxonomy/taxondetails?taxnode_id=202317838","Chaphamaparvovirus galliform6")</f>
        <v>Chaphamaparvovirus galliform6</v>
      </c>
      <c r="S5662" s="18" t="s">
        <v>30</v>
      </c>
      <c r="T5662" s="18" t="s">
        <v>40110</v>
      </c>
      <c r="U5662" s="18" t="s">
        <v>40111</v>
      </c>
      <c r="V5662" s="18"/>
      <c r="W5662" s="18" t="s">
        <v>40112</v>
      </c>
      <c r="X5662" s="18" t="s">
        <v>42</v>
      </c>
      <c r="Y5662" s="18" t="s">
        <v>10535</v>
      </c>
      <c r="Z5662" s="18" t="s">
        <v>166</v>
      </c>
      <c r="AA5662" s="21" t="str">
        <f>HYPERLINK("https://www.ncbi.nlm.nih.gov/nuccore/MZ667220","NCBI Nucleotide")</f>
        <v>NCBI Nucleotide</v>
      </c>
    </row>
    <row r="5663" spans="1:27" x14ac:dyDescent="0.35">
      <c r="A5663">
        <v>1027909</v>
      </c>
      <c r="B5663">
        <v>5402</v>
      </c>
      <c r="C5663">
        <v>1</v>
      </c>
      <c r="D5663" s="17" t="s">
        <v>10507</v>
      </c>
      <c r="E5663" s="17"/>
      <c r="F5663" s="17" t="s">
        <v>10780</v>
      </c>
      <c r="G5663" s="17"/>
      <c r="H5663" s="17" t="s">
        <v>10781</v>
      </c>
      <c r="I5663" s="17"/>
      <c r="J5663" s="17" t="s">
        <v>12258</v>
      </c>
      <c r="K5663" s="17"/>
      <c r="L5663" s="17" t="s">
        <v>12259</v>
      </c>
      <c r="M5663" s="17"/>
      <c r="N5663" s="17" t="s">
        <v>12260</v>
      </c>
      <c r="O5663" s="17" t="s">
        <v>12409</v>
      </c>
      <c r="P5663" s="17" t="s">
        <v>12417</v>
      </c>
      <c r="Q5663" s="17"/>
      <c r="R5663" s="25" t="str">
        <f>HYPERLINK("https://ictv.global/taxonomy/taxondetails?taxnode_id=202317839","Chaphamaparvovirus galliform7")</f>
        <v>Chaphamaparvovirus galliform7</v>
      </c>
      <c r="S5663" s="18" t="s">
        <v>30</v>
      </c>
      <c r="T5663" s="18" t="s">
        <v>40113</v>
      </c>
      <c r="U5663" s="18" t="s">
        <v>40114</v>
      </c>
      <c r="V5663" s="18"/>
      <c r="W5663" s="18" t="s">
        <v>40115</v>
      </c>
      <c r="X5663" s="18" t="s">
        <v>42</v>
      </c>
      <c r="Y5663" s="18" t="s">
        <v>10535</v>
      </c>
      <c r="Z5663" s="18" t="s">
        <v>166</v>
      </c>
      <c r="AA5663" s="21" t="str">
        <f>HYPERLINK("https://www.ncbi.nlm.nih.gov/nuccore/OM920501","NCBI Nucleotide")</f>
        <v>NCBI Nucleotide</v>
      </c>
    </row>
    <row r="5664" spans="1:27" x14ac:dyDescent="0.35">
      <c r="A5664">
        <v>1007163</v>
      </c>
      <c r="B5664">
        <v>5403</v>
      </c>
      <c r="C5664">
        <v>1</v>
      </c>
      <c r="D5664" s="17" t="s">
        <v>10507</v>
      </c>
      <c r="E5664" s="17"/>
      <c r="F5664" s="17" t="s">
        <v>10780</v>
      </c>
      <c r="G5664" s="17"/>
      <c r="H5664" s="17" t="s">
        <v>10781</v>
      </c>
      <c r="I5664" s="17"/>
      <c r="J5664" s="17" t="s">
        <v>12258</v>
      </c>
      <c r="K5664" s="17"/>
      <c r="L5664" s="17" t="s">
        <v>12259</v>
      </c>
      <c r="M5664" s="17"/>
      <c r="N5664" s="17" t="s">
        <v>12260</v>
      </c>
      <c r="O5664" s="17" t="s">
        <v>12409</v>
      </c>
      <c r="P5664" s="17" t="s">
        <v>12417</v>
      </c>
      <c r="Q5664" s="17"/>
      <c r="R5664" s="25" t="str">
        <f>HYPERLINK("https://ictv.global/taxonomy/taxondetails?taxnode_id=202314071","Chaphamaparvovirus gruiform1")</f>
        <v>Chaphamaparvovirus gruiform1</v>
      </c>
      <c r="S5664" s="18" t="s">
        <v>30</v>
      </c>
      <c r="T5664" s="18" t="s">
        <v>12484</v>
      </c>
      <c r="U5664" s="18" t="s">
        <v>12485</v>
      </c>
      <c r="V5664" s="18" t="s">
        <v>12486</v>
      </c>
      <c r="W5664" s="18" t="s">
        <v>12487</v>
      </c>
      <c r="X5664" s="18" t="s">
        <v>42</v>
      </c>
      <c r="Y5664" s="18" t="s">
        <v>10535</v>
      </c>
      <c r="Z5664" s="18" t="s">
        <v>166</v>
      </c>
      <c r="AA5664" s="21" t="str">
        <f>HYPERLINK("https://www.ncbi.nlm.nih.gov/nuccore/KY312548","NCBI Nucleotide")</f>
        <v>NCBI Nucleotide</v>
      </c>
    </row>
    <row r="5665" spans="1:27" x14ac:dyDescent="0.35">
      <c r="A5665">
        <v>1007164</v>
      </c>
      <c r="B5665">
        <v>5404</v>
      </c>
      <c r="C5665">
        <v>1</v>
      </c>
      <c r="D5665" s="17" t="s">
        <v>10507</v>
      </c>
      <c r="E5665" s="17"/>
      <c r="F5665" s="17" t="s">
        <v>10780</v>
      </c>
      <c r="G5665" s="17"/>
      <c r="H5665" s="17" t="s">
        <v>10781</v>
      </c>
      <c r="I5665" s="17"/>
      <c r="J5665" s="17" t="s">
        <v>12258</v>
      </c>
      <c r="K5665" s="17"/>
      <c r="L5665" s="17" t="s">
        <v>12259</v>
      </c>
      <c r="M5665" s="17"/>
      <c r="N5665" s="17" t="s">
        <v>12260</v>
      </c>
      <c r="O5665" s="17" t="s">
        <v>12409</v>
      </c>
      <c r="P5665" s="17" t="s">
        <v>12417</v>
      </c>
      <c r="Q5665" s="17"/>
      <c r="R5665" s="25" t="str">
        <f>HYPERLINK("https://ictv.global/taxonomy/taxondetails?taxnode_id=202314072","Chaphamaparvovirus gruiform2")</f>
        <v>Chaphamaparvovirus gruiform2</v>
      </c>
      <c r="S5665" s="18" t="s">
        <v>30</v>
      </c>
      <c r="T5665" s="18" t="s">
        <v>12488</v>
      </c>
      <c r="U5665" s="18" t="s">
        <v>12489</v>
      </c>
      <c r="V5665" s="18" t="s">
        <v>12490</v>
      </c>
      <c r="W5665" s="18" t="s">
        <v>12491</v>
      </c>
      <c r="X5665" s="18" t="s">
        <v>42</v>
      </c>
      <c r="Y5665" s="18" t="s">
        <v>10535</v>
      </c>
      <c r="Z5665" s="18" t="s">
        <v>166</v>
      </c>
      <c r="AA5665" s="21" t="str">
        <f>HYPERLINK("https://www.ncbi.nlm.nih.gov/nuccore/KY312549","NCBI Nucleotide")</f>
        <v>NCBI Nucleotide</v>
      </c>
    </row>
    <row r="5666" spans="1:27" x14ac:dyDescent="0.35">
      <c r="A5666">
        <v>1007165</v>
      </c>
      <c r="B5666">
        <v>5405</v>
      </c>
      <c r="C5666">
        <v>1</v>
      </c>
      <c r="D5666" s="17" t="s">
        <v>10507</v>
      </c>
      <c r="E5666" s="17"/>
      <c r="F5666" s="17" t="s">
        <v>10780</v>
      </c>
      <c r="G5666" s="17"/>
      <c r="H5666" s="17" t="s">
        <v>10781</v>
      </c>
      <c r="I5666" s="17"/>
      <c r="J5666" s="17" t="s">
        <v>12258</v>
      </c>
      <c r="K5666" s="17"/>
      <c r="L5666" s="17" t="s">
        <v>12259</v>
      </c>
      <c r="M5666" s="17"/>
      <c r="N5666" s="17" t="s">
        <v>12260</v>
      </c>
      <c r="O5666" s="17" t="s">
        <v>12409</v>
      </c>
      <c r="P5666" s="17" t="s">
        <v>12417</v>
      </c>
      <c r="Q5666" s="17"/>
      <c r="R5666" s="25" t="str">
        <f>HYPERLINK("https://ictv.global/taxonomy/taxondetails?taxnode_id=202314073","Chaphamaparvovirus gruiform3")</f>
        <v>Chaphamaparvovirus gruiform3</v>
      </c>
      <c r="S5666" s="18" t="s">
        <v>30</v>
      </c>
      <c r="T5666" s="18" t="s">
        <v>12492</v>
      </c>
      <c r="U5666" s="18" t="s">
        <v>12493</v>
      </c>
      <c r="V5666" s="18" t="s">
        <v>12494</v>
      </c>
      <c r="W5666" s="18" t="s">
        <v>12495</v>
      </c>
      <c r="X5666" s="18" t="s">
        <v>42</v>
      </c>
      <c r="Y5666" s="18" t="s">
        <v>10535</v>
      </c>
      <c r="Z5666" s="18" t="s">
        <v>166</v>
      </c>
      <c r="AA5666" s="21" t="str">
        <f>HYPERLINK("https://www.ncbi.nlm.nih.gov/nuccore/KY312550","NCBI Nucleotide")</f>
        <v>NCBI Nucleotide</v>
      </c>
    </row>
    <row r="5667" spans="1:27" x14ac:dyDescent="0.35">
      <c r="A5667">
        <v>1007166</v>
      </c>
      <c r="B5667">
        <v>5406</v>
      </c>
      <c r="C5667">
        <v>1</v>
      </c>
      <c r="D5667" s="17" t="s">
        <v>10507</v>
      </c>
      <c r="E5667" s="17"/>
      <c r="F5667" s="17" t="s">
        <v>10780</v>
      </c>
      <c r="G5667" s="17"/>
      <c r="H5667" s="17" t="s">
        <v>10781</v>
      </c>
      <c r="I5667" s="17"/>
      <c r="J5667" s="17" t="s">
        <v>12258</v>
      </c>
      <c r="K5667" s="17"/>
      <c r="L5667" s="17" t="s">
        <v>12259</v>
      </c>
      <c r="M5667" s="17"/>
      <c r="N5667" s="17" t="s">
        <v>12260</v>
      </c>
      <c r="O5667" s="17" t="s">
        <v>12409</v>
      </c>
      <c r="P5667" s="17" t="s">
        <v>12417</v>
      </c>
      <c r="Q5667" s="17"/>
      <c r="R5667" s="25" t="str">
        <f>HYPERLINK("https://ictv.global/taxonomy/taxondetails?taxnode_id=202314074","Chaphamaparvovirus gruiform4")</f>
        <v>Chaphamaparvovirus gruiform4</v>
      </c>
      <c r="S5667" s="18" t="s">
        <v>30</v>
      </c>
      <c r="T5667" s="18" t="s">
        <v>12496</v>
      </c>
      <c r="U5667" s="18" t="s">
        <v>12497</v>
      </c>
      <c r="V5667" s="18" t="s">
        <v>12498</v>
      </c>
      <c r="W5667" s="18" t="s">
        <v>12499</v>
      </c>
      <c r="X5667" s="18" t="s">
        <v>42</v>
      </c>
      <c r="Y5667" s="18" t="s">
        <v>10535</v>
      </c>
      <c r="Z5667" s="18" t="s">
        <v>166</v>
      </c>
      <c r="AA5667" s="21" t="str">
        <f>HYPERLINK("https://www.ncbi.nlm.nih.gov/nuccore/KY312551","NCBI Nucleotide")</f>
        <v>NCBI Nucleotide</v>
      </c>
    </row>
    <row r="5668" spans="1:27" x14ac:dyDescent="0.35">
      <c r="A5668">
        <v>1007167</v>
      </c>
      <c r="B5668">
        <v>5407</v>
      </c>
      <c r="C5668">
        <v>1</v>
      </c>
      <c r="D5668" s="17" t="s">
        <v>10507</v>
      </c>
      <c r="E5668" s="17"/>
      <c r="F5668" s="17" t="s">
        <v>10780</v>
      </c>
      <c r="G5668" s="17"/>
      <c r="H5668" s="17" t="s">
        <v>10781</v>
      </c>
      <c r="I5668" s="17"/>
      <c r="J5668" s="17" t="s">
        <v>12258</v>
      </c>
      <c r="K5668" s="17"/>
      <c r="L5668" s="17" t="s">
        <v>12259</v>
      </c>
      <c r="M5668" s="17"/>
      <c r="N5668" s="17" t="s">
        <v>12260</v>
      </c>
      <c r="O5668" s="17" t="s">
        <v>12409</v>
      </c>
      <c r="P5668" s="17" t="s">
        <v>12417</v>
      </c>
      <c r="Q5668" s="17"/>
      <c r="R5668" s="25" t="str">
        <f>HYPERLINK("https://ictv.global/taxonomy/taxondetails?taxnode_id=202314062","Chaphamaparvovirus perciform1")</f>
        <v>Chaphamaparvovirus perciform1</v>
      </c>
      <c r="S5668" s="18" t="s">
        <v>30</v>
      </c>
      <c r="T5668" s="18" t="s">
        <v>12500</v>
      </c>
      <c r="U5668" s="18" t="s">
        <v>12501</v>
      </c>
      <c r="V5668" s="18" t="s">
        <v>12502</v>
      </c>
      <c r="W5668" s="18" t="s">
        <v>12503</v>
      </c>
      <c r="X5668" s="18" t="s">
        <v>35</v>
      </c>
      <c r="Y5668" s="18" t="s">
        <v>10535</v>
      </c>
      <c r="Z5668" s="18" t="s">
        <v>166</v>
      </c>
      <c r="AA5668" s="21" t="str">
        <f>HYPERLINK("https://www.ncbi.nlm.nih.gov/nuccore/MT393593","NCBI Nucleotide")</f>
        <v>NCBI Nucleotide</v>
      </c>
    </row>
    <row r="5669" spans="1:27" x14ac:dyDescent="0.35">
      <c r="A5669">
        <v>1027910</v>
      </c>
      <c r="B5669">
        <v>5408</v>
      </c>
      <c r="C5669">
        <v>1</v>
      </c>
      <c r="D5669" s="17" t="s">
        <v>10507</v>
      </c>
      <c r="E5669" s="17"/>
      <c r="F5669" s="17" t="s">
        <v>10780</v>
      </c>
      <c r="G5669" s="17"/>
      <c r="H5669" s="17" t="s">
        <v>10781</v>
      </c>
      <c r="I5669" s="17"/>
      <c r="J5669" s="17" t="s">
        <v>12258</v>
      </c>
      <c r="K5669" s="17"/>
      <c r="L5669" s="17" t="s">
        <v>12259</v>
      </c>
      <c r="M5669" s="17"/>
      <c r="N5669" s="17" t="s">
        <v>12260</v>
      </c>
      <c r="O5669" s="17" t="s">
        <v>12409</v>
      </c>
      <c r="P5669" s="17" t="s">
        <v>12417</v>
      </c>
      <c r="Q5669" s="17"/>
      <c r="R5669" s="25" t="str">
        <f>HYPERLINK("https://ictv.global/taxonomy/taxondetails?taxnode_id=202317840","Chaphamaparvovirus pholidota1")</f>
        <v>Chaphamaparvovirus pholidota1</v>
      </c>
      <c r="S5669" s="18" t="s">
        <v>30</v>
      </c>
      <c r="T5669" s="18" t="s">
        <v>40116</v>
      </c>
      <c r="U5669" s="18" t="s">
        <v>40117</v>
      </c>
      <c r="V5669" s="18"/>
      <c r="W5669" s="18" t="s">
        <v>40118</v>
      </c>
      <c r="X5669" s="18" t="s">
        <v>42</v>
      </c>
      <c r="Y5669" s="18" t="s">
        <v>10535</v>
      </c>
      <c r="Z5669" s="18" t="s">
        <v>166</v>
      </c>
      <c r="AA5669" s="21" t="str">
        <f>HYPERLINK("https://www.ncbi.nlm.nih.gov/nuccore/ON024117","NCBI Nucleotide")</f>
        <v>NCBI Nucleotide</v>
      </c>
    </row>
    <row r="5670" spans="1:27" x14ac:dyDescent="0.35">
      <c r="A5670">
        <v>1007168</v>
      </c>
      <c r="B5670">
        <v>5409</v>
      </c>
      <c r="C5670">
        <v>1</v>
      </c>
      <c r="D5670" s="17" t="s">
        <v>10507</v>
      </c>
      <c r="E5670" s="17"/>
      <c r="F5670" s="17" t="s">
        <v>10780</v>
      </c>
      <c r="G5670" s="17"/>
      <c r="H5670" s="17" t="s">
        <v>10781</v>
      </c>
      <c r="I5670" s="17"/>
      <c r="J5670" s="17" t="s">
        <v>12258</v>
      </c>
      <c r="K5670" s="17"/>
      <c r="L5670" s="17" t="s">
        <v>12259</v>
      </c>
      <c r="M5670" s="17"/>
      <c r="N5670" s="17" t="s">
        <v>12260</v>
      </c>
      <c r="O5670" s="17" t="s">
        <v>12409</v>
      </c>
      <c r="P5670" s="17" t="s">
        <v>12417</v>
      </c>
      <c r="Q5670" s="17"/>
      <c r="R5670" s="25" t="str">
        <f>HYPERLINK("https://ictv.global/taxonomy/taxondetails?taxnode_id=202309277","Chaphamaparvovirus primate1")</f>
        <v>Chaphamaparvovirus primate1</v>
      </c>
      <c r="S5670" s="18" t="s">
        <v>30</v>
      </c>
      <c r="T5670" s="18" t="s">
        <v>12504</v>
      </c>
      <c r="U5670" s="18" t="s">
        <v>12505</v>
      </c>
      <c r="V5670" s="18" t="s">
        <v>12506</v>
      </c>
      <c r="W5670" s="18" t="s">
        <v>12507</v>
      </c>
      <c r="X5670" s="18" t="s">
        <v>42</v>
      </c>
      <c r="Y5670" s="18" t="s">
        <v>10535</v>
      </c>
      <c r="Z5670" s="18" t="s">
        <v>166</v>
      </c>
      <c r="AA5670" s="21" t="str">
        <f>HYPERLINK("https://www.ncbi.nlm.nih.gov/nuccore/MN265364","NCBI Nucleotide")</f>
        <v>NCBI Nucleotide</v>
      </c>
    </row>
    <row r="5671" spans="1:27" x14ac:dyDescent="0.35">
      <c r="A5671">
        <v>1007169</v>
      </c>
      <c r="B5671">
        <v>5410</v>
      </c>
      <c r="C5671">
        <v>1</v>
      </c>
      <c r="D5671" s="17" t="s">
        <v>10507</v>
      </c>
      <c r="E5671" s="17"/>
      <c r="F5671" s="17" t="s">
        <v>10780</v>
      </c>
      <c r="G5671" s="17"/>
      <c r="H5671" s="17" t="s">
        <v>10781</v>
      </c>
      <c r="I5671" s="17"/>
      <c r="J5671" s="17" t="s">
        <v>12258</v>
      </c>
      <c r="K5671" s="17"/>
      <c r="L5671" s="17" t="s">
        <v>12259</v>
      </c>
      <c r="M5671" s="17"/>
      <c r="N5671" s="17" t="s">
        <v>12260</v>
      </c>
      <c r="O5671" s="17" t="s">
        <v>12409</v>
      </c>
      <c r="P5671" s="17" t="s">
        <v>12417</v>
      </c>
      <c r="Q5671" s="17"/>
      <c r="R5671" s="25" t="str">
        <f>HYPERLINK("https://ictv.global/taxonomy/taxondetails?taxnode_id=202314063","Chaphamaparvovirus primate2")</f>
        <v>Chaphamaparvovirus primate2</v>
      </c>
      <c r="S5671" s="18" t="s">
        <v>30</v>
      </c>
      <c r="T5671" s="18" t="s">
        <v>12508</v>
      </c>
      <c r="U5671" s="18" t="s">
        <v>12509</v>
      </c>
      <c r="V5671" s="18" t="s">
        <v>12510</v>
      </c>
      <c r="W5671" s="18" t="s">
        <v>12511</v>
      </c>
      <c r="X5671" s="18" t="s">
        <v>35</v>
      </c>
      <c r="Y5671" s="18" t="s">
        <v>10535</v>
      </c>
      <c r="Z5671" s="18" t="s">
        <v>166</v>
      </c>
      <c r="AA5671" s="21" t="str">
        <f>HYPERLINK("https://www.ncbi.nlm.nih.gov/nuccore/MN312221","NCBI Nucleotide")</f>
        <v>NCBI Nucleotide</v>
      </c>
    </row>
    <row r="5672" spans="1:27" x14ac:dyDescent="0.35">
      <c r="A5672">
        <v>1007170</v>
      </c>
      <c r="B5672">
        <v>5411</v>
      </c>
      <c r="C5672">
        <v>1</v>
      </c>
      <c r="D5672" s="17" t="s">
        <v>10507</v>
      </c>
      <c r="E5672" s="17"/>
      <c r="F5672" s="17" t="s">
        <v>10780</v>
      </c>
      <c r="G5672" s="17"/>
      <c r="H5672" s="17" t="s">
        <v>10781</v>
      </c>
      <c r="I5672" s="17"/>
      <c r="J5672" s="17" t="s">
        <v>12258</v>
      </c>
      <c r="K5672" s="17"/>
      <c r="L5672" s="17" t="s">
        <v>12259</v>
      </c>
      <c r="M5672" s="17"/>
      <c r="N5672" s="17" t="s">
        <v>12260</v>
      </c>
      <c r="O5672" s="17" t="s">
        <v>12409</v>
      </c>
      <c r="P5672" s="17" t="s">
        <v>12417</v>
      </c>
      <c r="Q5672" s="17"/>
      <c r="R5672" s="25" t="str">
        <f>HYPERLINK("https://ictv.global/taxonomy/taxondetails?taxnode_id=202309278","Chaphamaparvovirus psittacine1")</f>
        <v>Chaphamaparvovirus psittacine1</v>
      </c>
      <c r="S5672" s="18" t="s">
        <v>30</v>
      </c>
      <c r="T5672" s="18" t="s">
        <v>12512</v>
      </c>
      <c r="U5672" s="18" t="s">
        <v>12513</v>
      </c>
      <c r="V5672" s="18" t="s">
        <v>12514</v>
      </c>
      <c r="W5672" s="18" t="s">
        <v>12515</v>
      </c>
      <c r="X5672" s="18" t="s">
        <v>35</v>
      </c>
      <c r="Y5672" s="18" t="s">
        <v>10535</v>
      </c>
      <c r="Z5672" s="18" t="s">
        <v>166</v>
      </c>
      <c r="AA5672" s="21" t="str">
        <f>HYPERLINK("https://www.ncbi.nlm.nih.gov/nuccore/MN175613","NCBI Nucleotide")</f>
        <v>NCBI Nucleotide</v>
      </c>
    </row>
    <row r="5673" spans="1:27" x14ac:dyDescent="0.35">
      <c r="A5673">
        <v>1007171</v>
      </c>
      <c r="B5673">
        <v>5412</v>
      </c>
      <c r="C5673">
        <v>1</v>
      </c>
      <c r="D5673" s="17" t="s">
        <v>10507</v>
      </c>
      <c r="E5673" s="17"/>
      <c r="F5673" s="17" t="s">
        <v>10780</v>
      </c>
      <c r="G5673" s="17"/>
      <c r="H5673" s="17" t="s">
        <v>10781</v>
      </c>
      <c r="I5673" s="17"/>
      <c r="J5673" s="17" t="s">
        <v>12258</v>
      </c>
      <c r="K5673" s="17"/>
      <c r="L5673" s="17" t="s">
        <v>12259</v>
      </c>
      <c r="M5673" s="17"/>
      <c r="N5673" s="17" t="s">
        <v>12260</v>
      </c>
      <c r="O5673" s="17" t="s">
        <v>12409</v>
      </c>
      <c r="P5673" s="17" t="s">
        <v>12417</v>
      </c>
      <c r="Q5673" s="17"/>
      <c r="R5673" s="25" t="str">
        <f>HYPERLINK("https://ictv.global/taxonomy/taxondetails?taxnode_id=202314076","Chaphamaparvovirus psittacine2")</f>
        <v>Chaphamaparvovirus psittacine2</v>
      </c>
      <c r="S5673" s="18" t="s">
        <v>30</v>
      </c>
      <c r="T5673" s="18" t="s">
        <v>12516</v>
      </c>
      <c r="U5673" s="18" t="s">
        <v>12517</v>
      </c>
      <c r="V5673" s="18" t="s">
        <v>12518</v>
      </c>
      <c r="W5673" s="18" t="s">
        <v>12519</v>
      </c>
      <c r="X5673" s="18" t="s">
        <v>42</v>
      </c>
      <c r="Y5673" s="18" t="s">
        <v>10535</v>
      </c>
      <c r="Z5673" s="18" t="s">
        <v>166</v>
      </c>
      <c r="AA5673" s="21" t="str">
        <f>HYPERLINK("https://www.ncbi.nlm.nih.gov/nuccore/MZ364297","NCBI Nucleotide")</f>
        <v>NCBI Nucleotide</v>
      </c>
    </row>
    <row r="5674" spans="1:27" x14ac:dyDescent="0.35">
      <c r="A5674">
        <v>1007172</v>
      </c>
      <c r="B5674">
        <v>5413</v>
      </c>
      <c r="C5674">
        <v>1</v>
      </c>
      <c r="D5674" s="17" t="s">
        <v>10507</v>
      </c>
      <c r="E5674" s="17"/>
      <c r="F5674" s="17" t="s">
        <v>10780</v>
      </c>
      <c r="G5674" s="17"/>
      <c r="H5674" s="17" t="s">
        <v>10781</v>
      </c>
      <c r="I5674" s="17"/>
      <c r="J5674" s="17" t="s">
        <v>12258</v>
      </c>
      <c r="K5674" s="17"/>
      <c r="L5674" s="17" t="s">
        <v>12259</v>
      </c>
      <c r="M5674" s="17"/>
      <c r="N5674" s="17" t="s">
        <v>12260</v>
      </c>
      <c r="O5674" s="17" t="s">
        <v>12409</v>
      </c>
      <c r="P5674" s="17" t="s">
        <v>12417</v>
      </c>
      <c r="Q5674" s="17"/>
      <c r="R5674" s="25" t="str">
        <f>HYPERLINK("https://ictv.global/taxonomy/taxondetails?taxnode_id=202307329","Chaphamaparvovirus rodent1")</f>
        <v>Chaphamaparvovirus rodent1</v>
      </c>
      <c r="S5674" s="18" t="s">
        <v>30</v>
      </c>
      <c r="T5674" s="18" t="s">
        <v>12520</v>
      </c>
      <c r="U5674" s="18" t="s">
        <v>12521</v>
      </c>
      <c r="V5674" s="18"/>
      <c r="W5674" s="18" t="s">
        <v>12522</v>
      </c>
      <c r="X5674" s="18" t="s">
        <v>42</v>
      </c>
      <c r="Y5674" s="18" t="s">
        <v>10535</v>
      </c>
      <c r="Z5674" s="18" t="s">
        <v>166</v>
      </c>
      <c r="AA5674" s="21" t="str">
        <f>HYPERLINK("https://www.ncbi.nlm.nih.gov/nuccore/MH670587","NCBI Nucleotide")</f>
        <v>NCBI Nucleotide</v>
      </c>
    </row>
    <row r="5675" spans="1:27" x14ac:dyDescent="0.35">
      <c r="A5675">
        <v>1007173</v>
      </c>
      <c r="B5675">
        <v>5414</v>
      </c>
      <c r="C5675">
        <v>1</v>
      </c>
      <c r="D5675" s="17" t="s">
        <v>10507</v>
      </c>
      <c r="E5675" s="17"/>
      <c r="F5675" s="17" t="s">
        <v>10780</v>
      </c>
      <c r="G5675" s="17"/>
      <c r="H5675" s="17" t="s">
        <v>10781</v>
      </c>
      <c r="I5675" s="17"/>
      <c r="J5675" s="17" t="s">
        <v>12258</v>
      </c>
      <c r="K5675" s="17"/>
      <c r="L5675" s="17" t="s">
        <v>12259</v>
      </c>
      <c r="M5675" s="17"/>
      <c r="N5675" s="17" t="s">
        <v>12260</v>
      </c>
      <c r="O5675" s="17" t="s">
        <v>12409</v>
      </c>
      <c r="P5675" s="17" t="s">
        <v>12417</v>
      </c>
      <c r="Q5675" s="17"/>
      <c r="R5675" s="25" t="str">
        <f>HYPERLINK("https://ictv.global/taxonomy/taxondetails?taxnode_id=202307330","Chaphamaparvovirus rodent2")</f>
        <v>Chaphamaparvovirus rodent2</v>
      </c>
      <c r="S5675" s="18" t="s">
        <v>30</v>
      </c>
      <c r="T5675" s="18" t="s">
        <v>12523</v>
      </c>
      <c r="U5675" s="18" t="s">
        <v>12524</v>
      </c>
      <c r="V5675" s="18"/>
      <c r="W5675" s="18" t="s">
        <v>12525</v>
      </c>
      <c r="X5675" s="18" t="s">
        <v>35</v>
      </c>
      <c r="Y5675" s="18" t="s">
        <v>10535</v>
      </c>
      <c r="Z5675" s="18" t="s">
        <v>166</v>
      </c>
      <c r="AA5675" s="21" t="str">
        <f>HYPERLINK("https://www.ncbi.nlm.nih.gov/nuccore/KX272741","NCBI Nucleotide")</f>
        <v>NCBI Nucleotide</v>
      </c>
    </row>
    <row r="5676" spans="1:27" x14ac:dyDescent="0.35">
      <c r="A5676">
        <v>1007174</v>
      </c>
      <c r="B5676">
        <v>5415</v>
      </c>
      <c r="C5676">
        <v>1</v>
      </c>
      <c r="D5676" s="17" t="s">
        <v>10507</v>
      </c>
      <c r="E5676" s="17"/>
      <c r="F5676" s="17" t="s">
        <v>10780</v>
      </c>
      <c r="G5676" s="17"/>
      <c r="H5676" s="17" t="s">
        <v>10781</v>
      </c>
      <c r="I5676" s="17"/>
      <c r="J5676" s="17" t="s">
        <v>12258</v>
      </c>
      <c r="K5676" s="17"/>
      <c r="L5676" s="17" t="s">
        <v>12259</v>
      </c>
      <c r="M5676" s="17"/>
      <c r="N5676" s="17" t="s">
        <v>12260</v>
      </c>
      <c r="O5676" s="17" t="s">
        <v>12409</v>
      </c>
      <c r="P5676" s="17" t="s">
        <v>12417</v>
      </c>
      <c r="Q5676" s="17"/>
      <c r="R5676" s="25" t="str">
        <f>HYPERLINK("https://ictv.global/taxonomy/taxondetails?taxnode_id=202314075","Chaphamaparvovirus strigiform1")</f>
        <v>Chaphamaparvovirus strigiform1</v>
      </c>
      <c r="S5676" s="18" t="s">
        <v>30</v>
      </c>
      <c r="T5676" s="18" t="s">
        <v>12526</v>
      </c>
      <c r="U5676" s="18" t="s">
        <v>12527</v>
      </c>
      <c r="V5676" s="18" t="s">
        <v>12528</v>
      </c>
      <c r="W5676" s="18" t="s">
        <v>12529</v>
      </c>
      <c r="X5676" s="18" t="s">
        <v>35</v>
      </c>
      <c r="Y5676" s="18" t="s">
        <v>10535</v>
      </c>
      <c r="Z5676" s="18" t="s">
        <v>166</v>
      </c>
      <c r="AA5676" s="21" t="str">
        <f>HYPERLINK("https://www.ncbi.nlm.nih.gov/nuccore/MT580795","NCBI Nucleotide")</f>
        <v>NCBI Nucleotide</v>
      </c>
    </row>
    <row r="5677" spans="1:27" x14ac:dyDescent="0.35">
      <c r="A5677">
        <v>1007175</v>
      </c>
      <c r="B5677">
        <v>5416</v>
      </c>
      <c r="C5677">
        <v>1</v>
      </c>
      <c r="D5677" s="17" t="s">
        <v>10507</v>
      </c>
      <c r="E5677" s="17"/>
      <c r="F5677" s="17" t="s">
        <v>10780</v>
      </c>
      <c r="G5677" s="17"/>
      <c r="H5677" s="17" t="s">
        <v>10781</v>
      </c>
      <c r="I5677" s="17"/>
      <c r="J5677" s="17" t="s">
        <v>12258</v>
      </c>
      <c r="K5677" s="17"/>
      <c r="L5677" s="17" t="s">
        <v>12259</v>
      </c>
      <c r="M5677" s="17"/>
      <c r="N5677" s="17" t="s">
        <v>12260</v>
      </c>
      <c r="O5677" s="17" t="s">
        <v>12409</v>
      </c>
      <c r="P5677" s="17" t="s">
        <v>12417</v>
      </c>
      <c r="Q5677" s="17"/>
      <c r="R5677" s="25" t="str">
        <f>HYPERLINK("https://ictv.global/taxonomy/taxondetails?taxnode_id=202307328","Chaphamaparvovirus ungulate1")</f>
        <v>Chaphamaparvovirus ungulate1</v>
      </c>
      <c r="S5677" s="18" t="s">
        <v>30</v>
      </c>
      <c r="T5677" s="18" t="s">
        <v>12530</v>
      </c>
      <c r="U5677" s="18" t="s">
        <v>12531</v>
      </c>
      <c r="V5677" s="18"/>
      <c r="W5677" s="18" t="s">
        <v>12532</v>
      </c>
      <c r="X5677" s="18" t="s">
        <v>35</v>
      </c>
      <c r="Y5677" s="18" t="s">
        <v>10535</v>
      </c>
      <c r="Z5677" s="18" t="s">
        <v>166</v>
      </c>
      <c r="AA5677" s="21" t="str">
        <f>HYPERLINK("https://www.ncbi.nlm.nih.gov/nuccore/MG543471","NCBI Nucleotide")</f>
        <v>NCBI Nucleotide</v>
      </c>
    </row>
    <row r="5678" spans="1:27" x14ac:dyDescent="0.35">
      <c r="A5678">
        <v>1007176</v>
      </c>
      <c r="B5678">
        <v>5417</v>
      </c>
      <c r="C5678">
        <v>1</v>
      </c>
      <c r="D5678" s="17" t="s">
        <v>10507</v>
      </c>
      <c r="E5678" s="17"/>
      <c r="F5678" s="17" t="s">
        <v>10780</v>
      </c>
      <c r="G5678" s="17"/>
      <c r="H5678" s="17" t="s">
        <v>10781</v>
      </c>
      <c r="I5678" s="17"/>
      <c r="J5678" s="17" t="s">
        <v>12258</v>
      </c>
      <c r="K5678" s="17"/>
      <c r="L5678" s="17" t="s">
        <v>12259</v>
      </c>
      <c r="M5678" s="17"/>
      <c r="N5678" s="17" t="s">
        <v>12260</v>
      </c>
      <c r="O5678" s="17" t="s">
        <v>12409</v>
      </c>
      <c r="P5678" s="17" t="s">
        <v>12533</v>
      </c>
      <c r="Q5678" s="17"/>
      <c r="R5678" s="25" t="str">
        <f>HYPERLINK("https://ictv.global/taxonomy/taxondetails?taxnode_id=202304224","Hepanhamaparvovirus decapod1")</f>
        <v>Hepanhamaparvovirus decapod1</v>
      </c>
      <c r="S5678" s="18" t="s">
        <v>30</v>
      </c>
      <c r="T5678" s="18" t="s">
        <v>12534</v>
      </c>
      <c r="U5678" s="18" t="s">
        <v>12535</v>
      </c>
      <c r="V5678" s="18"/>
      <c r="W5678" s="18" t="s">
        <v>12536</v>
      </c>
      <c r="X5678" s="18" t="s">
        <v>42</v>
      </c>
      <c r="Y5678" s="18" t="s">
        <v>10535</v>
      </c>
      <c r="Z5678" s="18" t="s">
        <v>10790</v>
      </c>
      <c r="AA5678" s="21" t="str">
        <f>HYPERLINK("https://www.ncbi.nlm.nih.gov/nuccore/GU371276","NCBI Nucleotide")</f>
        <v>NCBI Nucleotide</v>
      </c>
    </row>
    <row r="5679" spans="1:27" x14ac:dyDescent="0.35">
      <c r="A5679">
        <v>1007177</v>
      </c>
      <c r="B5679">
        <v>5418</v>
      </c>
      <c r="C5679">
        <v>1</v>
      </c>
      <c r="D5679" s="17" t="s">
        <v>10507</v>
      </c>
      <c r="E5679" s="17"/>
      <c r="F5679" s="17" t="s">
        <v>10780</v>
      </c>
      <c r="G5679" s="17"/>
      <c r="H5679" s="17" t="s">
        <v>10781</v>
      </c>
      <c r="I5679" s="17"/>
      <c r="J5679" s="17" t="s">
        <v>12258</v>
      </c>
      <c r="K5679" s="17"/>
      <c r="L5679" s="17" t="s">
        <v>12259</v>
      </c>
      <c r="M5679" s="17"/>
      <c r="N5679" s="17" t="s">
        <v>12260</v>
      </c>
      <c r="O5679" s="17" t="s">
        <v>12409</v>
      </c>
      <c r="P5679" s="17" t="s">
        <v>12537</v>
      </c>
      <c r="Q5679" s="17"/>
      <c r="R5679" s="25" t="str">
        <f>HYPERLINK("https://ictv.global/taxonomy/taxondetails?taxnode_id=202307326","Ichtchaphamaparvovirus syngnathid1")</f>
        <v>Ichtchaphamaparvovirus syngnathid1</v>
      </c>
      <c r="S5679" s="18" t="s">
        <v>30</v>
      </c>
      <c r="T5679" s="18" t="s">
        <v>12538</v>
      </c>
      <c r="U5679" s="18" t="s">
        <v>12539</v>
      </c>
      <c r="V5679" s="18"/>
      <c r="W5679" s="18" t="s">
        <v>12540</v>
      </c>
      <c r="X5679" s="18" t="s">
        <v>35</v>
      </c>
      <c r="Y5679" s="18" t="s">
        <v>10535</v>
      </c>
      <c r="Z5679" s="18" t="s">
        <v>166</v>
      </c>
      <c r="AA5679" s="21" t="str">
        <f>HYPERLINK("https://www.ncbi.nlm.nih.gov/nuccore/MN049932","NCBI Nucleotide")</f>
        <v>NCBI Nucleotide</v>
      </c>
    </row>
    <row r="5680" spans="1:27" x14ac:dyDescent="0.35">
      <c r="A5680">
        <v>1007178</v>
      </c>
      <c r="B5680">
        <v>5419</v>
      </c>
      <c r="C5680">
        <v>1</v>
      </c>
      <c r="D5680" s="17" t="s">
        <v>10507</v>
      </c>
      <c r="E5680" s="17"/>
      <c r="F5680" s="17" t="s">
        <v>10780</v>
      </c>
      <c r="G5680" s="17"/>
      <c r="H5680" s="17" t="s">
        <v>10781</v>
      </c>
      <c r="I5680" s="17"/>
      <c r="J5680" s="17" t="s">
        <v>12258</v>
      </c>
      <c r="K5680" s="17"/>
      <c r="L5680" s="17" t="s">
        <v>12259</v>
      </c>
      <c r="M5680" s="17"/>
      <c r="N5680" s="17" t="s">
        <v>12260</v>
      </c>
      <c r="O5680" s="17" t="s">
        <v>12409</v>
      </c>
      <c r="P5680" s="17" t="s">
        <v>12541</v>
      </c>
      <c r="Q5680" s="17"/>
      <c r="R5680" s="25" t="str">
        <f>HYPERLINK("https://ictv.global/taxonomy/taxondetails?taxnode_id=202304232","Penstylhamaparvovirus decapod1")</f>
        <v>Penstylhamaparvovirus decapod1</v>
      </c>
      <c r="S5680" s="18" t="s">
        <v>30</v>
      </c>
      <c r="T5680" s="18" t="s">
        <v>12542</v>
      </c>
      <c r="U5680" s="18" t="s">
        <v>12543</v>
      </c>
      <c r="V5680" s="18"/>
      <c r="W5680" s="18" t="s">
        <v>12544</v>
      </c>
      <c r="X5680" s="18" t="s">
        <v>42</v>
      </c>
      <c r="Y5680" s="18" t="s">
        <v>10535</v>
      </c>
      <c r="Z5680" s="18" t="s">
        <v>10790</v>
      </c>
      <c r="AA5680" s="21" t="str">
        <f>HYPERLINK("https://www.ncbi.nlm.nih.gov/nuccore/AF273215","NCBI Nucleotide")</f>
        <v>NCBI Nucleotide</v>
      </c>
    </row>
    <row r="5681" spans="1:27" x14ac:dyDescent="0.35">
      <c r="A5681">
        <v>1007179</v>
      </c>
      <c r="B5681">
        <v>5420</v>
      </c>
      <c r="C5681">
        <v>1</v>
      </c>
      <c r="D5681" s="17" t="s">
        <v>10507</v>
      </c>
      <c r="E5681" s="17"/>
      <c r="F5681" s="17" t="s">
        <v>10780</v>
      </c>
      <c r="G5681" s="17"/>
      <c r="H5681" s="17" t="s">
        <v>10781</v>
      </c>
      <c r="I5681" s="17"/>
      <c r="J5681" s="17" t="s">
        <v>12258</v>
      </c>
      <c r="K5681" s="17"/>
      <c r="L5681" s="17" t="s">
        <v>12259</v>
      </c>
      <c r="M5681" s="17"/>
      <c r="N5681" s="17" t="s">
        <v>12260</v>
      </c>
      <c r="O5681" s="17" t="s">
        <v>12545</v>
      </c>
      <c r="P5681" s="17" t="s">
        <v>12546</v>
      </c>
      <c r="Q5681" s="17"/>
      <c r="R5681" s="25" t="str">
        <f>HYPERLINK("https://ictv.global/taxonomy/taxondetails?taxnode_id=202304237","Amdoparvovirus carnivoran1")</f>
        <v>Amdoparvovirus carnivoran1</v>
      </c>
      <c r="S5681" s="18" t="s">
        <v>30</v>
      </c>
      <c r="T5681" s="18" t="s">
        <v>12547</v>
      </c>
      <c r="U5681" s="18" t="s">
        <v>12548</v>
      </c>
      <c r="V5681" s="18" t="s">
        <v>12549</v>
      </c>
      <c r="W5681" s="18" t="s">
        <v>12550</v>
      </c>
      <c r="X5681" s="18" t="s">
        <v>42</v>
      </c>
      <c r="Y5681" s="18" t="s">
        <v>10535</v>
      </c>
      <c r="Z5681" s="18" t="s">
        <v>166</v>
      </c>
      <c r="AA5681" s="21" t="str">
        <f>HYPERLINK("https://www.ncbi.nlm.nih.gov/nuccore/M20036","NCBI Nucleotide")</f>
        <v>NCBI Nucleotide</v>
      </c>
    </row>
    <row r="5682" spans="1:27" x14ac:dyDescent="0.35">
      <c r="A5682">
        <v>1012973</v>
      </c>
      <c r="B5682">
        <v>5420</v>
      </c>
      <c r="C5682">
        <v>2</v>
      </c>
      <c r="D5682" s="17" t="s">
        <v>10507</v>
      </c>
      <c r="E5682" s="17"/>
      <c r="F5682" s="17" t="s">
        <v>10780</v>
      </c>
      <c r="G5682" s="17"/>
      <c r="H5682" s="17" t="s">
        <v>10781</v>
      </c>
      <c r="I5682" s="17"/>
      <c r="J5682" s="17" t="s">
        <v>12258</v>
      </c>
      <c r="K5682" s="17"/>
      <c r="L5682" s="17" t="s">
        <v>12259</v>
      </c>
      <c r="M5682" s="17"/>
      <c r="N5682" s="17" t="s">
        <v>12260</v>
      </c>
      <c r="O5682" s="17" t="s">
        <v>12545</v>
      </c>
      <c r="P5682" s="17" t="s">
        <v>12546</v>
      </c>
      <c r="Q5682" s="17"/>
      <c r="R5682" s="25" t="str">
        <f>HYPERLINK("https://ictv.global/taxonomy/taxondetails?taxnode_id=202304237","Amdoparvovirus carnivoran1")</f>
        <v>Amdoparvovirus carnivoran1</v>
      </c>
      <c r="S5682" s="18" t="s">
        <v>8141</v>
      </c>
      <c r="T5682" s="18" t="s">
        <v>40119</v>
      </c>
      <c r="U5682" s="18" t="s">
        <v>40120</v>
      </c>
      <c r="V5682" s="18" t="s">
        <v>50881</v>
      </c>
      <c r="W5682" s="18" t="s">
        <v>48990</v>
      </c>
      <c r="X5682" s="18" t="s">
        <v>42</v>
      </c>
      <c r="Y5682" s="18" t="s">
        <v>10535</v>
      </c>
      <c r="Z5682" s="18" t="s">
        <v>166</v>
      </c>
      <c r="AA5682" s="21" t="str">
        <f>HYPERLINK("https://www.ncbi.nlm.nih.gov/nuccore/KU513985","NCBI Nucleotide")</f>
        <v>NCBI Nucleotide</v>
      </c>
    </row>
    <row r="5683" spans="1:27" x14ac:dyDescent="0.35">
      <c r="A5683">
        <v>1007180</v>
      </c>
      <c r="B5683">
        <v>5421</v>
      </c>
      <c r="C5683">
        <v>1</v>
      </c>
      <c r="D5683" s="17" t="s">
        <v>10507</v>
      </c>
      <c r="E5683" s="17"/>
      <c r="F5683" s="17" t="s">
        <v>10780</v>
      </c>
      <c r="G5683" s="17"/>
      <c r="H5683" s="17" t="s">
        <v>10781</v>
      </c>
      <c r="I5683" s="17"/>
      <c r="J5683" s="17" t="s">
        <v>12258</v>
      </c>
      <c r="K5683" s="17"/>
      <c r="L5683" s="17" t="s">
        <v>12259</v>
      </c>
      <c r="M5683" s="17"/>
      <c r="N5683" s="17" t="s">
        <v>12260</v>
      </c>
      <c r="O5683" s="17" t="s">
        <v>12545</v>
      </c>
      <c r="P5683" s="17" t="s">
        <v>12546</v>
      </c>
      <c r="Q5683" s="17"/>
      <c r="R5683" s="25" t="str">
        <f>HYPERLINK("https://ictv.global/taxonomy/taxondetails?taxnode_id=202304238","Amdoparvovirus carnivoran2")</f>
        <v>Amdoparvovirus carnivoran2</v>
      </c>
      <c r="S5683" s="18" t="s">
        <v>30</v>
      </c>
      <c r="T5683" s="18" t="s">
        <v>12551</v>
      </c>
      <c r="U5683" s="18" t="s">
        <v>12552</v>
      </c>
      <c r="V5683" s="18"/>
      <c r="W5683" s="18" t="s">
        <v>12553</v>
      </c>
      <c r="X5683" s="18" t="s">
        <v>35</v>
      </c>
      <c r="Y5683" s="18" t="s">
        <v>10535</v>
      </c>
      <c r="Z5683" s="18" t="s">
        <v>166</v>
      </c>
      <c r="AA5683" s="21" t="str">
        <f>HYPERLINK("https://www.ncbi.nlm.nih.gov/nuccore/JN202450","NCBI Nucleotide")</f>
        <v>NCBI Nucleotide</v>
      </c>
    </row>
    <row r="5684" spans="1:27" x14ac:dyDescent="0.35">
      <c r="A5684">
        <v>1007181</v>
      </c>
      <c r="B5684">
        <v>5422</v>
      </c>
      <c r="C5684">
        <v>1</v>
      </c>
      <c r="D5684" s="17" t="s">
        <v>10507</v>
      </c>
      <c r="E5684" s="17"/>
      <c r="F5684" s="17" t="s">
        <v>10780</v>
      </c>
      <c r="G5684" s="17"/>
      <c r="H5684" s="17" t="s">
        <v>10781</v>
      </c>
      <c r="I5684" s="17"/>
      <c r="J5684" s="17" t="s">
        <v>12258</v>
      </c>
      <c r="K5684" s="17"/>
      <c r="L5684" s="17" t="s">
        <v>12259</v>
      </c>
      <c r="M5684" s="17"/>
      <c r="N5684" s="17" t="s">
        <v>12260</v>
      </c>
      <c r="O5684" s="17" t="s">
        <v>12545</v>
      </c>
      <c r="P5684" s="17" t="s">
        <v>12546</v>
      </c>
      <c r="Q5684" s="17"/>
      <c r="R5684" s="25" t="str">
        <f>HYPERLINK("https://ictv.global/taxonomy/taxondetails?taxnode_id=202305887","Amdoparvovirus carnivoran3")</f>
        <v>Amdoparvovirus carnivoran3</v>
      </c>
      <c r="S5684" s="18" t="s">
        <v>30</v>
      </c>
      <c r="T5684" s="18" t="s">
        <v>12554</v>
      </c>
      <c r="U5684" s="18" t="s">
        <v>12555</v>
      </c>
      <c r="V5684" s="18" t="s">
        <v>12556</v>
      </c>
      <c r="W5684" s="18" t="s">
        <v>12557</v>
      </c>
      <c r="X5684" s="18" t="s">
        <v>42</v>
      </c>
      <c r="Y5684" s="18" t="s">
        <v>10535</v>
      </c>
      <c r="Z5684" s="18" t="s">
        <v>166</v>
      </c>
      <c r="AA5684" s="21" t="str">
        <f>HYPERLINK("https://www.ncbi.nlm.nih.gov/nuccore/KJ396347","NCBI Nucleotide")</f>
        <v>NCBI Nucleotide</v>
      </c>
    </row>
    <row r="5685" spans="1:27" x14ac:dyDescent="0.35">
      <c r="A5685">
        <v>1007182</v>
      </c>
      <c r="B5685">
        <v>5423</v>
      </c>
      <c r="C5685">
        <v>1</v>
      </c>
      <c r="D5685" s="17" t="s">
        <v>10507</v>
      </c>
      <c r="E5685" s="17"/>
      <c r="F5685" s="17" t="s">
        <v>10780</v>
      </c>
      <c r="G5685" s="17"/>
      <c r="H5685" s="17" t="s">
        <v>10781</v>
      </c>
      <c r="I5685" s="17"/>
      <c r="J5685" s="17" t="s">
        <v>12258</v>
      </c>
      <c r="K5685" s="17"/>
      <c r="L5685" s="17" t="s">
        <v>12259</v>
      </c>
      <c r="M5685" s="17"/>
      <c r="N5685" s="17" t="s">
        <v>12260</v>
      </c>
      <c r="O5685" s="17" t="s">
        <v>12545</v>
      </c>
      <c r="P5685" s="17" t="s">
        <v>12546</v>
      </c>
      <c r="Q5685" s="17"/>
      <c r="R5685" s="25" t="str">
        <f>HYPERLINK("https://ictv.global/taxonomy/taxondetails?taxnode_id=202305888","Amdoparvovirus carnivoran4")</f>
        <v>Amdoparvovirus carnivoran4</v>
      </c>
      <c r="S5685" s="18" t="s">
        <v>30</v>
      </c>
      <c r="T5685" s="18" t="s">
        <v>12558</v>
      </c>
      <c r="U5685" s="18" t="s">
        <v>12559</v>
      </c>
      <c r="V5685" s="18" t="s">
        <v>12560</v>
      </c>
      <c r="W5685" s="18" t="s">
        <v>12561</v>
      </c>
      <c r="X5685" s="18" t="s">
        <v>35</v>
      </c>
      <c r="Y5685" s="18" t="s">
        <v>10535</v>
      </c>
      <c r="Z5685" s="18" t="s">
        <v>166</v>
      </c>
      <c r="AA5685" s="21" t="str">
        <f>HYPERLINK("https://www.ncbi.nlm.nih.gov/nuccore/KX981923","NCBI Nucleotide")</f>
        <v>NCBI Nucleotide</v>
      </c>
    </row>
    <row r="5686" spans="1:27" x14ac:dyDescent="0.35">
      <c r="A5686">
        <v>1007183</v>
      </c>
      <c r="B5686">
        <v>5424</v>
      </c>
      <c r="C5686">
        <v>1</v>
      </c>
      <c r="D5686" s="17" t="s">
        <v>10507</v>
      </c>
      <c r="E5686" s="17"/>
      <c r="F5686" s="17" t="s">
        <v>10780</v>
      </c>
      <c r="G5686" s="17"/>
      <c r="H5686" s="17" t="s">
        <v>10781</v>
      </c>
      <c r="I5686" s="17"/>
      <c r="J5686" s="17" t="s">
        <v>12258</v>
      </c>
      <c r="K5686" s="17"/>
      <c r="L5686" s="17" t="s">
        <v>12259</v>
      </c>
      <c r="M5686" s="17"/>
      <c r="N5686" s="17" t="s">
        <v>12260</v>
      </c>
      <c r="O5686" s="17" t="s">
        <v>12545</v>
      </c>
      <c r="P5686" s="17" t="s">
        <v>12546</v>
      </c>
      <c r="Q5686" s="17"/>
      <c r="R5686" s="25" t="str">
        <f>HYPERLINK("https://ictv.global/taxonomy/taxondetails?taxnode_id=202307355","Amdoparvovirus carnivoran5")</f>
        <v>Amdoparvovirus carnivoran5</v>
      </c>
      <c r="S5686" s="18" t="s">
        <v>30</v>
      </c>
      <c r="T5686" s="18" t="s">
        <v>12562</v>
      </c>
      <c r="U5686" s="18" t="s">
        <v>12563</v>
      </c>
      <c r="V5686" s="18"/>
      <c r="W5686" s="18" t="s">
        <v>12564</v>
      </c>
      <c r="X5686" s="18" t="s">
        <v>42</v>
      </c>
      <c r="Y5686" s="18" t="s">
        <v>10535</v>
      </c>
      <c r="Z5686" s="18" t="s">
        <v>166</v>
      </c>
      <c r="AA5686" s="21" t="str">
        <f>HYPERLINK("https://www.ncbi.nlm.nih.gov/nuccore/KT878839","NCBI Nucleotide")</f>
        <v>NCBI Nucleotide</v>
      </c>
    </row>
    <row r="5687" spans="1:27" x14ac:dyDescent="0.35">
      <c r="A5687">
        <v>1007184</v>
      </c>
      <c r="B5687">
        <v>5425</v>
      </c>
      <c r="C5687">
        <v>1</v>
      </c>
      <c r="D5687" s="17" t="s">
        <v>10507</v>
      </c>
      <c r="E5687" s="17"/>
      <c r="F5687" s="17" t="s">
        <v>10780</v>
      </c>
      <c r="G5687" s="17"/>
      <c r="H5687" s="17" t="s">
        <v>10781</v>
      </c>
      <c r="I5687" s="17"/>
      <c r="J5687" s="17" t="s">
        <v>12258</v>
      </c>
      <c r="K5687" s="17"/>
      <c r="L5687" s="17" t="s">
        <v>12259</v>
      </c>
      <c r="M5687" s="17"/>
      <c r="N5687" s="17" t="s">
        <v>12260</v>
      </c>
      <c r="O5687" s="17" t="s">
        <v>12545</v>
      </c>
      <c r="P5687" s="17" t="s">
        <v>12546</v>
      </c>
      <c r="Q5687" s="17"/>
      <c r="R5687" s="25" t="str">
        <f>HYPERLINK("https://ictv.global/taxonomy/taxondetails?taxnode_id=202314030","Amdoparvovirus carnivoran6")</f>
        <v>Amdoparvovirus carnivoran6</v>
      </c>
      <c r="S5687" s="18" t="s">
        <v>30</v>
      </c>
      <c r="T5687" s="18" t="s">
        <v>12565</v>
      </c>
      <c r="U5687" s="18" t="s">
        <v>12566</v>
      </c>
      <c r="V5687" s="18" t="s">
        <v>12567</v>
      </c>
      <c r="W5687" s="18" t="s">
        <v>12568</v>
      </c>
      <c r="X5687" s="18" t="s">
        <v>35</v>
      </c>
      <c r="Y5687" s="18" t="s">
        <v>10535</v>
      </c>
      <c r="Z5687" s="18" t="s">
        <v>166</v>
      </c>
      <c r="AA5687" s="21" t="str">
        <f>HYPERLINK("https://www.ncbi.nlm.nih.gov/nuccore/MT770849","NCBI Nucleotide")</f>
        <v>NCBI Nucleotide</v>
      </c>
    </row>
    <row r="5688" spans="1:27" x14ac:dyDescent="0.35">
      <c r="A5688">
        <v>1007185</v>
      </c>
      <c r="B5688">
        <v>5426</v>
      </c>
      <c r="C5688">
        <v>1</v>
      </c>
      <c r="D5688" s="17" t="s">
        <v>10507</v>
      </c>
      <c r="E5688" s="17"/>
      <c r="F5688" s="17" t="s">
        <v>10780</v>
      </c>
      <c r="G5688" s="17"/>
      <c r="H5688" s="17" t="s">
        <v>10781</v>
      </c>
      <c r="I5688" s="17"/>
      <c r="J5688" s="17" t="s">
        <v>12258</v>
      </c>
      <c r="K5688" s="17"/>
      <c r="L5688" s="17" t="s">
        <v>12259</v>
      </c>
      <c r="M5688" s="17"/>
      <c r="N5688" s="17" t="s">
        <v>12260</v>
      </c>
      <c r="O5688" s="17" t="s">
        <v>12545</v>
      </c>
      <c r="P5688" s="17" t="s">
        <v>12546</v>
      </c>
      <c r="Q5688" s="17"/>
      <c r="R5688" s="25" t="str">
        <f>HYPERLINK("https://ictv.global/taxonomy/taxondetails?taxnode_id=202314031","Amdoparvovirus carnivoran7")</f>
        <v>Amdoparvovirus carnivoran7</v>
      </c>
      <c r="S5688" s="18" t="s">
        <v>30</v>
      </c>
      <c r="T5688" s="18" t="s">
        <v>12569</v>
      </c>
      <c r="U5688" s="18" t="s">
        <v>12570</v>
      </c>
      <c r="V5688" s="18" t="s">
        <v>12571</v>
      </c>
      <c r="W5688" s="18" t="s">
        <v>12572</v>
      </c>
      <c r="X5688" s="18" t="s">
        <v>35</v>
      </c>
      <c r="Y5688" s="18" t="s">
        <v>10535</v>
      </c>
      <c r="Z5688" s="18" t="s">
        <v>166</v>
      </c>
      <c r="AA5688" s="21" t="str">
        <f>HYPERLINK("https://www.ncbi.nlm.nih.gov/nuccore/MZ357124","NCBI Nucleotide")</f>
        <v>NCBI Nucleotide</v>
      </c>
    </row>
    <row r="5689" spans="1:27" x14ac:dyDescent="0.35">
      <c r="A5689">
        <v>1025314</v>
      </c>
      <c r="B5689">
        <v>5427</v>
      </c>
      <c r="C5689">
        <v>1</v>
      </c>
      <c r="D5689" s="17" t="s">
        <v>10507</v>
      </c>
      <c r="E5689" s="17"/>
      <c r="F5689" s="17" t="s">
        <v>10780</v>
      </c>
      <c r="G5689" s="17"/>
      <c r="H5689" s="17" t="s">
        <v>10781</v>
      </c>
      <c r="I5689" s="17"/>
      <c r="J5689" s="17" t="s">
        <v>12258</v>
      </c>
      <c r="K5689" s="17"/>
      <c r="L5689" s="17" t="s">
        <v>12259</v>
      </c>
      <c r="M5689" s="17"/>
      <c r="N5689" s="17" t="s">
        <v>12260</v>
      </c>
      <c r="O5689" s="17" t="s">
        <v>12545</v>
      </c>
      <c r="P5689" s="17" t="s">
        <v>12546</v>
      </c>
      <c r="Q5689" s="17"/>
      <c r="R5689" s="25" t="str">
        <f>HYPERLINK("https://ictv.global/taxonomy/taxondetails?taxnode_id=202317843","Amdoparvovirus carnivoran8")</f>
        <v>Amdoparvovirus carnivoran8</v>
      </c>
      <c r="S5689" s="18" t="s">
        <v>30</v>
      </c>
      <c r="T5689" s="18" t="s">
        <v>40121</v>
      </c>
      <c r="U5689" s="18" t="s">
        <v>40122</v>
      </c>
      <c r="V5689" s="18"/>
      <c r="W5689" s="18" t="s">
        <v>40123</v>
      </c>
      <c r="X5689" s="18" t="s">
        <v>35</v>
      </c>
      <c r="Y5689" s="18" t="s">
        <v>10535</v>
      </c>
      <c r="Z5689" s="18" t="s">
        <v>166</v>
      </c>
      <c r="AA5689" s="21" t="str">
        <f>HYPERLINK("https://www.ncbi.nlm.nih.gov/nuccore/ON375541","NCBI Nucleotide")</f>
        <v>NCBI Nucleotide</v>
      </c>
    </row>
    <row r="5690" spans="1:27" x14ac:dyDescent="0.35">
      <c r="A5690">
        <v>1012974</v>
      </c>
      <c r="B5690">
        <v>5428</v>
      </c>
      <c r="C5690">
        <v>1</v>
      </c>
      <c r="D5690" s="17" t="s">
        <v>10507</v>
      </c>
      <c r="E5690" s="17"/>
      <c r="F5690" s="17" t="s">
        <v>10780</v>
      </c>
      <c r="G5690" s="17"/>
      <c r="H5690" s="17" t="s">
        <v>10781</v>
      </c>
      <c r="I5690" s="17"/>
      <c r="J5690" s="17" t="s">
        <v>12258</v>
      </c>
      <c r="K5690" s="17"/>
      <c r="L5690" s="17" t="s">
        <v>12259</v>
      </c>
      <c r="M5690" s="17"/>
      <c r="N5690" s="17" t="s">
        <v>12260</v>
      </c>
      <c r="O5690" s="17" t="s">
        <v>12545</v>
      </c>
      <c r="P5690" s="17" t="s">
        <v>12546</v>
      </c>
      <c r="Q5690" s="17"/>
      <c r="R5690" s="25" t="str">
        <f>HYPERLINK("https://ictv.global/taxonomy/taxondetails?taxnode_id=202317844","Amdoparvovirus carnivoran9")</f>
        <v>Amdoparvovirus carnivoran9</v>
      </c>
      <c r="S5690" s="18" t="s">
        <v>30</v>
      </c>
      <c r="T5690" s="18" t="s">
        <v>40124</v>
      </c>
      <c r="U5690" s="18" t="s">
        <v>40125</v>
      </c>
      <c r="V5690" s="18"/>
      <c r="W5690" s="18" t="s">
        <v>40126</v>
      </c>
      <c r="X5690" s="18" t="s">
        <v>42</v>
      </c>
      <c r="Y5690" s="18" t="s">
        <v>10535</v>
      </c>
      <c r="Z5690" s="18" t="s">
        <v>166</v>
      </c>
      <c r="AA5690" s="21" t="str">
        <f>HYPERLINK("https://www.ncbi.nlm.nih.gov/nuccore/MG821261","NCBI Nucleotide")</f>
        <v>NCBI Nucleotide</v>
      </c>
    </row>
    <row r="5691" spans="1:27" x14ac:dyDescent="0.35">
      <c r="A5691">
        <v>1012975</v>
      </c>
      <c r="B5691">
        <v>5429</v>
      </c>
      <c r="C5691">
        <v>1</v>
      </c>
      <c r="D5691" s="17" t="s">
        <v>10507</v>
      </c>
      <c r="E5691" s="17"/>
      <c r="F5691" s="17" t="s">
        <v>10780</v>
      </c>
      <c r="G5691" s="17"/>
      <c r="H5691" s="17" t="s">
        <v>10781</v>
      </c>
      <c r="I5691" s="17"/>
      <c r="J5691" s="17" t="s">
        <v>12258</v>
      </c>
      <c r="K5691" s="17"/>
      <c r="L5691" s="17" t="s">
        <v>12259</v>
      </c>
      <c r="M5691" s="17"/>
      <c r="N5691" s="17" t="s">
        <v>12260</v>
      </c>
      <c r="O5691" s="17" t="s">
        <v>12545</v>
      </c>
      <c r="P5691" s="17" t="s">
        <v>12546</v>
      </c>
      <c r="Q5691" s="17"/>
      <c r="R5691" s="25" t="str">
        <f>HYPERLINK("https://ictv.global/taxonomy/taxondetails?taxnode_id=202317845","Amdoparvovirus carnivoran10")</f>
        <v>Amdoparvovirus carnivoran10</v>
      </c>
      <c r="S5691" s="18" t="s">
        <v>30</v>
      </c>
      <c r="T5691" s="18" t="s">
        <v>40127</v>
      </c>
      <c r="U5691" s="18" t="s">
        <v>40128</v>
      </c>
      <c r="V5691" s="18"/>
      <c r="W5691" s="18" t="s">
        <v>40129</v>
      </c>
      <c r="X5691" s="18" t="s">
        <v>42</v>
      </c>
      <c r="Y5691" s="18" t="s">
        <v>10535</v>
      </c>
      <c r="Z5691" s="18" t="s">
        <v>166</v>
      </c>
      <c r="AA5691" s="21" t="str">
        <f>HYPERLINK("https://www.ncbi.nlm.nih.gov/nuccore/KY680280","NCBI Nucleotide")</f>
        <v>NCBI Nucleotide</v>
      </c>
    </row>
    <row r="5692" spans="1:27" x14ac:dyDescent="0.35">
      <c r="A5692">
        <v>1025316</v>
      </c>
      <c r="B5692">
        <v>5430</v>
      </c>
      <c r="C5692">
        <v>1</v>
      </c>
      <c r="D5692" s="17" t="s">
        <v>10507</v>
      </c>
      <c r="E5692" s="17"/>
      <c r="F5692" s="17" t="s">
        <v>10780</v>
      </c>
      <c r="G5692" s="17"/>
      <c r="H5692" s="17" t="s">
        <v>10781</v>
      </c>
      <c r="I5692" s="17"/>
      <c r="J5692" s="17" t="s">
        <v>12258</v>
      </c>
      <c r="K5692" s="17"/>
      <c r="L5692" s="17" t="s">
        <v>12259</v>
      </c>
      <c r="M5692" s="17"/>
      <c r="N5692" s="17" t="s">
        <v>12260</v>
      </c>
      <c r="O5692" s="17" t="s">
        <v>12545</v>
      </c>
      <c r="P5692" s="17" t="s">
        <v>12546</v>
      </c>
      <c r="Q5692" s="17"/>
      <c r="R5692" s="25" t="str">
        <f>HYPERLINK("https://ictv.global/taxonomy/taxondetails?taxnode_id=202317846","Amdoparvovirus chiropteran1")</f>
        <v>Amdoparvovirus chiropteran1</v>
      </c>
      <c r="S5692" s="18" t="s">
        <v>30</v>
      </c>
      <c r="T5692" s="18" t="s">
        <v>40130</v>
      </c>
      <c r="U5692" s="18" t="s">
        <v>40131</v>
      </c>
      <c r="V5692" s="18"/>
      <c r="W5692" s="18" t="s">
        <v>40132</v>
      </c>
      <c r="X5692" s="18" t="s">
        <v>42</v>
      </c>
      <c r="Y5692" s="18" t="s">
        <v>10535</v>
      </c>
      <c r="Z5692" s="18" t="s">
        <v>166</v>
      </c>
      <c r="AA5692" s="21" t="str">
        <f>HYPERLINK("https://www.ncbi.nlm.nih.gov/nuccore/ON324118","NCBI Nucleotide")</f>
        <v>NCBI Nucleotide</v>
      </c>
    </row>
    <row r="5693" spans="1:27" x14ac:dyDescent="0.35">
      <c r="A5693">
        <v>1007186</v>
      </c>
      <c r="B5693">
        <v>5431</v>
      </c>
      <c r="C5693">
        <v>1</v>
      </c>
      <c r="D5693" s="17" t="s">
        <v>10507</v>
      </c>
      <c r="E5693" s="17"/>
      <c r="F5693" s="17" t="s">
        <v>10780</v>
      </c>
      <c r="G5693" s="17"/>
      <c r="H5693" s="17" t="s">
        <v>10781</v>
      </c>
      <c r="I5693" s="17"/>
      <c r="J5693" s="17" t="s">
        <v>12258</v>
      </c>
      <c r="K5693" s="17"/>
      <c r="L5693" s="17" t="s">
        <v>12259</v>
      </c>
      <c r="M5693" s="17"/>
      <c r="N5693" s="17" t="s">
        <v>12260</v>
      </c>
      <c r="O5693" s="17" t="s">
        <v>12545</v>
      </c>
      <c r="P5693" s="17" t="s">
        <v>12573</v>
      </c>
      <c r="Q5693" s="17"/>
      <c r="R5693" s="25" t="str">
        <f>HYPERLINK("https://ictv.global/taxonomy/taxondetails?taxnode_id=202307337","Artiparvovirus chiropteran1")</f>
        <v>Artiparvovirus chiropteran1</v>
      </c>
      <c r="S5693" s="18" t="s">
        <v>30</v>
      </c>
      <c r="T5693" s="18" t="s">
        <v>12574</v>
      </c>
      <c r="U5693" s="18" t="s">
        <v>12575</v>
      </c>
      <c r="V5693" s="18"/>
      <c r="W5693" s="18" t="s">
        <v>12576</v>
      </c>
      <c r="X5693" s="18" t="s">
        <v>42</v>
      </c>
      <c r="Y5693" s="18" t="s">
        <v>10535</v>
      </c>
      <c r="Z5693" s="18" t="s">
        <v>166</v>
      </c>
      <c r="AA5693" s="21" t="str">
        <f>HYPERLINK("https://www.ncbi.nlm.nih.gov/nuccore/JQ037754","NCBI Nucleotide")</f>
        <v>NCBI Nucleotide</v>
      </c>
    </row>
    <row r="5694" spans="1:27" x14ac:dyDescent="0.35">
      <c r="A5694">
        <v>1007187</v>
      </c>
      <c r="B5694">
        <v>5432</v>
      </c>
      <c r="C5694">
        <v>1</v>
      </c>
      <c r="D5694" s="17" t="s">
        <v>10507</v>
      </c>
      <c r="E5694" s="17"/>
      <c r="F5694" s="17" t="s">
        <v>10780</v>
      </c>
      <c r="G5694" s="17"/>
      <c r="H5694" s="17" t="s">
        <v>10781</v>
      </c>
      <c r="I5694" s="17"/>
      <c r="J5694" s="17" t="s">
        <v>12258</v>
      </c>
      <c r="K5694" s="17"/>
      <c r="L5694" s="17" t="s">
        <v>12259</v>
      </c>
      <c r="M5694" s="17"/>
      <c r="N5694" s="17" t="s">
        <v>12260</v>
      </c>
      <c r="O5694" s="17" t="s">
        <v>12545</v>
      </c>
      <c r="P5694" s="17" t="s">
        <v>12577</v>
      </c>
      <c r="Q5694" s="17"/>
      <c r="R5694" s="25" t="str">
        <f>HYPERLINK("https://ictv.global/taxonomy/taxondetails?taxnode_id=202309279","Aveparvovirus columbid1")</f>
        <v>Aveparvovirus columbid1</v>
      </c>
      <c r="S5694" s="18" t="s">
        <v>30</v>
      </c>
      <c r="T5694" s="18" t="s">
        <v>12578</v>
      </c>
      <c r="U5694" s="18" t="s">
        <v>12579</v>
      </c>
      <c r="V5694" s="18" t="s">
        <v>12580</v>
      </c>
      <c r="W5694" s="18" t="s">
        <v>12581</v>
      </c>
      <c r="X5694" s="18" t="s">
        <v>35</v>
      </c>
      <c r="Y5694" s="18" t="s">
        <v>10535</v>
      </c>
      <c r="Z5694" s="18" t="s">
        <v>166</v>
      </c>
      <c r="AA5694" s="21" t="str">
        <f>HYPERLINK("https://www.ncbi.nlm.nih.gov/nuccore/KC876004","NCBI Nucleotide")</f>
        <v>NCBI Nucleotide</v>
      </c>
    </row>
    <row r="5695" spans="1:27" x14ac:dyDescent="0.35">
      <c r="A5695">
        <v>1007188</v>
      </c>
      <c r="B5695">
        <v>5433</v>
      </c>
      <c r="C5695">
        <v>1</v>
      </c>
      <c r="D5695" s="17" t="s">
        <v>10507</v>
      </c>
      <c r="E5695" s="17"/>
      <c r="F5695" s="17" t="s">
        <v>10780</v>
      </c>
      <c r="G5695" s="17"/>
      <c r="H5695" s="17" t="s">
        <v>10781</v>
      </c>
      <c r="I5695" s="17"/>
      <c r="J5695" s="17" t="s">
        <v>12258</v>
      </c>
      <c r="K5695" s="17"/>
      <c r="L5695" s="17" t="s">
        <v>12259</v>
      </c>
      <c r="M5695" s="17"/>
      <c r="N5695" s="17" t="s">
        <v>12260</v>
      </c>
      <c r="O5695" s="17" t="s">
        <v>12545</v>
      </c>
      <c r="P5695" s="17" t="s">
        <v>12577</v>
      </c>
      <c r="Q5695" s="17"/>
      <c r="R5695" s="25" t="str">
        <f>HYPERLINK("https://ictv.global/taxonomy/taxondetails?taxnode_id=202304240","Aveparvovirus galliform1")</f>
        <v>Aveparvovirus galliform1</v>
      </c>
      <c r="S5695" s="18" t="s">
        <v>30</v>
      </c>
      <c r="T5695" s="18" t="s">
        <v>12582</v>
      </c>
      <c r="U5695" s="18" t="s">
        <v>12583</v>
      </c>
      <c r="V5695" s="18">
        <v>260</v>
      </c>
      <c r="W5695" s="18" t="s">
        <v>12584</v>
      </c>
      <c r="X5695" s="18" t="s">
        <v>42</v>
      </c>
      <c r="Y5695" s="18" t="s">
        <v>10535</v>
      </c>
      <c r="Z5695" s="18" t="s">
        <v>166</v>
      </c>
      <c r="AA5695" s="21" t="str">
        <f>HYPERLINK("https://www.ncbi.nlm.nih.gov/nuccore/GU214706","NCBI Nucleotide")</f>
        <v>NCBI Nucleotide</v>
      </c>
    </row>
    <row r="5696" spans="1:27" x14ac:dyDescent="0.35">
      <c r="A5696">
        <v>1007189</v>
      </c>
      <c r="B5696">
        <v>5434</v>
      </c>
      <c r="C5696">
        <v>1</v>
      </c>
      <c r="D5696" s="17" t="s">
        <v>10507</v>
      </c>
      <c r="E5696" s="17"/>
      <c r="F5696" s="17" t="s">
        <v>10780</v>
      </c>
      <c r="G5696" s="17"/>
      <c r="H5696" s="17" t="s">
        <v>10781</v>
      </c>
      <c r="I5696" s="17"/>
      <c r="J5696" s="17" t="s">
        <v>12258</v>
      </c>
      <c r="K5696" s="17"/>
      <c r="L5696" s="17" t="s">
        <v>12259</v>
      </c>
      <c r="M5696" s="17"/>
      <c r="N5696" s="17" t="s">
        <v>12260</v>
      </c>
      <c r="O5696" s="17" t="s">
        <v>12545</v>
      </c>
      <c r="P5696" s="17" t="s">
        <v>12577</v>
      </c>
      <c r="Q5696" s="17"/>
      <c r="R5696" s="25" t="str">
        <f>HYPERLINK("https://ictv.global/taxonomy/taxondetails?taxnode_id=202307350","Aveparvovirus gruiform1")</f>
        <v>Aveparvovirus gruiform1</v>
      </c>
      <c r="S5696" s="18" t="s">
        <v>30</v>
      </c>
      <c r="T5696" s="18" t="s">
        <v>12585</v>
      </c>
      <c r="U5696" s="18" t="s">
        <v>12586</v>
      </c>
      <c r="V5696" s="18"/>
      <c r="W5696" s="18" t="s">
        <v>12587</v>
      </c>
      <c r="X5696" s="18" t="s">
        <v>42</v>
      </c>
      <c r="Y5696" s="18" t="s">
        <v>10535</v>
      </c>
      <c r="Z5696" s="18" t="s">
        <v>166</v>
      </c>
      <c r="AA5696" s="21" t="str">
        <f>HYPERLINK("https://www.ncbi.nlm.nih.gov/nuccore/KY312546","NCBI Nucleotide")</f>
        <v>NCBI Nucleotide</v>
      </c>
    </row>
    <row r="5697" spans="1:27" x14ac:dyDescent="0.35">
      <c r="A5697">
        <v>1007190</v>
      </c>
      <c r="B5697">
        <v>5435</v>
      </c>
      <c r="C5697">
        <v>1</v>
      </c>
      <c r="D5697" s="17" t="s">
        <v>10507</v>
      </c>
      <c r="E5697" s="17"/>
      <c r="F5697" s="17" t="s">
        <v>10780</v>
      </c>
      <c r="G5697" s="17"/>
      <c r="H5697" s="17" t="s">
        <v>10781</v>
      </c>
      <c r="I5697" s="17"/>
      <c r="J5697" s="17" t="s">
        <v>12258</v>
      </c>
      <c r="K5697" s="17"/>
      <c r="L5697" s="17" t="s">
        <v>12259</v>
      </c>
      <c r="M5697" s="17"/>
      <c r="N5697" s="17" t="s">
        <v>12260</v>
      </c>
      <c r="O5697" s="17" t="s">
        <v>12545</v>
      </c>
      <c r="P5697" s="17" t="s">
        <v>12577</v>
      </c>
      <c r="Q5697" s="17"/>
      <c r="R5697" s="25" t="str">
        <f>HYPERLINK("https://ictv.global/taxonomy/taxondetails?taxnode_id=202314032","Aveparvovirus passeriform1")</f>
        <v>Aveparvovirus passeriform1</v>
      </c>
      <c r="S5697" s="18" t="s">
        <v>30</v>
      </c>
      <c r="T5697" s="18" t="s">
        <v>12588</v>
      </c>
      <c r="U5697" s="18" t="s">
        <v>12589</v>
      </c>
      <c r="V5697" s="18">
        <v>29</v>
      </c>
      <c r="W5697" s="18" t="s">
        <v>12590</v>
      </c>
      <c r="X5697" s="18" t="s">
        <v>35</v>
      </c>
      <c r="Y5697" s="18" t="s">
        <v>10535</v>
      </c>
      <c r="Z5697" s="18" t="s">
        <v>166</v>
      </c>
      <c r="AA5697" s="21" t="str">
        <f>HYPERLINK("https://www.ncbi.nlm.nih.gov/nuccore/MG745672","NCBI Nucleotide")</f>
        <v>NCBI Nucleotide</v>
      </c>
    </row>
    <row r="5698" spans="1:27" x14ac:dyDescent="0.35">
      <c r="A5698">
        <v>1007191</v>
      </c>
      <c r="B5698">
        <v>5436</v>
      </c>
      <c r="C5698">
        <v>1</v>
      </c>
      <c r="D5698" s="17" t="s">
        <v>10507</v>
      </c>
      <c r="E5698" s="17"/>
      <c r="F5698" s="17" t="s">
        <v>10780</v>
      </c>
      <c r="G5698" s="17"/>
      <c r="H5698" s="17" t="s">
        <v>10781</v>
      </c>
      <c r="I5698" s="17"/>
      <c r="J5698" s="17" t="s">
        <v>12258</v>
      </c>
      <c r="K5698" s="17"/>
      <c r="L5698" s="17" t="s">
        <v>12259</v>
      </c>
      <c r="M5698" s="17"/>
      <c r="N5698" s="17" t="s">
        <v>12260</v>
      </c>
      <c r="O5698" s="17" t="s">
        <v>12545</v>
      </c>
      <c r="P5698" s="17" t="s">
        <v>12591</v>
      </c>
      <c r="Q5698" s="17"/>
      <c r="R5698" s="25" t="str">
        <f>HYPERLINK("https://ictv.global/taxonomy/taxondetails?taxnode_id=202304242","Bocaparvovirus carnivoran1")</f>
        <v>Bocaparvovirus carnivoran1</v>
      </c>
      <c r="S5698" s="18" t="s">
        <v>30</v>
      </c>
      <c r="T5698" s="18" t="s">
        <v>12592</v>
      </c>
      <c r="U5698" s="18" t="s">
        <v>12593</v>
      </c>
      <c r="V5698" s="18" t="s">
        <v>12594</v>
      </c>
      <c r="W5698" s="18" t="s">
        <v>12595</v>
      </c>
      <c r="X5698" s="18" t="s">
        <v>42</v>
      </c>
      <c r="Y5698" s="18" t="s">
        <v>10535</v>
      </c>
      <c r="Z5698" s="18" t="s">
        <v>166</v>
      </c>
      <c r="AA5698" s="21" t="str">
        <f>HYPERLINK("https://www.ncbi.nlm.nih.gov/nuccore/FJ214110","NCBI Nucleotide")</f>
        <v>NCBI Nucleotide</v>
      </c>
    </row>
    <row r="5699" spans="1:27" x14ac:dyDescent="0.35">
      <c r="A5699">
        <v>1007192</v>
      </c>
      <c r="B5699">
        <v>5437</v>
      </c>
      <c r="C5699">
        <v>1</v>
      </c>
      <c r="D5699" s="17" t="s">
        <v>10507</v>
      </c>
      <c r="E5699" s="17"/>
      <c r="F5699" s="17" t="s">
        <v>10780</v>
      </c>
      <c r="G5699" s="17"/>
      <c r="H5699" s="17" t="s">
        <v>10781</v>
      </c>
      <c r="I5699" s="17"/>
      <c r="J5699" s="17" t="s">
        <v>12258</v>
      </c>
      <c r="K5699" s="17"/>
      <c r="L5699" s="17" t="s">
        <v>12259</v>
      </c>
      <c r="M5699" s="17"/>
      <c r="N5699" s="17" t="s">
        <v>12260</v>
      </c>
      <c r="O5699" s="17" t="s">
        <v>12545</v>
      </c>
      <c r="P5699" s="17" t="s">
        <v>12591</v>
      </c>
      <c r="Q5699" s="17"/>
      <c r="R5699" s="25" t="str">
        <f>HYPERLINK("https://ictv.global/taxonomy/taxondetails?taxnode_id=202304243","Bocaparvovirus carnivoran2")</f>
        <v>Bocaparvovirus carnivoran2</v>
      </c>
      <c r="S5699" s="18" t="s">
        <v>30</v>
      </c>
      <c r="T5699" s="18" t="s">
        <v>12596</v>
      </c>
      <c r="U5699" s="18" t="s">
        <v>12597</v>
      </c>
      <c r="V5699" s="18" t="s">
        <v>12598</v>
      </c>
      <c r="W5699" s="18" t="s">
        <v>12599</v>
      </c>
      <c r="X5699" s="18" t="s">
        <v>42</v>
      </c>
      <c r="Y5699" s="18" t="s">
        <v>10535</v>
      </c>
      <c r="Z5699" s="18" t="s">
        <v>166</v>
      </c>
      <c r="AA5699" s="21" t="str">
        <f>HYPERLINK("https://www.ncbi.nlm.nih.gov/nuccore/JN648103","NCBI Nucleotide")</f>
        <v>NCBI Nucleotide</v>
      </c>
    </row>
    <row r="5700" spans="1:27" x14ac:dyDescent="0.35">
      <c r="A5700">
        <v>1007193</v>
      </c>
      <c r="B5700">
        <v>5438</v>
      </c>
      <c r="C5700">
        <v>1</v>
      </c>
      <c r="D5700" s="17" t="s">
        <v>10507</v>
      </c>
      <c r="E5700" s="17"/>
      <c r="F5700" s="17" t="s">
        <v>10780</v>
      </c>
      <c r="G5700" s="17"/>
      <c r="H5700" s="17" t="s">
        <v>10781</v>
      </c>
      <c r="I5700" s="17"/>
      <c r="J5700" s="17" t="s">
        <v>12258</v>
      </c>
      <c r="K5700" s="17"/>
      <c r="L5700" s="17" t="s">
        <v>12259</v>
      </c>
      <c r="M5700" s="17"/>
      <c r="N5700" s="17" t="s">
        <v>12260</v>
      </c>
      <c r="O5700" s="17" t="s">
        <v>12545</v>
      </c>
      <c r="P5700" s="17" t="s">
        <v>12591</v>
      </c>
      <c r="Q5700" s="17"/>
      <c r="R5700" s="25" t="str">
        <f>HYPERLINK("https://ictv.global/taxonomy/taxondetails?taxnode_id=202304244","Bocaparvovirus carnivoran3")</f>
        <v>Bocaparvovirus carnivoran3</v>
      </c>
      <c r="S5700" s="18" t="s">
        <v>30</v>
      </c>
      <c r="T5700" s="18" t="s">
        <v>12600</v>
      </c>
      <c r="U5700" s="18" t="s">
        <v>12601</v>
      </c>
      <c r="V5700" s="18" t="s">
        <v>12602</v>
      </c>
      <c r="W5700" s="18" t="s">
        <v>12603</v>
      </c>
      <c r="X5700" s="18" t="s">
        <v>42</v>
      </c>
      <c r="Y5700" s="18" t="s">
        <v>10535</v>
      </c>
      <c r="Z5700" s="18" t="s">
        <v>166</v>
      </c>
      <c r="AA5700" s="21" t="str">
        <f>HYPERLINK("https://www.ncbi.nlm.nih.gov/nuccore/JQ692585","NCBI Nucleotide")</f>
        <v>NCBI Nucleotide</v>
      </c>
    </row>
    <row r="5701" spans="1:27" x14ac:dyDescent="0.35">
      <c r="A5701">
        <v>1007194</v>
      </c>
      <c r="B5701">
        <v>5439</v>
      </c>
      <c r="C5701">
        <v>1</v>
      </c>
      <c r="D5701" s="17" t="s">
        <v>10507</v>
      </c>
      <c r="E5701" s="17"/>
      <c r="F5701" s="17" t="s">
        <v>10780</v>
      </c>
      <c r="G5701" s="17"/>
      <c r="H5701" s="17" t="s">
        <v>10781</v>
      </c>
      <c r="I5701" s="17"/>
      <c r="J5701" s="17" t="s">
        <v>12258</v>
      </c>
      <c r="K5701" s="17"/>
      <c r="L5701" s="17" t="s">
        <v>12259</v>
      </c>
      <c r="M5701" s="17"/>
      <c r="N5701" s="17" t="s">
        <v>12260</v>
      </c>
      <c r="O5701" s="17" t="s">
        <v>12545</v>
      </c>
      <c r="P5701" s="17" t="s">
        <v>12591</v>
      </c>
      <c r="Q5701" s="17"/>
      <c r="R5701" s="25" t="str">
        <f>HYPERLINK("https://ictv.global/taxonomy/taxondetails?taxnode_id=202305889","Bocaparvovirus carnivoran4")</f>
        <v>Bocaparvovirus carnivoran4</v>
      </c>
      <c r="S5701" s="18" t="s">
        <v>30</v>
      </c>
      <c r="T5701" s="18" t="s">
        <v>12604</v>
      </c>
      <c r="U5701" s="18" t="s">
        <v>12605</v>
      </c>
      <c r="V5701" s="18" t="s">
        <v>12606</v>
      </c>
      <c r="W5701" s="18" t="s">
        <v>12607</v>
      </c>
      <c r="X5701" s="18" t="s">
        <v>35</v>
      </c>
      <c r="Y5701" s="18" t="s">
        <v>10535</v>
      </c>
      <c r="Z5701" s="18" t="s">
        <v>166</v>
      </c>
      <c r="AA5701" s="21" t="str">
        <f>HYPERLINK("https://www.ncbi.nlm.nih.gov/nuccore/KF792837","NCBI Nucleotide")</f>
        <v>NCBI Nucleotide</v>
      </c>
    </row>
    <row r="5702" spans="1:27" x14ac:dyDescent="0.35">
      <c r="A5702">
        <v>1007195</v>
      </c>
      <c r="B5702">
        <v>5440</v>
      </c>
      <c r="C5702">
        <v>1</v>
      </c>
      <c r="D5702" s="17" t="s">
        <v>10507</v>
      </c>
      <c r="E5702" s="17"/>
      <c r="F5702" s="17" t="s">
        <v>10780</v>
      </c>
      <c r="G5702" s="17"/>
      <c r="H5702" s="17" t="s">
        <v>10781</v>
      </c>
      <c r="I5702" s="17"/>
      <c r="J5702" s="17" t="s">
        <v>12258</v>
      </c>
      <c r="K5702" s="17"/>
      <c r="L5702" s="17" t="s">
        <v>12259</v>
      </c>
      <c r="M5702" s="17"/>
      <c r="N5702" s="17" t="s">
        <v>12260</v>
      </c>
      <c r="O5702" s="17" t="s">
        <v>12545</v>
      </c>
      <c r="P5702" s="17" t="s">
        <v>12591</v>
      </c>
      <c r="Q5702" s="17"/>
      <c r="R5702" s="25" t="str">
        <f>HYPERLINK("https://ictv.global/taxonomy/taxondetails?taxnode_id=202305890","Bocaparvovirus carnivoran5")</f>
        <v>Bocaparvovirus carnivoran5</v>
      </c>
      <c r="S5702" s="18" t="s">
        <v>30</v>
      </c>
      <c r="T5702" s="18" t="s">
        <v>12608</v>
      </c>
      <c r="U5702" s="18" t="s">
        <v>12609</v>
      </c>
      <c r="V5702" s="18" t="s">
        <v>12610</v>
      </c>
      <c r="W5702" s="18" t="s">
        <v>12611</v>
      </c>
      <c r="X5702" s="18" t="s">
        <v>35</v>
      </c>
      <c r="Y5702" s="18" t="s">
        <v>10535</v>
      </c>
      <c r="Z5702" s="18" t="s">
        <v>166</v>
      </c>
      <c r="AA5702" s="21" t="str">
        <f>HYPERLINK("https://www.ncbi.nlm.nih.gov/nuccore/KM017744","NCBI Nucleotide")</f>
        <v>NCBI Nucleotide</v>
      </c>
    </row>
    <row r="5703" spans="1:27" x14ac:dyDescent="0.35">
      <c r="A5703">
        <v>1007196</v>
      </c>
      <c r="B5703">
        <v>5441</v>
      </c>
      <c r="C5703">
        <v>1</v>
      </c>
      <c r="D5703" s="17" t="s">
        <v>10507</v>
      </c>
      <c r="E5703" s="17"/>
      <c r="F5703" s="17" t="s">
        <v>10780</v>
      </c>
      <c r="G5703" s="17"/>
      <c r="H5703" s="17" t="s">
        <v>10781</v>
      </c>
      <c r="I5703" s="17"/>
      <c r="J5703" s="17" t="s">
        <v>12258</v>
      </c>
      <c r="K5703" s="17"/>
      <c r="L5703" s="17" t="s">
        <v>12259</v>
      </c>
      <c r="M5703" s="17"/>
      <c r="N5703" s="17" t="s">
        <v>12260</v>
      </c>
      <c r="O5703" s="17" t="s">
        <v>12545</v>
      </c>
      <c r="P5703" s="17" t="s">
        <v>12591</v>
      </c>
      <c r="Q5703" s="17"/>
      <c r="R5703" s="25" t="str">
        <f>HYPERLINK("https://ictv.global/taxonomy/taxondetails?taxnode_id=202305891","Bocaparvovirus carnivoran6")</f>
        <v>Bocaparvovirus carnivoran6</v>
      </c>
      <c r="S5703" s="18" t="s">
        <v>30</v>
      </c>
      <c r="T5703" s="18" t="s">
        <v>12612</v>
      </c>
      <c r="U5703" s="18" t="s">
        <v>12613</v>
      </c>
      <c r="V5703" s="18"/>
      <c r="W5703" s="18" t="s">
        <v>12614</v>
      </c>
      <c r="X5703" s="18" t="s">
        <v>35</v>
      </c>
      <c r="Y5703" s="18" t="s">
        <v>10535</v>
      </c>
      <c r="Z5703" s="18" t="s">
        <v>166</v>
      </c>
      <c r="AA5703" s="21" t="str">
        <f>HYPERLINK("https://www.ncbi.nlm.nih.gov/nuccore/KU950356","NCBI Nucleotide")</f>
        <v>NCBI Nucleotide</v>
      </c>
    </row>
    <row r="5704" spans="1:27" x14ac:dyDescent="0.35">
      <c r="A5704">
        <v>1007197</v>
      </c>
      <c r="B5704">
        <v>5442</v>
      </c>
      <c r="C5704">
        <v>1</v>
      </c>
      <c r="D5704" s="17" t="s">
        <v>10507</v>
      </c>
      <c r="E5704" s="17"/>
      <c r="F5704" s="17" t="s">
        <v>10780</v>
      </c>
      <c r="G5704" s="17"/>
      <c r="H5704" s="17" t="s">
        <v>10781</v>
      </c>
      <c r="I5704" s="17"/>
      <c r="J5704" s="17" t="s">
        <v>12258</v>
      </c>
      <c r="K5704" s="17"/>
      <c r="L5704" s="17" t="s">
        <v>12259</v>
      </c>
      <c r="M5704" s="17"/>
      <c r="N5704" s="17" t="s">
        <v>12260</v>
      </c>
      <c r="O5704" s="17" t="s">
        <v>12545</v>
      </c>
      <c r="P5704" s="17" t="s">
        <v>12591</v>
      </c>
      <c r="Q5704" s="17"/>
      <c r="R5704" s="25" t="str">
        <f>HYPERLINK("https://ictv.global/taxonomy/taxondetails?taxnode_id=202314033","Bocaparvovirus carnivoran7")</f>
        <v>Bocaparvovirus carnivoran7</v>
      </c>
      <c r="S5704" s="18" t="s">
        <v>30</v>
      </c>
      <c r="T5704" s="18" t="s">
        <v>12615</v>
      </c>
      <c r="U5704" s="18" t="s">
        <v>12616</v>
      </c>
      <c r="V5704" s="18" t="s">
        <v>12617</v>
      </c>
      <c r="W5704" s="18" t="s">
        <v>12618</v>
      </c>
      <c r="X5704" s="18" t="s">
        <v>42</v>
      </c>
      <c r="Y5704" s="18" t="s">
        <v>10535</v>
      </c>
      <c r="Z5704" s="18" t="s">
        <v>166</v>
      </c>
      <c r="AA5704" s="21" t="str">
        <f>HYPERLINK("https://www.ncbi.nlm.nih.gov/nuccore/KC580640","NCBI Nucleotide")</f>
        <v>NCBI Nucleotide</v>
      </c>
    </row>
    <row r="5705" spans="1:27" x14ac:dyDescent="0.35">
      <c r="A5705">
        <v>1007198</v>
      </c>
      <c r="B5705">
        <v>5443</v>
      </c>
      <c r="C5705">
        <v>1</v>
      </c>
      <c r="D5705" s="17" t="s">
        <v>10507</v>
      </c>
      <c r="E5705" s="17"/>
      <c r="F5705" s="17" t="s">
        <v>10780</v>
      </c>
      <c r="G5705" s="17"/>
      <c r="H5705" s="17" t="s">
        <v>10781</v>
      </c>
      <c r="I5705" s="17"/>
      <c r="J5705" s="17" t="s">
        <v>12258</v>
      </c>
      <c r="K5705" s="17"/>
      <c r="L5705" s="17" t="s">
        <v>12259</v>
      </c>
      <c r="M5705" s="17"/>
      <c r="N5705" s="17" t="s">
        <v>12260</v>
      </c>
      <c r="O5705" s="17" t="s">
        <v>12545</v>
      </c>
      <c r="P5705" s="17" t="s">
        <v>12591</v>
      </c>
      <c r="Q5705" s="17"/>
      <c r="R5705" s="25" t="str">
        <f>HYPERLINK("https://ictv.global/taxonomy/taxondetails?taxnode_id=202305892","Bocaparvovirus chiropteran1")</f>
        <v>Bocaparvovirus chiropteran1</v>
      </c>
      <c r="S5705" s="18" t="s">
        <v>30</v>
      </c>
      <c r="T5705" s="18" t="s">
        <v>12619</v>
      </c>
      <c r="U5705" s="18" t="s">
        <v>12620</v>
      </c>
      <c r="V5705" s="18"/>
      <c r="W5705" s="18" t="s">
        <v>12621</v>
      </c>
      <c r="X5705" s="18" t="s">
        <v>35</v>
      </c>
      <c r="Y5705" s="18" t="s">
        <v>10535</v>
      </c>
      <c r="Z5705" s="18" t="s">
        <v>166</v>
      </c>
      <c r="AA5705" s="21" t="str">
        <f>HYPERLINK("https://www.ncbi.nlm.nih.gov/nuccore/JQ814850","NCBI Nucleotide")</f>
        <v>NCBI Nucleotide</v>
      </c>
    </row>
    <row r="5706" spans="1:27" x14ac:dyDescent="0.35">
      <c r="A5706">
        <v>1007199</v>
      </c>
      <c r="B5706">
        <v>5444</v>
      </c>
      <c r="C5706">
        <v>1</v>
      </c>
      <c r="D5706" s="17" t="s">
        <v>10507</v>
      </c>
      <c r="E5706" s="17"/>
      <c r="F5706" s="17" t="s">
        <v>10780</v>
      </c>
      <c r="G5706" s="17"/>
      <c r="H5706" s="17" t="s">
        <v>10781</v>
      </c>
      <c r="I5706" s="17"/>
      <c r="J5706" s="17" t="s">
        <v>12258</v>
      </c>
      <c r="K5706" s="17"/>
      <c r="L5706" s="17" t="s">
        <v>12259</v>
      </c>
      <c r="M5706" s="17"/>
      <c r="N5706" s="17" t="s">
        <v>12260</v>
      </c>
      <c r="O5706" s="17" t="s">
        <v>12545</v>
      </c>
      <c r="P5706" s="17" t="s">
        <v>12591</v>
      </c>
      <c r="Q5706" s="17"/>
      <c r="R5706" s="25" t="str">
        <f>HYPERLINK("https://ictv.global/taxonomy/taxondetails?taxnode_id=202305893","Bocaparvovirus chiropteran2")</f>
        <v>Bocaparvovirus chiropteran2</v>
      </c>
      <c r="S5706" s="18" t="s">
        <v>30</v>
      </c>
      <c r="T5706" s="18" t="s">
        <v>12622</v>
      </c>
      <c r="U5706" s="18" t="s">
        <v>12623</v>
      </c>
      <c r="V5706" s="18" t="s">
        <v>12624</v>
      </c>
      <c r="W5706" s="18" t="s">
        <v>12625</v>
      </c>
      <c r="X5706" s="18" t="s">
        <v>35</v>
      </c>
      <c r="Y5706" s="18" t="s">
        <v>10535</v>
      </c>
      <c r="Z5706" s="18" t="s">
        <v>166</v>
      </c>
      <c r="AA5706" s="21" t="str">
        <f>HYPERLINK("https://www.ncbi.nlm.nih.gov/nuccore/KC339251","NCBI Nucleotide")</f>
        <v>NCBI Nucleotide</v>
      </c>
    </row>
    <row r="5707" spans="1:27" x14ac:dyDescent="0.35">
      <c r="A5707">
        <v>1007200</v>
      </c>
      <c r="B5707">
        <v>5445</v>
      </c>
      <c r="C5707">
        <v>1</v>
      </c>
      <c r="D5707" s="17" t="s">
        <v>10507</v>
      </c>
      <c r="E5707" s="17"/>
      <c r="F5707" s="17" t="s">
        <v>10780</v>
      </c>
      <c r="G5707" s="17"/>
      <c r="H5707" s="17" t="s">
        <v>10781</v>
      </c>
      <c r="I5707" s="17"/>
      <c r="J5707" s="17" t="s">
        <v>12258</v>
      </c>
      <c r="K5707" s="17"/>
      <c r="L5707" s="17" t="s">
        <v>12259</v>
      </c>
      <c r="M5707" s="17"/>
      <c r="N5707" s="17" t="s">
        <v>12260</v>
      </c>
      <c r="O5707" s="17" t="s">
        <v>12545</v>
      </c>
      <c r="P5707" s="17" t="s">
        <v>12591</v>
      </c>
      <c r="Q5707" s="17"/>
      <c r="R5707" s="25" t="str">
        <f>HYPERLINK("https://ictv.global/taxonomy/taxondetails?taxnode_id=202305894","Bocaparvovirus chiropteran3")</f>
        <v>Bocaparvovirus chiropteran3</v>
      </c>
      <c r="S5707" s="18" t="s">
        <v>30</v>
      </c>
      <c r="T5707" s="18" t="s">
        <v>12626</v>
      </c>
      <c r="U5707" s="18" t="s">
        <v>12627</v>
      </c>
      <c r="V5707" s="18" t="s">
        <v>12628</v>
      </c>
      <c r="W5707" s="18" t="s">
        <v>12629</v>
      </c>
      <c r="X5707" s="18" t="s">
        <v>35</v>
      </c>
      <c r="Y5707" s="18" t="s">
        <v>10535</v>
      </c>
      <c r="Z5707" s="18" t="s">
        <v>166</v>
      </c>
      <c r="AA5707" s="21" t="str">
        <f>HYPERLINK("https://www.ncbi.nlm.nih.gov/nuccore/KC339250","NCBI Nucleotide")</f>
        <v>NCBI Nucleotide</v>
      </c>
    </row>
    <row r="5708" spans="1:27" x14ac:dyDescent="0.35">
      <c r="A5708">
        <v>1007201</v>
      </c>
      <c r="B5708">
        <v>5446</v>
      </c>
      <c r="C5708">
        <v>1</v>
      </c>
      <c r="D5708" s="17" t="s">
        <v>10507</v>
      </c>
      <c r="E5708" s="17"/>
      <c r="F5708" s="17" t="s">
        <v>10780</v>
      </c>
      <c r="G5708" s="17"/>
      <c r="H5708" s="17" t="s">
        <v>10781</v>
      </c>
      <c r="I5708" s="17"/>
      <c r="J5708" s="17" t="s">
        <v>12258</v>
      </c>
      <c r="K5708" s="17"/>
      <c r="L5708" s="17" t="s">
        <v>12259</v>
      </c>
      <c r="M5708" s="17"/>
      <c r="N5708" s="17" t="s">
        <v>12260</v>
      </c>
      <c r="O5708" s="17" t="s">
        <v>12545</v>
      </c>
      <c r="P5708" s="17" t="s">
        <v>12591</v>
      </c>
      <c r="Q5708" s="17"/>
      <c r="R5708" s="25" t="str">
        <f>HYPERLINK("https://ictv.global/taxonomy/taxondetails?taxnode_id=202305895","Bocaparvovirus chiropteran4")</f>
        <v>Bocaparvovirus chiropteran4</v>
      </c>
      <c r="S5708" s="18" t="s">
        <v>30</v>
      </c>
      <c r="T5708" s="18" t="s">
        <v>12630</v>
      </c>
      <c r="U5708" s="18" t="s">
        <v>12631</v>
      </c>
      <c r="V5708" s="18" t="s">
        <v>12632</v>
      </c>
      <c r="W5708" s="18" t="s">
        <v>12633</v>
      </c>
      <c r="X5708" s="18" t="s">
        <v>35</v>
      </c>
      <c r="Y5708" s="18" t="s">
        <v>10535</v>
      </c>
      <c r="Z5708" s="18" t="s">
        <v>166</v>
      </c>
      <c r="AA5708" s="21" t="str">
        <f>HYPERLINK("https://www.ncbi.nlm.nih.gov/nuccore/KU321654","NCBI Nucleotide")</f>
        <v>NCBI Nucleotide</v>
      </c>
    </row>
    <row r="5709" spans="1:27" x14ac:dyDescent="0.35">
      <c r="A5709">
        <v>1007202</v>
      </c>
      <c r="B5709">
        <v>5447</v>
      </c>
      <c r="C5709">
        <v>1</v>
      </c>
      <c r="D5709" s="17" t="s">
        <v>10507</v>
      </c>
      <c r="E5709" s="17"/>
      <c r="F5709" s="17" t="s">
        <v>10780</v>
      </c>
      <c r="G5709" s="17"/>
      <c r="H5709" s="17" t="s">
        <v>10781</v>
      </c>
      <c r="I5709" s="17"/>
      <c r="J5709" s="17" t="s">
        <v>12258</v>
      </c>
      <c r="K5709" s="17"/>
      <c r="L5709" s="17" t="s">
        <v>12259</v>
      </c>
      <c r="M5709" s="17"/>
      <c r="N5709" s="17" t="s">
        <v>12260</v>
      </c>
      <c r="O5709" s="17" t="s">
        <v>12545</v>
      </c>
      <c r="P5709" s="17" t="s">
        <v>12591</v>
      </c>
      <c r="Q5709" s="17"/>
      <c r="R5709" s="25" t="str">
        <f>HYPERLINK("https://ictv.global/taxonomy/taxondetails?taxnode_id=202309280","Bocaparvovirus chiropteran5")</f>
        <v>Bocaparvovirus chiropteran5</v>
      </c>
      <c r="S5709" s="18" t="s">
        <v>30</v>
      </c>
      <c r="T5709" s="18" t="s">
        <v>12634</v>
      </c>
      <c r="U5709" s="18" t="s">
        <v>12635</v>
      </c>
      <c r="V5709" s="18" t="s">
        <v>12636</v>
      </c>
      <c r="W5709" s="18" t="s">
        <v>12637</v>
      </c>
      <c r="X5709" s="18" t="s">
        <v>42</v>
      </c>
      <c r="Y5709" s="18" t="s">
        <v>10535</v>
      </c>
      <c r="Z5709" s="18" t="s">
        <v>166</v>
      </c>
      <c r="AA5709" s="21" t="str">
        <f>HYPERLINK("https://www.ncbi.nlm.nih.gov/nuccore/MF682925","NCBI Nucleotide")</f>
        <v>NCBI Nucleotide</v>
      </c>
    </row>
    <row r="5710" spans="1:27" x14ac:dyDescent="0.35">
      <c r="A5710">
        <v>1007203</v>
      </c>
      <c r="B5710">
        <v>5448</v>
      </c>
      <c r="C5710">
        <v>1</v>
      </c>
      <c r="D5710" s="17" t="s">
        <v>10507</v>
      </c>
      <c r="E5710" s="17"/>
      <c r="F5710" s="17" t="s">
        <v>10780</v>
      </c>
      <c r="G5710" s="17"/>
      <c r="H5710" s="17" t="s">
        <v>10781</v>
      </c>
      <c r="I5710" s="17"/>
      <c r="J5710" s="17" t="s">
        <v>12258</v>
      </c>
      <c r="K5710" s="17"/>
      <c r="L5710" s="17" t="s">
        <v>12259</v>
      </c>
      <c r="M5710" s="17"/>
      <c r="N5710" s="17" t="s">
        <v>12260</v>
      </c>
      <c r="O5710" s="17" t="s">
        <v>12545</v>
      </c>
      <c r="P5710" s="17" t="s">
        <v>12591</v>
      </c>
      <c r="Q5710" s="17"/>
      <c r="R5710" s="25" t="str">
        <f>HYPERLINK("https://ictv.global/taxonomy/taxondetails?taxnode_id=202314034","Bocaparvovirus incertum1")</f>
        <v>Bocaparvovirus incertum1</v>
      </c>
      <c r="S5710" s="18" t="s">
        <v>30</v>
      </c>
      <c r="T5710" s="18" t="s">
        <v>12638</v>
      </c>
      <c r="U5710" s="18" t="s">
        <v>12639</v>
      </c>
      <c r="V5710" s="18" t="s">
        <v>12403</v>
      </c>
      <c r="W5710" s="18" t="s">
        <v>12640</v>
      </c>
      <c r="X5710" s="18" t="s">
        <v>35</v>
      </c>
      <c r="Y5710" s="18" t="s">
        <v>10535</v>
      </c>
      <c r="Z5710" s="18" t="s">
        <v>166</v>
      </c>
      <c r="AA5710" s="21" t="str">
        <f>HYPERLINK("https://www.ncbi.nlm.nih.gov/nuccore/KY214448","NCBI Nucleotide")</f>
        <v>NCBI Nucleotide</v>
      </c>
    </row>
    <row r="5711" spans="1:27" x14ac:dyDescent="0.35">
      <c r="A5711">
        <v>1007204</v>
      </c>
      <c r="B5711">
        <v>5449</v>
      </c>
      <c r="C5711">
        <v>1</v>
      </c>
      <c r="D5711" s="17" t="s">
        <v>10507</v>
      </c>
      <c r="E5711" s="17"/>
      <c r="F5711" s="17" t="s">
        <v>10780</v>
      </c>
      <c r="G5711" s="17"/>
      <c r="H5711" s="17" t="s">
        <v>10781</v>
      </c>
      <c r="I5711" s="17"/>
      <c r="J5711" s="17" t="s">
        <v>12258</v>
      </c>
      <c r="K5711" s="17"/>
      <c r="L5711" s="17" t="s">
        <v>12259</v>
      </c>
      <c r="M5711" s="17"/>
      <c r="N5711" s="17" t="s">
        <v>12260</v>
      </c>
      <c r="O5711" s="17" t="s">
        <v>12545</v>
      </c>
      <c r="P5711" s="17" t="s">
        <v>12591</v>
      </c>
      <c r="Q5711" s="17"/>
      <c r="R5711" s="25" t="str">
        <f>HYPERLINK("https://ictv.global/taxonomy/taxondetails?taxnode_id=202305896","Bocaparvovirus lagomorph1")</f>
        <v>Bocaparvovirus lagomorph1</v>
      </c>
      <c r="S5711" s="18" t="s">
        <v>30</v>
      </c>
      <c r="T5711" s="18" t="s">
        <v>12641</v>
      </c>
      <c r="U5711" s="18" t="s">
        <v>12642</v>
      </c>
      <c r="V5711" s="18" t="s">
        <v>12643</v>
      </c>
      <c r="W5711" s="18" t="s">
        <v>12644</v>
      </c>
      <c r="X5711" s="18" t="s">
        <v>35</v>
      </c>
      <c r="Y5711" s="18" t="s">
        <v>10535</v>
      </c>
      <c r="Z5711" s="18" t="s">
        <v>166</v>
      </c>
      <c r="AA5711" s="21" t="str">
        <f>HYPERLINK("https://www.ncbi.nlm.nih.gov/nuccore/KP729195","NCBI Nucleotide")</f>
        <v>NCBI Nucleotide</v>
      </c>
    </row>
    <row r="5712" spans="1:27" x14ac:dyDescent="0.35">
      <c r="A5712">
        <v>1007205</v>
      </c>
      <c r="B5712">
        <v>5450</v>
      </c>
      <c r="C5712">
        <v>1</v>
      </c>
      <c r="D5712" s="17" t="s">
        <v>10507</v>
      </c>
      <c r="E5712" s="17"/>
      <c r="F5712" s="17" t="s">
        <v>10780</v>
      </c>
      <c r="G5712" s="17"/>
      <c r="H5712" s="17" t="s">
        <v>10781</v>
      </c>
      <c r="I5712" s="17"/>
      <c r="J5712" s="17" t="s">
        <v>12258</v>
      </c>
      <c r="K5712" s="17"/>
      <c r="L5712" s="17" t="s">
        <v>12259</v>
      </c>
      <c r="M5712" s="17"/>
      <c r="N5712" s="17" t="s">
        <v>12260</v>
      </c>
      <c r="O5712" s="17" t="s">
        <v>12545</v>
      </c>
      <c r="P5712" s="17" t="s">
        <v>12591</v>
      </c>
      <c r="Q5712" s="17"/>
      <c r="R5712" s="25" t="str">
        <f>HYPERLINK("https://ictv.global/taxonomy/taxondetails?taxnode_id=202304245","Bocaparvovirus pinniped1")</f>
        <v>Bocaparvovirus pinniped1</v>
      </c>
      <c r="S5712" s="18" t="s">
        <v>30</v>
      </c>
      <c r="T5712" s="18" t="s">
        <v>12645</v>
      </c>
      <c r="U5712" s="18" t="s">
        <v>12646</v>
      </c>
      <c r="V5712" s="18">
        <v>1153</v>
      </c>
      <c r="W5712" s="18" t="s">
        <v>12647</v>
      </c>
      <c r="X5712" s="18" t="s">
        <v>35</v>
      </c>
      <c r="Y5712" s="18" t="s">
        <v>10535</v>
      </c>
      <c r="Z5712" s="18" t="s">
        <v>166</v>
      </c>
      <c r="AA5712" s="21" t="str">
        <f>HYPERLINK("https://www.ncbi.nlm.nih.gov/nuccore/JN420361","NCBI Nucleotide")</f>
        <v>NCBI Nucleotide</v>
      </c>
    </row>
    <row r="5713" spans="1:27" x14ac:dyDescent="0.35">
      <c r="A5713">
        <v>1007206</v>
      </c>
      <c r="B5713">
        <v>5451</v>
      </c>
      <c r="C5713">
        <v>1</v>
      </c>
      <c r="D5713" s="17" t="s">
        <v>10507</v>
      </c>
      <c r="E5713" s="17"/>
      <c r="F5713" s="17" t="s">
        <v>10780</v>
      </c>
      <c r="G5713" s="17"/>
      <c r="H5713" s="17" t="s">
        <v>10781</v>
      </c>
      <c r="I5713" s="17"/>
      <c r="J5713" s="17" t="s">
        <v>12258</v>
      </c>
      <c r="K5713" s="17"/>
      <c r="L5713" s="17" t="s">
        <v>12259</v>
      </c>
      <c r="M5713" s="17"/>
      <c r="N5713" s="17" t="s">
        <v>12260</v>
      </c>
      <c r="O5713" s="17" t="s">
        <v>12545</v>
      </c>
      <c r="P5713" s="17" t="s">
        <v>12591</v>
      </c>
      <c r="Q5713" s="17"/>
      <c r="R5713" s="25" t="str">
        <f>HYPERLINK("https://ictv.global/taxonomy/taxondetails?taxnode_id=202304246","Bocaparvovirus pinniped2")</f>
        <v>Bocaparvovirus pinniped2</v>
      </c>
      <c r="S5713" s="18" t="s">
        <v>30</v>
      </c>
      <c r="T5713" s="18" t="s">
        <v>12648</v>
      </c>
      <c r="U5713" s="18" t="s">
        <v>12649</v>
      </c>
      <c r="V5713" s="18">
        <v>9805</v>
      </c>
      <c r="W5713" s="18" t="s">
        <v>12650</v>
      </c>
      <c r="X5713" s="18" t="s">
        <v>35</v>
      </c>
      <c r="Y5713" s="18" t="s">
        <v>10535</v>
      </c>
      <c r="Z5713" s="18" t="s">
        <v>166</v>
      </c>
      <c r="AA5713" s="21" t="str">
        <f>HYPERLINK("https://www.ncbi.nlm.nih.gov/nuccore/JN420365","NCBI Nucleotide")</f>
        <v>NCBI Nucleotide</v>
      </c>
    </row>
    <row r="5714" spans="1:27" x14ac:dyDescent="0.35">
      <c r="A5714">
        <v>1007207</v>
      </c>
      <c r="B5714">
        <v>5452</v>
      </c>
      <c r="C5714">
        <v>1</v>
      </c>
      <c r="D5714" s="17" t="s">
        <v>10507</v>
      </c>
      <c r="E5714" s="17"/>
      <c r="F5714" s="17" t="s">
        <v>10780</v>
      </c>
      <c r="G5714" s="17"/>
      <c r="H5714" s="17" t="s">
        <v>10781</v>
      </c>
      <c r="I5714" s="17"/>
      <c r="J5714" s="17" t="s">
        <v>12258</v>
      </c>
      <c r="K5714" s="17"/>
      <c r="L5714" s="17" t="s">
        <v>12259</v>
      </c>
      <c r="M5714" s="17"/>
      <c r="N5714" s="17" t="s">
        <v>12260</v>
      </c>
      <c r="O5714" s="17" t="s">
        <v>12545</v>
      </c>
      <c r="P5714" s="17" t="s">
        <v>12591</v>
      </c>
      <c r="Q5714" s="17"/>
      <c r="R5714" s="25" t="str">
        <f>HYPERLINK("https://ictv.global/taxonomy/taxondetails?taxnode_id=202304247","Bocaparvovirus primate1")</f>
        <v>Bocaparvovirus primate1</v>
      </c>
      <c r="S5714" s="18" t="s">
        <v>30</v>
      </c>
      <c r="T5714" s="18" t="s">
        <v>12651</v>
      </c>
      <c r="U5714" s="18" t="s">
        <v>12652</v>
      </c>
      <c r="V5714" s="18" t="s">
        <v>12653</v>
      </c>
      <c r="W5714" s="18" t="s">
        <v>12654</v>
      </c>
      <c r="X5714" s="18" t="s">
        <v>42</v>
      </c>
      <c r="Y5714" s="18" t="s">
        <v>10535</v>
      </c>
      <c r="Z5714" s="18" t="s">
        <v>166</v>
      </c>
      <c r="AA5714" s="21" t="str">
        <f>HYPERLINK("https://www.ncbi.nlm.nih.gov/nuccore/JQ923422","NCBI Nucleotide")</f>
        <v>NCBI Nucleotide</v>
      </c>
    </row>
    <row r="5715" spans="1:27" x14ac:dyDescent="0.35">
      <c r="A5715">
        <v>1007208</v>
      </c>
      <c r="B5715">
        <v>5453</v>
      </c>
      <c r="C5715">
        <v>1</v>
      </c>
      <c r="D5715" s="17" t="s">
        <v>10507</v>
      </c>
      <c r="E5715" s="17"/>
      <c r="F5715" s="17" t="s">
        <v>10780</v>
      </c>
      <c r="G5715" s="17"/>
      <c r="H5715" s="17" t="s">
        <v>10781</v>
      </c>
      <c r="I5715" s="17"/>
      <c r="J5715" s="17" t="s">
        <v>12258</v>
      </c>
      <c r="K5715" s="17"/>
      <c r="L5715" s="17" t="s">
        <v>12259</v>
      </c>
      <c r="M5715" s="17"/>
      <c r="N5715" s="17" t="s">
        <v>12260</v>
      </c>
      <c r="O5715" s="17" t="s">
        <v>12545</v>
      </c>
      <c r="P5715" s="17" t="s">
        <v>12591</v>
      </c>
      <c r="Q5715" s="17"/>
      <c r="R5715" s="25" t="str">
        <f>HYPERLINK("https://ictv.global/taxonomy/taxondetails?taxnode_id=202304248","Bocaparvovirus primate2")</f>
        <v>Bocaparvovirus primate2</v>
      </c>
      <c r="S5715" s="18" t="s">
        <v>30</v>
      </c>
      <c r="T5715" s="18" t="s">
        <v>12655</v>
      </c>
      <c r="U5715" s="18" t="s">
        <v>12656</v>
      </c>
      <c r="V5715" s="18" t="s">
        <v>12657</v>
      </c>
      <c r="W5715" s="18" t="s">
        <v>12658</v>
      </c>
      <c r="X5715" s="18" t="s">
        <v>35</v>
      </c>
      <c r="Y5715" s="18" t="s">
        <v>10535</v>
      </c>
      <c r="Z5715" s="18" t="s">
        <v>166</v>
      </c>
      <c r="AA5715" s="21" t="str">
        <f>HYPERLINK("https://www.ncbi.nlm.nih.gov/nuccore/FJ170278","NCBI Nucleotide")</f>
        <v>NCBI Nucleotide</v>
      </c>
    </row>
    <row r="5716" spans="1:27" x14ac:dyDescent="0.35">
      <c r="A5716">
        <v>1007209</v>
      </c>
      <c r="B5716">
        <v>5454</v>
      </c>
      <c r="C5716">
        <v>1</v>
      </c>
      <c r="D5716" s="17" t="s">
        <v>10507</v>
      </c>
      <c r="E5716" s="17"/>
      <c r="F5716" s="17" t="s">
        <v>10780</v>
      </c>
      <c r="G5716" s="17"/>
      <c r="H5716" s="17" t="s">
        <v>10781</v>
      </c>
      <c r="I5716" s="17"/>
      <c r="J5716" s="17" t="s">
        <v>12258</v>
      </c>
      <c r="K5716" s="17"/>
      <c r="L5716" s="17" t="s">
        <v>12259</v>
      </c>
      <c r="M5716" s="17"/>
      <c r="N5716" s="17" t="s">
        <v>12260</v>
      </c>
      <c r="O5716" s="17" t="s">
        <v>12545</v>
      </c>
      <c r="P5716" s="17" t="s">
        <v>12591</v>
      </c>
      <c r="Q5716" s="17"/>
      <c r="R5716" s="25" t="str">
        <f>HYPERLINK("https://ictv.global/taxonomy/taxondetails?taxnode_id=202309281","Bocaparvovirus primate3")</f>
        <v>Bocaparvovirus primate3</v>
      </c>
      <c r="S5716" s="18" t="s">
        <v>30</v>
      </c>
      <c r="T5716" s="18" t="s">
        <v>12659</v>
      </c>
      <c r="U5716" s="18" t="s">
        <v>12660</v>
      </c>
      <c r="V5716" s="18" t="s">
        <v>12661</v>
      </c>
      <c r="W5716" s="18" t="s">
        <v>12662</v>
      </c>
      <c r="X5716" s="18" t="s">
        <v>42</v>
      </c>
      <c r="Y5716" s="18" t="s">
        <v>10535</v>
      </c>
      <c r="Z5716" s="18" t="s">
        <v>166</v>
      </c>
      <c r="AA5716" s="21" t="str">
        <f>HYPERLINK("https://www.ncbi.nlm.nih.gov/nuccore/MN091929","NCBI Nucleotide")</f>
        <v>NCBI Nucleotide</v>
      </c>
    </row>
    <row r="5717" spans="1:27" x14ac:dyDescent="0.35">
      <c r="A5717">
        <v>1007210</v>
      </c>
      <c r="B5717">
        <v>5455</v>
      </c>
      <c r="C5717">
        <v>1</v>
      </c>
      <c r="D5717" s="17" t="s">
        <v>10507</v>
      </c>
      <c r="E5717" s="17"/>
      <c r="F5717" s="17" t="s">
        <v>10780</v>
      </c>
      <c r="G5717" s="17"/>
      <c r="H5717" s="17" t="s">
        <v>10781</v>
      </c>
      <c r="I5717" s="17"/>
      <c r="J5717" s="17" t="s">
        <v>12258</v>
      </c>
      <c r="K5717" s="17"/>
      <c r="L5717" s="17" t="s">
        <v>12259</v>
      </c>
      <c r="M5717" s="17"/>
      <c r="N5717" s="17" t="s">
        <v>12260</v>
      </c>
      <c r="O5717" s="17" t="s">
        <v>12545</v>
      </c>
      <c r="P5717" s="17" t="s">
        <v>12591</v>
      </c>
      <c r="Q5717" s="17"/>
      <c r="R5717" s="25" t="str">
        <f>HYPERLINK("https://ictv.global/taxonomy/taxondetails?taxnode_id=202307348","Bocaparvovirus rodent1")</f>
        <v>Bocaparvovirus rodent1</v>
      </c>
      <c r="S5717" s="18" t="s">
        <v>30</v>
      </c>
      <c r="T5717" s="18" t="s">
        <v>12663</v>
      </c>
      <c r="U5717" s="18" t="s">
        <v>12642</v>
      </c>
      <c r="V5717" s="18"/>
      <c r="W5717" s="18" t="s">
        <v>12664</v>
      </c>
      <c r="X5717" s="18" t="s">
        <v>42</v>
      </c>
      <c r="Y5717" s="18" t="s">
        <v>10535</v>
      </c>
      <c r="Z5717" s="18" t="s">
        <v>166</v>
      </c>
      <c r="AA5717" s="21" t="str">
        <f>HYPERLINK("https://www.ncbi.nlm.nih.gov/nuccore/KT454512","NCBI Nucleotide")</f>
        <v>NCBI Nucleotide</v>
      </c>
    </row>
    <row r="5718" spans="1:27" x14ac:dyDescent="0.35">
      <c r="A5718">
        <v>1007211</v>
      </c>
      <c r="B5718">
        <v>5456</v>
      </c>
      <c r="C5718">
        <v>1</v>
      </c>
      <c r="D5718" s="17" t="s">
        <v>10507</v>
      </c>
      <c r="E5718" s="17"/>
      <c r="F5718" s="17" t="s">
        <v>10780</v>
      </c>
      <c r="G5718" s="17"/>
      <c r="H5718" s="17" t="s">
        <v>10781</v>
      </c>
      <c r="I5718" s="17"/>
      <c r="J5718" s="17" t="s">
        <v>12258</v>
      </c>
      <c r="K5718" s="17"/>
      <c r="L5718" s="17" t="s">
        <v>12259</v>
      </c>
      <c r="M5718" s="17"/>
      <c r="N5718" s="17" t="s">
        <v>12260</v>
      </c>
      <c r="O5718" s="17" t="s">
        <v>12545</v>
      </c>
      <c r="P5718" s="17" t="s">
        <v>12591</v>
      </c>
      <c r="Q5718" s="17"/>
      <c r="R5718" s="25" t="str">
        <f>HYPERLINK("https://ictv.global/taxonomy/taxondetails?taxnode_id=202307349","Bocaparvovirus rodent2")</f>
        <v>Bocaparvovirus rodent2</v>
      </c>
      <c r="S5718" s="18" t="s">
        <v>30</v>
      </c>
      <c r="T5718" s="18" t="s">
        <v>12665</v>
      </c>
      <c r="U5718" s="18" t="s">
        <v>12666</v>
      </c>
      <c r="V5718" s="18"/>
      <c r="W5718" s="18" t="s">
        <v>12667</v>
      </c>
      <c r="X5718" s="18" t="s">
        <v>42</v>
      </c>
      <c r="Y5718" s="18" t="s">
        <v>10535</v>
      </c>
      <c r="Z5718" s="18" t="s">
        <v>166</v>
      </c>
      <c r="AA5718" s="21" t="str">
        <f>HYPERLINK("https://www.ncbi.nlm.nih.gov/nuccore/MF175080","NCBI Nucleotide")</f>
        <v>NCBI Nucleotide</v>
      </c>
    </row>
    <row r="5719" spans="1:27" x14ac:dyDescent="0.35">
      <c r="A5719">
        <v>1007212</v>
      </c>
      <c r="B5719">
        <v>5457</v>
      </c>
      <c r="C5719">
        <v>1</v>
      </c>
      <c r="D5719" s="17" t="s">
        <v>10507</v>
      </c>
      <c r="E5719" s="17"/>
      <c r="F5719" s="17" t="s">
        <v>10780</v>
      </c>
      <c r="G5719" s="17"/>
      <c r="H5719" s="17" t="s">
        <v>10781</v>
      </c>
      <c r="I5719" s="17"/>
      <c r="J5719" s="17" t="s">
        <v>12258</v>
      </c>
      <c r="K5719" s="17"/>
      <c r="L5719" s="17" t="s">
        <v>12259</v>
      </c>
      <c r="M5719" s="17"/>
      <c r="N5719" s="17" t="s">
        <v>12260</v>
      </c>
      <c r="O5719" s="17" t="s">
        <v>12545</v>
      </c>
      <c r="P5719" s="17" t="s">
        <v>12591</v>
      </c>
      <c r="Q5719" s="17"/>
      <c r="R5719" s="25" t="str">
        <f>HYPERLINK("https://ictv.global/taxonomy/taxondetails?taxnode_id=202314035","Bocaparvovirus rodent3")</f>
        <v>Bocaparvovirus rodent3</v>
      </c>
      <c r="S5719" s="18" t="s">
        <v>30</v>
      </c>
      <c r="T5719" s="18" t="s">
        <v>12668</v>
      </c>
      <c r="U5719" s="18" t="s">
        <v>12669</v>
      </c>
      <c r="V5719" s="18">
        <v>1</v>
      </c>
      <c r="W5719" s="18" t="s">
        <v>12670</v>
      </c>
      <c r="X5719" s="18" t="s">
        <v>35</v>
      </c>
      <c r="Y5719" s="18" t="s">
        <v>10535</v>
      </c>
      <c r="Z5719" s="18" t="s">
        <v>166</v>
      </c>
      <c r="AA5719" s="21" t="str">
        <f>HYPERLINK("https://www.ncbi.nlm.nih.gov/nuccore/MG745673","NCBI Nucleotide")</f>
        <v>NCBI Nucleotide</v>
      </c>
    </row>
    <row r="5720" spans="1:27" x14ac:dyDescent="0.35">
      <c r="A5720">
        <v>1007213</v>
      </c>
      <c r="B5720">
        <v>5458</v>
      </c>
      <c r="C5720">
        <v>1</v>
      </c>
      <c r="D5720" s="17" t="s">
        <v>10507</v>
      </c>
      <c r="E5720" s="17"/>
      <c r="F5720" s="17" t="s">
        <v>10780</v>
      </c>
      <c r="G5720" s="17"/>
      <c r="H5720" s="17" t="s">
        <v>10781</v>
      </c>
      <c r="I5720" s="17"/>
      <c r="J5720" s="17" t="s">
        <v>12258</v>
      </c>
      <c r="K5720" s="17"/>
      <c r="L5720" s="17" t="s">
        <v>12259</v>
      </c>
      <c r="M5720" s="17"/>
      <c r="N5720" s="17" t="s">
        <v>12260</v>
      </c>
      <c r="O5720" s="17" t="s">
        <v>12545</v>
      </c>
      <c r="P5720" s="17" t="s">
        <v>12591</v>
      </c>
      <c r="Q5720" s="17"/>
      <c r="R5720" s="25" t="str">
        <f>HYPERLINK("https://ictv.global/taxonomy/taxondetails?taxnode_id=202304249","Bocaparvovirus ungulate1")</f>
        <v>Bocaparvovirus ungulate1</v>
      </c>
      <c r="S5720" s="18" t="s">
        <v>30</v>
      </c>
      <c r="T5720" s="18" t="s">
        <v>12671</v>
      </c>
      <c r="U5720" s="18" t="s">
        <v>11611</v>
      </c>
      <c r="V5720" s="18" t="s">
        <v>12672</v>
      </c>
      <c r="W5720" s="18" t="s">
        <v>12673</v>
      </c>
      <c r="X5720" s="18" t="s">
        <v>42</v>
      </c>
      <c r="Y5720" s="18" t="s">
        <v>10535</v>
      </c>
      <c r="Z5720" s="18" t="s">
        <v>166</v>
      </c>
      <c r="AA5720" s="21" t="str">
        <f>HYPERLINK("https://www.ncbi.nlm.nih.gov/nuccore/DQ335247","NCBI Nucleotide")</f>
        <v>NCBI Nucleotide</v>
      </c>
    </row>
    <row r="5721" spans="1:27" x14ac:dyDescent="0.35">
      <c r="A5721">
        <v>1007214</v>
      </c>
      <c r="B5721">
        <v>5459</v>
      </c>
      <c r="C5721">
        <v>1</v>
      </c>
      <c r="D5721" s="17" t="s">
        <v>10507</v>
      </c>
      <c r="E5721" s="17"/>
      <c r="F5721" s="17" t="s">
        <v>10780</v>
      </c>
      <c r="G5721" s="17"/>
      <c r="H5721" s="17" t="s">
        <v>10781</v>
      </c>
      <c r="I5721" s="17"/>
      <c r="J5721" s="17" t="s">
        <v>12258</v>
      </c>
      <c r="K5721" s="17"/>
      <c r="L5721" s="17" t="s">
        <v>12259</v>
      </c>
      <c r="M5721" s="17"/>
      <c r="N5721" s="17" t="s">
        <v>12260</v>
      </c>
      <c r="O5721" s="17" t="s">
        <v>12545</v>
      </c>
      <c r="P5721" s="17" t="s">
        <v>12591</v>
      </c>
      <c r="Q5721" s="17"/>
      <c r="R5721" s="25" t="str">
        <f>HYPERLINK("https://ictv.global/taxonomy/taxondetails?taxnode_id=202304250","Bocaparvovirus ungulate2")</f>
        <v>Bocaparvovirus ungulate2</v>
      </c>
      <c r="S5721" s="18" t="s">
        <v>30</v>
      </c>
      <c r="T5721" s="18" t="s">
        <v>12674</v>
      </c>
      <c r="U5721" s="18" t="s">
        <v>12675</v>
      </c>
      <c r="V5721" s="18" t="s">
        <v>12676</v>
      </c>
      <c r="W5721" s="18" t="s">
        <v>12677</v>
      </c>
      <c r="X5721" s="18" t="s">
        <v>35</v>
      </c>
      <c r="Y5721" s="18" t="s">
        <v>10535</v>
      </c>
      <c r="Z5721" s="18" t="s">
        <v>166</v>
      </c>
      <c r="AA5721" s="21" t="str">
        <f>HYPERLINK("https://www.ncbi.nlm.nih.gov/nuccore/HM053693","NCBI Nucleotide")</f>
        <v>NCBI Nucleotide</v>
      </c>
    </row>
    <row r="5722" spans="1:27" x14ac:dyDescent="0.35">
      <c r="A5722">
        <v>1007215</v>
      </c>
      <c r="B5722">
        <v>5460</v>
      </c>
      <c r="C5722">
        <v>1</v>
      </c>
      <c r="D5722" s="17" t="s">
        <v>10507</v>
      </c>
      <c r="E5722" s="17"/>
      <c r="F5722" s="17" t="s">
        <v>10780</v>
      </c>
      <c r="G5722" s="17"/>
      <c r="H5722" s="17" t="s">
        <v>10781</v>
      </c>
      <c r="I5722" s="17"/>
      <c r="J5722" s="17" t="s">
        <v>12258</v>
      </c>
      <c r="K5722" s="17"/>
      <c r="L5722" s="17" t="s">
        <v>12259</v>
      </c>
      <c r="M5722" s="17"/>
      <c r="N5722" s="17" t="s">
        <v>12260</v>
      </c>
      <c r="O5722" s="17" t="s">
        <v>12545</v>
      </c>
      <c r="P5722" s="17" t="s">
        <v>12591</v>
      </c>
      <c r="Q5722" s="17"/>
      <c r="R5722" s="25" t="str">
        <f>HYPERLINK("https://ictv.global/taxonomy/taxondetails?taxnode_id=202304251","Bocaparvovirus ungulate3")</f>
        <v>Bocaparvovirus ungulate3</v>
      </c>
      <c r="S5722" s="18" t="s">
        <v>30</v>
      </c>
      <c r="T5722" s="18" t="s">
        <v>12678</v>
      </c>
      <c r="U5722" s="18" t="s">
        <v>12679</v>
      </c>
      <c r="V5722" s="18" t="s">
        <v>12680</v>
      </c>
      <c r="W5722" s="18" t="s">
        <v>12681</v>
      </c>
      <c r="X5722" s="18" t="s">
        <v>35</v>
      </c>
      <c r="Y5722" s="18" t="s">
        <v>10535</v>
      </c>
      <c r="Z5722" s="18" t="s">
        <v>166</v>
      </c>
      <c r="AA5722" s="21" t="str">
        <f>HYPERLINK("https://www.ncbi.nlm.nih.gov/nuccore/HQ223038","NCBI Nucleotide")</f>
        <v>NCBI Nucleotide</v>
      </c>
    </row>
    <row r="5723" spans="1:27" x14ac:dyDescent="0.35">
      <c r="A5723">
        <v>1007216</v>
      </c>
      <c r="B5723">
        <v>5461</v>
      </c>
      <c r="C5723">
        <v>1</v>
      </c>
      <c r="D5723" s="17" t="s">
        <v>10507</v>
      </c>
      <c r="E5723" s="17"/>
      <c r="F5723" s="17" t="s">
        <v>10780</v>
      </c>
      <c r="G5723" s="17"/>
      <c r="H5723" s="17" t="s">
        <v>10781</v>
      </c>
      <c r="I5723" s="17"/>
      <c r="J5723" s="17" t="s">
        <v>12258</v>
      </c>
      <c r="K5723" s="17"/>
      <c r="L5723" s="17" t="s">
        <v>12259</v>
      </c>
      <c r="M5723" s="17"/>
      <c r="N5723" s="17" t="s">
        <v>12260</v>
      </c>
      <c r="O5723" s="17" t="s">
        <v>12545</v>
      </c>
      <c r="P5723" s="17" t="s">
        <v>12591</v>
      </c>
      <c r="Q5723" s="17"/>
      <c r="R5723" s="25" t="str">
        <f>HYPERLINK("https://ictv.global/taxonomy/taxondetails?taxnode_id=202304252","Bocaparvovirus ungulate4")</f>
        <v>Bocaparvovirus ungulate4</v>
      </c>
      <c r="S5723" s="18" t="s">
        <v>30</v>
      </c>
      <c r="T5723" s="18" t="s">
        <v>12682</v>
      </c>
      <c r="U5723" s="18" t="s">
        <v>12683</v>
      </c>
      <c r="V5723" s="18" t="s">
        <v>12684</v>
      </c>
      <c r="W5723" s="18" t="s">
        <v>12685</v>
      </c>
      <c r="X5723" s="18" t="s">
        <v>35</v>
      </c>
      <c r="Y5723" s="18" t="s">
        <v>10535</v>
      </c>
      <c r="Z5723" s="18" t="s">
        <v>166</v>
      </c>
      <c r="AA5723" s="21" t="str">
        <f>HYPERLINK("https://www.ncbi.nlm.nih.gov/nuccore/HQ291308","NCBI Nucleotide")</f>
        <v>NCBI Nucleotide</v>
      </c>
    </row>
    <row r="5724" spans="1:27" x14ac:dyDescent="0.35">
      <c r="A5724">
        <v>1007217</v>
      </c>
      <c r="B5724">
        <v>5462</v>
      </c>
      <c r="C5724">
        <v>1</v>
      </c>
      <c r="D5724" s="17" t="s">
        <v>10507</v>
      </c>
      <c r="E5724" s="17"/>
      <c r="F5724" s="17" t="s">
        <v>10780</v>
      </c>
      <c r="G5724" s="17"/>
      <c r="H5724" s="17" t="s">
        <v>10781</v>
      </c>
      <c r="I5724" s="17"/>
      <c r="J5724" s="17" t="s">
        <v>12258</v>
      </c>
      <c r="K5724" s="17"/>
      <c r="L5724" s="17" t="s">
        <v>12259</v>
      </c>
      <c r="M5724" s="17"/>
      <c r="N5724" s="17" t="s">
        <v>12260</v>
      </c>
      <c r="O5724" s="17" t="s">
        <v>12545</v>
      </c>
      <c r="P5724" s="17" t="s">
        <v>12591</v>
      </c>
      <c r="Q5724" s="17"/>
      <c r="R5724" s="25" t="str">
        <f>HYPERLINK("https://ictv.global/taxonomy/taxondetails?taxnode_id=202304253","Bocaparvovirus ungulate5")</f>
        <v>Bocaparvovirus ungulate5</v>
      </c>
      <c r="S5724" s="18" t="s">
        <v>30</v>
      </c>
      <c r="T5724" s="18" t="s">
        <v>12686</v>
      </c>
      <c r="U5724" s="18" t="s">
        <v>12687</v>
      </c>
      <c r="V5724" s="18" t="s">
        <v>12688</v>
      </c>
      <c r="W5724" s="18" t="s">
        <v>12689</v>
      </c>
      <c r="X5724" s="18" t="s">
        <v>35</v>
      </c>
      <c r="Y5724" s="18" t="s">
        <v>10535</v>
      </c>
      <c r="Z5724" s="18" t="s">
        <v>166</v>
      </c>
      <c r="AA5724" s="21" t="str">
        <f>HYPERLINK("https://www.ncbi.nlm.nih.gov/nuccore/JF429834","NCBI Nucleotide")</f>
        <v>NCBI Nucleotide</v>
      </c>
    </row>
    <row r="5725" spans="1:27" x14ac:dyDescent="0.35">
      <c r="A5725">
        <v>1007218</v>
      </c>
      <c r="B5725">
        <v>5463</v>
      </c>
      <c r="C5725">
        <v>1</v>
      </c>
      <c r="D5725" s="17" t="s">
        <v>10507</v>
      </c>
      <c r="E5725" s="17"/>
      <c r="F5725" s="17" t="s">
        <v>10780</v>
      </c>
      <c r="G5725" s="17"/>
      <c r="H5725" s="17" t="s">
        <v>10781</v>
      </c>
      <c r="I5725" s="17"/>
      <c r="J5725" s="17" t="s">
        <v>12258</v>
      </c>
      <c r="K5725" s="17"/>
      <c r="L5725" s="17" t="s">
        <v>12259</v>
      </c>
      <c r="M5725" s="17"/>
      <c r="N5725" s="17" t="s">
        <v>12260</v>
      </c>
      <c r="O5725" s="17" t="s">
        <v>12545</v>
      </c>
      <c r="P5725" s="17" t="s">
        <v>12591</v>
      </c>
      <c r="Q5725" s="17"/>
      <c r="R5725" s="25" t="str">
        <f>HYPERLINK("https://ictv.global/taxonomy/taxondetails?taxnode_id=202305897","Bocaparvovirus ungulate6")</f>
        <v>Bocaparvovirus ungulate6</v>
      </c>
      <c r="S5725" s="18" t="s">
        <v>30</v>
      </c>
      <c r="T5725" s="18" t="s">
        <v>12690</v>
      </c>
      <c r="U5725" s="18" t="s">
        <v>12691</v>
      </c>
      <c r="V5725" s="18" t="s">
        <v>12692</v>
      </c>
      <c r="W5725" s="18" t="s">
        <v>12693</v>
      </c>
      <c r="X5725" s="18" t="s">
        <v>35</v>
      </c>
      <c r="Y5725" s="18" t="s">
        <v>10535</v>
      </c>
      <c r="Z5725" s="18" t="s">
        <v>166</v>
      </c>
      <c r="AA5725" s="21" t="str">
        <f>HYPERLINK("https://www.ncbi.nlm.nih.gov/nuccore/KU172421","NCBI Nucleotide")</f>
        <v>NCBI Nucleotide</v>
      </c>
    </row>
    <row r="5726" spans="1:27" x14ac:dyDescent="0.35">
      <c r="A5726">
        <v>1007219</v>
      </c>
      <c r="B5726">
        <v>5464</v>
      </c>
      <c r="C5726">
        <v>1</v>
      </c>
      <c r="D5726" s="17" t="s">
        <v>10507</v>
      </c>
      <c r="E5726" s="17"/>
      <c r="F5726" s="17" t="s">
        <v>10780</v>
      </c>
      <c r="G5726" s="17"/>
      <c r="H5726" s="17" t="s">
        <v>10781</v>
      </c>
      <c r="I5726" s="17"/>
      <c r="J5726" s="17" t="s">
        <v>12258</v>
      </c>
      <c r="K5726" s="17"/>
      <c r="L5726" s="17" t="s">
        <v>12259</v>
      </c>
      <c r="M5726" s="17"/>
      <c r="N5726" s="17" t="s">
        <v>12260</v>
      </c>
      <c r="O5726" s="17" t="s">
        <v>12545</v>
      </c>
      <c r="P5726" s="17" t="s">
        <v>12591</v>
      </c>
      <c r="Q5726" s="17"/>
      <c r="R5726" s="25" t="str">
        <f>HYPERLINK("https://ictv.global/taxonomy/taxondetails?taxnode_id=202307346","Bocaparvovirus ungulate7")</f>
        <v>Bocaparvovirus ungulate7</v>
      </c>
      <c r="S5726" s="18" t="s">
        <v>30</v>
      </c>
      <c r="T5726" s="18" t="s">
        <v>12694</v>
      </c>
      <c r="U5726" s="18" t="s">
        <v>12695</v>
      </c>
      <c r="V5726" s="18"/>
      <c r="W5726" s="18" t="s">
        <v>12696</v>
      </c>
      <c r="X5726" s="18" t="s">
        <v>42</v>
      </c>
      <c r="Y5726" s="18" t="s">
        <v>10535</v>
      </c>
      <c r="Z5726" s="18" t="s">
        <v>166</v>
      </c>
      <c r="AA5726" s="21" t="str">
        <f>HYPERLINK("https://www.ncbi.nlm.nih.gov/nuccore/KY640430","NCBI Nucleotide")</f>
        <v>NCBI Nucleotide</v>
      </c>
    </row>
    <row r="5727" spans="1:27" x14ac:dyDescent="0.35">
      <c r="A5727">
        <v>1007220</v>
      </c>
      <c r="B5727">
        <v>5465</v>
      </c>
      <c r="C5727">
        <v>1</v>
      </c>
      <c r="D5727" s="17" t="s">
        <v>10507</v>
      </c>
      <c r="E5727" s="17"/>
      <c r="F5727" s="17" t="s">
        <v>10780</v>
      </c>
      <c r="G5727" s="17"/>
      <c r="H5727" s="17" t="s">
        <v>10781</v>
      </c>
      <c r="I5727" s="17"/>
      <c r="J5727" s="17" t="s">
        <v>12258</v>
      </c>
      <c r="K5727" s="17"/>
      <c r="L5727" s="17" t="s">
        <v>12259</v>
      </c>
      <c r="M5727" s="17"/>
      <c r="N5727" s="17" t="s">
        <v>12260</v>
      </c>
      <c r="O5727" s="17" t="s">
        <v>12545</v>
      </c>
      <c r="P5727" s="17" t="s">
        <v>12591</v>
      </c>
      <c r="Q5727" s="17"/>
      <c r="R5727" s="25" t="str">
        <f>HYPERLINK("https://ictv.global/taxonomy/taxondetails?taxnode_id=202307347","Bocaparvovirus ungulate8")</f>
        <v>Bocaparvovirus ungulate8</v>
      </c>
      <c r="S5727" s="18" t="s">
        <v>30</v>
      </c>
      <c r="T5727" s="18" t="s">
        <v>12697</v>
      </c>
      <c r="U5727" s="18" t="s">
        <v>12698</v>
      </c>
      <c r="V5727" s="18"/>
      <c r="W5727" s="18" t="s">
        <v>12699</v>
      </c>
      <c r="X5727" s="18" t="s">
        <v>42</v>
      </c>
      <c r="Y5727" s="18" t="s">
        <v>10535</v>
      </c>
      <c r="Z5727" s="18" t="s">
        <v>166</v>
      </c>
      <c r="AA5727" s="21" t="str">
        <f>HYPERLINK("https://www.ncbi.nlm.nih.gov/nuccore/KY640438","NCBI Nucleotide")</f>
        <v>NCBI Nucleotide</v>
      </c>
    </row>
    <row r="5728" spans="1:27" x14ac:dyDescent="0.35">
      <c r="A5728">
        <v>1007221</v>
      </c>
      <c r="B5728">
        <v>5466</v>
      </c>
      <c r="C5728">
        <v>1</v>
      </c>
      <c r="D5728" s="17" t="s">
        <v>10507</v>
      </c>
      <c r="E5728" s="17"/>
      <c r="F5728" s="17" t="s">
        <v>10780</v>
      </c>
      <c r="G5728" s="17"/>
      <c r="H5728" s="17" t="s">
        <v>10781</v>
      </c>
      <c r="I5728" s="17"/>
      <c r="J5728" s="17" t="s">
        <v>12258</v>
      </c>
      <c r="K5728" s="17"/>
      <c r="L5728" s="17" t="s">
        <v>12259</v>
      </c>
      <c r="M5728" s="17"/>
      <c r="N5728" s="17" t="s">
        <v>12260</v>
      </c>
      <c r="O5728" s="17" t="s">
        <v>12545</v>
      </c>
      <c r="P5728" s="17" t="s">
        <v>12591</v>
      </c>
      <c r="Q5728" s="17"/>
      <c r="R5728" s="25" t="str">
        <f>HYPERLINK("https://ictv.global/taxonomy/taxondetails?taxnode_id=202309282","Bocaparvovirus ungulate9")</f>
        <v>Bocaparvovirus ungulate9</v>
      </c>
      <c r="S5728" s="18" t="s">
        <v>30</v>
      </c>
      <c r="T5728" s="18" t="s">
        <v>12700</v>
      </c>
      <c r="U5728" s="18" t="s">
        <v>12701</v>
      </c>
      <c r="V5728" s="18" t="s">
        <v>12702</v>
      </c>
      <c r="W5728" s="18" t="s">
        <v>12703</v>
      </c>
      <c r="X5728" s="18" t="s">
        <v>42</v>
      </c>
      <c r="Y5728" s="18" t="s">
        <v>10535</v>
      </c>
      <c r="Z5728" s="18" t="s">
        <v>166</v>
      </c>
      <c r="AA5728" s="21" t="str">
        <f>HYPERLINK("https://www.ncbi.nlm.nih.gov/nuccore/MK014742","NCBI Nucleotide")</f>
        <v>NCBI Nucleotide</v>
      </c>
    </row>
    <row r="5729" spans="1:27" x14ac:dyDescent="0.35">
      <c r="A5729">
        <v>1007222</v>
      </c>
      <c r="B5729">
        <v>5467</v>
      </c>
      <c r="C5729">
        <v>1</v>
      </c>
      <c r="D5729" s="17" t="s">
        <v>10507</v>
      </c>
      <c r="E5729" s="17"/>
      <c r="F5729" s="17" t="s">
        <v>10780</v>
      </c>
      <c r="G5729" s="17"/>
      <c r="H5729" s="17" t="s">
        <v>10781</v>
      </c>
      <c r="I5729" s="17"/>
      <c r="J5729" s="17" t="s">
        <v>12258</v>
      </c>
      <c r="K5729" s="17"/>
      <c r="L5729" s="17" t="s">
        <v>12259</v>
      </c>
      <c r="M5729" s="17"/>
      <c r="N5729" s="17" t="s">
        <v>12260</v>
      </c>
      <c r="O5729" s="17" t="s">
        <v>12545</v>
      </c>
      <c r="P5729" s="17" t="s">
        <v>12704</v>
      </c>
      <c r="Q5729" s="17"/>
      <c r="R5729" s="25" t="str">
        <f>HYPERLINK("https://ictv.global/taxonomy/taxondetails?taxnode_id=202307344","Copiparvovirus pinniped1")</f>
        <v>Copiparvovirus pinniped1</v>
      </c>
      <c r="S5729" s="18" t="s">
        <v>30</v>
      </c>
      <c r="T5729" s="18" t="s">
        <v>12705</v>
      </c>
      <c r="U5729" s="18" t="s">
        <v>12706</v>
      </c>
      <c r="V5729" s="18"/>
      <c r="W5729" s="18" t="s">
        <v>12707</v>
      </c>
      <c r="X5729" s="18" t="s">
        <v>42</v>
      </c>
      <c r="Y5729" s="18" t="s">
        <v>10535</v>
      </c>
      <c r="Z5729" s="18" t="s">
        <v>166</v>
      </c>
      <c r="AA5729" s="21" t="str">
        <f>HYPERLINK("https://www.ncbi.nlm.nih.gov/nuccore/KM035804","NCBI Nucleotide")</f>
        <v>NCBI Nucleotide</v>
      </c>
    </row>
    <row r="5730" spans="1:27" x14ac:dyDescent="0.35">
      <c r="A5730">
        <v>1007223</v>
      </c>
      <c r="B5730">
        <v>5468</v>
      </c>
      <c r="C5730">
        <v>1</v>
      </c>
      <c r="D5730" s="17" t="s">
        <v>10507</v>
      </c>
      <c r="E5730" s="17"/>
      <c r="F5730" s="17" t="s">
        <v>10780</v>
      </c>
      <c r="G5730" s="17"/>
      <c r="H5730" s="17" t="s">
        <v>10781</v>
      </c>
      <c r="I5730" s="17"/>
      <c r="J5730" s="17" t="s">
        <v>12258</v>
      </c>
      <c r="K5730" s="17"/>
      <c r="L5730" s="17" t="s">
        <v>12259</v>
      </c>
      <c r="M5730" s="17"/>
      <c r="N5730" s="17" t="s">
        <v>12260</v>
      </c>
      <c r="O5730" s="17" t="s">
        <v>12545</v>
      </c>
      <c r="P5730" s="17" t="s">
        <v>12704</v>
      </c>
      <c r="Q5730" s="17"/>
      <c r="R5730" s="25" t="str">
        <f>HYPERLINK("https://ictv.global/taxonomy/taxondetails?taxnode_id=202304255","Copiparvovirus ungulate1")</f>
        <v>Copiparvovirus ungulate1</v>
      </c>
      <c r="S5730" s="18" t="s">
        <v>30</v>
      </c>
      <c r="T5730" s="18" t="s">
        <v>12708</v>
      </c>
      <c r="U5730" s="18" t="s">
        <v>11622</v>
      </c>
      <c r="V5730" s="18"/>
      <c r="W5730" s="18" t="s">
        <v>12709</v>
      </c>
      <c r="X5730" s="18" t="s">
        <v>35</v>
      </c>
      <c r="Y5730" s="18" t="s">
        <v>10535</v>
      </c>
      <c r="Z5730" s="18" t="s">
        <v>166</v>
      </c>
      <c r="AA5730" s="21" t="str">
        <f>HYPERLINK("https://www.ncbi.nlm.nih.gov/nuccore/AF406966","NCBI Nucleotide")</f>
        <v>NCBI Nucleotide</v>
      </c>
    </row>
    <row r="5731" spans="1:27" x14ac:dyDescent="0.35">
      <c r="A5731">
        <v>1007224</v>
      </c>
      <c r="B5731">
        <v>5469</v>
      </c>
      <c r="C5731">
        <v>1</v>
      </c>
      <c r="D5731" s="17" t="s">
        <v>10507</v>
      </c>
      <c r="E5731" s="17"/>
      <c r="F5731" s="17" t="s">
        <v>10780</v>
      </c>
      <c r="G5731" s="17"/>
      <c r="H5731" s="17" t="s">
        <v>10781</v>
      </c>
      <c r="I5731" s="17"/>
      <c r="J5731" s="17" t="s">
        <v>12258</v>
      </c>
      <c r="K5731" s="17"/>
      <c r="L5731" s="17" t="s">
        <v>12259</v>
      </c>
      <c r="M5731" s="17"/>
      <c r="N5731" s="17" t="s">
        <v>12260</v>
      </c>
      <c r="O5731" s="17" t="s">
        <v>12545</v>
      </c>
      <c r="P5731" s="17" t="s">
        <v>12704</v>
      </c>
      <c r="Q5731" s="17"/>
      <c r="R5731" s="25" t="str">
        <f>HYPERLINK("https://ictv.global/taxonomy/taxondetails?taxnode_id=202304256","Copiparvovirus ungulate2")</f>
        <v>Copiparvovirus ungulate2</v>
      </c>
      <c r="S5731" s="18" t="s">
        <v>30</v>
      </c>
      <c r="T5731" s="18" t="s">
        <v>12710</v>
      </c>
      <c r="U5731" s="18" t="s">
        <v>12711</v>
      </c>
      <c r="V5731" s="18">
        <v>17</v>
      </c>
      <c r="W5731" s="18" t="s">
        <v>12712</v>
      </c>
      <c r="X5731" s="18" t="s">
        <v>35</v>
      </c>
      <c r="Y5731" s="18" t="s">
        <v>10535</v>
      </c>
      <c r="Z5731" s="18" t="s">
        <v>166</v>
      </c>
      <c r="AA5731" s="21" t="str">
        <f>HYPERLINK("https://www.ncbi.nlm.nih.gov/nuccore/GQ387499","NCBI Nucleotide")</f>
        <v>NCBI Nucleotide</v>
      </c>
    </row>
    <row r="5732" spans="1:27" x14ac:dyDescent="0.35">
      <c r="A5732">
        <v>1007225</v>
      </c>
      <c r="B5732">
        <v>5470</v>
      </c>
      <c r="C5732">
        <v>1</v>
      </c>
      <c r="D5732" s="17" t="s">
        <v>10507</v>
      </c>
      <c r="E5732" s="17"/>
      <c r="F5732" s="17" t="s">
        <v>10780</v>
      </c>
      <c r="G5732" s="17"/>
      <c r="H5732" s="17" t="s">
        <v>10781</v>
      </c>
      <c r="I5732" s="17"/>
      <c r="J5732" s="17" t="s">
        <v>12258</v>
      </c>
      <c r="K5732" s="17"/>
      <c r="L5732" s="17" t="s">
        <v>12259</v>
      </c>
      <c r="M5732" s="17"/>
      <c r="N5732" s="17" t="s">
        <v>12260</v>
      </c>
      <c r="O5732" s="17" t="s">
        <v>12545</v>
      </c>
      <c r="P5732" s="17" t="s">
        <v>12704</v>
      </c>
      <c r="Q5732" s="17"/>
      <c r="R5732" s="25" t="str">
        <f>HYPERLINK("https://ictv.global/taxonomy/taxondetails?taxnode_id=202307340","Copiparvovirus ungulate3")</f>
        <v>Copiparvovirus ungulate3</v>
      </c>
      <c r="S5732" s="18" t="s">
        <v>30</v>
      </c>
      <c r="T5732" s="18" t="s">
        <v>12713</v>
      </c>
      <c r="U5732" s="18" t="s">
        <v>12714</v>
      </c>
      <c r="V5732" s="18"/>
      <c r="W5732" s="18" t="s">
        <v>12715</v>
      </c>
      <c r="X5732" s="18" t="s">
        <v>42</v>
      </c>
      <c r="Y5732" s="18" t="s">
        <v>10535</v>
      </c>
      <c r="Z5732" s="18" t="s">
        <v>166</v>
      </c>
      <c r="AA5732" s="21" t="str">
        <f>HYPERLINK("https://www.ncbi.nlm.nih.gov/nuccore/MK091524","NCBI Nucleotide")</f>
        <v>NCBI Nucleotide</v>
      </c>
    </row>
    <row r="5733" spans="1:27" x14ac:dyDescent="0.35">
      <c r="A5733">
        <v>1007226</v>
      </c>
      <c r="B5733">
        <v>5471</v>
      </c>
      <c r="C5733">
        <v>1</v>
      </c>
      <c r="D5733" s="17" t="s">
        <v>10507</v>
      </c>
      <c r="E5733" s="17"/>
      <c r="F5733" s="17" t="s">
        <v>10780</v>
      </c>
      <c r="G5733" s="17"/>
      <c r="H5733" s="17" t="s">
        <v>10781</v>
      </c>
      <c r="I5733" s="17"/>
      <c r="J5733" s="17" t="s">
        <v>12258</v>
      </c>
      <c r="K5733" s="17"/>
      <c r="L5733" s="17" t="s">
        <v>12259</v>
      </c>
      <c r="M5733" s="17"/>
      <c r="N5733" s="17" t="s">
        <v>12260</v>
      </c>
      <c r="O5733" s="17" t="s">
        <v>12545</v>
      </c>
      <c r="P5733" s="17" t="s">
        <v>12704</v>
      </c>
      <c r="Q5733" s="17"/>
      <c r="R5733" s="25" t="str">
        <f>HYPERLINK("https://ictv.global/taxonomy/taxondetails?taxnode_id=202307341","Copiparvovirus ungulate4")</f>
        <v>Copiparvovirus ungulate4</v>
      </c>
      <c r="S5733" s="18" t="s">
        <v>30</v>
      </c>
      <c r="T5733" s="18" t="s">
        <v>12716</v>
      </c>
      <c r="U5733" s="18" t="s">
        <v>12717</v>
      </c>
      <c r="V5733" s="18"/>
      <c r="W5733" s="18" t="s">
        <v>12718</v>
      </c>
      <c r="X5733" s="18" t="s">
        <v>42</v>
      </c>
      <c r="Y5733" s="18" t="s">
        <v>10535</v>
      </c>
      <c r="Z5733" s="18" t="s">
        <v>166</v>
      </c>
      <c r="AA5733" s="21" t="str">
        <f>HYPERLINK("https://www.ncbi.nlm.nih.gov/nuccore/KX384823","NCBI Nucleotide")</f>
        <v>NCBI Nucleotide</v>
      </c>
    </row>
    <row r="5734" spans="1:27" x14ac:dyDescent="0.35">
      <c r="A5734">
        <v>1007227</v>
      </c>
      <c r="B5734">
        <v>5472</v>
      </c>
      <c r="C5734">
        <v>1</v>
      </c>
      <c r="D5734" s="17" t="s">
        <v>10507</v>
      </c>
      <c r="E5734" s="17"/>
      <c r="F5734" s="17" t="s">
        <v>10780</v>
      </c>
      <c r="G5734" s="17"/>
      <c r="H5734" s="17" t="s">
        <v>10781</v>
      </c>
      <c r="I5734" s="17"/>
      <c r="J5734" s="17" t="s">
        <v>12258</v>
      </c>
      <c r="K5734" s="17"/>
      <c r="L5734" s="17" t="s">
        <v>12259</v>
      </c>
      <c r="M5734" s="17"/>
      <c r="N5734" s="17" t="s">
        <v>12260</v>
      </c>
      <c r="O5734" s="17" t="s">
        <v>12545</v>
      </c>
      <c r="P5734" s="17" t="s">
        <v>12704</v>
      </c>
      <c r="Q5734" s="17"/>
      <c r="R5734" s="25" t="str">
        <f>HYPERLINK("https://ictv.global/taxonomy/taxondetails?taxnode_id=202307342","Copiparvovirus ungulate5")</f>
        <v>Copiparvovirus ungulate5</v>
      </c>
      <c r="S5734" s="18" t="s">
        <v>30</v>
      </c>
      <c r="T5734" s="18" t="s">
        <v>12719</v>
      </c>
      <c r="U5734" s="18" t="s">
        <v>12720</v>
      </c>
      <c r="V5734" s="18"/>
      <c r="W5734" s="18" t="s">
        <v>12721</v>
      </c>
      <c r="X5734" s="18" t="s">
        <v>42</v>
      </c>
      <c r="Y5734" s="18" t="s">
        <v>10535</v>
      </c>
      <c r="Z5734" s="18" t="s">
        <v>166</v>
      </c>
      <c r="AA5734" s="21" t="str">
        <f>HYPERLINK("https://www.ncbi.nlm.nih.gov/nuccore/KY019139","NCBI Nucleotide")</f>
        <v>NCBI Nucleotide</v>
      </c>
    </row>
    <row r="5735" spans="1:27" x14ac:dyDescent="0.35">
      <c r="A5735">
        <v>1007228</v>
      </c>
      <c r="B5735">
        <v>5473</v>
      </c>
      <c r="C5735">
        <v>1</v>
      </c>
      <c r="D5735" s="17" t="s">
        <v>10507</v>
      </c>
      <c r="E5735" s="17"/>
      <c r="F5735" s="17" t="s">
        <v>10780</v>
      </c>
      <c r="G5735" s="17"/>
      <c r="H5735" s="17" t="s">
        <v>10781</v>
      </c>
      <c r="I5735" s="17"/>
      <c r="J5735" s="17" t="s">
        <v>12258</v>
      </c>
      <c r="K5735" s="17"/>
      <c r="L5735" s="17" t="s">
        <v>12259</v>
      </c>
      <c r="M5735" s="17"/>
      <c r="N5735" s="17" t="s">
        <v>12260</v>
      </c>
      <c r="O5735" s="17" t="s">
        <v>12545</v>
      </c>
      <c r="P5735" s="17" t="s">
        <v>12704</v>
      </c>
      <c r="Q5735" s="17"/>
      <c r="R5735" s="25" t="str">
        <f>HYPERLINK("https://ictv.global/taxonomy/taxondetails?taxnode_id=202307343","Copiparvovirus ungulate6")</f>
        <v>Copiparvovirus ungulate6</v>
      </c>
      <c r="S5735" s="18" t="s">
        <v>30</v>
      </c>
      <c r="T5735" s="18" t="s">
        <v>12722</v>
      </c>
      <c r="U5735" s="18" t="s">
        <v>12723</v>
      </c>
      <c r="V5735" s="18"/>
      <c r="W5735" s="18" t="s">
        <v>12724</v>
      </c>
      <c r="X5735" s="18" t="s">
        <v>42</v>
      </c>
      <c r="Y5735" s="18" t="s">
        <v>10535</v>
      </c>
      <c r="Z5735" s="18" t="s">
        <v>166</v>
      </c>
      <c r="AA5735" s="21" t="str">
        <f>HYPERLINK("https://www.ncbi.nlm.nih.gov/nuccore/MG136722","NCBI Nucleotide")</f>
        <v>NCBI Nucleotide</v>
      </c>
    </row>
    <row r="5736" spans="1:27" x14ac:dyDescent="0.35">
      <c r="A5736">
        <v>1007229</v>
      </c>
      <c r="B5736">
        <v>5474</v>
      </c>
      <c r="C5736">
        <v>1</v>
      </c>
      <c r="D5736" s="17" t="s">
        <v>10507</v>
      </c>
      <c r="E5736" s="17"/>
      <c r="F5736" s="17" t="s">
        <v>10780</v>
      </c>
      <c r="G5736" s="17"/>
      <c r="H5736" s="17" t="s">
        <v>10781</v>
      </c>
      <c r="I5736" s="17"/>
      <c r="J5736" s="17" t="s">
        <v>12258</v>
      </c>
      <c r="K5736" s="17"/>
      <c r="L5736" s="17" t="s">
        <v>12259</v>
      </c>
      <c r="M5736" s="17"/>
      <c r="N5736" s="17" t="s">
        <v>12260</v>
      </c>
      <c r="O5736" s="17" t="s">
        <v>12545</v>
      </c>
      <c r="P5736" s="17" t="s">
        <v>12704</v>
      </c>
      <c r="Q5736" s="17"/>
      <c r="R5736" s="25" t="str">
        <f>HYPERLINK("https://ictv.global/taxonomy/taxondetails?taxnode_id=202314036","Copiparvovirus ungulate7")</f>
        <v>Copiparvovirus ungulate7</v>
      </c>
      <c r="S5736" s="18" t="s">
        <v>30</v>
      </c>
      <c r="T5736" s="18" t="s">
        <v>12725</v>
      </c>
      <c r="U5736" s="18" t="s">
        <v>12726</v>
      </c>
      <c r="V5736" s="18" t="s">
        <v>12727</v>
      </c>
      <c r="W5736" s="18" t="s">
        <v>12728</v>
      </c>
      <c r="X5736" s="18" t="s">
        <v>35</v>
      </c>
      <c r="Y5736" s="18" t="s">
        <v>10535</v>
      </c>
      <c r="Z5736" s="18" t="s">
        <v>166</v>
      </c>
      <c r="AA5736" s="21" t="str">
        <f>HYPERLINK("https://www.ncbi.nlm.nih.gov/nuccore/MN181466","NCBI Nucleotide")</f>
        <v>NCBI Nucleotide</v>
      </c>
    </row>
    <row r="5737" spans="1:27" x14ac:dyDescent="0.35">
      <c r="A5737">
        <v>1007230</v>
      </c>
      <c r="B5737">
        <v>5475</v>
      </c>
      <c r="C5737">
        <v>1</v>
      </c>
      <c r="D5737" s="17" t="s">
        <v>10507</v>
      </c>
      <c r="E5737" s="17"/>
      <c r="F5737" s="17" t="s">
        <v>10780</v>
      </c>
      <c r="G5737" s="17"/>
      <c r="H5737" s="17" t="s">
        <v>10781</v>
      </c>
      <c r="I5737" s="17"/>
      <c r="J5737" s="17" t="s">
        <v>12258</v>
      </c>
      <c r="K5737" s="17"/>
      <c r="L5737" s="17" t="s">
        <v>12259</v>
      </c>
      <c r="M5737" s="17"/>
      <c r="N5737" s="17" t="s">
        <v>12260</v>
      </c>
      <c r="O5737" s="17" t="s">
        <v>12545</v>
      </c>
      <c r="P5737" s="17" t="s">
        <v>12704</v>
      </c>
      <c r="Q5737" s="17"/>
      <c r="R5737" s="25" t="str">
        <f>HYPERLINK("https://ictv.global/taxonomy/taxondetails?taxnode_id=202314037","Copiparvovirus ungulate8")</f>
        <v>Copiparvovirus ungulate8</v>
      </c>
      <c r="S5737" s="18" t="s">
        <v>30</v>
      </c>
      <c r="T5737" s="18" t="s">
        <v>12729</v>
      </c>
      <c r="U5737" s="18" t="s">
        <v>12730</v>
      </c>
      <c r="V5737" s="18" t="s">
        <v>12731</v>
      </c>
      <c r="W5737" s="18" t="s">
        <v>12732</v>
      </c>
      <c r="X5737" s="18" t="s">
        <v>35</v>
      </c>
      <c r="Y5737" s="18" t="s">
        <v>10535</v>
      </c>
      <c r="Z5737" s="18" t="s">
        <v>166</v>
      </c>
      <c r="AA5737" s="21" t="str">
        <f>HYPERLINK("https://www.ncbi.nlm.nih.gov/nuccore/MZ100069","NCBI Nucleotide")</f>
        <v>NCBI Nucleotide</v>
      </c>
    </row>
    <row r="5738" spans="1:27" x14ac:dyDescent="0.35">
      <c r="A5738">
        <v>1025390</v>
      </c>
      <c r="B5738">
        <v>5476</v>
      </c>
      <c r="C5738">
        <v>1</v>
      </c>
      <c r="D5738" s="17" t="s">
        <v>10507</v>
      </c>
      <c r="E5738" s="17"/>
      <c r="F5738" s="17" t="s">
        <v>10780</v>
      </c>
      <c r="G5738" s="17"/>
      <c r="H5738" s="17" t="s">
        <v>10781</v>
      </c>
      <c r="I5738" s="17"/>
      <c r="J5738" s="17" t="s">
        <v>12258</v>
      </c>
      <c r="K5738" s="17"/>
      <c r="L5738" s="17" t="s">
        <v>12259</v>
      </c>
      <c r="M5738" s="17"/>
      <c r="N5738" s="17" t="s">
        <v>12260</v>
      </c>
      <c r="O5738" s="17" t="s">
        <v>12545</v>
      </c>
      <c r="P5738" s="17" t="s">
        <v>12704</v>
      </c>
      <c r="Q5738" s="17"/>
      <c r="R5738" s="25" t="str">
        <f>HYPERLINK("https://ictv.global/taxonomy/taxondetails?taxnode_id=202317848","Copiparvovirus ungulate9")</f>
        <v>Copiparvovirus ungulate9</v>
      </c>
      <c r="S5738" s="18" t="s">
        <v>30</v>
      </c>
      <c r="T5738" s="18" t="s">
        <v>40133</v>
      </c>
      <c r="U5738" s="18" t="s">
        <v>40134</v>
      </c>
      <c r="V5738" s="18"/>
      <c r="W5738" s="18" t="s">
        <v>40135</v>
      </c>
      <c r="X5738" s="18" t="s">
        <v>42</v>
      </c>
      <c r="Y5738" s="18" t="s">
        <v>10535</v>
      </c>
      <c r="Z5738" s="18" t="s">
        <v>166</v>
      </c>
      <c r="AA5738" s="21" t="str">
        <f>HYPERLINK("https://www.ncbi.nlm.nih.gov/nuccore/LC677177","NCBI Nucleotide")</f>
        <v>NCBI Nucleotide</v>
      </c>
    </row>
    <row r="5739" spans="1:27" x14ac:dyDescent="0.35">
      <c r="A5739">
        <v>1007231</v>
      </c>
      <c r="B5739">
        <v>5477</v>
      </c>
      <c r="C5739">
        <v>1</v>
      </c>
      <c r="D5739" s="17" t="s">
        <v>10507</v>
      </c>
      <c r="E5739" s="17"/>
      <c r="F5739" s="17" t="s">
        <v>10780</v>
      </c>
      <c r="G5739" s="17"/>
      <c r="H5739" s="17" t="s">
        <v>10781</v>
      </c>
      <c r="I5739" s="17"/>
      <c r="J5739" s="17" t="s">
        <v>12258</v>
      </c>
      <c r="K5739" s="17"/>
      <c r="L5739" s="17" t="s">
        <v>12259</v>
      </c>
      <c r="M5739" s="17"/>
      <c r="N5739" s="17" t="s">
        <v>12260</v>
      </c>
      <c r="O5739" s="17" t="s">
        <v>12545</v>
      </c>
      <c r="P5739" s="17" t="s">
        <v>12733</v>
      </c>
      <c r="Q5739" s="17"/>
      <c r="R5739" s="25" t="str">
        <f>HYPERLINK("https://ictv.global/taxonomy/taxondetails?taxnode_id=202304260","Dependoparvovirus anseriform1")</f>
        <v>Dependoparvovirus anseriform1</v>
      </c>
      <c r="S5739" s="18" t="s">
        <v>30</v>
      </c>
      <c r="T5739" s="18" t="s">
        <v>12734</v>
      </c>
      <c r="U5739" s="18" t="s">
        <v>12735</v>
      </c>
      <c r="V5739" s="18" t="s">
        <v>12736</v>
      </c>
      <c r="W5739" s="18" t="s">
        <v>12737</v>
      </c>
      <c r="X5739" s="18" t="s">
        <v>42</v>
      </c>
      <c r="Y5739" s="18" t="s">
        <v>10535</v>
      </c>
      <c r="Z5739" s="18" t="s">
        <v>166</v>
      </c>
      <c r="AA5739" s="21" t="str">
        <f>HYPERLINK("https://www.ncbi.nlm.nih.gov/nuccore/U22967","NCBI Nucleotide")</f>
        <v>NCBI Nucleotide</v>
      </c>
    </row>
    <row r="5740" spans="1:27" x14ac:dyDescent="0.35">
      <c r="A5740">
        <v>1007232</v>
      </c>
      <c r="B5740">
        <v>5478</v>
      </c>
      <c r="C5740">
        <v>1</v>
      </c>
      <c r="D5740" s="17" t="s">
        <v>10507</v>
      </c>
      <c r="E5740" s="17"/>
      <c r="F5740" s="17" t="s">
        <v>10780</v>
      </c>
      <c r="G5740" s="17"/>
      <c r="H5740" s="17" t="s">
        <v>10781</v>
      </c>
      <c r="I5740" s="17"/>
      <c r="J5740" s="17" t="s">
        <v>12258</v>
      </c>
      <c r="K5740" s="17"/>
      <c r="L5740" s="17" t="s">
        <v>12259</v>
      </c>
      <c r="M5740" s="17"/>
      <c r="N5740" s="17" t="s">
        <v>12260</v>
      </c>
      <c r="O5740" s="17" t="s">
        <v>12545</v>
      </c>
      <c r="P5740" s="17" t="s">
        <v>12733</v>
      </c>
      <c r="Q5740" s="17"/>
      <c r="R5740" s="25" t="str">
        <f>HYPERLINK("https://ictv.global/taxonomy/taxondetails?taxnode_id=202304261","Dependoparvovirus avian1")</f>
        <v>Dependoparvovirus avian1</v>
      </c>
      <c r="S5740" s="18" t="s">
        <v>30</v>
      </c>
      <c r="T5740" s="18" t="s">
        <v>12738</v>
      </c>
      <c r="U5740" s="18" t="s">
        <v>12739</v>
      </c>
      <c r="V5740" s="18" t="s">
        <v>12740</v>
      </c>
      <c r="W5740" s="18" t="s">
        <v>12741</v>
      </c>
      <c r="X5740" s="18" t="s">
        <v>42</v>
      </c>
      <c r="Y5740" s="18" t="s">
        <v>10535</v>
      </c>
      <c r="Z5740" s="18" t="s">
        <v>166</v>
      </c>
      <c r="AA5740" s="21" t="str">
        <f>HYPERLINK("https://www.ncbi.nlm.nih.gov/nuccore/AY186198","NCBI Nucleotide")</f>
        <v>NCBI Nucleotide</v>
      </c>
    </row>
    <row r="5741" spans="1:27" x14ac:dyDescent="0.35">
      <c r="A5741">
        <v>1007233</v>
      </c>
      <c r="B5741">
        <v>5479</v>
      </c>
      <c r="C5741">
        <v>1</v>
      </c>
      <c r="D5741" s="17" t="s">
        <v>10507</v>
      </c>
      <c r="E5741" s="17"/>
      <c r="F5741" s="17" t="s">
        <v>10780</v>
      </c>
      <c r="G5741" s="17"/>
      <c r="H5741" s="17" t="s">
        <v>10781</v>
      </c>
      <c r="I5741" s="17"/>
      <c r="J5741" s="17" t="s">
        <v>12258</v>
      </c>
      <c r="K5741" s="17"/>
      <c r="L5741" s="17" t="s">
        <v>12259</v>
      </c>
      <c r="M5741" s="17"/>
      <c r="N5741" s="17" t="s">
        <v>12260</v>
      </c>
      <c r="O5741" s="17" t="s">
        <v>12545</v>
      </c>
      <c r="P5741" s="17" t="s">
        <v>12733</v>
      </c>
      <c r="Q5741" s="17"/>
      <c r="R5741" s="25" t="str">
        <f>HYPERLINK("https://ictv.global/taxonomy/taxondetails?taxnode_id=202314078","Dependoparvovirus avian2")</f>
        <v>Dependoparvovirus avian2</v>
      </c>
      <c r="S5741" s="18" t="s">
        <v>30</v>
      </c>
      <c r="T5741" s="18" t="s">
        <v>12742</v>
      </c>
      <c r="U5741" s="18" t="s">
        <v>12743</v>
      </c>
      <c r="V5741" s="18" t="s">
        <v>12744</v>
      </c>
      <c r="W5741" s="18" t="s">
        <v>12745</v>
      </c>
      <c r="X5741" s="18" t="s">
        <v>42</v>
      </c>
      <c r="Y5741" s="18" t="s">
        <v>10535</v>
      </c>
      <c r="Z5741" s="18" t="s">
        <v>166</v>
      </c>
      <c r="AA5741" s="21" t="str">
        <f>HYPERLINK("https://www.ncbi.nlm.nih.gov/nuccore/MN175614","NCBI Nucleotide")</f>
        <v>NCBI Nucleotide</v>
      </c>
    </row>
    <row r="5742" spans="1:27" x14ac:dyDescent="0.35">
      <c r="A5742">
        <v>1007234</v>
      </c>
      <c r="B5742">
        <v>5480</v>
      </c>
      <c r="C5742">
        <v>1</v>
      </c>
      <c r="D5742" s="17" t="s">
        <v>10507</v>
      </c>
      <c r="E5742" s="17"/>
      <c r="F5742" s="17" t="s">
        <v>10780</v>
      </c>
      <c r="G5742" s="17"/>
      <c r="H5742" s="17" t="s">
        <v>10781</v>
      </c>
      <c r="I5742" s="17"/>
      <c r="J5742" s="17" t="s">
        <v>12258</v>
      </c>
      <c r="K5742" s="17"/>
      <c r="L5742" s="17" t="s">
        <v>12259</v>
      </c>
      <c r="M5742" s="17"/>
      <c r="N5742" s="17" t="s">
        <v>12260</v>
      </c>
      <c r="O5742" s="17" t="s">
        <v>12545</v>
      </c>
      <c r="P5742" s="17" t="s">
        <v>12733</v>
      </c>
      <c r="Q5742" s="17"/>
      <c r="R5742" s="25" t="str">
        <f>HYPERLINK("https://ictv.global/taxonomy/taxondetails?taxnode_id=202309283","Dependoparvovirus carnivoran1")</f>
        <v>Dependoparvovirus carnivoran1</v>
      </c>
      <c r="S5742" s="18" t="s">
        <v>30</v>
      </c>
      <c r="T5742" s="18" t="s">
        <v>12746</v>
      </c>
      <c r="U5742" s="18" t="s">
        <v>12747</v>
      </c>
      <c r="V5742" s="18" t="s">
        <v>12748</v>
      </c>
      <c r="W5742" s="18" t="s">
        <v>12749</v>
      </c>
      <c r="X5742" s="18" t="s">
        <v>35</v>
      </c>
      <c r="Y5742" s="18" t="s">
        <v>10535</v>
      </c>
      <c r="Z5742" s="18" t="s">
        <v>166</v>
      </c>
      <c r="AA5742" s="21" t="str">
        <f>HYPERLINK("https://www.ncbi.nlm.nih.gov/nuccore/MN794870","NCBI Nucleotide")</f>
        <v>NCBI Nucleotide</v>
      </c>
    </row>
    <row r="5743" spans="1:27" x14ac:dyDescent="0.35">
      <c r="A5743">
        <v>1007235</v>
      </c>
      <c r="B5743">
        <v>5481</v>
      </c>
      <c r="C5743">
        <v>1</v>
      </c>
      <c r="D5743" s="17" t="s">
        <v>10507</v>
      </c>
      <c r="E5743" s="17"/>
      <c r="F5743" s="17" t="s">
        <v>10780</v>
      </c>
      <c r="G5743" s="17"/>
      <c r="H5743" s="17" t="s">
        <v>10781</v>
      </c>
      <c r="I5743" s="17"/>
      <c r="J5743" s="17" t="s">
        <v>12258</v>
      </c>
      <c r="K5743" s="17"/>
      <c r="L5743" s="17" t="s">
        <v>12259</v>
      </c>
      <c r="M5743" s="17"/>
      <c r="N5743" s="17" t="s">
        <v>12260</v>
      </c>
      <c r="O5743" s="17" t="s">
        <v>12545</v>
      </c>
      <c r="P5743" s="17" t="s">
        <v>12733</v>
      </c>
      <c r="Q5743" s="17"/>
      <c r="R5743" s="25" t="str">
        <f>HYPERLINK("https://ictv.global/taxonomy/taxondetails?taxnode_id=202304262","Dependoparvovirus chiropteran1")</f>
        <v>Dependoparvovirus chiropteran1</v>
      </c>
      <c r="S5743" s="18" t="s">
        <v>30</v>
      </c>
      <c r="T5743" s="18" t="s">
        <v>12750</v>
      </c>
      <c r="U5743" s="18" t="s">
        <v>12751</v>
      </c>
      <c r="V5743" s="18" t="s">
        <v>12752</v>
      </c>
      <c r="W5743" s="18" t="s">
        <v>12753</v>
      </c>
      <c r="X5743" s="18" t="s">
        <v>35</v>
      </c>
      <c r="Y5743" s="18" t="s">
        <v>10535</v>
      </c>
      <c r="Z5743" s="18" t="s">
        <v>166</v>
      </c>
      <c r="AA5743" s="21" t="str">
        <f>HYPERLINK("https://www.ncbi.nlm.nih.gov/nuccore/GU226971","NCBI Nucleotide")</f>
        <v>NCBI Nucleotide</v>
      </c>
    </row>
    <row r="5744" spans="1:27" x14ac:dyDescent="0.35">
      <c r="A5744">
        <v>1007236</v>
      </c>
      <c r="B5744">
        <v>5482</v>
      </c>
      <c r="C5744">
        <v>1</v>
      </c>
      <c r="D5744" s="17" t="s">
        <v>10507</v>
      </c>
      <c r="E5744" s="17"/>
      <c r="F5744" s="17" t="s">
        <v>10780</v>
      </c>
      <c r="G5744" s="17"/>
      <c r="H5744" s="17" t="s">
        <v>10781</v>
      </c>
      <c r="I5744" s="17"/>
      <c r="J5744" s="17" t="s">
        <v>12258</v>
      </c>
      <c r="K5744" s="17"/>
      <c r="L5744" s="17" t="s">
        <v>12259</v>
      </c>
      <c r="M5744" s="17"/>
      <c r="N5744" s="17" t="s">
        <v>12260</v>
      </c>
      <c r="O5744" s="17" t="s">
        <v>12545</v>
      </c>
      <c r="P5744" s="17" t="s">
        <v>12733</v>
      </c>
      <c r="Q5744" s="17"/>
      <c r="R5744" s="25" t="str">
        <f>HYPERLINK("https://ictv.global/taxonomy/taxondetails?taxnode_id=202314038","Dependoparvovirus chiropteran2")</f>
        <v>Dependoparvovirus chiropteran2</v>
      </c>
      <c r="S5744" s="18" t="s">
        <v>30</v>
      </c>
      <c r="T5744" s="18" t="s">
        <v>12754</v>
      </c>
      <c r="U5744" s="18" t="s">
        <v>12755</v>
      </c>
      <c r="V5744" s="18">
        <v>246</v>
      </c>
      <c r="W5744" s="18" t="s">
        <v>12756</v>
      </c>
      <c r="X5744" s="18" t="s">
        <v>35</v>
      </c>
      <c r="Y5744" s="18" t="s">
        <v>10535</v>
      </c>
      <c r="Z5744" s="18" t="s">
        <v>166</v>
      </c>
      <c r="AA5744" s="21" t="str">
        <f>HYPERLINK("https://www.ncbi.nlm.nih.gov/nuccore/MG745677","NCBI Nucleotide")</f>
        <v>NCBI Nucleotide</v>
      </c>
    </row>
    <row r="5745" spans="1:27" x14ac:dyDescent="0.35">
      <c r="A5745">
        <v>1007237</v>
      </c>
      <c r="B5745">
        <v>5483</v>
      </c>
      <c r="C5745">
        <v>1</v>
      </c>
      <c r="D5745" s="17" t="s">
        <v>10507</v>
      </c>
      <c r="E5745" s="17"/>
      <c r="F5745" s="17" t="s">
        <v>10780</v>
      </c>
      <c r="G5745" s="17"/>
      <c r="H5745" s="17" t="s">
        <v>10781</v>
      </c>
      <c r="I5745" s="17"/>
      <c r="J5745" s="17" t="s">
        <v>12258</v>
      </c>
      <c r="K5745" s="17"/>
      <c r="L5745" s="17" t="s">
        <v>12259</v>
      </c>
      <c r="M5745" s="17"/>
      <c r="N5745" s="17" t="s">
        <v>12260</v>
      </c>
      <c r="O5745" s="17" t="s">
        <v>12545</v>
      </c>
      <c r="P5745" s="17" t="s">
        <v>12733</v>
      </c>
      <c r="Q5745" s="17"/>
      <c r="R5745" s="25" t="str">
        <f>HYPERLINK("https://ictv.global/taxonomy/taxondetails?taxnode_id=202304259","Dependoparvovirus mammalian1")</f>
        <v>Dependoparvovirus mammalian1</v>
      </c>
      <c r="S5745" s="18" t="s">
        <v>30</v>
      </c>
      <c r="T5745" s="18" t="s">
        <v>12757</v>
      </c>
      <c r="U5745" s="18" t="s">
        <v>12758</v>
      </c>
      <c r="V5745" s="18"/>
      <c r="W5745" s="18" t="s">
        <v>12759</v>
      </c>
      <c r="X5745" s="18" t="s">
        <v>42</v>
      </c>
      <c r="Y5745" s="18" t="s">
        <v>10535</v>
      </c>
      <c r="Z5745" s="18" t="s">
        <v>166</v>
      </c>
      <c r="AA5745" s="21" t="str">
        <f>HYPERLINK("https://www.ncbi.nlm.nih.gov/nuccore/AF085716","NCBI Nucleotide")</f>
        <v>NCBI Nucleotide</v>
      </c>
    </row>
    <row r="5746" spans="1:27" x14ac:dyDescent="0.35">
      <c r="A5746">
        <v>1007238</v>
      </c>
      <c r="B5746">
        <v>5484</v>
      </c>
      <c r="C5746">
        <v>1</v>
      </c>
      <c r="D5746" s="17" t="s">
        <v>10507</v>
      </c>
      <c r="E5746" s="17"/>
      <c r="F5746" s="17" t="s">
        <v>10780</v>
      </c>
      <c r="G5746" s="17"/>
      <c r="H5746" s="17" t="s">
        <v>10781</v>
      </c>
      <c r="I5746" s="17"/>
      <c r="J5746" s="17" t="s">
        <v>12258</v>
      </c>
      <c r="K5746" s="17"/>
      <c r="L5746" s="17" t="s">
        <v>12259</v>
      </c>
      <c r="M5746" s="17"/>
      <c r="N5746" s="17" t="s">
        <v>12260</v>
      </c>
      <c r="O5746" s="17" t="s">
        <v>12545</v>
      </c>
      <c r="P5746" s="17" t="s">
        <v>12733</v>
      </c>
      <c r="Q5746" s="17"/>
      <c r="R5746" s="25" t="str">
        <f>HYPERLINK("https://ictv.global/taxonomy/taxondetails?taxnode_id=202304263","Dependoparvovirus pinniped1")</f>
        <v>Dependoparvovirus pinniped1</v>
      </c>
      <c r="S5746" s="18" t="s">
        <v>30</v>
      </c>
      <c r="T5746" s="18" t="s">
        <v>12760</v>
      </c>
      <c r="U5746" s="18" t="s">
        <v>12761</v>
      </c>
      <c r="V5746" s="18">
        <v>1187</v>
      </c>
      <c r="W5746" s="18" t="s">
        <v>12762</v>
      </c>
      <c r="X5746" s="18" t="s">
        <v>35</v>
      </c>
      <c r="Y5746" s="18" t="s">
        <v>10535</v>
      </c>
      <c r="Z5746" s="18" t="s">
        <v>166</v>
      </c>
      <c r="AA5746" s="21" t="str">
        <f>HYPERLINK("https://www.ncbi.nlm.nih.gov/nuccore/JN420372","NCBI Nucleotide")</f>
        <v>NCBI Nucleotide</v>
      </c>
    </row>
    <row r="5747" spans="1:27" x14ac:dyDescent="0.35">
      <c r="A5747">
        <v>1007239</v>
      </c>
      <c r="B5747">
        <v>5485</v>
      </c>
      <c r="C5747">
        <v>1</v>
      </c>
      <c r="D5747" s="17" t="s">
        <v>10507</v>
      </c>
      <c r="E5747" s="17"/>
      <c r="F5747" s="17" t="s">
        <v>10780</v>
      </c>
      <c r="G5747" s="17"/>
      <c r="H5747" s="17" t="s">
        <v>10781</v>
      </c>
      <c r="I5747" s="17"/>
      <c r="J5747" s="17" t="s">
        <v>12258</v>
      </c>
      <c r="K5747" s="17"/>
      <c r="L5747" s="17" t="s">
        <v>12259</v>
      </c>
      <c r="M5747" s="17"/>
      <c r="N5747" s="17" t="s">
        <v>12260</v>
      </c>
      <c r="O5747" s="17" t="s">
        <v>12545</v>
      </c>
      <c r="P5747" s="17" t="s">
        <v>12733</v>
      </c>
      <c r="Q5747" s="17"/>
      <c r="R5747" s="25" t="str">
        <f>HYPERLINK("https://ictv.global/taxonomy/taxondetails?taxnode_id=202304258","Dependoparvovirus primate1")</f>
        <v>Dependoparvovirus primate1</v>
      </c>
      <c r="S5747" s="18" t="s">
        <v>30</v>
      </c>
      <c r="T5747" s="18" t="s">
        <v>12763</v>
      </c>
      <c r="U5747" s="18" t="s">
        <v>12764</v>
      </c>
      <c r="V5747" s="18"/>
      <c r="W5747" s="18" t="s">
        <v>12765</v>
      </c>
      <c r="X5747" s="18" t="s">
        <v>42</v>
      </c>
      <c r="Y5747" s="18" t="s">
        <v>10535</v>
      </c>
      <c r="Z5747" s="18" t="s">
        <v>166</v>
      </c>
      <c r="AA5747" s="21" t="str">
        <f>HYPERLINK("https://www.ncbi.nlm.nih.gov/nuccore/AF043303","NCBI Nucleotide")</f>
        <v>NCBI Nucleotide</v>
      </c>
    </row>
    <row r="5748" spans="1:27" x14ac:dyDescent="0.35">
      <c r="A5748">
        <v>1025388</v>
      </c>
      <c r="B5748">
        <v>5486</v>
      </c>
      <c r="C5748">
        <v>1</v>
      </c>
      <c r="D5748" s="17" t="s">
        <v>10507</v>
      </c>
      <c r="E5748" s="17"/>
      <c r="F5748" s="17" t="s">
        <v>10780</v>
      </c>
      <c r="G5748" s="17"/>
      <c r="H5748" s="17" t="s">
        <v>10781</v>
      </c>
      <c r="I5748" s="17"/>
      <c r="J5748" s="17" t="s">
        <v>12258</v>
      </c>
      <c r="K5748" s="17"/>
      <c r="L5748" s="17" t="s">
        <v>12259</v>
      </c>
      <c r="M5748" s="17"/>
      <c r="N5748" s="17" t="s">
        <v>12260</v>
      </c>
      <c r="O5748" s="17" t="s">
        <v>12545</v>
      </c>
      <c r="P5748" s="17" t="s">
        <v>12733</v>
      </c>
      <c r="Q5748" s="17"/>
      <c r="R5748" s="25" t="str">
        <f>HYPERLINK("https://ictv.global/taxonomy/taxondetails?taxnode_id=202317849","Dependoparvovirus psittacine1")</f>
        <v>Dependoparvovirus psittacine1</v>
      </c>
      <c r="S5748" s="18" t="s">
        <v>30</v>
      </c>
      <c r="T5748" s="18" t="s">
        <v>40136</v>
      </c>
      <c r="U5748" s="18" t="s">
        <v>40137</v>
      </c>
      <c r="V5748" s="18"/>
      <c r="W5748" s="18" t="s">
        <v>40138</v>
      </c>
      <c r="X5748" s="18" t="s">
        <v>42</v>
      </c>
      <c r="Y5748" s="18" t="s">
        <v>10535</v>
      </c>
      <c r="Z5748" s="18" t="s">
        <v>166</v>
      </c>
      <c r="AA5748" s="21" t="str">
        <f>HYPERLINK("https://www.ncbi.nlm.nih.gov/nuccore/OQ101836","NCBI Nucleotide")</f>
        <v>NCBI Nucleotide</v>
      </c>
    </row>
    <row r="5749" spans="1:27" x14ac:dyDescent="0.35">
      <c r="A5749">
        <v>1007240</v>
      </c>
      <c r="B5749">
        <v>5487</v>
      </c>
      <c r="C5749">
        <v>1</v>
      </c>
      <c r="D5749" s="17" t="s">
        <v>10507</v>
      </c>
      <c r="E5749" s="17"/>
      <c r="F5749" s="17" t="s">
        <v>10780</v>
      </c>
      <c r="G5749" s="17"/>
      <c r="H5749" s="17" t="s">
        <v>10781</v>
      </c>
      <c r="I5749" s="17"/>
      <c r="J5749" s="17" t="s">
        <v>12258</v>
      </c>
      <c r="K5749" s="17"/>
      <c r="L5749" s="17" t="s">
        <v>12259</v>
      </c>
      <c r="M5749" s="17"/>
      <c r="N5749" s="17" t="s">
        <v>12260</v>
      </c>
      <c r="O5749" s="17" t="s">
        <v>12545</v>
      </c>
      <c r="P5749" s="17" t="s">
        <v>12733</v>
      </c>
      <c r="Q5749" s="17"/>
      <c r="R5749" s="25" t="str">
        <f>HYPERLINK("https://ictv.global/taxonomy/taxondetails?taxnode_id=202307353","Dependoparvovirus rodent1")</f>
        <v>Dependoparvovirus rodent1</v>
      </c>
      <c r="S5749" s="18" t="s">
        <v>30</v>
      </c>
      <c r="T5749" s="18" t="s">
        <v>12766</v>
      </c>
      <c r="U5749" s="18" t="s">
        <v>12767</v>
      </c>
      <c r="V5749" s="18"/>
      <c r="W5749" s="18" t="s">
        <v>12768</v>
      </c>
      <c r="X5749" s="18" t="s">
        <v>42</v>
      </c>
      <c r="Y5749" s="18" t="s">
        <v>10535</v>
      </c>
      <c r="Z5749" s="18" t="s">
        <v>166</v>
      </c>
      <c r="AA5749" s="21" t="str">
        <f>HYPERLINK("https://www.ncbi.nlm.nih.gov/nuccore/MF416383","NCBI Nucleotide")</f>
        <v>NCBI Nucleotide</v>
      </c>
    </row>
    <row r="5750" spans="1:27" x14ac:dyDescent="0.35">
      <c r="A5750">
        <v>1007241</v>
      </c>
      <c r="B5750">
        <v>5488</v>
      </c>
      <c r="C5750">
        <v>1</v>
      </c>
      <c r="D5750" s="17" t="s">
        <v>10507</v>
      </c>
      <c r="E5750" s="17"/>
      <c r="F5750" s="17" t="s">
        <v>10780</v>
      </c>
      <c r="G5750" s="17"/>
      <c r="H5750" s="17" t="s">
        <v>10781</v>
      </c>
      <c r="I5750" s="17"/>
      <c r="J5750" s="17" t="s">
        <v>12258</v>
      </c>
      <c r="K5750" s="17"/>
      <c r="L5750" s="17" t="s">
        <v>12259</v>
      </c>
      <c r="M5750" s="17"/>
      <c r="N5750" s="17" t="s">
        <v>12260</v>
      </c>
      <c r="O5750" s="17" t="s">
        <v>12545</v>
      </c>
      <c r="P5750" s="17" t="s">
        <v>12733</v>
      </c>
      <c r="Q5750" s="17"/>
      <c r="R5750" s="25" t="str">
        <f>HYPERLINK("https://ictv.global/taxonomy/taxondetails?taxnode_id=202307354","Dependoparvovirus rodent2")</f>
        <v>Dependoparvovirus rodent2</v>
      </c>
      <c r="S5750" s="18" t="s">
        <v>30</v>
      </c>
      <c r="T5750" s="18" t="s">
        <v>12769</v>
      </c>
      <c r="U5750" s="18" t="s">
        <v>12770</v>
      </c>
      <c r="V5750" s="18"/>
      <c r="W5750" s="18" t="s">
        <v>12771</v>
      </c>
      <c r="X5750" s="18" t="s">
        <v>42</v>
      </c>
      <c r="Y5750" s="18" t="s">
        <v>10535</v>
      </c>
      <c r="Z5750" s="18" t="s">
        <v>166</v>
      </c>
      <c r="AA5750" s="21" t="str">
        <f>HYPERLINK("https://www.ncbi.nlm.nih.gov/nuccore/MF416384","NCBI Nucleotide")</f>
        <v>NCBI Nucleotide</v>
      </c>
    </row>
    <row r="5751" spans="1:27" x14ac:dyDescent="0.35">
      <c r="A5751">
        <v>1007242</v>
      </c>
      <c r="B5751">
        <v>5489</v>
      </c>
      <c r="C5751">
        <v>1</v>
      </c>
      <c r="D5751" s="17" t="s">
        <v>10507</v>
      </c>
      <c r="E5751" s="17"/>
      <c r="F5751" s="17" t="s">
        <v>10780</v>
      </c>
      <c r="G5751" s="17"/>
      <c r="H5751" s="17" t="s">
        <v>10781</v>
      </c>
      <c r="I5751" s="17"/>
      <c r="J5751" s="17" t="s">
        <v>12258</v>
      </c>
      <c r="K5751" s="17"/>
      <c r="L5751" s="17" t="s">
        <v>12259</v>
      </c>
      <c r="M5751" s="17"/>
      <c r="N5751" s="17" t="s">
        <v>12260</v>
      </c>
      <c r="O5751" s="17" t="s">
        <v>12545</v>
      </c>
      <c r="P5751" s="17" t="s">
        <v>12733</v>
      </c>
      <c r="Q5751" s="17"/>
      <c r="R5751" s="25" t="str">
        <f>HYPERLINK("https://ictv.global/taxonomy/taxondetails?taxnode_id=202304264","Dependoparvovirus squamate1")</f>
        <v>Dependoparvovirus squamate1</v>
      </c>
      <c r="S5751" s="18" t="s">
        <v>30</v>
      </c>
      <c r="T5751" s="18" t="s">
        <v>12772</v>
      </c>
      <c r="U5751" s="18" t="s">
        <v>12773</v>
      </c>
      <c r="V5751" s="18"/>
      <c r="W5751" s="18" t="s">
        <v>12774</v>
      </c>
      <c r="X5751" s="18" t="s">
        <v>42</v>
      </c>
      <c r="Y5751" s="18" t="s">
        <v>10535</v>
      </c>
      <c r="Z5751" s="18" t="s">
        <v>166</v>
      </c>
      <c r="AA5751" s="21" t="str">
        <f>HYPERLINK("https://www.ncbi.nlm.nih.gov/nuccore/AY349010","NCBI Nucleotide")</f>
        <v>NCBI Nucleotide</v>
      </c>
    </row>
    <row r="5752" spans="1:27" x14ac:dyDescent="0.35">
      <c r="A5752">
        <v>1007243</v>
      </c>
      <c r="B5752">
        <v>5490</v>
      </c>
      <c r="C5752">
        <v>1</v>
      </c>
      <c r="D5752" s="17" t="s">
        <v>10507</v>
      </c>
      <c r="E5752" s="17"/>
      <c r="F5752" s="17" t="s">
        <v>10780</v>
      </c>
      <c r="G5752" s="17"/>
      <c r="H5752" s="17" t="s">
        <v>10781</v>
      </c>
      <c r="I5752" s="17"/>
      <c r="J5752" s="17" t="s">
        <v>12258</v>
      </c>
      <c r="K5752" s="17"/>
      <c r="L5752" s="17" t="s">
        <v>12259</v>
      </c>
      <c r="M5752" s="17"/>
      <c r="N5752" s="17" t="s">
        <v>12260</v>
      </c>
      <c r="O5752" s="17" t="s">
        <v>12545</v>
      </c>
      <c r="P5752" s="17" t="s">
        <v>12733</v>
      </c>
      <c r="Q5752" s="17"/>
      <c r="R5752" s="25" t="str">
        <f>HYPERLINK("https://ictv.global/taxonomy/taxondetails?taxnode_id=202306425","Dependoparvovirus squamate2")</f>
        <v>Dependoparvovirus squamate2</v>
      </c>
      <c r="S5752" s="18" t="s">
        <v>30</v>
      </c>
      <c r="T5752" s="18" t="s">
        <v>12775</v>
      </c>
      <c r="U5752" s="18" t="s">
        <v>12776</v>
      </c>
      <c r="V5752" s="18">
        <v>2014</v>
      </c>
      <c r="W5752" s="18" t="s">
        <v>12777</v>
      </c>
      <c r="X5752" s="18" t="s">
        <v>42</v>
      </c>
      <c r="Y5752" s="18" t="s">
        <v>10535</v>
      </c>
      <c r="Z5752" s="18" t="s">
        <v>166</v>
      </c>
      <c r="AA5752" s="21" t="str">
        <f>HYPERLINK("https://www.ncbi.nlm.nih.gov/nuccore/KP733794","NCBI Nucleotide")</f>
        <v>NCBI Nucleotide</v>
      </c>
    </row>
    <row r="5753" spans="1:27" x14ac:dyDescent="0.35">
      <c r="A5753">
        <v>1007244</v>
      </c>
      <c r="B5753">
        <v>5491</v>
      </c>
      <c r="C5753">
        <v>1</v>
      </c>
      <c r="D5753" s="17" t="s">
        <v>10507</v>
      </c>
      <c r="E5753" s="17"/>
      <c r="F5753" s="17" t="s">
        <v>10780</v>
      </c>
      <c r="G5753" s="17"/>
      <c r="H5753" s="17" t="s">
        <v>10781</v>
      </c>
      <c r="I5753" s="17"/>
      <c r="J5753" s="17" t="s">
        <v>12258</v>
      </c>
      <c r="K5753" s="17"/>
      <c r="L5753" s="17" t="s">
        <v>12259</v>
      </c>
      <c r="M5753" s="17"/>
      <c r="N5753" s="17" t="s">
        <v>12260</v>
      </c>
      <c r="O5753" s="17" t="s">
        <v>12545</v>
      </c>
      <c r="P5753" s="17" t="s">
        <v>12778</v>
      </c>
      <c r="Q5753" s="17"/>
      <c r="R5753" s="25" t="str">
        <f>HYPERLINK("https://ictv.global/taxonomy/taxondetails?taxnode_id=202307345","Erythroparvovirus pinniped1")</f>
        <v>Erythroparvovirus pinniped1</v>
      </c>
      <c r="S5753" s="18" t="s">
        <v>30</v>
      </c>
      <c r="T5753" s="18" t="s">
        <v>12779</v>
      </c>
      <c r="U5753" s="18" t="s">
        <v>12780</v>
      </c>
      <c r="V5753" s="18"/>
      <c r="W5753" s="18" t="s">
        <v>12781</v>
      </c>
      <c r="X5753" s="18" t="s">
        <v>42</v>
      </c>
      <c r="Y5753" s="18" t="s">
        <v>10535</v>
      </c>
      <c r="Z5753" s="18" t="s">
        <v>166</v>
      </c>
      <c r="AA5753" s="21" t="str">
        <f>HYPERLINK("https://www.ncbi.nlm.nih.gov/nuccore/KF373759","NCBI Nucleotide")</f>
        <v>NCBI Nucleotide</v>
      </c>
    </row>
    <row r="5754" spans="1:27" x14ac:dyDescent="0.35">
      <c r="A5754">
        <v>1007245</v>
      </c>
      <c r="B5754">
        <v>5492</v>
      </c>
      <c r="C5754">
        <v>1</v>
      </c>
      <c r="D5754" s="17" t="s">
        <v>10507</v>
      </c>
      <c r="E5754" s="17"/>
      <c r="F5754" s="17" t="s">
        <v>10780</v>
      </c>
      <c r="G5754" s="17"/>
      <c r="H5754" s="17" t="s">
        <v>10781</v>
      </c>
      <c r="I5754" s="17"/>
      <c r="J5754" s="17" t="s">
        <v>12258</v>
      </c>
      <c r="K5754" s="17"/>
      <c r="L5754" s="17" t="s">
        <v>12259</v>
      </c>
      <c r="M5754" s="17"/>
      <c r="N5754" s="17" t="s">
        <v>12260</v>
      </c>
      <c r="O5754" s="17" t="s">
        <v>12545</v>
      </c>
      <c r="P5754" s="17" t="s">
        <v>12778</v>
      </c>
      <c r="Q5754" s="17"/>
      <c r="R5754" s="25" t="str">
        <f>HYPERLINK("https://ictv.global/taxonomy/taxondetails?taxnode_id=202304266","Erythroparvovirus primate1")</f>
        <v>Erythroparvovirus primate1</v>
      </c>
      <c r="S5754" s="18" t="s">
        <v>30</v>
      </c>
      <c r="T5754" s="18" t="s">
        <v>12782</v>
      </c>
      <c r="U5754" s="18" t="s">
        <v>12783</v>
      </c>
      <c r="V5754" s="18" t="s">
        <v>12784</v>
      </c>
      <c r="W5754" s="18" t="s">
        <v>12785</v>
      </c>
      <c r="X5754" s="18" t="s">
        <v>42</v>
      </c>
      <c r="Y5754" s="18" t="s">
        <v>10535</v>
      </c>
      <c r="Z5754" s="18" t="s">
        <v>166</v>
      </c>
      <c r="AA5754" s="21" t="str">
        <f>HYPERLINK("https://www.ncbi.nlm.nih.gov/nuccore/AY386330","NCBI Nucleotide")</f>
        <v>NCBI Nucleotide</v>
      </c>
    </row>
    <row r="5755" spans="1:27" x14ac:dyDescent="0.35">
      <c r="A5755">
        <v>1007246</v>
      </c>
      <c r="B5755">
        <v>5493</v>
      </c>
      <c r="C5755">
        <v>1</v>
      </c>
      <c r="D5755" s="17" t="s">
        <v>10507</v>
      </c>
      <c r="E5755" s="17"/>
      <c r="F5755" s="17" t="s">
        <v>10780</v>
      </c>
      <c r="G5755" s="17"/>
      <c r="H5755" s="17" t="s">
        <v>10781</v>
      </c>
      <c r="I5755" s="17"/>
      <c r="J5755" s="17" t="s">
        <v>12258</v>
      </c>
      <c r="K5755" s="17"/>
      <c r="L5755" s="17" t="s">
        <v>12259</v>
      </c>
      <c r="M5755" s="17"/>
      <c r="N5755" s="17" t="s">
        <v>12260</v>
      </c>
      <c r="O5755" s="17" t="s">
        <v>12545</v>
      </c>
      <c r="P5755" s="17" t="s">
        <v>12778</v>
      </c>
      <c r="Q5755" s="17"/>
      <c r="R5755" s="25" t="str">
        <f>HYPERLINK("https://ictv.global/taxonomy/taxondetails?taxnode_id=202304267","Erythroparvovirus primate2")</f>
        <v>Erythroparvovirus primate2</v>
      </c>
      <c r="S5755" s="18" t="s">
        <v>30</v>
      </c>
      <c r="T5755" s="18" t="s">
        <v>12786</v>
      </c>
      <c r="U5755" s="18" t="s">
        <v>12787</v>
      </c>
      <c r="V5755" s="18" t="s">
        <v>12788</v>
      </c>
      <c r="W5755" s="18" t="s">
        <v>12789</v>
      </c>
      <c r="X5755" s="18" t="s">
        <v>35</v>
      </c>
      <c r="Y5755" s="18" t="s">
        <v>10535</v>
      </c>
      <c r="Z5755" s="18" t="s">
        <v>166</v>
      </c>
      <c r="AA5755" s="21" t="str">
        <f>HYPERLINK("https://www.ncbi.nlm.nih.gov/nuccore/U26342","NCBI Nucleotide")</f>
        <v>NCBI Nucleotide</v>
      </c>
    </row>
    <row r="5756" spans="1:27" x14ac:dyDescent="0.35">
      <c r="A5756">
        <v>1007247</v>
      </c>
      <c r="B5756">
        <v>5494</v>
      </c>
      <c r="C5756">
        <v>1</v>
      </c>
      <c r="D5756" s="17" t="s">
        <v>10507</v>
      </c>
      <c r="E5756" s="17"/>
      <c r="F5756" s="17" t="s">
        <v>10780</v>
      </c>
      <c r="G5756" s="17"/>
      <c r="H5756" s="17" t="s">
        <v>10781</v>
      </c>
      <c r="I5756" s="17"/>
      <c r="J5756" s="17" t="s">
        <v>12258</v>
      </c>
      <c r="K5756" s="17"/>
      <c r="L5756" s="17" t="s">
        <v>12259</v>
      </c>
      <c r="M5756" s="17"/>
      <c r="N5756" s="17" t="s">
        <v>12260</v>
      </c>
      <c r="O5756" s="17" t="s">
        <v>12545</v>
      </c>
      <c r="P5756" s="17" t="s">
        <v>12778</v>
      </c>
      <c r="Q5756" s="17"/>
      <c r="R5756" s="25" t="str">
        <f>HYPERLINK("https://ictv.global/taxonomy/taxondetails?taxnode_id=202304268","Erythroparvovirus primate3")</f>
        <v>Erythroparvovirus primate3</v>
      </c>
      <c r="S5756" s="18" t="s">
        <v>30</v>
      </c>
      <c r="T5756" s="18" t="s">
        <v>12790</v>
      </c>
      <c r="U5756" s="18" t="s">
        <v>12791</v>
      </c>
      <c r="V5756" s="18"/>
      <c r="W5756" s="18" t="s">
        <v>12792</v>
      </c>
      <c r="X5756" s="18" t="s">
        <v>35</v>
      </c>
      <c r="Y5756" s="18" t="s">
        <v>10535</v>
      </c>
      <c r="Z5756" s="18" t="s">
        <v>166</v>
      </c>
      <c r="AA5756" s="21" t="str">
        <f>HYPERLINK("https://www.ncbi.nlm.nih.gov/nuccore/AF221122","NCBI Nucleotide")</f>
        <v>NCBI Nucleotide</v>
      </c>
    </row>
    <row r="5757" spans="1:27" x14ac:dyDescent="0.35">
      <c r="A5757">
        <v>1007248</v>
      </c>
      <c r="B5757">
        <v>5495</v>
      </c>
      <c r="C5757">
        <v>1</v>
      </c>
      <c r="D5757" s="17" t="s">
        <v>10507</v>
      </c>
      <c r="E5757" s="17"/>
      <c r="F5757" s="17" t="s">
        <v>10780</v>
      </c>
      <c r="G5757" s="17"/>
      <c r="H5757" s="17" t="s">
        <v>10781</v>
      </c>
      <c r="I5757" s="17"/>
      <c r="J5757" s="17" t="s">
        <v>12258</v>
      </c>
      <c r="K5757" s="17"/>
      <c r="L5757" s="17" t="s">
        <v>12259</v>
      </c>
      <c r="M5757" s="17"/>
      <c r="N5757" s="17" t="s">
        <v>12260</v>
      </c>
      <c r="O5757" s="17" t="s">
        <v>12545</v>
      </c>
      <c r="P5757" s="17" t="s">
        <v>12778</v>
      </c>
      <c r="Q5757" s="17"/>
      <c r="R5757" s="25" t="str">
        <f>HYPERLINK("https://ictv.global/taxonomy/taxondetails?taxnode_id=202304269","Erythroparvovirus primate4")</f>
        <v>Erythroparvovirus primate4</v>
      </c>
      <c r="S5757" s="18" t="s">
        <v>30</v>
      </c>
      <c r="T5757" s="18" t="s">
        <v>12793</v>
      </c>
      <c r="U5757" s="18" t="s">
        <v>12794</v>
      </c>
      <c r="V5757" s="18"/>
      <c r="W5757" s="18" t="s">
        <v>12795</v>
      </c>
      <c r="X5757" s="18" t="s">
        <v>35</v>
      </c>
      <c r="Y5757" s="18" t="s">
        <v>10535</v>
      </c>
      <c r="Z5757" s="18" t="s">
        <v>166</v>
      </c>
      <c r="AA5757" s="21" t="str">
        <f>HYPERLINK("https://www.ncbi.nlm.nih.gov/nuccore/AF221123","NCBI Nucleotide")</f>
        <v>NCBI Nucleotide</v>
      </c>
    </row>
    <row r="5758" spans="1:27" x14ac:dyDescent="0.35">
      <c r="A5758">
        <v>1007249</v>
      </c>
      <c r="B5758">
        <v>5496</v>
      </c>
      <c r="C5758">
        <v>1</v>
      </c>
      <c r="D5758" s="17" t="s">
        <v>10507</v>
      </c>
      <c r="E5758" s="17"/>
      <c r="F5758" s="17" t="s">
        <v>10780</v>
      </c>
      <c r="G5758" s="17"/>
      <c r="H5758" s="17" t="s">
        <v>10781</v>
      </c>
      <c r="I5758" s="17"/>
      <c r="J5758" s="17" t="s">
        <v>12258</v>
      </c>
      <c r="K5758" s="17"/>
      <c r="L5758" s="17" t="s">
        <v>12259</v>
      </c>
      <c r="M5758" s="17"/>
      <c r="N5758" s="17" t="s">
        <v>12260</v>
      </c>
      <c r="O5758" s="17" t="s">
        <v>12545</v>
      </c>
      <c r="P5758" s="17" t="s">
        <v>12778</v>
      </c>
      <c r="Q5758" s="17"/>
      <c r="R5758" s="25" t="str">
        <f>HYPERLINK("https://ictv.global/taxonomy/taxondetails?taxnode_id=202304270","Erythroparvovirus rodent1")</f>
        <v>Erythroparvovirus rodent1</v>
      </c>
      <c r="S5758" s="18" t="s">
        <v>30</v>
      </c>
      <c r="T5758" s="18" t="s">
        <v>12796</v>
      </c>
      <c r="U5758" s="18" t="s">
        <v>12797</v>
      </c>
      <c r="V5758" s="18"/>
      <c r="W5758" s="18" t="s">
        <v>12798</v>
      </c>
      <c r="X5758" s="18" t="s">
        <v>35</v>
      </c>
      <c r="Y5758" s="18" t="s">
        <v>10535</v>
      </c>
      <c r="Z5758" s="18" t="s">
        <v>166</v>
      </c>
      <c r="AA5758" s="21" t="str">
        <f>HYPERLINK("https://www.ncbi.nlm.nih.gov/nuccore/GQ200736","NCBI Nucleotide")</f>
        <v>NCBI Nucleotide</v>
      </c>
    </row>
    <row r="5759" spans="1:27" x14ac:dyDescent="0.35">
      <c r="A5759">
        <v>1007250</v>
      </c>
      <c r="B5759">
        <v>5497</v>
      </c>
      <c r="C5759">
        <v>1</v>
      </c>
      <c r="D5759" s="17" t="s">
        <v>10507</v>
      </c>
      <c r="E5759" s="17"/>
      <c r="F5759" s="17" t="s">
        <v>10780</v>
      </c>
      <c r="G5759" s="17"/>
      <c r="H5759" s="17" t="s">
        <v>10781</v>
      </c>
      <c r="I5759" s="17"/>
      <c r="J5759" s="17" t="s">
        <v>12258</v>
      </c>
      <c r="K5759" s="17"/>
      <c r="L5759" s="17" t="s">
        <v>12259</v>
      </c>
      <c r="M5759" s="17"/>
      <c r="N5759" s="17" t="s">
        <v>12260</v>
      </c>
      <c r="O5759" s="17" t="s">
        <v>12545</v>
      </c>
      <c r="P5759" s="17" t="s">
        <v>12778</v>
      </c>
      <c r="Q5759" s="17"/>
      <c r="R5759" s="25" t="str">
        <f>HYPERLINK("https://ictv.global/taxonomy/taxondetails?taxnode_id=202304271","Erythroparvovirus ungulate1")</f>
        <v>Erythroparvovirus ungulate1</v>
      </c>
      <c r="S5759" s="18" t="s">
        <v>30</v>
      </c>
      <c r="T5759" s="18" t="s">
        <v>12799</v>
      </c>
      <c r="U5759" s="18" t="s">
        <v>12216</v>
      </c>
      <c r="V5759" s="18"/>
      <c r="W5759" s="18" t="s">
        <v>12800</v>
      </c>
      <c r="X5759" s="18" t="s">
        <v>35</v>
      </c>
      <c r="Y5759" s="18" t="s">
        <v>10535</v>
      </c>
      <c r="Z5759" s="18" t="s">
        <v>166</v>
      </c>
      <c r="AA5759" s="21" t="str">
        <f>HYPERLINK("https://www.ncbi.nlm.nih.gov/nuccore/AF406967","NCBI Nucleotide")</f>
        <v>NCBI Nucleotide</v>
      </c>
    </row>
    <row r="5760" spans="1:27" x14ac:dyDescent="0.35">
      <c r="A5760">
        <v>1007251</v>
      </c>
      <c r="B5760">
        <v>5498</v>
      </c>
      <c r="C5760">
        <v>1</v>
      </c>
      <c r="D5760" s="17" t="s">
        <v>10507</v>
      </c>
      <c r="E5760" s="17"/>
      <c r="F5760" s="17" t="s">
        <v>10780</v>
      </c>
      <c r="G5760" s="17"/>
      <c r="H5760" s="17" t="s">
        <v>10781</v>
      </c>
      <c r="I5760" s="17"/>
      <c r="J5760" s="17" t="s">
        <v>12258</v>
      </c>
      <c r="K5760" s="17"/>
      <c r="L5760" s="17" t="s">
        <v>12259</v>
      </c>
      <c r="M5760" s="17"/>
      <c r="N5760" s="17" t="s">
        <v>12260</v>
      </c>
      <c r="O5760" s="17" t="s">
        <v>12545</v>
      </c>
      <c r="P5760" s="17" t="s">
        <v>12801</v>
      </c>
      <c r="Q5760" s="17"/>
      <c r="R5760" s="25" t="str">
        <f>HYPERLINK("https://ictv.global/taxonomy/taxondetails?taxnode_id=202307339","Loriparvovirus primate1")</f>
        <v>Loriparvovirus primate1</v>
      </c>
      <c r="S5760" s="18" t="s">
        <v>30</v>
      </c>
      <c r="T5760" s="18" t="s">
        <v>12802</v>
      </c>
      <c r="U5760" s="18" t="s">
        <v>12803</v>
      </c>
      <c r="V5760" s="18"/>
      <c r="W5760" s="18" t="s">
        <v>12804</v>
      </c>
      <c r="X5760" s="18" t="s">
        <v>42</v>
      </c>
      <c r="Y5760" s="18" t="s">
        <v>10535</v>
      </c>
      <c r="Z5760" s="18" t="s">
        <v>166</v>
      </c>
      <c r="AA5760" s="21" t="str">
        <f>HYPERLINK("https://www.ncbi.nlm.nih.gov/nuccore/KP120516","NCBI Nucleotide")</f>
        <v>NCBI Nucleotide</v>
      </c>
    </row>
    <row r="5761" spans="1:27" x14ac:dyDescent="0.35">
      <c r="A5761">
        <v>1007252</v>
      </c>
      <c r="B5761">
        <v>5499</v>
      </c>
      <c r="C5761">
        <v>1</v>
      </c>
      <c r="D5761" s="17" t="s">
        <v>10507</v>
      </c>
      <c r="E5761" s="17"/>
      <c r="F5761" s="17" t="s">
        <v>10780</v>
      </c>
      <c r="G5761" s="17"/>
      <c r="H5761" s="17" t="s">
        <v>10781</v>
      </c>
      <c r="I5761" s="17"/>
      <c r="J5761" s="17" t="s">
        <v>12258</v>
      </c>
      <c r="K5761" s="17"/>
      <c r="L5761" s="17" t="s">
        <v>12259</v>
      </c>
      <c r="M5761" s="17"/>
      <c r="N5761" s="17" t="s">
        <v>12260</v>
      </c>
      <c r="O5761" s="17" t="s">
        <v>12545</v>
      </c>
      <c r="P5761" s="17" t="s">
        <v>12805</v>
      </c>
      <c r="Q5761" s="17"/>
      <c r="R5761" s="25" t="str">
        <f>HYPERLINK("https://ictv.global/taxonomy/taxondetails?taxnode_id=202304273","Protoparvovirus carnivoran1")</f>
        <v>Protoparvovirus carnivoran1</v>
      </c>
      <c r="S5761" s="18" t="s">
        <v>30</v>
      </c>
      <c r="T5761" s="18" t="s">
        <v>12806</v>
      </c>
      <c r="U5761" s="18" t="s">
        <v>12807</v>
      </c>
      <c r="V5761" s="18" t="s">
        <v>12808</v>
      </c>
      <c r="W5761" s="18" t="s">
        <v>12809</v>
      </c>
      <c r="X5761" s="18" t="s">
        <v>42</v>
      </c>
      <c r="Y5761" s="18" t="s">
        <v>10535</v>
      </c>
      <c r="Z5761" s="18" t="s">
        <v>166</v>
      </c>
      <c r="AA5761" s="21" t="str">
        <f>HYPERLINK("https://www.ncbi.nlm.nih.gov/nuccore/M19296","NCBI Nucleotide")</f>
        <v>NCBI Nucleotide</v>
      </c>
    </row>
    <row r="5762" spans="1:27" x14ac:dyDescent="0.35">
      <c r="A5762">
        <v>1007253</v>
      </c>
      <c r="B5762">
        <v>5500</v>
      </c>
      <c r="C5762">
        <v>1</v>
      </c>
      <c r="D5762" s="17" t="s">
        <v>10507</v>
      </c>
      <c r="E5762" s="17"/>
      <c r="F5762" s="17" t="s">
        <v>10780</v>
      </c>
      <c r="G5762" s="17"/>
      <c r="H5762" s="17" t="s">
        <v>10781</v>
      </c>
      <c r="I5762" s="17"/>
      <c r="J5762" s="17" t="s">
        <v>12258</v>
      </c>
      <c r="K5762" s="17"/>
      <c r="L5762" s="17" t="s">
        <v>12259</v>
      </c>
      <c r="M5762" s="17"/>
      <c r="N5762" s="17" t="s">
        <v>12260</v>
      </c>
      <c r="O5762" s="17" t="s">
        <v>12545</v>
      </c>
      <c r="P5762" s="17" t="s">
        <v>12805</v>
      </c>
      <c r="Q5762" s="17"/>
      <c r="R5762" s="25" t="str">
        <f>HYPERLINK("https://ictv.global/taxonomy/taxondetails?taxnode_id=202307352","Protoparvovirus carnivoran2")</f>
        <v>Protoparvovirus carnivoran2</v>
      </c>
      <c r="S5762" s="18" t="s">
        <v>30</v>
      </c>
      <c r="T5762" s="18" t="s">
        <v>12810</v>
      </c>
      <c r="U5762" s="18" t="s">
        <v>12811</v>
      </c>
      <c r="V5762" s="18"/>
      <c r="W5762" s="18" t="s">
        <v>12812</v>
      </c>
      <c r="X5762" s="18" t="s">
        <v>42</v>
      </c>
      <c r="Y5762" s="18" t="s">
        <v>10535</v>
      </c>
      <c r="Z5762" s="18" t="s">
        <v>166</v>
      </c>
      <c r="AA5762" s="21" t="str">
        <f>HYPERLINK("https://www.ncbi.nlm.nih.gov/nuccore/KU561552","NCBI Nucleotide")</f>
        <v>NCBI Nucleotide</v>
      </c>
    </row>
    <row r="5763" spans="1:27" x14ac:dyDescent="0.35">
      <c r="A5763">
        <v>1007254</v>
      </c>
      <c r="B5763">
        <v>5501</v>
      </c>
      <c r="C5763">
        <v>1</v>
      </c>
      <c r="D5763" s="17" t="s">
        <v>10507</v>
      </c>
      <c r="E5763" s="17"/>
      <c r="F5763" s="17" t="s">
        <v>10780</v>
      </c>
      <c r="G5763" s="17"/>
      <c r="H5763" s="17" t="s">
        <v>10781</v>
      </c>
      <c r="I5763" s="17"/>
      <c r="J5763" s="17" t="s">
        <v>12258</v>
      </c>
      <c r="K5763" s="17"/>
      <c r="L5763" s="17" t="s">
        <v>12259</v>
      </c>
      <c r="M5763" s="17"/>
      <c r="N5763" s="17" t="s">
        <v>12260</v>
      </c>
      <c r="O5763" s="17" t="s">
        <v>12545</v>
      </c>
      <c r="P5763" s="17" t="s">
        <v>12805</v>
      </c>
      <c r="Q5763" s="17"/>
      <c r="R5763" s="25" t="str">
        <f>HYPERLINK("https://ictv.global/taxonomy/taxondetails?taxnode_id=202309284","Protoparvovirus carnivoran3")</f>
        <v>Protoparvovirus carnivoran3</v>
      </c>
      <c r="S5763" s="18" t="s">
        <v>30</v>
      </c>
      <c r="T5763" s="18" t="s">
        <v>12813</v>
      </c>
      <c r="U5763" s="18" t="s">
        <v>12814</v>
      </c>
      <c r="V5763" s="18" t="s">
        <v>12815</v>
      </c>
      <c r="W5763" s="18" t="s">
        <v>12816</v>
      </c>
      <c r="X5763" s="18" t="s">
        <v>35</v>
      </c>
      <c r="Y5763" s="18" t="s">
        <v>10535</v>
      </c>
      <c r="Z5763" s="18" t="s">
        <v>166</v>
      </c>
      <c r="AA5763" s="21" t="str">
        <f>HYPERLINK("https://www.ncbi.nlm.nih.gov/nuccore/MF198244","NCBI Nucleotide")</f>
        <v>NCBI Nucleotide</v>
      </c>
    </row>
    <row r="5764" spans="1:27" x14ac:dyDescent="0.35">
      <c r="A5764">
        <v>1007255</v>
      </c>
      <c r="B5764">
        <v>5502</v>
      </c>
      <c r="C5764">
        <v>1</v>
      </c>
      <c r="D5764" s="17" t="s">
        <v>10507</v>
      </c>
      <c r="E5764" s="17"/>
      <c r="F5764" s="17" t="s">
        <v>10780</v>
      </c>
      <c r="G5764" s="17"/>
      <c r="H5764" s="17" t="s">
        <v>10781</v>
      </c>
      <c r="I5764" s="17"/>
      <c r="J5764" s="17" t="s">
        <v>12258</v>
      </c>
      <c r="K5764" s="17"/>
      <c r="L5764" s="17" t="s">
        <v>12259</v>
      </c>
      <c r="M5764" s="17"/>
      <c r="N5764" s="17" t="s">
        <v>12260</v>
      </c>
      <c r="O5764" s="17" t="s">
        <v>12545</v>
      </c>
      <c r="P5764" s="17" t="s">
        <v>12805</v>
      </c>
      <c r="Q5764" s="17"/>
      <c r="R5764" s="25" t="str">
        <f>HYPERLINK("https://ictv.global/taxonomy/taxondetails?taxnode_id=202309285","Protoparvovirus carnivoran4")</f>
        <v>Protoparvovirus carnivoran4</v>
      </c>
      <c r="S5764" s="18" t="s">
        <v>30</v>
      </c>
      <c r="T5764" s="18" t="s">
        <v>12817</v>
      </c>
      <c r="U5764" s="18" t="s">
        <v>12818</v>
      </c>
      <c r="V5764" s="18"/>
      <c r="W5764" s="18" t="s">
        <v>12819</v>
      </c>
      <c r="X5764" s="18" t="s">
        <v>35</v>
      </c>
      <c r="Y5764" s="18" t="s">
        <v>10535</v>
      </c>
      <c r="Z5764" s="18" t="s">
        <v>166</v>
      </c>
      <c r="AA5764" s="21" t="str">
        <f>HYPERLINK("https://www.ncbi.nlm.nih.gov/nuccore/KC692368","NCBI Nucleotide")</f>
        <v>NCBI Nucleotide</v>
      </c>
    </row>
    <row r="5765" spans="1:27" x14ac:dyDescent="0.35">
      <c r="A5765">
        <v>1007256</v>
      </c>
      <c r="B5765">
        <v>5503</v>
      </c>
      <c r="C5765">
        <v>1</v>
      </c>
      <c r="D5765" s="17" t="s">
        <v>10507</v>
      </c>
      <c r="E5765" s="17"/>
      <c r="F5765" s="17" t="s">
        <v>10780</v>
      </c>
      <c r="G5765" s="17"/>
      <c r="H5765" s="17" t="s">
        <v>10781</v>
      </c>
      <c r="I5765" s="17"/>
      <c r="J5765" s="17" t="s">
        <v>12258</v>
      </c>
      <c r="K5765" s="17"/>
      <c r="L5765" s="17" t="s">
        <v>12259</v>
      </c>
      <c r="M5765" s="17"/>
      <c r="N5765" s="17" t="s">
        <v>12260</v>
      </c>
      <c r="O5765" s="17" t="s">
        <v>12545</v>
      </c>
      <c r="P5765" s="17" t="s">
        <v>12805</v>
      </c>
      <c r="Q5765" s="17"/>
      <c r="R5765" s="25" t="str">
        <f>HYPERLINK("https://ictv.global/taxonomy/taxondetails?taxnode_id=202314040","Protoparvovirus carnivoran5")</f>
        <v>Protoparvovirus carnivoran5</v>
      </c>
      <c r="S5765" s="18" t="s">
        <v>30</v>
      </c>
      <c r="T5765" s="18" t="s">
        <v>12820</v>
      </c>
      <c r="U5765" s="18" t="s">
        <v>12821</v>
      </c>
      <c r="V5765" s="18" t="s">
        <v>12822</v>
      </c>
      <c r="W5765" s="18" t="s">
        <v>12823</v>
      </c>
      <c r="X5765" s="18" t="s">
        <v>35</v>
      </c>
      <c r="Y5765" s="18" t="s">
        <v>10535</v>
      </c>
      <c r="Z5765" s="18" t="s">
        <v>166</v>
      </c>
      <c r="AA5765" s="21" t="str">
        <f>HYPERLINK("https://www.ncbi.nlm.nih.gov/nuccore/MZ813278","NCBI Nucleotide")</f>
        <v>NCBI Nucleotide</v>
      </c>
    </row>
    <row r="5766" spans="1:27" x14ac:dyDescent="0.35">
      <c r="A5766">
        <v>1007257</v>
      </c>
      <c r="B5766">
        <v>5504</v>
      </c>
      <c r="C5766">
        <v>1</v>
      </c>
      <c r="D5766" s="17" t="s">
        <v>10507</v>
      </c>
      <c r="E5766" s="17"/>
      <c r="F5766" s="17" t="s">
        <v>10780</v>
      </c>
      <c r="G5766" s="17"/>
      <c r="H5766" s="17" t="s">
        <v>10781</v>
      </c>
      <c r="I5766" s="17"/>
      <c r="J5766" s="17" t="s">
        <v>12258</v>
      </c>
      <c r="K5766" s="17"/>
      <c r="L5766" s="17" t="s">
        <v>12259</v>
      </c>
      <c r="M5766" s="17"/>
      <c r="N5766" s="17" t="s">
        <v>12260</v>
      </c>
      <c r="O5766" s="17" t="s">
        <v>12545</v>
      </c>
      <c r="P5766" s="17" t="s">
        <v>12805</v>
      </c>
      <c r="Q5766" s="17"/>
      <c r="R5766" s="25" t="str">
        <f>HYPERLINK("https://ictv.global/taxonomy/taxondetails?taxnode_id=202305898","Protoparvovirus chiropteran1")</f>
        <v>Protoparvovirus chiropteran1</v>
      </c>
      <c r="S5766" s="18" t="s">
        <v>30</v>
      </c>
      <c r="T5766" s="18" t="s">
        <v>12824</v>
      </c>
      <c r="U5766" s="18" t="s">
        <v>12825</v>
      </c>
      <c r="V5766" s="18" t="s">
        <v>12826</v>
      </c>
      <c r="W5766" s="18" t="s">
        <v>12827</v>
      </c>
      <c r="X5766" s="18" t="s">
        <v>35</v>
      </c>
      <c r="Y5766" s="18" t="s">
        <v>10535</v>
      </c>
      <c r="Z5766" s="18" t="s">
        <v>166</v>
      </c>
      <c r="AA5766" s="21" t="str">
        <f>HYPERLINK("https://www.ncbi.nlm.nih.gov/nuccore/LC085675","NCBI Nucleotide")</f>
        <v>NCBI Nucleotide</v>
      </c>
    </row>
    <row r="5767" spans="1:27" x14ac:dyDescent="0.35">
      <c r="A5767">
        <v>1007258</v>
      </c>
      <c r="B5767">
        <v>5505</v>
      </c>
      <c r="C5767">
        <v>1</v>
      </c>
      <c r="D5767" s="17" t="s">
        <v>10507</v>
      </c>
      <c r="E5767" s="17"/>
      <c r="F5767" s="17" t="s">
        <v>10780</v>
      </c>
      <c r="G5767" s="17"/>
      <c r="H5767" s="17" t="s">
        <v>10781</v>
      </c>
      <c r="I5767" s="17"/>
      <c r="J5767" s="17" t="s">
        <v>12258</v>
      </c>
      <c r="K5767" s="17"/>
      <c r="L5767" s="17" t="s">
        <v>12259</v>
      </c>
      <c r="M5767" s="17"/>
      <c r="N5767" s="17" t="s">
        <v>12260</v>
      </c>
      <c r="O5767" s="17" t="s">
        <v>12545</v>
      </c>
      <c r="P5767" s="17" t="s">
        <v>12805</v>
      </c>
      <c r="Q5767" s="17"/>
      <c r="R5767" s="25" t="str">
        <f>HYPERLINK("https://ictv.global/taxonomy/taxondetails?taxnode_id=202305899","Protoparvovirus eulipotyphla1")</f>
        <v>Protoparvovirus eulipotyphla1</v>
      </c>
      <c r="S5767" s="18" t="s">
        <v>30</v>
      </c>
      <c r="T5767" s="18" t="s">
        <v>12828</v>
      </c>
      <c r="U5767" s="18" t="s">
        <v>12829</v>
      </c>
      <c r="V5767" s="18" t="s">
        <v>12830</v>
      </c>
      <c r="W5767" s="18" t="s">
        <v>12831</v>
      </c>
      <c r="X5767" s="18" t="s">
        <v>35</v>
      </c>
      <c r="Y5767" s="18" t="s">
        <v>10535</v>
      </c>
      <c r="Z5767" s="18" t="s">
        <v>166</v>
      </c>
      <c r="AA5767" s="21" t="str">
        <f>HYPERLINK("https://www.ncbi.nlm.nih.gov/nuccore/AB937988","NCBI Nucleotide")</f>
        <v>NCBI Nucleotide</v>
      </c>
    </row>
    <row r="5768" spans="1:27" x14ac:dyDescent="0.35">
      <c r="A5768">
        <v>1007259</v>
      </c>
      <c r="B5768">
        <v>5506</v>
      </c>
      <c r="C5768">
        <v>1</v>
      </c>
      <c r="D5768" s="17" t="s">
        <v>10507</v>
      </c>
      <c r="E5768" s="17"/>
      <c r="F5768" s="17" t="s">
        <v>10780</v>
      </c>
      <c r="G5768" s="17"/>
      <c r="H5768" s="17" t="s">
        <v>10781</v>
      </c>
      <c r="I5768" s="17"/>
      <c r="J5768" s="17" t="s">
        <v>12258</v>
      </c>
      <c r="K5768" s="17"/>
      <c r="L5768" s="17" t="s">
        <v>12259</v>
      </c>
      <c r="M5768" s="17"/>
      <c r="N5768" s="17" t="s">
        <v>12260</v>
      </c>
      <c r="O5768" s="17" t="s">
        <v>12545</v>
      </c>
      <c r="P5768" s="17" t="s">
        <v>12805</v>
      </c>
      <c r="Q5768" s="17"/>
      <c r="R5768" s="25" t="str">
        <f>HYPERLINK("https://ictv.global/taxonomy/taxondetails?taxnode_id=202307351","Protoparvovirus incertum1")</f>
        <v>Protoparvovirus incertum1</v>
      </c>
      <c r="S5768" s="18" t="s">
        <v>30</v>
      </c>
      <c r="T5768" s="18" t="s">
        <v>12832</v>
      </c>
      <c r="U5768" s="18" t="s">
        <v>12833</v>
      </c>
      <c r="V5768" s="18"/>
      <c r="W5768" s="18" t="s">
        <v>12834</v>
      </c>
      <c r="X5768" s="18" t="s">
        <v>42</v>
      </c>
      <c r="Y5768" s="18" t="s">
        <v>10535</v>
      </c>
      <c r="Z5768" s="18" t="s">
        <v>166</v>
      </c>
      <c r="AA5768" s="21" t="str">
        <f>HYPERLINK("https://www.ncbi.nlm.nih.gov/nuccore/KJ495710","NCBI Nucleotide")</f>
        <v>NCBI Nucleotide</v>
      </c>
    </row>
    <row r="5769" spans="1:27" x14ac:dyDescent="0.35">
      <c r="A5769">
        <v>1007260</v>
      </c>
      <c r="B5769">
        <v>5507</v>
      </c>
      <c r="C5769">
        <v>1</v>
      </c>
      <c r="D5769" s="17" t="s">
        <v>10507</v>
      </c>
      <c r="E5769" s="17"/>
      <c r="F5769" s="17" t="s">
        <v>10780</v>
      </c>
      <c r="G5769" s="17"/>
      <c r="H5769" s="17" t="s">
        <v>10781</v>
      </c>
      <c r="I5769" s="17"/>
      <c r="J5769" s="17" t="s">
        <v>12258</v>
      </c>
      <c r="K5769" s="17"/>
      <c r="L5769" s="17" t="s">
        <v>12259</v>
      </c>
      <c r="M5769" s="17"/>
      <c r="N5769" s="17" t="s">
        <v>12260</v>
      </c>
      <c r="O5769" s="17" t="s">
        <v>12545</v>
      </c>
      <c r="P5769" s="17" t="s">
        <v>12805</v>
      </c>
      <c r="Q5769" s="17"/>
      <c r="R5769" s="25" t="str">
        <f>HYPERLINK("https://ictv.global/taxonomy/taxondetails?taxnode_id=202314039","Protoparvovirus pinniped1")</f>
        <v>Protoparvovirus pinniped1</v>
      </c>
      <c r="S5769" s="18" t="s">
        <v>30</v>
      </c>
      <c r="T5769" s="18" t="s">
        <v>12835</v>
      </c>
      <c r="U5769" s="18" t="s">
        <v>12836</v>
      </c>
      <c r="V5769" s="18" t="s">
        <v>12837</v>
      </c>
      <c r="W5769" s="18" t="s">
        <v>12838</v>
      </c>
      <c r="X5769" s="18" t="s">
        <v>35</v>
      </c>
      <c r="Y5769" s="18" t="s">
        <v>10535</v>
      </c>
      <c r="Z5769" s="18" t="s">
        <v>166</v>
      </c>
      <c r="AA5769" s="21" t="str">
        <f>HYPERLINK("https://www.ncbi.nlm.nih.gov/nuccore/MN982959","NCBI Nucleotide")</f>
        <v>NCBI Nucleotide</v>
      </c>
    </row>
    <row r="5770" spans="1:27" x14ac:dyDescent="0.35">
      <c r="A5770">
        <v>1007261</v>
      </c>
      <c r="B5770">
        <v>5508</v>
      </c>
      <c r="C5770">
        <v>1</v>
      </c>
      <c r="D5770" s="17" t="s">
        <v>10507</v>
      </c>
      <c r="E5770" s="17"/>
      <c r="F5770" s="17" t="s">
        <v>10780</v>
      </c>
      <c r="G5770" s="17"/>
      <c r="H5770" s="17" t="s">
        <v>10781</v>
      </c>
      <c r="I5770" s="17"/>
      <c r="J5770" s="17" t="s">
        <v>12258</v>
      </c>
      <c r="K5770" s="17"/>
      <c r="L5770" s="17" t="s">
        <v>12259</v>
      </c>
      <c r="M5770" s="17"/>
      <c r="N5770" s="17" t="s">
        <v>12260</v>
      </c>
      <c r="O5770" s="17" t="s">
        <v>12545</v>
      </c>
      <c r="P5770" s="17" t="s">
        <v>12805</v>
      </c>
      <c r="Q5770" s="17"/>
      <c r="R5770" s="25" t="str">
        <f>HYPERLINK("https://ictv.global/taxonomy/taxondetails?taxnode_id=202304274","Protoparvovirus primate1")</f>
        <v>Protoparvovirus primate1</v>
      </c>
      <c r="S5770" s="18" t="s">
        <v>30</v>
      </c>
      <c r="T5770" s="18" t="s">
        <v>12839</v>
      </c>
      <c r="U5770" s="18" t="s">
        <v>12840</v>
      </c>
      <c r="V5770" s="18" t="s">
        <v>12841</v>
      </c>
      <c r="W5770" s="18" t="s">
        <v>12842</v>
      </c>
      <c r="X5770" s="18" t="s">
        <v>35</v>
      </c>
      <c r="Y5770" s="18" t="s">
        <v>10535</v>
      </c>
      <c r="Z5770" s="18" t="s">
        <v>166</v>
      </c>
      <c r="AA5770" s="21" t="str">
        <f>HYPERLINK("https://www.ncbi.nlm.nih.gov/nuccore/JX027296","NCBI Nucleotide")</f>
        <v>NCBI Nucleotide</v>
      </c>
    </row>
    <row r="5771" spans="1:27" x14ac:dyDescent="0.35">
      <c r="A5771">
        <v>1007262</v>
      </c>
      <c r="B5771">
        <v>5509</v>
      </c>
      <c r="C5771">
        <v>1</v>
      </c>
      <c r="D5771" s="17" t="s">
        <v>10507</v>
      </c>
      <c r="E5771" s="17"/>
      <c r="F5771" s="17" t="s">
        <v>10780</v>
      </c>
      <c r="G5771" s="17"/>
      <c r="H5771" s="17" t="s">
        <v>10781</v>
      </c>
      <c r="I5771" s="17"/>
      <c r="J5771" s="17" t="s">
        <v>12258</v>
      </c>
      <c r="K5771" s="17"/>
      <c r="L5771" s="17" t="s">
        <v>12259</v>
      </c>
      <c r="M5771" s="17"/>
      <c r="N5771" s="17" t="s">
        <v>12260</v>
      </c>
      <c r="O5771" s="17" t="s">
        <v>12545</v>
      </c>
      <c r="P5771" s="17" t="s">
        <v>12805</v>
      </c>
      <c r="Q5771" s="17"/>
      <c r="R5771" s="25" t="str">
        <f>HYPERLINK("https://ictv.global/taxonomy/taxondetails?taxnode_id=202305900","Protoparvovirus primate2")</f>
        <v>Protoparvovirus primate2</v>
      </c>
      <c r="S5771" s="18" t="s">
        <v>30</v>
      </c>
      <c r="T5771" s="18" t="s">
        <v>12843</v>
      </c>
      <c r="U5771" s="18" t="s">
        <v>12844</v>
      </c>
      <c r="V5771" s="18" t="s">
        <v>12845</v>
      </c>
      <c r="W5771" s="18" t="s">
        <v>12846</v>
      </c>
      <c r="X5771" s="18" t="s">
        <v>35</v>
      </c>
      <c r="Y5771" s="18" t="s">
        <v>10535</v>
      </c>
      <c r="Z5771" s="18" t="s">
        <v>166</v>
      </c>
      <c r="AA5771" s="21" t="str">
        <f>HYPERLINK("https://www.ncbi.nlm.nih.gov/nuccore/JX627576","NCBI Nucleotide")</f>
        <v>NCBI Nucleotide</v>
      </c>
    </row>
    <row r="5772" spans="1:27" x14ac:dyDescent="0.35">
      <c r="A5772">
        <v>1007263</v>
      </c>
      <c r="B5772">
        <v>5510</v>
      </c>
      <c r="C5772">
        <v>1</v>
      </c>
      <c r="D5772" s="17" t="s">
        <v>10507</v>
      </c>
      <c r="E5772" s="17"/>
      <c r="F5772" s="17" t="s">
        <v>10780</v>
      </c>
      <c r="G5772" s="17"/>
      <c r="H5772" s="17" t="s">
        <v>10781</v>
      </c>
      <c r="I5772" s="17"/>
      <c r="J5772" s="17" t="s">
        <v>12258</v>
      </c>
      <c r="K5772" s="17"/>
      <c r="L5772" s="17" t="s">
        <v>12259</v>
      </c>
      <c r="M5772" s="17"/>
      <c r="N5772" s="17" t="s">
        <v>12260</v>
      </c>
      <c r="O5772" s="17" t="s">
        <v>12545</v>
      </c>
      <c r="P5772" s="17" t="s">
        <v>12805</v>
      </c>
      <c r="Q5772" s="17"/>
      <c r="R5772" s="25" t="str">
        <f>HYPERLINK("https://ictv.global/taxonomy/taxondetails?taxnode_id=202305901","Protoparvovirus primate3")</f>
        <v>Protoparvovirus primate3</v>
      </c>
      <c r="S5772" s="18" t="s">
        <v>30</v>
      </c>
      <c r="T5772" s="18" t="s">
        <v>12847</v>
      </c>
      <c r="U5772" s="18" t="s">
        <v>12848</v>
      </c>
      <c r="V5772" s="18" t="s">
        <v>12849</v>
      </c>
      <c r="W5772" s="18" t="s">
        <v>12850</v>
      </c>
      <c r="X5772" s="18" t="s">
        <v>35</v>
      </c>
      <c r="Y5772" s="18" t="s">
        <v>10535</v>
      </c>
      <c r="Z5772" s="18" t="s">
        <v>166</v>
      </c>
      <c r="AA5772" s="21" t="str">
        <f>HYPERLINK("https://www.ncbi.nlm.nih.gov/nuccore/KT868811","NCBI Nucleotide")</f>
        <v>NCBI Nucleotide</v>
      </c>
    </row>
    <row r="5773" spans="1:27" x14ac:dyDescent="0.35">
      <c r="A5773">
        <v>1007264</v>
      </c>
      <c r="B5773">
        <v>5511</v>
      </c>
      <c r="C5773">
        <v>1</v>
      </c>
      <c r="D5773" s="17" t="s">
        <v>10507</v>
      </c>
      <c r="E5773" s="17"/>
      <c r="F5773" s="17" t="s">
        <v>10780</v>
      </c>
      <c r="G5773" s="17"/>
      <c r="H5773" s="17" t="s">
        <v>10781</v>
      </c>
      <c r="I5773" s="17"/>
      <c r="J5773" s="17" t="s">
        <v>12258</v>
      </c>
      <c r="K5773" s="17"/>
      <c r="L5773" s="17" t="s">
        <v>12259</v>
      </c>
      <c r="M5773" s="17"/>
      <c r="N5773" s="17" t="s">
        <v>12260</v>
      </c>
      <c r="O5773" s="17" t="s">
        <v>12545</v>
      </c>
      <c r="P5773" s="17" t="s">
        <v>12805</v>
      </c>
      <c r="Q5773" s="17"/>
      <c r="R5773" s="25" t="str">
        <f>HYPERLINK("https://ictv.global/taxonomy/taxondetails?taxnode_id=202304275","Protoparvovirus rodent1")</f>
        <v>Protoparvovirus rodent1</v>
      </c>
      <c r="S5773" s="18" t="s">
        <v>30</v>
      </c>
      <c r="T5773" s="18" t="s">
        <v>12851</v>
      </c>
      <c r="U5773" s="18" t="s">
        <v>12852</v>
      </c>
      <c r="V5773" s="18" t="s">
        <v>12853</v>
      </c>
      <c r="W5773" s="18" t="s">
        <v>12854</v>
      </c>
      <c r="X5773" s="18" t="s">
        <v>42</v>
      </c>
      <c r="Y5773" s="18" t="s">
        <v>10535</v>
      </c>
      <c r="Z5773" s="18" t="s">
        <v>166</v>
      </c>
      <c r="AA5773" s="21" t="str">
        <f>HYPERLINK("https://www.ncbi.nlm.nih.gov/nuccore/J02275","NCBI Nucleotide")</f>
        <v>NCBI Nucleotide</v>
      </c>
    </row>
    <row r="5774" spans="1:27" x14ac:dyDescent="0.35">
      <c r="A5774">
        <v>1007265</v>
      </c>
      <c r="B5774">
        <v>5512</v>
      </c>
      <c r="C5774">
        <v>1</v>
      </c>
      <c r="D5774" s="17" t="s">
        <v>10507</v>
      </c>
      <c r="E5774" s="17"/>
      <c r="F5774" s="17" t="s">
        <v>10780</v>
      </c>
      <c r="G5774" s="17"/>
      <c r="H5774" s="17" t="s">
        <v>10781</v>
      </c>
      <c r="I5774" s="17"/>
      <c r="J5774" s="17" t="s">
        <v>12258</v>
      </c>
      <c r="K5774" s="17"/>
      <c r="L5774" s="17" t="s">
        <v>12259</v>
      </c>
      <c r="M5774" s="17"/>
      <c r="N5774" s="17" t="s">
        <v>12260</v>
      </c>
      <c r="O5774" s="17" t="s">
        <v>12545</v>
      </c>
      <c r="P5774" s="17" t="s">
        <v>12805</v>
      </c>
      <c r="Q5774" s="17"/>
      <c r="R5774" s="25" t="str">
        <f>HYPERLINK("https://ictv.global/taxonomy/taxondetails?taxnode_id=202304276","Protoparvovirus rodent2")</f>
        <v>Protoparvovirus rodent2</v>
      </c>
      <c r="S5774" s="18" t="s">
        <v>30</v>
      </c>
      <c r="T5774" s="18" t="s">
        <v>12855</v>
      </c>
      <c r="U5774" s="18" t="s">
        <v>12856</v>
      </c>
      <c r="V5774" s="18"/>
      <c r="W5774" s="18" t="s">
        <v>12857</v>
      </c>
      <c r="X5774" s="18" t="s">
        <v>42</v>
      </c>
      <c r="Y5774" s="18" t="s">
        <v>10535</v>
      </c>
      <c r="Z5774" s="18" t="s">
        <v>166</v>
      </c>
      <c r="AA5774" s="21" t="str">
        <f>HYPERLINK("https://www.ncbi.nlm.nih.gov/nuccore/AF036710","NCBI Nucleotide")</f>
        <v>NCBI Nucleotide</v>
      </c>
    </row>
    <row r="5775" spans="1:27" x14ac:dyDescent="0.35">
      <c r="A5775">
        <v>1007266</v>
      </c>
      <c r="B5775">
        <v>5513</v>
      </c>
      <c r="C5775">
        <v>1</v>
      </c>
      <c r="D5775" s="17" t="s">
        <v>10507</v>
      </c>
      <c r="E5775" s="17"/>
      <c r="F5775" s="17" t="s">
        <v>10780</v>
      </c>
      <c r="G5775" s="17"/>
      <c r="H5775" s="17" t="s">
        <v>10781</v>
      </c>
      <c r="I5775" s="17"/>
      <c r="J5775" s="17" t="s">
        <v>12258</v>
      </c>
      <c r="K5775" s="17"/>
      <c r="L5775" s="17" t="s">
        <v>12259</v>
      </c>
      <c r="M5775" s="17"/>
      <c r="N5775" s="17" t="s">
        <v>12260</v>
      </c>
      <c r="O5775" s="17" t="s">
        <v>12545</v>
      </c>
      <c r="P5775" s="17" t="s">
        <v>12805</v>
      </c>
      <c r="Q5775" s="17"/>
      <c r="R5775" s="25" t="str">
        <f>HYPERLINK("https://ictv.global/taxonomy/taxondetails?taxnode_id=202305902","Protoparvovirus rodent3")</f>
        <v>Protoparvovirus rodent3</v>
      </c>
      <c r="S5775" s="18" t="s">
        <v>30</v>
      </c>
      <c r="T5775" s="18" t="s">
        <v>12858</v>
      </c>
      <c r="U5775" s="18" t="s">
        <v>12859</v>
      </c>
      <c r="V5775" s="18">
        <v>7911002</v>
      </c>
      <c r="W5775" s="18" t="s">
        <v>12860</v>
      </c>
      <c r="X5775" s="18" t="s">
        <v>35</v>
      </c>
      <c r="Y5775" s="18" t="s">
        <v>10535</v>
      </c>
      <c r="Z5775" s="18" t="s">
        <v>166</v>
      </c>
      <c r="AA5775" s="21" t="str">
        <f>HYPERLINK("https://www.ncbi.nlm.nih.gov/nuccore/KT716186","NCBI Nucleotide")</f>
        <v>NCBI Nucleotide</v>
      </c>
    </row>
    <row r="5776" spans="1:27" x14ac:dyDescent="0.35">
      <c r="A5776">
        <v>1007267</v>
      </c>
      <c r="B5776">
        <v>5514</v>
      </c>
      <c r="C5776">
        <v>1</v>
      </c>
      <c r="D5776" s="17" t="s">
        <v>10507</v>
      </c>
      <c r="E5776" s="17"/>
      <c r="F5776" s="17" t="s">
        <v>10780</v>
      </c>
      <c r="G5776" s="17"/>
      <c r="H5776" s="17" t="s">
        <v>10781</v>
      </c>
      <c r="I5776" s="17"/>
      <c r="J5776" s="17" t="s">
        <v>12258</v>
      </c>
      <c r="K5776" s="17"/>
      <c r="L5776" s="17" t="s">
        <v>12259</v>
      </c>
      <c r="M5776" s="17"/>
      <c r="N5776" s="17" t="s">
        <v>12260</v>
      </c>
      <c r="O5776" s="17" t="s">
        <v>12545</v>
      </c>
      <c r="P5776" s="17" t="s">
        <v>12805</v>
      </c>
      <c r="Q5776" s="17"/>
      <c r="R5776" s="25" t="str">
        <f>HYPERLINK("https://ictv.global/taxonomy/taxondetails?taxnode_id=202304277","Protoparvovirus ungulate1")</f>
        <v>Protoparvovirus ungulate1</v>
      </c>
      <c r="S5776" s="18" t="s">
        <v>30</v>
      </c>
      <c r="T5776" s="18" t="s">
        <v>12861</v>
      </c>
      <c r="U5776" s="18" t="s">
        <v>12862</v>
      </c>
      <c r="V5776" s="18" t="s">
        <v>12863</v>
      </c>
      <c r="W5776" s="18" t="s">
        <v>12864</v>
      </c>
      <c r="X5776" s="18" t="s">
        <v>42</v>
      </c>
      <c r="Y5776" s="18" t="s">
        <v>10535</v>
      </c>
      <c r="Z5776" s="18" t="s">
        <v>166</v>
      </c>
      <c r="AA5776" s="21" t="str">
        <f>HYPERLINK("https://www.ncbi.nlm.nih.gov/nuccore/L23427","NCBI Nucleotide")</f>
        <v>NCBI Nucleotide</v>
      </c>
    </row>
    <row r="5777" spans="1:27" x14ac:dyDescent="0.35">
      <c r="A5777">
        <v>1007268</v>
      </c>
      <c r="B5777">
        <v>5515</v>
      </c>
      <c r="C5777">
        <v>1</v>
      </c>
      <c r="D5777" s="17" t="s">
        <v>10507</v>
      </c>
      <c r="E5777" s="17"/>
      <c r="F5777" s="17" t="s">
        <v>10780</v>
      </c>
      <c r="G5777" s="17"/>
      <c r="H5777" s="17" t="s">
        <v>10781</v>
      </c>
      <c r="I5777" s="17"/>
      <c r="J5777" s="17" t="s">
        <v>12258</v>
      </c>
      <c r="K5777" s="17"/>
      <c r="L5777" s="17" t="s">
        <v>12259</v>
      </c>
      <c r="M5777" s="17"/>
      <c r="N5777" s="17" t="s">
        <v>12260</v>
      </c>
      <c r="O5777" s="17" t="s">
        <v>12545</v>
      </c>
      <c r="P5777" s="17" t="s">
        <v>12805</v>
      </c>
      <c r="Q5777" s="17"/>
      <c r="R5777" s="25" t="str">
        <f>HYPERLINK("https://ictv.global/taxonomy/taxondetails?taxnode_id=202305903","Protoparvovirus ungulate2")</f>
        <v>Protoparvovirus ungulate2</v>
      </c>
      <c r="S5777" s="18" t="s">
        <v>30</v>
      </c>
      <c r="T5777" s="18" t="s">
        <v>12865</v>
      </c>
      <c r="U5777" s="18" t="s">
        <v>12866</v>
      </c>
      <c r="V5777" s="18" t="s">
        <v>12867</v>
      </c>
      <c r="W5777" s="18" t="s">
        <v>12868</v>
      </c>
      <c r="X5777" s="18" t="s">
        <v>35</v>
      </c>
      <c r="Y5777" s="18" t="s">
        <v>10535</v>
      </c>
      <c r="Z5777" s="18" t="s">
        <v>166</v>
      </c>
      <c r="AA5777" s="21" t="str">
        <f>HYPERLINK("https://www.ncbi.nlm.nih.gov/nuccore/KT965075","NCBI Nucleotide")</f>
        <v>NCBI Nucleotide</v>
      </c>
    </row>
    <row r="5778" spans="1:27" x14ac:dyDescent="0.35">
      <c r="A5778">
        <v>1007269</v>
      </c>
      <c r="B5778">
        <v>5516</v>
      </c>
      <c r="C5778">
        <v>1</v>
      </c>
      <c r="D5778" s="17" t="s">
        <v>10507</v>
      </c>
      <c r="E5778" s="17"/>
      <c r="F5778" s="17" t="s">
        <v>10780</v>
      </c>
      <c r="G5778" s="17"/>
      <c r="H5778" s="17" t="s">
        <v>10781</v>
      </c>
      <c r="I5778" s="17"/>
      <c r="J5778" s="17" t="s">
        <v>12258</v>
      </c>
      <c r="K5778" s="17"/>
      <c r="L5778" s="17" t="s">
        <v>12259</v>
      </c>
      <c r="M5778" s="17"/>
      <c r="N5778" s="17" t="s">
        <v>12260</v>
      </c>
      <c r="O5778" s="17" t="s">
        <v>12545</v>
      </c>
      <c r="P5778" s="17" t="s">
        <v>12805</v>
      </c>
      <c r="Q5778" s="17"/>
      <c r="R5778" s="25" t="str">
        <f>HYPERLINK("https://ictv.global/taxonomy/taxondetails?taxnode_id=202314041","Protoparvovirus ungulate3")</f>
        <v>Protoparvovirus ungulate3</v>
      </c>
      <c r="S5778" s="18" t="s">
        <v>30</v>
      </c>
      <c r="T5778" s="18" t="s">
        <v>12869</v>
      </c>
      <c r="U5778" s="18" t="s">
        <v>12870</v>
      </c>
      <c r="V5778" s="18" t="s">
        <v>12871</v>
      </c>
      <c r="W5778" s="18" t="s">
        <v>12872</v>
      </c>
      <c r="X5778" s="18" t="s">
        <v>35</v>
      </c>
      <c r="Y5778" s="18" t="s">
        <v>10535</v>
      </c>
      <c r="Z5778" s="18" t="s">
        <v>166</v>
      </c>
      <c r="AA5778" s="21" t="str">
        <f>HYPERLINK("https://www.ncbi.nlm.nih.gov/nuccore/MW814911","NCBI Nucleotide")</f>
        <v>NCBI Nucleotide</v>
      </c>
    </row>
    <row r="5779" spans="1:27" x14ac:dyDescent="0.35">
      <c r="A5779">
        <v>1025485</v>
      </c>
      <c r="B5779">
        <v>5517</v>
      </c>
      <c r="C5779">
        <v>1</v>
      </c>
      <c r="D5779" s="17" t="s">
        <v>10507</v>
      </c>
      <c r="E5779" s="17"/>
      <c r="F5779" s="17" t="s">
        <v>10780</v>
      </c>
      <c r="G5779" s="17"/>
      <c r="H5779" s="17" t="s">
        <v>10781</v>
      </c>
      <c r="I5779" s="17"/>
      <c r="J5779" s="17" t="s">
        <v>12258</v>
      </c>
      <c r="K5779" s="17"/>
      <c r="L5779" s="17" t="s">
        <v>12259</v>
      </c>
      <c r="M5779" s="17"/>
      <c r="N5779" s="17" t="s">
        <v>12260</v>
      </c>
      <c r="O5779" s="17" t="s">
        <v>12545</v>
      </c>
      <c r="P5779" s="17" t="s">
        <v>12805</v>
      </c>
      <c r="Q5779" s="17"/>
      <c r="R5779" s="25" t="str">
        <f>HYPERLINK("https://ictv.global/taxonomy/taxondetails?taxnode_id=202317847","Protoparvovirus ungulate4")</f>
        <v>Protoparvovirus ungulate4</v>
      </c>
      <c r="S5779" s="18" t="s">
        <v>30</v>
      </c>
      <c r="T5779" s="18" t="s">
        <v>40139</v>
      </c>
      <c r="U5779" s="18" t="s">
        <v>40140</v>
      </c>
      <c r="V5779" s="18"/>
      <c r="W5779" s="18" t="s">
        <v>40141</v>
      </c>
      <c r="X5779" s="18" t="s">
        <v>42</v>
      </c>
      <c r="Y5779" s="18" t="s">
        <v>10535</v>
      </c>
      <c r="Z5779" s="18" t="s">
        <v>166</v>
      </c>
      <c r="AA5779" s="21" t="str">
        <f>HYPERLINK("https://www.ncbi.nlm.nih.gov/nuccore/OP021638","NCBI Nucleotide")</f>
        <v>NCBI Nucleotide</v>
      </c>
    </row>
    <row r="5780" spans="1:27" x14ac:dyDescent="0.35">
      <c r="A5780">
        <v>1007270</v>
      </c>
      <c r="B5780">
        <v>5518</v>
      </c>
      <c r="C5780">
        <v>1</v>
      </c>
      <c r="D5780" s="17" t="s">
        <v>10507</v>
      </c>
      <c r="E5780" s="17"/>
      <c r="F5780" s="17" t="s">
        <v>10780</v>
      </c>
      <c r="G5780" s="17"/>
      <c r="H5780" s="17" t="s">
        <v>10781</v>
      </c>
      <c r="I5780" s="17"/>
      <c r="J5780" s="17" t="s">
        <v>12258</v>
      </c>
      <c r="K5780" s="17"/>
      <c r="L5780" s="17" t="s">
        <v>12259</v>
      </c>
      <c r="M5780" s="17"/>
      <c r="N5780" s="17" t="s">
        <v>12260</v>
      </c>
      <c r="O5780" s="17" t="s">
        <v>12545</v>
      </c>
      <c r="P5780" s="17" t="s">
        <v>12873</v>
      </c>
      <c r="Q5780" s="17"/>
      <c r="R5780" s="25" t="str">
        <f>HYPERLINK("https://ictv.global/taxonomy/taxondetails?taxnode_id=202314044","Sandeparvovirus perciform1")</f>
        <v>Sandeparvovirus perciform1</v>
      </c>
      <c r="S5780" s="18" t="s">
        <v>30</v>
      </c>
      <c r="T5780" s="18" t="s">
        <v>12874</v>
      </c>
      <c r="U5780" s="18" t="s">
        <v>12875</v>
      </c>
      <c r="V5780" s="18" t="s">
        <v>12876</v>
      </c>
      <c r="W5780" s="18" t="s">
        <v>12877</v>
      </c>
      <c r="X5780" s="18" t="s">
        <v>35</v>
      </c>
      <c r="Y5780" s="18" t="s">
        <v>10535</v>
      </c>
      <c r="Z5780" s="18" t="s">
        <v>166</v>
      </c>
      <c r="AA5780" s="21" t="str">
        <f>HYPERLINK("https://www.ncbi.nlm.nih.gov/nuccore/OK236393","NCBI Nucleotide")</f>
        <v>NCBI Nucleotide</v>
      </c>
    </row>
    <row r="5781" spans="1:27" x14ac:dyDescent="0.35">
      <c r="A5781">
        <v>1007271</v>
      </c>
      <c r="B5781">
        <v>5519</v>
      </c>
      <c r="C5781">
        <v>1</v>
      </c>
      <c r="D5781" s="17" t="s">
        <v>10507</v>
      </c>
      <c r="E5781" s="17"/>
      <c r="F5781" s="17" t="s">
        <v>10780</v>
      </c>
      <c r="G5781" s="17"/>
      <c r="H5781" s="17" t="s">
        <v>10781</v>
      </c>
      <c r="I5781" s="17"/>
      <c r="J5781" s="17" t="s">
        <v>12258</v>
      </c>
      <c r="K5781" s="17"/>
      <c r="L5781" s="17" t="s">
        <v>12259</v>
      </c>
      <c r="M5781" s="17"/>
      <c r="N5781" s="17" t="s">
        <v>12260</v>
      </c>
      <c r="O5781" s="17" t="s">
        <v>12545</v>
      </c>
      <c r="P5781" s="17" t="s">
        <v>12878</v>
      </c>
      <c r="Q5781" s="17"/>
      <c r="R5781" s="25" t="str">
        <f>HYPERLINK("https://ictv.global/taxonomy/taxondetails?taxnode_id=202304279","Tetraparvovirus chiropteran1")</f>
        <v>Tetraparvovirus chiropteran1</v>
      </c>
      <c r="S5781" s="18" t="s">
        <v>30</v>
      </c>
      <c r="T5781" s="18" t="s">
        <v>12879</v>
      </c>
      <c r="U5781" s="18" t="s">
        <v>12880</v>
      </c>
      <c r="V5781" s="18"/>
      <c r="W5781" s="18" t="s">
        <v>12881</v>
      </c>
      <c r="X5781" s="18" t="s">
        <v>35</v>
      </c>
      <c r="Y5781" s="18" t="s">
        <v>10535</v>
      </c>
      <c r="Z5781" s="18" t="s">
        <v>166</v>
      </c>
      <c r="AA5781" s="21" t="str">
        <f>HYPERLINK("https://www.ncbi.nlm.nih.gov/nuccore/JQ037753","NCBI Nucleotide")</f>
        <v>NCBI Nucleotide</v>
      </c>
    </row>
    <row r="5782" spans="1:27" x14ac:dyDescent="0.35">
      <c r="A5782">
        <v>1007272</v>
      </c>
      <c r="B5782">
        <v>5520</v>
      </c>
      <c r="C5782">
        <v>1</v>
      </c>
      <c r="D5782" s="17" t="s">
        <v>10507</v>
      </c>
      <c r="E5782" s="17"/>
      <c r="F5782" s="17" t="s">
        <v>10780</v>
      </c>
      <c r="G5782" s="17"/>
      <c r="H5782" s="17" t="s">
        <v>10781</v>
      </c>
      <c r="I5782" s="17"/>
      <c r="J5782" s="17" t="s">
        <v>12258</v>
      </c>
      <c r="K5782" s="17"/>
      <c r="L5782" s="17" t="s">
        <v>12259</v>
      </c>
      <c r="M5782" s="17"/>
      <c r="N5782" s="17" t="s">
        <v>12260</v>
      </c>
      <c r="O5782" s="17" t="s">
        <v>12545</v>
      </c>
      <c r="P5782" s="17" t="s">
        <v>12878</v>
      </c>
      <c r="Q5782" s="17"/>
      <c r="R5782" s="25" t="str">
        <f>HYPERLINK("https://ictv.global/taxonomy/taxondetails?taxnode_id=202314042","Tetraparvovirus didelphimorph1")</f>
        <v>Tetraparvovirus didelphimorph1</v>
      </c>
      <c r="S5782" s="18" t="s">
        <v>30</v>
      </c>
      <c r="T5782" s="18" t="s">
        <v>12882</v>
      </c>
      <c r="U5782" s="18" t="s">
        <v>12883</v>
      </c>
      <c r="V5782" s="18">
        <v>4113</v>
      </c>
      <c r="W5782" s="18" t="s">
        <v>12884</v>
      </c>
      <c r="X5782" s="18" t="s">
        <v>35</v>
      </c>
      <c r="Y5782" s="18" t="s">
        <v>10535</v>
      </c>
      <c r="Z5782" s="18" t="s">
        <v>166</v>
      </c>
      <c r="AA5782" s="21" t="str">
        <f>HYPERLINK("https://www.ncbi.nlm.nih.gov/nuccore/MG745671","NCBI Nucleotide")</f>
        <v>NCBI Nucleotide</v>
      </c>
    </row>
    <row r="5783" spans="1:27" x14ac:dyDescent="0.35">
      <c r="A5783">
        <v>1007273</v>
      </c>
      <c r="B5783">
        <v>5521</v>
      </c>
      <c r="C5783">
        <v>1</v>
      </c>
      <c r="D5783" s="17" t="s">
        <v>10507</v>
      </c>
      <c r="E5783" s="17"/>
      <c r="F5783" s="17" t="s">
        <v>10780</v>
      </c>
      <c r="G5783" s="17"/>
      <c r="H5783" s="17" t="s">
        <v>10781</v>
      </c>
      <c r="I5783" s="17"/>
      <c r="J5783" s="17" t="s">
        <v>12258</v>
      </c>
      <c r="K5783" s="17"/>
      <c r="L5783" s="17" t="s">
        <v>12259</v>
      </c>
      <c r="M5783" s="17"/>
      <c r="N5783" s="17" t="s">
        <v>12260</v>
      </c>
      <c r="O5783" s="17" t="s">
        <v>12545</v>
      </c>
      <c r="P5783" s="17" t="s">
        <v>12878</v>
      </c>
      <c r="Q5783" s="17"/>
      <c r="R5783" s="25" t="str">
        <f>HYPERLINK("https://ictv.global/taxonomy/taxondetails?taxnode_id=202304280","Tetraparvovirus primate1")</f>
        <v>Tetraparvovirus primate1</v>
      </c>
      <c r="S5783" s="18" t="s">
        <v>30</v>
      </c>
      <c r="T5783" s="18" t="s">
        <v>12885</v>
      </c>
      <c r="U5783" s="18" t="s">
        <v>12886</v>
      </c>
      <c r="V5783" s="18" t="s">
        <v>12887</v>
      </c>
      <c r="W5783" s="18" t="s">
        <v>12888</v>
      </c>
      <c r="X5783" s="18" t="s">
        <v>35</v>
      </c>
      <c r="Y5783" s="18" t="s">
        <v>10535</v>
      </c>
      <c r="Z5783" s="18" t="s">
        <v>166</v>
      </c>
      <c r="AA5783" s="21" t="str">
        <f>HYPERLINK("https://www.ncbi.nlm.nih.gov/nuccore/AY622943","NCBI Nucleotide")</f>
        <v>NCBI Nucleotide</v>
      </c>
    </row>
    <row r="5784" spans="1:27" x14ac:dyDescent="0.35">
      <c r="A5784">
        <v>1007274</v>
      </c>
      <c r="B5784">
        <v>5522</v>
      </c>
      <c r="C5784">
        <v>1</v>
      </c>
      <c r="D5784" s="17" t="s">
        <v>10507</v>
      </c>
      <c r="E5784" s="17"/>
      <c r="F5784" s="17" t="s">
        <v>10780</v>
      </c>
      <c r="G5784" s="17"/>
      <c r="H5784" s="17" t="s">
        <v>10781</v>
      </c>
      <c r="I5784" s="17"/>
      <c r="J5784" s="17" t="s">
        <v>12258</v>
      </c>
      <c r="K5784" s="17"/>
      <c r="L5784" s="17" t="s">
        <v>12259</v>
      </c>
      <c r="M5784" s="17"/>
      <c r="N5784" s="17" t="s">
        <v>12260</v>
      </c>
      <c r="O5784" s="17" t="s">
        <v>12545</v>
      </c>
      <c r="P5784" s="17" t="s">
        <v>12878</v>
      </c>
      <c r="Q5784" s="17"/>
      <c r="R5784" s="25" t="str">
        <f>HYPERLINK("https://ictv.global/taxonomy/taxondetails?taxnode_id=202314043","Tetraparvovirus rodent1")</f>
        <v>Tetraparvovirus rodent1</v>
      </c>
      <c r="S5784" s="18" t="s">
        <v>30</v>
      </c>
      <c r="T5784" s="18" t="s">
        <v>12889</v>
      </c>
      <c r="U5784" s="18" t="s">
        <v>12890</v>
      </c>
      <c r="V5784" s="18">
        <v>3542</v>
      </c>
      <c r="W5784" s="18" t="s">
        <v>12891</v>
      </c>
      <c r="X5784" s="18" t="s">
        <v>35</v>
      </c>
      <c r="Y5784" s="18" t="s">
        <v>10535</v>
      </c>
      <c r="Z5784" s="18" t="s">
        <v>166</v>
      </c>
      <c r="AA5784" s="21" t="str">
        <f>HYPERLINK("https://www.ncbi.nlm.nih.gov/nuccore/MG745670","NCBI Nucleotide")</f>
        <v>NCBI Nucleotide</v>
      </c>
    </row>
    <row r="5785" spans="1:27" x14ac:dyDescent="0.35">
      <c r="A5785">
        <v>1007275</v>
      </c>
      <c r="B5785">
        <v>5523</v>
      </c>
      <c r="C5785">
        <v>1</v>
      </c>
      <c r="D5785" s="17" t="s">
        <v>10507</v>
      </c>
      <c r="E5785" s="17"/>
      <c r="F5785" s="17" t="s">
        <v>10780</v>
      </c>
      <c r="G5785" s="17"/>
      <c r="H5785" s="17" t="s">
        <v>10781</v>
      </c>
      <c r="I5785" s="17"/>
      <c r="J5785" s="17" t="s">
        <v>12258</v>
      </c>
      <c r="K5785" s="17"/>
      <c r="L5785" s="17" t="s">
        <v>12259</v>
      </c>
      <c r="M5785" s="17"/>
      <c r="N5785" s="17" t="s">
        <v>12260</v>
      </c>
      <c r="O5785" s="17" t="s">
        <v>12545</v>
      </c>
      <c r="P5785" s="17" t="s">
        <v>12878</v>
      </c>
      <c r="Q5785" s="17"/>
      <c r="R5785" s="25" t="str">
        <f>HYPERLINK("https://ictv.global/taxonomy/taxondetails?taxnode_id=202304281","Tetraparvovirus ungulate1")</f>
        <v>Tetraparvovirus ungulate1</v>
      </c>
      <c r="S5785" s="18" t="s">
        <v>30</v>
      </c>
      <c r="T5785" s="18" t="s">
        <v>12892</v>
      </c>
      <c r="U5785" s="18" t="s">
        <v>12893</v>
      </c>
      <c r="V5785" s="18" t="s">
        <v>12894</v>
      </c>
      <c r="W5785" s="18" t="s">
        <v>12895</v>
      </c>
      <c r="X5785" s="18" t="s">
        <v>35</v>
      </c>
      <c r="Y5785" s="18" t="s">
        <v>10535</v>
      </c>
      <c r="Z5785" s="18" t="s">
        <v>166</v>
      </c>
      <c r="AA5785" s="21" t="str">
        <f>HYPERLINK("https://www.ncbi.nlm.nih.gov/nuccore/EU200669","NCBI Nucleotide")</f>
        <v>NCBI Nucleotide</v>
      </c>
    </row>
    <row r="5786" spans="1:27" x14ac:dyDescent="0.35">
      <c r="A5786">
        <v>1007276</v>
      </c>
      <c r="B5786">
        <v>5524</v>
      </c>
      <c r="C5786">
        <v>1</v>
      </c>
      <c r="D5786" s="17" t="s">
        <v>10507</v>
      </c>
      <c r="E5786" s="17"/>
      <c r="F5786" s="17" t="s">
        <v>10780</v>
      </c>
      <c r="G5786" s="17"/>
      <c r="H5786" s="17" t="s">
        <v>10781</v>
      </c>
      <c r="I5786" s="17"/>
      <c r="J5786" s="17" t="s">
        <v>12258</v>
      </c>
      <c r="K5786" s="17"/>
      <c r="L5786" s="17" t="s">
        <v>12259</v>
      </c>
      <c r="M5786" s="17"/>
      <c r="N5786" s="17" t="s">
        <v>12260</v>
      </c>
      <c r="O5786" s="17" t="s">
        <v>12545</v>
      </c>
      <c r="P5786" s="17" t="s">
        <v>12878</v>
      </c>
      <c r="Q5786" s="17"/>
      <c r="R5786" s="25" t="str">
        <f>HYPERLINK("https://ictv.global/taxonomy/taxondetails?taxnode_id=202304282","Tetraparvovirus ungulate2")</f>
        <v>Tetraparvovirus ungulate2</v>
      </c>
      <c r="S5786" s="18" t="s">
        <v>30</v>
      </c>
      <c r="T5786" s="18" t="s">
        <v>12896</v>
      </c>
      <c r="U5786" s="18" t="s">
        <v>12897</v>
      </c>
      <c r="V5786" s="18" t="s">
        <v>12898</v>
      </c>
      <c r="W5786" s="18" t="s">
        <v>12899</v>
      </c>
      <c r="X5786" s="18" t="s">
        <v>35</v>
      </c>
      <c r="Y5786" s="18" t="s">
        <v>10535</v>
      </c>
      <c r="Z5786" s="18" t="s">
        <v>166</v>
      </c>
      <c r="AA5786" s="21" t="str">
        <f>HYPERLINK("https://www.ncbi.nlm.nih.gov/nuccore/EU200677","NCBI Nucleotide")</f>
        <v>NCBI Nucleotide</v>
      </c>
    </row>
    <row r="5787" spans="1:27" x14ac:dyDescent="0.35">
      <c r="A5787">
        <v>1007277</v>
      </c>
      <c r="B5787">
        <v>5525</v>
      </c>
      <c r="C5787">
        <v>1</v>
      </c>
      <c r="D5787" s="17" t="s">
        <v>10507</v>
      </c>
      <c r="E5787" s="17"/>
      <c r="F5787" s="17" t="s">
        <v>10780</v>
      </c>
      <c r="G5787" s="17"/>
      <c r="H5787" s="17" t="s">
        <v>10781</v>
      </c>
      <c r="I5787" s="17"/>
      <c r="J5787" s="17" t="s">
        <v>12258</v>
      </c>
      <c r="K5787" s="17"/>
      <c r="L5787" s="17" t="s">
        <v>12259</v>
      </c>
      <c r="M5787" s="17"/>
      <c r="N5787" s="17" t="s">
        <v>12260</v>
      </c>
      <c r="O5787" s="17" t="s">
        <v>12545</v>
      </c>
      <c r="P5787" s="17" t="s">
        <v>12878</v>
      </c>
      <c r="Q5787" s="17"/>
      <c r="R5787" s="25" t="str">
        <f>HYPERLINK("https://ictv.global/taxonomy/taxondetails?taxnode_id=202304283","Tetraparvovirus ungulate3")</f>
        <v>Tetraparvovirus ungulate3</v>
      </c>
      <c r="S5787" s="18" t="s">
        <v>30</v>
      </c>
      <c r="T5787" s="18" t="s">
        <v>12900</v>
      </c>
      <c r="U5787" s="18" t="s">
        <v>12901</v>
      </c>
      <c r="V5787" s="18" t="s">
        <v>12902</v>
      </c>
      <c r="W5787" s="18" t="s">
        <v>12903</v>
      </c>
      <c r="X5787" s="18" t="s">
        <v>35</v>
      </c>
      <c r="Y5787" s="18" t="s">
        <v>10535</v>
      </c>
      <c r="Z5787" s="18" t="s">
        <v>166</v>
      </c>
      <c r="AA5787" s="21" t="str">
        <f>HYPERLINK("https://www.ncbi.nlm.nih.gov/nuccore/GU938300","NCBI Nucleotide")</f>
        <v>NCBI Nucleotide</v>
      </c>
    </row>
    <row r="5788" spans="1:27" x14ac:dyDescent="0.35">
      <c r="A5788">
        <v>1007278</v>
      </c>
      <c r="B5788">
        <v>5526</v>
      </c>
      <c r="C5788">
        <v>1</v>
      </c>
      <c r="D5788" s="17" t="s">
        <v>10507</v>
      </c>
      <c r="E5788" s="17"/>
      <c r="F5788" s="17" t="s">
        <v>10780</v>
      </c>
      <c r="G5788" s="17"/>
      <c r="H5788" s="17" t="s">
        <v>10781</v>
      </c>
      <c r="I5788" s="17"/>
      <c r="J5788" s="17" t="s">
        <v>12258</v>
      </c>
      <c r="K5788" s="17"/>
      <c r="L5788" s="17" t="s">
        <v>12259</v>
      </c>
      <c r="M5788" s="17"/>
      <c r="N5788" s="17" t="s">
        <v>12260</v>
      </c>
      <c r="O5788" s="17" t="s">
        <v>12545</v>
      </c>
      <c r="P5788" s="17" t="s">
        <v>12878</v>
      </c>
      <c r="Q5788" s="17"/>
      <c r="R5788" s="25" t="str">
        <f>HYPERLINK("https://ictv.global/taxonomy/taxondetails?taxnode_id=202304284","Tetraparvovirus ungulate4")</f>
        <v>Tetraparvovirus ungulate4</v>
      </c>
      <c r="S5788" s="18" t="s">
        <v>30</v>
      </c>
      <c r="T5788" s="18" t="s">
        <v>12904</v>
      </c>
      <c r="U5788" s="18" t="s">
        <v>12905</v>
      </c>
      <c r="V5788" s="18" t="s">
        <v>12906</v>
      </c>
      <c r="W5788" s="18" t="s">
        <v>12907</v>
      </c>
      <c r="X5788" s="18" t="s">
        <v>35</v>
      </c>
      <c r="Y5788" s="18" t="s">
        <v>10535</v>
      </c>
      <c r="Z5788" s="18" t="s">
        <v>166</v>
      </c>
      <c r="AA5788" s="21" t="str">
        <f>HYPERLINK("https://www.ncbi.nlm.nih.gov/nuccore/JF504699","NCBI Nucleotide")</f>
        <v>NCBI Nucleotide</v>
      </c>
    </row>
    <row r="5789" spans="1:27" x14ac:dyDescent="0.35">
      <c r="A5789">
        <v>1007279</v>
      </c>
      <c r="B5789">
        <v>5527</v>
      </c>
      <c r="C5789">
        <v>1</v>
      </c>
      <c r="D5789" s="17" t="s">
        <v>10507</v>
      </c>
      <c r="E5789" s="17"/>
      <c r="F5789" s="17" t="s">
        <v>10780</v>
      </c>
      <c r="G5789" s="17"/>
      <c r="H5789" s="17" t="s">
        <v>10781</v>
      </c>
      <c r="I5789" s="17"/>
      <c r="J5789" s="17" t="s">
        <v>12258</v>
      </c>
      <c r="K5789" s="17"/>
      <c r="L5789" s="17" t="s">
        <v>12259</v>
      </c>
      <c r="M5789" s="17"/>
      <c r="N5789" s="17" t="s">
        <v>12260</v>
      </c>
      <c r="O5789" s="17"/>
      <c r="P5789" s="17" t="s">
        <v>12261</v>
      </c>
      <c r="Q5789" s="17"/>
      <c r="R5789" s="25" t="str">
        <f>HYPERLINK("https://ictv.global/taxonomy/taxondetails?taxnode_id=202314061","Metalloincertoparvovirus decapod1")</f>
        <v>Metalloincertoparvovirus decapod1</v>
      </c>
      <c r="S5789" s="18" t="s">
        <v>30</v>
      </c>
      <c r="T5789" s="18" t="s">
        <v>12262</v>
      </c>
      <c r="U5789" s="18" t="s">
        <v>12263</v>
      </c>
      <c r="V5789" s="18" t="s">
        <v>12264</v>
      </c>
      <c r="W5789" s="18" t="s">
        <v>12265</v>
      </c>
      <c r="X5789" s="18" t="s">
        <v>42</v>
      </c>
      <c r="Y5789" s="18" t="s">
        <v>10535</v>
      </c>
      <c r="Z5789" s="18" t="s">
        <v>10790</v>
      </c>
      <c r="AA5789" s="21" t="str">
        <f>HYPERLINK("https://www.ncbi.nlm.nih.gov/nuccore/MK028683","NCBI Nucleotide")</f>
        <v>NCBI Nucleotide</v>
      </c>
    </row>
    <row r="5790" spans="1:27" x14ac:dyDescent="0.35">
      <c r="A5790">
        <v>1007280</v>
      </c>
      <c r="B5790">
        <v>5528</v>
      </c>
      <c r="C5790">
        <v>1</v>
      </c>
      <c r="D5790" s="17" t="s">
        <v>10507</v>
      </c>
      <c r="E5790" s="17"/>
      <c r="F5790" s="17" t="s">
        <v>10780</v>
      </c>
      <c r="G5790" s="17"/>
      <c r="H5790" s="17" t="s">
        <v>12908</v>
      </c>
      <c r="I5790" s="17"/>
      <c r="J5790" s="17" t="s">
        <v>12909</v>
      </c>
      <c r="K5790" s="17"/>
      <c r="L5790" s="17" t="s">
        <v>12910</v>
      </c>
      <c r="M5790" s="17"/>
      <c r="N5790" s="17" t="s">
        <v>12911</v>
      </c>
      <c r="O5790" s="17"/>
      <c r="P5790" s="17" t="s">
        <v>12912</v>
      </c>
      <c r="Q5790" s="17"/>
      <c r="R5790" s="25" t="str">
        <f>HYPERLINK("https://ictv.global/taxonomy/taxondetails?taxnode_id=202314992","Aberdnavirus waitai")</f>
        <v>Aberdnavirus waitai</v>
      </c>
      <c r="S5790" s="18" t="s">
        <v>30</v>
      </c>
      <c r="T5790" s="18" t="s">
        <v>12913</v>
      </c>
      <c r="U5790" s="18" t="s">
        <v>12914</v>
      </c>
      <c r="V5790" s="18"/>
      <c r="W5790" s="18" t="s">
        <v>12915</v>
      </c>
      <c r="X5790" s="18" t="s">
        <v>42</v>
      </c>
      <c r="Y5790" s="18" t="s">
        <v>12266</v>
      </c>
      <c r="Z5790" s="18" t="s">
        <v>12916</v>
      </c>
      <c r="AA5790" s="21" t="str">
        <f>HYPERLINK("https://www.ncbi.nlm.nih.gov/nuccore/OM154946","NCBI Nucleotide")</f>
        <v>NCBI Nucleotide</v>
      </c>
    </row>
    <row r="5791" spans="1:27" x14ac:dyDescent="0.35">
      <c r="A5791">
        <v>1007281</v>
      </c>
      <c r="B5791">
        <v>5529</v>
      </c>
      <c r="C5791">
        <v>1</v>
      </c>
      <c r="D5791" s="17" t="s">
        <v>10507</v>
      </c>
      <c r="E5791" s="17"/>
      <c r="F5791" s="17" t="s">
        <v>10780</v>
      </c>
      <c r="G5791" s="17"/>
      <c r="H5791" s="17" t="s">
        <v>12908</v>
      </c>
      <c r="I5791" s="17"/>
      <c r="J5791" s="17" t="s">
        <v>12909</v>
      </c>
      <c r="K5791" s="17"/>
      <c r="L5791" s="17" t="s">
        <v>12910</v>
      </c>
      <c r="M5791" s="17"/>
      <c r="N5791" s="17" t="s">
        <v>12911</v>
      </c>
      <c r="O5791" s="17"/>
      <c r="P5791" s="17" t="s">
        <v>12917</v>
      </c>
      <c r="Q5791" s="17"/>
      <c r="R5791" s="25" t="str">
        <f>HYPERLINK("https://ictv.global/taxonomy/taxondetails?taxnode_id=202305746","Diatodnavirus chaese")</f>
        <v>Diatodnavirus chaese</v>
      </c>
      <c r="S5791" s="18" t="s">
        <v>30</v>
      </c>
      <c r="T5791" s="18" t="s">
        <v>12918</v>
      </c>
      <c r="U5791" s="18" t="s">
        <v>12919</v>
      </c>
      <c r="V5791" s="18"/>
      <c r="W5791" s="18" t="s">
        <v>12920</v>
      </c>
      <c r="X5791" s="18" t="s">
        <v>42</v>
      </c>
      <c r="Y5791" s="18" t="s">
        <v>12266</v>
      </c>
      <c r="Z5791" s="18" t="s">
        <v>17496</v>
      </c>
      <c r="AA5791" s="21" t="str">
        <f>HYPERLINK("https://www.ncbi.nlm.nih.gov/nuccore/AB781089","NCBI Nucleotide")</f>
        <v>NCBI Nucleotide</v>
      </c>
    </row>
    <row r="5792" spans="1:27" x14ac:dyDescent="0.35">
      <c r="A5792">
        <v>1007282</v>
      </c>
      <c r="B5792">
        <v>5530</v>
      </c>
      <c r="C5792">
        <v>1</v>
      </c>
      <c r="D5792" s="17" t="s">
        <v>10507</v>
      </c>
      <c r="E5792" s="17"/>
      <c r="F5792" s="17" t="s">
        <v>10780</v>
      </c>
      <c r="G5792" s="17"/>
      <c r="H5792" s="17" t="s">
        <v>12908</v>
      </c>
      <c r="I5792" s="17"/>
      <c r="J5792" s="17" t="s">
        <v>12909</v>
      </c>
      <c r="K5792" s="17"/>
      <c r="L5792" s="17" t="s">
        <v>12910</v>
      </c>
      <c r="M5792" s="17"/>
      <c r="N5792" s="17" t="s">
        <v>12911</v>
      </c>
      <c r="O5792" s="17"/>
      <c r="P5792" s="17" t="s">
        <v>12921</v>
      </c>
      <c r="Q5792" s="17"/>
      <c r="R5792" s="25" t="str">
        <f>HYPERLINK("https://ictv.global/taxonomy/taxondetails?taxnode_id=202314995","Keisodnavirus chaetenu")</f>
        <v>Keisodnavirus chaetenu</v>
      </c>
      <c r="S5792" s="18" t="s">
        <v>30</v>
      </c>
      <c r="T5792" s="18" t="s">
        <v>12922</v>
      </c>
      <c r="U5792" s="18" t="s">
        <v>12923</v>
      </c>
      <c r="V5792" s="18" t="s">
        <v>40142</v>
      </c>
      <c r="W5792" s="18" t="s">
        <v>12924</v>
      </c>
      <c r="X5792" s="18" t="s">
        <v>42</v>
      </c>
      <c r="Y5792" s="18" t="s">
        <v>12266</v>
      </c>
      <c r="Z5792" s="18" t="s">
        <v>17496</v>
      </c>
      <c r="AA5792" s="21" t="str">
        <f>HYPERLINK("https://www.ncbi.nlm.nih.gov/nuccore/LC379168","NCBI Nucleotide")</f>
        <v>NCBI Nucleotide</v>
      </c>
    </row>
    <row r="5793" spans="1:27" x14ac:dyDescent="0.35">
      <c r="A5793">
        <v>1007283</v>
      </c>
      <c r="B5793">
        <v>5531</v>
      </c>
      <c r="C5793">
        <v>1</v>
      </c>
      <c r="D5793" s="17" t="s">
        <v>10507</v>
      </c>
      <c r="E5793" s="17"/>
      <c r="F5793" s="17" t="s">
        <v>10780</v>
      </c>
      <c r="G5793" s="17"/>
      <c r="H5793" s="17" t="s">
        <v>12908</v>
      </c>
      <c r="I5793" s="17"/>
      <c r="J5793" s="17" t="s">
        <v>12909</v>
      </c>
      <c r="K5793" s="17"/>
      <c r="L5793" s="17" t="s">
        <v>12910</v>
      </c>
      <c r="M5793" s="17"/>
      <c r="N5793" s="17" t="s">
        <v>12911</v>
      </c>
      <c r="O5793" s="17"/>
      <c r="P5793" s="17" t="s">
        <v>12925</v>
      </c>
      <c r="Q5793" s="17"/>
      <c r="R5793" s="25" t="str">
        <f>HYPERLINK("https://ictv.global/taxonomy/taxondetails?taxnode_id=202305748","Kieseladnavirus ampcren")</f>
        <v>Kieseladnavirus ampcren</v>
      </c>
      <c r="S5793" s="18" t="s">
        <v>30</v>
      </c>
      <c r="T5793" s="18" t="s">
        <v>12926</v>
      </c>
      <c r="U5793" s="18" t="s">
        <v>12927</v>
      </c>
      <c r="V5793" s="18" t="s">
        <v>12928</v>
      </c>
      <c r="W5793" s="18" t="s">
        <v>12929</v>
      </c>
      <c r="X5793" s="18" t="s">
        <v>42</v>
      </c>
      <c r="Y5793" s="18" t="s">
        <v>12266</v>
      </c>
      <c r="Z5793" s="18" t="s">
        <v>10790</v>
      </c>
      <c r="AA5793" s="21" t="str">
        <f>HYPERLINK("https://www.ncbi.nlm.nih.gov/nuccore/KY405008","NCBI Nucleotide")</f>
        <v>NCBI Nucleotide</v>
      </c>
    </row>
    <row r="5794" spans="1:27" x14ac:dyDescent="0.35">
      <c r="A5794">
        <v>1007284</v>
      </c>
      <c r="B5794">
        <v>5532</v>
      </c>
      <c r="C5794">
        <v>1</v>
      </c>
      <c r="D5794" s="17" t="s">
        <v>10507</v>
      </c>
      <c r="E5794" s="17"/>
      <c r="F5794" s="17" t="s">
        <v>10780</v>
      </c>
      <c r="G5794" s="17"/>
      <c r="H5794" s="17" t="s">
        <v>12908</v>
      </c>
      <c r="I5794" s="17"/>
      <c r="J5794" s="17" t="s">
        <v>12909</v>
      </c>
      <c r="K5794" s="17"/>
      <c r="L5794" s="17" t="s">
        <v>12910</v>
      </c>
      <c r="M5794" s="17"/>
      <c r="N5794" s="17" t="s">
        <v>12911</v>
      </c>
      <c r="O5794" s="17"/>
      <c r="P5794" s="17" t="s">
        <v>12925</v>
      </c>
      <c r="Q5794" s="17"/>
      <c r="R5794" s="25" t="str">
        <f>HYPERLINK("https://ictv.global/taxonomy/taxondetails?taxnode_id=202314994","Kieseladnavirus karahue")</f>
        <v>Kieseladnavirus karahue</v>
      </c>
      <c r="S5794" s="18" t="s">
        <v>30</v>
      </c>
      <c r="T5794" s="18" t="s">
        <v>12930</v>
      </c>
      <c r="U5794" s="18" t="s">
        <v>12931</v>
      </c>
      <c r="V5794" s="18"/>
      <c r="W5794" s="18" t="s">
        <v>12932</v>
      </c>
      <c r="X5794" s="18" t="s">
        <v>42</v>
      </c>
      <c r="Y5794" s="18" t="s">
        <v>12266</v>
      </c>
      <c r="Z5794" s="18" t="s">
        <v>12916</v>
      </c>
      <c r="AA5794" s="21" t="str">
        <f>HYPERLINK("https://www.ncbi.nlm.nih.gov/nuccore/OM154940","NCBI Nucleotide")</f>
        <v>NCBI Nucleotide</v>
      </c>
    </row>
    <row r="5795" spans="1:27" x14ac:dyDescent="0.35">
      <c r="A5795">
        <v>1007285</v>
      </c>
      <c r="B5795">
        <v>5533</v>
      </c>
      <c r="C5795">
        <v>1</v>
      </c>
      <c r="D5795" s="17" t="s">
        <v>10507</v>
      </c>
      <c r="E5795" s="17"/>
      <c r="F5795" s="17" t="s">
        <v>10780</v>
      </c>
      <c r="G5795" s="17"/>
      <c r="H5795" s="17" t="s">
        <v>12908</v>
      </c>
      <c r="I5795" s="17"/>
      <c r="J5795" s="17" t="s">
        <v>12909</v>
      </c>
      <c r="K5795" s="17"/>
      <c r="L5795" s="17" t="s">
        <v>12910</v>
      </c>
      <c r="M5795" s="17"/>
      <c r="N5795" s="17" t="s">
        <v>12911</v>
      </c>
      <c r="O5795" s="17"/>
      <c r="P5795" s="17" t="s">
        <v>12925</v>
      </c>
      <c r="Q5795" s="17"/>
      <c r="R5795" s="25" t="str">
        <f>HYPERLINK("https://ictv.global/taxonomy/taxondetails?taxnode_id=202315004","Kieseladnavirus katao")</f>
        <v>Kieseladnavirus katao</v>
      </c>
      <c r="S5795" s="18" t="s">
        <v>30</v>
      </c>
      <c r="T5795" s="18" t="s">
        <v>12933</v>
      </c>
      <c r="U5795" s="18" t="s">
        <v>12934</v>
      </c>
      <c r="V5795" s="18"/>
      <c r="W5795" s="18" t="s">
        <v>12935</v>
      </c>
      <c r="X5795" s="18" t="s">
        <v>42</v>
      </c>
      <c r="Y5795" s="18" t="s">
        <v>12266</v>
      </c>
      <c r="Z5795" s="18" t="s">
        <v>12916</v>
      </c>
      <c r="AA5795" s="21" t="str">
        <f>HYPERLINK("https://www.ncbi.nlm.nih.gov/nuccore/OM154947","NCBI Nucleotide")</f>
        <v>NCBI Nucleotide</v>
      </c>
    </row>
    <row r="5796" spans="1:27" x14ac:dyDescent="0.35">
      <c r="A5796">
        <v>1007286</v>
      </c>
      <c r="B5796">
        <v>5534</v>
      </c>
      <c r="C5796">
        <v>1</v>
      </c>
      <c r="D5796" s="17" t="s">
        <v>10507</v>
      </c>
      <c r="E5796" s="17"/>
      <c r="F5796" s="17" t="s">
        <v>10780</v>
      </c>
      <c r="G5796" s="17"/>
      <c r="H5796" s="17" t="s">
        <v>12908</v>
      </c>
      <c r="I5796" s="17"/>
      <c r="J5796" s="17" t="s">
        <v>12909</v>
      </c>
      <c r="K5796" s="17"/>
      <c r="L5796" s="17" t="s">
        <v>12910</v>
      </c>
      <c r="M5796" s="17"/>
      <c r="N5796" s="17" t="s">
        <v>12911</v>
      </c>
      <c r="O5796" s="17"/>
      <c r="P5796" s="17" t="s">
        <v>12925</v>
      </c>
      <c r="Q5796" s="17"/>
      <c r="R5796" s="25" t="str">
        <f>HYPERLINK("https://ictv.global/taxonomy/taxondetails?taxnode_id=202314993","Kieseladnavirus titiko")</f>
        <v>Kieseladnavirus titiko</v>
      </c>
      <c r="S5796" s="18" t="s">
        <v>30</v>
      </c>
      <c r="T5796" s="18" t="s">
        <v>12936</v>
      </c>
      <c r="U5796" s="18" t="s">
        <v>12937</v>
      </c>
      <c r="V5796" s="18"/>
      <c r="W5796" s="18" t="s">
        <v>12938</v>
      </c>
      <c r="X5796" s="18" t="s">
        <v>42</v>
      </c>
      <c r="Y5796" s="18" t="s">
        <v>12266</v>
      </c>
      <c r="Z5796" s="18" t="s">
        <v>12916</v>
      </c>
      <c r="AA5796" s="21" t="str">
        <f>HYPERLINK("https://www.ncbi.nlm.nih.gov/nuccore/OM154942","NCBI Nucleotide")</f>
        <v>NCBI Nucleotide</v>
      </c>
    </row>
    <row r="5797" spans="1:27" x14ac:dyDescent="0.35">
      <c r="A5797">
        <v>1007287</v>
      </c>
      <c r="B5797">
        <v>5535</v>
      </c>
      <c r="C5797">
        <v>1</v>
      </c>
      <c r="D5797" s="17" t="s">
        <v>10507</v>
      </c>
      <c r="E5797" s="17"/>
      <c r="F5797" s="17" t="s">
        <v>10780</v>
      </c>
      <c r="G5797" s="17"/>
      <c r="H5797" s="17" t="s">
        <v>12908</v>
      </c>
      <c r="I5797" s="17"/>
      <c r="J5797" s="17" t="s">
        <v>12909</v>
      </c>
      <c r="K5797" s="17"/>
      <c r="L5797" s="17" t="s">
        <v>12910</v>
      </c>
      <c r="M5797" s="17"/>
      <c r="N5797" s="17" t="s">
        <v>12911</v>
      </c>
      <c r="O5797" s="17"/>
      <c r="P5797" s="17" t="s">
        <v>12939</v>
      </c>
      <c r="Q5797" s="17"/>
      <c r="R5797" s="25" t="str">
        <f>HYPERLINK("https://ictv.global/taxonomy/taxondetails?taxnode_id=202305751","Protobacilladnavirus chaelor")</f>
        <v>Protobacilladnavirus chaelor</v>
      </c>
      <c r="S5797" s="18" t="s">
        <v>30</v>
      </c>
      <c r="T5797" s="18" t="s">
        <v>12940</v>
      </c>
      <c r="U5797" s="18" t="s">
        <v>12941</v>
      </c>
      <c r="V5797" s="18">
        <v>1</v>
      </c>
      <c r="W5797" s="18" t="s">
        <v>12942</v>
      </c>
      <c r="X5797" s="18" t="s">
        <v>42</v>
      </c>
      <c r="Y5797" s="18" t="s">
        <v>12266</v>
      </c>
      <c r="Z5797" s="18" t="s">
        <v>17496</v>
      </c>
      <c r="AA5797" s="21" t="str">
        <f>HYPERLINK("https://www.ncbi.nlm.nih.gov/nuccore/AB553581","NCBI Nucleotide")</f>
        <v>NCBI Nucleotide</v>
      </c>
    </row>
    <row r="5798" spans="1:27" x14ac:dyDescent="0.35">
      <c r="A5798">
        <v>1007288</v>
      </c>
      <c r="B5798">
        <v>5536</v>
      </c>
      <c r="C5798">
        <v>1</v>
      </c>
      <c r="D5798" s="17" t="s">
        <v>10507</v>
      </c>
      <c r="E5798" s="17"/>
      <c r="F5798" s="17" t="s">
        <v>10780</v>
      </c>
      <c r="G5798" s="17"/>
      <c r="H5798" s="17" t="s">
        <v>12908</v>
      </c>
      <c r="I5798" s="17"/>
      <c r="J5798" s="17" t="s">
        <v>12909</v>
      </c>
      <c r="K5798" s="17"/>
      <c r="L5798" s="17" t="s">
        <v>12910</v>
      </c>
      <c r="M5798" s="17"/>
      <c r="N5798" s="17" t="s">
        <v>12911</v>
      </c>
      <c r="O5798" s="17"/>
      <c r="P5798" s="17" t="s">
        <v>12939</v>
      </c>
      <c r="Q5798" s="17"/>
      <c r="R5798" s="25" t="str">
        <f>HYPERLINK("https://ictv.global/taxonomy/taxondetails?taxnode_id=202305750","Protobacilladnavirus chaetoc")</f>
        <v>Protobacilladnavirus chaetoc</v>
      </c>
      <c r="S5798" s="18" t="s">
        <v>30</v>
      </c>
      <c r="T5798" s="18" t="s">
        <v>12943</v>
      </c>
      <c r="U5798" s="18" t="s">
        <v>12944</v>
      </c>
      <c r="V5798" s="18"/>
      <c r="W5798" s="18" t="s">
        <v>12945</v>
      </c>
      <c r="X5798" s="18" t="s">
        <v>42</v>
      </c>
      <c r="Y5798" s="18" t="s">
        <v>12266</v>
      </c>
      <c r="Z5798" s="18" t="s">
        <v>17496</v>
      </c>
      <c r="AA5798" s="21" t="str">
        <f>HYPERLINK("https://www.ncbi.nlm.nih.gov/nuccore/AB844272","NCBI Nucleotide")</f>
        <v>NCBI Nucleotide</v>
      </c>
    </row>
    <row r="5799" spans="1:27" x14ac:dyDescent="0.35">
      <c r="A5799">
        <v>1007289</v>
      </c>
      <c r="B5799">
        <v>5537</v>
      </c>
      <c r="C5799">
        <v>1</v>
      </c>
      <c r="D5799" s="17" t="s">
        <v>10507</v>
      </c>
      <c r="E5799" s="17"/>
      <c r="F5799" s="17" t="s">
        <v>10780</v>
      </c>
      <c r="G5799" s="17"/>
      <c r="H5799" s="17" t="s">
        <v>12908</v>
      </c>
      <c r="I5799" s="17"/>
      <c r="J5799" s="17" t="s">
        <v>12909</v>
      </c>
      <c r="K5799" s="17"/>
      <c r="L5799" s="17" t="s">
        <v>12910</v>
      </c>
      <c r="M5799" s="17"/>
      <c r="N5799" s="17" t="s">
        <v>12911</v>
      </c>
      <c r="O5799" s="17"/>
      <c r="P5799" s="17" t="s">
        <v>12939</v>
      </c>
      <c r="Q5799" s="17"/>
      <c r="R5799" s="25" t="str">
        <f>HYPERLINK("https://ictv.global/taxonomy/taxondetails?taxnode_id=202305339","Protobacilladnavirus chasesal")</f>
        <v>Protobacilladnavirus chasesal</v>
      </c>
      <c r="S5799" s="18" t="s">
        <v>30</v>
      </c>
      <c r="T5799" s="18" t="s">
        <v>12946</v>
      </c>
      <c r="U5799" s="18" t="s">
        <v>12947</v>
      </c>
      <c r="V5799" s="18"/>
      <c r="W5799" s="18" t="s">
        <v>12948</v>
      </c>
      <c r="X5799" s="18" t="s">
        <v>42</v>
      </c>
      <c r="Y5799" s="18" t="s">
        <v>12266</v>
      </c>
      <c r="Z5799" s="18" t="s">
        <v>17496</v>
      </c>
      <c r="AA5799" s="21" t="str">
        <f>HYPERLINK("https://www.ncbi.nlm.nih.gov/nuccore/AB193315","NCBI Nucleotide")</f>
        <v>NCBI Nucleotide</v>
      </c>
    </row>
    <row r="5800" spans="1:27" x14ac:dyDescent="0.35">
      <c r="A5800">
        <v>1007290</v>
      </c>
      <c r="B5800">
        <v>5538</v>
      </c>
      <c r="C5800">
        <v>1</v>
      </c>
      <c r="D5800" s="17" t="s">
        <v>10507</v>
      </c>
      <c r="E5800" s="17"/>
      <c r="F5800" s="17" t="s">
        <v>10780</v>
      </c>
      <c r="G5800" s="17"/>
      <c r="H5800" s="17" t="s">
        <v>12908</v>
      </c>
      <c r="I5800" s="17"/>
      <c r="J5800" s="17" t="s">
        <v>12909</v>
      </c>
      <c r="K5800" s="17"/>
      <c r="L5800" s="17" t="s">
        <v>12910</v>
      </c>
      <c r="M5800" s="17"/>
      <c r="N5800" s="17" t="s">
        <v>12911</v>
      </c>
      <c r="O5800" s="17"/>
      <c r="P5800" s="17" t="s">
        <v>12939</v>
      </c>
      <c r="Q5800" s="17"/>
      <c r="R5800" s="25" t="str">
        <f>HYPERLINK("https://ictv.global/taxonomy/taxondetails?taxnode_id=202305755","Protobacilladnavirus hasleos")</f>
        <v>Protobacilladnavirus hasleos</v>
      </c>
      <c r="S5800" s="18" t="s">
        <v>30</v>
      </c>
      <c r="T5800" s="18" t="s">
        <v>12949</v>
      </c>
      <c r="U5800" s="18" t="s">
        <v>12950</v>
      </c>
      <c r="V5800" s="18" t="s">
        <v>12951</v>
      </c>
      <c r="W5800" s="18" t="s">
        <v>12952</v>
      </c>
      <c r="X5800" s="18" t="s">
        <v>42</v>
      </c>
      <c r="Y5800" s="18" t="s">
        <v>12266</v>
      </c>
      <c r="Z5800" s="18" t="s">
        <v>10790</v>
      </c>
      <c r="AA5800" s="21" t="str">
        <f>HYPERLINK("https://www.ncbi.nlm.nih.gov/nuccore/KY405007","NCBI Nucleotide")</f>
        <v>NCBI Nucleotide</v>
      </c>
    </row>
    <row r="5801" spans="1:27" x14ac:dyDescent="0.35">
      <c r="A5801">
        <v>1007291</v>
      </c>
      <c r="B5801">
        <v>5539</v>
      </c>
      <c r="C5801">
        <v>1</v>
      </c>
      <c r="D5801" s="17" t="s">
        <v>10507</v>
      </c>
      <c r="E5801" s="17"/>
      <c r="F5801" s="17" t="s">
        <v>10780</v>
      </c>
      <c r="G5801" s="17"/>
      <c r="H5801" s="17" t="s">
        <v>12908</v>
      </c>
      <c r="I5801" s="17"/>
      <c r="J5801" s="17" t="s">
        <v>12909</v>
      </c>
      <c r="K5801" s="17"/>
      <c r="L5801" s="17" t="s">
        <v>12910</v>
      </c>
      <c r="M5801" s="17"/>
      <c r="N5801" s="17" t="s">
        <v>12911</v>
      </c>
      <c r="O5801" s="17"/>
      <c r="P5801" s="17" t="s">
        <v>12939</v>
      </c>
      <c r="Q5801" s="17"/>
      <c r="R5801" s="25" t="str">
        <f>HYPERLINK("https://ictv.global/taxonomy/taxondetails?taxnode_id=202305754","Protobacilladnavirus mudflat")</f>
        <v>Protobacilladnavirus mudflat</v>
      </c>
      <c r="S5801" s="18" t="s">
        <v>30</v>
      </c>
      <c r="T5801" s="18" t="s">
        <v>12953</v>
      </c>
      <c r="U5801" s="18" t="s">
        <v>12954</v>
      </c>
      <c r="V5801" s="18" t="s">
        <v>12955</v>
      </c>
      <c r="W5801" s="18" t="s">
        <v>12956</v>
      </c>
      <c r="X5801" s="18" t="s">
        <v>42</v>
      </c>
      <c r="Y5801" s="18" t="s">
        <v>12266</v>
      </c>
      <c r="Z5801" s="18" t="s">
        <v>10790</v>
      </c>
      <c r="AA5801" s="21" t="str">
        <f>HYPERLINK("https://www.ncbi.nlm.nih.gov/nuccore/KY405006","NCBI Nucleotide")</f>
        <v>NCBI Nucleotide</v>
      </c>
    </row>
    <row r="5802" spans="1:27" x14ac:dyDescent="0.35">
      <c r="A5802">
        <v>1007292</v>
      </c>
      <c r="B5802">
        <v>5540</v>
      </c>
      <c r="C5802">
        <v>1</v>
      </c>
      <c r="D5802" s="17" t="s">
        <v>10507</v>
      </c>
      <c r="E5802" s="17"/>
      <c r="F5802" s="17" t="s">
        <v>10780</v>
      </c>
      <c r="G5802" s="17"/>
      <c r="H5802" s="17" t="s">
        <v>12908</v>
      </c>
      <c r="I5802" s="17"/>
      <c r="J5802" s="17" t="s">
        <v>12909</v>
      </c>
      <c r="K5802" s="17"/>
      <c r="L5802" s="17" t="s">
        <v>12910</v>
      </c>
      <c r="M5802" s="17"/>
      <c r="N5802" s="17" t="s">
        <v>12911</v>
      </c>
      <c r="O5802" s="17"/>
      <c r="P5802" s="17" t="s">
        <v>12939</v>
      </c>
      <c r="Q5802" s="17"/>
      <c r="R5802" s="25" t="str">
        <f>HYPERLINK("https://ictv.global/taxonomy/taxondetails?taxnode_id=202314997","Protobacilladnavirus redsnap")</f>
        <v>Protobacilladnavirus redsnap</v>
      </c>
      <c r="S5802" s="18" t="s">
        <v>30</v>
      </c>
      <c r="T5802" s="18" t="s">
        <v>12957</v>
      </c>
      <c r="U5802" s="18" t="s">
        <v>12958</v>
      </c>
      <c r="V5802" s="18" t="s">
        <v>12959</v>
      </c>
      <c r="W5802" s="18" t="s">
        <v>12960</v>
      </c>
      <c r="X5802" s="18" t="s">
        <v>42</v>
      </c>
      <c r="Y5802" s="18" t="s">
        <v>12266</v>
      </c>
      <c r="Z5802" s="18" t="s">
        <v>12916</v>
      </c>
      <c r="AA5802" s="21" t="str">
        <f>HYPERLINK("https://www.ncbi.nlm.nih.gov/nuccore/MH616678","NCBI Nucleotide")</f>
        <v>NCBI Nucleotide</v>
      </c>
    </row>
    <row r="5803" spans="1:27" x14ac:dyDescent="0.35">
      <c r="A5803">
        <v>1007293</v>
      </c>
      <c r="B5803">
        <v>5541</v>
      </c>
      <c r="C5803">
        <v>1</v>
      </c>
      <c r="D5803" s="17" t="s">
        <v>10507</v>
      </c>
      <c r="E5803" s="17"/>
      <c r="F5803" s="17" t="s">
        <v>10780</v>
      </c>
      <c r="G5803" s="17"/>
      <c r="H5803" s="17" t="s">
        <v>12908</v>
      </c>
      <c r="I5803" s="17"/>
      <c r="J5803" s="17" t="s">
        <v>12909</v>
      </c>
      <c r="K5803" s="17"/>
      <c r="L5803" s="17" t="s">
        <v>12910</v>
      </c>
      <c r="M5803" s="17"/>
      <c r="N5803" s="17" t="s">
        <v>12911</v>
      </c>
      <c r="O5803" s="17"/>
      <c r="P5803" s="17" t="s">
        <v>12939</v>
      </c>
      <c r="Q5803" s="17"/>
      <c r="R5803" s="25" t="str">
        <f>HYPERLINK("https://ictv.global/taxonomy/taxondetails?taxnode_id=202314996","Protobacilladnavirus snap")</f>
        <v>Protobacilladnavirus snap</v>
      </c>
      <c r="S5803" s="18" t="s">
        <v>30</v>
      </c>
      <c r="T5803" s="18" t="s">
        <v>12961</v>
      </c>
      <c r="U5803" s="18" t="s">
        <v>12962</v>
      </c>
      <c r="V5803" s="18" t="s">
        <v>12963</v>
      </c>
      <c r="W5803" s="18" t="s">
        <v>12964</v>
      </c>
      <c r="X5803" s="18" t="s">
        <v>42</v>
      </c>
      <c r="Y5803" s="18" t="s">
        <v>12266</v>
      </c>
      <c r="Z5803" s="18" t="s">
        <v>12916</v>
      </c>
      <c r="AA5803" s="21" t="str">
        <f>HYPERLINK("https://www.ncbi.nlm.nih.gov/nuccore/MH617734","NCBI Nucleotide")</f>
        <v>NCBI Nucleotide</v>
      </c>
    </row>
    <row r="5804" spans="1:27" x14ac:dyDescent="0.35">
      <c r="A5804">
        <v>1007294</v>
      </c>
      <c r="B5804">
        <v>5542</v>
      </c>
      <c r="C5804">
        <v>1</v>
      </c>
      <c r="D5804" s="17" t="s">
        <v>10507</v>
      </c>
      <c r="E5804" s="17"/>
      <c r="F5804" s="17" t="s">
        <v>10780</v>
      </c>
      <c r="G5804" s="17"/>
      <c r="H5804" s="17" t="s">
        <v>12908</v>
      </c>
      <c r="I5804" s="17"/>
      <c r="J5804" s="17" t="s">
        <v>12909</v>
      </c>
      <c r="K5804" s="17"/>
      <c r="L5804" s="17" t="s">
        <v>12910</v>
      </c>
      <c r="M5804" s="17"/>
      <c r="N5804" s="17" t="s">
        <v>12911</v>
      </c>
      <c r="O5804" s="17"/>
      <c r="P5804" s="17" t="s">
        <v>12939</v>
      </c>
      <c r="Q5804" s="17"/>
      <c r="R5804" s="25" t="str">
        <f>HYPERLINK("https://ictv.global/taxonomy/taxondetails?taxnode_id=202305752","Protobacilladnavirus tenuis")</f>
        <v>Protobacilladnavirus tenuis</v>
      </c>
      <c r="S5804" s="18" t="s">
        <v>30</v>
      </c>
      <c r="T5804" s="18" t="s">
        <v>12965</v>
      </c>
      <c r="U5804" s="18" t="s">
        <v>12966</v>
      </c>
      <c r="V5804" s="18">
        <v>6</v>
      </c>
      <c r="W5804" s="18" t="s">
        <v>12967</v>
      </c>
      <c r="X5804" s="18" t="s">
        <v>42</v>
      </c>
      <c r="Y5804" s="18" t="s">
        <v>12266</v>
      </c>
      <c r="Z5804" s="18" t="s">
        <v>17496</v>
      </c>
      <c r="AA5804" s="21" t="str">
        <f>HYPERLINK("https://www.ncbi.nlm.nih.gov/nuccore/AB597949","NCBI Nucleotide")</f>
        <v>NCBI Nucleotide</v>
      </c>
    </row>
    <row r="5805" spans="1:27" x14ac:dyDescent="0.35">
      <c r="A5805">
        <v>1007295</v>
      </c>
      <c r="B5805">
        <v>5543</v>
      </c>
      <c r="C5805">
        <v>1</v>
      </c>
      <c r="D5805" s="17" t="s">
        <v>10507</v>
      </c>
      <c r="E5805" s="17"/>
      <c r="F5805" s="17" t="s">
        <v>10780</v>
      </c>
      <c r="G5805" s="17"/>
      <c r="H5805" s="17" t="s">
        <v>12908</v>
      </c>
      <c r="I5805" s="17"/>
      <c r="J5805" s="17" t="s">
        <v>12909</v>
      </c>
      <c r="K5805" s="17"/>
      <c r="L5805" s="17" t="s">
        <v>12910</v>
      </c>
      <c r="M5805" s="17"/>
      <c r="N5805" s="17" t="s">
        <v>12911</v>
      </c>
      <c r="O5805" s="17"/>
      <c r="P5805" s="17" t="s">
        <v>12968</v>
      </c>
      <c r="Q5805" s="17"/>
      <c r="R5805" s="25" t="str">
        <f>HYPERLINK("https://ictv.global/taxonomy/taxondetails?taxnode_id=202314998","Puahadnavirus aber")</f>
        <v>Puahadnavirus aber</v>
      </c>
      <c r="S5805" s="18" t="s">
        <v>30</v>
      </c>
      <c r="T5805" s="18" t="s">
        <v>12969</v>
      </c>
      <c r="U5805" s="18" t="s">
        <v>12970</v>
      </c>
      <c r="V5805" s="18"/>
      <c r="W5805" s="18" t="s">
        <v>12971</v>
      </c>
      <c r="X5805" s="18" t="s">
        <v>42</v>
      </c>
      <c r="Y5805" s="18" t="s">
        <v>12266</v>
      </c>
      <c r="Z5805" s="18" t="s">
        <v>12916</v>
      </c>
      <c r="AA5805" s="21" t="str">
        <f>HYPERLINK("https://www.ncbi.nlm.nih.gov/nuccore/OM154944","NCBI Nucleotide")</f>
        <v>NCBI Nucleotide</v>
      </c>
    </row>
    <row r="5806" spans="1:27" x14ac:dyDescent="0.35">
      <c r="A5806">
        <v>1007296</v>
      </c>
      <c r="B5806">
        <v>5544</v>
      </c>
      <c r="C5806">
        <v>1</v>
      </c>
      <c r="D5806" s="17" t="s">
        <v>10507</v>
      </c>
      <c r="E5806" s="17"/>
      <c r="F5806" s="17" t="s">
        <v>10780</v>
      </c>
      <c r="G5806" s="17"/>
      <c r="H5806" s="17" t="s">
        <v>12908</v>
      </c>
      <c r="I5806" s="17"/>
      <c r="J5806" s="17" t="s">
        <v>12909</v>
      </c>
      <c r="K5806" s="17"/>
      <c r="L5806" s="17" t="s">
        <v>12910</v>
      </c>
      <c r="M5806" s="17"/>
      <c r="N5806" s="17" t="s">
        <v>12911</v>
      </c>
      <c r="O5806" s="17"/>
      <c r="P5806" s="17" t="s">
        <v>12968</v>
      </c>
      <c r="Q5806" s="17"/>
      <c r="R5806" s="25" t="str">
        <f>HYPERLINK("https://ictv.global/taxonomy/taxondetails?taxnode_id=202315000","Puahadnavirus inbhir")</f>
        <v>Puahadnavirus inbhir</v>
      </c>
      <c r="S5806" s="18" t="s">
        <v>30</v>
      </c>
      <c r="T5806" s="18" t="s">
        <v>12972</v>
      </c>
      <c r="U5806" s="18" t="s">
        <v>12973</v>
      </c>
      <c r="V5806" s="18"/>
      <c r="W5806" s="18" t="s">
        <v>12974</v>
      </c>
      <c r="X5806" s="18" t="s">
        <v>42</v>
      </c>
      <c r="Y5806" s="18" t="s">
        <v>12266</v>
      </c>
      <c r="Z5806" s="18" t="s">
        <v>12916</v>
      </c>
      <c r="AA5806" s="21" t="str">
        <f>HYPERLINK("https://www.ncbi.nlm.nih.gov/nuccore/OM154948","NCBI Nucleotide")</f>
        <v>NCBI Nucleotide</v>
      </c>
    </row>
    <row r="5807" spans="1:27" x14ac:dyDescent="0.35">
      <c r="A5807">
        <v>1007297</v>
      </c>
      <c r="B5807">
        <v>5545</v>
      </c>
      <c r="C5807">
        <v>1</v>
      </c>
      <c r="D5807" s="17" t="s">
        <v>10507</v>
      </c>
      <c r="E5807" s="17"/>
      <c r="F5807" s="17" t="s">
        <v>10780</v>
      </c>
      <c r="G5807" s="17"/>
      <c r="H5807" s="17" t="s">
        <v>12908</v>
      </c>
      <c r="I5807" s="17"/>
      <c r="J5807" s="17" t="s">
        <v>12909</v>
      </c>
      <c r="K5807" s="17"/>
      <c r="L5807" s="17" t="s">
        <v>12910</v>
      </c>
      <c r="M5807" s="17"/>
      <c r="N5807" s="17" t="s">
        <v>12911</v>
      </c>
      <c r="O5807" s="17"/>
      <c r="P5807" s="17" t="s">
        <v>12968</v>
      </c>
      <c r="Q5807" s="17"/>
      <c r="R5807" s="25" t="str">
        <f>HYPERLINK("https://ictv.global/taxonomy/taxondetails?taxnode_id=202315001","Puahadnavirus kaisui")</f>
        <v>Puahadnavirus kaisui</v>
      </c>
      <c r="S5807" s="18" t="s">
        <v>30</v>
      </c>
      <c r="T5807" s="18" t="s">
        <v>12975</v>
      </c>
      <c r="U5807" s="18" t="s">
        <v>12976</v>
      </c>
      <c r="V5807" s="18"/>
      <c r="W5807" s="18" t="s">
        <v>12977</v>
      </c>
      <c r="X5807" s="18" t="s">
        <v>42</v>
      </c>
      <c r="Y5807" s="18" t="s">
        <v>12266</v>
      </c>
      <c r="Z5807" s="18" t="s">
        <v>12916</v>
      </c>
      <c r="AA5807" s="21" t="str">
        <f>HYPERLINK("https://www.ncbi.nlm.nih.gov/nuccore/OM154950","NCBI Nucleotide")</f>
        <v>NCBI Nucleotide</v>
      </c>
    </row>
    <row r="5808" spans="1:27" x14ac:dyDescent="0.35">
      <c r="A5808">
        <v>1007298</v>
      </c>
      <c r="B5808">
        <v>5546</v>
      </c>
      <c r="C5808">
        <v>1</v>
      </c>
      <c r="D5808" s="17" t="s">
        <v>10507</v>
      </c>
      <c r="E5808" s="17"/>
      <c r="F5808" s="17" t="s">
        <v>10780</v>
      </c>
      <c r="G5808" s="17"/>
      <c r="H5808" s="17" t="s">
        <v>12908</v>
      </c>
      <c r="I5808" s="17"/>
      <c r="J5808" s="17" t="s">
        <v>12909</v>
      </c>
      <c r="K5808" s="17"/>
      <c r="L5808" s="17" t="s">
        <v>12910</v>
      </c>
      <c r="M5808" s="17"/>
      <c r="N5808" s="17" t="s">
        <v>12911</v>
      </c>
      <c r="O5808" s="17"/>
      <c r="P5808" s="17" t="s">
        <v>12968</v>
      </c>
      <c r="Q5808" s="17"/>
      <c r="R5808" s="25" t="str">
        <f>HYPERLINK("https://ictv.global/taxonomy/taxondetails?taxnode_id=202315002","Puahadnavirus takutai")</f>
        <v>Puahadnavirus takutai</v>
      </c>
      <c r="S5808" s="18" t="s">
        <v>30</v>
      </c>
      <c r="T5808" s="18" t="s">
        <v>12978</v>
      </c>
      <c r="U5808" s="18" t="s">
        <v>12979</v>
      </c>
      <c r="V5808" s="18"/>
      <c r="W5808" s="18" t="s">
        <v>12980</v>
      </c>
      <c r="X5808" s="18" t="s">
        <v>42</v>
      </c>
      <c r="Y5808" s="18" t="s">
        <v>12266</v>
      </c>
      <c r="Z5808" s="18" t="s">
        <v>12916</v>
      </c>
      <c r="AA5808" s="21" t="str">
        <f>HYPERLINK("https://www.ncbi.nlm.nih.gov/nuccore/OM154945","NCBI Nucleotide")</f>
        <v>NCBI Nucleotide</v>
      </c>
    </row>
    <row r="5809" spans="1:27" x14ac:dyDescent="0.35">
      <c r="A5809">
        <v>1007299</v>
      </c>
      <c r="B5809">
        <v>5547</v>
      </c>
      <c r="C5809">
        <v>1</v>
      </c>
      <c r="D5809" s="17" t="s">
        <v>10507</v>
      </c>
      <c r="E5809" s="17"/>
      <c r="F5809" s="17" t="s">
        <v>10780</v>
      </c>
      <c r="G5809" s="17"/>
      <c r="H5809" s="17" t="s">
        <v>12908</v>
      </c>
      <c r="I5809" s="17"/>
      <c r="J5809" s="17" t="s">
        <v>12909</v>
      </c>
      <c r="K5809" s="17"/>
      <c r="L5809" s="17" t="s">
        <v>12910</v>
      </c>
      <c r="M5809" s="17"/>
      <c r="N5809" s="17" t="s">
        <v>12911</v>
      </c>
      <c r="O5809" s="17"/>
      <c r="P5809" s="17" t="s">
        <v>12981</v>
      </c>
      <c r="Q5809" s="17"/>
      <c r="R5809" s="25" t="str">
        <f>HYPERLINK("https://ictv.global/taxonomy/taxondetails?taxnode_id=202315003","Seawadnavirus avonheat")</f>
        <v>Seawadnavirus avonheat</v>
      </c>
      <c r="S5809" s="18" t="s">
        <v>30</v>
      </c>
      <c r="T5809" s="18" t="s">
        <v>12982</v>
      </c>
      <c r="U5809" s="18" t="s">
        <v>12983</v>
      </c>
      <c r="V5809" s="18"/>
      <c r="W5809" s="18" t="s">
        <v>12984</v>
      </c>
      <c r="X5809" s="18" t="s">
        <v>42</v>
      </c>
      <c r="Y5809" s="18" t="s">
        <v>12266</v>
      </c>
      <c r="Z5809" s="18" t="s">
        <v>12916</v>
      </c>
      <c r="AA5809" s="21" t="str">
        <f>HYPERLINK("https://www.ncbi.nlm.nih.gov/nuccore/OM154943","NCBI Nucleotide")</f>
        <v>NCBI Nucleotide</v>
      </c>
    </row>
    <row r="5810" spans="1:27" x14ac:dyDescent="0.35">
      <c r="A5810">
        <v>1007300</v>
      </c>
      <c r="B5810">
        <v>5548</v>
      </c>
      <c r="C5810">
        <v>1</v>
      </c>
      <c r="D5810" s="17" t="s">
        <v>10507</v>
      </c>
      <c r="E5810" s="17"/>
      <c r="F5810" s="17" t="s">
        <v>10780</v>
      </c>
      <c r="G5810" s="17"/>
      <c r="H5810" s="17" t="s">
        <v>12908</v>
      </c>
      <c r="I5810" s="17"/>
      <c r="J5810" s="17" t="s">
        <v>12909</v>
      </c>
      <c r="K5810" s="17"/>
      <c r="L5810" s="17" t="s">
        <v>12910</v>
      </c>
      <c r="M5810" s="17"/>
      <c r="N5810" s="17" t="s">
        <v>12911</v>
      </c>
      <c r="O5810" s="17"/>
      <c r="P5810" s="17" t="s">
        <v>12981</v>
      </c>
      <c r="Q5810" s="17"/>
      <c r="R5810" s="25" t="str">
        <f>HYPERLINK("https://ictv.global/taxonomy/taxondetails?taxnode_id=202314999","Seawadnavirus gataifale")</f>
        <v>Seawadnavirus gataifale</v>
      </c>
      <c r="S5810" s="18" t="s">
        <v>30</v>
      </c>
      <c r="T5810" s="18" t="s">
        <v>12985</v>
      </c>
      <c r="U5810" s="18" t="s">
        <v>12986</v>
      </c>
      <c r="V5810" s="18"/>
      <c r="W5810" s="18" t="s">
        <v>12987</v>
      </c>
      <c r="X5810" s="18" t="s">
        <v>42</v>
      </c>
      <c r="Y5810" s="18" t="s">
        <v>12266</v>
      </c>
      <c r="Z5810" s="18" t="s">
        <v>12916</v>
      </c>
      <c r="AA5810" s="21" t="str">
        <f>HYPERLINK("https://www.ncbi.nlm.nih.gov/nuccore/OM154949","NCBI Nucleotide")</f>
        <v>NCBI Nucleotide</v>
      </c>
    </row>
    <row r="5811" spans="1:27" x14ac:dyDescent="0.35">
      <c r="A5811">
        <v>1007301</v>
      </c>
      <c r="B5811">
        <v>5549</v>
      </c>
      <c r="C5811">
        <v>1</v>
      </c>
      <c r="D5811" s="17" t="s">
        <v>10507</v>
      </c>
      <c r="E5811" s="17"/>
      <c r="F5811" s="17" t="s">
        <v>10780</v>
      </c>
      <c r="G5811" s="17"/>
      <c r="H5811" s="17" t="s">
        <v>12908</v>
      </c>
      <c r="I5811" s="17"/>
      <c r="J5811" s="17" t="s">
        <v>12909</v>
      </c>
      <c r="K5811" s="17"/>
      <c r="L5811" s="17" t="s">
        <v>12910</v>
      </c>
      <c r="M5811" s="17"/>
      <c r="N5811" s="17" t="s">
        <v>12911</v>
      </c>
      <c r="O5811" s="17"/>
      <c r="P5811" s="17" t="s">
        <v>12981</v>
      </c>
      <c r="Q5811" s="17"/>
      <c r="R5811" s="25" t="str">
        <f>HYPERLINK("https://ictv.global/taxonomy/taxondetails?taxnode_id=202305753","Seawadnavirus kuhtahan")</f>
        <v>Seawadnavirus kuhtahan</v>
      </c>
      <c r="S5811" s="18" t="s">
        <v>30</v>
      </c>
      <c r="T5811" s="18" t="s">
        <v>12988</v>
      </c>
      <c r="U5811" s="18" t="s">
        <v>12989</v>
      </c>
      <c r="V5811" s="18"/>
      <c r="W5811" s="18" t="s">
        <v>12990</v>
      </c>
      <c r="X5811" s="18" t="s">
        <v>42</v>
      </c>
      <c r="Y5811" s="18" t="s">
        <v>12266</v>
      </c>
      <c r="Z5811" s="18" t="s">
        <v>12916</v>
      </c>
      <c r="AA5811" s="21" t="str">
        <f>HYPERLINK("https://www.ncbi.nlm.nih.gov/nuccore/KF133809","NCBI Nucleotide")</f>
        <v>NCBI Nucleotide</v>
      </c>
    </row>
    <row r="5812" spans="1:27" x14ac:dyDescent="0.35">
      <c r="A5812">
        <v>1025335</v>
      </c>
      <c r="B5812">
        <v>5550</v>
      </c>
      <c r="C5812">
        <v>1</v>
      </c>
      <c r="D5812" s="17" t="s">
        <v>10507</v>
      </c>
      <c r="E5812" s="17"/>
      <c r="F5812" s="17" t="s">
        <v>10780</v>
      </c>
      <c r="G5812" s="17"/>
      <c r="H5812" s="17" t="s">
        <v>12908</v>
      </c>
      <c r="I5812" s="17"/>
      <c r="J5812" s="17" t="s">
        <v>12909</v>
      </c>
      <c r="K5812" s="17"/>
      <c r="L5812" s="17" t="s">
        <v>12991</v>
      </c>
      <c r="M5812" s="17"/>
      <c r="N5812" s="17" t="s">
        <v>12992</v>
      </c>
      <c r="O5812" s="17"/>
      <c r="P5812" s="17" t="s">
        <v>12993</v>
      </c>
      <c r="Q5812" s="17"/>
      <c r="R5812" s="25" t="str">
        <f>HYPERLINK("https://ictv.global/taxonomy/taxondetails?taxnode_id=202317747","Circovirus ban")</f>
        <v>Circovirus ban</v>
      </c>
      <c r="S5812" s="18" t="s">
        <v>30</v>
      </c>
      <c r="T5812" s="18" t="s">
        <v>40143</v>
      </c>
      <c r="U5812" s="18" t="s">
        <v>40144</v>
      </c>
      <c r="V5812" s="18" t="s">
        <v>40145</v>
      </c>
      <c r="W5812" s="18" t="s">
        <v>40146</v>
      </c>
      <c r="X5812" s="18" t="s">
        <v>42</v>
      </c>
      <c r="Y5812" s="18" t="s">
        <v>12266</v>
      </c>
      <c r="Z5812" s="18" t="s">
        <v>166</v>
      </c>
      <c r="AA5812" s="21" t="str">
        <f>HYPERLINK("https://www.ncbi.nlm.nih.gov/nuccore/OQ599924","NCBI Nucleotide")</f>
        <v>NCBI Nucleotide</v>
      </c>
    </row>
    <row r="5813" spans="1:27" x14ac:dyDescent="0.35">
      <c r="A5813">
        <v>1007302</v>
      </c>
      <c r="B5813">
        <v>5551</v>
      </c>
      <c r="C5813">
        <v>1</v>
      </c>
      <c r="D5813" s="17" t="s">
        <v>10507</v>
      </c>
      <c r="E5813" s="17"/>
      <c r="F5813" s="17" t="s">
        <v>10780</v>
      </c>
      <c r="G5813" s="17"/>
      <c r="H5813" s="17" t="s">
        <v>12908</v>
      </c>
      <c r="I5813" s="17"/>
      <c r="J5813" s="17" t="s">
        <v>12909</v>
      </c>
      <c r="K5813" s="17"/>
      <c r="L5813" s="17" t="s">
        <v>12991</v>
      </c>
      <c r="M5813" s="17"/>
      <c r="N5813" s="17" t="s">
        <v>12992</v>
      </c>
      <c r="O5813" s="17"/>
      <c r="P5813" s="17" t="s">
        <v>12993</v>
      </c>
      <c r="Q5813" s="17"/>
      <c r="R5813" s="25" t="str">
        <f>HYPERLINK("https://ictv.global/taxonomy/taxondetails?taxnode_id=202302903","Circovirus barbel")</f>
        <v>Circovirus barbel</v>
      </c>
      <c r="S5813" s="18" t="s">
        <v>30</v>
      </c>
      <c r="T5813" s="18" t="s">
        <v>12994</v>
      </c>
      <c r="U5813" s="18" t="s">
        <v>12995</v>
      </c>
      <c r="V5813" s="18"/>
      <c r="W5813" s="18" t="s">
        <v>12996</v>
      </c>
      <c r="X5813" s="18" t="s">
        <v>42</v>
      </c>
      <c r="Y5813" s="18" t="s">
        <v>12266</v>
      </c>
      <c r="Z5813" s="18" t="s">
        <v>166</v>
      </c>
      <c r="AA5813" s="21" t="str">
        <f>HYPERLINK("https://www.ncbi.nlm.nih.gov/nuccore/GU799606","NCBI Nucleotide")</f>
        <v>NCBI Nucleotide</v>
      </c>
    </row>
    <row r="5814" spans="1:27" x14ac:dyDescent="0.35">
      <c r="A5814">
        <v>1007303</v>
      </c>
      <c r="B5814">
        <v>5552</v>
      </c>
      <c r="C5814">
        <v>1</v>
      </c>
      <c r="D5814" s="17" t="s">
        <v>10507</v>
      </c>
      <c r="E5814" s="17"/>
      <c r="F5814" s="17" t="s">
        <v>10780</v>
      </c>
      <c r="G5814" s="17"/>
      <c r="H5814" s="17" t="s">
        <v>12908</v>
      </c>
      <c r="I5814" s="17"/>
      <c r="J5814" s="17" t="s">
        <v>12909</v>
      </c>
      <c r="K5814" s="17"/>
      <c r="L5814" s="17" t="s">
        <v>12991</v>
      </c>
      <c r="M5814" s="17"/>
      <c r="N5814" s="17" t="s">
        <v>12992</v>
      </c>
      <c r="O5814" s="17"/>
      <c r="P5814" s="17" t="s">
        <v>12993</v>
      </c>
      <c r="Q5814" s="17"/>
      <c r="R5814" s="25" t="str">
        <f>HYPERLINK("https://ictv.global/taxonomy/taxondetails?taxnode_id=202302907","Circovirus bastao")</f>
        <v>Circovirus bastao</v>
      </c>
      <c r="S5814" s="18" t="s">
        <v>30</v>
      </c>
      <c r="T5814" s="18" t="s">
        <v>12997</v>
      </c>
      <c r="U5814" s="18" t="s">
        <v>12998</v>
      </c>
      <c r="V5814" s="18"/>
      <c r="W5814" s="18" t="s">
        <v>12999</v>
      </c>
      <c r="X5814" s="18" t="s">
        <v>42</v>
      </c>
      <c r="Y5814" s="18" t="s">
        <v>12266</v>
      </c>
      <c r="Z5814" s="18" t="s">
        <v>166</v>
      </c>
      <c r="AA5814" s="21" t="str">
        <f>HYPERLINK("https://www.ncbi.nlm.nih.gov/nuccore/KT783484","NCBI Nucleotide")</f>
        <v>NCBI Nucleotide</v>
      </c>
    </row>
    <row r="5815" spans="1:27" x14ac:dyDescent="0.35">
      <c r="A5815">
        <v>1007304</v>
      </c>
      <c r="B5815">
        <v>5553</v>
      </c>
      <c r="C5815">
        <v>1</v>
      </c>
      <c r="D5815" s="17" t="s">
        <v>10507</v>
      </c>
      <c r="E5815" s="17"/>
      <c r="F5815" s="17" t="s">
        <v>10780</v>
      </c>
      <c r="G5815" s="17"/>
      <c r="H5815" s="17" t="s">
        <v>12908</v>
      </c>
      <c r="I5815" s="17"/>
      <c r="J5815" s="17" t="s">
        <v>12909</v>
      </c>
      <c r="K5815" s="17"/>
      <c r="L5815" s="17" t="s">
        <v>12991</v>
      </c>
      <c r="M5815" s="17"/>
      <c r="N5815" s="17" t="s">
        <v>12992</v>
      </c>
      <c r="O5815" s="17"/>
      <c r="P5815" s="17" t="s">
        <v>12993</v>
      </c>
      <c r="Q5815" s="17"/>
      <c r="R5815" s="25" t="str">
        <f>HYPERLINK("https://ictv.global/taxonomy/taxondetails?taxnode_id=202309254","Circovirus bear")</f>
        <v>Circovirus bear</v>
      </c>
      <c r="S5815" s="18" t="s">
        <v>30</v>
      </c>
      <c r="T5815" s="18" t="s">
        <v>13000</v>
      </c>
      <c r="U5815" s="18" t="s">
        <v>13001</v>
      </c>
      <c r="V5815" s="18" t="s">
        <v>13002</v>
      </c>
      <c r="W5815" s="18" t="s">
        <v>13003</v>
      </c>
      <c r="X5815" s="18" t="s">
        <v>42</v>
      </c>
      <c r="Y5815" s="18" t="s">
        <v>12266</v>
      </c>
      <c r="Z5815" s="18" t="s">
        <v>166</v>
      </c>
      <c r="AA5815" s="21" t="str">
        <f>HYPERLINK("https://www.ncbi.nlm.nih.gov/nuccore/MN371255","NCBI Nucleotide")</f>
        <v>NCBI Nucleotide</v>
      </c>
    </row>
    <row r="5816" spans="1:27" x14ac:dyDescent="0.35">
      <c r="A5816">
        <v>1007305</v>
      </c>
      <c r="B5816">
        <v>5554</v>
      </c>
      <c r="C5816">
        <v>1</v>
      </c>
      <c r="D5816" s="17" t="s">
        <v>10507</v>
      </c>
      <c r="E5816" s="17"/>
      <c r="F5816" s="17" t="s">
        <v>10780</v>
      </c>
      <c r="G5816" s="17"/>
      <c r="H5816" s="17" t="s">
        <v>12908</v>
      </c>
      <c r="I5816" s="17"/>
      <c r="J5816" s="17" t="s">
        <v>12909</v>
      </c>
      <c r="K5816" s="17"/>
      <c r="L5816" s="17" t="s">
        <v>12991</v>
      </c>
      <c r="M5816" s="17"/>
      <c r="N5816" s="17" t="s">
        <v>12992</v>
      </c>
      <c r="O5816" s="17"/>
      <c r="P5816" s="17" t="s">
        <v>12993</v>
      </c>
      <c r="Q5816" s="17"/>
      <c r="R5816" s="25" t="str">
        <f>HYPERLINK("https://ictv.global/taxonomy/taxondetails?taxnode_id=202302906","Circovirus bianfu")</f>
        <v>Circovirus bianfu</v>
      </c>
      <c r="S5816" s="18" t="s">
        <v>30</v>
      </c>
      <c r="T5816" s="18" t="s">
        <v>13004</v>
      </c>
      <c r="U5816" s="18" t="s">
        <v>13005</v>
      </c>
      <c r="V5816" s="18"/>
      <c r="W5816" s="18" t="s">
        <v>13006</v>
      </c>
      <c r="X5816" s="18" t="s">
        <v>42</v>
      </c>
      <c r="Y5816" s="18" t="s">
        <v>12266</v>
      </c>
      <c r="Z5816" s="18" t="s">
        <v>166</v>
      </c>
      <c r="AA5816" s="21" t="str">
        <f>HYPERLINK("https://www.ncbi.nlm.nih.gov/nuccore/JQ814849","NCBI Nucleotide")</f>
        <v>NCBI Nucleotide</v>
      </c>
    </row>
    <row r="5817" spans="1:27" x14ac:dyDescent="0.35">
      <c r="A5817">
        <v>1007306</v>
      </c>
      <c r="B5817">
        <v>5555</v>
      </c>
      <c r="C5817">
        <v>1</v>
      </c>
      <c r="D5817" s="17" t="s">
        <v>10507</v>
      </c>
      <c r="E5817" s="17"/>
      <c r="F5817" s="17" t="s">
        <v>10780</v>
      </c>
      <c r="G5817" s="17"/>
      <c r="H5817" s="17" t="s">
        <v>12908</v>
      </c>
      <c r="I5817" s="17"/>
      <c r="J5817" s="17" t="s">
        <v>12909</v>
      </c>
      <c r="K5817" s="17"/>
      <c r="L5817" s="17" t="s">
        <v>12991</v>
      </c>
      <c r="M5817" s="17"/>
      <c r="N5817" s="17" t="s">
        <v>12992</v>
      </c>
      <c r="O5817" s="17"/>
      <c r="P5817" s="17" t="s">
        <v>12993</v>
      </c>
      <c r="Q5817" s="17"/>
      <c r="R5817" s="25" t="str">
        <f>HYPERLINK("https://ictv.global/taxonomy/taxondetails?taxnode_id=202302913","Circovirus canary")</f>
        <v>Circovirus canary</v>
      </c>
      <c r="S5817" s="18" t="s">
        <v>30</v>
      </c>
      <c r="T5817" s="18" t="s">
        <v>13007</v>
      </c>
      <c r="U5817" s="18" t="s">
        <v>13008</v>
      </c>
      <c r="V5817" s="18"/>
      <c r="W5817" s="18" t="s">
        <v>13009</v>
      </c>
      <c r="X5817" s="18" t="s">
        <v>42</v>
      </c>
      <c r="Y5817" s="18" t="s">
        <v>12266</v>
      </c>
      <c r="Z5817" s="18" t="s">
        <v>166</v>
      </c>
      <c r="AA5817" s="21" t="str">
        <f>HYPERLINK("https://www.ncbi.nlm.nih.gov/nuccore/AJ301633","NCBI Nucleotide")</f>
        <v>NCBI Nucleotide</v>
      </c>
    </row>
    <row r="5818" spans="1:27" x14ac:dyDescent="0.35">
      <c r="A5818">
        <v>1007307</v>
      </c>
      <c r="B5818">
        <v>5556</v>
      </c>
      <c r="C5818">
        <v>1</v>
      </c>
      <c r="D5818" s="17" t="s">
        <v>10507</v>
      </c>
      <c r="E5818" s="17"/>
      <c r="F5818" s="17" t="s">
        <v>10780</v>
      </c>
      <c r="G5818" s="17"/>
      <c r="H5818" s="17" t="s">
        <v>12908</v>
      </c>
      <c r="I5818" s="17"/>
      <c r="J5818" s="17" t="s">
        <v>12909</v>
      </c>
      <c r="K5818" s="17"/>
      <c r="L5818" s="17" t="s">
        <v>12991</v>
      </c>
      <c r="M5818" s="17"/>
      <c r="N5818" s="17" t="s">
        <v>12992</v>
      </c>
      <c r="O5818" s="17"/>
      <c r="P5818" s="17" t="s">
        <v>12993</v>
      </c>
      <c r="Q5818" s="17"/>
      <c r="R5818" s="25" t="str">
        <f>HYPERLINK("https://ictv.global/taxonomy/taxondetails?taxnode_id=202302914","Circovirus canine")</f>
        <v>Circovirus canine</v>
      </c>
      <c r="S5818" s="18" t="s">
        <v>30</v>
      </c>
      <c r="T5818" s="18" t="s">
        <v>13010</v>
      </c>
      <c r="U5818" s="18" t="s">
        <v>13011</v>
      </c>
      <c r="V5818" s="18" t="s">
        <v>13012</v>
      </c>
      <c r="W5818" s="18" t="s">
        <v>13013</v>
      </c>
      <c r="X5818" s="18" t="s">
        <v>42</v>
      </c>
      <c r="Y5818" s="18" t="s">
        <v>12266</v>
      </c>
      <c r="Z5818" s="18" t="s">
        <v>166</v>
      </c>
      <c r="AA5818" s="21" t="str">
        <f>HYPERLINK("https://www.ncbi.nlm.nih.gov/nuccore/KC241982","NCBI Nucleotide")</f>
        <v>NCBI Nucleotide</v>
      </c>
    </row>
    <row r="5819" spans="1:27" x14ac:dyDescent="0.35">
      <c r="A5819">
        <v>1007308</v>
      </c>
      <c r="B5819">
        <v>5557</v>
      </c>
      <c r="C5819">
        <v>1</v>
      </c>
      <c r="D5819" s="17" t="s">
        <v>10507</v>
      </c>
      <c r="E5819" s="17"/>
      <c r="F5819" s="17" t="s">
        <v>10780</v>
      </c>
      <c r="G5819" s="17"/>
      <c r="H5819" s="17" t="s">
        <v>12908</v>
      </c>
      <c r="I5819" s="17"/>
      <c r="J5819" s="17" t="s">
        <v>12909</v>
      </c>
      <c r="K5819" s="17"/>
      <c r="L5819" s="17" t="s">
        <v>12991</v>
      </c>
      <c r="M5819" s="17"/>
      <c r="N5819" s="17" t="s">
        <v>12992</v>
      </c>
      <c r="O5819" s="17"/>
      <c r="P5819" s="17" t="s">
        <v>12993</v>
      </c>
      <c r="Q5819" s="17"/>
      <c r="R5819" s="25" t="str">
        <f>HYPERLINK("https://ictv.global/taxonomy/taxondetails?taxnode_id=202302917","Circovirus catfish")</f>
        <v>Circovirus catfish</v>
      </c>
      <c r="S5819" s="18" t="s">
        <v>30</v>
      </c>
      <c r="T5819" s="18" t="s">
        <v>13014</v>
      </c>
      <c r="U5819" s="18" t="s">
        <v>13015</v>
      </c>
      <c r="V5819" s="18" t="s">
        <v>13016</v>
      </c>
      <c r="W5819" s="18" t="s">
        <v>13017</v>
      </c>
      <c r="X5819" s="18" t="s">
        <v>42</v>
      </c>
      <c r="Y5819" s="18" t="s">
        <v>12266</v>
      </c>
      <c r="Z5819" s="18" t="s">
        <v>166</v>
      </c>
      <c r="AA5819" s="21" t="str">
        <f>HYPERLINK("https://www.ncbi.nlm.nih.gov/nuccore/JQ011377","NCBI Nucleotide")</f>
        <v>NCBI Nucleotide</v>
      </c>
    </row>
    <row r="5820" spans="1:27" x14ac:dyDescent="0.35">
      <c r="A5820">
        <v>1007309</v>
      </c>
      <c r="B5820">
        <v>5558</v>
      </c>
      <c r="C5820">
        <v>1</v>
      </c>
      <c r="D5820" s="17" t="s">
        <v>10507</v>
      </c>
      <c r="E5820" s="17"/>
      <c r="F5820" s="17" t="s">
        <v>10780</v>
      </c>
      <c r="G5820" s="17"/>
      <c r="H5820" s="17" t="s">
        <v>12908</v>
      </c>
      <c r="I5820" s="17"/>
      <c r="J5820" s="17" t="s">
        <v>12909</v>
      </c>
      <c r="K5820" s="17"/>
      <c r="L5820" s="17" t="s">
        <v>12991</v>
      </c>
      <c r="M5820" s="17"/>
      <c r="N5820" s="17" t="s">
        <v>12992</v>
      </c>
      <c r="O5820" s="17"/>
      <c r="P5820" s="17" t="s">
        <v>12993</v>
      </c>
      <c r="Q5820" s="17"/>
      <c r="R5820" s="25" t="str">
        <f>HYPERLINK("https://ictv.global/taxonomy/taxondetails?taxnode_id=202302904","Circovirus chauvesouris")</f>
        <v>Circovirus chauvesouris</v>
      </c>
      <c r="S5820" s="18" t="s">
        <v>30</v>
      </c>
      <c r="T5820" s="18" t="s">
        <v>13018</v>
      </c>
      <c r="U5820" s="18" t="s">
        <v>13019</v>
      </c>
      <c r="V5820" s="18" t="s">
        <v>13020</v>
      </c>
      <c r="W5820" s="18" t="s">
        <v>13021</v>
      </c>
      <c r="X5820" s="18" t="s">
        <v>42</v>
      </c>
      <c r="Y5820" s="18" t="s">
        <v>12266</v>
      </c>
      <c r="Z5820" s="18" t="s">
        <v>166</v>
      </c>
      <c r="AA5820" s="21" t="str">
        <f>HYPERLINK("https://www.ncbi.nlm.nih.gov/nuccore/JX863737","NCBI Nucleotide")</f>
        <v>NCBI Nucleotide</v>
      </c>
    </row>
    <row r="5821" spans="1:27" x14ac:dyDescent="0.35">
      <c r="A5821">
        <v>1007310</v>
      </c>
      <c r="B5821">
        <v>5559</v>
      </c>
      <c r="C5821">
        <v>1</v>
      </c>
      <c r="D5821" s="17" t="s">
        <v>10507</v>
      </c>
      <c r="E5821" s="17"/>
      <c r="F5821" s="17" t="s">
        <v>10780</v>
      </c>
      <c r="G5821" s="17"/>
      <c r="H5821" s="17" t="s">
        <v>12908</v>
      </c>
      <c r="I5821" s="17"/>
      <c r="J5821" s="17" t="s">
        <v>12909</v>
      </c>
      <c r="K5821" s="17"/>
      <c r="L5821" s="17" t="s">
        <v>12991</v>
      </c>
      <c r="M5821" s="17"/>
      <c r="N5821" s="17" t="s">
        <v>12992</v>
      </c>
      <c r="O5821" s="17"/>
      <c r="P5821" s="17" t="s">
        <v>12993</v>
      </c>
      <c r="Q5821" s="17"/>
      <c r="R5821" s="25" t="str">
        <f>HYPERLINK("https://ictv.global/taxonomy/taxondetails?taxnode_id=202308676","Circovirus cia")</f>
        <v>Circovirus cia</v>
      </c>
      <c r="S5821" s="18" t="s">
        <v>30</v>
      </c>
      <c r="T5821" s="18" t="s">
        <v>13022</v>
      </c>
      <c r="U5821" s="18" t="s">
        <v>13023</v>
      </c>
      <c r="V5821" s="18" t="s">
        <v>13024</v>
      </c>
      <c r="W5821" s="18" t="s">
        <v>13025</v>
      </c>
      <c r="X5821" s="18" t="s">
        <v>42</v>
      </c>
      <c r="Y5821" s="18" t="s">
        <v>12266</v>
      </c>
      <c r="Z5821" s="18" t="s">
        <v>166</v>
      </c>
      <c r="AA5821" s="21" t="str">
        <f>HYPERLINK("https://www.ncbi.nlm.nih.gov/nuccore/KJ641716","NCBI Nucleotide")</f>
        <v>NCBI Nucleotide</v>
      </c>
    </row>
    <row r="5822" spans="1:27" x14ac:dyDescent="0.35">
      <c r="A5822">
        <v>1007311</v>
      </c>
      <c r="B5822">
        <v>5560</v>
      </c>
      <c r="C5822">
        <v>1</v>
      </c>
      <c r="D5822" s="17" t="s">
        <v>10507</v>
      </c>
      <c r="E5822" s="17"/>
      <c r="F5822" s="17" t="s">
        <v>10780</v>
      </c>
      <c r="G5822" s="17"/>
      <c r="H5822" s="17" t="s">
        <v>12908</v>
      </c>
      <c r="I5822" s="17"/>
      <c r="J5822" s="17" t="s">
        <v>12909</v>
      </c>
      <c r="K5822" s="17"/>
      <c r="L5822" s="17" t="s">
        <v>12991</v>
      </c>
      <c r="M5822" s="17"/>
      <c r="N5822" s="17" t="s">
        <v>12992</v>
      </c>
      <c r="O5822" s="17"/>
      <c r="P5822" s="17" t="s">
        <v>12993</v>
      </c>
      <c r="Q5822" s="17"/>
      <c r="R5822" s="25" t="str">
        <f>HYPERLINK("https://ictv.global/taxonomy/taxondetails?taxnode_id=202308677","Circovirus civet")</f>
        <v>Circovirus civet</v>
      </c>
      <c r="S5822" s="18" t="s">
        <v>30</v>
      </c>
      <c r="T5822" s="18" t="s">
        <v>13026</v>
      </c>
      <c r="U5822" s="18" t="s">
        <v>13027</v>
      </c>
      <c r="V5822" s="18" t="s">
        <v>13028</v>
      </c>
      <c r="W5822" s="18" t="s">
        <v>13029</v>
      </c>
      <c r="X5822" s="18" t="s">
        <v>42</v>
      </c>
      <c r="Y5822" s="18" t="s">
        <v>12266</v>
      </c>
      <c r="Z5822" s="18" t="s">
        <v>166</v>
      </c>
      <c r="AA5822" s="21" t="str">
        <f>HYPERLINK("https://www.ncbi.nlm.nih.gov/nuccore/LC416389","NCBI Nucleotide")</f>
        <v>NCBI Nucleotide</v>
      </c>
    </row>
    <row r="5823" spans="1:27" x14ac:dyDescent="0.35">
      <c r="A5823">
        <v>1007312</v>
      </c>
      <c r="B5823">
        <v>5561</v>
      </c>
      <c r="C5823">
        <v>1</v>
      </c>
      <c r="D5823" s="17" t="s">
        <v>10507</v>
      </c>
      <c r="E5823" s="17"/>
      <c r="F5823" s="17" t="s">
        <v>10780</v>
      </c>
      <c r="G5823" s="17"/>
      <c r="H5823" s="17" t="s">
        <v>12908</v>
      </c>
      <c r="I5823" s="17"/>
      <c r="J5823" s="17" t="s">
        <v>12909</v>
      </c>
      <c r="K5823" s="17"/>
      <c r="L5823" s="17" t="s">
        <v>12991</v>
      </c>
      <c r="M5823" s="17"/>
      <c r="N5823" s="17" t="s">
        <v>12992</v>
      </c>
      <c r="O5823" s="17"/>
      <c r="P5823" s="17" t="s">
        <v>12993</v>
      </c>
      <c r="Q5823" s="17"/>
      <c r="R5823" s="25" t="str">
        <f>HYPERLINK("https://ictv.global/taxonomy/taxondetails?taxnode_id=202306568","Circovirus daga")</f>
        <v>Circovirus daga</v>
      </c>
      <c r="S5823" s="18" t="s">
        <v>30</v>
      </c>
      <c r="T5823" s="18" t="s">
        <v>13030</v>
      </c>
      <c r="U5823" s="18" t="s">
        <v>13031</v>
      </c>
      <c r="V5823" s="18" t="s">
        <v>13032</v>
      </c>
      <c r="W5823" s="18" t="s">
        <v>13033</v>
      </c>
      <c r="X5823" s="18" t="s">
        <v>42</v>
      </c>
      <c r="Y5823" s="18" t="s">
        <v>12266</v>
      </c>
      <c r="Z5823" s="18" t="s">
        <v>166</v>
      </c>
      <c r="AA5823" s="21" t="str">
        <f>HYPERLINK("https://www.ncbi.nlm.nih.gov/nuccore/KY370037","NCBI Nucleotide")</f>
        <v>NCBI Nucleotide</v>
      </c>
    </row>
    <row r="5824" spans="1:27" x14ac:dyDescent="0.35">
      <c r="A5824">
        <v>1007313</v>
      </c>
      <c r="B5824">
        <v>5562</v>
      </c>
      <c r="C5824">
        <v>1</v>
      </c>
      <c r="D5824" s="17" t="s">
        <v>10507</v>
      </c>
      <c r="E5824" s="17"/>
      <c r="F5824" s="17" t="s">
        <v>10780</v>
      </c>
      <c r="G5824" s="17"/>
      <c r="H5824" s="17" t="s">
        <v>12908</v>
      </c>
      <c r="I5824" s="17"/>
      <c r="J5824" s="17" t="s">
        <v>12909</v>
      </c>
      <c r="K5824" s="17"/>
      <c r="L5824" s="17" t="s">
        <v>12991</v>
      </c>
      <c r="M5824" s="17"/>
      <c r="N5824" s="17" t="s">
        <v>12992</v>
      </c>
      <c r="O5824" s="17"/>
      <c r="P5824" s="17" t="s">
        <v>12993</v>
      </c>
      <c r="Q5824" s="17"/>
      <c r="R5824" s="25" t="str">
        <f>HYPERLINK("https://ictv.global/taxonomy/taxondetails?taxnode_id=202302916","Circovirus duck")</f>
        <v>Circovirus duck</v>
      </c>
      <c r="S5824" s="18" t="s">
        <v>30</v>
      </c>
      <c r="T5824" s="18" t="s">
        <v>13034</v>
      </c>
      <c r="U5824" s="18" t="s">
        <v>13035</v>
      </c>
      <c r="V5824" s="18"/>
      <c r="W5824" s="18" t="s">
        <v>13036</v>
      </c>
      <c r="X5824" s="18" t="s">
        <v>42</v>
      </c>
      <c r="Y5824" s="18" t="s">
        <v>12266</v>
      </c>
      <c r="Z5824" s="18" t="s">
        <v>166</v>
      </c>
      <c r="AA5824" s="21" t="str">
        <f>HYPERLINK("https://www.ncbi.nlm.nih.gov/nuccore/AY228555","NCBI Nucleotide")</f>
        <v>NCBI Nucleotide</v>
      </c>
    </row>
    <row r="5825" spans="1:27" x14ac:dyDescent="0.35">
      <c r="A5825">
        <v>1007314</v>
      </c>
      <c r="B5825">
        <v>5563</v>
      </c>
      <c r="C5825">
        <v>1</v>
      </c>
      <c r="D5825" s="17" t="s">
        <v>10507</v>
      </c>
      <c r="E5825" s="17"/>
      <c r="F5825" s="17" t="s">
        <v>10780</v>
      </c>
      <c r="G5825" s="17"/>
      <c r="H5825" s="17" t="s">
        <v>12908</v>
      </c>
      <c r="I5825" s="17"/>
      <c r="J5825" s="17" t="s">
        <v>12909</v>
      </c>
      <c r="K5825" s="17"/>
      <c r="L5825" s="17" t="s">
        <v>12991</v>
      </c>
      <c r="M5825" s="17"/>
      <c r="N5825" s="17" t="s">
        <v>12992</v>
      </c>
      <c r="O5825" s="17"/>
      <c r="P5825" s="17" t="s">
        <v>12993</v>
      </c>
      <c r="Q5825" s="17"/>
      <c r="R5825" s="25" t="str">
        <f>HYPERLINK("https://ictv.global/taxonomy/taxondetails?taxnode_id=202309185","Circovirus elk")</f>
        <v>Circovirus elk</v>
      </c>
      <c r="S5825" s="18" t="s">
        <v>30</v>
      </c>
      <c r="T5825" s="18" t="s">
        <v>13037</v>
      </c>
      <c r="U5825" s="18" t="s">
        <v>13038</v>
      </c>
      <c r="V5825" s="18" t="s">
        <v>13039</v>
      </c>
      <c r="W5825" s="18" t="s">
        <v>13040</v>
      </c>
      <c r="X5825" s="18" t="s">
        <v>42</v>
      </c>
      <c r="Y5825" s="18" t="s">
        <v>12266</v>
      </c>
      <c r="Z5825" s="18" t="s">
        <v>166</v>
      </c>
      <c r="AA5825" s="21" t="str">
        <f>HYPERLINK("https://www.ncbi.nlm.nih.gov/nuccore/MN585201","NCBI Nucleotide")</f>
        <v>NCBI Nucleotide</v>
      </c>
    </row>
    <row r="5826" spans="1:27" x14ac:dyDescent="0.35">
      <c r="A5826">
        <v>1007315</v>
      </c>
      <c r="B5826">
        <v>5564</v>
      </c>
      <c r="C5826">
        <v>1</v>
      </c>
      <c r="D5826" s="17" t="s">
        <v>10507</v>
      </c>
      <c r="E5826" s="17"/>
      <c r="F5826" s="17" t="s">
        <v>10780</v>
      </c>
      <c r="G5826" s="17"/>
      <c r="H5826" s="17" t="s">
        <v>12908</v>
      </c>
      <c r="I5826" s="17"/>
      <c r="J5826" s="17" t="s">
        <v>12909</v>
      </c>
      <c r="K5826" s="17"/>
      <c r="L5826" s="17" t="s">
        <v>12991</v>
      </c>
      <c r="M5826" s="17"/>
      <c r="N5826" s="17" t="s">
        <v>12992</v>
      </c>
      <c r="O5826" s="17"/>
      <c r="P5826" s="17" t="s">
        <v>12993</v>
      </c>
      <c r="Q5826" s="17"/>
      <c r="R5826" s="25" t="str">
        <f>HYPERLINK("https://ictv.global/taxonomy/taxondetails?taxnode_id=202302921","Circovirus eniyan")</f>
        <v>Circovirus eniyan</v>
      </c>
      <c r="S5826" s="18" t="s">
        <v>30</v>
      </c>
      <c r="T5826" s="18" t="s">
        <v>13041</v>
      </c>
      <c r="U5826" s="18" t="s">
        <v>13042</v>
      </c>
      <c r="V5826" s="18" t="s">
        <v>13043</v>
      </c>
      <c r="W5826" s="18" t="s">
        <v>13044</v>
      </c>
      <c r="X5826" s="18" t="s">
        <v>42</v>
      </c>
      <c r="Y5826" s="18" t="s">
        <v>12266</v>
      </c>
      <c r="Z5826" s="18" t="s">
        <v>166</v>
      </c>
      <c r="AA5826" s="21" t="str">
        <f>HYPERLINK("https://www.ncbi.nlm.nih.gov/nuccore/GQ404856","NCBI Nucleotide")</f>
        <v>NCBI Nucleotide</v>
      </c>
    </row>
    <row r="5827" spans="1:27" x14ac:dyDescent="0.35">
      <c r="A5827">
        <v>1007316</v>
      </c>
      <c r="B5827">
        <v>5565</v>
      </c>
      <c r="C5827">
        <v>1</v>
      </c>
      <c r="D5827" s="17" t="s">
        <v>10507</v>
      </c>
      <c r="E5827" s="17"/>
      <c r="F5827" s="17" t="s">
        <v>10780</v>
      </c>
      <c r="G5827" s="17"/>
      <c r="H5827" s="17" t="s">
        <v>12908</v>
      </c>
      <c r="I5827" s="17"/>
      <c r="J5827" s="17" t="s">
        <v>12909</v>
      </c>
      <c r="K5827" s="17"/>
      <c r="L5827" s="17" t="s">
        <v>12991</v>
      </c>
      <c r="M5827" s="17"/>
      <c r="N5827" s="17" t="s">
        <v>12992</v>
      </c>
      <c r="O5827" s="17"/>
      <c r="P5827" s="17" t="s">
        <v>12993</v>
      </c>
      <c r="Q5827" s="17"/>
      <c r="R5827" s="25" t="str">
        <f>HYPERLINK("https://ictv.global/taxonomy/taxondetails?taxnode_id=202302918","Circovirus finch")</f>
        <v>Circovirus finch</v>
      </c>
      <c r="S5827" s="18" t="s">
        <v>30</v>
      </c>
      <c r="T5827" s="18" t="s">
        <v>13045</v>
      </c>
      <c r="U5827" s="18" t="s">
        <v>13046</v>
      </c>
      <c r="V5827" s="18"/>
      <c r="W5827" s="18" t="s">
        <v>13047</v>
      </c>
      <c r="X5827" s="18" t="s">
        <v>42</v>
      </c>
      <c r="Y5827" s="18" t="s">
        <v>12266</v>
      </c>
      <c r="Z5827" s="18" t="s">
        <v>166</v>
      </c>
      <c r="AA5827" s="21" t="str">
        <f>HYPERLINK("https://www.ncbi.nlm.nih.gov/nuccore/DQ845075","NCBI Nucleotide")</f>
        <v>NCBI Nucleotide</v>
      </c>
    </row>
    <row r="5828" spans="1:27" x14ac:dyDescent="0.35">
      <c r="A5828">
        <v>1007317</v>
      </c>
      <c r="B5828">
        <v>5566</v>
      </c>
      <c r="C5828">
        <v>1</v>
      </c>
      <c r="D5828" s="17" t="s">
        <v>10507</v>
      </c>
      <c r="E5828" s="17"/>
      <c r="F5828" s="17" t="s">
        <v>10780</v>
      </c>
      <c r="G5828" s="17"/>
      <c r="H5828" s="17" t="s">
        <v>12908</v>
      </c>
      <c r="I5828" s="17"/>
      <c r="J5828" s="17" t="s">
        <v>12909</v>
      </c>
      <c r="K5828" s="17"/>
      <c r="L5828" s="17" t="s">
        <v>12991</v>
      </c>
      <c r="M5828" s="17"/>
      <c r="N5828" s="17" t="s">
        <v>12992</v>
      </c>
      <c r="O5828" s="17"/>
      <c r="P5828" s="17" t="s">
        <v>12993</v>
      </c>
      <c r="Q5828" s="17"/>
      <c r="R5828" s="25" t="str">
        <f>HYPERLINK("https://ictv.global/taxonomy/taxondetails?taxnode_id=202314082","Circovirus gloton")</f>
        <v>Circovirus gloton</v>
      </c>
      <c r="S5828" s="18" t="s">
        <v>30</v>
      </c>
      <c r="T5828" s="18" t="s">
        <v>13048</v>
      </c>
      <c r="U5828" s="18" t="s">
        <v>13049</v>
      </c>
      <c r="V5828" s="18" t="s">
        <v>13050</v>
      </c>
      <c r="W5828" s="18" t="s">
        <v>13051</v>
      </c>
      <c r="X5828" s="18" t="s">
        <v>42</v>
      </c>
      <c r="Y5828" s="18" t="s">
        <v>12266</v>
      </c>
      <c r="Z5828" s="18" t="s">
        <v>166</v>
      </c>
      <c r="AA5828" s="21" t="str">
        <f>HYPERLINK("https://www.ncbi.nlm.nih.gov/nuccore/MW686208","NCBI Nucleotide")</f>
        <v>NCBI Nucleotide</v>
      </c>
    </row>
    <row r="5829" spans="1:27" x14ac:dyDescent="0.35">
      <c r="A5829">
        <v>1007318</v>
      </c>
      <c r="B5829">
        <v>5567</v>
      </c>
      <c r="C5829">
        <v>1</v>
      </c>
      <c r="D5829" s="17" t="s">
        <v>10507</v>
      </c>
      <c r="E5829" s="17"/>
      <c r="F5829" s="17" t="s">
        <v>10780</v>
      </c>
      <c r="G5829" s="17"/>
      <c r="H5829" s="17" t="s">
        <v>12908</v>
      </c>
      <c r="I5829" s="17"/>
      <c r="J5829" s="17" t="s">
        <v>12909</v>
      </c>
      <c r="K5829" s="17"/>
      <c r="L5829" s="17" t="s">
        <v>12991</v>
      </c>
      <c r="M5829" s="17"/>
      <c r="N5829" s="17" t="s">
        <v>12992</v>
      </c>
      <c r="O5829" s="17"/>
      <c r="P5829" s="17" t="s">
        <v>12993</v>
      </c>
      <c r="Q5829" s="17"/>
      <c r="R5829" s="25" t="str">
        <f>HYPERLINK("https://ictv.global/taxonomy/taxondetails?taxnode_id=202306567","Circovirus gnaver")</f>
        <v>Circovirus gnaver</v>
      </c>
      <c r="S5829" s="18" t="s">
        <v>30</v>
      </c>
      <c r="T5829" s="18" t="s">
        <v>13030</v>
      </c>
      <c r="U5829" s="18" t="s">
        <v>13052</v>
      </c>
      <c r="V5829" s="18" t="s">
        <v>13053</v>
      </c>
      <c r="W5829" s="18" t="s">
        <v>13054</v>
      </c>
      <c r="X5829" s="18" t="s">
        <v>42</v>
      </c>
      <c r="Y5829" s="18" t="s">
        <v>12266</v>
      </c>
      <c r="Z5829" s="18" t="s">
        <v>166</v>
      </c>
      <c r="AA5829" s="21" t="str">
        <f>HYPERLINK("https://www.ncbi.nlm.nih.gov/nuccore/KY370027","NCBI Nucleotide")</f>
        <v>NCBI Nucleotide</v>
      </c>
    </row>
    <row r="5830" spans="1:27" x14ac:dyDescent="0.35">
      <c r="A5830">
        <v>1007319</v>
      </c>
      <c r="B5830">
        <v>5568</v>
      </c>
      <c r="C5830">
        <v>1</v>
      </c>
      <c r="D5830" s="17" t="s">
        <v>10507</v>
      </c>
      <c r="E5830" s="17"/>
      <c r="F5830" s="17" t="s">
        <v>10780</v>
      </c>
      <c r="G5830" s="17"/>
      <c r="H5830" s="17" t="s">
        <v>12908</v>
      </c>
      <c r="I5830" s="17"/>
      <c r="J5830" s="17" t="s">
        <v>12909</v>
      </c>
      <c r="K5830" s="17"/>
      <c r="L5830" s="17" t="s">
        <v>12991</v>
      </c>
      <c r="M5830" s="17"/>
      <c r="N5830" s="17" t="s">
        <v>12992</v>
      </c>
      <c r="O5830" s="17"/>
      <c r="P5830" s="17" t="s">
        <v>12993</v>
      </c>
      <c r="Q5830" s="17"/>
      <c r="R5830" s="25" t="str">
        <f>HYPERLINK("https://ictv.global/taxonomy/taxondetails?taxnode_id=202302919","Circovirus goose")</f>
        <v>Circovirus goose</v>
      </c>
      <c r="S5830" s="18" t="s">
        <v>30</v>
      </c>
      <c r="T5830" s="18" t="s">
        <v>13055</v>
      </c>
      <c r="U5830" s="18" t="s">
        <v>13056</v>
      </c>
      <c r="V5830" s="18"/>
      <c r="W5830" s="18" t="s">
        <v>13057</v>
      </c>
      <c r="X5830" s="18" t="s">
        <v>42</v>
      </c>
      <c r="Y5830" s="18" t="s">
        <v>12266</v>
      </c>
      <c r="Z5830" s="18" t="s">
        <v>166</v>
      </c>
      <c r="AA5830" s="21" t="str">
        <f>HYPERLINK("https://www.ncbi.nlm.nih.gov/nuccore/AJ304456","NCBI Nucleotide")</f>
        <v>NCBI Nucleotide</v>
      </c>
    </row>
    <row r="5831" spans="1:27" x14ac:dyDescent="0.35">
      <c r="A5831">
        <v>1007320</v>
      </c>
      <c r="B5831">
        <v>5569</v>
      </c>
      <c r="C5831">
        <v>1</v>
      </c>
      <c r="D5831" s="17" t="s">
        <v>10507</v>
      </c>
      <c r="E5831" s="17"/>
      <c r="F5831" s="17" t="s">
        <v>10780</v>
      </c>
      <c r="G5831" s="17"/>
      <c r="H5831" s="17" t="s">
        <v>12908</v>
      </c>
      <c r="I5831" s="17"/>
      <c r="J5831" s="17" t="s">
        <v>12909</v>
      </c>
      <c r="K5831" s="17"/>
      <c r="L5831" s="17" t="s">
        <v>12991</v>
      </c>
      <c r="M5831" s="17"/>
      <c r="N5831" s="17" t="s">
        <v>12992</v>
      </c>
      <c r="O5831" s="17"/>
      <c r="P5831" s="17" t="s">
        <v>12993</v>
      </c>
      <c r="Q5831" s="17"/>
      <c r="R5831" s="25" t="str">
        <f>HYPERLINK("https://ictv.global/taxonomy/taxondetails?taxnode_id=202308678","Circovirus gryzon")</f>
        <v>Circovirus gryzon</v>
      </c>
      <c r="S5831" s="18" t="s">
        <v>30</v>
      </c>
      <c r="T5831" s="18" t="s">
        <v>13058</v>
      </c>
      <c r="U5831" s="18" t="s">
        <v>13059</v>
      </c>
      <c r="V5831" s="18" t="s">
        <v>13060</v>
      </c>
      <c r="W5831" s="18" t="s">
        <v>13061</v>
      </c>
      <c r="X5831" s="18" t="s">
        <v>42</v>
      </c>
      <c r="Y5831" s="18" t="s">
        <v>12266</v>
      </c>
      <c r="Z5831" s="18" t="s">
        <v>166</v>
      </c>
      <c r="AA5831" s="21" t="str">
        <f>HYPERLINK("https://www.ncbi.nlm.nih.gov/nuccore/MF497827","NCBI Nucleotide")</f>
        <v>NCBI Nucleotide</v>
      </c>
    </row>
    <row r="5832" spans="1:27" x14ac:dyDescent="0.35">
      <c r="A5832">
        <v>1007321</v>
      </c>
      <c r="B5832">
        <v>5570</v>
      </c>
      <c r="C5832">
        <v>1</v>
      </c>
      <c r="D5832" s="17" t="s">
        <v>10507</v>
      </c>
      <c r="E5832" s="17"/>
      <c r="F5832" s="17" t="s">
        <v>10780</v>
      </c>
      <c r="G5832" s="17"/>
      <c r="H5832" s="17" t="s">
        <v>12908</v>
      </c>
      <c r="I5832" s="17"/>
      <c r="J5832" s="17" t="s">
        <v>12909</v>
      </c>
      <c r="K5832" s="17"/>
      <c r="L5832" s="17" t="s">
        <v>12991</v>
      </c>
      <c r="M5832" s="17"/>
      <c r="N5832" s="17" t="s">
        <v>12992</v>
      </c>
      <c r="O5832" s="17"/>
      <c r="P5832" s="17" t="s">
        <v>12993</v>
      </c>
      <c r="Q5832" s="17"/>
      <c r="R5832" s="25" t="str">
        <f>HYPERLINK("https://ictv.global/taxonomy/taxondetails?taxnode_id=202302920","Circovirus gull")</f>
        <v>Circovirus gull</v>
      </c>
      <c r="S5832" s="18" t="s">
        <v>30</v>
      </c>
      <c r="T5832" s="18" t="s">
        <v>13062</v>
      </c>
      <c r="U5832" s="18" t="s">
        <v>13063</v>
      </c>
      <c r="V5832" s="18"/>
      <c r="W5832" s="18" t="s">
        <v>13064</v>
      </c>
      <c r="X5832" s="18" t="s">
        <v>42</v>
      </c>
      <c r="Y5832" s="18" t="s">
        <v>12266</v>
      </c>
      <c r="Z5832" s="18" t="s">
        <v>166</v>
      </c>
      <c r="AA5832" s="21" t="str">
        <f>HYPERLINK("https://www.ncbi.nlm.nih.gov/nuccore/DQ845074","NCBI Nucleotide")</f>
        <v>NCBI Nucleotide</v>
      </c>
    </row>
    <row r="5833" spans="1:27" x14ac:dyDescent="0.35">
      <c r="A5833">
        <v>1025336</v>
      </c>
      <c r="B5833">
        <v>5571</v>
      </c>
      <c r="C5833">
        <v>1</v>
      </c>
      <c r="D5833" s="17" t="s">
        <v>10507</v>
      </c>
      <c r="E5833" s="17"/>
      <c r="F5833" s="17" t="s">
        <v>10780</v>
      </c>
      <c r="G5833" s="17"/>
      <c r="H5833" s="17" t="s">
        <v>12908</v>
      </c>
      <c r="I5833" s="17"/>
      <c r="J5833" s="17" t="s">
        <v>12909</v>
      </c>
      <c r="K5833" s="17"/>
      <c r="L5833" s="17" t="s">
        <v>12991</v>
      </c>
      <c r="M5833" s="17"/>
      <c r="N5833" s="17" t="s">
        <v>12992</v>
      </c>
      <c r="O5833" s="17"/>
      <c r="P5833" s="17" t="s">
        <v>12993</v>
      </c>
      <c r="Q5833" s="17"/>
      <c r="R5833" s="25" t="str">
        <f>HYPERLINK("https://ictv.global/taxonomy/taxondetails?taxnode_id=202317777","Circovirus gyurgyalag")</f>
        <v>Circovirus gyurgyalag</v>
      </c>
      <c r="S5833" s="18" t="s">
        <v>30</v>
      </c>
      <c r="T5833" s="18" t="s">
        <v>40147</v>
      </c>
      <c r="U5833" s="18" t="s">
        <v>40148</v>
      </c>
      <c r="V5833" s="18" t="s">
        <v>40149</v>
      </c>
      <c r="W5833" s="18" t="s">
        <v>40150</v>
      </c>
      <c r="X5833" s="18" t="s">
        <v>42</v>
      </c>
      <c r="Y5833" s="18" t="s">
        <v>12266</v>
      </c>
      <c r="Z5833" s="18" t="s">
        <v>166</v>
      </c>
      <c r="AA5833" s="21" t="str">
        <f>HYPERLINK("https://www.ncbi.nlm.nih.gov/nuccore/MZ710935","NCBI Nucleotide")</f>
        <v>NCBI Nucleotide</v>
      </c>
    </row>
    <row r="5834" spans="1:27" x14ac:dyDescent="0.35">
      <c r="A5834">
        <v>1007322</v>
      </c>
      <c r="B5834">
        <v>5572</v>
      </c>
      <c r="C5834">
        <v>1</v>
      </c>
      <c r="D5834" s="17" t="s">
        <v>10507</v>
      </c>
      <c r="E5834" s="17"/>
      <c r="F5834" s="17" t="s">
        <v>10780</v>
      </c>
      <c r="G5834" s="17"/>
      <c r="H5834" s="17" t="s">
        <v>12908</v>
      </c>
      <c r="I5834" s="17"/>
      <c r="J5834" s="17" t="s">
        <v>12909</v>
      </c>
      <c r="K5834" s="17"/>
      <c r="L5834" s="17" t="s">
        <v>12991</v>
      </c>
      <c r="M5834" s="17"/>
      <c r="N5834" s="17" t="s">
        <v>12992</v>
      </c>
      <c r="O5834" s="17"/>
      <c r="P5834" s="17" t="s">
        <v>12993</v>
      </c>
      <c r="Q5834" s="17"/>
      <c r="R5834" s="25" t="str">
        <f>HYPERLINK("https://ictv.global/taxonomy/taxondetails?taxnode_id=202314088","Circovirus hirat")</f>
        <v>Circovirus hirat</v>
      </c>
      <c r="S5834" s="18" t="s">
        <v>30</v>
      </c>
      <c r="T5834" s="18" t="s">
        <v>13065</v>
      </c>
      <c r="U5834" s="18" t="s">
        <v>13066</v>
      </c>
      <c r="V5834" s="18" t="s">
        <v>13067</v>
      </c>
      <c r="W5834" s="18" t="s">
        <v>13068</v>
      </c>
      <c r="X5834" s="18" t="s">
        <v>42</v>
      </c>
      <c r="Y5834" s="18" t="s">
        <v>12266</v>
      </c>
      <c r="Z5834" s="18" t="s">
        <v>166</v>
      </c>
      <c r="AA5834" s="21" t="str">
        <f>HYPERLINK("https://www.ncbi.nlm.nih.gov/nuccore/OM869597","NCBI Nucleotide")</f>
        <v>NCBI Nucleotide</v>
      </c>
    </row>
    <row r="5835" spans="1:27" x14ac:dyDescent="0.35">
      <c r="A5835">
        <v>1025337</v>
      </c>
      <c r="B5835">
        <v>5573</v>
      </c>
      <c r="C5835">
        <v>1</v>
      </c>
      <c r="D5835" s="17" t="s">
        <v>10507</v>
      </c>
      <c r="E5835" s="17"/>
      <c r="F5835" s="17" t="s">
        <v>10780</v>
      </c>
      <c r="G5835" s="17"/>
      <c r="H5835" s="17" t="s">
        <v>12908</v>
      </c>
      <c r="I5835" s="17"/>
      <c r="J5835" s="17" t="s">
        <v>12909</v>
      </c>
      <c r="K5835" s="17"/>
      <c r="L5835" s="17" t="s">
        <v>12991</v>
      </c>
      <c r="M5835" s="17"/>
      <c r="N5835" s="17" t="s">
        <v>12992</v>
      </c>
      <c r="O5835" s="17"/>
      <c r="P5835" s="17" t="s">
        <v>12993</v>
      </c>
      <c r="Q5835" s="17"/>
      <c r="R5835" s="25" t="str">
        <f>HYPERLINK("https://ictv.global/taxonomy/taxondetails?taxnode_id=202317748","Circovirus human")</f>
        <v>Circovirus human</v>
      </c>
      <c r="S5835" s="18" t="s">
        <v>30</v>
      </c>
      <c r="T5835" s="18" t="s">
        <v>40151</v>
      </c>
      <c r="U5835" s="18" t="s">
        <v>40152</v>
      </c>
      <c r="V5835" s="18" t="s">
        <v>40153</v>
      </c>
      <c r="W5835" s="18" t="s">
        <v>40154</v>
      </c>
      <c r="X5835" s="18" t="s">
        <v>42</v>
      </c>
      <c r="Y5835" s="18" t="s">
        <v>12266</v>
      </c>
      <c r="Z5835" s="18" t="s">
        <v>166</v>
      </c>
      <c r="AA5835" s="21" t="str">
        <f>HYPERLINK("https://www.ncbi.nlm.nih.gov/nuccore/ON677309","NCBI Nucleotide")</f>
        <v>NCBI Nucleotide</v>
      </c>
    </row>
    <row r="5836" spans="1:27" x14ac:dyDescent="0.35">
      <c r="A5836">
        <v>1007323</v>
      </c>
      <c r="B5836">
        <v>5574</v>
      </c>
      <c r="C5836">
        <v>1</v>
      </c>
      <c r="D5836" s="17" t="s">
        <v>10507</v>
      </c>
      <c r="E5836" s="17"/>
      <c r="F5836" s="17" t="s">
        <v>10780</v>
      </c>
      <c r="G5836" s="17"/>
      <c r="H5836" s="17" t="s">
        <v>12908</v>
      </c>
      <c r="I5836" s="17"/>
      <c r="J5836" s="17" t="s">
        <v>12909</v>
      </c>
      <c r="K5836" s="17"/>
      <c r="L5836" s="17" t="s">
        <v>12991</v>
      </c>
      <c r="M5836" s="17"/>
      <c r="N5836" s="17" t="s">
        <v>12992</v>
      </c>
      <c r="O5836" s="17"/>
      <c r="P5836" s="17" t="s">
        <v>12993</v>
      </c>
      <c r="Q5836" s="17"/>
      <c r="R5836" s="25" t="str">
        <f>HYPERLINK("https://ictv.global/taxonomy/taxondetails?taxnode_id=202306561","Circovirus ialtag")</f>
        <v>Circovirus ialtag</v>
      </c>
      <c r="S5836" s="18" t="s">
        <v>30</v>
      </c>
      <c r="T5836" s="18" t="s">
        <v>13022</v>
      </c>
      <c r="U5836" s="18" t="s">
        <v>13069</v>
      </c>
      <c r="V5836" s="18" t="s">
        <v>13070</v>
      </c>
      <c r="W5836" s="18" t="s">
        <v>13071</v>
      </c>
      <c r="X5836" s="18" t="s">
        <v>42</v>
      </c>
      <c r="Y5836" s="18" t="s">
        <v>12266</v>
      </c>
      <c r="Z5836" s="18" t="s">
        <v>166</v>
      </c>
      <c r="AA5836" s="21" t="str">
        <f>HYPERLINK("https://www.ncbi.nlm.nih.gov/nuccore/KX756986","NCBI Nucleotide")</f>
        <v>NCBI Nucleotide</v>
      </c>
    </row>
    <row r="5837" spans="1:27" x14ac:dyDescent="0.35">
      <c r="A5837">
        <v>1007324</v>
      </c>
      <c r="B5837">
        <v>5575</v>
      </c>
      <c r="C5837">
        <v>1</v>
      </c>
      <c r="D5837" s="17" t="s">
        <v>10507</v>
      </c>
      <c r="E5837" s="17"/>
      <c r="F5837" s="17" t="s">
        <v>10780</v>
      </c>
      <c r="G5837" s="17"/>
      <c r="H5837" s="17" t="s">
        <v>12908</v>
      </c>
      <c r="I5837" s="17"/>
      <c r="J5837" s="17" t="s">
        <v>12909</v>
      </c>
      <c r="K5837" s="17"/>
      <c r="L5837" s="17" t="s">
        <v>12991</v>
      </c>
      <c r="M5837" s="17"/>
      <c r="N5837" s="17" t="s">
        <v>12992</v>
      </c>
      <c r="O5837" s="17"/>
      <c r="P5837" s="17" t="s">
        <v>12993</v>
      </c>
      <c r="Q5837" s="17"/>
      <c r="R5837" s="25" t="str">
        <f>HYPERLINK("https://ictv.global/taxonomy/taxondetails?taxnode_id=202302915","Circovirus impundu")</f>
        <v>Circovirus impundu</v>
      </c>
      <c r="S5837" s="18" t="s">
        <v>30</v>
      </c>
      <c r="T5837" s="18" t="s">
        <v>13072</v>
      </c>
      <c r="U5837" s="18" t="s">
        <v>13073</v>
      </c>
      <c r="V5837" s="18" t="s">
        <v>13074</v>
      </c>
      <c r="W5837" s="18" t="s">
        <v>13075</v>
      </c>
      <c r="X5837" s="18" t="s">
        <v>42</v>
      </c>
      <c r="Y5837" s="18" t="s">
        <v>12266</v>
      </c>
      <c r="Z5837" s="18" t="s">
        <v>166</v>
      </c>
      <c r="AA5837" s="21" t="str">
        <f>HYPERLINK("https://www.ncbi.nlm.nih.gov/nuccore/GQ404851","NCBI Nucleotide")</f>
        <v>NCBI Nucleotide</v>
      </c>
    </row>
    <row r="5838" spans="1:27" x14ac:dyDescent="0.35">
      <c r="A5838">
        <v>1007325</v>
      </c>
      <c r="B5838">
        <v>5576</v>
      </c>
      <c r="C5838">
        <v>1</v>
      </c>
      <c r="D5838" s="17" t="s">
        <v>10507</v>
      </c>
      <c r="E5838" s="17"/>
      <c r="F5838" s="17" t="s">
        <v>10780</v>
      </c>
      <c r="G5838" s="17"/>
      <c r="H5838" s="17" t="s">
        <v>12908</v>
      </c>
      <c r="I5838" s="17"/>
      <c r="J5838" s="17" t="s">
        <v>12909</v>
      </c>
      <c r="K5838" s="17"/>
      <c r="L5838" s="17" t="s">
        <v>12991</v>
      </c>
      <c r="M5838" s="17"/>
      <c r="N5838" s="17" t="s">
        <v>12992</v>
      </c>
      <c r="O5838" s="17"/>
      <c r="P5838" s="17" t="s">
        <v>12993</v>
      </c>
      <c r="Q5838" s="17"/>
      <c r="R5838" s="25" t="str">
        <f>HYPERLINK("https://ictv.global/taxonomy/taxondetails?taxnode_id=202305767","Circovirus kelawar")</f>
        <v>Circovirus kelawar</v>
      </c>
      <c r="S5838" s="18" t="s">
        <v>30</v>
      </c>
      <c r="T5838" s="18" t="s">
        <v>13076</v>
      </c>
      <c r="U5838" s="18" t="s">
        <v>13077</v>
      </c>
      <c r="V5838" s="18" t="s">
        <v>13078</v>
      </c>
      <c r="W5838" s="18" t="s">
        <v>13079</v>
      </c>
      <c r="X5838" s="18" t="s">
        <v>42</v>
      </c>
      <c r="Y5838" s="18" t="s">
        <v>12266</v>
      </c>
      <c r="Z5838" s="18" t="s">
        <v>166</v>
      </c>
      <c r="AA5838" s="21" t="str">
        <f>HYPERLINK("https://www.ncbi.nlm.nih.gov/nuccore/KJ641741","NCBI Nucleotide")</f>
        <v>NCBI Nucleotide</v>
      </c>
    </row>
    <row r="5839" spans="1:27" x14ac:dyDescent="0.35">
      <c r="A5839">
        <v>1007326</v>
      </c>
      <c r="B5839">
        <v>5577</v>
      </c>
      <c r="C5839">
        <v>1</v>
      </c>
      <c r="D5839" s="17" t="s">
        <v>10507</v>
      </c>
      <c r="E5839" s="17"/>
      <c r="F5839" s="17" t="s">
        <v>10780</v>
      </c>
      <c r="G5839" s="17"/>
      <c r="H5839" s="17" t="s">
        <v>12908</v>
      </c>
      <c r="I5839" s="17"/>
      <c r="J5839" s="17" t="s">
        <v>12909</v>
      </c>
      <c r="K5839" s="17"/>
      <c r="L5839" s="17" t="s">
        <v>12991</v>
      </c>
      <c r="M5839" s="17"/>
      <c r="N5839" s="17" t="s">
        <v>12992</v>
      </c>
      <c r="O5839" s="17"/>
      <c r="P5839" s="17" t="s">
        <v>12993</v>
      </c>
      <c r="Q5839" s="17"/>
      <c r="R5839" s="25" t="str">
        <f>HYPERLINK("https://ictv.global/taxonomy/taxondetails?taxnode_id=202306564","Circovirus kiore")</f>
        <v>Circovirus kiore</v>
      </c>
      <c r="S5839" s="18" t="s">
        <v>30</v>
      </c>
      <c r="T5839" s="18" t="s">
        <v>13030</v>
      </c>
      <c r="U5839" s="18" t="s">
        <v>13080</v>
      </c>
      <c r="V5839" s="18" t="s">
        <v>13081</v>
      </c>
      <c r="W5839" s="18" t="s">
        <v>13082</v>
      </c>
      <c r="X5839" s="18" t="s">
        <v>42</v>
      </c>
      <c r="Y5839" s="18" t="s">
        <v>12266</v>
      </c>
      <c r="Z5839" s="18" t="s">
        <v>166</v>
      </c>
      <c r="AA5839" s="21" t="str">
        <f>HYPERLINK("https://www.ncbi.nlm.nih.gov/nuccore/KY370042","NCBI Nucleotide")</f>
        <v>NCBI Nucleotide</v>
      </c>
    </row>
    <row r="5840" spans="1:27" x14ac:dyDescent="0.35">
      <c r="A5840">
        <v>1025338</v>
      </c>
      <c r="B5840">
        <v>5578</v>
      </c>
      <c r="C5840">
        <v>1</v>
      </c>
      <c r="D5840" s="17" t="s">
        <v>10507</v>
      </c>
      <c r="E5840" s="17"/>
      <c r="F5840" s="17" t="s">
        <v>10780</v>
      </c>
      <c r="G5840" s="17"/>
      <c r="H5840" s="17" t="s">
        <v>12908</v>
      </c>
      <c r="I5840" s="17"/>
      <c r="J5840" s="17" t="s">
        <v>12909</v>
      </c>
      <c r="K5840" s="17"/>
      <c r="L5840" s="17" t="s">
        <v>12991</v>
      </c>
      <c r="M5840" s="17"/>
      <c r="N5840" s="17" t="s">
        <v>12992</v>
      </c>
      <c r="O5840" s="17"/>
      <c r="P5840" s="17" t="s">
        <v>12993</v>
      </c>
      <c r="Q5840" s="17"/>
      <c r="R5840" s="25" t="str">
        <f>HYPERLINK("https://ictv.global/taxonomy/taxondetails?taxnode_id=202317746","Circovirus kukwuria")</f>
        <v>Circovirus kukwuria</v>
      </c>
      <c r="S5840" s="18" t="s">
        <v>30</v>
      </c>
      <c r="T5840" s="18" t="s">
        <v>40155</v>
      </c>
      <c r="U5840" s="18" t="s">
        <v>40156</v>
      </c>
      <c r="V5840" s="18" t="s">
        <v>40157</v>
      </c>
      <c r="W5840" s="18" t="s">
        <v>40158</v>
      </c>
      <c r="X5840" s="18" t="s">
        <v>42</v>
      </c>
      <c r="Y5840" s="18" t="s">
        <v>12266</v>
      </c>
      <c r="Z5840" s="18" t="s">
        <v>166</v>
      </c>
      <c r="AA5840" s="21" t="str">
        <f>HYPERLINK("https://www.ncbi.nlm.nih.gov/nuccore/OQ599922","NCBI Nucleotide")</f>
        <v>NCBI Nucleotide</v>
      </c>
    </row>
    <row r="5841" spans="1:27" x14ac:dyDescent="0.35">
      <c r="A5841">
        <v>1007327</v>
      </c>
      <c r="B5841">
        <v>5579</v>
      </c>
      <c r="C5841">
        <v>1</v>
      </c>
      <c r="D5841" s="17" t="s">
        <v>10507</v>
      </c>
      <c r="E5841" s="17"/>
      <c r="F5841" s="17" t="s">
        <v>10780</v>
      </c>
      <c r="G5841" s="17"/>
      <c r="H5841" s="17" t="s">
        <v>12908</v>
      </c>
      <c r="I5841" s="17"/>
      <c r="J5841" s="17" t="s">
        <v>12909</v>
      </c>
      <c r="K5841" s="17"/>
      <c r="L5841" s="17" t="s">
        <v>12991</v>
      </c>
      <c r="M5841" s="17"/>
      <c r="N5841" s="17" t="s">
        <v>12992</v>
      </c>
      <c r="O5841" s="17"/>
      <c r="P5841" s="17" t="s">
        <v>12993</v>
      </c>
      <c r="Q5841" s="17"/>
      <c r="R5841" s="25" t="str">
        <f>HYPERLINK("https://ictv.global/taxonomy/taxondetails?taxnode_id=202302910","Circovirus lepakko")</f>
        <v>Circovirus lepakko</v>
      </c>
      <c r="S5841" s="18" t="s">
        <v>30</v>
      </c>
      <c r="T5841" s="18" t="s">
        <v>13083</v>
      </c>
      <c r="U5841" s="18" t="s">
        <v>13084</v>
      </c>
      <c r="V5841" s="18" t="s">
        <v>13085</v>
      </c>
      <c r="W5841" s="18" t="s">
        <v>13086</v>
      </c>
      <c r="X5841" s="18" t="s">
        <v>42</v>
      </c>
      <c r="Y5841" s="18" t="s">
        <v>12266</v>
      </c>
      <c r="Z5841" s="18" t="s">
        <v>166</v>
      </c>
      <c r="AA5841" s="21" t="str">
        <f>HYPERLINK("https://www.ncbi.nlm.nih.gov/nuccore/KJ641723","NCBI Nucleotide")</f>
        <v>NCBI Nucleotide</v>
      </c>
    </row>
    <row r="5842" spans="1:27" x14ac:dyDescent="0.35">
      <c r="A5842">
        <v>1007328</v>
      </c>
      <c r="B5842">
        <v>5580</v>
      </c>
      <c r="C5842">
        <v>1</v>
      </c>
      <c r="D5842" s="17" t="s">
        <v>10507</v>
      </c>
      <c r="E5842" s="17"/>
      <c r="F5842" s="17" t="s">
        <v>10780</v>
      </c>
      <c r="G5842" s="17"/>
      <c r="H5842" s="17" t="s">
        <v>12908</v>
      </c>
      <c r="I5842" s="17"/>
      <c r="J5842" s="17" t="s">
        <v>12909</v>
      </c>
      <c r="K5842" s="17"/>
      <c r="L5842" s="17" t="s">
        <v>12991</v>
      </c>
      <c r="M5842" s="17"/>
      <c r="N5842" s="17" t="s">
        <v>12992</v>
      </c>
      <c r="O5842" s="17"/>
      <c r="P5842" s="17" t="s">
        <v>12993</v>
      </c>
      <c r="Q5842" s="17"/>
      <c r="R5842" s="25" t="str">
        <f>HYPERLINK("https://ictv.global/taxonomy/taxondetails?taxnode_id=202314083","Circovirus lin")</f>
        <v>Circovirus lin</v>
      </c>
      <c r="S5842" s="18" t="s">
        <v>30</v>
      </c>
      <c r="T5842" s="18" t="s">
        <v>13087</v>
      </c>
      <c r="U5842" s="18" t="s">
        <v>13088</v>
      </c>
      <c r="V5842" s="18" t="s">
        <v>13089</v>
      </c>
      <c r="W5842" s="18" t="s">
        <v>13090</v>
      </c>
      <c r="X5842" s="18" t="s">
        <v>42</v>
      </c>
      <c r="Y5842" s="18" t="s">
        <v>12266</v>
      </c>
      <c r="Z5842" s="18" t="s">
        <v>166</v>
      </c>
      <c r="AA5842" s="21" t="str">
        <f>HYPERLINK("https://www.ncbi.nlm.nih.gov/nuccore/MW881235","NCBI Nucleotide")</f>
        <v>NCBI Nucleotide</v>
      </c>
    </row>
    <row r="5843" spans="1:27" x14ac:dyDescent="0.35">
      <c r="A5843">
        <v>1007329</v>
      </c>
      <c r="B5843">
        <v>5581</v>
      </c>
      <c r="C5843">
        <v>1</v>
      </c>
      <c r="D5843" s="17" t="s">
        <v>10507</v>
      </c>
      <c r="E5843" s="17"/>
      <c r="F5843" s="17" t="s">
        <v>10780</v>
      </c>
      <c r="G5843" s="17"/>
      <c r="H5843" s="17" t="s">
        <v>12908</v>
      </c>
      <c r="I5843" s="17"/>
      <c r="J5843" s="17" t="s">
        <v>12909</v>
      </c>
      <c r="K5843" s="17"/>
      <c r="L5843" s="17" t="s">
        <v>12991</v>
      </c>
      <c r="M5843" s="17"/>
      <c r="N5843" s="17" t="s">
        <v>12992</v>
      </c>
      <c r="O5843" s="17"/>
      <c r="P5843" s="17" t="s">
        <v>12993</v>
      </c>
      <c r="Q5843" s="17"/>
      <c r="R5843" s="25" t="str">
        <f>HYPERLINK("https://ictv.global/taxonomy/taxondetails?taxnode_id=202314084","Circovirus magu")</f>
        <v>Circovirus magu</v>
      </c>
      <c r="S5843" s="18" t="s">
        <v>30</v>
      </c>
      <c r="T5843" s="18" t="s">
        <v>50391</v>
      </c>
      <c r="U5843" s="18" t="s">
        <v>13091</v>
      </c>
      <c r="V5843" s="18" t="s">
        <v>13092</v>
      </c>
      <c r="W5843" s="18" t="s">
        <v>13093</v>
      </c>
      <c r="X5843" s="18" t="s">
        <v>42</v>
      </c>
      <c r="Y5843" s="18" t="s">
        <v>12266</v>
      </c>
      <c r="Z5843" s="18" t="s">
        <v>166</v>
      </c>
      <c r="AA5843" s="21" t="str">
        <f>HYPERLINK("https://www.ncbi.nlm.nih.gov/nuccore/MZ382570","NCBI Nucleotide")</f>
        <v>NCBI Nucleotide</v>
      </c>
    </row>
    <row r="5844" spans="1:27" x14ac:dyDescent="0.35">
      <c r="A5844">
        <v>1007330</v>
      </c>
      <c r="B5844">
        <v>5582</v>
      </c>
      <c r="C5844">
        <v>1</v>
      </c>
      <c r="D5844" s="17" t="s">
        <v>10507</v>
      </c>
      <c r="E5844" s="17"/>
      <c r="F5844" s="17" t="s">
        <v>10780</v>
      </c>
      <c r="G5844" s="17"/>
      <c r="H5844" s="17" t="s">
        <v>12908</v>
      </c>
      <c r="I5844" s="17"/>
      <c r="J5844" s="17" t="s">
        <v>12909</v>
      </c>
      <c r="K5844" s="17"/>
      <c r="L5844" s="17" t="s">
        <v>12991</v>
      </c>
      <c r="M5844" s="17"/>
      <c r="N5844" s="17" t="s">
        <v>12992</v>
      </c>
      <c r="O5844" s="17"/>
      <c r="P5844" s="17" t="s">
        <v>12993</v>
      </c>
      <c r="Q5844" s="17"/>
      <c r="R5844" s="25" t="str">
        <f>HYPERLINK("https://ictv.global/taxonomy/taxondetails?taxnode_id=202302922","Circovirus mink")</f>
        <v>Circovirus mink</v>
      </c>
      <c r="S5844" s="18" t="s">
        <v>30</v>
      </c>
      <c r="T5844" s="18" t="s">
        <v>13094</v>
      </c>
      <c r="U5844" s="18" t="s">
        <v>13095</v>
      </c>
      <c r="V5844" s="18" t="s">
        <v>13096</v>
      </c>
      <c r="W5844" s="18" t="s">
        <v>13097</v>
      </c>
      <c r="X5844" s="18" t="s">
        <v>42</v>
      </c>
      <c r="Y5844" s="18" t="s">
        <v>12266</v>
      </c>
      <c r="Z5844" s="18" t="s">
        <v>166</v>
      </c>
      <c r="AA5844" s="21" t="str">
        <f>HYPERLINK("https://www.ncbi.nlm.nih.gov/nuccore/KJ020099","NCBI Nucleotide")</f>
        <v>NCBI Nucleotide</v>
      </c>
    </row>
    <row r="5845" spans="1:27" x14ac:dyDescent="0.35">
      <c r="A5845">
        <v>1007331</v>
      </c>
      <c r="B5845">
        <v>5583</v>
      </c>
      <c r="C5845">
        <v>1</v>
      </c>
      <c r="D5845" s="17" t="s">
        <v>10507</v>
      </c>
      <c r="E5845" s="17"/>
      <c r="F5845" s="17" t="s">
        <v>10780</v>
      </c>
      <c r="G5845" s="17"/>
      <c r="H5845" s="17" t="s">
        <v>12908</v>
      </c>
      <c r="I5845" s="17"/>
      <c r="J5845" s="17" t="s">
        <v>12909</v>
      </c>
      <c r="K5845" s="17"/>
      <c r="L5845" s="17" t="s">
        <v>12991</v>
      </c>
      <c r="M5845" s="17"/>
      <c r="N5845" s="17" t="s">
        <v>12992</v>
      </c>
      <c r="O5845" s="17"/>
      <c r="P5845" s="17" t="s">
        <v>12993</v>
      </c>
      <c r="Q5845" s="17"/>
      <c r="R5845" s="25" t="str">
        <f>HYPERLINK("https://ictv.global/taxonomy/taxondetails?taxnode_id=202314080","Circovirus miztli")</f>
        <v>Circovirus miztli</v>
      </c>
      <c r="S5845" s="18" t="s">
        <v>30</v>
      </c>
      <c r="T5845" s="18" t="s">
        <v>13098</v>
      </c>
      <c r="U5845" s="18" t="s">
        <v>13099</v>
      </c>
      <c r="V5845" s="18" t="s">
        <v>13100</v>
      </c>
      <c r="W5845" s="18" t="s">
        <v>13101</v>
      </c>
      <c r="X5845" s="18" t="s">
        <v>42</v>
      </c>
      <c r="Y5845" s="18" t="s">
        <v>12266</v>
      </c>
      <c r="Z5845" s="18" t="s">
        <v>166</v>
      </c>
      <c r="AA5845" s="21" t="str">
        <f>HYPERLINK("https://www.ncbi.nlm.nih.gov/nuccore/MT610105","NCBI Nucleotide")</f>
        <v>NCBI Nucleotide</v>
      </c>
    </row>
    <row r="5846" spans="1:27" x14ac:dyDescent="0.35">
      <c r="A5846">
        <v>1007332</v>
      </c>
      <c r="B5846">
        <v>5584</v>
      </c>
      <c r="C5846">
        <v>1</v>
      </c>
      <c r="D5846" s="17" t="s">
        <v>10507</v>
      </c>
      <c r="E5846" s="17"/>
      <c r="F5846" s="17" t="s">
        <v>10780</v>
      </c>
      <c r="G5846" s="17"/>
      <c r="H5846" s="17" t="s">
        <v>12908</v>
      </c>
      <c r="I5846" s="17"/>
      <c r="J5846" s="17" t="s">
        <v>12909</v>
      </c>
      <c r="K5846" s="17"/>
      <c r="L5846" s="17" t="s">
        <v>12991</v>
      </c>
      <c r="M5846" s="17"/>
      <c r="N5846" s="17" t="s">
        <v>12992</v>
      </c>
      <c r="O5846" s="17"/>
      <c r="P5846" s="17" t="s">
        <v>12993</v>
      </c>
      <c r="Q5846" s="17"/>
      <c r="R5846" s="25" t="str">
        <f>HYPERLINK("https://ictv.global/taxonomy/taxondetails?taxnode_id=202314081","Circovirus miztontli")</f>
        <v>Circovirus miztontli</v>
      </c>
      <c r="S5846" s="18" t="s">
        <v>30</v>
      </c>
      <c r="T5846" s="18" t="s">
        <v>13102</v>
      </c>
      <c r="U5846" s="18" t="s">
        <v>13103</v>
      </c>
      <c r="V5846" s="18" t="s">
        <v>13104</v>
      </c>
      <c r="W5846" s="18" t="s">
        <v>13105</v>
      </c>
      <c r="X5846" s="18" t="s">
        <v>42</v>
      </c>
      <c r="Y5846" s="18" t="s">
        <v>12266</v>
      </c>
      <c r="Z5846" s="18" t="s">
        <v>166</v>
      </c>
      <c r="AA5846" s="21" t="str">
        <f>HYPERLINK("https://www.ncbi.nlm.nih.gov/nuccore/MT610106","NCBI Nucleotide")</f>
        <v>NCBI Nucleotide</v>
      </c>
    </row>
    <row r="5847" spans="1:27" x14ac:dyDescent="0.35">
      <c r="A5847">
        <v>1007333</v>
      </c>
      <c r="B5847">
        <v>5585</v>
      </c>
      <c r="C5847">
        <v>1</v>
      </c>
      <c r="D5847" s="17" t="s">
        <v>10507</v>
      </c>
      <c r="E5847" s="17"/>
      <c r="F5847" s="17" t="s">
        <v>10780</v>
      </c>
      <c r="G5847" s="17"/>
      <c r="H5847" s="17" t="s">
        <v>12908</v>
      </c>
      <c r="I5847" s="17"/>
      <c r="J5847" s="17" t="s">
        <v>12909</v>
      </c>
      <c r="K5847" s="17"/>
      <c r="L5847" s="17" t="s">
        <v>12991</v>
      </c>
      <c r="M5847" s="17"/>
      <c r="N5847" s="17" t="s">
        <v>12992</v>
      </c>
      <c r="O5847" s="17"/>
      <c r="P5847" s="17" t="s">
        <v>12993</v>
      </c>
      <c r="Q5847" s="17"/>
      <c r="R5847" s="25" t="str">
        <f>HYPERLINK("https://ictv.global/taxonomy/taxondetails?taxnode_id=202302911","Circovirus morcego")</f>
        <v>Circovirus morcego</v>
      </c>
      <c r="S5847" s="18" t="s">
        <v>30</v>
      </c>
      <c r="T5847" s="18" t="s">
        <v>13106</v>
      </c>
      <c r="U5847" s="18" t="s">
        <v>13107</v>
      </c>
      <c r="V5847" s="18" t="s">
        <v>13108</v>
      </c>
      <c r="W5847" s="18" t="s">
        <v>13109</v>
      </c>
      <c r="X5847" s="18" t="s">
        <v>42</v>
      </c>
      <c r="Y5847" s="18" t="s">
        <v>12266</v>
      </c>
      <c r="Z5847" s="18" t="s">
        <v>166</v>
      </c>
      <c r="AA5847" s="21" t="str">
        <f>HYPERLINK("https://www.ncbi.nlm.nih.gov/nuccore/KJ641711","NCBI Nucleotide")</f>
        <v>NCBI Nucleotide</v>
      </c>
    </row>
    <row r="5848" spans="1:27" x14ac:dyDescent="0.35">
      <c r="A5848">
        <v>1007334</v>
      </c>
      <c r="B5848">
        <v>5586</v>
      </c>
      <c r="C5848">
        <v>1</v>
      </c>
      <c r="D5848" s="17" t="s">
        <v>10507</v>
      </c>
      <c r="E5848" s="17"/>
      <c r="F5848" s="17" t="s">
        <v>10780</v>
      </c>
      <c r="G5848" s="17"/>
      <c r="H5848" s="17" t="s">
        <v>12908</v>
      </c>
      <c r="I5848" s="17"/>
      <c r="J5848" s="17" t="s">
        <v>12909</v>
      </c>
      <c r="K5848" s="17"/>
      <c r="L5848" s="17" t="s">
        <v>12991</v>
      </c>
      <c r="M5848" s="17"/>
      <c r="N5848" s="17" t="s">
        <v>12992</v>
      </c>
      <c r="O5848" s="17"/>
      <c r="P5848" s="17" t="s">
        <v>12993</v>
      </c>
      <c r="Q5848" s="17"/>
      <c r="R5848" s="25" t="str">
        <f>HYPERLINK("https://ictv.global/taxonomy/taxondetails?taxnode_id=202308679","Circovirus mossi")</f>
        <v>Circovirus mossi</v>
      </c>
      <c r="S5848" s="18" t="s">
        <v>30</v>
      </c>
      <c r="T5848" s="18" t="s">
        <v>13110</v>
      </c>
      <c r="U5848" s="18" t="s">
        <v>13111</v>
      </c>
      <c r="V5848" s="18" t="s">
        <v>13112</v>
      </c>
      <c r="W5848" s="18" t="s">
        <v>13113</v>
      </c>
      <c r="X5848" s="18" t="s">
        <v>42</v>
      </c>
      <c r="Y5848" s="18" t="s">
        <v>12266</v>
      </c>
      <c r="Z5848" s="18" t="s">
        <v>10790</v>
      </c>
      <c r="AA5848" s="21" t="str">
        <f>HYPERLINK("https://www.ncbi.nlm.nih.gov/nuccore/MH188038","NCBI Nucleotide")</f>
        <v>NCBI Nucleotide</v>
      </c>
    </row>
    <row r="5849" spans="1:27" x14ac:dyDescent="0.35">
      <c r="A5849">
        <v>1007335</v>
      </c>
      <c r="B5849">
        <v>5587</v>
      </c>
      <c r="C5849">
        <v>1</v>
      </c>
      <c r="D5849" s="17" t="s">
        <v>10507</v>
      </c>
      <c r="E5849" s="17"/>
      <c r="F5849" s="17" t="s">
        <v>10780</v>
      </c>
      <c r="G5849" s="17"/>
      <c r="H5849" s="17" t="s">
        <v>12908</v>
      </c>
      <c r="I5849" s="17"/>
      <c r="J5849" s="17" t="s">
        <v>12909</v>
      </c>
      <c r="K5849" s="17"/>
      <c r="L5849" s="17" t="s">
        <v>12991</v>
      </c>
      <c r="M5849" s="17"/>
      <c r="N5849" s="17" t="s">
        <v>12992</v>
      </c>
      <c r="O5849" s="17"/>
      <c r="P5849" s="17" t="s">
        <v>12993</v>
      </c>
      <c r="Q5849" s="17"/>
      <c r="R5849" s="25" t="str">
        <f>HYPERLINK("https://ictv.global/taxonomy/taxondetails?taxnode_id=202314085","Circovirus naaleeli")</f>
        <v>Circovirus naaleeli</v>
      </c>
      <c r="S5849" s="18" t="s">
        <v>30</v>
      </c>
      <c r="T5849" s="18" t="s">
        <v>13114</v>
      </c>
      <c r="U5849" s="18" t="s">
        <v>13115</v>
      </c>
      <c r="V5849" s="18" t="s">
        <v>13116</v>
      </c>
      <c r="W5849" s="18" t="s">
        <v>13117</v>
      </c>
      <c r="X5849" s="18" t="s">
        <v>42</v>
      </c>
      <c r="Y5849" s="18" t="s">
        <v>12266</v>
      </c>
      <c r="Z5849" s="18" t="s">
        <v>166</v>
      </c>
      <c r="AA5849" s="21" t="str">
        <f>HYPERLINK("https://www.ncbi.nlm.nih.gov/nuccore/MZ604582","NCBI Nucleotide")</f>
        <v>NCBI Nucleotide</v>
      </c>
    </row>
    <row r="5850" spans="1:27" x14ac:dyDescent="0.35">
      <c r="A5850">
        <v>1007336</v>
      </c>
      <c r="B5850">
        <v>5588</v>
      </c>
      <c r="C5850">
        <v>1</v>
      </c>
      <c r="D5850" s="17" t="s">
        <v>10507</v>
      </c>
      <c r="E5850" s="17"/>
      <c r="F5850" s="17" t="s">
        <v>10780</v>
      </c>
      <c r="G5850" s="17"/>
      <c r="H5850" s="17" t="s">
        <v>12908</v>
      </c>
      <c r="I5850" s="17"/>
      <c r="J5850" s="17" t="s">
        <v>12909</v>
      </c>
      <c r="K5850" s="17"/>
      <c r="L5850" s="17" t="s">
        <v>12991</v>
      </c>
      <c r="M5850" s="17"/>
      <c r="N5850" s="17" t="s">
        <v>12992</v>
      </c>
      <c r="O5850" s="17"/>
      <c r="P5850" s="17" t="s">
        <v>12993</v>
      </c>
      <c r="Q5850" s="17"/>
      <c r="R5850" s="25" t="str">
        <f>HYPERLINK("https://ictv.global/taxonomy/taxondetails?taxnode_id=202302912","Circovirus parrot")</f>
        <v>Circovirus parrot</v>
      </c>
      <c r="S5850" s="18" t="s">
        <v>30</v>
      </c>
      <c r="T5850" s="18" t="s">
        <v>13118</v>
      </c>
      <c r="U5850" s="18" t="s">
        <v>11188</v>
      </c>
      <c r="V5850" s="18"/>
      <c r="W5850" s="18" t="s">
        <v>13119</v>
      </c>
      <c r="X5850" s="18" t="s">
        <v>42</v>
      </c>
      <c r="Y5850" s="18" t="s">
        <v>12266</v>
      </c>
      <c r="Z5850" s="18" t="s">
        <v>166</v>
      </c>
      <c r="AA5850" s="21" t="str">
        <f>HYPERLINK("https://www.ncbi.nlm.nih.gov/nuccore/AF071878","NCBI Nucleotide")</f>
        <v>NCBI Nucleotide</v>
      </c>
    </row>
    <row r="5851" spans="1:27" x14ac:dyDescent="0.35">
      <c r="A5851">
        <v>1007337</v>
      </c>
      <c r="B5851">
        <v>5589</v>
      </c>
      <c r="C5851">
        <v>1</v>
      </c>
      <c r="D5851" s="17" t="s">
        <v>10507</v>
      </c>
      <c r="E5851" s="17"/>
      <c r="F5851" s="17" t="s">
        <v>10780</v>
      </c>
      <c r="G5851" s="17"/>
      <c r="H5851" s="17" t="s">
        <v>12908</v>
      </c>
      <c r="I5851" s="17"/>
      <c r="J5851" s="17" t="s">
        <v>12909</v>
      </c>
      <c r="K5851" s="17"/>
      <c r="L5851" s="17" t="s">
        <v>12991</v>
      </c>
      <c r="M5851" s="17"/>
      <c r="N5851" s="17" t="s">
        <v>12992</v>
      </c>
      <c r="O5851" s="17"/>
      <c r="P5851" s="17" t="s">
        <v>12993</v>
      </c>
      <c r="Q5851" s="17"/>
      <c r="R5851" s="25" t="str">
        <f>HYPERLINK("https://ictv.global/taxonomy/taxondetails?taxnode_id=202314086","Circovirus pato")</f>
        <v>Circovirus pato</v>
      </c>
      <c r="S5851" s="18" t="s">
        <v>30</v>
      </c>
      <c r="T5851" s="18" t="s">
        <v>13120</v>
      </c>
      <c r="U5851" s="18" t="s">
        <v>13121</v>
      </c>
      <c r="V5851" s="18" t="s">
        <v>13122</v>
      </c>
      <c r="W5851" s="18" t="s">
        <v>13123</v>
      </c>
      <c r="X5851" s="18" t="s">
        <v>42</v>
      </c>
      <c r="Y5851" s="18" t="s">
        <v>12266</v>
      </c>
      <c r="Z5851" s="18" t="s">
        <v>166</v>
      </c>
      <c r="AA5851" s="21" t="str">
        <f>HYPERLINK("https://www.ncbi.nlm.nih.gov/nuccore/MZ604590","NCBI Nucleotide")</f>
        <v>NCBI Nucleotide</v>
      </c>
    </row>
    <row r="5852" spans="1:27" x14ac:dyDescent="0.35">
      <c r="A5852">
        <v>1007338</v>
      </c>
      <c r="B5852">
        <v>5590</v>
      </c>
      <c r="C5852">
        <v>1</v>
      </c>
      <c r="D5852" s="17" t="s">
        <v>10507</v>
      </c>
      <c r="E5852" s="17"/>
      <c r="F5852" s="17" t="s">
        <v>10780</v>
      </c>
      <c r="G5852" s="17"/>
      <c r="H5852" s="17" t="s">
        <v>12908</v>
      </c>
      <c r="I5852" s="17"/>
      <c r="J5852" s="17" t="s">
        <v>12909</v>
      </c>
      <c r="K5852" s="17"/>
      <c r="L5852" s="17" t="s">
        <v>12991</v>
      </c>
      <c r="M5852" s="17"/>
      <c r="N5852" s="17" t="s">
        <v>12992</v>
      </c>
      <c r="O5852" s="17"/>
      <c r="P5852" s="17" t="s">
        <v>12993</v>
      </c>
      <c r="Q5852" s="17"/>
      <c r="R5852" s="25" t="str">
        <f>HYPERLINK("https://ictv.global/taxonomy/taxondetails?taxnode_id=202309256","Circovirus penguin")</f>
        <v>Circovirus penguin</v>
      </c>
      <c r="S5852" s="18" t="s">
        <v>30</v>
      </c>
      <c r="T5852" s="18" t="s">
        <v>13124</v>
      </c>
      <c r="U5852" s="18" t="s">
        <v>13125</v>
      </c>
      <c r="V5852" s="18" t="s">
        <v>13126</v>
      </c>
      <c r="W5852" s="18" t="s">
        <v>13127</v>
      </c>
      <c r="X5852" s="18" t="s">
        <v>42</v>
      </c>
      <c r="Y5852" s="18" t="s">
        <v>12266</v>
      </c>
      <c r="Z5852" s="18" t="s">
        <v>166</v>
      </c>
      <c r="AA5852" s="21" t="str">
        <f>HYPERLINK("https://www.ncbi.nlm.nih.gov/nuccore/MN164703","NCBI Nucleotide")</f>
        <v>NCBI Nucleotide</v>
      </c>
    </row>
    <row r="5853" spans="1:27" x14ac:dyDescent="0.35">
      <c r="A5853">
        <v>1007339</v>
      </c>
      <c r="B5853">
        <v>5591</v>
      </c>
      <c r="C5853">
        <v>1</v>
      </c>
      <c r="D5853" s="17" t="s">
        <v>10507</v>
      </c>
      <c r="E5853" s="17"/>
      <c r="F5853" s="17" t="s">
        <v>10780</v>
      </c>
      <c r="G5853" s="17"/>
      <c r="H5853" s="17" t="s">
        <v>12908</v>
      </c>
      <c r="I5853" s="17"/>
      <c r="J5853" s="17" t="s">
        <v>12909</v>
      </c>
      <c r="K5853" s="17"/>
      <c r="L5853" s="17" t="s">
        <v>12991</v>
      </c>
      <c r="M5853" s="17"/>
      <c r="N5853" s="17" t="s">
        <v>12992</v>
      </c>
      <c r="O5853" s="17"/>
      <c r="P5853" s="17" t="s">
        <v>12993</v>
      </c>
      <c r="Q5853" s="17"/>
      <c r="R5853" s="25" t="str">
        <f>HYPERLINK("https://ictv.global/taxonomy/taxondetails?taxnode_id=202306570","Circovirus pichong")</f>
        <v>Circovirus pichong</v>
      </c>
      <c r="S5853" s="18" t="s">
        <v>30</v>
      </c>
      <c r="T5853" s="18" t="s">
        <v>13128</v>
      </c>
      <c r="U5853" s="18" t="s">
        <v>13129</v>
      </c>
      <c r="V5853" s="18" t="s">
        <v>13130</v>
      </c>
      <c r="W5853" s="18" t="s">
        <v>13131</v>
      </c>
      <c r="X5853" s="18" t="s">
        <v>42</v>
      </c>
      <c r="Y5853" s="18" t="s">
        <v>12266</v>
      </c>
      <c r="Z5853" s="18" t="s">
        <v>10790</v>
      </c>
      <c r="AA5853" s="21" t="str">
        <f>HYPERLINK("https://www.ncbi.nlm.nih.gov/nuccore/KX987146","NCBI Nucleotide")</f>
        <v>NCBI Nucleotide</v>
      </c>
    </row>
    <row r="5854" spans="1:27" x14ac:dyDescent="0.35">
      <c r="A5854">
        <v>1007340</v>
      </c>
      <c r="B5854">
        <v>5592</v>
      </c>
      <c r="C5854">
        <v>1</v>
      </c>
      <c r="D5854" s="17" t="s">
        <v>10507</v>
      </c>
      <c r="E5854" s="17"/>
      <c r="F5854" s="17" t="s">
        <v>10780</v>
      </c>
      <c r="G5854" s="17"/>
      <c r="H5854" s="17" t="s">
        <v>12908</v>
      </c>
      <c r="I5854" s="17"/>
      <c r="J5854" s="17" t="s">
        <v>12909</v>
      </c>
      <c r="K5854" s="17"/>
      <c r="L5854" s="17" t="s">
        <v>12991</v>
      </c>
      <c r="M5854" s="17"/>
      <c r="N5854" s="17" t="s">
        <v>12992</v>
      </c>
      <c r="O5854" s="17"/>
      <c r="P5854" s="17" t="s">
        <v>12993</v>
      </c>
      <c r="Q5854" s="17"/>
      <c r="R5854" s="25" t="str">
        <f>HYPERLINK("https://ictv.global/taxonomy/taxondetails?taxnode_id=202302923","Circovirus pigeon")</f>
        <v>Circovirus pigeon</v>
      </c>
      <c r="S5854" s="18" t="s">
        <v>30</v>
      </c>
      <c r="T5854" s="18" t="s">
        <v>13132</v>
      </c>
      <c r="U5854" s="18" t="s">
        <v>13133</v>
      </c>
      <c r="V5854" s="18"/>
      <c r="W5854" s="18" t="s">
        <v>13134</v>
      </c>
      <c r="X5854" s="18" t="s">
        <v>42</v>
      </c>
      <c r="Y5854" s="18" t="s">
        <v>12266</v>
      </c>
      <c r="Z5854" s="18" t="s">
        <v>166</v>
      </c>
      <c r="AA5854" s="21" t="str">
        <f>HYPERLINK("https://www.ncbi.nlm.nih.gov/nuccore/AF252610","NCBI Nucleotide")</f>
        <v>NCBI Nucleotide</v>
      </c>
    </row>
    <row r="5855" spans="1:27" x14ac:dyDescent="0.35">
      <c r="A5855">
        <v>1007341</v>
      </c>
      <c r="B5855">
        <v>5593</v>
      </c>
      <c r="C5855">
        <v>1</v>
      </c>
      <c r="D5855" s="17" t="s">
        <v>10507</v>
      </c>
      <c r="E5855" s="17"/>
      <c r="F5855" s="17" t="s">
        <v>10780</v>
      </c>
      <c r="G5855" s="17"/>
      <c r="H5855" s="17" t="s">
        <v>12908</v>
      </c>
      <c r="I5855" s="17"/>
      <c r="J5855" s="17" t="s">
        <v>12909</v>
      </c>
      <c r="K5855" s="17"/>
      <c r="L5855" s="17" t="s">
        <v>12991</v>
      </c>
      <c r="M5855" s="17"/>
      <c r="N5855" s="17" t="s">
        <v>12992</v>
      </c>
      <c r="O5855" s="17"/>
      <c r="P5855" s="17" t="s">
        <v>12993</v>
      </c>
      <c r="Q5855" s="17"/>
      <c r="R5855" s="25" t="str">
        <f>HYPERLINK("https://ictv.global/taxonomy/taxondetails?taxnode_id=202309255","Circovirus pipistrello")</f>
        <v>Circovirus pipistrello</v>
      </c>
      <c r="S5855" s="18" t="s">
        <v>30</v>
      </c>
      <c r="T5855" s="18" t="s">
        <v>13022</v>
      </c>
      <c r="U5855" s="18" t="s">
        <v>13135</v>
      </c>
      <c r="V5855" s="18" t="s">
        <v>13136</v>
      </c>
      <c r="W5855" s="18" t="s">
        <v>13137</v>
      </c>
      <c r="X5855" s="18" t="s">
        <v>42</v>
      </c>
      <c r="Y5855" s="18" t="s">
        <v>12266</v>
      </c>
      <c r="Z5855" s="18" t="s">
        <v>166</v>
      </c>
      <c r="AA5855" s="21" t="str">
        <f>HYPERLINK("https://www.ncbi.nlm.nih.gov/nuccore/MN928506","NCBI Nucleotide")</f>
        <v>NCBI Nucleotide</v>
      </c>
    </row>
    <row r="5856" spans="1:27" x14ac:dyDescent="0.35">
      <c r="A5856">
        <v>1007342</v>
      </c>
      <c r="B5856">
        <v>5594</v>
      </c>
      <c r="C5856">
        <v>1</v>
      </c>
      <c r="D5856" s="17" t="s">
        <v>10507</v>
      </c>
      <c r="E5856" s="17"/>
      <c r="F5856" s="17" t="s">
        <v>10780</v>
      </c>
      <c r="G5856" s="17"/>
      <c r="H5856" s="17" t="s">
        <v>12908</v>
      </c>
      <c r="I5856" s="17"/>
      <c r="J5856" s="17" t="s">
        <v>12909</v>
      </c>
      <c r="K5856" s="17"/>
      <c r="L5856" s="17" t="s">
        <v>12991</v>
      </c>
      <c r="M5856" s="17"/>
      <c r="N5856" s="17" t="s">
        <v>12992</v>
      </c>
      <c r="O5856" s="17"/>
      <c r="P5856" s="17" t="s">
        <v>12993</v>
      </c>
      <c r="Q5856" s="17"/>
      <c r="R5856" s="25" t="str">
        <f>HYPERLINK("https://ictv.global/taxonomy/taxondetails?taxnode_id=202302924","Circovirus porcine1")</f>
        <v>Circovirus porcine1</v>
      </c>
      <c r="S5856" s="18" t="s">
        <v>30</v>
      </c>
      <c r="T5856" s="18" t="s">
        <v>13138</v>
      </c>
      <c r="U5856" s="18" t="s">
        <v>13139</v>
      </c>
      <c r="V5856" s="18"/>
      <c r="W5856" s="18" t="s">
        <v>13140</v>
      </c>
      <c r="X5856" s="18" t="s">
        <v>42</v>
      </c>
      <c r="Y5856" s="18" t="s">
        <v>12266</v>
      </c>
      <c r="Z5856" s="18" t="s">
        <v>166</v>
      </c>
      <c r="AA5856" s="21" t="str">
        <f>HYPERLINK("https://www.ncbi.nlm.nih.gov/nuccore/AF071879","NCBI Nucleotide")</f>
        <v>NCBI Nucleotide</v>
      </c>
    </row>
    <row r="5857" spans="1:27" x14ac:dyDescent="0.35">
      <c r="A5857">
        <v>1007343</v>
      </c>
      <c r="B5857">
        <v>5595</v>
      </c>
      <c r="C5857">
        <v>1</v>
      </c>
      <c r="D5857" s="17" t="s">
        <v>10507</v>
      </c>
      <c r="E5857" s="17"/>
      <c r="F5857" s="17" t="s">
        <v>10780</v>
      </c>
      <c r="G5857" s="17"/>
      <c r="H5857" s="17" t="s">
        <v>12908</v>
      </c>
      <c r="I5857" s="17"/>
      <c r="J5857" s="17" t="s">
        <v>12909</v>
      </c>
      <c r="K5857" s="17"/>
      <c r="L5857" s="17" t="s">
        <v>12991</v>
      </c>
      <c r="M5857" s="17"/>
      <c r="N5857" s="17" t="s">
        <v>12992</v>
      </c>
      <c r="O5857" s="17"/>
      <c r="P5857" s="17" t="s">
        <v>12993</v>
      </c>
      <c r="Q5857" s="17"/>
      <c r="R5857" s="25" t="str">
        <f>HYPERLINK("https://ictv.global/taxonomy/taxondetails?taxnode_id=202302925","Circovirus porcine2")</f>
        <v>Circovirus porcine2</v>
      </c>
      <c r="S5857" s="18" t="s">
        <v>30</v>
      </c>
      <c r="T5857" s="18" t="s">
        <v>13141</v>
      </c>
      <c r="U5857" s="18" t="s">
        <v>13142</v>
      </c>
      <c r="V5857" s="18" t="s">
        <v>13143</v>
      </c>
      <c r="W5857" s="18" t="s">
        <v>13144</v>
      </c>
      <c r="X5857" s="18" t="s">
        <v>42</v>
      </c>
      <c r="Y5857" s="18" t="s">
        <v>12266</v>
      </c>
      <c r="Z5857" s="18" t="s">
        <v>166</v>
      </c>
      <c r="AA5857" s="21" t="str">
        <f>HYPERLINK("https://www.ncbi.nlm.nih.gov/nuccore/AY651850","NCBI Nucleotide")</f>
        <v>NCBI Nucleotide</v>
      </c>
    </row>
    <row r="5858" spans="1:27" x14ac:dyDescent="0.35">
      <c r="A5858">
        <v>1007344</v>
      </c>
      <c r="B5858">
        <v>5596</v>
      </c>
      <c r="C5858">
        <v>1</v>
      </c>
      <c r="D5858" s="17" t="s">
        <v>10507</v>
      </c>
      <c r="E5858" s="17"/>
      <c r="F5858" s="17" t="s">
        <v>10780</v>
      </c>
      <c r="G5858" s="17"/>
      <c r="H5858" s="17" t="s">
        <v>12908</v>
      </c>
      <c r="I5858" s="17"/>
      <c r="J5858" s="17" t="s">
        <v>12909</v>
      </c>
      <c r="K5858" s="17"/>
      <c r="L5858" s="17" t="s">
        <v>12991</v>
      </c>
      <c r="M5858" s="17"/>
      <c r="N5858" s="17" t="s">
        <v>12992</v>
      </c>
      <c r="O5858" s="17"/>
      <c r="P5858" s="17" t="s">
        <v>12993</v>
      </c>
      <c r="Q5858" s="17"/>
      <c r="R5858" s="25" t="str">
        <f>HYPERLINK("https://ictv.global/taxonomy/taxondetails?taxnode_id=202305768","Circovirus porcine3")</f>
        <v>Circovirus porcine3</v>
      </c>
      <c r="S5858" s="18" t="s">
        <v>30</v>
      </c>
      <c r="T5858" s="18" t="s">
        <v>13145</v>
      </c>
      <c r="U5858" s="18" t="s">
        <v>13146</v>
      </c>
      <c r="V5858" s="18">
        <v>29160</v>
      </c>
      <c r="W5858" s="18" t="s">
        <v>13147</v>
      </c>
      <c r="X5858" s="18" t="s">
        <v>42</v>
      </c>
      <c r="Y5858" s="18" t="s">
        <v>12266</v>
      </c>
      <c r="Z5858" s="18" t="s">
        <v>166</v>
      </c>
      <c r="AA5858" s="21" t="str">
        <f>HYPERLINK("https://www.ncbi.nlm.nih.gov/nuccore/KT869077","NCBI Nucleotide")</f>
        <v>NCBI Nucleotide</v>
      </c>
    </row>
    <row r="5859" spans="1:27" x14ac:dyDescent="0.35">
      <c r="A5859">
        <v>1007345</v>
      </c>
      <c r="B5859">
        <v>5597</v>
      </c>
      <c r="C5859">
        <v>1</v>
      </c>
      <c r="D5859" s="17" t="s">
        <v>10507</v>
      </c>
      <c r="E5859" s="17"/>
      <c r="F5859" s="17" t="s">
        <v>10780</v>
      </c>
      <c r="G5859" s="17"/>
      <c r="H5859" s="17" t="s">
        <v>12908</v>
      </c>
      <c r="I5859" s="17"/>
      <c r="J5859" s="17" t="s">
        <v>12909</v>
      </c>
      <c r="K5859" s="17"/>
      <c r="L5859" s="17" t="s">
        <v>12991</v>
      </c>
      <c r="M5859" s="17"/>
      <c r="N5859" s="17" t="s">
        <v>12992</v>
      </c>
      <c r="O5859" s="17"/>
      <c r="P5859" s="17" t="s">
        <v>12993</v>
      </c>
      <c r="Q5859" s="17"/>
      <c r="R5859" s="25" t="str">
        <f>HYPERLINK("https://ictv.global/taxonomy/taxondetails?taxnode_id=202309253","Circovirus porcine4")</f>
        <v>Circovirus porcine4</v>
      </c>
      <c r="S5859" s="18" t="s">
        <v>30</v>
      </c>
      <c r="T5859" s="18" t="s">
        <v>13148</v>
      </c>
      <c r="U5859" s="18" t="s">
        <v>13149</v>
      </c>
      <c r="V5859" s="18" t="s">
        <v>13150</v>
      </c>
      <c r="W5859" s="18" t="s">
        <v>13151</v>
      </c>
      <c r="X5859" s="18" t="s">
        <v>42</v>
      </c>
      <c r="Y5859" s="18" t="s">
        <v>12266</v>
      </c>
      <c r="Z5859" s="18" t="s">
        <v>166</v>
      </c>
      <c r="AA5859" s="21" t="str">
        <f>HYPERLINK("https://www.ncbi.nlm.nih.gov/nuccore/MK986820","NCBI Nucleotide")</f>
        <v>NCBI Nucleotide</v>
      </c>
    </row>
    <row r="5860" spans="1:27" x14ac:dyDescent="0.35">
      <c r="A5860">
        <v>1007346</v>
      </c>
      <c r="B5860">
        <v>5598</v>
      </c>
      <c r="C5860">
        <v>1</v>
      </c>
      <c r="D5860" s="17" t="s">
        <v>10507</v>
      </c>
      <c r="E5860" s="17"/>
      <c r="F5860" s="17" t="s">
        <v>10780</v>
      </c>
      <c r="G5860" s="17"/>
      <c r="H5860" s="17" t="s">
        <v>12908</v>
      </c>
      <c r="I5860" s="17"/>
      <c r="J5860" s="17" t="s">
        <v>12909</v>
      </c>
      <c r="K5860" s="17"/>
      <c r="L5860" s="17" t="s">
        <v>12991</v>
      </c>
      <c r="M5860" s="17"/>
      <c r="N5860" s="17" t="s">
        <v>12992</v>
      </c>
      <c r="O5860" s="17"/>
      <c r="P5860" s="17" t="s">
        <v>12993</v>
      </c>
      <c r="Q5860" s="17"/>
      <c r="R5860" s="25" t="str">
        <f>HYPERLINK("https://ictv.global/taxonomy/taxondetails?taxnode_id=202302909","Circovirus ratpenat")</f>
        <v>Circovirus ratpenat</v>
      </c>
      <c r="S5860" s="18" t="s">
        <v>30</v>
      </c>
      <c r="T5860" s="18" t="s">
        <v>13152</v>
      </c>
      <c r="U5860" s="18" t="s">
        <v>13153</v>
      </c>
      <c r="V5860" s="18" t="s">
        <v>13154</v>
      </c>
      <c r="W5860" s="18" t="s">
        <v>13155</v>
      </c>
      <c r="X5860" s="18" t="s">
        <v>42</v>
      </c>
      <c r="Y5860" s="18" t="s">
        <v>12266</v>
      </c>
      <c r="Z5860" s="18" t="s">
        <v>166</v>
      </c>
      <c r="AA5860" s="21" t="str">
        <f>HYPERLINK("https://www.ncbi.nlm.nih.gov/nuccore/KJ641724","NCBI Nucleotide")</f>
        <v>NCBI Nucleotide</v>
      </c>
    </row>
    <row r="5861" spans="1:27" x14ac:dyDescent="0.35">
      <c r="A5861">
        <v>1007347</v>
      </c>
      <c r="B5861">
        <v>5599</v>
      </c>
      <c r="C5861">
        <v>1</v>
      </c>
      <c r="D5861" s="17" t="s">
        <v>10507</v>
      </c>
      <c r="E5861" s="17"/>
      <c r="F5861" s="17" t="s">
        <v>10780</v>
      </c>
      <c r="G5861" s="17"/>
      <c r="H5861" s="17" t="s">
        <v>12908</v>
      </c>
      <c r="I5861" s="17"/>
      <c r="J5861" s="17" t="s">
        <v>12909</v>
      </c>
      <c r="K5861" s="17"/>
      <c r="L5861" s="17" t="s">
        <v>12991</v>
      </c>
      <c r="M5861" s="17"/>
      <c r="N5861" s="17" t="s">
        <v>12992</v>
      </c>
      <c r="O5861" s="17"/>
      <c r="P5861" s="17" t="s">
        <v>12993</v>
      </c>
      <c r="Q5861" s="17"/>
      <c r="R5861" s="25" t="str">
        <f>HYPERLINK("https://ictv.global/taxonomy/taxondetails?taxnode_id=202302926","Circovirus raven")</f>
        <v>Circovirus raven</v>
      </c>
      <c r="S5861" s="18" t="s">
        <v>30</v>
      </c>
      <c r="T5861" s="18" t="s">
        <v>13156</v>
      </c>
      <c r="U5861" s="18" t="s">
        <v>13157</v>
      </c>
      <c r="V5861" s="18" t="s">
        <v>13158</v>
      </c>
      <c r="W5861" s="18" t="s">
        <v>13159</v>
      </c>
      <c r="X5861" s="18" t="s">
        <v>42</v>
      </c>
      <c r="Y5861" s="18" t="s">
        <v>12266</v>
      </c>
      <c r="Z5861" s="18" t="s">
        <v>166</v>
      </c>
      <c r="AA5861" s="21" t="str">
        <f>HYPERLINK("https://www.ncbi.nlm.nih.gov/nuccore/DQ146997","NCBI Nucleotide")</f>
        <v>NCBI Nucleotide</v>
      </c>
    </row>
    <row r="5862" spans="1:27" x14ac:dyDescent="0.35">
      <c r="A5862">
        <v>1007348</v>
      </c>
      <c r="B5862">
        <v>5600</v>
      </c>
      <c r="C5862">
        <v>1</v>
      </c>
      <c r="D5862" s="17" t="s">
        <v>10507</v>
      </c>
      <c r="E5862" s="17"/>
      <c r="F5862" s="17" t="s">
        <v>10780</v>
      </c>
      <c r="G5862" s="17"/>
      <c r="H5862" s="17" t="s">
        <v>12908</v>
      </c>
      <c r="I5862" s="17"/>
      <c r="J5862" s="17" t="s">
        <v>12909</v>
      </c>
      <c r="K5862" s="17"/>
      <c r="L5862" s="17" t="s">
        <v>12991</v>
      </c>
      <c r="M5862" s="17"/>
      <c r="N5862" s="17" t="s">
        <v>12992</v>
      </c>
      <c r="O5862" s="17"/>
      <c r="P5862" s="17" t="s">
        <v>12993</v>
      </c>
      <c r="Q5862" s="17"/>
      <c r="R5862" s="25" t="str">
        <f>HYPERLINK("https://ictv.global/taxonomy/taxondetails?taxnode_id=202306565","Circovirus roditore")</f>
        <v>Circovirus roditore</v>
      </c>
      <c r="S5862" s="18" t="s">
        <v>30</v>
      </c>
      <c r="T5862" s="18" t="s">
        <v>13030</v>
      </c>
      <c r="U5862" s="18" t="s">
        <v>13160</v>
      </c>
      <c r="V5862" s="18" t="s">
        <v>13161</v>
      </c>
      <c r="W5862" s="18" t="s">
        <v>13162</v>
      </c>
      <c r="X5862" s="18" t="s">
        <v>42</v>
      </c>
      <c r="Y5862" s="18" t="s">
        <v>12266</v>
      </c>
      <c r="Z5862" s="18" t="s">
        <v>166</v>
      </c>
      <c r="AA5862" s="21" t="str">
        <f>HYPERLINK("https://www.ncbi.nlm.nih.gov/nuccore/KY370039","NCBI Nucleotide")</f>
        <v>NCBI Nucleotide</v>
      </c>
    </row>
    <row r="5863" spans="1:27" x14ac:dyDescent="0.35">
      <c r="A5863">
        <v>1007349</v>
      </c>
      <c r="B5863">
        <v>5601</v>
      </c>
      <c r="C5863">
        <v>1</v>
      </c>
      <c r="D5863" s="17" t="s">
        <v>10507</v>
      </c>
      <c r="E5863" s="17"/>
      <c r="F5863" s="17" t="s">
        <v>10780</v>
      </c>
      <c r="G5863" s="17"/>
      <c r="H5863" s="17" t="s">
        <v>12908</v>
      </c>
      <c r="I5863" s="17"/>
      <c r="J5863" s="17" t="s">
        <v>12909</v>
      </c>
      <c r="K5863" s="17"/>
      <c r="L5863" s="17" t="s">
        <v>12991</v>
      </c>
      <c r="M5863" s="17"/>
      <c r="N5863" s="17" t="s">
        <v>12992</v>
      </c>
      <c r="O5863" s="17"/>
      <c r="P5863" s="17" t="s">
        <v>12993</v>
      </c>
      <c r="Q5863" s="17"/>
      <c r="R5863" s="25" t="str">
        <f>HYPERLINK("https://ictv.global/taxonomy/taxondetails?taxnode_id=202306563","Circovirus rongeur")</f>
        <v>Circovirus rongeur</v>
      </c>
      <c r="S5863" s="18" t="s">
        <v>30</v>
      </c>
      <c r="T5863" s="18" t="s">
        <v>13030</v>
      </c>
      <c r="U5863" s="18" t="s">
        <v>13163</v>
      </c>
      <c r="V5863" s="18" t="s">
        <v>13164</v>
      </c>
      <c r="W5863" s="18" t="s">
        <v>13165</v>
      </c>
      <c r="X5863" s="18" t="s">
        <v>42</v>
      </c>
      <c r="Y5863" s="18" t="s">
        <v>12266</v>
      </c>
      <c r="Z5863" s="18" t="s">
        <v>166</v>
      </c>
      <c r="AA5863" s="21" t="str">
        <f>HYPERLINK("https://www.ncbi.nlm.nih.gov/nuccore/KY370034","NCBI Nucleotide")</f>
        <v>NCBI Nucleotide</v>
      </c>
    </row>
    <row r="5864" spans="1:27" x14ac:dyDescent="0.35">
      <c r="A5864">
        <v>1007350</v>
      </c>
      <c r="B5864">
        <v>5602</v>
      </c>
      <c r="C5864">
        <v>1</v>
      </c>
      <c r="D5864" s="17" t="s">
        <v>10507</v>
      </c>
      <c r="E5864" s="17"/>
      <c r="F5864" s="17" t="s">
        <v>10780</v>
      </c>
      <c r="G5864" s="17"/>
      <c r="H5864" s="17" t="s">
        <v>12908</v>
      </c>
      <c r="I5864" s="17"/>
      <c r="J5864" s="17" t="s">
        <v>12909</v>
      </c>
      <c r="K5864" s="17"/>
      <c r="L5864" s="17" t="s">
        <v>12991</v>
      </c>
      <c r="M5864" s="17"/>
      <c r="N5864" s="17" t="s">
        <v>12992</v>
      </c>
      <c r="O5864" s="17"/>
      <c r="P5864" s="17" t="s">
        <v>12993</v>
      </c>
      <c r="Q5864" s="17"/>
      <c r="R5864" s="25" t="str">
        <f>HYPERLINK("https://ictv.global/taxonomy/taxondetails?taxnode_id=202306566","Circovirus rosegador")</f>
        <v>Circovirus rosegador</v>
      </c>
      <c r="S5864" s="18" t="s">
        <v>30</v>
      </c>
      <c r="T5864" s="18" t="s">
        <v>13030</v>
      </c>
      <c r="U5864" s="18" t="s">
        <v>13166</v>
      </c>
      <c r="V5864" s="18" t="s">
        <v>13167</v>
      </c>
      <c r="W5864" s="18" t="s">
        <v>13168</v>
      </c>
      <c r="X5864" s="18" t="s">
        <v>42</v>
      </c>
      <c r="Y5864" s="18" t="s">
        <v>12266</v>
      </c>
      <c r="Z5864" s="18" t="s">
        <v>166</v>
      </c>
      <c r="AA5864" s="21" t="str">
        <f>HYPERLINK("https://www.ncbi.nlm.nih.gov/nuccore/KY370029","NCBI Nucleotide")</f>
        <v>NCBI Nucleotide</v>
      </c>
    </row>
    <row r="5865" spans="1:27" x14ac:dyDescent="0.35">
      <c r="A5865">
        <v>1007351</v>
      </c>
      <c r="B5865">
        <v>5603</v>
      </c>
      <c r="C5865">
        <v>1</v>
      </c>
      <c r="D5865" s="17" t="s">
        <v>10507</v>
      </c>
      <c r="E5865" s="17"/>
      <c r="F5865" s="17" t="s">
        <v>10780</v>
      </c>
      <c r="G5865" s="17"/>
      <c r="H5865" s="17" t="s">
        <v>12908</v>
      </c>
      <c r="I5865" s="17"/>
      <c r="J5865" s="17" t="s">
        <v>12909</v>
      </c>
      <c r="K5865" s="17"/>
      <c r="L5865" s="17" t="s">
        <v>12991</v>
      </c>
      <c r="M5865" s="17"/>
      <c r="N5865" s="17" t="s">
        <v>12992</v>
      </c>
      <c r="O5865" s="17"/>
      <c r="P5865" s="17" t="s">
        <v>12993</v>
      </c>
      <c r="Q5865" s="17"/>
      <c r="R5865" s="25" t="str">
        <f>HYPERLINK("https://ictv.global/taxonomy/taxondetails?taxnode_id=202302908","Circovirus saguzarra")</f>
        <v>Circovirus saguzarra</v>
      </c>
      <c r="S5865" s="18" t="s">
        <v>30</v>
      </c>
      <c r="T5865" s="18" t="s">
        <v>13169</v>
      </c>
      <c r="U5865" s="18" t="s">
        <v>13170</v>
      </c>
      <c r="V5865" s="18" t="s">
        <v>13171</v>
      </c>
      <c r="W5865" s="18" t="s">
        <v>13172</v>
      </c>
      <c r="X5865" s="18" t="s">
        <v>42</v>
      </c>
      <c r="Y5865" s="18" t="s">
        <v>12266</v>
      </c>
      <c r="Z5865" s="18" t="s">
        <v>166</v>
      </c>
      <c r="AA5865" s="21" t="str">
        <f>HYPERLINK("https://www.ncbi.nlm.nih.gov/nuccore/KJ641727","NCBI Nucleotide")</f>
        <v>NCBI Nucleotide</v>
      </c>
    </row>
    <row r="5866" spans="1:27" x14ac:dyDescent="0.35">
      <c r="A5866">
        <v>1007352</v>
      </c>
      <c r="B5866">
        <v>5604</v>
      </c>
      <c r="C5866">
        <v>1</v>
      </c>
      <c r="D5866" s="17" t="s">
        <v>10507</v>
      </c>
      <c r="E5866" s="17"/>
      <c r="F5866" s="17" t="s">
        <v>10780</v>
      </c>
      <c r="G5866" s="17"/>
      <c r="H5866" s="17" t="s">
        <v>12908</v>
      </c>
      <c r="I5866" s="17"/>
      <c r="J5866" s="17" t="s">
        <v>12909</v>
      </c>
      <c r="K5866" s="17"/>
      <c r="L5866" s="17" t="s">
        <v>12991</v>
      </c>
      <c r="M5866" s="17"/>
      <c r="N5866" s="17" t="s">
        <v>12992</v>
      </c>
      <c r="O5866" s="17"/>
      <c r="P5866" s="17" t="s">
        <v>12993</v>
      </c>
      <c r="Q5866" s="17"/>
      <c r="R5866" s="25" t="str">
        <f>HYPERLINK("https://ictv.global/taxonomy/taxondetails?taxnode_id=202306562","Circovirus siksparnis")</f>
        <v>Circovirus siksparnis</v>
      </c>
      <c r="S5866" s="18" t="s">
        <v>30</v>
      </c>
      <c r="T5866" s="18" t="s">
        <v>13022</v>
      </c>
      <c r="U5866" s="18" t="s">
        <v>13173</v>
      </c>
      <c r="V5866" s="18" t="s">
        <v>13174</v>
      </c>
      <c r="W5866" s="18" t="s">
        <v>13175</v>
      </c>
      <c r="X5866" s="18" t="s">
        <v>42</v>
      </c>
      <c r="Y5866" s="18" t="s">
        <v>12266</v>
      </c>
      <c r="Z5866" s="18" t="s">
        <v>166</v>
      </c>
      <c r="AA5866" s="21" t="str">
        <f>HYPERLINK("https://www.ncbi.nlm.nih.gov/nuccore/KX756996","NCBI Nucleotide")</f>
        <v>NCBI Nucleotide</v>
      </c>
    </row>
    <row r="5867" spans="1:27" x14ac:dyDescent="0.35">
      <c r="A5867">
        <v>1007353</v>
      </c>
      <c r="B5867">
        <v>5605</v>
      </c>
      <c r="C5867">
        <v>1</v>
      </c>
      <c r="D5867" s="17" t="s">
        <v>10507</v>
      </c>
      <c r="E5867" s="17"/>
      <c r="F5867" s="17" t="s">
        <v>10780</v>
      </c>
      <c r="G5867" s="17"/>
      <c r="H5867" s="17" t="s">
        <v>12908</v>
      </c>
      <c r="I5867" s="17"/>
      <c r="J5867" s="17" t="s">
        <v>12909</v>
      </c>
      <c r="K5867" s="17"/>
      <c r="L5867" s="17" t="s">
        <v>12991</v>
      </c>
      <c r="M5867" s="17"/>
      <c r="N5867" s="17" t="s">
        <v>12992</v>
      </c>
      <c r="O5867" s="17"/>
      <c r="P5867" s="17" t="s">
        <v>12993</v>
      </c>
      <c r="Q5867" s="17"/>
      <c r="R5867" s="25" t="str">
        <f>HYPERLINK("https://ictv.global/taxonomy/taxondetails?taxnode_id=202302927","Circovirus starling")</f>
        <v>Circovirus starling</v>
      </c>
      <c r="S5867" s="18" t="s">
        <v>30</v>
      </c>
      <c r="T5867" s="18" t="s">
        <v>13176</v>
      </c>
      <c r="U5867" s="18" t="s">
        <v>13177</v>
      </c>
      <c r="V5867" s="18"/>
      <c r="W5867" s="18" t="s">
        <v>13178</v>
      </c>
      <c r="X5867" s="18" t="s">
        <v>42</v>
      </c>
      <c r="Y5867" s="18" t="s">
        <v>12266</v>
      </c>
      <c r="Z5867" s="18" t="s">
        <v>166</v>
      </c>
      <c r="AA5867" s="21" t="str">
        <f>HYPERLINK("https://www.ncbi.nlm.nih.gov/nuccore/DQ172906","NCBI Nucleotide")</f>
        <v>NCBI Nucleotide</v>
      </c>
    </row>
    <row r="5868" spans="1:27" x14ac:dyDescent="0.35">
      <c r="A5868">
        <v>1007354</v>
      </c>
      <c r="B5868">
        <v>5606</v>
      </c>
      <c r="C5868">
        <v>1</v>
      </c>
      <c r="D5868" s="17" t="s">
        <v>10507</v>
      </c>
      <c r="E5868" s="17"/>
      <c r="F5868" s="17" t="s">
        <v>10780</v>
      </c>
      <c r="G5868" s="17"/>
      <c r="H5868" s="17" t="s">
        <v>12908</v>
      </c>
      <c r="I5868" s="17"/>
      <c r="J5868" s="17" t="s">
        <v>12909</v>
      </c>
      <c r="K5868" s="17"/>
      <c r="L5868" s="17" t="s">
        <v>12991</v>
      </c>
      <c r="M5868" s="17"/>
      <c r="N5868" s="17" t="s">
        <v>12992</v>
      </c>
      <c r="O5868" s="17"/>
      <c r="P5868" s="17" t="s">
        <v>12993</v>
      </c>
      <c r="Q5868" s="17"/>
      <c r="R5868" s="25" t="str">
        <f>HYPERLINK("https://ictv.global/taxonomy/taxondetails?taxnode_id=202302928","Circovirus swan")</f>
        <v>Circovirus swan</v>
      </c>
      <c r="S5868" s="18" t="s">
        <v>30</v>
      </c>
      <c r="T5868" s="18" t="s">
        <v>13179</v>
      </c>
      <c r="U5868" s="18" t="s">
        <v>13180</v>
      </c>
      <c r="V5868" s="18" t="s">
        <v>13181</v>
      </c>
      <c r="W5868" s="18" t="s">
        <v>13182</v>
      </c>
      <c r="X5868" s="18" t="s">
        <v>42</v>
      </c>
      <c r="Y5868" s="18" t="s">
        <v>12266</v>
      </c>
      <c r="Z5868" s="18" t="s">
        <v>166</v>
      </c>
      <c r="AA5868" s="21" t="str">
        <f>HYPERLINK("https://www.ncbi.nlm.nih.gov/nuccore/EU056309","NCBI Nucleotide")</f>
        <v>NCBI Nucleotide</v>
      </c>
    </row>
    <row r="5869" spans="1:27" x14ac:dyDescent="0.35">
      <c r="A5869">
        <v>1007355</v>
      </c>
      <c r="B5869">
        <v>5607</v>
      </c>
      <c r="C5869">
        <v>1</v>
      </c>
      <c r="D5869" s="17" t="s">
        <v>10507</v>
      </c>
      <c r="E5869" s="17"/>
      <c r="F5869" s="17" t="s">
        <v>10780</v>
      </c>
      <c r="G5869" s="17"/>
      <c r="H5869" s="17" t="s">
        <v>12908</v>
      </c>
      <c r="I5869" s="17"/>
      <c r="J5869" s="17" t="s">
        <v>12909</v>
      </c>
      <c r="K5869" s="17"/>
      <c r="L5869" s="17" t="s">
        <v>12991</v>
      </c>
      <c r="M5869" s="17"/>
      <c r="N5869" s="17" t="s">
        <v>12992</v>
      </c>
      <c r="O5869" s="17"/>
      <c r="P5869" s="17" t="s">
        <v>12993</v>
      </c>
      <c r="Q5869" s="17"/>
      <c r="R5869" s="25" t="str">
        <f>HYPERLINK("https://ictv.global/taxonomy/taxondetails?taxnode_id=202314079","Circovirus tetning")</f>
        <v>Circovirus tetning</v>
      </c>
      <c r="S5869" s="18" t="s">
        <v>30</v>
      </c>
      <c r="T5869" s="18" t="s">
        <v>13183</v>
      </c>
      <c r="U5869" s="18" t="s">
        <v>13184</v>
      </c>
      <c r="V5869" s="18" t="s">
        <v>13185</v>
      </c>
      <c r="W5869" s="18" t="s">
        <v>13186</v>
      </c>
      <c r="X5869" s="18" t="s">
        <v>42</v>
      </c>
      <c r="Y5869" s="18" t="s">
        <v>12266</v>
      </c>
      <c r="Z5869" s="18" t="s">
        <v>166</v>
      </c>
      <c r="AA5869" s="21" t="str">
        <f>HYPERLINK("https://www.ncbi.nlm.nih.gov/nuccore/MN164712","NCBI Nucleotide")</f>
        <v>NCBI Nucleotide</v>
      </c>
    </row>
    <row r="5870" spans="1:27" x14ac:dyDescent="0.35">
      <c r="A5870">
        <v>1025339</v>
      </c>
      <c r="B5870">
        <v>5608</v>
      </c>
      <c r="C5870">
        <v>1</v>
      </c>
      <c r="D5870" s="17" t="s">
        <v>10507</v>
      </c>
      <c r="E5870" s="17"/>
      <c r="F5870" s="17" t="s">
        <v>10780</v>
      </c>
      <c r="G5870" s="17"/>
      <c r="H5870" s="17" t="s">
        <v>12908</v>
      </c>
      <c r="I5870" s="17"/>
      <c r="J5870" s="17" t="s">
        <v>12909</v>
      </c>
      <c r="K5870" s="17"/>
      <c r="L5870" s="17" t="s">
        <v>12991</v>
      </c>
      <c r="M5870" s="17"/>
      <c r="N5870" s="17" t="s">
        <v>12992</v>
      </c>
      <c r="O5870" s="17"/>
      <c r="P5870" s="17" t="s">
        <v>12993</v>
      </c>
      <c r="Q5870" s="17"/>
      <c r="R5870" s="25" t="str">
        <f>HYPERLINK("https://ictv.global/taxonomy/taxondetails?taxnode_id=202317776","Circovirus torpegem")</f>
        <v>Circovirus torpegem</v>
      </c>
      <c r="S5870" s="18" t="s">
        <v>30</v>
      </c>
      <c r="T5870" s="18" t="s">
        <v>40159</v>
      </c>
      <c r="U5870" s="18" t="s">
        <v>40160</v>
      </c>
      <c r="V5870" s="18" t="s">
        <v>40161</v>
      </c>
      <c r="W5870" s="18" t="s">
        <v>40162</v>
      </c>
      <c r="X5870" s="18" t="s">
        <v>42</v>
      </c>
      <c r="Y5870" s="18" t="s">
        <v>12266</v>
      </c>
      <c r="Z5870" s="18" t="s">
        <v>166</v>
      </c>
      <c r="AA5870" s="21" t="str">
        <f>HYPERLINK("https://www.ncbi.nlm.nih.gov/nuccore/MZ710934","NCBI Nucleotide")</f>
        <v>NCBI Nucleotide</v>
      </c>
    </row>
    <row r="5871" spans="1:27" x14ac:dyDescent="0.35">
      <c r="A5871">
        <v>1007356</v>
      </c>
      <c r="B5871">
        <v>5609</v>
      </c>
      <c r="C5871">
        <v>1</v>
      </c>
      <c r="D5871" s="17" t="s">
        <v>10507</v>
      </c>
      <c r="E5871" s="17"/>
      <c r="F5871" s="17" t="s">
        <v>10780</v>
      </c>
      <c r="G5871" s="17"/>
      <c r="H5871" s="17" t="s">
        <v>12908</v>
      </c>
      <c r="I5871" s="17"/>
      <c r="J5871" s="17" t="s">
        <v>12909</v>
      </c>
      <c r="K5871" s="17"/>
      <c r="L5871" s="17" t="s">
        <v>12991</v>
      </c>
      <c r="M5871" s="17"/>
      <c r="N5871" s="17" t="s">
        <v>12992</v>
      </c>
      <c r="O5871" s="17"/>
      <c r="P5871" s="17" t="s">
        <v>12993</v>
      </c>
      <c r="Q5871" s="17"/>
      <c r="R5871" s="25" t="str">
        <f>HYPERLINK("https://ictv.global/taxonomy/taxondetails?taxnode_id=202314087","Circovirus tzinaka")</f>
        <v>Circovirus tzinaka</v>
      </c>
      <c r="S5871" s="18" t="s">
        <v>30</v>
      </c>
      <c r="T5871" s="18" t="s">
        <v>13187</v>
      </c>
      <c r="U5871" s="18" t="s">
        <v>13188</v>
      </c>
      <c r="V5871" s="18" t="s">
        <v>13189</v>
      </c>
      <c r="W5871" s="18" t="s">
        <v>13190</v>
      </c>
      <c r="X5871" s="18" t="s">
        <v>42</v>
      </c>
      <c r="Y5871" s="18" t="s">
        <v>12266</v>
      </c>
      <c r="Z5871" s="18" t="s">
        <v>166</v>
      </c>
      <c r="AA5871" s="21" t="str">
        <f>HYPERLINK("https://www.ncbi.nlm.nih.gov/nuccore/OL704833","NCBI Nucleotide")</f>
        <v>NCBI Nucleotide</v>
      </c>
    </row>
    <row r="5872" spans="1:27" x14ac:dyDescent="0.35">
      <c r="A5872">
        <v>1007357</v>
      </c>
      <c r="B5872">
        <v>5610</v>
      </c>
      <c r="C5872">
        <v>1</v>
      </c>
      <c r="D5872" s="17" t="s">
        <v>10507</v>
      </c>
      <c r="E5872" s="17"/>
      <c r="F5872" s="17" t="s">
        <v>10780</v>
      </c>
      <c r="G5872" s="17"/>
      <c r="H5872" s="17" t="s">
        <v>12908</v>
      </c>
      <c r="I5872" s="17"/>
      <c r="J5872" s="17" t="s">
        <v>12909</v>
      </c>
      <c r="K5872" s="17"/>
      <c r="L5872" s="17" t="s">
        <v>12991</v>
      </c>
      <c r="M5872" s="17"/>
      <c r="N5872" s="17" t="s">
        <v>12992</v>
      </c>
      <c r="O5872" s="17"/>
      <c r="P5872" s="17" t="s">
        <v>12993</v>
      </c>
      <c r="Q5872" s="17"/>
      <c r="R5872" s="25" t="str">
        <f>HYPERLINK("https://ictv.global/taxonomy/taxondetails?taxnode_id=202302905","Circovirus vleermuis")</f>
        <v>Circovirus vleermuis</v>
      </c>
      <c r="S5872" s="18" t="s">
        <v>30</v>
      </c>
      <c r="T5872" s="18" t="s">
        <v>13191</v>
      </c>
      <c r="U5872" s="18" t="s">
        <v>13192</v>
      </c>
      <c r="V5872" s="18" t="s">
        <v>13193</v>
      </c>
      <c r="W5872" s="18" t="s">
        <v>13194</v>
      </c>
      <c r="X5872" s="18" t="s">
        <v>42</v>
      </c>
      <c r="Y5872" s="18" t="s">
        <v>12266</v>
      </c>
      <c r="Z5872" s="18" t="s">
        <v>166</v>
      </c>
      <c r="AA5872" s="21" t="str">
        <f>HYPERLINK("https://www.ncbi.nlm.nih.gov/nuccore/KC339249","NCBI Nucleotide")</f>
        <v>NCBI Nucleotide</v>
      </c>
    </row>
    <row r="5873" spans="1:27" x14ac:dyDescent="0.35">
      <c r="A5873">
        <v>1007358</v>
      </c>
      <c r="B5873">
        <v>5611</v>
      </c>
      <c r="C5873">
        <v>1</v>
      </c>
      <c r="D5873" s="17" t="s">
        <v>10507</v>
      </c>
      <c r="E5873" s="17"/>
      <c r="F5873" s="17" t="s">
        <v>10780</v>
      </c>
      <c r="G5873" s="17"/>
      <c r="H5873" s="17" t="s">
        <v>12908</v>
      </c>
      <c r="I5873" s="17"/>
      <c r="J5873" s="17" t="s">
        <v>12909</v>
      </c>
      <c r="K5873" s="17"/>
      <c r="L5873" s="17" t="s">
        <v>12991</v>
      </c>
      <c r="M5873" s="17"/>
      <c r="N5873" s="17" t="s">
        <v>12992</v>
      </c>
      <c r="O5873" s="17"/>
      <c r="P5873" s="17" t="s">
        <v>12993</v>
      </c>
      <c r="Q5873" s="17"/>
      <c r="R5873" s="25" t="str">
        <f>HYPERLINK("https://ictv.global/taxonomy/taxondetails?taxnode_id=202314089","Circovirus wesa")</f>
        <v>Circovirus wesa</v>
      </c>
      <c r="S5873" s="18" t="s">
        <v>30</v>
      </c>
      <c r="T5873" s="18" t="s">
        <v>13195</v>
      </c>
      <c r="U5873" s="18" t="s">
        <v>13196</v>
      </c>
      <c r="V5873" s="18" t="s">
        <v>13197</v>
      </c>
      <c r="W5873" s="18" t="s">
        <v>13198</v>
      </c>
      <c r="X5873" s="18" t="s">
        <v>42</v>
      </c>
      <c r="Y5873" s="18" t="s">
        <v>12266</v>
      </c>
      <c r="Z5873" s="18" t="s">
        <v>166</v>
      </c>
      <c r="AA5873" s="21" t="str">
        <f>HYPERLINK("https://www.ncbi.nlm.nih.gov/nuccore/ON596197","NCBI Nucleotide")</f>
        <v>NCBI Nucleotide</v>
      </c>
    </row>
    <row r="5874" spans="1:27" x14ac:dyDescent="0.35">
      <c r="A5874">
        <v>1007359</v>
      </c>
      <c r="B5874">
        <v>5612</v>
      </c>
      <c r="C5874">
        <v>1</v>
      </c>
      <c r="D5874" s="17" t="s">
        <v>10507</v>
      </c>
      <c r="E5874" s="17"/>
      <c r="F5874" s="17" t="s">
        <v>10780</v>
      </c>
      <c r="G5874" s="17"/>
      <c r="H5874" s="17" t="s">
        <v>12908</v>
      </c>
      <c r="I5874" s="17"/>
      <c r="J5874" s="17" t="s">
        <v>12909</v>
      </c>
      <c r="K5874" s="17"/>
      <c r="L5874" s="17" t="s">
        <v>12991</v>
      </c>
      <c r="M5874" s="17"/>
      <c r="N5874" s="17" t="s">
        <v>12992</v>
      </c>
      <c r="O5874" s="17"/>
      <c r="P5874" s="17" t="s">
        <v>12993</v>
      </c>
      <c r="Q5874" s="17"/>
      <c r="R5874" s="25" t="str">
        <f>HYPERLINK("https://ictv.global/taxonomy/taxondetails?taxnode_id=202309252","Circovirus whale")</f>
        <v>Circovirus whale</v>
      </c>
      <c r="S5874" s="18" t="s">
        <v>30</v>
      </c>
      <c r="T5874" s="18" t="s">
        <v>13199</v>
      </c>
      <c r="U5874" s="18" t="s">
        <v>13200</v>
      </c>
      <c r="V5874" s="18" t="s">
        <v>13201</v>
      </c>
      <c r="W5874" s="18" t="s">
        <v>13202</v>
      </c>
      <c r="X5874" s="18" t="s">
        <v>42</v>
      </c>
      <c r="Y5874" s="18" t="s">
        <v>12266</v>
      </c>
      <c r="Z5874" s="18" t="s">
        <v>166</v>
      </c>
      <c r="AA5874" s="21" t="str">
        <f>HYPERLINK("https://www.ncbi.nlm.nih.gov/nuccore/MN103538","NCBI Nucleotide")</f>
        <v>NCBI Nucleotide</v>
      </c>
    </row>
    <row r="5875" spans="1:27" x14ac:dyDescent="0.35">
      <c r="A5875">
        <v>1007360</v>
      </c>
      <c r="B5875">
        <v>5613</v>
      </c>
      <c r="C5875">
        <v>1</v>
      </c>
      <c r="D5875" s="17" t="s">
        <v>10507</v>
      </c>
      <c r="E5875" s="17"/>
      <c r="F5875" s="17" t="s">
        <v>10780</v>
      </c>
      <c r="G5875" s="17"/>
      <c r="H5875" s="17" t="s">
        <v>12908</v>
      </c>
      <c r="I5875" s="17"/>
      <c r="J5875" s="17" t="s">
        <v>12909</v>
      </c>
      <c r="K5875" s="17"/>
      <c r="L5875" s="17" t="s">
        <v>12991</v>
      </c>
      <c r="M5875" s="17"/>
      <c r="N5875" s="17" t="s">
        <v>12992</v>
      </c>
      <c r="O5875" s="17"/>
      <c r="P5875" s="17" t="s">
        <v>12993</v>
      </c>
      <c r="Q5875" s="17"/>
      <c r="R5875" s="25" t="str">
        <f>HYPERLINK("https://ictv.global/taxonomy/taxondetails?taxnode_id=202306569","Circovirus yaa")</f>
        <v>Circovirus yaa</v>
      </c>
      <c r="S5875" s="18" t="s">
        <v>30</v>
      </c>
      <c r="T5875" s="18" t="s">
        <v>13203</v>
      </c>
      <c r="U5875" s="18" t="s">
        <v>13204</v>
      </c>
      <c r="V5875" s="18" t="s">
        <v>13205</v>
      </c>
      <c r="W5875" s="18" t="s">
        <v>13206</v>
      </c>
      <c r="X5875" s="18" t="s">
        <v>42</v>
      </c>
      <c r="Y5875" s="18" t="s">
        <v>12266</v>
      </c>
      <c r="Z5875" s="18" t="s">
        <v>166</v>
      </c>
      <c r="AA5875" s="21" t="str">
        <f>HYPERLINK("https://www.ncbi.nlm.nih.gov/nuccore/KU230452","NCBI Nucleotide")</f>
        <v>NCBI Nucleotide</v>
      </c>
    </row>
    <row r="5876" spans="1:27" x14ac:dyDescent="0.35">
      <c r="A5876">
        <v>1007361</v>
      </c>
      <c r="B5876">
        <v>5614</v>
      </c>
      <c r="C5876">
        <v>1</v>
      </c>
      <c r="D5876" s="17" t="s">
        <v>10507</v>
      </c>
      <c r="E5876" s="17"/>
      <c r="F5876" s="17" t="s">
        <v>10780</v>
      </c>
      <c r="G5876" s="17"/>
      <c r="H5876" s="17" t="s">
        <v>12908</v>
      </c>
      <c r="I5876" s="17"/>
      <c r="J5876" s="17" t="s">
        <v>12909</v>
      </c>
      <c r="K5876" s="17"/>
      <c r="L5876" s="17" t="s">
        <v>12991</v>
      </c>
      <c r="M5876" s="17"/>
      <c r="N5876" s="17" t="s">
        <v>12992</v>
      </c>
      <c r="O5876" s="17"/>
      <c r="P5876" s="17" t="s">
        <v>12993</v>
      </c>
      <c r="Q5876" s="17"/>
      <c r="R5876" s="25" t="str">
        <f>HYPERLINK("https://ictv.global/taxonomy/taxondetails?taxnode_id=202302929","Circovirus zebrafinch")</f>
        <v>Circovirus zebrafinch</v>
      </c>
      <c r="S5876" s="18" t="s">
        <v>30</v>
      </c>
      <c r="T5876" s="18" t="s">
        <v>13207</v>
      </c>
      <c r="U5876" s="18" t="s">
        <v>13208</v>
      </c>
      <c r="V5876" s="18" t="s">
        <v>13209</v>
      </c>
      <c r="W5876" s="18" t="s">
        <v>13210</v>
      </c>
      <c r="X5876" s="18" t="s">
        <v>42</v>
      </c>
      <c r="Y5876" s="18" t="s">
        <v>12266</v>
      </c>
      <c r="Z5876" s="18" t="s">
        <v>166</v>
      </c>
      <c r="AA5876" s="21" t="str">
        <f>HYPERLINK("https://www.ncbi.nlm.nih.gov/nuccore/KP793918","NCBI Nucleotide")</f>
        <v>NCBI Nucleotide</v>
      </c>
    </row>
    <row r="5877" spans="1:27" x14ac:dyDescent="0.35">
      <c r="A5877">
        <v>1007362</v>
      </c>
      <c r="B5877">
        <v>5615</v>
      </c>
      <c r="C5877">
        <v>1</v>
      </c>
      <c r="D5877" s="17" t="s">
        <v>10507</v>
      </c>
      <c r="E5877" s="17"/>
      <c r="F5877" s="17" t="s">
        <v>10780</v>
      </c>
      <c r="G5877" s="17"/>
      <c r="H5877" s="17" t="s">
        <v>12908</v>
      </c>
      <c r="I5877" s="17"/>
      <c r="J5877" s="17" t="s">
        <v>12909</v>
      </c>
      <c r="K5877" s="17"/>
      <c r="L5877" s="17" t="s">
        <v>12991</v>
      </c>
      <c r="M5877" s="17"/>
      <c r="N5877" s="17" t="s">
        <v>12992</v>
      </c>
      <c r="O5877" s="17"/>
      <c r="P5877" s="17" t="s">
        <v>13211</v>
      </c>
      <c r="Q5877" s="17"/>
      <c r="R5877" s="25" t="str">
        <f>HYPERLINK("https://ictv.global/taxonomy/taxondetails?taxnode_id=202308682","Cyclovirus aasiak")</f>
        <v>Cyclovirus aasiak</v>
      </c>
      <c r="S5877" s="18" t="s">
        <v>30</v>
      </c>
      <c r="T5877" s="18" t="s">
        <v>13212</v>
      </c>
      <c r="U5877" s="18" t="s">
        <v>13213</v>
      </c>
      <c r="V5877" s="18" t="s">
        <v>13214</v>
      </c>
      <c r="W5877" s="18" t="s">
        <v>13215</v>
      </c>
      <c r="X5877" s="18" t="s">
        <v>42</v>
      </c>
      <c r="Y5877" s="18" t="s">
        <v>12266</v>
      </c>
      <c r="Z5877" s="18" t="s">
        <v>10790</v>
      </c>
      <c r="AA5877" s="21" t="str">
        <f>HYPERLINK("https://www.ncbi.nlm.nih.gov/nuccore/MH545516","NCBI Nucleotide")</f>
        <v>NCBI Nucleotide</v>
      </c>
    </row>
    <row r="5878" spans="1:27" x14ac:dyDescent="0.35">
      <c r="A5878">
        <v>1007363</v>
      </c>
      <c r="B5878">
        <v>5616</v>
      </c>
      <c r="C5878">
        <v>1</v>
      </c>
      <c r="D5878" s="17" t="s">
        <v>10507</v>
      </c>
      <c r="E5878" s="17"/>
      <c r="F5878" s="17" t="s">
        <v>10780</v>
      </c>
      <c r="G5878" s="17"/>
      <c r="H5878" s="17" t="s">
        <v>12908</v>
      </c>
      <c r="I5878" s="17"/>
      <c r="J5878" s="17" t="s">
        <v>12909</v>
      </c>
      <c r="K5878" s="17"/>
      <c r="L5878" s="17" t="s">
        <v>12991</v>
      </c>
      <c r="M5878" s="17"/>
      <c r="N5878" s="17" t="s">
        <v>12992</v>
      </c>
      <c r="O5878" s="17"/>
      <c r="P5878" s="17" t="s">
        <v>13211</v>
      </c>
      <c r="Q5878" s="17"/>
      <c r="R5878" s="25" t="str">
        <f>HYPERLINK("https://ictv.global/taxonomy/taxondetails?taxnode_id=202302948","Cyclovirus adie")</f>
        <v>Cyclovirus adie</v>
      </c>
      <c r="S5878" s="18" t="s">
        <v>30</v>
      </c>
      <c r="T5878" s="18" t="s">
        <v>13216</v>
      </c>
      <c r="U5878" s="18" t="s">
        <v>13217</v>
      </c>
      <c r="V5878" s="18" t="s">
        <v>13218</v>
      </c>
      <c r="W5878" s="18" t="s">
        <v>13219</v>
      </c>
      <c r="X5878" s="18" t="s">
        <v>42</v>
      </c>
      <c r="Y5878" s="18" t="s">
        <v>12266</v>
      </c>
      <c r="Z5878" s="18" t="s">
        <v>166</v>
      </c>
      <c r="AA5878" s="21" t="str">
        <f>HYPERLINK("https://www.ncbi.nlm.nih.gov/nuccore/HQ738643","NCBI Nucleotide")</f>
        <v>NCBI Nucleotide</v>
      </c>
    </row>
    <row r="5879" spans="1:27" x14ac:dyDescent="0.35">
      <c r="A5879">
        <v>1007364</v>
      </c>
      <c r="B5879">
        <v>5617</v>
      </c>
      <c r="C5879">
        <v>1</v>
      </c>
      <c r="D5879" s="17" t="s">
        <v>10507</v>
      </c>
      <c r="E5879" s="17"/>
      <c r="F5879" s="17" t="s">
        <v>10780</v>
      </c>
      <c r="G5879" s="17"/>
      <c r="H5879" s="17" t="s">
        <v>12908</v>
      </c>
      <c r="I5879" s="17"/>
      <c r="J5879" s="17" t="s">
        <v>12909</v>
      </c>
      <c r="K5879" s="17"/>
      <c r="L5879" s="17" t="s">
        <v>12991</v>
      </c>
      <c r="M5879" s="17"/>
      <c r="N5879" s="17" t="s">
        <v>12992</v>
      </c>
      <c r="O5879" s="17"/>
      <c r="P5879" s="17" t="s">
        <v>13211</v>
      </c>
      <c r="Q5879" s="17"/>
      <c r="R5879" s="25" t="str">
        <f>HYPERLINK("https://ictv.global/taxonomy/taxondetails?taxnode_id=202314117","Cyclovirus anyidiwo")</f>
        <v>Cyclovirus anyidiwo</v>
      </c>
      <c r="S5879" s="18" t="s">
        <v>30</v>
      </c>
      <c r="T5879" s="18" t="s">
        <v>13220</v>
      </c>
      <c r="U5879" s="18" t="s">
        <v>13221</v>
      </c>
      <c r="V5879" s="18" t="s">
        <v>13222</v>
      </c>
      <c r="W5879" s="18" t="s">
        <v>13223</v>
      </c>
      <c r="X5879" s="18" t="s">
        <v>42</v>
      </c>
      <c r="Y5879" s="18" t="s">
        <v>12266</v>
      </c>
      <c r="Z5879" s="18" t="s">
        <v>10790</v>
      </c>
      <c r="AA5879" s="21" t="str">
        <f>HYPERLINK("https://www.ncbi.nlm.nih.gov/nuccore/ON324071","NCBI Nucleotide")</f>
        <v>NCBI Nucleotide</v>
      </c>
    </row>
    <row r="5880" spans="1:27" x14ac:dyDescent="0.35">
      <c r="A5880">
        <v>1007365</v>
      </c>
      <c r="B5880">
        <v>5618</v>
      </c>
      <c r="C5880">
        <v>1</v>
      </c>
      <c r="D5880" s="17" t="s">
        <v>10507</v>
      </c>
      <c r="E5880" s="17"/>
      <c r="F5880" s="17" t="s">
        <v>10780</v>
      </c>
      <c r="G5880" s="17"/>
      <c r="H5880" s="17" t="s">
        <v>12908</v>
      </c>
      <c r="I5880" s="17"/>
      <c r="J5880" s="17" t="s">
        <v>12909</v>
      </c>
      <c r="K5880" s="17"/>
      <c r="L5880" s="17" t="s">
        <v>12991</v>
      </c>
      <c r="M5880" s="17"/>
      <c r="N5880" s="17" t="s">
        <v>12992</v>
      </c>
      <c r="O5880" s="17"/>
      <c r="P5880" s="17" t="s">
        <v>13211</v>
      </c>
      <c r="Q5880" s="17"/>
      <c r="R5880" s="25" t="str">
        <f>HYPERLINK("https://ictv.global/taxonomy/taxondetails?taxnode_id=202302956","Cyclovirus babka")</f>
        <v>Cyclovirus babka</v>
      </c>
      <c r="S5880" s="18" t="s">
        <v>30</v>
      </c>
      <c r="T5880" s="18" t="s">
        <v>13224</v>
      </c>
      <c r="U5880" s="18" t="s">
        <v>13225</v>
      </c>
      <c r="V5880" s="18" t="s">
        <v>13226</v>
      </c>
      <c r="W5880" s="18" t="s">
        <v>13227</v>
      </c>
      <c r="X5880" s="18" t="s">
        <v>42</v>
      </c>
      <c r="Y5880" s="18" t="s">
        <v>12266</v>
      </c>
      <c r="Z5880" s="18" t="s">
        <v>10790</v>
      </c>
      <c r="AA5880" s="21" t="str">
        <f>HYPERLINK("https://www.ncbi.nlm.nih.gov/nuccore/KC512918","NCBI Nucleotide")</f>
        <v>NCBI Nucleotide</v>
      </c>
    </row>
    <row r="5881" spans="1:27" x14ac:dyDescent="0.35">
      <c r="A5881">
        <v>1007366</v>
      </c>
      <c r="B5881">
        <v>5619</v>
      </c>
      <c r="C5881">
        <v>1</v>
      </c>
      <c r="D5881" s="17" t="s">
        <v>10507</v>
      </c>
      <c r="E5881" s="17"/>
      <c r="F5881" s="17" t="s">
        <v>10780</v>
      </c>
      <c r="G5881" s="17"/>
      <c r="H5881" s="17" t="s">
        <v>12908</v>
      </c>
      <c r="I5881" s="17"/>
      <c r="J5881" s="17" t="s">
        <v>12909</v>
      </c>
      <c r="K5881" s="17"/>
      <c r="L5881" s="17" t="s">
        <v>12991</v>
      </c>
      <c r="M5881" s="17"/>
      <c r="N5881" s="17" t="s">
        <v>12992</v>
      </c>
      <c r="O5881" s="17"/>
      <c r="P5881" s="17" t="s">
        <v>13211</v>
      </c>
      <c r="Q5881" s="17"/>
      <c r="R5881" s="25" t="str">
        <f>HYPERLINK("https://ictv.global/taxonomy/taxondetails?taxnode_id=202302960","Cyclovirus bakri")</f>
        <v>Cyclovirus bakri</v>
      </c>
      <c r="S5881" s="18" t="s">
        <v>30</v>
      </c>
      <c r="T5881" s="18" t="s">
        <v>13228</v>
      </c>
      <c r="U5881" s="18" t="s">
        <v>13229</v>
      </c>
      <c r="V5881" s="18" t="s">
        <v>13230</v>
      </c>
      <c r="W5881" s="18" t="s">
        <v>13231</v>
      </c>
      <c r="X5881" s="18" t="s">
        <v>42</v>
      </c>
      <c r="Y5881" s="18" t="s">
        <v>12266</v>
      </c>
      <c r="Z5881" s="18" t="s">
        <v>166</v>
      </c>
      <c r="AA5881" s="21" t="str">
        <f>HYPERLINK("https://www.ncbi.nlm.nih.gov/nuccore/HQ738636","NCBI Nucleotide")</f>
        <v>NCBI Nucleotide</v>
      </c>
    </row>
    <row r="5882" spans="1:27" x14ac:dyDescent="0.35">
      <c r="A5882">
        <v>1007367</v>
      </c>
      <c r="B5882">
        <v>5620</v>
      </c>
      <c r="C5882">
        <v>1</v>
      </c>
      <c r="D5882" s="17" t="s">
        <v>10507</v>
      </c>
      <c r="E5882" s="17"/>
      <c r="F5882" s="17" t="s">
        <v>10780</v>
      </c>
      <c r="G5882" s="17"/>
      <c r="H5882" s="17" t="s">
        <v>12908</v>
      </c>
      <c r="I5882" s="17"/>
      <c r="J5882" s="17" t="s">
        <v>12909</v>
      </c>
      <c r="K5882" s="17"/>
      <c r="L5882" s="17" t="s">
        <v>12991</v>
      </c>
      <c r="M5882" s="17"/>
      <c r="N5882" s="17" t="s">
        <v>12992</v>
      </c>
      <c r="O5882" s="17"/>
      <c r="P5882" s="17" t="s">
        <v>13211</v>
      </c>
      <c r="Q5882" s="17"/>
      <c r="R5882" s="25" t="str">
        <f>HYPERLINK("https://ictv.global/taxonomy/taxondetails?taxnode_id=202302965","Cyclovirus bashri")</f>
        <v>Cyclovirus bashri</v>
      </c>
      <c r="S5882" s="18" t="s">
        <v>30</v>
      </c>
      <c r="T5882" s="18" t="s">
        <v>13232</v>
      </c>
      <c r="U5882" s="18" t="s">
        <v>13233</v>
      </c>
      <c r="V5882" s="18" t="s">
        <v>13234</v>
      </c>
      <c r="W5882" s="18" t="s">
        <v>13235</v>
      </c>
      <c r="X5882" s="18" t="s">
        <v>42</v>
      </c>
      <c r="Y5882" s="18" t="s">
        <v>12266</v>
      </c>
      <c r="Z5882" s="18" t="s">
        <v>166</v>
      </c>
      <c r="AA5882" s="21" t="str">
        <f>HYPERLINK("https://www.ncbi.nlm.nih.gov/nuccore/GQ404857","NCBI Nucleotide")</f>
        <v>NCBI Nucleotide</v>
      </c>
    </row>
    <row r="5883" spans="1:27" x14ac:dyDescent="0.35">
      <c r="A5883">
        <v>1007368</v>
      </c>
      <c r="B5883">
        <v>5621</v>
      </c>
      <c r="C5883">
        <v>1</v>
      </c>
      <c r="D5883" s="17" t="s">
        <v>10507</v>
      </c>
      <c r="E5883" s="17"/>
      <c r="F5883" s="17" t="s">
        <v>10780</v>
      </c>
      <c r="G5883" s="17"/>
      <c r="H5883" s="17" t="s">
        <v>12908</v>
      </c>
      <c r="I5883" s="17"/>
      <c r="J5883" s="17" t="s">
        <v>12909</v>
      </c>
      <c r="K5883" s="17"/>
      <c r="L5883" s="17" t="s">
        <v>12991</v>
      </c>
      <c r="M5883" s="17"/>
      <c r="N5883" s="17" t="s">
        <v>12992</v>
      </c>
      <c r="O5883" s="17"/>
      <c r="P5883" s="17" t="s">
        <v>13211</v>
      </c>
      <c r="Q5883" s="17"/>
      <c r="R5883" s="25" t="str">
        <f>HYPERLINK("https://ictv.global/taxonomy/taxondetails?taxnode_id=202302940","Cyclovirus bastao")</f>
        <v>Cyclovirus bastao</v>
      </c>
      <c r="S5883" s="18" t="s">
        <v>30</v>
      </c>
      <c r="T5883" s="18" t="s">
        <v>13236</v>
      </c>
      <c r="U5883" s="18" t="s">
        <v>13237</v>
      </c>
      <c r="V5883" s="18" t="s">
        <v>13238</v>
      </c>
      <c r="W5883" s="18" t="s">
        <v>13239</v>
      </c>
      <c r="X5883" s="18" t="s">
        <v>42</v>
      </c>
      <c r="Y5883" s="18" t="s">
        <v>12266</v>
      </c>
      <c r="Z5883" s="18" t="s">
        <v>166</v>
      </c>
      <c r="AA5883" s="21" t="str">
        <f>HYPERLINK("https://www.ncbi.nlm.nih.gov/nuccore/KM382270","NCBI Nucleotide")</f>
        <v>NCBI Nucleotide</v>
      </c>
    </row>
    <row r="5884" spans="1:27" x14ac:dyDescent="0.35">
      <c r="A5884">
        <v>1007369</v>
      </c>
      <c r="B5884">
        <v>5622</v>
      </c>
      <c r="C5884">
        <v>1</v>
      </c>
      <c r="D5884" s="17" t="s">
        <v>10507</v>
      </c>
      <c r="E5884" s="17"/>
      <c r="F5884" s="17" t="s">
        <v>10780</v>
      </c>
      <c r="G5884" s="17"/>
      <c r="H5884" s="17" t="s">
        <v>12908</v>
      </c>
      <c r="I5884" s="17"/>
      <c r="J5884" s="17" t="s">
        <v>12909</v>
      </c>
      <c r="K5884" s="17"/>
      <c r="L5884" s="17" t="s">
        <v>12991</v>
      </c>
      <c r="M5884" s="17"/>
      <c r="N5884" s="17" t="s">
        <v>12992</v>
      </c>
      <c r="O5884" s="17"/>
      <c r="P5884" s="17" t="s">
        <v>13211</v>
      </c>
      <c r="Q5884" s="17"/>
      <c r="R5884" s="25" t="str">
        <f>HYPERLINK("https://ictv.global/taxonomy/taxondetails?taxnode_id=202314120","Cyclovirus bohloa")</f>
        <v>Cyclovirus bohloa</v>
      </c>
      <c r="S5884" s="18" t="s">
        <v>30</v>
      </c>
      <c r="T5884" s="18" t="s">
        <v>13240</v>
      </c>
      <c r="U5884" s="18" t="s">
        <v>13241</v>
      </c>
      <c r="V5884" s="18" t="s">
        <v>13242</v>
      </c>
      <c r="W5884" s="18" t="s">
        <v>13243</v>
      </c>
      <c r="X5884" s="18" t="s">
        <v>42</v>
      </c>
      <c r="Y5884" s="18" t="s">
        <v>12266</v>
      </c>
      <c r="Z5884" s="18" t="s">
        <v>10790</v>
      </c>
      <c r="AA5884" s="21" t="str">
        <f>HYPERLINK("https://www.ncbi.nlm.nih.gov/nuccore/ON324104","NCBI Nucleotide")</f>
        <v>NCBI Nucleotide</v>
      </c>
    </row>
    <row r="5885" spans="1:27" x14ac:dyDescent="0.35">
      <c r="A5885">
        <v>1007370</v>
      </c>
      <c r="B5885">
        <v>5623</v>
      </c>
      <c r="C5885">
        <v>1</v>
      </c>
      <c r="D5885" s="17" t="s">
        <v>10507</v>
      </c>
      <c r="E5885" s="17"/>
      <c r="F5885" s="17" t="s">
        <v>10780</v>
      </c>
      <c r="G5885" s="17"/>
      <c r="H5885" s="17" t="s">
        <v>12908</v>
      </c>
      <c r="I5885" s="17"/>
      <c r="J5885" s="17" t="s">
        <v>12909</v>
      </c>
      <c r="K5885" s="17"/>
      <c r="L5885" s="17" t="s">
        <v>12991</v>
      </c>
      <c r="M5885" s="17"/>
      <c r="N5885" s="17" t="s">
        <v>12992</v>
      </c>
      <c r="O5885" s="17"/>
      <c r="P5885" s="17" t="s">
        <v>13211</v>
      </c>
      <c r="Q5885" s="17"/>
      <c r="R5885" s="25" t="str">
        <f>HYPERLINK("https://ictv.global/taxonomy/taxondetails?taxnode_id=202302961","Cyclovirus caballo")</f>
        <v>Cyclovirus caballo</v>
      </c>
      <c r="S5885" s="18" t="s">
        <v>30</v>
      </c>
      <c r="T5885" s="18" t="s">
        <v>13244</v>
      </c>
      <c r="U5885" s="18" t="s">
        <v>13245</v>
      </c>
      <c r="V5885" s="18" t="s">
        <v>13246</v>
      </c>
      <c r="W5885" s="18" t="s">
        <v>13247</v>
      </c>
      <c r="X5885" s="18" t="s">
        <v>42</v>
      </c>
      <c r="Y5885" s="18" t="s">
        <v>12266</v>
      </c>
      <c r="Z5885" s="18" t="s">
        <v>166</v>
      </c>
      <c r="AA5885" s="21" t="str">
        <f>HYPERLINK("https://www.ncbi.nlm.nih.gov/nuccore/KR902499","NCBI Nucleotide")</f>
        <v>NCBI Nucleotide</v>
      </c>
    </row>
    <row r="5886" spans="1:27" x14ac:dyDescent="0.35">
      <c r="A5886">
        <v>1007371</v>
      </c>
      <c r="B5886">
        <v>5624</v>
      </c>
      <c r="C5886">
        <v>1</v>
      </c>
      <c r="D5886" s="17" t="s">
        <v>10507</v>
      </c>
      <c r="E5886" s="17"/>
      <c r="F5886" s="17" t="s">
        <v>10780</v>
      </c>
      <c r="G5886" s="17"/>
      <c r="H5886" s="17" t="s">
        <v>12908</v>
      </c>
      <c r="I5886" s="17"/>
      <c r="J5886" s="17" t="s">
        <v>12909</v>
      </c>
      <c r="K5886" s="17"/>
      <c r="L5886" s="17" t="s">
        <v>12991</v>
      </c>
      <c r="M5886" s="17"/>
      <c r="N5886" s="17" t="s">
        <v>12992</v>
      </c>
      <c r="O5886" s="17"/>
      <c r="P5886" s="17" t="s">
        <v>13211</v>
      </c>
      <c r="Q5886" s="17"/>
      <c r="R5886" s="25" t="str">
        <f>HYPERLINK("https://ictv.global/taxonomy/taxondetails?taxnode_id=202314099","Cyclovirus cervienka")</f>
        <v>Cyclovirus cervienka</v>
      </c>
      <c r="S5886" s="18" t="s">
        <v>30</v>
      </c>
      <c r="T5886" s="18" t="s">
        <v>13248</v>
      </c>
      <c r="U5886" s="18" t="s">
        <v>13249</v>
      </c>
      <c r="V5886" s="18" t="s">
        <v>13250</v>
      </c>
      <c r="W5886" s="18" t="s">
        <v>13251</v>
      </c>
      <c r="X5886" s="18" t="s">
        <v>42</v>
      </c>
      <c r="Y5886" s="18" t="s">
        <v>12266</v>
      </c>
      <c r="Z5886" s="18" t="s">
        <v>166</v>
      </c>
      <c r="AA5886" s="21" t="str">
        <f>HYPERLINK("https://www.ncbi.nlm.nih.gov/nuccore/MZ350969","NCBI Nucleotide")</f>
        <v>NCBI Nucleotide</v>
      </c>
    </row>
    <row r="5887" spans="1:27" x14ac:dyDescent="0.35">
      <c r="A5887">
        <v>1007372</v>
      </c>
      <c r="B5887">
        <v>5625</v>
      </c>
      <c r="C5887">
        <v>1</v>
      </c>
      <c r="D5887" s="17" t="s">
        <v>10507</v>
      </c>
      <c r="E5887" s="17"/>
      <c r="F5887" s="17" t="s">
        <v>10780</v>
      </c>
      <c r="G5887" s="17"/>
      <c r="H5887" s="17" t="s">
        <v>12908</v>
      </c>
      <c r="I5887" s="17"/>
      <c r="J5887" s="17" t="s">
        <v>12909</v>
      </c>
      <c r="K5887" s="17"/>
      <c r="L5887" s="17" t="s">
        <v>12991</v>
      </c>
      <c r="M5887" s="17"/>
      <c r="N5887" s="17" t="s">
        <v>12992</v>
      </c>
      <c r="O5887" s="17"/>
      <c r="P5887" s="17" t="s">
        <v>13211</v>
      </c>
      <c r="Q5887" s="17"/>
      <c r="R5887" s="25" t="str">
        <f>HYPERLINK("https://ictv.global/taxonomy/taxondetails?taxnode_id=202302942","Cyclovirus doi")</f>
        <v>Cyclovirus doi</v>
      </c>
      <c r="S5887" s="18" t="s">
        <v>30</v>
      </c>
      <c r="T5887" s="18" t="s">
        <v>13252</v>
      </c>
      <c r="U5887" s="18" t="s">
        <v>13253</v>
      </c>
      <c r="V5887" s="18" t="s">
        <v>13254</v>
      </c>
      <c r="W5887" s="18" t="s">
        <v>13255</v>
      </c>
      <c r="X5887" s="18" t="s">
        <v>42</v>
      </c>
      <c r="Y5887" s="18" t="s">
        <v>12266</v>
      </c>
      <c r="Z5887" s="18" t="s">
        <v>166</v>
      </c>
      <c r="AA5887" s="21" t="str">
        <f>HYPERLINK("https://www.ncbi.nlm.nih.gov/nuccore/KM382269","NCBI Nucleotide")</f>
        <v>NCBI Nucleotide</v>
      </c>
    </row>
    <row r="5888" spans="1:27" x14ac:dyDescent="0.35">
      <c r="A5888">
        <v>1007373</v>
      </c>
      <c r="B5888">
        <v>5626</v>
      </c>
      <c r="C5888">
        <v>1</v>
      </c>
      <c r="D5888" s="17" t="s">
        <v>10507</v>
      </c>
      <c r="E5888" s="17"/>
      <c r="F5888" s="17" t="s">
        <v>10780</v>
      </c>
      <c r="G5888" s="17"/>
      <c r="H5888" s="17" t="s">
        <v>12908</v>
      </c>
      <c r="I5888" s="17"/>
      <c r="J5888" s="17" t="s">
        <v>12909</v>
      </c>
      <c r="K5888" s="17"/>
      <c r="L5888" s="17" t="s">
        <v>12991</v>
      </c>
      <c r="M5888" s="17"/>
      <c r="N5888" s="17" t="s">
        <v>12992</v>
      </c>
      <c r="O5888" s="17"/>
      <c r="P5888" s="17" t="s">
        <v>13211</v>
      </c>
      <c r="Q5888" s="17"/>
      <c r="R5888" s="25" t="str">
        <f>HYPERLINK("https://ictv.global/taxonomy/taxondetails?taxnode_id=202314122","Cyclovirus enseenene")</f>
        <v>Cyclovirus enseenene</v>
      </c>
      <c r="S5888" s="18" t="s">
        <v>30</v>
      </c>
      <c r="T5888" s="18" t="s">
        <v>13256</v>
      </c>
      <c r="U5888" s="18" t="s">
        <v>13257</v>
      </c>
      <c r="V5888" s="18" t="s">
        <v>13258</v>
      </c>
      <c r="W5888" s="18" t="s">
        <v>13259</v>
      </c>
      <c r="X5888" s="18" t="s">
        <v>42</v>
      </c>
      <c r="Y5888" s="18" t="s">
        <v>12266</v>
      </c>
      <c r="Z5888" s="18" t="s">
        <v>10790</v>
      </c>
      <c r="AA5888" s="21" t="str">
        <f>HYPERLINK("https://www.ncbi.nlm.nih.gov/nuccore/ON324107","NCBI Nucleotide")</f>
        <v>NCBI Nucleotide</v>
      </c>
    </row>
    <row r="5889" spans="1:27" x14ac:dyDescent="0.35">
      <c r="A5889">
        <v>1025334</v>
      </c>
      <c r="B5889">
        <v>5627</v>
      </c>
      <c r="C5889">
        <v>1</v>
      </c>
      <c r="D5889" s="17" t="s">
        <v>10507</v>
      </c>
      <c r="E5889" s="17"/>
      <c r="F5889" s="17" t="s">
        <v>10780</v>
      </c>
      <c r="G5889" s="17"/>
      <c r="H5889" s="17" t="s">
        <v>12908</v>
      </c>
      <c r="I5889" s="17"/>
      <c r="J5889" s="17" t="s">
        <v>12909</v>
      </c>
      <c r="K5889" s="17"/>
      <c r="L5889" s="17" t="s">
        <v>12991</v>
      </c>
      <c r="M5889" s="17"/>
      <c r="N5889" s="17" t="s">
        <v>12992</v>
      </c>
      <c r="O5889" s="17"/>
      <c r="P5889" s="17" t="s">
        <v>13211</v>
      </c>
      <c r="Q5889" s="17"/>
      <c r="R5889" s="25" t="str">
        <f>HYPERLINK("https://ictv.global/taxonomy/taxondetails?taxnode_id=202317734","Cyclovirus ezzike")</f>
        <v>Cyclovirus ezzike</v>
      </c>
      <c r="S5889" s="18" t="s">
        <v>30</v>
      </c>
      <c r="T5889" s="18" t="s">
        <v>50392</v>
      </c>
      <c r="U5889" s="18" t="s">
        <v>40163</v>
      </c>
      <c r="V5889" s="18" t="s">
        <v>40164</v>
      </c>
      <c r="W5889" s="18" t="s">
        <v>40165</v>
      </c>
      <c r="X5889" s="18" t="s">
        <v>42</v>
      </c>
      <c r="Y5889" s="18" t="s">
        <v>12266</v>
      </c>
      <c r="Z5889" s="18" t="s">
        <v>166</v>
      </c>
      <c r="AA5889" s="21" t="str">
        <f>HYPERLINK("https://www.ncbi.nlm.nih.gov/nuccore/OP934204","NCBI Nucleotide")</f>
        <v>NCBI Nucleotide</v>
      </c>
    </row>
    <row r="5890" spans="1:27" x14ac:dyDescent="0.35">
      <c r="A5890">
        <v>1007374</v>
      </c>
      <c r="B5890">
        <v>5628</v>
      </c>
      <c r="C5890">
        <v>1</v>
      </c>
      <c r="D5890" s="17" t="s">
        <v>10507</v>
      </c>
      <c r="E5890" s="17"/>
      <c r="F5890" s="17" t="s">
        <v>10780</v>
      </c>
      <c r="G5890" s="17"/>
      <c r="H5890" s="17" t="s">
        <v>12908</v>
      </c>
      <c r="I5890" s="17"/>
      <c r="J5890" s="17" t="s">
        <v>12909</v>
      </c>
      <c r="K5890" s="17"/>
      <c r="L5890" s="17" t="s">
        <v>12991</v>
      </c>
      <c r="M5890" s="17"/>
      <c r="N5890" s="17" t="s">
        <v>12992</v>
      </c>
      <c r="O5890" s="17"/>
      <c r="P5890" s="17" t="s">
        <v>13211</v>
      </c>
      <c r="Q5890" s="17"/>
      <c r="R5890" s="25" t="str">
        <f>HYPERLINK("https://ictv.global/taxonomy/taxondetails?taxnode_id=202302935","Cyclovirus flagermus")</f>
        <v>Cyclovirus flagermus</v>
      </c>
      <c r="S5890" s="18" t="s">
        <v>30</v>
      </c>
      <c r="T5890" s="18" t="s">
        <v>13260</v>
      </c>
      <c r="U5890" s="18" t="s">
        <v>13261</v>
      </c>
      <c r="V5890" s="18" t="s">
        <v>13262</v>
      </c>
      <c r="W5890" s="18" t="s">
        <v>13263</v>
      </c>
      <c r="X5890" s="18" t="s">
        <v>42</v>
      </c>
      <c r="Y5890" s="18" t="s">
        <v>12266</v>
      </c>
      <c r="Z5890" s="18" t="s">
        <v>166</v>
      </c>
      <c r="AA5890" s="21" t="str">
        <f>HYPERLINK("https://www.ncbi.nlm.nih.gov/nuccore/HQ738637","NCBI Nucleotide")</f>
        <v>NCBI Nucleotide</v>
      </c>
    </row>
    <row r="5891" spans="1:27" x14ac:dyDescent="0.35">
      <c r="A5891">
        <v>1007375</v>
      </c>
      <c r="B5891">
        <v>5629</v>
      </c>
      <c r="C5891">
        <v>1</v>
      </c>
      <c r="D5891" s="17" t="s">
        <v>10507</v>
      </c>
      <c r="E5891" s="17"/>
      <c r="F5891" s="17" t="s">
        <v>10780</v>
      </c>
      <c r="G5891" s="17"/>
      <c r="H5891" s="17" t="s">
        <v>12908</v>
      </c>
      <c r="I5891" s="17"/>
      <c r="J5891" s="17" t="s">
        <v>12909</v>
      </c>
      <c r="K5891" s="17"/>
      <c r="L5891" s="17" t="s">
        <v>12991</v>
      </c>
      <c r="M5891" s="17"/>
      <c r="N5891" s="17" t="s">
        <v>12992</v>
      </c>
      <c r="O5891" s="17"/>
      <c r="P5891" s="17" t="s">
        <v>13211</v>
      </c>
      <c r="Q5891" s="17"/>
      <c r="R5891" s="25" t="str">
        <f>HYPERLINK("https://ictv.global/taxonomy/taxondetails?taxnode_id=202314109","Cyclovirus fledermoyz")</f>
        <v>Cyclovirus fledermoyz</v>
      </c>
      <c r="S5891" s="18" t="s">
        <v>30</v>
      </c>
      <c r="T5891" s="18" t="s">
        <v>13264</v>
      </c>
      <c r="U5891" s="18" t="s">
        <v>13265</v>
      </c>
      <c r="V5891" s="18" t="s">
        <v>13266</v>
      </c>
      <c r="W5891" s="18" t="s">
        <v>13267</v>
      </c>
      <c r="X5891" s="18" t="s">
        <v>42</v>
      </c>
      <c r="Y5891" s="18" t="s">
        <v>12266</v>
      </c>
      <c r="Z5891" s="18" t="s">
        <v>166</v>
      </c>
      <c r="AA5891" s="21" t="str">
        <f>HYPERLINK("https://www.ncbi.nlm.nih.gov/nuccore/OM262456","NCBI Nucleotide")</f>
        <v>NCBI Nucleotide</v>
      </c>
    </row>
    <row r="5892" spans="1:27" x14ac:dyDescent="0.35">
      <c r="A5892">
        <v>1007376</v>
      </c>
      <c r="B5892">
        <v>5630</v>
      </c>
      <c r="C5892">
        <v>1</v>
      </c>
      <c r="D5892" s="17" t="s">
        <v>10507</v>
      </c>
      <c r="E5892" s="17"/>
      <c r="F5892" s="17" t="s">
        <v>10780</v>
      </c>
      <c r="G5892" s="17"/>
      <c r="H5892" s="17" t="s">
        <v>12908</v>
      </c>
      <c r="I5892" s="17"/>
      <c r="J5892" s="17" t="s">
        <v>12909</v>
      </c>
      <c r="K5892" s="17"/>
      <c r="L5892" s="17" t="s">
        <v>12991</v>
      </c>
      <c r="M5892" s="17"/>
      <c r="N5892" s="17" t="s">
        <v>12992</v>
      </c>
      <c r="O5892" s="17"/>
      <c r="P5892" s="17" t="s">
        <v>13211</v>
      </c>
      <c r="Q5892" s="17"/>
      <c r="R5892" s="25" t="str">
        <f>HYPERLINK("https://ictv.global/taxonomy/taxondetails?taxnode_id=202314090","Cyclovirus foca")</f>
        <v>Cyclovirus foca</v>
      </c>
      <c r="S5892" s="18" t="s">
        <v>30</v>
      </c>
      <c r="T5892" s="18" t="s">
        <v>13268</v>
      </c>
      <c r="U5892" s="18" t="s">
        <v>13269</v>
      </c>
      <c r="V5892" s="18">
        <v>48</v>
      </c>
      <c r="W5892" s="18" t="s">
        <v>13270</v>
      </c>
      <c r="X5892" s="18" t="s">
        <v>42</v>
      </c>
      <c r="Y5892" s="18" t="s">
        <v>12266</v>
      </c>
      <c r="Z5892" s="18" t="s">
        <v>166</v>
      </c>
      <c r="AA5892" s="21" t="str">
        <f>HYPERLINK("https://www.ncbi.nlm.nih.gov/nuccore/MN176052","NCBI Nucleotide")</f>
        <v>NCBI Nucleotide</v>
      </c>
    </row>
    <row r="5893" spans="1:27" x14ac:dyDescent="0.35">
      <c r="A5893">
        <v>1007377</v>
      </c>
      <c r="B5893">
        <v>5631</v>
      </c>
      <c r="C5893">
        <v>1</v>
      </c>
      <c r="D5893" s="17" t="s">
        <v>10507</v>
      </c>
      <c r="E5893" s="17"/>
      <c r="F5893" s="17" t="s">
        <v>10780</v>
      </c>
      <c r="G5893" s="17"/>
      <c r="H5893" s="17" t="s">
        <v>12908</v>
      </c>
      <c r="I5893" s="17"/>
      <c r="J5893" s="17" t="s">
        <v>12909</v>
      </c>
      <c r="K5893" s="17"/>
      <c r="L5893" s="17" t="s">
        <v>12991</v>
      </c>
      <c r="M5893" s="17"/>
      <c r="N5893" s="17" t="s">
        <v>12992</v>
      </c>
      <c r="O5893" s="17"/>
      <c r="P5893" s="17" t="s">
        <v>13211</v>
      </c>
      <c r="Q5893" s="17"/>
      <c r="R5893" s="25" t="str">
        <f>HYPERLINK("https://ictv.global/taxonomy/taxondetails?taxnode_id=202314116","Cyclovirus fourmi")</f>
        <v>Cyclovirus fourmi</v>
      </c>
      <c r="S5893" s="18" t="s">
        <v>30</v>
      </c>
      <c r="T5893" s="18" t="s">
        <v>13271</v>
      </c>
      <c r="U5893" s="18" t="s">
        <v>13272</v>
      </c>
      <c r="V5893" s="18" t="s">
        <v>13273</v>
      </c>
      <c r="W5893" s="18" t="s">
        <v>13274</v>
      </c>
      <c r="X5893" s="18" t="s">
        <v>42</v>
      </c>
      <c r="Y5893" s="18" t="s">
        <v>12266</v>
      </c>
      <c r="Z5893" s="18" t="s">
        <v>10790</v>
      </c>
      <c r="AA5893" s="21" t="str">
        <f>HYPERLINK("https://www.ncbi.nlm.nih.gov/nuccore/ON324069","NCBI Nucleotide")</f>
        <v>NCBI Nucleotide</v>
      </c>
    </row>
    <row r="5894" spans="1:27" x14ac:dyDescent="0.35">
      <c r="A5894">
        <v>1007378</v>
      </c>
      <c r="B5894">
        <v>5632</v>
      </c>
      <c r="C5894">
        <v>1</v>
      </c>
      <c r="D5894" s="17" t="s">
        <v>10507</v>
      </c>
      <c r="E5894" s="17"/>
      <c r="F5894" s="17" t="s">
        <v>10780</v>
      </c>
      <c r="G5894" s="17"/>
      <c r="H5894" s="17" t="s">
        <v>12908</v>
      </c>
      <c r="I5894" s="17"/>
      <c r="J5894" s="17" t="s">
        <v>12909</v>
      </c>
      <c r="K5894" s="17"/>
      <c r="L5894" s="17" t="s">
        <v>12991</v>
      </c>
      <c r="M5894" s="17"/>
      <c r="N5894" s="17" t="s">
        <v>12992</v>
      </c>
      <c r="O5894" s="17"/>
      <c r="P5894" s="17" t="s">
        <v>13211</v>
      </c>
      <c r="Q5894" s="17"/>
      <c r="R5894" s="25" t="str">
        <f>HYPERLINK("https://ictv.global/taxonomy/taxondetails?taxnode_id=202302947","Cyclovirus gaaye")</f>
        <v>Cyclovirus gaaye</v>
      </c>
      <c r="S5894" s="18" t="s">
        <v>30</v>
      </c>
      <c r="T5894" s="18" t="s">
        <v>13275</v>
      </c>
      <c r="U5894" s="18" t="s">
        <v>13276</v>
      </c>
      <c r="V5894" s="18" t="s">
        <v>13277</v>
      </c>
      <c r="W5894" s="18" t="s">
        <v>13278</v>
      </c>
      <c r="X5894" s="18" t="s">
        <v>42</v>
      </c>
      <c r="Y5894" s="18" t="s">
        <v>12266</v>
      </c>
      <c r="Z5894" s="18" t="s">
        <v>166</v>
      </c>
      <c r="AA5894" s="21" t="str">
        <f>HYPERLINK("https://www.ncbi.nlm.nih.gov/nuccore/HQ738634","NCBI Nucleotide")</f>
        <v>NCBI Nucleotide</v>
      </c>
    </row>
    <row r="5895" spans="1:27" x14ac:dyDescent="0.35">
      <c r="A5895">
        <v>1007379</v>
      </c>
      <c r="B5895">
        <v>5633</v>
      </c>
      <c r="C5895">
        <v>1</v>
      </c>
      <c r="D5895" s="17" t="s">
        <v>10507</v>
      </c>
      <c r="E5895" s="17"/>
      <c r="F5895" s="17" t="s">
        <v>10780</v>
      </c>
      <c r="G5895" s="17"/>
      <c r="H5895" s="17" t="s">
        <v>12908</v>
      </c>
      <c r="I5895" s="17"/>
      <c r="J5895" s="17" t="s">
        <v>12909</v>
      </c>
      <c r="K5895" s="17"/>
      <c r="L5895" s="17" t="s">
        <v>12991</v>
      </c>
      <c r="M5895" s="17"/>
      <c r="N5895" s="17" t="s">
        <v>12992</v>
      </c>
      <c r="O5895" s="17"/>
      <c r="P5895" s="17" t="s">
        <v>13211</v>
      </c>
      <c r="Q5895" s="17"/>
      <c r="R5895" s="25" t="str">
        <f>HYPERLINK("https://ictv.global/taxonomy/taxondetails?taxnode_id=202302959","Cyclovirus gato")</f>
        <v>Cyclovirus gato</v>
      </c>
      <c r="S5895" s="18" t="s">
        <v>30</v>
      </c>
      <c r="T5895" s="18" t="s">
        <v>13279</v>
      </c>
      <c r="U5895" s="18" t="s">
        <v>13280</v>
      </c>
      <c r="V5895" s="18"/>
      <c r="W5895" s="18" t="s">
        <v>13281</v>
      </c>
      <c r="X5895" s="18" t="s">
        <v>42</v>
      </c>
      <c r="Y5895" s="18" t="s">
        <v>12266</v>
      </c>
      <c r="Z5895" s="18" t="s">
        <v>166</v>
      </c>
      <c r="AA5895" s="21" t="str">
        <f>HYPERLINK("https://www.ncbi.nlm.nih.gov/nuccore/KM017740","NCBI Nucleotide")</f>
        <v>NCBI Nucleotide</v>
      </c>
    </row>
    <row r="5896" spans="1:27" x14ac:dyDescent="0.35">
      <c r="A5896">
        <v>1007380</v>
      </c>
      <c r="B5896">
        <v>5634</v>
      </c>
      <c r="C5896">
        <v>1</v>
      </c>
      <c r="D5896" s="17" t="s">
        <v>10507</v>
      </c>
      <c r="E5896" s="17"/>
      <c r="F5896" s="17" t="s">
        <v>10780</v>
      </c>
      <c r="G5896" s="17"/>
      <c r="H5896" s="17" t="s">
        <v>12908</v>
      </c>
      <c r="I5896" s="17"/>
      <c r="J5896" s="17" t="s">
        <v>12909</v>
      </c>
      <c r="K5896" s="17"/>
      <c r="L5896" s="17" t="s">
        <v>12991</v>
      </c>
      <c r="M5896" s="17"/>
      <c r="N5896" s="17" t="s">
        <v>12992</v>
      </c>
      <c r="O5896" s="17"/>
      <c r="P5896" s="17" t="s">
        <v>13211</v>
      </c>
      <c r="Q5896" s="17"/>
      <c r="R5896" s="25" t="str">
        <f>HYPERLINK("https://ictv.global/taxonomy/taxondetails?taxnode_id=202302966","Cyclovirus homa")</f>
        <v>Cyclovirus homa</v>
      </c>
      <c r="S5896" s="18" t="s">
        <v>30</v>
      </c>
      <c r="T5896" s="18" t="s">
        <v>13282</v>
      </c>
      <c r="U5896" s="18" t="s">
        <v>13283</v>
      </c>
      <c r="V5896" s="18" t="s">
        <v>13284</v>
      </c>
      <c r="W5896" s="18" t="s">
        <v>13285</v>
      </c>
      <c r="X5896" s="18" t="s">
        <v>42</v>
      </c>
      <c r="Y5896" s="18" t="s">
        <v>12266</v>
      </c>
      <c r="Z5896" s="18" t="s">
        <v>166</v>
      </c>
      <c r="AA5896" s="21" t="str">
        <f>HYPERLINK("https://www.ncbi.nlm.nih.gov/nuccore/GQ404845","NCBI Nucleotide")</f>
        <v>NCBI Nucleotide</v>
      </c>
    </row>
    <row r="5897" spans="1:27" x14ac:dyDescent="0.35">
      <c r="A5897">
        <v>1007381</v>
      </c>
      <c r="B5897">
        <v>5635</v>
      </c>
      <c r="C5897">
        <v>1</v>
      </c>
      <c r="D5897" s="17" t="s">
        <v>10507</v>
      </c>
      <c r="E5897" s="17"/>
      <c r="F5897" s="17" t="s">
        <v>10780</v>
      </c>
      <c r="G5897" s="17"/>
      <c r="H5897" s="17" t="s">
        <v>12908</v>
      </c>
      <c r="I5897" s="17"/>
      <c r="J5897" s="17" t="s">
        <v>12909</v>
      </c>
      <c r="K5897" s="17"/>
      <c r="L5897" s="17" t="s">
        <v>12991</v>
      </c>
      <c r="M5897" s="17"/>
      <c r="N5897" s="17" t="s">
        <v>12992</v>
      </c>
      <c r="O5897" s="17"/>
      <c r="P5897" s="17" t="s">
        <v>13211</v>
      </c>
      <c r="Q5897" s="17"/>
      <c r="R5897" s="25" t="str">
        <f>HYPERLINK("https://ictv.global/taxonomy/taxondetails?taxnode_id=202302971","Cyclovirus humana")</f>
        <v>Cyclovirus humana</v>
      </c>
      <c r="S5897" s="18" t="s">
        <v>30</v>
      </c>
      <c r="T5897" s="18" t="s">
        <v>13286</v>
      </c>
      <c r="U5897" s="18" t="s">
        <v>13287</v>
      </c>
      <c r="V5897" s="18" t="s">
        <v>13288</v>
      </c>
      <c r="W5897" s="18" t="s">
        <v>13289</v>
      </c>
      <c r="X5897" s="18" t="s">
        <v>42</v>
      </c>
      <c r="Y5897" s="18" t="s">
        <v>12266</v>
      </c>
      <c r="Z5897" s="18" t="s">
        <v>166</v>
      </c>
      <c r="AA5897" s="21" t="str">
        <f>HYPERLINK("https://www.ncbi.nlm.nih.gov/nuccore/KF726984","NCBI Nucleotide")</f>
        <v>NCBI Nucleotide</v>
      </c>
    </row>
    <row r="5898" spans="1:27" x14ac:dyDescent="0.35">
      <c r="A5898">
        <v>1007382</v>
      </c>
      <c r="B5898">
        <v>5636</v>
      </c>
      <c r="C5898">
        <v>1</v>
      </c>
      <c r="D5898" s="17" t="s">
        <v>10507</v>
      </c>
      <c r="E5898" s="17"/>
      <c r="F5898" s="17" t="s">
        <v>10780</v>
      </c>
      <c r="G5898" s="17"/>
      <c r="H5898" s="17" t="s">
        <v>12908</v>
      </c>
      <c r="I5898" s="17"/>
      <c r="J5898" s="17" t="s">
        <v>12909</v>
      </c>
      <c r="K5898" s="17"/>
      <c r="L5898" s="17" t="s">
        <v>12991</v>
      </c>
      <c r="M5898" s="17"/>
      <c r="N5898" s="17" t="s">
        <v>12992</v>
      </c>
      <c r="O5898" s="17"/>
      <c r="P5898" s="17" t="s">
        <v>13211</v>
      </c>
      <c r="Q5898" s="17"/>
      <c r="R5898" s="25" t="str">
        <f>HYPERLINK("https://ictv.global/taxonomy/taxondetails?taxnode_id=202314115","Cyclovirus ibimonyo")</f>
        <v>Cyclovirus ibimonyo</v>
      </c>
      <c r="S5898" s="18" t="s">
        <v>30</v>
      </c>
      <c r="T5898" s="18" t="s">
        <v>13290</v>
      </c>
      <c r="U5898" s="18" t="s">
        <v>13291</v>
      </c>
      <c r="V5898" s="18" t="s">
        <v>13292</v>
      </c>
      <c r="W5898" s="18" t="s">
        <v>13293</v>
      </c>
      <c r="X5898" s="18" t="s">
        <v>42</v>
      </c>
      <c r="Y5898" s="18" t="s">
        <v>12266</v>
      </c>
      <c r="Z5898" s="18" t="s">
        <v>10790</v>
      </c>
      <c r="AA5898" s="21" t="str">
        <f>HYPERLINK("https://www.ncbi.nlm.nih.gov/nuccore/ON324066","NCBI Nucleotide")</f>
        <v>NCBI Nucleotide</v>
      </c>
    </row>
    <row r="5899" spans="1:27" x14ac:dyDescent="0.35">
      <c r="A5899">
        <v>1007383</v>
      </c>
      <c r="B5899">
        <v>5637</v>
      </c>
      <c r="C5899">
        <v>1</v>
      </c>
      <c r="D5899" s="17" t="s">
        <v>10507</v>
      </c>
      <c r="E5899" s="17"/>
      <c r="F5899" s="17" t="s">
        <v>10780</v>
      </c>
      <c r="G5899" s="17"/>
      <c r="H5899" s="17" t="s">
        <v>12908</v>
      </c>
      <c r="I5899" s="17"/>
      <c r="J5899" s="17" t="s">
        <v>12909</v>
      </c>
      <c r="K5899" s="17"/>
      <c r="L5899" s="17" t="s">
        <v>12991</v>
      </c>
      <c r="M5899" s="17"/>
      <c r="N5899" s="17" t="s">
        <v>12992</v>
      </c>
      <c r="O5899" s="17"/>
      <c r="P5899" s="17" t="s">
        <v>13211</v>
      </c>
      <c r="Q5899" s="17"/>
      <c r="R5899" s="25" t="str">
        <f>HYPERLINK("https://ictv.global/taxonomy/taxondetails?taxnode_id=202302963","Cyclovirus insaan")</f>
        <v>Cyclovirus insaan</v>
      </c>
      <c r="S5899" s="18" t="s">
        <v>30</v>
      </c>
      <c r="T5899" s="18" t="s">
        <v>13294</v>
      </c>
      <c r="U5899" s="18" t="s">
        <v>13295</v>
      </c>
      <c r="V5899" s="18" t="s">
        <v>13296</v>
      </c>
      <c r="W5899" s="18" t="s">
        <v>13297</v>
      </c>
      <c r="X5899" s="18" t="s">
        <v>42</v>
      </c>
      <c r="Y5899" s="18" t="s">
        <v>12266</v>
      </c>
      <c r="Z5899" s="18" t="s">
        <v>166</v>
      </c>
      <c r="AA5899" s="21" t="str">
        <f>HYPERLINK("https://www.ncbi.nlm.nih.gov/nuccore/GQ404844","NCBI Nucleotide")</f>
        <v>NCBI Nucleotide</v>
      </c>
    </row>
    <row r="5900" spans="1:27" x14ac:dyDescent="0.35">
      <c r="A5900">
        <v>1007384</v>
      </c>
      <c r="B5900">
        <v>5638</v>
      </c>
      <c r="C5900">
        <v>1</v>
      </c>
      <c r="D5900" s="17" t="s">
        <v>10507</v>
      </c>
      <c r="E5900" s="17"/>
      <c r="F5900" s="17" t="s">
        <v>10780</v>
      </c>
      <c r="G5900" s="17"/>
      <c r="H5900" s="17" t="s">
        <v>12908</v>
      </c>
      <c r="I5900" s="17"/>
      <c r="J5900" s="17" t="s">
        <v>12909</v>
      </c>
      <c r="K5900" s="17"/>
      <c r="L5900" s="17" t="s">
        <v>12991</v>
      </c>
      <c r="M5900" s="17"/>
      <c r="N5900" s="17" t="s">
        <v>12992</v>
      </c>
      <c r="O5900" s="17"/>
      <c r="P5900" s="17" t="s">
        <v>13211</v>
      </c>
      <c r="Q5900" s="17"/>
      <c r="R5900" s="25" t="str">
        <f>HYPERLINK("https://ictv.global/taxonomy/taxondetails?taxnode_id=202302931","Cyclovirus jaaabani")</f>
        <v>Cyclovirus jaaabani</v>
      </c>
      <c r="S5900" s="18" t="s">
        <v>30</v>
      </c>
      <c r="T5900" s="18" t="s">
        <v>13298</v>
      </c>
      <c r="U5900" s="18" t="s">
        <v>13299</v>
      </c>
      <c r="V5900" s="18" t="s">
        <v>13300</v>
      </c>
      <c r="W5900" s="18" t="s">
        <v>13301</v>
      </c>
      <c r="X5900" s="18" t="s">
        <v>42</v>
      </c>
      <c r="Y5900" s="18" t="s">
        <v>12266</v>
      </c>
      <c r="Z5900" s="18" t="s">
        <v>166</v>
      </c>
      <c r="AA5900" s="21" t="str">
        <f>HYPERLINK("https://www.ncbi.nlm.nih.gov/nuccore/HM228874","NCBI Nucleotide")</f>
        <v>NCBI Nucleotide</v>
      </c>
    </row>
    <row r="5901" spans="1:27" x14ac:dyDescent="0.35">
      <c r="A5901">
        <v>1007385</v>
      </c>
      <c r="B5901">
        <v>5639</v>
      </c>
      <c r="C5901">
        <v>1</v>
      </c>
      <c r="D5901" s="17" t="s">
        <v>10507</v>
      </c>
      <c r="E5901" s="17"/>
      <c r="F5901" s="17" t="s">
        <v>10780</v>
      </c>
      <c r="G5901" s="17"/>
      <c r="H5901" s="17" t="s">
        <v>12908</v>
      </c>
      <c r="I5901" s="17"/>
      <c r="J5901" s="17" t="s">
        <v>12909</v>
      </c>
      <c r="K5901" s="17"/>
      <c r="L5901" s="17" t="s">
        <v>12991</v>
      </c>
      <c r="M5901" s="17"/>
      <c r="N5901" s="17" t="s">
        <v>12992</v>
      </c>
      <c r="O5901" s="17"/>
      <c r="P5901" s="17" t="s">
        <v>13211</v>
      </c>
      <c r="Q5901" s="17"/>
      <c r="R5901" s="25" t="str">
        <f>HYPERLINK("https://ictv.global/taxonomy/taxondetails?taxnode_id=202302932","Cyclovirus jemage")</f>
        <v>Cyclovirus jemage</v>
      </c>
      <c r="S5901" s="18" t="s">
        <v>30</v>
      </c>
      <c r="T5901" s="18" t="s">
        <v>13302</v>
      </c>
      <c r="U5901" s="18" t="s">
        <v>13303</v>
      </c>
      <c r="V5901" s="18" t="s">
        <v>13304</v>
      </c>
      <c r="W5901" s="18" t="s">
        <v>13305</v>
      </c>
      <c r="X5901" s="18" t="s">
        <v>42</v>
      </c>
      <c r="Y5901" s="18" t="s">
        <v>12266</v>
      </c>
      <c r="Z5901" s="18" t="s">
        <v>166</v>
      </c>
      <c r="AA5901" s="21" t="str">
        <f>HYPERLINK("https://www.ncbi.nlm.nih.gov/nuccore/JF938079","NCBI Nucleotide")</f>
        <v>NCBI Nucleotide</v>
      </c>
    </row>
    <row r="5902" spans="1:27" x14ac:dyDescent="0.35">
      <c r="A5902">
        <v>1007386</v>
      </c>
      <c r="B5902">
        <v>5640</v>
      </c>
      <c r="C5902">
        <v>1</v>
      </c>
      <c r="D5902" s="17" t="s">
        <v>10507</v>
      </c>
      <c r="E5902" s="17"/>
      <c r="F5902" s="17" t="s">
        <v>10780</v>
      </c>
      <c r="G5902" s="17"/>
      <c r="H5902" s="17" t="s">
        <v>12908</v>
      </c>
      <c r="I5902" s="17"/>
      <c r="J5902" s="17" t="s">
        <v>12909</v>
      </c>
      <c r="K5902" s="17"/>
      <c r="L5902" s="17" t="s">
        <v>12991</v>
      </c>
      <c r="M5902" s="17"/>
      <c r="N5902" s="17" t="s">
        <v>12992</v>
      </c>
      <c r="O5902" s="17"/>
      <c r="P5902" s="17" t="s">
        <v>13211</v>
      </c>
      <c r="Q5902" s="17"/>
      <c r="R5902" s="25" t="str">
        <f>HYPERLINK("https://ictv.global/taxonomy/taxondetails?taxnode_id=202306318","Cyclovirus kacsa")</f>
        <v>Cyclovirus kacsa</v>
      </c>
      <c r="S5902" s="18" t="s">
        <v>30</v>
      </c>
      <c r="T5902" s="18" t="s">
        <v>13306</v>
      </c>
      <c r="U5902" s="18" t="s">
        <v>13307</v>
      </c>
      <c r="V5902" s="18" t="s">
        <v>13308</v>
      </c>
      <c r="W5902" s="18" t="s">
        <v>13309</v>
      </c>
      <c r="X5902" s="18" t="s">
        <v>42</v>
      </c>
      <c r="Y5902" s="18" t="s">
        <v>12266</v>
      </c>
      <c r="Z5902" s="18" t="s">
        <v>166</v>
      </c>
      <c r="AA5902" s="21" t="str">
        <f>HYPERLINK("https://www.ncbi.nlm.nih.gov/nuccore/KY851116","NCBI Nucleotide")</f>
        <v>NCBI Nucleotide</v>
      </c>
    </row>
    <row r="5903" spans="1:27" x14ac:dyDescent="0.35">
      <c r="A5903">
        <v>1007387</v>
      </c>
      <c r="B5903">
        <v>5641</v>
      </c>
      <c r="C5903">
        <v>1</v>
      </c>
      <c r="D5903" s="17" t="s">
        <v>10507</v>
      </c>
      <c r="E5903" s="17"/>
      <c r="F5903" s="17" t="s">
        <v>10780</v>
      </c>
      <c r="G5903" s="17"/>
      <c r="H5903" s="17" t="s">
        <v>12908</v>
      </c>
      <c r="I5903" s="17"/>
      <c r="J5903" s="17" t="s">
        <v>12909</v>
      </c>
      <c r="K5903" s="17"/>
      <c r="L5903" s="17" t="s">
        <v>12991</v>
      </c>
      <c r="M5903" s="17"/>
      <c r="N5903" s="17" t="s">
        <v>12992</v>
      </c>
      <c r="O5903" s="17"/>
      <c r="P5903" s="17" t="s">
        <v>13211</v>
      </c>
      <c r="Q5903" s="17"/>
      <c r="R5903" s="25" t="str">
        <f>HYPERLINK("https://ictv.global/taxonomy/taxondetails?taxnode_id=202314114","Cyclovirus kemirgen")</f>
        <v>Cyclovirus kemirgen</v>
      </c>
      <c r="S5903" s="18" t="s">
        <v>30</v>
      </c>
      <c r="T5903" s="18" t="s">
        <v>13310</v>
      </c>
      <c r="U5903" s="18" t="s">
        <v>13311</v>
      </c>
      <c r="V5903" s="18" t="s">
        <v>13312</v>
      </c>
      <c r="W5903" s="18" t="s">
        <v>13313</v>
      </c>
      <c r="X5903" s="18" t="s">
        <v>42</v>
      </c>
      <c r="Y5903" s="18" t="s">
        <v>12266</v>
      </c>
      <c r="Z5903" s="18" t="s">
        <v>166</v>
      </c>
      <c r="AA5903" s="21" t="str">
        <f>HYPERLINK("https://www.ncbi.nlm.nih.gov/nuccore/OM869613","NCBI Nucleotide")</f>
        <v>NCBI Nucleotide</v>
      </c>
    </row>
    <row r="5904" spans="1:27" x14ac:dyDescent="0.35">
      <c r="A5904">
        <v>1007388</v>
      </c>
      <c r="B5904">
        <v>5642</v>
      </c>
      <c r="C5904">
        <v>1</v>
      </c>
      <c r="D5904" s="17" t="s">
        <v>10507</v>
      </c>
      <c r="E5904" s="17"/>
      <c r="F5904" s="17" t="s">
        <v>10780</v>
      </c>
      <c r="G5904" s="17"/>
      <c r="H5904" s="17" t="s">
        <v>12908</v>
      </c>
      <c r="I5904" s="17"/>
      <c r="J5904" s="17" t="s">
        <v>12909</v>
      </c>
      <c r="K5904" s="17"/>
      <c r="L5904" s="17" t="s">
        <v>12991</v>
      </c>
      <c r="M5904" s="17"/>
      <c r="N5904" s="17" t="s">
        <v>12992</v>
      </c>
      <c r="O5904" s="17"/>
      <c r="P5904" s="17" t="s">
        <v>13211</v>
      </c>
      <c r="Q5904" s="17"/>
      <c r="R5904" s="25" t="str">
        <f>HYPERLINK("https://ictv.global/taxonomy/taxondetails?taxnode_id=202302939","Cyclovirus khangkhaw")</f>
        <v>Cyclovirus khangkhaw</v>
      </c>
      <c r="S5904" s="18" t="s">
        <v>30</v>
      </c>
      <c r="T5904" s="18" t="s">
        <v>13314</v>
      </c>
      <c r="U5904" s="18" t="s">
        <v>13315</v>
      </c>
      <c r="V5904" s="18" t="s">
        <v>13316</v>
      </c>
      <c r="W5904" s="18" t="s">
        <v>13317</v>
      </c>
      <c r="X5904" s="18" t="s">
        <v>42</v>
      </c>
      <c r="Y5904" s="18" t="s">
        <v>12266</v>
      </c>
      <c r="Z5904" s="18" t="s">
        <v>166</v>
      </c>
      <c r="AA5904" s="21" t="str">
        <f>HYPERLINK("https://www.ncbi.nlm.nih.gov/nuccore/KJ641720","NCBI Nucleotide")</f>
        <v>NCBI Nucleotide</v>
      </c>
    </row>
    <row r="5905" spans="1:27" x14ac:dyDescent="0.35">
      <c r="A5905">
        <v>1007389</v>
      </c>
      <c r="B5905">
        <v>5643</v>
      </c>
      <c r="C5905">
        <v>1</v>
      </c>
      <c r="D5905" s="17" t="s">
        <v>10507</v>
      </c>
      <c r="E5905" s="17"/>
      <c r="F5905" s="17" t="s">
        <v>10780</v>
      </c>
      <c r="G5905" s="17"/>
      <c r="H5905" s="17" t="s">
        <v>12908</v>
      </c>
      <c r="I5905" s="17"/>
      <c r="J5905" s="17" t="s">
        <v>12909</v>
      </c>
      <c r="K5905" s="17"/>
      <c r="L5905" s="17" t="s">
        <v>12991</v>
      </c>
      <c r="M5905" s="17"/>
      <c r="N5905" s="17" t="s">
        <v>12992</v>
      </c>
      <c r="O5905" s="17"/>
      <c r="P5905" s="17" t="s">
        <v>13211</v>
      </c>
      <c r="Q5905" s="17"/>
      <c r="R5905" s="25" t="str">
        <f>HYPERLINK("https://ictv.global/taxonomy/taxondetails?taxnode_id=202302933","Cyclovirus kiroptero")</f>
        <v>Cyclovirus kiroptero</v>
      </c>
      <c r="S5905" s="18" t="s">
        <v>30</v>
      </c>
      <c r="T5905" s="18" t="s">
        <v>13318</v>
      </c>
      <c r="U5905" s="18" t="s">
        <v>13319</v>
      </c>
      <c r="V5905" s="18" t="s">
        <v>13320</v>
      </c>
      <c r="W5905" s="18" t="s">
        <v>13321</v>
      </c>
      <c r="X5905" s="18" t="s">
        <v>42</v>
      </c>
      <c r="Y5905" s="18" t="s">
        <v>12266</v>
      </c>
      <c r="Z5905" s="18" t="s">
        <v>166</v>
      </c>
      <c r="AA5905" s="21" t="str">
        <f>HYPERLINK("https://www.ncbi.nlm.nih.gov/nuccore/JF938081","NCBI Nucleotide")</f>
        <v>NCBI Nucleotide</v>
      </c>
    </row>
    <row r="5906" spans="1:27" x14ac:dyDescent="0.35">
      <c r="A5906">
        <v>1007390</v>
      </c>
      <c r="B5906">
        <v>5644</v>
      </c>
      <c r="C5906">
        <v>1</v>
      </c>
      <c r="D5906" s="17" t="s">
        <v>10507</v>
      </c>
      <c r="E5906" s="17"/>
      <c r="F5906" s="17" t="s">
        <v>10780</v>
      </c>
      <c r="G5906" s="17"/>
      <c r="H5906" s="17" t="s">
        <v>12908</v>
      </c>
      <c r="I5906" s="17"/>
      <c r="J5906" s="17" t="s">
        <v>12909</v>
      </c>
      <c r="K5906" s="17"/>
      <c r="L5906" s="17" t="s">
        <v>12991</v>
      </c>
      <c r="M5906" s="17"/>
      <c r="N5906" s="17" t="s">
        <v>12992</v>
      </c>
      <c r="O5906" s="17"/>
      <c r="P5906" s="17" t="s">
        <v>13211</v>
      </c>
      <c r="Q5906" s="17"/>
      <c r="R5906" s="25" t="str">
        <f>HYPERLINK("https://ictv.global/taxonomy/taxondetails?taxnode_id=202302951","Cyclovirus kisikisi")</f>
        <v>Cyclovirus kisikisi</v>
      </c>
      <c r="S5906" s="18" t="s">
        <v>30</v>
      </c>
      <c r="T5906" s="18" t="s">
        <v>13322</v>
      </c>
      <c r="U5906" s="18" t="s">
        <v>13323</v>
      </c>
      <c r="V5906" s="18" t="s">
        <v>13324</v>
      </c>
      <c r="W5906" s="18" t="s">
        <v>13325</v>
      </c>
      <c r="X5906" s="18" t="s">
        <v>42</v>
      </c>
      <c r="Y5906" s="18" t="s">
        <v>12266</v>
      </c>
      <c r="Z5906" s="18" t="s">
        <v>10790</v>
      </c>
      <c r="AA5906" s="21" t="str">
        <f>HYPERLINK("https://www.ncbi.nlm.nih.gov/nuccore/JX185419","NCBI Nucleotide")</f>
        <v>NCBI Nucleotide</v>
      </c>
    </row>
    <row r="5907" spans="1:27" x14ac:dyDescent="0.35">
      <c r="A5907">
        <v>1007391</v>
      </c>
      <c r="B5907">
        <v>5645</v>
      </c>
      <c r="C5907">
        <v>1</v>
      </c>
      <c r="D5907" s="17" t="s">
        <v>10507</v>
      </c>
      <c r="E5907" s="17"/>
      <c r="F5907" s="17" t="s">
        <v>10780</v>
      </c>
      <c r="G5907" s="17"/>
      <c r="H5907" s="17" t="s">
        <v>12908</v>
      </c>
      <c r="I5907" s="17"/>
      <c r="J5907" s="17" t="s">
        <v>12909</v>
      </c>
      <c r="K5907" s="17"/>
      <c r="L5907" s="17" t="s">
        <v>12991</v>
      </c>
      <c r="M5907" s="17"/>
      <c r="N5907" s="17" t="s">
        <v>12992</v>
      </c>
      <c r="O5907" s="17"/>
      <c r="P5907" s="17" t="s">
        <v>13211</v>
      </c>
      <c r="Q5907" s="17"/>
      <c r="R5907" s="25" t="str">
        <f>HYPERLINK("https://ictv.global/taxonomy/taxondetails?taxnode_id=202314118","Cyclovirus kokoro")</f>
        <v>Cyclovirus kokoro</v>
      </c>
      <c r="S5907" s="18" t="s">
        <v>30</v>
      </c>
      <c r="T5907" s="18" t="s">
        <v>13326</v>
      </c>
      <c r="U5907" s="18" t="s">
        <v>13327</v>
      </c>
      <c r="V5907" s="18" t="s">
        <v>13328</v>
      </c>
      <c r="W5907" s="18" t="s">
        <v>13329</v>
      </c>
      <c r="X5907" s="18" t="s">
        <v>42</v>
      </c>
      <c r="Y5907" s="18" t="s">
        <v>12266</v>
      </c>
      <c r="Z5907" s="18" t="s">
        <v>10790</v>
      </c>
      <c r="AA5907" s="21" t="str">
        <f>HYPERLINK("https://www.ncbi.nlm.nih.gov/nuccore/ON324100","NCBI Nucleotide")</f>
        <v>NCBI Nucleotide</v>
      </c>
    </row>
    <row r="5908" spans="1:27" x14ac:dyDescent="0.35">
      <c r="A5908">
        <v>1007392</v>
      </c>
      <c r="B5908">
        <v>5646</v>
      </c>
      <c r="C5908">
        <v>1</v>
      </c>
      <c r="D5908" s="17" t="s">
        <v>10507</v>
      </c>
      <c r="E5908" s="17"/>
      <c r="F5908" s="17" t="s">
        <v>10780</v>
      </c>
      <c r="G5908" s="17"/>
      <c r="H5908" s="17" t="s">
        <v>12908</v>
      </c>
      <c r="I5908" s="17"/>
      <c r="J5908" s="17" t="s">
        <v>12909</v>
      </c>
      <c r="K5908" s="17"/>
      <c r="L5908" s="17" t="s">
        <v>12991</v>
      </c>
      <c r="M5908" s="17"/>
      <c r="N5908" s="17" t="s">
        <v>12992</v>
      </c>
      <c r="O5908" s="17"/>
      <c r="P5908" s="17" t="s">
        <v>13211</v>
      </c>
      <c r="Q5908" s="17"/>
      <c r="R5908" s="25" t="str">
        <f>HYPERLINK("https://ictv.global/taxonomy/taxondetails?taxnode_id=202302955","Cyclovirus libelula")</f>
        <v>Cyclovirus libelula</v>
      </c>
      <c r="S5908" s="18" t="s">
        <v>30</v>
      </c>
      <c r="T5908" s="18" t="s">
        <v>13330</v>
      </c>
      <c r="U5908" s="18" t="s">
        <v>13331</v>
      </c>
      <c r="V5908" s="18" t="s">
        <v>13332</v>
      </c>
      <c r="W5908" s="18" t="s">
        <v>13333</v>
      </c>
      <c r="X5908" s="18" t="s">
        <v>42</v>
      </c>
      <c r="Y5908" s="18" t="s">
        <v>12266</v>
      </c>
      <c r="Z5908" s="18" t="s">
        <v>10790</v>
      </c>
      <c r="AA5908" s="21" t="str">
        <f>HYPERLINK("https://www.ncbi.nlm.nih.gov/nuccore/JX185426","NCBI Nucleotide")</f>
        <v>NCBI Nucleotide</v>
      </c>
    </row>
    <row r="5909" spans="1:27" x14ac:dyDescent="0.35">
      <c r="A5909">
        <v>1007393</v>
      </c>
      <c r="B5909">
        <v>5647</v>
      </c>
      <c r="C5909">
        <v>1</v>
      </c>
      <c r="D5909" s="17" t="s">
        <v>10507</v>
      </c>
      <c r="E5909" s="17"/>
      <c r="F5909" s="17" t="s">
        <v>10780</v>
      </c>
      <c r="G5909" s="17"/>
      <c r="H5909" s="17" t="s">
        <v>12908</v>
      </c>
      <c r="I5909" s="17"/>
      <c r="J5909" s="17" t="s">
        <v>12909</v>
      </c>
      <c r="K5909" s="17"/>
      <c r="L5909" s="17" t="s">
        <v>12991</v>
      </c>
      <c r="M5909" s="17"/>
      <c r="N5909" s="17" t="s">
        <v>12992</v>
      </c>
      <c r="O5909" s="17"/>
      <c r="P5909" s="17" t="s">
        <v>13211</v>
      </c>
      <c r="Q5909" s="17"/>
      <c r="R5909" s="25" t="str">
        <f>HYPERLINK("https://ictv.global/taxonomy/taxondetails?taxnode_id=202314100","Cyclovirus liepsnele")</f>
        <v>Cyclovirus liepsnele</v>
      </c>
      <c r="S5909" s="18" t="s">
        <v>30</v>
      </c>
      <c r="T5909" s="18" t="s">
        <v>13334</v>
      </c>
      <c r="U5909" s="18" t="s">
        <v>13335</v>
      </c>
      <c r="V5909" s="18" t="s">
        <v>13336</v>
      </c>
      <c r="W5909" s="18" t="s">
        <v>13337</v>
      </c>
      <c r="X5909" s="18" t="s">
        <v>42</v>
      </c>
      <c r="Y5909" s="18" t="s">
        <v>12266</v>
      </c>
      <c r="Z5909" s="18" t="s">
        <v>166</v>
      </c>
      <c r="AA5909" s="21" t="str">
        <f>HYPERLINK("https://www.ncbi.nlm.nih.gov/nuccore/MZ350973","NCBI Nucleotide")</f>
        <v>NCBI Nucleotide</v>
      </c>
    </row>
    <row r="5910" spans="1:27" x14ac:dyDescent="0.35">
      <c r="A5910">
        <v>1007394</v>
      </c>
      <c r="B5910">
        <v>5648</v>
      </c>
      <c r="C5910">
        <v>1</v>
      </c>
      <c r="D5910" s="17" t="s">
        <v>10507</v>
      </c>
      <c r="E5910" s="17"/>
      <c r="F5910" s="17" t="s">
        <v>10780</v>
      </c>
      <c r="G5910" s="17"/>
      <c r="H5910" s="17" t="s">
        <v>12908</v>
      </c>
      <c r="I5910" s="17"/>
      <c r="J5910" s="17" t="s">
        <v>12909</v>
      </c>
      <c r="K5910" s="17"/>
      <c r="L5910" s="17" t="s">
        <v>12991</v>
      </c>
      <c r="M5910" s="17"/>
      <c r="N5910" s="17" t="s">
        <v>12992</v>
      </c>
      <c r="O5910" s="17"/>
      <c r="P5910" s="17" t="s">
        <v>13211</v>
      </c>
      <c r="Q5910" s="17"/>
      <c r="R5910" s="25" t="str">
        <f>HYPERLINK("https://ictv.global/taxonomy/taxondetails?taxnode_id=202302937","Cyclovirus liliac")</f>
        <v>Cyclovirus liliac</v>
      </c>
      <c r="S5910" s="18" t="s">
        <v>30</v>
      </c>
      <c r="T5910" s="18" t="s">
        <v>13338</v>
      </c>
      <c r="U5910" s="18" t="s">
        <v>13339</v>
      </c>
      <c r="V5910" s="18" t="s">
        <v>13340</v>
      </c>
      <c r="W5910" s="18" t="s">
        <v>13341</v>
      </c>
      <c r="X5910" s="18" t="s">
        <v>42</v>
      </c>
      <c r="Y5910" s="18" t="s">
        <v>12266</v>
      </c>
      <c r="Z5910" s="18" t="s">
        <v>166</v>
      </c>
      <c r="AA5910" s="21" t="str">
        <f>HYPERLINK("https://www.ncbi.nlm.nih.gov/nuccore/KJ641740","NCBI Nucleotide")</f>
        <v>NCBI Nucleotide</v>
      </c>
    </row>
    <row r="5911" spans="1:27" x14ac:dyDescent="0.35">
      <c r="A5911">
        <v>1007395</v>
      </c>
      <c r="B5911">
        <v>5649</v>
      </c>
      <c r="C5911">
        <v>1</v>
      </c>
      <c r="D5911" s="17" t="s">
        <v>10507</v>
      </c>
      <c r="E5911" s="17"/>
      <c r="F5911" s="17" t="s">
        <v>10780</v>
      </c>
      <c r="G5911" s="17"/>
      <c r="H5911" s="17" t="s">
        <v>12908</v>
      </c>
      <c r="I5911" s="17"/>
      <c r="J5911" s="17" t="s">
        <v>12909</v>
      </c>
      <c r="K5911" s="17"/>
      <c r="L5911" s="17" t="s">
        <v>12991</v>
      </c>
      <c r="M5911" s="17"/>
      <c r="N5911" s="17" t="s">
        <v>12992</v>
      </c>
      <c r="O5911" s="17"/>
      <c r="P5911" s="17" t="s">
        <v>13211</v>
      </c>
      <c r="Q5911" s="17"/>
      <c r="R5911" s="25" t="str">
        <f>HYPERLINK("https://ictv.global/taxonomy/taxondetails?taxnode_id=202314112","Cyclovirus liljak")</f>
        <v>Cyclovirus liljak</v>
      </c>
      <c r="S5911" s="18" t="s">
        <v>30</v>
      </c>
      <c r="T5911" s="18" t="s">
        <v>13342</v>
      </c>
      <c r="U5911" s="18" t="s">
        <v>13343</v>
      </c>
      <c r="V5911" s="18" t="s">
        <v>13344</v>
      </c>
      <c r="W5911" s="18" t="s">
        <v>13345</v>
      </c>
      <c r="X5911" s="18" t="s">
        <v>42</v>
      </c>
      <c r="Y5911" s="18" t="s">
        <v>12266</v>
      </c>
      <c r="Z5911" s="18" t="s">
        <v>166</v>
      </c>
      <c r="AA5911" s="21" t="str">
        <f>HYPERLINK("https://www.ncbi.nlm.nih.gov/nuccore/OM262459","NCBI Nucleotide")</f>
        <v>NCBI Nucleotide</v>
      </c>
    </row>
    <row r="5912" spans="1:27" x14ac:dyDescent="0.35">
      <c r="A5912">
        <v>1007396</v>
      </c>
      <c r="B5912">
        <v>5650</v>
      </c>
      <c r="C5912">
        <v>1</v>
      </c>
      <c r="D5912" s="17" t="s">
        <v>10507</v>
      </c>
      <c r="E5912" s="17"/>
      <c r="F5912" s="17" t="s">
        <v>10780</v>
      </c>
      <c r="G5912" s="17"/>
      <c r="H5912" s="17" t="s">
        <v>12908</v>
      </c>
      <c r="I5912" s="17"/>
      <c r="J5912" s="17" t="s">
        <v>12909</v>
      </c>
      <c r="K5912" s="17"/>
      <c r="L5912" s="17" t="s">
        <v>12991</v>
      </c>
      <c r="M5912" s="17"/>
      <c r="N5912" s="17" t="s">
        <v>12992</v>
      </c>
      <c r="O5912" s="17"/>
      <c r="P5912" s="17" t="s">
        <v>13211</v>
      </c>
      <c r="Q5912" s="17"/>
      <c r="R5912" s="25" t="str">
        <f>HYPERLINK("https://ictv.global/taxonomy/taxondetails?taxnode_id=202302962","Cyclovirus maanav")</f>
        <v>Cyclovirus maanav</v>
      </c>
      <c r="S5912" s="18" t="s">
        <v>30</v>
      </c>
      <c r="T5912" s="18" t="s">
        <v>13346</v>
      </c>
      <c r="U5912" s="18" t="s">
        <v>13347</v>
      </c>
      <c r="V5912" s="18" t="s">
        <v>12657</v>
      </c>
      <c r="W5912" s="18" t="s">
        <v>13348</v>
      </c>
      <c r="X5912" s="18" t="s">
        <v>42</v>
      </c>
      <c r="Y5912" s="18" t="s">
        <v>12266</v>
      </c>
      <c r="Z5912" s="18" t="s">
        <v>166</v>
      </c>
      <c r="AA5912" s="21" t="str">
        <f>HYPERLINK("https://www.ncbi.nlm.nih.gov/nuccore/GQ404847","NCBI Nucleotide")</f>
        <v>NCBI Nucleotide</v>
      </c>
    </row>
    <row r="5913" spans="1:27" x14ac:dyDescent="0.35">
      <c r="A5913">
        <v>1007397</v>
      </c>
      <c r="B5913">
        <v>5651</v>
      </c>
      <c r="C5913">
        <v>1</v>
      </c>
      <c r="D5913" s="17" t="s">
        <v>10507</v>
      </c>
      <c r="E5913" s="17"/>
      <c r="F5913" s="17" t="s">
        <v>10780</v>
      </c>
      <c r="G5913" s="17"/>
      <c r="H5913" s="17" t="s">
        <v>12908</v>
      </c>
      <c r="I5913" s="17"/>
      <c r="J5913" s="17" t="s">
        <v>12909</v>
      </c>
      <c r="K5913" s="17"/>
      <c r="L5913" s="17" t="s">
        <v>12991</v>
      </c>
      <c r="M5913" s="17"/>
      <c r="N5913" s="17" t="s">
        <v>12992</v>
      </c>
      <c r="O5913" s="17"/>
      <c r="P5913" s="17" t="s">
        <v>13211</v>
      </c>
      <c r="Q5913" s="17"/>
      <c r="R5913" s="25" t="str">
        <f>HYPERLINK("https://ictv.global/taxonomy/taxondetails?taxnode_id=202302972","Cyclovirus manitan")</f>
        <v>Cyclovirus manitan</v>
      </c>
      <c r="S5913" s="18" t="s">
        <v>30</v>
      </c>
      <c r="T5913" s="18" t="s">
        <v>13349</v>
      </c>
      <c r="U5913" s="18" t="s">
        <v>13350</v>
      </c>
      <c r="V5913" s="18" t="s">
        <v>13351</v>
      </c>
      <c r="W5913" s="18" t="s">
        <v>13352</v>
      </c>
      <c r="X5913" s="18" t="s">
        <v>42</v>
      </c>
      <c r="Y5913" s="18" t="s">
        <v>12266</v>
      </c>
      <c r="Z5913" s="18" t="s">
        <v>166</v>
      </c>
      <c r="AA5913" s="21" t="str">
        <f>HYPERLINK("https://www.ncbi.nlm.nih.gov/nuccore/KJ831064","NCBI Nucleotide")</f>
        <v>NCBI Nucleotide</v>
      </c>
    </row>
    <row r="5914" spans="1:27" x14ac:dyDescent="0.35">
      <c r="A5914">
        <v>1007398</v>
      </c>
      <c r="B5914">
        <v>5652</v>
      </c>
      <c r="C5914">
        <v>1</v>
      </c>
      <c r="D5914" s="17" t="s">
        <v>10507</v>
      </c>
      <c r="E5914" s="17"/>
      <c r="F5914" s="17" t="s">
        <v>10780</v>
      </c>
      <c r="G5914" s="17"/>
      <c r="H5914" s="17" t="s">
        <v>12908</v>
      </c>
      <c r="I5914" s="17"/>
      <c r="J5914" s="17" t="s">
        <v>12909</v>
      </c>
      <c r="K5914" s="17"/>
      <c r="L5914" s="17" t="s">
        <v>12991</v>
      </c>
      <c r="M5914" s="17"/>
      <c r="N5914" s="17" t="s">
        <v>12992</v>
      </c>
      <c r="O5914" s="17"/>
      <c r="P5914" s="17" t="s">
        <v>13211</v>
      </c>
      <c r="Q5914" s="17"/>
      <c r="R5914" s="25" t="str">
        <f>HYPERLINK("https://ictv.global/taxonomy/taxondetails?taxnode_id=202302964","Cyclovirus manukha")</f>
        <v>Cyclovirus manukha</v>
      </c>
      <c r="S5914" s="18" t="s">
        <v>30</v>
      </c>
      <c r="T5914" s="18" t="s">
        <v>13353</v>
      </c>
      <c r="U5914" s="18" t="s">
        <v>13354</v>
      </c>
      <c r="V5914" s="18" t="s">
        <v>13355</v>
      </c>
      <c r="W5914" s="18" t="s">
        <v>13356</v>
      </c>
      <c r="X5914" s="18" t="s">
        <v>42</v>
      </c>
      <c r="Y5914" s="18" t="s">
        <v>12266</v>
      </c>
      <c r="Z5914" s="18" t="s">
        <v>166</v>
      </c>
      <c r="AA5914" s="21" t="str">
        <f>HYPERLINK("https://www.ncbi.nlm.nih.gov/nuccore/GQ404846","NCBI Nucleotide")</f>
        <v>NCBI Nucleotide</v>
      </c>
    </row>
    <row r="5915" spans="1:27" x14ac:dyDescent="0.35">
      <c r="A5915">
        <v>1007399</v>
      </c>
      <c r="B5915">
        <v>5653</v>
      </c>
      <c r="C5915">
        <v>1</v>
      </c>
      <c r="D5915" s="17" t="s">
        <v>10507</v>
      </c>
      <c r="E5915" s="17"/>
      <c r="F5915" s="17" t="s">
        <v>10780</v>
      </c>
      <c r="G5915" s="17"/>
      <c r="H5915" s="17" t="s">
        <v>12908</v>
      </c>
      <c r="I5915" s="17"/>
      <c r="J5915" s="17" t="s">
        <v>12909</v>
      </c>
      <c r="K5915" s="17"/>
      <c r="L5915" s="17" t="s">
        <v>12991</v>
      </c>
      <c r="M5915" s="17"/>
      <c r="N5915" s="17" t="s">
        <v>12992</v>
      </c>
      <c r="O5915" s="17"/>
      <c r="P5915" s="17" t="s">
        <v>13211</v>
      </c>
      <c r="Q5915" s="17"/>
      <c r="R5915" s="25" t="str">
        <f>HYPERLINK("https://ictv.global/taxonomy/taxondetails?taxnode_id=202305769","Cyclovirus manusyan")</f>
        <v>Cyclovirus manusyan</v>
      </c>
      <c r="S5915" s="18" t="s">
        <v>30</v>
      </c>
      <c r="T5915" s="18" t="s">
        <v>13357</v>
      </c>
      <c r="U5915" s="18" t="s">
        <v>13358</v>
      </c>
      <c r="V5915" s="18" t="s">
        <v>13359</v>
      </c>
      <c r="W5915" s="18" t="s">
        <v>13360</v>
      </c>
      <c r="X5915" s="18" t="s">
        <v>42</v>
      </c>
      <c r="Y5915" s="18" t="s">
        <v>12266</v>
      </c>
      <c r="Z5915" s="18" t="s">
        <v>166</v>
      </c>
      <c r="AA5915" s="21" t="str">
        <f>HYPERLINK("https://www.ncbi.nlm.nih.gov/nuccore/KU053483","NCBI Nucleotide")</f>
        <v>NCBI Nucleotide</v>
      </c>
    </row>
    <row r="5916" spans="1:27" x14ac:dyDescent="0.35">
      <c r="A5916">
        <v>1007400</v>
      </c>
      <c r="B5916">
        <v>5654</v>
      </c>
      <c r="C5916">
        <v>1</v>
      </c>
      <c r="D5916" s="17" t="s">
        <v>10507</v>
      </c>
      <c r="E5916" s="17"/>
      <c r="F5916" s="17" t="s">
        <v>10780</v>
      </c>
      <c r="G5916" s="17"/>
      <c r="H5916" s="17" t="s">
        <v>12908</v>
      </c>
      <c r="I5916" s="17"/>
      <c r="J5916" s="17" t="s">
        <v>12909</v>
      </c>
      <c r="K5916" s="17"/>
      <c r="L5916" s="17" t="s">
        <v>12991</v>
      </c>
      <c r="M5916" s="17"/>
      <c r="N5916" s="17" t="s">
        <v>12992</v>
      </c>
      <c r="O5916" s="17"/>
      <c r="P5916" s="17" t="s">
        <v>13211</v>
      </c>
      <c r="Q5916" s="17"/>
      <c r="R5916" s="25" t="str">
        <f>HYPERLINK("https://ictv.global/taxonomy/taxondetails?taxnode_id=202308681","Cyclovirus mchwa")</f>
        <v>Cyclovirus mchwa</v>
      </c>
      <c r="S5916" s="18" t="s">
        <v>30</v>
      </c>
      <c r="T5916" s="18" t="s">
        <v>13361</v>
      </c>
      <c r="U5916" s="18" t="s">
        <v>13362</v>
      </c>
      <c r="V5916" s="18" t="s">
        <v>13363</v>
      </c>
      <c r="W5916" s="18" t="s">
        <v>13364</v>
      </c>
      <c r="X5916" s="18" t="s">
        <v>42</v>
      </c>
      <c r="Y5916" s="18" t="s">
        <v>12266</v>
      </c>
      <c r="Z5916" s="18" t="s">
        <v>10790</v>
      </c>
      <c r="AA5916" s="21" t="str">
        <f>HYPERLINK("https://www.ncbi.nlm.nih.gov/nuccore/MH545511","NCBI Nucleotide")</f>
        <v>NCBI Nucleotide</v>
      </c>
    </row>
    <row r="5917" spans="1:27" x14ac:dyDescent="0.35">
      <c r="A5917">
        <v>1007401</v>
      </c>
      <c r="B5917">
        <v>5655</v>
      </c>
      <c r="C5917">
        <v>1</v>
      </c>
      <c r="D5917" s="17" t="s">
        <v>10507</v>
      </c>
      <c r="E5917" s="17"/>
      <c r="F5917" s="17" t="s">
        <v>10780</v>
      </c>
      <c r="G5917" s="17"/>
      <c r="H5917" s="17" t="s">
        <v>12908</v>
      </c>
      <c r="I5917" s="17"/>
      <c r="J5917" s="17" t="s">
        <v>12909</v>
      </c>
      <c r="K5917" s="17"/>
      <c r="L5917" s="17" t="s">
        <v>12991</v>
      </c>
      <c r="M5917" s="17"/>
      <c r="N5917" s="17" t="s">
        <v>12992</v>
      </c>
      <c r="O5917" s="17"/>
      <c r="P5917" s="17" t="s">
        <v>13211</v>
      </c>
      <c r="Q5917" s="17"/>
      <c r="R5917" s="25" t="str">
        <f>HYPERLINK("https://ictv.global/taxonomy/taxondetails?taxnode_id=202314119","Cyclovirus mier")</f>
        <v>Cyclovirus mier</v>
      </c>
      <c r="S5917" s="18" t="s">
        <v>30</v>
      </c>
      <c r="T5917" s="18" t="s">
        <v>13365</v>
      </c>
      <c r="U5917" s="18" t="s">
        <v>13366</v>
      </c>
      <c r="V5917" s="18" t="s">
        <v>13367</v>
      </c>
      <c r="W5917" s="18" t="s">
        <v>13368</v>
      </c>
      <c r="X5917" s="18" t="s">
        <v>42</v>
      </c>
      <c r="Y5917" s="18" t="s">
        <v>12266</v>
      </c>
      <c r="Z5917" s="18" t="s">
        <v>10790</v>
      </c>
      <c r="AA5917" s="21" t="str">
        <f>HYPERLINK("https://www.ncbi.nlm.nih.gov/nuccore/ON324103","NCBI Nucleotide")</f>
        <v>NCBI Nucleotide</v>
      </c>
    </row>
    <row r="5918" spans="1:27" x14ac:dyDescent="0.35">
      <c r="A5918">
        <v>1007402</v>
      </c>
      <c r="B5918">
        <v>5656</v>
      </c>
      <c r="C5918">
        <v>1</v>
      </c>
      <c r="D5918" s="17" t="s">
        <v>10507</v>
      </c>
      <c r="E5918" s="17"/>
      <c r="F5918" s="17" t="s">
        <v>10780</v>
      </c>
      <c r="G5918" s="17"/>
      <c r="H5918" s="17" t="s">
        <v>12908</v>
      </c>
      <c r="I5918" s="17"/>
      <c r="J5918" s="17" t="s">
        <v>12909</v>
      </c>
      <c r="K5918" s="17"/>
      <c r="L5918" s="17" t="s">
        <v>12991</v>
      </c>
      <c r="M5918" s="17"/>
      <c r="N5918" s="17" t="s">
        <v>12992</v>
      </c>
      <c r="O5918" s="17"/>
      <c r="P5918" s="17" t="s">
        <v>13211</v>
      </c>
      <c r="Q5918" s="17"/>
      <c r="R5918" s="25" t="str">
        <f>HYPERLINK("https://ictv.global/taxonomy/taxondetails?taxnode_id=202314125","Cyclovirus misi")</f>
        <v>Cyclovirus misi</v>
      </c>
      <c r="S5918" s="18" t="s">
        <v>30</v>
      </c>
      <c r="T5918" s="18" t="s">
        <v>13369</v>
      </c>
      <c r="U5918" s="18" t="s">
        <v>13370</v>
      </c>
      <c r="V5918" s="18" t="s">
        <v>13371</v>
      </c>
      <c r="W5918" s="18" t="s">
        <v>13372</v>
      </c>
      <c r="X5918" s="18" t="s">
        <v>42</v>
      </c>
      <c r="Y5918" s="18" t="s">
        <v>12266</v>
      </c>
      <c r="Z5918" s="18" t="s">
        <v>166</v>
      </c>
      <c r="AA5918" s="21" t="str">
        <f>HYPERLINK("https://www.ncbi.nlm.nih.gov/nuccore/ON596195","NCBI Nucleotide")</f>
        <v>NCBI Nucleotide</v>
      </c>
    </row>
    <row r="5919" spans="1:27" x14ac:dyDescent="0.35">
      <c r="A5919">
        <v>1007403</v>
      </c>
      <c r="B5919">
        <v>5657</v>
      </c>
      <c r="C5919">
        <v>1</v>
      </c>
      <c r="D5919" s="17" t="s">
        <v>10507</v>
      </c>
      <c r="E5919" s="17"/>
      <c r="F5919" s="17" t="s">
        <v>10780</v>
      </c>
      <c r="G5919" s="17"/>
      <c r="H5919" s="17" t="s">
        <v>12908</v>
      </c>
      <c r="I5919" s="17"/>
      <c r="J5919" s="17" t="s">
        <v>12909</v>
      </c>
      <c r="K5919" s="17"/>
      <c r="L5919" s="17" t="s">
        <v>12991</v>
      </c>
      <c r="M5919" s="17"/>
      <c r="N5919" s="17" t="s">
        <v>12992</v>
      </c>
      <c r="O5919" s="17"/>
      <c r="P5919" s="17" t="s">
        <v>13211</v>
      </c>
      <c r="Q5919" s="17"/>
      <c r="R5919" s="25" t="str">
        <f>HYPERLINK("https://ictv.global/taxonomy/taxondetails?taxnode_id=202302967","Cyclovirus mmadu")</f>
        <v>Cyclovirus mmadu</v>
      </c>
      <c r="S5919" s="18" t="s">
        <v>30</v>
      </c>
      <c r="T5919" s="18" t="s">
        <v>13373</v>
      </c>
      <c r="U5919" s="18" t="s">
        <v>13374</v>
      </c>
      <c r="V5919" s="18" t="s">
        <v>13375</v>
      </c>
      <c r="W5919" s="18" t="s">
        <v>13376</v>
      </c>
      <c r="X5919" s="18" t="s">
        <v>42</v>
      </c>
      <c r="Y5919" s="18" t="s">
        <v>12266</v>
      </c>
      <c r="Z5919" s="18" t="s">
        <v>166</v>
      </c>
      <c r="AA5919" s="21" t="str">
        <f>HYPERLINK("https://www.ncbi.nlm.nih.gov/nuccore/GQ404854","NCBI Nucleotide")</f>
        <v>NCBI Nucleotide</v>
      </c>
    </row>
    <row r="5920" spans="1:27" x14ac:dyDescent="0.35">
      <c r="A5920">
        <v>1007404</v>
      </c>
      <c r="B5920">
        <v>5658</v>
      </c>
      <c r="C5920">
        <v>1</v>
      </c>
      <c r="D5920" s="17" t="s">
        <v>10507</v>
      </c>
      <c r="E5920" s="17"/>
      <c r="F5920" s="17" t="s">
        <v>10780</v>
      </c>
      <c r="G5920" s="17"/>
      <c r="H5920" s="17" t="s">
        <v>12908</v>
      </c>
      <c r="I5920" s="17"/>
      <c r="J5920" s="17" t="s">
        <v>12909</v>
      </c>
      <c r="K5920" s="17"/>
      <c r="L5920" s="17" t="s">
        <v>12991</v>
      </c>
      <c r="M5920" s="17"/>
      <c r="N5920" s="17" t="s">
        <v>12992</v>
      </c>
      <c r="O5920" s="17"/>
      <c r="P5920" s="17" t="s">
        <v>13211</v>
      </c>
      <c r="Q5920" s="17"/>
      <c r="R5920" s="25" t="str">
        <f>HYPERLINK("https://ictv.global/taxonomy/taxondetails?taxnode_id=202314126","Cyclovirus moosa")</f>
        <v>Cyclovirus moosa</v>
      </c>
      <c r="S5920" s="18" t="s">
        <v>30</v>
      </c>
      <c r="T5920" s="18" t="s">
        <v>13377</v>
      </c>
      <c r="U5920" s="18" t="s">
        <v>13378</v>
      </c>
      <c r="V5920" s="18" t="s">
        <v>13379</v>
      </c>
      <c r="W5920" s="18" t="s">
        <v>13380</v>
      </c>
      <c r="X5920" s="18" t="s">
        <v>42</v>
      </c>
      <c r="Y5920" s="18" t="s">
        <v>12266</v>
      </c>
      <c r="Z5920" s="18" t="s">
        <v>166</v>
      </c>
      <c r="AA5920" s="21" t="str">
        <f>HYPERLINK("https://www.ncbi.nlm.nih.gov/nuccore/ON596196","NCBI Nucleotide")</f>
        <v>NCBI Nucleotide</v>
      </c>
    </row>
    <row r="5921" spans="1:27" x14ac:dyDescent="0.35">
      <c r="A5921">
        <v>1007405</v>
      </c>
      <c r="B5921">
        <v>5659</v>
      </c>
      <c r="C5921">
        <v>1</v>
      </c>
      <c r="D5921" s="17" t="s">
        <v>10507</v>
      </c>
      <c r="E5921" s="17"/>
      <c r="F5921" s="17" t="s">
        <v>10780</v>
      </c>
      <c r="G5921" s="17"/>
      <c r="H5921" s="17" t="s">
        <v>12908</v>
      </c>
      <c r="I5921" s="17"/>
      <c r="J5921" s="17" t="s">
        <v>12909</v>
      </c>
      <c r="K5921" s="17"/>
      <c r="L5921" s="17" t="s">
        <v>12991</v>
      </c>
      <c r="M5921" s="17"/>
      <c r="N5921" s="17" t="s">
        <v>12992</v>
      </c>
      <c r="O5921" s="17"/>
      <c r="P5921" s="17" t="s">
        <v>13211</v>
      </c>
      <c r="Q5921" s="17"/>
      <c r="R5921" s="25" t="str">
        <f>HYPERLINK("https://ictv.global/taxonomy/taxondetails?taxnode_id=202302970","Cyclovirus munthu")</f>
        <v>Cyclovirus munthu</v>
      </c>
      <c r="S5921" s="18" t="s">
        <v>30</v>
      </c>
      <c r="T5921" s="18" t="s">
        <v>13381</v>
      </c>
      <c r="U5921" s="18" t="s">
        <v>13382</v>
      </c>
      <c r="V5921" s="18" t="s">
        <v>13383</v>
      </c>
      <c r="W5921" s="18" t="s">
        <v>13384</v>
      </c>
      <c r="X5921" s="18" t="s">
        <v>42</v>
      </c>
      <c r="Y5921" s="18" t="s">
        <v>12266</v>
      </c>
      <c r="Z5921" s="18" t="s">
        <v>166</v>
      </c>
      <c r="AA5921" s="21" t="str">
        <f>HYPERLINK("https://www.ncbi.nlm.nih.gov/nuccore/KC771281","NCBI Nucleotide")</f>
        <v>NCBI Nucleotide</v>
      </c>
    </row>
    <row r="5922" spans="1:27" x14ac:dyDescent="0.35">
      <c r="A5922">
        <v>1007406</v>
      </c>
      <c r="B5922">
        <v>5660</v>
      </c>
      <c r="C5922">
        <v>1</v>
      </c>
      <c r="D5922" s="17" t="s">
        <v>10507</v>
      </c>
      <c r="E5922" s="17"/>
      <c r="F5922" s="17" t="s">
        <v>10780</v>
      </c>
      <c r="G5922" s="17"/>
      <c r="H5922" s="17" t="s">
        <v>12908</v>
      </c>
      <c r="I5922" s="17"/>
      <c r="J5922" s="17" t="s">
        <v>12909</v>
      </c>
      <c r="K5922" s="17"/>
      <c r="L5922" s="17" t="s">
        <v>12991</v>
      </c>
      <c r="M5922" s="17"/>
      <c r="N5922" s="17" t="s">
        <v>12992</v>
      </c>
      <c r="O5922" s="17"/>
      <c r="P5922" s="17" t="s">
        <v>13211</v>
      </c>
      <c r="Q5922" s="17"/>
      <c r="R5922" s="25" t="str">
        <f>HYPERLINK("https://ictv.global/taxonomy/taxondetails?taxnode_id=202314103","Cyclovirus murcielago")</f>
        <v>Cyclovirus murcielago</v>
      </c>
      <c r="S5922" s="18" t="s">
        <v>30</v>
      </c>
      <c r="T5922" s="18" t="s">
        <v>13385</v>
      </c>
      <c r="U5922" s="18" t="s">
        <v>13386</v>
      </c>
      <c r="V5922" s="18" t="s">
        <v>13387</v>
      </c>
      <c r="W5922" s="18" t="s">
        <v>13388</v>
      </c>
      <c r="X5922" s="18" t="s">
        <v>42</v>
      </c>
      <c r="Y5922" s="18" t="s">
        <v>12266</v>
      </c>
      <c r="Z5922" s="18" t="s">
        <v>166</v>
      </c>
      <c r="AA5922" s="21" t="str">
        <f>HYPERLINK("https://www.ncbi.nlm.nih.gov/nuccore/OL704826","NCBI Nucleotide")</f>
        <v>NCBI Nucleotide</v>
      </c>
    </row>
    <row r="5923" spans="1:27" x14ac:dyDescent="0.35">
      <c r="A5923">
        <v>1007407</v>
      </c>
      <c r="B5923">
        <v>5661</v>
      </c>
      <c r="C5923">
        <v>1</v>
      </c>
      <c r="D5923" s="17" t="s">
        <v>10507</v>
      </c>
      <c r="E5923" s="17"/>
      <c r="F5923" s="17" t="s">
        <v>10780</v>
      </c>
      <c r="G5923" s="17"/>
      <c r="H5923" s="17" t="s">
        <v>12908</v>
      </c>
      <c r="I5923" s="17"/>
      <c r="J5923" s="17" t="s">
        <v>12909</v>
      </c>
      <c r="K5923" s="17"/>
      <c r="L5923" s="17" t="s">
        <v>12991</v>
      </c>
      <c r="M5923" s="17"/>
      <c r="N5923" s="17" t="s">
        <v>12992</v>
      </c>
      <c r="O5923" s="17"/>
      <c r="P5923" s="17" t="s">
        <v>13211</v>
      </c>
      <c r="Q5923" s="17"/>
      <c r="R5923" s="25" t="str">
        <f>HYPERLINK("https://ictv.global/taxonomy/taxondetails?taxnode_id=202314105","Cyclovirus muricec")</f>
        <v>Cyclovirus muricec</v>
      </c>
      <c r="S5923" s="18" t="s">
        <v>30</v>
      </c>
      <c r="T5923" s="18" t="s">
        <v>13389</v>
      </c>
      <c r="U5923" s="18" t="s">
        <v>13390</v>
      </c>
      <c r="V5923" s="18" t="s">
        <v>13391</v>
      </c>
      <c r="W5923" s="18" t="s">
        <v>13392</v>
      </c>
      <c r="X5923" s="18" t="s">
        <v>42</v>
      </c>
      <c r="Y5923" s="18" t="s">
        <v>12266</v>
      </c>
      <c r="Z5923" s="18" t="s">
        <v>166</v>
      </c>
      <c r="AA5923" s="21" t="str">
        <f>HYPERLINK("https://www.ncbi.nlm.nih.gov/nuccore/OL704828","NCBI Nucleotide")</f>
        <v>NCBI Nucleotide</v>
      </c>
    </row>
    <row r="5924" spans="1:27" x14ac:dyDescent="0.35">
      <c r="A5924">
        <v>1007408</v>
      </c>
      <c r="B5924">
        <v>5662</v>
      </c>
      <c r="C5924">
        <v>1</v>
      </c>
      <c r="D5924" s="17" t="s">
        <v>10507</v>
      </c>
      <c r="E5924" s="17"/>
      <c r="F5924" s="17" t="s">
        <v>10780</v>
      </c>
      <c r="G5924" s="17"/>
      <c r="H5924" s="17" t="s">
        <v>12908</v>
      </c>
      <c r="I5924" s="17"/>
      <c r="J5924" s="17" t="s">
        <v>12909</v>
      </c>
      <c r="K5924" s="17"/>
      <c r="L5924" s="17" t="s">
        <v>12991</v>
      </c>
      <c r="M5924" s="17"/>
      <c r="N5924" s="17" t="s">
        <v>12992</v>
      </c>
      <c r="O5924" s="17"/>
      <c r="P5924" s="17" t="s">
        <v>13211</v>
      </c>
      <c r="Q5924" s="17"/>
      <c r="R5924" s="25" t="str">
        <f>HYPERLINK("https://ictv.global/taxonomy/taxondetails?taxnode_id=202302968","Cyclovirus mutum")</f>
        <v>Cyclovirus mutum</v>
      </c>
      <c r="S5924" s="18" t="s">
        <v>30</v>
      </c>
      <c r="T5924" s="18" t="s">
        <v>13393</v>
      </c>
      <c r="U5924" s="18" t="s">
        <v>13394</v>
      </c>
      <c r="V5924" s="18" t="s">
        <v>13395</v>
      </c>
      <c r="W5924" s="18" t="s">
        <v>13396</v>
      </c>
      <c r="X5924" s="18" t="s">
        <v>42</v>
      </c>
      <c r="Y5924" s="18" t="s">
        <v>12266</v>
      </c>
      <c r="Z5924" s="18" t="s">
        <v>166</v>
      </c>
      <c r="AA5924" s="21" t="str">
        <f>HYPERLINK("https://www.ncbi.nlm.nih.gov/nuccore/GQ404855","NCBI Nucleotide")</f>
        <v>NCBI Nucleotide</v>
      </c>
    </row>
    <row r="5925" spans="1:27" x14ac:dyDescent="0.35">
      <c r="A5925">
        <v>1007409</v>
      </c>
      <c r="B5925">
        <v>5663</v>
      </c>
      <c r="C5925">
        <v>1</v>
      </c>
      <c r="D5925" s="17" t="s">
        <v>10507</v>
      </c>
      <c r="E5925" s="17"/>
      <c r="F5925" s="17" t="s">
        <v>10780</v>
      </c>
      <c r="G5925" s="17"/>
      <c r="H5925" s="17" t="s">
        <v>12908</v>
      </c>
      <c r="I5925" s="17"/>
      <c r="J5925" s="17" t="s">
        <v>12909</v>
      </c>
      <c r="K5925" s="17"/>
      <c r="L5925" s="17" t="s">
        <v>12991</v>
      </c>
      <c r="M5925" s="17"/>
      <c r="N5925" s="17" t="s">
        <v>12992</v>
      </c>
      <c r="O5925" s="17"/>
      <c r="P5925" s="17" t="s">
        <v>13211</v>
      </c>
      <c r="Q5925" s="17"/>
      <c r="R5925" s="25" t="str">
        <f>HYPERLINK("https://ictv.global/taxonomy/taxondetails?taxnode_id=202314102","Cyclovirus mweyba")</f>
        <v>Cyclovirus mweyba</v>
      </c>
      <c r="S5925" s="18" t="s">
        <v>30</v>
      </c>
      <c r="T5925" s="18" t="s">
        <v>13397</v>
      </c>
      <c r="U5925" s="18" t="s">
        <v>13398</v>
      </c>
      <c r="V5925" s="18" t="s">
        <v>13399</v>
      </c>
      <c r="W5925" s="18" t="s">
        <v>13400</v>
      </c>
      <c r="X5925" s="18" t="s">
        <v>42</v>
      </c>
      <c r="Y5925" s="18" t="s">
        <v>12266</v>
      </c>
      <c r="Z5925" s="18" t="s">
        <v>166</v>
      </c>
      <c r="AA5925" s="21" t="str">
        <f>HYPERLINK("https://www.ncbi.nlm.nih.gov/nuccore/MZ382573","NCBI Nucleotide")</f>
        <v>NCBI Nucleotide</v>
      </c>
    </row>
    <row r="5926" spans="1:27" x14ac:dyDescent="0.35">
      <c r="A5926">
        <v>1007410</v>
      </c>
      <c r="B5926">
        <v>5664</v>
      </c>
      <c r="C5926">
        <v>1</v>
      </c>
      <c r="D5926" s="17" t="s">
        <v>10507</v>
      </c>
      <c r="E5926" s="17"/>
      <c r="F5926" s="17" t="s">
        <v>10780</v>
      </c>
      <c r="G5926" s="17"/>
      <c r="H5926" s="17" t="s">
        <v>12908</v>
      </c>
      <c r="I5926" s="17"/>
      <c r="J5926" s="17" t="s">
        <v>12909</v>
      </c>
      <c r="K5926" s="17"/>
      <c r="L5926" s="17" t="s">
        <v>12991</v>
      </c>
      <c r="M5926" s="17"/>
      <c r="N5926" s="17" t="s">
        <v>12992</v>
      </c>
      <c r="O5926" s="17"/>
      <c r="P5926" s="17" t="s">
        <v>13211</v>
      </c>
      <c r="Q5926" s="17"/>
      <c r="R5926" s="25" t="str">
        <f>HYPERLINK("https://ictv.global/taxonomy/taxondetails?taxnode_id=202308680","Cyclovirus naahoohai")</f>
        <v>Cyclovirus naahoohai</v>
      </c>
      <c r="S5926" s="18" t="s">
        <v>30</v>
      </c>
      <c r="T5926" s="18" t="s">
        <v>13401</v>
      </c>
      <c r="U5926" s="18" t="s">
        <v>13402</v>
      </c>
      <c r="V5926" s="18" t="s">
        <v>13403</v>
      </c>
      <c r="W5926" s="18" t="s">
        <v>13404</v>
      </c>
      <c r="X5926" s="18" t="s">
        <v>42</v>
      </c>
      <c r="Y5926" s="18" t="s">
        <v>12266</v>
      </c>
      <c r="Z5926" s="18" t="s">
        <v>166</v>
      </c>
      <c r="AA5926" s="21" t="str">
        <f>HYPERLINK("https://www.ncbi.nlm.nih.gov/nuccore/MG846358","NCBI Nucleotide")</f>
        <v>NCBI Nucleotide</v>
      </c>
    </row>
    <row r="5927" spans="1:27" x14ac:dyDescent="0.35">
      <c r="A5927">
        <v>1007411</v>
      </c>
      <c r="B5927">
        <v>5665</v>
      </c>
      <c r="C5927">
        <v>1</v>
      </c>
      <c r="D5927" s="17" t="s">
        <v>10507</v>
      </c>
      <c r="E5927" s="17"/>
      <c r="F5927" s="17" t="s">
        <v>10780</v>
      </c>
      <c r="G5927" s="17"/>
      <c r="H5927" s="17" t="s">
        <v>12908</v>
      </c>
      <c r="I5927" s="17"/>
      <c r="J5927" s="17" t="s">
        <v>12909</v>
      </c>
      <c r="K5927" s="17"/>
      <c r="L5927" s="17" t="s">
        <v>12991</v>
      </c>
      <c r="M5927" s="17"/>
      <c r="N5927" s="17" t="s">
        <v>12992</v>
      </c>
      <c r="O5927" s="17"/>
      <c r="P5927" s="17" t="s">
        <v>13211</v>
      </c>
      <c r="Q5927" s="17"/>
      <c r="R5927" s="25" t="str">
        <f>HYPERLINK("https://ictv.global/taxonomy/taxondetails?taxnode_id=202305770","Cyclovirus naastsosi")</f>
        <v>Cyclovirus naastsosi</v>
      </c>
      <c r="S5927" s="18" t="s">
        <v>30</v>
      </c>
      <c r="T5927" s="18" t="s">
        <v>13405</v>
      </c>
      <c r="U5927" s="18" t="s">
        <v>13406</v>
      </c>
      <c r="V5927" s="18" t="s">
        <v>13407</v>
      </c>
      <c r="W5927" s="18" t="s">
        <v>13408</v>
      </c>
      <c r="X5927" s="18" t="s">
        <v>42</v>
      </c>
      <c r="Y5927" s="18" t="s">
        <v>12266</v>
      </c>
      <c r="Z5927" s="18" t="s">
        <v>166</v>
      </c>
      <c r="AA5927" s="21" t="str">
        <f>HYPERLINK("https://www.ncbi.nlm.nih.gov/nuccore/KT878836","NCBI Nucleotide")</f>
        <v>NCBI Nucleotide</v>
      </c>
    </row>
    <row r="5928" spans="1:27" x14ac:dyDescent="0.35">
      <c r="A5928">
        <v>1007412</v>
      </c>
      <c r="B5928">
        <v>5666</v>
      </c>
      <c r="C5928">
        <v>1</v>
      </c>
      <c r="D5928" s="17" t="s">
        <v>10507</v>
      </c>
      <c r="E5928" s="17"/>
      <c r="F5928" s="17" t="s">
        <v>10780</v>
      </c>
      <c r="G5928" s="17"/>
      <c r="H5928" s="17" t="s">
        <v>12908</v>
      </c>
      <c r="I5928" s="17"/>
      <c r="J5928" s="17" t="s">
        <v>12909</v>
      </c>
      <c r="K5928" s="17"/>
      <c r="L5928" s="17" t="s">
        <v>12991</v>
      </c>
      <c r="M5928" s="17"/>
      <c r="N5928" s="17" t="s">
        <v>12992</v>
      </c>
      <c r="O5928" s="17"/>
      <c r="P5928" s="17" t="s">
        <v>13211</v>
      </c>
      <c r="Q5928" s="17"/>
      <c r="R5928" s="25" t="str">
        <f>HYPERLINK("https://ictv.global/taxonomy/taxondetails?taxnode_id=202302938","Cyclovirus nahkhiir")</f>
        <v>Cyclovirus nahkhiir</v>
      </c>
      <c r="S5928" s="18" t="s">
        <v>30</v>
      </c>
      <c r="T5928" s="18" t="s">
        <v>13409</v>
      </c>
      <c r="U5928" s="18" t="s">
        <v>13410</v>
      </c>
      <c r="V5928" s="18" t="s">
        <v>13411</v>
      </c>
      <c r="W5928" s="18" t="s">
        <v>13412</v>
      </c>
      <c r="X5928" s="18" t="s">
        <v>42</v>
      </c>
      <c r="Y5928" s="18" t="s">
        <v>12266</v>
      </c>
      <c r="Z5928" s="18" t="s">
        <v>166</v>
      </c>
      <c r="AA5928" s="21" t="str">
        <f>HYPERLINK("https://www.ncbi.nlm.nih.gov/nuccore/KJ641715","NCBI Nucleotide")</f>
        <v>NCBI Nucleotide</v>
      </c>
    </row>
    <row r="5929" spans="1:27" x14ac:dyDescent="0.35">
      <c r="A5929">
        <v>1007413</v>
      </c>
      <c r="B5929">
        <v>5667</v>
      </c>
      <c r="C5929">
        <v>1</v>
      </c>
      <c r="D5929" s="17" t="s">
        <v>10507</v>
      </c>
      <c r="E5929" s="17"/>
      <c r="F5929" s="17" t="s">
        <v>10780</v>
      </c>
      <c r="G5929" s="17"/>
      <c r="H5929" s="17" t="s">
        <v>12908</v>
      </c>
      <c r="I5929" s="17"/>
      <c r="J5929" s="17" t="s">
        <v>12909</v>
      </c>
      <c r="K5929" s="17"/>
      <c r="L5929" s="17" t="s">
        <v>12991</v>
      </c>
      <c r="M5929" s="17"/>
      <c r="N5929" s="17" t="s">
        <v>12992</v>
      </c>
      <c r="O5929" s="17"/>
      <c r="P5929" s="17" t="s">
        <v>13211</v>
      </c>
      <c r="Q5929" s="17"/>
      <c r="R5929" s="25" t="str">
        <f>HYPERLINK("https://ictv.global/taxonomy/taxondetails?taxnode_id=202302957","Cyclovirus namu")</f>
        <v>Cyclovirus namu</v>
      </c>
      <c r="S5929" s="18" t="s">
        <v>30</v>
      </c>
      <c r="T5929" s="18" t="s">
        <v>13413</v>
      </c>
      <c r="U5929" s="18" t="s">
        <v>13414</v>
      </c>
      <c r="V5929" s="18" t="s">
        <v>13415</v>
      </c>
      <c r="W5929" s="18" t="s">
        <v>13416</v>
      </c>
      <c r="X5929" s="18" t="s">
        <v>42</v>
      </c>
      <c r="Y5929" s="18" t="s">
        <v>12266</v>
      </c>
      <c r="Z5929" s="18" t="s">
        <v>10790</v>
      </c>
      <c r="AA5929" s="21" t="str">
        <f>HYPERLINK("https://www.ncbi.nlm.nih.gov/nuccore/KC512919","NCBI Nucleotide")</f>
        <v>NCBI Nucleotide</v>
      </c>
    </row>
    <row r="5930" spans="1:27" x14ac:dyDescent="0.35">
      <c r="A5930">
        <v>1007414</v>
      </c>
      <c r="B5930">
        <v>5668</v>
      </c>
      <c r="C5930">
        <v>1</v>
      </c>
      <c r="D5930" s="17" t="s">
        <v>10507</v>
      </c>
      <c r="E5930" s="17"/>
      <c r="F5930" s="17" t="s">
        <v>10780</v>
      </c>
      <c r="G5930" s="17"/>
      <c r="H5930" s="17" t="s">
        <v>12908</v>
      </c>
      <c r="I5930" s="17"/>
      <c r="J5930" s="17" t="s">
        <v>12909</v>
      </c>
      <c r="K5930" s="17"/>
      <c r="L5930" s="17" t="s">
        <v>12991</v>
      </c>
      <c r="M5930" s="17"/>
      <c r="N5930" s="17" t="s">
        <v>12992</v>
      </c>
      <c r="O5930" s="17"/>
      <c r="P5930" s="17" t="s">
        <v>13211</v>
      </c>
      <c r="Q5930" s="17"/>
      <c r="R5930" s="25" t="str">
        <f>HYPERLINK("https://ictv.global/taxonomy/taxondetails?taxnode_id=202314123","Cyclovirus ndanda")</f>
        <v>Cyclovirus ndanda</v>
      </c>
      <c r="S5930" s="18" t="s">
        <v>30</v>
      </c>
      <c r="T5930" s="18" t="s">
        <v>13417</v>
      </c>
      <c r="U5930" s="18" t="s">
        <v>13418</v>
      </c>
      <c r="V5930" s="18" t="s">
        <v>13419</v>
      </c>
      <c r="W5930" s="18" t="s">
        <v>13420</v>
      </c>
      <c r="X5930" s="18" t="s">
        <v>42</v>
      </c>
      <c r="Y5930" s="18" t="s">
        <v>12266</v>
      </c>
      <c r="Z5930" s="18" t="s">
        <v>10790</v>
      </c>
      <c r="AA5930" s="21" t="str">
        <f>HYPERLINK("https://www.ncbi.nlm.nih.gov/nuccore/ON324108","NCBI Nucleotide")</f>
        <v>NCBI Nucleotide</v>
      </c>
    </row>
    <row r="5931" spans="1:27" x14ac:dyDescent="0.35">
      <c r="A5931">
        <v>1007415</v>
      </c>
      <c r="B5931">
        <v>5669</v>
      </c>
      <c r="C5931">
        <v>1</v>
      </c>
      <c r="D5931" s="17" t="s">
        <v>10507</v>
      </c>
      <c r="E5931" s="17"/>
      <c r="F5931" s="17" t="s">
        <v>10780</v>
      </c>
      <c r="G5931" s="17"/>
      <c r="H5931" s="17" t="s">
        <v>12908</v>
      </c>
      <c r="I5931" s="17"/>
      <c r="J5931" s="17" t="s">
        <v>12909</v>
      </c>
      <c r="K5931" s="17"/>
      <c r="L5931" s="17" t="s">
        <v>12991</v>
      </c>
      <c r="M5931" s="17"/>
      <c r="N5931" s="17" t="s">
        <v>12992</v>
      </c>
      <c r="O5931" s="17"/>
      <c r="P5931" s="17" t="s">
        <v>13211</v>
      </c>
      <c r="Q5931" s="17"/>
      <c r="R5931" s="25" t="str">
        <f>HYPERLINK("https://ictv.global/taxonomy/taxondetails?taxnode_id=202314093","Cyclovirus netopyr")</f>
        <v>Cyclovirus netopyr</v>
      </c>
      <c r="S5931" s="18" t="s">
        <v>30</v>
      </c>
      <c r="T5931" s="18" t="s">
        <v>13421</v>
      </c>
      <c r="U5931" s="18" t="s">
        <v>13422</v>
      </c>
      <c r="V5931" s="18" t="s">
        <v>13423</v>
      </c>
      <c r="W5931" s="18" t="s">
        <v>13424</v>
      </c>
      <c r="X5931" s="18" t="s">
        <v>42</v>
      </c>
      <c r="Y5931" s="18" t="s">
        <v>12266</v>
      </c>
      <c r="Z5931" s="18" t="s">
        <v>166</v>
      </c>
      <c r="AA5931" s="21" t="str">
        <f>HYPERLINK("https://www.ncbi.nlm.nih.gov/nuccore/MT766312","NCBI Nucleotide")</f>
        <v>NCBI Nucleotide</v>
      </c>
    </row>
    <row r="5932" spans="1:27" x14ac:dyDescent="0.35">
      <c r="A5932">
        <v>1007416</v>
      </c>
      <c r="B5932">
        <v>5670</v>
      </c>
      <c r="C5932">
        <v>1</v>
      </c>
      <c r="D5932" s="17" t="s">
        <v>10507</v>
      </c>
      <c r="E5932" s="17"/>
      <c r="F5932" s="17" t="s">
        <v>10780</v>
      </c>
      <c r="G5932" s="17"/>
      <c r="H5932" s="17" t="s">
        <v>12908</v>
      </c>
      <c r="I5932" s="17"/>
      <c r="J5932" s="17" t="s">
        <v>12909</v>
      </c>
      <c r="K5932" s="17"/>
      <c r="L5932" s="17" t="s">
        <v>12991</v>
      </c>
      <c r="M5932" s="17"/>
      <c r="N5932" s="17" t="s">
        <v>12992</v>
      </c>
      <c r="O5932" s="17"/>
      <c r="P5932" s="17" t="s">
        <v>13211</v>
      </c>
      <c r="Q5932" s="17"/>
      <c r="R5932" s="25" t="str">
        <f>HYPERLINK("https://ictv.global/taxonomy/taxondetails?taxnode_id=202314101","Cyclovirus newla")</f>
        <v>Cyclovirus newla</v>
      </c>
      <c r="S5932" s="18" t="s">
        <v>30</v>
      </c>
      <c r="T5932" s="18" t="s">
        <v>13425</v>
      </c>
      <c r="U5932" s="18" t="s">
        <v>13426</v>
      </c>
      <c r="V5932" s="18" t="s">
        <v>13427</v>
      </c>
      <c r="W5932" s="18" t="s">
        <v>13428</v>
      </c>
      <c r="X5932" s="18" t="s">
        <v>42</v>
      </c>
      <c r="Y5932" s="18" t="s">
        <v>12266</v>
      </c>
      <c r="Z5932" s="18" t="s">
        <v>166</v>
      </c>
      <c r="AA5932" s="21" t="str">
        <f>HYPERLINK("https://www.ncbi.nlm.nih.gov/nuccore/MZ382572","NCBI Nucleotide")</f>
        <v>NCBI Nucleotide</v>
      </c>
    </row>
    <row r="5933" spans="1:27" x14ac:dyDescent="0.35">
      <c r="A5933">
        <v>1007417</v>
      </c>
      <c r="B5933">
        <v>5671</v>
      </c>
      <c r="C5933">
        <v>1</v>
      </c>
      <c r="D5933" s="17" t="s">
        <v>10507</v>
      </c>
      <c r="E5933" s="17"/>
      <c r="F5933" s="17" t="s">
        <v>10780</v>
      </c>
      <c r="G5933" s="17"/>
      <c r="H5933" s="17" t="s">
        <v>12908</v>
      </c>
      <c r="I5933" s="17"/>
      <c r="J5933" s="17" t="s">
        <v>12909</v>
      </c>
      <c r="K5933" s="17"/>
      <c r="L5933" s="17" t="s">
        <v>12991</v>
      </c>
      <c r="M5933" s="17"/>
      <c r="N5933" s="17" t="s">
        <v>12992</v>
      </c>
      <c r="O5933" s="17"/>
      <c r="P5933" s="17" t="s">
        <v>13211</v>
      </c>
      <c r="Q5933" s="17"/>
      <c r="R5933" s="25" t="str">
        <f>HYPERLINK("https://ictv.global/taxonomy/taxondetails?taxnode_id=202302969","Cyclovirus nhanloai")</f>
        <v>Cyclovirus nhanloai</v>
      </c>
      <c r="S5933" s="18" t="s">
        <v>30</v>
      </c>
      <c r="T5933" s="18" t="s">
        <v>13429</v>
      </c>
      <c r="U5933" s="18" t="s">
        <v>13430</v>
      </c>
      <c r="V5933" s="18" t="s">
        <v>13431</v>
      </c>
      <c r="W5933" s="18" t="s">
        <v>13432</v>
      </c>
      <c r="X5933" s="18" t="s">
        <v>42</v>
      </c>
      <c r="Y5933" s="18" t="s">
        <v>12266</v>
      </c>
      <c r="Z5933" s="18" t="s">
        <v>166</v>
      </c>
      <c r="AA5933" s="21" t="str">
        <f>HYPERLINK("https://www.ncbi.nlm.nih.gov/nuccore/KF031466","NCBI Nucleotide")</f>
        <v>NCBI Nucleotide</v>
      </c>
    </row>
    <row r="5934" spans="1:27" x14ac:dyDescent="0.35">
      <c r="A5934">
        <v>1007418</v>
      </c>
      <c r="B5934">
        <v>5672</v>
      </c>
      <c r="C5934">
        <v>1</v>
      </c>
      <c r="D5934" s="17" t="s">
        <v>10507</v>
      </c>
      <c r="E5934" s="17"/>
      <c r="F5934" s="17" t="s">
        <v>10780</v>
      </c>
      <c r="G5934" s="17"/>
      <c r="H5934" s="17" t="s">
        <v>12908</v>
      </c>
      <c r="I5934" s="17"/>
      <c r="J5934" s="17" t="s">
        <v>12909</v>
      </c>
      <c r="K5934" s="17"/>
      <c r="L5934" s="17" t="s">
        <v>12991</v>
      </c>
      <c r="M5934" s="17"/>
      <c r="N5934" s="17" t="s">
        <v>12992</v>
      </c>
      <c r="O5934" s="17"/>
      <c r="P5934" s="17" t="s">
        <v>13211</v>
      </c>
      <c r="Q5934" s="17"/>
      <c r="R5934" s="25" t="str">
        <f>HYPERLINK("https://ictv.global/taxonomy/taxondetails?taxnode_id=202302943","Cyclovirus nietoperz")</f>
        <v>Cyclovirus nietoperz</v>
      </c>
      <c r="S5934" s="18" t="s">
        <v>30</v>
      </c>
      <c r="T5934" s="18" t="s">
        <v>13433</v>
      </c>
      <c r="U5934" s="18" t="s">
        <v>13434</v>
      </c>
      <c r="V5934" s="18" t="s">
        <v>13435</v>
      </c>
      <c r="W5934" s="18" t="s">
        <v>13436</v>
      </c>
      <c r="X5934" s="18" t="s">
        <v>42</v>
      </c>
      <c r="Y5934" s="18" t="s">
        <v>12266</v>
      </c>
      <c r="Z5934" s="18" t="s">
        <v>166</v>
      </c>
      <c r="AA5934" s="21" t="str">
        <f>HYPERLINK("https://www.ncbi.nlm.nih.gov/nuccore/KJ641728","NCBI Nucleotide")</f>
        <v>NCBI Nucleotide</v>
      </c>
    </row>
    <row r="5935" spans="1:27" x14ac:dyDescent="0.35">
      <c r="A5935">
        <v>1007419</v>
      </c>
      <c r="B5935">
        <v>5673</v>
      </c>
      <c r="C5935">
        <v>1</v>
      </c>
      <c r="D5935" s="17" t="s">
        <v>10507</v>
      </c>
      <c r="E5935" s="17"/>
      <c r="F5935" s="17" t="s">
        <v>10780</v>
      </c>
      <c r="G5935" s="17"/>
      <c r="H5935" s="17" t="s">
        <v>12908</v>
      </c>
      <c r="I5935" s="17"/>
      <c r="J5935" s="17" t="s">
        <v>12909</v>
      </c>
      <c r="K5935" s="17"/>
      <c r="L5935" s="17" t="s">
        <v>12991</v>
      </c>
      <c r="M5935" s="17"/>
      <c r="N5935" s="17" t="s">
        <v>12992</v>
      </c>
      <c r="O5935" s="17"/>
      <c r="P5935" s="17" t="s">
        <v>13211</v>
      </c>
      <c r="Q5935" s="17"/>
      <c r="R5935" s="25" t="str">
        <f>HYPERLINK("https://ictv.global/taxonomy/taxondetails?taxnode_id=202314091","Cyclovirus pauferro")</f>
        <v>Cyclovirus pauferro</v>
      </c>
      <c r="S5935" s="18" t="s">
        <v>30</v>
      </c>
      <c r="T5935" s="18" t="s">
        <v>13437</v>
      </c>
      <c r="U5935" s="18" t="s">
        <v>13438</v>
      </c>
      <c r="V5935" s="18" t="s">
        <v>13439</v>
      </c>
      <c r="W5935" s="18" t="s">
        <v>13440</v>
      </c>
      <c r="X5935" s="18" t="s">
        <v>42</v>
      </c>
      <c r="Y5935" s="18" t="s">
        <v>12266</v>
      </c>
      <c r="Z5935" s="18" t="s">
        <v>17336</v>
      </c>
      <c r="AA5935" s="21" t="str">
        <f>HYPERLINK("https://www.ncbi.nlm.nih.gov/nuccore/MT707947","NCBI Nucleotide")</f>
        <v>NCBI Nucleotide</v>
      </c>
    </row>
    <row r="5936" spans="1:27" x14ac:dyDescent="0.35">
      <c r="A5936">
        <v>1007420</v>
      </c>
      <c r="B5936">
        <v>5674</v>
      </c>
      <c r="C5936">
        <v>1</v>
      </c>
      <c r="D5936" s="17" t="s">
        <v>10507</v>
      </c>
      <c r="E5936" s="17"/>
      <c r="F5936" s="17" t="s">
        <v>10780</v>
      </c>
      <c r="G5936" s="17"/>
      <c r="H5936" s="17" t="s">
        <v>12908</v>
      </c>
      <c r="I5936" s="17"/>
      <c r="J5936" s="17" t="s">
        <v>12909</v>
      </c>
      <c r="K5936" s="17"/>
      <c r="L5936" s="17" t="s">
        <v>12991</v>
      </c>
      <c r="M5936" s="17"/>
      <c r="N5936" s="17" t="s">
        <v>12992</v>
      </c>
      <c r="O5936" s="17"/>
      <c r="P5936" s="17" t="s">
        <v>13211</v>
      </c>
      <c r="Q5936" s="17"/>
      <c r="R5936" s="25" t="str">
        <f>HYPERLINK("https://ictv.global/taxonomy/taxondetails?taxnode_id=202302945","Cyclovirus pea")</f>
        <v>Cyclovirus pea</v>
      </c>
      <c r="S5936" s="18" t="s">
        <v>30</v>
      </c>
      <c r="T5936" s="18" t="s">
        <v>13442</v>
      </c>
      <c r="U5936" s="18" t="s">
        <v>13443</v>
      </c>
      <c r="V5936" s="18" t="s">
        <v>13444</v>
      </c>
      <c r="W5936" s="18" t="s">
        <v>13445</v>
      </c>
      <c r="X5936" s="18" t="s">
        <v>42</v>
      </c>
      <c r="Y5936" s="18" t="s">
        <v>12266</v>
      </c>
      <c r="Z5936" s="18" t="s">
        <v>166</v>
      </c>
      <c r="AA5936" s="21" t="str">
        <f>HYPERLINK("https://www.ncbi.nlm.nih.gov/nuccore/KT732786","NCBI Nucleotide")</f>
        <v>NCBI Nucleotide</v>
      </c>
    </row>
    <row r="5937" spans="1:27" x14ac:dyDescent="0.35">
      <c r="A5937">
        <v>1007421</v>
      </c>
      <c r="B5937">
        <v>5675</v>
      </c>
      <c r="C5937">
        <v>1</v>
      </c>
      <c r="D5937" s="17" t="s">
        <v>10507</v>
      </c>
      <c r="E5937" s="17"/>
      <c r="F5937" s="17" t="s">
        <v>10780</v>
      </c>
      <c r="G5937" s="17"/>
      <c r="H5937" s="17" t="s">
        <v>12908</v>
      </c>
      <c r="I5937" s="17"/>
      <c r="J5937" s="17" t="s">
        <v>12909</v>
      </c>
      <c r="K5937" s="17"/>
      <c r="L5937" s="17" t="s">
        <v>12991</v>
      </c>
      <c r="M5937" s="17"/>
      <c r="N5937" s="17" t="s">
        <v>12992</v>
      </c>
      <c r="O5937" s="17"/>
      <c r="P5937" s="17" t="s">
        <v>13211</v>
      </c>
      <c r="Q5937" s="17"/>
      <c r="R5937" s="25" t="str">
        <f>HYPERLINK("https://ictv.global/taxonomy/taxondetails?taxnode_id=202302944","Cyclovirus peka")</f>
        <v>Cyclovirus peka</v>
      </c>
      <c r="S5937" s="18" t="s">
        <v>30</v>
      </c>
      <c r="T5937" s="18" t="s">
        <v>13446</v>
      </c>
      <c r="U5937" s="18" t="s">
        <v>13447</v>
      </c>
      <c r="V5937" s="18" t="s">
        <v>13448</v>
      </c>
      <c r="W5937" s="18" t="s">
        <v>13449</v>
      </c>
      <c r="X5937" s="18" t="s">
        <v>42</v>
      </c>
      <c r="Y5937" s="18" t="s">
        <v>12266</v>
      </c>
      <c r="Z5937" s="18" t="s">
        <v>166</v>
      </c>
      <c r="AA5937" s="21" t="str">
        <f>HYPERLINK("https://www.ncbi.nlm.nih.gov/nuccore/KT732785","NCBI Nucleotide")</f>
        <v>NCBI Nucleotide</v>
      </c>
    </row>
    <row r="5938" spans="1:27" x14ac:dyDescent="0.35">
      <c r="A5938">
        <v>1007422</v>
      </c>
      <c r="B5938">
        <v>5676</v>
      </c>
      <c r="C5938">
        <v>1</v>
      </c>
      <c r="D5938" s="17" t="s">
        <v>10507</v>
      </c>
      <c r="E5938" s="17"/>
      <c r="F5938" s="17" t="s">
        <v>10780</v>
      </c>
      <c r="G5938" s="17"/>
      <c r="H5938" s="17" t="s">
        <v>12908</v>
      </c>
      <c r="I5938" s="17"/>
      <c r="J5938" s="17" t="s">
        <v>12909</v>
      </c>
      <c r="K5938" s="17"/>
      <c r="L5938" s="17" t="s">
        <v>12991</v>
      </c>
      <c r="M5938" s="17"/>
      <c r="N5938" s="17" t="s">
        <v>12992</v>
      </c>
      <c r="O5938" s="17"/>
      <c r="P5938" s="17" t="s">
        <v>13211</v>
      </c>
      <c r="Q5938" s="17"/>
      <c r="R5938" s="25" t="str">
        <f>HYPERLINK("https://ictv.global/taxonomy/taxondetails?taxnode_id=202302946","Cyclovirus pekapeka")</f>
        <v>Cyclovirus pekapeka</v>
      </c>
      <c r="S5938" s="18" t="s">
        <v>30</v>
      </c>
      <c r="T5938" s="18" t="s">
        <v>13450</v>
      </c>
      <c r="U5938" s="18" t="s">
        <v>13451</v>
      </c>
      <c r="V5938" s="18" t="s">
        <v>13452</v>
      </c>
      <c r="W5938" s="18" t="s">
        <v>13453</v>
      </c>
      <c r="X5938" s="18" t="s">
        <v>42</v>
      </c>
      <c r="Y5938" s="18" t="s">
        <v>12266</v>
      </c>
      <c r="Z5938" s="18" t="s">
        <v>166</v>
      </c>
      <c r="AA5938" s="21" t="str">
        <f>HYPERLINK("https://www.ncbi.nlm.nih.gov/nuccore/KT732787","NCBI Nucleotide")</f>
        <v>NCBI Nucleotide</v>
      </c>
    </row>
    <row r="5939" spans="1:27" x14ac:dyDescent="0.35">
      <c r="A5939">
        <v>1007423</v>
      </c>
      <c r="B5939">
        <v>5677</v>
      </c>
      <c r="C5939">
        <v>1</v>
      </c>
      <c r="D5939" s="17" t="s">
        <v>10507</v>
      </c>
      <c r="E5939" s="17"/>
      <c r="F5939" s="17" t="s">
        <v>10780</v>
      </c>
      <c r="G5939" s="17"/>
      <c r="H5939" s="17" t="s">
        <v>12908</v>
      </c>
      <c r="I5939" s="17"/>
      <c r="J5939" s="17" t="s">
        <v>12909</v>
      </c>
      <c r="K5939" s="17"/>
      <c r="L5939" s="17" t="s">
        <v>12991</v>
      </c>
      <c r="M5939" s="17"/>
      <c r="N5939" s="17" t="s">
        <v>12992</v>
      </c>
      <c r="O5939" s="17"/>
      <c r="P5939" s="17" t="s">
        <v>13211</v>
      </c>
      <c r="Q5939" s="17"/>
      <c r="R5939" s="25" t="str">
        <f>HYPERLINK("https://ictv.global/taxonomy/taxondetails?taxnode_id=202314095","Cyclovirus pettirosso")</f>
        <v>Cyclovirus pettirosso</v>
      </c>
      <c r="S5939" s="18" t="s">
        <v>30</v>
      </c>
      <c r="T5939" s="18" t="s">
        <v>13454</v>
      </c>
      <c r="U5939" s="18" t="s">
        <v>13455</v>
      </c>
      <c r="V5939" s="18" t="s">
        <v>13456</v>
      </c>
      <c r="W5939" s="18" t="s">
        <v>13457</v>
      </c>
      <c r="X5939" s="18" t="s">
        <v>42</v>
      </c>
      <c r="Y5939" s="18" t="s">
        <v>12266</v>
      </c>
      <c r="Z5939" s="18" t="s">
        <v>166</v>
      </c>
      <c r="AA5939" s="21" t="str">
        <f>HYPERLINK("https://www.ncbi.nlm.nih.gov/nuccore/MZ350965","NCBI Nucleotide")</f>
        <v>NCBI Nucleotide</v>
      </c>
    </row>
    <row r="5940" spans="1:27" x14ac:dyDescent="0.35">
      <c r="A5940">
        <v>1007424</v>
      </c>
      <c r="B5940">
        <v>5678</v>
      </c>
      <c r="C5940">
        <v>1</v>
      </c>
      <c r="D5940" s="17" t="s">
        <v>10507</v>
      </c>
      <c r="E5940" s="17"/>
      <c r="F5940" s="17" t="s">
        <v>10780</v>
      </c>
      <c r="G5940" s="17"/>
      <c r="H5940" s="17" t="s">
        <v>12908</v>
      </c>
      <c r="I5940" s="17"/>
      <c r="J5940" s="17" t="s">
        <v>12909</v>
      </c>
      <c r="K5940" s="17"/>
      <c r="L5940" s="17" t="s">
        <v>12991</v>
      </c>
      <c r="M5940" s="17"/>
      <c r="N5940" s="17" t="s">
        <v>12992</v>
      </c>
      <c r="O5940" s="17"/>
      <c r="P5940" s="17" t="s">
        <v>13211</v>
      </c>
      <c r="Q5940" s="17"/>
      <c r="R5940" s="25" t="str">
        <f>HYPERLINK("https://ictv.global/taxonomy/taxondetails?taxnode_id=202306572","Cyclovirus podgana")</f>
        <v>Cyclovirus podgana</v>
      </c>
      <c r="S5940" s="18" t="s">
        <v>30</v>
      </c>
      <c r="T5940" s="18" t="s">
        <v>13030</v>
      </c>
      <c r="U5940" s="18" t="s">
        <v>13458</v>
      </c>
      <c r="V5940" s="18" t="s">
        <v>13459</v>
      </c>
      <c r="W5940" s="18" t="s">
        <v>13460</v>
      </c>
      <c r="X5940" s="18" t="s">
        <v>42</v>
      </c>
      <c r="Y5940" s="18" t="s">
        <v>12266</v>
      </c>
      <c r="Z5940" s="18" t="s">
        <v>166</v>
      </c>
      <c r="AA5940" s="21" t="str">
        <f>HYPERLINK("https://www.ncbi.nlm.nih.gov/nuccore/KY370026","NCBI Nucleotide")</f>
        <v>NCBI Nucleotide</v>
      </c>
    </row>
    <row r="5941" spans="1:27" x14ac:dyDescent="0.35">
      <c r="A5941">
        <v>1007425</v>
      </c>
      <c r="B5941">
        <v>5679</v>
      </c>
      <c r="C5941">
        <v>1</v>
      </c>
      <c r="D5941" s="17" t="s">
        <v>10507</v>
      </c>
      <c r="E5941" s="17"/>
      <c r="F5941" s="17" t="s">
        <v>10780</v>
      </c>
      <c r="G5941" s="17"/>
      <c r="H5941" s="17" t="s">
        <v>12908</v>
      </c>
      <c r="I5941" s="17"/>
      <c r="J5941" s="17" t="s">
        <v>12909</v>
      </c>
      <c r="K5941" s="17"/>
      <c r="L5941" s="17" t="s">
        <v>12991</v>
      </c>
      <c r="M5941" s="17"/>
      <c r="N5941" s="17" t="s">
        <v>12992</v>
      </c>
      <c r="O5941" s="17"/>
      <c r="P5941" s="17" t="s">
        <v>13211</v>
      </c>
      <c r="Q5941" s="17"/>
      <c r="R5941" s="25" t="str">
        <f>HYPERLINK("https://ictv.global/taxonomy/taxondetails?taxnode_id=202302936","Cyclovirus popo")</f>
        <v>Cyclovirus popo</v>
      </c>
      <c r="S5941" s="18" t="s">
        <v>30</v>
      </c>
      <c r="T5941" s="18" t="s">
        <v>13461</v>
      </c>
      <c r="U5941" s="18" t="s">
        <v>13462</v>
      </c>
      <c r="V5941" s="18" t="s">
        <v>13463</v>
      </c>
      <c r="W5941" s="18" t="s">
        <v>13464</v>
      </c>
      <c r="X5941" s="18" t="s">
        <v>42</v>
      </c>
      <c r="Y5941" s="18" t="s">
        <v>12266</v>
      </c>
      <c r="Z5941" s="18" t="s">
        <v>166</v>
      </c>
      <c r="AA5941" s="21" t="str">
        <f>HYPERLINK("https://www.ncbi.nlm.nih.gov/nuccore/KJ641712","NCBI Nucleotide")</f>
        <v>NCBI Nucleotide</v>
      </c>
    </row>
    <row r="5942" spans="1:27" x14ac:dyDescent="0.35">
      <c r="A5942">
        <v>1007426</v>
      </c>
      <c r="B5942">
        <v>5680</v>
      </c>
      <c r="C5942">
        <v>1</v>
      </c>
      <c r="D5942" s="17" t="s">
        <v>10507</v>
      </c>
      <c r="E5942" s="17"/>
      <c r="F5942" s="17" t="s">
        <v>10780</v>
      </c>
      <c r="G5942" s="17"/>
      <c r="H5942" s="17" t="s">
        <v>12908</v>
      </c>
      <c r="I5942" s="17"/>
      <c r="J5942" s="17" t="s">
        <v>12909</v>
      </c>
      <c r="K5942" s="17"/>
      <c r="L5942" s="17" t="s">
        <v>12991</v>
      </c>
      <c r="M5942" s="17"/>
      <c r="N5942" s="17" t="s">
        <v>12992</v>
      </c>
      <c r="O5942" s="17"/>
      <c r="P5942" s="17" t="s">
        <v>13211</v>
      </c>
      <c r="Q5942" s="17"/>
      <c r="R5942" s="25" t="str">
        <f>HYPERLINK("https://ictv.global/taxonomy/taxondetails?taxnode_id=202314124","Cyclovirus popoki")</f>
        <v>Cyclovirus popoki</v>
      </c>
      <c r="S5942" s="18" t="s">
        <v>30</v>
      </c>
      <c r="T5942" s="18" t="s">
        <v>13465</v>
      </c>
      <c r="U5942" s="18" t="s">
        <v>13466</v>
      </c>
      <c r="V5942" s="18" t="s">
        <v>13467</v>
      </c>
      <c r="W5942" s="18" t="s">
        <v>13468</v>
      </c>
      <c r="X5942" s="18" t="s">
        <v>42</v>
      </c>
      <c r="Y5942" s="18" t="s">
        <v>12266</v>
      </c>
      <c r="Z5942" s="18" t="s">
        <v>166</v>
      </c>
      <c r="AA5942" s="21" t="str">
        <f>HYPERLINK("https://www.ncbi.nlm.nih.gov/nuccore/ON596192","NCBI Nucleotide")</f>
        <v>NCBI Nucleotide</v>
      </c>
    </row>
    <row r="5943" spans="1:27" x14ac:dyDescent="0.35">
      <c r="A5943">
        <v>1007427</v>
      </c>
      <c r="B5943">
        <v>5681</v>
      </c>
      <c r="C5943">
        <v>1</v>
      </c>
      <c r="D5943" s="17" t="s">
        <v>10507</v>
      </c>
      <c r="E5943" s="17"/>
      <c r="F5943" s="17" t="s">
        <v>10780</v>
      </c>
      <c r="G5943" s="17"/>
      <c r="H5943" s="17" t="s">
        <v>12908</v>
      </c>
      <c r="I5943" s="17"/>
      <c r="J5943" s="17" t="s">
        <v>12909</v>
      </c>
      <c r="K5943" s="17"/>
      <c r="L5943" s="17" t="s">
        <v>12991</v>
      </c>
      <c r="M5943" s="17"/>
      <c r="N5943" s="17" t="s">
        <v>12992</v>
      </c>
      <c r="O5943" s="17"/>
      <c r="P5943" s="17" t="s">
        <v>13211</v>
      </c>
      <c r="Q5943" s="17"/>
      <c r="R5943" s="25" t="str">
        <f>HYPERLINK("https://ictv.global/taxonomy/taxondetails?taxnode_id=202314098","Cyclovirus prihor")</f>
        <v>Cyclovirus prihor</v>
      </c>
      <c r="S5943" s="18" t="s">
        <v>30</v>
      </c>
      <c r="T5943" s="18" t="s">
        <v>13469</v>
      </c>
      <c r="U5943" s="18" t="s">
        <v>13470</v>
      </c>
      <c r="V5943" s="18" t="s">
        <v>13471</v>
      </c>
      <c r="W5943" s="18" t="s">
        <v>13472</v>
      </c>
      <c r="X5943" s="18" t="s">
        <v>42</v>
      </c>
      <c r="Y5943" s="18" t="s">
        <v>12266</v>
      </c>
      <c r="Z5943" s="18" t="s">
        <v>166</v>
      </c>
      <c r="AA5943" s="21" t="str">
        <f>HYPERLINK("https://www.ncbi.nlm.nih.gov/nuccore/MZ350968","NCBI Nucleotide")</f>
        <v>NCBI Nucleotide</v>
      </c>
    </row>
    <row r="5944" spans="1:27" x14ac:dyDescent="0.35">
      <c r="A5944">
        <v>1007428</v>
      </c>
      <c r="B5944">
        <v>5682</v>
      </c>
      <c r="C5944">
        <v>1</v>
      </c>
      <c r="D5944" s="17" t="s">
        <v>10507</v>
      </c>
      <c r="E5944" s="17"/>
      <c r="F5944" s="17" t="s">
        <v>10780</v>
      </c>
      <c r="G5944" s="17"/>
      <c r="H5944" s="17" t="s">
        <v>12908</v>
      </c>
      <c r="I5944" s="17"/>
      <c r="J5944" s="17" t="s">
        <v>12909</v>
      </c>
      <c r="K5944" s="17"/>
      <c r="L5944" s="17" t="s">
        <v>12991</v>
      </c>
      <c r="M5944" s="17"/>
      <c r="N5944" s="17" t="s">
        <v>12992</v>
      </c>
      <c r="O5944" s="17"/>
      <c r="P5944" s="17" t="s">
        <v>13211</v>
      </c>
      <c r="Q5944" s="17"/>
      <c r="R5944" s="25" t="str">
        <f>HYPERLINK("https://ictv.global/taxonomy/taxondetails?taxnode_id=202314108","Cyclovirus prilep")</f>
        <v>Cyclovirus prilep</v>
      </c>
      <c r="S5944" s="18" t="s">
        <v>30</v>
      </c>
      <c r="T5944" s="18" t="s">
        <v>13473</v>
      </c>
      <c r="U5944" s="18" t="s">
        <v>13474</v>
      </c>
      <c r="V5944" s="18" t="s">
        <v>13475</v>
      </c>
      <c r="W5944" s="18" t="s">
        <v>13476</v>
      </c>
      <c r="X5944" s="18" t="s">
        <v>42</v>
      </c>
      <c r="Y5944" s="18" t="s">
        <v>12266</v>
      </c>
      <c r="Z5944" s="18" t="s">
        <v>166</v>
      </c>
      <c r="AA5944" s="21" t="str">
        <f>HYPERLINK("https://www.ncbi.nlm.nih.gov/nuccore/OM262453","NCBI Nucleotide")</f>
        <v>NCBI Nucleotide</v>
      </c>
    </row>
    <row r="5945" spans="1:27" x14ac:dyDescent="0.35">
      <c r="A5945">
        <v>1007429</v>
      </c>
      <c r="B5945">
        <v>5683</v>
      </c>
      <c r="C5945">
        <v>1</v>
      </c>
      <c r="D5945" s="17" t="s">
        <v>10507</v>
      </c>
      <c r="E5945" s="17"/>
      <c r="F5945" s="17" t="s">
        <v>10780</v>
      </c>
      <c r="G5945" s="17"/>
      <c r="H5945" s="17" t="s">
        <v>12908</v>
      </c>
      <c r="I5945" s="17"/>
      <c r="J5945" s="17" t="s">
        <v>12909</v>
      </c>
      <c r="K5945" s="17"/>
      <c r="L5945" s="17" t="s">
        <v>12991</v>
      </c>
      <c r="M5945" s="17"/>
      <c r="N5945" s="17" t="s">
        <v>12992</v>
      </c>
      <c r="O5945" s="17"/>
      <c r="P5945" s="17" t="s">
        <v>13211</v>
      </c>
      <c r="Q5945" s="17"/>
      <c r="R5945" s="25" t="str">
        <f>HYPERLINK("https://ictv.global/taxonomy/taxondetails?taxnode_id=202314096","Cyclovirus punarinta")</f>
        <v>Cyclovirus punarinta</v>
      </c>
      <c r="S5945" s="18" t="s">
        <v>30</v>
      </c>
      <c r="T5945" s="18" t="s">
        <v>13477</v>
      </c>
      <c r="U5945" s="18" t="s">
        <v>13478</v>
      </c>
      <c r="V5945" s="18" t="s">
        <v>13479</v>
      </c>
      <c r="W5945" s="18" t="s">
        <v>13480</v>
      </c>
      <c r="X5945" s="18" t="s">
        <v>42</v>
      </c>
      <c r="Y5945" s="18" t="s">
        <v>12266</v>
      </c>
      <c r="Z5945" s="18" t="s">
        <v>166</v>
      </c>
      <c r="AA5945" s="21" t="str">
        <f>HYPERLINK("https://www.ncbi.nlm.nih.gov/nuccore/MZ350966","NCBI Nucleotide")</f>
        <v>NCBI Nucleotide</v>
      </c>
    </row>
    <row r="5946" spans="1:27" x14ac:dyDescent="0.35">
      <c r="A5946">
        <v>1007430</v>
      </c>
      <c r="B5946">
        <v>5684</v>
      </c>
      <c r="C5946">
        <v>1</v>
      </c>
      <c r="D5946" s="17" t="s">
        <v>10507</v>
      </c>
      <c r="E5946" s="17"/>
      <c r="F5946" s="17" t="s">
        <v>10780</v>
      </c>
      <c r="G5946" s="17"/>
      <c r="H5946" s="17" t="s">
        <v>12908</v>
      </c>
      <c r="I5946" s="17"/>
      <c r="J5946" s="17" t="s">
        <v>12909</v>
      </c>
      <c r="K5946" s="17"/>
      <c r="L5946" s="17" t="s">
        <v>12991</v>
      </c>
      <c r="M5946" s="17"/>
      <c r="N5946" s="17" t="s">
        <v>12992</v>
      </c>
      <c r="O5946" s="17"/>
      <c r="P5946" s="17" t="s">
        <v>13211</v>
      </c>
      <c r="Q5946" s="17"/>
      <c r="R5946" s="25" t="str">
        <f>HYPERLINK("https://ictv.global/taxonomy/taxondetails?taxnode_id=202306571","Cyclovirus rata")</f>
        <v>Cyclovirus rata</v>
      </c>
      <c r="S5946" s="18" t="s">
        <v>30</v>
      </c>
      <c r="T5946" s="18" t="s">
        <v>13030</v>
      </c>
      <c r="U5946" s="18" t="s">
        <v>13481</v>
      </c>
      <c r="V5946" s="18" t="s">
        <v>13482</v>
      </c>
      <c r="W5946" s="18" t="s">
        <v>13483</v>
      </c>
      <c r="X5946" s="18" t="s">
        <v>42</v>
      </c>
      <c r="Y5946" s="18" t="s">
        <v>12266</v>
      </c>
      <c r="Z5946" s="18" t="s">
        <v>166</v>
      </c>
      <c r="AA5946" s="21" t="str">
        <f>HYPERLINK("https://www.ncbi.nlm.nih.gov/nuccore/KY370028","NCBI Nucleotide")</f>
        <v>NCBI Nucleotide</v>
      </c>
    </row>
    <row r="5947" spans="1:27" x14ac:dyDescent="0.35">
      <c r="A5947">
        <v>1007431</v>
      </c>
      <c r="B5947">
        <v>5685</v>
      </c>
      <c r="C5947">
        <v>1</v>
      </c>
      <c r="D5947" s="17" t="s">
        <v>10507</v>
      </c>
      <c r="E5947" s="17"/>
      <c r="F5947" s="17" t="s">
        <v>10780</v>
      </c>
      <c r="G5947" s="17"/>
      <c r="H5947" s="17" t="s">
        <v>12908</v>
      </c>
      <c r="I5947" s="17"/>
      <c r="J5947" s="17" t="s">
        <v>12909</v>
      </c>
      <c r="K5947" s="17"/>
      <c r="L5947" s="17" t="s">
        <v>12991</v>
      </c>
      <c r="M5947" s="17"/>
      <c r="N5947" s="17" t="s">
        <v>12992</v>
      </c>
      <c r="O5947" s="17"/>
      <c r="P5947" s="17" t="s">
        <v>13211</v>
      </c>
      <c r="Q5947" s="17"/>
      <c r="R5947" s="25" t="str">
        <f>HYPERLINK("https://ictv.global/taxonomy/taxondetails?taxnode_id=202302973","Cyclovirus risi")</f>
        <v>Cyclovirus risi</v>
      </c>
      <c r="S5947" s="18" t="s">
        <v>30</v>
      </c>
      <c r="T5947" s="18" t="s">
        <v>13484</v>
      </c>
      <c r="U5947" s="18" t="s">
        <v>13485</v>
      </c>
      <c r="V5947" s="18" t="s">
        <v>13486</v>
      </c>
      <c r="W5947" s="18" t="s">
        <v>13487</v>
      </c>
      <c r="X5947" s="18" t="s">
        <v>42</v>
      </c>
      <c r="Y5947" s="18" t="s">
        <v>12266</v>
      </c>
      <c r="Z5947" s="18" t="s">
        <v>166</v>
      </c>
      <c r="AA5947" s="21" t="str">
        <f>HYPERLINK("https://www.ncbi.nlm.nih.gov/nuccore/LC018134","NCBI Nucleotide")</f>
        <v>NCBI Nucleotide</v>
      </c>
    </row>
    <row r="5948" spans="1:27" x14ac:dyDescent="0.35">
      <c r="A5948">
        <v>1007432</v>
      </c>
      <c r="B5948">
        <v>5686</v>
      </c>
      <c r="C5948">
        <v>1</v>
      </c>
      <c r="D5948" s="17" t="s">
        <v>10507</v>
      </c>
      <c r="E5948" s="17"/>
      <c r="F5948" s="17" t="s">
        <v>10780</v>
      </c>
      <c r="G5948" s="17"/>
      <c r="H5948" s="17" t="s">
        <v>12908</v>
      </c>
      <c r="I5948" s="17"/>
      <c r="J5948" s="17" t="s">
        <v>12909</v>
      </c>
      <c r="K5948" s="17"/>
      <c r="L5948" s="17" t="s">
        <v>12991</v>
      </c>
      <c r="M5948" s="17"/>
      <c r="N5948" s="17" t="s">
        <v>12992</v>
      </c>
      <c r="O5948" s="17"/>
      <c r="P5948" s="17" t="s">
        <v>13211</v>
      </c>
      <c r="Q5948" s="17"/>
      <c r="R5948" s="25" t="str">
        <f>HYPERLINK("https://ictv.global/taxonomy/taxondetails?taxnode_id=202302950","Cyclovirus roach")</f>
        <v>Cyclovirus roach</v>
      </c>
      <c r="S5948" s="18" t="s">
        <v>30</v>
      </c>
      <c r="T5948" s="18" t="s">
        <v>13488</v>
      </c>
      <c r="U5948" s="18" t="s">
        <v>13489</v>
      </c>
      <c r="V5948" s="18" t="s">
        <v>13490</v>
      </c>
      <c r="W5948" s="18" t="s">
        <v>13491</v>
      </c>
      <c r="X5948" s="18" t="s">
        <v>42</v>
      </c>
      <c r="Y5948" s="18" t="s">
        <v>12266</v>
      </c>
      <c r="Z5948" s="18" t="s">
        <v>10790</v>
      </c>
      <c r="AA5948" s="21" t="str">
        <f>HYPERLINK("https://www.ncbi.nlm.nih.gov/nuccore/JX569794","NCBI Nucleotide")</f>
        <v>NCBI Nucleotide</v>
      </c>
    </row>
    <row r="5949" spans="1:27" x14ac:dyDescent="0.35">
      <c r="A5949">
        <v>1007433</v>
      </c>
      <c r="B5949">
        <v>5687</v>
      </c>
      <c r="C5949">
        <v>1</v>
      </c>
      <c r="D5949" s="17" t="s">
        <v>10507</v>
      </c>
      <c r="E5949" s="17"/>
      <c r="F5949" s="17" t="s">
        <v>10780</v>
      </c>
      <c r="G5949" s="17"/>
      <c r="H5949" s="17" t="s">
        <v>12908</v>
      </c>
      <c r="I5949" s="17"/>
      <c r="J5949" s="17" t="s">
        <v>12909</v>
      </c>
      <c r="K5949" s="17"/>
      <c r="L5949" s="17" t="s">
        <v>12991</v>
      </c>
      <c r="M5949" s="17"/>
      <c r="N5949" s="17" t="s">
        <v>12992</v>
      </c>
      <c r="O5949" s="17"/>
      <c r="P5949" s="17" t="s">
        <v>13211</v>
      </c>
      <c r="Q5949" s="17"/>
      <c r="R5949" s="25" t="str">
        <f>HYPERLINK("https://ictv.global/taxonomy/taxondetails?taxnode_id=202309257","Cyclovirus roedor")</f>
        <v>Cyclovirus roedor</v>
      </c>
      <c r="S5949" s="18" t="s">
        <v>30</v>
      </c>
      <c r="T5949" s="18" t="s">
        <v>13492</v>
      </c>
      <c r="U5949" s="18" t="s">
        <v>13493</v>
      </c>
      <c r="V5949" s="18" t="s">
        <v>13494</v>
      </c>
      <c r="W5949" s="18" t="s">
        <v>13495</v>
      </c>
      <c r="X5949" s="18" t="s">
        <v>42</v>
      </c>
      <c r="Y5949" s="18" t="s">
        <v>12266</v>
      </c>
      <c r="Z5949" s="18" t="s">
        <v>166</v>
      </c>
      <c r="AA5949" s="21" t="str">
        <f>HYPERLINK("https://www.ncbi.nlm.nih.gov/nuccore/MK947371","NCBI Nucleotide")</f>
        <v>NCBI Nucleotide</v>
      </c>
    </row>
    <row r="5950" spans="1:27" x14ac:dyDescent="0.35">
      <c r="A5950">
        <v>1007434</v>
      </c>
      <c r="B5950">
        <v>5688</v>
      </c>
      <c r="C5950">
        <v>1</v>
      </c>
      <c r="D5950" s="17" t="s">
        <v>10507</v>
      </c>
      <c r="E5950" s="17"/>
      <c r="F5950" s="17" t="s">
        <v>10780</v>
      </c>
      <c r="G5950" s="17"/>
      <c r="H5950" s="17" t="s">
        <v>12908</v>
      </c>
      <c r="I5950" s="17"/>
      <c r="J5950" s="17" t="s">
        <v>12909</v>
      </c>
      <c r="K5950" s="17"/>
      <c r="L5950" s="17" t="s">
        <v>12991</v>
      </c>
      <c r="M5950" s="17"/>
      <c r="N5950" s="17" t="s">
        <v>12992</v>
      </c>
      <c r="O5950" s="17"/>
      <c r="P5950" s="17" t="s">
        <v>13211</v>
      </c>
      <c r="Q5950" s="17"/>
      <c r="R5950" s="25" t="str">
        <f>HYPERLINK("https://ictv.global/taxonomy/taxondetails?taxnode_id=202314113","Cyclovirus rotte")</f>
        <v>Cyclovirus rotte</v>
      </c>
      <c r="S5950" s="18" t="s">
        <v>30</v>
      </c>
      <c r="T5950" s="18" t="s">
        <v>13496</v>
      </c>
      <c r="U5950" s="18" t="s">
        <v>13497</v>
      </c>
      <c r="V5950" s="18" t="s">
        <v>13498</v>
      </c>
      <c r="W5950" s="18" t="s">
        <v>13499</v>
      </c>
      <c r="X5950" s="18" t="s">
        <v>42</v>
      </c>
      <c r="Y5950" s="18" t="s">
        <v>12266</v>
      </c>
      <c r="Z5950" s="18" t="s">
        <v>166</v>
      </c>
      <c r="AA5950" s="21" t="str">
        <f>HYPERLINK("https://www.ncbi.nlm.nih.gov/nuccore/OM869595","NCBI Nucleotide")</f>
        <v>NCBI Nucleotide</v>
      </c>
    </row>
    <row r="5951" spans="1:27" x14ac:dyDescent="0.35">
      <c r="A5951">
        <v>1007435</v>
      </c>
      <c r="B5951">
        <v>5689</v>
      </c>
      <c r="C5951">
        <v>1</v>
      </c>
      <c r="D5951" s="17" t="s">
        <v>10507</v>
      </c>
      <c r="E5951" s="17"/>
      <c r="F5951" s="17" t="s">
        <v>10780</v>
      </c>
      <c r="G5951" s="17"/>
      <c r="H5951" s="17" t="s">
        <v>12908</v>
      </c>
      <c r="I5951" s="17"/>
      <c r="J5951" s="17" t="s">
        <v>12909</v>
      </c>
      <c r="K5951" s="17"/>
      <c r="L5951" s="17" t="s">
        <v>12991</v>
      </c>
      <c r="M5951" s="17"/>
      <c r="N5951" s="17" t="s">
        <v>12992</v>
      </c>
      <c r="O5951" s="17"/>
      <c r="P5951" s="17" t="s">
        <v>13211</v>
      </c>
      <c r="Q5951" s="17"/>
      <c r="R5951" s="25" t="str">
        <f>HYPERLINK("https://ictv.global/taxonomy/taxondetails?taxnode_id=202314097","Cyclovirus rudzik")</f>
        <v>Cyclovirus rudzik</v>
      </c>
      <c r="S5951" s="18" t="s">
        <v>30</v>
      </c>
      <c r="T5951" s="18" t="s">
        <v>13500</v>
      </c>
      <c r="U5951" s="18" t="s">
        <v>13501</v>
      </c>
      <c r="V5951" s="18" t="s">
        <v>13502</v>
      </c>
      <c r="W5951" s="18" t="s">
        <v>13503</v>
      </c>
      <c r="X5951" s="18" t="s">
        <v>42</v>
      </c>
      <c r="Y5951" s="18" t="s">
        <v>12266</v>
      </c>
      <c r="Z5951" s="18" t="s">
        <v>166</v>
      </c>
      <c r="AA5951" s="21" t="str">
        <f>HYPERLINK("https://www.ncbi.nlm.nih.gov/nuccore/MZ350967","NCBI Nucleotide")</f>
        <v>NCBI Nucleotide</v>
      </c>
    </row>
    <row r="5952" spans="1:27" x14ac:dyDescent="0.35">
      <c r="A5952">
        <v>1007436</v>
      </c>
      <c r="B5952">
        <v>5690</v>
      </c>
      <c r="C5952">
        <v>1</v>
      </c>
      <c r="D5952" s="17" t="s">
        <v>10507</v>
      </c>
      <c r="E5952" s="17"/>
      <c r="F5952" s="17" t="s">
        <v>10780</v>
      </c>
      <c r="G5952" s="17"/>
      <c r="H5952" s="17" t="s">
        <v>12908</v>
      </c>
      <c r="I5952" s="17"/>
      <c r="J5952" s="17" t="s">
        <v>12909</v>
      </c>
      <c r="K5952" s="17"/>
      <c r="L5952" s="17" t="s">
        <v>12991</v>
      </c>
      <c r="M5952" s="17"/>
      <c r="N5952" s="17" t="s">
        <v>12992</v>
      </c>
      <c r="O5952" s="17"/>
      <c r="P5952" s="17" t="s">
        <v>13211</v>
      </c>
      <c r="Q5952" s="17"/>
      <c r="R5952" s="25" t="str">
        <f>HYPERLINK("https://ictv.global/taxonomy/taxondetails?taxnode_id=202314106","Cyclovirus saguza")</f>
        <v>Cyclovirus saguza</v>
      </c>
      <c r="S5952" s="18" t="s">
        <v>30</v>
      </c>
      <c r="T5952" s="18" t="s">
        <v>13504</v>
      </c>
      <c r="U5952" s="18" t="s">
        <v>13505</v>
      </c>
      <c r="V5952" s="18" t="s">
        <v>13506</v>
      </c>
      <c r="W5952" s="18" t="s">
        <v>13507</v>
      </c>
      <c r="X5952" s="18" t="s">
        <v>42</v>
      </c>
      <c r="Y5952" s="18" t="s">
        <v>12266</v>
      </c>
      <c r="Z5952" s="18" t="s">
        <v>166</v>
      </c>
      <c r="AA5952" s="21" t="str">
        <f>HYPERLINK("https://www.ncbi.nlm.nih.gov/nuccore/OM262451","NCBI Nucleotide")</f>
        <v>NCBI Nucleotide</v>
      </c>
    </row>
    <row r="5953" spans="1:27" x14ac:dyDescent="0.35">
      <c r="A5953">
        <v>1007437</v>
      </c>
      <c r="B5953">
        <v>5691</v>
      </c>
      <c r="C5953">
        <v>1</v>
      </c>
      <c r="D5953" s="17" t="s">
        <v>10507</v>
      </c>
      <c r="E5953" s="17"/>
      <c r="F5953" s="17" t="s">
        <v>10780</v>
      </c>
      <c r="G5953" s="17"/>
      <c r="H5953" s="17" t="s">
        <v>12908</v>
      </c>
      <c r="I5953" s="17"/>
      <c r="J5953" s="17" t="s">
        <v>12909</v>
      </c>
      <c r="K5953" s="17"/>
      <c r="L5953" s="17" t="s">
        <v>12991</v>
      </c>
      <c r="M5953" s="17"/>
      <c r="N5953" s="17" t="s">
        <v>12992</v>
      </c>
      <c r="O5953" s="17"/>
      <c r="P5953" s="17" t="s">
        <v>13211</v>
      </c>
      <c r="Q5953" s="17"/>
      <c r="R5953" s="25" t="str">
        <f>HYPERLINK("https://ictv.global/taxonomy/taxondetails?taxnode_id=202314107","Cyclovirus sawya")</f>
        <v>Cyclovirus sawya</v>
      </c>
      <c r="S5953" s="18" t="s">
        <v>30</v>
      </c>
      <c r="T5953" s="18" t="s">
        <v>13508</v>
      </c>
      <c r="U5953" s="18" t="s">
        <v>13509</v>
      </c>
      <c r="V5953" s="18" t="s">
        <v>13510</v>
      </c>
      <c r="W5953" s="18" t="s">
        <v>13511</v>
      </c>
      <c r="X5953" s="18" t="s">
        <v>42</v>
      </c>
      <c r="Y5953" s="18" t="s">
        <v>12266</v>
      </c>
      <c r="Z5953" s="18" t="s">
        <v>166</v>
      </c>
      <c r="AA5953" s="21" t="str">
        <f>HYPERLINK("https://www.ncbi.nlm.nih.gov/nuccore/OM262452","NCBI Nucleotide")</f>
        <v>NCBI Nucleotide</v>
      </c>
    </row>
    <row r="5954" spans="1:27" x14ac:dyDescent="0.35">
      <c r="A5954">
        <v>1007438</v>
      </c>
      <c r="B5954">
        <v>5692</v>
      </c>
      <c r="C5954">
        <v>1</v>
      </c>
      <c r="D5954" s="17" t="s">
        <v>10507</v>
      </c>
      <c r="E5954" s="17"/>
      <c r="F5954" s="17" t="s">
        <v>10780</v>
      </c>
      <c r="G5954" s="17"/>
      <c r="H5954" s="17" t="s">
        <v>12908</v>
      </c>
      <c r="I5954" s="17"/>
      <c r="J5954" s="17" t="s">
        <v>12909</v>
      </c>
      <c r="K5954" s="17"/>
      <c r="L5954" s="17" t="s">
        <v>12991</v>
      </c>
      <c r="M5954" s="17"/>
      <c r="N5954" s="17" t="s">
        <v>12992</v>
      </c>
      <c r="O5954" s="17"/>
      <c r="P5954" s="17" t="s">
        <v>13211</v>
      </c>
      <c r="Q5954" s="17"/>
      <c r="R5954" s="25" t="str">
        <f>HYPERLINK("https://ictv.global/taxonomy/taxondetails?taxnode_id=202302934","Cyclovirus sismis")</f>
        <v>Cyclovirus sismis</v>
      </c>
      <c r="S5954" s="18" t="s">
        <v>30</v>
      </c>
      <c r="T5954" s="18" t="s">
        <v>13512</v>
      </c>
      <c r="U5954" s="18" t="s">
        <v>13513</v>
      </c>
      <c r="V5954" s="18" t="s">
        <v>13514</v>
      </c>
      <c r="W5954" s="18" t="s">
        <v>13515</v>
      </c>
      <c r="X5954" s="18" t="s">
        <v>42</v>
      </c>
      <c r="Y5954" s="18" t="s">
        <v>12266</v>
      </c>
      <c r="Z5954" s="18" t="s">
        <v>166</v>
      </c>
      <c r="AA5954" s="21" t="str">
        <f>HYPERLINK("https://www.ncbi.nlm.nih.gov/nuccore/JF938082","NCBI Nucleotide")</f>
        <v>NCBI Nucleotide</v>
      </c>
    </row>
    <row r="5955" spans="1:27" x14ac:dyDescent="0.35">
      <c r="A5955">
        <v>1007439</v>
      </c>
      <c r="B5955">
        <v>5693</v>
      </c>
      <c r="C5955">
        <v>1</v>
      </c>
      <c r="D5955" s="17" t="s">
        <v>10507</v>
      </c>
      <c r="E5955" s="17"/>
      <c r="F5955" s="17" t="s">
        <v>10780</v>
      </c>
      <c r="G5955" s="17"/>
      <c r="H5955" s="17" t="s">
        <v>12908</v>
      </c>
      <c r="I5955" s="17"/>
      <c r="J5955" s="17" t="s">
        <v>12909</v>
      </c>
      <c r="K5955" s="17"/>
      <c r="L5955" s="17" t="s">
        <v>12991</v>
      </c>
      <c r="M5955" s="17"/>
      <c r="N5955" s="17" t="s">
        <v>12992</v>
      </c>
      <c r="O5955" s="17"/>
      <c r="P5955" s="17" t="s">
        <v>13211</v>
      </c>
      <c r="Q5955" s="17"/>
      <c r="R5955" s="25" t="str">
        <f>HYPERLINK("https://ictv.global/taxonomy/taxondetails?taxnode_id=202302949","Cyclovirus sokwe")</f>
        <v>Cyclovirus sokwe</v>
      </c>
      <c r="S5955" s="18" t="s">
        <v>30</v>
      </c>
      <c r="T5955" s="18" t="s">
        <v>13516</v>
      </c>
      <c r="U5955" s="18" t="s">
        <v>13517</v>
      </c>
      <c r="V5955" s="18" t="s">
        <v>13518</v>
      </c>
      <c r="W5955" s="18" t="s">
        <v>13519</v>
      </c>
      <c r="X5955" s="18" t="s">
        <v>42</v>
      </c>
      <c r="Y5955" s="18" t="s">
        <v>12266</v>
      </c>
      <c r="Z5955" s="18" t="s">
        <v>166</v>
      </c>
      <c r="AA5955" s="21" t="str">
        <f>HYPERLINK("https://www.ncbi.nlm.nih.gov/nuccore/GQ404849","NCBI Nucleotide")</f>
        <v>NCBI Nucleotide</v>
      </c>
    </row>
    <row r="5956" spans="1:27" x14ac:dyDescent="0.35">
      <c r="A5956">
        <v>1007440</v>
      </c>
      <c r="B5956">
        <v>5694</v>
      </c>
      <c r="C5956">
        <v>1</v>
      </c>
      <c r="D5956" s="17" t="s">
        <v>10507</v>
      </c>
      <c r="E5956" s="17"/>
      <c r="F5956" s="17" t="s">
        <v>10780</v>
      </c>
      <c r="G5956" s="17"/>
      <c r="H5956" s="17" t="s">
        <v>12908</v>
      </c>
      <c r="I5956" s="17"/>
      <c r="J5956" s="17" t="s">
        <v>12909</v>
      </c>
      <c r="K5956" s="17"/>
      <c r="L5956" s="17" t="s">
        <v>12991</v>
      </c>
      <c r="M5956" s="17"/>
      <c r="N5956" s="17" t="s">
        <v>12992</v>
      </c>
      <c r="O5956" s="17"/>
      <c r="P5956" s="17" t="s">
        <v>13211</v>
      </c>
      <c r="Q5956" s="17"/>
      <c r="R5956" s="25" t="str">
        <f>HYPERLINK("https://ictv.global/taxonomy/taxondetails?taxnode_id=202314121","Cyclovirus svosve")</f>
        <v>Cyclovirus svosve</v>
      </c>
      <c r="S5956" s="18" t="s">
        <v>30</v>
      </c>
      <c r="T5956" s="18" t="s">
        <v>13520</v>
      </c>
      <c r="U5956" s="18" t="s">
        <v>13521</v>
      </c>
      <c r="V5956" s="18" t="s">
        <v>13522</v>
      </c>
      <c r="W5956" s="18" t="s">
        <v>13523</v>
      </c>
      <c r="X5956" s="18" t="s">
        <v>42</v>
      </c>
      <c r="Y5956" s="18" t="s">
        <v>12266</v>
      </c>
      <c r="Z5956" s="18" t="s">
        <v>10790</v>
      </c>
      <c r="AA5956" s="21" t="str">
        <f>HYPERLINK("https://www.ncbi.nlm.nih.gov/nuccore/ON324106","NCBI Nucleotide")</f>
        <v>NCBI Nucleotide</v>
      </c>
    </row>
    <row r="5957" spans="1:27" x14ac:dyDescent="0.35">
      <c r="A5957">
        <v>1007441</v>
      </c>
      <c r="B5957">
        <v>5695</v>
      </c>
      <c r="C5957">
        <v>1</v>
      </c>
      <c r="D5957" s="17" t="s">
        <v>10507</v>
      </c>
      <c r="E5957" s="17"/>
      <c r="F5957" s="17" t="s">
        <v>10780</v>
      </c>
      <c r="G5957" s="17"/>
      <c r="H5957" s="17" t="s">
        <v>12908</v>
      </c>
      <c r="I5957" s="17"/>
      <c r="J5957" s="17" t="s">
        <v>12909</v>
      </c>
      <c r="K5957" s="17"/>
      <c r="L5957" s="17" t="s">
        <v>12991</v>
      </c>
      <c r="M5957" s="17"/>
      <c r="N5957" s="17" t="s">
        <v>12992</v>
      </c>
      <c r="O5957" s="17"/>
      <c r="P5957" s="17" t="s">
        <v>13211</v>
      </c>
      <c r="Q5957" s="17"/>
      <c r="R5957" s="25" t="str">
        <f>HYPERLINK("https://ictv.global/taxonomy/taxondetails?taxnode_id=202302952","Cyclovirus taniilai")</f>
        <v>Cyclovirus taniilai</v>
      </c>
      <c r="S5957" s="18" t="s">
        <v>30</v>
      </c>
      <c r="T5957" s="18" t="s">
        <v>13524</v>
      </c>
      <c r="U5957" s="18" t="s">
        <v>13525</v>
      </c>
      <c r="V5957" s="18" t="s">
        <v>13526</v>
      </c>
      <c r="W5957" s="18" t="s">
        <v>13527</v>
      </c>
      <c r="X5957" s="18" t="s">
        <v>42</v>
      </c>
      <c r="Y5957" s="18" t="s">
        <v>12266</v>
      </c>
      <c r="Z5957" s="18" t="s">
        <v>10790</v>
      </c>
      <c r="AA5957" s="21" t="str">
        <f>HYPERLINK("https://www.ncbi.nlm.nih.gov/nuccore/JX185422","NCBI Nucleotide")</f>
        <v>NCBI Nucleotide</v>
      </c>
    </row>
    <row r="5958" spans="1:27" x14ac:dyDescent="0.35">
      <c r="A5958">
        <v>1007442</v>
      </c>
      <c r="B5958">
        <v>5696</v>
      </c>
      <c r="C5958">
        <v>1</v>
      </c>
      <c r="D5958" s="17" t="s">
        <v>10507</v>
      </c>
      <c r="E5958" s="17"/>
      <c r="F5958" s="17" t="s">
        <v>10780</v>
      </c>
      <c r="G5958" s="17"/>
      <c r="H5958" s="17" t="s">
        <v>12908</v>
      </c>
      <c r="I5958" s="17"/>
      <c r="J5958" s="17" t="s">
        <v>12909</v>
      </c>
      <c r="K5958" s="17"/>
      <c r="L5958" s="17" t="s">
        <v>12991</v>
      </c>
      <c r="M5958" s="17"/>
      <c r="N5958" s="17" t="s">
        <v>12992</v>
      </c>
      <c r="O5958" s="17"/>
      <c r="P5958" s="17" t="s">
        <v>13211</v>
      </c>
      <c r="Q5958" s="17"/>
      <c r="R5958" s="25" t="str">
        <f>HYPERLINK("https://ictv.global/taxonomy/taxondetails?taxnode_id=202302958","Cyclovirus tarako")</f>
        <v>Cyclovirus tarako</v>
      </c>
      <c r="S5958" s="18" t="s">
        <v>30</v>
      </c>
      <c r="T5958" s="18" t="s">
        <v>13528</v>
      </c>
      <c r="U5958" s="18" t="s">
        <v>13529</v>
      </c>
      <c r="V5958" s="18" t="s">
        <v>13530</v>
      </c>
      <c r="W5958" s="18" t="s">
        <v>13531</v>
      </c>
      <c r="X5958" s="18" t="s">
        <v>42</v>
      </c>
      <c r="Y5958" s="18" t="s">
        <v>12266</v>
      </c>
      <c r="Z5958" s="18" t="s">
        <v>10790</v>
      </c>
      <c r="AA5958" s="21" t="str">
        <f>HYPERLINK("https://www.ncbi.nlm.nih.gov/nuccore/KC512920","NCBI Nucleotide")</f>
        <v>NCBI Nucleotide</v>
      </c>
    </row>
    <row r="5959" spans="1:27" x14ac:dyDescent="0.35">
      <c r="A5959">
        <v>1007443</v>
      </c>
      <c r="B5959">
        <v>5697</v>
      </c>
      <c r="C5959">
        <v>1</v>
      </c>
      <c r="D5959" s="17" t="s">
        <v>10507</v>
      </c>
      <c r="E5959" s="17"/>
      <c r="F5959" s="17" t="s">
        <v>10780</v>
      </c>
      <c r="G5959" s="17"/>
      <c r="H5959" s="17" t="s">
        <v>12908</v>
      </c>
      <c r="I5959" s="17"/>
      <c r="J5959" s="17" t="s">
        <v>12909</v>
      </c>
      <c r="K5959" s="17"/>
      <c r="L5959" s="17" t="s">
        <v>12991</v>
      </c>
      <c r="M5959" s="17"/>
      <c r="N5959" s="17" t="s">
        <v>12992</v>
      </c>
      <c r="O5959" s="17"/>
      <c r="P5959" s="17" t="s">
        <v>13211</v>
      </c>
      <c r="Q5959" s="17"/>
      <c r="R5959" s="25" t="str">
        <f>HYPERLINK("https://ictv.global/taxonomy/taxondetails?taxnode_id=202302953","Cyclovirus tonbo")</f>
        <v>Cyclovirus tonbo</v>
      </c>
      <c r="S5959" s="18" t="s">
        <v>30</v>
      </c>
      <c r="T5959" s="18" t="s">
        <v>13532</v>
      </c>
      <c r="U5959" s="18" t="s">
        <v>13533</v>
      </c>
      <c r="V5959" s="18" t="s">
        <v>13534</v>
      </c>
      <c r="W5959" s="18" t="s">
        <v>13535</v>
      </c>
      <c r="X5959" s="18" t="s">
        <v>42</v>
      </c>
      <c r="Y5959" s="18" t="s">
        <v>12266</v>
      </c>
      <c r="Z5959" s="18" t="s">
        <v>10790</v>
      </c>
      <c r="AA5959" s="21" t="str">
        <f>HYPERLINK("https://www.ncbi.nlm.nih.gov/nuccore/JX185424","NCBI Nucleotide")</f>
        <v>NCBI Nucleotide</v>
      </c>
    </row>
    <row r="5960" spans="1:27" x14ac:dyDescent="0.35">
      <c r="A5960">
        <v>1007444</v>
      </c>
      <c r="B5960">
        <v>5698</v>
      </c>
      <c r="C5960">
        <v>1</v>
      </c>
      <c r="D5960" s="17" t="s">
        <v>10507</v>
      </c>
      <c r="E5960" s="17"/>
      <c r="F5960" s="17" t="s">
        <v>10780</v>
      </c>
      <c r="G5960" s="17"/>
      <c r="H5960" s="17" t="s">
        <v>12908</v>
      </c>
      <c r="I5960" s="17"/>
      <c r="J5960" s="17" t="s">
        <v>12909</v>
      </c>
      <c r="K5960" s="17"/>
      <c r="L5960" s="17" t="s">
        <v>12991</v>
      </c>
      <c r="M5960" s="17"/>
      <c r="N5960" s="17" t="s">
        <v>12992</v>
      </c>
      <c r="O5960" s="17"/>
      <c r="P5960" s="17" t="s">
        <v>13211</v>
      </c>
      <c r="Q5960" s="17"/>
      <c r="R5960" s="25" t="str">
        <f>HYPERLINK("https://ictv.global/taxonomy/taxondetails?taxnode_id=202314094","Cyclovirus totoi")</f>
        <v>Cyclovirus totoi</v>
      </c>
      <c r="S5960" s="18" t="s">
        <v>30</v>
      </c>
      <c r="T5960" s="18" t="s">
        <v>13536</v>
      </c>
      <c r="U5960" s="18" t="s">
        <v>13537</v>
      </c>
      <c r="V5960" s="18" t="s">
        <v>13538</v>
      </c>
      <c r="W5960" s="18" t="s">
        <v>13539</v>
      </c>
      <c r="X5960" s="18" t="s">
        <v>42</v>
      </c>
      <c r="Y5960" s="18" t="s">
        <v>12266</v>
      </c>
      <c r="Z5960" s="18" t="s">
        <v>166</v>
      </c>
      <c r="AA5960" s="21" t="str">
        <f>HYPERLINK("https://www.ncbi.nlm.nih.gov/nuccore/MZ350964","NCBI Nucleotide")</f>
        <v>NCBI Nucleotide</v>
      </c>
    </row>
    <row r="5961" spans="1:27" x14ac:dyDescent="0.35">
      <c r="A5961">
        <v>1007445</v>
      </c>
      <c r="B5961">
        <v>5699</v>
      </c>
      <c r="C5961">
        <v>1</v>
      </c>
      <c r="D5961" s="17" t="s">
        <v>10507</v>
      </c>
      <c r="E5961" s="17"/>
      <c r="F5961" s="17" t="s">
        <v>10780</v>
      </c>
      <c r="G5961" s="17"/>
      <c r="H5961" s="17" t="s">
        <v>12908</v>
      </c>
      <c r="I5961" s="17"/>
      <c r="J5961" s="17" t="s">
        <v>12909</v>
      </c>
      <c r="K5961" s="17"/>
      <c r="L5961" s="17" t="s">
        <v>12991</v>
      </c>
      <c r="M5961" s="17"/>
      <c r="N5961" s="17" t="s">
        <v>12992</v>
      </c>
      <c r="O5961" s="17"/>
      <c r="P5961" s="17" t="s">
        <v>13211</v>
      </c>
      <c r="Q5961" s="17"/>
      <c r="R5961" s="25" t="str">
        <f>HYPERLINK("https://ictv.global/taxonomy/taxondetails?taxnode_id=202314092","Cyclovirus vauval")</f>
        <v>Cyclovirus vauval</v>
      </c>
      <c r="S5961" s="18" t="s">
        <v>30</v>
      </c>
      <c r="T5961" s="18" t="s">
        <v>13540</v>
      </c>
      <c r="U5961" s="18" t="s">
        <v>13541</v>
      </c>
      <c r="V5961" s="18" t="s">
        <v>13542</v>
      </c>
      <c r="W5961" s="18" t="s">
        <v>13543</v>
      </c>
      <c r="X5961" s="18" t="s">
        <v>42</v>
      </c>
      <c r="Y5961" s="18" t="s">
        <v>12266</v>
      </c>
      <c r="Z5961" s="18" t="s">
        <v>166</v>
      </c>
      <c r="AA5961" s="21" t="str">
        <f>HYPERLINK("https://www.ncbi.nlm.nih.gov/nuccore/MT766309","NCBI Nucleotide")</f>
        <v>NCBI Nucleotide</v>
      </c>
    </row>
    <row r="5962" spans="1:27" x14ac:dyDescent="0.35">
      <c r="A5962">
        <v>1007446</v>
      </c>
      <c r="B5962">
        <v>5700</v>
      </c>
      <c r="C5962">
        <v>1</v>
      </c>
      <c r="D5962" s="17" t="s">
        <v>10507</v>
      </c>
      <c r="E5962" s="17"/>
      <c r="F5962" s="17" t="s">
        <v>10780</v>
      </c>
      <c r="G5962" s="17"/>
      <c r="H5962" s="17" t="s">
        <v>12908</v>
      </c>
      <c r="I5962" s="17"/>
      <c r="J5962" s="17" t="s">
        <v>12909</v>
      </c>
      <c r="K5962" s="17"/>
      <c r="L5962" s="17" t="s">
        <v>12991</v>
      </c>
      <c r="M5962" s="17"/>
      <c r="N5962" s="17" t="s">
        <v>12992</v>
      </c>
      <c r="O5962" s="17"/>
      <c r="P5962" s="17" t="s">
        <v>13211</v>
      </c>
      <c r="Q5962" s="17"/>
      <c r="R5962" s="25" t="str">
        <f>HYPERLINK("https://ictv.global/taxonomy/taxondetails?taxnode_id=202302954","Cyclovirus vazka")</f>
        <v>Cyclovirus vazka</v>
      </c>
      <c r="S5962" s="18" t="s">
        <v>30</v>
      </c>
      <c r="T5962" s="18" t="s">
        <v>13544</v>
      </c>
      <c r="U5962" s="18" t="s">
        <v>13545</v>
      </c>
      <c r="V5962" s="18" t="s">
        <v>13226</v>
      </c>
      <c r="W5962" s="18" t="s">
        <v>13546</v>
      </c>
      <c r="X5962" s="18" t="s">
        <v>42</v>
      </c>
      <c r="Y5962" s="18" t="s">
        <v>12266</v>
      </c>
      <c r="Z5962" s="18" t="s">
        <v>10790</v>
      </c>
      <c r="AA5962" s="21" t="str">
        <f>HYPERLINK("https://www.ncbi.nlm.nih.gov/nuccore/KC512916","NCBI Nucleotide")</f>
        <v>NCBI Nucleotide</v>
      </c>
    </row>
    <row r="5963" spans="1:27" x14ac:dyDescent="0.35">
      <c r="A5963">
        <v>1007447</v>
      </c>
      <c r="B5963">
        <v>5701</v>
      </c>
      <c r="C5963">
        <v>1</v>
      </c>
      <c r="D5963" s="17" t="s">
        <v>10507</v>
      </c>
      <c r="E5963" s="17"/>
      <c r="F5963" s="17" t="s">
        <v>10780</v>
      </c>
      <c r="G5963" s="17"/>
      <c r="H5963" s="17" t="s">
        <v>12908</v>
      </c>
      <c r="I5963" s="17"/>
      <c r="J5963" s="17" t="s">
        <v>12909</v>
      </c>
      <c r="K5963" s="17"/>
      <c r="L5963" s="17" t="s">
        <v>12991</v>
      </c>
      <c r="M5963" s="17"/>
      <c r="N5963" s="17" t="s">
        <v>12992</v>
      </c>
      <c r="O5963" s="17"/>
      <c r="P5963" s="17" t="s">
        <v>13211</v>
      </c>
      <c r="Q5963" s="17"/>
      <c r="R5963" s="25" t="str">
        <f>HYPERLINK("https://ictv.global/taxonomy/taxondetails?taxnode_id=202314104","Cyclovirus vespertilio")</f>
        <v>Cyclovirus vespertilio</v>
      </c>
      <c r="S5963" s="18" t="s">
        <v>30</v>
      </c>
      <c r="T5963" s="18" t="s">
        <v>13547</v>
      </c>
      <c r="U5963" s="18" t="s">
        <v>13548</v>
      </c>
      <c r="V5963" s="18" t="s">
        <v>13549</v>
      </c>
      <c r="W5963" s="18" t="s">
        <v>13550</v>
      </c>
      <c r="X5963" s="18" t="s">
        <v>42</v>
      </c>
      <c r="Y5963" s="18" t="s">
        <v>12266</v>
      </c>
      <c r="Z5963" s="18" t="s">
        <v>166</v>
      </c>
      <c r="AA5963" s="21" t="str">
        <f>HYPERLINK("https://www.ncbi.nlm.nih.gov/nuccore/OL704827","NCBI Nucleotide")</f>
        <v>NCBI Nucleotide</v>
      </c>
    </row>
    <row r="5964" spans="1:27" x14ac:dyDescent="0.35">
      <c r="A5964">
        <v>1007448</v>
      </c>
      <c r="B5964">
        <v>5702</v>
      </c>
      <c r="C5964">
        <v>1</v>
      </c>
      <c r="D5964" s="17" t="s">
        <v>10507</v>
      </c>
      <c r="E5964" s="17"/>
      <c r="F5964" s="17" t="s">
        <v>10780</v>
      </c>
      <c r="G5964" s="17"/>
      <c r="H5964" s="17" t="s">
        <v>12908</v>
      </c>
      <c r="I5964" s="17"/>
      <c r="J5964" s="17" t="s">
        <v>12909</v>
      </c>
      <c r="K5964" s="17"/>
      <c r="L5964" s="17" t="s">
        <v>12991</v>
      </c>
      <c r="M5964" s="17"/>
      <c r="N5964" s="17" t="s">
        <v>12992</v>
      </c>
      <c r="O5964" s="17"/>
      <c r="P5964" s="17" t="s">
        <v>13211</v>
      </c>
      <c r="Q5964" s="17"/>
      <c r="R5964" s="25" t="str">
        <f>HYPERLINK("https://ictv.global/taxonomy/taxondetails?taxnode_id=202314110","Cyclovirus vleermuis")</f>
        <v>Cyclovirus vleermuis</v>
      </c>
      <c r="S5964" s="18" t="s">
        <v>30</v>
      </c>
      <c r="T5964" s="18" t="s">
        <v>13551</v>
      </c>
      <c r="U5964" s="18" t="s">
        <v>13552</v>
      </c>
      <c r="V5964" s="18" t="s">
        <v>13553</v>
      </c>
      <c r="W5964" s="18" t="s">
        <v>13554</v>
      </c>
      <c r="X5964" s="18" t="s">
        <v>42</v>
      </c>
      <c r="Y5964" s="18" t="s">
        <v>12266</v>
      </c>
      <c r="Z5964" s="18" t="s">
        <v>166</v>
      </c>
      <c r="AA5964" s="21" t="str">
        <f>HYPERLINK("https://www.ncbi.nlm.nih.gov/nuccore/OM262457","NCBI Nucleotide")</f>
        <v>NCBI Nucleotide</v>
      </c>
    </row>
    <row r="5965" spans="1:27" x14ac:dyDescent="0.35">
      <c r="A5965">
        <v>1007449</v>
      </c>
      <c r="B5965">
        <v>5703</v>
      </c>
      <c r="C5965">
        <v>1</v>
      </c>
      <c r="D5965" s="17" t="s">
        <v>10507</v>
      </c>
      <c r="E5965" s="17"/>
      <c r="F5965" s="17" t="s">
        <v>10780</v>
      </c>
      <c r="G5965" s="17"/>
      <c r="H5965" s="17" t="s">
        <v>12908</v>
      </c>
      <c r="I5965" s="17"/>
      <c r="J5965" s="17" t="s">
        <v>12909</v>
      </c>
      <c r="K5965" s="17"/>
      <c r="L5965" s="17" t="s">
        <v>12991</v>
      </c>
      <c r="M5965" s="17"/>
      <c r="N5965" s="17" t="s">
        <v>12992</v>
      </c>
      <c r="O5965" s="17"/>
      <c r="P5965" s="17" t="s">
        <v>13211</v>
      </c>
      <c r="Q5965" s="17"/>
      <c r="R5965" s="25" t="str">
        <f>HYPERLINK("https://ictv.global/taxonomy/taxondetails?taxnode_id=202302941","Cyclovirus yarasa")</f>
        <v>Cyclovirus yarasa</v>
      </c>
      <c r="S5965" s="18" t="s">
        <v>30</v>
      </c>
      <c r="T5965" s="18" t="s">
        <v>13555</v>
      </c>
      <c r="U5965" s="18" t="s">
        <v>13556</v>
      </c>
      <c r="V5965" s="18" t="s">
        <v>13557</v>
      </c>
      <c r="W5965" s="18" t="s">
        <v>13558</v>
      </c>
      <c r="X5965" s="18" t="s">
        <v>42</v>
      </c>
      <c r="Y5965" s="18" t="s">
        <v>12266</v>
      </c>
      <c r="Z5965" s="18" t="s">
        <v>166</v>
      </c>
      <c r="AA5965" s="21" t="str">
        <f>HYPERLINK("https://www.ncbi.nlm.nih.gov/nuccore/KJ641717","NCBI Nucleotide")</f>
        <v>NCBI Nucleotide</v>
      </c>
    </row>
    <row r="5966" spans="1:27" x14ac:dyDescent="0.35">
      <c r="A5966">
        <v>1007450</v>
      </c>
      <c r="B5966">
        <v>5704</v>
      </c>
      <c r="C5966">
        <v>1</v>
      </c>
      <c r="D5966" s="17" t="s">
        <v>10507</v>
      </c>
      <c r="E5966" s="17"/>
      <c r="F5966" s="17" t="s">
        <v>10780</v>
      </c>
      <c r="G5966" s="17"/>
      <c r="H5966" s="17" t="s">
        <v>12908</v>
      </c>
      <c r="I5966" s="17"/>
      <c r="J5966" s="17" t="s">
        <v>12909</v>
      </c>
      <c r="K5966" s="17"/>
      <c r="L5966" s="17" t="s">
        <v>12991</v>
      </c>
      <c r="M5966" s="17"/>
      <c r="N5966" s="17" t="s">
        <v>12992</v>
      </c>
      <c r="O5966" s="17"/>
      <c r="P5966" s="17" t="s">
        <v>13211</v>
      </c>
      <c r="Q5966" s="17"/>
      <c r="R5966" s="25" t="str">
        <f>HYPERLINK("https://ictv.global/taxonomy/taxondetails?taxnode_id=202314111","Cyclovirus ystlum")</f>
        <v>Cyclovirus ystlum</v>
      </c>
      <c r="S5966" s="18" t="s">
        <v>30</v>
      </c>
      <c r="T5966" s="18" t="s">
        <v>13559</v>
      </c>
      <c r="U5966" s="18" t="s">
        <v>13560</v>
      </c>
      <c r="V5966" s="18" t="s">
        <v>13561</v>
      </c>
      <c r="W5966" s="18" t="s">
        <v>13562</v>
      </c>
      <c r="X5966" s="18" t="s">
        <v>42</v>
      </c>
      <c r="Y5966" s="18" t="s">
        <v>12266</v>
      </c>
      <c r="Z5966" s="18" t="s">
        <v>166</v>
      </c>
      <c r="AA5966" s="21" t="str">
        <f>HYPERLINK("https://www.ncbi.nlm.nih.gov/nuccore/OM262458","NCBI Nucleotide")</f>
        <v>NCBI Nucleotide</v>
      </c>
    </row>
    <row r="5967" spans="1:27" x14ac:dyDescent="0.35">
      <c r="A5967">
        <v>1025356</v>
      </c>
      <c r="B5967">
        <v>5705</v>
      </c>
      <c r="C5967">
        <v>1</v>
      </c>
      <c r="D5967" s="17" t="s">
        <v>10507</v>
      </c>
      <c r="E5967" s="17"/>
      <c r="F5967" s="17" t="s">
        <v>10780</v>
      </c>
      <c r="G5967" s="17"/>
      <c r="H5967" s="17" t="s">
        <v>12908</v>
      </c>
      <c r="I5967" s="17"/>
      <c r="J5967" s="17" t="s">
        <v>12909</v>
      </c>
      <c r="K5967" s="17"/>
      <c r="L5967" s="17" t="s">
        <v>12991</v>
      </c>
      <c r="M5967" s="17"/>
      <c r="N5967" s="17" t="s">
        <v>40166</v>
      </c>
      <c r="O5967" s="17"/>
      <c r="P5967" s="17" t="s">
        <v>40167</v>
      </c>
      <c r="Q5967" s="17"/>
      <c r="R5967" s="25" t="str">
        <f>HYPERLINK("https://ictv.global/taxonomy/taxondetails?taxnode_id=202318404","Bovdisavirus nainis")</f>
        <v>Bovdisavirus nainis</v>
      </c>
      <c r="S5967" s="18" t="s">
        <v>30</v>
      </c>
      <c r="T5967" s="18" t="s">
        <v>40168</v>
      </c>
      <c r="U5967" s="18"/>
      <c r="V5967" s="18" t="s">
        <v>40169</v>
      </c>
      <c r="W5967" s="18" t="s">
        <v>40170</v>
      </c>
      <c r="X5967" s="18" t="s">
        <v>42</v>
      </c>
      <c r="Y5967" s="18" t="s">
        <v>12266</v>
      </c>
      <c r="Z5967" s="18" t="s">
        <v>166</v>
      </c>
      <c r="AA5967" s="21" t="str">
        <f>HYPERLINK("https://www.ncbi.nlm.nih.gov/nuccore/MH782429","NCBI Nucleotide")</f>
        <v>NCBI Nucleotide</v>
      </c>
    </row>
    <row r="5968" spans="1:27" x14ac:dyDescent="0.35">
      <c r="A5968">
        <v>1025357</v>
      </c>
      <c r="B5968">
        <v>5706</v>
      </c>
      <c r="C5968">
        <v>1</v>
      </c>
      <c r="D5968" s="17" t="s">
        <v>10507</v>
      </c>
      <c r="E5968" s="17"/>
      <c r="F5968" s="17" t="s">
        <v>10780</v>
      </c>
      <c r="G5968" s="17"/>
      <c r="H5968" s="17" t="s">
        <v>12908</v>
      </c>
      <c r="I5968" s="17"/>
      <c r="J5968" s="17" t="s">
        <v>12909</v>
      </c>
      <c r="K5968" s="17"/>
      <c r="L5968" s="17" t="s">
        <v>12991</v>
      </c>
      <c r="M5968" s="17"/>
      <c r="N5968" s="17" t="s">
        <v>40166</v>
      </c>
      <c r="O5968" s="17"/>
      <c r="P5968" s="17" t="s">
        <v>40171</v>
      </c>
      <c r="Q5968" s="17"/>
      <c r="R5968" s="25" t="str">
        <f>HYPERLINK("https://ictv.global/taxonomy/taxondetails?taxnode_id=202318407","Camdisavirus jamalis")</f>
        <v>Camdisavirus jamalis</v>
      </c>
      <c r="S5968" s="18" t="s">
        <v>30</v>
      </c>
      <c r="T5968" s="18" t="s">
        <v>50393</v>
      </c>
      <c r="U5968" s="18"/>
      <c r="V5968" s="18" t="s">
        <v>40172</v>
      </c>
      <c r="W5968" s="18" t="s">
        <v>40173</v>
      </c>
      <c r="X5968" s="18" t="s">
        <v>42</v>
      </c>
      <c r="Y5968" s="18" t="s">
        <v>12266</v>
      </c>
      <c r="Z5968" s="18" t="s">
        <v>166</v>
      </c>
      <c r="AA5968" s="21" t="str">
        <f>HYPERLINK("https://www.ncbi.nlm.nih.gov/nuccore/KM573765","NCBI Nucleotide")</f>
        <v>NCBI Nucleotide</v>
      </c>
    </row>
    <row r="5969" spans="1:27" x14ac:dyDescent="0.35">
      <c r="A5969">
        <v>1025358</v>
      </c>
      <c r="B5969">
        <v>5707</v>
      </c>
      <c r="C5969">
        <v>1</v>
      </c>
      <c r="D5969" s="17" t="s">
        <v>10507</v>
      </c>
      <c r="E5969" s="17"/>
      <c r="F5969" s="17" t="s">
        <v>10780</v>
      </c>
      <c r="G5969" s="17"/>
      <c r="H5969" s="17" t="s">
        <v>12908</v>
      </c>
      <c r="I5969" s="17"/>
      <c r="J5969" s="17" t="s">
        <v>12909</v>
      </c>
      <c r="K5969" s="17"/>
      <c r="L5969" s="17" t="s">
        <v>12991</v>
      </c>
      <c r="M5969" s="17"/>
      <c r="N5969" s="17" t="s">
        <v>40166</v>
      </c>
      <c r="O5969" s="17"/>
      <c r="P5969" s="17" t="s">
        <v>40171</v>
      </c>
      <c r="Q5969" s="17"/>
      <c r="R5969" s="25" t="str">
        <f>HYPERLINK("https://ictv.global/taxonomy/taxondetails?taxnode_id=202318406","Camdisavirus kauis")</f>
        <v>Camdisavirus kauis</v>
      </c>
      <c r="S5969" s="18" t="s">
        <v>30</v>
      </c>
      <c r="T5969" s="18" t="s">
        <v>50394</v>
      </c>
      <c r="U5969" s="18"/>
      <c r="V5969" s="18" t="s">
        <v>40174</v>
      </c>
      <c r="W5969" s="18" t="s">
        <v>40175</v>
      </c>
      <c r="X5969" s="18" t="s">
        <v>42</v>
      </c>
      <c r="Y5969" s="18" t="s">
        <v>12266</v>
      </c>
      <c r="Z5969" s="18" t="s">
        <v>166</v>
      </c>
      <c r="AA5969" s="21" t="str">
        <f>HYPERLINK("https://www.ncbi.nlm.nih.gov/nuccore/KT862230","NCBI Nucleotide")</f>
        <v>NCBI Nucleotide</v>
      </c>
    </row>
    <row r="5970" spans="1:27" x14ac:dyDescent="0.35">
      <c r="A5970">
        <v>1025359</v>
      </c>
      <c r="B5970">
        <v>5708</v>
      </c>
      <c r="C5970">
        <v>1</v>
      </c>
      <c r="D5970" s="17" t="s">
        <v>10507</v>
      </c>
      <c r="E5970" s="17"/>
      <c r="F5970" s="17" t="s">
        <v>10780</v>
      </c>
      <c r="G5970" s="17"/>
      <c r="H5970" s="17" t="s">
        <v>12908</v>
      </c>
      <c r="I5970" s="17"/>
      <c r="J5970" s="17" t="s">
        <v>12909</v>
      </c>
      <c r="K5970" s="17"/>
      <c r="L5970" s="17" t="s">
        <v>12991</v>
      </c>
      <c r="M5970" s="17"/>
      <c r="N5970" s="17" t="s">
        <v>40166</v>
      </c>
      <c r="O5970" s="17"/>
      <c r="P5970" s="17" t="s">
        <v>40171</v>
      </c>
      <c r="Q5970" s="17"/>
      <c r="R5970" s="25" t="str">
        <f>HYPERLINK("https://ictv.global/taxonomy/taxondetails?taxnode_id=202318408","Camdisavirus lingis")</f>
        <v>Camdisavirus lingis</v>
      </c>
      <c r="S5970" s="18" t="s">
        <v>30</v>
      </c>
      <c r="T5970" s="18" t="s">
        <v>40176</v>
      </c>
      <c r="U5970" s="18"/>
      <c r="V5970" s="18" t="s">
        <v>40177</v>
      </c>
      <c r="W5970" s="18" t="s">
        <v>40178</v>
      </c>
      <c r="X5970" s="18" t="s">
        <v>42</v>
      </c>
      <c r="Y5970" s="18" t="s">
        <v>12266</v>
      </c>
      <c r="Z5970" s="18" t="s">
        <v>166</v>
      </c>
      <c r="AA5970" s="21" t="str">
        <f>HYPERLINK("https://www.ncbi.nlm.nih.gov/nuccore/MN165385","NCBI Nucleotide")</f>
        <v>NCBI Nucleotide</v>
      </c>
    </row>
    <row r="5971" spans="1:27" x14ac:dyDescent="0.35">
      <c r="A5971">
        <v>1025360</v>
      </c>
      <c r="B5971">
        <v>5709</v>
      </c>
      <c r="C5971">
        <v>1</v>
      </c>
      <c r="D5971" s="17" t="s">
        <v>10507</v>
      </c>
      <c r="E5971" s="17"/>
      <c r="F5971" s="17" t="s">
        <v>10780</v>
      </c>
      <c r="G5971" s="17"/>
      <c r="H5971" s="17" t="s">
        <v>12908</v>
      </c>
      <c r="I5971" s="17"/>
      <c r="J5971" s="17" t="s">
        <v>12909</v>
      </c>
      <c r="K5971" s="17"/>
      <c r="L5971" s="17" t="s">
        <v>12991</v>
      </c>
      <c r="M5971" s="17"/>
      <c r="N5971" s="17" t="s">
        <v>40166</v>
      </c>
      <c r="O5971" s="17"/>
      <c r="P5971" s="17" t="s">
        <v>40171</v>
      </c>
      <c r="Q5971" s="17"/>
      <c r="R5971" s="25" t="str">
        <f>HYPERLINK("https://ictv.global/taxonomy/taxondetails?taxnode_id=202318405","Camdisavirus miluis")</f>
        <v>Camdisavirus miluis</v>
      </c>
      <c r="S5971" s="18" t="s">
        <v>30</v>
      </c>
      <c r="T5971" s="18" t="s">
        <v>40179</v>
      </c>
      <c r="U5971" s="18"/>
      <c r="V5971" s="18" t="s">
        <v>40180</v>
      </c>
      <c r="W5971" s="18" t="s">
        <v>40181</v>
      </c>
      <c r="X5971" s="18" t="s">
        <v>42</v>
      </c>
      <c r="Y5971" s="18" t="s">
        <v>12266</v>
      </c>
      <c r="Z5971" s="18" t="s">
        <v>166</v>
      </c>
      <c r="AA5971" s="21" t="str">
        <f>HYPERLINK("https://www.ncbi.nlm.nih.gov/nuccore/MT367282","NCBI Nucleotide")</f>
        <v>NCBI Nucleotide</v>
      </c>
    </row>
    <row r="5972" spans="1:27" x14ac:dyDescent="0.35">
      <c r="A5972">
        <v>1025351</v>
      </c>
      <c r="B5972">
        <v>5710</v>
      </c>
      <c r="C5972">
        <v>1</v>
      </c>
      <c r="D5972" s="17" t="s">
        <v>10507</v>
      </c>
      <c r="E5972" s="17"/>
      <c r="F5972" s="17" t="s">
        <v>10780</v>
      </c>
      <c r="G5972" s="17"/>
      <c r="H5972" s="17" t="s">
        <v>12908</v>
      </c>
      <c r="I5972" s="17"/>
      <c r="J5972" s="17" t="s">
        <v>12909</v>
      </c>
      <c r="K5972" s="17"/>
      <c r="L5972" s="17" t="s">
        <v>12991</v>
      </c>
      <c r="M5972" s="17"/>
      <c r="N5972" s="17" t="s">
        <v>40166</v>
      </c>
      <c r="O5972" s="17"/>
      <c r="P5972" s="17" t="s">
        <v>40182</v>
      </c>
      <c r="Q5972" s="17"/>
      <c r="R5972" s="25" t="str">
        <f>HYPERLINK("https://ictv.global/taxonomy/taxondetails?taxnode_id=202318410","Chidisavirus niois")</f>
        <v>Chidisavirus niois</v>
      </c>
      <c r="S5972" s="18" t="s">
        <v>30</v>
      </c>
      <c r="T5972" s="18" t="s">
        <v>40183</v>
      </c>
      <c r="U5972" s="18"/>
      <c r="V5972" s="18" t="s">
        <v>40184</v>
      </c>
      <c r="W5972" s="18" t="s">
        <v>40185</v>
      </c>
      <c r="X5972" s="18" t="s">
        <v>42</v>
      </c>
      <c r="Y5972" s="18" t="s">
        <v>12266</v>
      </c>
      <c r="Z5972" s="18" t="s">
        <v>166</v>
      </c>
      <c r="AA5972" s="21" t="str">
        <f>HYPERLINK("https://www.ncbi.nlm.nih.gov/nuccore/MT138064","NCBI Nucleotide")</f>
        <v>NCBI Nucleotide</v>
      </c>
    </row>
    <row r="5973" spans="1:27" x14ac:dyDescent="0.35">
      <c r="A5973">
        <v>1025352</v>
      </c>
      <c r="B5973">
        <v>5711</v>
      </c>
      <c r="C5973">
        <v>1</v>
      </c>
      <c r="D5973" s="17" t="s">
        <v>10507</v>
      </c>
      <c r="E5973" s="17"/>
      <c r="F5973" s="17" t="s">
        <v>10780</v>
      </c>
      <c r="G5973" s="17"/>
      <c r="H5973" s="17" t="s">
        <v>12908</v>
      </c>
      <c r="I5973" s="17"/>
      <c r="J5973" s="17" t="s">
        <v>12909</v>
      </c>
      <c r="K5973" s="17"/>
      <c r="L5973" s="17" t="s">
        <v>12991</v>
      </c>
      <c r="M5973" s="17"/>
      <c r="N5973" s="17" t="s">
        <v>40166</v>
      </c>
      <c r="O5973" s="17"/>
      <c r="P5973" s="17" t="s">
        <v>40182</v>
      </c>
      <c r="Q5973" s="17"/>
      <c r="R5973" s="25" t="str">
        <f>HYPERLINK("https://ictv.global/taxonomy/taxondetails?taxnode_id=202318409","Chidisavirus ryguais")</f>
        <v>Chidisavirus ryguais</v>
      </c>
      <c r="S5973" s="18" t="s">
        <v>30</v>
      </c>
      <c r="T5973" s="18" t="s">
        <v>50395</v>
      </c>
      <c r="U5973" s="18"/>
      <c r="V5973" s="18" t="s">
        <v>40186</v>
      </c>
      <c r="W5973" s="18" t="s">
        <v>40187</v>
      </c>
      <c r="X5973" s="18" t="s">
        <v>42</v>
      </c>
      <c r="Y5973" s="18" t="s">
        <v>12266</v>
      </c>
      <c r="Z5973" s="18" t="s">
        <v>166</v>
      </c>
      <c r="AA5973" s="21" t="str">
        <f>HYPERLINK("https://www.ncbi.nlm.nih.gov/nuccore/MG846356","NCBI Nucleotide")</f>
        <v>NCBI Nucleotide</v>
      </c>
    </row>
    <row r="5974" spans="1:27" x14ac:dyDescent="0.35">
      <c r="A5974">
        <v>1025566</v>
      </c>
      <c r="B5974">
        <v>5712</v>
      </c>
      <c r="C5974">
        <v>1</v>
      </c>
      <c r="D5974" s="17" t="s">
        <v>10507</v>
      </c>
      <c r="E5974" s="17"/>
      <c r="F5974" s="17" t="s">
        <v>10780</v>
      </c>
      <c r="G5974" s="17"/>
      <c r="H5974" s="17" t="s">
        <v>12908</v>
      </c>
      <c r="I5974" s="17"/>
      <c r="J5974" s="17" t="s">
        <v>12909</v>
      </c>
      <c r="K5974" s="17"/>
      <c r="L5974" s="17" t="s">
        <v>12991</v>
      </c>
      <c r="M5974" s="17"/>
      <c r="N5974" s="17" t="s">
        <v>40166</v>
      </c>
      <c r="O5974" s="17"/>
      <c r="P5974" s="17" t="s">
        <v>40188</v>
      </c>
      <c r="Q5974" s="17"/>
      <c r="R5974" s="25" t="str">
        <f>HYPERLINK("https://ictv.global/taxonomy/taxondetails?taxnode_id=202318413","Hudisavirus jaqis")</f>
        <v>Hudisavirus jaqis</v>
      </c>
      <c r="S5974" s="18" t="s">
        <v>30</v>
      </c>
      <c r="T5974" s="18" t="s">
        <v>40189</v>
      </c>
      <c r="U5974" s="18"/>
      <c r="V5974" s="18" t="s">
        <v>40190</v>
      </c>
      <c r="W5974" s="18" t="s">
        <v>40191</v>
      </c>
      <c r="X5974" s="18" t="s">
        <v>42</v>
      </c>
      <c r="Y5974" s="18" t="s">
        <v>12266</v>
      </c>
      <c r="Z5974" s="18" t="s">
        <v>166</v>
      </c>
      <c r="AA5974" s="21" t="str">
        <f>HYPERLINK("https://www.ncbi.nlm.nih.gov/nuccore/MF351519","NCBI Nucleotide")</f>
        <v>NCBI Nucleotide</v>
      </c>
    </row>
    <row r="5975" spans="1:27" x14ac:dyDescent="0.35">
      <c r="A5975">
        <v>1025567</v>
      </c>
      <c r="B5975">
        <v>5713</v>
      </c>
      <c r="C5975">
        <v>1</v>
      </c>
      <c r="D5975" s="17" t="s">
        <v>10507</v>
      </c>
      <c r="E5975" s="17"/>
      <c r="F5975" s="17" t="s">
        <v>10780</v>
      </c>
      <c r="G5975" s="17"/>
      <c r="H5975" s="17" t="s">
        <v>12908</v>
      </c>
      <c r="I5975" s="17"/>
      <c r="J5975" s="17" t="s">
        <v>12909</v>
      </c>
      <c r="K5975" s="17"/>
      <c r="L5975" s="17" t="s">
        <v>12991</v>
      </c>
      <c r="M5975" s="17"/>
      <c r="N5975" s="17" t="s">
        <v>40166</v>
      </c>
      <c r="O5975" s="17"/>
      <c r="P5975" s="17" t="s">
        <v>40188</v>
      </c>
      <c r="Q5975" s="17"/>
      <c r="R5975" s="25" t="str">
        <f>HYPERLINK("https://ictv.global/taxonomy/taxondetails?taxnode_id=202318411","Hudisavirus runais")</f>
        <v>Hudisavirus runais</v>
      </c>
      <c r="S5975" s="18" t="s">
        <v>30</v>
      </c>
      <c r="T5975" s="18" t="s">
        <v>40192</v>
      </c>
      <c r="U5975" s="18"/>
      <c r="V5975" s="18" t="s">
        <v>40193</v>
      </c>
      <c r="W5975" s="18" t="s">
        <v>40194</v>
      </c>
      <c r="X5975" s="18" t="s">
        <v>42</v>
      </c>
      <c r="Y5975" s="18" t="s">
        <v>12266</v>
      </c>
      <c r="Z5975" s="18" t="s">
        <v>166</v>
      </c>
      <c r="AA5975" s="21" t="str">
        <f>HYPERLINK("https://www.ncbi.nlm.nih.gov/nuccore/MF351513","NCBI Nucleotide")</f>
        <v>NCBI Nucleotide</v>
      </c>
    </row>
    <row r="5976" spans="1:27" x14ac:dyDescent="0.35">
      <c r="A5976">
        <v>1025568</v>
      </c>
      <c r="B5976">
        <v>5714</v>
      </c>
      <c r="C5976">
        <v>1</v>
      </c>
      <c r="D5976" s="17" t="s">
        <v>10507</v>
      </c>
      <c r="E5976" s="17"/>
      <c r="F5976" s="17" t="s">
        <v>10780</v>
      </c>
      <c r="G5976" s="17"/>
      <c r="H5976" s="17" t="s">
        <v>12908</v>
      </c>
      <c r="I5976" s="17"/>
      <c r="J5976" s="17" t="s">
        <v>12909</v>
      </c>
      <c r="K5976" s="17"/>
      <c r="L5976" s="17" t="s">
        <v>12991</v>
      </c>
      <c r="M5976" s="17"/>
      <c r="N5976" s="17" t="s">
        <v>40166</v>
      </c>
      <c r="O5976" s="17"/>
      <c r="P5976" s="17" t="s">
        <v>40188</v>
      </c>
      <c r="Q5976" s="17"/>
      <c r="R5976" s="25" t="str">
        <f>HYPERLINK("https://ictv.global/taxonomy/taxondetails?taxnode_id=202318412","Hudisavirus sewis")</f>
        <v>Hudisavirus sewis</v>
      </c>
      <c r="S5976" s="18" t="s">
        <v>30</v>
      </c>
      <c r="T5976" s="18" t="s">
        <v>50396</v>
      </c>
      <c r="U5976" s="18"/>
      <c r="V5976" s="18" t="s">
        <v>40195</v>
      </c>
      <c r="W5976" s="18" t="s">
        <v>40196</v>
      </c>
      <c r="X5976" s="18" t="s">
        <v>42</v>
      </c>
      <c r="Y5976" s="18" t="s">
        <v>12266</v>
      </c>
      <c r="Z5976" s="18" t="s">
        <v>166</v>
      </c>
      <c r="AA5976" s="21" t="str">
        <f>HYPERLINK("https://www.ncbi.nlm.nih.gov/nuccore/MW620877","NCBI Nucleotide")</f>
        <v>NCBI Nucleotide</v>
      </c>
    </row>
    <row r="5977" spans="1:27" x14ac:dyDescent="0.35">
      <c r="A5977">
        <v>1027926</v>
      </c>
      <c r="B5977">
        <v>5715</v>
      </c>
      <c r="C5977">
        <v>1</v>
      </c>
      <c r="D5977" s="17" t="s">
        <v>10507</v>
      </c>
      <c r="E5977" s="17"/>
      <c r="F5977" s="17" t="s">
        <v>10780</v>
      </c>
      <c r="G5977" s="17"/>
      <c r="H5977" s="17" t="s">
        <v>12908</v>
      </c>
      <c r="I5977" s="17"/>
      <c r="J5977" s="17" t="s">
        <v>12909</v>
      </c>
      <c r="K5977" s="17"/>
      <c r="L5977" s="17" t="s">
        <v>12991</v>
      </c>
      <c r="M5977" s="17"/>
      <c r="N5977" s="17" t="s">
        <v>13563</v>
      </c>
      <c r="O5977" s="17"/>
      <c r="P5977" s="17" t="s">
        <v>40197</v>
      </c>
      <c r="Q5977" s="17"/>
      <c r="R5977" s="25" t="str">
        <f>HYPERLINK("https://ictv.global/taxonomy/taxondetails?taxnode_id=202317913","Ancalagonvirus eol")</f>
        <v>Ancalagonvirus eol</v>
      </c>
      <c r="S5977" s="18" t="s">
        <v>30</v>
      </c>
      <c r="T5977" s="18" t="s">
        <v>40198</v>
      </c>
      <c r="U5977" s="18"/>
      <c r="V5977" s="18" t="s">
        <v>40199</v>
      </c>
      <c r="W5977" s="18" t="s">
        <v>40200</v>
      </c>
      <c r="X5977" s="18" t="s">
        <v>42</v>
      </c>
      <c r="Y5977" s="18" t="s">
        <v>12266</v>
      </c>
      <c r="Z5977" s="18" t="s">
        <v>166</v>
      </c>
      <c r="AA5977" s="21" t="str">
        <f>HYPERLINK("https://www.ncbi.nlm.nih.gov/nuccore/OM154927","NCBI Nucleotide")</f>
        <v>NCBI Nucleotide</v>
      </c>
    </row>
    <row r="5978" spans="1:27" x14ac:dyDescent="0.35">
      <c r="A5978">
        <v>1027927</v>
      </c>
      <c r="B5978">
        <v>5716</v>
      </c>
      <c r="C5978">
        <v>1</v>
      </c>
      <c r="D5978" s="17" t="s">
        <v>10507</v>
      </c>
      <c r="E5978" s="17"/>
      <c r="F5978" s="17" t="s">
        <v>10780</v>
      </c>
      <c r="G5978" s="17"/>
      <c r="H5978" s="17" t="s">
        <v>12908</v>
      </c>
      <c r="I5978" s="17"/>
      <c r="J5978" s="17" t="s">
        <v>12909</v>
      </c>
      <c r="K5978" s="17"/>
      <c r="L5978" s="17" t="s">
        <v>12991</v>
      </c>
      <c r="M5978" s="17"/>
      <c r="N5978" s="17" t="s">
        <v>13563</v>
      </c>
      <c r="O5978" s="17"/>
      <c r="P5978" s="17" t="s">
        <v>40197</v>
      </c>
      <c r="Q5978" s="17"/>
      <c r="R5978" s="25" t="str">
        <f>HYPERLINK("https://ictv.global/taxonomy/taxondetails?taxnode_id=202317912","Ancalagonvirus maedhros")</f>
        <v>Ancalagonvirus maedhros</v>
      </c>
      <c r="S5978" s="18" t="s">
        <v>30</v>
      </c>
      <c r="T5978" s="18" t="s">
        <v>40201</v>
      </c>
      <c r="U5978" s="18"/>
      <c r="V5978" s="18" t="s">
        <v>40202</v>
      </c>
      <c r="W5978" s="18" t="s">
        <v>40203</v>
      </c>
      <c r="X5978" s="18" t="s">
        <v>42</v>
      </c>
      <c r="Y5978" s="18" t="s">
        <v>12266</v>
      </c>
      <c r="Z5978" s="18" t="s">
        <v>166</v>
      </c>
      <c r="AA5978" s="21" t="str">
        <f>HYPERLINK("https://www.ncbi.nlm.nih.gov/nuccore/OM869491","NCBI Nucleotide")</f>
        <v>NCBI Nucleotide</v>
      </c>
    </row>
    <row r="5979" spans="1:27" x14ac:dyDescent="0.35">
      <c r="A5979">
        <v>1007451</v>
      </c>
      <c r="B5979">
        <v>5717</v>
      </c>
      <c r="C5979">
        <v>1</v>
      </c>
      <c r="D5979" s="17" t="s">
        <v>10507</v>
      </c>
      <c r="E5979" s="17"/>
      <c r="F5979" s="17" t="s">
        <v>10780</v>
      </c>
      <c r="G5979" s="17"/>
      <c r="H5979" s="17" t="s">
        <v>12908</v>
      </c>
      <c r="I5979" s="17"/>
      <c r="J5979" s="17" t="s">
        <v>12909</v>
      </c>
      <c r="K5979" s="17"/>
      <c r="L5979" s="17" t="s">
        <v>12991</v>
      </c>
      <c r="M5979" s="17"/>
      <c r="N5979" s="17" t="s">
        <v>13563</v>
      </c>
      <c r="O5979" s="17"/>
      <c r="P5979" s="17" t="s">
        <v>13564</v>
      </c>
      <c r="Q5979" s="17"/>
      <c r="R5979" s="25" t="str">
        <f>HYPERLINK("https://ictv.global/taxonomy/taxondetails?taxnode_id=202313253","Andurilvirus erebor")</f>
        <v>Andurilvirus erebor</v>
      </c>
      <c r="S5979" s="18" t="s">
        <v>30</v>
      </c>
      <c r="T5979" s="18" t="s">
        <v>50397</v>
      </c>
      <c r="U5979" s="18"/>
      <c r="V5979" s="18" t="s">
        <v>13565</v>
      </c>
      <c r="W5979" s="18" t="s">
        <v>13566</v>
      </c>
      <c r="X5979" s="18" t="s">
        <v>42</v>
      </c>
      <c r="Y5979" s="18" t="s">
        <v>12266</v>
      </c>
      <c r="Z5979" s="18" t="s">
        <v>13567</v>
      </c>
      <c r="AA5979" s="21" t="str">
        <f>HYPERLINK("https://www.ncbi.nlm.nih.gov/nuccore/LC389584","NCBI Nucleotide")</f>
        <v>NCBI Nucleotide</v>
      </c>
    </row>
    <row r="5980" spans="1:27" x14ac:dyDescent="0.35">
      <c r="A5980">
        <v>1007452</v>
      </c>
      <c r="B5980">
        <v>5718</v>
      </c>
      <c r="C5980">
        <v>1</v>
      </c>
      <c r="D5980" s="17" t="s">
        <v>10507</v>
      </c>
      <c r="E5980" s="17"/>
      <c r="F5980" s="17" t="s">
        <v>10780</v>
      </c>
      <c r="G5980" s="17"/>
      <c r="H5980" s="17" t="s">
        <v>12908</v>
      </c>
      <c r="I5980" s="17"/>
      <c r="J5980" s="17" t="s">
        <v>12909</v>
      </c>
      <c r="K5980" s="17"/>
      <c r="L5980" s="17" t="s">
        <v>12991</v>
      </c>
      <c r="M5980" s="17"/>
      <c r="N5980" s="17" t="s">
        <v>13563</v>
      </c>
      <c r="O5980" s="17"/>
      <c r="P5980" s="17" t="s">
        <v>13564</v>
      </c>
      <c r="Q5980" s="17"/>
      <c r="R5980" s="25" t="str">
        <f>HYPERLINK("https://ictv.global/taxonomy/taxondetails?taxnode_id=202313254","Andurilvirus finwe")</f>
        <v>Andurilvirus finwe</v>
      </c>
      <c r="S5980" s="18" t="s">
        <v>30</v>
      </c>
      <c r="T5980" s="18" t="s">
        <v>13568</v>
      </c>
      <c r="U5980" s="18"/>
      <c r="V5980" s="18" t="s">
        <v>13569</v>
      </c>
      <c r="W5980" s="18" t="s">
        <v>13570</v>
      </c>
      <c r="X5980" s="18" t="s">
        <v>42</v>
      </c>
      <c r="Y5980" s="18" t="s">
        <v>12266</v>
      </c>
      <c r="Z5980" s="18" t="s">
        <v>13567</v>
      </c>
      <c r="AA5980" s="21" t="str">
        <f>HYPERLINK("https://www.ncbi.nlm.nih.gov/nuccore/MT293429","NCBI Nucleotide")</f>
        <v>NCBI Nucleotide</v>
      </c>
    </row>
    <row r="5981" spans="1:27" x14ac:dyDescent="0.35">
      <c r="A5981">
        <v>1007453</v>
      </c>
      <c r="B5981">
        <v>5719</v>
      </c>
      <c r="C5981">
        <v>1</v>
      </c>
      <c r="D5981" s="17" t="s">
        <v>10507</v>
      </c>
      <c r="E5981" s="17"/>
      <c r="F5981" s="17" t="s">
        <v>10780</v>
      </c>
      <c r="G5981" s="17"/>
      <c r="H5981" s="17" t="s">
        <v>12908</v>
      </c>
      <c r="I5981" s="17"/>
      <c r="J5981" s="17" t="s">
        <v>12909</v>
      </c>
      <c r="K5981" s="17"/>
      <c r="L5981" s="17" t="s">
        <v>12991</v>
      </c>
      <c r="M5981" s="17"/>
      <c r="N5981" s="17" t="s">
        <v>13563</v>
      </c>
      <c r="O5981" s="17"/>
      <c r="P5981" s="17" t="s">
        <v>13571</v>
      </c>
      <c r="Q5981" s="17"/>
      <c r="R5981" s="25" t="str">
        <f>HYPERLINK("https://ictv.global/taxonomy/taxondetails?taxnode_id=202313257","Angristvirus fangorn")</f>
        <v>Angristvirus fangorn</v>
      </c>
      <c r="S5981" s="18" t="s">
        <v>30</v>
      </c>
      <c r="T5981" s="18" t="s">
        <v>13572</v>
      </c>
      <c r="U5981" s="18"/>
      <c r="V5981" s="18" t="s">
        <v>13573</v>
      </c>
      <c r="W5981" s="18" t="s">
        <v>13574</v>
      </c>
      <c r="X5981" s="18" t="s">
        <v>42</v>
      </c>
      <c r="Y5981" s="18" t="s">
        <v>12266</v>
      </c>
      <c r="Z5981" s="18" t="s">
        <v>13567</v>
      </c>
      <c r="AA5981" s="21" t="str">
        <f>HYPERLINK("https://www.ncbi.nlm.nih.gov/nuccore/MN621474","NCBI Nucleotide")</f>
        <v>NCBI Nucleotide</v>
      </c>
    </row>
    <row r="5982" spans="1:27" x14ac:dyDescent="0.35">
      <c r="A5982">
        <v>1007454</v>
      </c>
      <c r="B5982">
        <v>5720</v>
      </c>
      <c r="C5982">
        <v>1</v>
      </c>
      <c r="D5982" s="17" t="s">
        <v>10507</v>
      </c>
      <c r="E5982" s="17"/>
      <c r="F5982" s="17" t="s">
        <v>10780</v>
      </c>
      <c r="G5982" s="17"/>
      <c r="H5982" s="17" t="s">
        <v>12908</v>
      </c>
      <c r="I5982" s="17"/>
      <c r="J5982" s="17" t="s">
        <v>12909</v>
      </c>
      <c r="K5982" s="17"/>
      <c r="L5982" s="17" t="s">
        <v>12991</v>
      </c>
      <c r="M5982" s="17"/>
      <c r="N5982" s="17" t="s">
        <v>13563</v>
      </c>
      <c r="O5982" s="17"/>
      <c r="P5982" s="17" t="s">
        <v>13571</v>
      </c>
      <c r="Q5982" s="17"/>
      <c r="R5982" s="25" t="str">
        <f>HYPERLINK("https://ictv.global/taxonomy/taxondetails?taxnode_id=202313256","Angristvirus hurin")</f>
        <v>Angristvirus hurin</v>
      </c>
      <c r="S5982" s="18" t="s">
        <v>30</v>
      </c>
      <c r="T5982" s="18" t="s">
        <v>13575</v>
      </c>
      <c r="U5982" s="18"/>
      <c r="V5982" s="18" t="s">
        <v>13576</v>
      </c>
      <c r="W5982" s="18" t="s">
        <v>13577</v>
      </c>
      <c r="X5982" s="18" t="s">
        <v>42</v>
      </c>
      <c r="Y5982" s="18" t="s">
        <v>10535</v>
      </c>
      <c r="Z5982" s="18" t="s">
        <v>13567</v>
      </c>
      <c r="AA5982" s="21" t="str">
        <f>HYPERLINK("https://www.ncbi.nlm.nih.gov/nuccore/MG571900","NCBI Nucleotide")</f>
        <v>NCBI Nucleotide</v>
      </c>
    </row>
    <row r="5983" spans="1:27" x14ac:dyDescent="0.35">
      <c r="A5983">
        <v>1007455</v>
      </c>
      <c r="B5983">
        <v>5721</v>
      </c>
      <c r="C5983">
        <v>1</v>
      </c>
      <c r="D5983" s="17" t="s">
        <v>10507</v>
      </c>
      <c r="E5983" s="17"/>
      <c r="F5983" s="17" t="s">
        <v>10780</v>
      </c>
      <c r="G5983" s="17"/>
      <c r="H5983" s="17" t="s">
        <v>12908</v>
      </c>
      <c r="I5983" s="17"/>
      <c r="J5983" s="17" t="s">
        <v>12909</v>
      </c>
      <c r="K5983" s="17"/>
      <c r="L5983" s="17" t="s">
        <v>12991</v>
      </c>
      <c r="M5983" s="17"/>
      <c r="N5983" s="17" t="s">
        <v>13563</v>
      </c>
      <c r="O5983" s="17"/>
      <c r="P5983" s="17" t="s">
        <v>13578</v>
      </c>
      <c r="Q5983" s="17"/>
      <c r="R5983" s="25" t="str">
        <f>HYPERLINK("https://ictv.global/taxonomy/taxondetails?taxnode_id=202313259","Aranruthvirus numenor")</f>
        <v>Aranruthvirus numenor</v>
      </c>
      <c r="S5983" s="18" t="s">
        <v>30</v>
      </c>
      <c r="T5983" s="18" t="s">
        <v>13579</v>
      </c>
      <c r="U5983" s="18"/>
      <c r="V5983" s="18" t="s">
        <v>13580</v>
      </c>
      <c r="W5983" s="18" t="s">
        <v>13581</v>
      </c>
      <c r="X5983" s="18" t="s">
        <v>42</v>
      </c>
      <c r="Y5983" s="18" t="s">
        <v>10535</v>
      </c>
      <c r="Z5983" s="18" t="s">
        <v>13567</v>
      </c>
      <c r="AA5983" s="21" t="str">
        <f>HYPERLINK("https://www.ncbi.nlm.nih.gov/nuccore/KY487991","NCBI Nucleotide")</f>
        <v>NCBI Nucleotide</v>
      </c>
    </row>
    <row r="5984" spans="1:27" x14ac:dyDescent="0.35">
      <c r="A5984">
        <v>1007456</v>
      </c>
      <c r="B5984">
        <v>5722</v>
      </c>
      <c r="C5984">
        <v>1</v>
      </c>
      <c r="D5984" s="17" t="s">
        <v>10507</v>
      </c>
      <c r="E5984" s="17"/>
      <c r="F5984" s="17" t="s">
        <v>10780</v>
      </c>
      <c r="G5984" s="17"/>
      <c r="H5984" s="17" t="s">
        <v>12908</v>
      </c>
      <c r="I5984" s="17"/>
      <c r="J5984" s="17" t="s">
        <v>12909</v>
      </c>
      <c r="K5984" s="17"/>
      <c r="L5984" s="17" t="s">
        <v>12991</v>
      </c>
      <c r="M5984" s="17"/>
      <c r="N5984" s="17" t="s">
        <v>13563</v>
      </c>
      <c r="O5984" s="17"/>
      <c r="P5984" s="17" t="s">
        <v>13582</v>
      </c>
      <c r="Q5984" s="17"/>
      <c r="R5984" s="25" t="str">
        <f>HYPERLINK("https://ictv.global/taxonomy/taxondetails?taxnode_id=202313261","Arnorvirus sauron")</f>
        <v>Arnorvirus sauron</v>
      </c>
      <c r="S5984" s="18" t="s">
        <v>30</v>
      </c>
      <c r="T5984" s="18" t="s">
        <v>13583</v>
      </c>
      <c r="U5984" s="18"/>
      <c r="V5984" s="18" t="s">
        <v>13584</v>
      </c>
      <c r="W5984" s="18" t="s">
        <v>13585</v>
      </c>
      <c r="X5984" s="18" t="s">
        <v>42</v>
      </c>
      <c r="Y5984" s="18" t="s">
        <v>10535</v>
      </c>
      <c r="Z5984" s="18" t="s">
        <v>13567</v>
      </c>
      <c r="AA5984" s="21" t="str">
        <f>HYPERLINK("https://www.ncbi.nlm.nih.gov/nuccore/MK738139","NCBI Nucleotide")</f>
        <v>NCBI Nucleotide</v>
      </c>
    </row>
    <row r="5985" spans="1:27" x14ac:dyDescent="0.35">
      <c r="A5985">
        <v>1027917</v>
      </c>
      <c r="B5985">
        <v>5723</v>
      </c>
      <c r="C5985">
        <v>1</v>
      </c>
      <c r="D5985" s="17" t="s">
        <v>10507</v>
      </c>
      <c r="E5985" s="17"/>
      <c r="F5985" s="17" t="s">
        <v>10780</v>
      </c>
      <c r="G5985" s="17"/>
      <c r="H5985" s="17" t="s">
        <v>12908</v>
      </c>
      <c r="I5985" s="17"/>
      <c r="J5985" s="17" t="s">
        <v>12909</v>
      </c>
      <c r="K5985" s="17"/>
      <c r="L5985" s="17" t="s">
        <v>12991</v>
      </c>
      <c r="M5985" s="17"/>
      <c r="N5985" s="17" t="s">
        <v>13563</v>
      </c>
      <c r="O5985" s="17"/>
      <c r="P5985" s="17" t="s">
        <v>40204</v>
      </c>
      <c r="Q5985" s="17"/>
      <c r="R5985" s="25" t="str">
        <f>HYPERLINK("https://ictv.global/taxonomy/taxondetails?taxnode_id=202317911","Berenvirus tinuviel")</f>
        <v>Berenvirus tinuviel</v>
      </c>
      <c r="S5985" s="18" t="s">
        <v>30</v>
      </c>
      <c r="T5985" s="18" t="s">
        <v>40205</v>
      </c>
      <c r="U5985" s="18"/>
      <c r="V5985" s="18" t="s">
        <v>40206</v>
      </c>
      <c r="W5985" s="18" t="s">
        <v>40207</v>
      </c>
      <c r="X5985" s="18" t="s">
        <v>42</v>
      </c>
      <c r="Y5985" s="18" t="s">
        <v>12266</v>
      </c>
      <c r="Z5985" s="18" t="s">
        <v>166</v>
      </c>
      <c r="AA5985" s="21" t="str">
        <f>HYPERLINK("https://www.ncbi.nlm.nih.gov/nuccore/OM869490","NCBI Nucleotide")</f>
        <v>NCBI Nucleotide</v>
      </c>
    </row>
    <row r="5986" spans="1:27" x14ac:dyDescent="0.35">
      <c r="A5986">
        <v>1007457</v>
      </c>
      <c r="B5986">
        <v>5724</v>
      </c>
      <c r="C5986">
        <v>1</v>
      </c>
      <c r="D5986" s="17" t="s">
        <v>10507</v>
      </c>
      <c r="E5986" s="17"/>
      <c r="F5986" s="17" t="s">
        <v>10780</v>
      </c>
      <c r="G5986" s="17"/>
      <c r="H5986" s="17" t="s">
        <v>12908</v>
      </c>
      <c r="I5986" s="17"/>
      <c r="J5986" s="17" t="s">
        <v>12909</v>
      </c>
      <c r="K5986" s="17"/>
      <c r="L5986" s="17" t="s">
        <v>12991</v>
      </c>
      <c r="M5986" s="17"/>
      <c r="N5986" s="17" t="s">
        <v>13563</v>
      </c>
      <c r="O5986" s="17"/>
      <c r="P5986" s="17" t="s">
        <v>13586</v>
      </c>
      <c r="Q5986" s="17"/>
      <c r="R5986" s="25" t="str">
        <f>HYPERLINK("https://ictv.global/taxonomy/taxondetails?taxnode_id=202313264","Glamdringvirus minas")</f>
        <v>Glamdringvirus minas</v>
      </c>
      <c r="S5986" s="18" t="s">
        <v>30</v>
      </c>
      <c r="T5986" s="18" t="s">
        <v>50398</v>
      </c>
      <c r="U5986" s="18"/>
      <c r="V5986" s="18" t="s">
        <v>13587</v>
      </c>
      <c r="W5986" s="18" t="s">
        <v>13588</v>
      </c>
      <c r="X5986" s="18" t="s">
        <v>42</v>
      </c>
      <c r="Y5986" s="18" t="s">
        <v>12266</v>
      </c>
      <c r="Z5986" s="18" t="s">
        <v>13567</v>
      </c>
      <c r="AA5986" s="21" t="str">
        <f>HYPERLINK("https://www.ncbi.nlm.nih.gov/nuccore/JF755402","NCBI Nucleotide")</f>
        <v>NCBI Nucleotide</v>
      </c>
    </row>
    <row r="5987" spans="1:27" x14ac:dyDescent="0.35">
      <c r="A5987">
        <v>1007458</v>
      </c>
      <c r="B5987">
        <v>5725</v>
      </c>
      <c r="C5987">
        <v>1</v>
      </c>
      <c r="D5987" s="17" t="s">
        <v>10507</v>
      </c>
      <c r="E5987" s="17"/>
      <c r="F5987" s="17" t="s">
        <v>10780</v>
      </c>
      <c r="G5987" s="17"/>
      <c r="H5987" s="17" t="s">
        <v>12908</v>
      </c>
      <c r="I5987" s="17"/>
      <c r="J5987" s="17" t="s">
        <v>12909</v>
      </c>
      <c r="K5987" s="17"/>
      <c r="L5987" s="17" t="s">
        <v>12991</v>
      </c>
      <c r="M5987" s="17"/>
      <c r="N5987" s="17" t="s">
        <v>13563</v>
      </c>
      <c r="O5987" s="17"/>
      <c r="P5987" s="17" t="s">
        <v>13586</v>
      </c>
      <c r="Q5987" s="17"/>
      <c r="R5987" s="25" t="str">
        <f>HYPERLINK("https://ictv.global/taxonomy/taxondetails?taxnode_id=202313263","Glamdringvirus thorin")</f>
        <v>Glamdringvirus thorin</v>
      </c>
      <c r="S5987" s="18" t="s">
        <v>30</v>
      </c>
      <c r="T5987" s="18" t="s">
        <v>50398</v>
      </c>
      <c r="U5987" s="18"/>
      <c r="V5987" s="18" t="s">
        <v>13589</v>
      </c>
      <c r="W5987" s="18" t="s">
        <v>13590</v>
      </c>
      <c r="X5987" s="18" t="s">
        <v>42</v>
      </c>
      <c r="Y5987" s="18" t="s">
        <v>12266</v>
      </c>
      <c r="Z5987" s="18" t="s">
        <v>13567</v>
      </c>
      <c r="AA5987" s="21" t="str">
        <f>HYPERLINK("https://www.ncbi.nlm.nih.gov/nuccore/JF755413","NCBI Nucleotide")</f>
        <v>NCBI Nucleotide</v>
      </c>
    </row>
    <row r="5988" spans="1:27" x14ac:dyDescent="0.35">
      <c r="A5988">
        <v>1007459</v>
      </c>
      <c r="B5988">
        <v>5726</v>
      </c>
      <c r="C5988">
        <v>1</v>
      </c>
      <c r="D5988" s="17" t="s">
        <v>10507</v>
      </c>
      <c r="E5988" s="17"/>
      <c r="F5988" s="17" t="s">
        <v>10780</v>
      </c>
      <c r="G5988" s="17"/>
      <c r="H5988" s="17" t="s">
        <v>12908</v>
      </c>
      <c r="I5988" s="17"/>
      <c r="J5988" s="17" t="s">
        <v>12909</v>
      </c>
      <c r="K5988" s="17"/>
      <c r="L5988" s="17" t="s">
        <v>12991</v>
      </c>
      <c r="M5988" s="17"/>
      <c r="N5988" s="17" t="s">
        <v>13563</v>
      </c>
      <c r="O5988" s="17"/>
      <c r="P5988" s="17" t="s">
        <v>13591</v>
      </c>
      <c r="Q5988" s="17"/>
      <c r="R5988" s="25" t="str">
        <f>HYPERLINK("https://ictv.global/taxonomy/taxondetails?taxnode_id=202313266","Grondvirus lorian")</f>
        <v>Grondvirus lorian</v>
      </c>
      <c r="S5988" s="18" t="s">
        <v>30</v>
      </c>
      <c r="T5988" s="18" t="s">
        <v>50399</v>
      </c>
      <c r="U5988" s="18"/>
      <c r="V5988" s="18" t="s">
        <v>13592</v>
      </c>
      <c r="W5988" s="18" t="s">
        <v>13593</v>
      </c>
      <c r="X5988" s="18" t="s">
        <v>42</v>
      </c>
      <c r="Y5988" s="18" t="s">
        <v>12266</v>
      </c>
      <c r="Z5988" s="18" t="s">
        <v>13567</v>
      </c>
      <c r="AA5988" s="21" t="str">
        <f>HYPERLINK("https://www.ncbi.nlm.nih.gov/nuccore/MH545531","NCBI Nucleotide")</f>
        <v>NCBI Nucleotide</v>
      </c>
    </row>
    <row r="5989" spans="1:27" x14ac:dyDescent="0.35">
      <c r="A5989">
        <v>1007460</v>
      </c>
      <c r="B5989">
        <v>5727</v>
      </c>
      <c r="C5989">
        <v>1</v>
      </c>
      <c r="D5989" s="17" t="s">
        <v>10507</v>
      </c>
      <c r="E5989" s="17"/>
      <c r="F5989" s="17" t="s">
        <v>10780</v>
      </c>
      <c r="G5989" s="17"/>
      <c r="H5989" s="17" t="s">
        <v>12908</v>
      </c>
      <c r="I5989" s="17"/>
      <c r="J5989" s="17" t="s">
        <v>12909</v>
      </c>
      <c r="K5989" s="17"/>
      <c r="L5989" s="17" t="s">
        <v>12991</v>
      </c>
      <c r="M5989" s="17"/>
      <c r="N5989" s="17" t="s">
        <v>13563</v>
      </c>
      <c r="O5989" s="17"/>
      <c r="P5989" s="17" t="s">
        <v>13594</v>
      </c>
      <c r="Q5989" s="17"/>
      <c r="R5989" s="25" t="str">
        <f>HYPERLINK("https://ictv.global/taxonomy/taxondetails?taxnode_id=202313268","Herugrimvirus gladden")</f>
        <v>Herugrimvirus gladden</v>
      </c>
      <c r="S5989" s="18" t="s">
        <v>30</v>
      </c>
      <c r="T5989" s="18" t="s">
        <v>13595</v>
      </c>
      <c r="U5989" s="18"/>
      <c r="V5989" s="18" t="s">
        <v>13569</v>
      </c>
      <c r="W5989" s="18" t="s">
        <v>13596</v>
      </c>
      <c r="X5989" s="18" t="s">
        <v>42</v>
      </c>
      <c r="Y5989" s="18" t="s">
        <v>12266</v>
      </c>
      <c r="Z5989" s="18" t="s">
        <v>13567</v>
      </c>
      <c r="AA5989" s="21" t="str">
        <f>HYPERLINK("https://www.ncbi.nlm.nih.gov/nuccore/MT293421","NCBI Nucleotide")</f>
        <v>NCBI Nucleotide</v>
      </c>
    </row>
    <row r="5990" spans="1:27" x14ac:dyDescent="0.35">
      <c r="A5990">
        <v>1007461</v>
      </c>
      <c r="B5990">
        <v>5728</v>
      </c>
      <c r="C5990">
        <v>1</v>
      </c>
      <c r="D5990" s="17" t="s">
        <v>10507</v>
      </c>
      <c r="E5990" s="17"/>
      <c r="F5990" s="17" t="s">
        <v>10780</v>
      </c>
      <c r="G5990" s="17"/>
      <c r="H5990" s="17" t="s">
        <v>12908</v>
      </c>
      <c r="I5990" s="17"/>
      <c r="J5990" s="17" t="s">
        <v>12909</v>
      </c>
      <c r="K5990" s="17"/>
      <c r="L5990" s="17" t="s">
        <v>12991</v>
      </c>
      <c r="M5990" s="17"/>
      <c r="N5990" s="17" t="s">
        <v>13563</v>
      </c>
      <c r="O5990" s="17"/>
      <c r="P5990" s="17" t="s">
        <v>13597</v>
      </c>
      <c r="Q5990" s="17"/>
      <c r="R5990" s="25" t="str">
        <f>HYPERLINK("https://ictv.global/taxonomy/taxondetails?taxnode_id=202313270","Illuinvirus amon")</f>
        <v>Illuinvirus amon</v>
      </c>
      <c r="S5990" s="18" t="s">
        <v>30</v>
      </c>
      <c r="T5990" s="18" t="s">
        <v>50400</v>
      </c>
      <c r="U5990" s="18"/>
      <c r="V5990" s="18" t="s">
        <v>13598</v>
      </c>
      <c r="W5990" s="18" t="s">
        <v>13599</v>
      </c>
      <c r="X5990" s="18" t="s">
        <v>42</v>
      </c>
      <c r="Y5990" s="18" t="s">
        <v>12266</v>
      </c>
      <c r="Z5990" s="18" t="s">
        <v>13567</v>
      </c>
      <c r="AA5990" s="21" t="str">
        <f>HYPERLINK("https://www.ncbi.nlm.nih.gov/nuccore/MH545530","NCBI Nucleotide")</f>
        <v>NCBI Nucleotide</v>
      </c>
    </row>
    <row r="5991" spans="1:27" x14ac:dyDescent="0.35">
      <c r="A5991">
        <v>1007462</v>
      </c>
      <c r="B5991">
        <v>5729</v>
      </c>
      <c r="C5991">
        <v>1</v>
      </c>
      <c r="D5991" s="17" t="s">
        <v>10507</v>
      </c>
      <c r="E5991" s="17"/>
      <c r="F5991" s="17" t="s">
        <v>10780</v>
      </c>
      <c r="G5991" s="17"/>
      <c r="H5991" s="17" t="s">
        <v>12908</v>
      </c>
      <c r="I5991" s="17"/>
      <c r="J5991" s="17" t="s">
        <v>12909</v>
      </c>
      <c r="K5991" s="17"/>
      <c r="L5991" s="17" t="s">
        <v>12991</v>
      </c>
      <c r="M5991" s="17"/>
      <c r="N5991" s="17" t="s">
        <v>13563</v>
      </c>
      <c r="O5991" s="17"/>
      <c r="P5991" s="17" t="s">
        <v>13600</v>
      </c>
      <c r="Q5991" s="17"/>
      <c r="R5991" s="25" t="str">
        <f>HYPERLINK("https://ictv.global/taxonomy/taxondetails?taxnode_id=202313272","Ormalvirus cirith")</f>
        <v>Ormalvirus cirith</v>
      </c>
      <c r="S5991" s="18" t="s">
        <v>30</v>
      </c>
      <c r="T5991" s="18" t="s">
        <v>50398</v>
      </c>
      <c r="U5991" s="18"/>
      <c r="V5991" s="18" t="s">
        <v>13601</v>
      </c>
      <c r="W5991" s="18" t="s">
        <v>13602</v>
      </c>
      <c r="X5991" s="18" t="s">
        <v>42</v>
      </c>
      <c r="Y5991" s="18" t="s">
        <v>10535</v>
      </c>
      <c r="Z5991" s="18" t="s">
        <v>13567</v>
      </c>
      <c r="AA5991" s="21" t="str">
        <f>HYPERLINK("https://www.ncbi.nlm.nih.gov/nuccore/JF755403","NCBI Nucleotide")</f>
        <v>NCBI Nucleotide</v>
      </c>
    </row>
    <row r="5992" spans="1:27" x14ac:dyDescent="0.35">
      <c r="A5992">
        <v>1027957</v>
      </c>
      <c r="B5992">
        <v>5730</v>
      </c>
      <c r="C5992">
        <v>1</v>
      </c>
      <c r="D5992" s="17" t="s">
        <v>10507</v>
      </c>
      <c r="E5992" s="17"/>
      <c r="F5992" s="17" t="s">
        <v>10780</v>
      </c>
      <c r="G5992" s="17"/>
      <c r="H5992" s="17" t="s">
        <v>12908</v>
      </c>
      <c r="I5992" s="17"/>
      <c r="J5992" s="17" t="s">
        <v>12909</v>
      </c>
      <c r="K5992" s="17"/>
      <c r="L5992" s="17" t="s">
        <v>12991</v>
      </c>
      <c r="M5992" s="17"/>
      <c r="N5992" s="17" t="s">
        <v>13563</v>
      </c>
      <c r="O5992" s="17"/>
      <c r="P5992" s="17" t="s">
        <v>13600</v>
      </c>
      <c r="Q5992" s="17"/>
      <c r="R5992" s="25" t="str">
        <f>HYPERLINK("https://ictv.global/taxonomy/taxondetails?taxnode_id=202317906","Ormalvirus glaurung")</f>
        <v>Ormalvirus glaurung</v>
      </c>
      <c r="S5992" s="18" t="s">
        <v>30</v>
      </c>
      <c r="T5992" s="18" t="s">
        <v>40208</v>
      </c>
      <c r="U5992" s="18"/>
      <c r="V5992" s="18" t="s">
        <v>40209</v>
      </c>
      <c r="W5992" s="18" t="s">
        <v>40210</v>
      </c>
      <c r="X5992" s="18" t="s">
        <v>42</v>
      </c>
      <c r="Y5992" s="18" t="s">
        <v>12266</v>
      </c>
      <c r="Z5992" s="18" t="s">
        <v>166</v>
      </c>
      <c r="AA5992" s="21" t="str">
        <f>HYPERLINK("https://www.ncbi.nlm.nih.gov/nuccore/OM869615","NCBI Nucleotide")</f>
        <v>NCBI Nucleotide</v>
      </c>
    </row>
    <row r="5993" spans="1:27" x14ac:dyDescent="0.35">
      <c r="A5993">
        <v>1027959</v>
      </c>
      <c r="B5993">
        <v>5731</v>
      </c>
      <c r="C5993">
        <v>1</v>
      </c>
      <c r="D5993" s="17" t="s">
        <v>10507</v>
      </c>
      <c r="E5993" s="17"/>
      <c r="F5993" s="17" t="s">
        <v>10780</v>
      </c>
      <c r="G5993" s="17"/>
      <c r="H5993" s="17" t="s">
        <v>12908</v>
      </c>
      <c r="I5993" s="17"/>
      <c r="J5993" s="17" t="s">
        <v>12909</v>
      </c>
      <c r="K5993" s="17"/>
      <c r="L5993" s="17" t="s">
        <v>12991</v>
      </c>
      <c r="M5993" s="17"/>
      <c r="N5993" s="17" t="s">
        <v>13563</v>
      </c>
      <c r="O5993" s="17"/>
      <c r="P5993" s="17" t="s">
        <v>13603</v>
      </c>
      <c r="Q5993" s="17"/>
      <c r="R5993" s="25" t="str">
        <f>HYPERLINK("https://ictv.global/taxonomy/taxondetails?taxnode_id=202317907","Palantirivirus auledhrim")</f>
        <v>Palantirivirus auledhrim</v>
      </c>
      <c r="S5993" s="18" t="s">
        <v>30</v>
      </c>
      <c r="T5993" s="18" t="s">
        <v>40211</v>
      </c>
      <c r="U5993" s="18"/>
      <c r="V5993" s="18" t="s">
        <v>40212</v>
      </c>
      <c r="W5993" s="18" t="s">
        <v>40213</v>
      </c>
      <c r="X5993" s="18" t="s">
        <v>42</v>
      </c>
      <c r="Y5993" s="18" t="s">
        <v>12266</v>
      </c>
      <c r="Z5993" s="18" t="s">
        <v>166</v>
      </c>
      <c r="AA5993" s="21" t="str">
        <f>HYPERLINK("https://www.ncbi.nlm.nih.gov/nuccore/OM869581","NCBI Nucleotide")</f>
        <v>NCBI Nucleotide</v>
      </c>
    </row>
    <row r="5994" spans="1:27" x14ac:dyDescent="0.35">
      <c r="A5994">
        <v>1007463</v>
      </c>
      <c r="B5994">
        <v>5732</v>
      </c>
      <c r="C5994">
        <v>1</v>
      </c>
      <c r="D5994" s="17" t="s">
        <v>10507</v>
      </c>
      <c r="E5994" s="17"/>
      <c r="F5994" s="17" t="s">
        <v>10780</v>
      </c>
      <c r="G5994" s="17"/>
      <c r="H5994" s="17" t="s">
        <v>12908</v>
      </c>
      <c r="I5994" s="17"/>
      <c r="J5994" s="17" t="s">
        <v>12909</v>
      </c>
      <c r="K5994" s="17"/>
      <c r="L5994" s="17" t="s">
        <v>12991</v>
      </c>
      <c r="M5994" s="17"/>
      <c r="N5994" s="17" t="s">
        <v>13563</v>
      </c>
      <c r="O5994" s="17"/>
      <c r="P5994" s="17" t="s">
        <v>13603</v>
      </c>
      <c r="Q5994" s="17"/>
      <c r="R5994" s="25" t="str">
        <f>HYPERLINK("https://ictv.global/taxonomy/taxondetails?taxnode_id=202313274","Palantirivirus imlardis")</f>
        <v>Palantirivirus imlardis</v>
      </c>
      <c r="S5994" s="18" t="s">
        <v>30</v>
      </c>
      <c r="T5994" s="18" t="s">
        <v>13572</v>
      </c>
      <c r="U5994" s="18"/>
      <c r="V5994" s="18" t="s">
        <v>13604</v>
      </c>
      <c r="W5994" s="18" t="s">
        <v>13605</v>
      </c>
      <c r="X5994" s="18" t="s">
        <v>42</v>
      </c>
      <c r="Y5994" s="18" t="s">
        <v>12266</v>
      </c>
      <c r="Z5994" s="18" t="s">
        <v>13567</v>
      </c>
      <c r="AA5994" s="21" t="str">
        <f>HYPERLINK("https://www.ncbi.nlm.nih.gov/nuccore/MK012455","NCBI Nucleotide")</f>
        <v>NCBI Nucleotide</v>
      </c>
    </row>
    <row r="5995" spans="1:27" x14ac:dyDescent="0.35">
      <c r="A5995">
        <v>1027960</v>
      </c>
      <c r="B5995">
        <v>5733</v>
      </c>
      <c r="C5995">
        <v>1</v>
      </c>
      <c r="D5995" s="17" t="s">
        <v>10507</v>
      </c>
      <c r="E5995" s="17"/>
      <c r="F5995" s="17" t="s">
        <v>10780</v>
      </c>
      <c r="G5995" s="17"/>
      <c r="H5995" s="17" t="s">
        <v>12908</v>
      </c>
      <c r="I5995" s="17"/>
      <c r="J5995" s="17" t="s">
        <v>12909</v>
      </c>
      <c r="K5995" s="17"/>
      <c r="L5995" s="17" t="s">
        <v>12991</v>
      </c>
      <c r="M5995" s="17"/>
      <c r="N5995" s="17" t="s">
        <v>13563</v>
      </c>
      <c r="O5995" s="17"/>
      <c r="P5995" s="17" t="s">
        <v>13603</v>
      </c>
      <c r="Q5995" s="17"/>
      <c r="R5995" s="25" t="str">
        <f>HYPERLINK("https://ictv.global/taxonomy/taxondetails?taxnode_id=202317908","Palantirivirus mirksil")</f>
        <v>Palantirivirus mirksil</v>
      </c>
      <c r="S5995" s="18" t="s">
        <v>30</v>
      </c>
      <c r="T5995" s="18" t="s">
        <v>40214</v>
      </c>
      <c r="U5995" s="18"/>
      <c r="V5995" s="18" t="s">
        <v>40215</v>
      </c>
      <c r="W5995" s="18" t="s">
        <v>40216</v>
      </c>
      <c r="X5995" s="18" t="s">
        <v>42</v>
      </c>
      <c r="Y5995" s="18" t="s">
        <v>12266</v>
      </c>
      <c r="Z5995" s="18" t="s">
        <v>166</v>
      </c>
      <c r="AA5995" s="21" t="str">
        <f>HYPERLINK("https://www.ncbi.nlm.nih.gov/nuccore/OM869583","NCBI Nucleotide")</f>
        <v>NCBI Nucleotide</v>
      </c>
    </row>
    <row r="5996" spans="1:27" x14ac:dyDescent="0.35">
      <c r="A5996">
        <v>1027961</v>
      </c>
      <c r="B5996">
        <v>5734</v>
      </c>
      <c r="C5996">
        <v>1</v>
      </c>
      <c r="D5996" s="17" t="s">
        <v>10507</v>
      </c>
      <c r="E5996" s="17"/>
      <c r="F5996" s="17" t="s">
        <v>10780</v>
      </c>
      <c r="G5996" s="17"/>
      <c r="H5996" s="17" t="s">
        <v>12908</v>
      </c>
      <c r="I5996" s="17"/>
      <c r="J5996" s="17" t="s">
        <v>12909</v>
      </c>
      <c r="K5996" s="17"/>
      <c r="L5996" s="17" t="s">
        <v>12991</v>
      </c>
      <c r="M5996" s="17"/>
      <c r="N5996" s="17" t="s">
        <v>13563</v>
      </c>
      <c r="O5996" s="17"/>
      <c r="P5996" s="17" t="s">
        <v>13603</v>
      </c>
      <c r="Q5996" s="17"/>
      <c r="R5996" s="25" t="str">
        <f>HYPERLINK("https://ictv.global/taxonomy/taxondetails?taxnode_id=202317909","Palantirivirus morgothanc")</f>
        <v>Palantirivirus morgothanc</v>
      </c>
      <c r="S5996" s="18" t="s">
        <v>30</v>
      </c>
      <c r="T5996" s="18" t="s">
        <v>40217</v>
      </c>
      <c r="U5996" s="18"/>
      <c r="V5996" s="18" t="s">
        <v>40218</v>
      </c>
      <c r="W5996" s="18" t="s">
        <v>40219</v>
      </c>
      <c r="X5996" s="18" t="s">
        <v>42</v>
      </c>
      <c r="Y5996" s="18" t="s">
        <v>12266</v>
      </c>
      <c r="Z5996" s="18" t="s">
        <v>166</v>
      </c>
      <c r="AA5996" s="21" t="str">
        <f>HYPERLINK("https://www.ncbi.nlm.nih.gov/nuccore/OM869484","NCBI Nucleotide")</f>
        <v>NCBI Nucleotide</v>
      </c>
    </row>
    <row r="5997" spans="1:27" x14ac:dyDescent="0.35">
      <c r="A5997">
        <v>1027962</v>
      </c>
      <c r="B5997">
        <v>5735</v>
      </c>
      <c r="C5997">
        <v>1</v>
      </c>
      <c r="D5997" s="17" t="s">
        <v>10507</v>
      </c>
      <c r="E5997" s="17"/>
      <c r="F5997" s="17" t="s">
        <v>10780</v>
      </c>
      <c r="G5997" s="17"/>
      <c r="H5997" s="17" t="s">
        <v>12908</v>
      </c>
      <c r="I5997" s="17"/>
      <c r="J5997" s="17" t="s">
        <v>12909</v>
      </c>
      <c r="K5997" s="17"/>
      <c r="L5997" s="17" t="s">
        <v>12991</v>
      </c>
      <c r="M5997" s="17"/>
      <c r="N5997" s="17" t="s">
        <v>13563</v>
      </c>
      <c r="O5997" s="17"/>
      <c r="P5997" s="17" t="s">
        <v>13603</v>
      </c>
      <c r="Q5997" s="17"/>
      <c r="R5997" s="25" t="str">
        <f>HYPERLINK("https://ictv.global/taxonomy/taxondetails?taxnode_id=202317910","Palantirivirus tuor")</f>
        <v>Palantirivirus tuor</v>
      </c>
      <c r="S5997" s="18" t="s">
        <v>30</v>
      </c>
      <c r="T5997" s="18" t="s">
        <v>40220</v>
      </c>
      <c r="U5997" s="18"/>
      <c r="V5997" s="18" t="s">
        <v>40221</v>
      </c>
      <c r="W5997" s="18" t="s">
        <v>40222</v>
      </c>
      <c r="X5997" s="18" t="s">
        <v>42</v>
      </c>
      <c r="Y5997" s="18" t="s">
        <v>12266</v>
      </c>
      <c r="Z5997" s="18" t="s">
        <v>166</v>
      </c>
      <c r="AA5997" s="21" t="str">
        <f>HYPERLINK("https://www.ncbi.nlm.nih.gov/nuccore/OM869486","NCBI Nucleotide")</f>
        <v>NCBI Nucleotide</v>
      </c>
    </row>
    <row r="5998" spans="1:27" x14ac:dyDescent="0.35">
      <c r="A5998">
        <v>1007464</v>
      </c>
      <c r="B5998">
        <v>5736</v>
      </c>
      <c r="C5998">
        <v>1</v>
      </c>
      <c r="D5998" s="17" t="s">
        <v>10507</v>
      </c>
      <c r="E5998" s="17"/>
      <c r="F5998" s="17" t="s">
        <v>10780</v>
      </c>
      <c r="G5998" s="17"/>
      <c r="H5998" s="17" t="s">
        <v>12908</v>
      </c>
      <c r="I5998" s="17"/>
      <c r="J5998" s="17" t="s">
        <v>12909</v>
      </c>
      <c r="K5998" s="17"/>
      <c r="L5998" s="17" t="s">
        <v>12991</v>
      </c>
      <c r="M5998" s="17"/>
      <c r="N5998" s="17" t="s">
        <v>13563</v>
      </c>
      <c r="O5998" s="17"/>
      <c r="P5998" s="17" t="s">
        <v>13606</v>
      </c>
      <c r="Q5998" s="17"/>
      <c r="R5998" s="25" t="str">
        <f>HYPERLINK("https://ictv.global/taxonomy/taxondetails?taxnode_id=202313277","Ringilvirus thingol")</f>
        <v>Ringilvirus thingol</v>
      </c>
      <c r="S5998" s="18" t="s">
        <v>30</v>
      </c>
      <c r="T5998" s="18" t="s">
        <v>13607</v>
      </c>
      <c r="U5998" s="18"/>
      <c r="V5998" s="18" t="s">
        <v>13608</v>
      </c>
      <c r="W5998" s="18" t="s">
        <v>13609</v>
      </c>
      <c r="X5998" s="18" t="s">
        <v>42</v>
      </c>
      <c r="Y5998" s="18" t="s">
        <v>12266</v>
      </c>
      <c r="Z5998" s="18" t="s">
        <v>13567</v>
      </c>
      <c r="AA5998" s="21" t="str">
        <f>HYPERLINK("https://www.ncbi.nlm.nih.gov/nuccore/MK738142","NCBI Nucleotide")</f>
        <v>NCBI Nucleotide</v>
      </c>
    </row>
    <row r="5999" spans="1:27" x14ac:dyDescent="0.35">
      <c r="A5999">
        <v>1007465</v>
      </c>
      <c r="B5999">
        <v>5737</v>
      </c>
      <c r="C5999">
        <v>1</v>
      </c>
      <c r="D5999" s="17" t="s">
        <v>10507</v>
      </c>
      <c r="E5999" s="17"/>
      <c r="F5999" s="17" t="s">
        <v>10780</v>
      </c>
      <c r="G5999" s="17"/>
      <c r="H5999" s="17" t="s">
        <v>12908</v>
      </c>
      <c r="I5999" s="17"/>
      <c r="J5999" s="17" t="s">
        <v>12909</v>
      </c>
      <c r="K5999" s="17"/>
      <c r="L5999" s="17" t="s">
        <v>12991</v>
      </c>
      <c r="M5999" s="17"/>
      <c r="N5999" s="17" t="s">
        <v>13563</v>
      </c>
      <c r="O5999" s="17"/>
      <c r="P5999" s="17" t="s">
        <v>13606</v>
      </c>
      <c r="Q5999" s="17"/>
      <c r="R5999" s="25" t="str">
        <f>HYPERLINK("https://ictv.global/taxonomy/taxondetails?taxnode_id=202313276","Ringilvirus tuor")</f>
        <v>Ringilvirus tuor</v>
      </c>
      <c r="S5999" s="18" t="s">
        <v>30</v>
      </c>
      <c r="T5999" s="18" t="s">
        <v>13610</v>
      </c>
      <c r="U5999" s="18"/>
      <c r="V5999" s="18" t="s">
        <v>13611</v>
      </c>
      <c r="W5999" s="18" t="s">
        <v>13612</v>
      </c>
      <c r="X5999" s="18" t="s">
        <v>42</v>
      </c>
      <c r="Y5999" s="18" t="s">
        <v>12266</v>
      </c>
      <c r="Z5999" s="18" t="s">
        <v>13567</v>
      </c>
      <c r="AA5999" s="21" t="str">
        <f>HYPERLINK("https://www.ncbi.nlm.nih.gov/nuccore/MK738138","NCBI Nucleotide")</f>
        <v>NCBI Nucleotide</v>
      </c>
    </row>
    <row r="6000" spans="1:27" x14ac:dyDescent="0.35">
      <c r="A6000">
        <v>1007466</v>
      </c>
      <c r="B6000">
        <v>5738</v>
      </c>
      <c r="C6000">
        <v>1</v>
      </c>
      <c r="D6000" s="17" t="s">
        <v>10507</v>
      </c>
      <c r="E6000" s="17"/>
      <c r="F6000" s="17" t="s">
        <v>10780</v>
      </c>
      <c r="G6000" s="17"/>
      <c r="H6000" s="17" t="s">
        <v>12908</v>
      </c>
      <c r="I6000" s="17"/>
      <c r="J6000" s="17" t="s">
        <v>12909</v>
      </c>
      <c r="K6000" s="17"/>
      <c r="L6000" s="17" t="s">
        <v>12991</v>
      </c>
      <c r="M6000" s="17"/>
      <c r="N6000" s="17" t="s">
        <v>13563</v>
      </c>
      <c r="O6000" s="17"/>
      <c r="P6000" s="17" t="s">
        <v>13606</v>
      </c>
      <c r="Q6000" s="17"/>
      <c r="R6000" s="25" t="str">
        <f>HYPERLINK("https://ictv.global/taxonomy/taxondetails?taxnode_id=202313278","Ringilvirus ungol")</f>
        <v>Ringilvirus ungol</v>
      </c>
      <c r="S6000" s="18" t="s">
        <v>30</v>
      </c>
      <c r="T6000" s="18" t="s">
        <v>13613</v>
      </c>
      <c r="U6000" s="18"/>
      <c r="V6000" s="18" t="s">
        <v>13614</v>
      </c>
      <c r="W6000" s="18" t="s">
        <v>13615</v>
      </c>
      <c r="X6000" s="18" t="s">
        <v>42</v>
      </c>
      <c r="Y6000" s="18" t="s">
        <v>12266</v>
      </c>
      <c r="Z6000" s="18" t="s">
        <v>13567</v>
      </c>
      <c r="AA6000" s="21" t="str">
        <f>HYPERLINK("https://www.ncbi.nlm.nih.gov/nuccore/MK738143","NCBI Nucleotide")</f>
        <v>NCBI Nucleotide</v>
      </c>
    </row>
    <row r="6001" spans="1:27" x14ac:dyDescent="0.35">
      <c r="A6001">
        <v>1027972</v>
      </c>
      <c r="B6001">
        <v>5739</v>
      </c>
      <c r="C6001">
        <v>1</v>
      </c>
      <c r="D6001" s="17" t="s">
        <v>10507</v>
      </c>
      <c r="E6001" s="17"/>
      <c r="F6001" s="17" t="s">
        <v>10780</v>
      </c>
      <c r="G6001" s="17"/>
      <c r="H6001" s="17" t="s">
        <v>12908</v>
      </c>
      <c r="I6001" s="17"/>
      <c r="J6001" s="17" t="s">
        <v>12909</v>
      </c>
      <c r="K6001" s="17"/>
      <c r="L6001" s="17" t="s">
        <v>12991</v>
      </c>
      <c r="M6001" s="17"/>
      <c r="N6001" s="17" t="s">
        <v>13563</v>
      </c>
      <c r="O6001" s="17"/>
      <c r="P6001" s="17" t="s">
        <v>40223</v>
      </c>
      <c r="Q6001" s="17"/>
      <c r="R6001" s="25" t="str">
        <f>HYPERLINK("https://ictv.global/taxonomy/taxondetails?taxnode_id=202317905","Ulaervirus earendil")</f>
        <v>Ulaervirus earendil</v>
      </c>
      <c r="S6001" s="18" t="s">
        <v>30</v>
      </c>
      <c r="T6001" s="18" t="s">
        <v>40224</v>
      </c>
      <c r="U6001" s="18"/>
      <c r="V6001" s="18" t="s">
        <v>40225</v>
      </c>
      <c r="W6001" s="18" t="s">
        <v>40226</v>
      </c>
      <c r="X6001" s="18" t="s">
        <v>42</v>
      </c>
      <c r="Y6001" s="18" t="s">
        <v>12266</v>
      </c>
      <c r="Z6001" s="18" t="s">
        <v>166</v>
      </c>
      <c r="AA6001" s="21" t="str">
        <f>HYPERLINK("https://www.ncbi.nlm.nih.gov/nuccore/OM869487","NCBI Nucleotide")</f>
        <v>NCBI Nucleotide</v>
      </c>
    </row>
    <row r="6002" spans="1:27" x14ac:dyDescent="0.35">
      <c r="A6002">
        <v>1007467</v>
      </c>
      <c r="B6002">
        <v>5740</v>
      </c>
      <c r="C6002">
        <v>1</v>
      </c>
      <c r="D6002" s="17" t="s">
        <v>10507</v>
      </c>
      <c r="E6002" s="17"/>
      <c r="F6002" s="17" t="s">
        <v>10780</v>
      </c>
      <c r="G6002" s="17"/>
      <c r="H6002" s="17" t="s">
        <v>12908</v>
      </c>
      <c r="I6002" s="17"/>
      <c r="J6002" s="17" t="s">
        <v>12909</v>
      </c>
      <c r="K6002" s="17"/>
      <c r="L6002" s="17" t="s">
        <v>12991</v>
      </c>
      <c r="M6002" s="17"/>
      <c r="N6002" s="17" t="s">
        <v>13563</v>
      </c>
      <c r="O6002" s="17"/>
      <c r="P6002" s="17" t="s">
        <v>13616</v>
      </c>
      <c r="Q6002" s="17"/>
      <c r="R6002" s="25" t="str">
        <f>HYPERLINK("https://ictv.global/taxonomy/taxondetails?taxnode_id=202313281","Vingilotevirus gamgee")</f>
        <v>Vingilotevirus gamgee</v>
      </c>
      <c r="S6002" s="18" t="s">
        <v>30</v>
      </c>
      <c r="T6002" s="18" t="s">
        <v>13617</v>
      </c>
      <c r="U6002" s="18"/>
      <c r="V6002" s="18" t="s">
        <v>13618</v>
      </c>
      <c r="W6002" s="18" t="s">
        <v>13619</v>
      </c>
      <c r="X6002" s="18" t="s">
        <v>42</v>
      </c>
      <c r="Y6002" s="18" t="s">
        <v>12266</v>
      </c>
      <c r="Z6002" s="18" t="s">
        <v>13567</v>
      </c>
      <c r="AA6002" s="21" t="str">
        <f>HYPERLINK("https://www.ncbi.nlm.nih.gov/nuccore/MT293426","NCBI Nucleotide")</f>
        <v>NCBI Nucleotide</v>
      </c>
    </row>
    <row r="6003" spans="1:27" x14ac:dyDescent="0.35">
      <c r="A6003">
        <v>1007468</v>
      </c>
      <c r="B6003">
        <v>5741</v>
      </c>
      <c r="C6003">
        <v>1</v>
      </c>
      <c r="D6003" s="17" t="s">
        <v>10507</v>
      </c>
      <c r="E6003" s="17"/>
      <c r="F6003" s="17" t="s">
        <v>10780</v>
      </c>
      <c r="G6003" s="17"/>
      <c r="H6003" s="17" t="s">
        <v>12908</v>
      </c>
      <c r="I6003" s="17"/>
      <c r="J6003" s="17" t="s">
        <v>12909</v>
      </c>
      <c r="K6003" s="17"/>
      <c r="L6003" s="17" t="s">
        <v>12991</v>
      </c>
      <c r="M6003" s="17"/>
      <c r="N6003" s="17" t="s">
        <v>13563</v>
      </c>
      <c r="O6003" s="17"/>
      <c r="P6003" s="17" t="s">
        <v>13616</v>
      </c>
      <c r="Q6003" s="17"/>
      <c r="R6003" s="25" t="str">
        <f>HYPERLINK("https://ictv.global/taxonomy/taxondetails?taxnode_id=202313280","Vingilotevirus gimli")</f>
        <v>Vingilotevirus gimli</v>
      </c>
      <c r="S6003" s="18" t="s">
        <v>30</v>
      </c>
      <c r="T6003" s="18" t="s">
        <v>13617</v>
      </c>
      <c r="U6003" s="18"/>
      <c r="V6003" s="18" t="s">
        <v>13569</v>
      </c>
      <c r="W6003" s="18" t="s">
        <v>13620</v>
      </c>
      <c r="X6003" s="18" t="s">
        <v>42</v>
      </c>
      <c r="Y6003" s="18" t="s">
        <v>12266</v>
      </c>
      <c r="Z6003" s="18" t="s">
        <v>13567</v>
      </c>
      <c r="AA6003" s="21" t="str">
        <f>HYPERLINK("https://www.ncbi.nlm.nih.gov/nuccore/MT293425","NCBI Nucleotide")</f>
        <v>NCBI Nucleotide</v>
      </c>
    </row>
    <row r="6004" spans="1:27" x14ac:dyDescent="0.35">
      <c r="A6004">
        <v>1007469</v>
      </c>
      <c r="B6004">
        <v>5742</v>
      </c>
      <c r="C6004">
        <v>1</v>
      </c>
      <c r="D6004" s="17" t="s">
        <v>10507</v>
      </c>
      <c r="E6004" s="17"/>
      <c r="F6004" s="17" t="s">
        <v>10780</v>
      </c>
      <c r="G6004" s="17"/>
      <c r="H6004" s="17" t="s">
        <v>12908</v>
      </c>
      <c r="I6004" s="17"/>
      <c r="J6004" s="17" t="s">
        <v>12909</v>
      </c>
      <c r="K6004" s="17"/>
      <c r="L6004" s="17" t="s">
        <v>13621</v>
      </c>
      <c r="M6004" s="17"/>
      <c r="N6004" s="17" t="s">
        <v>13622</v>
      </c>
      <c r="O6004" s="17"/>
      <c r="P6004" s="17" t="s">
        <v>13623</v>
      </c>
      <c r="Q6004" s="17"/>
      <c r="R6004" s="25" t="str">
        <f>HYPERLINK("https://ictv.global/taxonomy/taxondetails?taxnode_id=202309507","Babosmacovirus babas1")</f>
        <v>Babosmacovirus babas1</v>
      </c>
      <c r="S6004" s="18" t="s">
        <v>30</v>
      </c>
      <c r="T6004" s="18" t="s">
        <v>13624</v>
      </c>
      <c r="U6004" s="18"/>
      <c r="V6004" s="18" t="s">
        <v>13625</v>
      </c>
      <c r="W6004" s="18" t="s">
        <v>13626</v>
      </c>
      <c r="X6004" s="18" t="s">
        <v>42</v>
      </c>
      <c r="Y6004" s="18" t="s">
        <v>12266</v>
      </c>
      <c r="Z6004" s="18" t="s">
        <v>41209</v>
      </c>
      <c r="AA6004" s="21" t="str">
        <f>HYPERLINK("https://www.ncbi.nlm.nih.gov/nuccore/LC386204","NCBI Nucleotide")</f>
        <v>NCBI Nucleotide</v>
      </c>
    </row>
    <row r="6005" spans="1:27" x14ac:dyDescent="0.35">
      <c r="A6005">
        <v>1007470</v>
      </c>
      <c r="B6005">
        <v>5743</v>
      </c>
      <c r="C6005">
        <v>1</v>
      </c>
      <c r="D6005" s="17" t="s">
        <v>10507</v>
      </c>
      <c r="E6005" s="17"/>
      <c r="F6005" s="17" t="s">
        <v>10780</v>
      </c>
      <c r="G6005" s="17"/>
      <c r="H6005" s="17" t="s">
        <v>12908</v>
      </c>
      <c r="I6005" s="17"/>
      <c r="J6005" s="17" t="s">
        <v>12909</v>
      </c>
      <c r="K6005" s="17"/>
      <c r="L6005" s="17" t="s">
        <v>13621</v>
      </c>
      <c r="M6005" s="17"/>
      <c r="N6005" s="17" t="s">
        <v>13622</v>
      </c>
      <c r="O6005" s="17"/>
      <c r="P6005" s="17" t="s">
        <v>13627</v>
      </c>
      <c r="Q6005" s="17"/>
      <c r="R6005" s="25" t="str">
        <f>HYPERLINK("https://ictv.global/taxonomy/taxondetails?taxnode_id=202305957","Bonzesmacovirus bovas1")</f>
        <v>Bonzesmacovirus bovas1</v>
      </c>
      <c r="S6005" s="18" t="s">
        <v>30</v>
      </c>
      <c r="T6005" s="18" t="s">
        <v>13628</v>
      </c>
      <c r="U6005" s="18"/>
      <c r="V6005" s="18" t="s">
        <v>13629</v>
      </c>
      <c r="W6005" s="18" t="s">
        <v>13630</v>
      </c>
      <c r="X6005" s="18" t="s">
        <v>42</v>
      </c>
      <c r="Y6005" s="18" t="s">
        <v>12266</v>
      </c>
      <c r="Z6005" s="18" t="s">
        <v>41209</v>
      </c>
      <c r="AA6005" s="21" t="str">
        <f>HYPERLINK("https://www.ncbi.nlm.nih.gov/nuccore/KT862223","NCBI Nucleotide")</f>
        <v>NCBI Nucleotide</v>
      </c>
    </row>
    <row r="6006" spans="1:27" x14ac:dyDescent="0.35">
      <c r="A6006">
        <v>1027918</v>
      </c>
      <c r="B6006">
        <v>5744</v>
      </c>
      <c r="C6006">
        <v>1</v>
      </c>
      <c r="D6006" s="17" t="s">
        <v>10507</v>
      </c>
      <c r="E6006" s="17"/>
      <c r="F6006" s="17" t="s">
        <v>10780</v>
      </c>
      <c r="G6006" s="17"/>
      <c r="H6006" s="17" t="s">
        <v>12908</v>
      </c>
      <c r="I6006" s="17"/>
      <c r="J6006" s="17" t="s">
        <v>12909</v>
      </c>
      <c r="K6006" s="17"/>
      <c r="L6006" s="17" t="s">
        <v>13621</v>
      </c>
      <c r="M6006" s="17"/>
      <c r="N6006" s="17" t="s">
        <v>13622</v>
      </c>
      <c r="O6006" s="17"/>
      <c r="P6006" s="17" t="s">
        <v>13627</v>
      </c>
      <c r="Q6006" s="17"/>
      <c r="R6006" s="25" t="str">
        <f>HYPERLINK("https://ictv.global/taxonomy/taxondetails?taxnode_id=202317960","Bonzesmacovirus camas1")</f>
        <v>Bonzesmacovirus camas1</v>
      </c>
      <c r="S6006" s="18" t="s">
        <v>30</v>
      </c>
      <c r="T6006" s="18" t="s">
        <v>40227</v>
      </c>
      <c r="U6006" s="18"/>
      <c r="V6006" s="18" t="s">
        <v>40228</v>
      </c>
      <c r="W6006" s="18" t="s">
        <v>40229</v>
      </c>
      <c r="X6006" s="18" t="s">
        <v>42</v>
      </c>
      <c r="Y6006" s="18" t="s">
        <v>12266</v>
      </c>
      <c r="Z6006" s="18" t="s">
        <v>41209</v>
      </c>
      <c r="AA6006" s="21" t="str">
        <f>HYPERLINK("https://www.ncbi.nlm.nih.gov/nuccore/OQ198240","NCBI Nucleotide")</f>
        <v>NCBI Nucleotide</v>
      </c>
    </row>
    <row r="6007" spans="1:27" x14ac:dyDescent="0.35">
      <c r="A6007">
        <v>1007471</v>
      </c>
      <c r="B6007">
        <v>5745</v>
      </c>
      <c r="C6007">
        <v>1</v>
      </c>
      <c r="D6007" s="17" t="s">
        <v>10507</v>
      </c>
      <c r="E6007" s="17"/>
      <c r="F6007" s="17" t="s">
        <v>10780</v>
      </c>
      <c r="G6007" s="17"/>
      <c r="H6007" s="17" t="s">
        <v>12908</v>
      </c>
      <c r="I6007" s="17"/>
      <c r="J6007" s="17" t="s">
        <v>12909</v>
      </c>
      <c r="K6007" s="17"/>
      <c r="L6007" s="17" t="s">
        <v>13621</v>
      </c>
      <c r="M6007" s="17"/>
      <c r="N6007" s="17" t="s">
        <v>13622</v>
      </c>
      <c r="O6007" s="17"/>
      <c r="P6007" s="17" t="s">
        <v>13631</v>
      </c>
      <c r="Q6007" s="17"/>
      <c r="R6007" s="25" t="str">
        <f>HYPERLINK("https://ictv.global/taxonomy/taxondetails?taxnode_id=202305958","Bostasmacovirus bovas1")</f>
        <v>Bostasmacovirus bovas1</v>
      </c>
      <c r="S6007" s="18" t="s">
        <v>30</v>
      </c>
      <c r="T6007" s="18" t="s">
        <v>13632</v>
      </c>
      <c r="U6007" s="18"/>
      <c r="V6007" s="18" t="s">
        <v>13633</v>
      </c>
      <c r="W6007" s="18" t="s">
        <v>13634</v>
      </c>
      <c r="X6007" s="18" t="s">
        <v>42</v>
      </c>
      <c r="Y6007" s="18" t="s">
        <v>12266</v>
      </c>
      <c r="Z6007" s="18" t="s">
        <v>41209</v>
      </c>
      <c r="AA6007" s="21" t="str">
        <f>HYPERLINK("https://www.ncbi.nlm.nih.gov/nuccore/KT862229","NCBI Nucleotide")</f>
        <v>NCBI Nucleotide</v>
      </c>
    </row>
    <row r="6008" spans="1:27" x14ac:dyDescent="0.35">
      <c r="A6008">
        <v>1007472</v>
      </c>
      <c r="B6008">
        <v>5746</v>
      </c>
      <c r="C6008">
        <v>1</v>
      </c>
      <c r="D6008" s="17" t="s">
        <v>10507</v>
      </c>
      <c r="E6008" s="17"/>
      <c r="F6008" s="17" t="s">
        <v>10780</v>
      </c>
      <c r="G6008" s="17"/>
      <c r="H6008" s="17" t="s">
        <v>12908</v>
      </c>
      <c r="I6008" s="17"/>
      <c r="J6008" s="17" t="s">
        <v>12909</v>
      </c>
      <c r="K6008" s="17"/>
      <c r="L6008" s="17" t="s">
        <v>13621</v>
      </c>
      <c r="M6008" s="17"/>
      <c r="N6008" s="17" t="s">
        <v>13622</v>
      </c>
      <c r="O6008" s="17"/>
      <c r="P6008" s="17" t="s">
        <v>13635</v>
      </c>
      <c r="Q6008" s="17"/>
      <c r="R6008" s="25" t="str">
        <f>HYPERLINK("https://ictv.global/taxonomy/taxondetails?taxnode_id=202305945","Bovismacovirus bovas1")</f>
        <v>Bovismacovirus bovas1</v>
      </c>
      <c r="S6008" s="18" t="s">
        <v>30</v>
      </c>
      <c r="T6008" s="18" t="s">
        <v>13636</v>
      </c>
      <c r="U6008" s="18"/>
      <c r="V6008" s="18" t="s">
        <v>13637</v>
      </c>
      <c r="W6008" s="18" t="s">
        <v>13638</v>
      </c>
      <c r="X6008" s="18" t="s">
        <v>42</v>
      </c>
      <c r="Y6008" s="18" t="s">
        <v>12266</v>
      </c>
      <c r="Z6008" s="18" t="s">
        <v>41209</v>
      </c>
      <c r="AA6008" s="21" t="str">
        <f>HYPERLINK("https://www.ncbi.nlm.nih.gov/nuccore/JN634851","NCBI Nucleotide")</f>
        <v>NCBI Nucleotide</v>
      </c>
    </row>
    <row r="6009" spans="1:27" x14ac:dyDescent="0.35">
      <c r="A6009">
        <v>1007473</v>
      </c>
      <c r="B6009">
        <v>5747</v>
      </c>
      <c r="C6009">
        <v>1</v>
      </c>
      <c r="D6009" s="17" t="s">
        <v>10507</v>
      </c>
      <c r="E6009" s="17"/>
      <c r="F6009" s="17" t="s">
        <v>10780</v>
      </c>
      <c r="G6009" s="17"/>
      <c r="H6009" s="17" t="s">
        <v>12908</v>
      </c>
      <c r="I6009" s="17"/>
      <c r="J6009" s="17" t="s">
        <v>12909</v>
      </c>
      <c r="K6009" s="17"/>
      <c r="L6009" s="17" t="s">
        <v>13621</v>
      </c>
      <c r="M6009" s="17"/>
      <c r="N6009" s="17" t="s">
        <v>13622</v>
      </c>
      <c r="O6009" s="17"/>
      <c r="P6009" s="17" t="s">
        <v>13635</v>
      </c>
      <c r="Q6009" s="17"/>
      <c r="R6009" s="25" t="str">
        <f>HYPERLINK("https://ictv.global/taxonomy/taxondetails?taxnode_id=202305946","Bovismacovirus bovas2")</f>
        <v>Bovismacovirus bovas2</v>
      </c>
      <c r="S6009" s="18" t="s">
        <v>30</v>
      </c>
      <c r="T6009" s="18" t="s">
        <v>13639</v>
      </c>
      <c r="U6009" s="18"/>
      <c r="V6009" s="18" t="s">
        <v>13640</v>
      </c>
      <c r="W6009" s="18" t="s">
        <v>13641</v>
      </c>
      <c r="X6009" s="18" t="s">
        <v>42</v>
      </c>
      <c r="Y6009" s="18" t="s">
        <v>12266</v>
      </c>
      <c r="Z6009" s="18" t="s">
        <v>41209</v>
      </c>
      <c r="AA6009" s="21" t="str">
        <f>HYPERLINK("https://www.ncbi.nlm.nih.gov/nuccore/KT862222","NCBI Nucleotide")</f>
        <v>NCBI Nucleotide</v>
      </c>
    </row>
    <row r="6010" spans="1:27" x14ac:dyDescent="0.35">
      <c r="A6010">
        <v>1027912</v>
      </c>
      <c r="B6010">
        <v>5748</v>
      </c>
      <c r="C6010">
        <v>1</v>
      </c>
      <c r="D6010" s="17" t="s">
        <v>10507</v>
      </c>
      <c r="E6010" s="17"/>
      <c r="F6010" s="17" t="s">
        <v>10780</v>
      </c>
      <c r="G6010" s="17"/>
      <c r="H6010" s="17" t="s">
        <v>12908</v>
      </c>
      <c r="I6010" s="17"/>
      <c r="J6010" s="17" t="s">
        <v>12909</v>
      </c>
      <c r="K6010" s="17"/>
      <c r="L6010" s="17" t="s">
        <v>13621</v>
      </c>
      <c r="M6010" s="17"/>
      <c r="N6010" s="17" t="s">
        <v>13622</v>
      </c>
      <c r="O6010" s="17"/>
      <c r="P6010" s="17" t="s">
        <v>13635</v>
      </c>
      <c r="Q6010" s="17"/>
      <c r="R6010" s="25" t="str">
        <f>HYPERLINK("https://ictv.global/taxonomy/taxondetails?taxnode_id=202317961","Bovismacovirus bovas3")</f>
        <v>Bovismacovirus bovas3</v>
      </c>
      <c r="S6010" s="18" t="s">
        <v>30</v>
      </c>
      <c r="T6010" s="18" t="s">
        <v>40230</v>
      </c>
      <c r="U6010" s="18"/>
      <c r="V6010" s="18" t="s">
        <v>40231</v>
      </c>
      <c r="W6010" s="18" t="s">
        <v>40232</v>
      </c>
      <c r="X6010" s="18" t="s">
        <v>42</v>
      </c>
      <c r="Y6010" s="18" t="s">
        <v>12266</v>
      </c>
      <c r="Z6010" s="18" t="s">
        <v>41209</v>
      </c>
      <c r="AA6010" s="21" t="str">
        <f>HYPERLINK("https://www.ncbi.nlm.nih.gov/nuccore/MH782430","NCBI Nucleotide")</f>
        <v>NCBI Nucleotide</v>
      </c>
    </row>
    <row r="6011" spans="1:27" x14ac:dyDescent="0.35">
      <c r="A6011">
        <v>1027913</v>
      </c>
      <c r="B6011">
        <v>5749</v>
      </c>
      <c r="C6011">
        <v>1</v>
      </c>
      <c r="D6011" s="17" t="s">
        <v>10507</v>
      </c>
      <c r="E6011" s="17"/>
      <c r="F6011" s="17" t="s">
        <v>10780</v>
      </c>
      <c r="G6011" s="17"/>
      <c r="H6011" s="17" t="s">
        <v>12908</v>
      </c>
      <c r="I6011" s="17"/>
      <c r="J6011" s="17" t="s">
        <v>12909</v>
      </c>
      <c r="K6011" s="17"/>
      <c r="L6011" s="17" t="s">
        <v>13621</v>
      </c>
      <c r="M6011" s="17"/>
      <c r="N6011" s="17" t="s">
        <v>13622</v>
      </c>
      <c r="O6011" s="17"/>
      <c r="P6011" s="17" t="s">
        <v>13635</v>
      </c>
      <c r="Q6011" s="17"/>
      <c r="R6011" s="25" t="str">
        <f>HYPERLINK("https://ictv.global/taxonomy/taxondetails?taxnode_id=202317962","Bovismacovirus cervi1")</f>
        <v>Bovismacovirus cervi1</v>
      </c>
      <c r="S6011" s="18" t="s">
        <v>30</v>
      </c>
      <c r="T6011" s="18" t="s">
        <v>40233</v>
      </c>
      <c r="U6011" s="18"/>
      <c r="V6011" s="18" t="s">
        <v>40234</v>
      </c>
      <c r="W6011" s="18" t="s">
        <v>40235</v>
      </c>
      <c r="X6011" s="18" t="s">
        <v>42</v>
      </c>
      <c r="Y6011" s="18" t="s">
        <v>12266</v>
      </c>
      <c r="Z6011" s="18" t="s">
        <v>41209</v>
      </c>
      <c r="AA6011" s="21" t="str">
        <f>HYPERLINK("https://www.ncbi.nlm.nih.gov/nuccore/MN621481","NCBI Nucleotide")</f>
        <v>NCBI Nucleotide</v>
      </c>
    </row>
    <row r="6012" spans="1:27" x14ac:dyDescent="0.35">
      <c r="A6012">
        <v>1007474</v>
      </c>
      <c r="B6012">
        <v>5750</v>
      </c>
      <c r="C6012">
        <v>1</v>
      </c>
      <c r="D6012" s="17" t="s">
        <v>10507</v>
      </c>
      <c r="E6012" s="17"/>
      <c r="F6012" s="17" t="s">
        <v>10780</v>
      </c>
      <c r="G6012" s="17"/>
      <c r="H6012" s="17" t="s">
        <v>12908</v>
      </c>
      <c r="I6012" s="17"/>
      <c r="J6012" s="17" t="s">
        <v>12909</v>
      </c>
      <c r="K6012" s="17"/>
      <c r="L6012" s="17" t="s">
        <v>13621</v>
      </c>
      <c r="M6012" s="17"/>
      <c r="N6012" s="17" t="s">
        <v>13622</v>
      </c>
      <c r="O6012" s="17"/>
      <c r="P6012" s="17" t="s">
        <v>13635</v>
      </c>
      <c r="Q6012" s="17"/>
      <c r="R6012" s="25" t="str">
        <f>HYPERLINK("https://ictv.global/taxonomy/taxondetails?taxnode_id=202305947","Bovismacovirus draga1")</f>
        <v>Bovismacovirus draga1</v>
      </c>
      <c r="S6012" s="18" t="s">
        <v>30</v>
      </c>
      <c r="T6012" s="18" t="s">
        <v>13642</v>
      </c>
      <c r="U6012" s="18"/>
      <c r="V6012" s="18" t="s">
        <v>13643</v>
      </c>
      <c r="W6012" s="18" t="s">
        <v>13644</v>
      </c>
      <c r="X6012" s="18" t="s">
        <v>42</v>
      </c>
      <c r="Y6012" s="18" t="s">
        <v>12266</v>
      </c>
      <c r="Z6012" s="18" t="s">
        <v>41209</v>
      </c>
      <c r="AA6012" s="21" t="str">
        <f>HYPERLINK("https://www.ncbi.nlm.nih.gov/nuccore/KM598409","NCBI Nucleotide")</f>
        <v>NCBI Nucleotide</v>
      </c>
    </row>
    <row r="6013" spans="1:27" x14ac:dyDescent="0.35">
      <c r="A6013">
        <v>1027914</v>
      </c>
      <c r="B6013">
        <v>5751</v>
      </c>
      <c r="C6013">
        <v>1</v>
      </c>
      <c r="D6013" s="17" t="s">
        <v>10507</v>
      </c>
      <c r="E6013" s="17"/>
      <c r="F6013" s="17" t="s">
        <v>10780</v>
      </c>
      <c r="G6013" s="17"/>
      <c r="H6013" s="17" t="s">
        <v>12908</v>
      </c>
      <c r="I6013" s="17"/>
      <c r="J6013" s="17" t="s">
        <v>12909</v>
      </c>
      <c r="K6013" s="17"/>
      <c r="L6013" s="17" t="s">
        <v>13621</v>
      </c>
      <c r="M6013" s="17"/>
      <c r="N6013" s="17" t="s">
        <v>13622</v>
      </c>
      <c r="O6013" s="17"/>
      <c r="P6013" s="17" t="s">
        <v>13635</v>
      </c>
      <c r="Q6013" s="17"/>
      <c r="R6013" s="25" t="str">
        <f>HYPERLINK("https://ictv.global/taxonomy/taxondetails?taxnode_id=202317963","Bovismacovirus equid1")</f>
        <v>Bovismacovirus equid1</v>
      </c>
      <c r="S6013" s="18" t="s">
        <v>30</v>
      </c>
      <c r="T6013" s="18" t="s">
        <v>40236</v>
      </c>
      <c r="U6013" s="18"/>
      <c r="V6013" s="18" t="s">
        <v>40237</v>
      </c>
      <c r="W6013" s="18" t="s">
        <v>40238</v>
      </c>
      <c r="X6013" s="18" t="s">
        <v>42</v>
      </c>
      <c r="Y6013" s="18" t="s">
        <v>12266</v>
      </c>
      <c r="Z6013" s="18" t="s">
        <v>41209</v>
      </c>
      <c r="AA6013" s="21" t="str">
        <f>HYPERLINK("https://www.ncbi.nlm.nih.gov/nuccore/OM892365","NCBI Nucleotide")</f>
        <v>NCBI Nucleotide</v>
      </c>
    </row>
    <row r="6014" spans="1:27" x14ac:dyDescent="0.35">
      <c r="A6014">
        <v>1027915</v>
      </c>
      <c r="B6014">
        <v>5752</v>
      </c>
      <c r="C6014">
        <v>1</v>
      </c>
      <c r="D6014" s="17" t="s">
        <v>10507</v>
      </c>
      <c r="E6014" s="17"/>
      <c r="F6014" s="17" t="s">
        <v>10780</v>
      </c>
      <c r="G6014" s="17"/>
      <c r="H6014" s="17" t="s">
        <v>12908</v>
      </c>
      <c r="I6014" s="17"/>
      <c r="J6014" s="17" t="s">
        <v>12909</v>
      </c>
      <c r="K6014" s="17"/>
      <c r="L6014" s="17" t="s">
        <v>13621</v>
      </c>
      <c r="M6014" s="17"/>
      <c r="N6014" s="17" t="s">
        <v>13622</v>
      </c>
      <c r="O6014" s="17"/>
      <c r="P6014" s="17" t="s">
        <v>13635</v>
      </c>
      <c r="Q6014" s="17"/>
      <c r="R6014" s="25" t="str">
        <f>HYPERLINK("https://ictv.global/taxonomy/taxondetails?taxnode_id=202317964","Bovismacovirus equid2")</f>
        <v>Bovismacovirus equid2</v>
      </c>
      <c r="S6014" s="18" t="s">
        <v>30</v>
      </c>
      <c r="T6014" s="18" t="s">
        <v>40239</v>
      </c>
      <c r="U6014" s="18"/>
      <c r="V6014" s="18" t="s">
        <v>40240</v>
      </c>
      <c r="W6014" s="18" t="s">
        <v>40241</v>
      </c>
      <c r="X6014" s="18" t="s">
        <v>42</v>
      </c>
      <c r="Y6014" s="18" t="s">
        <v>12266</v>
      </c>
      <c r="Z6014" s="18" t="s">
        <v>41209</v>
      </c>
      <c r="AA6014" s="21" t="str">
        <f>HYPERLINK("https://www.ncbi.nlm.nih.gov/nuccore/OQ198251","NCBI Nucleotide")</f>
        <v>NCBI Nucleotide</v>
      </c>
    </row>
    <row r="6015" spans="1:27" x14ac:dyDescent="0.35">
      <c r="A6015">
        <v>1007475</v>
      </c>
      <c r="B6015">
        <v>5753</v>
      </c>
      <c r="C6015">
        <v>1</v>
      </c>
      <c r="D6015" s="17" t="s">
        <v>10507</v>
      </c>
      <c r="E6015" s="17"/>
      <c r="F6015" s="17" t="s">
        <v>10780</v>
      </c>
      <c r="G6015" s="17"/>
      <c r="H6015" s="17" t="s">
        <v>12908</v>
      </c>
      <c r="I6015" s="17"/>
      <c r="J6015" s="17" t="s">
        <v>12909</v>
      </c>
      <c r="K6015" s="17"/>
      <c r="L6015" s="17" t="s">
        <v>13621</v>
      </c>
      <c r="M6015" s="17"/>
      <c r="N6015" s="17" t="s">
        <v>13622</v>
      </c>
      <c r="O6015" s="17"/>
      <c r="P6015" s="17" t="s">
        <v>13645</v>
      </c>
      <c r="Q6015" s="17"/>
      <c r="R6015" s="25" t="str">
        <f>HYPERLINK("https://ictv.global/taxonomy/taxondetails?taxnode_id=202305949","Cosmacovirus bovas1")</f>
        <v>Cosmacovirus bovas1</v>
      </c>
      <c r="S6015" s="18" t="s">
        <v>30</v>
      </c>
      <c r="T6015" s="18" t="s">
        <v>13646</v>
      </c>
      <c r="U6015" s="18"/>
      <c r="V6015" s="18" t="s">
        <v>13647</v>
      </c>
      <c r="W6015" s="18" t="s">
        <v>13648</v>
      </c>
      <c r="X6015" s="18" t="s">
        <v>42</v>
      </c>
      <c r="Y6015" s="18" t="s">
        <v>12266</v>
      </c>
      <c r="Z6015" s="18" t="s">
        <v>41209</v>
      </c>
      <c r="AA6015" s="21" t="str">
        <f>HYPERLINK("https://www.ncbi.nlm.nih.gov/nuccore/KT862228","NCBI Nucleotide")</f>
        <v>NCBI Nucleotide</v>
      </c>
    </row>
    <row r="6016" spans="1:27" x14ac:dyDescent="0.35">
      <c r="A6016">
        <v>1027878</v>
      </c>
      <c r="B6016">
        <v>5754</v>
      </c>
      <c r="C6016">
        <v>1</v>
      </c>
      <c r="D6016" s="17" t="s">
        <v>10507</v>
      </c>
      <c r="E6016" s="17"/>
      <c r="F6016" s="17" t="s">
        <v>10780</v>
      </c>
      <c r="G6016" s="17"/>
      <c r="H6016" s="17" t="s">
        <v>12908</v>
      </c>
      <c r="I6016" s="17"/>
      <c r="J6016" s="17" t="s">
        <v>12909</v>
      </c>
      <c r="K6016" s="17"/>
      <c r="L6016" s="17" t="s">
        <v>13621</v>
      </c>
      <c r="M6016" s="17"/>
      <c r="N6016" s="17" t="s">
        <v>13622</v>
      </c>
      <c r="O6016" s="17"/>
      <c r="P6016" s="17" t="s">
        <v>13649</v>
      </c>
      <c r="Q6016" s="17"/>
      <c r="R6016" s="25" t="str">
        <f>HYPERLINK("https://ictv.global/taxonomy/taxondetails?taxnode_id=202317965","Dragsmacovirus budor1")</f>
        <v>Dragsmacovirus budor1</v>
      </c>
      <c r="S6016" s="18" t="s">
        <v>30</v>
      </c>
      <c r="T6016" s="18" t="s">
        <v>40242</v>
      </c>
      <c r="U6016" s="18"/>
      <c r="V6016" s="18" t="s">
        <v>40243</v>
      </c>
      <c r="W6016" s="18" t="s">
        <v>40244</v>
      </c>
      <c r="X6016" s="18" t="s">
        <v>42</v>
      </c>
      <c r="Y6016" s="18" t="s">
        <v>12266</v>
      </c>
      <c r="Z6016" s="18" t="s">
        <v>41209</v>
      </c>
      <c r="AA6016" s="21" t="str">
        <f>HYPERLINK("https://www.ncbi.nlm.nih.gov/nuccore/OM892344","NCBI Nucleotide")</f>
        <v>NCBI Nucleotide</v>
      </c>
    </row>
    <row r="6017" spans="1:27" x14ac:dyDescent="0.35">
      <c r="A6017">
        <v>1027879</v>
      </c>
      <c r="B6017">
        <v>5755</v>
      </c>
      <c r="C6017">
        <v>1</v>
      </c>
      <c r="D6017" s="17" t="s">
        <v>10507</v>
      </c>
      <c r="E6017" s="17"/>
      <c r="F6017" s="17" t="s">
        <v>10780</v>
      </c>
      <c r="G6017" s="17"/>
      <c r="H6017" s="17" t="s">
        <v>12908</v>
      </c>
      <c r="I6017" s="17"/>
      <c r="J6017" s="17" t="s">
        <v>12909</v>
      </c>
      <c r="K6017" s="17"/>
      <c r="L6017" s="17" t="s">
        <v>13621</v>
      </c>
      <c r="M6017" s="17"/>
      <c r="N6017" s="17" t="s">
        <v>13622</v>
      </c>
      <c r="O6017" s="17"/>
      <c r="P6017" s="17" t="s">
        <v>13649</v>
      </c>
      <c r="Q6017" s="17"/>
      <c r="R6017" s="25" t="str">
        <f>HYPERLINK("https://ictv.global/taxonomy/taxondetails?taxnode_id=202317966","Dragsmacovirus cervi1")</f>
        <v>Dragsmacovirus cervi1</v>
      </c>
      <c r="S6017" s="18" t="s">
        <v>30</v>
      </c>
      <c r="T6017" s="18" t="s">
        <v>40245</v>
      </c>
      <c r="U6017" s="18"/>
      <c r="V6017" s="18" t="s">
        <v>40246</v>
      </c>
      <c r="W6017" s="18" t="s">
        <v>40247</v>
      </c>
      <c r="X6017" s="18" t="s">
        <v>42</v>
      </c>
      <c r="Y6017" s="18" t="s">
        <v>12266</v>
      </c>
      <c r="Z6017" s="18" t="s">
        <v>41209</v>
      </c>
      <c r="AA6017" s="21" t="str">
        <f>HYPERLINK("https://www.ncbi.nlm.nih.gov/nuccore/OM892357","NCBI Nucleotide")</f>
        <v>NCBI Nucleotide</v>
      </c>
    </row>
    <row r="6018" spans="1:27" x14ac:dyDescent="0.35">
      <c r="A6018">
        <v>1007476</v>
      </c>
      <c r="B6018">
        <v>5756</v>
      </c>
      <c r="C6018">
        <v>1</v>
      </c>
      <c r="D6018" s="17" t="s">
        <v>10507</v>
      </c>
      <c r="E6018" s="17"/>
      <c r="F6018" s="17" t="s">
        <v>10780</v>
      </c>
      <c r="G6018" s="17"/>
      <c r="H6018" s="17" t="s">
        <v>12908</v>
      </c>
      <c r="I6018" s="17"/>
      <c r="J6018" s="17" t="s">
        <v>12909</v>
      </c>
      <c r="K6018" s="17"/>
      <c r="L6018" s="17" t="s">
        <v>13621</v>
      </c>
      <c r="M6018" s="17"/>
      <c r="N6018" s="17" t="s">
        <v>13622</v>
      </c>
      <c r="O6018" s="17"/>
      <c r="P6018" s="17" t="s">
        <v>13649</v>
      </c>
      <c r="Q6018" s="17"/>
      <c r="R6018" s="25" t="str">
        <f>HYPERLINK("https://ictv.global/taxonomy/taxondetails?taxnode_id=202305951","Dragsmacovirus draga1")</f>
        <v>Dragsmacovirus draga1</v>
      </c>
      <c r="S6018" s="18" t="s">
        <v>30</v>
      </c>
      <c r="T6018" s="18" t="s">
        <v>13650</v>
      </c>
      <c r="U6018" s="18"/>
      <c r="V6018" s="18" t="s">
        <v>13651</v>
      </c>
      <c r="W6018" s="18" t="s">
        <v>13652</v>
      </c>
      <c r="X6018" s="18" t="s">
        <v>42</v>
      </c>
      <c r="Y6018" s="18" t="s">
        <v>12266</v>
      </c>
      <c r="Z6018" s="18" t="s">
        <v>41209</v>
      </c>
      <c r="AA6018" s="21" t="str">
        <f>HYPERLINK("https://www.ncbi.nlm.nih.gov/nuccore/KM598410","NCBI Nucleotide")</f>
        <v>NCBI Nucleotide</v>
      </c>
    </row>
    <row r="6019" spans="1:27" x14ac:dyDescent="0.35">
      <c r="A6019">
        <v>1007477</v>
      </c>
      <c r="B6019">
        <v>5757</v>
      </c>
      <c r="C6019">
        <v>1</v>
      </c>
      <c r="D6019" s="17" t="s">
        <v>10507</v>
      </c>
      <c r="E6019" s="17"/>
      <c r="F6019" s="17" t="s">
        <v>10780</v>
      </c>
      <c r="G6019" s="17"/>
      <c r="H6019" s="17" t="s">
        <v>12908</v>
      </c>
      <c r="I6019" s="17"/>
      <c r="J6019" s="17" t="s">
        <v>12909</v>
      </c>
      <c r="K6019" s="17"/>
      <c r="L6019" s="17" t="s">
        <v>13621</v>
      </c>
      <c r="M6019" s="17"/>
      <c r="N6019" s="17" t="s">
        <v>13622</v>
      </c>
      <c r="O6019" s="17"/>
      <c r="P6019" s="17" t="s">
        <v>13653</v>
      </c>
      <c r="Q6019" s="17"/>
      <c r="R6019" s="25" t="str">
        <f>HYPERLINK("https://ictv.global/taxonomy/taxondetails?taxnode_id=202305953","Drosmacovirus bovas1")</f>
        <v>Drosmacovirus bovas1</v>
      </c>
      <c r="S6019" s="18" t="s">
        <v>30</v>
      </c>
      <c r="T6019" s="18" t="s">
        <v>13654</v>
      </c>
      <c r="U6019" s="18"/>
      <c r="V6019" s="18" t="s">
        <v>13655</v>
      </c>
      <c r="W6019" s="18" t="s">
        <v>13656</v>
      </c>
      <c r="X6019" s="18" t="s">
        <v>42</v>
      </c>
      <c r="Y6019" s="18" t="s">
        <v>12266</v>
      </c>
      <c r="Z6019" s="18" t="s">
        <v>41209</v>
      </c>
      <c r="AA6019" s="21" t="str">
        <f>HYPERLINK("https://www.ncbi.nlm.nih.gov/nuccore/KT862224","NCBI Nucleotide")</f>
        <v>NCBI Nucleotide</v>
      </c>
    </row>
    <row r="6020" spans="1:27" x14ac:dyDescent="0.35">
      <c r="A6020">
        <v>1007478</v>
      </c>
      <c r="B6020">
        <v>5758</v>
      </c>
      <c r="C6020">
        <v>1</v>
      </c>
      <c r="D6020" s="17" t="s">
        <v>10507</v>
      </c>
      <c r="E6020" s="17"/>
      <c r="F6020" s="17" t="s">
        <v>10780</v>
      </c>
      <c r="G6020" s="17"/>
      <c r="H6020" s="17" t="s">
        <v>12908</v>
      </c>
      <c r="I6020" s="17"/>
      <c r="J6020" s="17" t="s">
        <v>12909</v>
      </c>
      <c r="K6020" s="17"/>
      <c r="L6020" s="17" t="s">
        <v>13621</v>
      </c>
      <c r="M6020" s="17"/>
      <c r="N6020" s="17" t="s">
        <v>13622</v>
      </c>
      <c r="O6020" s="17"/>
      <c r="P6020" s="17" t="s">
        <v>13653</v>
      </c>
      <c r="Q6020" s="17"/>
      <c r="R6020" s="25" t="str">
        <f>HYPERLINK("https://ictv.global/taxonomy/taxondetails?taxnode_id=202305954","Drosmacovirus camas1")</f>
        <v>Drosmacovirus camas1</v>
      </c>
      <c r="S6020" s="18" t="s">
        <v>30</v>
      </c>
      <c r="T6020" s="18" t="s">
        <v>13657</v>
      </c>
      <c r="U6020" s="18"/>
      <c r="V6020" s="18" t="s">
        <v>13658</v>
      </c>
      <c r="W6020" s="18" t="s">
        <v>13659</v>
      </c>
      <c r="X6020" s="18" t="s">
        <v>42</v>
      </c>
      <c r="Y6020" s="18" t="s">
        <v>12266</v>
      </c>
      <c r="Z6020" s="18" t="s">
        <v>41209</v>
      </c>
      <c r="AA6020" s="21" t="str">
        <f>HYPERLINK("https://www.ncbi.nlm.nih.gov/nuccore/KM573769","NCBI Nucleotide")</f>
        <v>NCBI Nucleotide</v>
      </c>
    </row>
    <row r="6021" spans="1:27" x14ac:dyDescent="0.35">
      <c r="A6021">
        <v>1007479</v>
      </c>
      <c r="B6021">
        <v>5759</v>
      </c>
      <c r="C6021">
        <v>1</v>
      </c>
      <c r="D6021" s="17" t="s">
        <v>10507</v>
      </c>
      <c r="E6021" s="17"/>
      <c r="F6021" s="17" t="s">
        <v>10780</v>
      </c>
      <c r="G6021" s="17"/>
      <c r="H6021" s="17" t="s">
        <v>12908</v>
      </c>
      <c r="I6021" s="17"/>
      <c r="J6021" s="17" t="s">
        <v>12909</v>
      </c>
      <c r="K6021" s="17"/>
      <c r="L6021" s="17" t="s">
        <v>13621</v>
      </c>
      <c r="M6021" s="17"/>
      <c r="N6021" s="17" t="s">
        <v>13622</v>
      </c>
      <c r="O6021" s="17"/>
      <c r="P6021" s="17" t="s">
        <v>13653</v>
      </c>
      <c r="Q6021" s="17"/>
      <c r="R6021" s="25" t="str">
        <f>HYPERLINK("https://ictv.global/taxonomy/taxondetails?taxnode_id=202305955","Drosmacovirus camas2")</f>
        <v>Drosmacovirus camas2</v>
      </c>
      <c r="S6021" s="18" t="s">
        <v>30</v>
      </c>
      <c r="T6021" s="18" t="s">
        <v>13657</v>
      </c>
      <c r="U6021" s="18"/>
      <c r="V6021" s="18" t="s">
        <v>13660</v>
      </c>
      <c r="W6021" s="18" t="s">
        <v>13661</v>
      </c>
      <c r="X6021" s="18" t="s">
        <v>42</v>
      </c>
      <c r="Y6021" s="18" t="s">
        <v>12266</v>
      </c>
      <c r="Z6021" s="18" t="s">
        <v>41209</v>
      </c>
      <c r="AA6021" s="21" t="str">
        <f>HYPERLINK("https://www.ncbi.nlm.nih.gov/nuccore/KM573774","NCBI Nucleotide")</f>
        <v>NCBI Nucleotide</v>
      </c>
    </row>
    <row r="6022" spans="1:27" x14ac:dyDescent="0.35">
      <c r="A6022">
        <v>1027874</v>
      </c>
      <c r="B6022">
        <v>5760</v>
      </c>
      <c r="C6022">
        <v>1</v>
      </c>
      <c r="D6022" s="17" t="s">
        <v>10507</v>
      </c>
      <c r="E6022" s="17"/>
      <c r="F6022" s="17" t="s">
        <v>10780</v>
      </c>
      <c r="G6022" s="17"/>
      <c r="H6022" s="17" t="s">
        <v>12908</v>
      </c>
      <c r="I6022" s="17"/>
      <c r="J6022" s="17" t="s">
        <v>12909</v>
      </c>
      <c r="K6022" s="17"/>
      <c r="L6022" s="17" t="s">
        <v>13621</v>
      </c>
      <c r="M6022" s="17"/>
      <c r="N6022" s="17" t="s">
        <v>13622</v>
      </c>
      <c r="O6022" s="17"/>
      <c r="P6022" s="17" t="s">
        <v>13653</v>
      </c>
      <c r="Q6022" s="17"/>
      <c r="R6022" s="25" t="str">
        <f>HYPERLINK("https://ictv.global/taxonomy/taxondetails?taxnode_id=202317967","Drosmacovirus camas3")</f>
        <v>Drosmacovirus camas3</v>
      </c>
      <c r="S6022" s="18" t="s">
        <v>30</v>
      </c>
      <c r="T6022" s="18" t="s">
        <v>40248</v>
      </c>
      <c r="U6022" s="18"/>
      <c r="V6022" s="18" t="s">
        <v>40249</v>
      </c>
      <c r="W6022" s="18" t="s">
        <v>40250</v>
      </c>
      <c r="X6022" s="18" t="s">
        <v>42</v>
      </c>
      <c r="Y6022" s="18" t="s">
        <v>12266</v>
      </c>
      <c r="Z6022" s="18" t="s">
        <v>41209</v>
      </c>
      <c r="AA6022" s="21" t="str">
        <f>HYPERLINK("https://www.ncbi.nlm.nih.gov/nuccore/OM892356","NCBI Nucleotide")</f>
        <v>NCBI Nucleotide</v>
      </c>
    </row>
    <row r="6023" spans="1:27" x14ac:dyDescent="0.35">
      <c r="A6023">
        <v>1027875</v>
      </c>
      <c r="B6023">
        <v>5761</v>
      </c>
      <c r="C6023">
        <v>1</v>
      </c>
      <c r="D6023" s="17" t="s">
        <v>10507</v>
      </c>
      <c r="E6023" s="17"/>
      <c r="F6023" s="17" t="s">
        <v>10780</v>
      </c>
      <c r="G6023" s="17"/>
      <c r="H6023" s="17" t="s">
        <v>12908</v>
      </c>
      <c r="I6023" s="17"/>
      <c r="J6023" s="17" t="s">
        <v>12909</v>
      </c>
      <c r="K6023" s="17"/>
      <c r="L6023" s="17" t="s">
        <v>13621</v>
      </c>
      <c r="M6023" s="17"/>
      <c r="N6023" s="17" t="s">
        <v>13622</v>
      </c>
      <c r="O6023" s="17"/>
      <c r="P6023" s="17" t="s">
        <v>13653</v>
      </c>
      <c r="Q6023" s="17"/>
      <c r="R6023" s="25" t="str">
        <f>HYPERLINK("https://ictv.global/taxonomy/taxondetails?taxnode_id=202317968","Drosmacovirus cervi1")</f>
        <v>Drosmacovirus cervi1</v>
      </c>
      <c r="S6023" s="18" t="s">
        <v>30</v>
      </c>
      <c r="T6023" s="18" t="s">
        <v>40251</v>
      </c>
      <c r="U6023" s="18"/>
      <c r="V6023" s="18" t="s">
        <v>40252</v>
      </c>
      <c r="W6023" s="18" t="s">
        <v>40253</v>
      </c>
      <c r="X6023" s="18" t="s">
        <v>42</v>
      </c>
      <c r="Y6023" s="18" t="s">
        <v>12266</v>
      </c>
      <c r="Z6023" s="18" t="s">
        <v>41209</v>
      </c>
      <c r="AA6023" s="21" t="str">
        <f>HYPERLINK("https://www.ncbi.nlm.nih.gov/nuccore/MN621468","NCBI Nucleotide")</f>
        <v>NCBI Nucleotide</v>
      </c>
    </row>
    <row r="6024" spans="1:27" x14ac:dyDescent="0.35">
      <c r="A6024">
        <v>1027876</v>
      </c>
      <c r="B6024">
        <v>5762</v>
      </c>
      <c r="C6024">
        <v>1</v>
      </c>
      <c r="D6024" s="17" t="s">
        <v>10507</v>
      </c>
      <c r="E6024" s="17"/>
      <c r="F6024" s="17" t="s">
        <v>10780</v>
      </c>
      <c r="G6024" s="17"/>
      <c r="H6024" s="17" t="s">
        <v>12908</v>
      </c>
      <c r="I6024" s="17"/>
      <c r="J6024" s="17" t="s">
        <v>12909</v>
      </c>
      <c r="K6024" s="17"/>
      <c r="L6024" s="17" t="s">
        <v>13621</v>
      </c>
      <c r="M6024" s="17"/>
      <c r="N6024" s="17" t="s">
        <v>13622</v>
      </c>
      <c r="O6024" s="17"/>
      <c r="P6024" s="17" t="s">
        <v>13653</v>
      </c>
      <c r="Q6024" s="17"/>
      <c r="R6024" s="25" t="str">
        <f>HYPERLINK("https://ictv.global/taxonomy/taxondetails?taxnode_id=202317969","Drosmacovirus kobus1")</f>
        <v>Drosmacovirus kobus1</v>
      </c>
      <c r="S6024" s="18" t="s">
        <v>30</v>
      </c>
      <c r="T6024" s="18" t="s">
        <v>40254</v>
      </c>
      <c r="U6024" s="18"/>
      <c r="V6024" s="18" t="s">
        <v>40255</v>
      </c>
      <c r="W6024" s="18" t="s">
        <v>40256</v>
      </c>
      <c r="X6024" s="18" t="s">
        <v>42</v>
      </c>
      <c r="Y6024" s="18" t="s">
        <v>12266</v>
      </c>
      <c r="Z6024" s="18" t="s">
        <v>41209</v>
      </c>
      <c r="AA6024" s="21" t="str">
        <f>HYPERLINK("https://www.ncbi.nlm.nih.gov/nuccore/OM892355","NCBI Nucleotide")</f>
        <v>NCBI Nucleotide</v>
      </c>
    </row>
    <row r="6025" spans="1:27" x14ac:dyDescent="0.35">
      <c r="A6025">
        <v>1027877</v>
      </c>
      <c r="B6025">
        <v>5763</v>
      </c>
      <c r="C6025">
        <v>1</v>
      </c>
      <c r="D6025" s="17" t="s">
        <v>10507</v>
      </c>
      <c r="E6025" s="17"/>
      <c r="F6025" s="17" t="s">
        <v>10780</v>
      </c>
      <c r="G6025" s="17"/>
      <c r="H6025" s="17" t="s">
        <v>12908</v>
      </c>
      <c r="I6025" s="17"/>
      <c r="J6025" s="17" t="s">
        <v>12909</v>
      </c>
      <c r="K6025" s="17"/>
      <c r="L6025" s="17" t="s">
        <v>13621</v>
      </c>
      <c r="M6025" s="17"/>
      <c r="N6025" s="17" t="s">
        <v>13622</v>
      </c>
      <c r="O6025" s="17"/>
      <c r="P6025" s="17" t="s">
        <v>13653</v>
      </c>
      <c r="Q6025" s="17"/>
      <c r="R6025" s="25" t="str">
        <f>HYPERLINK("https://ictv.global/taxonomy/taxondetails?taxnode_id=202317970","Drosmacovirus macro1")</f>
        <v>Drosmacovirus macro1</v>
      </c>
      <c r="S6025" s="18" t="s">
        <v>30</v>
      </c>
      <c r="T6025" s="18" t="s">
        <v>40257</v>
      </c>
      <c r="U6025" s="18"/>
      <c r="V6025" s="18" t="s">
        <v>40258</v>
      </c>
      <c r="W6025" s="18" t="s">
        <v>40259</v>
      </c>
      <c r="X6025" s="18" t="s">
        <v>42</v>
      </c>
      <c r="Y6025" s="18" t="s">
        <v>12266</v>
      </c>
      <c r="Z6025" s="18" t="s">
        <v>41209</v>
      </c>
      <c r="AA6025" s="21" t="str">
        <f>HYPERLINK("https://www.ncbi.nlm.nih.gov/nuccore/OM892353","NCBI Nucleotide")</f>
        <v>NCBI Nucleotide</v>
      </c>
    </row>
    <row r="6026" spans="1:27" x14ac:dyDescent="0.35">
      <c r="A6026">
        <v>1027881</v>
      </c>
      <c r="B6026">
        <v>5764</v>
      </c>
      <c r="C6026">
        <v>1</v>
      </c>
      <c r="D6026" s="17" t="s">
        <v>10507</v>
      </c>
      <c r="E6026" s="17"/>
      <c r="F6026" s="17" t="s">
        <v>10780</v>
      </c>
      <c r="G6026" s="17"/>
      <c r="H6026" s="17" t="s">
        <v>12908</v>
      </c>
      <c r="I6026" s="17"/>
      <c r="J6026" s="17" t="s">
        <v>12909</v>
      </c>
      <c r="K6026" s="17"/>
      <c r="L6026" s="17" t="s">
        <v>13621</v>
      </c>
      <c r="M6026" s="17"/>
      <c r="N6026" s="17" t="s">
        <v>13622</v>
      </c>
      <c r="O6026" s="17"/>
      <c r="P6026" s="17" t="s">
        <v>13662</v>
      </c>
      <c r="Q6026" s="17"/>
      <c r="R6026" s="25" t="str">
        <f>HYPERLINK("https://ictv.global/taxonomy/taxondetails?taxnode_id=202317972","Felismacovirus avias1")</f>
        <v>Felismacovirus avias1</v>
      </c>
      <c r="S6026" s="18" t="s">
        <v>30</v>
      </c>
      <c r="T6026" s="18" t="s">
        <v>40260</v>
      </c>
      <c r="U6026" s="18"/>
      <c r="V6026" s="18" t="s">
        <v>40261</v>
      </c>
      <c r="W6026" s="18" t="s">
        <v>40262</v>
      </c>
      <c r="X6026" s="18" t="s">
        <v>42</v>
      </c>
      <c r="Y6026" s="18" t="s">
        <v>12266</v>
      </c>
      <c r="Z6026" s="18" t="s">
        <v>41209</v>
      </c>
      <c r="AA6026" s="21" t="str">
        <f>HYPERLINK("https://www.ncbi.nlm.nih.gov/nuccore/MT138081","NCBI Nucleotide")</f>
        <v>NCBI Nucleotide</v>
      </c>
    </row>
    <row r="6027" spans="1:27" x14ac:dyDescent="0.35">
      <c r="A6027">
        <v>1027882</v>
      </c>
      <c r="B6027">
        <v>5765</v>
      </c>
      <c r="C6027">
        <v>1</v>
      </c>
      <c r="D6027" s="17" t="s">
        <v>10507</v>
      </c>
      <c r="E6027" s="17"/>
      <c r="F6027" s="17" t="s">
        <v>10780</v>
      </c>
      <c r="G6027" s="17"/>
      <c r="H6027" s="17" t="s">
        <v>12908</v>
      </c>
      <c r="I6027" s="17"/>
      <c r="J6027" s="17" t="s">
        <v>12909</v>
      </c>
      <c r="K6027" s="17"/>
      <c r="L6027" s="17" t="s">
        <v>13621</v>
      </c>
      <c r="M6027" s="17"/>
      <c r="N6027" s="17" t="s">
        <v>13622</v>
      </c>
      <c r="O6027" s="17"/>
      <c r="P6027" s="17" t="s">
        <v>13662</v>
      </c>
      <c r="Q6027" s="17"/>
      <c r="R6027" s="25" t="str">
        <f>HYPERLINK("https://ictv.global/taxonomy/taxondetails?taxnode_id=202317971","Felismacovirus avias2")</f>
        <v>Felismacovirus avias2</v>
      </c>
      <c r="S6027" s="18" t="s">
        <v>30</v>
      </c>
      <c r="T6027" s="18" t="s">
        <v>40263</v>
      </c>
      <c r="U6027" s="18"/>
      <c r="V6027" s="18" t="s">
        <v>40264</v>
      </c>
      <c r="W6027" s="18" t="s">
        <v>40265</v>
      </c>
      <c r="X6027" s="18" t="s">
        <v>42</v>
      </c>
      <c r="Y6027" s="18" t="s">
        <v>12266</v>
      </c>
      <c r="Z6027" s="18" t="s">
        <v>41209</v>
      </c>
      <c r="AA6027" s="21" t="str">
        <f>HYPERLINK("https://www.ncbi.nlm.nih.gov/nuccore/MT138076","NCBI Nucleotide")</f>
        <v>NCBI Nucleotide</v>
      </c>
    </row>
    <row r="6028" spans="1:27" x14ac:dyDescent="0.35">
      <c r="A6028">
        <v>1027883</v>
      </c>
      <c r="B6028">
        <v>5766</v>
      </c>
      <c r="C6028">
        <v>1</v>
      </c>
      <c r="D6028" s="17" t="s">
        <v>10507</v>
      </c>
      <c r="E6028" s="17"/>
      <c r="F6028" s="17" t="s">
        <v>10780</v>
      </c>
      <c r="G6028" s="17"/>
      <c r="H6028" s="17" t="s">
        <v>12908</v>
      </c>
      <c r="I6028" s="17"/>
      <c r="J6028" s="17" t="s">
        <v>12909</v>
      </c>
      <c r="K6028" s="17"/>
      <c r="L6028" s="17" t="s">
        <v>13621</v>
      </c>
      <c r="M6028" s="17"/>
      <c r="N6028" s="17" t="s">
        <v>13622</v>
      </c>
      <c r="O6028" s="17"/>
      <c r="P6028" s="17" t="s">
        <v>13662</v>
      </c>
      <c r="Q6028" s="17"/>
      <c r="R6028" s="25" t="str">
        <f>HYPERLINK("https://ictv.global/taxonomy/taxondetails?taxnode_id=202317973","Felismacovirus babas1")</f>
        <v>Felismacovirus babas1</v>
      </c>
      <c r="S6028" s="18" t="s">
        <v>30</v>
      </c>
      <c r="T6028" s="18" t="s">
        <v>40266</v>
      </c>
      <c r="U6028" s="18"/>
      <c r="V6028" s="18" t="s">
        <v>40267</v>
      </c>
      <c r="W6028" s="18" t="s">
        <v>40268</v>
      </c>
      <c r="X6028" s="18" t="s">
        <v>42</v>
      </c>
      <c r="Y6028" s="18" t="s">
        <v>12266</v>
      </c>
      <c r="Z6028" s="18" t="s">
        <v>41209</v>
      </c>
      <c r="AA6028" s="21" t="str">
        <f>HYPERLINK("https://www.ncbi.nlm.nih.gov/nuccore/LC386203","NCBI Nucleotide")</f>
        <v>NCBI Nucleotide</v>
      </c>
    </row>
    <row r="6029" spans="1:27" x14ac:dyDescent="0.35">
      <c r="A6029">
        <v>1027884</v>
      </c>
      <c r="B6029">
        <v>5767</v>
      </c>
      <c r="C6029">
        <v>1</v>
      </c>
      <c r="D6029" s="17" t="s">
        <v>10507</v>
      </c>
      <c r="E6029" s="17"/>
      <c r="F6029" s="17" t="s">
        <v>10780</v>
      </c>
      <c r="G6029" s="17"/>
      <c r="H6029" s="17" t="s">
        <v>12908</v>
      </c>
      <c r="I6029" s="17"/>
      <c r="J6029" s="17" t="s">
        <v>12909</v>
      </c>
      <c r="K6029" s="17"/>
      <c r="L6029" s="17" t="s">
        <v>13621</v>
      </c>
      <c r="M6029" s="17"/>
      <c r="N6029" s="17" t="s">
        <v>13622</v>
      </c>
      <c r="O6029" s="17"/>
      <c r="P6029" s="17" t="s">
        <v>13662</v>
      </c>
      <c r="Q6029" s="17"/>
      <c r="R6029" s="25" t="str">
        <f>HYPERLINK("https://ictv.global/taxonomy/taxondetails?taxnode_id=202317974","Felismacovirus canid1")</f>
        <v>Felismacovirus canid1</v>
      </c>
      <c r="S6029" s="18" t="s">
        <v>30</v>
      </c>
      <c r="T6029" s="18" t="s">
        <v>40269</v>
      </c>
      <c r="U6029" s="18"/>
      <c r="V6029" s="18" t="s">
        <v>40270</v>
      </c>
      <c r="W6029" s="18" t="s">
        <v>40271</v>
      </c>
      <c r="X6029" s="18" t="s">
        <v>42</v>
      </c>
      <c r="Y6029" s="18" t="s">
        <v>12266</v>
      </c>
      <c r="Z6029" s="18" t="s">
        <v>41209</v>
      </c>
      <c r="AA6029" s="21" t="str">
        <f>HYPERLINK("https://www.ncbi.nlm.nih.gov/nuccore/MT457880","NCBI Nucleotide")</f>
        <v>NCBI Nucleotide</v>
      </c>
    </row>
    <row r="6030" spans="1:27" x14ac:dyDescent="0.35">
      <c r="A6030">
        <v>1027885</v>
      </c>
      <c r="B6030">
        <v>5768</v>
      </c>
      <c r="C6030">
        <v>1</v>
      </c>
      <c r="D6030" s="17" t="s">
        <v>10507</v>
      </c>
      <c r="E6030" s="17"/>
      <c r="F6030" s="17" t="s">
        <v>10780</v>
      </c>
      <c r="G6030" s="17"/>
      <c r="H6030" s="17" t="s">
        <v>12908</v>
      </c>
      <c r="I6030" s="17"/>
      <c r="J6030" s="17" t="s">
        <v>12909</v>
      </c>
      <c r="K6030" s="17"/>
      <c r="L6030" s="17" t="s">
        <v>13621</v>
      </c>
      <c r="M6030" s="17"/>
      <c r="N6030" s="17" t="s">
        <v>13622</v>
      </c>
      <c r="O6030" s="17"/>
      <c r="P6030" s="17" t="s">
        <v>13662</v>
      </c>
      <c r="Q6030" s="17"/>
      <c r="R6030" s="25" t="str">
        <f>HYPERLINK("https://ictv.global/taxonomy/taxondetails?taxnode_id=202317975","Felismacovirus cervi1")</f>
        <v>Felismacovirus cervi1</v>
      </c>
      <c r="S6030" s="18" t="s">
        <v>30</v>
      </c>
      <c r="T6030" s="18" t="s">
        <v>40272</v>
      </c>
      <c r="U6030" s="18"/>
      <c r="V6030" s="18" t="s">
        <v>40273</v>
      </c>
      <c r="W6030" s="18" t="s">
        <v>40274</v>
      </c>
      <c r="X6030" s="18" t="s">
        <v>42</v>
      </c>
      <c r="Y6030" s="18" t="s">
        <v>12266</v>
      </c>
      <c r="Z6030" s="18" t="s">
        <v>41209</v>
      </c>
      <c r="AA6030" s="21" t="str">
        <f>HYPERLINK("https://www.ncbi.nlm.nih.gov/nuccore/OM892358","NCBI Nucleotide")</f>
        <v>NCBI Nucleotide</v>
      </c>
    </row>
    <row r="6031" spans="1:27" x14ac:dyDescent="0.35">
      <c r="A6031">
        <v>1027886</v>
      </c>
      <c r="B6031">
        <v>5769</v>
      </c>
      <c r="C6031">
        <v>1</v>
      </c>
      <c r="D6031" s="17" t="s">
        <v>10507</v>
      </c>
      <c r="E6031" s="17"/>
      <c r="F6031" s="17" t="s">
        <v>10780</v>
      </c>
      <c r="G6031" s="17"/>
      <c r="H6031" s="17" t="s">
        <v>12908</v>
      </c>
      <c r="I6031" s="17"/>
      <c r="J6031" s="17" t="s">
        <v>12909</v>
      </c>
      <c r="K6031" s="17"/>
      <c r="L6031" s="17" t="s">
        <v>13621</v>
      </c>
      <c r="M6031" s="17"/>
      <c r="N6031" s="17" t="s">
        <v>13622</v>
      </c>
      <c r="O6031" s="17"/>
      <c r="P6031" s="17" t="s">
        <v>13662</v>
      </c>
      <c r="Q6031" s="17"/>
      <c r="R6031" s="25" t="str">
        <f>HYPERLINK("https://ictv.global/taxonomy/taxondetails?taxnode_id=202317976","Felismacovirus chicas1")</f>
        <v>Felismacovirus chicas1</v>
      </c>
      <c r="S6031" s="18" t="s">
        <v>30</v>
      </c>
      <c r="T6031" s="18" t="s">
        <v>40275</v>
      </c>
      <c r="U6031" s="18"/>
      <c r="V6031" s="18" t="s">
        <v>40276</v>
      </c>
      <c r="W6031" s="18" t="s">
        <v>40277</v>
      </c>
      <c r="X6031" s="18" t="s">
        <v>42</v>
      </c>
      <c r="Y6031" s="18" t="s">
        <v>12266</v>
      </c>
      <c r="Z6031" s="18" t="s">
        <v>41209</v>
      </c>
      <c r="AA6031" s="21" t="str">
        <f>HYPERLINK("https://www.ncbi.nlm.nih.gov/nuccore/OM849239","NCBI Nucleotide")</f>
        <v>NCBI Nucleotide</v>
      </c>
    </row>
    <row r="6032" spans="1:27" x14ac:dyDescent="0.35">
      <c r="A6032">
        <v>1027887</v>
      </c>
      <c r="B6032">
        <v>5770</v>
      </c>
      <c r="C6032">
        <v>1</v>
      </c>
      <c r="D6032" s="17" t="s">
        <v>10507</v>
      </c>
      <c r="E6032" s="17"/>
      <c r="F6032" s="17" t="s">
        <v>10780</v>
      </c>
      <c r="G6032" s="17"/>
      <c r="H6032" s="17" t="s">
        <v>12908</v>
      </c>
      <c r="I6032" s="17"/>
      <c r="J6032" s="17" t="s">
        <v>12909</v>
      </c>
      <c r="K6032" s="17"/>
      <c r="L6032" s="17" t="s">
        <v>13621</v>
      </c>
      <c r="M6032" s="17"/>
      <c r="N6032" s="17" t="s">
        <v>13622</v>
      </c>
      <c r="O6032" s="17"/>
      <c r="P6032" s="17" t="s">
        <v>13662</v>
      </c>
      <c r="Q6032" s="17"/>
      <c r="R6032" s="25" t="str">
        <f>HYPERLINK("https://ictv.global/taxonomy/taxondetails?taxnode_id=202317977","Felismacovirus chicas2")</f>
        <v>Felismacovirus chicas2</v>
      </c>
      <c r="S6032" s="18" t="s">
        <v>30</v>
      </c>
      <c r="T6032" s="18" t="s">
        <v>40278</v>
      </c>
      <c r="U6032" s="18"/>
      <c r="V6032" s="18" t="s">
        <v>40279</v>
      </c>
      <c r="W6032" s="18" t="s">
        <v>40280</v>
      </c>
      <c r="X6032" s="18" t="s">
        <v>42</v>
      </c>
      <c r="Y6032" s="18" t="s">
        <v>12266</v>
      </c>
      <c r="Z6032" s="18" t="s">
        <v>41209</v>
      </c>
      <c r="AA6032" s="21" t="str">
        <f>HYPERLINK("https://www.ncbi.nlm.nih.gov/nuccore/MN379594","NCBI Nucleotide")</f>
        <v>NCBI Nucleotide</v>
      </c>
    </row>
    <row r="6033" spans="1:27" x14ac:dyDescent="0.35">
      <c r="A6033">
        <v>1027888</v>
      </c>
      <c r="B6033">
        <v>5771</v>
      </c>
      <c r="C6033">
        <v>1</v>
      </c>
      <c r="D6033" s="17" t="s">
        <v>10507</v>
      </c>
      <c r="E6033" s="17"/>
      <c r="F6033" s="17" t="s">
        <v>10780</v>
      </c>
      <c r="G6033" s="17"/>
      <c r="H6033" s="17" t="s">
        <v>12908</v>
      </c>
      <c r="I6033" s="17"/>
      <c r="J6033" s="17" t="s">
        <v>12909</v>
      </c>
      <c r="K6033" s="17"/>
      <c r="L6033" s="17" t="s">
        <v>13621</v>
      </c>
      <c r="M6033" s="17"/>
      <c r="N6033" s="17" t="s">
        <v>13622</v>
      </c>
      <c r="O6033" s="17"/>
      <c r="P6033" s="17" t="s">
        <v>13662</v>
      </c>
      <c r="Q6033" s="17"/>
      <c r="R6033" s="25" t="str">
        <f>HYPERLINK("https://ictv.global/taxonomy/taxondetails?taxnode_id=202317978","Felismacovirus chicas3")</f>
        <v>Felismacovirus chicas3</v>
      </c>
      <c r="S6033" s="18" t="s">
        <v>30</v>
      </c>
      <c r="T6033" s="18" t="s">
        <v>40281</v>
      </c>
      <c r="U6033" s="18"/>
      <c r="V6033" s="18" t="s">
        <v>40282</v>
      </c>
      <c r="W6033" s="18" t="s">
        <v>40283</v>
      </c>
      <c r="X6033" s="18" t="s">
        <v>42</v>
      </c>
      <c r="Y6033" s="18" t="s">
        <v>12266</v>
      </c>
      <c r="Z6033" s="18" t="s">
        <v>41209</v>
      </c>
      <c r="AA6033" s="21" t="str">
        <f>HYPERLINK("https://www.ncbi.nlm.nih.gov/nuccore/MN379595","NCBI Nucleotide")</f>
        <v>NCBI Nucleotide</v>
      </c>
    </row>
    <row r="6034" spans="1:27" x14ac:dyDescent="0.35">
      <c r="A6034">
        <v>1007480</v>
      </c>
      <c r="B6034">
        <v>5772</v>
      </c>
      <c r="C6034">
        <v>1</v>
      </c>
      <c r="D6034" s="17" t="s">
        <v>10507</v>
      </c>
      <c r="E6034" s="17"/>
      <c r="F6034" s="17" t="s">
        <v>10780</v>
      </c>
      <c r="G6034" s="17"/>
      <c r="H6034" s="17" t="s">
        <v>12908</v>
      </c>
      <c r="I6034" s="17"/>
      <c r="J6034" s="17" t="s">
        <v>12909</v>
      </c>
      <c r="K6034" s="17"/>
      <c r="L6034" s="17" t="s">
        <v>13621</v>
      </c>
      <c r="M6034" s="17"/>
      <c r="N6034" s="17" t="s">
        <v>13622</v>
      </c>
      <c r="O6034" s="17"/>
      <c r="P6034" s="17" t="s">
        <v>13662</v>
      </c>
      <c r="Q6034" s="17"/>
      <c r="R6034" s="25" t="str">
        <f>HYPERLINK("https://ictv.global/taxonomy/taxondetails?taxnode_id=202309509","Felismacovirus lynas1")</f>
        <v>Felismacovirus lynas1</v>
      </c>
      <c r="S6034" s="18" t="s">
        <v>30</v>
      </c>
      <c r="T6034" s="18" t="s">
        <v>13663</v>
      </c>
      <c r="U6034" s="18"/>
      <c r="V6034" s="18" t="s">
        <v>13664</v>
      </c>
      <c r="W6034" s="18" t="s">
        <v>13665</v>
      </c>
      <c r="X6034" s="18" t="s">
        <v>42</v>
      </c>
      <c r="Y6034" s="18" t="s">
        <v>12266</v>
      </c>
      <c r="Z6034" s="18" t="s">
        <v>41209</v>
      </c>
      <c r="AA6034" s="21" t="str">
        <f>HYPERLINK("https://www.ncbi.nlm.nih.gov/nuccore/MK796234","NCBI Nucleotide")</f>
        <v>NCBI Nucleotide</v>
      </c>
    </row>
    <row r="6035" spans="1:27" x14ac:dyDescent="0.35">
      <c r="A6035">
        <v>1027889</v>
      </c>
      <c r="B6035">
        <v>5773</v>
      </c>
      <c r="C6035">
        <v>1</v>
      </c>
      <c r="D6035" s="17" t="s">
        <v>10507</v>
      </c>
      <c r="E6035" s="17"/>
      <c r="F6035" s="17" t="s">
        <v>10780</v>
      </c>
      <c r="G6035" s="17"/>
      <c r="H6035" s="17" t="s">
        <v>12908</v>
      </c>
      <c r="I6035" s="17"/>
      <c r="J6035" s="17" t="s">
        <v>12909</v>
      </c>
      <c r="K6035" s="17"/>
      <c r="L6035" s="17" t="s">
        <v>13621</v>
      </c>
      <c r="M6035" s="17"/>
      <c r="N6035" s="17" t="s">
        <v>13622</v>
      </c>
      <c r="O6035" s="17"/>
      <c r="P6035" s="17" t="s">
        <v>13662</v>
      </c>
      <c r="Q6035" s="17"/>
      <c r="R6035" s="25" t="str">
        <f>HYPERLINK("https://ictv.global/taxonomy/taxondetails?taxnode_id=202317979","Felismacovirus macas1")</f>
        <v>Felismacovirus macas1</v>
      </c>
      <c r="S6035" s="18" t="s">
        <v>30</v>
      </c>
      <c r="T6035" s="18" t="s">
        <v>40284</v>
      </c>
      <c r="U6035" s="18"/>
      <c r="V6035" s="18" t="s">
        <v>40285</v>
      </c>
      <c r="W6035" s="18" t="s">
        <v>40286</v>
      </c>
      <c r="X6035" s="18" t="s">
        <v>42</v>
      </c>
      <c r="Y6035" s="18" t="s">
        <v>12266</v>
      </c>
      <c r="Z6035" s="18" t="s">
        <v>41209</v>
      </c>
      <c r="AA6035" s="21" t="str">
        <f>HYPERLINK("https://www.ncbi.nlm.nih.gov/nuccore/KU043448","NCBI Nucleotide")</f>
        <v>NCBI Nucleotide</v>
      </c>
    </row>
    <row r="6036" spans="1:27" x14ac:dyDescent="0.35">
      <c r="A6036">
        <v>1027890</v>
      </c>
      <c r="B6036">
        <v>5774</v>
      </c>
      <c r="C6036">
        <v>1</v>
      </c>
      <c r="D6036" s="17" t="s">
        <v>10507</v>
      </c>
      <c r="E6036" s="17"/>
      <c r="F6036" s="17" t="s">
        <v>10780</v>
      </c>
      <c r="G6036" s="17"/>
      <c r="H6036" s="17" t="s">
        <v>12908</v>
      </c>
      <c r="I6036" s="17"/>
      <c r="J6036" s="17" t="s">
        <v>12909</v>
      </c>
      <c r="K6036" s="17"/>
      <c r="L6036" s="17" t="s">
        <v>13621</v>
      </c>
      <c r="M6036" s="17"/>
      <c r="N6036" s="17" t="s">
        <v>13622</v>
      </c>
      <c r="O6036" s="17"/>
      <c r="P6036" s="17" t="s">
        <v>13662</v>
      </c>
      <c r="Q6036" s="17"/>
      <c r="R6036" s="25" t="str">
        <f>HYPERLINK("https://ictv.global/taxonomy/taxondetails?taxnode_id=202317980","Felismacovirus macro1")</f>
        <v>Felismacovirus macro1</v>
      </c>
      <c r="S6036" s="18" t="s">
        <v>30</v>
      </c>
      <c r="T6036" s="18" t="s">
        <v>40287</v>
      </c>
      <c r="U6036" s="18"/>
      <c r="V6036" s="18" t="s">
        <v>40288</v>
      </c>
      <c r="W6036" s="18" t="s">
        <v>40289</v>
      </c>
      <c r="X6036" s="18" t="s">
        <v>42</v>
      </c>
      <c r="Y6036" s="18" t="s">
        <v>12266</v>
      </c>
      <c r="Z6036" s="18" t="s">
        <v>41209</v>
      </c>
      <c r="AA6036" s="21" t="str">
        <f>HYPERLINK("https://www.ncbi.nlm.nih.gov/nuccore/OM892351","NCBI Nucleotide")</f>
        <v>NCBI Nucleotide</v>
      </c>
    </row>
    <row r="6037" spans="1:27" x14ac:dyDescent="0.35">
      <c r="A6037">
        <v>1027891</v>
      </c>
      <c r="B6037">
        <v>5775</v>
      </c>
      <c r="C6037">
        <v>1</v>
      </c>
      <c r="D6037" s="17" t="s">
        <v>10507</v>
      </c>
      <c r="E6037" s="17"/>
      <c r="F6037" s="17" t="s">
        <v>10780</v>
      </c>
      <c r="G6037" s="17"/>
      <c r="H6037" s="17" t="s">
        <v>12908</v>
      </c>
      <c r="I6037" s="17"/>
      <c r="J6037" s="17" t="s">
        <v>12909</v>
      </c>
      <c r="K6037" s="17"/>
      <c r="L6037" s="17" t="s">
        <v>13621</v>
      </c>
      <c r="M6037" s="17"/>
      <c r="N6037" s="17" t="s">
        <v>13622</v>
      </c>
      <c r="O6037" s="17"/>
      <c r="P6037" s="17" t="s">
        <v>13662</v>
      </c>
      <c r="Q6037" s="17"/>
      <c r="R6037" s="25" t="str">
        <f>HYPERLINK("https://ictv.global/taxonomy/taxondetails?taxnode_id=202317981","Felismacovirus porci1")</f>
        <v>Felismacovirus porci1</v>
      </c>
      <c r="S6037" s="18" t="s">
        <v>30</v>
      </c>
      <c r="T6037" s="18" t="s">
        <v>40290</v>
      </c>
      <c r="U6037" s="18"/>
      <c r="V6037" s="18" t="s">
        <v>40291</v>
      </c>
      <c r="W6037" s="18" t="s">
        <v>40292</v>
      </c>
      <c r="X6037" s="18" t="s">
        <v>42</v>
      </c>
      <c r="Y6037" s="18" t="s">
        <v>12266</v>
      </c>
      <c r="Z6037" s="18" t="s">
        <v>41209</v>
      </c>
      <c r="AA6037" s="21" t="str">
        <f>HYPERLINK("https://www.ncbi.nlm.nih.gov/nuccore/MH111079","NCBI Nucleotide")</f>
        <v>NCBI Nucleotide</v>
      </c>
    </row>
    <row r="6038" spans="1:27" x14ac:dyDescent="0.35">
      <c r="A6038">
        <v>1027893</v>
      </c>
      <c r="B6038">
        <v>5776</v>
      </c>
      <c r="C6038">
        <v>1</v>
      </c>
      <c r="D6038" s="17" t="s">
        <v>10507</v>
      </c>
      <c r="E6038" s="17"/>
      <c r="F6038" s="17" t="s">
        <v>10780</v>
      </c>
      <c r="G6038" s="17"/>
      <c r="H6038" s="17" t="s">
        <v>12908</v>
      </c>
      <c r="I6038" s="17"/>
      <c r="J6038" s="17" t="s">
        <v>12909</v>
      </c>
      <c r="K6038" s="17"/>
      <c r="L6038" s="17" t="s">
        <v>13621</v>
      </c>
      <c r="M6038" s="17"/>
      <c r="N6038" s="17" t="s">
        <v>13622</v>
      </c>
      <c r="O6038" s="17"/>
      <c r="P6038" s="17" t="s">
        <v>13662</v>
      </c>
      <c r="Q6038" s="17"/>
      <c r="R6038" s="25" t="str">
        <f>HYPERLINK("https://ictv.global/taxonomy/taxondetails?taxnode_id=202317983","Felismacovirus porci2")</f>
        <v>Felismacovirus porci2</v>
      </c>
      <c r="S6038" s="18" t="s">
        <v>30</v>
      </c>
      <c r="T6038" s="18" t="s">
        <v>40293</v>
      </c>
      <c r="U6038" s="18"/>
      <c r="V6038" s="18" t="s">
        <v>40294</v>
      </c>
      <c r="W6038" s="18" t="s">
        <v>40295</v>
      </c>
      <c r="X6038" s="18" t="s">
        <v>42</v>
      </c>
      <c r="Y6038" s="18" t="s">
        <v>12266</v>
      </c>
      <c r="Z6038" s="18" t="s">
        <v>41209</v>
      </c>
      <c r="AA6038" s="21" t="str">
        <f>HYPERLINK("https://www.ncbi.nlm.nih.gov/nuccore/MH111084","NCBI Nucleotide")</f>
        <v>NCBI Nucleotide</v>
      </c>
    </row>
    <row r="6039" spans="1:27" x14ac:dyDescent="0.35">
      <c r="A6039">
        <v>1027894</v>
      </c>
      <c r="B6039">
        <v>5777</v>
      </c>
      <c r="C6039">
        <v>1</v>
      </c>
      <c r="D6039" s="17" t="s">
        <v>10507</v>
      </c>
      <c r="E6039" s="17"/>
      <c r="F6039" s="17" t="s">
        <v>10780</v>
      </c>
      <c r="G6039" s="17"/>
      <c r="H6039" s="17" t="s">
        <v>12908</v>
      </c>
      <c r="I6039" s="17"/>
      <c r="J6039" s="17" t="s">
        <v>12909</v>
      </c>
      <c r="K6039" s="17"/>
      <c r="L6039" s="17" t="s">
        <v>13621</v>
      </c>
      <c r="M6039" s="17"/>
      <c r="N6039" s="17" t="s">
        <v>13622</v>
      </c>
      <c r="O6039" s="17"/>
      <c r="P6039" s="17" t="s">
        <v>13662</v>
      </c>
      <c r="Q6039" s="17"/>
      <c r="R6039" s="25" t="str">
        <f>HYPERLINK("https://ictv.global/taxonomy/taxondetails?taxnode_id=202317984","Felismacovirus porci3")</f>
        <v>Felismacovirus porci3</v>
      </c>
      <c r="S6039" s="18" t="s">
        <v>30</v>
      </c>
      <c r="T6039" s="18" t="s">
        <v>40296</v>
      </c>
      <c r="U6039" s="18"/>
      <c r="V6039" s="18" t="s">
        <v>40297</v>
      </c>
      <c r="W6039" s="18" t="s">
        <v>40298</v>
      </c>
      <c r="X6039" s="18" t="s">
        <v>42</v>
      </c>
      <c r="Y6039" s="18" t="s">
        <v>12266</v>
      </c>
      <c r="Z6039" s="18" t="s">
        <v>41209</v>
      </c>
      <c r="AA6039" s="21" t="str">
        <f>HYPERLINK("https://www.ncbi.nlm.nih.gov/nuccore/MH111082","NCBI Nucleotide")</f>
        <v>NCBI Nucleotide</v>
      </c>
    </row>
    <row r="6040" spans="1:27" x14ac:dyDescent="0.35">
      <c r="A6040">
        <v>1027895</v>
      </c>
      <c r="B6040">
        <v>5778</v>
      </c>
      <c r="C6040">
        <v>1</v>
      </c>
      <c r="D6040" s="17" t="s">
        <v>10507</v>
      </c>
      <c r="E6040" s="17"/>
      <c r="F6040" s="17" t="s">
        <v>10780</v>
      </c>
      <c r="G6040" s="17"/>
      <c r="H6040" s="17" t="s">
        <v>12908</v>
      </c>
      <c r="I6040" s="17"/>
      <c r="J6040" s="17" t="s">
        <v>12909</v>
      </c>
      <c r="K6040" s="17"/>
      <c r="L6040" s="17" t="s">
        <v>13621</v>
      </c>
      <c r="M6040" s="17"/>
      <c r="N6040" s="17" t="s">
        <v>13622</v>
      </c>
      <c r="O6040" s="17"/>
      <c r="P6040" s="17" t="s">
        <v>13662</v>
      </c>
      <c r="Q6040" s="17"/>
      <c r="R6040" s="25" t="str">
        <f>HYPERLINK("https://ictv.global/taxonomy/taxondetails?taxnode_id=202317985","Felismacovirus porci4")</f>
        <v>Felismacovirus porci4</v>
      </c>
      <c r="S6040" s="18" t="s">
        <v>30</v>
      </c>
      <c r="T6040" s="18" t="s">
        <v>50401</v>
      </c>
      <c r="U6040" s="18"/>
      <c r="V6040" s="18" t="s">
        <v>40299</v>
      </c>
      <c r="W6040" s="18" t="s">
        <v>40300</v>
      </c>
      <c r="X6040" s="18" t="s">
        <v>42</v>
      </c>
      <c r="Y6040" s="18" t="s">
        <v>12266</v>
      </c>
      <c r="Z6040" s="18" t="s">
        <v>41209</v>
      </c>
      <c r="AA6040" s="21" t="str">
        <f>HYPERLINK("https://www.ncbi.nlm.nih.gov/nuccore/JQ023166","NCBI Nucleotide")</f>
        <v>NCBI Nucleotide</v>
      </c>
    </row>
    <row r="6041" spans="1:27" x14ac:dyDescent="0.35">
      <c r="A6041">
        <v>1027896</v>
      </c>
      <c r="B6041">
        <v>5779</v>
      </c>
      <c r="C6041">
        <v>1</v>
      </c>
      <c r="D6041" s="17" t="s">
        <v>10507</v>
      </c>
      <c r="E6041" s="17"/>
      <c r="F6041" s="17" t="s">
        <v>10780</v>
      </c>
      <c r="G6041" s="17"/>
      <c r="H6041" s="17" t="s">
        <v>12908</v>
      </c>
      <c r="I6041" s="17"/>
      <c r="J6041" s="17" t="s">
        <v>12909</v>
      </c>
      <c r="K6041" s="17"/>
      <c r="L6041" s="17" t="s">
        <v>13621</v>
      </c>
      <c r="M6041" s="17"/>
      <c r="N6041" s="17" t="s">
        <v>13622</v>
      </c>
      <c r="O6041" s="17"/>
      <c r="P6041" s="17" t="s">
        <v>13662</v>
      </c>
      <c r="Q6041" s="17"/>
      <c r="R6041" s="25" t="str">
        <f>HYPERLINK("https://ictv.global/taxonomy/taxondetails?taxnode_id=202317986","Felismacovirus porci5")</f>
        <v>Felismacovirus porci5</v>
      </c>
      <c r="S6041" s="18" t="s">
        <v>30</v>
      </c>
      <c r="T6041" s="18" t="s">
        <v>40301</v>
      </c>
      <c r="U6041" s="18"/>
      <c r="V6041" s="18" t="s">
        <v>40302</v>
      </c>
      <c r="W6041" s="18" t="s">
        <v>40303</v>
      </c>
      <c r="X6041" s="18" t="s">
        <v>42</v>
      </c>
      <c r="Y6041" s="18" t="s">
        <v>12266</v>
      </c>
      <c r="Z6041" s="18" t="s">
        <v>41209</v>
      </c>
      <c r="AA6041" s="21" t="str">
        <f>HYPERLINK("https://www.ncbi.nlm.nih.gov/nuccore/MH111074","NCBI Nucleotide")</f>
        <v>NCBI Nucleotide</v>
      </c>
    </row>
    <row r="6042" spans="1:27" x14ac:dyDescent="0.35">
      <c r="A6042">
        <v>1027897</v>
      </c>
      <c r="B6042">
        <v>5780</v>
      </c>
      <c r="C6042">
        <v>1</v>
      </c>
      <c r="D6042" s="17" t="s">
        <v>10507</v>
      </c>
      <c r="E6042" s="17"/>
      <c r="F6042" s="17" t="s">
        <v>10780</v>
      </c>
      <c r="G6042" s="17"/>
      <c r="H6042" s="17" t="s">
        <v>12908</v>
      </c>
      <c r="I6042" s="17"/>
      <c r="J6042" s="17" t="s">
        <v>12909</v>
      </c>
      <c r="K6042" s="17"/>
      <c r="L6042" s="17" t="s">
        <v>13621</v>
      </c>
      <c r="M6042" s="17"/>
      <c r="N6042" s="17" t="s">
        <v>13622</v>
      </c>
      <c r="O6042" s="17"/>
      <c r="P6042" s="17" t="s">
        <v>13662</v>
      </c>
      <c r="Q6042" s="17"/>
      <c r="R6042" s="25" t="str">
        <f>HYPERLINK("https://ictv.global/taxonomy/taxondetails?taxnode_id=202317987","Felismacovirus porci6")</f>
        <v>Felismacovirus porci6</v>
      </c>
      <c r="S6042" s="18" t="s">
        <v>30</v>
      </c>
      <c r="T6042" s="18" t="s">
        <v>40304</v>
      </c>
      <c r="U6042" s="18"/>
      <c r="V6042" s="18" t="s">
        <v>40305</v>
      </c>
      <c r="W6042" s="18" t="s">
        <v>40306</v>
      </c>
      <c r="X6042" s="18" t="s">
        <v>42</v>
      </c>
      <c r="Y6042" s="18" t="s">
        <v>12266</v>
      </c>
      <c r="Z6042" s="18" t="s">
        <v>41209</v>
      </c>
      <c r="AA6042" s="21" t="str">
        <f>HYPERLINK("https://www.ncbi.nlm.nih.gov/nuccore/MH111114","NCBI Nucleotide")</f>
        <v>NCBI Nucleotide</v>
      </c>
    </row>
    <row r="6043" spans="1:27" x14ac:dyDescent="0.35">
      <c r="A6043">
        <v>1027898</v>
      </c>
      <c r="B6043">
        <v>5781</v>
      </c>
      <c r="C6043">
        <v>1</v>
      </c>
      <c r="D6043" s="17" t="s">
        <v>10507</v>
      </c>
      <c r="E6043" s="17"/>
      <c r="F6043" s="17" t="s">
        <v>10780</v>
      </c>
      <c r="G6043" s="17"/>
      <c r="H6043" s="17" t="s">
        <v>12908</v>
      </c>
      <c r="I6043" s="17"/>
      <c r="J6043" s="17" t="s">
        <v>12909</v>
      </c>
      <c r="K6043" s="17"/>
      <c r="L6043" s="17" t="s">
        <v>13621</v>
      </c>
      <c r="M6043" s="17"/>
      <c r="N6043" s="17" t="s">
        <v>13622</v>
      </c>
      <c r="O6043" s="17"/>
      <c r="P6043" s="17" t="s">
        <v>13662</v>
      </c>
      <c r="Q6043" s="17"/>
      <c r="R6043" s="25" t="str">
        <f>HYPERLINK("https://ictv.global/taxonomy/taxondetails?taxnode_id=202317988","Felismacovirus porci7")</f>
        <v>Felismacovirus porci7</v>
      </c>
      <c r="S6043" s="18" t="s">
        <v>30</v>
      </c>
      <c r="T6043" s="18" t="s">
        <v>40307</v>
      </c>
      <c r="U6043" s="18"/>
      <c r="V6043" s="18" t="s">
        <v>40308</v>
      </c>
      <c r="W6043" s="18" t="s">
        <v>40309</v>
      </c>
      <c r="X6043" s="18" t="s">
        <v>42</v>
      </c>
      <c r="Y6043" s="18" t="s">
        <v>12266</v>
      </c>
      <c r="Z6043" s="18" t="s">
        <v>41209</v>
      </c>
      <c r="AA6043" s="21" t="str">
        <f>HYPERLINK("https://www.ncbi.nlm.nih.gov/nuccore/MH111086","NCBI Nucleotide")</f>
        <v>NCBI Nucleotide</v>
      </c>
    </row>
    <row r="6044" spans="1:27" x14ac:dyDescent="0.35">
      <c r="A6044">
        <v>1027899</v>
      </c>
      <c r="B6044">
        <v>5782</v>
      </c>
      <c r="C6044">
        <v>1</v>
      </c>
      <c r="D6044" s="17" t="s">
        <v>10507</v>
      </c>
      <c r="E6044" s="17"/>
      <c r="F6044" s="17" t="s">
        <v>10780</v>
      </c>
      <c r="G6044" s="17"/>
      <c r="H6044" s="17" t="s">
        <v>12908</v>
      </c>
      <c r="I6044" s="17"/>
      <c r="J6044" s="17" t="s">
        <v>12909</v>
      </c>
      <c r="K6044" s="17"/>
      <c r="L6044" s="17" t="s">
        <v>13621</v>
      </c>
      <c r="M6044" s="17"/>
      <c r="N6044" s="17" t="s">
        <v>13622</v>
      </c>
      <c r="O6044" s="17"/>
      <c r="P6044" s="17" t="s">
        <v>13662</v>
      </c>
      <c r="Q6044" s="17"/>
      <c r="R6044" s="25" t="str">
        <f>HYPERLINK("https://ictv.global/taxonomy/taxondetails?taxnode_id=202317989","Felismacovirus porci8")</f>
        <v>Felismacovirus porci8</v>
      </c>
      <c r="S6044" s="18" t="s">
        <v>30</v>
      </c>
      <c r="T6044" s="18" t="s">
        <v>40310</v>
      </c>
      <c r="U6044" s="18"/>
      <c r="V6044" s="18" t="s">
        <v>40311</v>
      </c>
      <c r="W6044" s="18" t="s">
        <v>40312</v>
      </c>
      <c r="X6044" s="18" t="s">
        <v>42</v>
      </c>
      <c r="Y6044" s="18" t="s">
        <v>12266</v>
      </c>
      <c r="Z6044" s="18" t="s">
        <v>41209</v>
      </c>
      <c r="AA6044" s="21" t="str">
        <f>HYPERLINK("https://www.ncbi.nlm.nih.gov/nuccore/MH111090","NCBI Nucleotide")</f>
        <v>NCBI Nucleotide</v>
      </c>
    </row>
    <row r="6045" spans="1:27" x14ac:dyDescent="0.35">
      <c r="A6045">
        <v>1027900</v>
      </c>
      <c r="B6045">
        <v>5783</v>
      </c>
      <c r="C6045">
        <v>1</v>
      </c>
      <c r="D6045" s="17" t="s">
        <v>10507</v>
      </c>
      <c r="E6045" s="17"/>
      <c r="F6045" s="17" t="s">
        <v>10780</v>
      </c>
      <c r="G6045" s="17"/>
      <c r="H6045" s="17" t="s">
        <v>12908</v>
      </c>
      <c r="I6045" s="17"/>
      <c r="J6045" s="17" t="s">
        <v>12909</v>
      </c>
      <c r="K6045" s="17"/>
      <c r="L6045" s="17" t="s">
        <v>13621</v>
      </c>
      <c r="M6045" s="17"/>
      <c r="N6045" s="17" t="s">
        <v>13622</v>
      </c>
      <c r="O6045" s="17"/>
      <c r="P6045" s="17" t="s">
        <v>13662</v>
      </c>
      <c r="Q6045" s="17"/>
      <c r="R6045" s="25" t="str">
        <f>HYPERLINK("https://ictv.global/taxonomy/taxondetails?taxnode_id=202317990","Felismacovirus porci9")</f>
        <v>Felismacovirus porci9</v>
      </c>
      <c r="S6045" s="18" t="s">
        <v>30</v>
      </c>
      <c r="T6045" s="18" t="s">
        <v>40313</v>
      </c>
      <c r="U6045" s="18"/>
      <c r="V6045" s="18" t="s">
        <v>40314</v>
      </c>
      <c r="W6045" s="18" t="s">
        <v>40315</v>
      </c>
      <c r="X6045" s="18" t="s">
        <v>42</v>
      </c>
      <c r="Y6045" s="18" t="s">
        <v>12266</v>
      </c>
      <c r="Z6045" s="18" t="s">
        <v>41209</v>
      </c>
      <c r="AA6045" s="21" t="str">
        <f>HYPERLINK("https://www.ncbi.nlm.nih.gov/nuccore/MH111116","NCBI Nucleotide")</f>
        <v>NCBI Nucleotide</v>
      </c>
    </row>
    <row r="6046" spans="1:27" x14ac:dyDescent="0.35">
      <c r="A6046">
        <v>1027892</v>
      </c>
      <c r="B6046">
        <v>5784</v>
      </c>
      <c r="C6046">
        <v>1</v>
      </c>
      <c r="D6046" s="17" t="s">
        <v>10507</v>
      </c>
      <c r="E6046" s="17"/>
      <c r="F6046" s="17" t="s">
        <v>10780</v>
      </c>
      <c r="G6046" s="17"/>
      <c r="H6046" s="17" t="s">
        <v>12908</v>
      </c>
      <c r="I6046" s="17"/>
      <c r="J6046" s="17" t="s">
        <v>12909</v>
      </c>
      <c r="K6046" s="17"/>
      <c r="L6046" s="17" t="s">
        <v>13621</v>
      </c>
      <c r="M6046" s="17"/>
      <c r="N6046" s="17" t="s">
        <v>13622</v>
      </c>
      <c r="O6046" s="17"/>
      <c r="P6046" s="17" t="s">
        <v>13662</v>
      </c>
      <c r="Q6046" s="17"/>
      <c r="R6046" s="25" t="str">
        <f>HYPERLINK("https://ictv.global/taxonomy/taxondetails?taxnode_id=202317982","Felismacovirus porci10")</f>
        <v>Felismacovirus porci10</v>
      </c>
      <c r="S6046" s="18" t="s">
        <v>30</v>
      </c>
      <c r="T6046" s="18" t="s">
        <v>40316</v>
      </c>
      <c r="U6046" s="18"/>
      <c r="V6046" s="18" t="s">
        <v>40317</v>
      </c>
      <c r="W6046" s="18" t="s">
        <v>40318</v>
      </c>
      <c r="X6046" s="18" t="s">
        <v>42</v>
      </c>
      <c r="Y6046" s="18" t="s">
        <v>12266</v>
      </c>
      <c r="Z6046" s="18" t="s">
        <v>41209</v>
      </c>
      <c r="AA6046" s="21" t="str">
        <f>HYPERLINK("https://www.ncbi.nlm.nih.gov/nuccore/MH111107","NCBI Nucleotide")</f>
        <v>NCBI Nucleotide</v>
      </c>
    </row>
    <row r="6047" spans="1:27" x14ac:dyDescent="0.35">
      <c r="A6047">
        <v>1027901</v>
      </c>
      <c r="B6047">
        <v>5785</v>
      </c>
      <c r="C6047">
        <v>1</v>
      </c>
      <c r="D6047" s="17" t="s">
        <v>10507</v>
      </c>
      <c r="E6047" s="17"/>
      <c r="F6047" s="17" t="s">
        <v>10780</v>
      </c>
      <c r="G6047" s="17"/>
      <c r="H6047" s="17" t="s">
        <v>12908</v>
      </c>
      <c r="I6047" s="17"/>
      <c r="J6047" s="17" t="s">
        <v>12909</v>
      </c>
      <c r="K6047" s="17"/>
      <c r="L6047" s="17" t="s">
        <v>13621</v>
      </c>
      <c r="M6047" s="17"/>
      <c r="N6047" s="17" t="s">
        <v>13622</v>
      </c>
      <c r="O6047" s="17"/>
      <c r="P6047" s="17" t="s">
        <v>13662</v>
      </c>
      <c r="Q6047" s="17"/>
      <c r="R6047" s="25" t="str">
        <f>HYPERLINK("https://ictv.global/taxonomy/taxondetails?taxnode_id=202317991","Felismacovirus ratas1")</f>
        <v>Felismacovirus ratas1</v>
      </c>
      <c r="S6047" s="18" t="s">
        <v>30</v>
      </c>
      <c r="T6047" s="18" t="s">
        <v>50402</v>
      </c>
      <c r="U6047" s="18"/>
      <c r="V6047" s="18" t="s">
        <v>40319</v>
      </c>
      <c r="W6047" s="18" t="s">
        <v>40320</v>
      </c>
      <c r="X6047" s="18" t="s">
        <v>42</v>
      </c>
      <c r="Y6047" s="18" t="s">
        <v>12266</v>
      </c>
      <c r="Z6047" s="18" t="s">
        <v>41209</v>
      </c>
      <c r="AA6047" s="21" t="str">
        <f>HYPERLINK("https://www.ncbi.nlm.nih.gov/nuccore/MH500349","NCBI Nucleotide")</f>
        <v>NCBI Nucleotide</v>
      </c>
    </row>
    <row r="6048" spans="1:27" x14ac:dyDescent="0.35">
      <c r="A6048">
        <v>1027902</v>
      </c>
      <c r="B6048">
        <v>5786</v>
      </c>
      <c r="C6048">
        <v>1</v>
      </c>
      <c r="D6048" s="17" t="s">
        <v>10507</v>
      </c>
      <c r="E6048" s="17"/>
      <c r="F6048" s="17" t="s">
        <v>10780</v>
      </c>
      <c r="G6048" s="17"/>
      <c r="H6048" s="17" t="s">
        <v>12908</v>
      </c>
      <c r="I6048" s="17"/>
      <c r="J6048" s="17" t="s">
        <v>12909</v>
      </c>
      <c r="K6048" s="17"/>
      <c r="L6048" s="17" t="s">
        <v>13621</v>
      </c>
      <c r="M6048" s="17"/>
      <c r="N6048" s="17" t="s">
        <v>13622</v>
      </c>
      <c r="O6048" s="17"/>
      <c r="P6048" s="17" t="s">
        <v>13662</v>
      </c>
      <c r="Q6048" s="17"/>
      <c r="R6048" s="25" t="str">
        <f>HYPERLINK("https://ictv.global/taxonomy/taxondetails?taxnode_id=202317992","Felismacovirus vulpe1")</f>
        <v>Felismacovirus vulpe1</v>
      </c>
      <c r="S6048" s="18" t="s">
        <v>30</v>
      </c>
      <c r="T6048" s="18" t="s">
        <v>40321</v>
      </c>
      <c r="U6048" s="18"/>
      <c r="V6048" s="18" t="s">
        <v>40322</v>
      </c>
      <c r="W6048" s="18" t="s">
        <v>40323</v>
      </c>
      <c r="X6048" s="18" t="s">
        <v>42</v>
      </c>
      <c r="Y6048" s="18" t="s">
        <v>12266</v>
      </c>
      <c r="Z6048" s="18" t="s">
        <v>41209</v>
      </c>
      <c r="AA6048" s="21" t="str">
        <f>HYPERLINK("https://www.ncbi.nlm.nih.gov/nuccore/ON872782","NCBI Nucleotide")</f>
        <v>NCBI Nucleotide</v>
      </c>
    </row>
    <row r="6049" spans="1:27" x14ac:dyDescent="0.35">
      <c r="A6049">
        <v>1007481</v>
      </c>
      <c r="B6049">
        <v>5787</v>
      </c>
      <c r="C6049">
        <v>1</v>
      </c>
      <c r="D6049" s="17" t="s">
        <v>10507</v>
      </c>
      <c r="E6049" s="17"/>
      <c r="F6049" s="17" t="s">
        <v>10780</v>
      </c>
      <c r="G6049" s="17"/>
      <c r="H6049" s="17" t="s">
        <v>12908</v>
      </c>
      <c r="I6049" s="17"/>
      <c r="J6049" s="17" t="s">
        <v>12909</v>
      </c>
      <c r="K6049" s="17"/>
      <c r="L6049" s="17" t="s">
        <v>13621</v>
      </c>
      <c r="M6049" s="17"/>
      <c r="N6049" s="17" t="s">
        <v>13622</v>
      </c>
      <c r="O6049" s="17"/>
      <c r="P6049" s="17" t="s">
        <v>13666</v>
      </c>
      <c r="Q6049" s="17"/>
      <c r="R6049" s="25" t="str">
        <f>HYPERLINK("https://ictv.global/taxonomy/taxondetails?taxnode_id=202305959","Huchismacovirus chicas1")</f>
        <v>Huchismacovirus chicas1</v>
      </c>
      <c r="S6049" s="18" t="s">
        <v>30</v>
      </c>
      <c r="T6049" s="18" t="s">
        <v>13667</v>
      </c>
      <c r="U6049" s="18"/>
      <c r="V6049" s="18" t="s">
        <v>13668</v>
      </c>
      <c r="W6049" s="18" t="s">
        <v>13669</v>
      </c>
      <c r="X6049" s="18" t="s">
        <v>42</v>
      </c>
      <c r="Y6049" s="18" t="s">
        <v>12266</v>
      </c>
      <c r="Z6049" s="18" t="s">
        <v>41209</v>
      </c>
      <c r="AA6049" s="21" t="str">
        <f>HYPERLINK("https://www.ncbi.nlm.nih.gov/nuccore/KY086301","NCBI Nucleotide")</f>
        <v>NCBI Nucleotide</v>
      </c>
    </row>
    <row r="6050" spans="1:27" x14ac:dyDescent="0.35">
      <c r="A6050">
        <v>1007482</v>
      </c>
      <c r="B6050">
        <v>5788</v>
      </c>
      <c r="C6050">
        <v>1</v>
      </c>
      <c r="D6050" s="17" t="s">
        <v>10507</v>
      </c>
      <c r="E6050" s="17"/>
      <c r="F6050" s="17" t="s">
        <v>10780</v>
      </c>
      <c r="G6050" s="17"/>
      <c r="H6050" s="17" t="s">
        <v>12908</v>
      </c>
      <c r="I6050" s="17"/>
      <c r="J6050" s="17" t="s">
        <v>12909</v>
      </c>
      <c r="K6050" s="17"/>
      <c r="L6050" s="17" t="s">
        <v>13621</v>
      </c>
      <c r="M6050" s="17"/>
      <c r="N6050" s="17" t="s">
        <v>13622</v>
      </c>
      <c r="O6050" s="17"/>
      <c r="P6050" s="17" t="s">
        <v>13666</v>
      </c>
      <c r="Q6050" s="17"/>
      <c r="R6050" s="25" t="str">
        <f>HYPERLINK("https://ictv.global/taxonomy/taxondetails?taxnode_id=202305960","Huchismacovirus chicas2")</f>
        <v>Huchismacovirus chicas2</v>
      </c>
      <c r="S6050" s="18" t="s">
        <v>30</v>
      </c>
      <c r="T6050" s="18" t="s">
        <v>13667</v>
      </c>
      <c r="U6050" s="18"/>
      <c r="V6050" s="18" t="s">
        <v>13670</v>
      </c>
      <c r="W6050" s="18" t="s">
        <v>13671</v>
      </c>
      <c r="X6050" s="18" t="s">
        <v>42</v>
      </c>
      <c r="Y6050" s="18" t="s">
        <v>12266</v>
      </c>
      <c r="Z6050" s="18" t="s">
        <v>41209</v>
      </c>
      <c r="AA6050" s="21" t="str">
        <f>HYPERLINK("https://www.ncbi.nlm.nih.gov/nuccore/KY086300","NCBI Nucleotide")</f>
        <v>NCBI Nucleotide</v>
      </c>
    </row>
    <row r="6051" spans="1:27" x14ac:dyDescent="0.35">
      <c r="A6051">
        <v>1007483</v>
      </c>
      <c r="B6051">
        <v>5789</v>
      </c>
      <c r="C6051">
        <v>1</v>
      </c>
      <c r="D6051" s="17" t="s">
        <v>10507</v>
      </c>
      <c r="E6051" s="17"/>
      <c r="F6051" s="17" t="s">
        <v>10780</v>
      </c>
      <c r="G6051" s="17"/>
      <c r="H6051" s="17" t="s">
        <v>12908</v>
      </c>
      <c r="I6051" s="17"/>
      <c r="J6051" s="17" t="s">
        <v>12909</v>
      </c>
      <c r="K6051" s="17"/>
      <c r="L6051" s="17" t="s">
        <v>13621</v>
      </c>
      <c r="M6051" s="17"/>
      <c r="N6051" s="17" t="s">
        <v>13622</v>
      </c>
      <c r="O6051" s="17"/>
      <c r="P6051" s="17" t="s">
        <v>13666</v>
      </c>
      <c r="Q6051" s="17"/>
      <c r="R6051" s="25" t="str">
        <f>HYPERLINK("https://ictv.global/taxonomy/taxondetails?taxnode_id=202305961","Huchismacovirus humas1")</f>
        <v>Huchismacovirus humas1</v>
      </c>
      <c r="S6051" s="18" t="s">
        <v>30</v>
      </c>
      <c r="T6051" s="18" t="s">
        <v>13672</v>
      </c>
      <c r="U6051" s="18"/>
      <c r="V6051" s="18" t="s">
        <v>13673</v>
      </c>
      <c r="W6051" s="18" t="s">
        <v>13674</v>
      </c>
      <c r="X6051" s="18" t="s">
        <v>42</v>
      </c>
      <c r="Y6051" s="18" t="s">
        <v>12266</v>
      </c>
      <c r="Z6051" s="18" t="s">
        <v>41209</v>
      </c>
      <c r="AA6051" s="21" t="str">
        <f>HYPERLINK("https://www.ncbi.nlm.nih.gov/nuccore/KP233180","NCBI Nucleotide")</f>
        <v>NCBI Nucleotide</v>
      </c>
    </row>
    <row r="6052" spans="1:27" x14ac:dyDescent="0.35">
      <c r="A6052">
        <v>1007484</v>
      </c>
      <c r="B6052">
        <v>5790</v>
      </c>
      <c r="C6052">
        <v>1</v>
      </c>
      <c r="D6052" s="17" t="s">
        <v>10507</v>
      </c>
      <c r="E6052" s="17"/>
      <c r="F6052" s="17" t="s">
        <v>10780</v>
      </c>
      <c r="G6052" s="17"/>
      <c r="H6052" s="17" t="s">
        <v>12908</v>
      </c>
      <c r="I6052" s="17"/>
      <c r="J6052" s="17" t="s">
        <v>12909</v>
      </c>
      <c r="K6052" s="17"/>
      <c r="L6052" s="17" t="s">
        <v>13621</v>
      </c>
      <c r="M6052" s="17"/>
      <c r="N6052" s="17" t="s">
        <v>13622</v>
      </c>
      <c r="O6052" s="17"/>
      <c r="P6052" s="17" t="s">
        <v>13666</v>
      </c>
      <c r="Q6052" s="17"/>
      <c r="R6052" s="25" t="str">
        <f>HYPERLINK("https://ictv.global/taxonomy/taxondetails?taxnode_id=202305962","Huchismacovirus humas2")</f>
        <v>Huchismacovirus humas2</v>
      </c>
      <c r="S6052" s="18" t="s">
        <v>30</v>
      </c>
      <c r="T6052" s="18" t="s">
        <v>13672</v>
      </c>
      <c r="U6052" s="18"/>
      <c r="V6052" s="18" t="s">
        <v>13675</v>
      </c>
      <c r="W6052" s="18" t="s">
        <v>13676</v>
      </c>
      <c r="X6052" s="18" t="s">
        <v>42</v>
      </c>
      <c r="Y6052" s="18" t="s">
        <v>12266</v>
      </c>
      <c r="Z6052" s="18" t="s">
        <v>41209</v>
      </c>
      <c r="AA6052" s="21" t="str">
        <f>HYPERLINK("https://www.ncbi.nlm.nih.gov/nuccore/KP233174","NCBI Nucleotide")</f>
        <v>NCBI Nucleotide</v>
      </c>
    </row>
    <row r="6053" spans="1:27" x14ac:dyDescent="0.35">
      <c r="A6053">
        <v>1007485</v>
      </c>
      <c r="B6053">
        <v>5791</v>
      </c>
      <c r="C6053">
        <v>1</v>
      </c>
      <c r="D6053" s="17" t="s">
        <v>10507</v>
      </c>
      <c r="E6053" s="17"/>
      <c r="F6053" s="17" t="s">
        <v>10780</v>
      </c>
      <c r="G6053" s="17"/>
      <c r="H6053" s="17" t="s">
        <v>12908</v>
      </c>
      <c r="I6053" s="17"/>
      <c r="J6053" s="17" t="s">
        <v>12909</v>
      </c>
      <c r="K6053" s="17"/>
      <c r="L6053" s="17" t="s">
        <v>13621</v>
      </c>
      <c r="M6053" s="17"/>
      <c r="N6053" s="17" t="s">
        <v>13622</v>
      </c>
      <c r="O6053" s="17"/>
      <c r="P6053" s="17" t="s">
        <v>13666</v>
      </c>
      <c r="Q6053" s="17"/>
      <c r="R6053" s="25" t="str">
        <f>HYPERLINK("https://ictv.global/taxonomy/taxondetails?taxnode_id=202305963","Huchismacovirus humas3")</f>
        <v>Huchismacovirus humas3</v>
      </c>
      <c r="S6053" s="18" t="s">
        <v>30</v>
      </c>
      <c r="T6053" s="18" t="s">
        <v>13672</v>
      </c>
      <c r="U6053" s="18"/>
      <c r="V6053" s="18" t="s">
        <v>13677</v>
      </c>
      <c r="W6053" s="18" t="s">
        <v>13678</v>
      </c>
      <c r="X6053" s="18" t="s">
        <v>42</v>
      </c>
      <c r="Y6053" s="18" t="s">
        <v>12266</v>
      </c>
      <c r="Z6053" s="18" t="s">
        <v>41209</v>
      </c>
      <c r="AA6053" s="21" t="str">
        <f>HYPERLINK("https://www.ncbi.nlm.nih.gov/nuccore/KP233178","NCBI Nucleotide")</f>
        <v>NCBI Nucleotide</v>
      </c>
    </row>
    <row r="6054" spans="1:27" x14ac:dyDescent="0.35">
      <c r="A6054">
        <v>1027985</v>
      </c>
      <c r="B6054">
        <v>5792</v>
      </c>
      <c r="C6054">
        <v>1</v>
      </c>
      <c r="D6054" s="17" t="s">
        <v>10507</v>
      </c>
      <c r="E6054" s="17"/>
      <c r="F6054" s="17" t="s">
        <v>10780</v>
      </c>
      <c r="G6054" s="17"/>
      <c r="H6054" s="17" t="s">
        <v>12908</v>
      </c>
      <c r="I6054" s="17"/>
      <c r="J6054" s="17" t="s">
        <v>12909</v>
      </c>
      <c r="K6054" s="17"/>
      <c r="L6054" s="17" t="s">
        <v>13621</v>
      </c>
      <c r="M6054" s="17"/>
      <c r="N6054" s="17" t="s">
        <v>13622</v>
      </c>
      <c r="O6054" s="17"/>
      <c r="P6054" s="17" t="s">
        <v>13679</v>
      </c>
      <c r="Q6054" s="17"/>
      <c r="R6054" s="25" t="str">
        <f>HYPERLINK("https://ictv.global/taxonomy/taxondetails?taxnode_id=202317993","Inpeasmacovirus avias1")</f>
        <v>Inpeasmacovirus avias1</v>
      </c>
      <c r="S6054" s="18" t="s">
        <v>30</v>
      </c>
      <c r="T6054" s="18" t="s">
        <v>40324</v>
      </c>
      <c r="U6054" s="18"/>
      <c r="V6054" s="18" t="s">
        <v>40325</v>
      </c>
      <c r="W6054" s="18" t="s">
        <v>40326</v>
      </c>
      <c r="X6054" s="18" t="s">
        <v>42</v>
      </c>
      <c r="Y6054" s="18" t="s">
        <v>12266</v>
      </c>
      <c r="Z6054" s="18" t="s">
        <v>41209</v>
      </c>
      <c r="AA6054" s="21" t="str">
        <f>HYPERLINK("https://www.ncbi.nlm.nih.gov/nuccore/MT138084","NCBI Nucleotide")</f>
        <v>NCBI Nucleotide</v>
      </c>
    </row>
    <row r="6055" spans="1:27" x14ac:dyDescent="0.35">
      <c r="A6055">
        <v>1007486</v>
      </c>
      <c r="B6055">
        <v>5793</v>
      </c>
      <c r="C6055">
        <v>1</v>
      </c>
      <c r="D6055" s="17" t="s">
        <v>10507</v>
      </c>
      <c r="E6055" s="17"/>
      <c r="F6055" s="17" t="s">
        <v>10780</v>
      </c>
      <c r="G6055" s="17"/>
      <c r="H6055" s="17" t="s">
        <v>12908</v>
      </c>
      <c r="I6055" s="17"/>
      <c r="J6055" s="17" t="s">
        <v>12909</v>
      </c>
      <c r="K6055" s="17"/>
      <c r="L6055" s="17" t="s">
        <v>13621</v>
      </c>
      <c r="M6055" s="17"/>
      <c r="N6055" s="17" t="s">
        <v>13622</v>
      </c>
      <c r="O6055" s="17"/>
      <c r="P6055" s="17" t="s">
        <v>13679</v>
      </c>
      <c r="Q6055" s="17"/>
      <c r="R6055" s="25" t="str">
        <f>HYPERLINK("https://ictv.global/taxonomy/taxondetails?taxnode_id=202309505","Inpeasmacovirus humas1")</f>
        <v>Inpeasmacovirus humas1</v>
      </c>
      <c r="S6055" s="18" t="s">
        <v>30</v>
      </c>
      <c r="T6055" s="18" t="s">
        <v>13680</v>
      </c>
      <c r="U6055" s="18"/>
      <c r="V6055" s="18" t="s">
        <v>13681</v>
      </c>
      <c r="W6055" s="18" t="s">
        <v>13682</v>
      </c>
      <c r="X6055" s="18" t="s">
        <v>42</v>
      </c>
      <c r="Y6055" s="18" t="s">
        <v>12266</v>
      </c>
      <c r="Z6055" s="18" t="s">
        <v>41209</v>
      </c>
      <c r="AA6055" s="21" t="str">
        <f>HYPERLINK("https://www.ncbi.nlm.nih.gov/nuccore/MH500283","NCBI Nucleotide")</f>
        <v>NCBI Nucleotide</v>
      </c>
    </row>
    <row r="6056" spans="1:27" x14ac:dyDescent="0.35">
      <c r="A6056">
        <v>1007487</v>
      </c>
      <c r="B6056">
        <v>5794</v>
      </c>
      <c r="C6056">
        <v>1</v>
      </c>
      <c r="D6056" s="17" t="s">
        <v>10507</v>
      </c>
      <c r="E6056" s="17"/>
      <c r="F6056" s="17" t="s">
        <v>10780</v>
      </c>
      <c r="G6056" s="17"/>
      <c r="H6056" s="17" t="s">
        <v>12908</v>
      </c>
      <c r="I6056" s="17"/>
      <c r="J6056" s="17" t="s">
        <v>12909</v>
      </c>
      <c r="K6056" s="17"/>
      <c r="L6056" s="17" t="s">
        <v>13621</v>
      </c>
      <c r="M6056" s="17"/>
      <c r="N6056" s="17" t="s">
        <v>13622</v>
      </c>
      <c r="O6056" s="17"/>
      <c r="P6056" s="17" t="s">
        <v>13679</v>
      </c>
      <c r="Q6056" s="17"/>
      <c r="R6056" s="25" t="str">
        <f>HYPERLINK("https://ictv.global/taxonomy/taxondetails?taxnode_id=202309504","Inpeasmacovirus peafo1")</f>
        <v>Inpeasmacovirus peafo1</v>
      </c>
      <c r="S6056" s="18" t="s">
        <v>30</v>
      </c>
      <c r="T6056" s="18" t="s">
        <v>13683</v>
      </c>
      <c r="U6056" s="18"/>
      <c r="V6056" s="18" t="s">
        <v>13684</v>
      </c>
      <c r="W6056" s="18" t="s">
        <v>13685</v>
      </c>
      <c r="X6056" s="18" t="s">
        <v>42</v>
      </c>
      <c r="Y6056" s="18" t="s">
        <v>12266</v>
      </c>
      <c r="Z6056" s="18" t="s">
        <v>41209</v>
      </c>
      <c r="AA6056" s="21" t="str">
        <f>HYPERLINK("https://www.ncbi.nlm.nih.gov/nuccore/MN928918","NCBI Nucleotide")</f>
        <v>NCBI Nucleotide</v>
      </c>
    </row>
    <row r="6057" spans="1:27" x14ac:dyDescent="0.35">
      <c r="A6057">
        <v>1007488</v>
      </c>
      <c r="B6057">
        <v>5795</v>
      </c>
      <c r="C6057">
        <v>1</v>
      </c>
      <c r="D6057" s="17" t="s">
        <v>10507</v>
      </c>
      <c r="E6057" s="17"/>
      <c r="F6057" s="17" t="s">
        <v>10780</v>
      </c>
      <c r="G6057" s="17"/>
      <c r="H6057" s="17" t="s">
        <v>12908</v>
      </c>
      <c r="I6057" s="17"/>
      <c r="J6057" s="17" t="s">
        <v>12909</v>
      </c>
      <c r="K6057" s="17"/>
      <c r="L6057" s="17" t="s">
        <v>13621</v>
      </c>
      <c r="M6057" s="17"/>
      <c r="N6057" s="17" t="s">
        <v>13622</v>
      </c>
      <c r="O6057" s="17"/>
      <c r="P6057" s="17" t="s">
        <v>13686</v>
      </c>
      <c r="Q6057" s="17"/>
      <c r="R6057" s="25" t="str">
        <f>HYPERLINK("https://ictv.global/taxonomy/taxondetails?taxnode_id=202309510","Porprismacovirus alecas1")</f>
        <v>Porprismacovirus alecas1</v>
      </c>
      <c r="S6057" s="18" t="s">
        <v>30</v>
      </c>
      <c r="T6057" s="18" t="s">
        <v>13687</v>
      </c>
      <c r="U6057" s="18"/>
      <c r="V6057" s="18" t="s">
        <v>13688</v>
      </c>
      <c r="W6057" s="18" t="s">
        <v>13689</v>
      </c>
      <c r="X6057" s="18" t="s">
        <v>42</v>
      </c>
      <c r="Y6057" s="18" t="s">
        <v>12266</v>
      </c>
      <c r="Z6057" s="18" t="s">
        <v>41209</v>
      </c>
      <c r="AA6057" s="21" t="str">
        <f>HYPERLINK("https://www.ncbi.nlm.nih.gov/nuccore/MG641190","NCBI Nucleotide")</f>
        <v>NCBI Nucleotide</v>
      </c>
    </row>
    <row r="6058" spans="1:27" x14ac:dyDescent="0.35">
      <c r="A6058">
        <v>1027928</v>
      </c>
      <c r="B6058">
        <v>5796</v>
      </c>
      <c r="C6058">
        <v>1</v>
      </c>
      <c r="D6058" s="17" t="s">
        <v>10507</v>
      </c>
      <c r="E6058" s="17"/>
      <c r="F6058" s="17" t="s">
        <v>10780</v>
      </c>
      <c r="G6058" s="17"/>
      <c r="H6058" s="17" t="s">
        <v>12908</v>
      </c>
      <c r="I6058" s="17"/>
      <c r="J6058" s="17" t="s">
        <v>12909</v>
      </c>
      <c r="K6058" s="17"/>
      <c r="L6058" s="17" t="s">
        <v>13621</v>
      </c>
      <c r="M6058" s="17"/>
      <c r="N6058" s="17" t="s">
        <v>13622</v>
      </c>
      <c r="O6058" s="17"/>
      <c r="P6058" s="17" t="s">
        <v>13686</v>
      </c>
      <c r="Q6058" s="17"/>
      <c r="R6058" s="25" t="str">
        <f>HYPERLINK("https://ictv.global/taxonomy/taxondetails?taxnode_id=202317994","Porprismacovirus anati1")</f>
        <v>Porprismacovirus anati1</v>
      </c>
      <c r="S6058" s="18" t="s">
        <v>30</v>
      </c>
      <c r="T6058" s="18" t="s">
        <v>40327</v>
      </c>
      <c r="U6058" s="18"/>
      <c r="V6058" s="18" t="s">
        <v>40328</v>
      </c>
      <c r="W6058" s="18" t="s">
        <v>40329</v>
      </c>
      <c r="X6058" s="18" t="s">
        <v>42</v>
      </c>
      <c r="Y6058" s="18" t="s">
        <v>12266</v>
      </c>
      <c r="Z6058" s="18" t="s">
        <v>41209</v>
      </c>
      <c r="AA6058" s="21" t="str">
        <f>HYPERLINK("https://www.ncbi.nlm.nih.gov/nuccore/MW183072","NCBI Nucleotide")</f>
        <v>NCBI Nucleotide</v>
      </c>
    </row>
    <row r="6059" spans="1:27" x14ac:dyDescent="0.35">
      <c r="A6059">
        <v>1007489</v>
      </c>
      <c r="B6059">
        <v>5797</v>
      </c>
      <c r="C6059">
        <v>1</v>
      </c>
      <c r="D6059" s="17" t="s">
        <v>10507</v>
      </c>
      <c r="E6059" s="17"/>
      <c r="F6059" s="17" t="s">
        <v>10780</v>
      </c>
      <c r="G6059" s="17"/>
      <c r="H6059" s="17" t="s">
        <v>12908</v>
      </c>
      <c r="I6059" s="17"/>
      <c r="J6059" s="17" t="s">
        <v>12909</v>
      </c>
      <c r="K6059" s="17"/>
      <c r="L6059" s="17" t="s">
        <v>13621</v>
      </c>
      <c r="M6059" s="17"/>
      <c r="N6059" s="17" t="s">
        <v>13622</v>
      </c>
      <c r="O6059" s="17"/>
      <c r="P6059" s="17" t="s">
        <v>13686</v>
      </c>
      <c r="Q6059" s="17"/>
      <c r="R6059" s="25" t="str">
        <f>HYPERLINK("https://ictv.global/taxonomy/taxondetails?taxnode_id=202309511","Porprismacovirus avias1")</f>
        <v>Porprismacovirus avias1</v>
      </c>
      <c r="S6059" s="18" t="s">
        <v>30</v>
      </c>
      <c r="T6059" s="18" t="s">
        <v>13690</v>
      </c>
      <c r="U6059" s="18"/>
      <c r="V6059" s="18" t="s">
        <v>13691</v>
      </c>
      <c r="W6059" s="18" t="s">
        <v>13692</v>
      </c>
      <c r="X6059" s="18" t="s">
        <v>42</v>
      </c>
      <c r="Y6059" s="18" t="s">
        <v>12266</v>
      </c>
      <c r="Z6059" s="18" t="s">
        <v>41209</v>
      </c>
      <c r="AA6059" s="21" t="str">
        <f>HYPERLINK("https://www.ncbi.nlm.nih.gov/nuccore/MN175615","NCBI Nucleotide")</f>
        <v>NCBI Nucleotide</v>
      </c>
    </row>
    <row r="6060" spans="1:27" x14ac:dyDescent="0.35">
      <c r="A6060">
        <v>1027929</v>
      </c>
      <c r="B6060">
        <v>5798</v>
      </c>
      <c r="C6060">
        <v>1</v>
      </c>
      <c r="D6060" s="17" t="s">
        <v>10507</v>
      </c>
      <c r="E6060" s="17"/>
      <c r="F6060" s="17" t="s">
        <v>10780</v>
      </c>
      <c r="G6060" s="17"/>
      <c r="H6060" s="17" t="s">
        <v>12908</v>
      </c>
      <c r="I6060" s="17"/>
      <c r="J6060" s="17" t="s">
        <v>12909</v>
      </c>
      <c r="K6060" s="17"/>
      <c r="L6060" s="17" t="s">
        <v>13621</v>
      </c>
      <c r="M6060" s="17"/>
      <c r="N6060" s="17" t="s">
        <v>13622</v>
      </c>
      <c r="O6060" s="17"/>
      <c r="P6060" s="17" t="s">
        <v>13686</v>
      </c>
      <c r="Q6060" s="17"/>
      <c r="R6060" s="25" t="str">
        <f>HYPERLINK("https://ictv.global/taxonomy/taxondetails?taxnode_id=202317995","Porprismacovirus avias2")</f>
        <v>Porprismacovirus avias2</v>
      </c>
      <c r="S6060" s="18" t="s">
        <v>30</v>
      </c>
      <c r="T6060" s="18" t="s">
        <v>40330</v>
      </c>
      <c r="U6060" s="18"/>
      <c r="V6060" s="18" t="s">
        <v>40331</v>
      </c>
      <c r="W6060" s="18" t="s">
        <v>40332</v>
      </c>
      <c r="X6060" s="18" t="s">
        <v>42</v>
      </c>
      <c r="Y6060" s="18" t="s">
        <v>12266</v>
      </c>
      <c r="Z6060" s="18" t="s">
        <v>41209</v>
      </c>
      <c r="AA6060" s="21" t="str">
        <f>HYPERLINK("https://www.ncbi.nlm.nih.gov/nuccore/MT138077","NCBI Nucleotide")</f>
        <v>NCBI Nucleotide</v>
      </c>
    </row>
    <row r="6061" spans="1:27" x14ac:dyDescent="0.35">
      <c r="A6061">
        <v>1007490</v>
      </c>
      <c r="B6061">
        <v>5799</v>
      </c>
      <c r="C6061">
        <v>1</v>
      </c>
      <c r="D6061" s="17" t="s">
        <v>10507</v>
      </c>
      <c r="E6061" s="17"/>
      <c r="F6061" s="17" t="s">
        <v>10780</v>
      </c>
      <c r="G6061" s="17"/>
      <c r="H6061" s="17" t="s">
        <v>12908</v>
      </c>
      <c r="I6061" s="17"/>
      <c r="J6061" s="17" t="s">
        <v>12909</v>
      </c>
      <c r="K6061" s="17"/>
      <c r="L6061" s="17" t="s">
        <v>13621</v>
      </c>
      <c r="M6061" s="17"/>
      <c r="N6061" s="17" t="s">
        <v>13622</v>
      </c>
      <c r="O6061" s="17"/>
      <c r="P6061" s="17" t="s">
        <v>13686</v>
      </c>
      <c r="Q6061" s="17"/>
      <c r="R6061" s="25" t="str">
        <f>HYPERLINK("https://ictv.global/taxonomy/taxondetails?taxnode_id=202309512","Porprismacovirus babas1")</f>
        <v>Porprismacovirus babas1</v>
      </c>
      <c r="S6061" s="18" t="s">
        <v>30</v>
      </c>
      <c r="T6061" s="18" t="s">
        <v>13624</v>
      </c>
      <c r="U6061" s="18"/>
      <c r="V6061" s="18" t="s">
        <v>13693</v>
      </c>
      <c r="W6061" s="18" t="s">
        <v>13694</v>
      </c>
      <c r="X6061" s="18" t="s">
        <v>42</v>
      </c>
      <c r="Y6061" s="18" t="s">
        <v>12266</v>
      </c>
      <c r="Z6061" s="18" t="s">
        <v>41209</v>
      </c>
      <c r="AA6061" s="21" t="str">
        <f>HYPERLINK("https://www.ncbi.nlm.nih.gov/nuccore/LC386197","NCBI Nucleotide")</f>
        <v>NCBI Nucleotide</v>
      </c>
    </row>
    <row r="6062" spans="1:27" x14ac:dyDescent="0.35">
      <c r="A6062">
        <v>1007491</v>
      </c>
      <c r="B6062">
        <v>5800</v>
      </c>
      <c r="C6062">
        <v>1</v>
      </c>
      <c r="D6062" s="17" t="s">
        <v>10507</v>
      </c>
      <c r="E6062" s="17"/>
      <c r="F6062" s="17" t="s">
        <v>10780</v>
      </c>
      <c r="G6062" s="17"/>
      <c r="H6062" s="17" t="s">
        <v>12908</v>
      </c>
      <c r="I6062" s="17"/>
      <c r="J6062" s="17" t="s">
        <v>12909</v>
      </c>
      <c r="K6062" s="17"/>
      <c r="L6062" s="17" t="s">
        <v>13621</v>
      </c>
      <c r="M6062" s="17"/>
      <c r="N6062" s="17" t="s">
        <v>13622</v>
      </c>
      <c r="O6062" s="17"/>
      <c r="P6062" s="17" t="s">
        <v>13686</v>
      </c>
      <c r="Q6062" s="17"/>
      <c r="R6062" s="25" t="str">
        <f>HYPERLINK("https://ictv.global/taxonomy/taxondetails?taxnode_id=202305965","Porprismacovirus bovas1")</f>
        <v>Porprismacovirus bovas1</v>
      </c>
      <c r="S6062" s="18" t="s">
        <v>30</v>
      </c>
      <c r="T6062" s="18" t="s">
        <v>13695</v>
      </c>
      <c r="U6062" s="18"/>
      <c r="V6062" s="18" t="s">
        <v>13696</v>
      </c>
      <c r="W6062" s="18" t="s">
        <v>13697</v>
      </c>
      <c r="X6062" s="18" t="s">
        <v>42</v>
      </c>
      <c r="Y6062" s="18" t="s">
        <v>12266</v>
      </c>
      <c r="Z6062" s="18" t="s">
        <v>41209</v>
      </c>
      <c r="AA6062" s="21" t="str">
        <f>HYPERLINK("https://www.ncbi.nlm.nih.gov/nuccore/KT862218","NCBI Nucleotide")</f>
        <v>NCBI Nucleotide</v>
      </c>
    </row>
    <row r="6063" spans="1:27" x14ac:dyDescent="0.35">
      <c r="A6063">
        <v>1007492</v>
      </c>
      <c r="B6063">
        <v>5801</v>
      </c>
      <c r="C6063">
        <v>1</v>
      </c>
      <c r="D6063" s="17" t="s">
        <v>10507</v>
      </c>
      <c r="E6063" s="17"/>
      <c r="F6063" s="17" t="s">
        <v>10780</v>
      </c>
      <c r="G6063" s="17"/>
      <c r="H6063" s="17" t="s">
        <v>12908</v>
      </c>
      <c r="I6063" s="17"/>
      <c r="J6063" s="17" t="s">
        <v>12909</v>
      </c>
      <c r="K6063" s="17"/>
      <c r="L6063" s="17" t="s">
        <v>13621</v>
      </c>
      <c r="M6063" s="17"/>
      <c r="N6063" s="17" t="s">
        <v>13622</v>
      </c>
      <c r="O6063" s="17"/>
      <c r="P6063" s="17" t="s">
        <v>13686</v>
      </c>
      <c r="Q6063" s="17"/>
      <c r="R6063" s="25" t="str">
        <f>HYPERLINK("https://ictv.global/taxonomy/taxondetails?taxnode_id=202309513","Porprismacovirus bovas2")</f>
        <v>Porprismacovirus bovas2</v>
      </c>
      <c r="S6063" s="18" t="s">
        <v>30</v>
      </c>
      <c r="T6063" s="18" t="s">
        <v>13698</v>
      </c>
      <c r="U6063" s="18"/>
      <c r="V6063" s="18" t="s">
        <v>13699</v>
      </c>
      <c r="W6063" s="18" t="s">
        <v>13700</v>
      </c>
      <c r="X6063" s="18" t="s">
        <v>42</v>
      </c>
      <c r="Y6063" s="18" t="s">
        <v>12266</v>
      </c>
      <c r="Z6063" s="18" t="s">
        <v>41209</v>
      </c>
      <c r="AA6063" s="21" t="str">
        <f>HYPERLINK("https://www.ncbi.nlm.nih.gov/nuccore/MF669478","NCBI Nucleotide")</f>
        <v>NCBI Nucleotide</v>
      </c>
    </row>
    <row r="6064" spans="1:27" x14ac:dyDescent="0.35">
      <c r="A6064">
        <v>1027930</v>
      </c>
      <c r="B6064">
        <v>5802</v>
      </c>
      <c r="C6064">
        <v>1</v>
      </c>
      <c r="D6064" s="17" t="s">
        <v>10507</v>
      </c>
      <c r="E6064" s="17"/>
      <c r="F6064" s="17" t="s">
        <v>10780</v>
      </c>
      <c r="G6064" s="17"/>
      <c r="H6064" s="17" t="s">
        <v>12908</v>
      </c>
      <c r="I6064" s="17"/>
      <c r="J6064" s="17" t="s">
        <v>12909</v>
      </c>
      <c r="K6064" s="17"/>
      <c r="L6064" s="17" t="s">
        <v>13621</v>
      </c>
      <c r="M6064" s="17"/>
      <c r="N6064" s="17" t="s">
        <v>13622</v>
      </c>
      <c r="O6064" s="17"/>
      <c r="P6064" s="17" t="s">
        <v>13686</v>
      </c>
      <c r="Q6064" s="17"/>
      <c r="R6064" s="25" t="str">
        <f>HYPERLINK("https://ictv.global/taxonomy/taxondetails?taxnode_id=202317996","Porprismacovirus bovas3")</f>
        <v>Porprismacovirus bovas3</v>
      </c>
      <c r="S6064" s="18" t="s">
        <v>30</v>
      </c>
      <c r="T6064" s="18" t="s">
        <v>40333</v>
      </c>
      <c r="U6064" s="18"/>
      <c r="V6064" s="18" t="s">
        <v>40334</v>
      </c>
      <c r="W6064" s="18" t="s">
        <v>40335</v>
      </c>
      <c r="X6064" s="18" t="s">
        <v>42</v>
      </c>
      <c r="Y6064" s="18" t="s">
        <v>12266</v>
      </c>
      <c r="Z6064" s="18" t="s">
        <v>41209</v>
      </c>
      <c r="AA6064" s="21" t="str">
        <f>HYPERLINK("https://www.ncbi.nlm.nih.gov/nuccore/MH782431","NCBI Nucleotide")</f>
        <v>NCBI Nucleotide</v>
      </c>
    </row>
    <row r="6065" spans="1:27" x14ac:dyDescent="0.35">
      <c r="A6065">
        <v>1007493</v>
      </c>
      <c r="B6065">
        <v>5803</v>
      </c>
      <c r="C6065">
        <v>1</v>
      </c>
      <c r="D6065" s="17" t="s">
        <v>10507</v>
      </c>
      <c r="E6065" s="17"/>
      <c r="F6065" s="17" t="s">
        <v>10780</v>
      </c>
      <c r="G6065" s="17"/>
      <c r="H6065" s="17" t="s">
        <v>12908</v>
      </c>
      <c r="I6065" s="17"/>
      <c r="J6065" s="17" t="s">
        <v>12909</v>
      </c>
      <c r="K6065" s="17"/>
      <c r="L6065" s="17" t="s">
        <v>13621</v>
      </c>
      <c r="M6065" s="17"/>
      <c r="N6065" s="17" t="s">
        <v>13622</v>
      </c>
      <c r="O6065" s="17"/>
      <c r="P6065" s="17" t="s">
        <v>13686</v>
      </c>
      <c r="Q6065" s="17"/>
      <c r="R6065" s="25" t="str">
        <f>HYPERLINK("https://ictv.global/taxonomy/taxondetails?taxnode_id=202305966","Porprismacovirus camas1")</f>
        <v>Porprismacovirus camas1</v>
      </c>
      <c r="S6065" s="18" t="s">
        <v>30</v>
      </c>
      <c r="T6065" s="18" t="s">
        <v>13657</v>
      </c>
      <c r="U6065" s="18"/>
      <c r="V6065" s="18" t="s">
        <v>13701</v>
      </c>
      <c r="W6065" s="18" t="s">
        <v>13702</v>
      </c>
      <c r="X6065" s="18" t="s">
        <v>42</v>
      </c>
      <c r="Y6065" s="18" t="s">
        <v>12266</v>
      </c>
      <c r="Z6065" s="18" t="s">
        <v>41209</v>
      </c>
      <c r="AA6065" s="21" t="str">
        <f>HYPERLINK("https://www.ncbi.nlm.nih.gov/nuccore/KM573772","NCBI Nucleotide")</f>
        <v>NCBI Nucleotide</v>
      </c>
    </row>
    <row r="6066" spans="1:27" x14ac:dyDescent="0.35">
      <c r="A6066">
        <v>1007494</v>
      </c>
      <c r="B6066">
        <v>5804</v>
      </c>
      <c r="C6066">
        <v>1</v>
      </c>
      <c r="D6066" s="17" t="s">
        <v>10507</v>
      </c>
      <c r="E6066" s="17"/>
      <c r="F6066" s="17" t="s">
        <v>10780</v>
      </c>
      <c r="G6066" s="17"/>
      <c r="H6066" s="17" t="s">
        <v>12908</v>
      </c>
      <c r="I6066" s="17"/>
      <c r="J6066" s="17" t="s">
        <v>12909</v>
      </c>
      <c r="K6066" s="17"/>
      <c r="L6066" s="17" t="s">
        <v>13621</v>
      </c>
      <c r="M6066" s="17"/>
      <c r="N6066" s="17" t="s">
        <v>13622</v>
      </c>
      <c r="O6066" s="17"/>
      <c r="P6066" s="17" t="s">
        <v>13686</v>
      </c>
      <c r="Q6066" s="17"/>
      <c r="R6066" s="25" t="str">
        <f>HYPERLINK("https://ictv.global/taxonomy/taxondetails?taxnode_id=202305967","Porprismacovirus camas2")</f>
        <v>Porprismacovirus camas2</v>
      </c>
      <c r="S6066" s="18" t="s">
        <v>30</v>
      </c>
      <c r="T6066" s="18" t="s">
        <v>13657</v>
      </c>
      <c r="U6066" s="18"/>
      <c r="V6066" s="18" t="s">
        <v>13703</v>
      </c>
      <c r="W6066" s="18" t="s">
        <v>13704</v>
      </c>
      <c r="X6066" s="18" t="s">
        <v>42</v>
      </c>
      <c r="Y6066" s="18" t="s">
        <v>12266</v>
      </c>
      <c r="Z6066" s="18" t="s">
        <v>41209</v>
      </c>
      <c r="AA6066" s="21" t="str">
        <f>HYPERLINK("https://www.ncbi.nlm.nih.gov/nuccore/KM573770","NCBI Nucleotide")</f>
        <v>NCBI Nucleotide</v>
      </c>
    </row>
    <row r="6067" spans="1:27" x14ac:dyDescent="0.35">
      <c r="A6067">
        <v>1007495</v>
      </c>
      <c r="B6067">
        <v>5805</v>
      </c>
      <c r="C6067">
        <v>1</v>
      </c>
      <c r="D6067" s="17" t="s">
        <v>10507</v>
      </c>
      <c r="E6067" s="17"/>
      <c r="F6067" s="17" t="s">
        <v>10780</v>
      </c>
      <c r="G6067" s="17"/>
      <c r="H6067" s="17" t="s">
        <v>12908</v>
      </c>
      <c r="I6067" s="17"/>
      <c r="J6067" s="17" t="s">
        <v>12909</v>
      </c>
      <c r="K6067" s="17"/>
      <c r="L6067" s="17" t="s">
        <v>13621</v>
      </c>
      <c r="M6067" s="17"/>
      <c r="N6067" s="17" t="s">
        <v>13622</v>
      </c>
      <c r="O6067" s="17"/>
      <c r="P6067" s="17" t="s">
        <v>13686</v>
      </c>
      <c r="Q6067" s="17"/>
      <c r="R6067" s="25" t="str">
        <f>HYPERLINK("https://ictv.global/taxonomy/taxondetails?taxnode_id=202305968","Porprismacovirus camas3")</f>
        <v>Porprismacovirus camas3</v>
      </c>
      <c r="S6067" s="18" t="s">
        <v>30</v>
      </c>
      <c r="T6067" s="18" t="s">
        <v>13657</v>
      </c>
      <c r="U6067" s="18"/>
      <c r="V6067" s="18" t="s">
        <v>13705</v>
      </c>
      <c r="W6067" s="18" t="s">
        <v>13706</v>
      </c>
      <c r="X6067" s="18" t="s">
        <v>42</v>
      </c>
      <c r="Y6067" s="18" t="s">
        <v>12266</v>
      </c>
      <c r="Z6067" s="18" t="s">
        <v>41209</v>
      </c>
      <c r="AA6067" s="21" t="str">
        <f>HYPERLINK("https://www.ncbi.nlm.nih.gov/nuccore/KM573771","NCBI Nucleotide")</f>
        <v>NCBI Nucleotide</v>
      </c>
    </row>
    <row r="6068" spans="1:27" x14ac:dyDescent="0.35">
      <c r="A6068">
        <v>1007496</v>
      </c>
      <c r="B6068">
        <v>5806</v>
      </c>
      <c r="C6068">
        <v>1</v>
      </c>
      <c r="D6068" s="17" t="s">
        <v>10507</v>
      </c>
      <c r="E6068" s="17"/>
      <c r="F6068" s="17" t="s">
        <v>10780</v>
      </c>
      <c r="G6068" s="17"/>
      <c r="H6068" s="17" t="s">
        <v>12908</v>
      </c>
      <c r="I6068" s="17"/>
      <c r="J6068" s="17" t="s">
        <v>12909</v>
      </c>
      <c r="K6068" s="17"/>
      <c r="L6068" s="17" t="s">
        <v>13621</v>
      </c>
      <c r="M6068" s="17"/>
      <c r="N6068" s="17" t="s">
        <v>13622</v>
      </c>
      <c r="O6068" s="17"/>
      <c r="P6068" s="17" t="s">
        <v>13686</v>
      </c>
      <c r="Q6068" s="17"/>
      <c r="R6068" s="25" t="str">
        <f>HYPERLINK("https://ictv.global/taxonomy/taxondetails?taxnode_id=202305969","Porprismacovirus camas4")</f>
        <v>Porprismacovirus camas4</v>
      </c>
      <c r="S6068" s="18" t="s">
        <v>30</v>
      </c>
      <c r="T6068" s="18" t="s">
        <v>13657</v>
      </c>
      <c r="U6068" s="18"/>
      <c r="V6068" s="18" t="s">
        <v>13707</v>
      </c>
      <c r="W6068" s="18" t="s">
        <v>13708</v>
      </c>
      <c r="X6068" s="18" t="s">
        <v>42</v>
      </c>
      <c r="Y6068" s="18" t="s">
        <v>12266</v>
      </c>
      <c r="Z6068" s="18" t="s">
        <v>41209</v>
      </c>
      <c r="AA6068" s="21" t="str">
        <f>HYPERLINK("https://www.ncbi.nlm.nih.gov/nuccore/KM573775","NCBI Nucleotide")</f>
        <v>NCBI Nucleotide</v>
      </c>
    </row>
    <row r="6069" spans="1:27" x14ac:dyDescent="0.35">
      <c r="A6069">
        <v>1027931</v>
      </c>
      <c r="B6069">
        <v>5807</v>
      </c>
      <c r="C6069">
        <v>1</v>
      </c>
      <c r="D6069" s="17" t="s">
        <v>10507</v>
      </c>
      <c r="E6069" s="17"/>
      <c r="F6069" s="17" t="s">
        <v>10780</v>
      </c>
      <c r="G6069" s="17"/>
      <c r="H6069" s="17" t="s">
        <v>12908</v>
      </c>
      <c r="I6069" s="17"/>
      <c r="J6069" s="17" t="s">
        <v>12909</v>
      </c>
      <c r="K6069" s="17"/>
      <c r="L6069" s="17" t="s">
        <v>13621</v>
      </c>
      <c r="M6069" s="17"/>
      <c r="N6069" s="17" t="s">
        <v>13622</v>
      </c>
      <c r="O6069" s="17"/>
      <c r="P6069" s="17" t="s">
        <v>13686</v>
      </c>
      <c r="Q6069" s="17"/>
      <c r="R6069" s="25" t="str">
        <f>HYPERLINK("https://ictv.global/taxonomy/taxondetails?taxnode_id=202317997","Porprismacovirus camas5")</f>
        <v>Porprismacovirus camas5</v>
      </c>
      <c r="S6069" s="18" t="s">
        <v>30</v>
      </c>
      <c r="T6069" s="18" t="s">
        <v>40336</v>
      </c>
      <c r="U6069" s="18"/>
      <c r="V6069" s="18" t="s">
        <v>40337</v>
      </c>
      <c r="W6069" s="18" t="s">
        <v>40338</v>
      </c>
      <c r="X6069" s="18" t="s">
        <v>42</v>
      </c>
      <c r="Y6069" s="18" t="s">
        <v>12266</v>
      </c>
      <c r="Z6069" s="18" t="s">
        <v>41209</v>
      </c>
      <c r="AA6069" s="21" t="str">
        <f>HYPERLINK("https://www.ncbi.nlm.nih.gov/nuccore/OM892354","NCBI Nucleotide")</f>
        <v>NCBI Nucleotide</v>
      </c>
    </row>
    <row r="6070" spans="1:27" x14ac:dyDescent="0.35">
      <c r="A6070">
        <v>1027932</v>
      </c>
      <c r="B6070">
        <v>5808</v>
      </c>
      <c r="C6070">
        <v>1</v>
      </c>
      <c r="D6070" s="17" t="s">
        <v>10507</v>
      </c>
      <c r="E6070" s="17"/>
      <c r="F6070" s="17" t="s">
        <v>10780</v>
      </c>
      <c r="G6070" s="17"/>
      <c r="H6070" s="17" t="s">
        <v>12908</v>
      </c>
      <c r="I6070" s="17"/>
      <c r="J6070" s="17" t="s">
        <v>12909</v>
      </c>
      <c r="K6070" s="17"/>
      <c r="L6070" s="17" t="s">
        <v>13621</v>
      </c>
      <c r="M6070" s="17"/>
      <c r="N6070" s="17" t="s">
        <v>13622</v>
      </c>
      <c r="O6070" s="17"/>
      <c r="P6070" s="17" t="s">
        <v>13686</v>
      </c>
      <c r="Q6070" s="17"/>
      <c r="R6070" s="25" t="str">
        <f>HYPERLINK("https://ictv.global/taxonomy/taxondetails?taxnode_id=202317998","Porprismacovirus canid1")</f>
        <v>Porprismacovirus canid1</v>
      </c>
      <c r="S6070" s="18" t="s">
        <v>30</v>
      </c>
      <c r="T6070" s="18" t="s">
        <v>50403</v>
      </c>
      <c r="U6070" s="18"/>
      <c r="V6070" s="18" t="s">
        <v>40339</v>
      </c>
      <c r="W6070" s="18" t="s">
        <v>40340</v>
      </c>
      <c r="X6070" s="18" t="s">
        <v>42</v>
      </c>
      <c r="Y6070" s="18" t="s">
        <v>12266</v>
      </c>
      <c r="Z6070" s="18" t="s">
        <v>41209</v>
      </c>
      <c r="AA6070" s="21" t="str">
        <f>HYPERLINK("https://www.ncbi.nlm.nih.gov/nuccore/OQ198181","NCBI Nucleotide")</f>
        <v>NCBI Nucleotide</v>
      </c>
    </row>
    <row r="6071" spans="1:27" x14ac:dyDescent="0.35">
      <c r="A6071">
        <v>1027933</v>
      </c>
      <c r="B6071">
        <v>5809</v>
      </c>
      <c r="C6071">
        <v>1</v>
      </c>
      <c r="D6071" s="17" t="s">
        <v>10507</v>
      </c>
      <c r="E6071" s="17"/>
      <c r="F6071" s="17" t="s">
        <v>10780</v>
      </c>
      <c r="G6071" s="17"/>
      <c r="H6071" s="17" t="s">
        <v>12908</v>
      </c>
      <c r="I6071" s="17"/>
      <c r="J6071" s="17" t="s">
        <v>12909</v>
      </c>
      <c r="K6071" s="17"/>
      <c r="L6071" s="17" t="s">
        <v>13621</v>
      </c>
      <c r="M6071" s="17"/>
      <c r="N6071" s="17" t="s">
        <v>13622</v>
      </c>
      <c r="O6071" s="17"/>
      <c r="P6071" s="17" t="s">
        <v>13686</v>
      </c>
      <c r="Q6071" s="17"/>
      <c r="R6071" s="25" t="str">
        <f>HYPERLINK("https://ictv.global/taxonomy/taxondetails?taxnode_id=202317999","Porprismacovirus canid2")</f>
        <v>Porprismacovirus canid2</v>
      </c>
      <c r="S6071" s="18" t="s">
        <v>30</v>
      </c>
      <c r="T6071" s="18" t="s">
        <v>50404</v>
      </c>
      <c r="U6071" s="18"/>
      <c r="V6071" s="18" t="s">
        <v>40341</v>
      </c>
      <c r="W6071" s="18" t="s">
        <v>40342</v>
      </c>
      <c r="X6071" s="18" t="s">
        <v>42</v>
      </c>
      <c r="Y6071" s="18" t="s">
        <v>12266</v>
      </c>
      <c r="Z6071" s="18" t="s">
        <v>41209</v>
      </c>
      <c r="AA6071" s="21" t="str">
        <f>HYPERLINK("https://www.ncbi.nlm.nih.gov/nuccore/OQ198185","NCBI Nucleotide")</f>
        <v>NCBI Nucleotide</v>
      </c>
    </row>
    <row r="6072" spans="1:27" x14ac:dyDescent="0.35">
      <c r="A6072">
        <v>1027934</v>
      </c>
      <c r="B6072">
        <v>5810</v>
      </c>
      <c r="C6072">
        <v>1</v>
      </c>
      <c r="D6072" s="17" t="s">
        <v>10507</v>
      </c>
      <c r="E6072" s="17"/>
      <c r="F6072" s="17" t="s">
        <v>10780</v>
      </c>
      <c r="G6072" s="17"/>
      <c r="H6072" s="17" t="s">
        <v>12908</v>
      </c>
      <c r="I6072" s="17"/>
      <c r="J6072" s="17" t="s">
        <v>12909</v>
      </c>
      <c r="K6072" s="17"/>
      <c r="L6072" s="17" t="s">
        <v>13621</v>
      </c>
      <c r="M6072" s="17"/>
      <c r="N6072" s="17" t="s">
        <v>13622</v>
      </c>
      <c r="O6072" s="17"/>
      <c r="P6072" s="17" t="s">
        <v>13686</v>
      </c>
      <c r="Q6072" s="17"/>
      <c r="R6072" s="25" t="str">
        <f>HYPERLINK("https://ictv.global/taxonomy/taxondetails?taxnode_id=202318000","Porprismacovirus canid3")</f>
        <v>Porprismacovirus canid3</v>
      </c>
      <c r="S6072" s="18" t="s">
        <v>30</v>
      </c>
      <c r="T6072" s="18" t="s">
        <v>50405</v>
      </c>
      <c r="U6072" s="18"/>
      <c r="V6072" s="18" t="s">
        <v>40343</v>
      </c>
      <c r="W6072" s="18" t="s">
        <v>40344</v>
      </c>
      <c r="X6072" s="18" t="s">
        <v>42</v>
      </c>
      <c r="Y6072" s="18" t="s">
        <v>12266</v>
      </c>
      <c r="Z6072" s="18" t="s">
        <v>41209</v>
      </c>
      <c r="AA6072" s="21" t="str">
        <f>HYPERLINK("https://www.ncbi.nlm.nih.gov/nuccore/MT457881","NCBI Nucleotide")</f>
        <v>NCBI Nucleotide</v>
      </c>
    </row>
    <row r="6073" spans="1:27" x14ac:dyDescent="0.35">
      <c r="A6073">
        <v>1027935</v>
      </c>
      <c r="B6073">
        <v>5811</v>
      </c>
      <c r="C6073">
        <v>1</v>
      </c>
      <c r="D6073" s="17" t="s">
        <v>10507</v>
      </c>
      <c r="E6073" s="17"/>
      <c r="F6073" s="17" t="s">
        <v>10780</v>
      </c>
      <c r="G6073" s="17"/>
      <c r="H6073" s="17" t="s">
        <v>12908</v>
      </c>
      <c r="I6073" s="17"/>
      <c r="J6073" s="17" t="s">
        <v>12909</v>
      </c>
      <c r="K6073" s="17"/>
      <c r="L6073" s="17" t="s">
        <v>13621</v>
      </c>
      <c r="M6073" s="17"/>
      <c r="N6073" s="17" t="s">
        <v>13622</v>
      </c>
      <c r="O6073" s="17"/>
      <c r="P6073" s="17" t="s">
        <v>13686</v>
      </c>
      <c r="Q6073" s="17"/>
      <c r="R6073" s="25" t="str">
        <f>HYPERLINK("https://ictv.global/taxonomy/taxondetails?taxnode_id=202318001","Porprismacovirus canid4")</f>
        <v>Porprismacovirus canid4</v>
      </c>
      <c r="S6073" s="18" t="s">
        <v>30</v>
      </c>
      <c r="T6073" s="18" t="s">
        <v>50406</v>
      </c>
      <c r="U6073" s="18"/>
      <c r="V6073" s="18" t="s">
        <v>40345</v>
      </c>
      <c r="W6073" s="18" t="s">
        <v>40346</v>
      </c>
      <c r="X6073" s="18" t="s">
        <v>42</v>
      </c>
      <c r="Y6073" s="18" t="s">
        <v>12266</v>
      </c>
      <c r="Z6073" s="18" t="s">
        <v>41209</v>
      </c>
      <c r="AA6073" s="21" t="str">
        <f>HYPERLINK("https://www.ncbi.nlm.nih.gov/nuccore/OQ198178","NCBI Nucleotide")</f>
        <v>NCBI Nucleotide</v>
      </c>
    </row>
    <row r="6074" spans="1:27" x14ac:dyDescent="0.35">
      <c r="A6074">
        <v>1027936</v>
      </c>
      <c r="B6074">
        <v>5812</v>
      </c>
      <c r="C6074">
        <v>1</v>
      </c>
      <c r="D6074" s="17" t="s">
        <v>10507</v>
      </c>
      <c r="E6074" s="17"/>
      <c r="F6074" s="17" t="s">
        <v>10780</v>
      </c>
      <c r="G6074" s="17"/>
      <c r="H6074" s="17" t="s">
        <v>12908</v>
      </c>
      <c r="I6074" s="17"/>
      <c r="J6074" s="17" t="s">
        <v>12909</v>
      </c>
      <c r="K6074" s="17"/>
      <c r="L6074" s="17" t="s">
        <v>13621</v>
      </c>
      <c r="M6074" s="17"/>
      <c r="N6074" s="17" t="s">
        <v>13622</v>
      </c>
      <c r="O6074" s="17"/>
      <c r="P6074" s="17" t="s">
        <v>13686</v>
      </c>
      <c r="Q6074" s="17"/>
      <c r="R6074" s="25" t="str">
        <f>HYPERLINK("https://ictv.global/taxonomy/taxondetails?taxnode_id=202318002","Porprismacovirus canid5")</f>
        <v>Porprismacovirus canid5</v>
      </c>
      <c r="S6074" s="18" t="s">
        <v>30</v>
      </c>
      <c r="T6074" s="18" t="s">
        <v>50407</v>
      </c>
      <c r="U6074" s="18"/>
      <c r="V6074" s="18" t="s">
        <v>40347</v>
      </c>
      <c r="W6074" s="18" t="s">
        <v>40348</v>
      </c>
      <c r="X6074" s="18" t="s">
        <v>42</v>
      </c>
      <c r="Y6074" s="18" t="s">
        <v>12266</v>
      </c>
      <c r="Z6074" s="18" t="s">
        <v>41209</v>
      </c>
      <c r="AA6074" s="21" t="str">
        <f>HYPERLINK("https://www.ncbi.nlm.nih.gov/nuccore/OQ198179","NCBI Nucleotide")</f>
        <v>NCBI Nucleotide</v>
      </c>
    </row>
    <row r="6075" spans="1:27" x14ac:dyDescent="0.35">
      <c r="A6075">
        <v>1027937</v>
      </c>
      <c r="B6075">
        <v>5813</v>
      </c>
      <c r="C6075">
        <v>1</v>
      </c>
      <c r="D6075" s="17" t="s">
        <v>10507</v>
      </c>
      <c r="E6075" s="17"/>
      <c r="F6075" s="17" t="s">
        <v>10780</v>
      </c>
      <c r="G6075" s="17"/>
      <c r="H6075" s="17" t="s">
        <v>12908</v>
      </c>
      <c r="I6075" s="17"/>
      <c r="J6075" s="17" t="s">
        <v>12909</v>
      </c>
      <c r="K6075" s="17"/>
      <c r="L6075" s="17" t="s">
        <v>13621</v>
      </c>
      <c r="M6075" s="17"/>
      <c r="N6075" s="17" t="s">
        <v>13622</v>
      </c>
      <c r="O6075" s="17"/>
      <c r="P6075" s="17" t="s">
        <v>13686</v>
      </c>
      <c r="Q6075" s="17"/>
      <c r="R6075" s="25" t="str">
        <f>HYPERLINK("https://ictv.global/taxonomy/taxondetails?taxnode_id=202318003","Porprismacovirus canid6")</f>
        <v>Porprismacovirus canid6</v>
      </c>
      <c r="S6075" s="18" t="s">
        <v>30</v>
      </c>
      <c r="T6075" s="18" t="s">
        <v>50408</v>
      </c>
      <c r="U6075" s="18"/>
      <c r="V6075" s="18" t="s">
        <v>40349</v>
      </c>
      <c r="W6075" s="18" t="s">
        <v>40350</v>
      </c>
      <c r="X6075" s="18" t="s">
        <v>42</v>
      </c>
      <c r="Y6075" s="18" t="s">
        <v>12266</v>
      </c>
      <c r="Z6075" s="18" t="s">
        <v>41209</v>
      </c>
      <c r="AA6075" s="21" t="str">
        <f>HYPERLINK("https://www.ncbi.nlm.nih.gov/nuccore/OQ198180","NCBI Nucleotide")</f>
        <v>NCBI Nucleotide</v>
      </c>
    </row>
    <row r="6076" spans="1:27" x14ac:dyDescent="0.35">
      <c r="A6076">
        <v>1027938</v>
      </c>
      <c r="B6076">
        <v>5814</v>
      </c>
      <c r="C6076">
        <v>1</v>
      </c>
      <c r="D6076" s="17" t="s">
        <v>10507</v>
      </c>
      <c r="E6076" s="17"/>
      <c r="F6076" s="17" t="s">
        <v>10780</v>
      </c>
      <c r="G6076" s="17"/>
      <c r="H6076" s="17" t="s">
        <v>12908</v>
      </c>
      <c r="I6076" s="17"/>
      <c r="J6076" s="17" t="s">
        <v>12909</v>
      </c>
      <c r="K6076" s="17"/>
      <c r="L6076" s="17" t="s">
        <v>13621</v>
      </c>
      <c r="M6076" s="17"/>
      <c r="N6076" s="17" t="s">
        <v>13622</v>
      </c>
      <c r="O6076" s="17"/>
      <c r="P6076" s="17" t="s">
        <v>13686</v>
      </c>
      <c r="Q6076" s="17"/>
      <c r="R6076" s="25" t="str">
        <f>HYPERLINK("https://ictv.global/taxonomy/taxondetails?taxnode_id=202318004","Porprismacovirus canid7")</f>
        <v>Porprismacovirus canid7</v>
      </c>
      <c r="S6076" s="18" t="s">
        <v>30</v>
      </c>
      <c r="T6076" s="18" t="s">
        <v>50409</v>
      </c>
      <c r="U6076" s="18"/>
      <c r="V6076" s="18" t="s">
        <v>40351</v>
      </c>
      <c r="W6076" s="18" t="s">
        <v>40352</v>
      </c>
      <c r="X6076" s="18" t="s">
        <v>42</v>
      </c>
      <c r="Y6076" s="18" t="s">
        <v>12266</v>
      </c>
      <c r="Z6076" s="18" t="s">
        <v>41209</v>
      </c>
      <c r="AA6076" s="21" t="str">
        <f>HYPERLINK("https://www.ncbi.nlm.nih.gov/nuccore/OQ198183","NCBI Nucleotide")</f>
        <v>NCBI Nucleotide</v>
      </c>
    </row>
    <row r="6077" spans="1:27" x14ac:dyDescent="0.35">
      <c r="A6077">
        <v>1027939</v>
      </c>
      <c r="B6077">
        <v>5815</v>
      </c>
      <c r="C6077">
        <v>1</v>
      </c>
      <c r="D6077" s="17" t="s">
        <v>10507</v>
      </c>
      <c r="E6077" s="17"/>
      <c r="F6077" s="17" t="s">
        <v>10780</v>
      </c>
      <c r="G6077" s="17"/>
      <c r="H6077" s="17" t="s">
        <v>12908</v>
      </c>
      <c r="I6077" s="17"/>
      <c r="J6077" s="17" t="s">
        <v>12909</v>
      </c>
      <c r="K6077" s="17"/>
      <c r="L6077" s="17" t="s">
        <v>13621</v>
      </c>
      <c r="M6077" s="17"/>
      <c r="N6077" s="17" t="s">
        <v>13622</v>
      </c>
      <c r="O6077" s="17"/>
      <c r="P6077" s="17" t="s">
        <v>13686</v>
      </c>
      <c r="Q6077" s="17"/>
      <c r="R6077" s="25" t="str">
        <f>HYPERLINK("https://ictv.global/taxonomy/taxondetails?taxnode_id=202318005","Porprismacovirus canid8")</f>
        <v>Porprismacovirus canid8</v>
      </c>
      <c r="S6077" s="18" t="s">
        <v>30</v>
      </c>
      <c r="T6077" s="18" t="s">
        <v>50410</v>
      </c>
      <c r="U6077" s="18"/>
      <c r="V6077" s="18" t="s">
        <v>40353</v>
      </c>
      <c r="W6077" s="18" t="s">
        <v>40354</v>
      </c>
      <c r="X6077" s="18" t="s">
        <v>42</v>
      </c>
      <c r="Y6077" s="18" t="s">
        <v>12266</v>
      </c>
      <c r="Z6077" s="18" t="s">
        <v>41209</v>
      </c>
      <c r="AA6077" s="21" t="str">
        <f>HYPERLINK("https://www.ncbi.nlm.nih.gov/nuccore/MT457878","NCBI Nucleotide")</f>
        <v>NCBI Nucleotide</v>
      </c>
    </row>
    <row r="6078" spans="1:27" x14ac:dyDescent="0.35">
      <c r="A6078">
        <v>1027940</v>
      </c>
      <c r="B6078">
        <v>5816</v>
      </c>
      <c r="C6078">
        <v>1</v>
      </c>
      <c r="D6078" s="17" t="s">
        <v>10507</v>
      </c>
      <c r="E6078" s="17"/>
      <c r="F6078" s="17" t="s">
        <v>10780</v>
      </c>
      <c r="G6078" s="17"/>
      <c r="H6078" s="17" t="s">
        <v>12908</v>
      </c>
      <c r="I6078" s="17"/>
      <c r="J6078" s="17" t="s">
        <v>12909</v>
      </c>
      <c r="K6078" s="17"/>
      <c r="L6078" s="17" t="s">
        <v>13621</v>
      </c>
      <c r="M6078" s="17"/>
      <c r="N6078" s="17" t="s">
        <v>13622</v>
      </c>
      <c r="O6078" s="17"/>
      <c r="P6078" s="17" t="s">
        <v>13686</v>
      </c>
      <c r="Q6078" s="17"/>
      <c r="R6078" s="25" t="str">
        <f>HYPERLINK("https://ictv.global/taxonomy/taxondetails?taxnode_id=202318006","Porprismacovirus canid9")</f>
        <v>Porprismacovirus canid9</v>
      </c>
      <c r="S6078" s="18" t="s">
        <v>30</v>
      </c>
      <c r="T6078" s="18" t="s">
        <v>50411</v>
      </c>
      <c r="U6078" s="18"/>
      <c r="V6078" s="18" t="s">
        <v>40355</v>
      </c>
      <c r="W6078" s="18" t="s">
        <v>40356</v>
      </c>
      <c r="X6078" s="18" t="s">
        <v>42</v>
      </c>
      <c r="Y6078" s="18" t="s">
        <v>12266</v>
      </c>
      <c r="Z6078" s="18" t="s">
        <v>41209</v>
      </c>
      <c r="AA6078" s="21" t="str">
        <f>HYPERLINK("https://www.ncbi.nlm.nih.gov/nuccore/MT457879","NCBI Nucleotide")</f>
        <v>NCBI Nucleotide</v>
      </c>
    </row>
    <row r="6079" spans="1:27" x14ac:dyDescent="0.35">
      <c r="A6079">
        <v>1007497</v>
      </c>
      <c r="B6079">
        <v>5817</v>
      </c>
      <c r="C6079">
        <v>1</v>
      </c>
      <c r="D6079" s="17" t="s">
        <v>10507</v>
      </c>
      <c r="E6079" s="17"/>
      <c r="F6079" s="17" t="s">
        <v>10780</v>
      </c>
      <c r="G6079" s="17"/>
      <c r="H6079" s="17" t="s">
        <v>12908</v>
      </c>
      <c r="I6079" s="17"/>
      <c r="J6079" s="17" t="s">
        <v>12909</v>
      </c>
      <c r="K6079" s="17"/>
      <c r="L6079" s="17" t="s">
        <v>13621</v>
      </c>
      <c r="M6079" s="17"/>
      <c r="N6079" s="17" t="s">
        <v>13622</v>
      </c>
      <c r="O6079" s="17"/>
      <c r="P6079" s="17" t="s">
        <v>13686</v>
      </c>
      <c r="Q6079" s="17"/>
      <c r="R6079" s="25" t="str">
        <f>HYPERLINK("https://ictv.global/taxonomy/taxondetails?taxnode_id=202309514","Porprismacovirus capas1")</f>
        <v>Porprismacovirus capas1</v>
      </c>
      <c r="S6079" s="18" t="s">
        <v>30</v>
      </c>
      <c r="T6079" s="18" t="s">
        <v>13709</v>
      </c>
      <c r="U6079" s="18"/>
      <c r="V6079" s="18" t="s">
        <v>13710</v>
      </c>
      <c r="W6079" s="18" t="s">
        <v>13711</v>
      </c>
      <c r="X6079" s="18" t="s">
        <v>42</v>
      </c>
      <c r="Y6079" s="18" t="s">
        <v>12266</v>
      </c>
      <c r="Z6079" s="18" t="s">
        <v>41209</v>
      </c>
      <c r="AA6079" s="21" t="str">
        <f>HYPERLINK("https://www.ncbi.nlm.nih.gov/nuccore/MK570200","NCBI Nucleotide")</f>
        <v>NCBI Nucleotide</v>
      </c>
    </row>
    <row r="6080" spans="1:27" x14ac:dyDescent="0.35">
      <c r="A6080">
        <v>1007498</v>
      </c>
      <c r="B6080">
        <v>5818</v>
      </c>
      <c r="C6080">
        <v>1</v>
      </c>
      <c r="D6080" s="17" t="s">
        <v>10507</v>
      </c>
      <c r="E6080" s="17"/>
      <c r="F6080" s="17" t="s">
        <v>10780</v>
      </c>
      <c r="G6080" s="17"/>
      <c r="H6080" s="17" t="s">
        <v>12908</v>
      </c>
      <c r="I6080" s="17"/>
      <c r="J6080" s="17" t="s">
        <v>12909</v>
      </c>
      <c r="K6080" s="17"/>
      <c r="L6080" s="17" t="s">
        <v>13621</v>
      </c>
      <c r="M6080" s="17"/>
      <c r="N6080" s="17" t="s">
        <v>13622</v>
      </c>
      <c r="O6080" s="17"/>
      <c r="P6080" s="17" t="s">
        <v>13686</v>
      </c>
      <c r="Q6080" s="17"/>
      <c r="R6080" s="25" t="str">
        <f>HYPERLINK("https://ictv.global/taxonomy/taxondetails?taxnode_id=202309515","Porprismacovirus chicas1")</f>
        <v>Porprismacovirus chicas1</v>
      </c>
      <c r="S6080" s="18" t="s">
        <v>30</v>
      </c>
      <c r="T6080" s="18" t="s">
        <v>13667</v>
      </c>
      <c r="U6080" s="18"/>
      <c r="V6080" s="18" t="s">
        <v>13712</v>
      </c>
      <c r="W6080" s="18" t="s">
        <v>13713</v>
      </c>
      <c r="X6080" s="18" t="s">
        <v>42</v>
      </c>
      <c r="Y6080" s="18" t="s">
        <v>12266</v>
      </c>
      <c r="Z6080" s="18" t="s">
        <v>41209</v>
      </c>
      <c r="AA6080" s="21" t="str">
        <f>HYPERLINK("https://www.ncbi.nlm.nih.gov/nuccore/KY086298","NCBI Nucleotide")</f>
        <v>NCBI Nucleotide</v>
      </c>
    </row>
    <row r="6081" spans="1:27" x14ac:dyDescent="0.35">
      <c r="A6081">
        <v>1007499</v>
      </c>
      <c r="B6081">
        <v>5819</v>
      </c>
      <c r="C6081">
        <v>1</v>
      </c>
      <c r="D6081" s="17" t="s">
        <v>10507</v>
      </c>
      <c r="E6081" s="17"/>
      <c r="F6081" s="17" t="s">
        <v>10780</v>
      </c>
      <c r="G6081" s="17"/>
      <c r="H6081" s="17" t="s">
        <v>12908</v>
      </c>
      <c r="I6081" s="17"/>
      <c r="J6081" s="17" t="s">
        <v>12909</v>
      </c>
      <c r="K6081" s="17"/>
      <c r="L6081" s="17" t="s">
        <v>13621</v>
      </c>
      <c r="M6081" s="17"/>
      <c r="N6081" s="17" t="s">
        <v>13622</v>
      </c>
      <c r="O6081" s="17"/>
      <c r="P6081" s="17" t="s">
        <v>13686</v>
      </c>
      <c r="Q6081" s="17"/>
      <c r="R6081" s="25" t="str">
        <f>HYPERLINK("https://ictv.global/taxonomy/taxondetails?taxnode_id=202309516","Porprismacovirus chicas2")</f>
        <v>Porprismacovirus chicas2</v>
      </c>
      <c r="S6081" s="18" t="s">
        <v>30</v>
      </c>
      <c r="T6081" s="18" t="s">
        <v>13714</v>
      </c>
      <c r="U6081" s="18"/>
      <c r="V6081" s="18" t="s">
        <v>13715</v>
      </c>
      <c r="W6081" s="18" t="s">
        <v>13716</v>
      </c>
      <c r="X6081" s="18" t="s">
        <v>42</v>
      </c>
      <c r="Y6081" s="18" t="s">
        <v>12266</v>
      </c>
      <c r="Z6081" s="18" t="s">
        <v>41209</v>
      </c>
      <c r="AA6081" s="21" t="str">
        <f>HYPERLINK("https://www.ncbi.nlm.nih.gov/nuccore/MN379619","NCBI Nucleotide")</f>
        <v>NCBI Nucleotide</v>
      </c>
    </row>
    <row r="6082" spans="1:27" x14ac:dyDescent="0.35">
      <c r="A6082">
        <v>1007500</v>
      </c>
      <c r="B6082">
        <v>5820</v>
      </c>
      <c r="C6082">
        <v>1</v>
      </c>
      <c r="D6082" s="17" t="s">
        <v>10507</v>
      </c>
      <c r="E6082" s="17"/>
      <c r="F6082" s="17" t="s">
        <v>10780</v>
      </c>
      <c r="G6082" s="17"/>
      <c r="H6082" s="17" t="s">
        <v>12908</v>
      </c>
      <c r="I6082" s="17"/>
      <c r="J6082" s="17" t="s">
        <v>12909</v>
      </c>
      <c r="K6082" s="17"/>
      <c r="L6082" s="17" t="s">
        <v>13621</v>
      </c>
      <c r="M6082" s="17"/>
      <c r="N6082" s="17" t="s">
        <v>13622</v>
      </c>
      <c r="O6082" s="17"/>
      <c r="P6082" s="17" t="s">
        <v>13686</v>
      </c>
      <c r="Q6082" s="17"/>
      <c r="R6082" s="25" t="str">
        <f>HYPERLINK("https://ictv.global/taxonomy/taxondetails?taxnode_id=202309517","Porprismacovirus chicas3")</f>
        <v>Porprismacovirus chicas3</v>
      </c>
      <c r="S6082" s="18" t="s">
        <v>30</v>
      </c>
      <c r="T6082" s="18" t="s">
        <v>13717</v>
      </c>
      <c r="U6082" s="18"/>
      <c r="V6082" s="18" t="s">
        <v>13718</v>
      </c>
      <c r="W6082" s="18" t="s">
        <v>13719</v>
      </c>
      <c r="X6082" s="18" t="s">
        <v>42</v>
      </c>
      <c r="Y6082" s="18" t="s">
        <v>12266</v>
      </c>
      <c r="Z6082" s="18" t="s">
        <v>41209</v>
      </c>
      <c r="AA6082" s="21" t="str">
        <f>HYPERLINK("https://www.ncbi.nlm.nih.gov/nuccore/MN379623","NCBI Nucleotide")</f>
        <v>NCBI Nucleotide</v>
      </c>
    </row>
    <row r="6083" spans="1:27" x14ac:dyDescent="0.35">
      <c r="A6083">
        <v>1007501</v>
      </c>
      <c r="B6083">
        <v>5821</v>
      </c>
      <c r="C6083">
        <v>1</v>
      </c>
      <c r="D6083" s="17" t="s">
        <v>10507</v>
      </c>
      <c r="E6083" s="17"/>
      <c r="F6083" s="17" t="s">
        <v>10780</v>
      </c>
      <c r="G6083" s="17"/>
      <c r="H6083" s="17" t="s">
        <v>12908</v>
      </c>
      <c r="I6083" s="17"/>
      <c r="J6083" s="17" t="s">
        <v>12909</v>
      </c>
      <c r="K6083" s="17"/>
      <c r="L6083" s="17" t="s">
        <v>13621</v>
      </c>
      <c r="M6083" s="17"/>
      <c r="N6083" s="17" t="s">
        <v>13622</v>
      </c>
      <c r="O6083" s="17"/>
      <c r="P6083" s="17" t="s">
        <v>13686</v>
      </c>
      <c r="Q6083" s="17"/>
      <c r="R6083" s="25" t="str">
        <f>HYPERLINK("https://ictv.global/taxonomy/taxondetails?taxnode_id=202309518","Porprismacovirus chicas4")</f>
        <v>Porprismacovirus chicas4</v>
      </c>
      <c r="S6083" s="18" t="s">
        <v>30</v>
      </c>
      <c r="T6083" s="18" t="s">
        <v>13720</v>
      </c>
      <c r="U6083" s="18"/>
      <c r="V6083" s="18" t="s">
        <v>13721</v>
      </c>
      <c r="W6083" s="18" t="s">
        <v>13722</v>
      </c>
      <c r="X6083" s="18" t="s">
        <v>42</v>
      </c>
      <c r="Y6083" s="18" t="s">
        <v>12266</v>
      </c>
      <c r="Z6083" s="18" t="s">
        <v>41209</v>
      </c>
      <c r="AA6083" s="21" t="str">
        <f>HYPERLINK("https://www.ncbi.nlm.nih.gov/nuccore/MN379620","NCBI Nucleotide")</f>
        <v>NCBI Nucleotide</v>
      </c>
    </row>
    <row r="6084" spans="1:27" x14ac:dyDescent="0.35">
      <c r="A6084">
        <v>1007502</v>
      </c>
      <c r="B6084">
        <v>5822</v>
      </c>
      <c r="C6084">
        <v>1</v>
      </c>
      <c r="D6084" s="17" t="s">
        <v>10507</v>
      </c>
      <c r="E6084" s="17"/>
      <c r="F6084" s="17" t="s">
        <v>10780</v>
      </c>
      <c r="G6084" s="17"/>
      <c r="H6084" s="17" t="s">
        <v>12908</v>
      </c>
      <c r="I6084" s="17"/>
      <c r="J6084" s="17" t="s">
        <v>12909</v>
      </c>
      <c r="K6084" s="17"/>
      <c r="L6084" s="17" t="s">
        <v>13621</v>
      </c>
      <c r="M6084" s="17"/>
      <c r="N6084" s="17" t="s">
        <v>13622</v>
      </c>
      <c r="O6084" s="17"/>
      <c r="P6084" s="17" t="s">
        <v>13686</v>
      </c>
      <c r="Q6084" s="17"/>
      <c r="R6084" s="25" t="str">
        <f>HYPERLINK("https://ictv.global/taxonomy/taxondetails?taxnode_id=202309519","Porprismacovirus chicas5")</f>
        <v>Porprismacovirus chicas5</v>
      </c>
      <c r="S6084" s="18" t="s">
        <v>30</v>
      </c>
      <c r="T6084" s="18" t="s">
        <v>13723</v>
      </c>
      <c r="U6084" s="18"/>
      <c r="V6084" s="18" t="s">
        <v>13724</v>
      </c>
      <c r="W6084" s="18" t="s">
        <v>13725</v>
      </c>
      <c r="X6084" s="18" t="s">
        <v>42</v>
      </c>
      <c r="Y6084" s="18" t="s">
        <v>12266</v>
      </c>
      <c r="Z6084" s="18" t="s">
        <v>41209</v>
      </c>
      <c r="AA6084" s="21" t="str">
        <f>HYPERLINK("https://www.ncbi.nlm.nih.gov/nuccore/MN379627","NCBI Nucleotide")</f>
        <v>NCBI Nucleotide</v>
      </c>
    </row>
    <row r="6085" spans="1:27" x14ac:dyDescent="0.35">
      <c r="A6085">
        <v>1007503</v>
      </c>
      <c r="B6085">
        <v>5823</v>
      </c>
      <c r="C6085">
        <v>1</v>
      </c>
      <c r="D6085" s="17" t="s">
        <v>10507</v>
      </c>
      <c r="E6085" s="17"/>
      <c r="F6085" s="17" t="s">
        <v>10780</v>
      </c>
      <c r="G6085" s="17"/>
      <c r="H6085" s="17" t="s">
        <v>12908</v>
      </c>
      <c r="I6085" s="17"/>
      <c r="J6085" s="17" t="s">
        <v>12909</v>
      </c>
      <c r="K6085" s="17"/>
      <c r="L6085" s="17" t="s">
        <v>13621</v>
      </c>
      <c r="M6085" s="17"/>
      <c r="N6085" s="17" t="s">
        <v>13622</v>
      </c>
      <c r="O6085" s="17"/>
      <c r="P6085" s="17" t="s">
        <v>13686</v>
      </c>
      <c r="Q6085" s="17"/>
      <c r="R6085" s="25" t="str">
        <f>HYPERLINK("https://ictv.global/taxonomy/taxondetails?taxnode_id=202309520","Porprismacovirus chicas6")</f>
        <v>Porprismacovirus chicas6</v>
      </c>
      <c r="S6085" s="18" t="s">
        <v>30</v>
      </c>
      <c r="T6085" s="18" t="s">
        <v>13726</v>
      </c>
      <c r="U6085" s="18"/>
      <c r="V6085" s="18" t="s">
        <v>13727</v>
      </c>
      <c r="W6085" s="18" t="s">
        <v>13728</v>
      </c>
      <c r="X6085" s="18" t="s">
        <v>42</v>
      </c>
      <c r="Y6085" s="18" t="s">
        <v>12266</v>
      </c>
      <c r="Z6085" s="18" t="s">
        <v>41209</v>
      </c>
      <c r="AA6085" s="21" t="str">
        <f>HYPERLINK("https://www.ncbi.nlm.nih.gov/nuccore/MN379621","NCBI Nucleotide")</f>
        <v>NCBI Nucleotide</v>
      </c>
    </row>
    <row r="6086" spans="1:27" x14ac:dyDescent="0.35">
      <c r="A6086">
        <v>1007504</v>
      </c>
      <c r="B6086">
        <v>5824</v>
      </c>
      <c r="C6086">
        <v>1</v>
      </c>
      <c r="D6086" s="17" t="s">
        <v>10507</v>
      </c>
      <c r="E6086" s="17"/>
      <c r="F6086" s="17" t="s">
        <v>10780</v>
      </c>
      <c r="G6086" s="17"/>
      <c r="H6086" s="17" t="s">
        <v>12908</v>
      </c>
      <c r="I6086" s="17"/>
      <c r="J6086" s="17" t="s">
        <v>12909</v>
      </c>
      <c r="K6086" s="17"/>
      <c r="L6086" s="17" t="s">
        <v>13621</v>
      </c>
      <c r="M6086" s="17"/>
      <c r="N6086" s="17" t="s">
        <v>13622</v>
      </c>
      <c r="O6086" s="17"/>
      <c r="P6086" s="17" t="s">
        <v>13686</v>
      </c>
      <c r="Q6086" s="17"/>
      <c r="R6086" s="25" t="str">
        <f>HYPERLINK("https://ictv.global/taxonomy/taxondetails?taxnode_id=202309521","Porprismacovirus chicas7")</f>
        <v>Porprismacovirus chicas7</v>
      </c>
      <c r="S6086" s="18" t="s">
        <v>30</v>
      </c>
      <c r="T6086" s="18" t="s">
        <v>13729</v>
      </c>
      <c r="U6086" s="18"/>
      <c r="V6086" s="18" t="s">
        <v>13730</v>
      </c>
      <c r="W6086" s="18" t="s">
        <v>13731</v>
      </c>
      <c r="X6086" s="18" t="s">
        <v>42</v>
      </c>
      <c r="Y6086" s="18" t="s">
        <v>12266</v>
      </c>
      <c r="Z6086" s="18" t="s">
        <v>41209</v>
      </c>
      <c r="AA6086" s="21" t="str">
        <f>HYPERLINK("https://www.ncbi.nlm.nih.gov/nuccore/MN379622","NCBI Nucleotide")</f>
        <v>NCBI Nucleotide</v>
      </c>
    </row>
    <row r="6087" spans="1:27" x14ac:dyDescent="0.35">
      <c r="A6087">
        <v>1007505</v>
      </c>
      <c r="B6087">
        <v>5825</v>
      </c>
      <c r="C6087">
        <v>1</v>
      </c>
      <c r="D6087" s="17" t="s">
        <v>10507</v>
      </c>
      <c r="E6087" s="17"/>
      <c r="F6087" s="17" t="s">
        <v>10780</v>
      </c>
      <c r="G6087" s="17"/>
      <c r="H6087" s="17" t="s">
        <v>12908</v>
      </c>
      <c r="I6087" s="17"/>
      <c r="J6087" s="17" t="s">
        <v>12909</v>
      </c>
      <c r="K6087" s="17"/>
      <c r="L6087" s="17" t="s">
        <v>13621</v>
      </c>
      <c r="M6087" s="17"/>
      <c r="N6087" s="17" t="s">
        <v>13622</v>
      </c>
      <c r="O6087" s="17"/>
      <c r="P6087" s="17" t="s">
        <v>13686</v>
      </c>
      <c r="Q6087" s="17"/>
      <c r="R6087" s="25" t="str">
        <f>HYPERLINK("https://ictv.global/taxonomy/taxondetails?taxnode_id=202305970","Porprismacovirus chimas1")</f>
        <v>Porprismacovirus chimas1</v>
      </c>
      <c r="S6087" s="18" t="s">
        <v>30</v>
      </c>
      <c r="T6087" s="18" t="s">
        <v>13732</v>
      </c>
      <c r="U6087" s="18"/>
      <c r="V6087" s="18" t="s">
        <v>13733</v>
      </c>
      <c r="W6087" s="18" t="s">
        <v>13734</v>
      </c>
      <c r="X6087" s="18" t="s">
        <v>42</v>
      </c>
      <c r="Y6087" s="18" t="s">
        <v>12266</v>
      </c>
      <c r="Z6087" s="18" t="s">
        <v>41209</v>
      </c>
      <c r="AA6087" s="21" t="str">
        <f>HYPERLINK("https://www.ncbi.nlm.nih.gov/nuccore/GQ351272","NCBI Nucleotide")</f>
        <v>NCBI Nucleotide</v>
      </c>
    </row>
    <row r="6088" spans="1:27" x14ac:dyDescent="0.35">
      <c r="A6088">
        <v>1007506</v>
      </c>
      <c r="B6088">
        <v>5826</v>
      </c>
      <c r="C6088">
        <v>1</v>
      </c>
      <c r="D6088" s="17" t="s">
        <v>10507</v>
      </c>
      <c r="E6088" s="17"/>
      <c r="F6088" s="17" t="s">
        <v>10780</v>
      </c>
      <c r="G6088" s="17"/>
      <c r="H6088" s="17" t="s">
        <v>12908</v>
      </c>
      <c r="I6088" s="17"/>
      <c r="J6088" s="17" t="s">
        <v>12909</v>
      </c>
      <c r="K6088" s="17"/>
      <c r="L6088" s="17" t="s">
        <v>13621</v>
      </c>
      <c r="M6088" s="17"/>
      <c r="N6088" s="17" t="s">
        <v>13622</v>
      </c>
      <c r="O6088" s="17"/>
      <c r="P6088" s="17" t="s">
        <v>13686</v>
      </c>
      <c r="Q6088" s="17"/>
      <c r="R6088" s="25" t="str">
        <f>HYPERLINK("https://ictv.global/taxonomy/taxondetails?taxnode_id=202305971","Porprismacovirus chimas2")</f>
        <v>Porprismacovirus chimas2</v>
      </c>
      <c r="S6088" s="18" t="s">
        <v>30</v>
      </c>
      <c r="T6088" s="18" t="s">
        <v>13732</v>
      </c>
      <c r="U6088" s="18"/>
      <c r="V6088" s="18" t="s">
        <v>13735</v>
      </c>
      <c r="W6088" s="18" t="s">
        <v>13736</v>
      </c>
      <c r="X6088" s="18" t="s">
        <v>42</v>
      </c>
      <c r="Y6088" s="18" t="s">
        <v>12266</v>
      </c>
      <c r="Z6088" s="18" t="s">
        <v>41209</v>
      </c>
      <c r="AA6088" s="21" t="str">
        <f>HYPERLINK("https://www.ncbi.nlm.nih.gov/nuccore/GQ351273","NCBI Nucleotide")</f>
        <v>NCBI Nucleotide</v>
      </c>
    </row>
    <row r="6089" spans="1:27" x14ac:dyDescent="0.35">
      <c r="A6089">
        <v>1027941</v>
      </c>
      <c r="B6089">
        <v>5827</v>
      </c>
      <c r="C6089">
        <v>1</v>
      </c>
      <c r="D6089" s="17" t="s">
        <v>10507</v>
      </c>
      <c r="E6089" s="17"/>
      <c r="F6089" s="17" t="s">
        <v>10780</v>
      </c>
      <c r="G6089" s="17"/>
      <c r="H6089" s="17" t="s">
        <v>12908</v>
      </c>
      <c r="I6089" s="17"/>
      <c r="J6089" s="17" t="s">
        <v>12909</v>
      </c>
      <c r="K6089" s="17"/>
      <c r="L6089" s="17" t="s">
        <v>13621</v>
      </c>
      <c r="M6089" s="17"/>
      <c r="N6089" s="17" t="s">
        <v>13622</v>
      </c>
      <c r="O6089" s="17"/>
      <c r="P6089" s="17" t="s">
        <v>13686</v>
      </c>
      <c r="Q6089" s="17"/>
      <c r="R6089" s="25" t="str">
        <f>HYPERLINK("https://ictv.global/taxonomy/taxondetails?taxnode_id=202318007","Porprismacovirus envor1")</f>
        <v>Porprismacovirus envor1</v>
      </c>
      <c r="S6089" s="18" t="s">
        <v>30</v>
      </c>
      <c r="T6089" s="18" t="s">
        <v>50412</v>
      </c>
      <c r="U6089" s="18"/>
      <c r="V6089" s="18" t="s">
        <v>40357</v>
      </c>
      <c r="W6089" s="18" t="s">
        <v>40358</v>
      </c>
      <c r="X6089" s="18" t="s">
        <v>42</v>
      </c>
      <c r="Y6089" s="18" t="s">
        <v>12266</v>
      </c>
      <c r="Z6089" s="18" t="s">
        <v>40359</v>
      </c>
      <c r="AA6089" s="21" t="str">
        <f>HYPERLINK("https://www.ncbi.nlm.nih.gov/nuccore/MW679000","NCBI Nucleotide")</f>
        <v>NCBI Nucleotide</v>
      </c>
    </row>
    <row r="6090" spans="1:27" x14ac:dyDescent="0.35">
      <c r="A6090">
        <v>1027942</v>
      </c>
      <c r="B6090">
        <v>5828</v>
      </c>
      <c r="C6090">
        <v>1</v>
      </c>
      <c r="D6090" s="17" t="s">
        <v>10507</v>
      </c>
      <c r="E6090" s="17"/>
      <c r="F6090" s="17" t="s">
        <v>10780</v>
      </c>
      <c r="G6090" s="17"/>
      <c r="H6090" s="17" t="s">
        <v>12908</v>
      </c>
      <c r="I6090" s="17"/>
      <c r="J6090" s="17" t="s">
        <v>12909</v>
      </c>
      <c r="K6090" s="17"/>
      <c r="L6090" s="17" t="s">
        <v>13621</v>
      </c>
      <c r="M6090" s="17"/>
      <c r="N6090" s="17" t="s">
        <v>13622</v>
      </c>
      <c r="O6090" s="17"/>
      <c r="P6090" s="17" t="s">
        <v>13686</v>
      </c>
      <c r="Q6090" s="17"/>
      <c r="R6090" s="25" t="str">
        <f>HYPERLINK("https://ictv.global/taxonomy/taxondetails?taxnode_id=202318008","Porprismacovirus envor2")</f>
        <v>Porprismacovirus envor2</v>
      </c>
      <c r="S6090" s="18" t="s">
        <v>30</v>
      </c>
      <c r="T6090" s="18" t="s">
        <v>50413</v>
      </c>
      <c r="U6090" s="18"/>
      <c r="V6090" s="18" t="s">
        <v>40360</v>
      </c>
      <c r="W6090" s="18" t="s">
        <v>40361</v>
      </c>
      <c r="X6090" s="18" t="s">
        <v>42</v>
      </c>
      <c r="Y6090" s="18" t="s">
        <v>12266</v>
      </c>
      <c r="Z6090" s="18" t="s">
        <v>40359</v>
      </c>
      <c r="AA6090" s="21" t="str">
        <f>HYPERLINK("https://www.ncbi.nlm.nih.gov/nuccore/MW678996","NCBI Nucleotide")</f>
        <v>NCBI Nucleotide</v>
      </c>
    </row>
    <row r="6091" spans="1:27" x14ac:dyDescent="0.35">
      <c r="A6091">
        <v>1027943</v>
      </c>
      <c r="B6091">
        <v>5829</v>
      </c>
      <c r="C6091">
        <v>1</v>
      </c>
      <c r="D6091" s="17" t="s">
        <v>10507</v>
      </c>
      <c r="E6091" s="17"/>
      <c r="F6091" s="17" t="s">
        <v>10780</v>
      </c>
      <c r="G6091" s="17"/>
      <c r="H6091" s="17" t="s">
        <v>12908</v>
      </c>
      <c r="I6091" s="17"/>
      <c r="J6091" s="17" t="s">
        <v>12909</v>
      </c>
      <c r="K6091" s="17"/>
      <c r="L6091" s="17" t="s">
        <v>13621</v>
      </c>
      <c r="M6091" s="17"/>
      <c r="N6091" s="17" t="s">
        <v>13622</v>
      </c>
      <c r="O6091" s="17"/>
      <c r="P6091" s="17" t="s">
        <v>13686</v>
      </c>
      <c r="Q6091" s="17"/>
      <c r="R6091" s="25" t="str">
        <f>HYPERLINK("https://ictv.global/taxonomy/taxondetails?taxnode_id=202318009","Porprismacovirus equid1")</f>
        <v>Porprismacovirus equid1</v>
      </c>
      <c r="S6091" s="18" t="s">
        <v>30</v>
      </c>
      <c r="T6091" s="18" t="s">
        <v>40362</v>
      </c>
      <c r="U6091" s="18"/>
      <c r="V6091" s="18" t="s">
        <v>40363</v>
      </c>
      <c r="W6091" s="18" t="s">
        <v>40364</v>
      </c>
      <c r="X6091" s="18" t="s">
        <v>42</v>
      </c>
      <c r="Y6091" s="18" t="s">
        <v>12266</v>
      </c>
      <c r="Z6091" s="18" t="s">
        <v>41209</v>
      </c>
      <c r="AA6091" s="21" t="str">
        <f>HYPERLINK("https://www.ncbi.nlm.nih.gov/nuccore/OQ198247","NCBI Nucleotide")</f>
        <v>NCBI Nucleotide</v>
      </c>
    </row>
    <row r="6092" spans="1:27" x14ac:dyDescent="0.35">
      <c r="A6092">
        <v>1027944</v>
      </c>
      <c r="B6092">
        <v>5830</v>
      </c>
      <c r="C6092">
        <v>1</v>
      </c>
      <c r="D6092" s="17" t="s">
        <v>10507</v>
      </c>
      <c r="E6092" s="17"/>
      <c r="F6092" s="17" t="s">
        <v>10780</v>
      </c>
      <c r="G6092" s="17"/>
      <c r="H6092" s="17" t="s">
        <v>12908</v>
      </c>
      <c r="I6092" s="17"/>
      <c r="J6092" s="17" t="s">
        <v>12909</v>
      </c>
      <c r="K6092" s="17"/>
      <c r="L6092" s="17" t="s">
        <v>13621</v>
      </c>
      <c r="M6092" s="17"/>
      <c r="N6092" s="17" t="s">
        <v>13622</v>
      </c>
      <c r="O6092" s="17"/>
      <c r="P6092" s="17" t="s">
        <v>13686</v>
      </c>
      <c r="Q6092" s="17"/>
      <c r="R6092" s="25" t="str">
        <f>HYPERLINK("https://ictv.global/taxonomy/taxondetails?taxnode_id=202318010","Porprismacovirus equid2")</f>
        <v>Porprismacovirus equid2</v>
      </c>
      <c r="S6092" s="18" t="s">
        <v>30</v>
      </c>
      <c r="T6092" s="18" t="s">
        <v>40365</v>
      </c>
      <c r="U6092" s="18"/>
      <c r="V6092" s="18" t="s">
        <v>40366</v>
      </c>
      <c r="W6092" s="18" t="s">
        <v>40367</v>
      </c>
      <c r="X6092" s="18" t="s">
        <v>42</v>
      </c>
      <c r="Y6092" s="18" t="s">
        <v>12266</v>
      </c>
      <c r="Z6092" s="18" t="s">
        <v>41209</v>
      </c>
      <c r="AA6092" s="21" t="str">
        <f>HYPERLINK("https://www.ncbi.nlm.nih.gov/nuccore/OQ198250","NCBI Nucleotide")</f>
        <v>NCBI Nucleotide</v>
      </c>
    </row>
    <row r="6093" spans="1:27" x14ac:dyDescent="0.35">
      <c r="A6093">
        <v>1007507</v>
      </c>
      <c r="B6093">
        <v>5831</v>
      </c>
      <c r="C6093">
        <v>1</v>
      </c>
      <c r="D6093" s="17" t="s">
        <v>10507</v>
      </c>
      <c r="E6093" s="17"/>
      <c r="F6093" s="17" t="s">
        <v>10780</v>
      </c>
      <c r="G6093" s="17"/>
      <c r="H6093" s="17" t="s">
        <v>12908</v>
      </c>
      <c r="I6093" s="17"/>
      <c r="J6093" s="17" t="s">
        <v>12909</v>
      </c>
      <c r="K6093" s="17"/>
      <c r="L6093" s="17" t="s">
        <v>13621</v>
      </c>
      <c r="M6093" s="17"/>
      <c r="N6093" s="17" t="s">
        <v>13622</v>
      </c>
      <c r="O6093" s="17"/>
      <c r="P6093" s="17" t="s">
        <v>13686</v>
      </c>
      <c r="Q6093" s="17"/>
      <c r="R6093" s="25" t="str">
        <f>HYPERLINK("https://ictv.global/taxonomy/taxondetails?taxnode_id=202309522","Porprismacovirus flas1")</f>
        <v>Porprismacovirus flas1</v>
      </c>
      <c r="S6093" s="18" t="s">
        <v>30</v>
      </c>
      <c r="T6093" s="18" t="s">
        <v>13737</v>
      </c>
      <c r="U6093" s="18"/>
      <c r="V6093" s="18" t="s">
        <v>13738</v>
      </c>
      <c r="W6093" s="18" t="s">
        <v>13739</v>
      </c>
      <c r="X6093" s="18" t="s">
        <v>42</v>
      </c>
      <c r="Y6093" s="18" t="s">
        <v>12266</v>
      </c>
      <c r="Z6093" s="18" t="s">
        <v>41209</v>
      </c>
      <c r="AA6093" s="21" t="str">
        <f>HYPERLINK("https://www.ncbi.nlm.nih.gov/nuccore/MH545525","NCBI Nucleotide")</f>
        <v>NCBI Nucleotide</v>
      </c>
    </row>
    <row r="6094" spans="1:27" x14ac:dyDescent="0.35">
      <c r="A6094">
        <v>1007508</v>
      </c>
      <c r="B6094">
        <v>5832</v>
      </c>
      <c r="C6094">
        <v>1</v>
      </c>
      <c r="D6094" s="17" t="s">
        <v>10507</v>
      </c>
      <c r="E6094" s="17"/>
      <c r="F6094" s="17" t="s">
        <v>10780</v>
      </c>
      <c r="G6094" s="17"/>
      <c r="H6094" s="17" t="s">
        <v>12908</v>
      </c>
      <c r="I6094" s="17"/>
      <c r="J6094" s="17" t="s">
        <v>12909</v>
      </c>
      <c r="K6094" s="17"/>
      <c r="L6094" s="17" t="s">
        <v>13621</v>
      </c>
      <c r="M6094" s="17"/>
      <c r="N6094" s="17" t="s">
        <v>13622</v>
      </c>
      <c r="O6094" s="17"/>
      <c r="P6094" s="17" t="s">
        <v>13686</v>
      </c>
      <c r="Q6094" s="17"/>
      <c r="R6094" s="25" t="str">
        <f>HYPERLINK("https://ictv.global/taxonomy/taxondetails?taxnode_id=202309523","Porprismacovirus goas1")</f>
        <v>Porprismacovirus goas1</v>
      </c>
      <c r="S6094" s="18" t="s">
        <v>30</v>
      </c>
      <c r="T6094" s="18" t="s">
        <v>13740</v>
      </c>
      <c r="U6094" s="18"/>
      <c r="V6094" s="18" t="s">
        <v>13741</v>
      </c>
      <c r="W6094" s="18" t="s">
        <v>13742</v>
      </c>
      <c r="X6094" s="18" t="s">
        <v>42</v>
      </c>
      <c r="Y6094" s="18" t="s">
        <v>12266</v>
      </c>
      <c r="Z6094" s="18" t="s">
        <v>41209</v>
      </c>
      <c r="AA6094" s="21" t="str">
        <f>HYPERLINK("https://www.ncbi.nlm.nih.gov/nuccore/MH500307","NCBI Nucleotide")</f>
        <v>NCBI Nucleotide</v>
      </c>
    </row>
    <row r="6095" spans="1:27" x14ac:dyDescent="0.35">
      <c r="A6095">
        <v>1007509</v>
      </c>
      <c r="B6095">
        <v>5833</v>
      </c>
      <c r="C6095">
        <v>1</v>
      </c>
      <c r="D6095" s="17" t="s">
        <v>10507</v>
      </c>
      <c r="E6095" s="17"/>
      <c r="F6095" s="17" t="s">
        <v>10780</v>
      </c>
      <c r="G6095" s="17"/>
      <c r="H6095" s="17" t="s">
        <v>12908</v>
      </c>
      <c r="I6095" s="17"/>
      <c r="J6095" s="17" t="s">
        <v>12909</v>
      </c>
      <c r="K6095" s="17"/>
      <c r="L6095" s="17" t="s">
        <v>13621</v>
      </c>
      <c r="M6095" s="17"/>
      <c r="N6095" s="17" t="s">
        <v>13622</v>
      </c>
      <c r="O6095" s="17"/>
      <c r="P6095" s="17" t="s">
        <v>13686</v>
      </c>
      <c r="Q6095" s="17"/>
      <c r="R6095" s="25" t="str">
        <f>HYPERLINK("https://ictv.global/taxonomy/taxondetails?taxnode_id=202305972","Porprismacovirus goras1")</f>
        <v>Porprismacovirus goras1</v>
      </c>
      <c r="S6095" s="18" t="s">
        <v>30</v>
      </c>
      <c r="T6095" s="18" t="s">
        <v>13743</v>
      </c>
      <c r="U6095" s="18"/>
      <c r="V6095" s="18" t="s">
        <v>13744</v>
      </c>
      <c r="W6095" s="18" t="s">
        <v>13745</v>
      </c>
      <c r="X6095" s="18" t="s">
        <v>42</v>
      </c>
      <c r="Y6095" s="18" t="s">
        <v>12266</v>
      </c>
      <c r="Z6095" s="18" t="s">
        <v>41209</v>
      </c>
      <c r="AA6095" s="21" t="str">
        <f>HYPERLINK("https://www.ncbi.nlm.nih.gov/nuccore/KP233191","NCBI Nucleotide")</f>
        <v>NCBI Nucleotide</v>
      </c>
    </row>
    <row r="6096" spans="1:27" x14ac:dyDescent="0.35">
      <c r="A6096">
        <v>1007510</v>
      </c>
      <c r="B6096">
        <v>5834</v>
      </c>
      <c r="C6096">
        <v>1</v>
      </c>
      <c r="D6096" s="17" t="s">
        <v>10507</v>
      </c>
      <c r="E6096" s="17"/>
      <c r="F6096" s="17" t="s">
        <v>10780</v>
      </c>
      <c r="G6096" s="17"/>
      <c r="H6096" s="17" t="s">
        <v>12908</v>
      </c>
      <c r="I6096" s="17"/>
      <c r="J6096" s="17" t="s">
        <v>12909</v>
      </c>
      <c r="K6096" s="17"/>
      <c r="L6096" s="17" t="s">
        <v>13621</v>
      </c>
      <c r="M6096" s="17"/>
      <c r="N6096" s="17" t="s">
        <v>13622</v>
      </c>
      <c r="O6096" s="17"/>
      <c r="P6096" s="17" t="s">
        <v>13686</v>
      </c>
      <c r="Q6096" s="17"/>
      <c r="R6096" s="25" t="str">
        <f>HYPERLINK("https://ictv.global/taxonomy/taxondetails?taxnode_id=202305973","Porprismacovirus howas1")</f>
        <v>Porprismacovirus howas1</v>
      </c>
      <c r="S6096" s="18" t="s">
        <v>30</v>
      </c>
      <c r="T6096" s="18" t="s">
        <v>13746</v>
      </c>
      <c r="U6096" s="18"/>
      <c r="V6096" s="18" t="s">
        <v>13747</v>
      </c>
      <c r="W6096" s="18" t="s">
        <v>13748</v>
      </c>
      <c r="X6096" s="18" t="s">
        <v>42</v>
      </c>
      <c r="Y6096" s="18" t="s">
        <v>12266</v>
      </c>
      <c r="Z6096" s="18" t="s">
        <v>41209</v>
      </c>
      <c r="AA6096" s="21" t="str">
        <f>HYPERLINK("https://www.ncbi.nlm.nih.gov/nuccore/KP233189","NCBI Nucleotide")</f>
        <v>NCBI Nucleotide</v>
      </c>
    </row>
    <row r="6097" spans="1:27" x14ac:dyDescent="0.35">
      <c r="A6097">
        <v>1007511</v>
      </c>
      <c r="B6097">
        <v>5835</v>
      </c>
      <c r="C6097">
        <v>1</v>
      </c>
      <c r="D6097" s="17" t="s">
        <v>10507</v>
      </c>
      <c r="E6097" s="17"/>
      <c r="F6097" s="17" t="s">
        <v>10780</v>
      </c>
      <c r="G6097" s="17"/>
      <c r="H6097" s="17" t="s">
        <v>12908</v>
      </c>
      <c r="I6097" s="17"/>
      <c r="J6097" s="17" t="s">
        <v>12909</v>
      </c>
      <c r="K6097" s="17"/>
      <c r="L6097" s="17" t="s">
        <v>13621</v>
      </c>
      <c r="M6097" s="17"/>
      <c r="N6097" s="17" t="s">
        <v>13622</v>
      </c>
      <c r="O6097" s="17"/>
      <c r="P6097" s="17" t="s">
        <v>13686</v>
      </c>
      <c r="Q6097" s="17"/>
      <c r="R6097" s="25" t="str">
        <f>HYPERLINK("https://ictv.global/taxonomy/taxondetails?taxnode_id=202305974","Porprismacovirus humas1")</f>
        <v>Porprismacovirus humas1</v>
      </c>
      <c r="S6097" s="18" t="s">
        <v>30</v>
      </c>
      <c r="T6097" s="18" t="s">
        <v>13749</v>
      </c>
      <c r="U6097" s="18"/>
      <c r="V6097" s="18" t="s">
        <v>13750</v>
      </c>
      <c r="W6097" s="18" t="s">
        <v>13751</v>
      </c>
      <c r="X6097" s="18" t="s">
        <v>42</v>
      </c>
      <c r="Y6097" s="18" t="s">
        <v>12266</v>
      </c>
      <c r="Z6097" s="18" t="s">
        <v>41209</v>
      </c>
      <c r="AA6097" s="21" t="str">
        <f>HYPERLINK("https://www.ncbi.nlm.nih.gov/nuccore/KT600068","NCBI Nucleotide")</f>
        <v>NCBI Nucleotide</v>
      </c>
    </row>
    <row r="6098" spans="1:27" x14ac:dyDescent="0.35">
      <c r="A6098">
        <v>1007512</v>
      </c>
      <c r="B6098">
        <v>5836</v>
      </c>
      <c r="C6098">
        <v>1</v>
      </c>
      <c r="D6098" s="17" t="s">
        <v>10507</v>
      </c>
      <c r="E6098" s="17"/>
      <c r="F6098" s="17" t="s">
        <v>10780</v>
      </c>
      <c r="G6098" s="17"/>
      <c r="H6098" s="17" t="s">
        <v>12908</v>
      </c>
      <c r="I6098" s="17"/>
      <c r="J6098" s="17" t="s">
        <v>12909</v>
      </c>
      <c r="K6098" s="17"/>
      <c r="L6098" s="17" t="s">
        <v>13621</v>
      </c>
      <c r="M6098" s="17"/>
      <c r="N6098" s="17" t="s">
        <v>13622</v>
      </c>
      <c r="O6098" s="17"/>
      <c r="P6098" s="17" t="s">
        <v>13686</v>
      </c>
      <c r="Q6098" s="17"/>
      <c r="R6098" s="25" t="str">
        <f>HYPERLINK("https://ictv.global/taxonomy/taxondetails?taxnode_id=202305975","Porprismacovirus humas2")</f>
        <v>Porprismacovirus humas2</v>
      </c>
      <c r="S6098" s="18" t="s">
        <v>30</v>
      </c>
      <c r="T6098" s="18" t="s">
        <v>13752</v>
      </c>
      <c r="U6098" s="18"/>
      <c r="V6098" s="18" t="s">
        <v>13753</v>
      </c>
      <c r="W6098" s="18" t="s">
        <v>13754</v>
      </c>
      <c r="X6098" s="18" t="s">
        <v>42</v>
      </c>
      <c r="Y6098" s="18" t="s">
        <v>12266</v>
      </c>
      <c r="Z6098" s="18" t="s">
        <v>41209</v>
      </c>
      <c r="AA6098" s="21" t="str">
        <f>HYPERLINK("https://www.ncbi.nlm.nih.gov/nuccore/KP233190","NCBI Nucleotide")</f>
        <v>NCBI Nucleotide</v>
      </c>
    </row>
    <row r="6099" spans="1:27" x14ac:dyDescent="0.35">
      <c r="A6099">
        <v>1007513</v>
      </c>
      <c r="B6099">
        <v>5837</v>
      </c>
      <c r="C6099">
        <v>1</v>
      </c>
      <c r="D6099" s="17" t="s">
        <v>10507</v>
      </c>
      <c r="E6099" s="17"/>
      <c r="F6099" s="17" t="s">
        <v>10780</v>
      </c>
      <c r="G6099" s="17"/>
      <c r="H6099" s="17" t="s">
        <v>12908</v>
      </c>
      <c r="I6099" s="17"/>
      <c r="J6099" s="17" t="s">
        <v>12909</v>
      </c>
      <c r="K6099" s="17"/>
      <c r="L6099" s="17" t="s">
        <v>13621</v>
      </c>
      <c r="M6099" s="17"/>
      <c r="N6099" s="17" t="s">
        <v>13622</v>
      </c>
      <c r="O6099" s="17"/>
      <c r="P6099" s="17" t="s">
        <v>13686</v>
      </c>
      <c r="Q6099" s="17"/>
      <c r="R6099" s="25" t="str">
        <f>HYPERLINK("https://ictv.global/taxonomy/taxondetails?taxnode_id=202309524","Porprismacovirus humas3")</f>
        <v>Porprismacovirus humas3</v>
      </c>
      <c r="S6099" s="18" t="s">
        <v>30</v>
      </c>
      <c r="T6099" s="18" t="s">
        <v>13755</v>
      </c>
      <c r="U6099" s="18"/>
      <c r="V6099" s="18" t="s">
        <v>13756</v>
      </c>
      <c r="W6099" s="18" t="s">
        <v>13757</v>
      </c>
      <c r="X6099" s="18" t="s">
        <v>42</v>
      </c>
      <c r="Y6099" s="18" t="s">
        <v>12266</v>
      </c>
      <c r="Z6099" s="18" t="s">
        <v>41209</v>
      </c>
      <c r="AA6099" s="21" t="str">
        <f>HYPERLINK("https://www.ncbi.nlm.nih.gov/nuccore/MG522850","NCBI Nucleotide")</f>
        <v>NCBI Nucleotide</v>
      </c>
    </row>
    <row r="6100" spans="1:27" x14ac:dyDescent="0.35">
      <c r="A6100">
        <v>1007514</v>
      </c>
      <c r="B6100">
        <v>5838</v>
      </c>
      <c r="C6100">
        <v>1</v>
      </c>
      <c r="D6100" s="17" t="s">
        <v>10507</v>
      </c>
      <c r="E6100" s="17"/>
      <c r="F6100" s="17" t="s">
        <v>10780</v>
      </c>
      <c r="G6100" s="17"/>
      <c r="H6100" s="17" t="s">
        <v>12908</v>
      </c>
      <c r="I6100" s="17"/>
      <c r="J6100" s="17" t="s">
        <v>12909</v>
      </c>
      <c r="K6100" s="17"/>
      <c r="L6100" s="17" t="s">
        <v>13621</v>
      </c>
      <c r="M6100" s="17"/>
      <c r="N6100" s="17" t="s">
        <v>13622</v>
      </c>
      <c r="O6100" s="17"/>
      <c r="P6100" s="17" t="s">
        <v>13686</v>
      </c>
      <c r="Q6100" s="17"/>
      <c r="R6100" s="25" t="str">
        <f>HYPERLINK("https://ictv.global/taxonomy/taxondetails?taxnode_id=202309525","Porprismacovirus humas4")</f>
        <v>Porprismacovirus humas4</v>
      </c>
      <c r="S6100" s="18" t="s">
        <v>30</v>
      </c>
      <c r="T6100" s="18" t="s">
        <v>13758</v>
      </c>
      <c r="U6100" s="18"/>
      <c r="V6100" s="18" t="s">
        <v>13759</v>
      </c>
      <c r="W6100" s="18" t="s">
        <v>13760</v>
      </c>
      <c r="X6100" s="18" t="s">
        <v>42</v>
      </c>
      <c r="Y6100" s="18" t="s">
        <v>12266</v>
      </c>
      <c r="Z6100" s="18" t="s">
        <v>41209</v>
      </c>
      <c r="AA6100" s="21" t="str">
        <f>HYPERLINK("https://www.ncbi.nlm.nih.gov/nuccore/MH111125","NCBI Nucleotide")</f>
        <v>NCBI Nucleotide</v>
      </c>
    </row>
    <row r="6101" spans="1:27" x14ac:dyDescent="0.35">
      <c r="A6101">
        <v>1007515</v>
      </c>
      <c r="B6101">
        <v>5839</v>
      </c>
      <c r="C6101">
        <v>1</v>
      </c>
      <c r="D6101" s="17" t="s">
        <v>10507</v>
      </c>
      <c r="E6101" s="17"/>
      <c r="F6101" s="17" t="s">
        <v>10780</v>
      </c>
      <c r="G6101" s="17"/>
      <c r="H6101" s="17" t="s">
        <v>12908</v>
      </c>
      <c r="I6101" s="17"/>
      <c r="J6101" s="17" t="s">
        <v>12909</v>
      </c>
      <c r="K6101" s="17"/>
      <c r="L6101" s="17" t="s">
        <v>13621</v>
      </c>
      <c r="M6101" s="17"/>
      <c r="N6101" s="17" t="s">
        <v>13622</v>
      </c>
      <c r="O6101" s="17"/>
      <c r="P6101" s="17" t="s">
        <v>13686</v>
      </c>
      <c r="Q6101" s="17"/>
      <c r="R6101" s="25" t="str">
        <f>HYPERLINK("https://ictv.global/taxonomy/taxondetails?taxnode_id=202305976","Porprismacovirus lemas1")</f>
        <v>Porprismacovirus lemas1</v>
      </c>
      <c r="S6101" s="18" t="s">
        <v>30</v>
      </c>
      <c r="T6101" s="18" t="s">
        <v>13761</v>
      </c>
      <c r="U6101" s="18"/>
      <c r="V6101" s="18" t="s">
        <v>13762</v>
      </c>
      <c r="W6101" s="18" t="s">
        <v>13763</v>
      </c>
      <c r="X6101" s="18" t="s">
        <v>42</v>
      </c>
      <c r="Y6101" s="18" t="s">
        <v>12266</v>
      </c>
      <c r="Z6101" s="18" t="s">
        <v>41209</v>
      </c>
      <c r="AA6101" s="21" t="str">
        <f>HYPERLINK("https://www.ncbi.nlm.nih.gov/nuccore/KP233194","NCBI Nucleotide")</f>
        <v>NCBI Nucleotide</v>
      </c>
    </row>
    <row r="6102" spans="1:27" x14ac:dyDescent="0.35">
      <c r="A6102">
        <v>1007516</v>
      </c>
      <c r="B6102">
        <v>5840</v>
      </c>
      <c r="C6102">
        <v>1</v>
      </c>
      <c r="D6102" s="17" t="s">
        <v>10507</v>
      </c>
      <c r="E6102" s="17"/>
      <c r="F6102" s="17" t="s">
        <v>10780</v>
      </c>
      <c r="G6102" s="17"/>
      <c r="H6102" s="17" t="s">
        <v>12908</v>
      </c>
      <c r="I6102" s="17"/>
      <c r="J6102" s="17" t="s">
        <v>12909</v>
      </c>
      <c r="K6102" s="17"/>
      <c r="L6102" s="17" t="s">
        <v>13621</v>
      </c>
      <c r="M6102" s="17"/>
      <c r="N6102" s="17" t="s">
        <v>13622</v>
      </c>
      <c r="O6102" s="17"/>
      <c r="P6102" s="17" t="s">
        <v>13686</v>
      </c>
      <c r="Q6102" s="17"/>
      <c r="R6102" s="25" t="str">
        <f>HYPERLINK("https://ictv.global/taxonomy/taxondetails?taxnode_id=202309526","Porprismacovirus leo1")</f>
        <v>Porprismacovirus leo1</v>
      </c>
      <c r="S6102" s="18" t="s">
        <v>30</v>
      </c>
      <c r="T6102" s="18" t="s">
        <v>13764</v>
      </c>
      <c r="U6102" s="18"/>
      <c r="V6102" s="18" t="s">
        <v>13765</v>
      </c>
      <c r="W6102" s="18" t="s">
        <v>13766</v>
      </c>
      <c r="X6102" s="18" t="s">
        <v>42</v>
      </c>
      <c r="Y6102" s="18" t="s">
        <v>12266</v>
      </c>
      <c r="Z6102" s="18" t="s">
        <v>41209</v>
      </c>
      <c r="AA6102" s="21" t="str">
        <f>HYPERLINK("https://www.ncbi.nlm.nih.gov/nuccore/MK796236","NCBI Nucleotide")</f>
        <v>NCBI Nucleotide</v>
      </c>
    </row>
    <row r="6103" spans="1:27" x14ac:dyDescent="0.35">
      <c r="A6103">
        <v>1007517</v>
      </c>
      <c r="B6103">
        <v>5841</v>
      </c>
      <c r="C6103">
        <v>1</v>
      </c>
      <c r="D6103" s="17" t="s">
        <v>10507</v>
      </c>
      <c r="E6103" s="17"/>
      <c r="F6103" s="17" t="s">
        <v>10780</v>
      </c>
      <c r="G6103" s="17"/>
      <c r="H6103" s="17" t="s">
        <v>12908</v>
      </c>
      <c r="I6103" s="17"/>
      <c r="J6103" s="17" t="s">
        <v>12909</v>
      </c>
      <c r="K6103" s="17"/>
      <c r="L6103" s="17" t="s">
        <v>13621</v>
      </c>
      <c r="M6103" s="17"/>
      <c r="N6103" s="17" t="s">
        <v>13622</v>
      </c>
      <c r="O6103" s="17"/>
      <c r="P6103" s="17" t="s">
        <v>13686</v>
      </c>
      <c r="Q6103" s="17"/>
      <c r="R6103" s="25" t="str">
        <f>HYPERLINK("https://ictv.global/taxonomy/taxondetails?taxnode_id=202309527","Porprismacovirus lynas2")</f>
        <v>Porprismacovirus lynas2</v>
      </c>
      <c r="S6103" s="18" t="s">
        <v>30</v>
      </c>
      <c r="T6103" s="18" t="s">
        <v>13767</v>
      </c>
      <c r="U6103" s="18"/>
      <c r="V6103" s="18" t="s">
        <v>13768</v>
      </c>
      <c r="W6103" s="18" t="s">
        <v>13769</v>
      </c>
      <c r="X6103" s="18" t="s">
        <v>42</v>
      </c>
      <c r="Y6103" s="18" t="s">
        <v>12266</v>
      </c>
      <c r="Z6103" s="18" t="s">
        <v>41209</v>
      </c>
      <c r="AA6103" s="21" t="str">
        <f>HYPERLINK("https://www.ncbi.nlm.nih.gov/nuccore/MK796235","NCBI Nucleotide")</f>
        <v>NCBI Nucleotide</v>
      </c>
    </row>
    <row r="6104" spans="1:27" x14ac:dyDescent="0.35">
      <c r="A6104">
        <v>1007518</v>
      </c>
      <c r="B6104">
        <v>5842</v>
      </c>
      <c r="C6104">
        <v>1</v>
      </c>
      <c r="D6104" s="17" t="s">
        <v>10507</v>
      </c>
      <c r="E6104" s="17"/>
      <c r="F6104" s="17" t="s">
        <v>10780</v>
      </c>
      <c r="G6104" s="17"/>
      <c r="H6104" s="17" t="s">
        <v>12908</v>
      </c>
      <c r="I6104" s="17"/>
      <c r="J6104" s="17" t="s">
        <v>12909</v>
      </c>
      <c r="K6104" s="17"/>
      <c r="L6104" s="17" t="s">
        <v>13621</v>
      </c>
      <c r="M6104" s="17"/>
      <c r="N6104" s="17" t="s">
        <v>13622</v>
      </c>
      <c r="O6104" s="17"/>
      <c r="P6104" s="17" t="s">
        <v>13686</v>
      </c>
      <c r="Q6104" s="17"/>
      <c r="R6104" s="25" t="str">
        <f>HYPERLINK("https://ictv.global/taxonomy/taxondetails?taxnode_id=202309528","Porprismacovirus macas1")</f>
        <v>Porprismacovirus macas1</v>
      </c>
      <c r="S6104" s="18" t="s">
        <v>30</v>
      </c>
      <c r="T6104" s="18" t="s">
        <v>13770</v>
      </c>
      <c r="U6104" s="18"/>
      <c r="V6104" s="18" t="s">
        <v>13771</v>
      </c>
      <c r="W6104" s="18" t="s">
        <v>13772</v>
      </c>
      <c r="X6104" s="18" t="s">
        <v>42</v>
      </c>
      <c r="Y6104" s="18" t="s">
        <v>12266</v>
      </c>
      <c r="Z6104" s="18" t="s">
        <v>41209</v>
      </c>
      <c r="AA6104" s="21" t="str">
        <f>HYPERLINK("https://www.ncbi.nlm.nih.gov/nuccore/KU043421","NCBI Nucleotide")</f>
        <v>NCBI Nucleotide</v>
      </c>
    </row>
    <row r="6105" spans="1:27" x14ac:dyDescent="0.35">
      <c r="A6105">
        <v>1007519</v>
      </c>
      <c r="B6105">
        <v>5843</v>
      </c>
      <c r="C6105">
        <v>1</v>
      </c>
      <c r="D6105" s="17" t="s">
        <v>10507</v>
      </c>
      <c r="E6105" s="17"/>
      <c r="F6105" s="17" t="s">
        <v>10780</v>
      </c>
      <c r="G6105" s="17"/>
      <c r="H6105" s="17" t="s">
        <v>12908</v>
      </c>
      <c r="I6105" s="17"/>
      <c r="J6105" s="17" t="s">
        <v>12909</v>
      </c>
      <c r="K6105" s="17"/>
      <c r="L6105" s="17" t="s">
        <v>13621</v>
      </c>
      <c r="M6105" s="17"/>
      <c r="N6105" s="17" t="s">
        <v>13622</v>
      </c>
      <c r="O6105" s="17"/>
      <c r="P6105" s="17" t="s">
        <v>13686</v>
      </c>
      <c r="Q6105" s="17"/>
      <c r="R6105" s="25" t="str">
        <f>HYPERLINK("https://ictv.global/taxonomy/taxondetails?taxnode_id=202309529","Porprismacovirus macas2")</f>
        <v>Porprismacovirus macas2</v>
      </c>
      <c r="S6105" s="18" t="s">
        <v>30</v>
      </c>
      <c r="T6105" s="18" t="s">
        <v>13773</v>
      </c>
      <c r="U6105" s="18"/>
      <c r="V6105" s="18" t="s">
        <v>13774</v>
      </c>
      <c r="W6105" s="18" t="s">
        <v>13775</v>
      </c>
      <c r="X6105" s="18" t="s">
        <v>42</v>
      </c>
      <c r="Y6105" s="18" t="s">
        <v>12266</v>
      </c>
      <c r="Z6105" s="18" t="s">
        <v>41209</v>
      </c>
      <c r="AA6105" s="21" t="str">
        <f>HYPERLINK("https://www.ncbi.nlm.nih.gov/nuccore/KU043429","NCBI Nucleotide")</f>
        <v>NCBI Nucleotide</v>
      </c>
    </row>
    <row r="6106" spans="1:27" x14ac:dyDescent="0.35">
      <c r="A6106">
        <v>1007520</v>
      </c>
      <c r="B6106">
        <v>5844</v>
      </c>
      <c r="C6106">
        <v>1</v>
      </c>
      <c r="D6106" s="17" t="s">
        <v>10507</v>
      </c>
      <c r="E6106" s="17"/>
      <c r="F6106" s="17" t="s">
        <v>10780</v>
      </c>
      <c r="G6106" s="17"/>
      <c r="H6106" s="17" t="s">
        <v>12908</v>
      </c>
      <c r="I6106" s="17"/>
      <c r="J6106" s="17" t="s">
        <v>12909</v>
      </c>
      <c r="K6106" s="17"/>
      <c r="L6106" s="17" t="s">
        <v>13621</v>
      </c>
      <c r="M6106" s="17"/>
      <c r="N6106" s="17" t="s">
        <v>13622</v>
      </c>
      <c r="O6106" s="17"/>
      <c r="P6106" s="17" t="s">
        <v>13686</v>
      </c>
      <c r="Q6106" s="17"/>
      <c r="R6106" s="25" t="str">
        <f>HYPERLINK("https://ictv.global/taxonomy/taxondetails?taxnode_id=202309530","Porprismacovirus macas3")</f>
        <v>Porprismacovirus macas3</v>
      </c>
      <c r="S6106" s="18" t="s">
        <v>30</v>
      </c>
      <c r="T6106" s="18" t="s">
        <v>13776</v>
      </c>
      <c r="U6106" s="18"/>
      <c r="V6106" s="18" t="s">
        <v>13777</v>
      </c>
      <c r="W6106" s="18" t="s">
        <v>13778</v>
      </c>
      <c r="X6106" s="18" t="s">
        <v>42</v>
      </c>
      <c r="Y6106" s="18" t="s">
        <v>12266</v>
      </c>
      <c r="Z6106" s="18" t="s">
        <v>41209</v>
      </c>
      <c r="AA6106" s="21" t="str">
        <f>HYPERLINK("https://www.ncbi.nlm.nih.gov/nuccore/KU058671","NCBI Nucleotide")</f>
        <v>NCBI Nucleotide</v>
      </c>
    </row>
    <row r="6107" spans="1:27" x14ac:dyDescent="0.35">
      <c r="A6107">
        <v>1007521</v>
      </c>
      <c r="B6107">
        <v>5845</v>
      </c>
      <c r="C6107">
        <v>1</v>
      </c>
      <c r="D6107" s="17" t="s">
        <v>10507</v>
      </c>
      <c r="E6107" s="17"/>
      <c r="F6107" s="17" t="s">
        <v>10780</v>
      </c>
      <c r="G6107" s="17"/>
      <c r="H6107" s="17" t="s">
        <v>12908</v>
      </c>
      <c r="I6107" s="17"/>
      <c r="J6107" s="17" t="s">
        <v>12909</v>
      </c>
      <c r="K6107" s="17"/>
      <c r="L6107" s="17" t="s">
        <v>13621</v>
      </c>
      <c r="M6107" s="17"/>
      <c r="N6107" s="17" t="s">
        <v>13622</v>
      </c>
      <c r="O6107" s="17"/>
      <c r="P6107" s="17" t="s">
        <v>13686</v>
      </c>
      <c r="Q6107" s="17"/>
      <c r="R6107" s="25" t="str">
        <f>HYPERLINK("https://ictv.global/taxonomy/taxondetails?taxnode_id=202309531","Porprismacovirus macas4")</f>
        <v>Porprismacovirus macas4</v>
      </c>
      <c r="S6107" s="18" t="s">
        <v>30</v>
      </c>
      <c r="T6107" s="18" t="s">
        <v>13779</v>
      </c>
      <c r="U6107" s="18"/>
      <c r="V6107" s="18" t="s">
        <v>13780</v>
      </c>
      <c r="W6107" s="18" t="s">
        <v>13781</v>
      </c>
      <c r="X6107" s="18" t="s">
        <v>42</v>
      </c>
      <c r="Y6107" s="18" t="s">
        <v>12266</v>
      </c>
      <c r="Z6107" s="18" t="s">
        <v>41209</v>
      </c>
      <c r="AA6107" s="21" t="str">
        <f>HYPERLINK("https://www.ncbi.nlm.nih.gov/nuccore/KU043403","NCBI Nucleotide")</f>
        <v>NCBI Nucleotide</v>
      </c>
    </row>
    <row r="6108" spans="1:27" x14ac:dyDescent="0.35">
      <c r="A6108">
        <v>1007522</v>
      </c>
      <c r="B6108">
        <v>5846</v>
      </c>
      <c r="C6108">
        <v>1</v>
      </c>
      <c r="D6108" s="17" t="s">
        <v>10507</v>
      </c>
      <c r="E6108" s="17"/>
      <c r="F6108" s="17" t="s">
        <v>10780</v>
      </c>
      <c r="G6108" s="17"/>
      <c r="H6108" s="17" t="s">
        <v>12908</v>
      </c>
      <c r="I6108" s="17"/>
      <c r="J6108" s="17" t="s">
        <v>12909</v>
      </c>
      <c r="K6108" s="17"/>
      <c r="L6108" s="17" t="s">
        <v>13621</v>
      </c>
      <c r="M6108" s="17"/>
      <c r="N6108" s="17" t="s">
        <v>13622</v>
      </c>
      <c r="O6108" s="17"/>
      <c r="P6108" s="17" t="s">
        <v>13686</v>
      </c>
      <c r="Q6108" s="17"/>
      <c r="R6108" s="25" t="str">
        <f>HYPERLINK("https://ictv.global/taxonomy/taxondetails?taxnode_id=202309532","Porprismacovirus macas5")</f>
        <v>Porprismacovirus macas5</v>
      </c>
      <c r="S6108" s="18" t="s">
        <v>30</v>
      </c>
      <c r="T6108" s="18" t="s">
        <v>13782</v>
      </c>
      <c r="U6108" s="18"/>
      <c r="V6108" s="18" t="s">
        <v>13783</v>
      </c>
      <c r="W6108" s="18" t="s">
        <v>13784</v>
      </c>
      <c r="X6108" s="18" t="s">
        <v>42</v>
      </c>
      <c r="Y6108" s="18" t="s">
        <v>12266</v>
      </c>
      <c r="Z6108" s="18" t="s">
        <v>41209</v>
      </c>
      <c r="AA6108" s="21" t="str">
        <f>HYPERLINK("https://www.ncbi.nlm.nih.gov/nuccore/MH616866","NCBI Nucleotide")</f>
        <v>NCBI Nucleotide</v>
      </c>
    </row>
    <row r="6109" spans="1:27" x14ac:dyDescent="0.35">
      <c r="A6109">
        <v>1007523</v>
      </c>
      <c r="B6109">
        <v>5847</v>
      </c>
      <c r="C6109">
        <v>1</v>
      </c>
      <c r="D6109" s="17" t="s">
        <v>10507</v>
      </c>
      <c r="E6109" s="17"/>
      <c r="F6109" s="17" t="s">
        <v>10780</v>
      </c>
      <c r="G6109" s="17"/>
      <c r="H6109" s="17" t="s">
        <v>12908</v>
      </c>
      <c r="I6109" s="17"/>
      <c r="J6109" s="17" t="s">
        <v>12909</v>
      </c>
      <c r="K6109" s="17"/>
      <c r="L6109" s="17" t="s">
        <v>13621</v>
      </c>
      <c r="M6109" s="17"/>
      <c r="N6109" s="17" t="s">
        <v>13622</v>
      </c>
      <c r="O6109" s="17"/>
      <c r="P6109" s="17" t="s">
        <v>13686</v>
      </c>
      <c r="Q6109" s="17"/>
      <c r="R6109" s="25" t="str">
        <f>HYPERLINK("https://ictv.global/taxonomy/taxondetails?taxnode_id=202309533","Porprismacovirus macas6")</f>
        <v>Porprismacovirus macas6</v>
      </c>
      <c r="S6109" s="18" t="s">
        <v>30</v>
      </c>
      <c r="T6109" s="18" t="s">
        <v>13785</v>
      </c>
      <c r="U6109" s="18"/>
      <c r="V6109" s="18" t="s">
        <v>13786</v>
      </c>
      <c r="W6109" s="18" t="s">
        <v>13787</v>
      </c>
      <c r="X6109" s="18" t="s">
        <v>42</v>
      </c>
      <c r="Y6109" s="18" t="s">
        <v>12266</v>
      </c>
      <c r="Z6109" s="18" t="s">
        <v>41209</v>
      </c>
      <c r="AA6109" s="21" t="str">
        <f>HYPERLINK("https://www.ncbi.nlm.nih.gov/nuccore/KU043396","NCBI Nucleotide")</f>
        <v>NCBI Nucleotide</v>
      </c>
    </row>
    <row r="6110" spans="1:27" x14ac:dyDescent="0.35">
      <c r="A6110">
        <v>1027945</v>
      </c>
      <c r="B6110">
        <v>5848</v>
      </c>
      <c r="C6110">
        <v>1</v>
      </c>
      <c r="D6110" s="17" t="s">
        <v>10507</v>
      </c>
      <c r="E6110" s="17"/>
      <c r="F6110" s="17" t="s">
        <v>10780</v>
      </c>
      <c r="G6110" s="17"/>
      <c r="H6110" s="17" t="s">
        <v>12908</v>
      </c>
      <c r="I6110" s="17"/>
      <c r="J6110" s="17" t="s">
        <v>12909</v>
      </c>
      <c r="K6110" s="17"/>
      <c r="L6110" s="17" t="s">
        <v>13621</v>
      </c>
      <c r="M6110" s="17"/>
      <c r="N6110" s="17" t="s">
        <v>13622</v>
      </c>
      <c r="O6110" s="17"/>
      <c r="P6110" s="17" t="s">
        <v>13686</v>
      </c>
      <c r="Q6110" s="17"/>
      <c r="R6110" s="25" t="str">
        <f>HYPERLINK("https://ictv.global/taxonomy/taxondetails?taxnode_id=202318011","Porprismacovirus macas7")</f>
        <v>Porprismacovirus macas7</v>
      </c>
      <c r="S6110" s="18" t="s">
        <v>30</v>
      </c>
      <c r="T6110" s="18" t="s">
        <v>40368</v>
      </c>
      <c r="U6110" s="18"/>
      <c r="V6110" s="18" t="s">
        <v>40369</v>
      </c>
      <c r="W6110" s="18" t="s">
        <v>40370</v>
      </c>
      <c r="X6110" s="18" t="s">
        <v>42</v>
      </c>
      <c r="Y6110" s="18" t="s">
        <v>12266</v>
      </c>
      <c r="Z6110" s="18" t="s">
        <v>41209</v>
      </c>
      <c r="AA6110" s="21" t="str">
        <f>HYPERLINK("https://www.ncbi.nlm.nih.gov/nuccore/KU043449","NCBI Nucleotide")</f>
        <v>NCBI Nucleotide</v>
      </c>
    </row>
    <row r="6111" spans="1:27" x14ac:dyDescent="0.35">
      <c r="A6111">
        <v>1027946</v>
      </c>
      <c r="B6111">
        <v>5849</v>
      </c>
      <c r="C6111">
        <v>1</v>
      </c>
      <c r="D6111" s="17" t="s">
        <v>10507</v>
      </c>
      <c r="E6111" s="17"/>
      <c r="F6111" s="17" t="s">
        <v>10780</v>
      </c>
      <c r="G6111" s="17"/>
      <c r="H6111" s="17" t="s">
        <v>12908</v>
      </c>
      <c r="I6111" s="17"/>
      <c r="J6111" s="17" t="s">
        <v>12909</v>
      </c>
      <c r="K6111" s="17"/>
      <c r="L6111" s="17" t="s">
        <v>13621</v>
      </c>
      <c r="M6111" s="17"/>
      <c r="N6111" s="17" t="s">
        <v>13622</v>
      </c>
      <c r="O6111" s="17"/>
      <c r="P6111" s="17" t="s">
        <v>13686</v>
      </c>
      <c r="Q6111" s="17"/>
      <c r="R6111" s="25" t="str">
        <f>HYPERLINK("https://ictv.global/taxonomy/taxondetails?taxnode_id=202318012","Porprismacovirus macro1")</f>
        <v>Porprismacovirus macro1</v>
      </c>
      <c r="S6111" s="18" t="s">
        <v>30</v>
      </c>
      <c r="T6111" s="18" t="s">
        <v>40371</v>
      </c>
      <c r="U6111" s="18"/>
      <c r="V6111" s="18" t="s">
        <v>40372</v>
      </c>
      <c r="W6111" s="18" t="s">
        <v>40373</v>
      </c>
      <c r="X6111" s="18" t="s">
        <v>42</v>
      </c>
      <c r="Y6111" s="18" t="s">
        <v>12266</v>
      </c>
      <c r="Z6111" s="18" t="s">
        <v>41209</v>
      </c>
      <c r="AA6111" s="21" t="str">
        <f>HYPERLINK("https://www.ncbi.nlm.nih.gov/nuccore/OM892350","NCBI Nucleotide")</f>
        <v>NCBI Nucleotide</v>
      </c>
    </row>
    <row r="6112" spans="1:27" x14ac:dyDescent="0.35">
      <c r="A6112">
        <v>1027947</v>
      </c>
      <c r="B6112">
        <v>5850</v>
      </c>
      <c r="C6112">
        <v>1</v>
      </c>
      <c r="D6112" s="17" t="s">
        <v>10507</v>
      </c>
      <c r="E6112" s="17"/>
      <c r="F6112" s="17" t="s">
        <v>10780</v>
      </c>
      <c r="G6112" s="17"/>
      <c r="H6112" s="17" t="s">
        <v>12908</v>
      </c>
      <c r="I6112" s="17"/>
      <c r="J6112" s="17" t="s">
        <v>12909</v>
      </c>
      <c r="K6112" s="17"/>
      <c r="L6112" s="17" t="s">
        <v>13621</v>
      </c>
      <c r="M6112" s="17"/>
      <c r="N6112" s="17" t="s">
        <v>13622</v>
      </c>
      <c r="O6112" s="17"/>
      <c r="P6112" s="17" t="s">
        <v>13686</v>
      </c>
      <c r="Q6112" s="17"/>
      <c r="R6112" s="25" t="str">
        <f>HYPERLINK("https://ictv.global/taxonomy/taxondetails?taxnode_id=202318013","Porprismacovirus macro2")</f>
        <v>Porprismacovirus macro2</v>
      </c>
      <c r="S6112" s="18" t="s">
        <v>30</v>
      </c>
      <c r="T6112" s="18" t="s">
        <v>40374</v>
      </c>
      <c r="U6112" s="18"/>
      <c r="V6112" s="18" t="s">
        <v>40375</v>
      </c>
      <c r="W6112" s="18" t="s">
        <v>40376</v>
      </c>
      <c r="X6112" s="18" t="s">
        <v>42</v>
      </c>
      <c r="Y6112" s="18" t="s">
        <v>12266</v>
      </c>
      <c r="Z6112" s="18" t="s">
        <v>41209</v>
      </c>
      <c r="AA6112" s="21" t="str">
        <f>HYPERLINK("https://www.ncbi.nlm.nih.gov/nuccore/OM892352","NCBI Nucleotide")</f>
        <v>NCBI Nucleotide</v>
      </c>
    </row>
    <row r="6113" spans="1:27" x14ac:dyDescent="0.35">
      <c r="A6113">
        <v>1007524</v>
      </c>
      <c r="B6113">
        <v>5851</v>
      </c>
      <c r="C6113">
        <v>1</v>
      </c>
      <c r="D6113" s="17" t="s">
        <v>10507</v>
      </c>
      <c r="E6113" s="17"/>
      <c r="F6113" s="17" t="s">
        <v>10780</v>
      </c>
      <c r="G6113" s="17"/>
      <c r="H6113" s="17" t="s">
        <v>12908</v>
      </c>
      <c r="I6113" s="17"/>
      <c r="J6113" s="17" t="s">
        <v>12909</v>
      </c>
      <c r="K6113" s="17"/>
      <c r="L6113" s="17" t="s">
        <v>13621</v>
      </c>
      <c r="M6113" s="17"/>
      <c r="N6113" s="17" t="s">
        <v>13622</v>
      </c>
      <c r="O6113" s="17"/>
      <c r="P6113" s="17" t="s">
        <v>13686</v>
      </c>
      <c r="Q6113" s="17"/>
      <c r="R6113" s="25" t="str">
        <f>HYPERLINK("https://ictv.global/taxonomy/taxondetails?taxnode_id=202309534","Porprismacovirus malbas1")</f>
        <v>Porprismacovirus malbas1</v>
      </c>
      <c r="S6113" s="18" t="s">
        <v>30</v>
      </c>
      <c r="T6113" s="18" t="s">
        <v>13788</v>
      </c>
      <c r="U6113" s="18"/>
      <c r="V6113" s="18" t="s">
        <v>13789</v>
      </c>
      <c r="W6113" s="18" t="s">
        <v>13790</v>
      </c>
      <c r="X6113" s="18" t="s">
        <v>42</v>
      </c>
      <c r="Y6113" s="18" t="s">
        <v>12266</v>
      </c>
      <c r="Z6113" s="18" t="s">
        <v>41209</v>
      </c>
      <c r="AA6113" s="21" t="str">
        <f>HYPERLINK("https://www.ncbi.nlm.nih.gov/nuccore/LC386195","NCBI Nucleotide")</f>
        <v>NCBI Nucleotide</v>
      </c>
    </row>
    <row r="6114" spans="1:27" x14ac:dyDescent="0.35">
      <c r="A6114">
        <v>1027948</v>
      </c>
      <c r="B6114">
        <v>5852</v>
      </c>
      <c r="C6114">
        <v>1</v>
      </c>
      <c r="D6114" s="17" t="s">
        <v>10507</v>
      </c>
      <c r="E6114" s="17"/>
      <c r="F6114" s="17" t="s">
        <v>10780</v>
      </c>
      <c r="G6114" s="17"/>
      <c r="H6114" s="17" t="s">
        <v>12908</v>
      </c>
      <c r="I6114" s="17"/>
      <c r="J6114" s="17" t="s">
        <v>12909</v>
      </c>
      <c r="K6114" s="17"/>
      <c r="L6114" s="17" t="s">
        <v>13621</v>
      </c>
      <c r="M6114" s="17"/>
      <c r="N6114" s="17" t="s">
        <v>13622</v>
      </c>
      <c r="O6114" s="17"/>
      <c r="P6114" s="17" t="s">
        <v>13686</v>
      </c>
      <c r="Q6114" s="17"/>
      <c r="R6114" s="25" t="str">
        <f>HYPERLINK("https://ictv.global/taxonomy/taxondetails?taxnode_id=202318014","Porprismacovirus molos1")</f>
        <v>Porprismacovirus molos1</v>
      </c>
      <c r="S6114" s="18" t="s">
        <v>30</v>
      </c>
      <c r="T6114" s="18" t="s">
        <v>40377</v>
      </c>
      <c r="U6114" s="18"/>
      <c r="V6114" s="18" t="s">
        <v>40378</v>
      </c>
      <c r="W6114" s="18" t="s">
        <v>40379</v>
      </c>
      <c r="X6114" s="18" t="s">
        <v>42</v>
      </c>
      <c r="Y6114" s="18" t="s">
        <v>12266</v>
      </c>
      <c r="Z6114" s="18" t="s">
        <v>41209</v>
      </c>
      <c r="AA6114" s="21" t="str">
        <f>HYPERLINK("https://www.ncbi.nlm.nih.gov/nuccore/OM892349","NCBI Nucleotide")</f>
        <v>NCBI Nucleotide</v>
      </c>
    </row>
    <row r="6115" spans="1:27" x14ac:dyDescent="0.35">
      <c r="A6115">
        <v>1007525</v>
      </c>
      <c r="B6115">
        <v>5853</v>
      </c>
      <c r="C6115">
        <v>1</v>
      </c>
      <c r="D6115" s="17" t="s">
        <v>10507</v>
      </c>
      <c r="E6115" s="17"/>
      <c r="F6115" s="17" t="s">
        <v>10780</v>
      </c>
      <c r="G6115" s="17"/>
      <c r="H6115" s="17" t="s">
        <v>12908</v>
      </c>
      <c r="I6115" s="17"/>
      <c r="J6115" s="17" t="s">
        <v>12909</v>
      </c>
      <c r="K6115" s="17"/>
      <c r="L6115" s="17" t="s">
        <v>13621</v>
      </c>
      <c r="M6115" s="17"/>
      <c r="N6115" s="17" t="s">
        <v>13622</v>
      </c>
      <c r="O6115" s="17"/>
      <c r="P6115" s="17" t="s">
        <v>13686</v>
      </c>
      <c r="Q6115" s="17"/>
      <c r="R6115" s="25" t="str">
        <f>HYPERLINK("https://ictv.global/taxonomy/taxondetails?taxnode_id=202309535","Porprismacovirus peafo1")</f>
        <v>Porprismacovirus peafo1</v>
      </c>
      <c r="S6115" s="18" t="s">
        <v>30</v>
      </c>
      <c r="T6115" s="18" t="s">
        <v>13683</v>
      </c>
      <c r="U6115" s="18"/>
      <c r="V6115" s="18" t="s">
        <v>13791</v>
      </c>
      <c r="W6115" s="18" t="s">
        <v>13792</v>
      </c>
      <c r="X6115" s="18" t="s">
        <v>42</v>
      </c>
      <c r="Y6115" s="18" t="s">
        <v>12266</v>
      </c>
      <c r="Z6115" s="18" t="s">
        <v>41209</v>
      </c>
      <c r="AA6115" s="21" t="str">
        <f>HYPERLINK("https://www.ncbi.nlm.nih.gov/nuccore/MN928919","NCBI Nucleotide")</f>
        <v>NCBI Nucleotide</v>
      </c>
    </row>
    <row r="6116" spans="1:27" x14ac:dyDescent="0.35">
      <c r="A6116">
        <v>1027949</v>
      </c>
      <c r="B6116">
        <v>5854</v>
      </c>
      <c r="C6116">
        <v>1</v>
      </c>
      <c r="D6116" s="17" t="s">
        <v>10507</v>
      </c>
      <c r="E6116" s="17"/>
      <c r="F6116" s="17" t="s">
        <v>10780</v>
      </c>
      <c r="G6116" s="17"/>
      <c r="H6116" s="17" t="s">
        <v>12908</v>
      </c>
      <c r="I6116" s="17"/>
      <c r="J6116" s="17" t="s">
        <v>12909</v>
      </c>
      <c r="K6116" s="17"/>
      <c r="L6116" s="17" t="s">
        <v>13621</v>
      </c>
      <c r="M6116" s="17"/>
      <c r="N6116" s="17" t="s">
        <v>13622</v>
      </c>
      <c r="O6116" s="17"/>
      <c r="P6116" s="17" t="s">
        <v>13686</v>
      </c>
      <c r="Q6116" s="17"/>
      <c r="R6116" s="25" t="str">
        <f>HYPERLINK("https://ictv.global/taxonomy/taxondetails?taxnode_id=202318015","Porprismacovirus phasi1")</f>
        <v>Porprismacovirus phasi1</v>
      </c>
      <c r="S6116" s="18" t="s">
        <v>30</v>
      </c>
      <c r="T6116" s="18" t="s">
        <v>40380</v>
      </c>
      <c r="U6116" s="18"/>
      <c r="V6116" s="18" t="s">
        <v>40381</v>
      </c>
      <c r="W6116" s="18" t="s">
        <v>40382</v>
      </c>
      <c r="X6116" s="18" t="s">
        <v>42</v>
      </c>
      <c r="Y6116" s="18" t="s">
        <v>12266</v>
      </c>
      <c r="Z6116" s="18" t="s">
        <v>41209</v>
      </c>
      <c r="AA6116" s="21" t="str">
        <f>HYPERLINK("https://www.ncbi.nlm.nih.gov/nuccore/MW183070","NCBI Nucleotide")</f>
        <v>NCBI Nucleotide</v>
      </c>
    </row>
    <row r="6117" spans="1:27" x14ac:dyDescent="0.35">
      <c r="A6117">
        <v>1027950</v>
      </c>
      <c r="B6117">
        <v>5855</v>
      </c>
      <c r="C6117">
        <v>1</v>
      </c>
      <c r="D6117" s="17" t="s">
        <v>10507</v>
      </c>
      <c r="E6117" s="17"/>
      <c r="F6117" s="17" t="s">
        <v>10780</v>
      </c>
      <c r="G6117" s="17"/>
      <c r="H6117" s="17" t="s">
        <v>12908</v>
      </c>
      <c r="I6117" s="17"/>
      <c r="J6117" s="17" t="s">
        <v>12909</v>
      </c>
      <c r="K6117" s="17"/>
      <c r="L6117" s="17" t="s">
        <v>13621</v>
      </c>
      <c r="M6117" s="17"/>
      <c r="N6117" s="17" t="s">
        <v>13622</v>
      </c>
      <c r="O6117" s="17"/>
      <c r="P6117" s="17" t="s">
        <v>13686</v>
      </c>
      <c r="Q6117" s="17"/>
      <c r="R6117" s="25" t="str">
        <f>HYPERLINK("https://ictv.global/taxonomy/taxondetails?taxnode_id=202318016","Porprismacovirus phasi2")</f>
        <v>Porprismacovirus phasi2</v>
      </c>
      <c r="S6117" s="18" t="s">
        <v>30</v>
      </c>
      <c r="T6117" s="18" t="s">
        <v>40383</v>
      </c>
      <c r="U6117" s="18"/>
      <c r="V6117" s="18" t="s">
        <v>40384</v>
      </c>
      <c r="W6117" s="18" t="s">
        <v>40385</v>
      </c>
      <c r="X6117" s="18" t="s">
        <v>42</v>
      </c>
      <c r="Y6117" s="18" t="s">
        <v>12266</v>
      </c>
      <c r="Z6117" s="18" t="s">
        <v>41209</v>
      </c>
      <c r="AA6117" s="21" t="str">
        <f>HYPERLINK("https://www.ncbi.nlm.nih.gov/nuccore/MW183073","NCBI Nucleotide")</f>
        <v>NCBI Nucleotide</v>
      </c>
    </row>
    <row r="6118" spans="1:27" x14ac:dyDescent="0.35">
      <c r="A6118">
        <v>1027951</v>
      </c>
      <c r="B6118">
        <v>5856</v>
      </c>
      <c r="C6118">
        <v>1</v>
      </c>
      <c r="D6118" s="17" t="s">
        <v>10507</v>
      </c>
      <c r="E6118" s="17"/>
      <c r="F6118" s="17" t="s">
        <v>10780</v>
      </c>
      <c r="G6118" s="17"/>
      <c r="H6118" s="17" t="s">
        <v>12908</v>
      </c>
      <c r="I6118" s="17"/>
      <c r="J6118" s="17" t="s">
        <v>12909</v>
      </c>
      <c r="K6118" s="17"/>
      <c r="L6118" s="17" t="s">
        <v>13621</v>
      </c>
      <c r="M6118" s="17"/>
      <c r="N6118" s="17" t="s">
        <v>13622</v>
      </c>
      <c r="O6118" s="17"/>
      <c r="P6118" s="17" t="s">
        <v>13686</v>
      </c>
      <c r="Q6118" s="17"/>
      <c r="R6118" s="25" t="str">
        <f>HYPERLINK("https://ictv.global/taxonomy/taxondetails?taxnode_id=202318017","Porprismacovirus phasi3")</f>
        <v>Porprismacovirus phasi3</v>
      </c>
      <c r="S6118" s="18" t="s">
        <v>30</v>
      </c>
      <c r="T6118" s="18" t="s">
        <v>40386</v>
      </c>
      <c r="U6118" s="18"/>
      <c r="V6118" s="18" t="s">
        <v>40387</v>
      </c>
      <c r="W6118" s="18" t="s">
        <v>40388</v>
      </c>
      <c r="X6118" s="18" t="s">
        <v>42</v>
      </c>
      <c r="Y6118" s="18" t="s">
        <v>12266</v>
      </c>
      <c r="Z6118" s="18" t="s">
        <v>41209</v>
      </c>
      <c r="AA6118" s="21" t="str">
        <f>HYPERLINK("https://www.ncbi.nlm.nih.gov/nuccore/MW183071","NCBI Nucleotide")</f>
        <v>NCBI Nucleotide</v>
      </c>
    </row>
    <row r="6119" spans="1:27" x14ac:dyDescent="0.35">
      <c r="A6119">
        <v>1007526</v>
      </c>
      <c r="B6119">
        <v>5857</v>
      </c>
      <c r="C6119">
        <v>1</v>
      </c>
      <c r="D6119" s="17" t="s">
        <v>10507</v>
      </c>
      <c r="E6119" s="17"/>
      <c r="F6119" s="17" t="s">
        <v>10780</v>
      </c>
      <c r="G6119" s="17"/>
      <c r="H6119" s="17" t="s">
        <v>12908</v>
      </c>
      <c r="I6119" s="17"/>
      <c r="J6119" s="17" t="s">
        <v>12909</v>
      </c>
      <c r="K6119" s="17"/>
      <c r="L6119" s="17" t="s">
        <v>13621</v>
      </c>
      <c r="M6119" s="17"/>
      <c r="N6119" s="17" t="s">
        <v>13622</v>
      </c>
      <c r="O6119" s="17"/>
      <c r="P6119" s="17" t="s">
        <v>13686</v>
      </c>
      <c r="Q6119" s="17"/>
      <c r="R6119" s="25" t="str">
        <f>HYPERLINK("https://ictv.global/taxonomy/taxondetails?taxnode_id=202305977","Porprismacovirus porci1")</f>
        <v>Porprismacovirus porci1</v>
      </c>
      <c r="S6119" s="18" t="s">
        <v>30</v>
      </c>
      <c r="T6119" s="18" t="s">
        <v>13793</v>
      </c>
      <c r="U6119" s="18"/>
      <c r="V6119" s="18" t="s">
        <v>13794</v>
      </c>
      <c r="W6119" s="18" t="s">
        <v>13795</v>
      </c>
      <c r="X6119" s="18" t="s">
        <v>42</v>
      </c>
      <c r="Y6119" s="18" t="s">
        <v>12266</v>
      </c>
      <c r="Z6119" s="18" t="s">
        <v>41209</v>
      </c>
      <c r="AA6119" s="21" t="str">
        <f>HYPERLINK("https://www.ncbi.nlm.nih.gov/nuccore/JX274036","NCBI Nucleotide")</f>
        <v>NCBI Nucleotide</v>
      </c>
    </row>
    <row r="6120" spans="1:27" x14ac:dyDescent="0.35">
      <c r="A6120">
        <v>1007537</v>
      </c>
      <c r="B6120">
        <v>5858</v>
      </c>
      <c r="C6120">
        <v>1</v>
      </c>
      <c r="D6120" s="17" t="s">
        <v>10507</v>
      </c>
      <c r="E6120" s="17"/>
      <c r="F6120" s="17" t="s">
        <v>10780</v>
      </c>
      <c r="G6120" s="17"/>
      <c r="H6120" s="17" t="s">
        <v>12908</v>
      </c>
      <c r="I6120" s="17"/>
      <c r="J6120" s="17" t="s">
        <v>12909</v>
      </c>
      <c r="K6120" s="17"/>
      <c r="L6120" s="17" t="s">
        <v>13621</v>
      </c>
      <c r="M6120" s="17"/>
      <c r="N6120" s="17" t="s">
        <v>13622</v>
      </c>
      <c r="O6120" s="17"/>
      <c r="P6120" s="17" t="s">
        <v>13686</v>
      </c>
      <c r="Q6120" s="17"/>
      <c r="R6120" s="25" t="str">
        <f>HYPERLINK("https://ictv.global/taxonomy/taxondetails?taxnode_id=202305979","Porprismacovirus porci2")</f>
        <v>Porprismacovirus porci2</v>
      </c>
      <c r="S6120" s="18" t="s">
        <v>30</v>
      </c>
      <c r="T6120" s="18" t="s">
        <v>13818</v>
      </c>
      <c r="U6120" s="18"/>
      <c r="V6120" s="18" t="s">
        <v>13819</v>
      </c>
      <c r="W6120" s="18" t="s">
        <v>13820</v>
      </c>
      <c r="X6120" s="18" t="s">
        <v>42</v>
      </c>
      <c r="Y6120" s="18" t="s">
        <v>12266</v>
      </c>
      <c r="Z6120" s="18" t="s">
        <v>41209</v>
      </c>
      <c r="AA6120" s="21" t="str">
        <f>HYPERLINK("https://www.ncbi.nlm.nih.gov/nuccore/KC545226","NCBI Nucleotide")</f>
        <v>NCBI Nucleotide</v>
      </c>
    </row>
    <row r="6121" spans="1:27" x14ac:dyDescent="0.35">
      <c r="A6121">
        <v>1007539</v>
      </c>
      <c r="B6121">
        <v>5859</v>
      </c>
      <c r="C6121">
        <v>1</v>
      </c>
      <c r="D6121" s="17" t="s">
        <v>10507</v>
      </c>
      <c r="E6121" s="17"/>
      <c r="F6121" s="17" t="s">
        <v>10780</v>
      </c>
      <c r="G6121" s="17"/>
      <c r="H6121" s="17" t="s">
        <v>12908</v>
      </c>
      <c r="I6121" s="17"/>
      <c r="J6121" s="17" t="s">
        <v>12909</v>
      </c>
      <c r="K6121" s="17"/>
      <c r="L6121" s="17" t="s">
        <v>13621</v>
      </c>
      <c r="M6121" s="17"/>
      <c r="N6121" s="17" t="s">
        <v>13622</v>
      </c>
      <c r="O6121" s="17"/>
      <c r="P6121" s="17" t="s">
        <v>13686</v>
      </c>
      <c r="Q6121" s="17"/>
      <c r="R6121" s="25" t="str">
        <f>HYPERLINK("https://ictv.global/taxonomy/taxondetails?taxnode_id=202305980","Porprismacovirus porci3")</f>
        <v>Porprismacovirus porci3</v>
      </c>
      <c r="S6121" s="18" t="s">
        <v>30</v>
      </c>
      <c r="T6121" s="18" t="s">
        <v>13823</v>
      </c>
      <c r="U6121" s="18"/>
      <c r="V6121" s="18" t="s">
        <v>13824</v>
      </c>
      <c r="W6121" s="18" t="s">
        <v>13825</v>
      </c>
      <c r="X6121" s="18" t="s">
        <v>42</v>
      </c>
      <c r="Y6121" s="18" t="s">
        <v>12266</v>
      </c>
      <c r="Z6121" s="18" t="s">
        <v>41209</v>
      </c>
      <c r="AA6121" s="21" t="str">
        <f>HYPERLINK("https://www.ncbi.nlm.nih.gov/nuccore/KC545227","NCBI Nucleotide")</f>
        <v>NCBI Nucleotide</v>
      </c>
    </row>
    <row r="6122" spans="1:27" x14ac:dyDescent="0.35">
      <c r="A6122">
        <v>1007540</v>
      </c>
      <c r="B6122">
        <v>5860</v>
      </c>
      <c r="C6122">
        <v>1</v>
      </c>
      <c r="D6122" s="17" t="s">
        <v>10507</v>
      </c>
      <c r="E6122" s="17"/>
      <c r="F6122" s="17" t="s">
        <v>10780</v>
      </c>
      <c r="G6122" s="17"/>
      <c r="H6122" s="17" t="s">
        <v>12908</v>
      </c>
      <c r="I6122" s="17"/>
      <c r="J6122" s="17" t="s">
        <v>12909</v>
      </c>
      <c r="K6122" s="17"/>
      <c r="L6122" s="17" t="s">
        <v>13621</v>
      </c>
      <c r="M6122" s="17"/>
      <c r="N6122" s="17" t="s">
        <v>13622</v>
      </c>
      <c r="O6122" s="17"/>
      <c r="P6122" s="17" t="s">
        <v>13686</v>
      </c>
      <c r="Q6122" s="17"/>
      <c r="R6122" s="25" t="str">
        <f>HYPERLINK("https://ictv.global/taxonomy/taxondetails?taxnode_id=202305981","Porprismacovirus porci4")</f>
        <v>Porprismacovirus porci4</v>
      </c>
      <c r="S6122" s="18" t="s">
        <v>30</v>
      </c>
      <c r="T6122" s="18" t="s">
        <v>13826</v>
      </c>
      <c r="U6122" s="18"/>
      <c r="V6122" s="18" t="s">
        <v>13827</v>
      </c>
      <c r="W6122" s="18" t="s">
        <v>13828</v>
      </c>
      <c r="X6122" s="18" t="s">
        <v>42</v>
      </c>
      <c r="Y6122" s="18" t="s">
        <v>12266</v>
      </c>
      <c r="Z6122" s="18" t="s">
        <v>41209</v>
      </c>
      <c r="AA6122" s="21" t="str">
        <f>HYPERLINK("https://www.ncbi.nlm.nih.gov/nuccore/KJ577810","NCBI Nucleotide")</f>
        <v>NCBI Nucleotide</v>
      </c>
    </row>
    <row r="6123" spans="1:27" x14ac:dyDescent="0.35">
      <c r="A6123">
        <v>1007541</v>
      </c>
      <c r="B6123">
        <v>5861</v>
      </c>
      <c r="C6123">
        <v>1</v>
      </c>
      <c r="D6123" s="17" t="s">
        <v>10507</v>
      </c>
      <c r="E6123" s="17"/>
      <c r="F6123" s="17" t="s">
        <v>10780</v>
      </c>
      <c r="G6123" s="17"/>
      <c r="H6123" s="17" t="s">
        <v>12908</v>
      </c>
      <c r="I6123" s="17"/>
      <c r="J6123" s="17" t="s">
        <v>12909</v>
      </c>
      <c r="K6123" s="17"/>
      <c r="L6123" s="17" t="s">
        <v>13621</v>
      </c>
      <c r="M6123" s="17"/>
      <c r="N6123" s="17" t="s">
        <v>13622</v>
      </c>
      <c r="O6123" s="17"/>
      <c r="P6123" s="17" t="s">
        <v>13686</v>
      </c>
      <c r="Q6123" s="17"/>
      <c r="R6123" s="25" t="str">
        <f>HYPERLINK("https://ictv.global/taxonomy/taxondetails?taxnode_id=202305982","Porprismacovirus porci5")</f>
        <v>Porprismacovirus porci5</v>
      </c>
      <c r="S6123" s="18" t="s">
        <v>30</v>
      </c>
      <c r="T6123" s="18" t="s">
        <v>13826</v>
      </c>
      <c r="U6123" s="18"/>
      <c r="V6123" s="18" t="s">
        <v>13829</v>
      </c>
      <c r="W6123" s="18" t="s">
        <v>13830</v>
      </c>
      <c r="X6123" s="18" t="s">
        <v>42</v>
      </c>
      <c r="Y6123" s="18" t="s">
        <v>12266</v>
      </c>
      <c r="Z6123" s="18" t="s">
        <v>41209</v>
      </c>
      <c r="AA6123" s="21" t="str">
        <f>HYPERLINK("https://www.ncbi.nlm.nih.gov/nuccore/KJ577811","NCBI Nucleotide")</f>
        <v>NCBI Nucleotide</v>
      </c>
    </row>
    <row r="6124" spans="1:27" x14ac:dyDescent="0.35">
      <c r="A6124">
        <v>1007542</v>
      </c>
      <c r="B6124">
        <v>5862</v>
      </c>
      <c r="C6124">
        <v>1</v>
      </c>
      <c r="D6124" s="17" t="s">
        <v>10507</v>
      </c>
      <c r="E6124" s="17"/>
      <c r="F6124" s="17" t="s">
        <v>10780</v>
      </c>
      <c r="G6124" s="17"/>
      <c r="H6124" s="17" t="s">
        <v>12908</v>
      </c>
      <c r="I6124" s="17"/>
      <c r="J6124" s="17" t="s">
        <v>12909</v>
      </c>
      <c r="K6124" s="17"/>
      <c r="L6124" s="17" t="s">
        <v>13621</v>
      </c>
      <c r="M6124" s="17"/>
      <c r="N6124" s="17" t="s">
        <v>13622</v>
      </c>
      <c r="O6124" s="17"/>
      <c r="P6124" s="17" t="s">
        <v>13686</v>
      </c>
      <c r="Q6124" s="17"/>
      <c r="R6124" s="25" t="str">
        <f>HYPERLINK("https://ictv.global/taxonomy/taxondetails?taxnode_id=202305983","Porprismacovirus porci6")</f>
        <v>Porprismacovirus porci6</v>
      </c>
      <c r="S6124" s="18" t="s">
        <v>30</v>
      </c>
      <c r="T6124" s="18" t="s">
        <v>13831</v>
      </c>
      <c r="U6124" s="18"/>
      <c r="V6124" s="18" t="s">
        <v>13832</v>
      </c>
      <c r="W6124" s="18" t="s">
        <v>13833</v>
      </c>
      <c r="X6124" s="18" t="s">
        <v>42</v>
      </c>
      <c r="Y6124" s="18" t="s">
        <v>12266</v>
      </c>
      <c r="Z6124" s="18" t="s">
        <v>41209</v>
      </c>
      <c r="AA6124" s="21" t="str">
        <f>HYPERLINK("https://www.ncbi.nlm.nih.gov/nuccore/KJ577819","NCBI Nucleotide")</f>
        <v>NCBI Nucleotide</v>
      </c>
    </row>
    <row r="6125" spans="1:27" x14ac:dyDescent="0.35">
      <c r="A6125">
        <v>1007543</v>
      </c>
      <c r="B6125">
        <v>5863</v>
      </c>
      <c r="C6125">
        <v>1</v>
      </c>
      <c r="D6125" s="17" t="s">
        <v>10507</v>
      </c>
      <c r="E6125" s="17"/>
      <c r="F6125" s="17" t="s">
        <v>10780</v>
      </c>
      <c r="G6125" s="17"/>
      <c r="H6125" s="17" t="s">
        <v>12908</v>
      </c>
      <c r="I6125" s="17"/>
      <c r="J6125" s="17" t="s">
        <v>12909</v>
      </c>
      <c r="K6125" s="17"/>
      <c r="L6125" s="17" t="s">
        <v>13621</v>
      </c>
      <c r="M6125" s="17"/>
      <c r="N6125" s="17" t="s">
        <v>13622</v>
      </c>
      <c r="O6125" s="17"/>
      <c r="P6125" s="17" t="s">
        <v>13686</v>
      </c>
      <c r="Q6125" s="17"/>
      <c r="R6125" s="25" t="str">
        <f>HYPERLINK("https://ictv.global/taxonomy/taxondetails?taxnode_id=202305984","Porprismacovirus porci7")</f>
        <v>Porprismacovirus porci7</v>
      </c>
      <c r="S6125" s="18" t="s">
        <v>30</v>
      </c>
      <c r="T6125" s="18" t="s">
        <v>13834</v>
      </c>
      <c r="U6125" s="18"/>
      <c r="V6125" s="18" t="s">
        <v>13835</v>
      </c>
      <c r="W6125" s="18" t="s">
        <v>13836</v>
      </c>
      <c r="X6125" s="18" t="s">
        <v>42</v>
      </c>
      <c r="Y6125" s="18" t="s">
        <v>12266</v>
      </c>
      <c r="Z6125" s="18" t="s">
        <v>41209</v>
      </c>
      <c r="AA6125" s="21" t="str">
        <f>HYPERLINK("https://www.ncbi.nlm.nih.gov/nuccore/KJ577812","NCBI Nucleotide")</f>
        <v>NCBI Nucleotide</v>
      </c>
    </row>
    <row r="6126" spans="1:27" x14ac:dyDescent="0.35">
      <c r="A6126">
        <v>1007544</v>
      </c>
      <c r="B6126">
        <v>5864</v>
      </c>
      <c r="C6126">
        <v>1</v>
      </c>
      <c r="D6126" s="17" t="s">
        <v>10507</v>
      </c>
      <c r="E6126" s="17"/>
      <c r="F6126" s="17" t="s">
        <v>10780</v>
      </c>
      <c r="G6126" s="17"/>
      <c r="H6126" s="17" t="s">
        <v>12908</v>
      </c>
      <c r="I6126" s="17"/>
      <c r="J6126" s="17" t="s">
        <v>12909</v>
      </c>
      <c r="K6126" s="17"/>
      <c r="L6126" s="17" t="s">
        <v>13621</v>
      </c>
      <c r="M6126" s="17"/>
      <c r="N6126" s="17" t="s">
        <v>13622</v>
      </c>
      <c r="O6126" s="17"/>
      <c r="P6126" s="17" t="s">
        <v>13686</v>
      </c>
      <c r="Q6126" s="17"/>
      <c r="R6126" s="25" t="str">
        <f>HYPERLINK("https://ictv.global/taxonomy/taxondetails?taxnode_id=202305985","Porprismacovirus porci8")</f>
        <v>Porprismacovirus porci8</v>
      </c>
      <c r="S6126" s="18" t="s">
        <v>30</v>
      </c>
      <c r="T6126" s="18" t="s">
        <v>13837</v>
      </c>
      <c r="U6126" s="18"/>
      <c r="V6126" s="18" t="s">
        <v>13838</v>
      </c>
      <c r="W6126" s="18" t="s">
        <v>13839</v>
      </c>
      <c r="X6126" s="18" t="s">
        <v>42</v>
      </c>
      <c r="Y6126" s="18" t="s">
        <v>12266</v>
      </c>
      <c r="Z6126" s="18" t="s">
        <v>41209</v>
      </c>
      <c r="AA6126" s="21" t="str">
        <f>HYPERLINK("https://www.ncbi.nlm.nih.gov/nuccore/KJ577817","NCBI Nucleotide")</f>
        <v>NCBI Nucleotide</v>
      </c>
    </row>
    <row r="6127" spans="1:27" x14ac:dyDescent="0.35">
      <c r="A6127">
        <v>1007545</v>
      </c>
      <c r="B6127">
        <v>5865</v>
      </c>
      <c r="C6127">
        <v>1</v>
      </c>
      <c r="D6127" s="17" t="s">
        <v>10507</v>
      </c>
      <c r="E6127" s="17"/>
      <c r="F6127" s="17" t="s">
        <v>10780</v>
      </c>
      <c r="G6127" s="17"/>
      <c r="H6127" s="17" t="s">
        <v>12908</v>
      </c>
      <c r="I6127" s="17"/>
      <c r="J6127" s="17" t="s">
        <v>12909</v>
      </c>
      <c r="K6127" s="17"/>
      <c r="L6127" s="17" t="s">
        <v>13621</v>
      </c>
      <c r="M6127" s="17"/>
      <c r="N6127" s="17" t="s">
        <v>13622</v>
      </c>
      <c r="O6127" s="17"/>
      <c r="P6127" s="17" t="s">
        <v>13686</v>
      </c>
      <c r="Q6127" s="17"/>
      <c r="R6127" s="25" t="str">
        <f>HYPERLINK("https://ictv.global/taxonomy/taxondetails?taxnode_id=202305986","Porprismacovirus porci9")</f>
        <v>Porprismacovirus porci9</v>
      </c>
      <c r="S6127" s="18" t="s">
        <v>30</v>
      </c>
      <c r="T6127" s="18" t="s">
        <v>13840</v>
      </c>
      <c r="U6127" s="18"/>
      <c r="V6127" s="18" t="s">
        <v>13841</v>
      </c>
      <c r="W6127" s="18" t="s">
        <v>13842</v>
      </c>
      <c r="X6127" s="18" t="s">
        <v>42</v>
      </c>
      <c r="Y6127" s="18" t="s">
        <v>12266</v>
      </c>
      <c r="Z6127" s="18" t="s">
        <v>41209</v>
      </c>
      <c r="AA6127" s="21" t="str">
        <f>HYPERLINK("https://www.ncbi.nlm.nih.gov/nuccore/KJ577816","NCBI Nucleotide")</f>
        <v>NCBI Nucleotide</v>
      </c>
    </row>
    <row r="6128" spans="1:27" x14ac:dyDescent="0.35">
      <c r="A6128">
        <v>1007527</v>
      </c>
      <c r="B6128">
        <v>5866</v>
      </c>
      <c r="C6128">
        <v>1</v>
      </c>
      <c r="D6128" s="17" t="s">
        <v>10507</v>
      </c>
      <c r="E6128" s="17"/>
      <c r="F6128" s="17" t="s">
        <v>10780</v>
      </c>
      <c r="G6128" s="17"/>
      <c r="H6128" s="17" t="s">
        <v>12908</v>
      </c>
      <c r="I6128" s="17"/>
      <c r="J6128" s="17" t="s">
        <v>12909</v>
      </c>
      <c r="K6128" s="17"/>
      <c r="L6128" s="17" t="s">
        <v>13621</v>
      </c>
      <c r="M6128" s="17"/>
      <c r="N6128" s="17" t="s">
        <v>13622</v>
      </c>
      <c r="O6128" s="17"/>
      <c r="P6128" s="17" t="s">
        <v>13686</v>
      </c>
      <c r="Q6128" s="17"/>
      <c r="R6128" s="25" t="str">
        <f>HYPERLINK("https://ictv.global/taxonomy/taxondetails?taxnode_id=202305978","Porprismacovirus porci10")</f>
        <v>Porprismacovirus porci10</v>
      </c>
      <c r="S6128" s="18" t="s">
        <v>30</v>
      </c>
      <c r="T6128" s="18" t="s">
        <v>13796</v>
      </c>
      <c r="U6128" s="18"/>
      <c r="V6128" s="18" t="s">
        <v>13797</v>
      </c>
      <c r="W6128" s="18" t="s">
        <v>13798</v>
      </c>
      <c r="X6128" s="18" t="s">
        <v>42</v>
      </c>
      <c r="Y6128" s="18" t="s">
        <v>12266</v>
      </c>
      <c r="Z6128" s="18" t="s">
        <v>41209</v>
      </c>
      <c r="AA6128" s="21" t="str">
        <f>HYPERLINK("https://www.ncbi.nlm.nih.gov/nuccore/KT862225","NCBI Nucleotide")</f>
        <v>NCBI Nucleotide</v>
      </c>
    </row>
    <row r="6129" spans="1:27" x14ac:dyDescent="0.35">
      <c r="A6129">
        <v>1007528</v>
      </c>
      <c r="B6129">
        <v>5867</v>
      </c>
      <c r="C6129">
        <v>1</v>
      </c>
      <c r="D6129" s="17" t="s">
        <v>10507</v>
      </c>
      <c r="E6129" s="17"/>
      <c r="F6129" s="17" t="s">
        <v>10780</v>
      </c>
      <c r="G6129" s="17"/>
      <c r="H6129" s="17" t="s">
        <v>12908</v>
      </c>
      <c r="I6129" s="17"/>
      <c r="J6129" s="17" t="s">
        <v>12909</v>
      </c>
      <c r="K6129" s="17"/>
      <c r="L6129" s="17" t="s">
        <v>13621</v>
      </c>
      <c r="M6129" s="17"/>
      <c r="N6129" s="17" t="s">
        <v>13622</v>
      </c>
      <c r="O6129" s="17"/>
      <c r="P6129" s="17" t="s">
        <v>13686</v>
      </c>
      <c r="Q6129" s="17"/>
      <c r="R6129" s="25" t="str">
        <f>HYPERLINK("https://ictv.global/taxonomy/taxondetails?taxnode_id=202309536","Porprismacovirus porci11")</f>
        <v>Porprismacovirus porci11</v>
      </c>
      <c r="S6129" s="18" t="s">
        <v>30</v>
      </c>
      <c r="T6129" s="18" t="s">
        <v>13799</v>
      </c>
      <c r="U6129" s="18"/>
      <c r="V6129" s="18" t="s">
        <v>13800</v>
      </c>
      <c r="W6129" s="18" t="s">
        <v>13801</v>
      </c>
      <c r="X6129" s="18" t="s">
        <v>42</v>
      </c>
      <c r="Y6129" s="18" t="s">
        <v>12266</v>
      </c>
      <c r="Z6129" s="18" t="s">
        <v>41209</v>
      </c>
      <c r="AA6129" s="21" t="str">
        <f>HYPERLINK("https://www.ncbi.nlm.nih.gov/nuccore/MH111138","NCBI Nucleotide")</f>
        <v>NCBI Nucleotide</v>
      </c>
    </row>
    <row r="6130" spans="1:27" x14ac:dyDescent="0.35">
      <c r="A6130">
        <v>1007529</v>
      </c>
      <c r="B6130">
        <v>5868</v>
      </c>
      <c r="C6130">
        <v>1</v>
      </c>
      <c r="D6130" s="17" t="s">
        <v>10507</v>
      </c>
      <c r="E6130" s="17"/>
      <c r="F6130" s="17" t="s">
        <v>10780</v>
      </c>
      <c r="G6130" s="17"/>
      <c r="H6130" s="17" t="s">
        <v>12908</v>
      </c>
      <c r="I6130" s="17"/>
      <c r="J6130" s="17" t="s">
        <v>12909</v>
      </c>
      <c r="K6130" s="17"/>
      <c r="L6130" s="17" t="s">
        <v>13621</v>
      </c>
      <c r="M6130" s="17"/>
      <c r="N6130" s="17" t="s">
        <v>13622</v>
      </c>
      <c r="O6130" s="17"/>
      <c r="P6130" s="17" t="s">
        <v>13686</v>
      </c>
      <c r="Q6130" s="17"/>
      <c r="R6130" s="25" t="str">
        <f>HYPERLINK("https://ictv.global/taxonomy/taxondetails?taxnode_id=202309537","Porprismacovirus porci12")</f>
        <v>Porprismacovirus porci12</v>
      </c>
      <c r="S6130" s="18" t="s">
        <v>30</v>
      </c>
      <c r="T6130" s="18" t="s">
        <v>13799</v>
      </c>
      <c r="U6130" s="18"/>
      <c r="V6130" s="18" t="s">
        <v>13802</v>
      </c>
      <c r="W6130" s="18" t="s">
        <v>13803</v>
      </c>
      <c r="X6130" s="18" t="s">
        <v>42</v>
      </c>
      <c r="Y6130" s="18" t="s">
        <v>12266</v>
      </c>
      <c r="Z6130" s="18" t="s">
        <v>41209</v>
      </c>
      <c r="AA6130" s="21" t="str">
        <f>HYPERLINK("https://www.ncbi.nlm.nih.gov/nuccore/MH500297","NCBI Nucleotide")</f>
        <v>NCBI Nucleotide</v>
      </c>
    </row>
    <row r="6131" spans="1:27" x14ac:dyDescent="0.35">
      <c r="A6131">
        <v>1007530</v>
      </c>
      <c r="B6131">
        <v>5869</v>
      </c>
      <c r="C6131">
        <v>1</v>
      </c>
      <c r="D6131" s="17" t="s">
        <v>10507</v>
      </c>
      <c r="E6131" s="17"/>
      <c r="F6131" s="17" t="s">
        <v>10780</v>
      </c>
      <c r="G6131" s="17"/>
      <c r="H6131" s="17" t="s">
        <v>12908</v>
      </c>
      <c r="I6131" s="17"/>
      <c r="J6131" s="17" t="s">
        <v>12909</v>
      </c>
      <c r="K6131" s="17"/>
      <c r="L6131" s="17" t="s">
        <v>13621</v>
      </c>
      <c r="M6131" s="17"/>
      <c r="N6131" s="17" t="s">
        <v>13622</v>
      </c>
      <c r="O6131" s="17"/>
      <c r="P6131" s="17" t="s">
        <v>13686</v>
      </c>
      <c r="Q6131" s="17"/>
      <c r="R6131" s="25" t="str">
        <f>HYPERLINK("https://ictv.global/taxonomy/taxondetails?taxnode_id=202309538","Porprismacovirus porci13")</f>
        <v>Porprismacovirus porci13</v>
      </c>
      <c r="S6131" s="18" t="s">
        <v>30</v>
      </c>
      <c r="T6131" s="18" t="s">
        <v>13799</v>
      </c>
      <c r="U6131" s="18"/>
      <c r="V6131" s="18" t="s">
        <v>13804</v>
      </c>
      <c r="W6131" s="18" t="s">
        <v>13805</v>
      </c>
      <c r="X6131" s="18" t="s">
        <v>42</v>
      </c>
      <c r="Y6131" s="18" t="s">
        <v>12266</v>
      </c>
      <c r="Z6131" s="18" t="s">
        <v>41209</v>
      </c>
      <c r="AA6131" s="21" t="str">
        <f>HYPERLINK("https://www.ncbi.nlm.nih.gov/nuccore/MH500303","NCBI Nucleotide")</f>
        <v>NCBI Nucleotide</v>
      </c>
    </row>
    <row r="6132" spans="1:27" x14ac:dyDescent="0.35">
      <c r="A6132">
        <v>1007531</v>
      </c>
      <c r="B6132">
        <v>5870</v>
      </c>
      <c r="C6132">
        <v>1</v>
      </c>
      <c r="D6132" s="17" t="s">
        <v>10507</v>
      </c>
      <c r="E6132" s="17"/>
      <c r="F6132" s="17" t="s">
        <v>10780</v>
      </c>
      <c r="G6132" s="17"/>
      <c r="H6132" s="17" t="s">
        <v>12908</v>
      </c>
      <c r="I6132" s="17"/>
      <c r="J6132" s="17" t="s">
        <v>12909</v>
      </c>
      <c r="K6132" s="17"/>
      <c r="L6132" s="17" t="s">
        <v>13621</v>
      </c>
      <c r="M6132" s="17"/>
      <c r="N6132" s="17" t="s">
        <v>13622</v>
      </c>
      <c r="O6132" s="17"/>
      <c r="P6132" s="17" t="s">
        <v>13686</v>
      </c>
      <c r="Q6132" s="17"/>
      <c r="R6132" s="25" t="str">
        <f>HYPERLINK("https://ictv.global/taxonomy/taxondetails?taxnode_id=202309539","Porprismacovirus porci14")</f>
        <v>Porprismacovirus porci14</v>
      </c>
      <c r="S6132" s="18" t="s">
        <v>30</v>
      </c>
      <c r="T6132" s="18" t="s">
        <v>13799</v>
      </c>
      <c r="U6132" s="18"/>
      <c r="V6132" s="18" t="s">
        <v>13806</v>
      </c>
      <c r="W6132" s="18" t="s">
        <v>13807</v>
      </c>
      <c r="X6132" s="18" t="s">
        <v>42</v>
      </c>
      <c r="Y6132" s="18" t="s">
        <v>12266</v>
      </c>
      <c r="Z6132" s="18" t="s">
        <v>41209</v>
      </c>
      <c r="AA6132" s="21" t="str">
        <f>HYPERLINK("https://www.ncbi.nlm.nih.gov/nuccore/MH500301","NCBI Nucleotide")</f>
        <v>NCBI Nucleotide</v>
      </c>
    </row>
    <row r="6133" spans="1:27" x14ac:dyDescent="0.35">
      <c r="A6133">
        <v>1007532</v>
      </c>
      <c r="B6133">
        <v>5871</v>
      </c>
      <c r="C6133">
        <v>1</v>
      </c>
      <c r="D6133" s="17" t="s">
        <v>10507</v>
      </c>
      <c r="E6133" s="17"/>
      <c r="F6133" s="17" t="s">
        <v>10780</v>
      </c>
      <c r="G6133" s="17"/>
      <c r="H6133" s="17" t="s">
        <v>12908</v>
      </c>
      <c r="I6133" s="17"/>
      <c r="J6133" s="17" t="s">
        <v>12909</v>
      </c>
      <c r="K6133" s="17"/>
      <c r="L6133" s="17" t="s">
        <v>13621</v>
      </c>
      <c r="M6133" s="17"/>
      <c r="N6133" s="17" t="s">
        <v>13622</v>
      </c>
      <c r="O6133" s="17"/>
      <c r="P6133" s="17" t="s">
        <v>13686</v>
      </c>
      <c r="Q6133" s="17"/>
      <c r="R6133" s="25" t="str">
        <f>HYPERLINK("https://ictv.global/taxonomy/taxondetails?taxnode_id=202309540","Porprismacovirus porci15")</f>
        <v>Porprismacovirus porci15</v>
      </c>
      <c r="S6133" s="18" t="s">
        <v>30</v>
      </c>
      <c r="T6133" s="18" t="s">
        <v>13799</v>
      </c>
      <c r="U6133" s="18"/>
      <c r="V6133" s="18" t="s">
        <v>13808</v>
      </c>
      <c r="W6133" s="18" t="s">
        <v>13809</v>
      </c>
      <c r="X6133" s="18" t="s">
        <v>42</v>
      </c>
      <c r="Y6133" s="18" t="s">
        <v>12266</v>
      </c>
      <c r="Z6133" s="18" t="s">
        <v>41209</v>
      </c>
      <c r="AA6133" s="21" t="str">
        <f>HYPERLINK("https://www.ncbi.nlm.nih.gov/nuccore/MH500286","NCBI Nucleotide")</f>
        <v>NCBI Nucleotide</v>
      </c>
    </row>
    <row r="6134" spans="1:27" x14ac:dyDescent="0.35">
      <c r="A6134">
        <v>1007533</v>
      </c>
      <c r="B6134">
        <v>5872</v>
      </c>
      <c r="C6134">
        <v>1</v>
      </c>
      <c r="D6134" s="17" t="s">
        <v>10507</v>
      </c>
      <c r="E6134" s="17"/>
      <c r="F6134" s="17" t="s">
        <v>10780</v>
      </c>
      <c r="G6134" s="17"/>
      <c r="H6134" s="17" t="s">
        <v>12908</v>
      </c>
      <c r="I6134" s="17"/>
      <c r="J6134" s="17" t="s">
        <v>12909</v>
      </c>
      <c r="K6134" s="17"/>
      <c r="L6134" s="17" t="s">
        <v>13621</v>
      </c>
      <c r="M6134" s="17"/>
      <c r="N6134" s="17" t="s">
        <v>13622</v>
      </c>
      <c r="O6134" s="17"/>
      <c r="P6134" s="17" t="s">
        <v>13686</v>
      </c>
      <c r="Q6134" s="17"/>
      <c r="R6134" s="25" t="str">
        <f>HYPERLINK("https://ictv.global/taxonomy/taxondetails?taxnode_id=202309541","Porprismacovirus porci16")</f>
        <v>Porprismacovirus porci16</v>
      </c>
      <c r="S6134" s="18" t="s">
        <v>30</v>
      </c>
      <c r="T6134" s="18" t="s">
        <v>13799</v>
      </c>
      <c r="U6134" s="18"/>
      <c r="V6134" s="18" t="s">
        <v>13810</v>
      </c>
      <c r="W6134" s="18" t="s">
        <v>13811</v>
      </c>
      <c r="X6134" s="18" t="s">
        <v>42</v>
      </c>
      <c r="Y6134" s="18" t="s">
        <v>12266</v>
      </c>
      <c r="Z6134" s="18" t="s">
        <v>41209</v>
      </c>
      <c r="AA6134" s="21" t="str">
        <f>HYPERLINK("https://www.ncbi.nlm.nih.gov/nuccore/MH500298","NCBI Nucleotide")</f>
        <v>NCBI Nucleotide</v>
      </c>
    </row>
    <row r="6135" spans="1:27" x14ac:dyDescent="0.35">
      <c r="A6135">
        <v>1007534</v>
      </c>
      <c r="B6135">
        <v>5873</v>
      </c>
      <c r="C6135">
        <v>1</v>
      </c>
      <c r="D6135" s="17" t="s">
        <v>10507</v>
      </c>
      <c r="E6135" s="17"/>
      <c r="F6135" s="17" t="s">
        <v>10780</v>
      </c>
      <c r="G6135" s="17"/>
      <c r="H6135" s="17" t="s">
        <v>12908</v>
      </c>
      <c r="I6135" s="17"/>
      <c r="J6135" s="17" t="s">
        <v>12909</v>
      </c>
      <c r="K6135" s="17"/>
      <c r="L6135" s="17" t="s">
        <v>13621</v>
      </c>
      <c r="M6135" s="17"/>
      <c r="N6135" s="17" t="s">
        <v>13622</v>
      </c>
      <c r="O6135" s="17"/>
      <c r="P6135" s="17" t="s">
        <v>13686</v>
      </c>
      <c r="Q6135" s="17"/>
      <c r="R6135" s="25" t="str">
        <f>HYPERLINK("https://ictv.global/taxonomy/taxondetails?taxnode_id=202309542","Porprismacovirus porci17")</f>
        <v>Porprismacovirus porci17</v>
      </c>
      <c r="S6135" s="18" t="s">
        <v>30</v>
      </c>
      <c r="T6135" s="18" t="s">
        <v>13799</v>
      </c>
      <c r="U6135" s="18"/>
      <c r="V6135" s="18" t="s">
        <v>13812</v>
      </c>
      <c r="W6135" s="18" t="s">
        <v>13813</v>
      </c>
      <c r="X6135" s="18" t="s">
        <v>42</v>
      </c>
      <c r="Y6135" s="18" t="s">
        <v>12266</v>
      </c>
      <c r="Z6135" s="18" t="s">
        <v>41209</v>
      </c>
      <c r="AA6135" s="21" t="str">
        <f>HYPERLINK("https://www.ncbi.nlm.nih.gov/nuccore/MH500284","NCBI Nucleotide")</f>
        <v>NCBI Nucleotide</v>
      </c>
    </row>
    <row r="6136" spans="1:27" x14ac:dyDescent="0.35">
      <c r="A6136">
        <v>1007535</v>
      </c>
      <c r="B6136">
        <v>5874</v>
      </c>
      <c r="C6136">
        <v>1</v>
      </c>
      <c r="D6136" s="17" t="s">
        <v>10507</v>
      </c>
      <c r="E6136" s="17"/>
      <c r="F6136" s="17" t="s">
        <v>10780</v>
      </c>
      <c r="G6136" s="17"/>
      <c r="H6136" s="17" t="s">
        <v>12908</v>
      </c>
      <c r="I6136" s="17"/>
      <c r="J6136" s="17" t="s">
        <v>12909</v>
      </c>
      <c r="K6136" s="17"/>
      <c r="L6136" s="17" t="s">
        <v>13621</v>
      </c>
      <c r="M6136" s="17"/>
      <c r="N6136" s="17" t="s">
        <v>13622</v>
      </c>
      <c r="O6136" s="17"/>
      <c r="P6136" s="17" t="s">
        <v>13686</v>
      </c>
      <c r="Q6136" s="17"/>
      <c r="R6136" s="25" t="str">
        <f>HYPERLINK("https://ictv.global/taxonomy/taxondetails?taxnode_id=202309543","Porprismacovirus porci18")</f>
        <v>Porprismacovirus porci18</v>
      </c>
      <c r="S6136" s="18" t="s">
        <v>30</v>
      </c>
      <c r="T6136" s="18" t="s">
        <v>13799</v>
      </c>
      <c r="U6136" s="18"/>
      <c r="V6136" s="18" t="s">
        <v>13814</v>
      </c>
      <c r="W6136" s="18" t="s">
        <v>13815</v>
      </c>
      <c r="X6136" s="18" t="s">
        <v>42</v>
      </c>
      <c r="Y6136" s="18" t="s">
        <v>12266</v>
      </c>
      <c r="Z6136" s="18" t="s">
        <v>41209</v>
      </c>
      <c r="AA6136" s="21" t="str">
        <f>HYPERLINK("https://www.ncbi.nlm.nih.gov/nuccore/MH111148","NCBI Nucleotide")</f>
        <v>NCBI Nucleotide</v>
      </c>
    </row>
    <row r="6137" spans="1:27" x14ac:dyDescent="0.35">
      <c r="A6137">
        <v>1007536</v>
      </c>
      <c r="B6137">
        <v>5875</v>
      </c>
      <c r="C6137">
        <v>1</v>
      </c>
      <c r="D6137" s="17" t="s">
        <v>10507</v>
      </c>
      <c r="E6137" s="17"/>
      <c r="F6137" s="17" t="s">
        <v>10780</v>
      </c>
      <c r="G6137" s="17"/>
      <c r="H6137" s="17" t="s">
        <v>12908</v>
      </c>
      <c r="I6137" s="17"/>
      <c r="J6137" s="17" t="s">
        <v>12909</v>
      </c>
      <c r="K6137" s="17"/>
      <c r="L6137" s="17" t="s">
        <v>13621</v>
      </c>
      <c r="M6137" s="17"/>
      <c r="N6137" s="17" t="s">
        <v>13622</v>
      </c>
      <c r="O6137" s="17"/>
      <c r="P6137" s="17" t="s">
        <v>13686</v>
      </c>
      <c r="Q6137" s="17"/>
      <c r="R6137" s="25" t="str">
        <f>HYPERLINK("https://ictv.global/taxonomy/taxondetails?taxnode_id=202309544","Porprismacovirus porci19")</f>
        <v>Porprismacovirus porci19</v>
      </c>
      <c r="S6137" s="18" t="s">
        <v>30</v>
      </c>
      <c r="T6137" s="18" t="s">
        <v>13799</v>
      </c>
      <c r="U6137" s="18"/>
      <c r="V6137" s="18" t="s">
        <v>13816</v>
      </c>
      <c r="W6137" s="18" t="s">
        <v>13817</v>
      </c>
      <c r="X6137" s="18" t="s">
        <v>42</v>
      </c>
      <c r="Y6137" s="18" t="s">
        <v>12266</v>
      </c>
      <c r="Z6137" s="18" t="s">
        <v>41209</v>
      </c>
      <c r="AA6137" s="21" t="str">
        <f>HYPERLINK("https://www.ncbi.nlm.nih.gov/nuccore/MH111126","NCBI Nucleotide")</f>
        <v>NCBI Nucleotide</v>
      </c>
    </row>
    <row r="6138" spans="1:27" x14ac:dyDescent="0.35">
      <c r="A6138">
        <v>1007538</v>
      </c>
      <c r="B6138">
        <v>5876</v>
      </c>
      <c r="C6138">
        <v>1</v>
      </c>
      <c r="D6138" s="17" t="s">
        <v>10507</v>
      </c>
      <c r="E6138" s="17"/>
      <c r="F6138" s="17" t="s">
        <v>10780</v>
      </c>
      <c r="G6138" s="17"/>
      <c r="H6138" s="17" t="s">
        <v>12908</v>
      </c>
      <c r="I6138" s="17"/>
      <c r="J6138" s="17" t="s">
        <v>12909</v>
      </c>
      <c r="K6138" s="17"/>
      <c r="L6138" s="17" t="s">
        <v>13621</v>
      </c>
      <c r="M6138" s="17"/>
      <c r="N6138" s="17" t="s">
        <v>13622</v>
      </c>
      <c r="O6138" s="17"/>
      <c r="P6138" s="17" t="s">
        <v>13686</v>
      </c>
      <c r="Q6138" s="17"/>
      <c r="R6138" s="25" t="str">
        <f>HYPERLINK("https://ictv.global/taxonomy/taxondetails?taxnode_id=202309545","Porprismacovirus porci20")</f>
        <v>Porprismacovirus porci20</v>
      </c>
      <c r="S6138" s="18" t="s">
        <v>30</v>
      </c>
      <c r="T6138" s="18" t="s">
        <v>13799</v>
      </c>
      <c r="U6138" s="18"/>
      <c r="V6138" s="18" t="s">
        <v>13821</v>
      </c>
      <c r="W6138" s="18" t="s">
        <v>13822</v>
      </c>
      <c r="X6138" s="18" t="s">
        <v>42</v>
      </c>
      <c r="Y6138" s="18" t="s">
        <v>12266</v>
      </c>
      <c r="Z6138" s="18" t="s">
        <v>41209</v>
      </c>
      <c r="AA6138" s="21" t="str">
        <f>HYPERLINK("https://www.ncbi.nlm.nih.gov/nuccore/MH500289","NCBI Nucleotide")</f>
        <v>NCBI Nucleotide</v>
      </c>
    </row>
    <row r="6139" spans="1:27" x14ac:dyDescent="0.35">
      <c r="A6139">
        <v>1007546</v>
      </c>
      <c r="B6139">
        <v>5877</v>
      </c>
      <c r="C6139">
        <v>1</v>
      </c>
      <c r="D6139" s="17" t="s">
        <v>10507</v>
      </c>
      <c r="E6139" s="17"/>
      <c r="F6139" s="17" t="s">
        <v>10780</v>
      </c>
      <c r="G6139" s="17"/>
      <c r="H6139" s="17" t="s">
        <v>12908</v>
      </c>
      <c r="I6139" s="17"/>
      <c r="J6139" s="17" t="s">
        <v>12909</v>
      </c>
      <c r="K6139" s="17"/>
      <c r="L6139" s="17" t="s">
        <v>13621</v>
      </c>
      <c r="M6139" s="17"/>
      <c r="N6139" s="17" t="s">
        <v>13622</v>
      </c>
      <c r="O6139" s="17"/>
      <c r="P6139" s="17" t="s">
        <v>13686</v>
      </c>
      <c r="Q6139" s="17"/>
      <c r="R6139" s="25" t="str">
        <f>HYPERLINK("https://ictv.global/taxonomy/taxondetails?taxnode_id=202305987","Porprismacovirus ratas1")</f>
        <v>Porprismacovirus ratas1</v>
      </c>
      <c r="S6139" s="18" t="s">
        <v>30</v>
      </c>
      <c r="T6139" s="18" t="s">
        <v>13843</v>
      </c>
      <c r="U6139" s="18"/>
      <c r="V6139" s="18" t="s">
        <v>13844</v>
      </c>
      <c r="W6139" s="18" t="s">
        <v>13845</v>
      </c>
      <c r="X6139" s="18" t="s">
        <v>42</v>
      </c>
      <c r="Y6139" s="18" t="s">
        <v>12266</v>
      </c>
      <c r="Z6139" s="18" t="s">
        <v>41209</v>
      </c>
      <c r="AA6139" s="21" t="str">
        <f>HYPERLINK("https://www.ncbi.nlm.nih.gov/nuccore/KP860906","NCBI Nucleotide")</f>
        <v>NCBI Nucleotide</v>
      </c>
    </row>
    <row r="6140" spans="1:27" x14ac:dyDescent="0.35">
      <c r="A6140">
        <v>1007547</v>
      </c>
      <c r="B6140">
        <v>5878</v>
      </c>
      <c r="C6140">
        <v>1</v>
      </c>
      <c r="D6140" s="17" t="s">
        <v>10507</v>
      </c>
      <c r="E6140" s="17"/>
      <c r="F6140" s="17" t="s">
        <v>10780</v>
      </c>
      <c r="G6140" s="17"/>
      <c r="H6140" s="17" t="s">
        <v>12908</v>
      </c>
      <c r="I6140" s="17"/>
      <c r="J6140" s="17" t="s">
        <v>12909</v>
      </c>
      <c r="K6140" s="17"/>
      <c r="L6140" s="17" t="s">
        <v>13621</v>
      </c>
      <c r="M6140" s="17"/>
      <c r="N6140" s="17" t="s">
        <v>13622</v>
      </c>
      <c r="O6140" s="17"/>
      <c r="P6140" s="17" t="s">
        <v>13686</v>
      </c>
      <c r="Q6140" s="17"/>
      <c r="R6140" s="25" t="str">
        <f>HYPERLINK("https://ictv.global/taxonomy/taxondetails?taxnode_id=202305988","Porprismacovirus sheas1")</f>
        <v>Porprismacovirus sheas1</v>
      </c>
      <c r="S6140" s="18" t="s">
        <v>30</v>
      </c>
      <c r="T6140" s="18" t="s">
        <v>13846</v>
      </c>
      <c r="U6140" s="18"/>
      <c r="V6140" s="18" t="s">
        <v>13847</v>
      </c>
      <c r="W6140" s="18" t="s">
        <v>13848</v>
      </c>
      <c r="X6140" s="18" t="s">
        <v>42</v>
      </c>
      <c r="Y6140" s="18" t="s">
        <v>12266</v>
      </c>
      <c r="Z6140" s="18" t="s">
        <v>41209</v>
      </c>
      <c r="AA6140" s="21" t="str">
        <f>HYPERLINK("https://www.ncbi.nlm.nih.gov/nuccore/KT862220","NCBI Nucleotide")</f>
        <v>NCBI Nucleotide</v>
      </c>
    </row>
    <row r="6141" spans="1:27" x14ac:dyDescent="0.35">
      <c r="A6141">
        <v>1007548</v>
      </c>
      <c r="B6141">
        <v>5879</v>
      </c>
      <c r="C6141">
        <v>1</v>
      </c>
      <c r="D6141" s="17" t="s">
        <v>10507</v>
      </c>
      <c r="E6141" s="17"/>
      <c r="F6141" s="17" t="s">
        <v>10780</v>
      </c>
      <c r="G6141" s="17"/>
      <c r="H6141" s="17" t="s">
        <v>12908</v>
      </c>
      <c r="I6141" s="17"/>
      <c r="J6141" s="17" t="s">
        <v>12909</v>
      </c>
      <c r="K6141" s="17"/>
      <c r="L6141" s="17" t="s">
        <v>13621</v>
      </c>
      <c r="M6141" s="17"/>
      <c r="N6141" s="17" t="s">
        <v>13622</v>
      </c>
      <c r="O6141" s="17"/>
      <c r="P6141" s="17" t="s">
        <v>13686</v>
      </c>
      <c r="Q6141" s="17"/>
      <c r="R6141" s="25" t="str">
        <f>HYPERLINK("https://ictv.global/taxonomy/taxondetails?taxnode_id=202305989","Porprismacovirus sheas2")</f>
        <v>Porprismacovirus sheas2</v>
      </c>
      <c r="S6141" s="18" t="s">
        <v>30</v>
      </c>
      <c r="T6141" s="18" t="s">
        <v>13849</v>
      </c>
      <c r="U6141" s="18"/>
      <c r="V6141" s="18" t="s">
        <v>13850</v>
      </c>
      <c r="W6141" s="18" t="s">
        <v>13851</v>
      </c>
      <c r="X6141" s="18" t="s">
        <v>42</v>
      </c>
      <c r="Y6141" s="18" t="s">
        <v>12266</v>
      </c>
      <c r="Z6141" s="18" t="s">
        <v>41209</v>
      </c>
      <c r="AA6141" s="21" t="str">
        <f>HYPERLINK("https://www.ncbi.nlm.nih.gov/nuccore/KT862221","NCBI Nucleotide")</f>
        <v>NCBI Nucleotide</v>
      </c>
    </row>
    <row r="6142" spans="1:27" x14ac:dyDescent="0.35">
      <c r="A6142">
        <v>1007549</v>
      </c>
      <c r="B6142">
        <v>5880</v>
      </c>
      <c r="C6142">
        <v>1</v>
      </c>
      <c r="D6142" s="17" t="s">
        <v>10507</v>
      </c>
      <c r="E6142" s="17"/>
      <c r="F6142" s="17" t="s">
        <v>10780</v>
      </c>
      <c r="G6142" s="17"/>
      <c r="H6142" s="17" t="s">
        <v>12908</v>
      </c>
      <c r="I6142" s="17"/>
      <c r="J6142" s="17" t="s">
        <v>12909</v>
      </c>
      <c r="K6142" s="17"/>
      <c r="L6142" s="17" t="s">
        <v>13621</v>
      </c>
      <c r="M6142" s="17"/>
      <c r="N6142" s="17" t="s">
        <v>13622</v>
      </c>
      <c r="O6142" s="17"/>
      <c r="P6142" s="17" t="s">
        <v>13686</v>
      </c>
      <c r="Q6142" s="17"/>
      <c r="R6142" s="25" t="str">
        <f>HYPERLINK("https://ictv.global/taxonomy/taxondetails?taxnode_id=202305990","Porprismacovirus sheas3")</f>
        <v>Porprismacovirus sheas3</v>
      </c>
      <c r="S6142" s="18" t="s">
        <v>30</v>
      </c>
      <c r="T6142" s="18" t="s">
        <v>13852</v>
      </c>
      <c r="U6142" s="18"/>
      <c r="V6142" s="18" t="s">
        <v>13853</v>
      </c>
      <c r="W6142" s="18" t="s">
        <v>13854</v>
      </c>
      <c r="X6142" s="18" t="s">
        <v>42</v>
      </c>
      <c r="Y6142" s="18" t="s">
        <v>12266</v>
      </c>
      <c r="Z6142" s="18" t="s">
        <v>41209</v>
      </c>
      <c r="AA6142" s="21" t="str">
        <f>HYPERLINK("https://www.ncbi.nlm.nih.gov/nuccore/KT862219","NCBI Nucleotide")</f>
        <v>NCBI Nucleotide</v>
      </c>
    </row>
    <row r="6143" spans="1:27" x14ac:dyDescent="0.35">
      <c r="A6143">
        <v>1027952</v>
      </c>
      <c r="B6143">
        <v>5881</v>
      </c>
      <c r="C6143">
        <v>1</v>
      </c>
      <c r="D6143" s="17" t="s">
        <v>10507</v>
      </c>
      <c r="E6143" s="17"/>
      <c r="F6143" s="17" t="s">
        <v>10780</v>
      </c>
      <c r="G6143" s="17"/>
      <c r="H6143" s="17" t="s">
        <v>12908</v>
      </c>
      <c r="I6143" s="17"/>
      <c r="J6143" s="17" t="s">
        <v>12909</v>
      </c>
      <c r="K6143" s="17"/>
      <c r="L6143" s="17" t="s">
        <v>13621</v>
      </c>
      <c r="M6143" s="17"/>
      <c r="N6143" s="17" t="s">
        <v>13622</v>
      </c>
      <c r="O6143" s="17"/>
      <c r="P6143" s="17" t="s">
        <v>13686</v>
      </c>
      <c r="Q6143" s="17"/>
      <c r="R6143" s="25" t="str">
        <f>HYPERLINK("https://ictv.global/taxonomy/taxondetails?taxnode_id=202318018","Porprismacovirus strut1")</f>
        <v>Porprismacovirus strut1</v>
      </c>
      <c r="S6143" s="18" t="s">
        <v>30</v>
      </c>
      <c r="T6143" s="18" t="s">
        <v>40389</v>
      </c>
      <c r="U6143" s="18"/>
      <c r="V6143" s="18" t="s">
        <v>40390</v>
      </c>
      <c r="W6143" s="18" t="s">
        <v>40391</v>
      </c>
      <c r="X6143" s="18" t="s">
        <v>42</v>
      </c>
      <c r="Y6143" s="18" t="s">
        <v>12266</v>
      </c>
      <c r="Z6143" s="18" t="s">
        <v>41209</v>
      </c>
      <c r="AA6143" s="21" t="str">
        <f>HYPERLINK("https://www.ncbi.nlm.nih.gov/nuccore/OM892362","NCBI Nucleotide")</f>
        <v>NCBI Nucleotide</v>
      </c>
    </row>
    <row r="6144" spans="1:27" x14ac:dyDescent="0.35">
      <c r="A6144">
        <v>1007550</v>
      </c>
      <c r="B6144">
        <v>5882</v>
      </c>
      <c r="C6144">
        <v>1</v>
      </c>
      <c r="D6144" s="17" t="s">
        <v>10507</v>
      </c>
      <c r="E6144" s="17"/>
      <c r="F6144" s="17" t="s">
        <v>10780</v>
      </c>
      <c r="G6144" s="17"/>
      <c r="H6144" s="17" t="s">
        <v>12908</v>
      </c>
      <c r="I6144" s="17"/>
      <c r="J6144" s="17" t="s">
        <v>12909</v>
      </c>
      <c r="K6144" s="17"/>
      <c r="L6144" s="17" t="s">
        <v>13621</v>
      </c>
      <c r="M6144" s="17"/>
      <c r="N6144" s="17" t="s">
        <v>13622</v>
      </c>
      <c r="O6144" s="17"/>
      <c r="P6144" s="17" t="s">
        <v>13686</v>
      </c>
      <c r="Q6144" s="17"/>
      <c r="R6144" s="25" t="str">
        <f>HYPERLINK("https://ictv.global/taxonomy/taxondetails?taxnode_id=202305991","Porprismacovirus turas1")</f>
        <v>Porprismacovirus turas1</v>
      </c>
      <c r="S6144" s="18" t="s">
        <v>30</v>
      </c>
      <c r="T6144" s="18" t="s">
        <v>13855</v>
      </c>
      <c r="U6144" s="18"/>
      <c r="V6144" s="18" t="s">
        <v>13856</v>
      </c>
      <c r="W6144" s="18" t="s">
        <v>13857</v>
      </c>
      <c r="X6144" s="18" t="s">
        <v>42</v>
      </c>
      <c r="Y6144" s="18" t="s">
        <v>12266</v>
      </c>
      <c r="Z6144" s="18" t="s">
        <v>41209</v>
      </c>
      <c r="AA6144" s="21" t="str">
        <f>HYPERLINK("https://www.ncbi.nlm.nih.gov/nuccore/KF880727","NCBI Nucleotide")</f>
        <v>NCBI Nucleotide</v>
      </c>
    </row>
    <row r="6145" spans="1:27" x14ac:dyDescent="0.35">
      <c r="A6145">
        <v>1007551</v>
      </c>
      <c r="B6145">
        <v>5883</v>
      </c>
      <c r="C6145">
        <v>1</v>
      </c>
      <c r="D6145" s="17" t="s">
        <v>10507</v>
      </c>
      <c r="E6145" s="17"/>
      <c r="F6145" s="17" t="s">
        <v>10780</v>
      </c>
      <c r="G6145" s="17"/>
      <c r="H6145" s="17" t="s">
        <v>12908</v>
      </c>
      <c r="I6145" s="17"/>
      <c r="J6145" s="17" t="s">
        <v>12909</v>
      </c>
      <c r="K6145" s="17"/>
      <c r="L6145" s="17" t="s">
        <v>13621</v>
      </c>
      <c r="M6145" s="17"/>
      <c r="N6145" s="17" t="s">
        <v>13622</v>
      </c>
      <c r="O6145" s="17"/>
      <c r="P6145" s="17" t="s">
        <v>13858</v>
      </c>
      <c r="Q6145" s="17"/>
      <c r="R6145" s="25" t="str">
        <f>HYPERLINK("https://ictv.global/taxonomy/taxondetails?taxnode_id=202309501","Simismacovirus malbas1")</f>
        <v>Simismacovirus malbas1</v>
      </c>
      <c r="S6145" s="18" t="s">
        <v>30</v>
      </c>
      <c r="T6145" s="18" t="s">
        <v>13788</v>
      </c>
      <c r="U6145" s="18"/>
      <c r="V6145" s="18" t="s">
        <v>13859</v>
      </c>
      <c r="W6145" s="18" t="s">
        <v>13860</v>
      </c>
      <c r="X6145" s="18" t="s">
        <v>42</v>
      </c>
      <c r="Y6145" s="18" t="s">
        <v>12266</v>
      </c>
      <c r="Z6145" s="18" t="s">
        <v>41209</v>
      </c>
      <c r="AA6145" s="21" t="str">
        <f>HYPERLINK("https://www.ncbi.nlm.nih.gov/nuccore/LC386199","NCBI Nucleotide")</f>
        <v>NCBI Nucleotide</v>
      </c>
    </row>
    <row r="6146" spans="1:27" x14ac:dyDescent="0.35">
      <c r="A6146">
        <v>1007552</v>
      </c>
      <c r="B6146">
        <v>5884</v>
      </c>
      <c r="C6146">
        <v>1</v>
      </c>
      <c r="D6146" s="17" t="s">
        <v>10507</v>
      </c>
      <c r="E6146" s="17"/>
      <c r="F6146" s="17" t="s">
        <v>10780</v>
      </c>
      <c r="G6146" s="17"/>
      <c r="H6146" s="17" t="s">
        <v>12908</v>
      </c>
      <c r="I6146" s="17"/>
      <c r="J6146" s="17" t="s">
        <v>12909</v>
      </c>
      <c r="K6146" s="17"/>
      <c r="L6146" s="17" t="s">
        <v>13621</v>
      </c>
      <c r="M6146" s="17"/>
      <c r="N6146" s="17" t="s">
        <v>13622</v>
      </c>
      <c r="O6146" s="17"/>
      <c r="P6146" s="17" t="s">
        <v>13858</v>
      </c>
      <c r="Q6146" s="17"/>
      <c r="R6146" s="25" t="str">
        <f>HYPERLINK("https://ictv.global/taxonomy/taxondetails?taxnode_id=202309502","Simismacovirus malbas2")</f>
        <v>Simismacovirus malbas2</v>
      </c>
      <c r="S6146" s="18" t="s">
        <v>30</v>
      </c>
      <c r="T6146" s="18" t="s">
        <v>13788</v>
      </c>
      <c r="U6146" s="18"/>
      <c r="V6146" s="18" t="s">
        <v>13861</v>
      </c>
      <c r="W6146" s="18" t="s">
        <v>13862</v>
      </c>
      <c r="X6146" s="18" t="s">
        <v>42</v>
      </c>
      <c r="Y6146" s="18" t="s">
        <v>12266</v>
      </c>
      <c r="Z6146" s="18" t="s">
        <v>41209</v>
      </c>
      <c r="AA6146" s="21" t="str">
        <f>HYPERLINK("https://www.ncbi.nlm.nih.gov/nuccore/LC386200","NCBI Nucleotide")</f>
        <v>NCBI Nucleotide</v>
      </c>
    </row>
    <row r="6147" spans="1:27" x14ac:dyDescent="0.35">
      <c r="A6147">
        <v>1025286</v>
      </c>
      <c r="B6147">
        <v>5885</v>
      </c>
      <c r="C6147">
        <v>1</v>
      </c>
      <c r="D6147" s="17" t="s">
        <v>10507</v>
      </c>
      <c r="E6147" s="17"/>
      <c r="F6147" s="17" t="s">
        <v>10780</v>
      </c>
      <c r="G6147" s="17"/>
      <c r="H6147" s="17" t="s">
        <v>12908</v>
      </c>
      <c r="I6147" s="17"/>
      <c r="J6147" s="17" t="s">
        <v>12909</v>
      </c>
      <c r="K6147" s="17"/>
      <c r="L6147" s="17" t="s">
        <v>40392</v>
      </c>
      <c r="M6147" s="17"/>
      <c r="N6147" s="17" t="s">
        <v>40393</v>
      </c>
      <c r="O6147" s="17"/>
      <c r="P6147" s="17" t="s">
        <v>40394</v>
      </c>
      <c r="Q6147" s="17"/>
      <c r="R6147" s="25" t="str">
        <f>HYPERLINK("https://ictv.global/taxonomy/taxondetails?taxnode_id=202318843","Atripovirus timinis")</f>
        <v>Atripovirus timinis</v>
      </c>
      <c r="S6147" s="18" t="s">
        <v>30</v>
      </c>
      <c r="T6147" s="18" t="s">
        <v>40395</v>
      </c>
      <c r="U6147" s="18"/>
      <c r="V6147" s="18" t="s">
        <v>40396</v>
      </c>
      <c r="W6147" s="18" t="s">
        <v>40397</v>
      </c>
      <c r="X6147" s="18" t="s">
        <v>42</v>
      </c>
      <c r="Y6147" s="18" t="s">
        <v>12266</v>
      </c>
      <c r="Z6147" s="18" t="s">
        <v>166</v>
      </c>
      <c r="AA6147" s="21" t="str">
        <f>HYPERLINK("https://www.ncbi.nlm.nih.gov/nuccore/MH617332","NCBI Nucleotide")</f>
        <v>NCBI Nucleotide</v>
      </c>
    </row>
    <row r="6148" spans="1:27" x14ac:dyDescent="0.35">
      <c r="A6148">
        <v>1025584</v>
      </c>
      <c r="B6148">
        <v>5886</v>
      </c>
      <c r="C6148">
        <v>1</v>
      </c>
      <c r="D6148" s="17" t="s">
        <v>10507</v>
      </c>
      <c r="E6148" s="17"/>
      <c r="F6148" s="17" t="s">
        <v>10780</v>
      </c>
      <c r="G6148" s="17"/>
      <c r="H6148" s="17" t="s">
        <v>12908</v>
      </c>
      <c r="I6148" s="17"/>
      <c r="J6148" s="17" t="s">
        <v>12909</v>
      </c>
      <c r="K6148" s="17"/>
      <c r="L6148" s="17" t="s">
        <v>40392</v>
      </c>
      <c r="M6148" s="17"/>
      <c r="N6148" s="17" t="s">
        <v>40393</v>
      </c>
      <c r="O6148" s="17"/>
      <c r="P6148" s="17" t="s">
        <v>40398</v>
      </c>
      <c r="Q6148" s="17"/>
      <c r="R6148" s="25" t="str">
        <f>HYPERLINK("https://ictv.global/taxonomy/taxondetails?taxnode_id=202318841","Meliavirus jackflis")</f>
        <v>Meliavirus jackflis</v>
      </c>
      <c r="S6148" s="18" t="s">
        <v>30</v>
      </c>
      <c r="T6148" s="18" t="s">
        <v>40399</v>
      </c>
      <c r="U6148" s="18"/>
      <c r="V6148" s="18" t="s">
        <v>40400</v>
      </c>
      <c r="W6148" s="18" t="s">
        <v>40401</v>
      </c>
      <c r="X6148" s="18" t="s">
        <v>42</v>
      </c>
      <c r="Y6148" s="18" t="s">
        <v>12266</v>
      </c>
      <c r="Z6148" s="18" t="s">
        <v>26655</v>
      </c>
      <c r="AA6148" s="21" t="str">
        <f>HYPERLINK("https://www.ncbi.nlm.nih.gov/nuccore/MN582096","NCBI Nucleotide")</f>
        <v>NCBI Nucleotide</v>
      </c>
    </row>
    <row r="6149" spans="1:27" x14ac:dyDescent="0.35">
      <c r="A6149">
        <v>1025531</v>
      </c>
      <c r="B6149">
        <v>5887</v>
      </c>
      <c r="C6149">
        <v>1</v>
      </c>
      <c r="D6149" s="17" t="s">
        <v>10507</v>
      </c>
      <c r="E6149" s="17"/>
      <c r="F6149" s="17" t="s">
        <v>10780</v>
      </c>
      <c r="G6149" s="17"/>
      <c r="H6149" s="17" t="s">
        <v>12908</v>
      </c>
      <c r="I6149" s="17"/>
      <c r="J6149" s="17" t="s">
        <v>12909</v>
      </c>
      <c r="K6149" s="17"/>
      <c r="L6149" s="17" t="s">
        <v>40392</v>
      </c>
      <c r="M6149" s="17"/>
      <c r="N6149" s="17" t="s">
        <v>40393</v>
      </c>
      <c r="O6149" s="17"/>
      <c r="P6149" s="17" t="s">
        <v>40402</v>
      </c>
      <c r="Q6149" s="17"/>
      <c r="R6149" s="25" t="str">
        <f>HYPERLINK("https://ictv.global/taxonomy/taxondetails?taxnode_id=202318840","Oreadivirus manflis")</f>
        <v>Oreadivirus manflis</v>
      </c>
      <c r="S6149" s="18" t="s">
        <v>30</v>
      </c>
      <c r="T6149" s="18" t="s">
        <v>40403</v>
      </c>
      <c r="U6149" s="18"/>
      <c r="V6149" s="18" t="s">
        <v>40404</v>
      </c>
      <c r="W6149" s="18" t="s">
        <v>40405</v>
      </c>
      <c r="X6149" s="18" t="s">
        <v>42</v>
      </c>
      <c r="Y6149" s="18" t="s">
        <v>12266</v>
      </c>
      <c r="Z6149" s="18" t="s">
        <v>26655</v>
      </c>
      <c r="AA6149" s="21" t="str">
        <f>HYPERLINK("https://www.ncbi.nlm.nih.gov/nuccore/MW202570","NCBI Nucleotide")</f>
        <v>NCBI Nucleotide</v>
      </c>
    </row>
    <row r="6150" spans="1:27" x14ac:dyDescent="0.35">
      <c r="A6150">
        <v>1025532</v>
      </c>
      <c r="B6150">
        <v>5888</v>
      </c>
      <c r="C6150">
        <v>1</v>
      </c>
      <c r="D6150" s="17" t="s">
        <v>10507</v>
      </c>
      <c r="E6150" s="17"/>
      <c r="F6150" s="17" t="s">
        <v>10780</v>
      </c>
      <c r="G6150" s="17"/>
      <c r="H6150" s="17" t="s">
        <v>12908</v>
      </c>
      <c r="I6150" s="17"/>
      <c r="J6150" s="17" t="s">
        <v>12909</v>
      </c>
      <c r="K6150" s="17"/>
      <c r="L6150" s="17" t="s">
        <v>40392</v>
      </c>
      <c r="M6150" s="17"/>
      <c r="N6150" s="17" t="s">
        <v>40393</v>
      </c>
      <c r="O6150" s="17"/>
      <c r="P6150" s="17" t="s">
        <v>40406</v>
      </c>
      <c r="Q6150" s="17"/>
      <c r="R6150" s="25" t="str">
        <f>HYPERLINK("https://ictv.global/taxonomy/taxondetails?taxnode_id=202318842","Oreiadivirus spriflis")</f>
        <v>Oreiadivirus spriflis</v>
      </c>
      <c r="S6150" s="18" t="s">
        <v>30</v>
      </c>
      <c r="T6150" s="18" t="s">
        <v>40407</v>
      </c>
      <c r="U6150" s="18"/>
      <c r="V6150" s="18" t="s">
        <v>40408</v>
      </c>
      <c r="W6150" s="18" t="s">
        <v>40409</v>
      </c>
      <c r="X6150" s="18" t="s">
        <v>42</v>
      </c>
      <c r="Y6150" s="18" t="s">
        <v>12266</v>
      </c>
      <c r="Z6150" s="18" t="s">
        <v>26655</v>
      </c>
      <c r="AA6150" s="21" t="str">
        <f>HYPERLINK("https://www.ncbi.nlm.nih.gov/nuccore/MW202822","NCBI Nucleotide")</f>
        <v>NCBI Nucleotide</v>
      </c>
    </row>
    <row r="6151" spans="1:27" x14ac:dyDescent="0.35">
      <c r="A6151">
        <v>1025443</v>
      </c>
      <c r="B6151">
        <v>5889</v>
      </c>
      <c r="C6151">
        <v>1</v>
      </c>
      <c r="D6151" s="17" t="s">
        <v>10507</v>
      </c>
      <c r="E6151" s="17"/>
      <c r="F6151" s="17" t="s">
        <v>10780</v>
      </c>
      <c r="G6151" s="17"/>
      <c r="H6151" s="17" t="s">
        <v>12908</v>
      </c>
      <c r="I6151" s="17"/>
      <c r="J6151" s="17" t="s">
        <v>12909</v>
      </c>
      <c r="K6151" s="17"/>
      <c r="L6151" s="17" t="s">
        <v>40392</v>
      </c>
      <c r="M6151" s="17"/>
      <c r="N6151" s="17" t="s">
        <v>40393</v>
      </c>
      <c r="O6151" s="17"/>
      <c r="P6151" s="17" t="s">
        <v>40410</v>
      </c>
      <c r="Q6151" s="17"/>
      <c r="R6151" s="25" t="str">
        <f>HYPERLINK("https://ictv.global/taxonomy/taxondetails?taxnode_id=202318839","Satyrivirus cordulis")</f>
        <v>Satyrivirus cordulis</v>
      </c>
      <c r="S6151" s="18" t="s">
        <v>30</v>
      </c>
      <c r="T6151" s="18" t="s">
        <v>40411</v>
      </c>
      <c r="U6151" s="18"/>
      <c r="V6151" s="18" t="s">
        <v>40412</v>
      </c>
      <c r="W6151" s="18" t="s">
        <v>40413</v>
      </c>
      <c r="X6151" s="18" t="s">
        <v>42</v>
      </c>
      <c r="Y6151" s="18" t="s">
        <v>12266</v>
      </c>
      <c r="Z6151" s="18" t="s">
        <v>10790</v>
      </c>
      <c r="AA6151" s="21" t="str">
        <f>HYPERLINK("https://www.ncbi.nlm.nih.gov/nuccore/KP153453","NCBI Nucleotide")</f>
        <v>NCBI Nucleotide</v>
      </c>
    </row>
    <row r="6152" spans="1:27" x14ac:dyDescent="0.35">
      <c r="A6152">
        <v>1025424</v>
      </c>
      <c r="B6152">
        <v>5890</v>
      </c>
      <c r="C6152">
        <v>1</v>
      </c>
      <c r="D6152" s="17" t="s">
        <v>10507</v>
      </c>
      <c r="E6152" s="17"/>
      <c r="F6152" s="17" t="s">
        <v>10780</v>
      </c>
      <c r="G6152" s="17"/>
      <c r="H6152" s="17" t="s">
        <v>12908</v>
      </c>
      <c r="I6152" s="17"/>
      <c r="J6152" s="17" t="s">
        <v>12909</v>
      </c>
      <c r="K6152" s="17"/>
      <c r="L6152" s="17" t="s">
        <v>40392</v>
      </c>
      <c r="M6152" s="17"/>
      <c r="N6152" s="17" t="s">
        <v>40393</v>
      </c>
      <c r="O6152" s="17"/>
      <c r="P6152" s="17" t="s">
        <v>40414</v>
      </c>
      <c r="Q6152" s="17"/>
      <c r="R6152" s="25" t="str">
        <f>HYPERLINK("https://ictv.global/taxonomy/taxondetails?taxnode_id=202318846","Sthenivirus nowtis")</f>
        <v>Sthenivirus nowtis</v>
      </c>
      <c r="S6152" s="18" t="s">
        <v>30</v>
      </c>
      <c r="T6152" s="18" t="s">
        <v>40415</v>
      </c>
      <c r="U6152" s="18"/>
      <c r="V6152" s="18" t="s">
        <v>40416</v>
      </c>
      <c r="W6152" s="18" t="s">
        <v>40417</v>
      </c>
      <c r="X6152" s="18" t="s">
        <v>42</v>
      </c>
      <c r="Y6152" s="18" t="s">
        <v>12266</v>
      </c>
      <c r="Z6152" s="18" t="s">
        <v>166</v>
      </c>
      <c r="AA6152" s="21" t="str">
        <f>HYPERLINK("https://www.ncbi.nlm.nih.gov/nuccore/MH617353","NCBI Nucleotide")</f>
        <v>NCBI Nucleotide</v>
      </c>
    </row>
    <row r="6153" spans="1:27" x14ac:dyDescent="0.35">
      <c r="A6153">
        <v>1025409</v>
      </c>
      <c r="B6153">
        <v>5891</v>
      </c>
      <c r="C6153">
        <v>1</v>
      </c>
      <c r="D6153" s="17" t="s">
        <v>10507</v>
      </c>
      <c r="E6153" s="17"/>
      <c r="F6153" s="17" t="s">
        <v>10780</v>
      </c>
      <c r="G6153" s="17"/>
      <c r="H6153" s="17" t="s">
        <v>12908</v>
      </c>
      <c r="I6153" s="17"/>
      <c r="J6153" s="17" t="s">
        <v>12909</v>
      </c>
      <c r="K6153" s="17"/>
      <c r="L6153" s="17" t="s">
        <v>40392</v>
      </c>
      <c r="M6153" s="17"/>
      <c r="N6153" s="17" t="s">
        <v>40393</v>
      </c>
      <c r="O6153" s="17"/>
      <c r="P6153" s="17" t="s">
        <v>40418</v>
      </c>
      <c r="Q6153" s="17"/>
      <c r="R6153" s="25" t="str">
        <f>HYPERLINK("https://ictv.global/taxonomy/taxondetails?taxnode_id=202318845","Thisbivirus naringis")</f>
        <v>Thisbivirus naringis</v>
      </c>
      <c r="S6153" s="18" t="s">
        <v>30</v>
      </c>
      <c r="T6153" s="18" t="s">
        <v>40419</v>
      </c>
      <c r="U6153" s="18"/>
      <c r="V6153" s="18" t="s">
        <v>40420</v>
      </c>
      <c r="W6153" s="18" t="s">
        <v>40421</v>
      </c>
      <c r="X6153" s="18" t="s">
        <v>42</v>
      </c>
      <c r="Y6153" s="18" t="s">
        <v>12266</v>
      </c>
      <c r="Z6153" s="18" t="s">
        <v>26655</v>
      </c>
      <c r="AA6153" s="21" t="str">
        <f>HYPERLINK("https://www.ncbi.nlm.nih.gov/nuccore/MW202729","NCBI Nucleotide")</f>
        <v>NCBI Nucleotide</v>
      </c>
    </row>
    <row r="6154" spans="1:27" x14ac:dyDescent="0.35">
      <c r="A6154">
        <v>1025408</v>
      </c>
      <c r="B6154">
        <v>5892</v>
      </c>
      <c r="C6154">
        <v>1</v>
      </c>
      <c r="D6154" s="17" t="s">
        <v>10507</v>
      </c>
      <c r="E6154" s="17"/>
      <c r="F6154" s="17" t="s">
        <v>10780</v>
      </c>
      <c r="G6154" s="17"/>
      <c r="H6154" s="17" t="s">
        <v>12908</v>
      </c>
      <c r="I6154" s="17"/>
      <c r="J6154" s="17" t="s">
        <v>12909</v>
      </c>
      <c r="K6154" s="17"/>
      <c r="L6154" s="17" t="s">
        <v>40392</v>
      </c>
      <c r="M6154" s="17"/>
      <c r="N6154" s="17" t="s">
        <v>40393</v>
      </c>
      <c r="O6154" s="17"/>
      <c r="P6154" s="17" t="s">
        <v>51026</v>
      </c>
      <c r="Q6154" s="17"/>
      <c r="R6154" s="25" t="str">
        <f>HYPERLINK("https://ictv.global/taxonomy/taxondetails?taxnode_id=202318844","Thyiavirus flanatis")</f>
        <v>Thyiavirus flanatis</v>
      </c>
      <c r="S6154" s="18" t="s">
        <v>30</v>
      </c>
      <c r="T6154" s="18" t="s">
        <v>40422</v>
      </c>
      <c r="U6154" s="18"/>
      <c r="V6154" s="18" t="s">
        <v>40423</v>
      </c>
      <c r="W6154" s="18" t="s">
        <v>40424</v>
      </c>
      <c r="X6154" s="18" t="s">
        <v>42</v>
      </c>
      <c r="Y6154" s="18" t="s">
        <v>12266</v>
      </c>
      <c r="Z6154" s="18" t="s">
        <v>26655</v>
      </c>
      <c r="AA6154" s="21" t="str">
        <f>HYPERLINK("https://www.ncbi.nlm.nih.gov/nuccore/MW202851","NCBI Nucleotide")</f>
        <v>NCBI Nucleotide</v>
      </c>
    </row>
    <row r="6155" spans="1:27" x14ac:dyDescent="0.35">
      <c r="A6155">
        <v>1025296</v>
      </c>
      <c r="B6155">
        <v>5893</v>
      </c>
      <c r="C6155">
        <v>1</v>
      </c>
      <c r="D6155" s="17" t="s">
        <v>10507</v>
      </c>
      <c r="E6155" s="17"/>
      <c r="F6155" s="17" t="s">
        <v>10780</v>
      </c>
      <c r="G6155" s="17"/>
      <c r="H6155" s="17" t="s">
        <v>12908</v>
      </c>
      <c r="I6155" s="17"/>
      <c r="J6155" s="17" t="s">
        <v>12909</v>
      </c>
      <c r="K6155" s="17"/>
      <c r="L6155" s="17" t="s">
        <v>40392</v>
      </c>
      <c r="M6155" s="17"/>
      <c r="N6155" s="17" t="s">
        <v>40425</v>
      </c>
      <c r="O6155" s="17"/>
      <c r="P6155" s="17" t="s">
        <v>40426</v>
      </c>
      <c r="Q6155" s="17"/>
      <c r="R6155" s="25" t="str">
        <f>HYPERLINK("https://ictv.global/taxonomy/taxondetails?taxnode_id=202318827","Aretevirus hermico")</f>
        <v>Aretevirus hermico</v>
      </c>
      <c r="S6155" s="18" t="s">
        <v>30</v>
      </c>
      <c r="T6155" s="18" t="s">
        <v>50414</v>
      </c>
      <c r="U6155" s="18"/>
      <c r="V6155" s="18" t="s">
        <v>40427</v>
      </c>
      <c r="W6155" s="18" t="s">
        <v>40428</v>
      </c>
      <c r="X6155" s="18" t="s">
        <v>42</v>
      </c>
      <c r="Y6155" s="18" t="s">
        <v>12266</v>
      </c>
      <c r="Z6155" s="18" t="s">
        <v>10790</v>
      </c>
      <c r="AA6155" s="21" t="str">
        <f>HYPERLINK("https://www.ncbi.nlm.nih.gov/nuccore/KR528556","NCBI Nucleotide")</f>
        <v>NCBI Nucleotide</v>
      </c>
    </row>
    <row r="6156" spans="1:27" x14ac:dyDescent="0.35">
      <c r="A6156">
        <v>1025297</v>
      </c>
      <c r="B6156">
        <v>5894</v>
      </c>
      <c r="C6156">
        <v>1</v>
      </c>
      <c r="D6156" s="17" t="s">
        <v>10507</v>
      </c>
      <c r="E6156" s="17"/>
      <c r="F6156" s="17" t="s">
        <v>10780</v>
      </c>
      <c r="G6156" s="17"/>
      <c r="H6156" s="17" t="s">
        <v>12908</v>
      </c>
      <c r="I6156" s="17"/>
      <c r="J6156" s="17" t="s">
        <v>12909</v>
      </c>
      <c r="K6156" s="17"/>
      <c r="L6156" s="17" t="s">
        <v>40392</v>
      </c>
      <c r="M6156" s="17"/>
      <c r="N6156" s="17" t="s">
        <v>40425</v>
      </c>
      <c r="O6156" s="17"/>
      <c r="P6156" s="17" t="s">
        <v>40426</v>
      </c>
      <c r="Q6156" s="17"/>
      <c r="R6156" s="25" t="str">
        <f>HYPERLINK("https://ictv.global/taxonomy/taxondetails?taxnode_id=202318826","Aretevirus marisnaco")</f>
        <v>Aretevirus marisnaco</v>
      </c>
      <c r="S6156" s="18" t="s">
        <v>30</v>
      </c>
      <c r="T6156" s="18" t="s">
        <v>50415</v>
      </c>
      <c r="U6156" s="18"/>
      <c r="V6156" s="18" t="s">
        <v>40429</v>
      </c>
      <c r="W6156" s="18" t="s">
        <v>40430</v>
      </c>
      <c r="X6156" s="18" t="s">
        <v>42</v>
      </c>
      <c r="Y6156" s="18" t="s">
        <v>12266</v>
      </c>
      <c r="Z6156" s="18" t="s">
        <v>10790</v>
      </c>
      <c r="AA6156" s="21" t="str">
        <f>HYPERLINK("https://www.ncbi.nlm.nih.gov/nuccore/KR528554","NCBI Nucleotide")</f>
        <v>NCBI Nucleotide</v>
      </c>
    </row>
    <row r="6157" spans="1:27" x14ac:dyDescent="0.35">
      <c r="A6157">
        <v>1025298</v>
      </c>
      <c r="B6157">
        <v>5895</v>
      </c>
      <c r="C6157">
        <v>1</v>
      </c>
      <c r="D6157" s="17" t="s">
        <v>10507</v>
      </c>
      <c r="E6157" s="17"/>
      <c r="F6157" s="17" t="s">
        <v>10780</v>
      </c>
      <c r="G6157" s="17"/>
      <c r="H6157" s="17" t="s">
        <v>12908</v>
      </c>
      <c r="I6157" s="17"/>
      <c r="J6157" s="17" t="s">
        <v>12909</v>
      </c>
      <c r="K6157" s="17"/>
      <c r="L6157" s="17" t="s">
        <v>40392</v>
      </c>
      <c r="M6157" s="17"/>
      <c r="N6157" s="17" t="s">
        <v>40425</v>
      </c>
      <c r="O6157" s="17"/>
      <c r="P6157" s="17" t="s">
        <v>40426</v>
      </c>
      <c r="Q6157" s="17"/>
      <c r="R6157" s="25" t="str">
        <f>HYPERLINK("https://ictv.global/taxonomy/taxondetails?taxnode_id=202318825","Aretevirus swances")</f>
        <v>Aretevirus swances</v>
      </c>
      <c r="S6157" s="18" t="s">
        <v>30</v>
      </c>
      <c r="T6157" s="18" t="s">
        <v>50416</v>
      </c>
      <c r="U6157" s="18"/>
      <c r="V6157" s="18" t="s">
        <v>40431</v>
      </c>
      <c r="W6157" s="18" t="s">
        <v>40432</v>
      </c>
      <c r="X6157" s="18" t="s">
        <v>42</v>
      </c>
      <c r="Y6157" s="18" t="s">
        <v>12266</v>
      </c>
      <c r="Z6157" s="18" t="s">
        <v>166</v>
      </c>
      <c r="AA6157" s="21" t="str">
        <f>HYPERLINK("https://www.ncbi.nlm.nih.gov/nuccore/MW588088","NCBI Nucleotide")</f>
        <v>NCBI Nucleotide</v>
      </c>
    </row>
    <row r="6158" spans="1:27" x14ac:dyDescent="0.35">
      <c r="A6158">
        <v>1025361</v>
      </c>
      <c r="B6158">
        <v>5896</v>
      </c>
      <c r="C6158">
        <v>1</v>
      </c>
      <c r="D6158" s="17" t="s">
        <v>10507</v>
      </c>
      <c r="E6158" s="17"/>
      <c r="F6158" s="17" t="s">
        <v>10780</v>
      </c>
      <c r="G6158" s="17"/>
      <c r="H6158" s="17" t="s">
        <v>12908</v>
      </c>
      <c r="I6158" s="17"/>
      <c r="J6158" s="17" t="s">
        <v>12909</v>
      </c>
      <c r="K6158" s="17"/>
      <c r="L6158" s="17" t="s">
        <v>40392</v>
      </c>
      <c r="M6158" s="17"/>
      <c r="N6158" s="17" t="s">
        <v>40425</v>
      </c>
      <c r="O6158" s="17"/>
      <c r="P6158" s="17" t="s">
        <v>40433</v>
      </c>
      <c r="Q6158" s="17"/>
      <c r="R6158" s="25" t="str">
        <f>HYPERLINK("https://ictv.global/taxonomy/taxondetails?taxnode_id=202318789","Boebeisivirus manatense")</f>
        <v>Boebeisivirus manatense</v>
      </c>
      <c r="S6158" s="18" t="s">
        <v>30</v>
      </c>
      <c r="T6158" s="18" t="s">
        <v>40434</v>
      </c>
      <c r="U6158" s="18"/>
      <c r="V6158" s="18" t="s">
        <v>40435</v>
      </c>
      <c r="W6158" s="18" t="s">
        <v>40436</v>
      </c>
      <c r="X6158" s="18" t="s">
        <v>42</v>
      </c>
      <c r="Y6158" s="18" t="s">
        <v>12266</v>
      </c>
      <c r="Z6158" s="18" t="s">
        <v>26655</v>
      </c>
      <c r="AA6158" s="21" t="str">
        <f>HYPERLINK("https://www.ncbi.nlm.nih.gov/nuccore/MW202799","NCBI Nucleotide")</f>
        <v>NCBI Nucleotide</v>
      </c>
    </row>
    <row r="6159" spans="1:27" x14ac:dyDescent="0.35">
      <c r="A6159">
        <v>1025362</v>
      </c>
      <c r="B6159">
        <v>5897</v>
      </c>
      <c r="C6159">
        <v>1</v>
      </c>
      <c r="D6159" s="17" t="s">
        <v>10507</v>
      </c>
      <c r="E6159" s="17"/>
      <c r="F6159" s="17" t="s">
        <v>10780</v>
      </c>
      <c r="G6159" s="17"/>
      <c r="H6159" s="17" t="s">
        <v>12908</v>
      </c>
      <c r="I6159" s="17"/>
      <c r="J6159" s="17" t="s">
        <v>12909</v>
      </c>
      <c r="K6159" s="17"/>
      <c r="L6159" s="17" t="s">
        <v>40392</v>
      </c>
      <c r="M6159" s="17"/>
      <c r="N6159" s="17" t="s">
        <v>40425</v>
      </c>
      <c r="O6159" s="17"/>
      <c r="P6159" s="17" t="s">
        <v>40433</v>
      </c>
      <c r="Q6159" s="17"/>
      <c r="R6159" s="25" t="str">
        <f>HYPERLINK("https://ictv.global/taxonomy/taxondetails?taxnode_id=202318790","Boebeisivirus mintis")</f>
        <v>Boebeisivirus mintis</v>
      </c>
      <c r="S6159" s="18" t="s">
        <v>30</v>
      </c>
      <c r="T6159" s="18" t="s">
        <v>40437</v>
      </c>
      <c r="U6159" s="18"/>
      <c r="V6159" s="18" t="s">
        <v>40438</v>
      </c>
      <c r="W6159" s="18" t="s">
        <v>40439</v>
      </c>
      <c r="X6159" s="18" t="s">
        <v>42</v>
      </c>
      <c r="Y6159" s="18" t="s">
        <v>12266</v>
      </c>
      <c r="Z6159" s="18" t="s">
        <v>166</v>
      </c>
      <c r="AA6159" s="21" t="str">
        <f>HYPERLINK("https://www.ncbi.nlm.nih.gov/nuccore/MH617165","NCBI Nucleotide")</f>
        <v>NCBI Nucleotide</v>
      </c>
    </row>
    <row r="6160" spans="1:27" x14ac:dyDescent="0.35">
      <c r="A6160">
        <v>1025391</v>
      </c>
      <c r="B6160">
        <v>5898</v>
      </c>
      <c r="C6160">
        <v>1</v>
      </c>
      <c r="D6160" s="17" t="s">
        <v>10507</v>
      </c>
      <c r="E6160" s="17"/>
      <c r="F6160" s="17" t="s">
        <v>10780</v>
      </c>
      <c r="G6160" s="17"/>
      <c r="H6160" s="17" t="s">
        <v>12908</v>
      </c>
      <c r="I6160" s="17"/>
      <c r="J6160" s="17" t="s">
        <v>12909</v>
      </c>
      <c r="K6160" s="17"/>
      <c r="L6160" s="17" t="s">
        <v>40392</v>
      </c>
      <c r="M6160" s="17"/>
      <c r="N6160" s="17" t="s">
        <v>40425</v>
      </c>
      <c r="O6160" s="17"/>
      <c r="P6160" s="17" t="s">
        <v>40440</v>
      </c>
      <c r="Q6160" s="17"/>
      <c r="R6160" s="25" t="str">
        <f>HYPERLINK("https://ictv.global/taxonomy/taxondetails?taxnode_id=202318804","Demetevirus haddotis")</f>
        <v>Demetevirus haddotis</v>
      </c>
      <c r="S6160" s="18" t="s">
        <v>30</v>
      </c>
      <c r="T6160" s="18" t="s">
        <v>40441</v>
      </c>
      <c r="U6160" s="18"/>
      <c r="V6160" s="18" t="s">
        <v>40442</v>
      </c>
      <c r="W6160" s="18" t="s">
        <v>40443</v>
      </c>
      <c r="X6160" s="18" t="s">
        <v>42</v>
      </c>
      <c r="Y6160" s="18" t="s">
        <v>12266</v>
      </c>
      <c r="Z6160" s="18" t="s">
        <v>166</v>
      </c>
      <c r="AA6160" s="21" t="str">
        <f>HYPERLINK("https://www.ncbi.nlm.nih.gov/nuccore/MH616684","NCBI Nucleotide")</f>
        <v>NCBI Nucleotide</v>
      </c>
    </row>
    <row r="6161" spans="1:27" x14ac:dyDescent="0.35">
      <c r="A6161">
        <v>1025392</v>
      </c>
      <c r="B6161">
        <v>5899</v>
      </c>
      <c r="C6161">
        <v>1</v>
      </c>
      <c r="D6161" s="17" t="s">
        <v>10507</v>
      </c>
      <c r="E6161" s="17"/>
      <c r="F6161" s="17" t="s">
        <v>10780</v>
      </c>
      <c r="G6161" s="17"/>
      <c r="H6161" s="17" t="s">
        <v>12908</v>
      </c>
      <c r="I6161" s="17"/>
      <c r="J6161" s="17" t="s">
        <v>12909</v>
      </c>
      <c r="K6161" s="17"/>
      <c r="L6161" s="17" t="s">
        <v>40392</v>
      </c>
      <c r="M6161" s="17"/>
      <c r="N6161" s="17" t="s">
        <v>40425</v>
      </c>
      <c r="O6161" s="17"/>
      <c r="P6161" s="17" t="s">
        <v>40440</v>
      </c>
      <c r="Q6161" s="17"/>
      <c r="R6161" s="25" t="str">
        <f>HYPERLINK("https://ictv.global/taxonomy/taxondetails?taxnode_id=202318803","Demetevirus plantaes")</f>
        <v>Demetevirus plantaes</v>
      </c>
      <c r="S6161" s="18" t="s">
        <v>30</v>
      </c>
      <c r="T6161" s="18" t="s">
        <v>40444</v>
      </c>
      <c r="U6161" s="18"/>
      <c r="V6161" s="18" t="s">
        <v>40445</v>
      </c>
      <c r="W6161" s="18" t="s">
        <v>40446</v>
      </c>
      <c r="X6161" s="18" t="s">
        <v>42</v>
      </c>
      <c r="Y6161" s="18" t="s">
        <v>12266</v>
      </c>
      <c r="Z6161" s="18" t="s">
        <v>13441</v>
      </c>
      <c r="AA6161" s="21" t="str">
        <f>HYPERLINK("https://www.ncbi.nlm.nih.gov/nuccore/MN891801","NCBI Nucleotide")</f>
        <v>NCBI Nucleotide</v>
      </c>
    </row>
    <row r="6162" spans="1:27" x14ac:dyDescent="0.35">
      <c r="A6162">
        <v>1025386</v>
      </c>
      <c r="B6162">
        <v>5900</v>
      </c>
      <c r="C6162">
        <v>1</v>
      </c>
      <c r="D6162" s="17" t="s">
        <v>10507</v>
      </c>
      <c r="E6162" s="17"/>
      <c r="F6162" s="17" t="s">
        <v>10780</v>
      </c>
      <c r="G6162" s="17"/>
      <c r="H6162" s="17" t="s">
        <v>12908</v>
      </c>
      <c r="I6162" s="17"/>
      <c r="J6162" s="17" t="s">
        <v>12909</v>
      </c>
      <c r="K6162" s="17"/>
      <c r="L6162" s="17" t="s">
        <v>40392</v>
      </c>
      <c r="M6162" s="17"/>
      <c r="N6162" s="17" t="s">
        <v>40425</v>
      </c>
      <c r="O6162" s="17"/>
      <c r="P6162" s="17" t="s">
        <v>40447</v>
      </c>
      <c r="Q6162" s="17"/>
      <c r="R6162" s="25" t="str">
        <f>HYPERLINK("https://ictv.global/taxonomy/taxondetails?taxnode_id=202318823","Doliovirus lythtis")</f>
        <v>Doliovirus lythtis</v>
      </c>
      <c r="S6162" s="18" t="s">
        <v>30</v>
      </c>
      <c r="T6162" s="18" t="s">
        <v>40448</v>
      </c>
      <c r="U6162" s="18"/>
      <c r="V6162" s="18" t="s">
        <v>40449</v>
      </c>
      <c r="W6162" s="18" t="s">
        <v>40450</v>
      </c>
      <c r="X6162" s="18" t="s">
        <v>42</v>
      </c>
      <c r="Y6162" s="18" t="s">
        <v>12266</v>
      </c>
      <c r="Z6162" s="18" t="s">
        <v>166</v>
      </c>
      <c r="AA6162" s="21" t="str">
        <f>HYPERLINK("https://www.ncbi.nlm.nih.gov/nuccore/MH616757","NCBI Nucleotide")</f>
        <v>NCBI Nucleotide</v>
      </c>
    </row>
    <row r="6163" spans="1:27" x14ac:dyDescent="0.35">
      <c r="A6163">
        <v>1025382</v>
      </c>
      <c r="B6163">
        <v>5901</v>
      </c>
      <c r="C6163">
        <v>1</v>
      </c>
      <c r="D6163" s="17" t="s">
        <v>10507</v>
      </c>
      <c r="E6163" s="17"/>
      <c r="F6163" s="17" t="s">
        <v>10780</v>
      </c>
      <c r="G6163" s="17"/>
      <c r="H6163" s="17" t="s">
        <v>12908</v>
      </c>
      <c r="I6163" s="17"/>
      <c r="J6163" s="17" t="s">
        <v>12909</v>
      </c>
      <c r="K6163" s="17"/>
      <c r="L6163" s="17" t="s">
        <v>40392</v>
      </c>
      <c r="M6163" s="17"/>
      <c r="N6163" s="17" t="s">
        <v>40425</v>
      </c>
      <c r="O6163" s="17"/>
      <c r="P6163" s="17" t="s">
        <v>40451</v>
      </c>
      <c r="Q6163" s="17"/>
      <c r="R6163" s="25" t="str">
        <f>HYPERLINK("https://ictv.global/taxonomy/taxondetails?taxnode_id=202318800","Dorisivirus aiptaes")</f>
        <v>Dorisivirus aiptaes</v>
      </c>
      <c r="S6163" s="18" t="s">
        <v>30</v>
      </c>
      <c r="T6163" s="18" t="s">
        <v>40452</v>
      </c>
      <c r="U6163" s="18"/>
      <c r="V6163" s="18" t="s">
        <v>40453</v>
      </c>
      <c r="W6163" s="18" t="s">
        <v>40454</v>
      </c>
      <c r="X6163" s="18" t="s">
        <v>42</v>
      </c>
      <c r="Y6163" s="18" t="s">
        <v>12266</v>
      </c>
      <c r="Z6163" s="18" t="s">
        <v>10790</v>
      </c>
      <c r="AA6163" s="21" t="str">
        <f>HYPERLINK("https://www.ncbi.nlm.nih.gov/nuccore/KR528545","NCBI Nucleotide")</f>
        <v>NCBI Nucleotide</v>
      </c>
    </row>
    <row r="6164" spans="1:27" x14ac:dyDescent="0.35">
      <c r="A6164">
        <v>1025383</v>
      </c>
      <c r="B6164">
        <v>5902</v>
      </c>
      <c r="C6164">
        <v>1</v>
      </c>
      <c r="D6164" s="17" t="s">
        <v>10507</v>
      </c>
      <c r="E6164" s="17"/>
      <c r="F6164" s="17" t="s">
        <v>10780</v>
      </c>
      <c r="G6164" s="17"/>
      <c r="H6164" s="17" t="s">
        <v>12908</v>
      </c>
      <c r="I6164" s="17"/>
      <c r="J6164" s="17" t="s">
        <v>12909</v>
      </c>
      <c r="K6164" s="17"/>
      <c r="L6164" s="17" t="s">
        <v>40392</v>
      </c>
      <c r="M6164" s="17"/>
      <c r="N6164" s="17" t="s">
        <v>40425</v>
      </c>
      <c r="O6164" s="17"/>
      <c r="P6164" s="17" t="s">
        <v>40451</v>
      </c>
      <c r="Q6164" s="17"/>
      <c r="R6164" s="25" t="str">
        <f>HYPERLINK("https://ictv.global/taxonomy/taxondetails?taxnode_id=202318799","Dorisivirus orcatis")</f>
        <v>Dorisivirus orcatis</v>
      </c>
      <c r="S6164" s="18" t="s">
        <v>30</v>
      </c>
      <c r="T6164" s="18" t="s">
        <v>40455</v>
      </c>
      <c r="U6164" s="18"/>
      <c r="V6164" s="18" t="s">
        <v>40456</v>
      </c>
      <c r="W6164" s="18" t="s">
        <v>40457</v>
      </c>
      <c r="X6164" s="18" t="s">
        <v>42</v>
      </c>
      <c r="Y6164" s="18" t="s">
        <v>12266</v>
      </c>
      <c r="Z6164" s="18" t="s">
        <v>166</v>
      </c>
      <c r="AA6164" s="21" t="str">
        <f>HYPERLINK("https://www.ncbi.nlm.nih.gov/nuccore/MW562325","NCBI Nucleotide")</f>
        <v>NCBI Nucleotide</v>
      </c>
    </row>
    <row r="6165" spans="1:27" x14ac:dyDescent="0.35">
      <c r="A6165">
        <v>1025380</v>
      </c>
      <c r="B6165">
        <v>5903</v>
      </c>
      <c r="C6165">
        <v>1</v>
      </c>
      <c r="D6165" s="17" t="s">
        <v>10507</v>
      </c>
      <c r="E6165" s="17"/>
      <c r="F6165" s="17" t="s">
        <v>10780</v>
      </c>
      <c r="G6165" s="17"/>
      <c r="H6165" s="17" t="s">
        <v>12908</v>
      </c>
      <c r="I6165" s="17"/>
      <c r="J6165" s="17" t="s">
        <v>12909</v>
      </c>
      <c r="K6165" s="17"/>
      <c r="L6165" s="17" t="s">
        <v>40392</v>
      </c>
      <c r="M6165" s="17"/>
      <c r="N6165" s="17" t="s">
        <v>40425</v>
      </c>
      <c r="O6165" s="17"/>
      <c r="P6165" s="17" t="s">
        <v>40458</v>
      </c>
      <c r="Q6165" s="17"/>
      <c r="R6165" s="25" t="str">
        <f>HYPERLINK("https://ictv.global/taxonomy/taxondetails?taxnode_id=202318801","Eurynomevirus troutis")</f>
        <v>Eurynomevirus troutis</v>
      </c>
      <c r="S6165" s="18" t="s">
        <v>30</v>
      </c>
      <c r="T6165" s="18" t="s">
        <v>40459</v>
      </c>
      <c r="U6165" s="18"/>
      <c r="V6165" s="18" t="s">
        <v>40460</v>
      </c>
      <c r="W6165" s="18" t="s">
        <v>40461</v>
      </c>
      <c r="X6165" s="18" t="s">
        <v>42</v>
      </c>
      <c r="Y6165" s="18" t="s">
        <v>12266</v>
      </c>
      <c r="Z6165" s="18" t="s">
        <v>10790</v>
      </c>
      <c r="AA6165" s="21" t="str">
        <f>HYPERLINK("https://www.ncbi.nlm.nih.gov/nuccore/MH617336","NCBI Nucleotide")</f>
        <v>NCBI Nucleotide</v>
      </c>
    </row>
    <row r="6166" spans="1:27" x14ac:dyDescent="0.35">
      <c r="A6166">
        <v>1025363</v>
      </c>
      <c r="B6166">
        <v>5904</v>
      </c>
      <c r="C6166">
        <v>1</v>
      </c>
      <c r="D6166" s="17" t="s">
        <v>10507</v>
      </c>
      <c r="E6166" s="17"/>
      <c r="F6166" s="17" t="s">
        <v>10780</v>
      </c>
      <c r="G6166" s="17"/>
      <c r="H6166" s="17" t="s">
        <v>12908</v>
      </c>
      <c r="I6166" s="17"/>
      <c r="J6166" s="17" t="s">
        <v>12909</v>
      </c>
      <c r="K6166" s="17"/>
      <c r="L6166" s="17" t="s">
        <v>40392</v>
      </c>
      <c r="M6166" s="17"/>
      <c r="N6166" s="17" t="s">
        <v>40425</v>
      </c>
      <c r="O6166" s="17"/>
      <c r="P6166" s="17" t="s">
        <v>40462</v>
      </c>
      <c r="Q6166" s="17"/>
      <c r="R6166" s="25" t="str">
        <f>HYPERLINK("https://ictv.global/taxonomy/taxondetails?taxnode_id=202318828","Gorgovirus cisneis")</f>
        <v>Gorgovirus cisneis</v>
      </c>
      <c r="S6166" s="18" t="s">
        <v>30</v>
      </c>
      <c r="T6166" s="18" t="s">
        <v>50417</v>
      </c>
      <c r="U6166" s="18"/>
      <c r="V6166" s="18" t="s">
        <v>40431</v>
      </c>
      <c r="W6166" s="18" t="s">
        <v>40463</v>
      </c>
      <c r="X6166" s="18" t="s">
        <v>42</v>
      </c>
      <c r="Y6166" s="18" t="s">
        <v>12266</v>
      </c>
      <c r="Z6166" s="18" t="s">
        <v>166</v>
      </c>
      <c r="AA6166" s="21" t="str">
        <f>HYPERLINK("https://www.ncbi.nlm.nih.gov/nuccore/MW588087","NCBI Nucleotide")</f>
        <v>NCBI Nucleotide</v>
      </c>
    </row>
    <row r="6167" spans="1:27" x14ac:dyDescent="0.35">
      <c r="A6167">
        <v>1025393</v>
      </c>
      <c r="B6167">
        <v>5905</v>
      </c>
      <c r="C6167">
        <v>1</v>
      </c>
      <c r="D6167" s="17" t="s">
        <v>10507</v>
      </c>
      <c r="E6167" s="17"/>
      <c r="F6167" s="17" t="s">
        <v>10780</v>
      </c>
      <c r="G6167" s="17"/>
      <c r="H6167" s="17" t="s">
        <v>12908</v>
      </c>
      <c r="I6167" s="17"/>
      <c r="J6167" s="17" t="s">
        <v>12909</v>
      </c>
      <c r="K6167" s="17"/>
      <c r="L6167" s="17" t="s">
        <v>40392</v>
      </c>
      <c r="M6167" s="17"/>
      <c r="N6167" s="17" t="s">
        <v>40425</v>
      </c>
      <c r="O6167" s="17"/>
      <c r="P6167" s="17" t="s">
        <v>40464</v>
      </c>
      <c r="Q6167" s="17"/>
      <c r="R6167" s="25" t="str">
        <f>HYPERLINK("https://ictv.global/taxonomy/taxondetails?taxnode_id=202318829","Heravirus camaronis")</f>
        <v>Heravirus camaronis</v>
      </c>
      <c r="S6167" s="18" t="s">
        <v>30</v>
      </c>
      <c r="T6167" s="18" t="s">
        <v>40465</v>
      </c>
      <c r="U6167" s="18"/>
      <c r="V6167" s="18" t="s">
        <v>40466</v>
      </c>
      <c r="W6167" s="18" t="s">
        <v>40467</v>
      </c>
      <c r="X6167" s="18" t="s">
        <v>42</v>
      </c>
      <c r="Y6167" s="18" t="s">
        <v>12266</v>
      </c>
      <c r="Z6167" s="18" t="s">
        <v>10790</v>
      </c>
      <c r="AA6167" s="21" t="str">
        <f>HYPERLINK("https://www.ncbi.nlm.nih.gov/nuccore/KR528552","NCBI Nucleotide")</f>
        <v>NCBI Nucleotide</v>
      </c>
    </row>
    <row r="6168" spans="1:27" x14ac:dyDescent="0.35">
      <c r="A6168">
        <v>1025559</v>
      </c>
      <c r="B6168">
        <v>5906</v>
      </c>
      <c r="C6168">
        <v>1</v>
      </c>
      <c r="D6168" s="17" t="s">
        <v>10507</v>
      </c>
      <c r="E6168" s="17"/>
      <c r="F6168" s="17" t="s">
        <v>10780</v>
      </c>
      <c r="G6168" s="17"/>
      <c r="H6168" s="17" t="s">
        <v>12908</v>
      </c>
      <c r="I6168" s="17"/>
      <c r="J6168" s="17" t="s">
        <v>12909</v>
      </c>
      <c r="K6168" s="17"/>
      <c r="L6168" s="17" t="s">
        <v>40392</v>
      </c>
      <c r="M6168" s="17"/>
      <c r="N6168" s="17" t="s">
        <v>40425</v>
      </c>
      <c r="O6168" s="17"/>
      <c r="P6168" s="17" t="s">
        <v>40468</v>
      </c>
      <c r="Q6168" s="17"/>
      <c r="R6168" s="25" t="str">
        <f>HYPERLINK("https://ictv.global/taxonomy/taxondetails?taxnode_id=202318837","Horusivirus apimellis")</f>
        <v>Horusivirus apimellis</v>
      </c>
      <c r="S6168" s="18" t="s">
        <v>30</v>
      </c>
      <c r="T6168" s="18" t="s">
        <v>40469</v>
      </c>
      <c r="U6168" s="18"/>
      <c r="V6168" s="18" t="s">
        <v>40470</v>
      </c>
      <c r="W6168" s="18" t="s">
        <v>40471</v>
      </c>
      <c r="X6168" s="18" t="s">
        <v>42</v>
      </c>
      <c r="Y6168" s="18" t="s">
        <v>12266</v>
      </c>
      <c r="Z6168" s="18" t="s">
        <v>26655</v>
      </c>
      <c r="AA6168" s="21" t="str">
        <f>HYPERLINK("https://www.ncbi.nlm.nih.gov/nuccore/MW697481","NCBI Nucleotide")</f>
        <v>NCBI Nucleotide</v>
      </c>
    </row>
    <row r="6169" spans="1:27" x14ac:dyDescent="0.35">
      <c r="A6169">
        <v>1025560</v>
      </c>
      <c r="B6169">
        <v>5907</v>
      </c>
      <c r="C6169">
        <v>1</v>
      </c>
      <c r="D6169" s="17" t="s">
        <v>10507</v>
      </c>
      <c r="E6169" s="17"/>
      <c r="F6169" s="17" t="s">
        <v>10780</v>
      </c>
      <c r="G6169" s="17"/>
      <c r="H6169" s="17" t="s">
        <v>12908</v>
      </c>
      <c r="I6169" s="17"/>
      <c r="J6169" s="17" t="s">
        <v>12909</v>
      </c>
      <c r="K6169" s="17"/>
      <c r="L6169" s="17" t="s">
        <v>40392</v>
      </c>
      <c r="M6169" s="17"/>
      <c r="N6169" s="17" t="s">
        <v>40425</v>
      </c>
      <c r="O6169" s="17"/>
      <c r="P6169" s="17" t="s">
        <v>40468</v>
      </c>
      <c r="Q6169" s="17"/>
      <c r="R6169" s="25" t="str">
        <f>HYPERLINK("https://ictv.global/taxonomy/taxondetails?taxnode_id=202318836","Horusivirus mencois")</f>
        <v>Horusivirus mencois</v>
      </c>
      <c r="S6169" s="18" t="s">
        <v>30</v>
      </c>
      <c r="T6169" s="18" t="s">
        <v>40472</v>
      </c>
      <c r="U6169" s="18"/>
      <c r="V6169" s="18" t="s">
        <v>40473</v>
      </c>
      <c r="W6169" s="18" t="s">
        <v>40474</v>
      </c>
      <c r="X6169" s="18" t="s">
        <v>42</v>
      </c>
      <c r="Y6169" s="18" t="s">
        <v>12266</v>
      </c>
      <c r="Z6169" s="18" t="s">
        <v>166</v>
      </c>
      <c r="AA6169" s="21" t="str">
        <f>HYPERLINK("https://www.ncbi.nlm.nih.gov/nuccore/MN928942","NCBI Nucleotide")</f>
        <v>NCBI Nucleotide</v>
      </c>
    </row>
    <row r="6170" spans="1:27" x14ac:dyDescent="0.35">
      <c r="A6170">
        <v>1025561</v>
      </c>
      <c r="B6170">
        <v>5908</v>
      </c>
      <c r="C6170">
        <v>1</v>
      </c>
      <c r="D6170" s="17" t="s">
        <v>10507</v>
      </c>
      <c r="E6170" s="17"/>
      <c r="F6170" s="17" t="s">
        <v>10780</v>
      </c>
      <c r="G6170" s="17"/>
      <c r="H6170" s="17" t="s">
        <v>12908</v>
      </c>
      <c r="I6170" s="17"/>
      <c r="J6170" s="17" t="s">
        <v>12909</v>
      </c>
      <c r="K6170" s="17"/>
      <c r="L6170" s="17" t="s">
        <v>40392</v>
      </c>
      <c r="M6170" s="17"/>
      <c r="N6170" s="17" t="s">
        <v>40425</v>
      </c>
      <c r="O6170" s="17"/>
      <c r="P6170" s="17" t="s">
        <v>40468</v>
      </c>
      <c r="Q6170" s="17"/>
      <c r="R6170" s="25" t="str">
        <f>HYPERLINK("https://ictv.global/taxonomy/taxondetails?taxnode_id=202318835","Horusivirus pandaco")</f>
        <v>Horusivirus pandaco</v>
      </c>
      <c r="S6170" s="18" t="s">
        <v>30</v>
      </c>
      <c r="T6170" s="18" t="s">
        <v>50418</v>
      </c>
      <c r="U6170" s="18"/>
      <c r="V6170" s="18" t="s">
        <v>40475</v>
      </c>
      <c r="W6170" s="18" t="s">
        <v>40476</v>
      </c>
      <c r="X6170" s="18" t="s">
        <v>42</v>
      </c>
      <c r="Y6170" s="18" t="s">
        <v>12266</v>
      </c>
      <c r="Z6170" s="18" t="s">
        <v>166</v>
      </c>
      <c r="AA6170" s="21" t="str">
        <f>HYPERLINK("https://www.ncbi.nlm.nih.gov/nuccore/MF327574","NCBI Nucleotide")</f>
        <v>NCBI Nucleotide</v>
      </c>
    </row>
    <row r="6171" spans="1:27" x14ac:dyDescent="0.35">
      <c r="A6171">
        <v>1025551</v>
      </c>
      <c r="B6171">
        <v>5909</v>
      </c>
      <c r="C6171">
        <v>1</v>
      </c>
      <c r="D6171" s="17" t="s">
        <v>10507</v>
      </c>
      <c r="E6171" s="17"/>
      <c r="F6171" s="17" t="s">
        <v>10780</v>
      </c>
      <c r="G6171" s="17"/>
      <c r="H6171" s="17" t="s">
        <v>12908</v>
      </c>
      <c r="I6171" s="17"/>
      <c r="J6171" s="17" t="s">
        <v>12909</v>
      </c>
      <c r="K6171" s="17"/>
      <c r="L6171" s="17" t="s">
        <v>40392</v>
      </c>
      <c r="M6171" s="17"/>
      <c r="N6171" s="17" t="s">
        <v>40425</v>
      </c>
      <c r="O6171" s="17"/>
      <c r="P6171" s="17" t="s">
        <v>40477</v>
      </c>
      <c r="Q6171" s="17"/>
      <c r="R6171" s="25" t="str">
        <f>HYPERLINK("https://ictv.global/taxonomy/taxondetails?taxnode_id=202318796","Ioniavirus callioris")</f>
        <v>Ioniavirus callioris</v>
      </c>
      <c r="S6171" s="18" t="s">
        <v>30</v>
      </c>
      <c r="T6171" s="18" t="s">
        <v>40478</v>
      </c>
      <c r="U6171" s="18"/>
      <c r="V6171" s="18" t="s">
        <v>40479</v>
      </c>
      <c r="W6171" s="18" t="s">
        <v>40480</v>
      </c>
      <c r="X6171" s="18" t="s">
        <v>42</v>
      </c>
      <c r="Y6171" s="18" t="s">
        <v>12266</v>
      </c>
      <c r="Z6171" s="18" t="s">
        <v>10790</v>
      </c>
      <c r="AA6171" s="21" t="str">
        <f>HYPERLINK("https://www.ncbi.nlm.nih.gov/nuccore/KR528549","NCBI Nucleotide")</f>
        <v>NCBI Nucleotide</v>
      </c>
    </row>
    <row r="6172" spans="1:27" x14ac:dyDescent="0.35">
      <c r="A6172">
        <v>1025552</v>
      </c>
      <c r="B6172">
        <v>5910</v>
      </c>
      <c r="C6172">
        <v>1</v>
      </c>
      <c r="D6172" s="17" t="s">
        <v>10507</v>
      </c>
      <c r="E6172" s="17"/>
      <c r="F6172" s="17" t="s">
        <v>10780</v>
      </c>
      <c r="G6172" s="17"/>
      <c r="H6172" s="17" t="s">
        <v>12908</v>
      </c>
      <c r="I6172" s="17"/>
      <c r="J6172" s="17" t="s">
        <v>12909</v>
      </c>
      <c r="K6172" s="17"/>
      <c r="L6172" s="17" t="s">
        <v>40392</v>
      </c>
      <c r="M6172" s="17"/>
      <c r="N6172" s="17" t="s">
        <v>40425</v>
      </c>
      <c r="O6172" s="17"/>
      <c r="P6172" s="17" t="s">
        <v>40477</v>
      </c>
      <c r="Q6172" s="17"/>
      <c r="R6172" s="25" t="str">
        <f>HYPERLINK("https://ictv.global/taxonomy/taxondetails?taxnode_id=202318795","Ioniavirus farduois")</f>
        <v>Ioniavirus farduois</v>
      </c>
      <c r="S6172" s="18" t="s">
        <v>30</v>
      </c>
      <c r="T6172" s="18" t="s">
        <v>40481</v>
      </c>
      <c r="U6172" s="18"/>
      <c r="V6172" s="18" t="s">
        <v>40482</v>
      </c>
      <c r="W6172" s="18" t="s">
        <v>40483</v>
      </c>
      <c r="X6172" s="18" t="s">
        <v>42</v>
      </c>
      <c r="Y6172" s="18" t="s">
        <v>12266</v>
      </c>
      <c r="Z6172" s="18" t="s">
        <v>10790</v>
      </c>
      <c r="AA6172" s="21" t="str">
        <f>HYPERLINK("https://www.ncbi.nlm.nih.gov/nuccore/KR528553","NCBI Nucleotide")</f>
        <v>NCBI Nucleotide</v>
      </c>
    </row>
    <row r="6173" spans="1:27" x14ac:dyDescent="0.35">
      <c r="A6173">
        <v>1025573</v>
      </c>
      <c r="B6173">
        <v>5911</v>
      </c>
      <c r="C6173">
        <v>1</v>
      </c>
      <c r="D6173" s="17" t="s">
        <v>10507</v>
      </c>
      <c r="E6173" s="17"/>
      <c r="F6173" s="17" t="s">
        <v>10780</v>
      </c>
      <c r="G6173" s="17"/>
      <c r="H6173" s="17" t="s">
        <v>12908</v>
      </c>
      <c r="I6173" s="17"/>
      <c r="J6173" s="17" t="s">
        <v>12909</v>
      </c>
      <c r="K6173" s="17"/>
      <c r="L6173" s="17" t="s">
        <v>40392</v>
      </c>
      <c r="M6173" s="17"/>
      <c r="N6173" s="17" t="s">
        <v>40425</v>
      </c>
      <c r="O6173" s="17"/>
      <c r="P6173" s="17" t="s">
        <v>40484</v>
      </c>
      <c r="Q6173" s="17"/>
      <c r="R6173" s="25" t="str">
        <f>HYPERLINK("https://ictv.global/taxonomy/taxondetails?taxnode_id=202318822","Kadmovirus poulis")</f>
        <v>Kadmovirus poulis</v>
      </c>
      <c r="S6173" s="18" t="s">
        <v>30</v>
      </c>
      <c r="T6173" s="18" t="s">
        <v>40485</v>
      </c>
      <c r="U6173" s="18"/>
      <c r="V6173" s="18" t="s">
        <v>40486</v>
      </c>
      <c r="W6173" s="18" t="s">
        <v>40487</v>
      </c>
      <c r="X6173" s="18" t="s">
        <v>42</v>
      </c>
      <c r="Y6173" s="18" t="s">
        <v>12266</v>
      </c>
      <c r="Z6173" s="18" t="s">
        <v>166</v>
      </c>
      <c r="AA6173" s="21" t="str">
        <f>HYPERLINK("https://www.ncbi.nlm.nih.gov/nuccore/MT138059","NCBI Nucleotide")</f>
        <v>NCBI Nucleotide</v>
      </c>
    </row>
    <row r="6174" spans="1:27" x14ac:dyDescent="0.35">
      <c r="A6174">
        <v>1025575</v>
      </c>
      <c r="B6174">
        <v>5912</v>
      </c>
      <c r="C6174">
        <v>1</v>
      </c>
      <c r="D6174" s="17" t="s">
        <v>10507</v>
      </c>
      <c r="E6174" s="17"/>
      <c r="F6174" s="17" t="s">
        <v>10780</v>
      </c>
      <c r="G6174" s="17"/>
      <c r="H6174" s="17" t="s">
        <v>12908</v>
      </c>
      <c r="I6174" s="17"/>
      <c r="J6174" s="17" t="s">
        <v>12909</v>
      </c>
      <c r="K6174" s="17"/>
      <c r="L6174" s="17" t="s">
        <v>40392</v>
      </c>
      <c r="M6174" s="17"/>
      <c r="N6174" s="17" t="s">
        <v>40425</v>
      </c>
      <c r="O6174" s="17"/>
      <c r="P6174" s="17" t="s">
        <v>40488</v>
      </c>
      <c r="Q6174" s="17"/>
      <c r="R6174" s="25" t="str">
        <f>HYPERLINK("https://ictv.global/taxonomy/taxondetails?taxnode_id=202318791","Kreonivirus cygolis")</f>
        <v>Kreonivirus cygolis</v>
      </c>
      <c r="S6174" s="18" t="s">
        <v>30</v>
      </c>
      <c r="T6174" s="18" t="s">
        <v>50419</v>
      </c>
      <c r="U6174" s="18"/>
      <c r="V6174" s="18" t="s">
        <v>40431</v>
      </c>
      <c r="W6174" s="18" t="s">
        <v>40489</v>
      </c>
      <c r="X6174" s="18" t="s">
        <v>42</v>
      </c>
      <c r="Y6174" s="18" t="s">
        <v>12266</v>
      </c>
      <c r="Z6174" s="18" t="s">
        <v>166</v>
      </c>
      <c r="AA6174" s="21" t="str">
        <f>HYPERLINK("https://www.ncbi.nlm.nih.gov/nuccore/MW588082","NCBI Nucleotide")</f>
        <v>NCBI Nucleotide</v>
      </c>
    </row>
    <row r="6175" spans="1:27" x14ac:dyDescent="0.35">
      <c r="A6175">
        <v>1025576</v>
      </c>
      <c r="B6175">
        <v>5913</v>
      </c>
      <c r="C6175">
        <v>1</v>
      </c>
      <c r="D6175" s="17" t="s">
        <v>10507</v>
      </c>
      <c r="E6175" s="17"/>
      <c r="F6175" s="17" t="s">
        <v>10780</v>
      </c>
      <c r="G6175" s="17"/>
      <c r="H6175" s="17" t="s">
        <v>12908</v>
      </c>
      <c r="I6175" s="17"/>
      <c r="J6175" s="17" t="s">
        <v>12909</v>
      </c>
      <c r="K6175" s="17"/>
      <c r="L6175" s="17" t="s">
        <v>40392</v>
      </c>
      <c r="M6175" s="17"/>
      <c r="N6175" s="17" t="s">
        <v>40425</v>
      </c>
      <c r="O6175" s="17"/>
      <c r="P6175" s="17" t="s">
        <v>40488</v>
      </c>
      <c r="Q6175" s="17"/>
      <c r="R6175" s="25" t="str">
        <f>HYPERLINK("https://ictv.global/taxonomy/taxondetails?taxnode_id=202318792","Kreonivirus seabatis")</f>
        <v>Kreonivirus seabatis</v>
      </c>
      <c r="S6175" s="18" t="s">
        <v>30</v>
      </c>
      <c r="T6175" s="18" t="s">
        <v>40490</v>
      </c>
      <c r="U6175" s="18"/>
      <c r="V6175" s="18" t="s">
        <v>40491</v>
      </c>
      <c r="W6175" s="18" t="s">
        <v>40492</v>
      </c>
      <c r="X6175" s="18" t="s">
        <v>42</v>
      </c>
      <c r="Y6175" s="18" t="s">
        <v>12266</v>
      </c>
      <c r="Z6175" s="18" t="s">
        <v>166</v>
      </c>
      <c r="AA6175" s="21" t="str">
        <f>HYPERLINK("https://www.ncbi.nlm.nih.gov/nuccore/MH648934","NCBI Nucleotide")</f>
        <v>NCBI Nucleotide</v>
      </c>
    </row>
    <row r="6176" spans="1:27" x14ac:dyDescent="0.35">
      <c r="A6176">
        <v>1025577</v>
      </c>
      <c r="B6176">
        <v>5914</v>
      </c>
      <c r="C6176">
        <v>1</v>
      </c>
      <c r="D6176" s="17" t="s">
        <v>10507</v>
      </c>
      <c r="E6176" s="17"/>
      <c r="F6176" s="17" t="s">
        <v>10780</v>
      </c>
      <c r="G6176" s="17"/>
      <c r="H6176" s="17" t="s">
        <v>12908</v>
      </c>
      <c r="I6176" s="17"/>
      <c r="J6176" s="17" t="s">
        <v>12909</v>
      </c>
      <c r="K6176" s="17"/>
      <c r="L6176" s="17" t="s">
        <v>40392</v>
      </c>
      <c r="M6176" s="17"/>
      <c r="N6176" s="17" t="s">
        <v>40425</v>
      </c>
      <c r="O6176" s="17"/>
      <c r="P6176" s="17" t="s">
        <v>40493</v>
      </c>
      <c r="Q6176" s="17"/>
      <c r="R6176" s="25" t="str">
        <f>HYPERLINK("https://ictv.global/taxonomy/taxondetails?taxnode_id=202318820","Lamposivirus ageladense")</f>
        <v>Lamposivirus ageladense</v>
      </c>
      <c r="S6176" s="18" t="s">
        <v>30</v>
      </c>
      <c r="T6176" s="18" t="s">
        <v>40494</v>
      </c>
      <c r="U6176" s="18"/>
      <c r="V6176" s="18" t="s">
        <v>40495</v>
      </c>
      <c r="W6176" s="18" t="s">
        <v>40496</v>
      </c>
      <c r="X6176" s="18" t="s">
        <v>42</v>
      </c>
      <c r="Y6176" s="18" t="s">
        <v>12266</v>
      </c>
      <c r="Z6176" s="18" t="s">
        <v>26655</v>
      </c>
      <c r="AA6176" s="21" t="str">
        <f>HYPERLINK("https://www.ncbi.nlm.nih.gov/nuccore/MW202684","NCBI Nucleotide")</f>
        <v>NCBI Nucleotide</v>
      </c>
    </row>
    <row r="6177" spans="1:27" x14ac:dyDescent="0.35">
      <c r="A6177">
        <v>1025578</v>
      </c>
      <c r="B6177">
        <v>5915</v>
      </c>
      <c r="C6177">
        <v>1</v>
      </c>
      <c r="D6177" s="17" t="s">
        <v>10507</v>
      </c>
      <c r="E6177" s="17"/>
      <c r="F6177" s="17" t="s">
        <v>10780</v>
      </c>
      <c r="G6177" s="17"/>
      <c r="H6177" s="17" t="s">
        <v>12908</v>
      </c>
      <c r="I6177" s="17"/>
      <c r="J6177" s="17" t="s">
        <v>12909</v>
      </c>
      <c r="K6177" s="17"/>
      <c r="L6177" s="17" t="s">
        <v>40392</v>
      </c>
      <c r="M6177" s="17"/>
      <c r="N6177" s="17" t="s">
        <v>40425</v>
      </c>
      <c r="O6177" s="17"/>
      <c r="P6177" s="17" t="s">
        <v>40493</v>
      </c>
      <c r="Q6177" s="17"/>
      <c r="R6177" s="25" t="str">
        <f>HYPERLINK("https://ictv.global/taxonomy/taxondetails?taxnode_id=202318821","Lamposivirus gammaris")</f>
        <v>Lamposivirus gammaris</v>
      </c>
      <c r="S6177" s="18" t="s">
        <v>30</v>
      </c>
      <c r="T6177" s="18" t="s">
        <v>40497</v>
      </c>
      <c r="U6177" s="18"/>
      <c r="V6177" s="18" t="s">
        <v>40498</v>
      </c>
      <c r="W6177" s="18" t="s">
        <v>40499</v>
      </c>
      <c r="X6177" s="18" t="s">
        <v>42</v>
      </c>
      <c r="Y6177" s="18" t="s">
        <v>12266</v>
      </c>
      <c r="Z6177" s="18" t="s">
        <v>10790</v>
      </c>
      <c r="AA6177" s="21" t="str">
        <f>HYPERLINK("https://www.ncbi.nlm.nih.gov/nuccore/KR528561","NCBI Nucleotide")</f>
        <v>NCBI Nucleotide</v>
      </c>
    </row>
    <row r="6178" spans="1:27" x14ac:dyDescent="0.35">
      <c r="A6178">
        <v>1025586</v>
      </c>
      <c r="B6178">
        <v>5916</v>
      </c>
      <c r="C6178">
        <v>1</v>
      </c>
      <c r="D6178" s="17" t="s">
        <v>10507</v>
      </c>
      <c r="E6178" s="17"/>
      <c r="F6178" s="17" t="s">
        <v>10780</v>
      </c>
      <c r="G6178" s="17"/>
      <c r="H6178" s="17" t="s">
        <v>12908</v>
      </c>
      <c r="I6178" s="17"/>
      <c r="J6178" s="17" t="s">
        <v>12909</v>
      </c>
      <c r="K6178" s="17"/>
      <c r="L6178" s="17" t="s">
        <v>40392</v>
      </c>
      <c r="M6178" s="17"/>
      <c r="N6178" s="17" t="s">
        <v>40425</v>
      </c>
      <c r="O6178" s="17"/>
      <c r="P6178" s="17" t="s">
        <v>40500</v>
      </c>
      <c r="Q6178" s="17"/>
      <c r="R6178" s="25" t="str">
        <f>HYPERLINK("https://ictv.global/taxonomy/taxondetails?taxnode_id=202318831","Mantiovirus clamco")</f>
        <v>Mantiovirus clamco</v>
      </c>
      <c r="S6178" s="18" t="s">
        <v>30</v>
      </c>
      <c r="T6178" s="18" t="s">
        <v>40501</v>
      </c>
      <c r="U6178" s="18"/>
      <c r="V6178" s="18" t="s">
        <v>40502</v>
      </c>
      <c r="W6178" s="18" t="s">
        <v>40503</v>
      </c>
      <c r="X6178" s="18" t="s">
        <v>42</v>
      </c>
      <c r="Y6178" s="18" t="s">
        <v>12266</v>
      </c>
      <c r="Z6178" s="18" t="s">
        <v>10790</v>
      </c>
      <c r="AA6178" s="21" t="str">
        <f>HYPERLINK("https://www.ncbi.nlm.nih.gov/nuccore/KR528562","NCBI Nucleotide")</f>
        <v>NCBI Nucleotide</v>
      </c>
    </row>
    <row r="6179" spans="1:27" x14ac:dyDescent="0.35">
      <c r="A6179">
        <v>1025587</v>
      </c>
      <c r="B6179">
        <v>5917</v>
      </c>
      <c r="C6179">
        <v>1</v>
      </c>
      <c r="D6179" s="17" t="s">
        <v>10507</v>
      </c>
      <c r="E6179" s="17"/>
      <c r="F6179" s="17" t="s">
        <v>10780</v>
      </c>
      <c r="G6179" s="17"/>
      <c r="H6179" s="17" t="s">
        <v>12908</v>
      </c>
      <c r="I6179" s="17"/>
      <c r="J6179" s="17" t="s">
        <v>12909</v>
      </c>
      <c r="K6179" s="17"/>
      <c r="L6179" s="17" t="s">
        <v>40392</v>
      </c>
      <c r="M6179" s="17"/>
      <c r="N6179" s="17" t="s">
        <v>40425</v>
      </c>
      <c r="O6179" s="17"/>
      <c r="P6179" s="17" t="s">
        <v>40500</v>
      </c>
      <c r="Q6179" s="17"/>
      <c r="R6179" s="25" t="str">
        <f>HYPERLINK("https://ictv.global/taxonomy/taxondetails?taxnode_id=202318830","Mantiovirus ealaes")</f>
        <v>Mantiovirus ealaes</v>
      </c>
      <c r="S6179" s="18" t="s">
        <v>30</v>
      </c>
      <c r="T6179" s="18" t="s">
        <v>50420</v>
      </c>
      <c r="U6179" s="18"/>
      <c r="V6179" s="18" t="s">
        <v>40431</v>
      </c>
      <c r="W6179" s="18" t="s">
        <v>40504</v>
      </c>
      <c r="X6179" s="18" t="s">
        <v>42</v>
      </c>
      <c r="Y6179" s="18" t="s">
        <v>12266</v>
      </c>
      <c r="Z6179" s="18" t="s">
        <v>166</v>
      </c>
      <c r="AA6179" s="21" t="str">
        <f>HYPERLINK("https://www.ncbi.nlm.nih.gov/nuccore/MW588078","NCBI Nucleotide")</f>
        <v>NCBI Nucleotide</v>
      </c>
    </row>
    <row r="6180" spans="1:27" x14ac:dyDescent="0.35">
      <c r="A6180">
        <v>1025569</v>
      </c>
      <c r="B6180">
        <v>5918</v>
      </c>
      <c r="C6180">
        <v>1</v>
      </c>
      <c r="D6180" s="17" t="s">
        <v>10507</v>
      </c>
      <c r="E6180" s="17"/>
      <c r="F6180" s="17" t="s">
        <v>10780</v>
      </c>
      <c r="G6180" s="17"/>
      <c r="H6180" s="17" t="s">
        <v>12908</v>
      </c>
      <c r="I6180" s="17"/>
      <c r="J6180" s="17" t="s">
        <v>12909</v>
      </c>
      <c r="K6180" s="17"/>
      <c r="L6180" s="17" t="s">
        <v>40392</v>
      </c>
      <c r="M6180" s="17"/>
      <c r="N6180" s="17" t="s">
        <v>40425</v>
      </c>
      <c r="O6180" s="17"/>
      <c r="P6180" s="17" t="s">
        <v>40505</v>
      </c>
      <c r="Q6180" s="17"/>
      <c r="R6180" s="25" t="str">
        <f>HYPERLINK("https://ictv.global/taxonomy/taxondetails?taxnode_id=202318807","Naiadivirus befense")</f>
        <v>Naiadivirus befense</v>
      </c>
      <c r="S6180" s="18" t="s">
        <v>30</v>
      </c>
      <c r="T6180" s="18" t="s">
        <v>40506</v>
      </c>
      <c r="U6180" s="18"/>
      <c r="V6180" s="18" t="s">
        <v>40507</v>
      </c>
      <c r="W6180" s="18" t="s">
        <v>40508</v>
      </c>
      <c r="X6180" s="18" t="s">
        <v>42</v>
      </c>
      <c r="Y6180" s="18" t="s">
        <v>12266</v>
      </c>
      <c r="Z6180" s="18" t="s">
        <v>26655</v>
      </c>
      <c r="AA6180" s="21" t="str">
        <f>HYPERLINK("https://www.ncbi.nlm.nih.gov/nuccore/MW202635","NCBI Nucleotide")</f>
        <v>NCBI Nucleotide</v>
      </c>
    </row>
    <row r="6181" spans="1:27" x14ac:dyDescent="0.35">
      <c r="A6181">
        <v>1025570</v>
      </c>
      <c r="B6181">
        <v>5919</v>
      </c>
      <c r="C6181">
        <v>1</v>
      </c>
      <c r="D6181" s="17" t="s">
        <v>10507</v>
      </c>
      <c r="E6181" s="17"/>
      <c r="F6181" s="17" t="s">
        <v>10780</v>
      </c>
      <c r="G6181" s="17"/>
      <c r="H6181" s="17" t="s">
        <v>12908</v>
      </c>
      <c r="I6181" s="17"/>
      <c r="J6181" s="17" t="s">
        <v>12909</v>
      </c>
      <c r="K6181" s="17"/>
      <c r="L6181" s="17" t="s">
        <v>40392</v>
      </c>
      <c r="M6181" s="17"/>
      <c r="N6181" s="17" t="s">
        <v>40425</v>
      </c>
      <c r="O6181" s="17"/>
      <c r="P6181" s="17" t="s">
        <v>40505</v>
      </c>
      <c r="Q6181" s="17"/>
      <c r="R6181" s="25" t="str">
        <f>HYPERLINK("https://ictv.global/taxonomy/taxondetails?taxnode_id=202318806","Naiadivirus vacaense")</f>
        <v>Naiadivirus vacaense</v>
      </c>
      <c r="S6181" s="18" t="s">
        <v>30</v>
      </c>
      <c r="T6181" s="18" t="s">
        <v>40509</v>
      </c>
      <c r="U6181" s="18"/>
      <c r="V6181" s="18" t="s">
        <v>40510</v>
      </c>
      <c r="W6181" s="18" t="s">
        <v>40511</v>
      </c>
      <c r="X6181" s="18" t="s">
        <v>42</v>
      </c>
      <c r="Y6181" s="18" t="s">
        <v>12266</v>
      </c>
      <c r="Z6181" s="18" t="s">
        <v>26655</v>
      </c>
      <c r="AA6181" s="21" t="str">
        <f>HYPERLINK("https://www.ncbi.nlm.nih.gov/nuccore/MW202688","NCBI Nucleotide")</f>
        <v>NCBI Nucleotide</v>
      </c>
    </row>
    <row r="6182" spans="1:27" x14ac:dyDescent="0.35">
      <c r="A6182">
        <v>1025571</v>
      </c>
      <c r="B6182">
        <v>5920</v>
      </c>
      <c r="C6182">
        <v>1</v>
      </c>
      <c r="D6182" s="17" t="s">
        <v>10507</v>
      </c>
      <c r="E6182" s="17"/>
      <c r="F6182" s="17" t="s">
        <v>10780</v>
      </c>
      <c r="G6182" s="17"/>
      <c r="H6182" s="17" t="s">
        <v>12908</v>
      </c>
      <c r="I6182" s="17"/>
      <c r="J6182" s="17" t="s">
        <v>12909</v>
      </c>
      <c r="K6182" s="17"/>
      <c r="L6182" s="17" t="s">
        <v>40392</v>
      </c>
      <c r="M6182" s="17"/>
      <c r="N6182" s="17" t="s">
        <v>40425</v>
      </c>
      <c r="O6182" s="17"/>
      <c r="P6182" s="17" t="s">
        <v>40505</v>
      </c>
      <c r="Q6182" s="17"/>
      <c r="R6182" s="25" t="str">
        <f>HYPERLINK("https://ictv.global/taxonomy/taxondetails?taxnode_id=202318805","Naiadivirus wakense")</f>
        <v>Naiadivirus wakense</v>
      </c>
      <c r="S6182" s="18" t="s">
        <v>30</v>
      </c>
      <c r="T6182" s="18" t="s">
        <v>40512</v>
      </c>
      <c r="U6182" s="18"/>
      <c r="V6182" s="18" t="s">
        <v>40513</v>
      </c>
      <c r="W6182" s="18" t="s">
        <v>40514</v>
      </c>
      <c r="X6182" s="18" t="s">
        <v>42</v>
      </c>
      <c r="Y6182" s="18" t="s">
        <v>12266</v>
      </c>
      <c r="Z6182" s="18" t="s">
        <v>26655</v>
      </c>
      <c r="AA6182" s="21" t="str">
        <f>HYPERLINK("https://www.ncbi.nlm.nih.gov/nuccore/MW202695","NCBI Nucleotide")</f>
        <v>NCBI Nucleotide</v>
      </c>
    </row>
    <row r="6183" spans="1:27" x14ac:dyDescent="0.35">
      <c r="A6183">
        <v>1025536</v>
      </c>
      <c r="B6183">
        <v>5921</v>
      </c>
      <c r="C6183">
        <v>1</v>
      </c>
      <c r="D6183" s="17" t="s">
        <v>10507</v>
      </c>
      <c r="E6183" s="17"/>
      <c r="F6183" s="17" t="s">
        <v>10780</v>
      </c>
      <c r="G6183" s="17"/>
      <c r="H6183" s="17" t="s">
        <v>12908</v>
      </c>
      <c r="I6183" s="17"/>
      <c r="J6183" s="17" t="s">
        <v>12909</v>
      </c>
      <c r="K6183" s="17"/>
      <c r="L6183" s="17" t="s">
        <v>40392</v>
      </c>
      <c r="M6183" s="17"/>
      <c r="N6183" s="17" t="s">
        <v>40425</v>
      </c>
      <c r="O6183" s="17"/>
      <c r="P6183" s="17" t="s">
        <v>40515</v>
      </c>
      <c r="Q6183" s="17"/>
      <c r="R6183" s="25" t="str">
        <f>HYPERLINK("https://ictv.global/taxonomy/taxondetails?taxnode_id=202318802","Otosivirus volusiense")</f>
        <v>Otosivirus volusiense</v>
      </c>
      <c r="S6183" s="18" t="s">
        <v>30</v>
      </c>
      <c r="T6183" s="18" t="s">
        <v>40516</v>
      </c>
      <c r="U6183" s="18"/>
      <c r="V6183" s="18" t="s">
        <v>40517</v>
      </c>
      <c r="W6183" s="18" t="s">
        <v>40518</v>
      </c>
      <c r="X6183" s="18" t="s">
        <v>42</v>
      </c>
      <c r="Y6183" s="18" t="s">
        <v>12266</v>
      </c>
      <c r="Z6183" s="18" t="s">
        <v>26655</v>
      </c>
      <c r="AA6183" s="21" t="str">
        <f>HYPERLINK("https://www.ncbi.nlm.nih.gov/nuccore/MN582106","NCBI Nucleotide")</f>
        <v>NCBI Nucleotide</v>
      </c>
    </row>
    <row r="6184" spans="1:27" x14ac:dyDescent="0.35">
      <c r="A6184">
        <v>1025538</v>
      </c>
      <c r="B6184">
        <v>5922</v>
      </c>
      <c r="C6184">
        <v>1</v>
      </c>
      <c r="D6184" s="17" t="s">
        <v>10507</v>
      </c>
      <c r="E6184" s="17"/>
      <c r="F6184" s="17" t="s">
        <v>10780</v>
      </c>
      <c r="G6184" s="17"/>
      <c r="H6184" s="17" t="s">
        <v>12908</v>
      </c>
      <c r="I6184" s="17"/>
      <c r="J6184" s="17" t="s">
        <v>12909</v>
      </c>
      <c r="K6184" s="17"/>
      <c r="L6184" s="17" t="s">
        <v>40392</v>
      </c>
      <c r="M6184" s="17"/>
      <c r="N6184" s="17" t="s">
        <v>40425</v>
      </c>
      <c r="O6184" s="17"/>
      <c r="P6184" s="17" t="s">
        <v>40519</v>
      </c>
      <c r="Q6184" s="17"/>
      <c r="R6184" s="25" t="str">
        <f>HYPERLINK("https://ictv.global/taxonomy/taxondetails?taxnode_id=202318834","Patroklovirus gulmense")</f>
        <v>Patroklovirus gulmense</v>
      </c>
      <c r="S6184" s="18" t="s">
        <v>30</v>
      </c>
      <c r="T6184" s="18" t="s">
        <v>50421</v>
      </c>
      <c r="U6184" s="18"/>
      <c r="V6184" s="18" t="s">
        <v>40520</v>
      </c>
      <c r="W6184" s="18" t="s">
        <v>40521</v>
      </c>
      <c r="X6184" s="18" t="s">
        <v>42</v>
      </c>
      <c r="Y6184" s="18" t="s">
        <v>12266</v>
      </c>
      <c r="Z6184" s="18" t="s">
        <v>12916</v>
      </c>
      <c r="AA6184" s="21" t="str">
        <f>HYPERLINK("https://www.ncbi.nlm.nih.gov/nuccore/JX904231","NCBI Nucleotide")</f>
        <v>NCBI Nucleotide</v>
      </c>
    </row>
    <row r="6185" spans="1:27" x14ac:dyDescent="0.35">
      <c r="A6185">
        <v>1025486</v>
      </c>
      <c r="B6185">
        <v>5923</v>
      </c>
      <c r="C6185">
        <v>1</v>
      </c>
      <c r="D6185" s="17" t="s">
        <v>10507</v>
      </c>
      <c r="E6185" s="17"/>
      <c r="F6185" s="17" t="s">
        <v>10780</v>
      </c>
      <c r="G6185" s="17"/>
      <c r="H6185" s="17" t="s">
        <v>12908</v>
      </c>
      <c r="I6185" s="17"/>
      <c r="J6185" s="17" t="s">
        <v>12909</v>
      </c>
      <c r="K6185" s="17"/>
      <c r="L6185" s="17" t="s">
        <v>40392</v>
      </c>
      <c r="M6185" s="17"/>
      <c r="N6185" s="17" t="s">
        <v>40425</v>
      </c>
      <c r="O6185" s="17"/>
      <c r="P6185" s="17" t="s">
        <v>40522</v>
      </c>
      <c r="Q6185" s="17"/>
      <c r="R6185" s="25" t="str">
        <f>HYPERLINK("https://ictv.global/taxonomy/taxondetails?taxnode_id=202318814","Perimedevirus blatis")</f>
        <v>Perimedevirus blatis</v>
      </c>
      <c r="S6185" s="18" t="s">
        <v>30</v>
      </c>
      <c r="T6185" s="18" t="s">
        <v>50422</v>
      </c>
      <c r="U6185" s="18"/>
      <c r="V6185" s="18" t="s">
        <v>40523</v>
      </c>
      <c r="W6185" s="18" t="s">
        <v>40524</v>
      </c>
      <c r="X6185" s="18" t="s">
        <v>42</v>
      </c>
      <c r="Y6185" s="18" t="s">
        <v>12266</v>
      </c>
      <c r="Z6185" s="18" t="s">
        <v>10790</v>
      </c>
      <c r="AA6185" s="21" t="str">
        <f>HYPERLINK("https://www.ncbi.nlm.nih.gov/nuccore/MK433220","NCBI Nucleotide")</f>
        <v>NCBI Nucleotide</v>
      </c>
    </row>
    <row r="6186" spans="1:27" x14ac:dyDescent="0.35">
      <c r="A6186">
        <v>1025487</v>
      </c>
      <c r="B6186">
        <v>5924</v>
      </c>
      <c r="C6186">
        <v>1</v>
      </c>
      <c r="D6186" s="17" t="s">
        <v>10507</v>
      </c>
      <c r="E6186" s="17"/>
      <c r="F6186" s="17" t="s">
        <v>10780</v>
      </c>
      <c r="G6186" s="17"/>
      <c r="H6186" s="17" t="s">
        <v>12908</v>
      </c>
      <c r="I6186" s="17"/>
      <c r="J6186" s="17" t="s">
        <v>12909</v>
      </c>
      <c r="K6186" s="17"/>
      <c r="L6186" s="17" t="s">
        <v>40392</v>
      </c>
      <c r="M6186" s="17"/>
      <c r="N6186" s="17" t="s">
        <v>40425</v>
      </c>
      <c r="O6186" s="17"/>
      <c r="P6186" s="17" t="s">
        <v>40525</v>
      </c>
      <c r="Q6186" s="17"/>
      <c r="R6186" s="25" t="str">
        <f>HYPERLINK("https://ictv.global/taxonomy/taxondetails?taxnode_id=202318832","Peronelivirus doingaes")</f>
        <v>Peronelivirus doingaes</v>
      </c>
      <c r="S6186" s="18" t="s">
        <v>30</v>
      </c>
      <c r="T6186" s="18" t="s">
        <v>40526</v>
      </c>
      <c r="U6186" s="18"/>
      <c r="V6186" s="18" t="s">
        <v>40527</v>
      </c>
      <c r="W6186" s="18" t="s">
        <v>40528</v>
      </c>
      <c r="X6186" s="18" t="s">
        <v>42</v>
      </c>
      <c r="Y6186" s="18" t="s">
        <v>12266</v>
      </c>
      <c r="Z6186" s="18" t="s">
        <v>166</v>
      </c>
      <c r="AA6186" s="21" t="str">
        <f>HYPERLINK("https://www.ncbi.nlm.nih.gov/nuccore/MH649155","NCBI Nucleotide")</f>
        <v>NCBI Nucleotide</v>
      </c>
    </row>
    <row r="6187" spans="1:27" x14ac:dyDescent="0.35">
      <c r="A6187">
        <v>1025488</v>
      </c>
      <c r="B6187">
        <v>5925</v>
      </c>
      <c r="C6187">
        <v>1</v>
      </c>
      <c r="D6187" s="17" t="s">
        <v>10507</v>
      </c>
      <c r="E6187" s="17"/>
      <c r="F6187" s="17" t="s">
        <v>10780</v>
      </c>
      <c r="G6187" s="17"/>
      <c r="H6187" s="17" t="s">
        <v>12908</v>
      </c>
      <c r="I6187" s="17"/>
      <c r="J6187" s="17" t="s">
        <v>12909</v>
      </c>
      <c r="K6187" s="17"/>
      <c r="L6187" s="17" t="s">
        <v>40392</v>
      </c>
      <c r="M6187" s="17"/>
      <c r="N6187" s="17" t="s">
        <v>40425</v>
      </c>
      <c r="O6187" s="17"/>
      <c r="P6187" s="17" t="s">
        <v>40525</v>
      </c>
      <c r="Q6187" s="17"/>
      <c r="R6187" s="25" t="str">
        <f>HYPERLINK("https://ictv.global/taxonomy/taxondetails?taxnode_id=202318833","Peronelivirus palaeminteris")</f>
        <v>Peronelivirus palaeminteris</v>
      </c>
      <c r="S6187" s="18" t="s">
        <v>30</v>
      </c>
      <c r="T6187" s="18" t="s">
        <v>40529</v>
      </c>
      <c r="U6187" s="18"/>
      <c r="V6187" s="18" t="s">
        <v>40530</v>
      </c>
      <c r="W6187" s="18" t="s">
        <v>40531</v>
      </c>
      <c r="X6187" s="18" t="s">
        <v>42</v>
      </c>
      <c r="Y6187" s="18" t="s">
        <v>12266</v>
      </c>
      <c r="Z6187" s="18" t="s">
        <v>10790</v>
      </c>
      <c r="AA6187" s="21" t="str">
        <f>HYPERLINK("https://www.ncbi.nlm.nih.gov/nuccore/KR528551","NCBI Nucleotide")</f>
        <v>NCBI Nucleotide</v>
      </c>
    </row>
    <row r="6188" spans="1:27" x14ac:dyDescent="0.35">
      <c r="A6188">
        <v>1025521</v>
      </c>
      <c r="B6188">
        <v>5926</v>
      </c>
      <c r="C6188">
        <v>1</v>
      </c>
      <c r="D6188" s="17" t="s">
        <v>10507</v>
      </c>
      <c r="E6188" s="17"/>
      <c r="F6188" s="17" t="s">
        <v>10780</v>
      </c>
      <c r="G6188" s="17"/>
      <c r="H6188" s="17" t="s">
        <v>12908</v>
      </c>
      <c r="I6188" s="17"/>
      <c r="J6188" s="17" t="s">
        <v>12909</v>
      </c>
      <c r="K6188" s="17"/>
      <c r="L6188" s="17" t="s">
        <v>40392</v>
      </c>
      <c r="M6188" s="17"/>
      <c r="N6188" s="17" t="s">
        <v>40425</v>
      </c>
      <c r="O6188" s="17"/>
      <c r="P6188" s="17" t="s">
        <v>40532</v>
      </c>
      <c r="Q6188" s="17"/>
      <c r="R6188" s="25" t="str">
        <f>HYPERLINK("https://ictv.global/taxonomy/taxondetails?taxnode_id=202318808","Persevirus forpensaes")</f>
        <v>Persevirus forpensaes</v>
      </c>
      <c r="S6188" s="18" t="s">
        <v>30</v>
      </c>
      <c r="T6188" s="18" t="s">
        <v>40533</v>
      </c>
      <c r="U6188" s="18"/>
      <c r="V6188" s="18" t="s">
        <v>40534</v>
      </c>
      <c r="W6188" s="18" t="s">
        <v>40535</v>
      </c>
      <c r="X6188" s="18" t="s">
        <v>42</v>
      </c>
      <c r="Y6188" s="18" t="s">
        <v>12266</v>
      </c>
      <c r="Z6188" s="18" t="s">
        <v>13441</v>
      </c>
      <c r="AA6188" s="21" t="str">
        <f>HYPERLINK("https://www.ncbi.nlm.nih.gov/nuccore/MN891794","NCBI Nucleotide")</f>
        <v>NCBI Nucleotide</v>
      </c>
    </row>
    <row r="6189" spans="1:27" x14ac:dyDescent="0.35">
      <c r="A6189">
        <v>1025522</v>
      </c>
      <c r="B6189">
        <v>5927</v>
      </c>
      <c r="C6189">
        <v>1</v>
      </c>
      <c r="D6189" s="17" t="s">
        <v>10507</v>
      </c>
      <c r="E6189" s="17"/>
      <c r="F6189" s="17" t="s">
        <v>10780</v>
      </c>
      <c r="G6189" s="17"/>
      <c r="H6189" s="17" t="s">
        <v>12908</v>
      </c>
      <c r="I6189" s="17"/>
      <c r="J6189" s="17" t="s">
        <v>12909</v>
      </c>
      <c r="K6189" s="17"/>
      <c r="L6189" s="17" t="s">
        <v>40392</v>
      </c>
      <c r="M6189" s="17"/>
      <c r="N6189" s="17" t="s">
        <v>40425</v>
      </c>
      <c r="O6189" s="17"/>
      <c r="P6189" s="17" t="s">
        <v>40532</v>
      </c>
      <c r="Q6189" s="17"/>
      <c r="R6189" s="25" t="str">
        <f>HYPERLINK("https://ictv.global/taxonomy/taxondetails?taxnode_id=202318813","Persevirus mingois")</f>
        <v>Persevirus mingois</v>
      </c>
      <c r="S6189" s="18" t="s">
        <v>30</v>
      </c>
      <c r="T6189" s="18" t="s">
        <v>40536</v>
      </c>
      <c r="U6189" s="18"/>
      <c r="V6189" s="18" t="s">
        <v>40537</v>
      </c>
      <c r="W6189" s="18" t="s">
        <v>40538</v>
      </c>
      <c r="X6189" s="18" t="s">
        <v>42</v>
      </c>
      <c r="Y6189" s="18" t="s">
        <v>12266</v>
      </c>
      <c r="Z6189" s="18" t="s">
        <v>166</v>
      </c>
      <c r="AA6189" s="21" t="str">
        <f>HYPERLINK("https://www.ncbi.nlm.nih.gov/nuccore/MN928940","NCBI Nucleotide")</f>
        <v>NCBI Nucleotide</v>
      </c>
    </row>
    <row r="6190" spans="1:27" x14ac:dyDescent="0.35">
      <c r="A6190">
        <v>1025523</v>
      </c>
      <c r="B6190">
        <v>5928</v>
      </c>
      <c r="C6190">
        <v>1</v>
      </c>
      <c r="D6190" s="17" t="s">
        <v>10507</v>
      </c>
      <c r="E6190" s="17"/>
      <c r="F6190" s="17" t="s">
        <v>10780</v>
      </c>
      <c r="G6190" s="17"/>
      <c r="H6190" s="17" t="s">
        <v>12908</v>
      </c>
      <c r="I6190" s="17"/>
      <c r="J6190" s="17" t="s">
        <v>12909</v>
      </c>
      <c r="K6190" s="17"/>
      <c r="L6190" s="17" t="s">
        <v>40392</v>
      </c>
      <c r="M6190" s="17"/>
      <c r="N6190" s="17" t="s">
        <v>40425</v>
      </c>
      <c r="O6190" s="17"/>
      <c r="P6190" s="17" t="s">
        <v>40532</v>
      </c>
      <c r="Q6190" s="17"/>
      <c r="R6190" s="25" t="str">
        <f>HYPERLINK("https://ictv.global/taxonomy/taxondetails?taxnode_id=202318812","Persevirus niaois")</f>
        <v>Persevirus niaois</v>
      </c>
      <c r="S6190" s="18" t="s">
        <v>30</v>
      </c>
      <c r="T6190" s="18" t="s">
        <v>40539</v>
      </c>
      <c r="U6190" s="18"/>
      <c r="V6190" s="18" t="s">
        <v>40540</v>
      </c>
      <c r="W6190" s="18" t="s">
        <v>40541</v>
      </c>
      <c r="X6190" s="18" t="s">
        <v>42</v>
      </c>
      <c r="Y6190" s="18" t="s">
        <v>12266</v>
      </c>
      <c r="Z6190" s="18" t="s">
        <v>166</v>
      </c>
      <c r="AA6190" s="21" t="str">
        <f>HYPERLINK("https://www.ncbi.nlm.nih.gov/nuccore/MT138055","NCBI Nucleotide")</f>
        <v>NCBI Nucleotide</v>
      </c>
    </row>
    <row r="6191" spans="1:27" x14ac:dyDescent="0.35">
      <c r="A6191">
        <v>1025524</v>
      </c>
      <c r="B6191">
        <v>5929</v>
      </c>
      <c r="C6191">
        <v>1</v>
      </c>
      <c r="D6191" s="17" t="s">
        <v>10507</v>
      </c>
      <c r="E6191" s="17"/>
      <c r="F6191" s="17" t="s">
        <v>10780</v>
      </c>
      <c r="G6191" s="17"/>
      <c r="H6191" s="17" t="s">
        <v>12908</v>
      </c>
      <c r="I6191" s="17"/>
      <c r="J6191" s="17" t="s">
        <v>12909</v>
      </c>
      <c r="K6191" s="17"/>
      <c r="L6191" s="17" t="s">
        <v>40392</v>
      </c>
      <c r="M6191" s="17"/>
      <c r="N6191" s="17" t="s">
        <v>40425</v>
      </c>
      <c r="O6191" s="17"/>
      <c r="P6191" s="17" t="s">
        <v>40532</v>
      </c>
      <c r="Q6191" s="17"/>
      <c r="R6191" s="25" t="str">
        <f>HYPERLINK("https://ictv.global/taxonomy/taxondetails?taxnode_id=202318810","Persevirus pargotis")</f>
        <v>Persevirus pargotis</v>
      </c>
      <c r="S6191" s="18" t="s">
        <v>30</v>
      </c>
      <c r="T6191" s="18" t="s">
        <v>40542</v>
      </c>
      <c r="U6191" s="18"/>
      <c r="V6191" s="18" t="s">
        <v>40543</v>
      </c>
      <c r="W6191" s="18" t="s">
        <v>40544</v>
      </c>
      <c r="X6191" s="18" t="s">
        <v>42</v>
      </c>
      <c r="Y6191" s="18" t="s">
        <v>12266</v>
      </c>
      <c r="Z6191" s="18" t="s">
        <v>166</v>
      </c>
      <c r="AA6191" s="21" t="str">
        <f>HYPERLINK("https://www.ncbi.nlm.nih.gov/nuccore/MH649214","NCBI Nucleotide")</f>
        <v>NCBI Nucleotide</v>
      </c>
    </row>
    <row r="6192" spans="1:27" x14ac:dyDescent="0.35">
      <c r="A6192">
        <v>1025525</v>
      </c>
      <c r="B6192">
        <v>5930</v>
      </c>
      <c r="C6192">
        <v>1</v>
      </c>
      <c r="D6192" s="17" t="s">
        <v>10507</v>
      </c>
      <c r="E6192" s="17"/>
      <c r="F6192" s="17" t="s">
        <v>10780</v>
      </c>
      <c r="G6192" s="17"/>
      <c r="H6192" s="17" t="s">
        <v>12908</v>
      </c>
      <c r="I6192" s="17"/>
      <c r="J6192" s="17" t="s">
        <v>12909</v>
      </c>
      <c r="K6192" s="17"/>
      <c r="L6192" s="17" t="s">
        <v>40392</v>
      </c>
      <c r="M6192" s="17"/>
      <c r="N6192" s="17" t="s">
        <v>40425</v>
      </c>
      <c r="O6192" s="17"/>
      <c r="P6192" s="17" t="s">
        <v>40532</v>
      </c>
      <c r="Q6192" s="17"/>
      <c r="R6192" s="25" t="str">
        <f>HYPERLINK("https://ictv.global/taxonomy/taxondetails?taxnode_id=202318809","Persevirus pectis")</f>
        <v>Persevirus pectis</v>
      </c>
      <c r="S6192" s="18" t="s">
        <v>30</v>
      </c>
      <c r="T6192" s="18" t="s">
        <v>40545</v>
      </c>
      <c r="U6192" s="18"/>
      <c r="V6192" s="18" t="s">
        <v>40546</v>
      </c>
      <c r="W6192" s="18" t="s">
        <v>40547</v>
      </c>
      <c r="X6192" s="18" t="s">
        <v>42</v>
      </c>
      <c r="Y6192" s="18" t="s">
        <v>12266</v>
      </c>
      <c r="Z6192" s="18" t="s">
        <v>166</v>
      </c>
      <c r="AA6192" s="21" t="str">
        <f>HYPERLINK("https://www.ncbi.nlm.nih.gov/nuccore/MH617169","NCBI Nucleotide")</f>
        <v>NCBI Nucleotide</v>
      </c>
    </row>
    <row r="6193" spans="1:27" x14ac:dyDescent="0.35">
      <c r="A6193">
        <v>1025526</v>
      </c>
      <c r="B6193">
        <v>5931</v>
      </c>
      <c r="C6193">
        <v>1</v>
      </c>
      <c r="D6193" s="17" t="s">
        <v>10507</v>
      </c>
      <c r="E6193" s="17"/>
      <c r="F6193" s="17" t="s">
        <v>10780</v>
      </c>
      <c r="G6193" s="17"/>
      <c r="H6193" s="17" t="s">
        <v>12908</v>
      </c>
      <c r="I6193" s="17"/>
      <c r="J6193" s="17" t="s">
        <v>12909</v>
      </c>
      <c r="K6193" s="17"/>
      <c r="L6193" s="17" t="s">
        <v>40392</v>
      </c>
      <c r="M6193" s="17"/>
      <c r="N6193" s="17" t="s">
        <v>40425</v>
      </c>
      <c r="O6193" s="17"/>
      <c r="P6193" s="17" t="s">
        <v>40532</v>
      </c>
      <c r="Q6193" s="17"/>
      <c r="R6193" s="25" t="str">
        <f>HYPERLINK("https://ictv.global/taxonomy/taxondetails?taxnode_id=202318811","Persevirus truchatis")</f>
        <v>Persevirus truchatis</v>
      </c>
      <c r="S6193" s="18" t="s">
        <v>30</v>
      </c>
      <c r="T6193" s="18" t="s">
        <v>40548</v>
      </c>
      <c r="U6193" s="18"/>
      <c r="V6193" s="18" t="s">
        <v>40549</v>
      </c>
      <c r="W6193" s="18" t="s">
        <v>40550</v>
      </c>
      <c r="X6193" s="18" t="s">
        <v>42</v>
      </c>
      <c r="Y6193" s="18" t="s">
        <v>12266</v>
      </c>
      <c r="Z6193" s="18" t="s">
        <v>166</v>
      </c>
      <c r="AA6193" s="21" t="str">
        <f>HYPERLINK("https://www.ncbi.nlm.nih.gov/nuccore/MH617752","NCBI Nucleotide")</f>
        <v>NCBI Nucleotide</v>
      </c>
    </row>
    <row r="6194" spans="1:27" x14ac:dyDescent="0.35">
      <c r="A6194">
        <v>1025484</v>
      </c>
      <c r="B6194">
        <v>5932</v>
      </c>
      <c r="C6194">
        <v>1</v>
      </c>
      <c r="D6194" s="17" t="s">
        <v>10507</v>
      </c>
      <c r="E6194" s="17"/>
      <c r="F6194" s="17" t="s">
        <v>10780</v>
      </c>
      <c r="G6194" s="17"/>
      <c r="H6194" s="17" t="s">
        <v>12908</v>
      </c>
      <c r="I6194" s="17"/>
      <c r="J6194" s="17" t="s">
        <v>12909</v>
      </c>
      <c r="K6194" s="17"/>
      <c r="L6194" s="17" t="s">
        <v>40392</v>
      </c>
      <c r="M6194" s="17"/>
      <c r="N6194" s="17" t="s">
        <v>40425</v>
      </c>
      <c r="O6194" s="17"/>
      <c r="P6194" s="17" t="s">
        <v>40551</v>
      </c>
      <c r="Q6194" s="17"/>
      <c r="R6194" s="25" t="str">
        <f>HYPERLINK("https://ictv.global/taxonomy/taxondetails?taxnode_id=202318793","Proteusivirus raitis")</f>
        <v>Proteusivirus raitis</v>
      </c>
      <c r="S6194" s="18" t="s">
        <v>30</v>
      </c>
      <c r="T6194" s="18" t="s">
        <v>40552</v>
      </c>
      <c r="U6194" s="18"/>
      <c r="V6194" s="18" t="s">
        <v>40553</v>
      </c>
      <c r="W6194" s="18" t="s">
        <v>40554</v>
      </c>
      <c r="X6194" s="18" t="s">
        <v>42</v>
      </c>
      <c r="Y6194" s="18" t="s">
        <v>12266</v>
      </c>
      <c r="Z6194" s="18" t="s">
        <v>166</v>
      </c>
      <c r="AA6194" s="21" t="str">
        <f>HYPERLINK("https://www.ncbi.nlm.nih.gov/nuccore/MH617435","NCBI Nucleotide")</f>
        <v>NCBI Nucleotide</v>
      </c>
    </row>
    <row r="6195" spans="1:27" x14ac:dyDescent="0.35">
      <c r="A6195">
        <v>1025477</v>
      </c>
      <c r="B6195">
        <v>5933</v>
      </c>
      <c r="C6195">
        <v>1</v>
      </c>
      <c r="D6195" s="17" t="s">
        <v>10507</v>
      </c>
      <c r="E6195" s="17"/>
      <c r="F6195" s="17" t="s">
        <v>10780</v>
      </c>
      <c r="G6195" s="17"/>
      <c r="H6195" s="17" t="s">
        <v>12908</v>
      </c>
      <c r="I6195" s="17"/>
      <c r="J6195" s="17" t="s">
        <v>12909</v>
      </c>
      <c r="K6195" s="17"/>
      <c r="L6195" s="17" t="s">
        <v>40392</v>
      </c>
      <c r="M6195" s="17"/>
      <c r="N6195" s="17" t="s">
        <v>40425</v>
      </c>
      <c r="O6195" s="17"/>
      <c r="P6195" s="17" t="s">
        <v>40555</v>
      </c>
      <c r="Q6195" s="17"/>
      <c r="R6195" s="25" t="str">
        <f>HYPERLINK("https://ictv.global/taxonomy/taxondetails?taxnode_id=202318816","Pylenevirus paphis")</f>
        <v>Pylenevirus paphis</v>
      </c>
      <c r="S6195" s="18" t="s">
        <v>30</v>
      </c>
      <c r="T6195" s="18" t="s">
        <v>40556</v>
      </c>
      <c r="U6195" s="18"/>
      <c r="V6195" s="18" t="s">
        <v>40557</v>
      </c>
      <c r="W6195" s="18" t="s">
        <v>40558</v>
      </c>
      <c r="X6195" s="18" t="s">
        <v>42</v>
      </c>
      <c r="Y6195" s="18" t="s">
        <v>12266</v>
      </c>
      <c r="Z6195" s="18" t="s">
        <v>10790</v>
      </c>
      <c r="AA6195" s="21" t="str">
        <f>HYPERLINK("https://www.ncbi.nlm.nih.gov/nuccore/KM874354","NCBI Nucleotide")</f>
        <v>NCBI Nucleotide</v>
      </c>
    </row>
    <row r="6196" spans="1:27" x14ac:dyDescent="0.35">
      <c r="A6196">
        <v>1025478</v>
      </c>
      <c r="B6196">
        <v>5934</v>
      </c>
      <c r="C6196">
        <v>1</v>
      </c>
      <c r="D6196" s="17" t="s">
        <v>10507</v>
      </c>
      <c r="E6196" s="17"/>
      <c r="F6196" s="17" t="s">
        <v>10780</v>
      </c>
      <c r="G6196" s="17"/>
      <c r="H6196" s="17" t="s">
        <v>12908</v>
      </c>
      <c r="I6196" s="17"/>
      <c r="J6196" s="17" t="s">
        <v>12909</v>
      </c>
      <c r="K6196" s="17"/>
      <c r="L6196" s="17" t="s">
        <v>40392</v>
      </c>
      <c r="M6196" s="17"/>
      <c r="N6196" s="17" t="s">
        <v>40425</v>
      </c>
      <c r="O6196" s="17"/>
      <c r="P6196" s="17" t="s">
        <v>40559</v>
      </c>
      <c r="Q6196" s="17"/>
      <c r="R6196" s="25" t="str">
        <f>HYPERLINK("https://ictv.global/taxonomy/taxondetails?taxnode_id=202318838","Pythorivirus pauaes")</f>
        <v>Pythorivirus pauaes</v>
      </c>
      <c r="S6196" s="18" t="s">
        <v>30</v>
      </c>
      <c r="T6196" s="18" t="s">
        <v>40560</v>
      </c>
      <c r="U6196" s="18"/>
      <c r="V6196" s="18" t="s">
        <v>40561</v>
      </c>
      <c r="W6196" s="18" t="s">
        <v>40562</v>
      </c>
      <c r="X6196" s="18" t="s">
        <v>42</v>
      </c>
      <c r="Y6196" s="18" t="s">
        <v>12266</v>
      </c>
      <c r="Z6196" s="18" t="s">
        <v>10790</v>
      </c>
      <c r="AA6196" s="21" t="str">
        <f>HYPERLINK("https://www.ncbi.nlm.nih.gov/nuccore/MH617051","NCBI Nucleotide")</f>
        <v>NCBI Nucleotide</v>
      </c>
    </row>
    <row r="6197" spans="1:27" x14ac:dyDescent="0.35">
      <c r="A6197">
        <v>1025472</v>
      </c>
      <c r="B6197">
        <v>5935</v>
      </c>
      <c r="C6197">
        <v>1</v>
      </c>
      <c r="D6197" s="17" t="s">
        <v>10507</v>
      </c>
      <c r="E6197" s="17"/>
      <c r="F6197" s="17" t="s">
        <v>10780</v>
      </c>
      <c r="G6197" s="17"/>
      <c r="H6197" s="17" t="s">
        <v>12908</v>
      </c>
      <c r="I6197" s="17"/>
      <c r="J6197" s="17" t="s">
        <v>12909</v>
      </c>
      <c r="K6197" s="17"/>
      <c r="L6197" s="17" t="s">
        <v>40392</v>
      </c>
      <c r="M6197" s="17"/>
      <c r="N6197" s="17" t="s">
        <v>40425</v>
      </c>
      <c r="O6197" s="17"/>
      <c r="P6197" s="17" t="s">
        <v>40563</v>
      </c>
      <c r="Q6197" s="17"/>
      <c r="R6197" s="25" t="str">
        <f>HYPERLINK("https://ictv.global/taxonomy/taxondetails?taxnode_id=202318817","Rhipevirus didemis")</f>
        <v>Rhipevirus didemis</v>
      </c>
      <c r="S6197" s="18" t="s">
        <v>30</v>
      </c>
      <c r="T6197" s="18" t="s">
        <v>40564</v>
      </c>
      <c r="U6197" s="18"/>
      <c r="V6197" s="18" t="s">
        <v>40565</v>
      </c>
      <c r="W6197" s="18" t="s">
        <v>40566</v>
      </c>
      <c r="X6197" s="18" t="s">
        <v>42</v>
      </c>
      <c r="Y6197" s="18" t="s">
        <v>12266</v>
      </c>
      <c r="Z6197" s="18" t="s">
        <v>10790</v>
      </c>
      <c r="AA6197" s="21" t="str">
        <f>HYPERLINK("https://www.ncbi.nlm.nih.gov/nuccore/KR528547","NCBI Nucleotide")</f>
        <v>NCBI Nucleotide</v>
      </c>
    </row>
    <row r="6198" spans="1:27" x14ac:dyDescent="0.35">
      <c r="A6198">
        <v>1025411</v>
      </c>
      <c r="B6198">
        <v>5936</v>
      </c>
      <c r="C6198">
        <v>1</v>
      </c>
      <c r="D6198" s="17" t="s">
        <v>10507</v>
      </c>
      <c r="E6198" s="17"/>
      <c r="F6198" s="17" t="s">
        <v>10780</v>
      </c>
      <c r="G6198" s="17"/>
      <c r="H6198" s="17" t="s">
        <v>12908</v>
      </c>
      <c r="I6198" s="17"/>
      <c r="J6198" s="17" t="s">
        <v>12909</v>
      </c>
      <c r="K6198" s="17"/>
      <c r="L6198" s="17" t="s">
        <v>40392</v>
      </c>
      <c r="M6198" s="17"/>
      <c r="N6198" s="17" t="s">
        <v>40425</v>
      </c>
      <c r="O6198" s="17"/>
      <c r="P6198" s="17" t="s">
        <v>40567</v>
      </c>
      <c r="Q6198" s="17"/>
      <c r="R6198" s="25" t="str">
        <f>HYPERLINK("https://ictv.global/taxonomy/taxondetails?taxnode_id=202318824","Stentovirus reppertis")</f>
        <v>Stentovirus reppertis</v>
      </c>
      <c r="S6198" s="18" t="s">
        <v>30</v>
      </c>
      <c r="T6198" s="18" t="s">
        <v>50423</v>
      </c>
      <c r="U6198" s="18"/>
      <c r="V6198" s="18" t="s">
        <v>40568</v>
      </c>
      <c r="W6198" s="18" t="s">
        <v>40569</v>
      </c>
      <c r="X6198" s="18" t="s">
        <v>42</v>
      </c>
      <c r="Y6198" s="18" t="s">
        <v>12266</v>
      </c>
      <c r="Z6198" s="18" t="s">
        <v>166</v>
      </c>
      <c r="AA6198" s="21" t="str">
        <f>HYPERLINK("https://www.ncbi.nlm.nih.gov/nuccore/KJ641738","NCBI Nucleotide")</f>
        <v>NCBI Nucleotide</v>
      </c>
    </row>
    <row r="6199" spans="1:27" x14ac:dyDescent="0.35">
      <c r="A6199">
        <v>1025413</v>
      </c>
      <c r="B6199">
        <v>5937</v>
      </c>
      <c r="C6199">
        <v>1</v>
      </c>
      <c r="D6199" s="17" t="s">
        <v>10507</v>
      </c>
      <c r="E6199" s="17"/>
      <c r="F6199" s="17" t="s">
        <v>10780</v>
      </c>
      <c r="G6199" s="17"/>
      <c r="H6199" s="17" t="s">
        <v>12908</v>
      </c>
      <c r="I6199" s="17"/>
      <c r="J6199" s="17" t="s">
        <v>12909</v>
      </c>
      <c r="K6199" s="17"/>
      <c r="L6199" s="17" t="s">
        <v>40392</v>
      </c>
      <c r="M6199" s="17"/>
      <c r="N6199" s="17" t="s">
        <v>40425</v>
      </c>
      <c r="O6199" s="17"/>
      <c r="P6199" s="17" t="s">
        <v>40570</v>
      </c>
      <c r="Q6199" s="17"/>
      <c r="R6199" s="25" t="str">
        <f>HYPERLINK("https://ictv.global/taxonomy/taxondetails?taxnode_id=202318819","Styxivirus ecklonis")</f>
        <v>Styxivirus ecklonis</v>
      </c>
      <c r="S6199" s="18" t="s">
        <v>30</v>
      </c>
      <c r="T6199" s="18" t="s">
        <v>40571</v>
      </c>
      <c r="U6199" s="18"/>
      <c r="V6199" s="18" t="s">
        <v>40572</v>
      </c>
      <c r="W6199" s="18" t="s">
        <v>40573</v>
      </c>
      <c r="X6199" s="18" t="s">
        <v>42</v>
      </c>
      <c r="Y6199" s="18" t="s">
        <v>12266</v>
      </c>
      <c r="Z6199" s="18" t="s">
        <v>17496</v>
      </c>
      <c r="AA6199" s="21" t="str">
        <f>HYPERLINK("https://www.ncbi.nlm.nih.gov/nuccore/MG740721","NCBI Nucleotide")</f>
        <v>NCBI Nucleotide</v>
      </c>
    </row>
    <row r="6200" spans="1:27" x14ac:dyDescent="0.35">
      <c r="A6200">
        <v>1025419</v>
      </c>
      <c r="B6200">
        <v>5938</v>
      </c>
      <c r="C6200">
        <v>1</v>
      </c>
      <c r="D6200" s="17" t="s">
        <v>10507</v>
      </c>
      <c r="E6200" s="17"/>
      <c r="F6200" s="17" t="s">
        <v>10780</v>
      </c>
      <c r="G6200" s="17"/>
      <c r="H6200" s="17" t="s">
        <v>12908</v>
      </c>
      <c r="I6200" s="17"/>
      <c r="J6200" s="17" t="s">
        <v>12909</v>
      </c>
      <c r="K6200" s="17"/>
      <c r="L6200" s="17" t="s">
        <v>40392</v>
      </c>
      <c r="M6200" s="17"/>
      <c r="N6200" s="17" t="s">
        <v>40425</v>
      </c>
      <c r="O6200" s="17"/>
      <c r="P6200" s="17" t="s">
        <v>40574</v>
      </c>
      <c r="Q6200" s="17"/>
      <c r="R6200" s="25" t="str">
        <f>HYPERLINK("https://ictv.global/taxonomy/taxondetails?taxnode_id=202318794","Tantalovirus resnatis")</f>
        <v>Tantalovirus resnatis</v>
      </c>
      <c r="S6200" s="18" t="s">
        <v>30</v>
      </c>
      <c r="T6200" s="18" t="s">
        <v>40575</v>
      </c>
      <c r="U6200" s="18"/>
      <c r="V6200" s="18" t="s">
        <v>40576</v>
      </c>
      <c r="W6200" s="18" t="s">
        <v>40577</v>
      </c>
      <c r="X6200" s="18" t="s">
        <v>42</v>
      </c>
      <c r="Y6200" s="18" t="s">
        <v>12266</v>
      </c>
      <c r="Z6200" s="18" t="s">
        <v>166</v>
      </c>
      <c r="AA6200" s="21" t="str">
        <f>HYPERLINK("https://www.ncbi.nlm.nih.gov/nuccore/MH649205","NCBI Nucleotide")</f>
        <v>NCBI Nucleotide</v>
      </c>
    </row>
    <row r="6201" spans="1:27" x14ac:dyDescent="0.35">
      <c r="A6201">
        <v>1025420</v>
      </c>
      <c r="B6201">
        <v>5939</v>
      </c>
      <c r="C6201">
        <v>1</v>
      </c>
      <c r="D6201" s="17" t="s">
        <v>10507</v>
      </c>
      <c r="E6201" s="17"/>
      <c r="F6201" s="17" t="s">
        <v>10780</v>
      </c>
      <c r="G6201" s="17"/>
      <c r="H6201" s="17" t="s">
        <v>12908</v>
      </c>
      <c r="I6201" s="17"/>
      <c r="J6201" s="17" t="s">
        <v>12909</v>
      </c>
      <c r="K6201" s="17"/>
      <c r="L6201" s="17" t="s">
        <v>40392</v>
      </c>
      <c r="M6201" s="17"/>
      <c r="N6201" s="17" t="s">
        <v>40425</v>
      </c>
      <c r="O6201" s="17"/>
      <c r="P6201" s="17" t="s">
        <v>40578</v>
      </c>
      <c r="Q6201" s="17"/>
      <c r="R6201" s="25" t="str">
        <f>HYPERLINK("https://ictv.global/taxonomy/taxondetails?taxnode_id=202318818","Taphiavirus pestrotis")</f>
        <v>Taphiavirus pestrotis</v>
      </c>
      <c r="S6201" s="18" t="s">
        <v>30</v>
      </c>
      <c r="T6201" s="18" t="s">
        <v>40579</v>
      </c>
      <c r="U6201" s="18"/>
      <c r="V6201" s="18" t="s">
        <v>40580</v>
      </c>
      <c r="W6201" s="18" t="s">
        <v>40581</v>
      </c>
      <c r="X6201" s="18" t="s">
        <v>42</v>
      </c>
      <c r="Y6201" s="18" t="s">
        <v>12266</v>
      </c>
      <c r="Z6201" s="18" t="s">
        <v>166</v>
      </c>
      <c r="AA6201" s="21" t="str">
        <f>HYPERLINK("https://www.ncbi.nlm.nih.gov/nuccore/MH617453","NCBI Nucleotide")</f>
        <v>NCBI Nucleotide</v>
      </c>
    </row>
    <row r="6202" spans="1:27" x14ac:dyDescent="0.35">
      <c r="A6202">
        <v>1025414</v>
      </c>
      <c r="B6202">
        <v>5940</v>
      </c>
      <c r="C6202">
        <v>1</v>
      </c>
      <c r="D6202" s="17" t="s">
        <v>10507</v>
      </c>
      <c r="E6202" s="17"/>
      <c r="F6202" s="17" t="s">
        <v>10780</v>
      </c>
      <c r="G6202" s="17"/>
      <c r="H6202" s="17" t="s">
        <v>12908</v>
      </c>
      <c r="I6202" s="17"/>
      <c r="J6202" s="17" t="s">
        <v>12909</v>
      </c>
      <c r="K6202" s="17"/>
      <c r="L6202" s="17" t="s">
        <v>40392</v>
      </c>
      <c r="M6202" s="17"/>
      <c r="N6202" s="17" t="s">
        <v>40425</v>
      </c>
      <c r="O6202" s="17"/>
      <c r="P6202" s="17" t="s">
        <v>40582</v>
      </c>
      <c r="Q6202" s="17"/>
      <c r="R6202" s="25" t="str">
        <f>HYPERLINK("https://ictv.global/taxonomy/taxondetails?taxnode_id=202318815","Telemovirus vaitis")</f>
        <v>Telemovirus vaitis</v>
      </c>
      <c r="S6202" s="18" t="s">
        <v>30</v>
      </c>
      <c r="T6202" s="18" t="s">
        <v>40583</v>
      </c>
      <c r="U6202" s="18"/>
      <c r="V6202" s="18" t="s">
        <v>40584</v>
      </c>
      <c r="W6202" s="18" t="s">
        <v>40585</v>
      </c>
      <c r="X6202" s="18" t="s">
        <v>42</v>
      </c>
      <c r="Y6202" s="18" t="s">
        <v>12266</v>
      </c>
      <c r="Z6202" s="18" t="s">
        <v>166</v>
      </c>
      <c r="AA6202" s="21" t="str">
        <f>HYPERLINK("https://www.ncbi.nlm.nih.gov/nuccore/MH616801","NCBI Nucleotide")</f>
        <v>NCBI Nucleotide</v>
      </c>
    </row>
    <row r="6203" spans="1:27" x14ac:dyDescent="0.35">
      <c r="A6203">
        <v>1025415</v>
      </c>
      <c r="B6203">
        <v>5941</v>
      </c>
      <c r="C6203">
        <v>1</v>
      </c>
      <c r="D6203" s="17" t="s">
        <v>10507</v>
      </c>
      <c r="E6203" s="17"/>
      <c r="F6203" s="17" t="s">
        <v>10780</v>
      </c>
      <c r="G6203" s="17"/>
      <c r="H6203" s="17" t="s">
        <v>12908</v>
      </c>
      <c r="I6203" s="17"/>
      <c r="J6203" s="17" t="s">
        <v>12909</v>
      </c>
      <c r="K6203" s="17"/>
      <c r="L6203" s="17" t="s">
        <v>40392</v>
      </c>
      <c r="M6203" s="17"/>
      <c r="N6203" s="17" t="s">
        <v>40425</v>
      </c>
      <c r="O6203" s="17"/>
      <c r="P6203" s="17" t="s">
        <v>40586</v>
      </c>
      <c r="Q6203" s="17"/>
      <c r="R6203" s="25" t="str">
        <f>HYPERLINK("https://ictv.global/taxonomy/taxondetails?taxnode_id=202318797","Tethyvirus abatis")</f>
        <v>Tethyvirus abatis</v>
      </c>
      <c r="S6203" s="18" t="s">
        <v>30</v>
      </c>
      <c r="T6203" s="18" t="s">
        <v>40587</v>
      </c>
      <c r="U6203" s="18"/>
      <c r="V6203" s="18" t="s">
        <v>40588</v>
      </c>
      <c r="W6203" s="18" t="s">
        <v>40589</v>
      </c>
      <c r="X6203" s="18" t="s">
        <v>42</v>
      </c>
      <c r="Y6203" s="18" t="s">
        <v>12266</v>
      </c>
      <c r="Z6203" s="18" t="s">
        <v>10790</v>
      </c>
      <c r="AA6203" s="21" t="str">
        <f>HYPERLINK("https://www.ncbi.nlm.nih.gov/nuccore/MH617703","NCBI Nucleotide")</f>
        <v>NCBI Nucleotide</v>
      </c>
    </row>
    <row r="6204" spans="1:27" x14ac:dyDescent="0.35">
      <c r="A6204">
        <v>1025416</v>
      </c>
      <c r="B6204">
        <v>5942</v>
      </c>
      <c r="C6204">
        <v>1</v>
      </c>
      <c r="D6204" s="17" t="s">
        <v>10507</v>
      </c>
      <c r="E6204" s="17"/>
      <c r="F6204" s="17" t="s">
        <v>10780</v>
      </c>
      <c r="G6204" s="17"/>
      <c r="H6204" s="17" t="s">
        <v>12908</v>
      </c>
      <c r="I6204" s="17"/>
      <c r="J6204" s="17" t="s">
        <v>12909</v>
      </c>
      <c r="K6204" s="17"/>
      <c r="L6204" s="17" t="s">
        <v>40392</v>
      </c>
      <c r="M6204" s="17"/>
      <c r="N6204" s="17" t="s">
        <v>40425</v>
      </c>
      <c r="O6204" s="17"/>
      <c r="P6204" s="17" t="s">
        <v>40586</v>
      </c>
      <c r="Q6204" s="17"/>
      <c r="R6204" s="25" t="str">
        <f>HYPERLINK("https://ictv.global/taxonomy/taxondetails?taxnode_id=202318798","Tethyvirus nemileis")</f>
        <v>Tethyvirus nemileis</v>
      </c>
      <c r="S6204" s="18" t="s">
        <v>30</v>
      </c>
      <c r="T6204" s="18" t="s">
        <v>40590</v>
      </c>
      <c r="U6204" s="18"/>
      <c r="V6204" s="18" t="s">
        <v>40591</v>
      </c>
      <c r="W6204" s="18" t="s">
        <v>40592</v>
      </c>
      <c r="X6204" s="18" t="s">
        <v>42</v>
      </c>
      <c r="Y6204" s="18" t="s">
        <v>12266</v>
      </c>
      <c r="Z6204" s="18" t="s">
        <v>10790</v>
      </c>
      <c r="AA6204" s="21" t="str">
        <f>HYPERLINK("https://www.ncbi.nlm.nih.gov/nuccore/KT945163","NCBI Nucleotide")</f>
        <v>NCBI Nucleotide</v>
      </c>
    </row>
    <row r="6205" spans="1:27" x14ac:dyDescent="0.35">
      <c r="A6205">
        <v>1025389</v>
      </c>
      <c r="B6205">
        <v>5943</v>
      </c>
      <c r="C6205">
        <v>1</v>
      </c>
      <c r="D6205" s="17" t="s">
        <v>10507</v>
      </c>
      <c r="E6205" s="17"/>
      <c r="F6205" s="17" t="s">
        <v>10780</v>
      </c>
      <c r="G6205" s="17"/>
      <c r="H6205" s="17" t="s">
        <v>12908</v>
      </c>
      <c r="I6205" s="17"/>
      <c r="J6205" s="17" t="s">
        <v>12909</v>
      </c>
      <c r="K6205" s="17"/>
      <c r="L6205" s="17" t="s">
        <v>40593</v>
      </c>
      <c r="M6205" s="17"/>
      <c r="N6205" s="17" t="s">
        <v>40594</v>
      </c>
      <c r="O6205" s="17"/>
      <c r="P6205" s="17" t="s">
        <v>40595</v>
      </c>
      <c r="Q6205" s="17"/>
      <c r="R6205" s="25" t="str">
        <f>HYPERLINK("https://ictv.global/taxonomy/taxondetails?taxnode_id=202318710","Armipotenivirus tanscopis")</f>
        <v>Armipotenivirus tanscopis</v>
      </c>
      <c r="S6205" s="18" t="s">
        <v>30</v>
      </c>
      <c r="T6205" s="18" t="s">
        <v>40596</v>
      </c>
      <c r="U6205" s="18"/>
      <c r="V6205" s="18" t="s">
        <v>40597</v>
      </c>
      <c r="W6205" s="18" t="s">
        <v>40598</v>
      </c>
      <c r="X6205" s="18" t="s">
        <v>42</v>
      </c>
      <c r="Y6205" s="18" t="s">
        <v>12266</v>
      </c>
      <c r="Z6205" s="18" t="s">
        <v>166</v>
      </c>
      <c r="AA6205" s="21" t="str">
        <f>HYPERLINK("https://www.ncbi.nlm.nih.gov/nuccore/MF804498","NCBI Nucleotide")</f>
        <v>NCBI Nucleotide</v>
      </c>
    </row>
    <row r="6206" spans="1:27" x14ac:dyDescent="0.35">
      <c r="A6206">
        <v>1025293</v>
      </c>
      <c r="B6206">
        <v>5944</v>
      </c>
      <c r="C6206">
        <v>1</v>
      </c>
      <c r="D6206" s="17" t="s">
        <v>10507</v>
      </c>
      <c r="E6206" s="17"/>
      <c r="F6206" s="17" t="s">
        <v>10780</v>
      </c>
      <c r="G6206" s="17"/>
      <c r="H6206" s="17" t="s">
        <v>12908</v>
      </c>
      <c r="I6206" s="17"/>
      <c r="J6206" s="17" t="s">
        <v>12909</v>
      </c>
      <c r="K6206" s="17"/>
      <c r="L6206" s="17" t="s">
        <v>40593</v>
      </c>
      <c r="M6206" s="17"/>
      <c r="N6206" s="17" t="s">
        <v>40594</v>
      </c>
      <c r="O6206" s="17"/>
      <c r="P6206" s="17" t="s">
        <v>40599</v>
      </c>
      <c r="Q6206" s="17"/>
      <c r="R6206" s="25" t="str">
        <f>HYPERLINK("https://ictv.global/taxonomy/taxondetails?taxnode_id=202318711","Asperivirus lasarense")</f>
        <v>Asperivirus lasarense</v>
      </c>
      <c r="S6206" s="18" t="s">
        <v>30</v>
      </c>
      <c r="T6206" s="18" t="s">
        <v>40600</v>
      </c>
      <c r="U6206" s="18"/>
      <c r="V6206" s="18" t="s">
        <v>40601</v>
      </c>
      <c r="W6206" s="18" t="s">
        <v>40602</v>
      </c>
      <c r="X6206" s="18" t="s">
        <v>42</v>
      </c>
      <c r="Y6206" s="18" t="s">
        <v>12266</v>
      </c>
      <c r="Z6206" s="18" t="s">
        <v>10790</v>
      </c>
      <c r="AA6206" s="21" t="str">
        <f>HYPERLINK("https://www.ncbi.nlm.nih.gov/nuccore/KP153423","NCBI Nucleotide")</f>
        <v>NCBI Nucleotide</v>
      </c>
    </row>
    <row r="6207" spans="1:27" x14ac:dyDescent="0.35">
      <c r="A6207">
        <v>1025294</v>
      </c>
      <c r="B6207">
        <v>5945</v>
      </c>
      <c r="C6207">
        <v>1</v>
      </c>
      <c r="D6207" s="17" t="s">
        <v>10507</v>
      </c>
      <c r="E6207" s="17"/>
      <c r="F6207" s="17" t="s">
        <v>10780</v>
      </c>
      <c r="G6207" s="17"/>
      <c r="H6207" s="17" t="s">
        <v>12908</v>
      </c>
      <c r="I6207" s="17"/>
      <c r="J6207" s="17" t="s">
        <v>12909</v>
      </c>
      <c r="K6207" s="17"/>
      <c r="L6207" s="17" t="s">
        <v>40593</v>
      </c>
      <c r="M6207" s="17"/>
      <c r="N6207" s="17" t="s">
        <v>40594</v>
      </c>
      <c r="O6207" s="17"/>
      <c r="P6207" s="17" t="s">
        <v>40599</v>
      </c>
      <c r="Q6207" s="17"/>
      <c r="R6207" s="25" t="str">
        <f>HYPERLINK("https://ictv.global/taxonomy/taxondetails?taxnode_id=202318712","Asperivirus nemenis")</f>
        <v>Asperivirus nemenis</v>
      </c>
      <c r="S6207" s="18" t="s">
        <v>30</v>
      </c>
      <c r="T6207" s="18" t="s">
        <v>40603</v>
      </c>
      <c r="U6207" s="18"/>
      <c r="V6207" s="18" t="s">
        <v>40604</v>
      </c>
      <c r="W6207" s="18" t="s">
        <v>40605</v>
      </c>
      <c r="X6207" s="18" t="s">
        <v>42</v>
      </c>
      <c r="Y6207" s="18" t="s">
        <v>12266</v>
      </c>
      <c r="Z6207" s="18" t="s">
        <v>26655</v>
      </c>
      <c r="AA6207" s="21" t="str">
        <f>HYPERLINK("https://www.ncbi.nlm.nih.gov/nuccore/KP153408","NCBI Nucleotide")</f>
        <v>NCBI Nucleotide</v>
      </c>
    </row>
    <row r="6208" spans="1:27" x14ac:dyDescent="0.35">
      <c r="A6208">
        <v>1025287</v>
      </c>
      <c r="B6208">
        <v>5946</v>
      </c>
      <c r="C6208">
        <v>1</v>
      </c>
      <c r="D6208" s="17" t="s">
        <v>10507</v>
      </c>
      <c r="E6208" s="17"/>
      <c r="F6208" s="17" t="s">
        <v>10780</v>
      </c>
      <c r="G6208" s="17"/>
      <c r="H6208" s="17" t="s">
        <v>12908</v>
      </c>
      <c r="I6208" s="17"/>
      <c r="J6208" s="17" t="s">
        <v>12909</v>
      </c>
      <c r="K6208" s="17"/>
      <c r="L6208" s="17" t="s">
        <v>40593</v>
      </c>
      <c r="M6208" s="17"/>
      <c r="N6208" s="17" t="s">
        <v>40594</v>
      </c>
      <c r="O6208" s="17"/>
      <c r="P6208" s="17" t="s">
        <v>40606</v>
      </c>
      <c r="Q6208" s="17"/>
      <c r="R6208" s="25" t="str">
        <f>HYPERLINK("https://ictv.global/taxonomy/taxondetails?taxnode_id=202318713","Atroxivirus austris")</f>
        <v>Atroxivirus austris</v>
      </c>
      <c r="S6208" s="18" t="s">
        <v>30</v>
      </c>
      <c r="T6208" s="18" t="s">
        <v>40607</v>
      </c>
      <c r="U6208" s="18"/>
      <c r="V6208" s="18" t="s">
        <v>40608</v>
      </c>
      <c r="W6208" s="18" t="s">
        <v>40609</v>
      </c>
      <c r="X6208" s="18" t="s">
        <v>42</v>
      </c>
      <c r="Y6208" s="18" t="s">
        <v>12266</v>
      </c>
      <c r="Z6208" s="18" t="s">
        <v>10790</v>
      </c>
      <c r="AA6208" s="21" t="str">
        <f>HYPERLINK("https://www.ncbi.nlm.nih.gov/nuccore/KM874300","NCBI Nucleotide")</f>
        <v>NCBI Nucleotide</v>
      </c>
    </row>
    <row r="6209" spans="1:27" x14ac:dyDescent="0.35">
      <c r="A6209">
        <v>1025288</v>
      </c>
      <c r="B6209">
        <v>5947</v>
      </c>
      <c r="C6209">
        <v>1</v>
      </c>
      <c r="D6209" s="17" t="s">
        <v>10507</v>
      </c>
      <c r="E6209" s="17"/>
      <c r="F6209" s="17" t="s">
        <v>10780</v>
      </c>
      <c r="G6209" s="17"/>
      <c r="H6209" s="17" t="s">
        <v>12908</v>
      </c>
      <c r="I6209" s="17"/>
      <c r="J6209" s="17" t="s">
        <v>12909</v>
      </c>
      <c r="K6209" s="17"/>
      <c r="L6209" s="17" t="s">
        <v>40593</v>
      </c>
      <c r="M6209" s="17"/>
      <c r="N6209" s="17" t="s">
        <v>40594</v>
      </c>
      <c r="O6209" s="17"/>
      <c r="P6209" s="17" t="s">
        <v>40610</v>
      </c>
      <c r="Q6209" s="17"/>
      <c r="R6209" s="25" t="str">
        <f>HYPERLINK("https://ictv.global/taxonomy/taxondetails?taxnode_id=202318714","Audacivirus pinazonis")</f>
        <v>Audacivirus pinazonis</v>
      </c>
      <c r="S6209" s="18" t="s">
        <v>30</v>
      </c>
      <c r="T6209" s="18" t="s">
        <v>50424</v>
      </c>
      <c r="U6209" s="18"/>
      <c r="V6209" s="18" t="s">
        <v>40611</v>
      </c>
      <c r="W6209" s="18" t="s">
        <v>40612</v>
      </c>
      <c r="X6209" s="18" t="s">
        <v>42</v>
      </c>
      <c r="Y6209" s="18" t="s">
        <v>12266</v>
      </c>
      <c r="Z6209" s="18" t="s">
        <v>40359</v>
      </c>
      <c r="AA6209" s="21" t="str">
        <f>HYPERLINK("https://www.ncbi.nlm.nih.gov/nuccore/MW678988","NCBI Nucleotide")</f>
        <v>NCBI Nucleotide</v>
      </c>
    </row>
    <row r="6210" spans="1:27" x14ac:dyDescent="0.35">
      <c r="A6210">
        <v>1025289</v>
      </c>
      <c r="B6210">
        <v>5948</v>
      </c>
      <c r="C6210">
        <v>1</v>
      </c>
      <c r="D6210" s="17" t="s">
        <v>10507</v>
      </c>
      <c r="E6210" s="17"/>
      <c r="F6210" s="17" t="s">
        <v>10780</v>
      </c>
      <c r="G6210" s="17"/>
      <c r="H6210" s="17" t="s">
        <v>12908</v>
      </c>
      <c r="I6210" s="17"/>
      <c r="J6210" s="17" t="s">
        <v>12909</v>
      </c>
      <c r="K6210" s="17"/>
      <c r="L6210" s="17" t="s">
        <v>40593</v>
      </c>
      <c r="M6210" s="17"/>
      <c r="N6210" s="17" t="s">
        <v>40594</v>
      </c>
      <c r="O6210" s="17"/>
      <c r="P6210" s="17" t="s">
        <v>40613</v>
      </c>
      <c r="Q6210" s="17"/>
      <c r="R6210" s="25" t="str">
        <f>HYPERLINK("https://ictv.global/taxonomy/taxondetails?taxnode_id=202318715","Audaxivirus bacesis")</f>
        <v>Audaxivirus bacesis</v>
      </c>
      <c r="S6210" s="18" t="s">
        <v>30</v>
      </c>
      <c r="T6210" s="18" t="s">
        <v>40614</v>
      </c>
      <c r="U6210" s="18"/>
      <c r="V6210" s="18" t="s">
        <v>40615</v>
      </c>
      <c r="W6210" s="18" t="s">
        <v>40616</v>
      </c>
      <c r="X6210" s="18" t="s">
        <v>42</v>
      </c>
      <c r="Y6210" s="18" t="s">
        <v>12266</v>
      </c>
      <c r="Z6210" s="18" t="s">
        <v>166</v>
      </c>
      <c r="AA6210" s="21" t="str">
        <f>HYPERLINK("https://www.ncbi.nlm.nih.gov/nuccore/JN857329","NCBI Nucleotide")</f>
        <v>NCBI Nucleotide</v>
      </c>
    </row>
    <row r="6211" spans="1:27" x14ac:dyDescent="0.35">
      <c r="A6211">
        <v>1025290</v>
      </c>
      <c r="B6211">
        <v>5949</v>
      </c>
      <c r="C6211">
        <v>1</v>
      </c>
      <c r="D6211" s="17" t="s">
        <v>10507</v>
      </c>
      <c r="E6211" s="17"/>
      <c r="F6211" s="17" t="s">
        <v>10780</v>
      </c>
      <c r="G6211" s="17"/>
      <c r="H6211" s="17" t="s">
        <v>12908</v>
      </c>
      <c r="I6211" s="17"/>
      <c r="J6211" s="17" t="s">
        <v>12909</v>
      </c>
      <c r="K6211" s="17"/>
      <c r="L6211" s="17" t="s">
        <v>40593</v>
      </c>
      <c r="M6211" s="17"/>
      <c r="N6211" s="17" t="s">
        <v>40594</v>
      </c>
      <c r="O6211" s="17"/>
      <c r="P6211" s="17" t="s">
        <v>40613</v>
      </c>
      <c r="Q6211" s="17"/>
      <c r="R6211" s="25" t="str">
        <f>HYPERLINK("https://ictv.global/taxonomy/taxondetails?taxnode_id=202318716","Audaxivirus minifulis")</f>
        <v>Audaxivirus minifulis</v>
      </c>
      <c r="S6211" s="18" t="s">
        <v>30</v>
      </c>
      <c r="T6211" s="18" t="s">
        <v>50425</v>
      </c>
      <c r="U6211" s="18"/>
      <c r="V6211" s="18" t="s">
        <v>40617</v>
      </c>
      <c r="W6211" s="18" t="s">
        <v>40618</v>
      </c>
      <c r="X6211" s="18" t="s">
        <v>42</v>
      </c>
      <c r="Y6211" s="18" t="s">
        <v>12266</v>
      </c>
      <c r="Z6211" s="18" t="s">
        <v>166</v>
      </c>
      <c r="AA6211" s="21" t="str">
        <f>HYPERLINK("https://www.ncbi.nlm.nih.gov/nuccore/KJ641718","NCBI Nucleotide")</f>
        <v>NCBI Nucleotide</v>
      </c>
    </row>
    <row r="6212" spans="1:27" x14ac:dyDescent="0.35">
      <c r="A6212">
        <v>1025291</v>
      </c>
      <c r="B6212">
        <v>5950</v>
      </c>
      <c r="C6212">
        <v>1</v>
      </c>
      <c r="D6212" s="17" t="s">
        <v>10507</v>
      </c>
      <c r="E6212" s="17"/>
      <c r="F6212" s="17" t="s">
        <v>10780</v>
      </c>
      <c r="G6212" s="17"/>
      <c r="H6212" s="17" t="s">
        <v>12908</v>
      </c>
      <c r="I6212" s="17"/>
      <c r="J6212" s="17" t="s">
        <v>12909</v>
      </c>
      <c r="K6212" s="17"/>
      <c r="L6212" s="17" t="s">
        <v>40593</v>
      </c>
      <c r="M6212" s="17"/>
      <c r="N6212" s="17" t="s">
        <v>40594</v>
      </c>
      <c r="O6212" s="17"/>
      <c r="P6212" s="17" t="s">
        <v>40613</v>
      </c>
      <c r="Q6212" s="17"/>
      <c r="R6212" s="25" t="str">
        <f>HYPERLINK("https://ictv.global/taxonomy/taxondetails?taxnode_id=202318717","Audaxivirus myomainis")</f>
        <v>Audaxivirus myomainis</v>
      </c>
      <c r="S6212" s="18" t="s">
        <v>30</v>
      </c>
      <c r="T6212" s="18" t="s">
        <v>50426</v>
      </c>
      <c r="U6212" s="18"/>
      <c r="V6212" s="18" t="s">
        <v>40619</v>
      </c>
      <c r="W6212" s="18" t="s">
        <v>40620</v>
      </c>
      <c r="X6212" s="18" t="s">
        <v>42</v>
      </c>
      <c r="Y6212" s="18" t="s">
        <v>12266</v>
      </c>
      <c r="Z6212" s="18" t="s">
        <v>166</v>
      </c>
      <c r="AA6212" s="21" t="str">
        <f>HYPERLINK("https://www.ncbi.nlm.nih.gov/nuccore/MT815980","NCBI Nucleotide")</f>
        <v>NCBI Nucleotide</v>
      </c>
    </row>
    <row r="6213" spans="1:27" x14ac:dyDescent="0.35">
      <c r="A6213">
        <v>1025292</v>
      </c>
      <c r="B6213">
        <v>5951</v>
      </c>
      <c r="C6213">
        <v>1</v>
      </c>
      <c r="D6213" s="17" t="s">
        <v>10507</v>
      </c>
      <c r="E6213" s="17"/>
      <c r="F6213" s="17" t="s">
        <v>10780</v>
      </c>
      <c r="G6213" s="17"/>
      <c r="H6213" s="17" t="s">
        <v>12908</v>
      </c>
      <c r="I6213" s="17"/>
      <c r="J6213" s="17" t="s">
        <v>12909</v>
      </c>
      <c r="K6213" s="17"/>
      <c r="L6213" s="17" t="s">
        <v>40593</v>
      </c>
      <c r="M6213" s="17"/>
      <c r="N6213" s="17" t="s">
        <v>40594</v>
      </c>
      <c r="O6213" s="17"/>
      <c r="P6213" s="17" t="s">
        <v>40613</v>
      </c>
      <c r="Q6213" s="17"/>
      <c r="R6213" s="25" t="str">
        <f>HYPERLINK("https://ictv.global/taxonomy/taxondetails?taxnode_id=202318718","Audaxivirus yotargis")</f>
        <v>Audaxivirus yotargis</v>
      </c>
      <c r="S6213" s="18" t="s">
        <v>30</v>
      </c>
      <c r="T6213" s="18" t="s">
        <v>40621</v>
      </c>
      <c r="U6213" s="18"/>
      <c r="V6213" s="18" t="s">
        <v>40622</v>
      </c>
      <c r="W6213" s="18" t="s">
        <v>40623</v>
      </c>
      <c r="X6213" s="18" t="s">
        <v>42</v>
      </c>
      <c r="Y6213" s="18" t="s">
        <v>12266</v>
      </c>
      <c r="Z6213" s="18" t="s">
        <v>166</v>
      </c>
      <c r="AA6213" s="21" t="str">
        <f>HYPERLINK("https://www.ncbi.nlm.nih.gov/nuccore/KY302869","NCBI Nucleotide")</f>
        <v>NCBI Nucleotide</v>
      </c>
    </row>
    <row r="6214" spans="1:27" x14ac:dyDescent="0.35">
      <c r="A6214">
        <v>1025282</v>
      </c>
      <c r="B6214">
        <v>5952</v>
      </c>
      <c r="C6214">
        <v>1</v>
      </c>
      <c r="D6214" s="17" t="s">
        <v>10507</v>
      </c>
      <c r="E6214" s="17"/>
      <c r="F6214" s="17" t="s">
        <v>10780</v>
      </c>
      <c r="G6214" s="17"/>
      <c r="H6214" s="17" t="s">
        <v>12908</v>
      </c>
      <c r="I6214" s="17"/>
      <c r="J6214" s="17" t="s">
        <v>12909</v>
      </c>
      <c r="K6214" s="17"/>
      <c r="L6214" s="17" t="s">
        <v>40593</v>
      </c>
      <c r="M6214" s="17"/>
      <c r="N6214" s="17" t="s">
        <v>40594</v>
      </c>
      <c r="O6214" s="17"/>
      <c r="P6214" s="17" t="s">
        <v>40624</v>
      </c>
      <c r="Q6214" s="17"/>
      <c r="R6214" s="25" t="str">
        <f>HYPERLINK("https://ictv.global/taxonomy/taxondetails?taxnode_id=202318719","Bellicusivirus grunawis")</f>
        <v>Bellicusivirus grunawis</v>
      </c>
      <c r="S6214" s="18" t="s">
        <v>30</v>
      </c>
      <c r="T6214" s="18" t="s">
        <v>40625</v>
      </c>
      <c r="U6214" s="18"/>
      <c r="V6214" s="18" t="s">
        <v>40626</v>
      </c>
      <c r="W6214" s="18" t="s">
        <v>40627</v>
      </c>
      <c r="X6214" s="18" t="s">
        <v>42</v>
      </c>
      <c r="Y6214" s="18" t="s">
        <v>12266</v>
      </c>
      <c r="Z6214" s="18" t="s">
        <v>166</v>
      </c>
      <c r="AA6214" s="21" t="str">
        <f>HYPERLINK("https://www.ncbi.nlm.nih.gov/nuccore/MN928938","NCBI Nucleotide")</f>
        <v>NCBI Nucleotide</v>
      </c>
    </row>
    <row r="6215" spans="1:27" x14ac:dyDescent="0.35">
      <c r="A6215">
        <v>1025283</v>
      </c>
      <c r="B6215">
        <v>5953</v>
      </c>
      <c r="C6215">
        <v>1</v>
      </c>
      <c r="D6215" s="17" t="s">
        <v>10507</v>
      </c>
      <c r="E6215" s="17"/>
      <c r="F6215" s="17" t="s">
        <v>10780</v>
      </c>
      <c r="G6215" s="17"/>
      <c r="H6215" s="17" t="s">
        <v>12908</v>
      </c>
      <c r="I6215" s="17"/>
      <c r="J6215" s="17" t="s">
        <v>12909</v>
      </c>
      <c r="K6215" s="17"/>
      <c r="L6215" s="17" t="s">
        <v>40593</v>
      </c>
      <c r="M6215" s="17"/>
      <c r="N6215" s="17" t="s">
        <v>40594</v>
      </c>
      <c r="O6215" s="17"/>
      <c r="P6215" s="17" t="s">
        <v>40628</v>
      </c>
      <c r="Q6215" s="17"/>
      <c r="R6215" s="25" t="str">
        <f>HYPERLINK("https://ictv.global/taxonomy/taxondetails?taxnode_id=202318720","Belligerivirus frelianis")</f>
        <v>Belligerivirus frelianis</v>
      </c>
      <c r="S6215" s="18" t="s">
        <v>30</v>
      </c>
      <c r="T6215" s="18" t="s">
        <v>40629</v>
      </c>
      <c r="U6215" s="18"/>
      <c r="V6215" s="18" t="s">
        <v>40630</v>
      </c>
      <c r="W6215" s="18" t="s">
        <v>40631</v>
      </c>
      <c r="X6215" s="18" t="s">
        <v>42</v>
      </c>
      <c r="Y6215" s="18" t="s">
        <v>12266</v>
      </c>
      <c r="Z6215" s="18" t="s">
        <v>26655</v>
      </c>
      <c r="AA6215" s="21" t="str">
        <f>HYPERLINK("https://www.ncbi.nlm.nih.gov/nuccore/KT149403","NCBI Nucleotide")</f>
        <v>NCBI Nucleotide</v>
      </c>
    </row>
    <row r="6216" spans="1:27" x14ac:dyDescent="0.35">
      <c r="A6216">
        <v>1025340</v>
      </c>
      <c r="B6216">
        <v>5954</v>
      </c>
      <c r="C6216">
        <v>1</v>
      </c>
      <c r="D6216" s="17" t="s">
        <v>10507</v>
      </c>
      <c r="E6216" s="17"/>
      <c r="F6216" s="17" t="s">
        <v>10780</v>
      </c>
      <c r="G6216" s="17"/>
      <c r="H6216" s="17" t="s">
        <v>12908</v>
      </c>
      <c r="I6216" s="17"/>
      <c r="J6216" s="17" t="s">
        <v>12909</v>
      </c>
      <c r="K6216" s="17"/>
      <c r="L6216" s="17" t="s">
        <v>40593</v>
      </c>
      <c r="M6216" s="17"/>
      <c r="N6216" s="17" t="s">
        <v>40594</v>
      </c>
      <c r="O6216" s="17"/>
      <c r="P6216" s="17" t="s">
        <v>40632</v>
      </c>
      <c r="Q6216" s="17"/>
      <c r="R6216" s="25" t="str">
        <f>HYPERLINK("https://ictv.global/taxonomy/taxondetails?taxnode_id=202318721","Citaivirus phonalis")</f>
        <v>Citaivirus phonalis</v>
      </c>
      <c r="S6216" s="18" t="s">
        <v>30</v>
      </c>
      <c r="T6216" s="18" t="s">
        <v>40633</v>
      </c>
      <c r="U6216" s="18"/>
      <c r="V6216" s="18" t="s">
        <v>40634</v>
      </c>
      <c r="W6216" s="18" t="s">
        <v>40635</v>
      </c>
      <c r="X6216" s="18" t="s">
        <v>42</v>
      </c>
      <c r="Y6216" s="18" t="s">
        <v>12266</v>
      </c>
      <c r="Z6216" s="18" t="s">
        <v>166</v>
      </c>
      <c r="AA6216" s="21" t="str">
        <f>HYPERLINK("https://www.ncbi.nlm.nih.gov/nuccore/MT138056","NCBI Nucleotide")</f>
        <v>NCBI Nucleotide</v>
      </c>
    </row>
    <row r="6217" spans="1:27" x14ac:dyDescent="0.35">
      <c r="A6217">
        <v>1025341</v>
      </c>
      <c r="B6217">
        <v>5955</v>
      </c>
      <c r="C6217">
        <v>1</v>
      </c>
      <c r="D6217" s="17" t="s">
        <v>10507</v>
      </c>
      <c r="E6217" s="17"/>
      <c r="F6217" s="17" t="s">
        <v>10780</v>
      </c>
      <c r="G6217" s="17"/>
      <c r="H6217" s="17" t="s">
        <v>12908</v>
      </c>
      <c r="I6217" s="17"/>
      <c r="J6217" s="17" t="s">
        <v>12909</v>
      </c>
      <c r="K6217" s="17"/>
      <c r="L6217" s="17" t="s">
        <v>40593</v>
      </c>
      <c r="M6217" s="17"/>
      <c r="N6217" s="17" t="s">
        <v>40594</v>
      </c>
      <c r="O6217" s="17"/>
      <c r="P6217" s="17" t="s">
        <v>40636</v>
      </c>
      <c r="Q6217" s="17"/>
      <c r="R6217" s="25" t="str">
        <f>HYPERLINK("https://ictv.global/taxonomy/taxondetails?taxnode_id=202318722","Citataivirus sanlemaris")</f>
        <v>Citataivirus sanlemaris</v>
      </c>
      <c r="S6217" s="18" t="s">
        <v>30</v>
      </c>
      <c r="T6217" s="18" t="s">
        <v>50427</v>
      </c>
      <c r="U6217" s="18"/>
      <c r="V6217" s="18" t="s">
        <v>40637</v>
      </c>
      <c r="W6217" s="18" t="s">
        <v>40638</v>
      </c>
      <c r="X6217" s="18" t="s">
        <v>42</v>
      </c>
      <c r="Y6217" s="18" t="s">
        <v>12266</v>
      </c>
      <c r="Z6217" s="18" t="s">
        <v>12916</v>
      </c>
      <c r="AA6217" s="21" t="str">
        <f>HYPERLINK("https://www.ncbi.nlm.nih.gov/nuccore/JX904407","NCBI Nucleotide")</f>
        <v>NCBI Nucleotide</v>
      </c>
    </row>
    <row r="6218" spans="1:27" x14ac:dyDescent="0.35">
      <c r="A6218">
        <v>1025342</v>
      </c>
      <c r="B6218">
        <v>5956</v>
      </c>
      <c r="C6218">
        <v>1</v>
      </c>
      <c r="D6218" s="17" t="s">
        <v>10507</v>
      </c>
      <c r="E6218" s="17"/>
      <c r="F6218" s="17" t="s">
        <v>10780</v>
      </c>
      <c r="G6218" s="17"/>
      <c r="H6218" s="17" t="s">
        <v>12908</v>
      </c>
      <c r="I6218" s="17"/>
      <c r="J6218" s="17" t="s">
        <v>12909</v>
      </c>
      <c r="K6218" s="17"/>
      <c r="L6218" s="17" t="s">
        <v>40593</v>
      </c>
      <c r="M6218" s="17"/>
      <c r="N6218" s="17" t="s">
        <v>40594</v>
      </c>
      <c r="O6218" s="17"/>
      <c r="P6218" s="17" t="s">
        <v>40636</v>
      </c>
      <c r="Q6218" s="17"/>
      <c r="R6218" s="25" t="str">
        <f>HYPERLINK("https://ictv.global/taxonomy/taxondetails?taxnode_id=202318723","Citataivirus uhadis")</f>
        <v>Citataivirus uhadis</v>
      </c>
      <c r="S6218" s="18" t="s">
        <v>30</v>
      </c>
      <c r="T6218" s="18" t="s">
        <v>40639</v>
      </c>
      <c r="U6218" s="18"/>
      <c r="V6218" s="18" t="s">
        <v>40640</v>
      </c>
      <c r="W6218" s="18" t="s">
        <v>40641</v>
      </c>
      <c r="X6218" s="18" t="s">
        <v>42</v>
      </c>
      <c r="Y6218" s="18" t="s">
        <v>12266</v>
      </c>
      <c r="Z6218" s="18" t="s">
        <v>166</v>
      </c>
      <c r="AA6218" s="21" t="str">
        <f>HYPERLINK("https://www.ncbi.nlm.nih.gov/nuccore/MH617523","NCBI Nucleotide")</f>
        <v>NCBI Nucleotide</v>
      </c>
    </row>
    <row r="6219" spans="1:27" x14ac:dyDescent="0.35">
      <c r="A6219">
        <v>1025343</v>
      </c>
      <c r="B6219">
        <v>5957</v>
      </c>
      <c r="C6219">
        <v>1</v>
      </c>
      <c r="D6219" s="17" t="s">
        <v>10507</v>
      </c>
      <c r="E6219" s="17"/>
      <c r="F6219" s="17" t="s">
        <v>10780</v>
      </c>
      <c r="G6219" s="17"/>
      <c r="H6219" s="17" t="s">
        <v>12908</v>
      </c>
      <c r="I6219" s="17"/>
      <c r="J6219" s="17" t="s">
        <v>12909</v>
      </c>
      <c r="K6219" s="17"/>
      <c r="L6219" s="17" t="s">
        <v>40593</v>
      </c>
      <c r="M6219" s="17"/>
      <c r="N6219" s="17" t="s">
        <v>40594</v>
      </c>
      <c r="O6219" s="17"/>
      <c r="P6219" s="17" t="s">
        <v>40642</v>
      </c>
      <c r="Q6219" s="17"/>
      <c r="R6219" s="25" t="str">
        <f>HYPERLINK("https://ictv.global/taxonomy/taxondetails?taxnode_id=202318724","Citiorivirus crordgris")</f>
        <v>Citiorivirus crordgris</v>
      </c>
      <c r="S6219" s="18" t="s">
        <v>30</v>
      </c>
      <c r="T6219" s="18" t="s">
        <v>40643</v>
      </c>
      <c r="U6219" s="18"/>
      <c r="V6219" s="18" t="s">
        <v>40644</v>
      </c>
      <c r="W6219" s="18" t="s">
        <v>40645</v>
      </c>
      <c r="X6219" s="18" t="s">
        <v>42</v>
      </c>
      <c r="Y6219" s="18" t="s">
        <v>12266</v>
      </c>
      <c r="Z6219" s="18" t="s">
        <v>10790</v>
      </c>
      <c r="AA6219" s="21" t="str">
        <f>HYPERLINK("https://www.ncbi.nlm.nih.gov/nuccore/KF738883","NCBI Nucleotide")</f>
        <v>NCBI Nucleotide</v>
      </c>
    </row>
    <row r="6220" spans="1:27" x14ac:dyDescent="0.35">
      <c r="A6220">
        <v>1025385</v>
      </c>
      <c r="B6220">
        <v>5958</v>
      </c>
      <c r="C6220">
        <v>1</v>
      </c>
      <c r="D6220" s="17" t="s">
        <v>10507</v>
      </c>
      <c r="E6220" s="17"/>
      <c r="F6220" s="17" t="s">
        <v>10780</v>
      </c>
      <c r="G6220" s="17"/>
      <c r="H6220" s="17" t="s">
        <v>12908</v>
      </c>
      <c r="I6220" s="17"/>
      <c r="J6220" s="17" t="s">
        <v>12909</v>
      </c>
      <c r="K6220" s="17"/>
      <c r="L6220" s="17" t="s">
        <v>40593</v>
      </c>
      <c r="M6220" s="17"/>
      <c r="N6220" s="17" t="s">
        <v>40594</v>
      </c>
      <c r="O6220" s="17"/>
      <c r="P6220" s="17" t="s">
        <v>40646</v>
      </c>
      <c r="Q6220" s="17"/>
      <c r="R6220" s="25" t="str">
        <f>HYPERLINK("https://ictv.global/taxonomy/taxondetails?taxnode_id=202318725","Durusivirus erthyycolis")</f>
        <v>Durusivirus erthyycolis</v>
      </c>
      <c r="S6220" s="18" t="s">
        <v>30</v>
      </c>
      <c r="T6220" s="18" t="s">
        <v>40647</v>
      </c>
      <c r="U6220" s="18"/>
      <c r="V6220" s="18" t="s">
        <v>40648</v>
      </c>
      <c r="W6220" s="18" t="s">
        <v>40649</v>
      </c>
      <c r="X6220" s="18" t="s">
        <v>42</v>
      </c>
      <c r="Y6220" s="18" t="s">
        <v>12266</v>
      </c>
      <c r="Z6220" s="18" t="s">
        <v>10790</v>
      </c>
      <c r="AA6220" s="21" t="str">
        <f>HYPERLINK("https://www.ncbi.nlm.nih.gov/nuccore/KM598406","NCBI Nucleotide")</f>
        <v>NCBI Nucleotide</v>
      </c>
    </row>
    <row r="6221" spans="1:27" x14ac:dyDescent="0.35">
      <c r="A6221">
        <v>1025372</v>
      </c>
      <c r="B6221">
        <v>5959</v>
      </c>
      <c r="C6221">
        <v>1</v>
      </c>
      <c r="D6221" s="17" t="s">
        <v>10507</v>
      </c>
      <c r="E6221" s="17"/>
      <c r="F6221" s="17" t="s">
        <v>10780</v>
      </c>
      <c r="G6221" s="17"/>
      <c r="H6221" s="17" t="s">
        <v>12908</v>
      </c>
      <c r="I6221" s="17"/>
      <c r="J6221" s="17" t="s">
        <v>12909</v>
      </c>
      <c r="K6221" s="17"/>
      <c r="L6221" s="17" t="s">
        <v>40593</v>
      </c>
      <c r="M6221" s="17"/>
      <c r="N6221" s="17" t="s">
        <v>40594</v>
      </c>
      <c r="O6221" s="17"/>
      <c r="P6221" s="17" t="s">
        <v>40650</v>
      </c>
      <c r="Q6221" s="17"/>
      <c r="R6221" s="25" t="str">
        <f>HYPERLINK("https://ictv.global/taxonomy/taxondetails?taxnode_id=202318726","Ferullusivirus baguanis")</f>
        <v>Ferullusivirus baguanis</v>
      </c>
      <c r="S6221" s="18" t="s">
        <v>30</v>
      </c>
      <c r="T6221" s="18" t="s">
        <v>40651</v>
      </c>
      <c r="U6221" s="18"/>
      <c r="V6221" s="18" t="s">
        <v>40652</v>
      </c>
      <c r="W6221" s="18" t="s">
        <v>40653</v>
      </c>
      <c r="X6221" s="18" t="s">
        <v>42</v>
      </c>
      <c r="Y6221" s="18" t="s">
        <v>12266</v>
      </c>
      <c r="Z6221" s="18" t="s">
        <v>166</v>
      </c>
      <c r="AA6221" s="21" t="str">
        <f>HYPERLINK("https://www.ncbi.nlm.nih.gov/nuccore/HM228875","NCBI Nucleotide")</f>
        <v>NCBI Nucleotide</v>
      </c>
    </row>
    <row r="6222" spans="1:27" x14ac:dyDescent="0.35">
      <c r="A6222">
        <v>1025373</v>
      </c>
      <c r="B6222">
        <v>5960</v>
      </c>
      <c r="C6222">
        <v>1</v>
      </c>
      <c r="D6222" s="17" t="s">
        <v>10507</v>
      </c>
      <c r="E6222" s="17"/>
      <c r="F6222" s="17" t="s">
        <v>10780</v>
      </c>
      <c r="G6222" s="17"/>
      <c r="H6222" s="17" t="s">
        <v>12908</v>
      </c>
      <c r="I6222" s="17"/>
      <c r="J6222" s="17" t="s">
        <v>12909</v>
      </c>
      <c r="K6222" s="17"/>
      <c r="L6222" s="17" t="s">
        <v>40593</v>
      </c>
      <c r="M6222" s="17"/>
      <c r="N6222" s="17" t="s">
        <v>40594</v>
      </c>
      <c r="O6222" s="17"/>
      <c r="P6222" s="17" t="s">
        <v>40650</v>
      </c>
      <c r="Q6222" s="17"/>
      <c r="R6222" s="25" t="str">
        <f>HYPERLINK("https://ictv.global/taxonomy/taxondetails?taxnode_id=202318727","Ferullusivirus cylocis")</f>
        <v>Ferullusivirus cylocis</v>
      </c>
      <c r="S6222" s="18" t="s">
        <v>30</v>
      </c>
      <c r="T6222" s="18" t="s">
        <v>50428</v>
      </c>
      <c r="U6222" s="18"/>
      <c r="V6222" s="18" t="s">
        <v>40431</v>
      </c>
      <c r="W6222" s="18" t="s">
        <v>40654</v>
      </c>
      <c r="X6222" s="18" t="s">
        <v>42</v>
      </c>
      <c r="Y6222" s="18" t="s">
        <v>12266</v>
      </c>
      <c r="Z6222" s="18" t="s">
        <v>166</v>
      </c>
      <c r="AA6222" s="21" t="str">
        <f>HYPERLINK("https://www.ncbi.nlm.nih.gov/nuccore/MW588080","NCBI Nucleotide")</f>
        <v>NCBI Nucleotide</v>
      </c>
    </row>
    <row r="6223" spans="1:27" x14ac:dyDescent="0.35">
      <c r="A6223">
        <v>1025374</v>
      </c>
      <c r="B6223">
        <v>5961</v>
      </c>
      <c r="C6223">
        <v>1</v>
      </c>
      <c r="D6223" s="17" t="s">
        <v>10507</v>
      </c>
      <c r="E6223" s="17"/>
      <c r="F6223" s="17" t="s">
        <v>10780</v>
      </c>
      <c r="G6223" s="17"/>
      <c r="H6223" s="17" t="s">
        <v>12908</v>
      </c>
      <c r="I6223" s="17"/>
      <c r="J6223" s="17" t="s">
        <v>12909</v>
      </c>
      <c r="K6223" s="17"/>
      <c r="L6223" s="17" t="s">
        <v>40593</v>
      </c>
      <c r="M6223" s="17"/>
      <c r="N6223" s="17" t="s">
        <v>40594</v>
      </c>
      <c r="O6223" s="17"/>
      <c r="P6223" s="17" t="s">
        <v>40650</v>
      </c>
      <c r="Q6223" s="17"/>
      <c r="R6223" s="25" t="str">
        <f>HYPERLINK("https://ictv.global/taxonomy/taxondetails?taxnode_id=202318728","Ferullusivirus minfulis")</f>
        <v>Ferullusivirus minfulis</v>
      </c>
      <c r="S6223" s="18" t="s">
        <v>30</v>
      </c>
      <c r="T6223" s="18" t="s">
        <v>50429</v>
      </c>
      <c r="U6223" s="18"/>
      <c r="V6223" s="18" t="s">
        <v>40655</v>
      </c>
      <c r="W6223" s="18" t="s">
        <v>40656</v>
      </c>
      <c r="X6223" s="18" t="s">
        <v>42</v>
      </c>
      <c r="Y6223" s="18" t="s">
        <v>12266</v>
      </c>
      <c r="Z6223" s="18" t="s">
        <v>166</v>
      </c>
      <c r="AA6223" s="21" t="str">
        <f>HYPERLINK("https://www.ncbi.nlm.nih.gov/nuccore/KJ641722","NCBI Nucleotide")</f>
        <v>NCBI Nucleotide</v>
      </c>
    </row>
    <row r="6224" spans="1:27" x14ac:dyDescent="0.35">
      <c r="A6224">
        <v>1025375</v>
      </c>
      <c r="B6224">
        <v>5962</v>
      </c>
      <c r="C6224">
        <v>1</v>
      </c>
      <c r="D6224" s="17" t="s">
        <v>10507</v>
      </c>
      <c r="E6224" s="17"/>
      <c r="F6224" s="17" t="s">
        <v>10780</v>
      </c>
      <c r="G6224" s="17"/>
      <c r="H6224" s="17" t="s">
        <v>12908</v>
      </c>
      <c r="I6224" s="17"/>
      <c r="J6224" s="17" t="s">
        <v>12909</v>
      </c>
      <c r="K6224" s="17"/>
      <c r="L6224" s="17" t="s">
        <v>40593</v>
      </c>
      <c r="M6224" s="17"/>
      <c r="N6224" s="17" t="s">
        <v>40594</v>
      </c>
      <c r="O6224" s="17"/>
      <c r="P6224" s="17" t="s">
        <v>40657</v>
      </c>
      <c r="Q6224" s="17"/>
      <c r="R6224" s="25" t="str">
        <f>HYPERLINK("https://ictv.global/taxonomy/taxondetails?taxnode_id=202318729","Fervidivirus umantense")</f>
        <v>Fervidivirus umantense</v>
      </c>
      <c r="S6224" s="18" t="s">
        <v>30</v>
      </c>
      <c r="T6224" s="18" t="s">
        <v>40658</v>
      </c>
      <c r="U6224" s="18"/>
      <c r="V6224" s="18" t="s">
        <v>40659</v>
      </c>
      <c r="W6224" s="18" t="s">
        <v>40660</v>
      </c>
      <c r="X6224" s="18" t="s">
        <v>42</v>
      </c>
      <c r="Y6224" s="18" t="s">
        <v>12266</v>
      </c>
      <c r="Z6224" s="18" t="s">
        <v>26655</v>
      </c>
      <c r="AA6224" s="21" t="str">
        <f>HYPERLINK("https://www.ncbi.nlm.nih.gov/nuccore/MW202677","NCBI Nucleotide")</f>
        <v>NCBI Nucleotide</v>
      </c>
    </row>
    <row r="6225" spans="1:27" x14ac:dyDescent="0.35">
      <c r="A6225">
        <v>1025367</v>
      </c>
      <c r="B6225">
        <v>5963</v>
      </c>
      <c r="C6225">
        <v>1</v>
      </c>
      <c r="D6225" s="17" t="s">
        <v>10507</v>
      </c>
      <c r="E6225" s="17"/>
      <c r="F6225" s="17" t="s">
        <v>10780</v>
      </c>
      <c r="G6225" s="17"/>
      <c r="H6225" s="17" t="s">
        <v>12908</v>
      </c>
      <c r="I6225" s="17"/>
      <c r="J6225" s="17" t="s">
        <v>12909</v>
      </c>
      <c r="K6225" s="17"/>
      <c r="L6225" s="17" t="s">
        <v>40593</v>
      </c>
      <c r="M6225" s="17"/>
      <c r="N6225" s="17" t="s">
        <v>40594</v>
      </c>
      <c r="O6225" s="17"/>
      <c r="P6225" s="17" t="s">
        <v>40661</v>
      </c>
      <c r="Q6225" s="17"/>
      <c r="R6225" s="25" t="str">
        <f>HYPERLINK("https://ictv.global/taxonomy/taxondetails?taxnode_id=202318730","Funestivirus anlentse")</f>
        <v>Funestivirus anlentse</v>
      </c>
      <c r="S6225" s="18" t="s">
        <v>30</v>
      </c>
      <c r="T6225" s="18" t="s">
        <v>50430</v>
      </c>
      <c r="U6225" s="18"/>
      <c r="V6225" s="18" t="s">
        <v>40662</v>
      </c>
      <c r="W6225" s="18" t="s">
        <v>40663</v>
      </c>
      <c r="X6225" s="18" t="s">
        <v>42</v>
      </c>
      <c r="Y6225" s="18" t="s">
        <v>12266</v>
      </c>
      <c r="Z6225" s="18" t="s">
        <v>12916</v>
      </c>
      <c r="AA6225" s="21" t="str">
        <f>HYPERLINK("https://www.ncbi.nlm.nih.gov/nuccore/JX904581","NCBI Nucleotide")</f>
        <v>NCBI Nucleotide</v>
      </c>
    </row>
    <row r="6226" spans="1:27" x14ac:dyDescent="0.35">
      <c r="A6226">
        <v>1025368</v>
      </c>
      <c r="B6226">
        <v>5964</v>
      </c>
      <c r="C6226">
        <v>1</v>
      </c>
      <c r="D6226" s="17" t="s">
        <v>10507</v>
      </c>
      <c r="E6226" s="17"/>
      <c r="F6226" s="17" t="s">
        <v>10780</v>
      </c>
      <c r="G6226" s="17"/>
      <c r="H6226" s="17" t="s">
        <v>12908</v>
      </c>
      <c r="I6226" s="17"/>
      <c r="J6226" s="17" t="s">
        <v>12909</v>
      </c>
      <c r="K6226" s="17"/>
      <c r="L6226" s="17" t="s">
        <v>40593</v>
      </c>
      <c r="M6226" s="17"/>
      <c r="N6226" s="17" t="s">
        <v>40594</v>
      </c>
      <c r="O6226" s="17"/>
      <c r="P6226" s="17" t="s">
        <v>40661</v>
      </c>
      <c r="Q6226" s="17"/>
      <c r="R6226" s="25" t="str">
        <f>HYPERLINK("https://ictv.global/taxonomy/taxondetails?taxnode_id=202318731","Funestivirus seabatis")</f>
        <v>Funestivirus seabatis</v>
      </c>
      <c r="S6226" s="18" t="s">
        <v>30</v>
      </c>
      <c r="T6226" s="18" t="s">
        <v>40664</v>
      </c>
      <c r="U6226" s="18"/>
      <c r="V6226" s="18" t="s">
        <v>40665</v>
      </c>
      <c r="W6226" s="18" t="s">
        <v>40666</v>
      </c>
      <c r="X6226" s="18" t="s">
        <v>42</v>
      </c>
      <c r="Y6226" s="18" t="s">
        <v>12266</v>
      </c>
      <c r="Z6226" s="18" t="s">
        <v>166</v>
      </c>
      <c r="AA6226" s="21" t="str">
        <f>HYPERLINK("https://www.ncbi.nlm.nih.gov/nuccore/MH649188","NCBI Nucleotide")</f>
        <v>NCBI Nucleotide</v>
      </c>
    </row>
    <row r="6227" spans="1:27" x14ac:dyDescent="0.35">
      <c r="A6227">
        <v>1025557</v>
      </c>
      <c r="B6227">
        <v>5965</v>
      </c>
      <c r="C6227">
        <v>1</v>
      </c>
      <c r="D6227" s="17" t="s">
        <v>10507</v>
      </c>
      <c r="E6227" s="17"/>
      <c r="F6227" s="17" t="s">
        <v>10780</v>
      </c>
      <c r="G6227" s="17"/>
      <c r="H6227" s="17" t="s">
        <v>12908</v>
      </c>
      <c r="I6227" s="17"/>
      <c r="J6227" s="17" t="s">
        <v>12909</v>
      </c>
      <c r="K6227" s="17"/>
      <c r="L6227" s="17" t="s">
        <v>40593</v>
      </c>
      <c r="M6227" s="17"/>
      <c r="N6227" s="17" t="s">
        <v>40594</v>
      </c>
      <c r="O6227" s="17"/>
      <c r="P6227" s="17" t="s">
        <v>40667</v>
      </c>
      <c r="Q6227" s="17"/>
      <c r="R6227" s="25" t="str">
        <f>HYPERLINK("https://ictv.global/taxonomy/taxondetails?taxnode_id=202318732","Incitativirus reperis")</f>
        <v>Incitativirus reperis</v>
      </c>
      <c r="S6227" s="18" t="s">
        <v>30</v>
      </c>
      <c r="T6227" s="18" t="s">
        <v>40668</v>
      </c>
      <c r="U6227" s="18"/>
      <c r="V6227" s="18" t="s">
        <v>40669</v>
      </c>
      <c r="W6227" s="18" t="s">
        <v>40670</v>
      </c>
      <c r="X6227" s="18" t="s">
        <v>42</v>
      </c>
      <c r="Y6227" s="18" t="s">
        <v>12266</v>
      </c>
      <c r="Z6227" s="18" t="s">
        <v>166</v>
      </c>
      <c r="AA6227" s="21" t="str">
        <f>HYPERLINK("https://www.ncbi.nlm.nih.gov/nuccore/MH616869","NCBI Nucleotide")</f>
        <v>NCBI Nucleotide</v>
      </c>
    </row>
    <row r="6228" spans="1:27" x14ac:dyDescent="0.35">
      <c r="A6228">
        <v>1025558</v>
      </c>
      <c r="B6228">
        <v>5966</v>
      </c>
      <c r="C6228">
        <v>1</v>
      </c>
      <c r="D6228" s="17" t="s">
        <v>10507</v>
      </c>
      <c r="E6228" s="17"/>
      <c r="F6228" s="17" t="s">
        <v>10780</v>
      </c>
      <c r="G6228" s="17"/>
      <c r="H6228" s="17" t="s">
        <v>12908</v>
      </c>
      <c r="I6228" s="17"/>
      <c r="J6228" s="17" t="s">
        <v>12909</v>
      </c>
      <c r="K6228" s="17"/>
      <c r="L6228" s="17" t="s">
        <v>40593</v>
      </c>
      <c r="M6228" s="17"/>
      <c r="N6228" s="17" t="s">
        <v>40594</v>
      </c>
      <c r="O6228" s="17"/>
      <c r="P6228" s="17" t="s">
        <v>40671</v>
      </c>
      <c r="Q6228" s="17"/>
      <c r="R6228" s="25" t="str">
        <f>HYPERLINK("https://ictv.global/taxonomy/taxondetails?taxnode_id=202318733","Incitatusivirus orancis")</f>
        <v>Incitatusivirus orancis</v>
      </c>
      <c r="S6228" s="18" t="s">
        <v>30</v>
      </c>
      <c r="T6228" s="18" t="s">
        <v>40672</v>
      </c>
      <c r="U6228" s="18"/>
      <c r="V6228" s="18" t="s">
        <v>40673</v>
      </c>
      <c r="W6228" s="18" t="s">
        <v>40674</v>
      </c>
      <c r="X6228" s="18" t="s">
        <v>42</v>
      </c>
      <c r="Y6228" s="18" t="s">
        <v>12266</v>
      </c>
      <c r="Z6228" s="18" t="s">
        <v>26655</v>
      </c>
      <c r="AA6228" s="21" t="str">
        <f>HYPERLINK("https://www.ncbi.nlm.nih.gov/nuccore/MT478515","NCBI Nucleotide")</f>
        <v>NCBI Nucleotide</v>
      </c>
    </row>
    <row r="6229" spans="1:27" x14ac:dyDescent="0.35">
      <c r="A6229">
        <v>1025581</v>
      </c>
      <c r="B6229">
        <v>5967</v>
      </c>
      <c r="C6229">
        <v>1</v>
      </c>
      <c r="D6229" s="17" t="s">
        <v>10507</v>
      </c>
      <c r="E6229" s="17"/>
      <c r="F6229" s="17" t="s">
        <v>10780</v>
      </c>
      <c r="G6229" s="17"/>
      <c r="H6229" s="17" t="s">
        <v>12908</v>
      </c>
      <c r="I6229" s="17"/>
      <c r="J6229" s="17" t="s">
        <v>12909</v>
      </c>
      <c r="K6229" s="17"/>
      <c r="L6229" s="17" t="s">
        <v>40593</v>
      </c>
      <c r="M6229" s="17"/>
      <c r="N6229" s="17" t="s">
        <v>40594</v>
      </c>
      <c r="O6229" s="17"/>
      <c r="P6229" s="17" t="s">
        <v>40675</v>
      </c>
      <c r="Q6229" s="17"/>
      <c r="R6229" s="25" t="str">
        <f>HYPERLINK("https://ictv.global/taxonomy/taxondetails?taxnode_id=202318734","Malificivirus porcris")</f>
        <v>Malificivirus porcris</v>
      </c>
      <c r="S6229" s="18" t="s">
        <v>30</v>
      </c>
      <c r="T6229" s="18" t="s">
        <v>40676</v>
      </c>
      <c r="U6229" s="18"/>
      <c r="V6229" s="18" t="s">
        <v>40677</v>
      </c>
      <c r="W6229" s="18" t="s">
        <v>40678</v>
      </c>
      <c r="X6229" s="18" t="s">
        <v>42</v>
      </c>
      <c r="Y6229" s="18" t="s">
        <v>12266</v>
      </c>
      <c r="Z6229" s="18" t="s">
        <v>26655</v>
      </c>
      <c r="AA6229" s="21" t="str">
        <f>HYPERLINK("https://www.ncbi.nlm.nih.gov/nuccore/MT478521","NCBI Nucleotide")</f>
        <v>NCBI Nucleotide</v>
      </c>
    </row>
    <row r="6230" spans="1:27" x14ac:dyDescent="0.35">
      <c r="A6230">
        <v>1025572</v>
      </c>
      <c r="B6230">
        <v>5968</v>
      </c>
      <c r="C6230">
        <v>1</v>
      </c>
      <c r="D6230" s="17" t="s">
        <v>10507</v>
      </c>
      <c r="E6230" s="17"/>
      <c r="F6230" s="17" t="s">
        <v>10780</v>
      </c>
      <c r="G6230" s="17"/>
      <c r="H6230" s="17" t="s">
        <v>12908</v>
      </c>
      <c r="I6230" s="17"/>
      <c r="J6230" s="17" t="s">
        <v>12909</v>
      </c>
      <c r="K6230" s="17"/>
      <c r="L6230" s="17" t="s">
        <v>40593</v>
      </c>
      <c r="M6230" s="17"/>
      <c r="N6230" s="17" t="s">
        <v>40594</v>
      </c>
      <c r="O6230" s="17"/>
      <c r="P6230" s="17" t="s">
        <v>40679</v>
      </c>
      <c r="Q6230" s="17"/>
      <c r="R6230" s="25" t="str">
        <f>HYPERLINK("https://ictv.global/taxonomy/taxondetails?taxnode_id=202318735","Mordaxivirus sitoranense")</f>
        <v>Mordaxivirus sitoranense</v>
      </c>
      <c r="S6230" s="18" t="s">
        <v>30</v>
      </c>
      <c r="T6230" s="18" t="s">
        <v>40680</v>
      </c>
      <c r="U6230" s="18"/>
      <c r="V6230" s="18" t="s">
        <v>40681</v>
      </c>
      <c r="W6230" s="18" t="s">
        <v>40682</v>
      </c>
      <c r="X6230" s="18" t="s">
        <v>42</v>
      </c>
      <c r="Y6230" s="18" t="s">
        <v>12266</v>
      </c>
      <c r="Z6230" s="18" t="s">
        <v>26655</v>
      </c>
      <c r="AA6230" s="21" t="str">
        <f>HYPERLINK("https://www.ncbi.nlm.nih.gov/nuccore/MW202764","NCBI Nucleotide")</f>
        <v>NCBI Nucleotide</v>
      </c>
    </row>
    <row r="6231" spans="1:27" x14ac:dyDescent="0.35">
      <c r="A6231">
        <v>1025518</v>
      </c>
      <c r="B6231">
        <v>5969</v>
      </c>
      <c r="C6231">
        <v>1</v>
      </c>
      <c r="D6231" s="17" t="s">
        <v>10507</v>
      </c>
      <c r="E6231" s="17"/>
      <c r="F6231" s="17" t="s">
        <v>10780</v>
      </c>
      <c r="G6231" s="17"/>
      <c r="H6231" s="17" t="s">
        <v>12908</v>
      </c>
      <c r="I6231" s="17"/>
      <c r="J6231" s="17" t="s">
        <v>12909</v>
      </c>
      <c r="K6231" s="17"/>
      <c r="L6231" s="17" t="s">
        <v>40593</v>
      </c>
      <c r="M6231" s="17"/>
      <c r="N6231" s="17" t="s">
        <v>40594</v>
      </c>
      <c r="O6231" s="17"/>
      <c r="P6231" s="17" t="s">
        <v>40683</v>
      </c>
      <c r="Q6231" s="17"/>
      <c r="R6231" s="25" t="str">
        <f>HYPERLINK("https://ictv.global/taxonomy/taxondetails?taxnode_id=202318736","Nervillivirus flovetense")</f>
        <v>Nervillivirus flovetense</v>
      </c>
      <c r="S6231" s="18" t="s">
        <v>30</v>
      </c>
      <c r="T6231" s="18" t="s">
        <v>50431</v>
      </c>
      <c r="U6231" s="18"/>
      <c r="V6231" s="18" t="s">
        <v>40684</v>
      </c>
      <c r="W6231" s="18" t="s">
        <v>40685</v>
      </c>
      <c r="X6231" s="18" t="s">
        <v>42</v>
      </c>
      <c r="Y6231" s="18" t="s">
        <v>12266</v>
      </c>
      <c r="Z6231" s="18" t="s">
        <v>16726</v>
      </c>
      <c r="AA6231" s="21" t="str">
        <f>HYPERLINK("https://www.ncbi.nlm.nih.gov/nuccore/KY487847","NCBI Nucleotide")</f>
        <v>NCBI Nucleotide</v>
      </c>
    </row>
    <row r="6232" spans="1:27" x14ac:dyDescent="0.35">
      <c r="A6232">
        <v>1025519</v>
      </c>
      <c r="B6232">
        <v>5970</v>
      </c>
      <c r="C6232">
        <v>1</v>
      </c>
      <c r="D6232" s="17" t="s">
        <v>10507</v>
      </c>
      <c r="E6232" s="17"/>
      <c r="F6232" s="17" t="s">
        <v>10780</v>
      </c>
      <c r="G6232" s="17"/>
      <c r="H6232" s="17" t="s">
        <v>12908</v>
      </c>
      <c r="I6232" s="17"/>
      <c r="J6232" s="17" t="s">
        <v>12909</v>
      </c>
      <c r="K6232" s="17"/>
      <c r="L6232" s="17" t="s">
        <v>40593</v>
      </c>
      <c r="M6232" s="17"/>
      <c r="N6232" s="17" t="s">
        <v>40594</v>
      </c>
      <c r="O6232" s="17"/>
      <c r="P6232" s="17" t="s">
        <v>40686</v>
      </c>
      <c r="Q6232" s="17"/>
      <c r="R6232" s="25" t="str">
        <f>HYPERLINK("https://ictv.global/taxonomy/taxondetails?taxnode_id=202318737","Nocentianivirus saidatense")</f>
        <v>Nocentianivirus saidatense</v>
      </c>
      <c r="S6232" s="18" t="s">
        <v>30</v>
      </c>
      <c r="T6232" s="18" t="s">
        <v>50432</v>
      </c>
      <c r="U6232" s="18"/>
      <c r="V6232" s="18" t="s">
        <v>40687</v>
      </c>
      <c r="W6232" s="18" t="s">
        <v>40688</v>
      </c>
      <c r="X6232" s="18" t="s">
        <v>42</v>
      </c>
      <c r="Y6232" s="18" t="s">
        <v>12266</v>
      </c>
      <c r="Z6232" s="18" t="s">
        <v>16726</v>
      </c>
      <c r="AA6232" s="21" t="str">
        <f>HYPERLINK("https://www.ncbi.nlm.nih.gov/nuccore/KY487945","NCBI Nucleotide")</f>
        <v>NCBI Nucleotide</v>
      </c>
    </row>
    <row r="6233" spans="1:27" x14ac:dyDescent="0.35">
      <c r="A6233">
        <v>1025533</v>
      </c>
      <c r="B6233">
        <v>5971</v>
      </c>
      <c r="C6233">
        <v>1</v>
      </c>
      <c r="D6233" s="17" t="s">
        <v>10507</v>
      </c>
      <c r="E6233" s="17"/>
      <c r="F6233" s="17" t="s">
        <v>10780</v>
      </c>
      <c r="G6233" s="17"/>
      <c r="H6233" s="17" t="s">
        <v>12908</v>
      </c>
      <c r="I6233" s="17"/>
      <c r="J6233" s="17" t="s">
        <v>12909</v>
      </c>
      <c r="K6233" s="17"/>
      <c r="L6233" s="17" t="s">
        <v>40593</v>
      </c>
      <c r="M6233" s="17"/>
      <c r="N6233" s="17" t="s">
        <v>40594</v>
      </c>
      <c r="O6233" s="17"/>
      <c r="P6233" s="17" t="s">
        <v>40689</v>
      </c>
      <c r="Q6233" s="17"/>
      <c r="R6233" s="25" t="str">
        <f>HYPERLINK("https://ictv.global/taxonomy/taxondetails?taxnode_id=202318738","Periculosovirus lancristus")</f>
        <v>Periculosovirus lancristus</v>
      </c>
      <c r="S6233" s="18" t="s">
        <v>30</v>
      </c>
      <c r="T6233" s="18" t="s">
        <v>40690</v>
      </c>
      <c r="U6233" s="18"/>
      <c r="V6233" s="18" t="s">
        <v>40691</v>
      </c>
      <c r="W6233" s="18" t="s">
        <v>40692</v>
      </c>
      <c r="X6233" s="18" t="s">
        <v>42</v>
      </c>
      <c r="Y6233" s="18" t="s">
        <v>12266</v>
      </c>
      <c r="Z6233" s="18" t="s">
        <v>166</v>
      </c>
      <c r="AA6233" s="21" t="str">
        <f>HYPERLINK("https://www.ncbi.nlm.nih.gov/nuccore/MT138071","NCBI Nucleotide")</f>
        <v>NCBI Nucleotide</v>
      </c>
    </row>
    <row r="6234" spans="1:27" x14ac:dyDescent="0.35">
      <c r="A6234">
        <v>1025534</v>
      </c>
      <c r="B6234">
        <v>5972</v>
      </c>
      <c r="C6234">
        <v>1</v>
      </c>
      <c r="D6234" s="17" t="s">
        <v>10507</v>
      </c>
      <c r="E6234" s="17"/>
      <c r="F6234" s="17" t="s">
        <v>10780</v>
      </c>
      <c r="G6234" s="17"/>
      <c r="H6234" s="17" t="s">
        <v>12908</v>
      </c>
      <c r="I6234" s="17"/>
      <c r="J6234" s="17" t="s">
        <v>12909</v>
      </c>
      <c r="K6234" s="17"/>
      <c r="L6234" s="17" t="s">
        <v>40593</v>
      </c>
      <c r="M6234" s="17"/>
      <c r="N6234" s="17" t="s">
        <v>40594</v>
      </c>
      <c r="O6234" s="17"/>
      <c r="P6234" s="17" t="s">
        <v>40689</v>
      </c>
      <c r="Q6234" s="17"/>
      <c r="R6234" s="25" t="str">
        <f>HYPERLINK("https://ictv.global/taxonomy/taxondetails?taxnode_id=202318739","Periculosovirus satuanis")</f>
        <v>Periculosovirus satuanis</v>
      </c>
      <c r="S6234" s="18" t="s">
        <v>30</v>
      </c>
      <c r="T6234" s="18" t="s">
        <v>50433</v>
      </c>
      <c r="U6234" s="18"/>
      <c r="V6234" s="18" t="s">
        <v>40693</v>
      </c>
      <c r="W6234" s="18" t="s">
        <v>40694</v>
      </c>
      <c r="X6234" s="18" t="s">
        <v>42</v>
      </c>
      <c r="Y6234" s="18" t="s">
        <v>12266</v>
      </c>
      <c r="Z6234" s="18" t="s">
        <v>166</v>
      </c>
      <c r="AA6234" s="21" t="str">
        <f>HYPERLINK("https://www.ncbi.nlm.nih.gov/nuccore/MT734813","NCBI Nucleotide")</f>
        <v>NCBI Nucleotide</v>
      </c>
    </row>
    <row r="6235" spans="1:27" x14ac:dyDescent="0.35">
      <c r="A6235">
        <v>1025492</v>
      </c>
      <c r="B6235">
        <v>5973</v>
      </c>
      <c r="C6235">
        <v>1</v>
      </c>
      <c r="D6235" s="17" t="s">
        <v>10507</v>
      </c>
      <c r="E6235" s="17"/>
      <c r="F6235" s="17" t="s">
        <v>10780</v>
      </c>
      <c r="G6235" s="17"/>
      <c r="H6235" s="17" t="s">
        <v>12908</v>
      </c>
      <c r="I6235" s="17"/>
      <c r="J6235" s="17" t="s">
        <v>12909</v>
      </c>
      <c r="K6235" s="17"/>
      <c r="L6235" s="17" t="s">
        <v>40593</v>
      </c>
      <c r="M6235" s="17"/>
      <c r="N6235" s="17" t="s">
        <v>40594</v>
      </c>
      <c r="O6235" s="17"/>
      <c r="P6235" s="17" t="s">
        <v>40695</v>
      </c>
      <c r="Q6235" s="17"/>
      <c r="R6235" s="25" t="str">
        <f>HYPERLINK("https://ictv.global/taxonomy/taxondetails?taxnode_id=202318740","Pollentivirus pleritis")</f>
        <v>Pollentivirus pleritis</v>
      </c>
      <c r="S6235" s="18" t="s">
        <v>30</v>
      </c>
      <c r="T6235" s="18" t="s">
        <v>50434</v>
      </c>
      <c r="U6235" s="18"/>
      <c r="V6235" s="18" t="s">
        <v>40696</v>
      </c>
      <c r="W6235" s="18" t="s">
        <v>40697</v>
      </c>
      <c r="X6235" s="18" t="s">
        <v>42</v>
      </c>
      <c r="Y6235" s="18" t="s">
        <v>12266</v>
      </c>
      <c r="Z6235" s="18" t="s">
        <v>166</v>
      </c>
      <c r="AA6235" s="21" t="str">
        <f>HYPERLINK("https://www.ncbi.nlm.nih.gov/nuccore/KJ641729","NCBI Nucleotide")</f>
        <v>NCBI Nucleotide</v>
      </c>
    </row>
    <row r="6236" spans="1:27" x14ac:dyDescent="0.35">
      <c r="A6236">
        <v>1025491</v>
      </c>
      <c r="B6236">
        <v>5974</v>
      </c>
      <c r="C6236">
        <v>1</v>
      </c>
      <c r="D6236" s="17" t="s">
        <v>10507</v>
      </c>
      <c r="E6236" s="17"/>
      <c r="F6236" s="17" t="s">
        <v>10780</v>
      </c>
      <c r="G6236" s="17"/>
      <c r="H6236" s="17" t="s">
        <v>12908</v>
      </c>
      <c r="I6236" s="17"/>
      <c r="J6236" s="17" t="s">
        <v>12909</v>
      </c>
      <c r="K6236" s="17"/>
      <c r="L6236" s="17" t="s">
        <v>40593</v>
      </c>
      <c r="M6236" s="17"/>
      <c r="N6236" s="17" t="s">
        <v>40594</v>
      </c>
      <c r="O6236" s="17"/>
      <c r="P6236" s="17" t="s">
        <v>40698</v>
      </c>
      <c r="Q6236" s="17"/>
      <c r="R6236" s="25" t="str">
        <f>HYPERLINK("https://ictv.global/taxonomy/taxondetails?taxnode_id=202318741","Potensivirus flowis")</f>
        <v>Potensivirus flowis</v>
      </c>
      <c r="S6236" s="18" t="s">
        <v>30</v>
      </c>
      <c r="T6236" s="18" t="s">
        <v>50435</v>
      </c>
      <c r="U6236" s="18"/>
      <c r="V6236" s="18" t="s">
        <v>40699</v>
      </c>
      <c r="W6236" s="18" t="s">
        <v>40700</v>
      </c>
      <c r="X6236" s="18" t="s">
        <v>42</v>
      </c>
      <c r="Y6236" s="18" t="s">
        <v>12266</v>
      </c>
      <c r="Z6236" s="18" t="s">
        <v>16726</v>
      </c>
      <c r="AA6236" s="21" t="str">
        <f>HYPERLINK("https://www.ncbi.nlm.nih.gov/nuccore/KY487854","NCBI Nucleotide")</f>
        <v>NCBI Nucleotide</v>
      </c>
    </row>
    <row r="6237" spans="1:27" x14ac:dyDescent="0.35">
      <c r="A6237">
        <v>1025489</v>
      </c>
      <c r="B6237">
        <v>5975</v>
      </c>
      <c r="C6237">
        <v>1</v>
      </c>
      <c r="D6237" s="17" t="s">
        <v>10507</v>
      </c>
      <c r="E6237" s="17"/>
      <c r="F6237" s="17" t="s">
        <v>10780</v>
      </c>
      <c r="G6237" s="17"/>
      <c r="H6237" s="17" t="s">
        <v>12908</v>
      </c>
      <c r="I6237" s="17"/>
      <c r="J6237" s="17" t="s">
        <v>12909</v>
      </c>
      <c r="K6237" s="17"/>
      <c r="L6237" s="17" t="s">
        <v>40593</v>
      </c>
      <c r="M6237" s="17"/>
      <c r="N6237" s="17" t="s">
        <v>40594</v>
      </c>
      <c r="O6237" s="17"/>
      <c r="P6237" s="17" t="s">
        <v>40701</v>
      </c>
      <c r="Q6237" s="17"/>
      <c r="R6237" s="25" t="str">
        <f>HYPERLINK("https://ictv.global/taxonomy/taxondetails?taxnode_id=202318742","Properatisvirus sabatis")</f>
        <v>Properatisvirus sabatis</v>
      </c>
      <c r="S6237" s="18" t="s">
        <v>30</v>
      </c>
      <c r="T6237" s="18" t="s">
        <v>40702</v>
      </c>
      <c r="U6237" s="18"/>
      <c r="V6237" s="18" t="s">
        <v>40703</v>
      </c>
      <c r="W6237" s="18" t="s">
        <v>40704</v>
      </c>
      <c r="X6237" s="18" t="s">
        <v>42</v>
      </c>
      <c r="Y6237" s="18" t="s">
        <v>12266</v>
      </c>
      <c r="Z6237" s="18" t="s">
        <v>166</v>
      </c>
      <c r="AA6237" s="21" t="str">
        <f>HYPERLINK("https://www.ncbi.nlm.nih.gov/nuccore/MH617385","NCBI Nucleotide")</f>
        <v>NCBI Nucleotide</v>
      </c>
    </row>
    <row r="6238" spans="1:27" x14ac:dyDescent="0.35">
      <c r="A6238">
        <v>1025490</v>
      </c>
      <c r="B6238">
        <v>5976</v>
      </c>
      <c r="C6238">
        <v>1</v>
      </c>
      <c r="D6238" s="17" t="s">
        <v>10507</v>
      </c>
      <c r="E6238" s="17"/>
      <c r="F6238" s="17" t="s">
        <v>10780</v>
      </c>
      <c r="G6238" s="17"/>
      <c r="H6238" s="17" t="s">
        <v>12908</v>
      </c>
      <c r="I6238" s="17"/>
      <c r="J6238" s="17" t="s">
        <v>12909</v>
      </c>
      <c r="K6238" s="17"/>
      <c r="L6238" s="17" t="s">
        <v>40593</v>
      </c>
      <c r="M6238" s="17"/>
      <c r="N6238" s="17" t="s">
        <v>40594</v>
      </c>
      <c r="O6238" s="17"/>
      <c r="P6238" s="17" t="s">
        <v>40701</v>
      </c>
      <c r="Q6238" s="17"/>
      <c r="R6238" s="25" t="str">
        <f>HYPERLINK("https://ictv.global/taxonomy/taxondetails?taxnode_id=202318743","Properatisvirus stregense")</f>
        <v>Properatisvirus stregense</v>
      </c>
      <c r="S6238" s="18" t="s">
        <v>30</v>
      </c>
      <c r="T6238" s="18" t="s">
        <v>50436</v>
      </c>
      <c r="U6238" s="18"/>
      <c r="V6238" s="18" t="s">
        <v>40705</v>
      </c>
      <c r="W6238" s="18" t="s">
        <v>40706</v>
      </c>
      <c r="X6238" s="18" t="s">
        <v>42</v>
      </c>
      <c r="Y6238" s="18" t="s">
        <v>12266</v>
      </c>
      <c r="Z6238" s="18" t="s">
        <v>12916</v>
      </c>
      <c r="AA6238" s="21" t="str">
        <f>HYPERLINK("https://www.ncbi.nlm.nih.gov/nuccore/JX904075","NCBI Nucleotide")</f>
        <v>NCBI Nucleotide</v>
      </c>
    </row>
    <row r="6239" spans="1:27" x14ac:dyDescent="0.35">
      <c r="A6239">
        <v>1025476</v>
      </c>
      <c r="B6239">
        <v>5977</v>
      </c>
      <c r="C6239">
        <v>1</v>
      </c>
      <c r="D6239" s="17" t="s">
        <v>10507</v>
      </c>
      <c r="E6239" s="17"/>
      <c r="F6239" s="17" t="s">
        <v>10780</v>
      </c>
      <c r="G6239" s="17"/>
      <c r="H6239" s="17" t="s">
        <v>12908</v>
      </c>
      <c r="I6239" s="17"/>
      <c r="J6239" s="17" t="s">
        <v>12909</v>
      </c>
      <c r="K6239" s="17"/>
      <c r="L6239" s="17" t="s">
        <v>40593</v>
      </c>
      <c r="M6239" s="17"/>
      <c r="N6239" s="17" t="s">
        <v>40594</v>
      </c>
      <c r="O6239" s="17"/>
      <c r="P6239" s="17" t="s">
        <v>40707</v>
      </c>
      <c r="Q6239" s="17"/>
      <c r="R6239" s="25" t="str">
        <f>HYPERLINK("https://ictv.global/taxonomy/taxondetails?taxnode_id=202318744","Rapidusivirus mimentis")</f>
        <v>Rapidusivirus mimentis</v>
      </c>
      <c r="S6239" s="18" t="s">
        <v>30</v>
      </c>
      <c r="T6239" s="18" t="s">
        <v>40708</v>
      </c>
      <c r="U6239" s="18"/>
      <c r="V6239" s="18" t="s">
        <v>40709</v>
      </c>
      <c r="W6239" s="18" t="s">
        <v>40710</v>
      </c>
      <c r="X6239" s="18" t="s">
        <v>42</v>
      </c>
      <c r="Y6239" s="18" t="s">
        <v>12266</v>
      </c>
      <c r="Z6239" s="18" t="s">
        <v>26655</v>
      </c>
      <c r="AA6239" s="21" t="str">
        <f>HYPERLINK("https://www.ncbi.nlm.nih.gov/nuccore/KM874318","NCBI Nucleotide")</f>
        <v>NCBI Nucleotide</v>
      </c>
    </row>
    <row r="6240" spans="1:27" x14ac:dyDescent="0.35">
      <c r="A6240">
        <v>1025469</v>
      </c>
      <c r="B6240">
        <v>5978</v>
      </c>
      <c r="C6240">
        <v>1</v>
      </c>
      <c r="D6240" s="17" t="s">
        <v>10507</v>
      </c>
      <c r="E6240" s="17"/>
      <c r="F6240" s="17" t="s">
        <v>10780</v>
      </c>
      <c r="G6240" s="17"/>
      <c r="H6240" s="17" t="s">
        <v>12908</v>
      </c>
      <c r="I6240" s="17"/>
      <c r="J6240" s="17" t="s">
        <v>12909</v>
      </c>
      <c r="K6240" s="17"/>
      <c r="L6240" s="17" t="s">
        <v>40593</v>
      </c>
      <c r="M6240" s="17"/>
      <c r="N6240" s="17" t="s">
        <v>40594</v>
      </c>
      <c r="O6240" s="17"/>
      <c r="P6240" s="17" t="s">
        <v>40711</v>
      </c>
      <c r="Q6240" s="17"/>
      <c r="R6240" s="25" t="str">
        <f>HYPERLINK("https://ictv.global/taxonomy/taxondetails?taxnode_id=202318745","Robaratusivirus reperis")</f>
        <v>Robaratusivirus reperis</v>
      </c>
      <c r="S6240" s="18" t="s">
        <v>30</v>
      </c>
      <c r="T6240" s="18" t="s">
        <v>40712</v>
      </c>
      <c r="U6240" s="18"/>
      <c r="V6240" s="18" t="s">
        <v>40713</v>
      </c>
      <c r="W6240" s="18" t="s">
        <v>40714</v>
      </c>
      <c r="X6240" s="18" t="s">
        <v>42</v>
      </c>
      <c r="Y6240" s="18" t="s">
        <v>12266</v>
      </c>
      <c r="Z6240" s="18" t="s">
        <v>166</v>
      </c>
      <c r="AA6240" s="21" t="str">
        <f>HYPERLINK("https://www.ncbi.nlm.nih.gov/nuccore/MH616644","NCBI Nucleotide")</f>
        <v>NCBI Nucleotide</v>
      </c>
    </row>
    <row r="6241" spans="1:27" x14ac:dyDescent="0.35">
      <c r="A6241">
        <v>1025470</v>
      </c>
      <c r="B6241">
        <v>5979</v>
      </c>
      <c r="C6241">
        <v>1</v>
      </c>
      <c r="D6241" s="17" t="s">
        <v>10507</v>
      </c>
      <c r="E6241" s="17"/>
      <c r="F6241" s="17" t="s">
        <v>10780</v>
      </c>
      <c r="G6241" s="17"/>
      <c r="H6241" s="17" t="s">
        <v>12908</v>
      </c>
      <c r="I6241" s="17"/>
      <c r="J6241" s="17" t="s">
        <v>12909</v>
      </c>
      <c r="K6241" s="17"/>
      <c r="L6241" s="17" t="s">
        <v>40593</v>
      </c>
      <c r="M6241" s="17"/>
      <c r="N6241" s="17" t="s">
        <v>40594</v>
      </c>
      <c r="O6241" s="17"/>
      <c r="P6241" s="17" t="s">
        <v>40711</v>
      </c>
      <c r="Q6241" s="17"/>
      <c r="R6241" s="25" t="str">
        <f>HYPERLINK("https://ictv.global/taxonomy/taxondetails?taxnode_id=202318746","Robaratusivirus semberis")</f>
        <v>Robaratusivirus semberis</v>
      </c>
      <c r="S6241" s="18" t="s">
        <v>30</v>
      </c>
      <c r="T6241" s="18" t="s">
        <v>50437</v>
      </c>
      <c r="U6241" s="18"/>
      <c r="V6241" s="18" t="s">
        <v>40715</v>
      </c>
      <c r="W6241" s="18" t="s">
        <v>40716</v>
      </c>
      <c r="X6241" s="18" t="s">
        <v>42</v>
      </c>
      <c r="Y6241" s="18" t="s">
        <v>12266</v>
      </c>
      <c r="Z6241" s="18" t="s">
        <v>17413</v>
      </c>
      <c r="AA6241" s="21" t="str">
        <f>HYPERLINK("https://www.ncbi.nlm.nih.gov/nuccore/KX246262","NCBI Nucleotide")</f>
        <v>NCBI Nucleotide</v>
      </c>
    </row>
    <row r="6242" spans="1:27" x14ac:dyDescent="0.35">
      <c r="A6242">
        <v>1025471</v>
      </c>
      <c r="B6242">
        <v>5980</v>
      </c>
      <c r="C6242">
        <v>1</v>
      </c>
      <c r="D6242" s="17" t="s">
        <v>10507</v>
      </c>
      <c r="E6242" s="17"/>
      <c r="F6242" s="17" t="s">
        <v>10780</v>
      </c>
      <c r="G6242" s="17"/>
      <c r="H6242" s="17" t="s">
        <v>12908</v>
      </c>
      <c r="I6242" s="17"/>
      <c r="J6242" s="17" t="s">
        <v>12909</v>
      </c>
      <c r="K6242" s="17"/>
      <c r="L6242" s="17" t="s">
        <v>40593</v>
      </c>
      <c r="M6242" s="17"/>
      <c r="N6242" s="17" t="s">
        <v>40594</v>
      </c>
      <c r="O6242" s="17"/>
      <c r="P6242" s="17" t="s">
        <v>40717</v>
      </c>
      <c r="Q6242" s="17"/>
      <c r="R6242" s="25" t="str">
        <f>HYPERLINK("https://ictv.global/taxonomy/taxondetails?taxnode_id=202318747","Roburiusivirus westrobis")</f>
        <v>Roburiusivirus westrobis</v>
      </c>
      <c r="S6242" s="18" t="s">
        <v>30</v>
      </c>
      <c r="T6242" s="18" t="s">
        <v>40718</v>
      </c>
      <c r="U6242" s="18"/>
      <c r="V6242" s="18" t="s">
        <v>40719</v>
      </c>
      <c r="W6242" s="18" t="s">
        <v>40720</v>
      </c>
      <c r="X6242" s="18" t="s">
        <v>42</v>
      </c>
      <c r="Y6242" s="18" t="s">
        <v>12266</v>
      </c>
      <c r="Z6242" s="18" t="s">
        <v>10790</v>
      </c>
      <c r="AA6242" s="21" t="str">
        <f>HYPERLINK("https://www.ncbi.nlm.nih.gov/nuccore/KM874294","NCBI Nucleotide")</f>
        <v>NCBI Nucleotide</v>
      </c>
    </row>
    <row r="6243" spans="1:27" x14ac:dyDescent="0.35">
      <c r="A6243">
        <v>1025421</v>
      </c>
      <c r="B6243">
        <v>5981</v>
      </c>
      <c r="C6243">
        <v>1</v>
      </c>
      <c r="D6243" s="17" t="s">
        <v>10507</v>
      </c>
      <c r="E6243" s="17"/>
      <c r="F6243" s="17" t="s">
        <v>10780</v>
      </c>
      <c r="G6243" s="17"/>
      <c r="H6243" s="17" t="s">
        <v>12908</v>
      </c>
      <c r="I6243" s="17"/>
      <c r="J6243" s="17" t="s">
        <v>12909</v>
      </c>
      <c r="K6243" s="17"/>
      <c r="L6243" s="17" t="s">
        <v>40593</v>
      </c>
      <c r="M6243" s="17"/>
      <c r="N6243" s="17" t="s">
        <v>40594</v>
      </c>
      <c r="O6243" s="17"/>
      <c r="P6243" s="17" t="s">
        <v>40721</v>
      </c>
      <c r="Q6243" s="17"/>
      <c r="R6243" s="25" t="str">
        <f>HYPERLINK("https://ictv.global/taxonomy/taxondetails?taxnode_id=202318748","Strenuaivirus antaflavis")</f>
        <v>Strenuaivirus antaflavis</v>
      </c>
      <c r="S6243" s="18" t="s">
        <v>30</v>
      </c>
      <c r="T6243" s="18" t="s">
        <v>50438</v>
      </c>
      <c r="U6243" s="18"/>
      <c r="V6243" s="18" t="s">
        <v>40722</v>
      </c>
      <c r="W6243" s="18" t="s">
        <v>40723</v>
      </c>
      <c r="X6243" s="18" t="s">
        <v>42</v>
      </c>
      <c r="Y6243" s="18" t="s">
        <v>12266</v>
      </c>
      <c r="Z6243" s="18" t="s">
        <v>10790</v>
      </c>
      <c r="AA6243" s="21" t="str">
        <f>HYPERLINK("https://www.ncbi.nlm.nih.gov/nuccore/JX185418","NCBI Nucleotide")</f>
        <v>NCBI Nucleotide</v>
      </c>
    </row>
    <row r="6244" spans="1:27" x14ac:dyDescent="0.35">
      <c r="A6244">
        <v>1025422</v>
      </c>
      <c r="B6244">
        <v>5982</v>
      </c>
      <c r="C6244">
        <v>1</v>
      </c>
      <c r="D6244" s="17" t="s">
        <v>10507</v>
      </c>
      <c r="E6244" s="17"/>
      <c r="F6244" s="17" t="s">
        <v>10780</v>
      </c>
      <c r="G6244" s="17"/>
      <c r="H6244" s="17" t="s">
        <v>12908</v>
      </c>
      <c r="I6244" s="17"/>
      <c r="J6244" s="17" t="s">
        <v>12909</v>
      </c>
      <c r="K6244" s="17"/>
      <c r="L6244" s="17" t="s">
        <v>40593</v>
      </c>
      <c r="M6244" s="17"/>
      <c r="N6244" s="17" t="s">
        <v>40594</v>
      </c>
      <c r="O6244" s="17"/>
      <c r="P6244" s="17" t="s">
        <v>40724</v>
      </c>
      <c r="Q6244" s="17"/>
      <c r="R6244" s="25" t="str">
        <f>HYPERLINK("https://ictv.global/taxonomy/taxondetails?taxnode_id=202318749","Strenuusivirus lasamoense")</f>
        <v>Strenuusivirus lasamoense</v>
      </c>
      <c r="S6244" s="18" t="s">
        <v>30</v>
      </c>
      <c r="T6244" s="18" t="s">
        <v>40725</v>
      </c>
      <c r="U6244" s="18"/>
      <c r="V6244" s="18" t="s">
        <v>40726</v>
      </c>
      <c r="W6244" s="18" t="s">
        <v>40727</v>
      </c>
      <c r="X6244" s="18" t="s">
        <v>42</v>
      </c>
      <c r="Y6244" s="18" t="s">
        <v>12266</v>
      </c>
      <c r="Z6244" s="18" t="s">
        <v>166</v>
      </c>
      <c r="AA6244" s="21" t="str">
        <f>HYPERLINK("https://www.ncbi.nlm.nih.gov/nuccore/MH648972","NCBI Nucleotide")</f>
        <v>NCBI Nucleotide</v>
      </c>
    </row>
    <row r="6245" spans="1:27" x14ac:dyDescent="0.35">
      <c r="A6245">
        <v>1025423</v>
      </c>
      <c r="B6245">
        <v>5983</v>
      </c>
      <c r="C6245">
        <v>1</v>
      </c>
      <c r="D6245" s="17" t="s">
        <v>10507</v>
      </c>
      <c r="E6245" s="17"/>
      <c r="F6245" s="17" t="s">
        <v>10780</v>
      </c>
      <c r="G6245" s="17"/>
      <c r="H6245" s="17" t="s">
        <v>12908</v>
      </c>
      <c r="I6245" s="17"/>
      <c r="J6245" s="17" t="s">
        <v>12909</v>
      </c>
      <c r="K6245" s="17"/>
      <c r="L6245" s="17" t="s">
        <v>40593</v>
      </c>
      <c r="M6245" s="17"/>
      <c r="N6245" s="17" t="s">
        <v>40594</v>
      </c>
      <c r="O6245" s="17"/>
      <c r="P6245" s="17" t="s">
        <v>40724</v>
      </c>
      <c r="Q6245" s="17"/>
      <c r="R6245" s="25" t="str">
        <f>HYPERLINK("https://ictv.global/taxonomy/taxondetails?taxnode_id=202318750","Strenuusivirus resnapis")</f>
        <v>Strenuusivirus resnapis</v>
      </c>
      <c r="S6245" s="18" t="s">
        <v>30</v>
      </c>
      <c r="T6245" s="18" t="s">
        <v>40728</v>
      </c>
      <c r="U6245" s="18"/>
      <c r="V6245" s="18" t="s">
        <v>40729</v>
      </c>
      <c r="W6245" s="18" t="s">
        <v>40730</v>
      </c>
      <c r="X6245" s="18" t="s">
        <v>42</v>
      </c>
      <c r="Y6245" s="18" t="s">
        <v>12266</v>
      </c>
      <c r="Z6245" s="18" t="s">
        <v>166</v>
      </c>
      <c r="AA6245" s="21" t="str">
        <f>HYPERLINK("https://www.ncbi.nlm.nih.gov/nuccore/MH617406","NCBI Nucleotide")</f>
        <v>NCBI Nucleotide</v>
      </c>
    </row>
    <row r="6246" spans="1:27" x14ac:dyDescent="0.35">
      <c r="A6246">
        <v>1025417</v>
      </c>
      <c r="B6246">
        <v>5984</v>
      </c>
      <c r="C6246">
        <v>1</v>
      </c>
      <c r="D6246" s="17" t="s">
        <v>10507</v>
      </c>
      <c r="E6246" s="17"/>
      <c r="F6246" s="17" t="s">
        <v>10780</v>
      </c>
      <c r="G6246" s="17"/>
      <c r="H6246" s="17" t="s">
        <v>12908</v>
      </c>
      <c r="I6246" s="17"/>
      <c r="J6246" s="17" t="s">
        <v>12909</v>
      </c>
      <c r="K6246" s="17"/>
      <c r="L6246" s="17" t="s">
        <v>40593</v>
      </c>
      <c r="M6246" s="17"/>
      <c r="N6246" s="17" t="s">
        <v>40594</v>
      </c>
      <c r="O6246" s="17"/>
      <c r="P6246" s="17" t="s">
        <v>40731</v>
      </c>
      <c r="Q6246" s="17"/>
      <c r="R6246" s="25" t="str">
        <f>HYPERLINK("https://ictv.global/taxonomy/taxondetails?taxnode_id=202318751","Tetricillivirus motavenis")</f>
        <v>Tetricillivirus motavenis</v>
      </c>
      <c r="S6246" s="18" t="s">
        <v>30</v>
      </c>
      <c r="T6246" s="18" t="s">
        <v>50439</v>
      </c>
      <c r="U6246" s="18"/>
      <c r="V6246" s="18" t="s">
        <v>40732</v>
      </c>
      <c r="W6246" s="18" t="s">
        <v>40733</v>
      </c>
      <c r="X6246" s="18" t="s">
        <v>42</v>
      </c>
      <c r="Y6246" s="18" t="s">
        <v>12266</v>
      </c>
      <c r="Z6246" s="18" t="s">
        <v>166</v>
      </c>
      <c r="AA6246" s="21" t="str">
        <f>HYPERLINK("https://www.ncbi.nlm.nih.gov/nuccore/MT181546","NCBI Nucleotide")</f>
        <v>NCBI Nucleotide</v>
      </c>
    </row>
    <row r="6247" spans="1:27" x14ac:dyDescent="0.35">
      <c r="A6247">
        <v>1025401</v>
      </c>
      <c r="B6247">
        <v>5985</v>
      </c>
      <c r="C6247">
        <v>1</v>
      </c>
      <c r="D6247" s="17" t="s">
        <v>10507</v>
      </c>
      <c r="E6247" s="17"/>
      <c r="F6247" s="17" t="s">
        <v>10780</v>
      </c>
      <c r="G6247" s="17"/>
      <c r="H6247" s="17" t="s">
        <v>12908</v>
      </c>
      <c r="I6247" s="17"/>
      <c r="J6247" s="17" t="s">
        <v>12909</v>
      </c>
      <c r="K6247" s="17"/>
      <c r="L6247" s="17" t="s">
        <v>40593</v>
      </c>
      <c r="M6247" s="17"/>
      <c r="N6247" s="17" t="s">
        <v>40594</v>
      </c>
      <c r="O6247" s="17"/>
      <c r="P6247" s="17" t="s">
        <v>40734</v>
      </c>
      <c r="Q6247" s="17"/>
      <c r="R6247" s="25" t="str">
        <f>HYPERLINK("https://ictv.global/taxonomy/taxondetails?taxnode_id=202318752","Torentivirus aristcris")</f>
        <v>Torentivirus aristcris</v>
      </c>
      <c r="S6247" s="18" t="s">
        <v>30</v>
      </c>
      <c r="T6247" s="18" t="s">
        <v>40735</v>
      </c>
      <c r="U6247" s="18"/>
      <c r="V6247" s="18" t="s">
        <v>40736</v>
      </c>
      <c r="W6247" s="18" t="s">
        <v>40737</v>
      </c>
      <c r="X6247" s="18" t="s">
        <v>42</v>
      </c>
      <c r="Y6247" s="18" t="s">
        <v>12266</v>
      </c>
      <c r="Z6247" s="18" t="s">
        <v>16726</v>
      </c>
      <c r="AA6247" s="21" t="str">
        <f>HYPERLINK("https://www.ncbi.nlm.nih.gov/nuccore/MT263594","NCBI Nucleotide")</f>
        <v>NCBI Nucleotide</v>
      </c>
    </row>
    <row r="6248" spans="1:27" x14ac:dyDescent="0.35">
      <c r="A6248">
        <v>1025402</v>
      </c>
      <c r="B6248">
        <v>5986</v>
      </c>
      <c r="C6248">
        <v>1</v>
      </c>
      <c r="D6248" s="17" t="s">
        <v>10507</v>
      </c>
      <c r="E6248" s="17"/>
      <c r="F6248" s="17" t="s">
        <v>10780</v>
      </c>
      <c r="G6248" s="17"/>
      <c r="H6248" s="17" t="s">
        <v>12908</v>
      </c>
      <c r="I6248" s="17"/>
      <c r="J6248" s="17" t="s">
        <v>12909</v>
      </c>
      <c r="K6248" s="17"/>
      <c r="L6248" s="17" t="s">
        <v>40593</v>
      </c>
      <c r="M6248" s="17"/>
      <c r="N6248" s="17" t="s">
        <v>40594</v>
      </c>
      <c r="O6248" s="17"/>
      <c r="P6248" s="17" t="s">
        <v>40734</v>
      </c>
      <c r="Q6248" s="17"/>
      <c r="R6248" s="25" t="str">
        <f>HYPERLINK("https://ictv.global/taxonomy/taxondetails?taxnode_id=202318753","Torentivirus crutis")</f>
        <v>Torentivirus crutis</v>
      </c>
      <c r="S6248" s="18" t="s">
        <v>30</v>
      </c>
      <c r="T6248" s="18" t="s">
        <v>40738</v>
      </c>
      <c r="U6248" s="18"/>
      <c r="V6248" s="18" t="s">
        <v>40739</v>
      </c>
      <c r="W6248" s="18" t="s">
        <v>40740</v>
      </c>
      <c r="X6248" s="18" t="s">
        <v>42</v>
      </c>
      <c r="Y6248" s="18" t="s">
        <v>12266</v>
      </c>
      <c r="Z6248" s="18" t="s">
        <v>166</v>
      </c>
      <c r="AA6248" s="21" t="str">
        <f>HYPERLINK("https://www.ncbi.nlm.nih.gov/nuccore/MK012508","NCBI Nucleotide")</f>
        <v>NCBI Nucleotide</v>
      </c>
    </row>
    <row r="6249" spans="1:27" x14ac:dyDescent="0.35">
      <c r="A6249">
        <v>1025403</v>
      </c>
      <c r="B6249">
        <v>5987</v>
      </c>
      <c r="C6249">
        <v>1</v>
      </c>
      <c r="D6249" s="17" t="s">
        <v>10507</v>
      </c>
      <c r="E6249" s="17"/>
      <c r="F6249" s="17" t="s">
        <v>10780</v>
      </c>
      <c r="G6249" s="17"/>
      <c r="H6249" s="17" t="s">
        <v>12908</v>
      </c>
      <c r="I6249" s="17"/>
      <c r="J6249" s="17" t="s">
        <v>12909</v>
      </c>
      <c r="K6249" s="17"/>
      <c r="L6249" s="17" t="s">
        <v>40593</v>
      </c>
      <c r="M6249" s="17"/>
      <c r="N6249" s="17" t="s">
        <v>40594</v>
      </c>
      <c r="O6249" s="17"/>
      <c r="P6249" s="17" t="s">
        <v>40734</v>
      </c>
      <c r="Q6249" s="17"/>
      <c r="R6249" s="25" t="str">
        <f>HYPERLINK("https://ictv.global/taxonomy/taxondetails?taxnode_id=202318754","Torentivirus curcianense")</f>
        <v>Torentivirus curcianense</v>
      </c>
      <c r="S6249" s="18" t="s">
        <v>30</v>
      </c>
      <c r="T6249" s="18" t="s">
        <v>40741</v>
      </c>
      <c r="U6249" s="18"/>
      <c r="V6249" s="18" t="s">
        <v>40742</v>
      </c>
      <c r="W6249" s="18" t="s">
        <v>40743</v>
      </c>
      <c r="X6249" s="18" t="s">
        <v>42</v>
      </c>
      <c r="Y6249" s="18" t="s">
        <v>12266</v>
      </c>
      <c r="Z6249" s="18" t="s">
        <v>26655</v>
      </c>
      <c r="AA6249" s="21" t="str">
        <f>HYPERLINK("https://www.ncbi.nlm.nih.gov/nuccore/MT478552","NCBI Nucleotide")</f>
        <v>NCBI Nucleotide</v>
      </c>
    </row>
    <row r="6250" spans="1:27" x14ac:dyDescent="0.35">
      <c r="A6250">
        <v>1025404</v>
      </c>
      <c r="B6250">
        <v>5988</v>
      </c>
      <c r="C6250">
        <v>1</v>
      </c>
      <c r="D6250" s="17" t="s">
        <v>10507</v>
      </c>
      <c r="E6250" s="17"/>
      <c r="F6250" s="17" t="s">
        <v>10780</v>
      </c>
      <c r="G6250" s="17"/>
      <c r="H6250" s="17" t="s">
        <v>12908</v>
      </c>
      <c r="I6250" s="17"/>
      <c r="J6250" s="17" t="s">
        <v>12909</v>
      </c>
      <c r="K6250" s="17"/>
      <c r="L6250" s="17" t="s">
        <v>40593</v>
      </c>
      <c r="M6250" s="17"/>
      <c r="N6250" s="17" t="s">
        <v>40594</v>
      </c>
      <c r="O6250" s="17"/>
      <c r="P6250" s="17" t="s">
        <v>40734</v>
      </c>
      <c r="Q6250" s="17"/>
      <c r="R6250" s="25" t="str">
        <f>HYPERLINK("https://ictv.global/taxonomy/taxondetails?taxnode_id=202318755","Torentivirus lanversius")</f>
        <v>Torentivirus lanversius</v>
      </c>
      <c r="S6250" s="18" t="s">
        <v>30</v>
      </c>
      <c r="T6250" s="18" t="s">
        <v>40744</v>
      </c>
      <c r="U6250" s="18"/>
      <c r="V6250" s="18" t="s">
        <v>40745</v>
      </c>
      <c r="W6250" s="18" t="s">
        <v>40746</v>
      </c>
      <c r="X6250" s="18" t="s">
        <v>42</v>
      </c>
      <c r="Y6250" s="18" t="s">
        <v>12266</v>
      </c>
      <c r="Z6250" s="18" t="s">
        <v>26655</v>
      </c>
      <c r="AA6250" s="21" t="str">
        <f>HYPERLINK("https://www.ncbi.nlm.nih.gov/nuccore/MT478518","NCBI Nucleotide")</f>
        <v>NCBI Nucleotide</v>
      </c>
    </row>
    <row r="6251" spans="1:27" x14ac:dyDescent="0.35">
      <c r="A6251">
        <v>1025405</v>
      </c>
      <c r="B6251">
        <v>5989</v>
      </c>
      <c r="C6251">
        <v>1</v>
      </c>
      <c r="D6251" s="17" t="s">
        <v>10507</v>
      </c>
      <c r="E6251" s="17"/>
      <c r="F6251" s="17" t="s">
        <v>10780</v>
      </c>
      <c r="G6251" s="17"/>
      <c r="H6251" s="17" t="s">
        <v>12908</v>
      </c>
      <c r="I6251" s="17"/>
      <c r="J6251" s="17" t="s">
        <v>12909</v>
      </c>
      <c r="K6251" s="17"/>
      <c r="L6251" s="17" t="s">
        <v>40593</v>
      </c>
      <c r="M6251" s="17"/>
      <c r="N6251" s="17" t="s">
        <v>40594</v>
      </c>
      <c r="O6251" s="17"/>
      <c r="P6251" s="17" t="s">
        <v>40734</v>
      </c>
      <c r="Q6251" s="17"/>
      <c r="R6251" s="25" t="str">
        <f>HYPERLINK("https://ictv.global/taxonomy/taxondetails?taxnode_id=202318756","Torentivirus orstucis")</f>
        <v>Torentivirus orstucis</v>
      </c>
      <c r="S6251" s="18" t="s">
        <v>30</v>
      </c>
      <c r="T6251" s="18" t="s">
        <v>40747</v>
      </c>
      <c r="U6251" s="18"/>
      <c r="V6251" s="18" t="s">
        <v>40748</v>
      </c>
      <c r="W6251" s="18" t="s">
        <v>40749</v>
      </c>
      <c r="X6251" s="18" t="s">
        <v>42</v>
      </c>
      <c r="Y6251" s="18" t="s">
        <v>12266</v>
      </c>
      <c r="Z6251" s="18" t="s">
        <v>26655</v>
      </c>
      <c r="AA6251" s="21" t="str">
        <f>HYPERLINK("https://www.ncbi.nlm.nih.gov/nuccore/MT478527","NCBI Nucleotide")</f>
        <v>NCBI Nucleotide</v>
      </c>
    </row>
    <row r="6252" spans="1:27" x14ac:dyDescent="0.35">
      <c r="A6252">
        <v>1025406</v>
      </c>
      <c r="B6252">
        <v>5990</v>
      </c>
      <c r="C6252">
        <v>1</v>
      </c>
      <c r="D6252" s="17" t="s">
        <v>10507</v>
      </c>
      <c r="E6252" s="17"/>
      <c r="F6252" s="17" t="s">
        <v>10780</v>
      </c>
      <c r="G6252" s="17"/>
      <c r="H6252" s="17" t="s">
        <v>12908</v>
      </c>
      <c r="I6252" s="17"/>
      <c r="J6252" s="17" t="s">
        <v>12909</v>
      </c>
      <c r="K6252" s="17"/>
      <c r="L6252" s="17" t="s">
        <v>40593</v>
      </c>
      <c r="M6252" s="17"/>
      <c r="N6252" s="17" t="s">
        <v>40594</v>
      </c>
      <c r="O6252" s="17"/>
      <c r="P6252" s="17" t="s">
        <v>40734</v>
      </c>
      <c r="Q6252" s="17"/>
      <c r="R6252" s="25" t="str">
        <f>HYPERLINK("https://ictv.global/taxonomy/taxondetails?taxnode_id=202318757","Torentivirus potacris")</f>
        <v>Torentivirus potacris</v>
      </c>
      <c r="S6252" s="18" t="s">
        <v>30</v>
      </c>
      <c r="T6252" s="18" t="s">
        <v>40750</v>
      </c>
      <c r="U6252" s="18"/>
      <c r="V6252" s="18" t="s">
        <v>40751</v>
      </c>
      <c r="W6252" s="18" t="s">
        <v>40752</v>
      </c>
      <c r="X6252" s="18" t="s">
        <v>42</v>
      </c>
      <c r="Y6252" s="18" t="s">
        <v>12266</v>
      </c>
      <c r="Z6252" s="18" t="s">
        <v>26655</v>
      </c>
      <c r="AA6252" s="21" t="str">
        <f>HYPERLINK("https://www.ncbi.nlm.nih.gov/nuccore/MT478520","NCBI Nucleotide")</f>
        <v>NCBI Nucleotide</v>
      </c>
    </row>
    <row r="6253" spans="1:27" x14ac:dyDescent="0.35">
      <c r="A6253">
        <v>1025407</v>
      </c>
      <c r="B6253">
        <v>5991</v>
      </c>
      <c r="C6253">
        <v>1</v>
      </c>
      <c r="D6253" s="17" t="s">
        <v>10507</v>
      </c>
      <c r="E6253" s="17"/>
      <c r="F6253" s="17" t="s">
        <v>10780</v>
      </c>
      <c r="G6253" s="17"/>
      <c r="H6253" s="17" t="s">
        <v>12908</v>
      </c>
      <c r="I6253" s="17"/>
      <c r="J6253" s="17" t="s">
        <v>12909</v>
      </c>
      <c r="K6253" s="17"/>
      <c r="L6253" s="17" t="s">
        <v>40593</v>
      </c>
      <c r="M6253" s="17"/>
      <c r="N6253" s="17" t="s">
        <v>40594</v>
      </c>
      <c r="O6253" s="17"/>
      <c r="P6253" s="17" t="s">
        <v>40734</v>
      </c>
      <c r="Q6253" s="17"/>
      <c r="R6253" s="25" t="str">
        <f>HYPERLINK("https://ictv.global/taxonomy/taxondetails?taxnode_id=202318758","Torentivirus zocris")</f>
        <v>Torentivirus zocris</v>
      </c>
      <c r="S6253" s="18" t="s">
        <v>30</v>
      </c>
      <c r="T6253" s="18" t="s">
        <v>40753</v>
      </c>
      <c r="U6253" s="18"/>
      <c r="V6253" s="18" t="s">
        <v>40754</v>
      </c>
      <c r="W6253" s="18" t="s">
        <v>40755</v>
      </c>
      <c r="X6253" s="18" t="s">
        <v>42</v>
      </c>
      <c r="Y6253" s="18" t="s">
        <v>12266</v>
      </c>
      <c r="Z6253" s="18" t="s">
        <v>13441</v>
      </c>
      <c r="AA6253" s="21" t="str">
        <f>HYPERLINK("https://www.ncbi.nlm.nih.gov/nuccore/MT263533","NCBI Nucleotide")</f>
        <v>NCBI Nucleotide</v>
      </c>
    </row>
    <row r="6254" spans="1:27" x14ac:dyDescent="0.35">
      <c r="A6254">
        <v>1025394</v>
      </c>
      <c r="B6254">
        <v>5992</v>
      </c>
      <c r="C6254">
        <v>1</v>
      </c>
      <c r="D6254" s="17" t="s">
        <v>10507</v>
      </c>
      <c r="E6254" s="17"/>
      <c r="F6254" s="17" t="s">
        <v>10780</v>
      </c>
      <c r="G6254" s="17"/>
      <c r="H6254" s="17" t="s">
        <v>12908</v>
      </c>
      <c r="I6254" s="17"/>
      <c r="J6254" s="17" t="s">
        <v>12909</v>
      </c>
      <c r="K6254" s="17"/>
      <c r="L6254" s="17" t="s">
        <v>40593</v>
      </c>
      <c r="M6254" s="17"/>
      <c r="N6254" s="17" t="s">
        <v>40594</v>
      </c>
      <c r="O6254" s="17"/>
      <c r="P6254" s="17" t="s">
        <v>40756</v>
      </c>
      <c r="Q6254" s="17"/>
      <c r="R6254" s="25" t="str">
        <f>HYPERLINK("https://ictv.global/taxonomy/taxondetails?taxnode_id=202318759","Valentivirus aedvexis")</f>
        <v>Valentivirus aedvexis</v>
      </c>
      <c r="S6254" s="18" t="s">
        <v>30</v>
      </c>
      <c r="T6254" s="18" t="s">
        <v>50440</v>
      </c>
      <c r="U6254" s="18"/>
      <c r="V6254" s="18" t="s">
        <v>40757</v>
      </c>
      <c r="W6254" s="18" t="s">
        <v>40758</v>
      </c>
      <c r="X6254" s="18" t="s">
        <v>42</v>
      </c>
      <c r="Y6254" s="18" t="s">
        <v>12266</v>
      </c>
      <c r="Z6254" s="18" t="s">
        <v>10790</v>
      </c>
      <c r="AA6254" s="21" t="str">
        <f>HYPERLINK("https://www.ncbi.nlm.nih.gov/nuccore/KM972726","NCBI Nucleotide")</f>
        <v>NCBI Nucleotide</v>
      </c>
    </row>
    <row r="6255" spans="1:27" x14ac:dyDescent="0.35">
      <c r="A6255">
        <v>1025395</v>
      </c>
      <c r="B6255">
        <v>5993</v>
      </c>
      <c r="C6255">
        <v>1</v>
      </c>
      <c r="D6255" s="17" t="s">
        <v>10507</v>
      </c>
      <c r="E6255" s="17"/>
      <c r="F6255" s="17" t="s">
        <v>10780</v>
      </c>
      <c r="G6255" s="17"/>
      <c r="H6255" s="17" t="s">
        <v>12908</v>
      </c>
      <c r="I6255" s="17"/>
      <c r="J6255" s="17" t="s">
        <v>12909</v>
      </c>
      <c r="K6255" s="17"/>
      <c r="L6255" s="17" t="s">
        <v>40593</v>
      </c>
      <c r="M6255" s="17"/>
      <c r="N6255" s="17" t="s">
        <v>40594</v>
      </c>
      <c r="O6255" s="17"/>
      <c r="P6255" s="17" t="s">
        <v>40756</v>
      </c>
      <c r="Q6255" s="17"/>
      <c r="R6255" s="25" t="str">
        <f>HYPERLINK("https://ictv.global/taxonomy/taxondetails?taxnode_id=202318760","Valentivirus rhisidis")</f>
        <v>Valentivirus rhisidis</v>
      </c>
      <c r="S6255" s="18" t="s">
        <v>30</v>
      </c>
      <c r="T6255" s="18" t="s">
        <v>50441</v>
      </c>
      <c r="U6255" s="18"/>
      <c r="V6255" s="18" t="s">
        <v>40759</v>
      </c>
      <c r="W6255" s="18" t="s">
        <v>40760</v>
      </c>
      <c r="X6255" s="18" t="s">
        <v>42</v>
      </c>
      <c r="Y6255" s="18" t="s">
        <v>12266</v>
      </c>
      <c r="Z6255" s="18" t="s">
        <v>166</v>
      </c>
      <c r="AA6255" s="21" t="str">
        <f>HYPERLINK("https://www.ncbi.nlm.nih.gov/nuccore/MT815981","NCBI Nucleotide")</f>
        <v>NCBI Nucleotide</v>
      </c>
    </row>
    <row r="6256" spans="1:27" x14ac:dyDescent="0.35">
      <c r="A6256">
        <v>1025396</v>
      </c>
      <c r="B6256">
        <v>5994</v>
      </c>
      <c r="C6256">
        <v>1</v>
      </c>
      <c r="D6256" s="17" t="s">
        <v>10507</v>
      </c>
      <c r="E6256" s="17"/>
      <c r="F6256" s="17" t="s">
        <v>10780</v>
      </c>
      <c r="G6256" s="17"/>
      <c r="H6256" s="17" t="s">
        <v>12908</v>
      </c>
      <c r="I6256" s="17"/>
      <c r="J6256" s="17" t="s">
        <v>12909</v>
      </c>
      <c r="K6256" s="17"/>
      <c r="L6256" s="17" t="s">
        <v>40593</v>
      </c>
      <c r="M6256" s="17"/>
      <c r="N6256" s="17" t="s">
        <v>40594</v>
      </c>
      <c r="O6256" s="17"/>
      <c r="P6256" s="17" t="s">
        <v>40756</v>
      </c>
      <c r="Q6256" s="17"/>
      <c r="R6256" s="25" t="str">
        <f>HYPERLINK("https://ictv.global/taxonomy/taxondetails?taxnode_id=202318761","Valentivirus ridensis")</f>
        <v>Valentivirus ridensis</v>
      </c>
      <c r="S6256" s="18" t="s">
        <v>30</v>
      </c>
      <c r="T6256" s="18" t="s">
        <v>40761</v>
      </c>
      <c r="U6256" s="18"/>
      <c r="V6256" s="18" t="s">
        <v>40762</v>
      </c>
      <c r="W6256" s="18" t="s">
        <v>40763</v>
      </c>
      <c r="X6256" s="18" t="s">
        <v>42</v>
      </c>
      <c r="Y6256" s="18" t="s">
        <v>12266</v>
      </c>
      <c r="Z6256" s="18" t="s">
        <v>166</v>
      </c>
      <c r="AA6256" s="21" t="str">
        <f>HYPERLINK("https://www.ncbi.nlm.nih.gov/nuccore/OL704835","NCBI Nucleotide")</f>
        <v>NCBI Nucleotide</v>
      </c>
    </row>
    <row r="6257" spans="1:27" x14ac:dyDescent="0.35">
      <c r="A6257">
        <v>1025397</v>
      </c>
      <c r="B6257">
        <v>5995</v>
      </c>
      <c r="C6257">
        <v>1</v>
      </c>
      <c r="D6257" s="17" t="s">
        <v>10507</v>
      </c>
      <c r="E6257" s="17"/>
      <c r="F6257" s="17" t="s">
        <v>10780</v>
      </c>
      <c r="G6257" s="17"/>
      <c r="H6257" s="17" t="s">
        <v>12908</v>
      </c>
      <c r="I6257" s="17"/>
      <c r="J6257" s="17" t="s">
        <v>12909</v>
      </c>
      <c r="K6257" s="17"/>
      <c r="L6257" s="17" t="s">
        <v>40593</v>
      </c>
      <c r="M6257" s="17"/>
      <c r="N6257" s="17" t="s">
        <v>40594</v>
      </c>
      <c r="O6257" s="17"/>
      <c r="P6257" s="17" t="s">
        <v>40756</v>
      </c>
      <c r="Q6257" s="17"/>
      <c r="R6257" s="25" t="str">
        <f>HYPERLINK("https://ictv.global/taxonomy/taxondetails?taxnode_id=202318762","Valentivirus saquitis")</f>
        <v>Valentivirus saquitis</v>
      </c>
      <c r="S6257" s="18" t="s">
        <v>30</v>
      </c>
      <c r="T6257" s="18" t="s">
        <v>40764</v>
      </c>
      <c r="U6257" s="18"/>
      <c r="V6257" s="18" t="s">
        <v>40765</v>
      </c>
      <c r="W6257" s="18" t="s">
        <v>40766</v>
      </c>
      <c r="X6257" s="18" t="s">
        <v>42</v>
      </c>
      <c r="Y6257" s="18" t="s">
        <v>12266</v>
      </c>
      <c r="Z6257" s="18" t="s">
        <v>10790</v>
      </c>
      <c r="AA6257" s="21" t="str">
        <f>HYPERLINK("https://www.ncbi.nlm.nih.gov/nuccore/MH188041","NCBI Nucleotide")</f>
        <v>NCBI Nucleotide</v>
      </c>
    </row>
    <row r="6258" spans="1:27" x14ac:dyDescent="0.35">
      <c r="A6258">
        <v>1025398</v>
      </c>
      <c r="B6258">
        <v>5996</v>
      </c>
      <c r="C6258">
        <v>1</v>
      </c>
      <c r="D6258" s="17" t="s">
        <v>10507</v>
      </c>
      <c r="E6258" s="17"/>
      <c r="F6258" s="17" t="s">
        <v>10780</v>
      </c>
      <c r="G6258" s="17"/>
      <c r="H6258" s="17" t="s">
        <v>12908</v>
      </c>
      <c r="I6258" s="17"/>
      <c r="J6258" s="17" t="s">
        <v>12909</v>
      </c>
      <c r="K6258" s="17"/>
      <c r="L6258" s="17" t="s">
        <v>40593</v>
      </c>
      <c r="M6258" s="17"/>
      <c r="N6258" s="17" t="s">
        <v>40594</v>
      </c>
      <c r="O6258" s="17"/>
      <c r="P6258" s="17" t="s">
        <v>40767</v>
      </c>
      <c r="Q6258" s="17"/>
      <c r="R6258" s="25" t="str">
        <f>HYPERLINK("https://ictv.global/taxonomy/taxondetails?taxnode_id=202318763","Validivirus umaspis")</f>
        <v>Validivirus umaspis</v>
      </c>
      <c r="S6258" s="18" t="s">
        <v>30</v>
      </c>
      <c r="T6258" s="18" t="s">
        <v>40768</v>
      </c>
      <c r="U6258" s="18"/>
      <c r="V6258" s="18" t="s">
        <v>40769</v>
      </c>
      <c r="W6258" s="18" t="s">
        <v>40770</v>
      </c>
      <c r="X6258" s="18" t="s">
        <v>42</v>
      </c>
      <c r="Y6258" s="18" t="s">
        <v>12266</v>
      </c>
      <c r="Z6258" s="18" t="s">
        <v>26655</v>
      </c>
      <c r="AA6258" s="21" t="str">
        <f>HYPERLINK("https://www.ncbi.nlm.nih.gov/nuccore/MW202896","NCBI Nucleotide")</f>
        <v>NCBI Nucleotide</v>
      </c>
    </row>
    <row r="6259" spans="1:27" x14ac:dyDescent="0.35">
      <c r="A6259">
        <v>1025593</v>
      </c>
      <c r="B6259">
        <v>5997</v>
      </c>
      <c r="C6259">
        <v>1</v>
      </c>
      <c r="D6259" s="17" t="s">
        <v>10507</v>
      </c>
      <c r="E6259" s="17"/>
      <c r="F6259" s="17" t="s">
        <v>10780</v>
      </c>
      <c r="G6259" s="17"/>
      <c r="H6259" s="17" t="s">
        <v>12908</v>
      </c>
      <c r="I6259" s="17"/>
      <c r="J6259" s="17" t="s">
        <v>12909</v>
      </c>
      <c r="K6259" s="17"/>
      <c r="L6259" s="17" t="s">
        <v>40593</v>
      </c>
      <c r="M6259" s="17"/>
      <c r="N6259" s="17" t="s">
        <v>40594</v>
      </c>
      <c r="O6259" s="17"/>
      <c r="P6259" s="17" t="s">
        <v>40771</v>
      </c>
      <c r="Q6259" s="17"/>
      <c r="R6259" s="25" t="str">
        <f>HYPERLINK("https://ictv.global/taxonomy/taxondetails?taxnode_id=202318764","Vegetinivirus molmolis")</f>
        <v>Vegetinivirus molmolis</v>
      </c>
      <c r="S6259" s="18" t="s">
        <v>30</v>
      </c>
      <c r="T6259" s="18" t="s">
        <v>50442</v>
      </c>
      <c r="U6259" s="18"/>
      <c r="V6259" s="18" t="s">
        <v>40772</v>
      </c>
      <c r="W6259" s="18" t="s">
        <v>40773</v>
      </c>
      <c r="X6259" s="18" t="s">
        <v>35</v>
      </c>
      <c r="Y6259" s="18" t="s">
        <v>12266</v>
      </c>
      <c r="Z6259" s="18" t="s">
        <v>166</v>
      </c>
      <c r="AA6259" s="21" t="str">
        <f>HYPERLINK("https://www.ncbi.nlm.nih.gov/nuccore/KM382272","NCBI Nucleotide")</f>
        <v>NCBI Nucleotide</v>
      </c>
    </row>
    <row r="6260" spans="1:27" x14ac:dyDescent="0.35">
      <c r="A6260">
        <v>1025594</v>
      </c>
      <c r="B6260">
        <v>5998</v>
      </c>
      <c r="C6260">
        <v>1</v>
      </c>
      <c r="D6260" s="17" t="s">
        <v>10507</v>
      </c>
      <c r="E6260" s="17"/>
      <c r="F6260" s="17" t="s">
        <v>10780</v>
      </c>
      <c r="G6260" s="17"/>
      <c r="H6260" s="17" t="s">
        <v>12908</v>
      </c>
      <c r="I6260" s="17"/>
      <c r="J6260" s="17" t="s">
        <v>12909</v>
      </c>
      <c r="K6260" s="17"/>
      <c r="L6260" s="17" t="s">
        <v>40593</v>
      </c>
      <c r="M6260" s="17"/>
      <c r="N6260" s="17" t="s">
        <v>40594</v>
      </c>
      <c r="O6260" s="17"/>
      <c r="P6260" s="17" t="s">
        <v>40771</v>
      </c>
      <c r="Q6260" s="17"/>
      <c r="R6260" s="25" t="str">
        <f>HYPERLINK("https://ictv.global/taxonomy/taxondetails?taxnode_id=202318765","Vegetinivirus nobatis")</f>
        <v>Vegetinivirus nobatis</v>
      </c>
      <c r="S6260" s="18" t="s">
        <v>30</v>
      </c>
      <c r="T6260" s="18" t="s">
        <v>50443</v>
      </c>
      <c r="U6260" s="18"/>
      <c r="V6260" s="18" t="s">
        <v>40774</v>
      </c>
      <c r="W6260" s="18" t="s">
        <v>40775</v>
      </c>
      <c r="X6260" s="18" t="s">
        <v>42</v>
      </c>
      <c r="Y6260" s="18" t="s">
        <v>12266</v>
      </c>
      <c r="Z6260" s="18" t="s">
        <v>166</v>
      </c>
      <c r="AA6260" s="21" t="str">
        <f>HYPERLINK("https://www.ncbi.nlm.nih.gov/nuccore/MT734816","NCBI Nucleotide")</f>
        <v>NCBI Nucleotide</v>
      </c>
    </row>
    <row r="6261" spans="1:27" x14ac:dyDescent="0.35">
      <c r="A6261">
        <v>1025595</v>
      </c>
      <c r="B6261">
        <v>5999</v>
      </c>
      <c r="C6261">
        <v>1</v>
      </c>
      <c r="D6261" s="17" t="s">
        <v>10507</v>
      </c>
      <c r="E6261" s="17"/>
      <c r="F6261" s="17" t="s">
        <v>10780</v>
      </c>
      <c r="G6261" s="17"/>
      <c r="H6261" s="17" t="s">
        <v>12908</v>
      </c>
      <c r="I6261" s="17"/>
      <c r="J6261" s="17" t="s">
        <v>12909</v>
      </c>
      <c r="K6261" s="17"/>
      <c r="L6261" s="17" t="s">
        <v>40593</v>
      </c>
      <c r="M6261" s="17"/>
      <c r="N6261" s="17" t="s">
        <v>40594</v>
      </c>
      <c r="O6261" s="17"/>
      <c r="P6261" s="17" t="s">
        <v>40776</v>
      </c>
      <c r="Q6261" s="17"/>
      <c r="R6261" s="25" t="str">
        <f>HYPERLINK("https://ictv.global/taxonomy/taxondetails?taxnode_id=202318766","Vegetivirus loriverwastis")</f>
        <v>Vegetivirus loriverwastis</v>
      </c>
      <c r="S6261" s="18" t="s">
        <v>30</v>
      </c>
      <c r="T6261" s="18" t="s">
        <v>50444</v>
      </c>
      <c r="U6261" s="18"/>
      <c r="V6261" s="18" t="s">
        <v>40777</v>
      </c>
      <c r="W6261" s="18" t="s">
        <v>40778</v>
      </c>
      <c r="X6261" s="18" t="s">
        <v>42</v>
      </c>
      <c r="Y6261" s="18" t="s">
        <v>12266</v>
      </c>
      <c r="Z6261" s="18" t="s">
        <v>16726</v>
      </c>
      <c r="AA6261" s="21" t="str">
        <f>HYPERLINK("https://www.ncbi.nlm.nih.gov/nuccore/KY487866","NCBI Nucleotide")</f>
        <v>NCBI Nucleotide</v>
      </c>
    </row>
    <row r="6262" spans="1:27" x14ac:dyDescent="0.35">
      <c r="A6262">
        <v>1025596</v>
      </c>
      <c r="B6262">
        <v>6000</v>
      </c>
      <c r="C6262">
        <v>1</v>
      </c>
      <c r="D6262" s="17" t="s">
        <v>10507</v>
      </c>
      <c r="E6262" s="17"/>
      <c r="F6262" s="17" t="s">
        <v>10780</v>
      </c>
      <c r="G6262" s="17"/>
      <c r="H6262" s="17" t="s">
        <v>12908</v>
      </c>
      <c r="I6262" s="17"/>
      <c r="J6262" s="17" t="s">
        <v>12909</v>
      </c>
      <c r="K6262" s="17"/>
      <c r="L6262" s="17" t="s">
        <v>40593</v>
      </c>
      <c r="M6262" s="17"/>
      <c r="N6262" s="17" t="s">
        <v>40594</v>
      </c>
      <c r="O6262" s="17"/>
      <c r="P6262" s="17" t="s">
        <v>40776</v>
      </c>
      <c r="Q6262" s="17"/>
      <c r="R6262" s="25" t="str">
        <f>HYPERLINK("https://ictv.global/taxonomy/taxondetails?taxnode_id=202318767","Vegetivirus portlucense")</f>
        <v>Vegetivirus portlucense</v>
      </c>
      <c r="S6262" s="18" t="s">
        <v>30</v>
      </c>
      <c r="T6262" s="18" t="s">
        <v>40779</v>
      </c>
      <c r="U6262" s="18"/>
      <c r="V6262" s="18" t="s">
        <v>40780</v>
      </c>
      <c r="W6262" s="18" t="s">
        <v>40781</v>
      </c>
      <c r="X6262" s="18" t="s">
        <v>42</v>
      </c>
      <c r="Y6262" s="18" t="s">
        <v>12266</v>
      </c>
      <c r="Z6262" s="18" t="s">
        <v>26655</v>
      </c>
      <c r="AA6262" s="21" t="str">
        <f>HYPERLINK("https://www.ncbi.nlm.nih.gov/nuccore/MT478555","NCBI Nucleotide")</f>
        <v>NCBI Nucleotide</v>
      </c>
    </row>
    <row r="6263" spans="1:27" x14ac:dyDescent="0.35">
      <c r="A6263">
        <v>1025597</v>
      </c>
      <c r="B6263">
        <v>6001</v>
      </c>
      <c r="C6263">
        <v>1</v>
      </c>
      <c r="D6263" s="17" t="s">
        <v>10507</v>
      </c>
      <c r="E6263" s="17"/>
      <c r="F6263" s="17" t="s">
        <v>10780</v>
      </c>
      <c r="G6263" s="17"/>
      <c r="H6263" s="17" t="s">
        <v>12908</v>
      </c>
      <c r="I6263" s="17"/>
      <c r="J6263" s="17" t="s">
        <v>12909</v>
      </c>
      <c r="K6263" s="17"/>
      <c r="L6263" s="17" t="s">
        <v>40593</v>
      </c>
      <c r="M6263" s="17"/>
      <c r="N6263" s="17" t="s">
        <v>40594</v>
      </c>
      <c r="O6263" s="17"/>
      <c r="P6263" s="17" t="s">
        <v>40782</v>
      </c>
      <c r="Q6263" s="17"/>
      <c r="R6263" s="25" t="str">
        <f>HYPERLINK("https://ictv.global/taxonomy/taxondetails?taxnode_id=202318768","Vehemenivirus recresis")</f>
        <v>Vehemenivirus recresis</v>
      </c>
      <c r="S6263" s="18" t="s">
        <v>30</v>
      </c>
      <c r="T6263" s="18" t="s">
        <v>40783</v>
      </c>
      <c r="U6263" s="18"/>
      <c r="V6263" s="18" t="s">
        <v>40784</v>
      </c>
      <c r="W6263" s="18" t="s">
        <v>40785</v>
      </c>
      <c r="X6263" s="18" t="s">
        <v>42</v>
      </c>
      <c r="Y6263" s="18" t="s">
        <v>12266</v>
      </c>
      <c r="Z6263" s="18" t="s">
        <v>166</v>
      </c>
      <c r="AA6263" s="21" t="str">
        <f>HYPERLINK("https://www.ncbi.nlm.nih.gov/nuccore/KY312555","NCBI Nucleotide")</f>
        <v>NCBI Nucleotide</v>
      </c>
    </row>
    <row r="6264" spans="1:27" x14ac:dyDescent="0.35">
      <c r="A6264">
        <v>1025598</v>
      </c>
      <c r="B6264">
        <v>6002</v>
      </c>
      <c r="C6264">
        <v>1</v>
      </c>
      <c r="D6264" s="17" t="s">
        <v>10507</v>
      </c>
      <c r="E6264" s="17"/>
      <c r="F6264" s="17" t="s">
        <v>10780</v>
      </c>
      <c r="G6264" s="17"/>
      <c r="H6264" s="17" t="s">
        <v>12908</v>
      </c>
      <c r="I6264" s="17"/>
      <c r="J6264" s="17" t="s">
        <v>12909</v>
      </c>
      <c r="K6264" s="17"/>
      <c r="L6264" s="17" t="s">
        <v>40593</v>
      </c>
      <c r="M6264" s="17"/>
      <c r="N6264" s="17" t="s">
        <v>40594</v>
      </c>
      <c r="O6264" s="17"/>
      <c r="P6264" s="17" t="s">
        <v>40786</v>
      </c>
      <c r="Q6264" s="17"/>
      <c r="R6264" s="25" t="str">
        <f>HYPERLINK("https://ictv.global/taxonomy/taxondetails?taxnode_id=202318769","Velocianivirus diadonense")</f>
        <v>Velocianivirus diadonense</v>
      </c>
      <c r="S6264" s="18" t="s">
        <v>30</v>
      </c>
      <c r="T6264" s="18" t="s">
        <v>40787</v>
      </c>
      <c r="U6264" s="18"/>
      <c r="V6264" s="18" t="s">
        <v>40788</v>
      </c>
      <c r="W6264" s="18" t="s">
        <v>40789</v>
      </c>
      <c r="X6264" s="18" t="s">
        <v>42</v>
      </c>
      <c r="Y6264" s="18" t="s">
        <v>12266</v>
      </c>
      <c r="Z6264" s="18" t="s">
        <v>26655</v>
      </c>
      <c r="AA6264" s="21" t="str">
        <f>HYPERLINK("https://www.ncbi.nlm.nih.gov/nuccore/KT149410","NCBI Nucleotide")</f>
        <v>NCBI Nucleotide</v>
      </c>
    </row>
    <row r="6265" spans="1:27" x14ac:dyDescent="0.35">
      <c r="A6265">
        <v>1025599</v>
      </c>
      <c r="B6265">
        <v>6003</v>
      </c>
      <c r="C6265">
        <v>1</v>
      </c>
      <c r="D6265" s="17" t="s">
        <v>10507</v>
      </c>
      <c r="E6265" s="17"/>
      <c r="F6265" s="17" t="s">
        <v>10780</v>
      </c>
      <c r="G6265" s="17"/>
      <c r="H6265" s="17" t="s">
        <v>12908</v>
      </c>
      <c r="I6265" s="17"/>
      <c r="J6265" s="17" t="s">
        <v>12909</v>
      </c>
      <c r="K6265" s="17"/>
      <c r="L6265" s="17" t="s">
        <v>40593</v>
      </c>
      <c r="M6265" s="17"/>
      <c r="N6265" s="17" t="s">
        <v>40594</v>
      </c>
      <c r="O6265" s="17"/>
      <c r="P6265" s="17" t="s">
        <v>40790</v>
      </c>
      <c r="Q6265" s="17"/>
      <c r="R6265" s="25" t="str">
        <f>HYPERLINK("https://ictv.global/taxonomy/taxondetails?taxnode_id=202318770","Veloxivirus ubatis")</f>
        <v>Veloxivirus ubatis</v>
      </c>
      <c r="S6265" s="18" t="s">
        <v>30</v>
      </c>
      <c r="T6265" s="18" t="s">
        <v>40791</v>
      </c>
      <c r="U6265" s="18"/>
      <c r="V6265" s="18" t="s">
        <v>40792</v>
      </c>
      <c r="W6265" s="18" t="s">
        <v>40793</v>
      </c>
      <c r="X6265" s="18" t="s">
        <v>42</v>
      </c>
      <c r="Y6265" s="18" t="s">
        <v>12266</v>
      </c>
      <c r="Z6265" s="18" t="s">
        <v>166</v>
      </c>
      <c r="AA6265" s="21" t="str">
        <f>HYPERLINK("https://www.ncbi.nlm.nih.gov/nuccore/MH649090","NCBI Nucleotide")</f>
        <v>NCBI Nucleotide</v>
      </c>
    </row>
    <row r="6266" spans="1:27" x14ac:dyDescent="0.35">
      <c r="A6266">
        <v>1025602</v>
      </c>
      <c r="B6266">
        <v>6004</v>
      </c>
      <c r="C6266">
        <v>1</v>
      </c>
      <c r="D6266" s="17" t="s">
        <v>10507</v>
      </c>
      <c r="E6266" s="17"/>
      <c r="F6266" s="17" t="s">
        <v>10780</v>
      </c>
      <c r="G6266" s="17"/>
      <c r="H6266" s="17" t="s">
        <v>12908</v>
      </c>
      <c r="I6266" s="17"/>
      <c r="J6266" s="17" t="s">
        <v>12909</v>
      </c>
      <c r="K6266" s="17"/>
      <c r="L6266" s="17" t="s">
        <v>40593</v>
      </c>
      <c r="M6266" s="17"/>
      <c r="N6266" s="17" t="s">
        <v>40594</v>
      </c>
      <c r="O6266" s="17"/>
      <c r="P6266" s="17" t="s">
        <v>40794</v>
      </c>
      <c r="Q6266" s="17"/>
      <c r="R6266" s="25" t="str">
        <f>HYPERLINK("https://ictv.global/taxonomy/taxondetails?taxnode_id=202318771","Violenivirus cotis")</f>
        <v>Violenivirus cotis</v>
      </c>
      <c r="S6266" s="18" t="s">
        <v>30</v>
      </c>
      <c r="T6266" s="18" t="s">
        <v>40795</v>
      </c>
      <c r="U6266" s="18"/>
      <c r="V6266" s="18" t="s">
        <v>40796</v>
      </c>
      <c r="W6266" s="18" t="s">
        <v>40797</v>
      </c>
      <c r="X6266" s="18" t="s">
        <v>42</v>
      </c>
      <c r="Y6266" s="18" t="s">
        <v>12266</v>
      </c>
      <c r="Z6266" s="18" t="s">
        <v>166</v>
      </c>
      <c r="AA6266" s="21" t="str">
        <f>HYPERLINK("https://www.ncbi.nlm.nih.gov/nuccore/MH617295","NCBI Nucleotide")</f>
        <v>NCBI Nucleotide</v>
      </c>
    </row>
    <row r="6267" spans="1:27" x14ac:dyDescent="0.35">
      <c r="A6267">
        <v>1025603</v>
      </c>
      <c r="B6267">
        <v>6005</v>
      </c>
      <c r="C6267">
        <v>1</v>
      </c>
      <c r="D6267" s="17" t="s">
        <v>10507</v>
      </c>
      <c r="E6267" s="17"/>
      <c r="F6267" s="17" t="s">
        <v>10780</v>
      </c>
      <c r="G6267" s="17"/>
      <c r="H6267" s="17" t="s">
        <v>12908</v>
      </c>
      <c r="I6267" s="17"/>
      <c r="J6267" s="17" t="s">
        <v>12909</v>
      </c>
      <c r="K6267" s="17"/>
      <c r="L6267" s="17" t="s">
        <v>40593</v>
      </c>
      <c r="M6267" s="17"/>
      <c r="N6267" s="17" t="s">
        <v>40594</v>
      </c>
      <c r="O6267" s="17"/>
      <c r="P6267" s="17" t="s">
        <v>40794</v>
      </c>
      <c r="Q6267" s="17"/>
      <c r="R6267" s="25" t="str">
        <f>HYPERLINK("https://ictv.global/taxonomy/taxondetails?taxnode_id=202318772","Violenivirus raptis")</f>
        <v>Violenivirus raptis</v>
      </c>
      <c r="S6267" s="18" t="s">
        <v>30</v>
      </c>
      <c r="T6267" s="18" t="s">
        <v>40798</v>
      </c>
      <c r="U6267" s="18"/>
      <c r="V6267" s="18" t="s">
        <v>40799</v>
      </c>
      <c r="W6267" s="18" t="s">
        <v>40800</v>
      </c>
      <c r="X6267" s="18" t="s">
        <v>42</v>
      </c>
      <c r="Y6267" s="18" t="s">
        <v>12266</v>
      </c>
      <c r="Z6267" s="18" t="s">
        <v>166</v>
      </c>
      <c r="AA6267" s="21" t="str">
        <f>HYPERLINK("https://www.ncbi.nlm.nih.gov/nuccore/MH617708","NCBI Nucleotide")</f>
        <v>NCBI Nucleotide</v>
      </c>
    </row>
    <row r="6268" spans="1:27" x14ac:dyDescent="0.35">
      <c r="A6268">
        <v>1025604</v>
      </c>
      <c r="B6268">
        <v>6006</v>
      </c>
      <c r="C6268">
        <v>1</v>
      </c>
      <c r="D6268" s="17" t="s">
        <v>10507</v>
      </c>
      <c r="E6268" s="17"/>
      <c r="F6268" s="17" t="s">
        <v>10780</v>
      </c>
      <c r="G6268" s="17"/>
      <c r="H6268" s="17" t="s">
        <v>12908</v>
      </c>
      <c r="I6268" s="17"/>
      <c r="J6268" s="17" t="s">
        <v>12909</v>
      </c>
      <c r="K6268" s="17"/>
      <c r="L6268" s="17" t="s">
        <v>40593</v>
      </c>
      <c r="M6268" s="17"/>
      <c r="N6268" s="17" t="s">
        <v>40594</v>
      </c>
      <c r="O6268" s="17"/>
      <c r="P6268" s="17" t="s">
        <v>40801</v>
      </c>
      <c r="Q6268" s="17"/>
      <c r="R6268" s="25" t="str">
        <f>HYPERLINK("https://ictv.global/taxonomy/taxondetails?taxnode_id=202318773","Viratusivirus arilasis")</f>
        <v>Viratusivirus arilasis</v>
      </c>
      <c r="S6268" s="18" t="s">
        <v>30</v>
      </c>
      <c r="T6268" s="18" t="s">
        <v>40802</v>
      </c>
      <c r="U6268" s="18"/>
      <c r="V6268" s="18" t="s">
        <v>40803</v>
      </c>
      <c r="W6268" s="18" t="s">
        <v>40804</v>
      </c>
      <c r="X6268" s="18" t="s">
        <v>42</v>
      </c>
      <c r="Y6268" s="18" t="s">
        <v>12266</v>
      </c>
      <c r="Z6268" s="18" t="s">
        <v>26655</v>
      </c>
      <c r="AA6268" s="21" t="str">
        <f>HYPERLINK("https://www.ncbi.nlm.nih.gov/nuccore/MW697472","NCBI Nucleotide")</f>
        <v>NCBI Nucleotide</v>
      </c>
    </row>
    <row r="6269" spans="1:27" x14ac:dyDescent="0.35">
      <c r="A6269">
        <v>1025605</v>
      </c>
      <c r="B6269">
        <v>6007</v>
      </c>
      <c r="C6269">
        <v>1</v>
      </c>
      <c r="D6269" s="17" t="s">
        <v>10507</v>
      </c>
      <c r="E6269" s="17"/>
      <c r="F6269" s="17" t="s">
        <v>10780</v>
      </c>
      <c r="G6269" s="17"/>
      <c r="H6269" s="17" t="s">
        <v>12908</v>
      </c>
      <c r="I6269" s="17"/>
      <c r="J6269" s="17" t="s">
        <v>12909</v>
      </c>
      <c r="K6269" s="17"/>
      <c r="L6269" s="17" t="s">
        <v>40593</v>
      </c>
      <c r="M6269" s="17"/>
      <c r="N6269" s="17" t="s">
        <v>40594</v>
      </c>
      <c r="O6269" s="17"/>
      <c r="P6269" s="17" t="s">
        <v>40805</v>
      </c>
      <c r="Q6269" s="17"/>
      <c r="R6269" s="25" t="str">
        <f>HYPERLINK("https://ictv.global/taxonomy/taxondetails?taxnode_id=202318774","Virilianivirus pachylongis")</f>
        <v>Virilianivirus pachylongis</v>
      </c>
      <c r="S6269" s="18" t="s">
        <v>30</v>
      </c>
      <c r="T6269" s="18" t="s">
        <v>40806</v>
      </c>
      <c r="U6269" s="18"/>
      <c r="V6269" s="18" t="s">
        <v>40807</v>
      </c>
      <c r="W6269" s="18" t="s">
        <v>40808</v>
      </c>
      <c r="X6269" s="18" t="s">
        <v>42</v>
      </c>
      <c r="Y6269" s="18" t="s">
        <v>12266</v>
      </c>
      <c r="Z6269" s="18" t="s">
        <v>10790</v>
      </c>
      <c r="AA6269" s="21" t="str">
        <f>HYPERLINK("https://www.ncbi.nlm.nih.gov/nuccore/KM598405","NCBI Nucleotide")</f>
        <v>NCBI Nucleotide</v>
      </c>
    </row>
    <row r="6270" spans="1:27" x14ac:dyDescent="0.35">
      <c r="A6270">
        <v>1025589</v>
      </c>
      <c r="B6270">
        <v>6008</v>
      </c>
      <c r="C6270">
        <v>1</v>
      </c>
      <c r="D6270" s="17" t="s">
        <v>10507</v>
      </c>
      <c r="E6270" s="17"/>
      <c r="F6270" s="17" t="s">
        <v>10780</v>
      </c>
      <c r="G6270" s="17"/>
      <c r="H6270" s="17" t="s">
        <v>12908</v>
      </c>
      <c r="I6270" s="17"/>
      <c r="J6270" s="17" t="s">
        <v>12909</v>
      </c>
      <c r="K6270" s="17"/>
      <c r="L6270" s="17" t="s">
        <v>40593</v>
      </c>
      <c r="M6270" s="17"/>
      <c r="N6270" s="17" t="s">
        <v>40594</v>
      </c>
      <c r="O6270" s="17"/>
      <c r="P6270" s="17" t="s">
        <v>40809</v>
      </c>
      <c r="Q6270" s="17"/>
      <c r="R6270" s="25" t="str">
        <f>HYPERLINK("https://ictv.global/taxonomy/taxondetails?taxnode_id=202318775","Volantivirus lastavis")</f>
        <v>Volantivirus lastavis</v>
      </c>
      <c r="S6270" s="18" t="s">
        <v>30</v>
      </c>
      <c r="T6270" s="18" t="s">
        <v>40810</v>
      </c>
      <c r="U6270" s="18"/>
      <c r="V6270" s="18" t="s">
        <v>40811</v>
      </c>
      <c r="W6270" s="18" t="s">
        <v>40812</v>
      </c>
      <c r="X6270" s="18" t="s">
        <v>42</v>
      </c>
      <c r="Y6270" s="18" t="s">
        <v>12266</v>
      </c>
      <c r="Z6270" s="18" t="s">
        <v>26655</v>
      </c>
      <c r="AA6270" s="21" t="str">
        <f>HYPERLINK("https://www.ncbi.nlm.nih.gov/nuccore/MT478550","NCBI Nucleotide")</f>
        <v>NCBI Nucleotide</v>
      </c>
    </row>
    <row r="6271" spans="1:27" x14ac:dyDescent="0.35">
      <c r="A6271">
        <v>1025590</v>
      </c>
      <c r="B6271">
        <v>6009</v>
      </c>
      <c r="C6271">
        <v>1</v>
      </c>
      <c r="D6271" s="17" t="s">
        <v>10507</v>
      </c>
      <c r="E6271" s="17"/>
      <c r="F6271" s="17" t="s">
        <v>10780</v>
      </c>
      <c r="G6271" s="17"/>
      <c r="H6271" s="17" t="s">
        <v>12908</v>
      </c>
      <c r="I6271" s="17"/>
      <c r="J6271" s="17" t="s">
        <v>12909</v>
      </c>
      <c r="K6271" s="17"/>
      <c r="L6271" s="17" t="s">
        <v>40593</v>
      </c>
      <c r="M6271" s="17"/>
      <c r="N6271" s="17" t="s">
        <v>40594</v>
      </c>
      <c r="O6271" s="17"/>
      <c r="P6271" s="17" t="s">
        <v>40809</v>
      </c>
      <c r="Q6271" s="17"/>
      <c r="R6271" s="25" t="str">
        <f>HYPERLINK("https://ictv.global/taxonomy/taxondetails?taxnode_id=202318776","Volantivirus zuncris")</f>
        <v>Volantivirus zuncris</v>
      </c>
      <c r="S6271" s="18" t="s">
        <v>30</v>
      </c>
      <c r="T6271" s="18" t="s">
        <v>40813</v>
      </c>
      <c r="U6271" s="18"/>
      <c r="V6271" s="18" t="s">
        <v>40814</v>
      </c>
      <c r="W6271" s="18" t="s">
        <v>40815</v>
      </c>
      <c r="X6271" s="18" t="s">
        <v>42</v>
      </c>
      <c r="Y6271" s="18" t="s">
        <v>12266</v>
      </c>
      <c r="Z6271" s="18" t="s">
        <v>26655</v>
      </c>
      <c r="AA6271" s="21" t="str">
        <f>HYPERLINK("https://www.ncbi.nlm.nih.gov/nuccore/MT263655","NCBI Nucleotide")</f>
        <v>NCBI Nucleotide</v>
      </c>
    </row>
    <row r="6272" spans="1:27" x14ac:dyDescent="0.35">
      <c r="A6272">
        <v>1007553</v>
      </c>
      <c r="B6272">
        <v>6010</v>
      </c>
      <c r="C6272">
        <v>1</v>
      </c>
      <c r="D6272" s="17" t="s">
        <v>10507</v>
      </c>
      <c r="E6272" s="17"/>
      <c r="F6272" s="17" t="s">
        <v>10780</v>
      </c>
      <c r="G6272" s="17"/>
      <c r="H6272" s="17" t="s">
        <v>12908</v>
      </c>
      <c r="I6272" s="17"/>
      <c r="J6272" s="17" t="s">
        <v>12909</v>
      </c>
      <c r="K6272" s="17"/>
      <c r="L6272" s="17" t="s">
        <v>13863</v>
      </c>
      <c r="M6272" s="17"/>
      <c r="N6272" s="17" t="s">
        <v>13864</v>
      </c>
      <c r="O6272" s="17"/>
      <c r="P6272" s="17" t="s">
        <v>13865</v>
      </c>
      <c r="Q6272" s="17"/>
      <c r="R6272" s="25" t="str">
        <f>HYPERLINK("https://ictv.global/taxonomy/taxondetails?taxnode_id=202315106","Temfrudevirus temperatum")</f>
        <v>Temfrudevirus temperatum</v>
      </c>
      <c r="S6272" s="18" t="s">
        <v>30</v>
      </c>
      <c r="T6272" s="18" t="s">
        <v>13866</v>
      </c>
      <c r="U6272" s="18" t="s">
        <v>13867</v>
      </c>
      <c r="V6272" s="18" t="s">
        <v>13868</v>
      </c>
      <c r="W6272" s="18" t="s">
        <v>13869</v>
      </c>
      <c r="X6272" s="18" t="s">
        <v>42</v>
      </c>
      <c r="Y6272" s="18" t="s">
        <v>12266</v>
      </c>
      <c r="Z6272" s="18" t="s">
        <v>13441</v>
      </c>
      <c r="AA6272" s="21" t="str">
        <f>HYPERLINK("https://www.ncbi.nlm.nih.gov/nuccore/KR134312","NCBI Nucleotide")</f>
        <v>NCBI Nucleotide</v>
      </c>
    </row>
    <row r="6273" spans="1:27" x14ac:dyDescent="0.35">
      <c r="A6273">
        <v>1007554</v>
      </c>
      <c r="B6273">
        <v>6011</v>
      </c>
      <c r="C6273">
        <v>1</v>
      </c>
      <c r="D6273" s="17" t="s">
        <v>10507</v>
      </c>
      <c r="E6273" s="17"/>
      <c r="F6273" s="17" t="s">
        <v>10780</v>
      </c>
      <c r="G6273" s="17"/>
      <c r="H6273" s="17" t="s">
        <v>12908</v>
      </c>
      <c r="I6273" s="17"/>
      <c r="J6273" s="17" t="s">
        <v>12909</v>
      </c>
      <c r="K6273" s="17"/>
      <c r="L6273" s="17" t="s">
        <v>13863</v>
      </c>
      <c r="M6273" s="17"/>
      <c r="N6273" s="17" t="s">
        <v>13864</v>
      </c>
      <c r="O6273" s="17"/>
      <c r="P6273" s="17" t="s">
        <v>13870</v>
      </c>
      <c r="Q6273" s="17"/>
      <c r="R6273" s="25" t="str">
        <f>HYPERLINK("https://ictv.global/taxonomy/taxondetails?taxnode_id=202315107","Yermavirus ilicis")</f>
        <v>Yermavirus ilicis</v>
      </c>
      <c r="S6273" s="18" t="s">
        <v>30</v>
      </c>
      <c r="T6273" s="18" t="s">
        <v>13871</v>
      </c>
      <c r="U6273" s="18" t="s">
        <v>13872</v>
      </c>
      <c r="V6273" s="18" t="s">
        <v>13873</v>
      </c>
      <c r="W6273" s="18" t="s">
        <v>13874</v>
      </c>
      <c r="X6273" s="18" t="s">
        <v>42</v>
      </c>
      <c r="Y6273" s="18" t="s">
        <v>12266</v>
      </c>
      <c r="Z6273" s="18" t="s">
        <v>13441</v>
      </c>
      <c r="AA6273" s="21" t="str">
        <f>HYPERLINK("https://www.ncbi.nlm.nih.gov/nuccore/MG748715","NCBI Nucleotide")</f>
        <v>NCBI Nucleotide</v>
      </c>
    </row>
    <row r="6274" spans="1:27" x14ac:dyDescent="0.35">
      <c r="A6274">
        <v>1025284</v>
      </c>
      <c r="B6274">
        <v>6012</v>
      </c>
      <c r="C6274">
        <v>1</v>
      </c>
      <c r="D6274" s="17" t="s">
        <v>10507</v>
      </c>
      <c r="E6274" s="17"/>
      <c r="F6274" s="17" t="s">
        <v>10780</v>
      </c>
      <c r="G6274" s="17"/>
      <c r="H6274" s="17" t="s">
        <v>12908</v>
      </c>
      <c r="I6274" s="17"/>
      <c r="J6274" s="17" t="s">
        <v>12909</v>
      </c>
      <c r="K6274" s="17"/>
      <c r="L6274" s="17" t="s">
        <v>13863</v>
      </c>
      <c r="M6274" s="17"/>
      <c r="N6274" s="17" t="s">
        <v>40816</v>
      </c>
      <c r="O6274" s="17"/>
      <c r="P6274" s="17" t="s">
        <v>40817</v>
      </c>
      <c r="Q6274" s="17"/>
      <c r="R6274" s="25" t="str">
        <f>HYPERLINK("https://ictv.global/taxonomy/taxondetails?taxnode_id=202318305","Baranavirus uduis")</f>
        <v>Baranavirus uduis</v>
      </c>
      <c r="S6274" s="18" t="s">
        <v>30</v>
      </c>
      <c r="T6274" s="18" t="s">
        <v>40818</v>
      </c>
      <c r="U6274" s="18"/>
      <c r="V6274" s="18" t="s">
        <v>40819</v>
      </c>
      <c r="W6274" s="18" t="s">
        <v>40820</v>
      </c>
      <c r="X6274" s="18" t="s">
        <v>42</v>
      </c>
      <c r="Y6274" s="18" t="s">
        <v>12266</v>
      </c>
      <c r="Z6274" s="18" t="s">
        <v>166</v>
      </c>
      <c r="AA6274" s="21" t="str">
        <f>HYPERLINK("https://www.ncbi.nlm.nih.gov/nuccore/MW562321","NCBI Nucleotide")</f>
        <v>NCBI Nucleotide</v>
      </c>
    </row>
    <row r="6275" spans="1:27" x14ac:dyDescent="0.35">
      <c r="A6275">
        <v>1025574</v>
      </c>
      <c r="B6275">
        <v>6013</v>
      </c>
      <c r="C6275">
        <v>1</v>
      </c>
      <c r="D6275" s="17" t="s">
        <v>10507</v>
      </c>
      <c r="E6275" s="17"/>
      <c r="F6275" s="17" t="s">
        <v>10780</v>
      </c>
      <c r="G6275" s="17"/>
      <c r="H6275" s="17" t="s">
        <v>12908</v>
      </c>
      <c r="I6275" s="17"/>
      <c r="J6275" s="17" t="s">
        <v>12909</v>
      </c>
      <c r="K6275" s="17"/>
      <c r="L6275" s="17" t="s">
        <v>13863</v>
      </c>
      <c r="M6275" s="17"/>
      <c r="N6275" s="17" t="s">
        <v>40816</v>
      </c>
      <c r="O6275" s="17"/>
      <c r="P6275" s="17" t="s">
        <v>40821</v>
      </c>
      <c r="Q6275" s="17"/>
      <c r="R6275" s="25" t="str">
        <f>HYPERLINK("https://ictv.global/taxonomy/taxondetails?taxnode_id=202318308","Ketkevirus silauonis")</f>
        <v>Ketkevirus silauonis</v>
      </c>
      <c r="S6275" s="18" t="s">
        <v>30</v>
      </c>
      <c r="T6275" s="18" t="s">
        <v>50445</v>
      </c>
      <c r="U6275" s="18"/>
      <c r="V6275" s="18" t="s">
        <v>40822</v>
      </c>
      <c r="W6275" s="18" t="s">
        <v>40823</v>
      </c>
      <c r="X6275" s="18" t="s">
        <v>42</v>
      </c>
      <c r="Y6275" s="18" t="s">
        <v>12266</v>
      </c>
      <c r="Z6275" s="18" t="s">
        <v>10790</v>
      </c>
      <c r="AA6275" s="21" t="str">
        <f>HYPERLINK("https://www.ncbi.nlm.nih.gov/nuccore/MH545533","NCBI Nucleotide")</f>
        <v>NCBI Nucleotide</v>
      </c>
    </row>
    <row r="6276" spans="1:27" x14ac:dyDescent="0.35">
      <c r="A6276">
        <v>1025540</v>
      </c>
      <c r="B6276">
        <v>6014</v>
      </c>
      <c r="C6276">
        <v>1</v>
      </c>
      <c r="D6276" s="17" t="s">
        <v>10507</v>
      </c>
      <c r="E6276" s="17"/>
      <c r="F6276" s="17" t="s">
        <v>10780</v>
      </c>
      <c r="G6276" s="17"/>
      <c r="H6276" s="17" t="s">
        <v>12908</v>
      </c>
      <c r="I6276" s="17"/>
      <c r="J6276" s="17" t="s">
        <v>12909</v>
      </c>
      <c r="K6276" s="17"/>
      <c r="L6276" s="17" t="s">
        <v>13863</v>
      </c>
      <c r="M6276" s="17"/>
      <c r="N6276" s="17" t="s">
        <v>40816</v>
      </c>
      <c r="O6276" s="17"/>
      <c r="P6276" s="17" t="s">
        <v>40824</v>
      </c>
      <c r="Q6276" s="17"/>
      <c r="R6276" s="25" t="str">
        <f>HYPERLINK("https://ictv.global/taxonomy/taxondetails?taxnode_id=202318307","Kopavirus kakawais")</f>
        <v>Kopavirus kakawais</v>
      </c>
      <c r="S6276" s="18" t="s">
        <v>30</v>
      </c>
      <c r="T6276" s="18" t="s">
        <v>40825</v>
      </c>
      <c r="U6276" s="18"/>
      <c r="V6276" s="18" t="s">
        <v>40826</v>
      </c>
      <c r="W6276" s="18" t="s">
        <v>40827</v>
      </c>
      <c r="X6276" s="18" t="s">
        <v>42</v>
      </c>
      <c r="Y6276" s="18" t="s">
        <v>12266</v>
      </c>
      <c r="Z6276" s="18" t="s">
        <v>40828</v>
      </c>
      <c r="AA6276" s="21" t="str">
        <f>HYPERLINK("https://www.ncbi.nlm.nih.gov/nuccore/JX908739","NCBI Nucleotide")</f>
        <v>NCBI Nucleotide</v>
      </c>
    </row>
    <row r="6277" spans="1:27" x14ac:dyDescent="0.35">
      <c r="A6277">
        <v>1025585</v>
      </c>
      <c r="B6277">
        <v>6015</v>
      </c>
      <c r="C6277">
        <v>1</v>
      </c>
      <c r="D6277" s="17" t="s">
        <v>10507</v>
      </c>
      <c r="E6277" s="17"/>
      <c r="F6277" s="17" t="s">
        <v>10780</v>
      </c>
      <c r="G6277" s="17"/>
      <c r="H6277" s="17" t="s">
        <v>12908</v>
      </c>
      <c r="I6277" s="17"/>
      <c r="J6277" s="17" t="s">
        <v>12909</v>
      </c>
      <c r="K6277" s="17"/>
      <c r="L6277" s="17" t="s">
        <v>13863</v>
      </c>
      <c r="M6277" s="17"/>
      <c r="N6277" s="17" t="s">
        <v>40816</v>
      </c>
      <c r="O6277" s="17"/>
      <c r="P6277" s="17" t="s">
        <v>40829</v>
      </c>
      <c r="Q6277" s="17"/>
      <c r="R6277" s="25" t="str">
        <f>HYPERLINK("https://ictv.global/taxonomy/taxondetails?taxnode_id=202318302","Manawavirus kapowais")</f>
        <v>Manawavirus kapowais</v>
      </c>
      <c r="S6277" s="18" t="s">
        <v>30</v>
      </c>
      <c r="T6277" s="18" t="s">
        <v>50446</v>
      </c>
      <c r="U6277" s="18"/>
      <c r="V6277" s="18" t="s">
        <v>40830</v>
      </c>
      <c r="W6277" s="18" t="s">
        <v>40831</v>
      </c>
      <c r="X6277" s="18" t="s">
        <v>42</v>
      </c>
      <c r="Y6277" s="18" t="s">
        <v>12266</v>
      </c>
      <c r="Z6277" s="18" t="s">
        <v>10790</v>
      </c>
      <c r="AA6277" s="21" t="str">
        <f>HYPERLINK("https://www.ncbi.nlm.nih.gov/nuccore/KF738885","NCBI Nucleotide")</f>
        <v>NCBI Nucleotide</v>
      </c>
    </row>
    <row r="6278" spans="1:27" x14ac:dyDescent="0.35">
      <c r="A6278">
        <v>1025535</v>
      </c>
      <c r="B6278">
        <v>6016</v>
      </c>
      <c r="C6278">
        <v>1</v>
      </c>
      <c r="D6278" s="17" t="s">
        <v>10507</v>
      </c>
      <c r="E6278" s="17"/>
      <c r="F6278" s="17" t="s">
        <v>10780</v>
      </c>
      <c r="G6278" s="17"/>
      <c r="H6278" s="17" t="s">
        <v>12908</v>
      </c>
      <c r="I6278" s="17"/>
      <c r="J6278" s="17" t="s">
        <v>12909</v>
      </c>
      <c r="K6278" s="17"/>
      <c r="L6278" s="17" t="s">
        <v>13863</v>
      </c>
      <c r="M6278" s="17"/>
      <c r="N6278" s="17" t="s">
        <v>40816</v>
      </c>
      <c r="O6278" s="17"/>
      <c r="P6278" s="17" t="s">
        <v>40832</v>
      </c>
      <c r="Q6278" s="17"/>
      <c r="R6278" s="25" t="str">
        <f>HYPERLINK("https://ictv.global/taxonomy/taxondetails?taxnode_id=202318304","Otevirus soksuewis")</f>
        <v>Otevirus soksuewis</v>
      </c>
      <c r="S6278" s="18" t="s">
        <v>30</v>
      </c>
      <c r="T6278" s="18" t="s">
        <v>40833</v>
      </c>
      <c r="U6278" s="18"/>
      <c r="V6278" s="18" t="s">
        <v>40834</v>
      </c>
      <c r="W6278" s="18" t="s">
        <v>40835</v>
      </c>
      <c r="X6278" s="18" t="s">
        <v>42</v>
      </c>
      <c r="Y6278" s="18" t="s">
        <v>12266</v>
      </c>
      <c r="Z6278" s="18" t="s">
        <v>10790</v>
      </c>
      <c r="AA6278" s="21" t="str">
        <f>HYPERLINK("https://www.ncbi.nlm.nih.gov/nuccore/KR528568","NCBI Nucleotide")</f>
        <v>NCBI Nucleotide</v>
      </c>
    </row>
    <row r="6279" spans="1:27" x14ac:dyDescent="0.35">
      <c r="A6279">
        <v>1025537</v>
      </c>
      <c r="B6279">
        <v>6017</v>
      </c>
      <c r="C6279">
        <v>1</v>
      </c>
      <c r="D6279" s="17" t="s">
        <v>10507</v>
      </c>
      <c r="E6279" s="17"/>
      <c r="F6279" s="17" t="s">
        <v>10780</v>
      </c>
      <c r="G6279" s="17"/>
      <c r="H6279" s="17" t="s">
        <v>12908</v>
      </c>
      <c r="I6279" s="17"/>
      <c r="J6279" s="17" t="s">
        <v>12909</v>
      </c>
      <c r="K6279" s="17"/>
      <c r="L6279" s="17" t="s">
        <v>13863</v>
      </c>
      <c r="M6279" s="17"/>
      <c r="N6279" s="17" t="s">
        <v>40816</v>
      </c>
      <c r="O6279" s="17"/>
      <c r="P6279" s="17" t="s">
        <v>40836</v>
      </c>
      <c r="Q6279" s="17"/>
      <c r="R6279" s="25" t="str">
        <f>HYPERLINK("https://ictv.global/taxonomy/taxondetails?taxnode_id=202318309","Patavirus kakahis")</f>
        <v>Patavirus kakahis</v>
      </c>
      <c r="S6279" s="18" t="s">
        <v>30</v>
      </c>
      <c r="T6279" s="18" t="s">
        <v>40837</v>
      </c>
      <c r="U6279" s="18"/>
      <c r="V6279" s="18" t="s">
        <v>40838</v>
      </c>
      <c r="W6279" s="18" t="s">
        <v>40839</v>
      </c>
      <c r="X6279" s="18" t="s">
        <v>42</v>
      </c>
      <c r="Y6279" s="18" t="s">
        <v>12266</v>
      </c>
      <c r="Z6279" s="18" t="s">
        <v>10790</v>
      </c>
      <c r="AA6279" s="21" t="str">
        <f>HYPERLINK("https://www.ncbi.nlm.nih.gov/nuccore/KP153409","NCBI Nucleotide")</f>
        <v>NCBI Nucleotide</v>
      </c>
    </row>
    <row r="6280" spans="1:27" x14ac:dyDescent="0.35">
      <c r="A6280">
        <v>1025530</v>
      </c>
      <c r="B6280">
        <v>6018</v>
      </c>
      <c r="C6280">
        <v>1</v>
      </c>
      <c r="D6280" s="17" t="s">
        <v>10507</v>
      </c>
      <c r="E6280" s="17"/>
      <c r="F6280" s="17" t="s">
        <v>10780</v>
      </c>
      <c r="G6280" s="17"/>
      <c r="H6280" s="17" t="s">
        <v>12908</v>
      </c>
      <c r="I6280" s="17"/>
      <c r="J6280" s="17" t="s">
        <v>12909</v>
      </c>
      <c r="K6280" s="17"/>
      <c r="L6280" s="17" t="s">
        <v>13863</v>
      </c>
      <c r="M6280" s="17"/>
      <c r="N6280" s="17" t="s">
        <v>40816</v>
      </c>
      <c r="O6280" s="17"/>
      <c r="P6280" s="17" t="s">
        <v>40840</v>
      </c>
      <c r="Q6280" s="17"/>
      <c r="R6280" s="25" t="str">
        <f>HYPERLINK("https://ictv.global/taxonomy/taxondetails?taxnode_id=202318306","Pekavirus fuais")</f>
        <v>Pekavirus fuais</v>
      </c>
      <c r="S6280" s="18" t="s">
        <v>30</v>
      </c>
      <c r="T6280" s="18" t="s">
        <v>40841</v>
      </c>
      <c r="U6280" s="18"/>
      <c r="V6280" s="18" t="s">
        <v>40842</v>
      </c>
      <c r="W6280" s="18" t="s">
        <v>40843</v>
      </c>
      <c r="X6280" s="18" t="s">
        <v>42</v>
      </c>
      <c r="Y6280" s="18" t="s">
        <v>12266</v>
      </c>
      <c r="Z6280" s="18" t="s">
        <v>166</v>
      </c>
      <c r="AA6280" s="21" t="str">
        <f>HYPERLINK("https://www.ncbi.nlm.nih.gov/nuccore/KT732818","NCBI Nucleotide")</f>
        <v>NCBI Nucleotide</v>
      </c>
    </row>
    <row r="6281" spans="1:27" x14ac:dyDescent="0.35">
      <c r="A6281">
        <v>1025475</v>
      </c>
      <c r="B6281">
        <v>6019</v>
      </c>
      <c r="C6281">
        <v>1</v>
      </c>
      <c r="D6281" s="17" t="s">
        <v>10507</v>
      </c>
      <c r="E6281" s="17"/>
      <c r="F6281" s="17" t="s">
        <v>10780</v>
      </c>
      <c r="G6281" s="17"/>
      <c r="H6281" s="17" t="s">
        <v>12908</v>
      </c>
      <c r="I6281" s="17"/>
      <c r="J6281" s="17" t="s">
        <v>12909</v>
      </c>
      <c r="K6281" s="17"/>
      <c r="L6281" s="17" t="s">
        <v>13863</v>
      </c>
      <c r="M6281" s="17"/>
      <c r="N6281" s="17" t="s">
        <v>40816</v>
      </c>
      <c r="O6281" s="17"/>
      <c r="P6281" s="17" t="s">
        <v>40844</v>
      </c>
      <c r="Q6281" s="17"/>
      <c r="R6281" s="25" t="str">
        <f>HYPERLINK("https://ictv.global/taxonomy/taxondetails?taxnode_id=202318303","Rakkovirus canuewis")</f>
        <v>Rakkovirus canuewis</v>
      </c>
      <c r="S6281" s="18" t="s">
        <v>30</v>
      </c>
      <c r="T6281" s="18" t="s">
        <v>40845</v>
      </c>
      <c r="U6281" s="18"/>
      <c r="V6281" s="18" t="s">
        <v>40846</v>
      </c>
      <c r="W6281" s="18" t="s">
        <v>40847</v>
      </c>
      <c r="X6281" s="18" t="s">
        <v>42</v>
      </c>
      <c r="Y6281" s="18" t="s">
        <v>12266</v>
      </c>
      <c r="Z6281" s="18" t="s">
        <v>10790</v>
      </c>
      <c r="AA6281" s="21" t="str">
        <f>HYPERLINK("https://www.ncbi.nlm.nih.gov/nuccore/KR528548","NCBI Nucleotide")</f>
        <v>NCBI Nucleotide</v>
      </c>
    </row>
    <row r="6282" spans="1:27" x14ac:dyDescent="0.35">
      <c r="A6282">
        <v>1025400</v>
      </c>
      <c r="B6282">
        <v>6020</v>
      </c>
      <c r="C6282">
        <v>1</v>
      </c>
      <c r="D6282" s="17" t="s">
        <v>10507</v>
      </c>
      <c r="E6282" s="17"/>
      <c r="F6282" s="17" t="s">
        <v>10780</v>
      </c>
      <c r="G6282" s="17"/>
      <c r="H6282" s="17" t="s">
        <v>12908</v>
      </c>
      <c r="I6282" s="17"/>
      <c r="J6282" s="17" t="s">
        <v>12909</v>
      </c>
      <c r="K6282" s="17"/>
      <c r="L6282" s="17" t="s">
        <v>13863</v>
      </c>
      <c r="M6282" s="17"/>
      <c r="N6282" s="17" t="s">
        <v>40816</v>
      </c>
      <c r="O6282" s="17"/>
      <c r="P6282" s="17" t="s">
        <v>40848</v>
      </c>
      <c r="Q6282" s="17"/>
      <c r="R6282" s="25" t="str">
        <f>HYPERLINK("https://ictv.global/taxonomy/taxondetails?taxnode_id=202318310","Uewvirus yahnais")</f>
        <v>Uewvirus yahnais</v>
      </c>
      <c r="S6282" s="18" t="s">
        <v>30</v>
      </c>
      <c r="T6282" s="18" t="s">
        <v>40849</v>
      </c>
      <c r="U6282" s="18"/>
      <c r="V6282" s="18" t="s">
        <v>40850</v>
      </c>
      <c r="W6282" s="18" t="s">
        <v>40851</v>
      </c>
      <c r="X6282" s="18" t="s">
        <v>42</v>
      </c>
      <c r="Y6282" s="18" t="s">
        <v>12266</v>
      </c>
      <c r="Z6282" s="18" t="s">
        <v>166</v>
      </c>
      <c r="AA6282" s="21" t="str">
        <f>HYPERLINK("https://www.ncbi.nlm.nih.gov/nuccore/MH617188","NCBI Nucleotide")</f>
        <v>NCBI Nucleotide</v>
      </c>
    </row>
    <row r="6283" spans="1:27" x14ac:dyDescent="0.35">
      <c r="A6283">
        <v>1007555</v>
      </c>
      <c r="B6283">
        <v>6021</v>
      </c>
      <c r="C6283">
        <v>1</v>
      </c>
      <c r="D6283" s="17" t="s">
        <v>10507</v>
      </c>
      <c r="E6283" s="17"/>
      <c r="F6283" s="17" t="s">
        <v>10780</v>
      </c>
      <c r="G6283" s="17"/>
      <c r="H6283" s="17" t="s">
        <v>12908</v>
      </c>
      <c r="I6283" s="17"/>
      <c r="J6283" s="17" t="s">
        <v>12909</v>
      </c>
      <c r="K6283" s="17"/>
      <c r="L6283" s="17" t="s">
        <v>13863</v>
      </c>
      <c r="M6283" s="17"/>
      <c r="N6283" s="17" t="s">
        <v>13875</v>
      </c>
      <c r="O6283" s="17"/>
      <c r="P6283" s="17" t="s">
        <v>13876</v>
      </c>
      <c r="Q6283" s="17"/>
      <c r="R6283" s="25" t="str">
        <f>HYPERLINK("https://ictv.global/taxonomy/taxondetails?taxnode_id=202303907","Cofodevirus kokonas")</f>
        <v>Cofodevirus kokonas</v>
      </c>
      <c r="S6283" s="18" t="s">
        <v>30</v>
      </c>
      <c r="T6283" s="18" t="s">
        <v>13877</v>
      </c>
      <c r="U6283" s="18" t="s">
        <v>13878</v>
      </c>
      <c r="V6283" s="18" t="s">
        <v>37514</v>
      </c>
      <c r="W6283" s="18" t="s">
        <v>50882</v>
      </c>
      <c r="X6283" s="18" t="s">
        <v>42</v>
      </c>
      <c r="Y6283" s="18" t="s">
        <v>10517</v>
      </c>
      <c r="Z6283" s="18" t="s">
        <v>13441</v>
      </c>
      <c r="AA6283" s="21" t="str">
        <f>HYPERLINK("https://www.ncbi.nlm.nih.gov/nuccore/MF926436,MF926439,MF926441,MF926434","NCBI Nucleotide")</f>
        <v>NCBI Nucleotide</v>
      </c>
    </row>
    <row r="6284" spans="1:27" x14ac:dyDescent="0.35">
      <c r="A6284">
        <v>1007556</v>
      </c>
      <c r="B6284">
        <v>6022</v>
      </c>
      <c r="C6284">
        <v>1</v>
      </c>
      <c r="D6284" s="17" t="s">
        <v>10507</v>
      </c>
      <c r="E6284" s="17"/>
      <c r="F6284" s="17" t="s">
        <v>10780</v>
      </c>
      <c r="G6284" s="17"/>
      <c r="H6284" s="17" t="s">
        <v>12908</v>
      </c>
      <c r="I6284" s="17"/>
      <c r="J6284" s="17" t="s">
        <v>12909</v>
      </c>
      <c r="K6284" s="17"/>
      <c r="L6284" s="17" t="s">
        <v>13863</v>
      </c>
      <c r="M6284" s="17"/>
      <c r="N6284" s="17" t="s">
        <v>13879</v>
      </c>
      <c r="O6284" s="17"/>
      <c r="P6284" s="17" t="s">
        <v>13880</v>
      </c>
      <c r="Q6284" s="17"/>
      <c r="R6284" s="25" t="str">
        <f>HYPERLINK("https://ictv.global/taxonomy/taxondetails?taxnode_id=202303894","Babuvirus abacae")</f>
        <v>Babuvirus abacae</v>
      </c>
      <c r="S6284" s="18" t="s">
        <v>30</v>
      </c>
      <c r="T6284" s="18" t="s">
        <v>13881</v>
      </c>
      <c r="U6284" s="18" t="s">
        <v>13882</v>
      </c>
      <c r="V6284" s="18" t="s">
        <v>13883</v>
      </c>
      <c r="W6284" s="18" t="s">
        <v>50759</v>
      </c>
      <c r="X6284" s="18" t="s">
        <v>42</v>
      </c>
      <c r="Y6284" s="18" t="s">
        <v>10517</v>
      </c>
      <c r="Z6284" s="18" t="s">
        <v>13441</v>
      </c>
      <c r="AA6284" s="21" t="str">
        <f>HYPERLINK("https://www.ncbi.nlm.nih.gov/nuccore/EF546812,EF546811,EF546808,EF546813,EF546810,EF546809","NCBI Nucleotide")</f>
        <v>NCBI Nucleotide</v>
      </c>
    </row>
    <row r="6285" spans="1:27" x14ac:dyDescent="0.35">
      <c r="A6285">
        <v>1012429</v>
      </c>
      <c r="B6285">
        <v>6022</v>
      </c>
      <c r="C6285">
        <v>2</v>
      </c>
      <c r="D6285" s="17" t="s">
        <v>10507</v>
      </c>
      <c r="E6285" s="17"/>
      <c r="F6285" s="17" t="s">
        <v>10780</v>
      </c>
      <c r="G6285" s="17"/>
      <c r="H6285" s="17" t="s">
        <v>12908</v>
      </c>
      <c r="I6285" s="17"/>
      <c r="J6285" s="17" t="s">
        <v>12909</v>
      </c>
      <c r="K6285" s="17"/>
      <c r="L6285" s="17" t="s">
        <v>13863</v>
      </c>
      <c r="M6285" s="17"/>
      <c r="N6285" s="17" t="s">
        <v>13879</v>
      </c>
      <c r="O6285" s="17"/>
      <c r="P6285" s="17" t="s">
        <v>13880</v>
      </c>
      <c r="Q6285" s="17"/>
      <c r="R6285" s="25" t="str">
        <f>HYPERLINK("https://ictv.global/taxonomy/taxondetails?taxnode_id=202303894","Babuvirus abacae")</f>
        <v>Babuvirus abacae</v>
      </c>
      <c r="S6285" s="18" t="s">
        <v>8141</v>
      </c>
      <c r="T6285" s="18" t="s">
        <v>13881</v>
      </c>
      <c r="U6285" s="18" t="s">
        <v>13882</v>
      </c>
      <c r="V6285" s="18" t="s">
        <v>13884</v>
      </c>
      <c r="W6285" s="18" t="s">
        <v>48991</v>
      </c>
      <c r="X6285" s="18" t="s">
        <v>42</v>
      </c>
      <c r="Y6285" s="18" t="s">
        <v>10517</v>
      </c>
      <c r="Z6285" s="18" t="s">
        <v>13441</v>
      </c>
      <c r="AA6285" s="21" t="str">
        <f>HYPERLINK("https://www.ncbi.nlm.nih.gov/nuccore/EF546806,EF546805,EF546802,EF546807,EF546804,EF546803","NCBI Nucleotide")</f>
        <v>NCBI Nucleotide</v>
      </c>
    </row>
    <row r="6286" spans="1:27" x14ac:dyDescent="0.35">
      <c r="A6286">
        <v>1007558</v>
      </c>
      <c r="B6286">
        <v>6023</v>
      </c>
      <c r="C6286">
        <v>1</v>
      </c>
      <c r="D6286" s="17" t="s">
        <v>10507</v>
      </c>
      <c r="E6286" s="17"/>
      <c r="F6286" s="17" t="s">
        <v>10780</v>
      </c>
      <c r="G6286" s="17"/>
      <c r="H6286" s="17" t="s">
        <v>12908</v>
      </c>
      <c r="I6286" s="17"/>
      <c r="J6286" s="17" t="s">
        <v>12909</v>
      </c>
      <c r="K6286" s="17"/>
      <c r="L6286" s="17" t="s">
        <v>13863</v>
      </c>
      <c r="M6286" s="17"/>
      <c r="N6286" s="17" t="s">
        <v>13879</v>
      </c>
      <c r="O6286" s="17"/>
      <c r="P6286" s="17" t="s">
        <v>13880</v>
      </c>
      <c r="Q6286" s="17"/>
      <c r="R6286" s="25" t="str">
        <f>HYPERLINK("https://ictv.global/taxonomy/taxondetails?taxnode_id=202303896","Babuvirus cardamomi")</f>
        <v>Babuvirus cardamomi</v>
      </c>
      <c r="S6286" s="18" t="s">
        <v>30</v>
      </c>
      <c r="T6286" s="18" t="s">
        <v>13889</v>
      </c>
      <c r="U6286" s="18" t="s">
        <v>13890</v>
      </c>
      <c r="V6286" s="18" t="s">
        <v>13891</v>
      </c>
      <c r="W6286" s="18" t="s">
        <v>50447</v>
      </c>
      <c r="X6286" s="18" t="s">
        <v>42</v>
      </c>
      <c r="Y6286" s="18" t="s">
        <v>10517</v>
      </c>
      <c r="Z6286" s="18" t="s">
        <v>13441</v>
      </c>
      <c r="AA6286" s="21" t="str">
        <f>HYPERLINK("https://www.ncbi.nlm.nih.gov/nuccore/JX867548,JX569847,JX867546,JX867550,JX867540,KF435143","NCBI Nucleotide")</f>
        <v>NCBI Nucleotide</v>
      </c>
    </row>
    <row r="6287" spans="1:27" x14ac:dyDescent="0.35">
      <c r="A6287">
        <v>1012431</v>
      </c>
      <c r="B6287">
        <v>6023</v>
      </c>
      <c r="C6287">
        <v>2</v>
      </c>
      <c r="D6287" s="17" t="s">
        <v>10507</v>
      </c>
      <c r="E6287" s="17"/>
      <c r="F6287" s="17" t="s">
        <v>10780</v>
      </c>
      <c r="G6287" s="17"/>
      <c r="H6287" s="17" t="s">
        <v>12908</v>
      </c>
      <c r="I6287" s="17"/>
      <c r="J6287" s="17" t="s">
        <v>12909</v>
      </c>
      <c r="K6287" s="17"/>
      <c r="L6287" s="17" t="s">
        <v>13863</v>
      </c>
      <c r="M6287" s="17"/>
      <c r="N6287" s="17" t="s">
        <v>13879</v>
      </c>
      <c r="O6287" s="17"/>
      <c r="P6287" s="17" t="s">
        <v>13880</v>
      </c>
      <c r="Q6287" s="17"/>
      <c r="R6287" s="25" t="str">
        <f>HYPERLINK("https://ictv.global/taxonomy/taxondetails?taxnode_id=202303896","Babuvirus cardamomi")</f>
        <v>Babuvirus cardamomi</v>
      </c>
      <c r="S6287" s="18" t="s">
        <v>8141</v>
      </c>
      <c r="T6287" s="18" t="s">
        <v>13889</v>
      </c>
      <c r="U6287" s="18" t="s">
        <v>13890</v>
      </c>
      <c r="V6287" s="18" t="s">
        <v>13892</v>
      </c>
      <c r="W6287" s="18" t="s">
        <v>48992</v>
      </c>
      <c r="X6287" s="18" t="s">
        <v>42</v>
      </c>
      <c r="Y6287" s="18" t="s">
        <v>10517</v>
      </c>
      <c r="Z6287" s="18" t="s">
        <v>13441</v>
      </c>
      <c r="AA6287" s="21" t="str">
        <f>HYPERLINK("https://www.ncbi.nlm.nih.gov/nuccore/KF711227,KF711064,KF711390,KF710575,KF710901,KF710738","NCBI Nucleotide")</f>
        <v>NCBI Nucleotide</v>
      </c>
    </row>
    <row r="6288" spans="1:27" x14ac:dyDescent="0.35">
      <c r="A6288">
        <v>1007557</v>
      </c>
      <c r="B6288">
        <v>6024</v>
      </c>
      <c r="C6288">
        <v>1</v>
      </c>
      <c r="D6288" s="17" t="s">
        <v>10507</v>
      </c>
      <c r="E6288" s="17"/>
      <c r="F6288" s="17" t="s">
        <v>10780</v>
      </c>
      <c r="G6288" s="17"/>
      <c r="H6288" s="17" t="s">
        <v>12908</v>
      </c>
      <c r="I6288" s="17"/>
      <c r="J6288" s="17" t="s">
        <v>12909</v>
      </c>
      <c r="K6288" s="17"/>
      <c r="L6288" s="17" t="s">
        <v>13863</v>
      </c>
      <c r="M6288" s="17"/>
      <c r="N6288" s="17" t="s">
        <v>13879</v>
      </c>
      <c r="O6288" s="17"/>
      <c r="P6288" s="17" t="s">
        <v>13880</v>
      </c>
      <c r="Q6288" s="17"/>
      <c r="R6288" s="25" t="str">
        <f>HYPERLINK("https://ictv.global/taxonomy/taxondetails?taxnode_id=202303895","Babuvirus musae")</f>
        <v>Babuvirus musae</v>
      </c>
      <c r="S6288" s="18" t="s">
        <v>30</v>
      </c>
      <c r="T6288" s="18" t="s">
        <v>13885</v>
      </c>
      <c r="U6288" s="18" t="s">
        <v>13886</v>
      </c>
      <c r="V6288" s="18" t="s">
        <v>13887</v>
      </c>
      <c r="W6288" s="18" t="s">
        <v>50448</v>
      </c>
      <c r="X6288" s="18" t="s">
        <v>42</v>
      </c>
      <c r="Y6288" s="18" t="s">
        <v>10517</v>
      </c>
      <c r="Z6288" s="18" t="s">
        <v>13441</v>
      </c>
      <c r="AA6288" s="21" t="str">
        <f>HYPERLINK("https://www.ncbi.nlm.nih.gov/nuccore/L41578,L41575,L41577,S56276,L41574,L41576","NCBI Nucleotide")</f>
        <v>NCBI Nucleotide</v>
      </c>
    </row>
    <row r="6289" spans="1:27" x14ac:dyDescent="0.35">
      <c r="A6289">
        <v>1012430</v>
      </c>
      <c r="B6289">
        <v>6024</v>
      </c>
      <c r="C6289">
        <v>2</v>
      </c>
      <c r="D6289" s="17" t="s">
        <v>10507</v>
      </c>
      <c r="E6289" s="17"/>
      <c r="F6289" s="17" t="s">
        <v>10780</v>
      </c>
      <c r="G6289" s="17"/>
      <c r="H6289" s="17" t="s">
        <v>12908</v>
      </c>
      <c r="I6289" s="17"/>
      <c r="J6289" s="17" t="s">
        <v>12909</v>
      </c>
      <c r="K6289" s="17"/>
      <c r="L6289" s="17" t="s">
        <v>13863</v>
      </c>
      <c r="M6289" s="17"/>
      <c r="N6289" s="17" t="s">
        <v>13879</v>
      </c>
      <c r="O6289" s="17"/>
      <c r="P6289" s="17" t="s">
        <v>13880</v>
      </c>
      <c r="Q6289" s="17"/>
      <c r="R6289" s="25" t="str">
        <f>HYPERLINK("https://ictv.global/taxonomy/taxondetails?taxnode_id=202303895","Babuvirus musae")</f>
        <v>Babuvirus musae</v>
      </c>
      <c r="S6289" s="18" t="s">
        <v>8141</v>
      </c>
      <c r="T6289" s="18" t="s">
        <v>13885</v>
      </c>
      <c r="U6289" s="18" t="s">
        <v>13886</v>
      </c>
      <c r="V6289" s="18" t="s">
        <v>13888</v>
      </c>
      <c r="W6289" s="18" t="s">
        <v>48993</v>
      </c>
      <c r="X6289" s="18" t="s">
        <v>42</v>
      </c>
      <c r="Y6289" s="18" t="s">
        <v>10517</v>
      </c>
      <c r="Z6289" s="18" t="s">
        <v>13441</v>
      </c>
      <c r="AA6289" s="21" t="str">
        <f>HYPERLINK("https://www.ncbi.nlm.nih.gov/nuccore/DQ826395,DQ826394,DQ826396,DQ826390,DQ826393,DQ826391","NCBI Nucleotide")</f>
        <v>NCBI Nucleotide</v>
      </c>
    </row>
    <row r="6290" spans="1:27" x14ac:dyDescent="0.35">
      <c r="A6290">
        <v>1007564</v>
      </c>
      <c r="B6290">
        <v>6025</v>
      </c>
      <c r="C6290">
        <v>1</v>
      </c>
      <c r="D6290" s="17" t="s">
        <v>10507</v>
      </c>
      <c r="E6290" s="17"/>
      <c r="F6290" s="17" t="s">
        <v>10780</v>
      </c>
      <c r="G6290" s="17"/>
      <c r="H6290" s="17" t="s">
        <v>12908</v>
      </c>
      <c r="I6290" s="17"/>
      <c r="J6290" s="17" t="s">
        <v>12909</v>
      </c>
      <c r="K6290" s="17"/>
      <c r="L6290" s="17" t="s">
        <v>13863</v>
      </c>
      <c r="M6290" s="17"/>
      <c r="N6290" s="17" t="s">
        <v>13879</v>
      </c>
      <c r="O6290" s="17"/>
      <c r="P6290" s="17" t="s">
        <v>13893</v>
      </c>
      <c r="Q6290" s="17"/>
      <c r="R6290" s="25" t="str">
        <f>HYPERLINK("https://ictv.global/taxonomy/taxondetails?taxnode_id=202303902","Nanovirus astragali")</f>
        <v>Nanovirus astragali</v>
      </c>
      <c r="S6290" s="18" t="s">
        <v>30</v>
      </c>
      <c r="T6290" s="18" t="s">
        <v>13916</v>
      </c>
      <c r="U6290" s="18" t="s">
        <v>13917</v>
      </c>
      <c r="V6290" s="18" t="s">
        <v>12808</v>
      </c>
      <c r="W6290" s="18" t="s">
        <v>50449</v>
      </c>
      <c r="X6290" s="18" t="s">
        <v>42</v>
      </c>
      <c r="Y6290" s="18" t="s">
        <v>10517</v>
      </c>
      <c r="Z6290" s="18" t="s">
        <v>13441</v>
      </c>
      <c r="AA6290" s="21" t="str">
        <f>HYPERLINK("https://www.ncbi.nlm.nih.gov/nuccore/AB000923,AB000927,AB000925,AB027511,AB009046,AB000924,AB000926,AB255373","NCBI Nucleotide")</f>
        <v>NCBI Nucleotide</v>
      </c>
    </row>
    <row r="6291" spans="1:27" x14ac:dyDescent="0.35">
      <c r="A6291">
        <v>1012438</v>
      </c>
      <c r="B6291">
        <v>6025</v>
      </c>
      <c r="C6291">
        <v>2</v>
      </c>
      <c r="D6291" s="17" t="s">
        <v>10507</v>
      </c>
      <c r="E6291" s="17"/>
      <c r="F6291" s="17" t="s">
        <v>10780</v>
      </c>
      <c r="G6291" s="17"/>
      <c r="H6291" s="17" t="s">
        <v>12908</v>
      </c>
      <c r="I6291" s="17"/>
      <c r="J6291" s="17" t="s">
        <v>12909</v>
      </c>
      <c r="K6291" s="17"/>
      <c r="L6291" s="17" t="s">
        <v>13863</v>
      </c>
      <c r="M6291" s="17"/>
      <c r="N6291" s="17" t="s">
        <v>13879</v>
      </c>
      <c r="O6291" s="17"/>
      <c r="P6291" s="17" t="s">
        <v>13893</v>
      </c>
      <c r="Q6291" s="17"/>
      <c r="R6291" s="25" t="str">
        <f>HYPERLINK("https://ictv.global/taxonomy/taxondetails?taxnode_id=202303902","Nanovirus astragali")</f>
        <v>Nanovirus astragali</v>
      </c>
      <c r="S6291" s="18" t="s">
        <v>8141</v>
      </c>
      <c r="T6291" s="18" t="s">
        <v>13916</v>
      </c>
      <c r="U6291" s="18" t="s">
        <v>13917</v>
      </c>
      <c r="V6291" s="18" t="s">
        <v>13918</v>
      </c>
      <c r="W6291" s="18" t="s">
        <v>48994</v>
      </c>
      <c r="X6291" s="18" t="s">
        <v>42</v>
      </c>
      <c r="Y6291" s="18" t="s">
        <v>10517</v>
      </c>
      <c r="Z6291" s="18" t="s">
        <v>13441</v>
      </c>
      <c r="AA6291" s="21" t="str">
        <f>HYPERLINK("https://www.ncbi.nlm.nih.gov/nuccore/KY070240,KY070244,KY070242,KY070246,KY070245,KY070241,KY070243,KY070247","NCBI Nucleotide")</f>
        <v>NCBI Nucleotide</v>
      </c>
    </row>
    <row r="6292" spans="1:27" x14ac:dyDescent="0.35">
      <c r="A6292">
        <v>1025517</v>
      </c>
      <c r="B6292">
        <v>6026</v>
      </c>
      <c r="C6292">
        <v>1</v>
      </c>
      <c r="D6292" s="17" t="s">
        <v>10507</v>
      </c>
      <c r="E6292" s="17"/>
      <c r="F6292" s="17" t="s">
        <v>10780</v>
      </c>
      <c r="G6292" s="17"/>
      <c r="H6292" s="17" t="s">
        <v>12908</v>
      </c>
      <c r="I6292" s="17"/>
      <c r="J6292" s="17" t="s">
        <v>12909</v>
      </c>
      <c r="K6292" s="17"/>
      <c r="L6292" s="17" t="s">
        <v>13863</v>
      </c>
      <c r="M6292" s="17"/>
      <c r="N6292" s="17" t="s">
        <v>13879</v>
      </c>
      <c r="O6292" s="17"/>
      <c r="P6292" s="17" t="s">
        <v>13893</v>
      </c>
      <c r="Q6292" s="17"/>
      <c r="R6292" s="25" t="str">
        <f>HYPERLINK("https://ictv.global/taxonomy/taxondetails?taxnode_id=202318788","Nanovirus astragalirani")</f>
        <v>Nanovirus astragalirani</v>
      </c>
      <c r="S6292" s="18" t="s">
        <v>30</v>
      </c>
      <c r="T6292" s="18" t="s">
        <v>50450</v>
      </c>
      <c r="U6292" s="18" t="s">
        <v>40852</v>
      </c>
      <c r="V6292" s="18" t="s">
        <v>40853</v>
      </c>
      <c r="W6292" s="18" t="s">
        <v>50878</v>
      </c>
      <c r="X6292" s="18" t="s">
        <v>42</v>
      </c>
      <c r="Y6292" s="18" t="s">
        <v>10517</v>
      </c>
      <c r="Z6292" s="18" t="s">
        <v>13441</v>
      </c>
      <c r="AA6292" s="21" t="str">
        <f>HYPERLINK("https://www.ncbi.nlm.nih.gov/nuccore/MN273332,MN273334,MN273335,MN273336,MN273333,MN273337,MN273338,MN273339","NCBI Nucleotide")</f>
        <v>NCBI Nucleotide</v>
      </c>
    </row>
    <row r="6293" spans="1:27" x14ac:dyDescent="0.35">
      <c r="A6293">
        <v>1007567</v>
      </c>
      <c r="B6293">
        <v>6027</v>
      </c>
      <c r="C6293">
        <v>1</v>
      </c>
      <c r="D6293" s="17" t="s">
        <v>10507</v>
      </c>
      <c r="E6293" s="17"/>
      <c r="F6293" s="17" t="s">
        <v>10780</v>
      </c>
      <c r="G6293" s="17"/>
      <c r="H6293" s="17" t="s">
        <v>12908</v>
      </c>
      <c r="I6293" s="17"/>
      <c r="J6293" s="17" t="s">
        <v>12909</v>
      </c>
      <c r="K6293" s="17"/>
      <c r="L6293" s="17" t="s">
        <v>13863</v>
      </c>
      <c r="M6293" s="17"/>
      <c r="N6293" s="17" t="s">
        <v>13879</v>
      </c>
      <c r="O6293" s="17"/>
      <c r="P6293" s="17" t="s">
        <v>13893</v>
      </c>
      <c r="Q6293" s="17"/>
      <c r="R6293" s="25" t="str">
        <f>HYPERLINK("https://ictv.global/taxonomy/taxondetails?taxnode_id=202303904","Nanovirus flavipisi")</f>
        <v>Nanovirus flavipisi</v>
      </c>
      <c r="S6293" s="18" t="s">
        <v>30</v>
      </c>
      <c r="T6293" s="18" t="s">
        <v>13926</v>
      </c>
      <c r="U6293" s="18" t="s">
        <v>13927</v>
      </c>
      <c r="V6293" s="18" t="s">
        <v>13928</v>
      </c>
      <c r="W6293" s="18" t="s">
        <v>50451</v>
      </c>
      <c r="X6293" s="18" t="s">
        <v>42</v>
      </c>
      <c r="Y6293" s="18" t="s">
        <v>10517</v>
      </c>
      <c r="Z6293" s="18" t="s">
        <v>13441</v>
      </c>
      <c r="AA6293" s="21" t="str">
        <f>HYPERLINK("https://www.ncbi.nlm.nih.gov/nuccore/KC979056,KC979057,KC979058,KC979054,KC979055,KC979062,KC979059,KC979061","NCBI Nucleotide")</f>
        <v>NCBI Nucleotide</v>
      </c>
    </row>
    <row r="6294" spans="1:27" x14ac:dyDescent="0.35">
      <c r="A6294">
        <v>1007563</v>
      </c>
      <c r="B6294">
        <v>6028</v>
      </c>
      <c r="C6294">
        <v>1</v>
      </c>
      <c r="D6294" s="17" t="s">
        <v>10507</v>
      </c>
      <c r="E6294" s="17"/>
      <c r="F6294" s="17" t="s">
        <v>10780</v>
      </c>
      <c r="G6294" s="17"/>
      <c r="H6294" s="17" t="s">
        <v>12908</v>
      </c>
      <c r="I6294" s="17"/>
      <c r="J6294" s="17" t="s">
        <v>12909</v>
      </c>
      <c r="K6294" s="17"/>
      <c r="L6294" s="17" t="s">
        <v>13863</v>
      </c>
      <c r="M6294" s="17"/>
      <c r="N6294" s="17" t="s">
        <v>13879</v>
      </c>
      <c r="O6294" s="17"/>
      <c r="P6294" s="17" t="s">
        <v>13893</v>
      </c>
      <c r="Q6294" s="17"/>
      <c r="R6294" s="25" t="str">
        <f>HYPERLINK("https://ictv.global/taxonomy/taxondetails?taxnode_id=202303901","Nanovirus flaviviciae")</f>
        <v>Nanovirus flaviviciae</v>
      </c>
      <c r="S6294" s="18" t="s">
        <v>30</v>
      </c>
      <c r="T6294" s="18" t="s">
        <v>13913</v>
      </c>
      <c r="U6294" s="18" t="s">
        <v>13914</v>
      </c>
      <c r="V6294" s="18" t="s">
        <v>13915</v>
      </c>
      <c r="W6294" s="18" t="s">
        <v>50452</v>
      </c>
      <c r="X6294" s="18" t="s">
        <v>42</v>
      </c>
      <c r="Y6294" s="18" t="s">
        <v>10517</v>
      </c>
      <c r="Z6294" s="18" t="s">
        <v>13441</v>
      </c>
      <c r="AA6294" s="21" t="str">
        <f>HYPERLINK("https://www.ncbi.nlm.nih.gov/nuccore/HE654126,HE654125,HE654127,HE654123,HE654124,HE654128,HE654129,HE654130","NCBI Nucleotide")</f>
        <v>NCBI Nucleotide</v>
      </c>
    </row>
    <row r="6295" spans="1:27" x14ac:dyDescent="0.35">
      <c r="A6295">
        <v>1007559</v>
      </c>
      <c r="B6295">
        <v>6029</v>
      </c>
      <c r="C6295">
        <v>1</v>
      </c>
      <c r="D6295" s="17" t="s">
        <v>10507</v>
      </c>
      <c r="E6295" s="17"/>
      <c r="F6295" s="17" t="s">
        <v>10780</v>
      </c>
      <c r="G6295" s="17"/>
      <c r="H6295" s="17" t="s">
        <v>12908</v>
      </c>
      <c r="I6295" s="17"/>
      <c r="J6295" s="17" t="s">
        <v>12909</v>
      </c>
      <c r="K6295" s="17"/>
      <c r="L6295" s="17" t="s">
        <v>13863</v>
      </c>
      <c r="M6295" s="17"/>
      <c r="N6295" s="17" t="s">
        <v>13879</v>
      </c>
      <c r="O6295" s="17"/>
      <c r="P6295" s="17" t="s">
        <v>13893</v>
      </c>
      <c r="Q6295" s="17"/>
      <c r="R6295" s="25" t="str">
        <f>HYPERLINK("https://ictv.global/taxonomy/taxondetails?taxnode_id=202303898","Nanovirus medicagonis")</f>
        <v>Nanovirus medicagonis</v>
      </c>
      <c r="S6295" s="18" t="s">
        <v>30</v>
      </c>
      <c r="T6295" s="18" t="s">
        <v>13894</v>
      </c>
      <c r="U6295" s="18" t="s">
        <v>13895</v>
      </c>
      <c r="V6295" s="18" t="s">
        <v>13896</v>
      </c>
      <c r="W6295" s="18" t="s">
        <v>50453</v>
      </c>
      <c r="X6295" s="18" t="s">
        <v>42</v>
      </c>
      <c r="Y6295" s="18" t="s">
        <v>10517</v>
      </c>
      <c r="Z6295" s="18" t="s">
        <v>13441</v>
      </c>
      <c r="AA6295" s="21" t="str">
        <f>HYPERLINK("https://www.ncbi.nlm.nih.gov/nuccore/KC978960,KC978961,KC978962,KC978958,KC978959,KC978963,KC978964,KC978965","NCBI Nucleotide")</f>
        <v>NCBI Nucleotide</v>
      </c>
    </row>
    <row r="6296" spans="1:27" x14ac:dyDescent="0.35">
      <c r="A6296">
        <v>1012432</v>
      </c>
      <c r="B6296">
        <v>6029</v>
      </c>
      <c r="C6296">
        <v>2</v>
      </c>
      <c r="D6296" s="17" t="s">
        <v>10507</v>
      </c>
      <c r="E6296" s="17"/>
      <c r="F6296" s="17" t="s">
        <v>10780</v>
      </c>
      <c r="G6296" s="17"/>
      <c r="H6296" s="17" t="s">
        <v>12908</v>
      </c>
      <c r="I6296" s="17"/>
      <c r="J6296" s="17" t="s">
        <v>12909</v>
      </c>
      <c r="K6296" s="17"/>
      <c r="L6296" s="17" t="s">
        <v>13863</v>
      </c>
      <c r="M6296" s="17"/>
      <c r="N6296" s="17" t="s">
        <v>13879</v>
      </c>
      <c r="O6296" s="17"/>
      <c r="P6296" s="17" t="s">
        <v>13893</v>
      </c>
      <c r="Q6296" s="17"/>
      <c r="R6296" s="25" t="str">
        <f>HYPERLINK("https://ictv.global/taxonomy/taxondetails?taxnode_id=202303898","Nanovirus medicagonis")</f>
        <v>Nanovirus medicagonis</v>
      </c>
      <c r="S6296" s="18" t="s">
        <v>8141</v>
      </c>
      <c r="T6296" s="18" t="s">
        <v>13894</v>
      </c>
      <c r="U6296" s="18" t="s">
        <v>13895</v>
      </c>
      <c r="V6296" s="18" t="s">
        <v>13897</v>
      </c>
      <c r="W6296" s="18" t="s">
        <v>48995</v>
      </c>
      <c r="X6296" s="18" t="s">
        <v>42</v>
      </c>
      <c r="Y6296" s="18" t="s">
        <v>10517</v>
      </c>
      <c r="Z6296" s="18" t="s">
        <v>13441</v>
      </c>
      <c r="AA6296" s="21" t="str">
        <f>HYPERLINK("https://www.ncbi.nlm.nih.gov/nuccore/KC978941,KC978942,KC978943,KC978939,KC978940,KC978944,KC978946,KC978947","NCBI Nucleotide")</f>
        <v>NCBI Nucleotide</v>
      </c>
    </row>
    <row r="6297" spans="1:27" x14ac:dyDescent="0.35">
      <c r="A6297">
        <v>1012433</v>
      </c>
      <c r="B6297">
        <v>6029</v>
      </c>
      <c r="C6297">
        <v>3</v>
      </c>
      <c r="D6297" s="17" t="s">
        <v>10507</v>
      </c>
      <c r="E6297" s="17"/>
      <c r="F6297" s="17" t="s">
        <v>10780</v>
      </c>
      <c r="G6297" s="17"/>
      <c r="H6297" s="17" t="s">
        <v>12908</v>
      </c>
      <c r="I6297" s="17"/>
      <c r="J6297" s="17" t="s">
        <v>12909</v>
      </c>
      <c r="K6297" s="17"/>
      <c r="L6297" s="17" t="s">
        <v>13863</v>
      </c>
      <c r="M6297" s="17"/>
      <c r="N6297" s="17" t="s">
        <v>13879</v>
      </c>
      <c r="O6297" s="17"/>
      <c r="P6297" s="17" t="s">
        <v>13893</v>
      </c>
      <c r="Q6297" s="17"/>
      <c r="R6297" s="25" t="str">
        <f>HYPERLINK("https://ictv.global/taxonomy/taxondetails?taxnode_id=202303898","Nanovirus medicagonis")</f>
        <v>Nanovirus medicagonis</v>
      </c>
      <c r="S6297" s="18" t="s">
        <v>8141</v>
      </c>
      <c r="T6297" s="18" t="s">
        <v>13894</v>
      </c>
      <c r="U6297" s="18" t="s">
        <v>13895</v>
      </c>
      <c r="V6297" s="18" t="s">
        <v>13898</v>
      </c>
      <c r="W6297" s="18" t="s">
        <v>48996</v>
      </c>
      <c r="X6297" s="18" t="s">
        <v>42</v>
      </c>
      <c r="Y6297" s="18" t="s">
        <v>10517</v>
      </c>
      <c r="Z6297" s="18" t="s">
        <v>13441</v>
      </c>
      <c r="AA6297" s="21" t="str">
        <f>HYPERLINK("https://www.ncbi.nlm.nih.gov/nuccore/KC978951,KC978952,KC978953,KC978949,KC978950,KC978954,KC978955,KC978956","NCBI Nucleotide")</f>
        <v>NCBI Nucleotide</v>
      </c>
    </row>
    <row r="6298" spans="1:27" x14ac:dyDescent="0.35">
      <c r="A6298">
        <v>1007562</v>
      </c>
      <c r="B6298">
        <v>6030</v>
      </c>
      <c r="C6298">
        <v>1</v>
      </c>
      <c r="D6298" s="17" t="s">
        <v>10507</v>
      </c>
      <c r="E6298" s="17"/>
      <c r="F6298" s="17" t="s">
        <v>10780</v>
      </c>
      <c r="G6298" s="17"/>
      <c r="H6298" s="17" t="s">
        <v>12908</v>
      </c>
      <c r="I6298" s="17"/>
      <c r="J6298" s="17" t="s">
        <v>12909</v>
      </c>
      <c r="K6298" s="17"/>
      <c r="L6298" s="17" t="s">
        <v>13863</v>
      </c>
      <c r="M6298" s="17"/>
      <c r="N6298" s="17" t="s">
        <v>13879</v>
      </c>
      <c r="O6298" s="17"/>
      <c r="P6298" s="17" t="s">
        <v>13893</v>
      </c>
      <c r="Q6298" s="17"/>
      <c r="R6298" s="25" t="str">
        <f>HYPERLINK("https://ictv.global/taxonomy/taxondetails?taxnode_id=202303900","Nanovirus necroflaviviciae")</f>
        <v>Nanovirus necroflaviviciae</v>
      </c>
      <c r="S6298" s="18" t="s">
        <v>30</v>
      </c>
      <c r="T6298" s="18" t="s">
        <v>13907</v>
      </c>
      <c r="U6298" s="18" t="s">
        <v>13908</v>
      </c>
      <c r="V6298" s="18" t="s">
        <v>13909</v>
      </c>
      <c r="W6298" s="18" t="s">
        <v>50454</v>
      </c>
      <c r="X6298" s="18" t="s">
        <v>42</v>
      </c>
      <c r="Y6298" s="18" t="s">
        <v>10517</v>
      </c>
      <c r="Z6298" s="18" t="s">
        <v>13441</v>
      </c>
      <c r="AA6298" s="21" t="str">
        <f>HYPERLINK("https://www.ncbi.nlm.nih.gov/nuccore/AJ132179,AJ132182,AJ132186,AJ132180,AJ132183,AJ132181,AJ132184,AJ749902","NCBI Nucleotide")</f>
        <v>NCBI Nucleotide</v>
      </c>
    </row>
    <row r="6299" spans="1:27" x14ac:dyDescent="0.35">
      <c r="A6299">
        <v>1012435</v>
      </c>
      <c r="B6299">
        <v>6030</v>
      </c>
      <c r="C6299">
        <v>2</v>
      </c>
      <c r="D6299" s="17" t="s">
        <v>10507</v>
      </c>
      <c r="E6299" s="17"/>
      <c r="F6299" s="17" t="s">
        <v>10780</v>
      </c>
      <c r="G6299" s="17"/>
      <c r="H6299" s="17" t="s">
        <v>12908</v>
      </c>
      <c r="I6299" s="17"/>
      <c r="J6299" s="17" t="s">
        <v>12909</v>
      </c>
      <c r="K6299" s="17"/>
      <c r="L6299" s="17" t="s">
        <v>13863</v>
      </c>
      <c r="M6299" s="17"/>
      <c r="N6299" s="17" t="s">
        <v>13879</v>
      </c>
      <c r="O6299" s="17"/>
      <c r="P6299" s="17" t="s">
        <v>13893</v>
      </c>
      <c r="Q6299" s="17"/>
      <c r="R6299" s="25" t="str">
        <f>HYPERLINK("https://ictv.global/taxonomy/taxondetails?taxnode_id=202303900","Nanovirus necroflaviviciae")</f>
        <v>Nanovirus necroflaviviciae</v>
      </c>
      <c r="S6299" s="18" t="s">
        <v>8141</v>
      </c>
      <c r="T6299" s="18" t="s">
        <v>13907</v>
      </c>
      <c r="U6299" s="18" t="s">
        <v>13908</v>
      </c>
      <c r="V6299" s="18" t="s">
        <v>13910</v>
      </c>
      <c r="W6299" s="18" t="s">
        <v>48997</v>
      </c>
      <c r="X6299" s="18" t="s">
        <v>42</v>
      </c>
      <c r="Y6299" s="18" t="s">
        <v>10517</v>
      </c>
      <c r="Z6299" s="18" t="s">
        <v>13441</v>
      </c>
      <c r="AA6299" s="21" t="str">
        <f>HYPERLINK("https://www.ncbi.nlm.nih.gov/nuccore/GQ274023,GQ274027,GQ274030,GQ274025,GQ274028,GQ274026,GQ274029,GQ274024","NCBI Nucleotide")</f>
        <v>NCBI Nucleotide</v>
      </c>
    </row>
    <row r="6300" spans="1:27" x14ac:dyDescent="0.35">
      <c r="A6300">
        <v>1012436</v>
      </c>
      <c r="B6300">
        <v>6030</v>
      </c>
      <c r="C6300">
        <v>3</v>
      </c>
      <c r="D6300" s="17" t="s">
        <v>10507</v>
      </c>
      <c r="E6300" s="17"/>
      <c r="F6300" s="17" t="s">
        <v>10780</v>
      </c>
      <c r="G6300" s="17"/>
      <c r="H6300" s="17" t="s">
        <v>12908</v>
      </c>
      <c r="I6300" s="17"/>
      <c r="J6300" s="17" t="s">
        <v>12909</v>
      </c>
      <c r="K6300" s="17"/>
      <c r="L6300" s="17" t="s">
        <v>13863</v>
      </c>
      <c r="M6300" s="17"/>
      <c r="N6300" s="17" t="s">
        <v>13879</v>
      </c>
      <c r="O6300" s="17"/>
      <c r="P6300" s="17" t="s">
        <v>13893</v>
      </c>
      <c r="Q6300" s="17"/>
      <c r="R6300" s="25" t="str">
        <f>HYPERLINK("https://ictv.global/taxonomy/taxondetails?taxnode_id=202303900","Nanovirus necroflaviviciae")</f>
        <v>Nanovirus necroflaviviciae</v>
      </c>
      <c r="S6300" s="18" t="s">
        <v>8141</v>
      </c>
      <c r="T6300" s="18" t="s">
        <v>13907</v>
      </c>
      <c r="U6300" s="18" t="s">
        <v>13908</v>
      </c>
      <c r="V6300" s="18" t="s">
        <v>13911</v>
      </c>
      <c r="W6300" s="18" t="s">
        <v>48998</v>
      </c>
      <c r="X6300" s="18" t="s">
        <v>42</v>
      </c>
      <c r="Y6300" s="18" t="s">
        <v>10517</v>
      </c>
      <c r="Z6300" s="18" t="s">
        <v>13441</v>
      </c>
      <c r="AA6300" s="21" t="str">
        <f>HYPERLINK("https://www.ncbi.nlm.nih.gov/nuccore/KX431388,KX431395,KX431402,KX431381,KX431409,KX431416,KX431423,KX431430","NCBI Nucleotide")</f>
        <v>NCBI Nucleotide</v>
      </c>
    </row>
    <row r="6301" spans="1:27" x14ac:dyDescent="0.35">
      <c r="A6301">
        <v>1012437</v>
      </c>
      <c r="B6301">
        <v>6030</v>
      </c>
      <c r="C6301">
        <v>4</v>
      </c>
      <c r="D6301" s="17" t="s">
        <v>10507</v>
      </c>
      <c r="E6301" s="17"/>
      <c r="F6301" s="17" t="s">
        <v>10780</v>
      </c>
      <c r="G6301" s="17"/>
      <c r="H6301" s="17" t="s">
        <v>12908</v>
      </c>
      <c r="I6301" s="17"/>
      <c r="J6301" s="17" t="s">
        <v>12909</v>
      </c>
      <c r="K6301" s="17"/>
      <c r="L6301" s="17" t="s">
        <v>13863</v>
      </c>
      <c r="M6301" s="17"/>
      <c r="N6301" s="17" t="s">
        <v>13879</v>
      </c>
      <c r="O6301" s="17"/>
      <c r="P6301" s="17" t="s">
        <v>13893</v>
      </c>
      <c r="Q6301" s="17"/>
      <c r="R6301" s="25" t="str">
        <f>HYPERLINK("https://ictv.global/taxonomy/taxondetails?taxnode_id=202303900","Nanovirus necroflaviviciae")</f>
        <v>Nanovirus necroflaviviciae</v>
      </c>
      <c r="S6301" s="18" t="s">
        <v>8141</v>
      </c>
      <c r="T6301" s="18" t="s">
        <v>13907</v>
      </c>
      <c r="U6301" s="18" t="s">
        <v>13908</v>
      </c>
      <c r="V6301" s="18" t="s">
        <v>13912</v>
      </c>
      <c r="W6301" s="18" t="s">
        <v>48999</v>
      </c>
      <c r="X6301" s="18" t="s">
        <v>42</v>
      </c>
      <c r="Y6301" s="18" t="s">
        <v>10517</v>
      </c>
      <c r="Z6301" s="18" t="s">
        <v>13441</v>
      </c>
      <c r="AA6301" s="21" t="str">
        <f>HYPERLINK("https://www.ncbi.nlm.nih.gov/nuccore/KC979021,KC979022,KC979023,KC979019,KC979020,KC979024,KC979025,KC979026","NCBI Nucleotide")</f>
        <v>NCBI Nucleotide</v>
      </c>
    </row>
    <row r="6302" spans="1:27" x14ac:dyDescent="0.35">
      <c r="A6302">
        <v>1007566</v>
      </c>
      <c r="B6302">
        <v>6031</v>
      </c>
      <c r="C6302">
        <v>1</v>
      </c>
      <c r="D6302" s="17" t="s">
        <v>10507</v>
      </c>
      <c r="E6302" s="17"/>
      <c r="F6302" s="17" t="s">
        <v>10780</v>
      </c>
      <c r="G6302" s="17"/>
      <c r="H6302" s="17" t="s">
        <v>12908</v>
      </c>
      <c r="I6302" s="17"/>
      <c r="J6302" s="17" t="s">
        <v>12909</v>
      </c>
      <c r="K6302" s="17"/>
      <c r="L6302" s="17" t="s">
        <v>13863</v>
      </c>
      <c r="M6302" s="17"/>
      <c r="N6302" s="17" t="s">
        <v>13879</v>
      </c>
      <c r="O6302" s="17"/>
      <c r="P6302" s="17" t="s">
        <v>13893</v>
      </c>
      <c r="Q6302" s="17"/>
      <c r="R6302" s="25" t="str">
        <f>HYPERLINK("https://ictv.global/taxonomy/taxondetails?taxnode_id=202303903","Nanovirus necropisi")</f>
        <v>Nanovirus necropisi</v>
      </c>
      <c r="S6302" s="18" t="s">
        <v>30</v>
      </c>
      <c r="T6302" s="18" t="s">
        <v>13923</v>
      </c>
      <c r="U6302" s="18" t="s">
        <v>13924</v>
      </c>
      <c r="V6302" s="18" t="s">
        <v>13925</v>
      </c>
      <c r="W6302" s="18" t="s">
        <v>50455</v>
      </c>
      <c r="X6302" s="18" t="s">
        <v>42</v>
      </c>
      <c r="Y6302" s="18" t="s">
        <v>10517</v>
      </c>
      <c r="Z6302" s="18" t="s">
        <v>13441</v>
      </c>
      <c r="AA6302" s="21" t="str">
        <f>HYPERLINK("https://www.ncbi.nlm.nih.gov/nuccore/JN133280,JN133281,JN133282,GU553134,JN133279,JN133283,JN133284,JN133285","NCBI Nucleotide")</f>
        <v>NCBI Nucleotide</v>
      </c>
    </row>
    <row r="6303" spans="1:27" x14ac:dyDescent="0.35">
      <c r="A6303">
        <v>1007561</v>
      </c>
      <c r="B6303">
        <v>6032</v>
      </c>
      <c r="C6303">
        <v>1</v>
      </c>
      <c r="D6303" s="17" t="s">
        <v>10507</v>
      </c>
      <c r="E6303" s="17"/>
      <c r="F6303" s="17" t="s">
        <v>10780</v>
      </c>
      <c r="G6303" s="17"/>
      <c r="H6303" s="17" t="s">
        <v>12908</v>
      </c>
      <c r="I6303" s="17"/>
      <c r="J6303" s="17" t="s">
        <v>12909</v>
      </c>
      <c r="K6303" s="17"/>
      <c r="L6303" s="17" t="s">
        <v>13863</v>
      </c>
      <c r="M6303" s="17"/>
      <c r="N6303" s="17" t="s">
        <v>13879</v>
      </c>
      <c r="O6303" s="17"/>
      <c r="P6303" s="17" t="s">
        <v>13893</v>
      </c>
      <c r="Q6303" s="17"/>
      <c r="R6303" s="25" t="str">
        <f>HYPERLINK("https://ictv.global/taxonomy/taxondetails?taxnode_id=202303899","Nanovirus necropumiliviciae")</f>
        <v>Nanovirus necropumiliviciae</v>
      </c>
      <c r="S6303" s="18" t="s">
        <v>30</v>
      </c>
      <c r="T6303" s="18" t="s">
        <v>13903</v>
      </c>
      <c r="U6303" s="18" t="s">
        <v>13904</v>
      </c>
      <c r="V6303" s="18" t="s">
        <v>13905</v>
      </c>
      <c r="W6303" s="18" t="s">
        <v>50456</v>
      </c>
      <c r="X6303" s="18" t="s">
        <v>42</v>
      </c>
      <c r="Y6303" s="18" t="s">
        <v>10517</v>
      </c>
      <c r="Z6303" s="18" t="s">
        <v>13441</v>
      </c>
      <c r="AA6303" s="21" t="str">
        <f>HYPERLINK("https://www.ncbi.nlm.nih.gov/nuccore/GQ150780,GQ150781,GQ150782,GQ150778,GQ150779,GQ150783,GQ150784,GQ150785","NCBI Nucleotide")</f>
        <v>NCBI Nucleotide</v>
      </c>
    </row>
    <row r="6304" spans="1:27" x14ac:dyDescent="0.35">
      <c r="A6304">
        <v>1012434</v>
      </c>
      <c r="B6304">
        <v>6032</v>
      </c>
      <c r="C6304">
        <v>2</v>
      </c>
      <c r="D6304" s="17" t="s">
        <v>10507</v>
      </c>
      <c r="E6304" s="17"/>
      <c r="F6304" s="17" t="s">
        <v>10780</v>
      </c>
      <c r="G6304" s="17"/>
      <c r="H6304" s="17" t="s">
        <v>12908</v>
      </c>
      <c r="I6304" s="17"/>
      <c r="J6304" s="17" t="s">
        <v>12909</v>
      </c>
      <c r="K6304" s="17"/>
      <c r="L6304" s="17" t="s">
        <v>13863</v>
      </c>
      <c r="M6304" s="17"/>
      <c r="N6304" s="17" t="s">
        <v>13879</v>
      </c>
      <c r="O6304" s="17"/>
      <c r="P6304" s="17" t="s">
        <v>13893</v>
      </c>
      <c r="Q6304" s="17"/>
      <c r="R6304" s="25" t="str">
        <f>HYPERLINK("https://ictv.global/taxonomy/taxondetails?taxnode_id=202303899","Nanovirus necropumiliviciae")</f>
        <v>Nanovirus necropumiliviciae</v>
      </c>
      <c r="S6304" s="18" t="s">
        <v>8141</v>
      </c>
      <c r="T6304" s="18" t="s">
        <v>13903</v>
      </c>
      <c r="U6304" s="18" t="s">
        <v>13904</v>
      </c>
      <c r="V6304" s="18" t="s">
        <v>13906</v>
      </c>
      <c r="W6304" s="18" t="s">
        <v>49000</v>
      </c>
      <c r="X6304" s="18" t="s">
        <v>42</v>
      </c>
      <c r="Y6304" s="18" t="s">
        <v>10517</v>
      </c>
      <c r="Z6304" s="18" t="s">
        <v>13441</v>
      </c>
      <c r="AA6304" s="21" t="str">
        <f>HYPERLINK("https://www.ncbi.nlm.nih.gov/nuccore/GQ274031,GQ274035,GQ274038,GQ274033,GQ274036,GQ274034,GQ274037,GQ274032","NCBI Nucleotide")</f>
        <v>NCBI Nucleotide</v>
      </c>
    </row>
    <row r="6305" spans="1:27" x14ac:dyDescent="0.35">
      <c r="A6305">
        <v>1007565</v>
      </c>
      <c r="B6305">
        <v>6033</v>
      </c>
      <c r="C6305">
        <v>1</v>
      </c>
      <c r="D6305" s="17" t="s">
        <v>10507</v>
      </c>
      <c r="E6305" s="17"/>
      <c r="F6305" s="17" t="s">
        <v>10780</v>
      </c>
      <c r="G6305" s="17"/>
      <c r="H6305" s="17" t="s">
        <v>12908</v>
      </c>
      <c r="I6305" s="17"/>
      <c r="J6305" s="17" t="s">
        <v>12909</v>
      </c>
      <c r="K6305" s="17"/>
      <c r="L6305" s="17" t="s">
        <v>13863</v>
      </c>
      <c r="M6305" s="17"/>
      <c r="N6305" s="17" t="s">
        <v>13879</v>
      </c>
      <c r="O6305" s="17"/>
      <c r="P6305" s="17" t="s">
        <v>13893</v>
      </c>
      <c r="Q6305" s="17"/>
      <c r="R6305" s="25" t="str">
        <f>HYPERLINK("https://ictv.global/taxonomy/taxondetails?taxnode_id=202309659","Nanovirus petroselini")</f>
        <v>Nanovirus petroselini</v>
      </c>
      <c r="S6305" s="18" t="s">
        <v>30</v>
      </c>
      <c r="T6305" s="18" t="s">
        <v>13919</v>
      </c>
      <c r="U6305" s="18" t="s">
        <v>13920</v>
      </c>
      <c r="V6305" s="18" t="s">
        <v>13921</v>
      </c>
      <c r="W6305" s="18" t="s">
        <v>13922</v>
      </c>
      <c r="X6305" s="18" t="s">
        <v>42</v>
      </c>
      <c r="Y6305" s="18" t="s">
        <v>10517</v>
      </c>
      <c r="Z6305" s="18" t="s">
        <v>13441</v>
      </c>
      <c r="AA6305" s="21" t="str">
        <f>HYPERLINK("https://www.ncbi.nlm.nih.gov/nuccore/MK039128,MK039129,MK039130,MK039132,MK039133,MK039134,MK039135","NCBI Nucleotide")</f>
        <v>NCBI Nucleotide</v>
      </c>
    </row>
    <row r="6306" spans="1:27" x14ac:dyDescent="0.35">
      <c r="A6306">
        <v>1007568</v>
      </c>
      <c r="B6306">
        <v>6034</v>
      </c>
      <c r="C6306">
        <v>1</v>
      </c>
      <c r="D6306" s="17" t="s">
        <v>10507</v>
      </c>
      <c r="E6306" s="17"/>
      <c r="F6306" s="17" t="s">
        <v>10780</v>
      </c>
      <c r="G6306" s="17"/>
      <c r="H6306" s="17" t="s">
        <v>12908</v>
      </c>
      <c r="I6306" s="17"/>
      <c r="J6306" s="17" t="s">
        <v>12909</v>
      </c>
      <c r="K6306" s="17"/>
      <c r="L6306" s="17" t="s">
        <v>13863</v>
      </c>
      <c r="M6306" s="17"/>
      <c r="N6306" s="17" t="s">
        <v>13879</v>
      </c>
      <c r="O6306" s="17"/>
      <c r="P6306" s="17" t="s">
        <v>13893</v>
      </c>
      <c r="Q6306" s="17"/>
      <c r="R6306" s="25" t="str">
        <f>HYPERLINK("https://ictv.global/taxonomy/taxondetails?taxnode_id=202309660","Nanovirus sophorae")</f>
        <v>Nanovirus sophorae</v>
      </c>
      <c r="S6306" s="18" t="s">
        <v>30</v>
      </c>
      <c r="T6306" s="18" t="s">
        <v>13929</v>
      </c>
      <c r="U6306" s="18" t="s">
        <v>13930</v>
      </c>
      <c r="V6306" s="18" t="s">
        <v>13931</v>
      </c>
      <c r="W6306" s="18" t="s">
        <v>50457</v>
      </c>
      <c r="X6306" s="18" t="s">
        <v>42</v>
      </c>
      <c r="Y6306" s="18" t="s">
        <v>10517</v>
      </c>
      <c r="Z6306" s="18" t="s">
        <v>13441</v>
      </c>
      <c r="AA6306" s="21" t="str">
        <f>HYPERLINK("https://www.ncbi.nlm.nih.gov/nuccore/MH048843,MH048844,MH048846,MH048845,MH048842,MH048847,MH048848,MH048849","NCBI Nucleotide")</f>
        <v>NCBI Nucleotide</v>
      </c>
    </row>
    <row r="6307" spans="1:27" x14ac:dyDescent="0.35">
      <c r="A6307">
        <v>1007569</v>
      </c>
      <c r="B6307">
        <v>6035</v>
      </c>
      <c r="C6307">
        <v>1</v>
      </c>
      <c r="D6307" s="17" t="s">
        <v>10507</v>
      </c>
      <c r="E6307" s="17"/>
      <c r="F6307" s="17" t="s">
        <v>10780</v>
      </c>
      <c r="G6307" s="17"/>
      <c r="H6307" s="17" t="s">
        <v>12908</v>
      </c>
      <c r="I6307" s="17"/>
      <c r="J6307" s="17" t="s">
        <v>12909</v>
      </c>
      <c r="K6307" s="17"/>
      <c r="L6307" s="17" t="s">
        <v>13863</v>
      </c>
      <c r="M6307" s="17"/>
      <c r="N6307" s="17" t="s">
        <v>13879</v>
      </c>
      <c r="O6307" s="17"/>
      <c r="P6307" s="17" t="s">
        <v>13893</v>
      </c>
      <c r="Q6307" s="17"/>
      <c r="R6307" s="25" t="str">
        <f>HYPERLINK("https://ictv.global/taxonomy/taxondetails?taxnode_id=202303905","Nanovirus trifolii")</f>
        <v>Nanovirus trifolii</v>
      </c>
      <c r="S6307" s="18" t="s">
        <v>30</v>
      </c>
      <c r="T6307" s="18" t="s">
        <v>13932</v>
      </c>
      <c r="U6307" s="18" t="s">
        <v>13933</v>
      </c>
      <c r="V6307" s="18" t="s">
        <v>13934</v>
      </c>
      <c r="W6307" s="18" t="s">
        <v>48713</v>
      </c>
      <c r="X6307" s="18" t="s">
        <v>42</v>
      </c>
      <c r="Y6307" s="18" t="s">
        <v>10517</v>
      </c>
      <c r="Z6307" s="18" t="s">
        <v>13441</v>
      </c>
      <c r="AA6307" s="21" t="str">
        <f>HYPERLINK("https://www.ncbi.nlm.nih.gov/nuccore/MK035728,MK035729,MK035730,MK035731,MK035732,MK035733,MK035734,MK035735","NCBI Nucleotide")</f>
        <v>NCBI Nucleotide</v>
      </c>
    </row>
    <row r="6308" spans="1:27" x14ac:dyDescent="0.35">
      <c r="A6308">
        <v>1012439</v>
      </c>
      <c r="B6308">
        <v>6035</v>
      </c>
      <c r="C6308">
        <v>2</v>
      </c>
      <c r="D6308" s="17" t="s">
        <v>10507</v>
      </c>
      <c r="E6308" s="17"/>
      <c r="F6308" s="17" t="s">
        <v>10780</v>
      </c>
      <c r="G6308" s="17"/>
      <c r="H6308" s="17" t="s">
        <v>12908</v>
      </c>
      <c r="I6308" s="17"/>
      <c r="J6308" s="17" t="s">
        <v>12909</v>
      </c>
      <c r="K6308" s="17"/>
      <c r="L6308" s="17" t="s">
        <v>13863</v>
      </c>
      <c r="M6308" s="17"/>
      <c r="N6308" s="17" t="s">
        <v>13879</v>
      </c>
      <c r="O6308" s="17"/>
      <c r="P6308" s="17" t="s">
        <v>13893</v>
      </c>
      <c r="Q6308" s="17"/>
      <c r="R6308" s="25" t="str">
        <f>HYPERLINK("https://ictv.global/taxonomy/taxondetails?taxnode_id=202303905","Nanovirus trifolii")</f>
        <v>Nanovirus trifolii</v>
      </c>
      <c r="S6308" s="18" t="s">
        <v>8141</v>
      </c>
      <c r="T6308" s="18" t="s">
        <v>13932</v>
      </c>
      <c r="U6308" s="18" t="s">
        <v>13933</v>
      </c>
      <c r="V6308" s="18" t="s">
        <v>13935</v>
      </c>
      <c r="W6308" s="18" t="s">
        <v>50458</v>
      </c>
      <c r="X6308" s="18" t="s">
        <v>154</v>
      </c>
      <c r="Y6308" s="18" t="s">
        <v>10517</v>
      </c>
      <c r="Z6308" s="18" t="s">
        <v>13441</v>
      </c>
      <c r="AA6308" s="21" t="str">
        <f>HYPERLINK("https://www.ncbi.nlm.nih.gov/nuccore/U16732,U16730,U16733,AJ290434,U16734,U16736","NCBI Nucleotide")</f>
        <v>NCBI Nucleotide</v>
      </c>
    </row>
    <row r="6309" spans="1:27" x14ac:dyDescent="0.35">
      <c r="A6309">
        <v>1007560</v>
      </c>
      <c r="B6309">
        <v>6036</v>
      </c>
      <c r="C6309">
        <v>1</v>
      </c>
      <c r="D6309" s="17" t="s">
        <v>10507</v>
      </c>
      <c r="E6309" s="17"/>
      <c r="F6309" s="17" t="s">
        <v>10780</v>
      </c>
      <c r="G6309" s="17"/>
      <c r="H6309" s="17" t="s">
        <v>12908</v>
      </c>
      <c r="I6309" s="17"/>
      <c r="J6309" s="17" t="s">
        <v>12909</v>
      </c>
      <c r="K6309" s="17"/>
      <c r="L6309" s="17" t="s">
        <v>13863</v>
      </c>
      <c r="M6309" s="17"/>
      <c r="N6309" s="17" t="s">
        <v>13879</v>
      </c>
      <c r="O6309" s="17"/>
      <c r="P6309" s="17" t="s">
        <v>13893</v>
      </c>
      <c r="Q6309" s="17"/>
      <c r="R6309" s="25" t="str">
        <f>HYPERLINK("https://ictv.global/taxonomy/taxondetails?taxnode_id=202309658","Nanovirus viciacraccae")</f>
        <v>Nanovirus viciacraccae</v>
      </c>
      <c r="S6309" s="18" t="s">
        <v>30</v>
      </c>
      <c r="T6309" s="18" t="s">
        <v>13899</v>
      </c>
      <c r="U6309" s="18" t="s">
        <v>13900</v>
      </c>
      <c r="V6309" s="18" t="s">
        <v>13901</v>
      </c>
      <c r="W6309" s="18" t="s">
        <v>13902</v>
      </c>
      <c r="X6309" s="18" t="s">
        <v>42</v>
      </c>
      <c r="Y6309" s="18" t="s">
        <v>10517</v>
      </c>
      <c r="Z6309" s="18" t="s">
        <v>13441</v>
      </c>
      <c r="AA6309" s="21" t="str">
        <f>HYPERLINK("https://www.ncbi.nlm.nih.gov/nuccore/MF535447,MF535448,MF535449,MF535450,MF535451,MF535452,MF535453,MF535454","NCBI Nucleotide")</f>
        <v>NCBI Nucleotide</v>
      </c>
    </row>
    <row r="6310" spans="1:27" x14ac:dyDescent="0.35">
      <c r="A6310">
        <v>1007570</v>
      </c>
      <c r="B6310">
        <v>6037</v>
      </c>
      <c r="C6310">
        <v>1</v>
      </c>
      <c r="D6310" s="17" t="s">
        <v>10507</v>
      </c>
      <c r="E6310" s="17"/>
      <c r="F6310" s="17" t="s">
        <v>10780</v>
      </c>
      <c r="G6310" s="17"/>
      <c r="H6310" s="17" t="s">
        <v>12908</v>
      </c>
      <c r="I6310" s="17"/>
      <c r="J6310" s="17" t="s">
        <v>12909</v>
      </c>
      <c r="K6310" s="17"/>
      <c r="L6310" s="17" t="s">
        <v>13936</v>
      </c>
      <c r="M6310" s="17"/>
      <c r="N6310" s="17" t="s">
        <v>13937</v>
      </c>
      <c r="O6310" s="17"/>
      <c r="P6310" s="17" t="s">
        <v>13938</v>
      </c>
      <c r="Q6310" s="17"/>
      <c r="R6310" s="25" t="str">
        <f t="shared" ref="R6310:R6318" si="15">HYPERLINK("https://ictv.global/taxonomy/taxondetails?taxnode_id=202307364","Torbevirus brisa")</f>
        <v>Torbevirus brisa</v>
      </c>
      <c r="S6310" s="18" t="s">
        <v>30</v>
      </c>
      <c r="T6310" s="18" t="s">
        <v>13939</v>
      </c>
      <c r="U6310" s="18" t="s">
        <v>13940</v>
      </c>
      <c r="V6310" s="18" t="s">
        <v>13941</v>
      </c>
      <c r="W6310" s="18" t="s">
        <v>13942</v>
      </c>
      <c r="X6310" s="18" t="s">
        <v>42</v>
      </c>
      <c r="Y6310" s="18" t="s">
        <v>12266</v>
      </c>
      <c r="Z6310" s="18" t="s">
        <v>166</v>
      </c>
      <c r="AA6310" s="21" t="str">
        <f>HYPERLINK("https://www.ncbi.nlm.nih.gov/nuccore/KY052047","NCBI Nucleotide")</f>
        <v>NCBI Nucleotide</v>
      </c>
    </row>
    <row r="6311" spans="1:27" x14ac:dyDescent="0.35">
      <c r="A6311">
        <v>1012447</v>
      </c>
      <c r="B6311">
        <v>6037</v>
      </c>
      <c r="C6311">
        <v>2</v>
      </c>
      <c r="D6311" s="17" t="s">
        <v>10507</v>
      </c>
      <c r="E6311" s="17"/>
      <c r="F6311" s="17" t="s">
        <v>10780</v>
      </c>
      <c r="G6311" s="17"/>
      <c r="H6311" s="17" t="s">
        <v>12908</v>
      </c>
      <c r="I6311" s="17"/>
      <c r="J6311" s="17" t="s">
        <v>12909</v>
      </c>
      <c r="K6311" s="17"/>
      <c r="L6311" s="17" t="s">
        <v>13936</v>
      </c>
      <c r="M6311" s="17"/>
      <c r="N6311" s="17" t="s">
        <v>13937</v>
      </c>
      <c r="O6311" s="17"/>
      <c r="P6311" s="17" t="s">
        <v>13938</v>
      </c>
      <c r="Q6311" s="17"/>
      <c r="R6311" s="25" t="str">
        <f t="shared" si="15"/>
        <v>Torbevirus brisa</v>
      </c>
      <c r="S6311" s="18" t="s">
        <v>8141</v>
      </c>
      <c r="T6311" s="18" t="s">
        <v>13955</v>
      </c>
      <c r="U6311" s="18" t="s">
        <v>13956</v>
      </c>
      <c r="V6311" s="18" t="s">
        <v>13957</v>
      </c>
      <c r="W6311" s="18" t="s">
        <v>49001</v>
      </c>
      <c r="X6311" s="18" t="s">
        <v>42</v>
      </c>
      <c r="Y6311" s="18" t="s">
        <v>12266</v>
      </c>
      <c r="Z6311" s="18" t="s">
        <v>166</v>
      </c>
      <c r="AA6311" s="21" t="str">
        <f>HYPERLINK("https://www.ncbi.nlm.nih.gov/nuccore/MH973742","NCBI Nucleotide")</f>
        <v>NCBI Nucleotide</v>
      </c>
    </row>
    <row r="6312" spans="1:27" x14ac:dyDescent="0.35">
      <c r="A6312">
        <v>1012444</v>
      </c>
      <c r="B6312">
        <v>6037</v>
      </c>
      <c r="C6312">
        <v>3</v>
      </c>
      <c r="D6312" s="17" t="s">
        <v>10507</v>
      </c>
      <c r="E6312" s="17"/>
      <c r="F6312" s="17" t="s">
        <v>10780</v>
      </c>
      <c r="G6312" s="17"/>
      <c r="H6312" s="17" t="s">
        <v>12908</v>
      </c>
      <c r="I6312" s="17"/>
      <c r="J6312" s="17" t="s">
        <v>12909</v>
      </c>
      <c r="K6312" s="17"/>
      <c r="L6312" s="17" t="s">
        <v>13936</v>
      </c>
      <c r="M6312" s="17"/>
      <c r="N6312" s="17" t="s">
        <v>13937</v>
      </c>
      <c r="O6312" s="17"/>
      <c r="P6312" s="17" t="s">
        <v>13938</v>
      </c>
      <c r="Q6312" s="17"/>
      <c r="R6312" s="25" t="str">
        <f t="shared" si="15"/>
        <v>Torbevirus brisa</v>
      </c>
      <c r="S6312" s="18" t="s">
        <v>8141</v>
      </c>
      <c r="T6312" s="18" t="s">
        <v>13949</v>
      </c>
      <c r="U6312" s="18" t="s">
        <v>13950</v>
      </c>
      <c r="V6312" s="18" t="s">
        <v>13951</v>
      </c>
      <c r="W6312" s="18" t="s">
        <v>49002</v>
      </c>
      <c r="X6312" s="18" t="s">
        <v>42</v>
      </c>
      <c r="Y6312" s="18" t="s">
        <v>12266</v>
      </c>
      <c r="Z6312" s="18" t="s">
        <v>166</v>
      </c>
      <c r="AA6312" s="21" t="str">
        <f>HYPERLINK("https://www.ncbi.nlm.nih.gov/nuccore/MK059759","NCBI Nucleotide")</f>
        <v>NCBI Nucleotide</v>
      </c>
    </row>
    <row r="6313" spans="1:27" x14ac:dyDescent="0.35">
      <c r="A6313">
        <v>1012441</v>
      </c>
      <c r="B6313">
        <v>6037</v>
      </c>
      <c r="C6313">
        <v>4</v>
      </c>
      <c r="D6313" s="17" t="s">
        <v>10507</v>
      </c>
      <c r="E6313" s="17"/>
      <c r="F6313" s="17" t="s">
        <v>10780</v>
      </c>
      <c r="G6313" s="17"/>
      <c r="H6313" s="17" t="s">
        <v>12908</v>
      </c>
      <c r="I6313" s="17"/>
      <c r="J6313" s="17" t="s">
        <v>12909</v>
      </c>
      <c r="K6313" s="17"/>
      <c r="L6313" s="17" t="s">
        <v>13936</v>
      </c>
      <c r="M6313" s="17"/>
      <c r="N6313" s="17" t="s">
        <v>13937</v>
      </c>
      <c r="O6313" s="17"/>
      <c r="P6313" s="17" t="s">
        <v>13938</v>
      </c>
      <c r="Q6313" s="17"/>
      <c r="R6313" s="25" t="str">
        <f t="shared" si="15"/>
        <v>Torbevirus brisa</v>
      </c>
      <c r="S6313" s="18" t="s">
        <v>8141</v>
      </c>
      <c r="T6313" s="18" t="s">
        <v>13944</v>
      </c>
      <c r="U6313" s="18" t="s">
        <v>13945</v>
      </c>
      <c r="V6313" s="18" t="s">
        <v>13946</v>
      </c>
      <c r="W6313" s="18" t="s">
        <v>49003</v>
      </c>
      <c r="X6313" s="18" t="s">
        <v>42</v>
      </c>
      <c r="Y6313" s="18" t="s">
        <v>12266</v>
      </c>
      <c r="Z6313" s="18" t="s">
        <v>166</v>
      </c>
      <c r="AA6313" s="21" t="str">
        <f>HYPERLINK("https://www.ncbi.nlm.nih.gov/nuccore/MK059757","NCBI Nucleotide")</f>
        <v>NCBI Nucleotide</v>
      </c>
    </row>
    <row r="6314" spans="1:27" x14ac:dyDescent="0.35">
      <c r="A6314">
        <v>1012442</v>
      </c>
      <c r="B6314">
        <v>6037</v>
      </c>
      <c r="C6314">
        <v>5</v>
      </c>
      <c r="D6314" s="17" t="s">
        <v>10507</v>
      </c>
      <c r="E6314" s="17"/>
      <c r="F6314" s="17" t="s">
        <v>10780</v>
      </c>
      <c r="G6314" s="17"/>
      <c r="H6314" s="17" t="s">
        <v>12908</v>
      </c>
      <c r="I6314" s="17"/>
      <c r="J6314" s="17" t="s">
        <v>12909</v>
      </c>
      <c r="K6314" s="17"/>
      <c r="L6314" s="17" t="s">
        <v>13936</v>
      </c>
      <c r="M6314" s="17"/>
      <c r="N6314" s="17" t="s">
        <v>13937</v>
      </c>
      <c r="O6314" s="17"/>
      <c r="P6314" s="17" t="s">
        <v>13938</v>
      </c>
      <c r="Q6314" s="17"/>
      <c r="R6314" s="25" t="str">
        <f t="shared" si="15"/>
        <v>Torbevirus brisa</v>
      </c>
      <c r="S6314" s="18" t="s">
        <v>8141</v>
      </c>
      <c r="T6314" s="18" t="s">
        <v>13944</v>
      </c>
      <c r="U6314" s="18" t="s">
        <v>13945</v>
      </c>
      <c r="V6314" s="18" t="s">
        <v>13947</v>
      </c>
      <c r="W6314" s="18" t="s">
        <v>49004</v>
      </c>
      <c r="X6314" s="18" t="s">
        <v>42</v>
      </c>
      <c r="Y6314" s="18" t="s">
        <v>12266</v>
      </c>
      <c r="Z6314" s="18" t="s">
        <v>166</v>
      </c>
      <c r="AA6314" s="21" t="str">
        <f>HYPERLINK("https://www.ncbi.nlm.nih.gov/nuccore/MK059754","NCBI Nucleotide")</f>
        <v>NCBI Nucleotide</v>
      </c>
    </row>
    <row r="6315" spans="1:27" x14ac:dyDescent="0.35">
      <c r="A6315">
        <v>1012443</v>
      </c>
      <c r="B6315">
        <v>6037</v>
      </c>
      <c r="C6315">
        <v>6</v>
      </c>
      <c r="D6315" s="17" t="s">
        <v>10507</v>
      </c>
      <c r="E6315" s="17"/>
      <c r="F6315" s="17" t="s">
        <v>10780</v>
      </c>
      <c r="G6315" s="17"/>
      <c r="H6315" s="17" t="s">
        <v>12908</v>
      </c>
      <c r="I6315" s="17"/>
      <c r="J6315" s="17" t="s">
        <v>12909</v>
      </c>
      <c r="K6315" s="17"/>
      <c r="L6315" s="17" t="s">
        <v>13936</v>
      </c>
      <c r="M6315" s="17"/>
      <c r="N6315" s="17" t="s">
        <v>13937</v>
      </c>
      <c r="O6315" s="17"/>
      <c r="P6315" s="17" t="s">
        <v>13938</v>
      </c>
      <c r="Q6315" s="17"/>
      <c r="R6315" s="25" t="str">
        <f t="shared" si="15"/>
        <v>Torbevirus brisa</v>
      </c>
      <c r="S6315" s="18" t="s">
        <v>8141</v>
      </c>
      <c r="T6315" s="18" t="s">
        <v>13944</v>
      </c>
      <c r="U6315" s="18" t="s">
        <v>13945</v>
      </c>
      <c r="V6315" s="18" t="s">
        <v>13948</v>
      </c>
      <c r="W6315" s="18" t="s">
        <v>49005</v>
      </c>
      <c r="X6315" s="18" t="s">
        <v>42</v>
      </c>
      <c r="Y6315" s="18" t="s">
        <v>12266</v>
      </c>
      <c r="Z6315" s="18" t="s">
        <v>166</v>
      </c>
      <c r="AA6315" s="21" t="str">
        <f>HYPERLINK("https://www.ncbi.nlm.nih.gov/nuccore/MK059756","NCBI Nucleotide")</f>
        <v>NCBI Nucleotide</v>
      </c>
    </row>
    <row r="6316" spans="1:27" x14ac:dyDescent="0.35">
      <c r="A6316">
        <v>1012445</v>
      </c>
      <c r="B6316">
        <v>6037</v>
      </c>
      <c r="C6316">
        <v>7</v>
      </c>
      <c r="D6316" s="17" t="s">
        <v>10507</v>
      </c>
      <c r="E6316" s="17"/>
      <c r="F6316" s="17" t="s">
        <v>10780</v>
      </c>
      <c r="G6316" s="17"/>
      <c r="H6316" s="17" t="s">
        <v>12908</v>
      </c>
      <c r="I6316" s="17"/>
      <c r="J6316" s="17" t="s">
        <v>12909</v>
      </c>
      <c r="K6316" s="17"/>
      <c r="L6316" s="17" t="s">
        <v>13936</v>
      </c>
      <c r="M6316" s="17"/>
      <c r="N6316" s="17" t="s">
        <v>13937</v>
      </c>
      <c r="O6316" s="17"/>
      <c r="P6316" s="17" t="s">
        <v>13938</v>
      </c>
      <c r="Q6316" s="17"/>
      <c r="R6316" s="25" t="str">
        <f t="shared" si="15"/>
        <v>Torbevirus brisa</v>
      </c>
      <c r="S6316" s="18" t="s">
        <v>8141</v>
      </c>
      <c r="T6316" s="18" t="s">
        <v>13952</v>
      </c>
      <c r="U6316" s="18" t="s">
        <v>13953</v>
      </c>
      <c r="V6316" s="18" t="s">
        <v>13954</v>
      </c>
      <c r="W6316" s="18" t="s">
        <v>49006</v>
      </c>
      <c r="X6316" s="18" t="s">
        <v>42</v>
      </c>
      <c r="Y6316" s="18" t="s">
        <v>12266</v>
      </c>
      <c r="Z6316" s="18" t="s">
        <v>166</v>
      </c>
      <c r="AA6316" s="21" t="str">
        <f>HYPERLINK("https://www.ncbi.nlm.nih.gov/nuccore/MK059758","NCBI Nucleotide")</f>
        <v>NCBI Nucleotide</v>
      </c>
    </row>
    <row r="6317" spans="1:27" x14ac:dyDescent="0.35">
      <c r="A6317">
        <v>1012446</v>
      </c>
      <c r="B6317">
        <v>6037</v>
      </c>
      <c r="C6317">
        <v>8</v>
      </c>
      <c r="D6317" s="17" t="s">
        <v>10507</v>
      </c>
      <c r="E6317" s="17"/>
      <c r="F6317" s="17" t="s">
        <v>10780</v>
      </c>
      <c r="G6317" s="17"/>
      <c r="H6317" s="17" t="s">
        <v>12908</v>
      </c>
      <c r="I6317" s="17"/>
      <c r="J6317" s="17" t="s">
        <v>12909</v>
      </c>
      <c r="K6317" s="17"/>
      <c r="L6317" s="17" t="s">
        <v>13936</v>
      </c>
      <c r="M6317" s="17"/>
      <c r="N6317" s="17" t="s">
        <v>13937</v>
      </c>
      <c r="O6317" s="17"/>
      <c r="P6317" s="17" t="s">
        <v>13938</v>
      </c>
      <c r="Q6317" s="17"/>
      <c r="R6317" s="25" t="str">
        <f t="shared" si="15"/>
        <v>Torbevirus brisa</v>
      </c>
      <c r="S6317" s="18" t="s">
        <v>8141</v>
      </c>
      <c r="T6317" s="18" t="s">
        <v>13939</v>
      </c>
      <c r="U6317" s="18" t="s">
        <v>13940</v>
      </c>
      <c r="V6317" s="18">
        <v>15278</v>
      </c>
      <c r="W6317" s="18" t="s">
        <v>49007</v>
      </c>
      <c r="X6317" s="18" t="s">
        <v>42</v>
      </c>
      <c r="Y6317" s="18" t="s">
        <v>12266</v>
      </c>
      <c r="Z6317" s="18" t="s">
        <v>166</v>
      </c>
      <c r="AA6317" s="21" t="str">
        <f>HYPERLINK("https://www.ncbi.nlm.nih.gov/nuccore/KY349925","NCBI Nucleotide")</f>
        <v>NCBI Nucleotide</v>
      </c>
    </row>
    <row r="6318" spans="1:27" x14ac:dyDescent="0.35">
      <c r="A6318">
        <v>1012440</v>
      </c>
      <c r="B6318">
        <v>6037</v>
      </c>
      <c r="C6318">
        <v>9</v>
      </c>
      <c r="D6318" s="17" t="s">
        <v>10507</v>
      </c>
      <c r="E6318" s="17"/>
      <c r="F6318" s="17" t="s">
        <v>10780</v>
      </c>
      <c r="G6318" s="17"/>
      <c r="H6318" s="17" t="s">
        <v>12908</v>
      </c>
      <c r="I6318" s="17"/>
      <c r="J6318" s="17" t="s">
        <v>12909</v>
      </c>
      <c r="K6318" s="17"/>
      <c r="L6318" s="17" t="s">
        <v>13936</v>
      </c>
      <c r="M6318" s="17"/>
      <c r="N6318" s="17" t="s">
        <v>13937</v>
      </c>
      <c r="O6318" s="17"/>
      <c r="P6318" s="17" t="s">
        <v>13938</v>
      </c>
      <c r="Q6318" s="17"/>
      <c r="R6318" s="25" t="str">
        <f t="shared" si="15"/>
        <v>Torbevirus brisa</v>
      </c>
      <c r="S6318" s="18" t="s">
        <v>8141</v>
      </c>
      <c r="T6318" s="18" t="s">
        <v>13939</v>
      </c>
      <c r="U6318" s="18" t="s">
        <v>13940</v>
      </c>
      <c r="V6318" s="18" t="s">
        <v>13943</v>
      </c>
      <c r="W6318" s="18" t="s">
        <v>49008</v>
      </c>
      <c r="X6318" s="18" t="s">
        <v>42</v>
      </c>
      <c r="Y6318" s="18" t="s">
        <v>12266</v>
      </c>
      <c r="Z6318" s="18" t="s">
        <v>166</v>
      </c>
      <c r="AA6318" s="21" t="str">
        <f>HYPERLINK("https://www.ncbi.nlm.nih.gov/nuccore/MK059755","NCBI Nucleotide")</f>
        <v>NCBI Nucleotide</v>
      </c>
    </row>
    <row r="6319" spans="1:27" x14ac:dyDescent="0.35">
      <c r="A6319">
        <v>1007571</v>
      </c>
      <c r="B6319">
        <v>6038</v>
      </c>
      <c r="C6319">
        <v>1</v>
      </c>
      <c r="D6319" s="17" t="s">
        <v>10507</v>
      </c>
      <c r="E6319" s="17"/>
      <c r="F6319" s="17" t="s">
        <v>10780</v>
      </c>
      <c r="G6319" s="17"/>
      <c r="H6319" s="17" t="s">
        <v>12908</v>
      </c>
      <c r="I6319" s="17"/>
      <c r="J6319" s="17" t="s">
        <v>12909</v>
      </c>
      <c r="K6319" s="17"/>
      <c r="L6319" s="17" t="s">
        <v>13936</v>
      </c>
      <c r="M6319" s="17"/>
      <c r="N6319" s="17" t="s">
        <v>13937</v>
      </c>
      <c r="O6319" s="17"/>
      <c r="P6319" s="17" t="s">
        <v>13938</v>
      </c>
      <c r="Q6319" s="17"/>
      <c r="R6319" s="25" t="str">
        <f t="shared" ref="R6319:R6335" si="16">HYPERLINK("https://ictv.global/taxonomy/taxondetails?taxnode_id=202307365","Torbevirus viento")</f>
        <v>Torbevirus viento</v>
      </c>
      <c r="S6319" s="18" t="s">
        <v>30</v>
      </c>
      <c r="T6319" s="18" t="s">
        <v>13958</v>
      </c>
      <c r="U6319" s="18" t="s">
        <v>13959</v>
      </c>
      <c r="V6319" s="18" t="s">
        <v>13960</v>
      </c>
      <c r="W6319" s="18" t="s">
        <v>13961</v>
      </c>
      <c r="X6319" s="18" t="s">
        <v>42</v>
      </c>
      <c r="Y6319" s="18" t="s">
        <v>12266</v>
      </c>
      <c r="Z6319" s="18" t="s">
        <v>166</v>
      </c>
      <c r="AA6319" s="21" t="str">
        <f>HYPERLINK("https://www.ncbi.nlm.nih.gov/nuccore/MK059763","NCBI Nucleotide")</f>
        <v>NCBI Nucleotide</v>
      </c>
    </row>
    <row r="6320" spans="1:27" x14ac:dyDescent="0.35">
      <c r="A6320">
        <v>1012449</v>
      </c>
      <c r="B6320">
        <v>6038</v>
      </c>
      <c r="C6320">
        <v>2</v>
      </c>
      <c r="D6320" s="17" t="s">
        <v>10507</v>
      </c>
      <c r="E6320" s="17"/>
      <c r="F6320" s="17" t="s">
        <v>10780</v>
      </c>
      <c r="G6320" s="17"/>
      <c r="H6320" s="17" t="s">
        <v>12908</v>
      </c>
      <c r="I6320" s="17"/>
      <c r="J6320" s="17" t="s">
        <v>12909</v>
      </c>
      <c r="K6320" s="17"/>
      <c r="L6320" s="17" t="s">
        <v>13936</v>
      </c>
      <c r="M6320" s="17"/>
      <c r="N6320" s="17" t="s">
        <v>13937</v>
      </c>
      <c r="O6320" s="17"/>
      <c r="P6320" s="17" t="s">
        <v>13938</v>
      </c>
      <c r="Q6320" s="17"/>
      <c r="R6320" s="25" t="str">
        <f t="shared" si="16"/>
        <v>Torbevirus viento</v>
      </c>
      <c r="S6320" s="18" t="s">
        <v>8141</v>
      </c>
      <c r="T6320" s="18" t="s">
        <v>13963</v>
      </c>
      <c r="U6320" s="18" t="s">
        <v>13964</v>
      </c>
      <c r="V6320" s="18" t="s">
        <v>13965</v>
      </c>
      <c r="W6320" s="18" t="s">
        <v>49009</v>
      </c>
      <c r="X6320" s="18" t="s">
        <v>42</v>
      </c>
      <c r="Y6320" s="18" t="s">
        <v>12266</v>
      </c>
      <c r="Z6320" s="18" t="s">
        <v>166</v>
      </c>
      <c r="AA6320" s="21" t="str">
        <f>HYPERLINK("https://www.ncbi.nlm.nih.gov/nuccore/MK059772","NCBI Nucleotide")</f>
        <v>NCBI Nucleotide</v>
      </c>
    </row>
    <row r="6321" spans="1:27" x14ac:dyDescent="0.35">
      <c r="A6321">
        <v>1012450</v>
      </c>
      <c r="B6321">
        <v>6038</v>
      </c>
      <c r="C6321">
        <v>3</v>
      </c>
      <c r="D6321" s="17" t="s">
        <v>10507</v>
      </c>
      <c r="E6321" s="17"/>
      <c r="F6321" s="17" t="s">
        <v>10780</v>
      </c>
      <c r="G6321" s="17"/>
      <c r="H6321" s="17" t="s">
        <v>12908</v>
      </c>
      <c r="I6321" s="17"/>
      <c r="J6321" s="17" t="s">
        <v>12909</v>
      </c>
      <c r="K6321" s="17"/>
      <c r="L6321" s="17" t="s">
        <v>13936</v>
      </c>
      <c r="M6321" s="17"/>
      <c r="N6321" s="17" t="s">
        <v>13937</v>
      </c>
      <c r="O6321" s="17"/>
      <c r="P6321" s="17" t="s">
        <v>13938</v>
      </c>
      <c r="Q6321" s="17"/>
      <c r="R6321" s="25" t="str">
        <f t="shared" si="16"/>
        <v>Torbevirus viento</v>
      </c>
      <c r="S6321" s="18" t="s">
        <v>8141</v>
      </c>
      <c r="T6321" s="18" t="s">
        <v>13958</v>
      </c>
      <c r="U6321" s="18" t="s">
        <v>13959</v>
      </c>
      <c r="V6321" s="18" t="s">
        <v>13966</v>
      </c>
      <c r="W6321" s="18" t="s">
        <v>49010</v>
      </c>
      <c r="X6321" s="18" t="s">
        <v>42</v>
      </c>
      <c r="Y6321" s="18" t="s">
        <v>12266</v>
      </c>
      <c r="Z6321" s="18" t="s">
        <v>166</v>
      </c>
      <c r="AA6321" s="21" t="str">
        <f>HYPERLINK("https://www.ncbi.nlm.nih.gov/nuccore/MK059765","NCBI Nucleotide")</f>
        <v>NCBI Nucleotide</v>
      </c>
    </row>
    <row r="6322" spans="1:27" x14ac:dyDescent="0.35">
      <c r="A6322">
        <v>1012451</v>
      </c>
      <c r="B6322">
        <v>6038</v>
      </c>
      <c r="C6322">
        <v>4</v>
      </c>
      <c r="D6322" s="17" t="s">
        <v>10507</v>
      </c>
      <c r="E6322" s="17"/>
      <c r="F6322" s="17" t="s">
        <v>10780</v>
      </c>
      <c r="G6322" s="17"/>
      <c r="H6322" s="17" t="s">
        <v>12908</v>
      </c>
      <c r="I6322" s="17"/>
      <c r="J6322" s="17" t="s">
        <v>12909</v>
      </c>
      <c r="K6322" s="17"/>
      <c r="L6322" s="17" t="s">
        <v>13936</v>
      </c>
      <c r="M6322" s="17"/>
      <c r="N6322" s="17" t="s">
        <v>13937</v>
      </c>
      <c r="O6322" s="17"/>
      <c r="P6322" s="17" t="s">
        <v>13938</v>
      </c>
      <c r="Q6322" s="17"/>
      <c r="R6322" s="25" t="str">
        <f t="shared" si="16"/>
        <v>Torbevirus viento</v>
      </c>
      <c r="S6322" s="18" t="s">
        <v>8141</v>
      </c>
      <c r="T6322" s="18" t="s">
        <v>13958</v>
      </c>
      <c r="U6322" s="18" t="s">
        <v>13959</v>
      </c>
      <c r="V6322" s="18" t="s">
        <v>13967</v>
      </c>
      <c r="W6322" s="18" t="s">
        <v>49011</v>
      </c>
      <c r="X6322" s="18" t="s">
        <v>42</v>
      </c>
      <c r="Y6322" s="18" t="s">
        <v>12266</v>
      </c>
      <c r="Z6322" s="18" t="s">
        <v>166</v>
      </c>
      <c r="AA6322" s="21" t="str">
        <f>HYPERLINK("https://www.ncbi.nlm.nih.gov/nuccore/MK059762","NCBI Nucleotide")</f>
        <v>NCBI Nucleotide</v>
      </c>
    </row>
    <row r="6323" spans="1:27" x14ac:dyDescent="0.35">
      <c r="A6323">
        <v>1012452</v>
      </c>
      <c r="B6323">
        <v>6038</v>
      </c>
      <c r="C6323">
        <v>5</v>
      </c>
      <c r="D6323" s="17" t="s">
        <v>10507</v>
      </c>
      <c r="E6323" s="17"/>
      <c r="F6323" s="17" t="s">
        <v>10780</v>
      </c>
      <c r="G6323" s="17"/>
      <c r="H6323" s="17" t="s">
        <v>12908</v>
      </c>
      <c r="I6323" s="17"/>
      <c r="J6323" s="17" t="s">
        <v>12909</v>
      </c>
      <c r="K6323" s="17"/>
      <c r="L6323" s="17" t="s">
        <v>13936</v>
      </c>
      <c r="M6323" s="17"/>
      <c r="N6323" s="17" t="s">
        <v>13937</v>
      </c>
      <c r="O6323" s="17"/>
      <c r="P6323" s="17" t="s">
        <v>13938</v>
      </c>
      <c r="Q6323" s="17"/>
      <c r="R6323" s="25" t="str">
        <f t="shared" si="16"/>
        <v>Torbevirus viento</v>
      </c>
      <c r="S6323" s="18" t="s">
        <v>8141</v>
      </c>
      <c r="T6323" s="18" t="s">
        <v>13958</v>
      </c>
      <c r="U6323" s="18" t="s">
        <v>13959</v>
      </c>
      <c r="V6323" s="18" t="s">
        <v>13968</v>
      </c>
      <c r="W6323" s="18" t="s">
        <v>49012</v>
      </c>
      <c r="X6323" s="18" t="s">
        <v>42</v>
      </c>
      <c r="Y6323" s="18" t="s">
        <v>12266</v>
      </c>
      <c r="Z6323" s="18" t="s">
        <v>166</v>
      </c>
      <c r="AA6323" s="21" t="str">
        <f>HYPERLINK("https://www.ncbi.nlm.nih.gov/nuccore/MK059764","NCBI Nucleotide")</f>
        <v>NCBI Nucleotide</v>
      </c>
    </row>
    <row r="6324" spans="1:27" x14ac:dyDescent="0.35">
      <c r="A6324">
        <v>1012453</v>
      </c>
      <c r="B6324">
        <v>6038</v>
      </c>
      <c r="C6324">
        <v>6</v>
      </c>
      <c r="D6324" s="17" t="s">
        <v>10507</v>
      </c>
      <c r="E6324" s="17"/>
      <c r="F6324" s="17" t="s">
        <v>10780</v>
      </c>
      <c r="G6324" s="17"/>
      <c r="H6324" s="17" t="s">
        <v>12908</v>
      </c>
      <c r="I6324" s="17"/>
      <c r="J6324" s="17" t="s">
        <v>12909</v>
      </c>
      <c r="K6324" s="17"/>
      <c r="L6324" s="17" t="s">
        <v>13936</v>
      </c>
      <c r="M6324" s="17"/>
      <c r="N6324" s="17" t="s">
        <v>13937</v>
      </c>
      <c r="O6324" s="17"/>
      <c r="P6324" s="17" t="s">
        <v>13938</v>
      </c>
      <c r="Q6324" s="17"/>
      <c r="R6324" s="25" t="str">
        <f t="shared" si="16"/>
        <v>Torbevirus viento</v>
      </c>
      <c r="S6324" s="18" t="s">
        <v>8141</v>
      </c>
      <c r="T6324" s="18" t="s">
        <v>13958</v>
      </c>
      <c r="U6324" s="18" t="s">
        <v>13959</v>
      </c>
      <c r="V6324" s="18" t="s">
        <v>13969</v>
      </c>
      <c r="W6324" s="18" t="s">
        <v>49013</v>
      </c>
      <c r="X6324" s="18" t="s">
        <v>42</v>
      </c>
      <c r="Y6324" s="18" t="s">
        <v>12266</v>
      </c>
      <c r="Z6324" s="18" t="s">
        <v>166</v>
      </c>
      <c r="AA6324" s="21" t="str">
        <f>HYPERLINK("https://www.ncbi.nlm.nih.gov/nuccore/MK059760","NCBI Nucleotide")</f>
        <v>NCBI Nucleotide</v>
      </c>
    </row>
    <row r="6325" spans="1:27" x14ac:dyDescent="0.35">
      <c r="A6325">
        <v>1012454</v>
      </c>
      <c r="B6325">
        <v>6038</v>
      </c>
      <c r="C6325">
        <v>7</v>
      </c>
      <c r="D6325" s="17" t="s">
        <v>10507</v>
      </c>
      <c r="E6325" s="17"/>
      <c r="F6325" s="17" t="s">
        <v>10780</v>
      </c>
      <c r="G6325" s="17"/>
      <c r="H6325" s="17" t="s">
        <v>12908</v>
      </c>
      <c r="I6325" s="17"/>
      <c r="J6325" s="17" t="s">
        <v>12909</v>
      </c>
      <c r="K6325" s="17"/>
      <c r="L6325" s="17" t="s">
        <v>13936</v>
      </c>
      <c r="M6325" s="17"/>
      <c r="N6325" s="17" t="s">
        <v>13937</v>
      </c>
      <c r="O6325" s="17"/>
      <c r="P6325" s="17" t="s">
        <v>13938</v>
      </c>
      <c r="Q6325" s="17"/>
      <c r="R6325" s="25" t="str">
        <f t="shared" si="16"/>
        <v>Torbevirus viento</v>
      </c>
      <c r="S6325" s="18" t="s">
        <v>8141</v>
      </c>
      <c r="T6325" s="18" t="s">
        <v>13958</v>
      </c>
      <c r="U6325" s="18" t="s">
        <v>13959</v>
      </c>
      <c r="V6325" s="18" t="s">
        <v>13970</v>
      </c>
      <c r="W6325" s="18" t="s">
        <v>49014</v>
      </c>
      <c r="X6325" s="18" t="s">
        <v>42</v>
      </c>
      <c r="Y6325" s="18" t="s">
        <v>12266</v>
      </c>
      <c r="Z6325" s="18" t="s">
        <v>166</v>
      </c>
      <c r="AA6325" s="21" t="str">
        <f>HYPERLINK("https://www.ncbi.nlm.nih.gov/nuccore/MK059766","NCBI Nucleotide")</f>
        <v>NCBI Nucleotide</v>
      </c>
    </row>
    <row r="6326" spans="1:27" x14ac:dyDescent="0.35">
      <c r="A6326">
        <v>1012448</v>
      </c>
      <c r="B6326">
        <v>6038</v>
      </c>
      <c r="C6326">
        <v>8</v>
      </c>
      <c r="D6326" s="17" t="s">
        <v>10507</v>
      </c>
      <c r="E6326" s="17"/>
      <c r="F6326" s="17" t="s">
        <v>10780</v>
      </c>
      <c r="G6326" s="17"/>
      <c r="H6326" s="17" t="s">
        <v>12908</v>
      </c>
      <c r="I6326" s="17"/>
      <c r="J6326" s="17" t="s">
        <v>12909</v>
      </c>
      <c r="K6326" s="17"/>
      <c r="L6326" s="17" t="s">
        <v>13936</v>
      </c>
      <c r="M6326" s="17"/>
      <c r="N6326" s="17" t="s">
        <v>13937</v>
      </c>
      <c r="O6326" s="17"/>
      <c r="P6326" s="17" t="s">
        <v>13938</v>
      </c>
      <c r="Q6326" s="17"/>
      <c r="R6326" s="25" t="str">
        <f t="shared" si="16"/>
        <v>Torbevirus viento</v>
      </c>
      <c r="S6326" s="18" t="s">
        <v>8141</v>
      </c>
      <c r="T6326" s="18" t="s">
        <v>13958</v>
      </c>
      <c r="U6326" s="18" t="s">
        <v>13959</v>
      </c>
      <c r="V6326" s="18" t="s">
        <v>13962</v>
      </c>
      <c r="W6326" s="18" t="s">
        <v>49015</v>
      </c>
      <c r="X6326" s="18" t="s">
        <v>42</v>
      </c>
      <c r="Y6326" s="18" t="s">
        <v>12266</v>
      </c>
      <c r="Z6326" s="18" t="s">
        <v>166</v>
      </c>
      <c r="AA6326" s="21" t="str">
        <f>HYPERLINK("https://www.ncbi.nlm.nih.gov/nuccore/MK059761","NCBI Nucleotide")</f>
        <v>NCBI Nucleotide</v>
      </c>
    </row>
    <row r="6327" spans="1:27" x14ac:dyDescent="0.35">
      <c r="A6327">
        <v>1012455</v>
      </c>
      <c r="B6327">
        <v>6038</v>
      </c>
      <c r="C6327">
        <v>9</v>
      </c>
      <c r="D6327" s="17" t="s">
        <v>10507</v>
      </c>
      <c r="E6327" s="17"/>
      <c r="F6327" s="17" t="s">
        <v>10780</v>
      </c>
      <c r="G6327" s="17"/>
      <c r="H6327" s="17" t="s">
        <v>12908</v>
      </c>
      <c r="I6327" s="17"/>
      <c r="J6327" s="17" t="s">
        <v>12909</v>
      </c>
      <c r="K6327" s="17"/>
      <c r="L6327" s="17" t="s">
        <v>13936</v>
      </c>
      <c r="M6327" s="17"/>
      <c r="N6327" s="17" t="s">
        <v>13937</v>
      </c>
      <c r="O6327" s="17"/>
      <c r="P6327" s="17" t="s">
        <v>13938</v>
      </c>
      <c r="Q6327" s="17"/>
      <c r="R6327" s="25" t="str">
        <f t="shared" si="16"/>
        <v>Torbevirus viento</v>
      </c>
      <c r="S6327" s="18" t="s">
        <v>8141</v>
      </c>
      <c r="T6327" s="18" t="s">
        <v>13971</v>
      </c>
      <c r="U6327" s="18" t="s">
        <v>13972</v>
      </c>
      <c r="V6327" s="18" t="s">
        <v>13973</v>
      </c>
      <c r="W6327" s="18" t="s">
        <v>49016</v>
      </c>
      <c r="X6327" s="18" t="s">
        <v>42</v>
      </c>
      <c r="Y6327" s="18" t="s">
        <v>12266</v>
      </c>
      <c r="Z6327" s="18" t="s">
        <v>166</v>
      </c>
      <c r="AA6327" s="21" t="str">
        <f>HYPERLINK("https://www.ncbi.nlm.nih.gov/nuccore/MK059768","NCBI Nucleotide")</f>
        <v>NCBI Nucleotide</v>
      </c>
    </row>
    <row r="6328" spans="1:27" x14ac:dyDescent="0.35">
      <c r="A6328">
        <v>1012456</v>
      </c>
      <c r="B6328">
        <v>6038</v>
      </c>
      <c r="C6328">
        <v>10</v>
      </c>
      <c r="D6328" s="17" t="s">
        <v>10507</v>
      </c>
      <c r="E6328" s="17"/>
      <c r="F6328" s="17" t="s">
        <v>10780</v>
      </c>
      <c r="G6328" s="17"/>
      <c r="H6328" s="17" t="s">
        <v>12908</v>
      </c>
      <c r="I6328" s="17"/>
      <c r="J6328" s="17" t="s">
        <v>12909</v>
      </c>
      <c r="K6328" s="17"/>
      <c r="L6328" s="17" t="s">
        <v>13936</v>
      </c>
      <c r="M6328" s="17"/>
      <c r="N6328" s="17" t="s">
        <v>13937</v>
      </c>
      <c r="O6328" s="17"/>
      <c r="P6328" s="17" t="s">
        <v>13938</v>
      </c>
      <c r="Q6328" s="17"/>
      <c r="R6328" s="25" t="str">
        <f t="shared" si="16"/>
        <v>Torbevirus viento</v>
      </c>
      <c r="S6328" s="18" t="s">
        <v>8141</v>
      </c>
      <c r="T6328" s="18" t="s">
        <v>13971</v>
      </c>
      <c r="U6328" s="18" t="s">
        <v>13972</v>
      </c>
      <c r="V6328" s="18" t="s">
        <v>13974</v>
      </c>
      <c r="W6328" s="18" t="s">
        <v>49017</v>
      </c>
      <c r="X6328" s="18" t="s">
        <v>42</v>
      </c>
      <c r="Y6328" s="18" t="s">
        <v>12266</v>
      </c>
      <c r="Z6328" s="18" t="s">
        <v>166</v>
      </c>
      <c r="AA6328" s="21" t="str">
        <f>HYPERLINK("https://www.ncbi.nlm.nih.gov/nuccore/MK059771","NCBI Nucleotide")</f>
        <v>NCBI Nucleotide</v>
      </c>
    </row>
    <row r="6329" spans="1:27" x14ac:dyDescent="0.35">
      <c r="A6329">
        <v>1012457</v>
      </c>
      <c r="B6329">
        <v>6038</v>
      </c>
      <c r="C6329">
        <v>11</v>
      </c>
      <c r="D6329" s="17" t="s">
        <v>10507</v>
      </c>
      <c r="E6329" s="17"/>
      <c r="F6329" s="17" t="s">
        <v>10780</v>
      </c>
      <c r="G6329" s="17"/>
      <c r="H6329" s="17" t="s">
        <v>12908</v>
      </c>
      <c r="I6329" s="17"/>
      <c r="J6329" s="17" t="s">
        <v>12909</v>
      </c>
      <c r="K6329" s="17"/>
      <c r="L6329" s="17" t="s">
        <v>13936</v>
      </c>
      <c r="M6329" s="17"/>
      <c r="N6329" s="17" t="s">
        <v>13937</v>
      </c>
      <c r="O6329" s="17"/>
      <c r="P6329" s="17" t="s">
        <v>13938</v>
      </c>
      <c r="Q6329" s="17"/>
      <c r="R6329" s="25" t="str">
        <f t="shared" si="16"/>
        <v>Torbevirus viento</v>
      </c>
      <c r="S6329" s="18" t="s">
        <v>8141</v>
      </c>
      <c r="T6329" s="18" t="s">
        <v>13971</v>
      </c>
      <c r="U6329" s="18" t="s">
        <v>13972</v>
      </c>
      <c r="V6329" s="18" t="s">
        <v>13975</v>
      </c>
      <c r="W6329" s="18" t="s">
        <v>49018</v>
      </c>
      <c r="X6329" s="18" t="s">
        <v>42</v>
      </c>
      <c r="Y6329" s="18" t="s">
        <v>12266</v>
      </c>
      <c r="Z6329" s="18" t="s">
        <v>166</v>
      </c>
      <c r="AA6329" s="21" t="str">
        <f>HYPERLINK("https://www.ncbi.nlm.nih.gov/nuccore/MK059767","NCBI Nucleotide")</f>
        <v>NCBI Nucleotide</v>
      </c>
    </row>
    <row r="6330" spans="1:27" x14ac:dyDescent="0.35">
      <c r="A6330">
        <v>1012458</v>
      </c>
      <c r="B6330">
        <v>6038</v>
      </c>
      <c r="C6330">
        <v>12</v>
      </c>
      <c r="D6330" s="17" t="s">
        <v>10507</v>
      </c>
      <c r="E6330" s="17"/>
      <c r="F6330" s="17" t="s">
        <v>10780</v>
      </c>
      <c r="G6330" s="17"/>
      <c r="H6330" s="17" t="s">
        <v>12908</v>
      </c>
      <c r="I6330" s="17"/>
      <c r="J6330" s="17" t="s">
        <v>12909</v>
      </c>
      <c r="K6330" s="17"/>
      <c r="L6330" s="17" t="s">
        <v>13936</v>
      </c>
      <c r="M6330" s="17"/>
      <c r="N6330" s="17" t="s">
        <v>13937</v>
      </c>
      <c r="O6330" s="17"/>
      <c r="P6330" s="17" t="s">
        <v>13938</v>
      </c>
      <c r="Q6330" s="17"/>
      <c r="R6330" s="25" t="str">
        <f t="shared" si="16"/>
        <v>Torbevirus viento</v>
      </c>
      <c r="S6330" s="18" t="s">
        <v>8141</v>
      </c>
      <c r="T6330" s="18" t="s">
        <v>13971</v>
      </c>
      <c r="U6330" s="18" t="s">
        <v>13972</v>
      </c>
      <c r="V6330" s="18" t="s">
        <v>13976</v>
      </c>
      <c r="W6330" s="18" t="s">
        <v>49019</v>
      </c>
      <c r="X6330" s="18" t="s">
        <v>42</v>
      </c>
      <c r="Y6330" s="18" t="s">
        <v>12266</v>
      </c>
      <c r="Z6330" s="18" t="s">
        <v>166</v>
      </c>
      <c r="AA6330" s="21" t="str">
        <f>HYPERLINK("https://www.ncbi.nlm.nih.gov/nuccore/MK059770","NCBI Nucleotide")</f>
        <v>NCBI Nucleotide</v>
      </c>
    </row>
    <row r="6331" spans="1:27" x14ac:dyDescent="0.35">
      <c r="A6331">
        <v>1012459</v>
      </c>
      <c r="B6331">
        <v>6038</v>
      </c>
      <c r="C6331">
        <v>13</v>
      </c>
      <c r="D6331" s="17" t="s">
        <v>10507</v>
      </c>
      <c r="E6331" s="17"/>
      <c r="F6331" s="17" t="s">
        <v>10780</v>
      </c>
      <c r="G6331" s="17"/>
      <c r="H6331" s="17" t="s">
        <v>12908</v>
      </c>
      <c r="I6331" s="17"/>
      <c r="J6331" s="17" t="s">
        <v>12909</v>
      </c>
      <c r="K6331" s="17"/>
      <c r="L6331" s="17" t="s">
        <v>13936</v>
      </c>
      <c r="M6331" s="17"/>
      <c r="N6331" s="17" t="s">
        <v>13937</v>
      </c>
      <c r="O6331" s="17"/>
      <c r="P6331" s="17" t="s">
        <v>13938</v>
      </c>
      <c r="Q6331" s="17"/>
      <c r="R6331" s="25" t="str">
        <f t="shared" si="16"/>
        <v>Torbevirus viento</v>
      </c>
      <c r="S6331" s="18" t="s">
        <v>8141</v>
      </c>
      <c r="T6331" s="18" t="s">
        <v>13971</v>
      </c>
      <c r="U6331" s="18" t="s">
        <v>13972</v>
      </c>
      <c r="V6331" s="18" t="s">
        <v>13977</v>
      </c>
      <c r="W6331" s="18" t="s">
        <v>49020</v>
      </c>
      <c r="X6331" s="18" t="s">
        <v>42</v>
      </c>
      <c r="Y6331" s="18" t="s">
        <v>12266</v>
      </c>
      <c r="Z6331" s="18" t="s">
        <v>166</v>
      </c>
      <c r="AA6331" s="21" t="str">
        <f>HYPERLINK("https://www.ncbi.nlm.nih.gov/nuccore/MK059769","NCBI Nucleotide")</f>
        <v>NCBI Nucleotide</v>
      </c>
    </row>
    <row r="6332" spans="1:27" x14ac:dyDescent="0.35">
      <c r="A6332">
        <v>1012460</v>
      </c>
      <c r="B6332">
        <v>6038</v>
      </c>
      <c r="C6332">
        <v>14</v>
      </c>
      <c r="D6332" s="17" t="s">
        <v>10507</v>
      </c>
      <c r="E6332" s="17"/>
      <c r="F6332" s="17" t="s">
        <v>10780</v>
      </c>
      <c r="G6332" s="17"/>
      <c r="H6332" s="17" t="s">
        <v>12908</v>
      </c>
      <c r="I6332" s="17"/>
      <c r="J6332" s="17" t="s">
        <v>12909</v>
      </c>
      <c r="K6332" s="17"/>
      <c r="L6332" s="17" t="s">
        <v>13936</v>
      </c>
      <c r="M6332" s="17"/>
      <c r="N6332" s="17" t="s">
        <v>13937</v>
      </c>
      <c r="O6332" s="17"/>
      <c r="P6332" s="17" t="s">
        <v>13938</v>
      </c>
      <c r="Q6332" s="17"/>
      <c r="R6332" s="25" t="str">
        <f t="shared" si="16"/>
        <v>Torbevirus viento</v>
      </c>
      <c r="S6332" s="18" t="s">
        <v>8141</v>
      </c>
      <c r="T6332" s="18" t="s">
        <v>13978</v>
      </c>
      <c r="U6332" s="18" t="s">
        <v>13979</v>
      </c>
      <c r="V6332" s="18">
        <v>15040</v>
      </c>
      <c r="W6332" s="18" t="s">
        <v>49021</v>
      </c>
      <c r="X6332" s="18" t="s">
        <v>42</v>
      </c>
      <c r="Y6332" s="18" t="s">
        <v>12266</v>
      </c>
      <c r="Z6332" s="18" t="s">
        <v>166</v>
      </c>
      <c r="AA6332" s="21" t="str">
        <f>HYPERLINK("https://www.ncbi.nlm.nih.gov/nuccore/KY244146","NCBI Nucleotide")</f>
        <v>NCBI Nucleotide</v>
      </c>
    </row>
    <row r="6333" spans="1:27" x14ac:dyDescent="0.35">
      <c r="A6333">
        <v>1012461</v>
      </c>
      <c r="B6333">
        <v>6038</v>
      </c>
      <c r="C6333">
        <v>15</v>
      </c>
      <c r="D6333" s="17" t="s">
        <v>10507</v>
      </c>
      <c r="E6333" s="17"/>
      <c r="F6333" s="17" t="s">
        <v>10780</v>
      </c>
      <c r="G6333" s="17"/>
      <c r="H6333" s="17" t="s">
        <v>12908</v>
      </c>
      <c r="I6333" s="17"/>
      <c r="J6333" s="17" t="s">
        <v>12909</v>
      </c>
      <c r="K6333" s="17"/>
      <c r="L6333" s="17" t="s">
        <v>13936</v>
      </c>
      <c r="M6333" s="17"/>
      <c r="N6333" s="17" t="s">
        <v>13937</v>
      </c>
      <c r="O6333" s="17"/>
      <c r="P6333" s="17" t="s">
        <v>13938</v>
      </c>
      <c r="Q6333" s="17"/>
      <c r="R6333" s="25" t="str">
        <f t="shared" si="16"/>
        <v>Torbevirus viento</v>
      </c>
      <c r="S6333" s="18" t="s">
        <v>8141</v>
      </c>
      <c r="T6333" s="18" t="s">
        <v>13978</v>
      </c>
      <c r="U6333" s="18" t="s">
        <v>13979</v>
      </c>
      <c r="V6333" s="18">
        <v>15232</v>
      </c>
      <c r="W6333" s="18" t="s">
        <v>49022</v>
      </c>
      <c r="X6333" s="18" t="s">
        <v>42</v>
      </c>
      <c r="Y6333" s="18" t="s">
        <v>12266</v>
      </c>
      <c r="Z6333" s="18" t="s">
        <v>166</v>
      </c>
      <c r="AA6333" s="21" t="str">
        <f>HYPERLINK("https://www.ncbi.nlm.nih.gov/nuccore/KY328746","NCBI Nucleotide")</f>
        <v>NCBI Nucleotide</v>
      </c>
    </row>
    <row r="6334" spans="1:27" x14ac:dyDescent="0.35">
      <c r="A6334">
        <v>1012462</v>
      </c>
      <c r="B6334">
        <v>6038</v>
      </c>
      <c r="C6334">
        <v>16</v>
      </c>
      <c r="D6334" s="17" t="s">
        <v>10507</v>
      </c>
      <c r="E6334" s="17"/>
      <c r="F6334" s="17" t="s">
        <v>10780</v>
      </c>
      <c r="G6334" s="17"/>
      <c r="H6334" s="17" t="s">
        <v>12908</v>
      </c>
      <c r="I6334" s="17"/>
      <c r="J6334" s="17" t="s">
        <v>12909</v>
      </c>
      <c r="K6334" s="17"/>
      <c r="L6334" s="17" t="s">
        <v>13936</v>
      </c>
      <c r="M6334" s="17"/>
      <c r="N6334" s="17" t="s">
        <v>13937</v>
      </c>
      <c r="O6334" s="17"/>
      <c r="P6334" s="17" t="s">
        <v>13938</v>
      </c>
      <c r="Q6334" s="17"/>
      <c r="R6334" s="25" t="str">
        <f t="shared" si="16"/>
        <v>Torbevirus viento</v>
      </c>
      <c r="S6334" s="18" t="s">
        <v>8141</v>
      </c>
      <c r="T6334" s="18" t="s">
        <v>13978</v>
      </c>
      <c r="U6334" s="18" t="s">
        <v>13979</v>
      </c>
      <c r="V6334" s="18">
        <v>15037</v>
      </c>
      <c r="W6334" s="18" t="s">
        <v>49023</v>
      </c>
      <c r="X6334" s="18" t="s">
        <v>42</v>
      </c>
      <c r="Y6334" s="18" t="s">
        <v>12266</v>
      </c>
      <c r="Z6334" s="18" t="s">
        <v>166</v>
      </c>
      <c r="AA6334" s="21" t="str">
        <f>HYPERLINK("https://www.ncbi.nlm.nih.gov/nuccore/KY328745","NCBI Nucleotide")</f>
        <v>NCBI Nucleotide</v>
      </c>
    </row>
    <row r="6335" spans="1:27" x14ac:dyDescent="0.35">
      <c r="A6335">
        <v>1012463</v>
      </c>
      <c r="B6335">
        <v>6038</v>
      </c>
      <c r="C6335">
        <v>17</v>
      </c>
      <c r="D6335" s="17" t="s">
        <v>10507</v>
      </c>
      <c r="E6335" s="17"/>
      <c r="F6335" s="17" t="s">
        <v>10780</v>
      </c>
      <c r="G6335" s="17"/>
      <c r="H6335" s="17" t="s">
        <v>12908</v>
      </c>
      <c r="I6335" s="17"/>
      <c r="J6335" s="17" t="s">
        <v>12909</v>
      </c>
      <c r="K6335" s="17"/>
      <c r="L6335" s="17" t="s">
        <v>13936</v>
      </c>
      <c r="M6335" s="17"/>
      <c r="N6335" s="17" t="s">
        <v>13937</v>
      </c>
      <c r="O6335" s="17"/>
      <c r="P6335" s="17" t="s">
        <v>13938</v>
      </c>
      <c r="Q6335" s="17"/>
      <c r="R6335" s="25" t="str">
        <f t="shared" si="16"/>
        <v>Torbevirus viento</v>
      </c>
      <c r="S6335" s="18" t="s">
        <v>8141</v>
      </c>
      <c r="T6335" s="18" t="s">
        <v>13978</v>
      </c>
      <c r="U6335" s="18" t="s">
        <v>13979</v>
      </c>
      <c r="V6335" s="18">
        <v>15307</v>
      </c>
      <c r="W6335" s="18" t="s">
        <v>49024</v>
      </c>
      <c r="X6335" s="18" t="s">
        <v>42</v>
      </c>
      <c r="Y6335" s="18" t="s">
        <v>12266</v>
      </c>
      <c r="Z6335" s="18" t="s">
        <v>166</v>
      </c>
      <c r="AA6335" s="21" t="str">
        <f>HYPERLINK("https://www.ncbi.nlm.nih.gov/nuccore/KY328744","NCBI Nucleotide")</f>
        <v>NCBI Nucleotide</v>
      </c>
    </row>
    <row r="6336" spans="1:27" x14ac:dyDescent="0.35">
      <c r="A6336">
        <v>1025310</v>
      </c>
      <c r="B6336">
        <v>6039</v>
      </c>
      <c r="C6336">
        <v>1</v>
      </c>
      <c r="D6336" s="17" t="s">
        <v>10507</v>
      </c>
      <c r="E6336" s="17"/>
      <c r="F6336" s="17" t="s">
        <v>10780</v>
      </c>
      <c r="G6336" s="17"/>
      <c r="H6336" s="17" t="s">
        <v>12908</v>
      </c>
      <c r="I6336" s="17"/>
      <c r="J6336" s="17" t="s">
        <v>12909</v>
      </c>
      <c r="K6336" s="17"/>
      <c r="L6336" s="17" t="s">
        <v>40854</v>
      </c>
      <c r="M6336" s="17"/>
      <c r="N6336" s="17" t="s">
        <v>40855</v>
      </c>
      <c r="O6336" s="17"/>
      <c r="P6336" s="17" t="s">
        <v>40856</v>
      </c>
      <c r="Q6336" s="17"/>
      <c r="R6336" s="25" t="str">
        <f>HYPERLINK("https://ictv.global/taxonomy/taxondetails?taxnode_id=202318583","Amaruvirus aka")</f>
        <v>Amaruvirus aka</v>
      </c>
      <c r="S6336" s="18" t="s">
        <v>30</v>
      </c>
      <c r="T6336" s="18" t="s">
        <v>40857</v>
      </c>
      <c r="U6336" s="18"/>
      <c r="V6336" s="18" t="s">
        <v>40858</v>
      </c>
      <c r="W6336" s="18" t="s">
        <v>40859</v>
      </c>
      <c r="X6336" s="18" t="s">
        <v>42</v>
      </c>
      <c r="Y6336" s="18" t="s">
        <v>12266</v>
      </c>
      <c r="Z6336" s="18" t="s">
        <v>166</v>
      </c>
      <c r="AA6336" s="21" t="str">
        <f>HYPERLINK("https://www.ncbi.nlm.nih.gov/nuccore/KJ206566","NCBI Nucleotide")</f>
        <v>NCBI Nucleotide</v>
      </c>
    </row>
    <row r="6337" spans="1:27" x14ac:dyDescent="0.35">
      <c r="A6337">
        <v>1025311</v>
      </c>
      <c r="B6337">
        <v>6040</v>
      </c>
      <c r="C6337">
        <v>1</v>
      </c>
      <c r="D6337" s="17" t="s">
        <v>10507</v>
      </c>
      <c r="E6337" s="17"/>
      <c r="F6337" s="17" t="s">
        <v>10780</v>
      </c>
      <c r="G6337" s="17"/>
      <c r="H6337" s="17" t="s">
        <v>12908</v>
      </c>
      <c r="I6337" s="17"/>
      <c r="J6337" s="17" t="s">
        <v>12909</v>
      </c>
      <c r="K6337" s="17"/>
      <c r="L6337" s="17" t="s">
        <v>40854</v>
      </c>
      <c r="M6337" s="17"/>
      <c r="N6337" s="17" t="s">
        <v>40855</v>
      </c>
      <c r="O6337" s="17"/>
      <c r="P6337" s="17" t="s">
        <v>40856</v>
      </c>
      <c r="Q6337" s="17"/>
      <c r="R6337" s="25" t="str">
        <f>HYPERLINK("https://ictv.global/taxonomy/taxondetails?taxnode_id=202318584","Amaruvirus masi")</f>
        <v>Amaruvirus masi</v>
      </c>
      <c r="S6337" s="18" t="s">
        <v>30</v>
      </c>
      <c r="T6337" s="18" t="s">
        <v>40860</v>
      </c>
      <c r="U6337" s="18"/>
      <c r="V6337" s="18" t="s">
        <v>40861</v>
      </c>
      <c r="W6337" s="18" t="s">
        <v>40862</v>
      </c>
      <c r="X6337" s="18" t="s">
        <v>42</v>
      </c>
      <c r="Y6337" s="18" t="s">
        <v>12266</v>
      </c>
      <c r="Z6337" s="18" t="s">
        <v>166</v>
      </c>
      <c r="AA6337" s="21" t="str">
        <f>HYPERLINK("https://www.ncbi.nlm.nih.gov/nuccore/LC708001","NCBI Nucleotide")</f>
        <v>NCBI Nucleotide</v>
      </c>
    </row>
    <row r="6338" spans="1:27" x14ac:dyDescent="0.35">
      <c r="A6338">
        <v>1025312</v>
      </c>
      <c r="B6338">
        <v>6041</v>
      </c>
      <c r="C6338">
        <v>1</v>
      </c>
      <c r="D6338" s="17" t="s">
        <v>10507</v>
      </c>
      <c r="E6338" s="17"/>
      <c r="F6338" s="17" t="s">
        <v>10780</v>
      </c>
      <c r="G6338" s="17"/>
      <c r="H6338" s="17" t="s">
        <v>12908</v>
      </c>
      <c r="I6338" s="17"/>
      <c r="J6338" s="17" t="s">
        <v>12909</v>
      </c>
      <c r="K6338" s="17"/>
      <c r="L6338" s="17" t="s">
        <v>40854</v>
      </c>
      <c r="M6338" s="17"/>
      <c r="N6338" s="17" t="s">
        <v>40855</v>
      </c>
      <c r="O6338" s="17"/>
      <c r="P6338" s="17" t="s">
        <v>40856</v>
      </c>
      <c r="Q6338" s="17"/>
      <c r="R6338" s="25" t="str">
        <f>HYPERLINK("https://ictv.global/taxonomy/taxondetails?taxnode_id=202318582","Amaruvirus taruka")</f>
        <v>Amaruvirus taruka</v>
      </c>
      <c r="S6338" s="18" t="s">
        <v>30</v>
      </c>
      <c r="T6338" s="18" t="s">
        <v>40863</v>
      </c>
      <c r="U6338" s="18"/>
      <c r="V6338" s="18" t="s">
        <v>40864</v>
      </c>
      <c r="W6338" s="18" t="s">
        <v>40865</v>
      </c>
      <c r="X6338" s="18" t="s">
        <v>42</v>
      </c>
      <c r="Y6338" s="18" t="s">
        <v>12266</v>
      </c>
      <c r="Z6338" s="18" t="s">
        <v>166</v>
      </c>
      <c r="AA6338" s="21" t="str">
        <f>HYPERLINK("https://www.ncbi.nlm.nih.gov/nuccore/MN621476","NCBI Nucleotide")</f>
        <v>NCBI Nucleotide</v>
      </c>
    </row>
    <row r="6339" spans="1:27" x14ac:dyDescent="0.35">
      <c r="A6339">
        <v>1025354</v>
      </c>
      <c r="B6339">
        <v>6042</v>
      </c>
      <c r="C6339">
        <v>1</v>
      </c>
      <c r="D6339" s="17" t="s">
        <v>10507</v>
      </c>
      <c r="E6339" s="17"/>
      <c r="F6339" s="17" t="s">
        <v>10780</v>
      </c>
      <c r="G6339" s="17"/>
      <c r="H6339" s="17" t="s">
        <v>12908</v>
      </c>
      <c r="I6339" s="17"/>
      <c r="J6339" s="17" t="s">
        <v>12909</v>
      </c>
      <c r="K6339" s="17"/>
      <c r="L6339" s="17" t="s">
        <v>40854</v>
      </c>
      <c r="M6339" s="17"/>
      <c r="N6339" s="17" t="s">
        <v>40855</v>
      </c>
      <c r="O6339" s="17"/>
      <c r="P6339" s="17" t="s">
        <v>40866</v>
      </c>
      <c r="Q6339" s="17"/>
      <c r="R6339" s="25" t="str">
        <f>HYPERLINK("https://ictv.global/taxonomy/taxondetails?taxnode_id=202318588","Capamivirus cipi")</f>
        <v>Capamivirus cipi</v>
      </c>
      <c r="S6339" s="18" t="s">
        <v>30</v>
      </c>
      <c r="T6339" s="18" t="s">
        <v>40867</v>
      </c>
      <c r="U6339" s="18"/>
      <c r="V6339" s="18" t="s">
        <v>40868</v>
      </c>
      <c r="W6339" s="18" t="s">
        <v>40869</v>
      </c>
      <c r="X6339" s="18" t="s">
        <v>42</v>
      </c>
      <c r="Y6339" s="18" t="s">
        <v>12266</v>
      </c>
      <c r="Z6339" s="18" t="s">
        <v>166</v>
      </c>
      <c r="AA6339" s="21" t="str">
        <f>HYPERLINK("https://www.ncbi.nlm.nih.gov/nuccore/MH616647","NCBI Nucleotide")</f>
        <v>NCBI Nucleotide</v>
      </c>
    </row>
    <row r="6340" spans="1:27" x14ac:dyDescent="0.35">
      <c r="A6340">
        <v>1025355</v>
      </c>
      <c r="B6340">
        <v>6043</v>
      </c>
      <c r="C6340">
        <v>1</v>
      </c>
      <c r="D6340" s="17" t="s">
        <v>10507</v>
      </c>
      <c r="E6340" s="17"/>
      <c r="F6340" s="17" t="s">
        <v>10780</v>
      </c>
      <c r="G6340" s="17"/>
      <c r="H6340" s="17" t="s">
        <v>12908</v>
      </c>
      <c r="I6340" s="17"/>
      <c r="J6340" s="17" t="s">
        <v>12909</v>
      </c>
      <c r="K6340" s="17"/>
      <c r="L6340" s="17" t="s">
        <v>40854</v>
      </c>
      <c r="M6340" s="17"/>
      <c r="N6340" s="17" t="s">
        <v>40855</v>
      </c>
      <c r="O6340" s="17"/>
      <c r="P6340" s="17" t="s">
        <v>40866</v>
      </c>
      <c r="Q6340" s="17"/>
      <c r="R6340" s="25" t="str">
        <f>HYPERLINK("https://ictv.global/taxonomy/taxondetails?taxnode_id=202318589","Capamivirus muyu")</f>
        <v>Capamivirus muyu</v>
      </c>
      <c r="S6340" s="18" t="s">
        <v>30</v>
      </c>
      <c r="T6340" s="18" t="s">
        <v>40870</v>
      </c>
      <c r="U6340" s="18"/>
      <c r="V6340" s="18" t="s">
        <v>40871</v>
      </c>
      <c r="W6340" s="18" t="s">
        <v>40872</v>
      </c>
      <c r="X6340" s="18" t="s">
        <v>42</v>
      </c>
      <c r="Y6340" s="18" t="s">
        <v>12266</v>
      </c>
      <c r="Z6340" s="18" t="s">
        <v>166</v>
      </c>
      <c r="AA6340" s="21" t="str">
        <f>HYPERLINK("https://www.ncbi.nlm.nih.gov/nuccore/LC708004","NCBI Nucleotide")</f>
        <v>NCBI Nucleotide</v>
      </c>
    </row>
    <row r="6341" spans="1:27" x14ac:dyDescent="0.35">
      <c r="A6341">
        <v>1025344</v>
      </c>
      <c r="B6341">
        <v>6044</v>
      </c>
      <c r="C6341">
        <v>1</v>
      </c>
      <c r="D6341" s="17" t="s">
        <v>10507</v>
      </c>
      <c r="E6341" s="17"/>
      <c r="F6341" s="17" t="s">
        <v>10780</v>
      </c>
      <c r="G6341" s="17"/>
      <c r="H6341" s="17" t="s">
        <v>12908</v>
      </c>
      <c r="I6341" s="17"/>
      <c r="J6341" s="17" t="s">
        <v>12909</v>
      </c>
      <c r="K6341" s="17"/>
      <c r="L6341" s="17" t="s">
        <v>40854</v>
      </c>
      <c r="M6341" s="17"/>
      <c r="N6341" s="17" t="s">
        <v>40855</v>
      </c>
      <c r="O6341" s="17"/>
      <c r="P6341" s="17" t="s">
        <v>40873</v>
      </c>
      <c r="Q6341" s="17"/>
      <c r="R6341" s="25" t="str">
        <f>HYPERLINK("https://ictv.global/taxonomy/taxondetails?taxnode_id=202318578","Cinchivirus asul")</f>
        <v>Cinchivirus asul</v>
      </c>
      <c r="S6341" s="18" t="s">
        <v>30</v>
      </c>
      <c r="T6341" s="18" t="s">
        <v>40874</v>
      </c>
      <c r="U6341" s="18"/>
      <c r="V6341" s="18" t="s">
        <v>40875</v>
      </c>
      <c r="W6341" s="18" t="s">
        <v>40876</v>
      </c>
      <c r="X6341" s="18" t="s">
        <v>42</v>
      </c>
      <c r="Y6341" s="18" t="s">
        <v>12266</v>
      </c>
      <c r="Z6341" s="18" t="s">
        <v>166</v>
      </c>
      <c r="AA6341" s="21" t="str">
        <f>HYPERLINK("https://www.ncbi.nlm.nih.gov/nuccore/OQ599927","NCBI Nucleotide")</f>
        <v>NCBI Nucleotide</v>
      </c>
    </row>
    <row r="6342" spans="1:27" x14ac:dyDescent="0.35">
      <c r="A6342">
        <v>1025345</v>
      </c>
      <c r="B6342">
        <v>6045</v>
      </c>
      <c r="C6342">
        <v>1</v>
      </c>
      <c r="D6342" s="17" t="s">
        <v>10507</v>
      </c>
      <c r="E6342" s="17"/>
      <c r="F6342" s="17" t="s">
        <v>10780</v>
      </c>
      <c r="G6342" s="17"/>
      <c r="H6342" s="17" t="s">
        <v>12908</v>
      </c>
      <c r="I6342" s="17"/>
      <c r="J6342" s="17" t="s">
        <v>12909</v>
      </c>
      <c r="K6342" s="17"/>
      <c r="L6342" s="17" t="s">
        <v>40854</v>
      </c>
      <c r="M6342" s="17"/>
      <c r="N6342" s="17" t="s">
        <v>40855</v>
      </c>
      <c r="O6342" s="17"/>
      <c r="P6342" s="17" t="s">
        <v>40873</v>
      </c>
      <c r="Q6342" s="17"/>
      <c r="R6342" s="25" t="str">
        <f>HYPERLINK("https://ictv.global/taxonomy/taxondetails?taxnode_id=202318579","Cinchivirus quwi")</f>
        <v>Cinchivirus quwi</v>
      </c>
      <c r="S6342" s="18" t="s">
        <v>30</v>
      </c>
      <c r="T6342" s="18" t="s">
        <v>40877</v>
      </c>
      <c r="U6342" s="18"/>
      <c r="V6342" s="18" t="s">
        <v>40878</v>
      </c>
      <c r="W6342" s="18" t="s">
        <v>40879</v>
      </c>
      <c r="X6342" s="18" t="s">
        <v>42</v>
      </c>
      <c r="Y6342" s="18" t="s">
        <v>12266</v>
      </c>
      <c r="Z6342" s="18" t="s">
        <v>166</v>
      </c>
      <c r="AA6342" s="21" t="str">
        <f>HYPERLINK("https://www.ncbi.nlm.nih.gov/nuccore/KY370035","NCBI Nucleotide")</f>
        <v>NCBI Nucleotide</v>
      </c>
    </row>
    <row r="6343" spans="1:27" x14ac:dyDescent="0.35">
      <c r="A6343">
        <v>1025548</v>
      </c>
      <c r="B6343">
        <v>6046</v>
      </c>
      <c r="C6343">
        <v>1</v>
      </c>
      <c r="D6343" s="17" t="s">
        <v>10507</v>
      </c>
      <c r="E6343" s="17"/>
      <c r="F6343" s="17" t="s">
        <v>10780</v>
      </c>
      <c r="G6343" s="17"/>
      <c r="H6343" s="17" t="s">
        <v>12908</v>
      </c>
      <c r="I6343" s="17"/>
      <c r="J6343" s="17" t="s">
        <v>12909</v>
      </c>
      <c r="K6343" s="17"/>
      <c r="L6343" s="17" t="s">
        <v>40854</v>
      </c>
      <c r="M6343" s="17"/>
      <c r="N6343" s="17" t="s">
        <v>40855</v>
      </c>
      <c r="O6343" s="17"/>
      <c r="P6343" s="17" t="s">
        <v>40880</v>
      </c>
      <c r="Q6343" s="17"/>
      <c r="R6343" s="25" t="str">
        <f>HYPERLINK("https://ictv.global/taxonomy/taxondetails?taxnode_id=202318576","Intivirus quri")</f>
        <v>Intivirus quri</v>
      </c>
      <c r="S6343" s="18" t="s">
        <v>30</v>
      </c>
      <c r="T6343" s="18" t="s">
        <v>40881</v>
      </c>
      <c r="U6343" s="18"/>
      <c r="V6343" s="18" t="s">
        <v>40882</v>
      </c>
      <c r="W6343" s="18" t="s">
        <v>40883</v>
      </c>
      <c r="X6343" s="18" t="s">
        <v>42</v>
      </c>
      <c r="Y6343" s="18" t="s">
        <v>12266</v>
      </c>
      <c r="Z6343" s="18" t="s">
        <v>166</v>
      </c>
      <c r="AA6343" s="21" t="str">
        <f>HYPERLINK("https://www.ncbi.nlm.nih.gov/nuccore/KU043425","NCBI Nucleotide")</f>
        <v>NCBI Nucleotide</v>
      </c>
    </row>
    <row r="6344" spans="1:27" x14ac:dyDescent="0.35">
      <c r="A6344">
        <v>1025549</v>
      </c>
      <c r="B6344">
        <v>6047</v>
      </c>
      <c r="C6344">
        <v>1</v>
      </c>
      <c r="D6344" s="17" t="s">
        <v>10507</v>
      </c>
      <c r="E6344" s="17"/>
      <c r="F6344" s="17" t="s">
        <v>10780</v>
      </c>
      <c r="G6344" s="17"/>
      <c r="H6344" s="17" t="s">
        <v>12908</v>
      </c>
      <c r="I6344" s="17"/>
      <c r="J6344" s="17" t="s">
        <v>12909</v>
      </c>
      <c r="K6344" s="17"/>
      <c r="L6344" s="17" t="s">
        <v>40854</v>
      </c>
      <c r="M6344" s="17"/>
      <c r="N6344" s="17" t="s">
        <v>40855</v>
      </c>
      <c r="O6344" s="17"/>
      <c r="P6344" s="17" t="s">
        <v>40880</v>
      </c>
      <c r="Q6344" s="17"/>
      <c r="R6344" s="25" t="str">
        <f>HYPERLINK("https://ictv.global/taxonomy/taxondetails?taxnode_id=202318575","Intivirus runa")</f>
        <v>Intivirus runa</v>
      </c>
      <c r="S6344" s="18" t="s">
        <v>30</v>
      </c>
      <c r="T6344" s="18" t="s">
        <v>40884</v>
      </c>
      <c r="U6344" s="18"/>
      <c r="V6344" s="18" t="s">
        <v>40885</v>
      </c>
      <c r="W6344" s="18" t="s">
        <v>40886</v>
      </c>
      <c r="X6344" s="18" t="s">
        <v>42</v>
      </c>
      <c r="Y6344" s="18" t="s">
        <v>12266</v>
      </c>
      <c r="Z6344" s="18" t="s">
        <v>166</v>
      </c>
      <c r="AA6344" s="21" t="str">
        <f>HYPERLINK("https://www.ncbi.nlm.nih.gov/nuccore/KT600066","NCBI Nucleotide")</f>
        <v>NCBI Nucleotide</v>
      </c>
    </row>
    <row r="6345" spans="1:27" x14ac:dyDescent="0.35">
      <c r="A6345">
        <v>1025550</v>
      </c>
      <c r="B6345">
        <v>6048</v>
      </c>
      <c r="C6345">
        <v>1</v>
      </c>
      <c r="D6345" s="17" t="s">
        <v>10507</v>
      </c>
      <c r="E6345" s="17"/>
      <c r="F6345" s="17" t="s">
        <v>10780</v>
      </c>
      <c r="G6345" s="17"/>
      <c r="H6345" s="17" t="s">
        <v>12908</v>
      </c>
      <c r="I6345" s="17"/>
      <c r="J6345" s="17" t="s">
        <v>12909</v>
      </c>
      <c r="K6345" s="17"/>
      <c r="L6345" s="17" t="s">
        <v>40854</v>
      </c>
      <c r="M6345" s="17"/>
      <c r="N6345" s="17" t="s">
        <v>40855</v>
      </c>
      <c r="O6345" s="17"/>
      <c r="P6345" s="17" t="s">
        <v>40880</v>
      </c>
      <c r="Q6345" s="17"/>
      <c r="R6345" s="25" t="str">
        <f>HYPERLINK("https://ictv.global/taxonomy/taxondetails?taxnode_id=202318577","Intivirus surtixa")</f>
        <v>Intivirus surtixa</v>
      </c>
      <c r="S6345" s="18" t="s">
        <v>30</v>
      </c>
      <c r="T6345" s="18" t="s">
        <v>40887</v>
      </c>
      <c r="U6345" s="18"/>
      <c r="V6345" s="18" t="s">
        <v>40888</v>
      </c>
      <c r="W6345" s="18" t="s">
        <v>40889</v>
      </c>
      <c r="X6345" s="18" t="s">
        <v>42</v>
      </c>
      <c r="Y6345" s="18" t="s">
        <v>12266</v>
      </c>
      <c r="Z6345" s="18" t="s">
        <v>166</v>
      </c>
      <c r="AA6345" s="21" t="str">
        <f>HYPERLINK("https://www.ncbi.nlm.nih.gov/nuccore/MG571897","NCBI Nucleotide")</f>
        <v>NCBI Nucleotide</v>
      </c>
    </row>
    <row r="6346" spans="1:27" x14ac:dyDescent="0.35">
      <c r="A6346">
        <v>1025582</v>
      </c>
      <c r="B6346">
        <v>6049</v>
      </c>
      <c r="C6346">
        <v>1</v>
      </c>
      <c r="D6346" s="17" t="s">
        <v>10507</v>
      </c>
      <c r="E6346" s="17"/>
      <c r="F6346" s="17" t="s">
        <v>10780</v>
      </c>
      <c r="G6346" s="17"/>
      <c r="H6346" s="17" t="s">
        <v>12908</v>
      </c>
      <c r="I6346" s="17"/>
      <c r="J6346" s="17" t="s">
        <v>12909</v>
      </c>
      <c r="K6346" s="17"/>
      <c r="L6346" s="17" t="s">
        <v>40854</v>
      </c>
      <c r="M6346" s="17"/>
      <c r="N6346" s="17" t="s">
        <v>40855</v>
      </c>
      <c r="O6346" s="17"/>
      <c r="P6346" s="17" t="s">
        <v>40890</v>
      </c>
      <c r="Q6346" s="17"/>
      <c r="R6346" s="25" t="str">
        <f>HYPERLINK("https://ictv.global/taxonomy/taxondetails?taxnode_id=202318586","Macochavirus kuci")</f>
        <v>Macochavirus kuci</v>
      </c>
      <c r="S6346" s="18" t="s">
        <v>30</v>
      </c>
      <c r="T6346" s="18" t="s">
        <v>40891</v>
      </c>
      <c r="U6346" s="18"/>
      <c r="V6346" s="18" t="s">
        <v>40892</v>
      </c>
      <c r="W6346" s="18" t="s">
        <v>40893</v>
      </c>
      <c r="X6346" s="18" t="s">
        <v>42</v>
      </c>
      <c r="Y6346" s="18" t="s">
        <v>12266</v>
      </c>
      <c r="Z6346" s="18" t="s">
        <v>166</v>
      </c>
      <c r="AA6346" s="21" t="str">
        <f>HYPERLINK("https://www.ncbi.nlm.nih.gov/nuccore/MW601954","NCBI Nucleotide")</f>
        <v>NCBI Nucleotide</v>
      </c>
    </row>
    <row r="6347" spans="1:27" x14ac:dyDescent="0.35">
      <c r="A6347">
        <v>1025583</v>
      </c>
      <c r="B6347">
        <v>6050</v>
      </c>
      <c r="C6347">
        <v>1</v>
      </c>
      <c r="D6347" s="17" t="s">
        <v>10507</v>
      </c>
      <c r="E6347" s="17"/>
      <c r="F6347" s="17" t="s">
        <v>10780</v>
      </c>
      <c r="G6347" s="17"/>
      <c r="H6347" s="17" t="s">
        <v>12908</v>
      </c>
      <c r="I6347" s="17"/>
      <c r="J6347" s="17" t="s">
        <v>12909</v>
      </c>
      <c r="K6347" s="17"/>
      <c r="L6347" s="17" t="s">
        <v>40854</v>
      </c>
      <c r="M6347" s="17"/>
      <c r="N6347" s="17" t="s">
        <v>40855</v>
      </c>
      <c r="O6347" s="17"/>
      <c r="P6347" s="17" t="s">
        <v>40890</v>
      </c>
      <c r="Q6347" s="17"/>
      <c r="R6347" s="25" t="str">
        <f>HYPERLINK("https://ictv.global/taxonomy/taxondetails?taxnode_id=202318587","Macochavirus uywa")</f>
        <v>Macochavirus uywa</v>
      </c>
      <c r="S6347" s="18" t="s">
        <v>30</v>
      </c>
      <c r="T6347" s="18" t="s">
        <v>40894</v>
      </c>
      <c r="U6347" s="18"/>
      <c r="V6347" s="18" t="s">
        <v>40895</v>
      </c>
      <c r="W6347" s="18" t="s">
        <v>40896</v>
      </c>
      <c r="X6347" s="18" t="s">
        <v>42</v>
      </c>
      <c r="Y6347" s="18" t="s">
        <v>12266</v>
      </c>
      <c r="Z6347" s="18" t="s">
        <v>166</v>
      </c>
      <c r="AA6347" s="21" t="str">
        <f>HYPERLINK("https://www.ncbi.nlm.nih.gov/nuccore/MW601953","NCBI Nucleotide")</f>
        <v>NCBI Nucleotide</v>
      </c>
    </row>
    <row r="6348" spans="1:27" x14ac:dyDescent="0.35">
      <c r="A6348">
        <v>1025479</v>
      </c>
      <c r="B6348">
        <v>6051</v>
      </c>
      <c r="C6348">
        <v>1</v>
      </c>
      <c r="D6348" s="17" t="s">
        <v>10507</v>
      </c>
      <c r="E6348" s="17"/>
      <c r="F6348" s="17" t="s">
        <v>10780</v>
      </c>
      <c r="G6348" s="17"/>
      <c r="H6348" s="17" t="s">
        <v>12908</v>
      </c>
      <c r="I6348" s="17"/>
      <c r="J6348" s="17" t="s">
        <v>12909</v>
      </c>
      <c r="K6348" s="17"/>
      <c r="L6348" s="17" t="s">
        <v>40854</v>
      </c>
      <c r="M6348" s="17"/>
      <c r="N6348" s="17" t="s">
        <v>40855</v>
      </c>
      <c r="O6348" s="17"/>
      <c r="P6348" s="17" t="s">
        <v>40897</v>
      </c>
      <c r="Q6348" s="17"/>
      <c r="R6348" s="25" t="str">
        <f>HYPERLINK("https://ictv.global/taxonomy/taxondetails?taxnode_id=202318580","Quillavirus paku")</f>
        <v>Quillavirus paku</v>
      </c>
      <c r="S6348" s="18" t="s">
        <v>30</v>
      </c>
      <c r="T6348" s="18" t="s">
        <v>40898</v>
      </c>
      <c r="U6348" s="18"/>
      <c r="V6348" s="18" t="s">
        <v>40899</v>
      </c>
      <c r="W6348" s="18" t="s">
        <v>40900</v>
      </c>
      <c r="X6348" s="18" t="s">
        <v>42</v>
      </c>
      <c r="Y6348" s="18" t="s">
        <v>12266</v>
      </c>
      <c r="Z6348" s="18" t="s">
        <v>166</v>
      </c>
      <c r="AA6348" s="21" t="str">
        <f>HYPERLINK("https://www.ncbi.nlm.nih.gov/nuccore/KM573766","NCBI Nucleotide")</f>
        <v>NCBI Nucleotide</v>
      </c>
    </row>
    <row r="6349" spans="1:27" x14ac:dyDescent="0.35">
      <c r="A6349">
        <v>1025418</v>
      </c>
      <c r="B6349">
        <v>6052</v>
      </c>
      <c r="C6349">
        <v>1</v>
      </c>
      <c r="D6349" s="17" t="s">
        <v>10507</v>
      </c>
      <c r="E6349" s="17"/>
      <c r="F6349" s="17" t="s">
        <v>10780</v>
      </c>
      <c r="G6349" s="17"/>
      <c r="H6349" s="17" t="s">
        <v>12908</v>
      </c>
      <c r="I6349" s="17"/>
      <c r="J6349" s="17" t="s">
        <v>12909</v>
      </c>
      <c r="K6349" s="17"/>
      <c r="L6349" s="17" t="s">
        <v>40854</v>
      </c>
      <c r="M6349" s="17"/>
      <c r="N6349" s="17" t="s">
        <v>40855</v>
      </c>
      <c r="O6349" s="17"/>
      <c r="P6349" s="17" t="s">
        <v>40901</v>
      </c>
      <c r="Q6349" s="17"/>
      <c r="R6349" s="25" t="str">
        <f>HYPERLINK("https://ictv.global/taxonomy/taxondetails?taxnode_id=202318581","Tambotovirus akara")</f>
        <v>Tambotovirus akara</v>
      </c>
      <c r="S6349" s="18" t="s">
        <v>30</v>
      </c>
      <c r="T6349" s="18" t="s">
        <v>40902</v>
      </c>
      <c r="U6349" s="18"/>
      <c r="V6349" s="18" t="s">
        <v>40903</v>
      </c>
      <c r="W6349" s="18" t="s">
        <v>40904</v>
      </c>
      <c r="X6349" s="18" t="s">
        <v>42</v>
      </c>
      <c r="Y6349" s="18" t="s">
        <v>12266</v>
      </c>
      <c r="Z6349" s="18" t="s">
        <v>166</v>
      </c>
      <c r="AA6349" s="21" t="str">
        <f>HYPERLINK("https://www.ncbi.nlm.nih.gov/nuccore/MN379592","NCBI Nucleotide")</f>
        <v>NCBI Nucleotide</v>
      </c>
    </row>
    <row r="6350" spans="1:27" x14ac:dyDescent="0.35">
      <c r="A6350">
        <v>1025588</v>
      </c>
      <c r="B6350">
        <v>6053</v>
      </c>
      <c r="C6350">
        <v>1</v>
      </c>
      <c r="D6350" s="17" t="s">
        <v>10507</v>
      </c>
      <c r="E6350" s="17"/>
      <c r="F6350" s="17" t="s">
        <v>10780</v>
      </c>
      <c r="G6350" s="17"/>
      <c r="H6350" s="17" t="s">
        <v>12908</v>
      </c>
      <c r="I6350" s="17"/>
      <c r="J6350" s="17" t="s">
        <v>12909</v>
      </c>
      <c r="K6350" s="17"/>
      <c r="L6350" s="17" t="s">
        <v>40854</v>
      </c>
      <c r="M6350" s="17"/>
      <c r="N6350" s="17" t="s">
        <v>40855</v>
      </c>
      <c r="O6350" s="17"/>
      <c r="P6350" s="17" t="s">
        <v>40905</v>
      </c>
      <c r="Q6350" s="17"/>
      <c r="R6350" s="25" t="str">
        <f>HYPERLINK("https://ictv.global/taxonomy/taxondetails?taxnode_id=202318585","Yaviravirus kapata")</f>
        <v>Yaviravirus kapata</v>
      </c>
      <c r="S6350" s="18" t="s">
        <v>30</v>
      </c>
      <c r="T6350" s="18" t="s">
        <v>40906</v>
      </c>
      <c r="U6350" s="18"/>
      <c r="V6350" s="18" t="s">
        <v>40907</v>
      </c>
      <c r="W6350" s="18" t="s">
        <v>40908</v>
      </c>
      <c r="X6350" s="18" t="s">
        <v>42</v>
      </c>
      <c r="Y6350" s="18" t="s">
        <v>12266</v>
      </c>
      <c r="Z6350" s="18" t="s">
        <v>166</v>
      </c>
      <c r="AA6350" s="21" t="str">
        <f>HYPERLINK("https://www.ncbi.nlm.nih.gov/nuccore/KU043424","NCBI Nucleotide")</f>
        <v>NCBI Nucleotide</v>
      </c>
    </row>
    <row r="6351" spans="1:27" x14ac:dyDescent="0.35">
      <c r="A6351">
        <v>1027925</v>
      </c>
      <c r="B6351">
        <v>6054</v>
      </c>
      <c r="C6351">
        <v>1</v>
      </c>
      <c r="D6351" s="17" t="s">
        <v>10507</v>
      </c>
      <c r="E6351" s="17"/>
      <c r="F6351" s="17" t="s">
        <v>10780</v>
      </c>
      <c r="G6351" s="17"/>
      <c r="H6351" s="17" t="s">
        <v>12908</v>
      </c>
      <c r="I6351" s="17"/>
      <c r="J6351" s="17" t="s">
        <v>12909</v>
      </c>
      <c r="K6351" s="17"/>
      <c r="L6351" s="17" t="s">
        <v>13980</v>
      </c>
      <c r="M6351" s="17"/>
      <c r="N6351" s="17" t="s">
        <v>13981</v>
      </c>
      <c r="O6351" s="17"/>
      <c r="P6351" s="17" t="s">
        <v>40909</v>
      </c>
      <c r="Q6351" s="17"/>
      <c r="R6351" s="25" t="str">
        <f>HYPERLINK("https://ictv.global/taxonomy/taxondetails?taxnode_id=202317900","Arkenivirus varda")</f>
        <v>Arkenivirus varda</v>
      </c>
      <c r="S6351" s="18" t="s">
        <v>30</v>
      </c>
      <c r="T6351" s="18" t="s">
        <v>40910</v>
      </c>
      <c r="U6351" s="18"/>
      <c r="V6351" s="18" t="s">
        <v>40911</v>
      </c>
      <c r="W6351" s="18" t="s">
        <v>40912</v>
      </c>
      <c r="X6351" s="18" t="s">
        <v>42</v>
      </c>
      <c r="Y6351" s="18" t="s">
        <v>12266</v>
      </c>
      <c r="Z6351" s="18" t="s">
        <v>166</v>
      </c>
      <c r="AA6351" s="21" t="str">
        <f>HYPERLINK("https://www.ncbi.nlm.nih.gov/nuccore/OM869657","NCBI Nucleotide")</f>
        <v>NCBI Nucleotide</v>
      </c>
    </row>
    <row r="6352" spans="1:27" x14ac:dyDescent="0.35">
      <c r="A6352">
        <v>1027920</v>
      </c>
      <c r="B6352">
        <v>6055</v>
      </c>
      <c r="C6352">
        <v>1</v>
      </c>
      <c r="D6352" s="17" t="s">
        <v>10507</v>
      </c>
      <c r="E6352" s="17"/>
      <c r="F6352" s="17" t="s">
        <v>10780</v>
      </c>
      <c r="G6352" s="17"/>
      <c r="H6352" s="17" t="s">
        <v>12908</v>
      </c>
      <c r="I6352" s="17"/>
      <c r="J6352" s="17" t="s">
        <v>12909</v>
      </c>
      <c r="K6352" s="17"/>
      <c r="L6352" s="17" t="s">
        <v>13980</v>
      </c>
      <c r="M6352" s="17"/>
      <c r="N6352" s="17" t="s">
        <v>13981</v>
      </c>
      <c r="O6352" s="17"/>
      <c r="P6352" s="17" t="s">
        <v>40913</v>
      </c>
      <c r="Q6352" s="17"/>
      <c r="R6352" s="25" t="str">
        <f>HYPERLINK("https://ictv.global/taxonomy/taxondetails?taxnode_id=202317899","Beornivirus durin")</f>
        <v>Beornivirus durin</v>
      </c>
      <c r="S6352" s="18" t="s">
        <v>30</v>
      </c>
      <c r="T6352" s="18" t="s">
        <v>40914</v>
      </c>
      <c r="U6352" s="18"/>
      <c r="V6352" s="18" t="s">
        <v>40915</v>
      </c>
      <c r="W6352" s="18" t="s">
        <v>40916</v>
      </c>
      <c r="X6352" s="18" t="s">
        <v>42</v>
      </c>
      <c r="Y6352" s="18" t="s">
        <v>12266</v>
      </c>
      <c r="Z6352" s="18" t="s">
        <v>166</v>
      </c>
      <c r="AA6352" s="21" t="str">
        <f>HYPERLINK("https://www.ncbi.nlm.nih.gov/nuccore/OM869619","NCBI Nucleotide")</f>
        <v>NCBI Nucleotide</v>
      </c>
    </row>
    <row r="6353" spans="1:27" x14ac:dyDescent="0.35">
      <c r="A6353">
        <v>1027978</v>
      </c>
      <c r="B6353">
        <v>6056</v>
      </c>
      <c r="C6353">
        <v>1</v>
      </c>
      <c r="D6353" s="17" t="s">
        <v>10507</v>
      </c>
      <c r="E6353" s="17"/>
      <c r="F6353" s="17" t="s">
        <v>10780</v>
      </c>
      <c r="G6353" s="17"/>
      <c r="H6353" s="17" t="s">
        <v>12908</v>
      </c>
      <c r="I6353" s="17"/>
      <c r="J6353" s="17" t="s">
        <v>12909</v>
      </c>
      <c r="K6353" s="17"/>
      <c r="L6353" s="17" t="s">
        <v>13980</v>
      </c>
      <c r="M6353" s="17"/>
      <c r="N6353" s="17" t="s">
        <v>13981</v>
      </c>
      <c r="O6353" s="17"/>
      <c r="P6353" s="17" t="s">
        <v>40917</v>
      </c>
      <c r="Q6353" s="17"/>
      <c r="R6353" s="25" t="str">
        <f>HYPERLINK("https://ictv.global/taxonomy/taxondetails?taxnode_id=202317903","Mallornivirus breg")</f>
        <v>Mallornivirus breg</v>
      </c>
      <c r="S6353" s="18" t="s">
        <v>30</v>
      </c>
      <c r="T6353" s="18" t="s">
        <v>40918</v>
      </c>
      <c r="U6353" s="18"/>
      <c r="V6353" s="18" t="s">
        <v>40919</v>
      </c>
      <c r="W6353" s="18" t="s">
        <v>40920</v>
      </c>
      <c r="X6353" s="18" t="s">
        <v>42</v>
      </c>
      <c r="Y6353" s="18" t="s">
        <v>12266</v>
      </c>
      <c r="Z6353" s="18" t="s">
        <v>166</v>
      </c>
      <c r="AA6353" s="21" t="str">
        <f>HYPERLINK("https://www.ncbi.nlm.nih.gov/nuccore/OM869600","NCBI Nucleotide")</f>
        <v>NCBI Nucleotide</v>
      </c>
    </row>
    <row r="6354" spans="1:27" x14ac:dyDescent="0.35">
      <c r="A6354">
        <v>1007572</v>
      </c>
      <c r="B6354">
        <v>6057</v>
      </c>
      <c r="C6354">
        <v>1</v>
      </c>
      <c r="D6354" s="17" t="s">
        <v>10507</v>
      </c>
      <c r="E6354" s="17"/>
      <c r="F6354" s="17" t="s">
        <v>10780</v>
      </c>
      <c r="G6354" s="17"/>
      <c r="H6354" s="17" t="s">
        <v>12908</v>
      </c>
      <c r="I6354" s="17"/>
      <c r="J6354" s="17" t="s">
        <v>12909</v>
      </c>
      <c r="K6354" s="17"/>
      <c r="L6354" s="17" t="s">
        <v>13980</v>
      </c>
      <c r="M6354" s="17"/>
      <c r="N6354" s="17" t="s">
        <v>13981</v>
      </c>
      <c r="O6354" s="17"/>
      <c r="P6354" s="17" t="s">
        <v>13982</v>
      </c>
      <c r="Q6354" s="17"/>
      <c r="R6354" s="25" t="str">
        <f>HYPERLINK("https://ictv.global/taxonomy/taxondetails?taxnode_id=202313285","Menegrothvirus gilly")</f>
        <v>Menegrothvirus gilly</v>
      </c>
      <c r="S6354" s="18" t="s">
        <v>30</v>
      </c>
      <c r="T6354" s="18" t="s">
        <v>13983</v>
      </c>
      <c r="U6354" s="18"/>
      <c r="V6354" s="18" t="s">
        <v>13984</v>
      </c>
      <c r="W6354" s="18" t="s">
        <v>13985</v>
      </c>
      <c r="X6354" s="18" t="s">
        <v>42</v>
      </c>
      <c r="Y6354" s="18" t="s">
        <v>12266</v>
      </c>
      <c r="Z6354" s="18" t="s">
        <v>13567</v>
      </c>
      <c r="AA6354" s="21" t="str">
        <f>HYPERLINK("https://www.ncbi.nlm.nih.gov/nuccore/MT181534","NCBI Nucleotide")</f>
        <v>NCBI Nucleotide</v>
      </c>
    </row>
    <row r="6355" spans="1:27" x14ac:dyDescent="0.35">
      <c r="A6355">
        <v>1027977</v>
      </c>
      <c r="B6355">
        <v>6058</v>
      </c>
      <c r="C6355">
        <v>1</v>
      </c>
      <c r="D6355" s="17" t="s">
        <v>10507</v>
      </c>
      <c r="E6355" s="17"/>
      <c r="F6355" s="17" t="s">
        <v>10780</v>
      </c>
      <c r="G6355" s="17"/>
      <c r="H6355" s="17" t="s">
        <v>12908</v>
      </c>
      <c r="I6355" s="17"/>
      <c r="J6355" s="17" t="s">
        <v>12909</v>
      </c>
      <c r="K6355" s="17"/>
      <c r="L6355" s="17" t="s">
        <v>13980</v>
      </c>
      <c r="M6355" s="17"/>
      <c r="N6355" s="17" t="s">
        <v>13981</v>
      </c>
      <c r="O6355" s="17"/>
      <c r="P6355" s="17" t="s">
        <v>40921</v>
      </c>
      <c r="Q6355" s="17"/>
      <c r="R6355" s="25" t="str">
        <f>HYPERLINK("https://ictv.global/taxonomy/taxondetails?taxnode_id=202317901","Mirkivirus athela")</f>
        <v>Mirkivirus athela</v>
      </c>
      <c r="S6355" s="18" t="s">
        <v>30</v>
      </c>
      <c r="T6355" s="18" t="s">
        <v>40922</v>
      </c>
      <c r="U6355" s="18"/>
      <c r="V6355" s="18" t="s">
        <v>40923</v>
      </c>
      <c r="W6355" s="18" t="s">
        <v>40924</v>
      </c>
      <c r="X6355" s="18" t="s">
        <v>42</v>
      </c>
      <c r="Y6355" s="18" t="s">
        <v>12266</v>
      </c>
      <c r="Z6355" s="18" t="s">
        <v>166</v>
      </c>
      <c r="AA6355" s="21" t="str">
        <f>HYPERLINK("https://www.ncbi.nlm.nih.gov/nuccore/MN379588","NCBI Nucleotide")</f>
        <v>NCBI Nucleotide</v>
      </c>
    </row>
    <row r="6356" spans="1:27" x14ac:dyDescent="0.35">
      <c r="A6356">
        <v>1007573</v>
      </c>
      <c r="B6356">
        <v>6059</v>
      </c>
      <c r="C6356">
        <v>1</v>
      </c>
      <c r="D6356" s="17" t="s">
        <v>10507</v>
      </c>
      <c r="E6356" s="17"/>
      <c r="F6356" s="17" t="s">
        <v>10780</v>
      </c>
      <c r="G6356" s="17"/>
      <c r="H6356" s="17" t="s">
        <v>12908</v>
      </c>
      <c r="I6356" s="17"/>
      <c r="J6356" s="17" t="s">
        <v>12909</v>
      </c>
      <c r="K6356" s="17"/>
      <c r="L6356" s="17" t="s">
        <v>13980</v>
      </c>
      <c r="M6356" s="17"/>
      <c r="N6356" s="17" t="s">
        <v>13981</v>
      </c>
      <c r="O6356" s="17"/>
      <c r="P6356" s="17" t="s">
        <v>13986</v>
      </c>
      <c r="Q6356" s="17"/>
      <c r="R6356" s="25" t="str">
        <f>HYPERLINK("https://ictv.global/taxonomy/taxondetails?taxnode_id=202313287","Nauglamirvirus anduin")</f>
        <v>Nauglamirvirus anduin</v>
      </c>
      <c r="S6356" s="18" t="s">
        <v>30</v>
      </c>
      <c r="T6356" s="18" t="s">
        <v>13987</v>
      </c>
      <c r="U6356" s="18"/>
      <c r="V6356" s="18" t="s">
        <v>13988</v>
      </c>
      <c r="W6356" s="18" t="s">
        <v>13989</v>
      </c>
      <c r="X6356" s="18" t="s">
        <v>42</v>
      </c>
      <c r="Y6356" s="18" t="s">
        <v>12266</v>
      </c>
      <c r="Z6356" s="18" t="s">
        <v>13567</v>
      </c>
      <c r="AA6356" s="21" t="str">
        <f>HYPERLINK("https://www.ncbi.nlm.nih.gov/nuccore/MN379590","NCBI Nucleotide")</f>
        <v>NCBI Nucleotide</v>
      </c>
    </row>
    <row r="6357" spans="1:27" x14ac:dyDescent="0.35">
      <c r="A6357">
        <v>1007574</v>
      </c>
      <c r="B6357">
        <v>6060</v>
      </c>
      <c r="C6357">
        <v>1</v>
      </c>
      <c r="D6357" s="17" t="s">
        <v>10507</v>
      </c>
      <c r="E6357" s="17"/>
      <c r="F6357" s="17" t="s">
        <v>10780</v>
      </c>
      <c r="G6357" s="17"/>
      <c r="H6357" s="17" t="s">
        <v>12908</v>
      </c>
      <c r="I6357" s="17"/>
      <c r="J6357" s="17" t="s">
        <v>12909</v>
      </c>
      <c r="K6357" s="17"/>
      <c r="L6357" s="17" t="s">
        <v>13980</v>
      </c>
      <c r="M6357" s="17"/>
      <c r="N6357" s="17" t="s">
        <v>13981</v>
      </c>
      <c r="O6357" s="17"/>
      <c r="P6357" s="17" t="s">
        <v>13990</v>
      </c>
      <c r="Q6357" s="17"/>
      <c r="R6357" s="25" t="str">
        <f>HYPERLINK("https://ictv.global/taxonomy/taxondetails?taxnode_id=202313290","Nimphelosvirus arnor")</f>
        <v>Nimphelosvirus arnor</v>
      </c>
      <c r="S6357" s="18" t="s">
        <v>30</v>
      </c>
      <c r="T6357" s="18" t="s">
        <v>13991</v>
      </c>
      <c r="U6357" s="18"/>
      <c r="V6357" s="18" t="s">
        <v>13569</v>
      </c>
      <c r="W6357" s="18" t="s">
        <v>13992</v>
      </c>
      <c r="X6357" s="18" t="s">
        <v>42</v>
      </c>
      <c r="Y6357" s="18" t="s">
        <v>10517</v>
      </c>
      <c r="Z6357" s="18" t="s">
        <v>13567</v>
      </c>
      <c r="AA6357" s="21" t="str">
        <f>HYPERLINK("https://www.ncbi.nlm.nih.gov/nuccore/MT293410","NCBI Nucleotide")</f>
        <v>NCBI Nucleotide</v>
      </c>
    </row>
    <row r="6358" spans="1:27" x14ac:dyDescent="0.35">
      <c r="A6358">
        <v>1007575</v>
      </c>
      <c r="B6358">
        <v>6061</v>
      </c>
      <c r="C6358">
        <v>1</v>
      </c>
      <c r="D6358" s="17" t="s">
        <v>10507</v>
      </c>
      <c r="E6358" s="17"/>
      <c r="F6358" s="17" t="s">
        <v>10780</v>
      </c>
      <c r="G6358" s="17"/>
      <c r="H6358" s="17" t="s">
        <v>12908</v>
      </c>
      <c r="I6358" s="17"/>
      <c r="J6358" s="17" t="s">
        <v>12909</v>
      </c>
      <c r="K6358" s="17"/>
      <c r="L6358" s="17" t="s">
        <v>13980</v>
      </c>
      <c r="M6358" s="17"/>
      <c r="N6358" s="17" t="s">
        <v>13981</v>
      </c>
      <c r="O6358" s="17"/>
      <c r="P6358" s="17" t="s">
        <v>13990</v>
      </c>
      <c r="Q6358" s="17"/>
      <c r="R6358" s="25" t="str">
        <f>HYPERLINK("https://ictv.global/taxonomy/taxondetails?taxnode_id=202313289","Nimphelosvirus isildur")</f>
        <v>Nimphelosvirus isildur</v>
      </c>
      <c r="S6358" s="18" t="s">
        <v>30</v>
      </c>
      <c r="T6358" s="18" t="s">
        <v>13991</v>
      </c>
      <c r="U6358" s="18"/>
      <c r="V6358" s="18" t="s">
        <v>13993</v>
      </c>
      <c r="W6358" s="18" t="s">
        <v>13994</v>
      </c>
      <c r="X6358" s="18" t="s">
        <v>42</v>
      </c>
      <c r="Y6358" s="18" t="s">
        <v>10517</v>
      </c>
      <c r="Z6358" s="18" t="s">
        <v>13567</v>
      </c>
      <c r="AA6358" s="21" t="str">
        <f>HYPERLINK("https://www.ncbi.nlm.nih.gov/nuccore/MT293413","NCBI Nucleotide")</f>
        <v>NCBI Nucleotide</v>
      </c>
    </row>
    <row r="6359" spans="1:27" x14ac:dyDescent="0.35">
      <c r="A6359">
        <v>1007576</v>
      </c>
      <c r="B6359">
        <v>6062</v>
      </c>
      <c r="C6359">
        <v>1</v>
      </c>
      <c r="D6359" s="17" t="s">
        <v>10507</v>
      </c>
      <c r="E6359" s="17"/>
      <c r="F6359" s="17" t="s">
        <v>10780</v>
      </c>
      <c r="G6359" s="17"/>
      <c r="H6359" s="17" t="s">
        <v>12908</v>
      </c>
      <c r="I6359" s="17"/>
      <c r="J6359" s="17" t="s">
        <v>12909</v>
      </c>
      <c r="K6359" s="17"/>
      <c r="L6359" s="17" t="s">
        <v>13980</v>
      </c>
      <c r="M6359" s="17"/>
      <c r="N6359" s="17" t="s">
        <v>13981</v>
      </c>
      <c r="O6359" s="17"/>
      <c r="P6359" s="17" t="s">
        <v>13995</v>
      </c>
      <c r="Q6359" s="17"/>
      <c r="R6359" s="25" t="str">
        <f>HYPERLINK("https://ictv.global/taxonomy/taxondetails?taxnode_id=202313292","Phialvirus golin")</f>
        <v>Phialvirus golin</v>
      </c>
      <c r="S6359" s="18" t="s">
        <v>30</v>
      </c>
      <c r="T6359" s="18" t="s">
        <v>13996</v>
      </c>
      <c r="U6359" s="18"/>
      <c r="V6359" s="18" t="s">
        <v>13569</v>
      </c>
      <c r="W6359" s="18" t="s">
        <v>13997</v>
      </c>
      <c r="X6359" s="18" t="s">
        <v>42</v>
      </c>
      <c r="Y6359" s="18" t="s">
        <v>10517</v>
      </c>
      <c r="Z6359" s="18" t="s">
        <v>13567</v>
      </c>
      <c r="AA6359" s="21" t="str">
        <f>HYPERLINK("https://www.ncbi.nlm.nih.gov/nuccore/MT293414","NCBI Nucleotide")</f>
        <v>NCBI Nucleotide</v>
      </c>
    </row>
    <row r="6360" spans="1:27" x14ac:dyDescent="0.35">
      <c r="A6360">
        <v>1027963</v>
      </c>
      <c r="B6360">
        <v>6063</v>
      </c>
      <c r="C6360">
        <v>1</v>
      </c>
      <c r="D6360" s="17" t="s">
        <v>10507</v>
      </c>
      <c r="E6360" s="17"/>
      <c r="F6360" s="17" t="s">
        <v>10780</v>
      </c>
      <c r="G6360" s="17"/>
      <c r="H6360" s="17" t="s">
        <v>12908</v>
      </c>
      <c r="I6360" s="17"/>
      <c r="J6360" s="17" t="s">
        <v>12909</v>
      </c>
      <c r="K6360" s="17"/>
      <c r="L6360" s="17" t="s">
        <v>13980</v>
      </c>
      <c r="M6360" s="17"/>
      <c r="N6360" s="17" t="s">
        <v>13981</v>
      </c>
      <c r="O6360" s="17"/>
      <c r="P6360" s="17" t="s">
        <v>40925</v>
      </c>
      <c r="Q6360" s="17"/>
      <c r="R6360" s="25" t="str">
        <f>HYPERLINK("https://ictv.global/taxonomy/taxondetails?taxnode_id=202317898","Sindarvirus indis")</f>
        <v>Sindarvirus indis</v>
      </c>
      <c r="S6360" s="18" t="s">
        <v>30</v>
      </c>
      <c r="T6360" s="18" t="s">
        <v>40926</v>
      </c>
      <c r="U6360" s="18"/>
      <c r="V6360" s="18" t="s">
        <v>40927</v>
      </c>
      <c r="W6360" s="18" t="s">
        <v>40928</v>
      </c>
      <c r="X6360" s="18" t="s">
        <v>42</v>
      </c>
      <c r="Y6360" s="18" t="s">
        <v>12266</v>
      </c>
      <c r="Z6360" s="18" t="s">
        <v>40359</v>
      </c>
      <c r="AA6360" s="21" t="str">
        <f>HYPERLINK("https://www.ncbi.nlm.nih.gov/nuccore/MW678879","NCBI Nucleotide")</f>
        <v>NCBI Nucleotide</v>
      </c>
    </row>
    <row r="6361" spans="1:27" x14ac:dyDescent="0.35">
      <c r="A6361">
        <v>1027964</v>
      </c>
      <c r="B6361">
        <v>6064</v>
      </c>
      <c r="C6361">
        <v>1</v>
      </c>
      <c r="D6361" s="17" t="s">
        <v>10507</v>
      </c>
      <c r="E6361" s="17"/>
      <c r="F6361" s="17" t="s">
        <v>10780</v>
      </c>
      <c r="G6361" s="17"/>
      <c r="H6361" s="17" t="s">
        <v>12908</v>
      </c>
      <c r="I6361" s="17"/>
      <c r="J6361" s="17" t="s">
        <v>12909</v>
      </c>
      <c r="K6361" s="17"/>
      <c r="L6361" s="17" t="s">
        <v>13980</v>
      </c>
      <c r="M6361" s="17"/>
      <c r="N6361" s="17" t="s">
        <v>13981</v>
      </c>
      <c r="O6361" s="17"/>
      <c r="P6361" s="17" t="s">
        <v>40925</v>
      </c>
      <c r="Q6361" s="17"/>
      <c r="R6361" s="25" t="str">
        <f>HYPERLINK("https://ictv.global/taxonomy/taxondetails?taxnode_id=202317897","Sindarvirus narsil")</f>
        <v>Sindarvirus narsil</v>
      </c>
      <c r="S6361" s="18" t="s">
        <v>30</v>
      </c>
      <c r="T6361" s="18" t="s">
        <v>40929</v>
      </c>
      <c r="U6361" s="18"/>
      <c r="V6361" s="18" t="s">
        <v>40930</v>
      </c>
      <c r="W6361" s="18" t="s">
        <v>40931</v>
      </c>
      <c r="X6361" s="18" t="s">
        <v>42</v>
      </c>
      <c r="Y6361" s="18" t="s">
        <v>12266</v>
      </c>
      <c r="Z6361" s="18" t="s">
        <v>40359</v>
      </c>
      <c r="AA6361" s="21" t="str">
        <f>HYPERLINK("https://www.ncbi.nlm.nih.gov/nuccore/MW678882","NCBI Nucleotide")</f>
        <v>NCBI Nucleotide</v>
      </c>
    </row>
    <row r="6362" spans="1:27" x14ac:dyDescent="0.35">
      <c r="A6362">
        <v>1027974</v>
      </c>
      <c r="B6362">
        <v>6065</v>
      </c>
      <c r="C6362">
        <v>1</v>
      </c>
      <c r="D6362" s="17" t="s">
        <v>10507</v>
      </c>
      <c r="E6362" s="17"/>
      <c r="F6362" s="17" t="s">
        <v>10780</v>
      </c>
      <c r="G6362" s="17"/>
      <c r="H6362" s="17" t="s">
        <v>12908</v>
      </c>
      <c r="I6362" s="17"/>
      <c r="J6362" s="17" t="s">
        <v>12909</v>
      </c>
      <c r="K6362" s="17"/>
      <c r="L6362" s="17" t="s">
        <v>13980</v>
      </c>
      <c r="M6362" s="17"/>
      <c r="N6362" s="17" t="s">
        <v>13981</v>
      </c>
      <c r="O6362" s="17"/>
      <c r="P6362" s="17" t="s">
        <v>40932</v>
      </c>
      <c r="Q6362" s="17"/>
      <c r="R6362" s="25" t="str">
        <f>HYPERLINK("https://ictv.global/taxonomy/taxondetails?taxnode_id=202317896","Thengelvirus dagmor")</f>
        <v>Thengelvirus dagmor</v>
      </c>
      <c r="S6362" s="18" t="s">
        <v>30</v>
      </c>
      <c r="T6362" s="18" t="s">
        <v>40933</v>
      </c>
      <c r="U6362" s="18"/>
      <c r="V6362" s="18" t="s">
        <v>40934</v>
      </c>
      <c r="W6362" s="18" t="s">
        <v>40935</v>
      </c>
      <c r="X6362" s="18" t="s">
        <v>42</v>
      </c>
      <c r="Y6362" s="18" t="s">
        <v>12266</v>
      </c>
      <c r="Z6362" s="18" t="s">
        <v>40359</v>
      </c>
      <c r="AA6362" s="21" t="str">
        <f>HYPERLINK("https://www.ncbi.nlm.nih.gov/nuccore/MW678986","NCBI Nucleotide")</f>
        <v>NCBI Nucleotide</v>
      </c>
    </row>
    <row r="6363" spans="1:27" x14ac:dyDescent="0.35">
      <c r="A6363">
        <v>1027975</v>
      </c>
      <c r="B6363">
        <v>6066</v>
      </c>
      <c r="C6363">
        <v>1</v>
      </c>
      <c r="D6363" s="17" t="s">
        <v>10507</v>
      </c>
      <c r="E6363" s="17"/>
      <c r="F6363" s="17" t="s">
        <v>10780</v>
      </c>
      <c r="G6363" s="17"/>
      <c r="H6363" s="17" t="s">
        <v>12908</v>
      </c>
      <c r="I6363" s="17"/>
      <c r="J6363" s="17" t="s">
        <v>12909</v>
      </c>
      <c r="K6363" s="17"/>
      <c r="L6363" s="17" t="s">
        <v>13980</v>
      </c>
      <c r="M6363" s="17"/>
      <c r="N6363" s="17" t="s">
        <v>13981</v>
      </c>
      <c r="O6363" s="17"/>
      <c r="P6363" s="17" t="s">
        <v>40932</v>
      </c>
      <c r="Q6363" s="17"/>
      <c r="R6363" s="25" t="str">
        <f>HYPERLINK("https://ictv.global/taxonomy/taxondetails?taxnode_id=202317895","Thengelvirus poros")</f>
        <v>Thengelvirus poros</v>
      </c>
      <c r="S6363" s="18" t="s">
        <v>30</v>
      </c>
      <c r="T6363" s="18" t="s">
        <v>40936</v>
      </c>
      <c r="U6363" s="18"/>
      <c r="V6363" s="18" t="s">
        <v>40937</v>
      </c>
      <c r="W6363" s="18" t="s">
        <v>40938</v>
      </c>
      <c r="X6363" s="18" t="s">
        <v>42</v>
      </c>
      <c r="Y6363" s="18" t="s">
        <v>12266</v>
      </c>
      <c r="Z6363" s="18" t="s">
        <v>40359</v>
      </c>
      <c r="AA6363" s="21" t="str">
        <f>HYPERLINK("https://www.ncbi.nlm.nih.gov/nuccore/MW678989","NCBI Nucleotide")</f>
        <v>NCBI Nucleotide</v>
      </c>
    </row>
    <row r="6364" spans="1:27" x14ac:dyDescent="0.35">
      <c r="A6364">
        <v>1027976</v>
      </c>
      <c r="B6364">
        <v>6067</v>
      </c>
      <c r="C6364">
        <v>1</v>
      </c>
      <c r="D6364" s="17" t="s">
        <v>10507</v>
      </c>
      <c r="E6364" s="17"/>
      <c r="F6364" s="17" t="s">
        <v>10780</v>
      </c>
      <c r="G6364" s="17"/>
      <c r="H6364" s="17" t="s">
        <v>12908</v>
      </c>
      <c r="I6364" s="17"/>
      <c r="J6364" s="17" t="s">
        <v>12909</v>
      </c>
      <c r="K6364" s="17"/>
      <c r="L6364" s="17" t="s">
        <v>13980</v>
      </c>
      <c r="M6364" s="17"/>
      <c r="N6364" s="17" t="s">
        <v>13981</v>
      </c>
      <c r="O6364" s="17"/>
      <c r="P6364" s="17" t="s">
        <v>40939</v>
      </c>
      <c r="Q6364" s="17"/>
      <c r="R6364" s="25" t="str">
        <f>HYPERLINK("https://ictv.global/taxonomy/taxondetails?taxnode_id=202317902","Tirithivirus golfim")</f>
        <v>Tirithivirus golfim</v>
      </c>
      <c r="S6364" s="18" t="s">
        <v>30</v>
      </c>
      <c r="T6364" s="18" t="s">
        <v>40940</v>
      </c>
      <c r="U6364" s="18"/>
      <c r="V6364" s="18" t="s">
        <v>40941</v>
      </c>
      <c r="W6364" s="18" t="s">
        <v>40942</v>
      </c>
      <c r="X6364" s="18" t="s">
        <v>42</v>
      </c>
      <c r="Y6364" s="18" t="s">
        <v>12266</v>
      </c>
      <c r="Z6364" s="18" t="s">
        <v>166</v>
      </c>
      <c r="AA6364" s="21" t="str">
        <f>HYPERLINK("https://www.ncbi.nlm.nih.gov/nuccore/MK012476","NCBI Nucleotide")</f>
        <v>NCBI Nucleotide</v>
      </c>
    </row>
    <row r="6365" spans="1:27" x14ac:dyDescent="0.35">
      <c r="A6365">
        <v>1027922</v>
      </c>
      <c r="B6365">
        <v>6068</v>
      </c>
      <c r="C6365">
        <v>1</v>
      </c>
      <c r="D6365" s="17" t="s">
        <v>10507</v>
      </c>
      <c r="E6365" s="17"/>
      <c r="F6365" s="17" t="s">
        <v>10780</v>
      </c>
      <c r="G6365" s="17"/>
      <c r="H6365" s="17" t="s">
        <v>12908</v>
      </c>
      <c r="I6365" s="17"/>
      <c r="J6365" s="17" t="s">
        <v>12909</v>
      </c>
      <c r="K6365" s="17"/>
      <c r="L6365" s="17" t="s">
        <v>13998</v>
      </c>
      <c r="M6365" s="17"/>
      <c r="N6365" s="17" t="s">
        <v>40943</v>
      </c>
      <c r="O6365" s="17"/>
      <c r="P6365" s="17" t="s">
        <v>40944</v>
      </c>
      <c r="Q6365" s="17"/>
      <c r="R6365" s="25" t="str">
        <f>HYPERLINK("https://ictv.global/taxonomy/taxondetails?taxnode_id=202318516","Andorivirus almar")</f>
        <v>Andorivirus almar</v>
      </c>
      <c r="S6365" s="18" t="s">
        <v>30</v>
      </c>
      <c r="T6365" s="18" t="s">
        <v>40945</v>
      </c>
      <c r="U6365" s="18"/>
      <c r="V6365" s="18" t="s">
        <v>40946</v>
      </c>
      <c r="W6365" s="18" t="s">
        <v>40947</v>
      </c>
      <c r="X6365" s="18" t="s">
        <v>42</v>
      </c>
      <c r="Y6365" s="18" t="s">
        <v>12266</v>
      </c>
      <c r="Z6365" s="18" t="s">
        <v>12916</v>
      </c>
      <c r="AA6365" s="21" t="str">
        <f>HYPERLINK("https://www.ncbi.nlm.nih.gov/nuccore/KT149412","NCBI Nucleotide")</f>
        <v>NCBI Nucleotide</v>
      </c>
    </row>
    <row r="6366" spans="1:27" x14ac:dyDescent="0.35">
      <c r="A6366">
        <v>1027923</v>
      </c>
      <c r="B6366">
        <v>6069</v>
      </c>
      <c r="C6366">
        <v>1</v>
      </c>
      <c r="D6366" s="17" t="s">
        <v>10507</v>
      </c>
      <c r="E6366" s="17"/>
      <c r="F6366" s="17" t="s">
        <v>10780</v>
      </c>
      <c r="G6366" s="17"/>
      <c r="H6366" s="17" t="s">
        <v>12908</v>
      </c>
      <c r="I6366" s="17"/>
      <c r="J6366" s="17" t="s">
        <v>12909</v>
      </c>
      <c r="K6366" s="17"/>
      <c r="L6366" s="17" t="s">
        <v>13998</v>
      </c>
      <c r="M6366" s="17"/>
      <c r="N6366" s="17" t="s">
        <v>40943</v>
      </c>
      <c r="O6366" s="17"/>
      <c r="P6366" s="17" t="s">
        <v>40944</v>
      </c>
      <c r="Q6366" s="17"/>
      <c r="R6366" s="25" t="str">
        <f>HYPERLINK("https://ictv.global/taxonomy/taxondetails?taxnode_id=202318517","Andorivirus forochel")</f>
        <v>Andorivirus forochel</v>
      </c>
      <c r="S6366" s="18" t="s">
        <v>30</v>
      </c>
      <c r="T6366" s="18" t="s">
        <v>40948</v>
      </c>
      <c r="U6366" s="18"/>
      <c r="V6366" s="18" t="s">
        <v>40949</v>
      </c>
      <c r="W6366" s="18" t="s">
        <v>40950</v>
      </c>
      <c r="X6366" s="18" t="s">
        <v>42</v>
      </c>
      <c r="Y6366" s="18" t="s">
        <v>12266</v>
      </c>
      <c r="Z6366" s="18" t="s">
        <v>26655</v>
      </c>
      <c r="AA6366" s="21" t="str">
        <f>HYPERLINK("https://www.ncbi.nlm.nih.gov/nuccore/KJ547648","NCBI Nucleotide")</f>
        <v>NCBI Nucleotide</v>
      </c>
    </row>
    <row r="6367" spans="1:27" x14ac:dyDescent="0.35">
      <c r="A6367">
        <v>1027924</v>
      </c>
      <c r="B6367">
        <v>6070</v>
      </c>
      <c r="C6367">
        <v>1</v>
      </c>
      <c r="D6367" s="17" t="s">
        <v>10507</v>
      </c>
      <c r="E6367" s="17"/>
      <c r="F6367" s="17" t="s">
        <v>10780</v>
      </c>
      <c r="G6367" s="17"/>
      <c r="H6367" s="17" t="s">
        <v>12908</v>
      </c>
      <c r="I6367" s="17"/>
      <c r="J6367" s="17" t="s">
        <v>12909</v>
      </c>
      <c r="K6367" s="17"/>
      <c r="L6367" s="17" t="s">
        <v>13998</v>
      </c>
      <c r="M6367" s="17"/>
      <c r="N6367" s="17" t="s">
        <v>40943</v>
      </c>
      <c r="O6367" s="17"/>
      <c r="P6367" s="17" t="s">
        <v>40944</v>
      </c>
      <c r="Q6367" s="17"/>
      <c r="R6367" s="25" t="str">
        <f>HYPERLINK("https://ictv.global/taxonomy/taxondetails?taxnode_id=202318515","Andorivirus nenuia")</f>
        <v>Andorivirus nenuia</v>
      </c>
      <c r="S6367" s="18" t="s">
        <v>30</v>
      </c>
      <c r="T6367" s="18" t="s">
        <v>40951</v>
      </c>
      <c r="U6367" s="18"/>
      <c r="V6367" s="18" t="s">
        <v>40952</v>
      </c>
      <c r="W6367" s="18" t="s">
        <v>40953</v>
      </c>
      <c r="X6367" s="18" t="s">
        <v>42</v>
      </c>
      <c r="Y6367" s="18" t="s">
        <v>12266</v>
      </c>
      <c r="Z6367" s="18" t="s">
        <v>17413</v>
      </c>
      <c r="AA6367" s="21" t="str">
        <f>HYPERLINK("https://www.ncbi.nlm.nih.gov/nuccore/KP153485","NCBI Nucleotide")</f>
        <v>NCBI Nucleotide</v>
      </c>
    </row>
    <row r="6368" spans="1:27" x14ac:dyDescent="0.35">
      <c r="A6368">
        <v>1027916</v>
      </c>
      <c r="B6368">
        <v>6071</v>
      </c>
      <c r="C6368">
        <v>1</v>
      </c>
      <c r="D6368" s="17" t="s">
        <v>10507</v>
      </c>
      <c r="E6368" s="17"/>
      <c r="F6368" s="17" t="s">
        <v>10780</v>
      </c>
      <c r="G6368" s="17"/>
      <c r="H6368" s="17" t="s">
        <v>12908</v>
      </c>
      <c r="I6368" s="17"/>
      <c r="J6368" s="17" t="s">
        <v>12909</v>
      </c>
      <c r="K6368" s="17"/>
      <c r="L6368" s="17" t="s">
        <v>13998</v>
      </c>
      <c r="M6368" s="17"/>
      <c r="N6368" s="17" t="s">
        <v>40943</v>
      </c>
      <c r="O6368" s="17"/>
      <c r="P6368" s="17" t="s">
        <v>40954</v>
      </c>
      <c r="Q6368" s="17"/>
      <c r="R6368" s="25" t="str">
        <f>HYPERLINK("https://ictv.global/taxonomy/taxondetails?taxnode_id=202318518","Caradhivirus amobel")</f>
        <v>Caradhivirus amobel</v>
      </c>
      <c r="S6368" s="18" t="s">
        <v>30</v>
      </c>
      <c r="T6368" s="18" t="s">
        <v>40955</v>
      </c>
      <c r="U6368" s="18"/>
      <c r="V6368" s="18" t="s">
        <v>40956</v>
      </c>
      <c r="W6368" s="18" t="s">
        <v>40957</v>
      </c>
      <c r="X6368" s="18" t="s">
        <v>42</v>
      </c>
      <c r="Y6368" s="18" t="s">
        <v>12266</v>
      </c>
      <c r="Z6368" s="18" t="s">
        <v>16726</v>
      </c>
      <c r="AA6368" s="21" t="str">
        <f>HYPERLINK("https://www.ncbi.nlm.nih.gov/nuccore/KM821764","NCBI Nucleotide")</f>
        <v>NCBI Nucleotide</v>
      </c>
    </row>
    <row r="6369" spans="1:27" x14ac:dyDescent="0.35">
      <c r="A6369">
        <v>1027911</v>
      </c>
      <c r="B6369">
        <v>6072</v>
      </c>
      <c r="C6369">
        <v>1</v>
      </c>
      <c r="D6369" s="17" t="s">
        <v>10507</v>
      </c>
      <c r="E6369" s="17"/>
      <c r="F6369" s="17" t="s">
        <v>10780</v>
      </c>
      <c r="G6369" s="17"/>
      <c r="H6369" s="17" t="s">
        <v>12908</v>
      </c>
      <c r="I6369" s="17"/>
      <c r="J6369" s="17" t="s">
        <v>12909</v>
      </c>
      <c r="K6369" s="17"/>
      <c r="L6369" s="17" t="s">
        <v>13998</v>
      </c>
      <c r="M6369" s="17"/>
      <c r="N6369" s="17" t="s">
        <v>40943</v>
      </c>
      <c r="O6369" s="17"/>
      <c r="P6369" s="17" t="s">
        <v>40958</v>
      </c>
      <c r="Q6369" s="17"/>
      <c r="R6369" s="25" t="str">
        <f>HYPERLINK("https://ictv.global/taxonomy/taxondetails?taxnode_id=202318519","Celebovirus lorelli")</f>
        <v>Celebovirus lorelli</v>
      </c>
      <c r="S6369" s="18" t="s">
        <v>30</v>
      </c>
      <c r="T6369" s="18" t="s">
        <v>40959</v>
      </c>
      <c r="U6369" s="18"/>
      <c r="V6369" s="18" t="s">
        <v>40960</v>
      </c>
      <c r="W6369" s="18" t="s">
        <v>40961</v>
      </c>
      <c r="X6369" s="18" t="s">
        <v>42</v>
      </c>
      <c r="Y6369" s="18" t="s">
        <v>12266</v>
      </c>
      <c r="Z6369" s="18" t="s">
        <v>10790</v>
      </c>
      <c r="AA6369" s="21" t="str">
        <f>HYPERLINK("https://www.ncbi.nlm.nih.gov/nuccore/KP153447","NCBI Nucleotide")</f>
        <v>NCBI Nucleotide</v>
      </c>
    </row>
    <row r="6370" spans="1:27" x14ac:dyDescent="0.35">
      <c r="A6370">
        <v>1027871</v>
      </c>
      <c r="B6370">
        <v>6073</v>
      </c>
      <c r="C6370">
        <v>1</v>
      </c>
      <c r="D6370" s="17" t="s">
        <v>10507</v>
      </c>
      <c r="E6370" s="17"/>
      <c r="F6370" s="17" t="s">
        <v>10780</v>
      </c>
      <c r="G6370" s="17"/>
      <c r="H6370" s="17" t="s">
        <v>12908</v>
      </c>
      <c r="I6370" s="17"/>
      <c r="J6370" s="17" t="s">
        <v>12909</v>
      </c>
      <c r="K6370" s="17"/>
      <c r="L6370" s="17" t="s">
        <v>13998</v>
      </c>
      <c r="M6370" s="17"/>
      <c r="N6370" s="17" t="s">
        <v>40943</v>
      </c>
      <c r="O6370" s="17"/>
      <c r="P6370" s="17" t="s">
        <v>40962</v>
      </c>
      <c r="Q6370" s="17"/>
      <c r="R6370" s="25" t="str">
        <f>HYPERLINK("https://ictv.global/taxonomy/taxondetails?taxnode_id=202318520","Dolmedivirus noldo")</f>
        <v>Dolmedivirus noldo</v>
      </c>
      <c r="S6370" s="18" t="s">
        <v>30</v>
      </c>
      <c r="T6370" s="18" t="s">
        <v>13575</v>
      </c>
      <c r="U6370" s="18"/>
      <c r="V6370" s="18">
        <v>2035</v>
      </c>
      <c r="W6370" s="18" t="s">
        <v>40963</v>
      </c>
      <c r="X6370" s="18" t="s">
        <v>42</v>
      </c>
      <c r="Y6370" s="18" t="s">
        <v>12266</v>
      </c>
      <c r="Z6370" s="18" t="s">
        <v>166</v>
      </c>
      <c r="AA6370" s="21" t="str">
        <f>HYPERLINK("https://www.ncbi.nlm.nih.gov/nuccore/KU043397","NCBI Nucleotide")</f>
        <v>NCBI Nucleotide</v>
      </c>
    </row>
    <row r="6371" spans="1:27" x14ac:dyDescent="0.35">
      <c r="A6371">
        <v>1027873</v>
      </c>
      <c r="B6371">
        <v>6074</v>
      </c>
      <c r="C6371">
        <v>1</v>
      </c>
      <c r="D6371" s="17" t="s">
        <v>10507</v>
      </c>
      <c r="E6371" s="17"/>
      <c r="F6371" s="17" t="s">
        <v>10780</v>
      </c>
      <c r="G6371" s="17"/>
      <c r="H6371" s="17" t="s">
        <v>12908</v>
      </c>
      <c r="I6371" s="17"/>
      <c r="J6371" s="17" t="s">
        <v>12909</v>
      </c>
      <c r="K6371" s="17"/>
      <c r="L6371" s="17" t="s">
        <v>13998</v>
      </c>
      <c r="M6371" s="17"/>
      <c r="N6371" s="17" t="s">
        <v>40943</v>
      </c>
      <c r="O6371" s="17"/>
      <c r="P6371" s="17" t="s">
        <v>40964</v>
      </c>
      <c r="Q6371" s="17"/>
      <c r="R6371" s="25" t="str">
        <f>HYPERLINK("https://ictv.global/taxonomy/taxondetails?taxnode_id=202318521","Enedivirus anar")</f>
        <v>Enedivirus anar</v>
      </c>
      <c r="S6371" s="18" t="s">
        <v>30</v>
      </c>
      <c r="T6371" s="18" t="s">
        <v>40965</v>
      </c>
      <c r="U6371" s="18"/>
      <c r="V6371" s="18" t="s">
        <v>40966</v>
      </c>
      <c r="W6371" s="18" t="s">
        <v>40967</v>
      </c>
      <c r="X6371" s="18" t="s">
        <v>42</v>
      </c>
      <c r="Y6371" s="18" t="s">
        <v>12266</v>
      </c>
      <c r="Z6371" s="18" t="s">
        <v>16726</v>
      </c>
      <c r="AA6371" s="21" t="str">
        <f>HYPERLINK("https://www.ncbi.nlm.nih.gov/nuccore/KM821755","NCBI Nucleotide")</f>
        <v>NCBI Nucleotide</v>
      </c>
    </row>
    <row r="6372" spans="1:27" x14ac:dyDescent="0.35">
      <c r="A6372">
        <v>1027903</v>
      </c>
      <c r="B6372">
        <v>6075</v>
      </c>
      <c r="C6372">
        <v>1</v>
      </c>
      <c r="D6372" s="17" t="s">
        <v>10507</v>
      </c>
      <c r="E6372" s="17"/>
      <c r="F6372" s="17" t="s">
        <v>10780</v>
      </c>
      <c r="G6372" s="17"/>
      <c r="H6372" s="17" t="s">
        <v>12908</v>
      </c>
      <c r="I6372" s="17"/>
      <c r="J6372" s="17" t="s">
        <v>12909</v>
      </c>
      <c r="K6372" s="17"/>
      <c r="L6372" s="17" t="s">
        <v>13998</v>
      </c>
      <c r="M6372" s="17"/>
      <c r="N6372" s="17" t="s">
        <v>40943</v>
      </c>
      <c r="O6372" s="17"/>
      <c r="P6372" s="17" t="s">
        <v>40968</v>
      </c>
      <c r="Q6372" s="17"/>
      <c r="R6372" s="25" t="str">
        <f>HYPERLINK("https://ictv.global/taxonomy/taxondetails?taxnode_id=202318522","Harfovirus londae")</f>
        <v>Harfovirus londae</v>
      </c>
      <c r="S6372" s="18" t="s">
        <v>30</v>
      </c>
      <c r="T6372" s="18" t="s">
        <v>40969</v>
      </c>
      <c r="U6372" s="18"/>
      <c r="V6372" s="18" t="s">
        <v>40970</v>
      </c>
      <c r="W6372" s="18" t="s">
        <v>40971</v>
      </c>
      <c r="X6372" s="18" t="s">
        <v>42</v>
      </c>
      <c r="Y6372" s="18" t="s">
        <v>12266</v>
      </c>
      <c r="Z6372" s="18" t="s">
        <v>12916</v>
      </c>
      <c r="AA6372" s="21" t="str">
        <f>HYPERLINK("https://www.ncbi.nlm.nih.gov/nuccore/FJ959082","NCBI Nucleotide")</f>
        <v>NCBI Nucleotide</v>
      </c>
    </row>
    <row r="6373" spans="1:27" x14ac:dyDescent="0.35">
      <c r="A6373">
        <v>1027983</v>
      </c>
      <c r="B6373">
        <v>6076</v>
      </c>
      <c r="C6373">
        <v>1</v>
      </c>
      <c r="D6373" s="17" t="s">
        <v>10507</v>
      </c>
      <c r="E6373" s="17"/>
      <c r="F6373" s="17" t="s">
        <v>10780</v>
      </c>
      <c r="G6373" s="17"/>
      <c r="H6373" s="17" t="s">
        <v>12908</v>
      </c>
      <c r="I6373" s="17"/>
      <c r="J6373" s="17" t="s">
        <v>12909</v>
      </c>
      <c r="K6373" s="17"/>
      <c r="L6373" s="17" t="s">
        <v>13998</v>
      </c>
      <c r="M6373" s="17"/>
      <c r="N6373" s="17" t="s">
        <v>40943</v>
      </c>
      <c r="O6373" s="17"/>
      <c r="P6373" s="17" t="s">
        <v>40972</v>
      </c>
      <c r="Q6373" s="17"/>
      <c r="R6373" s="25" t="str">
        <f>HYPERLINK("https://ictv.global/taxonomy/taxondetails?taxnode_id=202318523","Moriavirus nahar")</f>
        <v>Moriavirus nahar</v>
      </c>
      <c r="S6373" s="18" t="s">
        <v>30</v>
      </c>
      <c r="T6373" s="18" t="s">
        <v>40973</v>
      </c>
      <c r="U6373" s="18"/>
      <c r="V6373" s="18" t="s">
        <v>40974</v>
      </c>
      <c r="W6373" s="18" t="s">
        <v>40975</v>
      </c>
      <c r="X6373" s="18" t="s">
        <v>42</v>
      </c>
      <c r="Y6373" s="18" t="s">
        <v>12266</v>
      </c>
      <c r="Z6373" s="18" t="s">
        <v>166</v>
      </c>
      <c r="AA6373" s="21" t="str">
        <f>HYPERLINK("https://www.ncbi.nlm.nih.gov/nuccore/KM573776","NCBI Nucleotide")</f>
        <v>NCBI Nucleotide</v>
      </c>
    </row>
    <row r="6374" spans="1:27" x14ac:dyDescent="0.35">
      <c r="A6374">
        <v>1027984</v>
      </c>
      <c r="B6374">
        <v>6077</v>
      </c>
      <c r="C6374">
        <v>1</v>
      </c>
      <c r="D6374" s="17" t="s">
        <v>10507</v>
      </c>
      <c r="E6374" s="17"/>
      <c r="F6374" s="17" t="s">
        <v>10780</v>
      </c>
      <c r="G6374" s="17"/>
      <c r="H6374" s="17" t="s">
        <v>12908</v>
      </c>
      <c r="I6374" s="17"/>
      <c r="J6374" s="17" t="s">
        <v>12909</v>
      </c>
      <c r="K6374" s="17"/>
      <c r="L6374" s="17" t="s">
        <v>13998</v>
      </c>
      <c r="M6374" s="17"/>
      <c r="N6374" s="17" t="s">
        <v>40943</v>
      </c>
      <c r="O6374" s="17"/>
      <c r="P6374" s="17" t="s">
        <v>40972</v>
      </c>
      <c r="Q6374" s="17"/>
      <c r="R6374" s="25" t="str">
        <f>HYPERLINK("https://ictv.global/taxonomy/taxondetails?taxnode_id=202318524","Moriavirus rohirri")</f>
        <v>Moriavirus rohirri</v>
      </c>
      <c r="S6374" s="18" t="s">
        <v>30</v>
      </c>
      <c r="T6374" s="18" t="s">
        <v>40976</v>
      </c>
      <c r="U6374" s="18"/>
      <c r="V6374" s="18" t="s">
        <v>40977</v>
      </c>
      <c r="W6374" s="18" t="s">
        <v>40978</v>
      </c>
      <c r="X6374" s="18" t="s">
        <v>42</v>
      </c>
      <c r="Y6374" s="18" t="s">
        <v>12266</v>
      </c>
      <c r="Z6374" s="18" t="s">
        <v>166</v>
      </c>
      <c r="AA6374" s="21" t="str">
        <f>HYPERLINK("https://www.ncbi.nlm.nih.gov/nuccore/KM573767","NCBI Nucleotide")</f>
        <v>NCBI Nucleotide</v>
      </c>
    </row>
    <row r="6375" spans="1:27" x14ac:dyDescent="0.35">
      <c r="A6375">
        <v>1027955</v>
      </c>
      <c r="B6375">
        <v>6078</v>
      </c>
      <c r="C6375">
        <v>1</v>
      </c>
      <c r="D6375" s="17" t="s">
        <v>10507</v>
      </c>
      <c r="E6375" s="17"/>
      <c r="F6375" s="17" t="s">
        <v>10780</v>
      </c>
      <c r="G6375" s="17"/>
      <c r="H6375" s="17" t="s">
        <v>12908</v>
      </c>
      <c r="I6375" s="17"/>
      <c r="J6375" s="17" t="s">
        <v>12909</v>
      </c>
      <c r="K6375" s="17"/>
      <c r="L6375" s="17" t="s">
        <v>13998</v>
      </c>
      <c r="M6375" s="17"/>
      <c r="N6375" s="17" t="s">
        <v>40943</v>
      </c>
      <c r="O6375" s="17"/>
      <c r="P6375" s="17" t="s">
        <v>40979</v>
      </c>
      <c r="Q6375" s="17"/>
      <c r="R6375" s="25" t="str">
        <f>HYPERLINK("https://ictv.global/taxonomy/taxondetails?taxnode_id=202318530","Nimlovirus annon")</f>
        <v>Nimlovirus annon</v>
      </c>
      <c r="S6375" s="18" t="s">
        <v>30</v>
      </c>
      <c r="T6375" s="18" t="s">
        <v>40980</v>
      </c>
      <c r="U6375" s="18"/>
      <c r="V6375" s="18" t="s">
        <v>40981</v>
      </c>
      <c r="W6375" s="18" t="s">
        <v>40982</v>
      </c>
      <c r="X6375" s="18" t="s">
        <v>42</v>
      </c>
      <c r="Y6375" s="18" t="s">
        <v>12266</v>
      </c>
      <c r="Z6375" s="18" t="s">
        <v>166</v>
      </c>
      <c r="AA6375" s="21" t="str">
        <f>HYPERLINK("https://www.ncbi.nlm.nih.gov/nuccore/KT732823","NCBI Nucleotide")</f>
        <v>NCBI Nucleotide</v>
      </c>
    </row>
    <row r="6376" spans="1:27" x14ac:dyDescent="0.35">
      <c r="A6376">
        <v>1027956</v>
      </c>
      <c r="B6376">
        <v>6079</v>
      </c>
      <c r="C6376">
        <v>1</v>
      </c>
      <c r="D6376" s="17" t="s">
        <v>10507</v>
      </c>
      <c r="E6376" s="17"/>
      <c r="F6376" s="17" t="s">
        <v>10780</v>
      </c>
      <c r="G6376" s="17"/>
      <c r="H6376" s="17" t="s">
        <v>12908</v>
      </c>
      <c r="I6376" s="17"/>
      <c r="J6376" s="17" t="s">
        <v>12909</v>
      </c>
      <c r="K6376" s="17"/>
      <c r="L6376" s="17" t="s">
        <v>13998</v>
      </c>
      <c r="M6376" s="17"/>
      <c r="N6376" s="17" t="s">
        <v>40943</v>
      </c>
      <c r="O6376" s="17"/>
      <c r="P6376" s="17" t="s">
        <v>40983</v>
      </c>
      <c r="Q6376" s="17"/>
      <c r="R6376" s="25" t="str">
        <f>HYPERLINK("https://ictv.global/taxonomy/taxondetails?taxnode_id=202318525","Nurnevirus wethil")</f>
        <v>Nurnevirus wethil</v>
      </c>
      <c r="S6376" s="18" t="s">
        <v>30</v>
      </c>
      <c r="T6376" s="18" t="s">
        <v>40984</v>
      </c>
      <c r="U6376" s="18"/>
      <c r="V6376" s="18" t="s">
        <v>40985</v>
      </c>
      <c r="W6376" s="18" t="s">
        <v>40986</v>
      </c>
      <c r="X6376" s="18" t="s">
        <v>42</v>
      </c>
      <c r="Y6376" s="18" t="s">
        <v>12266</v>
      </c>
      <c r="Z6376" s="18" t="s">
        <v>166</v>
      </c>
      <c r="AA6376" s="21" t="str">
        <f>HYPERLINK("https://www.ncbi.nlm.nih.gov/nuccore/KT732819","NCBI Nucleotide")</f>
        <v>NCBI Nucleotide</v>
      </c>
    </row>
    <row r="6377" spans="1:27" x14ac:dyDescent="0.35">
      <c r="A6377">
        <v>1027958</v>
      </c>
      <c r="B6377">
        <v>6080</v>
      </c>
      <c r="C6377">
        <v>1</v>
      </c>
      <c r="D6377" s="17" t="s">
        <v>10507</v>
      </c>
      <c r="E6377" s="17"/>
      <c r="F6377" s="17" t="s">
        <v>10780</v>
      </c>
      <c r="G6377" s="17"/>
      <c r="H6377" s="17" t="s">
        <v>12908</v>
      </c>
      <c r="I6377" s="17"/>
      <c r="J6377" s="17" t="s">
        <v>12909</v>
      </c>
      <c r="K6377" s="17"/>
      <c r="L6377" s="17" t="s">
        <v>13998</v>
      </c>
      <c r="M6377" s="17"/>
      <c r="N6377" s="17" t="s">
        <v>40943</v>
      </c>
      <c r="O6377" s="17"/>
      <c r="P6377" s="17" t="s">
        <v>40987</v>
      </c>
      <c r="Q6377" s="17"/>
      <c r="R6377" s="25" t="str">
        <f>HYPERLINK("https://ictv.global/taxonomy/taxondetails?taxnode_id=202318526","Pelorivirus melia")</f>
        <v>Pelorivirus melia</v>
      </c>
      <c r="S6377" s="18" t="s">
        <v>30</v>
      </c>
      <c r="T6377" s="18" t="s">
        <v>40988</v>
      </c>
      <c r="U6377" s="18"/>
      <c r="V6377" s="18" t="s">
        <v>40989</v>
      </c>
      <c r="W6377" s="18" t="s">
        <v>40990</v>
      </c>
      <c r="X6377" s="18" t="s">
        <v>42</v>
      </c>
      <c r="Y6377" s="18" t="s">
        <v>12266</v>
      </c>
      <c r="Z6377" s="18" t="s">
        <v>166</v>
      </c>
      <c r="AA6377" s="21" t="str">
        <f>HYPERLINK("https://www.ncbi.nlm.nih.gov/nuccore/KU043406","NCBI Nucleotide")</f>
        <v>NCBI Nucleotide</v>
      </c>
    </row>
    <row r="6378" spans="1:27" x14ac:dyDescent="0.35">
      <c r="A6378">
        <v>1027965</v>
      </c>
      <c r="B6378">
        <v>6081</v>
      </c>
      <c r="C6378">
        <v>1</v>
      </c>
      <c r="D6378" s="17" t="s">
        <v>10507</v>
      </c>
      <c r="E6378" s="17"/>
      <c r="F6378" s="17" t="s">
        <v>10780</v>
      </c>
      <c r="G6378" s="17"/>
      <c r="H6378" s="17" t="s">
        <v>12908</v>
      </c>
      <c r="I6378" s="17"/>
      <c r="J6378" s="17" t="s">
        <v>12909</v>
      </c>
      <c r="K6378" s="17"/>
      <c r="L6378" s="17" t="s">
        <v>13998</v>
      </c>
      <c r="M6378" s="17"/>
      <c r="N6378" s="17" t="s">
        <v>40943</v>
      </c>
      <c r="O6378" s="17"/>
      <c r="P6378" s="17" t="s">
        <v>40991</v>
      </c>
      <c r="Q6378" s="17"/>
      <c r="R6378" s="25" t="str">
        <f>HYPERLINK("https://ictv.global/taxonomy/taxondetails?taxnode_id=202318527","Stoorivirus tarnae")</f>
        <v>Stoorivirus tarnae</v>
      </c>
      <c r="S6378" s="18" t="s">
        <v>30</v>
      </c>
      <c r="T6378" s="18" t="s">
        <v>40992</v>
      </c>
      <c r="U6378" s="18"/>
      <c r="V6378" s="18" t="s">
        <v>40993</v>
      </c>
      <c r="W6378" s="18" t="s">
        <v>40994</v>
      </c>
      <c r="X6378" s="18" t="s">
        <v>42</v>
      </c>
      <c r="Y6378" s="18" t="s">
        <v>12266</v>
      </c>
      <c r="Z6378" s="18" t="s">
        <v>10790</v>
      </c>
      <c r="AA6378" s="21" t="str">
        <f>HYPERLINK("https://www.ncbi.nlm.nih.gov/nuccore/KF738877","NCBI Nucleotide")</f>
        <v>NCBI Nucleotide</v>
      </c>
    </row>
    <row r="6379" spans="1:27" x14ac:dyDescent="0.35">
      <c r="A6379">
        <v>1027966</v>
      </c>
      <c r="B6379">
        <v>6082</v>
      </c>
      <c r="C6379">
        <v>1</v>
      </c>
      <c r="D6379" s="17" t="s">
        <v>10507</v>
      </c>
      <c r="E6379" s="17"/>
      <c r="F6379" s="17" t="s">
        <v>10780</v>
      </c>
      <c r="G6379" s="17"/>
      <c r="H6379" s="17" t="s">
        <v>12908</v>
      </c>
      <c r="I6379" s="17"/>
      <c r="J6379" s="17" t="s">
        <v>12909</v>
      </c>
      <c r="K6379" s="17"/>
      <c r="L6379" s="17" t="s">
        <v>13998</v>
      </c>
      <c r="M6379" s="17"/>
      <c r="N6379" s="17" t="s">
        <v>40943</v>
      </c>
      <c r="O6379" s="17"/>
      <c r="P6379" s="17" t="s">
        <v>40995</v>
      </c>
      <c r="Q6379" s="17"/>
      <c r="R6379" s="25" t="str">
        <f>HYPERLINK("https://ictv.global/taxonomy/taxondetails?taxnode_id=202318528","Taravirus cuivi")</f>
        <v>Taravirus cuivi</v>
      </c>
      <c r="S6379" s="18" t="s">
        <v>30</v>
      </c>
      <c r="T6379" s="18" t="s">
        <v>40996</v>
      </c>
      <c r="U6379" s="18"/>
      <c r="V6379" s="18" t="s">
        <v>40997</v>
      </c>
      <c r="W6379" s="18" t="s">
        <v>40998</v>
      </c>
      <c r="X6379" s="18" t="s">
        <v>42</v>
      </c>
      <c r="Y6379" s="18" t="s">
        <v>12266</v>
      </c>
      <c r="Z6379" s="18" t="s">
        <v>26655</v>
      </c>
      <c r="AA6379" s="21" t="str">
        <f>HYPERLINK("https://www.ncbi.nlm.nih.gov/nuccore/KT149398","NCBI Nucleotide")</f>
        <v>NCBI Nucleotide</v>
      </c>
    </row>
    <row r="6380" spans="1:27" x14ac:dyDescent="0.35">
      <c r="A6380">
        <v>1027973</v>
      </c>
      <c r="B6380">
        <v>6083</v>
      </c>
      <c r="C6380">
        <v>1</v>
      </c>
      <c r="D6380" s="17" t="s">
        <v>10507</v>
      </c>
      <c r="E6380" s="17"/>
      <c r="F6380" s="17" t="s">
        <v>10780</v>
      </c>
      <c r="G6380" s="17"/>
      <c r="H6380" s="17" t="s">
        <v>12908</v>
      </c>
      <c r="I6380" s="17"/>
      <c r="J6380" s="17" t="s">
        <v>12909</v>
      </c>
      <c r="K6380" s="17"/>
      <c r="L6380" s="17" t="s">
        <v>13998</v>
      </c>
      <c r="M6380" s="17"/>
      <c r="N6380" s="17" t="s">
        <v>40943</v>
      </c>
      <c r="O6380" s="17"/>
      <c r="P6380" s="17" t="s">
        <v>40999</v>
      </c>
      <c r="Q6380" s="17"/>
      <c r="R6380" s="25" t="str">
        <f>HYPERLINK("https://ictv.global/taxonomy/taxondetails?taxnode_id=202318529","Telperivirus sithali")</f>
        <v>Telperivirus sithali</v>
      </c>
      <c r="S6380" s="18" t="s">
        <v>30</v>
      </c>
      <c r="T6380" s="18" t="s">
        <v>41000</v>
      </c>
      <c r="U6380" s="18"/>
      <c r="V6380" s="18" t="s">
        <v>41001</v>
      </c>
      <c r="W6380" s="18" t="s">
        <v>41002</v>
      </c>
      <c r="X6380" s="18" t="s">
        <v>42</v>
      </c>
      <c r="Y6380" s="18" t="s">
        <v>12266</v>
      </c>
      <c r="Z6380" s="18" t="s">
        <v>10790</v>
      </c>
      <c r="AA6380" s="21" t="str">
        <f>HYPERLINK("https://www.ncbi.nlm.nih.gov/nuccore/KM598396","NCBI Nucleotide")</f>
        <v>NCBI Nucleotide</v>
      </c>
    </row>
    <row r="6381" spans="1:27" x14ac:dyDescent="0.35">
      <c r="A6381">
        <v>1027967</v>
      </c>
      <c r="B6381">
        <v>6084</v>
      </c>
      <c r="C6381">
        <v>1</v>
      </c>
      <c r="D6381" s="17" t="s">
        <v>10507</v>
      </c>
      <c r="E6381" s="17"/>
      <c r="F6381" s="17" t="s">
        <v>10780</v>
      </c>
      <c r="G6381" s="17"/>
      <c r="H6381" s="17" t="s">
        <v>12908</v>
      </c>
      <c r="I6381" s="17"/>
      <c r="J6381" s="17" t="s">
        <v>12909</v>
      </c>
      <c r="K6381" s="17"/>
      <c r="L6381" s="17" t="s">
        <v>13998</v>
      </c>
      <c r="M6381" s="17"/>
      <c r="N6381" s="17" t="s">
        <v>40943</v>
      </c>
      <c r="O6381" s="17"/>
      <c r="P6381" s="17" t="s">
        <v>41003</v>
      </c>
      <c r="Q6381" s="17"/>
      <c r="R6381" s="25" t="str">
        <f>HYPERLINK("https://ictv.global/taxonomy/taxondetails?taxnode_id=202318531","Tharbavirus aelin")</f>
        <v>Tharbavirus aelin</v>
      </c>
      <c r="S6381" s="18" t="s">
        <v>30</v>
      </c>
      <c r="T6381" s="18" t="s">
        <v>41004</v>
      </c>
      <c r="U6381" s="18"/>
      <c r="V6381" s="18" t="s">
        <v>41005</v>
      </c>
      <c r="W6381" s="18" t="s">
        <v>41006</v>
      </c>
      <c r="X6381" s="18" t="s">
        <v>42</v>
      </c>
      <c r="Y6381" s="18" t="s">
        <v>12266</v>
      </c>
      <c r="Z6381" s="18" t="s">
        <v>10790</v>
      </c>
      <c r="AA6381" s="21" t="str">
        <f>HYPERLINK("https://www.ncbi.nlm.nih.gov/nuccore/KP153483","NCBI Nucleotide")</f>
        <v>NCBI Nucleotide</v>
      </c>
    </row>
    <row r="6382" spans="1:27" x14ac:dyDescent="0.35">
      <c r="A6382">
        <v>1027971</v>
      </c>
      <c r="B6382">
        <v>6085</v>
      </c>
      <c r="C6382">
        <v>1</v>
      </c>
      <c r="D6382" s="17" t="s">
        <v>10507</v>
      </c>
      <c r="E6382" s="17"/>
      <c r="F6382" s="17" t="s">
        <v>10780</v>
      </c>
      <c r="G6382" s="17"/>
      <c r="H6382" s="17" t="s">
        <v>12908</v>
      </c>
      <c r="I6382" s="17"/>
      <c r="J6382" s="17" t="s">
        <v>12909</v>
      </c>
      <c r="K6382" s="17"/>
      <c r="L6382" s="17" t="s">
        <v>13998</v>
      </c>
      <c r="M6382" s="17"/>
      <c r="N6382" s="17" t="s">
        <v>40943</v>
      </c>
      <c r="O6382" s="17"/>
      <c r="P6382" s="17" t="s">
        <v>41007</v>
      </c>
      <c r="Q6382" s="17"/>
      <c r="R6382" s="25" t="str">
        <f>HYPERLINK("https://ictv.global/taxonomy/taxondetails?taxnode_id=202318532","Ulwavirus helevor")</f>
        <v>Ulwavirus helevor</v>
      </c>
      <c r="S6382" s="18" t="s">
        <v>30</v>
      </c>
      <c r="T6382" s="18" t="s">
        <v>41008</v>
      </c>
      <c r="U6382" s="18"/>
      <c r="V6382" s="18" t="s">
        <v>41009</v>
      </c>
      <c r="W6382" s="18" t="s">
        <v>41010</v>
      </c>
      <c r="X6382" s="18" t="s">
        <v>42</v>
      </c>
      <c r="Y6382" s="18" t="s">
        <v>12266</v>
      </c>
      <c r="Z6382" s="18" t="s">
        <v>10790</v>
      </c>
      <c r="AA6382" s="21" t="str">
        <f>HYPERLINK("https://www.ncbi.nlm.nih.gov/nuccore/KP153468","NCBI Nucleotide")</f>
        <v>NCBI Nucleotide</v>
      </c>
    </row>
    <row r="6383" spans="1:27" x14ac:dyDescent="0.35">
      <c r="A6383">
        <v>1027970</v>
      </c>
      <c r="B6383">
        <v>6086</v>
      </c>
      <c r="C6383">
        <v>1</v>
      </c>
      <c r="D6383" s="17" t="s">
        <v>10507</v>
      </c>
      <c r="E6383" s="17"/>
      <c r="F6383" s="17" t="s">
        <v>10780</v>
      </c>
      <c r="G6383" s="17"/>
      <c r="H6383" s="17" t="s">
        <v>12908</v>
      </c>
      <c r="I6383" s="17"/>
      <c r="J6383" s="17" t="s">
        <v>12909</v>
      </c>
      <c r="K6383" s="17"/>
      <c r="L6383" s="17" t="s">
        <v>13998</v>
      </c>
      <c r="M6383" s="17"/>
      <c r="N6383" s="17" t="s">
        <v>40943</v>
      </c>
      <c r="O6383" s="17"/>
      <c r="P6383" s="17" t="s">
        <v>41011</v>
      </c>
      <c r="Q6383" s="17"/>
      <c r="R6383" s="25" t="str">
        <f>HYPERLINK("https://ictv.global/taxonomy/taxondetails?taxnode_id=202318533","Valarivirus sithago")</f>
        <v>Valarivirus sithago</v>
      </c>
      <c r="S6383" s="18" t="s">
        <v>30</v>
      </c>
      <c r="T6383" s="18" t="s">
        <v>41012</v>
      </c>
      <c r="U6383" s="18"/>
      <c r="V6383" s="18" t="s">
        <v>41013</v>
      </c>
      <c r="W6383" s="18" t="s">
        <v>41014</v>
      </c>
      <c r="X6383" s="18" t="s">
        <v>42</v>
      </c>
      <c r="Y6383" s="18" t="s">
        <v>12266</v>
      </c>
      <c r="Z6383" s="18" t="s">
        <v>10790</v>
      </c>
      <c r="AA6383" s="21" t="str">
        <f>HYPERLINK("https://www.ncbi.nlm.nih.gov/nuccore/JX185415","NCBI Nucleotide")</f>
        <v>NCBI Nucleotide</v>
      </c>
    </row>
    <row r="6384" spans="1:27" x14ac:dyDescent="0.35">
      <c r="A6384">
        <v>1027968</v>
      </c>
      <c r="B6384">
        <v>6087</v>
      </c>
      <c r="C6384">
        <v>1</v>
      </c>
      <c r="D6384" s="17" t="s">
        <v>10507</v>
      </c>
      <c r="E6384" s="17"/>
      <c r="F6384" s="17" t="s">
        <v>10780</v>
      </c>
      <c r="G6384" s="17"/>
      <c r="H6384" s="17" t="s">
        <v>12908</v>
      </c>
      <c r="I6384" s="17"/>
      <c r="J6384" s="17" t="s">
        <v>12909</v>
      </c>
      <c r="K6384" s="17"/>
      <c r="L6384" s="17" t="s">
        <v>13998</v>
      </c>
      <c r="M6384" s="17"/>
      <c r="N6384" s="17" t="s">
        <v>40943</v>
      </c>
      <c r="O6384" s="17"/>
      <c r="P6384" s="17" t="s">
        <v>41015</v>
      </c>
      <c r="Q6384" s="17"/>
      <c r="R6384" s="25" t="str">
        <f>HYPERLINK("https://ictv.global/taxonomy/taxondetails?taxnode_id=202318534","Vanyarvirus aros")</f>
        <v>Vanyarvirus aros</v>
      </c>
      <c r="S6384" s="18" t="s">
        <v>30</v>
      </c>
      <c r="T6384" s="18" t="s">
        <v>41016</v>
      </c>
      <c r="U6384" s="18"/>
      <c r="V6384" s="18" t="s">
        <v>41017</v>
      </c>
      <c r="W6384" s="18" t="s">
        <v>41018</v>
      </c>
      <c r="X6384" s="18" t="s">
        <v>42</v>
      </c>
      <c r="Y6384" s="18" t="s">
        <v>12266</v>
      </c>
      <c r="Z6384" s="18" t="s">
        <v>10790</v>
      </c>
      <c r="AA6384" s="21" t="str">
        <f>HYPERLINK("https://www.ncbi.nlm.nih.gov/nuccore/KP153404","NCBI Nucleotide")</f>
        <v>NCBI Nucleotide</v>
      </c>
    </row>
    <row r="6385" spans="1:27" x14ac:dyDescent="0.35">
      <c r="A6385">
        <v>1027969</v>
      </c>
      <c r="B6385">
        <v>6088</v>
      </c>
      <c r="C6385">
        <v>1</v>
      </c>
      <c r="D6385" s="17" t="s">
        <v>10507</v>
      </c>
      <c r="E6385" s="17"/>
      <c r="F6385" s="17" t="s">
        <v>10780</v>
      </c>
      <c r="G6385" s="17"/>
      <c r="H6385" s="17" t="s">
        <v>12908</v>
      </c>
      <c r="I6385" s="17"/>
      <c r="J6385" s="17" t="s">
        <v>12909</v>
      </c>
      <c r="K6385" s="17"/>
      <c r="L6385" s="17" t="s">
        <v>13998</v>
      </c>
      <c r="M6385" s="17"/>
      <c r="N6385" s="17" t="s">
        <v>40943</v>
      </c>
      <c r="O6385" s="17"/>
      <c r="P6385" s="17" t="s">
        <v>41015</v>
      </c>
      <c r="Q6385" s="17"/>
      <c r="R6385" s="25" t="str">
        <f>HYPERLINK("https://ictv.global/taxonomy/taxondetails?taxnode_id=202318535","Vanyarvirus ulmo")</f>
        <v>Vanyarvirus ulmo</v>
      </c>
      <c r="S6385" s="18" t="s">
        <v>30</v>
      </c>
      <c r="T6385" s="18" t="s">
        <v>41019</v>
      </c>
      <c r="U6385" s="18"/>
      <c r="V6385" s="18" t="s">
        <v>41020</v>
      </c>
      <c r="W6385" s="18" t="s">
        <v>41021</v>
      </c>
      <c r="X6385" s="18" t="s">
        <v>42</v>
      </c>
      <c r="Y6385" s="18" t="s">
        <v>12266</v>
      </c>
      <c r="Z6385" s="18" t="s">
        <v>10790</v>
      </c>
      <c r="AA6385" s="21" t="str">
        <f>HYPERLINK("https://www.ncbi.nlm.nih.gov/nuccore/KC248416","NCBI Nucleotide")</f>
        <v>NCBI Nucleotide</v>
      </c>
    </row>
    <row r="6386" spans="1:27" x14ac:dyDescent="0.35">
      <c r="A6386">
        <v>1027988</v>
      </c>
      <c r="B6386">
        <v>6089</v>
      </c>
      <c r="C6386">
        <v>1</v>
      </c>
      <c r="D6386" s="17" t="s">
        <v>10507</v>
      </c>
      <c r="E6386" s="17"/>
      <c r="F6386" s="17" t="s">
        <v>10780</v>
      </c>
      <c r="G6386" s="17"/>
      <c r="H6386" s="17" t="s">
        <v>12908</v>
      </c>
      <c r="I6386" s="17"/>
      <c r="J6386" s="17" t="s">
        <v>12909</v>
      </c>
      <c r="K6386" s="17"/>
      <c r="L6386" s="17" t="s">
        <v>13998</v>
      </c>
      <c r="M6386" s="17"/>
      <c r="N6386" s="17" t="s">
        <v>40943</v>
      </c>
      <c r="O6386" s="17"/>
      <c r="P6386" s="17" t="s">
        <v>41022</v>
      </c>
      <c r="Q6386" s="17"/>
      <c r="R6386" s="25" t="str">
        <f>HYPERLINK("https://ictv.global/taxonomy/taxondetails?taxnode_id=202318536","Zirakzivirus serni")</f>
        <v>Zirakzivirus serni</v>
      </c>
      <c r="S6386" s="18" t="s">
        <v>30</v>
      </c>
      <c r="T6386" s="18" t="s">
        <v>41023</v>
      </c>
      <c r="U6386" s="18"/>
      <c r="V6386" s="18" t="s">
        <v>41024</v>
      </c>
      <c r="W6386" s="18" t="s">
        <v>41025</v>
      </c>
      <c r="X6386" s="18" t="s">
        <v>42</v>
      </c>
      <c r="Y6386" s="18" t="s">
        <v>12266</v>
      </c>
      <c r="Z6386" s="18" t="s">
        <v>166</v>
      </c>
      <c r="AA6386" s="21" t="str">
        <f>HYPERLINK("https://www.ncbi.nlm.nih.gov/nuccore/KT732816,KT732815,KT732817","NCBI Nucleotide")</f>
        <v>NCBI Nucleotide</v>
      </c>
    </row>
    <row r="6387" spans="1:27" x14ac:dyDescent="0.35">
      <c r="A6387">
        <v>1027921</v>
      </c>
      <c r="B6387">
        <v>6090</v>
      </c>
      <c r="C6387">
        <v>1</v>
      </c>
      <c r="D6387" s="17" t="s">
        <v>10507</v>
      </c>
      <c r="E6387" s="17"/>
      <c r="F6387" s="17" t="s">
        <v>10780</v>
      </c>
      <c r="G6387" s="17"/>
      <c r="H6387" s="17" t="s">
        <v>12908</v>
      </c>
      <c r="I6387" s="17"/>
      <c r="J6387" s="17" t="s">
        <v>12909</v>
      </c>
      <c r="K6387" s="17"/>
      <c r="L6387" s="17" t="s">
        <v>13998</v>
      </c>
      <c r="M6387" s="17"/>
      <c r="N6387" s="17" t="s">
        <v>41026</v>
      </c>
      <c r="O6387" s="17"/>
      <c r="P6387" s="17" t="s">
        <v>41027</v>
      </c>
      <c r="Q6387" s="17"/>
      <c r="R6387" s="25" t="str">
        <f>HYPERLINK("https://ictv.global/taxonomy/taxondetails?taxnode_id=202318503","Aglavirus caranthi")</f>
        <v>Aglavirus caranthi</v>
      </c>
      <c r="S6387" s="18" t="s">
        <v>30</v>
      </c>
      <c r="T6387" s="18" t="s">
        <v>41028</v>
      </c>
      <c r="U6387" s="18"/>
      <c r="V6387" s="18">
        <v>21</v>
      </c>
      <c r="W6387" s="18" t="s">
        <v>41029</v>
      </c>
      <c r="X6387" s="18" t="s">
        <v>42</v>
      </c>
      <c r="Y6387" s="18" t="s">
        <v>12266</v>
      </c>
      <c r="Z6387" s="18" t="s">
        <v>166</v>
      </c>
      <c r="AA6387" s="21" t="str">
        <f>HYPERLINK("https://www.ncbi.nlm.nih.gov/nuccore/JF713716","NCBI Nucleotide")</f>
        <v>NCBI Nucleotide</v>
      </c>
    </row>
    <row r="6388" spans="1:27" x14ac:dyDescent="0.35">
      <c r="A6388">
        <v>1027872</v>
      </c>
      <c r="B6388">
        <v>6091</v>
      </c>
      <c r="C6388">
        <v>1</v>
      </c>
      <c r="D6388" s="17" t="s">
        <v>10507</v>
      </c>
      <c r="E6388" s="17"/>
      <c r="F6388" s="17" t="s">
        <v>10780</v>
      </c>
      <c r="G6388" s="17"/>
      <c r="H6388" s="17" t="s">
        <v>12908</v>
      </c>
      <c r="I6388" s="17"/>
      <c r="J6388" s="17" t="s">
        <v>12909</v>
      </c>
      <c r="K6388" s="17"/>
      <c r="L6388" s="17" t="s">
        <v>13998</v>
      </c>
      <c r="M6388" s="17"/>
      <c r="N6388" s="17" t="s">
        <v>41026</v>
      </c>
      <c r="O6388" s="17"/>
      <c r="P6388" s="17" t="s">
        <v>41030</v>
      </c>
      <c r="Q6388" s="17"/>
      <c r="R6388" s="25" t="str">
        <f>HYPERLINK("https://ictv.global/taxonomy/taxondetails?taxnode_id=202318504","Denevirus geli")</f>
        <v>Denevirus geli</v>
      </c>
      <c r="S6388" s="18" t="s">
        <v>30</v>
      </c>
      <c r="T6388" s="18" t="s">
        <v>41031</v>
      </c>
      <c r="U6388" s="18"/>
      <c r="V6388" s="18" t="s">
        <v>41032</v>
      </c>
      <c r="W6388" s="18" t="s">
        <v>41033</v>
      </c>
      <c r="X6388" s="18" t="s">
        <v>42</v>
      </c>
      <c r="Y6388" s="18" t="s">
        <v>12266</v>
      </c>
      <c r="Z6388" s="18" t="s">
        <v>166</v>
      </c>
      <c r="AA6388" s="21" t="str">
        <f>HYPERLINK("https://www.ncbi.nlm.nih.gov/nuccore/KY370025","NCBI Nucleotide")</f>
        <v>NCBI Nucleotide</v>
      </c>
    </row>
    <row r="6389" spans="1:27" x14ac:dyDescent="0.35">
      <c r="A6389">
        <v>1027880</v>
      </c>
      <c r="B6389">
        <v>6092</v>
      </c>
      <c r="C6389">
        <v>1</v>
      </c>
      <c r="D6389" s="17" t="s">
        <v>10507</v>
      </c>
      <c r="E6389" s="17"/>
      <c r="F6389" s="17" t="s">
        <v>10780</v>
      </c>
      <c r="G6389" s="17"/>
      <c r="H6389" s="17" t="s">
        <v>12908</v>
      </c>
      <c r="I6389" s="17"/>
      <c r="J6389" s="17" t="s">
        <v>12909</v>
      </c>
      <c r="K6389" s="17"/>
      <c r="L6389" s="17" t="s">
        <v>13998</v>
      </c>
      <c r="M6389" s="17"/>
      <c r="N6389" s="17" t="s">
        <v>41026</v>
      </c>
      <c r="O6389" s="17"/>
      <c r="P6389" s="17" t="s">
        <v>41034</v>
      </c>
      <c r="Q6389" s="17"/>
      <c r="R6389" s="25" t="str">
        <f>HYPERLINK("https://ictv.global/taxonomy/taxondetails?taxnode_id=202318505","Edravirus khele")</f>
        <v>Edravirus khele</v>
      </c>
      <c r="S6389" s="18" t="s">
        <v>30</v>
      </c>
      <c r="T6389" s="18" t="s">
        <v>41035</v>
      </c>
      <c r="U6389" s="18"/>
      <c r="V6389" s="18" t="s">
        <v>41036</v>
      </c>
      <c r="W6389" s="18" t="s">
        <v>41037</v>
      </c>
      <c r="X6389" s="18" t="s">
        <v>42</v>
      </c>
      <c r="Y6389" s="18" t="s">
        <v>12266</v>
      </c>
      <c r="Z6389" s="18" t="s">
        <v>166</v>
      </c>
      <c r="AA6389" s="21" t="str">
        <f>HYPERLINK("https://www.ncbi.nlm.nih.gov/nuccore/MT457884","NCBI Nucleotide")</f>
        <v>NCBI Nucleotide</v>
      </c>
    </row>
    <row r="6390" spans="1:27" x14ac:dyDescent="0.35">
      <c r="A6390">
        <v>1027905</v>
      </c>
      <c r="B6390">
        <v>6093</v>
      </c>
      <c r="C6390">
        <v>1</v>
      </c>
      <c r="D6390" s="17" t="s">
        <v>10507</v>
      </c>
      <c r="E6390" s="17"/>
      <c r="F6390" s="17" t="s">
        <v>10780</v>
      </c>
      <c r="G6390" s="17"/>
      <c r="H6390" s="17" t="s">
        <v>12908</v>
      </c>
      <c r="I6390" s="17"/>
      <c r="J6390" s="17" t="s">
        <v>12909</v>
      </c>
      <c r="K6390" s="17"/>
      <c r="L6390" s="17" t="s">
        <v>13998</v>
      </c>
      <c r="M6390" s="17"/>
      <c r="N6390" s="17" t="s">
        <v>41026</v>
      </c>
      <c r="O6390" s="17"/>
      <c r="P6390" s="17" t="s">
        <v>41038</v>
      </c>
      <c r="Q6390" s="17"/>
      <c r="R6390" s="25" t="str">
        <f>HYPERLINK("https://ictv.global/taxonomy/taxondetails?taxnode_id=202318508","Halavirus bele")</f>
        <v>Halavirus bele</v>
      </c>
      <c r="S6390" s="18" t="s">
        <v>30</v>
      </c>
      <c r="T6390" s="18" t="s">
        <v>41039</v>
      </c>
      <c r="U6390" s="18"/>
      <c r="V6390" s="18" t="s">
        <v>37936</v>
      </c>
      <c r="W6390" s="18" t="s">
        <v>41040</v>
      </c>
      <c r="X6390" s="18" t="s">
        <v>42</v>
      </c>
      <c r="Y6390" s="18" t="s">
        <v>12266</v>
      </c>
      <c r="Z6390" s="18" t="s">
        <v>166</v>
      </c>
      <c r="AA6390" s="21" t="str">
        <f>HYPERLINK("https://www.ncbi.nlm.nih.gov/nuccore/KR902498","NCBI Nucleotide")</f>
        <v>NCBI Nucleotide</v>
      </c>
    </row>
    <row r="6391" spans="1:27" x14ac:dyDescent="0.35">
      <c r="A6391">
        <v>1027986</v>
      </c>
      <c r="B6391">
        <v>6094</v>
      </c>
      <c r="C6391">
        <v>1</v>
      </c>
      <c r="D6391" s="17" t="s">
        <v>10507</v>
      </c>
      <c r="E6391" s="17"/>
      <c r="F6391" s="17" t="s">
        <v>10780</v>
      </c>
      <c r="G6391" s="17"/>
      <c r="H6391" s="17" t="s">
        <v>12908</v>
      </c>
      <c r="I6391" s="17"/>
      <c r="J6391" s="17" t="s">
        <v>12909</v>
      </c>
      <c r="K6391" s="17"/>
      <c r="L6391" s="17" t="s">
        <v>13998</v>
      </c>
      <c r="M6391" s="17"/>
      <c r="N6391" s="17" t="s">
        <v>41026</v>
      </c>
      <c r="O6391" s="17"/>
      <c r="P6391" s="17" t="s">
        <v>41041</v>
      </c>
      <c r="Q6391" s="17"/>
      <c r="R6391" s="25" t="str">
        <f>HYPERLINK("https://ictv.global/taxonomy/taxondetails?taxnode_id=202318509","Irmovirus amras")</f>
        <v>Irmovirus amras</v>
      </c>
      <c r="S6391" s="18" t="s">
        <v>30</v>
      </c>
      <c r="T6391" s="18" t="s">
        <v>41042</v>
      </c>
      <c r="U6391" s="18"/>
      <c r="V6391" s="18" t="s">
        <v>41043</v>
      </c>
      <c r="W6391" s="18" t="s">
        <v>41044</v>
      </c>
      <c r="X6391" s="18" t="s">
        <v>42</v>
      </c>
      <c r="Y6391" s="18" t="s">
        <v>12266</v>
      </c>
      <c r="Z6391" s="18" t="s">
        <v>166</v>
      </c>
      <c r="AA6391" s="21" t="str">
        <f>HYPERLINK("https://www.ncbi.nlm.nih.gov/nuccore/MH617154","NCBI Nucleotide")</f>
        <v>NCBI Nucleotide</v>
      </c>
    </row>
    <row r="6392" spans="1:27" x14ac:dyDescent="0.35">
      <c r="A6392">
        <v>1027982</v>
      </c>
      <c r="B6392">
        <v>6095</v>
      </c>
      <c r="C6392">
        <v>1</v>
      </c>
      <c r="D6392" s="17" t="s">
        <v>10507</v>
      </c>
      <c r="E6392" s="17"/>
      <c r="F6392" s="17" t="s">
        <v>10780</v>
      </c>
      <c r="G6392" s="17"/>
      <c r="H6392" s="17" t="s">
        <v>12908</v>
      </c>
      <c r="I6392" s="17"/>
      <c r="J6392" s="17" t="s">
        <v>12909</v>
      </c>
      <c r="K6392" s="17"/>
      <c r="L6392" s="17" t="s">
        <v>13998</v>
      </c>
      <c r="M6392" s="17"/>
      <c r="N6392" s="17" t="s">
        <v>41026</v>
      </c>
      <c r="O6392" s="17"/>
      <c r="P6392" s="17" t="s">
        <v>41045</v>
      </c>
      <c r="Q6392" s="17"/>
      <c r="R6392" s="25" t="str">
        <f>HYPERLINK("https://ictv.global/taxonomy/taxondetails?taxnode_id=202318510","Luinilvirus valimar")</f>
        <v>Luinilvirus valimar</v>
      </c>
      <c r="S6392" s="18" t="s">
        <v>30</v>
      </c>
      <c r="T6392" s="18" t="s">
        <v>41046</v>
      </c>
      <c r="U6392" s="18"/>
      <c r="V6392" s="18" t="s">
        <v>41047</v>
      </c>
      <c r="W6392" s="18" t="s">
        <v>41048</v>
      </c>
      <c r="X6392" s="18" t="s">
        <v>42</v>
      </c>
      <c r="Y6392" s="18" t="s">
        <v>12266</v>
      </c>
      <c r="Z6392" s="18" t="s">
        <v>166</v>
      </c>
      <c r="AA6392" s="21" t="str">
        <f>HYPERLINK("https://www.ncbi.nlm.nih.gov/nuccore/KY370030","NCBI Nucleotide")</f>
        <v>NCBI Nucleotide</v>
      </c>
    </row>
    <row r="6393" spans="1:27" x14ac:dyDescent="0.35">
      <c r="A6393">
        <v>1027979</v>
      </c>
      <c r="B6393">
        <v>6096</v>
      </c>
      <c r="C6393">
        <v>1</v>
      </c>
      <c r="D6393" s="17" t="s">
        <v>10507</v>
      </c>
      <c r="E6393" s="17"/>
      <c r="F6393" s="17" t="s">
        <v>10780</v>
      </c>
      <c r="G6393" s="17"/>
      <c r="H6393" s="17" t="s">
        <v>12908</v>
      </c>
      <c r="I6393" s="17"/>
      <c r="J6393" s="17" t="s">
        <v>12909</v>
      </c>
      <c r="K6393" s="17"/>
      <c r="L6393" s="17" t="s">
        <v>13998</v>
      </c>
      <c r="M6393" s="17"/>
      <c r="N6393" s="17" t="s">
        <v>41026</v>
      </c>
      <c r="O6393" s="17"/>
      <c r="P6393" s="17" t="s">
        <v>41049</v>
      </c>
      <c r="Q6393" s="17"/>
      <c r="R6393" s="25" t="str">
        <f>HYPERLINK("https://ictv.global/taxonomy/taxondetails?taxnode_id=202318511","Melianvirus uinen")</f>
        <v>Melianvirus uinen</v>
      </c>
      <c r="S6393" s="18" t="s">
        <v>30</v>
      </c>
      <c r="T6393" s="18" t="s">
        <v>41050</v>
      </c>
      <c r="U6393" s="18"/>
      <c r="V6393" s="18">
        <v>51</v>
      </c>
      <c r="W6393" s="18" t="s">
        <v>41051</v>
      </c>
      <c r="X6393" s="18" t="s">
        <v>42</v>
      </c>
      <c r="Y6393" s="18" t="s">
        <v>12266</v>
      </c>
      <c r="Z6393" s="18" t="s">
        <v>166</v>
      </c>
      <c r="AA6393" s="21" t="str">
        <f>HYPERLINK("https://www.ncbi.nlm.nih.gov/nuccore/JF713719","NCBI Nucleotide")</f>
        <v>NCBI Nucleotide</v>
      </c>
    </row>
    <row r="6394" spans="1:27" x14ac:dyDescent="0.35">
      <c r="A6394">
        <v>1027980</v>
      </c>
      <c r="B6394">
        <v>6097</v>
      </c>
      <c r="C6394">
        <v>1</v>
      </c>
      <c r="D6394" s="17" t="s">
        <v>10507</v>
      </c>
      <c r="E6394" s="17"/>
      <c r="F6394" s="17" t="s">
        <v>10780</v>
      </c>
      <c r="G6394" s="17"/>
      <c r="H6394" s="17" t="s">
        <v>12908</v>
      </c>
      <c r="I6394" s="17"/>
      <c r="J6394" s="17" t="s">
        <v>12909</v>
      </c>
      <c r="K6394" s="17"/>
      <c r="L6394" s="17" t="s">
        <v>13998</v>
      </c>
      <c r="M6394" s="17"/>
      <c r="N6394" s="17" t="s">
        <v>41026</v>
      </c>
      <c r="O6394" s="17"/>
      <c r="P6394" s="17" t="s">
        <v>41049</v>
      </c>
      <c r="Q6394" s="17"/>
      <c r="R6394" s="25" t="str">
        <f>HYPERLINK("https://ictv.global/taxonomy/taxondetails?taxnode_id=202318506","Melianvirus umbar")</f>
        <v>Melianvirus umbar</v>
      </c>
      <c r="S6394" s="18" t="s">
        <v>30</v>
      </c>
      <c r="T6394" s="18" t="s">
        <v>41052</v>
      </c>
      <c r="U6394" s="18"/>
      <c r="V6394" s="18">
        <v>41</v>
      </c>
      <c r="W6394" s="18" t="s">
        <v>41053</v>
      </c>
      <c r="X6394" s="18" t="s">
        <v>42</v>
      </c>
      <c r="Y6394" s="18" t="s">
        <v>12266</v>
      </c>
      <c r="Z6394" s="18" t="s">
        <v>166</v>
      </c>
      <c r="AA6394" s="21" t="str">
        <f>HYPERLINK("https://www.ncbi.nlm.nih.gov/nuccore/JF713718","NCBI Nucleotide")</f>
        <v>NCBI Nucleotide</v>
      </c>
    </row>
    <row r="6395" spans="1:27" x14ac:dyDescent="0.35">
      <c r="A6395">
        <v>1027981</v>
      </c>
      <c r="B6395">
        <v>6098</v>
      </c>
      <c r="C6395">
        <v>1</v>
      </c>
      <c r="D6395" s="17" t="s">
        <v>10507</v>
      </c>
      <c r="E6395" s="17"/>
      <c r="F6395" s="17" t="s">
        <v>10780</v>
      </c>
      <c r="G6395" s="17"/>
      <c r="H6395" s="17" t="s">
        <v>12908</v>
      </c>
      <c r="I6395" s="17"/>
      <c r="J6395" s="17" t="s">
        <v>12909</v>
      </c>
      <c r="K6395" s="17"/>
      <c r="L6395" s="17" t="s">
        <v>13998</v>
      </c>
      <c r="M6395" s="17"/>
      <c r="N6395" s="17" t="s">
        <v>41026</v>
      </c>
      <c r="O6395" s="17"/>
      <c r="P6395" s="17" t="s">
        <v>41049</v>
      </c>
      <c r="Q6395" s="17"/>
      <c r="R6395" s="25" t="str">
        <f>HYPERLINK("https://ictv.global/taxonomy/taxondetails?taxnode_id=202318507","Melianvirus wilwarin")</f>
        <v>Melianvirus wilwarin</v>
      </c>
      <c r="S6395" s="18" t="s">
        <v>30</v>
      </c>
      <c r="T6395" s="18" t="s">
        <v>41054</v>
      </c>
      <c r="U6395" s="18"/>
      <c r="V6395" s="18" t="s">
        <v>41055</v>
      </c>
      <c r="W6395" s="18" t="s">
        <v>41056</v>
      </c>
      <c r="X6395" s="18" t="s">
        <v>42</v>
      </c>
      <c r="Y6395" s="18" t="s">
        <v>12266</v>
      </c>
      <c r="Z6395" s="18" t="s">
        <v>166</v>
      </c>
      <c r="AA6395" s="21" t="str">
        <f>HYPERLINK("https://www.ncbi.nlm.nih.gov/nuccore/OM095377","NCBI Nucleotide")</f>
        <v>NCBI Nucleotide</v>
      </c>
    </row>
    <row r="6396" spans="1:27" x14ac:dyDescent="0.35">
      <c r="A6396">
        <v>1027954</v>
      </c>
      <c r="B6396">
        <v>6099</v>
      </c>
      <c r="C6396">
        <v>1</v>
      </c>
      <c r="D6396" s="17" t="s">
        <v>10507</v>
      </c>
      <c r="E6396" s="17"/>
      <c r="F6396" s="17" t="s">
        <v>10780</v>
      </c>
      <c r="G6396" s="17"/>
      <c r="H6396" s="17" t="s">
        <v>12908</v>
      </c>
      <c r="I6396" s="17"/>
      <c r="J6396" s="17" t="s">
        <v>12909</v>
      </c>
      <c r="K6396" s="17"/>
      <c r="L6396" s="17" t="s">
        <v>13998</v>
      </c>
      <c r="M6396" s="17"/>
      <c r="N6396" s="17" t="s">
        <v>41026</v>
      </c>
      <c r="O6396" s="17"/>
      <c r="P6396" s="17" t="s">
        <v>41057</v>
      </c>
      <c r="Q6396" s="17"/>
      <c r="R6396" s="25" t="str">
        <f>HYPERLINK("https://ictv.global/taxonomy/taxondetails?taxnode_id=202318512","Nessavirus lothluin")</f>
        <v>Nessavirus lothluin</v>
      </c>
      <c r="S6396" s="18" t="s">
        <v>30</v>
      </c>
      <c r="T6396" s="18" t="s">
        <v>41058</v>
      </c>
      <c r="U6396" s="18"/>
      <c r="V6396" s="18" t="s">
        <v>41059</v>
      </c>
      <c r="W6396" s="18" t="s">
        <v>41060</v>
      </c>
      <c r="X6396" s="18" t="s">
        <v>42</v>
      </c>
      <c r="Y6396" s="18" t="s">
        <v>12266</v>
      </c>
      <c r="Z6396" s="18" t="s">
        <v>166</v>
      </c>
      <c r="AA6396" s="21" t="str">
        <f>HYPERLINK("https://www.ncbi.nlm.nih.gov/nuccore/KM573773","NCBI Nucleotide")</f>
        <v>NCBI Nucleotide</v>
      </c>
    </row>
    <row r="6397" spans="1:27" x14ac:dyDescent="0.35">
      <c r="A6397">
        <v>1027953</v>
      </c>
      <c r="B6397">
        <v>6100</v>
      </c>
      <c r="C6397">
        <v>1</v>
      </c>
      <c r="D6397" s="17" t="s">
        <v>10507</v>
      </c>
      <c r="E6397" s="17"/>
      <c r="F6397" s="17" t="s">
        <v>10780</v>
      </c>
      <c r="G6397" s="17"/>
      <c r="H6397" s="17" t="s">
        <v>12908</v>
      </c>
      <c r="I6397" s="17"/>
      <c r="J6397" s="17" t="s">
        <v>12909</v>
      </c>
      <c r="K6397" s="17"/>
      <c r="L6397" s="17" t="s">
        <v>13998</v>
      </c>
      <c r="M6397" s="17"/>
      <c r="N6397" s="17" t="s">
        <v>41026</v>
      </c>
      <c r="O6397" s="17"/>
      <c r="P6397" s="17" t="s">
        <v>41061</v>
      </c>
      <c r="Q6397" s="17"/>
      <c r="R6397" s="25" t="str">
        <f>HYPERLINK("https://ictv.global/taxonomy/taxondetails?taxnode_id=202318513","Ossirvirus eru")</f>
        <v>Ossirvirus eru</v>
      </c>
      <c r="S6397" s="18" t="s">
        <v>30</v>
      </c>
      <c r="T6397" s="18" t="s">
        <v>41062</v>
      </c>
      <c r="U6397" s="18"/>
      <c r="V6397" s="18" t="s">
        <v>41063</v>
      </c>
      <c r="W6397" s="18" t="s">
        <v>41064</v>
      </c>
      <c r="X6397" s="18" t="s">
        <v>42</v>
      </c>
      <c r="Y6397" s="18" t="s">
        <v>12266</v>
      </c>
      <c r="Z6397" s="18" t="s">
        <v>166</v>
      </c>
      <c r="AA6397" s="21" t="str">
        <f>HYPERLINK("https://www.ncbi.nlm.nih.gov/nuccore/LC708032","NCBI Nucleotide")</f>
        <v>NCBI Nucleotide</v>
      </c>
    </row>
    <row r="6398" spans="1:27" x14ac:dyDescent="0.35">
      <c r="A6398">
        <v>1027987</v>
      </c>
      <c r="B6398">
        <v>6101</v>
      </c>
      <c r="C6398">
        <v>1</v>
      </c>
      <c r="D6398" s="17" t="s">
        <v>10507</v>
      </c>
      <c r="E6398" s="17"/>
      <c r="F6398" s="17" t="s">
        <v>10780</v>
      </c>
      <c r="G6398" s="17"/>
      <c r="H6398" s="17" t="s">
        <v>12908</v>
      </c>
      <c r="I6398" s="17"/>
      <c r="J6398" s="17" t="s">
        <v>12909</v>
      </c>
      <c r="K6398" s="17"/>
      <c r="L6398" s="17" t="s">
        <v>13998</v>
      </c>
      <c r="M6398" s="17"/>
      <c r="N6398" s="17" t="s">
        <v>41026</v>
      </c>
      <c r="O6398" s="17"/>
      <c r="P6398" s="17" t="s">
        <v>41065</v>
      </c>
      <c r="Q6398" s="17"/>
      <c r="R6398" s="25" t="str">
        <f>HYPERLINK("https://ictv.global/taxonomy/taxondetails?taxnode_id=202318514","Yavannavirus dimbar")</f>
        <v>Yavannavirus dimbar</v>
      </c>
      <c r="S6398" s="18" t="s">
        <v>30</v>
      </c>
      <c r="T6398" s="18" t="s">
        <v>41066</v>
      </c>
      <c r="U6398" s="18"/>
      <c r="V6398" s="18" t="s">
        <v>41067</v>
      </c>
      <c r="W6398" s="18" t="s">
        <v>41068</v>
      </c>
      <c r="X6398" s="18" t="s">
        <v>42</v>
      </c>
      <c r="Y6398" s="18" t="s">
        <v>12266</v>
      </c>
      <c r="Z6398" s="18" t="s">
        <v>166</v>
      </c>
      <c r="AA6398" s="21" t="str">
        <f>HYPERLINK("https://www.ncbi.nlm.nih.gov/nuccore/KY370041","NCBI Nucleotide")</f>
        <v>NCBI Nucleotide</v>
      </c>
    </row>
    <row r="6399" spans="1:27" x14ac:dyDescent="0.35">
      <c r="A6399">
        <v>1007577</v>
      </c>
      <c r="B6399">
        <v>6102</v>
      </c>
      <c r="C6399">
        <v>1</v>
      </c>
      <c r="D6399" s="17" t="s">
        <v>10507</v>
      </c>
      <c r="E6399" s="17"/>
      <c r="F6399" s="17" t="s">
        <v>10780</v>
      </c>
      <c r="G6399" s="17"/>
      <c r="H6399" s="17" t="s">
        <v>12908</v>
      </c>
      <c r="I6399" s="17"/>
      <c r="J6399" s="17" t="s">
        <v>12909</v>
      </c>
      <c r="K6399" s="17"/>
      <c r="L6399" s="17" t="s">
        <v>13998</v>
      </c>
      <c r="M6399" s="17"/>
      <c r="N6399" s="17" t="s">
        <v>13999</v>
      </c>
      <c r="O6399" s="17"/>
      <c r="P6399" s="17" t="s">
        <v>14000</v>
      </c>
      <c r="Q6399" s="17"/>
      <c r="R6399" s="25" t="str">
        <f>HYPERLINK("https://ictv.global/taxonomy/taxondetails?taxnode_id=202313296","Angainorvirus turin")</f>
        <v>Angainorvirus turin</v>
      </c>
      <c r="S6399" s="18" t="s">
        <v>30</v>
      </c>
      <c r="T6399" s="18" t="s">
        <v>14001</v>
      </c>
      <c r="U6399" s="18"/>
      <c r="V6399" s="18" t="s">
        <v>13569</v>
      </c>
      <c r="W6399" s="18" t="s">
        <v>14002</v>
      </c>
      <c r="X6399" s="18" t="s">
        <v>42</v>
      </c>
      <c r="Y6399" s="18" t="s">
        <v>10517</v>
      </c>
      <c r="Z6399" s="18" t="s">
        <v>13567</v>
      </c>
      <c r="AA6399" s="21" t="str">
        <f>HYPERLINK("https://www.ncbi.nlm.nih.gov/nuccore/MT293418","NCBI Nucleotide")</f>
        <v>NCBI Nucleotide</v>
      </c>
    </row>
    <row r="6400" spans="1:27" x14ac:dyDescent="0.35">
      <c r="A6400">
        <v>1027906</v>
      </c>
      <c r="B6400">
        <v>6103</v>
      </c>
      <c r="C6400">
        <v>1</v>
      </c>
      <c r="D6400" s="17" t="s">
        <v>10507</v>
      </c>
      <c r="E6400" s="17"/>
      <c r="F6400" s="17" t="s">
        <v>10780</v>
      </c>
      <c r="G6400" s="17"/>
      <c r="H6400" s="17" t="s">
        <v>12908</v>
      </c>
      <c r="I6400" s="17"/>
      <c r="J6400" s="17" t="s">
        <v>12909</v>
      </c>
      <c r="K6400" s="17"/>
      <c r="L6400" s="17" t="s">
        <v>13998</v>
      </c>
      <c r="M6400" s="17"/>
      <c r="N6400" s="17" t="s">
        <v>13999</v>
      </c>
      <c r="O6400" s="17"/>
      <c r="P6400" s="17" t="s">
        <v>41069</v>
      </c>
      <c r="Q6400" s="17"/>
      <c r="R6400" s="25" t="str">
        <f>HYPERLINK("https://ictv.global/taxonomy/taxondetails?taxnode_id=202317904","Cirilivirus boffger")</f>
        <v>Cirilivirus boffger</v>
      </c>
      <c r="S6400" s="18" t="s">
        <v>30</v>
      </c>
      <c r="T6400" s="18" t="s">
        <v>41070</v>
      </c>
      <c r="U6400" s="18"/>
      <c r="V6400" s="18" t="s">
        <v>41071</v>
      </c>
      <c r="W6400" s="18" t="s">
        <v>41072</v>
      </c>
      <c r="X6400" s="18" t="s">
        <v>42</v>
      </c>
      <c r="Y6400" s="18" t="s">
        <v>10517</v>
      </c>
      <c r="Z6400" s="18" t="s">
        <v>166</v>
      </c>
      <c r="AA6400" s="21" t="str">
        <f>HYPERLINK("https://www.ncbi.nlm.nih.gov/nuccore/KU043415","NCBI Nucleotide")</f>
        <v>NCBI Nucleotide</v>
      </c>
    </row>
    <row r="6401" spans="1:27" x14ac:dyDescent="0.35">
      <c r="A6401">
        <v>1007578</v>
      </c>
      <c r="B6401">
        <v>6104</v>
      </c>
      <c r="C6401">
        <v>1</v>
      </c>
      <c r="D6401" s="17" t="s">
        <v>10507</v>
      </c>
      <c r="E6401" s="17"/>
      <c r="F6401" s="17" t="s">
        <v>10780</v>
      </c>
      <c r="G6401" s="17"/>
      <c r="H6401" s="17" t="s">
        <v>12908</v>
      </c>
      <c r="I6401" s="17"/>
      <c r="J6401" s="17" t="s">
        <v>12909</v>
      </c>
      <c r="K6401" s="17"/>
      <c r="L6401" s="17" t="s">
        <v>13998</v>
      </c>
      <c r="M6401" s="17"/>
      <c r="N6401" s="17" t="s">
        <v>13999</v>
      </c>
      <c r="O6401" s="17"/>
      <c r="P6401" s="17" t="s">
        <v>14003</v>
      </c>
      <c r="Q6401" s="17"/>
      <c r="R6401" s="25" t="str">
        <f>HYPERLINK("https://ictv.global/taxonomy/taxondetails?taxnode_id=202313298","Galvornvirus isengard")</f>
        <v>Galvornvirus isengard</v>
      </c>
      <c r="S6401" s="18" t="s">
        <v>30</v>
      </c>
      <c r="T6401" s="18" t="s">
        <v>14004</v>
      </c>
      <c r="U6401" s="18"/>
      <c r="V6401" s="18" t="s">
        <v>14005</v>
      </c>
      <c r="W6401" s="18" t="s">
        <v>14006</v>
      </c>
      <c r="X6401" s="18" t="s">
        <v>42</v>
      </c>
      <c r="Y6401" s="18" t="s">
        <v>10517</v>
      </c>
      <c r="Z6401" s="18" t="s">
        <v>13567</v>
      </c>
      <c r="AA6401" s="21" t="str">
        <f>HYPERLINK("https://www.ncbi.nlm.nih.gov/nuccore/MH617639","NCBI Nucleotide")</f>
        <v>NCBI Nucleotide</v>
      </c>
    </row>
    <row r="6402" spans="1:27" x14ac:dyDescent="0.35">
      <c r="A6402">
        <v>1007579</v>
      </c>
      <c r="B6402">
        <v>6105</v>
      </c>
      <c r="C6402">
        <v>1</v>
      </c>
      <c r="D6402" s="17" t="s">
        <v>10507</v>
      </c>
      <c r="E6402" s="17"/>
      <c r="F6402" s="17" t="s">
        <v>10780</v>
      </c>
      <c r="G6402" s="17"/>
      <c r="H6402" s="17" t="s">
        <v>12908</v>
      </c>
      <c r="I6402" s="17"/>
      <c r="J6402" s="17" t="s">
        <v>12909</v>
      </c>
      <c r="K6402" s="17"/>
      <c r="L6402" s="17" t="s">
        <v>13998</v>
      </c>
      <c r="M6402" s="17"/>
      <c r="N6402" s="17" t="s">
        <v>13999</v>
      </c>
      <c r="O6402" s="17"/>
      <c r="P6402" s="17" t="s">
        <v>14007</v>
      </c>
      <c r="Q6402" s="17"/>
      <c r="R6402" s="25" t="str">
        <f>HYPERLINK("https://ictv.global/taxonomy/taxondetails?taxnode_id=202313300","Mazarbulvirus hasufel")</f>
        <v>Mazarbulvirus hasufel</v>
      </c>
      <c r="S6402" s="18" t="s">
        <v>30</v>
      </c>
      <c r="T6402" s="18" t="s">
        <v>14008</v>
      </c>
      <c r="U6402" s="18"/>
      <c r="V6402" s="18" t="s">
        <v>13569</v>
      </c>
      <c r="W6402" s="18" t="s">
        <v>14009</v>
      </c>
      <c r="X6402" s="18" t="s">
        <v>42</v>
      </c>
      <c r="Y6402" s="18" t="s">
        <v>10517</v>
      </c>
      <c r="Z6402" s="18" t="s">
        <v>13567</v>
      </c>
      <c r="AA6402" s="21" t="str">
        <f>HYPERLINK("https://www.ncbi.nlm.nih.gov/nuccore/MT293416","NCBI Nucleotide")</f>
        <v>NCBI Nucleotide</v>
      </c>
    </row>
    <row r="6403" spans="1:27" x14ac:dyDescent="0.35">
      <c r="A6403">
        <v>1007580</v>
      </c>
      <c r="B6403">
        <v>6106</v>
      </c>
      <c r="C6403">
        <v>1</v>
      </c>
      <c r="D6403" s="17" t="s">
        <v>10507</v>
      </c>
      <c r="E6403" s="17"/>
      <c r="F6403" s="17" t="s">
        <v>10780</v>
      </c>
      <c r="G6403" s="17"/>
      <c r="H6403" s="17" t="s">
        <v>12908</v>
      </c>
      <c r="I6403" s="17"/>
      <c r="J6403" s="17" t="s">
        <v>12909</v>
      </c>
      <c r="K6403" s="17"/>
      <c r="L6403" s="17" t="s">
        <v>13998</v>
      </c>
      <c r="M6403" s="17"/>
      <c r="N6403" s="17" t="s">
        <v>13999</v>
      </c>
      <c r="O6403" s="17"/>
      <c r="P6403" s="17" t="s">
        <v>14010</v>
      </c>
      <c r="Q6403" s="17"/>
      <c r="R6403" s="25" t="str">
        <f>HYPERLINK("https://ictv.global/taxonomy/taxondetails?taxnode_id=202313302","Mithrilvirus smaug")</f>
        <v>Mithrilvirus smaug</v>
      </c>
      <c r="S6403" s="18" t="s">
        <v>30</v>
      </c>
      <c r="T6403" s="18" t="s">
        <v>14011</v>
      </c>
      <c r="U6403" s="18"/>
      <c r="V6403" s="18" t="s">
        <v>14012</v>
      </c>
      <c r="W6403" s="18" t="s">
        <v>14013</v>
      </c>
      <c r="X6403" s="18" t="s">
        <v>42</v>
      </c>
      <c r="Y6403" s="18" t="s">
        <v>10517</v>
      </c>
      <c r="Z6403" s="18" t="s">
        <v>13567</v>
      </c>
      <c r="AA6403" s="21" t="str">
        <f>HYPERLINK("https://www.ncbi.nlm.nih.gov/nuccore/KM598397","NCBI Nucleotide")</f>
        <v>NCBI Nucleotide</v>
      </c>
    </row>
    <row r="6404" spans="1:27" x14ac:dyDescent="0.35">
      <c r="A6404">
        <v>1007581</v>
      </c>
      <c r="B6404">
        <v>6107</v>
      </c>
      <c r="C6404">
        <v>1</v>
      </c>
      <c r="D6404" s="17" t="s">
        <v>10507</v>
      </c>
      <c r="E6404" s="17"/>
      <c r="F6404" s="17" t="s">
        <v>10780</v>
      </c>
      <c r="G6404" s="17"/>
      <c r="H6404" s="17" t="s">
        <v>12908</v>
      </c>
      <c r="I6404" s="17"/>
      <c r="J6404" s="17" t="s">
        <v>12909</v>
      </c>
      <c r="K6404" s="17"/>
      <c r="L6404" s="17" t="s">
        <v>13998</v>
      </c>
      <c r="M6404" s="17"/>
      <c r="N6404" s="17" t="s">
        <v>13999</v>
      </c>
      <c r="O6404" s="17"/>
      <c r="P6404" s="17" t="s">
        <v>14014</v>
      </c>
      <c r="Q6404" s="17"/>
      <c r="R6404" s="25" t="str">
        <f>HYPERLINK("https://ictv.global/taxonomy/taxondetails?taxnode_id=202313304","Valinorvirus arda")</f>
        <v>Valinorvirus arda</v>
      </c>
      <c r="S6404" s="18" t="s">
        <v>30</v>
      </c>
      <c r="T6404" s="18" t="s">
        <v>13579</v>
      </c>
      <c r="U6404" s="18"/>
      <c r="V6404" s="18" t="s">
        <v>13580</v>
      </c>
      <c r="W6404" s="18" t="s">
        <v>14015</v>
      </c>
      <c r="X6404" s="18" t="s">
        <v>42</v>
      </c>
      <c r="Y6404" s="18" t="s">
        <v>10517</v>
      </c>
      <c r="Z6404" s="18" t="s">
        <v>13567</v>
      </c>
      <c r="AA6404" s="21" t="str">
        <f>HYPERLINK("https://www.ncbi.nlm.nih.gov/nuccore/KY487839","NCBI Nucleotide")</f>
        <v>NCBI Nucleotide</v>
      </c>
    </row>
    <row r="6405" spans="1:27" x14ac:dyDescent="0.35">
      <c r="A6405">
        <v>1007582</v>
      </c>
      <c r="B6405">
        <v>6108</v>
      </c>
      <c r="C6405">
        <v>1</v>
      </c>
      <c r="D6405" s="17" t="s">
        <v>10507</v>
      </c>
      <c r="E6405" s="17"/>
      <c r="F6405" s="17" t="s">
        <v>10780</v>
      </c>
      <c r="G6405" s="17"/>
      <c r="H6405" s="17" t="s">
        <v>12908</v>
      </c>
      <c r="I6405" s="17"/>
      <c r="J6405" s="17" t="s">
        <v>12909</v>
      </c>
      <c r="K6405" s="17"/>
      <c r="L6405" s="17" t="s">
        <v>13998</v>
      </c>
      <c r="M6405" s="17"/>
      <c r="N6405" s="17" t="s">
        <v>13999</v>
      </c>
      <c r="O6405" s="17"/>
      <c r="P6405" s="17" t="s">
        <v>14014</v>
      </c>
      <c r="Q6405" s="17"/>
      <c r="R6405" s="25" t="str">
        <f>HYPERLINK("https://ictv.global/taxonomy/taxondetails?taxnode_id=202313305","Valinorvirus eriador")</f>
        <v>Valinorvirus eriador</v>
      </c>
      <c r="S6405" s="18" t="s">
        <v>30</v>
      </c>
      <c r="T6405" s="18" t="s">
        <v>13579</v>
      </c>
      <c r="U6405" s="18"/>
      <c r="V6405" s="18" t="s">
        <v>14016</v>
      </c>
      <c r="W6405" s="18" t="s">
        <v>14017</v>
      </c>
      <c r="X6405" s="18" t="s">
        <v>42</v>
      </c>
      <c r="Y6405" s="18" t="s">
        <v>10517</v>
      </c>
      <c r="Z6405" s="18" t="s">
        <v>13567</v>
      </c>
      <c r="AA6405" s="21" t="str">
        <f>HYPERLINK("https://www.ncbi.nlm.nih.gov/nuccore/KY487840","NCBI Nucleotide")</f>
        <v>NCBI Nucleotide</v>
      </c>
    </row>
    <row r="6406" spans="1:27" x14ac:dyDescent="0.35">
      <c r="A6406">
        <v>1025353</v>
      </c>
      <c r="B6406">
        <v>6109</v>
      </c>
      <c r="C6406">
        <v>1</v>
      </c>
      <c r="D6406" s="17" t="s">
        <v>10507</v>
      </c>
      <c r="E6406" s="17"/>
      <c r="F6406" s="17" t="s">
        <v>10780</v>
      </c>
      <c r="G6406" s="17"/>
      <c r="H6406" s="17" t="s">
        <v>12908</v>
      </c>
      <c r="I6406" s="17"/>
      <c r="J6406" s="17" t="s">
        <v>12909</v>
      </c>
      <c r="K6406" s="17"/>
      <c r="L6406" s="17" t="s">
        <v>41073</v>
      </c>
      <c r="M6406" s="17"/>
      <c r="N6406" s="17" t="s">
        <v>41074</v>
      </c>
      <c r="O6406" s="17"/>
      <c r="P6406" s="17" t="s">
        <v>41075</v>
      </c>
      <c r="Q6406" s="17"/>
      <c r="R6406" s="25" t="str">
        <f>HYPERLINK("https://ictv.global/taxonomy/taxondetails?taxnode_id=202318858","Chinseivirus sewoxi")</f>
        <v>Chinseivirus sewoxi</v>
      </c>
      <c r="S6406" s="18" t="s">
        <v>30</v>
      </c>
      <c r="T6406" s="18" t="s">
        <v>41076</v>
      </c>
      <c r="U6406" s="18"/>
      <c r="V6406" s="18" t="s">
        <v>41077</v>
      </c>
      <c r="W6406" s="18" t="s">
        <v>41078</v>
      </c>
      <c r="X6406" s="18" t="s">
        <v>42</v>
      </c>
      <c r="Y6406" s="18" t="s">
        <v>12266</v>
      </c>
      <c r="Z6406" s="18" t="s">
        <v>16726</v>
      </c>
      <c r="AA6406" s="21" t="str">
        <f>HYPERLINK("https://www.ncbi.nlm.nih.gov/nuccore/KM821759","NCBI Nucleotide")</f>
        <v>NCBI Nucleotide</v>
      </c>
    </row>
    <row r="6407" spans="1:27" x14ac:dyDescent="0.35">
      <c r="A6407">
        <v>1025346</v>
      </c>
      <c r="B6407">
        <v>6110</v>
      </c>
      <c r="C6407">
        <v>1</v>
      </c>
      <c r="D6407" s="17" t="s">
        <v>10507</v>
      </c>
      <c r="E6407" s="17"/>
      <c r="F6407" s="17" t="s">
        <v>10780</v>
      </c>
      <c r="G6407" s="17"/>
      <c r="H6407" s="17" t="s">
        <v>12908</v>
      </c>
      <c r="I6407" s="17"/>
      <c r="J6407" s="17" t="s">
        <v>12909</v>
      </c>
      <c r="K6407" s="17"/>
      <c r="L6407" s="17" t="s">
        <v>41073</v>
      </c>
      <c r="M6407" s="17"/>
      <c r="N6407" s="17" t="s">
        <v>41074</v>
      </c>
      <c r="O6407" s="17"/>
      <c r="P6407" s="17" t="s">
        <v>41079</v>
      </c>
      <c r="Q6407" s="17"/>
      <c r="R6407" s="25" t="str">
        <f>HYPERLINK("https://ictv.global/taxonomy/taxondetails?taxnode_id=202318861","Chiunvirus auroris")</f>
        <v>Chiunvirus auroris</v>
      </c>
      <c r="S6407" s="18" t="s">
        <v>30</v>
      </c>
      <c r="T6407" s="18" t="s">
        <v>41080</v>
      </c>
      <c r="U6407" s="18"/>
      <c r="V6407" s="18" t="s">
        <v>41081</v>
      </c>
      <c r="W6407" s="18" t="s">
        <v>41082</v>
      </c>
      <c r="X6407" s="18" t="s">
        <v>42</v>
      </c>
      <c r="Y6407" s="18" t="s">
        <v>12266</v>
      </c>
      <c r="Z6407" s="18" t="s">
        <v>166</v>
      </c>
      <c r="AA6407" s="21" t="str">
        <f>HYPERLINK("https://www.ncbi.nlm.nih.gov/nuccore/MN928931","NCBI Nucleotide")</f>
        <v>NCBI Nucleotide</v>
      </c>
    </row>
    <row r="6408" spans="1:27" x14ac:dyDescent="0.35">
      <c r="A6408">
        <v>1025347</v>
      </c>
      <c r="B6408">
        <v>6111</v>
      </c>
      <c r="C6408">
        <v>1</v>
      </c>
      <c r="D6408" s="17" t="s">
        <v>10507</v>
      </c>
      <c r="E6408" s="17"/>
      <c r="F6408" s="17" t="s">
        <v>10780</v>
      </c>
      <c r="G6408" s="17"/>
      <c r="H6408" s="17" t="s">
        <v>12908</v>
      </c>
      <c r="I6408" s="17"/>
      <c r="J6408" s="17" t="s">
        <v>12909</v>
      </c>
      <c r="K6408" s="17"/>
      <c r="L6408" s="17" t="s">
        <v>41073</v>
      </c>
      <c r="M6408" s="17"/>
      <c r="N6408" s="17" t="s">
        <v>41074</v>
      </c>
      <c r="O6408" s="17"/>
      <c r="P6408" s="17" t="s">
        <v>41079</v>
      </c>
      <c r="Q6408" s="17"/>
      <c r="R6408" s="25" t="str">
        <f>HYPERLINK("https://ictv.global/taxonomy/taxondetails?taxnode_id=202318862","Chiunvirus grujae")</f>
        <v>Chiunvirus grujae</v>
      </c>
      <c r="S6408" s="18" t="s">
        <v>30</v>
      </c>
      <c r="T6408" s="18" t="s">
        <v>41083</v>
      </c>
      <c r="U6408" s="18"/>
      <c r="V6408" s="18" t="s">
        <v>41084</v>
      </c>
      <c r="W6408" s="18" t="s">
        <v>41085</v>
      </c>
      <c r="X6408" s="18" t="s">
        <v>42</v>
      </c>
      <c r="Y6408" s="18" t="s">
        <v>12266</v>
      </c>
      <c r="Z6408" s="18" t="s">
        <v>166</v>
      </c>
      <c r="AA6408" s="21" t="str">
        <f>HYPERLINK("https://www.ncbi.nlm.nih.gov/nuccore/MN928928","NCBI Nucleotide")</f>
        <v>NCBI Nucleotide</v>
      </c>
    </row>
    <row r="6409" spans="1:27" x14ac:dyDescent="0.35">
      <c r="A6409">
        <v>1025348</v>
      </c>
      <c r="B6409">
        <v>6112</v>
      </c>
      <c r="C6409">
        <v>1</v>
      </c>
      <c r="D6409" s="17" t="s">
        <v>10507</v>
      </c>
      <c r="E6409" s="17"/>
      <c r="F6409" s="17" t="s">
        <v>10780</v>
      </c>
      <c r="G6409" s="17"/>
      <c r="H6409" s="17" t="s">
        <v>12908</v>
      </c>
      <c r="I6409" s="17"/>
      <c r="J6409" s="17" t="s">
        <v>12909</v>
      </c>
      <c r="K6409" s="17"/>
      <c r="L6409" s="17" t="s">
        <v>41073</v>
      </c>
      <c r="M6409" s="17"/>
      <c r="N6409" s="17" t="s">
        <v>41074</v>
      </c>
      <c r="O6409" s="17"/>
      <c r="P6409" s="17" t="s">
        <v>41079</v>
      </c>
      <c r="Q6409" s="17"/>
      <c r="R6409" s="25" t="str">
        <f>HYPERLINK("https://ictv.global/taxonomy/taxondetails?taxnode_id=202318863","Chiunvirus melani")</f>
        <v>Chiunvirus melani</v>
      </c>
      <c r="S6409" s="18" t="s">
        <v>30</v>
      </c>
      <c r="T6409" s="18" t="s">
        <v>41086</v>
      </c>
      <c r="U6409" s="18"/>
      <c r="V6409" s="18" t="s">
        <v>41087</v>
      </c>
      <c r="W6409" s="18" t="s">
        <v>41088</v>
      </c>
      <c r="X6409" s="18" t="s">
        <v>42</v>
      </c>
      <c r="Y6409" s="18" t="s">
        <v>12266</v>
      </c>
      <c r="Z6409" s="18" t="s">
        <v>166</v>
      </c>
      <c r="AA6409" s="21" t="str">
        <f>HYPERLINK("https://www.ncbi.nlm.nih.gov/nuccore/MF327573","NCBI Nucleotide")</f>
        <v>NCBI Nucleotide</v>
      </c>
    </row>
    <row r="6410" spans="1:27" x14ac:dyDescent="0.35">
      <c r="A6410">
        <v>1025349</v>
      </c>
      <c r="B6410">
        <v>6113</v>
      </c>
      <c r="C6410">
        <v>1</v>
      </c>
      <c r="D6410" s="17" t="s">
        <v>10507</v>
      </c>
      <c r="E6410" s="17"/>
      <c r="F6410" s="17" t="s">
        <v>10780</v>
      </c>
      <c r="G6410" s="17"/>
      <c r="H6410" s="17" t="s">
        <v>12908</v>
      </c>
      <c r="I6410" s="17"/>
      <c r="J6410" s="17" t="s">
        <v>12909</v>
      </c>
      <c r="K6410" s="17"/>
      <c r="L6410" s="17" t="s">
        <v>41073</v>
      </c>
      <c r="M6410" s="17"/>
      <c r="N6410" s="17" t="s">
        <v>41074</v>
      </c>
      <c r="O6410" s="17"/>
      <c r="P6410" s="17" t="s">
        <v>41079</v>
      </c>
      <c r="Q6410" s="17"/>
      <c r="R6410" s="25" t="str">
        <f>HYPERLINK("https://ictv.global/taxonomy/taxondetails?taxnode_id=202318860","Chiunvirus muliumi")</f>
        <v>Chiunvirus muliumi</v>
      </c>
      <c r="S6410" s="18" t="s">
        <v>30</v>
      </c>
      <c r="T6410" s="18" t="s">
        <v>41089</v>
      </c>
      <c r="U6410" s="18"/>
      <c r="V6410" s="18" t="s">
        <v>41090</v>
      </c>
      <c r="W6410" s="18" t="s">
        <v>41091</v>
      </c>
      <c r="X6410" s="18" t="s">
        <v>42</v>
      </c>
      <c r="Y6410" s="18" t="s">
        <v>12266</v>
      </c>
      <c r="Z6410" s="18" t="s">
        <v>10790</v>
      </c>
      <c r="AA6410" s="21" t="str">
        <f>HYPERLINK("https://www.ncbi.nlm.nih.gov/nuccore/MK433226","NCBI Nucleotide")</f>
        <v>NCBI Nucleotide</v>
      </c>
    </row>
    <row r="6411" spans="1:27" x14ac:dyDescent="0.35">
      <c r="A6411">
        <v>1025350</v>
      </c>
      <c r="B6411">
        <v>6114</v>
      </c>
      <c r="C6411">
        <v>1</v>
      </c>
      <c r="D6411" s="17" t="s">
        <v>10507</v>
      </c>
      <c r="E6411" s="17"/>
      <c r="F6411" s="17" t="s">
        <v>10780</v>
      </c>
      <c r="G6411" s="17"/>
      <c r="H6411" s="17" t="s">
        <v>12908</v>
      </c>
      <c r="I6411" s="17"/>
      <c r="J6411" s="17" t="s">
        <v>12909</v>
      </c>
      <c r="K6411" s="17"/>
      <c r="L6411" s="17" t="s">
        <v>41073</v>
      </c>
      <c r="M6411" s="17"/>
      <c r="N6411" s="17" t="s">
        <v>41074</v>
      </c>
      <c r="O6411" s="17"/>
      <c r="P6411" s="17" t="s">
        <v>41079</v>
      </c>
      <c r="Q6411" s="17"/>
      <c r="R6411" s="25" t="str">
        <f>HYPERLINK("https://ictv.global/taxonomy/taxondetails?taxnode_id=202318859","Chiunvirus sainlis")</f>
        <v>Chiunvirus sainlis</v>
      </c>
      <c r="S6411" s="18" t="s">
        <v>30</v>
      </c>
      <c r="T6411" s="18" t="s">
        <v>41092</v>
      </c>
      <c r="U6411" s="18"/>
      <c r="V6411" s="18" t="s">
        <v>41093</v>
      </c>
      <c r="W6411" s="18" t="s">
        <v>41094</v>
      </c>
      <c r="X6411" s="18" t="s">
        <v>42</v>
      </c>
      <c r="Y6411" s="18" t="s">
        <v>12266</v>
      </c>
      <c r="Z6411" s="18" t="s">
        <v>12916</v>
      </c>
      <c r="AA6411" s="21" t="str">
        <f>HYPERLINK("https://www.ncbi.nlm.nih.gov/nuccore/JX904478","NCBI Nucleotide")</f>
        <v>NCBI Nucleotide</v>
      </c>
    </row>
    <row r="6412" spans="1:27" x14ac:dyDescent="0.35">
      <c r="A6412">
        <v>1025384</v>
      </c>
      <c r="B6412">
        <v>6115</v>
      </c>
      <c r="C6412">
        <v>1</v>
      </c>
      <c r="D6412" s="17" t="s">
        <v>10507</v>
      </c>
      <c r="E6412" s="17"/>
      <c r="F6412" s="17" t="s">
        <v>10780</v>
      </c>
      <c r="G6412" s="17"/>
      <c r="H6412" s="17" t="s">
        <v>12908</v>
      </c>
      <c r="I6412" s="17"/>
      <c r="J6412" s="17" t="s">
        <v>12909</v>
      </c>
      <c r="K6412" s="17"/>
      <c r="L6412" s="17" t="s">
        <v>41073</v>
      </c>
      <c r="M6412" s="17"/>
      <c r="N6412" s="17" t="s">
        <v>41074</v>
      </c>
      <c r="O6412" s="17"/>
      <c r="P6412" s="17" t="s">
        <v>41095</v>
      </c>
      <c r="Q6412" s="17"/>
      <c r="R6412" s="25" t="str">
        <f>HYPERLINK("https://ictv.global/taxonomy/taxondetails?taxnode_id=202318864","Doseivirus sewoxi")</f>
        <v>Doseivirus sewoxi</v>
      </c>
      <c r="S6412" s="18" t="s">
        <v>30</v>
      </c>
      <c r="T6412" s="18" t="s">
        <v>41096</v>
      </c>
      <c r="U6412" s="18"/>
      <c r="V6412" s="18" t="s">
        <v>41097</v>
      </c>
      <c r="W6412" s="18" t="s">
        <v>41098</v>
      </c>
      <c r="X6412" s="18" t="s">
        <v>42</v>
      </c>
      <c r="Y6412" s="18" t="s">
        <v>12266</v>
      </c>
      <c r="Z6412" s="18" t="s">
        <v>16726</v>
      </c>
      <c r="AA6412" s="21" t="str">
        <f>HYPERLINK("https://www.ncbi.nlm.nih.gov/nuccore/KJ547632","NCBI Nucleotide")</f>
        <v>NCBI Nucleotide</v>
      </c>
    </row>
    <row r="6413" spans="1:27" x14ac:dyDescent="0.35">
      <c r="A6413">
        <v>1025541</v>
      </c>
      <c r="B6413">
        <v>6116</v>
      </c>
      <c r="C6413">
        <v>1</v>
      </c>
      <c r="D6413" s="17" t="s">
        <v>10507</v>
      </c>
      <c r="E6413" s="17"/>
      <c r="F6413" s="17" t="s">
        <v>10780</v>
      </c>
      <c r="G6413" s="17"/>
      <c r="H6413" s="17" t="s">
        <v>12908</v>
      </c>
      <c r="I6413" s="17"/>
      <c r="J6413" s="17" t="s">
        <v>12909</v>
      </c>
      <c r="K6413" s="17"/>
      <c r="L6413" s="17" t="s">
        <v>41073</v>
      </c>
      <c r="M6413" s="17"/>
      <c r="N6413" s="17" t="s">
        <v>41074</v>
      </c>
      <c r="O6413" s="17"/>
      <c r="P6413" s="17" t="s">
        <v>41099</v>
      </c>
      <c r="Q6413" s="17"/>
      <c r="R6413" s="25" t="str">
        <f>HYPERLINK("https://ictv.global/taxonomy/taxondetails?taxnode_id=202318865","Kaiwanvirus raringis")</f>
        <v>Kaiwanvirus raringis</v>
      </c>
      <c r="S6413" s="18" t="s">
        <v>30</v>
      </c>
      <c r="T6413" s="18" t="s">
        <v>41100</v>
      </c>
      <c r="U6413" s="18"/>
      <c r="V6413" s="18" t="s">
        <v>41101</v>
      </c>
      <c r="W6413" s="18" t="s">
        <v>41102</v>
      </c>
      <c r="X6413" s="18" t="s">
        <v>42</v>
      </c>
      <c r="Y6413" s="18" t="s">
        <v>12266</v>
      </c>
      <c r="Z6413" s="18" t="s">
        <v>26655</v>
      </c>
      <c r="AA6413" s="21" t="str">
        <f>HYPERLINK("https://www.ncbi.nlm.nih.gov/nuccore/MN582056","NCBI Nucleotide")</f>
        <v>NCBI Nucleotide</v>
      </c>
    </row>
    <row r="6414" spans="1:27" x14ac:dyDescent="0.35">
      <c r="A6414">
        <v>1025542</v>
      </c>
      <c r="B6414">
        <v>6117</v>
      </c>
      <c r="C6414">
        <v>1</v>
      </c>
      <c r="D6414" s="17" t="s">
        <v>10507</v>
      </c>
      <c r="E6414" s="17"/>
      <c r="F6414" s="17" t="s">
        <v>10780</v>
      </c>
      <c r="G6414" s="17"/>
      <c r="H6414" s="17" t="s">
        <v>12908</v>
      </c>
      <c r="I6414" s="17"/>
      <c r="J6414" s="17" t="s">
        <v>12909</v>
      </c>
      <c r="K6414" s="17"/>
      <c r="L6414" s="17" t="s">
        <v>41073</v>
      </c>
      <c r="M6414" s="17"/>
      <c r="N6414" s="17" t="s">
        <v>41074</v>
      </c>
      <c r="O6414" s="17"/>
      <c r="P6414" s="17" t="s">
        <v>41099</v>
      </c>
      <c r="Q6414" s="17"/>
      <c r="R6414" s="25" t="str">
        <f>HYPERLINK("https://ictv.global/taxonomy/taxondetails?taxnode_id=202318866","Kaiwanvirus sewoxi")</f>
        <v>Kaiwanvirus sewoxi</v>
      </c>
      <c r="S6414" s="18" t="s">
        <v>30</v>
      </c>
      <c r="T6414" s="18" t="s">
        <v>41103</v>
      </c>
      <c r="U6414" s="18"/>
      <c r="V6414" s="18" t="s">
        <v>41104</v>
      </c>
      <c r="W6414" s="18" t="s">
        <v>41105</v>
      </c>
      <c r="X6414" s="18" t="s">
        <v>42</v>
      </c>
      <c r="Y6414" s="18" t="s">
        <v>12266</v>
      </c>
      <c r="Z6414" s="18" t="s">
        <v>16726</v>
      </c>
      <c r="AA6414" s="21" t="str">
        <f>HYPERLINK("https://www.ncbi.nlm.nih.gov/nuccore/KM821751","NCBI Nucleotide")</f>
        <v>NCBI Nucleotide</v>
      </c>
    </row>
    <row r="6415" spans="1:27" x14ac:dyDescent="0.35">
      <c r="A6415">
        <v>1025543</v>
      </c>
      <c r="B6415">
        <v>6118</v>
      </c>
      <c r="C6415">
        <v>1</v>
      </c>
      <c r="D6415" s="17" t="s">
        <v>10507</v>
      </c>
      <c r="E6415" s="17"/>
      <c r="F6415" s="17" t="s">
        <v>10780</v>
      </c>
      <c r="G6415" s="17"/>
      <c r="H6415" s="17" t="s">
        <v>12908</v>
      </c>
      <c r="I6415" s="17"/>
      <c r="J6415" s="17" t="s">
        <v>12909</v>
      </c>
      <c r="K6415" s="17"/>
      <c r="L6415" s="17" t="s">
        <v>41073</v>
      </c>
      <c r="M6415" s="17"/>
      <c r="N6415" s="17" t="s">
        <v>41074</v>
      </c>
      <c r="O6415" s="17"/>
      <c r="P6415" s="17" t="s">
        <v>41106</v>
      </c>
      <c r="Q6415" s="17"/>
      <c r="R6415" s="25" t="str">
        <f>HYPERLINK("https://ictv.global/taxonomy/taxondetails?taxnode_id=202318868","Kajamanuvirus cruti")</f>
        <v>Kajamanuvirus cruti</v>
      </c>
      <c r="S6415" s="18" t="s">
        <v>30</v>
      </c>
      <c r="T6415" s="18" t="s">
        <v>41107</v>
      </c>
      <c r="U6415" s="18"/>
      <c r="V6415" s="18" t="s">
        <v>41108</v>
      </c>
      <c r="W6415" s="18" t="s">
        <v>41109</v>
      </c>
      <c r="X6415" s="18" t="s">
        <v>42</v>
      </c>
      <c r="Y6415" s="18" t="s">
        <v>12266</v>
      </c>
      <c r="Z6415" s="18" t="s">
        <v>166</v>
      </c>
      <c r="AA6415" s="21" t="str">
        <f>HYPERLINK("https://www.ncbi.nlm.nih.gov/nuccore/MK012494","NCBI Nucleotide")</f>
        <v>NCBI Nucleotide</v>
      </c>
    </row>
    <row r="6416" spans="1:27" x14ac:dyDescent="0.35">
      <c r="A6416">
        <v>1025544</v>
      </c>
      <c r="B6416">
        <v>6119</v>
      </c>
      <c r="C6416">
        <v>1</v>
      </c>
      <c r="D6416" s="17" t="s">
        <v>10507</v>
      </c>
      <c r="E6416" s="17"/>
      <c r="F6416" s="17" t="s">
        <v>10780</v>
      </c>
      <c r="G6416" s="17"/>
      <c r="H6416" s="17" t="s">
        <v>12908</v>
      </c>
      <c r="I6416" s="17"/>
      <c r="J6416" s="17" t="s">
        <v>12909</v>
      </c>
      <c r="K6416" s="17"/>
      <c r="L6416" s="17" t="s">
        <v>41073</v>
      </c>
      <c r="M6416" s="17"/>
      <c r="N6416" s="17" t="s">
        <v>41074</v>
      </c>
      <c r="O6416" s="17"/>
      <c r="P6416" s="17" t="s">
        <v>41106</v>
      </c>
      <c r="Q6416" s="17"/>
      <c r="R6416" s="25" t="str">
        <f>HYPERLINK("https://ictv.global/taxonomy/taxondetails?taxnode_id=202318867","Kajamanuvirus cryonitae")</f>
        <v>Kajamanuvirus cryonitae</v>
      </c>
      <c r="S6416" s="18" t="s">
        <v>30</v>
      </c>
      <c r="T6416" s="18" t="s">
        <v>41110</v>
      </c>
      <c r="U6416" s="18"/>
      <c r="V6416" s="18" t="s">
        <v>41111</v>
      </c>
      <c r="W6416" s="18" t="s">
        <v>41112</v>
      </c>
      <c r="X6416" s="18" t="s">
        <v>42</v>
      </c>
      <c r="Y6416" s="18" t="s">
        <v>12266</v>
      </c>
      <c r="Z6416" s="18" t="s">
        <v>26655</v>
      </c>
      <c r="AA6416" s="21" t="str">
        <f>HYPERLINK("https://www.ncbi.nlm.nih.gov/nuccore/MN328279","NCBI Nucleotide")</f>
        <v>NCBI Nucleotide</v>
      </c>
    </row>
    <row r="6417" spans="1:27" x14ac:dyDescent="0.35">
      <c r="A6417">
        <v>1025545</v>
      </c>
      <c r="B6417">
        <v>6120</v>
      </c>
      <c r="C6417">
        <v>1</v>
      </c>
      <c r="D6417" s="17" t="s">
        <v>10507</v>
      </c>
      <c r="E6417" s="17"/>
      <c r="F6417" s="17" t="s">
        <v>10780</v>
      </c>
      <c r="G6417" s="17"/>
      <c r="H6417" s="17" t="s">
        <v>12908</v>
      </c>
      <c r="I6417" s="17"/>
      <c r="J6417" s="17" t="s">
        <v>12909</v>
      </c>
      <c r="K6417" s="17"/>
      <c r="L6417" s="17" t="s">
        <v>41073</v>
      </c>
      <c r="M6417" s="17"/>
      <c r="N6417" s="17" t="s">
        <v>41074</v>
      </c>
      <c r="O6417" s="17"/>
      <c r="P6417" s="17" t="s">
        <v>41106</v>
      </c>
      <c r="Q6417" s="17"/>
      <c r="R6417" s="25" t="str">
        <f>HYPERLINK("https://ictv.global/taxonomy/taxondetails?taxnode_id=202318870","Kajamanuvirus lawatis")</f>
        <v>Kajamanuvirus lawatis</v>
      </c>
      <c r="S6417" s="18" t="s">
        <v>30</v>
      </c>
      <c r="T6417" s="18" t="s">
        <v>41113</v>
      </c>
      <c r="U6417" s="18"/>
      <c r="V6417" s="18" t="s">
        <v>41114</v>
      </c>
      <c r="W6417" s="18" t="s">
        <v>41115</v>
      </c>
      <c r="X6417" s="18" t="s">
        <v>42</v>
      </c>
      <c r="Y6417" s="18" t="s">
        <v>12266</v>
      </c>
      <c r="Z6417" s="18" t="s">
        <v>26655</v>
      </c>
      <c r="AA6417" s="21" t="str">
        <f>HYPERLINK("https://www.ncbi.nlm.nih.gov/nuccore/MW697525","NCBI Nucleotide")</f>
        <v>NCBI Nucleotide</v>
      </c>
    </row>
    <row r="6418" spans="1:27" x14ac:dyDescent="0.35">
      <c r="A6418">
        <v>1025546</v>
      </c>
      <c r="B6418">
        <v>6121</v>
      </c>
      <c r="C6418">
        <v>1</v>
      </c>
      <c r="D6418" s="17" t="s">
        <v>10507</v>
      </c>
      <c r="E6418" s="17"/>
      <c r="F6418" s="17" t="s">
        <v>10780</v>
      </c>
      <c r="G6418" s="17"/>
      <c r="H6418" s="17" t="s">
        <v>12908</v>
      </c>
      <c r="I6418" s="17"/>
      <c r="J6418" s="17" t="s">
        <v>12909</v>
      </c>
      <c r="K6418" s="17"/>
      <c r="L6418" s="17" t="s">
        <v>41073</v>
      </c>
      <c r="M6418" s="17"/>
      <c r="N6418" s="17" t="s">
        <v>41074</v>
      </c>
      <c r="O6418" s="17"/>
      <c r="P6418" s="17" t="s">
        <v>41106</v>
      </c>
      <c r="Q6418" s="17"/>
      <c r="R6418" s="25" t="str">
        <f>HYPERLINK("https://ictv.global/taxonomy/taxondetails?taxnode_id=202318869","Kajamanuvirus moutis")</f>
        <v>Kajamanuvirus moutis</v>
      </c>
      <c r="S6418" s="18" t="s">
        <v>30</v>
      </c>
      <c r="T6418" s="18" t="s">
        <v>41116</v>
      </c>
      <c r="U6418" s="18"/>
      <c r="V6418" s="18" t="s">
        <v>41117</v>
      </c>
      <c r="W6418" s="18" t="s">
        <v>41118</v>
      </c>
      <c r="X6418" s="18" t="s">
        <v>42</v>
      </c>
      <c r="Y6418" s="18" t="s">
        <v>12266</v>
      </c>
      <c r="Z6418" s="18" t="s">
        <v>166</v>
      </c>
      <c r="AA6418" s="21" t="str">
        <f>HYPERLINK("https://www.ncbi.nlm.nih.gov/nuccore/MH617369","NCBI Nucleotide")</f>
        <v>NCBI Nucleotide</v>
      </c>
    </row>
    <row r="6419" spans="1:27" x14ac:dyDescent="0.35">
      <c r="A6419">
        <v>1025547</v>
      </c>
      <c r="B6419">
        <v>6122</v>
      </c>
      <c r="C6419">
        <v>1</v>
      </c>
      <c r="D6419" s="17" t="s">
        <v>10507</v>
      </c>
      <c r="E6419" s="17"/>
      <c r="F6419" s="17" t="s">
        <v>10780</v>
      </c>
      <c r="G6419" s="17"/>
      <c r="H6419" s="17" t="s">
        <v>12908</v>
      </c>
      <c r="I6419" s="17"/>
      <c r="J6419" s="17" t="s">
        <v>12909</v>
      </c>
      <c r="K6419" s="17"/>
      <c r="L6419" s="17" t="s">
        <v>41073</v>
      </c>
      <c r="M6419" s="17"/>
      <c r="N6419" s="17" t="s">
        <v>41074</v>
      </c>
      <c r="O6419" s="17"/>
      <c r="P6419" s="17" t="s">
        <v>41106</v>
      </c>
      <c r="Q6419" s="17"/>
      <c r="R6419" s="25" t="str">
        <f>HYPERLINK("https://ictv.global/taxonomy/taxondetails?taxnode_id=202318871","Kajamanuvirus musmis")</f>
        <v>Kajamanuvirus musmis</v>
      </c>
      <c r="S6419" s="18" t="s">
        <v>30</v>
      </c>
      <c r="T6419" s="18" t="s">
        <v>41119</v>
      </c>
      <c r="U6419" s="18"/>
      <c r="V6419" s="18" t="s">
        <v>41120</v>
      </c>
      <c r="W6419" s="18" t="s">
        <v>41121</v>
      </c>
      <c r="X6419" s="18" t="s">
        <v>42</v>
      </c>
      <c r="Y6419" s="18" t="s">
        <v>12266</v>
      </c>
      <c r="Z6419" s="18" t="s">
        <v>166</v>
      </c>
      <c r="AA6419" s="21" t="str">
        <f>HYPERLINK("https://www.ncbi.nlm.nih.gov/nuccore/JF755408","NCBI Nucleotide")</f>
        <v>NCBI Nucleotide</v>
      </c>
    </row>
    <row r="6420" spans="1:27" x14ac:dyDescent="0.35">
      <c r="A6420">
        <v>1025579</v>
      </c>
      <c r="B6420">
        <v>6123</v>
      </c>
      <c r="C6420">
        <v>1</v>
      </c>
      <c r="D6420" s="17" t="s">
        <v>10507</v>
      </c>
      <c r="E6420" s="17"/>
      <c r="F6420" s="17" t="s">
        <v>10780</v>
      </c>
      <c r="G6420" s="17"/>
      <c r="H6420" s="17" t="s">
        <v>12908</v>
      </c>
      <c r="I6420" s="17"/>
      <c r="J6420" s="17" t="s">
        <v>12909</v>
      </c>
      <c r="K6420" s="17"/>
      <c r="L6420" s="17" t="s">
        <v>41073</v>
      </c>
      <c r="M6420" s="17"/>
      <c r="N6420" s="17" t="s">
        <v>41074</v>
      </c>
      <c r="O6420" s="17"/>
      <c r="P6420" s="17" t="s">
        <v>41122</v>
      </c>
      <c r="Q6420" s="17"/>
      <c r="R6420" s="25" t="str">
        <f>HYPERLINK("https://ictv.global/taxonomy/taxondetails?taxnode_id=202318872","Kronovirus crassaminis")</f>
        <v>Kronovirus crassaminis</v>
      </c>
      <c r="S6420" s="18" t="s">
        <v>30</v>
      </c>
      <c r="T6420" s="18" t="s">
        <v>41123</v>
      </c>
      <c r="U6420" s="18"/>
      <c r="V6420" s="18" t="s">
        <v>41124</v>
      </c>
      <c r="W6420" s="18" t="s">
        <v>41125</v>
      </c>
      <c r="X6420" s="18" t="s">
        <v>42</v>
      </c>
      <c r="Y6420" s="18" t="s">
        <v>12266</v>
      </c>
      <c r="Z6420" s="18" t="s">
        <v>26655</v>
      </c>
      <c r="AA6420" s="21" t="str">
        <f>HYPERLINK("https://www.ncbi.nlm.nih.gov/nuccore/KP153508","NCBI Nucleotide")</f>
        <v>NCBI Nucleotide</v>
      </c>
    </row>
    <row r="6421" spans="1:27" x14ac:dyDescent="0.35">
      <c r="A6421">
        <v>1025493</v>
      </c>
      <c r="B6421">
        <v>6124</v>
      </c>
      <c r="C6421">
        <v>1</v>
      </c>
      <c r="D6421" s="17" t="s">
        <v>10507</v>
      </c>
      <c r="E6421" s="17"/>
      <c r="F6421" s="17" t="s">
        <v>10780</v>
      </c>
      <c r="G6421" s="17"/>
      <c r="H6421" s="17" t="s">
        <v>12908</v>
      </c>
      <c r="I6421" s="17"/>
      <c r="J6421" s="17" t="s">
        <v>12909</v>
      </c>
      <c r="K6421" s="17"/>
      <c r="L6421" s="17" t="s">
        <v>41073</v>
      </c>
      <c r="M6421" s="17"/>
      <c r="N6421" s="17" t="s">
        <v>41074</v>
      </c>
      <c r="O6421" s="17"/>
      <c r="P6421" s="17" t="s">
        <v>41126</v>
      </c>
      <c r="Q6421" s="17"/>
      <c r="R6421" s="25" t="str">
        <f>HYPERLINK("https://ictv.global/taxonomy/taxondetails?taxnode_id=202318894","Ninurtavirus bowris")</f>
        <v>Ninurtavirus bowris</v>
      </c>
      <c r="S6421" s="18" t="s">
        <v>30</v>
      </c>
      <c r="T6421" s="18" t="s">
        <v>41127</v>
      </c>
      <c r="U6421" s="18"/>
      <c r="V6421" s="18" t="s">
        <v>41128</v>
      </c>
      <c r="W6421" s="18" t="s">
        <v>41129</v>
      </c>
      <c r="X6421" s="18" t="s">
        <v>42</v>
      </c>
      <c r="Y6421" s="18" t="s">
        <v>12266</v>
      </c>
      <c r="Z6421" s="18" t="s">
        <v>26655</v>
      </c>
      <c r="AA6421" s="21" t="str">
        <f>HYPERLINK("https://www.ncbi.nlm.nih.gov/nuccore/MN582083","NCBI Nucleotide")</f>
        <v>NCBI Nucleotide</v>
      </c>
    </row>
    <row r="6422" spans="1:27" x14ac:dyDescent="0.35">
      <c r="A6422">
        <v>1025494</v>
      </c>
      <c r="B6422">
        <v>6125</v>
      </c>
      <c r="C6422">
        <v>1</v>
      </c>
      <c r="D6422" s="17" t="s">
        <v>10507</v>
      </c>
      <c r="E6422" s="17"/>
      <c r="F6422" s="17" t="s">
        <v>10780</v>
      </c>
      <c r="G6422" s="17"/>
      <c r="H6422" s="17" t="s">
        <v>12908</v>
      </c>
      <c r="I6422" s="17"/>
      <c r="J6422" s="17" t="s">
        <v>12909</v>
      </c>
      <c r="K6422" s="17"/>
      <c r="L6422" s="17" t="s">
        <v>41073</v>
      </c>
      <c r="M6422" s="17"/>
      <c r="N6422" s="17" t="s">
        <v>41074</v>
      </c>
      <c r="O6422" s="17"/>
      <c r="P6422" s="17" t="s">
        <v>41126</v>
      </c>
      <c r="Q6422" s="17"/>
      <c r="R6422" s="25" t="str">
        <f>HYPERLINK("https://ictv.global/taxonomy/taxondetails?taxnode_id=202318877","Ninurtavirus cruti")</f>
        <v>Ninurtavirus cruti</v>
      </c>
      <c r="S6422" s="18" t="s">
        <v>30</v>
      </c>
      <c r="T6422" s="18" t="s">
        <v>41130</v>
      </c>
      <c r="U6422" s="18"/>
      <c r="V6422" s="18" t="s">
        <v>41131</v>
      </c>
      <c r="W6422" s="18" t="s">
        <v>41132</v>
      </c>
      <c r="X6422" s="18" t="s">
        <v>42</v>
      </c>
      <c r="Y6422" s="18" t="s">
        <v>12266</v>
      </c>
      <c r="Z6422" s="18" t="s">
        <v>166</v>
      </c>
      <c r="AA6422" s="21" t="str">
        <f>HYPERLINK("https://www.ncbi.nlm.nih.gov/nuccore/MK012442","NCBI Nucleotide")</f>
        <v>NCBI Nucleotide</v>
      </c>
    </row>
    <row r="6423" spans="1:27" x14ac:dyDescent="0.35">
      <c r="A6423">
        <v>1025495</v>
      </c>
      <c r="B6423">
        <v>6126</v>
      </c>
      <c r="C6423">
        <v>1</v>
      </c>
      <c r="D6423" s="17" t="s">
        <v>10507</v>
      </c>
      <c r="E6423" s="17"/>
      <c r="F6423" s="17" t="s">
        <v>10780</v>
      </c>
      <c r="G6423" s="17"/>
      <c r="H6423" s="17" t="s">
        <v>12908</v>
      </c>
      <c r="I6423" s="17"/>
      <c r="J6423" s="17" t="s">
        <v>12909</v>
      </c>
      <c r="K6423" s="17"/>
      <c r="L6423" s="17" t="s">
        <v>41073</v>
      </c>
      <c r="M6423" s="17"/>
      <c r="N6423" s="17" t="s">
        <v>41074</v>
      </c>
      <c r="O6423" s="17"/>
      <c r="P6423" s="17" t="s">
        <v>41126</v>
      </c>
      <c r="Q6423" s="17"/>
      <c r="R6423" s="25" t="str">
        <f>HYPERLINK("https://ictv.global/taxonomy/taxondetails?taxnode_id=202318896","Ninurtavirus culiziae")</f>
        <v>Ninurtavirus culiziae</v>
      </c>
      <c r="S6423" s="18" t="s">
        <v>30</v>
      </c>
      <c r="T6423" s="18" t="s">
        <v>41133</v>
      </c>
      <c r="U6423" s="18"/>
      <c r="V6423" s="18" t="s">
        <v>41134</v>
      </c>
      <c r="W6423" s="18" t="s">
        <v>41135</v>
      </c>
      <c r="X6423" s="18" t="s">
        <v>42</v>
      </c>
      <c r="Y6423" s="18" t="s">
        <v>12266</v>
      </c>
      <c r="Z6423" s="18" t="s">
        <v>10790</v>
      </c>
      <c r="AA6423" s="21" t="str">
        <f>HYPERLINK("https://www.ncbi.nlm.nih.gov/nuccore/KP153494","NCBI Nucleotide")</f>
        <v>NCBI Nucleotide</v>
      </c>
    </row>
    <row r="6424" spans="1:27" x14ac:dyDescent="0.35">
      <c r="A6424">
        <v>1025496</v>
      </c>
      <c r="B6424">
        <v>6127</v>
      </c>
      <c r="C6424">
        <v>1</v>
      </c>
      <c r="D6424" s="17" t="s">
        <v>10507</v>
      </c>
      <c r="E6424" s="17"/>
      <c r="F6424" s="17" t="s">
        <v>10780</v>
      </c>
      <c r="G6424" s="17"/>
      <c r="H6424" s="17" t="s">
        <v>12908</v>
      </c>
      <c r="I6424" s="17"/>
      <c r="J6424" s="17" t="s">
        <v>12909</v>
      </c>
      <c r="K6424" s="17"/>
      <c r="L6424" s="17" t="s">
        <v>41073</v>
      </c>
      <c r="M6424" s="17"/>
      <c r="N6424" s="17" t="s">
        <v>41074</v>
      </c>
      <c r="O6424" s="17"/>
      <c r="P6424" s="17" t="s">
        <v>41126</v>
      </c>
      <c r="Q6424" s="17"/>
      <c r="R6424" s="25" t="str">
        <f>HYPERLINK("https://ictv.global/taxonomy/taxondetails?taxnode_id=202318891","Ninurtavirus duliaris")</f>
        <v>Ninurtavirus duliaris</v>
      </c>
      <c r="S6424" s="18" t="s">
        <v>30</v>
      </c>
      <c r="T6424" s="18" t="s">
        <v>41136</v>
      </c>
      <c r="U6424" s="18"/>
      <c r="V6424" s="18" t="s">
        <v>41137</v>
      </c>
      <c r="W6424" s="18" t="s">
        <v>41138</v>
      </c>
      <c r="X6424" s="18" t="s">
        <v>42</v>
      </c>
      <c r="Y6424" s="18" t="s">
        <v>12266</v>
      </c>
      <c r="Z6424" s="18" t="s">
        <v>10790</v>
      </c>
      <c r="AA6424" s="21" t="str">
        <f>HYPERLINK("https://www.ncbi.nlm.nih.gov/nuccore/KF738874","NCBI Nucleotide")</f>
        <v>NCBI Nucleotide</v>
      </c>
    </row>
    <row r="6425" spans="1:27" x14ac:dyDescent="0.35">
      <c r="A6425">
        <v>1025497</v>
      </c>
      <c r="B6425">
        <v>6128</v>
      </c>
      <c r="C6425">
        <v>1</v>
      </c>
      <c r="D6425" s="17" t="s">
        <v>10507</v>
      </c>
      <c r="E6425" s="17"/>
      <c r="F6425" s="17" t="s">
        <v>10780</v>
      </c>
      <c r="G6425" s="17"/>
      <c r="H6425" s="17" t="s">
        <v>12908</v>
      </c>
      <c r="I6425" s="17"/>
      <c r="J6425" s="17" t="s">
        <v>12909</v>
      </c>
      <c r="K6425" s="17"/>
      <c r="L6425" s="17" t="s">
        <v>41073</v>
      </c>
      <c r="M6425" s="17"/>
      <c r="N6425" s="17" t="s">
        <v>41074</v>
      </c>
      <c r="O6425" s="17"/>
      <c r="P6425" s="17" t="s">
        <v>41126</v>
      </c>
      <c r="Q6425" s="17"/>
      <c r="R6425" s="25" t="str">
        <f>HYPERLINK("https://ictv.global/taxonomy/taxondetails?taxnode_id=202318874","Ninurtavirus floridaense")</f>
        <v>Ninurtavirus floridaense</v>
      </c>
      <c r="S6425" s="18" t="s">
        <v>30</v>
      </c>
      <c r="T6425" s="18" t="s">
        <v>41139</v>
      </c>
      <c r="U6425" s="18"/>
      <c r="V6425" s="18" t="s">
        <v>41140</v>
      </c>
      <c r="W6425" s="18" t="s">
        <v>41141</v>
      </c>
      <c r="X6425" s="18" t="s">
        <v>42</v>
      </c>
      <c r="Y6425" s="18" t="s">
        <v>12266</v>
      </c>
      <c r="Z6425" s="18" t="s">
        <v>16726</v>
      </c>
      <c r="AA6425" s="21" t="str">
        <f>HYPERLINK("https://www.ncbi.nlm.nih.gov/nuccore/FJ959081","NCBI Nucleotide")</f>
        <v>NCBI Nucleotide</v>
      </c>
    </row>
    <row r="6426" spans="1:27" x14ac:dyDescent="0.35">
      <c r="A6426">
        <v>1025498</v>
      </c>
      <c r="B6426">
        <v>6129</v>
      </c>
      <c r="C6426">
        <v>1</v>
      </c>
      <c r="D6426" s="17" t="s">
        <v>10507</v>
      </c>
      <c r="E6426" s="17"/>
      <c r="F6426" s="17" t="s">
        <v>10780</v>
      </c>
      <c r="G6426" s="17"/>
      <c r="H6426" s="17" t="s">
        <v>12908</v>
      </c>
      <c r="I6426" s="17"/>
      <c r="J6426" s="17" t="s">
        <v>12909</v>
      </c>
      <c r="K6426" s="17"/>
      <c r="L6426" s="17" t="s">
        <v>41073</v>
      </c>
      <c r="M6426" s="17"/>
      <c r="N6426" s="17" t="s">
        <v>41074</v>
      </c>
      <c r="O6426" s="17"/>
      <c r="P6426" s="17" t="s">
        <v>41126</v>
      </c>
      <c r="Q6426" s="17"/>
      <c r="R6426" s="25" t="str">
        <f>HYPERLINK("https://ictv.global/taxonomy/taxondetails?taxnode_id=202318876","Ninurtavirus jaringis")</f>
        <v>Ninurtavirus jaringis</v>
      </c>
      <c r="S6426" s="18" t="s">
        <v>30</v>
      </c>
      <c r="T6426" s="18" t="s">
        <v>41142</v>
      </c>
      <c r="U6426" s="18"/>
      <c r="V6426" s="18" t="s">
        <v>41143</v>
      </c>
      <c r="W6426" s="18" t="s">
        <v>41144</v>
      </c>
      <c r="X6426" s="18" t="s">
        <v>42</v>
      </c>
      <c r="Y6426" s="18" t="s">
        <v>12266</v>
      </c>
      <c r="Z6426" s="18" t="s">
        <v>26655</v>
      </c>
      <c r="AA6426" s="21" t="str">
        <f>HYPERLINK("https://www.ncbi.nlm.nih.gov/nuccore/MN582084","NCBI Nucleotide")</f>
        <v>NCBI Nucleotide</v>
      </c>
    </row>
    <row r="6427" spans="1:27" x14ac:dyDescent="0.35">
      <c r="A6427">
        <v>1025499</v>
      </c>
      <c r="B6427">
        <v>6130</v>
      </c>
      <c r="C6427">
        <v>1</v>
      </c>
      <c r="D6427" s="17" t="s">
        <v>10507</v>
      </c>
      <c r="E6427" s="17"/>
      <c r="F6427" s="17" t="s">
        <v>10780</v>
      </c>
      <c r="G6427" s="17"/>
      <c r="H6427" s="17" t="s">
        <v>12908</v>
      </c>
      <c r="I6427" s="17"/>
      <c r="J6427" s="17" t="s">
        <v>12909</v>
      </c>
      <c r="K6427" s="17"/>
      <c r="L6427" s="17" t="s">
        <v>41073</v>
      </c>
      <c r="M6427" s="17"/>
      <c r="N6427" s="17" t="s">
        <v>41074</v>
      </c>
      <c r="O6427" s="17"/>
      <c r="P6427" s="17" t="s">
        <v>41126</v>
      </c>
      <c r="Q6427" s="17"/>
      <c r="R6427" s="25" t="str">
        <f>HYPERLINK("https://ictv.global/taxonomy/taxondetails?taxnode_id=202318875","Ninurtavirus lawatis")</f>
        <v>Ninurtavirus lawatis</v>
      </c>
      <c r="S6427" s="18" t="s">
        <v>30</v>
      </c>
      <c r="T6427" s="18" t="s">
        <v>41145</v>
      </c>
      <c r="U6427" s="18"/>
      <c r="V6427" s="18" t="s">
        <v>41146</v>
      </c>
      <c r="W6427" s="18" t="s">
        <v>41147</v>
      </c>
      <c r="X6427" s="18" t="s">
        <v>42</v>
      </c>
      <c r="Y6427" s="18" t="s">
        <v>12266</v>
      </c>
      <c r="Z6427" s="18" t="s">
        <v>26655</v>
      </c>
      <c r="AA6427" s="21" t="str">
        <f>HYPERLINK("https://www.ncbi.nlm.nih.gov/nuccore/MW697516","NCBI Nucleotide")</f>
        <v>NCBI Nucleotide</v>
      </c>
    </row>
    <row r="6428" spans="1:27" x14ac:dyDescent="0.35">
      <c r="A6428">
        <v>1025500</v>
      </c>
      <c r="B6428">
        <v>6131</v>
      </c>
      <c r="C6428">
        <v>1</v>
      </c>
      <c r="D6428" s="17" t="s">
        <v>10507</v>
      </c>
      <c r="E6428" s="17"/>
      <c r="F6428" s="17" t="s">
        <v>10780</v>
      </c>
      <c r="G6428" s="17"/>
      <c r="H6428" s="17" t="s">
        <v>12908</v>
      </c>
      <c r="I6428" s="17"/>
      <c r="J6428" s="17" t="s">
        <v>12909</v>
      </c>
      <c r="K6428" s="17"/>
      <c r="L6428" s="17" t="s">
        <v>41073</v>
      </c>
      <c r="M6428" s="17"/>
      <c r="N6428" s="17" t="s">
        <v>41074</v>
      </c>
      <c r="O6428" s="17"/>
      <c r="P6428" s="17" t="s">
        <v>41126</v>
      </c>
      <c r="Q6428" s="17"/>
      <c r="R6428" s="25" t="str">
        <f>HYPERLINK("https://ictv.global/taxonomy/taxondetails?taxnode_id=202318890","Ninurtavirus lophus")</f>
        <v>Ninurtavirus lophus</v>
      </c>
      <c r="S6428" s="18" t="s">
        <v>30</v>
      </c>
      <c r="T6428" s="18" t="s">
        <v>41148</v>
      </c>
      <c r="U6428" s="18"/>
      <c r="V6428" s="18" t="s">
        <v>41149</v>
      </c>
      <c r="W6428" s="18" t="s">
        <v>41150</v>
      </c>
      <c r="X6428" s="18" t="s">
        <v>42</v>
      </c>
      <c r="Y6428" s="18" t="s">
        <v>12266</v>
      </c>
      <c r="Z6428" s="18" t="s">
        <v>166</v>
      </c>
      <c r="AA6428" s="21" t="str">
        <f>HYPERLINK("https://www.ncbi.nlm.nih.gov/nuccore/KJ641735","NCBI Nucleotide")</f>
        <v>NCBI Nucleotide</v>
      </c>
    </row>
    <row r="6429" spans="1:27" x14ac:dyDescent="0.35">
      <c r="A6429">
        <v>1025501</v>
      </c>
      <c r="B6429">
        <v>6132</v>
      </c>
      <c r="C6429">
        <v>1</v>
      </c>
      <c r="D6429" s="17" t="s">
        <v>10507</v>
      </c>
      <c r="E6429" s="17"/>
      <c r="F6429" s="17" t="s">
        <v>10780</v>
      </c>
      <c r="G6429" s="17"/>
      <c r="H6429" s="17" t="s">
        <v>12908</v>
      </c>
      <c r="I6429" s="17"/>
      <c r="J6429" s="17" t="s">
        <v>12909</v>
      </c>
      <c r="K6429" s="17"/>
      <c r="L6429" s="17" t="s">
        <v>41073</v>
      </c>
      <c r="M6429" s="17"/>
      <c r="N6429" s="17" t="s">
        <v>41074</v>
      </c>
      <c r="O6429" s="17"/>
      <c r="P6429" s="17" t="s">
        <v>41126</v>
      </c>
      <c r="Q6429" s="17"/>
      <c r="R6429" s="25" t="str">
        <f>HYPERLINK("https://ictv.global/taxonomy/taxondetails?taxnode_id=202318888","Ninurtavirus maringis")</f>
        <v>Ninurtavirus maringis</v>
      </c>
      <c r="S6429" s="18" t="s">
        <v>30</v>
      </c>
      <c r="T6429" s="18" t="s">
        <v>41151</v>
      </c>
      <c r="U6429" s="18"/>
      <c r="V6429" s="18" t="s">
        <v>41152</v>
      </c>
      <c r="W6429" s="18" t="s">
        <v>41153</v>
      </c>
      <c r="X6429" s="18" t="s">
        <v>42</v>
      </c>
      <c r="Y6429" s="18" t="s">
        <v>12266</v>
      </c>
      <c r="Z6429" s="18" t="s">
        <v>26655</v>
      </c>
      <c r="AA6429" s="21" t="str">
        <f>HYPERLINK("https://www.ncbi.nlm.nih.gov/nuccore/MW202638","NCBI Nucleotide")</f>
        <v>NCBI Nucleotide</v>
      </c>
    </row>
    <row r="6430" spans="1:27" x14ac:dyDescent="0.35">
      <c r="A6430">
        <v>1025502</v>
      </c>
      <c r="B6430">
        <v>6133</v>
      </c>
      <c r="C6430">
        <v>1</v>
      </c>
      <c r="D6430" s="17" t="s">
        <v>10507</v>
      </c>
      <c r="E6430" s="17"/>
      <c r="F6430" s="17" t="s">
        <v>10780</v>
      </c>
      <c r="G6430" s="17"/>
      <c r="H6430" s="17" t="s">
        <v>12908</v>
      </c>
      <c r="I6430" s="17"/>
      <c r="J6430" s="17" t="s">
        <v>12909</v>
      </c>
      <c r="K6430" s="17"/>
      <c r="L6430" s="17" t="s">
        <v>41073</v>
      </c>
      <c r="M6430" s="17"/>
      <c r="N6430" s="17" t="s">
        <v>41074</v>
      </c>
      <c r="O6430" s="17"/>
      <c r="P6430" s="17" t="s">
        <v>41126</v>
      </c>
      <c r="Q6430" s="17"/>
      <c r="R6430" s="25" t="str">
        <f>HYPERLINK("https://ictv.global/taxonomy/taxondetails?taxnode_id=202318878","Ninurtavirus mintis")</f>
        <v>Ninurtavirus mintis</v>
      </c>
      <c r="S6430" s="18" t="s">
        <v>30</v>
      </c>
      <c r="T6430" s="18" t="s">
        <v>41154</v>
      </c>
      <c r="U6430" s="18"/>
      <c r="V6430" s="18" t="s">
        <v>41155</v>
      </c>
      <c r="W6430" s="18" t="s">
        <v>41156</v>
      </c>
      <c r="X6430" s="18" t="s">
        <v>42</v>
      </c>
      <c r="Y6430" s="18" t="s">
        <v>12266</v>
      </c>
      <c r="Z6430" s="18" t="s">
        <v>166</v>
      </c>
      <c r="AA6430" s="21" t="str">
        <f>HYPERLINK("https://www.ncbi.nlm.nih.gov/nuccore/MK032730","NCBI Nucleotide")</f>
        <v>NCBI Nucleotide</v>
      </c>
    </row>
    <row r="6431" spans="1:27" x14ac:dyDescent="0.35">
      <c r="A6431">
        <v>1025503</v>
      </c>
      <c r="B6431">
        <v>6134</v>
      </c>
      <c r="C6431">
        <v>1</v>
      </c>
      <c r="D6431" s="17" t="s">
        <v>10507</v>
      </c>
      <c r="E6431" s="17"/>
      <c r="F6431" s="17" t="s">
        <v>10780</v>
      </c>
      <c r="G6431" s="17"/>
      <c r="H6431" s="17" t="s">
        <v>12908</v>
      </c>
      <c r="I6431" s="17"/>
      <c r="J6431" s="17" t="s">
        <v>12909</v>
      </c>
      <c r="K6431" s="17"/>
      <c r="L6431" s="17" t="s">
        <v>41073</v>
      </c>
      <c r="M6431" s="17"/>
      <c r="N6431" s="17" t="s">
        <v>41074</v>
      </c>
      <c r="O6431" s="17"/>
      <c r="P6431" s="17" t="s">
        <v>41126</v>
      </c>
      <c r="Q6431" s="17"/>
      <c r="R6431" s="25" t="str">
        <f>HYPERLINK("https://ictv.global/taxonomy/taxondetails?taxnode_id=202318880","Ninurtavirus momolo")</f>
        <v>Ninurtavirus momolo</v>
      </c>
      <c r="S6431" s="18" t="s">
        <v>30</v>
      </c>
      <c r="T6431" s="18" t="s">
        <v>41157</v>
      </c>
      <c r="U6431" s="18"/>
      <c r="V6431" s="18" t="s">
        <v>41158</v>
      </c>
      <c r="W6431" s="18" t="s">
        <v>41159</v>
      </c>
      <c r="X6431" s="18" t="s">
        <v>42</v>
      </c>
      <c r="Y6431" s="18" t="s">
        <v>12266</v>
      </c>
      <c r="Z6431" s="18" t="s">
        <v>166</v>
      </c>
      <c r="AA6431" s="21" t="str">
        <f>HYPERLINK("https://www.ncbi.nlm.nih.gov/nuccore/OL704855","NCBI Nucleotide")</f>
        <v>NCBI Nucleotide</v>
      </c>
    </row>
    <row r="6432" spans="1:27" x14ac:dyDescent="0.35">
      <c r="A6432">
        <v>1025504</v>
      </c>
      <c r="B6432">
        <v>6135</v>
      </c>
      <c r="C6432">
        <v>1</v>
      </c>
      <c r="D6432" s="17" t="s">
        <v>10507</v>
      </c>
      <c r="E6432" s="17"/>
      <c r="F6432" s="17" t="s">
        <v>10780</v>
      </c>
      <c r="G6432" s="17"/>
      <c r="H6432" s="17" t="s">
        <v>12908</v>
      </c>
      <c r="I6432" s="17"/>
      <c r="J6432" s="17" t="s">
        <v>12909</v>
      </c>
      <c r="K6432" s="17"/>
      <c r="L6432" s="17" t="s">
        <v>41073</v>
      </c>
      <c r="M6432" s="17"/>
      <c r="N6432" s="17" t="s">
        <v>41074</v>
      </c>
      <c r="O6432" s="17"/>
      <c r="P6432" s="17" t="s">
        <v>41126</v>
      </c>
      <c r="Q6432" s="17"/>
      <c r="R6432" s="25" t="str">
        <f>HYPERLINK("https://ictv.global/taxonomy/taxondetails?taxnode_id=202318873","Ninurtavirus muliumi")</f>
        <v>Ninurtavirus muliumi</v>
      </c>
      <c r="S6432" s="18" t="s">
        <v>30</v>
      </c>
      <c r="T6432" s="18" t="s">
        <v>41160</v>
      </c>
      <c r="U6432" s="18"/>
      <c r="V6432" s="18" t="s">
        <v>41161</v>
      </c>
      <c r="W6432" s="18" t="s">
        <v>41162</v>
      </c>
      <c r="X6432" s="18" t="s">
        <v>42</v>
      </c>
      <c r="Y6432" s="18" t="s">
        <v>12266</v>
      </c>
      <c r="Z6432" s="18" t="s">
        <v>10790</v>
      </c>
      <c r="AA6432" s="21" t="str">
        <f>HYPERLINK("https://www.ncbi.nlm.nih.gov/nuccore/MK433229","NCBI Nucleotide")</f>
        <v>NCBI Nucleotide</v>
      </c>
    </row>
    <row r="6433" spans="1:27" x14ac:dyDescent="0.35">
      <c r="A6433">
        <v>1025505</v>
      </c>
      <c r="B6433">
        <v>6136</v>
      </c>
      <c r="C6433">
        <v>1</v>
      </c>
      <c r="D6433" s="17" t="s">
        <v>10507</v>
      </c>
      <c r="E6433" s="17"/>
      <c r="F6433" s="17" t="s">
        <v>10780</v>
      </c>
      <c r="G6433" s="17"/>
      <c r="H6433" s="17" t="s">
        <v>12908</v>
      </c>
      <c r="I6433" s="17"/>
      <c r="J6433" s="17" t="s">
        <v>12909</v>
      </c>
      <c r="K6433" s="17"/>
      <c r="L6433" s="17" t="s">
        <v>41073</v>
      </c>
      <c r="M6433" s="17"/>
      <c r="N6433" s="17" t="s">
        <v>41074</v>
      </c>
      <c r="O6433" s="17"/>
      <c r="P6433" s="17" t="s">
        <v>41126</v>
      </c>
      <c r="Q6433" s="17"/>
      <c r="R6433" s="25" t="str">
        <f>HYPERLINK("https://ictv.global/taxonomy/taxondetails?taxnode_id=202318886","Ninurtavirus nowtis")</f>
        <v>Ninurtavirus nowtis</v>
      </c>
      <c r="S6433" s="18" t="s">
        <v>30</v>
      </c>
      <c r="T6433" s="18" t="s">
        <v>41163</v>
      </c>
      <c r="U6433" s="18"/>
      <c r="V6433" s="18" t="s">
        <v>41164</v>
      </c>
      <c r="W6433" s="18" t="s">
        <v>41165</v>
      </c>
      <c r="X6433" s="18" t="s">
        <v>42</v>
      </c>
      <c r="Y6433" s="18" t="s">
        <v>12266</v>
      </c>
      <c r="Z6433" s="18" t="s">
        <v>166</v>
      </c>
      <c r="AA6433" s="21" t="str">
        <f>HYPERLINK("https://www.ncbi.nlm.nih.gov/nuccore/MH616738","NCBI Nucleotide")</f>
        <v>NCBI Nucleotide</v>
      </c>
    </row>
    <row r="6434" spans="1:27" x14ac:dyDescent="0.35">
      <c r="A6434">
        <v>1025506</v>
      </c>
      <c r="B6434">
        <v>6137</v>
      </c>
      <c r="C6434">
        <v>1</v>
      </c>
      <c r="D6434" s="17" t="s">
        <v>10507</v>
      </c>
      <c r="E6434" s="17"/>
      <c r="F6434" s="17" t="s">
        <v>10780</v>
      </c>
      <c r="G6434" s="17"/>
      <c r="H6434" s="17" t="s">
        <v>12908</v>
      </c>
      <c r="I6434" s="17"/>
      <c r="J6434" s="17" t="s">
        <v>12909</v>
      </c>
      <c r="K6434" s="17"/>
      <c r="L6434" s="17" t="s">
        <v>41073</v>
      </c>
      <c r="M6434" s="17"/>
      <c r="N6434" s="17" t="s">
        <v>41074</v>
      </c>
      <c r="O6434" s="17"/>
      <c r="P6434" s="17" t="s">
        <v>41126</v>
      </c>
      <c r="Q6434" s="17"/>
      <c r="R6434" s="25" t="str">
        <f>HYPERLINK("https://ictv.global/taxonomy/taxondetails?taxnode_id=202318885","Ninurtavirus oceanis")</f>
        <v>Ninurtavirus oceanis</v>
      </c>
      <c r="S6434" s="18" t="s">
        <v>30</v>
      </c>
      <c r="T6434" s="18" t="s">
        <v>41166</v>
      </c>
      <c r="U6434" s="18"/>
      <c r="V6434" s="18" t="s">
        <v>41167</v>
      </c>
      <c r="W6434" s="18" t="s">
        <v>41168</v>
      </c>
      <c r="X6434" s="18" t="s">
        <v>42</v>
      </c>
      <c r="Y6434" s="18" t="s">
        <v>12266</v>
      </c>
      <c r="Z6434" s="18" t="s">
        <v>12916</v>
      </c>
      <c r="AA6434" s="21" t="str">
        <f>HYPERLINK("https://www.ncbi.nlm.nih.gov/nuccore/KF133825","NCBI Nucleotide")</f>
        <v>NCBI Nucleotide</v>
      </c>
    </row>
    <row r="6435" spans="1:27" x14ac:dyDescent="0.35">
      <c r="A6435">
        <v>1025507</v>
      </c>
      <c r="B6435">
        <v>6138</v>
      </c>
      <c r="C6435">
        <v>1</v>
      </c>
      <c r="D6435" s="17" t="s">
        <v>10507</v>
      </c>
      <c r="E6435" s="17"/>
      <c r="F6435" s="17" t="s">
        <v>10780</v>
      </c>
      <c r="G6435" s="17"/>
      <c r="H6435" s="17" t="s">
        <v>12908</v>
      </c>
      <c r="I6435" s="17"/>
      <c r="J6435" s="17" t="s">
        <v>12909</v>
      </c>
      <c r="K6435" s="17"/>
      <c r="L6435" s="17" t="s">
        <v>41073</v>
      </c>
      <c r="M6435" s="17"/>
      <c r="N6435" s="17" t="s">
        <v>41074</v>
      </c>
      <c r="O6435" s="17"/>
      <c r="P6435" s="17" t="s">
        <v>41126</v>
      </c>
      <c r="Q6435" s="17"/>
      <c r="R6435" s="25" t="str">
        <f>HYPERLINK("https://ictv.global/taxonomy/taxondetails?taxnode_id=202318887","Ninurtavirus particulae")</f>
        <v>Ninurtavirus particulae</v>
      </c>
      <c r="S6435" s="18" t="s">
        <v>30</v>
      </c>
      <c r="T6435" s="18" t="s">
        <v>41169</v>
      </c>
      <c r="U6435" s="18"/>
      <c r="V6435" s="18" t="s">
        <v>41170</v>
      </c>
      <c r="W6435" s="18" t="s">
        <v>41171</v>
      </c>
      <c r="X6435" s="18" t="s">
        <v>42</v>
      </c>
      <c r="Y6435" s="18" t="s">
        <v>12266</v>
      </c>
      <c r="Z6435" s="18" t="s">
        <v>40359</v>
      </c>
      <c r="AA6435" s="21" t="str">
        <f>HYPERLINK("https://www.ncbi.nlm.nih.gov/nuccore/MW678993","NCBI Nucleotide")</f>
        <v>NCBI Nucleotide</v>
      </c>
    </row>
    <row r="6436" spans="1:27" x14ac:dyDescent="0.35">
      <c r="A6436">
        <v>1025508</v>
      </c>
      <c r="B6436">
        <v>6139</v>
      </c>
      <c r="C6436">
        <v>1</v>
      </c>
      <c r="D6436" s="17" t="s">
        <v>10507</v>
      </c>
      <c r="E6436" s="17"/>
      <c r="F6436" s="17" t="s">
        <v>10780</v>
      </c>
      <c r="G6436" s="17"/>
      <c r="H6436" s="17" t="s">
        <v>12908</v>
      </c>
      <c r="I6436" s="17"/>
      <c r="J6436" s="17" t="s">
        <v>12909</v>
      </c>
      <c r="K6436" s="17"/>
      <c r="L6436" s="17" t="s">
        <v>41073</v>
      </c>
      <c r="M6436" s="17"/>
      <c r="N6436" s="17" t="s">
        <v>41074</v>
      </c>
      <c r="O6436" s="17"/>
      <c r="P6436" s="17" t="s">
        <v>41126</v>
      </c>
      <c r="Q6436" s="17"/>
      <c r="R6436" s="25" t="str">
        <f>HYPERLINK("https://ictv.global/taxonomy/taxondetails?taxnode_id=202318895","Ninurtavirus pintis")</f>
        <v>Ninurtavirus pintis</v>
      </c>
      <c r="S6436" s="18" t="s">
        <v>30</v>
      </c>
      <c r="T6436" s="18" t="s">
        <v>41172</v>
      </c>
      <c r="U6436" s="18"/>
      <c r="V6436" s="18" t="s">
        <v>41173</v>
      </c>
      <c r="W6436" s="18" t="s">
        <v>41174</v>
      </c>
      <c r="X6436" s="18" t="s">
        <v>42</v>
      </c>
      <c r="Y6436" s="18" t="s">
        <v>12266</v>
      </c>
      <c r="Z6436" s="18" t="s">
        <v>166</v>
      </c>
      <c r="AA6436" s="21" t="str">
        <f>HYPERLINK("https://www.ncbi.nlm.nih.gov/nuccore/MH616769","NCBI Nucleotide")</f>
        <v>NCBI Nucleotide</v>
      </c>
    </row>
    <row r="6437" spans="1:27" x14ac:dyDescent="0.35">
      <c r="A6437">
        <v>1025509</v>
      </c>
      <c r="B6437">
        <v>6140</v>
      </c>
      <c r="C6437">
        <v>1</v>
      </c>
      <c r="D6437" s="17" t="s">
        <v>10507</v>
      </c>
      <c r="E6437" s="17"/>
      <c r="F6437" s="17" t="s">
        <v>10780</v>
      </c>
      <c r="G6437" s="17"/>
      <c r="H6437" s="17" t="s">
        <v>12908</v>
      </c>
      <c r="I6437" s="17"/>
      <c r="J6437" s="17" t="s">
        <v>12909</v>
      </c>
      <c r="K6437" s="17"/>
      <c r="L6437" s="17" t="s">
        <v>41073</v>
      </c>
      <c r="M6437" s="17"/>
      <c r="N6437" s="17" t="s">
        <v>41074</v>
      </c>
      <c r="O6437" s="17"/>
      <c r="P6437" s="17" t="s">
        <v>41126</v>
      </c>
      <c r="Q6437" s="17"/>
      <c r="R6437" s="25" t="str">
        <f>HYPERLINK("https://ictv.global/taxonomy/taxondetails?taxnode_id=202318883","Ninurtavirus pondae")</f>
        <v>Ninurtavirus pondae</v>
      </c>
      <c r="S6437" s="18" t="s">
        <v>30</v>
      </c>
      <c r="T6437" s="18" t="s">
        <v>41175</v>
      </c>
      <c r="U6437" s="18"/>
      <c r="V6437" s="18" t="s">
        <v>41176</v>
      </c>
      <c r="W6437" s="18" t="s">
        <v>41177</v>
      </c>
      <c r="X6437" s="18" t="s">
        <v>42</v>
      </c>
      <c r="Y6437" s="18" t="s">
        <v>12266</v>
      </c>
      <c r="Z6437" s="18" t="s">
        <v>16726</v>
      </c>
      <c r="AA6437" s="21" t="str">
        <f>HYPERLINK("https://www.ncbi.nlm.nih.gov/nuccore/KJ547630","NCBI Nucleotide")</f>
        <v>NCBI Nucleotide</v>
      </c>
    </row>
    <row r="6438" spans="1:27" x14ac:dyDescent="0.35">
      <c r="A6438">
        <v>1025510</v>
      </c>
      <c r="B6438">
        <v>6141</v>
      </c>
      <c r="C6438">
        <v>1</v>
      </c>
      <c r="D6438" s="17" t="s">
        <v>10507</v>
      </c>
      <c r="E6438" s="17"/>
      <c r="F6438" s="17" t="s">
        <v>10780</v>
      </c>
      <c r="G6438" s="17"/>
      <c r="H6438" s="17" t="s">
        <v>12908</v>
      </c>
      <c r="I6438" s="17"/>
      <c r="J6438" s="17" t="s">
        <v>12909</v>
      </c>
      <c r="K6438" s="17"/>
      <c r="L6438" s="17" t="s">
        <v>41073</v>
      </c>
      <c r="M6438" s="17"/>
      <c r="N6438" s="17" t="s">
        <v>41074</v>
      </c>
      <c r="O6438" s="17"/>
      <c r="P6438" s="17" t="s">
        <v>41126</v>
      </c>
      <c r="Q6438" s="17"/>
      <c r="R6438" s="25" t="str">
        <f>HYPERLINK("https://ictv.global/taxonomy/taxondetails?taxnode_id=202318879","Ninurtavirus procoris")</f>
        <v>Ninurtavirus procoris</v>
      </c>
      <c r="S6438" s="18" t="s">
        <v>30</v>
      </c>
      <c r="T6438" s="18" t="s">
        <v>41178</v>
      </c>
      <c r="U6438" s="18"/>
      <c r="V6438" s="18" t="s">
        <v>41179</v>
      </c>
      <c r="W6438" s="18" t="s">
        <v>41180</v>
      </c>
      <c r="X6438" s="18" t="s">
        <v>42</v>
      </c>
      <c r="Y6438" s="18" t="s">
        <v>12266</v>
      </c>
      <c r="Z6438" s="18" t="s">
        <v>10790</v>
      </c>
      <c r="AA6438" s="21" t="str">
        <f>HYPERLINK("https://www.ncbi.nlm.nih.gov/nuccore/KF738873","NCBI Nucleotide")</f>
        <v>NCBI Nucleotide</v>
      </c>
    </row>
    <row r="6439" spans="1:27" x14ac:dyDescent="0.35">
      <c r="A6439">
        <v>1025511</v>
      </c>
      <c r="B6439">
        <v>6142</v>
      </c>
      <c r="C6439">
        <v>1</v>
      </c>
      <c r="D6439" s="17" t="s">
        <v>10507</v>
      </c>
      <c r="E6439" s="17"/>
      <c r="F6439" s="17" t="s">
        <v>10780</v>
      </c>
      <c r="G6439" s="17"/>
      <c r="H6439" s="17" t="s">
        <v>12908</v>
      </c>
      <c r="I6439" s="17"/>
      <c r="J6439" s="17" t="s">
        <v>12909</v>
      </c>
      <c r="K6439" s="17"/>
      <c r="L6439" s="17" t="s">
        <v>41073</v>
      </c>
      <c r="M6439" s="17"/>
      <c r="N6439" s="17" t="s">
        <v>41074</v>
      </c>
      <c r="O6439" s="17"/>
      <c r="P6439" s="17" t="s">
        <v>41126</v>
      </c>
      <c r="Q6439" s="17"/>
      <c r="R6439" s="25" t="str">
        <f>HYPERLINK("https://ictv.global/taxonomy/taxondetails?taxnode_id=202318892","Ninurtavirus raringis")</f>
        <v>Ninurtavirus raringis</v>
      </c>
      <c r="S6439" s="18" t="s">
        <v>30</v>
      </c>
      <c r="T6439" s="18" t="s">
        <v>41181</v>
      </c>
      <c r="U6439" s="18"/>
      <c r="V6439" s="18" t="s">
        <v>41182</v>
      </c>
      <c r="W6439" s="18" t="s">
        <v>41183</v>
      </c>
      <c r="X6439" s="18" t="s">
        <v>42</v>
      </c>
      <c r="Y6439" s="18" t="s">
        <v>12266</v>
      </c>
      <c r="Z6439" s="18" t="s">
        <v>26655</v>
      </c>
      <c r="AA6439" s="21" t="str">
        <f>HYPERLINK("https://www.ncbi.nlm.nih.gov/nuccore/MN582072","NCBI Nucleotide")</f>
        <v>NCBI Nucleotide</v>
      </c>
    </row>
    <row r="6440" spans="1:27" x14ac:dyDescent="0.35">
      <c r="A6440">
        <v>1025512</v>
      </c>
      <c r="B6440">
        <v>6143</v>
      </c>
      <c r="C6440">
        <v>1</v>
      </c>
      <c r="D6440" s="17" t="s">
        <v>10507</v>
      </c>
      <c r="E6440" s="17"/>
      <c r="F6440" s="17" t="s">
        <v>10780</v>
      </c>
      <c r="G6440" s="17"/>
      <c r="H6440" s="17" t="s">
        <v>12908</v>
      </c>
      <c r="I6440" s="17"/>
      <c r="J6440" s="17" t="s">
        <v>12909</v>
      </c>
      <c r="K6440" s="17"/>
      <c r="L6440" s="17" t="s">
        <v>41073</v>
      </c>
      <c r="M6440" s="17"/>
      <c r="N6440" s="17" t="s">
        <v>41074</v>
      </c>
      <c r="O6440" s="17"/>
      <c r="P6440" s="17" t="s">
        <v>41126</v>
      </c>
      <c r="Q6440" s="17"/>
      <c r="R6440" s="25" t="str">
        <f>HYPERLINK("https://ictv.global/taxonomy/taxondetails?taxnode_id=202318889","Ninurtavirus rhiphus")</f>
        <v>Ninurtavirus rhiphus</v>
      </c>
      <c r="S6440" s="18" t="s">
        <v>30</v>
      </c>
      <c r="T6440" s="18" t="s">
        <v>41184</v>
      </c>
      <c r="U6440" s="18"/>
      <c r="V6440" s="18" t="s">
        <v>41185</v>
      </c>
      <c r="W6440" s="18" t="s">
        <v>41186</v>
      </c>
      <c r="X6440" s="18" t="s">
        <v>42</v>
      </c>
      <c r="Y6440" s="18" t="s">
        <v>12266</v>
      </c>
      <c r="Z6440" s="18" t="s">
        <v>166</v>
      </c>
      <c r="AA6440" s="21" t="str">
        <f>HYPERLINK("https://www.ncbi.nlm.nih.gov/nuccore/KJ641736","NCBI Nucleotide")</f>
        <v>NCBI Nucleotide</v>
      </c>
    </row>
    <row r="6441" spans="1:27" x14ac:dyDescent="0.35">
      <c r="A6441">
        <v>1025513</v>
      </c>
      <c r="B6441">
        <v>6144</v>
      </c>
      <c r="C6441">
        <v>1</v>
      </c>
      <c r="D6441" s="17" t="s">
        <v>10507</v>
      </c>
      <c r="E6441" s="17"/>
      <c r="F6441" s="17" t="s">
        <v>10780</v>
      </c>
      <c r="G6441" s="17"/>
      <c r="H6441" s="17" t="s">
        <v>12908</v>
      </c>
      <c r="I6441" s="17"/>
      <c r="J6441" s="17" t="s">
        <v>12909</v>
      </c>
      <c r="K6441" s="17"/>
      <c r="L6441" s="17" t="s">
        <v>41073</v>
      </c>
      <c r="M6441" s="17"/>
      <c r="N6441" s="17" t="s">
        <v>41074</v>
      </c>
      <c r="O6441" s="17"/>
      <c r="P6441" s="17" t="s">
        <v>41126</v>
      </c>
      <c r="Q6441" s="17"/>
      <c r="R6441" s="25" t="str">
        <f>HYPERLINK("https://ictv.global/taxonomy/taxondetails?taxnode_id=202318881","Ninurtavirus sewoxi")</f>
        <v>Ninurtavirus sewoxi</v>
      </c>
      <c r="S6441" s="18" t="s">
        <v>30</v>
      </c>
      <c r="T6441" s="18" t="s">
        <v>41187</v>
      </c>
      <c r="U6441" s="18"/>
      <c r="V6441" s="18" t="s">
        <v>41188</v>
      </c>
      <c r="W6441" s="18" t="s">
        <v>41189</v>
      </c>
      <c r="X6441" s="18" t="s">
        <v>42</v>
      </c>
      <c r="Y6441" s="18" t="s">
        <v>12266</v>
      </c>
      <c r="Z6441" s="18" t="s">
        <v>16726</v>
      </c>
      <c r="AA6441" s="21" t="str">
        <f>HYPERLINK("https://www.ncbi.nlm.nih.gov/nuccore/KM821762","NCBI Nucleotide")</f>
        <v>NCBI Nucleotide</v>
      </c>
    </row>
    <row r="6442" spans="1:27" x14ac:dyDescent="0.35">
      <c r="A6442">
        <v>1025514</v>
      </c>
      <c r="B6442">
        <v>6145</v>
      </c>
      <c r="C6442">
        <v>1</v>
      </c>
      <c r="D6442" s="17" t="s">
        <v>10507</v>
      </c>
      <c r="E6442" s="17"/>
      <c r="F6442" s="17" t="s">
        <v>10780</v>
      </c>
      <c r="G6442" s="17"/>
      <c r="H6442" s="17" t="s">
        <v>12908</v>
      </c>
      <c r="I6442" s="17"/>
      <c r="J6442" s="17" t="s">
        <v>12909</v>
      </c>
      <c r="K6442" s="17"/>
      <c r="L6442" s="17" t="s">
        <v>41073</v>
      </c>
      <c r="M6442" s="17"/>
      <c r="N6442" s="17" t="s">
        <v>41074</v>
      </c>
      <c r="O6442" s="17"/>
      <c r="P6442" s="17" t="s">
        <v>41126</v>
      </c>
      <c r="Q6442" s="17"/>
      <c r="R6442" s="25" t="str">
        <f>HYPERLINK("https://ictv.global/taxonomy/taxondetails?taxnode_id=202318893","Ninurtavirus tersae")</f>
        <v>Ninurtavirus tersae</v>
      </c>
      <c r="S6442" s="18" t="s">
        <v>30</v>
      </c>
      <c r="T6442" s="18" t="s">
        <v>41190</v>
      </c>
      <c r="U6442" s="18"/>
      <c r="V6442" s="18" t="s">
        <v>41191</v>
      </c>
      <c r="W6442" s="18" t="s">
        <v>41192</v>
      </c>
      <c r="X6442" s="18" t="s">
        <v>42</v>
      </c>
      <c r="Y6442" s="18" t="s">
        <v>12266</v>
      </c>
      <c r="Z6442" s="18" t="s">
        <v>26655</v>
      </c>
      <c r="AA6442" s="21" t="str">
        <f>HYPERLINK("https://www.ncbi.nlm.nih.gov/nuccore/MW697552","NCBI Nucleotide")</f>
        <v>NCBI Nucleotide</v>
      </c>
    </row>
    <row r="6443" spans="1:27" x14ac:dyDescent="0.35">
      <c r="A6443">
        <v>1025515</v>
      </c>
      <c r="B6443">
        <v>6146</v>
      </c>
      <c r="C6443">
        <v>1</v>
      </c>
      <c r="D6443" s="17" t="s">
        <v>10507</v>
      </c>
      <c r="E6443" s="17"/>
      <c r="F6443" s="17" t="s">
        <v>10780</v>
      </c>
      <c r="G6443" s="17"/>
      <c r="H6443" s="17" t="s">
        <v>12908</v>
      </c>
      <c r="I6443" s="17"/>
      <c r="J6443" s="17" t="s">
        <v>12909</v>
      </c>
      <c r="K6443" s="17"/>
      <c r="L6443" s="17" t="s">
        <v>41073</v>
      </c>
      <c r="M6443" s="17"/>
      <c r="N6443" s="17" t="s">
        <v>41074</v>
      </c>
      <c r="O6443" s="17"/>
      <c r="P6443" s="17" t="s">
        <v>41126</v>
      </c>
      <c r="Q6443" s="17"/>
      <c r="R6443" s="25" t="str">
        <f>HYPERLINK("https://ictv.global/taxonomy/taxondetails?taxnode_id=202318884","Ninurtavirus wagopi")</f>
        <v>Ninurtavirus wagopi</v>
      </c>
      <c r="S6443" s="18" t="s">
        <v>30</v>
      </c>
      <c r="T6443" s="18" t="s">
        <v>41193</v>
      </c>
      <c r="U6443" s="18"/>
      <c r="V6443" s="18" t="s">
        <v>41194</v>
      </c>
      <c r="W6443" s="18" t="s">
        <v>41195</v>
      </c>
      <c r="X6443" s="18" t="s">
        <v>42</v>
      </c>
      <c r="Y6443" s="18" t="s">
        <v>12266</v>
      </c>
      <c r="Z6443" s="18" t="s">
        <v>16726</v>
      </c>
      <c r="AA6443" s="21" t="str">
        <f>HYPERLINK("https://www.ncbi.nlm.nih.gov/nuccore/KJ547631","NCBI Nucleotide")</f>
        <v>NCBI Nucleotide</v>
      </c>
    </row>
    <row r="6444" spans="1:27" x14ac:dyDescent="0.35">
      <c r="A6444">
        <v>1025516</v>
      </c>
      <c r="B6444">
        <v>6147</v>
      </c>
      <c r="C6444">
        <v>1</v>
      </c>
      <c r="D6444" s="17" t="s">
        <v>10507</v>
      </c>
      <c r="E6444" s="17"/>
      <c r="F6444" s="17" t="s">
        <v>10780</v>
      </c>
      <c r="G6444" s="17"/>
      <c r="H6444" s="17" t="s">
        <v>12908</v>
      </c>
      <c r="I6444" s="17"/>
      <c r="J6444" s="17" t="s">
        <v>12909</v>
      </c>
      <c r="K6444" s="17"/>
      <c r="L6444" s="17" t="s">
        <v>41073</v>
      </c>
      <c r="M6444" s="17"/>
      <c r="N6444" s="17" t="s">
        <v>41074</v>
      </c>
      <c r="O6444" s="17"/>
      <c r="P6444" s="17" t="s">
        <v>41126</v>
      </c>
      <c r="Q6444" s="17"/>
      <c r="R6444" s="25" t="str">
        <f>HYPERLINK("https://ictv.global/taxonomy/taxondetails?taxnode_id=202318882","Ninurtavirus waseris")</f>
        <v>Ninurtavirus waseris</v>
      </c>
      <c r="S6444" s="18" t="s">
        <v>30</v>
      </c>
      <c r="T6444" s="18" t="s">
        <v>41196</v>
      </c>
      <c r="U6444" s="18"/>
      <c r="V6444" s="18" t="s">
        <v>41197</v>
      </c>
      <c r="W6444" s="18" t="s">
        <v>41198</v>
      </c>
      <c r="X6444" s="18" t="s">
        <v>42</v>
      </c>
      <c r="Y6444" s="18" t="s">
        <v>12266</v>
      </c>
      <c r="Z6444" s="18" t="s">
        <v>16726</v>
      </c>
      <c r="AA6444" s="21" t="str">
        <f>HYPERLINK("https://www.ncbi.nlm.nih.gov/nuccore/KY487776","NCBI Nucleotide")</f>
        <v>NCBI Nucleotide</v>
      </c>
    </row>
    <row r="6445" spans="1:27" x14ac:dyDescent="0.35">
      <c r="A6445">
        <v>1025527</v>
      </c>
      <c r="B6445">
        <v>6148</v>
      </c>
      <c r="C6445">
        <v>1</v>
      </c>
      <c r="D6445" s="17" t="s">
        <v>10507</v>
      </c>
      <c r="E6445" s="17"/>
      <c r="F6445" s="17" t="s">
        <v>10780</v>
      </c>
      <c r="G6445" s="17"/>
      <c r="H6445" s="17" t="s">
        <v>12908</v>
      </c>
      <c r="I6445" s="17"/>
      <c r="J6445" s="17" t="s">
        <v>12909</v>
      </c>
      <c r="K6445" s="17"/>
      <c r="L6445" s="17" t="s">
        <v>41073</v>
      </c>
      <c r="M6445" s="17"/>
      <c r="N6445" s="17" t="s">
        <v>41074</v>
      </c>
      <c r="O6445" s="17"/>
      <c r="P6445" s="17" t="s">
        <v>41199</v>
      </c>
      <c r="Q6445" s="17"/>
      <c r="R6445" s="25" t="str">
        <f>HYPERLINK("https://ictv.global/taxonomy/taxondetails?taxnode_id=202318897","Phainonvirus cryonitae")</f>
        <v>Phainonvirus cryonitae</v>
      </c>
      <c r="S6445" s="18" t="s">
        <v>30</v>
      </c>
      <c r="T6445" s="18" t="s">
        <v>41200</v>
      </c>
      <c r="U6445" s="18"/>
      <c r="V6445" s="18" t="s">
        <v>41201</v>
      </c>
      <c r="W6445" s="18" t="s">
        <v>41202</v>
      </c>
      <c r="X6445" s="18" t="s">
        <v>42</v>
      </c>
      <c r="Y6445" s="18" t="s">
        <v>12266</v>
      </c>
      <c r="Z6445" s="18" t="s">
        <v>26655</v>
      </c>
      <c r="AA6445" s="21" t="str">
        <f>HYPERLINK("https://www.ncbi.nlm.nih.gov/nuccore/MN328267","NCBI Nucleotide")</f>
        <v>NCBI Nucleotide</v>
      </c>
    </row>
    <row r="6446" spans="1:27" x14ac:dyDescent="0.35">
      <c r="A6446">
        <v>1025528</v>
      </c>
      <c r="B6446">
        <v>6149</v>
      </c>
      <c r="C6446">
        <v>1</v>
      </c>
      <c r="D6446" s="17" t="s">
        <v>10507</v>
      </c>
      <c r="E6446" s="17"/>
      <c r="F6446" s="17" t="s">
        <v>10780</v>
      </c>
      <c r="G6446" s="17"/>
      <c r="H6446" s="17" t="s">
        <v>12908</v>
      </c>
      <c r="I6446" s="17"/>
      <c r="J6446" s="17" t="s">
        <v>12909</v>
      </c>
      <c r="K6446" s="17"/>
      <c r="L6446" s="17" t="s">
        <v>41073</v>
      </c>
      <c r="M6446" s="17"/>
      <c r="N6446" s="17" t="s">
        <v>41074</v>
      </c>
      <c r="O6446" s="17"/>
      <c r="P6446" s="17" t="s">
        <v>41199</v>
      </c>
      <c r="Q6446" s="17"/>
      <c r="R6446" s="25" t="str">
        <f>HYPERLINK("https://ictv.global/taxonomy/taxondetails?taxnode_id=202318898","Phainonvirus hydris")</f>
        <v>Phainonvirus hydris</v>
      </c>
      <c r="S6446" s="18" t="s">
        <v>30</v>
      </c>
      <c r="T6446" s="18" t="s">
        <v>41203</v>
      </c>
      <c r="U6446" s="18"/>
      <c r="V6446" s="18" t="s">
        <v>41204</v>
      </c>
      <c r="W6446" s="18" t="s">
        <v>41205</v>
      </c>
      <c r="X6446" s="18" t="s">
        <v>42</v>
      </c>
      <c r="Y6446" s="18" t="s">
        <v>12266</v>
      </c>
      <c r="Z6446" s="18" t="s">
        <v>166</v>
      </c>
      <c r="AA6446" s="21" t="str">
        <f>HYPERLINK("https://www.ncbi.nlm.nih.gov/nuccore/MK570195","NCBI Nucleotide")</f>
        <v>NCBI Nucleotide</v>
      </c>
    </row>
    <row r="6447" spans="1:27" x14ac:dyDescent="0.35">
      <c r="A6447">
        <v>1025529</v>
      </c>
      <c r="B6447">
        <v>6150</v>
      </c>
      <c r="C6447">
        <v>1</v>
      </c>
      <c r="D6447" s="17" t="s">
        <v>10507</v>
      </c>
      <c r="E6447" s="17"/>
      <c r="F6447" s="17" t="s">
        <v>10780</v>
      </c>
      <c r="G6447" s="17"/>
      <c r="H6447" s="17" t="s">
        <v>12908</v>
      </c>
      <c r="I6447" s="17"/>
      <c r="J6447" s="17" t="s">
        <v>12909</v>
      </c>
      <c r="K6447" s="17"/>
      <c r="L6447" s="17" t="s">
        <v>41073</v>
      </c>
      <c r="M6447" s="17"/>
      <c r="N6447" s="17" t="s">
        <v>41074</v>
      </c>
      <c r="O6447" s="17"/>
      <c r="P6447" s="17" t="s">
        <v>41199</v>
      </c>
      <c r="Q6447" s="17"/>
      <c r="R6447" s="25" t="str">
        <f>HYPERLINK("https://ictv.global/taxonomy/taxondetails?taxnode_id=202318899","Phainonvirus libraris")</f>
        <v>Phainonvirus libraris</v>
      </c>
      <c r="S6447" s="18" t="s">
        <v>30</v>
      </c>
      <c r="T6447" s="18" t="s">
        <v>41206</v>
      </c>
      <c r="U6447" s="18"/>
      <c r="V6447" s="18" t="s">
        <v>41207</v>
      </c>
      <c r="W6447" s="18" t="s">
        <v>41208</v>
      </c>
      <c r="X6447" s="18" t="s">
        <v>42</v>
      </c>
      <c r="Y6447" s="18" t="s">
        <v>12266</v>
      </c>
      <c r="Z6447" s="18" t="s">
        <v>41209</v>
      </c>
      <c r="AA6447" s="21" t="str">
        <f>HYPERLINK("https://www.ncbi.nlm.nih.gov/nuccore/LC671626","NCBI Nucleotide")</f>
        <v>NCBI Nucleotide</v>
      </c>
    </row>
    <row r="6448" spans="1:27" x14ac:dyDescent="0.35">
      <c r="A6448">
        <v>1025480</v>
      </c>
      <c r="B6448">
        <v>6151</v>
      </c>
      <c r="C6448">
        <v>1</v>
      </c>
      <c r="D6448" s="17" t="s">
        <v>10507</v>
      </c>
      <c r="E6448" s="17"/>
      <c r="F6448" s="17" t="s">
        <v>10780</v>
      </c>
      <c r="G6448" s="17"/>
      <c r="H6448" s="17" t="s">
        <v>12908</v>
      </c>
      <c r="I6448" s="17"/>
      <c r="J6448" s="17" t="s">
        <v>12909</v>
      </c>
      <c r="K6448" s="17"/>
      <c r="L6448" s="17" t="s">
        <v>41073</v>
      </c>
      <c r="M6448" s="17"/>
      <c r="N6448" s="17" t="s">
        <v>41074</v>
      </c>
      <c r="O6448" s="17"/>
      <c r="P6448" s="17" t="s">
        <v>41210</v>
      </c>
      <c r="Q6448" s="17"/>
      <c r="R6448" s="25" t="str">
        <f>HYPERLINK("https://ictv.global/taxonomy/taxondetails?taxnode_id=202318900","Raagevirus napperis")</f>
        <v>Raagevirus napperis</v>
      </c>
      <c r="S6448" s="18" t="s">
        <v>30</v>
      </c>
      <c r="T6448" s="18" t="s">
        <v>41211</v>
      </c>
      <c r="U6448" s="18"/>
      <c r="V6448" s="18" t="s">
        <v>41212</v>
      </c>
      <c r="W6448" s="18" t="s">
        <v>41213</v>
      </c>
      <c r="X6448" s="18" t="s">
        <v>42</v>
      </c>
      <c r="Y6448" s="18" t="s">
        <v>12266</v>
      </c>
      <c r="Z6448" s="18" t="s">
        <v>166</v>
      </c>
      <c r="AA6448" s="21" t="str">
        <f>HYPERLINK("https://www.ncbi.nlm.nih.gov/nuccore/MH617563","NCBI Nucleotide")</f>
        <v>NCBI Nucleotide</v>
      </c>
    </row>
    <row r="6449" spans="1:27" x14ac:dyDescent="0.35">
      <c r="A6449">
        <v>1025458</v>
      </c>
      <c r="B6449">
        <v>6152</v>
      </c>
      <c r="C6449">
        <v>1</v>
      </c>
      <c r="D6449" s="17" t="s">
        <v>10507</v>
      </c>
      <c r="E6449" s="17"/>
      <c r="F6449" s="17" t="s">
        <v>10780</v>
      </c>
      <c r="G6449" s="17"/>
      <c r="H6449" s="17" t="s">
        <v>12908</v>
      </c>
      <c r="I6449" s="17"/>
      <c r="J6449" s="17" t="s">
        <v>12909</v>
      </c>
      <c r="K6449" s="17"/>
      <c r="L6449" s="17" t="s">
        <v>41073</v>
      </c>
      <c r="M6449" s="17"/>
      <c r="N6449" s="17" t="s">
        <v>41074</v>
      </c>
      <c r="O6449" s="17"/>
      <c r="P6449" s="17" t="s">
        <v>41214</v>
      </c>
      <c r="Q6449" s="17"/>
      <c r="R6449" s="25" t="str">
        <f>HYPERLINK("https://ictv.global/taxonomy/taxondetails?taxnode_id=202318901","Sadornvirus chesapis")</f>
        <v>Sadornvirus chesapis</v>
      </c>
      <c r="S6449" s="18" t="s">
        <v>30</v>
      </c>
      <c r="T6449" s="18" t="s">
        <v>41215</v>
      </c>
      <c r="U6449" s="18"/>
      <c r="V6449" s="18" t="s">
        <v>41216</v>
      </c>
      <c r="W6449" s="18" t="s">
        <v>41217</v>
      </c>
      <c r="X6449" s="18" t="s">
        <v>42</v>
      </c>
      <c r="Y6449" s="18" t="s">
        <v>12266</v>
      </c>
      <c r="Z6449" s="18" t="s">
        <v>12916</v>
      </c>
      <c r="AA6449" s="21" t="str">
        <f>HYPERLINK("https://www.ncbi.nlm.nih.gov/nuccore/FJ959083","NCBI Nucleotide")</f>
        <v>NCBI Nucleotide</v>
      </c>
    </row>
    <row r="6450" spans="1:27" x14ac:dyDescent="0.35">
      <c r="A6450">
        <v>1025462</v>
      </c>
      <c r="B6450">
        <v>6153</v>
      </c>
      <c r="C6450">
        <v>1</v>
      </c>
      <c r="D6450" s="17" t="s">
        <v>10507</v>
      </c>
      <c r="E6450" s="17"/>
      <c r="F6450" s="17" t="s">
        <v>10780</v>
      </c>
      <c r="G6450" s="17"/>
      <c r="H6450" s="17" t="s">
        <v>12908</v>
      </c>
      <c r="I6450" s="17"/>
      <c r="J6450" s="17" t="s">
        <v>12909</v>
      </c>
      <c r="K6450" s="17"/>
      <c r="L6450" s="17" t="s">
        <v>41073</v>
      </c>
      <c r="M6450" s="17"/>
      <c r="N6450" s="17" t="s">
        <v>41074</v>
      </c>
      <c r="O6450" s="17"/>
      <c r="P6450" s="17" t="s">
        <v>41218</v>
      </c>
      <c r="Q6450" s="17"/>
      <c r="R6450" s="25" t="str">
        <f>HYPERLINK("https://ictv.global/taxonomy/taxondetails?taxnode_id=202318903","Sagusvirus crownis")</f>
        <v>Sagusvirus crownis</v>
      </c>
      <c r="S6450" s="18" t="s">
        <v>30</v>
      </c>
      <c r="T6450" s="18" t="s">
        <v>41219</v>
      </c>
      <c r="U6450" s="18"/>
      <c r="V6450" s="18" t="s">
        <v>41220</v>
      </c>
      <c r="W6450" s="18" t="s">
        <v>41221</v>
      </c>
      <c r="X6450" s="18" t="s">
        <v>42</v>
      </c>
      <c r="Y6450" s="18" t="s">
        <v>12266</v>
      </c>
      <c r="Z6450" s="18" t="s">
        <v>166</v>
      </c>
      <c r="AA6450" s="21" t="str">
        <f>HYPERLINK("https://www.ncbi.nlm.nih.gov/nuccore/KY312554","NCBI Nucleotide")</f>
        <v>NCBI Nucleotide</v>
      </c>
    </row>
    <row r="6451" spans="1:27" x14ac:dyDescent="0.35">
      <c r="A6451">
        <v>1025463</v>
      </c>
      <c r="B6451">
        <v>6154</v>
      </c>
      <c r="C6451">
        <v>1</v>
      </c>
      <c r="D6451" s="17" t="s">
        <v>10507</v>
      </c>
      <c r="E6451" s="17"/>
      <c r="F6451" s="17" t="s">
        <v>10780</v>
      </c>
      <c r="G6451" s="17"/>
      <c r="H6451" s="17" t="s">
        <v>12908</v>
      </c>
      <c r="I6451" s="17"/>
      <c r="J6451" s="17" t="s">
        <v>12909</v>
      </c>
      <c r="K6451" s="17"/>
      <c r="L6451" s="17" t="s">
        <v>41073</v>
      </c>
      <c r="M6451" s="17"/>
      <c r="N6451" s="17" t="s">
        <v>41074</v>
      </c>
      <c r="O6451" s="17"/>
      <c r="P6451" s="17" t="s">
        <v>41218</v>
      </c>
      <c r="Q6451" s="17"/>
      <c r="R6451" s="25" t="str">
        <f>HYPERLINK("https://ictv.global/taxonomy/taxondetails?taxnode_id=202318902","Sagusvirus jaringis")</f>
        <v>Sagusvirus jaringis</v>
      </c>
      <c r="S6451" s="18" t="s">
        <v>30</v>
      </c>
      <c r="T6451" s="18" t="s">
        <v>41222</v>
      </c>
      <c r="U6451" s="18"/>
      <c r="V6451" s="18" t="s">
        <v>41223</v>
      </c>
      <c r="W6451" s="18" t="s">
        <v>41224</v>
      </c>
      <c r="X6451" s="18" t="s">
        <v>42</v>
      </c>
      <c r="Y6451" s="18" t="s">
        <v>12266</v>
      </c>
      <c r="Z6451" s="18" t="s">
        <v>26655</v>
      </c>
      <c r="AA6451" s="21" t="str">
        <f>HYPERLINK("https://www.ncbi.nlm.nih.gov/nuccore/MN582110","NCBI Nucleotide")</f>
        <v>NCBI Nucleotide</v>
      </c>
    </row>
    <row r="6452" spans="1:27" x14ac:dyDescent="0.35">
      <c r="A6452">
        <v>1025464</v>
      </c>
      <c r="B6452">
        <v>6155</v>
      </c>
      <c r="C6452">
        <v>1</v>
      </c>
      <c r="D6452" s="17" t="s">
        <v>10507</v>
      </c>
      <c r="E6452" s="17"/>
      <c r="F6452" s="17" t="s">
        <v>10780</v>
      </c>
      <c r="G6452" s="17"/>
      <c r="H6452" s="17" t="s">
        <v>12908</v>
      </c>
      <c r="I6452" s="17"/>
      <c r="J6452" s="17" t="s">
        <v>12909</v>
      </c>
      <c r="K6452" s="17"/>
      <c r="L6452" s="17" t="s">
        <v>41073</v>
      </c>
      <c r="M6452" s="17"/>
      <c r="N6452" s="17" t="s">
        <v>41074</v>
      </c>
      <c r="O6452" s="17"/>
      <c r="P6452" s="17" t="s">
        <v>41225</v>
      </c>
      <c r="Q6452" s="17"/>
      <c r="R6452" s="25" t="str">
        <f>HYPERLINK("https://ictv.global/taxonomy/taxondetails?taxnode_id=202318906","Sakkuthvirus batchis")</f>
        <v>Sakkuthvirus batchis</v>
      </c>
      <c r="S6452" s="18" t="s">
        <v>30</v>
      </c>
      <c r="T6452" s="18" t="s">
        <v>41226</v>
      </c>
      <c r="U6452" s="18"/>
      <c r="V6452" s="18" t="s">
        <v>41227</v>
      </c>
      <c r="W6452" s="18" t="s">
        <v>41228</v>
      </c>
      <c r="X6452" s="18" t="s">
        <v>42</v>
      </c>
      <c r="Y6452" s="18" t="s">
        <v>12266</v>
      </c>
      <c r="Z6452" s="18" t="s">
        <v>166</v>
      </c>
      <c r="AA6452" s="21" t="str">
        <f>HYPERLINK("https://www.ncbi.nlm.nih.gov/nuccore/JF938078","NCBI Nucleotide")</f>
        <v>NCBI Nucleotide</v>
      </c>
    </row>
    <row r="6453" spans="1:27" x14ac:dyDescent="0.35">
      <c r="A6453">
        <v>1025465</v>
      </c>
      <c r="B6453">
        <v>6156</v>
      </c>
      <c r="C6453">
        <v>1</v>
      </c>
      <c r="D6453" s="17" t="s">
        <v>10507</v>
      </c>
      <c r="E6453" s="17"/>
      <c r="F6453" s="17" t="s">
        <v>10780</v>
      </c>
      <c r="G6453" s="17"/>
      <c r="H6453" s="17" t="s">
        <v>12908</v>
      </c>
      <c r="I6453" s="17"/>
      <c r="J6453" s="17" t="s">
        <v>12909</v>
      </c>
      <c r="K6453" s="17"/>
      <c r="L6453" s="17" t="s">
        <v>41073</v>
      </c>
      <c r="M6453" s="17"/>
      <c r="N6453" s="17" t="s">
        <v>41074</v>
      </c>
      <c r="O6453" s="17"/>
      <c r="P6453" s="17" t="s">
        <v>41225</v>
      </c>
      <c r="Q6453" s="17"/>
      <c r="R6453" s="25" t="str">
        <f>HYPERLINK("https://ictv.global/taxonomy/taxondetails?taxnode_id=202318908","Sakkuthvirus culiziae")</f>
        <v>Sakkuthvirus culiziae</v>
      </c>
      <c r="S6453" s="18" t="s">
        <v>30</v>
      </c>
      <c r="T6453" s="18" t="s">
        <v>41229</v>
      </c>
      <c r="U6453" s="18"/>
      <c r="V6453" s="18" t="s">
        <v>41230</v>
      </c>
      <c r="W6453" s="18" t="s">
        <v>41231</v>
      </c>
      <c r="X6453" s="18" t="s">
        <v>42</v>
      </c>
      <c r="Y6453" s="18" t="s">
        <v>12266</v>
      </c>
      <c r="Z6453" s="18" t="s">
        <v>10790</v>
      </c>
      <c r="AA6453" s="21" t="str">
        <f>HYPERLINK("https://www.ncbi.nlm.nih.gov/nuccore/KP153500","NCBI Nucleotide")</f>
        <v>NCBI Nucleotide</v>
      </c>
    </row>
    <row r="6454" spans="1:27" x14ac:dyDescent="0.35">
      <c r="A6454">
        <v>1025466</v>
      </c>
      <c r="B6454">
        <v>6157</v>
      </c>
      <c r="C6454">
        <v>1</v>
      </c>
      <c r="D6454" s="17" t="s">
        <v>10507</v>
      </c>
      <c r="E6454" s="17"/>
      <c r="F6454" s="17" t="s">
        <v>10780</v>
      </c>
      <c r="G6454" s="17"/>
      <c r="H6454" s="17" t="s">
        <v>12908</v>
      </c>
      <c r="I6454" s="17"/>
      <c r="J6454" s="17" t="s">
        <v>12909</v>
      </c>
      <c r="K6454" s="17"/>
      <c r="L6454" s="17" t="s">
        <v>41073</v>
      </c>
      <c r="M6454" s="17"/>
      <c r="N6454" s="17" t="s">
        <v>41074</v>
      </c>
      <c r="O6454" s="17"/>
      <c r="P6454" s="17" t="s">
        <v>41225</v>
      </c>
      <c r="Q6454" s="17"/>
      <c r="R6454" s="25" t="str">
        <f>HYPERLINK("https://ictv.global/taxonomy/taxondetails?taxnode_id=202318907","Sakkuthvirus donghis")</f>
        <v>Sakkuthvirus donghis</v>
      </c>
      <c r="S6454" s="18" t="s">
        <v>30</v>
      </c>
      <c r="T6454" s="18" t="s">
        <v>41232</v>
      </c>
      <c r="U6454" s="18"/>
      <c r="V6454" s="18" t="s">
        <v>41233</v>
      </c>
      <c r="W6454" s="18" t="s">
        <v>41234</v>
      </c>
      <c r="X6454" s="18" t="s">
        <v>42</v>
      </c>
      <c r="Y6454" s="18" t="s">
        <v>12266</v>
      </c>
      <c r="Z6454" s="18" t="s">
        <v>26655</v>
      </c>
      <c r="AA6454" s="21" t="str">
        <f>HYPERLINK("https://www.ncbi.nlm.nih.gov/nuccore/KT149408","NCBI Nucleotide")</f>
        <v>NCBI Nucleotide</v>
      </c>
    </row>
    <row r="6455" spans="1:27" x14ac:dyDescent="0.35">
      <c r="A6455">
        <v>1025467</v>
      </c>
      <c r="B6455">
        <v>6158</v>
      </c>
      <c r="C6455">
        <v>1</v>
      </c>
      <c r="D6455" s="17" t="s">
        <v>10507</v>
      </c>
      <c r="E6455" s="17"/>
      <c r="F6455" s="17" t="s">
        <v>10780</v>
      </c>
      <c r="G6455" s="17"/>
      <c r="H6455" s="17" t="s">
        <v>12908</v>
      </c>
      <c r="I6455" s="17"/>
      <c r="J6455" s="17" t="s">
        <v>12909</v>
      </c>
      <c r="K6455" s="17"/>
      <c r="L6455" s="17" t="s">
        <v>41073</v>
      </c>
      <c r="M6455" s="17"/>
      <c r="N6455" s="17" t="s">
        <v>41074</v>
      </c>
      <c r="O6455" s="17"/>
      <c r="P6455" s="17" t="s">
        <v>41225</v>
      </c>
      <c r="Q6455" s="17"/>
      <c r="R6455" s="25" t="str">
        <f>HYPERLINK("https://ictv.global/taxonomy/taxondetails?taxnode_id=202318905","Sakkuthvirus napperis")</f>
        <v>Sakkuthvirus napperis</v>
      </c>
      <c r="S6455" s="18" t="s">
        <v>30</v>
      </c>
      <c r="T6455" s="18" t="s">
        <v>41235</v>
      </c>
      <c r="U6455" s="18"/>
      <c r="V6455" s="18" t="s">
        <v>41236</v>
      </c>
      <c r="W6455" s="18" t="s">
        <v>41237</v>
      </c>
      <c r="X6455" s="18" t="s">
        <v>42</v>
      </c>
      <c r="Y6455" s="18" t="s">
        <v>12266</v>
      </c>
      <c r="Z6455" s="18" t="s">
        <v>166</v>
      </c>
      <c r="AA6455" s="21" t="str">
        <f>HYPERLINK("https://www.ncbi.nlm.nih.gov/nuccore/MH616921","NCBI Nucleotide")</f>
        <v>NCBI Nucleotide</v>
      </c>
    </row>
    <row r="6456" spans="1:27" x14ac:dyDescent="0.35">
      <c r="A6456">
        <v>1025468</v>
      </c>
      <c r="B6456">
        <v>6159</v>
      </c>
      <c r="C6456">
        <v>1</v>
      </c>
      <c r="D6456" s="17" t="s">
        <v>10507</v>
      </c>
      <c r="E6456" s="17"/>
      <c r="F6456" s="17" t="s">
        <v>10780</v>
      </c>
      <c r="G6456" s="17"/>
      <c r="H6456" s="17" t="s">
        <v>12908</v>
      </c>
      <c r="I6456" s="17"/>
      <c r="J6456" s="17" t="s">
        <v>12909</v>
      </c>
      <c r="K6456" s="17"/>
      <c r="L6456" s="17" t="s">
        <v>41073</v>
      </c>
      <c r="M6456" s="17"/>
      <c r="N6456" s="17" t="s">
        <v>41074</v>
      </c>
      <c r="O6456" s="17"/>
      <c r="P6456" s="17" t="s">
        <v>41225</v>
      </c>
      <c r="Q6456" s="17"/>
      <c r="R6456" s="25" t="str">
        <f>HYPERLINK("https://ictv.global/taxonomy/taxondetails?taxnode_id=202318904","Sakkuthvirus raringis")</f>
        <v>Sakkuthvirus raringis</v>
      </c>
      <c r="S6456" s="18" t="s">
        <v>30</v>
      </c>
      <c r="T6456" s="18" t="s">
        <v>41238</v>
      </c>
      <c r="U6456" s="18"/>
      <c r="V6456" s="18" t="s">
        <v>41239</v>
      </c>
      <c r="W6456" s="18" t="s">
        <v>41240</v>
      </c>
      <c r="X6456" s="18" t="s">
        <v>42</v>
      </c>
      <c r="Y6456" s="18" t="s">
        <v>12266</v>
      </c>
      <c r="Z6456" s="18" t="s">
        <v>26655</v>
      </c>
      <c r="AA6456" s="21" t="str">
        <f>HYPERLINK("https://www.ncbi.nlm.nih.gov/nuccore/MN582092","NCBI Nucleotide")</f>
        <v>NCBI Nucleotide</v>
      </c>
    </row>
    <row r="6457" spans="1:27" x14ac:dyDescent="0.35">
      <c r="A6457">
        <v>1025459</v>
      </c>
      <c r="B6457">
        <v>6160</v>
      </c>
      <c r="C6457">
        <v>1</v>
      </c>
      <c r="D6457" s="17" t="s">
        <v>10507</v>
      </c>
      <c r="E6457" s="17"/>
      <c r="F6457" s="17" t="s">
        <v>10780</v>
      </c>
      <c r="G6457" s="17"/>
      <c r="H6457" s="17" t="s">
        <v>12908</v>
      </c>
      <c r="I6457" s="17"/>
      <c r="J6457" s="17" t="s">
        <v>12909</v>
      </c>
      <c r="K6457" s="17"/>
      <c r="L6457" s="17" t="s">
        <v>41073</v>
      </c>
      <c r="M6457" s="17"/>
      <c r="N6457" s="17" t="s">
        <v>41074</v>
      </c>
      <c r="O6457" s="17"/>
      <c r="P6457" s="17" t="s">
        <v>51027</v>
      </c>
      <c r="Q6457" s="17"/>
      <c r="R6457" s="25" t="str">
        <f>HYPERLINK("https://ictv.global/taxonomy/taxondetails?taxnode_id=202318909","Sanchirvirus lawatis")</f>
        <v>Sanchirvirus lawatis</v>
      </c>
      <c r="S6457" s="18" t="s">
        <v>30</v>
      </c>
      <c r="T6457" s="18" t="s">
        <v>41241</v>
      </c>
      <c r="U6457" s="18"/>
      <c r="V6457" s="18" t="s">
        <v>41242</v>
      </c>
      <c r="W6457" s="18" t="s">
        <v>41243</v>
      </c>
      <c r="X6457" s="18" t="s">
        <v>42</v>
      </c>
      <c r="Y6457" s="18" t="s">
        <v>12266</v>
      </c>
      <c r="Z6457" s="18" t="s">
        <v>26655</v>
      </c>
      <c r="AA6457" s="21" t="str">
        <f>HYPERLINK("https://www.ncbi.nlm.nih.gov/nuccore/MW697509","NCBI Nucleotide")</f>
        <v>NCBI Nucleotide</v>
      </c>
    </row>
    <row r="6458" spans="1:27" x14ac:dyDescent="0.35">
      <c r="A6458">
        <v>1025460</v>
      </c>
      <c r="B6458">
        <v>6161</v>
      </c>
      <c r="C6458">
        <v>1</v>
      </c>
      <c r="D6458" s="17" t="s">
        <v>10507</v>
      </c>
      <c r="E6458" s="17"/>
      <c r="F6458" s="17" t="s">
        <v>10780</v>
      </c>
      <c r="G6458" s="17"/>
      <c r="H6458" s="17" t="s">
        <v>12908</v>
      </c>
      <c r="I6458" s="17"/>
      <c r="J6458" s="17" t="s">
        <v>12909</v>
      </c>
      <c r="K6458" s="17"/>
      <c r="L6458" s="17" t="s">
        <v>41073</v>
      </c>
      <c r="M6458" s="17"/>
      <c r="N6458" s="17" t="s">
        <v>41074</v>
      </c>
      <c r="O6458" s="17"/>
      <c r="P6458" s="17" t="s">
        <v>41244</v>
      </c>
      <c r="Q6458" s="17"/>
      <c r="R6458" s="25" t="str">
        <f>HYPERLINK("https://ictv.global/taxonomy/taxondetails?taxnode_id=202318910","Sanivirus maringis")</f>
        <v>Sanivirus maringis</v>
      </c>
      <c r="S6458" s="18" t="s">
        <v>30</v>
      </c>
      <c r="T6458" s="18" t="s">
        <v>41245</v>
      </c>
      <c r="U6458" s="18"/>
      <c r="V6458" s="18" t="s">
        <v>41246</v>
      </c>
      <c r="W6458" s="18" t="s">
        <v>41247</v>
      </c>
      <c r="X6458" s="18" t="s">
        <v>42</v>
      </c>
      <c r="Y6458" s="18" t="s">
        <v>12266</v>
      </c>
      <c r="Z6458" s="18" t="s">
        <v>26655</v>
      </c>
      <c r="AA6458" s="21" t="str">
        <f>HYPERLINK("https://www.ncbi.nlm.nih.gov/nuccore/MW202411","NCBI Nucleotide")</f>
        <v>NCBI Nucleotide</v>
      </c>
    </row>
    <row r="6459" spans="1:27" x14ac:dyDescent="0.35">
      <c r="A6459">
        <v>1025461</v>
      </c>
      <c r="B6459">
        <v>6162</v>
      </c>
      <c r="C6459">
        <v>1</v>
      </c>
      <c r="D6459" s="17" t="s">
        <v>10507</v>
      </c>
      <c r="E6459" s="17"/>
      <c r="F6459" s="17" t="s">
        <v>10780</v>
      </c>
      <c r="G6459" s="17"/>
      <c r="H6459" s="17" t="s">
        <v>12908</v>
      </c>
      <c r="I6459" s="17"/>
      <c r="J6459" s="17" t="s">
        <v>12909</v>
      </c>
      <c r="K6459" s="17"/>
      <c r="L6459" s="17" t="s">
        <v>41073</v>
      </c>
      <c r="M6459" s="17"/>
      <c r="N6459" s="17" t="s">
        <v>41074</v>
      </c>
      <c r="O6459" s="17"/>
      <c r="P6459" s="17" t="s">
        <v>41244</v>
      </c>
      <c r="Q6459" s="17"/>
      <c r="R6459" s="25" t="str">
        <f>HYPERLINK("https://ictv.global/taxonomy/taxondetails?taxnode_id=202318911","Sanivirus suspensae")</f>
        <v>Sanivirus suspensae</v>
      </c>
      <c r="S6459" s="18" t="s">
        <v>30</v>
      </c>
      <c r="T6459" s="18" t="s">
        <v>41248</v>
      </c>
      <c r="U6459" s="18"/>
      <c r="V6459" s="18" t="s">
        <v>41249</v>
      </c>
      <c r="W6459" s="18" t="s">
        <v>41250</v>
      </c>
      <c r="X6459" s="18" t="s">
        <v>42</v>
      </c>
      <c r="Y6459" s="18" t="s">
        <v>12266</v>
      </c>
      <c r="Z6459" s="18" t="s">
        <v>13441</v>
      </c>
      <c r="AA6459" s="21" t="str">
        <f>HYPERLINK("https://www.ncbi.nlm.nih.gov/nuccore/MN891791","NCBI Nucleotide")</f>
        <v>NCBI Nucleotide</v>
      </c>
    </row>
    <row r="6460" spans="1:27" x14ac:dyDescent="0.35">
      <c r="A6460">
        <v>1025446</v>
      </c>
      <c r="B6460">
        <v>6163</v>
      </c>
      <c r="C6460">
        <v>1</v>
      </c>
      <c r="D6460" s="17" t="s">
        <v>10507</v>
      </c>
      <c r="E6460" s="17"/>
      <c r="F6460" s="17" t="s">
        <v>10780</v>
      </c>
      <c r="G6460" s="17"/>
      <c r="H6460" s="17" t="s">
        <v>12908</v>
      </c>
      <c r="I6460" s="17"/>
      <c r="J6460" s="17" t="s">
        <v>12909</v>
      </c>
      <c r="K6460" s="17"/>
      <c r="L6460" s="17" t="s">
        <v>41073</v>
      </c>
      <c r="M6460" s="17"/>
      <c r="N6460" s="17" t="s">
        <v>41074</v>
      </c>
      <c r="O6460" s="17"/>
      <c r="P6460" s="17" t="s">
        <v>41251</v>
      </c>
      <c r="Q6460" s="17"/>
      <c r="R6460" s="25" t="str">
        <f>HYPERLINK("https://ictv.global/taxonomy/taxondetails?taxnode_id=202318914","Saothovirus cruti")</f>
        <v>Saothovirus cruti</v>
      </c>
      <c r="S6460" s="18" t="s">
        <v>30</v>
      </c>
      <c r="T6460" s="18" t="s">
        <v>41252</v>
      </c>
      <c r="U6460" s="18"/>
      <c r="V6460" s="18" t="s">
        <v>41253</v>
      </c>
      <c r="W6460" s="18" t="s">
        <v>41254</v>
      </c>
      <c r="X6460" s="18" t="s">
        <v>42</v>
      </c>
      <c r="Y6460" s="18" t="s">
        <v>12266</v>
      </c>
      <c r="Z6460" s="18" t="s">
        <v>166</v>
      </c>
      <c r="AA6460" s="21" t="str">
        <f>HYPERLINK("https://www.ncbi.nlm.nih.gov/nuccore/MK012512","NCBI Nucleotide")</f>
        <v>NCBI Nucleotide</v>
      </c>
    </row>
    <row r="6461" spans="1:27" x14ac:dyDescent="0.35">
      <c r="A6461">
        <v>1025447</v>
      </c>
      <c r="B6461">
        <v>6164</v>
      </c>
      <c r="C6461">
        <v>1</v>
      </c>
      <c r="D6461" s="17" t="s">
        <v>10507</v>
      </c>
      <c r="E6461" s="17"/>
      <c r="F6461" s="17" t="s">
        <v>10780</v>
      </c>
      <c r="G6461" s="17"/>
      <c r="H6461" s="17" t="s">
        <v>12908</v>
      </c>
      <c r="I6461" s="17"/>
      <c r="J6461" s="17" t="s">
        <v>12909</v>
      </c>
      <c r="K6461" s="17"/>
      <c r="L6461" s="17" t="s">
        <v>41073</v>
      </c>
      <c r="M6461" s="17"/>
      <c r="N6461" s="17" t="s">
        <v>41074</v>
      </c>
      <c r="O6461" s="17"/>
      <c r="P6461" s="17" t="s">
        <v>41251</v>
      </c>
      <c r="Q6461" s="17"/>
      <c r="R6461" s="25" t="str">
        <f>HYPERLINK("https://ictv.global/taxonomy/taxondetails?taxnode_id=202318915","Saothovirus dianchis")</f>
        <v>Saothovirus dianchis</v>
      </c>
      <c r="S6461" s="18" t="s">
        <v>30</v>
      </c>
      <c r="T6461" s="18" t="s">
        <v>41255</v>
      </c>
      <c r="U6461" s="18"/>
      <c r="V6461" s="18" t="s">
        <v>41256</v>
      </c>
      <c r="W6461" s="18" t="s">
        <v>41257</v>
      </c>
      <c r="X6461" s="18" t="s">
        <v>42</v>
      </c>
      <c r="Y6461" s="18" t="s">
        <v>12266</v>
      </c>
      <c r="Z6461" s="18" t="s">
        <v>26655</v>
      </c>
      <c r="AA6461" s="21" t="str">
        <f>HYPERLINK("https://www.ncbi.nlm.nih.gov/nuccore/KT149401","NCBI Nucleotide")</f>
        <v>NCBI Nucleotide</v>
      </c>
    </row>
    <row r="6462" spans="1:27" x14ac:dyDescent="0.35">
      <c r="A6462">
        <v>1025448</v>
      </c>
      <c r="B6462">
        <v>6165</v>
      </c>
      <c r="C6462">
        <v>1</v>
      </c>
      <c r="D6462" s="17" t="s">
        <v>10507</v>
      </c>
      <c r="E6462" s="17"/>
      <c r="F6462" s="17" t="s">
        <v>10780</v>
      </c>
      <c r="G6462" s="17"/>
      <c r="H6462" s="17" t="s">
        <v>12908</v>
      </c>
      <c r="I6462" s="17"/>
      <c r="J6462" s="17" t="s">
        <v>12909</v>
      </c>
      <c r="K6462" s="17"/>
      <c r="L6462" s="17" t="s">
        <v>41073</v>
      </c>
      <c r="M6462" s="17"/>
      <c r="N6462" s="17" t="s">
        <v>41074</v>
      </c>
      <c r="O6462" s="17"/>
      <c r="P6462" s="17" t="s">
        <v>41251</v>
      </c>
      <c r="Q6462" s="17"/>
      <c r="R6462" s="25" t="str">
        <f>HYPERLINK("https://ictv.global/taxonomy/taxondetails?taxnode_id=202318912","Saothovirus lawatis")</f>
        <v>Saothovirus lawatis</v>
      </c>
      <c r="S6462" s="18" t="s">
        <v>30</v>
      </c>
      <c r="T6462" s="18" t="s">
        <v>41258</v>
      </c>
      <c r="U6462" s="18"/>
      <c r="V6462" s="18" t="s">
        <v>41259</v>
      </c>
      <c r="W6462" s="18" t="s">
        <v>41260</v>
      </c>
      <c r="X6462" s="18" t="s">
        <v>42</v>
      </c>
      <c r="Y6462" s="18" t="s">
        <v>12266</v>
      </c>
      <c r="Z6462" s="18" t="s">
        <v>26655</v>
      </c>
      <c r="AA6462" s="21" t="str">
        <f>HYPERLINK("https://www.ncbi.nlm.nih.gov/nuccore/MW697518","NCBI Nucleotide")</f>
        <v>NCBI Nucleotide</v>
      </c>
    </row>
    <row r="6463" spans="1:27" x14ac:dyDescent="0.35">
      <c r="A6463">
        <v>1025449</v>
      </c>
      <c r="B6463">
        <v>6166</v>
      </c>
      <c r="C6463">
        <v>1</v>
      </c>
      <c r="D6463" s="17" t="s">
        <v>10507</v>
      </c>
      <c r="E6463" s="17"/>
      <c r="F6463" s="17" t="s">
        <v>10780</v>
      </c>
      <c r="G6463" s="17"/>
      <c r="H6463" s="17" t="s">
        <v>12908</v>
      </c>
      <c r="I6463" s="17"/>
      <c r="J6463" s="17" t="s">
        <v>12909</v>
      </c>
      <c r="K6463" s="17"/>
      <c r="L6463" s="17" t="s">
        <v>41073</v>
      </c>
      <c r="M6463" s="17"/>
      <c r="N6463" s="17" t="s">
        <v>41074</v>
      </c>
      <c r="O6463" s="17"/>
      <c r="P6463" s="17" t="s">
        <v>41251</v>
      </c>
      <c r="Q6463" s="17"/>
      <c r="R6463" s="25" t="str">
        <f>HYPERLINK("https://ictv.global/taxonomy/taxondetails?taxnode_id=202318917","Saothovirus manatis")</f>
        <v>Saothovirus manatis</v>
      </c>
      <c r="S6463" s="18" t="s">
        <v>30</v>
      </c>
      <c r="T6463" s="18" t="s">
        <v>41261</v>
      </c>
      <c r="U6463" s="18"/>
      <c r="V6463" s="18" t="s">
        <v>41262</v>
      </c>
      <c r="W6463" s="18" t="s">
        <v>41263</v>
      </c>
      <c r="X6463" s="18" t="s">
        <v>42</v>
      </c>
      <c r="Y6463" s="18" t="s">
        <v>12266</v>
      </c>
      <c r="Z6463" s="18" t="s">
        <v>26655</v>
      </c>
      <c r="AA6463" s="21" t="str">
        <f>HYPERLINK("https://www.ncbi.nlm.nih.gov/nuccore/MW202813","NCBI Nucleotide")</f>
        <v>NCBI Nucleotide</v>
      </c>
    </row>
    <row r="6464" spans="1:27" x14ac:dyDescent="0.35">
      <c r="A6464">
        <v>1025450</v>
      </c>
      <c r="B6464">
        <v>6167</v>
      </c>
      <c r="C6464">
        <v>1</v>
      </c>
      <c r="D6464" s="17" t="s">
        <v>10507</v>
      </c>
      <c r="E6464" s="17"/>
      <c r="F6464" s="17" t="s">
        <v>10780</v>
      </c>
      <c r="G6464" s="17"/>
      <c r="H6464" s="17" t="s">
        <v>12908</v>
      </c>
      <c r="I6464" s="17"/>
      <c r="J6464" s="17" t="s">
        <v>12909</v>
      </c>
      <c r="K6464" s="17"/>
      <c r="L6464" s="17" t="s">
        <v>41073</v>
      </c>
      <c r="M6464" s="17"/>
      <c r="N6464" s="17" t="s">
        <v>41074</v>
      </c>
      <c r="O6464" s="17"/>
      <c r="P6464" s="17" t="s">
        <v>41251</v>
      </c>
      <c r="Q6464" s="17"/>
      <c r="R6464" s="25" t="str">
        <f>HYPERLINK("https://ictv.global/taxonomy/taxondetails?taxnode_id=202318913","Saothovirus maringis")</f>
        <v>Saothovirus maringis</v>
      </c>
      <c r="S6464" s="18" t="s">
        <v>30</v>
      </c>
      <c r="T6464" s="18" t="s">
        <v>41264</v>
      </c>
      <c r="U6464" s="18"/>
      <c r="V6464" s="18" t="s">
        <v>41265</v>
      </c>
      <c r="W6464" s="18" t="s">
        <v>41266</v>
      </c>
      <c r="X6464" s="18" t="s">
        <v>42</v>
      </c>
      <c r="Y6464" s="18" t="s">
        <v>12266</v>
      </c>
      <c r="Z6464" s="18" t="s">
        <v>26655</v>
      </c>
      <c r="AA6464" s="21" t="str">
        <f>HYPERLINK("https://www.ncbi.nlm.nih.gov/nuccore/MW202707","NCBI Nucleotide")</f>
        <v>NCBI Nucleotide</v>
      </c>
    </row>
    <row r="6465" spans="1:27" x14ac:dyDescent="0.35">
      <c r="A6465">
        <v>1025451</v>
      </c>
      <c r="B6465">
        <v>6168</v>
      </c>
      <c r="C6465">
        <v>1</v>
      </c>
      <c r="D6465" s="17" t="s">
        <v>10507</v>
      </c>
      <c r="E6465" s="17"/>
      <c r="F6465" s="17" t="s">
        <v>10780</v>
      </c>
      <c r="G6465" s="17"/>
      <c r="H6465" s="17" t="s">
        <v>12908</v>
      </c>
      <c r="I6465" s="17"/>
      <c r="J6465" s="17" t="s">
        <v>12909</v>
      </c>
      <c r="K6465" s="17"/>
      <c r="L6465" s="17" t="s">
        <v>41073</v>
      </c>
      <c r="M6465" s="17"/>
      <c r="N6465" s="17" t="s">
        <v>41074</v>
      </c>
      <c r="O6465" s="17"/>
      <c r="P6465" s="17" t="s">
        <v>41251</v>
      </c>
      <c r="Q6465" s="17"/>
      <c r="R6465" s="25" t="str">
        <f>HYPERLINK("https://ictv.global/taxonomy/taxondetails?taxnode_id=202318916","Saothovirus mintis")</f>
        <v>Saothovirus mintis</v>
      </c>
      <c r="S6465" s="18" t="s">
        <v>30</v>
      </c>
      <c r="T6465" s="18" t="s">
        <v>41267</v>
      </c>
      <c r="U6465" s="18"/>
      <c r="V6465" s="18" t="s">
        <v>41268</v>
      </c>
      <c r="W6465" s="18" t="s">
        <v>41269</v>
      </c>
      <c r="X6465" s="18" t="s">
        <v>42</v>
      </c>
      <c r="Y6465" s="18" t="s">
        <v>12266</v>
      </c>
      <c r="Z6465" s="18" t="s">
        <v>166</v>
      </c>
      <c r="AA6465" s="21" t="str">
        <f>HYPERLINK("https://www.ncbi.nlm.nih.gov/nuccore/MK032700","NCBI Nucleotide")</f>
        <v>NCBI Nucleotide</v>
      </c>
    </row>
    <row r="6466" spans="1:27" x14ac:dyDescent="0.35">
      <c r="A6466">
        <v>1025444</v>
      </c>
      <c r="B6466">
        <v>6169</v>
      </c>
      <c r="C6466">
        <v>1</v>
      </c>
      <c r="D6466" s="17" t="s">
        <v>10507</v>
      </c>
      <c r="E6466" s="17"/>
      <c r="F6466" s="17" t="s">
        <v>10780</v>
      </c>
      <c r="G6466" s="17"/>
      <c r="H6466" s="17" t="s">
        <v>12908</v>
      </c>
      <c r="I6466" s="17"/>
      <c r="J6466" s="17" t="s">
        <v>12909</v>
      </c>
      <c r="K6466" s="17"/>
      <c r="L6466" s="17" t="s">
        <v>41073</v>
      </c>
      <c r="M6466" s="17"/>
      <c r="N6466" s="17" t="s">
        <v>41074</v>
      </c>
      <c r="O6466" s="17"/>
      <c r="P6466" s="17" t="s">
        <v>41270</v>
      </c>
      <c r="Q6466" s="17"/>
      <c r="R6466" s="25" t="str">
        <f>HYPERLINK("https://ictv.global/taxonomy/taxondetails?taxnode_id=202318918","Savurvirus yangris")</f>
        <v>Savurvirus yangris</v>
      </c>
      <c r="S6466" s="18" t="s">
        <v>30</v>
      </c>
      <c r="T6466" s="18" t="s">
        <v>41271</v>
      </c>
      <c r="U6466" s="18"/>
      <c r="V6466" s="18" t="s">
        <v>41272</v>
      </c>
      <c r="W6466" s="18" t="s">
        <v>41273</v>
      </c>
      <c r="X6466" s="18" t="s">
        <v>35</v>
      </c>
      <c r="Y6466" s="18" t="s">
        <v>12266</v>
      </c>
      <c r="Z6466" s="18" t="s">
        <v>26655</v>
      </c>
      <c r="AA6466" s="21" t="str">
        <f>HYPERLINK("https://www.ncbi.nlm.nih.gov/nuccore/MW347481","NCBI Nucleotide")</f>
        <v>NCBI Nucleotide</v>
      </c>
    </row>
    <row r="6467" spans="1:27" x14ac:dyDescent="0.35">
      <c r="A6467">
        <v>1025452</v>
      </c>
      <c r="B6467">
        <v>6170</v>
      </c>
      <c r="C6467">
        <v>1</v>
      </c>
      <c r="D6467" s="17" t="s">
        <v>10507</v>
      </c>
      <c r="E6467" s="17"/>
      <c r="F6467" s="17" t="s">
        <v>10780</v>
      </c>
      <c r="G6467" s="17"/>
      <c r="H6467" s="17" t="s">
        <v>12908</v>
      </c>
      <c r="I6467" s="17"/>
      <c r="J6467" s="17" t="s">
        <v>12909</v>
      </c>
      <c r="K6467" s="17"/>
      <c r="L6467" s="17" t="s">
        <v>41073</v>
      </c>
      <c r="M6467" s="17"/>
      <c r="N6467" s="17" t="s">
        <v>41074</v>
      </c>
      <c r="O6467" s="17"/>
      <c r="P6467" s="17" t="s">
        <v>41274</v>
      </c>
      <c r="Q6467" s="17"/>
      <c r="R6467" s="25" t="str">
        <f>HYPERLINK("https://ictv.global/taxonomy/taxondetails?taxnode_id=202318920","Scythevirus dianchis")</f>
        <v>Scythevirus dianchis</v>
      </c>
      <c r="S6467" s="18" t="s">
        <v>30</v>
      </c>
      <c r="T6467" s="18" t="s">
        <v>41275</v>
      </c>
      <c r="U6467" s="18"/>
      <c r="V6467" s="18" t="s">
        <v>41276</v>
      </c>
      <c r="W6467" s="18" t="s">
        <v>41277</v>
      </c>
      <c r="X6467" s="18" t="s">
        <v>42</v>
      </c>
      <c r="Y6467" s="18" t="s">
        <v>12266</v>
      </c>
      <c r="Z6467" s="18" t="s">
        <v>26655</v>
      </c>
      <c r="AA6467" s="21" t="str">
        <f>HYPERLINK("https://www.ncbi.nlm.nih.gov/nuccore/KT149406","NCBI Nucleotide")</f>
        <v>NCBI Nucleotide</v>
      </c>
    </row>
    <row r="6468" spans="1:27" x14ac:dyDescent="0.35">
      <c r="A6468">
        <v>1025453</v>
      </c>
      <c r="B6468">
        <v>6171</v>
      </c>
      <c r="C6468">
        <v>1</v>
      </c>
      <c r="D6468" s="17" t="s">
        <v>10507</v>
      </c>
      <c r="E6468" s="17"/>
      <c r="F6468" s="17" t="s">
        <v>10780</v>
      </c>
      <c r="G6468" s="17"/>
      <c r="H6468" s="17" t="s">
        <v>12908</v>
      </c>
      <c r="I6468" s="17"/>
      <c r="J6468" s="17" t="s">
        <v>12909</v>
      </c>
      <c r="K6468" s="17"/>
      <c r="L6468" s="17" t="s">
        <v>41073</v>
      </c>
      <c r="M6468" s="17"/>
      <c r="N6468" s="17" t="s">
        <v>41074</v>
      </c>
      <c r="O6468" s="17"/>
      <c r="P6468" s="17" t="s">
        <v>41274</v>
      </c>
      <c r="Q6468" s="17"/>
      <c r="R6468" s="25" t="str">
        <f>HYPERLINK("https://ictv.global/taxonomy/taxondetails?taxnode_id=202318921","Scythevirus lawatis")</f>
        <v>Scythevirus lawatis</v>
      </c>
      <c r="S6468" s="18" t="s">
        <v>30</v>
      </c>
      <c r="T6468" s="18" t="s">
        <v>41278</v>
      </c>
      <c r="U6468" s="18"/>
      <c r="V6468" s="18" t="s">
        <v>41279</v>
      </c>
      <c r="W6468" s="18" t="s">
        <v>41280</v>
      </c>
      <c r="X6468" s="18" t="s">
        <v>42</v>
      </c>
      <c r="Y6468" s="18" t="s">
        <v>12266</v>
      </c>
      <c r="Z6468" s="18" t="s">
        <v>26655</v>
      </c>
      <c r="AA6468" s="21" t="str">
        <f>HYPERLINK("https://www.ncbi.nlm.nih.gov/nuccore/MW697550","NCBI Nucleotide")</f>
        <v>NCBI Nucleotide</v>
      </c>
    </row>
    <row r="6469" spans="1:27" x14ac:dyDescent="0.35">
      <c r="A6469">
        <v>1025454</v>
      </c>
      <c r="B6469">
        <v>6172</v>
      </c>
      <c r="C6469">
        <v>1</v>
      </c>
      <c r="D6469" s="17" t="s">
        <v>10507</v>
      </c>
      <c r="E6469" s="17"/>
      <c r="F6469" s="17" t="s">
        <v>10780</v>
      </c>
      <c r="G6469" s="17"/>
      <c r="H6469" s="17" t="s">
        <v>12908</v>
      </c>
      <c r="I6469" s="17"/>
      <c r="J6469" s="17" t="s">
        <v>12909</v>
      </c>
      <c r="K6469" s="17"/>
      <c r="L6469" s="17" t="s">
        <v>41073</v>
      </c>
      <c r="M6469" s="17"/>
      <c r="N6469" s="17" t="s">
        <v>41074</v>
      </c>
      <c r="O6469" s="17"/>
      <c r="P6469" s="17" t="s">
        <v>41274</v>
      </c>
      <c r="Q6469" s="17"/>
      <c r="R6469" s="25" t="str">
        <f>HYPERLINK("https://ictv.global/taxonomy/taxondetails?taxnode_id=202318922","Scythevirus manatis")</f>
        <v>Scythevirus manatis</v>
      </c>
      <c r="S6469" s="18" t="s">
        <v>30</v>
      </c>
      <c r="T6469" s="18" t="s">
        <v>41281</v>
      </c>
      <c r="U6469" s="18"/>
      <c r="V6469" s="18" t="s">
        <v>41282</v>
      </c>
      <c r="W6469" s="18" t="s">
        <v>41283</v>
      </c>
      <c r="X6469" s="18" t="s">
        <v>42</v>
      </c>
      <c r="Y6469" s="18" t="s">
        <v>12266</v>
      </c>
      <c r="Z6469" s="18" t="s">
        <v>26655</v>
      </c>
      <c r="AA6469" s="21" t="str">
        <f>HYPERLINK("https://www.ncbi.nlm.nih.gov/nuccore/MW202443","NCBI Nucleotide")</f>
        <v>NCBI Nucleotide</v>
      </c>
    </row>
    <row r="6470" spans="1:27" x14ac:dyDescent="0.35">
      <c r="A6470">
        <v>1025455</v>
      </c>
      <c r="B6470">
        <v>6173</v>
      </c>
      <c r="C6470">
        <v>1</v>
      </c>
      <c r="D6470" s="17" t="s">
        <v>10507</v>
      </c>
      <c r="E6470" s="17"/>
      <c r="F6470" s="17" t="s">
        <v>10780</v>
      </c>
      <c r="G6470" s="17"/>
      <c r="H6470" s="17" t="s">
        <v>12908</v>
      </c>
      <c r="I6470" s="17"/>
      <c r="J6470" s="17" t="s">
        <v>12909</v>
      </c>
      <c r="K6470" s="17"/>
      <c r="L6470" s="17" t="s">
        <v>41073</v>
      </c>
      <c r="M6470" s="17"/>
      <c r="N6470" s="17" t="s">
        <v>41074</v>
      </c>
      <c r="O6470" s="17"/>
      <c r="P6470" s="17" t="s">
        <v>41274</v>
      </c>
      <c r="Q6470" s="17"/>
      <c r="R6470" s="25" t="str">
        <f>HYPERLINK("https://ictv.global/taxonomy/taxondetails?taxnode_id=202318919","Scythevirus maringis")</f>
        <v>Scythevirus maringis</v>
      </c>
      <c r="S6470" s="18" t="s">
        <v>30</v>
      </c>
      <c r="T6470" s="18" t="s">
        <v>41284</v>
      </c>
      <c r="U6470" s="18"/>
      <c r="V6470" s="18" t="s">
        <v>41285</v>
      </c>
      <c r="W6470" s="18" t="s">
        <v>41286</v>
      </c>
      <c r="X6470" s="18" t="s">
        <v>42</v>
      </c>
      <c r="Y6470" s="18" t="s">
        <v>12266</v>
      </c>
      <c r="Z6470" s="18" t="s">
        <v>26655</v>
      </c>
      <c r="AA6470" s="21" t="str">
        <f>HYPERLINK("https://www.ncbi.nlm.nih.gov/nuccore/MW202805","NCBI Nucleotide")</f>
        <v>NCBI Nucleotide</v>
      </c>
    </row>
    <row r="6471" spans="1:27" x14ac:dyDescent="0.35">
      <c r="A6471">
        <v>1025456</v>
      </c>
      <c r="B6471">
        <v>6174</v>
      </c>
      <c r="C6471">
        <v>1</v>
      </c>
      <c r="D6471" s="17" t="s">
        <v>10507</v>
      </c>
      <c r="E6471" s="17"/>
      <c r="F6471" s="17" t="s">
        <v>10780</v>
      </c>
      <c r="G6471" s="17"/>
      <c r="H6471" s="17" t="s">
        <v>12908</v>
      </c>
      <c r="I6471" s="17"/>
      <c r="J6471" s="17" t="s">
        <v>12909</v>
      </c>
      <c r="K6471" s="17"/>
      <c r="L6471" s="17" t="s">
        <v>41073</v>
      </c>
      <c r="M6471" s="17"/>
      <c r="N6471" s="17" t="s">
        <v>41074</v>
      </c>
      <c r="O6471" s="17"/>
      <c r="P6471" s="17" t="s">
        <v>41274</v>
      </c>
      <c r="Q6471" s="17"/>
      <c r="R6471" s="25" t="str">
        <f>HYPERLINK("https://ictv.global/taxonomy/taxondetails?taxnode_id=202318924","Scythevirus monetis")</f>
        <v>Scythevirus monetis</v>
      </c>
      <c r="S6471" s="18" t="s">
        <v>30</v>
      </c>
      <c r="T6471" s="18" t="s">
        <v>41287</v>
      </c>
      <c r="U6471" s="18"/>
      <c r="V6471" s="18" t="s">
        <v>41288</v>
      </c>
      <c r="W6471" s="18" t="s">
        <v>41289</v>
      </c>
      <c r="X6471" s="18" t="s">
        <v>42</v>
      </c>
      <c r="Y6471" s="18" t="s">
        <v>12266</v>
      </c>
      <c r="Z6471" s="18" t="s">
        <v>26655</v>
      </c>
      <c r="AA6471" s="21" t="str">
        <f>HYPERLINK("https://www.ncbi.nlm.nih.gov/nuccore/KR528560","NCBI Nucleotide")</f>
        <v>NCBI Nucleotide</v>
      </c>
    </row>
    <row r="6472" spans="1:27" x14ac:dyDescent="0.35">
      <c r="A6472">
        <v>1025457</v>
      </c>
      <c r="B6472">
        <v>6175</v>
      </c>
      <c r="C6472">
        <v>1</v>
      </c>
      <c r="D6472" s="17" t="s">
        <v>10507</v>
      </c>
      <c r="E6472" s="17"/>
      <c r="F6472" s="17" t="s">
        <v>10780</v>
      </c>
      <c r="G6472" s="17"/>
      <c r="H6472" s="17" t="s">
        <v>12908</v>
      </c>
      <c r="I6472" s="17"/>
      <c r="J6472" s="17" t="s">
        <v>12909</v>
      </c>
      <c r="K6472" s="17"/>
      <c r="L6472" s="17" t="s">
        <v>41073</v>
      </c>
      <c r="M6472" s="17"/>
      <c r="N6472" s="17" t="s">
        <v>41074</v>
      </c>
      <c r="O6472" s="17"/>
      <c r="P6472" s="17" t="s">
        <v>41274</v>
      </c>
      <c r="Q6472" s="17"/>
      <c r="R6472" s="25" t="str">
        <f>HYPERLINK("https://ictv.global/taxonomy/taxondetails?taxnode_id=202318923","Scythevirus natringis")</f>
        <v>Scythevirus natringis</v>
      </c>
      <c r="S6472" s="18" t="s">
        <v>30</v>
      </c>
      <c r="T6472" s="18" t="s">
        <v>41290</v>
      </c>
      <c r="U6472" s="18"/>
      <c r="V6472" s="18" t="s">
        <v>41291</v>
      </c>
      <c r="W6472" s="18" t="s">
        <v>41292</v>
      </c>
      <c r="X6472" s="18" t="s">
        <v>42</v>
      </c>
      <c r="Y6472" s="18" t="s">
        <v>12266</v>
      </c>
      <c r="Z6472" s="18" t="s">
        <v>26655</v>
      </c>
      <c r="AA6472" s="21" t="str">
        <f>HYPERLINK("https://www.ncbi.nlm.nih.gov/nuccore/MW202436","NCBI Nucleotide")</f>
        <v>NCBI Nucleotide</v>
      </c>
    </row>
    <row r="6473" spans="1:27" x14ac:dyDescent="0.35">
      <c r="A6473">
        <v>1025445</v>
      </c>
      <c r="B6473">
        <v>6176</v>
      </c>
      <c r="C6473">
        <v>1</v>
      </c>
      <c r="D6473" s="17" t="s">
        <v>10507</v>
      </c>
      <c r="E6473" s="17"/>
      <c r="F6473" s="17" t="s">
        <v>10780</v>
      </c>
      <c r="G6473" s="17"/>
      <c r="H6473" s="17" t="s">
        <v>12908</v>
      </c>
      <c r="I6473" s="17"/>
      <c r="J6473" s="17" t="s">
        <v>12909</v>
      </c>
      <c r="K6473" s="17"/>
      <c r="L6473" s="17" t="s">
        <v>41073</v>
      </c>
      <c r="M6473" s="17"/>
      <c r="N6473" s="17" t="s">
        <v>41074</v>
      </c>
      <c r="O6473" s="17"/>
      <c r="P6473" s="17" t="s">
        <v>41293</v>
      </c>
      <c r="Q6473" s="17"/>
      <c r="R6473" s="25" t="str">
        <f>HYPERLINK("https://ictv.global/taxonomy/taxondetails?taxnode_id=202318925","Seetinvirus maringis")</f>
        <v>Seetinvirus maringis</v>
      </c>
      <c r="S6473" s="18" t="s">
        <v>30</v>
      </c>
      <c r="T6473" s="18" t="s">
        <v>41294</v>
      </c>
      <c r="U6473" s="18"/>
      <c r="V6473" s="18" t="s">
        <v>41295</v>
      </c>
      <c r="W6473" s="18" t="s">
        <v>41296</v>
      </c>
      <c r="X6473" s="18" t="s">
        <v>42</v>
      </c>
      <c r="Y6473" s="18" t="s">
        <v>12266</v>
      </c>
      <c r="Z6473" s="18" t="s">
        <v>26655</v>
      </c>
      <c r="AA6473" s="21" t="str">
        <f>HYPERLINK("https://www.ncbi.nlm.nih.gov/nuccore/MW202873","NCBI Nucleotide")</f>
        <v>NCBI Nucleotide</v>
      </c>
    </row>
    <row r="6474" spans="1:27" x14ac:dyDescent="0.35">
      <c r="A6474">
        <v>1025427</v>
      </c>
      <c r="B6474">
        <v>6177</v>
      </c>
      <c r="C6474">
        <v>1</v>
      </c>
      <c r="D6474" s="17" t="s">
        <v>10507</v>
      </c>
      <c r="E6474" s="17"/>
      <c r="F6474" s="17" t="s">
        <v>10780</v>
      </c>
      <c r="G6474" s="17"/>
      <c r="H6474" s="17" t="s">
        <v>12908</v>
      </c>
      <c r="I6474" s="17"/>
      <c r="J6474" s="17" t="s">
        <v>12909</v>
      </c>
      <c r="K6474" s="17"/>
      <c r="L6474" s="17" t="s">
        <v>41073</v>
      </c>
      <c r="M6474" s="17"/>
      <c r="N6474" s="17" t="s">
        <v>41074</v>
      </c>
      <c r="O6474" s="17"/>
      <c r="P6474" s="17" t="s">
        <v>41297</v>
      </c>
      <c r="Q6474" s="17"/>
      <c r="R6474" s="25" t="str">
        <f>HYPERLINK("https://ictv.global/taxonomy/taxondetails?taxnode_id=202318927","Shabtayvirus brolerae")</f>
        <v>Shabtayvirus brolerae</v>
      </c>
      <c r="S6474" s="18" t="s">
        <v>30</v>
      </c>
      <c r="T6474" s="18" t="s">
        <v>41298</v>
      </c>
      <c r="U6474" s="18"/>
      <c r="V6474" s="18" t="s">
        <v>41299</v>
      </c>
      <c r="W6474" s="18" t="s">
        <v>41300</v>
      </c>
      <c r="X6474" s="18" t="s">
        <v>42</v>
      </c>
      <c r="Y6474" s="18" t="s">
        <v>12266</v>
      </c>
      <c r="Z6474" s="18" t="s">
        <v>13441</v>
      </c>
      <c r="AA6474" s="21" t="str">
        <f>HYPERLINK("https://www.ncbi.nlm.nih.gov/nuccore/MN891788","NCBI Nucleotide")</f>
        <v>NCBI Nucleotide</v>
      </c>
    </row>
    <row r="6475" spans="1:27" x14ac:dyDescent="0.35">
      <c r="A6475">
        <v>1025428</v>
      </c>
      <c r="B6475">
        <v>6178</v>
      </c>
      <c r="C6475">
        <v>1</v>
      </c>
      <c r="D6475" s="17" t="s">
        <v>10507</v>
      </c>
      <c r="E6475" s="17"/>
      <c r="F6475" s="17" t="s">
        <v>10780</v>
      </c>
      <c r="G6475" s="17"/>
      <c r="H6475" s="17" t="s">
        <v>12908</v>
      </c>
      <c r="I6475" s="17"/>
      <c r="J6475" s="17" t="s">
        <v>12909</v>
      </c>
      <c r="K6475" s="17"/>
      <c r="L6475" s="17" t="s">
        <v>41073</v>
      </c>
      <c r="M6475" s="17"/>
      <c r="N6475" s="17" t="s">
        <v>41074</v>
      </c>
      <c r="O6475" s="17"/>
      <c r="P6475" s="17" t="s">
        <v>41297</v>
      </c>
      <c r="Q6475" s="17"/>
      <c r="R6475" s="25" t="str">
        <f>HYPERLINK("https://ictv.global/taxonomy/taxondetails?taxnode_id=202318926","Shabtayvirus lawatis")</f>
        <v>Shabtayvirus lawatis</v>
      </c>
      <c r="S6475" s="18" t="s">
        <v>30</v>
      </c>
      <c r="T6475" s="18" t="s">
        <v>41301</v>
      </c>
      <c r="U6475" s="18"/>
      <c r="V6475" s="18" t="s">
        <v>41302</v>
      </c>
      <c r="W6475" s="18" t="s">
        <v>41303</v>
      </c>
      <c r="X6475" s="18" t="s">
        <v>42</v>
      </c>
      <c r="Y6475" s="18" t="s">
        <v>12266</v>
      </c>
      <c r="Z6475" s="18" t="s">
        <v>26655</v>
      </c>
      <c r="AA6475" s="21" t="str">
        <f>HYPERLINK("https://www.ncbi.nlm.nih.gov/nuccore/MW697555","NCBI Nucleotide")</f>
        <v>NCBI Nucleotide</v>
      </c>
    </row>
    <row r="6476" spans="1:27" x14ac:dyDescent="0.35">
      <c r="A6476">
        <v>1025429</v>
      </c>
      <c r="B6476">
        <v>6179</v>
      </c>
      <c r="C6476">
        <v>1</v>
      </c>
      <c r="D6476" s="17" t="s">
        <v>10507</v>
      </c>
      <c r="E6476" s="17"/>
      <c r="F6476" s="17" t="s">
        <v>10780</v>
      </c>
      <c r="G6476" s="17"/>
      <c r="H6476" s="17" t="s">
        <v>12908</v>
      </c>
      <c r="I6476" s="17"/>
      <c r="J6476" s="17" t="s">
        <v>12909</v>
      </c>
      <c r="K6476" s="17"/>
      <c r="L6476" s="17" t="s">
        <v>41073</v>
      </c>
      <c r="M6476" s="17"/>
      <c r="N6476" s="17" t="s">
        <v>41074</v>
      </c>
      <c r="O6476" s="17"/>
      <c r="P6476" s="17" t="s">
        <v>41304</v>
      </c>
      <c r="Q6476" s="17"/>
      <c r="R6476" s="25" t="str">
        <f>HYPERLINK("https://ictv.global/taxonomy/taxondetails?taxnode_id=202318941","Shanivirus acrenis")</f>
        <v>Shanivirus acrenis</v>
      </c>
      <c r="S6476" s="18" t="s">
        <v>30</v>
      </c>
      <c r="T6476" s="18" t="s">
        <v>41305</v>
      </c>
      <c r="U6476" s="18"/>
      <c r="V6476" s="18" t="s">
        <v>41306</v>
      </c>
      <c r="W6476" s="18" t="s">
        <v>41307</v>
      </c>
      <c r="X6476" s="18" t="s">
        <v>42</v>
      </c>
      <c r="Y6476" s="18" t="s">
        <v>12266</v>
      </c>
      <c r="Z6476" s="18" t="s">
        <v>10790</v>
      </c>
      <c r="AA6476" s="21" t="str">
        <f>HYPERLINK("https://www.ncbi.nlm.nih.gov/nuccore/KM874297","NCBI Nucleotide")</f>
        <v>NCBI Nucleotide</v>
      </c>
    </row>
    <row r="6477" spans="1:27" x14ac:dyDescent="0.35">
      <c r="A6477">
        <v>1025430</v>
      </c>
      <c r="B6477">
        <v>6180</v>
      </c>
      <c r="C6477">
        <v>1</v>
      </c>
      <c r="D6477" s="17" t="s">
        <v>10507</v>
      </c>
      <c r="E6477" s="17"/>
      <c r="F6477" s="17" t="s">
        <v>10780</v>
      </c>
      <c r="G6477" s="17"/>
      <c r="H6477" s="17" t="s">
        <v>12908</v>
      </c>
      <c r="I6477" s="17"/>
      <c r="J6477" s="17" t="s">
        <v>12909</v>
      </c>
      <c r="K6477" s="17"/>
      <c r="L6477" s="17" t="s">
        <v>41073</v>
      </c>
      <c r="M6477" s="17"/>
      <c r="N6477" s="17" t="s">
        <v>41074</v>
      </c>
      <c r="O6477" s="17"/>
      <c r="P6477" s="17" t="s">
        <v>41304</v>
      </c>
      <c r="Q6477" s="17"/>
      <c r="R6477" s="25" t="str">
        <f>HYPERLINK("https://ictv.global/taxonomy/taxondetails?taxnode_id=202318937","Shanivirus airbis")</f>
        <v>Shanivirus airbis</v>
      </c>
      <c r="S6477" s="18" t="s">
        <v>30</v>
      </c>
      <c r="T6477" s="18" t="s">
        <v>41308</v>
      </c>
      <c r="U6477" s="18"/>
      <c r="V6477" s="18" t="s">
        <v>41309</v>
      </c>
      <c r="W6477" s="18" t="s">
        <v>41310</v>
      </c>
      <c r="X6477" s="18" t="s">
        <v>42</v>
      </c>
      <c r="Y6477" s="18" t="s">
        <v>12266</v>
      </c>
      <c r="Z6477" s="18" t="s">
        <v>40359</v>
      </c>
      <c r="AA6477" s="21" t="str">
        <f>HYPERLINK("https://www.ncbi.nlm.nih.gov/nuccore/MW678995","NCBI Nucleotide")</f>
        <v>NCBI Nucleotide</v>
      </c>
    </row>
    <row r="6478" spans="1:27" x14ac:dyDescent="0.35">
      <c r="A6478">
        <v>1025431</v>
      </c>
      <c r="B6478">
        <v>6181</v>
      </c>
      <c r="C6478">
        <v>1</v>
      </c>
      <c r="D6478" s="17" t="s">
        <v>10507</v>
      </c>
      <c r="E6478" s="17"/>
      <c r="F6478" s="17" t="s">
        <v>10780</v>
      </c>
      <c r="G6478" s="17"/>
      <c r="H6478" s="17" t="s">
        <v>12908</v>
      </c>
      <c r="I6478" s="17"/>
      <c r="J6478" s="17" t="s">
        <v>12909</v>
      </c>
      <c r="K6478" s="17"/>
      <c r="L6478" s="17" t="s">
        <v>41073</v>
      </c>
      <c r="M6478" s="17"/>
      <c r="N6478" s="17" t="s">
        <v>41074</v>
      </c>
      <c r="O6478" s="17"/>
      <c r="P6478" s="17" t="s">
        <v>41304</v>
      </c>
      <c r="Q6478" s="17"/>
      <c r="R6478" s="25" t="str">
        <f>HYPERLINK("https://ictv.global/taxonomy/taxondetails?taxnode_id=202318940","Shanivirus bortici")</f>
        <v>Shanivirus bortici</v>
      </c>
      <c r="S6478" s="18" t="s">
        <v>30</v>
      </c>
      <c r="T6478" s="18" t="s">
        <v>41311</v>
      </c>
      <c r="U6478" s="18"/>
      <c r="V6478" s="18" t="s">
        <v>41312</v>
      </c>
      <c r="W6478" s="18" t="s">
        <v>41313</v>
      </c>
      <c r="X6478" s="18" t="s">
        <v>42</v>
      </c>
      <c r="Y6478" s="18" t="s">
        <v>12266</v>
      </c>
      <c r="Z6478" s="18" t="s">
        <v>41209</v>
      </c>
      <c r="AA6478" s="21" t="str">
        <f>HYPERLINK("https://www.ncbi.nlm.nih.gov/nuccore/MW678999","NCBI Nucleotide")</f>
        <v>NCBI Nucleotide</v>
      </c>
    </row>
    <row r="6479" spans="1:27" x14ac:dyDescent="0.35">
      <c r="A6479">
        <v>1025432</v>
      </c>
      <c r="B6479">
        <v>6182</v>
      </c>
      <c r="C6479">
        <v>1</v>
      </c>
      <c r="D6479" s="17" t="s">
        <v>10507</v>
      </c>
      <c r="E6479" s="17"/>
      <c r="F6479" s="17" t="s">
        <v>10780</v>
      </c>
      <c r="G6479" s="17"/>
      <c r="H6479" s="17" t="s">
        <v>12908</v>
      </c>
      <c r="I6479" s="17"/>
      <c r="J6479" s="17" t="s">
        <v>12909</v>
      </c>
      <c r="K6479" s="17"/>
      <c r="L6479" s="17" t="s">
        <v>41073</v>
      </c>
      <c r="M6479" s="17"/>
      <c r="N6479" s="17" t="s">
        <v>41074</v>
      </c>
      <c r="O6479" s="17"/>
      <c r="P6479" s="17" t="s">
        <v>41304</v>
      </c>
      <c r="Q6479" s="17"/>
      <c r="R6479" s="25" t="str">
        <f>HYPERLINK("https://ictv.global/taxonomy/taxondetails?taxnode_id=202318929","Shanivirus cryonitae")</f>
        <v>Shanivirus cryonitae</v>
      </c>
      <c r="S6479" s="18" t="s">
        <v>30</v>
      </c>
      <c r="T6479" s="18" t="s">
        <v>41314</v>
      </c>
      <c r="U6479" s="18"/>
      <c r="V6479" s="18" t="s">
        <v>41315</v>
      </c>
      <c r="W6479" s="18" t="s">
        <v>41316</v>
      </c>
      <c r="X6479" s="18" t="s">
        <v>42</v>
      </c>
      <c r="Y6479" s="18" t="s">
        <v>12266</v>
      </c>
      <c r="Z6479" s="18" t="s">
        <v>26655</v>
      </c>
      <c r="AA6479" s="21" t="str">
        <f>HYPERLINK("https://www.ncbi.nlm.nih.gov/nuccore/MN328268","NCBI Nucleotide")</f>
        <v>NCBI Nucleotide</v>
      </c>
    </row>
    <row r="6480" spans="1:27" x14ac:dyDescent="0.35">
      <c r="A6480">
        <v>1025433</v>
      </c>
      <c r="B6480">
        <v>6183</v>
      </c>
      <c r="C6480">
        <v>1</v>
      </c>
      <c r="D6480" s="17" t="s">
        <v>10507</v>
      </c>
      <c r="E6480" s="17"/>
      <c r="F6480" s="17" t="s">
        <v>10780</v>
      </c>
      <c r="G6480" s="17"/>
      <c r="H6480" s="17" t="s">
        <v>12908</v>
      </c>
      <c r="I6480" s="17"/>
      <c r="J6480" s="17" t="s">
        <v>12909</v>
      </c>
      <c r="K6480" s="17"/>
      <c r="L6480" s="17" t="s">
        <v>41073</v>
      </c>
      <c r="M6480" s="17"/>
      <c r="N6480" s="17" t="s">
        <v>41074</v>
      </c>
      <c r="O6480" s="17"/>
      <c r="P6480" s="17" t="s">
        <v>41304</v>
      </c>
      <c r="Q6480" s="17"/>
      <c r="R6480" s="25" t="str">
        <f>HYPERLINK("https://ictv.global/taxonomy/taxondetails?taxnode_id=202318931","Shanivirus culiziae")</f>
        <v>Shanivirus culiziae</v>
      </c>
      <c r="S6480" s="18" t="s">
        <v>30</v>
      </c>
      <c r="T6480" s="18" t="s">
        <v>41317</v>
      </c>
      <c r="U6480" s="18"/>
      <c r="V6480" s="18" t="s">
        <v>41318</v>
      </c>
      <c r="W6480" s="18" t="s">
        <v>41319</v>
      </c>
      <c r="X6480" s="18" t="s">
        <v>42</v>
      </c>
      <c r="Y6480" s="18" t="s">
        <v>12266</v>
      </c>
      <c r="Z6480" s="18" t="s">
        <v>10790</v>
      </c>
      <c r="AA6480" s="21" t="str">
        <f>HYPERLINK("https://www.ncbi.nlm.nih.gov/nuccore/KP153458","NCBI Nucleotide")</f>
        <v>NCBI Nucleotide</v>
      </c>
    </row>
    <row r="6481" spans="1:27" x14ac:dyDescent="0.35">
      <c r="A6481">
        <v>1025434</v>
      </c>
      <c r="B6481">
        <v>6184</v>
      </c>
      <c r="C6481">
        <v>1</v>
      </c>
      <c r="D6481" s="17" t="s">
        <v>10507</v>
      </c>
      <c r="E6481" s="17"/>
      <c r="F6481" s="17" t="s">
        <v>10780</v>
      </c>
      <c r="G6481" s="17"/>
      <c r="H6481" s="17" t="s">
        <v>12908</v>
      </c>
      <c r="I6481" s="17"/>
      <c r="J6481" s="17" t="s">
        <v>12909</v>
      </c>
      <c r="K6481" s="17"/>
      <c r="L6481" s="17" t="s">
        <v>41073</v>
      </c>
      <c r="M6481" s="17"/>
      <c r="N6481" s="17" t="s">
        <v>41074</v>
      </c>
      <c r="O6481" s="17"/>
      <c r="P6481" s="17" t="s">
        <v>41304</v>
      </c>
      <c r="Q6481" s="17"/>
      <c r="R6481" s="25" t="str">
        <f>HYPERLINK("https://ictv.global/taxonomy/taxondetails?taxnode_id=202318934","Shanivirus lawatis")</f>
        <v>Shanivirus lawatis</v>
      </c>
      <c r="S6481" s="18" t="s">
        <v>30</v>
      </c>
      <c r="T6481" s="18" t="s">
        <v>41320</v>
      </c>
      <c r="U6481" s="18"/>
      <c r="V6481" s="18" t="s">
        <v>41321</v>
      </c>
      <c r="W6481" s="18" t="s">
        <v>41322</v>
      </c>
      <c r="X6481" s="18" t="s">
        <v>42</v>
      </c>
      <c r="Y6481" s="18" t="s">
        <v>12266</v>
      </c>
      <c r="Z6481" s="18" t="s">
        <v>26655</v>
      </c>
      <c r="AA6481" s="21" t="str">
        <f>HYPERLINK("https://www.ncbi.nlm.nih.gov/nuccore/MW697497","NCBI Nucleotide")</f>
        <v>NCBI Nucleotide</v>
      </c>
    </row>
    <row r="6482" spans="1:27" x14ac:dyDescent="0.35">
      <c r="A6482">
        <v>1025435</v>
      </c>
      <c r="B6482">
        <v>6185</v>
      </c>
      <c r="C6482">
        <v>1</v>
      </c>
      <c r="D6482" s="17" t="s">
        <v>10507</v>
      </c>
      <c r="E6482" s="17"/>
      <c r="F6482" s="17" t="s">
        <v>10780</v>
      </c>
      <c r="G6482" s="17"/>
      <c r="H6482" s="17" t="s">
        <v>12908</v>
      </c>
      <c r="I6482" s="17"/>
      <c r="J6482" s="17" t="s">
        <v>12909</v>
      </c>
      <c r="K6482" s="17"/>
      <c r="L6482" s="17" t="s">
        <v>41073</v>
      </c>
      <c r="M6482" s="17"/>
      <c r="N6482" s="17" t="s">
        <v>41074</v>
      </c>
      <c r="O6482" s="17"/>
      <c r="P6482" s="17" t="s">
        <v>41304</v>
      </c>
      <c r="Q6482" s="17"/>
      <c r="R6482" s="25" t="str">
        <f>HYPERLINK("https://ictv.global/taxonomy/taxondetails?taxnode_id=202318928","Shanivirus maringis")</f>
        <v>Shanivirus maringis</v>
      </c>
      <c r="S6482" s="18" t="s">
        <v>30</v>
      </c>
      <c r="T6482" s="18" t="s">
        <v>41323</v>
      </c>
      <c r="U6482" s="18"/>
      <c r="V6482" s="18" t="s">
        <v>41324</v>
      </c>
      <c r="W6482" s="18" t="s">
        <v>41325</v>
      </c>
      <c r="X6482" s="18" t="s">
        <v>42</v>
      </c>
      <c r="Y6482" s="18" t="s">
        <v>12266</v>
      </c>
      <c r="Z6482" s="18" t="s">
        <v>26655</v>
      </c>
      <c r="AA6482" s="21" t="str">
        <f>HYPERLINK("https://www.ncbi.nlm.nih.gov/nuccore/MW202578","NCBI Nucleotide")</f>
        <v>NCBI Nucleotide</v>
      </c>
    </row>
    <row r="6483" spans="1:27" x14ac:dyDescent="0.35">
      <c r="A6483">
        <v>1025436</v>
      </c>
      <c r="B6483">
        <v>6186</v>
      </c>
      <c r="C6483">
        <v>1</v>
      </c>
      <c r="D6483" s="17" t="s">
        <v>10507</v>
      </c>
      <c r="E6483" s="17"/>
      <c r="F6483" s="17" t="s">
        <v>10780</v>
      </c>
      <c r="G6483" s="17"/>
      <c r="H6483" s="17" t="s">
        <v>12908</v>
      </c>
      <c r="I6483" s="17"/>
      <c r="J6483" s="17" t="s">
        <v>12909</v>
      </c>
      <c r="K6483" s="17"/>
      <c r="L6483" s="17" t="s">
        <v>41073</v>
      </c>
      <c r="M6483" s="17"/>
      <c r="N6483" s="17" t="s">
        <v>41074</v>
      </c>
      <c r="O6483" s="17"/>
      <c r="P6483" s="17" t="s">
        <v>41304</v>
      </c>
      <c r="Q6483" s="17"/>
      <c r="R6483" s="25" t="str">
        <f>HYPERLINK("https://ictv.global/taxonomy/taxondetails?taxnode_id=202318930","Shanivirus neozealandicus")</f>
        <v>Shanivirus neozealandicus</v>
      </c>
      <c r="S6483" s="18" t="s">
        <v>30</v>
      </c>
      <c r="T6483" s="18" t="s">
        <v>41326</v>
      </c>
      <c r="U6483" s="18"/>
      <c r="V6483" s="18" t="s">
        <v>41327</v>
      </c>
      <c r="W6483" s="18" t="s">
        <v>41328</v>
      </c>
      <c r="X6483" s="18" t="s">
        <v>42</v>
      </c>
      <c r="Y6483" s="18" t="s">
        <v>12266</v>
      </c>
      <c r="Z6483" s="18" t="s">
        <v>26655</v>
      </c>
      <c r="AA6483" s="21" t="str">
        <f>HYPERLINK("https://www.ncbi.nlm.nih.gov/nuccore/KP153393","NCBI Nucleotide")</f>
        <v>NCBI Nucleotide</v>
      </c>
    </row>
    <row r="6484" spans="1:27" x14ac:dyDescent="0.35">
      <c r="A6484">
        <v>1025437</v>
      </c>
      <c r="B6484">
        <v>6187</v>
      </c>
      <c r="C6484">
        <v>1</v>
      </c>
      <c r="D6484" s="17" t="s">
        <v>10507</v>
      </c>
      <c r="E6484" s="17"/>
      <c r="F6484" s="17" t="s">
        <v>10780</v>
      </c>
      <c r="G6484" s="17"/>
      <c r="H6484" s="17" t="s">
        <v>12908</v>
      </c>
      <c r="I6484" s="17"/>
      <c r="J6484" s="17" t="s">
        <v>12909</v>
      </c>
      <c r="K6484" s="17"/>
      <c r="L6484" s="17" t="s">
        <v>41073</v>
      </c>
      <c r="M6484" s="17"/>
      <c r="N6484" s="17" t="s">
        <v>41074</v>
      </c>
      <c r="O6484" s="17"/>
      <c r="P6484" s="17" t="s">
        <v>41304</v>
      </c>
      <c r="Q6484" s="17"/>
      <c r="R6484" s="25" t="str">
        <f>HYPERLINK("https://ictv.global/taxonomy/taxondetails?taxnode_id=202318936","Shanivirus particulae")</f>
        <v>Shanivirus particulae</v>
      </c>
      <c r="S6484" s="18" t="s">
        <v>30</v>
      </c>
      <c r="T6484" s="18" t="s">
        <v>41329</v>
      </c>
      <c r="U6484" s="18"/>
      <c r="V6484" s="18" t="s">
        <v>41330</v>
      </c>
      <c r="W6484" s="18" t="s">
        <v>41331</v>
      </c>
      <c r="X6484" s="18" t="s">
        <v>42</v>
      </c>
      <c r="Y6484" s="18" t="s">
        <v>12266</v>
      </c>
      <c r="Z6484" s="18" t="s">
        <v>40359</v>
      </c>
      <c r="AA6484" s="21" t="str">
        <f>HYPERLINK("https://www.ncbi.nlm.nih.gov/nuccore/MW678994","NCBI Nucleotide")</f>
        <v>NCBI Nucleotide</v>
      </c>
    </row>
    <row r="6485" spans="1:27" x14ac:dyDescent="0.35">
      <c r="A6485">
        <v>1025438</v>
      </c>
      <c r="B6485">
        <v>6188</v>
      </c>
      <c r="C6485">
        <v>1</v>
      </c>
      <c r="D6485" s="17" t="s">
        <v>10507</v>
      </c>
      <c r="E6485" s="17"/>
      <c r="F6485" s="17" t="s">
        <v>10780</v>
      </c>
      <c r="G6485" s="17"/>
      <c r="H6485" s="17" t="s">
        <v>12908</v>
      </c>
      <c r="I6485" s="17"/>
      <c r="J6485" s="17" t="s">
        <v>12909</v>
      </c>
      <c r="K6485" s="17"/>
      <c r="L6485" s="17" t="s">
        <v>41073</v>
      </c>
      <c r="M6485" s="17"/>
      <c r="N6485" s="17" t="s">
        <v>41074</v>
      </c>
      <c r="O6485" s="17"/>
      <c r="P6485" s="17" t="s">
        <v>41304</v>
      </c>
      <c r="Q6485" s="17"/>
      <c r="R6485" s="25" t="str">
        <f>HYPERLINK("https://ictv.global/taxonomy/taxondetails?taxnode_id=202318939","Shanivirus partimae")</f>
        <v>Shanivirus partimae</v>
      </c>
      <c r="S6485" s="18" t="s">
        <v>30</v>
      </c>
      <c r="T6485" s="18" t="s">
        <v>41332</v>
      </c>
      <c r="U6485" s="18"/>
      <c r="V6485" s="18" t="s">
        <v>41333</v>
      </c>
      <c r="W6485" s="18" t="s">
        <v>41334</v>
      </c>
      <c r="X6485" s="18" t="s">
        <v>42</v>
      </c>
      <c r="Y6485" s="18" t="s">
        <v>12266</v>
      </c>
      <c r="Z6485" s="18" t="s">
        <v>16726</v>
      </c>
      <c r="AA6485" s="21" t="str">
        <f>HYPERLINK("https://www.ncbi.nlm.nih.gov/nuccore/MW678991","NCBI Nucleotide")</f>
        <v>NCBI Nucleotide</v>
      </c>
    </row>
    <row r="6486" spans="1:27" x14ac:dyDescent="0.35">
      <c r="A6486">
        <v>1025439</v>
      </c>
      <c r="B6486">
        <v>6189</v>
      </c>
      <c r="C6486">
        <v>1</v>
      </c>
      <c r="D6486" s="17" t="s">
        <v>10507</v>
      </c>
      <c r="E6486" s="17"/>
      <c r="F6486" s="17" t="s">
        <v>10780</v>
      </c>
      <c r="G6486" s="17"/>
      <c r="H6486" s="17" t="s">
        <v>12908</v>
      </c>
      <c r="I6486" s="17"/>
      <c r="J6486" s="17" t="s">
        <v>12909</v>
      </c>
      <c r="K6486" s="17"/>
      <c r="L6486" s="17" t="s">
        <v>41073</v>
      </c>
      <c r="M6486" s="17"/>
      <c r="N6486" s="17" t="s">
        <v>41074</v>
      </c>
      <c r="O6486" s="17"/>
      <c r="P6486" s="17" t="s">
        <v>41304</v>
      </c>
      <c r="Q6486" s="17"/>
      <c r="R6486" s="25" t="str">
        <f>HYPERLINK("https://ictv.global/taxonomy/taxondetails?taxnode_id=202318938","Shanivirus pondae")</f>
        <v>Shanivirus pondae</v>
      </c>
      <c r="S6486" s="18" t="s">
        <v>30</v>
      </c>
      <c r="T6486" s="18" t="s">
        <v>41335</v>
      </c>
      <c r="U6486" s="18"/>
      <c r="V6486" s="18" t="s">
        <v>41336</v>
      </c>
      <c r="W6486" s="18" t="s">
        <v>41337</v>
      </c>
      <c r="X6486" s="18" t="s">
        <v>42</v>
      </c>
      <c r="Y6486" s="18" t="s">
        <v>12266</v>
      </c>
      <c r="Z6486" s="18" t="s">
        <v>16726</v>
      </c>
      <c r="AA6486" s="21" t="str">
        <f>HYPERLINK("https://www.ncbi.nlm.nih.gov/nuccore/KM821754","NCBI Nucleotide")</f>
        <v>NCBI Nucleotide</v>
      </c>
    </row>
    <row r="6487" spans="1:27" x14ac:dyDescent="0.35">
      <c r="A6487">
        <v>1025440</v>
      </c>
      <c r="B6487">
        <v>6190</v>
      </c>
      <c r="C6487">
        <v>1</v>
      </c>
      <c r="D6487" s="17" t="s">
        <v>10507</v>
      </c>
      <c r="E6487" s="17"/>
      <c r="F6487" s="17" t="s">
        <v>10780</v>
      </c>
      <c r="G6487" s="17"/>
      <c r="H6487" s="17" t="s">
        <v>12908</v>
      </c>
      <c r="I6487" s="17"/>
      <c r="J6487" s="17" t="s">
        <v>12909</v>
      </c>
      <c r="K6487" s="17"/>
      <c r="L6487" s="17" t="s">
        <v>41073</v>
      </c>
      <c r="M6487" s="17"/>
      <c r="N6487" s="17" t="s">
        <v>41074</v>
      </c>
      <c r="O6487" s="17"/>
      <c r="P6487" s="17" t="s">
        <v>41304</v>
      </c>
      <c r="Q6487" s="17"/>
      <c r="R6487" s="25" t="str">
        <f>HYPERLINK("https://ictv.global/taxonomy/taxondetails?taxnode_id=202318932","Shanivirus sewoxi")</f>
        <v>Shanivirus sewoxi</v>
      </c>
      <c r="S6487" s="18" t="s">
        <v>30</v>
      </c>
      <c r="T6487" s="18" t="s">
        <v>41338</v>
      </c>
      <c r="U6487" s="18"/>
      <c r="V6487" s="18" t="s">
        <v>41339</v>
      </c>
      <c r="W6487" s="18" t="s">
        <v>41340</v>
      </c>
      <c r="X6487" s="18" t="s">
        <v>42</v>
      </c>
      <c r="Y6487" s="18" t="s">
        <v>12266</v>
      </c>
      <c r="Z6487" s="18" t="s">
        <v>16726</v>
      </c>
      <c r="AA6487" s="21" t="str">
        <f>HYPERLINK("https://www.ncbi.nlm.nih.gov/nuccore/KM821767","NCBI Nucleotide")</f>
        <v>NCBI Nucleotide</v>
      </c>
    </row>
    <row r="6488" spans="1:27" x14ac:dyDescent="0.35">
      <c r="A6488">
        <v>1025441</v>
      </c>
      <c r="B6488">
        <v>6191</v>
      </c>
      <c r="C6488">
        <v>1</v>
      </c>
      <c r="D6488" s="17" t="s">
        <v>10507</v>
      </c>
      <c r="E6488" s="17"/>
      <c r="F6488" s="17" t="s">
        <v>10780</v>
      </c>
      <c r="G6488" s="17"/>
      <c r="H6488" s="17" t="s">
        <v>12908</v>
      </c>
      <c r="I6488" s="17"/>
      <c r="J6488" s="17" t="s">
        <v>12909</v>
      </c>
      <c r="K6488" s="17"/>
      <c r="L6488" s="17" t="s">
        <v>41073</v>
      </c>
      <c r="M6488" s="17"/>
      <c r="N6488" s="17" t="s">
        <v>41074</v>
      </c>
      <c r="O6488" s="17"/>
      <c r="P6488" s="17" t="s">
        <v>41304</v>
      </c>
      <c r="Q6488" s="17"/>
      <c r="R6488" s="25" t="str">
        <f>HYPERLINK("https://ictv.global/taxonomy/taxondetails?taxnode_id=202318935","Shanivirus waseris")</f>
        <v>Shanivirus waseris</v>
      </c>
      <c r="S6488" s="18" t="s">
        <v>30</v>
      </c>
      <c r="T6488" s="18" t="s">
        <v>41341</v>
      </c>
      <c r="U6488" s="18"/>
      <c r="V6488" s="18" t="s">
        <v>41342</v>
      </c>
      <c r="W6488" s="18" t="s">
        <v>41343</v>
      </c>
      <c r="X6488" s="18" t="s">
        <v>42</v>
      </c>
      <c r="Y6488" s="18" t="s">
        <v>12266</v>
      </c>
      <c r="Z6488" s="18" t="s">
        <v>16726</v>
      </c>
      <c r="AA6488" s="21" t="str">
        <f>HYPERLINK("https://www.ncbi.nlm.nih.gov/nuccore/KY487785","NCBI Nucleotide")</f>
        <v>NCBI Nucleotide</v>
      </c>
    </row>
    <row r="6489" spans="1:27" x14ac:dyDescent="0.35">
      <c r="A6489">
        <v>1025442</v>
      </c>
      <c r="B6489">
        <v>6192</v>
      </c>
      <c r="C6489">
        <v>1</v>
      </c>
      <c r="D6489" s="17" t="s">
        <v>10507</v>
      </c>
      <c r="E6489" s="17"/>
      <c r="F6489" s="17" t="s">
        <v>10780</v>
      </c>
      <c r="G6489" s="17"/>
      <c r="H6489" s="17" t="s">
        <v>12908</v>
      </c>
      <c r="I6489" s="17"/>
      <c r="J6489" s="17" t="s">
        <v>12909</v>
      </c>
      <c r="K6489" s="17"/>
      <c r="L6489" s="17" t="s">
        <v>41073</v>
      </c>
      <c r="M6489" s="17"/>
      <c r="N6489" s="17" t="s">
        <v>41074</v>
      </c>
      <c r="O6489" s="17"/>
      <c r="P6489" s="17" t="s">
        <v>41304</v>
      </c>
      <c r="Q6489" s="17"/>
      <c r="R6489" s="25" t="str">
        <f>HYPERLINK("https://ictv.global/taxonomy/taxondetails?taxnode_id=202318933","Shanivirus yangris")</f>
        <v>Shanivirus yangris</v>
      </c>
      <c r="S6489" s="18" t="s">
        <v>30</v>
      </c>
      <c r="T6489" s="18" t="s">
        <v>41344</v>
      </c>
      <c r="U6489" s="18"/>
      <c r="V6489" s="18" t="s">
        <v>41345</v>
      </c>
      <c r="W6489" s="18" t="s">
        <v>41346</v>
      </c>
      <c r="X6489" s="18" t="s">
        <v>42</v>
      </c>
      <c r="Y6489" s="18" t="s">
        <v>12266</v>
      </c>
      <c r="Z6489" s="18" t="s">
        <v>26655</v>
      </c>
      <c r="AA6489" s="21" t="str">
        <f>HYPERLINK("https://www.ncbi.nlm.nih.gov/nuccore/MW347479","NCBI Nucleotide")</f>
        <v>NCBI Nucleotide</v>
      </c>
    </row>
    <row r="6490" spans="1:27" x14ac:dyDescent="0.35">
      <c r="A6490">
        <v>1025425</v>
      </c>
      <c r="B6490">
        <v>6193</v>
      </c>
      <c r="C6490">
        <v>1</v>
      </c>
      <c r="D6490" s="17" t="s">
        <v>10507</v>
      </c>
      <c r="E6490" s="17"/>
      <c r="F6490" s="17" t="s">
        <v>10780</v>
      </c>
      <c r="G6490" s="17"/>
      <c r="H6490" s="17" t="s">
        <v>12908</v>
      </c>
      <c r="I6490" s="17"/>
      <c r="J6490" s="17" t="s">
        <v>12909</v>
      </c>
      <c r="K6490" s="17"/>
      <c r="L6490" s="17" t="s">
        <v>41073</v>
      </c>
      <c r="M6490" s="17"/>
      <c r="N6490" s="17" t="s">
        <v>41074</v>
      </c>
      <c r="O6490" s="17"/>
      <c r="P6490" s="17" t="s">
        <v>41347</v>
      </c>
      <c r="Q6490" s="17"/>
      <c r="R6490" s="25" t="str">
        <f>HYPERLINK("https://ictv.global/taxonomy/taxondetails?taxnode_id=202318943","Sickelvirus hydris")</f>
        <v>Sickelvirus hydris</v>
      </c>
      <c r="S6490" s="18" t="s">
        <v>30</v>
      </c>
      <c r="T6490" s="18" t="s">
        <v>41348</v>
      </c>
      <c r="U6490" s="18"/>
      <c r="V6490" s="18" t="s">
        <v>41349</v>
      </c>
      <c r="W6490" s="18" t="s">
        <v>41350</v>
      </c>
      <c r="X6490" s="18" t="s">
        <v>42</v>
      </c>
      <c r="Y6490" s="18" t="s">
        <v>12266</v>
      </c>
      <c r="Z6490" s="18" t="s">
        <v>166</v>
      </c>
      <c r="AA6490" s="21" t="str">
        <f>HYPERLINK("https://www.ncbi.nlm.nih.gov/nuccore/MK570187","NCBI Nucleotide")</f>
        <v>NCBI Nucleotide</v>
      </c>
    </row>
    <row r="6491" spans="1:27" x14ac:dyDescent="0.35">
      <c r="A6491">
        <v>1025426</v>
      </c>
      <c r="B6491">
        <v>6194</v>
      </c>
      <c r="C6491">
        <v>1</v>
      </c>
      <c r="D6491" s="17" t="s">
        <v>10507</v>
      </c>
      <c r="E6491" s="17"/>
      <c r="F6491" s="17" t="s">
        <v>10780</v>
      </c>
      <c r="G6491" s="17"/>
      <c r="H6491" s="17" t="s">
        <v>12908</v>
      </c>
      <c r="I6491" s="17"/>
      <c r="J6491" s="17" t="s">
        <v>12909</v>
      </c>
      <c r="K6491" s="17"/>
      <c r="L6491" s="17" t="s">
        <v>41073</v>
      </c>
      <c r="M6491" s="17"/>
      <c r="N6491" s="17" t="s">
        <v>41074</v>
      </c>
      <c r="O6491" s="17"/>
      <c r="P6491" s="17" t="s">
        <v>41347</v>
      </c>
      <c r="Q6491" s="17"/>
      <c r="R6491" s="25" t="str">
        <f>HYPERLINK("https://ictv.global/taxonomy/taxondetails?taxnode_id=202318942","Sickelvirus maringis")</f>
        <v>Sickelvirus maringis</v>
      </c>
      <c r="S6491" s="18" t="s">
        <v>30</v>
      </c>
      <c r="T6491" s="18" t="s">
        <v>41351</v>
      </c>
      <c r="U6491" s="18"/>
      <c r="V6491" s="18" t="s">
        <v>41352</v>
      </c>
      <c r="W6491" s="18" t="s">
        <v>41353</v>
      </c>
      <c r="X6491" s="18" t="s">
        <v>42</v>
      </c>
      <c r="Y6491" s="18" t="s">
        <v>12266</v>
      </c>
      <c r="Z6491" s="18" t="s">
        <v>10790</v>
      </c>
      <c r="AA6491" s="21" t="str">
        <f>HYPERLINK("https://www.ncbi.nlm.nih.gov/nuccore/MW202831","NCBI Nucleotide")</f>
        <v>NCBI Nucleotide</v>
      </c>
    </row>
    <row r="6492" spans="1:27" x14ac:dyDescent="0.35">
      <c r="A6492">
        <v>1025399</v>
      </c>
      <c r="B6492">
        <v>6195</v>
      </c>
      <c r="C6492">
        <v>1</v>
      </c>
      <c r="D6492" s="17" t="s">
        <v>10507</v>
      </c>
      <c r="E6492" s="17"/>
      <c r="F6492" s="17" t="s">
        <v>10780</v>
      </c>
      <c r="G6492" s="17"/>
      <c r="H6492" s="17" t="s">
        <v>12908</v>
      </c>
      <c r="I6492" s="17"/>
      <c r="J6492" s="17" t="s">
        <v>12909</v>
      </c>
      <c r="K6492" s="17"/>
      <c r="L6492" s="17" t="s">
        <v>41073</v>
      </c>
      <c r="M6492" s="17"/>
      <c r="N6492" s="17" t="s">
        <v>41074</v>
      </c>
      <c r="O6492" s="17"/>
      <c r="P6492" s="17" t="s">
        <v>41354</v>
      </c>
      <c r="Q6492" s="17"/>
      <c r="R6492" s="25" t="str">
        <f>HYPERLINK("https://ictv.global/taxonomy/taxondetails?taxnode_id=202318944","Tuxingvirus gruidis")</f>
        <v>Tuxingvirus gruidis</v>
      </c>
      <c r="S6492" s="18" t="s">
        <v>30</v>
      </c>
      <c r="T6492" s="18" t="s">
        <v>41355</v>
      </c>
      <c r="U6492" s="18"/>
      <c r="V6492" s="18" t="s">
        <v>41356</v>
      </c>
      <c r="W6492" s="18" t="s">
        <v>41357</v>
      </c>
      <c r="X6492" s="18" t="s">
        <v>42</v>
      </c>
      <c r="Y6492" s="18" t="s">
        <v>12266</v>
      </c>
      <c r="Z6492" s="18" t="s">
        <v>166</v>
      </c>
      <c r="AA6492" s="21" t="str">
        <f>HYPERLINK("https://www.ncbi.nlm.nih.gov/nuccore/MN928956","NCBI Nucleotide")</f>
        <v>NCBI Nucleotide</v>
      </c>
    </row>
    <row r="6493" spans="1:27" x14ac:dyDescent="0.35">
      <c r="A6493">
        <v>1025591</v>
      </c>
      <c r="B6493">
        <v>6196</v>
      </c>
      <c r="C6493">
        <v>1</v>
      </c>
      <c r="D6493" s="17" t="s">
        <v>10507</v>
      </c>
      <c r="E6493" s="17"/>
      <c r="F6493" s="17" t="s">
        <v>10780</v>
      </c>
      <c r="G6493" s="17"/>
      <c r="H6493" s="17" t="s">
        <v>12908</v>
      </c>
      <c r="I6493" s="17"/>
      <c r="J6493" s="17" t="s">
        <v>12909</v>
      </c>
      <c r="K6493" s="17"/>
      <c r="L6493" s="17" t="s">
        <v>41073</v>
      </c>
      <c r="M6493" s="17"/>
      <c r="N6493" s="17" t="s">
        <v>41074</v>
      </c>
      <c r="O6493" s="17"/>
      <c r="P6493" s="17" t="s">
        <v>51028</v>
      </c>
      <c r="Q6493" s="17"/>
      <c r="R6493" s="25" t="str">
        <f>HYPERLINK("https://ictv.global/taxonomy/taxondetails?taxnode_id=202318945","Zohalivirus maramis")</f>
        <v>Zohalivirus maramis</v>
      </c>
      <c r="S6493" s="18" t="s">
        <v>30</v>
      </c>
      <c r="T6493" s="18" t="s">
        <v>41358</v>
      </c>
      <c r="U6493" s="18"/>
      <c r="V6493" s="18" t="s">
        <v>41359</v>
      </c>
      <c r="W6493" s="18" t="s">
        <v>41360</v>
      </c>
      <c r="X6493" s="18" t="s">
        <v>42</v>
      </c>
      <c r="Y6493" s="18" t="s">
        <v>12266</v>
      </c>
      <c r="Z6493" s="18" t="s">
        <v>166</v>
      </c>
      <c r="AA6493" s="21" t="str">
        <f>HYPERLINK("https://www.ncbi.nlm.nih.gov/nuccore/OP549819","NCBI Nucleotide")</f>
        <v>NCBI Nucleotide</v>
      </c>
    </row>
    <row r="6494" spans="1:27" x14ac:dyDescent="0.35">
      <c r="A6494">
        <v>1025592</v>
      </c>
      <c r="B6494">
        <v>6197</v>
      </c>
      <c r="C6494">
        <v>1</v>
      </c>
      <c r="D6494" s="17" t="s">
        <v>10507</v>
      </c>
      <c r="E6494" s="17"/>
      <c r="F6494" s="17" t="s">
        <v>10780</v>
      </c>
      <c r="G6494" s="17"/>
      <c r="H6494" s="17" t="s">
        <v>12908</v>
      </c>
      <c r="I6494" s="17"/>
      <c r="J6494" s="17" t="s">
        <v>12909</v>
      </c>
      <c r="K6494" s="17"/>
      <c r="L6494" s="17" t="s">
        <v>41073</v>
      </c>
      <c r="M6494" s="17"/>
      <c r="N6494" s="17" t="s">
        <v>41074</v>
      </c>
      <c r="O6494" s="17"/>
      <c r="P6494" s="17" t="s">
        <v>41361</v>
      </c>
      <c r="Q6494" s="17"/>
      <c r="R6494" s="25" t="str">
        <f>HYPERLINK("https://ictv.global/taxonomy/taxondetails?taxnode_id=202318946","Zuhalvirus cruti")</f>
        <v>Zuhalvirus cruti</v>
      </c>
      <c r="S6494" s="18" t="s">
        <v>30</v>
      </c>
      <c r="T6494" s="18" t="s">
        <v>41362</v>
      </c>
      <c r="U6494" s="18"/>
      <c r="V6494" s="18" t="s">
        <v>41363</v>
      </c>
      <c r="W6494" s="18" t="s">
        <v>41364</v>
      </c>
      <c r="X6494" s="18" t="s">
        <v>42</v>
      </c>
      <c r="Y6494" s="18" t="s">
        <v>12266</v>
      </c>
      <c r="Z6494" s="18" t="s">
        <v>166</v>
      </c>
      <c r="AA6494" s="21" t="str">
        <f>HYPERLINK("https://www.ncbi.nlm.nih.gov/nuccore/MK012507","NCBI Nucleotide")</f>
        <v>NCBI Nucleotide</v>
      </c>
    </row>
    <row r="6495" spans="1:27" x14ac:dyDescent="0.35">
      <c r="A6495">
        <v>1025321</v>
      </c>
      <c r="B6495">
        <v>6198</v>
      </c>
      <c r="C6495">
        <v>1</v>
      </c>
      <c r="D6495" s="17" t="s">
        <v>10507</v>
      </c>
      <c r="E6495" s="17"/>
      <c r="F6495" s="17" t="s">
        <v>10780</v>
      </c>
      <c r="G6495" s="17"/>
      <c r="H6495" s="17" t="s">
        <v>12908</v>
      </c>
      <c r="I6495" s="17"/>
      <c r="J6495" s="17" t="s">
        <v>12909</v>
      </c>
      <c r="K6495" s="17"/>
      <c r="L6495" s="17" t="s">
        <v>41073</v>
      </c>
      <c r="M6495" s="17"/>
      <c r="N6495" s="17" t="s">
        <v>41365</v>
      </c>
      <c r="O6495" s="17"/>
      <c r="P6495" s="17" t="s">
        <v>41366</v>
      </c>
      <c r="Q6495" s="17"/>
      <c r="R6495" s="25" t="str">
        <f>HYPERLINK("https://ictv.global/taxonomy/taxondetails?taxnode_id=202318947","Acamarivirus apogeeis")</f>
        <v>Acamarivirus apogeeis</v>
      </c>
      <c r="S6495" s="18" t="s">
        <v>30</v>
      </c>
      <c r="T6495" s="18" t="s">
        <v>41367</v>
      </c>
      <c r="U6495" s="18"/>
      <c r="V6495" s="18" t="s">
        <v>41368</v>
      </c>
      <c r="W6495" s="18" t="s">
        <v>41369</v>
      </c>
      <c r="X6495" s="18" t="s">
        <v>42</v>
      </c>
      <c r="Y6495" s="18" t="s">
        <v>12266</v>
      </c>
      <c r="Z6495" s="18" t="s">
        <v>166</v>
      </c>
      <c r="AA6495" s="21" t="str">
        <f>HYPERLINK("https://www.ncbi.nlm.nih.gov/nuccore/MT181545","NCBI Nucleotide")</f>
        <v>NCBI Nucleotide</v>
      </c>
    </row>
    <row r="6496" spans="1:27" x14ac:dyDescent="0.35">
      <c r="A6496">
        <v>1025322</v>
      </c>
      <c r="B6496">
        <v>6199</v>
      </c>
      <c r="C6496">
        <v>1</v>
      </c>
      <c r="D6496" s="17" t="s">
        <v>10507</v>
      </c>
      <c r="E6496" s="17"/>
      <c r="F6496" s="17" t="s">
        <v>10780</v>
      </c>
      <c r="G6496" s="17"/>
      <c r="H6496" s="17" t="s">
        <v>12908</v>
      </c>
      <c r="I6496" s="17"/>
      <c r="J6496" s="17" t="s">
        <v>12909</v>
      </c>
      <c r="K6496" s="17"/>
      <c r="L6496" s="17" t="s">
        <v>41073</v>
      </c>
      <c r="M6496" s="17"/>
      <c r="N6496" s="17" t="s">
        <v>41365</v>
      </c>
      <c r="O6496" s="17"/>
      <c r="P6496" s="17" t="s">
        <v>41366</v>
      </c>
      <c r="Q6496" s="17"/>
      <c r="R6496" s="25" t="str">
        <f>HYPERLINK("https://ictv.global/taxonomy/taxondetails?taxnode_id=202318948","Acamarivirus cometis")</f>
        <v>Acamarivirus cometis</v>
      </c>
      <c r="S6496" s="18" t="s">
        <v>30</v>
      </c>
      <c r="T6496" s="18" t="s">
        <v>41370</v>
      </c>
      <c r="U6496" s="18"/>
      <c r="V6496" s="18" t="s">
        <v>41371</v>
      </c>
      <c r="W6496" s="18" t="s">
        <v>41372</v>
      </c>
      <c r="X6496" s="18" t="s">
        <v>42</v>
      </c>
      <c r="Y6496" s="18" t="s">
        <v>12266</v>
      </c>
      <c r="Z6496" s="18" t="s">
        <v>166</v>
      </c>
      <c r="AA6496" s="21" t="str">
        <f>HYPERLINK("https://www.ncbi.nlm.nih.gov/nuccore/KJ641730","NCBI Nucleotide")</f>
        <v>NCBI Nucleotide</v>
      </c>
    </row>
    <row r="6497" spans="1:27" x14ac:dyDescent="0.35">
      <c r="A6497">
        <v>1025323</v>
      </c>
      <c r="B6497">
        <v>6200</v>
      </c>
      <c r="C6497">
        <v>1</v>
      </c>
      <c r="D6497" s="17" t="s">
        <v>10507</v>
      </c>
      <c r="E6497" s="17"/>
      <c r="F6497" s="17" t="s">
        <v>10780</v>
      </c>
      <c r="G6497" s="17"/>
      <c r="H6497" s="17" t="s">
        <v>12908</v>
      </c>
      <c r="I6497" s="17"/>
      <c r="J6497" s="17" t="s">
        <v>12909</v>
      </c>
      <c r="K6497" s="17"/>
      <c r="L6497" s="17" t="s">
        <v>41073</v>
      </c>
      <c r="M6497" s="17"/>
      <c r="N6497" s="17" t="s">
        <v>41365</v>
      </c>
      <c r="O6497" s="17"/>
      <c r="P6497" s="17" t="s">
        <v>41366</v>
      </c>
      <c r="Q6497" s="17"/>
      <c r="R6497" s="25" t="str">
        <f>HYPERLINK("https://ictv.global/taxonomy/taxondetails?taxnode_id=202318949","Acamarivirus faculaes")</f>
        <v>Acamarivirus faculaes</v>
      </c>
      <c r="S6497" s="18" t="s">
        <v>30</v>
      </c>
      <c r="T6497" s="18" t="s">
        <v>41373</v>
      </c>
      <c r="U6497" s="18"/>
      <c r="V6497" s="18" t="s">
        <v>41374</v>
      </c>
      <c r="W6497" s="18" t="s">
        <v>41375</v>
      </c>
      <c r="X6497" s="18" t="s">
        <v>42</v>
      </c>
      <c r="Y6497" s="18" t="s">
        <v>12266</v>
      </c>
      <c r="Z6497" s="18" t="s">
        <v>166</v>
      </c>
      <c r="AA6497" s="21" t="str">
        <f>HYPERLINK("https://www.ncbi.nlm.nih.gov/nuccore/MH617345","NCBI Nucleotide")</f>
        <v>NCBI Nucleotide</v>
      </c>
    </row>
    <row r="6498" spans="1:27" x14ac:dyDescent="0.35">
      <c r="A6498">
        <v>1025324</v>
      </c>
      <c r="B6498">
        <v>6201</v>
      </c>
      <c r="C6498">
        <v>1</v>
      </c>
      <c r="D6498" s="17" t="s">
        <v>10507</v>
      </c>
      <c r="E6498" s="17"/>
      <c r="F6498" s="17" t="s">
        <v>10780</v>
      </c>
      <c r="G6498" s="17"/>
      <c r="H6498" s="17" t="s">
        <v>12908</v>
      </c>
      <c r="I6498" s="17"/>
      <c r="J6498" s="17" t="s">
        <v>12909</v>
      </c>
      <c r="K6498" s="17"/>
      <c r="L6498" s="17" t="s">
        <v>41073</v>
      </c>
      <c r="M6498" s="17"/>
      <c r="N6498" s="17" t="s">
        <v>41365</v>
      </c>
      <c r="O6498" s="17"/>
      <c r="P6498" s="17" t="s">
        <v>41366</v>
      </c>
      <c r="Q6498" s="17"/>
      <c r="R6498" s="25" t="str">
        <f>HYPERLINK("https://ictv.global/taxonomy/taxondetails?taxnode_id=202318950","Acamarivirus lunaes")</f>
        <v>Acamarivirus lunaes</v>
      </c>
      <c r="S6498" s="18" t="s">
        <v>30</v>
      </c>
      <c r="T6498" s="18" t="s">
        <v>41376</v>
      </c>
      <c r="U6498" s="18"/>
      <c r="V6498" s="18" t="s">
        <v>41377</v>
      </c>
      <c r="W6498" s="18" t="s">
        <v>41378</v>
      </c>
      <c r="X6498" s="18" t="s">
        <v>42</v>
      </c>
      <c r="Y6498" s="18" t="s">
        <v>12266</v>
      </c>
      <c r="Z6498" s="18" t="s">
        <v>10790</v>
      </c>
      <c r="AA6498" s="21" t="str">
        <f>HYPERLINK("https://www.ncbi.nlm.nih.gov/nuccore/MK433218","NCBI Nucleotide")</f>
        <v>NCBI Nucleotide</v>
      </c>
    </row>
    <row r="6499" spans="1:27" x14ac:dyDescent="0.35">
      <c r="A6499">
        <v>1025325</v>
      </c>
      <c r="B6499">
        <v>6202</v>
      </c>
      <c r="C6499">
        <v>1</v>
      </c>
      <c r="D6499" s="17" t="s">
        <v>10507</v>
      </c>
      <c r="E6499" s="17"/>
      <c r="F6499" s="17" t="s">
        <v>10780</v>
      </c>
      <c r="G6499" s="17"/>
      <c r="H6499" s="17" t="s">
        <v>12908</v>
      </c>
      <c r="I6499" s="17"/>
      <c r="J6499" s="17" t="s">
        <v>12909</v>
      </c>
      <c r="K6499" s="17"/>
      <c r="L6499" s="17" t="s">
        <v>41073</v>
      </c>
      <c r="M6499" s="17"/>
      <c r="N6499" s="17" t="s">
        <v>41365</v>
      </c>
      <c r="O6499" s="17"/>
      <c r="P6499" s="17" t="s">
        <v>41366</v>
      </c>
      <c r="Q6499" s="17"/>
      <c r="R6499" s="25" t="str">
        <f>HYPERLINK("https://ictv.global/taxonomy/taxondetails?taxnode_id=202318951","Acamarivirus nebulais")</f>
        <v>Acamarivirus nebulais</v>
      </c>
      <c r="S6499" s="18" t="s">
        <v>30</v>
      </c>
      <c r="T6499" s="18" t="s">
        <v>41379</v>
      </c>
      <c r="U6499" s="18"/>
      <c r="V6499" s="18" t="s">
        <v>41380</v>
      </c>
      <c r="W6499" s="18" t="s">
        <v>41381</v>
      </c>
      <c r="X6499" s="18" t="s">
        <v>42</v>
      </c>
      <c r="Y6499" s="18" t="s">
        <v>12266</v>
      </c>
      <c r="Z6499" s="18" t="s">
        <v>166</v>
      </c>
      <c r="AA6499" s="21" t="str">
        <f>HYPERLINK("https://www.ncbi.nlm.nih.gov/nuccore/MH617097","NCBI Nucleotide")</f>
        <v>NCBI Nucleotide</v>
      </c>
    </row>
    <row r="6500" spans="1:27" x14ac:dyDescent="0.35">
      <c r="A6500">
        <v>1025326</v>
      </c>
      <c r="B6500">
        <v>6203</v>
      </c>
      <c r="C6500">
        <v>1</v>
      </c>
      <c r="D6500" s="17" t="s">
        <v>10507</v>
      </c>
      <c r="E6500" s="17"/>
      <c r="F6500" s="17" t="s">
        <v>10780</v>
      </c>
      <c r="G6500" s="17"/>
      <c r="H6500" s="17" t="s">
        <v>12908</v>
      </c>
      <c r="I6500" s="17"/>
      <c r="J6500" s="17" t="s">
        <v>12909</v>
      </c>
      <c r="K6500" s="17"/>
      <c r="L6500" s="17" t="s">
        <v>41073</v>
      </c>
      <c r="M6500" s="17"/>
      <c r="N6500" s="17" t="s">
        <v>41365</v>
      </c>
      <c r="O6500" s="17"/>
      <c r="P6500" s="17" t="s">
        <v>41366</v>
      </c>
      <c r="Q6500" s="17"/>
      <c r="R6500" s="25" t="str">
        <f>HYPERLINK("https://ictv.global/taxonomy/taxondetails?taxnode_id=202318952","Acamarivirus parsecis")</f>
        <v>Acamarivirus parsecis</v>
      </c>
      <c r="S6500" s="18" t="s">
        <v>30</v>
      </c>
      <c r="T6500" s="18" t="s">
        <v>41382</v>
      </c>
      <c r="U6500" s="18"/>
      <c r="V6500" s="18" t="s">
        <v>41383</v>
      </c>
      <c r="W6500" s="18" t="s">
        <v>41384</v>
      </c>
      <c r="X6500" s="18" t="s">
        <v>42</v>
      </c>
      <c r="Y6500" s="18" t="s">
        <v>12266</v>
      </c>
      <c r="Z6500" s="18" t="s">
        <v>26655</v>
      </c>
      <c r="AA6500" s="21" t="str">
        <f>HYPERLINK("https://www.ncbi.nlm.nih.gov/nuccore/KP153407","NCBI Nucleotide")</f>
        <v>NCBI Nucleotide</v>
      </c>
    </row>
    <row r="6501" spans="1:27" x14ac:dyDescent="0.35">
      <c r="A6501">
        <v>1025327</v>
      </c>
      <c r="B6501">
        <v>6204</v>
      </c>
      <c r="C6501">
        <v>1</v>
      </c>
      <c r="D6501" s="17" t="s">
        <v>10507</v>
      </c>
      <c r="E6501" s="17"/>
      <c r="F6501" s="17" t="s">
        <v>10780</v>
      </c>
      <c r="G6501" s="17"/>
      <c r="H6501" s="17" t="s">
        <v>12908</v>
      </c>
      <c r="I6501" s="17"/>
      <c r="J6501" s="17" t="s">
        <v>12909</v>
      </c>
      <c r="K6501" s="17"/>
      <c r="L6501" s="17" t="s">
        <v>41073</v>
      </c>
      <c r="M6501" s="17"/>
      <c r="N6501" s="17" t="s">
        <v>41365</v>
      </c>
      <c r="O6501" s="17"/>
      <c r="P6501" s="17" t="s">
        <v>41366</v>
      </c>
      <c r="Q6501" s="17"/>
      <c r="R6501" s="25" t="str">
        <f>HYPERLINK("https://ictv.global/taxonomy/taxondetails?taxnode_id=202318953","Acamarivirus perigeeis")</f>
        <v>Acamarivirus perigeeis</v>
      </c>
      <c r="S6501" s="18" t="s">
        <v>30</v>
      </c>
      <c r="T6501" s="18" t="s">
        <v>41385</v>
      </c>
      <c r="U6501" s="18"/>
      <c r="V6501" s="18" t="s">
        <v>41386</v>
      </c>
      <c r="W6501" s="18" t="s">
        <v>41387</v>
      </c>
      <c r="X6501" s="18" t="s">
        <v>42</v>
      </c>
      <c r="Y6501" s="18" t="s">
        <v>12266</v>
      </c>
      <c r="Z6501" s="18" t="s">
        <v>10790</v>
      </c>
      <c r="AA6501" s="21" t="str">
        <f>HYPERLINK("https://www.ncbi.nlm.nih.gov/nuccore/MK433219","NCBI Nucleotide")</f>
        <v>NCBI Nucleotide</v>
      </c>
    </row>
    <row r="6502" spans="1:27" x14ac:dyDescent="0.35">
      <c r="A6502">
        <v>1025328</v>
      </c>
      <c r="B6502">
        <v>6205</v>
      </c>
      <c r="C6502">
        <v>1</v>
      </c>
      <c r="D6502" s="17" t="s">
        <v>10507</v>
      </c>
      <c r="E6502" s="17"/>
      <c r="F6502" s="17" t="s">
        <v>10780</v>
      </c>
      <c r="G6502" s="17"/>
      <c r="H6502" s="17" t="s">
        <v>12908</v>
      </c>
      <c r="I6502" s="17"/>
      <c r="J6502" s="17" t="s">
        <v>12909</v>
      </c>
      <c r="K6502" s="17"/>
      <c r="L6502" s="17" t="s">
        <v>41073</v>
      </c>
      <c r="M6502" s="17"/>
      <c r="N6502" s="17" t="s">
        <v>41365</v>
      </c>
      <c r="O6502" s="17"/>
      <c r="P6502" s="17" t="s">
        <v>41366</v>
      </c>
      <c r="Q6502" s="17"/>
      <c r="R6502" s="25" t="str">
        <f>HYPERLINK("https://ictv.global/taxonomy/taxondetails?taxnode_id=202318954","Acamarivirus solis")</f>
        <v>Acamarivirus solis</v>
      </c>
      <c r="S6502" s="18" t="s">
        <v>30</v>
      </c>
      <c r="T6502" s="18" t="s">
        <v>41388</v>
      </c>
      <c r="U6502" s="18"/>
      <c r="V6502" s="18" t="s">
        <v>41389</v>
      </c>
      <c r="W6502" s="18" t="s">
        <v>41390</v>
      </c>
      <c r="X6502" s="18" t="s">
        <v>42</v>
      </c>
      <c r="Y6502" s="18" t="s">
        <v>12266</v>
      </c>
      <c r="Z6502" s="18" t="s">
        <v>166</v>
      </c>
      <c r="AA6502" s="21" t="str">
        <f>HYPERLINK("https://www.ncbi.nlm.nih.gov/nuccore/KT862235","NCBI Nucleotide")</f>
        <v>NCBI Nucleotide</v>
      </c>
    </row>
    <row r="6503" spans="1:27" x14ac:dyDescent="0.35">
      <c r="A6503">
        <v>1025309</v>
      </c>
      <c r="B6503">
        <v>6206</v>
      </c>
      <c r="C6503">
        <v>1</v>
      </c>
      <c r="D6503" s="17" t="s">
        <v>10507</v>
      </c>
      <c r="E6503" s="17"/>
      <c r="F6503" s="17" t="s">
        <v>10780</v>
      </c>
      <c r="G6503" s="17"/>
      <c r="H6503" s="17" t="s">
        <v>12908</v>
      </c>
      <c r="I6503" s="17"/>
      <c r="J6503" s="17" t="s">
        <v>12909</v>
      </c>
      <c r="K6503" s="17"/>
      <c r="L6503" s="17" t="s">
        <v>41073</v>
      </c>
      <c r="M6503" s="17"/>
      <c r="N6503" s="17" t="s">
        <v>41365</v>
      </c>
      <c r="O6503" s="17"/>
      <c r="P6503" s="17" t="s">
        <v>41391</v>
      </c>
      <c r="Q6503" s="17"/>
      <c r="R6503" s="25" t="str">
        <f>HYPERLINK("https://ictv.global/taxonomy/taxondetails?taxnode_id=202318955","Amalthevirus altais")</f>
        <v>Amalthevirus altais</v>
      </c>
      <c r="S6503" s="18" t="s">
        <v>30</v>
      </c>
      <c r="T6503" s="18" t="s">
        <v>41392</v>
      </c>
      <c r="U6503" s="18"/>
      <c r="V6503" s="18" t="s">
        <v>41393</v>
      </c>
      <c r="W6503" s="18" t="s">
        <v>41394</v>
      </c>
      <c r="X6503" s="18" t="s">
        <v>42</v>
      </c>
      <c r="Y6503" s="18" t="s">
        <v>12266</v>
      </c>
      <c r="Z6503" s="18" t="s">
        <v>166</v>
      </c>
      <c r="AA6503" s="21" t="str">
        <f>HYPERLINK("https://www.ncbi.nlm.nih.gov/nuccore/MT671987","NCBI Nucleotide")</f>
        <v>NCBI Nucleotide</v>
      </c>
    </row>
    <row r="6504" spans="1:27" x14ac:dyDescent="0.35">
      <c r="A6504">
        <v>1025301</v>
      </c>
      <c r="B6504">
        <v>6207</v>
      </c>
      <c r="C6504">
        <v>1</v>
      </c>
      <c r="D6504" s="17" t="s">
        <v>10507</v>
      </c>
      <c r="E6504" s="17"/>
      <c r="F6504" s="17" t="s">
        <v>10780</v>
      </c>
      <c r="G6504" s="17"/>
      <c r="H6504" s="17" t="s">
        <v>12908</v>
      </c>
      <c r="I6504" s="17"/>
      <c r="J6504" s="17" t="s">
        <v>12909</v>
      </c>
      <c r="K6504" s="17"/>
      <c r="L6504" s="17" t="s">
        <v>41073</v>
      </c>
      <c r="M6504" s="17"/>
      <c r="N6504" s="17" t="s">
        <v>41365</v>
      </c>
      <c r="O6504" s="17"/>
      <c r="P6504" s="17" t="s">
        <v>41395</v>
      </c>
      <c r="Q6504" s="17"/>
      <c r="R6504" s="25" t="str">
        <f>HYPERLINK("https://ictv.global/taxonomy/taxondetails?taxnode_id=202318956","Anthevirus archis")</f>
        <v>Anthevirus archis</v>
      </c>
      <c r="S6504" s="18" t="s">
        <v>30</v>
      </c>
      <c r="T6504" s="18" t="s">
        <v>41396</v>
      </c>
      <c r="U6504" s="18"/>
      <c r="V6504" s="18" t="s">
        <v>41397</v>
      </c>
      <c r="W6504" s="18" t="s">
        <v>41398</v>
      </c>
      <c r="X6504" s="18" t="s">
        <v>42</v>
      </c>
      <c r="Y6504" s="18" t="s">
        <v>12266</v>
      </c>
      <c r="Z6504" s="18" t="s">
        <v>16726</v>
      </c>
      <c r="AA6504" s="21" t="str">
        <f>HYPERLINK("https://www.ncbi.nlm.nih.gov/nuccore/KM821752","NCBI Nucleotide")</f>
        <v>NCBI Nucleotide</v>
      </c>
    </row>
    <row r="6505" spans="1:27" x14ac:dyDescent="0.35">
      <c r="A6505">
        <v>1025302</v>
      </c>
      <c r="B6505">
        <v>6208</v>
      </c>
      <c r="C6505">
        <v>1</v>
      </c>
      <c r="D6505" s="17" t="s">
        <v>10507</v>
      </c>
      <c r="E6505" s="17"/>
      <c r="F6505" s="17" t="s">
        <v>10780</v>
      </c>
      <c r="G6505" s="17"/>
      <c r="H6505" s="17" t="s">
        <v>12908</v>
      </c>
      <c r="I6505" s="17"/>
      <c r="J6505" s="17" t="s">
        <v>12909</v>
      </c>
      <c r="K6505" s="17"/>
      <c r="L6505" s="17" t="s">
        <v>41073</v>
      </c>
      <c r="M6505" s="17"/>
      <c r="N6505" s="17" t="s">
        <v>41365</v>
      </c>
      <c r="O6505" s="17"/>
      <c r="P6505" s="17" t="s">
        <v>41395</v>
      </c>
      <c r="Q6505" s="17"/>
      <c r="R6505" s="25" t="str">
        <f>HYPERLINK("https://ictv.global/taxonomy/taxondetails?taxnode_id=202318957","Anthevirus beronis")</f>
        <v>Anthevirus beronis</v>
      </c>
      <c r="S6505" s="18" t="s">
        <v>30</v>
      </c>
      <c r="T6505" s="18" t="s">
        <v>41399</v>
      </c>
      <c r="U6505" s="18"/>
      <c r="V6505" s="18" t="s">
        <v>41400</v>
      </c>
      <c r="W6505" s="18" t="s">
        <v>41401</v>
      </c>
      <c r="X6505" s="18" t="s">
        <v>42</v>
      </c>
      <c r="Y6505" s="18" t="s">
        <v>12266</v>
      </c>
      <c r="Z6505" s="18" t="s">
        <v>10790</v>
      </c>
      <c r="AA6505" s="21" t="str">
        <f>HYPERLINK("https://www.ncbi.nlm.nih.gov/nuccore/MH545536","NCBI Nucleotide")</f>
        <v>NCBI Nucleotide</v>
      </c>
    </row>
    <row r="6506" spans="1:27" x14ac:dyDescent="0.35">
      <c r="A6506">
        <v>1025303</v>
      </c>
      <c r="B6506">
        <v>6209</v>
      </c>
      <c r="C6506">
        <v>1</v>
      </c>
      <c r="D6506" s="17" t="s">
        <v>10507</v>
      </c>
      <c r="E6506" s="17"/>
      <c r="F6506" s="17" t="s">
        <v>10780</v>
      </c>
      <c r="G6506" s="17"/>
      <c r="H6506" s="17" t="s">
        <v>12908</v>
      </c>
      <c r="I6506" s="17"/>
      <c r="J6506" s="17" t="s">
        <v>12909</v>
      </c>
      <c r="K6506" s="17"/>
      <c r="L6506" s="17" t="s">
        <v>41073</v>
      </c>
      <c r="M6506" s="17"/>
      <c r="N6506" s="17" t="s">
        <v>41365</v>
      </c>
      <c r="O6506" s="17"/>
      <c r="P6506" s="17" t="s">
        <v>41395</v>
      </c>
      <c r="Q6506" s="17"/>
      <c r="R6506" s="25" t="str">
        <f>HYPERLINK("https://ictv.global/taxonomy/taxondetails?taxnode_id=202318958","Anthevirus cielois")</f>
        <v>Anthevirus cielois</v>
      </c>
      <c r="S6506" s="18" t="s">
        <v>30</v>
      </c>
      <c r="T6506" s="18" t="s">
        <v>41402</v>
      </c>
      <c r="U6506" s="18"/>
      <c r="V6506" s="18" t="s">
        <v>41403</v>
      </c>
      <c r="W6506" s="18" t="s">
        <v>41404</v>
      </c>
      <c r="X6506" s="18" t="s">
        <v>42</v>
      </c>
      <c r="Y6506" s="18" t="s">
        <v>12266</v>
      </c>
      <c r="Z6506" s="18" t="s">
        <v>166</v>
      </c>
      <c r="AA6506" s="21" t="str">
        <f>HYPERLINK("https://www.ncbi.nlm.nih.gov/nuccore/OP549838","NCBI Nucleotide")</f>
        <v>NCBI Nucleotide</v>
      </c>
    </row>
    <row r="6507" spans="1:27" x14ac:dyDescent="0.35">
      <c r="A6507">
        <v>1025304</v>
      </c>
      <c r="B6507">
        <v>6210</v>
      </c>
      <c r="C6507">
        <v>1</v>
      </c>
      <c r="D6507" s="17" t="s">
        <v>10507</v>
      </c>
      <c r="E6507" s="17"/>
      <c r="F6507" s="17" t="s">
        <v>10780</v>
      </c>
      <c r="G6507" s="17"/>
      <c r="H6507" s="17" t="s">
        <v>12908</v>
      </c>
      <c r="I6507" s="17"/>
      <c r="J6507" s="17" t="s">
        <v>12909</v>
      </c>
      <c r="K6507" s="17"/>
      <c r="L6507" s="17" t="s">
        <v>41073</v>
      </c>
      <c r="M6507" s="17"/>
      <c r="N6507" s="17" t="s">
        <v>41365</v>
      </c>
      <c r="O6507" s="17"/>
      <c r="P6507" s="17" t="s">
        <v>41395</v>
      </c>
      <c r="Q6507" s="17"/>
      <c r="R6507" s="25" t="str">
        <f>HYPERLINK("https://ictv.global/taxonomy/taxondetails?taxnode_id=202318959","Anthevirus eris")</f>
        <v>Anthevirus eris</v>
      </c>
      <c r="S6507" s="18" t="s">
        <v>30</v>
      </c>
      <c r="T6507" s="18" t="s">
        <v>41405</v>
      </c>
      <c r="U6507" s="18"/>
      <c r="V6507" s="18" t="s">
        <v>41406</v>
      </c>
      <c r="W6507" s="18" t="s">
        <v>41407</v>
      </c>
      <c r="X6507" s="18" t="s">
        <v>42</v>
      </c>
      <c r="Y6507" s="18" t="s">
        <v>12266</v>
      </c>
      <c r="Z6507" s="18" t="s">
        <v>10790</v>
      </c>
      <c r="AA6507" s="21" t="str">
        <f>HYPERLINK("https://www.ncbi.nlm.nih.gov/nuccore/KP153474","NCBI Nucleotide")</f>
        <v>NCBI Nucleotide</v>
      </c>
    </row>
    <row r="6508" spans="1:27" x14ac:dyDescent="0.35">
      <c r="A6508">
        <v>1025305</v>
      </c>
      <c r="B6508">
        <v>6211</v>
      </c>
      <c r="C6508">
        <v>1</v>
      </c>
      <c r="D6508" s="17" t="s">
        <v>10507</v>
      </c>
      <c r="E6508" s="17"/>
      <c r="F6508" s="17" t="s">
        <v>10780</v>
      </c>
      <c r="G6508" s="17"/>
      <c r="H6508" s="17" t="s">
        <v>12908</v>
      </c>
      <c r="I6508" s="17"/>
      <c r="J6508" s="17" t="s">
        <v>12909</v>
      </c>
      <c r="K6508" s="17"/>
      <c r="L6508" s="17" t="s">
        <v>41073</v>
      </c>
      <c r="M6508" s="17"/>
      <c r="N6508" s="17" t="s">
        <v>41365</v>
      </c>
      <c r="O6508" s="17"/>
      <c r="P6508" s="17" t="s">
        <v>41395</v>
      </c>
      <c r="Q6508" s="17"/>
      <c r="R6508" s="25" t="str">
        <f>HYPERLINK("https://ictv.global/taxonomy/taxondetails?taxnode_id=202318960","Anthevirus kuiperis")</f>
        <v>Anthevirus kuiperis</v>
      </c>
      <c r="S6508" s="18" t="s">
        <v>30</v>
      </c>
      <c r="T6508" s="18" t="s">
        <v>41408</v>
      </c>
      <c r="U6508" s="18"/>
      <c r="V6508" s="18" t="s">
        <v>41409</v>
      </c>
      <c r="W6508" s="18" t="s">
        <v>41410</v>
      </c>
      <c r="X6508" s="18" t="s">
        <v>42</v>
      </c>
      <c r="Y6508" s="18" t="s">
        <v>12266</v>
      </c>
      <c r="Z6508" s="18" t="s">
        <v>26655</v>
      </c>
      <c r="AA6508" s="21" t="str">
        <f>HYPERLINK("https://www.ncbi.nlm.nih.gov/nuccore/MW202776","NCBI Nucleotide")</f>
        <v>NCBI Nucleotide</v>
      </c>
    </row>
    <row r="6509" spans="1:27" x14ac:dyDescent="0.35">
      <c r="A6509">
        <v>1025306</v>
      </c>
      <c r="B6509">
        <v>6212</v>
      </c>
      <c r="C6509">
        <v>1</v>
      </c>
      <c r="D6509" s="17" t="s">
        <v>10507</v>
      </c>
      <c r="E6509" s="17"/>
      <c r="F6509" s="17" t="s">
        <v>10780</v>
      </c>
      <c r="G6509" s="17"/>
      <c r="H6509" s="17" t="s">
        <v>12908</v>
      </c>
      <c r="I6509" s="17"/>
      <c r="J6509" s="17" t="s">
        <v>12909</v>
      </c>
      <c r="K6509" s="17"/>
      <c r="L6509" s="17" t="s">
        <v>41073</v>
      </c>
      <c r="M6509" s="17"/>
      <c r="N6509" s="17" t="s">
        <v>41365</v>
      </c>
      <c r="O6509" s="17"/>
      <c r="P6509" s="17" t="s">
        <v>41395</v>
      </c>
      <c r="Q6509" s="17"/>
      <c r="R6509" s="25" t="str">
        <f>HYPERLINK("https://ictv.global/taxonomy/taxondetails?taxnode_id=202318961","Anthevirus perseuis")</f>
        <v>Anthevirus perseuis</v>
      </c>
      <c r="S6509" s="18" t="s">
        <v>30</v>
      </c>
      <c r="T6509" s="18" t="s">
        <v>41411</v>
      </c>
      <c r="U6509" s="18"/>
      <c r="V6509" s="18" t="s">
        <v>41412</v>
      </c>
      <c r="W6509" s="18" t="s">
        <v>41413</v>
      </c>
      <c r="X6509" s="18" t="s">
        <v>42</v>
      </c>
      <c r="Y6509" s="18" t="s">
        <v>12266</v>
      </c>
      <c r="Z6509" s="18" t="s">
        <v>166</v>
      </c>
      <c r="AA6509" s="21" t="str">
        <f>HYPERLINK("https://www.ncbi.nlm.nih.gov/nuccore/MH552505","NCBI Nucleotide")</f>
        <v>NCBI Nucleotide</v>
      </c>
    </row>
    <row r="6510" spans="1:27" x14ac:dyDescent="0.35">
      <c r="A6510">
        <v>1025307</v>
      </c>
      <c r="B6510">
        <v>6213</v>
      </c>
      <c r="C6510">
        <v>1</v>
      </c>
      <c r="D6510" s="17" t="s">
        <v>10507</v>
      </c>
      <c r="E6510" s="17"/>
      <c r="F6510" s="17" t="s">
        <v>10780</v>
      </c>
      <c r="G6510" s="17"/>
      <c r="H6510" s="17" t="s">
        <v>12908</v>
      </c>
      <c r="I6510" s="17"/>
      <c r="J6510" s="17" t="s">
        <v>12909</v>
      </c>
      <c r="K6510" s="17"/>
      <c r="L6510" s="17" t="s">
        <v>41073</v>
      </c>
      <c r="M6510" s="17"/>
      <c r="N6510" s="17" t="s">
        <v>41365</v>
      </c>
      <c r="O6510" s="17"/>
      <c r="P6510" s="17" t="s">
        <v>41395</v>
      </c>
      <c r="Q6510" s="17"/>
      <c r="R6510" s="25" t="str">
        <f>HYPERLINK("https://ictv.global/taxonomy/taxondetails?taxnode_id=202318962","Anthevirus rigelis")</f>
        <v>Anthevirus rigelis</v>
      </c>
      <c r="S6510" s="18" t="s">
        <v>30</v>
      </c>
      <c r="T6510" s="18" t="s">
        <v>41405</v>
      </c>
      <c r="U6510" s="18"/>
      <c r="V6510" s="18" t="s">
        <v>41414</v>
      </c>
      <c r="W6510" s="18" t="s">
        <v>41415</v>
      </c>
      <c r="X6510" s="18" t="s">
        <v>42</v>
      </c>
      <c r="Y6510" s="18" t="s">
        <v>12266</v>
      </c>
      <c r="Z6510" s="18" t="s">
        <v>10790</v>
      </c>
      <c r="AA6510" s="21" t="str">
        <f>HYPERLINK("https://www.ncbi.nlm.nih.gov/nuccore/KP153475","NCBI Nucleotide")</f>
        <v>NCBI Nucleotide</v>
      </c>
    </row>
    <row r="6511" spans="1:27" x14ac:dyDescent="0.35">
      <c r="A6511">
        <v>1025331</v>
      </c>
      <c r="B6511">
        <v>6214</v>
      </c>
      <c r="C6511">
        <v>1</v>
      </c>
      <c r="D6511" s="17" t="s">
        <v>10507</v>
      </c>
      <c r="E6511" s="17"/>
      <c r="F6511" s="17" t="s">
        <v>10780</v>
      </c>
      <c r="G6511" s="17"/>
      <c r="H6511" s="17" t="s">
        <v>12908</v>
      </c>
      <c r="I6511" s="17"/>
      <c r="J6511" s="17" t="s">
        <v>12909</v>
      </c>
      <c r="K6511" s="17"/>
      <c r="L6511" s="17" t="s">
        <v>41073</v>
      </c>
      <c r="M6511" s="17"/>
      <c r="N6511" s="17" t="s">
        <v>41365</v>
      </c>
      <c r="O6511" s="17"/>
      <c r="P6511" s="17" t="s">
        <v>41416</v>
      </c>
      <c r="Q6511" s="17"/>
      <c r="R6511" s="25" t="str">
        <f>HYPERLINK("https://ictv.global/taxonomy/taxondetails?taxnode_id=202318963","Cursavirus nadis")</f>
        <v>Cursavirus nadis</v>
      </c>
      <c r="S6511" s="18" t="s">
        <v>30</v>
      </c>
      <c r="T6511" s="18" t="s">
        <v>41417</v>
      </c>
      <c r="U6511" s="18"/>
      <c r="V6511" s="18" t="s">
        <v>41418</v>
      </c>
      <c r="W6511" s="18" t="s">
        <v>41419</v>
      </c>
      <c r="X6511" s="18" t="s">
        <v>42</v>
      </c>
      <c r="Y6511" s="18" t="s">
        <v>12266</v>
      </c>
      <c r="Z6511" s="18" t="s">
        <v>166</v>
      </c>
      <c r="AA6511" s="21" t="str">
        <f>HYPERLINK("https://www.ncbi.nlm.nih.gov/nuccore/MH616917","NCBI Nucleotide")</f>
        <v>NCBI Nucleotide</v>
      </c>
    </row>
    <row r="6512" spans="1:27" x14ac:dyDescent="0.35">
      <c r="A6512">
        <v>1025332</v>
      </c>
      <c r="B6512">
        <v>6215</v>
      </c>
      <c r="C6512">
        <v>1</v>
      </c>
      <c r="D6512" s="17" t="s">
        <v>10507</v>
      </c>
      <c r="E6512" s="17"/>
      <c r="F6512" s="17" t="s">
        <v>10780</v>
      </c>
      <c r="G6512" s="17"/>
      <c r="H6512" s="17" t="s">
        <v>12908</v>
      </c>
      <c r="I6512" s="17"/>
      <c r="J6512" s="17" t="s">
        <v>12909</v>
      </c>
      <c r="K6512" s="17"/>
      <c r="L6512" s="17" t="s">
        <v>41073</v>
      </c>
      <c r="M6512" s="17"/>
      <c r="N6512" s="17" t="s">
        <v>41365</v>
      </c>
      <c r="O6512" s="17"/>
      <c r="P6512" s="17" t="s">
        <v>41416</v>
      </c>
      <c r="Q6512" s="17"/>
      <c r="R6512" s="25" t="str">
        <f>HYPERLINK("https://ictv.global/taxonomy/taxondetails?taxnode_id=202318964","Cursavirus rocheis")</f>
        <v>Cursavirus rocheis</v>
      </c>
      <c r="S6512" s="18" t="s">
        <v>30</v>
      </c>
      <c r="T6512" s="18" t="s">
        <v>41420</v>
      </c>
      <c r="U6512" s="18"/>
      <c r="V6512" s="18" t="s">
        <v>41421</v>
      </c>
      <c r="W6512" s="18" t="s">
        <v>41422</v>
      </c>
      <c r="X6512" s="18" t="s">
        <v>42</v>
      </c>
      <c r="Y6512" s="18" t="s">
        <v>12266</v>
      </c>
      <c r="Z6512" s="18" t="s">
        <v>26655</v>
      </c>
      <c r="AA6512" s="21" t="str">
        <f>HYPERLINK("https://www.ncbi.nlm.nih.gov/nuccore/KP153471","NCBI Nucleotide")</f>
        <v>NCBI Nucleotide</v>
      </c>
    </row>
    <row r="6513" spans="1:27" x14ac:dyDescent="0.35">
      <c r="A6513">
        <v>1025333</v>
      </c>
      <c r="B6513">
        <v>6216</v>
      </c>
      <c r="C6513">
        <v>1</v>
      </c>
      <c r="D6513" s="17" t="s">
        <v>10507</v>
      </c>
      <c r="E6513" s="17"/>
      <c r="F6513" s="17" t="s">
        <v>10780</v>
      </c>
      <c r="G6513" s="17"/>
      <c r="H6513" s="17" t="s">
        <v>12908</v>
      </c>
      <c r="I6513" s="17"/>
      <c r="J6513" s="17" t="s">
        <v>12909</v>
      </c>
      <c r="K6513" s="17"/>
      <c r="L6513" s="17" t="s">
        <v>41073</v>
      </c>
      <c r="M6513" s="17"/>
      <c r="N6513" s="17" t="s">
        <v>41365</v>
      </c>
      <c r="O6513" s="17"/>
      <c r="P6513" s="17" t="s">
        <v>41416</v>
      </c>
      <c r="Q6513" s="17"/>
      <c r="R6513" s="25" t="str">
        <f>HYPERLINK("https://ictv.global/taxonomy/taxondetails?taxnode_id=202318965","Cursavirus zenis")</f>
        <v>Cursavirus zenis</v>
      </c>
      <c r="S6513" s="18" t="s">
        <v>30</v>
      </c>
      <c r="T6513" s="18" t="s">
        <v>41423</v>
      </c>
      <c r="U6513" s="18"/>
      <c r="V6513" s="18" t="s">
        <v>41424</v>
      </c>
      <c r="W6513" s="18" t="s">
        <v>41425</v>
      </c>
      <c r="X6513" s="18" t="s">
        <v>42</v>
      </c>
      <c r="Y6513" s="18" t="s">
        <v>12266</v>
      </c>
      <c r="Z6513" s="18" t="s">
        <v>166</v>
      </c>
      <c r="AA6513" s="21" t="str">
        <f>HYPERLINK("https://www.ncbi.nlm.nih.gov/nuccore/MK570199","NCBI Nucleotide")</f>
        <v>NCBI Nucleotide</v>
      </c>
    </row>
    <row r="6514" spans="1:27" x14ac:dyDescent="0.35">
      <c r="A6514">
        <v>1025376</v>
      </c>
      <c r="B6514">
        <v>6217</v>
      </c>
      <c r="C6514">
        <v>1</v>
      </c>
      <c r="D6514" s="17" t="s">
        <v>10507</v>
      </c>
      <c r="E6514" s="17"/>
      <c r="F6514" s="17" t="s">
        <v>10780</v>
      </c>
      <c r="G6514" s="17"/>
      <c r="H6514" s="17" t="s">
        <v>12908</v>
      </c>
      <c r="I6514" s="17"/>
      <c r="J6514" s="17" t="s">
        <v>12909</v>
      </c>
      <c r="K6514" s="17"/>
      <c r="L6514" s="17" t="s">
        <v>41073</v>
      </c>
      <c r="M6514" s="17"/>
      <c r="N6514" s="17" t="s">
        <v>41365</v>
      </c>
      <c r="O6514" s="17"/>
      <c r="P6514" s="17" t="s">
        <v>41426</v>
      </c>
      <c r="Q6514" s="17"/>
      <c r="R6514" s="25" t="str">
        <f>HYPERLINK("https://ictv.global/taxonomy/taxondetails?taxnode_id=202318966","Elnathivirus orbitis")</f>
        <v>Elnathivirus orbitis</v>
      </c>
      <c r="S6514" s="18" t="s">
        <v>30</v>
      </c>
      <c r="T6514" s="18" t="s">
        <v>41427</v>
      </c>
      <c r="U6514" s="18"/>
      <c r="V6514" s="18" t="s">
        <v>41428</v>
      </c>
      <c r="W6514" s="18" t="s">
        <v>41429</v>
      </c>
      <c r="X6514" s="18" t="s">
        <v>42</v>
      </c>
      <c r="Y6514" s="18" t="s">
        <v>12266</v>
      </c>
      <c r="Z6514" s="18" t="s">
        <v>26655</v>
      </c>
      <c r="AA6514" s="21" t="str">
        <f>HYPERLINK("https://www.ncbi.nlm.nih.gov/nuccore/MW697488","NCBI Nucleotide")</f>
        <v>NCBI Nucleotide</v>
      </c>
    </row>
    <row r="6515" spans="1:27" x14ac:dyDescent="0.35">
      <c r="A6515">
        <v>1025379</v>
      </c>
      <c r="B6515">
        <v>6218</v>
      </c>
      <c r="C6515">
        <v>1</v>
      </c>
      <c r="D6515" s="17" t="s">
        <v>10507</v>
      </c>
      <c r="E6515" s="17"/>
      <c r="F6515" s="17" t="s">
        <v>10780</v>
      </c>
      <c r="G6515" s="17"/>
      <c r="H6515" s="17" t="s">
        <v>12908</v>
      </c>
      <c r="I6515" s="17"/>
      <c r="J6515" s="17" t="s">
        <v>12909</v>
      </c>
      <c r="K6515" s="17"/>
      <c r="L6515" s="17" t="s">
        <v>41073</v>
      </c>
      <c r="M6515" s="17"/>
      <c r="N6515" s="17" t="s">
        <v>41365</v>
      </c>
      <c r="O6515" s="17"/>
      <c r="P6515" s="17" t="s">
        <v>41430</v>
      </c>
      <c r="Q6515" s="17"/>
      <c r="R6515" s="25" t="str">
        <f>HYPERLINK("https://ictv.global/taxonomy/taxondetails?taxnode_id=202318967","Enifivirus asteris")</f>
        <v>Enifivirus asteris</v>
      </c>
      <c r="S6515" s="18" t="s">
        <v>30</v>
      </c>
      <c r="T6515" s="18" t="s">
        <v>41431</v>
      </c>
      <c r="U6515" s="18"/>
      <c r="V6515" s="18" t="s">
        <v>41432</v>
      </c>
      <c r="W6515" s="18" t="s">
        <v>41433</v>
      </c>
      <c r="X6515" s="18" t="s">
        <v>42</v>
      </c>
      <c r="Y6515" s="18" t="s">
        <v>12266</v>
      </c>
      <c r="Z6515" s="18" t="s">
        <v>166</v>
      </c>
      <c r="AA6515" s="21" t="str">
        <f>HYPERLINK("https://www.ncbi.nlm.nih.gov/nuccore/MH617376","NCBI Nucleotide")</f>
        <v>NCBI Nucleotide</v>
      </c>
    </row>
    <row r="6516" spans="1:27" x14ac:dyDescent="0.35">
      <c r="A6516">
        <v>1025365</v>
      </c>
      <c r="B6516">
        <v>6219</v>
      </c>
      <c r="C6516">
        <v>1</v>
      </c>
      <c r="D6516" s="17" t="s">
        <v>10507</v>
      </c>
      <c r="E6516" s="17"/>
      <c r="F6516" s="17" t="s">
        <v>10780</v>
      </c>
      <c r="G6516" s="17"/>
      <c r="H6516" s="17" t="s">
        <v>12908</v>
      </c>
      <c r="I6516" s="17"/>
      <c r="J6516" s="17" t="s">
        <v>12909</v>
      </c>
      <c r="K6516" s="17"/>
      <c r="L6516" s="17" t="s">
        <v>41073</v>
      </c>
      <c r="M6516" s="17"/>
      <c r="N6516" s="17" t="s">
        <v>41365</v>
      </c>
      <c r="O6516" s="17"/>
      <c r="P6516" s="17" t="s">
        <v>41434</v>
      </c>
      <c r="Q6516" s="17"/>
      <c r="R6516" s="25" t="str">
        <f>HYPERLINK("https://ictv.global/taxonomy/taxondetails?taxnode_id=202318968","Fuluvirus siderealis")</f>
        <v>Fuluvirus siderealis</v>
      </c>
      <c r="S6516" s="18" t="s">
        <v>30</v>
      </c>
      <c r="T6516" s="18" t="s">
        <v>41435</v>
      </c>
      <c r="U6516" s="18"/>
      <c r="V6516" s="18" t="s">
        <v>41436</v>
      </c>
      <c r="W6516" s="18" t="s">
        <v>41437</v>
      </c>
      <c r="X6516" s="18" t="s">
        <v>42</v>
      </c>
      <c r="Y6516" s="18" t="s">
        <v>12266</v>
      </c>
      <c r="Z6516" s="18" t="s">
        <v>166</v>
      </c>
      <c r="AA6516" s="21" t="str">
        <f>HYPERLINK("https://www.ncbi.nlm.nih.gov/nuccore/MK570172","NCBI Nucleotide")</f>
        <v>NCBI Nucleotide</v>
      </c>
    </row>
    <row r="6517" spans="1:27" x14ac:dyDescent="0.35">
      <c r="A6517">
        <v>1025366</v>
      </c>
      <c r="B6517">
        <v>6220</v>
      </c>
      <c r="C6517">
        <v>1</v>
      </c>
      <c r="D6517" s="17" t="s">
        <v>10507</v>
      </c>
      <c r="E6517" s="17"/>
      <c r="F6517" s="17" t="s">
        <v>10780</v>
      </c>
      <c r="G6517" s="17"/>
      <c r="H6517" s="17" t="s">
        <v>12908</v>
      </c>
      <c r="I6517" s="17"/>
      <c r="J6517" s="17" t="s">
        <v>12909</v>
      </c>
      <c r="K6517" s="17"/>
      <c r="L6517" s="17" t="s">
        <v>41073</v>
      </c>
      <c r="M6517" s="17"/>
      <c r="N6517" s="17" t="s">
        <v>41365</v>
      </c>
      <c r="O6517" s="17"/>
      <c r="P6517" s="17" t="s">
        <v>41434</v>
      </c>
      <c r="Q6517" s="17"/>
      <c r="R6517" s="25" t="str">
        <f>HYPERLINK("https://ictv.global/taxonomy/taxondetails?taxnode_id=202318969","Fuluvirus stellaris")</f>
        <v>Fuluvirus stellaris</v>
      </c>
      <c r="S6517" s="18" t="s">
        <v>30</v>
      </c>
      <c r="T6517" s="18" t="s">
        <v>41438</v>
      </c>
      <c r="U6517" s="18"/>
      <c r="V6517" s="18" t="s">
        <v>41439</v>
      </c>
      <c r="W6517" s="18" t="s">
        <v>41440</v>
      </c>
      <c r="X6517" s="18" t="s">
        <v>42</v>
      </c>
      <c r="Y6517" s="18" t="s">
        <v>12266</v>
      </c>
      <c r="Z6517" s="18" t="s">
        <v>10790</v>
      </c>
      <c r="AA6517" s="21" t="str">
        <f>HYPERLINK("https://www.ncbi.nlm.nih.gov/nuccore/MK433217","NCBI Nucleotide")</f>
        <v>NCBI Nucleotide</v>
      </c>
    </row>
    <row r="6518" spans="1:27" x14ac:dyDescent="0.35">
      <c r="A6518">
        <v>1025364</v>
      </c>
      <c r="B6518">
        <v>6221</v>
      </c>
      <c r="C6518">
        <v>1</v>
      </c>
      <c r="D6518" s="17" t="s">
        <v>10507</v>
      </c>
      <c r="E6518" s="17"/>
      <c r="F6518" s="17" t="s">
        <v>10780</v>
      </c>
      <c r="G6518" s="17"/>
      <c r="H6518" s="17" t="s">
        <v>12908</v>
      </c>
      <c r="I6518" s="17"/>
      <c r="J6518" s="17" t="s">
        <v>12909</v>
      </c>
      <c r="K6518" s="17"/>
      <c r="L6518" s="17" t="s">
        <v>41073</v>
      </c>
      <c r="M6518" s="17"/>
      <c r="N6518" s="17" t="s">
        <v>41365</v>
      </c>
      <c r="O6518" s="17"/>
      <c r="P6518" s="17" t="s">
        <v>41441</v>
      </c>
      <c r="Q6518" s="17"/>
      <c r="R6518" s="25" t="str">
        <f>HYPERLINK("https://ictv.global/taxonomy/taxondetails?taxnode_id=202318970","Garivirus zodis")</f>
        <v>Garivirus zodis</v>
      </c>
      <c r="S6518" s="18" t="s">
        <v>30</v>
      </c>
      <c r="T6518" s="18" t="s">
        <v>41442</v>
      </c>
      <c r="U6518" s="18"/>
      <c r="V6518" s="18" t="s">
        <v>41443</v>
      </c>
      <c r="W6518" s="18" t="s">
        <v>41444</v>
      </c>
      <c r="X6518" s="18" t="s">
        <v>42</v>
      </c>
      <c r="Y6518" s="18" t="s">
        <v>12266</v>
      </c>
      <c r="Z6518" s="18" t="s">
        <v>166</v>
      </c>
      <c r="AA6518" s="21" t="str">
        <f>HYPERLINK("https://www.ncbi.nlm.nih.gov/nuccore/MZ556194","NCBI Nucleotide")</f>
        <v>NCBI Nucleotide</v>
      </c>
    </row>
    <row r="6519" spans="1:27" x14ac:dyDescent="0.35">
      <c r="A6519">
        <v>1025562</v>
      </c>
      <c r="B6519">
        <v>6222</v>
      </c>
      <c r="C6519">
        <v>1</v>
      </c>
      <c r="D6519" s="17" t="s">
        <v>10507</v>
      </c>
      <c r="E6519" s="17"/>
      <c r="F6519" s="17" t="s">
        <v>10780</v>
      </c>
      <c r="G6519" s="17"/>
      <c r="H6519" s="17" t="s">
        <v>12908</v>
      </c>
      <c r="I6519" s="17"/>
      <c r="J6519" s="17" t="s">
        <v>12909</v>
      </c>
      <c r="K6519" s="17"/>
      <c r="L6519" s="17" t="s">
        <v>41073</v>
      </c>
      <c r="M6519" s="17"/>
      <c r="N6519" s="17" t="s">
        <v>41365</v>
      </c>
      <c r="O6519" s="17"/>
      <c r="P6519" s="17" t="s">
        <v>41445</v>
      </c>
      <c r="Q6519" s="17"/>
      <c r="R6519" s="25" t="str">
        <f>HYPERLINK("https://ictv.global/taxonomy/taxondetails?taxnode_id=202318971","Himalivirus celestis")</f>
        <v>Himalivirus celestis</v>
      </c>
      <c r="S6519" s="18" t="s">
        <v>30</v>
      </c>
      <c r="T6519" s="18" t="s">
        <v>41446</v>
      </c>
      <c r="U6519" s="18"/>
      <c r="V6519" s="18" t="s">
        <v>41447</v>
      </c>
      <c r="W6519" s="18" t="s">
        <v>41448</v>
      </c>
      <c r="X6519" s="18" t="s">
        <v>42</v>
      </c>
      <c r="Y6519" s="18" t="s">
        <v>12266</v>
      </c>
      <c r="Z6519" s="18" t="s">
        <v>166</v>
      </c>
      <c r="AA6519" s="21" t="str">
        <f>HYPERLINK("https://www.ncbi.nlm.nih.gov/nuccore/MZ556184","NCBI Nucleotide")</f>
        <v>NCBI Nucleotide</v>
      </c>
    </row>
    <row r="6520" spans="1:27" x14ac:dyDescent="0.35">
      <c r="A6520">
        <v>1025563</v>
      </c>
      <c r="B6520">
        <v>6223</v>
      </c>
      <c r="C6520">
        <v>1</v>
      </c>
      <c r="D6520" s="17" t="s">
        <v>10507</v>
      </c>
      <c r="E6520" s="17"/>
      <c r="F6520" s="17" t="s">
        <v>10780</v>
      </c>
      <c r="G6520" s="17"/>
      <c r="H6520" s="17" t="s">
        <v>12908</v>
      </c>
      <c r="I6520" s="17"/>
      <c r="J6520" s="17" t="s">
        <v>12909</v>
      </c>
      <c r="K6520" s="17"/>
      <c r="L6520" s="17" t="s">
        <v>41073</v>
      </c>
      <c r="M6520" s="17"/>
      <c r="N6520" s="17" t="s">
        <v>41365</v>
      </c>
      <c r="O6520" s="17"/>
      <c r="P6520" s="17" t="s">
        <v>41445</v>
      </c>
      <c r="Q6520" s="17"/>
      <c r="R6520" s="25" t="str">
        <f>HYPERLINK("https://ictv.global/taxonomy/taxondetails?taxnode_id=202318972","Himalivirus chandais")</f>
        <v>Himalivirus chandais</v>
      </c>
      <c r="S6520" s="18" t="s">
        <v>30</v>
      </c>
      <c r="T6520" s="18" t="s">
        <v>41449</v>
      </c>
      <c r="U6520" s="18"/>
      <c r="V6520" s="18" t="s">
        <v>41450</v>
      </c>
      <c r="W6520" s="18" t="s">
        <v>41451</v>
      </c>
      <c r="X6520" s="18" t="s">
        <v>42</v>
      </c>
      <c r="Y6520" s="18" t="s">
        <v>12266</v>
      </c>
      <c r="Z6520" s="18" t="s">
        <v>166</v>
      </c>
      <c r="AA6520" s="21" t="str">
        <f>HYPERLINK("https://www.ncbi.nlm.nih.gov/nuccore/MH617692","NCBI Nucleotide")</f>
        <v>NCBI Nucleotide</v>
      </c>
    </row>
    <row r="6521" spans="1:27" x14ac:dyDescent="0.35">
      <c r="A6521">
        <v>1025564</v>
      </c>
      <c r="B6521">
        <v>6224</v>
      </c>
      <c r="C6521">
        <v>1</v>
      </c>
      <c r="D6521" s="17" t="s">
        <v>10507</v>
      </c>
      <c r="E6521" s="17"/>
      <c r="F6521" s="17" t="s">
        <v>10780</v>
      </c>
      <c r="G6521" s="17"/>
      <c r="H6521" s="17" t="s">
        <v>12908</v>
      </c>
      <c r="I6521" s="17"/>
      <c r="J6521" s="17" t="s">
        <v>12909</v>
      </c>
      <c r="K6521" s="17"/>
      <c r="L6521" s="17" t="s">
        <v>41073</v>
      </c>
      <c r="M6521" s="17"/>
      <c r="N6521" s="17" t="s">
        <v>41365</v>
      </c>
      <c r="O6521" s="17"/>
      <c r="P6521" s="17" t="s">
        <v>41445</v>
      </c>
      <c r="Q6521" s="17"/>
      <c r="R6521" s="25" t="str">
        <f>HYPERLINK("https://ictv.global/taxonomy/taxondetails?taxnode_id=202318973","Himalivirus cordelis")</f>
        <v>Himalivirus cordelis</v>
      </c>
      <c r="S6521" s="18" t="s">
        <v>30</v>
      </c>
      <c r="T6521" s="18" t="s">
        <v>41452</v>
      </c>
      <c r="U6521" s="18"/>
      <c r="V6521" s="18" t="s">
        <v>41453</v>
      </c>
      <c r="W6521" s="18" t="s">
        <v>41454</v>
      </c>
      <c r="X6521" s="18" t="s">
        <v>42</v>
      </c>
      <c r="Y6521" s="18" t="s">
        <v>12266</v>
      </c>
      <c r="Z6521" s="18" t="s">
        <v>166</v>
      </c>
      <c r="AA6521" s="21" t="str">
        <f>HYPERLINK("https://www.ncbi.nlm.nih.gov/nuccore/MN928932","NCBI Nucleotide")</f>
        <v>NCBI Nucleotide</v>
      </c>
    </row>
    <row r="6522" spans="1:27" x14ac:dyDescent="0.35">
      <c r="A6522">
        <v>1025565</v>
      </c>
      <c r="B6522">
        <v>6225</v>
      </c>
      <c r="C6522">
        <v>1</v>
      </c>
      <c r="D6522" s="17" t="s">
        <v>10507</v>
      </c>
      <c r="E6522" s="17"/>
      <c r="F6522" s="17" t="s">
        <v>10780</v>
      </c>
      <c r="G6522" s="17"/>
      <c r="H6522" s="17" t="s">
        <v>12908</v>
      </c>
      <c r="I6522" s="17"/>
      <c r="J6522" s="17" t="s">
        <v>12909</v>
      </c>
      <c r="K6522" s="17"/>
      <c r="L6522" s="17" t="s">
        <v>41073</v>
      </c>
      <c r="M6522" s="17"/>
      <c r="N6522" s="17" t="s">
        <v>41365</v>
      </c>
      <c r="O6522" s="17"/>
      <c r="P6522" s="17" t="s">
        <v>41445</v>
      </c>
      <c r="Q6522" s="17"/>
      <c r="R6522" s="25" t="str">
        <f>HYPERLINK("https://ictv.global/taxonomy/taxondetails?taxnode_id=202318974","Himalivirus halles")</f>
        <v>Himalivirus halles</v>
      </c>
      <c r="S6522" s="18" t="s">
        <v>30</v>
      </c>
      <c r="T6522" s="18" t="s">
        <v>41455</v>
      </c>
      <c r="U6522" s="18"/>
      <c r="V6522" s="18" t="s">
        <v>41456</v>
      </c>
      <c r="W6522" s="18" t="s">
        <v>41457</v>
      </c>
      <c r="X6522" s="18" t="s">
        <v>42</v>
      </c>
      <c r="Y6522" s="18" t="s">
        <v>12266</v>
      </c>
      <c r="Z6522" s="18" t="s">
        <v>166</v>
      </c>
      <c r="AA6522" s="21" t="str">
        <f>HYPERLINK("https://www.ncbi.nlm.nih.gov/nuccore/MH617488","NCBI Nucleotide")</f>
        <v>NCBI Nucleotide</v>
      </c>
    </row>
    <row r="6523" spans="1:27" x14ac:dyDescent="0.35">
      <c r="A6523">
        <v>1025553</v>
      </c>
      <c r="B6523">
        <v>6226</v>
      </c>
      <c r="C6523">
        <v>1</v>
      </c>
      <c r="D6523" s="17" t="s">
        <v>10507</v>
      </c>
      <c r="E6523" s="17"/>
      <c r="F6523" s="17" t="s">
        <v>10780</v>
      </c>
      <c r="G6523" s="17"/>
      <c r="H6523" s="17" t="s">
        <v>12908</v>
      </c>
      <c r="I6523" s="17"/>
      <c r="J6523" s="17" t="s">
        <v>12909</v>
      </c>
      <c r="K6523" s="17"/>
      <c r="L6523" s="17" t="s">
        <v>41073</v>
      </c>
      <c r="M6523" s="17"/>
      <c r="N6523" s="17" t="s">
        <v>41365</v>
      </c>
      <c r="O6523" s="17"/>
      <c r="P6523" s="17" t="s">
        <v>41458</v>
      </c>
      <c r="Q6523" s="17"/>
      <c r="R6523" s="25" t="str">
        <f>HYPERLINK("https://ictv.global/taxonomy/taxondetails?taxnode_id=202318975","Janusivirus ophels")</f>
        <v>Janusivirus ophels</v>
      </c>
      <c r="S6523" s="18" t="s">
        <v>30</v>
      </c>
      <c r="T6523" s="18" t="s">
        <v>41459</v>
      </c>
      <c r="U6523" s="18"/>
      <c r="V6523" s="18" t="s">
        <v>41460</v>
      </c>
      <c r="W6523" s="18" t="s">
        <v>41461</v>
      </c>
      <c r="X6523" s="18" t="s">
        <v>42</v>
      </c>
      <c r="Y6523" s="18" t="s">
        <v>12266</v>
      </c>
      <c r="Z6523" s="18" t="s">
        <v>166</v>
      </c>
      <c r="AA6523" s="21" t="str">
        <f>HYPERLINK("https://www.ncbi.nlm.nih.gov/nuccore/MZ556154","NCBI Nucleotide")</f>
        <v>NCBI Nucleotide</v>
      </c>
    </row>
    <row r="6524" spans="1:27" x14ac:dyDescent="0.35">
      <c r="A6524">
        <v>1025554</v>
      </c>
      <c r="B6524">
        <v>6227</v>
      </c>
      <c r="C6524">
        <v>1</v>
      </c>
      <c r="D6524" s="17" t="s">
        <v>10507</v>
      </c>
      <c r="E6524" s="17"/>
      <c r="F6524" s="17" t="s">
        <v>10780</v>
      </c>
      <c r="G6524" s="17"/>
      <c r="H6524" s="17" t="s">
        <v>12908</v>
      </c>
      <c r="I6524" s="17"/>
      <c r="J6524" s="17" t="s">
        <v>12909</v>
      </c>
      <c r="K6524" s="17"/>
      <c r="L6524" s="17" t="s">
        <v>41073</v>
      </c>
      <c r="M6524" s="17"/>
      <c r="N6524" s="17" t="s">
        <v>41365</v>
      </c>
      <c r="O6524" s="17"/>
      <c r="P6524" s="17" t="s">
        <v>41458</v>
      </c>
      <c r="Q6524" s="17"/>
      <c r="R6524" s="25" t="str">
        <f>HYPERLINK("https://ictv.global/taxonomy/taxondetails?taxnode_id=202318976","Janusivirus portis")</f>
        <v>Janusivirus portis</v>
      </c>
      <c r="S6524" s="18" t="s">
        <v>30</v>
      </c>
      <c r="T6524" s="18" t="s">
        <v>41462</v>
      </c>
      <c r="U6524" s="18"/>
      <c r="V6524" s="18" t="s">
        <v>41463</v>
      </c>
      <c r="W6524" s="18" t="s">
        <v>41464</v>
      </c>
      <c r="X6524" s="18" t="s">
        <v>42</v>
      </c>
      <c r="Y6524" s="18" t="s">
        <v>12266</v>
      </c>
      <c r="Z6524" s="18" t="s">
        <v>13441</v>
      </c>
      <c r="AA6524" s="21" t="str">
        <f>HYPERLINK("https://www.ncbi.nlm.nih.gov/nuccore/MN954870","NCBI Nucleotide")</f>
        <v>NCBI Nucleotide</v>
      </c>
    </row>
    <row r="6525" spans="1:27" x14ac:dyDescent="0.35">
      <c r="A6525">
        <v>1025410</v>
      </c>
      <c r="B6525">
        <v>6228</v>
      </c>
      <c r="C6525">
        <v>1</v>
      </c>
      <c r="D6525" s="17" t="s">
        <v>10507</v>
      </c>
      <c r="E6525" s="17"/>
      <c r="F6525" s="17" t="s">
        <v>10780</v>
      </c>
      <c r="G6525" s="17"/>
      <c r="H6525" s="17" t="s">
        <v>12908</v>
      </c>
      <c r="I6525" s="17"/>
      <c r="J6525" s="17" t="s">
        <v>12909</v>
      </c>
      <c r="K6525" s="17"/>
      <c r="L6525" s="17" t="s">
        <v>41073</v>
      </c>
      <c r="M6525" s="17"/>
      <c r="N6525" s="17" t="s">
        <v>41365</v>
      </c>
      <c r="O6525" s="17"/>
      <c r="P6525" s="17" t="s">
        <v>41465</v>
      </c>
      <c r="Q6525" s="17"/>
      <c r="R6525" s="25" t="str">
        <f>HYPERLINK("https://ictv.global/taxonomy/taxondetails?taxnode_id=202318977","Thebevirus arielis")</f>
        <v>Thebevirus arielis</v>
      </c>
      <c r="S6525" s="18" t="s">
        <v>30</v>
      </c>
      <c r="T6525" s="18" t="s">
        <v>41466</v>
      </c>
      <c r="U6525" s="18"/>
      <c r="V6525" s="18" t="s">
        <v>41467</v>
      </c>
      <c r="W6525" s="18" t="s">
        <v>41468</v>
      </c>
      <c r="X6525" s="18" t="s">
        <v>42</v>
      </c>
      <c r="Y6525" s="18" t="s">
        <v>12266</v>
      </c>
      <c r="Z6525" s="18" t="s">
        <v>166</v>
      </c>
      <c r="AA6525" s="21" t="str">
        <f>HYPERLINK("https://www.ncbi.nlm.nih.gov/nuccore/OM523006","NCBI Nucleotide")</f>
        <v>NCBI Nucleotide</v>
      </c>
    </row>
    <row r="6526" spans="1:27" x14ac:dyDescent="0.35">
      <c r="A6526">
        <v>1007583</v>
      </c>
      <c r="B6526">
        <v>6229</v>
      </c>
      <c r="C6526">
        <v>1</v>
      </c>
      <c r="D6526" s="17" t="s">
        <v>10507</v>
      </c>
      <c r="E6526" s="17"/>
      <c r="F6526" s="17" t="s">
        <v>10780</v>
      </c>
      <c r="G6526" s="17"/>
      <c r="H6526" s="17" t="s">
        <v>12908</v>
      </c>
      <c r="I6526" s="17"/>
      <c r="J6526" s="17" t="s">
        <v>14018</v>
      </c>
      <c r="K6526" s="17"/>
      <c r="L6526" s="17" t="s">
        <v>14019</v>
      </c>
      <c r="M6526" s="17"/>
      <c r="N6526" s="17" t="s">
        <v>14020</v>
      </c>
      <c r="O6526" s="17"/>
      <c r="P6526" s="17" t="s">
        <v>14021</v>
      </c>
      <c r="Q6526" s="17"/>
      <c r="R6526" s="25" t="str">
        <f>HYPERLINK("https://ictv.global/taxonomy/taxondetails?taxnode_id=202303172","Becurtovirus betae")</f>
        <v>Becurtovirus betae</v>
      </c>
      <c r="S6526" s="18" t="s">
        <v>30</v>
      </c>
      <c r="T6526" s="18" t="s">
        <v>14022</v>
      </c>
      <c r="U6526" s="18" t="s">
        <v>14023</v>
      </c>
      <c r="V6526" s="18" t="s">
        <v>14024</v>
      </c>
      <c r="W6526" s="18" t="s">
        <v>14025</v>
      </c>
      <c r="X6526" s="18" t="s">
        <v>42</v>
      </c>
      <c r="Y6526" s="18" t="s">
        <v>12266</v>
      </c>
      <c r="Z6526" s="18" t="s">
        <v>13441</v>
      </c>
      <c r="AA6526" s="21" t="str">
        <f>HYPERLINK("https://www.ncbi.nlm.nih.gov/nuccore/EU273818","NCBI Nucleotide")</f>
        <v>NCBI Nucleotide</v>
      </c>
    </row>
    <row r="6527" spans="1:27" x14ac:dyDescent="0.35">
      <c r="A6527">
        <v>1012464</v>
      </c>
      <c r="B6527">
        <v>6229</v>
      </c>
      <c r="C6527">
        <v>2</v>
      </c>
      <c r="D6527" s="17" t="s">
        <v>10507</v>
      </c>
      <c r="E6527" s="17"/>
      <c r="F6527" s="17" t="s">
        <v>10780</v>
      </c>
      <c r="G6527" s="17"/>
      <c r="H6527" s="17" t="s">
        <v>12908</v>
      </c>
      <c r="I6527" s="17"/>
      <c r="J6527" s="17" t="s">
        <v>14018</v>
      </c>
      <c r="K6527" s="17"/>
      <c r="L6527" s="17" t="s">
        <v>14019</v>
      </c>
      <c r="M6527" s="17"/>
      <c r="N6527" s="17" t="s">
        <v>14020</v>
      </c>
      <c r="O6527" s="17"/>
      <c r="P6527" s="17" t="s">
        <v>14021</v>
      </c>
      <c r="Q6527" s="17"/>
      <c r="R6527" s="25" t="str">
        <f>HYPERLINK("https://ictv.global/taxonomy/taxondetails?taxnode_id=202303172","Becurtovirus betae")</f>
        <v>Becurtovirus betae</v>
      </c>
      <c r="S6527" s="18" t="s">
        <v>8141</v>
      </c>
      <c r="T6527" s="18" t="s">
        <v>14022</v>
      </c>
      <c r="U6527" s="18" t="s">
        <v>14026</v>
      </c>
      <c r="V6527" s="18" t="s">
        <v>14027</v>
      </c>
      <c r="W6527" s="18" t="s">
        <v>49025</v>
      </c>
      <c r="X6527" s="18" t="s">
        <v>42</v>
      </c>
      <c r="Y6527" s="18" t="s">
        <v>12266</v>
      </c>
      <c r="Z6527" s="18" t="s">
        <v>13441</v>
      </c>
      <c r="AA6527" s="21" t="str">
        <f>HYPERLINK("https://www.ncbi.nlm.nih.gov/nuccore/JX131633","NCBI Nucleotide")</f>
        <v>NCBI Nucleotide</v>
      </c>
    </row>
    <row r="6528" spans="1:27" x14ac:dyDescent="0.35">
      <c r="A6528">
        <v>1012465</v>
      </c>
      <c r="B6528">
        <v>6229</v>
      </c>
      <c r="C6528">
        <v>3</v>
      </c>
      <c r="D6528" s="17" t="s">
        <v>10507</v>
      </c>
      <c r="E6528" s="17"/>
      <c r="F6528" s="17" t="s">
        <v>10780</v>
      </c>
      <c r="G6528" s="17"/>
      <c r="H6528" s="17" t="s">
        <v>12908</v>
      </c>
      <c r="I6528" s="17"/>
      <c r="J6528" s="17" t="s">
        <v>14018</v>
      </c>
      <c r="K6528" s="17"/>
      <c r="L6528" s="17" t="s">
        <v>14019</v>
      </c>
      <c r="M6528" s="17"/>
      <c r="N6528" s="17" t="s">
        <v>14020</v>
      </c>
      <c r="O6528" s="17"/>
      <c r="P6528" s="17" t="s">
        <v>14021</v>
      </c>
      <c r="Q6528" s="17"/>
      <c r="R6528" s="25" t="str">
        <f>HYPERLINK("https://ictv.global/taxonomy/taxondetails?taxnode_id=202303172","Becurtovirus betae")</f>
        <v>Becurtovirus betae</v>
      </c>
      <c r="S6528" s="18" t="s">
        <v>8141</v>
      </c>
      <c r="T6528" s="18" t="s">
        <v>14022</v>
      </c>
      <c r="U6528" s="18" t="s">
        <v>14028</v>
      </c>
      <c r="V6528" s="18" t="s">
        <v>14029</v>
      </c>
      <c r="W6528" s="18" t="s">
        <v>49026</v>
      </c>
      <c r="X6528" s="18" t="s">
        <v>42</v>
      </c>
      <c r="Y6528" s="18" t="s">
        <v>12266</v>
      </c>
      <c r="Z6528" s="18" t="s">
        <v>13441</v>
      </c>
      <c r="AA6528" s="21" t="str">
        <f>HYPERLINK("https://www.ncbi.nlm.nih.gov/nuccore/JX458087","NCBI Nucleotide")</f>
        <v>NCBI Nucleotide</v>
      </c>
    </row>
    <row r="6529" spans="1:27" x14ac:dyDescent="0.35">
      <c r="A6529">
        <v>1012466</v>
      </c>
      <c r="B6529">
        <v>6229</v>
      </c>
      <c r="C6529">
        <v>4</v>
      </c>
      <c r="D6529" s="17" t="s">
        <v>10507</v>
      </c>
      <c r="E6529" s="17"/>
      <c r="F6529" s="17" t="s">
        <v>10780</v>
      </c>
      <c r="G6529" s="17"/>
      <c r="H6529" s="17" t="s">
        <v>12908</v>
      </c>
      <c r="I6529" s="17"/>
      <c r="J6529" s="17" t="s">
        <v>14018</v>
      </c>
      <c r="K6529" s="17"/>
      <c r="L6529" s="17" t="s">
        <v>14019</v>
      </c>
      <c r="M6529" s="17"/>
      <c r="N6529" s="17" t="s">
        <v>14020</v>
      </c>
      <c r="O6529" s="17"/>
      <c r="P6529" s="17" t="s">
        <v>14021</v>
      </c>
      <c r="Q6529" s="17"/>
      <c r="R6529" s="25" t="str">
        <f>HYPERLINK("https://ictv.global/taxonomy/taxondetails?taxnode_id=202303172","Becurtovirus betae")</f>
        <v>Becurtovirus betae</v>
      </c>
      <c r="S6529" s="18" t="s">
        <v>8141</v>
      </c>
      <c r="T6529" s="18" t="s">
        <v>14022</v>
      </c>
      <c r="U6529" s="18" t="s">
        <v>14030</v>
      </c>
      <c r="V6529" s="18" t="s">
        <v>14031</v>
      </c>
      <c r="W6529" s="18" t="s">
        <v>49027</v>
      </c>
      <c r="X6529" s="18" t="s">
        <v>42</v>
      </c>
      <c r="Y6529" s="18" t="s">
        <v>12266</v>
      </c>
      <c r="Z6529" s="18" t="s">
        <v>13441</v>
      </c>
      <c r="AA6529" s="21" t="str">
        <f>HYPERLINK("https://www.ncbi.nlm.nih.gov/nuccore/JX945572","NCBI Nucleotide")</f>
        <v>NCBI Nucleotide</v>
      </c>
    </row>
    <row r="6530" spans="1:27" x14ac:dyDescent="0.35">
      <c r="A6530">
        <v>1007584</v>
      </c>
      <c r="B6530">
        <v>6230</v>
      </c>
      <c r="C6530">
        <v>1</v>
      </c>
      <c r="D6530" s="17" t="s">
        <v>10507</v>
      </c>
      <c r="E6530" s="17"/>
      <c r="F6530" s="17" t="s">
        <v>10780</v>
      </c>
      <c r="G6530" s="17"/>
      <c r="H6530" s="17" t="s">
        <v>12908</v>
      </c>
      <c r="I6530" s="17"/>
      <c r="J6530" s="17" t="s">
        <v>14018</v>
      </c>
      <c r="K6530" s="17"/>
      <c r="L6530" s="17" t="s">
        <v>14019</v>
      </c>
      <c r="M6530" s="17"/>
      <c r="N6530" s="17" t="s">
        <v>14020</v>
      </c>
      <c r="O6530" s="17"/>
      <c r="P6530" s="17" t="s">
        <v>14021</v>
      </c>
      <c r="Q6530" s="17"/>
      <c r="R6530" s="25" t="str">
        <f>HYPERLINK("https://ictv.global/taxonomy/taxondetails?taxnode_id=202306688","Becurtovirus exomis")</f>
        <v>Becurtovirus exomis</v>
      </c>
      <c r="S6530" s="18" t="s">
        <v>30</v>
      </c>
      <c r="T6530" s="18" t="s">
        <v>14032</v>
      </c>
      <c r="U6530" s="18" t="s">
        <v>14033</v>
      </c>
      <c r="V6530" s="18" t="s">
        <v>14034</v>
      </c>
      <c r="W6530" s="18" t="s">
        <v>14035</v>
      </c>
      <c r="X6530" s="18" t="s">
        <v>42</v>
      </c>
      <c r="Y6530" s="18" t="s">
        <v>12266</v>
      </c>
      <c r="Z6530" s="18" t="s">
        <v>13441</v>
      </c>
      <c r="AA6530" s="21" t="str">
        <f>HYPERLINK("https://www.ncbi.nlm.nih.gov/nuccore/MG001960","NCBI Nucleotide")</f>
        <v>NCBI Nucleotide</v>
      </c>
    </row>
    <row r="6531" spans="1:27" x14ac:dyDescent="0.35">
      <c r="A6531">
        <v>1007585</v>
      </c>
      <c r="B6531">
        <v>6231</v>
      </c>
      <c r="C6531">
        <v>1</v>
      </c>
      <c r="D6531" s="17" t="s">
        <v>10507</v>
      </c>
      <c r="E6531" s="17"/>
      <c r="F6531" s="17" t="s">
        <v>10780</v>
      </c>
      <c r="G6531" s="17"/>
      <c r="H6531" s="17" t="s">
        <v>12908</v>
      </c>
      <c r="I6531" s="17"/>
      <c r="J6531" s="17" t="s">
        <v>14018</v>
      </c>
      <c r="K6531" s="17"/>
      <c r="L6531" s="17" t="s">
        <v>14019</v>
      </c>
      <c r="M6531" s="17"/>
      <c r="N6531" s="17" t="s">
        <v>14020</v>
      </c>
      <c r="O6531" s="17"/>
      <c r="P6531" s="17" t="s">
        <v>14021</v>
      </c>
      <c r="Q6531" s="17"/>
      <c r="R6531" s="25" t="str">
        <f>HYPERLINK("https://ictv.global/taxonomy/taxondetails?taxnode_id=202303173","Becurtovirus spinaciae")</f>
        <v>Becurtovirus spinaciae</v>
      </c>
      <c r="S6531" s="18" t="s">
        <v>30</v>
      </c>
      <c r="T6531" s="18" t="s">
        <v>14036</v>
      </c>
      <c r="U6531" s="18" t="s">
        <v>14037</v>
      </c>
      <c r="V6531" s="18" t="s">
        <v>14038</v>
      </c>
      <c r="W6531" s="18" t="s">
        <v>14039</v>
      </c>
      <c r="X6531" s="18" t="s">
        <v>42</v>
      </c>
      <c r="Y6531" s="18" t="s">
        <v>12266</v>
      </c>
      <c r="Z6531" s="18" t="s">
        <v>13441</v>
      </c>
      <c r="AA6531" s="21" t="str">
        <f>HYPERLINK("https://www.ncbi.nlm.nih.gov/nuccore/HQ443515","NCBI Nucleotide")</f>
        <v>NCBI Nucleotide</v>
      </c>
    </row>
    <row r="6532" spans="1:27" x14ac:dyDescent="0.35">
      <c r="A6532">
        <v>1007613</v>
      </c>
      <c r="B6532">
        <v>6232</v>
      </c>
      <c r="C6532">
        <v>1</v>
      </c>
      <c r="D6532" s="17" t="s">
        <v>10507</v>
      </c>
      <c r="E6532" s="17"/>
      <c r="F6532" s="17" t="s">
        <v>10780</v>
      </c>
      <c r="G6532" s="17"/>
      <c r="H6532" s="17" t="s">
        <v>12908</v>
      </c>
      <c r="I6532" s="17"/>
      <c r="J6532" s="17" t="s">
        <v>14018</v>
      </c>
      <c r="K6532" s="17"/>
      <c r="L6532" s="17" t="s">
        <v>14019</v>
      </c>
      <c r="M6532" s="17"/>
      <c r="N6532" s="17" t="s">
        <v>14020</v>
      </c>
      <c r="O6532" s="17"/>
      <c r="P6532" s="17" t="s">
        <v>14040</v>
      </c>
      <c r="Q6532" s="17"/>
      <c r="R6532" s="25" t="str">
        <f>HYPERLINK("https://ictv.global/taxonomy/taxondetails?taxnode_id=202303193","Begomovirus abelmoschusbhubhaneswarense")</f>
        <v>Begomovirus abelmoschusbhubhaneswarense</v>
      </c>
      <c r="S6532" s="18" t="s">
        <v>30</v>
      </c>
      <c r="T6532" s="18" t="s">
        <v>14170</v>
      </c>
      <c r="U6532" s="18" t="s">
        <v>14171</v>
      </c>
      <c r="V6532" s="18" t="s">
        <v>14172</v>
      </c>
      <c r="W6532" s="18" t="s">
        <v>14173</v>
      </c>
      <c r="X6532" s="18" t="s">
        <v>42</v>
      </c>
      <c r="Y6532" s="18" t="s">
        <v>12266</v>
      </c>
      <c r="Z6532" s="18" t="s">
        <v>13441</v>
      </c>
      <c r="AA6532" s="21" t="str">
        <f>HYPERLINK("https://www.ncbi.nlm.nih.gov/nuccore/FJ589571","NCBI Nucleotide")</f>
        <v>NCBI Nucleotide</v>
      </c>
    </row>
    <row r="6533" spans="1:27" x14ac:dyDescent="0.35">
      <c r="A6533">
        <v>1007615</v>
      </c>
      <c r="B6533">
        <v>6233</v>
      </c>
      <c r="C6533">
        <v>1</v>
      </c>
      <c r="D6533" s="17" t="s">
        <v>10507</v>
      </c>
      <c r="E6533" s="17"/>
      <c r="F6533" s="17" t="s">
        <v>10780</v>
      </c>
      <c r="G6533" s="17"/>
      <c r="H6533" s="17" t="s">
        <v>12908</v>
      </c>
      <c r="I6533" s="17"/>
      <c r="J6533" s="17" t="s">
        <v>14018</v>
      </c>
      <c r="K6533" s="17"/>
      <c r="L6533" s="17" t="s">
        <v>14019</v>
      </c>
      <c r="M6533" s="17"/>
      <c r="N6533" s="17" t="s">
        <v>14020</v>
      </c>
      <c r="O6533" s="17"/>
      <c r="P6533" s="17" t="s">
        <v>14040</v>
      </c>
      <c r="Q6533" s="17"/>
      <c r="R6533" s="25" t="str">
        <f>HYPERLINK("https://ictv.global/taxonomy/taxondetails?taxnode_id=202306703","Begomovirus abelmoschusdehliense")</f>
        <v>Begomovirus abelmoschusdehliense</v>
      </c>
      <c r="S6533" s="18" t="s">
        <v>30</v>
      </c>
      <c r="T6533" s="18" t="s">
        <v>14177</v>
      </c>
      <c r="U6533" s="18" t="s">
        <v>14178</v>
      </c>
      <c r="V6533" s="18" t="s">
        <v>14179</v>
      </c>
      <c r="W6533" s="18" t="s">
        <v>41469</v>
      </c>
      <c r="X6533" s="18" t="s">
        <v>42</v>
      </c>
      <c r="Y6533" s="18" t="s">
        <v>12266</v>
      </c>
      <c r="Z6533" s="18" t="s">
        <v>13441</v>
      </c>
      <c r="AA6533" s="21" t="str">
        <f>HYPERLINK("https://www.ncbi.nlm.nih.gov/nuccore/FJ515747","NCBI Nucleotide")</f>
        <v>NCBI Nucleotide</v>
      </c>
    </row>
    <row r="6534" spans="1:27" x14ac:dyDescent="0.35">
      <c r="A6534">
        <v>1007616</v>
      </c>
      <c r="B6534">
        <v>6234</v>
      </c>
      <c r="C6534">
        <v>1</v>
      </c>
      <c r="D6534" s="17" t="s">
        <v>10507</v>
      </c>
      <c r="E6534" s="17"/>
      <c r="F6534" s="17" t="s">
        <v>10780</v>
      </c>
      <c r="G6534" s="17"/>
      <c r="H6534" s="17" t="s">
        <v>12908</v>
      </c>
      <c r="I6534" s="17"/>
      <c r="J6534" s="17" t="s">
        <v>14018</v>
      </c>
      <c r="K6534" s="17"/>
      <c r="L6534" s="17" t="s">
        <v>14019</v>
      </c>
      <c r="M6534" s="17"/>
      <c r="N6534" s="17" t="s">
        <v>14020</v>
      </c>
      <c r="O6534" s="17"/>
      <c r="P6534" s="17" t="s">
        <v>14040</v>
      </c>
      <c r="Q6534" s="17"/>
      <c r="R6534" s="25" t="str">
        <f>HYPERLINK("https://ictv.global/taxonomy/taxondetails?taxnode_id=202303195","Begomovirus abelmoschusflavi")</f>
        <v>Begomovirus abelmoschusflavi</v>
      </c>
      <c r="S6534" s="18" t="s">
        <v>30</v>
      </c>
      <c r="T6534" s="18" t="s">
        <v>14180</v>
      </c>
      <c r="U6534" s="18" t="s">
        <v>14181</v>
      </c>
      <c r="V6534" s="18" t="s">
        <v>14182</v>
      </c>
      <c r="W6534" s="18" t="s">
        <v>14183</v>
      </c>
      <c r="X6534" s="18" t="s">
        <v>42</v>
      </c>
      <c r="Y6534" s="18" t="s">
        <v>12266</v>
      </c>
      <c r="Z6534" s="18" t="s">
        <v>13441</v>
      </c>
      <c r="AA6534" s="21" t="str">
        <f>HYPERLINK("https://www.ncbi.nlm.nih.gov/nuccore/AF241479","NCBI Nucleotide")</f>
        <v>NCBI Nucleotide</v>
      </c>
    </row>
    <row r="6535" spans="1:27" x14ac:dyDescent="0.35">
      <c r="A6535">
        <v>1012482</v>
      </c>
      <c r="B6535">
        <v>6234</v>
      </c>
      <c r="C6535">
        <v>2</v>
      </c>
      <c r="D6535" s="17" t="s">
        <v>10507</v>
      </c>
      <c r="E6535" s="17"/>
      <c r="F6535" s="17" t="s">
        <v>10780</v>
      </c>
      <c r="G6535" s="17"/>
      <c r="H6535" s="17" t="s">
        <v>12908</v>
      </c>
      <c r="I6535" s="17"/>
      <c r="J6535" s="17" t="s">
        <v>14018</v>
      </c>
      <c r="K6535" s="17"/>
      <c r="L6535" s="17" t="s">
        <v>14019</v>
      </c>
      <c r="M6535" s="17"/>
      <c r="N6535" s="17" t="s">
        <v>14020</v>
      </c>
      <c r="O6535" s="17"/>
      <c r="P6535" s="17" t="s">
        <v>14040</v>
      </c>
      <c r="Q6535" s="17"/>
      <c r="R6535" s="25" t="str">
        <f>HYPERLINK("https://ictv.global/taxonomy/taxondetails?taxnode_id=202303195","Begomovirus abelmoschusflavi")</f>
        <v>Begomovirus abelmoschusflavi</v>
      </c>
      <c r="S6535" s="18" t="s">
        <v>8141</v>
      </c>
      <c r="T6535" s="18" t="s">
        <v>14180</v>
      </c>
      <c r="U6535" s="18" t="s">
        <v>14184</v>
      </c>
      <c r="V6535" s="18" t="s">
        <v>14185</v>
      </c>
      <c r="W6535" s="18" t="s">
        <v>49028</v>
      </c>
      <c r="X6535" s="18" t="s">
        <v>42</v>
      </c>
      <c r="Y6535" s="18" t="s">
        <v>12266</v>
      </c>
      <c r="Z6535" s="18" t="s">
        <v>13441</v>
      </c>
      <c r="AA6535" s="21" t="str">
        <f>HYPERLINK("https://www.ncbi.nlm.nih.gov/nuccore/EU589392","NCBI Nucleotide")</f>
        <v>NCBI Nucleotide</v>
      </c>
    </row>
    <row r="6536" spans="1:27" x14ac:dyDescent="0.35">
      <c r="A6536">
        <v>1012483</v>
      </c>
      <c r="B6536">
        <v>6234</v>
      </c>
      <c r="C6536">
        <v>3</v>
      </c>
      <c r="D6536" s="17" t="s">
        <v>10507</v>
      </c>
      <c r="E6536" s="17"/>
      <c r="F6536" s="17" t="s">
        <v>10780</v>
      </c>
      <c r="G6536" s="17"/>
      <c r="H6536" s="17" t="s">
        <v>12908</v>
      </c>
      <c r="I6536" s="17"/>
      <c r="J6536" s="17" t="s">
        <v>14018</v>
      </c>
      <c r="K6536" s="17"/>
      <c r="L6536" s="17" t="s">
        <v>14019</v>
      </c>
      <c r="M6536" s="17"/>
      <c r="N6536" s="17" t="s">
        <v>14020</v>
      </c>
      <c r="O6536" s="17"/>
      <c r="P6536" s="17" t="s">
        <v>14040</v>
      </c>
      <c r="Q6536" s="17"/>
      <c r="R6536" s="25" t="str">
        <f>HYPERLINK("https://ictv.global/taxonomy/taxondetails?taxnode_id=202303195","Begomovirus abelmoschusflavi")</f>
        <v>Begomovirus abelmoschusflavi</v>
      </c>
      <c r="S6536" s="18" t="s">
        <v>8141</v>
      </c>
      <c r="T6536" s="18" t="s">
        <v>14180</v>
      </c>
      <c r="U6536" s="18" t="s">
        <v>14184</v>
      </c>
      <c r="V6536" s="18" t="s">
        <v>14186</v>
      </c>
      <c r="W6536" s="18" t="s">
        <v>49029</v>
      </c>
      <c r="X6536" s="18" t="s">
        <v>42</v>
      </c>
      <c r="Y6536" s="18" t="s">
        <v>12266</v>
      </c>
      <c r="Z6536" s="18" t="s">
        <v>13441</v>
      </c>
      <c r="AA6536" s="21" t="str">
        <f>HYPERLINK("https://www.ncbi.nlm.nih.gov/nuccore/AJ002451","NCBI Nucleotide")</f>
        <v>NCBI Nucleotide</v>
      </c>
    </row>
    <row r="6537" spans="1:27" x14ac:dyDescent="0.35">
      <c r="A6537">
        <v>1012484</v>
      </c>
      <c r="B6537">
        <v>6234</v>
      </c>
      <c r="C6537">
        <v>4</v>
      </c>
      <c r="D6537" s="17" t="s">
        <v>10507</v>
      </c>
      <c r="E6537" s="17"/>
      <c r="F6537" s="17" t="s">
        <v>10780</v>
      </c>
      <c r="G6537" s="17"/>
      <c r="H6537" s="17" t="s">
        <v>12908</v>
      </c>
      <c r="I6537" s="17"/>
      <c r="J6537" s="17" t="s">
        <v>14018</v>
      </c>
      <c r="K6537" s="17"/>
      <c r="L6537" s="17" t="s">
        <v>14019</v>
      </c>
      <c r="M6537" s="17"/>
      <c r="N6537" s="17" t="s">
        <v>14020</v>
      </c>
      <c r="O6537" s="17"/>
      <c r="P6537" s="17" t="s">
        <v>14040</v>
      </c>
      <c r="Q6537" s="17"/>
      <c r="R6537" s="25" t="str">
        <f>HYPERLINK("https://ictv.global/taxonomy/taxondetails?taxnode_id=202303195","Begomovirus abelmoschusflavi")</f>
        <v>Begomovirus abelmoschusflavi</v>
      </c>
      <c r="S6537" s="18" t="s">
        <v>8141</v>
      </c>
      <c r="T6537" s="18" t="s">
        <v>14180</v>
      </c>
      <c r="U6537" s="18" t="s">
        <v>14184</v>
      </c>
      <c r="V6537" s="18" t="s">
        <v>14187</v>
      </c>
      <c r="W6537" s="18" t="s">
        <v>49030</v>
      </c>
      <c r="X6537" s="18" t="s">
        <v>42</v>
      </c>
      <c r="Y6537" s="18" t="s">
        <v>12266</v>
      </c>
      <c r="Z6537" s="18" t="s">
        <v>13441</v>
      </c>
      <c r="AA6537" s="21" t="str">
        <f>HYPERLINK("https://www.ncbi.nlm.nih.gov/nuccore/FJ179372","NCBI Nucleotide")</f>
        <v>NCBI Nucleotide</v>
      </c>
    </row>
    <row r="6538" spans="1:27" x14ac:dyDescent="0.35">
      <c r="A6538">
        <v>1012485</v>
      </c>
      <c r="B6538">
        <v>6234</v>
      </c>
      <c r="C6538">
        <v>5</v>
      </c>
      <c r="D6538" s="17" t="s">
        <v>10507</v>
      </c>
      <c r="E6538" s="17"/>
      <c r="F6538" s="17" t="s">
        <v>10780</v>
      </c>
      <c r="G6538" s="17"/>
      <c r="H6538" s="17" t="s">
        <v>12908</v>
      </c>
      <c r="I6538" s="17"/>
      <c r="J6538" s="17" t="s">
        <v>14018</v>
      </c>
      <c r="K6538" s="17"/>
      <c r="L6538" s="17" t="s">
        <v>14019</v>
      </c>
      <c r="M6538" s="17"/>
      <c r="N6538" s="17" t="s">
        <v>14020</v>
      </c>
      <c r="O6538" s="17"/>
      <c r="P6538" s="17" t="s">
        <v>14040</v>
      </c>
      <c r="Q6538" s="17"/>
      <c r="R6538" s="25" t="str">
        <f>HYPERLINK("https://ictv.global/taxonomy/taxondetails?taxnode_id=202303195","Begomovirus abelmoschusflavi")</f>
        <v>Begomovirus abelmoschusflavi</v>
      </c>
      <c r="S6538" s="18" t="s">
        <v>8141</v>
      </c>
      <c r="T6538" s="18" t="s">
        <v>14180</v>
      </c>
      <c r="U6538" s="18" t="s">
        <v>14184</v>
      </c>
      <c r="V6538" s="18" t="s">
        <v>14188</v>
      </c>
      <c r="W6538" s="18" t="s">
        <v>49031</v>
      </c>
      <c r="X6538" s="18" t="s">
        <v>42</v>
      </c>
      <c r="Y6538" s="18" t="s">
        <v>12266</v>
      </c>
      <c r="Z6538" s="18" t="s">
        <v>13441</v>
      </c>
      <c r="AA6538" s="21" t="str">
        <f>HYPERLINK("https://www.ncbi.nlm.nih.gov/nuccore/FJ176235","NCBI Nucleotide")</f>
        <v>NCBI Nucleotide</v>
      </c>
    </row>
    <row r="6539" spans="1:27" x14ac:dyDescent="0.35">
      <c r="A6539">
        <v>1007614</v>
      </c>
      <c r="B6539">
        <v>6235</v>
      </c>
      <c r="C6539">
        <v>1</v>
      </c>
      <c r="D6539" s="17" t="s">
        <v>10507</v>
      </c>
      <c r="E6539" s="17"/>
      <c r="F6539" s="17" t="s">
        <v>10780</v>
      </c>
      <c r="G6539" s="17"/>
      <c r="H6539" s="17" t="s">
        <v>12908</v>
      </c>
      <c r="I6539" s="17"/>
      <c r="J6539" s="17" t="s">
        <v>14018</v>
      </c>
      <c r="K6539" s="17"/>
      <c r="L6539" s="17" t="s">
        <v>14019</v>
      </c>
      <c r="M6539" s="17"/>
      <c r="N6539" s="17" t="s">
        <v>14020</v>
      </c>
      <c r="O6539" s="17"/>
      <c r="P6539" s="17" t="s">
        <v>14040</v>
      </c>
      <c r="Q6539" s="17"/>
      <c r="R6539" s="25" t="str">
        <f>HYPERLINK("https://ictv.global/taxonomy/taxondetails?taxnode_id=202303194","Begomovirus abelmoschusharyanaense")</f>
        <v>Begomovirus abelmoschusharyanaense</v>
      </c>
      <c r="S6539" s="18" t="s">
        <v>30</v>
      </c>
      <c r="T6539" s="18" t="s">
        <v>14174</v>
      </c>
      <c r="U6539" s="18" t="s">
        <v>14175</v>
      </c>
      <c r="V6539" s="18" t="s">
        <v>14176</v>
      </c>
      <c r="W6539" s="18" t="s">
        <v>41470</v>
      </c>
      <c r="X6539" s="18" t="s">
        <v>42</v>
      </c>
      <c r="Y6539" s="18" t="s">
        <v>12266</v>
      </c>
      <c r="Z6539" s="18" t="s">
        <v>13441</v>
      </c>
      <c r="AA6539" s="21" t="str">
        <f>HYPERLINK("https://www.ncbi.nlm.nih.gov/nuccore/FJ561298","NCBI Nucleotide")</f>
        <v>NCBI Nucleotide</v>
      </c>
    </row>
    <row r="6540" spans="1:27" x14ac:dyDescent="0.35">
      <c r="A6540">
        <v>1007763</v>
      </c>
      <c r="B6540">
        <v>6236</v>
      </c>
      <c r="C6540">
        <v>1</v>
      </c>
      <c r="D6540" s="17" t="s">
        <v>10507</v>
      </c>
      <c r="E6540" s="17"/>
      <c r="F6540" s="17" t="s">
        <v>10780</v>
      </c>
      <c r="G6540" s="17"/>
      <c r="H6540" s="17" t="s">
        <v>12908</v>
      </c>
      <c r="I6540" s="17"/>
      <c r="J6540" s="17" t="s">
        <v>14018</v>
      </c>
      <c r="K6540" s="17"/>
      <c r="L6540" s="17" t="s">
        <v>14019</v>
      </c>
      <c r="M6540" s="17"/>
      <c r="N6540" s="17" t="s">
        <v>14020</v>
      </c>
      <c r="O6540" s="17"/>
      <c r="P6540" s="17" t="s">
        <v>14040</v>
      </c>
      <c r="Q6540" s="17"/>
      <c r="R6540" s="25" t="str">
        <f>HYPERLINK("https://ictv.global/taxonomy/taxondetails?taxnode_id=202303296","Begomovirus abelsmoschusenation")</f>
        <v>Begomovirus abelsmoschusenation</v>
      </c>
      <c r="S6540" s="18" t="s">
        <v>30</v>
      </c>
      <c r="T6540" s="18" t="s">
        <v>14850</v>
      </c>
      <c r="U6540" s="18" t="s">
        <v>14851</v>
      </c>
      <c r="V6540" s="18" t="s">
        <v>14852</v>
      </c>
      <c r="W6540" s="18" t="s">
        <v>14853</v>
      </c>
      <c r="X6540" s="18" t="s">
        <v>42</v>
      </c>
      <c r="Y6540" s="18" t="s">
        <v>12266</v>
      </c>
      <c r="Z6540" s="18" t="s">
        <v>13441</v>
      </c>
      <c r="AA6540" s="21" t="str">
        <f>HYPERLINK("https://www.ncbi.nlm.nih.gov/nuccore/GU111998","NCBI Nucleotide")</f>
        <v>NCBI Nucleotide</v>
      </c>
    </row>
    <row r="6541" spans="1:27" x14ac:dyDescent="0.35">
      <c r="A6541">
        <v>1007765</v>
      </c>
      <c r="B6541">
        <v>6237</v>
      </c>
      <c r="C6541">
        <v>1</v>
      </c>
      <c r="D6541" s="17" t="s">
        <v>10507</v>
      </c>
      <c r="E6541" s="17"/>
      <c r="F6541" s="17" t="s">
        <v>10780</v>
      </c>
      <c r="G6541" s="17"/>
      <c r="H6541" s="17" t="s">
        <v>12908</v>
      </c>
      <c r="I6541" s="17"/>
      <c r="J6541" s="17" t="s">
        <v>14018</v>
      </c>
      <c r="K6541" s="17"/>
      <c r="L6541" s="17" t="s">
        <v>14019</v>
      </c>
      <c r="M6541" s="17"/>
      <c r="N6541" s="17" t="s">
        <v>14020</v>
      </c>
      <c r="O6541" s="17"/>
      <c r="P6541" s="17" t="s">
        <v>14040</v>
      </c>
      <c r="Q6541" s="17"/>
      <c r="R6541" s="25" t="str">
        <f>HYPERLINK("https://ictv.global/taxonomy/taxondetails?taxnode_id=202303297","Begomovirus abelsmoschusmaculae")</f>
        <v>Begomovirus abelsmoschusmaculae</v>
      </c>
      <c r="S6541" s="18" t="s">
        <v>30</v>
      </c>
      <c r="T6541" s="18" t="s">
        <v>14857</v>
      </c>
      <c r="U6541" s="18" t="s">
        <v>14858</v>
      </c>
      <c r="V6541" s="18" t="s">
        <v>14859</v>
      </c>
      <c r="W6541" s="18" t="s">
        <v>14860</v>
      </c>
      <c r="X6541" s="18" t="s">
        <v>42</v>
      </c>
      <c r="Y6541" s="18" t="s">
        <v>12266</v>
      </c>
      <c r="Z6541" s="18" t="s">
        <v>13441</v>
      </c>
      <c r="AA6541" s="21" t="str">
        <f>HYPERLINK("https://www.ncbi.nlm.nih.gov/nuccore/EU914817,EU914818","NCBI Nucleotide")</f>
        <v>NCBI Nucleotide</v>
      </c>
    </row>
    <row r="6542" spans="1:27" x14ac:dyDescent="0.35">
      <c r="A6542">
        <v>1007767</v>
      </c>
      <c r="B6542">
        <v>6238</v>
      </c>
      <c r="C6542">
        <v>1</v>
      </c>
      <c r="D6542" s="17" t="s">
        <v>10507</v>
      </c>
      <c r="E6542" s="17"/>
      <c r="F6542" s="17" t="s">
        <v>10780</v>
      </c>
      <c r="G6542" s="17"/>
      <c r="H6542" s="17" t="s">
        <v>12908</v>
      </c>
      <c r="I6542" s="17"/>
      <c r="J6542" s="17" t="s">
        <v>14018</v>
      </c>
      <c r="K6542" s="17"/>
      <c r="L6542" s="17" t="s">
        <v>14019</v>
      </c>
      <c r="M6542" s="17"/>
      <c r="N6542" s="17" t="s">
        <v>14020</v>
      </c>
      <c r="O6542" s="17"/>
      <c r="P6542" s="17" t="s">
        <v>14040</v>
      </c>
      <c r="Q6542" s="17"/>
      <c r="R6542" s="25" t="str">
        <f>HYPERLINK("https://ictv.global/taxonomy/taxondetails?taxnode_id=202303299","Begomovirus abelsmoschusmexicoense")</f>
        <v>Begomovirus abelsmoschusmexicoense</v>
      </c>
      <c r="S6542" s="18" t="s">
        <v>30</v>
      </c>
      <c r="T6542" s="18" t="s">
        <v>14869</v>
      </c>
      <c r="U6542" s="18" t="s">
        <v>14870</v>
      </c>
      <c r="V6542" s="18" t="s">
        <v>14871</v>
      </c>
      <c r="W6542" s="18" t="s">
        <v>14872</v>
      </c>
      <c r="X6542" s="18" t="s">
        <v>42</v>
      </c>
      <c r="Y6542" s="18" t="s">
        <v>12266</v>
      </c>
      <c r="Z6542" s="18" t="s">
        <v>13441</v>
      </c>
      <c r="AA6542" s="21" t="str">
        <f>HYPERLINK("https://www.ncbi.nlm.nih.gov/nuccore/DQ022611,GU972604","NCBI Nucleotide")</f>
        <v>NCBI Nucleotide</v>
      </c>
    </row>
    <row r="6543" spans="1:27" x14ac:dyDescent="0.35">
      <c r="A6543">
        <v>1007764</v>
      </c>
      <c r="B6543">
        <v>6239</v>
      </c>
      <c r="C6543">
        <v>1</v>
      </c>
      <c r="D6543" s="17" t="s">
        <v>10507</v>
      </c>
      <c r="E6543" s="17"/>
      <c r="F6543" s="17" t="s">
        <v>10780</v>
      </c>
      <c r="G6543" s="17"/>
      <c r="H6543" s="17" t="s">
        <v>12908</v>
      </c>
      <c r="I6543" s="17"/>
      <c r="J6543" s="17" t="s">
        <v>14018</v>
      </c>
      <c r="K6543" s="17"/>
      <c r="L6543" s="17" t="s">
        <v>14019</v>
      </c>
      <c r="M6543" s="17"/>
      <c r="N6543" s="17" t="s">
        <v>14020</v>
      </c>
      <c r="O6543" s="17"/>
      <c r="P6543" s="17" t="s">
        <v>14040</v>
      </c>
      <c r="Q6543" s="17"/>
      <c r="R6543" s="25" t="str">
        <f>HYPERLINK("https://ictv.global/taxonomy/taxondetails?taxnode_id=202305815","Begomovirus abelsmoschusomanense")</f>
        <v>Begomovirus abelsmoschusomanense</v>
      </c>
      <c r="S6543" s="18" t="s">
        <v>30</v>
      </c>
      <c r="T6543" s="18" t="s">
        <v>14854</v>
      </c>
      <c r="U6543" s="18" t="s">
        <v>14855</v>
      </c>
      <c r="V6543" s="18" t="s">
        <v>14856</v>
      </c>
      <c r="W6543" s="18" t="s">
        <v>41471</v>
      </c>
      <c r="X6543" s="18" t="s">
        <v>42</v>
      </c>
      <c r="Y6543" s="18" t="s">
        <v>12266</v>
      </c>
      <c r="Z6543" s="18" t="s">
        <v>13441</v>
      </c>
      <c r="AA6543" s="21" t="str">
        <f>HYPERLINK("https://www.ncbi.nlm.nih.gov/nuccore/HE862273","NCBI Nucleotide")</f>
        <v>NCBI Nucleotide</v>
      </c>
    </row>
    <row r="6544" spans="1:27" x14ac:dyDescent="0.35">
      <c r="A6544">
        <v>1007766</v>
      </c>
      <c r="B6544">
        <v>6240</v>
      </c>
      <c r="C6544">
        <v>1</v>
      </c>
      <c r="D6544" s="17" t="s">
        <v>10507</v>
      </c>
      <c r="E6544" s="17"/>
      <c r="F6544" s="17" t="s">
        <v>10780</v>
      </c>
      <c r="G6544" s="17"/>
      <c r="H6544" s="17" t="s">
        <v>12908</v>
      </c>
      <c r="I6544" s="17"/>
      <c r="J6544" s="17" t="s">
        <v>14018</v>
      </c>
      <c r="K6544" s="17"/>
      <c r="L6544" s="17" t="s">
        <v>14019</v>
      </c>
      <c r="M6544" s="17"/>
      <c r="N6544" s="17" t="s">
        <v>14020</v>
      </c>
      <c r="O6544" s="17"/>
      <c r="P6544" s="17" t="s">
        <v>14040</v>
      </c>
      <c r="Q6544" s="17"/>
      <c r="R6544" s="25" t="str">
        <f>HYPERLINK("https://ictv.global/taxonomy/taxondetails?taxnode_id=202303298","Begomovirus abelsmoschusretorridi")</f>
        <v>Begomovirus abelsmoschusretorridi</v>
      </c>
      <c r="S6544" s="18" t="s">
        <v>30</v>
      </c>
      <c r="T6544" s="18" t="s">
        <v>14861</v>
      </c>
      <c r="U6544" s="18" t="s">
        <v>14862</v>
      </c>
      <c r="V6544" s="18" t="s">
        <v>14863</v>
      </c>
      <c r="W6544" s="18" t="s">
        <v>14864</v>
      </c>
      <c r="X6544" s="18" t="s">
        <v>42</v>
      </c>
      <c r="Y6544" s="18" t="s">
        <v>12266</v>
      </c>
      <c r="Z6544" s="18" t="s">
        <v>13441</v>
      </c>
      <c r="AA6544" s="21" t="str">
        <f>HYPERLINK("https://www.ncbi.nlm.nih.gov/nuccore/DQ875879","NCBI Nucleotide")</f>
        <v>NCBI Nucleotide</v>
      </c>
    </row>
    <row r="6545" spans="1:27" x14ac:dyDescent="0.35">
      <c r="A6545">
        <v>1012551</v>
      </c>
      <c r="B6545">
        <v>6240</v>
      </c>
      <c r="C6545">
        <v>2</v>
      </c>
      <c r="D6545" s="17" t="s">
        <v>10507</v>
      </c>
      <c r="E6545" s="17"/>
      <c r="F6545" s="17" t="s">
        <v>10780</v>
      </c>
      <c r="G6545" s="17"/>
      <c r="H6545" s="17" t="s">
        <v>12908</v>
      </c>
      <c r="I6545" s="17"/>
      <c r="J6545" s="17" t="s">
        <v>14018</v>
      </c>
      <c r="K6545" s="17"/>
      <c r="L6545" s="17" t="s">
        <v>14019</v>
      </c>
      <c r="M6545" s="17"/>
      <c r="N6545" s="17" t="s">
        <v>14020</v>
      </c>
      <c r="O6545" s="17"/>
      <c r="P6545" s="17" t="s">
        <v>14040</v>
      </c>
      <c r="Q6545" s="17"/>
      <c r="R6545" s="25" t="str">
        <f>HYPERLINK("https://ictv.global/taxonomy/taxondetails?taxnode_id=202303298","Begomovirus abelsmoschusretorridi")</f>
        <v>Begomovirus abelsmoschusretorridi</v>
      </c>
      <c r="S6545" s="18" t="s">
        <v>8141</v>
      </c>
      <c r="T6545" s="18" t="s">
        <v>14861</v>
      </c>
      <c r="U6545" s="18" t="s">
        <v>14865</v>
      </c>
      <c r="V6545" s="18" t="s">
        <v>14866</v>
      </c>
      <c r="W6545" s="18" t="s">
        <v>49032</v>
      </c>
      <c r="X6545" s="18" t="s">
        <v>42</v>
      </c>
      <c r="Y6545" s="18" t="s">
        <v>12266</v>
      </c>
      <c r="Z6545" s="18" t="s">
        <v>13441</v>
      </c>
      <c r="AA6545" s="21" t="str">
        <f>HYPERLINK("https://www.ncbi.nlm.nih.gov/nuccore/FM210275","NCBI Nucleotide")</f>
        <v>NCBI Nucleotide</v>
      </c>
    </row>
    <row r="6546" spans="1:27" x14ac:dyDescent="0.35">
      <c r="A6546">
        <v>1012552</v>
      </c>
      <c r="B6546">
        <v>6240</v>
      </c>
      <c r="C6546">
        <v>3</v>
      </c>
      <c r="D6546" s="17" t="s">
        <v>10507</v>
      </c>
      <c r="E6546" s="17"/>
      <c r="F6546" s="17" t="s">
        <v>10780</v>
      </c>
      <c r="G6546" s="17"/>
      <c r="H6546" s="17" t="s">
        <v>12908</v>
      </c>
      <c r="I6546" s="17"/>
      <c r="J6546" s="17" t="s">
        <v>14018</v>
      </c>
      <c r="K6546" s="17"/>
      <c r="L6546" s="17" t="s">
        <v>14019</v>
      </c>
      <c r="M6546" s="17"/>
      <c r="N6546" s="17" t="s">
        <v>14020</v>
      </c>
      <c r="O6546" s="17"/>
      <c r="P6546" s="17" t="s">
        <v>14040</v>
      </c>
      <c r="Q6546" s="17"/>
      <c r="R6546" s="25" t="str">
        <f>HYPERLINK("https://ictv.global/taxonomy/taxondetails?taxnode_id=202303298","Begomovirus abelsmoschusretorridi")</f>
        <v>Begomovirus abelsmoschusretorridi</v>
      </c>
      <c r="S6546" s="18" t="s">
        <v>8141</v>
      </c>
      <c r="T6546" s="18" t="s">
        <v>14861</v>
      </c>
      <c r="U6546" s="18" t="s">
        <v>14867</v>
      </c>
      <c r="V6546" s="18" t="s">
        <v>14868</v>
      </c>
      <c r="W6546" s="18" t="s">
        <v>49033</v>
      </c>
      <c r="X6546" s="18" t="s">
        <v>42</v>
      </c>
      <c r="Y6546" s="18" t="s">
        <v>12266</v>
      </c>
      <c r="Z6546" s="18" t="s">
        <v>13441</v>
      </c>
      <c r="AA6546" s="21" t="str">
        <f>HYPERLINK("https://www.ncbi.nlm.nih.gov/nuccore/HE793424","NCBI Nucleotide")</f>
        <v>NCBI Nucleotide</v>
      </c>
    </row>
    <row r="6547" spans="1:27" x14ac:dyDescent="0.35">
      <c r="A6547">
        <v>1007588</v>
      </c>
      <c r="B6547">
        <v>6241</v>
      </c>
      <c r="C6547">
        <v>1</v>
      </c>
      <c r="D6547" s="17" t="s">
        <v>10507</v>
      </c>
      <c r="E6547" s="17"/>
      <c r="F6547" s="17" t="s">
        <v>10780</v>
      </c>
      <c r="G6547" s="17"/>
      <c r="H6547" s="17" t="s">
        <v>12908</v>
      </c>
      <c r="I6547" s="17"/>
      <c r="J6547" s="17" t="s">
        <v>14018</v>
      </c>
      <c r="K6547" s="17"/>
      <c r="L6547" s="17" t="s">
        <v>14019</v>
      </c>
      <c r="M6547" s="17"/>
      <c r="N6547" s="17" t="s">
        <v>14020</v>
      </c>
      <c r="O6547" s="17"/>
      <c r="P6547" s="17" t="s">
        <v>14040</v>
      </c>
      <c r="Q6547" s="17"/>
      <c r="R6547" s="25" t="str">
        <f>HYPERLINK("https://ictv.global/taxonomy/taxondetails?taxnode_id=202303177","Begomovirus abutilonbrazilense")</f>
        <v>Begomovirus abutilonbrazilense</v>
      </c>
      <c r="S6547" s="18" t="s">
        <v>30</v>
      </c>
      <c r="T6547" s="18" t="s">
        <v>14049</v>
      </c>
      <c r="U6547" s="18" t="s">
        <v>14050</v>
      </c>
      <c r="V6547" s="18" t="s">
        <v>14051</v>
      </c>
      <c r="W6547" s="18" t="s">
        <v>50459</v>
      </c>
      <c r="X6547" s="18" t="s">
        <v>42</v>
      </c>
      <c r="Y6547" s="18" t="s">
        <v>12266</v>
      </c>
      <c r="Z6547" s="18" t="s">
        <v>13441</v>
      </c>
      <c r="AA6547" s="21" t="str">
        <f>HYPERLINK("https://www.ncbi.nlm.nih.gov/nuccore/JF694480,JF694479","NCBI Nucleotide")</f>
        <v>NCBI Nucleotide</v>
      </c>
    </row>
    <row r="6548" spans="1:27" x14ac:dyDescent="0.35">
      <c r="A6548">
        <v>1007586</v>
      </c>
      <c r="B6548">
        <v>6242</v>
      </c>
      <c r="C6548">
        <v>1</v>
      </c>
      <c r="D6548" s="17" t="s">
        <v>10507</v>
      </c>
      <c r="E6548" s="17"/>
      <c r="F6548" s="17" t="s">
        <v>10780</v>
      </c>
      <c r="G6548" s="17"/>
      <c r="H6548" s="17" t="s">
        <v>12908</v>
      </c>
      <c r="I6548" s="17"/>
      <c r="J6548" s="17" t="s">
        <v>14018</v>
      </c>
      <c r="K6548" s="17"/>
      <c r="L6548" s="17" t="s">
        <v>14019</v>
      </c>
      <c r="M6548" s="17"/>
      <c r="N6548" s="17" t="s">
        <v>14020</v>
      </c>
      <c r="O6548" s="17"/>
      <c r="P6548" s="17" t="s">
        <v>14040</v>
      </c>
      <c r="Q6548" s="17"/>
      <c r="R6548" s="25" t="str">
        <f>HYPERLINK("https://ictv.global/taxonomy/taxondetails?taxnode_id=202303175","Begomovirus abutilonis")</f>
        <v>Begomovirus abutilonis</v>
      </c>
      <c r="S6548" s="18" t="s">
        <v>30</v>
      </c>
      <c r="T6548" s="18" t="s">
        <v>14041</v>
      </c>
      <c r="U6548" s="18" t="s">
        <v>14042</v>
      </c>
      <c r="V6548" s="18" t="s">
        <v>14043</v>
      </c>
      <c r="W6548" s="18" t="s">
        <v>14044</v>
      </c>
      <c r="X6548" s="18" t="s">
        <v>42</v>
      </c>
      <c r="Y6548" s="18" t="s">
        <v>12266</v>
      </c>
      <c r="Z6548" s="18" t="s">
        <v>13441</v>
      </c>
      <c r="AA6548" s="21" t="str">
        <f>HYPERLINK("https://www.ncbi.nlm.nih.gov/nuccore/KC430935","NCBI Nucleotide")</f>
        <v>NCBI Nucleotide</v>
      </c>
    </row>
    <row r="6549" spans="1:27" x14ac:dyDescent="0.35">
      <c r="A6549">
        <v>1007595</v>
      </c>
      <c r="B6549">
        <v>6243</v>
      </c>
      <c r="C6549">
        <v>1</v>
      </c>
      <c r="D6549" s="17" t="s">
        <v>10507</v>
      </c>
      <c r="E6549" s="17"/>
      <c r="F6549" s="17" t="s">
        <v>10780</v>
      </c>
      <c r="G6549" s="17"/>
      <c r="H6549" s="17" t="s">
        <v>12908</v>
      </c>
      <c r="I6549" s="17"/>
      <c r="J6549" s="17" t="s">
        <v>14018</v>
      </c>
      <c r="K6549" s="17"/>
      <c r="L6549" s="17" t="s">
        <v>14019</v>
      </c>
      <c r="M6549" s="17"/>
      <c r="N6549" s="17" t="s">
        <v>14020</v>
      </c>
      <c r="O6549" s="17"/>
      <c r="P6549" s="17" t="s">
        <v>14040</v>
      </c>
      <c r="Q6549" s="17"/>
      <c r="R6549" s="25" t="str">
        <f>HYPERLINK("https://ictv.global/taxonomy/taxondetails?taxnode_id=202303182","Begomovirus agerahualianense")</f>
        <v>Begomovirus agerahualianense</v>
      </c>
      <c r="S6549" s="18" t="s">
        <v>30</v>
      </c>
      <c r="T6549" s="18" t="s">
        <v>14077</v>
      </c>
      <c r="U6549" s="18" t="s">
        <v>14078</v>
      </c>
      <c r="V6549" s="18" t="s">
        <v>14079</v>
      </c>
      <c r="W6549" s="18" t="s">
        <v>14080</v>
      </c>
      <c r="X6549" s="18" t="s">
        <v>42</v>
      </c>
      <c r="Y6549" s="18" t="s">
        <v>12266</v>
      </c>
      <c r="Z6549" s="18" t="s">
        <v>13441</v>
      </c>
      <c r="AA6549" s="21" t="str">
        <f>HYPERLINK("https://www.ncbi.nlm.nih.gov/nuccore/DQ866132","NCBI Nucleotide")</f>
        <v>NCBI Nucleotide</v>
      </c>
    </row>
    <row r="6550" spans="1:27" x14ac:dyDescent="0.35">
      <c r="A6550">
        <v>1012469</v>
      </c>
      <c r="B6550">
        <v>6243</v>
      </c>
      <c r="C6550">
        <v>2</v>
      </c>
      <c r="D6550" s="17" t="s">
        <v>10507</v>
      </c>
      <c r="E6550" s="17"/>
      <c r="F6550" s="17" t="s">
        <v>10780</v>
      </c>
      <c r="G6550" s="17"/>
      <c r="H6550" s="17" t="s">
        <v>12908</v>
      </c>
      <c r="I6550" s="17"/>
      <c r="J6550" s="17" t="s">
        <v>14018</v>
      </c>
      <c r="K6550" s="17"/>
      <c r="L6550" s="17" t="s">
        <v>14019</v>
      </c>
      <c r="M6550" s="17"/>
      <c r="N6550" s="17" t="s">
        <v>14020</v>
      </c>
      <c r="O6550" s="17"/>
      <c r="P6550" s="17" t="s">
        <v>14040</v>
      </c>
      <c r="Q6550" s="17"/>
      <c r="R6550" s="25" t="str">
        <f>HYPERLINK("https://ictv.global/taxonomy/taxondetails?taxnode_id=202303182","Begomovirus agerahualianense")</f>
        <v>Begomovirus agerahualianense</v>
      </c>
      <c r="S6550" s="18" t="s">
        <v>8141</v>
      </c>
      <c r="T6550" s="18" t="s">
        <v>14077</v>
      </c>
      <c r="U6550" s="18" t="s">
        <v>14081</v>
      </c>
      <c r="V6550" s="18" t="s">
        <v>14082</v>
      </c>
      <c r="W6550" s="18" t="s">
        <v>49034</v>
      </c>
      <c r="X6550" s="18" t="s">
        <v>42</v>
      </c>
      <c r="Y6550" s="18" t="s">
        <v>12266</v>
      </c>
      <c r="Z6550" s="18" t="s">
        <v>13441</v>
      </c>
      <c r="AA6550" s="21" t="str">
        <f>HYPERLINK("https://www.ncbi.nlm.nih.gov/nuccore/DQ866124","NCBI Nucleotide")</f>
        <v>NCBI Nucleotide</v>
      </c>
    </row>
    <row r="6551" spans="1:27" x14ac:dyDescent="0.35">
      <c r="A6551">
        <v>1007594</v>
      </c>
      <c r="B6551">
        <v>6244</v>
      </c>
      <c r="C6551">
        <v>1</v>
      </c>
      <c r="D6551" s="17" t="s">
        <v>10507</v>
      </c>
      <c r="E6551" s="17"/>
      <c r="F6551" s="17" t="s">
        <v>10780</v>
      </c>
      <c r="G6551" s="17"/>
      <c r="H6551" s="17" t="s">
        <v>12908</v>
      </c>
      <c r="I6551" s="17"/>
      <c r="J6551" s="17" t="s">
        <v>14018</v>
      </c>
      <c r="K6551" s="17"/>
      <c r="L6551" s="17" t="s">
        <v>14019</v>
      </c>
      <c r="M6551" s="17"/>
      <c r="N6551" s="17" t="s">
        <v>14020</v>
      </c>
      <c r="O6551" s="17"/>
      <c r="P6551" s="17" t="s">
        <v>14040</v>
      </c>
      <c r="Q6551" s="17"/>
      <c r="R6551" s="25" t="str">
        <f>HYPERLINK("https://ictv.global/taxonomy/taxondetails?taxnode_id=202303181","Begomovirus agerainvolutionis")</f>
        <v>Begomovirus agerainvolutionis</v>
      </c>
      <c r="S6551" s="18" t="s">
        <v>30</v>
      </c>
      <c r="T6551" s="18" t="s">
        <v>14074</v>
      </c>
      <c r="U6551" s="18" t="s">
        <v>14075</v>
      </c>
      <c r="V6551" s="18" t="s">
        <v>14076</v>
      </c>
      <c r="W6551" s="18" t="s">
        <v>41472</v>
      </c>
      <c r="X6551" s="18" t="s">
        <v>42</v>
      </c>
      <c r="Y6551" s="18" t="s">
        <v>12266</v>
      </c>
      <c r="Z6551" s="18" t="s">
        <v>13441</v>
      </c>
      <c r="AA6551" s="21" t="str">
        <f>HYPERLINK("https://www.ncbi.nlm.nih.gov/nuccore/AJ851005","NCBI Nucleotide")</f>
        <v>NCBI Nucleotide</v>
      </c>
    </row>
    <row r="6552" spans="1:27" x14ac:dyDescent="0.35">
      <c r="A6552">
        <v>1007593</v>
      </c>
      <c r="B6552">
        <v>6245</v>
      </c>
      <c r="C6552">
        <v>1</v>
      </c>
      <c r="D6552" s="17" t="s">
        <v>10507</v>
      </c>
      <c r="E6552" s="17"/>
      <c r="F6552" s="17" t="s">
        <v>10780</v>
      </c>
      <c r="G6552" s="17"/>
      <c r="H6552" s="17" t="s">
        <v>12908</v>
      </c>
      <c r="I6552" s="17"/>
      <c r="J6552" s="17" t="s">
        <v>14018</v>
      </c>
      <c r="K6552" s="17"/>
      <c r="L6552" s="17" t="s">
        <v>14019</v>
      </c>
      <c r="M6552" s="17"/>
      <c r="N6552" s="17" t="s">
        <v>14020</v>
      </c>
      <c r="O6552" s="17"/>
      <c r="P6552" s="17" t="s">
        <v>14040</v>
      </c>
      <c r="Q6552" s="17"/>
      <c r="R6552" s="25" t="str">
        <f>HYPERLINK("https://ictv.global/taxonomy/taxondetails?taxnode_id=202307518","Begomovirus agerasichuanense")</f>
        <v>Begomovirus agerasichuanense</v>
      </c>
      <c r="S6552" s="18" t="s">
        <v>30</v>
      </c>
      <c r="T6552" s="18" t="s">
        <v>14071</v>
      </c>
      <c r="U6552" s="18" t="s">
        <v>14072</v>
      </c>
      <c r="V6552" s="18" t="s">
        <v>14073</v>
      </c>
      <c r="W6552" s="18" t="s">
        <v>41473</v>
      </c>
      <c r="X6552" s="18" t="s">
        <v>42</v>
      </c>
      <c r="Y6552" s="18" t="s">
        <v>12266</v>
      </c>
      <c r="Z6552" s="18" t="s">
        <v>13441</v>
      </c>
      <c r="AA6552" s="21" t="str">
        <f>HYPERLINK("https://www.ncbi.nlm.nih.gov/nuccore/MG917697","NCBI Nucleotide")</f>
        <v>NCBI Nucleotide</v>
      </c>
    </row>
    <row r="6553" spans="1:27" x14ac:dyDescent="0.35">
      <c r="A6553">
        <v>1007596</v>
      </c>
      <c r="B6553">
        <v>6246</v>
      </c>
      <c r="C6553">
        <v>1</v>
      </c>
      <c r="D6553" s="17" t="s">
        <v>10507</v>
      </c>
      <c r="E6553" s="17"/>
      <c r="F6553" s="17" t="s">
        <v>10780</v>
      </c>
      <c r="G6553" s="17"/>
      <c r="H6553" s="17" t="s">
        <v>12908</v>
      </c>
      <c r="I6553" s="17"/>
      <c r="J6553" s="17" t="s">
        <v>14018</v>
      </c>
      <c r="K6553" s="17"/>
      <c r="L6553" s="17" t="s">
        <v>14019</v>
      </c>
      <c r="M6553" s="17"/>
      <c r="N6553" s="17" t="s">
        <v>14020</v>
      </c>
      <c r="O6553" s="17"/>
      <c r="P6553" s="17" t="s">
        <v>14040</v>
      </c>
      <c r="Q6553" s="17"/>
      <c r="R6553" s="25" t="str">
        <f>HYPERLINK("https://ictv.global/taxonomy/taxondetails?taxnode_id=202303183","Begomovirus agerasrilankaense")</f>
        <v>Begomovirus agerasrilankaense</v>
      </c>
      <c r="S6553" s="18" t="s">
        <v>30</v>
      </c>
      <c r="T6553" s="18" t="s">
        <v>14083</v>
      </c>
      <c r="U6553" s="18" t="s">
        <v>14084</v>
      </c>
      <c r="V6553" s="18" t="s">
        <v>14085</v>
      </c>
      <c r="W6553" s="18" t="s">
        <v>14086</v>
      </c>
      <c r="X6553" s="18" t="s">
        <v>42</v>
      </c>
      <c r="Y6553" s="18" t="s">
        <v>12266</v>
      </c>
      <c r="Z6553" s="18" t="s">
        <v>13441</v>
      </c>
      <c r="AA6553" s="21" t="str">
        <f>HYPERLINK("https://www.ncbi.nlm.nih.gov/nuccore/AF314144","NCBI Nucleotide")</f>
        <v>NCBI Nucleotide</v>
      </c>
    </row>
    <row r="6554" spans="1:27" x14ac:dyDescent="0.35">
      <c r="A6554">
        <v>1007592</v>
      </c>
      <c r="B6554">
        <v>6247</v>
      </c>
      <c r="C6554">
        <v>1</v>
      </c>
      <c r="D6554" s="17" t="s">
        <v>10507</v>
      </c>
      <c r="E6554" s="17"/>
      <c r="F6554" s="17" t="s">
        <v>10780</v>
      </c>
      <c r="G6554" s="17"/>
      <c r="H6554" s="17" t="s">
        <v>12908</v>
      </c>
      <c r="I6554" s="17"/>
      <c r="J6554" s="17" t="s">
        <v>14018</v>
      </c>
      <c r="K6554" s="17"/>
      <c r="L6554" s="17" t="s">
        <v>14019</v>
      </c>
      <c r="M6554" s="17"/>
      <c r="N6554" s="17" t="s">
        <v>14020</v>
      </c>
      <c r="O6554" s="17"/>
      <c r="P6554" s="17" t="s">
        <v>14040</v>
      </c>
      <c r="Q6554" s="17"/>
      <c r="R6554" s="25" t="str">
        <f>HYPERLINK("https://ictv.global/taxonomy/taxondetails?taxnode_id=202303180","Begomovirus agerati")</f>
        <v>Begomovirus agerati</v>
      </c>
      <c r="S6554" s="18" t="s">
        <v>30</v>
      </c>
      <c r="T6554" s="18" t="s">
        <v>14064</v>
      </c>
      <c r="U6554" s="18" t="s">
        <v>14065</v>
      </c>
      <c r="V6554" s="18" t="s">
        <v>14066</v>
      </c>
      <c r="W6554" s="18" t="s">
        <v>41474</v>
      </c>
      <c r="X6554" s="18" t="s">
        <v>42</v>
      </c>
      <c r="Y6554" s="18" t="s">
        <v>12266</v>
      </c>
      <c r="Z6554" s="18" t="s">
        <v>13441</v>
      </c>
      <c r="AA6554" s="21" t="str">
        <f>HYPERLINK("https://www.ncbi.nlm.nih.gov/nuccore/AJ437618","NCBI Nucleotide")</f>
        <v>NCBI Nucleotide</v>
      </c>
    </row>
    <row r="6555" spans="1:27" x14ac:dyDescent="0.35">
      <c r="A6555">
        <v>1012467</v>
      </c>
      <c r="B6555">
        <v>6247</v>
      </c>
      <c r="C6555">
        <v>2</v>
      </c>
      <c r="D6555" s="17" t="s">
        <v>10507</v>
      </c>
      <c r="E6555" s="17"/>
      <c r="F6555" s="17" t="s">
        <v>10780</v>
      </c>
      <c r="G6555" s="17"/>
      <c r="H6555" s="17" t="s">
        <v>12908</v>
      </c>
      <c r="I6555" s="17"/>
      <c r="J6555" s="17" t="s">
        <v>14018</v>
      </c>
      <c r="K6555" s="17"/>
      <c r="L6555" s="17" t="s">
        <v>14019</v>
      </c>
      <c r="M6555" s="17"/>
      <c r="N6555" s="17" t="s">
        <v>14020</v>
      </c>
      <c r="O6555" s="17"/>
      <c r="P6555" s="17" t="s">
        <v>14040</v>
      </c>
      <c r="Q6555" s="17"/>
      <c r="R6555" s="25" t="str">
        <f>HYPERLINK("https://ictv.global/taxonomy/taxondetails?taxnode_id=202303180","Begomovirus agerati")</f>
        <v>Begomovirus agerati</v>
      </c>
      <c r="S6555" s="18" t="s">
        <v>8141</v>
      </c>
      <c r="T6555" s="18" t="s">
        <v>14064</v>
      </c>
      <c r="U6555" s="18" t="s">
        <v>14067</v>
      </c>
      <c r="V6555" s="18" t="s">
        <v>14068</v>
      </c>
      <c r="W6555" s="18" t="s">
        <v>49035</v>
      </c>
      <c r="X6555" s="18" t="s">
        <v>42</v>
      </c>
      <c r="Y6555" s="18" t="s">
        <v>12266</v>
      </c>
      <c r="Z6555" s="18" t="s">
        <v>13441</v>
      </c>
      <c r="AA6555" s="21" t="str">
        <f>HYPERLINK("https://www.ncbi.nlm.nih.gov/nuccore/FN543099","NCBI Nucleotide")</f>
        <v>NCBI Nucleotide</v>
      </c>
    </row>
    <row r="6556" spans="1:27" x14ac:dyDescent="0.35">
      <c r="A6556">
        <v>1012468</v>
      </c>
      <c r="B6556">
        <v>6247</v>
      </c>
      <c r="C6556">
        <v>3</v>
      </c>
      <c r="D6556" s="17" t="s">
        <v>10507</v>
      </c>
      <c r="E6556" s="17"/>
      <c r="F6556" s="17" t="s">
        <v>10780</v>
      </c>
      <c r="G6556" s="17"/>
      <c r="H6556" s="17" t="s">
        <v>12908</v>
      </c>
      <c r="I6556" s="17"/>
      <c r="J6556" s="17" t="s">
        <v>14018</v>
      </c>
      <c r="K6556" s="17"/>
      <c r="L6556" s="17" t="s">
        <v>14019</v>
      </c>
      <c r="M6556" s="17"/>
      <c r="N6556" s="17" t="s">
        <v>14020</v>
      </c>
      <c r="O6556" s="17"/>
      <c r="P6556" s="17" t="s">
        <v>14040</v>
      </c>
      <c r="Q6556" s="17"/>
      <c r="R6556" s="25" t="str">
        <f>HYPERLINK("https://ictv.global/taxonomy/taxondetails?taxnode_id=202303180","Begomovirus agerati")</f>
        <v>Begomovirus agerati</v>
      </c>
      <c r="S6556" s="18" t="s">
        <v>8141</v>
      </c>
      <c r="T6556" s="18" t="s">
        <v>14064</v>
      </c>
      <c r="U6556" s="18" t="s">
        <v>14069</v>
      </c>
      <c r="V6556" s="18" t="s">
        <v>14070</v>
      </c>
      <c r="W6556" s="18" t="s">
        <v>49036</v>
      </c>
      <c r="X6556" s="18" t="s">
        <v>42</v>
      </c>
      <c r="Y6556" s="18" t="s">
        <v>12266</v>
      </c>
      <c r="Z6556" s="18" t="s">
        <v>13441</v>
      </c>
      <c r="AA6556" s="21" t="str">
        <f>HYPERLINK("https://www.ncbi.nlm.nih.gov/nuccore/HM149260","NCBI Nucleotide")</f>
        <v>NCBI Nucleotide</v>
      </c>
    </row>
    <row r="6557" spans="1:27" x14ac:dyDescent="0.35">
      <c r="A6557">
        <v>1007597</v>
      </c>
      <c r="B6557">
        <v>6248</v>
      </c>
      <c r="C6557">
        <v>1</v>
      </c>
      <c r="D6557" s="17" t="s">
        <v>10507</v>
      </c>
      <c r="E6557" s="17"/>
      <c r="F6557" s="17" t="s">
        <v>10780</v>
      </c>
      <c r="G6557" s="17"/>
      <c r="H6557" s="17" t="s">
        <v>12908</v>
      </c>
      <c r="I6557" s="17"/>
      <c r="J6557" s="17" t="s">
        <v>14018</v>
      </c>
      <c r="K6557" s="17"/>
      <c r="L6557" s="17" t="s">
        <v>14019</v>
      </c>
      <c r="M6557" s="17"/>
      <c r="N6557" s="17" t="s">
        <v>14020</v>
      </c>
      <c r="O6557" s="17"/>
      <c r="P6557" s="17" t="s">
        <v>14040</v>
      </c>
      <c r="Q6557" s="17"/>
      <c r="R6557" s="25" t="str">
        <f t="shared" ref="R6557:R6566" si="17">HYPERLINK("https://ictv.global/taxonomy/taxondetails?taxnode_id=202303184","Begomovirus ageravenae")</f>
        <v>Begomovirus ageravenae</v>
      </c>
      <c r="S6557" s="18" t="s">
        <v>30</v>
      </c>
      <c r="T6557" s="18" t="s">
        <v>14087</v>
      </c>
      <c r="U6557" s="18" t="s">
        <v>14088</v>
      </c>
      <c r="V6557" s="18" t="s">
        <v>14089</v>
      </c>
      <c r="W6557" s="18" t="s">
        <v>14090</v>
      </c>
      <c r="X6557" s="18" t="s">
        <v>42</v>
      </c>
      <c r="Y6557" s="18" t="s">
        <v>12266</v>
      </c>
      <c r="Z6557" s="18" t="s">
        <v>13441</v>
      </c>
      <c r="AA6557" s="21" t="str">
        <f>HYPERLINK("https://www.ncbi.nlm.nih.gov/nuccore/AJ495813","NCBI Nucleotide")</f>
        <v>NCBI Nucleotide</v>
      </c>
    </row>
    <row r="6558" spans="1:27" x14ac:dyDescent="0.35">
      <c r="A6558">
        <v>1012470</v>
      </c>
      <c r="B6558">
        <v>6248</v>
      </c>
      <c r="C6558">
        <v>2</v>
      </c>
      <c r="D6558" s="17" t="s">
        <v>10507</v>
      </c>
      <c r="E6558" s="17"/>
      <c r="F6558" s="17" t="s">
        <v>10780</v>
      </c>
      <c r="G6558" s="17"/>
      <c r="H6558" s="17" t="s">
        <v>12908</v>
      </c>
      <c r="I6558" s="17"/>
      <c r="J6558" s="17" t="s">
        <v>14018</v>
      </c>
      <c r="K6558" s="17"/>
      <c r="L6558" s="17" t="s">
        <v>14019</v>
      </c>
      <c r="M6558" s="17"/>
      <c r="N6558" s="17" t="s">
        <v>14020</v>
      </c>
      <c r="O6558" s="17"/>
      <c r="P6558" s="17" t="s">
        <v>14040</v>
      </c>
      <c r="Q6558" s="17"/>
      <c r="R6558" s="25" t="str">
        <f t="shared" si="17"/>
        <v>Begomovirus ageravenae</v>
      </c>
      <c r="S6558" s="18" t="s">
        <v>8141</v>
      </c>
      <c r="T6558" s="18" t="s">
        <v>14087</v>
      </c>
      <c r="U6558" s="18" t="s">
        <v>14091</v>
      </c>
      <c r="V6558" s="18" t="s">
        <v>14092</v>
      </c>
      <c r="W6558" s="18" t="s">
        <v>49037</v>
      </c>
      <c r="X6558" s="18" t="s">
        <v>42</v>
      </c>
      <c r="Y6558" s="18" t="s">
        <v>12266</v>
      </c>
      <c r="Z6558" s="18" t="s">
        <v>13441</v>
      </c>
      <c r="AA6558" s="21" t="str">
        <f>HYPERLINK("https://www.ncbi.nlm.nih.gov/nuccore/AB050781","NCBI Nucleotide")</f>
        <v>NCBI Nucleotide</v>
      </c>
    </row>
    <row r="6559" spans="1:27" x14ac:dyDescent="0.35">
      <c r="A6559">
        <v>1012471</v>
      </c>
      <c r="B6559">
        <v>6248</v>
      </c>
      <c r="C6559">
        <v>3</v>
      </c>
      <c r="D6559" s="17" t="s">
        <v>10507</v>
      </c>
      <c r="E6559" s="17"/>
      <c r="F6559" s="17" t="s">
        <v>10780</v>
      </c>
      <c r="G6559" s="17"/>
      <c r="H6559" s="17" t="s">
        <v>12908</v>
      </c>
      <c r="I6559" s="17"/>
      <c r="J6559" s="17" t="s">
        <v>14018</v>
      </c>
      <c r="K6559" s="17"/>
      <c r="L6559" s="17" t="s">
        <v>14019</v>
      </c>
      <c r="M6559" s="17"/>
      <c r="N6559" s="17" t="s">
        <v>14020</v>
      </c>
      <c r="O6559" s="17"/>
      <c r="P6559" s="17" t="s">
        <v>14040</v>
      </c>
      <c r="Q6559" s="17"/>
      <c r="R6559" s="25" t="str">
        <f t="shared" si="17"/>
        <v>Begomovirus ageravenae</v>
      </c>
      <c r="S6559" s="18" t="s">
        <v>8141</v>
      </c>
      <c r="T6559" s="18" t="s">
        <v>14087</v>
      </c>
      <c r="U6559" s="18" t="s">
        <v>14093</v>
      </c>
      <c r="V6559" s="18" t="s">
        <v>14094</v>
      </c>
      <c r="W6559" s="18" t="s">
        <v>49038</v>
      </c>
      <c r="X6559" s="18" t="s">
        <v>42</v>
      </c>
      <c r="Y6559" s="18" t="s">
        <v>12266</v>
      </c>
      <c r="Z6559" s="18" t="s">
        <v>13441</v>
      </c>
      <c r="AA6559" s="21" t="str">
        <f>HYPERLINK("https://www.ncbi.nlm.nih.gov/nuccore/KC172826","NCBI Nucleotide")</f>
        <v>NCBI Nucleotide</v>
      </c>
    </row>
    <row r="6560" spans="1:27" x14ac:dyDescent="0.35">
      <c r="A6560">
        <v>1012472</v>
      </c>
      <c r="B6560">
        <v>6248</v>
      </c>
      <c r="C6560">
        <v>4</v>
      </c>
      <c r="D6560" s="17" t="s">
        <v>10507</v>
      </c>
      <c r="E6560" s="17"/>
      <c r="F6560" s="17" t="s">
        <v>10780</v>
      </c>
      <c r="G6560" s="17"/>
      <c r="H6560" s="17" t="s">
        <v>12908</v>
      </c>
      <c r="I6560" s="17"/>
      <c r="J6560" s="17" t="s">
        <v>14018</v>
      </c>
      <c r="K6560" s="17"/>
      <c r="L6560" s="17" t="s">
        <v>14019</v>
      </c>
      <c r="M6560" s="17"/>
      <c r="N6560" s="17" t="s">
        <v>14020</v>
      </c>
      <c r="O6560" s="17"/>
      <c r="P6560" s="17" t="s">
        <v>14040</v>
      </c>
      <c r="Q6560" s="17"/>
      <c r="R6560" s="25" t="str">
        <f t="shared" si="17"/>
        <v>Begomovirus ageravenae</v>
      </c>
      <c r="S6560" s="18" t="s">
        <v>8141</v>
      </c>
      <c r="T6560" s="18" t="s">
        <v>14087</v>
      </c>
      <c r="U6560" s="18" t="s">
        <v>14095</v>
      </c>
      <c r="V6560" s="18" t="s">
        <v>14096</v>
      </c>
      <c r="W6560" s="18" t="s">
        <v>49039</v>
      </c>
      <c r="X6560" s="18" t="s">
        <v>42</v>
      </c>
      <c r="Y6560" s="18" t="s">
        <v>12266</v>
      </c>
      <c r="Z6560" s="18" t="s">
        <v>13441</v>
      </c>
      <c r="AA6560" s="21" t="str">
        <f>HYPERLINK("https://www.ncbi.nlm.nih.gov/nuccore/AB100305","NCBI Nucleotide")</f>
        <v>NCBI Nucleotide</v>
      </c>
    </row>
    <row r="6561" spans="1:27" x14ac:dyDescent="0.35">
      <c r="A6561">
        <v>1012473</v>
      </c>
      <c r="B6561">
        <v>6248</v>
      </c>
      <c r="C6561">
        <v>5</v>
      </c>
      <c r="D6561" s="17" t="s">
        <v>10507</v>
      </c>
      <c r="E6561" s="17"/>
      <c r="F6561" s="17" t="s">
        <v>10780</v>
      </c>
      <c r="G6561" s="17"/>
      <c r="H6561" s="17" t="s">
        <v>12908</v>
      </c>
      <c r="I6561" s="17"/>
      <c r="J6561" s="17" t="s">
        <v>14018</v>
      </c>
      <c r="K6561" s="17"/>
      <c r="L6561" s="17" t="s">
        <v>14019</v>
      </c>
      <c r="M6561" s="17"/>
      <c r="N6561" s="17" t="s">
        <v>14020</v>
      </c>
      <c r="O6561" s="17"/>
      <c r="P6561" s="17" t="s">
        <v>14040</v>
      </c>
      <c r="Q6561" s="17"/>
      <c r="R6561" s="25" t="str">
        <f t="shared" si="17"/>
        <v>Begomovirus ageravenae</v>
      </c>
      <c r="S6561" s="18" t="s">
        <v>8141</v>
      </c>
      <c r="T6561" s="18" t="s">
        <v>14087</v>
      </c>
      <c r="U6561" s="18" t="s">
        <v>14097</v>
      </c>
      <c r="V6561" s="18" t="s">
        <v>14098</v>
      </c>
      <c r="W6561" s="18" t="s">
        <v>49040</v>
      </c>
      <c r="X6561" s="18" t="s">
        <v>42</v>
      </c>
      <c r="Y6561" s="18" t="s">
        <v>12266</v>
      </c>
      <c r="Z6561" s="18" t="s">
        <v>13441</v>
      </c>
      <c r="AA6561" s="21" t="str">
        <f>HYPERLINK("https://www.ncbi.nlm.nih.gov/nuccore/JN809816","NCBI Nucleotide")</f>
        <v>NCBI Nucleotide</v>
      </c>
    </row>
    <row r="6562" spans="1:27" x14ac:dyDescent="0.35">
      <c r="A6562">
        <v>1012474</v>
      </c>
      <c r="B6562">
        <v>6248</v>
      </c>
      <c r="C6562">
        <v>6</v>
      </c>
      <c r="D6562" s="17" t="s">
        <v>10507</v>
      </c>
      <c r="E6562" s="17"/>
      <c r="F6562" s="17" t="s">
        <v>10780</v>
      </c>
      <c r="G6562" s="17"/>
      <c r="H6562" s="17" t="s">
        <v>12908</v>
      </c>
      <c r="I6562" s="17"/>
      <c r="J6562" s="17" t="s">
        <v>14018</v>
      </c>
      <c r="K6562" s="17"/>
      <c r="L6562" s="17" t="s">
        <v>14019</v>
      </c>
      <c r="M6562" s="17"/>
      <c r="N6562" s="17" t="s">
        <v>14020</v>
      </c>
      <c r="O6562" s="17"/>
      <c r="P6562" s="17" t="s">
        <v>14040</v>
      </c>
      <c r="Q6562" s="17"/>
      <c r="R6562" s="25" t="str">
        <f t="shared" si="17"/>
        <v>Begomovirus ageravenae</v>
      </c>
      <c r="S6562" s="18" t="s">
        <v>8141</v>
      </c>
      <c r="T6562" s="18" t="s">
        <v>14087</v>
      </c>
      <c r="U6562" s="18" t="s">
        <v>14099</v>
      </c>
      <c r="V6562" s="18" t="s">
        <v>14100</v>
      </c>
      <c r="W6562" s="18" t="s">
        <v>49041</v>
      </c>
      <c r="X6562" s="18" t="s">
        <v>42</v>
      </c>
      <c r="Y6562" s="18" t="s">
        <v>12266</v>
      </c>
      <c r="Z6562" s="18" t="s">
        <v>13441</v>
      </c>
      <c r="AA6562" s="21" t="str">
        <f>HYPERLINK("https://www.ncbi.nlm.nih.gov/nuccore/JQ804985","NCBI Nucleotide")</f>
        <v>NCBI Nucleotide</v>
      </c>
    </row>
    <row r="6563" spans="1:27" x14ac:dyDescent="0.35">
      <c r="A6563">
        <v>1012475</v>
      </c>
      <c r="B6563">
        <v>6248</v>
      </c>
      <c r="C6563">
        <v>7</v>
      </c>
      <c r="D6563" s="17" t="s">
        <v>10507</v>
      </c>
      <c r="E6563" s="17"/>
      <c r="F6563" s="17" t="s">
        <v>10780</v>
      </c>
      <c r="G6563" s="17"/>
      <c r="H6563" s="17" t="s">
        <v>12908</v>
      </c>
      <c r="I6563" s="17"/>
      <c r="J6563" s="17" t="s">
        <v>14018</v>
      </c>
      <c r="K6563" s="17"/>
      <c r="L6563" s="17" t="s">
        <v>14019</v>
      </c>
      <c r="M6563" s="17"/>
      <c r="N6563" s="17" t="s">
        <v>14020</v>
      </c>
      <c r="O6563" s="17"/>
      <c r="P6563" s="17" t="s">
        <v>14040</v>
      </c>
      <c r="Q6563" s="17"/>
      <c r="R6563" s="25" t="str">
        <f t="shared" si="17"/>
        <v>Begomovirus ageravenae</v>
      </c>
      <c r="S6563" s="18" t="s">
        <v>8141</v>
      </c>
      <c r="T6563" s="18" t="s">
        <v>14087</v>
      </c>
      <c r="U6563" s="18" t="s">
        <v>14101</v>
      </c>
      <c r="V6563" s="18" t="s">
        <v>14102</v>
      </c>
      <c r="W6563" s="18" t="s">
        <v>49042</v>
      </c>
      <c r="X6563" s="18" t="s">
        <v>42</v>
      </c>
      <c r="Y6563" s="18" t="s">
        <v>12266</v>
      </c>
      <c r="Z6563" s="18" t="s">
        <v>13441</v>
      </c>
      <c r="AA6563" s="21" t="str">
        <f>HYPERLINK("https://www.ncbi.nlm.nih.gov/nuccore/EU487045","NCBI Nucleotide")</f>
        <v>NCBI Nucleotide</v>
      </c>
    </row>
    <row r="6564" spans="1:27" x14ac:dyDescent="0.35">
      <c r="A6564">
        <v>1012476</v>
      </c>
      <c r="B6564">
        <v>6248</v>
      </c>
      <c r="C6564">
        <v>8</v>
      </c>
      <c r="D6564" s="17" t="s">
        <v>10507</v>
      </c>
      <c r="E6564" s="17"/>
      <c r="F6564" s="17" t="s">
        <v>10780</v>
      </c>
      <c r="G6564" s="17"/>
      <c r="H6564" s="17" t="s">
        <v>12908</v>
      </c>
      <c r="I6564" s="17"/>
      <c r="J6564" s="17" t="s">
        <v>14018</v>
      </c>
      <c r="K6564" s="17"/>
      <c r="L6564" s="17" t="s">
        <v>14019</v>
      </c>
      <c r="M6564" s="17"/>
      <c r="N6564" s="17" t="s">
        <v>14020</v>
      </c>
      <c r="O6564" s="17"/>
      <c r="P6564" s="17" t="s">
        <v>14040</v>
      </c>
      <c r="Q6564" s="17"/>
      <c r="R6564" s="25" t="str">
        <f t="shared" si="17"/>
        <v>Begomovirus ageravenae</v>
      </c>
      <c r="S6564" s="18" t="s">
        <v>8141</v>
      </c>
      <c r="T6564" s="18" t="s">
        <v>14087</v>
      </c>
      <c r="U6564" s="18" t="s">
        <v>14103</v>
      </c>
      <c r="V6564" s="18" t="s">
        <v>14104</v>
      </c>
      <c r="W6564" s="18" t="s">
        <v>49043</v>
      </c>
      <c r="X6564" s="18" t="s">
        <v>42</v>
      </c>
      <c r="Y6564" s="18" t="s">
        <v>12266</v>
      </c>
      <c r="Z6564" s="18" t="s">
        <v>13441</v>
      </c>
      <c r="AA6564" s="21" t="str">
        <f>HYPERLINK("https://www.ncbi.nlm.nih.gov/nuccore/AB306314","NCBI Nucleotide")</f>
        <v>NCBI Nucleotide</v>
      </c>
    </row>
    <row r="6565" spans="1:27" x14ac:dyDescent="0.35">
      <c r="A6565">
        <v>1012477</v>
      </c>
      <c r="B6565">
        <v>6248</v>
      </c>
      <c r="C6565">
        <v>9</v>
      </c>
      <c r="D6565" s="17" t="s">
        <v>10507</v>
      </c>
      <c r="E6565" s="17"/>
      <c r="F6565" s="17" t="s">
        <v>10780</v>
      </c>
      <c r="G6565" s="17"/>
      <c r="H6565" s="17" t="s">
        <v>12908</v>
      </c>
      <c r="I6565" s="17"/>
      <c r="J6565" s="17" t="s">
        <v>14018</v>
      </c>
      <c r="K6565" s="17"/>
      <c r="L6565" s="17" t="s">
        <v>14019</v>
      </c>
      <c r="M6565" s="17"/>
      <c r="N6565" s="17" t="s">
        <v>14020</v>
      </c>
      <c r="O6565" s="17"/>
      <c r="P6565" s="17" t="s">
        <v>14040</v>
      </c>
      <c r="Q6565" s="17"/>
      <c r="R6565" s="25" t="str">
        <f t="shared" si="17"/>
        <v>Begomovirus ageravenae</v>
      </c>
      <c r="S6565" s="18" t="s">
        <v>8141</v>
      </c>
      <c r="T6565" s="18" t="s">
        <v>14087</v>
      </c>
      <c r="U6565" s="18" t="s">
        <v>14105</v>
      </c>
      <c r="V6565" s="18" t="s">
        <v>14106</v>
      </c>
      <c r="W6565" s="18" t="s">
        <v>49044</v>
      </c>
      <c r="X6565" s="18" t="s">
        <v>42</v>
      </c>
      <c r="Y6565" s="18" t="s">
        <v>12266</v>
      </c>
      <c r="Z6565" s="18" t="s">
        <v>13441</v>
      </c>
      <c r="AA6565" s="21" t="str">
        <f>HYPERLINK("https://www.ncbi.nlm.nih.gov/nuccore/AF307861","NCBI Nucleotide")</f>
        <v>NCBI Nucleotide</v>
      </c>
    </row>
    <row r="6566" spans="1:27" x14ac:dyDescent="0.35">
      <c r="A6566">
        <v>1012478</v>
      </c>
      <c r="B6566">
        <v>6248</v>
      </c>
      <c r="C6566">
        <v>10</v>
      </c>
      <c r="D6566" s="17" t="s">
        <v>10507</v>
      </c>
      <c r="E6566" s="17"/>
      <c r="F6566" s="17" t="s">
        <v>10780</v>
      </c>
      <c r="G6566" s="17"/>
      <c r="H6566" s="17" t="s">
        <v>12908</v>
      </c>
      <c r="I6566" s="17"/>
      <c r="J6566" s="17" t="s">
        <v>14018</v>
      </c>
      <c r="K6566" s="17"/>
      <c r="L6566" s="17" t="s">
        <v>14019</v>
      </c>
      <c r="M6566" s="17"/>
      <c r="N6566" s="17" t="s">
        <v>14020</v>
      </c>
      <c r="O6566" s="17"/>
      <c r="P6566" s="17" t="s">
        <v>14040</v>
      </c>
      <c r="Q6566" s="17"/>
      <c r="R6566" s="25" t="str">
        <f t="shared" si="17"/>
        <v>Begomovirus ageravenae</v>
      </c>
      <c r="S6566" s="18" t="s">
        <v>8141</v>
      </c>
      <c r="T6566" s="18" t="s">
        <v>14087</v>
      </c>
      <c r="U6566" s="18" t="s">
        <v>14107</v>
      </c>
      <c r="V6566" s="18" t="s">
        <v>14108</v>
      </c>
      <c r="W6566" s="18" t="s">
        <v>49045</v>
      </c>
      <c r="X6566" s="18" t="s">
        <v>42</v>
      </c>
      <c r="Y6566" s="18" t="s">
        <v>12266</v>
      </c>
      <c r="Z6566" s="18" t="s">
        <v>13441</v>
      </c>
      <c r="AA6566" s="21" t="str">
        <f>HYPERLINK("https://www.ncbi.nlm.nih.gov/nuccore/JN809820","NCBI Nucleotide")</f>
        <v>NCBI Nucleotide</v>
      </c>
    </row>
    <row r="6567" spans="1:27" x14ac:dyDescent="0.35">
      <c r="A6567">
        <v>1007704</v>
      </c>
      <c r="B6567">
        <v>6249</v>
      </c>
      <c r="C6567">
        <v>1</v>
      </c>
      <c r="D6567" s="17" t="s">
        <v>10507</v>
      </c>
      <c r="E6567" s="17"/>
      <c r="F6567" s="17" t="s">
        <v>10780</v>
      </c>
      <c r="G6567" s="17"/>
      <c r="H6567" s="17" t="s">
        <v>12908</v>
      </c>
      <c r="I6567" s="17"/>
      <c r="J6567" s="17" t="s">
        <v>14018</v>
      </c>
      <c r="K6567" s="17"/>
      <c r="L6567" s="17" t="s">
        <v>14019</v>
      </c>
      <c r="M6567" s="17"/>
      <c r="N6567" s="17" t="s">
        <v>14020</v>
      </c>
      <c r="O6567" s="17"/>
      <c r="P6567" s="17" t="s">
        <v>14040</v>
      </c>
      <c r="Q6567" s="17"/>
      <c r="R6567" s="25" t="str">
        <f>HYPERLINK("https://ictv.global/taxonomy/taxondetails?taxnode_id=202303256","Begomovirus alceae")</f>
        <v>Begomovirus alceae</v>
      </c>
      <c r="S6567" s="18" t="s">
        <v>30</v>
      </c>
      <c r="T6567" s="18" t="s">
        <v>14586</v>
      </c>
      <c r="U6567" s="18" t="s">
        <v>14587</v>
      </c>
      <c r="V6567" s="18" t="s">
        <v>14588</v>
      </c>
      <c r="W6567" s="18" t="s">
        <v>41475</v>
      </c>
      <c r="X6567" s="18" t="s">
        <v>42</v>
      </c>
      <c r="Y6567" s="18" t="s">
        <v>12266</v>
      </c>
      <c r="Z6567" s="18" t="s">
        <v>13441</v>
      </c>
      <c r="AA6567" s="21" t="str">
        <f>HYPERLINK("https://www.ncbi.nlm.nih.gov/nuccore/FR772082","NCBI Nucleotide")</f>
        <v>NCBI Nucleotide</v>
      </c>
    </row>
    <row r="6568" spans="1:27" x14ac:dyDescent="0.35">
      <c r="A6568">
        <v>1007705</v>
      </c>
      <c r="B6568">
        <v>6250</v>
      </c>
      <c r="C6568">
        <v>1</v>
      </c>
      <c r="D6568" s="17" t="s">
        <v>10507</v>
      </c>
      <c r="E6568" s="17"/>
      <c r="F6568" s="17" t="s">
        <v>10780</v>
      </c>
      <c r="G6568" s="17"/>
      <c r="H6568" s="17" t="s">
        <v>12908</v>
      </c>
      <c r="I6568" s="17"/>
      <c r="J6568" s="17" t="s">
        <v>14018</v>
      </c>
      <c r="K6568" s="17"/>
      <c r="L6568" s="17" t="s">
        <v>14019</v>
      </c>
      <c r="M6568" s="17"/>
      <c r="N6568" s="17" t="s">
        <v>14020</v>
      </c>
      <c r="O6568" s="17"/>
      <c r="P6568" s="17" t="s">
        <v>14040</v>
      </c>
      <c r="Q6568" s="17"/>
      <c r="R6568" s="25" t="str">
        <f>HYPERLINK("https://ictv.global/taxonomy/taxondetails?taxnode_id=202305802","Begomovirus alceamuvisi")</f>
        <v>Begomovirus alceamuvisi</v>
      </c>
      <c r="S6568" s="18" t="s">
        <v>30</v>
      </c>
      <c r="T6568" s="18" t="s">
        <v>14589</v>
      </c>
      <c r="U6568" s="18" t="s">
        <v>14590</v>
      </c>
      <c r="V6568" s="18" t="s">
        <v>14591</v>
      </c>
      <c r="W6568" s="18" t="s">
        <v>41476</v>
      </c>
      <c r="X6568" s="18" t="s">
        <v>42</v>
      </c>
      <c r="Y6568" s="18" t="s">
        <v>12266</v>
      </c>
      <c r="Z6568" s="18" t="s">
        <v>13441</v>
      </c>
      <c r="AA6568" s="21" t="str">
        <f>HYPERLINK("https://www.ncbi.nlm.nih.gov/nuccore/JQ911766","NCBI Nucleotide")</f>
        <v>NCBI Nucleotide</v>
      </c>
    </row>
    <row r="6569" spans="1:27" x14ac:dyDescent="0.35">
      <c r="A6569">
        <v>1007706</v>
      </c>
      <c r="B6569">
        <v>6251</v>
      </c>
      <c r="C6569">
        <v>1</v>
      </c>
      <c r="D6569" s="17" t="s">
        <v>10507</v>
      </c>
      <c r="E6569" s="17"/>
      <c r="F6569" s="17" t="s">
        <v>10780</v>
      </c>
      <c r="G6569" s="17"/>
      <c r="H6569" s="17" t="s">
        <v>12908</v>
      </c>
      <c r="I6569" s="17"/>
      <c r="J6569" s="17" t="s">
        <v>14018</v>
      </c>
      <c r="K6569" s="17"/>
      <c r="L6569" s="17" t="s">
        <v>14019</v>
      </c>
      <c r="M6569" s="17"/>
      <c r="N6569" s="17" t="s">
        <v>14020</v>
      </c>
      <c r="O6569" s="17"/>
      <c r="P6569" s="17" t="s">
        <v>14040</v>
      </c>
      <c r="Q6569" s="17"/>
      <c r="R6569" s="25" t="str">
        <f>HYPERLINK("https://ictv.global/taxonomy/taxondetails?taxnode_id=202307524","Begomovirus alceavenae")</f>
        <v>Begomovirus alceavenae</v>
      </c>
      <c r="S6569" s="18" t="s">
        <v>30</v>
      </c>
      <c r="T6569" s="18" t="s">
        <v>14592</v>
      </c>
      <c r="U6569" s="18" t="s">
        <v>14593</v>
      </c>
      <c r="V6569" s="18" t="s">
        <v>14594</v>
      </c>
      <c r="W6569" s="18" t="s">
        <v>41477</v>
      </c>
      <c r="X6569" s="18" t="s">
        <v>42</v>
      </c>
      <c r="Y6569" s="18" t="s">
        <v>12266</v>
      </c>
      <c r="Z6569" s="18" t="s">
        <v>13441</v>
      </c>
      <c r="AA6569" s="21" t="str">
        <f>HYPERLINK("https://www.ncbi.nlm.nih.gov/nuccore/MG373552","NCBI Nucleotide")</f>
        <v>NCBI Nucleotide</v>
      </c>
    </row>
    <row r="6570" spans="1:27" x14ac:dyDescent="0.35">
      <c r="A6570">
        <v>1007598</v>
      </c>
      <c r="B6570">
        <v>6252</v>
      </c>
      <c r="C6570">
        <v>1</v>
      </c>
      <c r="D6570" s="17" t="s">
        <v>10507</v>
      </c>
      <c r="E6570" s="17"/>
      <c r="F6570" s="17" t="s">
        <v>10780</v>
      </c>
      <c r="G6570" s="17"/>
      <c r="H6570" s="17" t="s">
        <v>12908</v>
      </c>
      <c r="I6570" s="17"/>
      <c r="J6570" s="17" t="s">
        <v>14018</v>
      </c>
      <c r="K6570" s="17"/>
      <c r="L6570" s="17" t="s">
        <v>14019</v>
      </c>
      <c r="M6570" s="17"/>
      <c r="N6570" s="17" t="s">
        <v>14020</v>
      </c>
      <c r="O6570" s="17"/>
      <c r="P6570" s="17" t="s">
        <v>14040</v>
      </c>
      <c r="Q6570" s="17"/>
      <c r="R6570" s="25" t="str">
        <f>HYPERLINK("https://ictv.global/taxonomy/taxondetails?taxnode_id=202303185","Begomovirus allamandae")</f>
        <v>Begomovirus allamandae</v>
      </c>
      <c r="S6570" s="18" t="s">
        <v>30</v>
      </c>
      <c r="T6570" s="18" t="s">
        <v>14109</v>
      </c>
      <c r="U6570" s="18" t="s">
        <v>14110</v>
      </c>
      <c r="V6570" s="18" t="s">
        <v>14111</v>
      </c>
      <c r="W6570" s="18" t="s">
        <v>14112</v>
      </c>
      <c r="X6570" s="18" t="s">
        <v>42</v>
      </c>
      <c r="Y6570" s="18" t="s">
        <v>12266</v>
      </c>
      <c r="Z6570" s="18" t="s">
        <v>13441</v>
      </c>
      <c r="AA6570" s="21" t="str">
        <f>HYPERLINK("https://www.ncbi.nlm.nih.gov/nuccore/EF602306","NCBI Nucleotide")</f>
        <v>NCBI Nucleotide</v>
      </c>
    </row>
    <row r="6571" spans="1:27" x14ac:dyDescent="0.35">
      <c r="A6571">
        <v>1007600</v>
      </c>
      <c r="B6571">
        <v>6253</v>
      </c>
      <c r="C6571">
        <v>1</v>
      </c>
      <c r="D6571" s="17" t="s">
        <v>10507</v>
      </c>
      <c r="E6571" s="17"/>
      <c r="F6571" s="17" t="s">
        <v>10780</v>
      </c>
      <c r="G6571" s="17"/>
      <c r="H6571" s="17" t="s">
        <v>12908</v>
      </c>
      <c r="I6571" s="17"/>
      <c r="J6571" s="17" t="s">
        <v>14018</v>
      </c>
      <c r="K6571" s="17"/>
      <c r="L6571" s="17" t="s">
        <v>14019</v>
      </c>
      <c r="M6571" s="17"/>
      <c r="N6571" s="17" t="s">
        <v>14020</v>
      </c>
      <c r="O6571" s="17"/>
      <c r="P6571" s="17" t="s">
        <v>14040</v>
      </c>
      <c r="Q6571" s="17"/>
      <c r="R6571" s="25" t="str">
        <f>HYPERLINK("https://ictv.global/taxonomy/taxondetails?taxnode_id=202303186","Begomovirus alternantherae")</f>
        <v>Begomovirus alternantherae</v>
      </c>
      <c r="S6571" s="18" t="s">
        <v>30</v>
      </c>
      <c r="T6571" s="18" t="s">
        <v>14117</v>
      </c>
      <c r="U6571" s="18" t="s">
        <v>14118</v>
      </c>
      <c r="V6571" s="18" t="s">
        <v>14119</v>
      </c>
      <c r="W6571" s="18" t="s">
        <v>14120</v>
      </c>
      <c r="X6571" s="18" t="s">
        <v>42</v>
      </c>
      <c r="Y6571" s="18" t="s">
        <v>12266</v>
      </c>
      <c r="Z6571" s="18" t="s">
        <v>13441</v>
      </c>
      <c r="AA6571" s="21" t="str">
        <f>HYPERLINK("https://www.ncbi.nlm.nih.gov/nuccore/AJ965540","NCBI Nucleotide")</f>
        <v>NCBI Nucleotide</v>
      </c>
    </row>
    <row r="6572" spans="1:27" x14ac:dyDescent="0.35">
      <c r="A6572">
        <v>1012479</v>
      </c>
      <c r="B6572">
        <v>6253</v>
      </c>
      <c r="C6572">
        <v>2</v>
      </c>
      <c r="D6572" s="17" t="s">
        <v>10507</v>
      </c>
      <c r="E6572" s="17"/>
      <c r="F6572" s="17" t="s">
        <v>10780</v>
      </c>
      <c r="G6572" s="17"/>
      <c r="H6572" s="17" t="s">
        <v>12908</v>
      </c>
      <c r="I6572" s="17"/>
      <c r="J6572" s="17" t="s">
        <v>14018</v>
      </c>
      <c r="K6572" s="17"/>
      <c r="L6572" s="17" t="s">
        <v>14019</v>
      </c>
      <c r="M6572" s="17"/>
      <c r="N6572" s="17" t="s">
        <v>14020</v>
      </c>
      <c r="O6572" s="17"/>
      <c r="P6572" s="17" t="s">
        <v>14040</v>
      </c>
      <c r="Q6572" s="17"/>
      <c r="R6572" s="25" t="str">
        <f>HYPERLINK("https://ictv.global/taxonomy/taxondetails?taxnode_id=202303186","Begomovirus alternantherae")</f>
        <v>Begomovirus alternantherae</v>
      </c>
      <c r="S6572" s="18" t="s">
        <v>8141</v>
      </c>
      <c r="T6572" s="18" t="s">
        <v>14117</v>
      </c>
      <c r="U6572" s="18" t="s">
        <v>14121</v>
      </c>
      <c r="V6572" s="18" t="s">
        <v>14122</v>
      </c>
      <c r="W6572" s="18" t="s">
        <v>49046</v>
      </c>
      <c r="X6572" s="18" t="s">
        <v>42</v>
      </c>
      <c r="Y6572" s="18" t="s">
        <v>12266</v>
      </c>
      <c r="Z6572" s="18" t="s">
        <v>13441</v>
      </c>
      <c r="AA6572" s="21" t="str">
        <f>HYPERLINK("https://www.ncbi.nlm.nih.gov/nuccore/EF544604","NCBI Nucleotide")</f>
        <v>NCBI Nucleotide</v>
      </c>
    </row>
    <row r="6573" spans="1:27" x14ac:dyDescent="0.35">
      <c r="A6573">
        <v>1012480</v>
      </c>
      <c r="B6573">
        <v>6253</v>
      </c>
      <c r="C6573">
        <v>3</v>
      </c>
      <c r="D6573" s="17" t="s">
        <v>10507</v>
      </c>
      <c r="E6573" s="17"/>
      <c r="F6573" s="17" t="s">
        <v>10780</v>
      </c>
      <c r="G6573" s="17"/>
      <c r="H6573" s="17" t="s">
        <v>12908</v>
      </c>
      <c r="I6573" s="17"/>
      <c r="J6573" s="17" t="s">
        <v>14018</v>
      </c>
      <c r="K6573" s="17"/>
      <c r="L6573" s="17" t="s">
        <v>14019</v>
      </c>
      <c r="M6573" s="17"/>
      <c r="N6573" s="17" t="s">
        <v>14020</v>
      </c>
      <c r="O6573" s="17"/>
      <c r="P6573" s="17" t="s">
        <v>14040</v>
      </c>
      <c r="Q6573" s="17"/>
      <c r="R6573" s="25" t="str">
        <f>HYPERLINK("https://ictv.global/taxonomy/taxondetails?taxnode_id=202303186","Begomovirus alternantherae")</f>
        <v>Begomovirus alternantherae</v>
      </c>
      <c r="S6573" s="18" t="s">
        <v>8141</v>
      </c>
      <c r="T6573" s="18" t="s">
        <v>14117</v>
      </c>
      <c r="U6573" s="18" t="s">
        <v>14123</v>
      </c>
      <c r="V6573" s="18" t="s">
        <v>14124</v>
      </c>
      <c r="W6573" s="18" t="s">
        <v>49047</v>
      </c>
      <c r="X6573" s="18" t="s">
        <v>42</v>
      </c>
      <c r="Y6573" s="18" t="s">
        <v>12266</v>
      </c>
      <c r="Z6573" s="18" t="s">
        <v>13441</v>
      </c>
      <c r="AA6573" s="21" t="str">
        <f>HYPERLINK("https://www.ncbi.nlm.nih.gov/nuccore/EF544602","NCBI Nucleotide")</f>
        <v>NCBI Nucleotide</v>
      </c>
    </row>
    <row r="6574" spans="1:27" x14ac:dyDescent="0.35">
      <c r="A6574">
        <v>1007601</v>
      </c>
      <c r="B6574">
        <v>6254</v>
      </c>
      <c r="C6574">
        <v>1</v>
      </c>
      <c r="D6574" s="17" t="s">
        <v>10507</v>
      </c>
      <c r="E6574" s="17"/>
      <c r="F6574" s="17" t="s">
        <v>10780</v>
      </c>
      <c r="G6574" s="17"/>
      <c r="H6574" s="17" t="s">
        <v>12908</v>
      </c>
      <c r="I6574" s="17"/>
      <c r="J6574" s="17" t="s">
        <v>14018</v>
      </c>
      <c r="K6574" s="17"/>
      <c r="L6574" s="17" t="s">
        <v>14019</v>
      </c>
      <c r="M6574" s="17"/>
      <c r="N6574" s="17" t="s">
        <v>14020</v>
      </c>
      <c r="O6574" s="17"/>
      <c r="P6574" s="17" t="s">
        <v>14040</v>
      </c>
      <c r="Q6574" s="17"/>
      <c r="R6574" s="25" t="str">
        <f>HYPERLINK("https://ictv.global/taxonomy/taxondetails?taxnode_id=202305788","Begomovirus andrographis")</f>
        <v>Begomovirus andrographis</v>
      </c>
      <c r="S6574" s="18" t="s">
        <v>30</v>
      </c>
      <c r="T6574" s="18" t="s">
        <v>14125</v>
      </c>
      <c r="U6574" s="18" t="s">
        <v>14126</v>
      </c>
      <c r="V6574" s="18" t="s">
        <v>14127</v>
      </c>
      <c r="W6574" s="18" t="s">
        <v>41478</v>
      </c>
      <c r="X6574" s="18" t="s">
        <v>42</v>
      </c>
      <c r="Y6574" s="18" t="s">
        <v>12266</v>
      </c>
      <c r="Z6574" s="18" t="s">
        <v>13441</v>
      </c>
      <c r="AA6574" s="21" t="str">
        <f>HYPERLINK("https://www.ncbi.nlm.nih.gov/nuccore/KM359406","NCBI Nucleotide")</f>
        <v>NCBI Nucleotide</v>
      </c>
    </row>
    <row r="6575" spans="1:27" x14ac:dyDescent="0.35">
      <c r="A6575">
        <v>1007602</v>
      </c>
      <c r="B6575">
        <v>6255</v>
      </c>
      <c r="C6575">
        <v>1</v>
      </c>
      <c r="D6575" s="17" t="s">
        <v>10507</v>
      </c>
      <c r="E6575" s="17"/>
      <c r="F6575" s="17" t="s">
        <v>10780</v>
      </c>
      <c r="G6575" s="17"/>
      <c r="H6575" s="17" t="s">
        <v>12908</v>
      </c>
      <c r="I6575" s="17"/>
      <c r="J6575" s="17" t="s">
        <v>14018</v>
      </c>
      <c r="K6575" s="17"/>
      <c r="L6575" s="17" t="s">
        <v>14019</v>
      </c>
      <c r="M6575" s="17"/>
      <c r="N6575" s="17" t="s">
        <v>14020</v>
      </c>
      <c r="O6575" s="17"/>
      <c r="P6575" s="17" t="s">
        <v>14040</v>
      </c>
      <c r="Q6575" s="17"/>
      <c r="R6575" s="25" t="str">
        <f>HYPERLINK("https://ictv.global/taxonomy/taxondetails?taxnode_id=202305789","Begomovirus asystasiae")</f>
        <v>Begomovirus asystasiae</v>
      </c>
      <c r="S6575" s="18" t="s">
        <v>30</v>
      </c>
      <c r="T6575" s="18" t="s">
        <v>14128</v>
      </c>
      <c r="U6575" s="18" t="s">
        <v>14129</v>
      </c>
      <c r="V6575" s="18" t="s">
        <v>14130</v>
      </c>
      <c r="W6575" s="18" t="s">
        <v>50460</v>
      </c>
      <c r="X6575" s="18" t="s">
        <v>42</v>
      </c>
      <c r="Y6575" s="18" t="s">
        <v>12266</v>
      </c>
      <c r="Z6575" s="18" t="s">
        <v>13441</v>
      </c>
      <c r="AA6575" s="21" t="str">
        <f>HYPERLINK("https://www.ncbi.nlm.nih.gov/nuccore/KP663485,KP663484","NCBI Nucleotide")</f>
        <v>NCBI Nucleotide</v>
      </c>
    </row>
    <row r="6576" spans="1:27" x14ac:dyDescent="0.35">
      <c r="A6576">
        <v>1008020</v>
      </c>
      <c r="B6576">
        <v>6256</v>
      </c>
      <c r="C6576">
        <v>1</v>
      </c>
      <c r="D6576" s="17" t="s">
        <v>10507</v>
      </c>
      <c r="E6576" s="17"/>
      <c r="F6576" s="17" t="s">
        <v>10780</v>
      </c>
      <c r="G6576" s="17"/>
      <c r="H6576" s="17" t="s">
        <v>12908</v>
      </c>
      <c r="I6576" s="17"/>
      <c r="J6576" s="17" t="s">
        <v>14018</v>
      </c>
      <c r="K6576" s="17"/>
      <c r="L6576" s="17" t="s">
        <v>14019</v>
      </c>
      <c r="M6576" s="17"/>
      <c r="N6576" s="17" t="s">
        <v>14020</v>
      </c>
      <c r="O6576" s="17"/>
      <c r="P6576" s="17" t="s">
        <v>14040</v>
      </c>
      <c r="Q6576" s="17"/>
      <c r="R6576" s="25" t="str">
        <f>HYPERLINK("https://ictv.global/taxonomy/taxondetails?taxnode_id=202303494","Begomovirus asystasiaprimi")</f>
        <v>Begomovirus asystasiaprimi</v>
      </c>
      <c r="S6576" s="18" t="s">
        <v>30</v>
      </c>
      <c r="T6576" s="18" t="s">
        <v>15948</v>
      </c>
      <c r="U6576" s="18" t="s">
        <v>15949</v>
      </c>
      <c r="V6576" s="18" t="s">
        <v>15950</v>
      </c>
      <c r="W6576" s="18" t="s">
        <v>15951</v>
      </c>
      <c r="X6576" s="18" t="s">
        <v>42</v>
      </c>
      <c r="Y6576" s="18" t="s">
        <v>12266</v>
      </c>
      <c r="Z6576" s="18" t="s">
        <v>13441</v>
      </c>
      <c r="AA6576" s="21" t="str">
        <f>HYPERLINK("https://www.ncbi.nlm.nih.gov/nuccore/JF694484,JF694485","NCBI Nucleotide")</f>
        <v>NCBI Nucleotide</v>
      </c>
    </row>
    <row r="6577" spans="1:27" x14ac:dyDescent="0.35">
      <c r="A6577">
        <v>1008021</v>
      </c>
      <c r="B6577">
        <v>6257</v>
      </c>
      <c r="C6577">
        <v>1</v>
      </c>
      <c r="D6577" s="17" t="s">
        <v>10507</v>
      </c>
      <c r="E6577" s="17"/>
      <c r="F6577" s="17" t="s">
        <v>10780</v>
      </c>
      <c r="G6577" s="17"/>
      <c r="H6577" s="17" t="s">
        <v>12908</v>
      </c>
      <c r="I6577" s="17"/>
      <c r="J6577" s="17" t="s">
        <v>14018</v>
      </c>
      <c r="K6577" s="17"/>
      <c r="L6577" s="17" t="s">
        <v>14019</v>
      </c>
      <c r="M6577" s="17"/>
      <c r="N6577" s="17" t="s">
        <v>14020</v>
      </c>
      <c r="O6577" s="17"/>
      <c r="P6577" s="17" t="s">
        <v>14040</v>
      </c>
      <c r="Q6577" s="17"/>
      <c r="R6577" s="25" t="str">
        <f>HYPERLINK("https://ictv.global/taxonomy/taxondetails?taxnode_id=202303495","Begomovirus asystasiasecundi")</f>
        <v>Begomovirus asystasiasecundi</v>
      </c>
      <c r="S6577" s="18" t="s">
        <v>30</v>
      </c>
      <c r="T6577" s="18" t="s">
        <v>15952</v>
      </c>
      <c r="U6577" s="18" t="s">
        <v>15953</v>
      </c>
      <c r="V6577" s="18" t="s">
        <v>15954</v>
      </c>
      <c r="W6577" s="18" t="s">
        <v>15955</v>
      </c>
      <c r="X6577" s="18" t="s">
        <v>42</v>
      </c>
      <c r="Y6577" s="18" t="s">
        <v>12266</v>
      </c>
      <c r="Z6577" s="18" t="s">
        <v>13441</v>
      </c>
      <c r="AA6577" s="21" t="str">
        <f>HYPERLINK("https://www.ncbi.nlm.nih.gov/nuccore/JF694486","NCBI Nucleotide")</f>
        <v>NCBI Nucleotide</v>
      </c>
    </row>
    <row r="6578" spans="1:27" x14ac:dyDescent="0.35">
      <c r="A6578">
        <v>1008022</v>
      </c>
      <c r="B6578">
        <v>6258</v>
      </c>
      <c r="C6578">
        <v>1</v>
      </c>
      <c r="D6578" s="17" t="s">
        <v>10507</v>
      </c>
      <c r="E6578" s="17"/>
      <c r="F6578" s="17" t="s">
        <v>10780</v>
      </c>
      <c r="G6578" s="17"/>
      <c r="H6578" s="17" t="s">
        <v>12908</v>
      </c>
      <c r="I6578" s="17"/>
      <c r="J6578" s="17" t="s">
        <v>14018</v>
      </c>
      <c r="K6578" s="17"/>
      <c r="L6578" s="17" t="s">
        <v>14019</v>
      </c>
      <c r="M6578" s="17"/>
      <c r="N6578" s="17" t="s">
        <v>14020</v>
      </c>
      <c r="O6578" s="17"/>
      <c r="P6578" s="17" t="s">
        <v>14040</v>
      </c>
      <c r="Q6578" s="17"/>
      <c r="R6578" s="25" t="str">
        <f>HYPERLINK("https://ictv.global/taxonomy/taxondetails?taxnode_id=202306718","Begomovirus asystasiatertii")</f>
        <v>Begomovirus asystasiatertii</v>
      </c>
      <c r="S6578" s="18" t="s">
        <v>30</v>
      </c>
      <c r="T6578" s="18" t="s">
        <v>15956</v>
      </c>
      <c r="U6578" s="18" t="s">
        <v>15957</v>
      </c>
      <c r="V6578" s="18" t="s">
        <v>15958</v>
      </c>
      <c r="W6578" s="18" t="s">
        <v>15959</v>
      </c>
      <c r="X6578" s="18" t="s">
        <v>42</v>
      </c>
      <c r="Y6578" s="18" t="s">
        <v>12266</v>
      </c>
      <c r="Z6578" s="18" t="s">
        <v>13441</v>
      </c>
      <c r="AA6578" s="21" t="str">
        <f>HYPERLINK("https://www.ncbi.nlm.nih.gov/nuccore/KT444609,KT444610","NCBI Nucleotide")</f>
        <v>NCBI Nucleotide</v>
      </c>
    </row>
    <row r="6579" spans="1:27" x14ac:dyDescent="0.35">
      <c r="A6579">
        <v>1007589</v>
      </c>
      <c r="B6579">
        <v>6259</v>
      </c>
      <c r="C6579">
        <v>1</v>
      </c>
      <c r="D6579" s="17" t="s">
        <v>10507</v>
      </c>
      <c r="E6579" s="17"/>
      <c r="F6579" s="17" t="s">
        <v>10780</v>
      </c>
      <c r="G6579" s="17"/>
      <c r="H6579" s="17" t="s">
        <v>12908</v>
      </c>
      <c r="I6579" s="17"/>
      <c r="J6579" s="17" t="s">
        <v>14018</v>
      </c>
      <c r="K6579" s="17"/>
      <c r="L6579" s="17" t="s">
        <v>14019</v>
      </c>
      <c r="M6579" s="17"/>
      <c r="N6579" s="17" t="s">
        <v>14020</v>
      </c>
      <c r="O6579" s="17"/>
      <c r="P6579" s="17" t="s">
        <v>14040</v>
      </c>
      <c r="Q6579" s="17"/>
      <c r="R6579" s="25" t="str">
        <f>HYPERLINK("https://ictv.global/taxonomy/taxondetails?taxnode_id=202303178","Begomovirus bauri")</f>
        <v>Begomovirus bauri</v>
      </c>
      <c r="S6579" s="18" t="s">
        <v>30</v>
      </c>
      <c r="T6579" s="18" t="s">
        <v>14052</v>
      </c>
      <c r="U6579" s="18" t="s">
        <v>14053</v>
      </c>
      <c r="V6579" s="18" t="s">
        <v>14054</v>
      </c>
      <c r="W6579" s="18" t="s">
        <v>14055</v>
      </c>
      <c r="X6579" s="18" t="s">
        <v>42</v>
      </c>
      <c r="Y6579" s="18" t="s">
        <v>12266</v>
      </c>
      <c r="Z6579" s="18" t="s">
        <v>13441</v>
      </c>
      <c r="AA6579" s="21" t="str">
        <f>HYPERLINK("https://www.ncbi.nlm.nih.gov/nuccore/X15983,X15984","NCBI Nucleotide")</f>
        <v>NCBI Nucleotide</v>
      </c>
    </row>
    <row r="6580" spans="1:27" x14ac:dyDescent="0.35">
      <c r="A6580">
        <v>1008023</v>
      </c>
      <c r="B6580">
        <v>6260</v>
      </c>
      <c r="C6580">
        <v>1</v>
      </c>
      <c r="D6580" s="17" t="s">
        <v>10507</v>
      </c>
      <c r="E6580" s="17"/>
      <c r="F6580" s="17" t="s">
        <v>10780</v>
      </c>
      <c r="G6580" s="17"/>
      <c r="H6580" s="17" t="s">
        <v>12908</v>
      </c>
      <c r="I6580" s="17"/>
      <c r="J6580" s="17" t="s">
        <v>14018</v>
      </c>
      <c r="K6580" s="17"/>
      <c r="L6580" s="17" t="s">
        <v>14019</v>
      </c>
      <c r="M6580" s="17"/>
      <c r="N6580" s="17" t="s">
        <v>14020</v>
      </c>
      <c r="O6580" s="17"/>
      <c r="P6580" s="17" t="s">
        <v>14040</v>
      </c>
      <c r="Q6580" s="17"/>
      <c r="R6580" s="25" t="str">
        <f>HYPERLINK("https://ictv.global/taxonomy/taxondetails?taxnode_id=202305846","Begomovirus bemisiaprimi")</f>
        <v>Begomovirus bemisiaprimi</v>
      </c>
      <c r="S6580" s="18" t="s">
        <v>30</v>
      </c>
      <c r="T6580" s="18" t="s">
        <v>15960</v>
      </c>
      <c r="U6580" s="18" t="s">
        <v>15961</v>
      </c>
      <c r="V6580" s="18" t="s">
        <v>15962</v>
      </c>
      <c r="W6580" s="18" t="s">
        <v>15963</v>
      </c>
      <c r="X6580" s="18" t="s">
        <v>42</v>
      </c>
      <c r="Y6580" s="18" t="s">
        <v>12266</v>
      </c>
      <c r="Z6580" s="18" t="s">
        <v>15964</v>
      </c>
      <c r="AA6580" s="21" t="str">
        <f>HYPERLINK("https://www.ncbi.nlm.nih.gov/nuccore/KT099124","NCBI Nucleotide")</f>
        <v>NCBI Nucleotide</v>
      </c>
    </row>
    <row r="6581" spans="1:27" x14ac:dyDescent="0.35">
      <c r="A6581">
        <v>1008026</v>
      </c>
      <c r="B6581">
        <v>6261</v>
      </c>
      <c r="C6581">
        <v>1</v>
      </c>
      <c r="D6581" s="17" t="s">
        <v>10507</v>
      </c>
      <c r="E6581" s="17"/>
      <c r="F6581" s="17" t="s">
        <v>10780</v>
      </c>
      <c r="G6581" s="17"/>
      <c r="H6581" s="17" t="s">
        <v>12908</v>
      </c>
      <c r="I6581" s="17"/>
      <c r="J6581" s="17" t="s">
        <v>14018</v>
      </c>
      <c r="K6581" s="17"/>
      <c r="L6581" s="17" t="s">
        <v>14019</v>
      </c>
      <c r="M6581" s="17"/>
      <c r="N6581" s="17" t="s">
        <v>14020</v>
      </c>
      <c r="O6581" s="17"/>
      <c r="P6581" s="17" t="s">
        <v>14040</v>
      </c>
      <c r="Q6581" s="17"/>
      <c r="R6581" s="25" t="str">
        <f>HYPERLINK("https://ictv.global/taxonomy/taxondetails?taxnode_id=202305849","Begomovirus bemisiaquarti")</f>
        <v>Begomovirus bemisiaquarti</v>
      </c>
      <c r="S6581" s="18" t="s">
        <v>30</v>
      </c>
      <c r="T6581" s="18" t="s">
        <v>15973</v>
      </c>
      <c r="U6581" s="18" t="s">
        <v>15974</v>
      </c>
      <c r="V6581" s="18" t="s">
        <v>15975</v>
      </c>
      <c r="W6581" s="18" t="s">
        <v>15976</v>
      </c>
      <c r="X6581" s="18" t="s">
        <v>42</v>
      </c>
      <c r="Y6581" s="18" t="s">
        <v>12266</v>
      </c>
      <c r="Z6581" s="18" t="s">
        <v>15964</v>
      </c>
      <c r="AA6581" s="21" t="str">
        <f>HYPERLINK("https://www.ncbi.nlm.nih.gov/nuccore/KT099128","NCBI Nucleotide")</f>
        <v>NCBI Nucleotide</v>
      </c>
    </row>
    <row r="6582" spans="1:27" x14ac:dyDescent="0.35">
      <c r="A6582">
        <v>1008024</v>
      </c>
      <c r="B6582">
        <v>6262</v>
      </c>
      <c r="C6582">
        <v>1</v>
      </c>
      <c r="D6582" s="17" t="s">
        <v>10507</v>
      </c>
      <c r="E6582" s="17"/>
      <c r="F6582" s="17" t="s">
        <v>10780</v>
      </c>
      <c r="G6582" s="17"/>
      <c r="H6582" s="17" t="s">
        <v>12908</v>
      </c>
      <c r="I6582" s="17"/>
      <c r="J6582" s="17" t="s">
        <v>14018</v>
      </c>
      <c r="K6582" s="17"/>
      <c r="L6582" s="17" t="s">
        <v>14019</v>
      </c>
      <c r="M6582" s="17"/>
      <c r="N6582" s="17" t="s">
        <v>14020</v>
      </c>
      <c r="O6582" s="17"/>
      <c r="P6582" s="17" t="s">
        <v>14040</v>
      </c>
      <c r="Q6582" s="17"/>
      <c r="R6582" s="25" t="str">
        <f>HYPERLINK("https://ictv.global/taxonomy/taxondetails?taxnode_id=202305847","Begomovirus bemisiasecundi")</f>
        <v>Begomovirus bemisiasecundi</v>
      </c>
      <c r="S6582" s="18" t="s">
        <v>30</v>
      </c>
      <c r="T6582" s="18" t="s">
        <v>15965</v>
      </c>
      <c r="U6582" s="18" t="s">
        <v>15966</v>
      </c>
      <c r="V6582" s="18" t="s">
        <v>15967</v>
      </c>
      <c r="W6582" s="18" t="s">
        <v>15968</v>
      </c>
      <c r="X6582" s="18" t="s">
        <v>42</v>
      </c>
      <c r="Y6582" s="18" t="s">
        <v>12266</v>
      </c>
      <c r="Z6582" s="18" t="s">
        <v>15964</v>
      </c>
      <c r="AA6582" s="21" t="str">
        <f>HYPERLINK("https://www.ncbi.nlm.nih.gov/nuccore/KT099125","NCBI Nucleotide")</f>
        <v>NCBI Nucleotide</v>
      </c>
    </row>
    <row r="6583" spans="1:27" x14ac:dyDescent="0.35">
      <c r="A6583">
        <v>1008028</v>
      </c>
      <c r="B6583">
        <v>6263</v>
      </c>
      <c r="C6583">
        <v>1</v>
      </c>
      <c r="D6583" s="17" t="s">
        <v>10507</v>
      </c>
      <c r="E6583" s="17"/>
      <c r="F6583" s="17" t="s">
        <v>10780</v>
      </c>
      <c r="G6583" s="17"/>
      <c r="H6583" s="17" t="s">
        <v>12908</v>
      </c>
      <c r="I6583" s="17"/>
      <c r="J6583" s="17" t="s">
        <v>14018</v>
      </c>
      <c r="K6583" s="17"/>
      <c r="L6583" s="17" t="s">
        <v>14019</v>
      </c>
      <c r="M6583" s="17"/>
      <c r="N6583" s="17" t="s">
        <v>14020</v>
      </c>
      <c r="O6583" s="17"/>
      <c r="P6583" s="17" t="s">
        <v>14040</v>
      </c>
      <c r="Q6583" s="17"/>
      <c r="R6583" s="25" t="str">
        <f>HYPERLINK("https://ictv.global/taxonomy/taxondetails?taxnode_id=202305851","Begomovirus bemisiaseptimi")</f>
        <v>Begomovirus bemisiaseptimi</v>
      </c>
      <c r="S6583" s="18" t="s">
        <v>30</v>
      </c>
      <c r="T6583" s="18" t="s">
        <v>15981</v>
      </c>
      <c r="U6583" s="18" t="s">
        <v>15982</v>
      </c>
      <c r="V6583" s="18" t="s">
        <v>15983</v>
      </c>
      <c r="W6583" s="18" t="s">
        <v>41479</v>
      </c>
      <c r="X6583" s="18" t="s">
        <v>42</v>
      </c>
      <c r="Y6583" s="18" t="s">
        <v>12266</v>
      </c>
      <c r="Z6583" s="18" t="s">
        <v>15964</v>
      </c>
      <c r="AA6583" s="21" t="str">
        <f>HYPERLINK("https://www.ncbi.nlm.nih.gov/nuccore/KT099156","NCBI Nucleotide")</f>
        <v>NCBI Nucleotide</v>
      </c>
    </row>
    <row r="6584" spans="1:27" x14ac:dyDescent="0.35">
      <c r="A6584">
        <v>1008027</v>
      </c>
      <c r="B6584">
        <v>6264</v>
      </c>
      <c r="C6584">
        <v>1</v>
      </c>
      <c r="D6584" s="17" t="s">
        <v>10507</v>
      </c>
      <c r="E6584" s="17"/>
      <c r="F6584" s="17" t="s">
        <v>10780</v>
      </c>
      <c r="G6584" s="17"/>
      <c r="H6584" s="17" t="s">
        <v>12908</v>
      </c>
      <c r="I6584" s="17"/>
      <c r="J6584" s="17" t="s">
        <v>14018</v>
      </c>
      <c r="K6584" s="17"/>
      <c r="L6584" s="17" t="s">
        <v>14019</v>
      </c>
      <c r="M6584" s="17"/>
      <c r="N6584" s="17" t="s">
        <v>14020</v>
      </c>
      <c r="O6584" s="17"/>
      <c r="P6584" s="17" t="s">
        <v>14040</v>
      </c>
      <c r="Q6584" s="17"/>
      <c r="R6584" s="25" t="str">
        <f>HYPERLINK("https://ictv.global/taxonomy/taxondetails?taxnode_id=202305850","Begomovirus bemisiasexti")</f>
        <v>Begomovirus bemisiasexti</v>
      </c>
      <c r="S6584" s="18" t="s">
        <v>30</v>
      </c>
      <c r="T6584" s="18" t="s">
        <v>15977</v>
      </c>
      <c r="U6584" s="18" t="s">
        <v>15978</v>
      </c>
      <c r="V6584" s="18" t="s">
        <v>15979</v>
      </c>
      <c r="W6584" s="18" t="s">
        <v>15980</v>
      </c>
      <c r="X6584" s="18" t="s">
        <v>42</v>
      </c>
      <c r="Y6584" s="18" t="s">
        <v>12266</v>
      </c>
      <c r="Z6584" s="18" t="s">
        <v>15964</v>
      </c>
      <c r="AA6584" s="21" t="str">
        <f>HYPERLINK("https://www.ncbi.nlm.nih.gov/nuccore/KT099139","NCBI Nucleotide")</f>
        <v>NCBI Nucleotide</v>
      </c>
    </row>
    <row r="6585" spans="1:27" x14ac:dyDescent="0.35">
      <c r="A6585">
        <v>1008025</v>
      </c>
      <c r="B6585">
        <v>6265</v>
      </c>
      <c r="C6585">
        <v>1</v>
      </c>
      <c r="D6585" s="17" t="s">
        <v>10507</v>
      </c>
      <c r="E6585" s="17"/>
      <c r="F6585" s="17" t="s">
        <v>10780</v>
      </c>
      <c r="G6585" s="17"/>
      <c r="H6585" s="17" t="s">
        <v>12908</v>
      </c>
      <c r="I6585" s="17"/>
      <c r="J6585" s="17" t="s">
        <v>14018</v>
      </c>
      <c r="K6585" s="17"/>
      <c r="L6585" s="17" t="s">
        <v>14019</v>
      </c>
      <c r="M6585" s="17"/>
      <c r="N6585" s="17" t="s">
        <v>14020</v>
      </c>
      <c r="O6585" s="17"/>
      <c r="P6585" s="17" t="s">
        <v>14040</v>
      </c>
      <c r="Q6585" s="17"/>
      <c r="R6585" s="25" t="str">
        <f>HYPERLINK("https://ictv.global/taxonomy/taxondetails?taxnode_id=202305848","Begomovirus bemisiatertii")</f>
        <v>Begomovirus bemisiatertii</v>
      </c>
      <c r="S6585" s="18" t="s">
        <v>30</v>
      </c>
      <c r="T6585" s="18" t="s">
        <v>15969</v>
      </c>
      <c r="U6585" s="18" t="s">
        <v>15970</v>
      </c>
      <c r="V6585" s="18" t="s">
        <v>15971</v>
      </c>
      <c r="W6585" s="18" t="s">
        <v>15972</v>
      </c>
      <c r="X6585" s="18" t="s">
        <v>42</v>
      </c>
      <c r="Y6585" s="18" t="s">
        <v>12266</v>
      </c>
      <c r="Z6585" s="18" t="s">
        <v>15964</v>
      </c>
      <c r="AA6585" s="21" t="str">
        <f>HYPERLINK("https://www.ncbi.nlm.nih.gov/nuccore/KT099127","NCBI Nucleotide")</f>
        <v>NCBI Nucleotide</v>
      </c>
    </row>
    <row r="6586" spans="1:27" x14ac:dyDescent="0.35">
      <c r="A6586">
        <v>1007608</v>
      </c>
      <c r="B6586">
        <v>6266</v>
      </c>
      <c r="C6586">
        <v>1</v>
      </c>
      <c r="D6586" s="17" t="s">
        <v>10507</v>
      </c>
      <c r="E6586" s="17"/>
      <c r="F6586" s="17" t="s">
        <v>10780</v>
      </c>
      <c r="G6586" s="17"/>
      <c r="H6586" s="17" t="s">
        <v>12908</v>
      </c>
      <c r="I6586" s="17"/>
      <c r="J6586" s="17" t="s">
        <v>14018</v>
      </c>
      <c r="K6586" s="17"/>
      <c r="L6586" s="17" t="s">
        <v>14019</v>
      </c>
      <c r="M6586" s="17"/>
      <c r="N6586" s="17" t="s">
        <v>14020</v>
      </c>
      <c r="O6586" s="17"/>
      <c r="P6586" s="17" t="s">
        <v>14040</v>
      </c>
      <c r="Q6586" s="17"/>
      <c r="R6586" s="25" t="str">
        <f>HYPERLINK("https://ictv.global/taxonomy/taxondetails?taxnode_id=202303191","Begomovirus birdi")</f>
        <v>Begomovirus birdi</v>
      </c>
      <c r="S6586" s="18" t="s">
        <v>30</v>
      </c>
      <c r="T6586" s="18" t="s">
        <v>14152</v>
      </c>
      <c r="U6586" s="18" t="s">
        <v>14153</v>
      </c>
      <c r="V6586" s="18" t="s">
        <v>14154</v>
      </c>
      <c r="W6586" s="18" t="s">
        <v>14155</v>
      </c>
      <c r="X6586" s="18" t="s">
        <v>42</v>
      </c>
      <c r="Y6586" s="18" t="s">
        <v>12266</v>
      </c>
      <c r="Z6586" s="18" t="s">
        <v>13441</v>
      </c>
      <c r="AA6586" s="21" t="str">
        <f>HYPERLINK("https://www.ncbi.nlm.nih.gov/nuccore/L01635,L01636","NCBI Nucleotide")</f>
        <v>NCBI Nucleotide</v>
      </c>
    </row>
    <row r="6587" spans="1:27" x14ac:dyDescent="0.35">
      <c r="A6587">
        <v>1007618</v>
      </c>
      <c r="B6587">
        <v>6267</v>
      </c>
      <c r="C6587">
        <v>1</v>
      </c>
      <c r="D6587" s="17" t="s">
        <v>10507</v>
      </c>
      <c r="E6587" s="17"/>
      <c r="F6587" s="17" t="s">
        <v>10780</v>
      </c>
      <c r="G6587" s="17"/>
      <c r="H6587" s="17" t="s">
        <v>12908</v>
      </c>
      <c r="I6587" s="17"/>
      <c r="J6587" s="17" t="s">
        <v>14018</v>
      </c>
      <c r="K6587" s="17"/>
      <c r="L6587" s="17" t="s">
        <v>14019</v>
      </c>
      <c r="M6587" s="17"/>
      <c r="N6587" s="17" t="s">
        <v>14020</v>
      </c>
      <c r="O6587" s="17"/>
      <c r="P6587" s="17" t="s">
        <v>14040</v>
      </c>
      <c r="Q6587" s="17"/>
      <c r="R6587" s="25" t="str">
        <f>HYPERLINK("https://ictv.global/taxonomy/taxondetails?taxnode_id=202303196","Begomovirus blainvilleae")</f>
        <v>Begomovirus blainvilleae</v>
      </c>
      <c r="S6587" s="18" t="s">
        <v>30</v>
      </c>
      <c r="T6587" s="18" t="s">
        <v>14193</v>
      </c>
      <c r="U6587" s="18" t="s">
        <v>14194</v>
      </c>
      <c r="V6587" s="18" t="s">
        <v>14195</v>
      </c>
      <c r="W6587" s="18" t="s">
        <v>14196</v>
      </c>
      <c r="X6587" s="18" t="s">
        <v>42</v>
      </c>
      <c r="Y6587" s="18" t="s">
        <v>12266</v>
      </c>
      <c r="Z6587" s="18" t="s">
        <v>13441</v>
      </c>
      <c r="AA6587" s="21" t="str">
        <f>HYPERLINK("https://www.ncbi.nlm.nih.gov/nuccore/EU710756,EU710757","NCBI Nucleotide")</f>
        <v>NCBI Nucleotide</v>
      </c>
    </row>
    <row r="6588" spans="1:27" x14ac:dyDescent="0.35">
      <c r="A6588">
        <v>1007619</v>
      </c>
      <c r="B6588">
        <v>6268</v>
      </c>
      <c r="C6588">
        <v>1</v>
      </c>
      <c r="D6588" s="17" t="s">
        <v>10507</v>
      </c>
      <c r="E6588" s="17"/>
      <c r="F6588" s="17" t="s">
        <v>10780</v>
      </c>
      <c r="G6588" s="17"/>
      <c r="H6588" s="17" t="s">
        <v>12908</v>
      </c>
      <c r="I6588" s="17"/>
      <c r="J6588" s="17" t="s">
        <v>14018</v>
      </c>
      <c r="K6588" s="17"/>
      <c r="L6588" s="17" t="s">
        <v>14019</v>
      </c>
      <c r="M6588" s="17"/>
      <c r="N6588" s="17" t="s">
        <v>14020</v>
      </c>
      <c r="O6588" s="17"/>
      <c r="P6588" s="17" t="s">
        <v>14040</v>
      </c>
      <c r="Q6588" s="17"/>
      <c r="R6588" s="25" t="str">
        <f>HYPERLINK("https://ictv.global/taxonomy/taxondetails?taxnode_id=202303197","Begomovirus blechi")</f>
        <v>Begomovirus blechi</v>
      </c>
      <c r="S6588" s="18" t="s">
        <v>30</v>
      </c>
      <c r="T6588" s="18" t="s">
        <v>14197</v>
      </c>
      <c r="U6588" s="18" t="s">
        <v>14198</v>
      </c>
      <c r="V6588" s="18" t="s">
        <v>14199</v>
      </c>
      <c r="W6588" s="18" t="s">
        <v>14200</v>
      </c>
      <c r="X6588" s="18" t="s">
        <v>42</v>
      </c>
      <c r="Y6588" s="18" t="s">
        <v>12266</v>
      </c>
      <c r="Z6588" s="18" t="s">
        <v>13441</v>
      </c>
      <c r="AA6588" s="21" t="str">
        <f>HYPERLINK("https://www.ncbi.nlm.nih.gov/nuccore/JX827487,JX827488","NCBI Nucleotide")</f>
        <v>NCBI Nucleotide</v>
      </c>
    </row>
    <row r="6589" spans="1:27" x14ac:dyDescent="0.35">
      <c r="A6589">
        <v>1007620</v>
      </c>
      <c r="B6589">
        <v>6269</v>
      </c>
      <c r="C6589">
        <v>1</v>
      </c>
      <c r="D6589" s="17" t="s">
        <v>10507</v>
      </c>
      <c r="E6589" s="17"/>
      <c r="F6589" s="17" t="s">
        <v>10780</v>
      </c>
      <c r="G6589" s="17"/>
      <c r="H6589" s="17" t="s">
        <v>12908</v>
      </c>
      <c r="I6589" s="17"/>
      <c r="J6589" s="17" t="s">
        <v>14018</v>
      </c>
      <c r="K6589" s="17"/>
      <c r="L6589" s="17" t="s">
        <v>14019</v>
      </c>
      <c r="M6589" s="17"/>
      <c r="N6589" s="17" t="s">
        <v>14020</v>
      </c>
      <c r="O6589" s="17"/>
      <c r="P6589" s="17" t="s">
        <v>14040</v>
      </c>
      <c r="Q6589" s="17"/>
      <c r="R6589" s="25" t="str">
        <f>HYPERLINK("https://ictv.global/taxonomy/taxondetails?taxnode_id=202306695","Begomovirus blechumflavi")</f>
        <v>Begomovirus blechumflavi</v>
      </c>
      <c r="S6589" s="18" t="s">
        <v>30</v>
      </c>
      <c r="T6589" s="18" t="s">
        <v>14201</v>
      </c>
      <c r="U6589" s="18" t="s">
        <v>14202</v>
      </c>
      <c r="V6589" s="18" t="s">
        <v>14203</v>
      </c>
      <c r="W6589" s="18" t="s">
        <v>41480</v>
      </c>
      <c r="X6589" s="18" t="s">
        <v>42</v>
      </c>
      <c r="Y6589" s="18" t="s">
        <v>12266</v>
      </c>
      <c r="Z6589" s="18" t="s">
        <v>13441</v>
      </c>
      <c r="AA6589" s="21" t="str">
        <f>HYPERLINK("https://www.ncbi.nlm.nih.gov/nuccore/KF446659","NCBI Nucleotide")</f>
        <v>NCBI Nucleotide</v>
      </c>
    </row>
    <row r="6590" spans="1:27" x14ac:dyDescent="0.35">
      <c r="A6590">
        <v>1007621</v>
      </c>
      <c r="B6590">
        <v>6270</v>
      </c>
      <c r="C6590">
        <v>1</v>
      </c>
      <c r="D6590" s="17" t="s">
        <v>10507</v>
      </c>
      <c r="E6590" s="17"/>
      <c r="F6590" s="17" t="s">
        <v>10780</v>
      </c>
      <c r="G6590" s="17"/>
      <c r="H6590" s="17" t="s">
        <v>12908</v>
      </c>
      <c r="I6590" s="17"/>
      <c r="J6590" s="17" t="s">
        <v>14018</v>
      </c>
      <c r="K6590" s="17"/>
      <c r="L6590" s="17" t="s">
        <v>14019</v>
      </c>
      <c r="M6590" s="17"/>
      <c r="N6590" s="17" t="s">
        <v>14020</v>
      </c>
      <c r="O6590" s="17"/>
      <c r="P6590" s="17" t="s">
        <v>14040</v>
      </c>
      <c r="Q6590" s="17"/>
      <c r="R6590" s="25" t="str">
        <f>HYPERLINK("https://ictv.global/taxonomy/taxondetails?taxnode_id=202303198","Begomovirus boerhaviae")</f>
        <v>Begomovirus boerhaviae</v>
      </c>
      <c r="S6590" s="18" t="s">
        <v>30</v>
      </c>
      <c r="T6590" s="18" t="s">
        <v>14204</v>
      </c>
      <c r="U6590" s="18" t="s">
        <v>14205</v>
      </c>
      <c r="V6590" s="18" t="s">
        <v>14206</v>
      </c>
      <c r="W6590" s="18" t="s">
        <v>14207</v>
      </c>
      <c r="X6590" s="18" t="s">
        <v>42</v>
      </c>
      <c r="Y6590" s="18" t="s">
        <v>12266</v>
      </c>
      <c r="Z6590" s="18" t="s">
        <v>13441</v>
      </c>
      <c r="AA6590" s="21" t="str">
        <f>HYPERLINK("https://www.ncbi.nlm.nih.gov/nuccore/EF121755","NCBI Nucleotide")</f>
        <v>NCBI Nucleotide</v>
      </c>
    </row>
    <row r="6591" spans="1:27" x14ac:dyDescent="0.35">
      <c r="A6591">
        <v>1007623</v>
      </c>
      <c r="B6591">
        <v>6271</v>
      </c>
      <c r="C6591">
        <v>1</v>
      </c>
      <c r="D6591" s="17" t="s">
        <v>10507</v>
      </c>
      <c r="E6591" s="17"/>
      <c r="F6591" s="17" t="s">
        <v>10780</v>
      </c>
      <c r="G6591" s="17"/>
      <c r="H6591" s="17" t="s">
        <v>12908</v>
      </c>
      <c r="I6591" s="17"/>
      <c r="J6591" s="17" t="s">
        <v>14018</v>
      </c>
      <c r="K6591" s="17"/>
      <c r="L6591" s="17" t="s">
        <v>14019</v>
      </c>
      <c r="M6591" s="17"/>
      <c r="N6591" s="17" t="s">
        <v>14020</v>
      </c>
      <c r="O6591" s="17"/>
      <c r="P6591" s="17" t="s">
        <v>14040</v>
      </c>
      <c r="Q6591" s="17"/>
      <c r="R6591" s="25" t="str">
        <f>HYPERLINK("https://ictv.global/taxonomy/taxondetails?taxnode_id=202303200","Begomovirus brassicae")</f>
        <v>Begomovirus brassicae</v>
      </c>
      <c r="S6591" s="18" t="s">
        <v>30</v>
      </c>
      <c r="T6591" s="18" t="s">
        <v>14212</v>
      </c>
      <c r="U6591" s="18" t="s">
        <v>14213</v>
      </c>
      <c r="V6591" s="18" t="s">
        <v>14214</v>
      </c>
      <c r="W6591" s="18" t="s">
        <v>14215</v>
      </c>
      <c r="X6591" s="18" t="s">
        <v>42</v>
      </c>
      <c r="Y6591" s="18" t="s">
        <v>12266</v>
      </c>
      <c r="Z6591" s="18" t="s">
        <v>13441</v>
      </c>
      <c r="AA6591" s="21" t="str">
        <f>HYPERLINK("https://www.ncbi.nlm.nih.gov/nuccore/U65529,U65530","NCBI Nucleotide")</f>
        <v>NCBI Nucleotide</v>
      </c>
    </row>
    <row r="6592" spans="1:27" x14ac:dyDescent="0.35">
      <c r="A6592">
        <v>1007622</v>
      </c>
      <c r="B6592">
        <v>6272</v>
      </c>
      <c r="C6592">
        <v>1</v>
      </c>
      <c r="D6592" s="17" t="s">
        <v>10507</v>
      </c>
      <c r="E6592" s="17"/>
      <c r="F6592" s="17" t="s">
        <v>10780</v>
      </c>
      <c r="G6592" s="17"/>
      <c r="H6592" s="17" t="s">
        <v>12908</v>
      </c>
      <c r="I6592" s="17"/>
      <c r="J6592" s="17" t="s">
        <v>14018</v>
      </c>
      <c r="K6592" s="17"/>
      <c r="L6592" s="17" t="s">
        <v>14019</v>
      </c>
      <c r="M6592" s="17"/>
      <c r="N6592" s="17" t="s">
        <v>14020</v>
      </c>
      <c r="O6592" s="17"/>
      <c r="P6592" s="17" t="s">
        <v>14040</v>
      </c>
      <c r="Q6592" s="17"/>
      <c r="R6592" s="25" t="str">
        <f>HYPERLINK("https://ictv.global/taxonomy/taxondetails?taxnode_id=202303199","Begomovirus brassicajamaicaense")</f>
        <v>Begomovirus brassicajamaicaense</v>
      </c>
      <c r="S6592" s="18" t="s">
        <v>30</v>
      </c>
      <c r="T6592" s="18" t="s">
        <v>14208</v>
      </c>
      <c r="U6592" s="18" t="s">
        <v>14209</v>
      </c>
      <c r="V6592" s="18" t="s">
        <v>14210</v>
      </c>
      <c r="W6592" s="18" t="s">
        <v>14211</v>
      </c>
      <c r="X6592" s="18" t="s">
        <v>42</v>
      </c>
      <c r="Y6592" s="18" t="s">
        <v>12266</v>
      </c>
      <c r="Z6592" s="18" t="s">
        <v>13441</v>
      </c>
      <c r="AA6592" s="21" t="str">
        <f>HYPERLINK("https://www.ncbi.nlm.nih.gov/nuccore/DQ178608,DQ178609","NCBI Nucleotide")</f>
        <v>NCBI Nucleotide</v>
      </c>
    </row>
    <row r="6593" spans="1:27" x14ac:dyDescent="0.35">
      <c r="A6593">
        <v>1007624</v>
      </c>
      <c r="B6593">
        <v>6273</v>
      </c>
      <c r="C6593">
        <v>1</v>
      </c>
      <c r="D6593" s="17" t="s">
        <v>10507</v>
      </c>
      <c r="E6593" s="17"/>
      <c r="F6593" s="17" t="s">
        <v>10780</v>
      </c>
      <c r="G6593" s="17"/>
      <c r="H6593" s="17" t="s">
        <v>12908</v>
      </c>
      <c r="I6593" s="17"/>
      <c r="J6593" s="17" t="s">
        <v>14018</v>
      </c>
      <c r="K6593" s="17"/>
      <c r="L6593" s="17" t="s">
        <v>14019</v>
      </c>
      <c r="M6593" s="17"/>
      <c r="N6593" s="17" t="s">
        <v>14020</v>
      </c>
      <c r="O6593" s="17"/>
      <c r="P6593" s="17" t="s">
        <v>14040</v>
      </c>
      <c r="Q6593" s="17"/>
      <c r="R6593" s="25" t="str">
        <f>HYPERLINK("https://ictv.global/taxonomy/taxondetails?taxnode_id=202303201","Begomovirus caprariae")</f>
        <v>Begomovirus caprariae</v>
      </c>
      <c r="S6593" s="18" t="s">
        <v>30</v>
      </c>
      <c r="T6593" s="18" t="s">
        <v>14216</v>
      </c>
      <c r="U6593" s="18" t="s">
        <v>14217</v>
      </c>
      <c r="V6593" s="18" t="s">
        <v>14218</v>
      </c>
      <c r="W6593" s="18" t="s">
        <v>14219</v>
      </c>
      <c r="X6593" s="18" t="s">
        <v>42</v>
      </c>
      <c r="Y6593" s="18" t="s">
        <v>12266</v>
      </c>
      <c r="Z6593" s="18" t="s">
        <v>13441</v>
      </c>
      <c r="AA6593" s="21" t="str">
        <f>HYPERLINK("https://www.ncbi.nlm.nih.gov/nuccore/KC426927,KC426928","NCBI Nucleotide")</f>
        <v>NCBI Nucleotide</v>
      </c>
    </row>
    <row r="6594" spans="1:27" x14ac:dyDescent="0.35">
      <c r="A6594">
        <v>1007630</v>
      </c>
      <c r="B6594">
        <v>6274</v>
      </c>
      <c r="C6594">
        <v>1</v>
      </c>
      <c r="D6594" s="17" t="s">
        <v>10507</v>
      </c>
      <c r="E6594" s="17"/>
      <c r="F6594" s="17" t="s">
        <v>10780</v>
      </c>
      <c r="G6594" s="17"/>
      <c r="H6594" s="17" t="s">
        <v>12908</v>
      </c>
      <c r="I6594" s="17"/>
      <c r="J6594" s="17" t="s">
        <v>14018</v>
      </c>
      <c r="K6594" s="17"/>
      <c r="L6594" s="17" t="s">
        <v>14019</v>
      </c>
      <c r="M6594" s="17"/>
      <c r="N6594" s="17" t="s">
        <v>14020</v>
      </c>
      <c r="O6594" s="17"/>
      <c r="P6594" s="17" t="s">
        <v>14040</v>
      </c>
      <c r="Q6594" s="17"/>
      <c r="R6594" s="25" t="str">
        <f>HYPERLINK("https://ictv.global/taxonomy/taxondetails?taxnode_id=202306696","Begomovirus capsiahmedbadense")</f>
        <v>Begomovirus capsiahmedbadense</v>
      </c>
      <c r="S6594" s="18" t="s">
        <v>30</v>
      </c>
      <c r="T6594" s="18" t="s">
        <v>14238</v>
      </c>
      <c r="U6594" s="18" t="s">
        <v>14239</v>
      </c>
      <c r="V6594" s="18" t="s">
        <v>14240</v>
      </c>
      <c r="W6594" s="18" t="s">
        <v>41481</v>
      </c>
      <c r="X6594" s="18" t="s">
        <v>42</v>
      </c>
      <c r="Y6594" s="18" t="s">
        <v>12266</v>
      </c>
      <c r="Z6594" s="18" t="s">
        <v>13441</v>
      </c>
      <c r="AA6594" s="21" t="str">
        <f>HYPERLINK("https://www.ncbi.nlm.nih.gov/nuccore/KM880103","NCBI Nucleotide")</f>
        <v>NCBI Nucleotide</v>
      </c>
    </row>
    <row r="6595" spans="1:27" x14ac:dyDescent="0.35">
      <c r="A6595">
        <v>1007631</v>
      </c>
      <c r="B6595">
        <v>6275</v>
      </c>
      <c r="C6595">
        <v>1</v>
      </c>
      <c r="D6595" s="17" t="s">
        <v>10507</v>
      </c>
      <c r="E6595" s="17"/>
      <c r="F6595" s="17" t="s">
        <v>10780</v>
      </c>
      <c r="G6595" s="17"/>
      <c r="H6595" s="17" t="s">
        <v>12908</v>
      </c>
      <c r="I6595" s="17"/>
      <c r="J6595" s="17" t="s">
        <v>14018</v>
      </c>
      <c r="K6595" s="17"/>
      <c r="L6595" s="17" t="s">
        <v>14019</v>
      </c>
      <c r="M6595" s="17"/>
      <c r="N6595" s="17" t="s">
        <v>14020</v>
      </c>
      <c r="O6595" s="17"/>
      <c r="P6595" s="17" t="s">
        <v>14040</v>
      </c>
      <c r="Q6595" s="17"/>
      <c r="R6595" s="25" t="str">
        <f>HYPERLINK("https://ictv.global/taxonomy/taxondetails?taxnode_id=202306697","Begomovirus capsibhavanisagarense")</f>
        <v>Begomovirus capsibhavanisagarense</v>
      </c>
      <c r="S6595" s="18" t="s">
        <v>30</v>
      </c>
      <c r="T6595" s="18" t="s">
        <v>14241</v>
      </c>
      <c r="U6595" s="18" t="s">
        <v>14242</v>
      </c>
      <c r="V6595" s="18" t="s">
        <v>14243</v>
      </c>
      <c r="W6595" s="18" t="s">
        <v>41482</v>
      </c>
      <c r="X6595" s="18" t="s">
        <v>42</v>
      </c>
      <c r="Y6595" s="18" t="s">
        <v>12266</v>
      </c>
      <c r="Z6595" s="18" t="s">
        <v>13441</v>
      </c>
      <c r="AA6595" s="21" t="str">
        <f>HYPERLINK("https://www.ncbi.nlm.nih.gov/nuccore/HM992939","NCBI Nucleotide")</f>
        <v>NCBI Nucleotide</v>
      </c>
    </row>
    <row r="6596" spans="1:27" x14ac:dyDescent="0.35">
      <c r="A6596">
        <v>1007788</v>
      </c>
      <c r="B6596">
        <v>6276</v>
      </c>
      <c r="C6596">
        <v>1</v>
      </c>
      <c r="D6596" s="17" t="s">
        <v>10507</v>
      </c>
      <c r="E6596" s="17"/>
      <c r="F6596" s="17" t="s">
        <v>10780</v>
      </c>
      <c r="G6596" s="17"/>
      <c r="H6596" s="17" t="s">
        <v>12908</v>
      </c>
      <c r="I6596" s="17"/>
      <c r="J6596" s="17" t="s">
        <v>14018</v>
      </c>
      <c r="K6596" s="17"/>
      <c r="L6596" s="17" t="s">
        <v>14019</v>
      </c>
      <c r="M6596" s="17"/>
      <c r="N6596" s="17" t="s">
        <v>14020</v>
      </c>
      <c r="O6596" s="17"/>
      <c r="P6596" s="17" t="s">
        <v>14040</v>
      </c>
      <c r="Q6596" s="17"/>
      <c r="R6596" s="25" t="str">
        <f>HYPERLINK("https://ictv.global/taxonomy/taxondetails?taxnode_id=202303310","Begomovirus capsici")</f>
        <v>Begomovirus capsici</v>
      </c>
      <c r="S6596" s="18" t="s">
        <v>30</v>
      </c>
      <c r="T6596" s="18" t="s">
        <v>14995</v>
      </c>
      <c r="U6596" s="18" t="s">
        <v>14996</v>
      </c>
      <c r="V6596" s="18" t="s">
        <v>14997</v>
      </c>
      <c r="W6596" s="18" t="s">
        <v>41483</v>
      </c>
      <c r="X6596" s="18" t="s">
        <v>42</v>
      </c>
      <c r="Y6596" s="18" t="s">
        <v>12266</v>
      </c>
      <c r="Z6596" s="18" t="s">
        <v>13441</v>
      </c>
      <c r="AA6596" s="21" t="str">
        <f>HYPERLINK("https://www.ncbi.nlm.nih.gov/nuccore/AF134484","NCBI Nucleotide")</f>
        <v>NCBI Nucleotide</v>
      </c>
    </row>
    <row r="6597" spans="1:27" x14ac:dyDescent="0.35">
      <c r="A6597">
        <v>1012578</v>
      </c>
      <c r="B6597">
        <v>6276</v>
      </c>
      <c r="C6597">
        <v>2</v>
      </c>
      <c r="D6597" s="17" t="s">
        <v>10507</v>
      </c>
      <c r="E6597" s="17"/>
      <c r="F6597" s="17" t="s">
        <v>10780</v>
      </c>
      <c r="G6597" s="17"/>
      <c r="H6597" s="17" t="s">
        <v>12908</v>
      </c>
      <c r="I6597" s="17"/>
      <c r="J6597" s="17" t="s">
        <v>14018</v>
      </c>
      <c r="K6597" s="17"/>
      <c r="L6597" s="17" t="s">
        <v>14019</v>
      </c>
      <c r="M6597" s="17"/>
      <c r="N6597" s="17" t="s">
        <v>14020</v>
      </c>
      <c r="O6597" s="17"/>
      <c r="P6597" s="17" t="s">
        <v>14040</v>
      </c>
      <c r="Q6597" s="17"/>
      <c r="R6597" s="25" t="str">
        <f>HYPERLINK("https://ictv.global/taxonomy/taxondetails?taxnode_id=202303310","Begomovirus capsici")</f>
        <v>Begomovirus capsici</v>
      </c>
      <c r="S6597" s="18" t="s">
        <v>8141</v>
      </c>
      <c r="T6597" s="18" t="s">
        <v>14995</v>
      </c>
      <c r="U6597" s="18" t="s">
        <v>14998</v>
      </c>
      <c r="V6597" s="18" t="s">
        <v>14999</v>
      </c>
      <c r="W6597" s="18" t="s">
        <v>49048</v>
      </c>
      <c r="X6597" s="18" t="s">
        <v>42</v>
      </c>
      <c r="Y6597" s="18" t="s">
        <v>12266</v>
      </c>
      <c r="Z6597" s="18" t="s">
        <v>13441</v>
      </c>
      <c r="AA6597" s="21" t="str">
        <f>HYPERLINK("https://www.ncbi.nlm.nih.gov/nuccore/AF414287","NCBI Nucleotide")</f>
        <v>NCBI Nucleotide</v>
      </c>
    </row>
    <row r="6598" spans="1:27" x14ac:dyDescent="0.35">
      <c r="A6598">
        <v>1007791</v>
      </c>
      <c r="B6598">
        <v>6277</v>
      </c>
      <c r="C6598">
        <v>1</v>
      </c>
      <c r="D6598" s="17" t="s">
        <v>10507</v>
      </c>
      <c r="E6598" s="17"/>
      <c r="F6598" s="17" t="s">
        <v>10780</v>
      </c>
      <c r="G6598" s="17"/>
      <c r="H6598" s="17" t="s">
        <v>12908</v>
      </c>
      <c r="I6598" s="17"/>
      <c r="J6598" s="17" t="s">
        <v>14018</v>
      </c>
      <c r="K6598" s="17"/>
      <c r="L6598" s="17" t="s">
        <v>14019</v>
      </c>
      <c r="M6598" s="17"/>
      <c r="N6598" s="17" t="s">
        <v>14020</v>
      </c>
      <c r="O6598" s="17"/>
      <c r="P6598" s="17" t="s">
        <v>14040</v>
      </c>
      <c r="Q6598" s="17"/>
      <c r="R6598" s="25" t="str">
        <f>HYPERLINK("https://ictv.global/taxonomy/taxondetails?taxnode_id=202307528","Begomovirus capsicumacehense")</f>
        <v>Begomovirus capsicumacehense</v>
      </c>
      <c r="S6598" s="18" t="s">
        <v>30</v>
      </c>
      <c r="T6598" s="18" t="s">
        <v>15007</v>
      </c>
      <c r="U6598" s="18" t="s">
        <v>15008</v>
      </c>
      <c r="V6598" s="18" t="s">
        <v>15009</v>
      </c>
      <c r="W6598" s="18" t="s">
        <v>15010</v>
      </c>
      <c r="X6598" s="18" t="s">
        <v>42</v>
      </c>
      <c r="Y6598" s="18" t="s">
        <v>12266</v>
      </c>
      <c r="Z6598" s="18" t="s">
        <v>13441</v>
      </c>
      <c r="AA6598" s="21" t="str">
        <f>HYPERLINK("https://www.ncbi.nlm.nih.gov/nuccore/LC387327,LC387329","NCBI Nucleotide")</f>
        <v>NCBI Nucleotide</v>
      </c>
    </row>
    <row r="6599" spans="1:27" x14ac:dyDescent="0.35">
      <c r="A6599">
        <v>1007783</v>
      </c>
      <c r="B6599">
        <v>6278</v>
      </c>
      <c r="C6599">
        <v>1</v>
      </c>
      <c r="D6599" s="17" t="s">
        <v>10507</v>
      </c>
      <c r="E6599" s="17"/>
      <c r="F6599" s="17" t="s">
        <v>10780</v>
      </c>
      <c r="G6599" s="17"/>
      <c r="H6599" s="17" t="s">
        <v>12908</v>
      </c>
      <c r="I6599" s="17"/>
      <c r="J6599" s="17" t="s">
        <v>14018</v>
      </c>
      <c r="K6599" s="17"/>
      <c r="L6599" s="17" t="s">
        <v>14019</v>
      </c>
      <c r="M6599" s="17"/>
      <c r="N6599" s="17" t="s">
        <v>14020</v>
      </c>
      <c r="O6599" s="17"/>
      <c r="P6599" s="17" t="s">
        <v>14040</v>
      </c>
      <c r="Q6599" s="17"/>
      <c r="R6599" s="25" t="str">
        <f>HYPERLINK("https://ictv.global/taxonomy/taxondetails?taxnode_id=202309129","Begomovirus capsicumannui")</f>
        <v>Begomovirus capsicumannui</v>
      </c>
      <c r="S6599" s="18" t="s">
        <v>30</v>
      </c>
      <c r="T6599" s="18" t="s">
        <v>14967</v>
      </c>
      <c r="U6599" s="18" t="s">
        <v>14968</v>
      </c>
      <c r="V6599" s="18" t="s">
        <v>14969</v>
      </c>
      <c r="W6599" s="18" t="s">
        <v>50768</v>
      </c>
      <c r="X6599" s="18" t="s">
        <v>42</v>
      </c>
      <c r="Y6599" s="18" t="s">
        <v>12266</v>
      </c>
      <c r="Z6599" s="18" t="s">
        <v>13441</v>
      </c>
      <c r="AA6599" s="21" t="str">
        <f>HYPERLINK("https://www.ncbi.nlm.nih.gov/nuccore/MN518737,MN518739","NCBI Nucleotide")</f>
        <v>NCBI Nucleotide</v>
      </c>
    </row>
    <row r="6600" spans="1:27" x14ac:dyDescent="0.35">
      <c r="A6600">
        <v>1007786</v>
      </c>
      <c r="B6600">
        <v>6279</v>
      </c>
      <c r="C6600">
        <v>1</v>
      </c>
      <c r="D6600" s="17" t="s">
        <v>10507</v>
      </c>
      <c r="E6600" s="17"/>
      <c r="F6600" s="17" t="s">
        <v>10780</v>
      </c>
      <c r="G6600" s="17"/>
      <c r="H6600" s="17" t="s">
        <v>12908</v>
      </c>
      <c r="I6600" s="17"/>
      <c r="J6600" s="17" t="s">
        <v>14018</v>
      </c>
      <c r="K6600" s="17"/>
      <c r="L6600" s="17" t="s">
        <v>14019</v>
      </c>
      <c r="M6600" s="17"/>
      <c r="N6600" s="17" t="s">
        <v>14020</v>
      </c>
      <c r="O6600" s="17"/>
      <c r="P6600" s="17" t="s">
        <v>14040</v>
      </c>
      <c r="Q6600" s="17"/>
      <c r="R6600" s="25" t="str">
        <f>HYPERLINK("https://ictv.global/taxonomy/taxondetails?taxnode_id=202303308","Begomovirus capsicumbangladeschense")</f>
        <v>Begomovirus capsicumbangladeschense</v>
      </c>
      <c r="S6600" s="18" t="s">
        <v>30</v>
      </c>
      <c r="T6600" s="18" t="s">
        <v>14981</v>
      </c>
      <c r="U6600" s="18" t="s">
        <v>14982</v>
      </c>
      <c r="V6600" s="18" t="s">
        <v>14983</v>
      </c>
      <c r="W6600" s="18" t="s">
        <v>14984</v>
      </c>
      <c r="X6600" s="18" t="s">
        <v>42</v>
      </c>
      <c r="Y6600" s="18" t="s">
        <v>12266</v>
      </c>
      <c r="Z6600" s="18" t="s">
        <v>13441</v>
      </c>
      <c r="AA6600" s="21" t="str">
        <f>HYPERLINK("https://www.ncbi.nlm.nih.gov/nuccore/AF314531","NCBI Nucleotide")</f>
        <v>NCBI Nucleotide</v>
      </c>
    </row>
    <row r="6601" spans="1:27" x14ac:dyDescent="0.35">
      <c r="A6601">
        <v>1012575</v>
      </c>
      <c r="B6601">
        <v>6279</v>
      </c>
      <c r="C6601">
        <v>2</v>
      </c>
      <c r="D6601" s="17" t="s">
        <v>10507</v>
      </c>
      <c r="E6601" s="17"/>
      <c r="F6601" s="17" t="s">
        <v>10780</v>
      </c>
      <c r="G6601" s="17"/>
      <c r="H6601" s="17" t="s">
        <v>12908</v>
      </c>
      <c r="I6601" s="17"/>
      <c r="J6601" s="17" t="s">
        <v>14018</v>
      </c>
      <c r="K6601" s="17"/>
      <c r="L6601" s="17" t="s">
        <v>14019</v>
      </c>
      <c r="M6601" s="17"/>
      <c r="N6601" s="17" t="s">
        <v>14020</v>
      </c>
      <c r="O6601" s="17"/>
      <c r="P6601" s="17" t="s">
        <v>14040</v>
      </c>
      <c r="Q6601" s="17"/>
      <c r="R6601" s="25" t="str">
        <f>HYPERLINK("https://ictv.global/taxonomy/taxondetails?taxnode_id=202303308","Begomovirus capsicumbangladeschense")</f>
        <v>Begomovirus capsicumbangladeschense</v>
      </c>
      <c r="S6601" s="18" t="s">
        <v>8141</v>
      </c>
      <c r="T6601" s="18" t="s">
        <v>14981</v>
      </c>
      <c r="U6601" s="18" t="s">
        <v>14985</v>
      </c>
      <c r="V6601" s="18" t="s">
        <v>14986</v>
      </c>
      <c r="W6601" s="18" t="s">
        <v>49049</v>
      </c>
      <c r="X6601" s="18" t="s">
        <v>42</v>
      </c>
      <c r="Y6601" s="18" t="s">
        <v>12266</v>
      </c>
      <c r="Z6601" s="18" t="s">
        <v>13441</v>
      </c>
      <c r="AA6601" s="21" t="str">
        <f>HYPERLINK("https://www.ncbi.nlm.nih.gov/nuccore/AM404179","NCBI Nucleotide")</f>
        <v>NCBI Nucleotide</v>
      </c>
    </row>
    <row r="6602" spans="1:27" x14ac:dyDescent="0.35">
      <c r="A6602">
        <v>1012576</v>
      </c>
      <c r="B6602">
        <v>6279</v>
      </c>
      <c r="C6602">
        <v>3</v>
      </c>
      <c r="D6602" s="17" t="s">
        <v>10507</v>
      </c>
      <c r="E6602" s="17"/>
      <c r="F6602" s="17" t="s">
        <v>10780</v>
      </c>
      <c r="G6602" s="17"/>
      <c r="H6602" s="17" t="s">
        <v>12908</v>
      </c>
      <c r="I6602" s="17"/>
      <c r="J6602" s="17" t="s">
        <v>14018</v>
      </c>
      <c r="K6602" s="17"/>
      <c r="L6602" s="17" t="s">
        <v>14019</v>
      </c>
      <c r="M6602" s="17"/>
      <c r="N6602" s="17" t="s">
        <v>14020</v>
      </c>
      <c r="O6602" s="17"/>
      <c r="P6602" s="17" t="s">
        <v>14040</v>
      </c>
      <c r="Q6602" s="17"/>
      <c r="R6602" s="25" t="str">
        <f>HYPERLINK("https://ictv.global/taxonomy/taxondetails?taxnode_id=202303308","Begomovirus capsicumbangladeschense")</f>
        <v>Begomovirus capsicumbangladeschense</v>
      </c>
      <c r="S6602" s="18" t="s">
        <v>8141</v>
      </c>
      <c r="T6602" s="18" t="s">
        <v>14981</v>
      </c>
      <c r="U6602" s="18" t="s">
        <v>14987</v>
      </c>
      <c r="V6602" s="18" t="s">
        <v>14988</v>
      </c>
      <c r="W6602" s="18" t="s">
        <v>49050</v>
      </c>
      <c r="X6602" s="18" t="s">
        <v>42</v>
      </c>
      <c r="Y6602" s="18" t="s">
        <v>12266</v>
      </c>
      <c r="Z6602" s="18" t="s">
        <v>13441</v>
      </c>
      <c r="AA6602" s="21" t="str">
        <f>HYPERLINK("https://www.ncbi.nlm.nih.gov/nuccore/HM007096","NCBI Nucleotide")</f>
        <v>NCBI Nucleotide</v>
      </c>
    </row>
    <row r="6603" spans="1:27" x14ac:dyDescent="0.35">
      <c r="A6603">
        <v>1012577</v>
      </c>
      <c r="B6603">
        <v>6279</v>
      </c>
      <c r="C6603">
        <v>4</v>
      </c>
      <c r="D6603" s="17" t="s">
        <v>10507</v>
      </c>
      <c r="E6603" s="17"/>
      <c r="F6603" s="17" t="s">
        <v>10780</v>
      </c>
      <c r="G6603" s="17"/>
      <c r="H6603" s="17" t="s">
        <v>12908</v>
      </c>
      <c r="I6603" s="17"/>
      <c r="J6603" s="17" t="s">
        <v>14018</v>
      </c>
      <c r="K6603" s="17"/>
      <c r="L6603" s="17" t="s">
        <v>14019</v>
      </c>
      <c r="M6603" s="17"/>
      <c r="N6603" s="17" t="s">
        <v>14020</v>
      </c>
      <c r="O6603" s="17"/>
      <c r="P6603" s="17" t="s">
        <v>14040</v>
      </c>
      <c r="Q6603" s="17"/>
      <c r="R6603" s="25" t="str">
        <f>HYPERLINK("https://ictv.global/taxonomy/taxondetails?taxnode_id=202303308","Begomovirus capsicumbangladeschense")</f>
        <v>Begomovirus capsicumbangladeschense</v>
      </c>
      <c r="S6603" s="18" t="s">
        <v>8141</v>
      </c>
      <c r="T6603" s="18" t="s">
        <v>14981</v>
      </c>
      <c r="U6603" s="18" t="s">
        <v>14989</v>
      </c>
      <c r="V6603" s="18" t="s">
        <v>14990</v>
      </c>
      <c r="W6603" s="18" t="s">
        <v>49051</v>
      </c>
      <c r="X6603" s="18" t="s">
        <v>42</v>
      </c>
      <c r="Y6603" s="18" t="s">
        <v>12266</v>
      </c>
      <c r="Z6603" s="18" t="s">
        <v>13441</v>
      </c>
      <c r="AA6603" s="21" t="str">
        <f>HYPERLINK("https://www.ncbi.nlm.nih.gov/nuccore/DQ116881","NCBI Nucleotide")</f>
        <v>NCBI Nucleotide</v>
      </c>
    </row>
    <row r="6604" spans="1:27" x14ac:dyDescent="0.35">
      <c r="A6604">
        <v>1007795</v>
      </c>
      <c r="B6604">
        <v>6280</v>
      </c>
      <c r="C6604">
        <v>1</v>
      </c>
      <c r="D6604" s="17" t="s">
        <v>10507</v>
      </c>
      <c r="E6604" s="17"/>
      <c r="F6604" s="17" t="s">
        <v>10780</v>
      </c>
      <c r="G6604" s="17"/>
      <c r="H6604" s="17" t="s">
        <v>12908</v>
      </c>
      <c r="I6604" s="17"/>
      <c r="J6604" s="17" t="s">
        <v>14018</v>
      </c>
      <c r="K6604" s="17"/>
      <c r="L6604" s="17" t="s">
        <v>14019</v>
      </c>
      <c r="M6604" s="17"/>
      <c r="N6604" s="17" t="s">
        <v>14020</v>
      </c>
      <c r="O6604" s="17"/>
      <c r="P6604" s="17" t="s">
        <v>14040</v>
      </c>
      <c r="Q6604" s="17"/>
      <c r="R6604" s="25" t="str">
        <f>HYPERLINK("https://ictv.global/taxonomy/taxondetails?taxnode_id=202303313","Begomovirus capsicumchinaense")</f>
        <v>Begomovirus capsicumchinaense</v>
      </c>
      <c r="S6604" s="18" t="s">
        <v>30</v>
      </c>
      <c r="T6604" s="18" t="s">
        <v>15021</v>
      </c>
      <c r="U6604" s="18" t="s">
        <v>15022</v>
      </c>
      <c r="V6604" s="18" t="s">
        <v>15023</v>
      </c>
      <c r="W6604" s="18" t="s">
        <v>41484</v>
      </c>
      <c r="X6604" s="18" t="s">
        <v>42</v>
      </c>
      <c r="Y6604" s="18" t="s">
        <v>12266</v>
      </c>
      <c r="Z6604" s="18" t="s">
        <v>13441</v>
      </c>
      <c r="AA6604" s="21" t="str">
        <f>HYPERLINK("https://www.ncbi.nlm.nih.gov/nuccore/KC149938","NCBI Nucleotide")</f>
        <v>NCBI Nucleotide</v>
      </c>
    </row>
    <row r="6605" spans="1:27" x14ac:dyDescent="0.35">
      <c r="A6605">
        <v>1007790</v>
      </c>
      <c r="B6605">
        <v>6281</v>
      </c>
      <c r="C6605">
        <v>1</v>
      </c>
      <c r="D6605" s="17" t="s">
        <v>10507</v>
      </c>
      <c r="E6605" s="17"/>
      <c r="F6605" s="17" t="s">
        <v>10780</v>
      </c>
      <c r="G6605" s="17"/>
      <c r="H6605" s="17" t="s">
        <v>12908</v>
      </c>
      <c r="I6605" s="17"/>
      <c r="J6605" s="17" t="s">
        <v>14018</v>
      </c>
      <c r="K6605" s="17"/>
      <c r="L6605" s="17" t="s">
        <v>14019</v>
      </c>
      <c r="M6605" s="17"/>
      <c r="N6605" s="17" t="s">
        <v>14020</v>
      </c>
      <c r="O6605" s="17"/>
      <c r="P6605" s="17" t="s">
        <v>14040</v>
      </c>
      <c r="Q6605" s="17"/>
      <c r="R6605" s="25" t="str">
        <f>HYPERLINK("https://ictv.global/taxonomy/taxondetails?taxnode_id=202306705","Begomovirus capsicumcontorsioris")</f>
        <v>Begomovirus capsicumcontorsioris</v>
      </c>
      <c r="S6605" s="18" t="s">
        <v>30</v>
      </c>
      <c r="T6605" s="18" t="s">
        <v>15003</v>
      </c>
      <c r="U6605" s="18" t="s">
        <v>15004</v>
      </c>
      <c r="V6605" s="18" t="s">
        <v>15005</v>
      </c>
      <c r="W6605" s="18" t="s">
        <v>15006</v>
      </c>
      <c r="X6605" s="18" t="s">
        <v>42</v>
      </c>
      <c r="Y6605" s="18" t="s">
        <v>12266</v>
      </c>
      <c r="Z6605" s="18" t="s">
        <v>13441</v>
      </c>
      <c r="AA6605" s="21" t="str">
        <f>HYPERLINK("https://www.ncbi.nlm.nih.gov/nuccore/KC769819,KC769820","NCBI Nucleotide")</f>
        <v>NCBI Nucleotide</v>
      </c>
    </row>
    <row r="6606" spans="1:27" x14ac:dyDescent="0.35">
      <c r="A6606">
        <v>1007785</v>
      </c>
      <c r="B6606">
        <v>6282</v>
      </c>
      <c r="C6606">
        <v>1</v>
      </c>
      <c r="D6606" s="17" t="s">
        <v>10507</v>
      </c>
      <c r="E6606" s="17"/>
      <c r="F6606" s="17" t="s">
        <v>10780</v>
      </c>
      <c r="G6606" s="17"/>
      <c r="H6606" s="17" t="s">
        <v>12908</v>
      </c>
      <c r="I6606" s="17"/>
      <c r="J6606" s="17" t="s">
        <v>14018</v>
      </c>
      <c r="K6606" s="17"/>
      <c r="L6606" s="17" t="s">
        <v>14019</v>
      </c>
      <c r="M6606" s="17"/>
      <c r="N6606" s="17" t="s">
        <v>14020</v>
      </c>
      <c r="O6606" s="17"/>
      <c r="P6606" s="17" t="s">
        <v>14040</v>
      </c>
      <c r="Q6606" s="17"/>
      <c r="R6606" s="25" t="str">
        <f>HYPERLINK("https://ictv.global/taxonomy/taxondetails?taxnode_id=202303307","Begomovirus capsicumhuastecoense")</f>
        <v>Begomovirus capsicumhuastecoense</v>
      </c>
      <c r="S6606" s="18" t="s">
        <v>30</v>
      </c>
      <c r="T6606" s="18" t="s">
        <v>14977</v>
      </c>
      <c r="U6606" s="18" t="s">
        <v>14978</v>
      </c>
      <c r="V6606" s="18" t="s">
        <v>14979</v>
      </c>
      <c r="W6606" s="18" t="s">
        <v>14980</v>
      </c>
      <c r="X6606" s="18" t="s">
        <v>42</v>
      </c>
      <c r="Y6606" s="18" t="s">
        <v>12266</v>
      </c>
      <c r="Z6606" s="18" t="s">
        <v>13441</v>
      </c>
      <c r="AA6606" s="21" t="str">
        <f>HYPERLINK("https://www.ncbi.nlm.nih.gov/nuccore/X70418,X70419","NCBI Nucleotide")</f>
        <v>NCBI Nucleotide</v>
      </c>
    </row>
    <row r="6607" spans="1:27" x14ac:dyDescent="0.35">
      <c r="A6607">
        <v>1007792</v>
      </c>
      <c r="B6607">
        <v>6283</v>
      </c>
      <c r="C6607">
        <v>1</v>
      </c>
      <c r="D6607" s="17" t="s">
        <v>10507</v>
      </c>
      <c r="E6607" s="17"/>
      <c r="F6607" s="17" t="s">
        <v>10780</v>
      </c>
      <c r="G6607" s="17"/>
      <c r="H6607" s="17" t="s">
        <v>12908</v>
      </c>
      <c r="I6607" s="17"/>
      <c r="J6607" s="17" t="s">
        <v>14018</v>
      </c>
      <c r="K6607" s="17"/>
      <c r="L6607" s="17" t="s">
        <v>14019</v>
      </c>
      <c r="M6607" s="17"/>
      <c r="N6607" s="17" t="s">
        <v>14020</v>
      </c>
      <c r="O6607" s="17"/>
      <c r="P6607" s="17" t="s">
        <v>14040</v>
      </c>
      <c r="Q6607" s="17"/>
      <c r="R6607" s="25" t="str">
        <f>HYPERLINK("https://ictv.global/taxonomy/taxondetails?taxnode_id=202303312","Begomovirus capsicumindonesiaense")</f>
        <v>Begomovirus capsicumindonesiaense</v>
      </c>
      <c r="S6607" s="18" t="s">
        <v>30</v>
      </c>
      <c r="T6607" s="18" t="s">
        <v>15011</v>
      </c>
      <c r="U6607" s="18" t="s">
        <v>15012</v>
      </c>
      <c r="V6607" s="18" t="s">
        <v>15013</v>
      </c>
      <c r="W6607" s="18" t="s">
        <v>15014</v>
      </c>
      <c r="X6607" s="18" t="s">
        <v>42</v>
      </c>
      <c r="Y6607" s="18" t="s">
        <v>12266</v>
      </c>
      <c r="Z6607" s="18" t="s">
        <v>13441</v>
      </c>
      <c r="AA6607" s="21" t="str">
        <f>HYPERLINK("https://www.ncbi.nlm.nih.gov/nuccore/AB267834,AB267835","NCBI Nucleotide")</f>
        <v>NCBI Nucleotide</v>
      </c>
    </row>
    <row r="6608" spans="1:27" x14ac:dyDescent="0.35">
      <c r="A6608">
        <v>1007793</v>
      </c>
      <c r="B6608">
        <v>6284</v>
      </c>
      <c r="C6608">
        <v>1</v>
      </c>
      <c r="D6608" s="17" t="s">
        <v>10507</v>
      </c>
      <c r="E6608" s="17"/>
      <c r="F6608" s="17" t="s">
        <v>10780</v>
      </c>
      <c r="G6608" s="17"/>
      <c r="H6608" s="17" t="s">
        <v>12908</v>
      </c>
      <c r="I6608" s="17"/>
      <c r="J6608" s="17" t="s">
        <v>14018</v>
      </c>
      <c r="K6608" s="17"/>
      <c r="L6608" s="17" t="s">
        <v>14019</v>
      </c>
      <c r="M6608" s="17"/>
      <c r="N6608" s="17" t="s">
        <v>14020</v>
      </c>
      <c r="O6608" s="17"/>
      <c r="P6608" s="17" t="s">
        <v>14040</v>
      </c>
      <c r="Q6608" s="17"/>
      <c r="R6608" s="25" t="str">
        <f>HYPERLINK("https://ictv.global/taxonomy/taxondetails?taxnode_id=202306706","Begomovirus capsicumindonesiaenseduo")</f>
        <v>Begomovirus capsicumindonesiaenseduo</v>
      </c>
      <c r="S6608" s="18" t="s">
        <v>30</v>
      </c>
      <c r="T6608" s="18" t="s">
        <v>15015</v>
      </c>
      <c r="U6608" s="18" t="s">
        <v>15016</v>
      </c>
      <c r="V6608" s="18" t="s">
        <v>15017</v>
      </c>
      <c r="W6608" s="18" t="s">
        <v>41485</v>
      </c>
      <c r="X6608" s="18" t="s">
        <v>42</v>
      </c>
      <c r="Y6608" s="18" t="s">
        <v>12266</v>
      </c>
      <c r="Z6608" s="18" t="s">
        <v>13441</v>
      </c>
      <c r="AA6608" s="21" t="str">
        <f>HYPERLINK("https://www.ncbi.nlm.nih.gov/nuccore/KT809345","NCBI Nucleotide")</f>
        <v>NCBI Nucleotide</v>
      </c>
    </row>
    <row r="6609" spans="1:27" x14ac:dyDescent="0.35">
      <c r="A6609">
        <v>1007787</v>
      </c>
      <c r="B6609">
        <v>6285</v>
      </c>
      <c r="C6609">
        <v>1</v>
      </c>
      <c r="D6609" s="17" t="s">
        <v>10507</v>
      </c>
      <c r="E6609" s="17"/>
      <c r="F6609" s="17" t="s">
        <v>10780</v>
      </c>
      <c r="G6609" s="17"/>
      <c r="H6609" s="17" t="s">
        <v>12908</v>
      </c>
      <c r="I6609" s="17"/>
      <c r="J6609" s="17" t="s">
        <v>14018</v>
      </c>
      <c r="K6609" s="17"/>
      <c r="L6609" s="17" t="s">
        <v>14019</v>
      </c>
      <c r="M6609" s="17"/>
      <c r="N6609" s="17" t="s">
        <v>14020</v>
      </c>
      <c r="O6609" s="17"/>
      <c r="P6609" s="17" t="s">
        <v>14040</v>
      </c>
      <c r="Q6609" s="17"/>
      <c r="R6609" s="25" t="str">
        <f>HYPERLINK("https://ictv.global/taxonomy/taxondetails?taxnode_id=202303309","Begomovirus capsicumlahorense")</f>
        <v>Begomovirus capsicumlahorense</v>
      </c>
      <c r="S6609" s="18" t="s">
        <v>30</v>
      </c>
      <c r="T6609" s="18" t="s">
        <v>14991</v>
      </c>
      <c r="U6609" s="18" t="s">
        <v>14992</v>
      </c>
      <c r="V6609" s="18" t="s">
        <v>14993</v>
      </c>
      <c r="W6609" s="18" t="s">
        <v>14994</v>
      </c>
      <c r="X6609" s="18" t="s">
        <v>42</v>
      </c>
      <c r="Y6609" s="18" t="s">
        <v>12266</v>
      </c>
      <c r="Z6609" s="18" t="s">
        <v>13441</v>
      </c>
      <c r="AA6609" s="21" t="str">
        <f>HYPERLINK("https://www.ncbi.nlm.nih.gov/nuccore/JN135234","NCBI Nucleotide")</f>
        <v>NCBI Nucleotide</v>
      </c>
    </row>
    <row r="6610" spans="1:27" x14ac:dyDescent="0.35">
      <c r="A6610">
        <v>1007796</v>
      </c>
      <c r="B6610">
        <v>6286</v>
      </c>
      <c r="C6610">
        <v>1</v>
      </c>
      <c r="D6610" s="17" t="s">
        <v>10507</v>
      </c>
      <c r="E6610" s="17"/>
      <c r="F6610" s="17" t="s">
        <v>10780</v>
      </c>
      <c r="G6610" s="17"/>
      <c r="H6610" s="17" t="s">
        <v>12908</v>
      </c>
      <c r="I6610" s="17"/>
      <c r="J6610" s="17" t="s">
        <v>14018</v>
      </c>
      <c r="K6610" s="17"/>
      <c r="L6610" s="17" t="s">
        <v>14019</v>
      </c>
      <c r="M6610" s="17"/>
      <c r="N6610" s="17" t="s">
        <v>14020</v>
      </c>
      <c r="O6610" s="17"/>
      <c r="P6610" s="17" t="s">
        <v>14040</v>
      </c>
      <c r="Q6610" s="17"/>
      <c r="R6610" s="25" t="str">
        <f>HYPERLINK("https://ictv.global/taxonomy/taxondetails?taxnode_id=202303314","Begomovirus capsicummaliense")</f>
        <v>Begomovirus capsicummaliense</v>
      </c>
      <c r="S6610" s="18" t="s">
        <v>30</v>
      </c>
      <c r="T6610" s="18" t="s">
        <v>15024</v>
      </c>
      <c r="U6610" s="18" t="s">
        <v>15025</v>
      </c>
      <c r="V6610" s="18" t="s">
        <v>15026</v>
      </c>
      <c r="W6610" s="18" t="s">
        <v>41486</v>
      </c>
      <c r="X6610" s="18" t="s">
        <v>42</v>
      </c>
      <c r="Y6610" s="18" t="s">
        <v>12266</v>
      </c>
      <c r="Z6610" s="18" t="s">
        <v>13441</v>
      </c>
      <c r="AA6610" s="21" t="str">
        <f>HYPERLINK("https://www.ncbi.nlm.nih.gov/nuccore/AY502935","NCBI Nucleotide")</f>
        <v>NCBI Nucleotide</v>
      </c>
    </row>
    <row r="6611" spans="1:27" x14ac:dyDescent="0.35">
      <c r="A6611">
        <v>1007784</v>
      </c>
      <c r="B6611">
        <v>6287</v>
      </c>
      <c r="C6611">
        <v>1</v>
      </c>
      <c r="D6611" s="17" t="s">
        <v>10507</v>
      </c>
      <c r="E6611" s="17"/>
      <c r="F6611" s="17" t="s">
        <v>10780</v>
      </c>
      <c r="G6611" s="17"/>
      <c r="H6611" s="17" t="s">
        <v>12908</v>
      </c>
      <c r="I6611" s="17"/>
      <c r="J6611" s="17" t="s">
        <v>14018</v>
      </c>
      <c r="K6611" s="17"/>
      <c r="L6611" s="17" t="s">
        <v>14019</v>
      </c>
      <c r="M6611" s="17"/>
      <c r="N6611" s="17" t="s">
        <v>14020</v>
      </c>
      <c r="O6611" s="17"/>
      <c r="P6611" s="17" t="s">
        <v>14040</v>
      </c>
      <c r="Q6611" s="17"/>
      <c r="R6611" s="25" t="str">
        <f>HYPERLINK("https://ictv.global/taxonomy/taxondetails?taxnode_id=202303306","Begomovirus capsicummusivi")</f>
        <v>Begomovirus capsicummusivi</v>
      </c>
      <c r="S6611" s="18" t="s">
        <v>30</v>
      </c>
      <c r="T6611" s="18" t="s">
        <v>14970</v>
      </c>
      <c r="U6611" s="18" t="s">
        <v>14971</v>
      </c>
      <c r="V6611" s="18" t="s">
        <v>14972</v>
      </c>
      <c r="W6611" s="18" t="s">
        <v>50461</v>
      </c>
      <c r="X6611" s="18" t="s">
        <v>42</v>
      </c>
      <c r="Y6611" s="18" t="s">
        <v>12266</v>
      </c>
      <c r="Z6611" s="18" t="s">
        <v>13441</v>
      </c>
      <c r="AA6611" s="21" t="str">
        <f>HYPERLINK("https://www.ncbi.nlm.nih.gov/nuccore/U57457,AF499442","NCBI Nucleotide")</f>
        <v>NCBI Nucleotide</v>
      </c>
    </row>
    <row r="6612" spans="1:27" x14ac:dyDescent="0.35">
      <c r="A6612">
        <v>1012573</v>
      </c>
      <c r="B6612">
        <v>6287</v>
      </c>
      <c r="C6612">
        <v>2</v>
      </c>
      <c r="D6612" s="17" t="s">
        <v>10507</v>
      </c>
      <c r="E6612" s="17"/>
      <c r="F6612" s="17" t="s">
        <v>10780</v>
      </c>
      <c r="G6612" s="17"/>
      <c r="H6612" s="17" t="s">
        <v>12908</v>
      </c>
      <c r="I6612" s="17"/>
      <c r="J6612" s="17" t="s">
        <v>14018</v>
      </c>
      <c r="K6612" s="17"/>
      <c r="L6612" s="17" t="s">
        <v>14019</v>
      </c>
      <c r="M6612" s="17"/>
      <c r="N6612" s="17" t="s">
        <v>14020</v>
      </c>
      <c r="O6612" s="17"/>
      <c r="P6612" s="17" t="s">
        <v>14040</v>
      </c>
      <c r="Q6612" s="17"/>
      <c r="R6612" s="25" t="str">
        <f>HYPERLINK("https://ictv.global/taxonomy/taxondetails?taxnode_id=202303306","Begomovirus capsicummusivi")</f>
        <v>Begomovirus capsicummusivi</v>
      </c>
      <c r="S6612" s="18" t="s">
        <v>8141</v>
      </c>
      <c r="T6612" s="18" t="s">
        <v>14970</v>
      </c>
      <c r="U6612" s="18" t="s">
        <v>14973</v>
      </c>
      <c r="V6612" s="18" t="s">
        <v>14974</v>
      </c>
      <c r="W6612" s="18" t="s">
        <v>49052</v>
      </c>
      <c r="X6612" s="18" t="s">
        <v>42</v>
      </c>
      <c r="Y6612" s="18" t="s">
        <v>12266</v>
      </c>
      <c r="Z6612" s="18" t="s">
        <v>13441</v>
      </c>
      <c r="AA6612" s="21" t="str">
        <f>HYPERLINK("https://www.ncbi.nlm.nih.gov/nuccore/AF149227","NCBI Nucleotide")</f>
        <v>NCBI Nucleotide</v>
      </c>
    </row>
    <row r="6613" spans="1:27" x14ac:dyDescent="0.35">
      <c r="A6613">
        <v>1012574</v>
      </c>
      <c r="B6613">
        <v>6287</v>
      </c>
      <c r="C6613">
        <v>3</v>
      </c>
      <c r="D6613" s="17" t="s">
        <v>10507</v>
      </c>
      <c r="E6613" s="17"/>
      <c r="F6613" s="17" t="s">
        <v>10780</v>
      </c>
      <c r="G6613" s="17"/>
      <c r="H6613" s="17" t="s">
        <v>12908</v>
      </c>
      <c r="I6613" s="17"/>
      <c r="J6613" s="17" t="s">
        <v>14018</v>
      </c>
      <c r="K6613" s="17"/>
      <c r="L6613" s="17" t="s">
        <v>14019</v>
      </c>
      <c r="M6613" s="17"/>
      <c r="N6613" s="17" t="s">
        <v>14020</v>
      </c>
      <c r="O6613" s="17"/>
      <c r="P6613" s="17" t="s">
        <v>14040</v>
      </c>
      <c r="Q6613" s="17"/>
      <c r="R6613" s="25" t="str">
        <f>HYPERLINK("https://ictv.global/taxonomy/taxondetails?taxnode_id=202303306","Begomovirus capsicummusivi")</f>
        <v>Begomovirus capsicummusivi</v>
      </c>
      <c r="S6613" s="18" t="s">
        <v>8141</v>
      </c>
      <c r="T6613" s="18" t="s">
        <v>14970</v>
      </c>
      <c r="U6613" s="18" t="s">
        <v>14975</v>
      </c>
      <c r="V6613" s="18" t="s">
        <v>14976</v>
      </c>
      <c r="W6613" s="18" t="s">
        <v>49053</v>
      </c>
      <c r="X6613" s="18" t="s">
        <v>42</v>
      </c>
      <c r="Y6613" s="18" t="s">
        <v>12266</v>
      </c>
      <c r="Z6613" s="18" t="s">
        <v>13441</v>
      </c>
      <c r="AA6613" s="21" t="str">
        <f>HYPERLINK("https://www.ncbi.nlm.nih.gov/nuccore/JQ743486","NCBI Nucleotide")</f>
        <v>NCBI Nucleotide</v>
      </c>
    </row>
    <row r="6614" spans="1:27" x14ac:dyDescent="0.35">
      <c r="A6614">
        <v>1007794</v>
      </c>
      <c r="B6614">
        <v>6288</v>
      </c>
      <c r="C6614">
        <v>1</v>
      </c>
      <c r="D6614" s="17" t="s">
        <v>10507</v>
      </c>
      <c r="E6614" s="17"/>
      <c r="F6614" s="17" t="s">
        <v>10780</v>
      </c>
      <c r="G6614" s="17"/>
      <c r="H6614" s="17" t="s">
        <v>12908</v>
      </c>
      <c r="I6614" s="17"/>
      <c r="J6614" s="17" t="s">
        <v>14018</v>
      </c>
      <c r="K6614" s="17"/>
      <c r="L6614" s="17" t="s">
        <v>14019</v>
      </c>
      <c r="M6614" s="17"/>
      <c r="N6614" s="17" t="s">
        <v>14020</v>
      </c>
      <c r="O6614" s="17"/>
      <c r="P6614" s="17" t="s">
        <v>14040</v>
      </c>
      <c r="Q6614" s="17"/>
      <c r="R6614" s="25" t="str">
        <f>HYPERLINK("https://ictv.global/taxonomy/taxondetails?taxnode_id=202305821","Begomovirus capsicumthailandense")</f>
        <v>Begomovirus capsicumthailandense</v>
      </c>
      <c r="S6614" s="18" t="s">
        <v>30</v>
      </c>
      <c r="T6614" s="18" t="s">
        <v>15018</v>
      </c>
      <c r="U6614" s="18" t="s">
        <v>15019</v>
      </c>
      <c r="V6614" s="18" t="s">
        <v>15020</v>
      </c>
      <c r="W6614" s="18" t="s">
        <v>50769</v>
      </c>
      <c r="X6614" s="18" t="s">
        <v>42</v>
      </c>
      <c r="Y6614" s="18" t="s">
        <v>12266</v>
      </c>
      <c r="Z6614" s="18" t="s">
        <v>13441</v>
      </c>
      <c r="AA6614" s="21" t="str">
        <f>HYPERLINK("https://www.ncbi.nlm.nih.gov/nuccore/KX943290,KX943291","NCBI Nucleotide")</f>
        <v>NCBI Nucleotide</v>
      </c>
    </row>
    <row r="6615" spans="1:27" x14ac:dyDescent="0.35">
      <c r="A6615">
        <v>1007789</v>
      </c>
      <c r="B6615">
        <v>6289</v>
      </c>
      <c r="C6615">
        <v>1</v>
      </c>
      <c r="D6615" s="17" t="s">
        <v>10507</v>
      </c>
      <c r="E6615" s="17"/>
      <c r="F6615" s="17" t="s">
        <v>10780</v>
      </c>
      <c r="G6615" s="17"/>
      <c r="H6615" s="17" t="s">
        <v>12908</v>
      </c>
      <c r="I6615" s="17"/>
      <c r="J6615" s="17" t="s">
        <v>14018</v>
      </c>
      <c r="K6615" s="17"/>
      <c r="L6615" s="17" t="s">
        <v>14019</v>
      </c>
      <c r="M6615" s="17"/>
      <c r="N6615" s="17" t="s">
        <v>14020</v>
      </c>
      <c r="O6615" s="17"/>
      <c r="P6615" s="17" t="s">
        <v>14040</v>
      </c>
      <c r="Q6615" s="17"/>
      <c r="R6615" s="25" t="str">
        <f>HYPERLINK("https://ictv.global/taxonomy/taxondetails?taxnode_id=202303311","Begomovirus capsicumyunnanense")</f>
        <v>Begomovirus capsicumyunnanense</v>
      </c>
      <c r="S6615" s="18" t="s">
        <v>30</v>
      </c>
      <c r="T6615" s="18" t="s">
        <v>15000</v>
      </c>
      <c r="U6615" s="18" t="s">
        <v>15001</v>
      </c>
      <c r="V6615" s="18" t="s">
        <v>15002</v>
      </c>
      <c r="W6615" s="18" t="s">
        <v>41487</v>
      </c>
      <c r="X6615" s="18" t="s">
        <v>42</v>
      </c>
      <c r="Y6615" s="18" t="s">
        <v>12266</v>
      </c>
      <c r="Z6615" s="18" t="s">
        <v>13441</v>
      </c>
      <c r="AA6615" s="21" t="str">
        <f>HYPERLINK("https://www.ncbi.nlm.nih.gov/nuccore/EU585781","NCBI Nucleotide")</f>
        <v>NCBI Nucleotide</v>
      </c>
    </row>
    <row r="6616" spans="1:27" x14ac:dyDescent="0.35">
      <c r="A6616">
        <v>1007632</v>
      </c>
      <c r="B6616">
        <v>6290</v>
      </c>
      <c r="C6616">
        <v>1</v>
      </c>
      <c r="D6616" s="17" t="s">
        <v>10507</v>
      </c>
      <c r="E6616" s="17"/>
      <c r="F6616" s="17" t="s">
        <v>10780</v>
      </c>
      <c r="G6616" s="17"/>
      <c r="H6616" s="17" t="s">
        <v>12908</v>
      </c>
      <c r="I6616" s="17"/>
      <c r="J6616" s="17" t="s">
        <v>14018</v>
      </c>
      <c r="K6616" s="17"/>
      <c r="L6616" s="17" t="s">
        <v>14019</v>
      </c>
      <c r="M6616" s="17"/>
      <c r="N6616" s="17" t="s">
        <v>14020</v>
      </c>
      <c r="O6616" s="17"/>
      <c r="P6616" s="17" t="s">
        <v>14040</v>
      </c>
      <c r="Q6616" s="17"/>
      <c r="R6616" s="25" t="str">
        <f>HYPERLINK("https://ictv.global/taxonomy/taxondetails?taxnode_id=202306698","Begomovirus capsigondaense")</f>
        <v>Begomovirus capsigondaense</v>
      </c>
      <c r="S6616" s="18" t="s">
        <v>30</v>
      </c>
      <c r="T6616" s="18" t="s">
        <v>14244</v>
      </c>
      <c r="U6616" s="18" t="s">
        <v>14245</v>
      </c>
      <c r="V6616" s="18" t="s">
        <v>14246</v>
      </c>
      <c r="W6616" s="18" t="s">
        <v>41488</v>
      </c>
      <c r="X6616" s="18" t="s">
        <v>42</v>
      </c>
      <c r="Y6616" s="18" t="s">
        <v>12266</v>
      </c>
      <c r="Z6616" s="18" t="s">
        <v>13441</v>
      </c>
      <c r="AA6616" s="21" t="str">
        <f>HYPERLINK("https://www.ncbi.nlm.nih.gov/nuccore/KJ957157","NCBI Nucleotide")</f>
        <v>NCBI Nucleotide</v>
      </c>
    </row>
    <row r="6617" spans="1:27" x14ac:dyDescent="0.35">
      <c r="A6617">
        <v>1007634</v>
      </c>
      <c r="B6617">
        <v>6291</v>
      </c>
      <c r="C6617">
        <v>1</v>
      </c>
      <c r="D6617" s="17" t="s">
        <v>10507</v>
      </c>
      <c r="E6617" s="17"/>
      <c r="F6617" s="17" t="s">
        <v>10780</v>
      </c>
      <c r="G6617" s="17"/>
      <c r="H6617" s="17" t="s">
        <v>12908</v>
      </c>
      <c r="I6617" s="17"/>
      <c r="J6617" s="17" t="s">
        <v>14018</v>
      </c>
      <c r="K6617" s="17"/>
      <c r="L6617" s="17" t="s">
        <v>14019</v>
      </c>
      <c r="M6617" s="17"/>
      <c r="N6617" s="17" t="s">
        <v>14020</v>
      </c>
      <c r="O6617" s="17"/>
      <c r="P6617" s="17" t="s">
        <v>14040</v>
      </c>
      <c r="Q6617" s="17"/>
      <c r="R6617" s="25" t="str">
        <f>HYPERLINK("https://ictv.global/taxonomy/taxondetails?taxnode_id=202303208","Begomovirus capsikanpurense")</f>
        <v>Begomovirus capsikanpurense</v>
      </c>
      <c r="S6617" s="18" t="s">
        <v>30</v>
      </c>
      <c r="T6617" s="18" t="s">
        <v>14251</v>
      </c>
      <c r="U6617" s="18" t="s">
        <v>14252</v>
      </c>
      <c r="V6617" s="18" t="s">
        <v>14253</v>
      </c>
      <c r="W6617" s="18" t="s">
        <v>14254</v>
      </c>
      <c r="X6617" s="18" t="s">
        <v>42</v>
      </c>
      <c r="Y6617" s="18" t="s">
        <v>12266</v>
      </c>
      <c r="Z6617" s="18" t="s">
        <v>13441</v>
      </c>
      <c r="AA6617" s="21" t="str">
        <f>HYPERLINK("https://www.ncbi.nlm.nih.gov/nuccore/HM007106","NCBI Nucleotide")</f>
        <v>NCBI Nucleotide</v>
      </c>
    </row>
    <row r="6618" spans="1:27" x14ac:dyDescent="0.35">
      <c r="A6618">
        <v>1007633</v>
      </c>
      <c r="B6618">
        <v>6292</v>
      </c>
      <c r="C6618">
        <v>1</v>
      </c>
      <c r="D6618" s="17" t="s">
        <v>10507</v>
      </c>
      <c r="E6618" s="17"/>
      <c r="F6618" s="17" t="s">
        <v>10780</v>
      </c>
      <c r="G6618" s="17"/>
      <c r="H6618" s="17" t="s">
        <v>12908</v>
      </c>
      <c r="I6618" s="17"/>
      <c r="J6618" s="17" t="s">
        <v>14018</v>
      </c>
      <c r="K6618" s="17"/>
      <c r="L6618" s="17" t="s">
        <v>14019</v>
      </c>
      <c r="M6618" s="17"/>
      <c r="N6618" s="17" t="s">
        <v>14020</v>
      </c>
      <c r="O6618" s="17"/>
      <c r="P6618" s="17" t="s">
        <v>14040</v>
      </c>
      <c r="Q6618" s="17"/>
      <c r="R6618" s="25" t="str">
        <f>HYPERLINK("https://ictv.global/taxonomy/taxondetails?taxnode_id=202303207","Begomovirus capsindiaense")</f>
        <v>Begomovirus capsindiaense</v>
      </c>
      <c r="S6618" s="18" t="s">
        <v>30</v>
      </c>
      <c r="T6618" s="18" t="s">
        <v>14247</v>
      </c>
      <c r="U6618" s="18" t="s">
        <v>14248</v>
      </c>
      <c r="V6618" s="18" t="s">
        <v>14249</v>
      </c>
      <c r="W6618" s="18" t="s">
        <v>14250</v>
      </c>
      <c r="X6618" s="18" t="s">
        <v>42</v>
      </c>
      <c r="Y6618" s="18" t="s">
        <v>12266</v>
      </c>
      <c r="Z6618" s="18" t="s">
        <v>13441</v>
      </c>
      <c r="AA6618" s="21" t="str">
        <f>HYPERLINK("https://www.ncbi.nlm.nih.gov/nuccore/FM877858","NCBI Nucleotide")</f>
        <v>NCBI Nucleotide</v>
      </c>
    </row>
    <row r="6619" spans="1:27" x14ac:dyDescent="0.35">
      <c r="A6619">
        <v>1007635</v>
      </c>
      <c r="B6619">
        <v>6293</v>
      </c>
      <c r="C6619">
        <v>1</v>
      </c>
      <c r="D6619" s="17" t="s">
        <v>10507</v>
      </c>
      <c r="E6619" s="17"/>
      <c r="F6619" s="17" t="s">
        <v>10780</v>
      </c>
      <c r="G6619" s="17"/>
      <c r="H6619" s="17" t="s">
        <v>12908</v>
      </c>
      <c r="I6619" s="17"/>
      <c r="J6619" s="17" t="s">
        <v>14018</v>
      </c>
      <c r="K6619" s="17"/>
      <c r="L6619" s="17" t="s">
        <v>14019</v>
      </c>
      <c r="M6619" s="17"/>
      <c r="N6619" s="17" t="s">
        <v>14020</v>
      </c>
      <c r="O6619" s="17"/>
      <c r="P6619" s="17" t="s">
        <v>14040</v>
      </c>
      <c r="Q6619" s="17"/>
      <c r="R6619" s="25" t="str">
        <f>HYPERLINK("https://ictv.global/taxonomy/taxondetails?taxnode_id=202306699","Begomovirus capsisrilankaense")</f>
        <v>Begomovirus capsisrilankaense</v>
      </c>
      <c r="S6619" s="18" t="s">
        <v>30</v>
      </c>
      <c r="T6619" s="18" t="s">
        <v>14255</v>
      </c>
      <c r="U6619" s="18" t="s">
        <v>14256</v>
      </c>
      <c r="V6619" s="18" t="s">
        <v>14257</v>
      </c>
      <c r="W6619" s="18" t="s">
        <v>41489</v>
      </c>
      <c r="X6619" s="18" t="s">
        <v>42</v>
      </c>
      <c r="Y6619" s="18" t="s">
        <v>12266</v>
      </c>
      <c r="Z6619" s="18" t="s">
        <v>13441</v>
      </c>
      <c r="AA6619" s="21" t="str">
        <f>HYPERLINK("https://www.ncbi.nlm.nih.gov/nuccore/JN555601","NCBI Nucleotide")</f>
        <v>NCBI Nucleotide</v>
      </c>
    </row>
    <row r="6620" spans="1:27" x14ac:dyDescent="0.35">
      <c r="A6620">
        <v>1007636</v>
      </c>
      <c r="B6620">
        <v>6294</v>
      </c>
      <c r="C6620">
        <v>1</v>
      </c>
      <c r="D6620" s="17" t="s">
        <v>10507</v>
      </c>
      <c r="E6620" s="17"/>
      <c r="F6620" s="17" t="s">
        <v>10780</v>
      </c>
      <c r="G6620" s="17"/>
      <c r="H6620" s="17" t="s">
        <v>12908</v>
      </c>
      <c r="I6620" s="17"/>
      <c r="J6620" s="17" t="s">
        <v>14018</v>
      </c>
      <c r="K6620" s="17"/>
      <c r="L6620" s="17" t="s">
        <v>14019</v>
      </c>
      <c r="M6620" s="17"/>
      <c r="N6620" s="17" t="s">
        <v>14020</v>
      </c>
      <c r="O6620" s="17"/>
      <c r="P6620" s="17" t="s">
        <v>14040</v>
      </c>
      <c r="Q6620" s="17"/>
      <c r="R6620" s="25" t="str">
        <f>HYPERLINK("https://ictv.global/taxonomy/taxondetails?taxnode_id=202303209","Begomovirus capsivellanadense")</f>
        <v>Begomovirus capsivellanadense</v>
      </c>
      <c r="S6620" s="18" t="s">
        <v>30</v>
      </c>
      <c r="T6620" s="18" t="s">
        <v>14258</v>
      </c>
      <c r="U6620" s="18" t="s">
        <v>14259</v>
      </c>
      <c r="V6620" s="18" t="s">
        <v>14260</v>
      </c>
      <c r="W6620" s="18" t="s">
        <v>14261</v>
      </c>
      <c r="X6620" s="18" t="s">
        <v>42</v>
      </c>
      <c r="Y6620" s="18" t="s">
        <v>12266</v>
      </c>
      <c r="Z6620" s="18" t="s">
        <v>13441</v>
      </c>
      <c r="AA6620" s="21" t="str">
        <f>HYPERLINK("https://www.ncbi.nlm.nih.gov/nuccore/HM007121","NCBI Nucleotide")</f>
        <v>NCBI Nucleotide</v>
      </c>
    </row>
    <row r="6621" spans="1:27" x14ac:dyDescent="0.35">
      <c r="A6621">
        <v>1007770</v>
      </c>
      <c r="B6621">
        <v>6295</v>
      </c>
      <c r="C6621">
        <v>1</v>
      </c>
      <c r="D6621" s="17" t="s">
        <v>10507</v>
      </c>
      <c r="E6621" s="17"/>
      <c r="F6621" s="17" t="s">
        <v>10780</v>
      </c>
      <c r="G6621" s="17"/>
      <c r="H6621" s="17" t="s">
        <v>12908</v>
      </c>
      <c r="I6621" s="17"/>
      <c r="J6621" s="17" t="s">
        <v>14018</v>
      </c>
      <c r="K6621" s="17"/>
      <c r="L6621" s="17" t="s">
        <v>14019</v>
      </c>
      <c r="M6621" s="17"/>
      <c r="N6621" s="17" t="s">
        <v>14020</v>
      </c>
      <c r="O6621" s="17"/>
      <c r="P6621" s="17" t="s">
        <v>14040</v>
      </c>
      <c r="Q6621" s="17"/>
      <c r="R6621" s="25" t="str">
        <f t="shared" ref="R6621:R6626" si="18">HYPERLINK("https://ictv.global/taxonomy/taxondetails?taxnode_id=202303301","Begomovirus caricachinaense")</f>
        <v>Begomovirus caricachinaense</v>
      </c>
      <c r="S6621" s="18" t="s">
        <v>30</v>
      </c>
      <c r="T6621" s="18" t="s">
        <v>14881</v>
      </c>
      <c r="U6621" s="18" t="s">
        <v>14882</v>
      </c>
      <c r="V6621" s="18" t="s">
        <v>14883</v>
      </c>
      <c r="W6621" s="18" t="s">
        <v>14884</v>
      </c>
      <c r="X6621" s="18" t="s">
        <v>42</v>
      </c>
      <c r="Y6621" s="18" t="s">
        <v>12266</v>
      </c>
      <c r="Z6621" s="18" t="s">
        <v>13441</v>
      </c>
      <c r="AA6621" s="21" t="str">
        <f>HYPERLINK("https://www.ncbi.nlm.nih.gov/nuccore/AJ558124","NCBI Nucleotide")</f>
        <v>NCBI Nucleotide</v>
      </c>
    </row>
    <row r="6622" spans="1:27" x14ac:dyDescent="0.35">
      <c r="A6622">
        <v>1012553</v>
      </c>
      <c r="B6622">
        <v>6295</v>
      </c>
      <c r="C6622">
        <v>2</v>
      </c>
      <c r="D6622" s="17" t="s">
        <v>10507</v>
      </c>
      <c r="E6622" s="17"/>
      <c r="F6622" s="17" t="s">
        <v>10780</v>
      </c>
      <c r="G6622" s="17"/>
      <c r="H6622" s="17" t="s">
        <v>12908</v>
      </c>
      <c r="I6622" s="17"/>
      <c r="J6622" s="17" t="s">
        <v>14018</v>
      </c>
      <c r="K6622" s="17"/>
      <c r="L6622" s="17" t="s">
        <v>14019</v>
      </c>
      <c r="M6622" s="17"/>
      <c r="N6622" s="17" t="s">
        <v>14020</v>
      </c>
      <c r="O6622" s="17"/>
      <c r="P6622" s="17" t="s">
        <v>14040</v>
      </c>
      <c r="Q6622" s="17"/>
      <c r="R6622" s="25" t="str">
        <f t="shared" si="18"/>
        <v>Begomovirus caricachinaense</v>
      </c>
      <c r="S6622" s="18" t="s">
        <v>8141</v>
      </c>
      <c r="T6622" s="18" t="s">
        <v>14881</v>
      </c>
      <c r="U6622" s="18" t="s">
        <v>14885</v>
      </c>
      <c r="V6622" s="18" t="s">
        <v>14886</v>
      </c>
      <c r="W6622" s="18" t="s">
        <v>49054</v>
      </c>
      <c r="X6622" s="18" t="s">
        <v>42</v>
      </c>
      <c r="Y6622" s="18" t="s">
        <v>12266</v>
      </c>
      <c r="Z6622" s="18" t="s">
        <v>13441</v>
      </c>
      <c r="AA6622" s="21" t="str">
        <f>HYPERLINK("https://www.ncbi.nlm.nih.gov/nuccore/AJ558125","NCBI Nucleotide")</f>
        <v>NCBI Nucleotide</v>
      </c>
    </row>
    <row r="6623" spans="1:27" x14ac:dyDescent="0.35">
      <c r="A6623">
        <v>1012554</v>
      </c>
      <c r="B6623">
        <v>6295</v>
      </c>
      <c r="C6623">
        <v>3</v>
      </c>
      <c r="D6623" s="17" t="s">
        <v>10507</v>
      </c>
      <c r="E6623" s="17"/>
      <c r="F6623" s="17" t="s">
        <v>10780</v>
      </c>
      <c r="G6623" s="17"/>
      <c r="H6623" s="17" t="s">
        <v>12908</v>
      </c>
      <c r="I6623" s="17"/>
      <c r="J6623" s="17" t="s">
        <v>14018</v>
      </c>
      <c r="K6623" s="17"/>
      <c r="L6623" s="17" t="s">
        <v>14019</v>
      </c>
      <c r="M6623" s="17"/>
      <c r="N6623" s="17" t="s">
        <v>14020</v>
      </c>
      <c r="O6623" s="17"/>
      <c r="P6623" s="17" t="s">
        <v>14040</v>
      </c>
      <c r="Q6623" s="17"/>
      <c r="R6623" s="25" t="str">
        <f t="shared" si="18"/>
        <v>Begomovirus caricachinaense</v>
      </c>
      <c r="S6623" s="18" t="s">
        <v>8141</v>
      </c>
      <c r="T6623" s="18" t="s">
        <v>14881</v>
      </c>
      <c r="U6623" s="18" t="s">
        <v>14887</v>
      </c>
      <c r="V6623" s="18" t="s">
        <v>14888</v>
      </c>
      <c r="W6623" s="18" t="s">
        <v>49055</v>
      </c>
      <c r="X6623" s="18" t="s">
        <v>42</v>
      </c>
      <c r="Y6623" s="18" t="s">
        <v>12266</v>
      </c>
      <c r="Z6623" s="18" t="s">
        <v>13441</v>
      </c>
      <c r="AA6623" s="21" t="str">
        <f>HYPERLINK("https://www.ncbi.nlm.nih.gov/nuccore/FN256261","NCBI Nucleotide")</f>
        <v>NCBI Nucleotide</v>
      </c>
    </row>
    <row r="6624" spans="1:27" x14ac:dyDescent="0.35">
      <c r="A6624">
        <v>1012555</v>
      </c>
      <c r="B6624">
        <v>6295</v>
      </c>
      <c r="C6624">
        <v>4</v>
      </c>
      <c r="D6624" s="17" t="s">
        <v>10507</v>
      </c>
      <c r="E6624" s="17"/>
      <c r="F6624" s="17" t="s">
        <v>10780</v>
      </c>
      <c r="G6624" s="17"/>
      <c r="H6624" s="17" t="s">
        <v>12908</v>
      </c>
      <c r="I6624" s="17"/>
      <c r="J6624" s="17" t="s">
        <v>14018</v>
      </c>
      <c r="K6624" s="17"/>
      <c r="L6624" s="17" t="s">
        <v>14019</v>
      </c>
      <c r="M6624" s="17"/>
      <c r="N6624" s="17" t="s">
        <v>14020</v>
      </c>
      <c r="O6624" s="17"/>
      <c r="P6624" s="17" t="s">
        <v>14040</v>
      </c>
      <c r="Q6624" s="17"/>
      <c r="R6624" s="25" t="str">
        <f t="shared" si="18"/>
        <v>Begomovirus caricachinaense</v>
      </c>
      <c r="S6624" s="18" t="s">
        <v>8141</v>
      </c>
      <c r="T6624" s="18" t="s">
        <v>14881</v>
      </c>
      <c r="U6624" s="18" t="s">
        <v>14889</v>
      </c>
      <c r="V6624" s="18" t="s">
        <v>14890</v>
      </c>
      <c r="W6624" s="18" t="s">
        <v>49056</v>
      </c>
      <c r="X6624" s="18" t="s">
        <v>42</v>
      </c>
      <c r="Y6624" s="18" t="s">
        <v>12266</v>
      </c>
      <c r="Z6624" s="18" t="s">
        <v>13441</v>
      </c>
      <c r="AA6624" s="21" t="str">
        <f>HYPERLINK("https://www.ncbi.nlm.nih.gov/nuccore/FN297834","NCBI Nucleotide")</f>
        <v>NCBI Nucleotide</v>
      </c>
    </row>
    <row r="6625" spans="1:27" x14ac:dyDescent="0.35">
      <c r="A6625">
        <v>1012556</v>
      </c>
      <c r="B6625">
        <v>6295</v>
      </c>
      <c r="C6625">
        <v>5</v>
      </c>
      <c r="D6625" s="17" t="s">
        <v>10507</v>
      </c>
      <c r="E6625" s="17"/>
      <c r="F6625" s="17" t="s">
        <v>10780</v>
      </c>
      <c r="G6625" s="17"/>
      <c r="H6625" s="17" t="s">
        <v>12908</v>
      </c>
      <c r="I6625" s="17"/>
      <c r="J6625" s="17" t="s">
        <v>14018</v>
      </c>
      <c r="K6625" s="17"/>
      <c r="L6625" s="17" t="s">
        <v>14019</v>
      </c>
      <c r="M6625" s="17"/>
      <c r="N6625" s="17" t="s">
        <v>14020</v>
      </c>
      <c r="O6625" s="17"/>
      <c r="P6625" s="17" t="s">
        <v>14040</v>
      </c>
      <c r="Q6625" s="17"/>
      <c r="R6625" s="25" t="str">
        <f t="shared" si="18"/>
        <v>Begomovirus caricachinaense</v>
      </c>
      <c r="S6625" s="18" t="s">
        <v>8141</v>
      </c>
      <c r="T6625" s="18" t="s">
        <v>14881</v>
      </c>
      <c r="U6625" s="18" t="s">
        <v>14891</v>
      </c>
      <c r="V6625" s="18" t="s">
        <v>14892</v>
      </c>
      <c r="W6625" s="18" t="s">
        <v>49057</v>
      </c>
      <c r="X6625" s="18" t="s">
        <v>42</v>
      </c>
      <c r="Y6625" s="18" t="s">
        <v>12266</v>
      </c>
      <c r="Z6625" s="18" t="s">
        <v>13441</v>
      </c>
      <c r="AA6625" s="21" t="str">
        <f>HYPERLINK("https://www.ncbi.nlm.nih.gov/nuccore/AJ558117","NCBI Nucleotide")</f>
        <v>NCBI Nucleotide</v>
      </c>
    </row>
    <row r="6626" spans="1:27" x14ac:dyDescent="0.35">
      <c r="A6626">
        <v>1012557</v>
      </c>
      <c r="B6626">
        <v>6295</v>
      </c>
      <c r="C6626">
        <v>6</v>
      </c>
      <c r="D6626" s="17" t="s">
        <v>10507</v>
      </c>
      <c r="E6626" s="17"/>
      <c r="F6626" s="17" t="s">
        <v>10780</v>
      </c>
      <c r="G6626" s="17"/>
      <c r="H6626" s="17" t="s">
        <v>12908</v>
      </c>
      <c r="I6626" s="17"/>
      <c r="J6626" s="17" t="s">
        <v>14018</v>
      </c>
      <c r="K6626" s="17"/>
      <c r="L6626" s="17" t="s">
        <v>14019</v>
      </c>
      <c r="M6626" s="17"/>
      <c r="N6626" s="17" t="s">
        <v>14020</v>
      </c>
      <c r="O6626" s="17"/>
      <c r="P6626" s="17" t="s">
        <v>14040</v>
      </c>
      <c r="Q6626" s="17"/>
      <c r="R6626" s="25" t="str">
        <f t="shared" si="18"/>
        <v>Begomovirus caricachinaense</v>
      </c>
      <c r="S6626" s="18" t="s">
        <v>8141</v>
      </c>
      <c r="T6626" s="18" t="s">
        <v>14881</v>
      </c>
      <c r="U6626" s="18" t="s">
        <v>14893</v>
      </c>
      <c r="V6626" s="18" t="s">
        <v>14894</v>
      </c>
      <c r="W6626" s="18" t="s">
        <v>49058</v>
      </c>
      <c r="X6626" s="18" t="s">
        <v>42</v>
      </c>
      <c r="Y6626" s="18" t="s">
        <v>12266</v>
      </c>
      <c r="Z6626" s="18" t="s">
        <v>13441</v>
      </c>
      <c r="AA6626" s="21" t="str">
        <f>HYPERLINK("https://www.ncbi.nlm.nih.gov/nuccore/GQ373254","NCBI Nucleotide")</f>
        <v>NCBI Nucleotide</v>
      </c>
    </row>
    <row r="6627" spans="1:27" x14ac:dyDescent="0.35">
      <c r="A6627">
        <v>1007772</v>
      </c>
      <c r="B6627">
        <v>6296</v>
      </c>
      <c r="C6627">
        <v>1</v>
      </c>
      <c r="D6627" s="17" t="s">
        <v>10507</v>
      </c>
      <c r="E6627" s="17"/>
      <c r="F6627" s="17" t="s">
        <v>10780</v>
      </c>
      <c r="G6627" s="17"/>
      <c r="H6627" s="17" t="s">
        <v>12908</v>
      </c>
      <c r="I6627" s="17"/>
      <c r="J6627" s="17" t="s">
        <v>14018</v>
      </c>
      <c r="K6627" s="17"/>
      <c r="L6627" s="17" t="s">
        <v>14019</v>
      </c>
      <c r="M6627" s="17"/>
      <c r="N6627" s="17" t="s">
        <v>14020</v>
      </c>
      <c r="O6627" s="17"/>
      <c r="P6627" s="17" t="s">
        <v>14040</v>
      </c>
      <c r="Q6627" s="17"/>
      <c r="R6627" s="25" t="str">
        <f t="shared" ref="R6627:R6640" si="19">HYPERLINK("https://ictv.global/taxonomy/taxondetails?taxnode_id=202303303","Begomovirus caricae")</f>
        <v>Begomovirus caricae</v>
      </c>
      <c r="S6627" s="18" t="s">
        <v>30</v>
      </c>
      <c r="T6627" s="18" t="s">
        <v>14899</v>
      </c>
      <c r="U6627" s="18" t="s">
        <v>14900</v>
      </c>
      <c r="V6627" s="18" t="s">
        <v>14901</v>
      </c>
      <c r="W6627" s="18" t="s">
        <v>41490</v>
      </c>
      <c r="X6627" s="18" t="s">
        <v>42</v>
      </c>
      <c r="Y6627" s="18" t="s">
        <v>12266</v>
      </c>
      <c r="Z6627" s="18" t="s">
        <v>13441</v>
      </c>
      <c r="AA6627" s="21" t="str">
        <f>HYPERLINK("https://www.ncbi.nlm.nih.gov/nuccore/Y15934","NCBI Nucleotide")</f>
        <v>NCBI Nucleotide</v>
      </c>
    </row>
    <row r="6628" spans="1:27" x14ac:dyDescent="0.35">
      <c r="A6628">
        <v>1012558</v>
      </c>
      <c r="B6628">
        <v>6296</v>
      </c>
      <c r="C6628">
        <v>2</v>
      </c>
      <c r="D6628" s="17" t="s">
        <v>10507</v>
      </c>
      <c r="E6628" s="17"/>
      <c r="F6628" s="17" t="s">
        <v>10780</v>
      </c>
      <c r="G6628" s="17"/>
      <c r="H6628" s="17" t="s">
        <v>12908</v>
      </c>
      <c r="I6628" s="17"/>
      <c r="J6628" s="17" t="s">
        <v>14018</v>
      </c>
      <c r="K6628" s="17"/>
      <c r="L6628" s="17" t="s">
        <v>14019</v>
      </c>
      <c r="M6628" s="17"/>
      <c r="N6628" s="17" t="s">
        <v>14020</v>
      </c>
      <c r="O6628" s="17"/>
      <c r="P6628" s="17" t="s">
        <v>14040</v>
      </c>
      <c r="Q6628" s="17"/>
      <c r="R6628" s="25" t="str">
        <f t="shared" si="19"/>
        <v>Begomovirus caricae</v>
      </c>
      <c r="S6628" s="18" t="s">
        <v>8141</v>
      </c>
      <c r="T6628" s="18" t="s">
        <v>14899</v>
      </c>
      <c r="U6628" s="18" t="s">
        <v>14902</v>
      </c>
      <c r="V6628" s="18" t="s">
        <v>14903</v>
      </c>
      <c r="W6628" s="18" t="s">
        <v>49059</v>
      </c>
      <c r="X6628" s="18" t="s">
        <v>42</v>
      </c>
      <c r="Y6628" s="18" t="s">
        <v>12266</v>
      </c>
      <c r="Z6628" s="18" t="s">
        <v>13441</v>
      </c>
      <c r="AA6628" s="21" t="str">
        <f>HYPERLINK("https://www.ncbi.nlm.nih.gov/nuccore/JN817517","NCBI Nucleotide")</f>
        <v>NCBI Nucleotide</v>
      </c>
    </row>
    <row r="6629" spans="1:27" x14ac:dyDescent="0.35">
      <c r="A6629">
        <v>1012559</v>
      </c>
      <c r="B6629">
        <v>6296</v>
      </c>
      <c r="C6629">
        <v>3</v>
      </c>
      <c r="D6629" s="17" t="s">
        <v>10507</v>
      </c>
      <c r="E6629" s="17"/>
      <c r="F6629" s="17" t="s">
        <v>10780</v>
      </c>
      <c r="G6629" s="17"/>
      <c r="H6629" s="17" t="s">
        <v>12908</v>
      </c>
      <c r="I6629" s="17"/>
      <c r="J6629" s="17" t="s">
        <v>14018</v>
      </c>
      <c r="K6629" s="17"/>
      <c r="L6629" s="17" t="s">
        <v>14019</v>
      </c>
      <c r="M6629" s="17"/>
      <c r="N6629" s="17" t="s">
        <v>14020</v>
      </c>
      <c r="O6629" s="17"/>
      <c r="P6629" s="17" t="s">
        <v>14040</v>
      </c>
      <c r="Q6629" s="17"/>
      <c r="R6629" s="25" t="str">
        <f t="shared" si="19"/>
        <v>Begomovirus caricae</v>
      </c>
      <c r="S6629" s="18" t="s">
        <v>8141</v>
      </c>
      <c r="T6629" s="18" t="s">
        <v>14899</v>
      </c>
      <c r="U6629" s="18" t="s">
        <v>14904</v>
      </c>
      <c r="V6629" s="18" t="s">
        <v>14905</v>
      </c>
      <c r="W6629" s="18" t="s">
        <v>49060</v>
      </c>
      <c r="X6629" s="18" t="s">
        <v>42</v>
      </c>
      <c r="Y6629" s="18" t="s">
        <v>12266</v>
      </c>
      <c r="Z6629" s="18" t="s">
        <v>13441</v>
      </c>
      <c r="AA6629" s="21" t="str">
        <f>HYPERLINK("https://www.ncbi.nlm.nih.gov/nuccore/JN135233","NCBI Nucleotide")</f>
        <v>NCBI Nucleotide</v>
      </c>
    </row>
    <row r="6630" spans="1:27" x14ac:dyDescent="0.35">
      <c r="A6630">
        <v>1012560</v>
      </c>
      <c r="B6630">
        <v>6296</v>
      </c>
      <c r="C6630">
        <v>4</v>
      </c>
      <c r="D6630" s="17" t="s">
        <v>10507</v>
      </c>
      <c r="E6630" s="17"/>
      <c r="F6630" s="17" t="s">
        <v>10780</v>
      </c>
      <c r="G6630" s="17"/>
      <c r="H6630" s="17" t="s">
        <v>12908</v>
      </c>
      <c r="I6630" s="17"/>
      <c r="J6630" s="17" t="s">
        <v>14018</v>
      </c>
      <c r="K6630" s="17"/>
      <c r="L6630" s="17" t="s">
        <v>14019</v>
      </c>
      <c r="M6630" s="17"/>
      <c r="N6630" s="17" t="s">
        <v>14020</v>
      </c>
      <c r="O6630" s="17"/>
      <c r="P6630" s="17" t="s">
        <v>14040</v>
      </c>
      <c r="Q6630" s="17"/>
      <c r="R6630" s="25" t="str">
        <f t="shared" si="19"/>
        <v>Begomovirus caricae</v>
      </c>
      <c r="S6630" s="18" t="s">
        <v>8141</v>
      </c>
      <c r="T6630" s="18" t="s">
        <v>14899</v>
      </c>
      <c r="U6630" s="18" t="s">
        <v>14906</v>
      </c>
      <c r="V6630" s="18" t="s">
        <v>14907</v>
      </c>
      <c r="W6630" s="18" t="s">
        <v>49061</v>
      </c>
      <c r="X6630" s="18" t="s">
        <v>42</v>
      </c>
      <c r="Y6630" s="18" t="s">
        <v>12266</v>
      </c>
      <c r="Z6630" s="18" t="s">
        <v>13441</v>
      </c>
      <c r="AA6630" s="21" t="str">
        <f>HYPERLINK("https://www.ncbi.nlm.nih.gov/nuccore/JQ954859","NCBI Nucleotide")</f>
        <v>NCBI Nucleotide</v>
      </c>
    </row>
    <row r="6631" spans="1:27" x14ac:dyDescent="0.35">
      <c r="A6631">
        <v>1012561</v>
      </c>
      <c r="B6631">
        <v>6296</v>
      </c>
      <c r="C6631">
        <v>5</v>
      </c>
      <c r="D6631" s="17" t="s">
        <v>10507</v>
      </c>
      <c r="E6631" s="17"/>
      <c r="F6631" s="17" t="s">
        <v>10780</v>
      </c>
      <c r="G6631" s="17"/>
      <c r="H6631" s="17" t="s">
        <v>12908</v>
      </c>
      <c r="I6631" s="17"/>
      <c r="J6631" s="17" t="s">
        <v>14018</v>
      </c>
      <c r="K6631" s="17"/>
      <c r="L6631" s="17" t="s">
        <v>14019</v>
      </c>
      <c r="M6631" s="17"/>
      <c r="N6631" s="17" t="s">
        <v>14020</v>
      </c>
      <c r="O6631" s="17"/>
      <c r="P6631" s="17" t="s">
        <v>14040</v>
      </c>
      <c r="Q6631" s="17"/>
      <c r="R6631" s="25" t="str">
        <f t="shared" si="19"/>
        <v>Begomovirus caricae</v>
      </c>
      <c r="S6631" s="18" t="s">
        <v>8141</v>
      </c>
      <c r="T6631" s="18" t="s">
        <v>14899</v>
      </c>
      <c r="U6631" s="18" t="s">
        <v>14908</v>
      </c>
      <c r="V6631" s="18" t="s">
        <v>14909</v>
      </c>
      <c r="W6631" s="18" t="s">
        <v>49062</v>
      </c>
      <c r="X6631" s="18" t="s">
        <v>42</v>
      </c>
      <c r="Y6631" s="18" t="s">
        <v>12266</v>
      </c>
      <c r="Z6631" s="18" t="s">
        <v>13441</v>
      </c>
      <c r="AA6631" s="21" t="str">
        <f>HYPERLINK("https://www.ncbi.nlm.nih.gov/nuccore/KF307208","NCBI Nucleotide")</f>
        <v>NCBI Nucleotide</v>
      </c>
    </row>
    <row r="6632" spans="1:27" x14ac:dyDescent="0.35">
      <c r="A6632">
        <v>1012562</v>
      </c>
      <c r="B6632">
        <v>6296</v>
      </c>
      <c r="C6632">
        <v>6</v>
      </c>
      <c r="D6632" s="17" t="s">
        <v>10507</v>
      </c>
      <c r="E6632" s="17"/>
      <c r="F6632" s="17" t="s">
        <v>10780</v>
      </c>
      <c r="G6632" s="17"/>
      <c r="H6632" s="17" t="s">
        <v>12908</v>
      </c>
      <c r="I6632" s="17"/>
      <c r="J6632" s="17" t="s">
        <v>14018</v>
      </c>
      <c r="K6632" s="17"/>
      <c r="L6632" s="17" t="s">
        <v>14019</v>
      </c>
      <c r="M6632" s="17"/>
      <c r="N6632" s="17" t="s">
        <v>14020</v>
      </c>
      <c r="O6632" s="17"/>
      <c r="P6632" s="17" t="s">
        <v>14040</v>
      </c>
      <c r="Q6632" s="17"/>
      <c r="R6632" s="25" t="str">
        <f t="shared" si="19"/>
        <v>Begomovirus caricae</v>
      </c>
      <c r="S6632" s="18" t="s">
        <v>8141</v>
      </c>
      <c r="T6632" s="18" t="s">
        <v>14899</v>
      </c>
      <c r="U6632" s="18" t="s">
        <v>14910</v>
      </c>
      <c r="V6632" s="18" t="s">
        <v>14911</v>
      </c>
      <c r="W6632" s="18" t="s">
        <v>49063</v>
      </c>
      <c r="X6632" s="18" t="s">
        <v>42</v>
      </c>
      <c r="Y6632" s="18" t="s">
        <v>12266</v>
      </c>
      <c r="Z6632" s="18" t="s">
        <v>13441</v>
      </c>
      <c r="AA6632" s="21" t="str">
        <f>HYPERLINK("https://www.ncbi.nlm.nih.gov/nuccore/FJ593629","NCBI Nucleotide")</f>
        <v>NCBI Nucleotide</v>
      </c>
    </row>
    <row r="6633" spans="1:27" x14ac:dyDescent="0.35">
      <c r="A6633">
        <v>1012563</v>
      </c>
      <c r="B6633">
        <v>6296</v>
      </c>
      <c r="C6633">
        <v>7</v>
      </c>
      <c r="D6633" s="17" t="s">
        <v>10507</v>
      </c>
      <c r="E6633" s="17"/>
      <c r="F6633" s="17" t="s">
        <v>10780</v>
      </c>
      <c r="G6633" s="17"/>
      <c r="H6633" s="17" t="s">
        <v>12908</v>
      </c>
      <c r="I6633" s="17"/>
      <c r="J6633" s="17" t="s">
        <v>14018</v>
      </c>
      <c r="K6633" s="17"/>
      <c r="L6633" s="17" t="s">
        <v>14019</v>
      </c>
      <c r="M6633" s="17"/>
      <c r="N6633" s="17" t="s">
        <v>14020</v>
      </c>
      <c r="O6633" s="17"/>
      <c r="P6633" s="17" t="s">
        <v>14040</v>
      </c>
      <c r="Q6633" s="17"/>
      <c r="R6633" s="25" t="str">
        <f t="shared" si="19"/>
        <v>Begomovirus caricae</v>
      </c>
      <c r="S6633" s="18" t="s">
        <v>8141</v>
      </c>
      <c r="T6633" s="18" t="s">
        <v>14899</v>
      </c>
      <c r="U6633" s="18" t="s">
        <v>14912</v>
      </c>
      <c r="V6633" s="18" t="s">
        <v>14913</v>
      </c>
      <c r="W6633" s="18" t="s">
        <v>49064</v>
      </c>
      <c r="X6633" s="18" t="s">
        <v>42</v>
      </c>
      <c r="Y6633" s="18" t="s">
        <v>12266</v>
      </c>
      <c r="Z6633" s="18" t="s">
        <v>13441</v>
      </c>
      <c r="AA6633" s="21" t="str">
        <f>HYPERLINK("https://www.ncbi.nlm.nih.gov/nuccore/FN678906","NCBI Nucleotide")</f>
        <v>NCBI Nucleotide</v>
      </c>
    </row>
    <row r="6634" spans="1:27" x14ac:dyDescent="0.35">
      <c r="A6634">
        <v>1012564</v>
      </c>
      <c r="B6634">
        <v>6296</v>
      </c>
      <c r="C6634">
        <v>8</v>
      </c>
      <c r="D6634" s="17" t="s">
        <v>10507</v>
      </c>
      <c r="E6634" s="17"/>
      <c r="F6634" s="17" t="s">
        <v>10780</v>
      </c>
      <c r="G6634" s="17"/>
      <c r="H6634" s="17" t="s">
        <v>12908</v>
      </c>
      <c r="I6634" s="17"/>
      <c r="J6634" s="17" t="s">
        <v>14018</v>
      </c>
      <c r="K6634" s="17"/>
      <c r="L6634" s="17" t="s">
        <v>14019</v>
      </c>
      <c r="M6634" s="17"/>
      <c r="N6634" s="17" t="s">
        <v>14020</v>
      </c>
      <c r="O6634" s="17"/>
      <c r="P6634" s="17" t="s">
        <v>14040</v>
      </c>
      <c r="Q6634" s="17"/>
      <c r="R6634" s="25" t="str">
        <f t="shared" si="19"/>
        <v>Begomovirus caricae</v>
      </c>
      <c r="S6634" s="18" t="s">
        <v>8141</v>
      </c>
      <c r="T6634" s="18" t="s">
        <v>14899</v>
      </c>
      <c r="U6634" s="18" t="s">
        <v>14914</v>
      </c>
      <c r="V6634" s="18" t="s">
        <v>14915</v>
      </c>
      <c r="W6634" s="18" t="s">
        <v>49065</v>
      </c>
      <c r="X6634" s="18" t="s">
        <v>42</v>
      </c>
      <c r="Y6634" s="18" t="s">
        <v>12266</v>
      </c>
      <c r="Z6634" s="18" t="s">
        <v>13441</v>
      </c>
      <c r="AA6634" s="21" t="str">
        <f>HYPERLINK("https://www.ncbi.nlm.nih.gov/nuccore/AJ436992","NCBI Nucleotide")</f>
        <v>NCBI Nucleotide</v>
      </c>
    </row>
    <row r="6635" spans="1:27" x14ac:dyDescent="0.35">
      <c r="A6635">
        <v>1012565</v>
      </c>
      <c r="B6635">
        <v>6296</v>
      </c>
      <c r="C6635">
        <v>9</v>
      </c>
      <c r="D6635" s="17" t="s">
        <v>10507</v>
      </c>
      <c r="E6635" s="17"/>
      <c r="F6635" s="17" t="s">
        <v>10780</v>
      </c>
      <c r="G6635" s="17"/>
      <c r="H6635" s="17" t="s">
        <v>12908</v>
      </c>
      <c r="I6635" s="17"/>
      <c r="J6635" s="17" t="s">
        <v>14018</v>
      </c>
      <c r="K6635" s="17"/>
      <c r="L6635" s="17" t="s">
        <v>14019</v>
      </c>
      <c r="M6635" s="17"/>
      <c r="N6635" s="17" t="s">
        <v>14020</v>
      </c>
      <c r="O6635" s="17"/>
      <c r="P6635" s="17" t="s">
        <v>14040</v>
      </c>
      <c r="Q6635" s="17"/>
      <c r="R6635" s="25" t="str">
        <f t="shared" si="19"/>
        <v>Begomovirus caricae</v>
      </c>
      <c r="S6635" s="18" t="s">
        <v>8141</v>
      </c>
      <c r="T6635" s="18" t="s">
        <v>14899</v>
      </c>
      <c r="U6635" s="18" t="s">
        <v>14916</v>
      </c>
      <c r="V6635" s="18" t="s">
        <v>14917</v>
      </c>
      <c r="W6635" s="18" t="s">
        <v>49066</v>
      </c>
      <c r="X6635" s="18" t="s">
        <v>42</v>
      </c>
      <c r="Y6635" s="18" t="s">
        <v>12266</v>
      </c>
      <c r="Z6635" s="18" t="s">
        <v>13441</v>
      </c>
      <c r="AA6635" s="21" t="str">
        <f>HYPERLINK("https://www.ncbi.nlm.nih.gov/nuccore/FN543112","NCBI Nucleotide")</f>
        <v>NCBI Nucleotide</v>
      </c>
    </row>
    <row r="6636" spans="1:27" x14ac:dyDescent="0.35">
      <c r="A6636">
        <v>1012566</v>
      </c>
      <c r="B6636">
        <v>6296</v>
      </c>
      <c r="C6636">
        <v>10</v>
      </c>
      <c r="D6636" s="17" t="s">
        <v>10507</v>
      </c>
      <c r="E6636" s="17"/>
      <c r="F6636" s="17" t="s">
        <v>10780</v>
      </c>
      <c r="G6636" s="17"/>
      <c r="H6636" s="17" t="s">
        <v>12908</v>
      </c>
      <c r="I6636" s="17"/>
      <c r="J6636" s="17" t="s">
        <v>14018</v>
      </c>
      <c r="K6636" s="17"/>
      <c r="L6636" s="17" t="s">
        <v>14019</v>
      </c>
      <c r="M6636" s="17"/>
      <c r="N6636" s="17" t="s">
        <v>14020</v>
      </c>
      <c r="O6636" s="17"/>
      <c r="P6636" s="17" t="s">
        <v>14040</v>
      </c>
      <c r="Q6636" s="17"/>
      <c r="R6636" s="25" t="str">
        <f t="shared" si="19"/>
        <v>Begomovirus caricae</v>
      </c>
      <c r="S6636" s="18" t="s">
        <v>8141</v>
      </c>
      <c r="T6636" s="18" t="s">
        <v>14899</v>
      </c>
      <c r="U6636" s="18" t="s">
        <v>14918</v>
      </c>
      <c r="V6636" s="18" t="s">
        <v>14919</v>
      </c>
      <c r="W6636" s="18" t="s">
        <v>49067</v>
      </c>
      <c r="X6636" s="18" t="s">
        <v>42</v>
      </c>
      <c r="Y6636" s="18" t="s">
        <v>12266</v>
      </c>
      <c r="Z6636" s="18" t="s">
        <v>13441</v>
      </c>
      <c r="AA6636" s="21" t="str">
        <f>HYPERLINK("https://www.ncbi.nlm.nih.gov/nuccore/FM955601","NCBI Nucleotide")</f>
        <v>NCBI Nucleotide</v>
      </c>
    </row>
    <row r="6637" spans="1:27" x14ac:dyDescent="0.35">
      <c r="A6637">
        <v>1012567</v>
      </c>
      <c r="B6637">
        <v>6296</v>
      </c>
      <c r="C6637">
        <v>11</v>
      </c>
      <c r="D6637" s="17" t="s">
        <v>10507</v>
      </c>
      <c r="E6637" s="17"/>
      <c r="F6637" s="17" t="s">
        <v>10780</v>
      </c>
      <c r="G6637" s="17"/>
      <c r="H6637" s="17" t="s">
        <v>12908</v>
      </c>
      <c r="I6637" s="17"/>
      <c r="J6637" s="17" t="s">
        <v>14018</v>
      </c>
      <c r="K6637" s="17"/>
      <c r="L6637" s="17" t="s">
        <v>14019</v>
      </c>
      <c r="M6637" s="17"/>
      <c r="N6637" s="17" t="s">
        <v>14020</v>
      </c>
      <c r="O6637" s="17"/>
      <c r="P6637" s="17" t="s">
        <v>14040</v>
      </c>
      <c r="Q6637" s="17"/>
      <c r="R6637" s="25" t="str">
        <f t="shared" si="19"/>
        <v>Begomovirus caricae</v>
      </c>
      <c r="S6637" s="18" t="s">
        <v>8141</v>
      </c>
      <c r="T6637" s="18" t="s">
        <v>14899</v>
      </c>
      <c r="U6637" s="18" t="s">
        <v>14920</v>
      </c>
      <c r="V6637" s="18" t="s">
        <v>14921</v>
      </c>
      <c r="W6637" s="18" t="s">
        <v>49068</v>
      </c>
      <c r="X6637" s="18" t="s">
        <v>42</v>
      </c>
      <c r="Y6637" s="18" t="s">
        <v>12266</v>
      </c>
      <c r="Z6637" s="18" t="s">
        <v>13441</v>
      </c>
      <c r="AA6637" s="21" t="str">
        <f>HYPERLINK("https://www.ncbi.nlm.nih.gov/nuccore/JQ407224","NCBI Nucleotide")</f>
        <v>NCBI Nucleotide</v>
      </c>
    </row>
    <row r="6638" spans="1:27" x14ac:dyDescent="0.35">
      <c r="A6638">
        <v>1012568</v>
      </c>
      <c r="B6638">
        <v>6296</v>
      </c>
      <c r="C6638">
        <v>12</v>
      </c>
      <c r="D6638" s="17" t="s">
        <v>10507</v>
      </c>
      <c r="E6638" s="17"/>
      <c r="F6638" s="17" t="s">
        <v>10780</v>
      </c>
      <c r="G6638" s="17"/>
      <c r="H6638" s="17" t="s">
        <v>12908</v>
      </c>
      <c r="I6638" s="17"/>
      <c r="J6638" s="17" t="s">
        <v>14018</v>
      </c>
      <c r="K6638" s="17"/>
      <c r="L6638" s="17" t="s">
        <v>14019</v>
      </c>
      <c r="M6638" s="17"/>
      <c r="N6638" s="17" t="s">
        <v>14020</v>
      </c>
      <c r="O6638" s="17"/>
      <c r="P6638" s="17" t="s">
        <v>14040</v>
      </c>
      <c r="Q6638" s="17"/>
      <c r="R6638" s="25" t="str">
        <f t="shared" si="19"/>
        <v>Begomovirus caricae</v>
      </c>
      <c r="S6638" s="18" t="s">
        <v>8141</v>
      </c>
      <c r="T6638" s="18" t="s">
        <v>14899</v>
      </c>
      <c r="U6638" s="18" t="s">
        <v>14922</v>
      </c>
      <c r="V6638" s="18" t="s">
        <v>14923</v>
      </c>
      <c r="W6638" s="18" t="s">
        <v>49069</v>
      </c>
      <c r="X6638" s="18" t="s">
        <v>42</v>
      </c>
      <c r="Y6638" s="18" t="s">
        <v>12266</v>
      </c>
      <c r="Z6638" s="18" t="s">
        <v>13441</v>
      </c>
      <c r="AA6638" s="21" t="str">
        <f>HYPERLINK("https://www.ncbi.nlm.nih.gov/nuccore/JN807765","NCBI Nucleotide")</f>
        <v>NCBI Nucleotide</v>
      </c>
    </row>
    <row r="6639" spans="1:27" x14ac:dyDescent="0.35">
      <c r="A6639">
        <v>1012569</v>
      </c>
      <c r="B6639">
        <v>6296</v>
      </c>
      <c r="C6639">
        <v>13</v>
      </c>
      <c r="D6639" s="17" t="s">
        <v>10507</v>
      </c>
      <c r="E6639" s="17"/>
      <c r="F6639" s="17" t="s">
        <v>10780</v>
      </c>
      <c r="G6639" s="17"/>
      <c r="H6639" s="17" t="s">
        <v>12908</v>
      </c>
      <c r="I6639" s="17"/>
      <c r="J6639" s="17" t="s">
        <v>14018</v>
      </c>
      <c r="K6639" s="17"/>
      <c r="L6639" s="17" t="s">
        <v>14019</v>
      </c>
      <c r="M6639" s="17"/>
      <c r="N6639" s="17" t="s">
        <v>14020</v>
      </c>
      <c r="O6639" s="17"/>
      <c r="P6639" s="17" t="s">
        <v>14040</v>
      </c>
      <c r="Q6639" s="17"/>
      <c r="R6639" s="25" t="str">
        <f t="shared" si="19"/>
        <v>Begomovirus caricae</v>
      </c>
      <c r="S6639" s="18" t="s">
        <v>8141</v>
      </c>
      <c r="T6639" s="18" t="s">
        <v>14899</v>
      </c>
      <c r="U6639" s="18" t="s">
        <v>14924</v>
      </c>
      <c r="V6639" s="18" t="s">
        <v>14925</v>
      </c>
      <c r="W6639" s="18" t="s">
        <v>49070</v>
      </c>
      <c r="X6639" s="18" t="s">
        <v>42</v>
      </c>
      <c r="Y6639" s="18" t="s">
        <v>12266</v>
      </c>
      <c r="Z6639" s="18" t="s">
        <v>13441</v>
      </c>
      <c r="AA6639" s="21" t="str">
        <f>HYPERLINK("https://www.ncbi.nlm.nih.gov/nuccore/HM143914","NCBI Nucleotide")</f>
        <v>NCBI Nucleotide</v>
      </c>
    </row>
    <row r="6640" spans="1:27" x14ac:dyDescent="0.35">
      <c r="A6640">
        <v>1012570</v>
      </c>
      <c r="B6640">
        <v>6296</v>
      </c>
      <c r="C6640">
        <v>14</v>
      </c>
      <c r="D6640" s="17" t="s">
        <v>10507</v>
      </c>
      <c r="E6640" s="17"/>
      <c r="F6640" s="17" t="s">
        <v>10780</v>
      </c>
      <c r="G6640" s="17"/>
      <c r="H6640" s="17" t="s">
        <v>12908</v>
      </c>
      <c r="I6640" s="17"/>
      <c r="J6640" s="17" t="s">
        <v>14018</v>
      </c>
      <c r="K6640" s="17"/>
      <c r="L6640" s="17" t="s">
        <v>14019</v>
      </c>
      <c r="M6640" s="17"/>
      <c r="N6640" s="17" t="s">
        <v>14020</v>
      </c>
      <c r="O6640" s="17"/>
      <c r="P6640" s="17" t="s">
        <v>14040</v>
      </c>
      <c r="Q6640" s="17"/>
      <c r="R6640" s="25" t="str">
        <f t="shared" si="19"/>
        <v>Begomovirus caricae</v>
      </c>
      <c r="S6640" s="18" t="s">
        <v>8141</v>
      </c>
      <c r="T6640" s="18" t="s">
        <v>14899</v>
      </c>
      <c r="U6640" s="18" t="s">
        <v>14926</v>
      </c>
      <c r="V6640" s="18" t="s">
        <v>14927</v>
      </c>
      <c r="W6640" s="18" t="s">
        <v>49071</v>
      </c>
      <c r="X6640" s="18" t="s">
        <v>42</v>
      </c>
      <c r="Y6640" s="18" t="s">
        <v>12266</v>
      </c>
      <c r="Z6640" s="18" t="s">
        <v>13441</v>
      </c>
      <c r="AA6640" s="21" t="str">
        <f>HYPERLINK("https://www.ncbi.nlm.nih.gov/nuccore/DQ629102","NCBI Nucleotide")</f>
        <v>NCBI Nucleotide</v>
      </c>
    </row>
    <row r="6641" spans="1:27" x14ac:dyDescent="0.35">
      <c r="A6641">
        <v>1007775</v>
      </c>
      <c r="B6641">
        <v>6297</v>
      </c>
      <c r="C6641">
        <v>1</v>
      </c>
      <c r="D6641" s="17" t="s">
        <v>10507</v>
      </c>
      <c r="E6641" s="17"/>
      <c r="F6641" s="17" t="s">
        <v>10780</v>
      </c>
      <c r="G6641" s="17"/>
      <c r="H6641" s="17" t="s">
        <v>12908</v>
      </c>
      <c r="I6641" s="17"/>
      <c r="J6641" s="17" t="s">
        <v>14018</v>
      </c>
      <c r="K6641" s="17"/>
      <c r="L6641" s="17" t="s">
        <v>14019</v>
      </c>
      <c r="M6641" s="17"/>
      <c r="N6641" s="17" t="s">
        <v>14020</v>
      </c>
      <c r="O6641" s="17"/>
      <c r="P6641" s="17" t="s">
        <v>14040</v>
      </c>
      <c r="Q6641" s="17"/>
      <c r="R6641" s="25" t="str">
        <f>HYPERLINK("https://ictv.global/taxonomy/taxondetails?taxnode_id=202309128","Begomovirus caricaflavi")</f>
        <v>Begomovirus caricaflavi</v>
      </c>
      <c r="S6641" s="18" t="s">
        <v>30</v>
      </c>
      <c r="T6641" s="18" t="s">
        <v>14934</v>
      </c>
      <c r="U6641" s="18" t="s">
        <v>14935</v>
      </c>
      <c r="V6641" s="18" t="s">
        <v>14936</v>
      </c>
      <c r="W6641" s="18" t="s">
        <v>41491</v>
      </c>
      <c r="X6641" s="18" t="s">
        <v>42</v>
      </c>
      <c r="Y6641" s="18" t="s">
        <v>12266</v>
      </c>
      <c r="Z6641" s="18" t="s">
        <v>13441</v>
      </c>
      <c r="AA6641" s="21" t="str">
        <f>HYPERLINK("https://www.ncbi.nlm.nih.gov/nuccore/MH807204","NCBI Nucleotide")</f>
        <v>NCBI Nucleotide</v>
      </c>
    </row>
    <row r="6642" spans="1:27" x14ac:dyDescent="0.35">
      <c r="A6642">
        <v>1007771</v>
      </c>
      <c r="B6642">
        <v>6298</v>
      </c>
      <c r="C6642">
        <v>1</v>
      </c>
      <c r="D6642" s="17" t="s">
        <v>10507</v>
      </c>
      <c r="E6642" s="17"/>
      <c r="F6642" s="17" t="s">
        <v>10780</v>
      </c>
      <c r="G6642" s="17"/>
      <c r="H6642" s="17" t="s">
        <v>12908</v>
      </c>
      <c r="I6642" s="17"/>
      <c r="J6642" s="17" t="s">
        <v>14018</v>
      </c>
      <c r="K6642" s="17"/>
      <c r="L6642" s="17" t="s">
        <v>14019</v>
      </c>
      <c r="M6642" s="17"/>
      <c r="N6642" s="17" t="s">
        <v>14020</v>
      </c>
      <c r="O6642" s="17"/>
      <c r="P6642" s="17" t="s">
        <v>14040</v>
      </c>
      <c r="Q6642" s="17"/>
      <c r="R6642" s="25" t="str">
        <f>HYPERLINK("https://ictv.global/taxonomy/taxondetails?taxnode_id=202303302","Begomovirus caricaguandongense")</f>
        <v>Begomovirus caricaguandongense</v>
      </c>
      <c r="S6642" s="18" t="s">
        <v>30</v>
      </c>
      <c r="T6642" s="18" t="s">
        <v>14895</v>
      </c>
      <c r="U6642" s="18" t="s">
        <v>14896</v>
      </c>
      <c r="V6642" s="18" t="s">
        <v>14897</v>
      </c>
      <c r="W6642" s="18" t="s">
        <v>14898</v>
      </c>
      <c r="X6642" s="18" t="s">
        <v>42</v>
      </c>
      <c r="Y6642" s="18" t="s">
        <v>12266</v>
      </c>
      <c r="Z6642" s="18" t="s">
        <v>13441</v>
      </c>
      <c r="AA6642" s="21" t="str">
        <f>HYPERLINK("https://www.ncbi.nlm.nih.gov/nuccore/AJ558122","NCBI Nucleotide")</f>
        <v>NCBI Nucleotide</v>
      </c>
    </row>
    <row r="6643" spans="1:27" x14ac:dyDescent="0.35">
      <c r="A6643">
        <v>1007773</v>
      </c>
      <c r="B6643">
        <v>6299</v>
      </c>
      <c r="C6643">
        <v>1</v>
      </c>
      <c r="D6643" s="17" t="s">
        <v>10507</v>
      </c>
      <c r="E6643" s="17"/>
      <c r="F6643" s="17" t="s">
        <v>10780</v>
      </c>
      <c r="G6643" s="17"/>
      <c r="H6643" s="17" t="s">
        <v>12908</v>
      </c>
      <c r="I6643" s="17"/>
      <c r="J6643" s="17" t="s">
        <v>14018</v>
      </c>
      <c r="K6643" s="17"/>
      <c r="L6643" s="17" t="s">
        <v>14019</v>
      </c>
      <c r="M6643" s="17"/>
      <c r="N6643" s="17" t="s">
        <v>14020</v>
      </c>
      <c r="O6643" s="17"/>
      <c r="P6643" s="17" t="s">
        <v>14040</v>
      </c>
      <c r="Q6643" s="17"/>
      <c r="R6643" s="25" t="str">
        <f>HYPERLINK("https://ictv.global/taxonomy/taxondetails?taxnode_id=202309126","Begomovirus caricaprimi")</f>
        <v>Begomovirus caricaprimi</v>
      </c>
      <c r="S6643" s="18" t="s">
        <v>30</v>
      </c>
      <c r="T6643" s="18" t="s">
        <v>14928</v>
      </c>
      <c r="U6643" s="18" t="s">
        <v>14929</v>
      </c>
      <c r="V6643" s="18" t="s">
        <v>14930</v>
      </c>
      <c r="W6643" s="18" t="s">
        <v>41492</v>
      </c>
      <c r="X6643" s="18" t="s">
        <v>42</v>
      </c>
      <c r="Y6643" s="18" t="s">
        <v>12266</v>
      </c>
      <c r="Z6643" s="18" t="s">
        <v>13441</v>
      </c>
      <c r="AA6643" s="21" t="str">
        <f>HYPERLINK("https://www.ncbi.nlm.nih.gov/nuccore/MH988457","NCBI Nucleotide")</f>
        <v>NCBI Nucleotide</v>
      </c>
    </row>
    <row r="6644" spans="1:27" x14ac:dyDescent="0.35">
      <c r="A6644">
        <v>1007774</v>
      </c>
      <c r="B6644">
        <v>6300</v>
      </c>
      <c r="C6644">
        <v>1</v>
      </c>
      <c r="D6644" s="17" t="s">
        <v>10507</v>
      </c>
      <c r="E6644" s="17"/>
      <c r="F6644" s="17" t="s">
        <v>10780</v>
      </c>
      <c r="G6644" s="17"/>
      <c r="H6644" s="17" t="s">
        <v>12908</v>
      </c>
      <c r="I6644" s="17"/>
      <c r="J6644" s="17" t="s">
        <v>14018</v>
      </c>
      <c r="K6644" s="17"/>
      <c r="L6644" s="17" t="s">
        <v>14019</v>
      </c>
      <c r="M6644" s="17"/>
      <c r="N6644" s="17" t="s">
        <v>14020</v>
      </c>
      <c r="O6644" s="17"/>
      <c r="P6644" s="17" t="s">
        <v>14040</v>
      </c>
      <c r="Q6644" s="17"/>
      <c r="R6644" s="25" t="str">
        <f>HYPERLINK("https://ictv.global/taxonomy/taxondetails?taxnode_id=202309127","Begomovirus caricasecundi")</f>
        <v>Begomovirus caricasecundi</v>
      </c>
      <c r="S6644" s="18" t="s">
        <v>30</v>
      </c>
      <c r="T6644" s="18" t="s">
        <v>14931</v>
      </c>
      <c r="U6644" s="18" t="s">
        <v>14932</v>
      </c>
      <c r="V6644" s="18" t="s">
        <v>14933</v>
      </c>
      <c r="W6644" s="18" t="s">
        <v>41493</v>
      </c>
      <c r="X6644" s="18" t="s">
        <v>42</v>
      </c>
      <c r="Y6644" s="18" t="s">
        <v>12266</v>
      </c>
      <c r="Z6644" s="18" t="s">
        <v>13441</v>
      </c>
      <c r="AA6644" s="21" t="str">
        <f>HYPERLINK("https://www.ncbi.nlm.nih.gov/nuccore/MH988458","NCBI Nucleotide")</f>
        <v>NCBI Nucleotide</v>
      </c>
    </row>
    <row r="6645" spans="1:27" x14ac:dyDescent="0.35">
      <c r="A6645">
        <v>1007626</v>
      </c>
      <c r="B6645">
        <v>6301</v>
      </c>
      <c r="C6645">
        <v>1</v>
      </c>
      <c r="D6645" s="17" t="s">
        <v>10507</v>
      </c>
      <c r="E6645" s="17"/>
      <c r="F6645" s="17" t="s">
        <v>10780</v>
      </c>
      <c r="G6645" s="17"/>
      <c r="H6645" s="17" t="s">
        <v>12908</v>
      </c>
      <c r="I6645" s="17"/>
      <c r="J6645" s="17" t="s">
        <v>14018</v>
      </c>
      <c r="K6645" s="17"/>
      <c r="L6645" s="17" t="s">
        <v>14019</v>
      </c>
      <c r="M6645" s="17"/>
      <c r="N6645" s="17" t="s">
        <v>14020</v>
      </c>
      <c r="O6645" s="17"/>
      <c r="P6645" s="17" t="s">
        <v>14040</v>
      </c>
      <c r="Q6645" s="17"/>
      <c r="R6645" s="25" t="str">
        <f>HYPERLINK("https://ictv.global/taxonomy/taxondetails?taxnode_id=202303203","Begomovirus catharanthi")</f>
        <v>Begomovirus catharanthi</v>
      </c>
      <c r="S6645" s="18" t="s">
        <v>30</v>
      </c>
      <c r="T6645" s="18" t="s">
        <v>14224</v>
      </c>
      <c r="U6645" s="18" t="s">
        <v>14225</v>
      </c>
      <c r="V6645" s="18" t="s">
        <v>14226</v>
      </c>
      <c r="W6645" s="18" t="s">
        <v>41494</v>
      </c>
      <c r="X6645" s="18" t="s">
        <v>42</v>
      </c>
      <c r="Y6645" s="18" t="s">
        <v>12266</v>
      </c>
      <c r="Z6645" s="18" t="s">
        <v>13441</v>
      </c>
      <c r="AA6645" s="21" t="str">
        <f>HYPERLINK("https://www.ncbi.nlm.nih.gov/nuccore/LK028570","NCBI Nucleotide")</f>
        <v>NCBI Nucleotide</v>
      </c>
    </row>
    <row r="6646" spans="1:27" x14ac:dyDescent="0.35">
      <c r="A6646">
        <v>1007599</v>
      </c>
      <c r="B6646">
        <v>6302</v>
      </c>
      <c r="C6646">
        <v>1</v>
      </c>
      <c r="D6646" s="17" t="s">
        <v>10507</v>
      </c>
      <c r="E6646" s="17"/>
      <c r="F6646" s="17" t="s">
        <v>10780</v>
      </c>
      <c r="G6646" s="17"/>
      <c r="H6646" s="17" t="s">
        <v>12908</v>
      </c>
      <c r="I6646" s="17"/>
      <c r="J6646" s="17" t="s">
        <v>14018</v>
      </c>
      <c r="K6646" s="17"/>
      <c r="L6646" s="17" t="s">
        <v>14019</v>
      </c>
      <c r="M6646" s="17"/>
      <c r="N6646" s="17" t="s">
        <v>14020</v>
      </c>
      <c r="O6646" s="17"/>
      <c r="P6646" s="17" t="s">
        <v>14040</v>
      </c>
      <c r="Q6646" s="17"/>
      <c r="R6646" s="25" t="str">
        <f>HYPERLINK("https://ictv.global/taxonomy/taxondetails?taxnode_id=202305787","Begomovirus catharticae")</f>
        <v>Begomovirus catharticae</v>
      </c>
      <c r="S6646" s="18" t="s">
        <v>30</v>
      </c>
      <c r="T6646" s="18" t="s">
        <v>14113</v>
      </c>
      <c r="U6646" s="18" t="s">
        <v>14114</v>
      </c>
      <c r="V6646" s="18" t="s">
        <v>14115</v>
      </c>
      <c r="W6646" s="18" t="s">
        <v>14116</v>
      </c>
      <c r="X6646" s="18" t="s">
        <v>42</v>
      </c>
      <c r="Y6646" s="18" t="s">
        <v>12266</v>
      </c>
      <c r="Z6646" s="18" t="s">
        <v>13441</v>
      </c>
      <c r="AA6646" s="21" t="str">
        <f>HYPERLINK("https://www.ncbi.nlm.nih.gov/nuccore/KC202818,MG969497","NCBI Nucleotide")</f>
        <v>NCBI Nucleotide</v>
      </c>
    </row>
    <row r="6647" spans="1:27" x14ac:dyDescent="0.35">
      <c r="A6647">
        <v>1007627</v>
      </c>
      <c r="B6647">
        <v>6303</v>
      </c>
      <c r="C6647">
        <v>1</v>
      </c>
      <c r="D6647" s="17" t="s">
        <v>10507</v>
      </c>
      <c r="E6647" s="17"/>
      <c r="F6647" s="17" t="s">
        <v>10780</v>
      </c>
      <c r="G6647" s="17"/>
      <c r="H6647" s="17" t="s">
        <v>12908</v>
      </c>
      <c r="I6647" s="17"/>
      <c r="J6647" s="17" t="s">
        <v>14018</v>
      </c>
      <c r="K6647" s="17"/>
      <c r="L6647" s="17" t="s">
        <v>14019</v>
      </c>
      <c r="M6647" s="17"/>
      <c r="N6647" s="17" t="s">
        <v>14020</v>
      </c>
      <c r="O6647" s="17"/>
      <c r="P6647" s="17" t="s">
        <v>14040</v>
      </c>
      <c r="Q6647" s="17"/>
      <c r="R6647" s="25" t="str">
        <f>HYPERLINK("https://ictv.global/taxonomy/taxondetails?taxnode_id=202303204","Begomovirus centrosemae")</f>
        <v>Begomovirus centrosemae</v>
      </c>
      <c r="S6647" s="18" t="s">
        <v>30</v>
      </c>
      <c r="T6647" s="18" t="s">
        <v>14227</v>
      </c>
      <c r="U6647" s="18" t="s">
        <v>14228</v>
      </c>
      <c r="V6647" s="18" t="s">
        <v>14229</v>
      </c>
      <c r="W6647" s="18" t="s">
        <v>14230</v>
      </c>
      <c r="X6647" s="18" t="s">
        <v>42</v>
      </c>
      <c r="Y6647" s="18" t="s">
        <v>12266</v>
      </c>
      <c r="Z6647" s="18" t="s">
        <v>13441</v>
      </c>
      <c r="AA6647" s="21" t="str">
        <f>HYPERLINK("https://www.ncbi.nlm.nih.gov/nuccore/JN419002","NCBI Nucleotide")</f>
        <v>NCBI Nucleotide</v>
      </c>
    </row>
    <row r="6648" spans="1:27" x14ac:dyDescent="0.35">
      <c r="A6648">
        <v>1007628</v>
      </c>
      <c r="B6648">
        <v>6304</v>
      </c>
      <c r="C6648">
        <v>1</v>
      </c>
      <c r="D6648" s="17" t="s">
        <v>10507</v>
      </c>
      <c r="E6648" s="17"/>
      <c r="F6648" s="17" t="s">
        <v>10780</v>
      </c>
      <c r="G6648" s="17"/>
      <c r="H6648" s="17" t="s">
        <v>12908</v>
      </c>
      <c r="I6648" s="17"/>
      <c r="J6648" s="17" t="s">
        <v>14018</v>
      </c>
      <c r="K6648" s="17"/>
      <c r="L6648" s="17" t="s">
        <v>14019</v>
      </c>
      <c r="M6648" s="17"/>
      <c r="N6648" s="17" t="s">
        <v>14020</v>
      </c>
      <c r="O6648" s="17"/>
      <c r="P6648" s="17" t="s">
        <v>14040</v>
      </c>
      <c r="Q6648" s="17"/>
      <c r="R6648" s="25" t="str">
        <f>HYPERLINK("https://ictv.global/taxonomy/taxondetails?taxnode_id=202303205","Begomovirus chayotis")</f>
        <v>Begomovirus chayotis</v>
      </c>
      <c r="S6648" s="18" t="s">
        <v>30</v>
      </c>
      <c r="T6648" s="18" t="s">
        <v>14231</v>
      </c>
      <c r="U6648" s="18" t="s">
        <v>14232</v>
      </c>
      <c r="V6648" s="18" t="s">
        <v>14233</v>
      </c>
      <c r="W6648" s="18" t="s">
        <v>14234</v>
      </c>
      <c r="X6648" s="18" t="s">
        <v>42</v>
      </c>
      <c r="Y6648" s="18" t="s">
        <v>12266</v>
      </c>
      <c r="Z6648" s="18" t="s">
        <v>13441</v>
      </c>
      <c r="AA6648" s="21" t="str">
        <f>HYPERLINK("https://www.ncbi.nlm.nih.gov/nuccore/AJ223191","NCBI Nucleotide")</f>
        <v>NCBI Nucleotide</v>
      </c>
    </row>
    <row r="6649" spans="1:27" x14ac:dyDescent="0.35">
      <c r="A6649">
        <v>1007629</v>
      </c>
      <c r="B6649">
        <v>6305</v>
      </c>
      <c r="C6649">
        <v>1</v>
      </c>
      <c r="D6649" s="17" t="s">
        <v>10507</v>
      </c>
      <c r="E6649" s="17"/>
      <c r="F6649" s="17" t="s">
        <v>10780</v>
      </c>
      <c r="G6649" s="17"/>
      <c r="H6649" s="17" t="s">
        <v>12908</v>
      </c>
      <c r="I6649" s="17"/>
      <c r="J6649" s="17" t="s">
        <v>14018</v>
      </c>
      <c r="K6649" s="17"/>
      <c r="L6649" s="17" t="s">
        <v>14019</v>
      </c>
      <c r="M6649" s="17"/>
      <c r="N6649" s="17" t="s">
        <v>14020</v>
      </c>
      <c r="O6649" s="17"/>
      <c r="P6649" s="17" t="s">
        <v>14040</v>
      </c>
      <c r="Q6649" s="17"/>
      <c r="R6649" s="25" t="str">
        <f>HYPERLINK("https://ictv.global/taxonomy/taxondetails?taxnode_id=202303206","Begomovirus chenopodii")</f>
        <v>Begomovirus chenopodii</v>
      </c>
      <c r="S6649" s="18" t="s">
        <v>30</v>
      </c>
      <c r="T6649" s="18" t="s">
        <v>14235</v>
      </c>
      <c r="U6649" s="18" t="s">
        <v>14236</v>
      </c>
      <c r="V6649" s="18" t="s">
        <v>14237</v>
      </c>
      <c r="W6649" s="18" t="s">
        <v>41495</v>
      </c>
      <c r="X6649" s="18" t="s">
        <v>42</v>
      </c>
      <c r="Y6649" s="18" t="s">
        <v>12266</v>
      </c>
      <c r="Z6649" s="18" t="s">
        <v>13441</v>
      </c>
      <c r="AA6649" s="21" t="str">
        <f>HYPERLINK("https://www.ncbi.nlm.nih.gov/nuccore/HM626515","NCBI Nucleotide")</f>
        <v>NCBI Nucleotide</v>
      </c>
    </row>
    <row r="6650" spans="1:27" x14ac:dyDescent="0.35">
      <c r="A6650">
        <v>1007637</v>
      </c>
      <c r="B6650">
        <v>6306</v>
      </c>
      <c r="C6650">
        <v>1</v>
      </c>
      <c r="D6650" s="17" t="s">
        <v>10507</v>
      </c>
      <c r="E6650" s="17"/>
      <c r="F6650" s="17" t="s">
        <v>10780</v>
      </c>
      <c r="G6650" s="17"/>
      <c r="H6650" s="17" t="s">
        <v>12908</v>
      </c>
      <c r="I6650" s="17"/>
      <c r="J6650" s="17" t="s">
        <v>14018</v>
      </c>
      <c r="K6650" s="17"/>
      <c r="L6650" s="17" t="s">
        <v>14019</v>
      </c>
      <c r="M6650" s="17"/>
      <c r="N6650" s="17" t="s">
        <v>14020</v>
      </c>
      <c r="O6650" s="17"/>
      <c r="P6650" s="17" t="s">
        <v>14040</v>
      </c>
      <c r="Q6650" s="17"/>
      <c r="R6650" s="25" t="str">
        <f t="shared" ref="R6650:R6655" si="20">HYPERLINK("https://ictv.global/taxonomy/taxondetails?taxnode_id=202303210","Begomovirus chillicapsici")</f>
        <v>Begomovirus chillicapsici</v>
      </c>
      <c r="S6650" s="18" t="s">
        <v>30</v>
      </c>
      <c r="T6650" s="18" t="s">
        <v>14262</v>
      </c>
      <c r="U6650" s="18" t="s">
        <v>14263</v>
      </c>
      <c r="V6650" s="18" t="s">
        <v>14264</v>
      </c>
      <c r="W6650" s="18" t="s">
        <v>14265</v>
      </c>
      <c r="X6650" s="18" t="s">
        <v>42</v>
      </c>
      <c r="Y6650" s="18" t="s">
        <v>12266</v>
      </c>
      <c r="Z6650" s="18" t="s">
        <v>13441</v>
      </c>
      <c r="AA6650" s="21" t="str">
        <f>HYPERLINK("https://www.ncbi.nlm.nih.gov/nuccore/AF336806","NCBI Nucleotide")</f>
        <v>NCBI Nucleotide</v>
      </c>
    </row>
    <row r="6651" spans="1:27" x14ac:dyDescent="0.35">
      <c r="A6651">
        <v>1012486</v>
      </c>
      <c r="B6651">
        <v>6306</v>
      </c>
      <c r="C6651">
        <v>2</v>
      </c>
      <c r="D6651" s="17" t="s">
        <v>10507</v>
      </c>
      <c r="E6651" s="17"/>
      <c r="F6651" s="17" t="s">
        <v>10780</v>
      </c>
      <c r="G6651" s="17"/>
      <c r="H6651" s="17" t="s">
        <v>12908</v>
      </c>
      <c r="I6651" s="17"/>
      <c r="J6651" s="17" t="s">
        <v>14018</v>
      </c>
      <c r="K6651" s="17"/>
      <c r="L6651" s="17" t="s">
        <v>14019</v>
      </c>
      <c r="M6651" s="17"/>
      <c r="N6651" s="17" t="s">
        <v>14020</v>
      </c>
      <c r="O6651" s="17"/>
      <c r="P6651" s="17" t="s">
        <v>14040</v>
      </c>
      <c r="Q6651" s="17"/>
      <c r="R6651" s="25" t="str">
        <f t="shared" si="20"/>
        <v>Begomovirus chillicapsici</v>
      </c>
      <c r="S6651" s="18" t="s">
        <v>8141</v>
      </c>
      <c r="T6651" s="18" t="s">
        <v>14262</v>
      </c>
      <c r="U6651" s="18" t="s">
        <v>14266</v>
      </c>
      <c r="V6651" s="18" t="s">
        <v>14267</v>
      </c>
      <c r="W6651" s="18" t="s">
        <v>49072</v>
      </c>
      <c r="X6651" s="18" t="s">
        <v>42</v>
      </c>
      <c r="Y6651" s="18" t="s">
        <v>12266</v>
      </c>
      <c r="Z6651" s="18" t="s">
        <v>13441</v>
      </c>
      <c r="AA6651" s="21" t="str">
        <f>HYPERLINK("https://www.ncbi.nlm.nih.gov/nuccore/GU136803","NCBI Nucleotide")</f>
        <v>NCBI Nucleotide</v>
      </c>
    </row>
    <row r="6652" spans="1:27" x14ac:dyDescent="0.35">
      <c r="A6652">
        <v>1012487</v>
      </c>
      <c r="B6652">
        <v>6306</v>
      </c>
      <c r="C6652">
        <v>3</v>
      </c>
      <c r="D6652" s="17" t="s">
        <v>10507</v>
      </c>
      <c r="E6652" s="17"/>
      <c r="F6652" s="17" t="s">
        <v>10780</v>
      </c>
      <c r="G6652" s="17"/>
      <c r="H6652" s="17" t="s">
        <v>12908</v>
      </c>
      <c r="I6652" s="17"/>
      <c r="J6652" s="17" t="s">
        <v>14018</v>
      </c>
      <c r="K6652" s="17"/>
      <c r="L6652" s="17" t="s">
        <v>14019</v>
      </c>
      <c r="M6652" s="17"/>
      <c r="N6652" s="17" t="s">
        <v>14020</v>
      </c>
      <c r="O6652" s="17"/>
      <c r="P6652" s="17" t="s">
        <v>14040</v>
      </c>
      <c r="Q6652" s="17"/>
      <c r="R6652" s="25" t="str">
        <f t="shared" si="20"/>
        <v>Begomovirus chillicapsici</v>
      </c>
      <c r="S6652" s="18" t="s">
        <v>8141</v>
      </c>
      <c r="T6652" s="18" t="s">
        <v>14262</v>
      </c>
      <c r="U6652" s="18" t="s">
        <v>14268</v>
      </c>
      <c r="V6652" s="18" t="s">
        <v>14269</v>
      </c>
      <c r="W6652" s="18" t="s">
        <v>49073</v>
      </c>
      <c r="X6652" s="18" t="s">
        <v>42</v>
      </c>
      <c r="Y6652" s="18" t="s">
        <v>12266</v>
      </c>
      <c r="Z6652" s="18" t="s">
        <v>13441</v>
      </c>
      <c r="AA6652" s="21" t="str">
        <f>HYPERLINK("https://www.ncbi.nlm.nih.gov/nuccore/AJ875159","NCBI Nucleotide")</f>
        <v>NCBI Nucleotide</v>
      </c>
    </row>
    <row r="6653" spans="1:27" x14ac:dyDescent="0.35">
      <c r="A6653">
        <v>1012488</v>
      </c>
      <c r="B6653">
        <v>6306</v>
      </c>
      <c r="C6653">
        <v>4</v>
      </c>
      <c r="D6653" s="17" t="s">
        <v>10507</v>
      </c>
      <c r="E6653" s="17"/>
      <c r="F6653" s="17" t="s">
        <v>10780</v>
      </c>
      <c r="G6653" s="17"/>
      <c r="H6653" s="17" t="s">
        <v>12908</v>
      </c>
      <c r="I6653" s="17"/>
      <c r="J6653" s="17" t="s">
        <v>14018</v>
      </c>
      <c r="K6653" s="17"/>
      <c r="L6653" s="17" t="s">
        <v>14019</v>
      </c>
      <c r="M6653" s="17"/>
      <c r="N6653" s="17" t="s">
        <v>14020</v>
      </c>
      <c r="O6653" s="17"/>
      <c r="P6653" s="17" t="s">
        <v>14040</v>
      </c>
      <c r="Q6653" s="17"/>
      <c r="R6653" s="25" t="str">
        <f t="shared" si="20"/>
        <v>Begomovirus chillicapsici</v>
      </c>
      <c r="S6653" s="18" t="s">
        <v>8141</v>
      </c>
      <c r="T6653" s="18" t="s">
        <v>14262</v>
      </c>
      <c r="U6653" s="18" t="s">
        <v>14270</v>
      </c>
      <c r="V6653" s="18" t="s">
        <v>14271</v>
      </c>
      <c r="W6653" s="18" t="s">
        <v>49074</v>
      </c>
      <c r="X6653" s="18" t="s">
        <v>42</v>
      </c>
      <c r="Y6653" s="18" t="s">
        <v>12266</v>
      </c>
      <c r="Z6653" s="18" t="s">
        <v>13441</v>
      </c>
      <c r="AA6653" s="21" t="str">
        <f>HYPERLINK("https://www.ncbi.nlm.nih.gov/nuccore/DQ673859","NCBI Nucleotide")</f>
        <v>NCBI Nucleotide</v>
      </c>
    </row>
    <row r="6654" spans="1:27" x14ac:dyDescent="0.35">
      <c r="A6654">
        <v>1012489</v>
      </c>
      <c r="B6654">
        <v>6306</v>
      </c>
      <c r="C6654">
        <v>5</v>
      </c>
      <c r="D6654" s="17" t="s">
        <v>10507</v>
      </c>
      <c r="E6654" s="17"/>
      <c r="F6654" s="17" t="s">
        <v>10780</v>
      </c>
      <c r="G6654" s="17"/>
      <c r="H6654" s="17" t="s">
        <v>12908</v>
      </c>
      <c r="I6654" s="17"/>
      <c r="J6654" s="17" t="s">
        <v>14018</v>
      </c>
      <c r="K6654" s="17"/>
      <c r="L6654" s="17" t="s">
        <v>14019</v>
      </c>
      <c r="M6654" s="17"/>
      <c r="N6654" s="17" t="s">
        <v>14020</v>
      </c>
      <c r="O6654" s="17"/>
      <c r="P6654" s="17" t="s">
        <v>14040</v>
      </c>
      <c r="Q6654" s="17"/>
      <c r="R6654" s="25" t="str">
        <f t="shared" si="20"/>
        <v>Begomovirus chillicapsici</v>
      </c>
      <c r="S6654" s="18" t="s">
        <v>8141</v>
      </c>
      <c r="T6654" s="18" t="s">
        <v>14262</v>
      </c>
      <c r="U6654" s="18" t="s">
        <v>14272</v>
      </c>
      <c r="V6654" s="18" t="s">
        <v>14273</v>
      </c>
      <c r="W6654" s="18" t="s">
        <v>49075</v>
      </c>
      <c r="X6654" s="18" t="s">
        <v>42</v>
      </c>
      <c r="Y6654" s="18" t="s">
        <v>12266</v>
      </c>
      <c r="Z6654" s="18" t="s">
        <v>13441</v>
      </c>
      <c r="AA6654" s="21" t="str">
        <f>HYPERLINK("https://www.ncbi.nlm.nih.gov/nuccore/FJ345402","NCBI Nucleotide")</f>
        <v>NCBI Nucleotide</v>
      </c>
    </row>
    <row r="6655" spans="1:27" x14ac:dyDescent="0.35">
      <c r="A6655">
        <v>1012490</v>
      </c>
      <c r="B6655">
        <v>6306</v>
      </c>
      <c r="C6655">
        <v>6</v>
      </c>
      <c r="D6655" s="17" t="s">
        <v>10507</v>
      </c>
      <c r="E6655" s="17"/>
      <c r="F6655" s="17" t="s">
        <v>10780</v>
      </c>
      <c r="G6655" s="17"/>
      <c r="H6655" s="17" t="s">
        <v>12908</v>
      </c>
      <c r="I6655" s="17"/>
      <c r="J6655" s="17" t="s">
        <v>14018</v>
      </c>
      <c r="K6655" s="17"/>
      <c r="L6655" s="17" t="s">
        <v>14019</v>
      </c>
      <c r="M6655" s="17"/>
      <c r="N6655" s="17" t="s">
        <v>14020</v>
      </c>
      <c r="O6655" s="17"/>
      <c r="P6655" s="17" t="s">
        <v>14040</v>
      </c>
      <c r="Q6655" s="17"/>
      <c r="R6655" s="25" t="str">
        <f t="shared" si="20"/>
        <v>Begomovirus chillicapsici</v>
      </c>
      <c r="S6655" s="18" t="s">
        <v>8141</v>
      </c>
      <c r="T6655" s="18" t="s">
        <v>14262</v>
      </c>
      <c r="U6655" s="18" t="s">
        <v>14274</v>
      </c>
      <c r="V6655" s="18" t="s">
        <v>14275</v>
      </c>
      <c r="W6655" s="18" t="s">
        <v>49076</v>
      </c>
      <c r="X6655" s="18" t="s">
        <v>42</v>
      </c>
      <c r="Y6655" s="18" t="s">
        <v>12266</v>
      </c>
      <c r="Z6655" s="18" t="s">
        <v>13441</v>
      </c>
      <c r="AA6655" s="21" t="str">
        <f>HYPERLINK("https://www.ncbi.nlm.nih.gov/nuccore/DQ116878","NCBI Nucleotide")</f>
        <v>NCBI Nucleotide</v>
      </c>
    </row>
    <row r="6656" spans="1:27" x14ac:dyDescent="0.35">
      <c r="A6656">
        <v>1007750</v>
      </c>
      <c r="B6656">
        <v>6307</v>
      </c>
      <c r="C6656">
        <v>1</v>
      </c>
      <c r="D6656" s="17" t="s">
        <v>10507</v>
      </c>
      <c r="E6656" s="17"/>
      <c r="F6656" s="17" t="s">
        <v>10780</v>
      </c>
      <c r="G6656" s="17"/>
      <c r="H6656" s="17" t="s">
        <v>12908</v>
      </c>
      <c r="I6656" s="17"/>
      <c r="J6656" s="17" t="s">
        <v>14018</v>
      </c>
      <c r="K6656" s="17"/>
      <c r="L6656" s="17" t="s">
        <v>14019</v>
      </c>
      <c r="M6656" s="17"/>
      <c r="N6656" s="17" t="s">
        <v>14020</v>
      </c>
      <c r="O6656" s="17"/>
      <c r="P6656" s="17" t="s">
        <v>14040</v>
      </c>
      <c r="Q6656" s="17"/>
      <c r="R6656" s="25" t="str">
        <f>HYPERLINK("https://ictv.global/taxonomy/taxondetails?taxnode_id=202303287","Begomovirus chlorocucumis")</f>
        <v>Begomovirus chlorocucumis</v>
      </c>
      <c r="S6656" s="18" t="s">
        <v>30</v>
      </c>
      <c r="T6656" s="18" t="s">
        <v>14799</v>
      </c>
      <c r="U6656" s="18" t="s">
        <v>14800</v>
      </c>
      <c r="V6656" s="18" t="s">
        <v>14801</v>
      </c>
      <c r="W6656" s="18" t="s">
        <v>50462</v>
      </c>
      <c r="X6656" s="18" t="s">
        <v>42</v>
      </c>
      <c r="Y6656" s="18" t="s">
        <v>12266</v>
      </c>
      <c r="Z6656" s="18" t="s">
        <v>13441</v>
      </c>
      <c r="AA6656" s="21" t="str">
        <f>HYPERLINK("https://www.ncbi.nlm.nih.gov/nuccore/AY064391,AF440790","NCBI Nucleotide")</f>
        <v>NCBI Nucleotide</v>
      </c>
    </row>
    <row r="6657" spans="1:27" x14ac:dyDescent="0.35">
      <c r="A6657">
        <v>1012548</v>
      </c>
      <c r="B6657">
        <v>6307</v>
      </c>
      <c r="C6657">
        <v>2</v>
      </c>
      <c r="D6657" s="17" t="s">
        <v>10507</v>
      </c>
      <c r="E6657" s="17"/>
      <c r="F6657" s="17" t="s">
        <v>10780</v>
      </c>
      <c r="G6657" s="17"/>
      <c r="H6657" s="17" t="s">
        <v>12908</v>
      </c>
      <c r="I6657" s="17"/>
      <c r="J6657" s="17" t="s">
        <v>14018</v>
      </c>
      <c r="K6657" s="17"/>
      <c r="L6657" s="17" t="s">
        <v>14019</v>
      </c>
      <c r="M6657" s="17"/>
      <c r="N6657" s="17" t="s">
        <v>14020</v>
      </c>
      <c r="O6657" s="17"/>
      <c r="P6657" s="17" t="s">
        <v>14040</v>
      </c>
      <c r="Q6657" s="17"/>
      <c r="R6657" s="25" t="str">
        <f>HYPERLINK("https://ictv.global/taxonomy/taxondetails?taxnode_id=202303287","Begomovirus chlorocucumis")</f>
        <v>Begomovirus chlorocucumis</v>
      </c>
      <c r="S6657" s="18" t="s">
        <v>8141</v>
      </c>
      <c r="T6657" s="18" t="s">
        <v>14799</v>
      </c>
      <c r="U6657" s="18" t="s">
        <v>14802</v>
      </c>
      <c r="V6657" s="18" t="s">
        <v>14803</v>
      </c>
      <c r="W6657" s="18" t="s">
        <v>49077</v>
      </c>
      <c r="X6657" s="18" t="s">
        <v>154</v>
      </c>
      <c r="Y6657" s="18" t="s">
        <v>12266</v>
      </c>
      <c r="Z6657" s="18" t="s">
        <v>13441</v>
      </c>
      <c r="AA6657" s="21" t="str">
        <f>HYPERLINK("https://www.ncbi.nlm.nih.gov/nuccore/KC153490","NCBI Nucleotide")</f>
        <v>NCBI Nucleotide</v>
      </c>
    </row>
    <row r="6658" spans="1:27" x14ac:dyDescent="0.35">
      <c r="A6658">
        <v>1012549</v>
      </c>
      <c r="B6658">
        <v>6307</v>
      </c>
      <c r="C6658">
        <v>3</v>
      </c>
      <c r="D6658" s="17" t="s">
        <v>10507</v>
      </c>
      <c r="E6658" s="17"/>
      <c r="F6658" s="17" t="s">
        <v>10780</v>
      </c>
      <c r="G6658" s="17"/>
      <c r="H6658" s="17" t="s">
        <v>12908</v>
      </c>
      <c r="I6658" s="17"/>
      <c r="J6658" s="17" t="s">
        <v>14018</v>
      </c>
      <c r="K6658" s="17"/>
      <c r="L6658" s="17" t="s">
        <v>14019</v>
      </c>
      <c r="M6658" s="17"/>
      <c r="N6658" s="17" t="s">
        <v>14020</v>
      </c>
      <c r="O6658" s="17"/>
      <c r="P6658" s="17" t="s">
        <v>14040</v>
      </c>
      <c r="Q6658" s="17"/>
      <c r="R6658" s="25" t="str">
        <f>HYPERLINK("https://ictv.global/taxonomy/taxondetails?taxnode_id=202303287","Begomovirus chlorocucumis")</f>
        <v>Begomovirus chlorocucumis</v>
      </c>
      <c r="S6658" s="18" t="s">
        <v>8141</v>
      </c>
      <c r="T6658" s="18" t="s">
        <v>14799</v>
      </c>
      <c r="U6658" s="18" t="s">
        <v>14804</v>
      </c>
      <c r="V6658" s="18" t="s">
        <v>14805</v>
      </c>
      <c r="W6658" s="18" t="s">
        <v>49078</v>
      </c>
      <c r="X6658" s="18" t="s">
        <v>42</v>
      </c>
      <c r="Y6658" s="18" t="s">
        <v>12266</v>
      </c>
      <c r="Z6658" s="18" t="s">
        <v>13441</v>
      </c>
      <c r="AA6658" s="21" t="str">
        <f>HYPERLINK("https://www.ncbi.nlm.nih.gov/nuccore/AF325497,AF325498","NCBI Nucleotide")</f>
        <v>NCBI Nucleotide</v>
      </c>
    </row>
    <row r="6659" spans="1:27" x14ac:dyDescent="0.35">
      <c r="A6659">
        <v>1008019</v>
      </c>
      <c r="B6659">
        <v>6308</v>
      </c>
      <c r="C6659">
        <v>1</v>
      </c>
      <c r="D6659" s="17" t="s">
        <v>10507</v>
      </c>
      <c r="E6659" s="17"/>
      <c r="F6659" s="17" t="s">
        <v>10780</v>
      </c>
      <c r="G6659" s="17"/>
      <c r="H6659" s="17" t="s">
        <v>12908</v>
      </c>
      <c r="I6659" s="17"/>
      <c r="J6659" s="17" t="s">
        <v>14018</v>
      </c>
      <c r="K6659" s="17"/>
      <c r="L6659" s="17" t="s">
        <v>14019</v>
      </c>
      <c r="M6659" s="17"/>
      <c r="N6659" s="17" t="s">
        <v>14020</v>
      </c>
      <c r="O6659" s="17"/>
      <c r="P6659" s="17" t="s">
        <v>14040</v>
      </c>
      <c r="Q6659" s="17"/>
      <c r="R6659" s="25" t="str">
        <f>HYPERLINK("https://ictv.global/taxonomy/taxondetails?taxnode_id=202303493","Begomovirus citrulli")</f>
        <v>Begomovirus citrulli</v>
      </c>
      <c r="S6659" s="18" t="s">
        <v>30</v>
      </c>
      <c r="T6659" s="18" t="s">
        <v>15944</v>
      </c>
      <c r="U6659" s="18" t="s">
        <v>15945</v>
      </c>
      <c r="V6659" s="18" t="s">
        <v>15946</v>
      </c>
      <c r="W6659" s="18" t="s">
        <v>15947</v>
      </c>
      <c r="X6659" s="18" t="s">
        <v>42</v>
      </c>
      <c r="Y6659" s="18" t="s">
        <v>12266</v>
      </c>
      <c r="Z6659" s="18" t="s">
        <v>13441</v>
      </c>
      <c r="AA6659" s="21" t="str">
        <f>HYPERLINK("https://www.ncbi.nlm.nih.gov/nuccore/AJ012081,AJ012082","NCBI Nucleotide")</f>
        <v>NCBI Nucleotide</v>
      </c>
    </row>
    <row r="6660" spans="1:27" x14ac:dyDescent="0.35">
      <c r="A6660">
        <v>1007640</v>
      </c>
      <c r="B6660">
        <v>6309</v>
      </c>
      <c r="C6660">
        <v>1</v>
      </c>
      <c r="D6660" s="17" t="s">
        <v>10507</v>
      </c>
      <c r="E6660" s="17"/>
      <c r="F6660" s="17" t="s">
        <v>10780</v>
      </c>
      <c r="G6660" s="17"/>
      <c r="H6660" s="17" t="s">
        <v>12908</v>
      </c>
      <c r="I6660" s="17"/>
      <c r="J6660" s="17" t="s">
        <v>14018</v>
      </c>
      <c r="K6660" s="17"/>
      <c r="L6660" s="17" t="s">
        <v>14019</v>
      </c>
      <c r="M6660" s="17"/>
      <c r="N6660" s="17" t="s">
        <v>14020</v>
      </c>
      <c r="O6660" s="17"/>
      <c r="P6660" s="17" t="s">
        <v>14040</v>
      </c>
      <c r="Q6660" s="17"/>
      <c r="R6660" s="25" t="str">
        <f>HYPERLINK("https://ictv.global/taxonomy/taxondetails?taxnode_id=202303213","Begomovirus cleomaurei")</f>
        <v>Begomovirus cleomaurei</v>
      </c>
      <c r="S6660" s="18" t="s">
        <v>30</v>
      </c>
      <c r="T6660" s="18" t="s">
        <v>14288</v>
      </c>
      <c r="U6660" s="18" t="s">
        <v>14289</v>
      </c>
      <c r="V6660" s="18" t="s">
        <v>14290</v>
      </c>
      <c r="W6660" s="18" t="s">
        <v>14291</v>
      </c>
      <c r="X6660" s="18" t="s">
        <v>42</v>
      </c>
      <c r="Y6660" s="18" t="s">
        <v>12266</v>
      </c>
      <c r="Z6660" s="18" t="s">
        <v>13441</v>
      </c>
      <c r="AA6660" s="21" t="str">
        <f>HYPERLINK("https://www.ncbi.nlm.nih.gov/nuccore/HQ396465","NCBI Nucleotide")</f>
        <v>NCBI Nucleotide</v>
      </c>
    </row>
    <row r="6661" spans="1:27" x14ac:dyDescent="0.35">
      <c r="A6661">
        <v>1007641</v>
      </c>
      <c r="B6661">
        <v>6310</v>
      </c>
      <c r="C6661">
        <v>1</v>
      </c>
      <c r="D6661" s="17" t="s">
        <v>10507</v>
      </c>
      <c r="E6661" s="17"/>
      <c r="F6661" s="17" t="s">
        <v>10780</v>
      </c>
      <c r="G6661" s="17"/>
      <c r="H6661" s="17" t="s">
        <v>12908</v>
      </c>
      <c r="I6661" s="17"/>
      <c r="J6661" s="17" t="s">
        <v>14018</v>
      </c>
      <c r="K6661" s="17"/>
      <c r="L6661" s="17" t="s">
        <v>14019</v>
      </c>
      <c r="M6661" s="17"/>
      <c r="N6661" s="17" t="s">
        <v>14020</v>
      </c>
      <c r="O6661" s="17"/>
      <c r="P6661" s="17" t="s">
        <v>14040</v>
      </c>
      <c r="Q6661" s="17"/>
      <c r="R6661" s="25" t="str">
        <f>HYPERLINK("https://ictv.global/taxonomy/taxondetails?taxnode_id=202303214","Begomovirus cleomecrispi")</f>
        <v>Begomovirus cleomecrispi</v>
      </c>
      <c r="S6661" s="18" t="s">
        <v>30</v>
      </c>
      <c r="T6661" s="18" t="s">
        <v>14292</v>
      </c>
      <c r="U6661" s="18" t="s">
        <v>14293</v>
      </c>
      <c r="V6661" s="18" t="s">
        <v>14294</v>
      </c>
      <c r="W6661" s="18" t="s">
        <v>14295</v>
      </c>
      <c r="X6661" s="18" t="s">
        <v>42</v>
      </c>
      <c r="Y6661" s="18" t="s">
        <v>12266</v>
      </c>
      <c r="Z6661" s="18" t="s">
        <v>13441</v>
      </c>
      <c r="AA6661" s="21" t="str">
        <f>HYPERLINK("https://www.ncbi.nlm.nih.gov/nuccore/JF694461,JF694462","NCBI Nucleotide")</f>
        <v>NCBI Nucleotide</v>
      </c>
    </row>
    <row r="6662" spans="1:27" x14ac:dyDescent="0.35">
      <c r="A6662">
        <v>1007643</v>
      </c>
      <c r="B6662">
        <v>6311</v>
      </c>
      <c r="C6662">
        <v>1</v>
      </c>
      <c r="D6662" s="17" t="s">
        <v>10507</v>
      </c>
      <c r="E6662" s="17"/>
      <c r="F6662" s="17" t="s">
        <v>10780</v>
      </c>
      <c r="G6662" s="17"/>
      <c r="H6662" s="17" t="s">
        <v>12908</v>
      </c>
      <c r="I6662" s="17"/>
      <c r="J6662" s="17" t="s">
        <v>14018</v>
      </c>
      <c r="K6662" s="17"/>
      <c r="L6662" s="17" t="s">
        <v>14019</v>
      </c>
      <c r="M6662" s="17"/>
      <c r="N6662" s="17" t="s">
        <v>14020</v>
      </c>
      <c r="O6662" s="17"/>
      <c r="P6662" s="17" t="s">
        <v>14040</v>
      </c>
      <c r="Q6662" s="17"/>
      <c r="R6662" s="25" t="str">
        <f>HYPERLINK("https://ictv.global/taxonomy/taxondetails?taxnode_id=202303216","Begomovirus clerodendronflavi")</f>
        <v>Begomovirus clerodendronflavi</v>
      </c>
      <c r="S6662" s="18" t="s">
        <v>30</v>
      </c>
      <c r="T6662" s="18" t="s">
        <v>14300</v>
      </c>
      <c r="U6662" s="18" t="s">
        <v>14301</v>
      </c>
      <c r="V6662" s="18" t="s">
        <v>14302</v>
      </c>
      <c r="W6662" s="18" t="s">
        <v>41496</v>
      </c>
      <c r="X6662" s="18" t="s">
        <v>42</v>
      </c>
      <c r="Y6662" s="18" t="s">
        <v>12266</v>
      </c>
      <c r="Z6662" s="18" t="s">
        <v>13441</v>
      </c>
      <c r="AA6662" s="21" t="str">
        <f>HYPERLINK("https://www.ncbi.nlm.nih.gov/nuccore/EF408037","NCBI Nucleotide")</f>
        <v>NCBI Nucleotide</v>
      </c>
    </row>
    <row r="6663" spans="1:27" x14ac:dyDescent="0.35">
      <c r="A6663">
        <v>1007642</v>
      </c>
      <c r="B6663">
        <v>6312</v>
      </c>
      <c r="C6663">
        <v>1</v>
      </c>
      <c r="D6663" s="17" t="s">
        <v>10507</v>
      </c>
      <c r="E6663" s="17"/>
      <c r="F6663" s="17" t="s">
        <v>10780</v>
      </c>
      <c r="G6663" s="17"/>
      <c r="H6663" s="17" t="s">
        <v>12908</v>
      </c>
      <c r="I6663" s="17"/>
      <c r="J6663" s="17" t="s">
        <v>14018</v>
      </c>
      <c r="K6663" s="17"/>
      <c r="L6663" s="17" t="s">
        <v>14019</v>
      </c>
      <c r="M6663" s="17"/>
      <c r="N6663" s="17" t="s">
        <v>14020</v>
      </c>
      <c r="O6663" s="17"/>
      <c r="P6663" s="17" t="s">
        <v>14040</v>
      </c>
      <c r="Q6663" s="17"/>
      <c r="R6663" s="25" t="str">
        <f>HYPERLINK("https://ictv.global/taxonomy/taxondetails?taxnode_id=202303215","Begomovirus clerodendronis")</f>
        <v>Begomovirus clerodendronis</v>
      </c>
      <c r="S6663" s="18" t="s">
        <v>30</v>
      </c>
      <c r="T6663" s="18" t="s">
        <v>14296</v>
      </c>
      <c r="U6663" s="18" t="s">
        <v>14297</v>
      </c>
      <c r="V6663" s="18" t="s">
        <v>14298</v>
      </c>
      <c r="W6663" s="18" t="s">
        <v>14299</v>
      </c>
      <c r="X6663" s="18" t="s">
        <v>42</v>
      </c>
      <c r="Y6663" s="18" t="s">
        <v>12266</v>
      </c>
      <c r="Z6663" s="18" t="s">
        <v>13441</v>
      </c>
      <c r="AA6663" s="21" t="str">
        <f>HYPERLINK("https://www.ncbi.nlm.nih.gov/nuccore/DQ641692,DQ641693","NCBI Nucleotide")</f>
        <v>NCBI Nucleotide</v>
      </c>
    </row>
    <row r="6664" spans="1:27" x14ac:dyDescent="0.35">
      <c r="A6664">
        <v>1007644</v>
      </c>
      <c r="B6664">
        <v>6313</v>
      </c>
      <c r="C6664">
        <v>1</v>
      </c>
      <c r="D6664" s="17" t="s">
        <v>10507</v>
      </c>
      <c r="E6664" s="17"/>
      <c r="F6664" s="17" t="s">
        <v>10780</v>
      </c>
      <c r="G6664" s="17"/>
      <c r="H6664" s="17" t="s">
        <v>12908</v>
      </c>
      <c r="I6664" s="17"/>
      <c r="J6664" s="17" t="s">
        <v>14018</v>
      </c>
      <c r="K6664" s="17"/>
      <c r="L6664" s="17" t="s">
        <v>14019</v>
      </c>
      <c r="M6664" s="17"/>
      <c r="N6664" s="17" t="s">
        <v>14020</v>
      </c>
      <c r="O6664" s="17"/>
      <c r="P6664" s="17" t="s">
        <v>14040</v>
      </c>
      <c r="Q6664" s="17"/>
      <c r="R6664" s="25" t="str">
        <f>HYPERLINK("https://ictv.global/taxonomy/taxondetails?taxnode_id=202303217","Begomovirus clerodendrumchinaense")</f>
        <v>Begomovirus clerodendrumchinaense</v>
      </c>
      <c r="S6664" s="18" t="s">
        <v>30</v>
      </c>
      <c r="T6664" s="18" t="s">
        <v>14303</v>
      </c>
      <c r="U6664" s="18" t="s">
        <v>14304</v>
      </c>
      <c r="V6664" s="18" t="s">
        <v>14305</v>
      </c>
      <c r="W6664" s="18" t="s">
        <v>14306</v>
      </c>
      <c r="X6664" s="18" t="s">
        <v>42</v>
      </c>
      <c r="Y6664" s="18" t="s">
        <v>12266</v>
      </c>
      <c r="Z6664" s="18" t="s">
        <v>13441</v>
      </c>
      <c r="AA6664" s="21" t="str">
        <f>HYPERLINK("https://www.ncbi.nlm.nih.gov/nuccore/FJ011668,FJ011669","NCBI Nucleotide")</f>
        <v>NCBI Nucleotide</v>
      </c>
    </row>
    <row r="6665" spans="1:27" x14ac:dyDescent="0.35">
      <c r="A6665">
        <v>1012493</v>
      </c>
      <c r="B6665">
        <v>6313</v>
      </c>
      <c r="C6665">
        <v>2</v>
      </c>
      <c r="D6665" s="17" t="s">
        <v>10507</v>
      </c>
      <c r="E6665" s="17"/>
      <c r="F6665" s="17" t="s">
        <v>10780</v>
      </c>
      <c r="G6665" s="17"/>
      <c r="H6665" s="17" t="s">
        <v>12908</v>
      </c>
      <c r="I6665" s="17"/>
      <c r="J6665" s="17" t="s">
        <v>14018</v>
      </c>
      <c r="K6665" s="17"/>
      <c r="L6665" s="17" t="s">
        <v>14019</v>
      </c>
      <c r="M6665" s="17"/>
      <c r="N6665" s="17" t="s">
        <v>14020</v>
      </c>
      <c r="O6665" s="17"/>
      <c r="P6665" s="17" t="s">
        <v>14040</v>
      </c>
      <c r="Q6665" s="17"/>
      <c r="R6665" s="25" t="str">
        <f>HYPERLINK("https://ictv.global/taxonomy/taxondetails?taxnode_id=202303217","Begomovirus clerodendrumchinaense")</f>
        <v>Begomovirus clerodendrumchinaense</v>
      </c>
      <c r="S6665" s="18" t="s">
        <v>8141</v>
      </c>
      <c r="T6665" s="18" t="s">
        <v>14303</v>
      </c>
      <c r="U6665" s="18" t="s">
        <v>14307</v>
      </c>
      <c r="V6665" s="18" t="s">
        <v>14308</v>
      </c>
      <c r="W6665" s="18" t="s">
        <v>49079</v>
      </c>
      <c r="X6665" s="18" t="s">
        <v>42</v>
      </c>
      <c r="Y6665" s="18" t="s">
        <v>12266</v>
      </c>
      <c r="Z6665" s="18" t="s">
        <v>13441</v>
      </c>
      <c r="AA6665" s="21" t="str">
        <f>HYPERLINK("https://www.ncbi.nlm.nih.gov/nuccore/FN396962,FN396963","NCBI Nucleotide")</f>
        <v>NCBI Nucleotide</v>
      </c>
    </row>
    <row r="6666" spans="1:27" x14ac:dyDescent="0.35">
      <c r="A6666">
        <v>1007645</v>
      </c>
      <c r="B6666">
        <v>6314</v>
      </c>
      <c r="C6666">
        <v>1</v>
      </c>
      <c r="D6666" s="17" t="s">
        <v>10507</v>
      </c>
      <c r="E6666" s="17"/>
      <c r="F6666" s="17" t="s">
        <v>10780</v>
      </c>
      <c r="G6666" s="17"/>
      <c r="H6666" s="17" t="s">
        <v>12908</v>
      </c>
      <c r="I6666" s="17"/>
      <c r="J6666" s="17" t="s">
        <v>14018</v>
      </c>
      <c r="K6666" s="17"/>
      <c r="L6666" s="17" t="s">
        <v>14019</v>
      </c>
      <c r="M6666" s="17"/>
      <c r="N6666" s="17" t="s">
        <v>14020</v>
      </c>
      <c r="O6666" s="17"/>
      <c r="P6666" s="17" t="s">
        <v>14040</v>
      </c>
      <c r="Q6666" s="17"/>
      <c r="R6666" s="25" t="str">
        <f>HYPERLINK("https://ictv.global/taxonomy/taxondetails?taxnode_id=202303218","Begomovirus clerodendrumjiangsuense")</f>
        <v>Begomovirus clerodendrumjiangsuense</v>
      </c>
      <c r="S6666" s="18" t="s">
        <v>30</v>
      </c>
      <c r="T6666" s="18" t="s">
        <v>14309</v>
      </c>
      <c r="U6666" s="18" t="s">
        <v>14310</v>
      </c>
      <c r="V6666" s="18" t="s">
        <v>14311</v>
      </c>
      <c r="W6666" s="18" t="s">
        <v>14312</v>
      </c>
      <c r="X6666" s="18" t="s">
        <v>42</v>
      </c>
      <c r="Y6666" s="18" t="s">
        <v>12266</v>
      </c>
      <c r="Z6666" s="18" t="s">
        <v>13441</v>
      </c>
      <c r="AA6666" s="21" t="str">
        <f>HYPERLINK("https://www.ncbi.nlm.nih.gov/nuccore/FN396966","NCBI Nucleotide")</f>
        <v>NCBI Nucleotide</v>
      </c>
    </row>
    <row r="6667" spans="1:27" x14ac:dyDescent="0.35">
      <c r="A6667">
        <v>1007646</v>
      </c>
      <c r="B6667">
        <v>6315</v>
      </c>
      <c r="C6667">
        <v>1</v>
      </c>
      <c r="D6667" s="17" t="s">
        <v>10507</v>
      </c>
      <c r="E6667" s="17"/>
      <c r="F6667" s="17" t="s">
        <v>10780</v>
      </c>
      <c r="G6667" s="17"/>
      <c r="H6667" s="17" t="s">
        <v>12908</v>
      </c>
      <c r="I6667" s="17"/>
      <c r="J6667" s="17" t="s">
        <v>14018</v>
      </c>
      <c r="K6667" s="17"/>
      <c r="L6667" s="17" t="s">
        <v>14019</v>
      </c>
      <c r="M6667" s="17"/>
      <c r="N6667" s="17" t="s">
        <v>14020</v>
      </c>
      <c r="O6667" s="17"/>
      <c r="P6667" s="17" t="s">
        <v>14040</v>
      </c>
      <c r="Q6667" s="17"/>
      <c r="R6667" s="25" t="str">
        <f>HYPERLINK("https://ictv.global/taxonomy/taxondetails?taxnode_id=202305791","Begomovirus cnidoscoli")</f>
        <v>Begomovirus cnidoscoli</v>
      </c>
      <c r="S6667" s="18" t="s">
        <v>30</v>
      </c>
      <c r="T6667" s="18" t="s">
        <v>14313</v>
      </c>
      <c r="U6667" s="18" t="s">
        <v>14314</v>
      </c>
      <c r="V6667" s="18" t="s">
        <v>14315</v>
      </c>
      <c r="W6667" s="18" t="s">
        <v>14316</v>
      </c>
      <c r="X6667" s="18" t="s">
        <v>42</v>
      </c>
      <c r="Y6667" s="18" t="s">
        <v>12266</v>
      </c>
      <c r="Z6667" s="18" t="s">
        <v>13441</v>
      </c>
      <c r="AA6667" s="21" t="str">
        <f>HYPERLINK("https://www.ncbi.nlm.nih.gov/nuccore/KT966771,KT966772","NCBI Nucleotide")</f>
        <v>NCBI Nucleotide</v>
      </c>
    </row>
    <row r="6668" spans="1:27" x14ac:dyDescent="0.35">
      <c r="A6668">
        <v>1007647</v>
      </c>
      <c r="B6668">
        <v>6316</v>
      </c>
      <c r="C6668">
        <v>1</v>
      </c>
      <c r="D6668" s="17" t="s">
        <v>10507</v>
      </c>
      <c r="E6668" s="17"/>
      <c r="F6668" s="17" t="s">
        <v>10780</v>
      </c>
      <c r="G6668" s="17"/>
      <c r="H6668" s="17" t="s">
        <v>12908</v>
      </c>
      <c r="I6668" s="17"/>
      <c r="J6668" s="17" t="s">
        <v>14018</v>
      </c>
      <c r="K6668" s="17"/>
      <c r="L6668" s="17" t="s">
        <v>14019</v>
      </c>
      <c r="M6668" s="17"/>
      <c r="N6668" s="17" t="s">
        <v>14020</v>
      </c>
      <c r="O6668" s="17"/>
      <c r="P6668" s="17" t="s">
        <v>14040</v>
      </c>
      <c r="Q6668" s="17"/>
      <c r="R6668" s="25" t="str">
        <f>HYPERLINK("https://ictv.global/taxonomy/taxondetails?taxnode_id=202305792","Begomovirus cocciniae")</f>
        <v>Begomovirus cocciniae</v>
      </c>
      <c r="S6668" s="18" t="s">
        <v>30</v>
      </c>
      <c r="T6668" s="18" t="s">
        <v>14317</v>
      </c>
      <c r="U6668" s="18" t="s">
        <v>14318</v>
      </c>
      <c r="V6668" s="18" t="s">
        <v>14319</v>
      </c>
      <c r="W6668" s="18" t="s">
        <v>50463</v>
      </c>
      <c r="X6668" s="18" t="s">
        <v>42</v>
      </c>
      <c r="Y6668" s="18" t="s">
        <v>12266</v>
      </c>
      <c r="Z6668" s="18" t="s">
        <v>13441</v>
      </c>
      <c r="AA6668" s="21" t="str">
        <f>HYPERLINK("https://www.ncbi.nlm.nih.gov/nuccore/KM244719,KM244718","NCBI Nucleotide")</f>
        <v>NCBI Nucleotide</v>
      </c>
    </row>
    <row r="6669" spans="1:27" x14ac:dyDescent="0.35">
      <c r="A6669">
        <v>1008002</v>
      </c>
      <c r="B6669">
        <v>6317</v>
      </c>
      <c r="C6669">
        <v>1</v>
      </c>
      <c r="D6669" s="17" t="s">
        <v>10507</v>
      </c>
      <c r="E6669" s="17"/>
      <c r="F6669" s="17" t="s">
        <v>10780</v>
      </c>
      <c r="G6669" s="17"/>
      <c r="H6669" s="17" t="s">
        <v>12908</v>
      </c>
      <c r="I6669" s="17"/>
      <c r="J6669" s="17" t="s">
        <v>14018</v>
      </c>
      <c r="K6669" s="17"/>
      <c r="L6669" s="17" t="s">
        <v>14019</v>
      </c>
      <c r="M6669" s="17"/>
      <c r="N6669" s="17" t="s">
        <v>14020</v>
      </c>
      <c r="O6669" s="17"/>
      <c r="P6669" s="17" t="s">
        <v>14040</v>
      </c>
      <c r="Q6669" s="17"/>
      <c r="R6669" s="25" t="str">
        <f t="shared" ref="R6669:R6674" si="21">HYPERLINK("https://ictv.global/taxonomy/taxondetails?taxnode_id=202303484","Begomovirus coheni")</f>
        <v>Begomovirus coheni</v>
      </c>
      <c r="S6669" s="18" t="s">
        <v>30</v>
      </c>
      <c r="T6669" s="18" t="s">
        <v>15874</v>
      </c>
      <c r="U6669" s="18" t="s">
        <v>15875</v>
      </c>
      <c r="V6669" s="18" t="s">
        <v>15876</v>
      </c>
      <c r="W6669" s="18" t="s">
        <v>41497</v>
      </c>
      <c r="X6669" s="18" t="s">
        <v>42</v>
      </c>
      <c r="Y6669" s="18" t="s">
        <v>12266</v>
      </c>
      <c r="Z6669" s="18" t="s">
        <v>13441</v>
      </c>
      <c r="AA6669" s="21" t="str">
        <f>HYPERLINK("https://www.ncbi.nlm.nih.gov/nuccore/AJ489258","NCBI Nucleotide")</f>
        <v>NCBI Nucleotide</v>
      </c>
    </row>
    <row r="6670" spans="1:27" x14ac:dyDescent="0.35">
      <c r="A6670">
        <v>1012646</v>
      </c>
      <c r="B6670">
        <v>6317</v>
      </c>
      <c r="C6670">
        <v>2</v>
      </c>
      <c r="D6670" s="17" t="s">
        <v>10507</v>
      </c>
      <c r="E6670" s="17"/>
      <c r="F6670" s="17" t="s">
        <v>10780</v>
      </c>
      <c r="G6670" s="17"/>
      <c r="H6670" s="17" t="s">
        <v>12908</v>
      </c>
      <c r="I6670" s="17"/>
      <c r="J6670" s="17" t="s">
        <v>14018</v>
      </c>
      <c r="K6670" s="17"/>
      <c r="L6670" s="17" t="s">
        <v>14019</v>
      </c>
      <c r="M6670" s="17"/>
      <c r="N6670" s="17" t="s">
        <v>14020</v>
      </c>
      <c r="O6670" s="17"/>
      <c r="P6670" s="17" t="s">
        <v>14040</v>
      </c>
      <c r="Q6670" s="17"/>
      <c r="R6670" s="25" t="str">
        <f t="shared" si="21"/>
        <v>Begomovirus coheni</v>
      </c>
      <c r="S6670" s="18" t="s">
        <v>8141</v>
      </c>
      <c r="T6670" s="18" t="s">
        <v>15874</v>
      </c>
      <c r="U6670" s="18" t="s">
        <v>15877</v>
      </c>
      <c r="V6670" s="18" t="s">
        <v>15878</v>
      </c>
      <c r="W6670" s="18" t="s">
        <v>49080</v>
      </c>
      <c r="X6670" s="18" t="s">
        <v>42</v>
      </c>
      <c r="Y6670" s="18" t="s">
        <v>12266</v>
      </c>
      <c r="Z6670" s="18" t="s">
        <v>13441</v>
      </c>
      <c r="AA6670" s="21" t="str">
        <f>HYPERLINK("https://www.ncbi.nlm.nih.gov/nuccore/GU076454","NCBI Nucleotide")</f>
        <v>NCBI Nucleotide</v>
      </c>
    </row>
    <row r="6671" spans="1:27" x14ac:dyDescent="0.35">
      <c r="A6671">
        <v>1012647</v>
      </c>
      <c r="B6671">
        <v>6317</v>
      </c>
      <c r="C6671">
        <v>3</v>
      </c>
      <c r="D6671" s="17" t="s">
        <v>10507</v>
      </c>
      <c r="E6671" s="17"/>
      <c r="F6671" s="17" t="s">
        <v>10780</v>
      </c>
      <c r="G6671" s="17"/>
      <c r="H6671" s="17" t="s">
        <v>12908</v>
      </c>
      <c r="I6671" s="17"/>
      <c r="J6671" s="17" t="s">
        <v>14018</v>
      </c>
      <c r="K6671" s="17"/>
      <c r="L6671" s="17" t="s">
        <v>14019</v>
      </c>
      <c r="M6671" s="17"/>
      <c r="N6671" s="17" t="s">
        <v>14020</v>
      </c>
      <c r="O6671" s="17"/>
      <c r="P6671" s="17" t="s">
        <v>14040</v>
      </c>
      <c r="Q6671" s="17"/>
      <c r="R6671" s="25" t="str">
        <f t="shared" si="21"/>
        <v>Begomovirus coheni</v>
      </c>
      <c r="S6671" s="18" t="s">
        <v>8141</v>
      </c>
      <c r="T6671" s="18" t="s">
        <v>15874</v>
      </c>
      <c r="U6671" s="18" t="s">
        <v>15879</v>
      </c>
      <c r="V6671" s="18" t="s">
        <v>15880</v>
      </c>
      <c r="W6671" s="18" t="s">
        <v>49081</v>
      </c>
      <c r="X6671" s="18" t="s">
        <v>42</v>
      </c>
      <c r="Y6671" s="18" t="s">
        <v>12266</v>
      </c>
      <c r="Z6671" s="18" t="s">
        <v>13441</v>
      </c>
      <c r="AA6671" s="21" t="str">
        <f>HYPERLINK("https://www.ncbi.nlm.nih.gov/nuccore/AJ132711","NCBI Nucleotide")</f>
        <v>NCBI Nucleotide</v>
      </c>
    </row>
    <row r="6672" spans="1:27" x14ac:dyDescent="0.35">
      <c r="A6672">
        <v>1012648</v>
      </c>
      <c r="B6672">
        <v>6317</v>
      </c>
      <c r="C6672">
        <v>4</v>
      </c>
      <c r="D6672" s="17" t="s">
        <v>10507</v>
      </c>
      <c r="E6672" s="17"/>
      <c r="F6672" s="17" t="s">
        <v>10780</v>
      </c>
      <c r="G6672" s="17"/>
      <c r="H6672" s="17" t="s">
        <v>12908</v>
      </c>
      <c r="I6672" s="17"/>
      <c r="J6672" s="17" t="s">
        <v>14018</v>
      </c>
      <c r="K6672" s="17"/>
      <c r="L6672" s="17" t="s">
        <v>14019</v>
      </c>
      <c r="M6672" s="17"/>
      <c r="N6672" s="17" t="s">
        <v>14020</v>
      </c>
      <c r="O6672" s="17"/>
      <c r="P6672" s="17" t="s">
        <v>14040</v>
      </c>
      <c r="Q6672" s="17"/>
      <c r="R6672" s="25" t="str">
        <f t="shared" si="21"/>
        <v>Begomovirus coheni</v>
      </c>
      <c r="S6672" s="18" t="s">
        <v>8141</v>
      </c>
      <c r="T6672" s="18" t="s">
        <v>15874</v>
      </c>
      <c r="U6672" s="18" t="s">
        <v>15881</v>
      </c>
      <c r="V6672" s="18" t="s">
        <v>15882</v>
      </c>
      <c r="W6672" s="18" t="s">
        <v>49082</v>
      </c>
      <c r="X6672" s="18" t="s">
        <v>42</v>
      </c>
      <c r="Y6672" s="18" t="s">
        <v>12266</v>
      </c>
      <c r="Z6672" s="18" t="s">
        <v>13441</v>
      </c>
      <c r="AA6672" s="21" t="str">
        <f>HYPERLINK("https://www.ncbi.nlm.nih.gov/nuccore/EU635776","NCBI Nucleotide")</f>
        <v>NCBI Nucleotide</v>
      </c>
    </row>
    <row r="6673" spans="1:27" x14ac:dyDescent="0.35">
      <c r="A6673">
        <v>1012649</v>
      </c>
      <c r="B6673">
        <v>6317</v>
      </c>
      <c r="C6673">
        <v>5</v>
      </c>
      <c r="D6673" s="17" t="s">
        <v>10507</v>
      </c>
      <c r="E6673" s="17"/>
      <c r="F6673" s="17" t="s">
        <v>10780</v>
      </c>
      <c r="G6673" s="17"/>
      <c r="H6673" s="17" t="s">
        <v>12908</v>
      </c>
      <c r="I6673" s="17"/>
      <c r="J6673" s="17" t="s">
        <v>14018</v>
      </c>
      <c r="K6673" s="17"/>
      <c r="L6673" s="17" t="s">
        <v>14019</v>
      </c>
      <c r="M6673" s="17"/>
      <c r="N6673" s="17" t="s">
        <v>14020</v>
      </c>
      <c r="O6673" s="17"/>
      <c r="P6673" s="17" t="s">
        <v>14040</v>
      </c>
      <c r="Q6673" s="17"/>
      <c r="R6673" s="25" t="str">
        <f t="shared" si="21"/>
        <v>Begomovirus coheni</v>
      </c>
      <c r="S6673" s="18" t="s">
        <v>8141</v>
      </c>
      <c r="T6673" s="18" t="s">
        <v>15874</v>
      </c>
      <c r="U6673" s="18" t="s">
        <v>15883</v>
      </c>
      <c r="V6673" s="18" t="s">
        <v>15884</v>
      </c>
      <c r="W6673" s="18" t="s">
        <v>49083</v>
      </c>
      <c r="X6673" s="18" t="s">
        <v>42</v>
      </c>
      <c r="Y6673" s="18" t="s">
        <v>12266</v>
      </c>
      <c r="Z6673" s="18" t="s">
        <v>13441</v>
      </c>
      <c r="AA6673" s="21" t="str">
        <f>HYPERLINK("https://www.ncbi.nlm.nih.gov/nuccore/GU076442","NCBI Nucleotide")</f>
        <v>NCBI Nucleotide</v>
      </c>
    </row>
    <row r="6674" spans="1:27" x14ac:dyDescent="0.35">
      <c r="A6674">
        <v>1012650</v>
      </c>
      <c r="B6674">
        <v>6317</v>
      </c>
      <c r="C6674">
        <v>6</v>
      </c>
      <c r="D6674" s="17" t="s">
        <v>10507</v>
      </c>
      <c r="E6674" s="17"/>
      <c r="F6674" s="17" t="s">
        <v>10780</v>
      </c>
      <c r="G6674" s="17"/>
      <c r="H6674" s="17" t="s">
        <v>12908</v>
      </c>
      <c r="I6674" s="17"/>
      <c r="J6674" s="17" t="s">
        <v>14018</v>
      </c>
      <c r="K6674" s="17"/>
      <c r="L6674" s="17" t="s">
        <v>14019</v>
      </c>
      <c r="M6674" s="17"/>
      <c r="N6674" s="17" t="s">
        <v>14020</v>
      </c>
      <c r="O6674" s="17"/>
      <c r="P6674" s="17" t="s">
        <v>14040</v>
      </c>
      <c r="Q6674" s="17"/>
      <c r="R6674" s="25" t="str">
        <f t="shared" si="21"/>
        <v>Begomovirus coheni</v>
      </c>
      <c r="S6674" s="18" t="s">
        <v>8141</v>
      </c>
      <c r="T6674" s="18" t="s">
        <v>15874</v>
      </c>
      <c r="U6674" s="18" t="s">
        <v>15885</v>
      </c>
      <c r="V6674" s="18" t="s">
        <v>15886</v>
      </c>
      <c r="W6674" s="18" t="s">
        <v>49084</v>
      </c>
      <c r="X6674" s="18" t="s">
        <v>42</v>
      </c>
      <c r="Y6674" s="18" t="s">
        <v>12266</v>
      </c>
      <c r="Z6674" s="18" t="s">
        <v>13441</v>
      </c>
      <c r="AA6674" s="21" t="str">
        <f>HYPERLINK("https://www.ncbi.nlm.nih.gov/nuccore/X76319","NCBI Nucleotide")</f>
        <v>NCBI Nucleotide</v>
      </c>
    </row>
    <row r="6675" spans="1:27" x14ac:dyDescent="0.35">
      <c r="A6675">
        <v>1007652</v>
      </c>
      <c r="B6675">
        <v>6318</v>
      </c>
      <c r="C6675">
        <v>1</v>
      </c>
      <c r="D6675" s="17" t="s">
        <v>10507</v>
      </c>
      <c r="E6675" s="17"/>
      <c r="F6675" s="17" t="s">
        <v>10780</v>
      </c>
      <c r="G6675" s="17"/>
      <c r="H6675" s="17" t="s">
        <v>12908</v>
      </c>
      <c r="I6675" s="17"/>
      <c r="J6675" s="17" t="s">
        <v>14018</v>
      </c>
      <c r="K6675" s="17"/>
      <c r="L6675" s="17" t="s">
        <v>14019</v>
      </c>
      <c r="M6675" s="17"/>
      <c r="N6675" s="17" t="s">
        <v>14020</v>
      </c>
      <c r="O6675" s="17"/>
      <c r="P6675" s="17" t="s">
        <v>14040</v>
      </c>
      <c r="Q6675" s="17"/>
      <c r="R6675" s="25" t="str">
        <f>HYPERLINK("https://ictv.global/taxonomy/taxondetails?taxnode_id=202309119","Begomovirus corchocubaense")</f>
        <v>Begomovirus corchocubaense</v>
      </c>
      <c r="S6675" s="18" t="s">
        <v>30</v>
      </c>
      <c r="T6675" s="18" t="s">
        <v>14337</v>
      </c>
      <c r="U6675" s="18" t="s">
        <v>14338</v>
      </c>
      <c r="V6675" s="18" t="s">
        <v>14339</v>
      </c>
      <c r="W6675" s="18" t="s">
        <v>41498</v>
      </c>
      <c r="X6675" s="18" t="s">
        <v>42</v>
      </c>
      <c r="Y6675" s="18" t="s">
        <v>12266</v>
      </c>
      <c r="Z6675" s="18" t="s">
        <v>13441</v>
      </c>
      <c r="AA6675" s="21" t="str">
        <f>HYPERLINK("https://www.ncbi.nlm.nih.gov/nuccore/MF773912","NCBI Nucleotide")</f>
        <v>NCBI Nucleotide</v>
      </c>
    </row>
    <row r="6676" spans="1:27" x14ac:dyDescent="0.35">
      <c r="A6676">
        <v>1007651</v>
      </c>
      <c r="B6676">
        <v>6319</v>
      </c>
      <c r="C6676">
        <v>1</v>
      </c>
      <c r="D6676" s="17" t="s">
        <v>10507</v>
      </c>
      <c r="E6676" s="17"/>
      <c r="F6676" s="17" t="s">
        <v>10780</v>
      </c>
      <c r="G6676" s="17"/>
      <c r="H6676" s="17" t="s">
        <v>12908</v>
      </c>
      <c r="I6676" s="17"/>
      <c r="J6676" s="17" t="s">
        <v>14018</v>
      </c>
      <c r="K6676" s="17"/>
      <c r="L6676" s="17" t="s">
        <v>14019</v>
      </c>
      <c r="M6676" s="17"/>
      <c r="N6676" s="17" t="s">
        <v>14020</v>
      </c>
      <c r="O6676" s="17"/>
      <c r="P6676" s="17" t="s">
        <v>14040</v>
      </c>
      <c r="Q6676" s="17"/>
      <c r="R6676" s="25" t="str">
        <f>HYPERLINK("https://ictv.global/taxonomy/taxondetails?taxnode_id=202303220","Begomovirus corchoflavi")</f>
        <v>Begomovirus corchoflavi</v>
      </c>
      <c r="S6676" s="18" t="s">
        <v>30</v>
      </c>
      <c r="T6676" s="18" t="s">
        <v>14334</v>
      </c>
      <c r="U6676" s="18" t="s">
        <v>14335</v>
      </c>
      <c r="V6676" s="18" t="s">
        <v>14206</v>
      </c>
      <c r="W6676" s="18" t="s">
        <v>14336</v>
      </c>
      <c r="X6676" s="18" t="s">
        <v>42</v>
      </c>
      <c r="Y6676" s="18" t="s">
        <v>12266</v>
      </c>
      <c r="Z6676" s="18" t="s">
        <v>13441</v>
      </c>
      <c r="AA6676" s="21" t="str">
        <f>HYPERLINK("https://www.ncbi.nlm.nih.gov/nuccore/DQ875868,DQ875869","NCBI Nucleotide")</f>
        <v>NCBI Nucleotide</v>
      </c>
    </row>
    <row r="6677" spans="1:27" x14ac:dyDescent="0.35">
      <c r="A6677">
        <v>1007653</v>
      </c>
      <c r="B6677">
        <v>6320</v>
      </c>
      <c r="C6677">
        <v>1</v>
      </c>
      <c r="D6677" s="17" t="s">
        <v>10507</v>
      </c>
      <c r="E6677" s="17"/>
      <c r="F6677" s="17" t="s">
        <v>10780</v>
      </c>
      <c r="G6677" s="17"/>
      <c r="H6677" s="17" t="s">
        <v>12908</v>
      </c>
      <c r="I6677" s="17"/>
      <c r="J6677" s="17" t="s">
        <v>14018</v>
      </c>
      <c r="K6677" s="17"/>
      <c r="L6677" s="17" t="s">
        <v>14019</v>
      </c>
      <c r="M6677" s="17"/>
      <c r="N6677" s="17" t="s">
        <v>14020</v>
      </c>
      <c r="O6677" s="17"/>
      <c r="P6677" s="17" t="s">
        <v>14040</v>
      </c>
      <c r="Q6677" s="17"/>
      <c r="R6677" s="25" t="str">
        <f>HYPERLINK("https://ictv.global/taxonomy/taxondetails?taxnode_id=202303221","Begomovirus corchomusivi")</f>
        <v>Begomovirus corchomusivi</v>
      </c>
      <c r="S6677" s="18" t="s">
        <v>30</v>
      </c>
      <c r="T6677" s="18" t="s">
        <v>14340</v>
      </c>
      <c r="U6677" s="18" t="s">
        <v>14341</v>
      </c>
      <c r="V6677" s="18" t="s">
        <v>14342</v>
      </c>
      <c r="W6677" s="18" t="s">
        <v>41499</v>
      </c>
      <c r="X6677" s="18" t="s">
        <v>42</v>
      </c>
      <c r="Y6677" s="18" t="s">
        <v>12266</v>
      </c>
      <c r="Z6677" s="18" t="s">
        <v>13441</v>
      </c>
      <c r="AA6677" s="21" t="str">
        <f>HYPERLINK("https://www.ncbi.nlm.nih.gov/nuccore/KC223600","NCBI Nucleotide")</f>
        <v>NCBI Nucleotide</v>
      </c>
    </row>
    <row r="6678" spans="1:27" x14ac:dyDescent="0.35">
      <c r="A6678">
        <v>1007650</v>
      </c>
      <c r="B6678">
        <v>6321</v>
      </c>
      <c r="C6678">
        <v>1</v>
      </c>
      <c r="D6678" s="17" t="s">
        <v>10507</v>
      </c>
      <c r="E6678" s="17"/>
      <c r="F6678" s="17" t="s">
        <v>10780</v>
      </c>
      <c r="G6678" s="17"/>
      <c r="H6678" s="17" t="s">
        <v>12908</v>
      </c>
      <c r="I6678" s="17"/>
      <c r="J6678" s="17" t="s">
        <v>14018</v>
      </c>
      <c r="K6678" s="17"/>
      <c r="L6678" s="17" t="s">
        <v>14019</v>
      </c>
      <c r="M6678" s="17"/>
      <c r="N6678" s="17" t="s">
        <v>14020</v>
      </c>
      <c r="O6678" s="17"/>
      <c r="P6678" s="17" t="s">
        <v>14040</v>
      </c>
      <c r="Q6678" s="17"/>
      <c r="R6678" s="25" t="str">
        <f>HYPERLINK("https://ictv.global/taxonomy/taxondetails?taxnode_id=202303219","Begomovirus corchori")</f>
        <v>Begomovirus corchori</v>
      </c>
      <c r="S6678" s="18" t="s">
        <v>30</v>
      </c>
      <c r="T6678" s="18" t="s">
        <v>14328</v>
      </c>
      <c r="U6678" s="18" t="s">
        <v>14329</v>
      </c>
      <c r="V6678" s="18" t="s">
        <v>14330</v>
      </c>
      <c r="W6678" s="18" t="s">
        <v>14331</v>
      </c>
      <c r="X6678" s="18" t="s">
        <v>42</v>
      </c>
      <c r="Y6678" s="18" t="s">
        <v>12266</v>
      </c>
      <c r="Z6678" s="18" t="s">
        <v>13441</v>
      </c>
      <c r="AA6678" s="21" t="str">
        <f>HYPERLINK("https://www.ncbi.nlm.nih.gov/nuccore/DQ641688,DQ641689","NCBI Nucleotide")</f>
        <v>NCBI Nucleotide</v>
      </c>
    </row>
    <row r="6679" spans="1:27" x14ac:dyDescent="0.35">
      <c r="A6679">
        <v>1012494</v>
      </c>
      <c r="B6679">
        <v>6321</v>
      </c>
      <c r="C6679">
        <v>2</v>
      </c>
      <c r="D6679" s="17" t="s">
        <v>10507</v>
      </c>
      <c r="E6679" s="17"/>
      <c r="F6679" s="17" t="s">
        <v>10780</v>
      </c>
      <c r="G6679" s="17"/>
      <c r="H6679" s="17" t="s">
        <v>12908</v>
      </c>
      <c r="I6679" s="17"/>
      <c r="J6679" s="17" t="s">
        <v>14018</v>
      </c>
      <c r="K6679" s="17"/>
      <c r="L6679" s="17" t="s">
        <v>14019</v>
      </c>
      <c r="M6679" s="17"/>
      <c r="N6679" s="17" t="s">
        <v>14020</v>
      </c>
      <c r="O6679" s="17"/>
      <c r="P6679" s="17" t="s">
        <v>14040</v>
      </c>
      <c r="Q6679" s="17"/>
      <c r="R6679" s="25" t="str">
        <f>HYPERLINK("https://ictv.global/taxonomy/taxondetails?taxnode_id=202303219","Begomovirus corchori")</f>
        <v>Begomovirus corchori</v>
      </c>
      <c r="S6679" s="18" t="s">
        <v>8141</v>
      </c>
      <c r="T6679" s="18" t="s">
        <v>14328</v>
      </c>
      <c r="U6679" s="18" t="s">
        <v>14332</v>
      </c>
      <c r="V6679" s="18" t="s">
        <v>14333</v>
      </c>
      <c r="W6679" s="18" t="s">
        <v>49085</v>
      </c>
      <c r="X6679" s="18" t="s">
        <v>42</v>
      </c>
      <c r="Y6679" s="18" t="s">
        <v>12266</v>
      </c>
      <c r="Z6679" s="18" t="s">
        <v>13441</v>
      </c>
      <c r="AA6679" s="21" t="str">
        <f>HYPERLINK("https://www.ncbi.nlm.nih.gov/nuccore/FJ463902,FJ463901","NCBI Nucleotide")</f>
        <v>NCBI Nucleotide</v>
      </c>
    </row>
    <row r="6680" spans="1:27" x14ac:dyDescent="0.35">
      <c r="A6680">
        <v>1007654</v>
      </c>
      <c r="B6680">
        <v>6322</v>
      </c>
      <c r="C6680">
        <v>1</v>
      </c>
      <c r="D6680" s="17" t="s">
        <v>10507</v>
      </c>
      <c r="E6680" s="17"/>
      <c r="F6680" s="17" t="s">
        <v>10780</v>
      </c>
      <c r="G6680" s="17"/>
      <c r="H6680" s="17" t="s">
        <v>12908</v>
      </c>
      <c r="I6680" s="17"/>
      <c r="J6680" s="17" t="s">
        <v>14018</v>
      </c>
      <c r="K6680" s="17"/>
      <c r="L6680" s="17" t="s">
        <v>14019</v>
      </c>
      <c r="M6680" s="17"/>
      <c r="N6680" s="17" t="s">
        <v>14020</v>
      </c>
      <c r="O6680" s="17"/>
      <c r="P6680" s="17" t="s">
        <v>14040</v>
      </c>
      <c r="Q6680" s="17"/>
      <c r="R6680" s="25" t="str">
        <f>HYPERLINK("https://ictv.global/taxonomy/taxondetails?taxnode_id=202303222","Begomovirus corchovenae")</f>
        <v>Begomovirus corchovenae</v>
      </c>
      <c r="S6680" s="18" t="s">
        <v>30</v>
      </c>
      <c r="T6680" s="18" t="s">
        <v>14343</v>
      </c>
      <c r="U6680" s="18" t="s">
        <v>14344</v>
      </c>
      <c r="V6680" s="18" t="s">
        <v>14345</v>
      </c>
      <c r="W6680" s="18" t="s">
        <v>14346</v>
      </c>
      <c r="X6680" s="18" t="s">
        <v>42</v>
      </c>
      <c r="Y6680" s="18" t="s">
        <v>12266</v>
      </c>
      <c r="Z6680" s="18" t="s">
        <v>13441</v>
      </c>
      <c r="AA6680" s="21" t="str">
        <f>HYPERLINK("https://www.ncbi.nlm.nih.gov/nuccore/AY727903,AY727904","NCBI Nucleotide")</f>
        <v>NCBI Nucleotide</v>
      </c>
    </row>
    <row r="6681" spans="1:27" x14ac:dyDescent="0.35">
      <c r="A6681">
        <v>1007607</v>
      </c>
      <c r="B6681">
        <v>6323</v>
      </c>
      <c r="C6681">
        <v>1</v>
      </c>
      <c r="D6681" s="17" t="s">
        <v>10507</v>
      </c>
      <c r="E6681" s="17"/>
      <c r="F6681" s="17" t="s">
        <v>10780</v>
      </c>
      <c r="G6681" s="17"/>
      <c r="H6681" s="17" t="s">
        <v>12908</v>
      </c>
      <c r="I6681" s="17"/>
      <c r="J6681" s="17" t="s">
        <v>14018</v>
      </c>
      <c r="K6681" s="17"/>
      <c r="L6681" s="17" t="s">
        <v>14019</v>
      </c>
      <c r="M6681" s="17"/>
      <c r="N6681" s="17" t="s">
        <v>14020</v>
      </c>
      <c r="O6681" s="17"/>
      <c r="P6681" s="17" t="s">
        <v>14040</v>
      </c>
      <c r="Q6681" s="17"/>
      <c r="R6681" s="25" t="str">
        <f>HYPERLINK("https://ictv.global/taxonomy/taxondetails?taxnode_id=202303190","Begomovirus costai")</f>
        <v>Begomovirus costai</v>
      </c>
      <c r="S6681" s="18" t="s">
        <v>30</v>
      </c>
      <c r="T6681" s="18" t="s">
        <v>14146</v>
      </c>
      <c r="U6681" s="18" t="s">
        <v>14147</v>
      </c>
      <c r="V6681" s="18" t="s">
        <v>14148</v>
      </c>
      <c r="W6681" s="18" t="s">
        <v>14149</v>
      </c>
      <c r="X6681" s="18" t="s">
        <v>42</v>
      </c>
      <c r="Y6681" s="18" t="s">
        <v>12266</v>
      </c>
      <c r="Z6681" s="18" t="s">
        <v>13441</v>
      </c>
      <c r="AA6681" s="21" t="str">
        <f>HYPERLINK("https://www.ncbi.nlm.nih.gov/nuccore/M88686,M88687","NCBI Nucleotide")</f>
        <v>NCBI Nucleotide</v>
      </c>
    </row>
    <row r="6682" spans="1:27" x14ac:dyDescent="0.35">
      <c r="A6682">
        <v>1012481</v>
      </c>
      <c r="B6682">
        <v>6323</v>
      </c>
      <c r="C6682">
        <v>2</v>
      </c>
      <c r="D6682" s="17" t="s">
        <v>10507</v>
      </c>
      <c r="E6682" s="17"/>
      <c r="F6682" s="17" t="s">
        <v>10780</v>
      </c>
      <c r="G6682" s="17"/>
      <c r="H6682" s="17" t="s">
        <v>12908</v>
      </c>
      <c r="I6682" s="17"/>
      <c r="J6682" s="17" t="s">
        <v>14018</v>
      </c>
      <c r="K6682" s="17"/>
      <c r="L6682" s="17" t="s">
        <v>14019</v>
      </c>
      <c r="M6682" s="17"/>
      <c r="N6682" s="17" t="s">
        <v>14020</v>
      </c>
      <c r="O6682" s="17"/>
      <c r="P6682" s="17" t="s">
        <v>14040</v>
      </c>
      <c r="Q6682" s="17"/>
      <c r="R6682" s="25" t="str">
        <f>HYPERLINK("https://ictv.global/taxonomy/taxondetails?taxnode_id=202303190","Begomovirus costai")</f>
        <v>Begomovirus costai</v>
      </c>
      <c r="S6682" s="18" t="s">
        <v>8141</v>
      </c>
      <c r="T6682" s="18" t="s">
        <v>14146</v>
      </c>
      <c r="U6682" s="18" t="s">
        <v>14150</v>
      </c>
      <c r="V6682" s="18" t="s">
        <v>14151</v>
      </c>
      <c r="W6682" s="18" t="s">
        <v>49086</v>
      </c>
      <c r="X6682" s="18" t="s">
        <v>42</v>
      </c>
      <c r="Y6682" s="18" t="s">
        <v>12266</v>
      </c>
      <c r="Z6682" s="18" t="s">
        <v>13441</v>
      </c>
      <c r="AA6682" s="21" t="str">
        <f>HYPERLINK("https://www.ncbi.nlm.nih.gov/nuccore/JN419006","NCBI Nucleotide")</f>
        <v>NCBI Nucleotide</v>
      </c>
    </row>
    <row r="6683" spans="1:27" x14ac:dyDescent="0.35">
      <c r="A6683">
        <v>1007666</v>
      </c>
      <c r="B6683">
        <v>6324</v>
      </c>
      <c r="C6683">
        <v>1</v>
      </c>
      <c r="D6683" s="17" t="s">
        <v>10507</v>
      </c>
      <c r="E6683" s="17"/>
      <c r="F6683" s="17" t="s">
        <v>10780</v>
      </c>
      <c r="G6683" s="17"/>
      <c r="H6683" s="17" t="s">
        <v>12908</v>
      </c>
      <c r="I6683" s="17"/>
      <c r="J6683" s="17" t="s">
        <v>14018</v>
      </c>
      <c r="K6683" s="17"/>
      <c r="L6683" s="17" t="s">
        <v>14019</v>
      </c>
      <c r="M6683" s="17"/>
      <c r="N6683" s="17" t="s">
        <v>14020</v>
      </c>
      <c r="O6683" s="17"/>
      <c r="P6683" s="17" t="s">
        <v>14040</v>
      </c>
      <c r="Q6683" s="17"/>
      <c r="R6683" s="25" t="str">
        <f>HYPERLINK("https://ictv.global/taxonomy/taxondetails?taxnode_id=202303231","Begomovirus crassocephali")</f>
        <v>Begomovirus crassocephali</v>
      </c>
      <c r="S6683" s="18" t="s">
        <v>30</v>
      </c>
      <c r="T6683" s="18" t="s">
        <v>14438</v>
      </c>
      <c r="U6683" s="18" t="s">
        <v>14439</v>
      </c>
      <c r="V6683" s="18" t="s">
        <v>14440</v>
      </c>
      <c r="W6683" s="18" t="s">
        <v>41500</v>
      </c>
      <c r="X6683" s="18" t="s">
        <v>42</v>
      </c>
      <c r="Y6683" s="18" t="s">
        <v>12266</v>
      </c>
      <c r="Z6683" s="18" t="s">
        <v>13441</v>
      </c>
      <c r="AA6683" s="21" t="str">
        <f>HYPERLINK("https://www.ncbi.nlm.nih.gov/nuccore/EF165536","NCBI Nucleotide")</f>
        <v>NCBI Nucleotide</v>
      </c>
    </row>
    <row r="6684" spans="1:27" x14ac:dyDescent="0.35">
      <c r="A6684">
        <v>1007871</v>
      </c>
      <c r="B6684">
        <v>6325</v>
      </c>
      <c r="C6684">
        <v>1</v>
      </c>
      <c r="D6684" s="17" t="s">
        <v>10507</v>
      </c>
      <c r="E6684" s="17"/>
      <c r="F6684" s="17" t="s">
        <v>10780</v>
      </c>
      <c r="G6684" s="17"/>
      <c r="H6684" s="17" t="s">
        <v>12908</v>
      </c>
      <c r="I6684" s="17"/>
      <c r="J6684" s="17" t="s">
        <v>14018</v>
      </c>
      <c r="K6684" s="17"/>
      <c r="L6684" s="17" t="s">
        <v>14019</v>
      </c>
      <c r="M6684" s="17"/>
      <c r="N6684" s="17" t="s">
        <v>14020</v>
      </c>
      <c r="O6684" s="17"/>
      <c r="P6684" s="17" t="s">
        <v>14040</v>
      </c>
      <c r="Q6684" s="17"/>
      <c r="R6684" s="25" t="str">
        <f>HYPERLINK("https://ictv.global/taxonomy/taxondetails?taxnode_id=202303378","Begomovirus crotalariae")</f>
        <v>Begomovirus crotalariae</v>
      </c>
      <c r="S6684" s="18" t="s">
        <v>30</v>
      </c>
      <c r="T6684" s="18" t="s">
        <v>15318</v>
      </c>
      <c r="U6684" s="18" t="s">
        <v>15319</v>
      </c>
      <c r="V6684" s="18" t="s">
        <v>15320</v>
      </c>
      <c r="W6684" s="18" t="s">
        <v>15321</v>
      </c>
      <c r="X6684" s="18" t="s">
        <v>42</v>
      </c>
      <c r="Y6684" s="18" t="s">
        <v>12266</v>
      </c>
      <c r="Z6684" s="18" t="s">
        <v>13441</v>
      </c>
      <c r="AA6684" s="21" t="str">
        <f>HYPERLINK("https://www.ncbi.nlm.nih.gov/nuccore/FJ455449","NCBI Nucleotide")</f>
        <v>NCBI Nucleotide</v>
      </c>
    </row>
    <row r="6685" spans="1:27" x14ac:dyDescent="0.35">
      <c r="A6685">
        <v>1007668</v>
      </c>
      <c r="B6685">
        <v>6326</v>
      </c>
      <c r="C6685">
        <v>1</v>
      </c>
      <c r="D6685" s="17" t="s">
        <v>10507</v>
      </c>
      <c r="E6685" s="17"/>
      <c r="F6685" s="17" t="s">
        <v>10780</v>
      </c>
      <c r="G6685" s="17"/>
      <c r="H6685" s="17" t="s">
        <v>12908</v>
      </c>
      <c r="I6685" s="17"/>
      <c r="J6685" s="17" t="s">
        <v>14018</v>
      </c>
      <c r="K6685" s="17"/>
      <c r="L6685" s="17" t="s">
        <v>14019</v>
      </c>
      <c r="M6685" s="17"/>
      <c r="N6685" s="17" t="s">
        <v>14020</v>
      </c>
      <c r="O6685" s="17"/>
      <c r="P6685" s="17" t="s">
        <v>14040</v>
      </c>
      <c r="Q6685" s="17"/>
      <c r="R6685" s="25" t="str">
        <f>HYPERLINK("https://ictv.global/taxonomy/taxondetails?taxnode_id=202303232","Begomovirus crotoflavi")</f>
        <v>Begomovirus crotoflavi</v>
      </c>
      <c r="S6685" s="18" t="s">
        <v>30</v>
      </c>
      <c r="T6685" s="18" t="s">
        <v>14445</v>
      </c>
      <c r="U6685" s="18" t="s">
        <v>14446</v>
      </c>
      <c r="V6685" s="18" t="s">
        <v>14447</v>
      </c>
      <c r="W6685" s="18" t="s">
        <v>41501</v>
      </c>
      <c r="X6685" s="18" t="s">
        <v>42</v>
      </c>
      <c r="Y6685" s="18" t="s">
        <v>12266</v>
      </c>
      <c r="Z6685" s="18" t="s">
        <v>13441</v>
      </c>
      <c r="AA6685" s="21" t="str">
        <f>HYPERLINK("https://www.ncbi.nlm.nih.gov/nuccore/AJ507777","NCBI Nucleotide")</f>
        <v>NCBI Nucleotide</v>
      </c>
    </row>
    <row r="6686" spans="1:27" x14ac:dyDescent="0.35">
      <c r="A6686">
        <v>1007667</v>
      </c>
      <c r="B6686">
        <v>6327</v>
      </c>
      <c r="C6686">
        <v>1</v>
      </c>
      <c r="D6686" s="17" t="s">
        <v>10507</v>
      </c>
      <c r="E6686" s="17"/>
      <c r="F6686" s="17" t="s">
        <v>10780</v>
      </c>
      <c r="G6686" s="17"/>
      <c r="H6686" s="17" t="s">
        <v>12908</v>
      </c>
      <c r="I6686" s="17"/>
      <c r="J6686" s="17" t="s">
        <v>14018</v>
      </c>
      <c r="K6686" s="17"/>
      <c r="L6686" s="17" t="s">
        <v>14019</v>
      </c>
      <c r="M6686" s="17"/>
      <c r="N6686" s="17" t="s">
        <v>14020</v>
      </c>
      <c r="O6686" s="17"/>
      <c r="P6686" s="17" t="s">
        <v>14040</v>
      </c>
      <c r="Q6686" s="17"/>
      <c r="R6686" s="25" t="str">
        <f>HYPERLINK("https://ictv.global/taxonomy/taxondetails?taxnode_id=202307521","Begomovirus crotomusivi")</f>
        <v>Begomovirus crotomusivi</v>
      </c>
      <c r="S6686" s="18" t="s">
        <v>30</v>
      </c>
      <c r="T6686" s="18" t="s">
        <v>14441</v>
      </c>
      <c r="U6686" s="18" t="s">
        <v>14442</v>
      </c>
      <c r="V6686" s="18" t="s">
        <v>14443</v>
      </c>
      <c r="W6686" s="20" t="s">
        <v>14444</v>
      </c>
      <c r="X6686" s="18" t="s">
        <v>42</v>
      </c>
      <c r="Y6686" s="18" t="s">
        <v>12266</v>
      </c>
      <c r="Z6686" s="18" t="s">
        <v>13441</v>
      </c>
      <c r="AA6686" s="21" t="str">
        <f>HYPERLINK("https://www.ncbi.nlm.nih.gov/nuccore/KX156613,KX156614","NCBI Nucleotide")</f>
        <v>NCBI Nucleotide</v>
      </c>
    </row>
    <row r="6687" spans="1:27" x14ac:dyDescent="0.35">
      <c r="A6687">
        <v>1007669</v>
      </c>
      <c r="B6687">
        <v>6328</v>
      </c>
      <c r="C6687">
        <v>1</v>
      </c>
      <c r="D6687" s="17" t="s">
        <v>10507</v>
      </c>
      <c r="E6687" s="17"/>
      <c r="F6687" s="17" t="s">
        <v>10780</v>
      </c>
      <c r="G6687" s="17"/>
      <c r="H6687" s="17" t="s">
        <v>12908</v>
      </c>
      <c r="I6687" s="17"/>
      <c r="J6687" s="17" t="s">
        <v>14018</v>
      </c>
      <c r="K6687" s="17"/>
      <c r="L6687" s="17" t="s">
        <v>14019</v>
      </c>
      <c r="M6687" s="17"/>
      <c r="N6687" s="17" t="s">
        <v>14020</v>
      </c>
      <c r="O6687" s="17"/>
      <c r="P6687" s="17" t="s">
        <v>14040</v>
      </c>
      <c r="Q6687" s="17"/>
      <c r="R6687" s="25" t="str">
        <f>HYPERLINK("https://ictv.global/taxonomy/taxondetails?taxnode_id=202309120","Begomovirus cucumis")</f>
        <v>Begomovirus cucumis</v>
      </c>
      <c r="S6687" s="18" t="s">
        <v>30</v>
      </c>
      <c r="T6687" s="18" t="s">
        <v>14448</v>
      </c>
      <c r="U6687" s="18" t="s">
        <v>14449</v>
      </c>
      <c r="V6687" s="18" t="s">
        <v>14450</v>
      </c>
      <c r="W6687" s="18" t="s">
        <v>50763</v>
      </c>
      <c r="X6687" s="18" t="s">
        <v>42</v>
      </c>
      <c r="Y6687" s="18" t="s">
        <v>12266</v>
      </c>
      <c r="Z6687" s="18" t="s">
        <v>13441</v>
      </c>
      <c r="AA6687" s="21" t="str">
        <f>HYPERLINK("https://www.ncbi.nlm.nih.gov/nuccore/MN013786,MN013787","NCBI Nucleotide")</f>
        <v>NCBI Nucleotide</v>
      </c>
    </row>
    <row r="6688" spans="1:27" x14ac:dyDescent="0.35">
      <c r="A6688">
        <v>1007752</v>
      </c>
      <c r="B6688">
        <v>6329</v>
      </c>
      <c r="C6688">
        <v>1</v>
      </c>
      <c r="D6688" s="17" t="s">
        <v>10507</v>
      </c>
      <c r="E6688" s="17"/>
      <c r="F6688" s="17" t="s">
        <v>10780</v>
      </c>
      <c r="G6688" s="17"/>
      <c r="H6688" s="17" t="s">
        <v>12908</v>
      </c>
      <c r="I6688" s="17"/>
      <c r="J6688" s="17" t="s">
        <v>14018</v>
      </c>
      <c r="K6688" s="17"/>
      <c r="L6688" s="17" t="s">
        <v>14019</v>
      </c>
      <c r="M6688" s="17"/>
      <c r="N6688" s="17" t="s">
        <v>14020</v>
      </c>
      <c r="O6688" s="17"/>
      <c r="P6688" s="17" t="s">
        <v>14040</v>
      </c>
      <c r="Q6688" s="17"/>
      <c r="R6688" s="25" t="str">
        <f>HYPERLINK("https://ictv.global/taxonomy/taxondetails?taxnode_id=202307526","Begomovirus cucumisflavi")</f>
        <v>Begomovirus cucumisflavi</v>
      </c>
      <c r="S6688" s="18" t="s">
        <v>30</v>
      </c>
      <c r="T6688" s="18" t="s">
        <v>14810</v>
      </c>
      <c r="U6688" s="18" t="s">
        <v>14811</v>
      </c>
      <c r="V6688" s="18" t="s">
        <v>14812</v>
      </c>
      <c r="W6688" s="18" t="s">
        <v>41502</v>
      </c>
      <c r="X6688" s="18" t="s">
        <v>42</v>
      </c>
      <c r="Y6688" s="18" t="s">
        <v>12266</v>
      </c>
      <c r="Z6688" s="18" t="s">
        <v>13441</v>
      </c>
      <c r="AA6688" s="21" t="str">
        <f>HYPERLINK("https://www.ncbi.nlm.nih.gov/nuccore/MH665365","NCBI Nucleotide")</f>
        <v>NCBI Nucleotide</v>
      </c>
    </row>
    <row r="6689" spans="1:27" x14ac:dyDescent="0.35">
      <c r="A6689">
        <v>1007751</v>
      </c>
      <c r="B6689">
        <v>6330</v>
      </c>
      <c r="C6689">
        <v>1</v>
      </c>
      <c r="D6689" s="17" t="s">
        <v>10507</v>
      </c>
      <c r="E6689" s="17"/>
      <c r="F6689" s="17" t="s">
        <v>10780</v>
      </c>
      <c r="G6689" s="17"/>
      <c r="H6689" s="17" t="s">
        <v>12908</v>
      </c>
      <c r="I6689" s="17"/>
      <c r="J6689" s="17" t="s">
        <v>14018</v>
      </c>
      <c r="K6689" s="17"/>
      <c r="L6689" s="17" t="s">
        <v>14019</v>
      </c>
      <c r="M6689" s="17"/>
      <c r="N6689" s="17" t="s">
        <v>14020</v>
      </c>
      <c r="O6689" s="17"/>
      <c r="P6689" s="17" t="s">
        <v>14040</v>
      </c>
      <c r="Q6689" s="17"/>
      <c r="R6689" s="25" t="str">
        <f>HYPERLINK("https://ictv.global/taxonomy/taxondetails?taxnode_id=202303288","Begomovirus cucumismusivi")</f>
        <v>Begomovirus cucumismusivi</v>
      </c>
      <c r="S6689" s="18" t="s">
        <v>30</v>
      </c>
      <c r="T6689" s="18" t="s">
        <v>14806</v>
      </c>
      <c r="U6689" s="18" t="s">
        <v>14807</v>
      </c>
      <c r="V6689" s="18" t="s">
        <v>14808</v>
      </c>
      <c r="W6689" s="18" t="s">
        <v>14809</v>
      </c>
      <c r="X6689" s="18" t="s">
        <v>42</v>
      </c>
      <c r="Y6689" s="18" t="s">
        <v>12266</v>
      </c>
      <c r="Z6689" s="18" t="s">
        <v>13441</v>
      </c>
      <c r="AA6689" s="21" t="str">
        <f>HYPERLINK("https://www.ncbi.nlm.nih.gov/nuccore/HM163576,HM163577","NCBI Nucleotide")</f>
        <v>NCBI Nucleotide</v>
      </c>
    </row>
    <row r="6690" spans="1:27" x14ac:dyDescent="0.35">
      <c r="A6690">
        <v>1007864</v>
      </c>
      <c r="B6690">
        <v>6331</v>
      </c>
      <c r="C6690">
        <v>1</v>
      </c>
      <c r="D6690" s="17" t="s">
        <v>10507</v>
      </c>
      <c r="E6690" s="17"/>
      <c r="F6690" s="17" t="s">
        <v>10780</v>
      </c>
      <c r="G6690" s="17"/>
      <c r="H6690" s="17" t="s">
        <v>12908</v>
      </c>
      <c r="I6690" s="17"/>
      <c r="J6690" s="17" t="s">
        <v>14018</v>
      </c>
      <c r="K6690" s="17"/>
      <c r="L6690" s="17" t="s">
        <v>14019</v>
      </c>
      <c r="M6690" s="17"/>
      <c r="N6690" s="17" t="s">
        <v>14020</v>
      </c>
      <c r="O6690" s="17"/>
      <c r="P6690" s="17" t="s">
        <v>14040</v>
      </c>
      <c r="Q6690" s="17"/>
      <c r="R6690" s="25" t="str">
        <f>HYPERLINK("https://ictv.global/taxonomy/taxondetails?taxnode_id=202303371","Begomovirus cucurbitachinaense")</f>
        <v>Begomovirus cucurbitachinaense</v>
      </c>
      <c r="S6690" s="18" t="s">
        <v>30</v>
      </c>
      <c r="T6690" s="18" t="s">
        <v>15286</v>
      </c>
      <c r="U6690" s="18" t="s">
        <v>15287</v>
      </c>
      <c r="V6690" s="18" t="s">
        <v>15288</v>
      </c>
      <c r="W6690" s="18" t="s">
        <v>50464</v>
      </c>
      <c r="X6690" s="18" t="s">
        <v>42</v>
      </c>
      <c r="Y6690" s="18" t="s">
        <v>12266</v>
      </c>
      <c r="Z6690" s="18" t="s">
        <v>13441</v>
      </c>
      <c r="AA6690" s="21" t="str">
        <f>HYPERLINK("https://www.ncbi.nlm.nih.gov/nuccore/AF509743,AF509742","NCBI Nucleotide")</f>
        <v>NCBI Nucleotide</v>
      </c>
    </row>
    <row r="6691" spans="1:27" x14ac:dyDescent="0.35">
      <c r="A6691">
        <v>1012588</v>
      </c>
      <c r="B6691">
        <v>6331</v>
      </c>
      <c r="C6691">
        <v>2</v>
      </c>
      <c r="D6691" s="17" t="s">
        <v>10507</v>
      </c>
      <c r="E6691" s="17"/>
      <c r="F6691" s="17" t="s">
        <v>10780</v>
      </c>
      <c r="G6691" s="17"/>
      <c r="H6691" s="17" t="s">
        <v>12908</v>
      </c>
      <c r="I6691" s="17"/>
      <c r="J6691" s="17" t="s">
        <v>14018</v>
      </c>
      <c r="K6691" s="17"/>
      <c r="L6691" s="17" t="s">
        <v>14019</v>
      </c>
      <c r="M6691" s="17"/>
      <c r="N6691" s="17" t="s">
        <v>14020</v>
      </c>
      <c r="O6691" s="17"/>
      <c r="P6691" s="17" t="s">
        <v>14040</v>
      </c>
      <c r="Q6691" s="17"/>
      <c r="R6691" s="25" t="str">
        <f>HYPERLINK("https://ictv.global/taxonomy/taxondetails?taxnode_id=202303371","Begomovirus cucurbitachinaense")</f>
        <v>Begomovirus cucurbitachinaense</v>
      </c>
      <c r="S6691" s="18" t="s">
        <v>8141</v>
      </c>
      <c r="T6691" s="18" t="s">
        <v>15286</v>
      </c>
      <c r="U6691" s="18" t="s">
        <v>15289</v>
      </c>
      <c r="V6691" s="18" t="s">
        <v>15290</v>
      </c>
      <c r="W6691" s="18" t="s">
        <v>49087</v>
      </c>
      <c r="X6691" s="18" t="s">
        <v>42</v>
      </c>
      <c r="Y6691" s="18" t="s">
        <v>12266</v>
      </c>
      <c r="Z6691" s="18" t="s">
        <v>13441</v>
      </c>
      <c r="AA6691" s="21" t="str">
        <f>HYPERLINK("https://www.ncbi.nlm.nih.gov/nuccore/EU487031","NCBI Nucleotide")</f>
        <v>NCBI Nucleotide</v>
      </c>
    </row>
    <row r="6692" spans="1:27" x14ac:dyDescent="0.35">
      <c r="A6692">
        <v>1012589</v>
      </c>
      <c r="B6692">
        <v>6331</v>
      </c>
      <c r="C6692">
        <v>3</v>
      </c>
      <c r="D6692" s="17" t="s">
        <v>10507</v>
      </c>
      <c r="E6692" s="17"/>
      <c r="F6692" s="17" t="s">
        <v>10780</v>
      </c>
      <c r="G6692" s="17"/>
      <c r="H6692" s="17" t="s">
        <v>12908</v>
      </c>
      <c r="I6692" s="17"/>
      <c r="J6692" s="17" t="s">
        <v>14018</v>
      </c>
      <c r="K6692" s="17"/>
      <c r="L6692" s="17" t="s">
        <v>14019</v>
      </c>
      <c r="M6692" s="17"/>
      <c r="N6692" s="17" t="s">
        <v>14020</v>
      </c>
      <c r="O6692" s="17"/>
      <c r="P6692" s="17" t="s">
        <v>14040</v>
      </c>
      <c r="Q6692" s="17"/>
      <c r="R6692" s="25" t="str">
        <f>HYPERLINK("https://ictv.global/taxonomy/taxondetails?taxnode_id=202303371","Begomovirus cucurbitachinaense")</f>
        <v>Begomovirus cucurbitachinaense</v>
      </c>
      <c r="S6692" s="18" t="s">
        <v>8141</v>
      </c>
      <c r="T6692" s="18" t="s">
        <v>15286</v>
      </c>
      <c r="U6692" s="18" t="s">
        <v>15291</v>
      </c>
      <c r="V6692" s="18" t="s">
        <v>15292</v>
      </c>
      <c r="W6692" s="18" t="s">
        <v>49088</v>
      </c>
      <c r="X6692" s="18" t="s">
        <v>42</v>
      </c>
      <c r="Y6692" s="18" t="s">
        <v>12266</v>
      </c>
      <c r="Z6692" s="18" t="s">
        <v>13441</v>
      </c>
      <c r="AA6692" s="21" t="str">
        <f>HYPERLINK("https://www.ncbi.nlm.nih.gov/nuccore/AM286794","NCBI Nucleotide")</f>
        <v>NCBI Nucleotide</v>
      </c>
    </row>
    <row r="6693" spans="1:27" x14ac:dyDescent="0.35">
      <c r="A6693">
        <v>1012590</v>
      </c>
      <c r="B6693">
        <v>6331</v>
      </c>
      <c r="C6693">
        <v>4</v>
      </c>
      <c r="D6693" s="17" t="s">
        <v>10507</v>
      </c>
      <c r="E6693" s="17"/>
      <c r="F6693" s="17" t="s">
        <v>10780</v>
      </c>
      <c r="G6693" s="17"/>
      <c r="H6693" s="17" t="s">
        <v>12908</v>
      </c>
      <c r="I6693" s="17"/>
      <c r="J6693" s="17" t="s">
        <v>14018</v>
      </c>
      <c r="K6693" s="17"/>
      <c r="L6693" s="17" t="s">
        <v>14019</v>
      </c>
      <c r="M6693" s="17"/>
      <c r="N6693" s="17" t="s">
        <v>14020</v>
      </c>
      <c r="O6693" s="17"/>
      <c r="P6693" s="17" t="s">
        <v>14040</v>
      </c>
      <c r="Q6693" s="17"/>
      <c r="R6693" s="25" t="str">
        <f>HYPERLINK("https://ictv.global/taxonomy/taxondetails?taxnode_id=202303371","Begomovirus cucurbitachinaense")</f>
        <v>Begomovirus cucurbitachinaense</v>
      </c>
      <c r="S6693" s="18" t="s">
        <v>8141</v>
      </c>
      <c r="T6693" s="18" t="s">
        <v>15286</v>
      </c>
      <c r="U6693" s="18" t="s">
        <v>15293</v>
      </c>
      <c r="V6693" s="18" t="s">
        <v>15294</v>
      </c>
      <c r="W6693" s="18" t="s">
        <v>49089</v>
      </c>
      <c r="X6693" s="18" t="s">
        <v>42</v>
      </c>
      <c r="Y6693" s="18" t="s">
        <v>12266</v>
      </c>
      <c r="Z6693" s="18" t="s">
        <v>13441</v>
      </c>
      <c r="AA6693" s="21" t="str">
        <f>HYPERLINK("https://www.ncbi.nlm.nih.gov/nuccore/EU543562","NCBI Nucleotide")</f>
        <v>NCBI Nucleotide</v>
      </c>
    </row>
    <row r="6694" spans="1:27" x14ac:dyDescent="0.35">
      <c r="A6694">
        <v>1007670</v>
      </c>
      <c r="B6694">
        <v>6332</v>
      </c>
      <c r="C6694">
        <v>1</v>
      </c>
      <c r="D6694" s="17" t="s">
        <v>10507</v>
      </c>
      <c r="E6694" s="17"/>
      <c r="F6694" s="17" t="s">
        <v>10780</v>
      </c>
      <c r="G6694" s="17"/>
      <c r="H6694" s="17" t="s">
        <v>12908</v>
      </c>
      <c r="I6694" s="17"/>
      <c r="J6694" s="17" t="s">
        <v>14018</v>
      </c>
      <c r="K6694" s="17"/>
      <c r="L6694" s="17" t="s">
        <v>14019</v>
      </c>
      <c r="M6694" s="17"/>
      <c r="N6694" s="17" t="s">
        <v>14020</v>
      </c>
      <c r="O6694" s="17"/>
      <c r="P6694" s="17" t="s">
        <v>14040</v>
      </c>
      <c r="Q6694" s="17"/>
      <c r="R6694" s="25" t="str">
        <f>HYPERLINK("https://ictv.global/taxonomy/taxondetails?taxnode_id=202303233","Begomovirus cucurbitae")</f>
        <v>Begomovirus cucurbitae</v>
      </c>
      <c r="S6694" s="18" t="s">
        <v>30</v>
      </c>
      <c r="T6694" s="18" t="s">
        <v>14451</v>
      </c>
      <c r="U6694" s="18" t="s">
        <v>14452</v>
      </c>
      <c r="V6694" s="18" t="s">
        <v>14453</v>
      </c>
      <c r="W6694" s="18" t="s">
        <v>14454</v>
      </c>
      <c r="X6694" s="18" t="s">
        <v>42</v>
      </c>
      <c r="Y6694" s="18" t="s">
        <v>12266</v>
      </c>
      <c r="Z6694" s="18" t="s">
        <v>13441</v>
      </c>
      <c r="AA6694" s="21" t="str">
        <f>HYPERLINK("https://www.ncbi.nlm.nih.gov/nuccore/AF224760,AF224761","NCBI Nucleotide")</f>
        <v>NCBI Nucleotide</v>
      </c>
    </row>
    <row r="6695" spans="1:27" x14ac:dyDescent="0.35">
      <c r="A6695">
        <v>1007804</v>
      </c>
      <c r="B6695">
        <v>6333</v>
      </c>
      <c r="C6695">
        <v>1</v>
      </c>
      <c r="D6695" s="17" t="s">
        <v>10507</v>
      </c>
      <c r="E6695" s="17"/>
      <c r="F6695" s="17" t="s">
        <v>10780</v>
      </c>
      <c r="G6695" s="17"/>
      <c r="H6695" s="17" t="s">
        <v>12908</v>
      </c>
      <c r="I6695" s="17"/>
      <c r="J6695" s="17" t="s">
        <v>14018</v>
      </c>
      <c r="K6695" s="17"/>
      <c r="L6695" s="17" t="s">
        <v>14019</v>
      </c>
      <c r="M6695" s="17"/>
      <c r="N6695" s="17" t="s">
        <v>14020</v>
      </c>
      <c r="O6695" s="17"/>
      <c r="P6695" s="17" t="s">
        <v>14040</v>
      </c>
      <c r="Q6695" s="17"/>
      <c r="R6695" s="25" t="str">
        <f>HYPERLINK("https://ictv.global/taxonomy/taxondetails?taxnode_id=202303320","Begomovirus cucurbitamaximae")</f>
        <v>Begomovirus cucurbitamaximae</v>
      </c>
      <c r="S6695" s="18" t="s">
        <v>30</v>
      </c>
      <c r="T6695" s="18" t="s">
        <v>15058</v>
      </c>
      <c r="U6695" s="18" t="s">
        <v>15059</v>
      </c>
      <c r="V6695" s="18" t="s">
        <v>15060</v>
      </c>
      <c r="W6695" s="18" t="s">
        <v>15061</v>
      </c>
      <c r="X6695" s="18" t="s">
        <v>42</v>
      </c>
      <c r="Y6695" s="18" t="s">
        <v>12266</v>
      </c>
      <c r="Z6695" s="18" t="s">
        <v>13441</v>
      </c>
      <c r="AA6695" s="21" t="str">
        <f>HYPERLINK("https://www.ncbi.nlm.nih.gov/nuccore/EF197941","NCBI Nucleotide")</f>
        <v>NCBI Nucleotide</v>
      </c>
    </row>
    <row r="6696" spans="1:27" x14ac:dyDescent="0.35">
      <c r="A6696">
        <v>1007866</v>
      </c>
      <c r="B6696">
        <v>6334</v>
      </c>
      <c r="C6696">
        <v>1</v>
      </c>
      <c r="D6696" s="17" t="s">
        <v>10507</v>
      </c>
      <c r="E6696" s="17"/>
      <c r="F6696" s="17" t="s">
        <v>10780</v>
      </c>
      <c r="G6696" s="17"/>
      <c r="H6696" s="17" t="s">
        <v>12908</v>
      </c>
      <c r="I6696" s="17"/>
      <c r="J6696" s="17" t="s">
        <v>14018</v>
      </c>
      <c r="K6696" s="17"/>
      <c r="L6696" s="17" t="s">
        <v>14019</v>
      </c>
      <c r="M6696" s="17"/>
      <c r="N6696" s="17" t="s">
        <v>14020</v>
      </c>
      <c r="O6696" s="17"/>
      <c r="P6696" s="17" t="s">
        <v>14040</v>
      </c>
      <c r="Q6696" s="17"/>
      <c r="R6696" s="25" t="str">
        <f>HYPERLINK("https://ictv.global/taxonomy/taxondetails?taxnode_id=202303373","Begomovirus cucurbitapeponis")</f>
        <v>Begomovirus cucurbitapeponis</v>
      </c>
      <c r="S6696" s="18" t="s">
        <v>30</v>
      </c>
      <c r="T6696" s="18" t="s">
        <v>15299</v>
      </c>
      <c r="U6696" s="18" t="s">
        <v>15300</v>
      </c>
      <c r="V6696" s="18" t="s">
        <v>15301</v>
      </c>
      <c r="W6696" s="18" t="s">
        <v>50465</v>
      </c>
      <c r="X6696" s="18" t="s">
        <v>42</v>
      </c>
      <c r="Y6696" s="18" t="s">
        <v>12266</v>
      </c>
      <c r="Z6696" s="18" t="s">
        <v>13441</v>
      </c>
      <c r="AA6696" s="21" t="str">
        <f>HYPERLINK("https://www.ncbi.nlm.nih.gov/nuccore/M38183,M38182","NCBI Nucleotide")</f>
        <v>NCBI Nucleotide</v>
      </c>
    </row>
    <row r="6697" spans="1:27" x14ac:dyDescent="0.35">
      <c r="A6697">
        <v>1007865</v>
      </c>
      <c r="B6697">
        <v>6335</v>
      </c>
      <c r="C6697">
        <v>1</v>
      </c>
      <c r="D6697" s="17" t="s">
        <v>10507</v>
      </c>
      <c r="E6697" s="17"/>
      <c r="F6697" s="17" t="s">
        <v>10780</v>
      </c>
      <c r="G6697" s="17"/>
      <c r="H6697" s="17" t="s">
        <v>12908</v>
      </c>
      <c r="I6697" s="17"/>
      <c r="J6697" s="17" t="s">
        <v>14018</v>
      </c>
      <c r="K6697" s="17"/>
      <c r="L6697" s="17" t="s">
        <v>14019</v>
      </c>
      <c r="M6697" s="17"/>
      <c r="N6697" s="17" t="s">
        <v>14020</v>
      </c>
      <c r="O6697" s="17"/>
      <c r="P6697" s="17" t="s">
        <v>14040</v>
      </c>
      <c r="Q6697" s="17"/>
      <c r="R6697" s="25" t="str">
        <f>HYPERLINK("https://ictv.global/taxonomy/taxondetails?taxnode_id=202303372","Begomovirus cucurbitaphilippinense")</f>
        <v>Begomovirus cucurbitaphilippinense</v>
      </c>
      <c r="S6697" s="18" t="s">
        <v>30</v>
      </c>
      <c r="T6697" s="18" t="s">
        <v>15295</v>
      </c>
      <c r="U6697" s="18" t="s">
        <v>15296</v>
      </c>
      <c r="V6697" s="18" t="s">
        <v>15297</v>
      </c>
      <c r="W6697" s="18" t="s">
        <v>15298</v>
      </c>
      <c r="X6697" s="18" t="s">
        <v>42</v>
      </c>
      <c r="Y6697" s="18" t="s">
        <v>12266</v>
      </c>
      <c r="Z6697" s="18" t="s">
        <v>13441</v>
      </c>
      <c r="AA6697" s="21" t="str">
        <f>HYPERLINK("https://www.ncbi.nlm.nih.gov/nuccore/AB085793,AB085794","NCBI Nucleotide")</f>
        <v>NCBI Nucleotide</v>
      </c>
    </row>
    <row r="6698" spans="1:27" x14ac:dyDescent="0.35">
      <c r="A6698">
        <v>1007868</v>
      </c>
      <c r="B6698">
        <v>6336</v>
      </c>
      <c r="C6698">
        <v>1</v>
      </c>
      <c r="D6698" s="17" t="s">
        <v>10507</v>
      </c>
      <c r="E6698" s="17"/>
      <c r="F6698" s="17" t="s">
        <v>10780</v>
      </c>
      <c r="G6698" s="17"/>
      <c r="H6698" s="17" t="s">
        <v>12908</v>
      </c>
      <c r="I6698" s="17"/>
      <c r="J6698" s="17" t="s">
        <v>14018</v>
      </c>
      <c r="K6698" s="17"/>
      <c r="L6698" s="17" t="s">
        <v>14019</v>
      </c>
      <c r="M6698" s="17"/>
      <c r="N6698" s="17" t="s">
        <v>14020</v>
      </c>
      <c r="O6698" s="17"/>
      <c r="P6698" s="17" t="s">
        <v>14040</v>
      </c>
      <c r="Q6698" s="17"/>
      <c r="R6698" s="25" t="str">
        <f>HYPERLINK("https://ictv.global/taxonomy/taxondetails?taxnode_id=202303375","Begomovirus cucurbitatenuis")</f>
        <v>Begomovirus cucurbitatenuis</v>
      </c>
      <c r="S6698" s="18" t="s">
        <v>30</v>
      </c>
      <c r="T6698" s="18" t="s">
        <v>15305</v>
      </c>
      <c r="U6698" s="18" t="s">
        <v>15306</v>
      </c>
      <c r="V6698" s="18" t="s">
        <v>15301</v>
      </c>
      <c r="W6698" s="18" t="s">
        <v>15307</v>
      </c>
      <c r="X6698" s="18" t="s">
        <v>42</v>
      </c>
      <c r="Y6698" s="18" t="s">
        <v>12266</v>
      </c>
      <c r="Z6698" s="18" t="s">
        <v>13441</v>
      </c>
      <c r="AA6698" s="21" t="str">
        <f>HYPERLINK("https://www.ncbi.nlm.nih.gov/nuccore/AF421552,AF421553","NCBI Nucleotide")</f>
        <v>NCBI Nucleotide</v>
      </c>
    </row>
    <row r="6699" spans="1:27" x14ac:dyDescent="0.35">
      <c r="A6699">
        <v>1007867</v>
      </c>
      <c r="B6699">
        <v>6337</v>
      </c>
      <c r="C6699">
        <v>1</v>
      </c>
      <c r="D6699" s="17" t="s">
        <v>10507</v>
      </c>
      <c r="E6699" s="17"/>
      <c r="F6699" s="17" t="s">
        <v>10780</v>
      </c>
      <c r="G6699" s="17"/>
      <c r="H6699" s="17" t="s">
        <v>12908</v>
      </c>
      <c r="I6699" s="17"/>
      <c r="J6699" s="17" t="s">
        <v>14018</v>
      </c>
      <c r="K6699" s="17"/>
      <c r="L6699" s="17" t="s">
        <v>14019</v>
      </c>
      <c r="M6699" s="17"/>
      <c r="N6699" s="17" t="s">
        <v>14020</v>
      </c>
      <c r="O6699" s="17"/>
      <c r="P6699" s="17" t="s">
        <v>14040</v>
      </c>
      <c r="Q6699" s="17"/>
      <c r="R6699" s="25" t="str">
        <f>HYPERLINK("https://ictv.global/taxonomy/taxondetails?taxnode_id=202303374","Begomovirus cucurbitayunnanense")</f>
        <v>Begomovirus cucurbitayunnanense</v>
      </c>
      <c r="S6699" s="18" t="s">
        <v>30</v>
      </c>
      <c r="T6699" s="18" t="s">
        <v>15302</v>
      </c>
      <c r="U6699" s="18" t="s">
        <v>15303</v>
      </c>
      <c r="V6699" s="18" t="s">
        <v>15304</v>
      </c>
      <c r="W6699" s="18" t="s">
        <v>41503</v>
      </c>
      <c r="X6699" s="18" t="s">
        <v>42</v>
      </c>
      <c r="Y6699" s="18" t="s">
        <v>12266</v>
      </c>
      <c r="Z6699" s="18" t="s">
        <v>13441</v>
      </c>
      <c r="AA6699" s="21" t="str">
        <f>HYPERLINK("https://www.ncbi.nlm.nih.gov/nuccore/AJ420319","NCBI Nucleotide")</f>
        <v>NCBI Nucleotide</v>
      </c>
    </row>
    <row r="6700" spans="1:27" x14ac:dyDescent="0.35">
      <c r="A6700">
        <v>1007671</v>
      </c>
      <c r="B6700">
        <v>6338</v>
      </c>
      <c r="C6700">
        <v>1</v>
      </c>
      <c r="D6700" s="17" t="s">
        <v>10507</v>
      </c>
      <c r="E6700" s="17"/>
      <c r="F6700" s="17" t="s">
        <v>10780</v>
      </c>
      <c r="G6700" s="17"/>
      <c r="H6700" s="17" t="s">
        <v>12908</v>
      </c>
      <c r="I6700" s="17"/>
      <c r="J6700" s="17" t="s">
        <v>14018</v>
      </c>
      <c r="K6700" s="17"/>
      <c r="L6700" s="17" t="s">
        <v>14019</v>
      </c>
      <c r="M6700" s="17"/>
      <c r="N6700" s="17" t="s">
        <v>14020</v>
      </c>
      <c r="O6700" s="17"/>
      <c r="P6700" s="17" t="s">
        <v>14040</v>
      </c>
      <c r="Q6700" s="17"/>
      <c r="R6700" s="25" t="str">
        <f>HYPERLINK("https://ictv.global/taxonomy/taxondetails?taxnode_id=202303234","Begomovirus dalechampiae")</f>
        <v>Begomovirus dalechampiae</v>
      </c>
      <c r="S6700" s="18" t="s">
        <v>30</v>
      </c>
      <c r="T6700" s="18" t="s">
        <v>14455</v>
      </c>
      <c r="U6700" s="18" t="s">
        <v>14456</v>
      </c>
      <c r="V6700" s="18" t="s">
        <v>14457</v>
      </c>
      <c r="W6700" s="18" t="s">
        <v>14458</v>
      </c>
      <c r="X6700" s="18" t="s">
        <v>42</v>
      </c>
      <c r="Y6700" s="18" t="s">
        <v>12266</v>
      </c>
      <c r="Z6700" s="18" t="s">
        <v>13441</v>
      </c>
      <c r="AA6700" s="21" t="str">
        <f>HYPERLINK("https://www.ncbi.nlm.nih.gov/nuccore/JN848775,JN848776","NCBI Nucleotide")</f>
        <v>NCBI Nucleotide</v>
      </c>
    </row>
    <row r="6701" spans="1:27" x14ac:dyDescent="0.35">
      <c r="A6701">
        <v>1007673</v>
      </c>
      <c r="B6701">
        <v>6339</v>
      </c>
      <c r="C6701">
        <v>1</v>
      </c>
      <c r="D6701" s="17" t="s">
        <v>10507</v>
      </c>
      <c r="E6701" s="17"/>
      <c r="F6701" s="17" t="s">
        <v>10780</v>
      </c>
      <c r="G6701" s="17"/>
      <c r="H6701" s="17" t="s">
        <v>12908</v>
      </c>
      <c r="I6701" s="17"/>
      <c r="J6701" s="17" t="s">
        <v>14018</v>
      </c>
      <c r="K6701" s="17"/>
      <c r="L6701" s="17" t="s">
        <v>14019</v>
      </c>
      <c r="M6701" s="17"/>
      <c r="N6701" s="17" t="s">
        <v>14020</v>
      </c>
      <c r="O6701" s="17"/>
      <c r="P6701" s="17" t="s">
        <v>14040</v>
      </c>
      <c r="Q6701" s="17"/>
      <c r="R6701" s="25" t="str">
        <f>HYPERLINK("https://ictv.global/taxonomy/taxondetails?taxnode_id=202303235","Begomovirus daturadistortionis")</f>
        <v>Begomovirus daturadistortionis</v>
      </c>
      <c r="S6701" s="18" t="s">
        <v>30</v>
      </c>
      <c r="T6701" s="18" t="s">
        <v>14462</v>
      </c>
      <c r="U6701" s="18" t="s">
        <v>14463</v>
      </c>
      <c r="V6701" s="18" t="s">
        <v>14464</v>
      </c>
      <c r="W6701" s="18" t="s">
        <v>14465</v>
      </c>
      <c r="X6701" s="18" t="s">
        <v>42</v>
      </c>
      <c r="Y6701" s="18" t="s">
        <v>12266</v>
      </c>
      <c r="Z6701" s="18" t="s">
        <v>13441</v>
      </c>
      <c r="AA6701" s="21" t="str">
        <f>HYPERLINK("https://www.ncbi.nlm.nih.gov/nuccore/JN848773,JN848774","NCBI Nucleotide")</f>
        <v>NCBI Nucleotide</v>
      </c>
    </row>
    <row r="6702" spans="1:27" x14ac:dyDescent="0.35">
      <c r="A6702">
        <v>1007672</v>
      </c>
      <c r="B6702">
        <v>6340</v>
      </c>
      <c r="C6702">
        <v>1</v>
      </c>
      <c r="D6702" s="17" t="s">
        <v>10507</v>
      </c>
      <c r="E6702" s="17"/>
      <c r="F6702" s="17" t="s">
        <v>10780</v>
      </c>
      <c r="G6702" s="17"/>
      <c r="H6702" s="17" t="s">
        <v>12908</v>
      </c>
      <c r="I6702" s="17"/>
      <c r="J6702" s="17" t="s">
        <v>14018</v>
      </c>
      <c r="K6702" s="17"/>
      <c r="L6702" s="17" t="s">
        <v>14019</v>
      </c>
      <c r="M6702" s="17"/>
      <c r="N6702" s="17" t="s">
        <v>14020</v>
      </c>
      <c r="O6702" s="17"/>
      <c r="P6702" s="17" t="s">
        <v>14040</v>
      </c>
      <c r="Q6702" s="17"/>
      <c r="R6702" s="25" t="str">
        <f>HYPERLINK("https://ictv.global/taxonomy/taxondetails?taxnode_id=202306700","Begomovirus daturae")</f>
        <v>Begomovirus daturae</v>
      </c>
      <c r="S6702" s="18" t="s">
        <v>30</v>
      </c>
      <c r="T6702" s="18" t="s">
        <v>14459</v>
      </c>
      <c r="U6702" s="18" t="s">
        <v>14460</v>
      </c>
      <c r="V6702" s="18" t="s">
        <v>14461</v>
      </c>
      <c r="W6702" s="18" t="s">
        <v>41504</v>
      </c>
      <c r="X6702" s="18" t="s">
        <v>42</v>
      </c>
      <c r="Y6702" s="18" t="s">
        <v>12266</v>
      </c>
      <c r="Z6702" s="18" t="s">
        <v>13441</v>
      </c>
      <c r="AA6702" s="21" t="str">
        <f>HYPERLINK("https://www.ncbi.nlm.nih.gov/nuccore/MF402918","NCBI Nucleotide")</f>
        <v>NCBI Nucleotide</v>
      </c>
    </row>
    <row r="6703" spans="1:27" x14ac:dyDescent="0.35">
      <c r="A6703">
        <v>1007674</v>
      </c>
      <c r="B6703">
        <v>6341</v>
      </c>
      <c r="C6703">
        <v>1</v>
      </c>
      <c r="D6703" s="17" t="s">
        <v>10507</v>
      </c>
      <c r="E6703" s="17"/>
      <c r="F6703" s="17" t="s">
        <v>10780</v>
      </c>
      <c r="G6703" s="17"/>
      <c r="H6703" s="17" t="s">
        <v>12908</v>
      </c>
      <c r="I6703" s="17"/>
      <c r="J6703" s="17" t="s">
        <v>14018</v>
      </c>
      <c r="K6703" s="17"/>
      <c r="L6703" s="17" t="s">
        <v>14019</v>
      </c>
      <c r="M6703" s="17"/>
      <c r="N6703" s="17" t="s">
        <v>14020</v>
      </c>
      <c r="O6703" s="17"/>
      <c r="P6703" s="17" t="s">
        <v>14040</v>
      </c>
      <c r="Q6703" s="17"/>
      <c r="R6703" s="25" t="str">
        <f>HYPERLINK("https://ictv.global/taxonomy/taxondetails?taxnode_id=202305797","Begomovirus deinbolliae")</f>
        <v>Begomovirus deinbolliae</v>
      </c>
      <c r="S6703" s="18" t="s">
        <v>30</v>
      </c>
      <c r="T6703" s="18" t="s">
        <v>14466</v>
      </c>
      <c r="U6703" s="18" t="s">
        <v>14467</v>
      </c>
      <c r="V6703" s="18" t="s">
        <v>14468</v>
      </c>
      <c r="W6703" s="18" t="s">
        <v>50466</v>
      </c>
      <c r="X6703" s="18" t="s">
        <v>42</v>
      </c>
      <c r="Y6703" s="18" t="s">
        <v>12266</v>
      </c>
      <c r="Z6703" s="18" t="s">
        <v>13441</v>
      </c>
      <c r="AA6703" s="21" t="str">
        <f>HYPERLINK("https://www.ncbi.nlm.nih.gov/nuccore/KT878829,KT878828","NCBI Nucleotide")</f>
        <v>NCBI Nucleotide</v>
      </c>
    </row>
    <row r="6704" spans="1:27" x14ac:dyDescent="0.35">
      <c r="A6704">
        <v>1007676</v>
      </c>
      <c r="B6704">
        <v>6342</v>
      </c>
      <c r="C6704">
        <v>1</v>
      </c>
      <c r="D6704" s="17" t="s">
        <v>10507</v>
      </c>
      <c r="E6704" s="17"/>
      <c r="F6704" s="17" t="s">
        <v>10780</v>
      </c>
      <c r="G6704" s="17"/>
      <c r="H6704" s="17" t="s">
        <v>12908</v>
      </c>
      <c r="I6704" s="17"/>
      <c r="J6704" s="17" t="s">
        <v>14018</v>
      </c>
      <c r="K6704" s="17"/>
      <c r="L6704" s="17" t="s">
        <v>14019</v>
      </c>
      <c r="M6704" s="17"/>
      <c r="N6704" s="17" t="s">
        <v>14020</v>
      </c>
      <c r="O6704" s="17"/>
      <c r="P6704" s="17" t="s">
        <v>14040</v>
      </c>
      <c r="Q6704" s="17"/>
      <c r="R6704" s="25" t="str">
        <f>HYPERLINK("https://ictv.global/taxonomy/taxondetails?taxnode_id=202305798","Begomovirus desmodii")</f>
        <v>Begomovirus desmodii</v>
      </c>
      <c r="S6704" s="18" t="s">
        <v>30</v>
      </c>
      <c r="T6704" s="18" t="s">
        <v>14472</v>
      </c>
      <c r="U6704" s="18" t="s">
        <v>14473</v>
      </c>
      <c r="V6704" s="18" t="s">
        <v>14474</v>
      </c>
      <c r="W6704" s="18" t="s">
        <v>14475</v>
      </c>
      <c r="X6704" s="18" t="s">
        <v>42</v>
      </c>
      <c r="Y6704" s="18" t="s">
        <v>12266</v>
      </c>
      <c r="Z6704" s="18" t="s">
        <v>13441</v>
      </c>
      <c r="AA6704" s="21" t="str">
        <f>HYPERLINK("https://www.ncbi.nlm.nih.gov/nuccore/KY294725,KY294727","NCBI Nucleotide")</f>
        <v>NCBI Nucleotide</v>
      </c>
    </row>
    <row r="6705" spans="1:27" x14ac:dyDescent="0.35">
      <c r="A6705">
        <v>1007675</v>
      </c>
      <c r="B6705">
        <v>6343</v>
      </c>
      <c r="C6705">
        <v>1</v>
      </c>
      <c r="D6705" s="17" t="s">
        <v>10507</v>
      </c>
      <c r="E6705" s="17"/>
      <c r="F6705" s="17" t="s">
        <v>10780</v>
      </c>
      <c r="G6705" s="17"/>
      <c r="H6705" s="17" t="s">
        <v>12908</v>
      </c>
      <c r="I6705" s="17"/>
      <c r="J6705" s="17" t="s">
        <v>14018</v>
      </c>
      <c r="K6705" s="17"/>
      <c r="L6705" s="17" t="s">
        <v>14019</v>
      </c>
      <c r="M6705" s="17"/>
      <c r="N6705" s="17" t="s">
        <v>14020</v>
      </c>
      <c r="O6705" s="17"/>
      <c r="P6705" s="17" t="s">
        <v>14040</v>
      </c>
      <c r="Q6705" s="17"/>
      <c r="R6705" s="25" t="str">
        <f>HYPERLINK("https://ictv.global/taxonomy/taxondetails?taxnode_id=202303236","Begomovirus desmodistortionis")</f>
        <v>Begomovirus desmodistortionis</v>
      </c>
      <c r="S6705" s="18" t="s">
        <v>30</v>
      </c>
      <c r="T6705" s="18" t="s">
        <v>14469</v>
      </c>
      <c r="U6705" s="18" t="s">
        <v>14470</v>
      </c>
      <c r="V6705" s="18" t="s">
        <v>14206</v>
      </c>
      <c r="W6705" s="18" t="s">
        <v>14471</v>
      </c>
      <c r="X6705" s="18" t="s">
        <v>42</v>
      </c>
      <c r="Y6705" s="18" t="s">
        <v>12266</v>
      </c>
      <c r="Z6705" s="18" t="s">
        <v>13441</v>
      </c>
      <c r="AA6705" s="21" t="str">
        <f>HYPERLINK("https://www.ncbi.nlm.nih.gov/nuccore/DQ875870,DQ875871","NCBI Nucleotide")</f>
        <v>NCBI Nucleotide</v>
      </c>
    </row>
    <row r="6706" spans="1:27" x14ac:dyDescent="0.35">
      <c r="A6706">
        <v>1007677</v>
      </c>
      <c r="B6706">
        <v>6344</v>
      </c>
      <c r="C6706">
        <v>1</v>
      </c>
      <c r="D6706" s="17" t="s">
        <v>10507</v>
      </c>
      <c r="E6706" s="17"/>
      <c r="F6706" s="17" t="s">
        <v>10780</v>
      </c>
      <c r="G6706" s="17"/>
      <c r="H6706" s="17" t="s">
        <v>12908</v>
      </c>
      <c r="I6706" s="17"/>
      <c r="J6706" s="17" t="s">
        <v>14018</v>
      </c>
      <c r="K6706" s="17"/>
      <c r="L6706" s="17" t="s">
        <v>14019</v>
      </c>
      <c r="M6706" s="17"/>
      <c r="N6706" s="17" t="s">
        <v>14020</v>
      </c>
      <c r="O6706" s="17"/>
      <c r="P6706" s="17" t="s">
        <v>14040</v>
      </c>
      <c r="Q6706" s="17"/>
      <c r="R6706" s="25" t="str">
        <f>HYPERLINK("https://ictv.global/taxonomy/taxondetails?taxnode_id=202303237","Begomovirus diclipteracubaense")</f>
        <v>Begomovirus diclipteracubaense</v>
      </c>
      <c r="S6706" s="18" t="s">
        <v>30</v>
      </c>
      <c r="T6706" s="18" t="s">
        <v>14476</v>
      </c>
      <c r="U6706" s="18" t="s">
        <v>14477</v>
      </c>
      <c r="V6706" s="18" t="s">
        <v>14478</v>
      </c>
      <c r="W6706" s="18" t="s">
        <v>14479</v>
      </c>
      <c r="X6706" s="18" t="s">
        <v>42</v>
      </c>
      <c r="Y6706" s="18" t="s">
        <v>12266</v>
      </c>
      <c r="Z6706" s="18" t="s">
        <v>13441</v>
      </c>
      <c r="AA6706" s="21" t="str">
        <f>HYPERLINK("https://www.ncbi.nlm.nih.gov/nuccore/AJ549960","NCBI Nucleotide")</f>
        <v>NCBI Nucleotide</v>
      </c>
    </row>
    <row r="6707" spans="1:27" x14ac:dyDescent="0.35">
      <c r="A6707">
        <v>1007678</v>
      </c>
      <c r="B6707">
        <v>6345</v>
      </c>
      <c r="C6707">
        <v>1</v>
      </c>
      <c r="D6707" s="17" t="s">
        <v>10507</v>
      </c>
      <c r="E6707" s="17"/>
      <c r="F6707" s="17" t="s">
        <v>10780</v>
      </c>
      <c r="G6707" s="17"/>
      <c r="H6707" s="17" t="s">
        <v>12908</v>
      </c>
      <c r="I6707" s="17"/>
      <c r="J6707" s="17" t="s">
        <v>14018</v>
      </c>
      <c r="K6707" s="17"/>
      <c r="L6707" s="17" t="s">
        <v>14019</v>
      </c>
      <c r="M6707" s="17"/>
      <c r="N6707" s="17" t="s">
        <v>14020</v>
      </c>
      <c r="O6707" s="17"/>
      <c r="P6707" s="17" t="s">
        <v>14040</v>
      </c>
      <c r="Q6707" s="17"/>
      <c r="R6707" s="25" t="str">
        <f>HYPERLINK("https://ictv.global/taxonomy/taxondetails?taxnode_id=202303238","Begomovirus diclipterae")</f>
        <v>Begomovirus diclipterae</v>
      </c>
      <c r="S6707" s="18" t="s">
        <v>30</v>
      </c>
      <c r="T6707" s="18" t="s">
        <v>14480</v>
      </c>
      <c r="U6707" s="18" t="s">
        <v>14481</v>
      </c>
      <c r="V6707" s="18" t="s">
        <v>14482</v>
      </c>
      <c r="W6707" s="18" t="s">
        <v>14483</v>
      </c>
      <c r="X6707" s="18" t="s">
        <v>42</v>
      </c>
      <c r="Y6707" s="18" t="s">
        <v>12266</v>
      </c>
      <c r="Z6707" s="18" t="s">
        <v>13441</v>
      </c>
      <c r="AA6707" s="21" t="str">
        <f>HYPERLINK("https://www.ncbi.nlm.nih.gov/nuccore/AF139168,AF170101","NCBI Nucleotide")</f>
        <v>NCBI Nucleotide</v>
      </c>
    </row>
    <row r="6708" spans="1:27" x14ac:dyDescent="0.35">
      <c r="A6708">
        <v>1007679</v>
      </c>
      <c r="B6708">
        <v>6346</v>
      </c>
      <c r="C6708">
        <v>1</v>
      </c>
      <c r="D6708" s="17" t="s">
        <v>10507</v>
      </c>
      <c r="E6708" s="17"/>
      <c r="F6708" s="17" t="s">
        <v>10780</v>
      </c>
      <c r="G6708" s="17"/>
      <c r="H6708" s="17" t="s">
        <v>12908</v>
      </c>
      <c r="I6708" s="17"/>
      <c r="J6708" s="17" t="s">
        <v>14018</v>
      </c>
      <c r="K6708" s="17"/>
      <c r="L6708" s="17" t="s">
        <v>14019</v>
      </c>
      <c r="M6708" s="17"/>
      <c r="N6708" s="17" t="s">
        <v>14020</v>
      </c>
      <c r="O6708" s="17"/>
      <c r="P6708" s="17" t="s">
        <v>14040</v>
      </c>
      <c r="Q6708" s="17"/>
      <c r="R6708" s="25" t="str">
        <f>HYPERLINK("https://ictv.global/taxonomy/taxondetails?taxnode_id=202303239","Begomovirus dolichoris")</f>
        <v>Begomovirus dolichoris</v>
      </c>
      <c r="S6708" s="18" t="s">
        <v>30</v>
      </c>
      <c r="T6708" s="18" t="s">
        <v>14484</v>
      </c>
      <c r="U6708" s="18" t="s">
        <v>14485</v>
      </c>
      <c r="V6708" s="18" t="s">
        <v>14269</v>
      </c>
      <c r="W6708" s="18" t="s">
        <v>14486</v>
      </c>
      <c r="X6708" s="18" t="s">
        <v>42</v>
      </c>
      <c r="Y6708" s="18" t="s">
        <v>12266</v>
      </c>
      <c r="Z6708" s="18" t="s">
        <v>13441</v>
      </c>
      <c r="AA6708" s="21" t="str">
        <f>HYPERLINK("https://www.ncbi.nlm.nih.gov/nuccore/AY271891","NCBI Nucleotide")</f>
        <v>NCBI Nucleotide</v>
      </c>
    </row>
    <row r="6709" spans="1:27" x14ac:dyDescent="0.35">
      <c r="A6709">
        <v>1007680</v>
      </c>
      <c r="B6709">
        <v>6347</v>
      </c>
      <c r="C6709">
        <v>1</v>
      </c>
      <c r="D6709" s="17" t="s">
        <v>10507</v>
      </c>
      <c r="E6709" s="17"/>
      <c r="F6709" s="17" t="s">
        <v>10780</v>
      </c>
      <c r="G6709" s="17"/>
      <c r="H6709" s="17" t="s">
        <v>12908</v>
      </c>
      <c r="I6709" s="17"/>
      <c r="J6709" s="17" t="s">
        <v>14018</v>
      </c>
      <c r="K6709" s="17"/>
      <c r="L6709" s="17" t="s">
        <v>14019</v>
      </c>
      <c r="M6709" s="17"/>
      <c r="N6709" s="17" t="s">
        <v>14020</v>
      </c>
      <c r="O6709" s="17"/>
      <c r="P6709" s="17" t="s">
        <v>14040</v>
      </c>
      <c r="Q6709" s="17"/>
      <c r="R6709" s="25" t="str">
        <f>HYPERLINK("https://ictv.global/taxonomy/taxondetails?taxnode_id=202305799","Begomovirus durantae")</f>
        <v>Begomovirus durantae</v>
      </c>
      <c r="S6709" s="18" t="s">
        <v>30</v>
      </c>
      <c r="T6709" s="18" t="s">
        <v>14487</v>
      </c>
      <c r="U6709" s="18" t="s">
        <v>14488</v>
      </c>
      <c r="V6709" s="18" t="s">
        <v>14489</v>
      </c>
      <c r="W6709" s="18" t="s">
        <v>14490</v>
      </c>
      <c r="X6709" s="18" t="s">
        <v>42</v>
      </c>
      <c r="Y6709" s="18" t="s">
        <v>12266</v>
      </c>
      <c r="Z6709" s="18" t="s">
        <v>13441</v>
      </c>
      <c r="AA6709" s="21" t="str">
        <f>HYPERLINK("https://www.ncbi.nlm.nih.gov/nuccore/KT948069","NCBI Nucleotide")</f>
        <v>NCBI Nucleotide</v>
      </c>
    </row>
    <row r="6710" spans="1:27" x14ac:dyDescent="0.35">
      <c r="A6710">
        <v>1007686</v>
      </c>
      <c r="B6710">
        <v>6348</v>
      </c>
      <c r="C6710">
        <v>1</v>
      </c>
      <c r="D6710" s="17" t="s">
        <v>10507</v>
      </c>
      <c r="E6710" s="17"/>
      <c r="F6710" s="17" t="s">
        <v>10780</v>
      </c>
      <c r="G6710" s="17"/>
      <c r="H6710" s="17" t="s">
        <v>12908</v>
      </c>
      <c r="I6710" s="17"/>
      <c r="J6710" s="17" t="s">
        <v>14018</v>
      </c>
      <c r="K6710" s="17"/>
      <c r="L6710" s="17" t="s">
        <v>14019</v>
      </c>
      <c r="M6710" s="17"/>
      <c r="N6710" s="17" t="s">
        <v>14020</v>
      </c>
      <c r="O6710" s="17"/>
      <c r="P6710" s="17" t="s">
        <v>14040</v>
      </c>
      <c r="Q6710" s="17"/>
      <c r="R6710" s="25" t="str">
        <f>HYPERLINK("https://ictv.global/taxonomy/taxondetails?taxnode_id=202306701","Begomovirus ecliptae")</f>
        <v>Begomovirus ecliptae</v>
      </c>
      <c r="S6710" s="18" t="s">
        <v>30</v>
      </c>
      <c r="T6710" s="18" t="s">
        <v>14515</v>
      </c>
      <c r="U6710" s="18" t="s">
        <v>14516</v>
      </c>
      <c r="V6710" s="18" t="s">
        <v>14517</v>
      </c>
      <c r="W6710" s="18" t="s">
        <v>41505</v>
      </c>
      <c r="X6710" s="18" t="s">
        <v>42</v>
      </c>
      <c r="Y6710" s="18" t="s">
        <v>12266</v>
      </c>
      <c r="Z6710" s="18" t="s">
        <v>13441</v>
      </c>
      <c r="AA6710" s="21" t="str">
        <f>HYPERLINK("https://www.ncbi.nlm.nih.gov/nuccore/KT390456","NCBI Nucleotide")</f>
        <v>NCBI Nucleotide</v>
      </c>
    </row>
    <row r="6711" spans="1:27" x14ac:dyDescent="0.35">
      <c r="A6711">
        <v>1007689</v>
      </c>
      <c r="B6711">
        <v>6349</v>
      </c>
      <c r="C6711">
        <v>1</v>
      </c>
      <c r="D6711" s="17" t="s">
        <v>10507</v>
      </c>
      <c r="E6711" s="17"/>
      <c r="F6711" s="17" t="s">
        <v>10780</v>
      </c>
      <c r="G6711" s="17"/>
      <c r="H6711" s="17" t="s">
        <v>12908</v>
      </c>
      <c r="I6711" s="17"/>
      <c r="J6711" s="17" t="s">
        <v>14018</v>
      </c>
      <c r="K6711" s="17"/>
      <c r="L6711" s="17" t="s">
        <v>14019</v>
      </c>
      <c r="M6711" s="17"/>
      <c r="N6711" s="17" t="s">
        <v>14020</v>
      </c>
      <c r="O6711" s="17"/>
      <c r="P6711" s="17" t="s">
        <v>14040</v>
      </c>
      <c r="Q6711" s="17"/>
      <c r="R6711" s="25" t="str">
        <f>HYPERLINK("https://ictv.global/taxonomy/taxondetails?taxnode_id=202303245","Begomovirus emiliae")</f>
        <v>Begomovirus emiliae</v>
      </c>
      <c r="S6711" s="18" t="s">
        <v>30</v>
      </c>
      <c r="T6711" s="18" t="s">
        <v>14524</v>
      </c>
      <c r="U6711" s="18" t="s">
        <v>14516</v>
      </c>
      <c r="V6711" s="18" t="s">
        <v>14525</v>
      </c>
      <c r="W6711" s="18" t="s">
        <v>41506</v>
      </c>
      <c r="X6711" s="18" t="s">
        <v>42</v>
      </c>
      <c r="Y6711" s="18" t="s">
        <v>12266</v>
      </c>
      <c r="Z6711" s="18" t="s">
        <v>13441</v>
      </c>
      <c r="AA6711" s="21" t="str">
        <f>HYPERLINK("https://www.ncbi.nlm.nih.gov/nuccore/EU377539","NCBI Nucleotide")</f>
        <v>NCBI Nucleotide</v>
      </c>
    </row>
    <row r="6712" spans="1:27" x14ac:dyDescent="0.35">
      <c r="A6712">
        <v>1007687</v>
      </c>
      <c r="B6712">
        <v>6350</v>
      </c>
      <c r="C6712">
        <v>1</v>
      </c>
      <c r="D6712" s="17" t="s">
        <v>10507</v>
      </c>
      <c r="E6712" s="17"/>
      <c r="F6712" s="17" t="s">
        <v>10780</v>
      </c>
      <c r="G6712" s="17"/>
      <c r="H6712" s="17" t="s">
        <v>12908</v>
      </c>
      <c r="I6712" s="17"/>
      <c r="J6712" s="17" t="s">
        <v>14018</v>
      </c>
      <c r="K6712" s="17"/>
      <c r="L6712" s="17" t="s">
        <v>14019</v>
      </c>
      <c r="M6712" s="17"/>
      <c r="N6712" s="17" t="s">
        <v>14020</v>
      </c>
      <c r="O6712" s="17"/>
      <c r="P6712" s="17" t="s">
        <v>14040</v>
      </c>
      <c r="Q6712" s="17"/>
      <c r="R6712" s="25" t="str">
        <f>HYPERLINK("https://ictv.global/taxonomy/taxondetails?taxnode_id=202307522","Begomovirus emiliafujianense")</f>
        <v>Begomovirus emiliafujianense</v>
      </c>
      <c r="S6712" s="18" t="s">
        <v>30</v>
      </c>
      <c r="T6712" s="18" t="s">
        <v>14518</v>
      </c>
      <c r="U6712" s="18" t="s">
        <v>14519</v>
      </c>
      <c r="V6712" s="18" t="s">
        <v>14520</v>
      </c>
      <c r="W6712" s="18" t="s">
        <v>41507</v>
      </c>
      <c r="X6712" s="18" t="s">
        <v>42</v>
      </c>
      <c r="Y6712" s="18" t="s">
        <v>12266</v>
      </c>
      <c r="Z6712" s="18" t="s">
        <v>13441</v>
      </c>
      <c r="AA6712" s="21" t="str">
        <f>HYPERLINK("https://www.ncbi.nlm.nih.gov/nuccore/MH035670","NCBI Nucleotide")</f>
        <v>NCBI Nucleotide</v>
      </c>
    </row>
    <row r="6713" spans="1:27" x14ac:dyDescent="0.35">
      <c r="A6713">
        <v>1007688</v>
      </c>
      <c r="B6713">
        <v>6351</v>
      </c>
      <c r="C6713">
        <v>1</v>
      </c>
      <c r="D6713" s="17" t="s">
        <v>10507</v>
      </c>
      <c r="E6713" s="17"/>
      <c r="F6713" s="17" t="s">
        <v>10780</v>
      </c>
      <c r="G6713" s="17"/>
      <c r="H6713" s="17" t="s">
        <v>12908</v>
      </c>
      <c r="I6713" s="17"/>
      <c r="J6713" s="17" t="s">
        <v>14018</v>
      </c>
      <c r="K6713" s="17"/>
      <c r="L6713" s="17" t="s">
        <v>14019</v>
      </c>
      <c r="M6713" s="17"/>
      <c r="N6713" s="17" t="s">
        <v>14020</v>
      </c>
      <c r="O6713" s="17"/>
      <c r="P6713" s="17" t="s">
        <v>14040</v>
      </c>
      <c r="Q6713" s="17"/>
      <c r="R6713" s="25" t="str">
        <f>HYPERLINK("https://ictv.global/taxonomy/taxondetails?taxnode_id=202306702","Begomovirus emiliathailandense")</f>
        <v>Begomovirus emiliathailandense</v>
      </c>
      <c r="S6713" s="18" t="s">
        <v>30</v>
      </c>
      <c r="T6713" s="18" t="s">
        <v>14521</v>
      </c>
      <c r="U6713" s="18" t="s">
        <v>14522</v>
      </c>
      <c r="V6713" s="18" t="s">
        <v>14523</v>
      </c>
      <c r="W6713" s="18" t="s">
        <v>41508</v>
      </c>
      <c r="X6713" s="18" t="s">
        <v>42</v>
      </c>
      <c r="Y6713" s="18" t="s">
        <v>12266</v>
      </c>
      <c r="Z6713" s="18" t="s">
        <v>13441</v>
      </c>
      <c r="AA6713" s="21" t="str">
        <f>HYPERLINK("https://www.ncbi.nlm.nih.gov/nuccore/KY373213","NCBI Nucleotide")</f>
        <v>NCBI Nucleotide</v>
      </c>
    </row>
    <row r="6714" spans="1:27" x14ac:dyDescent="0.35">
      <c r="A6714">
        <v>1007690</v>
      </c>
      <c r="B6714">
        <v>6352</v>
      </c>
      <c r="C6714">
        <v>1</v>
      </c>
      <c r="D6714" s="17" t="s">
        <v>10507</v>
      </c>
      <c r="E6714" s="17"/>
      <c r="F6714" s="17" t="s">
        <v>10780</v>
      </c>
      <c r="G6714" s="17"/>
      <c r="H6714" s="17" t="s">
        <v>12908</v>
      </c>
      <c r="I6714" s="17"/>
      <c r="J6714" s="17" t="s">
        <v>14018</v>
      </c>
      <c r="K6714" s="17"/>
      <c r="L6714" s="17" t="s">
        <v>14019</v>
      </c>
      <c r="M6714" s="17"/>
      <c r="N6714" s="17" t="s">
        <v>14020</v>
      </c>
      <c r="O6714" s="17"/>
      <c r="P6714" s="17" t="s">
        <v>14040</v>
      </c>
      <c r="Q6714" s="17"/>
      <c r="R6714" s="25" t="str">
        <f>HYPERLINK("https://ictv.global/taxonomy/taxondetails?taxnode_id=202303246","Begomovirus erectitesis")</f>
        <v>Begomovirus erectitesis</v>
      </c>
      <c r="S6714" s="18" t="s">
        <v>30</v>
      </c>
      <c r="T6714" s="18" t="s">
        <v>14526</v>
      </c>
      <c r="U6714" s="18" t="s">
        <v>14527</v>
      </c>
      <c r="V6714" s="18" t="s">
        <v>14528</v>
      </c>
      <c r="W6714" s="18" t="s">
        <v>14529</v>
      </c>
      <c r="X6714" s="18" t="s">
        <v>42</v>
      </c>
      <c r="Y6714" s="18" t="s">
        <v>12266</v>
      </c>
      <c r="Z6714" s="18" t="s">
        <v>13441</v>
      </c>
      <c r="AA6714" s="21" t="str">
        <f>HYPERLINK("https://www.ncbi.nlm.nih.gov/nuccore/DQ641698","NCBI Nucleotide")</f>
        <v>NCBI Nucleotide</v>
      </c>
    </row>
    <row r="6715" spans="1:27" x14ac:dyDescent="0.35">
      <c r="A6715">
        <v>1007692</v>
      </c>
      <c r="B6715">
        <v>6353</v>
      </c>
      <c r="C6715">
        <v>1</v>
      </c>
      <c r="D6715" s="17" t="s">
        <v>10507</v>
      </c>
      <c r="E6715" s="17"/>
      <c r="F6715" s="17" t="s">
        <v>10780</v>
      </c>
      <c r="G6715" s="17"/>
      <c r="H6715" s="17" t="s">
        <v>12908</v>
      </c>
      <c r="I6715" s="17"/>
      <c r="J6715" s="17" t="s">
        <v>14018</v>
      </c>
      <c r="K6715" s="17"/>
      <c r="L6715" s="17" t="s">
        <v>14019</v>
      </c>
      <c r="M6715" s="17"/>
      <c r="N6715" s="17" t="s">
        <v>14020</v>
      </c>
      <c r="O6715" s="17"/>
      <c r="P6715" s="17" t="s">
        <v>14040</v>
      </c>
      <c r="Q6715" s="17"/>
      <c r="R6715" s="25" t="str">
        <f>HYPERLINK("https://ictv.global/taxonomy/taxondetails?taxnode_id=202303248","Begomovirus eupatorii")</f>
        <v>Begomovirus eupatorii</v>
      </c>
      <c r="S6715" s="18" t="s">
        <v>30</v>
      </c>
      <c r="T6715" s="18" t="s">
        <v>14533</v>
      </c>
      <c r="U6715" s="18" t="s">
        <v>14534</v>
      </c>
      <c r="V6715" s="18" t="s">
        <v>14535</v>
      </c>
      <c r="W6715" s="18" t="s">
        <v>41509</v>
      </c>
      <c r="X6715" s="18" t="s">
        <v>42</v>
      </c>
      <c r="Y6715" s="18" t="s">
        <v>12266</v>
      </c>
      <c r="Z6715" s="18" t="s">
        <v>13441</v>
      </c>
      <c r="AA6715" s="21" t="str">
        <f>HYPERLINK("https://www.ncbi.nlm.nih.gov/nuccore/AB007990","NCBI Nucleotide")</f>
        <v>NCBI Nucleotide</v>
      </c>
    </row>
    <row r="6716" spans="1:27" x14ac:dyDescent="0.35">
      <c r="A6716">
        <v>1012522</v>
      </c>
      <c r="B6716">
        <v>6353</v>
      </c>
      <c r="C6716">
        <v>2</v>
      </c>
      <c r="D6716" s="17" t="s">
        <v>10507</v>
      </c>
      <c r="E6716" s="17"/>
      <c r="F6716" s="17" t="s">
        <v>10780</v>
      </c>
      <c r="G6716" s="17"/>
      <c r="H6716" s="17" t="s">
        <v>12908</v>
      </c>
      <c r="I6716" s="17"/>
      <c r="J6716" s="17" t="s">
        <v>14018</v>
      </c>
      <c r="K6716" s="17"/>
      <c r="L6716" s="17" t="s">
        <v>14019</v>
      </c>
      <c r="M6716" s="17"/>
      <c r="N6716" s="17" t="s">
        <v>14020</v>
      </c>
      <c r="O6716" s="17"/>
      <c r="P6716" s="17" t="s">
        <v>14040</v>
      </c>
      <c r="Q6716" s="17"/>
      <c r="R6716" s="25" t="str">
        <f>HYPERLINK("https://ictv.global/taxonomy/taxondetails?taxnode_id=202303248","Begomovirus eupatorii")</f>
        <v>Begomovirus eupatorii</v>
      </c>
      <c r="S6716" s="18" t="s">
        <v>8141</v>
      </c>
      <c r="T6716" s="18" t="s">
        <v>14533</v>
      </c>
      <c r="U6716" s="18" t="s">
        <v>14536</v>
      </c>
      <c r="V6716" s="18" t="s">
        <v>14537</v>
      </c>
      <c r="W6716" s="18" t="s">
        <v>49090</v>
      </c>
      <c r="X6716" s="18" t="s">
        <v>42</v>
      </c>
      <c r="Y6716" s="18" t="s">
        <v>12266</v>
      </c>
      <c r="Z6716" s="18" t="s">
        <v>13441</v>
      </c>
      <c r="AA6716" s="21" t="str">
        <f>HYPERLINK("https://www.ncbi.nlm.nih.gov/nuccore/AJ438936","NCBI Nucleotide")</f>
        <v>NCBI Nucleotide</v>
      </c>
    </row>
    <row r="6717" spans="1:27" x14ac:dyDescent="0.35">
      <c r="A6717">
        <v>1012523</v>
      </c>
      <c r="B6717">
        <v>6353</v>
      </c>
      <c r="C6717">
        <v>3</v>
      </c>
      <c r="D6717" s="17" t="s">
        <v>10507</v>
      </c>
      <c r="E6717" s="17"/>
      <c r="F6717" s="17" t="s">
        <v>10780</v>
      </c>
      <c r="G6717" s="17"/>
      <c r="H6717" s="17" t="s">
        <v>12908</v>
      </c>
      <c r="I6717" s="17"/>
      <c r="J6717" s="17" t="s">
        <v>14018</v>
      </c>
      <c r="K6717" s="17"/>
      <c r="L6717" s="17" t="s">
        <v>14019</v>
      </c>
      <c r="M6717" s="17"/>
      <c r="N6717" s="17" t="s">
        <v>14020</v>
      </c>
      <c r="O6717" s="17"/>
      <c r="P6717" s="17" t="s">
        <v>14040</v>
      </c>
      <c r="Q6717" s="17"/>
      <c r="R6717" s="25" t="str">
        <f>HYPERLINK("https://ictv.global/taxonomy/taxondetails?taxnode_id=202303248","Begomovirus eupatorii")</f>
        <v>Begomovirus eupatorii</v>
      </c>
      <c r="S6717" s="18" t="s">
        <v>8141</v>
      </c>
      <c r="T6717" s="18" t="s">
        <v>14533</v>
      </c>
      <c r="U6717" s="18" t="s">
        <v>14538</v>
      </c>
      <c r="V6717" s="18" t="s">
        <v>14539</v>
      </c>
      <c r="W6717" s="18" t="s">
        <v>49091</v>
      </c>
      <c r="X6717" s="18" t="s">
        <v>42</v>
      </c>
      <c r="Y6717" s="18" t="s">
        <v>12266</v>
      </c>
      <c r="Z6717" s="18" t="s">
        <v>13441</v>
      </c>
      <c r="AA6717" s="21" t="str">
        <f>HYPERLINK("https://www.ncbi.nlm.nih.gov/nuccore/AB079766","NCBI Nucleotide")</f>
        <v>NCBI Nucleotide</v>
      </c>
    </row>
    <row r="6718" spans="1:27" x14ac:dyDescent="0.35">
      <c r="A6718">
        <v>1012524</v>
      </c>
      <c r="B6718">
        <v>6353</v>
      </c>
      <c r="C6718">
        <v>4</v>
      </c>
      <c r="D6718" s="17" t="s">
        <v>10507</v>
      </c>
      <c r="E6718" s="17"/>
      <c r="F6718" s="17" t="s">
        <v>10780</v>
      </c>
      <c r="G6718" s="17"/>
      <c r="H6718" s="17" t="s">
        <v>12908</v>
      </c>
      <c r="I6718" s="17"/>
      <c r="J6718" s="17" t="s">
        <v>14018</v>
      </c>
      <c r="K6718" s="17"/>
      <c r="L6718" s="17" t="s">
        <v>14019</v>
      </c>
      <c r="M6718" s="17"/>
      <c r="N6718" s="17" t="s">
        <v>14020</v>
      </c>
      <c r="O6718" s="17"/>
      <c r="P6718" s="17" t="s">
        <v>14040</v>
      </c>
      <c r="Q6718" s="17"/>
      <c r="R6718" s="25" t="str">
        <f>HYPERLINK("https://ictv.global/taxonomy/taxondetails?taxnode_id=202303248","Begomovirus eupatorii")</f>
        <v>Begomovirus eupatorii</v>
      </c>
      <c r="S6718" s="18" t="s">
        <v>8141</v>
      </c>
      <c r="T6718" s="18" t="s">
        <v>14533</v>
      </c>
      <c r="U6718" s="18" t="s">
        <v>14540</v>
      </c>
      <c r="V6718" s="18" t="s">
        <v>14541</v>
      </c>
      <c r="W6718" s="18" t="s">
        <v>49092</v>
      </c>
      <c r="X6718" s="18" t="s">
        <v>42</v>
      </c>
      <c r="Y6718" s="18" t="s">
        <v>12266</v>
      </c>
      <c r="Z6718" s="18" t="s">
        <v>13441</v>
      </c>
      <c r="AA6718" s="21" t="str">
        <f>HYPERLINK("https://www.ncbi.nlm.nih.gov/nuccore/AB300463","NCBI Nucleotide")</f>
        <v>NCBI Nucleotide</v>
      </c>
    </row>
    <row r="6719" spans="1:27" x14ac:dyDescent="0.35">
      <c r="A6719">
        <v>1012525</v>
      </c>
      <c r="B6719">
        <v>6353</v>
      </c>
      <c r="C6719">
        <v>5</v>
      </c>
      <c r="D6719" s="17" t="s">
        <v>10507</v>
      </c>
      <c r="E6719" s="17"/>
      <c r="F6719" s="17" t="s">
        <v>10780</v>
      </c>
      <c r="G6719" s="17"/>
      <c r="H6719" s="17" t="s">
        <v>12908</v>
      </c>
      <c r="I6719" s="17"/>
      <c r="J6719" s="17" t="s">
        <v>14018</v>
      </c>
      <c r="K6719" s="17"/>
      <c r="L6719" s="17" t="s">
        <v>14019</v>
      </c>
      <c r="M6719" s="17"/>
      <c r="N6719" s="17" t="s">
        <v>14020</v>
      </c>
      <c r="O6719" s="17"/>
      <c r="P6719" s="17" t="s">
        <v>14040</v>
      </c>
      <c r="Q6719" s="17"/>
      <c r="R6719" s="25" t="str">
        <f>HYPERLINK("https://ictv.global/taxonomy/taxondetails?taxnode_id=202303248","Begomovirus eupatorii")</f>
        <v>Begomovirus eupatorii</v>
      </c>
      <c r="S6719" s="18" t="s">
        <v>8141</v>
      </c>
      <c r="T6719" s="18" t="s">
        <v>14533</v>
      </c>
      <c r="U6719" s="18" t="s">
        <v>14542</v>
      </c>
      <c r="V6719" s="18" t="s">
        <v>14543</v>
      </c>
      <c r="W6719" s="18" t="s">
        <v>49093</v>
      </c>
      <c r="X6719" s="18" t="s">
        <v>42</v>
      </c>
      <c r="Y6719" s="18" t="s">
        <v>12266</v>
      </c>
      <c r="Z6719" s="18" t="s">
        <v>13441</v>
      </c>
      <c r="AA6719" s="21" t="str">
        <f>HYPERLINK("https://www.ncbi.nlm.nih.gov/nuccore/AB433979","NCBI Nucleotide")</f>
        <v>NCBI Nucleotide</v>
      </c>
    </row>
    <row r="6720" spans="1:27" x14ac:dyDescent="0.35">
      <c r="A6720">
        <v>1007694</v>
      </c>
      <c r="B6720">
        <v>6354</v>
      </c>
      <c r="C6720">
        <v>1</v>
      </c>
      <c r="D6720" s="17" t="s">
        <v>10507</v>
      </c>
      <c r="E6720" s="17"/>
      <c r="F6720" s="17" t="s">
        <v>10780</v>
      </c>
      <c r="G6720" s="17"/>
      <c r="H6720" s="17" t="s">
        <v>12908</v>
      </c>
      <c r="I6720" s="17"/>
      <c r="J6720" s="17" t="s">
        <v>14018</v>
      </c>
      <c r="K6720" s="17"/>
      <c r="L6720" s="17" t="s">
        <v>14019</v>
      </c>
      <c r="M6720" s="17"/>
      <c r="N6720" s="17" t="s">
        <v>14020</v>
      </c>
      <c r="O6720" s="17"/>
      <c r="P6720" s="17" t="s">
        <v>14040</v>
      </c>
      <c r="Q6720" s="17"/>
      <c r="R6720" s="25" t="str">
        <f>HYPERLINK("https://ictv.global/taxonomy/taxondetails?taxnode_id=202303250","Begomovirus euphorbiae")</f>
        <v>Begomovirus euphorbiae</v>
      </c>
      <c r="S6720" s="18" t="s">
        <v>30</v>
      </c>
      <c r="T6720" s="18" t="s">
        <v>14547</v>
      </c>
      <c r="U6720" s="18" t="s">
        <v>14548</v>
      </c>
      <c r="V6720" s="18" t="s">
        <v>14549</v>
      </c>
      <c r="W6720" s="18" t="s">
        <v>14550</v>
      </c>
      <c r="X6720" s="18" t="s">
        <v>42</v>
      </c>
      <c r="Y6720" s="18" t="s">
        <v>12266</v>
      </c>
      <c r="Z6720" s="18" t="s">
        <v>13441</v>
      </c>
      <c r="AA6720" s="21" t="str">
        <f>HYPERLINK("https://www.ncbi.nlm.nih.gov/nuccore/AJ558121","NCBI Nucleotide")</f>
        <v>NCBI Nucleotide</v>
      </c>
    </row>
    <row r="6721" spans="1:27" x14ac:dyDescent="0.35">
      <c r="A6721">
        <v>1007697</v>
      </c>
      <c r="B6721">
        <v>6355</v>
      </c>
      <c r="C6721">
        <v>1</v>
      </c>
      <c r="D6721" s="17" t="s">
        <v>10507</v>
      </c>
      <c r="E6721" s="17"/>
      <c r="F6721" s="17" t="s">
        <v>10780</v>
      </c>
      <c r="G6721" s="17"/>
      <c r="H6721" s="17" t="s">
        <v>12908</v>
      </c>
      <c r="I6721" s="17"/>
      <c r="J6721" s="17" t="s">
        <v>14018</v>
      </c>
      <c r="K6721" s="17"/>
      <c r="L6721" s="17" t="s">
        <v>14019</v>
      </c>
      <c r="M6721" s="17"/>
      <c r="N6721" s="17" t="s">
        <v>14020</v>
      </c>
      <c r="O6721" s="17"/>
      <c r="P6721" s="17" t="s">
        <v>14040</v>
      </c>
      <c r="Q6721" s="17"/>
      <c r="R6721" s="25" t="str">
        <f>HYPERLINK("https://ictv.global/taxonomy/taxondetails?taxnode_id=202305801","Begomovirus euphorbiaflavi")</f>
        <v>Begomovirus euphorbiaflavi</v>
      </c>
      <c r="S6721" s="18" t="s">
        <v>30</v>
      </c>
      <c r="T6721" s="18" t="s">
        <v>14559</v>
      </c>
      <c r="U6721" s="18" t="s">
        <v>14560</v>
      </c>
      <c r="V6721" s="18" t="s">
        <v>14561</v>
      </c>
      <c r="W6721" s="18" t="s">
        <v>41510</v>
      </c>
      <c r="X6721" s="18" t="s">
        <v>42</v>
      </c>
      <c r="Y6721" s="18" t="s">
        <v>12266</v>
      </c>
      <c r="Z6721" s="18" t="s">
        <v>13441</v>
      </c>
      <c r="AA6721" s="21" t="str">
        <f>HYPERLINK("https://www.ncbi.nlm.nih.gov/nuccore/KT159766","NCBI Nucleotide")</f>
        <v>NCBI Nucleotide</v>
      </c>
    </row>
    <row r="6722" spans="1:27" x14ac:dyDescent="0.35">
      <c r="A6722">
        <v>1007693</v>
      </c>
      <c r="B6722">
        <v>6356</v>
      </c>
      <c r="C6722">
        <v>1</v>
      </c>
      <c r="D6722" s="17" t="s">
        <v>10507</v>
      </c>
      <c r="E6722" s="17"/>
      <c r="F6722" s="17" t="s">
        <v>10780</v>
      </c>
      <c r="G6722" s="17"/>
      <c r="H6722" s="17" t="s">
        <v>12908</v>
      </c>
      <c r="I6722" s="17"/>
      <c r="J6722" s="17" t="s">
        <v>14018</v>
      </c>
      <c r="K6722" s="17"/>
      <c r="L6722" s="17" t="s">
        <v>14019</v>
      </c>
      <c r="M6722" s="17"/>
      <c r="N6722" s="17" t="s">
        <v>14020</v>
      </c>
      <c r="O6722" s="17"/>
      <c r="P6722" s="17" t="s">
        <v>14040</v>
      </c>
      <c r="Q6722" s="17"/>
      <c r="R6722" s="25" t="str">
        <f>HYPERLINK("https://ictv.global/taxonomy/taxondetails?taxnode_id=202303249","Begomovirus euphorbiaguangxiense")</f>
        <v>Begomovirus euphorbiaguangxiense</v>
      </c>
      <c r="S6722" s="18" t="s">
        <v>30</v>
      </c>
      <c r="T6722" s="18" t="s">
        <v>14544</v>
      </c>
      <c r="U6722" s="18" t="s">
        <v>14545</v>
      </c>
      <c r="V6722" s="18" t="s">
        <v>14546</v>
      </c>
      <c r="W6722" s="18" t="s">
        <v>41511</v>
      </c>
      <c r="X6722" s="18" t="s">
        <v>42</v>
      </c>
      <c r="Y6722" s="18" t="s">
        <v>12266</v>
      </c>
      <c r="Z6722" s="18" t="s">
        <v>13441</v>
      </c>
      <c r="AA6722" s="21" t="str">
        <f>HYPERLINK("https://www.ncbi.nlm.nih.gov/nuccore/AM411424","NCBI Nucleotide")</f>
        <v>NCBI Nucleotide</v>
      </c>
    </row>
    <row r="6723" spans="1:27" x14ac:dyDescent="0.35">
      <c r="A6723">
        <v>1007696</v>
      </c>
      <c r="B6723">
        <v>6357</v>
      </c>
      <c r="C6723">
        <v>1</v>
      </c>
      <c r="D6723" s="17" t="s">
        <v>10507</v>
      </c>
      <c r="E6723" s="17"/>
      <c r="F6723" s="17" t="s">
        <v>10780</v>
      </c>
      <c r="G6723" s="17"/>
      <c r="H6723" s="17" t="s">
        <v>12908</v>
      </c>
      <c r="I6723" s="17"/>
      <c r="J6723" s="17" t="s">
        <v>14018</v>
      </c>
      <c r="K6723" s="17"/>
      <c r="L6723" s="17" t="s">
        <v>14019</v>
      </c>
      <c r="M6723" s="17"/>
      <c r="N6723" s="17" t="s">
        <v>14020</v>
      </c>
      <c r="O6723" s="17"/>
      <c r="P6723" s="17" t="s">
        <v>14040</v>
      </c>
      <c r="Q6723" s="17"/>
      <c r="R6723" s="25" t="str">
        <f>HYPERLINK("https://ictv.global/taxonomy/taxondetails?taxnode_id=202303251","Begomovirus euphorbiamusivi")</f>
        <v>Begomovirus euphorbiamusivi</v>
      </c>
      <c r="S6723" s="18" t="s">
        <v>30</v>
      </c>
      <c r="T6723" s="18" t="s">
        <v>14555</v>
      </c>
      <c r="U6723" s="18" t="s">
        <v>14556</v>
      </c>
      <c r="V6723" s="18" t="s">
        <v>14557</v>
      </c>
      <c r="W6723" s="18" t="s">
        <v>14558</v>
      </c>
      <c r="X6723" s="18" t="s">
        <v>42</v>
      </c>
      <c r="Y6723" s="18" t="s">
        <v>12266</v>
      </c>
      <c r="Z6723" s="18" t="s">
        <v>13441</v>
      </c>
      <c r="AA6723" s="21" t="str">
        <f>HYPERLINK("https://www.ncbi.nlm.nih.gov/nuccore/DQ318937,DQ318938","NCBI Nucleotide")</f>
        <v>NCBI Nucleotide</v>
      </c>
    </row>
    <row r="6724" spans="1:27" x14ac:dyDescent="0.35">
      <c r="A6724">
        <v>1007698</v>
      </c>
      <c r="B6724">
        <v>6358</v>
      </c>
      <c r="C6724">
        <v>1</v>
      </c>
      <c r="D6724" s="17" t="s">
        <v>10507</v>
      </c>
      <c r="E6724" s="17"/>
      <c r="F6724" s="17" t="s">
        <v>10780</v>
      </c>
      <c r="G6724" s="17"/>
      <c r="H6724" s="17" t="s">
        <v>12908</v>
      </c>
      <c r="I6724" s="17"/>
      <c r="J6724" s="17" t="s">
        <v>14018</v>
      </c>
      <c r="K6724" s="17"/>
      <c r="L6724" s="17" t="s">
        <v>14019</v>
      </c>
      <c r="M6724" s="17"/>
      <c r="N6724" s="17" t="s">
        <v>14020</v>
      </c>
      <c r="O6724" s="17"/>
      <c r="P6724" s="17" t="s">
        <v>14040</v>
      </c>
      <c r="Q6724" s="17"/>
      <c r="R6724" s="25" t="str">
        <f>HYPERLINK("https://ictv.global/taxonomy/taxondetails?taxnode_id=202303252","Begomovirus euphorbiamusiviflavi")</f>
        <v>Begomovirus euphorbiamusiviflavi</v>
      </c>
      <c r="S6724" s="18" t="s">
        <v>30</v>
      </c>
      <c r="T6724" s="18" t="s">
        <v>14562</v>
      </c>
      <c r="U6724" s="18" t="s">
        <v>14563</v>
      </c>
      <c r="V6724" s="18" t="s">
        <v>14564</v>
      </c>
      <c r="W6724" s="18" t="s">
        <v>14565</v>
      </c>
      <c r="X6724" s="18" t="s">
        <v>42</v>
      </c>
      <c r="Y6724" s="18" t="s">
        <v>12266</v>
      </c>
      <c r="Z6724" s="18" t="s">
        <v>13441</v>
      </c>
      <c r="AA6724" s="21" t="str">
        <f>HYPERLINK("https://www.ncbi.nlm.nih.gov/nuccore/FJ619507,FJ619508","NCBI Nucleotide")</f>
        <v>NCBI Nucleotide</v>
      </c>
    </row>
    <row r="6725" spans="1:27" x14ac:dyDescent="0.35">
      <c r="A6725">
        <v>1012526</v>
      </c>
      <c r="B6725">
        <v>6358</v>
      </c>
      <c r="C6725">
        <v>2</v>
      </c>
      <c r="D6725" s="17" t="s">
        <v>10507</v>
      </c>
      <c r="E6725" s="17"/>
      <c r="F6725" s="17" t="s">
        <v>10780</v>
      </c>
      <c r="G6725" s="17"/>
      <c r="H6725" s="17" t="s">
        <v>12908</v>
      </c>
      <c r="I6725" s="17"/>
      <c r="J6725" s="17" t="s">
        <v>14018</v>
      </c>
      <c r="K6725" s="17"/>
      <c r="L6725" s="17" t="s">
        <v>14019</v>
      </c>
      <c r="M6725" s="17"/>
      <c r="N6725" s="17" t="s">
        <v>14020</v>
      </c>
      <c r="O6725" s="17"/>
      <c r="P6725" s="17" t="s">
        <v>14040</v>
      </c>
      <c r="Q6725" s="17"/>
      <c r="R6725" s="25" t="str">
        <f>HYPERLINK("https://ictv.global/taxonomy/taxondetails?taxnode_id=202303252","Begomovirus euphorbiamusiviflavi")</f>
        <v>Begomovirus euphorbiamusiviflavi</v>
      </c>
      <c r="S6725" s="18" t="s">
        <v>8141</v>
      </c>
      <c r="T6725" s="18" t="s">
        <v>14562</v>
      </c>
      <c r="U6725" s="18" t="s">
        <v>14563</v>
      </c>
      <c r="V6725" s="18" t="s">
        <v>14566</v>
      </c>
      <c r="W6725" s="18" t="s">
        <v>49094</v>
      </c>
      <c r="X6725" s="18" t="s">
        <v>42</v>
      </c>
      <c r="Y6725" s="18" t="s">
        <v>12266</v>
      </c>
      <c r="Z6725" s="18" t="s">
        <v>13441</v>
      </c>
      <c r="AA6725" s="21" t="str">
        <f>HYPERLINK("https://www.ncbi.nlm.nih.gov/nuccore/JF756676","NCBI Nucleotide")</f>
        <v>NCBI Nucleotide</v>
      </c>
    </row>
    <row r="6726" spans="1:27" x14ac:dyDescent="0.35">
      <c r="A6726">
        <v>1007695</v>
      </c>
      <c r="B6726">
        <v>6359</v>
      </c>
      <c r="C6726">
        <v>1</v>
      </c>
      <c r="D6726" s="17" t="s">
        <v>10507</v>
      </c>
      <c r="E6726" s="17"/>
      <c r="F6726" s="17" t="s">
        <v>10780</v>
      </c>
      <c r="G6726" s="17"/>
      <c r="H6726" s="17" t="s">
        <v>12908</v>
      </c>
      <c r="I6726" s="17"/>
      <c r="J6726" s="17" t="s">
        <v>14018</v>
      </c>
      <c r="K6726" s="17"/>
      <c r="L6726" s="17" t="s">
        <v>14019</v>
      </c>
      <c r="M6726" s="17"/>
      <c r="N6726" s="17" t="s">
        <v>14020</v>
      </c>
      <c r="O6726" s="17"/>
      <c r="P6726" s="17" t="s">
        <v>14040</v>
      </c>
      <c r="Q6726" s="17"/>
      <c r="R6726" s="25" t="str">
        <f>HYPERLINK("https://ictv.global/taxonomy/taxondetails?taxnode_id=202305800","Begomovirus euphorbiaperuense")</f>
        <v>Begomovirus euphorbiaperuense</v>
      </c>
      <c r="S6726" s="18" t="s">
        <v>30</v>
      </c>
      <c r="T6726" s="18" t="s">
        <v>14551</v>
      </c>
      <c r="U6726" s="18" t="s">
        <v>14552</v>
      </c>
      <c r="V6726" s="18" t="s">
        <v>14553</v>
      </c>
      <c r="W6726" s="18" t="s">
        <v>14554</v>
      </c>
      <c r="X6726" s="18" t="s">
        <v>42</v>
      </c>
      <c r="Y6726" s="18" t="s">
        <v>12266</v>
      </c>
      <c r="Z6726" s="18" t="s">
        <v>13441</v>
      </c>
      <c r="AA6726" s="21" t="str">
        <f>HYPERLINK("https://www.ncbi.nlm.nih.gov/nuccore/AM886131","NCBI Nucleotide")</f>
        <v>NCBI Nucleotide</v>
      </c>
    </row>
    <row r="6727" spans="1:27" x14ac:dyDescent="0.35">
      <c r="A6727">
        <v>1007860</v>
      </c>
      <c r="B6727">
        <v>6360</v>
      </c>
      <c r="C6727">
        <v>1</v>
      </c>
      <c r="D6727" s="17" t="s">
        <v>10507</v>
      </c>
      <c r="E6727" s="17"/>
      <c r="F6727" s="17" t="s">
        <v>10780</v>
      </c>
      <c r="G6727" s="17"/>
      <c r="H6727" s="17" t="s">
        <v>12908</v>
      </c>
      <c r="I6727" s="17"/>
      <c r="J6727" s="17" t="s">
        <v>14018</v>
      </c>
      <c r="K6727" s="17"/>
      <c r="L6727" s="17" t="s">
        <v>14019</v>
      </c>
      <c r="M6727" s="17"/>
      <c r="N6727" s="17" t="s">
        <v>14020</v>
      </c>
      <c r="O6727" s="17"/>
      <c r="P6727" s="17" t="s">
        <v>14040</v>
      </c>
      <c r="Q6727" s="17"/>
      <c r="R6727" s="25" t="str">
        <f>HYPERLINK("https://ictv.global/taxonomy/taxondetails?taxnode_id=202303367","Begomovirus glycinepallidi")</f>
        <v>Begomovirus glycinepallidi</v>
      </c>
      <c r="S6727" s="18" t="s">
        <v>30</v>
      </c>
      <c r="T6727" s="18" t="s">
        <v>15272</v>
      </c>
      <c r="U6727" s="18" t="s">
        <v>15273</v>
      </c>
      <c r="V6727" s="18" t="s">
        <v>15274</v>
      </c>
      <c r="W6727" s="18" t="s">
        <v>15275</v>
      </c>
      <c r="X6727" s="18" t="s">
        <v>42</v>
      </c>
      <c r="Y6727" s="18" t="s">
        <v>12266</v>
      </c>
      <c r="Z6727" s="18" t="s">
        <v>13441</v>
      </c>
      <c r="AA6727" s="21" t="str">
        <f>HYPERLINK("https://www.ncbi.nlm.nih.gov/nuccore/GQ472985,GQ472986","NCBI Nucleotide")</f>
        <v>NCBI Nucleotide</v>
      </c>
    </row>
    <row r="6728" spans="1:27" x14ac:dyDescent="0.35">
      <c r="A6728">
        <v>1007861</v>
      </c>
      <c r="B6728">
        <v>6361</v>
      </c>
      <c r="C6728">
        <v>1</v>
      </c>
      <c r="D6728" s="17" t="s">
        <v>10507</v>
      </c>
      <c r="E6728" s="17"/>
      <c r="F6728" s="17" t="s">
        <v>10780</v>
      </c>
      <c r="G6728" s="17"/>
      <c r="H6728" s="17" t="s">
        <v>12908</v>
      </c>
      <c r="I6728" s="17"/>
      <c r="J6728" s="17" t="s">
        <v>14018</v>
      </c>
      <c r="K6728" s="17"/>
      <c r="L6728" s="17" t="s">
        <v>14019</v>
      </c>
      <c r="M6728" s="17"/>
      <c r="N6728" s="17" t="s">
        <v>14020</v>
      </c>
      <c r="O6728" s="17"/>
      <c r="P6728" s="17" t="s">
        <v>14040</v>
      </c>
      <c r="Q6728" s="17"/>
      <c r="R6728" s="25" t="str">
        <f>HYPERLINK("https://ictv.global/taxonomy/taxondetails?taxnode_id=202303368","Begomovirus glycinevariati")</f>
        <v>Begomovirus glycinevariati</v>
      </c>
      <c r="S6728" s="18" t="s">
        <v>30</v>
      </c>
      <c r="T6728" s="18" t="s">
        <v>15276</v>
      </c>
      <c r="U6728" s="18" t="s">
        <v>15277</v>
      </c>
      <c r="V6728" s="18" t="s">
        <v>15278</v>
      </c>
      <c r="W6728" s="18" t="s">
        <v>41512</v>
      </c>
      <c r="X6728" s="18" t="s">
        <v>42</v>
      </c>
      <c r="Y6728" s="18" t="s">
        <v>12266</v>
      </c>
      <c r="Z6728" s="18" t="s">
        <v>13441</v>
      </c>
      <c r="AA6728" s="21" t="str">
        <f>HYPERLINK("https://www.ncbi.nlm.nih.gov/nuccore/GQ472984","NCBI Nucleotide")</f>
        <v>NCBI Nucleotide</v>
      </c>
    </row>
    <row r="6729" spans="1:27" x14ac:dyDescent="0.35">
      <c r="A6729">
        <v>1007859</v>
      </c>
      <c r="B6729">
        <v>6362</v>
      </c>
      <c r="C6729">
        <v>1</v>
      </c>
      <c r="D6729" s="17" t="s">
        <v>10507</v>
      </c>
      <c r="E6729" s="17"/>
      <c r="F6729" s="17" t="s">
        <v>10780</v>
      </c>
      <c r="G6729" s="17"/>
      <c r="H6729" s="17" t="s">
        <v>12908</v>
      </c>
      <c r="I6729" s="17"/>
      <c r="J6729" s="17" t="s">
        <v>14018</v>
      </c>
      <c r="K6729" s="17"/>
      <c r="L6729" s="17" t="s">
        <v>14019</v>
      </c>
      <c r="M6729" s="17"/>
      <c r="N6729" s="17" t="s">
        <v>14020</v>
      </c>
      <c r="O6729" s="17"/>
      <c r="P6729" s="17" t="s">
        <v>14040</v>
      </c>
      <c r="Q6729" s="17"/>
      <c r="R6729" s="25" t="str">
        <f>HYPERLINK("https://ictv.global/taxonomy/taxondetails?taxnode_id=202303366","Begomovirus glycinis")</f>
        <v>Begomovirus glycinis</v>
      </c>
      <c r="S6729" s="18" t="s">
        <v>30</v>
      </c>
      <c r="T6729" s="18" t="s">
        <v>15268</v>
      </c>
      <c r="U6729" s="18" t="s">
        <v>15269</v>
      </c>
      <c r="V6729" s="18" t="s">
        <v>15270</v>
      </c>
      <c r="W6729" s="18" t="s">
        <v>15271</v>
      </c>
      <c r="X6729" s="18" t="s">
        <v>42</v>
      </c>
      <c r="Y6729" s="18" t="s">
        <v>12266</v>
      </c>
      <c r="Z6729" s="18" t="s">
        <v>13441</v>
      </c>
      <c r="AA6729" s="21" t="str">
        <f>HYPERLINK("https://www.ncbi.nlm.nih.gov/nuccore/EF016486","NCBI Nucleotide")</f>
        <v>NCBI Nucleotide</v>
      </c>
    </row>
    <row r="6730" spans="1:27" x14ac:dyDescent="0.35">
      <c r="A6730">
        <v>1007657</v>
      </c>
      <c r="B6730">
        <v>6363</v>
      </c>
      <c r="C6730">
        <v>1</v>
      </c>
      <c r="D6730" s="17" t="s">
        <v>10507</v>
      </c>
      <c r="E6730" s="17"/>
      <c r="F6730" s="17" t="s">
        <v>10780</v>
      </c>
      <c r="G6730" s="17"/>
      <c r="H6730" s="17" t="s">
        <v>12908</v>
      </c>
      <c r="I6730" s="17"/>
      <c r="J6730" s="17" t="s">
        <v>14018</v>
      </c>
      <c r="K6730" s="17"/>
      <c r="L6730" s="17" t="s">
        <v>14019</v>
      </c>
      <c r="M6730" s="17"/>
      <c r="N6730" s="17" t="s">
        <v>14020</v>
      </c>
      <c r="O6730" s="17"/>
      <c r="P6730" s="17" t="s">
        <v>14040</v>
      </c>
      <c r="Q6730" s="17"/>
      <c r="R6730" s="25" t="str">
        <f>HYPERLINK("https://ictv.global/taxonomy/taxondetails?taxnode_id=202303225","Begomovirus gossypialabadense")</f>
        <v>Begomovirus gossypialabadense</v>
      </c>
      <c r="S6730" s="18" t="s">
        <v>30</v>
      </c>
      <c r="T6730" s="18" t="s">
        <v>14357</v>
      </c>
      <c r="U6730" s="18" t="s">
        <v>14358</v>
      </c>
      <c r="V6730" s="18" t="s">
        <v>14359</v>
      </c>
      <c r="W6730" s="18" t="s">
        <v>14360</v>
      </c>
      <c r="X6730" s="18" t="s">
        <v>42</v>
      </c>
      <c r="Y6730" s="18" t="s">
        <v>12266</v>
      </c>
      <c r="Z6730" s="18" t="s">
        <v>13441</v>
      </c>
      <c r="AA6730" s="21" t="str">
        <f>HYPERLINK("https://www.ncbi.nlm.nih.gov/nuccore/AJ002455","NCBI Nucleotide")</f>
        <v>NCBI Nucleotide</v>
      </c>
    </row>
    <row r="6731" spans="1:27" x14ac:dyDescent="0.35">
      <c r="A6731">
        <v>1012496</v>
      </c>
      <c r="B6731">
        <v>6363</v>
      </c>
      <c r="C6731">
        <v>2</v>
      </c>
      <c r="D6731" s="17" t="s">
        <v>10507</v>
      </c>
      <c r="E6731" s="17"/>
      <c r="F6731" s="17" t="s">
        <v>10780</v>
      </c>
      <c r="G6731" s="17"/>
      <c r="H6731" s="17" t="s">
        <v>12908</v>
      </c>
      <c r="I6731" s="17"/>
      <c r="J6731" s="17" t="s">
        <v>14018</v>
      </c>
      <c r="K6731" s="17"/>
      <c r="L6731" s="17" t="s">
        <v>14019</v>
      </c>
      <c r="M6731" s="17"/>
      <c r="N6731" s="17" t="s">
        <v>14020</v>
      </c>
      <c r="O6731" s="17"/>
      <c r="P6731" s="17" t="s">
        <v>14040</v>
      </c>
      <c r="Q6731" s="17"/>
      <c r="R6731" s="25" t="str">
        <f>HYPERLINK("https://ictv.global/taxonomy/taxondetails?taxnode_id=202303225","Begomovirus gossypialabadense")</f>
        <v>Begomovirus gossypialabadense</v>
      </c>
      <c r="S6731" s="18" t="s">
        <v>8141</v>
      </c>
      <c r="T6731" s="18" t="s">
        <v>14357</v>
      </c>
      <c r="U6731" s="18" t="s">
        <v>14361</v>
      </c>
      <c r="V6731" s="18" t="s">
        <v>14362</v>
      </c>
      <c r="W6731" s="18" t="s">
        <v>49095</v>
      </c>
      <c r="X6731" s="18" t="s">
        <v>42</v>
      </c>
      <c r="Y6731" s="18" t="s">
        <v>12266</v>
      </c>
      <c r="Z6731" s="18" t="s">
        <v>13441</v>
      </c>
      <c r="AA6731" s="21" t="str">
        <f>HYPERLINK("https://www.ncbi.nlm.nih.gov/nuccore/GU112081","NCBI Nucleotide")</f>
        <v>NCBI Nucleotide</v>
      </c>
    </row>
    <row r="6732" spans="1:27" x14ac:dyDescent="0.35">
      <c r="A6732">
        <v>1012497</v>
      </c>
      <c r="B6732">
        <v>6363</v>
      </c>
      <c r="C6732">
        <v>3</v>
      </c>
      <c r="D6732" s="17" t="s">
        <v>10507</v>
      </c>
      <c r="E6732" s="17"/>
      <c r="F6732" s="17" t="s">
        <v>10780</v>
      </c>
      <c r="G6732" s="17"/>
      <c r="H6732" s="17" t="s">
        <v>12908</v>
      </c>
      <c r="I6732" s="17"/>
      <c r="J6732" s="17" t="s">
        <v>14018</v>
      </c>
      <c r="K6732" s="17"/>
      <c r="L6732" s="17" t="s">
        <v>14019</v>
      </c>
      <c r="M6732" s="17"/>
      <c r="N6732" s="17" t="s">
        <v>14020</v>
      </c>
      <c r="O6732" s="17"/>
      <c r="P6732" s="17" t="s">
        <v>14040</v>
      </c>
      <c r="Q6732" s="17"/>
      <c r="R6732" s="25" t="str">
        <f>HYPERLINK("https://ictv.global/taxonomy/taxondetails?taxnode_id=202303225","Begomovirus gossypialabadense")</f>
        <v>Begomovirus gossypialabadense</v>
      </c>
      <c r="S6732" s="18" t="s">
        <v>8141</v>
      </c>
      <c r="T6732" s="18" t="s">
        <v>14357</v>
      </c>
      <c r="U6732" s="18" t="s">
        <v>14363</v>
      </c>
      <c r="V6732" s="18" t="s">
        <v>14364</v>
      </c>
      <c r="W6732" s="18" t="s">
        <v>49096</v>
      </c>
      <c r="X6732" s="18" t="s">
        <v>42</v>
      </c>
      <c r="Y6732" s="18" t="s">
        <v>12266</v>
      </c>
      <c r="Z6732" s="18" t="s">
        <v>13441</v>
      </c>
      <c r="AA6732" s="21" t="str">
        <f>HYPERLINK("https://www.ncbi.nlm.nih.gov/nuccore/GU112004","NCBI Nucleotide")</f>
        <v>NCBI Nucleotide</v>
      </c>
    </row>
    <row r="6733" spans="1:27" x14ac:dyDescent="0.35">
      <c r="A6733">
        <v>1012498</v>
      </c>
      <c r="B6733">
        <v>6363</v>
      </c>
      <c r="C6733">
        <v>4</v>
      </c>
      <c r="D6733" s="17" t="s">
        <v>10507</v>
      </c>
      <c r="E6733" s="17"/>
      <c r="F6733" s="17" t="s">
        <v>10780</v>
      </c>
      <c r="G6733" s="17"/>
      <c r="H6733" s="17" t="s">
        <v>12908</v>
      </c>
      <c r="I6733" s="17"/>
      <c r="J6733" s="17" t="s">
        <v>14018</v>
      </c>
      <c r="K6733" s="17"/>
      <c r="L6733" s="17" t="s">
        <v>14019</v>
      </c>
      <c r="M6733" s="17"/>
      <c r="N6733" s="17" t="s">
        <v>14020</v>
      </c>
      <c r="O6733" s="17"/>
      <c r="P6733" s="17" t="s">
        <v>14040</v>
      </c>
      <c r="Q6733" s="17"/>
      <c r="R6733" s="25" t="str">
        <f>HYPERLINK("https://ictv.global/taxonomy/taxondetails?taxnode_id=202303225","Begomovirus gossypialabadense")</f>
        <v>Begomovirus gossypialabadense</v>
      </c>
      <c r="S6733" s="18" t="s">
        <v>8141</v>
      </c>
      <c r="T6733" s="18" t="s">
        <v>14357</v>
      </c>
      <c r="U6733" s="18" t="s">
        <v>14365</v>
      </c>
      <c r="V6733" s="18" t="s">
        <v>14366</v>
      </c>
      <c r="W6733" s="18" t="s">
        <v>49097</v>
      </c>
      <c r="X6733" s="18" t="s">
        <v>42</v>
      </c>
      <c r="Y6733" s="18" t="s">
        <v>12266</v>
      </c>
      <c r="Z6733" s="18" t="s">
        <v>13441</v>
      </c>
      <c r="AA6733" s="21" t="str">
        <f>HYPERLINK("https://www.ncbi.nlm.nih.gov/nuccore/FJ210467","NCBI Nucleotide")</f>
        <v>NCBI Nucleotide</v>
      </c>
    </row>
    <row r="6734" spans="1:27" x14ac:dyDescent="0.35">
      <c r="A6734">
        <v>1012499</v>
      </c>
      <c r="B6734">
        <v>6363</v>
      </c>
      <c r="C6734">
        <v>5</v>
      </c>
      <c r="D6734" s="17" t="s">
        <v>10507</v>
      </c>
      <c r="E6734" s="17"/>
      <c r="F6734" s="17" t="s">
        <v>10780</v>
      </c>
      <c r="G6734" s="17"/>
      <c r="H6734" s="17" t="s">
        <v>12908</v>
      </c>
      <c r="I6734" s="17"/>
      <c r="J6734" s="17" t="s">
        <v>14018</v>
      </c>
      <c r="K6734" s="17"/>
      <c r="L6734" s="17" t="s">
        <v>14019</v>
      </c>
      <c r="M6734" s="17"/>
      <c r="N6734" s="17" t="s">
        <v>14020</v>
      </c>
      <c r="O6734" s="17"/>
      <c r="P6734" s="17" t="s">
        <v>14040</v>
      </c>
      <c r="Q6734" s="17"/>
      <c r="R6734" s="25" t="str">
        <f>HYPERLINK("https://ictv.global/taxonomy/taxondetails?taxnode_id=202303225","Begomovirus gossypialabadense")</f>
        <v>Begomovirus gossypialabadense</v>
      </c>
      <c r="S6734" s="18" t="s">
        <v>8141</v>
      </c>
      <c r="T6734" s="18" t="s">
        <v>14357</v>
      </c>
      <c r="U6734" s="18" t="s">
        <v>14367</v>
      </c>
      <c r="V6734" s="18" t="s">
        <v>14368</v>
      </c>
      <c r="W6734" s="18" t="s">
        <v>49098</v>
      </c>
      <c r="X6734" s="18" t="s">
        <v>42</v>
      </c>
      <c r="Y6734" s="18" t="s">
        <v>12266</v>
      </c>
      <c r="Z6734" s="18" t="s">
        <v>13441</v>
      </c>
      <c r="AA6734" s="21" t="str">
        <f>HYPERLINK("https://www.ncbi.nlm.nih.gov/nuccore/EU384575","NCBI Nucleotide")</f>
        <v>NCBI Nucleotide</v>
      </c>
    </row>
    <row r="6735" spans="1:27" x14ac:dyDescent="0.35">
      <c r="A6735">
        <v>1007658</v>
      </c>
      <c r="B6735">
        <v>6364</v>
      </c>
      <c r="C6735">
        <v>1</v>
      </c>
      <c r="D6735" s="17" t="s">
        <v>10507</v>
      </c>
      <c r="E6735" s="17"/>
      <c r="F6735" s="17" t="s">
        <v>10780</v>
      </c>
      <c r="G6735" s="17"/>
      <c r="H6735" s="17" t="s">
        <v>12908</v>
      </c>
      <c r="I6735" s="17"/>
      <c r="J6735" s="17" t="s">
        <v>14018</v>
      </c>
      <c r="K6735" s="17"/>
      <c r="L6735" s="17" t="s">
        <v>14019</v>
      </c>
      <c r="M6735" s="17"/>
      <c r="N6735" s="17" t="s">
        <v>14020</v>
      </c>
      <c r="O6735" s="17"/>
      <c r="P6735" s="17" t="s">
        <v>14040</v>
      </c>
      <c r="Q6735" s="17"/>
      <c r="R6735" s="25" t="str">
        <f>HYPERLINK("https://ictv.global/taxonomy/taxondetails?taxnode_id=202303226","Begomovirus gossypibangalorense")</f>
        <v>Begomovirus gossypibangalorense</v>
      </c>
      <c r="S6735" s="18" t="s">
        <v>30</v>
      </c>
      <c r="T6735" s="18" t="s">
        <v>14369</v>
      </c>
      <c r="U6735" s="18" t="s">
        <v>14370</v>
      </c>
      <c r="V6735" s="18" t="s">
        <v>14371</v>
      </c>
      <c r="W6735" s="18" t="s">
        <v>14372</v>
      </c>
      <c r="X6735" s="18" t="s">
        <v>42</v>
      </c>
      <c r="Y6735" s="18" t="s">
        <v>12266</v>
      </c>
      <c r="Z6735" s="18" t="s">
        <v>13441</v>
      </c>
      <c r="AA6735" s="21" t="str">
        <f>HYPERLINK("https://www.ncbi.nlm.nih.gov/nuccore/AY705380","NCBI Nucleotide")</f>
        <v>NCBI Nucleotide</v>
      </c>
    </row>
    <row r="6736" spans="1:27" x14ac:dyDescent="0.35">
      <c r="A6736">
        <v>1007659</v>
      </c>
      <c r="B6736">
        <v>6365</v>
      </c>
      <c r="C6736">
        <v>1</v>
      </c>
      <c r="D6736" s="17" t="s">
        <v>10507</v>
      </c>
      <c r="E6736" s="17"/>
      <c r="F6736" s="17" t="s">
        <v>10780</v>
      </c>
      <c r="G6736" s="17"/>
      <c r="H6736" s="17" t="s">
        <v>12908</v>
      </c>
      <c r="I6736" s="17"/>
      <c r="J6736" s="17" t="s">
        <v>14018</v>
      </c>
      <c r="K6736" s="17"/>
      <c r="L6736" s="17" t="s">
        <v>14019</v>
      </c>
      <c r="M6736" s="17"/>
      <c r="N6736" s="17" t="s">
        <v>14020</v>
      </c>
      <c r="O6736" s="17"/>
      <c r="P6736" s="17" t="s">
        <v>14040</v>
      </c>
      <c r="Q6736" s="17"/>
      <c r="R6736" s="25" t="str">
        <f>HYPERLINK("https://ictv.global/taxonomy/taxondetails?taxnode_id=202305795","Begomovirus gossypibarasatense")</f>
        <v>Begomovirus gossypibarasatense</v>
      </c>
      <c r="S6736" s="18" t="s">
        <v>30</v>
      </c>
      <c r="T6736" s="18" t="s">
        <v>14373</v>
      </c>
      <c r="U6736" s="18" t="s">
        <v>14374</v>
      </c>
      <c r="V6736" s="18" t="s">
        <v>14375</v>
      </c>
      <c r="W6736" s="18" t="s">
        <v>14376</v>
      </c>
      <c r="X6736" s="18" t="s">
        <v>42</v>
      </c>
      <c r="Y6736" s="18" t="s">
        <v>12266</v>
      </c>
      <c r="Z6736" s="18" t="s">
        <v>13441</v>
      </c>
      <c r="AA6736" s="21" t="str">
        <f>HYPERLINK("https://www.ncbi.nlm.nih.gov/nuccore/LC080677","NCBI Nucleotide")</f>
        <v>NCBI Nucleotide</v>
      </c>
    </row>
    <row r="6737" spans="1:27" x14ac:dyDescent="0.35">
      <c r="A6737">
        <v>1007663</v>
      </c>
      <c r="B6737">
        <v>6366</v>
      </c>
      <c r="C6737">
        <v>1</v>
      </c>
      <c r="D6737" s="17" t="s">
        <v>10507</v>
      </c>
      <c r="E6737" s="17"/>
      <c r="F6737" s="17" t="s">
        <v>10780</v>
      </c>
      <c r="G6737" s="17"/>
      <c r="H6737" s="17" t="s">
        <v>12908</v>
      </c>
      <c r="I6737" s="17"/>
      <c r="J6737" s="17" t="s">
        <v>14018</v>
      </c>
      <c r="K6737" s="17"/>
      <c r="L6737" s="17" t="s">
        <v>14019</v>
      </c>
      <c r="M6737" s="17"/>
      <c r="N6737" s="17" t="s">
        <v>14020</v>
      </c>
      <c r="O6737" s="17"/>
      <c r="P6737" s="17" t="s">
        <v>14040</v>
      </c>
      <c r="Q6737" s="17"/>
      <c r="R6737" s="25" t="str">
        <f>HYPERLINK("https://ictv.global/taxonomy/taxondetails?taxnode_id=202305796","Begomovirus gossypiflavi")</f>
        <v>Begomovirus gossypiflavi</v>
      </c>
      <c r="S6737" s="18" t="s">
        <v>30</v>
      </c>
      <c r="T6737" s="18" t="s">
        <v>14427</v>
      </c>
      <c r="U6737" s="18" t="s">
        <v>14428</v>
      </c>
      <c r="V6737" s="18" t="s">
        <v>14429</v>
      </c>
      <c r="W6737" s="18" t="s">
        <v>14430</v>
      </c>
      <c r="X6737" s="18" t="s">
        <v>42</v>
      </c>
      <c r="Y6737" s="18" t="s">
        <v>12266</v>
      </c>
      <c r="Z6737" s="18" t="s">
        <v>13441</v>
      </c>
      <c r="AA6737" s="21" t="str">
        <f>HYPERLINK("https://www.ncbi.nlm.nih.gov/nuccore/KU683748,KU683750","NCBI Nucleotide")</f>
        <v>NCBI Nucleotide</v>
      </c>
    </row>
    <row r="6738" spans="1:27" x14ac:dyDescent="0.35">
      <c r="A6738">
        <v>1007660</v>
      </c>
      <c r="B6738">
        <v>6367</v>
      </c>
      <c r="C6738">
        <v>1</v>
      </c>
      <c r="D6738" s="17" t="s">
        <v>10507</v>
      </c>
      <c r="E6738" s="17"/>
      <c r="F6738" s="17" t="s">
        <v>10780</v>
      </c>
      <c r="G6738" s="17"/>
      <c r="H6738" s="17" t="s">
        <v>12908</v>
      </c>
      <c r="I6738" s="17"/>
      <c r="J6738" s="17" t="s">
        <v>14018</v>
      </c>
      <c r="K6738" s="17"/>
      <c r="L6738" s="17" t="s">
        <v>14019</v>
      </c>
      <c r="M6738" s="17"/>
      <c r="N6738" s="17" t="s">
        <v>14020</v>
      </c>
      <c r="O6738" s="17"/>
      <c r="P6738" s="17" t="s">
        <v>14040</v>
      </c>
      <c r="Q6738" s="17"/>
      <c r="R6738" s="25" t="str">
        <f t="shared" ref="R6738:R6748" si="22">HYPERLINK("https://ictv.global/taxonomy/taxondetails?taxnode_id=202303227","Begomovirus gossypigeziraense")</f>
        <v>Begomovirus gossypigeziraense</v>
      </c>
      <c r="S6738" s="18" t="s">
        <v>30</v>
      </c>
      <c r="T6738" s="18" t="s">
        <v>14377</v>
      </c>
      <c r="U6738" s="18" t="s">
        <v>14378</v>
      </c>
      <c r="V6738" s="18" t="s">
        <v>14379</v>
      </c>
      <c r="W6738" s="18" t="s">
        <v>14380</v>
      </c>
      <c r="X6738" s="18" t="s">
        <v>42</v>
      </c>
      <c r="Y6738" s="18" t="s">
        <v>12266</v>
      </c>
      <c r="Z6738" s="18" t="s">
        <v>13441</v>
      </c>
      <c r="AA6738" s="21" t="str">
        <f>HYPERLINK("https://www.ncbi.nlm.nih.gov/nuccore/AF260241","NCBI Nucleotide")</f>
        <v>NCBI Nucleotide</v>
      </c>
    </row>
    <row r="6739" spans="1:27" x14ac:dyDescent="0.35">
      <c r="A6739">
        <v>1012500</v>
      </c>
      <c r="B6739">
        <v>6367</v>
      </c>
      <c r="C6739">
        <v>2</v>
      </c>
      <c r="D6739" s="17" t="s">
        <v>10507</v>
      </c>
      <c r="E6739" s="17"/>
      <c r="F6739" s="17" t="s">
        <v>10780</v>
      </c>
      <c r="G6739" s="17"/>
      <c r="H6739" s="17" t="s">
        <v>12908</v>
      </c>
      <c r="I6739" s="17"/>
      <c r="J6739" s="17" t="s">
        <v>14018</v>
      </c>
      <c r="K6739" s="17"/>
      <c r="L6739" s="17" t="s">
        <v>14019</v>
      </c>
      <c r="M6739" s="17"/>
      <c r="N6739" s="17" t="s">
        <v>14020</v>
      </c>
      <c r="O6739" s="17"/>
      <c r="P6739" s="17" t="s">
        <v>14040</v>
      </c>
      <c r="Q6739" s="17"/>
      <c r="R6739" s="25" t="str">
        <f t="shared" si="22"/>
        <v>Begomovirus gossypigeziraense</v>
      </c>
      <c r="S6739" s="18" t="s">
        <v>8141</v>
      </c>
      <c r="T6739" s="18" t="s">
        <v>14377</v>
      </c>
      <c r="U6739" s="18" t="s">
        <v>14381</v>
      </c>
      <c r="V6739" s="18" t="s">
        <v>14382</v>
      </c>
      <c r="W6739" s="18" t="s">
        <v>49099</v>
      </c>
      <c r="X6739" s="18" t="s">
        <v>42</v>
      </c>
      <c r="Y6739" s="18" t="s">
        <v>12266</v>
      </c>
      <c r="Z6739" s="18" t="s">
        <v>13441</v>
      </c>
      <c r="AA6739" s="21" t="str">
        <f>HYPERLINK("https://www.ncbi.nlm.nih.gov/nuccore/FN554540","NCBI Nucleotide")</f>
        <v>NCBI Nucleotide</v>
      </c>
    </row>
    <row r="6740" spans="1:27" x14ac:dyDescent="0.35">
      <c r="A6740">
        <v>1012501</v>
      </c>
      <c r="B6740">
        <v>6367</v>
      </c>
      <c r="C6740">
        <v>3</v>
      </c>
      <c r="D6740" s="17" t="s">
        <v>10507</v>
      </c>
      <c r="E6740" s="17"/>
      <c r="F6740" s="17" t="s">
        <v>10780</v>
      </c>
      <c r="G6740" s="17"/>
      <c r="H6740" s="17" t="s">
        <v>12908</v>
      </c>
      <c r="I6740" s="17"/>
      <c r="J6740" s="17" t="s">
        <v>14018</v>
      </c>
      <c r="K6740" s="17"/>
      <c r="L6740" s="17" t="s">
        <v>14019</v>
      </c>
      <c r="M6740" s="17"/>
      <c r="N6740" s="17" t="s">
        <v>14020</v>
      </c>
      <c r="O6740" s="17"/>
      <c r="P6740" s="17" t="s">
        <v>14040</v>
      </c>
      <c r="Q6740" s="17"/>
      <c r="R6740" s="25" t="str">
        <f t="shared" si="22"/>
        <v>Begomovirus gossypigeziraense</v>
      </c>
      <c r="S6740" s="18" t="s">
        <v>8141</v>
      </c>
      <c r="T6740" s="18" t="s">
        <v>14377</v>
      </c>
      <c r="U6740" s="18" t="s">
        <v>14383</v>
      </c>
      <c r="V6740" s="18" t="s">
        <v>14384</v>
      </c>
      <c r="W6740" s="18" t="s">
        <v>49100</v>
      </c>
      <c r="X6740" s="18" t="s">
        <v>42</v>
      </c>
      <c r="Y6740" s="18" t="s">
        <v>12266</v>
      </c>
      <c r="Z6740" s="18" t="s">
        <v>13441</v>
      </c>
      <c r="AA6740" s="21" t="str">
        <f>HYPERLINK("https://www.ncbi.nlm.nih.gov/nuccore/AJ542539","NCBI Nucleotide")</f>
        <v>NCBI Nucleotide</v>
      </c>
    </row>
    <row r="6741" spans="1:27" x14ac:dyDescent="0.35">
      <c r="A6741">
        <v>1012502</v>
      </c>
      <c r="B6741">
        <v>6367</v>
      </c>
      <c r="C6741">
        <v>4</v>
      </c>
      <c r="D6741" s="17" t="s">
        <v>10507</v>
      </c>
      <c r="E6741" s="17"/>
      <c r="F6741" s="17" t="s">
        <v>10780</v>
      </c>
      <c r="G6741" s="17"/>
      <c r="H6741" s="17" t="s">
        <v>12908</v>
      </c>
      <c r="I6741" s="17"/>
      <c r="J6741" s="17" t="s">
        <v>14018</v>
      </c>
      <c r="K6741" s="17"/>
      <c r="L6741" s="17" t="s">
        <v>14019</v>
      </c>
      <c r="M6741" s="17"/>
      <c r="N6741" s="17" t="s">
        <v>14020</v>
      </c>
      <c r="O6741" s="17"/>
      <c r="P6741" s="17" t="s">
        <v>14040</v>
      </c>
      <c r="Q6741" s="17"/>
      <c r="R6741" s="25" t="str">
        <f t="shared" si="22"/>
        <v>Begomovirus gossypigeziraense</v>
      </c>
      <c r="S6741" s="18" t="s">
        <v>8141</v>
      </c>
      <c r="T6741" s="18" t="s">
        <v>14377</v>
      </c>
      <c r="U6741" s="18" t="s">
        <v>14385</v>
      </c>
      <c r="V6741" s="18" t="s">
        <v>14386</v>
      </c>
      <c r="W6741" s="18" t="s">
        <v>49101</v>
      </c>
      <c r="X6741" s="18" t="s">
        <v>42</v>
      </c>
      <c r="Y6741" s="18" t="s">
        <v>12266</v>
      </c>
      <c r="Z6741" s="18" t="s">
        <v>13441</v>
      </c>
      <c r="AA6741" s="21" t="str">
        <f>HYPERLINK("https://www.ncbi.nlm.nih.gov/nuccore/FM210276","NCBI Nucleotide")</f>
        <v>NCBI Nucleotide</v>
      </c>
    </row>
    <row r="6742" spans="1:27" x14ac:dyDescent="0.35">
      <c r="A6742">
        <v>1012503</v>
      </c>
      <c r="B6742">
        <v>6367</v>
      </c>
      <c r="C6742">
        <v>5</v>
      </c>
      <c r="D6742" s="17" t="s">
        <v>10507</v>
      </c>
      <c r="E6742" s="17"/>
      <c r="F6742" s="17" t="s">
        <v>10780</v>
      </c>
      <c r="G6742" s="17"/>
      <c r="H6742" s="17" t="s">
        <v>12908</v>
      </c>
      <c r="I6742" s="17"/>
      <c r="J6742" s="17" t="s">
        <v>14018</v>
      </c>
      <c r="K6742" s="17"/>
      <c r="L6742" s="17" t="s">
        <v>14019</v>
      </c>
      <c r="M6742" s="17"/>
      <c r="N6742" s="17" t="s">
        <v>14020</v>
      </c>
      <c r="O6742" s="17"/>
      <c r="P6742" s="17" t="s">
        <v>14040</v>
      </c>
      <c r="Q6742" s="17"/>
      <c r="R6742" s="25" t="str">
        <f t="shared" si="22"/>
        <v>Begomovirus gossypigeziraense</v>
      </c>
      <c r="S6742" s="18" t="s">
        <v>8141</v>
      </c>
      <c r="T6742" s="18" t="s">
        <v>14377</v>
      </c>
      <c r="U6742" s="18" t="s">
        <v>14387</v>
      </c>
      <c r="V6742" s="18" t="s">
        <v>14388</v>
      </c>
      <c r="W6742" s="18" t="s">
        <v>49102</v>
      </c>
      <c r="X6742" s="18" t="s">
        <v>42</v>
      </c>
      <c r="Y6742" s="18" t="s">
        <v>12266</v>
      </c>
      <c r="Z6742" s="18" t="s">
        <v>13441</v>
      </c>
      <c r="AA6742" s="21" t="str">
        <f>HYPERLINK("https://www.ncbi.nlm.nih.gov/nuccore/AF155064","NCBI Nucleotide")</f>
        <v>NCBI Nucleotide</v>
      </c>
    </row>
    <row r="6743" spans="1:27" x14ac:dyDescent="0.35">
      <c r="A6743">
        <v>1012504</v>
      </c>
      <c r="B6743">
        <v>6367</v>
      </c>
      <c r="C6743">
        <v>6</v>
      </c>
      <c r="D6743" s="17" t="s">
        <v>10507</v>
      </c>
      <c r="E6743" s="17"/>
      <c r="F6743" s="17" t="s">
        <v>10780</v>
      </c>
      <c r="G6743" s="17"/>
      <c r="H6743" s="17" t="s">
        <v>12908</v>
      </c>
      <c r="I6743" s="17"/>
      <c r="J6743" s="17" t="s">
        <v>14018</v>
      </c>
      <c r="K6743" s="17"/>
      <c r="L6743" s="17" t="s">
        <v>14019</v>
      </c>
      <c r="M6743" s="17"/>
      <c r="N6743" s="17" t="s">
        <v>14020</v>
      </c>
      <c r="O6743" s="17"/>
      <c r="P6743" s="17" t="s">
        <v>14040</v>
      </c>
      <c r="Q6743" s="17"/>
      <c r="R6743" s="25" t="str">
        <f t="shared" si="22"/>
        <v>Begomovirus gossypigeziraense</v>
      </c>
      <c r="S6743" s="18" t="s">
        <v>8141</v>
      </c>
      <c r="T6743" s="18" t="s">
        <v>14377</v>
      </c>
      <c r="U6743" s="18" t="s">
        <v>14389</v>
      </c>
      <c r="V6743" s="18" t="s">
        <v>14390</v>
      </c>
      <c r="W6743" s="18" t="s">
        <v>49103</v>
      </c>
      <c r="X6743" s="18" t="s">
        <v>42</v>
      </c>
      <c r="Y6743" s="18" t="s">
        <v>12266</v>
      </c>
      <c r="Z6743" s="18" t="s">
        <v>13441</v>
      </c>
      <c r="AA6743" s="21" t="str">
        <f>HYPERLINK("https://www.ncbi.nlm.nih.gov/nuccore/AF014881","NCBI Nucleotide")</f>
        <v>NCBI Nucleotide</v>
      </c>
    </row>
    <row r="6744" spans="1:27" x14ac:dyDescent="0.35">
      <c r="A6744">
        <v>1012505</v>
      </c>
      <c r="B6744">
        <v>6367</v>
      </c>
      <c r="C6744">
        <v>7</v>
      </c>
      <c r="D6744" s="17" t="s">
        <v>10507</v>
      </c>
      <c r="E6744" s="17"/>
      <c r="F6744" s="17" t="s">
        <v>10780</v>
      </c>
      <c r="G6744" s="17"/>
      <c r="H6744" s="17" t="s">
        <v>12908</v>
      </c>
      <c r="I6744" s="17"/>
      <c r="J6744" s="17" t="s">
        <v>14018</v>
      </c>
      <c r="K6744" s="17"/>
      <c r="L6744" s="17" t="s">
        <v>14019</v>
      </c>
      <c r="M6744" s="17"/>
      <c r="N6744" s="17" t="s">
        <v>14020</v>
      </c>
      <c r="O6744" s="17"/>
      <c r="P6744" s="17" t="s">
        <v>14040</v>
      </c>
      <c r="Q6744" s="17"/>
      <c r="R6744" s="25" t="str">
        <f t="shared" si="22"/>
        <v>Begomovirus gossypigeziraense</v>
      </c>
      <c r="S6744" s="18" t="s">
        <v>8141</v>
      </c>
      <c r="T6744" s="18" t="s">
        <v>14377</v>
      </c>
      <c r="U6744" s="18" t="s">
        <v>14391</v>
      </c>
      <c r="V6744" s="18" t="s">
        <v>14392</v>
      </c>
      <c r="W6744" s="18" t="s">
        <v>49104</v>
      </c>
      <c r="X6744" s="18" t="s">
        <v>42</v>
      </c>
      <c r="Y6744" s="18" t="s">
        <v>12266</v>
      </c>
      <c r="Z6744" s="18" t="s">
        <v>13441</v>
      </c>
      <c r="AA6744" s="21" t="str">
        <f>HYPERLINK("https://www.ncbi.nlm.nih.gov/nuccore/FM164726","NCBI Nucleotide")</f>
        <v>NCBI Nucleotide</v>
      </c>
    </row>
    <row r="6745" spans="1:27" x14ac:dyDescent="0.35">
      <c r="A6745">
        <v>1012506</v>
      </c>
      <c r="B6745">
        <v>6367</v>
      </c>
      <c r="C6745">
        <v>8</v>
      </c>
      <c r="D6745" s="17" t="s">
        <v>10507</v>
      </c>
      <c r="E6745" s="17"/>
      <c r="F6745" s="17" t="s">
        <v>10780</v>
      </c>
      <c r="G6745" s="17"/>
      <c r="H6745" s="17" t="s">
        <v>12908</v>
      </c>
      <c r="I6745" s="17"/>
      <c r="J6745" s="17" t="s">
        <v>14018</v>
      </c>
      <c r="K6745" s="17"/>
      <c r="L6745" s="17" t="s">
        <v>14019</v>
      </c>
      <c r="M6745" s="17"/>
      <c r="N6745" s="17" t="s">
        <v>14020</v>
      </c>
      <c r="O6745" s="17"/>
      <c r="P6745" s="17" t="s">
        <v>14040</v>
      </c>
      <c r="Q6745" s="17"/>
      <c r="R6745" s="25" t="str">
        <f t="shared" si="22"/>
        <v>Begomovirus gossypigeziraense</v>
      </c>
      <c r="S6745" s="18" t="s">
        <v>8141</v>
      </c>
      <c r="T6745" s="18" t="s">
        <v>14377</v>
      </c>
      <c r="U6745" s="18" t="s">
        <v>14393</v>
      </c>
      <c r="V6745" s="18" t="s">
        <v>14394</v>
      </c>
      <c r="W6745" s="18" t="s">
        <v>49105</v>
      </c>
      <c r="X6745" s="18" t="s">
        <v>42</v>
      </c>
      <c r="Y6745" s="18" t="s">
        <v>12266</v>
      </c>
      <c r="Z6745" s="18" t="s">
        <v>13441</v>
      </c>
      <c r="AA6745" s="21" t="str">
        <f>HYPERLINK("https://www.ncbi.nlm.nih.gov/nuccore/AM701757","NCBI Nucleotide")</f>
        <v>NCBI Nucleotide</v>
      </c>
    </row>
    <row r="6746" spans="1:27" x14ac:dyDescent="0.35">
      <c r="A6746">
        <v>1012507</v>
      </c>
      <c r="B6746">
        <v>6367</v>
      </c>
      <c r="C6746">
        <v>9</v>
      </c>
      <c r="D6746" s="17" t="s">
        <v>10507</v>
      </c>
      <c r="E6746" s="17"/>
      <c r="F6746" s="17" t="s">
        <v>10780</v>
      </c>
      <c r="G6746" s="17"/>
      <c r="H6746" s="17" t="s">
        <v>12908</v>
      </c>
      <c r="I6746" s="17"/>
      <c r="J6746" s="17" t="s">
        <v>14018</v>
      </c>
      <c r="K6746" s="17"/>
      <c r="L6746" s="17" t="s">
        <v>14019</v>
      </c>
      <c r="M6746" s="17"/>
      <c r="N6746" s="17" t="s">
        <v>14020</v>
      </c>
      <c r="O6746" s="17"/>
      <c r="P6746" s="17" t="s">
        <v>14040</v>
      </c>
      <c r="Q6746" s="17"/>
      <c r="R6746" s="25" t="str">
        <f t="shared" si="22"/>
        <v>Begomovirus gossypigeziraense</v>
      </c>
      <c r="S6746" s="18" t="s">
        <v>8141</v>
      </c>
      <c r="T6746" s="18" t="s">
        <v>14377</v>
      </c>
      <c r="U6746" s="18" t="s">
        <v>14395</v>
      </c>
      <c r="V6746" s="18" t="s">
        <v>14396</v>
      </c>
      <c r="W6746" s="18" t="s">
        <v>49106</v>
      </c>
      <c r="X6746" s="18" t="s">
        <v>42</v>
      </c>
      <c r="Y6746" s="18" t="s">
        <v>12266</v>
      </c>
      <c r="Z6746" s="18" t="s">
        <v>13441</v>
      </c>
      <c r="AA6746" s="21" t="str">
        <f>HYPERLINK("https://www.ncbi.nlm.nih.gov/nuccore/EU024120","NCBI Nucleotide")</f>
        <v>NCBI Nucleotide</v>
      </c>
    </row>
    <row r="6747" spans="1:27" x14ac:dyDescent="0.35">
      <c r="A6747">
        <v>1012508</v>
      </c>
      <c r="B6747">
        <v>6367</v>
      </c>
      <c r="C6747">
        <v>10</v>
      </c>
      <c r="D6747" s="17" t="s">
        <v>10507</v>
      </c>
      <c r="E6747" s="17"/>
      <c r="F6747" s="17" t="s">
        <v>10780</v>
      </c>
      <c r="G6747" s="17"/>
      <c r="H6747" s="17" t="s">
        <v>12908</v>
      </c>
      <c r="I6747" s="17"/>
      <c r="J6747" s="17" t="s">
        <v>14018</v>
      </c>
      <c r="K6747" s="17"/>
      <c r="L6747" s="17" t="s">
        <v>14019</v>
      </c>
      <c r="M6747" s="17"/>
      <c r="N6747" s="17" t="s">
        <v>14020</v>
      </c>
      <c r="O6747" s="17"/>
      <c r="P6747" s="17" t="s">
        <v>14040</v>
      </c>
      <c r="Q6747" s="17"/>
      <c r="R6747" s="25" t="str">
        <f t="shared" si="22"/>
        <v>Begomovirus gossypigeziraense</v>
      </c>
      <c r="S6747" s="18" t="s">
        <v>8141</v>
      </c>
      <c r="T6747" s="18" t="s">
        <v>14377</v>
      </c>
      <c r="U6747" s="18" t="s">
        <v>14397</v>
      </c>
      <c r="V6747" s="18" t="s">
        <v>14398</v>
      </c>
      <c r="W6747" s="18" t="s">
        <v>49107</v>
      </c>
      <c r="X6747" s="18" t="s">
        <v>42</v>
      </c>
      <c r="Y6747" s="18" t="s">
        <v>12266</v>
      </c>
      <c r="Z6747" s="18" t="s">
        <v>13441</v>
      </c>
      <c r="AA6747" s="21" t="str">
        <f>HYPERLINK("https://www.ncbi.nlm.nih.gov/nuccore/EU432373","NCBI Nucleotide")</f>
        <v>NCBI Nucleotide</v>
      </c>
    </row>
    <row r="6748" spans="1:27" x14ac:dyDescent="0.35">
      <c r="A6748">
        <v>1012509</v>
      </c>
      <c r="B6748">
        <v>6367</v>
      </c>
      <c r="C6748">
        <v>11</v>
      </c>
      <c r="D6748" s="17" t="s">
        <v>10507</v>
      </c>
      <c r="E6748" s="17"/>
      <c r="F6748" s="17" t="s">
        <v>10780</v>
      </c>
      <c r="G6748" s="17"/>
      <c r="H6748" s="17" t="s">
        <v>12908</v>
      </c>
      <c r="I6748" s="17"/>
      <c r="J6748" s="17" t="s">
        <v>14018</v>
      </c>
      <c r="K6748" s="17"/>
      <c r="L6748" s="17" t="s">
        <v>14019</v>
      </c>
      <c r="M6748" s="17"/>
      <c r="N6748" s="17" t="s">
        <v>14020</v>
      </c>
      <c r="O6748" s="17"/>
      <c r="P6748" s="17" t="s">
        <v>14040</v>
      </c>
      <c r="Q6748" s="17"/>
      <c r="R6748" s="25" t="str">
        <f t="shared" si="22"/>
        <v>Begomovirus gossypigeziraense</v>
      </c>
      <c r="S6748" s="18" t="s">
        <v>8141</v>
      </c>
      <c r="T6748" s="18" t="s">
        <v>14377</v>
      </c>
      <c r="U6748" s="18" t="s">
        <v>14399</v>
      </c>
      <c r="V6748" s="18" t="s">
        <v>14400</v>
      </c>
      <c r="W6748" s="18" t="s">
        <v>49108</v>
      </c>
      <c r="X6748" s="18" t="s">
        <v>42</v>
      </c>
      <c r="Y6748" s="18" t="s">
        <v>12266</v>
      </c>
      <c r="Z6748" s="18" t="s">
        <v>13441</v>
      </c>
      <c r="AA6748" s="21" t="str">
        <f>HYPERLINK("https://www.ncbi.nlm.nih.gov/nuccore/FJ868828","NCBI Nucleotide")</f>
        <v>NCBI Nucleotide</v>
      </c>
    </row>
    <row r="6749" spans="1:27" x14ac:dyDescent="0.35">
      <c r="A6749">
        <v>1007656</v>
      </c>
      <c r="B6749">
        <v>6368</v>
      </c>
      <c r="C6749">
        <v>1</v>
      </c>
      <c r="D6749" s="17" t="s">
        <v>10507</v>
      </c>
      <c r="E6749" s="17"/>
      <c r="F6749" s="17" t="s">
        <v>10780</v>
      </c>
      <c r="G6749" s="17"/>
      <c r="H6749" s="17" t="s">
        <v>12908</v>
      </c>
      <c r="I6749" s="17"/>
      <c r="J6749" s="17" t="s">
        <v>14018</v>
      </c>
      <c r="K6749" s="17"/>
      <c r="L6749" s="17" t="s">
        <v>14019</v>
      </c>
      <c r="M6749" s="17"/>
      <c r="N6749" s="17" t="s">
        <v>14020</v>
      </c>
      <c r="O6749" s="17"/>
      <c r="P6749" s="17" t="s">
        <v>14040</v>
      </c>
      <c r="Q6749" s="17"/>
      <c r="R6749" s="25" t="str">
        <f>HYPERLINK("https://ictv.global/taxonomy/taxondetails?taxnode_id=202303224","Begomovirus gossypii")</f>
        <v>Begomovirus gossypii</v>
      </c>
      <c r="S6749" s="18" t="s">
        <v>30</v>
      </c>
      <c r="T6749" s="18" t="s">
        <v>14351</v>
      </c>
      <c r="U6749" s="18" t="s">
        <v>14352</v>
      </c>
      <c r="V6749" s="18" t="s">
        <v>14353</v>
      </c>
      <c r="W6749" s="18" t="s">
        <v>14354</v>
      </c>
      <c r="X6749" s="18" t="s">
        <v>42</v>
      </c>
      <c r="Y6749" s="18" t="s">
        <v>12266</v>
      </c>
      <c r="Z6749" s="18" t="s">
        <v>13441</v>
      </c>
      <c r="AA6749" s="21" t="str">
        <f>HYPERLINK("https://www.ncbi.nlm.nih.gov/nuccore/AF480940,AF480941","NCBI Nucleotide")</f>
        <v>NCBI Nucleotide</v>
      </c>
    </row>
    <row r="6750" spans="1:27" x14ac:dyDescent="0.35">
      <c r="A6750">
        <v>1012495</v>
      </c>
      <c r="B6750">
        <v>6368</v>
      </c>
      <c r="C6750">
        <v>2</v>
      </c>
      <c r="D6750" s="17" t="s">
        <v>10507</v>
      </c>
      <c r="E6750" s="17"/>
      <c r="F6750" s="17" t="s">
        <v>10780</v>
      </c>
      <c r="G6750" s="17"/>
      <c r="H6750" s="17" t="s">
        <v>12908</v>
      </c>
      <c r="I6750" s="17"/>
      <c r="J6750" s="17" t="s">
        <v>14018</v>
      </c>
      <c r="K6750" s="17"/>
      <c r="L6750" s="17" t="s">
        <v>14019</v>
      </c>
      <c r="M6750" s="17"/>
      <c r="N6750" s="17" t="s">
        <v>14020</v>
      </c>
      <c r="O6750" s="17"/>
      <c r="P6750" s="17" t="s">
        <v>14040</v>
      </c>
      <c r="Q6750" s="17"/>
      <c r="R6750" s="25" t="str">
        <f>HYPERLINK("https://ictv.global/taxonomy/taxondetails?taxnode_id=202303224","Begomovirus gossypii")</f>
        <v>Begomovirus gossypii</v>
      </c>
      <c r="S6750" s="18" t="s">
        <v>8141</v>
      </c>
      <c r="T6750" s="18" t="s">
        <v>14351</v>
      </c>
      <c r="U6750" s="18" t="s">
        <v>14355</v>
      </c>
      <c r="V6750" s="18" t="s">
        <v>14356</v>
      </c>
      <c r="W6750" s="18" t="s">
        <v>49109</v>
      </c>
      <c r="X6750" s="18" t="s">
        <v>42</v>
      </c>
      <c r="Y6750" s="18" t="s">
        <v>12266</v>
      </c>
      <c r="Z6750" s="18" t="s">
        <v>13441</v>
      </c>
      <c r="AA6750" s="21" t="str">
        <f>HYPERLINK("https://www.ncbi.nlm.nih.gov/nuccore/AY083351","NCBI Nucleotide")</f>
        <v>NCBI Nucleotide</v>
      </c>
    </row>
    <row r="6751" spans="1:27" x14ac:dyDescent="0.35">
      <c r="A6751">
        <v>1007661</v>
      </c>
      <c r="B6751">
        <v>6369</v>
      </c>
      <c r="C6751">
        <v>1</v>
      </c>
      <c r="D6751" s="17" t="s">
        <v>10507</v>
      </c>
      <c r="E6751" s="17"/>
      <c r="F6751" s="17" t="s">
        <v>10780</v>
      </c>
      <c r="G6751" s="17"/>
      <c r="H6751" s="17" t="s">
        <v>12908</v>
      </c>
      <c r="I6751" s="17"/>
      <c r="J6751" s="17" t="s">
        <v>14018</v>
      </c>
      <c r="K6751" s="17"/>
      <c r="L6751" s="17" t="s">
        <v>14019</v>
      </c>
      <c r="M6751" s="17"/>
      <c r="N6751" s="17" t="s">
        <v>14020</v>
      </c>
      <c r="O6751" s="17"/>
      <c r="P6751" s="17" t="s">
        <v>14040</v>
      </c>
      <c r="Q6751" s="17"/>
      <c r="R6751" s="25" t="str">
        <f>HYPERLINK("https://ictv.global/taxonomy/taxondetails?taxnode_id=202303228","Begomovirus gossypikokranense")</f>
        <v>Begomovirus gossypikokranense</v>
      </c>
      <c r="S6751" s="18" t="s">
        <v>30</v>
      </c>
      <c r="T6751" s="18" t="s">
        <v>14401</v>
      </c>
      <c r="U6751" s="18" t="s">
        <v>14402</v>
      </c>
      <c r="V6751" s="18" t="s">
        <v>14403</v>
      </c>
      <c r="W6751" s="18" t="s">
        <v>14404</v>
      </c>
      <c r="X6751" s="18" t="s">
        <v>42</v>
      </c>
      <c r="Y6751" s="18" t="s">
        <v>12266</v>
      </c>
      <c r="Z6751" s="18" t="s">
        <v>13441</v>
      </c>
      <c r="AA6751" s="21" t="str">
        <f>HYPERLINK("https://www.ncbi.nlm.nih.gov/nuccore/AJ002449","NCBI Nucleotide")</f>
        <v>NCBI Nucleotide</v>
      </c>
    </row>
    <row r="6752" spans="1:27" x14ac:dyDescent="0.35">
      <c r="A6752">
        <v>1012510</v>
      </c>
      <c r="B6752">
        <v>6369</v>
      </c>
      <c r="C6752">
        <v>2</v>
      </c>
      <c r="D6752" s="17" t="s">
        <v>10507</v>
      </c>
      <c r="E6752" s="17"/>
      <c r="F6752" s="17" t="s">
        <v>10780</v>
      </c>
      <c r="G6752" s="17"/>
      <c r="H6752" s="17" t="s">
        <v>12908</v>
      </c>
      <c r="I6752" s="17"/>
      <c r="J6752" s="17" t="s">
        <v>14018</v>
      </c>
      <c r="K6752" s="17"/>
      <c r="L6752" s="17" t="s">
        <v>14019</v>
      </c>
      <c r="M6752" s="17"/>
      <c r="N6752" s="17" t="s">
        <v>14020</v>
      </c>
      <c r="O6752" s="17"/>
      <c r="P6752" s="17" t="s">
        <v>14040</v>
      </c>
      <c r="Q6752" s="17"/>
      <c r="R6752" s="25" t="str">
        <f>HYPERLINK("https://ictv.global/taxonomy/taxondetails?taxnode_id=202303228","Begomovirus gossypikokranense")</f>
        <v>Begomovirus gossypikokranense</v>
      </c>
      <c r="S6752" s="18" t="s">
        <v>8141</v>
      </c>
      <c r="T6752" s="18" t="s">
        <v>14401</v>
      </c>
      <c r="U6752" s="18" t="s">
        <v>14405</v>
      </c>
      <c r="V6752" s="18" t="s">
        <v>14406</v>
      </c>
      <c r="W6752" s="18" t="s">
        <v>49110</v>
      </c>
      <c r="X6752" s="18" t="s">
        <v>42</v>
      </c>
      <c r="Y6752" s="18" t="s">
        <v>12266</v>
      </c>
      <c r="Z6752" s="18" t="s">
        <v>13441</v>
      </c>
      <c r="AA6752" s="21" t="str">
        <f>HYPERLINK("https://www.ncbi.nlm.nih.gov/nuccore/AM421522","NCBI Nucleotide")</f>
        <v>NCBI Nucleotide</v>
      </c>
    </row>
    <row r="6753" spans="1:27" x14ac:dyDescent="0.35">
      <c r="A6753">
        <v>1012511</v>
      </c>
      <c r="B6753">
        <v>6369</v>
      </c>
      <c r="C6753">
        <v>3</v>
      </c>
      <c r="D6753" s="17" t="s">
        <v>10507</v>
      </c>
      <c r="E6753" s="17"/>
      <c r="F6753" s="17" t="s">
        <v>10780</v>
      </c>
      <c r="G6753" s="17"/>
      <c r="H6753" s="17" t="s">
        <v>12908</v>
      </c>
      <c r="I6753" s="17"/>
      <c r="J6753" s="17" t="s">
        <v>14018</v>
      </c>
      <c r="K6753" s="17"/>
      <c r="L6753" s="17" t="s">
        <v>14019</v>
      </c>
      <c r="M6753" s="17"/>
      <c r="N6753" s="17" t="s">
        <v>14020</v>
      </c>
      <c r="O6753" s="17"/>
      <c r="P6753" s="17" t="s">
        <v>14040</v>
      </c>
      <c r="Q6753" s="17"/>
      <c r="R6753" s="25" t="str">
        <f>HYPERLINK("https://ictv.global/taxonomy/taxondetails?taxnode_id=202303228","Begomovirus gossypikokranense")</f>
        <v>Begomovirus gossypikokranense</v>
      </c>
      <c r="S6753" s="18" t="s">
        <v>8141</v>
      </c>
      <c r="T6753" s="18" t="s">
        <v>14401</v>
      </c>
      <c r="U6753" s="18" t="s">
        <v>14407</v>
      </c>
      <c r="V6753" s="18" t="s">
        <v>14408</v>
      </c>
      <c r="W6753" s="18" t="s">
        <v>49111</v>
      </c>
      <c r="X6753" s="18" t="s">
        <v>42</v>
      </c>
      <c r="Y6753" s="18" t="s">
        <v>12266</v>
      </c>
      <c r="Z6753" s="18" t="s">
        <v>13441</v>
      </c>
      <c r="AA6753" s="21" t="str">
        <f>HYPERLINK("https://www.ncbi.nlm.nih.gov/nuccore/HF549182","NCBI Nucleotide")</f>
        <v>NCBI Nucleotide</v>
      </c>
    </row>
    <row r="6754" spans="1:27" x14ac:dyDescent="0.35">
      <c r="A6754">
        <v>1012512</v>
      </c>
      <c r="B6754">
        <v>6369</v>
      </c>
      <c r="C6754">
        <v>4</v>
      </c>
      <c r="D6754" s="17" t="s">
        <v>10507</v>
      </c>
      <c r="E6754" s="17"/>
      <c r="F6754" s="17" t="s">
        <v>10780</v>
      </c>
      <c r="G6754" s="17"/>
      <c r="H6754" s="17" t="s">
        <v>12908</v>
      </c>
      <c r="I6754" s="17"/>
      <c r="J6754" s="17" t="s">
        <v>14018</v>
      </c>
      <c r="K6754" s="17"/>
      <c r="L6754" s="17" t="s">
        <v>14019</v>
      </c>
      <c r="M6754" s="17"/>
      <c r="N6754" s="17" t="s">
        <v>14020</v>
      </c>
      <c r="O6754" s="17"/>
      <c r="P6754" s="17" t="s">
        <v>14040</v>
      </c>
      <c r="Q6754" s="17"/>
      <c r="R6754" s="25" t="str">
        <f>HYPERLINK("https://ictv.global/taxonomy/taxondetails?taxnode_id=202303228","Begomovirus gossypikokranense")</f>
        <v>Begomovirus gossypikokranense</v>
      </c>
      <c r="S6754" s="18" t="s">
        <v>8141</v>
      </c>
      <c r="T6754" s="18" t="s">
        <v>14401</v>
      </c>
      <c r="U6754" s="18" t="s">
        <v>14409</v>
      </c>
      <c r="V6754" s="18" t="s">
        <v>14410</v>
      </c>
      <c r="W6754" s="18" t="s">
        <v>49112</v>
      </c>
      <c r="X6754" s="18" t="s">
        <v>42</v>
      </c>
      <c r="Y6754" s="18" t="s">
        <v>12266</v>
      </c>
      <c r="Z6754" s="18" t="s">
        <v>13441</v>
      </c>
      <c r="AA6754" s="21" t="str">
        <f>HYPERLINK("https://www.ncbi.nlm.nih.gov/nuccore/GU385879","NCBI Nucleotide")</f>
        <v>NCBI Nucleotide</v>
      </c>
    </row>
    <row r="6755" spans="1:27" x14ac:dyDescent="0.35">
      <c r="A6755">
        <v>1012513</v>
      </c>
      <c r="B6755">
        <v>6369</v>
      </c>
      <c r="C6755">
        <v>5</v>
      </c>
      <c r="D6755" s="17" t="s">
        <v>10507</v>
      </c>
      <c r="E6755" s="17"/>
      <c r="F6755" s="17" t="s">
        <v>10780</v>
      </c>
      <c r="G6755" s="17"/>
      <c r="H6755" s="17" t="s">
        <v>12908</v>
      </c>
      <c r="I6755" s="17"/>
      <c r="J6755" s="17" t="s">
        <v>14018</v>
      </c>
      <c r="K6755" s="17"/>
      <c r="L6755" s="17" t="s">
        <v>14019</v>
      </c>
      <c r="M6755" s="17"/>
      <c r="N6755" s="17" t="s">
        <v>14020</v>
      </c>
      <c r="O6755" s="17"/>
      <c r="P6755" s="17" t="s">
        <v>14040</v>
      </c>
      <c r="Q6755" s="17"/>
      <c r="R6755" s="25" t="str">
        <f>HYPERLINK("https://ictv.global/taxonomy/taxondetails?taxnode_id=202303228","Begomovirus gossypikokranense")</f>
        <v>Begomovirus gossypikokranense</v>
      </c>
      <c r="S6755" s="18" t="s">
        <v>8141</v>
      </c>
      <c r="T6755" s="18" t="s">
        <v>14401</v>
      </c>
      <c r="U6755" s="18" t="s">
        <v>14411</v>
      </c>
      <c r="V6755" s="18" t="s">
        <v>14412</v>
      </c>
      <c r="W6755" s="18" t="s">
        <v>49113</v>
      </c>
      <c r="X6755" s="18" t="s">
        <v>42</v>
      </c>
      <c r="Y6755" s="18" t="s">
        <v>12266</v>
      </c>
      <c r="Z6755" s="18" t="s">
        <v>13441</v>
      </c>
      <c r="AA6755" s="21" t="str">
        <f>HYPERLINK("https://www.ncbi.nlm.nih.gov/nuccore/FN552001","NCBI Nucleotide")</f>
        <v>NCBI Nucleotide</v>
      </c>
    </row>
    <row r="6756" spans="1:27" x14ac:dyDescent="0.35">
      <c r="A6756">
        <v>1007655</v>
      </c>
      <c r="B6756">
        <v>6370</v>
      </c>
      <c r="C6756">
        <v>1</v>
      </c>
      <c r="D6756" s="17" t="s">
        <v>10507</v>
      </c>
      <c r="E6756" s="17"/>
      <c r="F6756" s="17" t="s">
        <v>10780</v>
      </c>
      <c r="G6756" s="17"/>
      <c r="H6756" s="17" t="s">
        <v>12908</v>
      </c>
      <c r="I6756" s="17"/>
      <c r="J6756" s="17" t="s">
        <v>14018</v>
      </c>
      <c r="K6756" s="17"/>
      <c r="L6756" s="17" t="s">
        <v>14019</v>
      </c>
      <c r="M6756" s="17"/>
      <c r="N6756" s="17" t="s">
        <v>14020</v>
      </c>
      <c r="O6756" s="17"/>
      <c r="P6756" s="17" t="s">
        <v>14040</v>
      </c>
      <c r="Q6756" s="17"/>
      <c r="R6756" s="25" t="str">
        <f>HYPERLINK("https://ictv.global/taxonomy/taxondetails?taxnode_id=202303223","Begomovirus gossypimaculae")</f>
        <v>Begomovirus gossypimaculae</v>
      </c>
      <c r="S6756" s="18" t="s">
        <v>30</v>
      </c>
      <c r="T6756" s="18" t="s">
        <v>14347</v>
      </c>
      <c r="U6756" s="18" t="s">
        <v>14348</v>
      </c>
      <c r="V6756" s="18" t="s">
        <v>14349</v>
      </c>
      <c r="W6756" s="18" t="s">
        <v>14350</v>
      </c>
      <c r="X6756" s="18" t="s">
        <v>42</v>
      </c>
      <c r="Y6756" s="18" t="s">
        <v>12266</v>
      </c>
      <c r="Z6756" s="18" t="s">
        <v>13441</v>
      </c>
      <c r="AA6756" s="21" t="str">
        <f>HYPERLINK("https://www.ncbi.nlm.nih.gov/nuccore/KF358470,KF358471","NCBI Nucleotide")</f>
        <v>NCBI Nucleotide</v>
      </c>
    </row>
    <row r="6757" spans="1:27" x14ac:dyDescent="0.35">
      <c r="A6757">
        <v>1007662</v>
      </c>
      <c r="B6757">
        <v>6371</v>
      </c>
      <c r="C6757">
        <v>1</v>
      </c>
      <c r="D6757" s="17" t="s">
        <v>10507</v>
      </c>
      <c r="E6757" s="17"/>
      <c r="F6757" s="17" t="s">
        <v>10780</v>
      </c>
      <c r="G6757" s="17"/>
      <c r="H6757" s="17" t="s">
        <v>12908</v>
      </c>
      <c r="I6757" s="17"/>
      <c r="J6757" s="17" t="s">
        <v>14018</v>
      </c>
      <c r="K6757" s="17"/>
      <c r="L6757" s="17" t="s">
        <v>14019</v>
      </c>
      <c r="M6757" s="17"/>
      <c r="N6757" s="17" t="s">
        <v>14020</v>
      </c>
      <c r="O6757" s="17"/>
      <c r="P6757" s="17" t="s">
        <v>14040</v>
      </c>
      <c r="Q6757" s="17"/>
      <c r="R6757" s="25" t="str">
        <f t="shared" ref="R6757:R6762" si="23">HYPERLINK("https://ictv.global/taxonomy/taxondetails?taxnode_id=202303229","Begomovirus gossypimultanense")</f>
        <v>Begomovirus gossypimultanense</v>
      </c>
      <c r="S6757" s="18" t="s">
        <v>30</v>
      </c>
      <c r="T6757" s="18" t="s">
        <v>14413</v>
      </c>
      <c r="U6757" s="18" t="s">
        <v>14414</v>
      </c>
      <c r="V6757" s="18" t="s">
        <v>14415</v>
      </c>
      <c r="W6757" s="18" t="s">
        <v>14416</v>
      </c>
      <c r="X6757" s="18" t="s">
        <v>42</v>
      </c>
      <c r="Y6757" s="18" t="s">
        <v>12266</v>
      </c>
      <c r="Z6757" s="18" t="s">
        <v>13441</v>
      </c>
      <c r="AA6757" s="21" t="str">
        <f>HYPERLINK("https://www.ncbi.nlm.nih.gov/nuccore/EU365613","NCBI Nucleotide")</f>
        <v>NCBI Nucleotide</v>
      </c>
    </row>
    <row r="6758" spans="1:27" x14ac:dyDescent="0.35">
      <c r="A6758">
        <v>1012514</v>
      </c>
      <c r="B6758">
        <v>6371</v>
      </c>
      <c r="C6758">
        <v>2</v>
      </c>
      <c r="D6758" s="17" t="s">
        <v>10507</v>
      </c>
      <c r="E6758" s="17"/>
      <c r="F6758" s="17" t="s">
        <v>10780</v>
      </c>
      <c r="G6758" s="17"/>
      <c r="H6758" s="17" t="s">
        <v>12908</v>
      </c>
      <c r="I6758" s="17"/>
      <c r="J6758" s="17" t="s">
        <v>14018</v>
      </c>
      <c r="K6758" s="17"/>
      <c r="L6758" s="17" t="s">
        <v>14019</v>
      </c>
      <c r="M6758" s="17"/>
      <c r="N6758" s="17" t="s">
        <v>14020</v>
      </c>
      <c r="O6758" s="17"/>
      <c r="P6758" s="17" t="s">
        <v>14040</v>
      </c>
      <c r="Q6758" s="17"/>
      <c r="R6758" s="25" t="str">
        <f t="shared" si="23"/>
        <v>Begomovirus gossypimultanense</v>
      </c>
      <c r="S6758" s="18" t="s">
        <v>8141</v>
      </c>
      <c r="T6758" s="18" t="s">
        <v>14413</v>
      </c>
      <c r="U6758" s="18" t="s">
        <v>14417</v>
      </c>
      <c r="V6758" s="18" t="s">
        <v>14418</v>
      </c>
      <c r="W6758" s="18" t="s">
        <v>49114</v>
      </c>
      <c r="X6758" s="18" t="s">
        <v>42</v>
      </c>
      <c r="Y6758" s="18" t="s">
        <v>12266</v>
      </c>
      <c r="Z6758" s="18" t="s">
        <v>13441</v>
      </c>
      <c r="AA6758" s="21" t="str">
        <f>HYPERLINK("https://www.ncbi.nlm.nih.gov/nuccore/AJ002447","NCBI Nucleotide")</f>
        <v>NCBI Nucleotide</v>
      </c>
    </row>
    <row r="6759" spans="1:27" x14ac:dyDescent="0.35">
      <c r="A6759">
        <v>1012515</v>
      </c>
      <c r="B6759">
        <v>6371</v>
      </c>
      <c r="C6759">
        <v>3</v>
      </c>
      <c r="D6759" s="17" t="s">
        <v>10507</v>
      </c>
      <c r="E6759" s="17"/>
      <c r="F6759" s="17" t="s">
        <v>10780</v>
      </c>
      <c r="G6759" s="17"/>
      <c r="H6759" s="17" t="s">
        <v>12908</v>
      </c>
      <c r="I6759" s="17"/>
      <c r="J6759" s="17" t="s">
        <v>14018</v>
      </c>
      <c r="K6759" s="17"/>
      <c r="L6759" s="17" t="s">
        <v>14019</v>
      </c>
      <c r="M6759" s="17"/>
      <c r="N6759" s="17" t="s">
        <v>14020</v>
      </c>
      <c r="O6759" s="17"/>
      <c r="P6759" s="17" t="s">
        <v>14040</v>
      </c>
      <c r="Q6759" s="17"/>
      <c r="R6759" s="25" t="str">
        <f t="shared" si="23"/>
        <v>Begomovirus gossypimultanense</v>
      </c>
      <c r="S6759" s="18" t="s">
        <v>8141</v>
      </c>
      <c r="T6759" s="18" t="s">
        <v>14413</v>
      </c>
      <c r="U6759" s="18" t="s">
        <v>14419</v>
      </c>
      <c r="V6759" s="18" t="s">
        <v>14420</v>
      </c>
      <c r="W6759" s="18" t="s">
        <v>49115</v>
      </c>
      <c r="X6759" s="18" t="s">
        <v>42</v>
      </c>
      <c r="Y6759" s="18" t="s">
        <v>12266</v>
      </c>
      <c r="Z6759" s="18" t="s">
        <v>13441</v>
      </c>
      <c r="AA6759" s="21" t="str">
        <f>HYPERLINK("https://www.ncbi.nlm.nih.gov/nuccore/JN807763","NCBI Nucleotide")</f>
        <v>NCBI Nucleotide</v>
      </c>
    </row>
    <row r="6760" spans="1:27" x14ac:dyDescent="0.35">
      <c r="A6760">
        <v>1012516</v>
      </c>
      <c r="B6760">
        <v>6371</v>
      </c>
      <c r="C6760">
        <v>4</v>
      </c>
      <c r="D6760" s="17" t="s">
        <v>10507</v>
      </c>
      <c r="E6760" s="17"/>
      <c r="F6760" s="17" t="s">
        <v>10780</v>
      </c>
      <c r="G6760" s="17"/>
      <c r="H6760" s="17" t="s">
        <v>12908</v>
      </c>
      <c r="I6760" s="17"/>
      <c r="J6760" s="17" t="s">
        <v>14018</v>
      </c>
      <c r="K6760" s="17"/>
      <c r="L6760" s="17" t="s">
        <v>14019</v>
      </c>
      <c r="M6760" s="17"/>
      <c r="N6760" s="17" t="s">
        <v>14020</v>
      </c>
      <c r="O6760" s="17"/>
      <c r="P6760" s="17" t="s">
        <v>14040</v>
      </c>
      <c r="Q6760" s="17"/>
      <c r="R6760" s="25" t="str">
        <f t="shared" si="23"/>
        <v>Begomovirus gossypimultanense</v>
      </c>
      <c r="S6760" s="18" t="s">
        <v>8141</v>
      </c>
      <c r="T6760" s="18" t="s">
        <v>14413</v>
      </c>
      <c r="U6760" s="18" t="s">
        <v>14421</v>
      </c>
      <c r="V6760" s="18" t="s">
        <v>14422</v>
      </c>
      <c r="W6760" s="18" t="s">
        <v>49116</v>
      </c>
      <c r="X6760" s="18" t="s">
        <v>42</v>
      </c>
      <c r="Y6760" s="18" t="s">
        <v>12266</v>
      </c>
      <c r="Z6760" s="18" t="s">
        <v>13441</v>
      </c>
      <c r="AA6760" s="21" t="str">
        <f>HYPERLINK("https://www.ncbi.nlm.nih.gov/nuccore/AJ132430","NCBI Nucleotide")</f>
        <v>NCBI Nucleotide</v>
      </c>
    </row>
    <row r="6761" spans="1:27" x14ac:dyDescent="0.35">
      <c r="A6761">
        <v>1012517</v>
      </c>
      <c r="B6761">
        <v>6371</v>
      </c>
      <c r="C6761">
        <v>5</v>
      </c>
      <c r="D6761" s="17" t="s">
        <v>10507</v>
      </c>
      <c r="E6761" s="17"/>
      <c r="F6761" s="17" t="s">
        <v>10780</v>
      </c>
      <c r="G6761" s="17"/>
      <c r="H6761" s="17" t="s">
        <v>12908</v>
      </c>
      <c r="I6761" s="17"/>
      <c r="J6761" s="17" t="s">
        <v>14018</v>
      </c>
      <c r="K6761" s="17"/>
      <c r="L6761" s="17" t="s">
        <v>14019</v>
      </c>
      <c r="M6761" s="17"/>
      <c r="N6761" s="17" t="s">
        <v>14020</v>
      </c>
      <c r="O6761" s="17"/>
      <c r="P6761" s="17" t="s">
        <v>14040</v>
      </c>
      <c r="Q6761" s="17"/>
      <c r="R6761" s="25" t="str">
        <f t="shared" si="23"/>
        <v>Begomovirus gossypimultanense</v>
      </c>
      <c r="S6761" s="18" t="s">
        <v>8141</v>
      </c>
      <c r="T6761" s="18" t="s">
        <v>14413</v>
      </c>
      <c r="U6761" s="18" t="s">
        <v>14423</v>
      </c>
      <c r="V6761" s="18" t="s">
        <v>14424</v>
      </c>
      <c r="W6761" s="18" t="s">
        <v>49117</v>
      </c>
      <c r="X6761" s="18" t="s">
        <v>42</v>
      </c>
      <c r="Y6761" s="18" t="s">
        <v>12266</v>
      </c>
      <c r="Z6761" s="18" t="s">
        <v>13441</v>
      </c>
      <c r="AA6761" s="21" t="str">
        <f>HYPERLINK("https://www.ncbi.nlm.nih.gov/nuccore/EU365616","NCBI Nucleotide")</f>
        <v>NCBI Nucleotide</v>
      </c>
    </row>
    <row r="6762" spans="1:27" x14ac:dyDescent="0.35">
      <c r="A6762">
        <v>1012518</v>
      </c>
      <c r="B6762">
        <v>6371</v>
      </c>
      <c r="C6762">
        <v>6</v>
      </c>
      <c r="D6762" s="17" t="s">
        <v>10507</v>
      </c>
      <c r="E6762" s="17"/>
      <c r="F6762" s="17" t="s">
        <v>10780</v>
      </c>
      <c r="G6762" s="17"/>
      <c r="H6762" s="17" t="s">
        <v>12908</v>
      </c>
      <c r="I6762" s="17"/>
      <c r="J6762" s="17" t="s">
        <v>14018</v>
      </c>
      <c r="K6762" s="17"/>
      <c r="L6762" s="17" t="s">
        <v>14019</v>
      </c>
      <c r="M6762" s="17"/>
      <c r="N6762" s="17" t="s">
        <v>14020</v>
      </c>
      <c r="O6762" s="17"/>
      <c r="P6762" s="17" t="s">
        <v>14040</v>
      </c>
      <c r="Q6762" s="17"/>
      <c r="R6762" s="25" t="str">
        <f t="shared" si="23"/>
        <v>Begomovirus gossypimultanense</v>
      </c>
      <c r="S6762" s="18" t="s">
        <v>8141</v>
      </c>
      <c r="T6762" s="18" t="s">
        <v>14413</v>
      </c>
      <c r="U6762" s="18" t="s">
        <v>14425</v>
      </c>
      <c r="V6762" s="18" t="s">
        <v>14426</v>
      </c>
      <c r="W6762" s="18" t="s">
        <v>49118</v>
      </c>
      <c r="X6762" s="18" t="s">
        <v>42</v>
      </c>
      <c r="Y6762" s="18" t="s">
        <v>12266</v>
      </c>
      <c r="Z6762" s="18" t="s">
        <v>13441</v>
      </c>
      <c r="AA6762" s="21" t="str">
        <f>HYPERLINK("https://www.ncbi.nlm.nih.gov/nuccore/AF363011","NCBI Nucleotide")</f>
        <v>NCBI Nucleotide</v>
      </c>
    </row>
    <row r="6763" spans="1:27" x14ac:dyDescent="0.35">
      <c r="A6763">
        <v>1007700</v>
      </c>
      <c r="B6763">
        <v>6372</v>
      </c>
      <c r="C6763">
        <v>1</v>
      </c>
      <c r="D6763" s="17" t="s">
        <v>10507</v>
      </c>
      <c r="E6763" s="17"/>
      <c r="F6763" s="17" t="s">
        <v>10780</v>
      </c>
      <c r="G6763" s="17"/>
      <c r="H6763" s="17" t="s">
        <v>12908</v>
      </c>
      <c r="I6763" s="17"/>
      <c r="J6763" s="17" t="s">
        <v>14018</v>
      </c>
      <c r="K6763" s="17"/>
      <c r="L6763" s="17" t="s">
        <v>14019</v>
      </c>
      <c r="M6763" s="17"/>
      <c r="N6763" s="17" t="s">
        <v>14020</v>
      </c>
      <c r="O6763" s="17"/>
      <c r="P6763" s="17" t="s">
        <v>14040</v>
      </c>
      <c r="Q6763" s="17"/>
      <c r="R6763" s="25" t="str">
        <f>HYPERLINK("https://ictv.global/taxonomy/taxondetails?taxnode_id=202303254","Begomovirus hedyotis")</f>
        <v>Begomovirus hedyotis</v>
      </c>
      <c r="S6763" s="18" t="s">
        <v>30</v>
      </c>
      <c r="T6763" s="18" t="s">
        <v>14571</v>
      </c>
      <c r="U6763" s="18" t="s">
        <v>14572</v>
      </c>
      <c r="V6763" s="18" t="s">
        <v>14573</v>
      </c>
      <c r="W6763" s="18" t="s">
        <v>14574</v>
      </c>
      <c r="X6763" s="18" t="s">
        <v>42</v>
      </c>
      <c r="Y6763" s="18" t="s">
        <v>12266</v>
      </c>
      <c r="Z6763" s="18" t="s">
        <v>13441</v>
      </c>
      <c r="AA6763" s="21" t="str">
        <f>HYPERLINK("https://www.ncbi.nlm.nih.gov/nuccore/KF429251","NCBI Nucleotide")</f>
        <v>NCBI Nucleotide</v>
      </c>
    </row>
    <row r="6764" spans="1:27" x14ac:dyDescent="0.35">
      <c r="A6764">
        <v>1007701</v>
      </c>
      <c r="B6764">
        <v>6373</v>
      </c>
      <c r="C6764">
        <v>1</v>
      </c>
      <c r="D6764" s="17" t="s">
        <v>10507</v>
      </c>
      <c r="E6764" s="17"/>
      <c r="F6764" s="17" t="s">
        <v>10780</v>
      </c>
      <c r="G6764" s="17"/>
      <c r="H6764" s="17" t="s">
        <v>12908</v>
      </c>
      <c r="I6764" s="17"/>
      <c r="J6764" s="17" t="s">
        <v>14018</v>
      </c>
      <c r="K6764" s="17"/>
      <c r="L6764" s="17" t="s">
        <v>14019</v>
      </c>
      <c r="M6764" s="17"/>
      <c r="N6764" s="17" t="s">
        <v>14020</v>
      </c>
      <c r="O6764" s="17"/>
      <c r="P6764" s="17" t="s">
        <v>14040</v>
      </c>
      <c r="Q6764" s="17"/>
      <c r="R6764" s="25" t="str">
        <f>HYPERLINK("https://ictv.global/taxonomy/taxondetails?taxnode_id=202303255","Begomovirus hemidesmi")</f>
        <v>Begomovirus hemidesmi</v>
      </c>
      <c r="S6764" s="18" t="s">
        <v>30</v>
      </c>
      <c r="T6764" s="18" t="s">
        <v>14575</v>
      </c>
      <c r="U6764" s="18" t="s">
        <v>14576</v>
      </c>
      <c r="V6764" s="18" t="s">
        <v>14577</v>
      </c>
      <c r="W6764" s="18" t="s">
        <v>14578</v>
      </c>
      <c r="X6764" s="18" t="s">
        <v>42</v>
      </c>
      <c r="Y6764" s="18" t="s">
        <v>12266</v>
      </c>
      <c r="Z6764" s="18" t="s">
        <v>13441</v>
      </c>
      <c r="AA6764" s="21" t="str">
        <f>HYPERLINK("https://www.ncbi.nlm.nih.gov/nuccore/KC898543","NCBI Nucleotide")</f>
        <v>NCBI Nucleotide</v>
      </c>
    </row>
    <row r="6765" spans="1:27" x14ac:dyDescent="0.35">
      <c r="A6765">
        <v>1007702</v>
      </c>
      <c r="B6765">
        <v>6374</v>
      </c>
      <c r="C6765">
        <v>1</v>
      </c>
      <c r="D6765" s="17" t="s">
        <v>10507</v>
      </c>
      <c r="E6765" s="17"/>
      <c r="F6765" s="17" t="s">
        <v>10780</v>
      </c>
      <c r="G6765" s="17"/>
      <c r="H6765" s="17" t="s">
        <v>12908</v>
      </c>
      <c r="I6765" s="17"/>
      <c r="J6765" s="17" t="s">
        <v>14018</v>
      </c>
      <c r="K6765" s="17"/>
      <c r="L6765" s="17" t="s">
        <v>14019</v>
      </c>
      <c r="M6765" s="17"/>
      <c r="N6765" s="17" t="s">
        <v>14020</v>
      </c>
      <c r="O6765" s="17"/>
      <c r="P6765" s="17" t="s">
        <v>14040</v>
      </c>
      <c r="Q6765" s="17"/>
      <c r="R6765" s="25" t="str">
        <f>HYPERLINK("https://ictv.global/taxonomy/taxondetails?taxnode_id=202307523","Begomovirus hibisci")</f>
        <v>Begomovirus hibisci</v>
      </c>
      <c r="S6765" s="18" t="s">
        <v>30</v>
      </c>
      <c r="T6765" s="18" t="s">
        <v>14579</v>
      </c>
      <c r="U6765" s="18" t="s">
        <v>14580</v>
      </c>
      <c r="V6765" s="18" t="s">
        <v>14581</v>
      </c>
      <c r="W6765" s="18" t="s">
        <v>14582</v>
      </c>
      <c r="X6765" s="18" t="s">
        <v>42</v>
      </c>
      <c r="Y6765" s="18" t="s">
        <v>12266</v>
      </c>
      <c r="Z6765" s="18" t="s">
        <v>13441</v>
      </c>
      <c r="AA6765" s="21" t="str">
        <f>HYPERLINK("https://www.ncbi.nlm.nih.gov/nuccore/MK558061,MK558062","NCBI Nucleotide")</f>
        <v>NCBI Nucleotide</v>
      </c>
    </row>
    <row r="6766" spans="1:27" x14ac:dyDescent="0.35">
      <c r="A6766">
        <v>1007703</v>
      </c>
      <c r="B6766">
        <v>6375</v>
      </c>
      <c r="C6766">
        <v>1</v>
      </c>
      <c r="D6766" s="17" t="s">
        <v>10507</v>
      </c>
      <c r="E6766" s="17"/>
      <c r="F6766" s="17" t="s">
        <v>10780</v>
      </c>
      <c r="G6766" s="17"/>
      <c r="H6766" s="17" t="s">
        <v>12908</v>
      </c>
      <c r="I6766" s="17"/>
      <c r="J6766" s="17" t="s">
        <v>14018</v>
      </c>
      <c r="K6766" s="17"/>
      <c r="L6766" s="17" t="s">
        <v>14019</v>
      </c>
      <c r="M6766" s="17"/>
      <c r="N6766" s="17" t="s">
        <v>14020</v>
      </c>
      <c r="O6766" s="17"/>
      <c r="P6766" s="17" t="s">
        <v>14040</v>
      </c>
      <c r="Q6766" s="17"/>
      <c r="R6766" s="25" t="str">
        <f>HYPERLINK("https://ictv.global/taxonomy/taxondetails?taxnode_id=202309121","Begomovirus hibiscusvenae")</f>
        <v>Begomovirus hibiscusvenae</v>
      </c>
      <c r="S6766" s="18" t="s">
        <v>30</v>
      </c>
      <c r="T6766" s="18" t="s">
        <v>14583</v>
      </c>
      <c r="U6766" s="18" t="s">
        <v>14584</v>
      </c>
      <c r="V6766" s="18" t="s">
        <v>14585</v>
      </c>
      <c r="W6766" s="20" t="s">
        <v>41513</v>
      </c>
      <c r="X6766" s="18" t="s">
        <v>42</v>
      </c>
      <c r="Y6766" s="18" t="s">
        <v>12266</v>
      </c>
      <c r="Z6766" s="18" t="s">
        <v>13441</v>
      </c>
      <c r="AA6766" s="21" t="str">
        <f>HYPERLINK("https://www.ncbi.nlm.nih.gov/nuccore/MF140451","NCBI Nucleotide")</f>
        <v>NCBI Nucleotide</v>
      </c>
    </row>
    <row r="6767" spans="1:27" x14ac:dyDescent="0.35">
      <c r="A6767">
        <v>1007709</v>
      </c>
      <c r="B6767">
        <v>6376</v>
      </c>
      <c r="C6767">
        <v>1</v>
      </c>
      <c r="D6767" s="17" t="s">
        <v>10507</v>
      </c>
      <c r="E6767" s="17"/>
      <c r="F6767" s="17" t="s">
        <v>10780</v>
      </c>
      <c r="G6767" s="17"/>
      <c r="H6767" s="17" t="s">
        <v>12908</v>
      </c>
      <c r="I6767" s="17"/>
      <c r="J6767" s="17" t="s">
        <v>14018</v>
      </c>
      <c r="K6767" s="17"/>
      <c r="L6767" s="17" t="s">
        <v>14019</v>
      </c>
      <c r="M6767" s="17"/>
      <c r="N6767" s="17" t="s">
        <v>14020</v>
      </c>
      <c r="O6767" s="17"/>
      <c r="P6767" s="17" t="s">
        <v>14040</v>
      </c>
      <c r="Q6767" s="17"/>
      <c r="R6767" s="25" t="str">
        <f>HYPERLINK("https://ictv.global/taxonomy/taxondetails?taxnode_id=202309122","Begomovirus hybanthi")</f>
        <v>Begomovirus hybanthi</v>
      </c>
      <c r="S6767" s="18" t="s">
        <v>30</v>
      </c>
      <c r="T6767" s="18" t="s">
        <v>14629</v>
      </c>
      <c r="U6767" s="18" t="s">
        <v>14630</v>
      </c>
      <c r="V6767" s="18" t="s">
        <v>14631</v>
      </c>
      <c r="W6767" s="18" t="s">
        <v>50764</v>
      </c>
      <c r="X6767" s="18" t="s">
        <v>42</v>
      </c>
      <c r="Y6767" s="18" t="s">
        <v>12266</v>
      </c>
      <c r="Z6767" s="18" t="s">
        <v>13441</v>
      </c>
      <c r="AA6767" s="21" t="str">
        <f>HYPERLINK("https://www.ncbi.nlm.nih.gov/nuccore/KX156609,KX156610","NCBI Nucleotide")</f>
        <v>NCBI Nucleotide</v>
      </c>
    </row>
    <row r="6768" spans="1:27" x14ac:dyDescent="0.35">
      <c r="A6768">
        <v>1007873</v>
      </c>
      <c r="B6768">
        <v>6377</v>
      </c>
      <c r="C6768">
        <v>1</v>
      </c>
      <c r="D6768" s="17" t="s">
        <v>10507</v>
      </c>
      <c r="E6768" s="17"/>
      <c r="F6768" s="17" t="s">
        <v>10780</v>
      </c>
      <c r="G6768" s="17"/>
      <c r="H6768" s="17" t="s">
        <v>12908</v>
      </c>
      <c r="I6768" s="17"/>
      <c r="J6768" s="17" t="s">
        <v>14018</v>
      </c>
      <c r="K6768" s="17"/>
      <c r="L6768" s="17" t="s">
        <v>14019</v>
      </c>
      <c r="M6768" s="17"/>
      <c r="N6768" s="17" t="s">
        <v>14020</v>
      </c>
      <c r="O6768" s="17"/>
      <c r="P6768" s="17" t="s">
        <v>14040</v>
      </c>
      <c r="Q6768" s="17"/>
      <c r="R6768" s="25" t="str">
        <f>HYPERLINK("https://ictv.global/taxonomy/taxondetails?taxnode_id=202303379","Begomovirus ipomoeacanaryense")</f>
        <v>Begomovirus ipomoeacanaryense</v>
      </c>
      <c r="S6768" s="18" t="s">
        <v>30</v>
      </c>
      <c r="T6768" s="18" t="s">
        <v>15325</v>
      </c>
      <c r="U6768" s="18" t="s">
        <v>15326</v>
      </c>
      <c r="V6768" s="18" t="s">
        <v>15327</v>
      </c>
      <c r="W6768" s="18" t="s">
        <v>41514</v>
      </c>
      <c r="X6768" s="18" t="s">
        <v>42</v>
      </c>
      <c r="Y6768" s="18" t="s">
        <v>12266</v>
      </c>
      <c r="Z6768" s="18" t="s">
        <v>13441</v>
      </c>
      <c r="AA6768" s="21" t="str">
        <f>HYPERLINK("https://www.ncbi.nlm.nih.gov/nuccore/FJ529203","NCBI Nucleotide")</f>
        <v>NCBI Nucleotide</v>
      </c>
    </row>
    <row r="6769" spans="1:27" x14ac:dyDescent="0.35">
      <c r="A6769">
        <v>1007874</v>
      </c>
      <c r="B6769">
        <v>6378</v>
      </c>
      <c r="C6769">
        <v>1</v>
      </c>
      <c r="D6769" s="17" t="s">
        <v>10507</v>
      </c>
      <c r="E6769" s="17"/>
      <c r="F6769" s="17" t="s">
        <v>10780</v>
      </c>
      <c r="G6769" s="17"/>
      <c r="H6769" s="17" t="s">
        <v>12908</v>
      </c>
      <c r="I6769" s="17"/>
      <c r="J6769" s="17" t="s">
        <v>14018</v>
      </c>
      <c r="K6769" s="17"/>
      <c r="L6769" s="17" t="s">
        <v>14019</v>
      </c>
      <c r="M6769" s="17"/>
      <c r="N6769" s="17" t="s">
        <v>14020</v>
      </c>
      <c r="O6769" s="17"/>
      <c r="P6769" s="17" t="s">
        <v>14040</v>
      </c>
      <c r="Q6769" s="17"/>
      <c r="R6769" s="25" t="str">
        <f>HYPERLINK("https://ictv.global/taxonomy/taxondetails?taxnode_id=202303380","Begomovirus ipomoeachinaense")</f>
        <v>Begomovirus ipomoeachinaense</v>
      </c>
      <c r="S6769" s="18" t="s">
        <v>30</v>
      </c>
      <c r="T6769" s="18" t="s">
        <v>15328</v>
      </c>
      <c r="U6769" s="18" t="s">
        <v>15329</v>
      </c>
      <c r="V6769" s="18" t="s">
        <v>15330</v>
      </c>
      <c r="W6769" s="18" t="s">
        <v>15331</v>
      </c>
      <c r="X6769" s="18" t="s">
        <v>42</v>
      </c>
      <c r="Y6769" s="18" t="s">
        <v>12266</v>
      </c>
      <c r="Z6769" s="18" t="s">
        <v>13441</v>
      </c>
      <c r="AA6769" s="21" t="str">
        <f>HYPERLINK("https://www.ncbi.nlm.nih.gov/nuccore/DQ512731","NCBI Nucleotide")</f>
        <v>NCBI Nucleotide</v>
      </c>
    </row>
    <row r="6770" spans="1:27" x14ac:dyDescent="0.35">
      <c r="A6770">
        <v>1007884</v>
      </c>
      <c r="B6770">
        <v>6379</v>
      </c>
      <c r="C6770">
        <v>1</v>
      </c>
      <c r="D6770" s="17" t="s">
        <v>10507</v>
      </c>
      <c r="E6770" s="17"/>
      <c r="F6770" s="17" t="s">
        <v>10780</v>
      </c>
      <c r="G6770" s="17"/>
      <c r="H6770" s="17" t="s">
        <v>12908</v>
      </c>
      <c r="I6770" s="17"/>
      <c r="J6770" s="17" t="s">
        <v>14018</v>
      </c>
      <c r="K6770" s="17"/>
      <c r="L6770" s="17" t="s">
        <v>14019</v>
      </c>
      <c r="M6770" s="17"/>
      <c r="N6770" s="17" t="s">
        <v>14020</v>
      </c>
      <c r="O6770" s="17"/>
      <c r="P6770" s="17" t="s">
        <v>14040</v>
      </c>
      <c r="Q6770" s="17"/>
      <c r="R6770" s="25" t="str">
        <f t="shared" ref="R6770:R6783" si="24">HYPERLINK("https://ictv.global/taxonomy/taxondetails?taxnode_id=202303388","Begomovirus ipomoeae")</f>
        <v>Begomovirus ipomoeae</v>
      </c>
      <c r="S6770" s="18" t="s">
        <v>30</v>
      </c>
      <c r="T6770" s="18" t="s">
        <v>15359</v>
      </c>
      <c r="U6770" s="18" t="s">
        <v>15360</v>
      </c>
      <c r="V6770" s="18" t="s">
        <v>15361</v>
      </c>
      <c r="W6770" s="18" t="s">
        <v>15362</v>
      </c>
      <c r="X6770" s="18" t="s">
        <v>42</v>
      </c>
      <c r="Y6770" s="18" t="s">
        <v>12266</v>
      </c>
      <c r="Z6770" s="18" t="s">
        <v>13441</v>
      </c>
      <c r="AA6770" s="21" t="str">
        <f>HYPERLINK("https://www.ncbi.nlm.nih.gov/nuccore/AF104036","NCBI Nucleotide")</f>
        <v>NCBI Nucleotide</v>
      </c>
    </row>
    <row r="6771" spans="1:27" x14ac:dyDescent="0.35">
      <c r="A6771">
        <v>1012592</v>
      </c>
      <c r="B6771">
        <v>6379</v>
      </c>
      <c r="C6771">
        <v>2</v>
      </c>
      <c r="D6771" s="17" t="s">
        <v>10507</v>
      </c>
      <c r="E6771" s="17"/>
      <c r="F6771" s="17" t="s">
        <v>10780</v>
      </c>
      <c r="G6771" s="17"/>
      <c r="H6771" s="17" t="s">
        <v>12908</v>
      </c>
      <c r="I6771" s="17"/>
      <c r="J6771" s="17" t="s">
        <v>14018</v>
      </c>
      <c r="K6771" s="17"/>
      <c r="L6771" s="17" t="s">
        <v>14019</v>
      </c>
      <c r="M6771" s="17"/>
      <c r="N6771" s="17" t="s">
        <v>14020</v>
      </c>
      <c r="O6771" s="17"/>
      <c r="P6771" s="17" t="s">
        <v>14040</v>
      </c>
      <c r="Q6771" s="17"/>
      <c r="R6771" s="25" t="str">
        <f t="shared" si="24"/>
        <v>Begomovirus ipomoeae</v>
      </c>
      <c r="S6771" s="18" t="s">
        <v>8141</v>
      </c>
      <c r="T6771" s="18" t="s">
        <v>15359</v>
      </c>
      <c r="U6771" s="18" t="s">
        <v>15363</v>
      </c>
      <c r="V6771" s="18" t="s">
        <v>15364</v>
      </c>
      <c r="W6771" s="18" t="s">
        <v>49119</v>
      </c>
      <c r="X6771" s="18" t="s">
        <v>42</v>
      </c>
      <c r="Y6771" s="18" t="s">
        <v>12266</v>
      </c>
      <c r="Z6771" s="18" t="s">
        <v>13441</v>
      </c>
      <c r="AA6771" s="21" t="str">
        <f>HYPERLINK("https://www.ncbi.nlm.nih.gov/nuccore/EU253456","NCBI Nucleotide")</f>
        <v>NCBI Nucleotide</v>
      </c>
    </row>
    <row r="6772" spans="1:27" x14ac:dyDescent="0.35">
      <c r="A6772">
        <v>1012593</v>
      </c>
      <c r="B6772">
        <v>6379</v>
      </c>
      <c r="C6772">
        <v>3</v>
      </c>
      <c r="D6772" s="17" t="s">
        <v>10507</v>
      </c>
      <c r="E6772" s="17"/>
      <c r="F6772" s="17" t="s">
        <v>10780</v>
      </c>
      <c r="G6772" s="17"/>
      <c r="H6772" s="17" t="s">
        <v>12908</v>
      </c>
      <c r="I6772" s="17"/>
      <c r="J6772" s="17" t="s">
        <v>14018</v>
      </c>
      <c r="K6772" s="17"/>
      <c r="L6772" s="17" t="s">
        <v>14019</v>
      </c>
      <c r="M6772" s="17"/>
      <c r="N6772" s="17" t="s">
        <v>14020</v>
      </c>
      <c r="O6772" s="17"/>
      <c r="P6772" s="17" t="s">
        <v>14040</v>
      </c>
      <c r="Q6772" s="17"/>
      <c r="R6772" s="25" t="str">
        <f t="shared" si="24"/>
        <v>Begomovirus ipomoeae</v>
      </c>
      <c r="S6772" s="18" t="s">
        <v>8141</v>
      </c>
      <c r="T6772" s="18" t="s">
        <v>15359</v>
      </c>
      <c r="U6772" s="18" t="s">
        <v>15365</v>
      </c>
      <c r="V6772" s="18" t="s">
        <v>15366</v>
      </c>
      <c r="W6772" s="18" t="s">
        <v>49120</v>
      </c>
      <c r="X6772" s="18" t="s">
        <v>42</v>
      </c>
      <c r="Y6772" s="18" t="s">
        <v>12266</v>
      </c>
      <c r="Z6772" s="18" t="s">
        <v>13441</v>
      </c>
      <c r="AA6772" s="21" t="str">
        <f>HYPERLINK("https://www.ncbi.nlm.nih.gov/nuccore/AJ132548","NCBI Nucleotide")</f>
        <v>NCBI Nucleotide</v>
      </c>
    </row>
    <row r="6773" spans="1:27" x14ac:dyDescent="0.35">
      <c r="A6773">
        <v>1012594</v>
      </c>
      <c r="B6773">
        <v>6379</v>
      </c>
      <c r="C6773">
        <v>4</v>
      </c>
      <c r="D6773" s="17" t="s">
        <v>10507</v>
      </c>
      <c r="E6773" s="17"/>
      <c r="F6773" s="17" t="s">
        <v>10780</v>
      </c>
      <c r="G6773" s="17"/>
      <c r="H6773" s="17" t="s">
        <v>12908</v>
      </c>
      <c r="I6773" s="17"/>
      <c r="J6773" s="17" t="s">
        <v>14018</v>
      </c>
      <c r="K6773" s="17"/>
      <c r="L6773" s="17" t="s">
        <v>14019</v>
      </c>
      <c r="M6773" s="17"/>
      <c r="N6773" s="17" t="s">
        <v>14020</v>
      </c>
      <c r="O6773" s="17"/>
      <c r="P6773" s="17" t="s">
        <v>14040</v>
      </c>
      <c r="Q6773" s="17"/>
      <c r="R6773" s="25" t="str">
        <f t="shared" si="24"/>
        <v>Begomovirus ipomoeae</v>
      </c>
      <c r="S6773" s="18" t="s">
        <v>8141</v>
      </c>
      <c r="T6773" s="18" t="s">
        <v>15359</v>
      </c>
      <c r="U6773" s="18" t="s">
        <v>15367</v>
      </c>
      <c r="V6773" s="18" t="s">
        <v>15368</v>
      </c>
      <c r="W6773" s="18" t="s">
        <v>49121</v>
      </c>
      <c r="X6773" s="18" t="s">
        <v>42</v>
      </c>
      <c r="Y6773" s="18" t="s">
        <v>12266</v>
      </c>
      <c r="Z6773" s="18" t="s">
        <v>13441</v>
      </c>
      <c r="AA6773" s="21" t="str">
        <f>HYPERLINK("https://www.ncbi.nlm.nih.gov/nuccore/FJ969829","NCBI Nucleotide")</f>
        <v>NCBI Nucleotide</v>
      </c>
    </row>
    <row r="6774" spans="1:27" x14ac:dyDescent="0.35">
      <c r="A6774">
        <v>1012595</v>
      </c>
      <c r="B6774">
        <v>6379</v>
      </c>
      <c r="C6774">
        <v>5</v>
      </c>
      <c r="D6774" s="17" t="s">
        <v>10507</v>
      </c>
      <c r="E6774" s="17"/>
      <c r="F6774" s="17" t="s">
        <v>10780</v>
      </c>
      <c r="G6774" s="17"/>
      <c r="H6774" s="17" t="s">
        <v>12908</v>
      </c>
      <c r="I6774" s="17"/>
      <c r="J6774" s="17" t="s">
        <v>14018</v>
      </c>
      <c r="K6774" s="17"/>
      <c r="L6774" s="17" t="s">
        <v>14019</v>
      </c>
      <c r="M6774" s="17"/>
      <c r="N6774" s="17" t="s">
        <v>14020</v>
      </c>
      <c r="O6774" s="17"/>
      <c r="P6774" s="17" t="s">
        <v>14040</v>
      </c>
      <c r="Q6774" s="17"/>
      <c r="R6774" s="25" t="str">
        <f t="shared" si="24"/>
        <v>Begomovirus ipomoeae</v>
      </c>
      <c r="S6774" s="18" t="s">
        <v>8141</v>
      </c>
      <c r="T6774" s="18" t="s">
        <v>15359</v>
      </c>
      <c r="U6774" s="18" t="s">
        <v>15369</v>
      </c>
      <c r="V6774" s="18" t="s">
        <v>15370</v>
      </c>
      <c r="W6774" s="18" t="s">
        <v>49122</v>
      </c>
      <c r="X6774" s="18" t="s">
        <v>42</v>
      </c>
      <c r="Y6774" s="18" t="s">
        <v>12266</v>
      </c>
      <c r="Z6774" s="18" t="s">
        <v>13441</v>
      </c>
      <c r="AA6774" s="21" t="str">
        <f>HYPERLINK("https://www.ncbi.nlm.nih.gov/nuccore/FJ515898","NCBI Nucleotide")</f>
        <v>NCBI Nucleotide</v>
      </c>
    </row>
    <row r="6775" spans="1:27" x14ac:dyDescent="0.35">
      <c r="A6775">
        <v>1012596</v>
      </c>
      <c r="B6775">
        <v>6379</v>
      </c>
      <c r="C6775">
        <v>6</v>
      </c>
      <c r="D6775" s="17" t="s">
        <v>10507</v>
      </c>
      <c r="E6775" s="17"/>
      <c r="F6775" s="17" t="s">
        <v>10780</v>
      </c>
      <c r="G6775" s="17"/>
      <c r="H6775" s="17" t="s">
        <v>12908</v>
      </c>
      <c r="I6775" s="17"/>
      <c r="J6775" s="17" t="s">
        <v>14018</v>
      </c>
      <c r="K6775" s="17"/>
      <c r="L6775" s="17" t="s">
        <v>14019</v>
      </c>
      <c r="M6775" s="17"/>
      <c r="N6775" s="17" t="s">
        <v>14020</v>
      </c>
      <c r="O6775" s="17"/>
      <c r="P6775" s="17" t="s">
        <v>14040</v>
      </c>
      <c r="Q6775" s="17"/>
      <c r="R6775" s="25" t="str">
        <f t="shared" si="24"/>
        <v>Begomovirus ipomoeae</v>
      </c>
      <c r="S6775" s="18" t="s">
        <v>8141</v>
      </c>
      <c r="T6775" s="18" t="s">
        <v>15359</v>
      </c>
      <c r="U6775" s="18" t="s">
        <v>15371</v>
      </c>
      <c r="V6775" s="18" t="s">
        <v>15372</v>
      </c>
      <c r="W6775" s="18" t="s">
        <v>49123</v>
      </c>
      <c r="X6775" s="18" t="s">
        <v>42</v>
      </c>
      <c r="Y6775" s="18" t="s">
        <v>12266</v>
      </c>
      <c r="Z6775" s="18" t="s">
        <v>13441</v>
      </c>
      <c r="AA6775" s="21" t="str">
        <f>HYPERLINK("https://www.ncbi.nlm.nih.gov/nuccore/AJ586885","NCBI Nucleotide")</f>
        <v>NCBI Nucleotide</v>
      </c>
    </row>
    <row r="6776" spans="1:27" x14ac:dyDescent="0.35">
      <c r="A6776">
        <v>1012597</v>
      </c>
      <c r="B6776">
        <v>6379</v>
      </c>
      <c r="C6776">
        <v>7</v>
      </c>
      <c r="D6776" s="17" t="s">
        <v>10507</v>
      </c>
      <c r="E6776" s="17"/>
      <c r="F6776" s="17" t="s">
        <v>10780</v>
      </c>
      <c r="G6776" s="17"/>
      <c r="H6776" s="17" t="s">
        <v>12908</v>
      </c>
      <c r="I6776" s="17"/>
      <c r="J6776" s="17" t="s">
        <v>14018</v>
      </c>
      <c r="K6776" s="17"/>
      <c r="L6776" s="17" t="s">
        <v>14019</v>
      </c>
      <c r="M6776" s="17"/>
      <c r="N6776" s="17" t="s">
        <v>14020</v>
      </c>
      <c r="O6776" s="17"/>
      <c r="P6776" s="17" t="s">
        <v>14040</v>
      </c>
      <c r="Q6776" s="17"/>
      <c r="R6776" s="25" t="str">
        <f t="shared" si="24"/>
        <v>Begomovirus ipomoeae</v>
      </c>
      <c r="S6776" s="18" t="s">
        <v>8141</v>
      </c>
      <c r="T6776" s="18" t="s">
        <v>15359</v>
      </c>
      <c r="U6776" s="18" t="s">
        <v>15373</v>
      </c>
      <c r="V6776" s="18" t="s">
        <v>15374</v>
      </c>
      <c r="W6776" s="18" t="s">
        <v>49124</v>
      </c>
      <c r="X6776" s="18" t="s">
        <v>42</v>
      </c>
      <c r="Y6776" s="18" t="s">
        <v>12266</v>
      </c>
      <c r="Z6776" s="18" t="s">
        <v>13441</v>
      </c>
      <c r="AA6776" s="21" t="str">
        <f>HYPERLINK("https://www.ncbi.nlm.nih.gov/nuccore/AB433786","NCBI Nucleotide")</f>
        <v>NCBI Nucleotide</v>
      </c>
    </row>
    <row r="6777" spans="1:27" x14ac:dyDescent="0.35">
      <c r="A6777">
        <v>1012598</v>
      </c>
      <c r="B6777">
        <v>6379</v>
      </c>
      <c r="C6777">
        <v>8</v>
      </c>
      <c r="D6777" s="17" t="s">
        <v>10507</v>
      </c>
      <c r="E6777" s="17"/>
      <c r="F6777" s="17" t="s">
        <v>10780</v>
      </c>
      <c r="G6777" s="17"/>
      <c r="H6777" s="17" t="s">
        <v>12908</v>
      </c>
      <c r="I6777" s="17"/>
      <c r="J6777" s="17" t="s">
        <v>14018</v>
      </c>
      <c r="K6777" s="17"/>
      <c r="L6777" s="17" t="s">
        <v>14019</v>
      </c>
      <c r="M6777" s="17"/>
      <c r="N6777" s="17" t="s">
        <v>14020</v>
      </c>
      <c r="O6777" s="17"/>
      <c r="P6777" s="17" t="s">
        <v>14040</v>
      </c>
      <c r="Q6777" s="17"/>
      <c r="R6777" s="25" t="str">
        <f t="shared" si="24"/>
        <v>Begomovirus ipomoeae</v>
      </c>
      <c r="S6777" s="18" t="s">
        <v>8141</v>
      </c>
      <c r="T6777" s="18" t="s">
        <v>15359</v>
      </c>
      <c r="U6777" s="18" t="s">
        <v>15375</v>
      </c>
      <c r="V6777" s="18" t="s">
        <v>15376</v>
      </c>
      <c r="W6777" s="18" t="s">
        <v>49125</v>
      </c>
      <c r="X6777" s="18" t="s">
        <v>42</v>
      </c>
      <c r="Y6777" s="18" t="s">
        <v>12266</v>
      </c>
      <c r="Z6777" s="18" t="s">
        <v>13441</v>
      </c>
      <c r="AA6777" s="21" t="str">
        <f>HYPERLINK("https://www.ncbi.nlm.nih.gov/nuccore/FJ969830","NCBI Nucleotide")</f>
        <v>NCBI Nucleotide</v>
      </c>
    </row>
    <row r="6778" spans="1:27" x14ac:dyDescent="0.35">
      <c r="A6778">
        <v>1012599</v>
      </c>
      <c r="B6778">
        <v>6379</v>
      </c>
      <c r="C6778">
        <v>9</v>
      </c>
      <c r="D6778" s="17" t="s">
        <v>10507</v>
      </c>
      <c r="E6778" s="17"/>
      <c r="F6778" s="17" t="s">
        <v>10780</v>
      </c>
      <c r="G6778" s="17"/>
      <c r="H6778" s="17" t="s">
        <v>12908</v>
      </c>
      <c r="I6778" s="17"/>
      <c r="J6778" s="17" t="s">
        <v>14018</v>
      </c>
      <c r="K6778" s="17"/>
      <c r="L6778" s="17" t="s">
        <v>14019</v>
      </c>
      <c r="M6778" s="17"/>
      <c r="N6778" s="17" t="s">
        <v>14020</v>
      </c>
      <c r="O6778" s="17"/>
      <c r="P6778" s="17" t="s">
        <v>14040</v>
      </c>
      <c r="Q6778" s="17"/>
      <c r="R6778" s="25" t="str">
        <f t="shared" si="24"/>
        <v>Begomovirus ipomoeae</v>
      </c>
      <c r="S6778" s="18" t="s">
        <v>8141</v>
      </c>
      <c r="T6778" s="18" t="s">
        <v>15359</v>
      </c>
      <c r="U6778" s="18" t="s">
        <v>15377</v>
      </c>
      <c r="V6778" s="18" t="s">
        <v>15378</v>
      </c>
      <c r="W6778" s="18" t="s">
        <v>49126</v>
      </c>
      <c r="X6778" s="18" t="s">
        <v>42</v>
      </c>
      <c r="Y6778" s="18" t="s">
        <v>12266</v>
      </c>
      <c r="Z6778" s="18" t="s">
        <v>13441</v>
      </c>
      <c r="AA6778" s="21" t="str">
        <f>HYPERLINK("https://www.ncbi.nlm.nih.gov/nuccore/HQ393456","NCBI Nucleotide")</f>
        <v>NCBI Nucleotide</v>
      </c>
    </row>
    <row r="6779" spans="1:27" x14ac:dyDescent="0.35">
      <c r="A6779">
        <v>1012600</v>
      </c>
      <c r="B6779">
        <v>6379</v>
      </c>
      <c r="C6779">
        <v>10</v>
      </c>
      <c r="D6779" s="17" t="s">
        <v>10507</v>
      </c>
      <c r="E6779" s="17"/>
      <c r="F6779" s="17" t="s">
        <v>10780</v>
      </c>
      <c r="G6779" s="17"/>
      <c r="H6779" s="17" t="s">
        <v>12908</v>
      </c>
      <c r="I6779" s="17"/>
      <c r="J6779" s="17" t="s">
        <v>14018</v>
      </c>
      <c r="K6779" s="17"/>
      <c r="L6779" s="17" t="s">
        <v>14019</v>
      </c>
      <c r="M6779" s="17"/>
      <c r="N6779" s="17" t="s">
        <v>14020</v>
      </c>
      <c r="O6779" s="17"/>
      <c r="P6779" s="17" t="s">
        <v>14040</v>
      </c>
      <c r="Q6779" s="17"/>
      <c r="R6779" s="25" t="str">
        <f t="shared" si="24"/>
        <v>Begomovirus ipomoeae</v>
      </c>
      <c r="S6779" s="18" t="s">
        <v>8141</v>
      </c>
      <c r="T6779" s="18" t="s">
        <v>15359</v>
      </c>
      <c r="U6779" s="18" t="s">
        <v>15379</v>
      </c>
      <c r="V6779" s="18" t="s">
        <v>15380</v>
      </c>
      <c r="W6779" s="18" t="s">
        <v>49127</v>
      </c>
      <c r="X6779" s="18" t="s">
        <v>42</v>
      </c>
      <c r="Y6779" s="18" t="s">
        <v>12266</v>
      </c>
      <c r="Z6779" s="18" t="s">
        <v>13441</v>
      </c>
      <c r="AA6779" s="21" t="str">
        <f>HYPERLINK("https://www.ncbi.nlm.nih.gov/nuccore/DQ644562","NCBI Nucleotide")</f>
        <v>NCBI Nucleotide</v>
      </c>
    </row>
    <row r="6780" spans="1:27" x14ac:dyDescent="0.35">
      <c r="A6780">
        <v>1012601</v>
      </c>
      <c r="B6780">
        <v>6379</v>
      </c>
      <c r="C6780">
        <v>11</v>
      </c>
      <c r="D6780" s="17" t="s">
        <v>10507</v>
      </c>
      <c r="E6780" s="17"/>
      <c r="F6780" s="17" t="s">
        <v>10780</v>
      </c>
      <c r="G6780" s="17"/>
      <c r="H6780" s="17" t="s">
        <v>12908</v>
      </c>
      <c r="I6780" s="17"/>
      <c r="J6780" s="17" t="s">
        <v>14018</v>
      </c>
      <c r="K6780" s="17"/>
      <c r="L6780" s="17" t="s">
        <v>14019</v>
      </c>
      <c r="M6780" s="17"/>
      <c r="N6780" s="17" t="s">
        <v>14020</v>
      </c>
      <c r="O6780" s="17"/>
      <c r="P6780" s="17" t="s">
        <v>14040</v>
      </c>
      <c r="Q6780" s="17"/>
      <c r="R6780" s="25" t="str">
        <f t="shared" si="24"/>
        <v>Begomovirus ipomoeae</v>
      </c>
      <c r="S6780" s="18" t="s">
        <v>8141</v>
      </c>
      <c r="T6780" s="18" t="s">
        <v>15359</v>
      </c>
      <c r="U6780" s="18" t="s">
        <v>15381</v>
      </c>
      <c r="V6780" s="18" t="s">
        <v>15382</v>
      </c>
      <c r="W6780" s="18" t="s">
        <v>49128</v>
      </c>
      <c r="X6780" s="18" t="s">
        <v>42</v>
      </c>
      <c r="Y6780" s="18" t="s">
        <v>12266</v>
      </c>
      <c r="Z6780" s="18" t="s">
        <v>13441</v>
      </c>
      <c r="AA6780" s="21" t="str">
        <f>HYPERLINK("https://www.ncbi.nlm.nih.gov/nuccore/HQ393447","NCBI Nucleotide")</f>
        <v>NCBI Nucleotide</v>
      </c>
    </row>
    <row r="6781" spans="1:27" x14ac:dyDescent="0.35">
      <c r="A6781">
        <v>1012602</v>
      </c>
      <c r="B6781">
        <v>6379</v>
      </c>
      <c r="C6781">
        <v>12</v>
      </c>
      <c r="D6781" s="17" t="s">
        <v>10507</v>
      </c>
      <c r="E6781" s="17"/>
      <c r="F6781" s="17" t="s">
        <v>10780</v>
      </c>
      <c r="G6781" s="17"/>
      <c r="H6781" s="17" t="s">
        <v>12908</v>
      </c>
      <c r="I6781" s="17"/>
      <c r="J6781" s="17" t="s">
        <v>14018</v>
      </c>
      <c r="K6781" s="17"/>
      <c r="L6781" s="17" t="s">
        <v>14019</v>
      </c>
      <c r="M6781" s="17"/>
      <c r="N6781" s="17" t="s">
        <v>14020</v>
      </c>
      <c r="O6781" s="17"/>
      <c r="P6781" s="17" t="s">
        <v>14040</v>
      </c>
      <c r="Q6781" s="17"/>
      <c r="R6781" s="25" t="str">
        <f t="shared" si="24"/>
        <v>Begomovirus ipomoeae</v>
      </c>
      <c r="S6781" s="18" t="s">
        <v>8141</v>
      </c>
      <c r="T6781" s="18" t="s">
        <v>15359</v>
      </c>
      <c r="U6781" s="18" t="s">
        <v>15383</v>
      </c>
      <c r="V6781" s="18" t="s">
        <v>15384</v>
      </c>
      <c r="W6781" s="18" t="s">
        <v>49129</v>
      </c>
      <c r="X6781" s="18" t="s">
        <v>42</v>
      </c>
      <c r="Y6781" s="18" t="s">
        <v>12266</v>
      </c>
      <c r="Z6781" s="18" t="s">
        <v>13441</v>
      </c>
      <c r="AA6781" s="21" t="str">
        <f>HYPERLINK("https://www.ncbi.nlm.nih.gov/nuccore/HQ393473","NCBI Nucleotide")</f>
        <v>NCBI Nucleotide</v>
      </c>
    </row>
    <row r="6782" spans="1:27" x14ac:dyDescent="0.35">
      <c r="A6782">
        <v>1012603</v>
      </c>
      <c r="B6782">
        <v>6379</v>
      </c>
      <c r="C6782">
        <v>13</v>
      </c>
      <c r="D6782" s="17" t="s">
        <v>10507</v>
      </c>
      <c r="E6782" s="17"/>
      <c r="F6782" s="17" t="s">
        <v>10780</v>
      </c>
      <c r="G6782" s="17"/>
      <c r="H6782" s="17" t="s">
        <v>12908</v>
      </c>
      <c r="I6782" s="17"/>
      <c r="J6782" s="17" t="s">
        <v>14018</v>
      </c>
      <c r="K6782" s="17"/>
      <c r="L6782" s="17" t="s">
        <v>14019</v>
      </c>
      <c r="M6782" s="17"/>
      <c r="N6782" s="17" t="s">
        <v>14020</v>
      </c>
      <c r="O6782" s="17"/>
      <c r="P6782" s="17" t="s">
        <v>14040</v>
      </c>
      <c r="Q6782" s="17"/>
      <c r="R6782" s="25" t="str">
        <f t="shared" si="24"/>
        <v>Begomovirus ipomoeae</v>
      </c>
      <c r="S6782" s="18" t="s">
        <v>8141</v>
      </c>
      <c r="T6782" s="18" t="s">
        <v>15359</v>
      </c>
      <c r="U6782" s="18" t="s">
        <v>15385</v>
      </c>
      <c r="V6782" s="18" t="s">
        <v>15386</v>
      </c>
      <c r="W6782" s="18" t="s">
        <v>49130</v>
      </c>
      <c r="X6782" s="18" t="s">
        <v>42</v>
      </c>
      <c r="Y6782" s="18" t="s">
        <v>12266</v>
      </c>
      <c r="Z6782" s="18" t="s">
        <v>13441</v>
      </c>
      <c r="AA6782" s="21" t="str">
        <f>HYPERLINK("https://www.ncbi.nlm.nih.gov/nuccore/HQ333138","NCBI Nucleotide")</f>
        <v>NCBI Nucleotide</v>
      </c>
    </row>
    <row r="6783" spans="1:27" x14ac:dyDescent="0.35">
      <c r="A6783">
        <v>1012604</v>
      </c>
      <c r="B6783">
        <v>6379</v>
      </c>
      <c r="C6783">
        <v>14</v>
      </c>
      <c r="D6783" s="17" t="s">
        <v>10507</v>
      </c>
      <c r="E6783" s="17"/>
      <c r="F6783" s="17" t="s">
        <v>10780</v>
      </c>
      <c r="G6783" s="17"/>
      <c r="H6783" s="17" t="s">
        <v>12908</v>
      </c>
      <c r="I6783" s="17"/>
      <c r="J6783" s="17" t="s">
        <v>14018</v>
      </c>
      <c r="K6783" s="17"/>
      <c r="L6783" s="17" t="s">
        <v>14019</v>
      </c>
      <c r="M6783" s="17"/>
      <c r="N6783" s="17" t="s">
        <v>14020</v>
      </c>
      <c r="O6783" s="17"/>
      <c r="P6783" s="17" t="s">
        <v>14040</v>
      </c>
      <c r="Q6783" s="17"/>
      <c r="R6783" s="25" t="str">
        <f t="shared" si="24"/>
        <v>Begomovirus ipomoeae</v>
      </c>
      <c r="S6783" s="18" t="s">
        <v>8141</v>
      </c>
      <c r="T6783" s="18" t="s">
        <v>15359</v>
      </c>
      <c r="U6783" s="18" t="s">
        <v>15387</v>
      </c>
      <c r="V6783" s="18" t="s">
        <v>15388</v>
      </c>
      <c r="W6783" s="18" t="s">
        <v>49131</v>
      </c>
      <c r="X6783" s="18" t="s">
        <v>42</v>
      </c>
      <c r="Y6783" s="18" t="s">
        <v>12266</v>
      </c>
      <c r="Z6783" s="18" t="s">
        <v>13441</v>
      </c>
      <c r="AA6783" s="21" t="str">
        <f>HYPERLINK("https://www.ncbi.nlm.nih.gov/nuccore/EF456744","NCBI Nucleotide")</f>
        <v>NCBI Nucleotide</v>
      </c>
    </row>
    <row r="6784" spans="1:27" x14ac:dyDescent="0.35">
      <c r="A6784">
        <v>1007875</v>
      </c>
      <c r="B6784">
        <v>6380</v>
      </c>
      <c r="C6784">
        <v>1</v>
      </c>
      <c r="D6784" s="17" t="s">
        <v>10507</v>
      </c>
      <c r="E6784" s="17"/>
      <c r="F6784" s="17" t="s">
        <v>10780</v>
      </c>
      <c r="G6784" s="17"/>
      <c r="H6784" s="17" t="s">
        <v>12908</v>
      </c>
      <c r="I6784" s="17"/>
      <c r="J6784" s="17" t="s">
        <v>14018</v>
      </c>
      <c r="K6784" s="17"/>
      <c r="L6784" s="17" t="s">
        <v>14019</v>
      </c>
      <c r="M6784" s="17"/>
      <c r="N6784" s="17" t="s">
        <v>14020</v>
      </c>
      <c r="O6784" s="17"/>
      <c r="P6784" s="17" t="s">
        <v>14040</v>
      </c>
      <c r="Q6784" s="17"/>
      <c r="R6784" s="25" t="str">
        <f>HYPERLINK("https://ictv.global/taxonomy/taxondetails?taxnode_id=202303381","Begomovirus ipomoeageorgiaense")</f>
        <v>Begomovirus ipomoeageorgiaense</v>
      </c>
      <c r="S6784" s="18" t="s">
        <v>30</v>
      </c>
      <c r="T6784" s="18" t="s">
        <v>15332</v>
      </c>
      <c r="U6784" s="18" t="s">
        <v>15333</v>
      </c>
      <c r="V6784" s="18" t="s">
        <v>15334</v>
      </c>
      <c r="W6784" s="18" t="s">
        <v>15335</v>
      </c>
      <c r="X6784" s="18" t="s">
        <v>42</v>
      </c>
      <c r="Y6784" s="18" t="s">
        <v>12266</v>
      </c>
      <c r="Z6784" s="18" t="s">
        <v>13441</v>
      </c>
      <c r="AA6784" s="21" t="str">
        <f>HYPERLINK("https://www.ncbi.nlm.nih.gov/nuccore/AF326775","NCBI Nucleotide")</f>
        <v>NCBI Nucleotide</v>
      </c>
    </row>
    <row r="6785" spans="1:27" x14ac:dyDescent="0.35">
      <c r="A6785">
        <v>1007876</v>
      </c>
      <c r="B6785">
        <v>6381</v>
      </c>
      <c r="C6785">
        <v>1</v>
      </c>
      <c r="D6785" s="17" t="s">
        <v>10507</v>
      </c>
      <c r="E6785" s="17"/>
      <c r="F6785" s="17" t="s">
        <v>10780</v>
      </c>
      <c r="G6785" s="17"/>
      <c r="H6785" s="17" t="s">
        <v>12908</v>
      </c>
      <c r="I6785" s="17"/>
      <c r="J6785" s="17" t="s">
        <v>14018</v>
      </c>
      <c r="K6785" s="17"/>
      <c r="L6785" s="17" t="s">
        <v>14019</v>
      </c>
      <c r="M6785" s="17"/>
      <c r="N6785" s="17" t="s">
        <v>14020</v>
      </c>
      <c r="O6785" s="17"/>
      <c r="P6785" s="17" t="s">
        <v>14040</v>
      </c>
      <c r="Q6785" s="17"/>
      <c r="R6785" s="25" t="str">
        <f>HYPERLINK("https://ictv.global/taxonomy/taxondetails?taxnode_id=202305831","Begomovirus ipomoeaguangxiense")</f>
        <v>Begomovirus ipomoeaguangxiense</v>
      </c>
      <c r="S6785" s="18" t="s">
        <v>30</v>
      </c>
      <c r="T6785" s="18" t="s">
        <v>15336</v>
      </c>
      <c r="U6785" s="18" t="s">
        <v>41515</v>
      </c>
      <c r="V6785" s="18" t="s">
        <v>15337</v>
      </c>
      <c r="W6785" s="18" t="s">
        <v>41516</v>
      </c>
      <c r="X6785" s="18" t="s">
        <v>42</v>
      </c>
      <c r="Y6785" s="18" t="s">
        <v>12266</v>
      </c>
      <c r="Z6785" s="18" t="s">
        <v>13441</v>
      </c>
      <c r="AA6785" s="21" t="str">
        <f>HYPERLINK("https://www.ncbi.nlm.nih.gov/nuccore/KJ476510","NCBI Nucleotide")</f>
        <v>NCBI Nucleotide</v>
      </c>
    </row>
    <row r="6786" spans="1:27" x14ac:dyDescent="0.35">
      <c r="A6786">
        <v>1007877</v>
      </c>
      <c r="B6786">
        <v>6382</v>
      </c>
      <c r="C6786">
        <v>1</v>
      </c>
      <c r="D6786" s="17" t="s">
        <v>10507</v>
      </c>
      <c r="E6786" s="17"/>
      <c r="F6786" s="17" t="s">
        <v>10780</v>
      </c>
      <c r="G6786" s="17"/>
      <c r="H6786" s="17" t="s">
        <v>12908</v>
      </c>
      <c r="I6786" s="17"/>
      <c r="J6786" s="17" t="s">
        <v>14018</v>
      </c>
      <c r="K6786" s="17"/>
      <c r="L6786" s="17" t="s">
        <v>14019</v>
      </c>
      <c r="M6786" s="17"/>
      <c r="N6786" s="17" t="s">
        <v>14020</v>
      </c>
      <c r="O6786" s="17"/>
      <c r="P6786" s="17" t="s">
        <v>14040</v>
      </c>
      <c r="Q6786" s="17"/>
      <c r="R6786" s="25" t="str">
        <f>HYPERLINK("https://ictv.global/taxonomy/taxondetails?taxnode_id=202303382","Begomovirus ipomoeahenanense")</f>
        <v>Begomovirus ipomoeahenanense</v>
      </c>
      <c r="S6786" s="18" t="s">
        <v>30</v>
      </c>
      <c r="T6786" s="18" t="s">
        <v>15338</v>
      </c>
      <c r="U6786" s="18" t="s">
        <v>15339</v>
      </c>
      <c r="V6786" s="18" t="s">
        <v>15340</v>
      </c>
      <c r="W6786" s="18" t="s">
        <v>41517</v>
      </c>
      <c r="X6786" s="18" t="s">
        <v>42</v>
      </c>
      <c r="Y6786" s="18" t="s">
        <v>12266</v>
      </c>
      <c r="Z6786" s="18" t="s">
        <v>13441</v>
      </c>
      <c r="AA6786" s="21" t="str">
        <f>HYPERLINK("https://www.ncbi.nlm.nih.gov/nuccore/KC907406","NCBI Nucleotide")</f>
        <v>NCBI Nucleotide</v>
      </c>
    </row>
    <row r="6787" spans="1:27" x14ac:dyDescent="0.35">
      <c r="A6787">
        <v>1007878</v>
      </c>
      <c r="B6787">
        <v>6383</v>
      </c>
      <c r="C6787">
        <v>1</v>
      </c>
      <c r="D6787" s="17" t="s">
        <v>10507</v>
      </c>
      <c r="E6787" s="17"/>
      <c r="F6787" s="17" t="s">
        <v>10780</v>
      </c>
      <c r="G6787" s="17"/>
      <c r="H6787" s="17" t="s">
        <v>12908</v>
      </c>
      <c r="I6787" s="17"/>
      <c r="J6787" s="17" t="s">
        <v>14018</v>
      </c>
      <c r="K6787" s="17"/>
      <c r="L6787" s="17" t="s">
        <v>14019</v>
      </c>
      <c r="M6787" s="17"/>
      <c r="N6787" s="17" t="s">
        <v>14020</v>
      </c>
      <c r="O6787" s="17"/>
      <c r="P6787" s="17" t="s">
        <v>14040</v>
      </c>
      <c r="Q6787" s="17"/>
      <c r="R6787" s="25" t="str">
        <f>HYPERLINK("https://ictv.global/taxonomy/taxondetails?taxnode_id=202307533","Begomovirus ipomoeahubeiense")</f>
        <v>Begomovirus ipomoeahubeiense</v>
      </c>
      <c r="S6787" s="18" t="s">
        <v>30</v>
      </c>
      <c r="T6787" s="18" t="s">
        <v>15341</v>
      </c>
      <c r="U6787" s="18" t="s">
        <v>15342</v>
      </c>
      <c r="V6787" s="18" t="s">
        <v>15343</v>
      </c>
      <c r="W6787" s="18" t="s">
        <v>41518</v>
      </c>
      <c r="X6787" s="18" t="s">
        <v>42</v>
      </c>
      <c r="Y6787" s="18" t="s">
        <v>12266</v>
      </c>
      <c r="Z6787" s="18" t="s">
        <v>13441</v>
      </c>
      <c r="AA6787" s="21" t="str">
        <f>HYPERLINK("https://www.ncbi.nlm.nih.gov/nuccore/MH577011","NCBI Nucleotide")</f>
        <v>NCBI Nucleotide</v>
      </c>
    </row>
    <row r="6788" spans="1:27" x14ac:dyDescent="0.35">
      <c r="A6788">
        <v>1007872</v>
      </c>
      <c r="B6788">
        <v>6384</v>
      </c>
      <c r="C6788">
        <v>1</v>
      </c>
      <c r="D6788" s="17" t="s">
        <v>10507</v>
      </c>
      <c r="E6788" s="17"/>
      <c r="F6788" s="17" t="s">
        <v>10780</v>
      </c>
      <c r="G6788" s="17"/>
      <c r="H6788" s="17" t="s">
        <v>12908</v>
      </c>
      <c r="I6788" s="17"/>
      <c r="J6788" s="17" t="s">
        <v>14018</v>
      </c>
      <c r="K6788" s="17"/>
      <c r="L6788" s="17" t="s">
        <v>14019</v>
      </c>
      <c r="M6788" s="17"/>
      <c r="N6788" s="17" t="s">
        <v>14020</v>
      </c>
      <c r="O6788" s="17"/>
      <c r="P6788" s="17" t="s">
        <v>14040</v>
      </c>
      <c r="Q6788" s="17"/>
      <c r="R6788" s="25" t="str">
        <f>HYPERLINK("https://ictv.global/taxonomy/taxondetails?taxnode_id=202305830","Begomovirus ipomoeakoreaense")</f>
        <v>Begomovirus ipomoeakoreaense</v>
      </c>
      <c r="S6788" s="18" t="s">
        <v>30</v>
      </c>
      <c r="T6788" s="18" t="s">
        <v>15322</v>
      </c>
      <c r="U6788" s="18" t="s">
        <v>15323</v>
      </c>
      <c r="V6788" s="18" t="s">
        <v>15324</v>
      </c>
      <c r="W6788" s="18" t="s">
        <v>41519</v>
      </c>
      <c r="X6788" s="18" t="s">
        <v>42</v>
      </c>
      <c r="Y6788" s="18" t="s">
        <v>12266</v>
      </c>
      <c r="Z6788" s="18" t="s">
        <v>13441</v>
      </c>
      <c r="AA6788" s="21" t="str">
        <f>HYPERLINK("https://www.ncbi.nlm.nih.gov/nuccore/KT992056","NCBI Nucleotide")</f>
        <v>NCBI Nucleotide</v>
      </c>
    </row>
    <row r="6789" spans="1:27" x14ac:dyDescent="0.35">
      <c r="A6789">
        <v>1007885</v>
      </c>
      <c r="B6789">
        <v>6385</v>
      </c>
      <c r="C6789">
        <v>1</v>
      </c>
      <c r="D6789" s="17" t="s">
        <v>10507</v>
      </c>
      <c r="E6789" s="17"/>
      <c r="F6789" s="17" t="s">
        <v>10780</v>
      </c>
      <c r="G6789" s="17"/>
      <c r="H6789" s="17" t="s">
        <v>12908</v>
      </c>
      <c r="I6789" s="17"/>
      <c r="J6789" s="17" t="s">
        <v>14018</v>
      </c>
      <c r="K6789" s="17"/>
      <c r="L6789" s="17" t="s">
        <v>14019</v>
      </c>
      <c r="M6789" s="17"/>
      <c r="N6789" s="17" t="s">
        <v>14020</v>
      </c>
      <c r="O6789" s="17"/>
      <c r="P6789" s="17" t="s">
        <v>14040</v>
      </c>
      <c r="Q6789" s="17"/>
      <c r="R6789" s="25" t="str">
        <f>HYPERLINK("https://ictv.global/taxonomy/taxondetails?taxnode_id=202303389","Begomovirus ipomoeamusivi")</f>
        <v>Begomovirus ipomoeamusivi</v>
      </c>
      <c r="S6789" s="18" t="s">
        <v>30</v>
      </c>
      <c r="T6789" s="18" t="s">
        <v>15389</v>
      </c>
      <c r="U6789" s="18" t="s">
        <v>15390</v>
      </c>
      <c r="V6789" s="18" t="s">
        <v>15391</v>
      </c>
      <c r="W6789" s="18" t="s">
        <v>41520</v>
      </c>
      <c r="X6789" s="18" t="s">
        <v>42</v>
      </c>
      <c r="Y6789" s="18" t="s">
        <v>12266</v>
      </c>
      <c r="Z6789" s="18" t="s">
        <v>13441</v>
      </c>
      <c r="AA6789" s="21" t="str">
        <f>HYPERLINK("https://www.ncbi.nlm.nih.gov/nuccore/FJ969831","NCBI Nucleotide")</f>
        <v>NCBI Nucleotide</v>
      </c>
    </row>
    <row r="6790" spans="1:27" x14ac:dyDescent="0.35">
      <c r="A6790">
        <v>1007879</v>
      </c>
      <c r="B6790">
        <v>6386</v>
      </c>
      <c r="C6790">
        <v>1</v>
      </c>
      <c r="D6790" s="17" t="s">
        <v>10507</v>
      </c>
      <c r="E6790" s="17"/>
      <c r="F6790" s="17" t="s">
        <v>10780</v>
      </c>
      <c r="G6790" s="17"/>
      <c r="H6790" s="17" t="s">
        <v>12908</v>
      </c>
      <c r="I6790" s="17"/>
      <c r="J6790" s="17" t="s">
        <v>14018</v>
      </c>
      <c r="K6790" s="17"/>
      <c r="L6790" s="17" t="s">
        <v>14019</v>
      </c>
      <c r="M6790" s="17"/>
      <c r="N6790" s="17" t="s">
        <v>14020</v>
      </c>
      <c r="O6790" s="17"/>
      <c r="P6790" s="17" t="s">
        <v>14040</v>
      </c>
      <c r="Q6790" s="17"/>
      <c r="R6790" s="25" t="str">
        <f>HYPERLINK("https://ictv.global/taxonomy/taxondetails?taxnode_id=202303383","Begomovirus ipomoeasaopauloense")</f>
        <v>Begomovirus ipomoeasaopauloense</v>
      </c>
      <c r="S6790" s="18" t="s">
        <v>30</v>
      </c>
      <c r="T6790" s="18" t="s">
        <v>15344</v>
      </c>
      <c r="U6790" s="18" t="s">
        <v>15345</v>
      </c>
      <c r="V6790" s="18" t="s">
        <v>15346</v>
      </c>
      <c r="W6790" s="18" t="s">
        <v>41521</v>
      </c>
      <c r="X6790" s="18" t="s">
        <v>42</v>
      </c>
      <c r="Y6790" s="18" t="s">
        <v>12266</v>
      </c>
      <c r="Z6790" s="18" t="s">
        <v>13441</v>
      </c>
      <c r="AA6790" s="21" t="str">
        <f>HYPERLINK("https://www.ncbi.nlm.nih.gov/nuccore/HQ393477","NCBI Nucleotide")</f>
        <v>NCBI Nucleotide</v>
      </c>
    </row>
    <row r="6791" spans="1:27" x14ac:dyDescent="0.35">
      <c r="A6791">
        <v>1007880</v>
      </c>
      <c r="B6791">
        <v>6387</v>
      </c>
      <c r="C6791">
        <v>1</v>
      </c>
      <c r="D6791" s="17" t="s">
        <v>10507</v>
      </c>
      <c r="E6791" s="17"/>
      <c r="F6791" s="17" t="s">
        <v>10780</v>
      </c>
      <c r="G6791" s="17"/>
      <c r="H6791" s="17" t="s">
        <v>12908</v>
      </c>
      <c r="I6791" s="17"/>
      <c r="J6791" s="17" t="s">
        <v>14018</v>
      </c>
      <c r="K6791" s="17"/>
      <c r="L6791" s="17" t="s">
        <v>14019</v>
      </c>
      <c r="M6791" s="17"/>
      <c r="N6791" s="17" t="s">
        <v>14020</v>
      </c>
      <c r="O6791" s="17"/>
      <c r="P6791" s="17" t="s">
        <v>14040</v>
      </c>
      <c r="Q6791" s="17"/>
      <c r="R6791" s="25" t="str">
        <f>HYPERLINK("https://ictv.global/taxonomy/taxondetails?taxnode_id=202306708","Begomovirus ipomoeashandongense")</f>
        <v>Begomovirus ipomoeashandongense</v>
      </c>
      <c r="S6791" s="18" t="s">
        <v>30</v>
      </c>
      <c r="T6791" s="18" t="s">
        <v>15347</v>
      </c>
      <c r="U6791" s="18" t="s">
        <v>15348</v>
      </c>
      <c r="V6791" s="18" t="s">
        <v>15349</v>
      </c>
      <c r="W6791" s="18" t="s">
        <v>41522</v>
      </c>
      <c r="X6791" s="18" t="s">
        <v>42</v>
      </c>
      <c r="Y6791" s="18" t="s">
        <v>12266</v>
      </c>
      <c r="Z6791" s="18" t="s">
        <v>13441</v>
      </c>
      <c r="AA6791" s="21" t="str">
        <f>HYPERLINK("https://www.ncbi.nlm.nih.gov/nuccore/KU323597","NCBI Nucleotide")</f>
        <v>NCBI Nucleotide</v>
      </c>
    </row>
    <row r="6792" spans="1:27" x14ac:dyDescent="0.35">
      <c r="A6792">
        <v>1007881</v>
      </c>
      <c r="B6792">
        <v>6388</v>
      </c>
      <c r="C6792">
        <v>1</v>
      </c>
      <c r="D6792" s="17" t="s">
        <v>10507</v>
      </c>
      <c r="E6792" s="17"/>
      <c r="F6792" s="17" t="s">
        <v>10780</v>
      </c>
      <c r="G6792" s="17"/>
      <c r="H6792" s="17" t="s">
        <v>12908</v>
      </c>
      <c r="I6792" s="17"/>
      <c r="J6792" s="17" t="s">
        <v>14018</v>
      </c>
      <c r="K6792" s="17"/>
      <c r="L6792" s="17" t="s">
        <v>14019</v>
      </c>
      <c r="M6792" s="17"/>
      <c r="N6792" s="17" t="s">
        <v>14020</v>
      </c>
      <c r="O6792" s="17"/>
      <c r="P6792" s="17" t="s">
        <v>14040</v>
      </c>
      <c r="Q6792" s="17"/>
      <c r="R6792" s="25" t="str">
        <f>HYPERLINK("https://ictv.global/taxonomy/taxondetails?taxnode_id=202303384","Begomovirus ipomoeasichuanprimi")</f>
        <v>Begomovirus ipomoeasichuanprimi</v>
      </c>
      <c r="S6792" s="18" t="s">
        <v>30</v>
      </c>
      <c r="T6792" s="18" t="s">
        <v>15350</v>
      </c>
      <c r="U6792" s="18" t="s">
        <v>15351</v>
      </c>
      <c r="V6792" s="18" t="s">
        <v>15352</v>
      </c>
      <c r="W6792" s="18" t="s">
        <v>41523</v>
      </c>
      <c r="X6792" s="18" t="s">
        <v>42</v>
      </c>
      <c r="Y6792" s="18" t="s">
        <v>12266</v>
      </c>
      <c r="Z6792" s="18" t="s">
        <v>13441</v>
      </c>
      <c r="AA6792" s="21" t="str">
        <f>HYPERLINK("https://www.ncbi.nlm.nih.gov/nuccore/KC488316","NCBI Nucleotide")</f>
        <v>NCBI Nucleotide</v>
      </c>
    </row>
    <row r="6793" spans="1:27" x14ac:dyDescent="0.35">
      <c r="A6793">
        <v>1007882</v>
      </c>
      <c r="B6793">
        <v>6389</v>
      </c>
      <c r="C6793">
        <v>1</v>
      </c>
      <c r="D6793" s="17" t="s">
        <v>10507</v>
      </c>
      <c r="E6793" s="17"/>
      <c r="F6793" s="17" t="s">
        <v>10780</v>
      </c>
      <c r="G6793" s="17"/>
      <c r="H6793" s="17" t="s">
        <v>12908</v>
      </c>
      <c r="I6793" s="17"/>
      <c r="J6793" s="17" t="s">
        <v>14018</v>
      </c>
      <c r="K6793" s="17"/>
      <c r="L6793" s="17" t="s">
        <v>14019</v>
      </c>
      <c r="M6793" s="17"/>
      <c r="N6793" s="17" t="s">
        <v>14020</v>
      </c>
      <c r="O6793" s="17"/>
      <c r="P6793" s="17" t="s">
        <v>14040</v>
      </c>
      <c r="Q6793" s="17"/>
      <c r="R6793" s="25" t="str">
        <f>HYPERLINK("https://ictv.global/taxonomy/taxondetails?taxnode_id=202303385","Begomovirus ipomoeasichuansecundi")</f>
        <v>Begomovirus ipomoeasichuansecundi</v>
      </c>
      <c r="S6793" s="18" t="s">
        <v>30</v>
      </c>
      <c r="T6793" s="18" t="s">
        <v>15353</v>
      </c>
      <c r="U6793" s="18" t="s">
        <v>15354</v>
      </c>
      <c r="V6793" s="18" t="s">
        <v>15355</v>
      </c>
      <c r="W6793" s="18" t="s">
        <v>41524</v>
      </c>
      <c r="X6793" s="18" t="s">
        <v>42</v>
      </c>
      <c r="Y6793" s="18" t="s">
        <v>12266</v>
      </c>
      <c r="Z6793" s="18" t="s">
        <v>13441</v>
      </c>
      <c r="AA6793" s="21" t="str">
        <f>HYPERLINK("https://www.ncbi.nlm.nih.gov/nuccore/KF156759","NCBI Nucleotide")</f>
        <v>NCBI Nucleotide</v>
      </c>
    </row>
    <row r="6794" spans="1:27" x14ac:dyDescent="0.35">
      <c r="A6794">
        <v>1007883</v>
      </c>
      <c r="B6794">
        <v>6390</v>
      </c>
      <c r="C6794">
        <v>1</v>
      </c>
      <c r="D6794" s="17" t="s">
        <v>10507</v>
      </c>
      <c r="E6794" s="17"/>
      <c r="F6794" s="17" t="s">
        <v>10780</v>
      </c>
      <c r="G6794" s="17"/>
      <c r="H6794" s="17" t="s">
        <v>12908</v>
      </c>
      <c r="I6794" s="17"/>
      <c r="J6794" s="17" t="s">
        <v>14018</v>
      </c>
      <c r="K6794" s="17"/>
      <c r="L6794" s="17" t="s">
        <v>14019</v>
      </c>
      <c r="M6794" s="17"/>
      <c r="N6794" s="17" t="s">
        <v>14020</v>
      </c>
      <c r="O6794" s="17"/>
      <c r="P6794" s="17" t="s">
        <v>14040</v>
      </c>
      <c r="Q6794" s="17"/>
      <c r="R6794" s="25" t="str">
        <f>HYPERLINK("https://ictv.global/taxonomy/taxondetails?taxnode_id=202303386","Begomovirus ipomoeasouthcarolinaense")</f>
        <v>Begomovirus ipomoeasouthcarolinaense</v>
      </c>
      <c r="S6794" s="18" t="s">
        <v>30</v>
      </c>
      <c r="T6794" s="18" t="s">
        <v>15356</v>
      </c>
      <c r="U6794" s="18" t="s">
        <v>15357</v>
      </c>
      <c r="V6794" s="18" t="s">
        <v>15358</v>
      </c>
      <c r="W6794" s="18" t="s">
        <v>41525</v>
      </c>
      <c r="X6794" s="18" t="s">
        <v>42</v>
      </c>
      <c r="Y6794" s="18" t="s">
        <v>12266</v>
      </c>
      <c r="Z6794" s="18" t="s">
        <v>13441</v>
      </c>
      <c r="AA6794" s="21" t="str">
        <f>HYPERLINK("https://www.ncbi.nlm.nih.gov/nuccore/HQ333144","NCBI Nucleotide")</f>
        <v>NCBI Nucleotide</v>
      </c>
    </row>
    <row r="6795" spans="1:27" x14ac:dyDescent="0.35">
      <c r="A6795">
        <v>1007712</v>
      </c>
      <c r="B6795">
        <v>6391</v>
      </c>
      <c r="C6795">
        <v>1</v>
      </c>
      <c r="D6795" s="17" t="s">
        <v>10507</v>
      </c>
      <c r="E6795" s="17"/>
      <c r="F6795" s="17" t="s">
        <v>10780</v>
      </c>
      <c r="G6795" s="17"/>
      <c r="H6795" s="17" t="s">
        <v>12908</v>
      </c>
      <c r="I6795" s="17"/>
      <c r="J6795" s="17" t="s">
        <v>14018</v>
      </c>
      <c r="K6795" s="17"/>
      <c r="L6795" s="17" t="s">
        <v>14019</v>
      </c>
      <c r="M6795" s="17"/>
      <c r="N6795" s="17" t="s">
        <v>14020</v>
      </c>
      <c r="O6795" s="17"/>
      <c r="P6795" s="17" t="s">
        <v>14040</v>
      </c>
      <c r="Q6795" s="17"/>
      <c r="R6795" s="25" t="str">
        <f>HYPERLINK("https://ictv.global/taxonomy/taxondetails?taxnode_id=202305803","Begomovirus jacquemontiamusivi")</f>
        <v>Begomovirus jacquemontiamusivi</v>
      </c>
      <c r="S6795" s="18" t="s">
        <v>30</v>
      </c>
      <c r="T6795" s="18" t="s">
        <v>14645</v>
      </c>
      <c r="U6795" s="18" t="s">
        <v>14646</v>
      </c>
      <c r="V6795" s="18" t="s">
        <v>14647</v>
      </c>
      <c r="W6795" s="18" t="s">
        <v>14648</v>
      </c>
      <c r="X6795" s="18" t="s">
        <v>42</v>
      </c>
      <c r="Y6795" s="18" t="s">
        <v>12266</v>
      </c>
      <c r="Z6795" s="18" t="s">
        <v>13441</v>
      </c>
      <c r="AA6795" s="21" t="str">
        <f>HYPERLINK("https://www.ncbi.nlm.nih.gov/nuccore/KF661331,KF661332","NCBI Nucleotide")</f>
        <v>NCBI Nucleotide</v>
      </c>
    </row>
    <row r="6796" spans="1:27" x14ac:dyDescent="0.35">
      <c r="A6796">
        <v>1007713</v>
      </c>
      <c r="B6796">
        <v>6392</v>
      </c>
      <c r="C6796">
        <v>1</v>
      </c>
      <c r="D6796" s="17" t="s">
        <v>10507</v>
      </c>
      <c r="E6796" s="17"/>
      <c r="F6796" s="17" t="s">
        <v>10780</v>
      </c>
      <c r="G6796" s="17"/>
      <c r="H6796" s="17" t="s">
        <v>12908</v>
      </c>
      <c r="I6796" s="17"/>
      <c r="J6796" s="17" t="s">
        <v>14018</v>
      </c>
      <c r="K6796" s="17"/>
      <c r="L6796" s="17" t="s">
        <v>14019</v>
      </c>
      <c r="M6796" s="17"/>
      <c r="N6796" s="17" t="s">
        <v>14020</v>
      </c>
      <c r="O6796" s="17"/>
      <c r="P6796" s="17" t="s">
        <v>14040</v>
      </c>
      <c r="Q6796" s="17"/>
      <c r="R6796" s="25" t="str">
        <f>HYPERLINK("https://ictv.global/taxonomy/taxondetails?taxnode_id=202306704","Begomovirus jacquemontiavenae")</f>
        <v>Begomovirus jacquemontiavenae</v>
      </c>
      <c r="S6796" s="18" t="s">
        <v>30</v>
      </c>
      <c r="T6796" s="18" t="s">
        <v>14649</v>
      </c>
      <c r="U6796" s="18" t="s">
        <v>14650</v>
      </c>
      <c r="V6796" s="18" t="s">
        <v>14651</v>
      </c>
      <c r="W6796" s="18" t="s">
        <v>14652</v>
      </c>
      <c r="X6796" s="18" t="s">
        <v>42</v>
      </c>
      <c r="Y6796" s="18" t="s">
        <v>12266</v>
      </c>
      <c r="Z6796" s="18" t="s">
        <v>13441</v>
      </c>
      <c r="AA6796" s="21" t="str">
        <f>HYPERLINK("https://www.ncbi.nlm.nih.gov/nuccore/KY617094,KY617095","NCBI Nucleotide")</f>
        <v>NCBI Nucleotide</v>
      </c>
    </row>
    <row r="6797" spans="1:27" x14ac:dyDescent="0.35">
      <c r="A6797">
        <v>1007711</v>
      </c>
      <c r="B6797">
        <v>6393</v>
      </c>
      <c r="C6797">
        <v>1</v>
      </c>
      <c r="D6797" s="17" t="s">
        <v>10507</v>
      </c>
      <c r="E6797" s="17"/>
      <c r="F6797" s="17" t="s">
        <v>10780</v>
      </c>
      <c r="G6797" s="17"/>
      <c r="H6797" s="17" t="s">
        <v>12908</v>
      </c>
      <c r="I6797" s="17"/>
      <c r="J6797" s="17" t="s">
        <v>14018</v>
      </c>
      <c r="K6797" s="17"/>
      <c r="L6797" s="17" t="s">
        <v>14019</v>
      </c>
      <c r="M6797" s="17"/>
      <c r="N6797" s="17" t="s">
        <v>14020</v>
      </c>
      <c r="O6797" s="17"/>
      <c r="P6797" s="17" t="s">
        <v>14040</v>
      </c>
      <c r="Q6797" s="17"/>
      <c r="R6797" s="25" t="str">
        <f>HYPERLINK("https://ictv.global/taxonomy/taxondetails?taxnode_id=202303261","Begomovirus jacquemontiayucatanense")</f>
        <v>Begomovirus jacquemontiayucatanense</v>
      </c>
      <c r="S6797" s="18" t="s">
        <v>30</v>
      </c>
      <c r="T6797" s="18" t="s">
        <v>14642</v>
      </c>
      <c r="U6797" s="18" t="s">
        <v>14643</v>
      </c>
      <c r="V6797" s="18" t="s">
        <v>14043</v>
      </c>
      <c r="W6797" s="18" t="s">
        <v>14644</v>
      </c>
      <c r="X6797" s="18" t="s">
        <v>42</v>
      </c>
      <c r="Y6797" s="18" t="s">
        <v>12266</v>
      </c>
      <c r="Z6797" s="18" t="s">
        <v>13441</v>
      </c>
      <c r="AA6797" s="21" t="str">
        <f>HYPERLINK("https://www.ncbi.nlm.nih.gov/nuccore/JQ821386,JQ821387","NCBI Nucleotide")</f>
        <v>NCBI Nucleotide</v>
      </c>
    </row>
    <row r="6798" spans="1:27" x14ac:dyDescent="0.35">
      <c r="A6798">
        <v>1007715</v>
      </c>
      <c r="B6798">
        <v>6394</v>
      </c>
      <c r="C6798">
        <v>1</v>
      </c>
      <c r="D6798" s="17" t="s">
        <v>10507</v>
      </c>
      <c r="E6798" s="17"/>
      <c r="F6798" s="17" t="s">
        <v>10780</v>
      </c>
      <c r="G6798" s="17"/>
      <c r="H6798" s="17" t="s">
        <v>12908</v>
      </c>
      <c r="I6798" s="17"/>
      <c r="J6798" s="17" t="s">
        <v>14018</v>
      </c>
      <c r="K6798" s="17"/>
      <c r="L6798" s="17" t="s">
        <v>14019</v>
      </c>
      <c r="M6798" s="17"/>
      <c r="N6798" s="17" t="s">
        <v>14020</v>
      </c>
      <c r="O6798" s="17"/>
      <c r="P6798" s="17" t="s">
        <v>14040</v>
      </c>
      <c r="Q6798" s="17"/>
      <c r="R6798" s="25" t="str">
        <f>HYPERLINK("https://ictv.global/taxonomy/taxondetails?taxnode_id=202303262","Begomovirus jatrophae")</f>
        <v>Begomovirus jatrophae</v>
      </c>
      <c r="S6798" s="18" t="s">
        <v>30</v>
      </c>
      <c r="T6798" s="18" t="s">
        <v>14656</v>
      </c>
      <c r="U6798" s="18" t="s">
        <v>14657</v>
      </c>
      <c r="V6798" s="18" t="s">
        <v>14658</v>
      </c>
      <c r="W6798" s="18" t="s">
        <v>14659</v>
      </c>
      <c r="X6798" s="18" t="s">
        <v>42</v>
      </c>
      <c r="Y6798" s="18" t="s">
        <v>12266</v>
      </c>
      <c r="Z6798" s="18" t="s">
        <v>13441</v>
      </c>
      <c r="AA6798" s="21" t="str">
        <f>HYPERLINK("https://www.ncbi.nlm.nih.gov/nuccore/EU798996","NCBI Nucleotide")</f>
        <v>NCBI Nucleotide</v>
      </c>
    </row>
    <row r="6799" spans="1:27" x14ac:dyDescent="0.35">
      <c r="A6799">
        <v>1012544</v>
      </c>
      <c r="B6799">
        <v>6394</v>
      </c>
      <c r="C6799">
        <v>2</v>
      </c>
      <c r="D6799" s="17" t="s">
        <v>10507</v>
      </c>
      <c r="E6799" s="17"/>
      <c r="F6799" s="17" t="s">
        <v>10780</v>
      </c>
      <c r="G6799" s="17"/>
      <c r="H6799" s="17" t="s">
        <v>12908</v>
      </c>
      <c r="I6799" s="17"/>
      <c r="J6799" s="17" t="s">
        <v>14018</v>
      </c>
      <c r="K6799" s="17"/>
      <c r="L6799" s="17" t="s">
        <v>14019</v>
      </c>
      <c r="M6799" s="17"/>
      <c r="N6799" s="17" t="s">
        <v>14020</v>
      </c>
      <c r="O6799" s="17"/>
      <c r="P6799" s="17" t="s">
        <v>14040</v>
      </c>
      <c r="Q6799" s="17"/>
      <c r="R6799" s="25" t="str">
        <f>HYPERLINK("https://ictv.global/taxonomy/taxondetails?taxnode_id=202303262","Begomovirus jatrophae")</f>
        <v>Begomovirus jatrophae</v>
      </c>
      <c r="S6799" s="18" t="s">
        <v>8141</v>
      </c>
      <c r="T6799" s="18" t="s">
        <v>14656</v>
      </c>
      <c r="U6799" s="18" t="s">
        <v>14660</v>
      </c>
      <c r="V6799" s="18" t="s">
        <v>14661</v>
      </c>
      <c r="W6799" s="18" t="s">
        <v>49132</v>
      </c>
      <c r="X6799" s="18" t="s">
        <v>42</v>
      </c>
      <c r="Y6799" s="18" t="s">
        <v>12266</v>
      </c>
      <c r="Z6799" s="18" t="s">
        <v>13441</v>
      </c>
      <c r="AA6799" s="21" t="str">
        <f>HYPERLINK("https://www.ncbi.nlm.nih.gov/nuccore/GU451249","NCBI Nucleotide")</f>
        <v>NCBI Nucleotide</v>
      </c>
    </row>
    <row r="6800" spans="1:27" x14ac:dyDescent="0.35">
      <c r="A6800">
        <v>1007720</v>
      </c>
      <c r="B6800">
        <v>6395</v>
      </c>
      <c r="C6800">
        <v>1</v>
      </c>
      <c r="D6800" s="17" t="s">
        <v>10507</v>
      </c>
      <c r="E6800" s="17"/>
      <c r="F6800" s="17" t="s">
        <v>10780</v>
      </c>
      <c r="G6800" s="17"/>
      <c r="H6800" s="17" t="s">
        <v>12908</v>
      </c>
      <c r="I6800" s="17"/>
      <c r="J6800" s="17" t="s">
        <v>14018</v>
      </c>
      <c r="K6800" s="17"/>
      <c r="L6800" s="17" t="s">
        <v>14019</v>
      </c>
      <c r="M6800" s="17"/>
      <c r="N6800" s="17" t="s">
        <v>14020</v>
      </c>
      <c r="O6800" s="17"/>
      <c r="P6800" s="17" t="s">
        <v>14040</v>
      </c>
      <c r="Q6800" s="17"/>
      <c r="R6800" s="25" t="str">
        <f>HYPERLINK("https://ictv.global/taxonomy/taxondetails?taxnode_id=202303266","Begomovirus jatrophaflavamusivi")</f>
        <v>Begomovirus jatrophaflavamusivi</v>
      </c>
      <c r="S6800" s="18" t="s">
        <v>30</v>
      </c>
      <c r="T6800" s="18" t="s">
        <v>14678</v>
      </c>
      <c r="U6800" s="18" t="s">
        <v>14679</v>
      </c>
      <c r="V6800" s="18" t="s">
        <v>14680</v>
      </c>
      <c r="W6800" s="18" t="s">
        <v>14681</v>
      </c>
      <c r="X6800" s="18" t="s">
        <v>42</v>
      </c>
      <c r="Y6800" s="18" t="s">
        <v>12266</v>
      </c>
      <c r="Z6800" s="18" t="s">
        <v>13441</v>
      </c>
      <c r="AA6800" s="21" t="str">
        <f>HYPERLINK("https://www.ncbi.nlm.nih.gov/nuccore/FJ177030","NCBI Nucleotide")</f>
        <v>NCBI Nucleotide</v>
      </c>
    </row>
    <row r="6801" spans="1:27" x14ac:dyDescent="0.35">
      <c r="A6801">
        <v>1007716</v>
      </c>
      <c r="B6801">
        <v>6396</v>
      </c>
      <c r="C6801">
        <v>1</v>
      </c>
      <c r="D6801" s="17" t="s">
        <v>10507</v>
      </c>
      <c r="E6801" s="17"/>
      <c r="F6801" s="17" t="s">
        <v>10780</v>
      </c>
      <c r="G6801" s="17"/>
      <c r="H6801" s="17" t="s">
        <v>12908</v>
      </c>
      <c r="I6801" s="17"/>
      <c r="J6801" s="17" t="s">
        <v>14018</v>
      </c>
      <c r="K6801" s="17"/>
      <c r="L6801" s="17" t="s">
        <v>14019</v>
      </c>
      <c r="M6801" s="17"/>
      <c r="N6801" s="17" t="s">
        <v>14020</v>
      </c>
      <c r="O6801" s="17"/>
      <c r="P6801" s="17" t="s">
        <v>14040</v>
      </c>
      <c r="Q6801" s="17"/>
      <c r="R6801" s="25" t="str">
        <f>HYPERLINK("https://ictv.global/taxonomy/taxondetails?taxnode_id=202305805","Begomovirus jatrophaflavi")</f>
        <v>Begomovirus jatrophaflavi</v>
      </c>
      <c r="S6801" s="18" t="s">
        <v>30</v>
      </c>
      <c r="T6801" s="18" t="s">
        <v>14662</v>
      </c>
      <c r="U6801" s="18" t="s">
        <v>14663</v>
      </c>
      <c r="V6801" s="18" t="s">
        <v>14664</v>
      </c>
      <c r="W6801" s="18" t="s">
        <v>14665</v>
      </c>
      <c r="X6801" s="18" t="s">
        <v>42</v>
      </c>
      <c r="Y6801" s="18" t="s">
        <v>12266</v>
      </c>
      <c r="Z6801" s="18" t="s">
        <v>13441</v>
      </c>
      <c r="AA6801" s="21" t="str">
        <f>HYPERLINK("https://www.ncbi.nlm.nih.gov/nuccore/JN698954","NCBI Nucleotide")</f>
        <v>NCBI Nucleotide</v>
      </c>
    </row>
    <row r="6802" spans="1:27" x14ac:dyDescent="0.35">
      <c r="A6802">
        <v>1007714</v>
      </c>
      <c r="B6802">
        <v>6397</v>
      </c>
      <c r="C6802">
        <v>1</v>
      </c>
      <c r="D6802" s="17" t="s">
        <v>10507</v>
      </c>
      <c r="E6802" s="17"/>
      <c r="F6802" s="17" t="s">
        <v>10780</v>
      </c>
      <c r="G6802" s="17"/>
      <c r="H6802" s="17" t="s">
        <v>12908</v>
      </c>
      <c r="I6802" s="17"/>
      <c r="J6802" s="17" t="s">
        <v>14018</v>
      </c>
      <c r="K6802" s="17"/>
      <c r="L6802" s="17" t="s">
        <v>14019</v>
      </c>
      <c r="M6802" s="17"/>
      <c r="N6802" s="17" t="s">
        <v>14020</v>
      </c>
      <c r="O6802" s="17"/>
      <c r="P6802" s="17" t="s">
        <v>14040</v>
      </c>
      <c r="Q6802" s="17"/>
      <c r="R6802" s="25" t="str">
        <f>HYPERLINK("https://ictv.global/taxonomy/taxondetails?taxnode_id=202305804","Begomovirus jatrophagujaratense")</f>
        <v>Begomovirus jatrophagujaratense</v>
      </c>
      <c r="S6802" s="18" t="s">
        <v>30</v>
      </c>
      <c r="T6802" s="18" t="s">
        <v>14653</v>
      </c>
      <c r="U6802" s="18" t="s">
        <v>14654</v>
      </c>
      <c r="V6802" s="18" t="s">
        <v>14655</v>
      </c>
      <c r="W6802" s="18" t="s">
        <v>41526</v>
      </c>
      <c r="X6802" s="18" t="s">
        <v>42</v>
      </c>
      <c r="Y6802" s="18" t="s">
        <v>12266</v>
      </c>
      <c r="Z6802" s="18" t="s">
        <v>13441</v>
      </c>
      <c r="AA6802" s="21" t="str">
        <f>HYPERLINK("https://www.ncbi.nlm.nih.gov/nuccore/KM411359","NCBI Nucleotide")</f>
        <v>NCBI Nucleotide</v>
      </c>
    </row>
    <row r="6803" spans="1:27" x14ac:dyDescent="0.35">
      <c r="A6803">
        <v>1007717</v>
      </c>
      <c r="B6803">
        <v>6398</v>
      </c>
      <c r="C6803">
        <v>1</v>
      </c>
      <c r="D6803" s="17" t="s">
        <v>10507</v>
      </c>
      <c r="E6803" s="17"/>
      <c r="F6803" s="17" t="s">
        <v>10780</v>
      </c>
      <c r="G6803" s="17"/>
      <c r="H6803" s="17" t="s">
        <v>12908</v>
      </c>
      <c r="I6803" s="17"/>
      <c r="J6803" s="17" t="s">
        <v>14018</v>
      </c>
      <c r="K6803" s="17"/>
      <c r="L6803" s="17" t="s">
        <v>14019</v>
      </c>
      <c r="M6803" s="17"/>
      <c r="N6803" s="17" t="s">
        <v>14020</v>
      </c>
      <c r="O6803" s="17"/>
      <c r="P6803" s="17" t="s">
        <v>14040</v>
      </c>
      <c r="Q6803" s="17"/>
      <c r="R6803" s="25" t="str">
        <f>HYPERLINK("https://ictv.global/taxonomy/taxondetails?taxnode_id=202303263","Begomovirus jatrophaindiaense")</f>
        <v>Begomovirus jatrophaindiaense</v>
      </c>
      <c r="S6803" s="18" t="s">
        <v>30</v>
      </c>
      <c r="T6803" s="18" t="s">
        <v>14666</v>
      </c>
      <c r="U6803" s="18" t="s">
        <v>14667</v>
      </c>
      <c r="V6803" s="18" t="s">
        <v>14668</v>
      </c>
      <c r="W6803" s="18" t="s">
        <v>14669</v>
      </c>
      <c r="X6803" s="18" t="s">
        <v>42</v>
      </c>
      <c r="Y6803" s="18" t="s">
        <v>12266</v>
      </c>
      <c r="Z6803" s="18" t="s">
        <v>13441</v>
      </c>
      <c r="AA6803" s="21" t="str">
        <f>HYPERLINK("https://www.ncbi.nlm.nih.gov/nuccore/HM230683","NCBI Nucleotide")</f>
        <v>NCBI Nucleotide</v>
      </c>
    </row>
    <row r="6804" spans="1:27" x14ac:dyDescent="0.35">
      <c r="A6804">
        <v>1007719</v>
      </c>
      <c r="B6804">
        <v>6399</v>
      </c>
      <c r="C6804">
        <v>1</v>
      </c>
      <c r="D6804" s="17" t="s">
        <v>10507</v>
      </c>
      <c r="E6804" s="17"/>
      <c r="F6804" s="17" t="s">
        <v>10780</v>
      </c>
      <c r="G6804" s="17"/>
      <c r="H6804" s="17" t="s">
        <v>12908</v>
      </c>
      <c r="I6804" s="17"/>
      <c r="J6804" s="17" t="s">
        <v>14018</v>
      </c>
      <c r="K6804" s="17"/>
      <c r="L6804" s="17" t="s">
        <v>14019</v>
      </c>
      <c r="M6804" s="17"/>
      <c r="N6804" s="17" t="s">
        <v>14020</v>
      </c>
      <c r="O6804" s="17"/>
      <c r="P6804" s="17" t="s">
        <v>14040</v>
      </c>
      <c r="Q6804" s="17"/>
      <c r="R6804" s="25" t="str">
        <f>HYPERLINK("https://ictv.global/taxonomy/taxondetails?taxnode_id=202303265","Begomovirus jatrophamusivi")</f>
        <v>Begomovirus jatrophamusivi</v>
      </c>
      <c r="S6804" s="18" t="s">
        <v>30</v>
      </c>
      <c r="T6804" s="18" t="s">
        <v>14674</v>
      </c>
      <c r="U6804" s="18" t="s">
        <v>14675</v>
      </c>
      <c r="V6804" s="18" t="s">
        <v>14676</v>
      </c>
      <c r="W6804" s="18" t="s">
        <v>14677</v>
      </c>
      <c r="X6804" s="18" t="s">
        <v>42</v>
      </c>
      <c r="Y6804" s="18" t="s">
        <v>12266</v>
      </c>
      <c r="Z6804" s="18" t="s">
        <v>13441</v>
      </c>
      <c r="AA6804" s="21" t="str">
        <f>HYPERLINK("https://www.ncbi.nlm.nih.gov/nuccore/KF723258,KF723261","NCBI Nucleotide")</f>
        <v>NCBI Nucleotide</v>
      </c>
    </row>
    <row r="6805" spans="1:27" x14ac:dyDescent="0.35">
      <c r="A6805">
        <v>1007718</v>
      </c>
      <c r="B6805">
        <v>6400</v>
      </c>
      <c r="C6805">
        <v>1</v>
      </c>
      <c r="D6805" s="17" t="s">
        <v>10507</v>
      </c>
      <c r="E6805" s="17"/>
      <c r="F6805" s="17" t="s">
        <v>10780</v>
      </c>
      <c r="G6805" s="17"/>
      <c r="H6805" s="17" t="s">
        <v>12908</v>
      </c>
      <c r="I6805" s="17"/>
      <c r="J6805" s="17" t="s">
        <v>14018</v>
      </c>
      <c r="K6805" s="17"/>
      <c r="L6805" s="17" t="s">
        <v>14019</v>
      </c>
      <c r="M6805" s="17"/>
      <c r="N6805" s="17" t="s">
        <v>14020</v>
      </c>
      <c r="O6805" s="17"/>
      <c r="P6805" s="17" t="s">
        <v>14040</v>
      </c>
      <c r="Q6805" s="17"/>
      <c r="R6805" s="25" t="str">
        <f>HYPERLINK("https://ictv.global/taxonomy/taxondetails?taxnode_id=202303264","Begomovirus jatrophanigeriaense")</f>
        <v>Begomovirus jatrophanigeriaense</v>
      </c>
      <c r="S6805" s="18" t="s">
        <v>30</v>
      </c>
      <c r="T6805" s="18" t="s">
        <v>14670</v>
      </c>
      <c r="U6805" s="18" t="s">
        <v>14671</v>
      </c>
      <c r="V6805" s="18" t="s">
        <v>14672</v>
      </c>
      <c r="W6805" s="18" t="s">
        <v>14673</v>
      </c>
      <c r="X6805" s="18" t="s">
        <v>42</v>
      </c>
      <c r="Y6805" s="18" t="s">
        <v>12266</v>
      </c>
      <c r="Z6805" s="18" t="s">
        <v>13441</v>
      </c>
      <c r="AA6805" s="21" t="str">
        <f>HYPERLINK("https://www.ncbi.nlm.nih.gov/nuccore/JX025358","NCBI Nucleotide")</f>
        <v>NCBI Nucleotide</v>
      </c>
    </row>
    <row r="6806" spans="1:27" x14ac:dyDescent="0.35">
      <c r="A6806">
        <v>1007587</v>
      </c>
      <c r="B6806">
        <v>6401</v>
      </c>
      <c r="C6806">
        <v>1</v>
      </c>
      <c r="D6806" s="17" t="s">
        <v>10507</v>
      </c>
      <c r="E6806" s="17"/>
      <c r="F6806" s="17" t="s">
        <v>10780</v>
      </c>
      <c r="G6806" s="17"/>
      <c r="H6806" s="17" t="s">
        <v>12908</v>
      </c>
      <c r="I6806" s="17"/>
      <c r="J6806" s="17" t="s">
        <v>14018</v>
      </c>
      <c r="K6806" s="17"/>
      <c r="L6806" s="17" t="s">
        <v>14019</v>
      </c>
      <c r="M6806" s="17"/>
      <c r="N6806" s="17" t="s">
        <v>14020</v>
      </c>
      <c r="O6806" s="17"/>
      <c r="P6806" s="17" t="s">
        <v>14040</v>
      </c>
      <c r="Q6806" s="17"/>
      <c r="R6806" s="25" t="str">
        <f>HYPERLINK("https://ictv.global/taxonomy/taxondetails?taxnode_id=202303176","Begomovirus jeskei")</f>
        <v>Begomovirus jeskei</v>
      </c>
      <c r="S6806" s="18" t="s">
        <v>30</v>
      </c>
      <c r="T6806" s="18" t="s">
        <v>14045</v>
      </c>
      <c r="U6806" s="18" t="s">
        <v>14046</v>
      </c>
      <c r="V6806" s="18" t="s">
        <v>14047</v>
      </c>
      <c r="W6806" s="18" t="s">
        <v>14048</v>
      </c>
      <c r="X6806" s="18" t="s">
        <v>42</v>
      </c>
      <c r="Y6806" s="18" t="s">
        <v>12266</v>
      </c>
      <c r="Z6806" s="18" t="s">
        <v>13441</v>
      </c>
      <c r="AA6806" s="21" t="str">
        <f>HYPERLINK("https://www.ncbi.nlm.nih.gov/nuccore/HM585445,HM585446","NCBI Nucleotide")</f>
        <v>NCBI Nucleotide</v>
      </c>
    </row>
    <row r="6807" spans="1:27" x14ac:dyDescent="0.35">
      <c r="A6807">
        <v>1007691</v>
      </c>
      <c r="B6807">
        <v>6402</v>
      </c>
      <c r="C6807">
        <v>1</v>
      </c>
      <c r="D6807" s="17" t="s">
        <v>10507</v>
      </c>
      <c r="E6807" s="17"/>
      <c r="F6807" s="17" t="s">
        <v>10780</v>
      </c>
      <c r="G6807" s="17"/>
      <c r="H6807" s="17" t="s">
        <v>12908</v>
      </c>
      <c r="I6807" s="17"/>
      <c r="J6807" s="17" t="s">
        <v>14018</v>
      </c>
      <c r="K6807" s="17"/>
      <c r="L6807" s="17" t="s">
        <v>14019</v>
      </c>
      <c r="M6807" s="17"/>
      <c r="N6807" s="17" t="s">
        <v>14020</v>
      </c>
      <c r="O6807" s="17"/>
      <c r="P6807" s="17" t="s">
        <v>14040</v>
      </c>
      <c r="Q6807" s="17"/>
      <c r="R6807" s="25" t="str">
        <f>HYPERLINK("https://ictv.global/taxonomy/taxondetails?taxnode_id=202303247","Begomovirus kokenae")</f>
        <v>Begomovirus kokenae</v>
      </c>
      <c r="S6807" s="18" t="s">
        <v>30</v>
      </c>
      <c r="T6807" s="18" t="s">
        <v>14530</v>
      </c>
      <c r="U6807" s="18" t="s">
        <v>14531</v>
      </c>
      <c r="V6807" s="18" t="s">
        <v>14532</v>
      </c>
      <c r="W6807" s="18" t="s">
        <v>41527</v>
      </c>
      <c r="X6807" s="18" t="s">
        <v>42</v>
      </c>
      <c r="Y6807" s="18" t="s">
        <v>12266</v>
      </c>
      <c r="Z6807" s="18" t="s">
        <v>13441</v>
      </c>
      <c r="AA6807" s="21" t="str">
        <f>HYPERLINK("https://www.ncbi.nlm.nih.gov/nuccore/AJ438937","NCBI Nucleotide")</f>
        <v>NCBI Nucleotide</v>
      </c>
    </row>
    <row r="6808" spans="1:27" x14ac:dyDescent="0.35">
      <c r="A6808">
        <v>1007722</v>
      </c>
      <c r="B6808">
        <v>6403</v>
      </c>
      <c r="C6808">
        <v>1</v>
      </c>
      <c r="D6808" s="17" t="s">
        <v>10507</v>
      </c>
      <c r="E6808" s="17"/>
      <c r="F6808" s="17" t="s">
        <v>10780</v>
      </c>
      <c r="G6808" s="17"/>
      <c r="H6808" s="17" t="s">
        <v>12908</v>
      </c>
      <c r="I6808" s="17"/>
      <c r="J6808" s="17" t="s">
        <v>14018</v>
      </c>
      <c r="K6808" s="17"/>
      <c r="L6808" s="17" t="s">
        <v>14019</v>
      </c>
      <c r="M6808" s="17"/>
      <c r="N6808" s="17" t="s">
        <v>14020</v>
      </c>
      <c r="O6808" s="17"/>
      <c r="P6808" s="17" t="s">
        <v>14040</v>
      </c>
      <c r="Q6808" s="17"/>
      <c r="R6808" s="25" t="str">
        <f>HYPERLINK("https://ictv.global/taxonomy/taxondetails?taxnode_id=202303268","Begomovirus leonuri")</f>
        <v>Begomovirus leonuri</v>
      </c>
      <c r="S6808" s="18" t="s">
        <v>30</v>
      </c>
      <c r="T6808" s="18" t="s">
        <v>14685</v>
      </c>
      <c r="U6808" s="18" t="s">
        <v>14686</v>
      </c>
      <c r="V6808" s="18" t="s">
        <v>14687</v>
      </c>
      <c r="W6808" s="18" t="s">
        <v>14688</v>
      </c>
      <c r="X6808" s="18" t="s">
        <v>42</v>
      </c>
      <c r="Y6808" s="18" t="s">
        <v>12266</v>
      </c>
      <c r="Z6808" s="18" t="s">
        <v>13441</v>
      </c>
      <c r="AA6808" s="21" t="str">
        <f>HYPERLINK("https://www.ncbi.nlm.nih.gov/nuccore/JQ429791","NCBI Nucleotide")</f>
        <v>NCBI Nucleotide</v>
      </c>
    </row>
    <row r="6809" spans="1:27" x14ac:dyDescent="0.35">
      <c r="A6809">
        <v>1007723</v>
      </c>
      <c r="B6809">
        <v>6404</v>
      </c>
      <c r="C6809">
        <v>1</v>
      </c>
      <c r="D6809" s="17" t="s">
        <v>10507</v>
      </c>
      <c r="E6809" s="17"/>
      <c r="F6809" s="17" t="s">
        <v>10780</v>
      </c>
      <c r="G6809" s="17"/>
      <c r="H6809" s="17" t="s">
        <v>12908</v>
      </c>
      <c r="I6809" s="17"/>
      <c r="J6809" s="17" t="s">
        <v>14018</v>
      </c>
      <c r="K6809" s="17"/>
      <c r="L6809" s="17" t="s">
        <v>14019</v>
      </c>
      <c r="M6809" s="17"/>
      <c r="N6809" s="17" t="s">
        <v>14020</v>
      </c>
      <c r="O6809" s="17"/>
      <c r="P6809" s="17" t="s">
        <v>14040</v>
      </c>
      <c r="Q6809" s="17"/>
      <c r="R6809" s="25" t="str">
        <f>HYPERLINK("https://ictv.global/taxonomy/taxondetails?taxnode_id=202303269","Begomovirus linderniae")</f>
        <v>Begomovirus linderniae</v>
      </c>
      <c r="S6809" s="18" t="s">
        <v>30</v>
      </c>
      <c r="T6809" s="18" t="s">
        <v>14689</v>
      </c>
      <c r="U6809" s="18" t="s">
        <v>14690</v>
      </c>
      <c r="V6809" s="18" t="s">
        <v>14691</v>
      </c>
      <c r="W6809" s="18" t="s">
        <v>14692</v>
      </c>
      <c r="X6809" s="18" t="s">
        <v>42</v>
      </c>
      <c r="Y6809" s="18" t="s">
        <v>12266</v>
      </c>
      <c r="Z6809" s="18" t="s">
        <v>13441</v>
      </c>
      <c r="AA6809" s="21" t="str">
        <f>HYPERLINK("https://www.ncbi.nlm.nih.gov/nuccore/DQ641701","NCBI Nucleotide")</f>
        <v>NCBI Nucleotide</v>
      </c>
    </row>
    <row r="6810" spans="1:27" x14ac:dyDescent="0.35">
      <c r="A6810">
        <v>1007724</v>
      </c>
      <c r="B6810">
        <v>6405</v>
      </c>
      <c r="C6810">
        <v>1</v>
      </c>
      <c r="D6810" s="17" t="s">
        <v>10507</v>
      </c>
      <c r="E6810" s="17"/>
      <c r="F6810" s="17" t="s">
        <v>10780</v>
      </c>
      <c r="G6810" s="17"/>
      <c r="H6810" s="17" t="s">
        <v>12908</v>
      </c>
      <c r="I6810" s="17"/>
      <c r="J6810" s="17" t="s">
        <v>14018</v>
      </c>
      <c r="K6810" s="17"/>
      <c r="L6810" s="17" t="s">
        <v>14019</v>
      </c>
      <c r="M6810" s="17"/>
      <c r="N6810" s="17" t="s">
        <v>14020</v>
      </c>
      <c r="O6810" s="17"/>
      <c r="P6810" s="17" t="s">
        <v>14040</v>
      </c>
      <c r="Q6810" s="17"/>
      <c r="R6810" s="25" t="str">
        <f>HYPERLINK("https://ictv.global/taxonomy/taxondetails?taxnode_id=202305806","Begomovirus lisianthi")</f>
        <v>Begomovirus lisianthi</v>
      </c>
      <c r="S6810" s="18" t="s">
        <v>30</v>
      </c>
      <c r="T6810" s="18" t="s">
        <v>14693</v>
      </c>
      <c r="U6810" s="18" t="s">
        <v>14694</v>
      </c>
      <c r="V6810" s="18" t="s">
        <v>14695</v>
      </c>
      <c r="W6810" s="18" t="s">
        <v>14696</v>
      </c>
      <c r="X6810" s="18" t="s">
        <v>42</v>
      </c>
      <c r="Y6810" s="18" t="s">
        <v>12266</v>
      </c>
      <c r="Z6810" s="18" t="s">
        <v>13441</v>
      </c>
      <c r="AA6810" s="21" t="str">
        <f>HYPERLINK("https://www.ncbi.nlm.nih.gov/nuccore/LC091538","NCBI Nucleotide")</f>
        <v>NCBI Nucleotide</v>
      </c>
    </row>
    <row r="6811" spans="1:27" x14ac:dyDescent="0.35">
      <c r="A6811">
        <v>1007708</v>
      </c>
      <c r="B6811">
        <v>6406</v>
      </c>
      <c r="C6811">
        <v>1</v>
      </c>
      <c r="D6811" s="17" t="s">
        <v>10507</v>
      </c>
      <c r="E6811" s="17"/>
      <c r="F6811" s="17" t="s">
        <v>10780</v>
      </c>
      <c r="G6811" s="17"/>
      <c r="H6811" s="17" t="s">
        <v>12908</v>
      </c>
      <c r="I6811" s="17"/>
      <c r="J6811" s="17" t="s">
        <v>14018</v>
      </c>
      <c r="K6811" s="17"/>
      <c r="L6811" s="17" t="s">
        <v>14019</v>
      </c>
      <c r="M6811" s="17"/>
      <c r="N6811" s="17" t="s">
        <v>14020</v>
      </c>
      <c r="O6811" s="17"/>
      <c r="P6811" s="17" t="s">
        <v>14040</v>
      </c>
      <c r="Q6811" s="17"/>
      <c r="R6811" s="25" t="str">
        <f>HYPERLINK("https://ictv.global/taxonomy/taxondetails?taxnode_id=202303259","Begomovirus loniceramusivi")</f>
        <v>Begomovirus loniceramusivi</v>
      </c>
      <c r="S6811" s="18" t="s">
        <v>30</v>
      </c>
      <c r="T6811" s="18" t="s">
        <v>14625</v>
      </c>
      <c r="U6811" s="18" t="s">
        <v>14626</v>
      </c>
      <c r="V6811" s="18" t="s">
        <v>14627</v>
      </c>
      <c r="W6811" s="18" t="s">
        <v>14628</v>
      </c>
      <c r="X6811" s="18" t="s">
        <v>42</v>
      </c>
      <c r="Y6811" s="18" t="s">
        <v>12266</v>
      </c>
      <c r="Z6811" s="18" t="s">
        <v>13441</v>
      </c>
      <c r="AA6811" s="21" t="str">
        <f>HYPERLINK("https://www.ncbi.nlm.nih.gov/nuccore/AJ627904,AJ627905","NCBI Nucleotide")</f>
        <v>NCBI Nucleotide</v>
      </c>
    </row>
    <row r="6812" spans="1:27" x14ac:dyDescent="0.35">
      <c r="A6812">
        <v>1007726</v>
      </c>
      <c r="B6812">
        <v>6407</v>
      </c>
      <c r="C6812">
        <v>1</v>
      </c>
      <c r="D6812" s="17" t="s">
        <v>10507</v>
      </c>
      <c r="E6812" s="17"/>
      <c r="F6812" s="17" t="s">
        <v>10780</v>
      </c>
      <c r="G6812" s="17"/>
      <c r="H6812" s="17" t="s">
        <v>12908</v>
      </c>
      <c r="I6812" s="17"/>
      <c r="J6812" s="17" t="s">
        <v>14018</v>
      </c>
      <c r="K6812" s="17"/>
      <c r="L6812" s="17" t="s">
        <v>14019</v>
      </c>
      <c r="M6812" s="17"/>
      <c r="N6812" s="17" t="s">
        <v>14020</v>
      </c>
      <c r="O6812" s="17"/>
      <c r="P6812" s="17" t="s">
        <v>14040</v>
      </c>
      <c r="Q6812" s="17"/>
      <c r="R6812" s="25" t="str">
        <f>HYPERLINK("https://ictv.global/taxonomy/taxondetails?taxnode_id=202303271","Begomovirus ludwigiae")</f>
        <v>Begomovirus ludwigiae</v>
      </c>
      <c r="S6812" s="18" t="s">
        <v>30</v>
      </c>
      <c r="T6812" s="18" t="s">
        <v>14701</v>
      </c>
      <c r="U6812" s="18" t="s">
        <v>14702</v>
      </c>
      <c r="V6812" s="18" t="s">
        <v>14703</v>
      </c>
      <c r="W6812" s="18" t="s">
        <v>14704</v>
      </c>
      <c r="X6812" s="18" t="s">
        <v>42</v>
      </c>
      <c r="Y6812" s="18" t="s">
        <v>12266</v>
      </c>
      <c r="Z6812" s="18" t="s">
        <v>13441</v>
      </c>
      <c r="AA6812" s="21" t="str">
        <f>HYPERLINK("https://www.ncbi.nlm.nih.gov/nuccore/AJ965539","NCBI Nucleotide")</f>
        <v>NCBI Nucleotide</v>
      </c>
    </row>
    <row r="6813" spans="1:27" x14ac:dyDescent="0.35">
      <c r="A6813">
        <v>1007725</v>
      </c>
      <c r="B6813">
        <v>6408</v>
      </c>
      <c r="C6813">
        <v>1</v>
      </c>
      <c r="D6813" s="17" t="s">
        <v>10507</v>
      </c>
      <c r="E6813" s="17"/>
      <c r="F6813" s="17" t="s">
        <v>10780</v>
      </c>
      <c r="G6813" s="17"/>
      <c r="H6813" s="17" t="s">
        <v>12908</v>
      </c>
      <c r="I6813" s="17"/>
      <c r="J6813" s="17" t="s">
        <v>14018</v>
      </c>
      <c r="K6813" s="17"/>
      <c r="L6813" s="17" t="s">
        <v>14019</v>
      </c>
      <c r="M6813" s="17"/>
      <c r="N6813" s="17" t="s">
        <v>14020</v>
      </c>
      <c r="O6813" s="17"/>
      <c r="P6813" s="17" t="s">
        <v>14040</v>
      </c>
      <c r="Q6813" s="17"/>
      <c r="R6813" s="25" t="str">
        <f>HYPERLINK("https://ictv.global/taxonomy/taxondetails?taxnode_id=202303270","Begomovirus ludwigiavietnamense")</f>
        <v>Begomovirus ludwigiavietnamense</v>
      </c>
      <c r="S6813" s="18" t="s">
        <v>30</v>
      </c>
      <c r="T6813" s="18" t="s">
        <v>14697</v>
      </c>
      <c r="U6813" s="18" t="s">
        <v>14698</v>
      </c>
      <c r="V6813" s="18" t="s">
        <v>14699</v>
      </c>
      <c r="W6813" s="18" t="s">
        <v>14700</v>
      </c>
      <c r="X6813" s="18" t="s">
        <v>42</v>
      </c>
      <c r="Y6813" s="18" t="s">
        <v>12266</v>
      </c>
      <c r="Z6813" s="18" t="s">
        <v>13441</v>
      </c>
      <c r="AA6813" s="21" t="str">
        <f>HYPERLINK("https://www.ncbi.nlm.nih.gov/nuccore/DQ641699","NCBI Nucleotide")</f>
        <v>NCBI Nucleotide</v>
      </c>
    </row>
    <row r="6814" spans="1:27" x14ac:dyDescent="0.35">
      <c r="A6814">
        <v>1007727</v>
      </c>
      <c r="B6814">
        <v>6409</v>
      </c>
      <c r="C6814">
        <v>1</v>
      </c>
      <c r="D6814" s="17" t="s">
        <v>10507</v>
      </c>
      <c r="E6814" s="17"/>
      <c r="F6814" s="17" t="s">
        <v>10780</v>
      </c>
      <c r="G6814" s="17"/>
      <c r="H6814" s="17" t="s">
        <v>12908</v>
      </c>
      <c r="I6814" s="17"/>
      <c r="J6814" s="17" t="s">
        <v>14018</v>
      </c>
      <c r="K6814" s="17"/>
      <c r="L6814" s="17" t="s">
        <v>14019</v>
      </c>
      <c r="M6814" s="17"/>
      <c r="N6814" s="17" t="s">
        <v>14020</v>
      </c>
      <c r="O6814" s="17"/>
      <c r="P6814" s="17" t="s">
        <v>14040</v>
      </c>
      <c r="Q6814" s="17"/>
      <c r="R6814" s="25" t="str">
        <f>HYPERLINK("https://ictv.global/taxonomy/taxondetails?taxnode_id=202303272","Begomovirus luffae")</f>
        <v>Begomovirus luffae</v>
      </c>
      <c r="S6814" s="18" t="s">
        <v>30</v>
      </c>
      <c r="T6814" s="18" t="s">
        <v>14705</v>
      </c>
      <c r="U6814" s="18" t="s">
        <v>14706</v>
      </c>
      <c r="V6814" s="18" t="s">
        <v>14707</v>
      </c>
      <c r="W6814" s="18" t="s">
        <v>14708</v>
      </c>
      <c r="X6814" s="18" t="s">
        <v>42</v>
      </c>
      <c r="Y6814" s="18" t="s">
        <v>12266</v>
      </c>
      <c r="Z6814" s="18" t="s">
        <v>13441</v>
      </c>
      <c r="AA6814" s="21" t="str">
        <f>HYPERLINK("https://www.ncbi.nlm.nih.gov/nuccore/AF509739,AF509740","NCBI Nucleotide")</f>
        <v>NCBI Nucleotide</v>
      </c>
    </row>
    <row r="6815" spans="1:27" x14ac:dyDescent="0.35">
      <c r="A6815">
        <v>1007728</v>
      </c>
      <c r="B6815">
        <v>6410</v>
      </c>
      <c r="C6815">
        <v>1</v>
      </c>
      <c r="D6815" s="17" t="s">
        <v>10507</v>
      </c>
      <c r="E6815" s="17"/>
      <c r="F6815" s="17" t="s">
        <v>10780</v>
      </c>
      <c r="G6815" s="17"/>
      <c r="H6815" s="17" t="s">
        <v>12908</v>
      </c>
      <c r="I6815" s="17"/>
      <c r="J6815" s="17" t="s">
        <v>14018</v>
      </c>
      <c r="K6815" s="17"/>
      <c r="L6815" s="17" t="s">
        <v>14019</v>
      </c>
      <c r="M6815" s="17"/>
      <c r="N6815" s="17" t="s">
        <v>14020</v>
      </c>
      <c r="O6815" s="17"/>
      <c r="P6815" s="17" t="s">
        <v>14040</v>
      </c>
      <c r="Q6815" s="17"/>
      <c r="R6815" s="25" t="str">
        <f>HYPERLINK("https://ictv.global/taxonomy/taxondetails?taxnode_id=202305807","Begomovirus lycianthesis")</f>
        <v>Begomovirus lycianthesis</v>
      </c>
      <c r="S6815" s="18" t="s">
        <v>30</v>
      </c>
      <c r="T6815" s="18" t="s">
        <v>14709</v>
      </c>
      <c r="U6815" s="18" t="s">
        <v>14710</v>
      </c>
      <c r="V6815" s="18" t="s">
        <v>14711</v>
      </c>
      <c r="W6815" s="18" t="s">
        <v>14712</v>
      </c>
      <c r="X6815" s="18" t="s">
        <v>42</v>
      </c>
      <c r="Y6815" s="18" t="s">
        <v>12266</v>
      </c>
      <c r="Z6815" s="18" t="s">
        <v>13441</v>
      </c>
      <c r="AA6815" s="21" t="str">
        <f>HYPERLINK("https://www.ncbi.nlm.nih.gov/nuccore/KT582302,KT582303","NCBI Nucleotide")</f>
        <v>NCBI Nucleotide</v>
      </c>
    </row>
    <row r="6816" spans="1:27" x14ac:dyDescent="0.35">
      <c r="A6816">
        <v>1007731</v>
      </c>
      <c r="B6816">
        <v>6411</v>
      </c>
      <c r="C6816">
        <v>1</v>
      </c>
      <c r="D6816" s="17" t="s">
        <v>10507</v>
      </c>
      <c r="E6816" s="17"/>
      <c r="F6816" s="17" t="s">
        <v>10780</v>
      </c>
      <c r="G6816" s="17"/>
      <c r="H6816" s="17" t="s">
        <v>12908</v>
      </c>
      <c r="I6816" s="17"/>
      <c r="J6816" s="17" t="s">
        <v>14018</v>
      </c>
      <c r="K6816" s="17"/>
      <c r="L6816" s="17" t="s">
        <v>14019</v>
      </c>
      <c r="M6816" s="17"/>
      <c r="N6816" s="17" t="s">
        <v>14020</v>
      </c>
      <c r="O6816" s="17"/>
      <c r="P6816" s="17" t="s">
        <v>14040</v>
      </c>
      <c r="Q6816" s="17"/>
      <c r="R6816" s="25" t="str">
        <f>HYPERLINK("https://ictv.global/taxonomy/taxondetails?taxnode_id=202303273","Begomovirus macroptilaurei")</f>
        <v>Begomovirus macroptilaurei</v>
      </c>
      <c r="S6816" s="18" t="s">
        <v>30</v>
      </c>
      <c r="T6816" s="18" t="s">
        <v>14721</v>
      </c>
      <c r="U6816" s="18" t="s">
        <v>14722</v>
      </c>
      <c r="V6816" s="18" t="s">
        <v>14723</v>
      </c>
      <c r="W6816" s="18" t="s">
        <v>14724</v>
      </c>
      <c r="X6816" s="18" t="s">
        <v>42</v>
      </c>
      <c r="Y6816" s="18" t="s">
        <v>12266</v>
      </c>
      <c r="Z6816" s="18" t="s">
        <v>13441</v>
      </c>
      <c r="AA6816" s="21" t="str">
        <f>HYPERLINK("https://www.ncbi.nlm.nih.gov/nuccore/EU158096,EU158097","NCBI Nucleotide")</f>
        <v>NCBI Nucleotide</v>
      </c>
    </row>
    <row r="6817" spans="1:27" x14ac:dyDescent="0.35">
      <c r="A6817">
        <v>1007730</v>
      </c>
      <c r="B6817">
        <v>6412</v>
      </c>
      <c r="C6817">
        <v>1</v>
      </c>
      <c r="D6817" s="17" t="s">
        <v>10507</v>
      </c>
      <c r="E6817" s="17"/>
      <c r="F6817" s="17" t="s">
        <v>10780</v>
      </c>
      <c r="G6817" s="17"/>
      <c r="H6817" s="17" t="s">
        <v>12908</v>
      </c>
      <c r="I6817" s="17"/>
      <c r="J6817" s="17" t="s">
        <v>14018</v>
      </c>
      <c r="K6817" s="17"/>
      <c r="L6817" s="17" t="s">
        <v>14019</v>
      </c>
      <c r="M6817" s="17"/>
      <c r="N6817" s="17" t="s">
        <v>14020</v>
      </c>
      <c r="O6817" s="17"/>
      <c r="P6817" s="17" t="s">
        <v>14040</v>
      </c>
      <c r="Q6817" s="17"/>
      <c r="R6817" s="25" t="str">
        <f>HYPERLINK("https://ictv.global/taxonomy/taxondetails?taxnode_id=202305809","Begomovirus macroptilicommunis")</f>
        <v>Begomovirus macroptilicommunis</v>
      </c>
      <c r="S6817" s="18" t="s">
        <v>30</v>
      </c>
      <c r="T6817" s="18" t="s">
        <v>14717</v>
      </c>
      <c r="U6817" s="18" t="s">
        <v>14718</v>
      </c>
      <c r="V6817" s="18" t="s">
        <v>14719</v>
      </c>
      <c r="W6817" s="18" t="s">
        <v>14720</v>
      </c>
      <c r="X6817" s="18" t="s">
        <v>42</v>
      </c>
      <c r="Y6817" s="18" t="s">
        <v>12266</v>
      </c>
      <c r="Z6817" s="18" t="s">
        <v>13441</v>
      </c>
      <c r="AA6817" s="21" t="str">
        <f>HYPERLINK("https://www.ncbi.nlm.nih.gov/nuccore/KX691396,KX691412","NCBI Nucleotide")</f>
        <v>NCBI Nucleotide</v>
      </c>
    </row>
    <row r="6818" spans="1:27" x14ac:dyDescent="0.35">
      <c r="A6818">
        <v>1007733</v>
      </c>
      <c r="B6818">
        <v>6413</v>
      </c>
      <c r="C6818">
        <v>1</v>
      </c>
      <c r="D6818" s="17" t="s">
        <v>10507</v>
      </c>
      <c r="E6818" s="17"/>
      <c r="F6818" s="17" t="s">
        <v>10780</v>
      </c>
      <c r="G6818" s="17"/>
      <c r="H6818" s="17" t="s">
        <v>12908</v>
      </c>
      <c r="I6818" s="17"/>
      <c r="J6818" s="17" t="s">
        <v>14018</v>
      </c>
      <c r="K6818" s="17"/>
      <c r="L6818" s="17" t="s">
        <v>14019</v>
      </c>
      <c r="M6818" s="17"/>
      <c r="N6818" s="17" t="s">
        <v>14020</v>
      </c>
      <c r="O6818" s="17"/>
      <c r="P6818" s="17" t="s">
        <v>14040</v>
      </c>
      <c r="Q6818" s="17"/>
      <c r="R6818" s="25" t="str">
        <f>HYPERLINK("https://ictv.global/taxonomy/taxondetails?taxnode_id=202303275","Begomovirus macroptilifloridaense")</f>
        <v>Begomovirus macroptilifloridaense</v>
      </c>
      <c r="S6818" s="18" t="s">
        <v>30</v>
      </c>
      <c r="T6818" s="18" t="s">
        <v>14729</v>
      </c>
      <c r="U6818" s="18" t="s">
        <v>14730</v>
      </c>
      <c r="V6818" s="18" t="s">
        <v>14731</v>
      </c>
      <c r="W6818" s="18" t="s">
        <v>14732</v>
      </c>
      <c r="X6818" s="18" t="s">
        <v>42</v>
      </c>
      <c r="Y6818" s="18" t="s">
        <v>12266</v>
      </c>
      <c r="Z6818" s="18" t="s">
        <v>13441</v>
      </c>
      <c r="AA6818" s="21" t="str">
        <f>HYPERLINK("https://www.ncbi.nlm.nih.gov/nuccore/AY044135,AY044136","NCBI Nucleotide")</f>
        <v>NCBI Nucleotide</v>
      </c>
    </row>
    <row r="6819" spans="1:27" x14ac:dyDescent="0.35">
      <c r="A6819">
        <v>1007734</v>
      </c>
      <c r="B6819">
        <v>6414</v>
      </c>
      <c r="C6819">
        <v>1</v>
      </c>
      <c r="D6819" s="17" t="s">
        <v>10507</v>
      </c>
      <c r="E6819" s="17"/>
      <c r="F6819" s="17" t="s">
        <v>10780</v>
      </c>
      <c r="G6819" s="17"/>
      <c r="H6819" s="17" t="s">
        <v>12908</v>
      </c>
      <c r="I6819" s="17"/>
      <c r="J6819" s="17" t="s">
        <v>14018</v>
      </c>
      <c r="K6819" s="17"/>
      <c r="L6819" s="17" t="s">
        <v>14019</v>
      </c>
      <c r="M6819" s="17"/>
      <c r="N6819" s="17" t="s">
        <v>14020</v>
      </c>
      <c r="O6819" s="17"/>
      <c r="P6819" s="17" t="s">
        <v>14040</v>
      </c>
      <c r="Q6819" s="17"/>
      <c r="R6819" s="25" t="str">
        <f>HYPERLINK("https://ictv.global/taxonomy/taxondetails?taxnode_id=202303276","Begomovirus macroptilii")</f>
        <v>Begomovirus macroptilii</v>
      </c>
      <c r="S6819" s="18" t="s">
        <v>30</v>
      </c>
      <c r="T6819" s="18" t="s">
        <v>14733</v>
      </c>
      <c r="U6819" s="18" t="s">
        <v>14734</v>
      </c>
      <c r="V6819" s="18" t="s">
        <v>14735</v>
      </c>
      <c r="W6819" s="18" t="s">
        <v>14736</v>
      </c>
      <c r="X6819" s="18" t="s">
        <v>42</v>
      </c>
      <c r="Y6819" s="18" t="s">
        <v>12266</v>
      </c>
      <c r="Z6819" s="18" t="s">
        <v>13441</v>
      </c>
      <c r="AA6819" s="21" t="str">
        <f>HYPERLINK("https://www.ncbi.nlm.nih.gov/nuccore/EF585290,EF585291","NCBI Nucleotide")</f>
        <v>NCBI Nucleotide</v>
      </c>
    </row>
    <row r="6820" spans="1:27" x14ac:dyDescent="0.35">
      <c r="A6820">
        <v>1012545</v>
      </c>
      <c r="B6820">
        <v>6414</v>
      </c>
      <c r="C6820">
        <v>2</v>
      </c>
      <c r="D6820" s="17" t="s">
        <v>10507</v>
      </c>
      <c r="E6820" s="17"/>
      <c r="F6820" s="17" t="s">
        <v>10780</v>
      </c>
      <c r="G6820" s="17"/>
      <c r="H6820" s="17" t="s">
        <v>12908</v>
      </c>
      <c r="I6820" s="17"/>
      <c r="J6820" s="17" t="s">
        <v>14018</v>
      </c>
      <c r="K6820" s="17"/>
      <c r="L6820" s="17" t="s">
        <v>14019</v>
      </c>
      <c r="M6820" s="17"/>
      <c r="N6820" s="17" t="s">
        <v>14020</v>
      </c>
      <c r="O6820" s="17"/>
      <c r="P6820" s="17" t="s">
        <v>14040</v>
      </c>
      <c r="Q6820" s="17"/>
      <c r="R6820" s="25" t="str">
        <f>HYPERLINK("https://ictv.global/taxonomy/taxondetails?taxnode_id=202303276","Begomovirus macroptilii")</f>
        <v>Begomovirus macroptilii</v>
      </c>
      <c r="S6820" s="18" t="s">
        <v>8141</v>
      </c>
      <c r="T6820" s="18" t="s">
        <v>14733</v>
      </c>
      <c r="U6820" s="18" t="s">
        <v>14737</v>
      </c>
      <c r="V6820" s="18" t="s">
        <v>14738</v>
      </c>
      <c r="W6820" s="18" t="s">
        <v>49133</v>
      </c>
      <c r="X6820" s="18" t="s">
        <v>42</v>
      </c>
      <c r="Y6820" s="18" t="s">
        <v>12266</v>
      </c>
      <c r="Z6820" s="18" t="s">
        <v>13441</v>
      </c>
      <c r="AA6820" s="21" t="str">
        <f>HYPERLINK("https://www.ncbi.nlm.nih.gov/nuccore/AJ344452","NCBI Nucleotide")</f>
        <v>NCBI Nucleotide</v>
      </c>
    </row>
    <row r="6821" spans="1:27" x14ac:dyDescent="0.35">
      <c r="A6821">
        <v>1007735</v>
      </c>
      <c r="B6821">
        <v>6415</v>
      </c>
      <c r="C6821">
        <v>1</v>
      </c>
      <c r="D6821" s="17" t="s">
        <v>10507</v>
      </c>
      <c r="E6821" s="17"/>
      <c r="F6821" s="17" t="s">
        <v>10780</v>
      </c>
      <c r="G6821" s="17"/>
      <c r="H6821" s="17" t="s">
        <v>12908</v>
      </c>
      <c r="I6821" s="17"/>
      <c r="J6821" s="17" t="s">
        <v>14018</v>
      </c>
      <c r="K6821" s="17"/>
      <c r="L6821" s="17" t="s">
        <v>14019</v>
      </c>
      <c r="M6821" s="17"/>
      <c r="N6821" s="17" t="s">
        <v>14020</v>
      </c>
      <c r="O6821" s="17"/>
      <c r="P6821" s="17" t="s">
        <v>14040</v>
      </c>
      <c r="Q6821" s="17"/>
      <c r="R6821" s="25" t="str">
        <f>HYPERLINK("https://ictv.global/taxonomy/taxondetails?taxnode_id=202303277","Begomovirus macroptilimaculae")</f>
        <v>Begomovirus macroptilimaculae</v>
      </c>
      <c r="S6821" s="18" t="s">
        <v>30</v>
      </c>
      <c r="T6821" s="18" t="s">
        <v>14739</v>
      </c>
      <c r="U6821" s="18" t="s">
        <v>14740</v>
      </c>
      <c r="V6821" s="18" t="s">
        <v>14741</v>
      </c>
      <c r="W6821" s="18" t="s">
        <v>14742</v>
      </c>
      <c r="X6821" s="18" t="s">
        <v>42</v>
      </c>
      <c r="Y6821" s="18" t="s">
        <v>12266</v>
      </c>
      <c r="Z6821" s="18" t="s">
        <v>13441</v>
      </c>
      <c r="AA6821" s="21" t="str">
        <f>HYPERLINK("https://www.ncbi.nlm.nih.gov/nuccore/JN419013","NCBI Nucleotide")</f>
        <v>NCBI Nucleotide</v>
      </c>
    </row>
    <row r="6822" spans="1:27" x14ac:dyDescent="0.35">
      <c r="A6822">
        <v>1007729</v>
      </c>
      <c r="B6822">
        <v>6416</v>
      </c>
      <c r="C6822">
        <v>1</v>
      </c>
      <c r="D6822" s="17" t="s">
        <v>10507</v>
      </c>
      <c r="E6822" s="17"/>
      <c r="F6822" s="17" t="s">
        <v>10780</v>
      </c>
      <c r="G6822" s="17"/>
      <c r="H6822" s="17" t="s">
        <v>12908</v>
      </c>
      <c r="I6822" s="17"/>
      <c r="J6822" s="17" t="s">
        <v>14018</v>
      </c>
      <c r="K6822" s="17"/>
      <c r="L6822" s="17" t="s">
        <v>14019</v>
      </c>
      <c r="M6822" s="17"/>
      <c r="N6822" s="17" t="s">
        <v>14020</v>
      </c>
      <c r="O6822" s="17"/>
      <c r="P6822" s="17" t="s">
        <v>14040</v>
      </c>
      <c r="Q6822" s="17"/>
      <c r="R6822" s="25" t="str">
        <f>HYPERLINK("https://ictv.global/taxonomy/taxondetails?taxnode_id=202305808","Begomovirus macroptilimusivi")</f>
        <v>Begomovirus macroptilimusivi</v>
      </c>
      <c r="S6822" s="18" t="s">
        <v>30</v>
      </c>
      <c r="T6822" s="18" t="s">
        <v>14713</v>
      </c>
      <c r="U6822" s="18" t="s">
        <v>14714</v>
      </c>
      <c r="V6822" s="18" t="s">
        <v>14715</v>
      </c>
      <c r="W6822" s="18" t="s">
        <v>14716</v>
      </c>
      <c r="X6822" s="18" t="s">
        <v>42</v>
      </c>
      <c r="Y6822" s="18" t="s">
        <v>12266</v>
      </c>
      <c r="Z6822" s="18" t="s">
        <v>13441</v>
      </c>
      <c r="AA6822" s="21" t="str">
        <f>HYPERLINK("https://www.ncbi.nlm.nih.gov/nuccore/KX691400","NCBI Nucleotide")</f>
        <v>NCBI Nucleotide</v>
      </c>
    </row>
    <row r="6823" spans="1:27" x14ac:dyDescent="0.35">
      <c r="A6823">
        <v>1007732</v>
      </c>
      <c r="B6823">
        <v>6417</v>
      </c>
      <c r="C6823">
        <v>1</v>
      </c>
      <c r="D6823" s="17" t="s">
        <v>10507</v>
      </c>
      <c r="E6823" s="17"/>
      <c r="F6823" s="17" t="s">
        <v>10780</v>
      </c>
      <c r="G6823" s="17"/>
      <c r="H6823" s="17" t="s">
        <v>12908</v>
      </c>
      <c r="I6823" s="17"/>
      <c r="J6823" s="17" t="s">
        <v>14018</v>
      </c>
      <c r="K6823" s="17"/>
      <c r="L6823" s="17" t="s">
        <v>14019</v>
      </c>
      <c r="M6823" s="17"/>
      <c r="N6823" s="17" t="s">
        <v>14020</v>
      </c>
      <c r="O6823" s="17"/>
      <c r="P6823" s="17" t="s">
        <v>14040</v>
      </c>
      <c r="Q6823" s="17"/>
      <c r="R6823" s="25" t="str">
        <f>HYPERLINK("https://ictv.global/taxonomy/taxondetails?taxnode_id=202303274","Begomovirus macroptilipuertoricoense")</f>
        <v>Begomovirus macroptilipuertoricoense</v>
      </c>
      <c r="S6823" s="18" t="s">
        <v>30</v>
      </c>
      <c r="T6823" s="18" t="s">
        <v>14725</v>
      </c>
      <c r="U6823" s="18" t="s">
        <v>14726</v>
      </c>
      <c r="V6823" s="18" t="s">
        <v>14727</v>
      </c>
      <c r="W6823" s="18" t="s">
        <v>14728</v>
      </c>
      <c r="X6823" s="18" t="s">
        <v>42</v>
      </c>
      <c r="Y6823" s="18" t="s">
        <v>12266</v>
      </c>
      <c r="Z6823" s="18" t="s">
        <v>13441</v>
      </c>
      <c r="AA6823" s="21" t="str">
        <f>HYPERLINK("https://www.ncbi.nlm.nih.gov/nuccore/AY044133,AY044134","NCBI Nucleotide")</f>
        <v>NCBI Nucleotide</v>
      </c>
    </row>
    <row r="6824" spans="1:27" x14ac:dyDescent="0.35">
      <c r="A6824">
        <v>1007736</v>
      </c>
      <c r="B6824">
        <v>6418</v>
      </c>
      <c r="C6824">
        <v>1</v>
      </c>
      <c r="D6824" s="17" t="s">
        <v>10507</v>
      </c>
      <c r="E6824" s="17"/>
      <c r="F6824" s="17" t="s">
        <v>10780</v>
      </c>
      <c r="G6824" s="17"/>
      <c r="H6824" s="17" t="s">
        <v>12908</v>
      </c>
      <c r="I6824" s="17"/>
      <c r="J6824" s="17" t="s">
        <v>14018</v>
      </c>
      <c r="K6824" s="17"/>
      <c r="L6824" s="17" t="s">
        <v>14019</v>
      </c>
      <c r="M6824" s="17"/>
      <c r="N6824" s="17" t="s">
        <v>14020</v>
      </c>
      <c r="O6824" s="17"/>
      <c r="P6824" s="17" t="s">
        <v>14040</v>
      </c>
      <c r="Q6824" s="17"/>
      <c r="R6824" s="25" t="str">
        <f>HYPERLINK("https://ictv.global/taxonomy/taxondetails?taxnode_id=202303278","Begomovirus macroptilivenae")</f>
        <v>Begomovirus macroptilivenae</v>
      </c>
      <c r="S6824" s="18" t="s">
        <v>30</v>
      </c>
      <c r="T6824" s="18" t="s">
        <v>14743</v>
      </c>
      <c r="U6824" s="18" t="s">
        <v>14744</v>
      </c>
      <c r="V6824" s="18" t="s">
        <v>14745</v>
      </c>
      <c r="W6824" s="18" t="s">
        <v>14746</v>
      </c>
      <c r="X6824" s="18" t="s">
        <v>42</v>
      </c>
      <c r="Y6824" s="18" t="s">
        <v>12266</v>
      </c>
      <c r="Z6824" s="18" t="s">
        <v>13441</v>
      </c>
      <c r="AA6824" s="21" t="str">
        <f>HYPERLINK("https://www.ncbi.nlm.nih.gov/nuccore/JN419021","NCBI Nucleotide")</f>
        <v>NCBI Nucleotide</v>
      </c>
    </row>
    <row r="6825" spans="1:27" x14ac:dyDescent="0.35">
      <c r="A6825">
        <v>1007707</v>
      </c>
      <c r="B6825">
        <v>6419</v>
      </c>
      <c r="C6825">
        <v>1</v>
      </c>
      <c r="D6825" s="17" t="s">
        <v>10507</v>
      </c>
      <c r="E6825" s="17"/>
      <c r="F6825" s="17" t="s">
        <v>10780</v>
      </c>
      <c r="G6825" s="17"/>
      <c r="H6825" s="17" t="s">
        <v>12908</v>
      </c>
      <c r="I6825" s="17"/>
      <c r="J6825" s="17" t="s">
        <v>14018</v>
      </c>
      <c r="K6825" s="17"/>
      <c r="L6825" s="17" t="s">
        <v>14019</v>
      </c>
      <c r="M6825" s="17"/>
      <c r="N6825" s="17" t="s">
        <v>14020</v>
      </c>
      <c r="O6825" s="17"/>
      <c r="P6825" s="17" t="s">
        <v>14040</v>
      </c>
      <c r="Q6825" s="17"/>
      <c r="R6825" s="25" t="str">
        <f t="shared" ref="R6825:R6839" si="25">HYPERLINK("https://ictv.global/taxonomy/taxondetails?taxnode_id=202303258","Begomovirus macrotylomae")</f>
        <v>Begomovirus macrotylomae</v>
      </c>
      <c r="S6825" s="18" t="s">
        <v>30</v>
      </c>
      <c r="T6825" s="18" t="s">
        <v>14595</v>
      </c>
      <c r="U6825" s="18" t="s">
        <v>14596</v>
      </c>
      <c r="V6825" s="18" t="s">
        <v>14597</v>
      </c>
      <c r="W6825" s="18" t="s">
        <v>41528</v>
      </c>
      <c r="X6825" s="18" t="s">
        <v>42</v>
      </c>
      <c r="Y6825" s="18" t="s">
        <v>12266</v>
      </c>
      <c r="Z6825" s="18" t="s">
        <v>13441</v>
      </c>
      <c r="AA6825" s="21" t="str">
        <f>HYPERLINK("https://www.ncbi.nlm.nih.gov/nuccore/AJ542540","NCBI Nucleotide")</f>
        <v>NCBI Nucleotide</v>
      </c>
    </row>
    <row r="6826" spans="1:27" x14ac:dyDescent="0.35">
      <c r="A6826">
        <v>1012527</v>
      </c>
      <c r="B6826">
        <v>6419</v>
      </c>
      <c r="C6826">
        <v>2</v>
      </c>
      <c r="D6826" s="17" t="s">
        <v>10507</v>
      </c>
      <c r="E6826" s="17"/>
      <c r="F6826" s="17" t="s">
        <v>10780</v>
      </c>
      <c r="G6826" s="17"/>
      <c r="H6826" s="17" t="s">
        <v>12908</v>
      </c>
      <c r="I6826" s="17"/>
      <c r="J6826" s="17" t="s">
        <v>14018</v>
      </c>
      <c r="K6826" s="17"/>
      <c r="L6826" s="17" t="s">
        <v>14019</v>
      </c>
      <c r="M6826" s="17"/>
      <c r="N6826" s="17" t="s">
        <v>14020</v>
      </c>
      <c r="O6826" s="17"/>
      <c r="P6826" s="17" t="s">
        <v>14040</v>
      </c>
      <c r="Q6826" s="17"/>
      <c r="R6826" s="25" t="str">
        <f t="shared" si="25"/>
        <v>Begomovirus macrotylomae</v>
      </c>
      <c r="S6826" s="18" t="s">
        <v>8141</v>
      </c>
      <c r="T6826" s="18" t="s">
        <v>14595</v>
      </c>
      <c r="U6826" s="18" t="s">
        <v>14598</v>
      </c>
      <c r="V6826" s="18" t="s">
        <v>14599</v>
      </c>
      <c r="W6826" s="18" t="s">
        <v>49134</v>
      </c>
      <c r="X6826" s="18" t="s">
        <v>42</v>
      </c>
      <c r="Y6826" s="18" t="s">
        <v>12266</v>
      </c>
      <c r="Z6826" s="18" t="s">
        <v>13441</v>
      </c>
      <c r="AA6826" s="21" t="str">
        <f>HYPERLINK("https://www.ncbi.nlm.nih.gov/nuccore/JX416174","NCBI Nucleotide")</f>
        <v>NCBI Nucleotide</v>
      </c>
    </row>
    <row r="6827" spans="1:27" x14ac:dyDescent="0.35">
      <c r="A6827">
        <v>1012528</v>
      </c>
      <c r="B6827">
        <v>6419</v>
      </c>
      <c r="C6827">
        <v>3</v>
      </c>
      <c r="D6827" s="17" t="s">
        <v>10507</v>
      </c>
      <c r="E6827" s="17"/>
      <c r="F6827" s="17" t="s">
        <v>10780</v>
      </c>
      <c r="G6827" s="17"/>
      <c r="H6827" s="17" t="s">
        <v>12908</v>
      </c>
      <c r="I6827" s="17"/>
      <c r="J6827" s="17" t="s">
        <v>14018</v>
      </c>
      <c r="K6827" s="17"/>
      <c r="L6827" s="17" t="s">
        <v>14019</v>
      </c>
      <c r="M6827" s="17"/>
      <c r="N6827" s="17" t="s">
        <v>14020</v>
      </c>
      <c r="O6827" s="17"/>
      <c r="P6827" s="17" t="s">
        <v>14040</v>
      </c>
      <c r="Q6827" s="17"/>
      <c r="R6827" s="25" t="str">
        <f t="shared" si="25"/>
        <v>Begomovirus macrotylomae</v>
      </c>
      <c r="S6827" s="18" t="s">
        <v>8141</v>
      </c>
      <c r="T6827" s="18" t="s">
        <v>14595</v>
      </c>
      <c r="U6827" s="18" t="s">
        <v>14600</v>
      </c>
      <c r="V6827" s="18" t="s">
        <v>14601</v>
      </c>
      <c r="W6827" s="18" t="s">
        <v>49135</v>
      </c>
      <c r="X6827" s="18" t="s">
        <v>42</v>
      </c>
      <c r="Y6827" s="18" t="s">
        <v>12266</v>
      </c>
      <c r="Z6827" s="18" t="s">
        <v>13441</v>
      </c>
      <c r="AA6827" s="21" t="str">
        <f>HYPERLINK("https://www.ncbi.nlm.nih.gov/nuccore/AB178945","NCBI Nucleotide")</f>
        <v>NCBI Nucleotide</v>
      </c>
    </row>
    <row r="6828" spans="1:27" x14ac:dyDescent="0.35">
      <c r="A6828">
        <v>1012529</v>
      </c>
      <c r="B6828">
        <v>6419</v>
      </c>
      <c r="C6828">
        <v>4</v>
      </c>
      <c r="D6828" s="17" t="s">
        <v>10507</v>
      </c>
      <c r="E6828" s="17"/>
      <c r="F6828" s="17" t="s">
        <v>10780</v>
      </c>
      <c r="G6828" s="17"/>
      <c r="H6828" s="17" t="s">
        <v>12908</v>
      </c>
      <c r="I6828" s="17"/>
      <c r="J6828" s="17" t="s">
        <v>14018</v>
      </c>
      <c r="K6828" s="17"/>
      <c r="L6828" s="17" t="s">
        <v>14019</v>
      </c>
      <c r="M6828" s="17"/>
      <c r="N6828" s="17" t="s">
        <v>14020</v>
      </c>
      <c r="O6828" s="17"/>
      <c r="P6828" s="17" t="s">
        <v>14040</v>
      </c>
      <c r="Q6828" s="17"/>
      <c r="R6828" s="25" t="str">
        <f t="shared" si="25"/>
        <v>Begomovirus macrotylomae</v>
      </c>
      <c r="S6828" s="18" t="s">
        <v>8141</v>
      </c>
      <c r="T6828" s="18" t="s">
        <v>14595</v>
      </c>
      <c r="U6828" s="18" t="s">
        <v>14602</v>
      </c>
      <c r="V6828" s="18" t="s">
        <v>14539</v>
      </c>
      <c r="W6828" s="18" t="s">
        <v>49136</v>
      </c>
      <c r="X6828" s="18" t="s">
        <v>42</v>
      </c>
      <c r="Y6828" s="18" t="s">
        <v>12266</v>
      </c>
      <c r="Z6828" s="18" t="s">
        <v>13441</v>
      </c>
      <c r="AA6828" s="21" t="str">
        <f>HYPERLINK("https://www.ncbi.nlm.nih.gov/nuccore/AB079765","NCBI Nucleotide")</f>
        <v>NCBI Nucleotide</v>
      </c>
    </row>
    <row r="6829" spans="1:27" x14ac:dyDescent="0.35">
      <c r="A6829">
        <v>1012530</v>
      </c>
      <c r="B6829">
        <v>6419</v>
      </c>
      <c r="C6829">
        <v>5</v>
      </c>
      <c r="D6829" s="17" t="s">
        <v>10507</v>
      </c>
      <c r="E6829" s="17"/>
      <c r="F6829" s="17" t="s">
        <v>10780</v>
      </c>
      <c r="G6829" s="17"/>
      <c r="H6829" s="17" t="s">
        <v>12908</v>
      </c>
      <c r="I6829" s="17"/>
      <c r="J6829" s="17" t="s">
        <v>14018</v>
      </c>
      <c r="K6829" s="17"/>
      <c r="L6829" s="17" t="s">
        <v>14019</v>
      </c>
      <c r="M6829" s="17"/>
      <c r="N6829" s="17" t="s">
        <v>14020</v>
      </c>
      <c r="O6829" s="17"/>
      <c r="P6829" s="17" t="s">
        <v>14040</v>
      </c>
      <c r="Q6829" s="17"/>
      <c r="R6829" s="25" t="str">
        <f t="shared" si="25"/>
        <v>Begomovirus macrotylomae</v>
      </c>
      <c r="S6829" s="18" t="s">
        <v>8141</v>
      </c>
      <c r="T6829" s="18" t="s">
        <v>14595</v>
      </c>
      <c r="U6829" s="18" t="s">
        <v>14603</v>
      </c>
      <c r="V6829" s="18" t="s">
        <v>14604</v>
      </c>
      <c r="W6829" s="18" t="s">
        <v>49137</v>
      </c>
      <c r="X6829" s="18" t="s">
        <v>42</v>
      </c>
      <c r="Y6829" s="18" t="s">
        <v>12266</v>
      </c>
      <c r="Z6829" s="18" t="s">
        <v>13441</v>
      </c>
      <c r="AA6829" s="21" t="str">
        <f>HYPERLINK("https://www.ncbi.nlm.nih.gov/nuccore/AB287441","NCBI Nucleotide")</f>
        <v>NCBI Nucleotide</v>
      </c>
    </row>
    <row r="6830" spans="1:27" x14ac:dyDescent="0.35">
      <c r="A6830">
        <v>1012531</v>
      </c>
      <c r="B6830">
        <v>6419</v>
      </c>
      <c r="C6830">
        <v>6</v>
      </c>
      <c r="D6830" s="17" t="s">
        <v>10507</v>
      </c>
      <c r="E6830" s="17"/>
      <c r="F6830" s="17" t="s">
        <v>10780</v>
      </c>
      <c r="G6830" s="17"/>
      <c r="H6830" s="17" t="s">
        <v>12908</v>
      </c>
      <c r="I6830" s="17"/>
      <c r="J6830" s="17" t="s">
        <v>14018</v>
      </c>
      <c r="K6830" s="17"/>
      <c r="L6830" s="17" t="s">
        <v>14019</v>
      </c>
      <c r="M6830" s="17"/>
      <c r="N6830" s="17" t="s">
        <v>14020</v>
      </c>
      <c r="O6830" s="17"/>
      <c r="P6830" s="17" t="s">
        <v>14040</v>
      </c>
      <c r="Q6830" s="17"/>
      <c r="R6830" s="25" t="str">
        <f t="shared" si="25"/>
        <v>Begomovirus macrotylomae</v>
      </c>
      <c r="S6830" s="18" t="s">
        <v>8141</v>
      </c>
      <c r="T6830" s="18" t="s">
        <v>14595</v>
      </c>
      <c r="U6830" s="18" t="s">
        <v>14605</v>
      </c>
      <c r="V6830" s="18" t="s">
        <v>14606</v>
      </c>
      <c r="W6830" s="18" t="s">
        <v>49138</v>
      </c>
      <c r="X6830" s="18" t="s">
        <v>42</v>
      </c>
      <c r="Y6830" s="18" t="s">
        <v>12266</v>
      </c>
      <c r="Z6830" s="18" t="s">
        <v>13441</v>
      </c>
      <c r="AA6830" s="21" t="str">
        <f>HYPERLINK("https://www.ncbi.nlm.nih.gov/nuccore/AB287440","NCBI Nucleotide")</f>
        <v>NCBI Nucleotide</v>
      </c>
    </row>
    <row r="6831" spans="1:27" x14ac:dyDescent="0.35">
      <c r="A6831">
        <v>1012532</v>
      </c>
      <c r="B6831">
        <v>6419</v>
      </c>
      <c r="C6831">
        <v>7</v>
      </c>
      <c r="D6831" s="17" t="s">
        <v>10507</v>
      </c>
      <c r="E6831" s="17"/>
      <c r="F6831" s="17" t="s">
        <v>10780</v>
      </c>
      <c r="G6831" s="17"/>
      <c r="H6831" s="17" t="s">
        <v>12908</v>
      </c>
      <c r="I6831" s="17"/>
      <c r="J6831" s="17" t="s">
        <v>14018</v>
      </c>
      <c r="K6831" s="17"/>
      <c r="L6831" s="17" t="s">
        <v>14019</v>
      </c>
      <c r="M6831" s="17"/>
      <c r="N6831" s="17" t="s">
        <v>14020</v>
      </c>
      <c r="O6831" s="17"/>
      <c r="P6831" s="17" t="s">
        <v>14040</v>
      </c>
      <c r="Q6831" s="17"/>
      <c r="R6831" s="25" t="str">
        <f t="shared" si="25"/>
        <v>Begomovirus macrotylomae</v>
      </c>
      <c r="S6831" s="18" t="s">
        <v>8141</v>
      </c>
      <c r="T6831" s="18" t="s">
        <v>14595</v>
      </c>
      <c r="U6831" s="18" t="s">
        <v>14607</v>
      </c>
      <c r="V6831" s="18" t="s">
        <v>14608</v>
      </c>
      <c r="W6831" s="18" t="s">
        <v>49139</v>
      </c>
      <c r="X6831" s="18" t="s">
        <v>42</v>
      </c>
      <c r="Y6831" s="18" t="s">
        <v>12266</v>
      </c>
      <c r="Z6831" s="18" t="s">
        <v>13441</v>
      </c>
      <c r="AA6831" s="21" t="str">
        <f>HYPERLINK("https://www.ncbi.nlm.nih.gov/nuccore/AB287439","NCBI Nucleotide")</f>
        <v>NCBI Nucleotide</v>
      </c>
    </row>
    <row r="6832" spans="1:27" x14ac:dyDescent="0.35">
      <c r="A6832">
        <v>1012533</v>
      </c>
      <c r="B6832">
        <v>6419</v>
      </c>
      <c r="C6832">
        <v>8</v>
      </c>
      <c r="D6832" s="17" t="s">
        <v>10507</v>
      </c>
      <c r="E6832" s="17"/>
      <c r="F6832" s="17" t="s">
        <v>10780</v>
      </c>
      <c r="G6832" s="17"/>
      <c r="H6832" s="17" t="s">
        <v>12908</v>
      </c>
      <c r="I6832" s="17"/>
      <c r="J6832" s="17" t="s">
        <v>14018</v>
      </c>
      <c r="K6832" s="17"/>
      <c r="L6832" s="17" t="s">
        <v>14019</v>
      </c>
      <c r="M6832" s="17"/>
      <c r="N6832" s="17" t="s">
        <v>14020</v>
      </c>
      <c r="O6832" s="17"/>
      <c r="P6832" s="17" t="s">
        <v>14040</v>
      </c>
      <c r="Q6832" s="17"/>
      <c r="R6832" s="25" t="str">
        <f t="shared" si="25"/>
        <v>Begomovirus macrotylomae</v>
      </c>
      <c r="S6832" s="18" t="s">
        <v>8141</v>
      </c>
      <c r="T6832" s="18" t="s">
        <v>14595</v>
      </c>
      <c r="U6832" s="18" t="s">
        <v>14609</v>
      </c>
      <c r="V6832" s="18" t="s">
        <v>14610</v>
      </c>
      <c r="W6832" s="18" t="s">
        <v>49140</v>
      </c>
      <c r="X6832" s="18" t="s">
        <v>42</v>
      </c>
      <c r="Y6832" s="18" t="s">
        <v>12266</v>
      </c>
      <c r="Z6832" s="18" t="s">
        <v>13441</v>
      </c>
      <c r="AA6832" s="21" t="str">
        <f>HYPERLINK("https://www.ncbi.nlm.nih.gov/nuccore/AB182261","NCBI Nucleotide")</f>
        <v>NCBI Nucleotide</v>
      </c>
    </row>
    <row r="6833" spans="1:27" x14ac:dyDescent="0.35">
      <c r="A6833">
        <v>1012534</v>
      </c>
      <c r="B6833">
        <v>6419</v>
      </c>
      <c r="C6833">
        <v>9</v>
      </c>
      <c r="D6833" s="17" t="s">
        <v>10507</v>
      </c>
      <c r="E6833" s="17"/>
      <c r="F6833" s="17" t="s">
        <v>10780</v>
      </c>
      <c r="G6833" s="17"/>
      <c r="H6833" s="17" t="s">
        <v>12908</v>
      </c>
      <c r="I6833" s="17"/>
      <c r="J6833" s="17" t="s">
        <v>14018</v>
      </c>
      <c r="K6833" s="17"/>
      <c r="L6833" s="17" t="s">
        <v>14019</v>
      </c>
      <c r="M6833" s="17"/>
      <c r="N6833" s="17" t="s">
        <v>14020</v>
      </c>
      <c r="O6833" s="17"/>
      <c r="P6833" s="17" t="s">
        <v>14040</v>
      </c>
      <c r="Q6833" s="17"/>
      <c r="R6833" s="25" t="str">
        <f t="shared" si="25"/>
        <v>Begomovirus macrotylomae</v>
      </c>
      <c r="S6833" s="18" t="s">
        <v>8141</v>
      </c>
      <c r="T6833" s="18" t="s">
        <v>14595</v>
      </c>
      <c r="U6833" s="18" t="s">
        <v>14611</v>
      </c>
      <c r="V6833" s="18" t="s">
        <v>14612</v>
      </c>
      <c r="W6833" s="18" t="s">
        <v>49141</v>
      </c>
      <c r="X6833" s="18" t="s">
        <v>42</v>
      </c>
      <c r="Y6833" s="18" t="s">
        <v>12266</v>
      </c>
      <c r="Z6833" s="18" t="s">
        <v>13441</v>
      </c>
      <c r="AA6833" s="21" t="str">
        <f>HYPERLINK("https://www.ncbi.nlm.nih.gov/nuccore/HM164545","NCBI Nucleotide")</f>
        <v>NCBI Nucleotide</v>
      </c>
    </row>
    <row r="6834" spans="1:27" x14ac:dyDescent="0.35">
      <c r="A6834">
        <v>1012535</v>
      </c>
      <c r="B6834">
        <v>6419</v>
      </c>
      <c r="C6834">
        <v>10</v>
      </c>
      <c r="D6834" s="17" t="s">
        <v>10507</v>
      </c>
      <c r="E6834" s="17"/>
      <c r="F6834" s="17" t="s">
        <v>10780</v>
      </c>
      <c r="G6834" s="17"/>
      <c r="H6834" s="17" t="s">
        <v>12908</v>
      </c>
      <c r="I6834" s="17"/>
      <c r="J6834" s="17" t="s">
        <v>14018</v>
      </c>
      <c r="K6834" s="17"/>
      <c r="L6834" s="17" t="s">
        <v>14019</v>
      </c>
      <c r="M6834" s="17"/>
      <c r="N6834" s="17" t="s">
        <v>14020</v>
      </c>
      <c r="O6834" s="17"/>
      <c r="P6834" s="17" t="s">
        <v>14040</v>
      </c>
      <c r="Q6834" s="17"/>
      <c r="R6834" s="25" t="str">
        <f t="shared" si="25"/>
        <v>Begomovirus macrotylomae</v>
      </c>
      <c r="S6834" s="18" t="s">
        <v>8141</v>
      </c>
      <c r="T6834" s="18" t="s">
        <v>14595</v>
      </c>
      <c r="U6834" s="18" t="s">
        <v>14613</v>
      </c>
      <c r="V6834" s="18" t="s">
        <v>14614</v>
      </c>
      <c r="W6834" s="18" t="s">
        <v>49142</v>
      </c>
      <c r="X6834" s="18" t="s">
        <v>42</v>
      </c>
      <c r="Y6834" s="18" t="s">
        <v>12266</v>
      </c>
      <c r="Z6834" s="18" t="s">
        <v>13441</v>
      </c>
      <c r="AA6834" s="21" t="str">
        <f>HYPERLINK("https://www.ncbi.nlm.nih.gov/nuccore/AB178946","NCBI Nucleotide")</f>
        <v>NCBI Nucleotide</v>
      </c>
    </row>
    <row r="6835" spans="1:27" x14ac:dyDescent="0.35">
      <c r="A6835">
        <v>1012536</v>
      </c>
      <c r="B6835">
        <v>6419</v>
      </c>
      <c r="C6835">
        <v>11</v>
      </c>
      <c r="D6835" s="17" t="s">
        <v>10507</v>
      </c>
      <c r="E6835" s="17"/>
      <c r="F6835" s="17" t="s">
        <v>10780</v>
      </c>
      <c r="G6835" s="17"/>
      <c r="H6835" s="17" t="s">
        <v>12908</v>
      </c>
      <c r="I6835" s="17"/>
      <c r="J6835" s="17" t="s">
        <v>14018</v>
      </c>
      <c r="K6835" s="17"/>
      <c r="L6835" s="17" t="s">
        <v>14019</v>
      </c>
      <c r="M6835" s="17"/>
      <c r="N6835" s="17" t="s">
        <v>14020</v>
      </c>
      <c r="O6835" s="17"/>
      <c r="P6835" s="17" t="s">
        <v>14040</v>
      </c>
      <c r="Q6835" s="17"/>
      <c r="R6835" s="25" t="str">
        <f t="shared" si="25"/>
        <v>Begomovirus macrotylomae</v>
      </c>
      <c r="S6835" s="18" t="s">
        <v>8141</v>
      </c>
      <c r="T6835" s="18" t="s">
        <v>14595</v>
      </c>
      <c r="U6835" s="18" t="s">
        <v>14615</v>
      </c>
      <c r="V6835" s="18" t="s">
        <v>14616</v>
      </c>
      <c r="W6835" s="18" t="s">
        <v>49143</v>
      </c>
      <c r="X6835" s="18" t="s">
        <v>42</v>
      </c>
      <c r="Y6835" s="18" t="s">
        <v>12266</v>
      </c>
      <c r="Z6835" s="18" t="s">
        <v>13441</v>
      </c>
      <c r="AA6835" s="21" t="str">
        <f>HYPERLINK("https://www.ncbi.nlm.nih.gov/nuccore/AB055009","NCBI Nucleotide")</f>
        <v>NCBI Nucleotide</v>
      </c>
    </row>
    <row r="6836" spans="1:27" x14ac:dyDescent="0.35">
      <c r="A6836">
        <v>1012537</v>
      </c>
      <c r="B6836">
        <v>6419</v>
      </c>
      <c r="C6836">
        <v>12</v>
      </c>
      <c r="D6836" s="17" t="s">
        <v>10507</v>
      </c>
      <c r="E6836" s="17"/>
      <c r="F6836" s="17" t="s">
        <v>10780</v>
      </c>
      <c r="G6836" s="17"/>
      <c r="H6836" s="17" t="s">
        <v>12908</v>
      </c>
      <c r="I6836" s="17"/>
      <c r="J6836" s="17" t="s">
        <v>14018</v>
      </c>
      <c r="K6836" s="17"/>
      <c r="L6836" s="17" t="s">
        <v>14019</v>
      </c>
      <c r="M6836" s="17"/>
      <c r="N6836" s="17" t="s">
        <v>14020</v>
      </c>
      <c r="O6836" s="17"/>
      <c r="P6836" s="17" t="s">
        <v>14040</v>
      </c>
      <c r="Q6836" s="17"/>
      <c r="R6836" s="25" t="str">
        <f t="shared" si="25"/>
        <v>Begomovirus macrotylomae</v>
      </c>
      <c r="S6836" s="18" t="s">
        <v>8141</v>
      </c>
      <c r="T6836" s="18" t="s">
        <v>14595</v>
      </c>
      <c r="U6836" s="18" t="s">
        <v>14617</v>
      </c>
      <c r="V6836" s="18" t="s">
        <v>14618</v>
      </c>
      <c r="W6836" s="18" t="s">
        <v>49144</v>
      </c>
      <c r="X6836" s="18" t="s">
        <v>42</v>
      </c>
      <c r="Y6836" s="18" t="s">
        <v>12266</v>
      </c>
      <c r="Z6836" s="18" t="s">
        <v>13441</v>
      </c>
      <c r="AA6836" s="21" t="str">
        <f>HYPERLINK("https://www.ncbi.nlm.nih.gov/nuccore/AB236325","NCBI Nucleotide")</f>
        <v>NCBI Nucleotide</v>
      </c>
    </row>
    <row r="6837" spans="1:27" x14ac:dyDescent="0.35">
      <c r="A6837">
        <v>1012538</v>
      </c>
      <c r="B6837">
        <v>6419</v>
      </c>
      <c r="C6837">
        <v>13</v>
      </c>
      <c r="D6837" s="17" t="s">
        <v>10507</v>
      </c>
      <c r="E6837" s="17"/>
      <c r="F6837" s="17" t="s">
        <v>10780</v>
      </c>
      <c r="G6837" s="17"/>
      <c r="H6837" s="17" t="s">
        <v>12908</v>
      </c>
      <c r="I6837" s="17"/>
      <c r="J6837" s="17" t="s">
        <v>14018</v>
      </c>
      <c r="K6837" s="17"/>
      <c r="L6837" s="17" t="s">
        <v>14019</v>
      </c>
      <c r="M6837" s="17"/>
      <c r="N6837" s="17" t="s">
        <v>14020</v>
      </c>
      <c r="O6837" s="17"/>
      <c r="P6837" s="17" t="s">
        <v>14040</v>
      </c>
      <c r="Q6837" s="17"/>
      <c r="R6837" s="25" t="str">
        <f t="shared" si="25"/>
        <v>Begomovirus macrotylomae</v>
      </c>
      <c r="S6837" s="18" t="s">
        <v>8141</v>
      </c>
      <c r="T6837" s="18" t="s">
        <v>14595</v>
      </c>
      <c r="U6837" s="18" t="s">
        <v>14619</v>
      </c>
      <c r="V6837" s="18" t="s">
        <v>14620</v>
      </c>
      <c r="W6837" s="18" t="s">
        <v>49145</v>
      </c>
      <c r="X6837" s="18" t="s">
        <v>42</v>
      </c>
      <c r="Y6837" s="18" t="s">
        <v>12266</v>
      </c>
      <c r="Z6837" s="18" t="s">
        <v>13441</v>
      </c>
      <c r="AA6837" s="21" t="str">
        <f>HYPERLINK("https://www.ncbi.nlm.nih.gov/nuccore/AB079689","NCBI Nucleotide")</f>
        <v>NCBI Nucleotide</v>
      </c>
    </row>
    <row r="6838" spans="1:27" x14ac:dyDescent="0.35">
      <c r="A6838">
        <v>1012539</v>
      </c>
      <c r="B6838">
        <v>6419</v>
      </c>
      <c r="C6838">
        <v>14</v>
      </c>
      <c r="D6838" s="17" t="s">
        <v>10507</v>
      </c>
      <c r="E6838" s="17"/>
      <c r="F6838" s="17" t="s">
        <v>10780</v>
      </c>
      <c r="G6838" s="17"/>
      <c r="H6838" s="17" t="s">
        <v>12908</v>
      </c>
      <c r="I6838" s="17"/>
      <c r="J6838" s="17" t="s">
        <v>14018</v>
      </c>
      <c r="K6838" s="17"/>
      <c r="L6838" s="17" t="s">
        <v>14019</v>
      </c>
      <c r="M6838" s="17"/>
      <c r="N6838" s="17" t="s">
        <v>14020</v>
      </c>
      <c r="O6838" s="17"/>
      <c r="P6838" s="17" t="s">
        <v>14040</v>
      </c>
      <c r="Q6838" s="17"/>
      <c r="R6838" s="25" t="str">
        <f t="shared" si="25"/>
        <v>Begomovirus macrotylomae</v>
      </c>
      <c r="S6838" s="18" t="s">
        <v>8141</v>
      </c>
      <c r="T6838" s="18" t="s">
        <v>14595</v>
      </c>
      <c r="U6838" s="18" t="s">
        <v>14621</v>
      </c>
      <c r="V6838" s="18" t="s">
        <v>14622</v>
      </c>
      <c r="W6838" s="18" t="s">
        <v>49146</v>
      </c>
      <c r="X6838" s="18" t="s">
        <v>42</v>
      </c>
      <c r="Y6838" s="18" t="s">
        <v>12266</v>
      </c>
      <c r="Z6838" s="18" t="s">
        <v>13441</v>
      </c>
      <c r="AA6838" s="21" t="str">
        <f>HYPERLINK("https://www.ncbi.nlm.nih.gov/nuccore/FJ434943","NCBI Nucleotide")</f>
        <v>NCBI Nucleotide</v>
      </c>
    </row>
    <row r="6839" spans="1:27" x14ac:dyDescent="0.35">
      <c r="A6839">
        <v>1012540</v>
      </c>
      <c r="B6839">
        <v>6419</v>
      </c>
      <c r="C6839">
        <v>15</v>
      </c>
      <c r="D6839" s="17" t="s">
        <v>10507</v>
      </c>
      <c r="E6839" s="17"/>
      <c r="F6839" s="17" t="s">
        <v>10780</v>
      </c>
      <c r="G6839" s="17"/>
      <c r="H6839" s="17" t="s">
        <v>12908</v>
      </c>
      <c r="I6839" s="17"/>
      <c r="J6839" s="17" t="s">
        <v>14018</v>
      </c>
      <c r="K6839" s="17"/>
      <c r="L6839" s="17" t="s">
        <v>14019</v>
      </c>
      <c r="M6839" s="17"/>
      <c r="N6839" s="17" t="s">
        <v>14020</v>
      </c>
      <c r="O6839" s="17"/>
      <c r="P6839" s="17" t="s">
        <v>14040</v>
      </c>
      <c r="Q6839" s="17"/>
      <c r="R6839" s="25" t="str">
        <f t="shared" si="25"/>
        <v>Begomovirus macrotylomae</v>
      </c>
      <c r="S6839" s="18" t="s">
        <v>8141</v>
      </c>
      <c r="T6839" s="18" t="s">
        <v>14595</v>
      </c>
      <c r="U6839" s="18" t="s">
        <v>14623</v>
      </c>
      <c r="V6839" s="18" t="s">
        <v>14624</v>
      </c>
      <c r="W6839" s="18" t="s">
        <v>49147</v>
      </c>
      <c r="X6839" s="18" t="s">
        <v>42</v>
      </c>
      <c r="Y6839" s="18" t="s">
        <v>12266</v>
      </c>
      <c r="Z6839" s="18" t="s">
        <v>13441</v>
      </c>
      <c r="AA6839" s="21" t="str">
        <f>HYPERLINK("https://www.ncbi.nlm.nih.gov/nuccore/HM164547","NCBI Nucleotide")</f>
        <v>NCBI Nucleotide</v>
      </c>
    </row>
    <row r="6840" spans="1:27" x14ac:dyDescent="0.35">
      <c r="A6840">
        <v>1007739</v>
      </c>
      <c r="B6840">
        <v>6420</v>
      </c>
      <c r="C6840">
        <v>1</v>
      </c>
      <c r="D6840" s="17" t="s">
        <v>10507</v>
      </c>
      <c r="E6840" s="17"/>
      <c r="F6840" s="17" t="s">
        <v>10780</v>
      </c>
      <c r="G6840" s="17"/>
      <c r="H6840" s="17" t="s">
        <v>12908</v>
      </c>
      <c r="I6840" s="17"/>
      <c r="J6840" s="17" t="s">
        <v>14018</v>
      </c>
      <c r="K6840" s="17"/>
      <c r="L6840" s="17" t="s">
        <v>14019</v>
      </c>
      <c r="M6840" s="17"/>
      <c r="N6840" s="17" t="s">
        <v>14020</v>
      </c>
      <c r="O6840" s="17"/>
      <c r="P6840" s="17" t="s">
        <v>14040</v>
      </c>
      <c r="Q6840" s="17"/>
      <c r="R6840" s="25" t="str">
        <f>HYPERLINK("https://ictv.global/taxonomy/taxondetails?taxnode_id=202303280","Begomovirus malvastri")</f>
        <v>Begomovirus malvastri</v>
      </c>
      <c r="S6840" s="18" t="s">
        <v>30</v>
      </c>
      <c r="T6840" s="18" t="s">
        <v>14755</v>
      </c>
      <c r="U6840" s="18" t="s">
        <v>14756</v>
      </c>
      <c r="V6840" s="18" t="s">
        <v>14757</v>
      </c>
      <c r="W6840" s="18" t="s">
        <v>14758</v>
      </c>
      <c r="X6840" s="18" t="s">
        <v>42</v>
      </c>
      <c r="Y6840" s="18" t="s">
        <v>12266</v>
      </c>
      <c r="Z6840" s="18" t="s">
        <v>13441</v>
      </c>
      <c r="AA6840" s="21" t="str">
        <f>HYPERLINK("https://www.ncbi.nlm.nih.gov/nuccore/AJ971263","NCBI Nucleotide")</f>
        <v>NCBI Nucleotide</v>
      </c>
    </row>
    <row r="6841" spans="1:27" x14ac:dyDescent="0.35">
      <c r="A6841">
        <v>1007743</v>
      </c>
      <c r="B6841">
        <v>6421</v>
      </c>
      <c r="C6841">
        <v>1</v>
      </c>
      <c r="D6841" s="17" t="s">
        <v>10507</v>
      </c>
      <c r="E6841" s="17"/>
      <c r="F6841" s="17" t="s">
        <v>10780</v>
      </c>
      <c r="G6841" s="17"/>
      <c r="H6841" s="17" t="s">
        <v>12908</v>
      </c>
      <c r="I6841" s="17"/>
      <c r="J6841" s="17" t="s">
        <v>14018</v>
      </c>
      <c r="K6841" s="17"/>
      <c r="L6841" s="17" t="s">
        <v>14019</v>
      </c>
      <c r="M6841" s="17"/>
      <c r="N6841" s="17" t="s">
        <v>14020</v>
      </c>
      <c r="O6841" s="17"/>
      <c r="P6841" s="17" t="s">
        <v>14040</v>
      </c>
      <c r="Q6841" s="17"/>
      <c r="R6841" s="25" t="str">
        <f>HYPERLINK("https://ictv.global/taxonomy/taxondetails?taxnode_id=202305811","Begomovirus malvastrumcambodiaense")</f>
        <v>Begomovirus malvastrumcambodiaense</v>
      </c>
      <c r="S6841" s="18" t="s">
        <v>30</v>
      </c>
      <c r="T6841" s="18" t="s">
        <v>14770</v>
      </c>
      <c r="U6841" s="18" t="s">
        <v>14771</v>
      </c>
      <c r="V6841" s="18" t="s">
        <v>14772</v>
      </c>
      <c r="W6841" s="18" t="s">
        <v>14773</v>
      </c>
      <c r="X6841" s="18" t="s">
        <v>42</v>
      </c>
      <c r="Y6841" s="18" t="s">
        <v>12266</v>
      </c>
      <c r="Z6841" s="18" t="s">
        <v>13441</v>
      </c>
      <c r="AA6841" s="21" t="str">
        <f>HYPERLINK("https://www.ncbi.nlm.nih.gov/nuccore/KP188831","NCBI Nucleotide")</f>
        <v>NCBI Nucleotide</v>
      </c>
    </row>
    <row r="6842" spans="1:27" x14ac:dyDescent="0.35">
      <c r="A6842">
        <v>1007737</v>
      </c>
      <c r="B6842">
        <v>6422</v>
      </c>
      <c r="C6842">
        <v>1</v>
      </c>
      <c r="D6842" s="17" t="s">
        <v>10507</v>
      </c>
      <c r="E6842" s="17"/>
      <c r="F6842" s="17" t="s">
        <v>10780</v>
      </c>
      <c r="G6842" s="17"/>
      <c r="H6842" s="17" t="s">
        <v>12908</v>
      </c>
      <c r="I6842" s="17"/>
      <c r="J6842" s="17" t="s">
        <v>14018</v>
      </c>
      <c r="K6842" s="17"/>
      <c r="L6842" s="17" t="s">
        <v>14019</v>
      </c>
      <c r="M6842" s="17"/>
      <c r="N6842" s="17" t="s">
        <v>14020</v>
      </c>
      <c r="O6842" s="17"/>
      <c r="P6842" s="17" t="s">
        <v>14040</v>
      </c>
      <c r="Q6842" s="17"/>
      <c r="R6842" s="25" t="str">
        <f>HYPERLINK("https://ictv.global/taxonomy/taxondetails?taxnode_id=202305810","Begomovirus malvastrumflavi")</f>
        <v>Begomovirus malvastrumflavi</v>
      </c>
      <c r="S6842" s="18" t="s">
        <v>30</v>
      </c>
      <c r="T6842" s="18" t="s">
        <v>14747</v>
      </c>
      <c r="U6842" s="18" t="s">
        <v>14748</v>
      </c>
      <c r="V6842" s="18" t="s">
        <v>14749</v>
      </c>
      <c r="W6842" s="18" t="s">
        <v>14750</v>
      </c>
      <c r="X6842" s="18" t="s">
        <v>42</v>
      </c>
      <c r="Y6842" s="18" t="s">
        <v>12266</v>
      </c>
      <c r="Z6842" s="18" t="s">
        <v>13441</v>
      </c>
      <c r="AA6842" s="21" t="str">
        <f>HYPERLINK("https://www.ncbi.nlm.nih.gov/nuccore/KU058856,KU058860","NCBI Nucleotide")</f>
        <v>NCBI Nucleotide</v>
      </c>
    </row>
    <row r="6843" spans="1:27" x14ac:dyDescent="0.35">
      <c r="A6843">
        <v>1007740</v>
      </c>
      <c r="B6843">
        <v>6423</v>
      </c>
      <c r="C6843">
        <v>1</v>
      </c>
      <c r="D6843" s="17" t="s">
        <v>10507</v>
      </c>
      <c r="E6843" s="17"/>
      <c r="F6843" s="17" t="s">
        <v>10780</v>
      </c>
      <c r="G6843" s="17"/>
      <c r="H6843" s="17" t="s">
        <v>12908</v>
      </c>
      <c r="I6843" s="17"/>
      <c r="J6843" s="17" t="s">
        <v>14018</v>
      </c>
      <c r="K6843" s="17"/>
      <c r="L6843" s="17" t="s">
        <v>14019</v>
      </c>
      <c r="M6843" s="17"/>
      <c r="N6843" s="17" t="s">
        <v>14020</v>
      </c>
      <c r="O6843" s="17"/>
      <c r="P6843" s="17" t="s">
        <v>14040</v>
      </c>
      <c r="Q6843" s="17"/>
      <c r="R6843" s="25" t="str">
        <f>HYPERLINK("https://ictv.global/taxonomy/taxondetails?taxnode_id=202303281","Begomovirus malvastrumhelshirense")</f>
        <v>Begomovirus malvastrumhelshirense</v>
      </c>
      <c r="S6843" s="18" t="s">
        <v>30</v>
      </c>
      <c r="T6843" s="18" t="s">
        <v>14759</v>
      </c>
      <c r="U6843" s="18" t="s">
        <v>14760</v>
      </c>
      <c r="V6843" s="18" t="s">
        <v>14761</v>
      </c>
      <c r="W6843" s="18" t="s">
        <v>14762</v>
      </c>
      <c r="X6843" s="18" t="s">
        <v>42</v>
      </c>
      <c r="Y6843" s="18" t="s">
        <v>12266</v>
      </c>
      <c r="Z6843" s="18" t="s">
        <v>13441</v>
      </c>
      <c r="AA6843" s="21" t="str">
        <f>HYPERLINK("https://www.ncbi.nlm.nih.gov/nuccore/FJ600483","NCBI Nucleotide")</f>
        <v>NCBI Nucleotide</v>
      </c>
    </row>
    <row r="6844" spans="1:27" x14ac:dyDescent="0.35">
      <c r="A6844">
        <v>1007744</v>
      </c>
      <c r="B6844">
        <v>6424</v>
      </c>
      <c r="C6844">
        <v>1</v>
      </c>
      <c r="D6844" s="17" t="s">
        <v>10507</v>
      </c>
      <c r="E6844" s="17"/>
      <c r="F6844" s="17" t="s">
        <v>10780</v>
      </c>
      <c r="G6844" s="17"/>
      <c r="H6844" s="17" t="s">
        <v>12908</v>
      </c>
      <c r="I6844" s="17"/>
      <c r="J6844" s="17" t="s">
        <v>14018</v>
      </c>
      <c r="K6844" s="17"/>
      <c r="L6844" s="17" t="s">
        <v>14019</v>
      </c>
      <c r="M6844" s="17"/>
      <c r="N6844" s="17" t="s">
        <v>14020</v>
      </c>
      <c r="O6844" s="17"/>
      <c r="P6844" s="17" t="s">
        <v>14040</v>
      </c>
      <c r="Q6844" s="17"/>
      <c r="R6844" s="25" t="str">
        <f>HYPERLINK("https://ictv.global/taxonomy/taxondetails?taxnode_id=202303284","Begomovirus malvastrumhonghense")</f>
        <v>Begomovirus malvastrumhonghense</v>
      </c>
      <c r="S6844" s="18" t="s">
        <v>30</v>
      </c>
      <c r="T6844" s="18" t="s">
        <v>14774</v>
      </c>
      <c r="U6844" s="18" t="s">
        <v>14775</v>
      </c>
      <c r="V6844" s="18" t="s">
        <v>14776</v>
      </c>
      <c r="W6844" s="18" t="s">
        <v>14777</v>
      </c>
      <c r="X6844" s="18" t="s">
        <v>42</v>
      </c>
      <c r="Y6844" s="18" t="s">
        <v>12266</v>
      </c>
      <c r="Z6844" s="18" t="s">
        <v>13441</v>
      </c>
      <c r="AA6844" s="21" t="str">
        <f>HYPERLINK("https://www.ncbi.nlm.nih.gov/nuccore/FN552749","NCBI Nucleotide")</f>
        <v>NCBI Nucleotide</v>
      </c>
    </row>
    <row r="6845" spans="1:27" x14ac:dyDescent="0.35">
      <c r="A6845">
        <v>1007741</v>
      </c>
      <c r="B6845">
        <v>6425</v>
      </c>
      <c r="C6845">
        <v>1</v>
      </c>
      <c r="D6845" s="17" t="s">
        <v>10507</v>
      </c>
      <c r="E6845" s="17"/>
      <c r="F6845" s="17" t="s">
        <v>10780</v>
      </c>
      <c r="G6845" s="17"/>
      <c r="H6845" s="17" t="s">
        <v>12908</v>
      </c>
      <c r="I6845" s="17"/>
      <c r="J6845" s="17" t="s">
        <v>14018</v>
      </c>
      <c r="K6845" s="17"/>
      <c r="L6845" s="17" t="s">
        <v>14019</v>
      </c>
      <c r="M6845" s="17"/>
      <c r="N6845" s="17" t="s">
        <v>14020</v>
      </c>
      <c r="O6845" s="17"/>
      <c r="P6845" s="17" t="s">
        <v>14040</v>
      </c>
      <c r="Q6845" s="17"/>
      <c r="R6845" s="25" t="str">
        <f>HYPERLINK("https://ictv.global/taxonomy/taxondetails?taxnode_id=202303282","Begomovirus malvastrumjamaicaense")</f>
        <v>Begomovirus malvastrumjamaicaense</v>
      </c>
      <c r="S6845" s="18" t="s">
        <v>30</v>
      </c>
      <c r="T6845" s="18" t="s">
        <v>14763</v>
      </c>
      <c r="U6845" s="18" t="s">
        <v>14764</v>
      </c>
      <c r="V6845" s="18" t="s">
        <v>14765</v>
      </c>
      <c r="W6845" s="18" t="s">
        <v>50467</v>
      </c>
      <c r="X6845" s="18" t="s">
        <v>42</v>
      </c>
      <c r="Y6845" s="18" t="s">
        <v>12266</v>
      </c>
      <c r="Z6845" s="18" t="s">
        <v>13441</v>
      </c>
      <c r="AA6845" s="21" t="str">
        <f>HYPERLINK("https://www.ncbi.nlm.nih.gov/nuccore/FJ601917,FJ600484","NCBI Nucleotide")</f>
        <v>NCBI Nucleotide</v>
      </c>
    </row>
    <row r="6846" spans="1:27" x14ac:dyDescent="0.35">
      <c r="A6846">
        <v>1007745</v>
      </c>
      <c r="B6846">
        <v>6426</v>
      </c>
      <c r="C6846">
        <v>1</v>
      </c>
      <c r="D6846" s="17" t="s">
        <v>10507</v>
      </c>
      <c r="E6846" s="17"/>
      <c r="F6846" s="17" t="s">
        <v>10780</v>
      </c>
      <c r="G6846" s="17"/>
      <c r="H6846" s="17" t="s">
        <v>12908</v>
      </c>
      <c r="I6846" s="17"/>
      <c r="J6846" s="17" t="s">
        <v>14018</v>
      </c>
      <c r="K6846" s="17"/>
      <c r="L6846" s="17" t="s">
        <v>14019</v>
      </c>
      <c r="M6846" s="17"/>
      <c r="N6846" s="17" t="s">
        <v>14020</v>
      </c>
      <c r="O6846" s="17"/>
      <c r="P6846" s="17" t="s">
        <v>14040</v>
      </c>
      <c r="Q6846" s="17"/>
      <c r="R6846" s="25" t="str">
        <f>HYPERLINK("https://ictv.global/taxonomy/taxondetails?taxnode_id=202307525","Begomovirus malvastrumlahorense")</f>
        <v>Begomovirus malvastrumlahorense</v>
      </c>
      <c r="S6846" s="18" t="s">
        <v>30</v>
      </c>
      <c r="T6846" s="18" t="s">
        <v>14778</v>
      </c>
      <c r="U6846" s="18" t="s">
        <v>14779</v>
      </c>
      <c r="V6846" s="18" t="s">
        <v>14780</v>
      </c>
      <c r="W6846" s="18" t="s">
        <v>41529</v>
      </c>
      <c r="X6846" s="18" t="s">
        <v>42</v>
      </c>
      <c r="Y6846" s="18" t="s">
        <v>12266</v>
      </c>
      <c r="Z6846" s="18" t="s">
        <v>13441</v>
      </c>
      <c r="AA6846" s="21" t="str">
        <f>HYPERLINK("https://www.ncbi.nlm.nih.gov/nuccore/MF683828","NCBI Nucleotide")</f>
        <v>NCBI Nucleotide</v>
      </c>
    </row>
    <row r="6847" spans="1:27" x14ac:dyDescent="0.35">
      <c r="A6847">
        <v>1007742</v>
      </c>
      <c r="B6847">
        <v>6427</v>
      </c>
      <c r="C6847">
        <v>1</v>
      </c>
      <c r="D6847" s="17" t="s">
        <v>10507</v>
      </c>
      <c r="E6847" s="17"/>
      <c r="F6847" s="17" t="s">
        <v>10780</v>
      </c>
      <c r="G6847" s="17"/>
      <c r="H6847" s="17" t="s">
        <v>12908</v>
      </c>
      <c r="I6847" s="17"/>
      <c r="J6847" s="17" t="s">
        <v>14018</v>
      </c>
      <c r="K6847" s="17"/>
      <c r="L6847" s="17" t="s">
        <v>14019</v>
      </c>
      <c r="M6847" s="17"/>
      <c r="N6847" s="17" t="s">
        <v>14020</v>
      </c>
      <c r="O6847" s="17"/>
      <c r="P6847" s="17" t="s">
        <v>14040</v>
      </c>
      <c r="Q6847" s="17"/>
      <c r="R6847" s="25" t="str">
        <f>HYPERLINK("https://ictv.global/taxonomy/taxondetails?taxnode_id=202303283","Begomovirus malvastrummusivi")</f>
        <v>Begomovirus malvastrummusivi</v>
      </c>
      <c r="S6847" s="18" t="s">
        <v>30</v>
      </c>
      <c r="T6847" s="18" t="s">
        <v>14766</v>
      </c>
      <c r="U6847" s="18" t="s">
        <v>14767</v>
      </c>
      <c r="V6847" s="18" t="s">
        <v>14768</v>
      </c>
      <c r="W6847" s="18" t="s">
        <v>14769</v>
      </c>
      <c r="X6847" s="18" t="s">
        <v>42</v>
      </c>
      <c r="Y6847" s="18" t="s">
        <v>12266</v>
      </c>
      <c r="Z6847" s="18" t="s">
        <v>13441</v>
      </c>
      <c r="AA6847" s="21" t="str">
        <f>HYPERLINK("https://www.ncbi.nlm.nih.gov/nuccore/AM236755","NCBI Nucleotide")</f>
        <v>NCBI Nucleotide</v>
      </c>
    </row>
    <row r="6848" spans="1:27" x14ac:dyDescent="0.35">
      <c r="A6848">
        <v>1007738</v>
      </c>
      <c r="B6848">
        <v>6428</v>
      </c>
      <c r="C6848">
        <v>1</v>
      </c>
      <c r="D6848" s="17" t="s">
        <v>10507</v>
      </c>
      <c r="E6848" s="17"/>
      <c r="F6848" s="17" t="s">
        <v>10780</v>
      </c>
      <c r="G6848" s="17"/>
      <c r="H6848" s="17" t="s">
        <v>12908</v>
      </c>
      <c r="I6848" s="17"/>
      <c r="J6848" s="17" t="s">
        <v>14018</v>
      </c>
      <c r="K6848" s="17"/>
      <c r="L6848" s="17" t="s">
        <v>14019</v>
      </c>
      <c r="M6848" s="17"/>
      <c r="N6848" s="17" t="s">
        <v>14020</v>
      </c>
      <c r="O6848" s="17"/>
      <c r="P6848" s="17" t="s">
        <v>14040</v>
      </c>
      <c r="Q6848" s="17"/>
      <c r="R6848" s="25" t="str">
        <f>HYPERLINK("https://ictv.global/taxonomy/taxondetails?taxnode_id=202303279","Begomovirus malvastrumphilipinesense")</f>
        <v>Begomovirus malvastrumphilipinesense</v>
      </c>
      <c r="S6848" s="18" t="s">
        <v>30</v>
      </c>
      <c r="T6848" s="18" t="s">
        <v>14751</v>
      </c>
      <c r="U6848" s="18" t="s">
        <v>14752</v>
      </c>
      <c r="V6848" s="18" t="s">
        <v>14753</v>
      </c>
      <c r="W6848" s="18" t="s">
        <v>14754</v>
      </c>
      <c r="X6848" s="18" t="s">
        <v>42</v>
      </c>
      <c r="Y6848" s="18" t="s">
        <v>12266</v>
      </c>
      <c r="Z6848" s="18" t="s">
        <v>13441</v>
      </c>
      <c r="AA6848" s="21" t="str">
        <f>HYPERLINK("https://www.ncbi.nlm.nih.gov/nuccore/KC577540","NCBI Nucleotide")</f>
        <v>NCBI Nucleotide</v>
      </c>
    </row>
    <row r="6849" spans="1:27" x14ac:dyDescent="0.35">
      <c r="A6849">
        <v>1007747</v>
      </c>
      <c r="B6849">
        <v>6429</v>
      </c>
      <c r="C6849">
        <v>1</v>
      </c>
      <c r="D6849" s="17" t="s">
        <v>10507</v>
      </c>
      <c r="E6849" s="17"/>
      <c r="F6849" s="17" t="s">
        <v>10780</v>
      </c>
      <c r="G6849" s="17"/>
      <c r="H6849" s="17" t="s">
        <v>12908</v>
      </c>
      <c r="I6849" s="17"/>
      <c r="J6849" s="17" t="s">
        <v>14018</v>
      </c>
      <c r="K6849" s="17"/>
      <c r="L6849" s="17" t="s">
        <v>14019</v>
      </c>
      <c r="M6849" s="17"/>
      <c r="N6849" s="17" t="s">
        <v>14020</v>
      </c>
      <c r="O6849" s="17"/>
      <c r="P6849" s="17" t="s">
        <v>14040</v>
      </c>
      <c r="Q6849" s="17"/>
      <c r="R6849" s="25" t="str">
        <f>HYPERLINK("https://ictv.global/taxonomy/taxondetails?taxnode_id=202303286","Begomovirus malvastrumyunnanense")</f>
        <v>Begomovirus malvastrumyunnanense</v>
      </c>
      <c r="S6849" s="18" t="s">
        <v>30</v>
      </c>
      <c r="T6849" s="18" t="s">
        <v>14788</v>
      </c>
      <c r="U6849" s="18" t="s">
        <v>14789</v>
      </c>
      <c r="V6849" s="18" t="s">
        <v>14790</v>
      </c>
      <c r="W6849" s="18" t="s">
        <v>41530</v>
      </c>
      <c r="X6849" s="18" t="s">
        <v>42</v>
      </c>
      <c r="Y6849" s="18" t="s">
        <v>12266</v>
      </c>
      <c r="Z6849" s="18" t="s">
        <v>13441</v>
      </c>
      <c r="AA6849" s="21" t="str">
        <f>HYPERLINK("https://www.ncbi.nlm.nih.gov/nuccore/AJ786711","NCBI Nucleotide")</f>
        <v>NCBI Nucleotide</v>
      </c>
    </row>
    <row r="6850" spans="1:27" x14ac:dyDescent="0.35">
      <c r="A6850">
        <v>1007746</v>
      </c>
      <c r="B6850">
        <v>6430</v>
      </c>
      <c r="C6850">
        <v>1</v>
      </c>
      <c r="D6850" s="17" t="s">
        <v>10507</v>
      </c>
      <c r="E6850" s="17"/>
      <c r="F6850" s="17" t="s">
        <v>10780</v>
      </c>
      <c r="G6850" s="17"/>
      <c r="H6850" s="17" t="s">
        <v>12908</v>
      </c>
      <c r="I6850" s="17"/>
      <c r="J6850" s="17" t="s">
        <v>14018</v>
      </c>
      <c r="K6850" s="17"/>
      <c r="L6850" s="17" t="s">
        <v>14019</v>
      </c>
      <c r="M6850" s="17"/>
      <c r="N6850" s="17" t="s">
        <v>14020</v>
      </c>
      <c r="O6850" s="17"/>
      <c r="P6850" s="17" t="s">
        <v>14040</v>
      </c>
      <c r="Q6850" s="17"/>
      <c r="R6850" s="25" t="str">
        <f>HYPERLINK("https://ictv.global/taxonomy/taxondetails?taxnode_id=202303285","Begomovirus malvatrumvenae")</f>
        <v>Begomovirus malvatrumvenae</v>
      </c>
      <c r="S6850" s="18" t="s">
        <v>30</v>
      </c>
      <c r="T6850" s="18" t="s">
        <v>14781</v>
      </c>
      <c r="U6850" s="18" t="s">
        <v>14782</v>
      </c>
      <c r="V6850" s="18" t="s">
        <v>14783</v>
      </c>
      <c r="W6850" s="18" t="s">
        <v>41531</v>
      </c>
      <c r="X6850" s="18" t="s">
        <v>42</v>
      </c>
      <c r="Y6850" s="18" t="s">
        <v>12266</v>
      </c>
      <c r="Z6850" s="18" t="s">
        <v>13441</v>
      </c>
      <c r="AA6850" s="21" t="str">
        <f>HYPERLINK("https://www.ncbi.nlm.nih.gov/nuccore/AJ457824","NCBI Nucleotide")</f>
        <v>NCBI Nucleotide</v>
      </c>
    </row>
    <row r="6851" spans="1:27" x14ac:dyDescent="0.35">
      <c r="A6851">
        <v>1012546</v>
      </c>
      <c r="B6851">
        <v>6430</v>
      </c>
      <c r="C6851">
        <v>2</v>
      </c>
      <c r="D6851" s="17" t="s">
        <v>10507</v>
      </c>
      <c r="E6851" s="17"/>
      <c r="F6851" s="17" t="s">
        <v>10780</v>
      </c>
      <c r="G6851" s="17"/>
      <c r="H6851" s="17" t="s">
        <v>12908</v>
      </c>
      <c r="I6851" s="17"/>
      <c r="J6851" s="17" t="s">
        <v>14018</v>
      </c>
      <c r="K6851" s="17"/>
      <c r="L6851" s="17" t="s">
        <v>14019</v>
      </c>
      <c r="M6851" s="17"/>
      <c r="N6851" s="17" t="s">
        <v>14020</v>
      </c>
      <c r="O6851" s="17"/>
      <c r="P6851" s="17" t="s">
        <v>14040</v>
      </c>
      <c r="Q6851" s="17"/>
      <c r="R6851" s="25" t="str">
        <f>HYPERLINK("https://ictv.global/taxonomy/taxondetails?taxnode_id=202303285","Begomovirus malvatrumvenae")</f>
        <v>Begomovirus malvatrumvenae</v>
      </c>
      <c r="S6851" s="18" t="s">
        <v>8141</v>
      </c>
      <c r="T6851" s="18" t="s">
        <v>14781</v>
      </c>
      <c r="U6851" s="18" t="s">
        <v>14784</v>
      </c>
      <c r="V6851" s="18" t="s">
        <v>14785</v>
      </c>
      <c r="W6851" s="18" t="s">
        <v>49148</v>
      </c>
      <c r="X6851" s="18" t="s">
        <v>42</v>
      </c>
      <c r="Y6851" s="18" t="s">
        <v>12266</v>
      </c>
      <c r="Z6851" s="18" t="s">
        <v>13441</v>
      </c>
      <c r="AA6851" s="21" t="str">
        <f>HYPERLINK("https://www.ncbi.nlm.nih.gov/nuccore/FN386459","NCBI Nucleotide")</f>
        <v>NCBI Nucleotide</v>
      </c>
    </row>
    <row r="6852" spans="1:27" x14ac:dyDescent="0.35">
      <c r="A6852">
        <v>1012547</v>
      </c>
      <c r="B6852">
        <v>6430</v>
      </c>
      <c r="C6852">
        <v>3</v>
      </c>
      <c r="D6852" s="17" t="s">
        <v>10507</v>
      </c>
      <c r="E6852" s="17"/>
      <c r="F6852" s="17" t="s">
        <v>10780</v>
      </c>
      <c r="G6852" s="17"/>
      <c r="H6852" s="17" t="s">
        <v>12908</v>
      </c>
      <c r="I6852" s="17"/>
      <c r="J6852" s="17" t="s">
        <v>14018</v>
      </c>
      <c r="K6852" s="17"/>
      <c r="L6852" s="17" t="s">
        <v>14019</v>
      </c>
      <c r="M6852" s="17"/>
      <c r="N6852" s="17" t="s">
        <v>14020</v>
      </c>
      <c r="O6852" s="17"/>
      <c r="P6852" s="17" t="s">
        <v>14040</v>
      </c>
      <c r="Q6852" s="17"/>
      <c r="R6852" s="25" t="str">
        <f>HYPERLINK("https://ictv.global/taxonomy/taxondetails?taxnode_id=202303285","Begomovirus malvatrumvenae")</f>
        <v>Begomovirus malvatrumvenae</v>
      </c>
      <c r="S6852" s="18" t="s">
        <v>8141</v>
      </c>
      <c r="T6852" s="18" t="s">
        <v>14781</v>
      </c>
      <c r="U6852" s="18" t="s">
        <v>14786</v>
      </c>
      <c r="V6852" s="18" t="s">
        <v>14787</v>
      </c>
      <c r="W6852" s="18" t="s">
        <v>49149</v>
      </c>
      <c r="X6852" s="18" t="s">
        <v>42</v>
      </c>
      <c r="Y6852" s="18" t="s">
        <v>12266</v>
      </c>
      <c r="Z6852" s="18" t="s">
        <v>13441</v>
      </c>
      <c r="AA6852" s="21" t="str">
        <f>HYPERLINK("https://www.ncbi.nlm.nih.gov/nuccore/FN806779","NCBI Nucleotide")</f>
        <v>NCBI Nucleotide</v>
      </c>
    </row>
    <row r="6853" spans="1:27" x14ac:dyDescent="0.35">
      <c r="A6853">
        <v>1007591</v>
      </c>
      <c r="B6853">
        <v>6431</v>
      </c>
      <c r="C6853">
        <v>1</v>
      </c>
      <c r="D6853" s="17" t="s">
        <v>10507</v>
      </c>
      <c r="E6853" s="17"/>
      <c r="F6853" s="17" t="s">
        <v>10780</v>
      </c>
      <c r="G6853" s="17"/>
      <c r="H6853" s="17" t="s">
        <v>12908</v>
      </c>
      <c r="I6853" s="17"/>
      <c r="J6853" s="17" t="s">
        <v>14018</v>
      </c>
      <c r="K6853" s="17"/>
      <c r="L6853" s="17" t="s">
        <v>14019</v>
      </c>
      <c r="M6853" s="17"/>
      <c r="N6853" s="17" t="s">
        <v>14020</v>
      </c>
      <c r="O6853" s="17"/>
      <c r="P6853" s="17" t="s">
        <v>14040</v>
      </c>
      <c r="Q6853" s="17"/>
      <c r="R6853" s="25" t="str">
        <f>HYPERLINK("https://ictv.global/taxonomy/taxondetails?taxnode_id=202303179","Begomovirus manihotis")</f>
        <v>Begomovirus manihotis</v>
      </c>
      <c r="S6853" s="18" t="s">
        <v>30</v>
      </c>
      <c r="T6853" s="18" t="s">
        <v>14060</v>
      </c>
      <c r="U6853" s="18" t="s">
        <v>14061</v>
      </c>
      <c r="V6853" s="18" t="s">
        <v>14062</v>
      </c>
      <c r="W6853" s="18" t="s">
        <v>14063</v>
      </c>
      <c r="X6853" s="18" t="s">
        <v>42</v>
      </c>
      <c r="Y6853" s="18" t="s">
        <v>12266</v>
      </c>
      <c r="Z6853" s="18" t="s">
        <v>13441</v>
      </c>
      <c r="AA6853" s="21" t="str">
        <f>HYPERLINK("https://www.ncbi.nlm.nih.gov/nuccore/J02057,J02058","NCBI Nucleotide")</f>
        <v>NCBI Nucleotide</v>
      </c>
    </row>
    <row r="6854" spans="1:27" x14ac:dyDescent="0.35">
      <c r="A6854">
        <v>1007684</v>
      </c>
      <c r="B6854">
        <v>6432</v>
      </c>
      <c r="C6854">
        <v>1</v>
      </c>
      <c r="D6854" s="17" t="s">
        <v>10507</v>
      </c>
      <c r="E6854" s="17"/>
      <c r="F6854" s="17" t="s">
        <v>10780</v>
      </c>
      <c r="G6854" s="17"/>
      <c r="H6854" s="17" t="s">
        <v>12908</v>
      </c>
      <c r="I6854" s="17"/>
      <c r="J6854" s="17" t="s">
        <v>14018</v>
      </c>
      <c r="K6854" s="17"/>
      <c r="L6854" s="17" t="s">
        <v>14019</v>
      </c>
      <c r="M6854" s="17"/>
      <c r="N6854" s="17" t="s">
        <v>14020</v>
      </c>
      <c r="O6854" s="17"/>
      <c r="P6854" s="17" t="s">
        <v>14040</v>
      </c>
      <c r="Q6854" s="17"/>
      <c r="R6854" s="25" t="str">
        <f>HYPERLINK("https://ictv.global/taxonomy/taxondetails?taxnode_id=202303243","Begomovirus manihotisafricaense")</f>
        <v>Begomovirus manihotisafricaense</v>
      </c>
      <c r="S6854" s="18" t="s">
        <v>30</v>
      </c>
      <c r="T6854" s="18" t="s">
        <v>14501</v>
      </c>
      <c r="U6854" s="18" t="s">
        <v>14502</v>
      </c>
      <c r="V6854" s="18" t="s">
        <v>14503</v>
      </c>
      <c r="W6854" s="18" t="s">
        <v>14504</v>
      </c>
      <c r="X6854" s="18" t="s">
        <v>42</v>
      </c>
      <c r="Y6854" s="18" t="s">
        <v>12266</v>
      </c>
      <c r="Z6854" s="18" t="s">
        <v>13441</v>
      </c>
      <c r="AA6854" s="21" t="str">
        <f>HYPERLINK("https://www.ncbi.nlm.nih.gov/nuccore/AF126806,AF126807","NCBI Nucleotide")</f>
        <v>NCBI Nucleotide</v>
      </c>
    </row>
    <row r="6855" spans="1:27" x14ac:dyDescent="0.35">
      <c r="A6855">
        <v>1012519</v>
      </c>
      <c r="B6855">
        <v>6432</v>
      </c>
      <c r="C6855">
        <v>2</v>
      </c>
      <c r="D6855" s="17" t="s">
        <v>10507</v>
      </c>
      <c r="E6855" s="17"/>
      <c r="F6855" s="17" t="s">
        <v>10780</v>
      </c>
      <c r="G6855" s="17"/>
      <c r="H6855" s="17" t="s">
        <v>12908</v>
      </c>
      <c r="I6855" s="17"/>
      <c r="J6855" s="17" t="s">
        <v>14018</v>
      </c>
      <c r="K6855" s="17"/>
      <c r="L6855" s="17" t="s">
        <v>14019</v>
      </c>
      <c r="M6855" s="17"/>
      <c r="N6855" s="17" t="s">
        <v>14020</v>
      </c>
      <c r="O6855" s="17"/>
      <c r="P6855" s="17" t="s">
        <v>14040</v>
      </c>
      <c r="Q6855" s="17"/>
      <c r="R6855" s="25" t="str">
        <f>HYPERLINK("https://ictv.global/taxonomy/taxondetails?taxnode_id=202303243","Begomovirus manihotisafricaense")</f>
        <v>Begomovirus manihotisafricaense</v>
      </c>
      <c r="S6855" s="18" t="s">
        <v>8141</v>
      </c>
      <c r="T6855" s="18" t="s">
        <v>14501</v>
      </c>
      <c r="U6855" s="18" t="s">
        <v>14505</v>
      </c>
      <c r="V6855" s="18" t="s">
        <v>14506</v>
      </c>
      <c r="W6855" s="18" t="s">
        <v>49150</v>
      </c>
      <c r="X6855" s="18" t="s">
        <v>42</v>
      </c>
      <c r="Y6855" s="18" t="s">
        <v>12266</v>
      </c>
      <c r="Z6855" s="18" t="s">
        <v>13441</v>
      </c>
      <c r="AA6855" s="21" t="str">
        <f>HYPERLINK("https://www.ncbi.nlm.nih.gov/nuccore/AJ717542,AJ704949","NCBI Nucleotide")</f>
        <v>NCBI Nucleotide</v>
      </c>
    </row>
    <row r="6856" spans="1:27" x14ac:dyDescent="0.35">
      <c r="A6856">
        <v>1012520</v>
      </c>
      <c r="B6856">
        <v>6432</v>
      </c>
      <c r="C6856">
        <v>3</v>
      </c>
      <c r="D6856" s="17" t="s">
        <v>10507</v>
      </c>
      <c r="E6856" s="17"/>
      <c r="F6856" s="17" t="s">
        <v>10780</v>
      </c>
      <c r="G6856" s="17"/>
      <c r="H6856" s="17" t="s">
        <v>12908</v>
      </c>
      <c r="I6856" s="17"/>
      <c r="J6856" s="17" t="s">
        <v>14018</v>
      </c>
      <c r="K6856" s="17"/>
      <c r="L6856" s="17" t="s">
        <v>14019</v>
      </c>
      <c r="M6856" s="17"/>
      <c r="N6856" s="17" t="s">
        <v>14020</v>
      </c>
      <c r="O6856" s="17"/>
      <c r="P6856" s="17" t="s">
        <v>14040</v>
      </c>
      <c r="Q6856" s="17"/>
      <c r="R6856" s="25" t="str">
        <f>HYPERLINK("https://ictv.global/taxonomy/taxondetails?taxnode_id=202303243","Begomovirus manihotisafricaense")</f>
        <v>Begomovirus manihotisafricaense</v>
      </c>
      <c r="S6856" s="18" t="s">
        <v>8141</v>
      </c>
      <c r="T6856" s="18" t="s">
        <v>14501</v>
      </c>
      <c r="U6856" s="18" t="s">
        <v>14507</v>
      </c>
      <c r="V6856" s="18" t="s">
        <v>14508</v>
      </c>
      <c r="W6856" s="18" t="s">
        <v>49151</v>
      </c>
      <c r="X6856" s="18" t="s">
        <v>42</v>
      </c>
      <c r="Y6856" s="18" t="s">
        <v>12266</v>
      </c>
      <c r="Z6856" s="18" t="s">
        <v>13441</v>
      </c>
      <c r="AA6856" s="21" t="str">
        <f>HYPERLINK("https://www.ncbi.nlm.nih.gov/nuccore/JX473582","NCBI Nucleotide")</f>
        <v>NCBI Nucleotide</v>
      </c>
    </row>
    <row r="6857" spans="1:27" x14ac:dyDescent="0.35">
      <c r="A6857">
        <v>1012521</v>
      </c>
      <c r="B6857">
        <v>6432</v>
      </c>
      <c r="C6857">
        <v>4</v>
      </c>
      <c r="D6857" s="17" t="s">
        <v>10507</v>
      </c>
      <c r="E6857" s="17"/>
      <c r="F6857" s="17" t="s">
        <v>10780</v>
      </c>
      <c r="G6857" s="17"/>
      <c r="H6857" s="17" t="s">
        <v>12908</v>
      </c>
      <c r="I6857" s="17"/>
      <c r="J6857" s="17" t="s">
        <v>14018</v>
      </c>
      <c r="K6857" s="17"/>
      <c r="L6857" s="17" t="s">
        <v>14019</v>
      </c>
      <c r="M6857" s="17"/>
      <c r="N6857" s="17" t="s">
        <v>14020</v>
      </c>
      <c r="O6857" s="17"/>
      <c r="P6857" s="17" t="s">
        <v>14040</v>
      </c>
      <c r="Q6857" s="17"/>
      <c r="R6857" s="25" t="str">
        <f>HYPERLINK("https://ictv.global/taxonomy/taxondetails?taxnode_id=202303243","Begomovirus manihotisafricaense")</f>
        <v>Begomovirus manihotisafricaense</v>
      </c>
      <c r="S6857" s="18" t="s">
        <v>8141</v>
      </c>
      <c r="T6857" s="18" t="s">
        <v>14501</v>
      </c>
      <c r="U6857" s="18" t="s">
        <v>14509</v>
      </c>
      <c r="V6857" s="18" t="s">
        <v>14510</v>
      </c>
      <c r="W6857" s="18" t="s">
        <v>49152</v>
      </c>
      <c r="X6857" s="18" t="s">
        <v>42</v>
      </c>
      <c r="Y6857" s="18" t="s">
        <v>12266</v>
      </c>
      <c r="Z6857" s="18" t="s">
        <v>13441</v>
      </c>
      <c r="AA6857" s="21" t="str">
        <f>HYPERLINK("https://www.ncbi.nlm.nih.gov/nuccore/AY795983,AY795989","NCBI Nucleotide")</f>
        <v>NCBI Nucleotide</v>
      </c>
    </row>
    <row r="6858" spans="1:27" x14ac:dyDescent="0.35">
      <c r="A6858">
        <v>1007590</v>
      </c>
      <c r="B6858">
        <v>6433</v>
      </c>
      <c r="C6858">
        <v>1</v>
      </c>
      <c r="D6858" s="17" t="s">
        <v>10507</v>
      </c>
      <c r="E6858" s="17"/>
      <c r="F6858" s="17" t="s">
        <v>10780</v>
      </c>
      <c r="G6858" s="17"/>
      <c r="H6858" s="17" t="s">
        <v>12908</v>
      </c>
      <c r="I6858" s="17"/>
      <c r="J6858" s="17" t="s">
        <v>14018</v>
      </c>
      <c r="K6858" s="17"/>
      <c r="L6858" s="17" t="s">
        <v>14019</v>
      </c>
      <c r="M6858" s="17"/>
      <c r="N6858" s="17" t="s">
        <v>14020</v>
      </c>
      <c r="O6858" s="17"/>
      <c r="P6858" s="17" t="s">
        <v>14040</v>
      </c>
      <c r="Q6858" s="17"/>
      <c r="R6858" s="25" t="str">
        <f>HYPERLINK("https://ictv.global/taxonomy/taxondetails?taxnode_id=202306693","Begomovirus manihotisburkinafasoense")</f>
        <v>Begomovirus manihotisburkinafasoense</v>
      </c>
      <c r="S6858" s="18" t="s">
        <v>30</v>
      </c>
      <c r="T6858" s="18" t="s">
        <v>14056</v>
      </c>
      <c r="U6858" s="18" t="s">
        <v>14057</v>
      </c>
      <c r="V6858" s="18" t="s">
        <v>14058</v>
      </c>
      <c r="W6858" s="18" t="s">
        <v>14059</v>
      </c>
      <c r="X6858" s="18" t="s">
        <v>42</v>
      </c>
      <c r="Y6858" s="18" t="s">
        <v>12266</v>
      </c>
      <c r="Z6858" s="18" t="s">
        <v>13441</v>
      </c>
      <c r="AA6858" s="21" t="str">
        <f>HYPERLINK("https://www.ncbi.nlm.nih.gov/nuccore/HE616777,HE616778","NCBI Nucleotide")</f>
        <v>NCBI Nucleotide</v>
      </c>
    </row>
    <row r="6859" spans="1:27" x14ac:dyDescent="0.35">
      <c r="A6859">
        <v>1007681</v>
      </c>
      <c r="B6859">
        <v>6434</v>
      </c>
      <c r="C6859">
        <v>1</v>
      </c>
      <c r="D6859" s="17" t="s">
        <v>10507</v>
      </c>
      <c r="E6859" s="17"/>
      <c r="F6859" s="17" t="s">
        <v>10780</v>
      </c>
      <c r="G6859" s="17"/>
      <c r="H6859" s="17" t="s">
        <v>12908</v>
      </c>
      <c r="I6859" s="17"/>
      <c r="J6859" s="17" t="s">
        <v>14018</v>
      </c>
      <c r="K6859" s="17"/>
      <c r="L6859" s="17" t="s">
        <v>14019</v>
      </c>
      <c r="M6859" s="17"/>
      <c r="N6859" s="17" t="s">
        <v>14020</v>
      </c>
      <c r="O6859" s="17"/>
      <c r="P6859" s="17" t="s">
        <v>14040</v>
      </c>
      <c r="Q6859" s="17"/>
      <c r="R6859" s="25" t="str">
        <f>HYPERLINK("https://ictv.global/taxonomy/taxondetails?taxnode_id=202303240","Begomovirus manihotiscameroonense")</f>
        <v>Begomovirus manihotiscameroonense</v>
      </c>
      <c r="S6859" s="18" t="s">
        <v>30</v>
      </c>
      <c r="T6859" s="18" t="s">
        <v>14491</v>
      </c>
      <c r="U6859" s="18" t="s">
        <v>14492</v>
      </c>
      <c r="V6859" s="18" t="s">
        <v>14062</v>
      </c>
      <c r="W6859" s="18" t="s">
        <v>14493</v>
      </c>
      <c r="X6859" s="18" t="s">
        <v>42</v>
      </c>
      <c r="Y6859" s="18" t="s">
        <v>12266</v>
      </c>
      <c r="Z6859" s="18" t="s">
        <v>13441</v>
      </c>
      <c r="AA6859" s="21" t="str">
        <f>HYPERLINK("https://www.ncbi.nlm.nih.gov/nuccore/AF112354,AF112355","NCBI Nucleotide")</f>
        <v>NCBI Nucleotide</v>
      </c>
    </row>
    <row r="6860" spans="1:27" x14ac:dyDescent="0.35">
      <c r="A6860">
        <v>1007710</v>
      </c>
      <c r="B6860">
        <v>6435</v>
      </c>
      <c r="C6860">
        <v>1</v>
      </c>
      <c r="D6860" s="17" t="s">
        <v>10507</v>
      </c>
      <c r="E6860" s="17"/>
      <c r="F6860" s="17" t="s">
        <v>10780</v>
      </c>
      <c r="G6860" s="17"/>
      <c r="H6860" s="17" t="s">
        <v>12908</v>
      </c>
      <c r="I6860" s="17"/>
      <c r="J6860" s="17" t="s">
        <v>14018</v>
      </c>
      <c r="K6860" s="17"/>
      <c r="L6860" s="17" t="s">
        <v>14019</v>
      </c>
      <c r="M6860" s="17"/>
      <c r="N6860" s="17" t="s">
        <v>14020</v>
      </c>
      <c r="O6860" s="17"/>
      <c r="P6860" s="17" t="s">
        <v>14040</v>
      </c>
      <c r="Q6860" s="17"/>
      <c r="R6860" s="25" t="str">
        <f>HYPERLINK("https://ictv.global/taxonomy/taxondetails?taxnode_id=202303260","Begomovirus manihotisindianense")</f>
        <v>Begomovirus manihotisindianense</v>
      </c>
      <c r="S6860" s="18" t="s">
        <v>30</v>
      </c>
      <c r="T6860" s="18" t="s">
        <v>14632</v>
      </c>
      <c r="U6860" s="18" t="s">
        <v>14633</v>
      </c>
      <c r="V6860" s="18" t="s">
        <v>14634</v>
      </c>
      <c r="W6860" s="18" t="s">
        <v>14635</v>
      </c>
      <c r="X6860" s="18" t="s">
        <v>42</v>
      </c>
      <c r="Y6860" s="18" t="s">
        <v>12266</v>
      </c>
      <c r="Z6860" s="18" t="s">
        <v>13441</v>
      </c>
      <c r="AA6860" s="21" t="str">
        <f>HYPERLINK("https://www.ncbi.nlm.nih.gov/nuccore/Z24758,Z24759","NCBI Nucleotide")</f>
        <v>NCBI Nucleotide</v>
      </c>
    </row>
    <row r="6861" spans="1:27" x14ac:dyDescent="0.35">
      <c r="A6861">
        <v>1012541</v>
      </c>
      <c r="B6861">
        <v>6435</v>
      </c>
      <c r="C6861">
        <v>2</v>
      </c>
      <c r="D6861" s="17" t="s">
        <v>10507</v>
      </c>
      <c r="E6861" s="17"/>
      <c r="F6861" s="17" t="s">
        <v>10780</v>
      </c>
      <c r="G6861" s="17"/>
      <c r="H6861" s="17" t="s">
        <v>12908</v>
      </c>
      <c r="I6861" s="17"/>
      <c r="J6861" s="17" t="s">
        <v>14018</v>
      </c>
      <c r="K6861" s="17"/>
      <c r="L6861" s="17" t="s">
        <v>14019</v>
      </c>
      <c r="M6861" s="17"/>
      <c r="N6861" s="17" t="s">
        <v>14020</v>
      </c>
      <c r="O6861" s="17"/>
      <c r="P6861" s="17" t="s">
        <v>14040</v>
      </c>
      <c r="Q6861" s="17"/>
      <c r="R6861" s="25" t="str">
        <f>HYPERLINK("https://ictv.global/taxonomy/taxondetails?taxnode_id=202303260","Begomovirus manihotisindianense")</f>
        <v>Begomovirus manihotisindianense</v>
      </c>
      <c r="S6861" s="18" t="s">
        <v>8141</v>
      </c>
      <c r="T6861" s="18" t="s">
        <v>14632</v>
      </c>
      <c r="U6861" s="18" t="s">
        <v>14636</v>
      </c>
      <c r="V6861" s="18" t="s">
        <v>14637</v>
      </c>
      <c r="W6861" s="18" t="s">
        <v>49153</v>
      </c>
      <c r="X6861" s="18" t="s">
        <v>42</v>
      </c>
      <c r="Y6861" s="18" t="s">
        <v>12266</v>
      </c>
      <c r="Z6861" s="18" t="s">
        <v>13441</v>
      </c>
      <c r="AA6861" s="21" t="str">
        <f>HYPERLINK("https://www.ncbi.nlm.nih.gov/nuccore/JF496657,JF496656","NCBI Nucleotide")</f>
        <v>NCBI Nucleotide</v>
      </c>
    </row>
    <row r="6862" spans="1:27" x14ac:dyDescent="0.35">
      <c r="A6862">
        <v>1012542</v>
      </c>
      <c r="B6862">
        <v>6435</v>
      </c>
      <c r="C6862">
        <v>3</v>
      </c>
      <c r="D6862" s="17" t="s">
        <v>10507</v>
      </c>
      <c r="E6862" s="17"/>
      <c r="F6862" s="17" t="s">
        <v>10780</v>
      </c>
      <c r="G6862" s="17"/>
      <c r="H6862" s="17" t="s">
        <v>12908</v>
      </c>
      <c r="I6862" s="17"/>
      <c r="J6862" s="17" t="s">
        <v>14018</v>
      </c>
      <c r="K6862" s="17"/>
      <c r="L6862" s="17" t="s">
        <v>14019</v>
      </c>
      <c r="M6862" s="17"/>
      <c r="N6862" s="17" t="s">
        <v>14020</v>
      </c>
      <c r="O6862" s="17"/>
      <c r="P6862" s="17" t="s">
        <v>14040</v>
      </c>
      <c r="Q6862" s="17"/>
      <c r="R6862" s="25" t="str">
        <f>HYPERLINK("https://ictv.global/taxonomy/taxondetails?taxnode_id=202303260","Begomovirus manihotisindianense")</f>
        <v>Begomovirus manihotisindianense</v>
      </c>
      <c r="S6862" s="18" t="s">
        <v>8141</v>
      </c>
      <c r="T6862" s="18" t="s">
        <v>14632</v>
      </c>
      <c r="U6862" s="18" t="s">
        <v>14638</v>
      </c>
      <c r="V6862" s="18" t="s">
        <v>14639</v>
      </c>
      <c r="W6862" s="18" t="s">
        <v>49154</v>
      </c>
      <c r="X6862" s="18" t="s">
        <v>42</v>
      </c>
      <c r="Y6862" s="18" t="s">
        <v>12266</v>
      </c>
      <c r="Z6862" s="18" t="s">
        <v>13441</v>
      </c>
      <c r="AA6862" s="21" t="str">
        <f>HYPERLINK("https://www.ncbi.nlm.nih.gov/nuccore/GQ924760,GQ924761","NCBI Nucleotide")</f>
        <v>NCBI Nucleotide</v>
      </c>
    </row>
    <row r="6863" spans="1:27" x14ac:dyDescent="0.35">
      <c r="A6863">
        <v>1012543</v>
      </c>
      <c r="B6863">
        <v>6435</v>
      </c>
      <c r="C6863">
        <v>4</v>
      </c>
      <c r="D6863" s="17" t="s">
        <v>10507</v>
      </c>
      <c r="E6863" s="17"/>
      <c r="F6863" s="17" t="s">
        <v>10780</v>
      </c>
      <c r="G6863" s="17"/>
      <c r="H6863" s="17" t="s">
        <v>12908</v>
      </c>
      <c r="I6863" s="17"/>
      <c r="J6863" s="17" t="s">
        <v>14018</v>
      </c>
      <c r="K6863" s="17"/>
      <c r="L6863" s="17" t="s">
        <v>14019</v>
      </c>
      <c r="M6863" s="17"/>
      <c r="N6863" s="17" t="s">
        <v>14020</v>
      </c>
      <c r="O6863" s="17"/>
      <c r="P6863" s="17" t="s">
        <v>14040</v>
      </c>
      <c r="Q6863" s="17"/>
      <c r="R6863" s="25" t="str">
        <f>HYPERLINK("https://ictv.global/taxonomy/taxondetails?taxnode_id=202303260","Begomovirus manihotisindianense")</f>
        <v>Begomovirus manihotisindianense</v>
      </c>
      <c r="S6863" s="18" t="s">
        <v>8141</v>
      </c>
      <c r="T6863" s="18" t="s">
        <v>14632</v>
      </c>
      <c r="U6863" s="18" t="s">
        <v>14640</v>
      </c>
      <c r="V6863" s="18" t="s">
        <v>14641</v>
      </c>
      <c r="W6863" s="18" t="s">
        <v>49155</v>
      </c>
      <c r="X6863" s="18" t="s">
        <v>42</v>
      </c>
      <c r="Y6863" s="18" t="s">
        <v>12266</v>
      </c>
      <c r="Z6863" s="18" t="s">
        <v>13441</v>
      </c>
      <c r="AA6863" s="21" t="str">
        <f>HYPERLINK("https://www.ncbi.nlm.nih.gov/nuccore/AJ575819","NCBI Nucleotide")</f>
        <v>NCBI Nucleotide</v>
      </c>
    </row>
    <row r="6864" spans="1:27" x14ac:dyDescent="0.35">
      <c r="A6864">
        <v>1007682</v>
      </c>
      <c r="B6864">
        <v>6436</v>
      </c>
      <c r="C6864">
        <v>1</v>
      </c>
      <c r="D6864" s="17" t="s">
        <v>10507</v>
      </c>
      <c r="E6864" s="17"/>
      <c r="F6864" s="17" t="s">
        <v>10780</v>
      </c>
      <c r="G6864" s="17"/>
      <c r="H6864" s="17" t="s">
        <v>12908</v>
      </c>
      <c r="I6864" s="17"/>
      <c r="J6864" s="17" t="s">
        <v>14018</v>
      </c>
      <c r="K6864" s="17"/>
      <c r="L6864" s="17" t="s">
        <v>14019</v>
      </c>
      <c r="M6864" s="17"/>
      <c r="N6864" s="17" t="s">
        <v>14020</v>
      </c>
      <c r="O6864" s="17"/>
      <c r="P6864" s="17" t="s">
        <v>14040</v>
      </c>
      <c r="Q6864" s="17"/>
      <c r="R6864" s="25" t="str">
        <f>HYPERLINK("https://ictv.global/taxonomy/taxondetails?taxnode_id=202303241","Begomovirus manihotiskenyaense")</f>
        <v>Begomovirus manihotiskenyaense</v>
      </c>
      <c r="S6864" s="18" t="s">
        <v>30</v>
      </c>
      <c r="T6864" s="18" t="s">
        <v>14494</v>
      </c>
      <c r="U6864" s="18" t="s">
        <v>14495</v>
      </c>
      <c r="V6864" s="18" t="s">
        <v>14496</v>
      </c>
      <c r="W6864" s="18" t="s">
        <v>50468</v>
      </c>
      <c r="X6864" s="18" t="s">
        <v>42</v>
      </c>
      <c r="Y6864" s="18" t="s">
        <v>12266</v>
      </c>
      <c r="Z6864" s="18" t="s">
        <v>13441</v>
      </c>
      <c r="AA6864" s="21" t="str">
        <f>HYPERLINK("https://www.ncbi.nlm.nih.gov/nuccore/AJ717572,AJ704971","NCBI Nucleotide")</f>
        <v>NCBI Nucleotide</v>
      </c>
    </row>
    <row r="6865" spans="1:27" x14ac:dyDescent="0.35">
      <c r="A6865">
        <v>1007625</v>
      </c>
      <c r="B6865">
        <v>6437</v>
      </c>
      <c r="C6865">
        <v>1</v>
      </c>
      <c r="D6865" s="17" t="s">
        <v>10507</v>
      </c>
      <c r="E6865" s="17"/>
      <c r="F6865" s="17" t="s">
        <v>10780</v>
      </c>
      <c r="G6865" s="17"/>
      <c r="H6865" s="17" t="s">
        <v>12908</v>
      </c>
      <c r="I6865" s="17"/>
      <c r="J6865" s="17" t="s">
        <v>14018</v>
      </c>
      <c r="K6865" s="17"/>
      <c r="L6865" s="17" t="s">
        <v>14019</v>
      </c>
      <c r="M6865" s="17"/>
      <c r="N6865" s="17" t="s">
        <v>14020</v>
      </c>
      <c r="O6865" s="17"/>
      <c r="P6865" s="17" t="s">
        <v>14040</v>
      </c>
      <c r="Q6865" s="17"/>
      <c r="R6865" s="25" t="str">
        <f>HYPERLINK("https://ictv.global/taxonomy/taxondetails?taxnode_id=202303202","Begomovirus manihotismadagascarense")</f>
        <v>Begomovirus manihotismadagascarense</v>
      </c>
      <c r="S6865" s="18" t="s">
        <v>30</v>
      </c>
      <c r="T6865" s="18" t="s">
        <v>14220</v>
      </c>
      <c r="U6865" s="18" t="s">
        <v>14221</v>
      </c>
      <c r="V6865" s="18" t="s">
        <v>14222</v>
      </c>
      <c r="W6865" s="18" t="s">
        <v>14223</v>
      </c>
      <c r="X6865" s="18" t="s">
        <v>42</v>
      </c>
      <c r="Y6865" s="18" t="s">
        <v>12266</v>
      </c>
      <c r="Z6865" s="18" t="s">
        <v>13441</v>
      </c>
      <c r="AA6865" s="21" t="str">
        <f>HYPERLINK("https://www.ncbi.nlm.nih.gov/nuccore/HE617299,HE617300","NCBI Nucleotide")</f>
        <v>NCBI Nucleotide</v>
      </c>
    </row>
    <row r="6866" spans="1:27" x14ac:dyDescent="0.35">
      <c r="A6866">
        <v>1007683</v>
      </c>
      <c r="B6866">
        <v>6438</v>
      </c>
      <c r="C6866">
        <v>1</v>
      </c>
      <c r="D6866" s="17" t="s">
        <v>10507</v>
      </c>
      <c r="E6866" s="17"/>
      <c r="F6866" s="17" t="s">
        <v>10780</v>
      </c>
      <c r="G6866" s="17"/>
      <c r="H6866" s="17" t="s">
        <v>12908</v>
      </c>
      <c r="I6866" s="17"/>
      <c r="J6866" s="17" t="s">
        <v>14018</v>
      </c>
      <c r="K6866" s="17"/>
      <c r="L6866" s="17" t="s">
        <v>14019</v>
      </c>
      <c r="M6866" s="17"/>
      <c r="N6866" s="17" t="s">
        <v>14020</v>
      </c>
      <c r="O6866" s="17"/>
      <c r="P6866" s="17" t="s">
        <v>14040</v>
      </c>
      <c r="Q6866" s="17"/>
      <c r="R6866" s="25" t="str">
        <f>HYPERLINK("https://ictv.global/taxonomy/taxondetails?taxnode_id=202303242","Begomovirus manihotismalawiense")</f>
        <v>Begomovirus manihotismalawiense</v>
      </c>
      <c r="S6866" s="18" t="s">
        <v>30</v>
      </c>
      <c r="T6866" s="18" t="s">
        <v>14497</v>
      </c>
      <c r="U6866" s="18" t="s">
        <v>14498</v>
      </c>
      <c r="V6866" s="18" t="s">
        <v>14499</v>
      </c>
      <c r="W6866" s="18" t="s">
        <v>14500</v>
      </c>
      <c r="X6866" s="18" t="s">
        <v>42</v>
      </c>
      <c r="Y6866" s="18" t="s">
        <v>12266</v>
      </c>
      <c r="Z6866" s="18" t="s">
        <v>13441</v>
      </c>
      <c r="AA6866" s="21" t="str">
        <f>HYPERLINK("https://www.ncbi.nlm.nih.gov/nuccore/AJ006460","NCBI Nucleotide")</f>
        <v>NCBI Nucleotide</v>
      </c>
    </row>
    <row r="6867" spans="1:27" x14ac:dyDescent="0.35">
      <c r="A6867">
        <v>1007685</v>
      </c>
      <c r="B6867">
        <v>6439</v>
      </c>
      <c r="C6867">
        <v>1</v>
      </c>
      <c r="D6867" s="17" t="s">
        <v>10507</v>
      </c>
      <c r="E6867" s="17"/>
      <c r="F6867" s="17" t="s">
        <v>10780</v>
      </c>
      <c r="G6867" s="17"/>
      <c r="H6867" s="17" t="s">
        <v>12908</v>
      </c>
      <c r="I6867" s="17"/>
      <c r="J6867" s="17" t="s">
        <v>14018</v>
      </c>
      <c r="K6867" s="17"/>
      <c r="L6867" s="17" t="s">
        <v>14019</v>
      </c>
      <c r="M6867" s="17"/>
      <c r="N6867" s="17" t="s">
        <v>14020</v>
      </c>
      <c r="O6867" s="17"/>
      <c r="P6867" s="17" t="s">
        <v>14040</v>
      </c>
      <c r="Q6867" s="17"/>
      <c r="R6867" s="25" t="str">
        <f>HYPERLINK("https://ictv.global/taxonomy/taxondetails?taxnode_id=202303244","Begomovirus manihotiszanzibarense")</f>
        <v>Begomovirus manihotiszanzibarense</v>
      </c>
      <c r="S6867" s="18" t="s">
        <v>30</v>
      </c>
      <c r="T6867" s="18" t="s">
        <v>14511</v>
      </c>
      <c r="U6867" s="18" t="s">
        <v>14512</v>
      </c>
      <c r="V6867" s="18" t="s">
        <v>14513</v>
      </c>
      <c r="W6867" s="18" t="s">
        <v>14514</v>
      </c>
      <c r="X6867" s="18" t="s">
        <v>42</v>
      </c>
      <c r="Y6867" s="18" t="s">
        <v>12266</v>
      </c>
      <c r="Z6867" s="18" t="s">
        <v>13441</v>
      </c>
      <c r="AA6867" s="21" t="str">
        <f>HYPERLINK("https://www.ncbi.nlm.nih.gov/nuccore/AF422174,AF422175","NCBI Nucleotide")</f>
        <v>NCBI Nucleotide</v>
      </c>
    </row>
    <row r="6868" spans="1:27" x14ac:dyDescent="0.35">
      <c r="A6868">
        <v>1007748</v>
      </c>
      <c r="B6868">
        <v>6440</v>
      </c>
      <c r="C6868">
        <v>1</v>
      </c>
      <c r="D6868" s="17" t="s">
        <v>10507</v>
      </c>
      <c r="E6868" s="17"/>
      <c r="F6868" s="17" t="s">
        <v>10780</v>
      </c>
      <c r="G6868" s="17"/>
      <c r="H6868" s="17" t="s">
        <v>12908</v>
      </c>
      <c r="I6868" s="17"/>
      <c r="J6868" s="17" t="s">
        <v>14018</v>
      </c>
      <c r="K6868" s="17"/>
      <c r="L6868" s="17" t="s">
        <v>14019</v>
      </c>
      <c r="M6868" s="17"/>
      <c r="N6868" s="17" t="s">
        <v>14020</v>
      </c>
      <c r="O6868" s="17"/>
      <c r="P6868" s="17" t="s">
        <v>14040</v>
      </c>
      <c r="Q6868" s="17"/>
      <c r="R6868" s="25" t="str">
        <f>HYPERLINK("https://ictv.global/taxonomy/taxondetails?taxnode_id=202305812","Begomovirus melochiae")</f>
        <v>Begomovirus melochiae</v>
      </c>
      <c r="S6868" s="18" t="s">
        <v>30</v>
      </c>
      <c r="T6868" s="18" t="s">
        <v>14791</v>
      </c>
      <c r="U6868" s="18" t="s">
        <v>14792</v>
      </c>
      <c r="V6868" s="18" t="s">
        <v>14793</v>
      </c>
      <c r="W6868" s="18" t="s">
        <v>14794</v>
      </c>
      <c r="X6868" s="18" t="s">
        <v>42</v>
      </c>
      <c r="Y6868" s="18" t="s">
        <v>12266</v>
      </c>
      <c r="Z6868" s="18" t="s">
        <v>13441</v>
      </c>
      <c r="AA6868" s="21" t="str">
        <f>HYPERLINK("https://www.ncbi.nlm.nih.gov/nuccore/KT201151,KT201152","NCBI Nucleotide")</f>
        <v>NCBI Nucleotide</v>
      </c>
    </row>
    <row r="6869" spans="1:27" x14ac:dyDescent="0.35">
      <c r="A6869">
        <v>1007749</v>
      </c>
      <c r="B6869">
        <v>6441</v>
      </c>
      <c r="C6869">
        <v>1</v>
      </c>
      <c r="D6869" s="17" t="s">
        <v>10507</v>
      </c>
      <c r="E6869" s="17"/>
      <c r="F6869" s="17" t="s">
        <v>10780</v>
      </c>
      <c r="G6869" s="17"/>
      <c r="H6869" s="17" t="s">
        <v>12908</v>
      </c>
      <c r="I6869" s="17"/>
      <c r="J6869" s="17" t="s">
        <v>14018</v>
      </c>
      <c r="K6869" s="17"/>
      <c r="L6869" s="17" t="s">
        <v>14019</v>
      </c>
      <c r="M6869" s="17"/>
      <c r="N6869" s="17" t="s">
        <v>14020</v>
      </c>
      <c r="O6869" s="17"/>
      <c r="P6869" s="17" t="s">
        <v>14040</v>
      </c>
      <c r="Q6869" s="17"/>
      <c r="R6869" s="25" t="str">
        <f>HYPERLINK("https://ictv.global/taxonomy/taxondetails?taxnode_id=202305813","Begomovirus melochiaflavi")</f>
        <v>Begomovirus melochiaflavi</v>
      </c>
      <c r="S6869" s="18" t="s">
        <v>30</v>
      </c>
      <c r="T6869" s="18" t="s">
        <v>14795</v>
      </c>
      <c r="U6869" s="18" t="s">
        <v>14796</v>
      </c>
      <c r="V6869" s="18" t="s">
        <v>14797</v>
      </c>
      <c r="W6869" s="18" t="s">
        <v>14798</v>
      </c>
      <c r="X6869" s="18" t="s">
        <v>42</v>
      </c>
      <c r="Y6869" s="18" t="s">
        <v>12266</v>
      </c>
      <c r="Z6869" s="18" t="s">
        <v>13441</v>
      </c>
      <c r="AA6869" s="21" t="str">
        <f>HYPERLINK("https://www.ncbi.nlm.nih.gov/nuccore/KT201153,KT201154","NCBI Nucleotide")</f>
        <v>NCBI Nucleotide</v>
      </c>
    </row>
    <row r="6870" spans="1:27" x14ac:dyDescent="0.35">
      <c r="A6870">
        <v>1007754</v>
      </c>
      <c r="B6870">
        <v>6442</v>
      </c>
      <c r="C6870">
        <v>1</v>
      </c>
      <c r="D6870" s="17" t="s">
        <v>10507</v>
      </c>
      <c r="E6870" s="17"/>
      <c r="F6870" s="17" t="s">
        <v>10780</v>
      </c>
      <c r="G6870" s="17"/>
      <c r="H6870" s="17" t="s">
        <v>12908</v>
      </c>
      <c r="I6870" s="17"/>
      <c r="J6870" s="17" t="s">
        <v>14018</v>
      </c>
      <c r="K6870" s="17"/>
      <c r="L6870" s="17" t="s">
        <v>14019</v>
      </c>
      <c r="M6870" s="17"/>
      <c r="N6870" s="17" t="s">
        <v>14020</v>
      </c>
      <c r="O6870" s="17"/>
      <c r="P6870" s="17" t="s">
        <v>14040</v>
      </c>
      <c r="Q6870" s="17"/>
      <c r="R6870" s="25" t="str">
        <f>HYPERLINK("https://ictv.global/taxonomy/taxondetails?taxnode_id=202303290","Begomovirus merremiae")</f>
        <v>Begomovirus merremiae</v>
      </c>
      <c r="S6870" s="18" t="s">
        <v>30</v>
      </c>
      <c r="T6870" s="18" t="s">
        <v>14817</v>
      </c>
      <c r="U6870" s="18" t="s">
        <v>14818</v>
      </c>
      <c r="V6870" s="18" t="s">
        <v>14819</v>
      </c>
      <c r="W6870" s="18" t="s">
        <v>14820</v>
      </c>
      <c r="X6870" s="18" t="s">
        <v>42</v>
      </c>
      <c r="Y6870" s="18" t="s">
        <v>12266</v>
      </c>
      <c r="Z6870" s="18" t="s">
        <v>13441</v>
      </c>
      <c r="AA6870" s="21" t="str">
        <f>HYPERLINK("https://www.ncbi.nlm.nih.gov/nuccore/AF068636,AY965899","NCBI Nucleotide")</f>
        <v>NCBI Nucleotide</v>
      </c>
    </row>
    <row r="6871" spans="1:27" x14ac:dyDescent="0.35">
      <c r="A6871">
        <v>1012550</v>
      </c>
      <c r="B6871">
        <v>6442</v>
      </c>
      <c r="C6871">
        <v>2</v>
      </c>
      <c r="D6871" s="17" t="s">
        <v>10507</v>
      </c>
      <c r="E6871" s="17"/>
      <c r="F6871" s="17" t="s">
        <v>10780</v>
      </c>
      <c r="G6871" s="17"/>
      <c r="H6871" s="17" t="s">
        <v>12908</v>
      </c>
      <c r="I6871" s="17"/>
      <c r="J6871" s="17" t="s">
        <v>14018</v>
      </c>
      <c r="K6871" s="17"/>
      <c r="L6871" s="17" t="s">
        <v>14019</v>
      </c>
      <c r="M6871" s="17"/>
      <c r="N6871" s="17" t="s">
        <v>14020</v>
      </c>
      <c r="O6871" s="17"/>
      <c r="P6871" s="17" t="s">
        <v>14040</v>
      </c>
      <c r="Q6871" s="17"/>
      <c r="R6871" s="25" t="str">
        <f>HYPERLINK("https://ictv.global/taxonomy/taxondetails?taxnode_id=202303290","Begomovirus merremiae")</f>
        <v>Begomovirus merremiae</v>
      </c>
      <c r="S6871" s="18" t="s">
        <v>8141</v>
      </c>
      <c r="T6871" s="18" t="s">
        <v>14817</v>
      </c>
      <c r="U6871" s="18" t="s">
        <v>14821</v>
      </c>
      <c r="V6871" s="18" t="s">
        <v>14822</v>
      </c>
      <c r="W6871" s="18" t="s">
        <v>49156</v>
      </c>
      <c r="X6871" s="18" t="s">
        <v>42</v>
      </c>
      <c r="Y6871" s="18" t="s">
        <v>12266</v>
      </c>
      <c r="Z6871" s="18" t="s">
        <v>13441</v>
      </c>
      <c r="AA6871" s="21" t="str">
        <f>HYPERLINK("https://www.ncbi.nlm.nih.gov/nuccore/AY508991,AY508992","NCBI Nucleotide")</f>
        <v>NCBI Nucleotide</v>
      </c>
    </row>
    <row r="6872" spans="1:27" x14ac:dyDescent="0.35">
      <c r="A6872">
        <v>1007753</v>
      </c>
      <c r="B6872">
        <v>6443</v>
      </c>
      <c r="C6872">
        <v>1</v>
      </c>
      <c r="D6872" s="17" t="s">
        <v>10507</v>
      </c>
      <c r="E6872" s="17"/>
      <c r="F6872" s="17" t="s">
        <v>10780</v>
      </c>
      <c r="G6872" s="17"/>
      <c r="H6872" s="17" t="s">
        <v>12908</v>
      </c>
      <c r="I6872" s="17"/>
      <c r="J6872" s="17" t="s">
        <v>14018</v>
      </c>
      <c r="K6872" s="17"/>
      <c r="L6872" s="17" t="s">
        <v>14019</v>
      </c>
      <c r="M6872" s="17"/>
      <c r="N6872" s="17" t="s">
        <v>14020</v>
      </c>
      <c r="O6872" s="17"/>
      <c r="P6872" s="17" t="s">
        <v>14040</v>
      </c>
      <c r="Q6872" s="17"/>
      <c r="R6872" s="25" t="str">
        <f>HYPERLINK("https://ictv.global/taxonomy/taxondetails?taxnode_id=202303289","Begomovirus merremiapuertoricoense")</f>
        <v>Begomovirus merremiapuertoricoense</v>
      </c>
      <c r="S6872" s="18" t="s">
        <v>30</v>
      </c>
      <c r="T6872" s="18" t="s">
        <v>14813</v>
      </c>
      <c r="U6872" s="18" t="s">
        <v>14814</v>
      </c>
      <c r="V6872" s="18" t="s">
        <v>14815</v>
      </c>
      <c r="W6872" s="18" t="s">
        <v>14816</v>
      </c>
      <c r="X6872" s="18" t="s">
        <v>42</v>
      </c>
      <c r="Y6872" s="18" t="s">
        <v>12266</v>
      </c>
      <c r="Z6872" s="18" t="s">
        <v>13441</v>
      </c>
      <c r="AA6872" s="21" t="str">
        <f>HYPERLINK("https://www.ncbi.nlm.nih.gov/nuccore/FJ944021,FJ944022","NCBI Nucleotide")</f>
        <v>NCBI Nucleotide</v>
      </c>
    </row>
    <row r="6873" spans="1:27" x14ac:dyDescent="0.35">
      <c r="A6873">
        <v>1007755</v>
      </c>
      <c r="B6873">
        <v>6444</v>
      </c>
      <c r="C6873">
        <v>1</v>
      </c>
      <c r="D6873" s="17" t="s">
        <v>10507</v>
      </c>
      <c r="E6873" s="17"/>
      <c r="F6873" s="17" t="s">
        <v>10780</v>
      </c>
      <c r="G6873" s="17"/>
      <c r="H6873" s="17" t="s">
        <v>12908</v>
      </c>
      <c r="I6873" s="17"/>
      <c r="J6873" s="17" t="s">
        <v>14018</v>
      </c>
      <c r="K6873" s="17"/>
      <c r="L6873" s="17" t="s">
        <v>14019</v>
      </c>
      <c r="M6873" s="17"/>
      <c r="N6873" s="17" t="s">
        <v>14020</v>
      </c>
      <c r="O6873" s="17"/>
      <c r="P6873" s="17" t="s">
        <v>14040</v>
      </c>
      <c r="Q6873" s="17"/>
      <c r="R6873" s="25" t="str">
        <f>HYPERLINK("https://ictv.global/taxonomy/taxondetails?taxnode_id=202303291","Begomovirus mestae")</f>
        <v>Begomovirus mestae</v>
      </c>
      <c r="S6873" s="18" t="s">
        <v>30</v>
      </c>
      <c r="T6873" s="18" t="s">
        <v>14823</v>
      </c>
      <c r="U6873" s="18" t="s">
        <v>14824</v>
      </c>
      <c r="V6873" s="18" t="s">
        <v>14825</v>
      </c>
      <c r="W6873" s="18" t="s">
        <v>14826</v>
      </c>
      <c r="X6873" s="18" t="s">
        <v>42</v>
      </c>
      <c r="Y6873" s="18" t="s">
        <v>12266</v>
      </c>
      <c r="Z6873" s="18" t="s">
        <v>13441</v>
      </c>
      <c r="AA6873" s="21" t="str">
        <f>HYPERLINK("https://www.ncbi.nlm.nih.gov/nuccore/EU360303","NCBI Nucleotide")</f>
        <v>NCBI Nucleotide</v>
      </c>
    </row>
    <row r="6874" spans="1:27" x14ac:dyDescent="0.35">
      <c r="A6874">
        <v>1007756</v>
      </c>
      <c r="B6874">
        <v>6445</v>
      </c>
      <c r="C6874">
        <v>1</v>
      </c>
      <c r="D6874" s="17" t="s">
        <v>10507</v>
      </c>
      <c r="E6874" s="17"/>
      <c r="F6874" s="17" t="s">
        <v>10780</v>
      </c>
      <c r="G6874" s="17"/>
      <c r="H6874" s="17" t="s">
        <v>12908</v>
      </c>
      <c r="I6874" s="17"/>
      <c r="J6874" s="17" t="s">
        <v>14018</v>
      </c>
      <c r="K6874" s="17"/>
      <c r="L6874" s="17" t="s">
        <v>14019</v>
      </c>
      <c r="M6874" s="17"/>
      <c r="N6874" s="17" t="s">
        <v>14020</v>
      </c>
      <c r="O6874" s="17"/>
      <c r="P6874" s="17" t="s">
        <v>14040</v>
      </c>
      <c r="Q6874" s="17"/>
      <c r="R6874" s="25" t="str">
        <f>HYPERLINK("https://ictv.global/taxonomy/taxondetails?taxnode_id=202303293","Begomovirus mimosae")</f>
        <v>Begomovirus mimosae</v>
      </c>
      <c r="S6874" s="18" t="s">
        <v>30</v>
      </c>
      <c r="T6874" s="18" t="s">
        <v>14827</v>
      </c>
      <c r="U6874" s="18" t="s">
        <v>14828</v>
      </c>
      <c r="V6874" s="18" t="s">
        <v>14829</v>
      </c>
      <c r="W6874" s="18" t="s">
        <v>14830</v>
      </c>
      <c r="X6874" s="18" t="s">
        <v>42</v>
      </c>
      <c r="Y6874" s="18" t="s">
        <v>12266</v>
      </c>
      <c r="Z6874" s="18" t="s">
        <v>13441</v>
      </c>
      <c r="AA6874" s="21" t="str">
        <f>HYPERLINK("https://www.ncbi.nlm.nih.gov/nuccore/DQ641695","NCBI Nucleotide")</f>
        <v>NCBI Nucleotide</v>
      </c>
    </row>
    <row r="6875" spans="1:27" x14ac:dyDescent="0.35">
      <c r="A6875">
        <v>1007757</v>
      </c>
      <c r="B6875">
        <v>6446</v>
      </c>
      <c r="C6875">
        <v>1</v>
      </c>
      <c r="D6875" s="17" t="s">
        <v>10507</v>
      </c>
      <c r="E6875" s="17"/>
      <c r="F6875" s="17" t="s">
        <v>10780</v>
      </c>
      <c r="G6875" s="17"/>
      <c r="H6875" s="17" t="s">
        <v>12908</v>
      </c>
      <c r="I6875" s="17"/>
      <c r="J6875" s="17" t="s">
        <v>14018</v>
      </c>
      <c r="K6875" s="17"/>
      <c r="L6875" s="17" t="s">
        <v>14019</v>
      </c>
      <c r="M6875" s="17"/>
      <c r="N6875" s="17" t="s">
        <v>14020</v>
      </c>
      <c r="O6875" s="17"/>
      <c r="P6875" s="17" t="s">
        <v>14040</v>
      </c>
      <c r="Q6875" s="17"/>
      <c r="R6875" s="25" t="str">
        <f>HYPERLINK("https://ictv.global/taxonomy/taxondetails?taxnode_id=202305814","Begomovirus mirabilis")</f>
        <v>Begomovirus mirabilis</v>
      </c>
      <c r="S6875" s="18" t="s">
        <v>30</v>
      </c>
      <c r="T6875" s="18" t="s">
        <v>14831</v>
      </c>
      <c r="U6875" s="18" t="s">
        <v>14832</v>
      </c>
      <c r="V6875" s="18" t="s">
        <v>14833</v>
      </c>
      <c r="W6875" s="18" t="s">
        <v>41532</v>
      </c>
      <c r="X6875" s="18" t="s">
        <v>42</v>
      </c>
      <c r="Y6875" s="18" t="s">
        <v>12266</v>
      </c>
      <c r="Z6875" s="18" t="s">
        <v>13441</v>
      </c>
      <c r="AA6875" s="21" t="str">
        <f>HYPERLINK("https://www.ncbi.nlm.nih.gov/nuccore/LK054801","NCBI Nucleotide")</f>
        <v>NCBI Nucleotide</v>
      </c>
    </row>
    <row r="6876" spans="1:27" x14ac:dyDescent="0.35">
      <c r="A6876">
        <v>1007617</v>
      </c>
      <c r="B6876">
        <v>6447</v>
      </c>
      <c r="C6876">
        <v>1</v>
      </c>
      <c r="D6876" s="17" t="s">
        <v>10507</v>
      </c>
      <c r="E6876" s="17"/>
      <c r="F6876" s="17" t="s">
        <v>10780</v>
      </c>
      <c r="G6876" s="17"/>
      <c r="H6876" s="17" t="s">
        <v>12908</v>
      </c>
      <c r="I6876" s="17"/>
      <c r="J6876" s="17" t="s">
        <v>14018</v>
      </c>
      <c r="K6876" s="17"/>
      <c r="L6876" s="17" t="s">
        <v>14019</v>
      </c>
      <c r="M6876" s="17"/>
      <c r="N6876" s="17" t="s">
        <v>14020</v>
      </c>
      <c r="O6876" s="17"/>
      <c r="P6876" s="17" t="s">
        <v>14040</v>
      </c>
      <c r="Q6876" s="17"/>
      <c r="R6876" s="25" t="str">
        <f>HYPERLINK("https://ictv.global/taxonomy/taxondetails?taxnode_id=202307519","Begomovirus momordicae")</f>
        <v>Begomovirus momordicae</v>
      </c>
      <c r="S6876" s="18" t="s">
        <v>30</v>
      </c>
      <c r="T6876" s="18" t="s">
        <v>14189</v>
      </c>
      <c r="U6876" s="18" t="s">
        <v>14190</v>
      </c>
      <c r="V6876" s="18" t="s">
        <v>14191</v>
      </c>
      <c r="W6876" s="18" t="s">
        <v>14192</v>
      </c>
      <c r="X6876" s="18" t="s">
        <v>42</v>
      </c>
      <c r="Y6876" s="18" t="s">
        <v>12266</v>
      </c>
      <c r="Z6876" s="18" t="s">
        <v>13441</v>
      </c>
      <c r="AA6876" s="21" t="str">
        <f>HYPERLINK("https://www.ncbi.nlm.nih.gov/nuccore/MH481856,MK116876","NCBI Nucleotide")</f>
        <v>NCBI Nucleotide</v>
      </c>
    </row>
    <row r="6877" spans="1:27" x14ac:dyDescent="0.35">
      <c r="A6877">
        <v>1007606</v>
      </c>
      <c r="B6877">
        <v>6448</v>
      </c>
      <c r="C6877">
        <v>1</v>
      </c>
      <c r="D6877" s="17" t="s">
        <v>10507</v>
      </c>
      <c r="E6877" s="17"/>
      <c r="F6877" s="17" t="s">
        <v>10780</v>
      </c>
      <c r="G6877" s="17"/>
      <c r="H6877" s="17" t="s">
        <v>12908</v>
      </c>
      <c r="I6877" s="17"/>
      <c r="J6877" s="17" t="s">
        <v>14018</v>
      </c>
      <c r="K6877" s="17"/>
      <c r="L6877" s="17" t="s">
        <v>14019</v>
      </c>
      <c r="M6877" s="17"/>
      <c r="N6877" s="17" t="s">
        <v>14020</v>
      </c>
      <c r="O6877" s="17"/>
      <c r="P6877" s="17" t="s">
        <v>14040</v>
      </c>
      <c r="Q6877" s="17"/>
      <c r="R6877" s="25" t="str">
        <f>HYPERLINK("https://ictv.global/taxonomy/taxondetails?taxnode_id=202303189","Begomovirus moralesi")</f>
        <v>Begomovirus moralesi</v>
      </c>
      <c r="S6877" s="18" t="s">
        <v>30</v>
      </c>
      <c r="T6877" s="18" t="s">
        <v>14142</v>
      </c>
      <c r="U6877" s="18" t="s">
        <v>14143</v>
      </c>
      <c r="V6877" s="18" t="s">
        <v>14144</v>
      </c>
      <c r="W6877" s="18" t="s">
        <v>14145</v>
      </c>
      <c r="X6877" s="18" t="s">
        <v>42</v>
      </c>
      <c r="Y6877" s="18" t="s">
        <v>12266</v>
      </c>
      <c r="Z6877" s="18" t="s">
        <v>13441</v>
      </c>
      <c r="AA6877" s="21" t="str">
        <f>HYPERLINK("https://www.ncbi.nlm.nih.gov/nuccore/M88179,M88180","NCBI Nucleotide")</f>
        <v>NCBI Nucleotide</v>
      </c>
    </row>
    <row r="6878" spans="1:27" x14ac:dyDescent="0.35">
      <c r="A6878">
        <v>1008012</v>
      </c>
      <c r="B6878">
        <v>6449</v>
      </c>
      <c r="C6878">
        <v>1</v>
      </c>
      <c r="D6878" s="17" t="s">
        <v>10507</v>
      </c>
      <c r="E6878" s="17"/>
      <c r="F6878" s="17" t="s">
        <v>10780</v>
      </c>
      <c r="G6878" s="17"/>
      <c r="H6878" s="17" t="s">
        <v>12908</v>
      </c>
      <c r="I6878" s="17"/>
      <c r="J6878" s="17" t="s">
        <v>14018</v>
      </c>
      <c r="K6878" s="17"/>
      <c r="L6878" s="17" t="s">
        <v>14019</v>
      </c>
      <c r="M6878" s="17"/>
      <c r="N6878" s="17" t="s">
        <v>14020</v>
      </c>
      <c r="O6878" s="17"/>
      <c r="P6878" s="17" t="s">
        <v>14040</v>
      </c>
      <c r="Q6878" s="17"/>
      <c r="R6878" s="25" t="str">
        <f>HYPERLINK("https://ictv.global/taxonomy/taxondetails?taxnode_id=202303490","Begomovirus mucunae")</f>
        <v>Begomovirus mucunae</v>
      </c>
      <c r="S6878" s="18" t="s">
        <v>30</v>
      </c>
      <c r="T6878" s="18" t="s">
        <v>15921</v>
      </c>
      <c r="U6878" s="18" t="s">
        <v>15922</v>
      </c>
      <c r="V6878" s="18" t="s">
        <v>15923</v>
      </c>
      <c r="W6878" s="18" t="s">
        <v>15924</v>
      </c>
      <c r="X6878" s="18" t="s">
        <v>42</v>
      </c>
      <c r="Y6878" s="18" t="s">
        <v>12266</v>
      </c>
      <c r="Z6878" s="18" t="s">
        <v>13441</v>
      </c>
      <c r="AA6878" s="21" t="str">
        <f>HYPERLINK("https://www.ncbi.nlm.nih.gov/nuccore/FN543425,FN543426","NCBI Nucleotide")</f>
        <v>NCBI Nucleotide</v>
      </c>
    </row>
    <row r="6879" spans="1:27" x14ac:dyDescent="0.35">
      <c r="A6879">
        <v>1008011</v>
      </c>
      <c r="B6879">
        <v>6450</v>
      </c>
      <c r="C6879">
        <v>1</v>
      </c>
      <c r="D6879" s="17" t="s">
        <v>10507</v>
      </c>
      <c r="E6879" s="17"/>
      <c r="F6879" s="17" t="s">
        <v>10780</v>
      </c>
      <c r="G6879" s="17"/>
      <c r="H6879" s="17" t="s">
        <v>12908</v>
      </c>
      <c r="I6879" s="17"/>
      <c r="J6879" s="17" t="s">
        <v>14018</v>
      </c>
      <c r="K6879" s="17"/>
      <c r="L6879" s="17" t="s">
        <v>14019</v>
      </c>
      <c r="M6879" s="17"/>
      <c r="N6879" s="17" t="s">
        <v>14020</v>
      </c>
      <c r="O6879" s="17"/>
      <c r="P6879" s="17" t="s">
        <v>14040</v>
      </c>
      <c r="Q6879" s="17"/>
      <c r="R6879" s="25" t="str">
        <f>HYPERLINK("https://ictv.global/taxonomy/taxondetails?taxnode_id=202305843","Begomovirus mucunaflavi")</f>
        <v>Begomovirus mucunaflavi</v>
      </c>
      <c r="S6879" s="18" t="s">
        <v>30</v>
      </c>
      <c r="T6879" s="18" t="s">
        <v>15918</v>
      </c>
      <c r="U6879" s="18" t="s">
        <v>15919</v>
      </c>
      <c r="V6879" s="18" t="s">
        <v>15920</v>
      </c>
      <c r="W6879" s="18" t="s">
        <v>41533</v>
      </c>
      <c r="X6879" s="18" t="s">
        <v>42</v>
      </c>
      <c r="Y6879" s="18" t="s">
        <v>12266</v>
      </c>
      <c r="Z6879" s="18" t="s">
        <v>13441</v>
      </c>
      <c r="AA6879" s="21" t="str">
        <f>HYPERLINK("https://www.ncbi.nlm.nih.gov/nuccore/KU569583","NCBI Nucleotide")</f>
        <v>NCBI Nucleotide</v>
      </c>
    </row>
    <row r="6880" spans="1:27" x14ac:dyDescent="0.35">
      <c r="A6880">
        <v>1007889</v>
      </c>
      <c r="B6880">
        <v>6451</v>
      </c>
      <c r="C6880">
        <v>1</v>
      </c>
      <c r="D6880" s="17" t="s">
        <v>10507</v>
      </c>
      <c r="E6880" s="17"/>
      <c r="F6880" s="17" t="s">
        <v>10780</v>
      </c>
      <c r="G6880" s="17"/>
      <c r="H6880" s="17" t="s">
        <v>12908</v>
      </c>
      <c r="I6880" s="17"/>
      <c r="J6880" s="17" t="s">
        <v>14018</v>
      </c>
      <c r="K6880" s="17"/>
      <c r="L6880" s="17" t="s">
        <v>14019</v>
      </c>
      <c r="M6880" s="17"/>
      <c r="N6880" s="17" t="s">
        <v>14020</v>
      </c>
      <c r="O6880" s="17"/>
      <c r="P6880" s="17" t="s">
        <v>14040</v>
      </c>
      <c r="Q6880" s="17"/>
      <c r="R6880" s="25" t="str">
        <f>HYPERLINK("https://ictv.global/taxonomy/taxondetails?taxnode_id=202303391","Begomovirus nicotianacomorosense")</f>
        <v>Begomovirus nicotianacomorosense</v>
      </c>
      <c r="S6880" s="18" t="s">
        <v>30</v>
      </c>
      <c r="T6880" s="18" t="s">
        <v>15404</v>
      </c>
      <c r="U6880" s="18" t="s">
        <v>15405</v>
      </c>
      <c r="V6880" s="18" t="s">
        <v>15406</v>
      </c>
      <c r="W6880" s="18" t="s">
        <v>41534</v>
      </c>
      <c r="X6880" s="18" t="s">
        <v>42</v>
      </c>
      <c r="Y6880" s="18" t="s">
        <v>12266</v>
      </c>
      <c r="Z6880" s="18" t="s">
        <v>13441</v>
      </c>
      <c r="AA6880" s="21" t="str">
        <f>HYPERLINK("https://www.ncbi.nlm.nih.gov/nuccore/AM701760","NCBI Nucleotide")</f>
        <v>NCBI Nucleotide</v>
      </c>
    </row>
    <row r="6881" spans="1:27" x14ac:dyDescent="0.35">
      <c r="A6881">
        <v>1007890</v>
      </c>
      <c r="B6881">
        <v>6452</v>
      </c>
      <c r="C6881">
        <v>1</v>
      </c>
      <c r="D6881" s="17" t="s">
        <v>10507</v>
      </c>
      <c r="E6881" s="17"/>
      <c r="F6881" s="17" t="s">
        <v>10780</v>
      </c>
      <c r="G6881" s="17"/>
      <c r="H6881" s="17" t="s">
        <v>12908</v>
      </c>
      <c r="I6881" s="17"/>
      <c r="J6881" s="17" t="s">
        <v>14018</v>
      </c>
      <c r="K6881" s="17"/>
      <c r="L6881" s="17" t="s">
        <v>14019</v>
      </c>
      <c r="M6881" s="17"/>
      <c r="N6881" s="17" t="s">
        <v>14020</v>
      </c>
      <c r="O6881" s="17"/>
      <c r="P6881" s="17" t="s">
        <v>14040</v>
      </c>
      <c r="Q6881" s="17"/>
      <c r="R6881" s="25" t="str">
        <f>HYPERLINK("https://ictv.global/taxonomy/taxondetails?taxnode_id=202303392","Begomovirus nicotianacubaense")</f>
        <v>Begomovirus nicotianacubaense</v>
      </c>
      <c r="S6881" s="18" t="s">
        <v>30</v>
      </c>
      <c r="T6881" s="18" t="s">
        <v>15407</v>
      </c>
      <c r="U6881" s="18" t="s">
        <v>15408</v>
      </c>
      <c r="V6881" s="18" t="s">
        <v>15409</v>
      </c>
      <c r="W6881" s="18" t="s">
        <v>15410</v>
      </c>
      <c r="X6881" s="18" t="s">
        <v>42</v>
      </c>
      <c r="Y6881" s="18" t="s">
        <v>12266</v>
      </c>
      <c r="Z6881" s="18" t="s">
        <v>13441</v>
      </c>
      <c r="AA6881" s="21" t="str">
        <f>HYPERLINK("https://www.ncbi.nlm.nih.gov/nuccore/KX011471,KX011472","NCBI Nucleotide")</f>
        <v>NCBI Nucleotide</v>
      </c>
    </row>
    <row r="6882" spans="1:27" x14ac:dyDescent="0.35">
      <c r="A6882">
        <v>1007891</v>
      </c>
      <c r="B6882">
        <v>6453</v>
      </c>
      <c r="C6882">
        <v>1</v>
      </c>
      <c r="D6882" s="17" t="s">
        <v>10507</v>
      </c>
      <c r="E6882" s="17"/>
      <c r="F6882" s="17" t="s">
        <v>10780</v>
      </c>
      <c r="G6882" s="17"/>
      <c r="H6882" s="17" t="s">
        <v>12908</v>
      </c>
      <c r="I6882" s="17"/>
      <c r="J6882" s="17" t="s">
        <v>14018</v>
      </c>
      <c r="K6882" s="17"/>
      <c r="L6882" s="17" t="s">
        <v>14019</v>
      </c>
      <c r="M6882" s="17"/>
      <c r="N6882" s="17" t="s">
        <v>14020</v>
      </c>
      <c r="O6882" s="17"/>
      <c r="P6882" s="17" t="s">
        <v>14040</v>
      </c>
      <c r="Q6882" s="17"/>
      <c r="R6882" s="25" t="str">
        <f>HYPERLINK("https://ictv.global/taxonomy/taxondetails?taxnode_id=202307529","Begomovirus nicotianadominicanense")</f>
        <v>Begomovirus nicotianadominicanense</v>
      </c>
      <c r="S6882" s="18" t="s">
        <v>30</v>
      </c>
      <c r="T6882" s="18" t="s">
        <v>15411</v>
      </c>
      <c r="U6882" s="18" t="s">
        <v>15412</v>
      </c>
      <c r="V6882" s="18" t="s">
        <v>15413</v>
      </c>
      <c r="W6882" s="18" t="s">
        <v>15414</v>
      </c>
      <c r="X6882" s="18" t="s">
        <v>42</v>
      </c>
      <c r="Y6882" s="18" t="s">
        <v>12266</v>
      </c>
      <c r="Z6882" s="18" t="s">
        <v>13441</v>
      </c>
      <c r="AA6882" s="21" t="str">
        <f>HYPERLINK("https://www.ncbi.nlm.nih.gov/nuccore/MH514011,MH514012","NCBI Nucleotide")</f>
        <v>NCBI Nucleotide</v>
      </c>
    </row>
    <row r="6883" spans="1:27" x14ac:dyDescent="0.35">
      <c r="A6883">
        <v>1007888</v>
      </c>
      <c r="B6883">
        <v>6454</v>
      </c>
      <c r="C6883">
        <v>1</v>
      </c>
      <c r="D6883" s="17" t="s">
        <v>10507</v>
      </c>
      <c r="E6883" s="17"/>
      <c r="F6883" s="17" t="s">
        <v>10780</v>
      </c>
      <c r="G6883" s="17"/>
      <c r="H6883" s="17" t="s">
        <v>12908</v>
      </c>
      <c r="I6883" s="17"/>
      <c r="J6883" s="17" t="s">
        <v>14018</v>
      </c>
      <c r="K6883" s="17"/>
      <c r="L6883" s="17" t="s">
        <v>14019</v>
      </c>
      <c r="M6883" s="17"/>
      <c r="N6883" s="17" t="s">
        <v>14020</v>
      </c>
      <c r="O6883" s="17"/>
      <c r="P6883" s="17" t="s">
        <v>14040</v>
      </c>
      <c r="Q6883" s="17"/>
      <c r="R6883" s="25" t="str">
        <f>HYPERLINK("https://ictv.global/taxonomy/taxondetails?taxnode_id=202303390","Begomovirus nicotianae")</f>
        <v>Begomovirus nicotianae</v>
      </c>
      <c r="S6883" s="18" t="s">
        <v>30</v>
      </c>
      <c r="T6883" s="18" t="s">
        <v>15400</v>
      </c>
      <c r="U6883" s="18" t="s">
        <v>15401</v>
      </c>
      <c r="V6883" s="18" t="s">
        <v>15402</v>
      </c>
      <c r="W6883" s="18" t="s">
        <v>15403</v>
      </c>
      <c r="X6883" s="18" t="s">
        <v>42</v>
      </c>
      <c r="Y6883" s="18" t="s">
        <v>12266</v>
      </c>
      <c r="Z6883" s="18" t="s">
        <v>13441</v>
      </c>
      <c r="AA6883" s="21" t="str">
        <f>HYPERLINK("https://www.ncbi.nlm.nih.gov/nuccore/AJ457986","NCBI Nucleotide")</f>
        <v>NCBI Nucleotide</v>
      </c>
    </row>
    <row r="6884" spans="1:27" x14ac:dyDescent="0.35">
      <c r="A6884">
        <v>1007898</v>
      </c>
      <c r="B6884">
        <v>6455</v>
      </c>
      <c r="C6884">
        <v>1</v>
      </c>
      <c r="D6884" s="17" t="s">
        <v>10507</v>
      </c>
      <c r="E6884" s="17"/>
      <c r="F6884" s="17" t="s">
        <v>10780</v>
      </c>
      <c r="G6884" s="17"/>
      <c r="H6884" s="17" t="s">
        <v>12908</v>
      </c>
      <c r="I6884" s="17"/>
      <c r="J6884" s="17" t="s">
        <v>14018</v>
      </c>
      <c r="K6884" s="17"/>
      <c r="L6884" s="17" t="s">
        <v>14019</v>
      </c>
      <c r="M6884" s="17"/>
      <c r="N6884" s="17" t="s">
        <v>14020</v>
      </c>
      <c r="O6884" s="17"/>
      <c r="P6884" s="17" t="s">
        <v>14040</v>
      </c>
      <c r="Q6884" s="17"/>
      <c r="R6884" s="25" t="str">
        <f>HYPERLINK("https://ictv.global/taxonomy/taxondetails?taxnode_id=202303400","Begomovirus nicotianaparvi")</f>
        <v>Begomovirus nicotianaparvi</v>
      </c>
      <c r="S6884" s="18" t="s">
        <v>30</v>
      </c>
      <c r="T6884" s="18" t="s">
        <v>15435</v>
      </c>
      <c r="U6884" s="18" t="s">
        <v>15436</v>
      </c>
      <c r="V6884" s="18" t="s">
        <v>15437</v>
      </c>
      <c r="W6884" s="18" t="s">
        <v>15438</v>
      </c>
      <c r="X6884" s="18" t="s">
        <v>42</v>
      </c>
      <c r="Y6884" s="18" t="s">
        <v>12266</v>
      </c>
      <c r="Z6884" s="18" t="s">
        <v>13441</v>
      </c>
      <c r="AA6884" s="21" t="str">
        <f>HYPERLINK("https://www.ncbi.nlm.nih.gov/nuccore/FJ213931,HQ896204","NCBI Nucleotide")</f>
        <v>NCBI Nucleotide</v>
      </c>
    </row>
    <row r="6885" spans="1:27" x14ac:dyDescent="0.35">
      <c r="A6885">
        <v>1007892</v>
      </c>
      <c r="B6885">
        <v>6456</v>
      </c>
      <c r="C6885">
        <v>1</v>
      </c>
      <c r="D6885" s="17" t="s">
        <v>10507</v>
      </c>
      <c r="E6885" s="17"/>
      <c r="F6885" s="17" t="s">
        <v>10780</v>
      </c>
      <c r="G6885" s="17"/>
      <c r="H6885" s="17" t="s">
        <v>12908</v>
      </c>
      <c r="I6885" s="17"/>
      <c r="J6885" s="17" t="s">
        <v>14018</v>
      </c>
      <c r="K6885" s="17"/>
      <c r="L6885" s="17" t="s">
        <v>14019</v>
      </c>
      <c r="M6885" s="17"/>
      <c r="N6885" s="17" t="s">
        <v>14020</v>
      </c>
      <c r="O6885" s="17"/>
      <c r="P6885" s="17" t="s">
        <v>14040</v>
      </c>
      <c r="Q6885" s="17"/>
      <c r="R6885" s="25" t="str">
        <f>HYPERLINK("https://ictv.global/taxonomy/taxondetails?taxnode_id=202303394","Begomovirus nicotianapusaense")</f>
        <v>Begomovirus nicotianapusaense</v>
      </c>
      <c r="S6885" s="18" t="s">
        <v>30</v>
      </c>
      <c r="T6885" s="18" t="s">
        <v>15415</v>
      </c>
      <c r="U6885" s="18" t="s">
        <v>15416</v>
      </c>
      <c r="V6885" s="18" t="s">
        <v>15417</v>
      </c>
      <c r="W6885" s="18" t="s">
        <v>15418</v>
      </c>
      <c r="X6885" s="18" t="s">
        <v>42</v>
      </c>
      <c r="Y6885" s="18" t="s">
        <v>12266</v>
      </c>
      <c r="Z6885" s="18" t="s">
        <v>13441</v>
      </c>
      <c r="AA6885" s="21" t="str">
        <f>HYPERLINK("https://www.ncbi.nlm.nih.gov/nuccore/HQ180391","NCBI Nucleotide")</f>
        <v>NCBI Nucleotide</v>
      </c>
    </row>
    <row r="6886" spans="1:27" x14ac:dyDescent="0.35">
      <c r="A6886">
        <v>1007896</v>
      </c>
      <c r="B6886">
        <v>6457</v>
      </c>
      <c r="C6886">
        <v>1</v>
      </c>
      <c r="D6886" s="17" t="s">
        <v>10507</v>
      </c>
      <c r="E6886" s="17"/>
      <c r="F6886" s="17" t="s">
        <v>10780</v>
      </c>
      <c r="G6886" s="17"/>
      <c r="H6886" s="17" t="s">
        <v>12908</v>
      </c>
      <c r="I6886" s="17"/>
      <c r="J6886" s="17" t="s">
        <v>14018</v>
      </c>
      <c r="K6886" s="17"/>
      <c r="L6886" s="17" t="s">
        <v>14019</v>
      </c>
      <c r="M6886" s="17"/>
      <c r="N6886" s="17" t="s">
        <v>14020</v>
      </c>
      <c r="O6886" s="17"/>
      <c r="P6886" s="17" t="s">
        <v>14040</v>
      </c>
      <c r="Q6886" s="17"/>
      <c r="R6886" s="25" t="str">
        <f>HYPERLINK("https://ictv.global/taxonomy/taxondetails?taxnode_id=202303398","Begomovirus nicotianarugosi")</f>
        <v>Begomovirus nicotianarugosi</v>
      </c>
      <c r="S6886" s="18" t="s">
        <v>30</v>
      </c>
      <c r="T6886" s="18" t="s">
        <v>15428</v>
      </c>
      <c r="U6886" s="18" t="s">
        <v>15429</v>
      </c>
      <c r="V6886" s="18" t="s">
        <v>15430</v>
      </c>
      <c r="W6886" s="18" t="s">
        <v>15431</v>
      </c>
      <c r="X6886" s="18" t="s">
        <v>42</v>
      </c>
      <c r="Y6886" s="18" t="s">
        <v>12266</v>
      </c>
      <c r="Z6886" s="18" t="s">
        <v>13441</v>
      </c>
      <c r="AA6886" s="21" t="str">
        <f>HYPERLINK("https://www.ncbi.nlm.nih.gov/nuccore/AJ488768","NCBI Nucleotide")</f>
        <v>NCBI Nucleotide</v>
      </c>
    </row>
    <row r="6887" spans="1:27" x14ac:dyDescent="0.35">
      <c r="A6887">
        <v>1007893</v>
      </c>
      <c r="B6887">
        <v>6458</v>
      </c>
      <c r="C6887">
        <v>1</v>
      </c>
      <c r="D6887" s="17" t="s">
        <v>10507</v>
      </c>
      <c r="E6887" s="17"/>
      <c r="F6887" s="17" t="s">
        <v>10780</v>
      </c>
      <c r="G6887" s="17"/>
      <c r="H6887" s="17" t="s">
        <v>12908</v>
      </c>
      <c r="I6887" s="17"/>
      <c r="J6887" s="17" t="s">
        <v>14018</v>
      </c>
      <c r="K6887" s="17"/>
      <c r="L6887" s="17" t="s">
        <v>14019</v>
      </c>
      <c r="M6887" s="17"/>
      <c r="N6887" s="17" t="s">
        <v>14020</v>
      </c>
      <c r="O6887" s="17"/>
      <c r="P6887" s="17" t="s">
        <v>14040</v>
      </c>
      <c r="Q6887" s="17"/>
      <c r="R6887" s="25" t="str">
        <f>HYPERLINK("https://ictv.global/taxonomy/taxondetails?taxnode_id=202303395","Begomovirus nicotianathailandense")</f>
        <v>Begomovirus nicotianathailandense</v>
      </c>
      <c r="S6887" s="18" t="s">
        <v>30</v>
      </c>
      <c r="T6887" s="18" t="s">
        <v>15419</v>
      </c>
      <c r="U6887" s="18" t="s">
        <v>15420</v>
      </c>
      <c r="V6887" s="18" t="s">
        <v>15421</v>
      </c>
      <c r="W6887" s="18" t="s">
        <v>41535</v>
      </c>
      <c r="X6887" s="18" t="s">
        <v>42</v>
      </c>
      <c r="Y6887" s="18" t="s">
        <v>12266</v>
      </c>
      <c r="Z6887" s="18" t="s">
        <v>13441</v>
      </c>
      <c r="AA6887" s="21" t="str">
        <f>HYPERLINK("https://www.ncbi.nlm.nih.gov/nuccore/DQ871221","NCBI Nucleotide")</f>
        <v>NCBI Nucleotide</v>
      </c>
    </row>
    <row r="6888" spans="1:27" x14ac:dyDescent="0.35">
      <c r="A6888">
        <v>1007897</v>
      </c>
      <c r="B6888">
        <v>6459</v>
      </c>
      <c r="C6888">
        <v>1</v>
      </c>
      <c r="D6888" s="17" t="s">
        <v>10507</v>
      </c>
      <c r="E6888" s="17"/>
      <c r="F6888" s="17" t="s">
        <v>10780</v>
      </c>
      <c r="G6888" s="17"/>
      <c r="H6888" s="17" t="s">
        <v>12908</v>
      </c>
      <c r="I6888" s="17"/>
      <c r="J6888" s="17" t="s">
        <v>14018</v>
      </c>
      <c r="K6888" s="17"/>
      <c r="L6888" s="17" t="s">
        <v>14019</v>
      </c>
      <c r="M6888" s="17"/>
      <c r="N6888" s="17" t="s">
        <v>14020</v>
      </c>
      <c r="O6888" s="17"/>
      <c r="P6888" s="17" t="s">
        <v>14040</v>
      </c>
      <c r="Q6888" s="17"/>
      <c r="R6888" s="25" t="str">
        <f>HYPERLINK("https://ictv.global/taxonomy/taxondetails?taxnode_id=202303399","Begomovirus nicotianavariati")</f>
        <v>Begomovirus nicotianavariati</v>
      </c>
      <c r="S6888" s="18" t="s">
        <v>30</v>
      </c>
      <c r="T6888" s="18" t="s">
        <v>15432</v>
      </c>
      <c r="U6888" s="18" t="s">
        <v>15433</v>
      </c>
      <c r="V6888" s="18" t="s">
        <v>15434</v>
      </c>
      <c r="W6888" s="18" t="s">
        <v>41536</v>
      </c>
      <c r="X6888" s="18" t="s">
        <v>42</v>
      </c>
      <c r="Y6888" s="18" t="s">
        <v>12266</v>
      </c>
      <c r="Z6888" s="18" t="s">
        <v>13441</v>
      </c>
      <c r="AA6888" s="21" t="str">
        <f>HYPERLINK("https://www.ncbi.nlm.nih.gov/nuccore/FM160943","NCBI Nucleotide")</f>
        <v>NCBI Nucleotide</v>
      </c>
    </row>
    <row r="6889" spans="1:27" x14ac:dyDescent="0.35">
      <c r="A6889">
        <v>1007894</v>
      </c>
      <c r="B6889">
        <v>6460</v>
      </c>
      <c r="C6889">
        <v>1</v>
      </c>
      <c r="D6889" s="17" t="s">
        <v>10507</v>
      </c>
      <c r="E6889" s="17"/>
      <c r="F6889" s="17" t="s">
        <v>10780</v>
      </c>
      <c r="G6889" s="17"/>
      <c r="H6889" s="17" t="s">
        <v>12908</v>
      </c>
      <c r="I6889" s="17"/>
      <c r="J6889" s="17" t="s">
        <v>14018</v>
      </c>
      <c r="K6889" s="17"/>
      <c r="L6889" s="17" t="s">
        <v>14019</v>
      </c>
      <c r="M6889" s="17"/>
      <c r="N6889" s="17" t="s">
        <v>14020</v>
      </c>
      <c r="O6889" s="17"/>
      <c r="P6889" s="17" t="s">
        <v>14040</v>
      </c>
      <c r="Q6889" s="17"/>
      <c r="R6889" s="25" t="str">
        <f>HYPERLINK("https://ictv.global/taxonomy/taxondetails?taxnode_id=202303396","Begomovirus nicotianayunnanense")</f>
        <v>Begomovirus nicotianayunnanense</v>
      </c>
      <c r="S6889" s="18" t="s">
        <v>30</v>
      </c>
      <c r="T6889" s="18" t="s">
        <v>15422</v>
      </c>
      <c r="U6889" s="18" t="s">
        <v>15423</v>
      </c>
      <c r="V6889" s="18" t="s">
        <v>15424</v>
      </c>
      <c r="W6889" s="18" t="s">
        <v>41537</v>
      </c>
      <c r="X6889" s="18" t="s">
        <v>42</v>
      </c>
      <c r="Y6889" s="18" t="s">
        <v>12266</v>
      </c>
      <c r="Z6889" s="18" t="s">
        <v>13441</v>
      </c>
      <c r="AA6889" s="21" t="str">
        <f>HYPERLINK("https://www.ncbi.nlm.nih.gov/nuccore/AJ512761","NCBI Nucleotide")</f>
        <v>NCBI Nucleotide</v>
      </c>
    </row>
    <row r="6890" spans="1:27" x14ac:dyDescent="0.35">
      <c r="A6890">
        <v>1007895</v>
      </c>
      <c r="B6890">
        <v>6461</v>
      </c>
      <c r="C6890">
        <v>1</v>
      </c>
      <c r="D6890" s="17" t="s">
        <v>10507</v>
      </c>
      <c r="E6890" s="17"/>
      <c r="F6890" s="17" t="s">
        <v>10780</v>
      </c>
      <c r="G6890" s="17"/>
      <c r="H6890" s="17" t="s">
        <v>12908</v>
      </c>
      <c r="I6890" s="17"/>
      <c r="J6890" s="17" t="s">
        <v>14018</v>
      </c>
      <c r="K6890" s="17"/>
      <c r="L6890" s="17" t="s">
        <v>14019</v>
      </c>
      <c r="M6890" s="17"/>
      <c r="N6890" s="17" t="s">
        <v>14020</v>
      </c>
      <c r="O6890" s="17"/>
      <c r="P6890" s="17" t="s">
        <v>14040</v>
      </c>
      <c r="Q6890" s="17"/>
      <c r="R6890" s="25" t="str">
        <f>HYPERLINK("https://ictv.global/taxonomy/taxondetails?taxnode_id=202303397","Begomovirus nicotianazimbabwense")</f>
        <v>Begomovirus nicotianazimbabwense</v>
      </c>
      <c r="S6890" s="18" t="s">
        <v>30</v>
      </c>
      <c r="T6890" s="18" t="s">
        <v>15425</v>
      </c>
      <c r="U6890" s="18" t="s">
        <v>15426</v>
      </c>
      <c r="V6890" s="18" t="s">
        <v>15427</v>
      </c>
      <c r="W6890" s="20" t="s">
        <v>41538</v>
      </c>
      <c r="X6890" s="18" t="s">
        <v>42</v>
      </c>
      <c r="Y6890" s="18" t="s">
        <v>12266</v>
      </c>
      <c r="Z6890" s="18" t="s">
        <v>13441</v>
      </c>
      <c r="AA6890" s="21" t="str">
        <f>HYPERLINK("https://www.ncbi.nlm.nih.gov/nuccore/AF350330","NCBI Nucleotide")</f>
        <v>NCBI Nucleotide</v>
      </c>
    </row>
    <row r="6891" spans="1:27" x14ac:dyDescent="0.35">
      <c r="A6891">
        <v>1007760</v>
      </c>
      <c r="B6891">
        <v>6462</v>
      </c>
      <c r="C6891">
        <v>1</v>
      </c>
      <c r="D6891" s="17" t="s">
        <v>10507</v>
      </c>
      <c r="E6891" s="17"/>
      <c r="F6891" s="17" t="s">
        <v>10780</v>
      </c>
      <c r="G6891" s="17"/>
      <c r="H6891" s="17" t="s">
        <v>12908</v>
      </c>
      <c r="I6891" s="17"/>
      <c r="J6891" s="17" t="s">
        <v>14018</v>
      </c>
      <c r="K6891" s="17"/>
      <c r="L6891" s="17" t="s">
        <v>14019</v>
      </c>
      <c r="M6891" s="17"/>
      <c r="N6891" s="17" t="s">
        <v>14020</v>
      </c>
      <c r="O6891" s="17"/>
      <c r="P6891" s="17" t="s">
        <v>14040</v>
      </c>
      <c r="Q6891" s="17"/>
      <c r="R6891" s="25" t="str">
        <f>HYPERLINK("https://ictv.global/taxonomy/taxondetails?taxnode_id=202309125","Begomovirus ocimumaurei")</f>
        <v>Begomovirus ocimumaurei</v>
      </c>
      <c r="S6891" s="18" t="s">
        <v>30</v>
      </c>
      <c r="T6891" s="18" t="s">
        <v>14842</v>
      </c>
      <c r="U6891" s="18" t="s">
        <v>14843</v>
      </c>
      <c r="V6891" s="18" t="s">
        <v>14844</v>
      </c>
      <c r="W6891" s="18" t="s">
        <v>50765</v>
      </c>
      <c r="X6891" s="18" t="s">
        <v>42</v>
      </c>
      <c r="Y6891" s="18" t="s">
        <v>12266</v>
      </c>
      <c r="Z6891" s="18" t="s">
        <v>13441</v>
      </c>
      <c r="AA6891" s="21" t="str">
        <f>HYPERLINK("https://www.ncbi.nlm.nih.gov/nuccore/MN313661,MN313660","NCBI Nucleotide")</f>
        <v>NCBI Nucleotide</v>
      </c>
    </row>
    <row r="6892" spans="1:27" x14ac:dyDescent="0.35">
      <c r="A6892">
        <v>1007761</v>
      </c>
      <c r="B6892">
        <v>6463</v>
      </c>
      <c r="C6892">
        <v>1</v>
      </c>
      <c r="D6892" s="17" t="s">
        <v>10507</v>
      </c>
      <c r="E6892" s="17"/>
      <c r="F6892" s="17" t="s">
        <v>10780</v>
      </c>
      <c r="G6892" s="17"/>
      <c r="H6892" s="17" t="s">
        <v>12908</v>
      </c>
      <c r="I6892" s="17"/>
      <c r="J6892" s="17" t="s">
        <v>14018</v>
      </c>
      <c r="K6892" s="17"/>
      <c r="L6892" s="17" t="s">
        <v>14019</v>
      </c>
      <c r="M6892" s="17"/>
      <c r="N6892" s="17" t="s">
        <v>14020</v>
      </c>
      <c r="O6892" s="17"/>
      <c r="P6892" s="17" t="s">
        <v>14040</v>
      </c>
      <c r="Q6892" s="17"/>
      <c r="R6892" s="25" t="str">
        <f>HYPERLINK("https://ictv.global/taxonomy/taxondetails?taxnode_id=202309124","Begomovirus ocimummusivi")</f>
        <v>Begomovirus ocimummusivi</v>
      </c>
      <c r="S6892" s="18" t="s">
        <v>30</v>
      </c>
      <c r="T6892" s="18" t="s">
        <v>14845</v>
      </c>
      <c r="U6892" s="18" t="s">
        <v>14846</v>
      </c>
      <c r="V6892" s="18" t="s">
        <v>14844</v>
      </c>
      <c r="W6892" s="18" t="s">
        <v>50766</v>
      </c>
      <c r="X6892" s="18" t="s">
        <v>42</v>
      </c>
      <c r="Y6892" s="18" t="s">
        <v>12266</v>
      </c>
      <c r="Z6892" s="18" t="s">
        <v>13441</v>
      </c>
      <c r="AA6892" s="21" t="str">
        <f>HYPERLINK("https://www.ncbi.nlm.nih.gov/nuccore/MN313669,MN313668","NCBI Nucleotide")</f>
        <v>NCBI Nucleotide</v>
      </c>
    </row>
    <row r="6893" spans="1:27" x14ac:dyDescent="0.35">
      <c r="A6893">
        <v>1007762</v>
      </c>
      <c r="B6893">
        <v>6464</v>
      </c>
      <c r="C6893">
        <v>1</v>
      </c>
      <c r="D6893" s="17" t="s">
        <v>10507</v>
      </c>
      <c r="E6893" s="17"/>
      <c r="F6893" s="17" t="s">
        <v>10780</v>
      </c>
      <c r="G6893" s="17"/>
      <c r="H6893" s="17" t="s">
        <v>12908</v>
      </c>
      <c r="I6893" s="17"/>
      <c r="J6893" s="17" t="s">
        <v>14018</v>
      </c>
      <c r="K6893" s="17"/>
      <c r="L6893" s="17" t="s">
        <v>14019</v>
      </c>
      <c r="M6893" s="17"/>
      <c r="N6893" s="17" t="s">
        <v>14020</v>
      </c>
      <c r="O6893" s="17"/>
      <c r="P6893" s="17" t="s">
        <v>14040</v>
      </c>
      <c r="Q6893" s="17"/>
      <c r="R6893" s="25" t="str">
        <f>HYPERLINK("https://ictv.global/taxonomy/taxondetails?taxnode_id=202309123","Begomovirus ocimumvenae")</f>
        <v>Begomovirus ocimumvenae</v>
      </c>
      <c r="S6893" s="18" t="s">
        <v>30</v>
      </c>
      <c r="T6893" s="18" t="s">
        <v>14847</v>
      </c>
      <c r="U6893" s="18" t="s">
        <v>14848</v>
      </c>
      <c r="V6893" s="18" t="s">
        <v>14849</v>
      </c>
      <c r="W6893" s="18" t="s">
        <v>50767</v>
      </c>
      <c r="X6893" s="18" t="s">
        <v>42</v>
      </c>
      <c r="Y6893" s="18" t="s">
        <v>12266</v>
      </c>
      <c r="Z6893" s="18" t="s">
        <v>13441</v>
      </c>
      <c r="AA6893" s="21" t="str">
        <f>HYPERLINK("https://www.ncbi.nlm.nih.gov/nuccore/MN313667,MN313666","NCBI Nucleotide")</f>
        <v>NCBI Nucleotide</v>
      </c>
    </row>
    <row r="6894" spans="1:27" x14ac:dyDescent="0.35">
      <c r="A6894">
        <v>1007768</v>
      </c>
      <c r="B6894">
        <v>6465</v>
      </c>
      <c r="C6894">
        <v>1</v>
      </c>
      <c r="D6894" s="17" t="s">
        <v>10507</v>
      </c>
      <c r="E6894" s="17"/>
      <c r="F6894" s="17" t="s">
        <v>10780</v>
      </c>
      <c r="G6894" s="17"/>
      <c r="H6894" s="17" t="s">
        <v>12908</v>
      </c>
      <c r="I6894" s="17"/>
      <c r="J6894" s="17" t="s">
        <v>14018</v>
      </c>
      <c r="K6894" s="17"/>
      <c r="L6894" s="17" t="s">
        <v>14019</v>
      </c>
      <c r="M6894" s="17"/>
      <c r="N6894" s="17" t="s">
        <v>14020</v>
      </c>
      <c r="O6894" s="17"/>
      <c r="P6894" s="17" t="s">
        <v>14040</v>
      </c>
      <c r="Q6894" s="17"/>
      <c r="R6894" s="25" t="str">
        <f>HYPERLINK("https://ictv.global/taxonomy/taxondetails?taxnode_id=202305816","Begomovirus oxalisflavi")</f>
        <v>Begomovirus oxalisflavi</v>
      </c>
      <c r="S6894" s="18" t="s">
        <v>30</v>
      </c>
      <c r="T6894" s="18" t="s">
        <v>14873</v>
      </c>
      <c r="U6894" s="18" t="s">
        <v>14874</v>
      </c>
      <c r="V6894" s="18" t="s">
        <v>14875</v>
      </c>
      <c r="W6894" s="18" t="s">
        <v>14876</v>
      </c>
      <c r="X6894" s="18" t="s">
        <v>42</v>
      </c>
      <c r="Y6894" s="18" t="s">
        <v>12266</v>
      </c>
      <c r="Z6894" s="18" t="s">
        <v>13441</v>
      </c>
      <c r="AA6894" s="21" t="str">
        <f>HYPERLINK("https://www.ncbi.nlm.nih.gov/nuccore/KM887907","NCBI Nucleotide")</f>
        <v>NCBI Nucleotide</v>
      </c>
    </row>
    <row r="6895" spans="1:27" x14ac:dyDescent="0.35">
      <c r="A6895">
        <v>1007769</v>
      </c>
      <c r="B6895">
        <v>6466</v>
      </c>
      <c r="C6895">
        <v>1</v>
      </c>
      <c r="D6895" s="17" t="s">
        <v>10507</v>
      </c>
      <c r="E6895" s="17"/>
      <c r="F6895" s="17" t="s">
        <v>10780</v>
      </c>
      <c r="G6895" s="17"/>
      <c r="H6895" s="17" t="s">
        <v>12908</v>
      </c>
      <c r="I6895" s="17"/>
      <c r="J6895" s="17" t="s">
        <v>14018</v>
      </c>
      <c r="K6895" s="17"/>
      <c r="L6895" s="17" t="s">
        <v>14019</v>
      </c>
      <c r="M6895" s="17"/>
      <c r="N6895" s="17" t="s">
        <v>14020</v>
      </c>
      <c r="O6895" s="17"/>
      <c r="P6895" s="17" t="s">
        <v>14040</v>
      </c>
      <c r="Q6895" s="17"/>
      <c r="R6895" s="25" t="str">
        <f>HYPERLINK("https://ictv.global/taxonomy/taxondetails?taxnode_id=202303300","Begomovirus papayae")</f>
        <v>Begomovirus papayae</v>
      </c>
      <c r="S6895" s="18" t="s">
        <v>30</v>
      </c>
      <c r="T6895" s="18" t="s">
        <v>14877</v>
      </c>
      <c r="U6895" s="18" t="s">
        <v>14878</v>
      </c>
      <c r="V6895" s="18" t="s">
        <v>14879</v>
      </c>
      <c r="W6895" s="18" t="s">
        <v>14880</v>
      </c>
      <c r="X6895" s="18" t="s">
        <v>42</v>
      </c>
      <c r="Y6895" s="18" t="s">
        <v>12266</v>
      </c>
      <c r="Z6895" s="18" t="s">
        <v>13441</v>
      </c>
      <c r="AA6895" s="21" t="str">
        <f>HYPERLINK("https://www.ncbi.nlm.nih.gov/nuccore/HM140367","NCBI Nucleotide")</f>
        <v>NCBI Nucleotide</v>
      </c>
    </row>
    <row r="6896" spans="1:27" x14ac:dyDescent="0.35">
      <c r="A6896">
        <v>1007777</v>
      </c>
      <c r="B6896">
        <v>6467</v>
      </c>
      <c r="C6896">
        <v>1</v>
      </c>
      <c r="D6896" s="17" t="s">
        <v>10507</v>
      </c>
      <c r="E6896" s="17"/>
      <c r="F6896" s="17" t="s">
        <v>10780</v>
      </c>
      <c r="G6896" s="17"/>
      <c r="H6896" s="17" t="s">
        <v>12908</v>
      </c>
      <c r="I6896" s="17"/>
      <c r="J6896" s="17" t="s">
        <v>14018</v>
      </c>
      <c r="K6896" s="17"/>
      <c r="L6896" s="17" t="s">
        <v>14019</v>
      </c>
      <c r="M6896" s="17"/>
      <c r="N6896" s="17" t="s">
        <v>14020</v>
      </c>
      <c r="O6896" s="17"/>
      <c r="P6896" s="17" t="s">
        <v>14040</v>
      </c>
      <c r="Q6896" s="17"/>
      <c r="R6896" s="25" t="str">
        <f>HYPERLINK("https://ictv.global/taxonomy/taxondetails?taxnode_id=202305817","Begomovirus passifloracontorsionis")</f>
        <v>Begomovirus passifloracontorsionis</v>
      </c>
      <c r="S6896" s="18" t="s">
        <v>30</v>
      </c>
      <c r="T6896" s="18" t="s">
        <v>14940</v>
      </c>
      <c r="U6896" s="18" t="s">
        <v>14941</v>
      </c>
      <c r="V6896" s="18" t="s">
        <v>14942</v>
      </c>
      <c r="W6896" s="18" t="s">
        <v>14943</v>
      </c>
      <c r="X6896" s="18" t="s">
        <v>42</v>
      </c>
      <c r="Y6896" s="18" t="s">
        <v>12266</v>
      </c>
      <c r="Z6896" s="18" t="s">
        <v>13441</v>
      </c>
      <c r="AA6896" s="21" t="str">
        <f>HYPERLINK("https://www.ncbi.nlm.nih.gov/nuccore/KT899302,KT899303","NCBI Nucleotide")</f>
        <v>NCBI Nucleotide</v>
      </c>
    </row>
    <row r="6897" spans="1:27" x14ac:dyDescent="0.35">
      <c r="A6897">
        <v>1007776</v>
      </c>
      <c r="B6897">
        <v>6468</v>
      </c>
      <c r="C6897">
        <v>1</v>
      </c>
      <c r="D6897" s="17" t="s">
        <v>10507</v>
      </c>
      <c r="E6897" s="17"/>
      <c r="F6897" s="17" t="s">
        <v>10780</v>
      </c>
      <c r="G6897" s="17"/>
      <c r="H6897" s="17" t="s">
        <v>12908</v>
      </c>
      <c r="I6897" s="17"/>
      <c r="J6897" s="17" t="s">
        <v>14018</v>
      </c>
      <c r="K6897" s="17"/>
      <c r="L6897" s="17" t="s">
        <v>14019</v>
      </c>
      <c r="M6897" s="17"/>
      <c r="N6897" s="17" t="s">
        <v>14020</v>
      </c>
      <c r="O6897" s="17"/>
      <c r="P6897" s="17" t="s">
        <v>14040</v>
      </c>
      <c r="Q6897" s="17"/>
      <c r="R6897" s="25" t="str">
        <f>HYPERLINK("https://ictv.global/taxonomy/taxondetails?taxnode_id=202307527","Begomovirus passiflorae")</f>
        <v>Begomovirus passiflorae</v>
      </c>
      <c r="S6897" s="18" t="s">
        <v>30</v>
      </c>
      <c r="T6897" s="18" t="s">
        <v>14937</v>
      </c>
      <c r="U6897" s="18" t="s">
        <v>14938</v>
      </c>
      <c r="V6897" s="18" t="s">
        <v>14939</v>
      </c>
      <c r="W6897" s="18" t="s">
        <v>41539</v>
      </c>
      <c r="X6897" s="18" t="s">
        <v>42</v>
      </c>
      <c r="Y6897" s="18" t="s">
        <v>12266</v>
      </c>
      <c r="Z6897" s="18" t="s">
        <v>13441</v>
      </c>
      <c r="AA6897" s="21" t="str">
        <f>HYPERLINK("https://www.ncbi.nlm.nih.gov/nuccore/MK087124","NCBI Nucleotide")</f>
        <v>NCBI Nucleotide</v>
      </c>
    </row>
    <row r="6898" spans="1:27" x14ac:dyDescent="0.35">
      <c r="A6898">
        <v>1007778</v>
      </c>
      <c r="B6898">
        <v>6469</v>
      </c>
      <c r="C6898">
        <v>1</v>
      </c>
      <c r="D6898" s="17" t="s">
        <v>10507</v>
      </c>
      <c r="E6898" s="17"/>
      <c r="F6898" s="17" t="s">
        <v>10780</v>
      </c>
      <c r="G6898" s="17"/>
      <c r="H6898" s="17" t="s">
        <v>12908</v>
      </c>
      <c r="I6898" s="17"/>
      <c r="J6898" s="17" t="s">
        <v>14018</v>
      </c>
      <c r="K6898" s="17"/>
      <c r="L6898" s="17" t="s">
        <v>14019</v>
      </c>
      <c r="M6898" s="17"/>
      <c r="N6898" s="17" t="s">
        <v>14020</v>
      </c>
      <c r="O6898" s="17"/>
      <c r="P6898" s="17" t="s">
        <v>14040</v>
      </c>
      <c r="Q6898" s="17"/>
      <c r="R6898" s="25" t="str">
        <f>HYPERLINK("https://ictv.global/taxonomy/taxondetails?taxnode_id=202303304","Begomovirus passifloraseveri")</f>
        <v>Begomovirus passifloraseveri</v>
      </c>
      <c r="S6898" s="18" t="s">
        <v>30</v>
      </c>
      <c r="T6898" s="18" t="s">
        <v>14944</v>
      </c>
      <c r="U6898" s="18" t="s">
        <v>14945</v>
      </c>
      <c r="V6898" s="18" t="s">
        <v>14946</v>
      </c>
      <c r="W6898" s="18" t="s">
        <v>14947</v>
      </c>
      <c r="X6898" s="18" t="s">
        <v>42</v>
      </c>
      <c r="Y6898" s="18" t="s">
        <v>12266</v>
      </c>
      <c r="Z6898" s="18" t="s">
        <v>13441</v>
      </c>
      <c r="AA6898" s="21" t="str">
        <f>HYPERLINK("https://www.ncbi.nlm.nih.gov/nuccore/FJ972767,FJ972768","NCBI Nucleotide")</f>
        <v>NCBI Nucleotide</v>
      </c>
    </row>
    <row r="6899" spans="1:27" x14ac:dyDescent="0.35">
      <c r="A6899">
        <v>1007779</v>
      </c>
      <c r="B6899">
        <v>6470</v>
      </c>
      <c r="C6899">
        <v>1</v>
      </c>
      <c r="D6899" s="17" t="s">
        <v>10507</v>
      </c>
      <c r="E6899" s="17"/>
      <c r="F6899" s="17" t="s">
        <v>10780</v>
      </c>
      <c r="G6899" s="17"/>
      <c r="H6899" s="17" t="s">
        <v>12908</v>
      </c>
      <c r="I6899" s="17"/>
      <c r="J6899" s="17" t="s">
        <v>14018</v>
      </c>
      <c r="K6899" s="17"/>
      <c r="L6899" s="17" t="s">
        <v>14019</v>
      </c>
      <c r="M6899" s="17"/>
      <c r="N6899" s="17" t="s">
        <v>14020</v>
      </c>
      <c r="O6899" s="17"/>
      <c r="P6899" s="17" t="s">
        <v>14040</v>
      </c>
      <c r="Q6899" s="17"/>
      <c r="R6899" s="25" t="str">
        <f>HYPERLINK("https://ictv.global/taxonomy/taxondetails?taxnode_id=202305818","Begomovirus pavoniae")</f>
        <v>Begomovirus pavoniae</v>
      </c>
      <c r="S6899" s="18" t="s">
        <v>30</v>
      </c>
      <c r="T6899" s="18" t="s">
        <v>14948</v>
      </c>
      <c r="U6899" s="18" t="s">
        <v>14949</v>
      </c>
      <c r="V6899" s="18" t="s">
        <v>14950</v>
      </c>
      <c r="W6899" s="18" t="s">
        <v>14951</v>
      </c>
      <c r="X6899" s="18" t="s">
        <v>42</v>
      </c>
      <c r="Y6899" s="18" t="s">
        <v>12266</v>
      </c>
      <c r="Z6899" s="18" t="s">
        <v>13441</v>
      </c>
      <c r="AA6899" s="21" t="str">
        <f>HYPERLINK("https://www.ncbi.nlm.nih.gov/nuccore/KT948785,KT948786","NCBI Nucleotide")</f>
        <v>NCBI Nucleotide</v>
      </c>
    </row>
    <row r="6900" spans="1:27" x14ac:dyDescent="0.35">
      <c r="A6900">
        <v>1007780</v>
      </c>
      <c r="B6900">
        <v>6471</v>
      </c>
      <c r="C6900">
        <v>1</v>
      </c>
      <c r="D6900" s="17" t="s">
        <v>10507</v>
      </c>
      <c r="E6900" s="17"/>
      <c r="F6900" s="17" t="s">
        <v>10780</v>
      </c>
      <c r="G6900" s="17"/>
      <c r="H6900" s="17" t="s">
        <v>12908</v>
      </c>
      <c r="I6900" s="17"/>
      <c r="J6900" s="17" t="s">
        <v>14018</v>
      </c>
      <c r="K6900" s="17"/>
      <c r="L6900" s="17" t="s">
        <v>14019</v>
      </c>
      <c r="M6900" s="17"/>
      <c r="N6900" s="17" t="s">
        <v>14020</v>
      </c>
      <c r="O6900" s="17"/>
      <c r="P6900" s="17" t="s">
        <v>14040</v>
      </c>
      <c r="Q6900" s="17"/>
      <c r="R6900" s="25" t="str">
        <f>HYPERLINK("https://ictv.global/taxonomy/taxondetails?taxnode_id=202305819","Begomovirus pavoniaflavi")</f>
        <v>Begomovirus pavoniaflavi</v>
      </c>
      <c r="S6900" s="18" t="s">
        <v>30</v>
      </c>
      <c r="T6900" s="18" t="s">
        <v>14952</v>
      </c>
      <c r="U6900" s="18" t="s">
        <v>14953</v>
      </c>
      <c r="V6900" s="18" t="s">
        <v>14954</v>
      </c>
      <c r="W6900" s="18" t="s">
        <v>14955</v>
      </c>
      <c r="X6900" s="18" t="s">
        <v>42</v>
      </c>
      <c r="Y6900" s="18" t="s">
        <v>12266</v>
      </c>
      <c r="Z6900" s="18" t="s">
        <v>13441</v>
      </c>
      <c r="AA6900" s="21" t="str">
        <f>HYPERLINK("https://www.ncbi.nlm.nih.gov/nuccore/KT948787,KT948788","NCBI Nucleotide")</f>
        <v>NCBI Nucleotide</v>
      </c>
    </row>
    <row r="6901" spans="1:27" x14ac:dyDescent="0.35">
      <c r="A6901">
        <v>1007782</v>
      </c>
      <c r="B6901">
        <v>6472</v>
      </c>
      <c r="C6901">
        <v>1</v>
      </c>
      <c r="D6901" s="17" t="s">
        <v>10507</v>
      </c>
      <c r="E6901" s="17"/>
      <c r="F6901" s="17" t="s">
        <v>10780</v>
      </c>
      <c r="G6901" s="17"/>
      <c r="H6901" s="17" t="s">
        <v>12908</v>
      </c>
      <c r="I6901" s="17"/>
      <c r="J6901" s="17" t="s">
        <v>14018</v>
      </c>
      <c r="K6901" s="17"/>
      <c r="L6901" s="17" t="s">
        <v>14019</v>
      </c>
      <c r="M6901" s="17"/>
      <c r="N6901" s="17" t="s">
        <v>14020</v>
      </c>
      <c r="O6901" s="17"/>
      <c r="P6901" s="17" t="s">
        <v>14040</v>
      </c>
      <c r="Q6901" s="17"/>
      <c r="R6901" s="25" t="str">
        <f>HYPERLINK("https://ictv.global/taxonomy/taxondetails?taxnode_id=202303305","Begomovirus pedilanthi")</f>
        <v>Begomovirus pedilanthi</v>
      </c>
      <c r="S6901" s="18" t="s">
        <v>30</v>
      </c>
      <c r="T6901" s="18" t="s">
        <v>14960</v>
      </c>
      <c r="U6901" s="18" t="s">
        <v>14961</v>
      </c>
      <c r="V6901" s="18" t="s">
        <v>14962</v>
      </c>
      <c r="W6901" s="18" t="s">
        <v>41540</v>
      </c>
      <c r="X6901" s="18" t="s">
        <v>42</v>
      </c>
      <c r="Y6901" s="18" t="s">
        <v>12266</v>
      </c>
      <c r="Z6901" s="18" t="s">
        <v>13441</v>
      </c>
      <c r="AA6901" s="21" t="str">
        <f>HYPERLINK("https://www.ncbi.nlm.nih.gov/nuccore/AM712436","NCBI Nucleotide")</f>
        <v>NCBI Nucleotide</v>
      </c>
    </row>
    <row r="6902" spans="1:27" x14ac:dyDescent="0.35">
      <c r="A6902">
        <v>1012571</v>
      </c>
      <c r="B6902">
        <v>6472</v>
      </c>
      <c r="C6902">
        <v>2</v>
      </c>
      <c r="D6902" s="17" t="s">
        <v>10507</v>
      </c>
      <c r="E6902" s="17"/>
      <c r="F6902" s="17" t="s">
        <v>10780</v>
      </c>
      <c r="G6902" s="17"/>
      <c r="H6902" s="17" t="s">
        <v>12908</v>
      </c>
      <c r="I6902" s="17"/>
      <c r="J6902" s="17" t="s">
        <v>14018</v>
      </c>
      <c r="K6902" s="17"/>
      <c r="L6902" s="17" t="s">
        <v>14019</v>
      </c>
      <c r="M6902" s="17"/>
      <c r="N6902" s="17" t="s">
        <v>14020</v>
      </c>
      <c r="O6902" s="17"/>
      <c r="P6902" s="17" t="s">
        <v>14040</v>
      </c>
      <c r="Q6902" s="17"/>
      <c r="R6902" s="25" t="str">
        <f>HYPERLINK("https://ictv.global/taxonomy/taxondetails?taxnode_id=202303305","Begomovirus pedilanthi")</f>
        <v>Begomovirus pedilanthi</v>
      </c>
      <c r="S6902" s="18" t="s">
        <v>8141</v>
      </c>
      <c r="T6902" s="18" t="s">
        <v>14960</v>
      </c>
      <c r="U6902" s="18" t="s">
        <v>14963</v>
      </c>
      <c r="V6902" s="18" t="s">
        <v>14964</v>
      </c>
      <c r="W6902" s="18" t="s">
        <v>49157</v>
      </c>
      <c r="X6902" s="18" t="s">
        <v>42</v>
      </c>
      <c r="Y6902" s="18" t="s">
        <v>12266</v>
      </c>
      <c r="Z6902" s="18" t="s">
        <v>13441</v>
      </c>
      <c r="AA6902" s="21" t="str">
        <f>HYPERLINK("https://www.ncbi.nlm.nih.gov/nuccore/DQ116884","NCBI Nucleotide")</f>
        <v>NCBI Nucleotide</v>
      </c>
    </row>
    <row r="6903" spans="1:27" x14ac:dyDescent="0.35">
      <c r="A6903">
        <v>1012572</v>
      </c>
      <c r="B6903">
        <v>6472</v>
      </c>
      <c r="C6903">
        <v>3</v>
      </c>
      <c r="D6903" s="17" t="s">
        <v>10507</v>
      </c>
      <c r="E6903" s="17"/>
      <c r="F6903" s="17" t="s">
        <v>10780</v>
      </c>
      <c r="G6903" s="17"/>
      <c r="H6903" s="17" t="s">
        <v>12908</v>
      </c>
      <c r="I6903" s="17"/>
      <c r="J6903" s="17" t="s">
        <v>14018</v>
      </c>
      <c r="K6903" s="17"/>
      <c r="L6903" s="17" t="s">
        <v>14019</v>
      </c>
      <c r="M6903" s="17"/>
      <c r="N6903" s="17" t="s">
        <v>14020</v>
      </c>
      <c r="O6903" s="17"/>
      <c r="P6903" s="17" t="s">
        <v>14040</v>
      </c>
      <c r="Q6903" s="17"/>
      <c r="R6903" s="25" t="str">
        <f>HYPERLINK("https://ictv.global/taxonomy/taxondetails?taxnode_id=202303305","Begomovirus pedilanthi")</f>
        <v>Begomovirus pedilanthi</v>
      </c>
      <c r="S6903" s="18" t="s">
        <v>8141</v>
      </c>
      <c r="T6903" s="18" t="s">
        <v>14960</v>
      </c>
      <c r="U6903" s="18" t="s">
        <v>14965</v>
      </c>
      <c r="V6903" s="18" t="s">
        <v>14966</v>
      </c>
      <c r="W6903" s="18" t="s">
        <v>49158</v>
      </c>
      <c r="X6903" s="18" t="s">
        <v>42</v>
      </c>
      <c r="Y6903" s="18" t="s">
        <v>12266</v>
      </c>
      <c r="Z6903" s="18" t="s">
        <v>13441</v>
      </c>
      <c r="AA6903" s="21" t="str">
        <f>HYPERLINK("https://www.ncbi.nlm.nih.gov/nuccore/AM948961","NCBI Nucleotide")</f>
        <v>NCBI Nucleotide</v>
      </c>
    </row>
    <row r="6904" spans="1:27" x14ac:dyDescent="0.35">
      <c r="A6904">
        <v>1007610</v>
      </c>
      <c r="B6904">
        <v>6473</v>
      </c>
      <c r="C6904">
        <v>1</v>
      </c>
      <c r="D6904" s="17" t="s">
        <v>10507</v>
      </c>
      <c r="E6904" s="17"/>
      <c r="F6904" s="17" t="s">
        <v>10780</v>
      </c>
      <c r="G6904" s="17"/>
      <c r="H6904" s="17" t="s">
        <v>12908</v>
      </c>
      <c r="I6904" s="17"/>
      <c r="J6904" s="17" t="s">
        <v>14018</v>
      </c>
      <c r="K6904" s="17"/>
      <c r="L6904" s="17" t="s">
        <v>14019</v>
      </c>
      <c r="M6904" s="17"/>
      <c r="N6904" s="17" t="s">
        <v>14020</v>
      </c>
      <c r="O6904" s="17"/>
      <c r="P6904" s="17" t="s">
        <v>14040</v>
      </c>
      <c r="Q6904" s="17"/>
      <c r="R6904" s="25" t="str">
        <f>HYPERLINK("https://ictv.global/taxonomy/taxondetails?taxnode_id=202306694","Begomovirus phaseoli")</f>
        <v>Begomovirus phaseoli</v>
      </c>
      <c r="S6904" s="18" t="s">
        <v>30</v>
      </c>
      <c r="T6904" s="18" t="s">
        <v>14159</v>
      </c>
      <c r="U6904" s="18" t="s">
        <v>14160</v>
      </c>
      <c r="V6904" s="18" t="s">
        <v>14161</v>
      </c>
      <c r="W6904" s="18" t="s">
        <v>50762</v>
      </c>
      <c r="X6904" s="18" t="s">
        <v>42</v>
      </c>
      <c r="Y6904" s="18" t="s">
        <v>12266</v>
      </c>
      <c r="Z6904" s="18" t="s">
        <v>13441</v>
      </c>
      <c r="AA6904" s="21" t="str">
        <f>HYPERLINK("https://www.ncbi.nlm.nih.gov/nuccore/KX857725,KX857726","NCBI Nucleotide")</f>
        <v>NCBI Nucleotide</v>
      </c>
    </row>
    <row r="6905" spans="1:27" x14ac:dyDescent="0.35">
      <c r="A6905">
        <v>1007611</v>
      </c>
      <c r="B6905">
        <v>6474</v>
      </c>
      <c r="C6905">
        <v>1</v>
      </c>
      <c r="D6905" s="17" t="s">
        <v>10507</v>
      </c>
      <c r="E6905" s="17"/>
      <c r="F6905" s="17" t="s">
        <v>10780</v>
      </c>
      <c r="G6905" s="17"/>
      <c r="H6905" s="17" t="s">
        <v>12908</v>
      </c>
      <c r="I6905" s="17"/>
      <c r="J6905" s="17" t="s">
        <v>14018</v>
      </c>
      <c r="K6905" s="17"/>
      <c r="L6905" s="17" t="s">
        <v>14019</v>
      </c>
      <c r="M6905" s="17"/>
      <c r="N6905" s="17" t="s">
        <v>14020</v>
      </c>
      <c r="O6905" s="17"/>
      <c r="P6905" s="17" t="s">
        <v>14040</v>
      </c>
      <c r="Q6905" s="17"/>
      <c r="R6905" s="25" t="str">
        <f>HYPERLINK("https://ictv.global/taxonomy/taxondetails?taxnode_id=202305790","Begomovirus phaseolialbi")</f>
        <v>Begomovirus phaseolialbi</v>
      </c>
      <c r="S6905" s="18" t="s">
        <v>30</v>
      </c>
      <c r="T6905" s="18" t="s">
        <v>14162</v>
      </c>
      <c r="U6905" s="18" t="s">
        <v>14163</v>
      </c>
      <c r="V6905" s="18" t="s">
        <v>14164</v>
      </c>
      <c r="W6905" s="18" t="s">
        <v>14165</v>
      </c>
      <c r="X6905" s="18" t="s">
        <v>42</v>
      </c>
      <c r="Y6905" s="18" t="s">
        <v>12266</v>
      </c>
      <c r="Z6905" s="18" t="s">
        <v>13441</v>
      </c>
      <c r="AA6905" s="21" t="str">
        <f>HYPERLINK("https://www.ncbi.nlm.nih.gov/nuccore/JN848772,JQ283246","NCBI Nucleotide")</f>
        <v>NCBI Nucleotide</v>
      </c>
    </row>
    <row r="6906" spans="1:27" x14ac:dyDescent="0.35">
      <c r="A6906">
        <v>1007604</v>
      </c>
      <c r="B6906">
        <v>6475</v>
      </c>
      <c r="C6906">
        <v>1</v>
      </c>
      <c r="D6906" s="17" t="s">
        <v>10507</v>
      </c>
      <c r="E6906" s="17"/>
      <c r="F6906" s="17" t="s">
        <v>10780</v>
      </c>
      <c r="G6906" s="17"/>
      <c r="H6906" s="17" t="s">
        <v>12908</v>
      </c>
      <c r="I6906" s="17"/>
      <c r="J6906" s="17" t="s">
        <v>14018</v>
      </c>
      <c r="K6906" s="17"/>
      <c r="L6906" s="17" t="s">
        <v>14019</v>
      </c>
      <c r="M6906" s="17"/>
      <c r="N6906" s="17" t="s">
        <v>14020</v>
      </c>
      <c r="O6906" s="17"/>
      <c r="P6906" s="17" t="s">
        <v>14040</v>
      </c>
      <c r="Q6906" s="17"/>
      <c r="R6906" s="25" t="str">
        <f>HYPERLINK("https://ictv.global/taxonomy/taxondetails?taxnode_id=202303187","Begomovirus phaseolicaliconis")</f>
        <v>Begomovirus phaseolicaliconis</v>
      </c>
      <c r="S6906" s="18" t="s">
        <v>30</v>
      </c>
      <c r="T6906" s="18" t="s">
        <v>14134</v>
      </c>
      <c r="U6906" s="18" t="s">
        <v>14135</v>
      </c>
      <c r="V6906" s="18" t="s">
        <v>14136</v>
      </c>
      <c r="W6906" s="18" t="s">
        <v>14137</v>
      </c>
      <c r="X6906" s="18" t="s">
        <v>42</v>
      </c>
      <c r="Y6906" s="18" t="s">
        <v>12266</v>
      </c>
      <c r="Z6906" s="18" t="s">
        <v>13441</v>
      </c>
      <c r="AA6906" s="21" t="str">
        <f>HYPERLINK("https://www.ncbi.nlm.nih.gov/nuccore/AF110189,AF110190","NCBI Nucleotide")</f>
        <v>NCBI Nucleotide</v>
      </c>
    </row>
    <row r="6907" spans="1:27" x14ac:dyDescent="0.35">
      <c r="A6907">
        <v>1007605</v>
      </c>
      <c r="B6907">
        <v>6476</v>
      </c>
      <c r="C6907">
        <v>1</v>
      </c>
      <c r="D6907" s="17" t="s">
        <v>10507</v>
      </c>
      <c r="E6907" s="17"/>
      <c r="F6907" s="17" t="s">
        <v>10780</v>
      </c>
      <c r="G6907" s="17"/>
      <c r="H6907" s="17" t="s">
        <v>12908</v>
      </c>
      <c r="I6907" s="17"/>
      <c r="J6907" s="17" t="s">
        <v>14018</v>
      </c>
      <c r="K6907" s="17"/>
      <c r="L6907" s="17" t="s">
        <v>14019</v>
      </c>
      <c r="M6907" s="17"/>
      <c r="N6907" s="17" t="s">
        <v>14020</v>
      </c>
      <c r="O6907" s="17"/>
      <c r="P6907" s="17" t="s">
        <v>14040</v>
      </c>
      <c r="Q6907" s="17"/>
      <c r="R6907" s="25" t="str">
        <f>HYPERLINK("https://ictv.global/taxonomy/taxondetails?taxnode_id=202303188","Begomovirus phaseolichlorosis")</f>
        <v>Begomovirus phaseolichlorosis</v>
      </c>
      <c r="S6907" s="18" t="s">
        <v>30</v>
      </c>
      <c r="T6907" s="18" t="s">
        <v>14138</v>
      </c>
      <c r="U6907" s="18" t="s">
        <v>14139</v>
      </c>
      <c r="V6907" s="18" t="s">
        <v>14140</v>
      </c>
      <c r="W6907" s="18" t="s">
        <v>14141</v>
      </c>
      <c r="X6907" s="18" t="s">
        <v>42</v>
      </c>
      <c r="Y6907" s="18" t="s">
        <v>12266</v>
      </c>
      <c r="Z6907" s="18" t="s">
        <v>13441</v>
      </c>
      <c r="AA6907" s="21" t="str">
        <f>HYPERLINK("https://www.ncbi.nlm.nih.gov/nuccore/JN848770,JN848771","NCBI Nucleotide")</f>
        <v>NCBI Nucleotide</v>
      </c>
    </row>
    <row r="6908" spans="1:27" x14ac:dyDescent="0.35">
      <c r="A6908">
        <v>1007699</v>
      </c>
      <c r="B6908">
        <v>6477</v>
      </c>
      <c r="C6908">
        <v>1</v>
      </c>
      <c r="D6908" s="17" t="s">
        <v>10507</v>
      </c>
      <c r="E6908" s="17"/>
      <c r="F6908" s="17" t="s">
        <v>10780</v>
      </c>
      <c r="G6908" s="17"/>
      <c r="H6908" s="17" t="s">
        <v>12908</v>
      </c>
      <c r="I6908" s="17"/>
      <c r="J6908" s="17" t="s">
        <v>14018</v>
      </c>
      <c r="K6908" s="17"/>
      <c r="L6908" s="17" t="s">
        <v>14019</v>
      </c>
      <c r="M6908" s="17"/>
      <c r="N6908" s="17" t="s">
        <v>14020</v>
      </c>
      <c r="O6908" s="17"/>
      <c r="P6908" s="17" t="s">
        <v>14040</v>
      </c>
      <c r="Q6908" s="17"/>
      <c r="R6908" s="25" t="str">
        <f>HYPERLINK("https://ictv.global/taxonomy/taxondetails?taxnode_id=202303253","Begomovirus phaseoligallici")</f>
        <v>Begomovirus phaseoligallici</v>
      </c>
      <c r="S6908" s="18" t="s">
        <v>30</v>
      </c>
      <c r="T6908" s="18" t="s">
        <v>14567</v>
      </c>
      <c r="U6908" s="18" t="s">
        <v>14568</v>
      </c>
      <c r="V6908" s="18" t="s">
        <v>14569</v>
      </c>
      <c r="W6908" s="18" t="s">
        <v>14570</v>
      </c>
      <c r="X6908" s="18" t="s">
        <v>42</v>
      </c>
      <c r="Y6908" s="18" t="s">
        <v>12266</v>
      </c>
      <c r="Z6908" s="18" t="s">
        <v>13441</v>
      </c>
      <c r="AA6908" s="21" t="str">
        <f>HYPERLINK("https://www.ncbi.nlm.nih.gov/nuccore/JQ866297","NCBI Nucleotide")</f>
        <v>NCBI Nucleotide</v>
      </c>
    </row>
    <row r="6909" spans="1:27" x14ac:dyDescent="0.35">
      <c r="A6909">
        <v>1007609</v>
      </c>
      <c r="B6909">
        <v>6478</v>
      </c>
      <c r="C6909">
        <v>1</v>
      </c>
      <c r="D6909" s="17" t="s">
        <v>10507</v>
      </c>
      <c r="E6909" s="17"/>
      <c r="F6909" s="17" t="s">
        <v>10780</v>
      </c>
      <c r="G6909" s="17"/>
      <c r="H6909" s="17" t="s">
        <v>12908</v>
      </c>
      <c r="I6909" s="17"/>
      <c r="J6909" s="17" t="s">
        <v>14018</v>
      </c>
      <c r="K6909" s="17"/>
      <c r="L6909" s="17" t="s">
        <v>14019</v>
      </c>
      <c r="M6909" s="17"/>
      <c r="N6909" s="17" t="s">
        <v>14020</v>
      </c>
      <c r="O6909" s="17"/>
      <c r="P6909" s="17" t="s">
        <v>14040</v>
      </c>
      <c r="Q6909" s="17"/>
      <c r="R6909" s="25" t="str">
        <f>HYPERLINK("https://ictv.global/taxonomy/taxondetails?taxnode_id=202309118","Begomovirus phaseolilatens")</f>
        <v>Begomovirus phaseolilatens</v>
      </c>
      <c r="S6909" s="18" t="s">
        <v>30</v>
      </c>
      <c r="T6909" s="18" t="s">
        <v>14156</v>
      </c>
      <c r="U6909" s="18" t="s">
        <v>14157</v>
      </c>
      <c r="V6909" s="18" t="s">
        <v>14158</v>
      </c>
      <c r="W6909" s="18" t="s">
        <v>50761</v>
      </c>
      <c r="X6909" s="18" t="s">
        <v>42</v>
      </c>
      <c r="Y6909" s="18" t="s">
        <v>12266</v>
      </c>
      <c r="Z6909" s="18" t="s">
        <v>13441</v>
      </c>
      <c r="AA6909" s="21" t="str">
        <f>HYPERLINK("https://www.ncbi.nlm.nih.gov/nuccore/MN158325,MN158326","NCBI Nucleotide")</f>
        <v>NCBI Nucleotide</v>
      </c>
    </row>
    <row r="6910" spans="1:27" x14ac:dyDescent="0.35">
      <c r="A6910">
        <v>1007612</v>
      </c>
      <c r="B6910">
        <v>6479</v>
      </c>
      <c r="C6910">
        <v>1</v>
      </c>
      <c r="D6910" s="17" t="s">
        <v>10507</v>
      </c>
      <c r="E6910" s="17"/>
      <c r="F6910" s="17" t="s">
        <v>10780</v>
      </c>
      <c r="G6910" s="17"/>
      <c r="H6910" s="17" t="s">
        <v>12908</v>
      </c>
      <c r="I6910" s="17"/>
      <c r="J6910" s="17" t="s">
        <v>14018</v>
      </c>
      <c r="K6910" s="17"/>
      <c r="L6910" s="17" t="s">
        <v>14019</v>
      </c>
      <c r="M6910" s="17"/>
      <c r="N6910" s="17" t="s">
        <v>14020</v>
      </c>
      <c r="O6910" s="17"/>
      <c r="P6910" s="17" t="s">
        <v>14040</v>
      </c>
      <c r="Q6910" s="17"/>
      <c r="R6910" s="25" t="str">
        <f>HYPERLINK("https://ictv.global/taxonomy/taxondetails?taxnode_id=202303192","Begomovirus phaseolimexicoense")</f>
        <v>Begomovirus phaseolimexicoense</v>
      </c>
      <c r="S6910" s="18" t="s">
        <v>30</v>
      </c>
      <c r="T6910" s="18" t="s">
        <v>14166</v>
      </c>
      <c r="U6910" s="18" t="s">
        <v>14167</v>
      </c>
      <c r="V6910" s="18" t="s">
        <v>14168</v>
      </c>
      <c r="W6910" s="18" t="s">
        <v>14169</v>
      </c>
      <c r="X6910" s="18" t="s">
        <v>42</v>
      </c>
      <c r="Y6910" s="18" t="s">
        <v>12266</v>
      </c>
      <c r="Z6910" s="18" t="s">
        <v>13441</v>
      </c>
      <c r="AA6910" s="21" t="str">
        <f>HYPERLINK("https://www.ncbi.nlm.nih.gov/nuccore/FJ944023","NCBI Nucleotide")</f>
        <v>NCBI Nucleotide</v>
      </c>
    </row>
    <row r="6911" spans="1:27" x14ac:dyDescent="0.35">
      <c r="A6911">
        <v>1007603</v>
      </c>
      <c r="B6911">
        <v>6480</v>
      </c>
      <c r="C6911">
        <v>1</v>
      </c>
      <c r="D6911" s="17" t="s">
        <v>10507</v>
      </c>
      <c r="E6911" s="17"/>
      <c r="F6911" s="17" t="s">
        <v>10780</v>
      </c>
      <c r="G6911" s="17"/>
      <c r="H6911" s="17" t="s">
        <v>12908</v>
      </c>
      <c r="I6911" s="17"/>
      <c r="J6911" s="17" t="s">
        <v>14018</v>
      </c>
      <c r="K6911" s="17"/>
      <c r="L6911" s="17" t="s">
        <v>14019</v>
      </c>
      <c r="M6911" s="17"/>
      <c r="N6911" s="17" t="s">
        <v>14020</v>
      </c>
      <c r="O6911" s="17"/>
      <c r="P6911" s="17" t="s">
        <v>14040</v>
      </c>
      <c r="Q6911" s="17"/>
      <c r="R6911" s="25" t="str">
        <f>HYPERLINK("https://ictv.global/taxonomy/taxondetails?taxnode_id=202309117","Begomovirus phaseoliretorridi")</f>
        <v>Begomovirus phaseoliretorridi</v>
      </c>
      <c r="S6911" s="18" t="s">
        <v>30</v>
      </c>
      <c r="T6911" s="18" t="s">
        <v>14131</v>
      </c>
      <c r="U6911" s="18" t="s">
        <v>14132</v>
      </c>
      <c r="V6911" s="18" t="s">
        <v>14133</v>
      </c>
      <c r="W6911" s="18" t="s">
        <v>50760</v>
      </c>
      <c r="X6911" s="18" t="s">
        <v>42</v>
      </c>
      <c r="Y6911" s="18" t="s">
        <v>12266</v>
      </c>
      <c r="Z6911" s="18" t="s">
        <v>13441</v>
      </c>
      <c r="AA6911" s="21" t="str">
        <f>HYPERLINK("https://www.ncbi.nlm.nih.gov/nuccore/MN414067,MN414068","NCBI Nucleotide")</f>
        <v>NCBI Nucleotide</v>
      </c>
    </row>
    <row r="6912" spans="1:27" x14ac:dyDescent="0.35">
      <c r="A6912">
        <v>1007648</v>
      </c>
      <c r="B6912">
        <v>6481</v>
      </c>
      <c r="C6912">
        <v>1</v>
      </c>
      <c r="D6912" s="17" t="s">
        <v>10507</v>
      </c>
      <c r="E6912" s="17"/>
      <c r="F6912" s="17" t="s">
        <v>10780</v>
      </c>
      <c r="G6912" s="17"/>
      <c r="H6912" s="17" t="s">
        <v>12908</v>
      </c>
      <c r="I6912" s="17"/>
      <c r="J6912" s="17" t="s">
        <v>14018</v>
      </c>
      <c r="K6912" s="17"/>
      <c r="L6912" s="17" t="s">
        <v>14019</v>
      </c>
      <c r="M6912" s="17"/>
      <c r="N6912" s="17" t="s">
        <v>14020</v>
      </c>
      <c r="O6912" s="17"/>
      <c r="P6912" s="17" t="s">
        <v>14040</v>
      </c>
      <c r="Q6912" s="17"/>
      <c r="R6912" s="25" t="str">
        <f>HYPERLINK("https://ictv.global/taxonomy/taxondetails?taxnode_id=202305793","Begomovirus phaseovulgaris")</f>
        <v>Begomovirus phaseovulgaris</v>
      </c>
      <c r="S6912" s="18" t="s">
        <v>30</v>
      </c>
      <c r="T6912" s="18" t="s">
        <v>14320</v>
      </c>
      <c r="U6912" s="18" t="s">
        <v>14321</v>
      </c>
      <c r="V6912" s="18" t="s">
        <v>14322</v>
      </c>
      <c r="W6912" s="18" t="s">
        <v>14323</v>
      </c>
      <c r="X6912" s="18" t="s">
        <v>42</v>
      </c>
      <c r="Y6912" s="18" t="s">
        <v>12266</v>
      </c>
      <c r="Z6912" s="18" t="s">
        <v>13441</v>
      </c>
      <c r="AA6912" s="21" t="str">
        <f>HYPERLINK("https://www.ncbi.nlm.nih.gov/nuccore/KX011473,KX011474","NCBI Nucleotide")</f>
        <v>NCBI Nucleotide</v>
      </c>
    </row>
    <row r="6913" spans="1:27" x14ac:dyDescent="0.35">
      <c r="A6913">
        <v>1007781</v>
      </c>
      <c r="B6913">
        <v>6482</v>
      </c>
      <c r="C6913">
        <v>1</v>
      </c>
      <c r="D6913" s="17" t="s">
        <v>10507</v>
      </c>
      <c r="E6913" s="17"/>
      <c r="F6913" s="17" t="s">
        <v>10780</v>
      </c>
      <c r="G6913" s="17"/>
      <c r="H6913" s="17" t="s">
        <v>12908</v>
      </c>
      <c r="I6913" s="17"/>
      <c r="J6913" s="17" t="s">
        <v>14018</v>
      </c>
      <c r="K6913" s="17"/>
      <c r="L6913" s="17" t="s">
        <v>14019</v>
      </c>
      <c r="M6913" s="17"/>
      <c r="N6913" s="17" t="s">
        <v>14020</v>
      </c>
      <c r="O6913" s="17"/>
      <c r="P6913" s="17" t="s">
        <v>14040</v>
      </c>
      <c r="Q6913" s="17"/>
      <c r="R6913" s="25" t="str">
        <f>HYPERLINK("https://ictv.global/taxonomy/taxondetails?taxnode_id=202305820","Begomovirus pisi")</f>
        <v>Begomovirus pisi</v>
      </c>
      <c r="S6913" s="18" t="s">
        <v>30</v>
      </c>
      <c r="T6913" s="18" t="s">
        <v>14956</v>
      </c>
      <c r="U6913" s="18" t="s">
        <v>14957</v>
      </c>
      <c r="V6913" s="18" t="s">
        <v>14958</v>
      </c>
      <c r="W6913" s="18" t="s">
        <v>14959</v>
      </c>
      <c r="X6913" s="18" t="s">
        <v>42</v>
      </c>
      <c r="Y6913" s="18" t="s">
        <v>12266</v>
      </c>
      <c r="Z6913" s="18" t="s">
        <v>13441</v>
      </c>
      <c r="AA6913" s="21" t="str">
        <f>HYPERLINK("https://www.ncbi.nlm.nih.gov/nuccore/KY001635","NCBI Nucleotide")</f>
        <v>NCBI Nucleotide</v>
      </c>
    </row>
    <row r="6914" spans="1:27" x14ac:dyDescent="0.35">
      <c r="A6914">
        <v>1007797</v>
      </c>
      <c r="B6914">
        <v>6483</v>
      </c>
      <c r="C6914">
        <v>1</v>
      </c>
      <c r="D6914" s="17" t="s">
        <v>10507</v>
      </c>
      <c r="E6914" s="17"/>
      <c r="F6914" s="17" t="s">
        <v>10780</v>
      </c>
      <c r="G6914" s="17"/>
      <c r="H6914" s="17" t="s">
        <v>12908</v>
      </c>
      <c r="I6914" s="17"/>
      <c r="J6914" s="17" t="s">
        <v>14018</v>
      </c>
      <c r="K6914" s="17"/>
      <c r="L6914" s="17" t="s">
        <v>14019</v>
      </c>
      <c r="M6914" s="17"/>
      <c r="N6914" s="17" t="s">
        <v>14020</v>
      </c>
      <c r="O6914" s="17"/>
      <c r="P6914" s="17" t="s">
        <v>14040</v>
      </c>
      <c r="Q6914" s="17"/>
      <c r="R6914" s="25" t="str">
        <f>HYPERLINK("https://ictv.global/taxonomy/taxondetails?taxnode_id=202309130","Begomovirus polygalae")</f>
        <v>Begomovirus polygalae</v>
      </c>
      <c r="S6914" s="18" t="s">
        <v>30</v>
      </c>
      <c r="T6914" s="18" t="s">
        <v>15027</v>
      </c>
      <c r="U6914" s="18" t="s">
        <v>15028</v>
      </c>
      <c r="V6914" s="18" t="s">
        <v>15029</v>
      </c>
      <c r="W6914" s="18" t="s">
        <v>41541</v>
      </c>
      <c r="X6914" s="18" t="s">
        <v>42</v>
      </c>
      <c r="Y6914" s="18" t="s">
        <v>12266</v>
      </c>
      <c r="Z6914" s="18" t="s">
        <v>13441</v>
      </c>
      <c r="AA6914" s="21" t="str">
        <f>HYPERLINK("https://www.ncbi.nlm.nih.gov/nuccore/MG001959","NCBI Nucleotide")</f>
        <v>NCBI Nucleotide</v>
      </c>
    </row>
    <row r="6915" spans="1:27" x14ac:dyDescent="0.35">
      <c r="A6915">
        <v>1007800</v>
      </c>
      <c r="B6915">
        <v>6484</v>
      </c>
      <c r="C6915">
        <v>1</v>
      </c>
      <c r="D6915" s="17" t="s">
        <v>10507</v>
      </c>
      <c r="E6915" s="17"/>
      <c r="F6915" s="17" t="s">
        <v>10780</v>
      </c>
      <c r="G6915" s="17"/>
      <c r="H6915" s="17" t="s">
        <v>12908</v>
      </c>
      <c r="I6915" s="17"/>
      <c r="J6915" s="17" t="s">
        <v>14018</v>
      </c>
      <c r="K6915" s="17"/>
      <c r="L6915" s="17" t="s">
        <v>14019</v>
      </c>
      <c r="M6915" s="17"/>
      <c r="N6915" s="17" t="s">
        <v>14020</v>
      </c>
      <c r="O6915" s="17"/>
      <c r="P6915" s="17" t="s">
        <v>14040</v>
      </c>
      <c r="Q6915" s="17"/>
      <c r="R6915" s="25" t="str">
        <f>HYPERLINK("https://ictv.global/taxonomy/taxondetails?taxnode_id=202303317","Begomovirus pouzolziae")</f>
        <v>Begomovirus pouzolziae</v>
      </c>
      <c r="S6915" s="18" t="s">
        <v>30</v>
      </c>
      <c r="T6915" s="18" t="s">
        <v>15043</v>
      </c>
      <c r="U6915" s="18" t="s">
        <v>15044</v>
      </c>
      <c r="V6915" s="18" t="s">
        <v>15045</v>
      </c>
      <c r="W6915" s="18" t="s">
        <v>15046</v>
      </c>
      <c r="X6915" s="18" t="s">
        <v>42</v>
      </c>
      <c r="Y6915" s="18" t="s">
        <v>12266</v>
      </c>
      <c r="Z6915" s="18" t="s">
        <v>13441</v>
      </c>
      <c r="AA6915" s="21" t="str">
        <f>HYPERLINK("https://www.ncbi.nlm.nih.gov/nuccore/JX183732","NCBI Nucleotide")</f>
        <v>NCBI Nucleotide</v>
      </c>
    </row>
    <row r="6916" spans="1:27" x14ac:dyDescent="0.35">
      <c r="A6916">
        <v>1007802</v>
      </c>
      <c r="B6916">
        <v>6485</v>
      </c>
      <c r="C6916">
        <v>1</v>
      </c>
      <c r="D6916" s="17" t="s">
        <v>10507</v>
      </c>
      <c r="E6916" s="17"/>
      <c r="F6916" s="17" t="s">
        <v>10780</v>
      </c>
      <c r="G6916" s="17"/>
      <c r="H6916" s="17" t="s">
        <v>12908</v>
      </c>
      <c r="I6916" s="17"/>
      <c r="J6916" s="17" t="s">
        <v>14018</v>
      </c>
      <c r="K6916" s="17"/>
      <c r="L6916" s="17" t="s">
        <v>14019</v>
      </c>
      <c r="M6916" s="17"/>
      <c r="N6916" s="17" t="s">
        <v>14020</v>
      </c>
      <c r="O6916" s="17"/>
      <c r="P6916" s="17" t="s">
        <v>14040</v>
      </c>
      <c r="Q6916" s="17"/>
      <c r="R6916" s="25" t="str">
        <f>HYPERLINK("https://ictv.global/taxonomy/taxondetails?taxnode_id=202306707","Begomovirus pouzolziaflavi")</f>
        <v>Begomovirus pouzolziaflavi</v>
      </c>
      <c r="S6916" s="18" t="s">
        <v>30</v>
      </c>
      <c r="T6916" s="18" t="s">
        <v>15051</v>
      </c>
      <c r="U6916" s="18" t="s">
        <v>15052</v>
      </c>
      <c r="V6916" s="18" t="s">
        <v>15053</v>
      </c>
      <c r="W6916" s="18" t="s">
        <v>41542</v>
      </c>
      <c r="X6916" s="18" t="s">
        <v>42</v>
      </c>
      <c r="Y6916" s="18" t="s">
        <v>12266</v>
      </c>
      <c r="Z6916" s="18" t="s">
        <v>13441</v>
      </c>
      <c r="AA6916" s="21" t="str">
        <f>HYPERLINK("https://www.ncbi.nlm.nih.gov/nuccore/KF927128","NCBI Nucleotide")</f>
        <v>NCBI Nucleotide</v>
      </c>
    </row>
    <row r="6917" spans="1:27" x14ac:dyDescent="0.35">
      <c r="A6917">
        <v>1007801</v>
      </c>
      <c r="B6917">
        <v>6486</v>
      </c>
      <c r="C6917">
        <v>1</v>
      </c>
      <c r="D6917" s="17" t="s">
        <v>10507</v>
      </c>
      <c r="E6917" s="17"/>
      <c r="F6917" s="17" t="s">
        <v>10780</v>
      </c>
      <c r="G6917" s="17"/>
      <c r="H6917" s="17" t="s">
        <v>12908</v>
      </c>
      <c r="I6917" s="17"/>
      <c r="J6917" s="17" t="s">
        <v>14018</v>
      </c>
      <c r="K6917" s="17"/>
      <c r="L6917" s="17" t="s">
        <v>14019</v>
      </c>
      <c r="M6917" s="17"/>
      <c r="N6917" s="17" t="s">
        <v>14020</v>
      </c>
      <c r="O6917" s="17"/>
      <c r="P6917" s="17" t="s">
        <v>14040</v>
      </c>
      <c r="Q6917" s="17"/>
      <c r="R6917" s="25" t="str">
        <f>HYPERLINK("https://ictv.global/taxonomy/taxondetails?taxnode_id=202303318","Begomovirus pouzolziaguangdongense")</f>
        <v>Begomovirus pouzolziaguangdongense</v>
      </c>
      <c r="S6917" s="18" t="s">
        <v>30</v>
      </c>
      <c r="T6917" s="18" t="s">
        <v>15047</v>
      </c>
      <c r="U6917" s="18" t="s">
        <v>15048</v>
      </c>
      <c r="V6917" s="18" t="s">
        <v>15049</v>
      </c>
      <c r="W6917" s="18" t="s">
        <v>15050</v>
      </c>
      <c r="X6917" s="18" t="s">
        <v>42</v>
      </c>
      <c r="Y6917" s="18" t="s">
        <v>12266</v>
      </c>
      <c r="Z6917" s="18" t="s">
        <v>13441</v>
      </c>
      <c r="AA6917" s="21" t="str">
        <f>HYPERLINK("https://www.ncbi.nlm.nih.gov/nuccore/KF414123","NCBI Nucleotide")</f>
        <v>NCBI Nucleotide</v>
      </c>
    </row>
    <row r="6918" spans="1:27" x14ac:dyDescent="0.35">
      <c r="A6918">
        <v>1007803</v>
      </c>
      <c r="B6918">
        <v>6487</v>
      </c>
      <c r="C6918">
        <v>1</v>
      </c>
      <c r="D6918" s="17" t="s">
        <v>10507</v>
      </c>
      <c r="E6918" s="17"/>
      <c r="F6918" s="17" t="s">
        <v>10780</v>
      </c>
      <c r="G6918" s="17"/>
      <c r="H6918" s="17" t="s">
        <v>12908</v>
      </c>
      <c r="I6918" s="17"/>
      <c r="J6918" s="17" t="s">
        <v>14018</v>
      </c>
      <c r="K6918" s="17"/>
      <c r="L6918" s="17" t="s">
        <v>14019</v>
      </c>
      <c r="M6918" s="17"/>
      <c r="N6918" s="17" t="s">
        <v>14020</v>
      </c>
      <c r="O6918" s="17"/>
      <c r="P6918" s="17" t="s">
        <v>14040</v>
      </c>
      <c r="Q6918" s="17"/>
      <c r="R6918" s="25" t="str">
        <f>HYPERLINK("https://ictv.global/taxonomy/taxondetails?taxnode_id=202303319","Begomovirus premnae")</f>
        <v>Begomovirus premnae</v>
      </c>
      <c r="S6918" s="18" t="s">
        <v>30</v>
      </c>
      <c r="T6918" s="18" t="s">
        <v>15054</v>
      </c>
      <c r="U6918" s="18" t="s">
        <v>15055</v>
      </c>
      <c r="V6918" s="18" t="s">
        <v>15056</v>
      </c>
      <c r="W6918" s="18" t="s">
        <v>15057</v>
      </c>
      <c r="X6918" s="18" t="s">
        <v>42</v>
      </c>
      <c r="Y6918" s="18" t="s">
        <v>12266</v>
      </c>
      <c r="Z6918" s="18" t="s">
        <v>13441</v>
      </c>
      <c r="AA6918" s="21" t="str">
        <f>HYPERLINK("https://www.ncbi.nlm.nih.gov/nuccore/JQ793786","NCBI Nucleotide")</f>
        <v>NCBI Nucleotide</v>
      </c>
    </row>
    <row r="6919" spans="1:27" x14ac:dyDescent="0.35">
      <c r="A6919">
        <v>1007721</v>
      </c>
      <c r="B6919">
        <v>6488</v>
      </c>
      <c r="C6919">
        <v>1</v>
      </c>
      <c r="D6919" s="17" t="s">
        <v>10507</v>
      </c>
      <c r="E6919" s="17"/>
      <c r="F6919" s="17" t="s">
        <v>10780</v>
      </c>
      <c r="G6919" s="17"/>
      <c r="H6919" s="17" t="s">
        <v>12908</v>
      </c>
      <c r="I6919" s="17"/>
      <c r="J6919" s="17" t="s">
        <v>14018</v>
      </c>
      <c r="K6919" s="17"/>
      <c r="L6919" s="17" t="s">
        <v>14019</v>
      </c>
      <c r="M6919" s="17"/>
      <c r="N6919" s="17" t="s">
        <v>14020</v>
      </c>
      <c r="O6919" s="17"/>
      <c r="P6919" s="17" t="s">
        <v>14040</v>
      </c>
      <c r="Q6919" s="17"/>
      <c r="R6919" s="25" t="str">
        <f>HYPERLINK("https://ictv.global/taxonomy/taxondetails?taxnode_id=202303267","Begomovirus puerariae")</f>
        <v>Begomovirus puerariae</v>
      </c>
      <c r="S6919" s="18" t="s">
        <v>30</v>
      </c>
      <c r="T6919" s="18" t="s">
        <v>14682</v>
      </c>
      <c r="U6919" s="18" t="s">
        <v>14683</v>
      </c>
      <c r="V6919" s="18" t="s">
        <v>14528</v>
      </c>
      <c r="W6919" s="18" t="s">
        <v>14684</v>
      </c>
      <c r="X6919" s="18" t="s">
        <v>42</v>
      </c>
      <c r="Y6919" s="18" t="s">
        <v>12266</v>
      </c>
      <c r="Z6919" s="18" t="s">
        <v>13441</v>
      </c>
      <c r="AA6919" s="21" t="str">
        <f>HYPERLINK("https://www.ncbi.nlm.nih.gov/nuccore/DQ641690,DQ641691","NCBI Nucleotide")</f>
        <v>NCBI Nucleotide</v>
      </c>
    </row>
    <row r="6920" spans="1:27" x14ac:dyDescent="0.35">
      <c r="A6920">
        <v>1007805</v>
      </c>
      <c r="B6920">
        <v>6489</v>
      </c>
      <c r="C6920">
        <v>1</v>
      </c>
      <c r="D6920" s="17" t="s">
        <v>10507</v>
      </c>
      <c r="E6920" s="17"/>
      <c r="F6920" s="17" t="s">
        <v>10780</v>
      </c>
      <c r="G6920" s="17"/>
      <c r="H6920" s="17" t="s">
        <v>12908</v>
      </c>
      <c r="I6920" s="17"/>
      <c r="J6920" s="17" t="s">
        <v>14018</v>
      </c>
      <c r="K6920" s="17"/>
      <c r="L6920" s="17" t="s">
        <v>14019</v>
      </c>
      <c r="M6920" s="17"/>
      <c r="N6920" s="17" t="s">
        <v>14020</v>
      </c>
      <c r="O6920" s="17"/>
      <c r="P6920" s="17" t="s">
        <v>14040</v>
      </c>
      <c r="Q6920" s="17"/>
      <c r="R6920" s="25" t="str">
        <f>HYPERLINK("https://ictv.global/taxonomy/taxondetails?taxnode_id=202305822","Begomovirus ramiis")</f>
        <v>Begomovirus ramiis</v>
      </c>
      <c r="S6920" s="18" t="s">
        <v>30</v>
      </c>
      <c r="T6920" s="18" t="s">
        <v>15062</v>
      </c>
      <c r="U6920" s="18" t="s">
        <v>15063</v>
      </c>
      <c r="V6920" s="18" t="s">
        <v>15064</v>
      </c>
      <c r="W6920" s="18" t="s">
        <v>15065</v>
      </c>
      <c r="X6920" s="18" t="s">
        <v>42</v>
      </c>
      <c r="Y6920" s="18" t="s">
        <v>12266</v>
      </c>
      <c r="Z6920" s="18" t="s">
        <v>13441</v>
      </c>
      <c r="AA6920" s="21" t="str">
        <f>HYPERLINK("https://www.ncbi.nlm.nih.gov/nuccore/KU522485","NCBI Nucleotide")</f>
        <v>NCBI Nucleotide</v>
      </c>
    </row>
    <row r="6921" spans="1:27" x14ac:dyDescent="0.35">
      <c r="A6921">
        <v>1007809</v>
      </c>
      <c r="B6921">
        <v>6490</v>
      </c>
      <c r="C6921">
        <v>1</v>
      </c>
      <c r="D6921" s="17" t="s">
        <v>10507</v>
      </c>
      <c r="E6921" s="17"/>
      <c r="F6921" s="17" t="s">
        <v>10780</v>
      </c>
      <c r="G6921" s="17"/>
      <c r="H6921" s="17" t="s">
        <v>12908</v>
      </c>
      <c r="I6921" s="17"/>
      <c r="J6921" s="17" t="s">
        <v>14018</v>
      </c>
      <c r="K6921" s="17"/>
      <c r="L6921" s="17" t="s">
        <v>14019</v>
      </c>
      <c r="M6921" s="17"/>
      <c r="N6921" s="17" t="s">
        <v>14020</v>
      </c>
      <c r="O6921" s="17"/>
      <c r="P6921" s="17" t="s">
        <v>14040</v>
      </c>
      <c r="Q6921" s="17"/>
      <c r="R6921" s="25" t="str">
        <f>HYPERLINK("https://ictv.global/taxonomy/taxondetails?taxnode_id=202303326","Begomovirus rhynchosiae")</f>
        <v>Begomovirus rhynchosiae</v>
      </c>
      <c r="S6921" s="18" t="s">
        <v>30</v>
      </c>
      <c r="T6921" s="18" t="s">
        <v>15081</v>
      </c>
      <c r="U6921" s="18" t="s">
        <v>15082</v>
      </c>
      <c r="V6921" s="18" t="s">
        <v>15083</v>
      </c>
      <c r="W6921" s="18" t="s">
        <v>15084</v>
      </c>
      <c r="X6921" s="18" t="s">
        <v>42</v>
      </c>
      <c r="Y6921" s="18" t="s">
        <v>12266</v>
      </c>
      <c r="Z6921" s="18" t="s">
        <v>13441</v>
      </c>
      <c r="AA6921" s="21" t="str">
        <f>HYPERLINK("https://www.ncbi.nlm.nih.gov/nuccore/FJ944019,FJ944020","NCBI Nucleotide")</f>
        <v>NCBI Nucleotide</v>
      </c>
    </row>
    <row r="6922" spans="1:27" x14ac:dyDescent="0.35">
      <c r="A6922">
        <v>1007812</v>
      </c>
      <c r="B6922">
        <v>6491</v>
      </c>
      <c r="C6922">
        <v>1</v>
      </c>
      <c r="D6922" s="17" t="s">
        <v>10507</v>
      </c>
      <c r="E6922" s="17"/>
      <c r="F6922" s="17" t="s">
        <v>10780</v>
      </c>
      <c r="G6922" s="17"/>
      <c r="H6922" s="17" t="s">
        <v>12908</v>
      </c>
      <c r="I6922" s="17"/>
      <c r="J6922" s="17" t="s">
        <v>14018</v>
      </c>
      <c r="K6922" s="17"/>
      <c r="L6922" s="17" t="s">
        <v>14019</v>
      </c>
      <c r="M6922" s="17"/>
      <c r="N6922" s="17" t="s">
        <v>14020</v>
      </c>
      <c r="O6922" s="17"/>
      <c r="P6922" s="17" t="s">
        <v>14040</v>
      </c>
      <c r="Q6922" s="17"/>
      <c r="R6922" s="25" t="str">
        <f>HYPERLINK("https://ictv.global/taxonomy/taxondetails?taxnode_id=202303329","Begomovirus rhynchosiaflavi")</f>
        <v>Begomovirus rhynchosiaflavi</v>
      </c>
      <c r="S6922" s="18" t="s">
        <v>30</v>
      </c>
      <c r="T6922" s="18" t="s">
        <v>15093</v>
      </c>
      <c r="U6922" s="18" t="s">
        <v>15094</v>
      </c>
      <c r="V6922" s="18" t="s">
        <v>15095</v>
      </c>
      <c r="W6922" s="18" t="s">
        <v>15096</v>
      </c>
      <c r="X6922" s="18" t="s">
        <v>42</v>
      </c>
      <c r="Y6922" s="18" t="s">
        <v>12266</v>
      </c>
      <c r="Z6922" s="18" t="s">
        <v>13441</v>
      </c>
      <c r="AA6922" s="21" t="str">
        <f>HYPERLINK("https://www.ncbi.nlm.nih.gov/nuccore/AM999981,AM999982","NCBI Nucleotide")</f>
        <v>NCBI Nucleotide</v>
      </c>
    </row>
    <row r="6923" spans="1:27" x14ac:dyDescent="0.35">
      <c r="A6923">
        <v>1007806</v>
      </c>
      <c r="B6923">
        <v>6492</v>
      </c>
      <c r="C6923">
        <v>1</v>
      </c>
      <c r="D6923" s="17" t="s">
        <v>10507</v>
      </c>
      <c r="E6923" s="17"/>
      <c r="F6923" s="17" t="s">
        <v>10780</v>
      </c>
      <c r="G6923" s="17"/>
      <c r="H6923" s="17" t="s">
        <v>12908</v>
      </c>
      <c r="I6923" s="17"/>
      <c r="J6923" s="17" t="s">
        <v>14018</v>
      </c>
      <c r="K6923" s="17"/>
      <c r="L6923" s="17" t="s">
        <v>14019</v>
      </c>
      <c r="M6923" s="17"/>
      <c r="N6923" s="17" t="s">
        <v>14020</v>
      </c>
      <c r="O6923" s="17"/>
      <c r="P6923" s="17" t="s">
        <v>14040</v>
      </c>
      <c r="Q6923" s="17"/>
      <c r="R6923" s="25" t="str">
        <f>HYPERLINK("https://ictv.global/taxonomy/taxondetails?taxnode_id=202303322","Begomovirus rhynchosiahavanaense")</f>
        <v>Begomovirus rhynchosiahavanaense</v>
      </c>
      <c r="S6923" s="18" t="s">
        <v>30</v>
      </c>
      <c r="T6923" s="18" t="s">
        <v>15066</v>
      </c>
      <c r="U6923" s="18" t="s">
        <v>15067</v>
      </c>
      <c r="V6923" s="18" t="s">
        <v>15068</v>
      </c>
      <c r="W6923" s="18" t="s">
        <v>15069</v>
      </c>
      <c r="X6923" s="18" t="s">
        <v>42</v>
      </c>
      <c r="Y6923" s="18" t="s">
        <v>12266</v>
      </c>
      <c r="Z6923" s="18" t="s">
        <v>13441</v>
      </c>
      <c r="AA6923" s="21" t="str">
        <f>HYPERLINK("https://www.ncbi.nlm.nih.gov/nuccore/HM236368,HM236369","NCBI Nucleotide")</f>
        <v>NCBI Nucleotide</v>
      </c>
    </row>
    <row r="6924" spans="1:27" x14ac:dyDescent="0.35">
      <c r="A6924">
        <v>1007811</v>
      </c>
      <c r="B6924">
        <v>6493</v>
      </c>
      <c r="C6924">
        <v>1</v>
      </c>
      <c r="D6924" s="17" t="s">
        <v>10507</v>
      </c>
      <c r="E6924" s="17"/>
      <c r="F6924" s="17" t="s">
        <v>10780</v>
      </c>
      <c r="G6924" s="17"/>
      <c r="H6924" s="17" t="s">
        <v>12908</v>
      </c>
      <c r="I6924" s="17"/>
      <c r="J6924" s="17" t="s">
        <v>14018</v>
      </c>
      <c r="K6924" s="17"/>
      <c r="L6924" s="17" t="s">
        <v>14019</v>
      </c>
      <c r="M6924" s="17"/>
      <c r="N6924" s="17" t="s">
        <v>14020</v>
      </c>
      <c r="O6924" s="17"/>
      <c r="P6924" s="17" t="s">
        <v>14040</v>
      </c>
      <c r="Q6924" s="17"/>
      <c r="R6924" s="25" t="str">
        <f>HYPERLINK("https://ictv.global/taxonomy/taxondetails?taxnode_id=202303328","Begomovirus rhynchosiaindiaense")</f>
        <v>Begomovirus rhynchosiaindiaense</v>
      </c>
      <c r="S6924" s="18" t="s">
        <v>30</v>
      </c>
      <c r="T6924" s="18" t="s">
        <v>15089</v>
      </c>
      <c r="U6924" s="18" t="s">
        <v>15090</v>
      </c>
      <c r="V6924" s="18" t="s">
        <v>15091</v>
      </c>
      <c r="W6924" s="18" t="s">
        <v>15092</v>
      </c>
      <c r="X6924" s="18" t="s">
        <v>42</v>
      </c>
      <c r="Y6924" s="18" t="s">
        <v>12266</v>
      </c>
      <c r="Z6924" s="18" t="s">
        <v>13441</v>
      </c>
      <c r="AA6924" s="21" t="str">
        <f>HYPERLINK("https://www.ncbi.nlm.nih.gov/nuccore/HM777508,HM777510","NCBI Nucleotide")</f>
        <v>NCBI Nucleotide</v>
      </c>
    </row>
    <row r="6925" spans="1:27" x14ac:dyDescent="0.35">
      <c r="A6925">
        <v>1007810</v>
      </c>
      <c r="B6925">
        <v>6494</v>
      </c>
      <c r="C6925">
        <v>1</v>
      </c>
      <c r="D6925" s="17" t="s">
        <v>10507</v>
      </c>
      <c r="E6925" s="17"/>
      <c r="F6925" s="17" t="s">
        <v>10780</v>
      </c>
      <c r="G6925" s="17"/>
      <c r="H6925" s="17" t="s">
        <v>12908</v>
      </c>
      <c r="I6925" s="17"/>
      <c r="J6925" s="17" t="s">
        <v>14018</v>
      </c>
      <c r="K6925" s="17"/>
      <c r="L6925" s="17" t="s">
        <v>14019</v>
      </c>
      <c r="M6925" s="17"/>
      <c r="N6925" s="17" t="s">
        <v>14020</v>
      </c>
      <c r="O6925" s="17"/>
      <c r="P6925" s="17" t="s">
        <v>14040</v>
      </c>
      <c r="Q6925" s="17"/>
      <c r="R6925" s="25" t="str">
        <f>HYPERLINK("https://ictv.global/taxonomy/taxondetails?taxnode_id=202303327","Begomovirus rhynchosiarugosi")</f>
        <v>Begomovirus rhynchosiarugosi</v>
      </c>
      <c r="S6925" s="18" t="s">
        <v>30</v>
      </c>
      <c r="T6925" s="18" t="s">
        <v>15085</v>
      </c>
      <c r="U6925" s="18" t="s">
        <v>15086</v>
      </c>
      <c r="V6925" s="18" t="s">
        <v>15087</v>
      </c>
      <c r="W6925" s="18" t="s">
        <v>15088</v>
      </c>
      <c r="X6925" s="18" t="s">
        <v>42</v>
      </c>
      <c r="Y6925" s="18" t="s">
        <v>12266</v>
      </c>
      <c r="Z6925" s="18" t="s">
        <v>13441</v>
      </c>
      <c r="AA6925" s="21" t="str">
        <f>HYPERLINK("https://www.ncbi.nlm.nih.gov/nuccore/HM236370,HM236371","NCBI Nucleotide")</f>
        <v>NCBI Nucleotide</v>
      </c>
    </row>
    <row r="6926" spans="1:27" x14ac:dyDescent="0.35">
      <c r="A6926">
        <v>1007807</v>
      </c>
      <c r="B6926">
        <v>6495</v>
      </c>
      <c r="C6926">
        <v>1</v>
      </c>
      <c r="D6926" s="17" t="s">
        <v>10507</v>
      </c>
      <c r="E6926" s="17"/>
      <c r="F6926" s="17" t="s">
        <v>10780</v>
      </c>
      <c r="G6926" s="17"/>
      <c r="H6926" s="17" t="s">
        <v>12908</v>
      </c>
      <c r="I6926" s="17"/>
      <c r="J6926" s="17" t="s">
        <v>14018</v>
      </c>
      <c r="K6926" s="17"/>
      <c r="L6926" s="17" t="s">
        <v>14019</v>
      </c>
      <c r="M6926" s="17"/>
      <c r="N6926" s="17" t="s">
        <v>14020</v>
      </c>
      <c r="O6926" s="17"/>
      <c r="P6926" s="17" t="s">
        <v>14040</v>
      </c>
      <c r="Q6926" s="17"/>
      <c r="R6926" s="25" t="str">
        <f>HYPERLINK("https://ictv.global/taxonomy/taxondetails?taxnode_id=202303323","Begomovirus rhynchosiasinaloaense")</f>
        <v>Begomovirus rhynchosiasinaloaense</v>
      </c>
      <c r="S6926" s="18" t="s">
        <v>30</v>
      </c>
      <c r="T6926" s="18" t="s">
        <v>15070</v>
      </c>
      <c r="U6926" s="18" t="s">
        <v>14213</v>
      </c>
      <c r="V6926" s="18" t="s">
        <v>15071</v>
      </c>
      <c r="W6926" s="18" t="s">
        <v>15072</v>
      </c>
      <c r="X6926" s="18" t="s">
        <v>42</v>
      </c>
      <c r="Y6926" s="18" t="s">
        <v>12266</v>
      </c>
      <c r="Z6926" s="18" t="s">
        <v>13441</v>
      </c>
      <c r="AA6926" s="21" t="str">
        <f>HYPERLINK("https://www.ncbi.nlm.nih.gov/nuccore/DQ406672,DQ406673","NCBI Nucleotide")</f>
        <v>NCBI Nucleotide</v>
      </c>
    </row>
    <row r="6927" spans="1:27" x14ac:dyDescent="0.35">
      <c r="A6927">
        <v>1007808</v>
      </c>
      <c r="B6927">
        <v>6496</v>
      </c>
      <c r="C6927">
        <v>1</v>
      </c>
      <c r="D6927" s="17" t="s">
        <v>10507</v>
      </c>
      <c r="E6927" s="17"/>
      <c r="F6927" s="17" t="s">
        <v>10780</v>
      </c>
      <c r="G6927" s="17"/>
      <c r="H6927" s="17" t="s">
        <v>12908</v>
      </c>
      <c r="I6927" s="17"/>
      <c r="J6927" s="17" t="s">
        <v>14018</v>
      </c>
      <c r="K6927" s="17"/>
      <c r="L6927" s="17" t="s">
        <v>14019</v>
      </c>
      <c r="M6927" s="17"/>
      <c r="N6927" s="17" t="s">
        <v>14020</v>
      </c>
      <c r="O6927" s="17"/>
      <c r="P6927" s="17" t="s">
        <v>14040</v>
      </c>
      <c r="Q6927" s="17"/>
      <c r="R6927" s="25" t="str">
        <f>HYPERLINK("https://ictv.global/taxonomy/taxondetails?taxnode_id=202303324","Begomovirus rhynchosiaurei")</f>
        <v>Begomovirus rhynchosiaurei</v>
      </c>
      <c r="S6927" s="18" t="s">
        <v>30</v>
      </c>
      <c r="T6927" s="18" t="s">
        <v>15073</v>
      </c>
      <c r="U6927" s="18" t="s">
        <v>15074</v>
      </c>
      <c r="V6927" s="18" t="s">
        <v>15075</v>
      </c>
      <c r="W6927" s="18" t="s">
        <v>15076</v>
      </c>
      <c r="X6927" s="18" t="s">
        <v>42</v>
      </c>
      <c r="Y6927" s="18" t="s">
        <v>12266</v>
      </c>
      <c r="Z6927" s="18" t="s">
        <v>13441</v>
      </c>
      <c r="AA6927" s="21" t="str">
        <f>HYPERLINK("https://www.ncbi.nlm.nih.gov/nuccore/DQ347950,EU339937","NCBI Nucleotide")</f>
        <v>NCBI Nucleotide</v>
      </c>
    </row>
    <row r="6928" spans="1:27" x14ac:dyDescent="0.35">
      <c r="A6928">
        <v>1012582</v>
      </c>
      <c r="B6928">
        <v>6496</v>
      </c>
      <c r="C6928">
        <v>2</v>
      </c>
      <c r="D6928" s="17" t="s">
        <v>10507</v>
      </c>
      <c r="E6928" s="17"/>
      <c r="F6928" s="17" t="s">
        <v>10780</v>
      </c>
      <c r="G6928" s="17"/>
      <c r="H6928" s="17" t="s">
        <v>12908</v>
      </c>
      <c r="I6928" s="17"/>
      <c r="J6928" s="17" t="s">
        <v>14018</v>
      </c>
      <c r="K6928" s="17"/>
      <c r="L6928" s="17" t="s">
        <v>14019</v>
      </c>
      <c r="M6928" s="17"/>
      <c r="N6928" s="17" t="s">
        <v>14020</v>
      </c>
      <c r="O6928" s="17"/>
      <c r="P6928" s="17" t="s">
        <v>14040</v>
      </c>
      <c r="Q6928" s="17"/>
      <c r="R6928" s="25" t="str">
        <f>HYPERLINK("https://ictv.global/taxonomy/taxondetails?taxnode_id=202303324","Begomovirus rhynchosiaurei")</f>
        <v>Begomovirus rhynchosiaurei</v>
      </c>
      <c r="S6928" s="18" t="s">
        <v>8141</v>
      </c>
      <c r="T6928" s="18" t="s">
        <v>15073</v>
      </c>
      <c r="U6928" s="18" t="s">
        <v>15077</v>
      </c>
      <c r="V6928" s="18" t="s">
        <v>15078</v>
      </c>
      <c r="W6928" s="18" t="s">
        <v>49159</v>
      </c>
      <c r="X6928" s="18" t="s">
        <v>154</v>
      </c>
      <c r="Y6928" s="18" t="s">
        <v>12266</v>
      </c>
      <c r="Z6928" s="18" t="s">
        <v>13441</v>
      </c>
      <c r="AA6928" s="21" t="str">
        <f>HYPERLINK("https://www.ncbi.nlm.nih.gov/nuccore/AF408199","NCBI Nucleotide")</f>
        <v>NCBI Nucleotide</v>
      </c>
    </row>
    <row r="6929" spans="1:27" x14ac:dyDescent="0.35">
      <c r="A6929">
        <v>1012583</v>
      </c>
      <c r="B6929">
        <v>6496</v>
      </c>
      <c r="C6929">
        <v>3</v>
      </c>
      <c r="D6929" s="17" t="s">
        <v>10507</v>
      </c>
      <c r="E6929" s="17"/>
      <c r="F6929" s="17" t="s">
        <v>10780</v>
      </c>
      <c r="G6929" s="17"/>
      <c r="H6929" s="17" t="s">
        <v>12908</v>
      </c>
      <c r="I6929" s="17"/>
      <c r="J6929" s="17" t="s">
        <v>14018</v>
      </c>
      <c r="K6929" s="17"/>
      <c r="L6929" s="17" t="s">
        <v>14019</v>
      </c>
      <c r="M6929" s="17"/>
      <c r="N6929" s="17" t="s">
        <v>14020</v>
      </c>
      <c r="O6929" s="17"/>
      <c r="P6929" s="17" t="s">
        <v>14040</v>
      </c>
      <c r="Q6929" s="17"/>
      <c r="R6929" s="25" t="str">
        <f>HYPERLINK("https://ictv.global/taxonomy/taxondetails?taxnode_id=202303324","Begomovirus rhynchosiaurei")</f>
        <v>Begomovirus rhynchosiaurei</v>
      </c>
      <c r="S6929" s="18" t="s">
        <v>8141</v>
      </c>
      <c r="T6929" s="18" t="s">
        <v>15073</v>
      </c>
      <c r="U6929" s="18" t="s">
        <v>15079</v>
      </c>
      <c r="V6929" s="18" t="s">
        <v>15080</v>
      </c>
      <c r="W6929" s="18" t="s">
        <v>50469</v>
      </c>
      <c r="X6929" s="18" t="s">
        <v>42</v>
      </c>
      <c r="Y6929" s="18" t="s">
        <v>12266</v>
      </c>
      <c r="Z6929" s="18" t="s">
        <v>13441</v>
      </c>
      <c r="AA6929" s="21" t="str">
        <f>HYPERLINK("https://www.ncbi.nlm.nih.gov/nuccore/EU339936,DQ356429","NCBI Nucleotide")</f>
        <v>NCBI Nucleotide</v>
      </c>
    </row>
    <row r="6930" spans="1:27" x14ac:dyDescent="0.35">
      <c r="A6930">
        <v>1007813</v>
      </c>
      <c r="B6930">
        <v>6497</v>
      </c>
      <c r="C6930">
        <v>1</v>
      </c>
      <c r="D6930" s="17" t="s">
        <v>10507</v>
      </c>
      <c r="E6930" s="17"/>
      <c r="F6930" s="17" t="s">
        <v>10780</v>
      </c>
      <c r="G6930" s="17"/>
      <c r="H6930" s="17" t="s">
        <v>12908</v>
      </c>
      <c r="I6930" s="17"/>
      <c r="J6930" s="17" t="s">
        <v>14018</v>
      </c>
      <c r="K6930" s="17"/>
      <c r="L6930" s="17" t="s">
        <v>14019</v>
      </c>
      <c r="M6930" s="17"/>
      <c r="N6930" s="17" t="s">
        <v>14020</v>
      </c>
      <c r="O6930" s="17"/>
      <c r="P6930" s="17" t="s">
        <v>14040</v>
      </c>
      <c r="Q6930" s="17"/>
      <c r="R6930" s="25" t="str">
        <f>HYPERLINK("https://ictv.global/taxonomy/taxondetails?taxnode_id=202303330","Begomovirus rosae")</f>
        <v>Begomovirus rosae</v>
      </c>
      <c r="S6930" s="18" t="s">
        <v>30</v>
      </c>
      <c r="T6930" s="18" t="s">
        <v>15097</v>
      </c>
      <c r="U6930" s="18" t="s">
        <v>15098</v>
      </c>
      <c r="V6930" s="18" t="s">
        <v>15099</v>
      </c>
      <c r="W6930" s="18" t="s">
        <v>41543</v>
      </c>
      <c r="X6930" s="18" t="s">
        <v>42</v>
      </c>
      <c r="Y6930" s="18" t="s">
        <v>12266</v>
      </c>
      <c r="Z6930" s="18" t="s">
        <v>13441</v>
      </c>
      <c r="AA6930" s="21" t="str">
        <f>HYPERLINK("https://www.ncbi.nlm.nih.gov/nuccore/KJ739692","NCBI Nucleotide")</f>
        <v>NCBI Nucleotide</v>
      </c>
    </row>
    <row r="6931" spans="1:27" x14ac:dyDescent="0.35">
      <c r="A6931">
        <v>1007814</v>
      </c>
      <c r="B6931">
        <v>6498</v>
      </c>
      <c r="C6931">
        <v>1</v>
      </c>
      <c r="D6931" s="17" t="s">
        <v>10507</v>
      </c>
      <c r="E6931" s="17"/>
      <c r="F6931" s="17" t="s">
        <v>10780</v>
      </c>
      <c r="G6931" s="17"/>
      <c r="H6931" s="17" t="s">
        <v>12908</v>
      </c>
      <c r="I6931" s="17"/>
      <c r="J6931" s="17" t="s">
        <v>14018</v>
      </c>
      <c r="K6931" s="17"/>
      <c r="L6931" s="17" t="s">
        <v>14019</v>
      </c>
      <c r="M6931" s="17"/>
      <c r="N6931" s="17" t="s">
        <v>14020</v>
      </c>
      <c r="O6931" s="17"/>
      <c r="P6931" s="17" t="s">
        <v>14040</v>
      </c>
      <c r="Q6931" s="17"/>
      <c r="R6931" s="25" t="str">
        <f>HYPERLINK("https://ictv.global/taxonomy/taxondetails?taxnode_id=202303331","Begomovirus sauropi")</f>
        <v>Begomovirus sauropi</v>
      </c>
      <c r="S6931" s="18" t="s">
        <v>30</v>
      </c>
      <c r="T6931" s="18" t="s">
        <v>15100</v>
      </c>
      <c r="U6931" s="18" t="s">
        <v>15101</v>
      </c>
      <c r="V6931" s="18" t="s">
        <v>15102</v>
      </c>
      <c r="W6931" s="18" t="s">
        <v>15103</v>
      </c>
      <c r="X6931" s="18" t="s">
        <v>42</v>
      </c>
      <c r="Y6931" s="18" t="s">
        <v>12266</v>
      </c>
      <c r="Z6931" s="18" t="s">
        <v>13441</v>
      </c>
      <c r="AA6931" s="21" t="str">
        <f>HYPERLINK("https://www.ncbi.nlm.nih.gov/nuccore/JN809819","NCBI Nucleotide")</f>
        <v>NCBI Nucleotide</v>
      </c>
    </row>
    <row r="6932" spans="1:27" x14ac:dyDescent="0.35">
      <c r="A6932">
        <v>1007815</v>
      </c>
      <c r="B6932">
        <v>6499</v>
      </c>
      <c r="C6932">
        <v>1</v>
      </c>
      <c r="D6932" s="17" t="s">
        <v>10507</v>
      </c>
      <c r="E6932" s="17"/>
      <c r="F6932" s="17" t="s">
        <v>10780</v>
      </c>
      <c r="G6932" s="17"/>
      <c r="H6932" s="17" t="s">
        <v>12908</v>
      </c>
      <c r="I6932" s="17"/>
      <c r="J6932" s="17" t="s">
        <v>14018</v>
      </c>
      <c r="K6932" s="17"/>
      <c r="L6932" s="17" t="s">
        <v>14019</v>
      </c>
      <c r="M6932" s="17"/>
      <c r="N6932" s="17" t="s">
        <v>14020</v>
      </c>
      <c r="O6932" s="17"/>
      <c r="P6932" s="17" t="s">
        <v>14040</v>
      </c>
      <c r="Q6932" s="17"/>
      <c r="R6932" s="25" t="str">
        <f>HYPERLINK("https://ictv.global/taxonomy/taxondetails?taxnode_id=202303332","Begomovirus senecionis")</f>
        <v>Begomovirus senecionis</v>
      </c>
      <c r="S6932" s="18" t="s">
        <v>30</v>
      </c>
      <c r="T6932" s="18" t="s">
        <v>15104</v>
      </c>
      <c r="U6932" s="18" t="s">
        <v>15105</v>
      </c>
      <c r="V6932" s="18" t="s">
        <v>15106</v>
      </c>
      <c r="W6932" s="18" t="s">
        <v>41544</v>
      </c>
      <c r="X6932" s="18" t="s">
        <v>42</v>
      </c>
      <c r="Y6932" s="18" t="s">
        <v>12266</v>
      </c>
      <c r="Z6932" s="18" t="s">
        <v>13441</v>
      </c>
      <c r="AA6932" s="21" t="str">
        <f>HYPERLINK("https://www.ncbi.nlm.nih.gov/nuccore/AJ876550","NCBI Nucleotide")</f>
        <v>NCBI Nucleotide</v>
      </c>
    </row>
    <row r="6933" spans="1:27" x14ac:dyDescent="0.35">
      <c r="A6933">
        <v>1007816</v>
      </c>
      <c r="B6933">
        <v>6500</v>
      </c>
      <c r="C6933">
        <v>1</v>
      </c>
      <c r="D6933" s="17" t="s">
        <v>10507</v>
      </c>
      <c r="E6933" s="17"/>
      <c r="F6933" s="17" t="s">
        <v>10780</v>
      </c>
      <c r="G6933" s="17"/>
      <c r="H6933" s="17" t="s">
        <v>12908</v>
      </c>
      <c r="I6933" s="17"/>
      <c r="J6933" s="17" t="s">
        <v>14018</v>
      </c>
      <c r="K6933" s="17"/>
      <c r="L6933" s="17" t="s">
        <v>14019</v>
      </c>
      <c r="M6933" s="17"/>
      <c r="N6933" s="17" t="s">
        <v>14020</v>
      </c>
      <c r="O6933" s="17"/>
      <c r="P6933" s="17" t="s">
        <v>14040</v>
      </c>
      <c r="Q6933" s="17"/>
      <c r="R6933" s="25" t="str">
        <f>HYPERLINK("https://ictv.global/taxonomy/taxondetails?taxnode_id=202305823","Begomovirus sennae")</f>
        <v>Begomovirus sennae</v>
      </c>
      <c r="S6933" s="18" t="s">
        <v>30</v>
      </c>
      <c r="T6933" s="18" t="s">
        <v>15107</v>
      </c>
      <c r="U6933" s="18" t="s">
        <v>15108</v>
      </c>
      <c r="V6933" s="18" t="s">
        <v>15109</v>
      </c>
      <c r="W6933" s="18" t="s">
        <v>41545</v>
      </c>
      <c r="X6933" s="18" t="s">
        <v>42</v>
      </c>
      <c r="Y6933" s="18" t="s">
        <v>12266</v>
      </c>
      <c r="Z6933" s="18" t="s">
        <v>13441</v>
      </c>
      <c r="AA6933" s="21" t="str">
        <f>HYPERLINK("https://www.ncbi.nlm.nih.gov/nuccore/KU852742","NCBI Nucleotide")</f>
        <v>NCBI Nucleotide</v>
      </c>
    </row>
    <row r="6934" spans="1:27" x14ac:dyDescent="0.35">
      <c r="A6934">
        <v>1007837</v>
      </c>
      <c r="B6934">
        <v>6501</v>
      </c>
      <c r="C6934">
        <v>1</v>
      </c>
      <c r="D6934" s="17" t="s">
        <v>10507</v>
      </c>
      <c r="E6934" s="17"/>
      <c r="F6934" s="17" t="s">
        <v>10780</v>
      </c>
      <c r="G6934" s="17"/>
      <c r="H6934" s="17" t="s">
        <v>12908</v>
      </c>
      <c r="I6934" s="17"/>
      <c r="J6934" s="17" t="s">
        <v>14018</v>
      </c>
      <c r="K6934" s="17"/>
      <c r="L6934" s="17" t="s">
        <v>14019</v>
      </c>
      <c r="M6934" s="17"/>
      <c r="N6934" s="17" t="s">
        <v>14020</v>
      </c>
      <c r="O6934" s="17"/>
      <c r="P6934" s="17" t="s">
        <v>14040</v>
      </c>
      <c r="Q6934" s="17"/>
      <c r="R6934" s="25" t="str">
        <f>HYPERLINK("https://ictv.global/taxonomy/taxondetails?taxnode_id=202303346","Begomovirus sidaalagoasense")</f>
        <v>Begomovirus sidaalagoasense</v>
      </c>
      <c r="S6934" s="18" t="s">
        <v>30</v>
      </c>
      <c r="T6934" s="18" t="s">
        <v>15186</v>
      </c>
      <c r="U6934" s="18" t="s">
        <v>15187</v>
      </c>
      <c r="V6934" s="18" t="s">
        <v>15188</v>
      </c>
      <c r="W6934" s="18" t="s">
        <v>15189</v>
      </c>
      <c r="X6934" s="18" t="s">
        <v>42</v>
      </c>
      <c r="Y6934" s="18" t="s">
        <v>12266</v>
      </c>
      <c r="Z6934" s="18" t="s">
        <v>13441</v>
      </c>
      <c r="AA6934" s="21" t="str">
        <f>HYPERLINK("https://www.ncbi.nlm.nih.gov/nuccore/JF694471,JF694473","NCBI Nucleotide")</f>
        <v>NCBI Nucleotide</v>
      </c>
    </row>
    <row r="6935" spans="1:27" x14ac:dyDescent="0.35">
      <c r="A6935">
        <v>1007839</v>
      </c>
      <c r="B6935">
        <v>6502</v>
      </c>
      <c r="C6935">
        <v>1</v>
      </c>
      <c r="D6935" s="17" t="s">
        <v>10507</v>
      </c>
      <c r="E6935" s="17"/>
      <c r="F6935" s="17" t="s">
        <v>10780</v>
      </c>
      <c r="G6935" s="17"/>
      <c r="H6935" s="17" t="s">
        <v>12908</v>
      </c>
      <c r="I6935" s="17"/>
      <c r="J6935" s="17" t="s">
        <v>14018</v>
      </c>
      <c r="K6935" s="17"/>
      <c r="L6935" s="17" t="s">
        <v>14019</v>
      </c>
      <c r="M6935" s="17"/>
      <c r="N6935" s="17" t="s">
        <v>14020</v>
      </c>
      <c r="O6935" s="17"/>
      <c r="P6935" s="17" t="s">
        <v>14040</v>
      </c>
      <c r="Q6935" s="17"/>
      <c r="R6935" s="25" t="str">
        <f>HYPERLINK("https://ictv.global/taxonomy/taxondetails?taxnode_id=202303348","Begomovirus sidaboliviaensecundi")</f>
        <v>Begomovirus sidaboliviaensecundi</v>
      </c>
      <c r="S6935" s="18" t="s">
        <v>30</v>
      </c>
      <c r="T6935" s="18" t="s">
        <v>15194</v>
      </c>
      <c r="U6935" s="18" t="s">
        <v>15195</v>
      </c>
      <c r="V6935" s="18" t="s">
        <v>15192</v>
      </c>
      <c r="W6935" s="18" t="s">
        <v>15196</v>
      </c>
      <c r="X6935" s="18" t="s">
        <v>42</v>
      </c>
      <c r="Y6935" s="18" t="s">
        <v>12266</v>
      </c>
      <c r="Z6935" s="18" t="s">
        <v>13441</v>
      </c>
      <c r="AA6935" s="21" t="str">
        <f>HYPERLINK("https://www.ncbi.nlm.nih.gov/nuccore/HM585443,HM585444","NCBI Nucleotide")</f>
        <v>NCBI Nucleotide</v>
      </c>
    </row>
    <row r="6936" spans="1:27" x14ac:dyDescent="0.35">
      <c r="A6936">
        <v>1007838</v>
      </c>
      <c r="B6936">
        <v>6503</v>
      </c>
      <c r="C6936">
        <v>1</v>
      </c>
      <c r="D6936" s="17" t="s">
        <v>10507</v>
      </c>
      <c r="E6936" s="17"/>
      <c r="F6936" s="17" t="s">
        <v>10780</v>
      </c>
      <c r="G6936" s="17"/>
      <c r="H6936" s="17" t="s">
        <v>12908</v>
      </c>
      <c r="I6936" s="17"/>
      <c r="J6936" s="17" t="s">
        <v>14018</v>
      </c>
      <c r="K6936" s="17"/>
      <c r="L6936" s="17" t="s">
        <v>14019</v>
      </c>
      <c r="M6936" s="17"/>
      <c r="N6936" s="17" t="s">
        <v>14020</v>
      </c>
      <c r="O6936" s="17"/>
      <c r="P6936" s="17" t="s">
        <v>14040</v>
      </c>
      <c r="Q6936" s="17"/>
      <c r="R6936" s="25" t="str">
        <f>HYPERLINK("https://ictv.global/taxonomy/taxondetails?taxnode_id=202303347","Begomovirus sidaboliviaenseprimi")</f>
        <v>Begomovirus sidaboliviaenseprimi</v>
      </c>
      <c r="S6936" s="18" t="s">
        <v>30</v>
      </c>
      <c r="T6936" s="18" t="s">
        <v>15190</v>
      </c>
      <c r="U6936" s="18" t="s">
        <v>15191</v>
      </c>
      <c r="V6936" s="18" t="s">
        <v>15192</v>
      </c>
      <c r="W6936" s="18" t="s">
        <v>15193</v>
      </c>
      <c r="X6936" s="18" t="s">
        <v>42</v>
      </c>
      <c r="Y6936" s="18" t="s">
        <v>12266</v>
      </c>
      <c r="Z6936" s="18" t="s">
        <v>13441</v>
      </c>
      <c r="AA6936" s="21" t="str">
        <f>HYPERLINK("https://www.ncbi.nlm.nih.gov/nuccore/HM585441,HM585442","NCBI Nucleotide")</f>
        <v>NCBI Nucleotide</v>
      </c>
    </row>
    <row r="6937" spans="1:27" x14ac:dyDescent="0.35">
      <c r="A6937">
        <v>1007822</v>
      </c>
      <c r="B6937">
        <v>6504</v>
      </c>
      <c r="C6937">
        <v>1</v>
      </c>
      <c r="D6937" s="17" t="s">
        <v>10507</v>
      </c>
      <c r="E6937" s="17"/>
      <c r="F6937" s="17" t="s">
        <v>10780</v>
      </c>
      <c r="G6937" s="17"/>
      <c r="H6937" s="17" t="s">
        <v>12908</v>
      </c>
      <c r="I6937" s="17"/>
      <c r="J6937" s="17" t="s">
        <v>14018</v>
      </c>
      <c r="K6937" s="17"/>
      <c r="L6937" s="17" t="s">
        <v>14019</v>
      </c>
      <c r="M6937" s="17"/>
      <c r="N6937" s="17" t="s">
        <v>14020</v>
      </c>
      <c r="O6937" s="17"/>
      <c r="P6937" s="17" t="s">
        <v>14040</v>
      </c>
      <c r="Q6937" s="17"/>
      <c r="R6937" s="25" t="str">
        <f>HYPERLINK("https://ictv.global/taxonomy/taxondetails?taxnode_id=202303333","Begomovirus sidaciliaris")</f>
        <v>Begomovirus sidaciliaris</v>
      </c>
      <c r="S6937" s="18" t="s">
        <v>30</v>
      </c>
      <c r="T6937" s="18" t="s">
        <v>15128</v>
      </c>
      <c r="U6937" s="18" t="s">
        <v>15129</v>
      </c>
      <c r="V6937" s="18" t="s">
        <v>15130</v>
      </c>
      <c r="W6937" s="18" t="s">
        <v>15131</v>
      </c>
      <c r="X6937" s="18" t="s">
        <v>42</v>
      </c>
      <c r="Y6937" s="18" t="s">
        <v>12266</v>
      </c>
      <c r="Z6937" s="18" t="s">
        <v>13441</v>
      </c>
      <c r="AA6937" s="21" t="str">
        <f>HYPERLINK("https://www.ncbi.nlm.nih.gov/nuccore/JX857691,JX857692","NCBI Nucleotide")</f>
        <v>NCBI Nucleotide</v>
      </c>
    </row>
    <row r="6938" spans="1:27" x14ac:dyDescent="0.35">
      <c r="A6938">
        <v>1007835</v>
      </c>
      <c r="B6938">
        <v>6505</v>
      </c>
      <c r="C6938">
        <v>1</v>
      </c>
      <c r="D6938" s="17" t="s">
        <v>10507</v>
      </c>
      <c r="E6938" s="17"/>
      <c r="F6938" s="17" t="s">
        <v>10780</v>
      </c>
      <c r="G6938" s="17"/>
      <c r="H6938" s="17" t="s">
        <v>12908</v>
      </c>
      <c r="I6938" s="17"/>
      <c r="J6938" s="17" t="s">
        <v>14018</v>
      </c>
      <c r="K6938" s="17"/>
      <c r="L6938" s="17" t="s">
        <v>14019</v>
      </c>
      <c r="M6938" s="17"/>
      <c r="N6938" s="17" t="s">
        <v>14020</v>
      </c>
      <c r="O6938" s="17"/>
      <c r="P6938" s="17" t="s">
        <v>14040</v>
      </c>
      <c r="Q6938" s="17"/>
      <c r="R6938" s="25" t="str">
        <f>HYPERLINK("https://ictv.global/taxonomy/taxondetails?taxnode_id=202303344","Begomovirus sidacontorsionis")</f>
        <v>Begomovirus sidacontorsionis</v>
      </c>
      <c r="S6938" s="18" t="s">
        <v>30</v>
      </c>
      <c r="T6938" s="18" t="s">
        <v>15175</v>
      </c>
      <c r="U6938" s="18" t="s">
        <v>15176</v>
      </c>
      <c r="V6938" s="18" t="s">
        <v>15177</v>
      </c>
      <c r="W6938" s="18" t="s">
        <v>41546</v>
      </c>
      <c r="X6938" s="18" t="s">
        <v>42</v>
      </c>
      <c r="Y6938" s="18" t="s">
        <v>12266</v>
      </c>
      <c r="Z6938" s="18" t="s">
        <v>13441</v>
      </c>
      <c r="AA6938" s="21" t="str">
        <f>HYPERLINK("https://www.ncbi.nlm.nih.gov/nuccore/AM050730","NCBI Nucleotide")</f>
        <v>NCBI Nucleotide</v>
      </c>
    </row>
    <row r="6939" spans="1:27" x14ac:dyDescent="0.35">
      <c r="A6939">
        <v>1007847</v>
      </c>
      <c r="B6939">
        <v>6506</v>
      </c>
      <c r="C6939">
        <v>1</v>
      </c>
      <c r="D6939" s="17" t="s">
        <v>10507</v>
      </c>
      <c r="E6939" s="17"/>
      <c r="F6939" s="17" t="s">
        <v>10780</v>
      </c>
      <c r="G6939" s="17"/>
      <c r="H6939" s="17" t="s">
        <v>12908</v>
      </c>
      <c r="I6939" s="17"/>
      <c r="J6939" s="17" t="s">
        <v>14018</v>
      </c>
      <c r="K6939" s="17"/>
      <c r="L6939" s="17" t="s">
        <v>14019</v>
      </c>
      <c r="M6939" s="17"/>
      <c r="N6939" s="17" t="s">
        <v>14020</v>
      </c>
      <c r="O6939" s="17"/>
      <c r="P6939" s="17" t="s">
        <v>14040</v>
      </c>
      <c r="Q6939" s="17"/>
      <c r="R6939" s="25" t="str">
        <f>HYPERLINK("https://ictv.global/taxonomy/taxondetails?taxnode_id=202303355","Begomovirus sidaflavachinaense")</f>
        <v>Begomovirus sidaflavachinaense</v>
      </c>
      <c r="S6939" s="18" t="s">
        <v>30</v>
      </c>
      <c r="T6939" s="18" t="s">
        <v>15225</v>
      </c>
      <c r="U6939" s="18" t="s">
        <v>15226</v>
      </c>
      <c r="V6939" s="18" t="s">
        <v>15227</v>
      </c>
      <c r="W6939" s="18" t="s">
        <v>41547</v>
      </c>
      <c r="X6939" s="18" t="s">
        <v>42</v>
      </c>
      <c r="Y6939" s="18" t="s">
        <v>12266</v>
      </c>
      <c r="Z6939" s="18" t="s">
        <v>13441</v>
      </c>
      <c r="AA6939" s="21" t="str">
        <f>HYPERLINK("https://www.ncbi.nlm.nih.gov/nuccore/AM048837","NCBI Nucleotide")</f>
        <v>NCBI Nucleotide</v>
      </c>
    </row>
    <row r="6940" spans="1:27" x14ac:dyDescent="0.35">
      <c r="A6940">
        <v>1007845</v>
      </c>
      <c r="B6940">
        <v>6507</v>
      </c>
      <c r="C6940">
        <v>1</v>
      </c>
      <c r="D6940" s="17" t="s">
        <v>10507</v>
      </c>
      <c r="E6940" s="17"/>
      <c r="F6940" s="17" t="s">
        <v>10780</v>
      </c>
      <c r="G6940" s="17"/>
      <c r="H6940" s="17" t="s">
        <v>12908</v>
      </c>
      <c r="I6940" s="17"/>
      <c r="J6940" s="17" t="s">
        <v>14018</v>
      </c>
      <c r="K6940" s="17"/>
      <c r="L6940" s="17" t="s">
        <v>14019</v>
      </c>
      <c r="M6940" s="17"/>
      <c r="N6940" s="17" t="s">
        <v>14020</v>
      </c>
      <c r="O6940" s="17"/>
      <c r="P6940" s="17" t="s">
        <v>14040</v>
      </c>
      <c r="Q6940" s="17"/>
      <c r="R6940" s="25" t="str">
        <f>HYPERLINK("https://ictv.global/taxonomy/taxondetails?taxnode_id=202303353","Begomovirus sidaflavacontorsionis")</f>
        <v>Begomovirus sidaflavacontorsionis</v>
      </c>
      <c r="S6940" s="18" t="s">
        <v>30</v>
      </c>
      <c r="T6940" s="18" t="s">
        <v>15217</v>
      </c>
      <c r="U6940" s="18" t="s">
        <v>15218</v>
      </c>
      <c r="V6940" s="18" t="s">
        <v>15219</v>
      </c>
      <c r="W6940" s="18" t="s">
        <v>15220</v>
      </c>
      <c r="X6940" s="18" t="s">
        <v>42</v>
      </c>
      <c r="Y6940" s="18" t="s">
        <v>12266</v>
      </c>
      <c r="Z6940" s="18" t="s">
        <v>13441</v>
      </c>
      <c r="AA6940" s="21" t="str">
        <f>HYPERLINK("https://www.ncbi.nlm.nih.gov/nuccore/EU710750","NCBI Nucleotide")</f>
        <v>NCBI Nucleotide</v>
      </c>
    </row>
    <row r="6941" spans="1:27" x14ac:dyDescent="0.35">
      <c r="A6941">
        <v>1007846</v>
      </c>
      <c r="B6941">
        <v>6508</v>
      </c>
      <c r="C6941">
        <v>1</v>
      </c>
      <c r="D6941" s="17" t="s">
        <v>10507</v>
      </c>
      <c r="E6941" s="17"/>
      <c r="F6941" s="17" t="s">
        <v>10780</v>
      </c>
      <c r="G6941" s="17"/>
      <c r="H6941" s="17" t="s">
        <v>12908</v>
      </c>
      <c r="I6941" s="17"/>
      <c r="J6941" s="17" t="s">
        <v>14018</v>
      </c>
      <c r="K6941" s="17"/>
      <c r="L6941" s="17" t="s">
        <v>14019</v>
      </c>
      <c r="M6941" s="17"/>
      <c r="N6941" s="17" t="s">
        <v>14020</v>
      </c>
      <c r="O6941" s="17"/>
      <c r="P6941" s="17" t="s">
        <v>14040</v>
      </c>
      <c r="Q6941" s="17"/>
      <c r="R6941" s="25" t="str">
        <f>HYPERLINK("https://ictv.global/taxonomy/taxondetails?taxnode_id=202303354","Begomovirus sidaflavalagoense")</f>
        <v>Begomovirus sidaflavalagoense</v>
      </c>
      <c r="S6941" s="18" t="s">
        <v>30</v>
      </c>
      <c r="T6941" s="18" t="s">
        <v>15221</v>
      </c>
      <c r="U6941" s="18" t="s">
        <v>15222</v>
      </c>
      <c r="V6941" s="18" t="s">
        <v>15223</v>
      </c>
      <c r="W6941" s="18" t="s">
        <v>15224</v>
      </c>
      <c r="X6941" s="18" t="s">
        <v>42</v>
      </c>
      <c r="Y6941" s="18" t="s">
        <v>12266</v>
      </c>
      <c r="Z6941" s="18" t="s">
        <v>13441</v>
      </c>
      <c r="AA6941" s="21" t="str">
        <f>HYPERLINK("https://www.ncbi.nlm.nih.gov/nuccore/JX871383","NCBI Nucleotide")</f>
        <v>NCBI Nucleotide</v>
      </c>
    </row>
    <row r="6942" spans="1:27" x14ac:dyDescent="0.35">
      <c r="A6942">
        <v>1007843</v>
      </c>
      <c r="B6942">
        <v>6509</v>
      </c>
      <c r="C6942">
        <v>1</v>
      </c>
      <c r="D6942" s="17" t="s">
        <v>10507</v>
      </c>
      <c r="E6942" s="17"/>
      <c r="F6942" s="17" t="s">
        <v>10780</v>
      </c>
      <c r="G6942" s="17"/>
      <c r="H6942" s="17" t="s">
        <v>12908</v>
      </c>
      <c r="I6942" s="17"/>
      <c r="J6942" s="17" t="s">
        <v>14018</v>
      </c>
      <c r="K6942" s="17"/>
      <c r="L6942" s="17" t="s">
        <v>14019</v>
      </c>
      <c r="M6942" s="17"/>
      <c r="N6942" s="17" t="s">
        <v>14020</v>
      </c>
      <c r="O6942" s="17"/>
      <c r="P6942" s="17" t="s">
        <v>14040</v>
      </c>
      <c r="Q6942" s="17"/>
      <c r="R6942" s="25" t="str">
        <f>HYPERLINK("https://ictv.global/taxonomy/taxondetails?taxnode_id=202303352","Begomovirus sidaflavamaculae")</f>
        <v>Begomovirus sidaflavamaculae</v>
      </c>
      <c r="S6942" s="18" t="s">
        <v>30</v>
      </c>
      <c r="T6942" s="18" t="s">
        <v>15210</v>
      </c>
      <c r="U6942" s="18" t="s">
        <v>15211</v>
      </c>
      <c r="V6942" s="18" t="s">
        <v>15212</v>
      </c>
      <c r="W6942" s="18" t="s">
        <v>15213</v>
      </c>
      <c r="X6942" s="18" t="s">
        <v>42</v>
      </c>
      <c r="Y6942" s="18" t="s">
        <v>12266</v>
      </c>
      <c r="Z6942" s="18" t="s">
        <v>13441</v>
      </c>
      <c r="AA6942" s="21" t="str">
        <f>HYPERLINK("https://www.ncbi.nlm.nih.gov/nuccore/JX871380","NCBI Nucleotide")</f>
        <v>NCBI Nucleotide</v>
      </c>
    </row>
    <row r="6943" spans="1:27" x14ac:dyDescent="0.35">
      <c r="A6943">
        <v>1007848</v>
      </c>
      <c r="B6943">
        <v>6510</v>
      </c>
      <c r="C6943">
        <v>1</v>
      </c>
      <c r="D6943" s="17" t="s">
        <v>10507</v>
      </c>
      <c r="E6943" s="17"/>
      <c r="F6943" s="17" t="s">
        <v>10780</v>
      </c>
      <c r="G6943" s="17"/>
      <c r="H6943" s="17" t="s">
        <v>12908</v>
      </c>
      <c r="I6943" s="17"/>
      <c r="J6943" s="17" t="s">
        <v>14018</v>
      </c>
      <c r="K6943" s="17"/>
      <c r="L6943" s="17" t="s">
        <v>14019</v>
      </c>
      <c r="M6943" s="17"/>
      <c r="N6943" s="17" t="s">
        <v>14020</v>
      </c>
      <c r="O6943" s="17"/>
      <c r="P6943" s="17" t="s">
        <v>14040</v>
      </c>
      <c r="Q6943" s="17"/>
      <c r="R6943" s="25" t="str">
        <f>HYPERLINK("https://ictv.global/taxonomy/taxondetails?taxnode_id=202303356","Begomovirus sidaflavamusivi")</f>
        <v>Begomovirus sidaflavamusivi</v>
      </c>
      <c r="S6943" s="18" t="s">
        <v>30</v>
      </c>
      <c r="T6943" s="18" t="s">
        <v>15228</v>
      </c>
      <c r="U6943" s="18" t="s">
        <v>15229</v>
      </c>
      <c r="V6943" s="18" t="s">
        <v>15230</v>
      </c>
      <c r="W6943" s="18" t="s">
        <v>15231</v>
      </c>
      <c r="X6943" s="18" t="s">
        <v>42</v>
      </c>
      <c r="Y6943" s="18" t="s">
        <v>12266</v>
      </c>
      <c r="Z6943" s="18" t="s">
        <v>13441</v>
      </c>
      <c r="AA6943" s="21" t="str">
        <f>HYPERLINK("https://www.ncbi.nlm.nih.gov/nuccore/AY090558","NCBI Nucleotide")</f>
        <v>NCBI Nucleotide</v>
      </c>
    </row>
    <row r="6944" spans="1:27" x14ac:dyDescent="0.35">
      <c r="A6944">
        <v>1007851</v>
      </c>
      <c r="B6944">
        <v>6511</v>
      </c>
      <c r="C6944">
        <v>1</v>
      </c>
      <c r="D6944" s="17" t="s">
        <v>10507</v>
      </c>
      <c r="E6944" s="17"/>
      <c r="F6944" s="17" t="s">
        <v>10780</v>
      </c>
      <c r="G6944" s="17"/>
      <c r="H6944" s="17" t="s">
        <v>12908</v>
      </c>
      <c r="I6944" s="17"/>
      <c r="J6944" s="17" t="s">
        <v>14018</v>
      </c>
      <c r="K6944" s="17"/>
      <c r="L6944" s="17" t="s">
        <v>14019</v>
      </c>
      <c r="M6944" s="17"/>
      <c r="N6944" s="17" t="s">
        <v>14020</v>
      </c>
      <c r="O6944" s="17"/>
      <c r="P6944" s="17" t="s">
        <v>14040</v>
      </c>
      <c r="Q6944" s="17"/>
      <c r="R6944" s="25" t="str">
        <f>HYPERLINK("https://ictv.global/taxonomy/taxondetails?taxnode_id=202303359","Begomovirus sidaflavaneti")</f>
        <v>Begomovirus sidaflavaneti</v>
      </c>
      <c r="S6944" s="18" t="s">
        <v>30</v>
      </c>
      <c r="T6944" s="18" t="s">
        <v>15239</v>
      </c>
      <c r="U6944" s="18" t="s">
        <v>15240</v>
      </c>
      <c r="V6944" s="18" t="s">
        <v>15241</v>
      </c>
      <c r="W6944" s="18" t="s">
        <v>15242</v>
      </c>
      <c r="X6944" s="18" t="s">
        <v>42</v>
      </c>
      <c r="Y6944" s="18" t="s">
        <v>12266</v>
      </c>
      <c r="Z6944" s="18" t="s">
        <v>13441</v>
      </c>
      <c r="AA6944" s="21" t="str">
        <f>HYPERLINK("https://www.ncbi.nlm.nih.gov/nuccore/JX871376","NCBI Nucleotide")</f>
        <v>NCBI Nucleotide</v>
      </c>
    </row>
    <row r="6945" spans="1:27" x14ac:dyDescent="0.35">
      <c r="A6945">
        <v>1007844</v>
      </c>
      <c r="B6945">
        <v>6512</v>
      </c>
      <c r="C6945">
        <v>1</v>
      </c>
      <c r="D6945" s="17" t="s">
        <v>10507</v>
      </c>
      <c r="E6945" s="17"/>
      <c r="F6945" s="17" t="s">
        <v>10780</v>
      </c>
      <c r="G6945" s="17"/>
      <c r="H6945" s="17" t="s">
        <v>12908</v>
      </c>
      <c r="I6945" s="17"/>
      <c r="J6945" s="17" t="s">
        <v>14018</v>
      </c>
      <c r="K6945" s="17"/>
      <c r="L6945" s="17" t="s">
        <v>14019</v>
      </c>
      <c r="M6945" s="17"/>
      <c r="N6945" s="17" t="s">
        <v>14020</v>
      </c>
      <c r="O6945" s="17"/>
      <c r="P6945" s="17" t="s">
        <v>14040</v>
      </c>
      <c r="Q6945" s="17"/>
      <c r="R6945" s="25" t="str">
        <f>HYPERLINK("https://ictv.global/taxonomy/taxondetails?taxnode_id=202309133","Begomovirus sidaflavaureimusivi")</f>
        <v>Begomovirus sidaflavaureimusivi</v>
      </c>
      <c r="S6945" s="18" t="s">
        <v>30</v>
      </c>
      <c r="T6945" s="18" t="s">
        <v>15214</v>
      </c>
      <c r="U6945" s="18" t="s">
        <v>15215</v>
      </c>
      <c r="V6945" s="18" t="s">
        <v>15216</v>
      </c>
      <c r="W6945" s="18" t="s">
        <v>48728</v>
      </c>
      <c r="X6945" s="18" t="s">
        <v>42</v>
      </c>
      <c r="Y6945" s="18" t="s">
        <v>12266</v>
      </c>
      <c r="Z6945" s="18" t="s">
        <v>13441</v>
      </c>
      <c r="AA6945" s="21" t="str">
        <f>HYPERLINK("https://www.ncbi.nlm.nih.gov/nuccore/MF163258,MF163259","NCBI Nucleotide")</f>
        <v>NCBI Nucleotide</v>
      </c>
    </row>
    <row r="6946" spans="1:27" x14ac:dyDescent="0.35">
      <c r="A6946">
        <v>1007850</v>
      </c>
      <c r="B6946">
        <v>6513</v>
      </c>
      <c r="C6946">
        <v>1</v>
      </c>
      <c r="D6946" s="17" t="s">
        <v>10507</v>
      </c>
      <c r="E6946" s="17"/>
      <c r="F6946" s="17" t="s">
        <v>10780</v>
      </c>
      <c r="G6946" s="17"/>
      <c r="H6946" s="17" t="s">
        <v>12908</v>
      </c>
      <c r="I6946" s="17"/>
      <c r="J6946" s="17" t="s">
        <v>14018</v>
      </c>
      <c r="K6946" s="17"/>
      <c r="L6946" s="17" t="s">
        <v>14019</v>
      </c>
      <c r="M6946" s="17"/>
      <c r="N6946" s="17" t="s">
        <v>14020</v>
      </c>
      <c r="O6946" s="17"/>
      <c r="P6946" s="17" t="s">
        <v>14040</v>
      </c>
      <c r="Q6946" s="17"/>
      <c r="R6946" s="25" t="str">
        <f>HYPERLINK("https://ictv.global/taxonomy/taxondetails?taxnode_id=202303358","Begomovirus sidaflavavariati")</f>
        <v>Begomovirus sidaflavavariati</v>
      </c>
      <c r="S6946" s="18" t="s">
        <v>30</v>
      </c>
      <c r="T6946" s="18" t="s">
        <v>15235</v>
      </c>
      <c r="U6946" s="18" t="s">
        <v>15236</v>
      </c>
      <c r="V6946" s="18" t="s">
        <v>15237</v>
      </c>
      <c r="W6946" s="18" t="s">
        <v>15238</v>
      </c>
      <c r="X6946" s="18" t="s">
        <v>42</v>
      </c>
      <c r="Y6946" s="18" t="s">
        <v>12266</v>
      </c>
      <c r="Z6946" s="18" t="s">
        <v>13441</v>
      </c>
      <c r="AA6946" s="21" t="str">
        <f>HYPERLINK("https://www.ncbi.nlm.nih.gov/nuccore/JN411687,JN411688","NCBI Nucleotide")</f>
        <v>NCBI Nucleotide</v>
      </c>
    </row>
    <row r="6947" spans="1:27" x14ac:dyDescent="0.35">
      <c r="A6947">
        <v>1007853</v>
      </c>
      <c r="B6947">
        <v>6514</v>
      </c>
      <c r="C6947">
        <v>1</v>
      </c>
      <c r="D6947" s="17" t="s">
        <v>10507</v>
      </c>
      <c r="E6947" s="17"/>
      <c r="F6947" s="17" t="s">
        <v>10780</v>
      </c>
      <c r="G6947" s="17"/>
      <c r="H6947" s="17" t="s">
        <v>12908</v>
      </c>
      <c r="I6947" s="17"/>
      <c r="J6947" s="17" t="s">
        <v>14018</v>
      </c>
      <c r="K6947" s="17"/>
      <c r="L6947" s="17" t="s">
        <v>14019</v>
      </c>
      <c r="M6947" s="17"/>
      <c r="N6947" s="17" t="s">
        <v>14020</v>
      </c>
      <c r="O6947" s="17"/>
      <c r="P6947" s="17" t="s">
        <v>14040</v>
      </c>
      <c r="Q6947" s="17"/>
      <c r="R6947" s="25" t="str">
        <f>HYPERLINK("https://ictv.global/taxonomy/taxondetails?taxnode_id=202303361","Begomovirus sidaflavavenae")</f>
        <v>Begomovirus sidaflavavenae</v>
      </c>
      <c r="S6947" s="18" t="s">
        <v>30</v>
      </c>
      <c r="T6947" s="18" t="s">
        <v>15246</v>
      </c>
      <c r="U6947" s="18" t="s">
        <v>15247</v>
      </c>
      <c r="V6947" s="18" t="s">
        <v>15248</v>
      </c>
      <c r="W6947" s="18" t="s">
        <v>15249</v>
      </c>
      <c r="X6947" s="18" t="s">
        <v>42</v>
      </c>
      <c r="Y6947" s="18" t="s">
        <v>12266</v>
      </c>
      <c r="Z6947" s="18" t="s">
        <v>13441</v>
      </c>
      <c r="AA6947" s="21" t="str">
        <f>HYPERLINK("https://www.ncbi.nlm.nih.gov/nuccore/Y11099,Y11100","NCBI Nucleotide")</f>
        <v>NCBI Nucleotide</v>
      </c>
    </row>
    <row r="6948" spans="1:27" x14ac:dyDescent="0.35">
      <c r="A6948">
        <v>1007852</v>
      </c>
      <c r="B6948">
        <v>6515</v>
      </c>
      <c r="C6948">
        <v>1</v>
      </c>
      <c r="D6948" s="17" t="s">
        <v>10507</v>
      </c>
      <c r="E6948" s="17"/>
      <c r="F6948" s="17" t="s">
        <v>10780</v>
      </c>
      <c r="G6948" s="17"/>
      <c r="H6948" s="17" t="s">
        <v>12908</v>
      </c>
      <c r="I6948" s="17"/>
      <c r="J6948" s="17" t="s">
        <v>14018</v>
      </c>
      <c r="K6948" s="17"/>
      <c r="L6948" s="17" t="s">
        <v>14019</v>
      </c>
      <c r="M6948" s="17"/>
      <c r="N6948" s="17" t="s">
        <v>14020</v>
      </c>
      <c r="O6948" s="17"/>
      <c r="P6948" s="17" t="s">
        <v>14040</v>
      </c>
      <c r="Q6948" s="17"/>
      <c r="R6948" s="25" t="str">
        <f>HYPERLINK("https://ictv.global/taxonomy/taxondetails?taxnode_id=202303360","Begomovirus sidaflavavietnamense")</f>
        <v>Begomovirus sidaflavavietnamense</v>
      </c>
      <c r="S6948" s="18" t="s">
        <v>30</v>
      </c>
      <c r="T6948" s="18" t="s">
        <v>15243</v>
      </c>
      <c r="U6948" s="18" t="s">
        <v>15244</v>
      </c>
      <c r="V6948" s="18" t="s">
        <v>14691</v>
      </c>
      <c r="W6948" s="18" t="s">
        <v>15245</v>
      </c>
      <c r="X6948" s="18" t="s">
        <v>42</v>
      </c>
      <c r="Y6948" s="18" t="s">
        <v>12266</v>
      </c>
      <c r="Z6948" s="18" t="s">
        <v>13441</v>
      </c>
      <c r="AA6948" s="21" t="str">
        <f>HYPERLINK("https://www.ncbi.nlm.nih.gov/nuccore/DQ641696","NCBI Nucleotide")</f>
        <v>NCBI Nucleotide</v>
      </c>
    </row>
    <row r="6949" spans="1:27" x14ac:dyDescent="0.35">
      <c r="A6949">
        <v>1007849</v>
      </c>
      <c r="B6949">
        <v>6516</v>
      </c>
      <c r="C6949">
        <v>1</v>
      </c>
      <c r="D6949" s="17" t="s">
        <v>10507</v>
      </c>
      <c r="E6949" s="17"/>
      <c r="F6949" s="17" t="s">
        <v>10780</v>
      </c>
      <c r="G6949" s="17"/>
      <c r="H6949" s="17" t="s">
        <v>12908</v>
      </c>
      <c r="I6949" s="17"/>
      <c r="J6949" s="17" t="s">
        <v>14018</v>
      </c>
      <c r="K6949" s="17"/>
      <c r="L6949" s="17" t="s">
        <v>14019</v>
      </c>
      <c r="M6949" s="17"/>
      <c r="N6949" s="17" t="s">
        <v>14020</v>
      </c>
      <c r="O6949" s="17"/>
      <c r="P6949" s="17" t="s">
        <v>14040</v>
      </c>
      <c r="Q6949" s="17"/>
      <c r="R6949" s="25" t="str">
        <f>HYPERLINK("https://ictv.global/taxonomy/taxondetails?taxnode_id=202303357","Begomovirus sidaflavayucatanense")</f>
        <v>Begomovirus sidaflavayucatanense</v>
      </c>
      <c r="S6949" s="18" t="s">
        <v>30</v>
      </c>
      <c r="T6949" s="18" t="s">
        <v>15232</v>
      </c>
      <c r="U6949" s="18" t="s">
        <v>15233</v>
      </c>
      <c r="V6949" s="18" t="s">
        <v>14206</v>
      </c>
      <c r="W6949" s="18" t="s">
        <v>15234</v>
      </c>
      <c r="X6949" s="18" t="s">
        <v>42</v>
      </c>
      <c r="Y6949" s="18" t="s">
        <v>12266</v>
      </c>
      <c r="Z6949" s="18" t="s">
        <v>13441</v>
      </c>
      <c r="AA6949" s="21" t="str">
        <f>HYPERLINK("https://www.ncbi.nlm.nih.gov/nuccore/DQ875872,DQ875873","NCBI Nucleotide")</f>
        <v>NCBI Nucleotide</v>
      </c>
    </row>
    <row r="6950" spans="1:27" x14ac:dyDescent="0.35">
      <c r="A6950">
        <v>1007818</v>
      </c>
      <c r="B6950">
        <v>6517</v>
      </c>
      <c r="C6950">
        <v>1</v>
      </c>
      <c r="D6950" s="17" t="s">
        <v>10507</v>
      </c>
      <c r="E6950" s="17"/>
      <c r="F6950" s="17" t="s">
        <v>10780</v>
      </c>
      <c r="G6950" s="17"/>
      <c r="H6950" s="17" t="s">
        <v>12908</v>
      </c>
      <c r="I6950" s="17"/>
      <c r="J6950" s="17" t="s">
        <v>14018</v>
      </c>
      <c r="K6950" s="17"/>
      <c r="L6950" s="17" t="s">
        <v>14019</v>
      </c>
      <c r="M6950" s="17"/>
      <c r="N6950" s="17" t="s">
        <v>14020</v>
      </c>
      <c r="O6950" s="17"/>
      <c r="P6950" s="17" t="s">
        <v>14040</v>
      </c>
      <c r="Q6950" s="17"/>
      <c r="R6950" s="25" t="str">
        <f>HYPERLINK("https://ictv.global/taxonomy/taxondetails?taxnode_id=202305825","Begomovirus sidaflavi")</f>
        <v>Begomovirus sidaflavi</v>
      </c>
      <c r="S6950" s="18" t="s">
        <v>30</v>
      </c>
      <c r="T6950" s="18" t="s">
        <v>15114</v>
      </c>
      <c r="U6950" s="18" t="s">
        <v>15115</v>
      </c>
      <c r="V6950" s="18" t="s">
        <v>15116</v>
      </c>
      <c r="W6950" s="18" t="s">
        <v>15117</v>
      </c>
      <c r="X6950" s="18" t="s">
        <v>42</v>
      </c>
      <c r="Y6950" s="18" t="s">
        <v>12266</v>
      </c>
      <c r="Z6950" s="18" t="s">
        <v>13441</v>
      </c>
      <c r="AA6950" s="21" t="str">
        <f>HYPERLINK("https://www.ncbi.nlm.nih.gov/nuccore/KX348184,KX348225","NCBI Nucleotide")</f>
        <v>NCBI Nucleotide</v>
      </c>
    </row>
    <row r="6951" spans="1:27" x14ac:dyDescent="0.35">
      <c r="A6951">
        <v>1007834</v>
      </c>
      <c r="B6951">
        <v>6518</v>
      </c>
      <c r="C6951">
        <v>1</v>
      </c>
      <c r="D6951" s="17" t="s">
        <v>10507</v>
      </c>
      <c r="E6951" s="17"/>
      <c r="F6951" s="17" t="s">
        <v>10780</v>
      </c>
      <c r="G6951" s="17"/>
      <c r="H6951" s="17" t="s">
        <v>12908</v>
      </c>
      <c r="I6951" s="17"/>
      <c r="J6951" s="17" t="s">
        <v>14018</v>
      </c>
      <c r="K6951" s="17"/>
      <c r="L6951" s="17" t="s">
        <v>14019</v>
      </c>
      <c r="M6951" s="17"/>
      <c r="N6951" s="17" t="s">
        <v>14020</v>
      </c>
      <c r="O6951" s="17"/>
      <c r="P6951" s="17" t="s">
        <v>14040</v>
      </c>
      <c r="Q6951" s="17"/>
      <c r="R6951" s="25" t="str">
        <f>HYPERLINK("https://ictv.global/taxonomy/taxondetails?taxnode_id=202309132","Begomovirus sidaintervenae")</f>
        <v>Begomovirus sidaintervenae</v>
      </c>
      <c r="S6951" s="18" t="s">
        <v>30</v>
      </c>
      <c r="T6951" s="18" t="s">
        <v>15172</v>
      </c>
      <c r="U6951" s="18" t="s">
        <v>15173</v>
      </c>
      <c r="V6951" s="18" t="s">
        <v>15174</v>
      </c>
      <c r="W6951" s="18" t="s">
        <v>50770</v>
      </c>
      <c r="X6951" s="18" t="s">
        <v>42</v>
      </c>
      <c r="Y6951" s="18" t="s">
        <v>12266</v>
      </c>
      <c r="Z6951" s="18" t="s">
        <v>13441</v>
      </c>
      <c r="AA6951" s="21" t="str">
        <f>HYPERLINK("https://www.ncbi.nlm.nih.gov/nuccore/MN746033,MN419243","NCBI Nucleotide")</f>
        <v>NCBI Nucleotide</v>
      </c>
    </row>
    <row r="6952" spans="1:27" x14ac:dyDescent="0.35">
      <c r="A6952">
        <v>1007836</v>
      </c>
      <c r="B6952">
        <v>6519</v>
      </c>
      <c r="C6952">
        <v>1</v>
      </c>
      <c r="D6952" s="17" t="s">
        <v>10507</v>
      </c>
      <c r="E6952" s="17"/>
      <c r="F6952" s="17" t="s">
        <v>10780</v>
      </c>
      <c r="G6952" s="17"/>
      <c r="H6952" s="17" t="s">
        <v>12908</v>
      </c>
      <c r="I6952" s="17"/>
      <c r="J6952" s="17" t="s">
        <v>14018</v>
      </c>
      <c r="K6952" s="17"/>
      <c r="L6952" s="17" t="s">
        <v>14019</v>
      </c>
      <c r="M6952" s="17"/>
      <c r="N6952" s="17" t="s">
        <v>14020</v>
      </c>
      <c r="O6952" s="17"/>
      <c r="P6952" s="17" t="s">
        <v>14040</v>
      </c>
      <c r="Q6952" s="17"/>
      <c r="R6952" s="25" t="str">
        <f>HYPERLINK("https://ictv.global/taxonomy/taxondetails?taxnode_id=202303345","Begomovirus sidamicranthae")</f>
        <v>Begomovirus sidamicranthae</v>
      </c>
      <c r="S6952" s="18" t="s">
        <v>30</v>
      </c>
      <c r="T6952" s="18" t="s">
        <v>15178</v>
      </c>
      <c r="U6952" s="18" t="s">
        <v>15179</v>
      </c>
      <c r="V6952" s="18" t="s">
        <v>15180</v>
      </c>
      <c r="W6952" s="18" t="s">
        <v>15181</v>
      </c>
      <c r="X6952" s="18" t="s">
        <v>42</v>
      </c>
      <c r="Y6952" s="18" t="s">
        <v>12266</v>
      </c>
      <c r="Z6952" s="18" t="s">
        <v>13441</v>
      </c>
      <c r="AA6952" s="21" t="str">
        <f>HYPERLINK("https://www.ncbi.nlm.nih.gov/nuccore/AJ557451,AJ557453","NCBI Nucleotide")</f>
        <v>NCBI Nucleotide</v>
      </c>
    </row>
    <row r="6953" spans="1:27" x14ac:dyDescent="0.35">
      <c r="A6953">
        <v>1012585</v>
      </c>
      <c r="B6953">
        <v>6519</v>
      </c>
      <c r="C6953">
        <v>2</v>
      </c>
      <c r="D6953" s="17" t="s">
        <v>10507</v>
      </c>
      <c r="E6953" s="17"/>
      <c r="F6953" s="17" t="s">
        <v>10780</v>
      </c>
      <c r="G6953" s="17"/>
      <c r="H6953" s="17" t="s">
        <v>12908</v>
      </c>
      <c r="I6953" s="17"/>
      <c r="J6953" s="17" t="s">
        <v>14018</v>
      </c>
      <c r="K6953" s="17"/>
      <c r="L6953" s="17" t="s">
        <v>14019</v>
      </c>
      <c r="M6953" s="17"/>
      <c r="N6953" s="17" t="s">
        <v>14020</v>
      </c>
      <c r="O6953" s="17"/>
      <c r="P6953" s="17" t="s">
        <v>14040</v>
      </c>
      <c r="Q6953" s="17"/>
      <c r="R6953" s="25" t="str">
        <f>HYPERLINK("https://ictv.global/taxonomy/taxondetails?taxnode_id=202303345","Begomovirus sidamicranthae")</f>
        <v>Begomovirus sidamicranthae</v>
      </c>
      <c r="S6953" s="18" t="s">
        <v>8141</v>
      </c>
      <c r="T6953" s="18" t="s">
        <v>15178</v>
      </c>
      <c r="U6953" s="18" t="s">
        <v>15182</v>
      </c>
      <c r="V6953" s="18" t="s">
        <v>15183</v>
      </c>
      <c r="W6953" s="18" t="s">
        <v>49160</v>
      </c>
      <c r="X6953" s="18" t="s">
        <v>42</v>
      </c>
      <c r="Y6953" s="18" t="s">
        <v>12266</v>
      </c>
      <c r="Z6953" s="18" t="s">
        <v>13441</v>
      </c>
      <c r="AA6953" s="21" t="str">
        <f>HYPERLINK("https://www.ncbi.nlm.nih.gov/nuccore/HM585439,HM585440","NCBI Nucleotide")</f>
        <v>NCBI Nucleotide</v>
      </c>
    </row>
    <row r="6954" spans="1:27" x14ac:dyDescent="0.35">
      <c r="A6954">
        <v>1012586</v>
      </c>
      <c r="B6954">
        <v>6519</v>
      </c>
      <c r="C6954">
        <v>3</v>
      </c>
      <c r="D6954" s="17" t="s">
        <v>10507</v>
      </c>
      <c r="E6954" s="17"/>
      <c r="F6954" s="17" t="s">
        <v>10780</v>
      </c>
      <c r="G6954" s="17"/>
      <c r="H6954" s="17" t="s">
        <v>12908</v>
      </c>
      <c r="I6954" s="17"/>
      <c r="J6954" s="17" t="s">
        <v>14018</v>
      </c>
      <c r="K6954" s="17"/>
      <c r="L6954" s="17" t="s">
        <v>14019</v>
      </c>
      <c r="M6954" s="17"/>
      <c r="N6954" s="17" t="s">
        <v>14020</v>
      </c>
      <c r="O6954" s="17"/>
      <c r="P6954" s="17" t="s">
        <v>14040</v>
      </c>
      <c r="Q6954" s="17"/>
      <c r="R6954" s="25" t="str">
        <f>HYPERLINK("https://ictv.global/taxonomy/taxondetails?taxnode_id=202303345","Begomovirus sidamicranthae")</f>
        <v>Begomovirus sidamicranthae</v>
      </c>
      <c r="S6954" s="18" t="s">
        <v>8141</v>
      </c>
      <c r="T6954" s="18" t="s">
        <v>15178</v>
      </c>
      <c r="U6954" s="18" t="s">
        <v>15184</v>
      </c>
      <c r="V6954" s="18" t="s">
        <v>15185</v>
      </c>
      <c r="W6954" s="18" t="s">
        <v>49161</v>
      </c>
      <c r="X6954" s="18" t="s">
        <v>42</v>
      </c>
      <c r="Y6954" s="18" t="s">
        <v>12266</v>
      </c>
      <c r="Z6954" s="18" t="s">
        <v>13441</v>
      </c>
      <c r="AA6954" s="21" t="str">
        <f>HYPERLINK("https://www.ncbi.nlm.nih.gov/nuccore/JX415187","NCBI Nucleotide")</f>
        <v>NCBI Nucleotide</v>
      </c>
    </row>
    <row r="6955" spans="1:27" x14ac:dyDescent="0.35">
      <c r="A6955">
        <v>1007817</v>
      </c>
      <c r="B6955">
        <v>6520</v>
      </c>
      <c r="C6955">
        <v>1</v>
      </c>
      <c r="D6955" s="17" t="s">
        <v>10507</v>
      </c>
      <c r="E6955" s="17"/>
      <c r="F6955" s="17" t="s">
        <v>10780</v>
      </c>
      <c r="G6955" s="17"/>
      <c r="H6955" s="17" t="s">
        <v>12908</v>
      </c>
      <c r="I6955" s="17"/>
      <c r="J6955" s="17" t="s">
        <v>14018</v>
      </c>
      <c r="K6955" s="17"/>
      <c r="L6955" s="17" t="s">
        <v>14019</v>
      </c>
      <c r="M6955" s="17"/>
      <c r="N6955" s="17" t="s">
        <v>14020</v>
      </c>
      <c r="O6955" s="17"/>
      <c r="P6955" s="17" t="s">
        <v>14040</v>
      </c>
      <c r="Q6955" s="17"/>
      <c r="R6955" s="25" t="str">
        <f>HYPERLINK("https://ictv.global/taxonomy/taxondetails?taxnode_id=202305824","Begomovirus sidamusivi")</f>
        <v>Begomovirus sidamusivi</v>
      </c>
      <c r="S6955" s="18" t="s">
        <v>30</v>
      </c>
      <c r="T6955" s="18" t="s">
        <v>15110</v>
      </c>
      <c r="U6955" s="18" t="s">
        <v>15111</v>
      </c>
      <c r="V6955" s="18" t="s">
        <v>15112</v>
      </c>
      <c r="W6955" s="18" t="s">
        <v>15113</v>
      </c>
      <c r="X6955" s="18" t="s">
        <v>42</v>
      </c>
      <c r="Y6955" s="18" t="s">
        <v>12266</v>
      </c>
      <c r="Z6955" s="18" t="s">
        <v>13441</v>
      </c>
      <c r="AA6955" s="21" t="str">
        <f>HYPERLINK("https://www.ncbi.nlm.nih.gov/nuccore/KX691407,KX691415","NCBI Nucleotide")</f>
        <v>NCBI Nucleotide</v>
      </c>
    </row>
    <row r="6956" spans="1:27" x14ac:dyDescent="0.35">
      <c r="A6956">
        <v>1007819</v>
      </c>
      <c r="B6956">
        <v>6521</v>
      </c>
      <c r="C6956">
        <v>1</v>
      </c>
      <c r="D6956" s="17" t="s">
        <v>10507</v>
      </c>
      <c r="E6956" s="17"/>
      <c r="F6956" s="17" t="s">
        <v>10780</v>
      </c>
      <c r="G6956" s="17"/>
      <c r="H6956" s="17" t="s">
        <v>12908</v>
      </c>
      <c r="I6956" s="17"/>
      <c r="J6956" s="17" t="s">
        <v>14018</v>
      </c>
      <c r="K6956" s="17"/>
      <c r="L6956" s="17" t="s">
        <v>14019</v>
      </c>
      <c r="M6956" s="17"/>
      <c r="N6956" s="17" t="s">
        <v>14020</v>
      </c>
      <c r="O6956" s="17"/>
      <c r="P6956" s="17" t="s">
        <v>14040</v>
      </c>
      <c r="Q6956" s="17"/>
      <c r="R6956" s="25" t="str">
        <f>HYPERLINK("https://ictv.global/taxonomy/taxondetails?taxnode_id=202309131","Begomovirus sidapallidi")</f>
        <v>Begomovirus sidapallidi</v>
      </c>
      <c r="S6956" s="18" t="s">
        <v>30</v>
      </c>
      <c r="T6956" s="18" t="s">
        <v>15118</v>
      </c>
      <c r="U6956" s="18" t="s">
        <v>15119</v>
      </c>
      <c r="V6956" s="18" t="s">
        <v>14450</v>
      </c>
      <c r="W6956" s="18" t="s">
        <v>48729</v>
      </c>
      <c r="X6956" s="18" t="s">
        <v>42</v>
      </c>
      <c r="Y6956" s="18" t="s">
        <v>12266</v>
      </c>
      <c r="Z6956" s="18" t="s">
        <v>13441</v>
      </c>
      <c r="AA6956" s="21" t="str">
        <f>HYPERLINK("https://www.ncbi.nlm.nih.gov/nuccore/MN013784,MN013785","NCBI Nucleotide")</f>
        <v>NCBI Nucleotide</v>
      </c>
    </row>
    <row r="6957" spans="1:27" x14ac:dyDescent="0.35">
      <c r="A6957">
        <v>1007820</v>
      </c>
      <c r="B6957">
        <v>6522</v>
      </c>
      <c r="C6957">
        <v>1</v>
      </c>
      <c r="D6957" s="17" t="s">
        <v>10507</v>
      </c>
      <c r="E6957" s="17"/>
      <c r="F6957" s="17" t="s">
        <v>10780</v>
      </c>
      <c r="G6957" s="17"/>
      <c r="H6957" s="17" t="s">
        <v>12908</v>
      </c>
      <c r="I6957" s="17"/>
      <c r="J6957" s="17" t="s">
        <v>14018</v>
      </c>
      <c r="K6957" s="17"/>
      <c r="L6957" s="17" t="s">
        <v>14019</v>
      </c>
      <c r="M6957" s="17"/>
      <c r="N6957" s="17" t="s">
        <v>14020</v>
      </c>
      <c r="O6957" s="17"/>
      <c r="P6957" s="17" t="s">
        <v>14040</v>
      </c>
      <c r="Q6957" s="17"/>
      <c r="R6957" s="25" t="str">
        <f>HYPERLINK("https://ictv.global/taxonomy/taxondetails?taxnode_id=202305826","Begomovirus sidapallivariati")</f>
        <v>Begomovirus sidapallivariati</v>
      </c>
      <c r="S6957" s="18" t="s">
        <v>30</v>
      </c>
      <c r="T6957" s="18" t="s">
        <v>15120</v>
      </c>
      <c r="U6957" s="18" t="s">
        <v>15121</v>
      </c>
      <c r="V6957" s="18" t="s">
        <v>15122</v>
      </c>
      <c r="W6957" s="18" t="s">
        <v>15123</v>
      </c>
      <c r="X6957" s="18" t="s">
        <v>42</v>
      </c>
      <c r="Y6957" s="18" t="s">
        <v>12266</v>
      </c>
      <c r="Z6957" s="18" t="s">
        <v>13441</v>
      </c>
      <c r="AA6957" s="21" t="str">
        <f>HYPERLINK("https://www.ncbi.nlm.nih.gov/nuccore/KX348183","NCBI Nucleotide")</f>
        <v>NCBI Nucleotide</v>
      </c>
    </row>
    <row r="6958" spans="1:27" x14ac:dyDescent="0.35">
      <c r="A6958">
        <v>1007840</v>
      </c>
      <c r="B6958">
        <v>6523</v>
      </c>
      <c r="C6958">
        <v>1</v>
      </c>
      <c r="D6958" s="17" t="s">
        <v>10507</v>
      </c>
      <c r="E6958" s="17"/>
      <c r="F6958" s="17" t="s">
        <v>10780</v>
      </c>
      <c r="G6958" s="17"/>
      <c r="H6958" s="17" t="s">
        <v>12908</v>
      </c>
      <c r="I6958" s="17"/>
      <c r="J6958" s="17" t="s">
        <v>14018</v>
      </c>
      <c r="K6958" s="17"/>
      <c r="L6958" s="17" t="s">
        <v>14019</v>
      </c>
      <c r="M6958" s="17"/>
      <c r="N6958" s="17" t="s">
        <v>14020</v>
      </c>
      <c r="O6958" s="17"/>
      <c r="P6958" s="17" t="s">
        <v>14040</v>
      </c>
      <c r="Q6958" s="17"/>
      <c r="R6958" s="25" t="str">
        <f>HYPERLINK("https://ictv.global/taxonomy/taxondetails?taxnode_id=202303349","Begomovirus sidasinaloaense")</f>
        <v>Begomovirus sidasinaloaense</v>
      </c>
      <c r="S6958" s="18" t="s">
        <v>30</v>
      </c>
      <c r="T6958" s="18" t="s">
        <v>15197</v>
      </c>
      <c r="U6958" s="18" t="s">
        <v>15198</v>
      </c>
      <c r="V6958" s="18" t="s">
        <v>15199</v>
      </c>
      <c r="W6958" s="18" t="s">
        <v>50470</v>
      </c>
      <c r="X6958" s="18" t="s">
        <v>42</v>
      </c>
      <c r="Y6958" s="18" t="s">
        <v>12266</v>
      </c>
      <c r="Z6958" s="18" t="s">
        <v>13441</v>
      </c>
      <c r="AA6958" s="21" t="str">
        <f>HYPERLINK("https://www.ncbi.nlm.nih.gov/nuccore/DQ520944,DQ356428","NCBI Nucleotide")</f>
        <v>NCBI Nucleotide</v>
      </c>
    </row>
    <row r="6959" spans="1:27" x14ac:dyDescent="0.35">
      <c r="A6959">
        <v>1007854</v>
      </c>
      <c r="B6959">
        <v>6524</v>
      </c>
      <c r="C6959">
        <v>1</v>
      </c>
      <c r="D6959" s="17" t="s">
        <v>10507</v>
      </c>
      <c r="E6959" s="17"/>
      <c r="F6959" s="17" t="s">
        <v>10780</v>
      </c>
      <c r="G6959" s="17"/>
      <c r="H6959" s="17" t="s">
        <v>12908</v>
      </c>
      <c r="I6959" s="17"/>
      <c r="J6959" s="17" t="s">
        <v>14018</v>
      </c>
      <c r="K6959" s="17"/>
      <c r="L6959" s="17" t="s">
        <v>14019</v>
      </c>
      <c r="M6959" s="17"/>
      <c r="N6959" s="17" t="s">
        <v>14020</v>
      </c>
      <c r="O6959" s="17"/>
      <c r="P6959" s="17" t="s">
        <v>14040</v>
      </c>
      <c r="Q6959" s="17"/>
      <c r="R6959" s="25" t="str">
        <f>HYPERLINK("https://ictv.global/taxonomy/taxondetails?taxnode_id=202303362","Begomovirus sidastri")</f>
        <v>Begomovirus sidastri</v>
      </c>
      <c r="S6959" s="18" t="s">
        <v>30</v>
      </c>
      <c r="T6959" s="18" t="s">
        <v>15250</v>
      </c>
      <c r="U6959" s="18" t="s">
        <v>15251</v>
      </c>
      <c r="V6959" s="18" t="s">
        <v>15252</v>
      </c>
      <c r="W6959" s="18" t="s">
        <v>15253</v>
      </c>
      <c r="X6959" s="18" t="s">
        <v>42</v>
      </c>
      <c r="Y6959" s="18" t="s">
        <v>12266</v>
      </c>
      <c r="Z6959" s="18" t="s">
        <v>13441</v>
      </c>
      <c r="AA6959" s="21" t="str">
        <f>HYPERLINK("https://www.ncbi.nlm.nih.gov/nuccore/HM357458","NCBI Nucleotide")</f>
        <v>NCBI Nucleotide</v>
      </c>
    </row>
    <row r="6960" spans="1:27" x14ac:dyDescent="0.35">
      <c r="A6960">
        <v>1007824</v>
      </c>
      <c r="B6960">
        <v>6525</v>
      </c>
      <c r="C6960">
        <v>1</v>
      </c>
      <c r="D6960" s="17" t="s">
        <v>10507</v>
      </c>
      <c r="E6960" s="17"/>
      <c r="F6960" s="17" t="s">
        <v>10780</v>
      </c>
      <c r="G6960" s="17"/>
      <c r="H6960" s="17" t="s">
        <v>12908</v>
      </c>
      <c r="I6960" s="17"/>
      <c r="J6960" s="17" t="s">
        <v>14018</v>
      </c>
      <c r="K6960" s="17"/>
      <c r="L6960" s="17" t="s">
        <v>14019</v>
      </c>
      <c r="M6960" s="17"/>
      <c r="N6960" s="17" t="s">
        <v>14020</v>
      </c>
      <c r="O6960" s="17"/>
      <c r="P6960" s="17" t="s">
        <v>14040</v>
      </c>
      <c r="Q6960" s="17"/>
      <c r="R6960" s="25" t="str">
        <f>HYPERLINK("https://ictv.global/taxonomy/taxondetails?taxnode_id=202303335","Begomovirus sidaureibracoense")</f>
        <v>Begomovirus sidaureibracoense</v>
      </c>
      <c r="S6960" s="18" t="s">
        <v>30</v>
      </c>
      <c r="T6960" s="18" t="s">
        <v>15135</v>
      </c>
      <c r="U6960" s="18" t="s">
        <v>15136</v>
      </c>
      <c r="V6960" s="18" t="s">
        <v>15137</v>
      </c>
      <c r="W6960" s="18" t="s">
        <v>41548</v>
      </c>
      <c r="X6960" s="18" t="s">
        <v>42</v>
      </c>
      <c r="Y6960" s="18" t="s">
        <v>12266</v>
      </c>
      <c r="Z6960" s="18" t="s">
        <v>13441</v>
      </c>
      <c r="AA6960" s="21" t="str">
        <f>HYPERLINK("https://www.ncbi.nlm.nih.gov/nuccore/JX162595","NCBI Nucleotide")</f>
        <v>NCBI Nucleotide</v>
      </c>
    </row>
    <row r="6961" spans="1:27" x14ac:dyDescent="0.35">
      <c r="A6961">
        <v>1007825</v>
      </c>
      <c r="B6961">
        <v>6526</v>
      </c>
      <c r="C6961">
        <v>1</v>
      </c>
      <c r="D6961" s="17" t="s">
        <v>10507</v>
      </c>
      <c r="E6961" s="17"/>
      <c r="F6961" s="17" t="s">
        <v>10780</v>
      </c>
      <c r="G6961" s="17"/>
      <c r="H6961" s="17" t="s">
        <v>12908</v>
      </c>
      <c r="I6961" s="17"/>
      <c r="J6961" s="17" t="s">
        <v>14018</v>
      </c>
      <c r="K6961" s="17"/>
      <c r="L6961" s="17" t="s">
        <v>14019</v>
      </c>
      <c r="M6961" s="17"/>
      <c r="N6961" s="17" t="s">
        <v>14020</v>
      </c>
      <c r="O6961" s="17"/>
      <c r="P6961" s="17" t="s">
        <v>14040</v>
      </c>
      <c r="Q6961" s="17"/>
      <c r="R6961" s="25" t="str">
        <f>HYPERLINK("https://ictv.global/taxonomy/taxondetails?taxnode_id=202303336","Begomovirus sidaureibrazilense")</f>
        <v>Begomovirus sidaureibrazilense</v>
      </c>
      <c r="S6961" s="18" t="s">
        <v>30</v>
      </c>
      <c r="T6961" s="18" t="s">
        <v>15138</v>
      </c>
      <c r="U6961" s="18" t="s">
        <v>15139</v>
      </c>
      <c r="V6961" s="18" t="s">
        <v>15140</v>
      </c>
      <c r="W6961" s="18" t="s">
        <v>15141</v>
      </c>
      <c r="X6961" s="18" t="s">
        <v>42</v>
      </c>
      <c r="Y6961" s="18" t="s">
        <v>12266</v>
      </c>
      <c r="Z6961" s="18" t="s">
        <v>13441</v>
      </c>
      <c r="AA6961" s="21" t="str">
        <f>HYPERLINK("https://www.ncbi.nlm.nih.gov/nuccore/FN436001","NCBI Nucleotide")</f>
        <v>NCBI Nucleotide</v>
      </c>
    </row>
    <row r="6962" spans="1:27" x14ac:dyDescent="0.35">
      <c r="A6962">
        <v>1007826</v>
      </c>
      <c r="B6962">
        <v>6527</v>
      </c>
      <c r="C6962">
        <v>1</v>
      </c>
      <c r="D6962" s="17" t="s">
        <v>10507</v>
      </c>
      <c r="E6962" s="17"/>
      <c r="F6962" s="17" t="s">
        <v>10780</v>
      </c>
      <c r="G6962" s="17"/>
      <c r="H6962" s="17" t="s">
        <v>12908</v>
      </c>
      <c r="I6962" s="17"/>
      <c r="J6962" s="17" t="s">
        <v>14018</v>
      </c>
      <c r="K6962" s="17"/>
      <c r="L6962" s="17" t="s">
        <v>14019</v>
      </c>
      <c r="M6962" s="17"/>
      <c r="N6962" s="17" t="s">
        <v>14020</v>
      </c>
      <c r="O6962" s="17"/>
      <c r="P6962" s="17" t="s">
        <v>14040</v>
      </c>
      <c r="Q6962" s="17"/>
      <c r="R6962" s="25" t="str">
        <f>HYPERLINK("https://ictv.global/taxonomy/taxondetails?taxnode_id=202303337","Begomovirus sidaureibuckupense")</f>
        <v>Begomovirus sidaureibuckupense</v>
      </c>
      <c r="S6962" s="18" t="s">
        <v>30</v>
      </c>
      <c r="T6962" s="18" t="s">
        <v>15142</v>
      </c>
      <c r="U6962" s="18" t="s">
        <v>15143</v>
      </c>
      <c r="V6962" s="18" t="s">
        <v>15144</v>
      </c>
      <c r="W6962" s="18" t="s">
        <v>15145</v>
      </c>
      <c r="X6962" s="18" t="s">
        <v>42</v>
      </c>
      <c r="Y6962" s="18" t="s">
        <v>12266</v>
      </c>
      <c r="Z6962" s="18" t="s">
        <v>13441</v>
      </c>
      <c r="AA6962" s="21" t="str">
        <f>HYPERLINK("https://www.ncbi.nlm.nih.gov/nuccore/HQ008338,HQ009518","NCBI Nucleotide")</f>
        <v>NCBI Nucleotide</v>
      </c>
    </row>
    <row r="6963" spans="1:27" x14ac:dyDescent="0.35">
      <c r="A6963">
        <v>1007827</v>
      </c>
      <c r="B6963">
        <v>6528</v>
      </c>
      <c r="C6963">
        <v>1</v>
      </c>
      <c r="D6963" s="17" t="s">
        <v>10507</v>
      </c>
      <c r="E6963" s="17"/>
      <c r="F6963" s="17" t="s">
        <v>10780</v>
      </c>
      <c r="G6963" s="17"/>
      <c r="H6963" s="17" t="s">
        <v>12908</v>
      </c>
      <c r="I6963" s="17"/>
      <c r="J6963" s="17" t="s">
        <v>14018</v>
      </c>
      <c r="K6963" s="17"/>
      <c r="L6963" s="17" t="s">
        <v>14019</v>
      </c>
      <c r="M6963" s="17"/>
      <c r="N6963" s="17" t="s">
        <v>14020</v>
      </c>
      <c r="O6963" s="17"/>
      <c r="P6963" s="17" t="s">
        <v>14040</v>
      </c>
      <c r="Q6963" s="17"/>
      <c r="R6963" s="25" t="str">
        <f>HYPERLINK("https://ictv.global/taxonomy/taxondetails?taxnode_id=202303338","Begomovirus sidaureicostaricaense")</f>
        <v>Begomovirus sidaureicostaricaense</v>
      </c>
      <c r="S6963" s="18" t="s">
        <v>30</v>
      </c>
      <c r="T6963" s="18" t="s">
        <v>15146</v>
      </c>
      <c r="U6963" s="18" t="s">
        <v>15147</v>
      </c>
      <c r="V6963" s="18" t="s">
        <v>15148</v>
      </c>
      <c r="W6963" s="18" t="s">
        <v>15149</v>
      </c>
      <c r="X6963" s="18" t="s">
        <v>42</v>
      </c>
      <c r="Y6963" s="18" t="s">
        <v>12266</v>
      </c>
      <c r="Z6963" s="18" t="s">
        <v>13441</v>
      </c>
      <c r="AA6963" s="21" t="str">
        <f>HYPERLINK("https://www.ncbi.nlm.nih.gov/nuccore/X99550,X99551","NCBI Nucleotide")</f>
        <v>NCBI Nucleotide</v>
      </c>
    </row>
    <row r="6964" spans="1:27" x14ac:dyDescent="0.35">
      <c r="A6964">
        <v>1007830</v>
      </c>
      <c r="B6964">
        <v>6529</v>
      </c>
      <c r="C6964">
        <v>1</v>
      </c>
      <c r="D6964" s="17" t="s">
        <v>10507</v>
      </c>
      <c r="E6964" s="17"/>
      <c r="F6964" s="17" t="s">
        <v>10780</v>
      </c>
      <c r="G6964" s="17"/>
      <c r="H6964" s="17" t="s">
        <v>12908</v>
      </c>
      <c r="I6964" s="17"/>
      <c r="J6964" s="17" t="s">
        <v>14018</v>
      </c>
      <c r="K6964" s="17"/>
      <c r="L6964" s="17" t="s">
        <v>14019</v>
      </c>
      <c r="M6964" s="17"/>
      <c r="N6964" s="17" t="s">
        <v>14020</v>
      </c>
      <c r="O6964" s="17"/>
      <c r="P6964" s="17" t="s">
        <v>14040</v>
      </c>
      <c r="Q6964" s="17"/>
      <c r="R6964" s="25" t="str">
        <f>HYPERLINK("https://ictv.global/taxonomy/taxondetails?taxnode_id=202303341","Begomovirus sidaureidis")</f>
        <v>Begomovirus sidaureidis</v>
      </c>
      <c r="S6964" s="18" t="s">
        <v>30</v>
      </c>
      <c r="T6964" s="18" t="s">
        <v>15159</v>
      </c>
      <c r="U6964" s="18" t="s">
        <v>15160</v>
      </c>
      <c r="V6964" s="18" t="s">
        <v>15161</v>
      </c>
      <c r="W6964" s="18" t="s">
        <v>50471</v>
      </c>
      <c r="X6964" s="18" t="s">
        <v>42</v>
      </c>
      <c r="Y6964" s="18" t="s">
        <v>12266</v>
      </c>
      <c r="Z6964" s="18" t="s">
        <v>13441</v>
      </c>
      <c r="AA6964" s="21" t="str">
        <f>HYPERLINK("https://www.ncbi.nlm.nih.gov/nuccore/AF049336,AF039841","NCBI Nucleotide")</f>
        <v>NCBI Nucleotide</v>
      </c>
    </row>
    <row r="6965" spans="1:27" x14ac:dyDescent="0.35">
      <c r="A6965">
        <v>1007828</v>
      </c>
      <c r="B6965">
        <v>6530</v>
      </c>
      <c r="C6965">
        <v>1</v>
      </c>
      <c r="D6965" s="17" t="s">
        <v>10507</v>
      </c>
      <c r="E6965" s="17"/>
      <c r="F6965" s="17" t="s">
        <v>10780</v>
      </c>
      <c r="G6965" s="17"/>
      <c r="H6965" s="17" t="s">
        <v>12908</v>
      </c>
      <c r="I6965" s="17"/>
      <c r="J6965" s="17" t="s">
        <v>14018</v>
      </c>
      <c r="K6965" s="17"/>
      <c r="L6965" s="17" t="s">
        <v>14019</v>
      </c>
      <c r="M6965" s="17"/>
      <c r="N6965" s="17" t="s">
        <v>14020</v>
      </c>
      <c r="O6965" s="17"/>
      <c r="P6965" s="17" t="s">
        <v>14040</v>
      </c>
      <c r="Q6965" s="17"/>
      <c r="R6965" s="25" t="str">
        <f>HYPERLINK("https://ictv.global/taxonomy/taxondetails?taxnode_id=202303339","Begomovirus sidaureifloridaense")</f>
        <v>Begomovirus sidaureifloridaense</v>
      </c>
      <c r="S6965" s="18" t="s">
        <v>30</v>
      </c>
      <c r="T6965" s="18" t="s">
        <v>15150</v>
      </c>
      <c r="U6965" s="18" t="s">
        <v>15151</v>
      </c>
      <c r="V6965" s="18" t="s">
        <v>15152</v>
      </c>
      <c r="W6965" s="18" t="s">
        <v>50472</v>
      </c>
      <c r="X6965" s="18" t="s">
        <v>42</v>
      </c>
      <c r="Y6965" s="18" t="s">
        <v>12266</v>
      </c>
      <c r="Z6965" s="18" t="s">
        <v>13441</v>
      </c>
      <c r="AA6965" s="21" t="str">
        <f>HYPERLINK("https://www.ncbi.nlm.nih.gov/nuccore/HM003779,HM003778","NCBI Nucleotide")</f>
        <v>NCBI Nucleotide</v>
      </c>
    </row>
    <row r="6966" spans="1:27" x14ac:dyDescent="0.35">
      <c r="A6966">
        <v>1012584</v>
      </c>
      <c r="B6966">
        <v>6530</v>
      </c>
      <c r="C6966">
        <v>2</v>
      </c>
      <c r="D6966" s="17" t="s">
        <v>10507</v>
      </c>
      <c r="E6966" s="17"/>
      <c r="F6966" s="17" t="s">
        <v>10780</v>
      </c>
      <c r="G6966" s="17"/>
      <c r="H6966" s="17" t="s">
        <v>12908</v>
      </c>
      <c r="I6966" s="17"/>
      <c r="J6966" s="17" t="s">
        <v>14018</v>
      </c>
      <c r="K6966" s="17"/>
      <c r="L6966" s="17" t="s">
        <v>14019</v>
      </c>
      <c r="M6966" s="17"/>
      <c r="N6966" s="17" t="s">
        <v>14020</v>
      </c>
      <c r="O6966" s="17"/>
      <c r="P6966" s="17" t="s">
        <v>14040</v>
      </c>
      <c r="Q6966" s="17"/>
      <c r="R6966" s="25" t="str">
        <f>HYPERLINK("https://ictv.global/taxonomy/taxondetails?taxnode_id=202303339","Begomovirus sidaureifloridaense")</f>
        <v>Begomovirus sidaureifloridaense</v>
      </c>
      <c r="S6966" s="18" t="s">
        <v>8141</v>
      </c>
      <c r="T6966" s="18" t="s">
        <v>15150</v>
      </c>
      <c r="U6966" s="18" t="s">
        <v>15153</v>
      </c>
      <c r="V6966" s="18" t="s">
        <v>15154</v>
      </c>
      <c r="W6966" s="18" t="s">
        <v>49162</v>
      </c>
      <c r="X6966" s="18" t="s">
        <v>42</v>
      </c>
      <c r="Y6966" s="18" t="s">
        <v>12266</v>
      </c>
      <c r="Z6966" s="18" t="s">
        <v>13441</v>
      </c>
      <c r="AA6966" s="21" t="str">
        <f>HYPERLINK("https://www.ncbi.nlm.nih.gov/nuccore/U77963","NCBI Nucleotide")</f>
        <v>NCBI Nucleotide</v>
      </c>
    </row>
    <row r="6967" spans="1:27" x14ac:dyDescent="0.35">
      <c r="A6967">
        <v>1007829</v>
      </c>
      <c r="B6967">
        <v>6531</v>
      </c>
      <c r="C6967">
        <v>1</v>
      </c>
      <c r="D6967" s="17" t="s">
        <v>10507</v>
      </c>
      <c r="E6967" s="17"/>
      <c r="F6967" s="17" t="s">
        <v>10780</v>
      </c>
      <c r="G6967" s="17"/>
      <c r="H6967" s="17" t="s">
        <v>12908</v>
      </c>
      <c r="I6967" s="17"/>
      <c r="J6967" s="17" t="s">
        <v>14018</v>
      </c>
      <c r="K6967" s="17"/>
      <c r="L6967" s="17" t="s">
        <v>14019</v>
      </c>
      <c r="M6967" s="17"/>
      <c r="N6967" s="17" t="s">
        <v>14020</v>
      </c>
      <c r="O6967" s="17"/>
      <c r="P6967" s="17" t="s">
        <v>14040</v>
      </c>
      <c r="Q6967" s="17"/>
      <c r="R6967" s="25" t="str">
        <f>HYPERLINK("https://ictv.global/taxonomy/taxondetails?taxnode_id=202303340","Begomovirus sidaureilaraense")</f>
        <v>Begomovirus sidaureilaraense</v>
      </c>
      <c r="S6967" s="18" t="s">
        <v>30</v>
      </c>
      <c r="T6967" s="18" t="s">
        <v>15155</v>
      </c>
      <c r="U6967" s="18" t="s">
        <v>15156</v>
      </c>
      <c r="V6967" s="18" t="s">
        <v>15157</v>
      </c>
      <c r="W6967" s="18" t="s">
        <v>15158</v>
      </c>
      <c r="X6967" s="18" t="s">
        <v>42</v>
      </c>
      <c r="Y6967" s="18" t="s">
        <v>12266</v>
      </c>
      <c r="Z6967" s="18" t="s">
        <v>13441</v>
      </c>
      <c r="AA6967" s="21" t="str">
        <f>HYPERLINK("https://www.ncbi.nlm.nih.gov/nuccore/JX857693","NCBI Nucleotide")</f>
        <v>NCBI Nucleotide</v>
      </c>
    </row>
    <row r="6968" spans="1:27" x14ac:dyDescent="0.35">
      <c r="A6968">
        <v>1007832</v>
      </c>
      <c r="B6968">
        <v>6532</v>
      </c>
      <c r="C6968">
        <v>1</v>
      </c>
      <c r="D6968" s="17" t="s">
        <v>10507</v>
      </c>
      <c r="E6968" s="17"/>
      <c r="F6968" s="17" t="s">
        <v>10780</v>
      </c>
      <c r="G6968" s="17"/>
      <c r="H6968" s="17" t="s">
        <v>12908</v>
      </c>
      <c r="I6968" s="17"/>
      <c r="J6968" s="17" t="s">
        <v>14018</v>
      </c>
      <c r="K6968" s="17"/>
      <c r="L6968" s="17" t="s">
        <v>14019</v>
      </c>
      <c r="M6968" s="17"/>
      <c r="N6968" s="17" t="s">
        <v>14020</v>
      </c>
      <c r="O6968" s="17"/>
      <c r="P6968" s="17" t="s">
        <v>14040</v>
      </c>
      <c r="Q6968" s="17"/>
      <c r="R6968" s="25" t="str">
        <f>HYPERLINK("https://ictv.global/taxonomy/taxondetails?taxnode_id=202305828","Begomovirus sidaureimaculae")</f>
        <v>Begomovirus sidaureimaculae</v>
      </c>
      <c r="S6968" s="18" t="s">
        <v>30</v>
      </c>
      <c r="T6968" s="18" t="s">
        <v>15166</v>
      </c>
      <c r="U6968" s="18" t="s">
        <v>15167</v>
      </c>
      <c r="V6968" s="18" t="s">
        <v>15168</v>
      </c>
      <c r="W6968" s="18" t="s">
        <v>41549</v>
      </c>
      <c r="X6968" s="18" t="s">
        <v>42</v>
      </c>
      <c r="Y6968" s="18" t="s">
        <v>12266</v>
      </c>
      <c r="Z6968" s="18" t="s">
        <v>13441</v>
      </c>
      <c r="AA6968" s="21" t="str">
        <f>HYPERLINK("https://www.ncbi.nlm.nih.gov/nuccore/KX348185","NCBI Nucleotide")</f>
        <v>NCBI Nucleotide</v>
      </c>
    </row>
    <row r="6969" spans="1:27" x14ac:dyDescent="0.35">
      <c r="A6969">
        <v>1007831</v>
      </c>
      <c r="B6969">
        <v>6533</v>
      </c>
      <c r="C6969">
        <v>1</v>
      </c>
      <c r="D6969" s="17" t="s">
        <v>10507</v>
      </c>
      <c r="E6969" s="17"/>
      <c r="F6969" s="17" t="s">
        <v>10780</v>
      </c>
      <c r="G6969" s="17"/>
      <c r="H6969" s="17" t="s">
        <v>12908</v>
      </c>
      <c r="I6969" s="17"/>
      <c r="J6969" s="17" t="s">
        <v>14018</v>
      </c>
      <c r="K6969" s="17"/>
      <c r="L6969" s="17" t="s">
        <v>14019</v>
      </c>
      <c r="M6969" s="17"/>
      <c r="N6969" s="17" t="s">
        <v>14020</v>
      </c>
      <c r="O6969" s="17"/>
      <c r="P6969" s="17" t="s">
        <v>14040</v>
      </c>
      <c r="Q6969" s="17"/>
      <c r="R6969" s="25" t="str">
        <f>HYPERLINK("https://ictv.global/taxonomy/taxondetails?taxnode_id=202303342","Begomovirus sidaureivariati")</f>
        <v>Begomovirus sidaureivariati</v>
      </c>
      <c r="S6969" s="18" t="s">
        <v>30</v>
      </c>
      <c r="T6969" s="18" t="s">
        <v>15162</v>
      </c>
      <c r="U6969" s="18" t="s">
        <v>15163</v>
      </c>
      <c r="V6969" s="18" t="s">
        <v>15164</v>
      </c>
      <c r="W6969" s="18" t="s">
        <v>15165</v>
      </c>
      <c r="X6969" s="18" t="s">
        <v>42</v>
      </c>
      <c r="Y6969" s="18" t="s">
        <v>12266</v>
      </c>
      <c r="Z6969" s="18" t="s">
        <v>13441</v>
      </c>
      <c r="AA6969" s="21" t="str">
        <f>HYPERLINK("https://www.ncbi.nlm.nih.gov/nuccore/GU997691,GU997692","NCBI Nucleotide")</f>
        <v>NCBI Nucleotide</v>
      </c>
    </row>
    <row r="6970" spans="1:27" x14ac:dyDescent="0.35">
      <c r="A6970">
        <v>1007833</v>
      </c>
      <c r="B6970">
        <v>6534</v>
      </c>
      <c r="C6970">
        <v>1</v>
      </c>
      <c r="D6970" s="17" t="s">
        <v>10507</v>
      </c>
      <c r="E6970" s="17"/>
      <c r="F6970" s="17" t="s">
        <v>10780</v>
      </c>
      <c r="G6970" s="17"/>
      <c r="H6970" s="17" t="s">
        <v>12908</v>
      </c>
      <c r="I6970" s="17"/>
      <c r="J6970" s="17" t="s">
        <v>14018</v>
      </c>
      <c r="K6970" s="17"/>
      <c r="L6970" s="17" t="s">
        <v>14019</v>
      </c>
      <c r="M6970" s="17"/>
      <c r="N6970" s="17" t="s">
        <v>14020</v>
      </c>
      <c r="O6970" s="17"/>
      <c r="P6970" s="17" t="s">
        <v>14040</v>
      </c>
      <c r="Q6970" s="17"/>
      <c r="R6970" s="25" t="str">
        <f>HYPERLINK("https://ictv.global/taxonomy/taxondetails?taxnode_id=202303343","Begomovirus sidaureivenae")</f>
        <v>Begomovirus sidaureivenae</v>
      </c>
      <c r="S6970" s="18" t="s">
        <v>30</v>
      </c>
      <c r="T6970" s="18" t="s">
        <v>15169</v>
      </c>
      <c r="U6970" s="18" t="s">
        <v>15170</v>
      </c>
      <c r="V6970" s="18" t="s">
        <v>15171</v>
      </c>
      <c r="W6970" s="18" t="s">
        <v>41550</v>
      </c>
      <c r="X6970" s="18" t="s">
        <v>42</v>
      </c>
      <c r="Y6970" s="18" t="s">
        <v>12266</v>
      </c>
      <c r="Z6970" s="18" t="s">
        <v>13441</v>
      </c>
      <c r="AA6970" s="21" t="str">
        <f>HYPERLINK("https://www.ncbi.nlm.nih.gov/nuccore/U77964","NCBI Nucleotide")</f>
        <v>NCBI Nucleotide</v>
      </c>
    </row>
    <row r="6971" spans="1:27" x14ac:dyDescent="0.35">
      <c r="A6971">
        <v>1007842</v>
      </c>
      <c r="B6971">
        <v>6535</v>
      </c>
      <c r="C6971">
        <v>1</v>
      </c>
      <c r="D6971" s="17" t="s">
        <v>10507</v>
      </c>
      <c r="E6971" s="17"/>
      <c r="F6971" s="17" t="s">
        <v>10780</v>
      </c>
      <c r="G6971" s="17"/>
      <c r="H6971" s="17" t="s">
        <v>12908</v>
      </c>
      <c r="I6971" s="17"/>
      <c r="J6971" s="17" t="s">
        <v>14018</v>
      </c>
      <c r="K6971" s="17"/>
      <c r="L6971" s="17" t="s">
        <v>14019</v>
      </c>
      <c r="M6971" s="17"/>
      <c r="N6971" s="17" t="s">
        <v>14020</v>
      </c>
      <c r="O6971" s="17"/>
      <c r="P6971" s="17" t="s">
        <v>14040</v>
      </c>
      <c r="Q6971" s="17"/>
      <c r="R6971" s="25" t="str">
        <f>HYPERLINK("https://ictv.global/taxonomy/taxondetails?taxnode_id=202303351","Begomovirus sidavariati")</f>
        <v>Begomovirus sidavariati</v>
      </c>
      <c r="S6971" s="18" t="s">
        <v>30</v>
      </c>
      <c r="T6971" s="18" t="s">
        <v>15204</v>
      </c>
      <c r="U6971" s="18" t="s">
        <v>15205</v>
      </c>
      <c r="V6971" s="18" t="s">
        <v>15206</v>
      </c>
      <c r="W6971" s="18" t="s">
        <v>15207</v>
      </c>
      <c r="X6971" s="18" t="s">
        <v>42</v>
      </c>
      <c r="Y6971" s="18" t="s">
        <v>12266</v>
      </c>
      <c r="Z6971" s="18" t="s">
        <v>13441</v>
      </c>
      <c r="AA6971" s="21" t="str">
        <f>HYPERLINK("https://www.ncbi.nlm.nih.gov/nuccore/AJ557450,AJ557454","NCBI Nucleotide")</f>
        <v>NCBI Nucleotide</v>
      </c>
    </row>
    <row r="6972" spans="1:27" x14ac:dyDescent="0.35">
      <c r="A6972">
        <v>1012587</v>
      </c>
      <c r="B6972">
        <v>6535</v>
      </c>
      <c r="C6972">
        <v>2</v>
      </c>
      <c r="D6972" s="17" t="s">
        <v>10507</v>
      </c>
      <c r="E6972" s="17"/>
      <c r="F6972" s="17" t="s">
        <v>10780</v>
      </c>
      <c r="G6972" s="17"/>
      <c r="H6972" s="17" t="s">
        <v>12908</v>
      </c>
      <c r="I6972" s="17"/>
      <c r="J6972" s="17" t="s">
        <v>14018</v>
      </c>
      <c r="K6972" s="17"/>
      <c r="L6972" s="17" t="s">
        <v>14019</v>
      </c>
      <c r="M6972" s="17"/>
      <c r="N6972" s="17" t="s">
        <v>14020</v>
      </c>
      <c r="O6972" s="17"/>
      <c r="P6972" s="17" t="s">
        <v>14040</v>
      </c>
      <c r="Q6972" s="17"/>
      <c r="R6972" s="25" t="str">
        <f>HYPERLINK("https://ictv.global/taxonomy/taxondetails?taxnode_id=202303351","Begomovirus sidavariati")</f>
        <v>Begomovirus sidavariati</v>
      </c>
      <c r="S6972" s="18" t="s">
        <v>8141</v>
      </c>
      <c r="T6972" s="18" t="s">
        <v>15204</v>
      </c>
      <c r="U6972" s="18" t="s">
        <v>15208</v>
      </c>
      <c r="V6972" s="18" t="s">
        <v>15209</v>
      </c>
      <c r="W6972" s="18" t="s">
        <v>49163</v>
      </c>
      <c r="X6972" s="18" t="s">
        <v>42</v>
      </c>
      <c r="Y6972" s="18" t="s">
        <v>12266</v>
      </c>
      <c r="Z6972" s="18" t="s">
        <v>13441</v>
      </c>
      <c r="AA6972" s="21" t="str">
        <f>HYPERLINK("https://www.ncbi.nlm.nih.gov/nuccore/AY090555","NCBI Nucleotide")</f>
        <v>NCBI Nucleotide</v>
      </c>
    </row>
    <row r="6973" spans="1:27" x14ac:dyDescent="0.35">
      <c r="A6973">
        <v>1007841</v>
      </c>
      <c r="B6973">
        <v>6536</v>
      </c>
      <c r="C6973">
        <v>1</v>
      </c>
      <c r="D6973" s="17" t="s">
        <v>10507</v>
      </c>
      <c r="E6973" s="17"/>
      <c r="F6973" s="17" t="s">
        <v>10780</v>
      </c>
      <c r="G6973" s="17"/>
      <c r="H6973" s="17" t="s">
        <v>12908</v>
      </c>
      <c r="I6973" s="17"/>
      <c r="J6973" s="17" t="s">
        <v>14018</v>
      </c>
      <c r="K6973" s="17"/>
      <c r="L6973" s="17" t="s">
        <v>14019</v>
      </c>
      <c r="M6973" s="17"/>
      <c r="N6973" s="17" t="s">
        <v>14020</v>
      </c>
      <c r="O6973" s="17"/>
      <c r="P6973" s="17" t="s">
        <v>14040</v>
      </c>
      <c r="Q6973" s="17"/>
      <c r="R6973" s="25" t="str">
        <f>HYPERLINK("https://ictv.global/taxonomy/taxondetails?taxnode_id=202303350","Begomovirus sidavariatialagoense")</f>
        <v>Begomovirus sidavariatialagoense</v>
      </c>
      <c r="S6973" s="18" t="s">
        <v>30</v>
      </c>
      <c r="T6973" s="18" t="s">
        <v>15200</v>
      </c>
      <c r="U6973" s="18" t="s">
        <v>15201</v>
      </c>
      <c r="V6973" s="18" t="s">
        <v>15202</v>
      </c>
      <c r="W6973" s="18" t="s">
        <v>15203</v>
      </c>
      <c r="X6973" s="18" t="s">
        <v>42</v>
      </c>
      <c r="Y6973" s="18" t="s">
        <v>12266</v>
      </c>
      <c r="Z6973" s="18" t="s">
        <v>13441</v>
      </c>
      <c r="AA6973" s="21" t="str">
        <f>HYPERLINK("https://www.ncbi.nlm.nih.gov/nuccore/JX871385","NCBI Nucleotide")</f>
        <v>NCBI Nucleotide</v>
      </c>
    </row>
    <row r="6974" spans="1:27" x14ac:dyDescent="0.35">
      <c r="A6974">
        <v>1007821</v>
      </c>
      <c r="B6974">
        <v>6537</v>
      </c>
      <c r="C6974">
        <v>1</v>
      </c>
      <c r="D6974" s="17" t="s">
        <v>10507</v>
      </c>
      <c r="E6974" s="17"/>
      <c r="F6974" s="17" t="s">
        <v>10780</v>
      </c>
      <c r="G6974" s="17"/>
      <c r="H6974" s="17" t="s">
        <v>12908</v>
      </c>
      <c r="I6974" s="17"/>
      <c r="J6974" s="17" t="s">
        <v>14018</v>
      </c>
      <c r="K6974" s="17"/>
      <c r="L6974" s="17" t="s">
        <v>14019</v>
      </c>
      <c r="M6974" s="17"/>
      <c r="N6974" s="17" t="s">
        <v>14020</v>
      </c>
      <c r="O6974" s="17"/>
      <c r="P6974" s="17" t="s">
        <v>14040</v>
      </c>
      <c r="Q6974" s="17"/>
      <c r="R6974" s="25" t="str">
        <f>HYPERLINK("https://ictv.global/taxonomy/taxondetails?taxnode_id=202305827","Begomovirus sidavenae")</f>
        <v>Begomovirus sidavenae</v>
      </c>
      <c r="S6974" s="18" t="s">
        <v>30</v>
      </c>
      <c r="T6974" s="18" t="s">
        <v>15124</v>
      </c>
      <c r="U6974" s="18" t="s">
        <v>15125</v>
      </c>
      <c r="V6974" s="18" t="s">
        <v>15126</v>
      </c>
      <c r="W6974" s="18" t="s">
        <v>15127</v>
      </c>
      <c r="X6974" s="18" t="s">
        <v>42</v>
      </c>
      <c r="Y6974" s="18" t="s">
        <v>12266</v>
      </c>
      <c r="Z6974" s="18" t="s">
        <v>13441</v>
      </c>
      <c r="AA6974" s="21" t="str">
        <f>HYPERLINK("https://www.ncbi.nlm.nih.gov/nuccore/KX691402,KX691413","NCBI Nucleotide")</f>
        <v>NCBI Nucleotide</v>
      </c>
    </row>
    <row r="6975" spans="1:27" x14ac:dyDescent="0.35">
      <c r="A6975">
        <v>1007823</v>
      </c>
      <c r="B6975">
        <v>6538</v>
      </c>
      <c r="C6975">
        <v>1</v>
      </c>
      <c r="D6975" s="17" t="s">
        <v>10507</v>
      </c>
      <c r="E6975" s="17"/>
      <c r="F6975" s="17" t="s">
        <v>10780</v>
      </c>
      <c r="G6975" s="17"/>
      <c r="H6975" s="17" t="s">
        <v>12908</v>
      </c>
      <c r="I6975" s="17"/>
      <c r="J6975" s="17" t="s">
        <v>14018</v>
      </c>
      <c r="K6975" s="17"/>
      <c r="L6975" s="17" t="s">
        <v>14019</v>
      </c>
      <c r="M6975" s="17"/>
      <c r="N6975" s="17" t="s">
        <v>14020</v>
      </c>
      <c r="O6975" s="17"/>
      <c r="P6975" s="17" t="s">
        <v>14040</v>
      </c>
      <c r="Q6975" s="17"/>
      <c r="R6975" s="25" t="str">
        <f>HYPERLINK("https://ictv.global/taxonomy/taxondetails?taxnode_id=202303334","Begomovirus sidavulgaris")</f>
        <v>Begomovirus sidavulgaris</v>
      </c>
      <c r="S6975" s="18" t="s">
        <v>30</v>
      </c>
      <c r="T6975" s="18" t="s">
        <v>15132</v>
      </c>
      <c r="U6975" s="18" t="s">
        <v>15133</v>
      </c>
      <c r="V6975" s="18" t="s">
        <v>15134</v>
      </c>
      <c r="W6975" s="18" t="s">
        <v>41551</v>
      </c>
      <c r="X6975" s="18" t="s">
        <v>42</v>
      </c>
      <c r="Y6975" s="18" t="s">
        <v>12266</v>
      </c>
      <c r="Z6975" s="18" t="s">
        <v>13441</v>
      </c>
      <c r="AA6975" s="21" t="str">
        <f>HYPERLINK("https://www.ncbi.nlm.nih.gov/nuccore/EU710751","NCBI Nucleotide")</f>
        <v>NCBI Nucleotide</v>
      </c>
    </row>
    <row r="6976" spans="1:27" x14ac:dyDescent="0.35">
      <c r="A6976">
        <v>1007856</v>
      </c>
      <c r="B6976">
        <v>6539</v>
      </c>
      <c r="C6976">
        <v>1</v>
      </c>
      <c r="D6976" s="17" t="s">
        <v>10507</v>
      </c>
      <c r="E6976" s="17"/>
      <c r="F6976" s="17" t="s">
        <v>10780</v>
      </c>
      <c r="G6976" s="17"/>
      <c r="H6976" s="17" t="s">
        <v>12908</v>
      </c>
      <c r="I6976" s="17"/>
      <c r="J6976" s="17" t="s">
        <v>14018</v>
      </c>
      <c r="K6976" s="17"/>
      <c r="L6976" s="17" t="s">
        <v>14019</v>
      </c>
      <c r="M6976" s="17"/>
      <c r="N6976" s="17" t="s">
        <v>14020</v>
      </c>
      <c r="O6976" s="17"/>
      <c r="P6976" s="17" t="s">
        <v>14040</v>
      </c>
      <c r="Q6976" s="17"/>
      <c r="R6976" s="25" t="str">
        <f>HYPERLINK("https://ictv.global/taxonomy/taxondetails?taxnode_id=202303364","Begomovirus siegesbeckiae")</f>
        <v>Begomovirus siegesbeckiae</v>
      </c>
      <c r="S6976" s="18" t="s">
        <v>30</v>
      </c>
      <c r="T6976" s="18" t="s">
        <v>15257</v>
      </c>
      <c r="U6976" s="18" t="s">
        <v>15258</v>
      </c>
      <c r="V6976" s="18" t="s">
        <v>15259</v>
      </c>
      <c r="W6976" s="18" t="s">
        <v>41552</v>
      </c>
      <c r="X6976" s="18" t="s">
        <v>42</v>
      </c>
      <c r="Y6976" s="18" t="s">
        <v>12266</v>
      </c>
      <c r="Z6976" s="18" t="s">
        <v>13441</v>
      </c>
      <c r="AA6976" s="21" t="str">
        <f>HYPERLINK("https://www.ncbi.nlm.nih.gov/nuccore/AM183224","NCBI Nucleotide")</f>
        <v>NCBI Nucleotide</v>
      </c>
    </row>
    <row r="6977" spans="1:27" x14ac:dyDescent="0.35">
      <c r="A6977">
        <v>1007855</v>
      </c>
      <c r="B6977">
        <v>6540</v>
      </c>
      <c r="C6977">
        <v>1</v>
      </c>
      <c r="D6977" s="17" t="s">
        <v>10507</v>
      </c>
      <c r="E6977" s="17"/>
      <c r="F6977" s="17" t="s">
        <v>10780</v>
      </c>
      <c r="G6977" s="17"/>
      <c r="H6977" s="17" t="s">
        <v>12908</v>
      </c>
      <c r="I6977" s="17"/>
      <c r="J6977" s="17" t="s">
        <v>14018</v>
      </c>
      <c r="K6977" s="17"/>
      <c r="L6977" s="17" t="s">
        <v>14019</v>
      </c>
      <c r="M6977" s="17"/>
      <c r="N6977" s="17" t="s">
        <v>14020</v>
      </c>
      <c r="O6977" s="17"/>
      <c r="P6977" s="17" t="s">
        <v>14040</v>
      </c>
      <c r="Q6977" s="17"/>
      <c r="R6977" s="25" t="str">
        <f>HYPERLINK("https://ictv.global/taxonomy/taxondetails?taxnode_id=202303363","Begomovirus siegesbeckiaguangxiense")</f>
        <v>Begomovirus siegesbeckiaguangxiense</v>
      </c>
      <c r="S6977" s="18" t="s">
        <v>30</v>
      </c>
      <c r="T6977" s="18" t="s">
        <v>15254</v>
      </c>
      <c r="U6977" s="18" t="s">
        <v>15255</v>
      </c>
      <c r="V6977" s="18" t="s">
        <v>15256</v>
      </c>
      <c r="W6977" s="18" t="s">
        <v>41553</v>
      </c>
      <c r="X6977" s="18" t="s">
        <v>42</v>
      </c>
      <c r="Y6977" s="18" t="s">
        <v>12266</v>
      </c>
      <c r="Z6977" s="18" t="s">
        <v>13441</v>
      </c>
      <c r="AA6977" s="21" t="str">
        <f>HYPERLINK("https://www.ncbi.nlm.nih.gov/nuccore/AM238692","NCBI Nucleotide")</f>
        <v>NCBI Nucleotide</v>
      </c>
    </row>
    <row r="6978" spans="1:27" x14ac:dyDescent="0.35">
      <c r="A6978">
        <v>1007638</v>
      </c>
      <c r="B6978">
        <v>6541</v>
      </c>
      <c r="C6978">
        <v>1</v>
      </c>
      <c r="D6978" s="17" t="s">
        <v>10507</v>
      </c>
      <c r="E6978" s="17"/>
      <c r="F6978" s="17" t="s">
        <v>10780</v>
      </c>
      <c r="G6978" s="17"/>
      <c r="H6978" s="17" t="s">
        <v>12908</v>
      </c>
      <c r="I6978" s="17"/>
      <c r="J6978" s="17" t="s">
        <v>14018</v>
      </c>
      <c r="K6978" s="17"/>
      <c r="L6978" s="17" t="s">
        <v>14019</v>
      </c>
      <c r="M6978" s="17"/>
      <c r="N6978" s="17" t="s">
        <v>14020</v>
      </c>
      <c r="O6978" s="17"/>
      <c r="P6978" s="17" t="s">
        <v>14040</v>
      </c>
      <c r="Q6978" s="17"/>
      <c r="R6978" s="25" t="str">
        <f>HYPERLINK("https://ictv.global/taxonomy/taxondetails?taxnode_id=202303211","Begomovirus solanumamazonasense")</f>
        <v>Begomovirus solanumamazonasense</v>
      </c>
      <c r="S6978" s="18" t="s">
        <v>30</v>
      </c>
      <c r="T6978" s="18" t="s">
        <v>14276</v>
      </c>
      <c r="U6978" s="18" t="s">
        <v>14277</v>
      </c>
      <c r="V6978" s="18" t="s">
        <v>14278</v>
      </c>
      <c r="W6978" s="18" t="s">
        <v>14279</v>
      </c>
      <c r="X6978" s="18" t="s">
        <v>42</v>
      </c>
      <c r="Y6978" s="18" t="s">
        <v>12266</v>
      </c>
      <c r="Z6978" s="18" t="s">
        <v>13441</v>
      </c>
      <c r="AA6978" s="21" t="str">
        <f>HYPERLINK("https://www.ncbi.nlm.nih.gov/nuccore/HM357461","NCBI Nucleotide")</f>
        <v>NCBI Nucleotide</v>
      </c>
    </row>
    <row r="6979" spans="1:27" x14ac:dyDescent="0.35">
      <c r="A6979">
        <v>1007917</v>
      </c>
      <c r="B6979">
        <v>6542</v>
      </c>
      <c r="C6979">
        <v>1</v>
      </c>
      <c r="D6979" s="17" t="s">
        <v>10507</v>
      </c>
      <c r="E6979" s="17"/>
      <c r="F6979" s="17" t="s">
        <v>10780</v>
      </c>
      <c r="G6979" s="17"/>
      <c r="H6979" s="17" t="s">
        <v>12908</v>
      </c>
      <c r="I6979" s="17"/>
      <c r="J6979" s="17" t="s">
        <v>14018</v>
      </c>
      <c r="K6979" s="17"/>
      <c r="L6979" s="17" t="s">
        <v>14019</v>
      </c>
      <c r="M6979" s="17"/>
      <c r="N6979" s="17" t="s">
        <v>14020</v>
      </c>
      <c r="O6979" s="17"/>
      <c r="P6979" s="17" t="s">
        <v>14040</v>
      </c>
      <c r="Q6979" s="17"/>
      <c r="R6979" s="25" t="str">
        <f>HYPERLINK("https://ictv.global/taxonomy/taxondetails?taxnode_id=202303414","Begomovirus solanumanjouanense")</f>
        <v>Begomovirus solanumanjouanense</v>
      </c>
      <c r="S6979" s="18" t="s">
        <v>30</v>
      </c>
      <c r="T6979" s="18" t="s">
        <v>15515</v>
      </c>
      <c r="U6979" s="18" t="s">
        <v>15516</v>
      </c>
      <c r="V6979" s="18" t="s">
        <v>15517</v>
      </c>
      <c r="W6979" s="18" t="s">
        <v>41554</v>
      </c>
      <c r="X6979" s="18" t="s">
        <v>42</v>
      </c>
      <c r="Y6979" s="18" t="s">
        <v>12266</v>
      </c>
      <c r="Z6979" s="18" t="s">
        <v>13441</v>
      </c>
      <c r="AA6979" s="21" t="str">
        <f>HYPERLINK("https://www.ncbi.nlm.nih.gov/nuccore/AM701758","NCBI Nucleotide")</f>
        <v>NCBI Nucleotide</v>
      </c>
    </row>
    <row r="6980" spans="1:27" x14ac:dyDescent="0.35">
      <c r="A6980">
        <v>1007976</v>
      </c>
      <c r="B6980">
        <v>6543</v>
      </c>
      <c r="C6980">
        <v>1</v>
      </c>
      <c r="D6980" s="17" t="s">
        <v>10507</v>
      </c>
      <c r="E6980" s="17"/>
      <c r="F6980" s="17" t="s">
        <v>10780</v>
      </c>
      <c r="G6980" s="17"/>
      <c r="H6980" s="17" t="s">
        <v>12908</v>
      </c>
      <c r="I6980" s="17"/>
      <c r="J6980" s="17" t="s">
        <v>14018</v>
      </c>
      <c r="K6980" s="17"/>
      <c r="L6980" s="17" t="s">
        <v>14019</v>
      </c>
      <c r="M6980" s="17"/>
      <c r="N6980" s="17" t="s">
        <v>14020</v>
      </c>
      <c r="O6980" s="17"/>
      <c r="P6980" s="17" t="s">
        <v>14040</v>
      </c>
      <c r="Q6980" s="17"/>
      <c r="R6980" s="25" t="str">
        <f>HYPERLINK("https://ictv.global/taxonomy/taxondetails?taxnode_id=202303465","Begomovirus solanumaraguaense")</f>
        <v>Begomovirus solanumaraguaense</v>
      </c>
      <c r="S6980" s="18" t="s">
        <v>30</v>
      </c>
      <c r="T6980" s="18" t="s">
        <v>15757</v>
      </c>
      <c r="U6980" s="18" t="s">
        <v>15758</v>
      </c>
      <c r="V6980" s="18" t="s">
        <v>15759</v>
      </c>
      <c r="W6980" s="18" t="s">
        <v>50473</v>
      </c>
      <c r="X6980" s="18" t="s">
        <v>42</v>
      </c>
      <c r="Y6980" s="18" t="s">
        <v>12266</v>
      </c>
      <c r="Z6980" s="18" t="s">
        <v>13441</v>
      </c>
      <c r="AA6980" s="21" t="str">
        <f>HYPERLINK("https://www.ncbi.nlm.nih.gov/nuccore/AY927277,EF547938","NCBI Nucleotide")</f>
        <v>NCBI Nucleotide</v>
      </c>
    </row>
    <row r="6981" spans="1:27" x14ac:dyDescent="0.35">
      <c r="A6981">
        <v>1007982</v>
      </c>
      <c r="B6981">
        <v>6544</v>
      </c>
      <c r="C6981">
        <v>1</v>
      </c>
      <c r="D6981" s="17" t="s">
        <v>10507</v>
      </c>
      <c r="E6981" s="17"/>
      <c r="F6981" s="17" t="s">
        <v>10780</v>
      </c>
      <c r="G6981" s="17"/>
      <c r="H6981" s="17" t="s">
        <v>12908</v>
      </c>
      <c r="I6981" s="17"/>
      <c r="J6981" s="17" t="s">
        <v>14018</v>
      </c>
      <c r="K6981" s="17"/>
      <c r="L6981" s="17" t="s">
        <v>14019</v>
      </c>
      <c r="M6981" s="17"/>
      <c r="N6981" s="17" t="s">
        <v>14020</v>
      </c>
      <c r="O6981" s="17"/>
      <c r="P6981" s="17" t="s">
        <v>14040</v>
      </c>
      <c r="Q6981" s="17"/>
      <c r="R6981" s="25" t="str">
        <f>HYPERLINK("https://ictv.global/taxonomy/taxondetails?taxnode_id=202305839","Begomovirus solanumargentinaense")</f>
        <v>Begomovirus solanumargentinaense</v>
      </c>
      <c r="S6981" s="18" t="s">
        <v>30</v>
      </c>
      <c r="T6981" s="18" t="s">
        <v>15778</v>
      </c>
      <c r="U6981" s="18" t="s">
        <v>15779</v>
      </c>
      <c r="V6981" s="18" t="s">
        <v>15780</v>
      </c>
      <c r="W6981" s="18" t="s">
        <v>15781</v>
      </c>
      <c r="X6981" s="18" t="s">
        <v>42</v>
      </c>
      <c r="Y6981" s="18" t="s">
        <v>12266</v>
      </c>
      <c r="Z6981" s="18" t="s">
        <v>13441</v>
      </c>
      <c r="AA6981" s="21" t="str">
        <f>HYPERLINK("https://www.ncbi.nlm.nih.gov/nuccore/JQ714137,JQ714138","NCBI Nucleotide")</f>
        <v>NCBI Nucleotide</v>
      </c>
    </row>
    <row r="6982" spans="1:27" x14ac:dyDescent="0.35">
      <c r="A6982">
        <v>1007918</v>
      </c>
      <c r="B6982">
        <v>6545</v>
      </c>
      <c r="C6982">
        <v>1</v>
      </c>
      <c r="D6982" s="17" t="s">
        <v>10507</v>
      </c>
      <c r="E6982" s="17"/>
      <c r="F6982" s="17" t="s">
        <v>10780</v>
      </c>
      <c r="G6982" s="17"/>
      <c r="H6982" s="17" t="s">
        <v>12908</v>
      </c>
      <c r="I6982" s="17"/>
      <c r="J6982" s="17" t="s">
        <v>14018</v>
      </c>
      <c r="K6982" s="17"/>
      <c r="L6982" s="17" t="s">
        <v>14019</v>
      </c>
      <c r="M6982" s="17"/>
      <c r="N6982" s="17" t="s">
        <v>14020</v>
      </c>
      <c r="O6982" s="17"/>
      <c r="P6982" s="17" t="s">
        <v>14040</v>
      </c>
      <c r="Q6982" s="17"/>
      <c r="R6982" s="25" t="str">
        <f>HYPERLINK("https://ictv.global/taxonomy/taxondetails?taxnode_id=202303415","Begomovirus solanumarushaense")</f>
        <v>Begomovirus solanumarushaense</v>
      </c>
      <c r="S6982" s="18" t="s">
        <v>30</v>
      </c>
      <c r="T6982" s="18" t="s">
        <v>15518</v>
      </c>
      <c r="U6982" s="18" t="s">
        <v>15519</v>
      </c>
      <c r="V6982" s="18" t="s">
        <v>15520</v>
      </c>
      <c r="W6982" s="18" t="s">
        <v>15521</v>
      </c>
      <c r="X6982" s="18" t="s">
        <v>42</v>
      </c>
      <c r="Y6982" s="18" t="s">
        <v>12266</v>
      </c>
      <c r="Z6982" s="18" t="s">
        <v>13441</v>
      </c>
      <c r="AA6982" s="21" t="str">
        <f>HYPERLINK("https://www.ncbi.nlm.nih.gov/nuccore/EF194760","NCBI Nucleotide")</f>
        <v>NCBI Nucleotide</v>
      </c>
    </row>
    <row r="6983" spans="1:27" x14ac:dyDescent="0.35">
      <c r="A6983">
        <v>1007910</v>
      </c>
      <c r="B6983">
        <v>6546</v>
      </c>
      <c r="C6983">
        <v>1</v>
      </c>
      <c r="D6983" s="17" t="s">
        <v>10507</v>
      </c>
      <c r="E6983" s="17"/>
      <c r="F6983" s="17" t="s">
        <v>10780</v>
      </c>
      <c r="G6983" s="17"/>
      <c r="H6983" s="17" t="s">
        <v>12908</v>
      </c>
      <c r="I6983" s="17"/>
      <c r="J6983" s="17" t="s">
        <v>14018</v>
      </c>
      <c r="K6983" s="17"/>
      <c r="L6983" s="17" t="s">
        <v>14019</v>
      </c>
      <c r="M6983" s="17"/>
      <c r="N6983" s="17" t="s">
        <v>14020</v>
      </c>
      <c r="O6983" s="17"/>
      <c r="P6983" s="17" t="s">
        <v>14040</v>
      </c>
      <c r="Q6983" s="17"/>
      <c r="R6983" s="25" t="str">
        <f>HYPERLINK("https://ictv.global/taxonomy/taxondetails?taxnode_id=202303409","Begomovirus solanumaureicontorsionis")</f>
        <v>Begomovirus solanumaureicontorsionis</v>
      </c>
      <c r="S6983" s="18" t="s">
        <v>30</v>
      </c>
      <c r="T6983" s="18" t="s">
        <v>15489</v>
      </c>
      <c r="U6983" s="18" t="s">
        <v>15490</v>
      </c>
      <c r="V6983" s="18" t="s">
        <v>15491</v>
      </c>
      <c r="W6983" s="18" t="s">
        <v>15492</v>
      </c>
      <c r="X6983" s="18" t="s">
        <v>42</v>
      </c>
      <c r="Y6983" s="18" t="s">
        <v>12266</v>
      </c>
      <c r="Z6983" s="18" t="s">
        <v>13441</v>
      </c>
      <c r="AA6983" s="21" t="str">
        <f>HYPERLINK("https://www.ncbi.nlm.nih.gov/nuccore/HM357456","NCBI Nucleotide")</f>
        <v>NCBI Nucleotide</v>
      </c>
    </row>
    <row r="6984" spans="1:27" x14ac:dyDescent="0.35">
      <c r="A6984">
        <v>1007911</v>
      </c>
      <c r="B6984">
        <v>6547</v>
      </c>
      <c r="C6984">
        <v>1</v>
      </c>
      <c r="D6984" s="17" t="s">
        <v>10507</v>
      </c>
      <c r="E6984" s="17"/>
      <c r="F6984" s="17" t="s">
        <v>10780</v>
      </c>
      <c r="G6984" s="17"/>
      <c r="H6984" s="17" t="s">
        <v>12908</v>
      </c>
      <c r="I6984" s="17"/>
      <c r="J6984" s="17" t="s">
        <v>14018</v>
      </c>
      <c r="K6984" s="17"/>
      <c r="L6984" s="17" t="s">
        <v>14019</v>
      </c>
      <c r="M6984" s="17"/>
      <c r="N6984" s="17" t="s">
        <v>14020</v>
      </c>
      <c r="O6984" s="17"/>
      <c r="P6984" s="17" t="s">
        <v>14040</v>
      </c>
      <c r="Q6984" s="17"/>
      <c r="R6984" s="25" t="str">
        <f>HYPERLINK("https://ictv.global/taxonomy/taxondetails?taxnode_id=202305836","Begomovirus solanumaureimaculae")</f>
        <v>Begomovirus solanumaureimaculae</v>
      </c>
      <c r="S6984" s="18" t="s">
        <v>30</v>
      </c>
      <c r="T6984" s="18" t="s">
        <v>15493</v>
      </c>
      <c r="U6984" s="18" t="s">
        <v>15494</v>
      </c>
      <c r="V6984" s="18" t="s">
        <v>15495</v>
      </c>
      <c r="W6984" s="18" t="s">
        <v>15496</v>
      </c>
      <c r="X6984" s="18" t="s">
        <v>42</v>
      </c>
      <c r="Y6984" s="18" t="s">
        <v>12266</v>
      </c>
      <c r="Z6984" s="18" t="s">
        <v>13441</v>
      </c>
      <c r="AA6984" s="21" t="str">
        <f>HYPERLINK("https://www.ncbi.nlm.nih.gov/nuccore/KC626021","NCBI Nucleotide")</f>
        <v>NCBI Nucleotide</v>
      </c>
    </row>
    <row r="6985" spans="1:27" x14ac:dyDescent="0.35">
      <c r="A6985">
        <v>1007912</v>
      </c>
      <c r="B6985">
        <v>6548</v>
      </c>
      <c r="C6985">
        <v>1</v>
      </c>
      <c r="D6985" s="17" t="s">
        <v>10507</v>
      </c>
      <c r="E6985" s="17"/>
      <c r="F6985" s="17" t="s">
        <v>10780</v>
      </c>
      <c r="G6985" s="17"/>
      <c r="H6985" s="17" t="s">
        <v>12908</v>
      </c>
      <c r="I6985" s="17"/>
      <c r="J6985" s="17" t="s">
        <v>14018</v>
      </c>
      <c r="K6985" s="17"/>
      <c r="L6985" s="17" t="s">
        <v>14019</v>
      </c>
      <c r="M6985" s="17"/>
      <c r="N6985" s="17" t="s">
        <v>14020</v>
      </c>
      <c r="O6985" s="17"/>
      <c r="P6985" s="17" t="s">
        <v>14040</v>
      </c>
      <c r="Q6985" s="17"/>
      <c r="R6985" s="25" t="str">
        <f>HYPERLINK("https://ictv.global/taxonomy/taxondetails?taxnode_id=202303410","Begomovirus solanumaureimusivi")</f>
        <v>Begomovirus solanumaureimusivi</v>
      </c>
      <c r="S6985" s="18" t="s">
        <v>30</v>
      </c>
      <c r="T6985" s="18" t="s">
        <v>15497</v>
      </c>
      <c r="U6985" s="18" t="s">
        <v>15498</v>
      </c>
      <c r="V6985" s="18" t="s">
        <v>15499</v>
      </c>
      <c r="W6985" s="18" t="s">
        <v>15500</v>
      </c>
      <c r="X6985" s="18" t="s">
        <v>42</v>
      </c>
      <c r="Y6985" s="18" t="s">
        <v>12266</v>
      </c>
      <c r="Z6985" s="18" t="s">
        <v>13441</v>
      </c>
      <c r="AA6985" s="21" t="str">
        <f>HYPERLINK("https://www.ncbi.nlm.nih.gov/nuccore/K02029,K02030","NCBI Nucleotide")</f>
        <v>NCBI Nucleotide</v>
      </c>
    </row>
    <row r="6986" spans="1:27" x14ac:dyDescent="0.35">
      <c r="A6986">
        <v>1007913</v>
      </c>
      <c r="B6986">
        <v>6549</v>
      </c>
      <c r="C6986">
        <v>1</v>
      </c>
      <c r="D6986" s="17" t="s">
        <v>10507</v>
      </c>
      <c r="E6986" s="17"/>
      <c r="F6986" s="17" t="s">
        <v>10780</v>
      </c>
      <c r="G6986" s="17"/>
      <c r="H6986" s="17" t="s">
        <v>12908</v>
      </c>
      <c r="I6986" s="17"/>
      <c r="J6986" s="17" t="s">
        <v>14018</v>
      </c>
      <c r="K6986" s="17"/>
      <c r="L6986" s="17" t="s">
        <v>14019</v>
      </c>
      <c r="M6986" s="17"/>
      <c r="N6986" s="17" t="s">
        <v>14020</v>
      </c>
      <c r="O6986" s="17"/>
      <c r="P6986" s="17" t="s">
        <v>14040</v>
      </c>
      <c r="Q6986" s="17"/>
      <c r="R6986" s="25" t="str">
        <f>HYPERLINK("https://ictv.global/taxonomy/taxondetails?taxnode_id=202303411","Begomovirus solanumaureivariati")</f>
        <v>Begomovirus solanumaureivariati</v>
      </c>
      <c r="S6986" s="18" t="s">
        <v>30</v>
      </c>
      <c r="T6986" s="18" t="s">
        <v>15501</v>
      </c>
      <c r="U6986" s="18" t="s">
        <v>15502</v>
      </c>
      <c r="V6986" s="18" t="s">
        <v>15503</v>
      </c>
      <c r="W6986" s="18" t="s">
        <v>50474</v>
      </c>
      <c r="X6986" s="18" t="s">
        <v>42</v>
      </c>
      <c r="Y6986" s="18" t="s">
        <v>12266</v>
      </c>
      <c r="Z6986" s="18" t="s">
        <v>13441</v>
      </c>
      <c r="AA6986" s="21" t="str">
        <f>HYPERLINK("https://www.ncbi.nlm.nih.gov/nuccore/DQ520943,DQ406674","NCBI Nucleotide")</f>
        <v>NCBI Nucleotide</v>
      </c>
    </row>
    <row r="6987" spans="1:27" x14ac:dyDescent="0.35">
      <c r="A6987">
        <v>1007914</v>
      </c>
      <c r="B6987">
        <v>6550</v>
      </c>
      <c r="C6987">
        <v>1</v>
      </c>
      <c r="D6987" s="17" t="s">
        <v>10507</v>
      </c>
      <c r="E6987" s="17"/>
      <c r="F6987" s="17" t="s">
        <v>10780</v>
      </c>
      <c r="G6987" s="17"/>
      <c r="H6987" s="17" t="s">
        <v>12908</v>
      </c>
      <c r="I6987" s="17"/>
      <c r="J6987" s="17" t="s">
        <v>14018</v>
      </c>
      <c r="K6987" s="17"/>
      <c r="L6987" s="17" t="s">
        <v>14019</v>
      </c>
      <c r="M6987" s="17"/>
      <c r="N6987" s="17" t="s">
        <v>14020</v>
      </c>
      <c r="O6987" s="17"/>
      <c r="P6987" s="17" t="s">
        <v>14040</v>
      </c>
      <c r="Q6987" s="17"/>
      <c r="R6987" s="25" t="str">
        <f>HYPERLINK("https://ictv.global/taxonomy/taxondetails?taxnode_id=202303412","Begomovirus solanumaureivenae")</f>
        <v>Begomovirus solanumaureivenae</v>
      </c>
      <c r="S6987" s="18" t="s">
        <v>30</v>
      </c>
      <c r="T6987" s="18" t="s">
        <v>15504</v>
      </c>
      <c r="U6987" s="18" t="s">
        <v>15505</v>
      </c>
      <c r="V6987" s="18" t="s">
        <v>15506</v>
      </c>
      <c r="W6987" s="18" t="s">
        <v>15507</v>
      </c>
      <c r="X6987" s="18" t="s">
        <v>42</v>
      </c>
      <c r="Y6987" s="18" t="s">
        <v>12266</v>
      </c>
      <c r="Z6987" s="18" t="s">
        <v>13441</v>
      </c>
      <c r="AA6987" s="21" t="str">
        <f>HYPERLINK("https://www.ncbi.nlm.nih.gov/nuccore/JF803254,JF803265","NCBI Nucleotide")</f>
        <v>NCBI Nucleotide</v>
      </c>
    </row>
    <row r="6988" spans="1:27" x14ac:dyDescent="0.35">
      <c r="A6988">
        <v>1007972</v>
      </c>
      <c r="B6988">
        <v>6551</v>
      </c>
      <c r="C6988">
        <v>1</v>
      </c>
      <c r="D6988" s="17" t="s">
        <v>10507</v>
      </c>
      <c r="E6988" s="17"/>
      <c r="F6988" s="17" t="s">
        <v>10780</v>
      </c>
      <c r="G6988" s="17"/>
      <c r="H6988" s="17" t="s">
        <v>12908</v>
      </c>
      <c r="I6988" s="17"/>
      <c r="J6988" s="17" t="s">
        <v>14018</v>
      </c>
      <c r="K6988" s="17"/>
      <c r="L6988" s="17" t="s">
        <v>14019</v>
      </c>
      <c r="M6988" s="17"/>
      <c r="N6988" s="17" t="s">
        <v>14020</v>
      </c>
      <c r="O6988" s="17"/>
      <c r="P6988" s="17" t="s">
        <v>14040</v>
      </c>
      <c r="Q6988" s="17"/>
      <c r="R6988" s="25" t="str">
        <f>HYPERLINK("https://ictv.global/taxonomy/taxondetails?taxnode_id=202303461","Begomovirus solanumaustraliaense")</f>
        <v>Begomovirus solanumaustraliaense</v>
      </c>
      <c r="S6988" s="18" t="s">
        <v>30</v>
      </c>
      <c r="T6988" s="18" t="s">
        <v>15734</v>
      </c>
      <c r="U6988" s="18" t="s">
        <v>15735</v>
      </c>
      <c r="V6988" s="18" t="s">
        <v>15736</v>
      </c>
      <c r="W6988" s="18" t="s">
        <v>41555</v>
      </c>
      <c r="X6988" s="18" t="s">
        <v>42</v>
      </c>
      <c r="Y6988" s="18" t="s">
        <v>12266</v>
      </c>
      <c r="Z6988" s="18" t="s">
        <v>13441</v>
      </c>
      <c r="AA6988" s="21" t="str">
        <f>HYPERLINK("https://www.ncbi.nlm.nih.gov/nuccore/S53251","NCBI Nucleotide")</f>
        <v>NCBI Nucleotide</v>
      </c>
    </row>
    <row r="6989" spans="1:27" x14ac:dyDescent="0.35">
      <c r="A6989">
        <v>1012628</v>
      </c>
      <c r="B6989">
        <v>6551</v>
      </c>
      <c r="C6989">
        <v>2</v>
      </c>
      <c r="D6989" s="17" t="s">
        <v>10507</v>
      </c>
      <c r="E6989" s="17"/>
      <c r="F6989" s="17" t="s">
        <v>10780</v>
      </c>
      <c r="G6989" s="17"/>
      <c r="H6989" s="17" t="s">
        <v>12908</v>
      </c>
      <c r="I6989" s="17"/>
      <c r="J6989" s="17" t="s">
        <v>14018</v>
      </c>
      <c r="K6989" s="17"/>
      <c r="L6989" s="17" t="s">
        <v>14019</v>
      </c>
      <c r="M6989" s="17"/>
      <c r="N6989" s="17" t="s">
        <v>14020</v>
      </c>
      <c r="O6989" s="17"/>
      <c r="P6989" s="17" t="s">
        <v>14040</v>
      </c>
      <c r="Q6989" s="17"/>
      <c r="R6989" s="25" t="str">
        <f>HYPERLINK("https://ictv.global/taxonomy/taxondetails?taxnode_id=202303461","Begomovirus solanumaustraliaense")</f>
        <v>Begomovirus solanumaustraliaense</v>
      </c>
      <c r="S6989" s="18" t="s">
        <v>8141</v>
      </c>
      <c r="T6989" s="18" t="s">
        <v>15734</v>
      </c>
      <c r="U6989" s="18" t="s">
        <v>15737</v>
      </c>
      <c r="V6989" s="18" t="s">
        <v>15738</v>
      </c>
      <c r="W6989" s="18" t="s">
        <v>49164</v>
      </c>
      <c r="X6989" s="18" t="s">
        <v>42</v>
      </c>
      <c r="Y6989" s="18" t="s">
        <v>12266</v>
      </c>
      <c r="Z6989" s="18" t="s">
        <v>13441</v>
      </c>
      <c r="AA6989" s="21" t="str">
        <f>HYPERLINK("https://www.ncbi.nlm.nih.gov/nuccore/AF084006","NCBI Nucleotide")</f>
        <v>NCBI Nucleotide</v>
      </c>
    </row>
    <row r="6990" spans="1:27" x14ac:dyDescent="0.35">
      <c r="A6990">
        <v>1007919</v>
      </c>
      <c r="B6990">
        <v>6552</v>
      </c>
      <c r="C6990">
        <v>1</v>
      </c>
      <c r="D6990" s="17" t="s">
        <v>10507</v>
      </c>
      <c r="E6990" s="17"/>
      <c r="F6990" s="17" t="s">
        <v>10780</v>
      </c>
      <c r="G6990" s="17"/>
      <c r="H6990" s="17" t="s">
        <v>12908</v>
      </c>
      <c r="I6990" s="17"/>
      <c r="J6990" s="17" t="s">
        <v>14018</v>
      </c>
      <c r="K6990" s="17"/>
      <c r="L6990" s="17" t="s">
        <v>14019</v>
      </c>
      <c r="M6990" s="17"/>
      <c r="N6990" s="17" t="s">
        <v>14020</v>
      </c>
      <c r="O6990" s="17"/>
      <c r="P6990" s="17" t="s">
        <v>14040</v>
      </c>
      <c r="Q6990" s="17"/>
      <c r="R6990" s="25" t="str">
        <f>HYPERLINK("https://ictv.global/taxonomy/taxondetails?taxnode_id=202303416","Begomovirus solanumbangalorense")</f>
        <v>Begomovirus solanumbangalorense</v>
      </c>
      <c r="S6990" s="18" t="s">
        <v>30</v>
      </c>
      <c r="T6990" s="18" t="s">
        <v>15522</v>
      </c>
      <c r="U6990" s="18" t="s">
        <v>15523</v>
      </c>
      <c r="V6990" s="18" t="s">
        <v>15524</v>
      </c>
      <c r="W6990" s="18" t="s">
        <v>41556</v>
      </c>
      <c r="X6990" s="18" t="s">
        <v>42</v>
      </c>
      <c r="Y6990" s="18" t="s">
        <v>12266</v>
      </c>
      <c r="Z6990" s="18" t="s">
        <v>13441</v>
      </c>
      <c r="AA6990" s="21" t="str">
        <f>HYPERLINK("https://www.ncbi.nlm.nih.gov/nuccore/Z48182","NCBI Nucleotide")</f>
        <v>NCBI Nucleotide</v>
      </c>
    </row>
    <row r="6991" spans="1:27" x14ac:dyDescent="0.35">
      <c r="A6991">
        <v>1012609</v>
      </c>
      <c r="B6991">
        <v>6552</v>
      </c>
      <c r="C6991">
        <v>2</v>
      </c>
      <c r="D6991" s="17" t="s">
        <v>10507</v>
      </c>
      <c r="E6991" s="17"/>
      <c r="F6991" s="17" t="s">
        <v>10780</v>
      </c>
      <c r="G6991" s="17"/>
      <c r="H6991" s="17" t="s">
        <v>12908</v>
      </c>
      <c r="I6991" s="17"/>
      <c r="J6991" s="17" t="s">
        <v>14018</v>
      </c>
      <c r="K6991" s="17"/>
      <c r="L6991" s="17" t="s">
        <v>14019</v>
      </c>
      <c r="M6991" s="17"/>
      <c r="N6991" s="17" t="s">
        <v>14020</v>
      </c>
      <c r="O6991" s="17"/>
      <c r="P6991" s="17" t="s">
        <v>14040</v>
      </c>
      <c r="Q6991" s="17"/>
      <c r="R6991" s="25" t="str">
        <f>HYPERLINK("https://ictv.global/taxonomy/taxondetails?taxnode_id=202303416","Begomovirus solanumbangalorense")</f>
        <v>Begomovirus solanumbangalorense</v>
      </c>
      <c r="S6991" s="18" t="s">
        <v>8141</v>
      </c>
      <c r="T6991" s="18" t="s">
        <v>15522</v>
      </c>
      <c r="U6991" s="18" t="s">
        <v>15525</v>
      </c>
      <c r="V6991" s="18" t="s">
        <v>15526</v>
      </c>
      <c r="W6991" s="18" t="s">
        <v>49168</v>
      </c>
      <c r="X6991" s="18" t="s">
        <v>42</v>
      </c>
      <c r="Y6991" s="18" t="s">
        <v>12266</v>
      </c>
      <c r="Z6991" s="18" t="s">
        <v>13441</v>
      </c>
      <c r="AA6991" s="21" t="str">
        <f>HYPERLINK("https://www.ncbi.nlm.nih.gov/nuccore/KF663698","NCBI Nucleotide")</f>
        <v>NCBI Nucleotide</v>
      </c>
    </row>
    <row r="6992" spans="1:27" x14ac:dyDescent="0.35">
      <c r="A6992">
        <v>1012610</v>
      </c>
      <c r="B6992">
        <v>6552</v>
      </c>
      <c r="C6992">
        <v>3</v>
      </c>
      <c r="D6992" s="17" t="s">
        <v>10507</v>
      </c>
      <c r="E6992" s="17"/>
      <c r="F6992" s="17" t="s">
        <v>10780</v>
      </c>
      <c r="G6992" s="17"/>
      <c r="H6992" s="17" t="s">
        <v>12908</v>
      </c>
      <c r="I6992" s="17"/>
      <c r="J6992" s="17" t="s">
        <v>14018</v>
      </c>
      <c r="K6992" s="17"/>
      <c r="L6992" s="17" t="s">
        <v>14019</v>
      </c>
      <c r="M6992" s="17"/>
      <c r="N6992" s="17" t="s">
        <v>14020</v>
      </c>
      <c r="O6992" s="17"/>
      <c r="P6992" s="17" t="s">
        <v>14040</v>
      </c>
      <c r="Q6992" s="17"/>
      <c r="R6992" s="25" t="str">
        <f>HYPERLINK("https://ictv.global/taxonomy/taxondetails?taxnode_id=202303416","Begomovirus solanumbangalorense")</f>
        <v>Begomovirus solanumbangalorense</v>
      </c>
      <c r="S6992" s="18" t="s">
        <v>8141</v>
      </c>
      <c r="T6992" s="18" t="s">
        <v>15522</v>
      </c>
      <c r="U6992" s="18" t="s">
        <v>15527</v>
      </c>
      <c r="V6992" s="18" t="s">
        <v>15528</v>
      </c>
      <c r="W6992" s="18" t="s">
        <v>49169</v>
      </c>
      <c r="X6992" s="18" t="s">
        <v>42</v>
      </c>
      <c r="Y6992" s="18" t="s">
        <v>12266</v>
      </c>
      <c r="Z6992" s="18" t="s">
        <v>13441</v>
      </c>
      <c r="AA6992" s="21" t="str">
        <f>HYPERLINK("https://www.ncbi.nlm.nih.gov/nuccore/AF295401","NCBI Nucleotide")</f>
        <v>NCBI Nucleotide</v>
      </c>
    </row>
    <row r="6993" spans="1:27" x14ac:dyDescent="0.35">
      <c r="A6993">
        <v>1012611</v>
      </c>
      <c r="B6993">
        <v>6552</v>
      </c>
      <c r="C6993">
        <v>4</v>
      </c>
      <c r="D6993" s="17" t="s">
        <v>10507</v>
      </c>
      <c r="E6993" s="17"/>
      <c r="F6993" s="17" t="s">
        <v>10780</v>
      </c>
      <c r="G6993" s="17"/>
      <c r="H6993" s="17" t="s">
        <v>12908</v>
      </c>
      <c r="I6993" s="17"/>
      <c r="J6993" s="17" t="s">
        <v>14018</v>
      </c>
      <c r="K6993" s="17"/>
      <c r="L6993" s="17" t="s">
        <v>14019</v>
      </c>
      <c r="M6993" s="17"/>
      <c r="N6993" s="17" t="s">
        <v>14020</v>
      </c>
      <c r="O6993" s="17"/>
      <c r="P6993" s="17" t="s">
        <v>14040</v>
      </c>
      <c r="Q6993" s="17"/>
      <c r="R6993" s="25" t="str">
        <f>HYPERLINK("https://ictv.global/taxonomy/taxondetails?taxnode_id=202303416","Begomovirus solanumbangalorense")</f>
        <v>Begomovirus solanumbangalorense</v>
      </c>
      <c r="S6993" s="18" t="s">
        <v>8141</v>
      </c>
      <c r="T6993" s="18" t="s">
        <v>15522</v>
      </c>
      <c r="U6993" s="18" t="s">
        <v>15529</v>
      </c>
      <c r="V6993" s="18" t="s">
        <v>15530</v>
      </c>
      <c r="W6993" s="18" t="s">
        <v>49170</v>
      </c>
      <c r="X6993" s="18" t="s">
        <v>42</v>
      </c>
      <c r="Y6993" s="18" t="s">
        <v>12266</v>
      </c>
      <c r="Z6993" s="18" t="s">
        <v>13441</v>
      </c>
      <c r="AA6993" s="21" t="str">
        <f>HYPERLINK("https://www.ncbi.nlm.nih.gov/nuccore/AF165098","NCBI Nucleotide")</f>
        <v>NCBI Nucleotide</v>
      </c>
    </row>
    <row r="6994" spans="1:27" x14ac:dyDescent="0.35">
      <c r="A6994">
        <v>1012612</v>
      </c>
      <c r="B6994">
        <v>6552</v>
      </c>
      <c r="C6994">
        <v>5</v>
      </c>
      <c r="D6994" s="17" t="s">
        <v>10507</v>
      </c>
      <c r="E6994" s="17"/>
      <c r="F6994" s="17" t="s">
        <v>10780</v>
      </c>
      <c r="G6994" s="17"/>
      <c r="H6994" s="17" t="s">
        <v>12908</v>
      </c>
      <c r="I6994" s="17"/>
      <c r="J6994" s="17" t="s">
        <v>14018</v>
      </c>
      <c r="K6994" s="17"/>
      <c r="L6994" s="17" t="s">
        <v>14019</v>
      </c>
      <c r="M6994" s="17"/>
      <c r="N6994" s="17" t="s">
        <v>14020</v>
      </c>
      <c r="O6994" s="17"/>
      <c r="P6994" s="17" t="s">
        <v>14040</v>
      </c>
      <c r="Q6994" s="17"/>
      <c r="R6994" s="25" t="str">
        <f>HYPERLINK("https://ictv.global/taxonomy/taxondetails?taxnode_id=202303416","Begomovirus solanumbangalorense")</f>
        <v>Begomovirus solanumbangalorense</v>
      </c>
      <c r="S6994" s="18" t="s">
        <v>8141</v>
      </c>
      <c r="T6994" s="18" t="s">
        <v>15522</v>
      </c>
      <c r="U6994" s="18" t="s">
        <v>15531</v>
      </c>
      <c r="V6994" s="18" t="s">
        <v>15532</v>
      </c>
      <c r="W6994" s="18" t="s">
        <v>49171</v>
      </c>
      <c r="X6994" s="18" t="s">
        <v>42</v>
      </c>
      <c r="Y6994" s="18" t="s">
        <v>12266</v>
      </c>
      <c r="Z6994" s="18" t="s">
        <v>13441</v>
      </c>
      <c r="AA6994" s="21" t="str">
        <f>HYPERLINK("https://www.ncbi.nlm.nih.gov/nuccore/DQ852623","NCBI Nucleotide")</f>
        <v>NCBI Nucleotide</v>
      </c>
    </row>
    <row r="6995" spans="1:27" x14ac:dyDescent="0.35">
      <c r="A6995">
        <v>1007920</v>
      </c>
      <c r="B6995">
        <v>6553</v>
      </c>
      <c r="C6995">
        <v>1</v>
      </c>
      <c r="D6995" s="17" t="s">
        <v>10507</v>
      </c>
      <c r="E6995" s="17"/>
      <c r="F6995" s="17" t="s">
        <v>10780</v>
      </c>
      <c r="G6995" s="17"/>
      <c r="H6995" s="17" t="s">
        <v>12908</v>
      </c>
      <c r="I6995" s="17"/>
      <c r="J6995" s="17" t="s">
        <v>14018</v>
      </c>
      <c r="K6995" s="17"/>
      <c r="L6995" s="17" t="s">
        <v>14019</v>
      </c>
      <c r="M6995" s="17"/>
      <c r="N6995" s="17" t="s">
        <v>14020</v>
      </c>
      <c r="O6995" s="17"/>
      <c r="P6995" s="17" t="s">
        <v>14040</v>
      </c>
      <c r="Q6995" s="17"/>
      <c r="R6995" s="25" t="str">
        <f>HYPERLINK("https://ictv.global/taxonomy/taxondetails?taxnode_id=202303417","Begomovirus solanumbangladeshense")</f>
        <v>Begomovirus solanumbangladeshense</v>
      </c>
      <c r="S6995" s="18" t="s">
        <v>30</v>
      </c>
      <c r="T6995" s="18" t="s">
        <v>15533</v>
      </c>
      <c r="U6995" s="18" t="s">
        <v>15534</v>
      </c>
      <c r="V6995" s="18" t="s">
        <v>15535</v>
      </c>
      <c r="W6995" s="18" t="s">
        <v>41557</v>
      </c>
      <c r="X6995" s="18" t="s">
        <v>42</v>
      </c>
      <c r="Y6995" s="18" t="s">
        <v>12266</v>
      </c>
      <c r="Z6995" s="18" t="s">
        <v>13441</v>
      </c>
      <c r="AA6995" s="21" t="str">
        <f>HYPERLINK("https://www.ncbi.nlm.nih.gov/nuccore/AF188481","NCBI Nucleotide")</f>
        <v>NCBI Nucleotide</v>
      </c>
    </row>
    <row r="6996" spans="1:27" x14ac:dyDescent="0.35">
      <c r="A6996">
        <v>1007857</v>
      </c>
      <c r="B6996">
        <v>6554</v>
      </c>
      <c r="C6996">
        <v>1</v>
      </c>
      <c r="D6996" s="17" t="s">
        <v>10507</v>
      </c>
      <c r="E6996" s="17"/>
      <c r="F6996" s="17" t="s">
        <v>10780</v>
      </c>
      <c r="G6996" s="17"/>
      <c r="H6996" s="17" t="s">
        <v>12908</v>
      </c>
      <c r="I6996" s="17"/>
      <c r="J6996" s="17" t="s">
        <v>14018</v>
      </c>
      <c r="K6996" s="17"/>
      <c r="L6996" s="17" t="s">
        <v>14019</v>
      </c>
      <c r="M6996" s="17"/>
      <c r="N6996" s="17" t="s">
        <v>14020</v>
      </c>
      <c r="O6996" s="17"/>
      <c r="P6996" s="17" t="s">
        <v>14040</v>
      </c>
      <c r="Q6996" s="17"/>
      <c r="R6996" s="25" t="str">
        <f>HYPERLINK("https://ictv.global/taxonomy/taxondetails?taxnode_id=202305829","Begomovirus solanumboliviense")</f>
        <v>Begomovirus solanumboliviense</v>
      </c>
      <c r="S6996" s="18" t="s">
        <v>30</v>
      </c>
      <c r="T6996" s="18" t="s">
        <v>15260</v>
      </c>
      <c r="U6996" s="18" t="s">
        <v>15261</v>
      </c>
      <c r="V6996" s="18" t="s">
        <v>15262</v>
      </c>
      <c r="W6996" s="18" t="s">
        <v>15263</v>
      </c>
      <c r="X6996" s="18" t="s">
        <v>42</v>
      </c>
      <c r="Y6996" s="18" t="s">
        <v>12266</v>
      </c>
      <c r="Z6996" s="18" t="s">
        <v>13441</v>
      </c>
      <c r="AA6996" s="21" t="str">
        <f>HYPERLINK("https://www.ncbi.nlm.nih.gov/nuccore/HM585435,HM585436","NCBI Nucleotide")</f>
        <v>NCBI Nucleotide</v>
      </c>
    </row>
    <row r="6997" spans="1:27" x14ac:dyDescent="0.35">
      <c r="A6997">
        <v>1007921</v>
      </c>
      <c r="B6997">
        <v>6555</v>
      </c>
      <c r="C6997">
        <v>1</v>
      </c>
      <c r="D6997" s="17" t="s">
        <v>10507</v>
      </c>
      <c r="E6997" s="17"/>
      <c r="F6997" s="17" t="s">
        <v>10780</v>
      </c>
      <c r="G6997" s="17"/>
      <c r="H6997" s="17" t="s">
        <v>12908</v>
      </c>
      <c r="I6997" s="17"/>
      <c r="J6997" s="17" t="s">
        <v>14018</v>
      </c>
      <c r="K6997" s="17"/>
      <c r="L6997" s="17" t="s">
        <v>14019</v>
      </c>
      <c r="M6997" s="17"/>
      <c r="N6997" s="17" t="s">
        <v>14020</v>
      </c>
      <c r="O6997" s="17"/>
      <c r="P6997" s="17" t="s">
        <v>14040</v>
      </c>
      <c r="Q6997" s="17"/>
      <c r="R6997" s="25" t="str">
        <f>HYPERLINK("https://ictv.global/taxonomy/taxondetails?taxnode_id=202305838","Begomovirus solanumburkinafasoense")</f>
        <v>Begomovirus solanumburkinafasoense</v>
      </c>
      <c r="S6997" s="18" t="s">
        <v>30</v>
      </c>
      <c r="T6997" s="18" t="s">
        <v>15536</v>
      </c>
      <c r="U6997" s="18" t="s">
        <v>15537</v>
      </c>
      <c r="V6997" s="18" t="s">
        <v>15538</v>
      </c>
      <c r="W6997" s="18" t="s">
        <v>41558</v>
      </c>
      <c r="X6997" s="18" t="s">
        <v>42</v>
      </c>
      <c r="Y6997" s="18" t="s">
        <v>12266</v>
      </c>
      <c r="Z6997" s="18" t="s">
        <v>13441</v>
      </c>
      <c r="AA6997" s="21" t="str">
        <f>HYPERLINK("https://www.ncbi.nlm.nih.gov/nuccore/KX853168","NCBI Nucleotide")</f>
        <v>NCBI Nucleotide</v>
      </c>
    </row>
    <row r="6998" spans="1:27" x14ac:dyDescent="0.35">
      <c r="A6998">
        <v>1007922</v>
      </c>
      <c r="B6998">
        <v>6556</v>
      </c>
      <c r="C6998">
        <v>1</v>
      </c>
      <c r="D6998" s="17" t="s">
        <v>10507</v>
      </c>
      <c r="E6998" s="17"/>
      <c r="F6998" s="17" t="s">
        <v>10780</v>
      </c>
      <c r="G6998" s="17"/>
      <c r="H6998" s="17" t="s">
        <v>12908</v>
      </c>
      <c r="I6998" s="17"/>
      <c r="J6998" s="17" t="s">
        <v>14018</v>
      </c>
      <c r="K6998" s="17"/>
      <c r="L6998" s="17" t="s">
        <v>14019</v>
      </c>
      <c r="M6998" s="17"/>
      <c r="N6998" s="17" t="s">
        <v>14020</v>
      </c>
      <c r="O6998" s="17"/>
      <c r="P6998" s="17" t="s">
        <v>14040</v>
      </c>
      <c r="Q6998" s="17"/>
      <c r="R6998" s="25" t="str">
        <f>HYPERLINK("https://ictv.global/taxonomy/taxondetails?taxnode_id=202303418","Begomovirus solanumcebuense")</f>
        <v>Begomovirus solanumcebuense</v>
      </c>
      <c r="S6998" s="18" t="s">
        <v>30</v>
      </c>
      <c r="T6998" s="18" t="s">
        <v>15539</v>
      </c>
      <c r="U6998" s="18" t="s">
        <v>15540</v>
      </c>
      <c r="V6998" s="18" t="s">
        <v>15541</v>
      </c>
      <c r="W6998" s="18" t="s">
        <v>15542</v>
      </c>
      <c r="X6998" s="18" t="s">
        <v>42</v>
      </c>
      <c r="Y6998" s="18" t="s">
        <v>12266</v>
      </c>
      <c r="Z6998" s="18" t="s">
        <v>13441</v>
      </c>
      <c r="AA6998" s="21" t="str">
        <f>HYPERLINK("https://www.ncbi.nlm.nih.gov/nuccore/EU487042","NCBI Nucleotide")</f>
        <v>NCBI Nucleotide</v>
      </c>
    </row>
    <row r="6999" spans="1:27" x14ac:dyDescent="0.35">
      <c r="A6999">
        <v>1007923</v>
      </c>
      <c r="B6999">
        <v>6557</v>
      </c>
      <c r="C6999">
        <v>1</v>
      </c>
      <c r="D6999" s="17" t="s">
        <v>10507</v>
      </c>
      <c r="E6999" s="17"/>
      <c r="F6999" s="17" t="s">
        <v>10780</v>
      </c>
      <c r="G6999" s="17"/>
      <c r="H6999" s="17" t="s">
        <v>12908</v>
      </c>
      <c r="I6999" s="17"/>
      <c r="J6999" s="17" t="s">
        <v>14018</v>
      </c>
      <c r="K6999" s="17"/>
      <c r="L6999" s="17" t="s">
        <v>14019</v>
      </c>
      <c r="M6999" s="17"/>
      <c r="N6999" s="17" t="s">
        <v>14020</v>
      </c>
      <c r="O6999" s="17"/>
      <c r="P6999" s="17" t="s">
        <v>14040</v>
      </c>
      <c r="Q6999" s="17"/>
      <c r="R6999" s="25" t="str">
        <f>HYPERLINK("https://ictv.global/taxonomy/taxondetails?taxnode_id=202303419","Begomovirus solanumchinaense")</f>
        <v>Begomovirus solanumchinaense</v>
      </c>
      <c r="S6999" s="18" t="s">
        <v>30</v>
      </c>
      <c r="T6999" s="18" t="s">
        <v>15543</v>
      </c>
      <c r="U6999" s="18" t="s">
        <v>15544</v>
      </c>
      <c r="V6999" s="18" t="s">
        <v>15545</v>
      </c>
      <c r="W6999" s="18" t="s">
        <v>15546</v>
      </c>
      <c r="X6999" s="18" t="s">
        <v>42</v>
      </c>
      <c r="Y6999" s="18" t="s">
        <v>12266</v>
      </c>
      <c r="Z6999" s="18" t="s">
        <v>13441</v>
      </c>
      <c r="AA6999" s="21" t="str">
        <f>HYPERLINK("https://www.ncbi.nlm.nih.gov/nuccore/AJ558118","NCBI Nucleotide")</f>
        <v>NCBI Nucleotide</v>
      </c>
    </row>
    <row r="7000" spans="1:27" x14ac:dyDescent="0.35">
      <c r="A7000">
        <v>1012613</v>
      </c>
      <c r="B7000">
        <v>6557</v>
      </c>
      <c r="C7000">
        <v>2</v>
      </c>
      <c r="D7000" s="17" t="s">
        <v>10507</v>
      </c>
      <c r="E7000" s="17"/>
      <c r="F7000" s="17" t="s">
        <v>10780</v>
      </c>
      <c r="G7000" s="17"/>
      <c r="H7000" s="17" t="s">
        <v>12908</v>
      </c>
      <c r="I7000" s="17"/>
      <c r="J7000" s="17" t="s">
        <v>14018</v>
      </c>
      <c r="K7000" s="17"/>
      <c r="L7000" s="17" t="s">
        <v>14019</v>
      </c>
      <c r="M7000" s="17"/>
      <c r="N7000" s="17" t="s">
        <v>14020</v>
      </c>
      <c r="O7000" s="17"/>
      <c r="P7000" s="17" t="s">
        <v>14040</v>
      </c>
      <c r="Q7000" s="17"/>
      <c r="R7000" s="25" t="str">
        <f>HYPERLINK("https://ictv.global/taxonomy/taxondetails?taxnode_id=202303419","Begomovirus solanumchinaense")</f>
        <v>Begomovirus solanumchinaense</v>
      </c>
      <c r="S7000" s="18" t="s">
        <v>8141</v>
      </c>
      <c r="T7000" s="18" t="s">
        <v>15543</v>
      </c>
      <c r="U7000" s="18" t="s">
        <v>15547</v>
      </c>
      <c r="V7000" s="18" t="s">
        <v>15548</v>
      </c>
      <c r="W7000" s="18" t="s">
        <v>49172</v>
      </c>
      <c r="X7000" s="18" t="s">
        <v>42</v>
      </c>
      <c r="Y7000" s="18" t="s">
        <v>12266</v>
      </c>
      <c r="Z7000" s="18" t="s">
        <v>13441</v>
      </c>
      <c r="AA7000" s="21" t="str">
        <f>HYPERLINK("https://www.ncbi.nlm.nih.gov/nuccore/JF681158","NCBI Nucleotide")</f>
        <v>NCBI Nucleotide</v>
      </c>
    </row>
    <row r="7001" spans="1:27" x14ac:dyDescent="0.35">
      <c r="A7001">
        <v>1012614</v>
      </c>
      <c r="B7001">
        <v>6557</v>
      </c>
      <c r="C7001">
        <v>3</v>
      </c>
      <c r="D7001" s="17" t="s">
        <v>10507</v>
      </c>
      <c r="E7001" s="17"/>
      <c r="F7001" s="17" t="s">
        <v>10780</v>
      </c>
      <c r="G7001" s="17"/>
      <c r="H7001" s="17" t="s">
        <v>12908</v>
      </c>
      <c r="I7001" s="17"/>
      <c r="J7001" s="17" t="s">
        <v>14018</v>
      </c>
      <c r="K7001" s="17"/>
      <c r="L7001" s="17" t="s">
        <v>14019</v>
      </c>
      <c r="M7001" s="17"/>
      <c r="N7001" s="17" t="s">
        <v>14020</v>
      </c>
      <c r="O7001" s="17"/>
      <c r="P7001" s="17" t="s">
        <v>14040</v>
      </c>
      <c r="Q7001" s="17"/>
      <c r="R7001" s="25" t="str">
        <f>HYPERLINK("https://ictv.global/taxonomy/taxondetails?taxnode_id=202303419","Begomovirus solanumchinaense")</f>
        <v>Begomovirus solanumchinaense</v>
      </c>
      <c r="S7001" s="18" t="s">
        <v>8141</v>
      </c>
      <c r="T7001" s="18" t="s">
        <v>15543</v>
      </c>
      <c r="U7001" s="18" t="s">
        <v>15549</v>
      </c>
      <c r="V7001" s="18" t="s">
        <v>15550</v>
      </c>
      <c r="W7001" s="18" t="s">
        <v>49173</v>
      </c>
      <c r="X7001" s="18" t="s">
        <v>42</v>
      </c>
      <c r="Y7001" s="18" t="s">
        <v>12266</v>
      </c>
      <c r="Z7001" s="18" t="s">
        <v>13441</v>
      </c>
      <c r="AA7001" s="21" t="str">
        <f>HYPERLINK("https://www.ncbi.nlm.nih.gov/nuccore/AJ558119","NCBI Nucleotide")</f>
        <v>NCBI Nucleotide</v>
      </c>
    </row>
    <row r="7002" spans="1:27" x14ac:dyDescent="0.35">
      <c r="A7002">
        <v>1012615</v>
      </c>
      <c r="B7002">
        <v>6557</v>
      </c>
      <c r="C7002">
        <v>4</v>
      </c>
      <c r="D7002" s="17" t="s">
        <v>10507</v>
      </c>
      <c r="E7002" s="17"/>
      <c r="F7002" s="17" t="s">
        <v>10780</v>
      </c>
      <c r="G7002" s="17"/>
      <c r="H7002" s="17" t="s">
        <v>12908</v>
      </c>
      <c r="I7002" s="17"/>
      <c r="J7002" s="17" t="s">
        <v>14018</v>
      </c>
      <c r="K7002" s="17"/>
      <c r="L7002" s="17" t="s">
        <v>14019</v>
      </c>
      <c r="M7002" s="17"/>
      <c r="N7002" s="17" t="s">
        <v>14020</v>
      </c>
      <c r="O7002" s="17"/>
      <c r="P7002" s="17" t="s">
        <v>14040</v>
      </c>
      <c r="Q7002" s="17"/>
      <c r="R7002" s="25" t="str">
        <f>HYPERLINK("https://ictv.global/taxonomy/taxondetails?taxnode_id=202303419","Begomovirus solanumchinaense")</f>
        <v>Begomovirus solanumchinaense</v>
      </c>
      <c r="S7002" s="18" t="s">
        <v>8141</v>
      </c>
      <c r="T7002" s="18" t="s">
        <v>15543</v>
      </c>
      <c r="U7002" s="18" t="s">
        <v>15551</v>
      </c>
      <c r="V7002" s="18" t="s">
        <v>15552</v>
      </c>
      <c r="W7002" s="18" t="s">
        <v>49174</v>
      </c>
      <c r="X7002" s="18" t="s">
        <v>42</v>
      </c>
      <c r="Y7002" s="18" t="s">
        <v>12266</v>
      </c>
      <c r="Z7002" s="18" t="s">
        <v>13441</v>
      </c>
      <c r="AA7002" s="21" t="str">
        <f>HYPERLINK("https://www.ncbi.nlm.nih.gov/nuccore/AJ704603","NCBI Nucleotide")</f>
        <v>NCBI Nucleotide</v>
      </c>
    </row>
    <row r="7003" spans="1:27" x14ac:dyDescent="0.35">
      <c r="A7003">
        <v>1007924</v>
      </c>
      <c r="B7003">
        <v>6558</v>
      </c>
      <c r="C7003">
        <v>1</v>
      </c>
      <c r="D7003" s="17" t="s">
        <v>10507</v>
      </c>
      <c r="E7003" s="17"/>
      <c r="F7003" s="17" t="s">
        <v>10780</v>
      </c>
      <c r="G7003" s="17"/>
      <c r="H7003" s="17" t="s">
        <v>12908</v>
      </c>
      <c r="I7003" s="17"/>
      <c r="J7003" s="17" t="s">
        <v>14018</v>
      </c>
      <c r="K7003" s="17"/>
      <c r="L7003" s="17" t="s">
        <v>14019</v>
      </c>
      <c r="M7003" s="17"/>
      <c r="N7003" s="17" t="s">
        <v>14020</v>
      </c>
      <c r="O7003" s="17"/>
      <c r="P7003" s="17" t="s">
        <v>14040</v>
      </c>
      <c r="Q7003" s="17"/>
      <c r="R7003" s="25" t="str">
        <f>HYPERLINK("https://ictv.global/taxonomy/taxondetails?taxnode_id=202303420","Begomovirus solanumcomorosense")</f>
        <v>Begomovirus solanumcomorosense</v>
      </c>
      <c r="S7003" s="18" t="s">
        <v>30</v>
      </c>
      <c r="T7003" s="18" t="s">
        <v>15553</v>
      </c>
      <c r="U7003" s="18" t="s">
        <v>15554</v>
      </c>
      <c r="V7003" s="18" t="s">
        <v>15555</v>
      </c>
      <c r="W7003" s="18" t="s">
        <v>41559</v>
      </c>
      <c r="X7003" s="18" t="s">
        <v>42</v>
      </c>
      <c r="Y7003" s="18" t="s">
        <v>12266</v>
      </c>
      <c r="Z7003" s="18" t="s">
        <v>13441</v>
      </c>
      <c r="AA7003" s="21" t="str">
        <f>HYPERLINK("https://www.ncbi.nlm.nih.gov/nuccore/AJ865340","NCBI Nucleotide")</f>
        <v>NCBI Nucleotide</v>
      </c>
    </row>
    <row r="7004" spans="1:27" x14ac:dyDescent="0.35">
      <c r="A7004">
        <v>1012616</v>
      </c>
      <c r="B7004">
        <v>6558</v>
      </c>
      <c r="C7004">
        <v>2</v>
      </c>
      <c r="D7004" s="17" t="s">
        <v>10507</v>
      </c>
      <c r="E7004" s="17"/>
      <c r="F7004" s="17" t="s">
        <v>10780</v>
      </c>
      <c r="G7004" s="17"/>
      <c r="H7004" s="17" t="s">
        <v>12908</v>
      </c>
      <c r="I7004" s="17"/>
      <c r="J7004" s="17" t="s">
        <v>14018</v>
      </c>
      <c r="K7004" s="17"/>
      <c r="L7004" s="17" t="s">
        <v>14019</v>
      </c>
      <c r="M7004" s="17"/>
      <c r="N7004" s="17" t="s">
        <v>14020</v>
      </c>
      <c r="O7004" s="17"/>
      <c r="P7004" s="17" t="s">
        <v>14040</v>
      </c>
      <c r="Q7004" s="17"/>
      <c r="R7004" s="25" t="str">
        <f>HYPERLINK("https://ictv.global/taxonomy/taxondetails?taxnode_id=202303420","Begomovirus solanumcomorosense")</f>
        <v>Begomovirus solanumcomorosense</v>
      </c>
      <c r="S7004" s="18" t="s">
        <v>8141</v>
      </c>
      <c r="T7004" s="18" t="s">
        <v>15553</v>
      </c>
      <c r="U7004" s="18" t="s">
        <v>15556</v>
      </c>
      <c r="V7004" s="18" t="s">
        <v>15557</v>
      </c>
      <c r="W7004" s="18" t="s">
        <v>49175</v>
      </c>
      <c r="X7004" s="18" t="s">
        <v>42</v>
      </c>
      <c r="Y7004" s="18" t="s">
        <v>12266</v>
      </c>
      <c r="Z7004" s="18" t="s">
        <v>13441</v>
      </c>
      <c r="AA7004" s="21" t="str">
        <f>HYPERLINK("https://www.ncbi.nlm.nih.gov/nuccore/AM701761","NCBI Nucleotide")</f>
        <v>NCBI Nucleotide</v>
      </c>
    </row>
    <row r="7005" spans="1:27" x14ac:dyDescent="0.35">
      <c r="A7005">
        <v>1007974</v>
      </c>
      <c r="B7005">
        <v>6559</v>
      </c>
      <c r="C7005">
        <v>1</v>
      </c>
      <c r="D7005" s="17" t="s">
        <v>10507</v>
      </c>
      <c r="E7005" s="17"/>
      <c r="F7005" s="17" t="s">
        <v>10780</v>
      </c>
      <c r="G7005" s="17"/>
      <c r="H7005" s="17" t="s">
        <v>12908</v>
      </c>
      <c r="I7005" s="17"/>
      <c r="J7005" s="17" t="s">
        <v>14018</v>
      </c>
      <c r="K7005" s="17"/>
      <c r="L7005" s="17" t="s">
        <v>14019</v>
      </c>
      <c r="M7005" s="17"/>
      <c r="N7005" s="17" t="s">
        <v>14020</v>
      </c>
      <c r="O7005" s="17"/>
      <c r="P7005" s="17" t="s">
        <v>14040</v>
      </c>
      <c r="Q7005" s="17"/>
      <c r="R7005" s="25" t="str">
        <f>HYPERLINK("https://ictv.global/taxonomy/taxondetails?taxnode_id=202303463","Begomovirus solanumcontorsionis")</f>
        <v>Begomovirus solanumcontorsionis</v>
      </c>
      <c r="S7005" s="18" t="s">
        <v>30</v>
      </c>
      <c r="T7005" s="18" t="s">
        <v>15749</v>
      </c>
      <c r="U7005" s="18" t="s">
        <v>15750</v>
      </c>
      <c r="V7005" s="18" t="s">
        <v>15751</v>
      </c>
      <c r="W7005" s="18" t="s">
        <v>15752</v>
      </c>
      <c r="X7005" s="18" t="s">
        <v>42</v>
      </c>
      <c r="Y7005" s="18" t="s">
        <v>12266</v>
      </c>
      <c r="Z7005" s="18" t="s">
        <v>13441</v>
      </c>
      <c r="AA7005" s="21" t="str">
        <f>HYPERLINK("https://www.ncbi.nlm.nih.gov/nuccore/EU710749","NCBI Nucleotide")</f>
        <v>NCBI Nucleotide</v>
      </c>
    </row>
    <row r="7006" spans="1:27" x14ac:dyDescent="0.35">
      <c r="A7006">
        <v>1007990</v>
      </c>
      <c r="B7006">
        <v>6560</v>
      </c>
      <c r="C7006">
        <v>1</v>
      </c>
      <c r="D7006" s="17" t="s">
        <v>10507</v>
      </c>
      <c r="E7006" s="17"/>
      <c r="F7006" s="17" t="s">
        <v>10780</v>
      </c>
      <c r="G7006" s="17"/>
      <c r="H7006" s="17" t="s">
        <v>12908</v>
      </c>
      <c r="I7006" s="17"/>
      <c r="J7006" s="17" t="s">
        <v>14018</v>
      </c>
      <c r="K7006" s="17"/>
      <c r="L7006" s="17" t="s">
        <v>14019</v>
      </c>
      <c r="M7006" s="17"/>
      <c r="N7006" s="17" t="s">
        <v>14020</v>
      </c>
      <c r="O7006" s="17"/>
      <c r="P7006" s="17" t="s">
        <v>14040</v>
      </c>
      <c r="Q7006" s="17"/>
      <c r="R7006" s="25" t="str">
        <f>HYPERLINK("https://ictv.global/taxonomy/taxondetails?taxnode_id=202306716","Begomovirus solanumcrispi")</f>
        <v>Begomovirus solanumcrispi</v>
      </c>
      <c r="S7006" s="18" t="s">
        <v>30</v>
      </c>
      <c r="T7006" s="18" t="s">
        <v>15810</v>
      </c>
      <c r="U7006" s="18" t="s">
        <v>15811</v>
      </c>
      <c r="V7006" s="18" t="s">
        <v>15812</v>
      </c>
      <c r="W7006" s="18" t="s">
        <v>15813</v>
      </c>
      <c r="X7006" s="18" t="s">
        <v>42</v>
      </c>
      <c r="Y7006" s="18" t="s">
        <v>12266</v>
      </c>
      <c r="Z7006" s="18" t="s">
        <v>13441</v>
      </c>
      <c r="AA7006" s="21" t="str">
        <f>HYPERLINK("https://www.ncbi.nlm.nih.gov/nuccore/KY449275,KY449276","NCBI Nucleotide")</f>
        <v>NCBI Nucleotide</v>
      </c>
    </row>
    <row r="7007" spans="1:27" x14ac:dyDescent="0.35">
      <c r="A7007">
        <v>1007951</v>
      </c>
      <c r="B7007">
        <v>6561</v>
      </c>
      <c r="C7007">
        <v>1</v>
      </c>
      <c r="D7007" s="17" t="s">
        <v>10507</v>
      </c>
      <c r="E7007" s="17"/>
      <c r="F7007" s="17" t="s">
        <v>10780</v>
      </c>
      <c r="G7007" s="17"/>
      <c r="H7007" s="17" t="s">
        <v>12908</v>
      </c>
      <c r="I7007" s="17"/>
      <c r="J7007" s="17" t="s">
        <v>14018</v>
      </c>
      <c r="K7007" s="17"/>
      <c r="L7007" s="17" t="s">
        <v>14019</v>
      </c>
      <c r="M7007" s="17"/>
      <c r="N7007" s="17" t="s">
        <v>14020</v>
      </c>
      <c r="O7007" s="17"/>
      <c r="P7007" s="17" t="s">
        <v>14040</v>
      </c>
      <c r="Q7007" s="17"/>
      <c r="R7007" s="25" t="str">
        <f>HYPERLINK("https://ictv.global/taxonomy/taxondetails?taxnode_id=202303442","Begomovirus solanumdelhiense")</f>
        <v>Begomovirus solanumdelhiense</v>
      </c>
      <c r="S7007" s="18" t="s">
        <v>30</v>
      </c>
      <c r="T7007" s="18" t="s">
        <v>15646</v>
      </c>
      <c r="U7007" s="18" t="s">
        <v>15647</v>
      </c>
      <c r="V7007" s="18" t="s">
        <v>15648</v>
      </c>
      <c r="W7007" s="18" t="s">
        <v>15649</v>
      </c>
      <c r="X7007" s="18" t="s">
        <v>42</v>
      </c>
      <c r="Y7007" s="18" t="s">
        <v>12266</v>
      </c>
      <c r="Z7007" s="18" t="s">
        <v>13441</v>
      </c>
      <c r="AA7007" s="21" t="str">
        <f>HYPERLINK("https://www.ncbi.nlm.nih.gov/nuccore/U15015,U15017","NCBI Nucleotide")</f>
        <v>NCBI Nucleotide</v>
      </c>
    </row>
    <row r="7008" spans="1:27" x14ac:dyDescent="0.35">
      <c r="A7008">
        <v>1007953</v>
      </c>
      <c r="B7008">
        <v>6562</v>
      </c>
      <c r="C7008">
        <v>1</v>
      </c>
      <c r="D7008" s="17" t="s">
        <v>10507</v>
      </c>
      <c r="E7008" s="17"/>
      <c r="F7008" s="17" t="s">
        <v>10780</v>
      </c>
      <c r="G7008" s="17"/>
      <c r="H7008" s="17" t="s">
        <v>12908</v>
      </c>
      <c r="I7008" s="17"/>
      <c r="J7008" s="17" t="s">
        <v>14018</v>
      </c>
      <c r="K7008" s="17"/>
      <c r="L7008" s="17" t="s">
        <v>14019</v>
      </c>
      <c r="M7008" s="17"/>
      <c r="N7008" s="17" t="s">
        <v>14020</v>
      </c>
      <c r="O7008" s="17"/>
      <c r="P7008" s="17" t="s">
        <v>14040</v>
      </c>
      <c r="Q7008" s="17"/>
      <c r="R7008" s="25" t="str">
        <f>HYPERLINK("https://ictv.global/taxonomy/taxondetails?taxnode_id=202303444","Begomovirus solanumdelhiquarti")</f>
        <v>Begomovirus solanumdelhiquarti</v>
      </c>
      <c r="S7008" s="18" t="s">
        <v>30</v>
      </c>
      <c r="T7008" s="18" t="s">
        <v>15653</v>
      </c>
      <c r="U7008" s="18" t="s">
        <v>15654</v>
      </c>
      <c r="V7008" s="18" t="s">
        <v>15655</v>
      </c>
      <c r="W7008" s="18" t="s">
        <v>15656</v>
      </c>
      <c r="X7008" s="18" t="s">
        <v>42</v>
      </c>
      <c r="Y7008" s="18" t="s">
        <v>12266</v>
      </c>
      <c r="Z7008" s="18" t="s">
        <v>13441</v>
      </c>
      <c r="AA7008" s="21" t="str">
        <f>HYPERLINK("https://www.ncbi.nlm.nih.gov/nuccore/KF551592","NCBI Nucleotide")</f>
        <v>NCBI Nucleotide</v>
      </c>
    </row>
    <row r="7009" spans="1:27" x14ac:dyDescent="0.35">
      <c r="A7009">
        <v>1007954</v>
      </c>
      <c r="B7009">
        <v>6563</v>
      </c>
      <c r="C7009">
        <v>1</v>
      </c>
      <c r="D7009" s="17" t="s">
        <v>10507</v>
      </c>
      <c r="E7009" s="17"/>
      <c r="F7009" s="17" t="s">
        <v>10780</v>
      </c>
      <c r="G7009" s="17"/>
      <c r="H7009" s="17" t="s">
        <v>12908</v>
      </c>
      <c r="I7009" s="17"/>
      <c r="J7009" s="17" t="s">
        <v>14018</v>
      </c>
      <c r="K7009" s="17"/>
      <c r="L7009" s="17" t="s">
        <v>14019</v>
      </c>
      <c r="M7009" s="17"/>
      <c r="N7009" s="17" t="s">
        <v>14020</v>
      </c>
      <c r="O7009" s="17"/>
      <c r="P7009" s="17" t="s">
        <v>14040</v>
      </c>
      <c r="Q7009" s="17"/>
      <c r="R7009" s="25" t="str">
        <f>HYPERLINK("https://ictv.global/taxonomy/taxondetails?taxnode_id=202306711","Begomovirus solanumdelhiquinti")</f>
        <v>Begomovirus solanumdelhiquinti</v>
      </c>
      <c r="S7009" s="18" t="s">
        <v>30</v>
      </c>
      <c r="T7009" s="18" t="s">
        <v>15657</v>
      </c>
      <c r="U7009" s="18" t="s">
        <v>15658</v>
      </c>
      <c r="V7009" s="18" t="s">
        <v>15659</v>
      </c>
      <c r="W7009" s="18" t="s">
        <v>41560</v>
      </c>
      <c r="X7009" s="18" t="s">
        <v>42</v>
      </c>
      <c r="Y7009" s="18" t="s">
        <v>12266</v>
      </c>
      <c r="Z7009" s="18" t="s">
        <v>13441</v>
      </c>
      <c r="AA7009" s="21" t="str">
        <f>HYPERLINK("https://www.ncbi.nlm.nih.gov/nuccore/EF450316","NCBI Nucleotide")</f>
        <v>NCBI Nucleotide</v>
      </c>
    </row>
    <row r="7010" spans="1:27" x14ac:dyDescent="0.35">
      <c r="A7010">
        <v>1007952</v>
      </c>
      <c r="B7010">
        <v>6564</v>
      </c>
      <c r="C7010">
        <v>1</v>
      </c>
      <c r="D7010" s="17" t="s">
        <v>10507</v>
      </c>
      <c r="E7010" s="17"/>
      <c r="F7010" s="17" t="s">
        <v>10780</v>
      </c>
      <c r="G7010" s="17"/>
      <c r="H7010" s="17" t="s">
        <v>12908</v>
      </c>
      <c r="I7010" s="17"/>
      <c r="J7010" s="17" t="s">
        <v>14018</v>
      </c>
      <c r="K7010" s="17"/>
      <c r="L7010" s="17" t="s">
        <v>14019</v>
      </c>
      <c r="M7010" s="17"/>
      <c r="N7010" s="17" t="s">
        <v>14020</v>
      </c>
      <c r="O7010" s="17"/>
      <c r="P7010" s="17" t="s">
        <v>14040</v>
      </c>
      <c r="Q7010" s="17"/>
      <c r="R7010" s="25" t="str">
        <f>HYPERLINK("https://ictv.global/taxonomy/taxondetails?taxnode_id=202303443","Begomovirus solanumdelhisecundi")</f>
        <v>Begomovirus solanumdelhisecundi</v>
      </c>
      <c r="S7010" s="18" t="s">
        <v>30</v>
      </c>
      <c r="T7010" s="18" t="s">
        <v>15650</v>
      </c>
      <c r="U7010" s="18" t="s">
        <v>15651</v>
      </c>
      <c r="V7010" s="18" t="s">
        <v>15652</v>
      </c>
      <c r="W7010" s="18" t="s">
        <v>41561</v>
      </c>
      <c r="X7010" s="18" t="s">
        <v>42</v>
      </c>
      <c r="Y7010" s="18" t="s">
        <v>12266</v>
      </c>
      <c r="Z7010" s="18" t="s">
        <v>13441</v>
      </c>
      <c r="AA7010" s="21" t="str">
        <f>HYPERLINK("https://www.ncbi.nlm.nih.gov/nuccore/JQ897969","NCBI Nucleotide")</f>
        <v>NCBI Nucleotide</v>
      </c>
    </row>
    <row r="7011" spans="1:27" x14ac:dyDescent="0.35">
      <c r="A7011">
        <v>1007973</v>
      </c>
      <c r="B7011">
        <v>6565</v>
      </c>
      <c r="C7011">
        <v>1</v>
      </c>
      <c r="D7011" s="17" t="s">
        <v>10507</v>
      </c>
      <c r="E7011" s="17"/>
      <c r="F7011" s="17" t="s">
        <v>10780</v>
      </c>
      <c r="G7011" s="17"/>
      <c r="H7011" s="17" t="s">
        <v>12908</v>
      </c>
      <c r="I7011" s="17"/>
      <c r="J7011" s="17" t="s">
        <v>14018</v>
      </c>
      <c r="K7011" s="17"/>
      <c r="L7011" s="17" t="s">
        <v>14019</v>
      </c>
      <c r="M7011" s="17"/>
      <c r="N7011" s="17" t="s">
        <v>14020</v>
      </c>
      <c r="O7011" s="17"/>
      <c r="P7011" s="17" t="s">
        <v>14040</v>
      </c>
      <c r="Q7011" s="17"/>
      <c r="R7011" s="25" t="str">
        <f>HYPERLINK("https://ictv.global/taxonomy/taxondetails?taxnode_id=202303462","Begomovirus solanumdepravationis")</f>
        <v>Begomovirus solanumdepravationis</v>
      </c>
      <c r="S7011" s="18" t="s">
        <v>30</v>
      </c>
      <c r="T7011" s="18" t="s">
        <v>15745</v>
      </c>
      <c r="U7011" s="18" t="s">
        <v>15746</v>
      </c>
      <c r="V7011" s="18" t="s">
        <v>15747</v>
      </c>
      <c r="W7011" s="18" t="s">
        <v>15748</v>
      </c>
      <c r="X7011" s="18" t="s">
        <v>42</v>
      </c>
      <c r="Y7011" s="18" t="s">
        <v>12266</v>
      </c>
      <c r="Z7011" s="18" t="s">
        <v>13441</v>
      </c>
      <c r="AA7011" s="21" t="str">
        <f>HYPERLINK("https://www.ncbi.nlm.nih.gov/nuccore/GQ334472","NCBI Nucleotide")</f>
        <v>NCBI Nucleotide</v>
      </c>
    </row>
    <row r="7012" spans="1:27" x14ac:dyDescent="0.35">
      <c r="A7012">
        <v>1007925</v>
      </c>
      <c r="B7012">
        <v>6566</v>
      </c>
      <c r="C7012">
        <v>1</v>
      </c>
      <c r="D7012" s="17" t="s">
        <v>10507</v>
      </c>
      <c r="E7012" s="17"/>
      <c r="F7012" s="17" t="s">
        <v>10780</v>
      </c>
      <c r="G7012" s="17"/>
      <c r="H7012" s="17" t="s">
        <v>12908</v>
      </c>
      <c r="I7012" s="17"/>
      <c r="J7012" s="17" t="s">
        <v>14018</v>
      </c>
      <c r="K7012" s="17"/>
      <c r="L7012" s="17" t="s">
        <v>14019</v>
      </c>
      <c r="M7012" s="17"/>
      <c r="N7012" s="17" t="s">
        <v>14020</v>
      </c>
      <c r="O7012" s="17"/>
      <c r="P7012" s="17" t="s">
        <v>14040</v>
      </c>
      <c r="Q7012" s="17"/>
      <c r="R7012" s="25" t="str">
        <f>HYPERLINK("https://ictv.global/taxonomy/taxondetails?taxnode_id=202303421","Begomovirus solanumdianaense")</f>
        <v>Begomovirus solanumdianaense</v>
      </c>
      <c r="S7012" s="18" t="s">
        <v>30</v>
      </c>
      <c r="T7012" s="18" t="s">
        <v>15558</v>
      </c>
      <c r="U7012" s="18" t="s">
        <v>15559</v>
      </c>
      <c r="V7012" s="18" t="s">
        <v>15560</v>
      </c>
      <c r="W7012" s="18" t="s">
        <v>41562</v>
      </c>
      <c r="X7012" s="18" t="s">
        <v>42</v>
      </c>
      <c r="Y7012" s="18" t="s">
        <v>12266</v>
      </c>
      <c r="Z7012" s="18" t="s">
        <v>13441</v>
      </c>
      <c r="AA7012" s="21" t="str">
        <f>HYPERLINK("https://www.ncbi.nlm.nih.gov/nuccore/AM701765","NCBI Nucleotide")</f>
        <v>NCBI Nucleotide</v>
      </c>
    </row>
    <row r="7013" spans="1:27" x14ac:dyDescent="0.35">
      <c r="A7013">
        <v>1007900</v>
      </c>
      <c r="B7013">
        <v>6567</v>
      </c>
      <c r="C7013">
        <v>1</v>
      </c>
      <c r="D7013" s="17" t="s">
        <v>10507</v>
      </c>
      <c r="E7013" s="17"/>
      <c r="F7013" s="17" t="s">
        <v>10780</v>
      </c>
      <c r="G7013" s="17"/>
      <c r="H7013" s="17" t="s">
        <v>12908</v>
      </c>
      <c r="I7013" s="17"/>
      <c r="J7013" s="17" t="s">
        <v>14018</v>
      </c>
      <c r="K7013" s="17"/>
      <c r="L7013" s="17" t="s">
        <v>14019</v>
      </c>
      <c r="M7013" s="17"/>
      <c r="N7013" s="17" t="s">
        <v>14020</v>
      </c>
      <c r="O7013" s="17"/>
      <c r="P7013" s="17" t="s">
        <v>14040</v>
      </c>
      <c r="Q7013" s="17"/>
      <c r="R7013" s="25" t="str">
        <f>HYPERLINK("https://ictv.global/taxonomy/taxondetails?taxnode_id=202303402","Begomovirus solanumflavariati")</f>
        <v>Begomovirus solanumflavariati</v>
      </c>
      <c r="S7013" s="18" t="s">
        <v>30</v>
      </c>
      <c r="T7013" s="18" t="s">
        <v>15443</v>
      </c>
      <c r="U7013" s="18" t="s">
        <v>15444</v>
      </c>
      <c r="V7013" s="18" t="s">
        <v>15445</v>
      </c>
      <c r="W7013" s="18" t="s">
        <v>15446</v>
      </c>
      <c r="X7013" s="18" t="s">
        <v>42</v>
      </c>
      <c r="Y7013" s="18" t="s">
        <v>12266</v>
      </c>
      <c r="Z7013" s="18" t="s">
        <v>13441</v>
      </c>
      <c r="AA7013" s="21" t="str">
        <f>HYPERLINK("https://www.ncbi.nlm.nih.gov/nuccore/KC791691","NCBI Nucleotide")</f>
        <v>NCBI Nucleotide</v>
      </c>
    </row>
    <row r="7014" spans="1:27" x14ac:dyDescent="0.35">
      <c r="A7014">
        <v>1007639</v>
      </c>
      <c r="B7014">
        <v>6568</v>
      </c>
      <c r="C7014">
        <v>1</v>
      </c>
      <c r="D7014" s="17" t="s">
        <v>10507</v>
      </c>
      <c r="E7014" s="17"/>
      <c r="F7014" s="17" t="s">
        <v>10780</v>
      </c>
      <c r="G7014" s="17"/>
      <c r="H7014" s="17" t="s">
        <v>12908</v>
      </c>
      <c r="I7014" s="17"/>
      <c r="J7014" s="17" t="s">
        <v>14018</v>
      </c>
      <c r="K7014" s="17"/>
      <c r="L7014" s="17" t="s">
        <v>14019</v>
      </c>
      <c r="M7014" s="17"/>
      <c r="N7014" s="17" t="s">
        <v>14020</v>
      </c>
      <c r="O7014" s="17"/>
      <c r="P7014" s="17" t="s">
        <v>14040</v>
      </c>
      <c r="Q7014" s="17"/>
      <c r="R7014" s="25" t="str">
        <f>HYPERLINK("https://ictv.global/taxonomy/taxondetails?taxnode_id=202303212","Begomovirus solanumflavi")</f>
        <v>Begomovirus solanumflavi</v>
      </c>
      <c r="S7014" s="18" t="s">
        <v>30</v>
      </c>
      <c r="T7014" s="18" t="s">
        <v>14280</v>
      </c>
      <c r="U7014" s="18" t="s">
        <v>14281</v>
      </c>
      <c r="V7014" s="18" t="s">
        <v>14282</v>
      </c>
      <c r="W7014" s="18" t="s">
        <v>14283</v>
      </c>
      <c r="X7014" s="18" t="s">
        <v>42</v>
      </c>
      <c r="Y7014" s="18" t="s">
        <v>12266</v>
      </c>
      <c r="Z7014" s="18" t="s">
        <v>13441</v>
      </c>
      <c r="AA7014" s="21" t="str">
        <f>HYPERLINK("https://www.ncbi.nlm.nih.gov/nuccore/AF101476,AF101478","NCBI Nucleotide")</f>
        <v>NCBI Nucleotide</v>
      </c>
    </row>
    <row r="7015" spans="1:27" x14ac:dyDescent="0.35">
      <c r="A7015">
        <v>1012491</v>
      </c>
      <c r="B7015">
        <v>6568</v>
      </c>
      <c r="C7015">
        <v>2</v>
      </c>
      <c r="D7015" s="17" t="s">
        <v>10507</v>
      </c>
      <c r="E7015" s="17"/>
      <c r="F7015" s="17" t="s">
        <v>10780</v>
      </c>
      <c r="G7015" s="17"/>
      <c r="H7015" s="17" t="s">
        <v>12908</v>
      </c>
      <c r="I7015" s="17"/>
      <c r="J7015" s="17" t="s">
        <v>14018</v>
      </c>
      <c r="K7015" s="17"/>
      <c r="L7015" s="17" t="s">
        <v>14019</v>
      </c>
      <c r="M7015" s="17"/>
      <c r="N7015" s="17" t="s">
        <v>14020</v>
      </c>
      <c r="O7015" s="17"/>
      <c r="P7015" s="17" t="s">
        <v>14040</v>
      </c>
      <c r="Q7015" s="17"/>
      <c r="R7015" s="25" t="str">
        <f>HYPERLINK("https://ictv.global/taxonomy/taxondetails?taxnode_id=202303212","Begomovirus solanumflavi")</f>
        <v>Begomovirus solanumflavi</v>
      </c>
      <c r="S7015" s="18" t="s">
        <v>8141</v>
      </c>
      <c r="T7015" s="18" t="s">
        <v>14280</v>
      </c>
      <c r="U7015" s="18" t="s">
        <v>14284</v>
      </c>
      <c r="V7015" s="18" t="s">
        <v>14285</v>
      </c>
      <c r="W7015" s="18" t="s">
        <v>49176</v>
      </c>
      <c r="X7015" s="18" t="s">
        <v>42</v>
      </c>
      <c r="Y7015" s="18" t="s">
        <v>12266</v>
      </c>
      <c r="Z7015" s="18" t="s">
        <v>13441</v>
      </c>
      <c r="AA7015" s="21" t="str">
        <f>HYPERLINK("https://www.ncbi.nlm.nih.gov/nuccore/AY751753","NCBI Nucleotide")</f>
        <v>NCBI Nucleotide</v>
      </c>
    </row>
    <row r="7016" spans="1:27" x14ac:dyDescent="0.35">
      <c r="A7016">
        <v>1012492</v>
      </c>
      <c r="B7016">
        <v>6568</v>
      </c>
      <c r="C7016">
        <v>3</v>
      </c>
      <c r="D7016" s="17" t="s">
        <v>10507</v>
      </c>
      <c r="E7016" s="17"/>
      <c r="F7016" s="17" t="s">
        <v>10780</v>
      </c>
      <c r="G7016" s="17"/>
      <c r="H7016" s="17" t="s">
        <v>12908</v>
      </c>
      <c r="I7016" s="17"/>
      <c r="J7016" s="17" t="s">
        <v>14018</v>
      </c>
      <c r="K7016" s="17"/>
      <c r="L7016" s="17" t="s">
        <v>14019</v>
      </c>
      <c r="M7016" s="17"/>
      <c r="N7016" s="17" t="s">
        <v>14020</v>
      </c>
      <c r="O7016" s="17"/>
      <c r="P7016" s="17" t="s">
        <v>14040</v>
      </c>
      <c r="Q7016" s="17"/>
      <c r="R7016" s="25" t="str">
        <f>HYPERLINK("https://ictv.global/taxonomy/taxondetails?taxnode_id=202303212","Begomovirus solanumflavi")</f>
        <v>Begomovirus solanumflavi</v>
      </c>
      <c r="S7016" s="18" t="s">
        <v>8141</v>
      </c>
      <c r="T7016" s="18" t="s">
        <v>14280</v>
      </c>
      <c r="U7016" s="18" t="s">
        <v>14286</v>
      </c>
      <c r="V7016" s="18" t="s">
        <v>14287</v>
      </c>
      <c r="W7016" s="18" t="s">
        <v>49177</v>
      </c>
      <c r="X7016" s="18" t="s">
        <v>42</v>
      </c>
      <c r="Y7016" s="18" t="s">
        <v>12266</v>
      </c>
      <c r="Z7016" s="18" t="s">
        <v>13441</v>
      </c>
      <c r="AA7016" s="21" t="str">
        <f>HYPERLINK("https://www.ncbi.nlm.nih.gov/nuccore/DQ347945","NCBI Nucleotide")</f>
        <v>NCBI Nucleotide</v>
      </c>
    </row>
    <row r="7017" spans="1:27" x14ac:dyDescent="0.35">
      <c r="A7017">
        <v>1007998</v>
      </c>
      <c r="B7017">
        <v>6569</v>
      </c>
      <c r="C7017">
        <v>1</v>
      </c>
      <c r="D7017" s="17" t="s">
        <v>10507</v>
      </c>
      <c r="E7017" s="17"/>
      <c r="F7017" s="17" t="s">
        <v>10780</v>
      </c>
      <c r="G7017" s="17"/>
      <c r="H7017" s="17" t="s">
        <v>12908</v>
      </c>
      <c r="I7017" s="17"/>
      <c r="J7017" s="17" t="s">
        <v>14018</v>
      </c>
      <c r="K7017" s="17"/>
      <c r="L7017" s="17" t="s">
        <v>14019</v>
      </c>
      <c r="M7017" s="17"/>
      <c r="N7017" s="17" t="s">
        <v>14020</v>
      </c>
      <c r="O7017" s="17"/>
      <c r="P7017" s="17" t="s">
        <v>14040</v>
      </c>
      <c r="Q7017" s="17"/>
      <c r="R7017" s="25" t="str">
        <f>HYPERLINK("https://ictv.global/taxonomy/taxondetails?taxnode_id=202303481","Begomovirus solanumflavusardiniaense")</f>
        <v>Begomovirus solanumflavusardiniaense</v>
      </c>
      <c r="S7017" s="18" t="s">
        <v>30</v>
      </c>
      <c r="T7017" s="18" t="s">
        <v>15854</v>
      </c>
      <c r="U7017" s="18" t="s">
        <v>15855</v>
      </c>
      <c r="V7017" s="18" t="s">
        <v>15856</v>
      </c>
      <c r="W7017" s="18" t="s">
        <v>41563</v>
      </c>
      <c r="X7017" s="18" t="s">
        <v>42</v>
      </c>
      <c r="Y7017" s="18" t="s">
        <v>12266</v>
      </c>
      <c r="Z7017" s="18" t="s">
        <v>13441</v>
      </c>
      <c r="AA7017" s="21" t="str">
        <f>HYPERLINK("https://www.ncbi.nlm.nih.gov/nuccore/X61153","NCBI Nucleotide")</f>
        <v>NCBI Nucleotide</v>
      </c>
    </row>
    <row r="7018" spans="1:27" x14ac:dyDescent="0.35">
      <c r="A7018">
        <v>1007991</v>
      </c>
      <c r="B7018">
        <v>6570</v>
      </c>
      <c r="C7018">
        <v>1</v>
      </c>
      <c r="D7018" s="17" t="s">
        <v>10507</v>
      </c>
      <c r="E7018" s="17"/>
      <c r="F7018" s="17" t="s">
        <v>10780</v>
      </c>
      <c r="G7018" s="17"/>
      <c r="H7018" s="17" t="s">
        <v>12908</v>
      </c>
      <c r="I7018" s="17"/>
      <c r="J7018" s="17" t="s">
        <v>14018</v>
      </c>
      <c r="K7018" s="17"/>
      <c r="L7018" s="17" t="s">
        <v>14019</v>
      </c>
      <c r="M7018" s="17"/>
      <c r="N7018" s="17" t="s">
        <v>14020</v>
      </c>
      <c r="O7018" s="17"/>
      <c r="P7018" s="17" t="s">
        <v>14040</v>
      </c>
      <c r="Q7018" s="17"/>
      <c r="R7018" s="25" t="str">
        <f>HYPERLINK("https://ictv.global/taxonomy/taxondetails?taxnode_id=202303474","Begomovirus solanumflavusaxarquiaense")</f>
        <v>Begomovirus solanumflavusaxarquiaense</v>
      </c>
      <c r="S7018" s="18" t="s">
        <v>30</v>
      </c>
      <c r="T7018" s="18" t="s">
        <v>15814</v>
      </c>
      <c r="U7018" s="18" t="s">
        <v>15815</v>
      </c>
      <c r="V7018" s="18" t="s">
        <v>15816</v>
      </c>
      <c r="W7018" s="18" t="s">
        <v>41564</v>
      </c>
      <c r="X7018" s="18" t="s">
        <v>42</v>
      </c>
      <c r="Y7018" s="18" t="s">
        <v>12266</v>
      </c>
      <c r="Z7018" s="18" t="s">
        <v>13441</v>
      </c>
      <c r="AA7018" s="21" t="str">
        <f>HYPERLINK("https://www.ncbi.nlm.nih.gov/nuccore/EU734831","NCBI Nucleotide")</f>
        <v>NCBI Nucleotide</v>
      </c>
    </row>
    <row r="7019" spans="1:27" x14ac:dyDescent="0.35">
      <c r="A7019">
        <v>1007992</v>
      </c>
      <c r="B7019">
        <v>6571</v>
      </c>
      <c r="C7019">
        <v>1</v>
      </c>
      <c r="D7019" s="17" t="s">
        <v>10507</v>
      </c>
      <c r="E7019" s="17"/>
      <c r="F7019" s="17" t="s">
        <v>10780</v>
      </c>
      <c r="G7019" s="17"/>
      <c r="H7019" s="17" t="s">
        <v>12908</v>
      </c>
      <c r="I7019" s="17"/>
      <c r="J7019" s="17" t="s">
        <v>14018</v>
      </c>
      <c r="K7019" s="17"/>
      <c r="L7019" s="17" t="s">
        <v>14019</v>
      </c>
      <c r="M7019" s="17"/>
      <c r="N7019" s="17" t="s">
        <v>14020</v>
      </c>
      <c r="O7019" s="17"/>
      <c r="P7019" s="17" t="s">
        <v>14040</v>
      </c>
      <c r="Q7019" s="17"/>
      <c r="R7019" s="25" t="str">
        <f t="shared" ref="R7019:R7025" si="26">HYPERLINK("https://ictv.global/taxonomy/taxondetails?taxnode_id=202303475","Begomovirus solanumflavuschinaense")</f>
        <v>Begomovirus solanumflavuschinaense</v>
      </c>
      <c r="S7019" s="18" t="s">
        <v>30</v>
      </c>
      <c r="T7019" s="18" t="s">
        <v>15817</v>
      </c>
      <c r="U7019" s="18" t="s">
        <v>15818</v>
      </c>
      <c r="V7019" s="18" t="s">
        <v>15819</v>
      </c>
      <c r="W7019" s="18" t="s">
        <v>15820</v>
      </c>
      <c r="X7019" s="18" t="s">
        <v>42</v>
      </c>
      <c r="Y7019" s="18" t="s">
        <v>12266</v>
      </c>
      <c r="Z7019" s="18" t="s">
        <v>13441</v>
      </c>
      <c r="AA7019" s="21" t="str">
        <f>HYPERLINK("https://www.ncbi.nlm.nih.gov/nuccore/AF311734","NCBI Nucleotide")</f>
        <v>NCBI Nucleotide</v>
      </c>
    </row>
    <row r="7020" spans="1:27" x14ac:dyDescent="0.35">
      <c r="A7020">
        <v>1012634</v>
      </c>
      <c r="B7020">
        <v>6571</v>
      </c>
      <c r="C7020">
        <v>2</v>
      </c>
      <c r="D7020" s="17" t="s">
        <v>10507</v>
      </c>
      <c r="E7020" s="17"/>
      <c r="F7020" s="17" t="s">
        <v>10780</v>
      </c>
      <c r="G7020" s="17"/>
      <c r="H7020" s="17" t="s">
        <v>12908</v>
      </c>
      <c r="I7020" s="17"/>
      <c r="J7020" s="17" t="s">
        <v>14018</v>
      </c>
      <c r="K7020" s="17"/>
      <c r="L7020" s="17" t="s">
        <v>14019</v>
      </c>
      <c r="M7020" s="17"/>
      <c r="N7020" s="17" t="s">
        <v>14020</v>
      </c>
      <c r="O7020" s="17"/>
      <c r="P7020" s="17" t="s">
        <v>14040</v>
      </c>
      <c r="Q7020" s="17"/>
      <c r="R7020" s="25" t="str">
        <f t="shared" si="26"/>
        <v>Begomovirus solanumflavuschinaense</v>
      </c>
      <c r="S7020" s="18" t="s">
        <v>8141</v>
      </c>
      <c r="T7020" s="18" t="s">
        <v>15817</v>
      </c>
      <c r="U7020" s="18" t="s">
        <v>15821</v>
      </c>
      <c r="V7020" s="18" t="s">
        <v>15822</v>
      </c>
      <c r="W7020" s="18" t="s">
        <v>49178</v>
      </c>
      <c r="X7020" s="18" t="s">
        <v>42</v>
      </c>
      <c r="Y7020" s="18" t="s">
        <v>12266</v>
      </c>
      <c r="Z7020" s="18" t="s">
        <v>13441</v>
      </c>
      <c r="AA7020" s="21" t="str">
        <f>HYPERLINK("https://www.ncbi.nlm.nih.gov/nuccore/AJ319675","NCBI Nucleotide")</f>
        <v>NCBI Nucleotide</v>
      </c>
    </row>
    <row r="7021" spans="1:27" x14ac:dyDescent="0.35">
      <c r="A7021">
        <v>1012635</v>
      </c>
      <c r="B7021">
        <v>6571</v>
      </c>
      <c r="C7021">
        <v>3</v>
      </c>
      <c r="D7021" s="17" t="s">
        <v>10507</v>
      </c>
      <c r="E7021" s="17"/>
      <c r="F7021" s="17" t="s">
        <v>10780</v>
      </c>
      <c r="G7021" s="17"/>
      <c r="H7021" s="17" t="s">
        <v>12908</v>
      </c>
      <c r="I7021" s="17"/>
      <c r="J7021" s="17" t="s">
        <v>14018</v>
      </c>
      <c r="K7021" s="17"/>
      <c r="L7021" s="17" t="s">
        <v>14019</v>
      </c>
      <c r="M7021" s="17"/>
      <c r="N7021" s="17" t="s">
        <v>14020</v>
      </c>
      <c r="O7021" s="17"/>
      <c r="P7021" s="17" t="s">
        <v>14040</v>
      </c>
      <c r="Q7021" s="17"/>
      <c r="R7021" s="25" t="str">
        <f t="shared" si="26"/>
        <v>Begomovirus solanumflavuschinaense</v>
      </c>
      <c r="S7021" s="18" t="s">
        <v>8141</v>
      </c>
      <c r="T7021" s="18" t="s">
        <v>15817</v>
      </c>
      <c r="U7021" s="18" t="s">
        <v>15823</v>
      </c>
      <c r="V7021" s="18" t="s">
        <v>15824</v>
      </c>
      <c r="W7021" s="18" t="s">
        <v>49179</v>
      </c>
      <c r="X7021" s="18" t="s">
        <v>42</v>
      </c>
      <c r="Y7021" s="18" t="s">
        <v>12266</v>
      </c>
      <c r="Z7021" s="18" t="s">
        <v>13441</v>
      </c>
      <c r="AA7021" s="21" t="str">
        <f>HYPERLINK("https://www.ncbi.nlm.nih.gov/nuccore/AJ457985","NCBI Nucleotide")</f>
        <v>NCBI Nucleotide</v>
      </c>
    </row>
    <row r="7022" spans="1:27" x14ac:dyDescent="0.35">
      <c r="A7022">
        <v>1012636</v>
      </c>
      <c r="B7022">
        <v>6571</v>
      </c>
      <c r="C7022">
        <v>4</v>
      </c>
      <c r="D7022" s="17" t="s">
        <v>10507</v>
      </c>
      <c r="E7022" s="17"/>
      <c r="F7022" s="17" t="s">
        <v>10780</v>
      </c>
      <c r="G7022" s="17"/>
      <c r="H7022" s="17" t="s">
        <v>12908</v>
      </c>
      <c r="I7022" s="17"/>
      <c r="J7022" s="17" t="s">
        <v>14018</v>
      </c>
      <c r="K7022" s="17"/>
      <c r="L7022" s="17" t="s">
        <v>14019</v>
      </c>
      <c r="M7022" s="17"/>
      <c r="N7022" s="17" t="s">
        <v>14020</v>
      </c>
      <c r="O7022" s="17"/>
      <c r="P7022" s="17" t="s">
        <v>14040</v>
      </c>
      <c r="Q7022" s="17"/>
      <c r="R7022" s="25" t="str">
        <f t="shared" si="26"/>
        <v>Begomovirus solanumflavuschinaense</v>
      </c>
      <c r="S7022" s="18" t="s">
        <v>8141</v>
      </c>
      <c r="T7022" s="18" t="s">
        <v>15817</v>
      </c>
      <c r="U7022" s="18" t="s">
        <v>15825</v>
      </c>
      <c r="V7022" s="18" t="s">
        <v>15826</v>
      </c>
      <c r="W7022" s="18" t="s">
        <v>49180</v>
      </c>
      <c r="X7022" s="18" t="s">
        <v>42</v>
      </c>
      <c r="Y7022" s="18" t="s">
        <v>12266</v>
      </c>
      <c r="Z7022" s="18" t="s">
        <v>13441</v>
      </c>
      <c r="AA7022" s="21" t="str">
        <f>HYPERLINK("https://www.ncbi.nlm.nih.gov/nuccore/AM980509","NCBI Nucleotide")</f>
        <v>NCBI Nucleotide</v>
      </c>
    </row>
    <row r="7023" spans="1:27" x14ac:dyDescent="0.35">
      <c r="A7023">
        <v>1012637</v>
      </c>
      <c r="B7023">
        <v>6571</v>
      </c>
      <c r="C7023">
        <v>5</v>
      </c>
      <c r="D7023" s="17" t="s">
        <v>10507</v>
      </c>
      <c r="E7023" s="17"/>
      <c r="F7023" s="17" t="s">
        <v>10780</v>
      </c>
      <c r="G7023" s="17"/>
      <c r="H7023" s="17" t="s">
        <v>12908</v>
      </c>
      <c r="I7023" s="17"/>
      <c r="J7023" s="17" t="s">
        <v>14018</v>
      </c>
      <c r="K7023" s="17"/>
      <c r="L7023" s="17" t="s">
        <v>14019</v>
      </c>
      <c r="M7023" s="17"/>
      <c r="N7023" s="17" t="s">
        <v>14020</v>
      </c>
      <c r="O7023" s="17"/>
      <c r="P7023" s="17" t="s">
        <v>14040</v>
      </c>
      <c r="Q7023" s="17"/>
      <c r="R7023" s="25" t="str">
        <f t="shared" si="26"/>
        <v>Begomovirus solanumflavuschinaense</v>
      </c>
      <c r="S7023" s="18" t="s">
        <v>8141</v>
      </c>
      <c r="T7023" s="18" t="s">
        <v>15817</v>
      </c>
      <c r="U7023" s="18" t="s">
        <v>15827</v>
      </c>
      <c r="V7023" s="18" t="s">
        <v>15828</v>
      </c>
      <c r="W7023" s="18" t="s">
        <v>49181</v>
      </c>
      <c r="X7023" s="18" t="s">
        <v>42</v>
      </c>
      <c r="Y7023" s="18" t="s">
        <v>12266</v>
      </c>
      <c r="Z7023" s="18" t="s">
        <v>13441</v>
      </c>
      <c r="AA7023" s="21" t="str">
        <f>HYPERLINK("https://www.ncbi.nlm.nih.gov/nuccore/DQ256460","NCBI Nucleotide")</f>
        <v>NCBI Nucleotide</v>
      </c>
    </row>
    <row r="7024" spans="1:27" x14ac:dyDescent="0.35">
      <c r="A7024">
        <v>1012638</v>
      </c>
      <c r="B7024">
        <v>6571</v>
      </c>
      <c r="C7024">
        <v>6</v>
      </c>
      <c r="D7024" s="17" t="s">
        <v>10507</v>
      </c>
      <c r="E7024" s="17"/>
      <c r="F7024" s="17" t="s">
        <v>10780</v>
      </c>
      <c r="G7024" s="17"/>
      <c r="H7024" s="17" t="s">
        <v>12908</v>
      </c>
      <c r="I7024" s="17"/>
      <c r="J7024" s="17" t="s">
        <v>14018</v>
      </c>
      <c r="K7024" s="17"/>
      <c r="L7024" s="17" t="s">
        <v>14019</v>
      </c>
      <c r="M7024" s="17"/>
      <c r="N7024" s="17" t="s">
        <v>14020</v>
      </c>
      <c r="O7024" s="17"/>
      <c r="P7024" s="17" t="s">
        <v>14040</v>
      </c>
      <c r="Q7024" s="17"/>
      <c r="R7024" s="25" t="str">
        <f t="shared" si="26"/>
        <v>Begomovirus solanumflavuschinaense</v>
      </c>
      <c r="S7024" s="18" t="s">
        <v>8141</v>
      </c>
      <c r="T7024" s="18" t="s">
        <v>15817</v>
      </c>
      <c r="U7024" s="18" t="s">
        <v>15829</v>
      </c>
      <c r="V7024" s="18" t="s">
        <v>15830</v>
      </c>
      <c r="W7024" s="18" t="s">
        <v>49182</v>
      </c>
      <c r="X7024" s="18" t="s">
        <v>42</v>
      </c>
      <c r="Y7024" s="18" t="s">
        <v>12266</v>
      </c>
      <c r="Z7024" s="18" t="s">
        <v>13441</v>
      </c>
      <c r="AA7024" s="21" t="str">
        <f>HYPERLINK("https://www.ncbi.nlm.nih.gov/nuccore/AJ319674","NCBI Nucleotide")</f>
        <v>NCBI Nucleotide</v>
      </c>
    </row>
    <row r="7025" spans="1:27" x14ac:dyDescent="0.35">
      <c r="A7025">
        <v>1012639</v>
      </c>
      <c r="B7025">
        <v>6571</v>
      </c>
      <c r="C7025">
        <v>7</v>
      </c>
      <c r="D7025" s="17" t="s">
        <v>10507</v>
      </c>
      <c r="E7025" s="17"/>
      <c r="F7025" s="17" t="s">
        <v>10780</v>
      </c>
      <c r="G7025" s="17"/>
      <c r="H7025" s="17" t="s">
        <v>12908</v>
      </c>
      <c r="I7025" s="17"/>
      <c r="J7025" s="17" t="s">
        <v>14018</v>
      </c>
      <c r="K7025" s="17"/>
      <c r="L7025" s="17" t="s">
        <v>14019</v>
      </c>
      <c r="M7025" s="17"/>
      <c r="N7025" s="17" t="s">
        <v>14020</v>
      </c>
      <c r="O7025" s="17"/>
      <c r="P7025" s="17" t="s">
        <v>14040</v>
      </c>
      <c r="Q7025" s="17"/>
      <c r="R7025" s="25" t="str">
        <f t="shared" si="26"/>
        <v>Begomovirus solanumflavuschinaense</v>
      </c>
      <c r="S7025" s="18" t="s">
        <v>8141</v>
      </c>
      <c r="T7025" s="18" t="s">
        <v>15817</v>
      </c>
      <c r="U7025" s="18" t="s">
        <v>15831</v>
      </c>
      <c r="V7025" s="18" t="s">
        <v>15832</v>
      </c>
      <c r="W7025" s="18" t="s">
        <v>49183</v>
      </c>
      <c r="X7025" s="18" t="s">
        <v>42</v>
      </c>
      <c r="Y7025" s="18" t="s">
        <v>12266</v>
      </c>
      <c r="Z7025" s="18" t="s">
        <v>13441</v>
      </c>
      <c r="AA7025" s="21" t="str">
        <f>HYPERLINK("https://www.ncbi.nlm.nih.gov/nuccore/EF011559","NCBI Nucleotide")</f>
        <v>NCBI Nucleotide</v>
      </c>
    </row>
    <row r="7026" spans="1:27" x14ac:dyDescent="0.35">
      <c r="A7026">
        <v>1008005</v>
      </c>
      <c r="B7026">
        <v>6572</v>
      </c>
      <c r="C7026">
        <v>1</v>
      </c>
      <c r="D7026" s="17" t="s">
        <v>10507</v>
      </c>
      <c r="E7026" s="17"/>
      <c r="F7026" s="17" t="s">
        <v>10780</v>
      </c>
      <c r="G7026" s="17"/>
      <c r="H7026" s="17" t="s">
        <v>12908</v>
      </c>
      <c r="I7026" s="17"/>
      <c r="J7026" s="17" t="s">
        <v>14018</v>
      </c>
      <c r="K7026" s="17"/>
      <c r="L7026" s="17" t="s">
        <v>14019</v>
      </c>
      <c r="M7026" s="17"/>
      <c r="N7026" s="17" t="s">
        <v>14020</v>
      </c>
      <c r="O7026" s="17"/>
      <c r="P7026" s="17" t="s">
        <v>14040</v>
      </c>
      <c r="Q7026" s="17"/>
      <c r="R7026" s="25" t="str">
        <f>HYPERLINK("https://ictv.global/taxonomy/taxondetails?taxnode_id=202303485","Begomovirus solanumflavuscontorsionis")</f>
        <v>Begomovirus solanumflavuscontorsionis</v>
      </c>
      <c r="S7026" s="18" t="s">
        <v>30</v>
      </c>
      <c r="T7026" s="18" t="s">
        <v>15894</v>
      </c>
      <c r="U7026" s="18" t="s">
        <v>15895</v>
      </c>
      <c r="V7026" s="18" t="s">
        <v>15896</v>
      </c>
      <c r="W7026" s="18" t="s">
        <v>15897</v>
      </c>
      <c r="X7026" s="18" t="s">
        <v>42</v>
      </c>
      <c r="Y7026" s="18" t="s">
        <v>12266</v>
      </c>
      <c r="Z7026" s="18" t="s">
        <v>13441</v>
      </c>
      <c r="AA7026" s="21" t="str">
        <f>HYPERLINK("https://www.ncbi.nlm.nih.gov/nuccore/FJ174698,FJ999999","NCBI Nucleotide")</f>
        <v>NCBI Nucleotide</v>
      </c>
    </row>
    <row r="7027" spans="1:27" x14ac:dyDescent="0.35">
      <c r="A7027">
        <v>1008004</v>
      </c>
      <c r="B7027">
        <v>6573</v>
      </c>
      <c r="C7027">
        <v>1</v>
      </c>
      <c r="D7027" s="17" t="s">
        <v>10507</v>
      </c>
      <c r="E7027" s="17"/>
      <c r="F7027" s="17" t="s">
        <v>10780</v>
      </c>
      <c r="G7027" s="17"/>
      <c r="H7027" s="17" t="s">
        <v>12908</v>
      </c>
      <c r="I7027" s="17"/>
      <c r="J7027" s="17" t="s">
        <v>14018</v>
      </c>
      <c r="K7027" s="17"/>
      <c r="L7027" s="17" t="s">
        <v>14019</v>
      </c>
      <c r="M7027" s="17"/>
      <c r="N7027" s="17" t="s">
        <v>14020</v>
      </c>
      <c r="O7027" s="17"/>
      <c r="P7027" s="17" t="s">
        <v>14040</v>
      </c>
      <c r="Q7027" s="17"/>
      <c r="R7027" s="25" t="str">
        <f>HYPERLINK("https://ictv.global/taxonomy/taxondetails?taxnode_id=202309137","Begomovirus solanumflavusdepravationis")</f>
        <v>Begomovirus solanumflavusdepravationis</v>
      </c>
      <c r="S7027" s="18" t="s">
        <v>30</v>
      </c>
      <c r="T7027" s="18" t="s">
        <v>15891</v>
      </c>
      <c r="U7027" s="18" t="s">
        <v>15892</v>
      </c>
      <c r="V7027" s="18" t="s">
        <v>15893</v>
      </c>
      <c r="W7027" s="18" t="s">
        <v>50773</v>
      </c>
      <c r="X7027" s="18" t="s">
        <v>42</v>
      </c>
      <c r="Y7027" s="18" t="s">
        <v>12266</v>
      </c>
      <c r="Z7027" s="18" t="s">
        <v>13441</v>
      </c>
      <c r="AA7027" s="21" t="str">
        <f>HYPERLINK("https://www.ncbi.nlm.nih.gov/nuccore/MN145942,MN145943","NCBI Nucleotide")</f>
        <v>NCBI Nucleotide</v>
      </c>
    </row>
    <row r="7028" spans="1:27" x14ac:dyDescent="0.35">
      <c r="A7028">
        <v>1007993</v>
      </c>
      <c r="B7028">
        <v>6574</v>
      </c>
      <c r="C7028">
        <v>1</v>
      </c>
      <c r="D7028" s="17" t="s">
        <v>10507</v>
      </c>
      <c r="E7028" s="17"/>
      <c r="F7028" s="17" t="s">
        <v>10780</v>
      </c>
      <c r="G7028" s="17"/>
      <c r="H7028" s="17" t="s">
        <v>12908</v>
      </c>
      <c r="I7028" s="17"/>
      <c r="J7028" s="17" t="s">
        <v>14018</v>
      </c>
      <c r="K7028" s="17"/>
      <c r="L7028" s="17" t="s">
        <v>14019</v>
      </c>
      <c r="M7028" s="17"/>
      <c r="N7028" s="17" t="s">
        <v>14020</v>
      </c>
      <c r="O7028" s="17"/>
      <c r="P7028" s="17" t="s">
        <v>14040</v>
      </c>
      <c r="Q7028" s="17"/>
      <c r="R7028" s="25" t="str">
        <f>HYPERLINK("https://ictv.global/taxonomy/taxondetails?taxnode_id=202303476","Begomovirus solanumflavusguangdongense")</f>
        <v>Begomovirus solanumflavusguangdongense</v>
      </c>
      <c r="S7028" s="18" t="s">
        <v>30</v>
      </c>
      <c r="T7028" s="18" t="s">
        <v>15833</v>
      </c>
      <c r="U7028" s="18" t="s">
        <v>15834</v>
      </c>
      <c r="V7028" s="18" t="s">
        <v>15835</v>
      </c>
      <c r="W7028" s="18" t="s">
        <v>15836</v>
      </c>
      <c r="X7028" s="18" t="s">
        <v>42</v>
      </c>
      <c r="Y7028" s="18" t="s">
        <v>12266</v>
      </c>
      <c r="Z7028" s="18" t="s">
        <v>13441</v>
      </c>
      <c r="AA7028" s="21" t="str">
        <f>HYPERLINK("https://www.ncbi.nlm.nih.gov/nuccore/AY602166","NCBI Nucleotide")</f>
        <v>NCBI Nucleotide</v>
      </c>
    </row>
    <row r="7029" spans="1:27" x14ac:dyDescent="0.35">
      <c r="A7029">
        <v>1007999</v>
      </c>
      <c r="B7029">
        <v>6575</v>
      </c>
      <c r="C7029">
        <v>1</v>
      </c>
      <c r="D7029" s="17" t="s">
        <v>10507</v>
      </c>
      <c r="E7029" s="17"/>
      <c r="F7029" s="17" t="s">
        <v>10780</v>
      </c>
      <c r="G7029" s="17"/>
      <c r="H7029" s="17" t="s">
        <v>12908</v>
      </c>
      <c r="I7029" s="17"/>
      <c r="J7029" s="17" t="s">
        <v>14018</v>
      </c>
      <c r="K7029" s="17"/>
      <c r="L7029" s="17" t="s">
        <v>14019</v>
      </c>
      <c r="M7029" s="17"/>
      <c r="N7029" s="17" t="s">
        <v>14020</v>
      </c>
      <c r="O7029" s="17"/>
      <c r="P7029" s="17" t="s">
        <v>14040</v>
      </c>
      <c r="Q7029" s="17"/>
      <c r="R7029" s="25" t="str">
        <f>HYPERLINK("https://ictv.global/taxonomy/taxondetails?taxnode_id=202305840","Begomovirus solanumflavushuangbaiense")</f>
        <v>Begomovirus solanumflavushuangbaiense</v>
      </c>
      <c r="S7029" s="18" t="s">
        <v>30</v>
      </c>
      <c r="T7029" s="18" t="s">
        <v>15857</v>
      </c>
      <c r="U7029" s="18" t="s">
        <v>15858</v>
      </c>
      <c r="V7029" s="18" t="s">
        <v>15859</v>
      </c>
      <c r="W7029" s="18" t="s">
        <v>41565</v>
      </c>
      <c r="X7029" s="18" t="s">
        <v>42</v>
      </c>
      <c r="Y7029" s="18" t="s">
        <v>12266</v>
      </c>
      <c r="Z7029" s="18" t="s">
        <v>13441</v>
      </c>
      <c r="AA7029" s="21" t="str">
        <f>HYPERLINK("https://www.ncbi.nlm.nih.gov/nuccore/KT962229","NCBI Nucleotide")</f>
        <v>NCBI Nucleotide</v>
      </c>
    </row>
    <row r="7030" spans="1:27" x14ac:dyDescent="0.35">
      <c r="A7030">
        <v>1007994</v>
      </c>
      <c r="B7030">
        <v>6576</v>
      </c>
      <c r="C7030">
        <v>1</v>
      </c>
      <c r="D7030" s="17" t="s">
        <v>10507</v>
      </c>
      <c r="E7030" s="17"/>
      <c r="F7030" s="17" t="s">
        <v>10780</v>
      </c>
      <c r="G7030" s="17"/>
      <c r="H7030" s="17" t="s">
        <v>12908</v>
      </c>
      <c r="I7030" s="17"/>
      <c r="J7030" s="17" t="s">
        <v>14018</v>
      </c>
      <c r="K7030" s="17"/>
      <c r="L7030" s="17" t="s">
        <v>14019</v>
      </c>
      <c r="M7030" s="17"/>
      <c r="N7030" s="17" t="s">
        <v>14020</v>
      </c>
      <c r="O7030" s="17"/>
      <c r="P7030" s="17" t="s">
        <v>14040</v>
      </c>
      <c r="Q7030" s="17"/>
      <c r="R7030" s="25" t="str">
        <f>HYPERLINK("https://ictv.global/taxonomy/taxondetails?taxnode_id=202303477","Begomovirus solanumflavusindonesiaense")</f>
        <v>Begomovirus solanumflavusindonesiaense</v>
      </c>
      <c r="S7030" s="18" t="s">
        <v>30</v>
      </c>
      <c r="T7030" s="18" t="s">
        <v>15837</v>
      </c>
      <c r="U7030" s="18" t="s">
        <v>15838</v>
      </c>
      <c r="V7030" s="18" t="s">
        <v>15839</v>
      </c>
      <c r="W7030" s="18" t="s">
        <v>15840</v>
      </c>
      <c r="X7030" s="18" t="s">
        <v>42</v>
      </c>
      <c r="Y7030" s="18" t="s">
        <v>12266</v>
      </c>
      <c r="Z7030" s="18" t="s">
        <v>13441</v>
      </c>
      <c r="AA7030" s="21" t="str">
        <f>HYPERLINK("https://www.ncbi.nlm.nih.gov/nuccore/AF189018","NCBI Nucleotide")</f>
        <v>NCBI Nucleotide</v>
      </c>
    </row>
    <row r="7031" spans="1:27" x14ac:dyDescent="0.35">
      <c r="A7031">
        <v>1007995</v>
      </c>
      <c r="B7031">
        <v>6577</v>
      </c>
      <c r="C7031">
        <v>1</v>
      </c>
      <c r="D7031" s="17" t="s">
        <v>10507</v>
      </c>
      <c r="E7031" s="17"/>
      <c r="F7031" s="17" t="s">
        <v>10780</v>
      </c>
      <c r="G7031" s="17"/>
      <c r="H7031" s="17" t="s">
        <v>12908</v>
      </c>
      <c r="I7031" s="17"/>
      <c r="J7031" s="17" t="s">
        <v>14018</v>
      </c>
      <c r="K7031" s="17"/>
      <c r="L7031" s="17" t="s">
        <v>14019</v>
      </c>
      <c r="M7031" s="17"/>
      <c r="N7031" s="17" t="s">
        <v>14020</v>
      </c>
      <c r="O7031" s="17"/>
      <c r="P7031" s="17" t="s">
        <v>14040</v>
      </c>
      <c r="Q7031" s="17"/>
      <c r="R7031" s="25" t="str">
        <f>HYPERLINK("https://ictv.global/taxonomy/taxondetails?taxnode_id=202303478","Begomovirus solanumflavuskanchanaburiense")</f>
        <v>Begomovirus solanumflavuskanchanaburiense</v>
      </c>
      <c r="S7031" s="18" t="s">
        <v>30</v>
      </c>
      <c r="T7031" s="18" t="s">
        <v>15841</v>
      </c>
      <c r="U7031" s="18" t="s">
        <v>15842</v>
      </c>
      <c r="V7031" s="18" t="s">
        <v>15843</v>
      </c>
      <c r="W7031" s="18" t="s">
        <v>50475</v>
      </c>
      <c r="X7031" s="18" t="s">
        <v>42</v>
      </c>
      <c r="Y7031" s="18" t="s">
        <v>12266</v>
      </c>
      <c r="Z7031" s="18" t="s">
        <v>13441</v>
      </c>
      <c r="AA7031" s="21" t="str">
        <f>HYPERLINK("https://www.ncbi.nlm.nih.gov/nuccore/AF511529,AF511528","NCBI Nucleotide")</f>
        <v>NCBI Nucleotide</v>
      </c>
    </row>
    <row r="7032" spans="1:27" x14ac:dyDescent="0.35">
      <c r="A7032">
        <v>1008008</v>
      </c>
      <c r="B7032">
        <v>6578</v>
      </c>
      <c r="C7032">
        <v>1</v>
      </c>
      <c r="D7032" s="17" t="s">
        <v>10507</v>
      </c>
      <c r="E7032" s="17"/>
      <c r="F7032" s="17" t="s">
        <v>10780</v>
      </c>
      <c r="G7032" s="17"/>
      <c r="H7032" s="17" t="s">
        <v>12908</v>
      </c>
      <c r="I7032" s="17"/>
      <c r="J7032" s="17" t="s">
        <v>14018</v>
      </c>
      <c r="K7032" s="17"/>
      <c r="L7032" s="17" t="s">
        <v>14019</v>
      </c>
      <c r="M7032" s="17"/>
      <c r="N7032" s="17" t="s">
        <v>14020</v>
      </c>
      <c r="O7032" s="17"/>
      <c r="P7032" s="17" t="s">
        <v>14040</v>
      </c>
      <c r="Q7032" s="17"/>
      <c r="R7032" s="25" t="str">
        <f>HYPERLINK("https://ictv.global/taxonomy/taxondetails?taxnode_id=202303488","Begomovirus solanumflavusmaculae")</f>
        <v>Begomovirus solanumflavusmaculae</v>
      </c>
      <c r="S7032" s="18" t="s">
        <v>30</v>
      </c>
      <c r="T7032" s="18" t="s">
        <v>15906</v>
      </c>
      <c r="U7032" s="18" t="s">
        <v>15907</v>
      </c>
      <c r="V7032" s="18" t="s">
        <v>15908</v>
      </c>
      <c r="W7032" s="18" t="s">
        <v>15909</v>
      </c>
      <c r="X7032" s="18" t="s">
        <v>42</v>
      </c>
      <c r="Y7032" s="18" t="s">
        <v>12266</v>
      </c>
      <c r="Z7032" s="18" t="s">
        <v>13441</v>
      </c>
      <c r="AA7032" s="21" t="str">
        <f>HYPERLINK("https://www.ncbi.nlm.nih.gov/nuccore/DQ336350,DQ336351","NCBI Nucleotide")</f>
        <v>NCBI Nucleotide</v>
      </c>
    </row>
    <row r="7033" spans="1:27" x14ac:dyDescent="0.35">
      <c r="A7033">
        <v>1007996</v>
      </c>
      <c r="B7033">
        <v>6579</v>
      </c>
      <c r="C7033">
        <v>1</v>
      </c>
      <c r="D7033" s="17" t="s">
        <v>10507</v>
      </c>
      <c r="E7033" s="17"/>
      <c r="F7033" s="17" t="s">
        <v>10780</v>
      </c>
      <c r="G7033" s="17"/>
      <c r="H7033" s="17" t="s">
        <v>12908</v>
      </c>
      <c r="I7033" s="17"/>
      <c r="J7033" s="17" t="s">
        <v>14018</v>
      </c>
      <c r="K7033" s="17"/>
      <c r="L7033" s="17" t="s">
        <v>14019</v>
      </c>
      <c r="M7033" s="17"/>
      <c r="N7033" s="17" t="s">
        <v>14020</v>
      </c>
      <c r="O7033" s="17"/>
      <c r="P7033" s="17" t="s">
        <v>14040</v>
      </c>
      <c r="Q7033" s="17"/>
      <c r="R7033" s="25" t="str">
        <f>HYPERLINK("https://ictv.global/taxonomy/taxondetails?taxnode_id=202303479","Begomovirus solanumflavusmalacitanum")</f>
        <v>Begomovirus solanumflavusmalacitanum</v>
      </c>
      <c r="S7033" s="18" t="s">
        <v>30</v>
      </c>
      <c r="T7033" s="18" t="s">
        <v>15844</v>
      </c>
      <c r="U7033" s="18" t="s">
        <v>15845</v>
      </c>
      <c r="V7033" s="18" t="s">
        <v>15846</v>
      </c>
      <c r="W7033" s="18" t="s">
        <v>41566</v>
      </c>
      <c r="X7033" s="18" t="s">
        <v>42</v>
      </c>
      <c r="Y7033" s="18" t="s">
        <v>12266</v>
      </c>
      <c r="Z7033" s="18" t="s">
        <v>13441</v>
      </c>
      <c r="AA7033" s="21" t="str">
        <f>HYPERLINK("https://www.ncbi.nlm.nih.gov/nuccore/AF271234","NCBI Nucleotide")</f>
        <v>NCBI Nucleotide</v>
      </c>
    </row>
    <row r="7034" spans="1:27" x14ac:dyDescent="0.35">
      <c r="A7034">
        <v>1007997</v>
      </c>
      <c r="B7034">
        <v>6580</v>
      </c>
      <c r="C7034">
        <v>1</v>
      </c>
      <c r="D7034" s="17" t="s">
        <v>10507</v>
      </c>
      <c r="E7034" s="17"/>
      <c r="F7034" s="17" t="s">
        <v>10780</v>
      </c>
      <c r="G7034" s="17"/>
      <c r="H7034" s="17" t="s">
        <v>12908</v>
      </c>
      <c r="I7034" s="17"/>
      <c r="J7034" s="17" t="s">
        <v>14018</v>
      </c>
      <c r="K7034" s="17"/>
      <c r="L7034" s="17" t="s">
        <v>14019</v>
      </c>
      <c r="M7034" s="17"/>
      <c r="N7034" s="17" t="s">
        <v>14020</v>
      </c>
      <c r="O7034" s="17"/>
      <c r="P7034" s="17" t="s">
        <v>14040</v>
      </c>
      <c r="Q7034" s="17"/>
      <c r="R7034" s="25" t="str">
        <f>HYPERLINK("https://ictv.global/taxonomy/taxondetails?taxnode_id=202303480","Begomovirus solanumflavusmaliense")</f>
        <v>Begomovirus solanumflavusmaliense</v>
      </c>
      <c r="S7034" s="18" t="s">
        <v>30</v>
      </c>
      <c r="T7034" s="18" t="s">
        <v>15847</v>
      </c>
      <c r="U7034" s="18" t="s">
        <v>15848</v>
      </c>
      <c r="V7034" s="18" t="s">
        <v>15849</v>
      </c>
      <c r="W7034" s="18" t="s">
        <v>41567</v>
      </c>
      <c r="X7034" s="18" t="s">
        <v>42</v>
      </c>
      <c r="Y7034" s="18" t="s">
        <v>12266</v>
      </c>
      <c r="Z7034" s="18" t="s">
        <v>13441</v>
      </c>
      <c r="AA7034" s="21" t="str">
        <f>HYPERLINK("https://www.ncbi.nlm.nih.gov/nuccore/LM651400","NCBI Nucleotide")</f>
        <v>NCBI Nucleotide</v>
      </c>
    </row>
    <row r="7035" spans="1:27" x14ac:dyDescent="0.35">
      <c r="A7035">
        <v>1012640</v>
      </c>
      <c r="B7035">
        <v>6580</v>
      </c>
      <c r="C7035">
        <v>2</v>
      </c>
      <c r="D7035" s="17" t="s">
        <v>10507</v>
      </c>
      <c r="E7035" s="17"/>
      <c r="F7035" s="17" t="s">
        <v>10780</v>
      </c>
      <c r="G7035" s="17"/>
      <c r="H7035" s="17" t="s">
        <v>12908</v>
      </c>
      <c r="I7035" s="17"/>
      <c r="J7035" s="17" t="s">
        <v>14018</v>
      </c>
      <c r="K7035" s="17"/>
      <c r="L7035" s="17" t="s">
        <v>14019</v>
      </c>
      <c r="M7035" s="17"/>
      <c r="N7035" s="17" t="s">
        <v>14020</v>
      </c>
      <c r="O7035" s="17"/>
      <c r="P7035" s="17" t="s">
        <v>14040</v>
      </c>
      <c r="Q7035" s="17"/>
      <c r="R7035" s="25" t="str">
        <f>HYPERLINK("https://ictv.global/taxonomy/taxondetails?taxnode_id=202303480","Begomovirus solanumflavusmaliense")</f>
        <v>Begomovirus solanumflavusmaliense</v>
      </c>
      <c r="S7035" s="18" t="s">
        <v>8141</v>
      </c>
      <c r="T7035" s="18" t="s">
        <v>15847</v>
      </c>
      <c r="U7035" s="18" t="s">
        <v>15850</v>
      </c>
      <c r="V7035" s="18" t="s">
        <v>15851</v>
      </c>
      <c r="W7035" s="18" t="s">
        <v>49184</v>
      </c>
      <c r="X7035" s="18" t="s">
        <v>42</v>
      </c>
      <c r="Y7035" s="18" t="s">
        <v>12266</v>
      </c>
      <c r="Z7035" s="18" t="s">
        <v>13441</v>
      </c>
      <c r="AA7035" s="21" t="str">
        <f>HYPERLINK("https://www.ncbi.nlm.nih.gov/nuccore/DQ358913","NCBI Nucleotide")</f>
        <v>NCBI Nucleotide</v>
      </c>
    </row>
    <row r="7036" spans="1:27" x14ac:dyDescent="0.35">
      <c r="A7036">
        <v>1012641</v>
      </c>
      <c r="B7036">
        <v>6580</v>
      </c>
      <c r="C7036">
        <v>3</v>
      </c>
      <c r="D7036" s="17" t="s">
        <v>10507</v>
      </c>
      <c r="E7036" s="17"/>
      <c r="F7036" s="17" t="s">
        <v>10780</v>
      </c>
      <c r="G7036" s="17"/>
      <c r="H7036" s="17" t="s">
        <v>12908</v>
      </c>
      <c r="I7036" s="17"/>
      <c r="J7036" s="17" t="s">
        <v>14018</v>
      </c>
      <c r="K7036" s="17"/>
      <c r="L7036" s="17" t="s">
        <v>14019</v>
      </c>
      <c r="M7036" s="17"/>
      <c r="N7036" s="17" t="s">
        <v>14020</v>
      </c>
      <c r="O7036" s="17"/>
      <c r="P7036" s="17" t="s">
        <v>14040</v>
      </c>
      <c r="Q7036" s="17"/>
      <c r="R7036" s="25" t="str">
        <f>HYPERLINK("https://ictv.global/taxonomy/taxondetails?taxnode_id=202303480","Begomovirus solanumflavusmaliense")</f>
        <v>Begomovirus solanumflavusmaliense</v>
      </c>
      <c r="S7036" s="18" t="s">
        <v>8141</v>
      </c>
      <c r="T7036" s="18" t="s">
        <v>15847</v>
      </c>
      <c r="U7036" s="18" t="s">
        <v>15852</v>
      </c>
      <c r="V7036" s="18" t="s">
        <v>15853</v>
      </c>
      <c r="W7036" s="18" t="s">
        <v>49185</v>
      </c>
      <c r="X7036" s="18" t="s">
        <v>42</v>
      </c>
      <c r="Y7036" s="18" t="s">
        <v>12266</v>
      </c>
      <c r="Z7036" s="18" t="s">
        <v>13441</v>
      </c>
      <c r="AA7036" s="21" t="str">
        <f>HYPERLINK("https://www.ncbi.nlm.nih.gov/nuccore/AY502934","NCBI Nucleotide")</f>
        <v>NCBI Nucleotide</v>
      </c>
    </row>
    <row r="7037" spans="1:27" x14ac:dyDescent="0.35">
      <c r="A7037">
        <v>1008006</v>
      </c>
      <c r="B7037">
        <v>6581</v>
      </c>
      <c r="C7037">
        <v>1</v>
      </c>
      <c r="D7037" s="17" t="s">
        <v>10507</v>
      </c>
      <c r="E7037" s="17"/>
      <c r="F7037" s="17" t="s">
        <v>10780</v>
      </c>
      <c r="G7037" s="17"/>
      <c r="H7037" s="17" t="s">
        <v>12908</v>
      </c>
      <c r="I7037" s="17"/>
      <c r="J7037" s="17" t="s">
        <v>14018</v>
      </c>
      <c r="K7037" s="17"/>
      <c r="L7037" s="17" t="s">
        <v>14019</v>
      </c>
      <c r="M7037" s="17"/>
      <c r="N7037" s="17" t="s">
        <v>14020</v>
      </c>
      <c r="O7037" s="17"/>
      <c r="P7037" s="17" t="s">
        <v>14040</v>
      </c>
      <c r="Q7037" s="17"/>
      <c r="R7037" s="25" t="str">
        <f>HYPERLINK("https://ictv.global/taxonomy/taxondetails?taxnode_id=202303486","Begomovirus solanumflavusmarginis")</f>
        <v>Begomovirus solanumflavusmarginis</v>
      </c>
      <c r="S7037" s="18" t="s">
        <v>30</v>
      </c>
      <c r="T7037" s="18" t="s">
        <v>15898</v>
      </c>
      <c r="U7037" s="18" t="s">
        <v>15899</v>
      </c>
      <c r="V7037" s="18" t="s">
        <v>15900</v>
      </c>
      <c r="W7037" s="18" t="s">
        <v>15901</v>
      </c>
      <c r="X7037" s="18" t="s">
        <v>42</v>
      </c>
      <c r="Y7037" s="18" t="s">
        <v>12266</v>
      </c>
      <c r="Z7037" s="18" t="s">
        <v>13441</v>
      </c>
      <c r="AA7037" s="21" t="str">
        <f>HYPERLINK("https://www.ncbi.nlm.nih.gov/nuccore/AY508993,AY508994","NCBI Nucleotide")</f>
        <v>NCBI Nucleotide</v>
      </c>
    </row>
    <row r="7038" spans="1:27" x14ac:dyDescent="0.35">
      <c r="A7038">
        <v>1008000</v>
      </c>
      <c r="B7038">
        <v>6582</v>
      </c>
      <c r="C7038">
        <v>1</v>
      </c>
      <c r="D7038" s="17" t="s">
        <v>10507</v>
      </c>
      <c r="E7038" s="17"/>
      <c r="F7038" s="17" t="s">
        <v>10780</v>
      </c>
      <c r="G7038" s="17"/>
      <c r="H7038" s="17" t="s">
        <v>12908</v>
      </c>
      <c r="I7038" s="17"/>
      <c r="J7038" s="17" t="s">
        <v>14018</v>
      </c>
      <c r="K7038" s="17"/>
      <c r="L7038" s="17" t="s">
        <v>14019</v>
      </c>
      <c r="M7038" s="17"/>
      <c r="N7038" s="17" t="s">
        <v>14020</v>
      </c>
      <c r="O7038" s="17"/>
      <c r="P7038" s="17" t="s">
        <v>14040</v>
      </c>
      <c r="Q7038" s="17"/>
      <c r="R7038" s="25" t="str">
        <f>HYPERLINK("https://ictv.global/taxonomy/taxondetails?taxnode_id=202303482","Begomovirus solanumflavusthailandense")</f>
        <v>Begomovirus solanumflavusthailandense</v>
      </c>
      <c r="S7038" s="18" t="s">
        <v>30</v>
      </c>
      <c r="T7038" s="18" t="s">
        <v>15860</v>
      </c>
      <c r="U7038" s="18" t="s">
        <v>15861</v>
      </c>
      <c r="V7038" s="18" t="s">
        <v>15862</v>
      </c>
      <c r="W7038" s="18" t="s">
        <v>50476</v>
      </c>
      <c r="X7038" s="18" t="s">
        <v>42</v>
      </c>
      <c r="Y7038" s="18" t="s">
        <v>12266</v>
      </c>
      <c r="Z7038" s="18" t="s">
        <v>13441</v>
      </c>
      <c r="AA7038" s="21" t="str">
        <f>HYPERLINK("https://www.ncbi.nlm.nih.gov/nuccore/AF141922,AF141897","NCBI Nucleotide")</f>
        <v>NCBI Nucleotide</v>
      </c>
    </row>
    <row r="7039" spans="1:27" x14ac:dyDescent="0.35">
      <c r="A7039">
        <v>1012642</v>
      </c>
      <c r="B7039">
        <v>6582</v>
      </c>
      <c r="C7039">
        <v>2</v>
      </c>
      <c r="D7039" s="17" t="s">
        <v>10507</v>
      </c>
      <c r="E7039" s="17"/>
      <c r="F7039" s="17" t="s">
        <v>10780</v>
      </c>
      <c r="G7039" s="17"/>
      <c r="H7039" s="17" t="s">
        <v>12908</v>
      </c>
      <c r="I7039" s="17"/>
      <c r="J7039" s="17" t="s">
        <v>14018</v>
      </c>
      <c r="K7039" s="17"/>
      <c r="L7039" s="17" t="s">
        <v>14019</v>
      </c>
      <c r="M7039" s="17"/>
      <c r="N7039" s="17" t="s">
        <v>14020</v>
      </c>
      <c r="O7039" s="17"/>
      <c r="P7039" s="17" t="s">
        <v>14040</v>
      </c>
      <c r="Q7039" s="17"/>
      <c r="R7039" s="25" t="str">
        <f>HYPERLINK("https://ictv.global/taxonomy/taxondetails?taxnode_id=202303482","Begomovirus solanumflavusthailandense")</f>
        <v>Begomovirus solanumflavusthailandense</v>
      </c>
      <c r="S7039" s="18" t="s">
        <v>8141</v>
      </c>
      <c r="T7039" s="18" t="s">
        <v>15860</v>
      </c>
      <c r="U7039" s="18" t="s">
        <v>15863</v>
      </c>
      <c r="V7039" s="18" t="s">
        <v>15864</v>
      </c>
      <c r="W7039" s="18" t="s">
        <v>49186</v>
      </c>
      <c r="X7039" s="18" t="s">
        <v>42</v>
      </c>
      <c r="Y7039" s="18" t="s">
        <v>12266</v>
      </c>
      <c r="Z7039" s="18" t="s">
        <v>13441</v>
      </c>
      <c r="AA7039" s="21" t="str">
        <f>HYPERLINK("https://www.ncbi.nlm.nih.gov/nuccore/AY514630","NCBI Nucleotide")</f>
        <v>NCBI Nucleotide</v>
      </c>
    </row>
    <row r="7040" spans="1:27" x14ac:dyDescent="0.35">
      <c r="A7040">
        <v>1012643</v>
      </c>
      <c r="B7040">
        <v>6582</v>
      </c>
      <c r="C7040">
        <v>3</v>
      </c>
      <c r="D7040" s="17" t="s">
        <v>10507</v>
      </c>
      <c r="E7040" s="17"/>
      <c r="F7040" s="17" t="s">
        <v>10780</v>
      </c>
      <c r="G7040" s="17"/>
      <c r="H7040" s="17" t="s">
        <v>12908</v>
      </c>
      <c r="I7040" s="17"/>
      <c r="J7040" s="17" t="s">
        <v>14018</v>
      </c>
      <c r="K7040" s="17"/>
      <c r="L7040" s="17" t="s">
        <v>14019</v>
      </c>
      <c r="M7040" s="17"/>
      <c r="N7040" s="17" t="s">
        <v>14020</v>
      </c>
      <c r="O7040" s="17"/>
      <c r="P7040" s="17" t="s">
        <v>14040</v>
      </c>
      <c r="Q7040" s="17"/>
      <c r="R7040" s="25" t="str">
        <f>HYPERLINK("https://ictv.global/taxonomy/taxondetails?taxnode_id=202303482","Begomovirus solanumflavusthailandense")</f>
        <v>Begomovirus solanumflavusthailandense</v>
      </c>
      <c r="S7040" s="18" t="s">
        <v>8141</v>
      </c>
      <c r="T7040" s="18" t="s">
        <v>15860</v>
      </c>
      <c r="U7040" s="18" t="s">
        <v>15865</v>
      </c>
      <c r="V7040" s="18" t="s">
        <v>15866</v>
      </c>
      <c r="W7040" s="18" t="s">
        <v>49187</v>
      </c>
      <c r="X7040" s="18" t="s">
        <v>42</v>
      </c>
      <c r="Y7040" s="18" t="s">
        <v>12266</v>
      </c>
      <c r="Z7040" s="18" t="s">
        <v>13441</v>
      </c>
      <c r="AA7040" s="21" t="str">
        <f>HYPERLINK("https://www.ncbi.nlm.nih.gov/nuccore/AJ495812","NCBI Nucleotide")</f>
        <v>NCBI Nucleotide</v>
      </c>
    </row>
    <row r="7041" spans="1:27" x14ac:dyDescent="0.35">
      <c r="A7041">
        <v>1012644</v>
      </c>
      <c r="B7041">
        <v>6582</v>
      </c>
      <c r="C7041">
        <v>4</v>
      </c>
      <c r="D7041" s="17" t="s">
        <v>10507</v>
      </c>
      <c r="E7041" s="17"/>
      <c r="F7041" s="17" t="s">
        <v>10780</v>
      </c>
      <c r="G7041" s="17"/>
      <c r="H7041" s="17" t="s">
        <v>12908</v>
      </c>
      <c r="I7041" s="17"/>
      <c r="J7041" s="17" t="s">
        <v>14018</v>
      </c>
      <c r="K7041" s="17"/>
      <c r="L7041" s="17" t="s">
        <v>14019</v>
      </c>
      <c r="M7041" s="17"/>
      <c r="N7041" s="17" t="s">
        <v>14020</v>
      </c>
      <c r="O7041" s="17"/>
      <c r="P7041" s="17" t="s">
        <v>14040</v>
      </c>
      <c r="Q7041" s="17"/>
      <c r="R7041" s="25" t="str">
        <f>HYPERLINK("https://ictv.global/taxonomy/taxondetails?taxnode_id=202303482","Begomovirus solanumflavusthailandense")</f>
        <v>Begomovirus solanumflavusthailandense</v>
      </c>
      <c r="S7041" s="18" t="s">
        <v>8141</v>
      </c>
      <c r="T7041" s="18" t="s">
        <v>15860</v>
      </c>
      <c r="U7041" s="18" t="s">
        <v>15867</v>
      </c>
      <c r="V7041" s="18" t="s">
        <v>15868</v>
      </c>
      <c r="W7041" s="18" t="s">
        <v>49188</v>
      </c>
      <c r="X7041" s="18" t="s">
        <v>42</v>
      </c>
      <c r="Y7041" s="18" t="s">
        <v>12266</v>
      </c>
      <c r="Z7041" s="18" t="s">
        <v>13441</v>
      </c>
      <c r="AA7041" s="21" t="str">
        <f>HYPERLINK("https://www.ncbi.nlm.nih.gov/nuccore/AF206674","NCBI Nucleotide")</f>
        <v>NCBI Nucleotide</v>
      </c>
    </row>
    <row r="7042" spans="1:27" x14ac:dyDescent="0.35">
      <c r="A7042">
        <v>1012645</v>
      </c>
      <c r="B7042">
        <v>6582</v>
      </c>
      <c r="C7042">
        <v>5</v>
      </c>
      <c r="D7042" s="17" t="s">
        <v>10507</v>
      </c>
      <c r="E7042" s="17"/>
      <c r="F7042" s="17" t="s">
        <v>10780</v>
      </c>
      <c r="G7042" s="17"/>
      <c r="H7042" s="17" t="s">
        <v>12908</v>
      </c>
      <c r="I7042" s="17"/>
      <c r="J7042" s="17" t="s">
        <v>14018</v>
      </c>
      <c r="K7042" s="17"/>
      <c r="L7042" s="17" t="s">
        <v>14019</v>
      </c>
      <c r="M7042" s="17"/>
      <c r="N7042" s="17" t="s">
        <v>14020</v>
      </c>
      <c r="O7042" s="17"/>
      <c r="P7042" s="17" t="s">
        <v>14040</v>
      </c>
      <c r="Q7042" s="17"/>
      <c r="R7042" s="25" t="str">
        <f>HYPERLINK("https://ictv.global/taxonomy/taxondetails?taxnode_id=202303482","Begomovirus solanumflavusthailandense")</f>
        <v>Begomovirus solanumflavusthailandense</v>
      </c>
      <c r="S7042" s="18" t="s">
        <v>8141</v>
      </c>
      <c r="T7042" s="18" t="s">
        <v>15860</v>
      </c>
      <c r="U7042" s="18" t="s">
        <v>15869</v>
      </c>
      <c r="V7042" s="18" t="s">
        <v>15870</v>
      </c>
      <c r="W7042" s="18" t="s">
        <v>49189</v>
      </c>
      <c r="X7042" s="18" t="s">
        <v>42</v>
      </c>
      <c r="Y7042" s="18" t="s">
        <v>12266</v>
      </c>
      <c r="Z7042" s="18" t="s">
        <v>13441</v>
      </c>
      <c r="AA7042" s="21" t="str">
        <f>HYPERLINK("https://www.ncbi.nlm.nih.gov/nuccore/AY514632","NCBI Nucleotide")</f>
        <v>NCBI Nucleotide</v>
      </c>
    </row>
    <row r="7043" spans="1:27" x14ac:dyDescent="0.35">
      <c r="A7043">
        <v>1008007</v>
      </c>
      <c r="B7043">
        <v>6583</v>
      </c>
      <c r="C7043">
        <v>1</v>
      </c>
      <c r="D7043" s="17" t="s">
        <v>10507</v>
      </c>
      <c r="E7043" s="17"/>
      <c r="F7043" s="17" t="s">
        <v>10780</v>
      </c>
      <c r="G7043" s="17"/>
      <c r="H7043" s="17" t="s">
        <v>12908</v>
      </c>
      <c r="I7043" s="17"/>
      <c r="J7043" s="17" t="s">
        <v>14018</v>
      </c>
      <c r="K7043" s="17"/>
      <c r="L7043" s="17" t="s">
        <v>14019</v>
      </c>
      <c r="M7043" s="17"/>
      <c r="N7043" s="17" t="s">
        <v>14020</v>
      </c>
      <c r="O7043" s="17"/>
      <c r="P7043" s="17" t="s">
        <v>14040</v>
      </c>
      <c r="Q7043" s="17"/>
      <c r="R7043" s="25" t="str">
        <f>HYPERLINK("https://ictv.global/taxonomy/taxondetails?taxnode_id=202303487","Begomovirus solanumflavusvariati")</f>
        <v>Begomovirus solanumflavusvariati</v>
      </c>
      <c r="S7043" s="18" t="s">
        <v>30</v>
      </c>
      <c r="T7043" s="18" t="s">
        <v>15902</v>
      </c>
      <c r="U7043" s="18" t="s">
        <v>15903</v>
      </c>
      <c r="V7043" s="18" t="s">
        <v>15904</v>
      </c>
      <c r="W7043" s="18" t="s">
        <v>15905</v>
      </c>
      <c r="X7043" s="18" t="s">
        <v>42</v>
      </c>
      <c r="Y7043" s="18" t="s">
        <v>12266</v>
      </c>
      <c r="Z7043" s="18" t="s">
        <v>13441</v>
      </c>
      <c r="AA7043" s="21" t="str">
        <f>HYPERLINK("https://www.ncbi.nlm.nih.gov/nuccore/KC176780,KC176781","NCBI Nucleotide")</f>
        <v>NCBI Nucleotide</v>
      </c>
    </row>
    <row r="7044" spans="1:27" x14ac:dyDescent="0.35">
      <c r="A7044">
        <v>1008009</v>
      </c>
      <c r="B7044">
        <v>6584</v>
      </c>
      <c r="C7044">
        <v>1</v>
      </c>
      <c r="D7044" s="17" t="s">
        <v>10507</v>
      </c>
      <c r="E7044" s="17"/>
      <c r="F7044" s="17" t="s">
        <v>10780</v>
      </c>
      <c r="G7044" s="17"/>
      <c r="H7044" s="17" t="s">
        <v>12908</v>
      </c>
      <c r="I7044" s="17"/>
      <c r="J7044" s="17" t="s">
        <v>14018</v>
      </c>
      <c r="K7044" s="17"/>
      <c r="L7044" s="17" t="s">
        <v>14019</v>
      </c>
      <c r="M7044" s="17"/>
      <c r="N7044" s="17" t="s">
        <v>14020</v>
      </c>
      <c r="O7044" s="17"/>
      <c r="P7044" s="17" t="s">
        <v>14040</v>
      </c>
      <c r="Q7044" s="17"/>
      <c r="R7044" s="25" t="str">
        <f>HYPERLINK("https://ictv.global/taxonomy/taxondetails?taxnode_id=202303489","Begomovirus solanumflavusvenae")</f>
        <v>Begomovirus solanumflavusvenae</v>
      </c>
      <c r="S7044" s="18" t="s">
        <v>30</v>
      </c>
      <c r="T7044" s="18" t="s">
        <v>15910</v>
      </c>
      <c r="U7044" s="18" t="s">
        <v>15911</v>
      </c>
      <c r="V7044" s="18" t="s">
        <v>15912</v>
      </c>
      <c r="W7044" s="18" t="s">
        <v>15913</v>
      </c>
      <c r="X7044" s="18" t="s">
        <v>42</v>
      </c>
      <c r="Y7044" s="18" t="s">
        <v>12266</v>
      </c>
      <c r="Z7044" s="18" t="s">
        <v>13441</v>
      </c>
      <c r="AA7044" s="21" t="str">
        <f>HYPERLINK("https://www.ncbi.nlm.nih.gov/nuccore/EF417915,EF417916","NCBI Nucleotide")</f>
        <v>NCBI Nucleotide</v>
      </c>
    </row>
    <row r="7045" spans="1:27" x14ac:dyDescent="0.35">
      <c r="A7045">
        <v>1008001</v>
      </c>
      <c r="B7045">
        <v>6585</v>
      </c>
      <c r="C7045">
        <v>1</v>
      </c>
      <c r="D7045" s="17" t="s">
        <v>10507</v>
      </c>
      <c r="E7045" s="17"/>
      <c r="F7045" s="17" t="s">
        <v>10780</v>
      </c>
      <c r="G7045" s="17"/>
      <c r="H7045" s="17" t="s">
        <v>12908</v>
      </c>
      <c r="I7045" s="17"/>
      <c r="J7045" s="17" t="s">
        <v>14018</v>
      </c>
      <c r="K7045" s="17"/>
      <c r="L7045" s="17" t="s">
        <v>14019</v>
      </c>
      <c r="M7045" s="17"/>
      <c r="N7045" s="17" t="s">
        <v>14020</v>
      </c>
      <c r="O7045" s="17"/>
      <c r="P7045" s="17" t="s">
        <v>14040</v>
      </c>
      <c r="Q7045" s="17"/>
      <c r="R7045" s="25" t="str">
        <f>HYPERLINK("https://ictv.global/taxonomy/taxondetails?taxnode_id=202303483","Begomovirus solanumflavusvietnamense")</f>
        <v>Begomovirus solanumflavusvietnamense</v>
      </c>
      <c r="S7045" s="18" t="s">
        <v>30</v>
      </c>
      <c r="T7045" s="18" t="s">
        <v>15871</v>
      </c>
      <c r="U7045" s="18" t="s">
        <v>15872</v>
      </c>
      <c r="V7045" s="18" t="s">
        <v>14691</v>
      </c>
      <c r="W7045" s="18" t="s">
        <v>15873</v>
      </c>
      <c r="X7045" s="18" t="s">
        <v>42</v>
      </c>
      <c r="Y7045" s="18" t="s">
        <v>12266</v>
      </c>
      <c r="Z7045" s="18" t="s">
        <v>13441</v>
      </c>
      <c r="AA7045" s="21" t="str">
        <f>HYPERLINK("https://www.ncbi.nlm.nih.gov/nuccore/DQ641697","NCBI Nucleotide")</f>
        <v>NCBI Nucleotide</v>
      </c>
    </row>
    <row r="7046" spans="1:27" x14ac:dyDescent="0.35">
      <c r="A7046">
        <v>1008003</v>
      </c>
      <c r="B7046">
        <v>6586</v>
      </c>
      <c r="C7046">
        <v>1</v>
      </c>
      <c r="D7046" s="17" t="s">
        <v>10507</v>
      </c>
      <c r="E7046" s="17"/>
      <c r="F7046" s="17" t="s">
        <v>10780</v>
      </c>
      <c r="G7046" s="17"/>
      <c r="H7046" s="17" t="s">
        <v>12908</v>
      </c>
      <c r="I7046" s="17"/>
      <c r="J7046" s="17" t="s">
        <v>14018</v>
      </c>
      <c r="K7046" s="17"/>
      <c r="L7046" s="17" t="s">
        <v>14019</v>
      </c>
      <c r="M7046" s="17"/>
      <c r="N7046" s="17" t="s">
        <v>14020</v>
      </c>
      <c r="O7046" s="17"/>
      <c r="P7046" s="17" t="s">
        <v>14040</v>
      </c>
      <c r="Q7046" s="17"/>
      <c r="R7046" s="25" t="str">
        <f>HYPERLINK("https://ictv.global/taxonomy/taxondetails?taxnode_id=202305841","Begomovirus solanumflavusyunnanense")</f>
        <v>Begomovirus solanumflavusyunnanense</v>
      </c>
      <c r="S7046" s="18" t="s">
        <v>30</v>
      </c>
      <c r="T7046" s="18" t="s">
        <v>15887</v>
      </c>
      <c r="U7046" s="18" t="s">
        <v>15888</v>
      </c>
      <c r="V7046" s="18" t="s">
        <v>15889</v>
      </c>
      <c r="W7046" s="18" t="s">
        <v>15890</v>
      </c>
      <c r="X7046" s="18" t="s">
        <v>42</v>
      </c>
      <c r="Y7046" s="18" t="s">
        <v>12266</v>
      </c>
      <c r="Z7046" s="18" t="s">
        <v>13441</v>
      </c>
      <c r="AA7046" s="21" t="str">
        <f>HYPERLINK("https://www.ncbi.nlm.nih.gov/nuccore/KC686705","NCBI Nucleotide")</f>
        <v>NCBI Nucleotide</v>
      </c>
    </row>
    <row r="7047" spans="1:27" x14ac:dyDescent="0.35">
      <c r="A7047">
        <v>1007926</v>
      </c>
      <c r="B7047">
        <v>6587</v>
      </c>
      <c r="C7047">
        <v>1</v>
      </c>
      <c r="D7047" s="17" t="s">
        <v>10507</v>
      </c>
      <c r="E7047" s="17"/>
      <c r="F7047" s="17" t="s">
        <v>10780</v>
      </c>
      <c r="G7047" s="17"/>
      <c r="H7047" s="17" t="s">
        <v>12908</v>
      </c>
      <c r="I7047" s="17"/>
      <c r="J7047" s="17" t="s">
        <v>14018</v>
      </c>
      <c r="K7047" s="17"/>
      <c r="L7047" s="17" t="s">
        <v>14019</v>
      </c>
      <c r="M7047" s="17"/>
      <c r="N7047" s="17" t="s">
        <v>14020</v>
      </c>
      <c r="O7047" s="17"/>
      <c r="P7047" s="17" t="s">
        <v>14040</v>
      </c>
      <c r="Q7047" s="17"/>
      <c r="R7047" s="25" t="str">
        <f>HYPERLINK("https://ictv.global/taxonomy/taxondetails?taxnode_id=202303422","Begomovirus solanumghanaense")</f>
        <v>Begomovirus solanumghanaense</v>
      </c>
      <c r="S7047" s="18" t="s">
        <v>30</v>
      </c>
      <c r="T7047" s="18" t="s">
        <v>15561</v>
      </c>
      <c r="U7047" s="18" t="s">
        <v>15562</v>
      </c>
      <c r="V7047" s="18" t="s">
        <v>15563</v>
      </c>
      <c r="W7047" s="18" t="s">
        <v>15564</v>
      </c>
      <c r="X7047" s="18" t="s">
        <v>42</v>
      </c>
      <c r="Y7047" s="18" t="s">
        <v>12266</v>
      </c>
      <c r="Z7047" s="18" t="s">
        <v>13441</v>
      </c>
      <c r="AA7047" s="21" t="str">
        <f>HYPERLINK("https://www.ncbi.nlm.nih.gov/nuccore/EU350585","NCBI Nucleotide")</f>
        <v>NCBI Nucleotide</v>
      </c>
    </row>
    <row r="7048" spans="1:27" x14ac:dyDescent="0.35">
      <c r="A7048">
        <v>1012617</v>
      </c>
      <c r="B7048">
        <v>6587</v>
      </c>
      <c r="C7048">
        <v>2</v>
      </c>
      <c r="D7048" s="17" t="s">
        <v>10507</v>
      </c>
      <c r="E7048" s="17"/>
      <c r="F7048" s="17" t="s">
        <v>10780</v>
      </c>
      <c r="G7048" s="17"/>
      <c r="H7048" s="17" t="s">
        <v>12908</v>
      </c>
      <c r="I7048" s="17"/>
      <c r="J7048" s="17" t="s">
        <v>14018</v>
      </c>
      <c r="K7048" s="17"/>
      <c r="L7048" s="17" t="s">
        <v>14019</v>
      </c>
      <c r="M7048" s="17"/>
      <c r="N7048" s="17" t="s">
        <v>14020</v>
      </c>
      <c r="O7048" s="17"/>
      <c r="P7048" s="17" t="s">
        <v>14040</v>
      </c>
      <c r="Q7048" s="17"/>
      <c r="R7048" s="25" t="str">
        <f>HYPERLINK("https://ictv.global/taxonomy/taxondetails?taxnode_id=202303422","Begomovirus solanumghanaense")</f>
        <v>Begomovirus solanumghanaense</v>
      </c>
      <c r="S7048" s="18" t="s">
        <v>8141</v>
      </c>
      <c r="T7048" s="18" t="s">
        <v>15561</v>
      </c>
      <c r="U7048" s="18" t="s">
        <v>15565</v>
      </c>
      <c r="V7048" s="18" t="s">
        <v>15566</v>
      </c>
      <c r="W7048" s="18" t="s">
        <v>49190</v>
      </c>
      <c r="X7048" s="18" t="s">
        <v>42</v>
      </c>
      <c r="Y7048" s="18" t="s">
        <v>12266</v>
      </c>
      <c r="Z7048" s="18" t="s">
        <v>13441</v>
      </c>
      <c r="AA7048" s="21" t="str">
        <f>HYPERLINK("https://www.ncbi.nlm.nih.gov/nuccore/FR873228","NCBI Nucleotide")</f>
        <v>NCBI Nucleotide</v>
      </c>
    </row>
    <row r="7049" spans="1:27" x14ac:dyDescent="0.35">
      <c r="A7049">
        <v>1007927</v>
      </c>
      <c r="B7049">
        <v>6588</v>
      </c>
      <c r="C7049">
        <v>1</v>
      </c>
      <c r="D7049" s="17" t="s">
        <v>10507</v>
      </c>
      <c r="E7049" s="17"/>
      <c r="F7049" s="17" t="s">
        <v>10780</v>
      </c>
      <c r="G7049" s="17"/>
      <c r="H7049" s="17" t="s">
        <v>12908</v>
      </c>
      <c r="I7049" s="17"/>
      <c r="J7049" s="17" t="s">
        <v>14018</v>
      </c>
      <c r="K7049" s="17"/>
      <c r="L7049" s="17" t="s">
        <v>14019</v>
      </c>
      <c r="M7049" s="17"/>
      <c r="N7049" s="17" t="s">
        <v>14020</v>
      </c>
      <c r="O7049" s="17"/>
      <c r="P7049" s="17" t="s">
        <v>14040</v>
      </c>
      <c r="Q7049" s="17"/>
      <c r="R7049" s="25" t="str">
        <f>HYPERLINK("https://ictv.global/taxonomy/taxondetails?taxnode_id=202303423","Begomovirus solanumguangdongense")</f>
        <v>Begomovirus solanumguangdongense</v>
      </c>
      <c r="S7049" s="18" t="s">
        <v>30</v>
      </c>
      <c r="T7049" s="18" t="s">
        <v>15567</v>
      </c>
      <c r="U7049" s="18" t="s">
        <v>15568</v>
      </c>
      <c r="V7049" s="18" t="s">
        <v>15569</v>
      </c>
      <c r="W7049" s="18" t="s">
        <v>15570</v>
      </c>
      <c r="X7049" s="18" t="s">
        <v>42</v>
      </c>
      <c r="Y7049" s="18" t="s">
        <v>12266</v>
      </c>
      <c r="Z7049" s="18" t="s">
        <v>13441</v>
      </c>
      <c r="AA7049" s="21" t="str">
        <f>HYPERLINK("https://www.ncbi.nlm.nih.gov/nuccore/AY602165","NCBI Nucleotide")</f>
        <v>NCBI Nucleotide</v>
      </c>
    </row>
    <row r="7050" spans="1:27" x14ac:dyDescent="0.35">
      <c r="A7050">
        <v>1007928</v>
      </c>
      <c r="B7050">
        <v>6589</v>
      </c>
      <c r="C7050">
        <v>1</v>
      </c>
      <c r="D7050" s="17" t="s">
        <v>10507</v>
      </c>
      <c r="E7050" s="17"/>
      <c r="F7050" s="17" t="s">
        <v>10780</v>
      </c>
      <c r="G7050" s="17"/>
      <c r="H7050" s="17" t="s">
        <v>12908</v>
      </c>
      <c r="I7050" s="17"/>
      <c r="J7050" s="17" t="s">
        <v>14018</v>
      </c>
      <c r="K7050" s="17"/>
      <c r="L7050" s="17" t="s">
        <v>14019</v>
      </c>
      <c r="M7050" s="17"/>
      <c r="N7050" s="17" t="s">
        <v>14020</v>
      </c>
      <c r="O7050" s="17"/>
      <c r="P7050" s="17" t="s">
        <v>14040</v>
      </c>
      <c r="Q7050" s="17"/>
      <c r="R7050" s="25" t="str">
        <f>HYPERLINK("https://ictv.global/taxonomy/taxondetails?taxnode_id=202303424","Begomovirus solanumguangxiense")</f>
        <v>Begomovirus solanumguangxiense</v>
      </c>
      <c r="S7050" s="18" t="s">
        <v>30</v>
      </c>
      <c r="T7050" s="18" t="s">
        <v>15571</v>
      </c>
      <c r="U7050" s="18" t="s">
        <v>15572</v>
      </c>
      <c r="V7050" s="18" t="s">
        <v>15573</v>
      </c>
      <c r="W7050" s="18" t="s">
        <v>41568</v>
      </c>
      <c r="X7050" s="18" t="s">
        <v>42</v>
      </c>
      <c r="Y7050" s="18" t="s">
        <v>12266</v>
      </c>
      <c r="Z7050" s="18" t="s">
        <v>13441</v>
      </c>
      <c r="AA7050" s="21" t="str">
        <f>HYPERLINK("https://www.ncbi.nlm.nih.gov/nuccore/AM236784","NCBI Nucleotide")</f>
        <v>NCBI Nucleotide</v>
      </c>
    </row>
    <row r="7051" spans="1:27" x14ac:dyDescent="0.35">
      <c r="A7051">
        <v>1007929</v>
      </c>
      <c r="B7051">
        <v>6590</v>
      </c>
      <c r="C7051">
        <v>1</v>
      </c>
      <c r="D7051" s="17" t="s">
        <v>10507</v>
      </c>
      <c r="E7051" s="17"/>
      <c r="F7051" s="17" t="s">
        <v>10780</v>
      </c>
      <c r="G7051" s="17"/>
      <c r="H7051" s="17" t="s">
        <v>12908</v>
      </c>
      <c r="I7051" s="17"/>
      <c r="J7051" s="17" t="s">
        <v>14018</v>
      </c>
      <c r="K7051" s="17"/>
      <c r="L7051" s="17" t="s">
        <v>14019</v>
      </c>
      <c r="M7051" s="17"/>
      <c r="N7051" s="17" t="s">
        <v>14020</v>
      </c>
      <c r="O7051" s="17"/>
      <c r="P7051" s="17" t="s">
        <v>14040</v>
      </c>
      <c r="Q7051" s="17"/>
      <c r="R7051" s="25" t="str">
        <f>HYPERLINK("https://ictv.global/taxonomy/taxondetails?taxnode_id=202303425","Begomovirus solanumgujaratense")</f>
        <v>Begomovirus solanumgujaratense</v>
      </c>
      <c r="S7051" s="18" t="s">
        <v>30</v>
      </c>
      <c r="T7051" s="18" t="s">
        <v>15574</v>
      </c>
      <c r="U7051" s="18" t="s">
        <v>15575</v>
      </c>
      <c r="V7051" s="18" t="s">
        <v>15576</v>
      </c>
      <c r="W7051" s="18" t="s">
        <v>15577</v>
      </c>
      <c r="X7051" s="18" t="s">
        <v>42</v>
      </c>
      <c r="Y7051" s="18" t="s">
        <v>12266</v>
      </c>
      <c r="Z7051" s="18" t="s">
        <v>13441</v>
      </c>
      <c r="AA7051" s="21" t="str">
        <f>HYPERLINK("https://www.ncbi.nlm.nih.gov/nuccore/AY190290,AY190291","NCBI Nucleotide")</f>
        <v>NCBI Nucleotide</v>
      </c>
    </row>
    <row r="7052" spans="1:27" x14ac:dyDescent="0.35">
      <c r="A7052">
        <v>1012629</v>
      </c>
      <c r="B7052">
        <v>6590</v>
      </c>
      <c r="C7052">
        <v>2</v>
      </c>
      <c r="D7052" s="17" t="s">
        <v>10507</v>
      </c>
      <c r="E7052" s="17"/>
      <c r="F7052" s="17" t="s">
        <v>10780</v>
      </c>
      <c r="G7052" s="17"/>
      <c r="H7052" s="17" t="s">
        <v>12908</v>
      </c>
      <c r="I7052" s="17"/>
      <c r="J7052" s="17" t="s">
        <v>14018</v>
      </c>
      <c r="K7052" s="17"/>
      <c r="L7052" s="17" t="s">
        <v>14019</v>
      </c>
      <c r="M7052" s="17"/>
      <c r="N7052" s="17" t="s">
        <v>14020</v>
      </c>
      <c r="O7052" s="17"/>
      <c r="P7052" s="17" t="s">
        <v>14040</v>
      </c>
      <c r="Q7052" s="17"/>
      <c r="R7052" s="25" t="str">
        <f>HYPERLINK("https://ictv.global/taxonomy/taxondetails?taxnode_id=202303425","Begomovirus solanumgujaratense")</f>
        <v>Begomovirus solanumgujaratense</v>
      </c>
      <c r="S7052" s="18" t="s">
        <v>8141</v>
      </c>
      <c r="T7052" s="18" t="s">
        <v>15734</v>
      </c>
      <c r="U7052" s="18" t="s">
        <v>15739</v>
      </c>
      <c r="V7052" s="18" t="s">
        <v>15740</v>
      </c>
      <c r="W7052" s="18" t="s">
        <v>49165</v>
      </c>
      <c r="X7052" s="18" t="s">
        <v>42</v>
      </c>
      <c r="Y7052" s="18" t="s">
        <v>12266</v>
      </c>
      <c r="Z7052" s="18" t="s">
        <v>13441</v>
      </c>
      <c r="AA7052" s="21" t="str">
        <f>HYPERLINK("https://www.ncbi.nlm.nih.gov/nuccore/DQ629101","NCBI Nucleotide")</f>
        <v>NCBI Nucleotide</v>
      </c>
    </row>
    <row r="7053" spans="1:27" x14ac:dyDescent="0.35">
      <c r="A7053">
        <v>1007930</v>
      </c>
      <c r="B7053">
        <v>6591</v>
      </c>
      <c r="C7053">
        <v>1</v>
      </c>
      <c r="D7053" s="17" t="s">
        <v>10507</v>
      </c>
      <c r="E7053" s="17"/>
      <c r="F7053" s="17" t="s">
        <v>10780</v>
      </c>
      <c r="G7053" s="17"/>
      <c r="H7053" s="17" t="s">
        <v>12908</v>
      </c>
      <c r="I7053" s="17"/>
      <c r="J7053" s="17" t="s">
        <v>14018</v>
      </c>
      <c r="K7053" s="17"/>
      <c r="L7053" s="17" t="s">
        <v>14019</v>
      </c>
      <c r="M7053" s="17"/>
      <c r="N7053" s="17" t="s">
        <v>14020</v>
      </c>
      <c r="O7053" s="17"/>
      <c r="P7053" s="17" t="s">
        <v>14040</v>
      </c>
      <c r="Q7053" s="17"/>
      <c r="R7053" s="25" t="str">
        <f>HYPERLINK("https://ictv.global/taxonomy/taxondetails?taxnode_id=202303426","Begomovirus solanumhainanense")</f>
        <v>Begomovirus solanumhainanense</v>
      </c>
      <c r="S7053" s="18" t="s">
        <v>30</v>
      </c>
      <c r="T7053" s="18" t="s">
        <v>15578</v>
      </c>
      <c r="U7053" s="18" t="s">
        <v>15579</v>
      </c>
      <c r="V7053" s="18" t="s">
        <v>15580</v>
      </c>
      <c r="W7053" s="18" t="s">
        <v>41569</v>
      </c>
      <c r="X7053" s="18" t="s">
        <v>42</v>
      </c>
      <c r="Y7053" s="18" t="s">
        <v>12266</v>
      </c>
      <c r="Z7053" s="18" t="s">
        <v>13441</v>
      </c>
      <c r="AA7053" s="21" t="str">
        <f>HYPERLINK("https://www.ncbi.nlm.nih.gov/nuccore/KF150142","NCBI Nucleotide")</f>
        <v>NCBI Nucleotide</v>
      </c>
    </row>
    <row r="7054" spans="1:27" x14ac:dyDescent="0.35">
      <c r="A7054">
        <v>1007931</v>
      </c>
      <c r="B7054">
        <v>6592</v>
      </c>
      <c r="C7054">
        <v>1</v>
      </c>
      <c r="D7054" s="17" t="s">
        <v>10507</v>
      </c>
      <c r="E7054" s="17"/>
      <c r="F7054" s="17" t="s">
        <v>10780</v>
      </c>
      <c r="G7054" s="17"/>
      <c r="H7054" s="17" t="s">
        <v>12908</v>
      </c>
      <c r="I7054" s="17"/>
      <c r="J7054" s="17" t="s">
        <v>14018</v>
      </c>
      <c r="K7054" s="17"/>
      <c r="L7054" s="17" t="s">
        <v>14019</v>
      </c>
      <c r="M7054" s="17"/>
      <c r="N7054" s="17" t="s">
        <v>14020</v>
      </c>
      <c r="O7054" s="17"/>
      <c r="P7054" s="17" t="s">
        <v>14040</v>
      </c>
      <c r="Q7054" s="17"/>
      <c r="R7054" s="25" t="str">
        <f>HYPERLINK("https://ictv.global/taxonomy/taxondetails?taxnode_id=202303427","Begomovirus solanumhanoiense")</f>
        <v>Begomovirus solanumhanoiense</v>
      </c>
      <c r="S7054" s="18" t="s">
        <v>30</v>
      </c>
      <c r="T7054" s="18" t="s">
        <v>15581</v>
      </c>
      <c r="U7054" s="18" t="s">
        <v>15582</v>
      </c>
      <c r="V7054" s="18" t="s">
        <v>15583</v>
      </c>
      <c r="W7054" s="18" t="s">
        <v>41570</v>
      </c>
      <c r="X7054" s="18" t="s">
        <v>42</v>
      </c>
      <c r="Y7054" s="18" t="s">
        <v>12266</v>
      </c>
      <c r="Z7054" s="18" t="s">
        <v>13441</v>
      </c>
      <c r="AA7054" s="21" t="str">
        <f>HYPERLINK("https://www.ncbi.nlm.nih.gov/nuccore/HQ162270","NCBI Nucleotide")</f>
        <v>NCBI Nucleotide</v>
      </c>
    </row>
    <row r="7055" spans="1:27" x14ac:dyDescent="0.35">
      <c r="A7055">
        <v>1007977</v>
      </c>
      <c r="B7055">
        <v>6593</v>
      </c>
      <c r="C7055">
        <v>1</v>
      </c>
      <c r="D7055" s="17" t="s">
        <v>10507</v>
      </c>
      <c r="E7055" s="17"/>
      <c r="F7055" s="17" t="s">
        <v>10780</v>
      </c>
      <c r="G7055" s="17"/>
      <c r="H7055" s="17" t="s">
        <v>12908</v>
      </c>
      <c r="I7055" s="17"/>
      <c r="J7055" s="17" t="s">
        <v>14018</v>
      </c>
      <c r="K7055" s="17"/>
      <c r="L7055" s="17" t="s">
        <v>14019</v>
      </c>
      <c r="M7055" s="17"/>
      <c r="N7055" s="17" t="s">
        <v>14020</v>
      </c>
      <c r="O7055" s="17"/>
      <c r="P7055" s="17" t="s">
        <v>14040</v>
      </c>
      <c r="Q7055" s="17"/>
      <c r="R7055" s="25" t="str">
        <f>HYPERLINK("https://ictv.global/taxonomy/taxondetails?taxnode_id=202303466","Begomovirus solanumhavanaense")</f>
        <v>Begomovirus solanumhavanaense</v>
      </c>
      <c r="S7055" s="18" t="s">
        <v>30</v>
      </c>
      <c r="T7055" s="18" t="s">
        <v>15760</v>
      </c>
      <c r="U7055" s="18" t="s">
        <v>15761</v>
      </c>
      <c r="V7055" s="18" t="s">
        <v>15762</v>
      </c>
      <c r="W7055" s="18" t="s">
        <v>15763</v>
      </c>
      <c r="X7055" s="18" t="s">
        <v>42</v>
      </c>
      <c r="Y7055" s="18" t="s">
        <v>12266</v>
      </c>
      <c r="Z7055" s="18" t="s">
        <v>13441</v>
      </c>
      <c r="AA7055" s="21" t="str">
        <f>HYPERLINK("https://www.ncbi.nlm.nih.gov/nuccore/Y14874,Y14875","NCBI Nucleotide")</f>
        <v>NCBI Nucleotide</v>
      </c>
    </row>
    <row r="7056" spans="1:27" x14ac:dyDescent="0.35">
      <c r="A7056">
        <v>1007932</v>
      </c>
      <c r="B7056">
        <v>6594</v>
      </c>
      <c r="C7056">
        <v>1</v>
      </c>
      <c r="D7056" s="17" t="s">
        <v>10507</v>
      </c>
      <c r="E7056" s="17"/>
      <c r="F7056" s="17" t="s">
        <v>10780</v>
      </c>
      <c r="G7056" s="17"/>
      <c r="H7056" s="17" t="s">
        <v>12908</v>
      </c>
      <c r="I7056" s="17"/>
      <c r="J7056" s="17" t="s">
        <v>14018</v>
      </c>
      <c r="K7056" s="17"/>
      <c r="L7056" s="17" t="s">
        <v>14019</v>
      </c>
      <c r="M7056" s="17"/>
      <c r="N7056" s="17" t="s">
        <v>14020</v>
      </c>
      <c r="O7056" s="17"/>
      <c r="P7056" s="17" t="s">
        <v>14040</v>
      </c>
      <c r="Q7056" s="17"/>
      <c r="R7056" s="25" t="str">
        <f>HYPERLINK("https://ictv.global/taxonomy/taxondetails?taxnode_id=202303428","Begomovirus solanumhsinchuense")</f>
        <v>Begomovirus solanumhsinchuense</v>
      </c>
      <c r="S7056" s="18" t="s">
        <v>30</v>
      </c>
      <c r="T7056" s="18" t="s">
        <v>15584</v>
      </c>
      <c r="U7056" s="18" t="s">
        <v>15585</v>
      </c>
      <c r="V7056" s="18" t="s">
        <v>15586</v>
      </c>
      <c r="W7056" s="18" t="s">
        <v>15587</v>
      </c>
      <c r="X7056" s="18" t="s">
        <v>42</v>
      </c>
      <c r="Y7056" s="18" t="s">
        <v>12266</v>
      </c>
      <c r="Z7056" s="18" t="s">
        <v>13441</v>
      </c>
      <c r="AA7056" s="21" t="str">
        <f>HYPERLINK("https://www.ncbi.nlm.nih.gov/nuccore/EU596959,EU596960","NCBI Nucleotide")</f>
        <v>NCBI Nucleotide</v>
      </c>
    </row>
    <row r="7057" spans="1:27" x14ac:dyDescent="0.35">
      <c r="A7057">
        <v>1007915</v>
      </c>
      <c r="B7057">
        <v>6595</v>
      </c>
      <c r="C7057">
        <v>1</v>
      </c>
      <c r="D7057" s="17" t="s">
        <v>10507</v>
      </c>
      <c r="E7057" s="17"/>
      <c r="F7057" s="17" t="s">
        <v>10780</v>
      </c>
      <c r="G7057" s="17"/>
      <c r="H7057" s="17" t="s">
        <v>12908</v>
      </c>
      <c r="I7057" s="17"/>
      <c r="J7057" s="17" t="s">
        <v>14018</v>
      </c>
      <c r="K7057" s="17"/>
      <c r="L7057" s="17" t="s">
        <v>14019</v>
      </c>
      <c r="M7057" s="17"/>
      <c r="N7057" s="17" t="s">
        <v>14020</v>
      </c>
      <c r="O7057" s="17"/>
      <c r="P7057" s="17" t="s">
        <v>14040</v>
      </c>
      <c r="Q7057" s="17"/>
      <c r="R7057" s="25" t="str">
        <f>HYPERLINK("https://ictv.global/taxonomy/taxondetails?taxnode_id=202303413","Begomovirus solanumintervenae")</f>
        <v>Begomovirus solanumintervenae</v>
      </c>
      <c r="S7057" s="18" t="s">
        <v>30</v>
      </c>
      <c r="T7057" s="18" t="s">
        <v>15508</v>
      </c>
      <c r="U7057" s="18" t="s">
        <v>15509</v>
      </c>
      <c r="V7057" s="18" t="s">
        <v>15510</v>
      </c>
      <c r="W7057" s="18" t="s">
        <v>15511</v>
      </c>
      <c r="X7057" s="18" t="s">
        <v>42</v>
      </c>
      <c r="Y7057" s="18" t="s">
        <v>12266</v>
      </c>
      <c r="Z7057" s="18" t="s">
        <v>13441</v>
      </c>
      <c r="AA7057" s="21" t="str">
        <f>HYPERLINK("https://www.ncbi.nlm.nih.gov/nuccore/JF803252","NCBI Nucleotide")</f>
        <v>NCBI Nucleotide</v>
      </c>
    </row>
    <row r="7058" spans="1:27" x14ac:dyDescent="0.35">
      <c r="A7058">
        <v>1007933</v>
      </c>
      <c r="B7058">
        <v>6596</v>
      </c>
      <c r="C7058">
        <v>1</v>
      </c>
      <c r="D7058" s="17" t="s">
        <v>10507</v>
      </c>
      <c r="E7058" s="17"/>
      <c r="F7058" s="17" t="s">
        <v>10780</v>
      </c>
      <c r="G7058" s="17"/>
      <c r="H7058" s="17" t="s">
        <v>12908</v>
      </c>
      <c r="I7058" s="17"/>
      <c r="J7058" s="17" t="s">
        <v>14018</v>
      </c>
      <c r="K7058" s="17"/>
      <c r="L7058" s="17" t="s">
        <v>14019</v>
      </c>
      <c r="M7058" s="17"/>
      <c r="N7058" s="17" t="s">
        <v>14020</v>
      </c>
      <c r="O7058" s="17"/>
      <c r="P7058" s="17" t="s">
        <v>14040</v>
      </c>
      <c r="Q7058" s="17"/>
      <c r="R7058" s="25" t="str">
        <f>HYPERLINK("https://ictv.global/taxonomy/taxondetails?taxnode_id=202303429","Begomovirus solanumiranense")</f>
        <v>Begomovirus solanumiranense</v>
      </c>
      <c r="S7058" s="18" t="s">
        <v>30</v>
      </c>
      <c r="T7058" s="18" t="s">
        <v>15588</v>
      </c>
      <c r="U7058" s="18" t="s">
        <v>15589</v>
      </c>
      <c r="V7058" s="18" t="s">
        <v>15590</v>
      </c>
      <c r="W7058" s="18" t="s">
        <v>41571</v>
      </c>
      <c r="X7058" s="18" t="s">
        <v>42</v>
      </c>
      <c r="Y7058" s="18" t="s">
        <v>12266</v>
      </c>
      <c r="Z7058" s="18" t="s">
        <v>13441</v>
      </c>
      <c r="AA7058" s="21" t="str">
        <f>HYPERLINK("https://www.ncbi.nlm.nih.gov/nuccore/AY297924","NCBI Nucleotide")</f>
        <v>NCBI Nucleotide</v>
      </c>
    </row>
    <row r="7059" spans="1:27" x14ac:dyDescent="0.35">
      <c r="A7059">
        <v>1007934</v>
      </c>
      <c r="B7059">
        <v>6597</v>
      </c>
      <c r="C7059">
        <v>1</v>
      </c>
      <c r="D7059" s="17" t="s">
        <v>10507</v>
      </c>
      <c r="E7059" s="17"/>
      <c r="F7059" s="17" t="s">
        <v>10780</v>
      </c>
      <c r="G7059" s="17"/>
      <c r="H7059" s="17" t="s">
        <v>12908</v>
      </c>
      <c r="I7059" s="17"/>
      <c r="J7059" s="17" t="s">
        <v>14018</v>
      </c>
      <c r="K7059" s="17"/>
      <c r="L7059" s="17" t="s">
        <v>14019</v>
      </c>
      <c r="M7059" s="17"/>
      <c r="N7059" s="17" t="s">
        <v>14020</v>
      </c>
      <c r="O7059" s="17"/>
      <c r="P7059" s="17" t="s">
        <v>14040</v>
      </c>
      <c r="Q7059" s="17"/>
      <c r="R7059" s="25" t="str">
        <f>HYPERLINK("https://ictv.global/taxonomy/taxondetails?taxnode_id=202306709","Begomovirus solanumjapanense")</f>
        <v>Begomovirus solanumjapanense</v>
      </c>
      <c r="S7059" s="18" t="s">
        <v>30</v>
      </c>
      <c r="T7059" s="18" t="s">
        <v>15591</v>
      </c>
      <c r="U7059" s="18" t="s">
        <v>15592</v>
      </c>
      <c r="V7059" s="18" t="s">
        <v>15593</v>
      </c>
      <c r="W7059" s="18" t="s">
        <v>41572</v>
      </c>
      <c r="X7059" s="18" t="s">
        <v>42</v>
      </c>
      <c r="Y7059" s="18" t="s">
        <v>12266</v>
      </c>
      <c r="Z7059" s="18" t="s">
        <v>13441</v>
      </c>
      <c r="AA7059" s="21" t="str">
        <f>HYPERLINK("https://www.ncbi.nlm.nih.gov/nuccore/AB236323","NCBI Nucleotide")</f>
        <v>NCBI Nucleotide</v>
      </c>
    </row>
    <row r="7060" spans="1:27" x14ac:dyDescent="0.35">
      <c r="A7060">
        <v>1007935</v>
      </c>
      <c r="B7060">
        <v>6598</v>
      </c>
      <c r="C7060">
        <v>1</v>
      </c>
      <c r="D7060" s="17" t="s">
        <v>10507</v>
      </c>
      <c r="E7060" s="17"/>
      <c r="F7060" s="17" t="s">
        <v>10780</v>
      </c>
      <c r="G7060" s="17"/>
      <c r="H7060" s="17" t="s">
        <v>12908</v>
      </c>
      <c r="I7060" s="17"/>
      <c r="J7060" s="17" t="s">
        <v>14018</v>
      </c>
      <c r="K7060" s="17"/>
      <c r="L7060" s="17" t="s">
        <v>14019</v>
      </c>
      <c r="M7060" s="17"/>
      <c r="N7060" s="17" t="s">
        <v>14020</v>
      </c>
      <c r="O7060" s="17"/>
      <c r="P7060" s="17" t="s">
        <v>14040</v>
      </c>
      <c r="Q7060" s="17"/>
      <c r="R7060" s="25" t="str">
        <f>HYPERLINK("https://ictv.global/taxonomy/taxondetails?taxnode_id=202303430","Begomovirus solanumjavaense")</f>
        <v>Begomovirus solanumjavaense</v>
      </c>
      <c r="S7060" s="18" t="s">
        <v>30</v>
      </c>
      <c r="T7060" s="18" t="s">
        <v>15594</v>
      </c>
      <c r="U7060" s="18" t="s">
        <v>15595</v>
      </c>
      <c r="V7060" s="18" t="s">
        <v>15596</v>
      </c>
      <c r="W7060" s="18" t="s">
        <v>41573</v>
      </c>
      <c r="X7060" s="18" t="s">
        <v>42</v>
      </c>
      <c r="Y7060" s="18" t="s">
        <v>12266</v>
      </c>
      <c r="Z7060" s="18" t="s">
        <v>13441</v>
      </c>
      <c r="AA7060" s="21" t="str">
        <f>HYPERLINK("https://www.ncbi.nlm.nih.gov/nuccore/AB100304","NCBI Nucleotide")</f>
        <v>NCBI Nucleotide</v>
      </c>
    </row>
    <row r="7061" spans="1:27" x14ac:dyDescent="0.35">
      <c r="A7061">
        <v>1012618</v>
      </c>
      <c r="B7061">
        <v>6598</v>
      </c>
      <c r="C7061">
        <v>2</v>
      </c>
      <c r="D7061" s="17" t="s">
        <v>10507</v>
      </c>
      <c r="E7061" s="17"/>
      <c r="F7061" s="17" t="s">
        <v>10780</v>
      </c>
      <c r="G7061" s="17"/>
      <c r="H7061" s="17" t="s">
        <v>12908</v>
      </c>
      <c r="I7061" s="17"/>
      <c r="J7061" s="17" t="s">
        <v>14018</v>
      </c>
      <c r="K7061" s="17"/>
      <c r="L7061" s="17" t="s">
        <v>14019</v>
      </c>
      <c r="M7061" s="17"/>
      <c r="N7061" s="17" t="s">
        <v>14020</v>
      </c>
      <c r="O7061" s="17"/>
      <c r="P7061" s="17" t="s">
        <v>14040</v>
      </c>
      <c r="Q7061" s="17"/>
      <c r="R7061" s="25" t="str">
        <f>HYPERLINK("https://ictv.global/taxonomy/taxondetails?taxnode_id=202303430","Begomovirus solanumjavaense")</f>
        <v>Begomovirus solanumjavaense</v>
      </c>
      <c r="S7061" s="18" t="s">
        <v>8141</v>
      </c>
      <c r="T7061" s="18" t="s">
        <v>15594</v>
      </c>
      <c r="U7061" s="18" t="s">
        <v>15597</v>
      </c>
      <c r="V7061" s="18" t="s">
        <v>15598</v>
      </c>
      <c r="W7061" s="18" t="s">
        <v>49191</v>
      </c>
      <c r="X7061" s="18" t="s">
        <v>42</v>
      </c>
      <c r="Y7061" s="18" t="s">
        <v>12266</v>
      </c>
      <c r="Z7061" s="18" t="s">
        <v>13441</v>
      </c>
      <c r="AA7061" s="21" t="str">
        <f>HYPERLINK("https://www.ncbi.nlm.nih.gov/nuccore/AB162141","NCBI Nucleotide")</f>
        <v>NCBI Nucleotide</v>
      </c>
    </row>
    <row r="7062" spans="1:27" x14ac:dyDescent="0.35">
      <c r="A7062">
        <v>1007936</v>
      </c>
      <c r="B7062">
        <v>6599</v>
      </c>
      <c r="C7062">
        <v>1</v>
      </c>
      <c r="D7062" s="17" t="s">
        <v>10507</v>
      </c>
      <c r="E7062" s="17"/>
      <c r="F7062" s="17" t="s">
        <v>10780</v>
      </c>
      <c r="G7062" s="17"/>
      <c r="H7062" s="17" t="s">
        <v>12908</v>
      </c>
      <c r="I7062" s="17"/>
      <c r="J7062" s="17" t="s">
        <v>14018</v>
      </c>
      <c r="K7062" s="17"/>
      <c r="L7062" s="17" t="s">
        <v>14019</v>
      </c>
      <c r="M7062" s="17"/>
      <c r="N7062" s="17" t="s">
        <v>14020</v>
      </c>
      <c r="O7062" s="17"/>
      <c r="P7062" s="17" t="s">
        <v>14040</v>
      </c>
      <c r="Q7062" s="17"/>
      <c r="R7062" s="25" t="str">
        <f>HYPERLINK("https://ictv.global/taxonomy/taxondetails?taxnode_id=202303431","Begomovirus solanumjoydebpurense")</f>
        <v>Begomovirus solanumjoydebpurense</v>
      </c>
      <c r="S7062" s="18" t="s">
        <v>30</v>
      </c>
      <c r="T7062" s="18" t="s">
        <v>15599</v>
      </c>
      <c r="U7062" s="18" t="s">
        <v>15592</v>
      </c>
      <c r="V7062" s="18" t="s">
        <v>15600</v>
      </c>
      <c r="W7062" s="18" t="s">
        <v>15601</v>
      </c>
      <c r="X7062" s="18" t="s">
        <v>42</v>
      </c>
      <c r="Y7062" s="18" t="s">
        <v>12266</v>
      </c>
      <c r="Z7062" s="18" t="s">
        <v>13441</v>
      </c>
      <c r="AA7062" s="21" t="str">
        <f>HYPERLINK("https://www.ncbi.nlm.nih.gov/nuccore/HM991146","NCBI Nucleotide")</f>
        <v>NCBI Nucleotide</v>
      </c>
    </row>
    <row r="7063" spans="1:27" x14ac:dyDescent="0.35">
      <c r="A7063">
        <v>1007985</v>
      </c>
      <c r="B7063">
        <v>6600</v>
      </c>
      <c r="C7063">
        <v>1</v>
      </c>
      <c r="D7063" s="17" t="s">
        <v>10507</v>
      </c>
      <c r="E7063" s="17"/>
      <c r="F7063" s="17" t="s">
        <v>10780</v>
      </c>
      <c r="G7063" s="17"/>
      <c r="H7063" s="17" t="s">
        <v>12908</v>
      </c>
      <c r="I7063" s="17"/>
      <c r="J7063" s="17" t="s">
        <v>14018</v>
      </c>
      <c r="K7063" s="17"/>
      <c r="L7063" s="17" t="s">
        <v>14019</v>
      </c>
      <c r="M7063" s="17"/>
      <c r="N7063" s="17" t="s">
        <v>14020</v>
      </c>
      <c r="O7063" s="17"/>
      <c r="P7063" s="17" t="s">
        <v>14040</v>
      </c>
      <c r="Q7063" s="17"/>
      <c r="R7063" s="25" t="str">
        <f>HYPERLINK("https://ictv.global/taxonomy/taxondetails?taxnode_id=202306715","Begomovirus solanumkalakadaense")</f>
        <v>Begomovirus solanumkalakadaense</v>
      </c>
      <c r="S7063" s="18" t="s">
        <v>30</v>
      </c>
      <c r="T7063" s="18" t="s">
        <v>15789</v>
      </c>
      <c r="U7063" s="18" t="s">
        <v>15790</v>
      </c>
      <c r="V7063" s="18" t="s">
        <v>15791</v>
      </c>
      <c r="W7063" s="18" t="s">
        <v>41574</v>
      </c>
      <c r="X7063" s="18" t="s">
        <v>42</v>
      </c>
      <c r="Y7063" s="18" t="s">
        <v>12266</v>
      </c>
      <c r="Z7063" s="18" t="s">
        <v>13441</v>
      </c>
      <c r="AA7063" s="21" t="str">
        <f>HYPERLINK("https://www.ncbi.nlm.nih.gov/nuccore/KP195267","NCBI Nucleotide")</f>
        <v>NCBI Nucleotide</v>
      </c>
    </row>
    <row r="7064" spans="1:27" x14ac:dyDescent="0.35">
      <c r="A7064">
        <v>1007937</v>
      </c>
      <c r="B7064">
        <v>6601</v>
      </c>
      <c r="C7064">
        <v>1</v>
      </c>
      <c r="D7064" s="17" t="s">
        <v>10507</v>
      </c>
      <c r="E7064" s="17"/>
      <c r="F7064" s="17" t="s">
        <v>10780</v>
      </c>
      <c r="G7064" s="17"/>
      <c r="H7064" s="17" t="s">
        <v>12908</v>
      </c>
      <c r="I7064" s="17"/>
      <c r="J7064" s="17" t="s">
        <v>14018</v>
      </c>
      <c r="K7064" s="17"/>
      <c r="L7064" s="17" t="s">
        <v>14019</v>
      </c>
      <c r="M7064" s="17"/>
      <c r="N7064" s="17" t="s">
        <v>14020</v>
      </c>
      <c r="O7064" s="17"/>
      <c r="P7064" s="17" t="s">
        <v>14040</v>
      </c>
      <c r="Q7064" s="17"/>
      <c r="R7064" s="25" t="str">
        <f>HYPERLINK("https://ictv.global/taxonomy/taxondetails?taxnode_id=202303432","Begomovirus solanumkarnatakaense")</f>
        <v>Begomovirus solanumkarnatakaense</v>
      </c>
      <c r="S7064" s="18" t="s">
        <v>30</v>
      </c>
      <c r="T7064" s="18" t="s">
        <v>15602</v>
      </c>
      <c r="U7064" s="18" t="s">
        <v>15603</v>
      </c>
      <c r="V7064" s="18" t="s">
        <v>15604</v>
      </c>
      <c r="W7064" s="18" t="s">
        <v>41575</v>
      </c>
      <c r="X7064" s="18" t="s">
        <v>42</v>
      </c>
      <c r="Y7064" s="18" t="s">
        <v>12266</v>
      </c>
      <c r="Z7064" s="18" t="s">
        <v>13441</v>
      </c>
      <c r="AA7064" s="21" t="str">
        <f>HYPERLINK("https://www.ncbi.nlm.nih.gov/nuccore/U38239","NCBI Nucleotide")</f>
        <v>NCBI Nucleotide</v>
      </c>
    </row>
    <row r="7065" spans="1:27" x14ac:dyDescent="0.35">
      <c r="A7065">
        <v>1012630</v>
      </c>
      <c r="B7065">
        <v>6601</v>
      </c>
      <c r="C7065">
        <v>2</v>
      </c>
      <c r="D7065" s="17" t="s">
        <v>10507</v>
      </c>
      <c r="E7065" s="17"/>
      <c r="F7065" s="17" t="s">
        <v>10780</v>
      </c>
      <c r="G7065" s="17"/>
      <c r="H7065" s="17" t="s">
        <v>12908</v>
      </c>
      <c r="I7065" s="17"/>
      <c r="J7065" s="17" t="s">
        <v>14018</v>
      </c>
      <c r="K7065" s="17"/>
      <c r="L7065" s="17" t="s">
        <v>14019</v>
      </c>
      <c r="M7065" s="17"/>
      <c r="N7065" s="17" t="s">
        <v>14020</v>
      </c>
      <c r="O7065" s="17"/>
      <c r="P7065" s="17" t="s">
        <v>14040</v>
      </c>
      <c r="Q7065" s="17"/>
      <c r="R7065" s="25" t="str">
        <f>HYPERLINK("https://ictv.global/taxonomy/taxondetails?taxnode_id=202303432","Begomovirus solanumkarnatakaense")</f>
        <v>Begomovirus solanumkarnatakaense</v>
      </c>
      <c r="S7065" s="18" t="s">
        <v>8141</v>
      </c>
      <c r="T7065" s="18" t="s">
        <v>15734</v>
      </c>
      <c r="U7065" s="18" t="s">
        <v>15741</v>
      </c>
      <c r="V7065" s="18" t="s">
        <v>15742</v>
      </c>
      <c r="W7065" s="18" t="s">
        <v>49166</v>
      </c>
      <c r="X7065" s="18" t="s">
        <v>42</v>
      </c>
      <c r="Y7065" s="18" t="s">
        <v>12266</v>
      </c>
      <c r="Z7065" s="18" t="s">
        <v>13441</v>
      </c>
      <c r="AA7065" s="21" t="str">
        <f>HYPERLINK("https://www.ncbi.nlm.nih.gov/nuccore/FJ514798","NCBI Nucleotide")</f>
        <v>NCBI Nucleotide</v>
      </c>
    </row>
    <row r="7066" spans="1:27" x14ac:dyDescent="0.35">
      <c r="A7066">
        <v>1012631</v>
      </c>
      <c r="B7066">
        <v>6601</v>
      </c>
      <c r="C7066">
        <v>3</v>
      </c>
      <c r="D7066" s="17" t="s">
        <v>10507</v>
      </c>
      <c r="E7066" s="17"/>
      <c r="F7066" s="17" t="s">
        <v>10780</v>
      </c>
      <c r="G7066" s="17"/>
      <c r="H7066" s="17" t="s">
        <v>12908</v>
      </c>
      <c r="I7066" s="17"/>
      <c r="J7066" s="17" t="s">
        <v>14018</v>
      </c>
      <c r="K7066" s="17"/>
      <c r="L7066" s="17" t="s">
        <v>14019</v>
      </c>
      <c r="M7066" s="17"/>
      <c r="N7066" s="17" t="s">
        <v>14020</v>
      </c>
      <c r="O7066" s="17"/>
      <c r="P7066" s="17" t="s">
        <v>14040</v>
      </c>
      <c r="Q7066" s="17"/>
      <c r="R7066" s="25" t="str">
        <f>HYPERLINK("https://ictv.global/taxonomy/taxondetails?taxnode_id=202303432","Begomovirus solanumkarnatakaense")</f>
        <v>Begomovirus solanumkarnatakaense</v>
      </c>
      <c r="S7066" s="18" t="s">
        <v>8141</v>
      </c>
      <c r="T7066" s="18" t="s">
        <v>15734</v>
      </c>
      <c r="U7066" s="18" t="s">
        <v>15743</v>
      </c>
      <c r="V7066" s="18" t="s">
        <v>15744</v>
      </c>
      <c r="W7066" s="18" t="s">
        <v>49167</v>
      </c>
      <c r="X7066" s="18" t="s">
        <v>42</v>
      </c>
      <c r="Y7066" s="18" t="s">
        <v>12266</v>
      </c>
      <c r="Z7066" s="18" t="s">
        <v>13441</v>
      </c>
      <c r="AA7066" s="21" t="str">
        <f>HYPERLINK("https://www.ncbi.nlm.nih.gov/nuccore/AY754812","NCBI Nucleotide")</f>
        <v>NCBI Nucleotide</v>
      </c>
    </row>
    <row r="7067" spans="1:27" x14ac:dyDescent="0.35">
      <c r="A7067">
        <v>1007938</v>
      </c>
      <c r="B7067">
        <v>6602</v>
      </c>
      <c r="C7067">
        <v>1</v>
      </c>
      <c r="D7067" s="17" t="s">
        <v>10507</v>
      </c>
      <c r="E7067" s="17"/>
      <c r="F7067" s="17" t="s">
        <v>10780</v>
      </c>
      <c r="G7067" s="17"/>
      <c r="H7067" s="17" t="s">
        <v>12908</v>
      </c>
      <c r="I7067" s="17"/>
      <c r="J7067" s="17" t="s">
        <v>14018</v>
      </c>
      <c r="K7067" s="17"/>
      <c r="L7067" s="17" t="s">
        <v>14019</v>
      </c>
      <c r="M7067" s="17"/>
      <c r="N7067" s="17" t="s">
        <v>14020</v>
      </c>
      <c r="O7067" s="17"/>
      <c r="P7067" s="17" t="s">
        <v>14040</v>
      </c>
      <c r="Q7067" s="17"/>
      <c r="R7067" s="25" t="str">
        <f>HYPERLINK("https://ictv.global/taxonomy/taxondetails?taxnode_id=202306713","Begomovirus solanumkarnatakasecundi")</f>
        <v>Begomovirus solanumkarnatakasecundi</v>
      </c>
      <c r="S7067" s="18" t="s">
        <v>30</v>
      </c>
      <c r="T7067" s="18" t="s">
        <v>15605</v>
      </c>
      <c r="U7067" s="18" t="s">
        <v>15606</v>
      </c>
      <c r="V7067" s="18" t="s">
        <v>15607</v>
      </c>
      <c r="W7067" s="18" t="s">
        <v>41576</v>
      </c>
      <c r="X7067" s="18" t="s">
        <v>42</v>
      </c>
      <c r="Y7067" s="18" t="s">
        <v>12266</v>
      </c>
      <c r="Z7067" s="18" t="s">
        <v>13441</v>
      </c>
      <c r="AA7067" s="21" t="str">
        <f>HYPERLINK("https://www.ncbi.nlm.nih.gov/nuccore/KF551578","NCBI Nucleotide")</f>
        <v>NCBI Nucleotide</v>
      </c>
    </row>
    <row r="7068" spans="1:27" x14ac:dyDescent="0.35">
      <c r="A7068">
        <v>1007939</v>
      </c>
      <c r="B7068">
        <v>6603</v>
      </c>
      <c r="C7068">
        <v>1</v>
      </c>
      <c r="D7068" s="17" t="s">
        <v>10507</v>
      </c>
      <c r="E7068" s="17"/>
      <c r="F7068" s="17" t="s">
        <v>10780</v>
      </c>
      <c r="G7068" s="17"/>
      <c r="H7068" s="17" t="s">
        <v>12908</v>
      </c>
      <c r="I7068" s="17"/>
      <c r="J7068" s="17" t="s">
        <v>14018</v>
      </c>
      <c r="K7068" s="17"/>
      <c r="L7068" s="17" t="s">
        <v>14019</v>
      </c>
      <c r="M7068" s="17"/>
      <c r="N7068" s="17" t="s">
        <v>14020</v>
      </c>
      <c r="O7068" s="17"/>
      <c r="P7068" s="17" t="s">
        <v>14040</v>
      </c>
      <c r="Q7068" s="17"/>
      <c r="R7068" s="25" t="str">
        <f>HYPERLINK("https://ictv.global/taxonomy/taxondetails?taxnode_id=202306714","Begomovirus solanumkarnatakatertii")</f>
        <v>Begomovirus solanumkarnatakatertii</v>
      </c>
      <c r="S7068" s="18" t="s">
        <v>30</v>
      </c>
      <c r="T7068" s="18" t="s">
        <v>15608</v>
      </c>
      <c r="U7068" s="18" t="s">
        <v>15609</v>
      </c>
      <c r="V7068" s="18" t="s">
        <v>15610</v>
      </c>
      <c r="W7068" s="18" t="s">
        <v>41577</v>
      </c>
      <c r="X7068" s="18" t="s">
        <v>42</v>
      </c>
      <c r="Y7068" s="18" t="s">
        <v>12266</v>
      </c>
      <c r="Z7068" s="18" t="s">
        <v>13441</v>
      </c>
      <c r="AA7068" s="21" t="str">
        <f>HYPERLINK("https://www.ncbi.nlm.nih.gov/nuccore/KF551585","NCBI Nucleotide")</f>
        <v>NCBI Nucleotide</v>
      </c>
    </row>
    <row r="7069" spans="1:27" x14ac:dyDescent="0.35">
      <c r="A7069">
        <v>1007940</v>
      </c>
      <c r="B7069">
        <v>6604</v>
      </c>
      <c r="C7069">
        <v>1</v>
      </c>
      <c r="D7069" s="17" t="s">
        <v>10507</v>
      </c>
      <c r="E7069" s="17"/>
      <c r="F7069" s="17" t="s">
        <v>10780</v>
      </c>
      <c r="G7069" s="17"/>
      <c r="H7069" s="17" t="s">
        <v>12908</v>
      </c>
      <c r="I7069" s="17"/>
      <c r="J7069" s="17" t="s">
        <v>14018</v>
      </c>
      <c r="K7069" s="17"/>
      <c r="L7069" s="17" t="s">
        <v>14019</v>
      </c>
      <c r="M7069" s="17"/>
      <c r="N7069" s="17" t="s">
        <v>14020</v>
      </c>
      <c r="O7069" s="17"/>
      <c r="P7069" s="17" t="s">
        <v>14040</v>
      </c>
      <c r="Q7069" s="17"/>
      <c r="R7069" s="25" t="str">
        <f>HYPERLINK("https://ictv.global/taxonomy/taxondetails?taxnode_id=202303433","Begomovirus solanumkeralaense")</f>
        <v>Begomovirus solanumkeralaense</v>
      </c>
      <c r="S7069" s="18" t="s">
        <v>30</v>
      </c>
      <c r="T7069" s="18" t="s">
        <v>15611</v>
      </c>
      <c r="U7069" s="18" t="s">
        <v>15612</v>
      </c>
      <c r="V7069" s="18" t="s">
        <v>15613</v>
      </c>
      <c r="W7069" s="18" t="s">
        <v>15614</v>
      </c>
      <c r="X7069" s="18" t="s">
        <v>42</v>
      </c>
      <c r="Y7069" s="18" t="s">
        <v>12266</v>
      </c>
      <c r="Z7069" s="18" t="s">
        <v>13441</v>
      </c>
      <c r="AA7069" s="21" t="str">
        <f>HYPERLINK("https://www.ncbi.nlm.nih.gov/nuccore/EU910141","NCBI Nucleotide")</f>
        <v>NCBI Nucleotide</v>
      </c>
    </row>
    <row r="7070" spans="1:27" x14ac:dyDescent="0.35">
      <c r="A7070">
        <v>1007941</v>
      </c>
      <c r="B7070">
        <v>6605</v>
      </c>
      <c r="C7070">
        <v>1</v>
      </c>
      <c r="D7070" s="17" t="s">
        <v>10507</v>
      </c>
      <c r="E7070" s="17"/>
      <c r="F7070" s="17" t="s">
        <v>10780</v>
      </c>
      <c r="G7070" s="17"/>
      <c r="H7070" s="17" t="s">
        <v>12908</v>
      </c>
      <c r="I7070" s="17"/>
      <c r="J7070" s="17" t="s">
        <v>14018</v>
      </c>
      <c r="K7070" s="17"/>
      <c r="L7070" s="17" t="s">
        <v>14019</v>
      </c>
      <c r="M7070" s="17"/>
      <c r="N7070" s="17" t="s">
        <v>14020</v>
      </c>
      <c r="O7070" s="17"/>
      <c r="P7070" s="17" t="s">
        <v>14040</v>
      </c>
      <c r="Q7070" s="17"/>
      <c r="R7070" s="25" t="str">
        <f>HYPERLINK("https://ictv.global/taxonomy/taxondetails?taxnode_id=202309134","Begomovirus solanumkunenense")</f>
        <v>Begomovirus solanumkunenense</v>
      </c>
      <c r="S7070" s="18" t="s">
        <v>30</v>
      </c>
      <c r="T7070" s="18" t="s">
        <v>15615</v>
      </c>
      <c r="U7070" s="18" t="s">
        <v>15616</v>
      </c>
      <c r="V7070" s="18" t="s">
        <v>15617</v>
      </c>
      <c r="W7070" s="18" t="s">
        <v>41578</v>
      </c>
      <c r="X7070" s="18" t="s">
        <v>42</v>
      </c>
      <c r="Y7070" s="18" t="s">
        <v>12266</v>
      </c>
      <c r="Z7070" s="18" t="s">
        <v>13441</v>
      </c>
      <c r="AA7070" s="21" t="str">
        <f>HYPERLINK("https://www.ncbi.nlm.nih.gov/nuccore/MT045996","NCBI Nucleotide")</f>
        <v>NCBI Nucleotide</v>
      </c>
    </row>
    <row r="7071" spans="1:27" x14ac:dyDescent="0.35">
      <c r="A7071">
        <v>1007942</v>
      </c>
      <c r="B7071">
        <v>6606</v>
      </c>
      <c r="C7071">
        <v>1</v>
      </c>
      <c r="D7071" s="17" t="s">
        <v>10507</v>
      </c>
      <c r="E7071" s="17"/>
      <c r="F7071" s="17" t="s">
        <v>10780</v>
      </c>
      <c r="G7071" s="17"/>
      <c r="H7071" s="17" t="s">
        <v>12908</v>
      </c>
      <c r="I7071" s="17"/>
      <c r="J7071" s="17" t="s">
        <v>14018</v>
      </c>
      <c r="K7071" s="17"/>
      <c r="L7071" s="17" t="s">
        <v>14019</v>
      </c>
      <c r="M7071" s="17"/>
      <c r="N7071" s="17" t="s">
        <v>14020</v>
      </c>
      <c r="O7071" s="17"/>
      <c r="P7071" s="17" t="s">
        <v>14040</v>
      </c>
      <c r="Q7071" s="17"/>
      <c r="R7071" s="25" t="str">
        <f>HYPERLINK("https://ictv.global/taxonomy/taxondetails?taxnode_id=202303434","Begomovirus solanumlaosense")</f>
        <v>Begomovirus solanumlaosense</v>
      </c>
      <c r="S7071" s="18" t="s">
        <v>30</v>
      </c>
      <c r="T7071" s="18" t="s">
        <v>15618</v>
      </c>
      <c r="U7071" s="18" t="s">
        <v>15619</v>
      </c>
      <c r="V7071" s="18" t="s">
        <v>15620</v>
      </c>
      <c r="W7071" s="18" t="s">
        <v>41579</v>
      </c>
      <c r="X7071" s="18" t="s">
        <v>42</v>
      </c>
      <c r="Y7071" s="18" t="s">
        <v>12266</v>
      </c>
      <c r="Z7071" s="18" t="s">
        <v>13441</v>
      </c>
      <c r="AA7071" s="21" t="str">
        <f>HYPERLINK("https://www.ncbi.nlm.nih.gov/nuccore/AF195782","NCBI Nucleotide")</f>
        <v>NCBI Nucleotide</v>
      </c>
    </row>
    <row r="7072" spans="1:27" x14ac:dyDescent="0.35">
      <c r="A7072">
        <v>1007901</v>
      </c>
      <c r="B7072">
        <v>6607</v>
      </c>
      <c r="C7072">
        <v>1</v>
      </c>
      <c r="D7072" s="17" t="s">
        <v>10507</v>
      </c>
      <c r="E7072" s="17"/>
      <c r="F7072" s="17" t="s">
        <v>10780</v>
      </c>
      <c r="G7072" s="17"/>
      <c r="H7072" s="17" t="s">
        <v>12908</v>
      </c>
      <c r="I7072" s="17"/>
      <c r="J7072" s="17" t="s">
        <v>14018</v>
      </c>
      <c r="K7072" s="17"/>
      <c r="L7072" s="17" t="s">
        <v>14019</v>
      </c>
      <c r="M7072" s="17"/>
      <c r="N7072" s="17" t="s">
        <v>14020</v>
      </c>
      <c r="O7072" s="17"/>
      <c r="P7072" s="17" t="s">
        <v>14040</v>
      </c>
      <c r="Q7072" s="17"/>
      <c r="R7072" s="25" t="str">
        <f>HYPERLINK("https://ictv.global/taxonomy/taxondetails?taxnode_id=202303403","Begomovirus solanumlapazense")</f>
        <v>Begomovirus solanumlapazense</v>
      </c>
      <c r="S7072" s="18" t="s">
        <v>30</v>
      </c>
      <c r="T7072" s="18" t="s">
        <v>15447</v>
      </c>
      <c r="U7072" s="18" t="s">
        <v>15448</v>
      </c>
      <c r="V7072" s="18" t="s">
        <v>15449</v>
      </c>
      <c r="W7072" s="18" t="s">
        <v>15450</v>
      </c>
      <c r="X7072" s="18" t="s">
        <v>42</v>
      </c>
      <c r="Y7072" s="18" t="s">
        <v>12266</v>
      </c>
      <c r="Z7072" s="18" t="s">
        <v>13441</v>
      </c>
      <c r="AA7072" s="21" t="str">
        <f>HYPERLINK("https://www.ncbi.nlm.nih.gov/nuccore/AY339618","NCBI Nucleotide")</f>
        <v>NCBI Nucleotide</v>
      </c>
    </row>
    <row r="7073" spans="1:27" x14ac:dyDescent="0.35">
      <c r="A7073">
        <v>1012605</v>
      </c>
      <c r="B7073">
        <v>6607</v>
      </c>
      <c r="C7073">
        <v>2</v>
      </c>
      <c r="D7073" s="17" t="s">
        <v>10507</v>
      </c>
      <c r="E7073" s="17"/>
      <c r="F7073" s="17" t="s">
        <v>10780</v>
      </c>
      <c r="G7073" s="17"/>
      <c r="H7073" s="17" t="s">
        <v>12908</v>
      </c>
      <c r="I7073" s="17"/>
      <c r="J7073" s="17" t="s">
        <v>14018</v>
      </c>
      <c r="K7073" s="17"/>
      <c r="L7073" s="17" t="s">
        <v>14019</v>
      </c>
      <c r="M7073" s="17"/>
      <c r="N7073" s="17" t="s">
        <v>14020</v>
      </c>
      <c r="O7073" s="17"/>
      <c r="P7073" s="17" t="s">
        <v>14040</v>
      </c>
      <c r="Q7073" s="17"/>
      <c r="R7073" s="25" t="str">
        <f>HYPERLINK("https://ictv.global/taxonomy/taxondetails?taxnode_id=202303403","Begomovirus solanumlapazense")</f>
        <v>Begomovirus solanumlapazense</v>
      </c>
      <c r="S7073" s="18" t="s">
        <v>8141</v>
      </c>
      <c r="T7073" s="18" t="s">
        <v>15447</v>
      </c>
      <c r="U7073" s="18" t="s">
        <v>15451</v>
      </c>
      <c r="V7073" s="18" t="s">
        <v>15452</v>
      </c>
      <c r="W7073" s="18" t="s">
        <v>49192</v>
      </c>
      <c r="X7073" s="18" t="s">
        <v>42</v>
      </c>
      <c r="Y7073" s="18" t="s">
        <v>12266</v>
      </c>
      <c r="Z7073" s="18" t="s">
        <v>13441</v>
      </c>
      <c r="AA7073" s="21" t="str">
        <f>HYPERLINK("https://www.ncbi.nlm.nih.gov/nuccore/JN676150","NCBI Nucleotide")</f>
        <v>NCBI Nucleotide</v>
      </c>
    </row>
    <row r="7074" spans="1:27" x14ac:dyDescent="0.35">
      <c r="A7074">
        <v>1012606</v>
      </c>
      <c r="B7074">
        <v>6607</v>
      </c>
      <c r="C7074">
        <v>3</v>
      </c>
      <c r="D7074" s="17" t="s">
        <v>10507</v>
      </c>
      <c r="E7074" s="17"/>
      <c r="F7074" s="17" t="s">
        <v>10780</v>
      </c>
      <c r="G7074" s="17"/>
      <c r="H7074" s="17" t="s">
        <v>12908</v>
      </c>
      <c r="I7074" s="17"/>
      <c r="J7074" s="17" t="s">
        <v>14018</v>
      </c>
      <c r="K7074" s="17"/>
      <c r="L7074" s="17" t="s">
        <v>14019</v>
      </c>
      <c r="M7074" s="17"/>
      <c r="N7074" s="17" t="s">
        <v>14020</v>
      </c>
      <c r="O7074" s="17"/>
      <c r="P7074" s="17" t="s">
        <v>14040</v>
      </c>
      <c r="Q7074" s="17"/>
      <c r="R7074" s="25" t="str">
        <f>HYPERLINK("https://ictv.global/taxonomy/taxondetails?taxnode_id=202303403","Begomovirus solanumlapazense")</f>
        <v>Begomovirus solanumlapazense</v>
      </c>
      <c r="S7074" s="18" t="s">
        <v>8141</v>
      </c>
      <c r="T7074" s="18" t="s">
        <v>15447</v>
      </c>
      <c r="U7074" s="18" t="s">
        <v>15448</v>
      </c>
      <c r="V7074" s="18" t="s">
        <v>15453</v>
      </c>
      <c r="W7074" s="18" t="s">
        <v>49193</v>
      </c>
      <c r="X7074" s="18" t="s">
        <v>42</v>
      </c>
      <c r="Y7074" s="18" t="s">
        <v>12266</v>
      </c>
      <c r="Z7074" s="18" t="s">
        <v>13441</v>
      </c>
      <c r="AA7074" s="21" t="str">
        <f>HYPERLINK("https://www.ncbi.nlm.nih.gov/nuccore/AY339619","NCBI Nucleotide")</f>
        <v>NCBI Nucleotide</v>
      </c>
    </row>
    <row r="7075" spans="1:27" x14ac:dyDescent="0.35">
      <c r="A7075">
        <v>1007916</v>
      </c>
      <c r="B7075">
        <v>6608</v>
      </c>
      <c r="C7075">
        <v>1</v>
      </c>
      <c r="D7075" s="17" t="s">
        <v>10507</v>
      </c>
      <c r="E7075" s="17"/>
      <c r="F7075" s="17" t="s">
        <v>10780</v>
      </c>
      <c r="G7075" s="17"/>
      <c r="H7075" s="17" t="s">
        <v>12908</v>
      </c>
      <c r="I7075" s="17"/>
      <c r="J7075" s="17" t="s">
        <v>14018</v>
      </c>
      <c r="K7075" s="17"/>
      <c r="L7075" s="17" t="s">
        <v>14019</v>
      </c>
      <c r="M7075" s="17"/>
      <c r="N7075" s="17" t="s">
        <v>14020</v>
      </c>
      <c r="O7075" s="17"/>
      <c r="P7075" s="17" t="s">
        <v>14040</v>
      </c>
      <c r="Q7075" s="17"/>
      <c r="R7075" s="25" t="str">
        <f>HYPERLINK("https://ictv.global/taxonomy/taxondetails?taxnode_id=202305837","Begomovirus solanumlatentis")</f>
        <v>Begomovirus solanumlatentis</v>
      </c>
      <c r="S7075" s="18" t="s">
        <v>30</v>
      </c>
      <c r="T7075" s="18" t="s">
        <v>15512</v>
      </c>
      <c r="U7075" s="18" t="s">
        <v>15513</v>
      </c>
      <c r="V7075" s="18" t="s">
        <v>15514</v>
      </c>
      <c r="W7075" s="18" t="s">
        <v>41580</v>
      </c>
      <c r="X7075" s="18" t="s">
        <v>42</v>
      </c>
      <c r="Y7075" s="18" t="s">
        <v>12266</v>
      </c>
      <c r="Z7075" s="18" t="s">
        <v>13441</v>
      </c>
      <c r="AA7075" s="21" t="str">
        <f>HYPERLINK("https://www.ncbi.nlm.nih.gov/nuccore/KM926624","NCBI Nucleotide")</f>
        <v>NCBI Nucleotide</v>
      </c>
    </row>
    <row r="7076" spans="1:27" x14ac:dyDescent="0.35">
      <c r="A7076">
        <v>1007943</v>
      </c>
      <c r="B7076">
        <v>6609</v>
      </c>
      <c r="C7076">
        <v>1</v>
      </c>
      <c r="D7076" s="17" t="s">
        <v>10507</v>
      </c>
      <c r="E7076" s="17"/>
      <c r="F7076" s="17" t="s">
        <v>10780</v>
      </c>
      <c r="G7076" s="17"/>
      <c r="H7076" s="17" t="s">
        <v>12908</v>
      </c>
      <c r="I7076" s="17"/>
      <c r="J7076" s="17" t="s">
        <v>14018</v>
      </c>
      <c r="K7076" s="17"/>
      <c r="L7076" s="17" t="s">
        <v>14019</v>
      </c>
      <c r="M7076" s="17"/>
      <c r="N7076" s="17" t="s">
        <v>14020</v>
      </c>
      <c r="O7076" s="17"/>
      <c r="P7076" s="17" t="s">
        <v>14040</v>
      </c>
      <c r="Q7076" s="17"/>
      <c r="R7076" s="25" t="str">
        <f>HYPERLINK("https://ictv.global/taxonomy/taxondetails?taxnode_id=202303435","Begomovirus solanumliwaense")</f>
        <v>Begomovirus solanumliwaense</v>
      </c>
      <c r="S7076" s="18" t="s">
        <v>30</v>
      </c>
      <c r="T7076" s="18" t="s">
        <v>15621</v>
      </c>
      <c r="U7076" s="18" t="s">
        <v>15622</v>
      </c>
      <c r="V7076" s="18" t="s">
        <v>15623</v>
      </c>
      <c r="W7076" s="18" t="s">
        <v>41581</v>
      </c>
      <c r="X7076" s="18" t="s">
        <v>42</v>
      </c>
      <c r="Y7076" s="18" t="s">
        <v>12266</v>
      </c>
      <c r="Z7076" s="18" t="s">
        <v>13441</v>
      </c>
      <c r="AA7076" s="21" t="str">
        <f>HYPERLINK("https://www.ncbi.nlm.nih.gov/nuccore/HF912280","NCBI Nucleotide")</f>
        <v>NCBI Nucleotide</v>
      </c>
    </row>
    <row r="7077" spans="1:27" x14ac:dyDescent="0.35">
      <c r="A7077">
        <v>1007944</v>
      </c>
      <c r="B7077">
        <v>6610</v>
      </c>
      <c r="C7077">
        <v>1</v>
      </c>
      <c r="D7077" s="17" t="s">
        <v>10507</v>
      </c>
      <c r="E7077" s="17"/>
      <c r="F7077" s="17" t="s">
        <v>10780</v>
      </c>
      <c r="G7077" s="17"/>
      <c r="H7077" s="17" t="s">
        <v>12908</v>
      </c>
      <c r="I7077" s="17"/>
      <c r="J7077" s="17" t="s">
        <v>14018</v>
      </c>
      <c r="K7077" s="17"/>
      <c r="L7077" s="17" t="s">
        <v>14019</v>
      </c>
      <c r="M7077" s="17"/>
      <c r="N7077" s="17" t="s">
        <v>14020</v>
      </c>
      <c r="O7077" s="17"/>
      <c r="P7077" s="17" t="s">
        <v>14040</v>
      </c>
      <c r="Q7077" s="17"/>
      <c r="R7077" s="25" t="str">
        <f>HYPERLINK("https://ictv.global/taxonomy/taxondetails?taxnode_id=202303436","Begomovirus solanummadagascarense")</f>
        <v>Begomovirus solanummadagascarense</v>
      </c>
      <c r="S7077" s="18" t="s">
        <v>30</v>
      </c>
      <c r="T7077" s="18" t="s">
        <v>15624</v>
      </c>
      <c r="U7077" s="18" t="s">
        <v>15625</v>
      </c>
      <c r="V7077" s="18" t="s">
        <v>15626</v>
      </c>
      <c r="W7077" s="18" t="s">
        <v>41582</v>
      </c>
      <c r="X7077" s="18" t="s">
        <v>42</v>
      </c>
      <c r="Y7077" s="18" t="s">
        <v>12266</v>
      </c>
      <c r="Z7077" s="18" t="s">
        <v>13441</v>
      </c>
      <c r="AA7077" s="21" t="str">
        <f>HYPERLINK("https://www.ncbi.nlm.nih.gov/nuccore/AJ865338","NCBI Nucleotide")</f>
        <v>NCBI Nucleotide</v>
      </c>
    </row>
    <row r="7078" spans="1:27" x14ac:dyDescent="0.35">
      <c r="A7078">
        <v>1012619</v>
      </c>
      <c r="B7078">
        <v>6610</v>
      </c>
      <c r="C7078">
        <v>2</v>
      </c>
      <c r="D7078" s="17" t="s">
        <v>10507</v>
      </c>
      <c r="E7078" s="17"/>
      <c r="F7078" s="17" t="s">
        <v>10780</v>
      </c>
      <c r="G7078" s="17"/>
      <c r="H7078" s="17" t="s">
        <v>12908</v>
      </c>
      <c r="I7078" s="17"/>
      <c r="J7078" s="17" t="s">
        <v>14018</v>
      </c>
      <c r="K7078" s="17"/>
      <c r="L7078" s="17" t="s">
        <v>14019</v>
      </c>
      <c r="M7078" s="17"/>
      <c r="N7078" s="17" t="s">
        <v>14020</v>
      </c>
      <c r="O7078" s="17"/>
      <c r="P7078" s="17" t="s">
        <v>14040</v>
      </c>
      <c r="Q7078" s="17"/>
      <c r="R7078" s="25" t="str">
        <f>HYPERLINK("https://ictv.global/taxonomy/taxondetails?taxnode_id=202303436","Begomovirus solanummadagascarense")</f>
        <v>Begomovirus solanummadagascarense</v>
      </c>
      <c r="S7078" s="18" t="s">
        <v>8141</v>
      </c>
      <c r="T7078" s="18" t="s">
        <v>15624</v>
      </c>
      <c r="U7078" s="18" t="s">
        <v>15627</v>
      </c>
      <c r="V7078" s="18" t="s">
        <v>15628</v>
      </c>
      <c r="W7078" s="18" t="s">
        <v>49194</v>
      </c>
      <c r="X7078" s="18" t="s">
        <v>42</v>
      </c>
      <c r="Y7078" s="18" t="s">
        <v>12266</v>
      </c>
      <c r="Z7078" s="18" t="s">
        <v>13441</v>
      </c>
      <c r="AA7078" s="21" t="str">
        <f>HYPERLINK("https://www.ncbi.nlm.nih.gov/nuccore/AJ865339","NCBI Nucleotide")</f>
        <v>NCBI Nucleotide</v>
      </c>
    </row>
    <row r="7079" spans="1:27" x14ac:dyDescent="0.35">
      <c r="A7079">
        <v>1007945</v>
      </c>
      <c r="B7079">
        <v>6611</v>
      </c>
      <c r="C7079">
        <v>1</v>
      </c>
      <c r="D7079" s="17" t="s">
        <v>10507</v>
      </c>
      <c r="E7079" s="17"/>
      <c r="F7079" s="17" t="s">
        <v>10780</v>
      </c>
      <c r="G7079" s="17"/>
      <c r="H7079" s="17" t="s">
        <v>12908</v>
      </c>
      <c r="I7079" s="17"/>
      <c r="J7079" s="17" t="s">
        <v>14018</v>
      </c>
      <c r="K7079" s="17"/>
      <c r="L7079" s="17" t="s">
        <v>14019</v>
      </c>
      <c r="M7079" s="17"/>
      <c r="N7079" s="17" t="s">
        <v>14020</v>
      </c>
      <c r="O7079" s="17"/>
      <c r="P7079" s="17" t="s">
        <v>14040</v>
      </c>
      <c r="Q7079" s="17"/>
      <c r="R7079" s="25" t="str">
        <f>HYPERLINK("https://ictv.global/taxonomy/taxondetails?taxnode_id=202307531","Begomovirus solanummahense")</f>
        <v>Begomovirus solanummahense</v>
      </c>
      <c r="S7079" s="18" t="s">
        <v>30</v>
      </c>
      <c r="T7079" s="18" t="s">
        <v>15629</v>
      </c>
      <c r="U7079" s="18" t="s">
        <v>15630</v>
      </c>
      <c r="V7079" s="18" t="s">
        <v>15631</v>
      </c>
      <c r="W7079" s="18" t="s">
        <v>41583</v>
      </c>
      <c r="X7079" s="18" t="s">
        <v>42</v>
      </c>
      <c r="Y7079" s="18" t="s">
        <v>12266</v>
      </c>
      <c r="Z7079" s="18" t="s">
        <v>13441</v>
      </c>
      <c r="AA7079" s="21" t="str">
        <f>HYPERLINK("https://www.ncbi.nlm.nih.gov/nuccore/MH410152","NCBI Nucleotide")</f>
        <v>NCBI Nucleotide</v>
      </c>
    </row>
    <row r="7080" spans="1:27" x14ac:dyDescent="0.35">
      <c r="A7080">
        <v>1007946</v>
      </c>
      <c r="B7080">
        <v>6612</v>
      </c>
      <c r="C7080">
        <v>1</v>
      </c>
      <c r="D7080" s="17" t="s">
        <v>10507</v>
      </c>
      <c r="E7080" s="17"/>
      <c r="F7080" s="17" t="s">
        <v>10780</v>
      </c>
      <c r="G7080" s="17"/>
      <c r="H7080" s="17" t="s">
        <v>12908</v>
      </c>
      <c r="I7080" s="17"/>
      <c r="J7080" s="17" t="s">
        <v>14018</v>
      </c>
      <c r="K7080" s="17"/>
      <c r="L7080" s="17" t="s">
        <v>14019</v>
      </c>
      <c r="M7080" s="17"/>
      <c r="N7080" s="17" t="s">
        <v>14020</v>
      </c>
      <c r="O7080" s="17"/>
      <c r="P7080" s="17" t="s">
        <v>14040</v>
      </c>
      <c r="Q7080" s="17"/>
      <c r="R7080" s="25" t="str">
        <f>HYPERLINK("https://ictv.global/taxonomy/taxondetails?taxnode_id=202303437","Begomovirus solanummalaysiaense")</f>
        <v>Begomovirus solanummalaysiaense</v>
      </c>
      <c r="S7080" s="18" t="s">
        <v>30</v>
      </c>
      <c r="T7080" s="18" t="s">
        <v>15632</v>
      </c>
      <c r="U7080" s="18" t="s">
        <v>15633</v>
      </c>
      <c r="V7080" s="18" t="s">
        <v>15634</v>
      </c>
      <c r="W7080" s="18" t="s">
        <v>15635</v>
      </c>
      <c r="X7080" s="18" t="s">
        <v>42</v>
      </c>
      <c r="Y7080" s="18" t="s">
        <v>12266</v>
      </c>
      <c r="Z7080" s="18" t="s">
        <v>13441</v>
      </c>
      <c r="AA7080" s="21" t="str">
        <f>HYPERLINK("https://www.ncbi.nlm.nih.gov/nuccore/AF327436","NCBI Nucleotide")</f>
        <v>NCBI Nucleotide</v>
      </c>
    </row>
    <row r="7081" spans="1:27" x14ac:dyDescent="0.35">
      <c r="A7081">
        <v>1007947</v>
      </c>
      <c r="B7081">
        <v>6613</v>
      </c>
      <c r="C7081">
        <v>1</v>
      </c>
      <c r="D7081" s="17" t="s">
        <v>10507</v>
      </c>
      <c r="E7081" s="17"/>
      <c r="F7081" s="17" t="s">
        <v>10780</v>
      </c>
      <c r="G7081" s="17"/>
      <c r="H7081" s="17" t="s">
        <v>12908</v>
      </c>
      <c r="I7081" s="17"/>
      <c r="J7081" s="17" t="s">
        <v>14018</v>
      </c>
      <c r="K7081" s="17"/>
      <c r="L7081" s="17" t="s">
        <v>14019</v>
      </c>
      <c r="M7081" s="17"/>
      <c r="N7081" s="17" t="s">
        <v>14020</v>
      </c>
      <c r="O7081" s="17"/>
      <c r="P7081" s="17" t="s">
        <v>14040</v>
      </c>
      <c r="Q7081" s="17"/>
      <c r="R7081" s="25" t="str">
        <f>HYPERLINK("https://ictv.global/taxonomy/taxondetails?taxnode_id=202303438","Begomovirus solanummaliense")</f>
        <v>Begomovirus solanummaliense</v>
      </c>
      <c r="S7081" s="18" t="s">
        <v>30</v>
      </c>
      <c r="T7081" s="18" t="s">
        <v>15636</v>
      </c>
      <c r="U7081" s="18" t="s">
        <v>15637</v>
      </c>
      <c r="V7081" s="18" t="s">
        <v>15026</v>
      </c>
      <c r="W7081" s="18" t="s">
        <v>41584</v>
      </c>
      <c r="X7081" s="18" t="s">
        <v>42</v>
      </c>
      <c r="Y7081" s="18" t="s">
        <v>12266</v>
      </c>
      <c r="Z7081" s="18" t="s">
        <v>13441</v>
      </c>
      <c r="AA7081" s="21" t="str">
        <f>HYPERLINK("https://www.ncbi.nlm.nih.gov/nuccore/AY502936","NCBI Nucleotide")</f>
        <v>NCBI Nucleotide</v>
      </c>
    </row>
    <row r="7082" spans="1:27" x14ac:dyDescent="0.35">
      <c r="A7082">
        <v>1007948</v>
      </c>
      <c r="B7082">
        <v>6614</v>
      </c>
      <c r="C7082">
        <v>1</v>
      </c>
      <c r="D7082" s="17" t="s">
        <v>10507</v>
      </c>
      <c r="E7082" s="17"/>
      <c r="F7082" s="17" t="s">
        <v>10780</v>
      </c>
      <c r="G7082" s="17"/>
      <c r="H7082" s="17" t="s">
        <v>12908</v>
      </c>
      <c r="I7082" s="17"/>
      <c r="J7082" s="17" t="s">
        <v>14018</v>
      </c>
      <c r="K7082" s="17"/>
      <c r="L7082" s="17" t="s">
        <v>14019</v>
      </c>
      <c r="M7082" s="17"/>
      <c r="N7082" s="17" t="s">
        <v>14020</v>
      </c>
      <c r="O7082" s="17"/>
      <c r="P7082" s="17" t="s">
        <v>14040</v>
      </c>
      <c r="Q7082" s="17"/>
      <c r="R7082" s="25" t="str">
        <f>HYPERLINK("https://ictv.global/taxonomy/taxondetails?taxnode_id=202303439","Begomovirus solanummindanaoense")</f>
        <v>Begomovirus solanummindanaoense</v>
      </c>
      <c r="S7082" s="18" t="s">
        <v>30</v>
      </c>
      <c r="T7082" s="18" t="s">
        <v>15638</v>
      </c>
      <c r="U7082" s="18" t="s">
        <v>15639</v>
      </c>
      <c r="V7082" s="18" t="s">
        <v>15640</v>
      </c>
      <c r="W7082" s="18" t="s">
        <v>41585</v>
      </c>
      <c r="X7082" s="18" t="s">
        <v>42</v>
      </c>
      <c r="Y7082" s="18" t="s">
        <v>12266</v>
      </c>
      <c r="Z7082" s="18" t="s">
        <v>13441</v>
      </c>
      <c r="AA7082" s="21" t="str">
        <f>HYPERLINK("https://www.ncbi.nlm.nih.gov/nuccore/EU487046","NCBI Nucleotide")</f>
        <v>NCBI Nucleotide</v>
      </c>
    </row>
    <row r="7083" spans="1:27" x14ac:dyDescent="0.35">
      <c r="A7083">
        <v>1007949</v>
      </c>
      <c r="B7083">
        <v>6615</v>
      </c>
      <c r="C7083">
        <v>1</v>
      </c>
      <c r="D7083" s="17" t="s">
        <v>10507</v>
      </c>
      <c r="E7083" s="17"/>
      <c r="F7083" s="17" t="s">
        <v>10780</v>
      </c>
      <c r="G7083" s="17"/>
      <c r="H7083" s="17" t="s">
        <v>12908</v>
      </c>
      <c r="I7083" s="17"/>
      <c r="J7083" s="17" t="s">
        <v>14018</v>
      </c>
      <c r="K7083" s="17"/>
      <c r="L7083" s="17" t="s">
        <v>14019</v>
      </c>
      <c r="M7083" s="17"/>
      <c r="N7083" s="17" t="s">
        <v>14020</v>
      </c>
      <c r="O7083" s="17"/>
      <c r="P7083" s="17" t="s">
        <v>14040</v>
      </c>
      <c r="Q7083" s="17"/>
      <c r="R7083" s="25" t="str">
        <f>HYPERLINK("https://ictv.global/taxonomy/taxondetails?taxnode_id=202303440","Begomovirus solanummoheliense")</f>
        <v>Begomovirus solanummoheliense</v>
      </c>
      <c r="S7083" s="18" t="s">
        <v>30</v>
      </c>
      <c r="T7083" s="18" t="s">
        <v>15641</v>
      </c>
      <c r="U7083" s="18" t="s">
        <v>15642</v>
      </c>
      <c r="V7083" s="18" t="s">
        <v>15643</v>
      </c>
      <c r="W7083" s="18" t="s">
        <v>41586</v>
      </c>
      <c r="X7083" s="18" t="s">
        <v>42</v>
      </c>
      <c r="Y7083" s="18" t="s">
        <v>12266</v>
      </c>
      <c r="Z7083" s="18" t="s">
        <v>13441</v>
      </c>
      <c r="AA7083" s="21" t="str">
        <f>HYPERLINK("https://www.ncbi.nlm.nih.gov/nuccore/AM701763","NCBI Nucleotide")</f>
        <v>NCBI Nucleotide</v>
      </c>
    </row>
    <row r="7084" spans="1:27" x14ac:dyDescent="0.35">
      <c r="A7084">
        <v>1007899</v>
      </c>
      <c r="B7084">
        <v>6616</v>
      </c>
      <c r="C7084">
        <v>1</v>
      </c>
      <c r="D7084" s="17" t="s">
        <v>10507</v>
      </c>
      <c r="E7084" s="17"/>
      <c r="F7084" s="17" t="s">
        <v>10780</v>
      </c>
      <c r="G7084" s="17"/>
      <c r="H7084" s="17" t="s">
        <v>12908</v>
      </c>
      <c r="I7084" s="17"/>
      <c r="J7084" s="17" t="s">
        <v>14018</v>
      </c>
      <c r="K7084" s="17"/>
      <c r="L7084" s="17" t="s">
        <v>14019</v>
      </c>
      <c r="M7084" s="17"/>
      <c r="N7084" s="17" t="s">
        <v>14020</v>
      </c>
      <c r="O7084" s="17"/>
      <c r="P7084" s="17" t="s">
        <v>14040</v>
      </c>
      <c r="Q7084" s="17"/>
      <c r="R7084" s="25" t="str">
        <f>HYPERLINK("https://ictv.global/taxonomy/taxondetails?taxnode_id=202303401","Begomovirus solanummusivi")</f>
        <v>Begomovirus solanummusivi</v>
      </c>
      <c r="S7084" s="18" t="s">
        <v>30</v>
      </c>
      <c r="T7084" s="18" t="s">
        <v>15439</v>
      </c>
      <c r="U7084" s="18" t="s">
        <v>15440</v>
      </c>
      <c r="V7084" s="18" t="s">
        <v>15441</v>
      </c>
      <c r="W7084" s="18" t="s">
        <v>15442</v>
      </c>
      <c r="X7084" s="18" t="s">
        <v>42</v>
      </c>
      <c r="Y7084" s="18" t="s">
        <v>12266</v>
      </c>
      <c r="Z7084" s="18" t="s">
        <v>13441</v>
      </c>
      <c r="AA7084" s="21" t="str">
        <f>HYPERLINK("https://www.ncbi.nlm.nih.gov/nuccore/KC791690","NCBI Nucleotide")</f>
        <v>NCBI Nucleotide</v>
      </c>
    </row>
    <row r="7085" spans="1:27" x14ac:dyDescent="0.35">
      <c r="A7085">
        <v>1007950</v>
      </c>
      <c r="B7085">
        <v>6617</v>
      </c>
      <c r="C7085">
        <v>1</v>
      </c>
      <c r="D7085" s="17" t="s">
        <v>10507</v>
      </c>
      <c r="E7085" s="17"/>
      <c r="F7085" s="17" t="s">
        <v>10780</v>
      </c>
      <c r="G7085" s="17"/>
      <c r="H7085" s="17" t="s">
        <v>12908</v>
      </c>
      <c r="I7085" s="17"/>
      <c r="J7085" s="17" t="s">
        <v>14018</v>
      </c>
      <c r="K7085" s="17"/>
      <c r="L7085" s="17" t="s">
        <v>14019</v>
      </c>
      <c r="M7085" s="17"/>
      <c r="N7085" s="17" t="s">
        <v>14020</v>
      </c>
      <c r="O7085" s="17"/>
      <c r="P7085" s="17" t="s">
        <v>14040</v>
      </c>
      <c r="Q7085" s="17"/>
      <c r="R7085" s="25" t="str">
        <f>HYPERLINK("https://ictv.global/taxonomy/taxondetails?taxnode_id=202303441","Begomovirus solanumnamakelyense")</f>
        <v>Begomovirus solanumnamakelyense</v>
      </c>
      <c r="S7085" s="18" t="s">
        <v>30</v>
      </c>
      <c r="T7085" s="18" t="s">
        <v>15644</v>
      </c>
      <c r="U7085" s="18" t="s">
        <v>15645</v>
      </c>
      <c r="V7085" s="18" t="s">
        <v>15560</v>
      </c>
      <c r="W7085" s="18" t="s">
        <v>41587</v>
      </c>
      <c r="X7085" s="18" t="s">
        <v>42</v>
      </c>
      <c r="Y7085" s="18" t="s">
        <v>12266</v>
      </c>
      <c r="Z7085" s="18" t="s">
        <v>13441</v>
      </c>
      <c r="AA7085" s="21" t="str">
        <f>HYPERLINK("https://www.ncbi.nlm.nih.gov/nuccore/AM701764","NCBI Nucleotide")</f>
        <v>NCBI Nucleotide</v>
      </c>
    </row>
    <row r="7086" spans="1:27" x14ac:dyDescent="0.35">
      <c r="A7086">
        <v>1007955</v>
      </c>
      <c r="B7086">
        <v>6618</v>
      </c>
      <c r="C7086">
        <v>1</v>
      </c>
      <c r="D7086" s="17" t="s">
        <v>10507</v>
      </c>
      <c r="E7086" s="17"/>
      <c r="F7086" s="17" t="s">
        <v>10780</v>
      </c>
      <c r="G7086" s="17"/>
      <c r="H7086" s="17" t="s">
        <v>12908</v>
      </c>
      <c r="I7086" s="17"/>
      <c r="J7086" s="17" t="s">
        <v>14018</v>
      </c>
      <c r="K7086" s="17"/>
      <c r="L7086" s="17" t="s">
        <v>14019</v>
      </c>
      <c r="M7086" s="17"/>
      <c r="N7086" s="17" t="s">
        <v>14020</v>
      </c>
      <c r="O7086" s="17"/>
      <c r="P7086" s="17" t="s">
        <v>14040</v>
      </c>
      <c r="Q7086" s="17"/>
      <c r="R7086" s="25" t="str">
        <f>HYPERLINK("https://ictv.global/taxonomy/taxondetails?taxnode_id=202303445","Begomovirus solanumnigeriaense")</f>
        <v>Begomovirus solanumnigeriaense</v>
      </c>
      <c r="S7086" s="18" t="s">
        <v>30</v>
      </c>
      <c r="T7086" s="18" t="s">
        <v>15660</v>
      </c>
      <c r="U7086" s="18" t="s">
        <v>15661</v>
      </c>
      <c r="V7086" s="18" t="s">
        <v>15662</v>
      </c>
      <c r="W7086" s="18" t="s">
        <v>41588</v>
      </c>
      <c r="X7086" s="18" t="s">
        <v>42</v>
      </c>
      <c r="Y7086" s="18" t="s">
        <v>12266</v>
      </c>
      <c r="Z7086" s="18" t="s">
        <v>13441</v>
      </c>
      <c r="AA7086" s="21" t="str">
        <f>HYPERLINK("https://www.ncbi.nlm.nih.gov/nuccore/FJ685621","NCBI Nucleotide")</f>
        <v>NCBI Nucleotide</v>
      </c>
    </row>
    <row r="7087" spans="1:27" x14ac:dyDescent="0.35">
      <c r="A7087">
        <v>1007956</v>
      </c>
      <c r="B7087">
        <v>6619</v>
      </c>
      <c r="C7087">
        <v>1</v>
      </c>
      <c r="D7087" s="17" t="s">
        <v>10507</v>
      </c>
      <c r="E7087" s="17"/>
      <c r="F7087" s="17" t="s">
        <v>10780</v>
      </c>
      <c r="G7087" s="17"/>
      <c r="H7087" s="17" t="s">
        <v>12908</v>
      </c>
      <c r="I7087" s="17"/>
      <c r="J7087" s="17" t="s">
        <v>14018</v>
      </c>
      <c r="K7087" s="17"/>
      <c r="L7087" s="17" t="s">
        <v>14019</v>
      </c>
      <c r="M7087" s="17"/>
      <c r="N7087" s="17" t="s">
        <v>14020</v>
      </c>
      <c r="O7087" s="17"/>
      <c r="P7087" s="17" t="s">
        <v>14040</v>
      </c>
      <c r="Q7087" s="17"/>
      <c r="R7087" s="25" t="str">
        <f>HYPERLINK("https://ictv.global/taxonomy/taxondetails?taxnode_id=202303447","Begomovirus solanumpalampurense")</f>
        <v>Begomovirus solanumpalampurense</v>
      </c>
      <c r="S7087" s="18" t="s">
        <v>30</v>
      </c>
      <c r="T7087" s="18" t="s">
        <v>15663</v>
      </c>
      <c r="U7087" s="18" t="s">
        <v>15664</v>
      </c>
      <c r="V7087" s="18" t="s">
        <v>15665</v>
      </c>
      <c r="W7087" s="18" t="s">
        <v>15666</v>
      </c>
      <c r="X7087" s="18" t="s">
        <v>42</v>
      </c>
      <c r="Y7087" s="18" t="s">
        <v>12266</v>
      </c>
      <c r="Z7087" s="18" t="s">
        <v>13441</v>
      </c>
      <c r="AA7087" s="21" t="str">
        <f>HYPERLINK("https://www.ncbi.nlm.nih.gov/nuccore/AM884015,AM992534","NCBI Nucleotide")</f>
        <v>NCBI Nucleotide</v>
      </c>
    </row>
    <row r="7088" spans="1:27" x14ac:dyDescent="0.35">
      <c r="A7088">
        <v>1007902</v>
      </c>
      <c r="B7088">
        <v>6620</v>
      </c>
      <c r="C7088">
        <v>1</v>
      </c>
      <c r="D7088" s="17" t="s">
        <v>10507</v>
      </c>
      <c r="E7088" s="17"/>
      <c r="F7088" s="17" t="s">
        <v>10780</v>
      </c>
      <c r="G7088" s="17"/>
      <c r="H7088" s="17" t="s">
        <v>12908</v>
      </c>
      <c r="I7088" s="17"/>
      <c r="J7088" s="17" t="s">
        <v>14018</v>
      </c>
      <c r="K7088" s="17"/>
      <c r="L7088" s="17" t="s">
        <v>14019</v>
      </c>
      <c r="M7088" s="17"/>
      <c r="N7088" s="17" t="s">
        <v>14020</v>
      </c>
      <c r="O7088" s="17"/>
      <c r="P7088" s="17" t="s">
        <v>14040</v>
      </c>
      <c r="Q7088" s="17"/>
      <c r="R7088" s="25" t="str">
        <f>HYPERLINK("https://ictv.global/taxonomy/taxondetails?taxnode_id=202307530","Begomovirus solanumpallidi")</f>
        <v>Begomovirus solanumpallidi</v>
      </c>
      <c r="S7088" s="18" t="s">
        <v>30</v>
      </c>
      <c r="T7088" s="18" t="s">
        <v>15454</v>
      </c>
      <c r="U7088" s="18" t="s">
        <v>15455</v>
      </c>
      <c r="V7088" s="18" t="s">
        <v>15456</v>
      </c>
      <c r="W7088" s="18" t="s">
        <v>15457</v>
      </c>
      <c r="X7088" s="18" t="s">
        <v>42</v>
      </c>
      <c r="Y7088" s="18" t="s">
        <v>12266</v>
      </c>
      <c r="Z7088" s="18" t="s">
        <v>13441</v>
      </c>
      <c r="AA7088" s="21" t="str">
        <f>HYPERLINK("https://www.ncbi.nlm.nih.gov/nuccore/MK558058,MK558059","NCBI Nucleotide")</f>
        <v>NCBI Nucleotide</v>
      </c>
    </row>
    <row r="7089" spans="1:27" x14ac:dyDescent="0.35">
      <c r="A7089">
        <v>1007903</v>
      </c>
      <c r="B7089">
        <v>6621</v>
      </c>
      <c r="C7089">
        <v>1</v>
      </c>
      <c r="D7089" s="17" t="s">
        <v>10507</v>
      </c>
      <c r="E7089" s="17"/>
      <c r="F7089" s="17" t="s">
        <v>10780</v>
      </c>
      <c r="G7089" s="17"/>
      <c r="H7089" s="17" t="s">
        <v>12908</v>
      </c>
      <c r="I7089" s="17"/>
      <c r="J7089" s="17" t="s">
        <v>14018</v>
      </c>
      <c r="K7089" s="17"/>
      <c r="L7089" s="17" t="s">
        <v>14019</v>
      </c>
      <c r="M7089" s="17"/>
      <c r="N7089" s="17" t="s">
        <v>14020</v>
      </c>
      <c r="O7089" s="17"/>
      <c r="P7089" s="17" t="s">
        <v>14040</v>
      </c>
      <c r="Q7089" s="17"/>
      <c r="R7089" s="25" t="str">
        <f>HYPERLINK("https://ictv.global/taxonomy/taxondetails?taxnode_id=202303404","Begomovirus solanumpallidicontorsionis")</f>
        <v>Begomovirus solanumpallidicontorsionis</v>
      </c>
      <c r="S7089" s="18" t="s">
        <v>30</v>
      </c>
      <c r="T7089" s="18" t="s">
        <v>15458</v>
      </c>
      <c r="U7089" s="18" t="s">
        <v>15459</v>
      </c>
      <c r="V7089" s="18" t="s">
        <v>15460</v>
      </c>
      <c r="W7089" s="18" t="s">
        <v>15461</v>
      </c>
      <c r="X7089" s="18" t="s">
        <v>42</v>
      </c>
      <c r="Y7089" s="18" t="s">
        <v>12266</v>
      </c>
      <c r="Z7089" s="18" t="s">
        <v>13441</v>
      </c>
      <c r="AA7089" s="21" t="str">
        <f>HYPERLINK("https://www.ncbi.nlm.nih.gov/nuccore/HQ201952,HQ201953","NCBI Nucleotide")</f>
        <v>NCBI Nucleotide</v>
      </c>
    </row>
    <row r="7090" spans="1:27" x14ac:dyDescent="0.35">
      <c r="A7090">
        <v>1007904</v>
      </c>
      <c r="B7090">
        <v>6622</v>
      </c>
      <c r="C7090">
        <v>1</v>
      </c>
      <c r="D7090" s="17" t="s">
        <v>10507</v>
      </c>
      <c r="E7090" s="17"/>
      <c r="F7090" s="17" t="s">
        <v>10780</v>
      </c>
      <c r="G7090" s="17"/>
      <c r="H7090" s="17" t="s">
        <v>12908</v>
      </c>
      <c r="I7090" s="17"/>
      <c r="J7090" s="17" t="s">
        <v>14018</v>
      </c>
      <c r="K7090" s="17"/>
      <c r="L7090" s="17" t="s">
        <v>14019</v>
      </c>
      <c r="M7090" s="17"/>
      <c r="N7090" s="17" t="s">
        <v>14020</v>
      </c>
      <c r="O7090" s="17"/>
      <c r="P7090" s="17" t="s">
        <v>14040</v>
      </c>
      <c r="Q7090" s="17"/>
      <c r="R7090" s="25" t="str">
        <f>HYPERLINK("https://ictv.global/taxonomy/taxondetails?taxnode_id=202305834","Begomovirus solanumpallidiguyanense")</f>
        <v>Begomovirus solanumpallidiguyanense</v>
      </c>
      <c r="S7090" s="18" t="s">
        <v>30</v>
      </c>
      <c r="T7090" s="18" t="s">
        <v>15462</v>
      </c>
      <c r="U7090" s="18" t="s">
        <v>15463</v>
      </c>
      <c r="V7090" s="18" t="s">
        <v>15464</v>
      </c>
      <c r="W7090" s="18" t="s">
        <v>50477</v>
      </c>
      <c r="X7090" s="18" t="s">
        <v>42</v>
      </c>
      <c r="Y7090" s="18" t="s">
        <v>12266</v>
      </c>
      <c r="Z7090" s="18" t="s">
        <v>13441</v>
      </c>
      <c r="AA7090" s="21" t="str">
        <f>HYPERLINK("https://www.ncbi.nlm.nih.gov/nuccore/KR263181,KR263172","NCBI Nucleotide")</f>
        <v>NCBI Nucleotide</v>
      </c>
    </row>
    <row r="7091" spans="1:27" x14ac:dyDescent="0.35">
      <c r="A7091">
        <v>1007905</v>
      </c>
      <c r="B7091">
        <v>6623</v>
      </c>
      <c r="C7091">
        <v>1</v>
      </c>
      <c r="D7091" s="17" t="s">
        <v>10507</v>
      </c>
      <c r="E7091" s="17"/>
      <c r="F7091" s="17" t="s">
        <v>10780</v>
      </c>
      <c r="G7091" s="17"/>
      <c r="H7091" s="17" t="s">
        <v>12908</v>
      </c>
      <c r="I7091" s="17"/>
      <c r="J7091" s="17" t="s">
        <v>14018</v>
      </c>
      <c r="K7091" s="17"/>
      <c r="L7091" s="17" t="s">
        <v>14019</v>
      </c>
      <c r="M7091" s="17"/>
      <c r="N7091" s="17" t="s">
        <v>14020</v>
      </c>
      <c r="O7091" s="17"/>
      <c r="P7091" s="17" t="s">
        <v>14040</v>
      </c>
      <c r="Q7091" s="17"/>
      <c r="R7091" s="25" t="str">
        <f>HYPERLINK("https://ictv.global/taxonomy/taxondetails?taxnode_id=202303405","Begomovirus solanumpallidivariati")</f>
        <v>Begomovirus solanumpallidivariati</v>
      </c>
      <c r="S7091" s="18" t="s">
        <v>30</v>
      </c>
      <c r="T7091" s="18" t="s">
        <v>15465</v>
      </c>
      <c r="U7091" s="18" t="s">
        <v>15466</v>
      </c>
      <c r="V7091" s="18" t="s">
        <v>15467</v>
      </c>
      <c r="W7091" s="18" t="s">
        <v>15468</v>
      </c>
      <c r="X7091" s="18" t="s">
        <v>42</v>
      </c>
      <c r="Y7091" s="18" t="s">
        <v>12266</v>
      </c>
      <c r="Z7091" s="18" t="s">
        <v>13441</v>
      </c>
      <c r="AA7091" s="21" t="str">
        <f>HYPERLINK("https://www.ncbi.nlm.nih.gov/nuccore/AF490004,AF491306","NCBI Nucleotide")</f>
        <v>NCBI Nucleotide</v>
      </c>
    </row>
    <row r="7092" spans="1:27" x14ac:dyDescent="0.35">
      <c r="A7092">
        <v>1012607</v>
      </c>
      <c r="B7092">
        <v>6623</v>
      </c>
      <c r="C7092">
        <v>2</v>
      </c>
      <c r="D7092" s="17" t="s">
        <v>10507</v>
      </c>
      <c r="E7092" s="17"/>
      <c r="F7092" s="17" t="s">
        <v>10780</v>
      </c>
      <c r="G7092" s="17"/>
      <c r="H7092" s="17" t="s">
        <v>12908</v>
      </c>
      <c r="I7092" s="17"/>
      <c r="J7092" s="17" t="s">
        <v>14018</v>
      </c>
      <c r="K7092" s="17"/>
      <c r="L7092" s="17" t="s">
        <v>14019</v>
      </c>
      <c r="M7092" s="17"/>
      <c r="N7092" s="17" t="s">
        <v>14020</v>
      </c>
      <c r="O7092" s="17"/>
      <c r="P7092" s="17" t="s">
        <v>14040</v>
      </c>
      <c r="Q7092" s="17"/>
      <c r="R7092" s="25" t="str">
        <f>HYPERLINK("https://ictv.global/taxonomy/taxondetails?taxnode_id=202303405","Begomovirus solanumpallidivariati")</f>
        <v>Begomovirus solanumpallidivariati</v>
      </c>
      <c r="S7092" s="18" t="s">
        <v>8141</v>
      </c>
      <c r="T7092" s="18" t="s">
        <v>15465</v>
      </c>
      <c r="U7092" s="18" t="s">
        <v>15469</v>
      </c>
      <c r="V7092" s="18" t="s">
        <v>15470</v>
      </c>
      <c r="W7092" s="18" t="s">
        <v>49195</v>
      </c>
      <c r="X7092" s="18" t="s">
        <v>42</v>
      </c>
      <c r="Y7092" s="18" t="s">
        <v>12266</v>
      </c>
      <c r="Z7092" s="18" t="s">
        <v>13441</v>
      </c>
      <c r="AA7092" s="21" t="str">
        <f>HYPERLINK("https://www.ncbi.nlm.nih.gov/nuccore/KC706561","NCBI Nucleotide")</f>
        <v>NCBI Nucleotide</v>
      </c>
    </row>
    <row r="7093" spans="1:27" x14ac:dyDescent="0.35">
      <c r="A7093">
        <v>1012608</v>
      </c>
      <c r="B7093">
        <v>6623</v>
      </c>
      <c r="C7093">
        <v>3</v>
      </c>
      <c r="D7093" s="17" t="s">
        <v>10507</v>
      </c>
      <c r="E7093" s="17"/>
      <c r="F7093" s="17" t="s">
        <v>10780</v>
      </c>
      <c r="G7093" s="17"/>
      <c r="H7093" s="17" t="s">
        <v>12908</v>
      </c>
      <c r="I7093" s="17"/>
      <c r="J7093" s="17" t="s">
        <v>14018</v>
      </c>
      <c r="K7093" s="17"/>
      <c r="L7093" s="17" t="s">
        <v>14019</v>
      </c>
      <c r="M7093" s="17"/>
      <c r="N7093" s="17" t="s">
        <v>14020</v>
      </c>
      <c r="O7093" s="17"/>
      <c r="P7093" s="17" t="s">
        <v>14040</v>
      </c>
      <c r="Q7093" s="17"/>
      <c r="R7093" s="25" t="str">
        <f>HYPERLINK("https://ictv.global/taxonomy/taxondetails?taxnode_id=202303405","Begomovirus solanumpallidivariati")</f>
        <v>Begomovirus solanumpallidivariati</v>
      </c>
      <c r="S7093" s="18" t="s">
        <v>8141</v>
      </c>
      <c r="T7093" s="18" t="s">
        <v>15465</v>
      </c>
      <c r="U7093" s="18" t="s">
        <v>15471</v>
      </c>
      <c r="V7093" s="18" t="s">
        <v>15472</v>
      </c>
      <c r="W7093" s="18" t="s">
        <v>49196</v>
      </c>
      <c r="X7093" s="18" t="s">
        <v>42</v>
      </c>
      <c r="Y7093" s="18" t="s">
        <v>12266</v>
      </c>
      <c r="Z7093" s="18" t="s">
        <v>13441</v>
      </c>
      <c r="AA7093" s="21" t="str">
        <f>HYPERLINK("https://www.ncbi.nlm.nih.gov/nuccore/AY090557","NCBI Nucleotide")</f>
        <v>NCBI Nucleotide</v>
      </c>
    </row>
    <row r="7094" spans="1:27" x14ac:dyDescent="0.35">
      <c r="A7094">
        <v>1007908</v>
      </c>
      <c r="B7094">
        <v>6624</v>
      </c>
      <c r="C7094">
        <v>1</v>
      </c>
      <c r="D7094" s="17" t="s">
        <v>10507</v>
      </c>
      <c r="E7094" s="17"/>
      <c r="F7094" s="17" t="s">
        <v>10780</v>
      </c>
      <c r="G7094" s="17"/>
      <c r="H7094" s="17" t="s">
        <v>12908</v>
      </c>
      <c r="I7094" s="17"/>
      <c r="J7094" s="17" t="s">
        <v>14018</v>
      </c>
      <c r="K7094" s="17"/>
      <c r="L7094" s="17" t="s">
        <v>14019</v>
      </c>
      <c r="M7094" s="17"/>
      <c r="N7094" s="17" t="s">
        <v>14020</v>
      </c>
      <c r="O7094" s="17"/>
      <c r="P7094" s="17" t="s">
        <v>14040</v>
      </c>
      <c r="Q7094" s="17"/>
      <c r="R7094" s="25" t="str">
        <f>HYPERLINK("https://ictv.global/taxonomy/taxondetails?taxnode_id=202303408","Begomovirus solanumparvi")</f>
        <v>Begomovirus solanumparvi</v>
      </c>
      <c r="S7094" s="18" t="s">
        <v>30</v>
      </c>
      <c r="T7094" s="18" t="s">
        <v>15481</v>
      </c>
      <c r="U7094" s="18" t="s">
        <v>15482</v>
      </c>
      <c r="V7094" s="18" t="s">
        <v>15483</v>
      </c>
      <c r="W7094" s="18" t="s">
        <v>15484</v>
      </c>
      <c r="X7094" s="18" t="s">
        <v>42</v>
      </c>
      <c r="Y7094" s="18" t="s">
        <v>12266</v>
      </c>
      <c r="Z7094" s="18" t="s">
        <v>13441</v>
      </c>
      <c r="AA7094" s="21" t="str">
        <f>HYPERLINK("https://www.ncbi.nlm.nih.gov/nuccore/JN564749,JN564750","NCBI Nucleotide")</f>
        <v>NCBI Nucleotide</v>
      </c>
    </row>
    <row r="7095" spans="1:27" x14ac:dyDescent="0.35">
      <c r="A7095">
        <v>1007957</v>
      </c>
      <c r="B7095">
        <v>6625</v>
      </c>
      <c r="C7095">
        <v>1</v>
      </c>
      <c r="D7095" s="17" t="s">
        <v>10507</v>
      </c>
      <c r="E7095" s="17"/>
      <c r="F7095" s="17" t="s">
        <v>10780</v>
      </c>
      <c r="G7095" s="17"/>
      <c r="H7095" s="17" t="s">
        <v>12908</v>
      </c>
      <c r="I7095" s="17"/>
      <c r="J7095" s="17" t="s">
        <v>14018</v>
      </c>
      <c r="K7095" s="17"/>
      <c r="L7095" s="17" t="s">
        <v>14019</v>
      </c>
      <c r="M7095" s="17"/>
      <c r="N7095" s="17" t="s">
        <v>14020</v>
      </c>
      <c r="O7095" s="17"/>
      <c r="P7095" s="17" t="s">
        <v>14040</v>
      </c>
      <c r="Q7095" s="17"/>
      <c r="R7095" s="25" t="str">
        <f>HYPERLINK("https://ictv.global/taxonomy/taxondetails?taxnode_id=202303448","Begomovirus solanumpatnaense")</f>
        <v>Begomovirus solanumpatnaense</v>
      </c>
      <c r="S7095" s="18" t="s">
        <v>30</v>
      </c>
      <c r="T7095" s="18" t="s">
        <v>15667</v>
      </c>
      <c r="U7095" s="18" t="s">
        <v>15668</v>
      </c>
      <c r="V7095" s="18" t="s">
        <v>15669</v>
      </c>
      <c r="W7095" s="18" t="s">
        <v>15670</v>
      </c>
      <c r="X7095" s="18" t="s">
        <v>42</v>
      </c>
      <c r="Y7095" s="18" t="s">
        <v>12266</v>
      </c>
      <c r="Z7095" s="18" t="s">
        <v>13441</v>
      </c>
      <c r="AA7095" s="21" t="str">
        <f>HYPERLINK("https://www.ncbi.nlm.nih.gov/nuccore/EU862323","NCBI Nucleotide")</f>
        <v>NCBI Nucleotide</v>
      </c>
    </row>
    <row r="7096" spans="1:27" x14ac:dyDescent="0.35">
      <c r="A7096">
        <v>1007958</v>
      </c>
      <c r="B7096">
        <v>6626</v>
      </c>
      <c r="C7096">
        <v>1</v>
      </c>
      <c r="D7096" s="17" t="s">
        <v>10507</v>
      </c>
      <c r="E7096" s="17"/>
      <c r="F7096" s="17" t="s">
        <v>10780</v>
      </c>
      <c r="G7096" s="17"/>
      <c r="H7096" s="17" t="s">
        <v>12908</v>
      </c>
      <c r="I7096" s="17"/>
      <c r="J7096" s="17" t="s">
        <v>14018</v>
      </c>
      <c r="K7096" s="17"/>
      <c r="L7096" s="17" t="s">
        <v>14019</v>
      </c>
      <c r="M7096" s="17"/>
      <c r="N7096" s="17" t="s">
        <v>14020</v>
      </c>
      <c r="O7096" s="17"/>
      <c r="P7096" s="17" t="s">
        <v>14040</v>
      </c>
      <c r="Q7096" s="17"/>
      <c r="R7096" s="25" t="str">
        <f>HYPERLINK("https://ictv.global/taxonomy/taxondetails?taxnode_id=202303449","Begomovirus solanumphilippinense")</f>
        <v>Begomovirus solanumphilippinense</v>
      </c>
      <c r="S7096" s="18" t="s">
        <v>30</v>
      </c>
      <c r="T7096" s="18" t="s">
        <v>15671</v>
      </c>
      <c r="U7096" s="18" t="s">
        <v>15672</v>
      </c>
      <c r="V7096" s="18" t="s">
        <v>15673</v>
      </c>
      <c r="W7096" s="18" t="s">
        <v>41589</v>
      </c>
      <c r="X7096" s="18" t="s">
        <v>42</v>
      </c>
      <c r="Y7096" s="18" t="s">
        <v>12266</v>
      </c>
      <c r="Z7096" s="18" t="s">
        <v>13441</v>
      </c>
      <c r="AA7096" s="21" t="str">
        <f>HYPERLINK("https://www.ncbi.nlm.nih.gov/nuccore/AB050597","NCBI Nucleotide")</f>
        <v>NCBI Nucleotide</v>
      </c>
    </row>
    <row r="7097" spans="1:27" x14ac:dyDescent="0.35">
      <c r="A7097">
        <v>1012620</v>
      </c>
      <c r="B7097">
        <v>6626</v>
      </c>
      <c r="C7097">
        <v>2</v>
      </c>
      <c r="D7097" s="17" t="s">
        <v>10507</v>
      </c>
      <c r="E7097" s="17"/>
      <c r="F7097" s="17" t="s">
        <v>10780</v>
      </c>
      <c r="G7097" s="17"/>
      <c r="H7097" s="17" t="s">
        <v>12908</v>
      </c>
      <c r="I7097" s="17"/>
      <c r="J7097" s="17" t="s">
        <v>14018</v>
      </c>
      <c r="K7097" s="17"/>
      <c r="L7097" s="17" t="s">
        <v>14019</v>
      </c>
      <c r="M7097" s="17"/>
      <c r="N7097" s="17" t="s">
        <v>14020</v>
      </c>
      <c r="O7097" s="17"/>
      <c r="P7097" s="17" t="s">
        <v>14040</v>
      </c>
      <c r="Q7097" s="17"/>
      <c r="R7097" s="25" t="str">
        <f>HYPERLINK("https://ictv.global/taxonomy/taxondetails?taxnode_id=202303449","Begomovirus solanumphilippinense")</f>
        <v>Begomovirus solanumphilippinense</v>
      </c>
      <c r="S7097" s="18" t="s">
        <v>8141</v>
      </c>
      <c r="T7097" s="18" t="s">
        <v>15671</v>
      </c>
      <c r="U7097" s="18" t="s">
        <v>15674</v>
      </c>
      <c r="V7097" s="18" t="s">
        <v>15675</v>
      </c>
      <c r="W7097" s="18" t="s">
        <v>49197</v>
      </c>
      <c r="X7097" s="18" t="s">
        <v>42</v>
      </c>
      <c r="Y7097" s="18" t="s">
        <v>12266</v>
      </c>
      <c r="Z7097" s="18" t="s">
        <v>13441</v>
      </c>
      <c r="AA7097" s="21" t="str">
        <f>HYPERLINK("https://www.ncbi.nlm.nih.gov/nuccore/AB377113","NCBI Nucleotide")</f>
        <v>NCBI Nucleotide</v>
      </c>
    </row>
    <row r="7098" spans="1:27" x14ac:dyDescent="0.35">
      <c r="A7098">
        <v>1012621</v>
      </c>
      <c r="B7098">
        <v>6626</v>
      </c>
      <c r="C7098">
        <v>3</v>
      </c>
      <c r="D7098" s="17" t="s">
        <v>10507</v>
      </c>
      <c r="E7098" s="17"/>
      <c r="F7098" s="17" t="s">
        <v>10780</v>
      </c>
      <c r="G7098" s="17"/>
      <c r="H7098" s="17" t="s">
        <v>12908</v>
      </c>
      <c r="I7098" s="17"/>
      <c r="J7098" s="17" t="s">
        <v>14018</v>
      </c>
      <c r="K7098" s="17"/>
      <c r="L7098" s="17" t="s">
        <v>14019</v>
      </c>
      <c r="M7098" s="17"/>
      <c r="N7098" s="17" t="s">
        <v>14020</v>
      </c>
      <c r="O7098" s="17"/>
      <c r="P7098" s="17" t="s">
        <v>14040</v>
      </c>
      <c r="Q7098" s="17"/>
      <c r="R7098" s="25" t="str">
        <f>HYPERLINK("https://ictv.global/taxonomy/taxondetails?taxnode_id=202303449","Begomovirus solanumphilippinense")</f>
        <v>Begomovirus solanumphilippinense</v>
      </c>
      <c r="S7098" s="18" t="s">
        <v>8141</v>
      </c>
      <c r="T7098" s="18" t="s">
        <v>15671</v>
      </c>
      <c r="U7098" s="18" t="s">
        <v>15676</v>
      </c>
      <c r="V7098" s="18" t="s">
        <v>15677</v>
      </c>
      <c r="W7098" s="18" t="s">
        <v>49198</v>
      </c>
      <c r="X7098" s="18" t="s">
        <v>42</v>
      </c>
      <c r="Y7098" s="18" t="s">
        <v>12266</v>
      </c>
      <c r="Z7098" s="18" t="s">
        <v>13441</v>
      </c>
      <c r="AA7098" s="21" t="str">
        <f>HYPERLINK("https://www.ncbi.nlm.nih.gov/nuccore/AB307731","NCBI Nucleotide")</f>
        <v>NCBI Nucleotide</v>
      </c>
    </row>
    <row r="7099" spans="1:27" x14ac:dyDescent="0.35">
      <c r="A7099">
        <v>1007959</v>
      </c>
      <c r="B7099">
        <v>6627</v>
      </c>
      <c r="C7099">
        <v>1</v>
      </c>
      <c r="D7099" s="17" t="s">
        <v>10507</v>
      </c>
      <c r="E7099" s="17"/>
      <c r="F7099" s="17" t="s">
        <v>10780</v>
      </c>
      <c r="G7099" s="17"/>
      <c r="H7099" s="17" t="s">
        <v>12908</v>
      </c>
      <c r="I7099" s="17"/>
      <c r="J7099" s="17" t="s">
        <v>14018</v>
      </c>
      <c r="K7099" s="17"/>
      <c r="L7099" s="17" t="s">
        <v>14019</v>
      </c>
      <c r="M7099" s="17"/>
      <c r="N7099" s="17" t="s">
        <v>14020</v>
      </c>
      <c r="O7099" s="17"/>
      <c r="P7099" s="17" t="s">
        <v>14040</v>
      </c>
      <c r="Q7099" s="17"/>
      <c r="R7099" s="25" t="str">
        <f>HYPERLINK("https://ictv.global/taxonomy/taxondetails?taxnode_id=202303450","Begomovirus solanumpunense")</f>
        <v>Begomovirus solanumpunense</v>
      </c>
      <c r="S7099" s="18" t="s">
        <v>30</v>
      </c>
      <c r="T7099" s="18" t="s">
        <v>15678</v>
      </c>
      <c r="U7099" s="18" t="s">
        <v>15679</v>
      </c>
      <c r="V7099" s="18" t="s">
        <v>15680</v>
      </c>
      <c r="W7099" s="18" t="s">
        <v>41590</v>
      </c>
      <c r="X7099" s="18" t="s">
        <v>42</v>
      </c>
      <c r="Y7099" s="18" t="s">
        <v>12266</v>
      </c>
      <c r="Z7099" s="18" t="s">
        <v>13441</v>
      </c>
      <c r="AA7099" s="21" t="str">
        <f>HYPERLINK("https://www.ncbi.nlm.nih.gov/nuccore/AY754814","NCBI Nucleotide")</f>
        <v>NCBI Nucleotide</v>
      </c>
    </row>
    <row r="7100" spans="1:27" x14ac:dyDescent="0.35">
      <c r="A7100">
        <v>1007961</v>
      </c>
      <c r="B7100">
        <v>6628</v>
      </c>
      <c r="C7100">
        <v>1</v>
      </c>
      <c r="D7100" s="17" t="s">
        <v>10507</v>
      </c>
      <c r="E7100" s="17"/>
      <c r="F7100" s="17" t="s">
        <v>10780</v>
      </c>
      <c r="G7100" s="17"/>
      <c r="H7100" s="17" t="s">
        <v>12908</v>
      </c>
      <c r="I7100" s="17"/>
      <c r="J7100" s="17" t="s">
        <v>14018</v>
      </c>
      <c r="K7100" s="17"/>
      <c r="L7100" s="17" t="s">
        <v>14019</v>
      </c>
      <c r="M7100" s="17"/>
      <c r="N7100" s="17" t="s">
        <v>14020</v>
      </c>
      <c r="O7100" s="17"/>
      <c r="P7100" s="17" t="s">
        <v>14040</v>
      </c>
      <c r="Q7100" s="17"/>
      <c r="R7100" s="25" t="str">
        <f>HYPERLINK("https://ictv.global/taxonomy/taxondetails?taxnode_id=202303451","Begomovirus solanumrajasthanense")</f>
        <v>Begomovirus solanumrajasthanense</v>
      </c>
      <c r="S7100" s="18" t="s">
        <v>30</v>
      </c>
      <c r="T7100" s="18" t="s">
        <v>15684</v>
      </c>
      <c r="U7100" s="18" t="s">
        <v>15685</v>
      </c>
      <c r="V7100" s="18" t="s">
        <v>15686</v>
      </c>
      <c r="W7100" s="18" t="s">
        <v>15687</v>
      </c>
      <c r="X7100" s="18" t="s">
        <v>42</v>
      </c>
      <c r="Y7100" s="18" t="s">
        <v>12266</v>
      </c>
      <c r="Z7100" s="18" t="s">
        <v>13441</v>
      </c>
      <c r="AA7100" s="21" t="str">
        <f>HYPERLINK("https://www.ncbi.nlm.nih.gov/nuccore/DQ339117","NCBI Nucleotide")</f>
        <v>NCBI Nucleotide</v>
      </c>
    </row>
    <row r="7101" spans="1:27" x14ac:dyDescent="0.35">
      <c r="A7101">
        <v>1007907</v>
      </c>
      <c r="B7101">
        <v>6629</v>
      </c>
      <c r="C7101">
        <v>1</v>
      </c>
      <c r="D7101" s="17" t="s">
        <v>10507</v>
      </c>
      <c r="E7101" s="17"/>
      <c r="F7101" s="17" t="s">
        <v>10780</v>
      </c>
      <c r="G7101" s="17"/>
      <c r="H7101" s="17" t="s">
        <v>12908</v>
      </c>
      <c r="I7101" s="17"/>
      <c r="J7101" s="17" t="s">
        <v>14018</v>
      </c>
      <c r="K7101" s="17"/>
      <c r="L7101" s="17" t="s">
        <v>14019</v>
      </c>
      <c r="M7101" s="17"/>
      <c r="N7101" s="17" t="s">
        <v>14020</v>
      </c>
      <c r="O7101" s="17"/>
      <c r="P7101" s="17" t="s">
        <v>14040</v>
      </c>
      <c r="Q7101" s="17"/>
      <c r="R7101" s="25" t="str">
        <f>HYPERLINK("https://ictv.global/taxonomy/taxondetails?taxnode_id=202303407","Begomovirus solanumretorridi")</f>
        <v>Begomovirus solanumretorridi</v>
      </c>
      <c r="S7101" s="18" t="s">
        <v>30</v>
      </c>
      <c r="T7101" s="18" t="s">
        <v>15477</v>
      </c>
      <c r="U7101" s="18" t="s">
        <v>15478</v>
      </c>
      <c r="V7101" s="18" t="s">
        <v>15479</v>
      </c>
      <c r="W7101" s="18" t="s">
        <v>15480</v>
      </c>
      <c r="X7101" s="18" t="s">
        <v>42</v>
      </c>
      <c r="Y7101" s="18" t="s">
        <v>12266</v>
      </c>
      <c r="Z7101" s="18" t="s">
        <v>13441</v>
      </c>
      <c r="AA7101" s="21" t="str">
        <f>HYPERLINK("https://www.ncbi.nlm.nih.gov/nuccore/AF261885","NCBI Nucleotide")</f>
        <v>NCBI Nucleotide</v>
      </c>
    </row>
    <row r="7102" spans="1:27" x14ac:dyDescent="0.35">
      <c r="A7102">
        <v>1007983</v>
      </c>
      <c r="B7102">
        <v>6630</v>
      </c>
      <c r="C7102">
        <v>1</v>
      </c>
      <c r="D7102" s="17" t="s">
        <v>10507</v>
      </c>
      <c r="E7102" s="17"/>
      <c r="F7102" s="17" t="s">
        <v>10780</v>
      </c>
      <c r="G7102" s="17"/>
      <c r="H7102" s="17" t="s">
        <v>12908</v>
      </c>
      <c r="I7102" s="17"/>
      <c r="J7102" s="17" t="s">
        <v>14018</v>
      </c>
      <c r="K7102" s="17"/>
      <c r="L7102" s="17" t="s">
        <v>14019</v>
      </c>
      <c r="M7102" s="17"/>
      <c r="N7102" s="17" t="s">
        <v>14020</v>
      </c>
      <c r="O7102" s="17"/>
      <c r="P7102" s="17" t="s">
        <v>14040</v>
      </c>
      <c r="Q7102" s="17"/>
      <c r="R7102" s="25" t="str">
        <f>HYPERLINK("https://ictv.global/taxonomy/taxondetails?taxnode_id=202303470","Begomovirus solanumrugosi")</f>
        <v>Begomovirus solanumrugosi</v>
      </c>
      <c r="S7102" s="18" t="s">
        <v>30</v>
      </c>
      <c r="T7102" s="18" t="s">
        <v>15782</v>
      </c>
      <c r="U7102" s="18" t="s">
        <v>15783</v>
      </c>
      <c r="V7102" s="18" t="s">
        <v>15784</v>
      </c>
      <c r="W7102" s="18" t="s">
        <v>15785</v>
      </c>
      <c r="X7102" s="18" t="s">
        <v>42</v>
      </c>
      <c r="Y7102" s="18" t="s">
        <v>12266</v>
      </c>
      <c r="Z7102" s="18" t="s">
        <v>13441</v>
      </c>
      <c r="AA7102" s="21" t="str">
        <f>HYPERLINK("https://www.ncbi.nlm.nih.gov/nuccore/AF291705,AF291706","NCBI Nucleotide")</f>
        <v>NCBI Nucleotide</v>
      </c>
    </row>
    <row r="7103" spans="1:27" x14ac:dyDescent="0.35">
      <c r="A7103">
        <v>1007984</v>
      </c>
      <c r="B7103">
        <v>6631</v>
      </c>
      <c r="C7103">
        <v>1</v>
      </c>
      <c r="D7103" s="17" t="s">
        <v>10507</v>
      </c>
      <c r="E7103" s="17"/>
      <c r="F7103" s="17" t="s">
        <v>10780</v>
      </c>
      <c r="G7103" s="17"/>
      <c r="H7103" s="17" t="s">
        <v>12908</v>
      </c>
      <c r="I7103" s="17"/>
      <c r="J7103" s="17" t="s">
        <v>14018</v>
      </c>
      <c r="K7103" s="17"/>
      <c r="L7103" s="17" t="s">
        <v>14019</v>
      </c>
      <c r="M7103" s="17"/>
      <c r="N7103" s="17" t="s">
        <v>14020</v>
      </c>
      <c r="O7103" s="17"/>
      <c r="P7103" s="17" t="s">
        <v>14040</v>
      </c>
      <c r="Q7103" s="17"/>
      <c r="R7103" s="25" t="str">
        <f>HYPERLINK("https://ictv.global/taxonomy/taxondetails?taxnode_id=202303471","Begomovirus solanumrugosiflavi")</f>
        <v>Begomovirus solanumrugosiflavi</v>
      </c>
      <c r="S7103" s="18" t="s">
        <v>30</v>
      </c>
      <c r="T7103" s="18" t="s">
        <v>15786</v>
      </c>
      <c r="U7103" s="18" t="s">
        <v>15787</v>
      </c>
      <c r="V7103" s="18" t="s">
        <v>15788</v>
      </c>
      <c r="W7103" s="18" t="s">
        <v>50478</v>
      </c>
      <c r="X7103" s="18" t="s">
        <v>42</v>
      </c>
      <c r="Y7103" s="18" t="s">
        <v>12266</v>
      </c>
      <c r="Z7103" s="18" t="s">
        <v>13441</v>
      </c>
      <c r="AA7103" s="21" t="str">
        <f>HYPERLINK("https://www.ncbi.nlm.nih.gov/nuccore/JN381819,JN381814","NCBI Nucleotide")</f>
        <v>NCBI Nucleotide</v>
      </c>
    </row>
    <row r="7104" spans="1:27" x14ac:dyDescent="0.35">
      <c r="A7104">
        <v>1007986</v>
      </c>
      <c r="B7104">
        <v>6632</v>
      </c>
      <c r="C7104">
        <v>1</v>
      </c>
      <c r="D7104" s="17" t="s">
        <v>10507</v>
      </c>
      <c r="E7104" s="17"/>
      <c r="F7104" s="17" t="s">
        <v>10780</v>
      </c>
      <c r="G7104" s="17"/>
      <c r="H7104" s="17" t="s">
        <v>12908</v>
      </c>
      <c r="I7104" s="17"/>
      <c r="J7104" s="17" t="s">
        <v>14018</v>
      </c>
      <c r="K7104" s="17"/>
      <c r="L7104" s="17" t="s">
        <v>14019</v>
      </c>
      <c r="M7104" s="17"/>
      <c r="N7104" s="17" t="s">
        <v>14020</v>
      </c>
      <c r="O7104" s="17"/>
      <c r="P7104" s="17" t="s">
        <v>14040</v>
      </c>
      <c r="Q7104" s="17"/>
      <c r="R7104" s="25" t="str">
        <f>HYPERLINK("https://ictv.global/taxonomy/taxondetails?taxnode_id=202303472","Begomovirus solanumseveri")</f>
        <v>Begomovirus solanumseveri</v>
      </c>
      <c r="S7104" s="18" t="s">
        <v>30</v>
      </c>
      <c r="T7104" s="18" t="s">
        <v>15792</v>
      </c>
      <c r="U7104" s="18" t="s">
        <v>15793</v>
      </c>
      <c r="V7104" s="18" t="s">
        <v>15794</v>
      </c>
      <c r="W7104" s="18" t="s">
        <v>15795</v>
      </c>
      <c r="X7104" s="18" t="s">
        <v>42</v>
      </c>
      <c r="Y7104" s="18" t="s">
        <v>12266</v>
      </c>
      <c r="Z7104" s="18" t="s">
        <v>13441</v>
      </c>
      <c r="AA7104" s="21" t="str">
        <f>HYPERLINK("https://www.ncbi.nlm.nih.gov/nuccore/AF130415","NCBI Nucleotide")</f>
        <v>NCBI Nucleotide</v>
      </c>
    </row>
    <row r="7105" spans="1:27" x14ac:dyDescent="0.35">
      <c r="A7105">
        <v>1012632</v>
      </c>
      <c r="B7105">
        <v>6632</v>
      </c>
      <c r="C7105">
        <v>2</v>
      </c>
      <c r="D7105" s="17" t="s">
        <v>10507</v>
      </c>
      <c r="E7105" s="17"/>
      <c r="F7105" s="17" t="s">
        <v>10780</v>
      </c>
      <c r="G7105" s="17"/>
      <c r="H7105" s="17" t="s">
        <v>12908</v>
      </c>
      <c r="I7105" s="17"/>
      <c r="J7105" s="17" t="s">
        <v>14018</v>
      </c>
      <c r="K7105" s="17"/>
      <c r="L7105" s="17" t="s">
        <v>14019</v>
      </c>
      <c r="M7105" s="17"/>
      <c r="N7105" s="17" t="s">
        <v>14020</v>
      </c>
      <c r="O7105" s="17"/>
      <c r="P7105" s="17" t="s">
        <v>14040</v>
      </c>
      <c r="Q7105" s="17"/>
      <c r="R7105" s="25" t="str">
        <f>HYPERLINK("https://ictv.global/taxonomy/taxondetails?taxnode_id=202303472","Begomovirus solanumseveri")</f>
        <v>Begomovirus solanumseveri</v>
      </c>
      <c r="S7105" s="18" t="s">
        <v>8141</v>
      </c>
      <c r="T7105" s="18" t="s">
        <v>15792</v>
      </c>
      <c r="U7105" s="18" t="s">
        <v>15796</v>
      </c>
      <c r="V7105" s="18" t="s">
        <v>15797</v>
      </c>
      <c r="W7105" s="18" t="s">
        <v>49199</v>
      </c>
      <c r="X7105" s="18" t="s">
        <v>42</v>
      </c>
      <c r="Y7105" s="18" t="s">
        <v>12266</v>
      </c>
      <c r="Z7105" s="18" t="s">
        <v>13441</v>
      </c>
      <c r="AA7105" s="21" t="str">
        <f>HYPERLINK("https://www.ncbi.nlm.nih.gov/nuccore/JN680352","NCBI Nucleotide")</f>
        <v>NCBI Nucleotide</v>
      </c>
    </row>
    <row r="7106" spans="1:27" x14ac:dyDescent="0.35">
      <c r="A7106">
        <v>1012633</v>
      </c>
      <c r="B7106">
        <v>6632</v>
      </c>
      <c r="C7106">
        <v>3</v>
      </c>
      <c r="D7106" s="17" t="s">
        <v>10507</v>
      </c>
      <c r="E7106" s="17"/>
      <c r="F7106" s="17" t="s">
        <v>10780</v>
      </c>
      <c r="G7106" s="17"/>
      <c r="H7106" s="17" t="s">
        <v>12908</v>
      </c>
      <c r="I7106" s="17"/>
      <c r="J7106" s="17" t="s">
        <v>14018</v>
      </c>
      <c r="K7106" s="17"/>
      <c r="L7106" s="17" t="s">
        <v>14019</v>
      </c>
      <c r="M7106" s="17"/>
      <c r="N7106" s="17" t="s">
        <v>14020</v>
      </c>
      <c r="O7106" s="17"/>
      <c r="P7106" s="17" t="s">
        <v>14040</v>
      </c>
      <c r="Q7106" s="17"/>
      <c r="R7106" s="25" t="str">
        <f>HYPERLINK("https://ictv.global/taxonomy/taxondetails?taxnode_id=202303472","Begomovirus solanumseveri")</f>
        <v>Begomovirus solanumseveri</v>
      </c>
      <c r="S7106" s="18" t="s">
        <v>8141</v>
      </c>
      <c r="T7106" s="18" t="s">
        <v>15792</v>
      </c>
      <c r="U7106" s="18" t="s">
        <v>15798</v>
      </c>
      <c r="V7106" s="18" t="s">
        <v>15799</v>
      </c>
      <c r="W7106" s="18" t="s">
        <v>49200</v>
      </c>
      <c r="X7106" s="18" t="s">
        <v>42</v>
      </c>
      <c r="Y7106" s="18" t="s">
        <v>12266</v>
      </c>
      <c r="Z7106" s="18" t="s">
        <v>13441</v>
      </c>
      <c r="AA7106" s="21" t="str">
        <f>HYPERLINK("https://www.ncbi.nlm.nih.gov/nuccore/AJ508784","NCBI Nucleotide")</f>
        <v>NCBI Nucleotide</v>
      </c>
    </row>
    <row r="7107" spans="1:27" x14ac:dyDescent="0.35">
      <c r="A7107">
        <v>1007978</v>
      </c>
      <c r="B7107">
        <v>6633</v>
      </c>
      <c r="C7107">
        <v>1</v>
      </c>
      <c r="D7107" s="17" t="s">
        <v>10507</v>
      </c>
      <c r="E7107" s="17"/>
      <c r="F7107" s="17" t="s">
        <v>10780</v>
      </c>
      <c r="G7107" s="17"/>
      <c r="H7107" s="17" t="s">
        <v>12908</v>
      </c>
      <c r="I7107" s="17"/>
      <c r="J7107" s="17" t="s">
        <v>14018</v>
      </c>
      <c r="K7107" s="17"/>
      <c r="L7107" s="17" t="s">
        <v>14019</v>
      </c>
      <c r="M7107" s="17"/>
      <c r="N7107" s="17" t="s">
        <v>14020</v>
      </c>
      <c r="O7107" s="17"/>
      <c r="P7107" s="17" t="s">
        <v>14040</v>
      </c>
      <c r="Q7107" s="17"/>
      <c r="R7107" s="25" t="str">
        <f>HYPERLINK("https://ictv.global/taxonomy/taxondetails?taxnode_id=202309135","Begomovirus solanumseverparvi")</f>
        <v>Begomovirus solanumseverparvi</v>
      </c>
      <c r="S7107" s="18" t="s">
        <v>30</v>
      </c>
      <c r="T7107" s="18" t="s">
        <v>15764</v>
      </c>
      <c r="U7107" s="18" t="s">
        <v>15765</v>
      </c>
      <c r="V7107" s="18" t="s">
        <v>15766</v>
      </c>
      <c r="W7107" s="18" t="s">
        <v>50771</v>
      </c>
      <c r="X7107" s="18" t="s">
        <v>42</v>
      </c>
      <c r="Y7107" s="18" t="s">
        <v>12266</v>
      </c>
      <c r="Z7107" s="18" t="s">
        <v>13441</v>
      </c>
      <c r="AA7107" s="21" t="str">
        <f>HYPERLINK("https://www.ncbi.nlm.nih.gov/nuccore/MN147863,MN147864","NCBI Nucleotide")</f>
        <v>NCBI Nucleotide</v>
      </c>
    </row>
    <row r="7108" spans="1:27" x14ac:dyDescent="0.35">
      <c r="A7108">
        <v>1007987</v>
      </c>
      <c r="B7108">
        <v>6634</v>
      </c>
      <c r="C7108">
        <v>1</v>
      </c>
      <c r="D7108" s="17" t="s">
        <v>10507</v>
      </c>
      <c r="E7108" s="17"/>
      <c r="F7108" s="17" t="s">
        <v>10780</v>
      </c>
      <c r="G7108" s="17"/>
      <c r="H7108" s="17" t="s">
        <v>12908</v>
      </c>
      <c r="I7108" s="17"/>
      <c r="J7108" s="17" t="s">
        <v>14018</v>
      </c>
      <c r="K7108" s="17"/>
      <c r="L7108" s="17" t="s">
        <v>14019</v>
      </c>
      <c r="M7108" s="17"/>
      <c r="N7108" s="17" t="s">
        <v>14020</v>
      </c>
      <c r="O7108" s="17"/>
      <c r="P7108" s="17" t="s">
        <v>14040</v>
      </c>
      <c r="Q7108" s="17"/>
      <c r="R7108" s="25" t="str">
        <f>HYPERLINK("https://ictv.global/taxonomy/taxondetails?taxnode_id=202303473","Begomovirus solanumseverugosi")</f>
        <v>Begomovirus solanumseverugosi</v>
      </c>
      <c r="S7108" s="18" t="s">
        <v>30</v>
      </c>
      <c r="T7108" s="18" t="s">
        <v>15800</v>
      </c>
      <c r="U7108" s="18" t="s">
        <v>15801</v>
      </c>
      <c r="V7108" s="18" t="s">
        <v>15802</v>
      </c>
      <c r="W7108" s="18" t="s">
        <v>15803</v>
      </c>
      <c r="X7108" s="18" t="s">
        <v>42</v>
      </c>
      <c r="Y7108" s="18" t="s">
        <v>12266</v>
      </c>
      <c r="Z7108" s="18" t="s">
        <v>13441</v>
      </c>
      <c r="AA7108" s="21" t="str">
        <f>HYPERLINK("https://www.ncbi.nlm.nih.gov/nuccore/DQ207749,EF534708","NCBI Nucleotide")</f>
        <v>NCBI Nucleotide</v>
      </c>
    </row>
    <row r="7109" spans="1:27" x14ac:dyDescent="0.35">
      <c r="A7109">
        <v>1007962</v>
      </c>
      <c r="B7109">
        <v>6635</v>
      </c>
      <c r="C7109">
        <v>1</v>
      </c>
      <c r="D7109" s="17" t="s">
        <v>10507</v>
      </c>
      <c r="E7109" s="17"/>
      <c r="F7109" s="17" t="s">
        <v>10780</v>
      </c>
      <c r="G7109" s="17"/>
      <c r="H7109" s="17" t="s">
        <v>12908</v>
      </c>
      <c r="I7109" s="17"/>
      <c r="J7109" s="17" t="s">
        <v>14018</v>
      </c>
      <c r="K7109" s="17"/>
      <c r="L7109" s="17" t="s">
        <v>14019</v>
      </c>
      <c r="M7109" s="17"/>
      <c r="N7109" s="17" t="s">
        <v>14020</v>
      </c>
      <c r="O7109" s="17"/>
      <c r="P7109" s="17" t="s">
        <v>14040</v>
      </c>
      <c r="Q7109" s="17"/>
      <c r="R7109" s="25" t="str">
        <f>HYPERLINK("https://ictv.global/taxonomy/taxondetails?taxnode_id=202303452","Begomovirus solanumseychellesense")</f>
        <v>Begomovirus solanumseychellesense</v>
      </c>
      <c r="S7109" s="18" t="s">
        <v>30</v>
      </c>
      <c r="T7109" s="18" t="s">
        <v>15688</v>
      </c>
      <c r="U7109" s="18" t="s">
        <v>15689</v>
      </c>
      <c r="V7109" s="18" t="s">
        <v>15690</v>
      </c>
      <c r="W7109" s="18" t="s">
        <v>41591</v>
      </c>
      <c r="X7109" s="18" t="s">
        <v>42</v>
      </c>
      <c r="Y7109" s="18" t="s">
        <v>12266</v>
      </c>
      <c r="Z7109" s="18" t="s">
        <v>13441</v>
      </c>
      <c r="AA7109" s="21" t="str">
        <f>HYPERLINK("https://www.ncbi.nlm.nih.gov/nuccore/AM491778","NCBI Nucleotide")</f>
        <v>NCBI Nucleotide</v>
      </c>
    </row>
    <row r="7110" spans="1:27" x14ac:dyDescent="0.35">
      <c r="A7110">
        <v>1007963</v>
      </c>
      <c r="B7110">
        <v>6636</v>
      </c>
      <c r="C7110">
        <v>1</v>
      </c>
      <c r="D7110" s="17" t="s">
        <v>10507</v>
      </c>
      <c r="E7110" s="17"/>
      <c r="F7110" s="17" t="s">
        <v>10780</v>
      </c>
      <c r="G7110" s="17"/>
      <c r="H7110" s="17" t="s">
        <v>12908</v>
      </c>
      <c r="I7110" s="17"/>
      <c r="J7110" s="17" t="s">
        <v>14018</v>
      </c>
      <c r="K7110" s="17"/>
      <c r="L7110" s="17" t="s">
        <v>14019</v>
      </c>
      <c r="M7110" s="17"/>
      <c r="N7110" s="17" t="s">
        <v>14020</v>
      </c>
      <c r="O7110" s="17"/>
      <c r="P7110" s="17" t="s">
        <v>14040</v>
      </c>
      <c r="Q7110" s="17"/>
      <c r="R7110" s="25" t="str">
        <f>HYPERLINK("https://ictv.global/taxonomy/taxondetails?taxnode_id=202303453","Begomovirus solanumsinaloaense")</f>
        <v>Begomovirus solanumsinaloaense</v>
      </c>
      <c r="S7110" s="18" t="s">
        <v>30</v>
      </c>
      <c r="T7110" s="18" t="s">
        <v>15691</v>
      </c>
      <c r="U7110" s="18" t="s">
        <v>15692</v>
      </c>
      <c r="V7110" s="18" t="s">
        <v>15693</v>
      </c>
      <c r="W7110" s="18" t="s">
        <v>50479</v>
      </c>
      <c r="X7110" s="18" t="s">
        <v>42</v>
      </c>
      <c r="Y7110" s="18" t="s">
        <v>12266</v>
      </c>
      <c r="Z7110" s="18" t="s">
        <v>13441</v>
      </c>
      <c r="AA7110" s="21" t="str">
        <f>HYPERLINK("https://www.ncbi.nlm.nih.gov/nuccore/AJ608286,AJ508783","NCBI Nucleotide")</f>
        <v>NCBI Nucleotide</v>
      </c>
    </row>
    <row r="7111" spans="1:27" x14ac:dyDescent="0.35">
      <c r="A7111">
        <v>1007964</v>
      </c>
      <c r="B7111">
        <v>6637</v>
      </c>
      <c r="C7111">
        <v>1</v>
      </c>
      <c r="D7111" s="17" t="s">
        <v>10507</v>
      </c>
      <c r="E7111" s="17"/>
      <c r="F7111" s="17" t="s">
        <v>10780</v>
      </c>
      <c r="G7111" s="17"/>
      <c r="H7111" s="17" t="s">
        <v>12908</v>
      </c>
      <c r="I7111" s="17"/>
      <c r="J7111" s="17" t="s">
        <v>14018</v>
      </c>
      <c r="K7111" s="17"/>
      <c r="L7111" s="17" t="s">
        <v>14019</v>
      </c>
      <c r="M7111" s="17"/>
      <c r="N7111" s="17" t="s">
        <v>14020</v>
      </c>
      <c r="O7111" s="17"/>
      <c r="P7111" s="17" t="s">
        <v>14040</v>
      </c>
      <c r="Q7111" s="17"/>
      <c r="R7111" s="25" t="str">
        <f>HYPERLINK("https://ictv.global/taxonomy/taxondetails?taxnode_id=202303454","Begomovirus solanumsrilankaense")</f>
        <v>Begomovirus solanumsrilankaense</v>
      </c>
      <c r="S7111" s="18" t="s">
        <v>30</v>
      </c>
      <c r="T7111" s="18" t="s">
        <v>15694</v>
      </c>
      <c r="U7111" s="18" t="s">
        <v>15695</v>
      </c>
      <c r="V7111" s="18" t="s">
        <v>15696</v>
      </c>
      <c r="W7111" s="18" t="s">
        <v>15697</v>
      </c>
      <c r="X7111" s="18" t="s">
        <v>42</v>
      </c>
      <c r="Y7111" s="18" t="s">
        <v>12266</v>
      </c>
      <c r="Z7111" s="18" t="s">
        <v>13441</v>
      </c>
      <c r="AA7111" s="21" t="str">
        <f>HYPERLINK("https://www.ncbi.nlm.nih.gov/nuccore/AF274349","NCBI Nucleotide")</f>
        <v>NCBI Nucleotide</v>
      </c>
    </row>
    <row r="7112" spans="1:27" x14ac:dyDescent="0.35">
      <c r="A7112">
        <v>1007965</v>
      </c>
      <c r="B7112">
        <v>6638</v>
      </c>
      <c r="C7112">
        <v>1</v>
      </c>
      <c r="D7112" s="17" t="s">
        <v>10507</v>
      </c>
      <c r="E7112" s="17"/>
      <c r="F7112" s="17" t="s">
        <v>10780</v>
      </c>
      <c r="G7112" s="17"/>
      <c r="H7112" s="17" t="s">
        <v>12908</v>
      </c>
      <c r="I7112" s="17"/>
      <c r="J7112" s="17" t="s">
        <v>14018</v>
      </c>
      <c r="K7112" s="17"/>
      <c r="L7112" s="17" t="s">
        <v>14019</v>
      </c>
      <c r="M7112" s="17"/>
      <c r="N7112" s="17" t="s">
        <v>14020</v>
      </c>
      <c r="O7112" s="17"/>
      <c r="P7112" s="17" t="s">
        <v>14040</v>
      </c>
      <c r="Q7112" s="17"/>
      <c r="R7112" s="25" t="str">
        <f>HYPERLINK("https://ictv.global/taxonomy/taxondetails?taxnode_id=202303455","Begomovirus solanumsudanense")</f>
        <v>Begomovirus solanumsudanense</v>
      </c>
      <c r="S7112" s="18" t="s">
        <v>30</v>
      </c>
      <c r="T7112" s="18" t="s">
        <v>15698</v>
      </c>
      <c r="U7112" s="18" t="s">
        <v>15699</v>
      </c>
      <c r="V7112" s="18" t="s">
        <v>15700</v>
      </c>
      <c r="W7112" s="18" t="s">
        <v>41592</v>
      </c>
      <c r="X7112" s="18" t="s">
        <v>42</v>
      </c>
      <c r="Y7112" s="18" t="s">
        <v>12266</v>
      </c>
      <c r="Z7112" s="18" t="s">
        <v>13441</v>
      </c>
      <c r="AA7112" s="21" t="str">
        <f>HYPERLINK("https://www.ncbi.nlm.nih.gov/nuccore/AY044137","NCBI Nucleotide")</f>
        <v>NCBI Nucleotide</v>
      </c>
    </row>
    <row r="7113" spans="1:27" x14ac:dyDescent="0.35">
      <c r="A7113">
        <v>1012622</v>
      </c>
      <c r="B7113">
        <v>6638</v>
      </c>
      <c r="C7113">
        <v>2</v>
      </c>
      <c r="D7113" s="17" t="s">
        <v>10507</v>
      </c>
      <c r="E7113" s="17"/>
      <c r="F7113" s="17" t="s">
        <v>10780</v>
      </c>
      <c r="G7113" s="17"/>
      <c r="H7113" s="17" t="s">
        <v>12908</v>
      </c>
      <c r="I7113" s="17"/>
      <c r="J7113" s="17" t="s">
        <v>14018</v>
      </c>
      <c r="K7113" s="17"/>
      <c r="L7113" s="17" t="s">
        <v>14019</v>
      </c>
      <c r="M7113" s="17"/>
      <c r="N7113" s="17" t="s">
        <v>14020</v>
      </c>
      <c r="O7113" s="17"/>
      <c r="P7113" s="17" t="s">
        <v>14040</v>
      </c>
      <c r="Q7113" s="17"/>
      <c r="R7113" s="25" t="str">
        <f>HYPERLINK("https://ictv.global/taxonomy/taxondetails?taxnode_id=202303455","Begomovirus solanumsudanense")</f>
        <v>Begomovirus solanumsudanense</v>
      </c>
      <c r="S7113" s="18" t="s">
        <v>8141</v>
      </c>
      <c r="T7113" s="18" t="s">
        <v>15698</v>
      </c>
      <c r="U7113" s="18" t="s">
        <v>15701</v>
      </c>
      <c r="V7113" s="18" t="s">
        <v>15702</v>
      </c>
      <c r="W7113" s="18" t="s">
        <v>49201</v>
      </c>
      <c r="X7113" s="18" t="s">
        <v>42</v>
      </c>
      <c r="Y7113" s="18" t="s">
        <v>12266</v>
      </c>
      <c r="Z7113" s="18" t="s">
        <v>13441</v>
      </c>
      <c r="AA7113" s="21" t="str">
        <f>HYPERLINK("https://www.ncbi.nlm.nih.gov/nuccore/KC763630","NCBI Nucleotide")</f>
        <v>NCBI Nucleotide</v>
      </c>
    </row>
    <row r="7114" spans="1:27" x14ac:dyDescent="0.35">
      <c r="A7114">
        <v>1012623</v>
      </c>
      <c r="B7114">
        <v>6638</v>
      </c>
      <c r="C7114">
        <v>3</v>
      </c>
      <c r="D7114" s="17" t="s">
        <v>10507</v>
      </c>
      <c r="E7114" s="17"/>
      <c r="F7114" s="17" t="s">
        <v>10780</v>
      </c>
      <c r="G7114" s="17"/>
      <c r="H7114" s="17" t="s">
        <v>12908</v>
      </c>
      <c r="I7114" s="17"/>
      <c r="J7114" s="17" t="s">
        <v>14018</v>
      </c>
      <c r="K7114" s="17"/>
      <c r="L7114" s="17" t="s">
        <v>14019</v>
      </c>
      <c r="M7114" s="17"/>
      <c r="N7114" s="17" t="s">
        <v>14020</v>
      </c>
      <c r="O7114" s="17"/>
      <c r="P7114" s="17" t="s">
        <v>14040</v>
      </c>
      <c r="Q7114" s="17"/>
      <c r="R7114" s="25" t="str">
        <f>HYPERLINK("https://ictv.global/taxonomy/taxondetails?taxnode_id=202303455","Begomovirus solanumsudanense")</f>
        <v>Begomovirus solanumsudanense</v>
      </c>
      <c r="S7114" s="18" t="s">
        <v>8141</v>
      </c>
      <c r="T7114" s="18" t="s">
        <v>15698</v>
      </c>
      <c r="U7114" s="18" t="s">
        <v>15703</v>
      </c>
      <c r="V7114" s="18" t="s">
        <v>15704</v>
      </c>
      <c r="W7114" s="18" t="s">
        <v>49202</v>
      </c>
      <c r="X7114" s="18" t="s">
        <v>42</v>
      </c>
      <c r="Y7114" s="18" t="s">
        <v>12266</v>
      </c>
      <c r="Z7114" s="18" t="s">
        <v>13441</v>
      </c>
      <c r="AA7114" s="21" t="str">
        <f>HYPERLINK("https://www.ncbi.nlm.nih.gov/nuccore/AY044139","NCBI Nucleotide")</f>
        <v>NCBI Nucleotide</v>
      </c>
    </row>
    <row r="7115" spans="1:27" x14ac:dyDescent="0.35">
      <c r="A7115">
        <v>1012624</v>
      </c>
      <c r="B7115">
        <v>6638</v>
      </c>
      <c r="C7115">
        <v>4</v>
      </c>
      <c r="D7115" s="17" t="s">
        <v>10507</v>
      </c>
      <c r="E7115" s="17"/>
      <c r="F7115" s="17" t="s">
        <v>10780</v>
      </c>
      <c r="G7115" s="17"/>
      <c r="H7115" s="17" t="s">
        <v>12908</v>
      </c>
      <c r="I7115" s="17"/>
      <c r="J7115" s="17" t="s">
        <v>14018</v>
      </c>
      <c r="K7115" s="17"/>
      <c r="L7115" s="17" t="s">
        <v>14019</v>
      </c>
      <c r="M7115" s="17"/>
      <c r="N7115" s="17" t="s">
        <v>14020</v>
      </c>
      <c r="O7115" s="17"/>
      <c r="P7115" s="17" t="s">
        <v>14040</v>
      </c>
      <c r="Q7115" s="17"/>
      <c r="R7115" s="25" t="str">
        <f>HYPERLINK("https://ictv.global/taxonomy/taxondetails?taxnode_id=202303455","Begomovirus solanumsudanense")</f>
        <v>Begomovirus solanumsudanense</v>
      </c>
      <c r="S7115" s="18" t="s">
        <v>8141</v>
      </c>
      <c r="T7115" s="18" t="s">
        <v>15698</v>
      </c>
      <c r="U7115" s="18" t="s">
        <v>15705</v>
      </c>
      <c r="V7115" s="18" t="s">
        <v>15706</v>
      </c>
      <c r="W7115" s="18" t="s">
        <v>49203</v>
      </c>
      <c r="X7115" s="18" t="s">
        <v>42</v>
      </c>
      <c r="Y7115" s="18" t="s">
        <v>12266</v>
      </c>
      <c r="Z7115" s="18" t="s">
        <v>13441</v>
      </c>
      <c r="AA7115" s="21" t="str">
        <f>HYPERLINK("https://www.ncbi.nlm.nih.gov/nuccore/EF110891","NCBI Nucleotide")</f>
        <v>NCBI Nucleotide</v>
      </c>
    </row>
    <row r="7116" spans="1:27" x14ac:dyDescent="0.35">
      <c r="A7116">
        <v>1007966</v>
      </c>
      <c r="B7116">
        <v>6639</v>
      </c>
      <c r="C7116">
        <v>1</v>
      </c>
      <c r="D7116" s="17" t="s">
        <v>10507</v>
      </c>
      <c r="E7116" s="17"/>
      <c r="F7116" s="17" t="s">
        <v>10780</v>
      </c>
      <c r="G7116" s="17"/>
      <c r="H7116" s="17" t="s">
        <v>12908</v>
      </c>
      <c r="I7116" s="17"/>
      <c r="J7116" s="17" t="s">
        <v>14018</v>
      </c>
      <c r="K7116" s="17"/>
      <c r="L7116" s="17" t="s">
        <v>14019</v>
      </c>
      <c r="M7116" s="17"/>
      <c r="N7116" s="17" t="s">
        <v>14020</v>
      </c>
      <c r="O7116" s="17"/>
      <c r="P7116" s="17" t="s">
        <v>14040</v>
      </c>
      <c r="Q7116" s="17"/>
      <c r="R7116" s="25" t="str">
        <f>HYPERLINK("https://ictv.global/taxonomy/taxondetails?taxnode_id=202303456","Begomovirus solanumsulawesiense")</f>
        <v>Begomovirus solanumsulawesiense</v>
      </c>
      <c r="S7116" s="18" t="s">
        <v>30</v>
      </c>
      <c r="T7116" s="18" t="s">
        <v>15707</v>
      </c>
      <c r="U7116" s="18" t="s">
        <v>15708</v>
      </c>
      <c r="V7116" s="18" t="s">
        <v>15709</v>
      </c>
      <c r="W7116" s="18" t="s">
        <v>15710</v>
      </c>
      <c r="X7116" s="18" t="s">
        <v>42</v>
      </c>
      <c r="Y7116" s="18" t="s">
        <v>12266</v>
      </c>
      <c r="Z7116" s="18" t="s">
        <v>13441</v>
      </c>
      <c r="AA7116" s="21" t="str">
        <f>HYPERLINK("https://www.ncbi.nlm.nih.gov/nuccore/FJ237617","NCBI Nucleotide")</f>
        <v>NCBI Nucleotide</v>
      </c>
    </row>
    <row r="7117" spans="1:27" x14ac:dyDescent="0.35">
      <c r="A7117">
        <v>1007980</v>
      </c>
      <c r="B7117">
        <v>6640</v>
      </c>
      <c r="C7117">
        <v>1</v>
      </c>
      <c r="D7117" s="17" t="s">
        <v>10507</v>
      </c>
      <c r="E7117" s="17"/>
      <c r="F7117" s="17" t="s">
        <v>10780</v>
      </c>
      <c r="G7117" s="17"/>
      <c r="H7117" s="17" t="s">
        <v>12908</v>
      </c>
      <c r="I7117" s="17"/>
      <c r="J7117" s="17" t="s">
        <v>14018</v>
      </c>
      <c r="K7117" s="17"/>
      <c r="L7117" s="17" t="s">
        <v>14019</v>
      </c>
      <c r="M7117" s="17"/>
      <c r="N7117" s="17" t="s">
        <v>14020</v>
      </c>
      <c r="O7117" s="17"/>
      <c r="P7117" s="17" t="s">
        <v>14040</v>
      </c>
      <c r="Q7117" s="17"/>
      <c r="R7117" s="25" t="str">
        <f>HYPERLINK("https://ictv.global/taxonomy/taxondetails?taxnode_id=202303468","Begomovirus solanumtainoense")</f>
        <v>Begomovirus solanumtainoense</v>
      </c>
      <c r="S7117" s="18" t="s">
        <v>30</v>
      </c>
      <c r="T7117" s="18" t="s">
        <v>15771</v>
      </c>
      <c r="U7117" s="18" t="s">
        <v>15772</v>
      </c>
      <c r="V7117" s="18" t="s">
        <v>14478</v>
      </c>
      <c r="W7117" s="18" t="s">
        <v>15773</v>
      </c>
      <c r="X7117" s="18" t="s">
        <v>42</v>
      </c>
      <c r="Y7117" s="18" t="s">
        <v>12266</v>
      </c>
      <c r="Z7117" s="18" t="s">
        <v>13441</v>
      </c>
      <c r="AA7117" s="21" t="str">
        <f>HYPERLINK("https://www.ncbi.nlm.nih.gov/nuccore/AF012300,AF012301","NCBI Nucleotide")</f>
        <v>NCBI Nucleotide</v>
      </c>
    </row>
    <row r="7118" spans="1:27" x14ac:dyDescent="0.35">
      <c r="A7118">
        <v>1007967</v>
      </c>
      <c r="B7118">
        <v>6641</v>
      </c>
      <c r="C7118">
        <v>1</v>
      </c>
      <c r="D7118" s="17" t="s">
        <v>10507</v>
      </c>
      <c r="E7118" s="17"/>
      <c r="F7118" s="17" t="s">
        <v>10780</v>
      </c>
      <c r="G7118" s="17"/>
      <c r="H7118" s="17" t="s">
        <v>12908</v>
      </c>
      <c r="I7118" s="17"/>
      <c r="J7118" s="17" t="s">
        <v>14018</v>
      </c>
      <c r="K7118" s="17"/>
      <c r="L7118" s="17" t="s">
        <v>14019</v>
      </c>
      <c r="M7118" s="17"/>
      <c r="N7118" s="17" t="s">
        <v>14020</v>
      </c>
      <c r="O7118" s="17"/>
      <c r="P7118" s="17" t="s">
        <v>14040</v>
      </c>
      <c r="Q7118" s="17"/>
      <c r="R7118" s="25" t="str">
        <f>HYPERLINK("https://ictv.global/taxonomy/taxondetails?taxnode_id=202303457","Begomovirus solanumtaiwanense")</f>
        <v>Begomovirus solanumtaiwanense</v>
      </c>
      <c r="S7118" s="18" t="s">
        <v>30</v>
      </c>
      <c r="T7118" s="18" t="s">
        <v>15711</v>
      </c>
      <c r="U7118" s="18" t="s">
        <v>15712</v>
      </c>
      <c r="V7118" s="18" t="s">
        <v>15713</v>
      </c>
      <c r="W7118" s="18" t="s">
        <v>41593</v>
      </c>
      <c r="X7118" s="18" t="s">
        <v>42</v>
      </c>
      <c r="Y7118" s="18" t="s">
        <v>12266</v>
      </c>
      <c r="Z7118" s="18" t="s">
        <v>13441</v>
      </c>
      <c r="AA7118" s="21" t="str">
        <f>HYPERLINK("https://www.ncbi.nlm.nih.gov/nuccore/U88692","NCBI Nucleotide")</f>
        <v>NCBI Nucleotide</v>
      </c>
    </row>
    <row r="7119" spans="1:27" x14ac:dyDescent="0.35">
      <c r="A7119">
        <v>1012625</v>
      </c>
      <c r="B7119">
        <v>6641</v>
      </c>
      <c r="C7119">
        <v>2</v>
      </c>
      <c r="D7119" s="17" t="s">
        <v>10507</v>
      </c>
      <c r="E7119" s="17"/>
      <c r="F7119" s="17" t="s">
        <v>10780</v>
      </c>
      <c r="G7119" s="17"/>
      <c r="H7119" s="17" t="s">
        <v>12908</v>
      </c>
      <c r="I7119" s="17"/>
      <c r="J7119" s="17" t="s">
        <v>14018</v>
      </c>
      <c r="K7119" s="17"/>
      <c r="L7119" s="17" t="s">
        <v>14019</v>
      </c>
      <c r="M7119" s="17"/>
      <c r="N7119" s="17" t="s">
        <v>14020</v>
      </c>
      <c r="O7119" s="17"/>
      <c r="P7119" s="17" t="s">
        <v>14040</v>
      </c>
      <c r="Q7119" s="17"/>
      <c r="R7119" s="25" t="str">
        <f>HYPERLINK("https://ictv.global/taxonomy/taxondetails?taxnode_id=202303457","Begomovirus solanumtaiwanense")</f>
        <v>Begomovirus solanumtaiwanense</v>
      </c>
      <c r="S7119" s="18" t="s">
        <v>8141</v>
      </c>
      <c r="T7119" s="18" t="s">
        <v>15711</v>
      </c>
      <c r="U7119" s="18" t="s">
        <v>15714</v>
      </c>
      <c r="V7119" s="18" t="s">
        <v>15715</v>
      </c>
      <c r="W7119" s="18" t="s">
        <v>49204</v>
      </c>
      <c r="X7119" s="18" t="s">
        <v>42</v>
      </c>
      <c r="Y7119" s="18" t="s">
        <v>12266</v>
      </c>
      <c r="Z7119" s="18" t="s">
        <v>13441</v>
      </c>
      <c r="AA7119" s="21" t="str">
        <f>HYPERLINK("https://www.ncbi.nlm.nih.gov/nuccore/JQ867093","NCBI Nucleotide")</f>
        <v>NCBI Nucleotide</v>
      </c>
    </row>
    <row r="7120" spans="1:27" x14ac:dyDescent="0.35">
      <c r="A7120">
        <v>1012626</v>
      </c>
      <c r="B7120">
        <v>6641</v>
      </c>
      <c r="C7120">
        <v>3</v>
      </c>
      <c r="D7120" s="17" t="s">
        <v>10507</v>
      </c>
      <c r="E7120" s="17"/>
      <c r="F7120" s="17" t="s">
        <v>10780</v>
      </c>
      <c r="G7120" s="17"/>
      <c r="H7120" s="17" t="s">
        <v>12908</v>
      </c>
      <c r="I7120" s="17"/>
      <c r="J7120" s="17" t="s">
        <v>14018</v>
      </c>
      <c r="K7120" s="17"/>
      <c r="L7120" s="17" t="s">
        <v>14019</v>
      </c>
      <c r="M7120" s="17"/>
      <c r="N7120" s="17" t="s">
        <v>14020</v>
      </c>
      <c r="O7120" s="17"/>
      <c r="P7120" s="17" t="s">
        <v>14040</v>
      </c>
      <c r="Q7120" s="17"/>
      <c r="R7120" s="25" t="str">
        <f>HYPERLINK("https://ictv.global/taxonomy/taxondetails?taxnode_id=202303457","Begomovirus solanumtaiwanense")</f>
        <v>Begomovirus solanumtaiwanense</v>
      </c>
      <c r="S7120" s="18" t="s">
        <v>8141</v>
      </c>
      <c r="T7120" s="18" t="s">
        <v>15711</v>
      </c>
      <c r="U7120" s="18" t="s">
        <v>15716</v>
      </c>
      <c r="V7120" s="18" t="s">
        <v>15717</v>
      </c>
      <c r="W7120" s="18" t="s">
        <v>49205</v>
      </c>
      <c r="X7120" s="18" t="s">
        <v>42</v>
      </c>
      <c r="Y7120" s="18" t="s">
        <v>12266</v>
      </c>
      <c r="Z7120" s="18" t="s">
        <v>13441</v>
      </c>
      <c r="AA7120" s="21" t="str">
        <f>HYPERLINK("https://www.ncbi.nlm.nih.gov/nuccore/GU723730","NCBI Nucleotide")</f>
        <v>NCBI Nucleotide</v>
      </c>
    </row>
    <row r="7121" spans="1:27" x14ac:dyDescent="0.35">
      <c r="A7121">
        <v>1012627</v>
      </c>
      <c r="B7121">
        <v>6641</v>
      </c>
      <c r="C7121">
        <v>4</v>
      </c>
      <c r="D7121" s="17" t="s">
        <v>10507</v>
      </c>
      <c r="E7121" s="17"/>
      <c r="F7121" s="17" t="s">
        <v>10780</v>
      </c>
      <c r="G7121" s="17"/>
      <c r="H7121" s="17" t="s">
        <v>12908</v>
      </c>
      <c r="I7121" s="17"/>
      <c r="J7121" s="17" t="s">
        <v>14018</v>
      </c>
      <c r="K7121" s="17"/>
      <c r="L7121" s="17" t="s">
        <v>14019</v>
      </c>
      <c r="M7121" s="17"/>
      <c r="N7121" s="17" t="s">
        <v>14020</v>
      </c>
      <c r="O7121" s="17"/>
      <c r="P7121" s="17" t="s">
        <v>14040</v>
      </c>
      <c r="Q7121" s="17"/>
      <c r="R7121" s="25" t="str">
        <f>HYPERLINK("https://ictv.global/taxonomy/taxondetails?taxnode_id=202303457","Begomovirus solanumtaiwanense")</f>
        <v>Begomovirus solanumtaiwanense</v>
      </c>
      <c r="S7121" s="18" t="s">
        <v>8141</v>
      </c>
      <c r="T7121" s="18" t="s">
        <v>15711</v>
      </c>
      <c r="U7121" s="18" t="s">
        <v>15718</v>
      </c>
      <c r="V7121" s="18" t="s">
        <v>15719</v>
      </c>
      <c r="W7121" s="18" t="s">
        <v>49206</v>
      </c>
      <c r="X7121" s="18" t="s">
        <v>42</v>
      </c>
      <c r="Y7121" s="18" t="s">
        <v>12266</v>
      </c>
      <c r="Z7121" s="18" t="s">
        <v>13441</v>
      </c>
      <c r="AA7121" s="21" t="str">
        <f>HYPERLINK("https://www.ncbi.nlm.nih.gov/nuccore/DQ866128","NCBI Nucleotide")</f>
        <v>NCBI Nucleotide</v>
      </c>
    </row>
    <row r="7122" spans="1:27" x14ac:dyDescent="0.35">
      <c r="A7122">
        <v>1007968</v>
      </c>
      <c r="B7122">
        <v>6642</v>
      </c>
      <c r="C7122">
        <v>1</v>
      </c>
      <c r="D7122" s="17" t="s">
        <v>10507</v>
      </c>
      <c r="E7122" s="17"/>
      <c r="F7122" s="17" t="s">
        <v>10780</v>
      </c>
      <c r="G7122" s="17"/>
      <c r="H7122" s="17" t="s">
        <v>12908</v>
      </c>
      <c r="I7122" s="17"/>
      <c r="J7122" s="17" t="s">
        <v>14018</v>
      </c>
      <c r="K7122" s="17"/>
      <c r="L7122" s="17" t="s">
        <v>14019</v>
      </c>
      <c r="M7122" s="17"/>
      <c r="N7122" s="17" t="s">
        <v>14020</v>
      </c>
      <c r="O7122" s="17"/>
      <c r="P7122" s="17" t="s">
        <v>14040</v>
      </c>
      <c r="Q7122" s="17"/>
      <c r="R7122" s="25" t="str">
        <f>HYPERLINK("https://ictv.global/taxonomy/taxondetails?taxnode_id=202306712","Begomovirus solanumtanzaniaense")</f>
        <v>Begomovirus solanumtanzaniaense</v>
      </c>
      <c r="S7122" s="18" t="s">
        <v>30</v>
      </c>
      <c r="T7122" s="18" t="s">
        <v>15720</v>
      </c>
      <c r="U7122" s="18" t="s">
        <v>15721</v>
      </c>
      <c r="V7122" s="18" t="s">
        <v>15722</v>
      </c>
      <c r="W7122" s="18" t="s">
        <v>41594</v>
      </c>
      <c r="X7122" s="18" t="s">
        <v>42</v>
      </c>
      <c r="Y7122" s="18" t="s">
        <v>12266</v>
      </c>
      <c r="Z7122" s="18" t="s">
        <v>13441</v>
      </c>
      <c r="AA7122" s="21" t="str">
        <f>HYPERLINK("https://www.ncbi.nlm.nih.gov/nuccore/DQ519575","NCBI Nucleotide")</f>
        <v>NCBI Nucleotide</v>
      </c>
    </row>
    <row r="7123" spans="1:27" x14ac:dyDescent="0.35">
      <c r="A7123">
        <v>1007975</v>
      </c>
      <c r="B7123">
        <v>6643</v>
      </c>
      <c r="C7123">
        <v>1</v>
      </c>
      <c r="D7123" s="17" t="s">
        <v>10507</v>
      </c>
      <c r="E7123" s="17"/>
      <c r="F7123" s="17" t="s">
        <v>10780</v>
      </c>
      <c r="G7123" s="17"/>
      <c r="H7123" s="17" t="s">
        <v>12908</v>
      </c>
      <c r="I7123" s="17"/>
      <c r="J7123" s="17" t="s">
        <v>14018</v>
      </c>
      <c r="K7123" s="17"/>
      <c r="L7123" s="17" t="s">
        <v>14019</v>
      </c>
      <c r="M7123" s="17"/>
      <c r="N7123" s="17" t="s">
        <v>14020</v>
      </c>
      <c r="O7123" s="17"/>
      <c r="P7123" s="17" t="s">
        <v>14040</v>
      </c>
      <c r="Q7123" s="17"/>
      <c r="R7123" s="25" t="str">
        <f>HYPERLINK("https://ictv.global/taxonomy/taxondetails?taxnode_id=202303464","Begomovirus solanumtenuimusivi")</f>
        <v>Begomovirus solanumtenuimusivi</v>
      </c>
      <c r="S7123" s="18" t="s">
        <v>30</v>
      </c>
      <c r="T7123" s="18" t="s">
        <v>15753</v>
      </c>
      <c r="U7123" s="18" t="s">
        <v>15754</v>
      </c>
      <c r="V7123" s="18" t="s">
        <v>15755</v>
      </c>
      <c r="W7123" s="18" t="s">
        <v>15756</v>
      </c>
      <c r="X7123" s="18" t="s">
        <v>42</v>
      </c>
      <c r="Y7123" s="18" t="s">
        <v>12266</v>
      </c>
      <c r="Z7123" s="18" t="s">
        <v>13441</v>
      </c>
      <c r="AA7123" s="21" t="str">
        <f>HYPERLINK("https://www.ncbi.nlm.nih.gov/nuccore/EU710752,EU710753","NCBI Nucleotide")</f>
        <v>NCBI Nucleotide</v>
      </c>
    </row>
    <row r="7124" spans="1:27" x14ac:dyDescent="0.35">
      <c r="A7124">
        <v>1007969</v>
      </c>
      <c r="B7124">
        <v>6644</v>
      </c>
      <c r="C7124">
        <v>1</v>
      </c>
      <c r="D7124" s="17" t="s">
        <v>10507</v>
      </c>
      <c r="E7124" s="17"/>
      <c r="F7124" s="17" t="s">
        <v>10780</v>
      </c>
      <c r="G7124" s="17"/>
      <c r="H7124" s="17" t="s">
        <v>12908</v>
      </c>
      <c r="I7124" s="17"/>
      <c r="J7124" s="17" t="s">
        <v>14018</v>
      </c>
      <c r="K7124" s="17"/>
      <c r="L7124" s="17" t="s">
        <v>14019</v>
      </c>
      <c r="M7124" s="17"/>
      <c r="N7124" s="17" t="s">
        <v>14020</v>
      </c>
      <c r="O7124" s="17"/>
      <c r="P7124" s="17" t="s">
        <v>14040</v>
      </c>
      <c r="Q7124" s="17"/>
      <c r="R7124" s="25" t="str">
        <f>HYPERLINK("https://ictv.global/taxonomy/taxondetails?taxnode_id=202303458","Begomovirus solanumtoliaraense")</f>
        <v>Begomovirus solanumtoliaraense</v>
      </c>
      <c r="S7124" s="18" t="s">
        <v>30</v>
      </c>
      <c r="T7124" s="18" t="s">
        <v>15723</v>
      </c>
      <c r="U7124" s="18" t="s">
        <v>15724</v>
      </c>
      <c r="V7124" s="18" t="s">
        <v>15725</v>
      </c>
      <c r="W7124" s="18" t="s">
        <v>41595</v>
      </c>
      <c r="X7124" s="18" t="s">
        <v>42</v>
      </c>
      <c r="Y7124" s="18" t="s">
        <v>12266</v>
      </c>
      <c r="Z7124" s="18" t="s">
        <v>13441</v>
      </c>
      <c r="AA7124" s="21" t="str">
        <f>HYPERLINK("https://www.ncbi.nlm.nih.gov/nuccore/AM701768","NCBI Nucleotide")</f>
        <v>NCBI Nucleotide</v>
      </c>
    </row>
    <row r="7125" spans="1:27" x14ac:dyDescent="0.35">
      <c r="A7125">
        <v>1007988</v>
      </c>
      <c r="B7125">
        <v>6645</v>
      </c>
      <c r="C7125">
        <v>1</v>
      </c>
      <c r="D7125" s="17" t="s">
        <v>10507</v>
      </c>
      <c r="E7125" s="17"/>
      <c r="F7125" s="17" t="s">
        <v>10780</v>
      </c>
      <c r="G7125" s="17"/>
      <c r="H7125" s="17" t="s">
        <v>12908</v>
      </c>
      <c r="I7125" s="17"/>
      <c r="J7125" s="17" t="s">
        <v>14018</v>
      </c>
      <c r="K7125" s="17"/>
      <c r="L7125" s="17" t="s">
        <v>14019</v>
      </c>
      <c r="M7125" s="17"/>
      <c r="N7125" s="17" t="s">
        <v>14020</v>
      </c>
      <c r="O7125" s="17"/>
      <c r="P7125" s="17" t="s">
        <v>14040</v>
      </c>
      <c r="Q7125" s="17"/>
      <c r="R7125" s="25" t="str">
        <f>HYPERLINK("https://ictv.global/taxonomy/taxondetails?taxnode_id=202307532","Begomovirus solanumtortilis")</f>
        <v>Begomovirus solanumtortilis</v>
      </c>
      <c r="S7125" s="18" t="s">
        <v>30</v>
      </c>
      <c r="T7125" s="18" t="s">
        <v>15804</v>
      </c>
      <c r="U7125" s="18" t="s">
        <v>15805</v>
      </c>
      <c r="V7125" s="18" t="s">
        <v>15806</v>
      </c>
      <c r="W7125" s="18" t="s">
        <v>41596</v>
      </c>
      <c r="X7125" s="18" t="s">
        <v>42</v>
      </c>
      <c r="Y7125" s="18" t="s">
        <v>12266</v>
      </c>
      <c r="Z7125" s="18" t="s">
        <v>13441</v>
      </c>
      <c r="AA7125" s="21" t="str">
        <f>HYPERLINK("https://www.ncbi.nlm.nih.gov/nuccore/MK440292","NCBI Nucleotide")</f>
        <v>NCBI Nucleotide</v>
      </c>
    </row>
    <row r="7126" spans="1:27" x14ac:dyDescent="0.35">
      <c r="A7126">
        <v>1007909</v>
      </c>
      <c r="B7126">
        <v>6646</v>
      </c>
      <c r="C7126">
        <v>1</v>
      </c>
      <c r="D7126" s="17" t="s">
        <v>10507</v>
      </c>
      <c r="E7126" s="17"/>
      <c r="F7126" s="17" t="s">
        <v>10780</v>
      </c>
      <c r="G7126" s="17"/>
      <c r="H7126" s="17" t="s">
        <v>12908</v>
      </c>
      <c r="I7126" s="17"/>
      <c r="J7126" s="17" t="s">
        <v>14018</v>
      </c>
      <c r="K7126" s="17"/>
      <c r="L7126" s="17" t="s">
        <v>14019</v>
      </c>
      <c r="M7126" s="17"/>
      <c r="N7126" s="17" t="s">
        <v>14020</v>
      </c>
      <c r="O7126" s="17"/>
      <c r="P7126" s="17" t="s">
        <v>14040</v>
      </c>
      <c r="Q7126" s="17"/>
      <c r="R7126" s="25" t="str">
        <f>HYPERLINK("https://ictv.global/taxonomy/taxondetails?taxnode_id=202305835","Begomovirus solanumtumoris")</f>
        <v>Begomovirus solanumtumoris</v>
      </c>
      <c r="S7126" s="18" t="s">
        <v>30</v>
      </c>
      <c r="T7126" s="18" t="s">
        <v>15485</v>
      </c>
      <c r="U7126" s="18" t="s">
        <v>15486</v>
      </c>
      <c r="V7126" s="18" t="s">
        <v>15487</v>
      </c>
      <c r="W7126" s="18" t="s">
        <v>15488</v>
      </c>
      <c r="X7126" s="18" t="s">
        <v>42</v>
      </c>
      <c r="Y7126" s="18" t="s">
        <v>12266</v>
      </c>
      <c r="Z7126" s="18" t="s">
        <v>13441</v>
      </c>
      <c r="AA7126" s="21" t="str">
        <f>HYPERLINK("https://www.ncbi.nlm.nih.gov/nuccore/KP195260","NCBI Nucleotide")</f>
        <v>NCBI Nucleotide</v>
      </c>
    </row>
    <row r="7127" spans="1:27" x14ac:dyDescent="0.35">
      <c r="A7127">
        <v>1007970</v>
      </c>
      <c r="B7127">
        <v>6647</v>
      </c>
      <c r="C7127">
        <v>1</v>
      </c>
      <c r="D7127" s="17" t="s">
        <v>10507</v>
      </c>
      <c r="E7127" s="17"/>
      <c r="F7127" s="17" t="s">
        <v>10780</v>
      </c>
      <c r="G7127" s="17"/>
      <c r="H7127" s="17" t="s">
        <v>12908</v>
      </c>
      <c r="I7127" s="17"/>
      <c r="J7127" s="17" t="s">
        <v>14018</v>
      </c>
      <c r="K7127" s="17"/>
      <c r="L7127" s="17" t="s">
        <v>14019</v>
      </c>
      <c r="M7127" s="17"/>
      <c r="N7127" s="17" t="s">
        <v>14020</v>
      </c>
      <c r="O7127" s="17"/>
      <c r="P7127" s="17" t="s">
        <v>14040</v>
      </c>
      <c r="Q7127" s="17"/>
      <c r="R7127" s="25" t="str">
        <f>HYPERLINK("https://ictv.global/taxonomy/taxondetails?taxnode_id=202303459","Begomovirus solanumugandaense")</f>
        <v>Begomovirus solanumugandaense</v>
      </c>
      <c r="S7127" s="18" t="s">
        <v>30</v>
      </c>
      <c r="T7127" s="18" t="s">
        <v>15726</v>
      </c>
      <c r="U7127" s="18" t="s">
        <v>15727</v>
      </c>
      <c r="V7127" s="18" t="s">
        <v>15728</v>
      </c>
      <c r="W7127" s="18" t="s">
        <v>15729</v>
      </c>
      <c r="X7127" s="18" t="s">
        <v>42</v>
      </c>
      <c r="Y7127" s="18" t="s">
        <v>12266</v>
      </c>
      <c r="Z7127" s="18" t="s">
        <v>13441</v>
      </c>
      <c r="AA7127" s="21" t="str">
        <f>HYPERLINK("https://www.ncbi.nlm.nih.gov/nuccore/DQ127170","NCBI Nucleotide")</f>
        <v>NCBI Nucleotide</v>
      </c>
    </row>
    <row r="7128" spans="1:27" x14ac:dyDescent="0.35">
      <c r="A7128">
        <v>1007981</v>
      </c>
      <c r="B7128">
        <v>6648</v>
      </c>
      <c r="C7128">
        <v>1</v>
      </c>
      <c r="D7128" s="17" t="s">
        <v>10507</v>
      </c>
      <c r="E7128" s="17"/>
      <c r="F7128" s="17" t="s">
        <v>10780</v>
      </c>
      <c r="G7128" s="17"/>
      <c r="H7128" s="17" t="s">
        <v>12908</v>
      </c>
      <c r="I7128" s="17"/>
      <c r="J7128" s="17" t="s">
        <v>14018</v>
      </c>
      <c r="K7128" s="17"/>
      <c r="L7128" s="17" t="s">
        <v>14019</v>
      </c>
      <c r="M7128" s="17"/>
      <c r="N7128" s="17" t="s">
        <v>14020</v>
      </c>
      <c r="O7128" s="17"/>
      <c r="P7128" s="17" t="s">
        <v>14040</v>
      </c>
      <c r="Q7128" s="17"/>
      <c r="R7128" s="25" t="str">
        <f>HYPERLINK("https://ictv.global/taxonomy/taxondetails?taxnode_id=202303469","Begomovirus solanumvariati")</f>
        <v>Begomovirus solanumvariati</v>
      </c>
      <c r="S7128" s="18" t="s">
        <v>30</v>
      </c>
      <c r="T7128" s="18" t="s">
        <v>15774</v>
      </c>
      <c r="U7128" s="18" t="s">
        <v>15775</v>
      </c>
      <c r="V7128" s="18" t="s">
        <v>15776</v>
      </c>
      <c r="W7128" s="18" t="s">
        <v>15777</v>
      </c>
      <c r="X7128" s="18" t="s">
        <v>42</v>
      </c>
      <c r="Y7128" s="18" t="s">
        <v>12266</v>
      </c>
      <c r="Z7128" s="18" t="s">
        <v>13441</v>
      </c>
      <c r="AA7128" s="21" t="str">
        <f>HYPERLINK("https://www.ncbi.nlm.nih.gov/nuccore/L14460,L14461","NCBI Nucleotide")</f>
        <v>NCBI Nucleotide</v>
      </c>
    </row>
    <row r="7129" spans="1:27" x14ac:dyDescent="0.35">
      <c r="A7129">
        <v>1007979</v>
      </c>
      <c r="B7129">
        <v>6649</v>
      </c>
      <c r="C7129">
        <v>1</v>
      </c>
      <c r="D7129" s="17" t="s">
        <v>10507</v>
      </c>
      <c r="E7129" s="17"/>
      <c r="F7129" s="17" t="s">
        <v>10780</v>
      </c>
      <c r="G7129" s="17"/>
      <c r="H7129" s="17" t="s">
        <v>12908</v>
      </c>
      <c r="I7129" s="17"/>
      <c r="J7129" s="17" t="s">
        <v>14018</v>
      </c>
      <c r="K7129" s="17"/>
      <c r="L7129" s="17" t="s">
        <v>14019</v>
      </c>
      <c r="M7129" s="17"/>
      <c r="N7129" s="17" t="s">
        <v>14020</v>
      </c>
      <c r="O7129" s="17"/>
      <c r="P7129" s="17" t="s">
        <v>14040</v>
      </c>
      <c r="Q7129" s="17"/>
      <c r="R7129" s="25" t="str">
        <f>HYPERLINK("https://ictv.global/taxonomy/taxondetails?taxnode_id=202303467","Begomovirus solanumvariatuminvolutionis")</f>
        <v>Begomovirus solanumvariatuminvolutionis</v>
      </c>
      <c r="S7129" s="18" t="s">
        <v>30</v>
      </c>
      <c r="T7129" s="18" t="s">
        <v>15767</v>
      </c>
      <c r="U7129" s="18" t="s">
        <v>15768</v>
      </c>
      <c r="V7129" s="18" t="s">
        <v>15769</v>
      </c>
      <c r="W7129" s="18" t="s">
        <v>15770</v>
      </c>
      <c r="X7129" s="18" t="s">
        <v>42</v>
      </c>
      <c r="Y7129" s="18" t="s">
        <v>12266</v>
      </c>
      <c r="Z7129" s="18" t="s">
        <v>13441</v>
      </c>
      <c r="AA7129" s="21" t="str">
        <f>HYPERLINK("https://www.ncbi.nlm.nih.gov/nuccore/KC706615","NCBI Nucleotide")</f>
        <v>NCBI Nucleotide</v>
      </c>
    </row>
    <row r="7130" spans="1:27" x14ac:dyDescent="0.35">
      <c r="A7130">
        <v>1007989</v>
      </c>
      <c r="B7130">
        <v>6650</v>
      </c>
      <c r="C7130">
        <v>1</v>
      </c>
      <c r="D7130" s="17" t="s">
        <v>10507</v>
      </c>
      <c r="E7130" s="17"/>
      <c r="F7130" s="17" t="s">
        <v>10780</v>
      </c>
      <c r="G7130" s="17"/>
      <c r="H7130" s="17" t="s">
        <v>12908</v>
      </c>
      <c r="I7130" s="17"/>
      <c r="J7130" s="17" t="s">
        <v>14018</v>
      </c>
      <c r="K7130" s="17"/>
      <c r="L7130" s="17" t="s">
        <v>14019</v>
      </c>
      <c r="M7130" s="17"/>
      <c r="N7130" s="17" t="s">
        <v>14020</v>
      </c>
      <c r="O7130" s="17"/>
      <c r="P7130" s="17" t="s">
        <v>14040</v>
      </c>
      <c r="Q7130" s="17"/>
      <c r="R7130" s="25" t="str">
        <f>HYPERLINK("https://ictv.global/taxonomy/taxondetails?taxnode_id=202309136","Begomovirus solanumvenadepravationis")</f>
        <v>Begomovirus solanumvenadepravationis</v>
      </c>
      <c r="S7130" s="18" t="s">
        <v>30</v>
      </c>
      <c r="T7130" s="18" t="s">
        <v>15807</v>
      </c>
      <c r="U7130" s="18" t="s">
        <v>15808</v>
      </c>
      <c r="V7130" s="18" t="s">
        <v>15809</v>
      </c>
      <c r="W7130" s="18" t="s">
        <v>50772</v>
      </c>
      <c r="X7130" s="18" t="s">
        <v>42</v>
      </c>
      <c r="Y7130" s="18" t="s">
        <v>12266</v>
      </c>
      <c r="Z7130" s="18" t="s">
        <v>13441</v>
      </c>
      <c r="AA7130" s="21" t="str">
        <f>HYPERLINK("https://www.ncbi.nlm.nih.gov/nuccore/MK423208,MK423207","NCBI Nucleotide")</f>
        <v>NCBI Nucleotide</v>
      </c>
    </row>
    <row r="7131" spans="1:27" x14ac:dyDescent="0.35">
      <c r="A7131">
        <v>1007971</v>
      </c>
      <c r="B7131">
        <v>6651</v>
      </c>
      <c r="C7131">
        <v>1</v>
      </c>
      <c r="D7131" s="17" t="s">
        <v>10507</v>
      </c>
      <c r="E7131" s="17"/>
      <c r="F7131" s="17" t="s">
        <v>10780</v>
      </c>
      <c r="G7131" s="17"/>
      <c r="H7131" s="17" t="s">
        <v>12908</v>
      </c>
      <c r="I7131" s="17"/>
      <c r="J7131" s="17" t="s">
        <v>14018</v>
      </c>
      <c r="K7131" s="17"/>
      <c r="L7131" s="17" t="s">
        <v>14019</v>
      </c>
      <c r="M7131" s="17"/>
      <c r="N7131" s="17" t="s">
        <v>14020</v>
      </c>
      <c r="O7131" s="17"/>
      <c r="P7131" s="17" t="s">
        <v>14040</v>
      </c>
      <c r="Q7131" s="17"/>
      <c r="R7131" s="25" t="str">
        <f>HYPERLINK("https://ictv.global/taxonomy/taxondetails?taxnode_id=202303460","Begomovirus solanumvietnamense")</f>
        <v>Begomovirus solanumvietnamense</v>
      </c>
      <c r="S7131" s="18" t="s">
        <v>30</v>
      </c>
      <c r="T7131" s="18" t="s">
        <v>15730</v>
      </c>
      <c r="U7131" s="18" t="s">
        <v>15731</v>
      </c>
      <c r="V7131" s="18" t="s">
        <v>15732</v>
      </c>
      <c r="W7131" s="18" t="s">
        <v>15733</v>
      </c>
      <c r="X7131" s="18" t="s">
        <v>42</v>
      </c>
      <c r="Y7131" s="18" t="s">
        <v>12266</v>
      </c>
      <c r="Z7131" s="18" t="s">
        <v>13441</v>
      </c>
      <c r="AA7131" s="21" t="str">
        <f>HYPERLINK("https://www.ncbi.nlm.nih.gov/nuccore/AF264063","NCBI Nucleotide")</f>
        <v>NCBI Nucleotide</v>
      </c>
    </row>
    <row r="7132" spans="1:27" x14ac:dyDescent="0.35">
      <c r="A7132">
        <v>1007960</v>
      </c>
      <c r="B7132">
        <v>6652</v>
      </c>
      <c r="C7132">
        <v>1</v>
      </c>
      <c r="D7132" s="17" t="s">
        <v>10507</v>
      </c>
      <c r="E7132" s="17"/>
      <c r="F7132" s="17" t="s">
        <v>10780</v>
      </c>
      <c r="G7132" s="17"/>
      <c r="H7132" s="17" t="s">
        <v>12908</v>
      </c>
      <c r="I7132" s="17"/>
      <c r="J7132" s="17" t="s">
        <v>14018</v>
      </c>
      <c r="K7132" s="17"/>
      <c r="L7132" s="17" t="s">
        <v>14019</v>
      </c>
      <c r="M7132" s="17"/>
      <c r="N7132" s="17" t="s">
        <v>14020</v>
      </c>
      <c r="O7132" s="17"/>
      <c r="P7132" s="17" t="s">
        <v>14040</v>
      </c>
      <c r="Q7132" s="17"/>
      <c r="R7132" s="25" t="str">
        <f>HYPERLINK("https://ictv.global/taxonomy/taxondetails?taxnode_id=202306710","Begomovirus solanumviolavenae")</f>
        <v>Begomovirus solanumviolavenae</v>
      </c>
      <c r="S7132" s="18" t="s">
        <v>30</v>
      </c>
      <c r="T7132" s="18" t="s">
        <v>15681</v>
      </c>
      <c r="U7132" s="18" t="s">
        <v>15682</v>
      </c>
      <c r="V7132" s="18" t="s">
        <v>15683</v>
      </c>
      <c r="W7132" s="18" t="s">
        <v>41597</v>
      </c>
      <c r="X7132" s="18" t="s">
        <v>42</v>
      </c>
      <c r="Y7132" s="18" t="s">
        <v>12266</v>
      </c>
      <c r="Z7132" s="18" t="s">
        <v>13441</v>
      </c>
      <c r="AA7132" s="21" t="str">
        <f>HYPERLINK("https://www.ncbi.nlm.nih.gov/nuccore/KY196216","NCBI Nucleotide")</f>
        <v>NCBI Nucleotide</v>
      </c>
    </row>
    <row r="7133" spans="1:27" x14ac:dyDescent="0.35">
      <c r="A7133">
        <v>1007906</v>
      </c>
      <c r="B7133">
        <v>6653</v>
      </c>
      <c r="C7133">
        <v>1</v>
      </c>
      <c r="D7133" s="17" t="s">
        <v>10507</v>
      </c>
      <c r="E7133" s="17"/>
      <c r="F7133" s="17" t="s">
        <v>10780</v>
      </c>
      <c r="G7133" s="17"/>
      <c r="H7133" s="17" t="s">
        <v>12908</v>
      </c>
      <c r="I7133" s="17"/>
      <c r="J7133" s="17" t="s">
        <v>14018</v>
      </c>
      <c r="K7133" s="17"/>
      <c r="L7133" s="17" t="s">
        <v>14019</v>
      </c>
      <c r="M7133" s="17"/>
      <c r="N7133" s="17" t="s">
        <v>14020</v>
      </c>
      <c r="O7133" s="17"/>
      <c r="P7133" s="17" t="s">
        <v>14040</v>
      </c>
      <c r="Q7133" s="17"/>
      <c r="R7133" s="25" t="str">
        <f>HYPERLINK("https://ictv.global/taxonomy/taxondetails?taxnode_id=202303406","Begomovirus solanumvulgarismusivi")</f>
        <v>Begomovirus solanumvulgarismusivi</v>
      </c>
      <c r="S7133" s="18" t="s">
        <v>30</v>
      </c>
      <c r="T7133" s="18" t="s">
        <v>15473</v>
      </c>
      <c r="U7133" s="18" t="s">
        <v>15474</v>
      </c>
      <c r="V7133" s="18" t="s">
        <v>15475</v>
      </c>
      <c r="W7133" s="18" t="s">
        <v>15476</v>
      </c>
      <c r="X7133" s="18" t="s">
        <v>42</v>
      </c>
      <c r="Y7133" s="18" t="s">
        <v>12266</v>
      </c>
      <c r="Z7133" s="18" t="s">
        <v>13441</v>
      </c>
      <c r="AA7133" s="21" t="str">
        <f>HYPERLINK("https://www.ncbi.nlm.nih.gov/nuccore/EU710754,EU710755","NCBI Nucleotide")</f>
        <v>NCBI Nucleotide</v>
      </c>
    </row>
    <row r="7134" spans="1:27" x14ac:dyDescent="0.35">
      <c r="A7134">
        <v>1007862</v>
      </c>
      <c r="B7134">
        <v>6654</v>
      </c>
      <c r="C7134">
        <v>1</v>
      </c>
      <c r="D7134" s="17" t="s">
        <v>10507</v>
      </c>
      <c r="E7134" s="17"/>
      <c r="F7134" s="17" t="s">
        <v>10780</v>
      </c>
      <c r="G7134" s="17"/>
      <c r="H7134" s="17" t="s">
        <v>12908</v>
      </c>
      <c r="I7134" s="17"/>
      <c r="J7134" s="17" t="s">
        <v>14018</v>
      </c>
      <c r="K7134" s="17"/>
      <c r="L7134" s="17" t="s">
        <v>14019</v>
      </c>
      <c r="M7134" s="17"/>
      <c r="N7134" s="17" t="s">
        <v>14020</v>
      </c>
      <c r="O7134" s="17"/>
      <c r="P7134" s="17" t="s">
        <v>14040</v>
      </c>
      <c r="Q7134" s="17"/>
      <c r="R7134" s="25" t="str">
        <f>HYPERLINK("https://ictv.global/taxonomy/taxondetails?taxnode_id=202303369","Begomovirus spilanthis")</f>
        <v>Begomovirus spilanthis</v>
      </c>
      <c r="S7134" s="18" t="s">
        <v>30</v>
      </c>
      <c r="T7134" s="18" t="s">
        <v>15279</v>
      </c>
      <c r="U7134" s="18" t="s">
        <v>15280</v>
      </c>
      <c r="V7134" s="18" t="s">
        <v>15281</v>
      </c>
      <c r="W7134" s="18" t="s">
        <v>15282</v>
      </c>
      <c r="X7134" s="18" t="s">
        <v>42</v>
      </c>
      <c r="Y7134" s="18" t="s">
        <v>12266</v>
      </c>
      <c r="Z7134" s="18" t="s">
        <v>13441</v>
      </c>
      <c r="AA7134" s="21" t="str">
        <f>HYPERLINK("https://www.ncbi.nlm.nih.gov/nuccore/DQ641694","NCBI Nucleotide")</f>
        <v>NCBI Nucleotide</v>
      </c>
    </row>
    <row r="7135" spans="1:27" x14ac:dyDescent="0.35">
      <c r="A7135">
        <v>1007863</v>
      </c>
      <c r="B7135">
        <v>6655</v>
      </c>
      <c r="C7135">
        <v>1</v>
      </c>
      <c r="D7135" s="17" t="s">
        <v>10507</v>
      </c>
      <c r="E7135" s="17"/>
      <c r="F7135" s="17" t="s">
        <v>10780</v>
      </c>
      <c r="G7135" s="17"/>
      <c r="H7135" s="17" t="s">
        <v>12908</v>
      </c>
      <c r="I7135" s="17"/>
      <c r="J7135" s="17" t="s">
        <v>14018</v>
      </c>
      <c r="K7135" s="17"/>
      <c r="L7135" s="17" t="s">
        <v>14019</v>
      </c>
      <c r="M7135" s="17"/>
      <c r="N7135" s="17" t="s">
        <v>14020</v>
      </c>
      <c r="O7135" s="17"/>
      <c r="P7135" s="17" t="s">
        <v>14040</v>
      </c>
      <c r="Q7135" s="17"/>
      <c r="R7135" s="25" t="str">
        <f>HYPERLINK("https://ictv.global/taxonomy/taxondetails?taxnode_id=202303370","Begomovirus spinaciae")</f>
        <v>Begomovirus spinaciae</v>
      </c>
      <c r="S7135" s="18" t="s">
        <v>30</v>
      </c>
      <c r="T7135" s="18" t="s">
        <v>15283</v>
      </c>
      <c r="U7135" s="18" t="s">
        <v>15284</v>
      </c>
      <c r="V7135" s="18" t="s">
        <v>15285</v>
      </c>
      <c r="W7135" s="18" t="s">
        <v>41598</v>
      </c>
      <c r="X7135" s="18" t="s">
        <v>42</v>
      </c>
      <c r="Y7135" s="18" t="s">
        <v>12266</v>
      </c>
      <c r="Z7135" s="18" t="s">
        <v>13441</v>
      </c>
      <c r="AA7135" s="21" t="str">
        <f>HYPERLINK("https://www.ncbi.nlm.nih.gov/nuccore/KF660223","NCBI Nucleotide")</f>
        <v>NCBI Nucleotide</v>
      </c>
    </row>
    <row r="7136" spans="1:27" x14ac:dyDescent="0.35">
      <c r="A7136">
        <v>1007870</v>
      </c>
      <c r="B7136">
        <v>6656</v>
      </c>
      <c r="C7136">
        <v>1</v>
      </c>
      <c r="D7136" s="17" t="s">
        <v>10507</v>
      </c>
      <c r="E7136" s="17"/>
      <c r="F7136" s="17" t="s">
        <v>10780</v>
      </c>
      <c r="G7136" s="17"/>
      <c r="H7136" s="17" t="s">
        <v>12908</v>
      </c>
      <c r="I7136" s="17"/>
      <c r="J7136" s="17" t="s">
        <v>14018</v>
      </c>
      <c r="K7136" s="17"/>
      <c r="L7136" s="17" t="s">
        <v>14019</v>
      </c>
      <c r="M7136" s="17"/>
      <c r="N7136" s="17" t="s">
        <v>14020</v>
      </c>
      <c r="O7136" s="17"/>
      <c r="P7136" s="17" t="s">
        <v>14040</v>
      </c>
      <c r="Q7136" s="17"/>
      <c r="R7136" s="25" t="str">
        <f>HYPERLINK("https://ictv.global/taxonomy/taxondetails?taxnode_id=202303377","Begomovirus stachytarphetae")</f>
        <v>Begomovirus stachytarphetae</v>
      </c>
      <c r="S7136" s="18" t="s">
        <v>30</v>
      </c>
      <c r="T7136" s="18" t="s">
        <v>15314</v>
      </c>
      <c r="U7136" s="18" t="s">
        <v>15315</v>
      </c>
      <c r="V7136" s="18" t="s">
        <v>15316</v>
      </c>
      <c r="W7136" s="18" t="s">
        <v>15317</v>
      </c>
      <c r="X7136" s="18" t="s">
        <v>42</v>
      </c>
      <c r="Y7136" s="18" t="s">
        <v>12266</v>
      </c>
      <c r="Z7136" s="18" t="s">
        <v>13441</v>
      </c>
      <c r="AA7136" s="21" t="str">
        <f>HYPERLINK("https://www.ncbi.nlm.nih.gov/nuccore/AJ495814","NCBI Nucleotide")</f>
        <v>NCBI Nucleotide</v>
      </c>
    </row>
    <row r="7137" spans="1:27" x14ac:dyDescent="0.35">
      <c r="A7137">
        <v>1007869</v>
      </c>
      <c r="B7137">
        <v>6657</v>
      </c>
      <c r="C7137">
        <v>1</v>
      </c>
      <c r="D7137" s="17" t="s">
        <v>10507</v>
      </c>
      <c r="E7137" s="17"/>
      <c r="F7137" s="17" t="s">
        <v>10780</v>
      </c>
      <c r="G7137" s="17"/>
      <c r="H7137" s="17" t="s">
        <v>12908</v>
      </c>
      <c r="I7137" s="17"/>
      <c r="J7137" s="17" t="s">
        <v>14018</v>
      </c>
      <c r="K7137" s="17"/>
      <c r="L7137" s="17" t="s">
        <v>14019</v>
      </c>
      <c r="M7137" s="17"/>
      <c r="N7137" s="17" t="s">
        <v>14020</v>
      </c>
      <c r="O7137" s="17"/>
      <c r="P7137" s="17" t="s">
        <v>14040</v>
      </c>
      <c r="Q7137" s="17"/>
      <c r="R7137" s="25" t="str">
        <f>HYPERLINK("https://ictv.global/taxonomy/taxondetails?taxnode_id=202303376","Begomovirus stanleyi")</f>
        <v>Begomovirus stanleyi</v>
      </c>
      <c r="S7137" s="18" t="s">
        <v>30</v>
      </c>
      <c r="T7137" s="18" t="s">
        <v>15308</v>
      </c>
      <c r="U7137" s="18" t="s">
        <v>15309</v>
      </c>
      <c r="V7137" s="18" t="s">
        <v>15310</v>
      </c>
      <c r="W7137" s="18" t="s">
        <v>15311</v>
      </c>
      <c r="X7137" s="18" t="s">
        <v>42</v>
      </c>
      <c r="Y7137" s="18" t="s">
        <v>12266</v>
      </c>
      <c r="Z7137" s="18" t="s">
        <v>13441</v>
      </c>
      <c r="AA7137" s="21" t="str">
        <f>HYPERLINK("https://www.ncbi.nlm.nih.gov/nuccore/AJ314737,AJ314738","NCBI Nucleotide")</f>
        <v>NCBI Nucleotide</v>
      </c>
    </row>
    <row r="7138" spans="1:27" x14ac:dyDescent="0.35">
      <c r="A7138">
        <v>1012591</v>
      </c>
      <c r="B7138">
        <v>6657</v>
      </c>
      <c r="C7138">
        <v>2</v>
      </c>
      <c r="D7138" s="17" t="s">
        <v>10507</v>
      </c>
      <c r="E7138" s="17"/>
      <c r="F7138" s="17" t="s">
        <v>10780</v>
      </c>
      <c r="G7138" s="17"/>
      <c r="H7138" s="17" t="s">
        <v>12908</v>
      </c>
      <c r="I7138" s="17"/>
      <c r="J7138" s="17" t="s">
        <v>14018</v>
      </c>
      <c r="K7138" s="17"/>
      <c r="L7138" s="17" t="s">
        <v>14019</v>
      </c>
      <c r="M7138" s="17"/>
      <c r="N7138" s="17" t="s">
        <v>14020</v>
      </c>
      <c r="O7138" s="17"/>
      <c r="P7138" s="17" t="s">
        <v>14040</v>
      </c>
      <c r="Q7138" s="17"/>
      <c r="R7138" s="25" t="str">
        <f>HYPERLINK("https://ictv.global/taxonomy/taxondetails?taxnode_id=202303376","Begomovirus stanleyi")</f>
        <v>Begomovirus stanleyi</v>
      </c>
      <c r="S7138" s="18" t="s">
        <v>8141</v>
      </c>
      <c r="T7138" s="18" t="s">
        <v>15308</v>
      </c>
      <c r="U7138" s="18" t="s">
        <v>15312</v>
      </c>
      <c r="V7138" s="18" t="s">
        <v>15313</v>
      </c>
      <c r="W7138" s="18" t="s">
        <v>49207</v>
      </c>
      <c r="X7138" s="18" t="s">
        <v>42</v>
      </c>
      <c r="Y7138" s="18" t="s">
        <v>12266</v>
      </c>
      <c r="Z7138" s="18" t="s">
        <v>13441</v>
      </c>
      <c r="AA7138" s="21" t="str">
        <f>HYPERLINK("https://www.ncbi.nlm.nih.gov/nuccore/AJ579307","NCBI Nucleotide")</f>
        <v>NCBI Nucleotide</v>
      </c>
    </row>
    <row r="7139" spans="1:27" x14ac:dyDescent="0.35">
      <c r="A7139">
        <v>1007886</v>
      </c>
      <c r="B7139">
        <v>6658</v>
      </c>
      <c r="C7139">
        <v>1</v>
      </c>
      <c r="D7139" s="17" t="s">
        <v>10507</v>
      </c>
      <c r="E7139" s="17"/>
      <c r="F7139" s="17" t="s">
        <v>10780</v>
      </c>
      <c r="G7139" s="17"/>
      <c r="H7139" s="17" t="s">
        <v>12908</v>
      </c>
      <c r="I7139" s="17"/>
      <c r="J7139" s="17" t="s">
        <v>14018</v>
      </c>
      <c r="K7139" s="17"/>
      <c r="L7139" s="17" t="s">
        <v>14019</v>
      </c>
      <c r="M7139" s="17"/>
      <c r="N7139" s="17" t="s">
        <v>14020</v>
      </c>
      <c r="O7139" s="17"/>
      <c r="P7139" s="17" t="s">
        <v>14040</v>
      </c>
      <c r="Q7139" s="17"/>
      <c r="R7139" s="25" t="str">
        <f>HYPERLINK("https://ictv.global/taxonomy/taxondetails?taxnode_id=202305832","Begomovirus synedrellae")</f>
        <v>Begomovirus synedrellae</v>
      </c>
      <c r="S7139" s="18" t="s">
        <v>30</v>
      </c>
      <c r="T7139" s="18" t="s">
        <v>15392</v>
      </c>
      <c r="U7139" s="18" t="s">
        <v>15393</v>
      </c>
      <c r="V7139" s="18" t="s">
        <v>15394</v>
      </c>
      <c r="W7139" s="18" t="s">
        <v>15395</v>
      </c>
      <c r="X7139" s="18" t="s">
        <v>42</v>
      </c>
      <c r="Y7139" s="18" t="s">
        <v>12266</v>
      </c>
      <c r="Z7139" s="18" t="s">
        <v>13441</v>
      </c>
      <c r="AA7139" s="21" t="str">
        <f>HYPERLINK("https://www.ncbi.nlm.nih.gov/nuccore/KX363443","NCBI Nucleotide")</f>
        <v>NCBI Nucleotide</v>
      </c>
    </row>
    <row r="7140" spans="1:27" x14ac:dyDescent="0.35">
      <c r="A7140">
        <v>1007887</v>
      </c>
      <c r="B7140">
        <v>6659</v>
      </c>
      <c r="C7140">
        <v>1</v>
      </c>
      <c r="D7140" s="17" t="s">
        <v>10507</v>
      </c>
      <c r="E7140" s="17"/>
      <c r="F7140" s="17" t="s">
        <v>10780</v>
      </c>
      <c r="G7140" s="17"/>
      <c r="H7140" s="17" t="s">
        <v>12908</v>
      </c>
      <c r="I7140" s="17"/>
      <c r="J7140" s="17" t="s">
        <v>14018</v>
      </c>
      <c r="K7140" s="17"/>
      <c r="L7140" s="17" t="s">
        <v>14019</v>
      </c>
      <c r="M7140" s="17"/>
      <c r="N7140" s="17" t="s">
        <v>14020</v>
      </c>
      <c r="O7140" s="17"/>
      <c r="P7140" s="17" t="s">
        <v>14040</v>
      </c>
      <c r="Q7140" s="17"/>
      <c r="R7140" s="25" t="str">
        <f>HYPERLINK("https://ictv.global/taxonomy/taxondetails?taxnode_id=202305833","Begomovirus telfairiae")</f>
        <v>Begomovirus telfairiae</v>
      </c>
      <c r="S7140" s="18" t="s">
        <v>30</v>
      </c>
      <c r="T7140" s="18" t="s">
        <v>15396</v>
      </c>
      <c r="U7140" s="18" t="s">
        <v>15397</v>
      </c>
      <c r="V7140" s="18" t="s">
        <v>15398</v>
      </c>
      <c r="W7140" s="18" t="s">
        <v>15399</v>
      </c>
      <c r="X7140" s="18" t="s">
        <v>42</v>
      </c>
      <c r="Y7140" s="18" t="s">
        <v>12266</v>
      </c>
      <c r="Z7140" s="18" t="s">
        <v>13441</v>
      </c>
      <c r="AA7140" s="21" t="str">
        <f>HYPERLINK("https://www.ncbi.nlm.nih.gov/nuccore/KT454832","NCBI Nucleotide")</f>
        <v>NCBI Nucleotide</v>
      </c>
    </row>
    <row r="7141" spans="1:27" x14ac:dyDescent="0.35">
      <c r="A7141">
        <v>1008010</v>
      </c>
      <c r="B7141">
        <v>6660</v>
      </c>
      <c r="C7141">
        <v>1</v>
      </c>
      <c r="D7141" s="17" t="s">
        <v>10507</v>
      </c>
      <c r="E7141" s="17"/>
      <c r="F7141" s="17" t="s">
        <v>10780</v>
      </c>
      <c r="G7141" s="17"/>
      <c r="H7141" s="17" t="s">
        <v>12908</v>
      </c>
      <c r="I7141" s="17"/>
      <c r="J7141" s="17" t="s">
        <v>14018</v>
      </c>
      <c r="K7141" s="17"/>
      <c r="L7141" s="17" t="s">
        <v>14019</v>
      </c>
      <c r="M7141" s="17"/>
      <c r="N7141" s="17" t="s">
        <v>14020</v>
      </c>
      <c r="O7141" s="17"/>
      <c r="P7141" s="17" t="s">
        <v>14040</v>
      </c>
      <c r="Q7141" s="17"/>
      <c r="R7141" s="25" t="str">
        <f>HYPERLINK("https://ictv.global/taxonomy/taxondetails?taxnode_id=202305842","Begomovirus triumfettae")</f>
        <v>Begomovirus triumfettae</v>
      </c>
      <c r="S7141" s="18" t="s">
        <v>30</v>
      </c>
      <c r="T7141" s="18" t="s">
        <v>15914</v>
      </c>
      <c r="U7141" s="18" t="s">
        <v>15915</v>
      </c>
      <c r="V7141" s="18" t="s">
        <v>15916</v>
      </c>
      <c r="W7141" s="18" t="s">
        <v>15917</v>
      </c>
      <c r="X7141" s="18" t="s">
        <v>42</v>
      </c>
      <c r="Y7141" s="18" t="s">
        <v>12266</v>
      </c>
      <c r="Z7141" s="18" t="s">
        <v>13441</v>
      </c>
      <c r="AA7141" s="21" t="str">
        <f>HYPERLINK("https://www.ncbi.nlm.nih.gov/nuccore/KU131588,KU131589","NCBI Nucleotide")</f>
        <v>NCBI Nucleotide</v>
      </c>
    </row>
    <row r="7142" spans="1:27" x14ac:dyDescent="0.35">
      <c r="A7142">
        <v>1007799</v>
      </c>
      <c r="B7142">
        <v>6661</v>
      </c>
      <c r="C7142">
        <v>1</v>
      </c>
      <c r="D7142" s="17" t="s">
        <v>10507</v>
      </c>
      <c r="E7142" s="17"/>
      <c r="F7142" s="17" t="s">
        <v>10780</v>
      </c>
      <c r="G7142" s="17"/>
      <c r="H7142" s="17" t="s">
        <v>12908</v>
      </c>
      <c r="I7142" s="17"/>
      <c r="J7142" s="17" t="s">
        <v>14018</v>
      </c>
      <c r="K7142" s="17"/>
      <c r="L7142" s="17" t="s">
        <v>14019</v>
      </c>
      <c r="M7142" s="17"/>
      <c r="N7142" s="17" t="s">
        <v>14020</v>
      </c>
      <c r="O7142" s="17"/>
      <c r="P7142" s="17" t="s">
        <v>14040</v>
      </c>
      <c r="Q7142" s="17"/>
      <c r="R7142" s="25" t="str">
        <f>HYPERLINK("https://ictv.global/taxonomy/taxondetails?taxnode_id=202303316","Begomovirus tuberosi")</f>
        <v>Begomovirus tuberosi</v>
      </c>
      <c r="S7142" s="18" t="s">
        <v>30</v>
      </c>
      <c r="T7142" s="18" t="s">
        <v>15033</v>
      </c>
      <c r="U7142" s="18" t="s">
        <v>15034</v>
      </c>
      <c r="V7142" s="18" t="s">
        <v>15035</v>
      </c>
      <c r="W7142" s="18" t="s">
        <v>15036</v>
      </c>
      <c r="X7142" s="18" t="s">
        <v>42</v>
      </c>
      <c r="Y7142" s="18" t="s">
        <v>12266</v>
      </c>
      <c r="Z7142" s="18" t="s">
        <v>13441</v>
      </c>
      <c r="AA7142" s="21" t="str">
        <f>HYPERLINK("https://www.ncbi.nlm.nih.gov/nuccore/D00940,D00941","NCBI Nucleotide")</f>
        <v>NCBI Nucleotide</v>
      </c>
    </row>
    <row r="7143" spans="1:27" x14ac:dyDescent="0.35">
      <c r="A7143">
        <v>1012579</v>
      </c>
      <c r="B7143">
        <v>6661</v>
      </c>
      <c r="C7143">
        <v>2</v>
      </c>
      <c r="D7143" s="17" t="s">
        <v>10507</v>
      </c>
      <c r="E7143" s="17"/>
      <c r="F7143" s="17" t="s">
        <v>10780</v>
      </c>
      <c r="G7143" s="17"/>
      <c r="H7143" s="17" t="s">
        <v>12908</v>
      </c>
      <c r="I7143" s="17"/>
      <c r="J7143" s="17" t="s">
        <v>14018</v>
      </c>
      <c r="K7143" s="17"/>
      <c r="L7143" s="17" t="s">
        <v>14019</v>
      </c>
      <c r="M7143" s="17"/>
      <c r="N7143" s="17" t="s">
        <v>14020</v>
      </c>
      <c r="O7143" s="17"/>
      <c r="P7143" s="17" t="s">
        <v>14040</v>
      </c>
      <c r="Q7143" s="17"/>
      <c r="R7143" s="25" t="str">
        <f>HYPERLINK("https://ictv.global/taxonomy/taxondetails?taxnode_id=202303316","Begomovirus tuberosi")</f>
        <v>Begomovirus tuberosi</v>
      </c>
      <c r="S7143" s="18" t="s">
        <v>8141</v>
      </c>
      <c r="T7143" s="18" t="s">
        <v>15033</v>
      </c>
      <c r="U7143" s="18" t="s">
        <v>15037</v>
      </c>
      <c r="V7143" s="18" t="s">
        <v>15038</v>
      </c>
      <c r="W7143" s="18" t="s">
        <v>49208</v>
      </c>
      <c r="X7143" s="18" t="s">
        <v>42</v>
      </c>
      <c r="Y7143" s="18" t="s">
        <v>12266</v>
      </c>
      <c r="Z7143" s="18" t="s">
        <v>13441</v>
      </c>
      <c r="AA7143" s="21" t="str">
        <f>HYPERLINK("https://www.ncbi.nlm.nih.gov/nuccore/AF039031,AF039032","NCBI Nucleotide")</f>
        <v>NCBI Nucleotide</v>
      </c>
    </row>
    <row r="7144" spans="1:27" x14ac:dyDescent="0.35">
      <c r="A7144">
        <v>1012580</v>
      </c>
      <c r="B7144">
        <v>6661</v>
      </c>
      <c r="C7144">
        <v>3</v>
      </c>
      <c r="D7144" s="17" t="s">
        <v>10507</v>
      </c>
      <c r="E7144" s="17"/>
      <c r="F7144" s="17" t="s">
        <v>10780</v>
      </c>
      <c r="G7144" s="17"/>
      <c r="H7144" s="17" t="s">
        <v>12908</v>
      </c>
      <c r="I7144" s="17"/>
      <c r="J7144" s="17" t="s">
        <v>14018</v>
      </c>
      <c r="K7144" s="17"/>
      <c r="L7144" s="17" t="s">
        <v>14019</v>
      </c>
      <c r="M7144" s="17"/>
      <c r="N7144" s="17" t="s">
        <v>14020</v>
      </c>
      <c r="O7144" s="17"/>
      <c r="P7144" s="17" t="s">
        <v>14040</v>
      </c>
      <c r="Q7144" s="17"/>
      <c r="R7144" s="25" t="str">
        <f>HYPERLINK("https://ictv.global/taxonomy/taxondetails?taxnode_id=202303316","Begomovirus tuberosi")</f>
        <v>Begomovirus tuberosi</v>
      </c>
      <c r="S7144" s="18" t="s">
        <v>8141</v>
      </c>
      <c r="T7144" s="18" t="s">
        <v>15033</v>
      </c>
      <c r="U7144" s="18" t="s">
        <v>15039</v>
      </c>
      <c r="V7144" s="18" t="s">
        <v>15040</v>
      </c>
      <c r="W7144" s="18" t="s">
        <v>49209</v>
      </c>
      <c r="X7144" s="18" t="s">
        <v>42</v>
      </c>
      <c r="Y7144" s="18" t="s">
        <v>12266</v>
      </c>
      <c r="Z7144" s="18" t="s">
        <v>13441</v>
      </c>
      <c r="AA7144" s="21" t="str">
        <f>HYPERLINK("https://www.ncbi.nlm.nih.gov/nuccore/AY965897","NCBI Nucleotide")</f>
        <v>NCBI Nucleotide</v>
      </c>
    </row>
    <row r="7145" spans="1:27" x14ac:dyDescent="0.35">
      <c r="A7145">
        <v>1012581</v>
      </c>
      <c r="B7145">
        <v>6661</v>
      </c>
      <c r="C7145">
        <v>4</v>
      </c>
      <c r="D7145" s="17" t="s">
        <v>10507</v>
      </c>
      <c r="E7145" s="17"/>
      <c r="F7145" s="17" t="s">
        <v>10780</v>
      </c>
      <c r="G7145" s="17"/>
      <c r="H7145" s="17" t="s">
        <v>12908</v>
      </c>
      <c r="I7145" s="17"/>
      <c r="J7145" s="17" t="s">
        <v>14018</v>
      </c>
      <c r="K7145" s="17"/>
      <c r="L7145" s="17" t="s">
        <v>14019</v>
      </c>
      <c r="M7145" s="17"/>
      <c r="N7145" s="17" t="s">
        <v>14020</v>
      </c>
      <c r="O7145" s="17"/>
      <c r="P7145" s="17" t="s">
        <v>14040</v>
      </c>
      <c r="Q7145" s="17"/>
      <c r="R7145" s="25" t="str">
        <f>HYPERLINK("https://ictv.global/taxonomy/taxondetails?taxnode_id=202303316","Begomovirus tuberosi")</f>
        <v>Begomovirus tuberosi</v>
      </c>
      <c r="S7145" s="18" t="s">
        <v>8141</v>
      </c>
      <c r="T7145" s="18" t="s">
        <v>15033</v>
      </c>
      <c r="U7145" s="18" t="s">
        <v>15041</v>
      </c>
      <c r="V7145" s="18" t="s">
        <v>15042</v>
      </c>
      <c r="W7145" s="18" t="s">
        <v>49210</v>
      </c>
      <c r="X7145" s="18" t="s">
        <v>42</v>
      </c>
      <c r="Y7145" s="18" t="s">
        <v>12266</v>
      </c>
      <c r="Z7145" s="18" t="s">
        <v>13441</v>
      </c>
      <c r="AA7145" s="21" t="str">
        <f>HYPERLINK("https://www.ncbi.nlm.nih.gov/nuccore/EU518935","NCBI Nucleotide")</f>
        <v>NCBI Nucleotide</v>
      </c>
    </row>
    <row r="7146" spans="1:27" x14ac:dyDescent="0.35">
      <c r="A7146">
        <v>1007798</v>
      </c>
      <c r="B7146">
        <v>6662</v>
      </c>
      <c r="C7146">
        <v>1</v>
      </c>
      <c r="D7146" s="17" t="s">
        <v>10507</v>
      </c>
      <c r="E7146" s="17"/>
      <c r="F7146" s="17" t="s">
        <v>10780</v>
      </c>
      <c r="G7146" s="17"/>
      <c r="H7146" s="17" t="s">
        <v>12908</v>
      </c>
      <c r="I7146" s="17"/>
      <c r="J7146" s="17" t="s">
        <v>14018</v>
      </c>
      <c r="K7146" s="17"/>
      <c r="L7146" s="17" t="s">
        <v>14019</v>
      </c>
      <c r="M7146" s="17"/>
      <c r="N7146" s="17" t="s">
        <v>14020</v>
      </c>
      <c r="O7146" s="17"/>
      <c r="P7146" s="17" t="s">
        <v>14040</v>
      </c>
      <c r="Q7146" s="17"/>
      <c r="R7146" s="25" t="str">
        <f>HYPERLINK("https://ictv.global/taxonomy/taxondetails?taxnode_id=202303315","Begomovirus tuberosumpanamaense")</f>
        <v>Begomovirus tuberosumpanamaense</v>
      </c>
      <c r="S7146" s="18" t="s">
        <v>30</v>
      </c>
      <c r="T7146" s="18" t="s">
        <v>15030</v>
      </c>
      <c r="U7146" s="18" t="s">
        <v>15031</v>
      </c>
      <c r="V7146" s="18" t="s">
        <v>15032</v>
      </c>
      <c r="W7146" s="18" t="s">
        <v>50480</v>
      </c>
      <c r="X7146" s="18" t="s">
        <v>42</v>
      </c>
      <c r="Y7146" s="18" t="s">
        <v>12266</v>
      </c>
      <c r="Z7146" s="18" t="s">
        <v>13441</v>
      </c>
      <c r="AA7146" s="21" t="str">
        <f>HYPERLINK("https://www.ncbi.nlm.nih.gov/nuccore/Y15034,Y15033","NCBI Nucleotide")</f>
        <v>NCBI Nucleotide</v>
      </c>
    </row>
    <row r="7147" spans="1:27" x14ac:dyDescent="0.35">
      <c r="A7147">
        <v>1008013</v>
      </c>
      <c r="B7147">
        <v>6663</v>
      </c>
      <c r="C7147">
        <v>1</v>
      </c>
      <c r="D7147" s="17" t="s">
        <v>10507</v>
      </c>
      <c r="E7147" s="17"/>
      <c r="F7147" s="17" t="s">
        <v>10780</v>
      </c>
      <c r="G7147" s="17"/>
      <c r="H7147" s="17" t="s">
        <v>12908</v>
      </c>
      <c r="I7147" s="17"/>
      <c r="J7147" s="17" t="s">
        <v>14018</v>
      </c>
      <c r="K7147" s="17"/>
      <c r="L7147" s="17" t="s">
        <v>14019</v>
      </c>
      <c r="M7147" s="17"/>
      <c r="N7147" s="17" t="s">
        <v>14020</v>
      </c>
      <c r="O7147" s="17"/>
      <c r="P7147" s="17" t="s">
        <v>14040</v>
      </c>
      <c r="Q7147" s="17"/>
      <c r="R7147" s="25" t="str">
        <f>HYPERLINK("https://ictv.global/taxonomy/taxondetails?taxnode_id=202309138","Begomovirus verbenae")</f>
        <v>Begomovirus verbenae</v>
      </c>
      <c r="S7147" s="18" t="s">
        <v>30</v>
      </c>
      <c r="T7147" s="18" t="s">
        <v>15925</v>
      </c>
      <c r="U7147" s="18" t="s">
        <v>15926</v>
      </c>
      <c r="V7147" s="18" t="s">
        <v>14631</v>
      </c>
      <c r="W7147" s="18" t="s">
        <v>50774</v>
      </c>
      <c r="X7147" s="18" t="s">
        <v>42</v>
      </c>
      <c r="Y7147" s="18" t="s">
        <v>12266</v>
      </c>
      <c r="Z7147" s="18" t="s">
        <v>13441</v>
      </c>
      <c r="AA7147" s="21" t="str">
        <f>HYPERLINK("https://www.ncbi.nlm.nih.gov/nuccore/KX156611,KX156612","NCBI Nucleotide")</f>
        <v>NCBI Nucleotide</v>
      </c>
    </row>
    <row r="7148" spans="1:27" x14ac:dyDescent="0.35">
      <c r="A7148">
        <v>1008014</v>
      </c>
      <c r="B7148">
        <v>6664</v>
      </c>
      <c r="C7148">
        <v>1</v>
      </c>
      <c r="D7148" s="17" t="s">
        <v>10507</v>
      </c>
      <c r="E7148" s="17"/>
      <c r="F7148" s="17" t="s">
        <v>10780</v>
      </c>
      <c r="G7148" s="17"/>
      <c r="H7148" s="17" t="s">
        <v>12908</v>
      </c>
      <c r="I7148" s="17"/>
      <c r="J7148" s="17" t="s">
        <v>14018</v>
      </c>
      <c r="K7148" s="17"/>
      <c r="L7148" s="17" t="s">
        <v>14019</v>
      </c>
      <c r="M7148" s="17"/>
      <c r="N7148" s="17" t="s">
        <v>14020</v>
      </c>
      <c r="O7148" s="17"/>
      <c r="P7148" s="17" t="s">
        <v>14040</v>
      </c>
      <c r="Q7148" s="17"/>
      <c r="R7148" s="25" t="str">
        <f>HYPERLINK("https://ictv.global/taxonomy/taxondetails?taxnode_id=202305844","Begomovirus vernoniae")</f>
        <v>Begomovirus vernoniae</v>
      </c>
      <c r="S7148" s="18" t="s">
        <v>30</v>
      </c>
      <c r="T7148" s="18" t="s">
        <v>15927</v>
      </c>
      <c r="U7148" s="18" t="s">
        <v>15928</v>
      </c>
      <c r="V7148" s="18" t="s">
        <v>15929</v>
      </c>
      <c r="W7148" s="18" t="s">
        <v>41599</v>
      </c>
      <c r="X7148" s="18" t="s">
        <v>42</v>
      </c>
      <c r="Y7148" s="18" t="s">
        <v>12266</v>
      </c>
      <c r="Z7148" s="18" t="s">
        <v>13441</v>
      </c>
      <c r="AA7148" s="21" t="str">
        <f>HYPERLINK("https://www.ncbi.nlm.nih.gov/nuccore/KX831132","NCBI Nucleotide")</f>
        <v>NCBI Nucleotide</v>
      </c>
    </row>
    <row r="7149" spans="1:27" x14ac:dyDescent="0.35">
      <c r="A7149">
        <v>1008015</v>
      </c>
      <c r="B7149">
        <v>6665</v>
      </c>
      <c r="C7149">
        <v>1</v>
      </c>
      <c r="D7149" s="17" t="s">
        <v>10507</v>
      </c>
      <c r="E7149" s="17"/>
      <c r="F7149" s="17" t="s">
        <v>10780</v>
      </c>
      <c r="G7149" s="17"/>
      <c r="H7149" s="17" t="s">
        <v>12908</v>
      </c>
      <c r="I7149" s="17"/>
      <c r="J7149" s="17" t="s">
        <v>14018</v>
      </c>
      <c r="K7149" s="17"/>
      <c r="L7149" s="17" t="s">
        <v>14019</v>
      </c>
      <c r="M7149" s="17"/>
      <c r="N7149" s="17" t="s">
        <v>14020</v>
      </c>
      <c r="O7149" s="17"/>
      <c r="P7149" s="17" t="s">
        <v>14040</v>
      </c>
      <c r="Q7149" s="17"/>
      <c r="R7149" s="25" t="str">
        <f>HYPERLINK("https://ictv.global/taxonomy/taxondetails?taxnode_id=202306717","Begomovirus vernoniafujianense")</f>
        <v>Begomovirus vernoniafujianense</v>
      </c>
      <c r="S7149" s="18" t="s">
        <v>30</v>
      </c>
      <c r="T7149" s="18" t="s">
        <v>15930</v>
      </c>
      <c r="U7149" s="18" t="s">
        <v>15931</v>
      </c>
      <c r="V7149" s="18" t="s">
        <v>15932</v>
      </c>
      <c r="W7149" s="18" t="s">
        <v>41600</v>
      </c>
      <c r="X7149" s="18" t="s">
        <v>42</v>
      </c>
      <c r="Y7149" s="18" t="s">
        <v>12266</v>
      </c>
      <c r="Z7149" s="18" t="s">
        <v>13441</v>
      </c>
      <c r="AA7149" s="21" t="str">
        <f>HYPERLINK("https://www.ncbi.nlm.nih.gov/nuccore/JF265670","NCBI Nucleotide")</f>
        <v>NCBI Nucleotide</v>
      </c>
    </row>
    <row r="7150" spans="1:27" x14ac:dyDescent="0.35">
      <c r="A7150">
        <v>1008016</v>
      </c>
      <c r="B7150">
        <v>6666</v>
      </c>
      <c r="C7150">
        <v>1</v>
      </c>
      <c r="D7150" s="17" t="s">
        <v>10507</v>
      </c>
      <c r="E7150" s="17"/>
      <c r="F7150" s="17" t="s">
        <v>10780</v>
      </c>
      <c r="G7150" s="17"/>
      <c r="H7150" s="17" t="s">
        <v>12908</v>
      </c>
      <c r="I7150" s="17"/>
      <c r="J7150" s="17" t="s">
        <v>14018</v>
      </c>
      <c r="K7150" s="17"/>
      <c r="L7150" s="17" t="s">
        <v>14019</v>
      </c>
      <c r="M7150" s="17"/>
      <c r="N7150" s="17" t="s">
        <v>14020</v>
      </c>
      <c r="O7150" s="17"/>
      <c r="P7150" s="17" t="s">
        <v>14040</v>
      </c>
      <c r="Q7150" s="17"/>
      <c r="R7150" s="25" t="str">
        <f>HYPERLINK("https://ictv.global/taxonomy/taxondetails?taxnode_id=202303491","Begomovirus vernoniavenae")</f>
        <v>Begomovirus vernoniavenae</v>
      </c>
      <c r="S7150" s="18" t="s">
        <v>30</v>
      </c>
      <c r="T7150" s="18" t="s">
        <v>15933</v>
      </c>
      <c r="U7150" s="18" t="s">
        <v>15934</v>
      </c>
      <c r="V7150" s="18" t="s">
        <v>15935</v>
      </c>
      <c r="W7150" s="18" t="s">
        <v>15936</v>
      </c>
      <c r="X7150" s="18" t="s">
        <v>42</v>
      </c>
      <c r="Y7150" s="18" t="s">
        <v>12266</v>
      </c>
      <c r="Z7150" s="18" t="s">
        <v>13441</v>
      </c>
      <c r="AA7150" s="21" t="str">
        <f>HYPERLINK("https://www.ncbi.nlm.nih.gov/nuccore/AM182232","NCBI Nucleotide")</f>
        <v>NCBI Nucleotide</v>
      </c>
    </row>
    <row r="7151" spans="1:27" x14ac:dyDescent="0.35">
      <c r="A7151">
        <v>1008017</v>
      </c>
      <c r="B7151">
        <v>6667</v>
      </c>
      <c r="C7151">
        <v>1</v>
      </c>
      <c r="D7151" s="17" t="s">
        <v>10507</v>
      </c>
      <c r="E7151" s="17"/>
      <c r="F7151" s="17" t="s">
        <v>10780</v>
      </c>
      <c r="G7151" s="17"/>
      <c r="H7151" s="17" t="s">
        <v>12908</v>
      </c>
      <c r="I7151" s="17"/>
      <c r="J7151" s="17" t="s">
        <v>14018</v>
      </c>
      <c r="K7151" s="17"/>
      <c r="L7151" s="17" t="s">
        <v>14019</v>
      </c>
      <c r="M7151" s="17"/>
      <c r="N7151" s="17" t="s">
        <v>14020</v>
      </c>
      <c r="O7151" s="17"/>
      <c r="P7151" s="17" t="s">
        <v>14040</v>
      </c>
      <c r="Q7151" s="17"/>
      <c r="R7151" s="25" t="str">
        <f>HYPERLINK("https://ictv.global/taxonomy/taxondetails?taxnode_id=202303492","Begomovirus vignae")</f>
        <v>Begomovirus vignae</v>
      </c>
      <c r="S7151" s="18" t="s">
        <v>30</v>
      </c>
      <c r="T7151" s="18" t="s">
        <v>15937</v>
      </c>
      <c r="U7151" s="18" t="s">
        <v>15938</v>
      </c>
      <c r="V7151" s="18" t="s">
        <v>15939</v>
      </c>
      <c r="W7151" s="18" t="s">
        <v>15940</v>
      </c>
      <c r="X7151" s="18" t="s">
        <v>42</v>
      </c>
      <c r="Y7151" s="18" t="s">
        <v>12266</v>
      </c>
      <c r="Z7151" s="18" t="s">
        <v>13441</v>
      </c>
      <c r="AA7151" s="21" t="str">
        <f>HYPERLINK("https://www.ncbi.nlm.nih.gov/nuccore/KC430936","NCBI Nucleotide")</f>
        <v>NCBI Nucleotide</v>
      </c>
    </row>
    <row r="7152" spans="1:27" x14ac:dyDescent="0.35">
      <c r="A7152">
        <v>1007664</v>
      </c>
      <c r="B7152">
        <v>6668</v>
      </c>
      <c r="C7152">
        <v>1</v>
      </c>
      <c r="D7152" s="17" t="s">
        <v>10507</v>
      </c>
      <c r="E7152" s="17"/>
      <c r="F7152" s="17" t="s">
        <v>10780</v>
      </c>
      <c r="G7152" s="17"/>
      <c r="H7152" s="17" t="s">
        <v>12908</v>
      </c>
      <c r="I7152" s="17"/>
      <c r="J7152" s="17" t="s">
        <v>14018</v>
      </c>
      <c r="K7152" s="17"/>
      <c r="L7152" s="17" t="s">
        <v>14019</v>
      </c>
      <c r="M7152" s="17"/>
      <c r="N7152" s="17" t="s">
        <v>14020</v>
      </c>
      <c r="O7152" s="17"/>
      <c r="P7152" s="17" t="s">
        <v>14040</v>
      </c>
      <c r="Q7152" s="17"/>
      <c r="R7152" s="25" t="str">
        <f>HYPERLINK("https://ictv.global/taxonomy/taxondetails?taxnode_id=202307520","Begomovirus vignaflavi")</f>
        <v>Begomovirus vignaflavi</v>
      </c>
      <c r="S7152" s="18" t="s">
        <v>30</v>
      </c>
      <c r="T7152" s="18" t="s">
        <v>14431</v>
      </c>
      <c r="U7152" s="18" t="s">
        <v>14432</v>
      </c>
      <c r="V7152" s="18" t="s">
        <v>41601</v>
      </c>
      <c r="W7152" s="18" t="s">
        <v>14433</v>
      </c>
      <c r="X7152" s="18" t="s">
        <v>42</v>
      </c>
      <c r="Y7152" s="18" t="s">
        <v>12266</v>
      </c>
      <c r="Z7152" s="18" t="s">
        <v>13441</v>
      </c>
      <c r="AA7152" s="21" t="str">
        <f>HYPERLINK("https://www.ncbi.nlm.nih.gov/nuccore/MH469731,MH469732","NCBI Nucleotide")</f>
        <v>NCBI Nucleotide</v>
      </c>
    </row>
    <row r="7153" spans="1:27" x14ac:dyDescent="0.35">
      <c r="A7153">
        <v>1007665</v>
      </c>
      <c r="B7153">
        <v>6669</v>
      </c>
      <c r="C7153">
        <v>1</v>
      </c>
      <c r="D7153" s="17" t="s">
        <v>10507</v>
      </c>
      <c r="E7153" s="17"/>
      <c r="F7153" s="17" t="s">
        <v>10780</v>
      </c>
      <c r="G7153" s="17"/>
      <c r="H7153" s="17" t="s">
        <v>12908</v>
      </c>
      <c r="I7153" s="17"/>
      <c r="J7153" s="17" t="s">
        <v>14018</v>
      </c>
      <c r="K7153" s="17"/>
      <c r="L7153" s="17" t="s">
        <v>14019</v>
      </c>
      <c r="M7153" s="17"/>
      <c r="N7153" s="17" t="s">
        <v>14020</v>
      </c>
      <c r="O7153" s="17"/>
      <c r="P7153" s="17" t="s">
        <v>14040</v>
      </c>
      <c r="Q7153" s="17"/>
      <c r="R7153" s="25" t="str">
        <f>HYPERLINK("https://ictv.global/taxonomy/taxondetails?taxnode_id=202303230","Begomovirus vignamusivi")</f>
        <v>Begomovirus vignamusivi</v>
      </c>
      <c r="S7153" s="18" t="s">
        <v>30</v>
      </c>
      <c r="T7153" s="18" t="s">
        <v>14434</v>
      </c>
      <c r="U7153" s="18" t="s">
        <v>14435</v>
      </c>
      <c r="V7153" s="18" t="s">
        <v>14436</v>
      </c>
      <c r="W7153" s="18" t="s">
        <v>14437</v>
      </c>
      <c r="X7153" s="18" t="s">
        <v>42</v>
      </c>
      <c r="Y7153" s="18" t="s">
        <v>12266</v>
      </c>
      <c r="Z7153" s="18" t="s">
        <v>13441</v>
      </c>
      <c r="AA7153" s="21" t="str">
        <f>HYPERLINK("https://www.ncbi.nlm.nih.gov/nuccore/AF029217","NCBI Nucleotide")</f>
        <v>NCBI Nucleotide</v>
      </c>
    </row>
    <row r="7154" spans="1:27" x14ac:dyDescent="0.35">
      <c r="A7154">
        <v>1007759</v>
      </c>
      <c r="B7154">
        <v>6670</v>
      </c>
      <c r="C7154">
        <v>1</v>
      </c>
      <c r="D7154" s="17" t="s">
        <v>10507</v>
      </c>
      <c r="E7154" s="17"/>
      <c r="F7154" s="17" t="s">
        <v>10780</v>
      </c>
      <c r="G7154" s="17"/>
      <c r="H7154" s="17" t="s">
        <v>12908</v>
      </c>
      <c r="I7154" s="17"/>
      <c r="J7154" s="17" t="s">
        <v>14018</v>
      </c>
      <c r="K7154" s="17"/>
      <c r="L7154" s="17" t="s">
        <v>14019</v>
      </c>
      <c r="M7154" s="17"/>
      <c r="N7154" s="17" t="s">
        <v>14020</v>
      </c>
      <c r="O7154" s="17"/>
      <c r="P7154" s="17" t="s">
        <v>14040</v>
      </c>
      <c r="Q7154" s="17"/>
      <c r="R7154" s="25" t="str">
        <f>HYPERLINK("https://ictv.global/taxonomy/taxondetails?taxnode_id=202303295","Begomovirus vignaradiatae")</f>
        <v>Begomovirus vignaradiatae</v>
      </c>
      <c r="S7154" s="18" t="s">
        <v>30</v>
      </c>
      <c r="T7154" s="18" t="s">
        <v>14838</v>
      </c>
      <c r="U7154" s="18" t="s">
        <v>14839</v>
      </c>
      <c r="V7154" s="18" t="s">
        <v>14840</v>
      </c>
      <c r="W7154" s="18" t="s">
        <v>14841</v>
      </c>
      <c r="X7154" s="18" t="s">
        <v>42</v>
      </c>
      <c r="Y7154" s="18" t="s">
        <v>12266</v>
      </c>
      <c r="Z7154" s="18" t="s">
        <v>13441</v>
      </c>
      <c r="AA7154" s="21" t="str">
        <f>HYPERLINK("https://www.ncbi.nlm.nih.gov/nuccore/D14703,D14704","NCBI Nucleotide")</f>
        <v>NCBI Nucleotide</v>
      </c>
    </row>
    <row r="7155" spans="1:27" x14ac:dyDescent="0.35">
      <c r="A7155">
        <v>1007758</v>
      </c>
      <c r="B7155">
        <v>6671</v>
      </c>
      <c r="C7155">
        <v>1</v>
      </c>
      <c r="D7155" s="17" t="s">
        <v>10507</v>
      </c>
      <c r="E7155" s="17"/>
      <c r="F7155" s="17" t="s">
        <v>10780</v>
      </c>
      <c r="G7155" s="17"/>
      <c r="H7155" s="17" t="s">
        <v>12908</v>
      </c>
      <c r="I7155" s="17"/>
      <c r="J7155" s="17" t="s">
        <v>14018</v>
      </c>
      <c r="K7155" s="17"/>
      <c r="L7155" s="17" t="s">
        <v>14019</v>
      </c>
      <c r="M7155" s="17"/>
      <c r="N7155" s="17" t="s">
        <v>14020</v>
      </c>
      <c r="O7155" s="17"/>
      <c r="P7155" s="17" t="s">
        <v>14040</v>
      </c>
      <c r="Q7155" s="17"/>
      <c r="R7155" s="25" t="str">
        <f>HYPERLINK("https://ictv.global/taxonomy/taxondetails?taxnode_id=202303294","Begomovirus vignaradiataindiaense")</f>
        <v>Begomovirus vignaradiataindiaense</v>
      </c>
      <c r="S7155" s="18" t="s">
        <v>30</v>
      </c>
      <c r="T7155" s="18" t="s">
        <v>14834</v>
      </c>
      <c r="U7155" s="18" t="s">
        <v>14835</v>
      </c>
      <c r="V7155" s="18" t="s">
        <v>14836</v>
      </c>
      <c r="W7155" s="18" t="s">
        <v>14837</v>
      </c>
      <c r="X7155" s="18" t="s">
        <v>42</v>
      </c>
      <c r="Y7155" s="18" t="s">
        <v>12266</v>
      </c>
      <c r="Z7155" s="18" t="s">
        <v>13441</v>
      </c>
      <c r="AA7155" s="21" t="str">
        <f>HYPERLINK("https://www.ncbi.nlm.nih.gov/nuccore/AF126406,AF142440","NCBI Nucleotide")</f>
        <v>NCBI Nucleotide</v>
      </c>
    </row>
    <row r="7156" spans="1:27" x14ac:dyDescent="0.35">
      <c r="A7156">
        <v>1008018</v>
      </c>
      <c r="B7156">
        <v>6672</v>
      </c>
      <c r="C7156">
        <v>1</v>
      </c>
      <c r="D7156" s="17" t="s">
        <v>10507</v>
      </c>
      <c r="E7156" s="17"/>
      <c r="F7156" s="17" t="s">
        <v>10780</v>
      </c>
      <c r="G7156" s="17"/>
      <c r="H7156" s="17" t="s">
        <v>12908</v>
      </c>
      <c r="I7156" s="17"/>
      <c r="J7156" s="17" t="s">
        <v>14018</v>
      </c>
      <c r="K7156" s="17"/>
      <c r="L7156" s="17" t="s">
        <v>14019</v>
      </c>
      <c r="M7156" s="17"/>
      <c r="N7156" s="17" t="s">
        <v>14020</v>
      </c>
      <c r="O7156" s="17"/>
      <c r="P7156" s="17" t="s">
        <v>14040</v>
      </c>
      <c r="Q7156" s="17"/>
      <c r="R7156" s="25" t="str">
        <f>HYPERLINK("https://ictv.global/taxonomy/taxondetails?taxnode_id=202305845","Begomovirus vincae")</f>
        <v>Begomovirus vincae</v>
      </c>
      <c r="S7156" s="18" t="s">
        <v>30</v>
      </c>
      <c r="T7156" s="18" t="s">
        <v>15941</v>
      </c>
      <c r="U7156" s="18" t="s">
        <v>15942</v>
      </c>
      <c r="V7156" s="18" t="s">
        <v>15943</v>
      </c>
      <c r="W7156" s="18" t="s">
        <v>41602</v>
      </c>
      <c r="X7156" s="18" t="s">
        <v>42</v>
      </c>
      <c r="Y7156" s="18" t="s">
        <v>12266</v>
      </c>
      <c r="Z7156" s="18" t="s">
        <v>13441</v>
      </c>
      <c r="AA7156" s="21" t="str">
        <f>HYPERLINK("https://www.ncbi.nlm.nih.gov/nuccore/KR612272","NCBI Nucleotide")</f>
        <v>NCBI Nucleotide</v>
      </c>
    </row>
    <row r="7157" spans="1:27" x14ac:dyDescent="0.35">
      <c r="A7157">
        <v>1007649</v>
      </c>
      <c r="B7157">
        <v>6673</v>
      </c>
      <c r="C7157">
        <v>1</v>
      </c>
      <c r="D7157" s="17" t="s">
        <v>10507</v>
      </c>
      <c r="E7157" s="17"/>
      <c r="F7157" s="17" t="s">
        <v>10780</v>
      </c>
      <c r="G7157" s="17"/>
      <c r="H7157" s="17" t="s">
        <v>12908</v>
      </c>
      <c r="I7157" s="17"/>
      <c r="J7157" s="17" t="s">
        <v>14018</v>
      </c>
      <c r="K7157" s="17"/>
      <c r="L7157" s="17" t="s">
        <v>14019</v>
      </c>
      <c r="M7157" s="17"/>
      <c r="N7157" s="17" t="s">
        <v>14020</v>
      </c>
      <c r="O7157" s="17"/>
      <c r="P7157" s="17" t="s">
        <v>14040</v>
      </c>
      <c r="Q7157" s="17"/>
      <c r="R7157" s="25" t="str">
        <f>HYPERLINK("https://ictv.global/taxonomy/taxondetails?taxnode_id=202305794","Begomovirus vulgaris")</f>
        <v>Begomovirus vulgaris</v>
      </c>
      <c r="S7157" s="18" t="s">
        <v>30</v>
      </c>
      <c r="T7157" s="18" t="s">
        <v>14324</v>
      </c>
      <c r="U7157" s="18" t="s">
        <v>14325</v>
      </c>
      <c r="V7157" s="18" t="s">
        <v>14326</v>
      </c>
      <c r="W7157" s="18" t="s">
        <v>14327</v>
      </c>
      <c r="X7157" s="18" t="s">
        <v>42</v>
      </c>
      <c r="Y7157" s="18" t="s">
        <v>12266</v>
      </c>
      <c r="Z7157" s="18" t="s">
        <v>13441</v>
      </c>
      <c r="AA7157" s="21" t="str">
        <f>HYPERLINK("https://www.ncbi.nlm.nih.gov/nuccore/KX011475,KX096982","NCBI Nucleotide")</f>
        <v>NCBI Nucleotide</v>
      </c>
    </row>
    <row r="7158" spans="1:27" x14ac:dyDescent="0.35">
      <c r="A7158">
        <v>1007858</v>
      </c>
      <c r="B7158">
        <v>6674</v>
      </c>
      <c r="C7158">
        <v>1</v>
      </c>
      <c r="D7158" s="17" t="s">
        <v>10507</v>
      </c>
      <c r="E7158" s="17"/>
      <c r="F7158" s="17" t="s">
        <v>10780</v>
      </c>
      <c r="G7158" s="17"/>
      <c r="H7158" s="17" t="s">
        <v>12908</v>
      </c>
      <c r="I7158" s="17"/>
      <c r="J7158" s="17" t="s">
        <v>14018</v>
      </c>
      <c r="K7158" s="17"/>
      <c r="L7158" s="17" t="s">
        <v>14019</v>
      </c>
      <c r="M7158" s="17"/>
      <c r="N7158" s="17" t="s">
        <v>14020</v>
      </c>
      <c r="O7158" s="17"/>
      <c r="P7158" s="17" t="s">
        <v>14040</v>
      </c>
      <c r="Q7158" s="17"/>
      <c r="R7158" s="25" t="str">
        <f>HYPERLINK("https://ictv.global/taxonomy/taxondetails?taxnode_id=202303365","Begomovirus warburgi")</f>
        <v>Begomovirus warburgi</v>
      </c>
      <c r="S7158" s="18" t="s">
        <v>30</v>
      </c>
      <c r="T7158" s="18" t="s">
        <v>15264</v>
      </c>
      <c r="U7158" s="18" t="s">
        <v>15265</v>
      </c>
      <c r="V7158" s="18" t="s">
        <v>15266</v>
      </c>
      <c r="W7158" s="18" t="s">
        <v>15267</v>
      </c>
      <c r="X7158" s="18" t="s">
        <v>42</v>
      </c>
      <c r="Y7158" s="18" t="s">
        <v>12266</v>
      </c>
      <c r="Z7158" s="18" t="s">
        <v>13441</v>
      </c>
      <c r="AA7158" s="21" t="str">
        <f>HYPERLINK("https://www.ncbi.nlm.nih.gov/nuccore/AF155806,AF155807","NCBI Nucleotide")</f>
        <v>NCBI Nucleotide</v>
      </c>
    </row>
    <row r="7159" spans="1:27" x14ac:dyDescent="0.35">
      <c r="A7159">
        <v>1008029</v>
      </c>
      <c r="B7159">
        <v>6675</v>
      </c>
      <c r="C7159">
        <v>1</v>
      </c>
      <c r="D7159" s="17" t="s">
        <v>10507</v>
      </c>
      <c r="E7159" s="17"/>
      <c r="F7159" s="17" t="s">
        <v>10780</v>
      </c>
      <c r="G7159" s="17"/>
      <c r="H7159" s="17" t="s">
        <v>12908</v>
      </c>
      <c r="I7159" s="17"/>
      <c r="J7159" s="17" t="s">
        <v>14018</v>
      </c>
      <c r="K7159" s="17"/>
      <c r="L7159" s="17" t="s">
        <v>14019</v>
      </c>
      <c r="M7159" s="17"/>
      <c r="N7159" s="17" t="s">
        <v>14020</v>
      </c>
      <c r="O7159" s="17"/>
      <c r="P7159" s="17" t="s">
        <v>14040</v>
      </c>
      <c r="Q7159" s="17"/>
      <c r="R7159" s="25" t="str">
        <f>HYPERLINK("https://ictv.global/taxonomy/taxondetails?taxnode_id=202303496","Begomovirus wissadulae")</f>
        <v>Begomovirus wissadulae</v>
      </c>
      <c r="S7159" s="18" t="s">
        <v>30</v>
      </c>
      <c r="T7159" s="18" t="s">
        <v>15984</v>
      </c>
      <c r="U7159" s="18" t="s">
        <v>15985</v>
      </c>
      <c r="V7159" s="18" t="s">
        <v>15986</v>
      </c>
      <c r="W7159" s="18" t="s">
        <v>15987</v>
      </c>
      <c r="X7159" s="18" t="s">
        <v>42</v>
      </c>
      <c r="Y7159" s="18" t="s">
        <v>12266</v>
      </c>
      <c r="Z7159" s="18" t="s">
        <v>13441</v>
      </c>
      <c r="AA7159" s="21" t="str">
        <f>HYPERLINK("https://www.ncbi.nlm.nih.gov/nuccore/DQ395343,EU158095","NCBI Nucleotide")</f>
        <v>NCBI Nucleotide</v>
      </c>
    </row>
    <row r="7160" spans="1:27" x14ac:dyDescent="0.35">
      <c r="A7160">
        <v>1008030</v>
      </c>
      <c r="B7160">
        <v>6676</v>
      </c>
      <c r="C7160">
        <v>1</v>
      </c>
      <c r="D7160" s="17" t="s">
        <v>10507</v>
      </c>
      <c r="E7160" s="17"/>
      <c r="F7160" s="17" t="s">
        <v>10780</v>
      </c>
      <c r="G7160" s="17"/>
      <c r="H7160" s="17" t="s">
        <v>12908</v>
      </c>
      <c r="I7160" s="17"/>
      <c r="J7160" s="17" t="s">
        <v>14018</v>
      </c>
      <c r="K7160" s="17"/>
      <c r="L7160" s="17" t="s">
        <v>14019</v>
      </c>
      <c r="M7160" s="17"/>
      <c r="N7160" s="17" t="s">
        <v>14020</v>
      </c>
      <c r="O7160" s="17"/>
      <c r="P7160" s="17" t="s">
        <v>14040</v>
      </c>
      <c r="Q7160" s="17"/>
      <c r="R7160" s="25" t="str">
        <f>HYPERLINK("https://ictv.global/taxonomy/taxondetails?taxnode_id=202305852","Begomovirus wissadulaflavi")</f>
        <v>Begomovirus wissadulaflavi</v>
      </c>
      <c r="S7160" s="18" t="s">
        <v>30</v>
      </c>
      <c r="T7160" s="18" t="s">
        <v>15988</v>
      </c>
      <c r="U7160" s="18" t="s">
        <v>15989</v>
      </c>
      <c r="V7160" s="18" t="s">
        <v>15990</v>
      </c>
      <c r="W7160" s="18" t="s">
        <v>15991</v>
      </c>
      <c r="X7160" s="18" t="s">
        <v>42</v>
      </c>
      <c r="Y7160" s="18" t="s">
        <v>12266</v>
      </c>
      <c r="Z7160" s="18" t="s">
        <v>13441</v>
      </c>
      <c r="AA7160" s="21" t="str">
        <f>HYPERLINK("https://www.ncbi.nlm.nih.gov/nuccore/KX691411","NCBI Nucleotide")</f>
        <v>NCBI Nucleotide</v>
      </c>
    </row>
    <row r="7161" spans="1:27" x14ac:dyDescent="0.35">
      <c r="A7161">
        <v>1008032</v>
      </c>
      <c r="B7161">
        <v>6677</v>
      </c>
      <c r="C7161">
        <v>1</v>
      </c>
      <c r="D7161" s="17" t="s">
        <v>10507</v>
      </c>
      <c r="E7161" s="17"/>
      <c r="F7161" s="17" t="s">
        <v>10780</v>
      </c>
      <c r="G7161" s="17"/>
      <c r="H7161" s="17" t="s">
        <v>12908</v>
      </c>
      <c r="I7161" s="17"/>
      <c r="J7161" s="17" t="s">
        <v>14018</v>
      </c>
      <c r="K7161" s="17"/>
      <c r="L7161" s="17" t="s">
        <v>14019</v>
      </c>
      <c r="M7161" s="17"/>
      <c r="N7161" s="17" t="s">
        <v>14020</v>
      </c>
      <c r="O7161" s="17"/>
      <c r="P7161" s="17" t="s">
        <v>15992</v>
      </c>
      <c r="Q7161" s="17"/>
      <c r="R7161" s="25" t="str">
        <f>HYPERLINK("https://ictv.global/taxonomy/taxondetails?taxnode_id=202303499","Capulavirus euphorbiae")</f>
        <v>Capulavirus euphorbiae</v>
      </c>
      <c r="S7161" s="18" t="s">
        <v>30</v>
      </c>
      <c r="T7161" s="18" t="s">
        <v>15997</v>
      </c>
      <c r="U7161" s="18" t="s">
        <v>15998</v>
      </c>
      <c r="V7161" s="18" t="s">
        <v>15999</v>
      </c>
      <c r="W7161" s="18" t="s">
        <v>16000</v>
      </c>
      <c r="X7161" s="18" t="s">
        <v>42</v>
      </c>
      <c r="Y7161" s="18" t="s">
        <v>12266</v>
      </c>
      <c r="Z7161" s="18" t="s">
        <v>13441</v>
      </c>
      <c r="AA7161" s="21" t="str">
        <f>HYPERLINK("https://www.ncbi.nlm.nih.gov/nuccore/HF921459","NCBI Nucleotide")</f>
        <v>NCBI Nucleotide</v>
      </c>
    </row>
    <row r="7162" spans="1:27" x14ac:dyDescent="0.35">
      <c r="A7162">
        <v>1008031</v>
      </c>
      <c r="B7162">
        <v>6678</v>
      </c>
      <c r="C7162">
        <v>1</v>
      </c>
      <c r="D7162" s="17" t="s">
        <v>10507</v>
      </c>
      <c r="E7162" s="17"/>
      <c r="F7162" s="17" t="s">
        <v>10780</v>
      </c>
      <c r="G7162" s="17"/>
      <c r="H7162" s="17" t="s">
        <v>12908</v>
      </c>
      <c r="I7162" s="17"/>
      <c r="J7162" s="17" t="s">
        <v>14018</v>
      </c>
      <c r="K7162" s="17"/>
      <c r="L7162" s="17" t="s">
        <v>14019</v>
      </c>
      <c r="M7162" s="17"/>
      <c r="N7162" s="17" t="s">
        <v>14020</v>
      </c>
      <c r="O7162" s="17"/>
      <c r="P7162" s="17" t="s">
        <v>15992</v>
      </c>
      <c r="Q7162" s="17"/>
      <c r="R7162" s="25" t="str">
        <f>HYPERLINK("https://ictv.global/taxonomy/taxondetails?taxnode_id=202303498","Capulavirus medicagonis")</f>
        <v>Capulavirus medicagonis</v>
      </c>
      <c r="S7162" s="18" t="s">
        <v>30</v>
      </c>
      <c r="T7162" s="18" t="s">
        <v>15993</v>
      </c>
      <c r="U7162" s="18" t="s">
        <v>15994</v>
      </c>
      <c r="V7162" s="18" t="s">
        <v>15995</v>
      </c>
      <c r="W7162" s="18" t="s">
        <v>15996</v>
      </c>
      <c r="X7162" s="18" t="s">
        <v>42</v>
      </c>
      <c r="Y7162" s="18" t="s">
        <v>12266</v>
      </c>
      <c r="Z7162" s="18" t="s">
        <v>13441</v>
      </c>
      <c r="AA7162" s="21" t="str">
        <f>HYPERLINK("https://www.ncbi.nlm.nih.gov/nuccore/KP732474","NCBI Nucleotide")</f>
        <v>NCBI Nucleotide</v>
      </c>
    </row>
    <row r="7163" spans="1:27" x14ac:dyDescent="0.35">
      <c r="A7163">
        <v>1008033</v>
      </c>
      <c r="B7163">
        <v>6679</v>
      </c>
      <c r="C7163">
        <v>1</v>
      </c>
      <c r="D7163" s="17" t="s">
        <v>10507</v>
      </c>
      <c r="E7163" s="17"/>
      <c r="F7163" s="17" t="s">
        <v>10780</v>
      </c>
      <c r="G7163" s="17"/>
      <c r="H7163" s="17" t="s">
        <v>12908</v>
      </c>
      <c r="I7163" s="17"/>
      <c r="J7163" s="17" t="s">
        <v>14018</v>
      </c>
      <c r="K7163" s="17"/>
      <c r="L7163" s="17" t="s">
        <v>14019</v>
      </c>
      <c r="M7163" s="17"/>
      <c r="N7163" s="17" t="s">
        <v>14020</v>
      </c>
      <c r="O7163" s="17"/>
      <c r="P7163" s="17" t="s">
        <v>15992</v>
      </c>
      <c r="Q7163" s="17"/>
      <c r="R7163" s="25" t="str">
        <f>HYPERLINK("https://ictv.global/taxonomy/taxondetails?taxnode_id=202303500","Capulavirus phaseoli")</f>
        <v>Capulavirus phaseoli</v>
      </c>
      <c r="S7163" s="18" t="s">
        <v>30</v>
      </c>
      <c r="T7163" s="18" t="s">
        <v>16001</v>
      </c>
      <c r="U7163" s="18" t="s">
        <v>16002</v>
      </c>
      <c r="V7163" s="18" t="s">
        <v>16003</v>
      </c>
      <c r="W7163" s="18" t="s">
        <v>16004</v>
      </c>
      <c r="X7163" s="18" t="s">
        <v>42</v>
      </c>
      <c r="Y7163" s="18" t="s">
        <v>12266</v>
      </c>
      <c r="Z7163" s="18" t="s">
        <v>13441</v>
      </c>
      <c r="AA7163" s="21" t="str">
        <f>HYPERLINK("https://www.ncbi.nlm.nih.gov/nuccore/JX094280","NCBI Nucleotide")</f>
        <v>NCBI Nucleotide</v>
      </c>
    </row>
    <row r="7164" spans="1:27" x14ac:dyDescent="0.35">
      <c r="A7164">
        <v>1008034</v>
      </c>
      <c r="B7164">
        <v>6680</v>
      </c>
      <c r="C7164">
        <v>1</v>
      </c>
      <c r="D7164" s="17" t="s">
        <v>10507</v>
      </c>
      <c r="E7164" s="17"/>
      <c r="F7164" s="17" t="s">
        <v>10780</v>
      </c>
      <c r="G7164" s="17"/>
      <c r="H7164" s="17" t="s">
        <v>12908</v>
      </c>
      <c r="I7164" s="17"/>
      <c r="J7164" s="17" t="s">
        <v>14018</v>
      </c>
      <c r="K7164" s="17"/>
      <c r="L7164" s="17" t="s">
        <v>14019</v>
      </c>
      <c r="M7164" s="17"/>
      <c r="N7164" s="17" t="s">
        <v>14020</v>
      </c>
      <c r="O7164" s="17"/>
      <c r="P7164" s="17" t="s">
        <v>15992</v>
      </c>
      <c r="Q7164" s="17"/>
      <c r="R7164" s="25" t="str">
        <f>HYPERLINK("https://ictv.global/taxonomy/taxondetails?taxnode_id=202303501","Capulavirus plantagonis")</f>
        <v>Capulavirus plantagonis</v>
      </c>
      <c r="S7164" s="18" t="s">
        <v>30</v>
      </c>
      <c r="T7164" s="18" t="s">
        <v>16005</v>
      </c>
      <c r="U7164" s="18" t="s">
        <v>16006</v>
      </c>
      <c r="V7164" s="18" t="s">
        <v>16007</v>
      </c>
      <c r="W7164" s="18" t="s">
        <v>16008</v>
      </c>
      <c r="X7164" s="18" t="s">
        <v>42</v>
      </c>
      <c r="Y7164" s="18" t="s">
        <v>12266</v>
      </c>
      <c r="Z7164" s="18" t="s">
        <v>13441</v>
      </c>
      <c r="AA7164" s="21" t="str">
        <f>HYPERLINK("https://www.ncbi.nlm.nih.gov/nuccore/KT214389","NCBI Nucleotide")</f>
        <v>NCBI Nucleotide</v>
      </c>
    </row>
    <row r="7165" spans="1:27" x14ac:dyDescent="0.35">
      <c r="A7165">
        <v>1008037</v>
      </c>
      <c r="B7165">
        <v>6681</v>
      </c>
      <c r="C7165">
        <v>1</v>
      </c>
      <c r="D7165" s="17" t="s">
        <v>10507</v>
      </c>
      <c r="E7165" s="17"/>
      <c r="F7165" s="17" t="s">
        <v>10780</v>
      </c>
      <c r="G7165" s="17"/>
      <c r="H7165" s="17" t="s">
        <v>12908</v>
      </c>
      <c r="I7165" s="17"/>
      <c r="J7165" s="17" t="s">
        <v>14018</v>
      </c>
      <c r="K7165" s="17"/>
      <c r="L7165" s="17" t="s">
        <v>14019</v>
      </c>
      <c r="M7165" s="17"/>
      <c r="N7165" s="17" t="s">
        <v>14020</v>
      </c>
      <c r="O7165" s="17"/>
      <c r="P7165" s="17" t="s">
        <v>16009</v>
      </c>
      <c r="Q7165" s="17"/>
      <c r="R7165" s="25" t="str">
        <f>HYPERLINK("https://ictv.global/taxonomy/taxondetails?taxnode_id=202309792","Citlodavirus broussonetiae")</f>
        <v>Citlodavirus broussonetiae</v>
      </c>
      <c r="S7165" s="18" t="s">
        <v>30</v>
      </c>
      <c r="T7165" s="18" t="s">
        <v>16018</v>
      </c>
      <c r="U7165" s="18" t="s">
        <v>16019</v>
      </c>
      <c r="V7165" s="18" t="s">
        <v>16020</v>
      </c>
      <c r="W7165" s="18" t="s">
        <v>16021</v>
      </c>
      <c r="X7165" s="18" t="s">
        <v>42</v>
      </c>
      <c r="Y7165" s="18" t="s">
        <v>12266</v>
      </c>
      <c r="Z7165" s="18" t="s">
        <v>13441</v>
      </c>
      <c r="AA7165" s="21" t="str">
        <f>HYPERLINK("https://www.ncbi.nlm.nih.gov/nuccore/MN595127","NCBI Nucleotide")</f>
        <v>NCBI Nucleotide</v>
      </c>
    </row>
    <row r="7166" spans="1:27" x14ac:dyDescent="0.35">
      <c r="A7166">
        <v>1008035</v>
      </c>
      <c r="B7166">
        <v>6682</v>
      </c>
      <c r="C7166">
        <v>1</v>
      </c>
      <c r="D7166" s="17" t="s">
        <v>10507</v>
      </c>
      <c r="E7166" s="17"/>
      <c r="F7166" s="17" t="s">
        <v>10780</v>
      </c>
      <c r="G7166" s="17"/>
      <c r="H7166" s="17" t="s">
        <v>12908</v>
      </c>
      <c r="I7166" s="17"/>
      <c r="J7166" s="17" t="s">
        <v>14018</v>
      </c>
      <c r="K7166" s="17"/>
      <c r="L7166" s="17" t="s">
        <v>14019</v>
      </c>
      <c r="M7166" s="17"/>
      <c r="N7166" s="17" t="s">
        <v>14020</v>
      </c>
      <c r="O7166" s="17"/>
      <c r="P7166" s="17" t="s">
        <v>16009</v>
      </c>
      <c r="Q7166" s="17"/>
      <c r="R7166" s="25" t="str">
        <f>HYPERLINK("https://ictv.global/taxonomy/taxondetails?taxnode_id=202309175","Citlodavirus camelliae")</f>
        <v>Citlodavirus camelliae</v>
      </c>
      <c r="S7166" s="18" t="s">
        <v>30</v>
      </c>
      <c r="T7166" s="18" t="s">
        <v>16010</v>
      </c>
      <c r="U7166" s="18" t="s">
        <v>16011</v>
      </c>
      <c r="V7166" s="18" t="s">
        <v>16012</v>
      </c>
      <c r="W7166" s="18" t="s">
        <v>16013</v>
      </c>
      <c r="X7166" s="18" t="s">
        <v>42</v>
      </c>
      <c r="Y7166" s="18" t="s">
        <v>12266</v>
      </c>
      <c r="Z7166" s="18" t="s">
        <v>13441</v>
      </c>
      <c r="AA7166" s="21" t="str">
        <f>HYPERLINK("https://www.ncbi.nlm.nih.gov/nuccore/MG452759","NCBI Nucleotide")</f>
        <v>NCBI Nucleotide</v>
      </c>
    </row>
    <row r="7167" spans="1:27" x14ac:dyDescent="0.35">
      <c r="A7167">
        <v>1008036</v>
      </c>
      <c r="B7167">
        <v>6683</v>
      </c>
      <c r="C7167">
        <v>1</v>
      </c>
      <c r="D7167" s="17" t="s">
        <v>10507</v>
      </c>
      <c r="E7167" s="17"/>
      <c r="F7167" s="17" t="s">
        <v>10780</v>
      </c>
      <c r="G7167" s="17"/>
      <c r="H7167" s="17" t="s">
        <v>12908</v>
      </c>
      <c r="I7167" s="17"/>
      <c r="J7167" s="17" t="s">
        <v>14018</v>
      </c>
      <c r="K7167" s="17"/>
      <c r="L7167" s="17" t="s">
        <v>14019</v>
      </c>
      <c r="M7167" s="17"/>
      <c r="N7167" s="17" t="s">
        <v>14020</v>
      </c>
      <c r="O7167" s="17"/>
      <c r="P7167" s="17" t="s">
        <v>16009</v>
      </c>
      <c r="Q7167" s="17"/>
      <c r="R7167" s="25" t="str">
        <f>HYPERLINK("https://ictv.global/taxonomy/taxondetails?taxnode_id=202303548","Citlodavirus citri")</f>
        <v>Citlodavirus citri</v>
      </c>
      <c r="S7167" s="18" t="s">
        <v>30</v>
      </c>
      <c r="T7167" s="18" t="s">
        <v>16014</v>
      </c>
      <c r="U7167" s="18" t="s">
        <v>16015</v>
      </c>
      <c r="V7167" s="18" t="s">
        <v>16016</v>
      </c>
      <c r="W7167" s="18" t="s">
        <v>16017</v>
      </c>
      <c r="X7167" s="18" t="s">
        <v>42</v>
      </c>
      <c r="Y7167" s="18" t="s">
        <v>12266</v>
      </c>
      <c r="Z7167" s="18" t="s">
        <v>13441</v>
      </c>
      <c r="AA7167" s="21" t="str">
        <f>HYPERLINK("https://www.ncbi.nlm.nih.gov/nuccore/JQ920490","NCBI Nucleotide")</f>
        <v>NCBI Nucleotide</v>
      </c>
    </row>
    <row r="7168" spans="1:27" x14ac:dyDescent="0.35">
      <c r="A7168">
        <v>1008038</v>
      </c>
      <c r="B7168">
        <v>6684</v>
      </c>
      <c r="C7168">
        <v>1</v>
      </c>
      <c r="D7168" s="17" t="s">
        <v>10507</v>
      </c>
      <c r="E7168" s="17"/>
      <c r="F7168" s="17" t="s">
        <v>10780</v>
      </c>
      <c r="G7168" s="17"/>
      <c r="H7168" s="17" t="s">
        <v>12908</v>
      </c>
      <c r="I7168" s="17"/>
      <c r="J7168" s="17" t="s">
        <v>14018</v>
      </c>
      <c r="K7168" s="17"/>
      <c r="L7168" s="17" t="s">
        <v>14019</v>
      </c>
      <c r="M7168" s="17"/>
      <c r="N7168" s="17" t="s">
        <v>14020</v>
      </c>
      <c r="O7168" s="17"/>
      <c r="P7168" s="17" t="s">
        <v>16009</v>
      </c>
      <c r="Q7168" s="17"/>
      <c r="R7168" s="25" t="str">
        <f>HYPERLINK("https://ictv.global/taxonomy/taxondetails?taxnode_id=202309176","Citlodavirus passiflorae")</f>
        <v>Citlodavirus passiflorae</v>
      </c>
      <c r="S7168" s="18" t="s">
        <v>30</v>
      </c>
      <c r="T7168" s="18" t="s">
        <v>16022</v>
      </c>
      <c r="U7168" s="18" t="s">
        <v>16023</v>
      </c>
      <c r="V7168" s="18" t="s">
        <v>16024</v>
      </c>
      <c r="W7168" s="18" t="s">
        <v>16025</v>
      </c>
      <c r="X7168" s="18" t="s">
        <v>42</v>
      </c>
      <c r="Y7168" s="18" t="s">
        <v>12266</v>
      </c>
      <c r="Z7168" s="18" t="s">
        <v>13441</v>
      </c>
      <c r="AA7168" s="21" t="str">
        <f>HYPERLINK("https://www.ncbi.nlm.nih.gov/nuccore/MG696802","NCBI Nucleotide")</f>
        <v>NCBI Nucleotide</v>
      </c>
    </row>
    <row r="7169" spans="1:27" x14ac:dyDescent="0.35">
      <c r="A7169">
        <v>1008040</v>
      </c>
      <c r="B7169">
        <v>6685</v>
      </c>
      <c r="C7169">
        <v>1</v>
      </c>
      <c r="D7169" s="17" t="s">
        <v>10507</v>
      </c>
      <c r="E7169" s="17"/>
      <c r="F7169" s="17" t="s">
        <v>10780</v>
      </c>
      <c r="G7169" s="17"/>
      <c r="H7169" s="17" t="s">
        <v>12908</v>
      </c>
      <c r="I7169" s="17"/>
      <c r="J7169" s="17" t="s">
        <v>14018</v>
      </c>
      <c r="K7169" s="17"/>
      <c r="L7169" s="17" t="s">
        <v>14019</v>
      </c>
      <c r="M7169" s="17"/>
      <c r="N7169" s="17" t="s">
        <v>14020</v>
      </c>
      <c r="O7169" s="17"/>
      <c r="P7169" s="17" t="s">
        <v>16026</v>
      </c>
      <c r="Q7169" s="17"/>
      <c r="R7169" s="25" t="str">
        <f>HYPERLINK("https://ictv.global/taxonomy/taxondetails?taxnode_id=202303504","Curtovirus armoraciae")</f>
        <v>Curtovirus armoraciae</v>
      </c>
      <c r="S7169" s="18" t="s">
        <v>30</v>
      </c>
      <c r="T7169" s="18" t="s">
        <v>16047</v>
      </c>
      <c r="U7169" s="18" t="s">
        <v>16048</v>
      </c>
      <c r="V7169" s="18" t="s">
        <v>16049</v>
      </c>
      <c r="W7169" s="18" t="s">
        <v>16050</v>
      </c>
      <c r="X7169" s="18" t="s">
        <v>42</v>
      </c>
      <c r="Y7169" s="18" t="s">
        <v>12266</v>
      </c>
      <c r="Z7169" s="18" t="s">
        <v>13441</v>
      </c>
      <c r="AA7169" s="21" t="str">
        <f>HYPERLINK("https://www.ncbi.nlm.nih.gov/nuccore/U49907","NCBI Nucleotide")</f>
        <v>NCBI Nucleotide</v>
      </c>
    </row>
    <row r="7170" spans="1:27" x14ac:dyDescent="0.35">
      <c r="A7170">
        <v>1008039</v>
      </c>
      <c r="B7170">
        <v>6686</v>
      </c>
      <c r="C7170">
        <v>1</v>
      </c>
      <c r="D7170" s="17" t="s">
        <v>10507</v>
      </c>
      <c r="E7170" s="17"/>
      <c r="F7170" s="17" t="s">
        <v>10780</v>
      </c>
      <c r="G7170" s="17"/>
      <c r="H7170" s="17" t="s">
        <v>12908</v>
      </c>
      <c r="I7170" s="17"/>
      <c r="J7170" s="17" t="s">
        <v>14018</v>
      </c>
      <c r="K7170" s="17"/>
      <c r="L7170" s="17" t="s">
        <v>14019</v>
      </c>
      <c r="M7170" s="17"/>
      <c r="N7170" s="17" t="s">
        <v>14020</v>
      </c>
      <c r="O7170" s="17"/>
      <c r="P7170" s="17" t="s">
        <v>16026</v>
      </c>
      <c r="Q7170" s="17"/>
      <c r="R7170" s="25" t="str">
        <f t="shared" ref="R7170:R7178" si="27">HYPERLINK("https://ictv.global/taxonomy/taxondetails?taxnode_id=202303503","Curtovirus betae")</f>
        <v>Curtovirus betae</v>
      </c>
      <c r="S7170" s="18" t="s">
        <v>30</v>
      </c>
      <c r="T7170" s="18" t="s">
        <v>16027</v>
      </c>
      <c r="U7170" s="18" t="s">
        <v>16028</v>
      </c>
      <c r="V7170" s="18" t="s">
        <v>16029</v>
      </c>
      <c r="W7170" s="18" t="s">
        <v>16030</v>
      </c>
      <c r="X7170" s="18" t="s">
        <v>42</v>
      </c>
      <c r="Y7170" s="18" t="s">
        <v>12266</v>
      </c>
      <c r="Z7170" s="18" t="s">
        <v>13441</v>
      </c>
      <c r="AA7170" s="21" t="str">
        <f>HYPERLINK("https://www.ncbi.nlm.nih.gov/nuccore/M24597","NCBI Nucleotide")</f>
        <v>NCBI Nucleotide</v>
      </c>
    </row>
    <row r="7171" spans="1:27" x14ac:dyDescent="0.35">
      <c r="A7171">
        <v>1012651</v>
      </c>
      <c r="B7171">
        <v>6686</v>
      </c>
      <c r="C7171">
        <v>2</v>
      </c>
      <c r="D7171" s="17" t="s">
        <v>10507</v>
      </c>
      <c r="E7171" s="17"/>
      <c r="F7171" s="17" t="s">
        <v>10780</v>
      </c>
      <c r="G7171" s="17"/>
      <c r="H7171" s="17" t="s">
        <v>12908</v>
      </c>
      <c r="I7171" s="17"/>
      <c r="J7171" s="17" t="s">
        <v>14018</v>
      </c>
      <c r="K7171" s="17"/>
      <c r="L7171" s="17" t="s">
        <v>14019</v>
      </c>
      <c r="M7171" s="17"/>
      <c r="N7171" s="17" t="s">
        <v>14020</v>
      </c>
      <c r="O7171" s="17"/>
      <c r="P7171" s="17" t="s">
        <v>16026</v>
      </c>
      <c r="Q7171" s="17"/>
      <c r="R7171" s="25" t="str">
        <f t="shared" si="27"/>
        <v>Curtovirus betae</v>
      </c>
      <c r="S7171" s="18" t="s">
        <v>8141</v>
      </c>
      <c r="T7171" s="18" t="s">
        <v>16027</v>
      </c>
      <c r="U7171" s="18" t="s">
        <v>16031</v>
      </c>
      <c r="V7171" s="18" t="s">
        <v>16032</v>
      </c>
      <c r="W7171" s="18" t="s">
        <v>49211</v>
      </c>
      <c r="X7171" s="18" t="s">
        <v>42</v>
      </c>
      <c r="Y7171" s="18" t="s">
        <v>12266</v>
      </c>
      <c r="Z7171" s="18" t="s">
        <v>13441</v>
      </c>
      <c r="AA7171" s="21" t="str">
        <f>HYPERLINK("https://www.ncbi.nlm.nih.gov/nuccore/EU193175","NCBI Nucleotide")</f>
        <v>NCBI Nucleotide</v>
      </c>
    </row>
    <row r="7172" spans="1:27" x14ac:dyDescent="0.35">
      <c r="A7172">
        <v>1012652</v>
      </c>
      <c r="B7172">
        <v>6686</v>
      </c>
      <c r="C7172">
        <v>3</v>
      </c>
      <c r="D7172" s="17" t="s">
        <v>10507</v>
      </c>
      <c r="E7172" s="17"/>
      <c r="F7172" s="17" t="s">
        <v>10780</v>
      </c>
      <c r="G7172" s="17"/>
      <c r="H7172" s="17" t="s">
        <v>12908</v>
      </c>
      <c r="I7172" s="17"/>
      <c r="J7172" s="17" t="s">
        <v>14018</v>
      </c>
      <c r="K7172" s="17"/>
      <c r="L7172" s="17" t="s">
        <v>14019</v>
      </c>
      <c r="M7172" s="17"/>
      <c r="N7172" s="17" t="s">
        <v>14020</v>
      </c>
      <c r="O7172" s="17"/>
      <c r="P7172" s="17" t="s">
        <v>16026</v>
      </c>
      <c r="Q7172" s="17"/>
      <c r="R7172" s="25" t="str">
        <f t="shared" si="27"/>
        <v>Curtovirus betae</v>
      </c>
      <c r="S7172" s="18" t="s">
        <v>8141</v>
      </c>
      <c r="T7172" s="18" t="s">
        <v>16027</v>
      </c>
      <c r="U7172" s="18" t="s">
        <v>16033</v>
      </c>
      <c r="V7172" s="18" t="s">
        <v>16034</v>
      </c>
      <c r="W7172" s="18" t="s">
        <v>49212</v>
      </c>
      <c r="X7172" s="18" t="s">
        <v>42</v>
      </c>
      <c r="Y7172" s="18" t="s">
        <v>12266</v>
      </c>
      <c r="Z7172" s="18" t="s">
        <v>13441</v>
      </c>
      <c r="AA7172" s="21" t="str">
        <f>HYPERLINK("https://www.ncbi.nlm.nih.gov/nuccore/U02311","NCBI Nucleotide")</f>
        <v>NCBI Nucleotide</v>
      </c>
    </row>
    <row r="7173" spans="1:27" x14ac:dyDescent="0.35">
      <c r="A7173">
        <v>1012653</v>
      </c>
      <c r="B7173">
        <v>6686</v>
      </c>
      <c r="C7173">
        <v>4</v>
      </c>
      <c r="D7173" s="17" t="s">
        <v>10507</v>
      </c>
      <c r="E7173" s="17"/>
      <c r="F7173" s="17" t="s">
        <v>10780</v>
      </c>
      <c r="G7173" s="17"/>
      <c r="H7173" s="17" t="s">
        <v>12908</v>
      </c>
      <c r="I7173" s="17"/>
      <c r="J7173" s="17" t="s">
        <v>14018</v>
      </c>
      <c r="K7173" s="17"/>
      <c r="L7173" s="17" t="s">
        <v>14019</v>
      </c>
      <c r="M7173" s="17"/>
      <c r="N7173" s="17" t="s">
        <v>14020</v>
      </c>
      <c r="O7173" s="17"/>
      <c r="P7173" s="17" t="s">
        <v>16026</v>
      </c>
      <c r="Q7173" s="17"/>
      <c r="R7173" s="25" t="str">
        <f t="shared" si="27"/>
        <v>Curtovirus betae</v>
      </c>
      <c r="S7173" s="18" t="s">
        <v>8141</v>
      </c>
      <c r="T7173" s="18" t="s">
        <v>16027</v>
      </c>
      <c r="U7173" s="18" t="s">
        <v>16035</v>
      </c>
      <c r="V7173" s="18" t="s">
        <v>16036</v>
      </c>
      <c r="W7173" s="18" t="s">
        <v>49213</v>
      </c>
      <c r="X7173" s="18" t="s">
        <v>42</v>
      </c>
      <c r="Y7173" s="18" t="s">
        <v>12266</v>
      </c>
      <c r="Z7173" s="18" t="s">
        <v>13441</v>
      </c>
      <c r="AA7173" s="21" t="str">
        <f>HYPERLINK("https://www.ncbi.nlm.nih.gov/nuccore/FJ545686","NCBI Nucleotide")</f>
        <v>NCBI Nucleotide</v>
      </c>
    </row>
    <row r="7174" spans="1:27" x14ac:dyDescent="0.35">
      <c r="A7174">
        <v>1012654</v>
      </c>
      <c r="B7174">
        <v>6686</v>
      </c>
      <c r="C7174">
        <v>5</v>
      </c>
      <c r="D7174" s="17" t="s">
        <v>10507</v>
      </c>
      <c r="E7174" s="17"/>
      <c r="F7174" s="17" t="s">
        <v>10780</v>
      </c>
      <c r="G7174" s="17"/>
      <c r="H7174" s="17" t="s">
        <v>12908</v>
      </c>
      <c r="I7174" s="17"/>
      <c r="J7174" s="17" t="s">
        <v>14018</v>
      </c>
      <c r="K7174" s="17"/>
      <c r="L7174" s="17" t="s">
        <v>14019</v>
      </c>
      <c r="M7174" s="17"/>
      <c r="N7174" s="17" t="s">
        <v>14020</v>
      </c>
      <c r="O7174" s="17"/>
      <c r="P7174" s="17" t="s">
        <v>16026</v>
      </c>
      <c r="Q7174" s="17"/>
      <c r="R7174" s="25" t="str">
        <f t="shared" si="27"/>
        <v>Curtovirus betae</v>
      </c>
      <c r="S7174" s="18" t="s">
        <v>8141</v>
      </c>
      <c r="T7174" s="18" t="s">
        <v>16027</v>
      </c>
      <c r="U7174" s="18" t="s">
        <v>16037</v>
      </c>
      <c r="V7174" s="18" t="s">
        <v>16038</v>
      </c>
      <c r="W7174" s="18" t="s">
        <v>49214</v>
      </c>
      <c r="X7174" s="18" t="s">
        <v>42</v>
      </c>
      <c r="Y7174" s="18" t="s">
        <v>12266</v>
      </c>
      <c r="Z7174" s="18" t="s">
        <v>13441</v>
      </c>
      <c r="AA7174" s="21" t="str">
        <f>HYPERLINK("https://www.ncbi.nlm.nih.gov/nuccore/JN817383","NCBI Nucleotide")</f>
        <v>NCBI Nucleotide</v>
      </c>
    </row>
    <row r="7175" spans="1:27" x14ac:dyDescent="0.35">
      <c r="A7175">
        <v>1012655</v>
      </c>
      <c r="B7175">
        <v>6686</v>
      </c>
      <c r="C7175">
        <v>6</v>
      </c>
      <c r="D7175" s="17" t="s">
        <v>10507</v>
      </c>
      <c r="E7175" s="17"/>
      <c r="F7175" s="17" t="s">
        <v>10780</v>
      </c>
      <c r="G7175" s="17"/>
      <c r="H7175" s="17" t="s">
        <v>12908</v>
      </c>
      <c r="I7175" s="17"/>
      <c r="J7175" s="17" t="s">
        <v>14018</v>
      </c>
      <c r="K7175" s="17"/>
      <c r="L7175" s="17" t="s">
        <v>14019</v>
      </c>
      <c r="M7175" s="17"/>
      <c r="N7175" s="17" t="s">
        <v>14020</v>
      </c>
      <c r="O7175" s="17"/>
      <c r="P7175" s="17" t="s">
        <v>16026</v>
      </c>
      <c r="Q7175" s="17"/>
      <c r="R7175" s="25" t="str">
        <f t="shared" si="27"/>
        <v>Curtovirus betae</v>
      </c>
      <c r="S7175" s="18" t="s">
        <v>8141</v>
      </c>
      <c r="T7175" s="18" t="s">
        <v>16027</v>
      </c>
      <c r="U7175" s="18" t="s">
        <v>16039</v>
      </c>
      <c r="V7175" s="18" t="s">
        <v>16040</v>
      </c>
      <c r="W7175" s="18" t="s">
        <v>49215</v>
      </c>
      <c r="X7175" s="18" t="s">
        <v>42</v>
      </c>
      <c r="Y7175" s="18" t="s">
        <v>12266</v>
      </c>
      <c r="Z7175" s="18" t="s">
        <v>13441</v>
      </c>
      <c r="AA7175" s="21" t="str">
        <f>HYPERLINK("https://www.ncbi.nlm.nih.gov/nuccore/U56975","NCBI Nucleotide")</f>
        <v>NCBI Nucleotide</v>
      </c>
    </row>
    <row r="7176" spans="1:27" x14ac:dyDescent="0.35">
      <c r="A7176">
        <v>1012656</v>
      </c>
      <c r="B7176">
        <v>6686</v>
      </c>
      <c r="C7176">
        <v>7</v>
      </c>
      <c r="D7176" s="17" t="s">
        <v>10507</v>
      </c>
      <c r="E7176" s="17"/>
      <c r="F7176" s="17" t="s">
        <v>10780</v>
      </c>
      <c r="G7176" s="17"/>
      <c r="H7176" s="17" t="s">
        <v>12908</v>
      </c>
      <c r="I7176" s="17"/>
      <c r="J7176" s="17" t="s">
        <v>14018</v>
      </c>
      <c r="K7176" s="17"/>
      <c r="L7176" s="17" t="s">
        <v>14019</v>
      </c>
      <c r="M7176" s="17"/>
      <c r="N7176" s="17" t="s">
        <v>14020</v>
      </c>
      <c r="O7176" s="17"/>
      <c r="P7176" s="17" t="s">
        <v>16026</v>
      </c>
      <c r="Q7176" s="17"/>
      <c r="R7176" s="25" t="str">
        <f t="shared" si="27"/>
        <v>Curtovirus betae</v>
      </c>
      <c r="S7176" s="18" t="s">
        <v>8141</v>
      </c>
      <c r="T7176" s="18" t="s">
        <v>16027</v>
      </c>
      <c r="U7176" s="18" t="s">
        <v>16041</v>
      </c>
      <c r="V7176" s="18" t="s">
        <v>16042</v>
      </c>
      <c r="W7176" s="18" t="s">
        <v>49216</v>
      </c>
      <c r="X7176" s="18" t="s">
        <v>42</v>
      </c>
      <c r="Y7176" s="18" t="s">
        <v>12266</v>
      </c>
      <c r="Z7176" s="18" t="s">
        <v>13441</v>
      </c>
      <c r="AA7176" s="21" t="str">
        <f>HYPERLINK("https://www.ncbi.nlm.nih.gov/nuccore/AY548948","NCBI Nucleotide")</f>
        <v>NCBI Nucleotide</v>
      </c>
    </row>
    <row r="7177" spans="1:27" x14ac:dyDescent="0.35">
      <c r="A7177">
        <v>1012657</v>
      </c>
      <c r="B7177">
        <v>6686</v>
      </c>
      <c r="C7177">
        <v>8</v>
      </c>
      <c r="D7177" s="17" t="s">
        <v>10507</v>
      </c>
      <c r="E7177" s="17"/>
      <c r="F7177" s="17" t="s">
        <v>10780</v>
      </c>
      <c r="G7177" s="17"/>
      <c r="H7177" s="17" t="s">
        <v>12908</v>
      </c>
      <c r="I7177" s="17"/>
      <c r="J7177" s="17" t="s">
        <v>14018</v>
      </c>
      <c r="K7177" s="17"/>
      <c r="L7177" s="17" t="s">
        <v>14019</v>
      </c>
      <c r="M7177" s="17"/>
      <c r="N7177" s="17" t="s">
        <v>14020</v>
      </c>
      <c r="O7177" s="17"/>
      <c r="P7177" s="17" t="s">
        <v>16026</v>
      </c>
      <c r="Q7177" s="17"/>
      <c r="R7177" s="25" t="str">
        <f t="shared" si="27"/>
        <v>Curtovirus betae</v>
      </c>
      <c r="S7177" s="18" t="s">
        <v>8141</v>
      </c>
      <c r="T7177" s="18" t="s">
        <v>16027</v>
      </c>
      <c r="U7177" s="18" t="s">
        <v>16043</v>
      </c>
      <c r="V7177" s="18" t="s">
        <v>16044</v>
      </c>
      <c r="W7177" s="18" t="s">
        <v>49217</v>
      </c>
      <c r="X7177" s="18" t="s">
        <v>42</v>
      </c>
      <c r="Y7177" s="18" t="s">
        <v>12266</v>
      </c>
      <c r="Z7177" s="18" t="s">
        <v>13441</v>
      </c>
      <c r="AA7177" s="21" t="str">
        <f>HYPERLINK("https://www.ncbi.nlm.nih.gov/nuccore/EF501977","NCBI Nucleotide")</f>
        <v>NCBI Nucleotide</v>
      </c>
    </row>
    <row r="7178" spans="1:27" x14ac:dyDescent="0.35">
      <c r="A7178">
        <v>1012658</v>
      </c>
      <c r="B7178">
        <v>6686</v>
      </c>
      <c r="C7178">
        <v>9</v>
      </c>
      <c r="D7178" s="17" t="s">
        <v>10507</v>
      </c>
      <c r="E7178" s="17"/>
      <c r="F7178" s="17" t="s">
        <v>10780</v>
      </c>
      <c r="G7178" s="17"/>
      <c r="H7178" s="17" t="s">
        <v>12908</v>
      </c>
      <c r="I7178" s="17"/>
      <c r="J7178" s="17" t="s">
        <v>14018</v>
      </c>
      <c r="K7178" s="17"/>
      <c r="L7178" s="17" t="s">
        <v>14019</v>
      </c>
      <c r="M7178" s="17"/>
      <c r="N7178" s="17" t="s">
        <v>14020</v>
      </c>
      <c r="O7178" s="17"/>
      <c r="P7178" s="17" t="s">
        <v>16026</v>
      </c>
      <c r="Q7178" s="17"/>
      <c r="R7178" s="25" t="str">
        <f t="shared" si="27"/>
        <v>Curtovirus betae</v>
      </c>
      <c r="S7178" s="18" t="s">
        <v>8141</v>
      </c>
      <c r="T7178" s="18" t="s">
        <v>16027</v>
      </c>
      <c r="U7178" s="18" t="s">
        <v>16045</v>
      </c>
      <c r="V7178" s="18" t="s">
        <v>16046</v>
      </c>
      <c r="W7178" s="18" t="s">
        <v>49218</v>
      </c>
      <c r="X7178" s="18" t="s">
        <v>42</v>
      </c>
      <c r="Y7178" s="18" t="s">
        <v>12266</v>
      </c>
      <c r="Z7178" s="18" t="s">
        <v>13441</v>
      </c>
      <c r="AA7178" s="21" t="str">
        <f>HYPERLINK("https://www.ncbi.nlm.nih.gov/nuccore/EU921828","NCBI Nucleotide")</f>
        <v>NCBI Nucleotide</v>
      </c>
    </row>
    <row r="7179" spans="1:27" x14ac:dyDescent="0.35">
      <c r="A7179">
        <v>1008041</v>
      </c>
      <c r="B7179">
        <v>6687</v>
      </c>
      <c r="C7179">
        <v>1</v>
      </c>
      <c r="D7179" s="17" t="s">
        <v>10507</v>
      </c>
      <c r="E7179" s="17"/>
      <c r="F7179" s="17" t="s">
        <v>10780</v>
      </c>
      <c r="G7179" s="17"/>
      <c r="H7179" s="17" t="s">
        <v>12908</v>
      </c>
      <c r="I7179" s="17"/>
      <c r="J7179" s="17" t="s">
        <v>14018</v>
      </c>
      <c r="K7179" s="17"/>
      <c r="L7179" s="17" t="s">
        <v>14019</v>
      </c>
      <c r="M7179" s="17"/>
      <c r="N7179" s="17" t="s">
        <v>14020</v>
      </c>
      <c r="O7179" s="17"/>
      <c r="P7179" s="17" t="s">
        <v>16026</v>
      </c>
      <c r="Q7179" s="17"/>
      <c r="R7179" s="25" t="str">
        <f>HYPERLINK("https://ictv.global/taxonomy/taxondetails?taxnode_id=202303505","Curtovirus spinaciae")</f>
        <v>Curtovirus spinaciae</v>
      </c>
      <c r="S7179" s="18" t="s">
        <v>30</v>
      </c>
      <c r="T7179" s="18" t="s">
        <v>16051</v>
      </c>
      <c r="U7179" s="18" t="s">
        <v>16052</v>
      </c>
      <c r="V7179" s="18" t="s">
        <v>16053</v>
      </c>
      <c r="W7179" s="18" t="s">
        <v>16054</v>
      </c>
      <c r="X7179" s="18" t="s">
        <v>42</v>
      </c>
      <c r="Y7179" s="18" t="s">
        <v>12266</v>
      </c>
      <c r="Z7179" s="18" t="s">
        <v>13441</v>
      </c>
      <c r="AA7179" s="21" t="str">
        <f>HYPERLINK("https://www.ncbi.nlm.nih.gov/nuccore/GU734126","NCBI Nucleotide")</f>
        <v>NCBI Nucleotide</v>
      </c>
    </row>
    <row r="7180" spans="1:27" x14ac:dyDescent="0.35">
      <c r="A7180">
        <v>1008042</v>
      </c>
      <c r="B7180">
        <v>6688</v>
      </c>
      <c r="C7180">
        <v>1</v>
      </c>
      <c r="D7180" s="17" t="s">
        <v>10507</v>
      </c>
      <c r="E7180" s="17"/>
      <c r="F7180" s="17" t="s">
        <v>10780</v>
      </c>
      <c r="G7180" s="17"/>
      <c r="H7180" s="17" t="s">
        <v>12908</v>
      </c>
      <c r="I7180" s="17"/>
      <c r="J7180" s="17" t="s">
        <v>14018</v>
      </c>
      <c r="K7180" s="17"/>
      <c r="L7180" s="17" t="s">
        <v>14019</v>
      </c>
      <c r="M7180" s="17"/>
      <c r="N7180" s="17" t="s">
        <v>14020</v>
      </c>
      <c r="O7180" s="17"/>
      <c r="P7180" s="17" t="s">
        <v>16055</v>
      </c>
      <c r="Q7180" s="17"/>
      <c r="R7180" s="25" t="str">
        <f>HYPERLINK("https://ictv.global/taxonomy/taxondetails?taxnode_id=202303507","Eragrovirus curvulae")</f>
        <v>Eragrovirus curvulae</v>
      </c>
      <c r="S7180" s="18" t="s">
        <v>30</v>
      </c>
      <c r="T7180" s="18" t="s">
        <v>16056</v>
      </c>
      <c r="U7180" s="18" t="s">
        <v>16057</v>
      </c>
      <c r="V7180" s="18" t="s">
        <v>16058</v>
      </c>
      <c r="W7180" s="18" t="s">
        <v>16059</v>
      </c>
      <c r="X7180" s="18" t="s">
        <v>42</v>
      </c>
      <c r="Y7180" s="18" t="s">
        <v>12266</v>
      </c>
      <c r="Z7180" s="18" t="s">
        <v>13441</v>
      </c>
      <c r="AA7180" s="21" t="str">
        <f>HYPERLINK("https://www.ncbi.nlm.nih.gov/nuccore/FJ665631","NCBI Nucleotide")</f>
        <v>NCBI Nucleotide</v>
      </c>
    </row>
    <row r="7181" spans="1:27" x14ac:dyDescent="0.35">
      <c r="A7181">
        <v>1012659</v>
      </c>
      <c r="B7181">
        <v>6688</v>
      </c>
      <c r="C7181">
        <v>2</v>
      </c>
      <c r="D7181" s="17" t="s">
        <v>10507</v>
      </c>
      <c r="E7181" s="17"/>
      <c r="F7181" s="17" t="s">
        <v>10780</v>
      </c>
      <c r="G7181" s="17"/>
      <c r="H7181" s="17" t="s">
        <v>12908</v>
      </c>
      <c r="I7181" s="17"/>
      <c r="J7181" s="17" t="s">
        <v>14018</v>
      </c>
      <c r="K7181" s="17"/>
      <c r="L7181" s="17" t="s">
        <v>14019</v>
      </c>
      <c r="M7181" s="17"/>
      <c r="N7181" s="17" t="s">
        <v>14020</v>
      </c>
      <c r="O7181" s="17"/>
      <c r="P7181" s="17" t="s">
        <v>16055</v>
      </c>
      <c r="Q7181" s="17"/>
      <c r="R7181" s="25" t="str">
        <f>HYPERLINK("https://ictv.global/taxonomy/taxondetails?taxnode_id=202303507","Eragrovirus curvulae")</f>
        <v>Eragrovirus curvulae</v>
      </c>
      <c r="S7181" s="18" t="s">
        <v>8141</v>
      </c>
      <c r="T7181" s="18" t="s">
        <v>16056</v>
      </c>
      <c r="U7181" s="18" t="s">
        <v>16060</v>
      </c>
      <c r="V7181" s="18" t="s">
        <v>16061</v>
      </c>
      <c r="W7181" s="18" t="s">
        <v>49219</v>
      </c>
      <c r="X7181" s="18" t="s">
        <v>42</v>
      </c>
      <c r="Y7181" s="18" t="s">
        <v>12266</v>
      </c>
      <c r="Z7181" s="18" t="s">
        <v>13441</v>
      </c>
      <c r="AA7181" s="21" t="str">
        <f>HYPERLINK("https://www.ncbi.nlm.nih.gov/nuccore/FJ665630","NCBI Nucleotide")</f>
        <v>NCBI Nucleotide</v>
      </c>
    </row>
    <row r="7182" spans="1:27" x14ac:dyDescent="0.35">
      <c r="A7182">
        <v>1008044</v>
      </c>
      <c r="B7182">
        <v>6689</v>
      </c>
      <c r="C7182">
        <v>1</v>
      </c>
      <c r="D7182" s="17" t="s">
        <v>10507</v>
      </c>
      <c r="E7182" s="17"/>
      <c r="F7182" s="17" t="s">
        <v>10780</v>
      </c>
      <c r="G7182" s="17"/>
      <c r="H7182" s="17" t="s">
        <v>12908</v>
      </c>
      <c r="I7182" s="17"/>
      <c r="J7182" s="17" t="s">
        <v>14018</v>
      </c>
      <c r="K7182" s="17"/>
      <c r="L7182" s="17" t="s">
        <v>14019</v>
      </c>
      <c r="M7182" s="17"/>
      <c r="N7182" s="17" t="s">
        <v>14020</v>
      </c>
      <c r="O7182" s="17"/>
      <c r="P7182" s="17" t="s">
        <v>16062</v>
      </c>
      <c r="Q7182" s="17"/>
      <c r="R7182" s="25" t="str">
        <f>HYPERLINK("https://ictv.global/taxonomy/taxondetails?taxnode_id=202306690","Grablovirus pruni")</f>
        <v>Grablovirus pruni</v>
      </c>
      <c r="S7182" s="18" t="s">
        <v>30</v>
      </c>
      <c r="T7182" s="18" t="s">
        <v>16067</v>
      </c>
      <c r="U7182" s="18" t="s">
        <v>16068</v>
      </c>
      <c r="V7182" s="18" t="s">
        <v>16069</v>
      </c>
      <c r="W7182" s="18" t="s">
        <v>16070</v>
      </c>
      <c r="X7182" s="18" t="s">
        <v>42</v>
      </c>
      <c r="Y7182" s="18" t="s">
        <v>12266</v>
      </c>
      <c r="Z7182" s="18" t="s">
        <v>13441</v>
      </c>
      <c r="AA7182" s="21" t="str">
        <f>HYPERLINK("https://www.ncbi.nlm.nih.gov/nuccore/MF510408","NCBI Nucleotide")</f>
        <v>NCBI Nucleotide</v>
      </c>
    </row>
    <row r="7183" spans="1:27" x14ac:dyDescent="0.35">
      <c r="A7183">
        <v>1008045</v>
      </c>
      <c r="B7183">
        <v>6690</v>
      </c>
      <c r="C7183">
        <v>1</v>
      </c>
      <c r="D7183" s="17" t="s">
        <v>10507</v>
      </c>
      <c r="E7183" s="17"/>
      <c r="F7183" s="17" t="s">
        <v>10780</v>
      </c>
      <c r="G7183" s="17"/>
      <c r="H7183" s="17" t="s">
        <v>12908</v>
      </c>
      <c r="I7183" s="17"/>
      <c r="J7183" s="17" t="s">
        <v>14018</v>
      </c>
      <c r="K7183" s="17"/>
      <c r="L7183" s="17" t="s">
        <v>14019</v>
      </c>
      <c r="M7183" s="17"/>
      <c r="N7183" s="17" t="s">
        <v>14020</v>
      </c>
      <c r="O7183" s="17"/>
      <c r="P7183" s="17" t="s">
        <v>16062</v>
      </c>
      <c r="Q7183" s="17"/>
      <c r="R7183" s="25" t="str">
        <f>HYPERLINK("https://ictv.global/taxonomy/taxondetails?taxnode_id=202306689","Grablovirus silvestris")</f>
        <v>Grablovirus silvestris</v>
      </c>
      <c r="S7183" s="18" t="s">
        <v>30</v>
      </c>
      <c r="T7183" s="18" t="s">
        <v>16071</v>
      </c>
      <c r="U7183" s="18" t="s">
        <v>16072</v>
      </c>
      <c r="V7183" s="18" t="s">
        <v>16073</v>
      </c>
      <c r="W7183" s="18" t="s">
        <v>16074</v>
      </c>
      <c r="X7183" s="18" t="s">
        <v>42</v>
      </c>
      <c r="Y7183" s="18" t="s">
        <v>12266</v>
      </c>
      <c r="Z7183" s="18" t="s">
        <v>13441</v>
      </c>
      <c r="AA7183" s="21" t="str">
        <f>HYPERLINK("https://www.ncbi.nlm.nih.gov/nuccore/MF185002","NCBI Nucleotide")</f>
        <v>NCBI Nucleotide</v>
      </c>
    </row>
    <row r="7184" spans="1:27" x14ac:dyDescent="0.35">
      <c r="A7184">
        <v>1008043</v>
      </c>
      <c r="B7184">
        <v>6691</v>
      </c>
      <c r="C7184">
        <v>1</v>
      </c>
      <c r="D7184" s="17" t="s">
        <v>10507</v>
      </c>
      <c r="E7184" s="17"/>
      <c r="F7184" s="17" t="s">
        <v>10780</v>
      </c>
      <c r="G7184" s="17"/>
      <c r="H7184" s="17" t="s">
        <v>12908</v>
      </c>
      <c r="I7184" s="17"/>
      <c r="J7184" s="17" t="s">
        <v>14018</v>
      </c>
      <c r="K7184" s="17"/>
      <c r="L7184" s="17" t="s">
        <v>14019</v>
      </c>
      <c r="M7184" s="17"/>
      <c r="N7184" s="17" t="s">
        <v>14020</v>
      </c>
      <c r="O7184" s="17"/>
      <c r="P7184" s="17" t="s">
        <v>16062</v>
      </c>
      <c r="Q7184" s="17"/>
      <c r="R7184" s="25" t="str">
        <f>HYPERLINK("https://ictv.global/taxonomy/taxondetails?taxnode_id=202303509","Grablovirus vitis")</f>
        <v>Grablovirus vitis</v>
      </c>
      <c r="S7184" s="18" t="s">
        <v>30</v>
      </c>
      <c r="T7184" s="18" t="s">
        <v>16063</v>
      </c>
      <c r="U7184" s="18" t="s">
        <v>16064</v>
      </c>
      <c r="V7184" s="18" t="s">
        <v>16065</v>
      </c>
      <c r="W7184" s="18" t="s">
        <v>16066</v>
      </c>
      <c r="X7184" s="18" t="s">
        <v>42</v>
      </c>
      <c r="Y7184" s="18" t="s">
        <v>12266</v>
      </c>
      <c r="Z7184" s="18" t="s">
        <v>13441</v>
      </c>
      <c r="AA7184" s="21" t="str">
        <f>HYPERLINK("https://www.ncbi.nlm.nih.gov/nuccore/JQ901105","NCBI Nucleotide")</f>
        <v>NCBI Nucleotide</v>
      </c>
    </row>
    <row r="7185" spans="1:27" x14ac:dyDescent="0.35">
      <c r="A7185">
        <v>1008048</v>
      </c>
      <c r="B7185">
        <v>6692</v>
      </c>
      <c r="C7185">
        <v>1</v>
      </c>
      <c r="D7185" s="17" t="s">
        <v>10507</v>
      </c>
      <c r="E7185" s="17"/>
      <c r="F7185" s="17" t="s">
        <v>10780</v>
      </c>
      <c r="G7185" s="17"/>
      <c r="H7185" s="17" t="s">
        <v>12908</v>
      </c>
      <c r="I7185" s="17"/>
      <c r="J7185" s="17" t="s">
        <v>14018</v>
      </c>
      <c r="K7185" s="17"/>
      <c r="L7185" s="17" t="s">
        <v>14019</v>
      </c>
      <c r="M7185" s="17"/>
      <c r="N7185" s="17" t="s">
        <v>14020</v>
      </c>
      <c r="O7185" s="17"/>
      <c r="P7185" s="17" t="s">
        <v>16075</v>
      </c>
      <c r="Q7185" s="17"/>
      <c r="R7185" s="25" t="str">
        <f>HYPERLINK("https://ictv.global/taxonomy/taxondetails?taxnode_id=202309171","Maldovirus junci")</f>
        <v>Maldovirus junci</v>
      </c>
      <c r="S7185" s="18" t="s">
        <v>30</v>
      </c>
      <c r="T7185" s="18" t="s">
        <v>16084</v>
      </c>
      <c r="U7185" s="18" t="s">
        <v>16085</v>
      </c>
      <c r="V7185" s="18" t="s">
        <v>16086</v>
      </c>
      <c r="W7185" s="18" t="s">
        <v>16087</v>
      </c>
      <c r="X7185" s="18" t="s">
        <v>42</v>
      </c>
      <c r="Y7185" s="18" t="s">
        <v>12266</v>
      </c>
      <c r="Z7185" s="18" t="s">
        <v>13441</v>
      </c>
      <c r="AA7185" s="21" t="str">
        <f>HYPERLINK("https://www.ncbi.nlm.nih.gov/nuccore/MG001958","NCBI Nucleotide")</f>
        <v>NCBI Nucleotide</v>
      </c>
    </row>
    <row r="7186" spans="1:27" x14ac:dyDescent="0.35">
      <c r="A7186">
        <v>1008046</v>
      </c>
      <c r="B7186">
        <v>6693</v>
      </c>
      <c r="C7186">
        <v>1</v>
      </c>
      <c r="D7186" s="17" t="s">
        <v>10507</v>
      </c>
      <c r="E7186" s="17"/>
      <c r="F7186" s="17" t="s">
        <v>10780</v>
      </c>
      <c r="G7186" s="17"/>
      <c r="H7186" s="17" t="s">
        <v>12908</v>
      </c>
      <c r="I7186" s="17"/>
      <c r="J7186" s="17" t="s">
        <v>14018</v>
      </c>
      <c r="K7186" s="17"/>
      <c r="L7186" s="17" t="s">
        <v>14019</v>
      </c>
      <c r="M7186" s="17"/>
      <c r="N7186" s="17" t="s">
        <v>14020</v>
      </c>
      <c r="O7186" s="17"/>
      <c r="P7186" s="17" t="s">
        <v>16075</v>
      </c>
      <c r="Q7186" s="17"/>
      <c r="R7186" s="25" t="str">
        <f>HYPERLINK("https://ictv.global/taxonomy/taxondetails?taxnode_id=202309169","Maldovirus mali")</f>
        <v>Maldovirus mali</v>
      </c>
      <c r="S7186" s="18" t="s">
        <v>30</v>
      </c>
      <c r="T7186" s="18" t="s">
        <v>16076</v>
      </c>
      <c r="U7186" s="18" t="s">
        <v>16077</v>
      </c>
      <c r="V7186" s="18" t="s">
        <v>16078</v>
      </c>
      <c r="W7186" s="18" t="s">
        <v>16079</v>
      </c>
      <c r="X7186" s="18" t="s">
        <v>42</v>
      </c>
      <c r="Y7186" s="18" t="s">
        <v>12266</v>
      </c>
      <c r="Z7186" s="18" t="s">
        <v>13441</v>
      </c>
      <c r="AA7186" s="21" t="str">
        <f>HYPERLINK("https://www.ncbi.nlm.nih.gov/nuccore/KM386645","NCBI Nucleotide")</f>
        <v>NCBI Nucleotide</v>
      </c>
    </row>
    <row r="7187" spans="1:27" x14ac:dyDescent="0.35">
      <c r="A7187">
        <v>1008047</v>
      </c>
      <c r="B7187">
        <v>6694</v>
      </c>
      <c r="C7187">
        <v>1</v>
      </c>
      <c r="D7187" s="17" t="s">
        <v>10507</v>
      </c>
      <c r="E7187" s="17"/>
      <c r="F7187" s="17" t="s">
        <v>10780</v>
      </c>
      <c r="G7187" s="17"/>
      <c r="H7187" s="17" t="s">
        <v>12908</v>
      </c>
      <c r="I7187" s="17"/>
      <c r="J7187" s="17" t="s">
        <v>14018</v>
      </c>
      <c r="K7187" s="17"/>
      <c r="L7187" s="17" t="s">
        <v>14019</v>
      </c>
      <c r="M7187" s="17"/>
      <c r="N7187" s="17" t="s">
        <v>14020</v>
      </c>
      <c r="O7187" s="17"/>
      <c r="P7187" s="17" t="s">
        <v>16075</v>
      </c>
      <c r="Q7187" s="17"/>
      <c r="R7187" s="25" t="str">
        <f>HYPERLINK("https://ictv.global/taxonomy/taxondetails?taxnode_id=202309170","Maldovirus vitis")</f>
        <v>Maldovirus vitis</v>
      </c>
      <c r="S7187" s="18" t="s">
        <v>30</v>
      </c>
      <c r="T7187" s="18" t="s">
        <v>16080</v>
      </c>
      <c r="U7187" s="18" t="s">
        <v>16081</v>
      </c>
      <c r="V7187" s="18" t="s">
        <v>16082</v>
      </c>
      <c r="W7187" s="18" t="s">
        <v>16083</v>
      </c>
      <c r="X7187" s="18" t="s">
        <v>42</v>
      </c>
      <c r="Y7187" s="18" t="s">
        <v>12266</v>
      </c>
      <c r="Z7187" s="18" t="s">
        <v>13441</v>
      </c>
      <c r="AA7187" s="21" t="str">
        <f>HYPERLINK("https://www.ncbi.nlm.nih.gov/nuccore/KX618694","NCBI Nucleotide")</f>
        <v>NCBI Nucleotide</v>
      </c>
    </row>
    <row r="7188" spans="1:27" x14ac:dyDescent="0.35">
      <c r="A7188">
        <v>1008051</v>
      </c>
      <c r="B7188">
        <v>6695</v>
      </c>
      <c r="C7188">
        <v>1</v>
      </c>
      <c r="D7188" s="17" t="s">
        <v>10507</v>
      </c>
      <c r="E7188" s="17"/>
      <c r="F7188" s="17" t="s">
        <v>10780</v>
      </c>
      <c r="G7188" s="17"/>
      <c r="H7188" s="17" t="s">
        <v>12908</v>
      </c>
      <c r="I7188" s="17"/>
      <c r="J7188" s="17" t="s">
        <v>14018</v>
      </c>
      <c r="K7188" s="17"/>
      <c r="L7188" s="17" t="s">
        <v>14019</v>
      </c>
      <c r="M7188" s="17"/>
      <c r="N7188" s="17" t="s">
        <v>14020</v>
      </c>
      <c r="O7188" s="17"/>
      <c r="P7188" s="17" t="s">
        <v>16088</v>
      </c>
      <c r="Q7188" s="17"/>
      <c r="R7188" s="25" t="str">
        <f>HYPERLINK("https://ictv.global/taxonomy/taxondetails?taxnode_id=202303513","Mastrevirus arietini")</f>
        <v>Mastrevirus arietini</v>
      </c>
      <c r="S7188" s="18" t="s">
        <v>30</v>
      </c>
      <c r="T7188" s="18" t="s">
        <v>16097</v>
      </c>
      <c r="U7188" s="18" t="s">
        <v>16098</v>
      </c>
      <c r="V7188" s="18" t="s">
        <v>16099</v>
      </c>
      <c r="W7188" s="18" t="s">
        <v>16100</v>
      </c>
      <c r="X7188" s="18" t="s">
        <v>42</v>
      </c>
      <c r="Y7188" s="18" t="s">
        <v>12266</v>
      </c>
      <c r="Z7188" s="18" t="s">
        <v>13441</v>
      </c>
      <c r="AA7188" s="21" t="str">
        <f>HYPERLINK("https://www.ncbi.nlm.nih.gov/nuccore/JN989422","NCBI Nucleotide")</f>
        <v>NCBI Nucleotide</v>
      </c>
    </row>
    <row r="7189" spans="1:27" x14ac:dyDescent="0.35">
      <c r="A7189">
        <v>1008072</v>
      </c>
      <c r="B7189">
        <v>6696</v>
      </c>
      <c r="C7189">
        <v>1</v>
      </c>
      <c r="D7189" s="17" t="s">
        <v>10507</v>
      </c>
      <c r="E7189" s="17"/>
      <c r="F7189" s="17" t="s">
        <v>10780</v>
      </c>
      <c r="G7189" s="17"/>
      <c r="H7189" s="17" t="s">
        <v>12908</v>
      </c>
      <c r="I7189" s="17"/>
      <c r="J7189" s="17" t="s">
        <v>14018</v>
      </c>
      <c r="K7189" s="17"/>
      <c r="L7189" s="17" t="s">
        <v>14019</v>
      </c>
      <c r="M7189" s="17"/>
      <c r="N7189" s="17" t="s">
        <v>14020</v>
      </c>
      <c r="O7189" s="17"/>
      <c r="P7189" s="17" t="s">
        <v>16088</v>
      </c>
      <c r="Q7189" s="17"/>
      <c r="R7189" s="25" t="str">
        <f>HYPERLINK("https://ictv.global/taxonomy/taxondetails?taxnode_id=202303527","Mastrevirus avenae")</f>
        <v>Mastrevirus avenae</v>
      </c>
      <c r="S7189" s="18" t="s">
        <v>30</v>
      </c>
      <c r="T7189" s="18" t="s">
        <v>16216</v>
      </c>
      <c r="U7189" s="18" t="s">
        <v>16217</v>
      </c>
      <c r="V7189" s="18" t="s">
        <v>16218</v>
      </c>
      <c r="W7189" s="18" t="s">
        <v>16219</v>
      </c>
      <c r="X7189" s="18" t="s">
        <v>42</v>
      </c>
      <c r="Y7189" s="18" t="s">
        <v>12266</v>
      </c>
      <c r="Z7189" s="18" t="s">
        <v>13441</v>
      </c>
      <c r="AA7189" s="21" t="str">
        <f>HYPERLINK("https://www.ncbi.nlm.nih.gov/nuccore/AM296025","NCBI Nucleotide")</f>
        <v>NCBI Nucleotide</v>
      </c>
    </row>
    <row r="7190" spans="1:27" x14ac:dyDescent="0.35">
      <c r="A7190">
        <v>1008049</v>
      </c>
      <c r="B7190">
        <v>6697</v>
      </c>
      <c r="C7190">
        <v>1</v>
      </c>
      <c r="D7190" s="17" t="s">
        <v>10507</v>
      </c>
      <c r="E7190" s="17"/>
      <c r="F7190" s="17" t="s">
        <v>10780</v>
      </c>
      <c r="G7190" s="17"/>
      <c r="H7190" s="17" t="s">
        <v>12908</v>
      </c>
      <c r="I7190" s="17"/>
      <c r="J7190" s="17" t="s">
        <v>14018</v>
      </c>
      <c r="K7190" s="17"/>
      <c r="L7190" s="17" t="s">
        <v>14019</v>
      </c>
      <c r="M7190" s="17"/>
      <c r="N7190" s="17" t="s">
        <v>14020</v>
      </c>
      <c r="O7190" s="17"/>
      <c r="P7190" s="17" t="s">
        <v>16088</v>
      </c>
      <c r="Q7190" s="17"/>
      <c r="R7190" s="25" t="str">
        <f>HYPERLINK("https://ictv.global/taxonomy/taxondetails?taxnode_id=202303511","Mastrevirus axonopi")</f>
        <v>Mastrevirus axonopi</v>
      </c>
      <c r="S7190" s="18" t="s">
        <v>30</v>
      </c>
      <c r="T7190" s="18" t="s">
        <v>16089</v>
      </c>
      <c r="U7190" s="18" t="s">
        <v>16090</v>
      </c>
      <c r="V7190" s="18" t="s">
        <v>16091</v>
      </c>
      <c r="W7190" s="18" t="s">
        <v>16092</v>
      </c>
      <c r="X7190" s="18" t="s">
        <v>42</v>
      </c>
      <c r="Y7190" s="18" t="s">
        <v>12266</v>
      </c>
      <c r="Z7190" s="18" t="s">
        <v>13441</v>
      </c>
      <c r="AA7190" s="21" t="str">
        <f>HYPERLINK("https://www.ncbi.nlm.nih.gov/nuccore/KJ437671","NCBI Nucleotide")</f>
        <v>NCBI Nucleotide</v>
      </c>
    </row>
    <row r="7191" spans="1:27" x14ac:dyDescent="0.35">
      <c r="A7191">
        <v>1008067</v>
      </c>
      <c r="B7191">
        <v>6698</v>
      </c>
      <c r="C7191">
        <v>1</v>
      </c>
      <c r="D7191" s="17" t="s">
        <v>10507</v>
      </c>
      <c r="E7191" s="17"/>
      <c r="F7191" s="17" t="s">
        <v>10780</v>
      </c>
      <c r="G7191" s="17"/>
      <c r="H7191" s="17" t="s">
        <v>12908</v>
      </c>
      <c r="I7191" s="17"/>
      <c r="J7191" s="17" t="s">
        <v>14018</v>
      </c>
      <c r="K7191" s="17"/>
      <c r="L7191" s="17" t="s">
        <v>14019</v>
      </c>
      <c r="M7191" s="17"/>
      <c r="N7191" s="17" t="s">
        <v>14020</v>
      </c>
      <c r="O7191" s="17"/>
      <c r="P7191" s="17" t="s">
        <v>16088</v>
      </c>
      <c r="Q7191" s="17"/>
      <c r="R7191" s="25" t="str">
        <f>HYPERLINK("https://ictv.global/taxonomy/taxondetails?taxnode_id=202303524","Mastrevirus bourbonense")</f>
        <v>Mastrevirus bourbonense</v>
      </c>
      <c r="S7191" s="18" t="s">
        <v>30</v>
      </c>
      <c r="T7191" s="18" t="s">
        <v>16176</v>
      </c>
      <c r="U7191" s="18" t="s">
        <v>16177</v>
      </c>
      <c r="V7191" s="18" t="s">
        <v>16178</v>
      </c>
      <c r="W7191" s="18" t="s">
        <v>16179</v>
      </c>
      <c r="X7191" s="18" t="s">
        <v>42</v>
      </c>
      <c r="Y7191" s="18" t="s">
        <v>12266</v>
      </c>
      <c r="Z7191" s="18" t="s">
        <v>13441</v>
      </c>
      <c r="AA7191" s="21" t="str">
        <f>HYPERLINK("https://www.ncbi.nlm.nih.gov/nuccore/JQ624879","NCBI Nucleotide")</f>
        <v>NCBI Nucleotide</v>
      </c>
    </row>
    <row r="7192" spans="1:27" x14ac:dyDescent="0.35">
      <c r="A7192">
        <v>1008050</v>
      </c>
      <c r="B7192">
        <v>6699</v>
      </c>
      <c r="C7192">
        <v>1</v>
      </c>
      <c r="D7192" s="17" t="s">
        <v>10507</v>
      </c>
      <c r="E7192" s="17"/>
      <c r="F7192" s="17" t="s">
        <v>10780</v>
      </c>
      <c r="G7192" s="17"/>
      <c r="H7192" s="17" t="s">
        <v>12908</v>
      </c>
      <c r="I7192" s="17"/>
      <c r="J7192" s="17" t="s">
        <v>14018</v>
      </c>
      <c r="K7192" s="17"/>
      <c r="L7192" s="17" t="s">
        <v>14019</v>
      </c>
      <c r="M7192" s="17"/>
      <c r="N7192" s="17" t="s">
        <v>14020</v>
      </c>
      <c r="O7192" s="17"/>
      <c r="P7192" s="17" t="s">
        <v>16088</v>
      </c>
      <c r="Q7192" s="17"/>
      <c r="R7192" s="25" t="str">
        <f>HYPERLINK("https://ictv.global/taxonomy/taxondetails?taxnode_id=202303512","Mastrevirus bromi")</f>
        <v>Mastrevirus bromi</v>
      </c>
      <c r="S7192" s="18" t="s">
        <v>30</v>
      </c>
      <c r="T7192" s="18" t="s">
        <v>16093</v>
      </c>
      <c r="U7192" s="18" t="s">
        <v>16094</v>
      </c>
      <c r="V7192" s="18" t="s">
        <v>16095</v>
      </c>
      <c r="W7192" s="18" t="s">
        <v>16096</v>
      </c>
      <c r="X7192" s="18" t="s">
        <v>42</v>
      </c>
      <c r="Y7192" s="18" t="s">
        <v>12266</v>
      </c>
      <c r="Z7192" s="18" t="s">
        <v>13441</v>
      </c>
      <c r="AA7192" s="21" t="str">
        <f>HYPERLINK("https://www.ncbi.nlm.nih.gov/nuccore/HQ113104","NCBI Nucleotide")</f>
        <v>NCBI Nucleotide</v>
      </c>
    </row>
    <row r="7193" spans="1:27" x14ac:dyDescent="0.35">
      <c r="A7193">
        <v>1008058</v>
      </c>
      <c r="B7193">
        <v>6700</v>
      </c>
      <c r="C7193">
        <v>1</v>
      </c>
      <c r="D7193" s="17" t="s">
        <v>10507</v>
      </c>
      <c r="E7193" s="17"/>
      <c r="F7193" s="17" t="s">
        <v>10780</v>
      </c>
      <c r="G7193" s="17"/>
      <c r="H7193" s="17" t="s">
        <v>12908</v>
      </c>
      <c r="I7193" s="17"/>
      <c r="J7193" s="17" t="s">
        <v>14018</v>
      </c>
      <c r="K7193" s="17"/>
      <c r="L7193" s="17" t="s">
        <v>14019</v>
      </c>
      <c r="M7193" s="17"/>
      <c r="N7193" s="17" t="s">
        <v>14020</v>
      </c>
      <c r="O7193" s="17"/>
      <c r="P7193" s="17" t="s">
        <v>16088</v>
      </c>
      <c r="Q7193" s="17"/>
      <c r="R7193" s="25" t="str">
        <f>HYPERLINK("https://ictv.global/taxonomy/taxondetails?taxnode_id=202303518","Mastrevirus chloris")</f>
        <v>Mastrevirus chloris</v>
      </c>
      <c r="S7193" s="18" t="s">
        <v>30</v>
      </c>
      <c r="T7193" s="18" t="s">
        <v>16139</v>
      </c>
      <c r="U7193" s="18" t="s">
        <v>16140</v>
      </c>
      <c r="V7193" s="18" t="s">
        <v>16141</v>
      </c>
      <c r="W7193" s="18" t="s">
        <v>16142</v>
      </c>
      <c r="X7193" s="18" t="s">
        <v>42</v>
      </c>
      <c r="Y7193" s="18" t="s">
        <v>12266</v>
      </c>
      <c r="Z7193" s="18" t="s">
        <v>13441</v>
      </c>
      <c r="AA7193" s="21" t="str">
        <f>HYPERLINK("https://www.ncbi.nlm.nih.gov/nuccore/M20021","NCBI Nucleotide")</f>
        <v>NCBI Nucleotide</v>
      </c>
    </row>
    <row r="7194" spans="1:27" x14ac:dyDescent="0.35">
      <c r="A7194">
        <v>1008052</v>
      </c>
      <c r="B7194">
        <v>6701</v>
      </c>
      <c r="C7194">
        <v>1</v>
      </c>
      <c r="D7194" s="17" t="s">
        <v>10507</v>
      </c>
      <c r="E7194" s="17"/>
      <c r="F7194" s="17" t="s">
        <v>10780</v>
      </c>
      <c r="G7194" s="17"/>
      <c r="H7194" s="17" t="s">
        <v>12908</v>
      </c>
      <c r="I7194" s="17"/>
      <c r="J7194" s="17" t="s">
        <v>14018</v>
      </c>
      <c r="K7194" s="17"/>
      <c r="L7194" s="17" t="s">
        <v>14019</v>
      </c>
      <c r="M7194" s="17"/>
      <c r="N7194" s="17" t="s">
        <v>14020</v>
      </c>
      <c r="O7194" s="17"/>
      <c r="P7194" s="17" t="s">
        <v>16088</v>
      </c>
      <c r="Q7194" s="17"/>
      <c r="R7194" s="25" t="str">
        <f>HYPERLINK("https://ictv.global/taxonomy/taxondetails?taxnode_id=202303514","Mastrevirus cicerosis")</f>
        <v>Mastrevirus cicerosis</v>
      </c>
      <c r="S7194" s="18" t="s">
        <v>30</v>
      </c>
      <c r="T7194" s="18" t="s">
        <v>16101</v>
      </c>
      <c r="U7194" s="18" t="s">
        <v>16102</v>
      </c>
      <c r="V7194" s="18" t="s">
        <v>16103</v>
      </c>
      <c r="W7194" s="18" t="s">
        <v>16104</v>
      </c>
      <c r="X7194" s="18" t="s">
        <v>42</v>
      </c>
      <c r="Y7194" s="18" t="s">
        <v>12266</v>
      </c>
      <c r="Z7194" s="18" t="s">
        <v>13441</v>
      </c>
      <c r="AA7194" s="21" t="str">
        <f>HYPERLINK("https://www.ncbi.nlm.nih.gov/nuccore/GU256530","NCBI Nucleotide")</f>
        <v>NCBI Nucleotide</v>
      </c>
    </row>
    <row r="7195" spans="1:27" x14ac:dyDescent="0.35">
      <c r="A7195">
        <v>1012660</v>
      </c>
      <c r="B7195">
        <v>6701</v>
      </c>
      <c r="C7195">
        <v>2</v>
      </c>
      <c r="D7195" s="17" t="s">
        <v>10507</v>
      </c>
      <c r="E7195" s="17"/>
      <c r="F7195" s="17" t="s">
        <v>10780</v>
      </c>
      <c r="G7195" s="17"/>
      <c r="H7195" s="17" t="s">
        <v>12908</v>
      </c>
      <c r="I7195" s="17"/>
      <c r="J7195" s="17" t="s">
        <v>14018</v>
      </c>
      <c r="K7195" s="17"/>
      <c r="L7195" s="17" t="s">
        <v>14019</v>
      </c>
      <c r="M7195" s="17"/>
      <c r="N7195" s="17" t="s">
        <v>14020</v>
      </c>
      <c r="O7195" s="17"/>
      <c r="P7195" s="17" t="s">
        <v>16088</v>
      </c>
      <c r="Q7195" s="17"/>
      <c r="R7195" s="25" t="str">
        <f>HYPERLINK("https://ictv.global/taxonomy/taxondetails?taxnode_id=202303514","Mastrevirus cicerosis")</f>
        <v>Mastrevirus cicerosis</v>
      </c>
      <c r="S7195" s="18" t="s">
        <v>8141</v>
      </c>
      <c r="T7195" s="18" t="s">
        <v>16101</v>
      </c>
      <c r="U7195" s="18" t="s">
        <v>16105</v>
      </c>
      <c r="V7195" s="18" t="s">
        <v>16106</v>
      </c>
      <c r="W7195" s="18" t="s">
        <v>49220</v>
      </c>
      <c r="X7195" s="18" t="s">
        <v>42</v>
      </c>
      <c r="Y7195" s="18" t="s">
        <v>12266</v>
      </c>
      <c r="Z7195" s="18" t="s">
        <v>13441</v>
      </c>
      <c r="AA7195" s="21" t="str">
        <f>HYPERLINK("https://www.ncbi.nlm.nih.gov/nuccore/GU256531","NCBI Nucleotide")</f>
        <v>NCBI Nucleotide</v>
      </c>
    </row>
    <row r="7196" spans="1:27" x14ac:dyDescent="0.35">
      <c r="A7196">
        <v>1012661</v>
      </c>
      <c r="B7196">
        <v>6701</v>
      </c>
      <c r="C7196">
        <v>3</v>
      </c>
      <c r="D7196" s="17" t="s">
        <v>10507</v>
      </c>
      <c r="E7196" s="17"/>
      <c r="F7196" s="17" t="s">
        <v>10780</v>
      </c>
      <c r="G7196" s="17"/>
      <c r="H7196" s="17" t="s">
        <v>12908</v>
      </c>
      <c r="I7196" s="17"/>
      <c r="J7196" s="17" t="s">
        <v>14018</v>
      </c>
      <c r="K7196" s="17"/>
      <c r="L7196" s="17" t="s">
        <v>14019</v>
      </c>
      <c r="M7196" s="17"/>
      <c r="N7196" s="17" t="s">
        <v>14020</v>
      </c>
      <c r="O7196" s="17"/>
      <c r="P7196" s="17" t="s">
        <v>16088</v>
      </c>
      <c r="Q7196" s="17"/>
      <c r="R7196" s="25" t="str">
        <f>HYPERLINK("https://ictv.global/taxonomy/taxondetails?taxnode_id=202303514","Mastrevirus cicerosis")</f>
        <v>Mastrevirus cicerosis</v>
      </c>
      <c r="S7196" s="18" t="s">
        <v>8141</v>
      </c>
      <c r="T7196" s="18" t="s">
        <v>16101</v>
      </c>
      <c r="U7196" s="18" t="s">
        <v>16107</v>
      </c>
      <c r="V7196" s="18" t="s">
        <v>16108</v>
      </c>
      <c r="W7196" s="18" t="s">
        <v>49221</v>
      </c>
      <c r="X7196" s="18" t="s">
        <v>42</v>
      </c>
      <c r="Y7196" s="18" t="s">
        <v>12266</v>
      </c>
      <c r="Z7196" s="18" t="s">
        <v>13441</v>
      </c>
      <c r="AA7196" s="21" t="str">
        <f>HYPERLINK("https://www.ncbi.nlm.nih.gov/nuccore/JN989416","NCBI Nucleotide")</f>
        <v>NCBI Nucleotide</v>
      </c>
    </row>
    <row r="7197" spans="1:27" x14ac:dyDescent="0.35">
      <c r="A7197">
        <v>1012662</v>
      </c>
      <c r="B7197">
        <v>6701</v>
      </c>
      <c r="C7197">
        <v>4</v>
      </c>
      <c r="D7197" s="17" t="s">
        <v>10507</v>
      </c>
      <c r="E7197" s="17"/>
      <c r="F7197" s="17" t="s">
        <v>10780</v>
      </c>
      <c r="G7197" s="17"/>
      <c r="H7197" s="17" t="s">
        <v>12908</v>
      </c>
      <c r="I7197" s="17"/>
      <c r="J7197" s="17" t="s">
        <v>14018</v>
      </c>
      <c r="K7197" s="17"/>
      <c r="L7197" s="17" t="s">
        <v>14019</v>
      </c>
      <c r="M7197" s="17"/>
      <c r="N7197" s="17" t="s">
        <v>14020</v>
      </c>
      <c r="O7197" s="17"/>
      <c r="P7197" s="17" t="s">
        <v>16088</v>
      </c>
      <c r="Q7197" s="17"/>
      <c r="R7197" s="25" t="str">
        <f>HYPERLINK("https://ictv.global/taxonomy/taxondetails?taxnode_id=202303514","Mastrevirus cicerosis")</f>
        <v>Mastrevirus cicerosis</v>
      </c>
      <c r="S7197" s="18" t="s">
        <v>8141</v>
      </c>
      <c r="T7197" s="18" t="s">
        <v>16101</v>
      </c>
      <c r="U7197" s="18" t="s">
        <v>16109</v>
      </c>
      <c r="V7197" s="18" t="s">
        <v>16110</v>
      </c>
      <c r="W7197" s="18" t="s">
        <v>49222</v>
      </c>
      <c r="X7197" s="18" t="s">
        <v>42</v>
      </c>
      <c r="Y7197" s="18" t="s">
        <v>12266</v>
      </c>
      <c r="Z7197" s="18" t="s">
        <v>13441</v>
      </c>
      <c r="AA7197" s="21" t="str">
        <f>HYPERLINK("https://www.ncbi.nlm.nih.gov/nuccore/JN989426","NCBI Nucleotide")</f>
        <v>NCBI Nucleotide</v>
      </c>
    </row>
    <row r="7198" spans="1:27" x14ac:dyDescent="0.35">
      <c r="A7198">
        <v>1008053</v>
      </c>
      <c r="B7198">
        <v>6702</v>
      </c>
      <c r="C7198">
        <v>1</v>
      </c>
      <c r="D7198" s="17" t="s">
        <v>10507</v>
      </c>
      <c r="E7198" s="17"/>
      <c r="F7198" s="17" t="s">
        <v>10780</v>
      </c>
      <c r="G7198" s="17"/>
      <c r="H7198" s="17" t="s">
        <v>12908</v>
      </c>
      <c r="I7198" s="17"/>
      <c r="J7198" s="17" t="s">
        <v>14018</v>
      </c>
      <c r="K7198" s="17"/>
      <c r="L7198" s="17" t="s">
        <v>14019</v>
      </c>
      <c r="M7198" s="17"/>
      <c r="N7198" s="17" t="s">
        <v>14020</v>
      </c>
      <c r="O7198" s="17"/>
      <c r="P7198" s="17" t="s">
        <v>16088</v>
      </c>
      <c r="Q7198" s="17"/>
      <c r="R7198" s="25" t="str">
        <f>HYPERLINK("https://ictv.global/taxonomy/taxondetails?taxnode_id=202303515","Mastrevirus cicerparvi")</f>
        <v>Mastrevirus cicerparvi</v>
      </c>
      <c r="S7198" s="18" t="s">
        <v>30</v>
      </c>
      <c r="T7198" s="18" t="s">
        <v>16111</v>
      </c>
      <c r="U7198" s="18" t="s">
        <v>16112</v>
      </c>
      <c r="V7198" s="18" t="s">
        <v>16113</v>
      </c>
      <c r="W7198" s="18" t="s">
        <v>16114</v>
      </c>
      <c r="X7198" s="18" t="s">
        <v>42</v>
      </c>
      <c r="Y7198" s="18" t="s">
        <v>12266</v>
      </c>
      <c r="Z7198" s="18" t="s">
        <v>13441</v>
      </c>
      <c r="AA7198" s="21" t="str">
        <f>HYPERLINK("https://www.ncbi.nlm.nih.gov/nuccore/Y11023","NCBI Nucleotide")</f>
        <v>NCBI Nucleotide</v>
      </c>
    </row>
    <row r="7199" spans="1:27" x14ac:dyDescent="0.35">
      <c r="A7199">
        <v>1012663</v>
      </c>
      <c r="B7199">
        <v>6702</v>
      </c>
      <c r="C7199">
        <v>2</v>
      </c>
      <c r="D7199" s="17" t="s">
        <v>10507</v>
      </c>
      <c r="E7199" s="17"/>
      <c r="F7199" s="17" t="s">
        <v>10780</v>
      </c>
      <c r="G7199" s="17"/>
      <c r="H7199" s="17" t="s">
        <v>12908</v>
      </c>
      <c r="I7199" s="17"/>
      <c r="J7199" s="17" t="s">
        <v>14018</v>
      </c>
      <c r="K7199" s="17"/>
      <c r="L7199" s="17" t="s">
        <v>14019</v>
      </c>
      <c r="M7199" s="17"/>
      <c r="N7199" s="17" t="s">
        <v>14020</v>
      </c>
      <c r="O7199" s="17"/>
      <c r="P7199" s="17" t="s">
        <v>16088</v>
      </c>
      <c r="Q7199" s="17"/>
      <c r="R7199" s="25" t="str">
        <f>HYPERLINK("https://ictv.global/taxonomy/taxondetails?taxnode_id=202303515","Mastrevirus cicerparvi")</f>
        <v>Mastrevirus cicerparvi</v>
      </c>
      <c r="S7199" s="18" t="s">
        <v>8141</v>
      </c>
      <c r="T7199" s="18" t="s">
        <v>16111</v>
      </c>
      <c r="U7199" s="18" t="s">
        <v>16115</v>
      </c>
      <c r="V7199" s="18" t="s">
        <v>16116</v>
      </c>
      <c r="W7199" s="18" t="s">
        <v>49223</v>
      </c>
      <c r="X7199" s="18" t="s">
        <v>42</v>
      </c>
      <c r="Y7199" s="18" t="s">
        <v>12266</v>
      </c>
      <c r="Z7199" s="18" t="s">
        <v>13441</v>
      </c>
      <c r="AA7199" s="21" t="str">
        <f>HYPERLINK("https://www.ncbi.nlm.nih.gov/nuccore/FR687959","NCBI Nucleotide")</f>
        <v>NCBI Nucleotide</v>
      </c>
    </row>
    <row r="7200" spans="1:27" x14ac:dyDescent="0.35">
      <c r="A7200">
        <v>1012664</v>
      </c>
      <c r="B7200">
        <v>6702</v>
      </c>
      <c r="C7200">
        <v>3</v>
      </c>
      <c r="D7200" s="17" t="s">
        <v>10507</v>
      </c>
      <c r="E7200" s="17"/>
      <c r="F7200" s="17" t="s">
        <v>10780</v>
      </c>
      <c r="G7200" s="17"/>
      <c r="H7200" s="17" t="s">
        <v>12908</v>
      </c>
      <c r="I7200" s="17"/>
      <c r="J7200" s="17" t="s">
        <v>14018</v>
      </c>
      <c r="K7200" s="17"/>
      <c r="L7200" s="17" t="s">
        <v>14019</v>
      </c>
      <c r="M7200" s="17"/>
      <c r="N7200" s="17" t="s">
        <v>14020</v>
      </c>
      <c r="O7200" s="17"/>
      <c r="P7200" s="17" t="s">
        <v>16088</v>
      </c>
      <c r="Q7200" s="17"/>
      <c r="R7200" s="25" t="str">
        <f>HYPERLINK("https://ictv.global/taxonomy/taxondetails?taxnode_id=202303515","Mastrevirus cicerparvi")</f>
        <v>Mastrevirus cicerparvi</v>
      </c>
      <c r="S7200" s="18" t="s">
        <v>8141</v>
      </c>
      <c r="T7200" s="18" t="s">
        <v>16111</v>
      </c>
      <c r="U7200" s="18" t="s">
        <v>16117</v>
      </c>
      <c r="V7200" s="18" t="s">
        <v>16118</v>
      </c>
      <c r="W7200" s="18" t="s">
        <v>49224</v>
      </c>
      <c r="X7200" s="18" t="s">
        <v>42</v>
      </c>
      <c r="Y7200" s="18" t="s">
        <v>12266</v>
      </c>
      <c r="Z7200" s="18" t="s">
        <v>13441</v>
      </c>
      <c r="AA7200" s="21" t="str">
        <f>HYPERLINK("https://www.ncbi.nlm.nih.gov/nuccore/AM849097","NCBI Nucleotide")</f>
        <v>NCBI Nucleotide</v>
      </c>
    </row>
    <row r="7201" spans="1:27" x14ac:dyDescent="0.35">
      <c r="A7201">
        <v>1012665</v>
      </c>
      <c r="B7201">
        <v>6702</v>
      </c>
      <c r="C7201">
        <v>4</v>
      </c>
      <c r="D7201" s="17" t="s">
        <v>10507</v>
      </c>
      <c r="E7201" s="17"/>
      <c r="F7201" s="17" t="s">
        <v>10780</v>
      </c>
      <c r="G7201" s="17"/>
      <c r="H7201" s="17" t="s">
        <v>12908</v>
      </c>
      <c r="I7201" s="17"/>
      <c r="J7201" s="17" t="s">
        <v>14018</v>
      </c>
      <c r="K7201" s="17"/>
      <c r="L7201" s="17" t="s">
        <v>14019</v>
      </c>
      <c r="M7201" s="17"/>
      <c r="N7201" s="17" t="s">
        <v>14020</v>
      </c>
      <c r="O7201" s="17"/>
      <c r="P7201" s="17" t="s">
        <v>16088</v>
      </c>
      <c r="Q7201" s="17"/>
      <c r="R7201" s="25" t="str">
        <f>HYPERLINK("https://ictv.global/taxonomy/taxondetails?taxnode_id=202303515","Mastrevirus cicerparvi")</f>
        <v>Mastrevirus cicerparvi</v>
      </c>
      <c r="S7201" s="18" t="s">
        <v>8141</v>
      </c>
      <c r="T7201" s="18" t="s">
        <v>16111</v>
      </c>
      <c r="U7201" s="18" t="s">
        <v>16119</v>
      </c>
      <c r="V7201" s="18" t="s">
        <v>16120</v>
      </c>
      <c r="W7201" s="18" t="s">
        <v>49225</v>
      </c>
      <c r="X7201" s="18" t="s">
        <v>42</v>
      </c>
      <c r="Y7201" s="18" t="s">
        <v>12266</v>
      </c>
      <c r="Z7201" s="18" t="s">
        <v>13441</v>
      </c>
      <c r="AA7201" s="21" t="str">
        <f>HYPERLINK("https://www.ncbi.nlm.nih.gov/nuccore/FR687960","NCBI Nucleotide")</f>
        <v>NCBI Nucleotide</v>
      </c>
    </row>
    <row r="7202" spans="1:27" x14ac:dyDescent="0.35">
      <c r="A7202">
        <v>1012666</v>
      </c>
      <c r="B7202">
        <v>6702</v>
      </c>
      <c r="C7202">
        <v>5</v>
      </c>
      <c r="D7202" s="17" t="s">
        <v>10507</v>
      </c>
      <c r="E7202" s="17"/>
      <c r="F7202" s="17" t="s">
        <v>10780</v>
      </c>
      <c r="G7202" s="17"/>
      <c r="H7202" s="17" t="s">
        <v>12908</v>
      </c>
      <c r="I7202" s="17"/>
      <c r="J7202" s="17" t="s">
        <v>14018</v>
      </c>
      <c r="K7202" s="17"/>
      <c r="L7202" s="17" t="s">
        <v>14019</v>
      </c>
      <c r="M7202" s="17"/>
      <c r="N7202" s="17" t="s">
        <v>14020</v>
      </c>
      <c r="O7202" s="17"/>
      <c r="P7202" s="17" t="s">
        <v>16088</v>
      </c>
      <c r="Q7202" s="17"/>
      <c r="R7202" s="25" t="str">
        <f>HYPERLINK("https://ictv.global/taxonomy/taxondetails?taxnode_id=202303515","Mastrevirus cicerparvi")</f>
        <v>Mastrevirus cicerparvi</v>
      </c>
      <c r="S7202" s="18" t="s">
        <v>8141</v>
      </c>
      <c r="T7202" s="18" t="s">
        <v>16111</v>
      </c>
      <c r="U7202" s="18" t="s">
        <v>16121</v>
      </c>
      <c r="V7202" s="18" t="s">
        <v>16122</v>
      </c>
      <c r="W7202" s="18" t="s">
        <v>49226</v>
      </c>
      <c r="X7202" s="18" t="s">
        <v>42</v>
      </c>
      <c r="Y7202" s="18" t="s">
        <v>12266</v>
      </c>
      <c r="Z7202" s="18" t="s">
        <v>13441</v>
      </c>
      <c r="AA7202" s="21" t="str">
        <f>HYPERLINK("https://www.ncbi.nlm.nih.gov/nuccore/AM933135","NCBI Nucleotide")</f>
        <v>NCBI Nucleotide</v>
      </c>
    </row>
    <row r="7203" spans="1:27" x14ac:dyDescent="0.35">
      <c r="A7203">
        <v>1008059</v>
      </c>
      <c r="B7203">
        <v>6703</v>
      </c>
      <c r="C7203">
        <v>1</v>
      </c>
      <c r="D7203" s="17" t="s">
        <v>10507</v>
      </c>
      <c r="E7203" s="17"/>
      <c r="F7203" s="17" t="s">
        <v>10780</v>
      </c>
      <c r="G7203" s="17"/>
      <c r="H7203" s="17" t="s">
        <v>12908</v>
      </c>
      <c r="I7203" s="17"/>
      <c r="J7203" s="17" t="s">
        <v>14018</v>
      </c>
      <c r="K7203" s="17"/>
      <c r="L7203" s="17" t="s">
        <v>14019</v>
      </c>
      <c r="M7203" s="17"/>
      <c r="N7203" s="17" t="s">
        <v>14020</v>
      </c>
      <c r="O7203" s="17"/>
      <c r="P7203" s="17" t="s">
        <v>16088</v>
      </c>
      <c r="Q7203" s="17"/>
      <c r="R7203" s="25" t="str">
        <f>HYPERLINK("https://ictv.global/taxonomy/taxondetails?taxnode_id=202303519","Mastrevirus ciliaris")</f>
        <v>Mastrevirus ciliaris</v>
      </c>
      <c r="S7203" s="18" t="s">
        <v>30</v>
      </c>
      <c r="T7203" s="18" t="s">
        <v>16143</v>
      </c>
      <c r="U7203" s="18" t="s">
        <v>16144</v>
      </c>
      <c r="V7203" s="18" t="s">
        <v>16145</v>
      </c>
      <c r="W7203" s="18" t="s">
        <v>16146</v>
      </c>
      <c r="X7203" s="18" t="s">
        <v>42</v>
      </c>
      <c r="Y7203" s="18" t="s">
        <v>12266</v>
      </c>
      <c r="Z7203" s="18" t="s">
        <v>13441</v>
      </c>
      <c r="AA7203" s="21" t="str">
        <f>HYPERLINK("https://www.ncbi.nlm.nih.gov/nuccore/JQ948088","NCBI Nucleotide")</f>
        <v>NCBI Nucleotide</v>
      </c>
    </row>
    <row r="7204" spans="1:27" x14ac:dyDescent="0.35">
      <c r="A7204">
        <v>1012667</v>
      </c>
      <c r="B7204">
        <v>6703</v>
      </c>
      <c r="C7204">
        <v>2</v>
      </c>
      <c r="D7204" s="17" t="s">
        <v>10507</v>
      </c>
      <c r="E7204" s="17"/>
      <c r="F7204" s="17" t="s">
        <v>10780</v>
      </c>
      <c r="G7204" s="17"/>
      <c r="H7204" s="17" t="s">
        <v>12908</v>
      </c>
      <c r="I7204" s="17"/>
      <c r="J7204" s="17" t="s">
        <v>14018</v>
      </c>
      <c r="K7204" s="17"/>
      <c r="L7204" s="17" t="s">
        <v>14019</v>
      </c>
      <c r="M7204" s="17"/>
      <c r="N7204" s="17" t="s">
        <v>14020</v>
      </c>
      <c r="O7204" s="17"/>
      <c r="P7204" s="17" t="s">
        <v>16088</v>
      </c>
      <c r="Q7204" s="17"/>
      <c r="R7204" s="25" t="str">
        <f>HYPERLINK("https://ictv.global/taxonomy/taxondetails?taxnode_id=202303519","Mastrevirus ciliaris")</f>
        <v>Mastrevirus ciliaris</v>
      </c>
      <c r="S7204" s="18" t="s">
        <v>8141</v>
      </c>
      <c r="T7204" s="18" t="s">
        <v>16143</v>
      </c>
      <c r="U7204" s="18" t="s">
        <v>16147</v>
      </c>
      <c r="V7204" s="18" t="s">
        <v>16148</v>
      </c>
      <c r="W7204" s="18" t="s">
        <v>49227</v>
      </c>
      <c r="X7204" s="18" t="s">
        <v>42</v>
      </c>
      <c r="Y7204" s="18" t="s">
        <v>12266</v>
      </c>
      <c r="Z7204" s="18" t="s">
        <v>13441</v>
      </c>
      <c r="AA7204" s="21" t="str">
        <f>HYPERLINK("https://www.ncbi.nlm.nih.gov/nuccore/JQ948091","NCBI Nucleotide")</f>
        <v>NCBI Nucleotide</v>
      </c>
    </row>
    <row r="7205" spans="1:27" x14ac:dyDescent="0.35">
      <c r="A7205">
        <v>1008060</v>
      </c>
      <c r="B7205">
        <v>6704</v>
      </c>
      <c r="C7205">
        <v>1</v>
      </c>
      <c r="D7205" s="17" t="s">
        <v>10507</v>
      </c>
      <c r="E7205" s="17"/>
      <c r="F7205" s="17" t="s">
        <v>10780</v>
      </c>
      <c r="G7205" s="17"/>
      <c r="H7205" s="17" t="s">
        <v>12908</v>
      </c>
      <c r="I7205" s="17"/>
      <c r="J7205" s="17" t="s">
        <v>14018</v>
      </c>
      <c r="K7205" s="17"/>
      <c r="L7205" s="17" t="s">
        <v>14019</v>
      </c>
      <c r="M7205" s="17"/>
      <c r="N7205" s="17" t="s">
        <v>14020</v>
      </c>
      <c r="O7205" s="17"/>
      <c r="P7205" s="17" t="s">
        <v>16088</v>
      </c>
      <c r="Q7205" s="17"/>
      <c r="R7205" s="25" t="str">
        <f>HYPERLINK("https://ictv.global/taxonomy/taxondetails?taxnode_id=202303520","Mastrevirus didactylae")</f>
        <v>Mastrevirus didactylae</v>
      </c>
      <c r="S7205" s="18" t="s">
        <v>30</v>
      </c>
      <c r="T7205" s="18" t="s">
        <v>16149</v>
      </c>
      <c r="U7205" s="18" t="s">
        <v>16150</v>
      </c>
      <c r="V7205" s="18" t="s">
        <v>16095</v>
      </c>
      <c r="W7205" s="18" t="s">
        <v>16151</v>
      </c>
      <c r="X7205" s="18" t="s">
        <v>42</v>
      </c>
      <c r="Y7205" s="18" t="s">
        <v>12266</v>
      </c>
      <c r="Z7205" s="18" t="s">
        <v>13441</v>
      </c>
      <c r="AA7205" s="21" t="str">
        <f>HYPERLINK("https://www.ncbi.nlm.nih.gov/nuccore/HM122238","NCBI Nucleotide")</f>
        <v>NCBI Nucleotide</v>
      </c>
    </row>
    <row r="7206" spans="1:27" x14ac:dyDescent="0.35">
      <c r="A7206">
        <v>1008061</v>
      </c>
      <c r="B7206">
        <v>6705</v>
      </c>
      <c r="C7206">
        <v>1</v>
      </c>
      <c r="D7206" s="17" t="s">
        <v>10507</v>
      </c>
      <c r="E7206" s="17"/>
      <c r="F7206" s="17" t="s">
        <v>10780</v>
      </c>
      <c r="G7206" s="17"/>
      <c r="H7206" s="17" t="s">
        <v>12908</v>
      </c>
      <c r="I7206" s="17"/>
      <c r="J7206" s="17" t="s">
        <v>14018</v>
      </c>
      <c r="K7206" s="17"/>
      <c r="L7206" s="17" t="s">
        <v>14019</v>
      </c>
      <c r="M7206" s="17"/>
      <c r="N7206" s="17" t="s">
        <v>14020</v>
      </c>
      <c r="O7206" s="17"/>
      <c r="P7206" s="17" t="s">
        <v>16088</v>
      </c>
      <c r="Q7206" s="17"/>
      <c r="R7206" s="25" t="str">
        <f>HYPERLINK("https://ictv.global/taxonomy/taxondetails?taxnode_id=202303521","Mastrevirus digitariae")</f>
        <v>Mastrevirus digitariae</v>
      </c>
      <c r="S7206" s="18" t="s">
        <v>30</v>
      </c>
      <c r="T7206" s="18" t="s">
        <v>16152</v>
      </c>
      <c r="U7206" s="18" t="s">
        <v>16153</v>
      </c>
      <c r="V7206" s="18" t="s">
        <v>16154</v>
      </c>
      <c r="W7206" s="18" t="s">
        <v>16155</v>
      </c>
      <c r="X7206" s="18" t="s">
        <v>42</v>
      </c>
      <c r="Y7206" s="18" t="s">
        <v>12266</v>
      </c>
      <c r="Z7206" s="18" t="s">
        <v>13441</v>
      </c>
      <c r="AA7206" s="21" t="str">
        <f>HYPERLINK("https://www.ncbi.nlm.nih.gov/nuccore/M23022","NCBI Nucleotide")</f>
        <v>NCBI Nucleotide</v>
      </c>
    </row>
    <row r="7207" spans="1:27" x14ac:dyDescent="0.35">
      <c r="A7207">
        <v>1008074</v>
      </c>
      <c r="B7207">
        <v>6706</v>
      </c>
      <c r="C7207">
        <v>1</v>
      </c>
      <c r="D7207" s="17" t="s">
        <v>10507</v>
      </c>
      <c r="E7207" s="17"/>
      <c r="F7207" s="17" t="s">
        <v>10780</v>
      </c>
      <c r="G7207" s="17"/>
      <c r="H7207" s="17" t="s">
        <v>12908</v>
      </c>
      <c r="I7207" s="17"/>
      <c r="J7207" s="17" t="s">
        <v>14018</v>
      </c>
      <c r="K7207" s="17"/>
      <c r="L7207" s="17" t="s">
        <v>14019</v>
      </c>
      <c r="M7207" s="17"/>
      <c r="N7207" s="17" t="s">
        <v>14020</v>
      </c>
      <c r="O7207" s="17"/>
      <c r="P7207" s="17" t="s">
        <v>16088</v>
      </c>
      <c r="Q7207" s="17"/>
      <c r="R7207" s="25" t="str">
        <f>HYPERLINK("https://ictv.global/taxonomy/taxondetails?taxnode_id=202303529","Mastrevirus dilatati")</f>
        <v>Mastrevirus dilatati</v>
      </c>
      <c r="S7207" s="18" t="s">
        <v>30</v>
      </c>
      <c r="T7207" s="18" t="s">
        <v>16240</v>
      </c>
      <c r="U7207" s="18" t="s">
        <v>16241</v>
      </c>
      <c r="V7207" s="18" t="s">
        <v>16242</v>
      </c>
      <c r="W7207" s="18" t="s">
        <v>16243</v>
      </c>
      <c r="X7207" s="18" t="s">
        <v>42</v>
      </c>
      <c r="Y7207" s="18" t="s">
        <v>12266</v>
      </c>
      <c r="Z7207" s="18" t="s">
        <v>13441</v>
      </c>
      <c r="AA7207" s="21" t="str">
        <f>HYPERLINK("https://www.ncbi.nlm.nih.gov/nuccore/JQ948061","NCBI Nucleotide")</f>
        <v>NCBI Nucleotide</v>
      </c>
    </row>
    <row r="7208" spans="1:27" x14ac:dyDescent="0.35">
      <c r="A7208">
        <v>1008063</v>
      </c>
      <c r="B7208">
        <v>6707</v>
      </c>
      <c r="C7208">
        <v>1</v>
      </c>
      <c r="D7208" s="17" t="s">
        <v>10507</v>
      </c>
      <c r="E7208" s="17"/>
      <c r="F7208" s="17" t="s">
        <v>10780</v>
      </c>
      <c r="G7208" s="17"/>
      <c r="H7208" s="17" t="s">
        <v>12908</v>
      </c>
      <c r="I7208" s="17"/>
      <c r="J7208" s="17" t="s">
        <v>14018</v>
      </c>
      <c r="K7208" s="17"/>
      <c r="L7208" s="17" t="s">
        <v>14019</v>
      </c>
      <c r="M7208" s="17"/>
      <c r="N7208" s="17" t="s">
        <v>14020</v>
      </c>
      <c r="O7208" s="17"/>
      <c r="P7208" s="17" t="s">
        <v>16088</v>
      </c>
      <c r="Q7208" s="17"/>
      <c r="R7208" s="25" t="str">
        <f>HYPERLINK("https://ictv.global/taxonomy/taxondetails?taxnode_id=202309105","Mastrevirus eleusinae")</f>
        <v>Mastrevirus eleusinae</v>
      </c>
      <c r="S7208" s="18" t="s">
        <v>30</v>
      </c>
      <c r="T7208" s="18" t="s">
        <v>16160</v>
      </c>
      <c r="U7208" s="18" t="s">
        <v>16161</v>
      </c>
      <c r="V7208" s="18" t="s">
        <v>16162</v>
      </c>
      <c r="W7208" s="18" t="s">
        <v>16163</v>
      </c>
      <c r="X7208" s="18" t="s">
        <v>42</v>
      </c>
      <c r="Y7208" s="18" t="s">
        <v>12266</v>
      </c>
      <c r="Z7208" s="18" t="s">
        <v>13441</v>
      </c>
      <c r="AA7208" s="21" t="str">
        <f>HYPERLINK("https://www.ncbi.nlm.nih.gov/nuccore/MK546379","NCBI Nucleotide")</f>
        <v>NCBI Nucleotide</v>
      </c>
    </row>
    <row r="7209" spans="1:27" x14ac:dyDescent="0.35">
      <c r="A7209">
        <v>1008065</v>
      </c>
      <c r="B7209">
        <v>6708</v>
      </c>
      <c r="C7209">
        <v>1</v>
      </c>
      <c r="D7209" s="17" t="s">
        <v>10507</v>
      </c>
      <c r="E7209" s="17"/>
      <c r="F7209" s="17" t="s">
        <v>10780</v>
      </c>
      <c r="G7209" s="17"/>
      <c r="H7209" s="17" t="s">
        <v>12908</v>
      </c>
      <c r="I7209" s="17"/>
      <c r="J7209" s="17" t="s">
        <v>14018</v>
      </c>
      <c r="K7209" s="17"/>
      <c r="L7209" s="17" t="s">
        <v>14019</v>
      </c>
      <c r="M7209" s="17"/>
      <c r="N7209" s="17" t="s">
        <v>14020</v>
      </c>
      <c r="O7209" s="17"/>
      <c r="P7209" s="17" t="s">
        <v>16088</v>
      </c>
      <c r="Q7209" s="17"/>
      <c r="R7209" s="25" t="str">
        <f>HYPERLINK("https://ictv.global/taxonomy/taxondetails?taxnode_id=202303523","Mastrevirus eragrostis")</f>
        <v>Mastrevirus eragrostis</v>
      </c>
      <c r="S7209" s="18" t="s">
        <v>30</v>
      </c>
      <c r="T7209" s="18" t="s">
        <v>16168</v>
      </c>
      <c r="U7209" s="18" t="s">
        <v>16169</v>
      </c>
      <c r="V7209" s="18" t="s">
        <v>16170</v>
      </c>
      <c r="W7209" s="18" t="s">
        <v>16171</v>
      </c>
      <c r="X7209" s="18" t="s">
        <v>42</v>
      </c>
      <c r="Y7209" s="18" t="s">
        <v>12266</v>
      </c>
      <c r="Z7209" s="18" t="s">
        <v>13441</v>
      </c>
      <c r="AA7209" s="21" t="str">
        <f>HYPERLINK("https://www.ncbi.nlm.nih.gov/nuccore/EU244915","NCBI Nucleotide")</f>
        <v>NCBI Nucleotide</v>
      </c>
    </row>
    <row r="7210" spans="1:27" x14ac:dyDescent="0.35">
      <c r="A7210">
        <v>1008064</v>
      </c>
      <c r="B7210">
        <v>6709</v>
      </c>
      <c r="C7210">
        <v>1</v>
      </c>
      <c r="D7210" s="17" t="s">
        <v>10507</v>
      </c>
      <c r="E7210" s="17"/>
      <c r="F7210" s="17" t="s">
        <v>10780</v>
      </c>
      <c r="G7210" s="17"/>
      <c r="H7210" s="17" t="s">
        <v>12908</v>
      </c>
      <c r="I7210" s="17"/>
      <c r="J7210" s="17" t="s">
        <v>14018</v>
      </c>
      <c r="K7210" s="17"/>
      <c r="L7210" s="17" t="s">
        <v>14019</v>
      </c>
      <c r="M7210" s="17"/>
      <c r="N7210" s="17" t="s">
        <v>14020</v>
      </c>
      <c r="O7210" s="17"/>
      <c r="P7210" s="17" t="s">
        <v>16088</v>
      </c>
      <c r="Q7210" s="17"/>
      <c r="R7210" s="25" t="str">
        <f>HYPERLINK("https://ictv.global/taxonomy/taxondetails?taxnode_id=202303522","Mastrevirus eragrostisminoris")</f>
        <v>Mastrevirus eragrostisminoris</v>
      </c>
      <c r="S7210" s="18" t="s">
        <v>30</v>
      </c>
      <c r="T7210" s="18" t="s">
        <v>16164</v>
      </c>
      <c r="U7210" s="18" t="s">
        <v>16165</v>
      </c>
      <c r="V7210" s="18" t="s">
        <v>16166</v>
      </c>
      <c r="W7210" s="18" t="s">
        <v>16167</v>
      </c>
      <c r="X7210" s="18" t="s">
        <v>42</v>
      </c>
      <c r="Y7210" s="18" t="s">
        <v>12266</v>
      </c>
      <c r="Z7210" s="18" t="s">
        <v>13441</v>
      </c>
      <c r="AA7210" s="21" t="str">
        <f>HYPERLINK("https://www.ncbi.nlm.nih.gov/nuccore/JF508490","NCBI Nucleotide")</f>
        <v>NCBI Nucleotide</v>
      </c>
    </row>
    <row r="7211" spans="1:27" x14ac:dyDescent="0.35">
      <c r="A7211">
        <v>1008062</v>
      </c>
      <c r="B7211">
        <v>6710</v>
      </c>
      <c r="C7211">
        <v>1</v>
      </c>
      <c r="D7211" s="17" t="s">
        <v>10507</v>
      </c>
      <c r="E7211" s="17"/>
      <c r="F7211" s="17" t="s">
        <v>10780</v>
      </c>
      <c r="G7211" s="17"/>
      <c r="H7211" s="17" t="s">
        <v>12908</v>
      </c>
      <c r="I7211" s="17"/>
      <c r="J7211" s="17" t="s">
        <v>14018</v>
      </c>
      <c r="K7211" s="17"/>
      <c r="L7211" s="17" t="s">
        <v>14019</v>
      </c>
      <c r="M7211" s="17"/>
      <c r="N7211" s="17" t="s">
        <v>14020</v>
      </c>
      <c r="O7211" s="17"/>
      <c r="P7211" s="17" t="s">
        <v>16088</v>
      </c>
      <c r="Q7211" s="17"/>
      <c r="R7211" s="25" t="str">
        <f>HYPERLINK("https://ictv.global/taxonomy/taxondetails?taxnode_id=202305854","Mastrevirus erythrodiplaxis")</f>
        <v>Mastrevirus erythrodiplaxis</v>
      </c>
      <c r="S7211" s="18" t="s">
        <v>30</v>
      </c>
      <c r="T7211" s="18" t="s">
        <v>16156</v>
      </c>
      <c r="U7211" s="18" t="s">
        <v>16157</v>
      </c>
      <c r="V7211" s="18" t="s">
        <v>16158</v>
      </c>
      <c r="W7211" s="18" t="s">
        <v>16159</v>
      </c>
      <c r="X7211" s="18" t="s">
        <v>42</v>
      </c>
      <c r="Y7211" s="18" t="s">
        <v>12266</v>
      </c>
      <c r="Z7211" s="18" t="s">
        <v>13441</v>
      </c>
      <c r="AA7211" s="21" t="str">
        <f>HYPERLINK("https://www.ncbi.nlm.nih.gov/nuccore/JX458740","NCBI Nucleotide")</f>
        <v>NCBI Nucleotide</v>
      </c>
    </row>
    <row r="7212" spans="1:27" x14ac:dyDescent="0.35">
      <c r="A7212">
        <v>1008056</v>
      </c>
      <c r="B7212">
        <v>6711</v>
      </c>
      <c r="C7212">
        <v>1</v>
      </c>
      <c r="D7212" s="17" t="s">
        <v>10507</v>
      </c>
      <c r="E7212" s="17"/>
      <c r="F7212" s="17" t="s">
        <v>10780</v>
      </c>
      <c r="G7212" s="17"/>
      <c r="H7212" s="17" t="s">
        <v>12908</v>
      </c>
      <c r="I7212" s="17"/>
      <c r="J7212" s="17" t="s">
        <v>14018</v>
      </c>
      <c r="K7212" s="17"/>
      <c r="L7212" s="17" t="s">
        <v>14019</v>
      </c>
      <c r="M7212" s="17"/>
      <c r="N7212" s="17" t="s">
        <v>14020</v>
      </c>
      <c r="O7212" s="17"/>
      <c r="P7212" s="17" t="s">
        <v>16088</v>
      </c>
      <c r="Q7212" s="17"/>
      <c r="R7212" s="25" t="str">
        <f>HYPERLINK("https://ictv.global/taxonomy/taxondetails?taxnode_id=202305853","Mastrevirus flavaparvi")</f>
        <v>Mastrevirus flavaparvi</v>
      </c>
      <c r="S7212" s="18" t="s">
        <v>30</v>
      </c>
      <c r="T7212" s="18" t="s">
        <v>16131</v>
      </c>
      <c r="U7212" s="18" t="s">
        <v>16132</v>
      </c>
      <c r="V7212" s="18" t="s">
        <v>16133</v>
      </c>
      <c r="W7212" s="18" t="s">
        <v>16134</v>
      </c>
      <c r="X7212" s="18" t="s">
        <v>42</v>
      </c>
      <c r="Y7212" s="18" t="s">
        <v>12266</v>
      </c>
      <c r="Z7212" s="18" t="s">
        <v>13441</v>
      </c>
      <c r="AA7212" s="21" t="str">
        <f>HYPERLINK("https://www.ncbi.nlm.nih.gov/nuccore/KM377674","NCBI Nucleotide")</f>
        <v>NCBI Nucleotide</v>
      </c>
    </row>
    <row r="7213" spans="1:27" x14ac:dyDescent="0.35">
      <c r="A7213">
        <v>1008057</v>
      </c>
      <c r="B7213">
        <v>6712</v>
      </c>
      <c r="C7213">
        <v>1</v>
      </c>
      <c r="D7213" s="17" t="s">
        <v>10507</v>
      </c>
      <c r="E7213" s="17"/>
      <c r="F7213" s="17" t="s">
        <v>10780</v>
      </c>
      <c r="G7213" s="17"/>
      <c r="H7213" s="17" t="s">
        <v>12908</v>
      </c>
      <c r="I7213" s="17"/>
      <c r="J7213" s="17" t="s">
        <v>14018</v>
      </c>
      <c r="K7213" s="17"/>
      <c r="L7213" s="17" t="s">
        <v>14019</v>
      </c>
      <c r="M7213" s="17"/>
      <c r="N7213" s="17" t="s">
        <v>14020</v>
      </c>
      <c r="O7213" s="17"/>
      <c r="P7213" s="17" t="s">
        <v>16088</v>
      </c>
      <c r="Q7213" s="17"/>
      <c r="R7213" s="25" t="str">
        <f>HYPERLINK("https://ictv.global/taxonomy/taxondetails?taxnode_id=202303517","Mastrevirus flavi")</f>
        <v>Mastrevirus flavi</v>
      </c>
      <c r="S7213" s="18" t="s">
        <v>30</v>
      </c>
      <c r="T7213" s="18" t="s">
        <v>16135</v>
      </c>
      <c r="U7213" s="18" t="s">
        <v>16136</v>
      </c>
      <c r="V7213" s="18" t="s">
        <v>16137</v>
      </c>
      <c r="W7213" s="18" t="s">
        <v>16138</v>
      </c>
      <c r="X7213" s="18" t="s">
        <v>42</v>
      </c>
      <c r="Y7213" s="18" t="s">
        <v>12266</v>
      </c>
      <c r="Z7213" s="18" t="s">
        <v>13441</v>
      </c>
      <c r="AA7213" s="21" t="str">
        <f>HYPERLINK("https://www.ncbi.nlm.nih.gov/nuccore/JN989439","NCBI Nucleotide")</f>
        <v>NCBI Nucleotide</v>
      </c>
    </row>
    <row r="7214" spans="1:27" x14ac:dyDescent="0.35">
      <c r="A7214">
        <v>1008066</v>
      </c>
      <c r="B7214">
        <v>6713</v>
      </c>
      <c r="C7214">
        <v>1</v>
      </c>
      <c r="D7214" s="17" t="s">
        <v>10507</v>
      </c>
      <c r="E7214" s="17"/>
      <c r="F7214" s="17" t="s">
        <v>10780</v>
      </c>
      <c r="G7214" s="17"/>
      <c r="H7214" s="17" t="s">
        <v>12908</v>
      </c>
      <c r="I7214" s="17"/>
      <c r="J7214" s="17" t="s">
        <v>14018</v>
      </c>
      <c r="K7214" s="17"/>
      <c r="L7214" s="17" t="s">
        <v>14019</v>
      </c>
      <c r="M7214" s="17"/>
      <c r="N7214" s="17" t="s">
        <v>14020</v>
      </c>
      <c r="O7214" s="17"/>
      <c r="P7214" s="17" t="s">
        <v>16088</v>
      </c>
      <c r="Q7214" s="17"/>
      <c r="R7214" s="25" t="str">
        <f>HYPERLINK("https://ictv.global/taxonomy/taxondetails?taxnode_id=202308695","Mastrevirus fulleri")</f>
        <v>Mastrevirus fulleri</v>
      </c>
      <c r="S7214" s="18" t="s">
        <v>30</v>
      </c>
      <c r="T7214" s="18" t="s">
        <v>16172</v>
      </c>
      <c r="U7214" s="18" t="s">
        <v>16173</v>
      </c>
      <c r="V7214" s="18" t="s">
        <v>16174</v>
      </c>
      <c r="W7214" s="18" t="s">
        <v>16175</v>
      </c>
      <c r="X7214" s="18" t="s">
        <v>42</v>
      </c>
      <c r="Y7214" s="18" t="s">
        <v>12266</v>
      </c>
      <c r="Z7214" s="18" t="s">
        <v>13441</v>
      </c>
      <c r="AA7214" s="21" t="str">
        <f>HYPERLINK("https://www.ncbi.nlm.nih.gov/nuccore/MK329300","NCBI Nucleotide")</f>
        <v>NCBI Nucleotide</v>
      </c>
    </row>
    <row r="7215" spans="1:27" x14ac:dyDescent="0.35">
      <c r="A7215">
        <v>1008093</v>
      </c>
      <c r="B7215">
        <v>6714</v>
      </c>
      <c r="C7215">
        <v>1</v>
      </c>
      <c r="D7215" s="17" t="s">
        <v>10507</v>
      </c>
      <c r="E7215" s="17"/>
      <c r="F7215" s="17" t="s">
        <v>10780</v>
      </c>
      <c r="G7215" s="17"/>
      <c r="H7215" s="17" t="s">
        <v>12908</v>
      </c>
      <c r="I7215" s="17"/>
      <c r="J7215" s="17" t="s">
        <v>14018</v>
      </c>
      <c r="K7215" s="17"/>
      <c r="L7215" s="17" t="s">
        <v>14019</v>
      </c>
      <c r="M7215" s="17"/>
      <c r="N7215" s="17" t="s">
        <v>14020</v>
      </c>
      <c r="O7215" s="17"/>
      <c r="P7215" s="17" t="s">
        <v>16088</v>
      </c>
      <c r="Q7215" s="17"/>
      <c r="R7215" s="25" t="str">
        <f>HYPERLINK("https://ictv.global/taxonomy/taxondetails?taxnode_id=202303542","Mastrevirus hordei")</f>
        <v>Mastrevirus hordei</v>
      </c>
      <c r="S7215" s="18" t="s">
        <v>30</v>
      </c>
      <c r="T7215" s="18" t="s">
        <v>16320</v>
      </c>
      <c r="U7215" s="18" t="s">
        <v>16321</v>
      </c>
      <c r="V7215" s="18" t="s">
        <v>16322</v>
      </c>
      <c r="W7215" s="18" t="s">
        <v>16323</v>
      </c>
      <c r="X7215" s="18" t="s">
        <v>42</v>
      </c>
      <c r="Y7215" s="18" t="s">
        <v>12266</v>
      </c>
      <c r="Z7215" s="18" t="s">
        <v>13441</v>
      </c>
      <c r="AA7215" s="21" t="str">
        <f>HYPERLINK("https://www.ncbi.nlm.nih.gov/nuccore/AJ783960","NCBI Nucleotide")</f>
        <v>NCBI Nucleotide</v>
      </c>
    </row>
    <row r="7216" spans="1:27" x14ac:dyDescent="0.35">
      <c r="A7216">
        <v>1012689</v>
      </c>
      <c r="B7216">
        <v>6714</v>
      </c>
      <c r="C7216">
        <v>2</v>
      </c>
      <c r="D7216" s="17" t="s">
        <v>10507</v>
      </c>
      <c r="E7216" s="17"/>
      <c r="F7216" s="17" t="s">
        <v>10780</v>
      </c>
      <c r="G7216" s="17"/>
      <c r="H7216" s="17" t="s">
        <v>12908</v>
      </c>
      <c r="I7216" s="17"/>
      <c r="J7216" s="17" t="s">
        <v>14018</v>
      </c>
      <c r="K7216" s="17"/>
      <c r="L7216" s="17" t="s">
        <v>14019</v>
      </c>
      <c r="M7216" s="17"/>
      <c r="N7216" s="17" t="s">
        <v>14020</v>
      </c>
      <c r="O7216" s="17"/>
      <c r="P7216" s="17" t="s">
        <v>16088</v>
      </c>
      <c r="Q7216" s="17"/>
      <c r="R7216" s="25" t="str">
        <f>HYPERLINK("https://ictv.global/taxonomy/taxondetails?taxnode_id=202303542","Mastrevirus hordei")</f>
        <v>Mastrevirus hordei</v>
      </c>
      <c r="S7216" s="18" t="s">
        <v>8141</v>
      </c>
      <c r="T7216" s="18" t="s">
        <v>16320</v>
      </c>
      <c r="U7216" s="18" t="s">
        <v>16324</v>
      </c>
      <c r="V7216" s="18" t="s">
        <v>16325</v>
      </c>
      <c r="W7216" s="18" t="s">
        <v>49228</v>
      </c>
      <c r="X7216" s="18" t="s">
        <v>42</v>
      </c>
      <c r="Y7216" s="18" t="s">
        <v>12266</v>
      </c>
      <c r="Z7216" s="18" t="s">
        <v>13441</v>
      </c>
      <c r="AA7216" s="21" t="str">
        <f>HYPERLINK("https://www.ncbi.nlm.nih.gov/nuccore/FJ620684","NCBI Nucleotide")</f>
        <v>NCBI Nucleotide</v>
      </c>
    </row>
    <row r="7217" spans="1:27" x14ac:dyDescent="0.35">
      <c r="A7217">
        <v>1012690</v>
      </c>
      <c r="B7217">
        <v>6714</v>
      </c>
      <c r="C7217">
        <v>3</v>
      </c>
      <c r="D7217" s="17" t="s">
        <v>10507</v>
      </c>
      <c r="E7217" s="17"/>
      <c r="F7217" s="17" t="s">
        <v>10780</v>
      </c>
      <c r="G7217" s="17"/>
      <c r="H7217" s="17" t="s">
        <v>12908</v>
      </c>
      <c r="I7217" s="17"/>
      <c r="J7217" s="17" t="s">
        <v>14018</v>
      </c>
      <c r="K7217" s="17"/>
      <c r="L7217" s="17" t="s">
        <v>14019</v>
      </c>
      <c r="M7217" s="17"/>
      <c r="N7217" s="17" t="s">
        <v>14020</v>
      </c>
      <c r="O7217" s="17"/>
      <c r="P7217" s="17" t="s">
        <v>16088</v>
      </c>
      <c r="Q7217" s="17"/>
      <c r="R7217" s="25" t="str">
        <f>HYPERLINK("https://ictv.global/taxonomy/taxondetails?taxnode_id=202303542","Mastrevirus hordei")</f>
        <v>Mastrevirus hordei</v>
      </c>
      <c r="S7217" s="18" t="s">
        <v>8141</v>
      </c>
      <c r="T7217" s="18" t="s">
        <v>16320</v>
      </c>
      <c r="U7217" s="18" t="s">
        <v>16326</v>
      </c>
      <c r="V7217" s="18" t="s">
        <v>16327</v>
      </c>
      <c r="W7217" s="18" t="s">
        <v>49229</v>
      </c>
      <c r="X7217" s="18" t="s">
        <v>42</v>
      </c>
      <c r="Y7217" s="18" t="s">
        <v>12266</v>
      </c>
      <c r="Z7217" s="18" t="s">
        <v>13441</v>
      </c>
      <c r="AA7217" s="21" t="str">
        <f>HYPERLINK("https://www.ncbi.nlm.nih.gov/nuccore/JQ647455","NCBI Nucleotide")</f>
        <v>NCBI Nucleotide</v>
      </c>
    </row>
    <row r="7218" spans="1:27" x14ac:dyDescent="0.35">
      <c r="A7218">
        <v>1012691</v>
      </c>
      <c r="B7218">
        <v>6714</v>
      </c>
      <c r="C7218">
        <v>4</v>
      </c>
      <c r="D7218" s="17" t="s">
        <v>10507</v>
      </c>
      <c r="E7218" s="17"/>
      <c r="F7218" s="17" t="s">
        <v>10780</v>
      </c>
      <c r="G7218" s="17"/>
      <c r="H7218" s="17" t="s">
        <v>12908</v>
      </c>
      <c r="I7218" s="17"/>
      <c r="J7218" s="17" t="s">
        <v>14018</v>
      </c>
      <c r="K7218" s="17"/>
      <c r="L7218" s="17" t="s">
        <v>14019</v>
      </c>
      <c r="M7218" s="17"/>
      <c r="N7218" s="17" t="s">
        <v>14020</v>
      </c>
      <c r="O7218" s="17"/>
      <c r="P7218" s="17" t="s">
        <v>16088</v>
      </c>
      <c r="Q7218" s="17"/>
      <c r="R7218" s="25" t="str">
        <f>HYPERLINK("https://ictv.global/taxonomy/taxondetails?taxnode_id=202303542","Mastrevirus hordei")</f>
        <v>Mastrevirus hordei</v>
      </c>
      <c r="S7218" s="18" t="s">
        <v>8141</v>
      </c>
      <c r="T7218" s="18" t="s">
        <v>16320</v>
      </c>
      <c r="U7218" s="18" t="s">
        <v>16328</v>
      </c>
      <c r="V7218" s="18" t="s">
        <v>16329</v>
      </c>
      <c r="W7218" s="18" t="s">
        <v>49230</v>
      </c>
      <c r="X7218" s="18" t="s">
        <v>42</v>
      </c>
      <c r="Y7218" s="18" t="s">
        <v>12266</v>
      </c>
      <c r="Z7218" s="18" t="s">
        <v>13441</v>
      </c>
      <c r="AA7218" s="21" t="str">
        <f>HYPERLINK("https://www.ncbi.nlm.nih.gov/nuccore/JN791096","NCBI Nucleotide")</f>
        <v>NCBI Nucleotide</v>
      </c>
    </row>
    <row r="7219" spans="1:27" x14ac:dyDescent="0.35">
      <c r="A7219">
        <v>1012692</v>
      </c>
      <c r="B7219">
        <v>6714</v>
      </c>
      <c r="C7219">
        <v>5</v>
      </c>
      <c r="D7219" s="17" t="s">
        <v>10507</v>
      </c>
      <c r="E7219" s="17"/>
      <c r="F7219" s="17" t="s">
        <v>10780</v>
      </c>
      <c r="G7219" s="17"/>
      <c r="H7219" s="17" t="s">
        <v>12908</v>
      </c>
      <c r="I7219" s="17"/>
      <c r="J7219" s="17" t="s">
        <v>14018</v>
      </c>
      <c r="K7219" s="17"/>
      <c r="L7219" s="17" t="s">
        <v>14019</v>
      </c>
      <c r="M7219" s="17"/>
      <c r="N7219" s="17" t="s">
        <v>14020</v>
      </c>
      <c r="O7219" s="17"/>
      <c r="P7219" s="17" t="s">
        <v>16088</v>
      </c>
      <c r="Q7219" s="17"/>
      <c r="R7219" s="25" t="str">
        <f>HYPERLINK("https://ictv.global/taxonomy/taxondetails?taxnode_id=202303542","Mastrevirus hordei")</f>
        <v>Mastrevirus hordei</v>
      </c>
      <c r="S7219" s="18" t="s">
        <v>8141</v>
      </c>
      <c r="T7219" s="18" t="s">
        <v>16320</v>
      </c>
      <c r="U7219" s="18" t="s">
        <v>16330</v>
      </c>
      <c r="V7219" s="18" t="s">
        <v>16331</v>
      </c>
      <c r="W7219" s="18" t="s">
        <v>49231</v>
      </c>
      <c r="X7219" s="18" t="s">
        <v>42</v>
      </c>
      <c r="Y7219" s="18" t="s">
        <v>12266</v>
      </c>
      <c r="Z7219" s="18" t="s">
        <v>13441</v>
      </c>
      <c r="AA7219" s="21" t="str">
        <f>HYPERLINK("https://www.ncbi.nlm.nih.gov/nuccore/AM040732","NCBI Nucleotide")</f>
        <v>NCBI Nucleotide</v>
      </c>
    </row>
    <row r="7220" spans="1:27" x14ac:dyDescent="0.35">
      <c r="A7220">
        <v>1008088</v>
      </c>
      <c r="B7220">
        <v>6715</v>
      </c>
      <c r="C7220">
        <v>1</v>
      </c>
      <c r="D7220" s="17" t="s">
        <v>10507</v>
      </c>
      <c r="E7220" s="17"/>
      <c r="F7220" s="17" t="s">
        <v>10780</v>
      </c>
      <c r="G7220" s="17"/>
      <c r="H7220" s="17" t="s">
        <v>12908</v>
      </c>
      <c r="I7220" s="17"/>
      <c r="J7220" s="17" t="s">
        <v>14018</v>
      </c>
      <c r="K7220" s="17"/>
      <c r="L7220" s="17" t="s">
        <v>14019</v>
      </c>
      <c r="M7220" s="17"/>
      <c r="N7220" s="17" t="s">
        <v>14020</v>
      </c>
      <c r="O7220" s="17"/>
      <c r="P7220" s="17" t="s">
        <v>16088</v>
      </c>
      <c r="Q7220" s="17"/>
      <c r="R7220" s="25" t="str">
        <f>HYPERLINK("https://ictv.global/taxonomy/taxondetails?taxnode_id=202305857","Mastrevirus ipomoeae")</f>
        <v>Mastrevirus ipomoeae</v>
      </c>
      <c r="S7220" s="18" t="s">
        <v>30</v>
      </c>
      <c r="T7220" s="18" t="s">
        <v>16300</v>
      </c>
      <c r="U7220" s="18" t="s">
        <v>16301</v>
      </c>
      <c r="V7220" s="18" t="s">
        <v>16302</v>
      </c>
      <c r="W7220" s="18" t="s">
        <v>16303</v>
      </c>
      <c r="X7220" s="18" t="s">
        <v>42</v>
      </c>
      <c r="Y7220" s="18" t="s">
        <v>12266</v>
      </c>
      <c r="Z7220" s="18" t="s">
        <v>13441</v>
      </c>
      <c r="AA7220" s="21" t="str">
        <f>HYPERLINK("https://www.ncbi.nlm.nih.gov/nuccore/KY565231","NCBI Nucleotide")</f>
        <v>NCBI Nucleotide</v>
      </c>
    </row>
    <row r="7221" spans="1:27" x14ac:dyDescent="0.35">
      <c r="A7221">
        <v>1008070</v>
      </c>
      <c r="B7221">
        <v>6716</v>
      </c>
      <c r="C7221">
        <v>1</v>
      </c>
      <c r="D7221" s="17" t="s">
        <v>10507</v>
      </c>
      <c r="E7221" s="17"/>
      <c r="F7221" s="17" t="s">
        <v>10780</v>
      </c>
      <c r="G7221" s="17"/>
      <c r="H7221" s="17" t="s">
        <v>12908</v>
      </c>
      <c r="I7221" s="17"/>
      <c r="J7221" s="17" t="s">
        <v>14018</v>
      </c>
      <c r="K7221" s="17"/>
      <c r="L7221" s="17" t="s">
        <v>14019</v>
      </c>
      <c r="M7221" s="17"/>
      <c r="N7221" s="17" t="s">
        <v>14020</v>
      </c>
      <c r="O7221" s="17"/>
      <c r="P7221" s="17" t="s">
        <v>16088</v>
      </c>
      <c r="Q7221" s="17"/>
      <c r="R7221" s="25" t="str">
        <f>HYPERLINK("https://ictv.global/taxonomy/taxondetails?taxnode_id=202309106","Mastrevirus melenis")</f>
        <v>Mastrevirus melenis</v>
      </c>
      <c r="S7221" s="18" t="s">
        <v>30</v>
      </c>
      <c r="T7221" s="18" t="s">
        <v>16208</v>
      </c>
      <c r="U7221" s="18" t="s">
        <v>16209</v>
      </c>
      <c r="V7221" s="18" t="s">
        <v>16210</v>
      </c>
      <c r="W7221" s="18" t="s">
        <v>16211</v>
      </c>
      <c r="X7221" s="18" t="s">
        <v>42</v>
      </c>
      <c r="Y7221" s="18" t="s">
        <v>12266</v>
      </c>
      <c r="Z7221" s="18" t="s">
        <v>13441</v>
      </c>
      <c r="AA7221" s="21" t="str">
        <f>HYPERLINK("https://www.ncbi.nlm.nih.gov/nuccore/MK546380","NCBI Nucleotide")</f>
        <v>NCBI Nucleotide</v>
      </c>
    </row>
    <row r="7222" spans="1:27" x14ac:dyDescent="0.35">
      <c r="A7222">
        <v>1008071</v>
      </c>
      <c r="B7222">
        <v>6717</v>
      </c>
      <c r="C7222">
        <v>1</v>
      </c>
      <c r="D7222" s="17" t="s">
        <v>10507</v>
      </c>
      <c r="E7222" s="17"/>
      <c r="F7222" s="17" t="s">
        <v>10780</v>
      </c>
      <c r="G7222" s="17"/>
      <c r="H7222" s="17" t="s">
        <v>12908</v>
      </c>
      <c r="I7222" s="17"/>
      <c r="J7222" s="17" t="s">
        <v>14018</v>
      </c>
      <c r="K7222" s="17"/>
      <c r="L7222" s="17" t="s">
        <v>14019</v>
      </c>
      <c r="M7222" s="17"/>
      <c r="N7222" s="17" t="s">
        <v>14020</v>
      </c>
      <c r="O7222" s="17"/>
      <c r="P7222" s="17" t="s">
        <v>16088</v>
      </c>
      <c r="Q7222" s="17"/>
      <c r="R7222" s="25" t="str">
        <f>HYPERLINK("https://ictv.global/taxonomy/taxondetails?taxnode_id=202303526","Mastrevirus miscanthi")</f>
        <v>Mastrevirus miscanthi</v>
      </c>
      <c r="S7222" s="18" t="s">
        <v>30</v>
      </c>
      <c r="T7222" s="18" t="s">
        <v>16212</v>
      </c>
      <c r="U7222" s="18" t="s">
        <v>16213</v>
      </c>
      <c r="V7222" s="18" t="s">
        <v>16214</v>
      </c>
      <c r="W7222" s="18" t="s">
        <v>16215</v>
      </c>
      <c r="X7222" s="18" t="s">
        <v>42</v>
      </c>
      <c r="Y7222" s="18" t="s">
        <v>12266</v>
      </c>
      <c r="Z7222" s="18" t="s">
        <v>13441</v>
      </c>
      <c r="AA7222" s="21" t="str">
        <f>HYPERLINK("https://www.ncbi.nlm.nih.gov/nuccore/D01030","NCBI Nucleotide")</f>
        <v>NCBI Nucleotide</v>
      </c>
    </row>
    <row r="7223" spans="1:27" x14ac:dyDescent="0.35">
      <c r="A7223">
        <v>1008076</v>
      </c>
      <c r="B7223">
        <v>6718</v>
      </c>
      <c r="C7223">
        <v>1</v>
      </c>
      <c r="D7223" s="17" t="s">
        <v>10507</v>
      </c>
      <c r="E7223" s="17"/>
      <c r="F7223" s="17" t="s">
        <v>10780</v>
      </c>
      <c r="G7223" s="17"/>
      <c r="H7223" s="17" t="s">
        <v>12908</v>
      </c>
      <c r="I7223" s="17"/>
      <c r="J7223" s="17" t="s">
        <v>14018</v>
      </c>
      <c r="K7223" s="17"/>
      <c r="L7223" s="17" t="s">
        <v>14019</v>
      </c>
      <c r="M7223" s="17"/>
      <c r="N7223" s="17" t="s">
        <v>14020</v>
      </c>
      <c r="O7223" s="17"/>
      <c r="P7223" s="17" t="s">
        <v>16088</v>
      </c>
      <c r="Q7223" s="17"/>
      <c r="R7223" s="25" t="str">
        <f>HYPERLINK("https://ictv.global/taxonomy/taxondetails?taxnode_id=202306686","Mastrevirus oryzaprimi")</f>
        <v>Mastrevirus oryzaprimi</v>
      </c>
      <c r="S7223" s="18" t="s">
        <v>30</v>
      </c>
      <c r="T7223" s="18" t="s">
        <v>16250</v>
      </c>
      <c r="U7223" s="18" t="s">
        <v>16251</v>
      </c>
      <c r="V7223" s="18" t="s">
        <v>16252</v>
      </c>
      <c r="W7223" s="18" t="s">
        <v>16253</v>
      </c>
      <c r="X7223" s="18" t="s">
        <v>42</v>
      </c>
      <c r="Y7223" s="18" t="s">
        <v>12266</v>
      </c>
      <c r="Z7223" s="18" t="s">
        <v>13441</v>
      </c>
      <c r="AA7223" s="21" t="str">
        <f>HYPERLINK("https://www.ncbi.nlm.nih.gov/nuccore/KY962377","NCBI Nucleotide")</f>
        <v>NCBI Nucleotide</v>
      </c>
    </row>
    <row r="7224" spans="1:27" x14ac:dyDescent="0.35">
      <c r="A7224">
        <v>1008077</v>
      </c>
      <c r="B7224">
        <v>6719</v>
      </c>
      <c r="C7224">
        <v>1</v>
      </c>
      <c r="D7224" s="17" t="s">
        <v>10507</v>
      </c>
      <c r="E7224" s="17"/>
      <c r="F7224" s="17" t="s">
        <v>10780</v>
      </c>
      <c r="G7224" s="17"/>
      <c r="H7224" s="17" t="s">
        <v>12908</v>
      </c>
      <c r="I7224" s="17"/>
      <c r="J7224" s="17" t="s">
        <v>14018</v>
      </c>
      <c r="K7224" s="17"/>
      <c r="L7224" s="17" t="s">
        <v>14019</v>
      </c>
      <c r="M7224" s="17"/>
      <c r="N7224" s="17" t="s">
        <v>14020</v>
      </c>
      <c r="O7224" s="17"/>
      <c r="P7224" s="17" t="s">
        <v>16088</v>
      </c>
      <c r="Q7224" s="17"/>
      <c r="R7224" s="25" t="str">
        <f>HYPERLINK("https://ictv.global/taxonomy/taxondetails?taxnode_id=202306687","Mastrevirus oryzasecundi")</f>
        <v>Mastrevirus oryzasecundi</v>
      </c>
      <c r="S7224" s="18" t="s">
        <v>30</v>
      </c>
      <c r="T7224" s="18" t="s">
        <v>16254</v>
      </c>
      <c r="U7224" s="18" t="s">
        <v>16255</v>
      </c>
      <c r="V7224" s="18" t="s">
        <v>16256</v>
      </c>
      <c r="W7224" s="18" t="s">
        <v>16257</v>
      </c>
      <c r="X7224" s="18" t="s">
        <v>42</v>
      </c>
      <c r="Y7224" s="18" t="s">
        <v>12266</v>
      </c>
      <c r="Z7224" s="18" t="s">
        <v>13441</v>
      </c>
      <c r="AA7224" s="21" t="str">
        <f>HYPERLINK("https://www.ncbi.nlm.nih.gov/nuccore/KY962381","NCBI Nucleotide")</f>
        <v>NCBI Nucleotide</v>
      </c>
    </row>
    <row r="7225" spans="1:27" x14ac:dyDescent="0.35">
      <c r="A7225">
        <v>1008073</v>
      </c>
      <c r="B7225">
        <v>6720</v>
      </c>
      <c r="C7225">
        <v>1</v>
      </c>
      <c r="D7225" s="17" t="s">
        <v>10507</v>
      </c>
      <c r="E7225" s="17"/>
      <c r="F7225" s="17" t="s">
        <v>10780</v>
      </c>
      <c r="G7225" s="17"/>
      <c r="H7225" s="17" t="s">
        <v>12908</v>
      </c>
      <c r="I7225" s="17"/>
      <c r="J7225" s="17" t="s">
        <v>14018</v>
      </c>
      <c r="K7225" s="17"/>
      <c r="L7225" s="17" t="s">
        <v>14019</v>
      </c>
      <c r="M7225" s="17"/>
      <c r="N7225" s="17" t="s">
        <v>14020</v>
      </c>
      <c r="O7225" s="17"/>
      <c r="P7225" s="17" t="s">
        <v>16088</v>
      </c>
      <c r="Q7225" s="17"/>
      <c r="R7225" s="25" t="str">
        <f t="shared" ref="R7225:R7233" si="28">HYPERLINK("https://ictv.global/taxonomy/taxondetails?taxnode_id=202303528","Mastrevirus panici")</f>
        <v>Mastrevirus panici</v>
      </c>
      <c r="S7225" s="18" t="s">
        <v>30</v>
      </c>
      <c r="T7225" s="18" t="s">
        <v>16220</v>
      </c>
      <c r="U7225" s="18" t="s">
        <v>16221</v>
      </c>
      <c r="V7225" s="18" t="s">
        <v>16222</v>
      </c>
      <c r="W7225" s="18" t="s">
        <v>16223</v>
      </c>
      <c r="X7225" s="18" t="s">
        <v>42</v>
      </c>
      <c r="Y7225" s="18" t="s">
        <v>12266</v>
      </c>
      <c r="Z7225" s="18" t="s">
        <v>13441</v>
      </c>
      <c r="AA7225" s="21" t="str">
        <f>HYPERLINK("https://www.ncbi.nlm.nih.gov/nuccore/L39638","NCBI Nucleotide")</f>
        <v>NCBI Nucleotide</v>
      </c>
    </row>
    <row r="7226" spans="1:27" x14ac:dyDescent="0.35">
      <c r="A7226">
        <v>1012678</v>
      </c>
      <c r="B7226">
        <v>6720</v>
      </c>
      <c r="C7226">
        <v>2</v>
      </c>
      <c r="D7226" s="17" t="s">
        <v>10507</v>
      </c>
      <c r="E7226" s="17"/>
      <c r="F7226" s="17" t="s">
        <v>10780</v>
      </c>
      <c r="G7226" s="17"/>
      <c r="H7226" s="17" t="s">
        <v>12908</v>
      </c>
      <c r="I7226" s="17"/>
      <c r="J7226" s="17" t="s">
        <v>14018</v>
      </c>
      <c r="K7226" s="17"/>
      <c r="L7226" s="17" t="s">
        <v>14019</v>
      </c>
      <c r="M7226" s="17"/>
      <c r="N7226" s="17" t="s">
        <v>14020</v>
      </c>
      <c r="O7226" s="17"/>
      <c r="P7226" s="17" t="s">
        <v>16088</v>
      </c>
      <c r="Q7226" s="17"/>
      <c r="R7226" s="25" t="str">
        <f t="shared" si="28"/>
        <v>Mastrevirus panici</v>
      </c>
      <c r="S7226" s="18" t="s">
        <v>8141</v>
      </c>
      <c r="T7226" s="18" t="s">
        <v>16220</v>
      </c>
      <c r="U7226" s="18" t="s">
        <v>16224</v>
      </c>
      <c r="V7226" s="18" t="s">
        <v>16225</v>
      </c>
      <c r="W7226" s="18" t="s">
        <v>49232</v>
      </c>
      <c r="X7226" s="18" t="s">
        <v>42</v>
      </c>
      <c r="Y7226" s="18" t="s">
        <v>12266</v>
      </c>
      <c r="Z7226" s="18" t="s">
        <v>13441</v>
      </c>
      <c r="AA7226" s="21" t="str">
        <f>HYPERLINK("https://www.ncbi.nlm.nih.gov/nuccore/X60168","NCBI Nucleotide")</f>
        <v>NCBI Nucleotide</v>
      </c>
    </row>
    <row r="7227" spans="1:27" x14ac:dyDescent="0.35">
      <c r="A7227">
        <v>1012679</v>
      </c>
      <c r="B7227">
        <v>6720</v>
      </c>
      <c r="C7227">
        <v>3</v>
      </c>
      <c r="D7227" s="17" t="s">
        <v>10507</v>
      </c>
      <c r="E7227" s="17"/>
      <c r="F7227" s="17" t="s">
        <v>10780</v>
      </c>
      <c r="G7227" s="17"/>
      <c r="H7227" s="17" t="s">
        <v>12908</v>
      </c>
      <c r="I7227" s="17"/>
      <c r="J7227" s="17" t="s">
        <v>14018</v>
      </c>
      <c r="K7227" s="17"/>
      <c r="L7227" s="17" t="s">
        <v>14019</v>
      </c>
      <c r="M7227" s="17"/>
      <c r="N7227" s="17" t="s">
        <v>14020</v>
      </c>
      <c r="O7227" s="17"/>
      <c r="P7227" s="17" t="s">
        <v>16088</v>
      </c>
      <c r="Q7227" s="17"/>
      <c r="R7227" s="25" t="str">
        <f t="shared" si="28"/>
        <v>Mastrevirus panici</v>
      </c>
      <c r="S7227" s="18" t="s">
        <v>8141</v>
      </c>
      <c r="T7227" s="18" t="s">
        <v>16220</v>
      </c>
      <c r="U7227" s="18" t="s">
        <v>16226</v>
      </c>
      <c r="V7227" s="18" t="s">
        <v>16227</v>
      </c>
      <c r="W7227" s="18" t="s">
        <v>49233</v>
      </c>
      <c r="X7227" s="18" t="s">
        <v>42</v>
      </c>
      <c r="Y7227" s="18" t="s">
        <v>12266</v>
      </c>
      <c r="Z7227" s="18" t="s">
        <v>13441</v>
      </c>
      <c r="AA7227" s="21" t="str">
        <f>HYPERLINK("https://www.ncbi.nlm.nih.gov/nuccore/EU224264","NCBI Nucleotide")</f>
        <v>NCBI Nucleotide</v>
      </c>
    </row>
    <row r="7228" spans="1:27" x14ac:dyDescent="0.35">
      <c r="A7228">
        <v>1012680</v>
      </c>
      <c r="B7228">
        <v>6720</v>
      </c>
      <c r="C7228">
        <v>4</v>
      </c>
      <c r="D7228" s="17" t="s">
        <v>10507</v>
      </c>
      <c r="E7228" s="17"/>
      <c r="F7228" s="17" t="s">
        <v>10780</v>
      </c>
      <c r="G7228" s="17"/>
      <c r="H7228" s="17" t="s">
        <v>12908</v>
      </c>
      <c r="I7228" s="17"/>
      <c r="J7228" s="17" t="s">
        <v>14018</v>
      </c>
      <c r="K7228" s="17"/>
      <c r="L7228" s="17" t="s">
        <v>14019</v>
      </c>
      <c r="M7228" s="17"/>
      <c r="N7228" s="17" t="s">
        <v>14020</v>
      </c>
      <c r="O7228" s="17"/>
      <c r="P7228" s="17" t="s">
        <v>16088</v>
      </c>
      <c r="Q7228" s="17"/>
      <c r="R7228" s="25" t="str">
        <f t="shared" si="28"/>
        <v>Mastrevirus panici</v>
      </c>
      <c r="S7228" s="18" t="s">
        <v>8141</v>
      </c>
      <c r="T7228" s="18" t="s">
        <v>16220</v>
      </c>
      <c r="U7228" s="18" t="s">
        <v>16228</v>
      </c>
      <c r="V7228" s="18" t="s">
        <v>16229</v>
      </c>
      <c r="W7228" s="18" t="s">
        <v>49234</v>
      </c>
      <c r="X7228" s="18" t="s">
        <v>42</v>
      </c>
      <c r="Y7228" s="18" t="s">
        <v>12266</v>
      </c>
      <c r="Z7228" s="18" t="s">
        <v>13441</v>
      </c>
      <c r="AA7228" s="21" t="str">
        <f>HYPERLINK("https://www.ncbi.nlm.nih.gov/nuccore/EU224265","NCBI Nucleotide")</f>
        <v>NCBI Nucleotide</v>
      </c>
    </row>
    <row r="7229" spans="1:27" x14ac:dyDescent="0.35">
      <c r="A7229">
        <v>1012681</v>
      </c>
      <c r="B7229">
        <v>6720</v>
      </c>
      <c r="C7229">
        <v>5</v>
      </c>
      <c r="D7229" s="17" t="s">
        <v>10507</v>
      </c>
      <c r="E7229" s="17"/>
      <c r="F7229" s="17" t="s">
        <v>10780</v>
      </c>
      <c r="G7229" s="17"/>
      <c r="H7229" s="17" t="s">
        <v>12908</v>
      </c>
      <c r="I7229" s="17"/>
      <c r="J7229" s="17" t="s">
        <v>14018</v>
      </c>
      <c r="K7229" s="17"/>
      <c r="L7229" s="17" t="s">
        <v>14019</v>
      </c>
      <c r="M7229" s="17"/>
      <c r="N7229" s="17" t="s">
        <v>14020</v>
      </c>
      <c r="O7229" s="17"/>
      <c r="P7229" s="17" t="s">
        <v>16088</v>
      </c>
      <c r="Q7229" s="17"/>
      <c r="R7229" s="25" t="str">
        <f t="shared" si="28"/>
        <v>Mastrevirus panici</v>
      </c>
      <c r="S7229" s="18" t="s">
        <v>8141</v>
      </c>
      <c r="T7229" s="18" t="s">
        <v>16220</v>
      </c>
      <c r="U7229" s="18" t="s">
        <v>16230</v>
      </c>
      <c r="V7229" s="18" t="s">
        <v>16231</v>
      </c>
      <c r="W7229" s="18" t="s">
        <v>49235</v>
      </c>
      <c r="X7229" s="18" t="s">
        <v>42</v>
      </c>
      <c r="Y7229" s="18" t="s">
        <v>12266</v>
      </c>
      <c r="Z7229" s="18" t="s">
        <v>13441</v>
      </c>
      <c r="AA7229" s="21" t="str">
        <f>HYPERLINK("https://www.ncbi.nlm.nih.gov/nuccore/GQ415391","NCBI Nucleotide")</f>
        <v>NCBI Nucleotide</v>
      </c>
    </row>
    <row r="7230" spans="1:27" x14ac:dyDescent="0.35">
      <c r="A7230">
        <v>1012682</v>
      </c>
      <c r="B7230">
        <v>6720</v>
      </c>
      <c r="C7230">
        <v>6</v>
      </c>
      <c r="D7230" s="17" t="s">
        <v>10507</v>
      </c>
      <c r="E7230" s="17"/>
      <c r="F7230" s="17" t="s">
        <v>10780</v>
      </c>
      <c r="G7230" s="17"/>
      <c r="H7230" s="17" t="s">
        <v>12908</v>
      </c>
      <c r="I7230" s="17"/>
      <c r="J7230" s="17" t="s">
        <v>14018</v>
      </c>
      <c r="K7230" s="17"/>
      <c r="L7230" s="17" t="s">
        <v>14019</v>
      </c>
      <c r="M7230" s="17"/>
      <c r="N7230" s="17" t="s">
        <v>14020</v>
      </c>
      <c r="O7230" s="17"/>
      <c r="P7230" s="17" t="s">
        <v>16088</v>
      </c>
      <c r="Q7230" s="17"/>
      <c r="R7230" s="25" t="str">
        <f t="shared" si="28"/>
        <v>Mastrevirus panici</v>
      </c>
      <c r="S7230" s="18" t="s">
        <v>8141</v>
      </c>
      <c r="T7230" s="18" t="s">
        <v>16220</v>
      </c>
      <c r="U7230" s="18" t="s">
        <v>16232</v>
      </c>
      <c r="V7230" s="18" t="s">
        <v>16233</v>
      </c>
      <c r="W7230" s="18" t="s">
        <v>49236</v>
      </c>
      <c r="X7230" s="18" t="s">
        <v>42</v>
      </c>
      <c r="Y7230" s="18" t="s">
        <v>12266</v>
      </c>
      <c r="Z7230" s="18" t="s">
        <v>13441</v>
      </c>
      <c r="AA7230" s="21" t="str">
        <f>HYPERLINK("https://www.ncbi.nlm.nih.gov/nuccore/GQ415392","NCBI Nucleotide")</f>
        <v>NCBI Nucleotide</v>
      </c>
    </row>
    <row r="7231" spans="1:27" x14ac:dyDescent="0.35">
      <c r="A7231">
        <v>1012683</v>
      </c>
      <c r="B7231">
        <v>6720</v>
      </c>
      <c r="C7231">
        <v>7</v>
      </c>
      <c r="D7231" s="17" t="s">
        <v>10507</v>
      </c>
      <c r="E7231" s="17"/>
      <c r="F7231" s="17" t="s">
        <v>10780</v>
      </c>
      <c r="G7231" s="17"/>
      <c r="H7231" s="17" t="s">
        <v>12908</v>
      </c>
      <c r="I7231" s="17"/>
      <c r="J7231" s="17" t="s">
        <v>14018</v>
      </c>
      <c r="K7231" s="17"/>
      <c r="L7231" s="17" t="s">
        <v>14019</v>
      </c>
      <c r="M7231" s="17"/>
      <c r="N7231" s="17" t="s">
        <v>14020</v>
      </c>
      <c r="O7231" s="17"/>
      <c r="P7231" s="17" t="s">
        <v>16088</v>
      </c>
      <c r="Q7231" s="17"/>
      <c r="R7231" s="25" t="str">
        <f t="shared" si="28"/>
        <v>Mastrevirus panici</v>
      </c>
      <c r="S7231" s="18" t="s">
        <v>8141</v>
      </c>
      <c r="T7231" s="18" t="s">
        <v>16220</v>
      </c>
      <c r="U7231" s="18" t="s">
        <v>16234</v>
      </c>
      <c r="V7231" s="18" t="s">
        <v>16235</v>
      </c>
      <c r="W7231" s="18" t="s">
        <v>49237</v>
      </c>
      <c r="X7231" s="18" t="s">
        <v>42</v>
      </c>
      <c r="Y7231" s="18" t="s">
        <v>12266</v>
      </c>
      <c r="Z7231" s="18" t="s">
        <v>13441</v>
      </c>
      <c r="AA7231" s="21" t="str">
        <f>HYPERLINK("https://www.ncbi.nlm.nih.gov/nuccore/GQ415395","NCBI Nucleotide")</f>
        <v>NCBI Nucleotide</v>
      </c>
    </row>
    <row r="7232" spans="1:27" x14ac:dyDescent="0.35">
      <c r="A7232">
        <v>1012684</v>
      </c>
      <c r="B7232">
        <v>6720</v>
      </c>
      <c r="C7232">
        <v>8</v>
      </c>
      <c r="D7232" s="17" t="s">
        <v>10507</v>
      </c>
      <c r="E7232" s="17"/>
      <c r="F7232" s="17" t="s">
        <v>10780</v>
      </c>
      <c r="G7232" s="17"/>
      <c r="H7232" s="17" t="s">
        <v>12908</v>
      </c>
      <c r="I7232" s="17"/>
      <c r="J7232" s="17" t="s">
        <v>14018</v>
      </c>
      <c r="K7232" s="17"/>
      <c r="L7232" s="17" t="s">
        <v>14019</v>
      </c>
      <c r="M7232" s="17"/>
      <c r="N7232" s="17" t="s">
        <v>14020</v>
      </c>
      <c r="O7232" s="17"/>
      <c r="P7232" s="17" t="s">
        <v>16088</v>
      </c>
      <c r="Q7232" s="17"/>
      <c r="R7232" s="25" t="str">
        <f t="shared" si="28"/>
        <v>Mastrevirus panici</v>
      </c>
      <c r="S7232" s="18" t="s">
        <v>8141</v>
      </c>
      <c r="T7232" s="18" t="s">
        <v>16220</v>
      </c>
      <c r="U7232" s="18" t="s">
        <v>16236</v>
      </c>
      <c r="V7232" s="18" t="s">
        <v>16237</v>
      </c>
      <c r="W7232" s="18" t="s">
        <v>49238</v>
      </c>
      <c r="X7232" s="18" t="s">
        <v>42</v>
      </c>
      <c r="Y7232" s="18" t="s">
        <v>12266</v>
      </c>
      <c r="Z7232" s="18" t="s">
        <v>13441</v>
      </c>
      <c r="AA7232" s="21" t="str">
        <f>HYPERLINK("https://www.ncbi.nlm.nih.gov/nuccore/GQ415397","NCBI Nucleotide")</f>
        <v>NCBI Nucleotide</v>
      </c>
    </row>
    <row r="7233" spans="1:27" x14ac:dyDescent="0.35">
      <c r="A7233">
        <v>1012685</v>
      </c>
      <c r="B7233">
        <v>6720</v>
      </c>
      <c r="C7233">
        <v>9</v>
      </c>
      <c r="D7233" s="17" t="s">
        <v>10507</v>
      </c>
      <c r="E7233" s="17"/>
      <c r="F7233" s="17" t="s">
        <v>10780</v>
      </c>
      <c r="G7233" s="17"/>
      <c r="H7233" s="17" t="s">
        <v>12908</v>
      </c>
      <c r="I7233" s="17"/>
      <c r="J7233" s="17" t="s">
        <v>14018</v>
      </c>
      <c r="K7233" s="17"/>
      <c r="L7233" s="17" t="s">
        <v>14019</v>
      </c>
      <c r="M7233" s="17"/>
      <c r="N7233" s="17" t="s">
        <v>14020</v>
      </c>
      <c r="O7233" s="17"/>
      <c r="P7233" s="17" t="s">
        <v>16088</v>
      </c>
      <c r="Q7233" s="17"/>
      <c r="R7233" s="25" t="str">
        <f t="shared" si="28"/>
        <v>Mastrevirus panici</v>
      </c>
      <c r="S7233" s="18" t="s">
        <v>8141</v>
      </c>
      <c r="T7233" s="18" t="s">
        <v>16220</v>
      </c>
      <c r="U7233" s="18" t="s">
        <v>16238</v>
      </c>
      <c r="V7233" s="18" t="s">
        <v>16239</v>
      </c>
      <c r="W7233" s="18" t="s">
        <v>49239</v>
      </c>
      <c r="X7233" s="18" t="s">
        <v>42</v>
      </c>
      <c r="Y7233" s="18" t="s">
        <v>12266</v>
      </c>
      <c r="Z7233" s="18" t="s">
        <v>13441</v>
      </c>
      <c r="AA7233" s="21" t="str">
        <f>HYPERLINK("https://www.ncbi.nlm.nih.gov/nuccore/GQ415399","NCBI Nucleotide")</f>
        <v>NCBI Nucleotide</v>
      </c>
    </row>
    <row r="7234" spans="1:27" x14ac:dyDescent="0.35">
      <c r="A7234">
        <v>1008075</v>
      </c>
      <c r="B7234">
        <v>6721</v>
      </c>
      <c r="C7234">
        <v>1</v>
      </c>
      <c r="D7234" s="17" t="s">
        <v>10507</v>
      </c>
      <c r="E7234" s="17"/>
      <c r="F7234" s="17" t="s">
        <v>10780</v>
      </c>
      <c r="G7234" s="17"/>
      <c r="H7234" s="17" t="s">
        <v>12908</v>
      </c>
      <c r="I7234" s="17"/>
      <c r="J7234" s="17" t="s">
        <v>14018</v>
      </c>
      <c r="K7234" s="17"/>
      <c r="L7234" s="17" t="s">
        <v>14019</v>
      </c>
      <c r="M7234" s="17"/>
      <c r="N7234" s="17" t="s">
        <v>14020</v>
      </c>
      <c r="O7234" s="17"/>
      <c r="P7234" s="17" t="s">
        <v>16088</v>
      </c>
      <c r="Q7234" s="17"/>
      <c r="R7234" s="25" t="str">
        <f>HYPERLINK("https://ictv.global/taxonomy/taxondetails?taxnode_id=202303530","Mastrevirus paspali")</f>
        <v>Mastrevirus paspali</v>
      </c>
      <c r="S7234" s="18" t="s">
        <v>30</v>
      </c>
      <c r="T7234" s="18" t="s">
        <v>16244</v>
      </c>
      <c r="U7234" s="18" t="s">
        <v>16245</v>
      </c>
      <c r="V7234" s="18" t="s">
        <v>16246</v>
      </c>
      <c r="W7234" s="18" t="s">
        <v>16247</v>
      </c>
      <c r="X7234" s="18" t="s">
        <v>42</v>
      </c>
      <c r="Y7234" s="18" t="s">
        <v>12266</v>
      </c>
      <c r="Z7234" s="18" t="s">
        <v>13441</v>
      </c>
      <c r="AA7234" s="21" t="str">
        <f>HYPERLINK("https://www.ncbi.nlm.nih.gov/nuccore/JF905486","NCBI Nucleotide")</f>
        <v>NCBI Nucleotide</v>
      </c>
    </row>
    <row r="7235" spans="1:27" x14ac:dyDescent="0.35">
      <c r="A7235">
        <v>1012686</v>
      </c>
      <c r="B7235">
        <v>6721</v>
      </c>
      <c r="C7235">
        <v>2</v>
      </c>
      <c r="D7235" s="17" t="s">
        <v>10507</v>
      </c>
      <c r="E7235" s="17"/>
      <c r="F7235" s="17" t="s">
        <v>10780</v>
      </c>
      <c r="G7235" s="17"/>
      <c r="H7235" s="17" t="s">
        <v>12908</v>
      </c>
      <c r="I7235" s="17"/>
      <c r="J7235" s="17" t="s">
        <v>14018</v>
      </c>
      <c r="K7235" s="17"/>
      <c r="L7235" s="17" t="s">
        <v>14019</v>
      </c>
      <c r="M7235" s="17"/>
      <c r="N7235" s="17" t="s">
        <v>14020</v>
      </c>
      <c r="O7235" s="17"/>
      <c r="P7235" s="17" t="s">
        <v>16088</v>
      </c>
      <c r="Q7235" s="17"/>
      <c r="R7235" s="25" t="str">
        <f>HYPERLINK("https://ictv.global/taxonomy/taxondetails?taxnode_id=202303530","Mastrevirus paspali")</f>
        <v>Mastrevirus paspali</v>
      </c>
      <c r="S7235" s="18" t="s">
        <v>8141</v>
      </c>
      <c r="T7235" s="18" t="s">
        <v>16244</v>
      </c>
      <c r="U7235" s="18" t="s">
        <v>16248</v>
      </c>
      <c r="V7235" s="18" t="s">
        <v>16249</v>
      </c>
      <c r="W7235" s="18" t="s">
        <v>49240</v>
      </c>
      <c r="X7235" s="18" t="s">
        <v>42</v>
      </c>
      <c r="Y7235" s="18" t="s">
        <v>12266</v>
      </c>
      <c r="Z7235" s="18" t="s">
        <v>13441</v>
      </c>
      <c r="AA7235" s="21" t="str">
        <f>HYPERLINK("https://www.ncbi.nlm.nih.gov/nuccore/JQ948069","NCBI Nucleotide")</f>
        <v>NCBI Nucleotide</v>
      </c>
    </row>
    <row r="7236" spans="1:27" x14ac:dyDescent="0.35">
      <c r="A7236">
        <v>1008054</v>
      </c>
      <c r="B7236">
        <v>6722</v>
      </c>
      <c r="C7236">
        <v>1</v>
      </c>
      <c r="D7236" s="17" t="s">
        <v>10507</v>
      </c>
      <c r="E7236" s="17"/>
      <c r="F7236" s="17" t="s">
        <v>10780</v>
      </c>
      <c r="G7236" s="17"/>
      <c r="H7236" s="17" t="s">
        <v>12908</v>
      </c>
      <c r="I7236" s="17"/>
      <c r="J7236" s="17" t="s">
        <v>14018</v>
      </c>
      <c r="K7236" s="17"/>
      <c r="L7236" s="17" t="s">
        <v>14019</v>
      </c>
      <c r="M7236" s="17"/>
      <c r="N7236" s="17" t="s">
        <v>14020</v>
      </c>
      <c r="O7236" s="17"/>
      <c r="P7236" s="17" t="s">
        <v>16088</v>
      </c>
      <c r="Q7236" s="17"/>
      <c r="R7236" s="25" t="str">
        <f>HYPERLINK("https://ictv.global/taxonomy/taxondetails?taxnode_id=202303516","Mastrevirus rubrumprimi")</f>
        <v>Mastrevirus rubrumprimi</v>
      </c>
      <c r="S7236" s="18" t="s">
        <v>30</v>
      </c>
      <c r="T7236" s="18" t="s">
        <v>16123</v>
      </c>
      <c r="U7236" s="18" t="s">
        <v>16124</v>
      </c>
      <c r="V7236" s="18" t="s">
        <v>16125</v>
      </c>
      <c r="W7236" s="18" t="s">
        <v>16126</v>
      </c>
      <c r="X7236" s="18" t="s">
        <v>42</v>
      </c>
      <c r="Y7236" s="18" t="s">
        <v>12266</v>
      </c>
      <c r="Z7236" s="18" t="s">
        <v>13441</v>
      </c>
      <c r="AA7236" s="21" t="str">
        <f>HYPERLINK("https://www.ncbi.nlm.nih.gov/nuccore/GU256532","NCBI Nucleotide")</f>
        <v>NCBI Nucleotide</v>
      </c>
    </row>
    <row r="7237" spans="1:27" x14ac:dyDescent="0.35">
      <c r="A7237">
        <v>1008055</v>
      </c>
      <c r="B7237">
        <v>6723</v>
      </c>
      <c r="C7237">
        <v>1</v>
      </c>
      <c r="D7237" s="17" t="s">
        <v>10507</v>
      </c>
      <c r="E7237" s="17"/>
      <c r="F7237" s="17" t="s">
        <v>10780</v>
      </c>
      <c r="G7237" s="17"/>
      <c r="H7237" s="17" t="s">
        <v>12908</v>
      </c>
      <c r="I7237" s="17"/>
      <c r="J7237" s="17" t="s">
        <v>14018</v>
      </c>
      <c r="K7237" s="17"/>
      <c r="L7237" s="17" t="s">
        <v>14019</v>
      </c>
      <c r="M7237" s="17"/>
      <c r="N7237" s="17" t="s">
        <v>14020</v>
      </c>
      <c r="O7237" s="17"/>
      <c r="P7237" s="17" t="s">
        <v>16088</v>
      </c>
      <c r="Q7237" s="17"/>
      <c r="R7237" s="25" t="str">
        <f>HYPERLINK("https://ictv.global/taxonomy/taxondetails?taxnode_id=202309104","Mastrevirus rubrumsecundi")</f>
        <v>Mastrevirus rubrumsecundi</v>
      </c>
      <c r="S7237" s="18" t="s">
        <v>30</v>
      </c>
      <c r="T7237" s="18" t="s">
        <v>16127</v>
      </c>
      <c r="U7237" s="18" t="s">
        <v>16128</v>
      </c>
      <c r="V7237" s="18" t="s">
        <v>16129</v>
      </c>
      <c r="W7237" s="18" t="s">
        <v>16130</v>
      </c>
      <c r="X7237" s="18" t="s">
        <v>42</v>
      </c>
      <c r="Y7237" s="18" t="s">
        <v>12266</v>
      </c>
      <c r="Z7237" s="18" t="s">
        <v>13441</v>
      </c>
      <c r="AA7237" s="21" t="str">
        <f>HYPERLINK("https://www.ncbi.nlm.nih.gov/nuccore/MK940528","NCBI Nucleotide")</f>
        <v>NCBI Nucleotide</v>
      </c>
    </row>
    <row r="7238" spans="1:27" x14ac:dyDescent="0.35">
      <c r="A7238">
        <v>1008078</v>
      </c>
      <c r="B7238">
        <v>6724</v>
      </c>
      <c r="C7238">
        <v>1</v>
      </c>
      <c r="D7238" s="17" t="s">
        <v>10507</v>
      </c>
      <c r="E7238" s="17"/>
      <c r="F7238" s="17" t="s">
        <v>10780</v>
      </c>
      <c r="G7238" s="17"/>
      <c r="H7238" s="17" t="s">
        <v>12908</v>
      </c>
      <c r="I7238" s="17"/>
      <c r="J7238" s="17" t="s">
        <v>14018</v>
      </c>
      <c r="K7238" s="17"/>
      <c r="L7238" s="17" t="s">
        <v>14019</v>
      </c>
      <c r="M7238" s="17"/>
      <c r="N7238" s="17" t="s">
        <v>14020</v>
      </c>
      <c r="O7238" s="17"/>
      <c r="P7238" s="17" t="s">
        <v>16088</v>
      </c>
      <c r="Q7238" s="17"/>
      <c r="R7238" s="25" t="str">
        <f>HYPERLINK("https://ictv.global/taxonomy/taxondetails?taxnode_id=202303531","Mastrevirus sacchari")</f>
        <v>Mastrevirus sacchari</v>
      </c>
      <c r="S7238" s="18" t="s">
        <v>30</v>
      </c>
      <c r="T7238" s="18" t="s">
        <v>16258</v>
      </c>
      <c r="U7238" s="18" t="s">
        <v>16259</v>
      </c>
      <c r="V7238" s="18" t="s">
        <v>16260</v>
      </c>
      <c r="W7238" s="18" t="s">
        <v>16261</v>
      </c>
      <c r="X7238" s="18" t="s">
        <v>42</v>
      </c>
      <c r="Y7238" s="18" t="s">
        <v>12266</v>
      </c>
      <c r="Z7238" s="18" t="s">
        <v>13441</v>
      </c>
      <c r="AA7238" s="21" t="str">
        <f>HYPERLINK("https://www.ncbi.nlm.nih.gov/nuccore/GQ273988","NCBI Nucleotide")</f>
        <v>NCBI Nucleotide</v>
      </c>
    </row>
    <row r="7239" spans="1:27" x14ac:dyDescent="0.35">
      <c r="A7239">
        <v>1008085</v>
      </c>
      <c r="B7239">
        <v>6725</v>
      </c>
      <c r="C7239">
        <v>1</v>
      </c>
      <c r="D7239" s="17" t="s">
        <v>10507</v>
      </c>
      <c r="E7239" s="17"/>
      <c r="F7239" s="17" t="s">
        <v>10780</v>
      </c>
      <c r="G7239" s="17"/>
      <c r="H7239" s="17" t="s">
        <v>12908</v>
      </c>
      <c r="I7239" s="17"/>
      <c r="J7239" s="17" t="s">
        <v>14018</v>
      </c>
      <c r="K7239" s="17"/>
      <c r="L7239" s="17" t="s">
        <v>14019</v>
      </c>
      <c r="M7239" s="17"/>
      <c r="N7239" s="17" t="s">
        <v>14020</v>
      </c>
      <c r="O7239" s="17"/>
      <c r="P7239" s="17" t="s">
        <v>16088</v>
      </c>
      <c r="Q7239" s="17"/>
      <c r="R7239" s="25" t="str">
        <f>HYPERLINK("https://ictv.global/taxonomy/taxondetails?taxnode_id=202303536","Mastrevirus saccharofficinari")</f>
        <v>Mastrevirus saccharofficinari</v>
      </c>
      <c r="S7239" s="18" t="s">
        <v>30</v>
      </c>
      <c r="T7239" s="18" t="s">
        <v>16286</v>
      </c>
      <c r="U7239" s="18" t="s">
        <v>16287</v>
      </c>
      <c r="V7239" s="18" t="s">
        <v>16288</v>
      </c>
      <c r="W7239" s="18" t="s">
        <v>16289</v>
      </c>
      <c r="X7239" s="18" t="s">
        <v>42</v>
      </c>
      <c r="Y7239" s="18" t="s">
        <v>12266</v>
      </c>
      <c r="Z7239" s="18" t="s">
        <v>13441</v>
      </c>
      <c r="AA7239" s="21" t="str">
        <f>HYPERLINK("https://www.ncbi.nlm.nih.gov/nuccore/M82918","NCBI Nucleotide")</f>
        <v>NCBI Nucleotide</v>
      </c>
    </row>
    <row r="7240" spans="1:27" x14ac:dyDescent="0.35">
      <c r="A7240">
        <v>1012688</v>
      </c>
      <c r="B7240">
        <v>6725</v>
      </c>
      <c r="C7240">
        <v>2</v>
      </c>
      <c r="D7240" s="17" t="s">
        <v>10507</v>
      </c>
      <c r="E7240" s="17"/>
      <c r="F7240" s="17" t="s">
        <v>10780</v>
      </c>
      <c r="G7240" s="17"/>
      <c r="H7240" s="17" t="s">
        <v>12908</v>
      </c>
      <c r="I7240" s="17"/>
      <c r="J7240" s="17" t="s">
        <v>14018</v>
      </c>
      <c r="K7240" s="17"/>
      <c r="L7240" s="17" t="s">
        <v>14019</v>
      </c>
      <c r="M7240" s="17"/>
      <c r="N7240" s="17" t="s">
        <v>14020</v>
      </c>
      <c r="O7240" s="17"/>
      <c r="P7240" s="17" t="s">
        <v>16088</v>
      </c>
      <c r="Q7240" s="17"/>
      <c r="R7240" s="25" t="str">
        <f>HYPERLINK("https://ictv.global/taxonomy/taxondetails?taxnode_id=202303536","Mastrevirus saccharofficinari")</f>
        <v>Mastrevirus saccharofficinari</v>
      </c>
      <c r="S7240" s="18" t="s">
        <v>8141</v>
      </c>
      <c r="T7240" s="18" t="s">
        <v>16286</v>
      </c>
      <c r="U7240" s="18" t="s">
        <v>16290</v>
      </c>
      <c r="V7240" s="18" t="s">
        <v>16291</v>
      </c>
      <c r="W7240" s="18" t="s">
        <v>49241</v>
      </c>
      <c r="X7240" s="18" t="s">
        <v>42</v>
      </c>
      <c r="Y7240" s="18" t="s">
        <v>12266</v>
      </c>
      <c r="Z7240" s="18" t="s">
        <v>13441</v>
      </c>
      <c r="AA7240" s="21" t="str">
        <f>HYPERLINK("https://www.ncbi.nlm.nih.gov/nuccore/EU244914","NCBI Nucleotide")</f>
        <v>NCBI Nucleotide</v>
      </c>
    </row>
    <row r="7241" spans="1:27" x14ac:dyDescent="0.35">
      <c r="A7241">
        <v>1008087</v>
      </c>
      <c r="B7241">
        <v>6726</v>
      </c>
      <c r="C7241">
        <v>1</v>
      </c>
      <c r="D7241" s="17" t="s">
        <v>10507</v>
      </c>
      <c r="E7241" s="17"/>
      <c r="F7241" s="17" t="s">
        <v>10780</v>
      </c>
      <c r="G7241" s="17"/>
      <c r="H7241" s="17" t="s">
        <v>12908</v>
      </c>
      <c r="I7241" s="17"/>
      <c r="J7241" s="17" t="s">
        <v>14018</v>
      </c>
      <c r="K7241" s="17"/>
      <c r="L7241" s="17" t="s">
        <v>14019</v>
      </c>
      <c r="M7241" s="17"/>
      <c r="N7241" s="17" t="s">
        <v>14020</v>
      </c>
      <c r="O7241" s="17"/>
      <c r="P7241" s="17" t="s">
        <v>16088</v>
      </c>
      <c r="Q7241" s="17"/>
      <c r="R7241" s="25" t="str">
        <f>HYPERLINK("https://ictv.global/taxonomy/taxondetails?taxnode_id=202303537","Mastrevirus saccharumalbusvenae")</f>
        <v>Mastrevirus saccharumalbusvenae</v>
      </c>
      <c r="S7241" s="18" t="s">
        <v>30</v>
      </c>
      <c r="T7241" s="18" t="s">
        <v>16296</v>
      </c>
      <c r="U7241" s="18" t="s">
        <v>16297</v>
      </c>
      <c r="V7241" s="18" t="s">
        <v>16298</v>
      </c>
      <c r="W7241" s="18" t="s">
        <v>16299</v>
      </c>
      <c r="X7241" s="18" t="s">
        <v>42</v>
      </c>
      <c r="Y7241" s="18" t="s">
        <v>12266</v>
      </c>
      <c r="Z7241" s="18" t="s">
        <v>13441</v>
      </c>
      <c r="AA7241" s="21" t="str">
        <f>HYPERLINK("https://www.ncbi.nlm.nih.gov/nuccore/KJ210622","NCBI Nucleotide")</f>
        <v>NCBI Nucleotide</v>
      </c>
    </row>
    <row r="7242" spans="1:27" x14ac:dyDescent="0.35">
      <c r="A7242">
        <v>1008084</v>
      </c>
      <c r="B7242">
        <v>6727</v>
      </c>
      <c r="C7242">
        <v>1</v>
      </c>
      <c r="D7242" s="17" t="s">
        <v>10507</v>
      </c>
      <c r="E7242" s="17"/>
      <c r="F7242" s="17" t="s">
        <v>10780</v>
      </c>
      <c r="G7242" s="17"/>
      <c r="H7242" s="17" t="s">
        <v>12908</v>
      </c>
      <c r="I7242" s="17"/>
      <c r="J7242" s="17" t="s">
        <v>14018</v>
      </c>
      <c r="K7242" s="17"/>
      <c r="L7242" s="17" t="s">
        <v>14019</v>
      </c>
      <c r="M7242" s="17"/>
      <c r="N7242" s="17" t="s">
        <v>14020</v>
      </c>
      <c r="O7242" s="17"/>
      <c r="P7242" s="17" t="s">
        <v>16088</v>
      </c>
      <c r="Q7242" s="17"/>
      <c r="R7242" s="25" t="str">
        <f>HYPERLINK("https://ictv.global/taxonomy/taxondetails?taxnode_id=202303535","Mastrevirus saccharumbourbonense")</f>
        <v>Mastrevirus saccharumbourbonense</v>
      </c>
      <c r="S7242" s="18" t="s">
        <v>30</v>
      </c>
      <c r="T7242" s="18" t="s">
        <v>16280</v>
      </c>
      <c r="U7242" s="18" t="s">
        <v>16281</v>
      </c>
      <c r="V7242" s="18" t="s">
        <v>16282</v>
      </c>
      <c r="W7242" s="18" t="s">
        <v>16283</v>
      </c>
      <c r="X7242" s="18" t="s">
        <v>42</v>
      </c>
      <c r="Y7242" s="18" t="s">
        <v>12266</v>
      </c>
      <c r="Z7242" s="18" t="s">
        <v>13441</v>
      </c>
      <c r="AA7242" s="21" t="str">
        <f>HYPERLINK("https://www.ncbi.nlm.nih.gov/nuccore/AF072672","NCBI Nucleotide")</f>
        <v>NCBI Nucleotide</v>
      </c>
    </row>
    <row r="7243" spans="1:27" x14ac:dyDescent="0.35">
      <c r="A7243">
        <v>1012687</v>
      </c>
      <c r="B7243">
        <v>6727</v>
      </c>
      <c r="C7243">
        <v>2</v>
      </c>
      <c r="D7243" s="17" t="s">
        <v>10507</v>
      </c>
      <c r="E7243" s="17"/>
      <c r="F7243" s="17" t="s">
        <v>10780</v>
      </c>
      <c r="G7243" s="17"/>
      <c r="H7243" s="17" t="s">
        <v>12908</v>
      </c>
      <c r="I7243" s="17"/>
      <c r="J7243" s="17" t="s">
        <v>14018</v>
      </c>
      <c r="K7243" s="17"/>
      <c r="L7243" s="17" t="s">
        <v>14019</v>
      </c>
      <c r="M7243" s="17"/>
      <c r="N7243" s="17" t="s">
        <v>14020</v>
      </c>
      <c r="O7243" s="17"/>
      <c r="P7243" s="17" t="s">
        <v>16088</v>
      </c>
      <c r="Q7243" s="17"/>
      <c r="R7243" s="25" t="str">
        <f>HYPERLINK("https://ictv.global/taxonomy/taxondetails?taxnode_id=202303535","Mastrevirus saccharumbourbonense")</f>
        <v>Mastrevirus saccharumbourbonense</v>
      </c>
      <c r="S7243" s="18" t="s">
        <v>8141</v>
      </c>
      <c r="T7243" s="18" t="s">
        <v>16280</v>
      </c>
      <c r="U7243" s="18" t="s">
        <v>16284</v>
      </c>
      <c r="V7243" s="18" t="s">
        <v>16285</v>
      </c>
      <c r="W7243" s="18" t="s">
        <v>49242</v>
      </c>
      <c r="X7243" s="18" t="s">
        <v>42</v>
      </c>
      <c r="Y7243" s="18" t="s">
        <v>12266</v>
      </c>
      <c r="Z7243" s="18" t="s">
        <v>13441</v>
      </c>
      <c r="AA7243" s="21" t="str">
        <f>HYPERLINK("https://www.ncbi.nlm.nih.gov/nuccore/EU244916","NCBI Nucleotide")</f>
        <v>NCBI Nucleotide</v>
      </c>
    </row>
    <row r="7244" spans="1:27" x14ac:dyDescent="0.35">
      <c r="A7244">
        <v>1008083</v>
      </c>
      <c r="B7244">
        <v>6728</v>
      </c>
      <c r="C7244">
        <v>1</v>
      </c>
      <c r="D7244" s="17" t="s">
        <v>10507</v>
      </c>
      <c r="E7244" s="17"/>
      <c r="F7244" s="17" t="s">
        <v>10780</v>
      </c>
      <c r="G7244" s="17"/>
      <c r="H7244" s="17" t="s">
        <v>12908</v>
      </c>
      <c r="I7244" s="17"/>
      <c r="J7244" s="17" t="s">
        <v>14018</v>
      </c>
      <c r="K7244" s="17"/>
      <c r="L7244" s="17" t="s">
        <v>14019</v>
      </c>
      <c r="M7244" s="17"/>
      <c r="N7244" s="17" t="s">
        <v>14020</v>
      </c>
      <c r="O7244" s="17"/>
      <c r="P7244" s="17" t="s">
        <v>16088</v>
      </c>
      <c r="Q7244" s="17"/>
      <c r="R7244" s="25" t="str">
        <f>HYPERLINK("https://ictv.global/taxonomy/taxondetails?taxnode_id=202303534","Mastrevirus saccharumegyptense")</f>
        <v>Mastrevirus saccharumegyptense</v>
      </c>
      <c r="S7244" s="18" t="s">
        <v>30</v>
      </c>
      <c r="T7244" s="18" t="s">
        <v>16276</v>
      </c>
      <c r="U7244" s="18" t="s">
        <v>16277</v>
      </c>
      <c r="V7244" s="18" t="s">
        <v>16278</v>
      </c>
      <c r="W7244" s="18" t="s">
        <v>16279</v>
      </c>
      <c r="X7244" s="18" t="s">
        <v>42</v>
      </c>
      <c r="Y7244" s="18" t="s">
        <v>12266</v>
      </c>
      <c r="Z7244" s="18" t="s">
        <v>13441</v>
      </c>
      <c r="AA7244" s="21" t="str">
        <f>HYPERLINK("https://www.ncbi.nlm.nih.gov/nuccore/AF037752","NCBI Nucleotide")</f>
        <v>NCBI Nucleotide</v>
      </c>
    </row>
    <row r="7245" spans="1:27" x14ac:dyDescent="0.35">
      <c r="A7245">
        <v>1008082</v>
      </c>
      <c r="B7245">
        <v>6729</v>
      </c>
      <c r="C7245">
        <v>1</v>
      </c>
      <c r="D7245" s="17" t="s">
        <v>10507</v>
      </c>
      <c r="E7245" s="17"/>
      <c r="F7245" s="17" t="s">
        <v>10780</v>
      </c>
      <c r="G7245" s="17"/>
      <c r="H7245" s="17" t="s">
        <v>12908</v>
      </c>
      <c r="I7245" s="17"/>
      <c r="J7245" s="17" t="s">
        <v>14018</v>
      </c>
      <c r="K7245" s="17"/>
      <c r="L7245" s="17" t="s">
        <v>14019</v>
      </c>
      <c r="M7245" s="17"/>
      <c r="N7245" s="17" t="s">
        <v>14020</v>
      </c>
      <c r="O7245" s="17"/>
      <c r="P7245" s="17" t="s">
        <v>16088</v>
      </c>
      <c r="Q7245" s="17"/>
      <c r="R7245" s="25" t="str">
        <f>HYPERLINK("https://ictv.global/taxonomy/taxondetails?taxnode_id=202305855","Mastrevirus saccharumpallidi")</f>
        <v>Mastrevirus saccharumpallidi</v>
      </c>
      <c r="S7245" s="18" t="s">
        <v>30</v>
      </c>
      <c r="T7245" s="18" t="s">
        <v>16273</v>
      </c>
      <c r="U7245" s="18" t="s">
        <v>13933</v>
      </c>
      <c r="V7245" s="18" t="s">
        <v>16274</v>
      </c>
      <c r="W7245" s="18" t="s">
        <v>16275</v>
      </c>
      <c r="X7245" s="18" t="s">
        <v>42</v>
      </c>
      <c r="Y7245" s="18" t="s">
        <v>12266</v>
      </c>
      <c r="Z7245" s="18" t="s">
        <v>13441</v>
      </c>
      <c r="AA7245" s="21" t="str">
        <f>HYPERLINK("https://www.ncbi.nlm.nih.gov/nuccore/KX787914","NCBI Nucleotide")</f>
        <v>NCBI Nucleotide</v>
      </c>
    </row>
    <row r="7246" spans="1:27" x14ac:dyDescent="0.35">
      <c r="A7246">
        <v>1008086</v>
      </c>
      <c r="B7246">
        <v>6730</v>
      </c>
      <c r="C7246">
        <v>1</v>
      </c>
      <c r="D7246" s="17" t="s">
        <v>10507</v>
      </c>
      <c r="E7246" s="17"/>
      <c r="F7246" s="17" t="s">
        <v>10780</v>
      </c>
      <c r="G7246" s="17"/>
      <c r="H7246" s="17" t="s">
        <v>12908</v>
      </c>
      <c r="I7246" s="17"/>
      <c r="J7246" s="17" t="s">
        <v>14018</v>
      </c>
      <c r="K7246" s="17"/>
      <c r="L7246" s="17" t="s">
        <v>14019</v>
      </c>
      <c r="M7246" s="17"/>
      <c r="N7246" s="17" t="s">
        <v>14020</v>
      </c>
      <c r="O7246" s="17"/>
      <c r="P7246" s="17" t="s">
        <v>16088</v>
      </c>
      <c r="Q7246" s="17"/>
      <c r="R7246" s="25" t="str">
        <f>HYPERLINK("https://ictv.global/taxonomy/taxondetails?taxnode_id=202305856","Mastrevirus saccharumstriati")</f>
        <v>Mastrevirus saccharumstriati</v>
      </c>
      <c r="S7246" s="18" t="s">
        <v>30</v>
      </c>
      <c r="T7246" s="18" t="s">
        <v>16292</v>
      </c>
      <c r="U7246" s="18" t="s">
        <v>16293</v>
      </c>
      <c r="V7246" s="18" t="s">
        <v>16294</v>
      </c>
      <c r="W7246" s="18" t="s">
        <v>16295</v>
      </c>
      <c r="X7246" s="18" t="s">
        <v>42</v>
      </c>
      <c r="Y7246" s="18" t="s">
        <v>12266</v>
      </c>
      <c r="Z7246" s="18" t="s">
        <v>13441</v>
      </c>
      <c r="AA7246" s="21" t="str">
        <f>HYPERLINK("https://www.ncbi.nlm.nih.gov/nuccore/KR150789","NCBI Nucleotide")</f>
        <v>NCBI Nucleotide</v>
      </c>
    </row>
    <row r="7247" spans="1:27" x14ac:dyDescent="0.35">
      <c r="A7247">
        <v>1008079</v>
      </c>
      <c r="B7247">
        <v>6731</v>
      </c>
      <c r="C7247">
        <v>1</v>
      </c>
      <c r="D7247" s="17" t="s">
        <v>10507</v>
      </c>
      <c r="E7247" s="17"/>
      <c r="F7247" s="17" t="s">
        <v>10780</v>
      </c>
      <c r="G7247" s="17"/>
      <c r="H7247" s="17" t="s">
        <v>12908</v>
      </c>
      <c r="I7247" s="17"/>
      <c r="J7247" s="17" t="s">
        <v>14018</v>
      </c>
      <c r="K7247" s="17"/>
      <c r="L7247" s="17" t="s">
        <v>14019</v>
      </c>
      <c r="M7247" s="17"/>
      <c r="N7247" s="17" t="s">
        <v>14020</v>
      </c>
      <c r="O7247" s="17"/>
      <c r="P7247" s="17" t="s">
        <v>16088</v>
      </c>
      <c r="Q7247" s="17"/>
      <c r="R7247" s="25" t="str">
        <f>HYPERLINK("https://ictv.global/taxonomy/taxondetails?taxnode_id=202309107","Mastrevirus sorghi")</f>
        <v>Mastrevirus sorghi</v>
      </c>
      <c r="S7247" s="18" t="s">
        <v>30</v>
      </c>
      <c r="T7247" s="18" t="s">
        <v>16262</v>
      </c>
      <c r="U7247" s="18" t="s">
        <v>12773</v>
      </c>
      <c r="V7247" s="18" t="s">
        <v>16263</v>
      </c>
      <c r="W7247" s="18" t="s">
        <v>16264</v>
      </c>
      <c r="X7247" s="18" t="s">
        <v>42</v>
      </c>
      <c r="Y7247" s="18" t="s">
        <v>12266</v>
      </c>
      <c r="Z7247" s="18" t="s">
        <v>13441</v>
      </c>
      <c r="AA7247" s="21" t="str">
        <f>HYPERLINK("https://www.ncbi.nlm.nih.gov/nuccore/MK546381","NCBI Nucleotide")</f>
        <v>NCBI Nucleotide</v>
      </c>
    </row>
    <row r="7248" spans="1:27" x14ac:dyDescent="0.35">
      <c r="A7248">
        <v>1008080</v>
      </c>
      <c r="B7248">
        <v>6732</v>
      </c>
      <c r="C7248">
        <v>1</v>
      </c>
      <c r="D7248" s="17" t="s">
        <v>10507</v>
      </c>
      <c r="E7248" s="17"/>
      <c r="F7248" s="17" t="s">
        <v>10780</v>
      </c>
      <c r="G7248" s="17"/>
      <c r="H7248" s="17" t="s">
        <v>12908</v>
      </c>
      <c r="I7248" s="17"/>
      <c r="J7248" s="17" t="s">
        <v>14018</v>
      </c>
      <c r="K7248" s="17"/>
      <c r="L7248" s="17" t="s">
        <v>14019</v>
      </c>
      <c r="M7248" s="17"/>
      <c r="N7248" s="17" t="s">
        <v>14020</v>
      </c>
      <c r="O7248" s="17"/>
      <c r="P7248" s="17" t="s">
        <v>16088</v>
      </c>
      <c r="Q7248" s="17"/>
      <c r="R7248" s="25" t="str">
        <f>HYPERLINK("https://ictv.global/taxonomy/taxondetails?taxnode_id=202303532","Mastrevirus sporoboprimi")</f>
        <v>Mastrevirus sporoboprimi</v>
      </c>
      <c r="S7248" s="18" t="s">
        <v>30</v>
      </c>
      <c r="T7248" s="18" t="s">
        <v>16265</v>
      </c>
      <c r="U7248" s="18" t="s">
        <v>16266</v>
      </c>
      <c r="V7248" s="18" t="s">
        <v>16267</v>
      </c>
      <c r="W7248" s="18" t="s">
        <v>16268</v>
      </c>
      <c r="X7248" s="18" t="s">
        <v>42</v>
      </c>
      <c r="Y7248" s="18" t="s">
        <v>12266</v>
      </c>
      <c r="Z7248" s="18" t="s">
        <v>13441</v>
      </c>
      <c r="AA7248" s="21" t="str">
        <f>HYPERLINK("https://www.ncbi.nlm.nih.gov/nuccore/JQ948051","NCBI Nucleotide")</f>
        <v>NCBI Nucleotide</v>
      </c>
    </row>
    <row r="7249" spans="1:27" x14ac:dyDescent="0.35">
      <c r="A7249">
        <v>1008081</v>
      </c>
      <c r="B7249">
        <v>6733</v>
      </c>
      <c r="C7249">
        <v>1</v>
      </c>
      <c r="D7249" s="17" t="s">
        <v>10507</v>
      </c>
      <c r="E7249" s="17"/>
      <c r="F7249" s="17" t="s">
        <v>10780</v>
      </c>
      <c r="G7249" s="17"/>
      <c r="H7249" s="17" t="s">
        <v>12908</v>
      </c>
      <c r="I7249" s="17"/>
      <c r="J7249" s="17" t="s">
        <v>14018</v>
      </c>
      <c r="K7249" s="17"/>
      <c r="L7249" s="17" t="s">
        <v>14019</v>
      </c>
      <c r="M7249" s="17"/>
      <c r="N7249" s="17" t="s">
        <v>14020</v>
      </c>
      <c r="O7249" s="17"/>
      <c r="P7249" s="17" t="s">
        <v>16088</v>
      </c>
      <c r="Q7249" s="17"/>
      <c r="R7249" s="25" t="str">
        <f>HYPERLINK("https://ictv.global/taxonomy/taxondetails?taxnode_id=202303533","Mastrevirus sporobosecundi")</f>
        <v>Mastrevirus sporobosecundi</v>
      </c>
      <c r="S7249" s="18" t="s">
        <v>30</v>
      </c>
      <c r="T7249" s="18" t="s">
        <v>16269</v>
      </c>
      <c r="U7249" s="18" t="s">
        <v>16270</v>
      </c>
      <c r="V7249" s="18" t="s">
        <v>16271</v>
      </c>
      <c r="W7249" s="18" t="s">
        <v>16272</v>
      </c>
      <c r="X7249" s="18" t="s">
        <v>42</v>
      </c>
      <c r="Y7249" s="18" t="s">
        <v>12266</v>
      </c>
      <c r="Z7249" s="18" t="s">
        <v>13441</v>
      </c>
      <c r="AA7249" s="21" t="str">
        <f>HYPERLINK("https://www.ncbi.nlm.nih.gov/nuccore/JQ948052","NCBI Nucleotide")</f>
        <v>NCBI Nucleotide</v>
      </c>
    </row>
    <row r="7250" spans="1:27" x14ac:dyDescent="0.35">
      <c r="A7250">
        <v>1008068</v>
      </c>
      <c r="B7250">
        <v>6734</v>
      </c>
      <c r="C7250">
        <v>1</v>
      </c>
      <c r="D7250" s="17" t="s">
        <v>10507</v>
      </c>
      <c r="E7250" s="17"/>
      <c r="F7250" s="17" t="s">
        <v>10780</v>
      </c>
      <c r="G7250" s="17"/>
      <c r="H7250" s="17" t="s">
        <v>12908</v>
      </c>
      <c r="I7250" s="17"/>
      <c r="J7250" s="17" t="s">
        <v>14018</v>
      </c>
      <c r="K7250" s="17"/>
      <c r="L7250" s="17" t="s">
        <v>14019</v>
      </c>
      <c r="M7250" s="17"/>
      <c r="N7250" s="17" t="s">
        <v>14020</v>
      </c>
      <c r="O7250" s="17"/>
      <c r="P7250" s="17" t="s">
        <v>16088</v>
      </c>
      <c r="Q7250" s="17"/>
      <c r="R7250" s="25" t="str">
        <f t="shared" ref="R7250:R7260" si="29">HYPERLINK("https://ictv.global/taxonomy/taxondetails?taxnode_id=202303525","Mastrevirus storeyi")</f>
        <v>Mastrevirus storeyi</v>
      </c>
      <c r="S7250" s="18" t="s">
        <v>30</v>
      </c>
      <c r="T7250" s="18" t="s">
        <v>16180</v>
      </c>
      <c r="U7250" s="18" t="s">
        <v>16181</v>
      </c>
      <c r="V7250" s="18" t="s">
        <v>16182</v>
      </c>
      <c r="W7250" s="18" t="s">
        <v>16183</v>
      </c>
      <c r="X7250" s="18" t="s">
        <v>42</v>
      </c>
      <c r="Y7250" s="18" t="s">
        <v>12266</v>
      </c>
      <c r="Z7250" s="18" t="s">
        <v>13441</v>
      </c>
      <c r="AA7250" s="21" t="str">
        <f>HYPERLINK("https://www.ncbi.nlm.nih.gov/nuccore/Y00514","NCBI Nucleotide")</f>
        <v>NCBI Nucleotide</v>
      </c>
    </row>
    <row r="7251" spans="1:27" x14ac:dyDescent="0.35">
      <c r="A7251">
        <v>1012668</v>
      </c>
      <c r="B7251">
        <v>6734</v>
      </c>
      <c r="C7251">
        <v>2</v>
      </c>
      <c r="D7251" s="17" t="s">
        <v>10507</v>
      </c>
      <c r="E7251" s="17"/>
      <c r="F7251" s="17" t="s">
        <v>10780</v>
      </c>
      <c r="G7251" s="17"/>
      <c r="H7251" s="17" t="s">
        <v>12908</v>
      </c>
      <c r="I7251" s="17"/>
      <c r="J7251" s="17" t="s">
        <v>14018</v>
      </c>
      <c r="K7251" s="17"/>
      <c r="L7251" s="17" t="s">
        <v>14019</v>
      </c>
      <c r="M7251" s="17"/>
      <c r="N7251" s="17" t="s">
        <v>14020</v>
      </c>
      <c r="O7251" s="17"/>
      <c r="P7251" s="17" t="s">
        <v>16088</v>
      </c>
      <c r="Q7251" s="17"/>
      <c r="R7251" s="25" t="str">
        <f t="shared" si="29"/>
        <v>Mastrevirus storeyi</v>
      </c>
      <c r="S7251" s="18" t="s">
        <v>8141</v>
      </c>
      <c r="T7251" s="18" t="s">
        <v>16180</v>
      </c>
      <c r="U7251" s="18" t="s">
        <v>16184</v>
      </c>
      <c r="V7251" s="18" t="s">
        <v>16185</v>
      </c>
      <c r="W7251" s="18" t="s">
        <v>49243</v>
      </c>
      <c r="X7251" s="18" t="s">
        <v>42</v>
      </c>
      <c r="Y7251" s="18" t="s">
        <v>12266</v>
      </c>
      <c r="Z7251" s="18" t="s">
        <v>13441</v>
      </c>
      <c r="AA7251" s="21" t="str">
        <f>HYPERLINK("https://www.ncbi.nlm.nih.gov/nuccore/EU628597","NCBI Nucleotide")</f>
        <v>NCBI Nucleotide</v>
      </c>
    </row>
    <row r="7252" spans="1:27" x14ac:dyDescent="0.35">
      <c r="A7252">
        <v>1012669</v>
      </c>
      <c r="B7252">
        <v>6734</v>
      </c>
      <c r="C7252">
        <v>3</v>
      </c>
      <c r="D7252" s="17" t="s">
        <v>10507</v>
      </c>
      <c r="E7252" s="17"/>
      <c r="F7252" s="17" t="s">
        <v>10780</v>
      </c>
      <c r="G7252" s="17"/>
      <c r="H7252" s="17" t="s">
        <v>12908</v>
      </c>
      <c r="I7252" s="17"/>
      <c r="J7252" s="17" t="s">
        <v>14018</v>
      </c>
      <c r="K7252" s="17"/>
      <c r="L7252" s="17" t="s">
        <v>14019</v>
      </c>
      <c r="M7252" s="17"/>
      <c r="N7252" s="17" t="s">
        <v>14020</v>
      </c>
      <c r="O7252" s="17"/>
      <c r="P7252" s="17" t="s">
        <v>16088</v>
      </c>
      <c r="Q7252" s="17"/>
      <c r="R7252" s="25" t="str">
        <f t="shared" si="29"/>
        <v>Mastrevirus storeyi</v>
      </c>
      <c r="S7252" s="18" t="s">
        <v>8141</v>
      </c>
      <c r="T7252" s="18" t="s">
        <v>16180</v>
      </c>
      <c r="U7252" s="18" t="s">
        <v>16186</v>
      </c>
      <c r="V7252" s="18" t="s">
        <v>16187</v>
      </c>
      <c r="W7252" s="18" t="s">
        <v>49244</v>
      </c>
      <c r="X7252" s="18" t="s">
        <v>42</v>
      </c>
      <c r="Y7252" s="18" t="s">
        <v>12266</v>
      </c>
      <c r="Z7252" s="18" t="s">
        <v>13441</v>
      </c>
      <c r="AA7252" s="21" t="str">
        <f>HYPERLINK("https://www.ncbi.nlm.nih.gov/nuccore/AF007881","NCBI Nucleotide")</f>
        <v>NCBI Nucleotide</v>
      </c>
    </row>
    <row r="7253" spans="1:27" x14ac:dyDescent="0.35">
      <c r="A7253">
        <v>1012670</v>
      </c>
      <c r="B7253">
        <v>6734</v>
      </c>
      <c r="C7253">
        <v>4</v>
      </c>
      <c r="D7253" s="17" t="s">
        <v>10507</v>
      </c>
      <c r="E7253" s="17"/>
      <c r="F7253" s="17" t="s">
        <v>10780</v>
      </c>
      <c r="G7253" s="17"/>
      <c r="H7253" s="17" t="s">
        <v>12908</v>
      </c>
      <c r="I7253" s="17"/>
      <c r="J7253" s="17" t="s">
        <v>14018</v>
      </c>
      <c r="K7253" s="17"/>
      <c r="L7253" s="17" t="s">
        <v>14019</v>
      </c>
      <c r="M7253" s="17"/>
      <c r="N7253" s="17" t="s">
        <v>14020</v>
      </c>
      <c r="O7253" s="17"/>
      <c r="P7253" s="17" t="s">
        <v>16088</v>
      </c>
      <c r="Q7253" s="17"/>
      <c r="R7253" s="25" t="str">
        <f t="shared" si="29"/>
        <v>Mastrevirus storeyi</v>
      </c>
      <c r="S7253" s="18" t="s">
        <v>8141</v>
      </c>
      <c r="T7253" s="18" t="s">
        <v>16180</v>
      </c>
      <c r="U7253" s="18" t="s">
        <v>16188</v>
      </c>
      <c r="V7253" s="18" t="s">
        <v>16189</v>
      </c>
      <c r="W7253" s="18" t="s">
        <v>49245</v>
      </c>
      <c r="X7253" s="18" t="s">
        <v>42</v>
      </c>
      <c r="Y7253" s="18" t="s">
        <v>12266</v>
      </c>
      <c r="Z7253" s="18" t="s">
        <v>13441</v>
      </c>
      <c r="AA7253" s="21" t="str">
        <f>HYPERLINK("https://www.ncbi.nlm.nih.gov/nuccore/AF329889","NCBI Nucleotide")</f>
        <v>NCBI Nucleotide</v>
      </c>
    </row>
    <row r="7254" spans="1:27" x14ac:dyDescent="0.35">
      <c r="A7254">
        <v>1012671</v>
      </c>
      <c r="B7254">
        <v>6734</v>
      </c>
      <c r="C7254">
        <v>5</v>
      </c>
      <c r="D7254" s="17" t="s">
        <v>10507</v>
      </c>
      <c r="E7254" s="17"/>
      <c r="F7254" s="17" t="s">
        <v>10780</v>
      </c>
      <c r="G7254" s="17"/>
      <c r="H7254" s="17" t="s">
        <v>12908</v>
      </c>
      <c r="I7254" s="17"/>
      <c r="J7254" s="17" t="s">
        <v>14018</v>
      </c>
      <c r="K7254" s="17"/>
      <c r="L7254" s="17" t="s">
        <v>14019</v>
      </c>
      <c r="M7254" s="17"/>
      <c r="N7254" s="17" t="s">
        <v>14020</v>
      </c>
      <c r="O7254" s="17"/>
      <c r="P7254" s="17" t="s">
        <v>16088</v>
      </c>
      <c r="Q7254" s="17"/>
      <c r="R7254" s="25" t="str">
        <f t="shared" si="29"/>
        <v>Mastrevirus storeyi</v>
      </c>
      <c r="S7254" s="18" t="s">
        <v>8141</v>
      </c>
      <c r="T7254" s="18" t="s">
        <v>16180</v>
      </c>
      <c r="U7254" s="18" t="s">
        <v>16190</v>
      </c>
      <c r="V7254" s="18" t="s">
        <v>16191</v>
      </c>
      <c r="W7254" s="18" t="s">
        <v>49246</v>
      </c>
      <c r="X7254" s="18" t="s">
        <v>42</v>
      </c>
      <c r="Y7254" s="18" t="s">
        <v>12266</v>
      </c>
      <c r="Z7254" s="18" t="s">
        <v>13441</v>
      </c>
      <c r="AA7254" s="21" t="str">
        <f>HYPERLINK("https://www.ncbi.nlm.nih.gov/nuccore/EU628626","NCBI Nucleotide")</f>
        <v>NCBI Nucleotide</v>
      </c>
    </row>
    <row r="7255" spans="1:27" x14ac:dyDescent="0.35">
      <c r="A7255">
        <v>1012672</v>
      </c>
      <c r="B7255">
        <v>6734</v>
      </c>
      <c r="C7255">
        <v>6</v>
      </c>
      <c r="D7255" s="17" t="s">
        <v>10507</v>
      </c>
      <c r="E7255" s="17"/>
      <c r="F7255" s="17" t="s">
        <v>10780</v>
      </c>
      <c r="G7255" s="17"/>
      <c r="H7255" s="17" t="s">
        <v>12908</v>
      </c>
      <c r="I7255" s="17"/>
      <c r="J7255" s="17" t="s">
        <v>14018</v>
      </c>
      <c r="K7255" s="17"/>
      <c r="L7255" s="17" t="s">
        <v>14019</v>
      </c>
      <c r="M7255" s="17"/>
      <c r="N7255" s="17" t="s">
        <v>14020</v>
      </c>
      <c r="O7255" s="17"/>
      <c r="P7255" s="17" t="s">
        <v>16088</v>
      </c>
      <c r="Q7255" s="17"/>
      <c r="R7255" s="25" t="str">
        <f t="shared" si="29"/>
        <v>Mastrevirus storeyi</v>
      </c>
      <c r="S7255" s="18" t="s">
        <v>8141</v>
      </c>
      <c r="T7255" s="18" t="s">
        <v>16180</v>
      </c>
      <c r="U7255" s="18" t="s">
        <v>16192</v>
      </c>
      <c r="V7255" s="18" t="s">
        <v>16193</v>
      </c>
      <c r="W7255" s="18" t="s">
        <v>49247</v>
      </c>
      <c r="X7255" s="18" t="s">
        <v>42</v>
      </c>
      <c r="Y7255" s="18" t="s">
        <v>12266</v>
      </c>
      <c r="Z7255" s="18" t="s">
        <v>13441</v>
      </c>
      <c r="AA7255" s="21" t="str">
        <f>HYPERLINK("https://www.ncbi.nlm.nih.gov/nuccore/EU628629","NCBI Nucleotide")</f>
        <v>NCBI Nucleotide</v>
      </c>
    </row>
    <row r="7256" spans="1:27" x14ac:dyDescent="0.35">
      <c r="A7256">
        <v>1012673</v>
      </c>
      <c r="B7256">
        <v>6734</v>
      </c>
      <c r="C7256">
        <v>7</v>
      </c>
      <c r="D7256" s="17" t="s">
        <v>10507</v>
      </c>
      <c r="E7256" s="17"/>
      <c r="F7256" s="17" t="s">
        <v>10780</v>
      </c>
      <c r="G7256" s="17"/>
      <c r="H7256" s="17" t="s">
        <v>12908</v>
      </c>
      <c r="I7256" s="17"/>
      <c r="J7256" s="17" t="s">
        <v>14018</v>
      </c>
      <c r="K7256" s="17"/>
      <c r="L7256" s="17" t="s">
        <v>14019</v>
      </c>
      <c r="M7256" s="17"/>
      <c r="N7256" s="17" t="s">
        <v>14020</v>
      </c>
      <c r="O7256" s="17"/>
      <c r="P7256" s="17" t="s">
        <v>16088</v>
      </c>
      <c r="Q7256" s="17"/>
      <c r="R7256" s="25" t="str">
        <f t="shared" si="29"/>
        <v>Mastrevirus storeyi</v>
      </c>
      <c r="S7256" s="18" t="s">
        <v>8141</v>
      </c>
      <c r="T7256" s="18" t="s">
        <v>16180</v>
      </c>
      <c r="U7256" s="18" t="s">
        <v>16194</v>
      </c>
      <c r="V7256" s="18" t="s">
        <v>16195</v>
      </c>
      <c r="W7256" s="18" t="s">
        <v>49248</v>
      </c>
      <c r="X7256" s="18" t="s">
        <v>42</v>
      </c>
      <c r="Y7256" s="18" t="s">
        <v>12266</v>
      </c>
      <c r="Z7256" s="18" t="s">
        <v>13441</v>
      </c>
      <c r="AA7256" s="21" t="str">
        <f>HYPERLINK("https://www.ncbi.nlm.nih.gov/nuccore/EU628631","NCBI Nucleotide")</f>
        <v>NCBI Nucleotide</v>
      </c>
    </row>
    <row r="7257" spans="1:27" x14ac:dyDescent="0.35">
      <c r="A7257">
        <v>1012674</v>
      </c>
      <c r="B7257">
        <v>6734</v>
      </c>
      <c r="C7257">
        <v>8</v>
      </c>
      <c r="D7257" s="17" t="s">
        <v>10507</v>
      </c>
      <c r="E7257" s="17"/>
      <c r="F7257" s="17" t="s">
        <v>10780</v>
      </c>
      <c r="G7257" s="17"/>
      <c r="H7257" s="17" t="s">
        <v>12908</v>
      </c>
      <c r="I7257" s="17"/>
      <c r="J7257" s="17" t="s">
        <v>14018</v>
      </c>
      <c r="K7257" s="17"/>
      <c r="L7257" s="17" t="s">
        <v>14019</v>
      </c>
      <c r="M7257" s="17"/>
      <c r="N7257" s="17" t="s">
        <v>14020</v>
      </c>
      <c r="O7257" s="17"/>
      <c r="P7257" s="17" t="s">
        <v>16088</v>
      </c>
      <c r="Q7257" s="17"/>
      <c r="R7257" s="25" t="str">
        <f t="shared" si="29"/>
        <v>Mastrevirus storeyi</v>
      </c>
      <c r="S7257" s="18" t="s">
        <v>8141</v>
      </c>
      <c r="T7257" s="18" t="s">
        <v>16180</v>
      </c>
      <c r="U7257" s="18" t="s">
        <v>16196</v>
      </c>
      <c r="V7257" s="18" t="s">
        <v>16197</v>
      </c>
      <c r="W7257" s="18" t="s">
        <v>49249</v>
      </c>
      <c r="X7257" s="18" t="s">
        <v>42</v>
      </c>
      <c r="Y7257" s="18" t="s">
        <v>12266</v>
      </c>
      <c r="Z7257" s="18" t="s">
        <v>13441</v>
      </c>
      <c r="AA7257" s="21" t="str">
        <f>HYPERLINK("https://www.ncbi.nlm.nih.gov/nuccore/EU628638","NCBI Nucleotide")</f>
        <v>NCBI Nucleotide</v>
      </c>
    </row>
    <row r="7258" spans="1:27" x14ac:dyDescent="0.35">
      <c r="A7258">
        <v>1012675</v>
      </c>
      <c r="B7258">
        <v>6734</v>
      </c>
      <c r="C7258">
        <v>9</v>
      </c>
      <c r="D7258" s="17" t="s">
        <v>10507</v>
      </c>
      <c r="E7258" s="17"/>
      <c r="F7258" s="17" t="s">
        <v>10780</v>
      </c>
      <c r="G7258" s="17"/>
      <c r="H7258" s="17" t="s">
        <v>12908</v>
      </c>
      <c r="I7258" s="17"/>
      <c r="J7258" s="17" t="s">
        <v>14018</v>
      </c>
      <c r="K7258" s="17"/>
      <c r="L7258" s="17" t="s">
        <v>14019</v>
      </c>
      <c r="M7258" s="17"/>
      <c r="N7258" s="17" t="s">
        <v>14020</v>
      </c>
      <c r="O7258" s="17"/>
      <c r="P7258" s="17" t="s">
        <v>16088</v>
      </c>
      <c r="Q7258" s="17"/>
      <c r="R7258" s="25" t="str">
        <f t="shared" si="29"/>
        <v>Mastrevirus storeyi</v>
      </c>
      <c r="S7258" s="18" t="s">
        <v>8141</v>
      </c>
      <c r="T7258" s="18" t="s">
        <v>16180</v>
      </c>
      <c r="U7258" s="18" t="s">
        <v>16198</v>
      </c>
      <c r="V7258" s="18" t="s">
        <v>16199</v>
      </c>
      <c r="W7258" s="18" t="s">
        <v>49250</v>
      </c>
      <c r="X7258" s="18" t="s">
        <v>42</v>
      </c>
      <c r="Y7258" s="18" t="s">
        <v>12266</v>
      </c>
      <c r="Z7258" s="18" t="s">
        <v>13441</v>
      </c>
      <c r="AA7258" s="21" t="str">
        <f>HYPERLINK("https://www.ncbi.nlm.nih.gov/nuccore/EU628639","NCBI Nucleotide")</f>
        <v>NCBI Nucleotide</v>
      </c>
    </row>
    <row r="7259" spans="1:27" x14ac:dyDescent="0.35">
      <c r="A7259">
        <v>1012676</v>
      </c>
      <c r="B7259">
        <v>6734</v>
      </c>
      <c r="C7259">
        <v>10</v>
      </c>
      <c r="D7259" s="17" t="s">
        <v>10507</v>
      </c>
      <c r="E7259" s="17"/>
      <c r="F7259" s="17" t="s">
        <v>10780</v>
      </c>
      <c r="G7259" s="17"/>
      <c r="H7259" s="17" t="s">
        <v>12908</v>
      </c>
      <c r="I7259" s="17"/>
      <c r="J7259" s="17" t="s">
        <v>14018</v>
      </c>
      <c r="K7259" s="17"/>
      <c r="L7259" s="17" t="s">
        <v>14019</v>
      </c>
      <c r="M7259" s="17"/>
      <c r="N7259" s="17" t="s">
        <v>14020</v>
      </c>
      <c r="O7259" s="17"/>
      <c r="P7259" s="17" t="s">
        <v>16088</v>
      </c>
      <c r="Q7259" s="17"/>
      <c r="R7259" s="25" t="str">
        <f t="shared" si="29"/>
        <v>Mastrevirus storeyi</v>
      </c>
      <c r="S7259" s="18" t="s">
        <v>8141</v>
      </c>
      <c r="T7259" s="18" t="s">
        <v>16180</v>
      </c>
      <c r="U7259" s="18" t="s">
        <v>16200</v>
      </c>
      <c r="V7259" s="18" t="s">
        <v>16201</v>
      </c>
      <c r="W7259" s="18" t="s">
        <v>49251</v>
      </c>
      <c r="X7259" s="18" t="s">
        <v>42</v>
      </c>
      <c r="Y7259" s="18" t="s">
        <v>12266</v>
      </c>
      <c r="Z7259" s="18" t="s">
        <v>13441</v>
      </c>
      <c r="AA7259" s="21" t="str">
        <f>HYPERLINK("https://www.ncbi.nlm.nih.gov/nuccore/EU628641","NCBI Nucleotide")</f>
        <v>NCBI Nucleotide</v>
      </c>
    </row>
    <row r="7260" spans="1:27" x14ac:dyDescent="0.35">
      <c r="A7260">
        <v>1012677</v>
      </c>
      <c r="B7260">
        <v>6734</v>
      </c>
      <c r="C7260">
        <v>11</v>
      </c>
      <c r="D7260" s="17" t="s">
        <v>10507</v>
      </c>
      <c r="E7260" s="17"/>
      <c r="F7260" s="17" t="s">
        <v>10780</v>
      </c>
      <c r="G7260" s="17"/>
      <c r="H7260" s="17" t="s">
        <v>12908</v>
      </c>
      <c r="I7260" s="17"/>
      <c r="J7260" s="17" t="s">
        <v>14018</v>
      </c>
      <c r="K7260" s="17"/>
      <c r="L7260" s="17" t="s">
        <v>14019</v>
      </c>
      <c r="M7260" s="17"/>
      <c r="N7260" s="17" t="s">
        <v>14020</v>
      </c>
      <c r="O7260" s="17"/>
      <c r="P7260" s="17" t="s">
        <v>16088</v>
      </c>
      <c r="Q7260" s="17"/>
      <c r="R7260" s="25" t="str">
        <f t="shared" si="29"/>
        <v>Mastrevirus storeyi</v>
      </c>
      <c r="S7260" s="18" t="s">
        <v>8141</v>
      </c>
      <c r="T7260" s="18" t="s">
        <v>16180</v>
      </c>
      <c r="U7260" s="18" t="s">
        <v>16202</v>
      </c>
      <c r="V7260" s="18" t="s">
        <v>16203</v>
      </c>
      <c r="W7260" s="18" t="s">
        <v>49252</v>
      </c>
      <c r="X7260" s="18" t="s">
        <v>42</v>
      </c>
      <c r="Y7260" s="18" t="s">
        <v>12266</v>
      </c>
      <c r="Z7260" s="18" t="s">
        <v>13441</v>
      </c>
      <c r="AA7260" s="21" t="str">
        <f>HYPERLINK("https://www.ncbi.nlm.nih.gov/nuccore/EU628643","NCBI Nucleotide")</f>
        <v>NCBI Nucleotide</v>
      </c>
    </row>
    <row r="7261" spans="1:27" x14ac:dyDescent="0.35">
      <c r="A7261">
        <v>1008069</v>
      </c>
      <c r="B7261">
        <v>6735</v>
      </c>
      <c r="C7261">
        <v>1</v>
      </c>
      <c r="D7261" s="17" t="s">
        <v>10507</v>
      </c>
      <c r="E7261" s="17"/>
      <c r="F7261" s="17" t="s">
        <v>10780</v>
      </c>
      <c r="G7261" s="17"/>
      <c r="H7261" s="17" t="s">
        <v>12908</v>
      </c>
      <c r="I7261" s="17"/>
      <c r="J7261" s="17" t="s">
        <v>14018</v>
      </c>
      <c r="K7261" s="17"/>
      <c r="L7261" s="17" t="s">
        <v>14019</v>
      </c>
      <c r="M7261" s="17"/>
      <c r="N7261" s="17" t="s">
        <v>14020</v>
      </c>
      <c r="O7261" s="17"/>
      <c r="P7261" s="17" t="s">
        <v>16088</v>
      </c>
      <c r="Q7261" s="17"/>
      <c r="R7261" s="25" t="str">
        <f>HYPERLINK("https://ictv.global/taxonomy/taxondetails?taxnode_id=202306685","Mastrevirus striatis")</f>
        <v>Mastrevirus striatis</v>
      </c>
      <c r="S7261" s="18" t="s">
        <v>30</v>
      </c>
      <c r="T7261" s="18" t="s">
        <v>16204</v>
      </c>
      <c r="U7261" s="18" t="s">
        <v>16205</v>
      </c>
      <c r="V7261" s="18" t="s">
        <v>16206</v>
      </c>
      <c r="W7261" s="18" t="s">
        <v>16207</v>
      </c>
      <c r="X7261" s="18" t="s">
        <v>42</v>
      </c>
      <c r="Y7261" s="18" t="s">
        <v>12266</v>
      </c>
      <c r="Z7261" s="18" t="s">
        <v>13441</v>
      </c>
      <c r="AA7261" s="21" t="str">
        <f>HYPERLINK("https://www.ncbi.nlm.nih.gov/nuccore/MF167297","NCBI Nucleotide")</f>
        <v>NCBI Nucleotide</v>
      </c>
    </row>
    <row r="7262" spans="1:27" x14ac:dyDescent="0.35">
      <c r="A7262">
        <v>1008090</v>
      </c>
      <c r="B7262">
        <v>6736</v>
      </c>
      <c r="C7262">
        <v>1</v>
      </c>
      <c r="D7262" s="17" t="s">
        <v>10507</v>
      </c>
      <c r="E7262" s="17"/>
      <c r="F7262" s="17" t="s">
        <v>10780</v>
      </c>
      <c r="G7262" s="17"/>
      <c r="H7262" s="17" t="s">
        <v>12908</v>
      </c>
      <c r="I7262" s="17"/>
      <c r="J7262" s="17" t="s">
        <v>14018</v>
      </c>
      <c r="K7262" s="17"/>
      <c r="L7262" s="17" t="s">
        <v>14019</v>
      </c>
      <c r="M7262" s="17"/>
      <c r="N7262" s="17" t="s">
        <v>14020</v>
      </c>
      <c r="O7262" s="17"/>
      <c r="P7262" s="17" t="s">
        <v>16088</v>
      </c>
      <c r="Q7262" s="17"/>
      <c r="R7262" s="25" t="str">
        <f>HYPERLINK("https://ictv.global/taxonomy/taxondetails?taxnode_id=202303539","Mastrevirus tabaci")</f>
        <v>Mastrevirus tabaci</v>
      </c>
      <c r="S7262" s="18" t="s">
        <v>30</v>
      </c>
      <c r="T7262" s="18" t="s">
        <v>16308</v>
      </c>
      <c r="U7262" s="18" t="s">
        <v>16309</v>
      </c>
      <c r="V7262" s="18" t="s">
        <v>16310</v>
      </c>
      <c r="W7262" s="18" t="s">
        <v>16311</v>
      </c>
      <c r="X7262" s="18" t="s">
        <v>42</v>
      </c>
      <c r="Y7262" s="18" t="s">
        <v>12266</v>
      </c>
      <c r="Z7262" s="18" t="s">
        <v>13441</v>
      </c>
      <c r="AA7262" s="21" t="str">
        <f>HYPERLINK("https://www.ncbi.nlm.nih.gov/nuccore/M81103","NCBI Nucleotide")</f>
        <v>NCBI Nucleotide</v>
      </c>
    </row>
    <row r="7263" spans="1:27" x14ac:dyDescent="0.35">
      <c r="A7263">
        <v>1008092</v>
      </c>
      <c r="B7263">
        <v>6737</v>
      </c>
      <c r="C7263">
        <v>1</v>
      </c>
      <c r="D7263" s="17" t="s">
        <v>10507</v>
      </c>
      <c r="E7263" s="17"/>
      <c r="F7263" s="17" t="s">
        <v>10780</v>
      </c>
      <c r="G7263" s="17"/>
      <c r="H7263" s="17" t="s">
        <v>12908</v>
      </c>
      <c r="I7263" s="17"/>
      <c r="J7263" s="17" t="s">
        <v>14018</v>
      </c>
      <c r="K7263" s="17"/>
      <c r="L7263" s="17" t="s">
        <v>14019</v>
      </c>
      <c r="M7263" s="17"/>
      <c r="N7263" s="17" t="s">
        <v>14020</v>
      </c>
      <c r="O7263" s="17"/>
      <c r="P7263" s="17" t="s">
        <v>16088</v>
      </c>
      <c r="Q7263" s="17"/>
      <c r="R7263" s="25" t="str">
        <f>HYPERLINK("https://ictv.global/taxonomy/taxondetails?taxnode_id=202303541","Mastrevirus tritici")</f>
        <v>Mastrevirus tritici</v>
      </c>
      <c r="S7263" s="18" t="s">
        <v>30</v>
      </c>
      <c r="T7263" s="18" t="s">
        <v>16316</v>
      </c>
      <c r="U7263" s="18" t="s">
        <v>16317</v>
      </c>
      <c r="V7263" s="18" t="s">
        <v>16318</v>
      </c>
      <c r="W7263" s="18" t="s">
        <v>16319</v>
      </c>
      <c r="X7263" s="18" t="s">
        <v>42</v>
      </c>
      <c r="Y7263" s="18" t="s">
        <v>12266</v>
      </c>
      <c r="Z7263" s="18" t="s">
        <v>13441</v>
      </c>
      <c r="AA7263" s="21" t="str">
        <f>HYPERLINK("https://www.ncbi.nlm.nih.gov/nuccore/JQ361910","NCBI Nucleotide")</f>
        <v>NCBI Nucleotide</v>
      </c>
    </row>
    <row r="7264" spans="1:27" x14ac:dyDescent="0.35">
      <c r="A7264">
        <v>1008091</v>
      </c>
      <c r="B7264">
        <v>6738</v>
      </c>
      <c r="C7264">
        <v>1</v>
      </c>
      <c r="D7264" s="17" t="s">
        <v>10507</v>
      </c>
      <c r="E7264" s="17"/>
      <c r="F7264" s="17" t="s">
        <v>10780</v>
      </c>
      <c r="G7264" s="17"/>
      <c r="H7264" s="17" t="s">
        <v>12908</v>
      </c>
      <c r="I7264" s="17"/>
      <c r="J7264" s="17" t="s">
        <v>14018</v>
      </c>
      <c r="K7264" s="17"/>
      <c r="L7264" s="17" t="s">
        <v>14019</v>
      </c>
      <c r="M7264" s="17"/>
      <c r="N7264" s="17" t="s">
        <v>14020</v>
      </c>
      <c r="O7264" s="17"/>
      <c r="P7264" s="17" t="s">
        <v>16088</v>
      </c>
      <c r="Q7264" s="17"/>
      <c r="R7264" s="25" t="str">
        <f>HYPERLINK("https://ictv.global/taxonomy/taxondetails?taxnode_id=202303540","Mastrevirus urochloae")</f>
        <v>Mastrevirus urochloae</v>
      </c>
      <c r="S7264" s="18" t="s">
        <v>30</v>
      </c>
      <c r="T7264" s="18" t="s">
        <v>16312</v>
      </c>
      <c r="U7264" s="18" t="s">
        <v>16313</v>
      </c>
      <c r="V7264" s="18" t="s">
        <v>16314</v>
      </c>
      <c r="W7264" s="18" t="s">
        <v>16315</v>
      </c>
      <c r="X7264" s="18" t="s">
        <v>42</v>
      </c>
      <c r="Y7264" s="18" t="s">
        <v>12266</v>
      </c>
      <c r="Z7264" s="18" t="s">
        <v>13441</v>
      </c>
      <c r="AA7264" s="21" t="str">
        <f>HYPERLINK("https://www.ncbi.nlm.nih.gov/nuccore/EU445699","NCBI Nucleotide")</f>
        <v>NCBI Nucleotide</v>
      </c>
    </row>
    <row r="7265" spans="1:27" x14ac:dyDescent="0.35">
      <c r="A7265">
        <v>1008089</v>
      </c>
      <c r="B7265">
        <v>6739</v>
      </c>
      <c r="C7265">
        <v>1</v>
      </c>
      <c r="D7265" s="17" t="s">
        <v>10507</v>
      </c>
      <c r="E7265" s="17"/>
      <c r="F7265" s="17" t="s">
        <v>10780</v>
      </c>
      <c r="G7265" s="17"/>
      <c r="H7265" s="17" t="s">
        <v>12908</v>
      </c>
      <c r="I7265" s="17"/>
      <c r="J7265" s="17" t="s">
        <v>14018</v>
      </c>
      <c r="K7265" s="17"/>
      <c r="L7265" s="17" t="s">
        <v>14019</v>
      </c>
      <c r="M7265" s="17"/>
      <c r="N7265" s="17" t="s">
        <v>14020</v>
      </c>
      <c r="O7265" s="17"/>
      <c r="P7265" s="17" t="s">
        <v>16088</v>
      </c>
      <c r="Q7265" s="17"/>
      <c r="R7265" s="25" t="str">
        <f>HYPERLINK("https://ictv.global/taxonomy/taxondetails?taxnode_id=202303538","Mastrevirus virgati")</f>
        <v>Mastrevirus virgati</v>
      </c>
      <c r="S7265" s="18" t="s">
        <v>30</v>
      </c>
      <c r="T7265" s="18" t="s">
        <v>16304</v>
      </c>
      <c r="U7265" s="18" t="s">
        <v>16305</v>
      </c>
      <c r="V7265" s="18" t="s">
        <v>16306</v>
      </c>
      <c r="W7265" s="18" t="s">
        <v>16307</v>
      </c>
      <c r="X7265" s="18" t="s">
        <v>42</v>
      </c>
      <c r="Y7265" s="18" t="s">
        <v>12266</v>
      </c>
      <c r="Z7265" s="18" t="s">
        <v>13441</v>
      </c>
      <c r="AA7265" s="21" t="str">
        <f>HYPERLINK("https://www.ncbi.nlm.nih.gov/nuccore/KF806701","NCBI Nucleotide")</f>
        <v>NCBI Nucleotide</v>
      </c>
    </row>
    <row r="7266" spans="1:27" x14ac:dyDescent="0.35">
      <c r="A7266">
        <v>1008095</v>
      </c>
      <c r="B7266">
        <v>6740</v>
      </c>
      <c r="C7266">
        <v>1</v>
      </c>
      <c r="D7266" s="17" t="s">
        <v>10507</v>
      </c>
      <c r="E7266" s="17"/>
      <c r="F7266" s="17" t="s">
        <v>10780</v>
      </c>
      <c r="G7266" s="17"/>
      <c r="H7266" s="17" t="s">
        <v>12908</v>
      </c>
      <c r="I7266" s="17"/>
      <c r="J7266" s="17" t="s">
        <v>14018</v>
      </c>
      <c r="K7266" s="17"/>
      <c r="L7266" s="17" t="s">
        <v>14019</v>
      </c>
      <c r="M7266" s="17"/>
      <c r="N7266" s="17" t="s">
        <v>14020</v>
      </c>
      <c r="O7266" s="17"/>
      <c r="P7266" s="17" t="s">
        <v>16332</v>
      </c>
      <c r="Q7266" s="17"/>
      <c r="R7266" s="25" t="str">
        <f>HYPERLINK("https://ictv.global/taxonomy/taxondetails?taxnode_id=202309791","Mulcrilevirus broussonetiae")</f>
        <v>Mulcrilevirus broussonetiae</v>
      </c>
      <c r="S7266" s="18" t="s">
        <v>30</v>
      </c>
      <c r="T7266" s="18" t="s">
        <v>16337</v>
      </c>
      <c r="U7266" s="18" t="s">
        <v>16338</v>
      </c>
      <c r="V7266" s="18" t="s">
        <v>16020</v>
      </c>
      <c r="W7266" s="18" t="s">
        <v>16339</v>
      </c>
      <c r="X7266" s="18" t="s">
        <v>42</v>
      </c>
      <c r="Y7266" s="18" t="s">
        <v>12266</v>
      </c>
      <c r="Z7266" s="18" t="s">
        <v>13441</v>
      </c>
      <c r="AA7266" s="21" t="str">
        <f>HYPERLINK("https://www.ncbi.nlm.nih.gov/nuccore/MN595125","NCBI Nucleotide")</f>
        <v>NCBI Nucleotide</v>
      </c>
    </row>
    <row r="7267" spans="1:27" x14ac:dyDescent="0.35">
      <c r="A7267">
        <v>1008094</v>
      </c>
      <c r="B7267">
        <v>6741</v>
      </c>
      <c r="C7267">
        <v>1</v>
      </c>
      <c r="D7267" s="17" t="s">
        <v>10507</v>
      </c>
      <c r="E7267" s="17"/>
      <c r="F7267" s="17" t="s">
        <v>10780</v>
      </c>
      <c r="G7267" s="17"/>
      <c r="H7267" s="17" t="s">
        <v>12908</v>
      </c>
      <c r="I7267" s="17"/>
      <c r="J7267" s="17" t="s">
        <v>14018</v>
      </c>
      <c r="K7267" s="17"/>
      <c r="L7267" s="17" t="s">
        <v>14019</v>
      </c>
      <c r="M7267" s="17"/>
      <c r="N7267" s="17" t="s">
        <v>14020</v>
      </c>
      <c r="O7267" s="17"/>
      <c r="P7267" s="17" t="s">
        <v>16332</v>
      </c>
      <c r="Q7267" s="17"/>
      <c r="R7267" s="25" t="str">
        <f>HYPERLINK("https://ictv.global/taxonomy/taxondetails?taxnode_id=202309181","Mulcrilevirus mori")</f>
        <v>Mulcrilevirus mori</v>
      </c>
      <c r="S7267" s="18" t="s">
        <v>30</v>
      </c>
      <c r="T7267" s="18" t="s">
        <v>16333</v>
      </c>
      <c r="U7267" s="18" t="s">
        <v>16334</v>
      </c>
      <c r="V7267" s="18" t="s">
        <v>16335</v>
      </c>
      <c r="W7267" s="18" t="s">
        <v>16336</v>
      </c>
      <c r="X7267" s="18" t="s">
        <v>42</v>
      </c>
      <c r="Y7267" s="18" t="s">
        <v>12266</v>
      </c>
      <c r="Z7267" s="18" t="s">
        <v>13441</v>
      </c>
      <c r="AA7267" s="21" t="str">
        <f>HYPERLINK("https://www.ncbi.nlm.nih.gov/nuccore/KR131749","NCBI Nucleotide")</f>
        <v>NCBI Nucleotide</v>
      </c>
    </row>
    <row r="7268" spans="1:27" x14ac:dyDescent="0.35">
      <c r="A7268">
        <v>1008096</v>
      </c>
      <c r="B7268">
        <v>6742</v>
      </c>
      <c r="C7268">
        <v>1</v>
      </c>
      <c r="D7268" s="17" t="s">
        <v>10507</v>
      </c>
      <c r="E7268" s="17"/>
      <c r="F7268" s="17" t="s">
        <v>10780</v>
      </c>
      <c r="G7268" s="17"/>
      <c r="H7268" s="17" t="s">
        <v>12908</v>
      </c>
      <c r="I7268" s="17"/>
      <c r="J7268" s="17" t="s">
        <v>14018</v>
      </c>
      <c r="K7268" s="17"/>
      <c r="L7268" s="17" t="s">
        <v>14019</v>
      </c>
      <c r="M7268" s="17"/>
      <c r="N7268" s="17" t="s">
        <v>14020</v>
      </c>
      <c r="O7268" s="17"/>
      <c r="P7268" s="17" t="s">
        <v>16340</v>
      </c>
      <c r="Q7268" s="17"/>
      <c r="R7268" s="25" t="str">
        <f>HYPERLINK("https://ictv.global/taxonomy/taxondetails?taxnode_id=202309173","Opunvirus opuntiae")</f>
        <v>Opunvirus opuntiae</v>
      </c>
      <c r="S7268" s="18" t="s">
        <v>30</v>
      </c>
      <c r="T7268" s="18" t="s">
        <v>16341</v>
      </c>
      <c r="U7268" s="18" t="s">
        <v>16342</v>
      </c>
      <c r="V7268" s="18" t="s">
        <v>16343</v>
      </c>
      <c r="W7268" s="18" t="s">
        <v>16344</v>
      </c>
      <c r="X7268" s="18" t="s">
        <v>42</v>
      </c>
      <c r="Y7268" s="18" t="s">
        <v>12266</v>
      </c>
      <c r="Z7268" s="18" t="s">
        <v>13441</v>
      </c>
      <c r="AA7268" s="21" t="str">
        <f>HYPERLINK("https://www.ncbi.nlm.nih.gov/nuccore/MN100000","NCBI Nucleotide")</f>
        <v>NCBI Nucleotide</v>
      </c>
    </row>
    <row r="7269" spans="1:27" x14ac:dyDescent="0.35">
      <c r="A7269">
        <v>1008098</v>
      </c>
      <c r="B7269">
        <v>6743</v>
      </c>
      <c r="C7269">
        <v>1</v>
      </c>
      <c r="D7269" s="17" t="s">
        <v>10507</v>
      </c>
      <c r="E7269" s="17"/>
      <c r="F7269" s="17" t="s">
        <v>10780</v>
      </c>
      <c r="G7269" s="17"/>
      <c r="H7269" s="17" t="s">
        <v>12908</v>
      </c>
      <c r="I7269" s="17"/>
      <c r="J7269" s="17" t="s">
        <v>14018</v>
      </c>
      <c r="K7269" s="17"/>
      <c r="L7269" s="17" t="s">
        <v>14019</v>
      </c>
      <c r="M7269" s="17"/>
      <c r="N7269" s="17" t="s">
        <v>14020</v>
      </c>
      <c r="O7269" s="17"/>
      <c r="P7269" s="17" t="s">
        <v>16345</v>
      </c>
      <c r="Q7269" s="17"/>
      <c r="R7269" s="25" t="str">
        <f>HYPERLINK("https://ictv.global/taxonomy/taxondetails?taxnode_id=202309179","Topilevirus lycopersici")</f>
        <v>Topilevirus lycopersici</v>
      </c>
      <c r="S7269" s="18" t="s">
        <v>30</v>
      </c>
      <c r="T7269" s="18" t="s">
        <v>16350</v>
      </c>
      <c r="U7269" s="18" t="s">
        <v>16351</v>
      </c>
      <c r="V7269" s="18" t="s">
        <v>16352</v>
      </c>
      <c r="W7269" s="18" t="s">
        <v>16353</v>
      </c>
      <c r="X7269" s="18" t="s">
        <v>42</v>
      </c>
      <c r="Y7269" s="18" t="s">
        <v>12266</v>
      </c>
      <c r="Z7269" s="18" t="s">
        <v>13441</v>
      </c>
      <c r="AA7269" s="21" t="str">
        <f>HYPERLINK("https://www.ncbi.nlm.nih.gov/nuccore/MF072688","NCBI Nucleotide")</f>
        <v>NCBI Nucleotide</v>
      </c>
    </row>
    <row r="7270" spans="1:27" x14ac:dyDescent="0.35">
      <c r="A7270">
        <v>1008097</v>
      </c>
      <c r="B7270">
        <v>6744</v>
      </c>
      <c r="C7270">
        <v>1</v>
      </c>
      <c r="D7270" s="17" t="s">
        <v>10507</v>
      </c>
      <c r="E7270" s="17"/>
      <c r="F7270" s="17" t="s">
        <v>10780</v>
      </c>
      <c r="G7270" s="17"/>
      <c r="H7270" s="17" t="s">
        <v>12908</v>
      </c>
      <c r="I7270" s="17"/>
      <c r="J7270" s="17" t="s">
        <v>14018</v>
      </c>
      <c r="K7270" s="17"/>
      <c r="L7270" s="17" t="s">
        <v>14019</v>
      </c>
      <c r="M7270" s="17"/>
      <c r="N7270" s="17" t="s">
        <v>14020</v>
      </c>
      <c r="O7270" s="17"/>
      <c r="P7270" s="17" t="s">
        <v>16345</v>
      </c>
      <c r="Q7270" s="17"/>
      <c r="R7270" s="25" t="str">
        <f>HYPERLINK("https://ictv.global/taxonomy/taxondetails?taxnode_id=202309178","Topilevirus solani")</f>
        <v>Topilevirus solani</v>
      </c>
      <c r="S7270" s="18" t="s">
        <v>30</v>
      </c>
      <c r="T7270" s="18" t="s">
        <v>16346</v>
      </c>
      <c r="U7270" s="18" t="s">
        <v>16347</v>
      </c>
      <c r="V7270" s="18" t="s">
        <v>16348</v>
      </c>
      <c r="W7270" s="18" t="s">
        <v>16349</v>
      </c>
      <c r="X7270" s="18" t="s">
        <v>42</v>
      </c>
      <c r="Y7270" s="18" t="s">
        <v>12266</v>
      </c>
      <c r="Z7270" s="18" t="s">
        <v>13441</v>
      </c>
      <c r="AA7270" s="21" t="str">
        <f>HYPERLINK("https://www.ncbi.nlm.nih.gov/nuccore/MG491195","NCBI Nucleotide")</f>
        <v>NCBI Nucleotide</v>
      </c>
    </row>
    <row r="7271" spans="1:27" x14ac:dyDescent="0.35">
      <c r="A7271">
        <v>1008099</v>
      </c>
      <c r="B7271">
        <v>6745</v>
      </c>
      <c r="C7271">
        <v>1</v>
      </c>
      <c r="D7271" s="17" t="s">
        <v>10507</v>
      </c>
      <c r="E7271" s="17"/>
      <c r="F7271" s="17" t="s">
        <v>10780</v>
      </c>
      <c r="G7271" s="17"/>
      <c r="H7271" s="17" t="s">
        <v>12908</v>
      </c>
      <c r="I7271" s="17"/>
      <c r="J7271" s="17" t="s">
        <v>14018</v>
      </c>
      <c r="K7271" s="17"/>
      <c r="L7271" s="17" t="s">
        <v>14019</v>
      </c>
      <c r="M7271" s="17"/>
      <c r="N7271" s="17" t="s">
        <v>14020</v>
      </c>
      <c r="O7271" s="17"/>
      <c r="P7271" s="17" t="s">
        <v>16354</v>
      </c>
      <c r="Q7271" s="17"/>
      <c r="R7271" s="25" t="str">
        <f>HYPERLINK("https://ictv.global/taxonomy/taxondetails?taxnode_id=202303544","Topocuvirus solani")</f>
        <v>Topocuvirus solani</v>
      </c>
      <c r="S7271" s="18" t="s">
        <v>30</v>
      </c>
      <c r="T7271" s="18" t="s">
        <v>16355</v>
      </c>
      <c r="U7271" s="18" t="s">
        <v>16356</v>
      </c>
      <c r="V7271" s="18" t="s">
        <v>16357</v>
      </c>
      <c r="W7271" s="18" t="s">
        <v>16358</v>
      </c>
      <c r="X7271" s="18" t="s">
        <v>42</v>
      </c>
      <c r="Y7271" s="18" t="s">
        <v>12266</v>
      </c>
      <c r="Z7271" s="18" t="s">
        <v>13441</v>
      </c>
      <c r="AA7271" s="21" t="str">
        <f>HYPERLINK("https://www.ncbi.nlm.nih.gov/nuccore/X84735","NCBI Nucleotide")</f>
        <v>NCBI Nucleotide</v>
      </c>
    </row>
    <row r="7272" spans="1:27" x14ac:dyDescent="0.35">
      <c r="A7272">
        <v>1008101</v>
      </c>
      <c r="B7272">
        <v>6746</v>
      </c>
      <c r="C7272">
        <v>1</v>
      </c>
      <c r="D7272" s="17" t="s">
        <v>10507</v>
      </c>
      <c r="E7272" s="17"/>
      <c r="F7272" s="17" t="s">
        <v>10780</v>
      </c>
      <c r="G7272" s="17"/>
      <c r="H7272" s="17" t="s">
        <v>12908</v>
      </c>
      <c r="I7272" s="17"/>
      <c r="J7272" s="17" t="s">
        <v>14018</v>
      </c>
      <c r="K7272" s="17"/>
      <c r="L7272" s="17" t="s">
        <v>14019</v>
      </c>
      <c r="M7272" s="17"/>
      <c r="N7272" s="17" t="s">
        <v>14020</v>
      </c>
      <c r="O7272" s="17"/>
      <c r="P7272" s="17" t="s">
        <v>16359</v>
      </c>
      <c r="Q7272" s="17"/>
      <c r="R7272" s="25" t="str">
        <f>HYPERLINK("https://ictv.global/taxonomy/taxondetails?taxnode_id=202303546","Turncurtovirus brassicae")</f>
        <v>Turncurtovirus brassicae</v>
      </c>
      <c r="S7272" s="18" t="s">
        <v>30</v>
      </c>
      <c r="T7272" s="18" t="s">
        <v>16364</v>
      </c>
      <c r="U7272" s="18" t="s">
        <v>16365</v>
      </c>
      <c r="V7272" s="18" t="s">
        <v>16366</v>
      </c>
      <c r="W7272" s="18" t="s">
        <v>16367</v>
      </c>
      <c r="X7272" s="18" t="s">
        <v>42</v>
      </c>
      <c r="Y7272" s="18" t="s">
        <v>12266</v>
      </c>
      <c r="Z7272" s="18" t="s">
        <v>13441</v>
      </c>
      <c r="AA7272" s="21" t="str">
        <f>HYPERLINK("https://www.ncbi.nlm.nih.gov/nuccore/GU456685","NCBI Nucleotide")</f>
        <v>NCBI Nucleotide</v>
      </c>
    </row>
    <row r="7273" spans="1:27" x14ac:dyDescent="0.35">
      <c r="A7273">
        <v>1012693</v>
      </c>
      <c r="B7273">
        <v>6746</v>
      </c>
      <c r="C7273">
        <v>2</v>
      </c>
      <c r="D7273" s="17" t="s">
        <v>10507</v>
      </c>
      <c r="E7273" s="17"/>
      <c r="F7273" s="17" t="s">
        <v>10780</v>
      </c>
      <c r="G7273" s="17"/>
      <c r="H7273" s="17" t="s">
        <v>12908</v>
      </c>
      <c r="I7273" s="17"/>
      <c r="J7273" s="17" t="s">
        <v>14018</v>
      </c>
      <c r="K7273" s="17"/>
      <c r="L7273" s="17" t="s">
        <v>14019</v>
      </c>
      <c r="M7273" s="17"/>
      <c r="N7273" s="17" t="s">
        <v>14020</v>
      </c>
      <c r="O7273" s="17"/>
      <c r="P7273" s="17" t="s">
        <v>16359</v>
      </c>
      <c r="Q7273" s="17"/>
      <c r="R7273" s="25" t="str">
        <f>HYPERLINK("https://ictv.global/taxonomy/taxondetails?taxnode_id=202303546","Turncurtovirus brassicae")</f>
        <v>Turncurtovirus brassicae</v>
      </c>
      <c r="S7273" s="18" t="s">
        <v>8141</v>
      </c>
      <c r="T7273" s="18" t="s">
        <v>16364</v>
      </c>
      <c r="U7273" s="18" t="s">
        <v>16368</v>
      </c>
      <c r="V7273" s="18" t="s">
        <v>16369</v>
      </c>
      <c r="W7273" s="18" t="s">
        <v>49253</v>
      </c>
      <c r="X7273" s="18" t="s">
        <v>42</v>
      </c>
      <c r="Y7273" s="18" t="s">
        <v>12266</v>
      </c>
      <c r="Z7273" s="18" t="s">
        <v>13441</v>
      </c>
      <c r="AA7273" s="21" t="str">
        <f>HYPERLINK("https://www.ncbi.nlm.nih.gov/nuccore/KC108896","NCBI Nucleotide")</f>
        <v>NCBI Nucleotide</v>
      </c>
    </row>
    <row r="7274" spans="1:27" x14ac:dyDescent="0.35">
      <c r="A7274">
        <v>1012694</v>
      </c>
      <c r="B7274">
        <v>6746</v>
      </c>
      <c r="C7274">
        <v>3</v>
      </c>
      <c r="D7274" s="17" t="s">
        <v>10507</v>
      </c>
      <c r="E7274" s="17"/>
      <c r="F7274" s="17" t="s">
        <v>10780</v>
      </c>
      <c r="G7274" s="17"/>
      <c r="H7274" s="17" t="s">
        <v>12908</v>
      </c>
      <c r="I7274" s="17"/>
      <c r="J7274" s="17" t="s">
        <v>14018</v>
      </c>
      <c r="K7274" s="17"/>
      <c r="L7274" s="17" t="s">
        <v>14019</v>
      </c>
      <c r="M7274" s="17"/>
      <c r="N7274" s="17" t="s">
        <v>14020</v>
      </c>
      <c r="O7274" s="17"/>
      <c r="P7274" s="17" t="s">
        <v>16359</v>
      </c>
      <c r="Q7274" s="17"/>
      <c r="R7274" s="25" t="str">
        <f>HYPERLINK("https://ictv.global/taxonomy/taxondetails?taxnode_id=202303546","Turncurtovirus brassicae")</f>
        <v>Turncurtovirus brassicae</v>
      </c>
      <c r="S7274" s="18" t="s">
        <v>8141</v>
      </c>
      <c r="T7274" s="18" t="s">
        <v>16364</v>
      </c>
      <c r="U7274" s="18" t="s">
        <v>16370</v>
      </c>
      <c r="V7274" s="18" t="s">
        <v>16371</v>
      </c>
      <c r="W7274" s="18" t="s">
        <v>49254</v>
      </c>
      <c r="X7274" s="18" t="s">
        <v>42</v>
      </c>
      <c r="Y7274" s="18" t="s">
        <v>12266</v>
      </c>
      <c r="Z7274" s="18" t="s">
        <v>13441</v>
      </c>
      <c r="AA7274" s="21" t="str">
        <f>HYPERLINK("https://www.ncbi.nlm.nih.gov/nuccore/KC108905","NCBI Nucleotide")</f>
        <v>NCBI Nucleotide</v>
      </c>
    </row>
    <row r="7275" spans="1:27" x14ac:dyDescent="0.35">
      <c r="A7275">
        <v>1012695</v>
      </c>
      <c r="B7275">
        <v>6746</v>
      </c>
      <c r="C7275">
        <v>4</v>
      </c>
      <c r="D7275" s="17" t="s">
        <v>10507</v>
      </c>
      <c r="E7275" s="17"/>
      <c r="F7275" s="17" t="s">
        <v>10780</v>
      </c>
      <c r="G7275" s="17"/>
      <c r="H7275" s="17" t="s">
        <v>12908</v>
      </c>
      <c r="I7275" s="17"/>
      <c r="J7275" s="17" t="s">
        <v>14018</v>
      </c>
      <c r="K7275" s="17"/>
      <c r="L7275" s="17" t="s">
        <v>14019</v>
      </c>
      <c r="M7275" s="17"/>
      <c r="N7275" s="17" t="s">
        <v>14020</v>
      </c>
      <c r="O7275" s="17"/>
      <c r="P7275" s="17" t="s">
        <v>16359</v>
      </c>
      <c r="Q7275" s="17"/>
      <c r="R7275" s="25" t="str">
        <f>HYPERLINK("https://ictv.global/taxonomy/taxondetails?taxnode_id=202303546","Turncurtovirus brassicae")</f>
        <v>Turncurtovirus brassicae</v>
      </c>
      <c r="S7275" s="18" t="s">
        <v>8141</v>
      </c>
      <c r="T7275" s="18" t="s">
        <v>16364</v>
      </c>
      <c r="U7275" s="18" t="s">
        <v>16372</v>
      </c>
      <c r="V7275" s="18" t="s">
        <v>16373</v>
      </c>
      <c r="W7275" s="18" t="s">
        <v>49255</v>
      </c>
      <c r="X7275" s="18" t="s">
        <v>42</v>
      </c>
      <c r="Y7275" s="18" t="s">
        <v>12266</v>
      </c>
      <c r="Z7275" s="18" t="s">
        <v>13441</v>
      </c>
      <c r="AA7275" s="21" t="str">
        <f>HYPERLINK("https://www.ncbi.nlm.nih.gov/nuccore/KC108902","NCBI Nucleotide")</f>
        <v>NCBI Nucleotide</v>
      </c>
    </row>
    <row r="7276" spans="1:27" x14ac:dyDescent="0.35">
      <c r="A7276">
        <v>1008102</v>
      </c>
      <c r="B7276">
        <v>6747</v>
      </c>
      <c r="C7276">
        <v>1</v>
      </c>
      <c r="D7276" s="17" t="s">
        <v>10507</v>
      </c>
      <c r="E7276" s="17"/>
      <c r="F7276" s="17" t="s">
        <v>10780</v>
      </c>
      <c r="G7276" s="17"/>
      <c r="H7276" s="17" t="s">
        <v>12908</v>
      </c>
      <c r="I7276" s="17"/>
      <c r="J7276" s="17" t="s">
        <v>14018</v>
      </c>
      <c r="K7276" s="17"/>
      <c r="L7276" s="17" t="s">
        <v>14019</v>
      </c>
      <c r="M7276" s="17"/>
      <c r="N7276" s="17" t="s">
        <v>14020</v>
      </c>
      <c r="O7276" s="17"/>
      <c r="P7276" s="17" t="s">
        <v>16359</v>
      </c>
      <c r="Q7276" s="17"/>
      <c r="R7276" s="25" t="str">
        <f>HYPERLINK("https://ictv.global/taxonomy/taxondetails?taxnode_id=202305858","Turncurtovirus rapae")</f>
        <v>Turncurtovirus rapae</v>
      </c>
      <c r="S7276" s="18" t="s">
        <v>30</v>
      </c>
      <c r="T7276" s="18" t="s">
        <v>16374</v>
      </c>
      <c r="U7276" s="18" t="s">
        <v>16375</v>
      </c>
      <c r="V7276" s="18" t="s">
        <v>16376</v>
      </c>
      <c r="W7276" s="18" t="s">
        <v>16377</v>
      </c>
      <c r="X7276" s="18" t="s">
        <v>42</v>
      </c>
      <c r="Y7276" s="18" t="s">
        <v>12266</v>
      </c>
      <c r="Z7276" s="18" t="s">
        <v>13441</v>
      </c>
      <c r="AA7276" s="21" t="str">
        <f>HYPERLINK("https://www.ncbi.nlm.nih.gov/nuccore/KT388076","NCBI Nucleotide")</f>
        <v>NCBI Nucleotide</v>
      </c>
    </row>
    <row r="7277" spans="1:27" x14ac:dyDescent="0.35">
      <c r="A7277">
        <v>1008100</v>
      </c>
      <c r="B7277">
        <v>6748</v>
      </c>
      <c r="C7277">
        <v>1</v>
      </c>
      <c r="D7277" s="17" t="s">
        <v>10507</v>
      </c>
      <c r="E7277" s="17"/>
      <c r="F7277" s="17" t="s">
        <v>10780</v>
      </c>
      <c r="G7277" s="17"/>
      <c r="H7277" s="17" t="s">
        <v>12908</v>
      </c>
      <c r="I7277" s="17"/>
      <c r="J7277" s="17" t="s">
        <v>14018</v>
      </c>
      <c r="K7277" s="17"/>
      <c r="L7277" s="17" t="s">
        <v>14019</v>
      </c>
      <c r="M7277" s="17"/>
      <c r="N7277" s="17" t="s">
        <v>14020</v>
      </c>
      <c r="O7277" s="17"/>
      <c r="P7277" s="17" t="s">
        <v>16359</v>
      </c>
      <c r="Q7277" s="17"/>
      <c r="R7277" s="25" t="str">
        <f>HYPERLINK("https://ictv.global/taxonomy/taxondetails?taxnode_id=202308673","Turncurtovirus sesami")</f>
        <v>Turncurtovirus sesami</v>
      </c>
      <c r="S7277" s="18" t="s">
        <v>30</v>
      </c>
      <c r="T7277" s="18" t="s">
        <v>16360</v>
      </c>
      <c r="U7277" s="18" t="s">
        <v>16361</v>
      </c>
      <c r="V7277" s="18" t="s">
        <v>16362</v>
      </c>
      <c r="W7277" s="18" t="s">
        <v>16363</v>
      </c>
      <c r="X7277" s="18" t="s">
        <v>42</v>
      </c>
      <c r="Y7277" s="18" t="s">
        <v>12266</v>
      </c>
      <c r="Z7277" s="18" t="s">
        <v>13441</v>
      </c>
      <c r="AA7277" s="21" t="str">
        <f>HYPERLINK("https://www.ncbi.nlm.nih.gov/nuccore/MF344550","NCBI Nucleotide")</f>
        <v>NCBI Nucleotide</v>
      </c>
    </row>
    <row r="7278" spans="1:27" x14ac:dyDescent="0.35">
      <c r="A7278">
        <v>1025606</v>
      </c>
      <c r="B7278">
        <v>6749</v>
      </c>
      <c r="C7278">
        <v>1</v>
      </c>
      <c r="D7278" s="17" t="s">
        <v>10507</v>
      </c>
      <c r="E7278" s="17"/>
      <c r="F7278" s="17" t="s">
        <v>10780</v>
      </c>
      <c r="G7278" s="17"/>
      <c r="H7278" s="17" t="s">
        <v>12908</v>
      </c>
      <c r="I7278" s="17"/>
      <c r="J7278" s="17" t="s">
        <v>14018</v>
      </c>
      <c r="K7278" s="17"/>
      <c r="L7278" s="17" t="s">
        <v>14019</v>
      </c>
      <c r="M7278" s="17"/>
      <c r="N7278" s="17" t="s">
        <v>14020</v>
      </c>
      <c r="O7278" s="17"/>
      <c r="P7278" s="17" t="s">
        <v>41603</v>
      </c>
      <c r="Q7278" s="17"/>
      <c r="R7278" s="25" t="str">
        <f>HYPERLINK("https://ictv.global/taxonomy/taxondetails?taxnode_id=202318096","Welwivirus mirabilis")</f>
        <v>Welwivirus mirabilis</v>
      </c>
      <c r="S7278" s="18" t="s">
        <v>30</v>
      </c>
      <c r="T7278" s="18" t="s">
        <v>41604</v>
      </c>
      <c r="U7278" s="18" t="s">
        <v>41605</v>
      </c>
      <c r="V7278" s="18" t="s">
        <v>41606</v>
      </c>
      <c r="W7278" s="18" t="s">
        <v>41607</v>
      </c>
      <c r="X7278" s="18" t="s">
        <v>42</v>
      </c>
      <c r="Y7278" s="18" t="s">
        <v>12266</v>
      </c>
      <c r="Z7278" s="18" t="s">
        <v>13441</v>
      </c>
      <c r="AA7278" s="21" t="str">
        <f>HYPERLINK("https://www.ncbi.nlm.nih.gov/nuccore/BK061150","NCBI Nucleotide")</f>
        <v>NCBI Nucleotide</v>
      </c>
    </row>
    <row r="7279" spans="1:27" x14ac:dyDescent="0.35">
      <c r="A7279">
        <v>1025607</v>
      </c>
      <c r="B7279">
        <v>6750</v>
      </c>
      <c r="C7279">
        <v>1</v>
      </c>
      <c r="D7279" s="17" t="s">
        <v>10507</v>
      </c>
      <c r="E7279" s="17"/>
      <c r="F7279" s="17" t="s">
        <v>10780</v>
      </c>
      <c r="G7279" s="17"/>
      <c r="H7279" s="17" t="s">
        <v>12908</v>
      </c>
      <c r="I7279" s="17"/>
      <c r="J7279" s="17" t="s">
        <v>14018</v>
      </c>
      <c r="K7279" s="17"/>
      <c r="L7279" s="17" t="s">
        <v>14019</v>
      </c>
      <c r="M7279" s="17"/>
      <c r="N7279" s="17" t="s">
        <v>14020</v>
      </c>
      <c r="O7279" s="17"/>
      <c r="P7279" s="17" t="s">
        <v>41603</v>
      </c>
      <c r="Q7279" s="17"/>
      <c r="R7279" s="25" t="str">
        <f>HYPERLINK("https://ictv.global/taxonomy/taxondetails?taxnode_id=202318095","Welwivirus welwitschiae")</f>
        <v>Welwivirus welwitschiae</v>
      </c>
      <c r="S7279" s="18" t="s">
        <v>30</v>
      </c>
      <c r="T7279" s="18" t="s">
        <v>41608</v>
      </c>
      <c r="U7279" s="18" t="s">
        <v>41609</v>
      </c>
      <c r="V7279" s="18" t="s">
        <v>41610</v>
      </c>
      <c r="W7279" s="18" t="s">
        <v>41611</v>
      </c>
      <c r="X7279" s="18" t="s">
        <v>42</v>
      </c>
      <c r="Y7279" s="18" t="s">
        <v>12266</v>
      </c>
      <c r="Z7279" s="18" t="s">
        <v>13441</v>
      </c>
      <c r="AA7279" s="21" t="str">
        <f>HYPERLINK("https://www.ncbi.nlm.nih.gov/nuccore/BK061149","NCBI Nucleotide")</f>
        <v>NCBI Nucleotide</v>
      </c>
    </row>
    <row r="7280" spans="1:27" x14ac:dyDescent="0.35">
      <c r="A7280">
        <v>1008103</v>
      </c>
      <c r="B7280">
        <v>6751</v>
      </c>
      <c r="C7280">
        <v>1</v>
      </c>
      <c r="D7280" s="17" t="s">
        <v>10507</v>
      </c>
      <c r="E7280" s="17"/>
      <c r="F7280" s="17" t="s">
        <v>10780</v>
      </c>
      <c r="G7280" s="17"/>
      <c r="H7280" s="17" t="s">
        <v>12908</v>
      </c>
      <c r="I7280" s="17"/>
      <c r="J7280" s="17" t="s">
        <v>14018</v>
      </c>
      <c r="K7280" s="17"/>
      <c r="L7280" s="17" t="s">
        <v>14019</v>
      </c>
      <c r="M7280" s="17"/>
      <c r="N7280" s="17" t="s">
        <v>16378</v>
      </c>
      <c r="O7280" s="17"/>
      <c r="P7280" s="17" t="s">
        <v>16379</v>
      </c>
      <c r="Q7280" s="17"/>
      <c r="R7280" s="25" t="str">
        <f>HYPERLINK("https://ictv.global/taxonomy/taxondetails?taxnode_id=202308943","Gemycircularvirus abati1")</f>
        <v>Gemycircularvirus abati1</v>
      </c>
      <c r="S7280" s="18" t="s">
        <v>30</v>
      </c>
      <c r="T7280" s="18" t="s">
        <v>16380</v>
      </c>
      <c r="U7280" s="18"/>
      <c r="V7280" s="18" t="s">
        <v>16381</v>
      </c>
      <c r="W7280" s="18" t="s">
        <v>16382</v>
      </c>
      <c r="X7280" s="18" t="s">
        <v>42</v>
      </c>
      <c r="Y7280" s="18" t="s">
        <v>12266</v>
      </c>
      <c r="Z7280" s="18" t="s">
        <v>166</v>
      </c>
      <c r="AA7280" s="21" t="str">
        <f>HYPERLINK("https://www.ncbi.nlm.nih.gov/nuccore/MK032723","NCBI Nucleotide")</f>
        <v>NCBI Nucleotide</v>
      </c>
    </row>
    <row r="7281" spans="1:27" x14ac:dyDescent="0.35">
      <c r="A7281">
        <v>1008104</v>
      </c>
      <c r="B7281">
        <v>6752</v>
      </c>
      <c r="C7281">
        <v>1</v>
      </c>
      <c r="D7281" s="17" t="s">
        <v>10507</v>
      </c>
      <c r="E7281" s="17"/>
      <c r="F7281" s="17" t="s">
        <v>10780</v>
      </c>
      <c r="G7281" s="17"/>
      <c r="H7281" s="17" t="s">
        <v>12908</v>
      </c>
      <c r="I7281" s="17"/>
      <c r="J7281" s="17" t="s">
        <v>14018</v>
      </c>
      <c r="K7281" s="17"/>
      <c r="L7281" s="17" t="s">
        <v>14019</v>
      </c>
      <c r="M7281" s="17"/>
      <c r="N7281" s="17" t="s">
        <v>16378</v>
      </c>
      <c r="O7281" s="17"/>
      <c r="P7281" s="17" t="s">
        <v>16379</v>
      </c>
      <c r="Q7281" s="17"/>
      <c r="R7281" s="25" t="str">
        <f>HYPERLINK("https://ictv.global/taxonomy/taxondetails?taxnode_id=202308968","Gemycircularvirus alces1")</f>
        <v>Gemycircularvirus alces1</v>
      </c>
      <c r="S7281" s="18" t="s">
        <v>30</v>
      </c>
      <c r="T7281" s="18" t="s">
        <v>16383</v>
      </c>
      <c r="U7281" s="18"/>
      <c r="V7281" s="18" t="s">
        <v>16384</v>
      </c>
      <c r="W7281" s="18" t="s">
        <v>16385</v>
      </c>
      <c r="X7281" s="18" t="s">
        <v>42</v>
      </c>
      <c r="Y7281" s="18" t="s">
        <v>12266</v>
      </c>
      <c r="Z7281" s="18" t="s">
        <v>166</v>
      </c>
      <c r="AA7281" s="21" t="str">
        <f>HYPERLINK("https://www.ncbi.nlm.nih.gov/nuccore/MG641204","NCBI Nucleotide")</f>
        <v>NCBI Nucleotide</v>
      </c>
    </row>
    <row r="7282" spans="1:27" x14ac:dyDescent="0.35">
      <c r="A7282">
        <v>1008105</v>
      </c>
      <c r="B7282">
        <v>6753</v>
      </c>
      <c r="C7282">
        <v>1</v>
      </c>
      <c r="D7282" s="17" t="s">
        <v>10507</v>
      </c>
      <c r="E7282" s="17"/>
      <c r="F7282" s="17" t="s">
        <v>10780</v>
      </c>
      <c r="G7282" s="17"/>
      <c r="H7282" s="17" t="s">
        <v>12908</v>
      </c>
      <c r="I7282" s="17"/>
      <c r="J7282" s="17" t="s">
        <v>14018</v>
      </c>
      <c r="K7282" s="17"/>
      <c r="L7282" s="17" t="s">
        <v>14019</v>
      </c>
      <c r="M7282" s="17"/>
      <c r="N7282" s="17" t="s">
        <v>16378</v>
      </c>
      <c r="O7282" s="17"/>
      <c r="P7282" s="17" t="s">
        <v>16379</v>
      </c>
      <c r="Q7282" s="17"/>
      <c r="R7282" s="25" t="str">
        <f>HYPERLINK("https://ictv.global/taxonomy/taxondetails?taxnode_id=202308937","Gemycircularvirus alces2")</f>
        <v>Gemycircularvirus alces2</v>
      </c>
      <c r="S7282" s="18" t="s">
        <v>30</v>
      </c>
      <c r="T7282" s="18" t="s">
        <v>16386</v>
      </c>
      <c r="U7282" s="18"/>
      <c r="V7282" s="18" t="s">
        <v>16387</v>
      </c>
      <c r="W7282" s="18" t="s">
        <v>16388</v>
      </c>
      <c r="X7282" s="18" t="s">
        <v>42</v>
      </c>
      <c r="Y7282" s="18" t="s">
        <v>12266</v>
      </c>
      <c r="Z7282" s="18" t="s">
        <v>166</v>
      </c>
      <c r="AA7282" s="21" t="str">
        <f>HYPERLINK("https://www.ncbi.nlm.nih.gov/nuccore/MG641207","NCBI Nucleotide")</f>
        <v>NCBI Nucleotide</v>
      </c>
    </row>
    <row r="7283" spans="1:27" x14ac:dyDescent="0.35">
      <c r="A7283">
        <v>1008106</v>
      </c>
      <c r="B7283">
        <v>6754</v>
      </c>
      <c r="C7283">
        <v>1</v>
      </c>
      <c r="D7283" s="17" t="s">
        <v>10507</v>
      </c>
      <c r="E7283" s="17"/>
      <c r="F7283" s="17" t="s">
        <v>10780</v>
      </c>
      <c r="G7283" s="17"/>
      <c r="H7283" s="17" t="s">
        <v>12908</v>
      </c>
      <c r="I7283" s="17"/>
      <c r="J7283" s="17" t="s">
        <v>14018</v>
      </c>
      <c r="K7283" s="17"/>
      <c r="L7283" s="17" t="s">
        <v>14019</v>
      </c>
      <c r="M7283" s="17"/>
      <c r="N7283" s="17" t="s">
        <v>16378</v>
      </c>
      <c r="O7283" s="17"/>
      <c r="P7283" s="17" t="s">
        <v>16379</v>
      </c>
      <c r="Q7283" s="17"/>
      <c r="R7283" s="25" t="str">
        <f>HYPERLINK("https://ictv.global/taxonomy/taxondetails?taxnode_id=202308994","Gemycircularvirus ansal1")</f>
        <v>Gemycircularvirus ansal1</v>
      </c>
      <c r="S7283" s="18" t="s">
        <v>30</v>
      </c>
      <c r="T7283" s="18" t="s">
        <v>16380</v>
      </c>
      <c r="U7283" s="18"/>
      <c r="V7283" s="18" t="s">
        <v>16389</v>
      </c>
      <c r="W7283" s="18" t="s">
        <v>16390</v>
      </c>
      <c r="X7283" s="18" t="s">
        <v>42</v>
      </c>
      <c r="Y7283" s="18" t="s">
        <v>12266</v>
      </c>
      <c r="Z7283" s="18" t="s">
        <v>166</v>
      </c>
      <c r="AA7283" s="21" t="str">
        <f>HYPERLINK("https://www.ncbi.nlm.nih.gov/nuccore/MN928911","NCBI Nucleotide")</f>
        <v>NCBI Nucleotide</v>
      </c>
    </row>
    <row r="7284" spans="1:27" x14ac:dyDescent="0.35">
      <c r="A7284">
        <v>1008107</v>
      </c>
      <c r="B7284">
        <v>6755</v>
      </c>
      <c r="C7284">
        <v>1</v>
      </c>
      <c r="D7284" s="17" t="s">
        <v>10507</v>
      </c>
      <c r="E7284" s="17"/>
      <c r="F7284" s="17" t="s">
        <v>10780</v>
      </c>
      <c r="G7284" s="17"/>
      <c r="H7284" s="17" t="s">
        <v>12908</v>
      </c>
      <c r="I7284" s="17"/>
      <c r="J7284" s="17" t="s">
        <v>14018</v>
      </c>
      <c r="K7284" s="17"/>
      <c r="L7284" s="17" t="s">
        <v>14019</v>
      </c>
      <c r="M7284" s="17"/>
      <c r="N7284" s="17" t="s">
        <v>16378</v>
      </c>
      <c r="O7284" s="17"/>
      <c r="P7284" s="17" t="s">
        <v>16379</v>
      </c>
      <c r="Q7284" s="17"/>
      <c r="R7284" s="25" t="str">
        <f>HYPERLINK("https://ictv.global/taxonomy/taxondetails?taxnode_id=202308938","Gemycircularvirus aspar1")</f>
        <v>Gemycircularvirus aspar1</v>
      </c>
      <c r="S7284" s="18" t="s">
        <v>30</v>
      </c>
      <c r="T7284" s="18" t="s">
        <v>16391</v>
      </c>
      <c r="U7284" s="18"/>
      <c r="V7284" s="18" t="s">
        <v>16392</v>
      </c>
      <c r="W7284" s="18" t="s">
        <v>16393</v>
      </c>
      <c r="X7284" s="18" t="s">
        <v>42</v>
      </c>
      <c r="Y7284" s="18" t="s">
        <v>12266</v>
      </c>
      <c r="Z7284" s="18" t="s">
        <v>13441</v>
      </c>
      <c r="AA7284" s="21" t="str">
        <f>HYPERLINK("https://www.ncbi.nlm.nih.gov/nuccore/MH939436","NCBI Nucleotide")</f>
        <v>NCBI Nucleotide</v>
      </c>
    </row>
    <row r="7285" spans="1:27" x14ac:dyDescent="0.35">
      <c r="A7285">
        <v>1008108</v>
      </c>
      <c r="B7285">
        <v>6756</v>
      </c>
      <c r="C7285">
        <v>1</v>
      </c>
      <c r="D7285" s="17" t="s">
        <v>10507</v>
      </c>
      <c r="E7285" s="17"/>
      <c r="F7285" s="17" t="s">
        <v>10780</v>
      </c>
      <c r="G7285" s="17"/>
      <c r="H7285" s="17" t="s">
        <v>12908</v>
      </c>
      <c r="I7285" s="17"/>
      <c r="J7285" s="17" t="s">
        <v>14018</v>
      </c>
      <c r="K7285" s="17"/>
      <c r="L7285" s="17" t="s">
        <v>14019</v>
      </c>
      <c r="M7285" s="17"/>
      <c r="N7285" s="17" t="s">
        <v>16378</v>
      </c>
      <c r="O7285" s="17"/>
      <c r="P7285" s="17" t="s">
        <v>16379</v>
      </c>
      <c r="Q7285" s="17"/>
      <c r="R7285" s="25" t="str">
        <f>HYPERLINK("https://ictv.global/taxonomy/taxondetails?taxnode_id=202308960","Gemycircularvirus austro1")</f>
        <v>Gemycircularvirus austro1</v>
      </c>
      <c r="S7285" s="18" t="s">
        <v>30</v>
      </c>
      <c r="T7285" s="18" t="s">
        <v>16394</v>
      </c>
      <c r="U7285" s="18"/>
      <c r="V7285" s="18" t="s">
        <v>16395</v>
      </c>
      <c r="W7285" s="18" t="s">
        <v>16396</v>
      </c>
      <c r="X7285" s="18" t="s">
        <v>42</v>
      </c>
      <c r="Y7285" s="18" t="s">
        <v>12266</v>
      </c>
      <c r="Z7285" s="18" t="s">
        <v>10790</v>
      </c>
      <c r="AA7285" s="21" t="str">
        <f>HYPERLINK("https://www.ncbi.nlm.nih.gov/nuccore/MK433234","NCBI Nucleotide")</f>
        <v>NCBI Nucleotide</v>
      </c>
    </row>
    <row r="7286" spans="1:27" x14ac:dyDescent="0.35">
      <c r="A7286">
        <v>1008109</v>
      </c>
      <c r="B7286">
        <v>6757</v>
      </c>
      <c r="C7286">
        <v>1</v>
      </c>
      <c r="D7286" s="17" t="s">
        <v>10507</v>
      </c>
      <c r="E7286" s="17"/>
      <c r="F7286" s="17" t="s">
        <v>10780</v>
      </c>
      <c r="G7286" s="17"/>
      <c r="H7286" s="17" t="s">
        <v>12908</v>
      </c>
      <c r="I7286" s="17"/>
      <c r="J7286" s="17" t="s">
        <v>14018</v>
      </c>
      <c r="K7286" s="17"/>
      <c r="L7286" s="17" t="s">
        <v>14019</v>
      </c>
      <c r="M7286" s="17"/>
      <c r="N7286" s="17" t="s">
        <v>16378</v>
      </c>
      <c r="O7286" s="17"/>
      <c r="P7286" s="17" t="s">
        <v>16379</v>
      </c>
      <c r="Q7286" s="17"/>
      <c r="R7286" s="25" t="str">
        <f>HYPERLINK("https://ictv.global/taxonomy/taxondetails?taxnode_id=202308961","Gemycircularvirus austro2")</f>
        <v>Gemycircularvirus austro2</v>
      </c>
      <c r="S7286" s="18" t="s">
        <v>30</v>
      </c>
      <c r="T7286" s="18" t="s">
        <v>16397</v>
      </c>
      <c r="U7286" s="18"/>
      <c r="V7286" s="18" t="s">
        <v>16398</v>
      </c>
      <c r="W7286" s="18" t="s">
        <v>16399</v>
      </c>
      <c r="X7286" s="18" t="s">
        <v>42</v>
      </c>
      <c r="Y7286" s="18" t="s">
        <v>12266</v>
      </c>
      <c r="Z7286" s="18" t="s">
        <v>10790</v>
      </c>
      <c r="AA7286" s="21" t="str">
        <f>HYPERLINK("https://www.ncbi.nlm.nih.gov/nuccore/MK433239","NCBI Nucleotide")</f>
        <v>NCBI Nucleotide</v>
      </c>
    </row>
    <row r="7287" spans="1:27" x14ac:dyDescent="0.35">
      <c r="A7287">
        <v>1008110</v>
      </c>
      <c r="B7287">
        <v>6758</v>
      </c>
      <c r="C7287">
        <v>1</v>
      </c>
      <c r="D7287" s="17" t="s">
        <v>10507</v>
      </c>
      <c r="E7287" s="17"/>
      <c r="F7287" s="17" t="s">
        <v>10780</v>
      </c>
      <c r="G7287" s="17"/>
      <c r="H7287" s="17" t="s">
        <v>12908</v>
      </c>
      <c r="I7287" s="17"/>
      <c r="J7287" s="17" t="s">
        <v>14018</v>
      </c>
      <c r="K7287" s="17"/>
      <c r="L7287" s="17" t="s">
        <v>14019</v>
      </c>
      <c r="M7287" s="17"/>
      <c r="N7287" s="17" t="s">
        <v>16378</v>
      </c>
      <c r="O7287" s="17"/>
      <c r="P7287" s="17" t="s">
        <v>16379</v>
      </c>
      <c r="Q7287" s="17"/>
      <c r="R7287" s="25" t="str">
        <f>HYPERLINK("https://ictv.global/taxonomy/taxondetails?taxnode_id=202308999","Gemycircularvirus austro3")</f>
        <v>Gemycircularvirus austro3</v>
      </c>
      <c r="S7287" s="18" t="s">
        <v>30</v>
      </c>
      <c r="T7287" s="18" t="s">
        <v>16400</v>
      </c>
      <c r="U7287" s="18"/>
      <c r="V7287" s="18" t="s">
        <v>16401</v>
      </c>
      <c r="W7287" s="18" t="s">
        <v>16402</v>
      </c>
      <c r="X7287" s="18" t="s">
        <v>42</v>
      </c>
      <c r="Y7287" s="18" t="s">
        <v>12266</v>
      </c>
      <c r="Z7287" s="18" t="s">
        <v>10790</v>
      </c>
      <c r="AA7287" s="21" t="str">
        <f>HYPERLINK("https://www.ncbi.nlm.nih.gov/nuccore/MK433236","NCBI Nucleotide")</f>
        <v>NCBI Nucleotide</v>
      </c>
    </row>
    <row r="7288" spans="1:27" x14ac:dyDescent="0.35">
      <c r="A7288">
        <v>1008111</v>
      </c>
      <c r="B7288">
        <v>6759</v>
      </c>
      <c r="C7288">
        <v>1</v>
      </c>
      <c r="D7288" s="17" t="s">
        <v>10507</v>
      </c>
      <c r="E7288" s="17"/>
      <c r="F7288" s="17" t="s">
        <v>10780</v>
      </c>
      <c r="G7288" s="17"/>
      <c r="H7288" s="17" t="s">
        <v>12908</v>
      </c>
      <c r="I7288" s="17"/>
      <c r="J7288" s="17" t="s">
        <v>14018</v>
      </c>
      <c r="K7288" s="17"/>
      <c r="L7288" s="17" t="s">
        <v>14019</v>
      </c>
      <c r="M7288" s="17"/>
      <c r="N7288" s="17" t="s">
        <v>16378</v>
      </c>
      <c r="O7288" s="17"/>
      <c r="P7288" s="17" t="s">
        <v>16379</v>
      </c>
      <c r="Q7288" s="17"/>
      <c r="R7288" s="25" t="str">
        <f>HYPERLINK("https://ictv.global/taxonomy/taxondetails?taxnode_id=202308987","Gemycircularvirus austro4")</f>
        <v>Gemycircularvirus austro4</v>
      </c>
      <c r="S7288" s="18" t="s">
        <v>30</v>
      </c>
      <c r="T7288" s="18" t="s">
        <v>16403</v>
      </c>
      <c r="U7288" s="18"/>
      <c r="V7288" s="18" t="s">
        <v>16404</v>
      </c>
      <c r="W7288" s="18" t="s">
        <v>16405</v>
      </c>
      <c r="X7288" s="18" t="s">
        <v>42</v>
      </c>
      <c r="Y7288" s="18" t="s">
        <v>12266</v>
      </c>
      <c r="Z7288" s="18" t="s">
        <v>10790</v>
      </c>
      <c r="AA7288" s="21" t="str">
        <f>HYPERLINK("https://www.ncbi.nlm.nih.gov/nuccore/MK433241","NCBI Nucleotide")</f>
        <v>NCBI Nucleotide</v>
      </c>
    </row>
    <row r="7289" spans="1:27" x14ac:dyDescent="0.35">
      <c r="A7289">
        <v>1008112</v>
      </c>
      <c r="B7289">
        <v>6760</v>
      </c>
      <c r="C7289">
        <v>1</v>
      </c>
      <c r="D7289" s="17" t="s">
        <v>10507</v>
      </c>
      <c r="E7289" s="17"/>
      <c r="F7289" s="17" t="s">
        <v>10780</v>
      </c>
      <c r="G7289" s="17"/>
      <c r="H7289" s="17" t="s">
        <v>12908</v>
      </c>
      <c r="I7289" s="17"/>
      <c r="J7289" s="17" t="s">
        <v>14018</v>
      </c>
      <c r="K7289" s="17"/>
      <c r="L7289" s="17" t="s">
        <v>14019</v>
      </c>
      <c r="M7289" s="17"/>
      <c r="N7289" s="17" t="s">
        <v>16378</v>
      </c>
      <c r="O7289" s="17"/>
      <c r="P7289" s="17" t="s">
        <v>16379</v>
      </c>
      <c r="Q7289" s="17"/>
      <c r="R7289" s="25" t="str">
        <f>HYPERLINK("https://ictv.global/taxonomy/taxondetails?taxnode_id=202309011","Gemycircularvirus austro5")</f>
        <v>Gemycircularvirus austro5</v>
      </c>
      <c r="S7289" s="18" t="s">
        <v>30</v>
      </c>
      <c r="T7289" s="18" t="s">
        <v>16406</v>
      </c>
      <c r="U7289" s="18"/>
      <c r="V7289" s="18" t="s">
        <v>16407</v>
      </c>
      <c r="W7289" s="18" t="s">
        <v>16408</v>
      </c>
      <c r="X7289" s="18" t="s">
        <v>42</v>
      </c>
      <c r="Y7289" s="18" t="s">
        <v>12266</v>
      </c>
      <c r="Z7289" s="18" t="s">
        <v>10790</v>
      </c>
      <c r="AA7289" s="21" t="str">
        <f>HYPERLINK("https://www.ncbi.nlm.nih.gov/nuccore/MK433237","NCBI Nucleotide")</f>
        <v>NCBI Nucleotide</v>
      </c>
    </row>
    <row r="7290" spans="1:27" x14ac:dyDescent="0.35">
      <c r="A7290">
        <v>1008113</v>
      </c>
      <c r="B7290">
        <v>6761</v>
      </c>
      <c r="C7290">
        <v>1</v>
      </c>
      <c r="D7290" s="17" t="s">
        <v>10507</v>
      </c>
      <c r="E7290" s="17"/>
      <c r="F7290" s="17" t="s">
        <v>10780</v>
      </c>
      <c r="G7290" s="17"/>
      <c r="H7290" s="17" t="s">
        <v>12908</v>
      </c>
      <c r="I7290" s="17"/>
      <c r="J7290" s="17" t="s">
        <v>14018</v>
      </c>
      <c r="K7290" s="17"/>
      <c r="L7290" s="17" t="s">
        <v>14019</v>
      </c>
      <c r="M7290" s="17"/>
      <c r="N7290" s="17" t="s">
        <v>16378</v>
      </c>
      <c r="O7290" s="17"/>
      <c r="P7290" s="17" t="s">
        <v>16379</v>
      </c>
      <c r="Q7290" s="17"/>
      <c r="R7290" s="25" t="str">
        <f>HYPERLINK("https://ictv.global/taxonomy/taxondetails?taxnode_id=202308942","Gemycircularvirus austro6")</f>
        <v>Gemycircularvirus austro6</v>
      </c>
      <c r="S7290" s="18" t="s">
        <v>30</v>
      </c>
      <c r="T7290" s="18" t="s">
        <v>16409</v>
      </c>
      <c r="U7290" s="18"/>
      <c r="V7290" s="18" t="s">
        <v>16410</v>
      </c>
      <c r="W7290" s="18" t="s">
        <v>16411</v>
      </c>
      <c r="X7290" s="18" t="s">
        <v>42</v>
      </c>
      <c r="Y7290" s="18" t="s">
        <v>12266</v>
      </c>
      <c r="Z7290" s="18" t="s">
        <v>10790</v>
      </c>
      <c r="AA7290" s="21" t="str">
        <f>HYPERLINK("https://www.ncbi.nlm.nih.gov/nuccore/MK433242","NCBI Nucleotide")</f>
        <v>NCBI Nucleotide</v>
      </c>
    </row>
    <row r="7291" spans="1:27" x14ac:dyDescent="0.35">
      <c r="A7291">
        <v>1008114</v>
      </c>
      <c r="B7291">
        <v>6762</v>
      </c>
      <c r="C7291">
        <v>1</v>
      </c>
      <c r="D7291" s="17" t="s">
        <v>10507</v>
      </c>
      <c r="E7291" s="17"/>
      <c r="F7291" s="17" t="s">
        <v>10780</v>
      </c>
      <c r="G7291" s="17"/>
      <c r="H7291" s="17" t="s">
        <v>12908</v>
      </c>
      <c r="I7291" s="17"/>
      <c r="J7291" s="17" t="s">
        <v>14018</v>
      </c>
      <c r="K7291" s="17"/>
      <c r="L7291" s="17" t="s">
        <v>14019</v>
      </c>
      <c r="M7291" s="17"/>
      <c r="N7291" s="17" t="s">
        <v>16378</v>
      </c>
      <c r="O7291" s="17"/>
      <c r="P7291" s="17" t="s">
        <v>16379</v>
      </c>
      <c r="Q7291" s="17"/>
      <c r="R7291" s="25" t="str">
        <f>HYPERLINK("https://ictv.global/taxonomy/taxondetails?taxnode_id=202308973","Gemycircularvirus bemta1")</f>
        <v>Gemycircularvirus bemta1</v>
      </c>
      <c r="S7291" s="18" t="s">
        <v>30</v>
      </c>
      <c r="T7291" s="18" t="s">
        <v>16412</v>
      </c>
      <c r="U7291" s="18"/>
      <c r="V7291" s="18" t="s">
        <v>16413</v>
      </c>
      <c r="W7291" s="18" t="s">
        <v>16414</v>
      </c>
      <c r="X7291" s="18" t="s">
        <v>42</v>
      </c>
      <c r="Y7291" s="18" t="s">
        <v>12266</v>
      </c>
      <c r="Z7291" s="18" t="s">
        <v>10790</v>
      </c>
      <c r="AA7291" s="21" t="str">
        <f>HYPERLINK("https://www.ncbi.nlm.nih.gov/nuccore/KY230614","NCBI Nucleotide")</f>
        <v>NCBI Nucleotide</v>
      </c>
    </row>
    <row r="7292" spans="1:27" x14ac:dyDescent="0.35">
      <c r="A7292">
        <v>1008115</v>
      </c>
      <c r="B7292">
        <v>6763</v>
      </c>
      <c r="C7292">
        <v>1</v>
      </c>
      <c r="D7292" s="17" t="s">
        <v>10507</v>
      </c>
      <c r="E7292" s="17"/>
      <c r="F7292" s="17" t="s">
        <v>10780</v>
      </c>
      <c r="G7292" s="17"/>
      <c r="H7292" s="17" t="s">
        <v>12908</v>
      </c>
      <c r="I7292" s="17"/>
      <c r="J7292" s="17" t="s">
        <v>14018</v>
      </c>
      <c r="K7292" s="17"/>
      <c r="L7292" s="17" t="s">
        <v>14019</v>
      </c>
      <c r="M7292" s="17"/>
      <c r="N7292" s="17" t="s">
        <v>16378</v>
      </c>
      <c r="O7292" s="17"/>
      <c r="P7292" s="17" t="s">
        <v>16379</v>
      </c>
      <c r="Q7292" s="17"/>
      <c r="R7292" s="25" t="str">
        <f>HYPERLINK("https://ictv.global/taxonomy/taxondetails?taxnode_id=202303553","Gemycircularvirus blabi1")</f>
        <v>Gemycircularvirus blabi1</v>
      </c>
      <c r="S7292" s="18" t="s">
        <v>30</v>
      </c>
      <c r="T7292" s="18" t="s">
        <v>16415</v>
      </c>
      <c r="U7292" s="18" t="s">
        <v>16416</v>
      </c>
      <c r="V7292" s="18" t="s">
        <v>16417</v>
      </c>
      <c r="W7292" s="18" t="s">
        <v>16418</v>
      </c>
      <c r="X7292" s="18" t="s">
        <v>42</v>
      </c>
      <c r="Y7292" s="18" t="s">
        <v>12266</v>
      </c>
      <c r="Z7292" s="18" t="s">
        <v>166</v>
      </c>
      <c r="AA7292" s="21" t="str">
        <f>HYPERLINK("https://www.ncbi.nlm.nih.gov/nuccore/KF371643","NCBI Nucleotide")</f>
        <v>NCBI Nucleotide</v>
      </c>
    </row>
    <row r="7293" spans="1:27" x14ac:dyDescent="0.35">
      <c r="A7293">
        <v>1008116</v>
      </c>
      <c r="B7293">
        <v>6764</v>
      </c>
      <c r="C7293">
        <v>1</v>
      </c>
      <c r="D7293" s="17" t="s">
        <v>10507</v>
      </c>
      <c r="E7293" s="17"/>
      <c r="F7293" s="17" t="s">
        <v>10780</v>
      </c>
      <c r="G7293" s="17"/>
      <c r="H7293" s="17" t="s">
        <v>12908</v>
      </c>
      <c r="I7293" s="17"/>
      <c r="J7293" s="17" t="s">
        <v>14018</v>
      </c>
      <c r="K7293" s="17"/>
      <c r="L7293" s="17" t="s">
        <v>14019</v>
      </c>
      <c r="M7293" s="17"/>
      <c r="N7293" s="17" t="s">
        <v>16378</v>
      </c>
      <c r="O7293" s="17"/>
      <c r="P7293" s="17" t="s">
        <v>16379</v>
      </c>
      <c r="Q7293" s="17"/>
      <c r="R7293" s="25" t="str">
        <f>HYPERLINK("https://ictv.global/taxonomy/taxondetails?taxnode_id=202303554","Gemycircularvirus bovas1")</f>
        <v>Gemycircularvirus bovas1</v>
      </c>
      <c r="S7293" s="18" t="s">
        <v>30</v>
      </c>
      <c r="T7293" s="18" t="s">
        <v>16419</v>
      </c>
      <c r="U7293" s="18" t="s">
        <v>16420</v>
      </c>
      <c r="V7293" s="18" t="s">
        <v>16421</v>
      </c>
      <c r="W7293" s="18" t="s">
        <v>16422</v>
      </c>
      <c r="X7293" s="18" t="s">
        <v>42</v>
      </c>
      <c r="Y7293" s="18" t="s">
        <v>12266</v>
      </c>
      <c r="Z7293" s="18" t="s">
        <v>166</v>
      </c>
      <c r="AA7293" s="21" t="str">
        <f>HYPERLINK("https://www.ncbi.nlm.nih.gov/nuccore/KT862253","NCBI Nucleotide")</f>
        <v>NCBI Nucleotide</v>
      </c>
    </row>
    <row r="7294" spans="1:27" x14ac:dyDescent="0.35">
      <c r="A7294">
        <v>1008117</v>
      </c>
      <c r="B7294">
        <v>6765</v>
      </c>
      <c r="C7294">
        <v>1</v>
      </c>
      <c r="D7294" s="17" t="s">
        <v>10507</v>
      </c>
      <c r="E7294" s="17"/>
      <c r="F7294" s="17" t="s">
        <v>10780</v>
      </c>
      <c r="G7294" s="17"/>
      <c r="H7294" s="17" t="s">
        <v>12908</v>
      </c>
      <c r="I7294" s="17"/>
      <c r="J7294" s="17" t="s">
        <v>14018</v>
      </c>
      <c r="K7294" s="17"/>
      <c r="L7294" s="17" t="s">
        <v>14019</v>
      </c>
      <c r="M7294" s="17"/>
      <c r="N7294" s="17" t="s">
        <v>16378</v>
      </c>
      <c r="O7294" s="17"/>
      <c r="P7294" s="17" t="s">
        <v>16379</v>
      </c>
      <c r="Q7294" s="17"/>
      <c r="R7294" s="25" t="str">
        <f>HYPERLINK("https://ictv.global/taxonomy/taxondetails?taxnode_id=202303555","Gemycircularvirus bromas1")</f>
        <v>Gemycircularvirus bromas1</v>
      </c>
      <c r="S7294" s="18" t="s">
        <v>30</v>
      </c>
      <c r="T7294" s="18" t="s">
        <v>16423</v>
      </c>
      <c r="U7294" s="18" t="s">
        <v>16424</v>
      </c>
      <c r="V7294" s="18" t="s">
        <v>16425</v>
      </c>
      <c r="W7294" s="18" t="s">
        <v>16426</v>
      </c>
      <c r="X7294" s="18" t="s">
        <v>42</v>
      </c>
      <c r="Y7294" s="18" t="s">
        <v>12266</v>
      </c>
      <c r="Z7294" s="18" t="s">
        <v>13441</v>
      </c>
      <c r="AA7294" s="21" t="str">
        <f>HYPERLINK("https://www.ncbi.nlm.nih.gov/nuccore/KM510192","NCBI Nucleotide")</f>
        <v>NCBI Nucleotide</v>
      </c>
    </row>
    <row r="7295" spans="1:27" x14ac:dyDescent="0.35">
      <c r="A7295">
        <v>1008118</v>
      </c>
      <c r="B7295">
        <v>6766</v>
      </c>
      <c r="C7295">
        <v>1</v>
      </c>
      <c r="D7295" s="17" t="s">
        <v>10507</v>
      </c>
      <c r="E7295" s="17"/>
      <c r="F7295" s="17" t="s">
        <v>10780</v>
      </c>
      <c r="G7295" s="17"/>
      <c r="H7295" s="17" t="s">
        <v>12908</v>
      </c>
      <c r="I7295" s="17"/>
      <c r="J7295" s="17" t="s">
        <v>14018</v>
      </c>
      <c r="K7295" s="17"/>
      <c r="L7295" s="17" t="s">
        <v>14019</v>
      </c>
      <c r="M7295" s="17"/>
      <c r="N7295" s="17" t="s">
        <v>16378</v>
      </c>
      <c r="O7295" s="17"/>
      <c r="P7295" s="17" t="s">
        <v>16379</v>
      </c>
      <c r="Q7295" s="17"/>
      <c r="R7295" s="25" t="str">
        <f>HYPERLINK("https://ictv.global/taxonomy/taxondetails?taxnode_id=202308984","Gemycircularvirus canlup1")</f>
        <v>Gemycircularvirus canlup1</v>
      </c>
      <c r="S7295" s="18" t="s">
        <v>30</v>
      </c>
      <c r="T7295" s="18" t="s">
        <v>16427</v>
      </c>
      <c r="U7295" s="18"/>
      <c r="V7295" s="18" t="s">
        <v>12403</v>
      </c>
      <c r="W7295" s="18" t="s">
        <v>16428</v>
      </c>
      <c r="X7295" s="18" t="s">
        <v>42</v>
      </c>
      <c r="Y7295" s="18" t="s">
        <v>12266</v>
      </c>
      <c r="Z7295" s="18" t="s">
        <v>13441</v>
      </c>
      <c r="AA7295" s="21" t="str">
        <f>HYPERLINK("https://www.ncbi.nlm.nih.gov/nuccore/KY214442","NCBI Nucleotide")</f>
        <v>NCBI Nucleotide</v>
      </c>
    </row>
    <row r="7296" spans="1:27" x14ac:dyDescent="0.35">
      <c r="A7296">
        <v>1008119</v>
      </c>
      <c r="B7296">
        <v>6767</v>
      </c>
      <c r="C7296">
        <v>1</v>
      </c>
      <c r="D7296" s="17" t="s">
        <v>10507</v>
      </c>
      <c r="E7296" s="17"/>
      <c r="F7296" s="17" t="s">
        <v>10780</v>
      </c>
      <c r="G7296" s="17"/>
      <c r="H7296" s="17" t="s">
        <v>12908</v>
      </c>
      <c r="I7296" s="17"/>
      <c r="J7296" s="17" t="s">
        <v>14018</v>
      </c>
      <c r="K7296" s="17"/>
      <c r="L7296" s="17" t="s">
        <v>14019</v>
      </c>
      <c r="M7296" s="17"/>
      <c r="N7296" s="17" t="s">
        <v>16378</v>
      </c>
      <c r="O7296" s="17"/>
      <c r="P7296" s="17" t="s">
        <v>16379</v>
      </c>
      <c r="Q7296" s="17"/>
      <c r="R7296" s="25" t="str">
        <f>HYPERLINK("https://ictv.global/taxonomy/taxondetails?taxnode_id=202303556","Gemycircularvirus cassa1")</f>
        <v>Gemycircularvirus cassa1</v>
      </c>
      <c r="S7296" s="18" t="s">
        <v>30</v>
      </c>
      <c r="T7296" s="18" t="s">
        <v>16429</v>
      </c>
      <c r="U7296" s="18" t="s">
        <v>16430</v>
      </c>
      <c r="V7296" s="18" t="s">
        <v>16431</v>
      </c>
      <c r="W7296" s="18" t="s">
        <v>16432</v>
      </c>
      <c r="X7296" s="18" t="s">
        <v>42</v>
      </c>
      <c r="Y7296" s="18" t="s">
        <v>12266</v>
      </c>
      <c r="Z7296" s="18" t="s">
        <v>13441</v>
      </c>
      <c r="AA7296" s="21" t="str">
        <f>HYPERLINK("https://www.ncbi.nlm.nih.gov/nuccore/JQ412056","NCBI Nucleotide")</f>
        <v>NCBI Nucleotide</v>
      </c>
    </row>
    <row r="7297" spans="1:27" x14ac:dyDescent="0.35">
      <c r="A7297">
        <v>1008120</v>
      </c>
      <c r="B7297">
        <v>6768</v>
      </c>
      <c r="C7297">
        <v>1</v>
      </c>
      <c r="D7297" s="17" t="s">
        <v>10507</v>
      </c>
      <c r="E7297" s="17"/>
      <c r="F7297" s="17" t="s">
        <v>10780</v>
      </c>
      <c r="G7297" s="17"/>
      <c r="H7297" s="17" t="s">
        <v>12908</v>
      </c>
      <c r="I7297" s="17"/>
      <c r="J7297" s="17" t="s">
        <v>14018</v>
      </c>
      <c r="K7297" s="17"/>
      <c r="L7297" s="17" t="s">
        <v>14019</v>
      </c>
      <c r="M7297" s="17"/>
      <c r="N7297" s="17" t="s">
        <v>16378</v>
      </c>
      <c r="O7297" s="17"/>
      <c r="P7297" s="17" t="s">
        <v>16379</v>
      </c>
      <c r="Q7297" s="17"/>
      <c r="R7297" s="25" t="str">
        <f>HYPERLINK("https://ictv.global/taxonomy/taxondetails?taxnode_id=202303558","Gemycircularvirus chicas1")</f>
        <v>Gemycircularvirus chicas1</v>
      </c>
      <c r="S7297" s="18" t="s">
        <v>30</v>
      </c>
      <c r="T7297" s="18" t="s">
        <v>16433</v>
      </c>
      <c r="U7297" s="18" t="s">
        <v>16434</v>
      </c>
      <c r="V7297" s="18" t="s">
        <v>16435</v>
      </c>
      <c r="W7297" s="18" t="s">
        <v>16436</v>
      </c>
      <c r="X7297" s="18" t="s">
        <v>42</v>
      </c>
      <c r="Y7297" s="18" t="s">
        <v>12266</v>
      </c>
      <c r="Z7297" s="18" t="s">
        <v>166</v>
      </c>
      <c r="AA7297" s="21" t="str">
        <f>HYPERLINK("https://www.ncbi.nlm.nih.gov/nuccore/KT862243","NCBI Nucleotide")</f>
        <v>NCBI Nucleotide</v>
      </c>
    </row>
    <row r="7298" spans="1:27" x14ac:dyDescent="0.35">
      <c r="A7298">
        <v>1008121</v>
      </c>
      <c r="B7298">
        <v>6769</v>
      </c>
      <c r="C7298">
        <v>1</v>
      </c>
      <c r="D7298" s="17" t="s">
        <v>10507</v>
      </c>
      <c r="E7298" s="17"/>
      <c r="F7298" s="17" t="s">
        <v>10780</v>
      </c>
      <c r="G7298" s="17"/>
      <c r="H7298" s="17" t="s">
        <v>12908</v>
      </c>
      <c r="I7298" s="17"/>
      <c r="J7298" s="17" t="s">
        <v>14018</v>
      </c>
      <c r="K7298" s="17"/>
      <c r="L7298" s="17" t="s">
        <v>14019</v>
      </c>
      <c r="M7298" s="17"/>
      <c r="N7298" s="17" t="s">
        <v>16378</v>
      </c>
      <c r="O7298" s="17"/>
      <c r="P7298" s="17" t="s">
        <v>16379</v>
      </c>
      <c r="Q7298" s="17"/>
      <c r="R7298" s="25" t="str">
        <f>HYPERLINK("https://ictv.global/taxonomy/taxondetails?taxnode_id=202303559","Gemycircularvirus chicas2")</f>
        <v>Gemycircularvirus chicas2</v>
      </c>
      <c r="S7298" s="18" t="s">
        <v>30</v>
      </c>
      <c r="T7298" s="18" t="s">
        <v>16437</v>
      </c>
      <c r="U7298" s="18" t="s">
        <v>16438</v>
      </c>
      <c r="V7298" s="18" t="s">
        <v>16439</v>
      </c>
      <c r="W7298" s="18" t="s">
        <v>16440</v>
      </c>
      <c r="X7298" s="18" t="s">
        <v>42</v>
      </c>
      <c r="Y7298" s="18" t="s">
        <v>12266</v>
      </c>
      <c r="Z7298" s="18" t="s">
        <v>166</v>
      </c>
      <c r="AA7298" s="21" t="str">
        <f>HYPERLINK("https://www.ncbi.nlm.nih.gov/nuccore/KT862242","NCBI Nucleotide")</f>
        <v>NCBI Nucleotide</v>
      </c>
    </row>
    <row r="7299" spans="1:27" x14ac:dyDescent="0.35">
      <c r="A7299">
        <v>1008122</v>
      </c>
      <c r="B7299">
        <v>6770</v>
      </c>
      <c r="C7299">
        <v>1</v>
      </c>
      <c r="D7299" s="17" t="s">
        <v>10507</v>
      </c>
      <c r="E7299" s="17"/>
      <c r="F7299" s="17" t="s">
        <v>10780</v>
      </c>
      <c r="G7299" s="17"/>
      <c r="H7299" s="17" t="s">
        <v>12908</v>
      </c>
      <c r="I7299" s="17"/>
      <c r="J7299" s="17" t="s">
        <v>14018</v>
      </c>
      <c r="K7299" s="17"/>
      <c r="L7299" s="17" t="s">
        <v>14019</v>
      </c>
      <c r="M7299" s="17"/>
      <c r="N7299" s="17" t="s">
        <v>16378</v>
      </c>
      <c r="O7299" s="17"/>
      <c r="P7299" s="17" t="s">
        <v>16379</v>
      </c>
      <c r="Q7299" s="17"/>
      <c r="R7299" s="25" t="str">
        <f>HYPERLINK("https://ictv.global/taxonomy/taxondetails?taxnode_id=202303557","Gemycircularvirus chickad1")</f>
        <v>Gemycircularvirus chickad1</v>
      </c>
      <c r="S7299" s="18" t="s">
        <v>30</v>
      </c>
      <c r="T7299" s="18" t="s">
        <v>16441</v>
      </c>
      <c r="U7299" s="18" t="s">
        <v>16442</v>
      </c>
      <c r="V7299" s="18">
        <v>254065908</v>
      </c>
      <c r="W7299" s="18" t="s">
        <v>16443</v>
      </c>
      <c r="X7299" s="18" t="s">
        <v>42</v>
      </c>
      <c r="Y7299" s="18" t="s">
        <v>12266</v>
      </c>
      <c r="Z7299" s="18" t="s">
        <v>166</v>
      </c>
      <c r="AA7299" s="21" t="str">
        <f>HYPERLINK("https://www.ncbi.nlm.nih.gov/nuccore/KT309029","NCBI Nucleotide")</f>
        <v>NCBI Nucleotide</v>
      </c>
    </row>
    <row r="7300" spans="1:27" x14ac:dyDescent="0.35">
      <c r="A7300">
        <v>1008123</v>
      </c>
      <c r="B7300">
        <v>6771</v>
      </c>
      <c r="C7300">
        <v>1</v>
      </c>
      <c r="D7300" s="17" t="s">
        <v>10507</v>
      </c>
      <c r="E7300" s="17"/>
      <c r="F7300" s="17" t="s">
        <v>10780</v>
      </c>
      <c r="G7300" s="17"/>
      <c r="H7300" s="17" t="s">
        <v>12908</v>
      </c>
      <c r="I7300" s="17"/>
      <c r="J7300" s="17" t="s">
        <v>14018</v>
      </c>
      <c r="K7300" s="17"/>
      <c r="L7300" s="17" t="s">
        <v>14019</v>
      </c>
      <c r="M7300" s="17"/>
      <c r="N7300" s="17" t="s">
        <v>16378</v>
      </c>
      <c r="O7300" s="17"/>
      <c r="P7300" s="17" t="s">
        <v>16379</v>
      </c>
      <c r="Q7300" s="17"/>
      <c r="R7300" s="25" t="str">
        <f>HYPERLINK("https://ictv.global/taxonomy/taxondetails?taxnode_id=202308971","Gemycircularvirus citas1")</f>
        <v>Gemycircularvirus citas1</v>
      </c>
      <c r="S7300" s="18" t="s">
        <v>30</v>
      </c>
      <c r="T7300" s="18" t="s">
        <v>16444</v>
      </c>
      <c r="U7300" s="18"/>
      <c r="V7300" s="18" t="s">
        <v>16445</v>
      </c>
      <c r="W7300" s="18" t="s">
        <v>16446</v>
      </c>
      <c r="X7300" s="18" t="s">
        <v>42</v>
      </c>
      <c r="Y7300" s="18" t="s">
        <v>12266</v>
      </c>
      <c r="Z7300" s="18" t="s">
        <v>13441</v>
      </c>
      <c r="AA7300" s="21" t="str">
        <f>HYPERLINK("https://www.ncbi.nlm.nih.gov/nuccore/MN708485","NCBI Nucleotide")</f>
        <v>NCBI Nucleotide</v>
      </c>
    </row>
    <row r="7301" spans="1:27" x14ac:dyDescent="0.35">
      <c r="A7301">
        <v>1008124</v>
      </c>
      <c r="B7301">
        <v>6772</v>
      </c>
      <c r="C7301">
        <v>1</v>
      </c>
      <c r="D7301" s="17" t="s">
        <v>10507</v>
      </c>
      <c r="E7301" s="17"/>
      <c r="F7301" s="17" t="s">
        <v>10780</v>
      </c>
      <c r="G7301" s="17"/>
      <c r="H7301" s="17" t="s">
        <v>12908</v>
      </c>
      <c r="I7301" s="17"/>
      <c r="J7301" s="17" t="s">
        <v>14018</v>
      </c>
      <c r="K7301" s="17"/>
      <c r="L7301" s="17" t="s">
        <v>14019</v>
      </c>
      <c r="M7301" s="17"/>
      <c r="N7301" s="17" t="s">
        <v>16378</v>
      </c>
      <c r="O7301" s="17"/>
      <c r="P7301" s="17" t="s">
        <v>16379</v>
      </c>
      <c r="Q7301" s="17"/>
      <c r="R7301" s="25" t="str">
        <f>HYPERLINK("https://ictv.global/taxonomy/taxondetails?taxnode_id=202308964","Gemycircularvirus cybusi1")</f>
        <v>Gemycircularvirus cybusi1</v>
      </c>
      <c r="S7301" s="18" t="s">
        <v>30</v>
      </c>
      <c r="T7301" s="18" t="s">
        <v>16447</v>
      </c>
      <c r="U7301" s="18"/>
      <c r="V7301" s="18" t="s">
        <v>16448</v>
      </c>
      <c r="W7301" s="18" t="s">
        <v>16449</v>
      </c>
      <c r="X7301" s="18" t="s">
        <v>42</v>
      </c>
      <c r="Y7301" s="18" t="s">
        <v>12266</v>
      </c>
      <c r="Z7301" s="18" t="s">
        <v>10790</v>
      </c>
      <c r="AA7301" s="21" t="str">
        <f>HYPERLINK("https://www.ncbi.nlm.nih.gov/nuccore/MH545503","NCBI Nucleotide")</f>
        <v>NCBI Nucleotide</v>
      </c>
    </row>
    <row r="7302" spans="1:27" x14ac:dyDescent="0.35">
      <c r="A7302">
        <v>1008125</v>
      </c>
      <c r="B7302">
        <v>6773</v>
      </c>
      <c r="C7302">
        <v>1</v>
      </c>
      <c r="D7302" s="17" t="s">
        <v>10507</v>
      </c>
      <c r="E7302" s="17"/>
      <c r="F7302" s="17" t="s">
        <v>10780</v>
      </c>
      <c r="G7302" s="17"/>
      <c r="H7302" s="17" t="s">
        <v>12908</v>
      </c>
      <c r="I7302" s="17"/>
      <c r="J7302" s="17" t="s">
        <v>14018</v>
      </c>
      <c r="K7302" s="17"/>
      <c r="L7302" s="17" t="s">
        <v>14019</v>
      </c>
      <c r="M7302" s="17"/>
      <c r="N7302" s="17" t="s">
        <v>16378</v>
      </c>
      <c r="O7302" s="17"/>
      <c r="P7302" s="17" t="s">
        <v>16379</v>
      </c>
      <c r="Q7302" s="17"/>
      <c r="R7302" s="25" t="str">
        <f>HYPERLINK("https://ictv.global/taxonomy/taxondetails?taxnode_id=202309012","Gemycircularvirus denbre1")</f>
        <v>Gemycircularvirus denbre1</v>
      </c>
      <c r="S7302" s="18" t="s">
        <v>30</v>
      </c>
      <c r="T7302" s="18" t="s">
        <v>16450</v>
      </c>
      <c r="U7302" s="18"/>
      <c r="V7302" s="18" t="s">
        <v>16451</v>
      </c>
      <c r="W7302" s="18" t="s">
        <v>16452</v>
      </c>
      <c r="X7302" s="18" t="s">
        <v>42</v>
      </c>
      <c r="Y7302" s="18" t="s">
        <v>12266</v>
      </c>
      <c r="Z7302" s="18" t="s">
        <v>10790</v>
      </c>
      <c r="AA7302" s="21" t="str">
        <f>HYPERLINK("https://www.ncbi.nlm.nih.gov/nuccore/MG571096","NCBI Nucleotide")</f>
        <v>NCBI Nucleotide</v>
      </c>
    </row>
    <row r="7303" spans="1:27" x14ac:dyDescent="0.35">
      <c r="A7303">
        <v>1008126</v>
      </c>
      <c r="B7303">
        <v>6774</v>
      </c>
      <c r="C7303">
        <v>1</v>
      </c>
      <c r="D7303" s="17" t="s">
        <v>10507</v>
      </c>
      <c r="E7303" s="17"/>
      <c r="F7303" s="17" t="s">
        <v>10780</v>
      </c>
      <c r="G7303" s="17"/>
      <c r="H7303" s="17" t="s">
        <v>12908</v>
      </c>
      <c r="I7303" s="17"/>
      <c r="J7303" s="17" t="s">
        <v>14018</v>
      </c>
      <c r="K7303" s="17"/>
      <c r="L7303" s="17" t="s">
        <v>14019</v>
      </c>
      <c r="M7303" s="17"/>
      <c r="N7303" s="17" t="s">
        <v>16378</v>
      </c>
      <c r="O7303" s="17"/>
      <c r="P7303" s="17" t="s">
        <v>16379</v>
      </c>
      <c r="Q7303" s="17"/>
      <c r="R7303" s="25" t="str">
        <f>HYPERLINK("https://ictv.global/taxonomy/taxondetails?taxnode_id=202309013","Gemycircularvirus denbre2")</f>
        <v>Gemycircularvirus denbre2</v>
      </c>
      <c r="S7303" s="18" t="s">
        <v>30</v>
      </c>
      <c r="T7303" s="18" t="s">
        <v>16453</v>
      </c>
      <c r="U7303" s="18"/>
      <c r="V7303" s="18" t="s">
        <v>16454</v>
      </c>
      <c r="W7303" s="18" t="s">
        <v>16455</v>
      </c>
      <c r="X7303" s="18" t="s">
        <v>42</v>
      </c>
      <c r="Y7303" s="18" t="s">
        <v>12266</v>
      </c>
      <c r="Z7303" s="18" t="s">
        <v>10790</v>
      </c>
      <c r="AA7303" s="21" t="str">
        <f>HYPERLINK("https://www.ncbi.nlm.nih.gov/nuccore/MG571098","NCBI Nucleotide")</f>
        <v>NCBI Nucleotide</v>
      </c>
    </row>
    <row r="7304" spans="1:27" x14ac:dyDescent="0.35">
      <c r="A7304">
        <v>1008127</v>
      </c>
      <c r="B7304">
        <v>6775</v>
      </c>
      <c r="C7304">
        <v>1</v>
      </c>
      <c r="D7304" s="17" t="s">
        <v>10507</v>
      </c>
      <c r="E7304" s="17"/>
      <c r="F7304" s="17" t="s">
        <v>10780</v>
      </c>
      <c r="G7304" s="17"/>
      <c r="H7304" s="17" t="s">
        <v>12908</v>
      </c>
      <c r="I7304" s="17"/>
      <c r="J7304" s="17" t="s">
        <v>14018</v>
      </c>
      <c r="K7304" s="17"/>
      <c r="L7304" s="17" t="s">
        <v>14019</v>
      </c>
      <c r="M7304" s="17"/>
      <c r="N7304" s="17" t="s">
        <v>16378</v>
      </c>
      <c r="O7304" s="17"/>
      <c r="P7304" s="17" t="s">
        <v>16379</v>
      </c>
      <c r="Q7304" s="17"/>
      <c r="R7304" s="25" t="str">
        <f>HYPERLINK("https://ictv.global/taxonomy/taxondetails?taxnode_id=202309014","Gemycircularvirus denbre3")</f>
        <v>Gemycircularvirus denbre3</v>
      </c>
      <c r="S7304" s="18" t="s">
        <v>30</v>
      </c>
      <c r="T7304" s="18" t="s">
        <v>16456</v>
      </c>
      <c r="U7304" s="18"/>
      <c r="V7304" s="18" t="s">
        <v>16457</v>
      </c>
      <c r="W7304" s="18" t="s">
        <v>16458</v>
      </c>
      <c r="X7304" s="18" t="s">
        <v>42</v>
      </c>
      <c r="Y7304" s="18" t="s">
        <v>12266</v>
      </c>
      <c r="Z7304" s="18" t="s">
        <v>10790</v>
      </c>
      <c r="AA7304" s="21" t="str">
        <f>HYPERLINK("https://www.ncbi.nlm.nih.gov/nuccore/MG571099","NCBI Nucleotide")</f>
        <v>NCBI Nucleotide</v>
      </c>
    </row>
    <row r="7305" spans="1:27" x14ac:dyDescent="0.35">
      <c r="A7305">
        <v>1008128</v>
      </c>
      <c r="B7305">
        <v>6776</v>
      </c>
      <c r="C7305">
        <v>1</v>
      </c>
      <c r="D7305" s="17" t="s">
        <v>10507</v>
      </c>
      <c r="E7305" s="17"/>
      <c r="F7305" s="17" t="s">
        <v>10780</v>
      </c>
      <c r="G7305" s="17"/>
      <c r="H7305" s="17" t="s">
        <v>12908</v>
      </c>
      <c r="I7305" s="17"/>
      <c r="J7305" s="17" t="s">
        <v>14018</v>
      </c>
      <c r="K7305" s="17"/>
      <c r="L7305" s="17" t="s">
        <v>14019</v>
      </c>
      <c r="M7305" s="17"/>
      <c r="N7305" s="17" t="s">
        <v>16378</v>
      </c>
      <c r="O7305" s="17"/>
      <c r="P7305" s="17" t="s">
        <v>16379</v>
      </c>
      <c r="Q7305" s="17"/>
      <c r="R7305" s="25" t="str">
        <f>HYPERLINK("https://ictv.global/taxonomy/taxondetails?taxnode_id=202309017","Gemycircularvirus denbre4")</f>
        <v>Gemycircularvirus denbre4</v>
      </c>
      <c r="S7305" s="18" t="s">
        <v>30</v>
      </c>
      <c r="T7305" s="18" t="s">
        <v>16459</v>
      </c>
      <c r="U7305" s="18"/>
      <c r="V7305" s="18" t="s">
        <v>16460</v>
      </c>
      <c r="W7305" s="18" t="s">
        <v>16461</v>
      </c>
      <c r="X7305" s="18" t="s">
        <v>42</v>
      </c>
      <c r="Y7305" s="18" t="s">
        <v>12266</v>
      </c>
      <c r="Z7305" s="18" t="s">
        <v>10790</v>
      </c>
      <c r="AA7305" s="21" t="str">
        <f>HYPERLINK("https://www.ncbi.nlm.nih.gov/nuccore/MG571100","NCBI Nucleotide")</f>
        <v>NCBI Nucleotide</v>
      </c>
    </row>
    <row r="7306" spans="1:27" x14ac:dyDescent="0.35">
      <c r="A7306">
        <v>1008129</v>
      </c>
      <c r="B7306">
        <v>6777</v>
      </c>
      <c r="C7306">
        <v>1</v>
      </c>
      <c r="D7306" s="17" t="s">
        <v>10507</v>
      </c>
      <c r="E7306" s="17"/>
      <c r="F7306" s="17" t="s">
        <v>10780</v>
      </c>
      <c r="G7306" s="17"/>
      <c r="H7306" s="17" t="s">
        <v>12908</v>
      </c>
      <c r="I7306" s="17"/>
      <c r="J7306" s="17" t="s">
        <v>14018</v>
      </c>
      <c r="K7306" s="17"/>
      <c r="L7306" s="17" t="s">
        <v>14019</v>
      </c>
      <c r="M7306" s="17"/>
      <c r="N7306" s="17" t="s">
        <v>16378</v>
      </c>
      <c r="O7306" s="17"/>
      <c r="P7306" s="17" t="s">
        <v>16379</v>
      </c>
      <c r="Q7306" s="17"/>
      <c r="R7306" s="25" t="str">
        <f>HYPERLINK("https://ictv.global/taxonomy/taxondetails?taxnode_id=202308977","Gemycircularvirus denpo1")</f>
        <v>Gemycircularvirus denpo1</v>
      </c>
      <c r="S7306" s="18" t="s">
        <v>30</v>
      </c>
      <c r="T7306" s="18" t="s">
        <v>16462</v>
      </c>
      <c r="U7306" s="18"/>
      <c r="V7306" s="18" t="s">
        <v>16463</v>
      </c>
      <c r="W7306" s="18" t="s">
        <v>16464</v>
      </c>
      <c r="X7306" s="18" t="s">
        <v>42</v>
      </c>
      <c r="Y7306" s="18" t="s">
        <v>12266</v>
      </c>
      <c r="Z7306" s="18" t="s">
        <v>10790</v>
      </c>
      <c r="AA7306" s="21" t="str">
        <f>HYPERLINK("https://www.ncbi.nlm.nih.gov/nuccore/MG571101","NCBI Nucleotide")</f>
        <v>NCBI Nucleotide</v>
      </c>
    </row>
    <row r="7307" spans="1:27" x14ac:dyDescent="0.35">
      <c r="A7307">
        <v>1008130</v>
      </c>
      <c r="B7307">
        <v>6778</v>
      </c>
      <c r="C7307">
        <v>1</v>
      </c>
      <c r="D7307" s="17" t="s">
        <v>10507</v>
      </c>
      <c r="E7307" s="17"/>
      <c r="F7307" s="17" t="s">
        <v>10780</v>
      </c>
      <c r="G7307" s="17"/>
      <c r="H7307" s="17" t="s">
        <v>12908</v>
      </c>
      <c r="I7307" s="17"/>
      <c r="J7307" s="17" t="s">
        <v>14018</v>
      </c>
      <c r="K7307" s="17"/>
      <c r="L7307" s="17" t="s">
        <v>14019</v>
      </c>
      <c r="M7307" s="17"/>
      <c r="N7307" s="17" t="s">
        <v>16378</v>
      </c>
      <c r="O7307" s="17"/>
      <c r="P7307" s="17" t="s">
        <v>16379</v>
      </c>
      <c r="Q7307" s="17"/>
      <c r="R7307" s="25" t="str">
        <f>HYPERLINK("https://ictv.global/taxonomy/taxondetails?taxnode_id=202308980","Gemycircularvirus derva1")</f>
        <v>Gemycircularvirus derva1</v>
      </c>
      <c r="S7307" s="18" t="s">
        <v>30</v>
      </c>
      <c r="T7307" s="18" t="s">
        <v>16465</v>
      </c>
      <c r="U7307" s="18"/>
      <c r="V7307" s="18" t="s">
        <v>16466</v>
      </c>
      <c r="W7307" s="18" t="s">
        <v>16467</v>
      </c>
      <c r="X7307" s="18" t="s">
        <v>42</v>
      </c>
      <c r="Y7307" s="18" t="s">
        <v>12266</v>
      </c>
      <c r="Z7307" s="18" t="s">
        <v>10790</v>
      </c>
      <c r="AA7307" s="21" t="str">
        <f>HYPERLINK("https://www.ncbi.nlm.nih.gov/nuccore/MF173065","NCBI Nucleotide")</f>
        <v>NCBI Nucleotide</v>
      </c>
    </row>
    <row r="7308" spans="1:27" x14ac:dyDescent="0.35">
      <c r="A7308">
        <v>1008131</v>
      </c>
      <c r="B7308">
        <v>6779</v>
      </c>
      <c r="C7308">
        <v>1</v>
      </c>
      <c r="D7308" s="17" t="s">
        <v>10507</v>
      </c>
      <c r="E7308" s="17"/>
      <c r="F7308" s="17" t="s">
        <v>10780</v>
      </c>
      <c r="G7308" s="17"/>
      <c r="H7308" s="17" t="s">
        <v>12908</v>
      </c>
      <c r="I7308" s="17"/>
      <c r="J7308" s="17" t="s">
        <v>14018</v>
      </c>
      <c r="K7308" s="17"/>
      <c r="L7308" s="17" t="s">
        <v>14019</v>
      </c>
      <c r="M7308" s="17"/>
      <c r="N7308" s="17" t="s">
        <v>16378</v>
      </c>
      <c r="O7308" s="17"/>
      <c r="P7308" s="17" t="s">
        <v>16379</v>
      </c>
      <c r="Q7308" s="17"/>
      <c r="R7308" s="25" t="str">
        <f>HYPERLINK("https://ictv.global/taxonomy/taxondetails?taxnode_id=202308955","Gemycircularvirus dichism1")</f>
        <v>Gemycircularvirus dichism1</v>
      </c>
      <c r="S7308" s="18" t="s">
        <v>30</v>
      </c>
      <c r="T7308" s="18" t="s">
        <v>16468</v>
      </c>
      <c r="U7308" s="18"/>
      <c r="V7308" s="18" t="s">
        <v>16469</v>
      </c>
      <c r="W7308" s="18" t="s">
        <v>16470</v>
      </c>
      <c r="X7308" s="18" t="s">
        <v>42</v>
      </c>
      <c r="Y7308" s="18" t="s">
        <v>12266</v>
      </c>
      <c r="Z7308" s="18" t="s">
        <v>13441</v>
      </c>
      <c r="AA7308" s="21" t="str">
        <f>HYPERLINK("https://www.ncbi.nlm.nih.gov/nuccore/MH939446","NCBI Nucleotide")</f>
        <v>NCBI Nucleotide</v>
      </c>
    </row>
    <row r="7309" spans="1:27" x14ac:dyDescent="0.35">
      <c r="A7309">
        <v>1008132</v>
      </c>
      <c r="B7309">
        <v>6780</v>
      </c>
      <c r="C7309">
        <v>1</v>
      </c>
      <c r="D7309" s="17" t="s">
        <v>10507</v>
      </c>
      <c r="E7309" s="17"/>
      <c r="F7309" s="17" t="s">
        <v>10780</v>
      </c>
      <c r="G7309" s="17"/>
      <c r="H7309" s="17" t="s">
        <v>12908</v>
      </c>
      <c r="I7309" s="17"/>
      <c r="J7309" s="17" t="s">
        <v>14018</v>
      </c>
      <c r="K7309" s="17"/>
      <c r="L7309" s="17" t="s">
        <v>14019</v>
      </c>
      <c r="M7309" s="17"/>
      <c r="N7309" s="17" t="s">
        <v>16378</v>
      </c>
      <c r="O7309" s="17"/>
      <c r="P7309" s="17" t="s">
        <v>16379</v>
      </c>
      <c r="Q7309" s="17"/>
      <c r="R7309" s="25" t="str">
        <f>HYPERLINK("https://ictv.global/taxonomy/taxondetails?taxnode_id=202303560","Gemycircularvirus draga1")</f>
        <v>Gemycircularvirus draga1</v>
      </c>
      <c r="S7309" s="18" t="s">
        <v>30</v>
      </c>
      <c r="T7309" s="18" t="s">
        <v>16471</v>
      </c>
      <c r="U7309" s="18" t="s">
        <v>16472</v>
      </c>
      <c r="V7309" s="18" t="s">
        <v>16473</v>
      </c>
      <c r="W7309" s="18" t="s">
        <v>16474</v>
      </c>
      <c r="X7309" s="18" t="s">
        <v>42</v>
      </c>
      <c r="Y7309" s="18" t="s">
        <v>12266</v>
      </c>
      <c r="Z7309" s="18" t="s">
        <v>10790</v>
      </c>
      <c r="AA7309" s="21" t="str">
        <f>HYPERLINK("https://www.ncbi.nlm.nih.gov/nuccore/JX185429","NCBI Nucleotide")</f>
        <v>NCBI Nucleotide</v>
      </c>
    </row>
    <row r="7310" spans="1:27" x14ac:dyDescent="0.35">
      <c r="A7310">
        <v>1008133</v>
      </c>
      <c r="B7310">
        <v>6781</v>
      </c>
      <c r="C7310">
        <v>1</v>
      </c>
      <c r="D7310" s="17" t="s">
        <v>10507</v>
      </c>
      <c r="E7310" s="17"/>
      <c r="F7310" s="17" t="s">
        <v>10780</v>
      </c>
      <c r="G7310" s="17"/>
      <c r="H7310" s="17" t="s">
        <v>12908</v>
      </c>
      <c r="I7310" s="17"/>
      <c r="J7310" s="17" t="s">
        <v>14018</v>
      </c>
      <c r="K7310" s="17"/>
      <c r="L7310" s="17" t="s">
        <v>14019</v>
      </c>
      <c r="M7310" s="17"/>
      <c r="N7310" s="17" t="s">
        <v>16378</v>
      </c>
      <c r="O7310" s="17"/>
      <c r="P7310" s="17" t="s">
        <v>16379</v>
      </c>
      <c r="Q7310" s="17"/>
      <c r="R7310" s="25" t="str">
        <f>HYPERLINK("https://ictv.global/taxonomy/taxondetails?taxnode_id=202308990","Gemycircularvirus echiam1")</f>
        <v>Gemycircularvirus echiam1</v>
      </c>
      <c r="S7310" s="18" t="s">
        <v>30</v>
      </c>
      <c r="T7310" s="18" t="s">
        <v>16475</v>
      </c>
      <c r="U7310" s="18"/>
      <c r="V7310" s="18" t="s">
        <v>16476</v>
      </c>
      <c r="W7310" s="18" t="s">
        <v>16477</v>
      </c>
      <c r="X7310" s="18" t="s">
        <v>42</v>
      </c>
      <c r="Y7310" s="18" t="s">
        <v>12266</v>
      </c>
      <c r="Z7310" s="18" t="s">
        <v>10790</v>
      </c>
      <c r="AA7310" s="21" t="str">
        <f>HYPERLINK("https://www.ncbi.nlm.nih.gov/nuccore/KY308268","NCBI Nucleotide")</f>
        <v>NCBI Nucleotide</v>
      </c>
    </row>
    <row r="7311" spans="1:27" x14ac:dyDescent="0.35">
      <c r="A7311">
        <v>1008134</v>
      </c>
      <c r="B7311">
        <v>6782</v>
      </c>
      <c r="C7311">
        <v>1</v>
      </c>
      <c r="D7311" s="17" t="s">
        <v>10507</v>
      </c>
      <c r="E7311" s="17"/>
      <c r="F7311" s="17" t="s">
        <v>10780</v>
      </c>
      <c r="G7311" s="17"/>
      <c r="H7311" s="17" t="s">
        <v>12908</v>
      </c>
      <c r="I7311" s="17"/>
      <c r="J7311" s="17" t="s">
        <v>14018</v>
      </c>
      <c r="K7311" s="17"/>
      <c r="L7311" s="17" t="s">
        <v>14019</v>
      </c>
      <c r="M7311" s="17"/>
      <c r="N7311" s="17" t="s">
        <v>16378</v>
      </c>
      <c r="O7311" s="17"/>
      <c r="P7311" s="17" t="s">
        <v>16379</v>
      </c>
      <c r="Q7311" s="17"/>
      <c r="R7311" s="25" t="str">
        <f>HYPERLINK("https://ictv.global/taxonomy/taxondetails?taxnode_id=202303561","Gemycircularvirus equas1")</f>
        <v>Gemycircularvirus equas1</v>
      </c>
      <c r="S7311" s="18" t="s">
        <v>30</v>
      </c>
      <c r="T7311" s="18" t="s">
        <v>16478</v>
      </c>
      <c r="U7311" s="18" t="s">
        <v>16479</v>
      </c>
      <c r="V7311" s="18" t="s">
        <v>16480</v>
      </c>
      <c r="W7311" s="18" t="s">
        <v>16481</v>
      </c>
      <c r="X7311" s="18" t="s">
        <v>42</v>
      </c>
      <c r="Y7311" s="18" t="s">
        <v>12266</v>
      </c>
      <c r="Z7311" s="18" t="s">
        <v>166</v>
      </c>
      <c r="AA7311" s="21" t="str">
        <f>HYPERLINK("https://www.ncbi.nlm.nih.gov/nuccore/KT862248","NCBI Nucleotide")</f>
        <v>NCBI Nucleotide</v>
      </c>
    </row>
    <row r="7312" spans="1:27" x14ac:dyDescent="0.35">
      <c r="A7312">
        <v>1008135</v>
      </c>
      <c r="B7312">
        <v>6783</v>
      </c>
      <c r="C7312">
        <v>1</v>
      </c>
      <c r="D7312" s="17" t="s">
        <v>10507</v>
      </c>
      <c r="E7312" s="17"/>
      <c r="F7312" s="17" t="s">
        <v>10780</v>
      </c>
      <c r="G7312" s="17"/>
      <c r="H7312" s="17" t="s">
        <v>12908</v>
      </c>
      <c r="I7312" s="17"/>
      <c r="J7312" s="17" t="s">
        <v>14018</v>
      </c>
      <c r="K7312" s="17"/>
      <c r="L7312" s="17" t="s">
        <v>14019</v>
      </c>
      <c r="M7312" s="17"/>
      <c r="N7312" s="17" t="s">
        <v>16378</v>
      </c>
      <c r="O7312" s="17"/>
      <c r="P7312" s="17" t="s">
        <v>16379</v>
      </c>
      <c r="Q7312" s="17"/>
      <c r="R7312" s="25" t="str">
        <f>HYPERLINK("https://ictv.global/taxonomy/taxondetails?taxnode_id=202308959","Gemycircularvirus erati1")</f>
        <v>Gemycircularvirus erati1</v>
      </c>
      <c r="S7312" s="18" t="s">
        <v>30</v>
      </c>
      <c r="T7312" s="18" t="s">
        <v>16482</v>
      </c>
      <c r="U7312" s="18"/>
      <c r="V7312" s="18" t="s">
        <v>16483</v>
      </c>
      <c r="W7312" s="18" t="s">
        <v>16484</v>
      </c>
      <c r="X7312" s="18" t="s">
        <v>42</v>
      </c>
      <c r="Y7312" s="18" t="s">
        <v>12266</v>
      </c>
      <c r="Z7312" s="18" t="s">
        <v>10790</v>
      </c>
      <c r="AA7312" s="21" t="str">
        <f>HYPERLINK("https://www.ncbi.nlm.nih.gov/nuccore/MH545509","NCBI Nucleotide")</f>
        <v>NCBI Nucleotide</v>
      </c>
    </row>
    <row r="7313" spans="1:27" x14ac:dyDescent="0.35">
      <c r="A7313">
        <v>1008136</v>
      </c>
      <c r="B7313">
        <v>6784</v>
      </c>
      <c r="C7313">
        <v>1</v>
      </c>
      <c r="D7313" s="17" t="s">
        <v>10507</v>
      </c>
      <c r="E7313" s="17"/>
      <c r="F7313" s="17" t="s">
        <v>10780</v>
      </c>
      <c r="G7313" s="17"/>
      <c r="H7313" s="17" t="s">
        <v>12908</v>
      </c>
      <c r="I7313" s="17"/>
      <c r="J7313" s="17" t="s">
        <v>14018</v>
      </c>
      <c r="K7313" s="17"/>
      <c r="L7313" s="17" t="s">
        <v>14019</v>
      </c>
      <c r="M7313" s="17"/>
      <c r="N7313" s="17" t="s">
        <v>16378</v>
      </c>
      <c r="O7313" s="17"/>
      <c r="P7313" s="17" t="s">
        <v>16379</v>
      </c>
      <c r="Q7313" s="17"/>
      <c r="R7313" s="25" t="str">
        <f>HYPERLINK("https://ictv.global/taxonomy/taxondetails?taxnode_id=202308970","Gemycircularvirus euhet1")</f>
        <v>Gemycircularvirus euhet1</v>
      </c>
      <c r="S7313" s="18" t="s">
        <v>30</v>
      </c>
      <c r="T7313" s="18" t="s">
        <v>16485</v>
      </c>
      <c r="U7313" s="18"/>
      <c r="V7313" s="18" t="s">
        <v>16486</v>
      </c>
      <c r="W7313" s="18" t="s">
        <v>16487</v>
      </c>
      <c r="X7313" s="18" t="s">
        <v>42</v>
      </c>
      <c r="Y7313" s="18" t="s">
        <v>12266</v>
      </c>
      <c r="Z7313" s="18" t="s">
        <v>13441</v>
      </c>
      <c r="AA7313" s="21" t="str">
        <f>HYPERLINK("https://www.ncbi.nlm.nih.gov/nuccore/MH047858","NCBI Nucleotide")</f>
        <v>NCBI Nucleotide</v>
      </c>
    </row>
    <row r="7314" spans="1:27" x14ac:dyDescent="0.35">
      <c r="A7314">
        <v>1008137</v>
      </c>
      <c r="B7314">
        <v>6785</v>
      </c>
      <c r="C7314">
        <v>1</v>
      </c>
      <c r="D7314" s="17" t="s">
        <v>10507</v>
      </c>
      <c r="E7314" s="17"/>
      <c r="F7314" s="17" t="s">
        <v>10780</v>
      </c>
      <c r="G7314" s="17"/>
      <c r="H7314" s="17" t="s">
        <v>12908</v>
      </c>
      <c r="I7314" s="17"/>
      <c r="J7314" s="17" t="s">
        <v>14018</v>
      </c>
      <c r="K7314" s="17"/>
      <c r="L7314" s="17" t="s">
        <v>14019</v>
      </c>
      <c r="M7314" s="17"/>
      <c r="N7314" s="17" t="s">
        <v>16378</v>
      </c>
      <c r="O7314" s="17"/>
      <c r="P7314" s="17" t="s">
        <v>16379</v>
      </c>
      <c r="Q7314" s="17"/>
      <c r="R7314" s="25" t="str">
        <f>HYPERLINK("https://ictv.global/taxonomy/taxondetails?taxnode_id=202303562","Gemycircularvirus furse1")</f>
        <v>Gemycircularvirus furse1</v>
      </c>
      <c r="S7314" s="18" t="s">
        <v>30</v>
      </c>
      <c r="T7314" s="18" t="s">
        <v>16488</v>
      </c>
      <c r="U7314" s="18" t="s">
        <v>16489</v>
      </c>
      <c r="V7314" s="18" t="s">
        <v>16490</v>
      </c>
      <c r="W7314" s="18" t="s">
        <v>16491</v>
      </c>
      <c r="X7314" s="18" t="s">
        <v>42</v>
      </c>
      <c r="Y7314" s="18" t="s">
        <v>12266</v>
      </c>
      <c r="Z7314" s="18" t="s">
        <v>166</v>
      </c>
      <c r="AA7314" s="21" t="str">
        <f>HYPERLINK("https://www.ncbi.nlm.nih.gov/nuccore/KF371638","NCBI Nucleotide")</f>
        <v>NCBI Nucleotide</v>
      </c>
    </row>
    <row r="7315" spans="1:27" x14ac:dyDescent="0.35">
      <c r="A7315">
        <v>1008138</v>
      </c>
      <c r="B7315">
        <v>6786</v>
      </c>
      <c r="C7315">
        <v>1</v>
      </c>
      <c r="D7315" s="17" t="s">
        <v>10507</v>
      </c>
      <c r="E7315" s="17"/>
      <c r="F7315" s="17" t="s">
        <v>10780</v>
      </c>
      <c r="G7315" s="17"/>
      <c r="H7315" s="17" t="s">
        <v>12908</v>
      </c>
      <c r="I7315" s="17"/>
      <c r="J7315" s="17" t="s">
        <v>14018</v>
      </c>
      <c r="K7315" s="17"/>
      <c r="L7315" s="17" t="s">
        <v>14019</v>
      </c>
      <c r="M7315" s="17"/>
      <c r="N7315" s="17" t="s">
        <v>16378</v>
      </c>
      <c r="O7315" s="17"/>
      <c r="P7315" s="17" t="s">
        <v>16379</v>
      </c>
      <c r="Q7315" s="17"/>
      <c r="R7315" s="25" t="str">
        <f>HYPERLINK("https://ictv.global/taxonomy/taxondetails?taxnode_id=202303563","Gemycircularvirus geras1")</f>
        <v>Gemycircularvirus geras1</v>
      </c>
      <c r="S7315" s="18" t="s">
        <v>30</v>
      </c>
      <c r="T7315" s="18" t="s">
        <v>16492</v>
      </c>
      <c r="U7315" s="18" t="s">
        <v>16493</v>
      </c>
      <c r="V7315" s="18" t="s">
        <v>16494</v>
      </c>
      <c r="W7315" s="18" t="s">
        <v>16495</v>
      </c>
      <c r="X7315" s="18" t="s">
        <v>42</v>
      </c>
      <c r="Y7315" s="18" t="s">
        <v>12266</v>
      </c>
      <c r="Z7315" s="18" t="s">
        <v>166</v>
      </c>
      <c r="AA7315" s="21" t="str">
        <f>HYPERLINK("https://www.ncbi.nlm.nih.gov/nuccore/KF371636","NCBI Nucleotide")</f>
        <v>NCBI Nucleotide</v>
      </c>
    </row>
    <row r="7316" spans="1:27" x14ac:dyDescent="0.35">
      <c r="A7316">
        <v>1008139</v>
      </c>
      <c r="B7316">
        <v>6787</v>
      </c>
      <c r="C7316">
        <v>1</v>
      </c>
      <c r="D7316" s="17" t="s">
        <v>10507</v>
      </c>
      <c r="E7316" s="17"/>
      <c r="F7316" s="17" t="s">
        <v>10780</v>
      </c>
      <c r="G7316" s="17"/>
      <c r="H7316" s="17" t="s">
        <v>12908</v>
      </c>
      <c r="I7316" s="17"/>
      <c r="J7316" s="17" t="s">
        <v>14018</v>
      </c>
      <c r="K7316" s="17"/>
      <c r="L7316" s="17" t="s">
        <v>14019</v>
      </c>
      <c r="M7316" s="17"/>
      <c r="N7316" s="17" t="s">
        <v>16378</v>
      </c>
      <c r="O7316" s="17"/>
      <c r="P7316" s="17" t="s">
        <v>16379</v>
      </c>
      <c r="Q7316" s="17"/>
      <c r="R7316" s="25" t="str">
        <f>HYPERLINK("https://ictv.global/taxonomy/taxondetails?taxnode_id=202303564","Gemycircularvirus geras2")</f>
        <v>Gemycircularvirus geras2</v>
      </c>
      <c r="S7316" s="18" t="s">
        <v>30</v>
      </c>
      <c r="T7316" s="18" t="s">
        <v>16496</v>
      </c>
      <c r="U7316" s="18" t="s">
        <v>16497</v>
      </c>
      <c r="V7316" s="18" t="s">
        <v>16498</v>
      </c>
      <c r="W7316" s="18" t="s">
        <v>16499</v>
      </c>
      <c r="X7316" s="18" t="s">
        <v>42</v>
      </c>
      <c r="Y7316" s="18" t="s">
        <v>12266</v>
      </c>
      <c r="Z7316" s="18" t="s">
        <v>166</v>
      </c>
      <c r="AA7316" s="21" t="str">
        <f>HYPERLINK("https://www.ncbi.nlm.nih.gov/nuccore/KF371637","NCBI Nucleotide")</f>
        <v>NCBI Nucleotide</v>
      </c>
    </row>
    <row r="7317" spans="1:27" x14ac:dyDescent="0.35">
      <c r="A7317">
        <v>1008140</v>
      </c>
      <c r="B7317">
        <v>6788</v>
      </c>
      <c r="C7317">
        <v>1</v>
      </c>
      <c r="D7317" s="17" t="s">
        <v>10507</v>
      </c>
      <c r="E7317" s="17"/>
      <c r="F7317" s="17" t="s">
        <v>10780</v>
      </c>
      <c r="G7317" s="17"/>
      <c r="H7317" s="17" t="s">
        <v>12908</v>
      </c>
      <c r="I7317" s="17"/>
      <c r="J7317" s="17" t="s">
        <v>14018</v>
      </c>
      <c r="K7317" s="17"/>
      <c r="L7317" s="17" t="s">
        <v>14019</v>
      </c>
      <c r="M7317" s="17"/>
      <c r="N7317" s="17" t="s">
        <v>16378</v>
      </c>
      <c r="O7317" s="17"/>
      <c r="P7317" s="17" t="s">
        <v>16379</v>
      </c>
      <c r="Q7317" s="17"/>
      <c r="R7317" s="25" t="str">
        <f>HYPERLINK("https://ictv.global/taxonomy/taxondetails?taxnode_id=202303565","Gemycircularvirus geras3")</f>
        <v>Gemycircularvirus geras3</v>
      </c>
      <c r="S7317" s="18" t="s">
        <v>30</v>
      </c>
      <c r="T7317" s="18" t="s">
        <v>16500</v>
      </c>
      <c r="U7317" s="18" t="s">
        <v>16501</v>
      </c>
      <c r="V7317" s="18" t="s">
        <v>16502</v>
      </c>
      <c r="W7317" s="18" t="s">
        <v>16503</v>
      </c>
      <c r="X7317" s="18" t="s">
        <v>42</v>
      </c>
      <c r="Y7317" s="18" t="s">
        <v>12266</v>
      </c>
      <c r="Z7317" s="18" t="s">
        <v>166</v>
      </c>
      <c r="AA7317" s="21" t="str">
        <f>HYPERLINK("https://www.ncbi.nlm.nih.gov/nuccore/KF371639","NCBI Nucleotide")</f>
        <v>NCBI Nucleotide</v>
      </c>
    </row>
    <row r="7318" spans="1:27" x14ac:dyDescent="0.35">
      <c r="A7318">
        <v>1008141</v>
      </c>
      <c r="B7318">
        <v>6789</v>
      </c>
      <c r="C7318">
        <v>1</v>
      </c>
      <c r="D7318" s="17" t="s">
        <v>10507</v>
      </c>
      <c r="E7318" s="17"/>
      <c r="F7318" s="17" t="s">
        <v>10780</v>
      </c>
      <c r="G7318" s="17"/>
      <c r="H7318" s="17" t="s">
        <v>12908</v>
      </c>
      <c r="I7318" s="17"/>
      <c r="J7318" s="17" t="s">
        <v>14018</v>
      </c>
      <c r="K7318" s="17"/>
      <c r="L7318" s="17" t="s">
        <v>14019</v>
      </c>
      <c r="M7318" s="17"/>
      <c r="N7318" s="17" t="s">
        <v>16378</v>
      </c>
      <c r="O7318" s="17"/>
      <c r="P7318" s="17" t="s">
        <v>16379</v>
      </c>
      <c r="Q7318" s="17"/>
      <c r="R7318" s="25" t="str">
        <f>HYPERLINK("https://ictv.global/taxonomy/taxondetails?taxnode_id=202308966","Gemycircularvirus giapa1")</f>
        <v>Gemycircularvirus giapa1</v>
      </c>
      <c r="S7318" s="18" t="s">
        <v>30</v>
      </c>
      <c r="T7318" s="18" t="s">
        <v>16504</v>
      </c>
      <c r="U7318" s="18"/>
      <c r="V7318" s="18" t="s">
        <v>16505</v>
      </c>
      <c r="W7318" s="18" t="s">
        <v>16506</v>
      </c>
      <c r="X7318" s="18" t="s">
        <v>42</v>
      </c>
      <c r="Y7318" s="18" t="s">
        <v>12266</v>
      </c>
      <c r="Z7318" s="18" t="s">
        <v>166</v>
      </c>
      <c r="AA7318" s="21" t="str">
        <f>HYPERLINK("https://www.ncbi.nlm.nih.gov/nuccore/MF327560","NCBI Nucleotide")</f>
        <v>NCBI Nucleotide</v>
      </c>
    </row>
    <row r="7319" spans="1:27" x14ac:dyDescent="0.35">
      <c r="A7319">
        <v>1008142</v>
      </c>
      <c r="B7319">
        <v>6790</v>
      </c>
      <c r="C7319">
        <v>1</v>
      </c>
      <c r="D7319" s="17" t="s">
        <v>10507</v>
      </c>
      <c r="E7319" s="17"/>
      <c r="F7319" s="17" t="s">
        <v>10780</v>
      </c>
      <c r="G7319" s="17"/>
      <c r="H7319" s="17" t="s">
        <v>12908</v>
      </c>
      <c r="I7319" s="17"/>
      <c r="J7319" s="17" t="s">
        <v>14018</v>
      </c>
      <c r="K7319" s="17"/>
      <c r="L7319" s="17" t="s">
        <v>14019</v>
      </c>
      <c r="M7319" s="17"/>
      <c r="N7319" s="17" t="s">
        <v>16378</v>
      </c>
      <c r="O7319" s="17"/>
      <c r="P7319" s="17" t="s">
        <v>16379</v>
      </c>
      <c r="Q7319" s="17"/>
      <c r="R7319" s="25" t="str">
        <f>HYPERLINK("https://ictv.global/taxonomy/taxondetails?taxnode_id=202308983","Gemycircularvirus giapa2")</f>
        <v>Gemycircularvirus giapa2</v>
      </c>
      <c r="S7319" s="18" t="s">
        <v>30</v>
      </c>
      <c r="T7319" s="18" t="s">
        <v>16504</v>
      </c>
      <c r="U7319" s="18"/>
      <c r="V7319" s="18" t="s">
        <v>16507</v>
      </c>
      <c r="W7319" s="18" t="s">
        <v>16508</v>
      </c>
      <c r="X7319" s="18" t="s">
        <v>42</v>
      </c>
      <c r="Y7319" s="18" t="s">
        <v>12266</v>
      </c>
      <c r="Z7319" s="18" t="s">
        <v>166</v>
      </c>
      <c r="AA7319" s="21" t="str">
        <f>HYPERLINK("https://www.ncbi.nlm.nih.gov/nuccore/MF327565","NCBI Nucleotide")</f>
        <v>NCBI Nucleotide</v>
      </c>
    </row>
    <row r="7320" spans="1:27" x14ac:dyDescent="0.35">
      <c r="A7320">
        <v>1008143</v>
      </c>
      <c r="B7320">
        <v>6791</v>
      </c>
      <c r="C7320">
        <v>1</v>
      </c>
      <c r="D7320" s="17" t="s">
        <v>10507</v>
      </c>
      <c r="E7320" s="17"/>
      <c r="F7320" s="17" t="s">
        <v>10780</v>
      </c>
      <c r="G7320" s="17"/>
      <c r="H7320" s="17" t="s">
        <v>12908</v>
      </c>
      <c r="I7320" s="17"/>
      <c r="J7320" s="17" t="s">
        <v>14018</v>
      </c>
      <c r="K7320" s="17"/>
      <c r="L7320" s="17" t="s">
        <v>14019</v>
      </c>
      <c r="M7320" s="17"/>
      <c r="N7320" s="17" t="s">
        <v>16378</v>
      </c>
      <c r="O7320" s="17"/>
      <c r="P7320" s="17" t="s">
        <v>16379</v>
      </c>
      <c r="Q7320" s="17"/>
      <c r="R7320" s="25" t="str">
        <f>HYPERLINK("https://ictv.global/taxonomy/taxondetails?taxnode_id=202308988","Gemycircularvirus giapa3")</f>
        <v>Gemycircularvirus giapa3</v>
      </c>
      <c r="S7320" s="18" t="s">
        <v>30</v>
      </c>
      <c r="T7320" s="18" t="s">
        <v>16504</v>
      </c>
      <c r="U7320" s="18"/>
      <c r="V7320" s="18" t="s">
        <v>16509</v>
      </c>
      <c r="W7320" s="18" t="s">
        <v>16510</v>
      </c>
      <c r="X7320" s="18" t="s">
        <v>42</v>
      </c>
      <c r="Y7320" s="18" t="s">
        <v>12266</v>
      </c>
      <c r="Z7320" s="18" t="s">
        <v>166</v>
      </c>
      <c r="AA7320" s="21" t="str">
        <f>HYPERLINK("https://www.ncbi.nlm.nih.gov/nuccore/MF327568","NCBI Nucleotide")</f>
        <v>NCBI Nucleotide</v>
      </c>
    </row>
    <row r="7321" spans="1:27" x14ac:dyDescent="0.35">
      <c r="A7321">
        <v>1008144</v>
      </c>
      <c r="B7321">
        <v>6792</v>
      </c>
      <c r="C7321">
        <v>1</v>
      </c>
      <c r="D7321" s="17" t="s">
        <v>10507</v>
      </c>
      <c r="E7321" s="17"/>
      <c r="F7321" s="17" t="s">
        <v>10780</v>
      </c>
      <c r="G7321" s="17"/>
      <c r="H7321" s="17" t="s">
        <v>12908</v>
      </c>
      <c r="I7321" s="17"/>
      <c r="J7321" s="17" t="s">
        <v>14018</v>
      </c>
      <c r="K7321" s="17"/>
      <c r="L7321" s="17" t="s">
        <v>14019</v>
      </c>
      <c r="M7321" s="17"/>
      <c r="N7321" s="17" t="s">
        <v>16378</v>
      </c>
      <c r="O7321" s="17"/>
      <c r="P7321" s="17" t="s">
        <v>16379</v>
      </c>
      <c r="Q7321" s="17"/>
      <c r="R7321" s="25" t="str">
        <f>HYPERLINK("https://ictv.global/taxonomy/taxondetails?taxnode_id=202308991","Gemycircularvirus giapa4")</f>
        <v>Gemycircularvirus giapa4</v>
      </c>
      <c r="S7321" s="18" t="s">
        <v>30</v>
      </c>
      <c r="T7321" s="18" t="s">
        <v>16504</v>
      </c>
      <c r="U7321" s="18"/>
      <c r="V7321" s="18" t="s">
        <v>16511</v>
      </c>
      <c r="W7321" s="18" t="s">
        <v>16512</v>
      </c>
      <c r="X7321" s="18" t="s">
        <v>42</v>
      </c>
      <c r="Y7321" s="18" t="s">
        <v>12266</v>
      </c>
      <c r="Z7321" s="18" t="s">
        <v>166</v>
      </c>
      <c r="AA7321" s="21" t="str">
        <f>HYPERLINK("https://www.ncbi.nlm.nih.gov/nuccore/MF327561","NCBI Nucleotide")</f>
        <v>NCBI Nucleotide</v>
      </c>
    </row>
    <row r="7322" spans="1:27" x14ac:dyDescent="0.35">
      <c r="A7322">
        <v>1008145</v>
      </c>
      <c r="B7322">
        <v>6793</v>
      </c>
      <c r="C7322">
        <v>1</v>
      </c>
      <c r="D7322" s="17" t="s">
        <v>10507</v>
      </c>
      <c r="E7322" s="17"/>
      <c r="F7322" s="17" t="s">
        <v>10780</v>
      </c>
      <c r="G7322" s="17"/>
      <c r="H7322" s="17" t="s">
        <v>12908</v>
      </c>
      <c r="I7322" s="17"/>
      <c r="J7322" s="17" t="s">
        <v>14018</v>
      </c>
      <c r="K7322" s="17"/>
      <c r="L7322" s="17" t="s">
        <v>14019</v>
      </c>
      <c r="M7322" s="17"/>
      <c r="N7322" s="17" t="s">
        <v>16378</v>
      </c>
      <c r="O7322" s="17"/>
      <c r="P7322" s="17" t="s">
        <v>16379</v>
      </c>
      <c r="Q7322" s="17"/>
      <c r="R7322" s="25" t="str">
        <f>HYPERLINK("https://ictv.global/taxonomy/taxondetails?taxnode_id=202308998","Gemycircularvirus giapa5")</f>
        <v>Gemycircularvirus giapa5</v>
      </c>
      <c r="S7322" s="18" t="s">
        <v>30</v>
      </c>
      <c r="T7322" s="18" t="s">
        <v>16504</v>
      </c>
      <c r="U7322" s="18"/>
      <c r="V7322" s="18" t="s">
        <v>16513</v>
      </c>
      <c r="W7322" s="18" t="s">
        <v>16514</v>
      </c>
      <c r="X7322" s="18" t="s">
        <v>42</v>
      </c>
      <c r="Y7322" s="18" t="s">
        <v>12266</v>
      </c>
      <c r="Z7322" s="18" t="s">
        <v>166</v>
      </c>
      <c r="AA7322" s="21" t="str">
        <f>HYPERLINK("https://www.ncbi.nlm.nih.gov/nuccore/MF327567","NCBI Nucleotide")</f>
        <v>NCBI Nucleotide</v>
      </c>
    </row>
    <row r="7323" spans="1:27" x14ac:dyDescent="0.35">
      <c r="A7323">
        <v>1008146</v>
      </c>
      <c r="B7323">
        <v>6794</v>
      </c>
      <c r="C7323">
        <v>1</v>
      </c>
      <c r="D7323" s="17" t="s">
        <v>10507</v>
      </c>
      <c r="E7323" s="17"/>
      <c r="F7323" s="17" t="s">
        <v>10780</v>
      </c>
      <c r="G7323" s="17"/>
      <c r="H7323" s="17" t="s">
        <v>12908</v>
      </c>
      <c r="I7323" s="17"/>
      <c r="J7323" s="17" t="s">
        <v>14018</v>
      </c>
      <c r="K7323" s="17"/>
      <c r="L7323" s="17" t="s">
        <v>14019</v>
      </c>
      <c r="M7323" s="17"/>
      <c r="N7323" s="17" t="s">
        <v>16378</v>
      </c>
      <c r="O7323" s="17"/>
      <c r="P7323" s="17" t="s">
        <v>16379</v>
      </c>
      <c r="Q7323" s="17"/>
      <c r="R7323" s="25" t="str">
        <f>HYPERLINK("https://ictv.global/taxonomy/taxondetails?taxnode_id=202309008","Gemycircularvirus giapa6")</f>
        <v>Gemycircularvirus giapa6</v>
      </c>
      <c r="S7323" s="18" t="s">
        <v>30</v>
      </c>
      <c r="T7323" s="18" t="s">
        <v>16504</v>
      </c>
      <c r="U7323" s="18"/>
      <c r="V7323" s="18" t="s">
        <v>16515</v>
      </c>
      <c r="W7323" s="18" t="s">
        <v>16516</v>
      </c>
      <c r="X7323" s="18" t="s">
        <v>42</v>
      </c>
      <c r="Y7323" s="18" t="s">
        <v>12266</v>
      </c>
      <c r="Z7323" s="18" t="s">
        <v>166</v>
      </c>
      <c r="AA7323" s="21" t="str">
        <f>HYPERLINK("https://www.ncbi.nlm.nih.gov/nuccore/MF327569","NCBI Nucleotide")</f>
        <v>NCBI Nucleotide</v>
      </c>
    </row>
    <row r="7324" spans="1:27" x14ac:dyDescent="0.35">
      <c r="A7324">
        <v>1008147</v>
      </c>
      <c r="B7324">
        <v>6795</v>
      </c>
      <c r="C7324">
        <v>1</v>
      </c>
      <c r="D7324" s="17" t="s">
        <v>10507</v>
      </c>
      <c r="E7324" s="17"/>
      <c r="F7324" s="17" t="s">
        <v>10780</v>
      </c>
      <c r="G7324" s="17"/>
      <c r="H7324" s="17" t="s">
        <v>12908</v>
      </c>
      <c r="I7324" s="17"/>
      <c r="J7324" s="17" t="s">
        <v>14018</v>
      </c>
      <c r="K7324" s="17"/>
      <c r="L7324" s="17" t="s">
        <v>14019</v>
      </c>
      <c r="M7324" s="17"/>
      <c r="N7324" s="17" t="s">
        <v>16378</v>
      </c>
      <c r="O7324" s="17"/>
      <c r="P7324" s="17" t="s">
        <v>16379</v>
      </c>
      <c r="Q7324" s="17"/>
      <c r="R7324" s="25" t="str">
        <f>HYPERLINK("https://ictv.global/taxonomy/taxondetails?taxnode_id=202309010","Gemycircularvirus giapa7")</f>
        <v>Gemycircularvirus giapa7</v>
      </c>
      <c r="S7324" s="18" t="s">
        <v>30</v>
      </c>
      <c r="T7324" s="18" t="s">
        <v>16504</v>
      </c>
      <c r="U7324" s="18"/>
      <c r="V7324" s="18" t="s">
        <v>16517</v>
      </c>
      <c r="W7324" s="18" t="s">
        <v>16518</v>
      </c>
      <c r="X7324" s="18" t="s">
        <v>42</v>
      </c>
      <c r="Y7324" s="18" t="s">
        <v>12266</v>
      </c>
      <c r="Z7324" s="18" t="s">
        <v>166</v>
      </c>
      <c r="AA7324" s="21" t="str">
        <f>HYPERLINK("https://www.ncbi.nlm.nih.gov/nuccore/MF327558","NCBI Nucleotide")</f>
        <v>NCBI Nucleotide</v>
      </c>
    </row>
    <row r="7325" spans="1:27" x14ac:dyDescent="0.35">
      <c r="A7325">
        <v>1008148</v>
      </c>
      <c r="B7325">
        <v>6796</v>
      </c>
      <c r="C7325">
        <v>1</v>
      </c>
      <c r="D7325" s="17" t="s">
        <v>10507</v>
      </c>
      <c r="E7325" s="17"/>
      <c r="F7325" s="17" t="s">
        <v>10780</v>
      </c>
      <c r="G7325" s="17"/>
      <c r="H7325" s="17" t="s">
        <v>12908</v>
      </c>
      <c r="I7325" s="17"/>
      <c r="J7325" s="17" t="s">
        <v>14018</v>
      </c>
      <c r="K7325" s="17"/>
      <c r="L7325" s="17" t="s">
        <v>14019</v>
      </c>
      <c r="M7325" s="17"/>
      <c r="N7325" s="17" t="s">
        <v>16378</v>
      </c>
      <c r="O7325" s="17"/>
      <c r="P7325" s="17" t="s">
        <v>16379</v>
      </c>
      <c r="Q7325" s="17"/>
      <c r="R7325" s="25" t="str">
        <f>HYPERLINK("https://ictv.global/taxonomy/taxondetails?taxnode_id=202308946","Gemycircularvirus giapa8")</f>
        <v>Gemycircularvirus giapa8</v>
      </c>
      <c r="S7325" s="18" t="s">
        <v>30</v>
      </c>
      <c r="T7325" s="18" t="s">
        <v>16504</v>
      </c>
      <c r="U7325" s="18"/>
      <c r="V7325" s="18" t="s">
        <v>16519</v>
      </c>
      <c r="W7325" s="18" t="s">
        <v>16520</v>
      </c>
      <c r="X7325" s="18" t="s">
        <v>42</v>
      </c>
      <c r="Y7325" s="18" t="s">
        <v>12266</v>
      </c>
      <c r="Z7325" s="18" t="s">
        <v>166</v>
      </c>
      <c r="AA7325" s="21" t="str">
        <f>HYPERLINK("https://www.ncbi.nlm.nih.gov/nuccore/MF327570","NCBI Nucleotide")</f>
        <v>NCBI Nucleotide</v>
      </c>
    </row>
    <row r="7326" spans="1:27" x14ac:dyDescent="0.35">
      <c r="A7326">
        <v>1008149</v>
      </c>
      <c r="B7326">
        <v>6797</v>
      </c>
      <c r="C7326">
        <v>1</v>
      </c>
      <c r="D7326" s="17" t="s">
        <v>10507</v>
      </c>
      <c r="E7326" s="17"/>
      <c r="F7326" s="17" t="s">
        <v>10780</v>
      </c>
      <c r="G7326" s="17"/>
      <c r="H7326" s="17" t="s">
        <v>12908</v>
      </c>
      <c r="I7326" s="17"/>
      <c r="J7326" s="17" t="s">
        <v>14018</v>
      </c>
      <c r="K7326" s="17"/>
      <c r="L7326" s="17" t="s">
        <v>14019</v>
      </c>
      <c r="M7326" s="17"/>
      <c r="N7326" s="17" t="s">
        <v>16378</v>
      </c>
      <c r="O7326" s="17"/>
      <c r="P7326" s="17" t="s">
        <v>16379</v>
      </c>
      <c r="Q7326" s="17"/>
      <c r="R7326" s="25" t="str">
        <f>HYPERLINK("https://ictv.global/taxonomy/taxondetails?taxnode_id=202308956","Gemycircularvirus gopha1")</f>
        <v>Gemycircularvirus gopha1</v>
      </c>
      <c r="S7326" s="18" t="s">
        <v>30</v>
      </c>
      <c r="T7326" s="18" t="s">
        <v>16521</v>
      </c>
      <c r="U7326" s="18"/>
      <c r="V7326" s="18" t="s">
        <v>16522</v>
      </c>
      <c r="W7326" s="18" t="s">
        <v>16523</v>
      </c>
      <c r="X7326" s="18" t="s">
        <v>42</v>
      </c>
      <c r="Y7326" s="18" t="s">
        <v>12266</v>
      </c>
      <c r="Z7326" s="18" t="s">
        <v>166</v>
      </c>
      <c r="AA7326" s="21" t="str">
        <f>HYPERLINK("https://www.ncbi.nlm.nih.gov/nuccore/MK570217","NCBI Nucleotide")</f>
        <v>NCBI Nucleotide</v>
      </c>
    </row>
    <row r="7327" spans="1:27" x14ac:dyDescent="0.35">
      <c r="A7327">
        <v>1008150</v>
      </c>
      <c r="B7327">
        <v>6798</v>
      </c>
      <c r="C7327">
        <v>1</v>
      </c>
      <c r="D7327" s="17" t="s">
        <v>10507</v>
      </c>
      <c r="E7327" s="17"/>
      <c r="F7327" s="17" t="s">
        <v>10780</v>
      </c>
      <c r="G7327" s="17"/>
      <c r="H7327" s="17" t="s">
        <v>12908</v>
      </c>
      <c r="I7327" s="17"/>
      <c r="J7327" s="17" t="s">
        <v>14018</v>
      </c>
      <c r="K7327" s="17"/>
      <c r="L7327" s="17" t="s">
        <v>14019</v>
      </c>
      <c r="M7327" s="17"/>
      <c r="N7327" s="17" t="s">
        <v>16378</v>
      </c>
      <c r="O7327" s="17"/>
      <c r="P7327" s="17" t="s">
        <v>16379</v>
      </c>
      <c r="Q7327" s="17"/>
      <c r="R7327" s="25" t="str">
        <f>HYPERLINK("https://ictv.global/taxonomy/taxondetails?taxnode_id=202309005","Gemycircularvirus gopha2")</f>
        <v>Gemycircularvirus gopha2</v>
      </c>
      <c r="S7327" s="18" t="s">
        <v>30</v>
      </c>
      <c r="T7327" s="18" t="s">
        <v>16524</v>
      </c>
      <c r="U7327" s="18"/>
      <c r="V7327" s="18" t="s">
        <v>16525</v>
      </c>
      <c r="W7327" s="18" t="s">
        <v>16526</v>
      </c>
      <c r="X7327" s="18" t="s">
        <v>42</v>
      </c>
      <c r="Y7327" s="18" t="s">
        <v>12266</v>
      </c>
      <c r="Z7327" s="18" t="s">
        <v>166</v>
      </c>
      <c r="AA7327" s="21" t="str">
        <f>HYPERLINK("https://www.ncbi.nlm.nih.gov/nuccore/MK570210","NCBI Nucleotide")</f>
        <v>NCBI Nucleotide</v>
      </c>
    </row>
    <row r="7328" spans="1:27" x14ac:dyDescent="0.35">
      <c r="A7328">
        <v>1008151</v>
      </c>
      <c r="B7328">
        <v>6799</v>
      </c>
      <c r="C7328">
        <v>1</v>
      </c>
      <c r="D7328" s="17" t="s">
        <v>10507</v>
      </c>
      <c r="E7328" s="17"/>
      <c r="F7328" s="17" t="s">
        <v>10780</v>
      </c>
      <c r="G7328" s="17"/>
      <c r="H7328" s="17" t="s">
        <v>12908</v>
      </c>
      <c r="I7328" s="17"/>
      <c r="J7328" s="17" t="s">
        <v>14018</v>
      </c>
      <c r="K7328" s="17"/>
      <c r="L7328" s="17" t="s">
        <v>14019</v>
      </c>
      <c r="M7328" s="17"/>
      <c r="N7328" s="17" t="s">
        <v>16378</v>
      </c>
      <c r="O7328" s="17"/>
      <c r="P7328" s="17" t="s">
        <v>16379</v>
      </c>
      <c r="Q7328" s="17"/>
      <c r="R7328" s="25" t="str">
        <f>HYPERLINK("https://ictv.global/taxonomy/taxondetails?taxnode_id=202309006","Gemycircularvirus gopha3")</f>
        <v>Gemycircularvirus gopha3</v>
      </c>
      <c r="S7328" s="18" t="s">
        <v>30</v>
      </c>
      <c r="T7328" s="18" t="s">
        <v>16380</v>
      </c>
      <c r="U7328" s="18"/>
      <c r="V7328" s="18" t="s">
        <v>16527</v>
      </c>
      <c r="W7328" s="18" t="s">
        <v>16528</v>
      </c>
      <c r="X7328" s="18" t="s">
        <v>42</v>
      </c>
      <c r="Y7328" s="18" t="s">
        <v>12266</v>
      </c>
      <c r="Z7328" s="18" t="s">
        <v>166</v>
      </c>
      <c r="AA7328" s="21" t="str">
        <f>HYPERLINK("https://www.ncbi.nlm.nih.gov/nuccore/MK032737","NCBI Nucleotide")</f>
        <v>NCBI Nucleotide</v>
      </c>
    </row>
    <row r="7329" spans="1:27" x14ac:dyDescent="0.35">
      <c r="A7329">
        <v>1008152</v>
      </c>
      <c r="B7329">
        <v>6800</v>
      </c>
      <c r="C7329">
        <v>1</v>
      </c>
      <c r="D7329" s="17" t="s">
        <v>10507</v>
      </c>
      <c r="E7329" s="17"/>
      <c r="F7329" s="17" t="s">
        <v>10780</v>
      </c>
      <c r="G7329" s="17"/>
      <c r="H7329" s="17" t="s">
        <v>12908</v>
      </c>
      <c r="I7329" s="17"/>
      <c r="J7329" s="17" t="s">
        <v>14018</v>
      </c>
      <c r="K7329" s="17"/>
      <c r="L7329" s="17" t="s">
        <v>14019</v>
      </c>
      <c r="M7329" s="17"/>
      <c r="N7329" s="17" t="s">
        <v>16378</v>
      </c>
      <c r="O7329" s="17"/>
      <c r="P7329" s="17" t="s">
        <v>16379</v>
      </c>
      <c r="Q7329" s="17"/>
      <c r="R7329" s="25" t="str">
        <f>HYPERLINK("https://ictv.global/taxonomy/taxondetails?taxnode_id=202308954","Gemycircularvirus hadtis1")</f>
        <v>Gemycircularvirus hadtis1</v>
      </c>
      <c r="S7329" s="18" t="s">
        <v>30</v>
      </c>
      <c r="T7329" s="18" t="s">
        <v>16380</v>
      </c>
      <c r="U7329" s="18"/>
      <c r="V7329" s="18" t="s">
        <v>16529</v>
      </c>
      <c r="W7329" s="18" t="s">
        <v>16530</v>
      </c>
      <c r="X7329" s="18" t="s">
        <v>42</v>
      </c>
      <c r="Y7329" s="18" t="s">
        <v>12266</v>
      </c>
      <c r="Z7329" s="18" t="s">
        <v>166</v>
      </c>
      <c r="AA7329" s="21" t="str">
        <f>HYPERLINK("https://www.ncbi.nlm.nih.gov/nuccore/MK032733","NCBI Nucleotide")</f>
        <v>NCBI Nucleotide</v>
      </c>
    </row>
    <row r="7330" spans="1:27" x14ac:dyDescent="0.35">
      <c r="A7330">
        <v>1008153</v>
      </c>
      <c r="B7330">
        <v>6801</v>
      </c>
      <c r="C7330">
        <v>1</v>
      </c>
      <c r="D7330" s="17" t="s">
        <v>10507</v>
      </c>
      <c r="E7330" s="17"/>
      <c r="F7330" s="17" t="s">
        <v>10780</v>
      </c>
      <c r="G7330" s="17"/>
      <c r="H7330" s="17" t="s">
        <v>12908</v>
      </c>
      <c r="I7330" s="17"/>
      <c r="J7330" s="17" t="s">
        <v>14018</v>
      </c>
      <c r="K7330" s="17"/>
      <c r="L7330" s="17" t="s">
        <v>14019</v>
      </c>
      <c r="M7330" s="17"/>
      <c r="N7330" s="17" t="s">
        <v>16378</v>
      </c>
      <c r="O7330" s="17"/>
      <c r="P7330" s="17" t="s">
        <v>16379</v>
      </c>
      <c r="Q7330" s="17"/>
      <c r="R7330" s="25" t="str">
        <f>HYPERLINK("https://ictv.global/taxonomy/taxondetails?taxnode_id=202308958","Gemycircularvirus haeme1")</f>
        <v>Gemycircularvirus haeme1</v>
      </c>
      <c r="S7330" s="18" t="s">
        <v>30</v>
      </c>
      <c r="T7330" s="18" t="s">
        <v>16531</v>
      </c>
      <c r="U7330" s="18"/>
      <c r="V7330" s="18" t="s">
        <v>16532</v>
      </c>
      <c r="W7330" s="18" t="s">
        <v>16533</v>
      </c>
      <c r="X7330" s="18" t="s">
        <v>42</v>
      </c>
      <c r="Y7330" s="18" t="s">
        <v>12266</v>
      </c>
      <c r="Z7330" s="18" t="s">
        <v>166</v>
      </c>
      <c r="AA7330" s="21" t="str">
        <f>HYPERLINK("https://www.ncbi.nlm.nih.gov/nuccore/MK249235","NCBI Nucleotide")</f>
        <v>NCBI Nucleotide</v>
      </c>
    </row>
    <row r="7331" spans="1:27" x14ac:dyDescent="0.35">
      <c r="A7331">
        <v>1008154</v>
      </c>
      <c r="B7331">
        <v>6802</v>
      </c>
      <c r="C7331">
        <v>1</v>
      </c>
      <c r="D7331" s="17" t="s">
        <v>10507</v>
      </c>
      <c r="E7331" s="17"/>
      <c r="F7331" s="17" t="s">
        <v>10780</v>
      </c>
      <c r="G7331" s="17"/>
      <c r="H7331" s="17" t="s">
        <v>12908</v>
      </c>
      <c r="I7331" s="17"/>
      <c r="J7331" s="17" t="s">
        <v>14018</v>
      </c>
      <c r="K7331" s="17"/>
      <c r="L7331" s="17" t="s">
        <v>14019</v>
      </c>
      <c r="M7331" s="17"/>
      <c r="N7331" s="17" t="s">
        <v>16378</v>
      </c>
      <c r="O7331" s="17"/>
      <c r="P7331" s="17" t="s">
        <v>16379</v>
      </c>
      <c r="Q7331" s="17"/>
      <c r="R7331" s="25" t="str">
        <f>HYPERLINK("https://ictv.global/taxonomy/taxondetails?taxnode_id=202309002","Gemycircularvirus haeme2")</f>
        <v>Gemycircularvirus haeme2</v>
      </c>
      <c r="S7331" s="18" t="s">
        <v>30</v>
      </c>
      <c r="T7331" s="18" t="s">
        <v>16534</v>
      </c>
      <c r="U7331" s="18"/>
      <c r="V7331" s="18" t="s">
        <v>16535</v>
      </c>
      <c r="W7331" s="18" t="s">
        <v>16536</v>
      </c>
      <c r="X7331" s="18" t="s">
        <v>42</v>
      </c>
      <c r="Y7331" s="18" t="s">
        <v>12266</v>
      </c>
      <c r="Z7331" s="18" t="s">
        <v>166</v>
      </c>
      <c r="AA7331" s="21" t="str">
        <f>HYPERLINK("https://www.ncbi.nlm.nih.gov/nuccore/MK249242","NCBI Nucleotide")</f>
        <v>NCBI Nucleotide</v>
      </c>
    </row>
    <row r="7332" spans="1:27" x14ac:dyDescent="0.35">
      <c r="A7332">
        <v>1008155</v>
      </c>
      <c r="B7332">
        <v>6803</v>
      </c>
      <c r="C7332">
        <v>1</v>
      </c>
      <c r="D7332" s="17" t="s">
        <v>10507</v>
      </c>
      <c r="E7332" s="17"/>
      <c r="F7332" s="17" t="s">
        <v>10780</v>
      </c>
      <c r="G7332" s="17"/>
      <c r="H7332" s="17" t="s">
        <v>12908</v>
      </c>
      <c r="I7332" s="17"/>
      <c r="J7332" s="17" t="s">
        <v>14018</v>
      </c>
      <c r="K7332" s="17"/>
      <c r="L7332" s="17" t="s">
        <v>14019</v>
      </c>
      <c r="M7332" s="17"/>
      <c r="N7332" s="17" t="s">
        <v>16378</v>
      </c>
      <c r="O7332" s="17"/>
      <c r="P7332" s="17" t="s">
        <v>16379</v>
      </c>
      <c r="Q7332" s="17"/>
      <c r="R7332" s="25" t="str">
        <f>HYPERLINK("https://ictv.global/taxonomy/taxondetails?taxnode_id=202308995","Gemycircularvirus hydro1")</f>
        <v>Gemycircularvirus hydro1</v>
      </c>
      <c r="S7332" s="18" t="s">
        <v>30</v>
      </c>
      <c r="T7332" s="18" t="s">
        <v>16537</v>
      </c>
      <c r="U7332" s="18"/>
      <c r="V7332" s="18" t="s">
        <v>16538</v>
      </c>
      <c r="W7332" s="18" t="s">
        <v>16539</v>
      </c>
      <c r="X7332" s="18" t="s">
        <v>42</v>
      </c>
      <c r="Y7332" s="18" t="s">
        <v>12266</v>
      </c>
      <c r="Z7332" s="18" t="s">
        <v>166</v>
      </c>
      <c r="AA7332" s="21" t="str">
        <f>HYPERLINK("https://www.ncbi.nlm.nih.gov/nuccore/MK483072","NCBI Nucleotide")</f>
        <v>NCBI Nucleotide</v>
      </c>
    </row>
    <row r="7333" spans="1:27" x14ac:dyDescent="0.35">
      <c r="A7333">
        <v>1008156</v>
      </c>
      <c r="B7333">
        <v>6804</v>
      </c>
      <c r="C7333">
        <v>1</v>
      </c>
      <c r="D7333" s="17" t="s">
        <v>10507</v>
      </c>
      <c r="E7333" s="17"/>
      <c r="F7333" s="17" t="s">
        <v>10780</v>
      </c>
      <c r="G7333" s="17"/>
      <c r="H7333" s="17" t="s">
        <v>12908</v>
      </c>
      <c r="I7333" s="17"/>
      <c r="J7333" s="17" t="s">
        <v>14018</v>
      </c>
      <c r="K7333" s="17"/>
      <c r="L7333" s="17" t="s">
        <v>14019</v>
      </c>
      <c r="M7333" s="17"/>
      <c r="N7333" s="17" t="s">
        <v>16378</v>
      </c>
      <c r="O7333" s="17"/>
      <c r="P7333" s="17" t="s">
        <v>16379</v>
      </c>
      <c r="Q7333" s="17"/>
      <c r="R7333" s="25" t="str">
        <f>HYPERLINK("https://ictv.global/taxonomy/taxondetails?taxnode_id=202303566","Gemycircularvirus hypas1")</f>
        <v>Gemycircularvirus hypas1</v>
      </c>
      <c r="S7333" s="18" t="s">
        <v>30</v>
      </c>
      <c r="T7333" s="18" t="s">
        <v>16540</v>
      </c>
      <c r="U7333" s="18" t="s">
        <v>16541</v>
      </c>
      <c r="V7333" s="18" t="s">
        <v>16542</v>
      </c>
      <c r="W7333" s="18" t="s">
        <v>16543</v>
      </c>
      <c r="X7333" s="18" t="s">
        <v>42</v>
      </c>
      <c r="Y7333" s="18" t="s">
        <v>12266</v>
      </c>
      <c r="Z7333" s="18" t="s">
        <v>13441</v>
      </c>
      <c r="AA7333" s="21" t="str">
        <f>HYPERLINK("https://www.ncbi.nlm.nih.gov/nuccore/KF413620","NCBI Nucleotide")</f>
        <v>NCBI Nucleotide</v>
      </c>
    </row>
    <row r="7334" spans="1:27" x14ac:dyDescent="0.35">
      <c r="A7334">
        <v>1008157</v>
      </c>
      <c r="B7334">
        <v>6805</v>
      </c>
      <c r="C7334">
        <v>1</v>
      </c>
      <c r="D7334" s="17" t="s">
        <v>10507</v>
      </c>
      <c r="E7334" s="17"/>
      <c r="F7334" s="17" t="s">
        <v>10780</v>
      </c>
      <c r="G7334" s="17"/>
      <c r="H7334" s="17" t="s">
        <v>12908</v>
      </c>
      <c r="I7334" s="17"/>
      <c r="J7334" s="17" t="s">
        <v>14018</v>
      </c>
      <c r="K7334" s="17"/>
      <c r="L7334" s="17" t="s">
        <v>14019</v>
      </c>
      <c r="M7334" s="17"/>
      <c r="N7334" s="17" t="s">
        <v>16378</v>
      </c>
      <c r="O7334" s="17"/>
      <c r="P7334" s="17" t="s">
        <v>16379</v>
      </c>
      <c r="Q7334" s="17"/>
      <c r="R7334" s="25" t="str">
        <f>HYPERLINK("https://ictv.global/taxonomy/taxondetails?taxnode_id=202308979","Gemycircularvirus ixode1")</f>
        <v>Gemycircularvirus ixode1</v>
      </c>
      <c r="S7334" s="18" t="s">
        <v>30</v>
      </c>
      <c r="T7334" s="18" t="s">
        <v>16544</v>
      </c>
      <c r="U7334" s="18"/>
      <c r="V7334" s="18" t="s">
        <v>16545</v>
      </c>
      <c r="W7334" s="18" t="s">
        <v>16546</v>
      </c>
      <c r="X7334" s="18" t="s">
        <v>42</v>
      </c>
      <c r="Y7334" s="18" t="s">
        <v>12266</v>
      </c>
      <c r="Z7334" s="18" t="s">
        <v>10790</v>
      </c>
      <c r="AA7334" s="21" t="str">
        <f>HYPERLINK("https://www.ncbi.nlm.nih.gov/nuccore/MF173067","NCBI Nucleotide")</f>
        <v>NCBI Nucleotide</v>
      </c>
    </row>
    <row r="7335" spans="1:27" x14ac:dyDescent="0.35">
      <c r="A7335">
        <v>1008158</v>
      </c>
      <c r="B7335">
        <v>6806</v>
      </c>
      <c r="C7335">
        <v>1</v>
      </c>
      <c r="D7335" s="17" t="s">
        <v>10507</v>
      </c>
      <c r="E7335" s="17"/>
      <c r="F7335" s="17" t="s">
        <v>10780</v>
      </c>
      <c r="G7335" s="17"/>
      <c r="H7335" s="17" t="s">
        <v>12908</v>
      </c>
      <c r="I7335" s="17"/>
      <c r="J7335" s="17" t="s">
        <v>14018</v>
      </c>
      <c r="K7335" s="17"/>
      <c r="L7335" s="17" t="s">
        <v>14019</v>
      </c>
      <c r="M7335" s="17"/>
      <c r="N7335" s="17" t="s">
        <v>16378</v>
      </c>
      <c r="O7335" s="17"/>
      <c r="P7335" s="17" t="s">
        <v>16379</v>
      </c>
      <c r="Q7335" s="17"/>
      <c r="R7335" s="25" t="str">
        <f>HYPERLINK("https://ictv.global/taxonomy/taxondetails?taxnode_id=202303567","Gemycircularvirus lamas1")</f>
        <v>Gemycircularvirus lamas1</v>
      </c>
      <c r="S7335" s="18" t="s">
        <v>30</v>
      </c>
      <c r="T7335" s="18" t="s">
        <v>16547</v>
      </c>
      <c r="U7335" s="18" t="s">
        <v>16548</v>
      </c>
      <c r="V7335" s="18" t="s">
        <v>16549</v>
      </c>
      <c r="W7335" s="18" t="s">
        <v>16550</v>
      </c>
      <c r="X7335" s="18" t="s">
        <v>42</v>
      </c>
      <c r="Y7335" s="18" t="s">
        <v>12266</v>
      </c>
      <c r="Z7335" s="18" t="s">
        <v>166</v>
      </c>
      <c r="AA7335" s="21" t="str">
        <f>HYPERLINK("https://www.ncbi.nlm.nih.gov/nuccore/KT862245","NCBI Nucleotide")</f>
        <v>NCBI Nucleotide</v>
      </c>
    </row>
    <row r="7336" spans="1:27" x14ac:dyDescent="0.35">
      <c r="A7336">
        <v>1008159</v>
      </c>
      <c r="B7336">
        <v>6807</v>
      </c>
      <c r="C7336">
        <v>1</v>
      </c>
      <c r="D7336" s="17" t="s">
        <v>10507</v>
      </c>
      <c r="E7336" s="17"/>
      <c r="F7336" s="17" t="s">
        <v>10780</v>
      </c>
      <c r="G7336" s="17"/>
      <c r="H7336" s="17" t="s">
        <v>12908</v>
      </c>
      <c r="I7336" s="17"/>
      <c r="J7336" s="17" t="s">
        <v>14018</v>
      </c>
      <c r="K7336" s="17"/>
      <c r="L7336" s="17" t="s">
        <v>14019</v>
      </c>
      <c r="M7336" s="17"/>
      <c r="N7336" s="17" t="s">
        <v>16378</v>
      </c>
      <c r="O7336" s="17"/>
      <c r="P7336" s="17" t="s">
        <v>16379</v>
      </c>
      <c r="Q7336" s="17"/>
      <c r="R7336" s="25" t="str">
        <f>HYPERLINK("https://ictv.global/taxonomy/taxondetails?taxnode_id=202308940","Gemycircularvirus lebec1")</f>
        <v>Gemycircularvirus lebec1</v>
      </c>
      <c r="S7336" s="18" t="s">
        <v>30</v>
      </c>
      <c r="T7336" s="18" t="s">
        <v>16551</v>
      </c>
      <c r="U7336" s="18"/>
      <c r="V7336" s="18" t="s">
        <v>16552</v>
      </c>
      <c r="W7336" s="18" t="s">
        <v>16553</v>
      </c>
      <c r="X7336" s="18" t="s">
        <v>42</v>
      </c>
      <c r="Y7336" s="18" t="s">
        <v>12266</v>
      </c>
      <c r="Z7336" s="18" t="s">
        <v>13441</v>
      </c>
      <c r="AA7336" s="21" t="str">
        <f>HYPERLINK("https://www.ncbi.nlm.nih.gov/nuccore/MH939431","NCBI Nucleotide")</f>
        <v>NCBI Nucleotide</v>
      </c>
    </row>
    <row r="7337" spans="1:27" x14ac:dyDescent="0.35">
      <c r="A7337">
        <v>1008160</v>
      </c>
      <c r="B7337">
        <v>6808</v>
      </c>
      <c r="C7337">
        <v>1</v>
      </c>
      <c r="D7337" s="17" t="s">
        <v>10507</v>
      </c>
      <c r="E7337" s="17"/>
      <c r="F7337" s="17" t="s">
        <v>10780</v>
      </c>
      <c r="G7337" s="17"/>
      <c r="H7337" s="17" t="s">
        <v>12908</v>
      </c>
      <c r="I7337" s="17"/>
      <c r="J7337" s="17" t="s">
        <v>14018</v>
      </c>
      <c r="K7337" s="17"/>
      <c r="L7337" s="17" t="s">
        <v>14019</v>
      </c>
      <c r="M7337" s="17"/>
      <c r="N7337" s="17" t="s">
        <v>16378</v>
      </c>
      <c r="O7337" s="17"/>
      <c r="P7337" s="17" t="s">
        <v>16379</v>
      </c>
      <c r="Q7337" s="17"/>
      <c r="R7337" s="25" t="str">
        <f>HYPERLINK("https://ictv.global/taxonomy/taxondetails?taxnode_id=202308965","Gemycircularvirus legle1")</f>
        <v>Gemycircularvirus legle1</v>
      </c>
      <c r="S7337" s="18" t="s">
        <v>30</v>
      </c>
      <c r="T7337" s="18" t="s">
        <v>16554</v>
      </c>
      <c r="U7337" s="18"/>
      <c r="V7337" s="18" t="s">
        <v>16555</v>
      </c>
      <c r="W7337" s="18" t="s">
        <v>16556</v>
      </c>
      <c r="X7337" s="18" t="s">
        <v>42</v>
      </c>
      <c r="Y7337" s="18" t="s">
        <v>12266</v>
      </c>
      <c r="Z7337" s="18" t="s">
        <v>13441</v>
      </c>
      <c r="AA7337" s="21" t="str">
        <f>HYPERLINK("https://www.ncbi.nlm.nih.gov/nuccore/MH939377","NCBI Nucleotide")</f>
        <v>NCBI Nucleotide</v>
      </c>
    </row>
    <row r="7338" spans="1:27" x14ac:dyDescent="0.35">
      <c r="A7338">
        <v>1008161</v>
      </c>
      <c r="B7338">
        <v>6809</v>
      </c>
      <c r="C7338">
        <v>1</v>
      </c>
      <c r="D7338" s="17" t="s">
        <v>10507</v>
      </c>
      <c r="E7338" s="17"/>
      <c r="F7338" s="17" t="s">
        <v>10780</v>
      </c>
      <c r="G7338" s="17"/>
      <c r="H7338" s="17" t="s">
        <v>12908</v>
      </c>
      <c r="I7338" s="17"/>
      <c r="J7338" s="17" t="s">
        <v>14018</v>
      </c>
      <c r="K7338" s="17"/>
      <c r="L7338" s="17" t="s">
        <v>14019</v>
      </c>
      <c r="M7338" s="17"/>
      <c r="N7338" s="17" t="s">
        <v>16378</v>
      </c>
      <c r="O7338" s="17"/>
      <c r="P7338" s="17" t="s">
        <v>16379</v>
      </c>
      <c r="Q7338" s="17"/>
      <c r="R7338" s="25" t="str">
        <f>HYPERLINK("https://ictv.global/taxonomy/taxondetails?taxnode_id=202309018","Gemycircularvirus lepa2")</f>
        <v>Gemycircularvirus lepa2</v>
      </c>
      <c r="S7338" s="18" t="s">
        <v>30</v>
      </c>
      <c r="T7338" s="18" t="s">
        <v>16557</v>
      </c>
      <c r="U7338" s="18"/>
      <c r="V7338" s="18" t="s">
        <v>16558</v>
      </c>
      <c r="W7338" s="18" t="s">
        <v>16559</v>
      </c>
      <c r="X7338" s="18" t="s">
        <v>42</v>
      </c>
      <c r="Y7338" s="18" t="s">
        <v>12266</v>
      </c>
      <c r="Z7338" s="18" t="s">
        <v>166</v>
      </c>
      <c r="AA7338" s="21" t="str">
        <f>HYPERLINK("https://www.ncbi.nlm.nih.gov/nuccore/MG641191","NCBI Nucleotide")</f>
        <v>NCBI Nucleotide</v>
      </c>
    </row>
    <row r="7339" spans="1:27" x14ac:dyDescent="0.35">
      <c r="A7339">
        <v>1008162</v>
      </c>
      <c r="B7339">
        <v>6810</v>
      </c>
      <c r="C7339">
        <v>1</v>
      </c>
      <c r="D7339" s="17" t="s">
        <v>10507</v>
      </c>
      <c r="E7339" s="17"/>
      <c r="F7339" s="17" t="s">
        <v>10780</v>
      </c>
      <c r="G7339" s="17"/>
      <c r="H7339" s="17" t="s">
        <v>12908</v>
      </c>
      <c r="I7339" s="17"/>
      <c r="J7339" s="17" t="s">
        <v>14018</v>
      </c>
      <c r="K7339" s="17"/>
      <c r="L7339" s="17" t="s">
        <v>14019</v>
      </c>
      <c r="M7339" s="17"/>
      <c r="N7339" s="17" t="s">
        <v>16378</v>
      </c>
      <c r="O7339" s="17"/>
      <c r="P7339" s="17" t="s">
        <v>16379</v>
      </c>
      <c r="Q7339" s="17"/>
      <c r="R7339" s="25" t="str">
        <f>HYPERLINK("https://ictv.global/taxonomy/taxondetails?taxnode_id=202308936","Gemycircularvirus lepam1")</f>
        <v>Gemycircularvirus lepam1</v>
      </c>
      <c r="S7339" s="18" t="s">
        <v>30</v>
      </c>
      <c r="T7339" s="18" t="s">
        <v>16560</v>
      </c>
      <c r="U7339" s="18"/>
      <c r="V7339" s="18" t="s">
        <v>16561</v>
      </c>
      <c r="W7339" s="18" t="s">
        <v>16562</v>
      </c>
      <c r="X7339" s="18" t="s">
        <v>42</v>
      </c>
      <c r="Y7339" s="18" t="s">
        <v>12266</v>
      </c>
      <c r="Z7339" s="18" t="s">
        <v>166</v>
      </c>
      <c r="AA7339" s="21" t="str">
        <f>HYPERLINK("https://www.ncbi.nlm.nih.gov/nuccore/MG641205","NCBI Nucleotide")</f>
        <v>NCBI Nucleotide</v>
      </c>
    </row>
    <row r="7340" spans="1:27" x14ac:dyDescent="0.35">
      <c r="A7340">
        <v>1008163</v>
      </c>
      <c r="B7340">
        <v>6811</v>
      </c>
      <c r="C7340">
        <v>1</v>
      </c>
      <c r="D7340" s="17" t="s">
        <v>10507</v>
      </c>
      <c r="E7340" s="17"/>
      <c r="F7340" s="17" t="s">
        <v>10780</v>
      </c>
      <c r="G7340" s="17"/>
      <c r="H7340" s="17" t="s">
        <v>12908</v>
      </c>
      <c r="I7340" s="17"/>
      <c r="J7340" s="17" t="s">
        <v>14018</v>
      </c>
      <c r="K7340" s="17"/>
      <c r="L7340" s="17" t="s">
        <v>14019</v>
      </c>
      <c r="M7340" s="17"/>
      <c r="N7340" s="17" t="s">
        <v>16378</v>
      </c>
      <c r="O7340" s="17"/>
      <c r="P7340" s="17" t="s">
        <v>16379</v>
      </c>
      <c r="Q7340" s="17"/>
      <c r="R7340" s="25" t="str">
        <f>HYPERLINK("https://ictv.global/taxonomy/taxondetails?taxnode_id=202309015","Gemycircularvirus lepam2")</f>
        <v>Gemycircularvirus lepam2</v>
      </c>
      <c r="S7340" s="18" t="s">
        <v>30</v>
      </c>
      <c r="T7340" s="18" t="s">
        <v>16563</v>
      </c>
      <c r="U7340" s="18"/>
      <c r="V7340" s="18" t="s">
        <v>16564</v>
      </c>
      <c r="W7340" s="18" t="s">
        <v>16565</v>
      </c>
      <c r="X7340" s="18" t="s">
        <v>42</v>
      </c>
      <c r="Y7340" s="18" t="s">
        <v>12266</v>
      </c>
      <c r="Z7340" s="18" t="s">
        <v>166</v>
      </c>
      <c r="AA7340" s="21" t="str">
        <f>HYPERLINK("https://www.ncbi.nlm.nih.gov/nuccore/MG641202","NCBI Nucleotide")</f>
        <v>NCBI Nucleotide</v>
      </c>
    </row>
    <row r="7341" spans="1:27" x14ac:dyDescent="0.35">
      <c r="A7341">
        <v>1008164</v>
      </c>
      <c r="B7341">
        <v>6812</v>
      </c>
      <c r="C7341">
        <v>1</v>
      </c>
      <c r="D7341" s="17" t="s">
        <v>10507</v>
      </c>
      <c r="E7341" s="17"/>
      <c r="F7341" s="17" t="s">
        <v>10780</v>
      </c>
      <c r="G7341" s="17"/>
      <c r="H7341" s="17" t="s">
        <v>12908</v>
      </c>
      <c r="I7341" s="17"/>
      <c r="J7341" s="17" t="s">
        <v>14018</v>
      </c>
      <c r="K7341" s="17"/>
      <c r="L7341" s="17" t="s">
        <v>14019</v>
      </c>
      <c r="M7341" s="17"/>
      <c r="N7341" s="17" t="s">
        <v>16378</v>
      </c>
      <c r="O7341" s="17"/>
      <c r="P7341" s="17" t="s">
        <v>16379</v>
      </c>
      <c r="Q7341" s="17"/>
      <c r="R7341" s="25" t="str">
        <f>HYPERLINK("https://ictv.global/taxonomy/taxondetails?taxnode_id=202309016","Gemycircularvirus lepam3")</f>
        <v>Gemycircularvirus lepam3</v>
      </c>
      <c r="S7341" s="18" t="s">
        <v>30</v>
      </c>
      <c r="T7341" s="18" t="s">
        <v>16566</v>
      </c>
      <c r="U7341" s="18"/>
      <c r="V7341" s="18" t="s">
        <v>16567</v>
      </c>
      <c r="W7341" s="18" t="s">
        <v>16568</v>
      </c>
      <c r="X7341" s="18" t="s">
        <v>42</v>
      </c>
      <c r="Y7341" s="18" t="s">
        <v>12266</v>
      </c>
      <c r="Z7341" s="18" t="s">
        <v>166</v>
      </c>
      <c r="AA7341" s="21" t="str">
        <f>HYPERLINK("https://www.ncbi.nlm.nih.gov/nuccore/MG641211","NCBI Nucleotide")</f>
        <v>NCBI Nucleotide</v>
      </c>
    </row>
    <row r="7342" spans="1:27" x14ac:dyDescent="0.35">
      <c r="A7342">
        <v>1008165</v>
      </c>
      <c r="B7342">
        <v>6813</v>
      </c>
      <c r="C7342">
        <v>1</v>
      </c>
      <c r="D7342" s="17" t="s">
        <v>10507</v>
      </c>
      <c r="E7342" s="17"/>
      <c r="F7342" s="17" t="s">
        <v>10780</v>
      </c>
      <c r="G7342" s="17"/>
      <c r="H7342" s="17" t="s">
        <v>12908</v>
      </c>
      <c r="I7342" s="17"/>
      <c r="J7342" s="17" t="s">
        <v>14018</v>
      </c>
      <c r="K7342" s="17"/>
      <c r="L7342" s="17" t="s">
        <v>14019</v>
      </c>
      <c r="M7342" s="17"/>
      <c r="N7342" s="17" t="s">
        <v>16378</v>
      </c>
      <c r="O7342" s="17"/>
      <c r="P7342" s="17" t="s">
        <v>16379</v>
      </c>
      <c r="Q7342" s="17"/>
      <c r="R7342" s="25" t="str">
        <f>HYPERLINK("https://ictv.global/taxonomy/taxondetails?taxnode_id=202308962","Gemycircularvirus lynca1")</f>
        <v>Gemycircularvirus lynca1</v>
      </c>
      <c r="S7342" s="18" t="s">
        <v>30</v>
      </c>
      <c r="T7342" s="18" t="s">
        <v>16569</v>
      </c>
      <c r="U7342" s="18"/>
      <c r="V7342" s="18" t="s">
        <v>16570</v>
      </c>
      <c r="W7342" s="18" t="s">
        <v>16571</v>
      </c>
      <c r="X7342" s="18" t="s">
        <v>42</v>
      </c>
      <c r="Y7342" s="18" t="s">
        <v>12266</v>
      </c>
      <c r="Z7342" s="18" t="s">
        <v>166</v>
      </c>
      <c r="AA7342" s="21" t="str">
        <f>HYPERLINK("https://www.ncbi.nlm.nih.gov/nuccore/MG641192","NCBI Nucleotide")</f>
        <v>NCBI Nucleotide</v>
      </c>
    </row>
    <row r="7343" spans="1:27" x14ac:dyDescent="0.35">
      <c r="A7343">
        <v>1008166</v>
      </c>
      <c r="B7343">
        <v>6814</v>
      </c>
      <c r="C7343">
        <v>1</v>
      </c>
      <c r="D7343" s="17" t="s">
        <v>10507</v>
      </c>
      <c r="E7343" s="17"/>
      <c r="F7343" s="17" t="s">
        <v>10780</v>
      </c>
      <c r="G7343" s="17"/>
      <c r="H7343" s="17" t="s">
        <v>12908</v>
      </c>
      <c r="I7343" s="17"/>
      <c r="J7343" s="17" t="s">
        <v>14018</v>
      </c>
      <c r="K7343" s="17"/>
      <c r="L7343" s="17" t="s">
        <v>14019</v>
      </c>
      <c r="M7343" s="17"/>
      <c r="N7343" s="17" t="s">
        <v>16378</v>
      </c>
      <c r="O7343" s="17"/>
      <c r="P7343" s="17" t="s">
        <v>16379</v>
      </c>
      <c r="Q7343" s="17"/>
      <c r="R7343" s="25" t="str">
        <f>HYPERLINK("https://ictv.global/taxonomy/taxondetails?taxnode_id=202309000","Gemycircularvirus lynca2")</f>
        <v>Gemycircularvirus lynca2</v>
      </c>
      <c r="S7343" s="18" t="s">
        <v>30</v>
      </c>
      <c r="T7343" s="18" t="s">
        <v>16572</v>
      </c>
      <c r="U7343" s="18"/>
      <c r="V7343" s="18" t="s">
        <v>16573</v>
      </c>
      <c r="W7343" s="18" t="s">
        <v>16574</v>
      </c>
      <c r="X7343" s="18" t="s">
        <v>42</v>
      </c>
      <c r="Y7343" s="18" t="s">
        <v>12266</v>
      </c>
      <c r="Z7343" s="18" t="s">
        <v>166</v>
      </c>
      <c r="AA7343" s="21" t="str">
        <f>HYPERLINK("https://www.ncbi.nlm.nih.gov/nuccore/MG641194","NCBI Nucleotide")</f>
        <v>NCBI Nucleotide</v>
      </c>
    </row>
    <row r="7344" spans="1:27" x14ac:dyDescent="0.35">
      <c r="A7344">
        <v>1008167</v>
      </c>
      <c r="B7344">
        <v>6815</v>
      </c>
      <c r="C7344">
        <v>1</v>
      </c>
      <c r="D7344" s="17" t="s">
        <v>10507</v>
      </c>
      <c r="E7344" s="17"/>
      <c r="F7344" s="17" t="s">
        <v>10780</v>
      </c>
      <c r="G7344" s="17"/>
      <c r="H7344" s="17" t="s">
        <v>12908</v>
      </c>
      <c r="I7344" s="17"/>
      <c r="J7344" s="17" t="s">
        <v>14018</v>
      </c>
      <c r="K7344" s="17"/>
      <c r="L7344" s="17" t="s">
        <v>14019</v>
      </c>
      <c r="M7344" s="17"/>
      <c r="N7344" s="17" t="s">
        <v>16378</v>
      </c>
      <c r="O7344" s="17"/>
      <c r="P7344" s="17" t="s">
        <v>16379</v>
      </c>
      <c r="Q7344" s="17"/>
      <c r="R7344" s="25" t="str">
        <f>HYPERLINK("https://ictv.global/taxonomy/taxondetails?taxnode_id=202308967","Gemycircularvirus lynca3")</f>
        <v>Gemycircularvirus lynca3</v>
      </c>
      <c r="S7344" s="18" t="s">
        <v>30</v>
      </c>
      <c r="T7344" s="18" t="s">
        <v>16575</v>
      </c>
      <c r="U7344" s="18"/>
      <c r="V7344" s="18" t="s">
        <v>16576</v>
      </c>
      <c r="W7344" s="18" t="s">
        <v>16577</v>
      </c>
      <c r="X7344" s="18" t="s">
        <v>42</v>
      </c>
      <c r="Y7344" s="18" t="s">
        <v>12266</v>
      </c>
      <c r="Z7344" s="18" t="s">
        <v>166</v>
      </c>
      <c r="AA7344" s="21" t="str">
        <f>HYPERLINK("https://www.ncbi.nlm.nih.gov/nuccore/MG641201","NCBI Nucleotide")</f>
        <v>NCBI Nucleotide</v>
      </c>
    </row>
    <row r="7345" spans="1:27" x14ac:dyDescent="0.35">
      <c r="A7345">
        <v>1008168</v>
      </c>
      <c r="B7345">
        <v>6816</v>
      </c>
      <c r="C7345">
        <v>1</v>
      </c>
      <c r="D7345" s="17" t="s">
        <v>10507</v>
      </c>
      <c r="E7345" s="17"/>
      <c r="F7345" s="17" t="s">
        <v>10780</v>
      </c>
      <c r="G7345" s="17"/>
      <c r="H7345" s="17" t="s">
        <v>12908</v>
      </c>
      <c r="I7345" s="17"/>
      <c r="J7345" s="17" t="s">
        <v>14018</v>
      </c>
      <c r="K7345" s="17"/>
      <c r="L7345" s="17" t="s">
        <v>14019</v>
      </c>
      <c r="M7345" s="17"/>
      <c r="N7345" s="17" t="s">
        <v>16378</v>
      </c>
      <c r="O7345" s="17"/>
      <c r="P7345" s="17" t="s">
        <v>16379</v>
      </c>
      <c r="Q7345" s="17"/>
      <c r="R7345" s="25" t="str">
        <f>HYPERLINK("https://ictv.global/taxonomy/taxondetails?taxnode_id=202309001","Gemycircularvirus lynca4")</f>
        <v>Gemycircularvirus lynca4</v>
      </c>
      <c r="S7345" s="18" t="s">
        <v>30</v>
      </c>
      <c r="T7345" s="18" t="s">
        <v>16578</v>
      </c>
      <c r="U7345" s="18"/>
      <c r="V7345" s="18" t="s">
        <v>16579</v>
      </c>
      <c r="W7345" s="18" t="s">
        <v>16580</v>
      </c>
      <c r="X7345" s="18" t="s">
        <v>42</v>
      </c>
      <c r="Y7345" s="18" t="s">
        <v>12266</v>
      </c>
      <c r="Z7345" s="18" t="s">
        <v>166</v>
      </c>
      <c r="AA7345" s="21" t="str">
        <f>HYPERLINK("https://www.ncbi.nlm.nih.gov/nuccore/MG641197","NCBI Nucleotide")</f>
        <v>NCBI Nucleotide</v>
      </c>
    </row>
    <row r="7346" spans="1:27" x14ac:dyDescent="0.35">
      <c r="A7346">
        <v>1008169</v>
      </c>
      <c r="B7346">
        <v>6817</v>
      </c>
      <c r="C7346">
        <v>1</v>
      </c>
      <c r="D7346" s="17" t="s">
        <v>10507</v>
      </c>
      <c r="E7346" s="17"/>
      <c r="F7346" s="17" t="s">
        <v>10780</v>
      </c>
      <c r="G7346" s="17"/>
      <c r="H7346" s="17" t="s">
        <v>12908</v>
      </c>
      <c r="I7346" s="17"/>
      <c r="J7346" s="17" t="s">
        <v>14018</v>
      </c>
      <c r="K7346" s="17"/>
      <c r="L7346" s="17" t="s">
        <v>14019</v>
      </c>
      <c r="M7346" s="17"/>
      <c r="N7346" s="17" t="s">
        <v>16378</v>
      </c>
      <c r="O7346" s="17"/>
      <c r="P7346" s="17" t="s">
        <v>16379</v>
      </c>
      <c r="Q7346" s="17"/>
      <c r="R7346" s="25" t="str">
        <f>HYPERLINK("https://ictv.global/taxonomy/taxondetails?taxnode_id=202303568","Gemycircularvirus malas1")</f>
        <v>Gemycircularvirus malas1</v>
      </c>
      <c r="S7346" s="18" t="s">
        <v>30</v>
      </c>
      <c r="T7346" s="18" t="s">
        <v>16581</v>
      </c>
      <c r="U7346" s="18" t="s">
        <v>16582</v>
      </c>
      <c r="V7346" s="18" t="s">
        <v>16583</v>
      </c>
      <c r="W7346" s="18" t="s">
        <v>16584</v>
      </c>
      <c r="X7346" s="18" t="s">
        <v>42</v>
      </c>
      <c r="Y7346" s="18" t="s">
        <v>12266</v>
      </c>
      <c r="Z7346" s="18" t="s">
        <v>166</v>
      </c>
      <c r="AA7346" s="21" t="str">
        <f>HYPERLINK("https://www.ncbi.nlm.nih.gov/nuccore/KF371635","NCBI Nucleotide")</f>
        <v>NCBI Nucleotide</v>
      </c>
    </row>
    <row r="7347" spans="1:27" x14ac:dyDescent="0.35">
      <c r="A7347">
        <v>1008170</v>
      </c>
      <c r="B7347">
        <v>6818</v>
      </c>
      <c r="C7347">
        <v>1</v>
      </c>
      <c r="D7347" s="17" t="s">
        <v>10507</v>
      </c>
      <c r="E7347" s="17"/>
      <c r="F7347" s="17" t="s">
        <v>10780</v>
      </c>
      <c r="G7347" s="17"/>
      <c r="H7347" s="17" t="s">
        <v>12908</v>
      </c>
      <c r="I7347" s="17"/>
      <c r="J7347" s="17" t="s">
        <v>14018</v>
      </c>
      <c r="K7347" s="17"/>
      <c r="L7347" s="17" t="s">
        <v>14019</v>
      </c>
      <c r="M7347" s="17"/>
      <c r="N7347" s="17" t="s">
        <v>16378</v>
      </c>
      <c r="O7347" s="17"/>
      <c r="P7347" s="17" t="s">
        <v>16379</v>
      </c>
      <c r="Q7347" s="17"/>
      <c r="R7347" s="25" t="str">
        <f>HYPERLINK("https://ictv.global/taxonomy/taxondetails?taxnode_id=202303569","Gemycircularvirus minio1")</f>
        <v>Gemycircularvirus minio1</v>
      </c>
      <c r="S7347" s="18" t="s">
        <v>30</v>
      </c>
      <c r="T7347" s="18" t="s">
        <v>16585</v>
      </c>
      <c r="U7347" s="18" t="s">
        <v>16586</v>
      </c>
      <c r="V7347" s="18" t="s">
        <v>16587</v>
      </c>
      <c r="W7347" s="18" t="s">
        <v>16588</v>
      </c>
      <c r="X7347" s="18" t="s">
        <v>42</v>
      </c>
      <c r="Y7347" s="18" t="s">
        <v>12266</v>
      </c>
      <c r="Z7347" s="18" t="s">
        <v>166</v>
      </c>
      <c r="AA7347" s="21" t="str">
        <f>HYPERLINK("https://www.ncbi.nlm.nih.gov/nuccore/KJ641719","NCBI Nucleotide")</f>
        <v>NCBI Nucleotide</v>
      </c>
    </row>
    <row r="7348" spans="1:27" x14ac:dyDescent="0.35">
      <c r="A7348">
        <v>1008171</v>
      </c>
      <c r="B7348">
        <v>6819</v>
      </c>
      <c r="C7348">
        <v>1</v>
      </c>
      <c r="D7348" s="17" t="s">
        <v>10507</v>
      </c>
      <c r="E7348" s="17"/>
      <c r="F7348" s="17" t="s">
        <v>10780</v>
      </c>
      <c r="G7348" s="17"/>
      <c r="H7348" s="17" t="s">
        <v>12908</v>
      </c>
      <c r="I7348" s="17"/>
      <c r="J7348" s="17" t="s">
        <v>14018</v>
      </c>
      <c r="K7348" s="17"/>
      <c r="L7348" s="17" t="s">
        <v>14019</v>
      </c>
      <c r="M7348" s="17"/>
      <c r="N7348" s="17" t="s">
        <v>16378</v>
      </c>
      <c r="O7348" s="17"/>
      <c r="P7348" s="17" t="s">
        <v>16379</v>
      </c>
      <c r="Q7348" s="17"/>
      <c r="R7348" s="25" t="str">
        <f>HYPERLINK("https://ictv.global/taxonomy/taxondetails?taxnode_id=202309004","Gemycircularvirus miniti1")</f>
        <v>Gemycircularvirus miniti1</v>
      </c>
      <c r="S7348" s="18" t="s">
        <v>30</v>
      </c>
      <c r="T7348" s="18" t="s">
        <v>16380</v>
      </c>
      <c r="U7348" s="18"/>
      <c r="V7348" s="18" t="s">
        <v>16589</v>
      </c>
      <c r="W7348" s="18" t="s">
        <v>16590</v>
      </c>
      <c r="X7348" s="18" t="s">
        <v>42</v>
      </c>
      <c r="Y7348" s="18" t="s">
        <v>12266</v>
      </c>
      <c r="Z7348" s="18" t="s">
        <v>166</v>
      </c>
      <c r="AA7348" s="21" t="str">
        <f>HYPERLINK("https://www.ncbi.nlm.nih.gov/nuccore/MK032736","NCBI Nucleotide")</f>
        <v>NCBI Nucleotide</v>
      </c>
    </row>
    <row r="7349" spans="1:27" x14ac:dyDescent="0.35">
      <c r="A7349">
        <v>1008172</v>
      </c>
      <c r="B7349">
        <v>6820</v>
      </c>
      <c r="C7349">
        <v>1</v>
      </c>
      <c r="D7349" s="17" t="s">
        <v>10507</v>
      </c>
      <c r="E7349" s="17"/>
      <c r="F7349" s="17" t="s">
        <v>10780</v>
      </c>
      <c r="G7349" s="17"/>
      <c r="H7349" s="17" t="s">
        <v>12908</v>
      </c>
      <c r="I7349" s="17"/>
      <c r="J7349" s="17" t="s">
        <v>14018</v>
      </c>
      <c r="K7349" s="17"/>
      <c r="L7349" s="17" t="s">
        <v>14019</v>
      </c>
      <c r="M7349" s="17"/>
      <c r="N7349" s="17" t="s">
        <v>16378</v>
      </c>
      <c r="O7349" s="17"/>
      <c r="P7349" s="17" t="s">
        <v>16379</v>
      </c>
      <c r="Q7349" s="17"/>
      <c r="R7349" s="25" t="str">
        <f>HYPERLINK("https://ictv.global/taxonomy/taxondetails?taxnode_id=202308947","Gemycircularvirus miniti2")</f>
        <v>Gemycircularvirus miniti2</v>
      </c>
      <c r="S7349" s="18" t="s">
        <v>30</v>
      </c>
      <c r="T7349" s="18" t="s">
        <v>16380</v>
      </c>
      <c r="U7349" s="18"/>
      <c r="V7349" s="18" t="s">
        <v>16591</v>
      </c>
      <c r="W7349" s="18" t="s">
        <v>16592</v>
      </c>
      <c r="X7349" s="18" t="s">
        <v>42</v>
      </c>
      <c r="Y7349" s="18" t="s">
        <v>12266</v>
      </c>
      <c r="Z7349" s="18" t="s">
        <v>166</v>
      </c>
      <c r="AA7349" s="21" t="str">
        <f>HYPERLINK("https://www.ncbi.nlm.nih.gov/nuccore/MK032701","NCBI Nucleotide")</f>
        <v>NCBI Nucleotide</v>
      </c>
    </row>
    <row r="7350" spans="1:27" x14ac:dyDescent="0.35">
      <c r="A7350">
        <v>1008173</v>
      </c>
      <c r="B7350">
        <v>6821</v>
      </c>
      <c r="C7350">
        <v>1</v>
      </c>
      <c r="D7350" s="17" t="s">
        <v>10507</v>
      </c>
      <c r="E7350" s="17"/>
      <c r="F7350" s="17" t="s">
        <v>10780</v>
      </c>
      <c r="G7350" s="17"/>
      <c r="H7350" s="17" t="s">
        <v>12908</v>
      </c>
      <c r="I7350" s="17"/>
      <c r="J7350" s="17" t="s">
        <v>14018</v>
      </c>
      <c r="K7350" s="17"/>
      <c r="L7350" s="17" t="s">
        <v>14019</v>
      </c>
      <c r="M7350" s="17"/>
      <c r="N7350" s="17" t="s">
        <v>16378</v>
      </c>
      <c r="O7350" s="17"/>
      <c r="P7350" s="17" t="s">
        <v>16379</v>
      </c>
      <c r="Q7350" s="17"/>
      <c r="R7350" s="25" t="str">
        <f>HYPERLINK("https://ictv.global/taxonomy/taxondetails?taxnode_id=202308997","Gemycircularvirus miniti3")</f>
        <v>Gemycircularvirus miniti3</v>
      </c>
      <c r="S7350" s="18" t="s">
        <v>30</v>
      </c>
      <c r="T7350" s="18" t="s">
        <v>16380</v>
      </c>
      <c r="U7350" s="18"/>
      <c r="V7350" s="18" t="s">
        <v>16593</v>
      </c>
      <c r="W7350" s="18" t="s">
        <v>16594</v>
      </c>
      <c r="X7350" s="18" t="s">
        <v>42</v>
      </c>
      <c r="Y7350" s="18" t="s">
        <v>12266</v>
      </c>
      <c r="Z7350" s="18" t="s">
        <v>166</v>
      </c>
      <c r="AA7350" s="21" t="str">
        <f>HYPERLINK("https://www.ncbi.nlm.nih.gov/nuccore/MK032712","NCBI Nucleotide")</f>
        <v>NCBI Nucleotide</v>
      </c>
    </row>
    <row r="7351" spans="1:27" x14ac:dyDescent="0.35">
      <c r="A7351">
        <v>1008174</v>
      </c>
      <c r="B7351">
        <v>6822</v>
      </c>
      <c r="C7351">
        <v>1</v>
      </c>
      <c r="D7351" s="17" t="s">
        <v>10507</v>
      </c>
      <c r="E7351" s="17"/>
      <c r="F7351" s="17" t="s">
        <v>10780</v>
      </c>
      <c r="G7351" s="17"/>
      <c r="H7351" s="17" t="s">
        <v>12908</v>
      </c>
      <c r="I7351" s="17"/>
      <c r="J7351" s="17" t="s">
        <v>14018</v>
      </c>
      <c r="K7351" s="17"/>
      <c r="L7351" s="17" t="s">
        <v>14019</v>
      </c>
      <c r="M7351" s="17"/>
      <c r="N7351" s="17" t="s">
        <v>16378</v>
      </c>
      <c r="O7351" s="17"/>
      <c r="P7351" s="17" t="s">
        <v>16379</v>
      </c>
      <c r="Q7351" s="17"/>
      <c r="R7351" s="25" t="str">
        <f>HYPERLINK("https://ictv.global/taxonomy/taxondetails?taxnode_id=202308945","Gemycircularvirus miniti4")</f>
        <v>Gemycircularvirus miniti4</v>
      </c>
      <c r="S7351" s="18" t="s">
        <v>30</v>
      </c>
      <c r="T7351" s="18" t="s">
        <v>16380</v>
      </c>
      <c r="U7351" s="18"/>
      <c r="V7351" s="18" t="s">
        <v>16595</v>
      </c>
      <c r="W7351" s="18" t="s">
        <v>16596</v>
      </c>
      <c r="X7351" s="18" t="s">
        <v>42</v>
      </c>
      <c r="Y7351" s="18" t="s">
        <v>12266</v>
      </c>
      <c r="Z7351" s="18" t="s">
        <v>166</v>
      </c>
      <c r="AA7351" s="21" t="str">
        <f>HYPERLINK("https://www.ncbi.nlm.nih.gov/nuccore/MK032709","NCBI Nucleotide")</f>
        <v>NCBI Nucleotide</v>
      </c>
    </row>
    <row r="7352" spans="1:27" x14ac:dyDescent="0.35">
      <c r="A7352">
        <v>1008175</v>
      </c>
      <c r="B7352">
        <v>6823</v>
      </c>
      <c r="C7352">
        <v>1</v>
      </c>
      <c r="D7352" s="17" t="s">
        <v>10507</v>
      </c>
      <c r="E7352" s="17"/>
      <c r="F7352" s="17" t="s">
        <v>10780</v>
      </c>
      <c r="G7352" s="17"/>
      <c r="H7352" s="17" t="s">
        <v>12908</v>
      </c>
      <c r="I7352" s="17"/>
      <c r="J7352" s="17" t="s">
        <v>14018</v>
      </c>
      <c r="K7352" s="17"/>
      <c r="L7352" s="17" t="s">
        <v>14019</v>
      </c>
      <c r="M7352" s="17"/>
      <c r="N7352" s="17" t="s">
        <v>16378</v>
      </c>
      <c r="O7352" s="17"/>
      <c r="P7352" s="17" t="s">
        <v>16379</v>
      </c>
      <c r="Q7352" s="17"/>
      <c r="R7352" s="25" t="str">
        <f>HYPERLINK("https://ictv.global/taxonomy/taxondetails?taxnode_id=202308950","Gemycircularvirus minti6")</f>
        <v>Gemycircularvirus minti6</v>
      </c>
      <c r="S7352" s="18" t="s">
        <v>30</v>
      </c>
      <c r="T7352" s="18" t="s">
        <v>16380</v>
      </c>
      <c r="U7352" s="18"/>
      <c r="V7352" s="18" t="s">
        <v>16597</v>
      </c>
      <c r="W7352" s="18" t="s">
        <v>16598</v>
      </c>
      <c r="X7352" s="18" t="s">
        <v>42</v>
      </c>
      <c r="Y7352" s="18" t="s">
        <v>12266</v>
      </c>
      <c r="Z7352" s="18" t="s">
        <v>166</v>
      </c>
      <c r="AA7352" s="21" t="str">
        <f>HYPERLINK("https://www.ncbi.nlm.nih.gov/nuccore/MH617534","NCBI Nucleotide")</f>
        <v>NCBI Nucleotide</v>
      </c>
    </row>
    <row r="7353" spans="1:27" x14ac:dyDescent="0.35">
      <c r="A7353">
        <v>1008176</v>
      </c>
      <c r="B7353">
        <v>6824</v>
      </c>
      <c r="C7353">
        <v>1</v>
      </c>
      <c r="D7353" s="17" t="s">
        <v>10507</v>
      </c>
      <c r="E7353" s="17"/>
      <c r="F7353" s="17" t="s">
        <v>10780</v>
      </c>
      <c r="G7353" s="17"/>
      <c r="H7353" s="17" t="s">
        <v>12908</v>
      </c>
      <c r="I7353" s="17"/>
      <c r="J7353" s="17" t="s">
        <v>14018</v>
      </c>
      <c r="K7353" s="17"/>
      <c r="L7353" s="17" t="s">
        <v>14019</v>
      </c>
      <c r="M7353" s="17"/>
      <c r="N7353" s="17" t="s">
        <v>16378</v>
      </c>
      <c r="O7353" s="17"/>
      <c r="P7353" s="17" t="s">
        <v>16379</v>
      </c>
      <c r="Q7353" s="17"/>
      <c r="R7353" s="25" t="str">
        <f>HYPERLINK("https://ictv.global/taxonomy/taxondetails?taxnode_id=202308975","Gemycircularvirus mocha1")</f>
        <v>Gemycircularvirus mocha1</v>
      </c>
      <c r="S7353" s="18" t="s">
        <v>30</v>
      </c>
      <c r="T7353" s="18" t="s">
        <v>16599</v>
      </c>
      <c r="U7353" s="18"/>
      <c r="V7353" s="18" t="s">
        <v>16486</v>
      </c>
      <c r="W7353" s="18" t="s">
        <v>16600</v>
      </c>
      <c r="X7353" s="18" t="s">
        <v>42</v>
      </c>
      <c r="Y7353" s="18" t="s">
        <v>12266</v>
      </c>
      <c r="Z7353" s="18" t="s">
        <v>13441</v>
      </c>
      <c r="AA7353" s="21" t="str">
        <f>HYPERLINK("https://www.ncbi.nlm.nih.gov/nuccore/MH047857","NCBI Nucleotide")</f>
        <v>NCBI Nucleotide</v>
      </c>
    </row>
    <row r="7354" spans="1:27" x14ac:dyDescent="0.35">
      <c r="A7354">
        <v>1008177</v>
      </c>
      <c r="B7354">
        <v>6825</v>
      </c>
      <c r="C7354">
        <v>1</v>
      </c>
      <c r="D7354" s="17" t="s">
        <v>10507</v>
      </c>
      <c r="E7354" s="17"/>
      <c r="F7354" s="17" t="s">
        <v>10780</v>
      </c>
      <c r="G7354" s="17"/>
      <c r="H7354" s="17" t="s">
        <v>12908</v>
      </c>
      <c r="I7354" s="17"/>
      <c r="J7354" s="17" t="s">
        <v>14018</v>
      </c>
      <c r="K7354" s="17"/>
      <c r="L7354" s="17" t="s">
        <v>14019</v>
      </c>
      <c r="M7354" s="17"/>
      <c r="N7354" s="17" t="s">
        <v>16378</v>
      </c>
      <c r="O7354" s="17"/>
      <c r="P7354" s="17" t="s">
        <v>16379</v>
      </c>
      <c r="Q7354" s="17"/>
      <c r="R7354" s="25" t="str">
        <f>HYPERLINK("https://ictv.global/taxonomy/taxondetails?taxnode_id=202303570","Gemycircularvirus monas1")</f>
        <v>Gemycircularvirus monas1</v>
      </c>
      <c r="S7354" s="18" t="s">
        <v>30</v>
      </c>
      <c r="T7354" s="18" t="s">
        <v>16601</v>
      </c>
      <c r="U7354" s="18" t="s">
        <v>16582</v>
      </c>
      <c r="V7354" s="18" t="s">
        <v>16602</v>
      </c>
      <c r="W7354" s="18" t="s">
        <v>16603</v>
      </c>
      <c r="X7354" s="18" t="s">
        <v>42</v>
      </c>
      <c r="Y7354" s="18" t="s">
        <v>12266</v>
      </c>
      <c r="Z7354" s="18" t="s">
        <v>166</v>
      </c>
      <c r="AA7354" s="21" t="str">
        <f>HYPERLINK("https://www.ncbi.nlm.nih.gov/nuccore/KP263547","NCBI Nucleotide")</f>
        <v>NCBI Nucleotide</v>
      </c>
    </row>
    <row r="7355" spans="1:27" x14ac:dyDescent="0.35">
      <c r="A7355">
        <v>1008178</v>
      </c>
      <c r="B7355">
        <v>6826</v>
      </c>
      <c r="C7355">
        <v>1</v>
      </c>
      <c r="D7355" s="17" t="s">
        <v>10507</v>
      </c>
      <c r="E7355" s="17"/>
      <c r="F7355" s="17" t="s">
        <v>10780</v>
      </c>
      <c r="G7355" s="17"/>
      <c r="H7355" s="17" t="s">
        <v>12908</v>
      </c>
      <c r="I7355" s="17"/>
      <c r="J7355" s="17" t="s">
        <v>14018</v>
      </c>
      <c r="K7355" s="17"/>
      <c r="L7355" s="17" t="s">
        <v>14019</v>
      </c>
      <c r="M7355" s="17"/>
      <c r="N7355" s="17" t="s">
        <v>16378</v>
      </c>
      <c r="O7355" s="17"/>
      <c r="P7355" s="17" t="s">
        <v>16379</v>
      </c>
      <c r="Q7355" s="17"/>
      <c r="R7355" s="25" t="str">
        <f>HYPERLINK("https://ictv.global/taxonomy/taxondetails?taxnode_id=202303571","Gemycircularvirus mosqi1")</f>
        <v>Gemycircularvirus mosqi1</v>
      </c>
      <c r="S7355" s="18" t="s">
        <v>30</v>
      </c>
      <c r="T7355" s="18" t="s">
        <v>16604</v>
      </c>
      <c r="U7355" s="18" t="s">
        <v>16605</v>
      </c>
      <c r="V7355" s="18" t="s">
        <v>16606</v>
      </c>
      <c r="W7355" s="18" t="s">
        <v>16607</v>
      </c>
      <c r="X7355" s="18" t="s">
        <v>42</v>
      </c>
      <c r="Y7355" s="18" t="s">
        <v>12266</v>
      </c>
      <c r="Z7355" s="18" t="s">
        <v>10790</v>
      </c>
      <c r="AA7355" s="21" t="str">
        <f>HYPERLINK("https://www.ncbi.nlm.nih.gov/nuccore/HQ335086","NCBI Nucleotide")</f>
        <v>NCBI Nucleotide</v>
      </c>
    </row>
    <row r="7356" spans="1:27" x14ac:dyDescent="0.35">
      <c r="A7356">
        <v>1008179</v>
      </c>
      <c r="B7356">
        <v>6827</v>
      </c>
      <c r="C7356">
        <v>1</v>
      </c>
      <c r="D7356" s="17" t="s">
        <v>10507</v>
      </c>
      <c r="E7356" s="17"/>
      <c r="F7356" s="17" t="s">
        <v>10780</v>
      </c>
      <c r="G7356" s="17"/>
      <c r="H7356" s="17" t="s">
        <v>12908</v>
      </c>
      <c r="I7356" s="17"/>
      <c r="J7356" s="17" t="s">
        <v>14018</v>
      </c>
      <c r="K7356" s="17"/>
      <c r="L7356" s="17" t="s">
        <v>14019</v>
      </c>
      <c r="M7356" s="17"/>
      <c r="N7356" s="17" t="s">
        <v>16378</v>
      </c>
      <c r="O7356" s="17"/>
      <c r="P7356" s="17" t="s">
        <v>16379</v>
      </c>
      <c r="Q7356" s="17"/>
      <c r="R7356" s="25" t="str">
        <f>HYPERLINK("https://ictv.global/taxonomy/taxondetails?taxnode_id=202308953","Gemycircularvirus mouti1")</f>
        <v>Gemycircularvirus mouti1</v>
      </c>
      <c r="S7356" s="18" t="s">
        <v>30</v>
      </c>
      <c r="T7356" s="18" t="s">
        <v>16380</v>
      </c>
      <c r="U7356" s="18"/>
      <c r="V7356" s="18" t="s">
        <v>16608</v>
      </c>
      <c r="W7356" s="18" t="s">
        <v>16609</v>
      </c>
      <c r="X7356" s="18" t="s">
        <v>42</v>
      </c>
      <c r="Y7356" s="18" t="s">
        <v>12266</v>
      </c>
      <c r="Z7356" s="18" t="s">
        <v>166</v>
      </c>
      <c r="AA7356" s="21" t="str">
        <f>HYPERLINK("https://www.ncbi.nlm.nih.gov/nuccore/MK032728","NCBI Nucleotide")</f>
        <v>NCBI Nucleotide</v>
      </c>
    </row>
    <row r="7357" spans="1:27" x14ac:dyDescent="0.35">
      <c r="A7357">
        <v>1008183</v>
      </c>
      <c r="B7357">
        <v>6828</v>
      </c>
      <c r="C7357">
        <v>1</v>
      </c>
      <c r="D7357" s="17" t="s">
        <v>10507</v>
      </c>
      <c r="E7357" s="17"/>
      <c r="F7357" s="17" t="s">
        <v>10780</v>
      </c>
      <c r="G7357" s="17"/>
      <c r="H7357" s="17" t="s">
        <v>12908</v>
      </c>
      <c r="I7357" s="17"/>
      <c r="J7357" s="17" t="s">
        <v>14018</v>
      </c>
      <c r="K7357" s="17"/>
      <c r="L7357" s="17" t="s">
        <v>14019</v>
      </c>
      <c r="M7357" s="17"/>
      <c r="N7357" s="17" t="s">
        <v>16378</v>
      </c>
      <c r="O7357" s="17"/>
      <c r="P7357" s="17" t="s">
        <v>16379</v>
      </c>
      <c r="Q7357" s="17"/>
      <c r="R7357" s="25" t="str">
        <f>HYPERLINK("https://ictv.global/taxonomy/taxondetails?taxnode_id=202308976","Gemycircularvirus mouti2")</f>
        <v>Gemycircularvirus mouti2</v>
      </c>
      <c r="S7357" s="18" t="s">
        <v>30</v>
      </c>
      <c r="T7357" s="18" t="s">
        <v>16380</v>
      </c>
      <c r="U7357" s="18"/>
      <c r="V7357" s="18" t="s">
        <v>16616</v>
      </c>
      <c r="W7357" s="18" t="s">
        <v>16617</v>
      </c>
      <c r="X7357" s="18" t="s">
        <v>42</v>
      </c>
      <c r="Y7357" s="18" t="s">
        <v>12266</v>
      </c>
      <c r="Z7357" s="18" t="s">
        <v>166</v>
      </c>
      <c r="AA7357" s="21" t="str">
        <f>HYPERLINK("https://www.ncbi.nlm.nih.gov/nuccore/MK032755","NCBI Nucleotide")</f>
        <v>NCBI Nucleotide</v>
      </c>
    </row>
    <row r="7358" spans="1:27" x14ac:dyDescent="0.35">
      <c r="A7358">
        <v>1008184</v>
      </c>
      <c r="B7358">
        <v>6829</v>
      </c>
      <c r="C7358">
        <v>1</v>
      </c>
      <c r="D7358" s="17" t="s">
        <v>10507</v>
      </c>
      <c r="E7358" s="17"/>
      <c r="F7358" s="17" t="s">
        <v>10780</v>
      </c>
      <c r="G7358" s="17"/>
      <c r="H7358" s="17" t="s">
        <v>12908</v>
      </c>
      <c r="I7358" s="17"/>
      <c r="J7358" s="17" t="s">
        <v>14018</v>
      </c>
      <c r="K7358" s="17"/>
      <c r="L7358" s="17" t="s">
        <v>14019</v>
      </c>
      <c r="M7358" s="17"/>
      <c r="N7358" s="17" t="s">
        <v>16378</v>
      </c>
      <c r="O7358" s="17"/>
      <c r="P7358" s="17" t="s">
        <v>16379</v>
      </c>
      <c r="Q7358" s="17"/>
      <c r="R7358" s="25" t="str">
        <f>HYPERLINK("https://ictv.global/taxonomy/taxondetails?taxnode_id=202308978","Gemycircularvirus mouti3")</f>
        <v>Gemycircularvirus mouti3</v>
      </c>
      <c r="S7358" s="18" t="s">
        <v>30</v>
      </c>
      <c r="T7358" s="18" t="s">
        <v>16380</v>
      </c>
      <c r="U7358" s="18"/>
      <c r="V7358" s="18" t="s">
        <v>16618</v>
      </c>
      <c r="W7358" s="18" t="s">
        <v>16619</v>
      </c>
      <c r="X7358" s="18" t="s">
        <v>42</v>
      </c>
      <c r="Y7358" s="18" t="s">
        <v>12266</v>
      </c>
      <c r="Z7358" s="18" t="s">
        <v>166</v>
      </c>
      <c r="AA7358" s="21" t="str">
        <f>HYPERLINK("https://www.ncbi.nlm.nih.gov/nuccore/MK032715","NCBI Nucleotide")</f>
        <v>NCBI Nucleotide</v>
      </c>
    </row>
    <row r="7359" spans="1:27" x14ac:dyDescent="0.35">
      <c r="A7359">
        <v>1008185</v>
      </c>
      <c r="B7359">
        <v>6830</v>
      </c>
      <c r="C7359">
        <v>1</v>
      </c>
      <c r="D7359" s="17" t="s">
        <v>10507</v>
      </c>
      <c r="E7359" s="17"/>
      <c r="F7359" s="17" t="s">
        <v>10780</v>
      </c>
      <c r="G7359" s="17"/>
      <c r="H7359" s="17" t="s">
        <v>12908</v>
      </c>
      <c r="I7359" s="17"/>
      <c r="J7359" s="17" t="s">
        <v>14018</v>
      </c>
      <c r="K7359" s="17"/>
      <c r="L7359" s="17" t="s">
        <v>14019</v>
      </c>
      <c r="M7359" s="17"/>
      <c r="N7359" s="17" t="s">
        <v>16378</v>
      </c>
      <c r="O7359" s="17"/>
      <c r="P7359" s="17" t="s">
        <v>16379</v>
      </c>
      <c r="Q7359" s="17"/>
      <c r="R7359" s="25" t="str">
        <f>HYPERLINK("https://ictv.global/taxonomy/taxondetails?taxnode_id=202308982","Gemycircularvirus mouti4")</f>
        <v>Gemycircularvirus mouti4</v>
      </c>
      <c r="S7359" s="18" t="s">
        <v>30</v>
      </c>
      <c r="T7359" s="18" t="s">
        <v>16380</v>
      </c>
      <c r="U7359" s="18"/>
      <c r="V7359" s="18" t="s">
        <v>16620</v>
      </c>
      <c r="W7359" s="18" t="s">
        <v>16621</v>
      </c>
      <c r="X7359" s="18" t="s">
        <v>42</v>
      </c>
      <c r="Y7359" s="18" t="s">
        <v>12266</v>
      </c>
      <c r="Z7359" s="18" t="s">
        <v>166</v>
      </c>
      <c r="AA7359" s="21" t="str">
        <f>HYPERLINK("https://www.ncbi.nlm.nih.gov/nuccore/MK032719","NCBI Nucleotide")</f>
        <v>NCBI Nucleotide</v>
      </c>
    </row>
    <row r="7360" spans="1:27" x14ac:dyDescent="0.35">
      <c r="A7360">
        <v>1008186</v>
      </c>
      <c r="B7360">
        <v>6831</v>
      </c>
      <c r="C7360">
        <v>1</v>
      </c>
      <c r="D7360" s="17" t="s">
        <v>10507</v>
      </c>
      <c r="E7360" s="17"/>
      <c r="F7360" s="17" t="s">
        <v>10780</v>
      </c>
      <c r="G7360" s="17"/>
      <c r="H7360" s="17" t="s">
        <v>12908</v>
      </c>
      <c r="I7360" s="17"/>
      <c r="J7360" s="17" t="s">
        <v>14018</v>
      </c>
      <c r="K7360" s="17"/>
      <c r="L7360" s="17" t="s">
        <v>14019</v>
      </c>
      <c r="M7360" s="17"/>
      <c r="N7360" s="17" t="s">
        <v>16378</v>
      </c>
      <c r="O7360" s="17"/>
      <c r="P7360" s="17" t="s">
        <v>16379</v>
      </c>
      <c r="Q7360" s="17"/>
      <c r="R7360" s="25" t="str">
        <f>HYPERLINK("https://ictv.global/taxonomy/taxondetails?taxnode_id=202308989","Gemycircularvirus mouti5")</f>
        <v>Gemycircularvirus mouti5</v>
      </c>
      <c r="S7360" s="18" t="s">
        <v>30</v>
      </c>
      <c r="T7360" s="18" t="s">
        <v>16380</v>
      </c>
      <c r="U7360" s="18"/>
      <c r="V7360" s="18" t="s">
        <v>16622</v>
      </c>
      <c r="W7360" s="18" t="s">
        <v>16623</v>
      </c>
      <c r="X7360" s="18" t="s">
        <v>42</v>
      </c>
      <c r="Y7360" s="18" t="s">
        <v>12266</v>
      </c>
      <c r="Z7360" s="18" t="s">
        <v>166</v>
      </c>
      <c r="AA7360" s="21" t="str">
        <f>HYPERLINK("https://www.ncbi.nlm.nih.gov/nuccore/MK032753","NCBI Nucleotide")</f>
        <v>NCBI Nucleotide</v>
      </c>
    </row>
    <row r="7361" spans="1:27" x14ac:dyDescent="0.35">
      <c r="A7361">
        <v>1008187</v>
      </c>
      <c r="B7361">
        <v>6832</v>
      </c>
      <c r="C7361">
        <v>1</v>
      </c>
      <c r="D7361" s="17" t="s">
        <v>10507</v>
      </c>
      <c r="E7361" s="17"/>
      <c r="F7361" s="17" t="s">
        <v>10780</v>
      </c>
      <c r="G7361" s="17"/>
      <c r="H7361" s="17" t="s">
        <v>12908</v>
      </c>
      <c r="I7361" s="17"/>
      <c r="J7361" s="17" t="s">
        <v>14018</v>
      </c>
      <c r="K7361" s="17"/>
      <c r="L7361" s="17" t="s">
        <v>14019</v>
      </c>
      <c r="M7361" s="17"/>
      <c r="N7361" s="17" t="s">
        <v>16378</v>
      </c>
      <c r="O7361" s="17"/>
      <c r="P7361" s="17" t="s">
        <v>16379</v>
      </c>
      <c r="Q7361" s="17"/>
      <c r="R7361" s="25" t="str">
        <f>HYPERLINK("https://ictv.global/taxonomy/taxondetails?taxnode_id=202308993","Gemycircularvirus mouti6")</f>
        <v>Gemycircularvirus mouti6</v>
      </c>
      <c r="S7361" s="18" t="s">
        <v>30</v>
      </c>
      <c r="T7361" s="18" t="s">
        <v>16380</v>
      </c>
      <c r="U7361" s="18"/>
      <c r="V7361" s="18" t="s">
        <v>16624</v>
      </c>
      <c r="W7361" s="18" t="s">
        <v>16625</v>
      </c>
      <c r="X7361" s="18" t="s">
        <v>42</v>
      </c>
      <c r="Y7361" s="18" t="s">
        <v>12266</v>
      </c>
      <c r="Z7361" s="18" t="s">
        <v>166</v>
      </c>
      <c r="AA7361" s="21" t="str">
        <f>HYPERLINK("https://www.ncbi.nlm.nih.gov/nuccore/MK032735","NCBI Nucleotide")</f>
        <v>NCBI Nucleotide</v>
      </c>
    </row>
    <row r="7362" spans="1:27" x14ac:dyDescent="0.35">
      <c r="A7362">
        <v>1008188</v>
      </c>
      <c r="B7362">
        <v>6833</v>
      </c>
      <c r="C7362">
        <v>1</v>
      </c>
      <c r="D7362" s="17" t="s">
        <v>10507</v>
      </c>
      <c r="E7362" s="17"/>
      <c r="F7362" s="17" t="s">
        <v>10780</v>
      </c>
      <c r="G7362" s="17"/>
      <c r="H7362" s="17" t="s">
        <v>12908</v>
      </c>
      <c r="I7362" s="17"/>
      <c r="J7362" s="17" t="s">
        <v>14018</v>
      </c>
      <c r="K7362" s="17"/>
      <c r="L7362" s="17" t="s">
        <v>14019</v>
      </c>
      <c r="M7362" s="17"/>
      <c r="N7362" s="17" t="s">
        <v>16378</v>
      </c>
      <c r="O7362" s="17"/>
      <c r="P7362" s="17" t="s">
        <v>16379</v>
      </c>
      <c r="Q7362" s="17"/>
      <c r="R7362" s="25" t="str">
        <f>HYPERLINK("https://ictv.global/taxonomy/taxondetails?taxnode_id=202309009","Gemycircularvirus mouti7")</f>
        <v>Gemycircularvirus mouti7</v>
      </c>
      <c r="S7362" s="18" t="s">
        <v>30</v>
      </c>
      <c r="T7362" s="18" t="s">
        <v>16380</v>
      </c>
      <c r="U7362" s="18"/>
      <c r="V7362" s="18" t="s">
        <v>16626</v>
      </c>
      <c r="W7362" s="18" t="s">
        <v>16627</v>
      </c>
      <c r="X7362" s="18" t="s">
        <v>42</v>
      </c>
      <c r="Y7362" s="18" t="s">
        <v>12266</v>
      </c>
      <c r="Z7362" s="18" t="s">
        <v>166</v>
      </c>
      <c r="AA7362" s="21" t="str">
        <f>HYPERLINK("https://www.ncbi.nlm.nih.gov/nuccore/MK032738","NCBI Nucleotide")</f>
        <v>NCBI Nucleotide</v>
      </c>
    </row>
    <row r="7363" spans="1:27" x14ac:dyDescent="0.35">
      <c r="A7363">
        <v>1008189</v>
      </c>
      <c r="B7363">
        <v>6834</v>
      </c>
      <c r="C7363">
        <v>1</v>
      </c>
      <c r="D7363" s="17" t="s">
        <v>10507</v>
      </c>
      <c r="E7363" s="17"/>
      <c r="F7363" s="17" t="s">
        <v>10780</v>
      </c>
      <c r="G7363" s="17"/>
      <c r="H7363" s="17" t="s">
        <v>12908</v>
      </c>
      <c r="I7363" s="17"/>
      <c r="J7363" s="17" t="s">
        <v>14018</v>
      </c>
      <c r="K7363" s="17"/>
      <c r="L7363" s="17" t="s">
        <v>14019</v>
      </c>
      <c r="M7363" s="17"/>
      <c r="N7363" s="17" t="s">
        <v>16378</v>
      </c>
      <c r="O7363" s="17"/>
      <c r="P7363" s="17" t="s">
        <v>16379</v>
      </c>
      <c r="Q7363" s="17"/>
      <c r="R7363" s="25" t="str">
        <f>HYPERLINK("https://ictv.global/taxonomy/taxondetails?taxnode_id=202308941","Gemycircularvirus mouti8")</f>
        <v>Gemycircularvirus mouti8</v>
      </c>
      <c r="S7363" s="18" t="s">
        <v>30</v>
      </c>
      <c r="T7363" s="18" t="s">
        <v>16380</v>
      </c>
      <c r="U7363" s="18"/>
      <c r="V7363" s="18" t="s">
        <v>16628</v>
      </c>
      <c r="W7363" s="18" t="s">
        <v>16629</v>
      </c>
      <c r="X7363" s="18" t="s">
        <v>42</v>
      </c>
      <c r="Y7363" s="18" t="s">
        <v>12266</v>
      </c>
      <c r="Z7363" s="18" t="s">
        <v>166</v>
      </c>
      <c r="AA7363" s="21" t="str">
        <f>HYPERLINK("https://www.ncbi.nlm.nih.gov/nuccore/MK032752","NCBI Nucleotide")</f>
        <v>NCBI Nucleotide</v>
      </c>
    </row>
    <row r="7364" spans="1:27" x14ac:dyDescent="0.35">
      <c r="A7364">
        <v>1008190</v>
      </c>
      <c r="B7364">
        <v>6835</v>
      </c>
      <c r="C7364">
        <v>1</v>
      </c>
      <c r="D7364" s="17" t="s">
        <v>10507</v>
      </c>
      <c r="E7364" s="17"/>
      <c r="F7364" s="17" t="s">
        <v>10780</v>
      </c>
      <c r="G7364" s="17"/>
      <c r="H7364" s="17" t="s">
        <v>12908</v>
      </c>
      <c r="I7364" s="17"/>
      <c r="J7364" s="17" t="s">
        <v>14018</v>
      </c>
      <c r="K7364" s="17"/>
      <c r="L7364" s="17" t="s">
        <v>14019</v>
      </c>
      <c r="M7364" s="17"/>
      <c r="N7364" s="17" t="s">
        <v>16378</v>
      </c>
      <c r="O7364" s="17"/>
      <c r="P7364" s="17" t="s">
        <v>16379</v>
      </c>
      <c r="Q7364" s="17"/>
      <c r="R7364" s="25" t="str">
        <f>HYPERLINK("https://ictv.global/taxonomy/taxondetails?taxnode_id=202308948","Gemycircularvirus mouti9")</f>
        <v>Gemycircularvirus mouti9</v>
      </c>
      <c r="S7364" s="18" t="s">
        <v>30</v>
      </c>
      <c r="T7364" s="18" t="s">
        <v>16380</v>
      </c>
      <c r="U7364" s="18"/>
      <c r="V7364" s="18" t="s">
        <v>16630</v>
      </c>
      <c r="W7364" s="18" t="s">
        <v>16631</v>
      </c>
      <c r="X7364" s="18" t="s">
        <v>42</v>
      </c>
      <c r="Y7364" s="18" t="s">
        <v>12266</v>
      </c>
      <c r="Z7364" s="18" t="s">
        <v>166</v>
      </c>
      <c r="AA7364" s="21" t="str">
        <f>HYPERLINK("https://www.ncbi.nlm.nih.gov/nuccore/MK032714","NCBI Nucleotide")</f>
        <v>NCBI Nucleotide</v>
      </c>
    </row>
    <row r="7365" spans="1:27" x14ac:dyDescent="0.35">
      <c r="A7365">
        <v>1008180</v>
      </c>
      <c r="B7365">
        <v>6836</v>
      </c>
      <c r="C7365">
        <v>1</v>
      </c>
      <c r="D7365" s="17" t="s">
        <v>10507</v>
      </c>
      <c r="E7365" s="17"/>
      <c r="F7365" s="17" t="s">
        <v>10780</v>
      </c>
      <c r="G7365" s="17"/>
      <c r="H7365" s="17" t="s">
        <v>12908</v>
      </c>
      <c r="I7365" s="17"/>
      <c r="J7365" s="17" t="s">
        <v>14018</v>
      </c>
      <c r="K7365" s="17"/>
      <c r="L7365" s="17" t="s">
        <v>14019</v>
      </c>
      <c r="M7365" s="17"/>
      <c r="N7365" s="17" t="s">
        <v>16378</v>
      </c>
      <c r="O7365" s="17"/>
      <c r="P7365" s="17" t="s">
        <v>16379</v>
      </c>
      <c r="Q7365" s="17"/>
      <c r="R7365" s="25" t="str">
        <f>HYPERLINK("https://ictv.global/taxonomy/taxondetails?taxnode_id=202308951","Gemycircularvirus mouti10")</f>
        <v>Gemycircularvirus mouti10</v>
      </c>
      <c r="S7365" s="18" t="s">
        <v>30</v>
      </c>
      <c r="T7365" s="18" t="s">
        <v>16380</v>
      </c>
      <c r="U7365" s="18"/>
      <c r="V7365" s="18" t="s">
        <v>16610</v>
      </c>
      <c r="W7365" s="18" t="s">
        <v>16611</v>
      </c>
      <c r="X7365" s="18" t="s">
        <v>42</v>
      </c>
      <c r="Y7365" s="18" t="s">
        <v>12266</v>
      </c>
      <c r="Z7365" s="18" t="s">
        <v>166</v>
      </c>
      <c r="AA7365" s="21" t="str">
        <f>HYPERLINK("https://www.ncbi.nlm.nih.gov/nuccore/MK032705","NCBI Nucleotide")</f>
        <v>NCBI Nucleotide</v>
      </c>
    </row>
    <row r="7366" spans="1:27" x14ac:dyDescent="0.35">
      <c r="A7366">
        <v>1008181</v>
      </c>
      <c r="B7366">
        <v>6837</v>
      </c>
      <c r="C7366">
        <v>1</v>
      </c>
      <c r="D7366" s="17" t="s">
        <v>10507</v>
      </c>
      <c r="E7366" s="17"/>
      <c r="F7366" s="17" t="s">
        <v>10780</v>
      </c>
      <c r="G7366" s="17"/>
      <c r="H7366" s="17" t="s">
        <v>12908</v>
      </c>
      <c r="I7366" s="17"/>
      <c r="J7366" s="17" t="s">
        <v>14018</v>
      </c>
      <c r="K7366" s="17"/>
      <c r="L7366" s="17" t="s">
        <v>14019</v>
      </c>
      <c r="M7366" s="17"/>
      <c r="N7366" s="17" t="s">
        <v>16378</v>
      </c>
      <c r="O7366" s="17"/>
      <c r="P7366" s="17" t="s">
        <v>16379</v>
      </c>
      <c r="Q7366" s="17"/>
      <c r="R7366" s="25" t="str">
        <f>HYPERLINK("https://ictv.global/taxonomy/taxondetails?taxnode_id=202308952","Gemycircularvirus mouti11")</f>
        <v>Gemycircularvirus mouti11</v>
      </c>
      <c r="S7366" s="18" t="s">
        <v>30</v>
      </c>
      <c r="T7366" s="18" t="s">
        <v>16380</v>
      </c>
      <c r="U7366" s="18"/>
      <c r="V7366" s="18" t="s">
        <v>16612</v>
      </c>
      <c r="W7366" s="18" t="s">
        <v>16613</v>
      </c>
      <c r="X7366" s="18" t="s">
        <v>42</v>
      </c>
      <c r="Y7366" s="18" t="s">
        <v>12266</v>
      </c>
      <c r="Z7366" s="18" t="s">
        <v>166</v>
      </c>
      <c r="AA7366" s="21" t="str">
        <f>HYPERLINK("https://www.ncbi.nlm.nih.gov/nuccore/MK032718","NCBI Nucleotide")</f>
        <v>NCBI Nucleotide</v>
      </c>
    </row>
    <row r="7367" spans="1:27" x14ac:dyDescent="0.35">
      <c r="A7367">
        <v>1008182</v>
      </c>
      <c r="B7367">
        <v>6838</v>
      </c>
      <c r="C7367">
        <v>1</v>
      </c>
      <c r="D7367" s="17" t="s">
        <v>10507</v>
      </c>
      <c r="E7367" s="17"/>
      <c r="F7367" s="17" t="s">
        <v>10780</v>
      </c>
      <c r="G7367" s="17"/>
      <c r="H7367" s="17" t="s">
        <v>12908</v>
      </c>
      <c r="I7367" s="17"/>
      <c r="J7367" s="17" t="s">
        <v>14018</v>
      </c>
      <c r="K7367" s="17"/>
      <c r="L7367" s="17" t="s">
        <v>14019</v>
      </c>
      <c r="M7367" s="17"/>
      <c r="N7367" s="17" t="s">
        <v>16378</v>
      </c>
      <c r="O7367" s="17"/>
      <c r="P7367" s="17" t="s">
        <v>16379</v>
      </c>
      <c r="Q7367" s="17"/>
      <c r="R7367" s="25" t="str">
        <f>HYPERLINK("https://ictv.global/taxonomy/taxondetails?taxnode_id=202308985","Gemycircularvirus mouti12")</f>
        <v>Gemycircularvirus mouti12</v>
      </c>
      <c r="S7367" s="18" t="s">
        <v>30</v>
      </c>
      <c r="T7367" s="18" t="s">
        <v>16380</v>
      </c>
      <c r="U7367" s="18"/>
      <c r="V7367" s="18" t="s">
        <v>16614</v>
      </c>
      <c r="W7367" s="18" t="s">
        <v>16615</v>
      </c>
      <c r="X7367" s="18" t="s">
        <v>42</v>
      </c>
      <c r="Y7367" s="18" t="s">
        <v>12266</v>
      </c>
      <c r="Z7367" s="18" t="s">
        <v>166</v>
      </c>
      <c r="AA7367" s="21" t="str">
        <f>HYPERLINK("https://www.ncbi.nlm.nih.gov/nuccore/MK032702","NCBI Nucleotide")</f>
        <v>NCBI Nucleotide</v>
      </c>
    </row>
    <row r="7368" spans="1:27" x14ac:dyDescent="0.35">
      <c r="A7368">
        <v>1008191</v>
      </c>
      <c r="B7368">
        <v>6839</v>
      </c>
      <c r="C7368">
        <v>1</v>
      </c>
      <c r="D7368" s="17" t="s">
        <v>10507</v>
      </c>
      <c r="E7368" s="17"/>
      <c r="F7368" s="17" t="s">
        <v>10780</v>
      </c>
      <c r="G7368" s="17"/>
      <c r="H7368" s="17" t="s">
        <v>12908</v>
      </c>
      <c r="I7368" s="17"/>
      <c r="J7368" s="17" t="s">
        <v>14018</v>
      </c>
      <c r="K7368" s="17"/>
      <c r="L7368" s="17" t="s">
        <v>14019</v>
      </c>
      <c r="M7368" s="17"/>
      <c r="N7368" s="17" t="s">
        <v>16378</v>
      </c>
      <c r="O7368" s="17"/>
      <c r="P7368" s="17" t="s">
        <v>16379</v>
      </c>
      <c r="Q7368" s="17"/>
      <c r="R7368" s="25" t="str">
        <f>HYPERLINK("https://ictv.global/taxonomy/taxondetails?taxnode_id=202303572","Gemycircularvirus odona1")</f>
        <v>Gemycircularvirus odona1</v>
      </c>
      <c r="S7368" s="18" t="s">
        <v>30</v>
      </c>
      <c r="T7368" s="18" t="s">
        <v>16632</v>
      </c>
      <c r="U7368" s="18" t="s">
        <v>16633</v>
      </c>
      <c r="V7368" s="18" t="s">
        <v>16634</v>
      </c>
      <c r="W7368" s="18" t="s">
        <v>16635</v>
      </c>
      <c r="X7368" s="18" t="s">
        <v>42</v>
      </c>
      <c r="Y7368" s="18" t="s">
        <v>12266</v>
      </c>
      <c r="Z7368" s="18" t="s">
        <v>10790</v>
      </c>
      <c r="AA7368" s="21" t="str">
        <f>HYPERLINK("https://www.ncbi.nlm.nih.gov/nuccore/KM598385","NCBI Nucleotide")</f>
        <v>NCBI Nucleotide</v>
      </c>
    </row>
    <row r="7369" spans="1:27" x14ac:dyDescent="0.35">
      <c r="A7369">
        <v>1008192</v>
      </c>
      <c r="B7369">
        <v>6840</v>
      </c>
      <c r="C7369">
        <v>1</v>
      </c>
      <c r="D7369" s="17" t="s">
        <v>10507</v>
      </c>
      <c r="E7369" s="17"/>
      <c r="F7369" s="17" t="s">
        <v>10780</v>
      </c>
      <c r="G7369" s="17"/>
      <c r="H7369" s="17" t="s">
        <v>12908</v>
      </c>
      <c r="I7369" s="17"/>
      <c r="J7369" s="17" t="s">
        <v>14018</v>
      </c>
      <c r="K7369" s="17"/>
      <c r="L7369" s="17" t="s">
        <v>14019</v>
      </c>
      <c r="M7369" s="17"/>
      <c r="N7369" s="17" t="s">
        <v>16378</v>
      </c>
      <c r="O7369" s="17"/>
      <c r="P7369" s="17" t="s">
        <v>16379</v>
      </c>
      <c r="Q7369" s="17"/>
      <c r="R7369" s="25" t="str">
        <f>HYPERLINK("https://ictv.global/taxonomy/taxondetails?taxnode_id=202303573","Gemycircularvirus odona2")</f>
        <v>Gemycircularvirus odona2</v>
      </c>
      <c r="S7369" s="18" t="s">
        <v>30</v>
      </c>
      <c r="T7369" s="18" t="s">
        <v>16636</v>
      </c>
      <c r="U7369" s="18" t="s">
        <v>16637</v>
      </c>
      <c r="V7369" s="18" t="s">
        <v>16638</v>
      </c>
      <c r="W7369" s="18" t="s">
        <v>16639</v>
      </c>
      <c r="X7369" s="18" t="s">
        <v>42</v>
      </c>
      <c r="Y7369" s="18" t="s">
        <v>12266</v>
      </c>
      <c r="Z7369" s="18" t="s">
        <v>10790</v>
      </c>
      <c r="AA7369" s="21" t="str">
        <f>HYPERLINK("https://www.ncbi.nlm.nih.gov/nuccore/KM598387","NCBI Nucleotide")</f>
        <v>NCBI Nucleotide</v>
      </c>
    </row>
    <row r="7370" spans="1:27" x14ac:dyDescent="0.35">
      <c r="A7370">
        <v>1008193</v>
      </c>
      <c r="B7370">
        <v>6841</v>
      </c>
      <c r="C7370">
        <v>1</v>
      </c>
      <c r="D7370" s="17" t="s">
        <v>10507</v>
      </c>
      <c r="E7370" s="17"/>
      <c r="F7370" s="17" t="s">
        <v>10780</v>
      </c>
      <c r="G7370" s="17"/>
      <c r="H7370" s="17" t="s">
        <v>12908</v>
      </c>
      <c r="I7370" s="17"/>
      <c r="J7370" s="17" t="s">
        <v>14018</v>
      </c>
      <c r="K7370" s="17"/>
      <c r="L7370" s="17" t="s">
        <v>14019</v>
      </c>
      <c r="M7370" s="17"/>
      <c r="N7370" s="17" t="s">
        <v>16378</v>
      </c>
      <c r="O7370" s="17"/>
      <c r="P7370" s="17" t="s">
        <v>16379</v>
      </c>
      <c r="Q7370" s="17"/>
      <c r="R7370" s="25" t="str">
        <f>HYPERLINK("https://ictv.global/taxonomy/taxondetails?taxnode_id=202308969","Gemycircularvirus oltre1")</f>
        <v>Gemycircularvirus oltre1</v>
      </c>
      <c r="S7370" s="18" t="s">
        <v>30</v>
      </c>
      <c r="T7370" s="18" t="s">
        <v>16640</v>
      </c>
      <c r="U7370" s="18"/>
      <c r="V7370" s="18" t="s">
        <v>16641</v>
      </c>
      <c r="W7370" s="18" t="s">
        <v>16642</v>
      </c>
      <c r="X7370" s="18" t="s">
        <v>42</v>
      </c>
      <c r="Y7370" s="18" t="s">
        <v>12266</v>
      </c>
      <c r="Z7370" s="18" t="s">
        <v>13441</v>
      </c>
      <c r="AA7370" s="21" t="str">
        <f>HYPERLINK("https://www.ncbi.nlm.nih.gov/nuccore/MH444690","NCBI Nucleotide")</f>
        <v>NCBI Nucleotide</v>
      </c>
    </row>
    <row r="7371" spans="1:27" x14ac:dyDescent="0.35">
      <c r="A7371">
        <v>1008194</v>
      </c>
      <c r="B7371">
        <v>6842</v>
      </c>
      <c r="C7371">
        <v>1</v>
      </c>
      <c r="D7371" s="17" t="s">
        <v>10507</v>
      </c>
      <c r="E7371" s="17"/>
      <c r="F7371" s="17" t="s">
        <v>10780</v>
      </c>
      <c r="G7371" s="17"/>
      <c r="H7371" s="17" t="s">
        <v>12908</v>
      </c>
      <c r="I7371" s="17"/>
      <c r="J7371" s="17" t="s">
        <v>14018</v>
      </c>
      <c r="K7371" s="17"/>
      <c r="L7371" s="17" t="s">
        <v>14019</v>
      </c>
      <c r="M7371" s="17"/>
      <c r="N7371" s="17" t="s">
        <v>16378</v>
      </c>
      <c r="O7371" s="17"/>
      <c r="P7371" s="17" t="s">
        <v>16379</v>
      </c>
      <c r="Q7371" s="17"/>
      <c r="R7371" s="25" t="str">
        <f>HYPERLINK("https://ictv.global/taxonomy/taxondetails?taxnode_id=202309007","Gemycircularvirus opunt1")</f>
        <v>Gemycircularvirus opunt1</v>
      </c>
      <c r="S7371" s="18" t="s">
        <v>30</v>
      </c>
      <c r="T7371" s="18" t="s">
        <v>16643</v>
      </c>
      <c r="U7371" s="18"/>
      <c r="V7371" s="18" t="s">
        <v>16644</v>
      </c>
      <c r="W7371" s="18" t="s">
        <v>16645</v>
      </c>
      <c r="X7371" s="18" t="s">
        <v>42</v>
      </c>
      <c r="Y7371" s="18" t="s">
        <v>12266</v>
      </c>
      <c r="Z7371" s="18" t="s">
        <v>13441</v>
      </c>
      <c r="AA7371" s="21" t="str">
        <f>HYPERLINK("https://www.ncbi.nlm.nih.gov/nuccore/MK947372","NCBI Nucleotide")</f>
        <v>NCBI Nucleotide</v>
      </c>
    </row>
    <row r="7372" spans="1:27" x14ac:dyDescent="0.35">
      <c r="A7372">
        <v>1008195</v>
      </c>
      <c r="B7372">
        <v>6843</v>
      </c>
      <c r="C7372">
        <v>1</v>
      </c>
      <c r="D7372" s="17" t="s">
        <v>10507</v>
      </c>
      <c r="E7372" s="17"/>
      <c r="F7372" s="17" t="s">
        <v>10780</v>
      </c>
      <c r="G7372" s="17"/>
      <c r="H7372" s="17" t="s">
        <v>12908</v>
      </c>
      <c r="I7372" s="17"/>
      <c r="J7372" s="17" t="s">
        <v>14018</v>
      </c>
      <c r="K7372" s="17"/>
      <c r="L7372" s="17" t="s">
        <v>14019</v>
      </c>
      <c r="M7372" s="17"/>
      <c r="N7372" s="17" t="s">
        <v>16378</v>
      </c>
      <c r="O7372" s="17"/>
      <c r="P7372" s="17" t="s">
        <v>16379</v>
      </c>
      <c r="Q7372" s="17"/>
      <c r="R7372" s="25" t="str">
        <f>HYPERLINK("https://ictv.global/taxonomy/taxondetails?taxnode_id=202308974","Gemycircularvirus oxcor1")</f>
        <v>Gemycircularvirus oxcor1</v>
      </c>
      <c r="S7372" s="18" t="s">
        <v>30</v>
      </c>
      <c r="T7372" s="18" t="s">
        <v>16646</v>
      </c>
      <c r="U7372" s="18"/>
      <c r="V7372" s="18" t="s">
        <v>16647</v>
      </c>
      <c r="W7372" s="18" t="s">
        <v>16648</v>
      </c>
      <c r="X7372" s="18" t="s">
        <v>42</v>
      </c>
      <c r="Y7372" s="18" t="s">
        <v>12266</v>
      </c>
      <c r="Z7372" s="18" t="s">
        <v>13441</v>
      </c>
      <c r="AA7372" s="21" t="str">
        <f>HYPERLINK("https://www.ncbi.nlm.nih.gov/nuccore/MN823668","NCBI Nucleotide")</f>
        <v>NCBI Nucleotide</v>
      </c>
    </row>
    <row r="7373" spans="1:27" x14ac:dyDescent="0.35">
      <c r="A7373">
        <v>1008196</v>
      </c>
      <c r="B7373">
        <v>6844</v>
      </c>
      <c r="C7373">
        <v>1</v>
      </c>
      <c r="D7373" s="17" t="s">
        <v>10507</v>
      </c>
      <c r="E7373" s="17"/>
      <c r="F7373" s="17" t="s">
        <v>10780</v>
      </c>
      <c r="G7373" s="17"/>
      <c r="H7373" s="17" t="s">
        <v>12908</v>
      </c>
      <c r="I7373" s="17"/>
      <c r="J7373" s="17" t="s">
        <v>14018</v>
      </c>
      <c r="K7373" s="17"/>
      <c r="L7373" s="17" t="s">
        <v>14019</v>
      </c>
      <c r="M7373" s="17"/>
      <c r="N7373" s="17" t="s">
        <v>16378</v>
      </c>
      <c r="O7373" s="17"/>
      <c r="P7373" s="17" t="s">
        <v>16379</v>
      </c>
      <c r="Q7373" s="17"/>
      <c r="R7373" s="25" t="str">
        <f>HYPERLINK("https://ictv.global/taxonomy/taxondetails?taxnode_id=202308986","Gemycircularvirus pleca1")</f>
        <v>Gemycircularvirus pleca1</v>
      </c>
      <c r="S7373" s="18" t="s">
        <v>30</v>
      </c>
      <c r="T7373" s="18" t="s">
        <v>16649</v>
      </c>
      <c r="U7373" s="18"/>
      <c r="V7373" s="18" t="s">
        <v>16650</v>
      </c>
      <c r="W7373" s="18" t="s">
        <v>16651</v>
      </c>
      <c r="X7373" s="18" t="s">
        <v>42</v>
      </c>
      <c r="Y7373" s="18" t="s">
        <v>12266</v>
      </c>
      <c r="Z7373" s="18" t="s">
        <v>166</v>
      </c>
      <c r="AA7373" s="21" t="str">
        <f>HYPERLINK("https://www.ncbi.nlm.nih.gov/nuccore/KY302866","NCBI Nucleotide")</f>
        <v>NCBI Nucleotide</v>
      </c>
    </row>
    <row r="7374" spans="1:27" x14ac:dyDescent="0.35">
      <c r="A7374">
        <v>1008197</v>
      </c>
      <c r="B7374">
        <v>6845</v>
      </c>
      <c r="C7374">
        <v>1</v>
      </c>
      <c r="D7374" s="17" t="s">
        <v>10507</v>
      </c>
      <c r="E7374" s="17"/>
      <c r="F7374" s="17" t="s">
        <v>10780</v>
      </c>
      <c r="G7374" s="17"/>
      <c r="H7374" s="17" t="s">
        <v>12908</v>
      </c>
      <c r="I7374" s="17"/>
      <c r="J7374" s="17" t="s">
        <v>14018</v>
      </c>
      <c r="K7374" s="17"/>
      <c r="L7374" s="17" t="s">
        <v>14019</v>
      </c>
      <c r="M7374" s="17"/>
      <c r="N7374" s="17" t="s">
        <v>16378</v>
      </c>
      <c r="O7374" s="17"/>
      <c r="P7374" s="17" t="s">
        <v>16379</v>
      </c>
      <c r="Q7374" s="17"/>
      <c r="R7374" s="25" t="str">
        <f>HYPERLINK("https://ictv.global/taxonomy/taxondetails?taxnode_id=202303574","Gemycircularvirus poass1")</f>
        <v>Gemycircularvirus poass1</v>
      </c>
      <c r="S7374" s="18" t="s">
        <v>30</v>
      </c>
      <c r="T7374" s="18" t="s">
        <v>16652</v>
      </c>
      <c r="U7374" s="18" t="s">
        <v>16653</v>
      </c>
      <c r="V7374" s="18" t="s">
        <v>16654</v>
      </c>
      <c r="W7374" s="18" t="s">
        <v>16655</v>
      </c>
      <c r="X7374" s="18" t="s">
        <v>42</v>
      </c>
      <c r="Y7374" s="18" t="s">
        <v>12266</v>
      </c>
      <c r="Z7374" s="18" t="s">
        <v>13441</v>
      </c>
      <c r="AA7374" s="21" t="str">
        <f>HYPERLINK("https://www.ncbi.nlm.nih.gov/nuccore/KT253577","NCBI Nucleotide")</f>
        <v>NCBI Nucleotide</v>
      </c>
    </row>
    <row r="7375" spans="1:27" x14ac:dyDescent="0.35">
      <c r="A7375">
        <v>1008198</v>
      </c>
      <c r="B7375">
        <v>6846</v>
      </c>
      <c r="C7375">
        <v>1</v>
      </c>
      <c r="D7375" s="17" t="s">
        <v>10507</v>
      </c>
      <c r="E7375" s="17"/>
      <c r="F7375" s="17" t="s">
        <v>10780</v>
      </c>
      <c r="G7375" s="17"/>
      <c r="H7375" s="17" t="s">
        <v>12908</v>
      </c>
      <c r="I7375" s="17"/>
      <c r="J7375" s="17" t="s">
        <v>14018</v>
      </c>
      <c r="K7375" s="17"/>
      <c r="L7375" s="17" t="s">
        <v>14019</v>
      </c>
      <c r="M7375" s="17"/>
      <c r="N7375" s="17" t="s">
        <v>16378</v>
      </c>
      <c r="O7375" s="17"/>
      <c r="P7375" s="17" t="s">
        <v>16379</v>
      </c>
      <c r="Q7375" s="17"/>
      <c r="R7375" s="25" t="str">
        <f>HYPERLINK("https://ictv.global/taxonomy/taxondetails?taxnode_id=202303575","Gemycircularvirus porci1")</f>
        <v>Gemycircularvirus porci1</v>
      </c>
      <c r="S7375" s="18" t="s">
        <v>30</v>
      </c>
      <c r="T7375" s="18" t="s">
        <v>16656</v>
      </c>
      <c r="U7375" s="18" t="s">
        <v>16657</v>
      </c>
      <c r="V7375" s="18" t="s">
        <v>16658</v>
      </c>
      <c r="W7375" s="18" t="s">
        <v>16659</v>
      </c>
      <c r="X7375" s="18" t="s">
        <v>42</v>
      </c>
      <c r="Y7375" s="18" t="s">
        <v>12266</v>
      </c>
      <c r="Z7375" s="18" t="s">
        <v>166</v>
      </c>
      <c r="AA7375" s="21" t="str">
        <f>HYPERLINK("https://www.ncbi.nlm.nih.gov/nuccore/KT862250","NCBI Nucleotide")</f>
        <v>NCBI Nucleotide</v>
      </c>
    </row>
    <row r="7376" spans="1:27" x14ac:dyDescent="0.35">
      <c r="A7376">
        <v>1008199</v>
      </c>
      <c r="B7376">
        <v>6847</v>
      </c>
      <c r="C7376">
        <v>1</v>
      </c>
      <c r="D7376" s="17" t="s">
        <v>10507</v>
      </c>
      <c r="E7376" s="17"/>
      <c r="F7376" s="17" t="s">
        <v>10780</v>
      </c>
      <c r="G7376" s="17"/>
      <c r="H7376" s="17" t="s">
        <v>12908</v>
      </c>
      <c r="I7376" s="17"/>
      <c r="J7376" s="17" t="s">
        <v>14018</v>
      </c>
      <c r="K7376" s="17"/>
      <c r="L7376" s="17" t="s">
        <v>14019</v>
      </c>
      <c r="M7376" s="17"/>
      <c r="N7376" s="17" t="s">
        <v>16378</v>
      </c>
      <c r="O7376" s="17"/>
      <c r="P7376" s="17" t="s">
        <v>16379</v>
      </c>
      <c r="Q7376" s="17"/>
      <c r="R7376" s="25" t="str">
        <f>HYPERLINK("https://ictv.global/taxonomy/taxondetails?taxnode_id=202303576","Gemycircularvirus porci2")</f>
        <v>Gemycircularvirus porci2</v>
      </c>
      <c r="S7376" s="18" t="s">
        <v>30</v>
      </c>
      <c r="T7376" s="18" t="s">
        <v>16660</v>
      </c>
      <c r="U7376" s="18" t="s">
        <v>16661</v>
      </c>
      <c r="V7376" s="18" t="s">
        <v>16662</v>
      </c>
      <c r="W7376" s="18" t="s">
        <v>16663</v>
      </c>
      <c r="X7376" s="18" t="s">
        <v>42</v>
      </c>
      <c r="Y7376" s="18" t="s">
        <v>12266</v>
      </c>
      <c r="Z7376" s="18" t="s">
        <v>166</v>
      </c>
      <c r="AA7376" s="21" t="str">
        <f>HYPERLINK("https://www.ncbi.nlm.nih.gov/nuccore/KF371640","NCBI Nucleotide")</f>
        <v>NCBI Nucleotide</v>
      </c>
    </row>
    <row r="7377" spans="1:27" x14ac:dyDescent="0.35">
      <c r="A7377">
        <v>1008200</v>
      </c>
      <c r="B7377">
        <v>6848</v>
      </c>
      <c r="C7377">
        <v>1</v>
      </c>
      <c r="D7377" s="17" t="s">
        <v>10507</v>
      </c>
      <c r="E7377" s="17"/>
      <c r="F7377" s="17" t="s">
        <v>10780</v>
      </c>
      <c r="G7377" s="17"/>
      <c r="H7377" s="17" t="s">
        <v>12908</v>
      </c>
      <c r="I7377" s="17"/>
      <c r="J7377" s="17" t="s">
        <v>14018</v>
      </c>
      <c r="K7377" s="17"/>
      <c r="L7377" s="17" t="s">
        <v>14019</v>
      </c>
      <c r="M7377" s="17"/>
      <c r="N7377" s="17" t="s">
        <v>16378</v>
      </c>
      <c r="O7377" s="17"/>
      <c r="P7377" s="17" t="s">
        <v>16379</v>
      </c>
      <c r="Q7377" s="17"/>
      <c r="R7377" s="25" t="str">
        <f>HYPERLINK("https://ictv.global/taxonomy/taxondetails?taxnode_id=202303577","Gemycircularvirus ptero1")</f>
        <v>Gemycircularvirus ptero1</v>
      </c>
      <c r="S7377" s="18" t="s">
        <v>30</v>
      </c>
      <c r="T7377" s="18" t="s">
        <v>16664</v>
      </c>
      <c r="U7377" s="18" t="s">
        <v>16665</v>
      </c>
      <c r="V7377" s="18" t="s">
        <v>16666</v>
      </c>
      <c r="W7377" s="18" t="s">
        <v>16667</v>
      </c>
      <c r="X7377" s="18" t="s">
        <v>42</v>
      </c>
      <c r="Y7377" s="18" t="s">
        <v>12266</v>
      </c>
      <c r="Z7377" s="18" t="s">
        <v>166</v>
      </c>
      <c r="AA7377" s="21" t="str">
        <f>HYPERLINK("https://www.ncbi.nlm.nih.gov/nuccore/KT732804","NCBI Nucleotide")</f>
        <v>NCBI Nucleotide</v>
      </c>
    </row>
    <row r="7378" spans="1:27" x14ac:dyDescent="0.35">
      <c r="A7378">
        <v>1008202</v>
      </c>
      <c r="B7378">
        <v>6849</v>
      </c>
      <c r="C7378">
        <v>1</v>
      </c>
      <c r="D7378" s="17" t="s">
        <v>10507</v>
      </c>
      <c r="E7378" s="17"/>
      <c r="F7378" s="17" t="s">
        <v>10780</v>
      </c>
      <c r="G7378" s="17"/>
      <c r="H7378" s="17" t="s">
        <v>12908</v>
      </c>
      <c r="I7378" s="17"/>
      <c r="J7378" s="17" t="s">
        <v>14018</v>
      </c>
      <c r="K7378" s="17"/>
      <c r="L7378" s="17" t="s">
        <v>14019</v>
      </c>
      <c r="M7378" s="17"/>
      <c r="N7378" s="17" t="s">
        <v>16378</v>
      </c>
      <c r="O7378" s="17"/>
      <c r="P7378" s="17" t="s">
        <v>16379</v>
      </c>
      <c r="Q7378" s="17"/>
      <c r="R7378" s="25" t="str">
        <f>HYPERLINK("https://ictv.global/taxonomy/taxondetails?taxnode_id=202303578","Gemycircularvirus ptero2")</f>
        <v>Gemycircularvirus ptero2</v>
      </c>
      <c r="S7378" s="18" t="s">
        <v>30</v>
      </c>
      <c r="T7378" s="18" t="s">
        <v>16672</v>
      </c>
      <c r="U7378" s="18" t="s">
        <v>16673</v>
      </c>
      <c r="V7378" s="18" t="s">
        <v>16674</v>
      </c>
      <c r="W7378" s="18" t="s">
        <v>16675</v>
      </c>
      <c r="X7378" s="18" t="s">
        <v>42</v>
      </c>
      <c r="Y7378" s="18" t="s">
        <v>12266</v>
      </c>
      <c r="Z7378" s="18" t="s">
        <v>166</v>
      </c>
      <c r="AA7378" s="21" t="str">
        <f>HYPERLINK("https://www.ncbi.nlm.nih.gov/nuccore/KT732792","NCBI Nucleotide")</f>
        <v>NCBI Nucleotide</v>
      </c>
    </row>
    <row r="7379" spans="1:27" x14ac:dyDescent="0.35">
      <c r="A7379">
        <v>1008203</v>
      </c>
      <c r="B7379">
        <v>6850</v>
      </c>
      <c r="C7379">
        <v>1</v>
      </c>
      <c r="D7379" s="17" t="s">
        <v>10507</v>
      </c>
      <c r="E7379" s="17"/>
      <c r="F7379" s="17" t="s">
        <v>10780</v>
      </c>
      <c r="G7379" s="17"/>
      <c r="H7379" s="17" t="s">
        <v>12908</v>
      </c>
      <c r="I7379" s="17"/>
      <c r="J7379" s="17" t="s">
        <v>14018</v>
      </c>
      <c r="K7379" s="17"/>
      <c r="L7379" s="17" t="s">
        <v>14019</v>
      </c>
      <c r="M7379" s="17"/>
      <c r="N7379" s="17" t="s">
        <v>16378</v>
      </c>
      <c r="O7379" s="17"/>
      <c r="P7379" s="17" t="s">
        <v>16379</v>
      </c>
      <c r="Q7379" s="17"/>
      <c r="R7379" s="25" t="str">
        <f>HYPERLINK("https://ictv.global/taxonomy/taxondetails?taxnode_id=202303579","Gemycircularvirus ptero3")</f>
        <v>Gemycircularvirus ptero3</v>
      </c>
      <c r="S7379" s="18" t="s">
        <v>30</v>
      </c>
      <c r="T7379" s="18" t="s">
        <v>16676</v>
      </c>
      <c r="U7379" s="18" t="s">
        <v>16677</v>
      </c>
      <c r="V7379" s="18" t="s">
        <v>16678</v>
      </c>
      <c r="W7379" s="18" t="s">
        <v>16679</v>
      </c>
      <c r="X7379" s="18" t="s">
        <v>42</v>
      </c>
      <c r="Y7379" s="18" t="s">
        <v>12266</v>
      </c>
      <c r="Z7379" s="18" t="s">
        <v>166</v>
      </c>
      <c r="AA7379" s="21" t="str">
        <f>HYPERLINK("https://www.ncbi.nlm.nih.gov/nuccore/KT732797","NCBI Nucleotide")</f>
        <v>NCBI Nucleotide</v>
      </c>
    </row>
    <row r="7380" spans="1:27" x14ac:dyDescent="0.35">
      <c r="A7380">
        <v>1008204</v>
      </c>
      <c r="B7380">
        <v>6851</v>
      </c>
      <c r="C7380">
        <v>1</v>
      </c>
      <c r="D7380" s="17" t="s">
        <v>10507</v>
      </c>
      <c r="E7380" s="17"/>
      <c r="F7380" s="17" t="s">
        <v>10780</v>
      </c>
      <c r="G7380" s="17"/>
      <c r="H7380" s="17" t="s">
        <v>12908</v>
      </c>
      <c r="I7380" s="17"/>
      <c r="J7380" s="17" t="s">
        <v>14018</v>
      </c>
      <c r="K7380" s="17"/>
      <c r="L7380" s="17" t="s">
        <v>14019</v>
      </c>
      <c r="M7380" s="17"/>
      <c r="N7380" s="17" t="s">
        <v>16378</v>
      </c>
      <c r="O7380" s="17"/>
      <c r="P7380" s="17" t="s">
        <v>16379</v>
      </c>
      <c r="Q7380" s="17"/>
      <c r="R7380" s="25" t="str">
        <f>HYPERLINK("https://ictv.global/taxonomy/taxondetails?taxnode_id=202303580","Gemycircularvirus ptero4")</f>
        <v>Gemycircularvirus ptero4</v>
      </c>
      <c r="S7380" s="18" t="s">
        <v>30</v>
      </c>
      <c r="T7380" s="18" t="s">
        <v>16680</v>
      </c>
      <c r="U7380" s="18" t="s">
        <v>16681</v>
      </c>
      <c r="V7380" s="18" t="s">
        <v>16682</v>
      </c>
      <c r="W7380" s="18" t="s">
        <v>16683</v>
      </c>
      <c r="X7380" s="18" t="s">
        <v>42</v>
      </c>
      <c r="Y7380" s="18" t="s">
        <v>12266</v>
      </c>
      <c r="Z7380" s="18" t="s">
        <v>166</v>
      </c>
      <c r="AA7380" s="21" t="str">
        <f>HYPERLINK("https://www.ncbi.nlm.nih.gov/nuccore/KT732814","NCBI Nucleotide")</f>
        <v>NCBI Nucleotide</v>
      </c>
    </row>
    <row r="7381" spans="1:27" x14ac:dyDescent="0.35">
      <c r="A7381">
        <v>1008205</v>
      </c>
      <c r="B7381">
        <v>6852</v>
      </c>
      <c r="C7381">
        <v>1</v>
      </c>
      <c r="D7381" s="17" t="s">
        <v>10507</v>
      </c>
      <c r="E7381" s="17"/>
      <c r="F7381" s="17" t="s">
        <v>10780</v>
      </c>
      <c r="G7381" s="17"/>
      <c r="H7381" s="17" t="s">
        <v>12908</v>
      </c>
      <c r="I7381" s="17"/>
      <c r="J7381" s="17" t="s">
        <v>14018</v>
      </c>
      <c r="K7381" s="17"/>
      <c r="L7381" s="17" t="s">
        <v>14019</v>
      </c>
      <c r="M7381" s="17"/>
      <c r="N7381" s="17" t="s">
        <v>16378</v>
      </c>
      <c r="O7381" s="17"/>
      <c r="P7381" s="17" t="s">
        <v>16379</v>
      </c>
      <c r="Q7381" s="17"/>
      <c r="R7381" s="25" t="str">
        <f>HYPERLINK("https://ictv.global/taxonomy/taxondetails?taxnode_id=202303581","Gemycircularvirus ptero5")</f>
        <v>Gemycircularvirus ptero5</v>
      </c>
      <c r="S7381" s="18" t="s">
        <v>30</v>
      </c>
      <c r="T7381" s="18" t="s">
        <v>16684</v>
      </c>
      <c r="U7381" s="18" t="s">
        <v>16685</v>
      </c>
      <c r="V7381" s="18" t="s">
        <v>16686</v>
      </c>
      <c r="W7381" s="18" t="s">
        <v>16687</v>
      </c>
      <c r="X7381" s="18" t="s">
        <v>42</v>
      </c>
      <c r="Y7381" s="18" t="s">
        <v>12266</v>
      </c>
      <c r="Z7381" s="18" t="s">
        <v>166</v>
      </c>
      <c r="AA7381" s="21" t="str">
        <f>HYPERLINK("https://www.ncbi.nlm.nih.gov/nuccore/KT732801","NCBI Nucleotide")</f>
        <v>NCBI Nucleotide</v>
      </c>
    </row>
    <row r="7382" spans="1:27" x14ac:dyDescent="0.35">
      <c r="A7382">
        <v>1008206</v>
      </c>
      <c r="B7382">
        <v>6853</v>
      </c>
      <c r="C7382">
        <v>1</v>
      </c>
      <c r="D7382" s="17" t="s">
        <v>10507</v>
      </c>
      <c r="E7382" s="17"/>
      <c r="F7382" s="17" t="s">
        <v>10780</v>
      </c>
      <c r="G7382" s="17"/>
      <c r="H7382" s="17" t="s">
        <v>12908</v>
      </c>
      <c r="I7382" s="17"/>
      <c r="J7382" s="17" t="s">
        <v>14018</v>
      </c>
      <c r="K7382" s="17"/>
      <c r="L7382" s="17" t="s">
        <v>14019</v>
      </c>
      <c r="M7382" s="17"/>
      <c r="N7382" s="17" t="s">
        <v>16378</v>
      </c>
      <c r="O7382" s="17"/>
      <c r="P7382" s="17" t="s">
        <v>16379</v>
      </c>
      <c r="Q7382" s="17"/>
      <c r="R7382" s="25" t="str">
        <f>HYPERLINK("https://ictv.global/taxonomy/taxondetails?taxnode_id=202303582","Gemycircularvirus ptero6")</f>
        <v>Gemycircularvirus ptero6</v>
      </c>
      <c r="S7382" s="18" t="s">
        <v>30</v>
      </c>
      <c r="T7382" s="18" t="s">
        <v>16688</v>
      </c>
      <c r="U7382" s="18" t="s">
        <v>16689</v>
      </c>
      <c r="V7382" s="18" t="s">
        <v>16690</v>
      </c>
      <c r="W7382" s="18" t="s">
        <v>16691</v>
      </c>
      <c r="X7382" s="18" t="s">
        <v>42</v>
      </c>
      <c r="Y7382" s="18" t="s">
        <v>12266</v>
      </c>
      <c r="Z7382" s="18" t="s">
        <v>166</v>
      </c>
      <c r="AA7382" s="21" t="str">
        <f>HYPERLINK("https://www.ncbi.nlm.nih.gov/nuccore/KT732803","NCBI Nucleotide")</f>
        <v>NCBI Nucleotide</v>
      </c>
    </row>
    <row r="7383" spans="1:27" x14ac:dyDescent="0.35">
      <c r="A7383">
        <v>1008207</v>
      </c>
      <c r="B7383">
        <v>6854</v>
      </c>
      <c r="C7383">
        <v>1</v>
      </c>
      <c r="D7383" s="17" t="s">
        <v>10507</v>
      </c>
      <c r="E7383" s="17"/>
      <c r="F7383" s="17" t="s">
        <v>10780</v>
      </c>
      <c r="G7383" s="17"/>
      <c r="H7383" s="17" t="s">
        <v>12908</v>
      </c>
      <c r="I7383" s="17"/>
      <c r="J7383" s="17" t="s">
        <v>14018</v>
      </c>
      <c r="K7383" s="17"/>
      <c r="L7383" s="17" t="s">
        <v>14019</v>
      </c>
      <c r="M7383" s="17"/>
      <c r="N7383" s="17" t="s">
        <v>16378</v>
      </c>
      <c r="O7383" s="17"/>
      <c r="P7383" s="17" t="s">
        <v>16379</v>
      </c>
      <c r="Q7383" s="17"/>
      <c r="R7383" s="25" t="str">
        <f>HYPERLINK("https://ictv.global/taxonomy/taxondetails?taxnode_id=202303583","Gemycircularvirus ptero7")</f>
        <v>Gemycircularvirus ptero7</v>
      </c>
      <c r="S7383" s="18" t="s">
        <v>30</v>
      </c>
      <c r="T7383" s="18" t="s">
        <v>16692</v>
      </c>
      <c r="U7383" s="18" t="s">
        <v>16693</v>
      </c>
      <c r="V7383" s="18" t="s">
        <v>16694</v>
      </c>
      <c r="W7383" s="18" t="s">
        <v>16695</v>
      </c>
      <c r="X7383" s="18" t="s">
        <v>42</v>
      </c>
      <c r="Y7383" s="18" t="s">
        <v>12266</v>
      </c>
      <c r="Z7383" s="18" t="s">
        <v>166</v>
      </c>
      <c r="AA7383" s="21" t="str">
        <f>HYPERLINK("https://www.ncbi.nlm.nih.gov/nuccore/KT732807","NCBI Nucleotide")</f>
        <v>NCBI Nucleotide</v>
      </c>
    </row>
    <row r="7384" spans="1:27" x14ac:dyDescent="0.35">
      <c r="A7384">
        <v>1008208</v>
      </c>
      <c r="B7384">
        <v>6855</v>
      </c>
      <c r="C7384">
        <v>1</v>
      </c>
      <c r="D7384" s="17" t="s">
        <v>10507</v>
      </c>
      <c r="E7384" s="17"/>
      <c r="F7384" s="17" t="s">
        <v>10780</v>
      </c>
      <c r="G7384" s="17"/>
      <c r="H7384" s="17" t="s">
        <v>12908</v>
      </c>
      <c r="I7384" s="17"/>
      <c r="J7384" s="17" t="s">
        <v>14018</v>
      </c>
      <c r="K7384" s="17"/>
      <c r="L7384" s="17" t="s">
        <v>14019</v>
      </c>
      <c r="M7384" s="17"/>
      <c r="N7384" s="17" t="s">
        <v>16378</v>
      </c>
      <c r="O7384" s="17"/>
      <c r="P7384" s="17" t="s">
        <v>16379</v>
      </c>
      <c r="Q7384" s="17"/>
      <c r="R7384" s="25" t="str">
        <f>HYPERLINK("https://ictv.global/taxonomy/taxondetails?taxnode_id=202303584","Gemycircularvirus ptero8")</f>
        <v>Gemycircularvirus ptero8</v>
      </c>
      <c r="S7384" s="18" t="s">
        <v>30</v>
      </c>
      <c r="T7384" s="18" t="s">
        <v>16696</v>
      </c>
      <c r="U7384" s="18" t="s">
        <v>16697</v>
      </c>
      <c r="V7384" s="18" t="s">
        <v>16698</v>
      </c>
      <c r="W7384" s="18" t="s">
        <v>16699</v>
      </c>
      <c r="X7384" s="18" t="s">
        <v>42</v>
      </c>
      <c r="Y7384" s="18" t="s">
        <v>12266</v>
      </c>
      <c r="Z7384" s="18" t="s">
        <v>166</v>
      </c>
      <c r="AA7384" s="21" t="str">
        <f>HYPERLINK("https://www.ncbi.nlm.nih.gov/nuccore/KT732806","NCBI Nucleotide")</f>
        <v>NCBI Nucleotide</v>
      </c>
    </row>
    <row r="7385" spans="1:27" x14ac:dyDescent="0.35">
      <c r="A7385">
        <v>1008209</v>
      </c>
      <c r="B7385">
        <v>6856</v>
      </c>
      <c r="C7385">
        <v>1</v>
      </c>
      <c r="D7385" s="17" t="s">
        <v>10507</v>
      </c>
      <c r="E7385" s="17"/>
      <c r="F7385" s="17" t="s">
        <v>10780</v>
      </c>
      <c r="G7385" s="17"/>
      <c r="H7385" s="17" t="s">
        <v>12908</v>
      </c>
      <c r="I7385" s="17"/>
      <c r="J7385" s="17" t="s">
        <v>14018</v>
      </c>
      <c r="K7385" s="17"/>
      <c r="L7385" s="17" t="s">
        <v>14019</v>
      </c>
      <c r="M7385" s="17"/>
      <c r="N7385" s="17" t="s">
        <v>16378</v>
      </c>
      <c r="O7385" s="17"/>
      <c r="P7385" s="17" t="s">
        <v>16379</v>
      </c>
      <c r="Q7385" s="17"/>
      <c r="R7385" s="25" t="str">
        <f>HYPERLINK("https://ictv.global/taxonomy/taxondetails?taxnode_id=202303585","Gemycircularvirus ptero9")</f>
        <v>Gemycircularvirus ptero9</v>
      </c>
      <c r="S7385" s="18" t="s">
        <v>30</v>
      </c>
      <c r="T7385" s="18" t="s">
        <v>16700</v>
      </c>
      <c r="U7385" s="18" t="s">
        <v>16701</v>
      </c>
      <c r="V7385" s="18" t="s">
        <v>16702</v>
      </c>
      <c r="W7385" s="18" t="s">
        <v>16703</v>
      </c>
      <c r="X7385" s="18" t="s">
        <v>42</v>
      </c>
      <c r="Y7385" s="18" t="s">
        <v>12266</v>
      </c>
      <c r="Z7385" s="18" t="s">
        <v>166</v>
      </c>
      <c r="AA7385" s="21" t="str">
        <f>HYPERLINK("https://www.ncbi.nlm.nih.gov/nuccore/KT732795","NCBI Nucleotide")</f>
        <v>NCBI Nucleotide</v>
      </c>
    </row>
    <row r="7386" spans="1:27" x14ac:dyDescent="0.35">
      <c r="A7386">
        <v>1008201</v>
      </c>
      <c r="B7386">
        <v>6857</v>
      </c>
      <c r="C7386">
        <v>1</v>
      </c>
      <c r="D7386" s="17" t="s">
        <v>10507</v>
      </c>
      <c r="E7386" s="17"/>
      <c r="F7386" s="17" t="s">
        <v>10780</v>
      </c>
      <c r="G7386" s="17"/>
      <c r="H7386" s="17" t="s">
        <v>12908</v>
      </c>
      <c r="I7386" s="17"/>
      <c r="J7386" s="17" t="s">
        <v>14018</v>
      </c>
      <c r="K7386" s="17"/>
      <c r="L7386" s="17" t="s">
        <v>14019</v>
      </c>
      <c r="M7386" s="17"/>
      <c r="N7386" s="17" t="s">
        <v>16378</v>
      </c>
      <c r="O7386" s="17"/>
      <c r="P7386" s="17" t="s">
        <v>16379</v>
      </c>
      <c r="Q7386" s="17"/>
      <c r="R7386" s="25" t="str">
        <f>HYPERLINK("https://ictv.global/taxonomy/taxondetails?taxnode_id=202303586","Gemycircularvirus ptero10")</f>
        <v>Gemycircularvirus ptero10</v>
      </c>
      <c r="S7386" s="18" t="s">
        <v>30</v>
      </c>
      <c r="T7386" s="18" t="s">
        <v>16668</v>
      </c>
      <c r="U7386" s="18" t="s">
        <v>16669</v>
      </c>
      <c r="V7386" s="18" t="s">
        <v>16670</v>
      </c>
      <c r="W7386" s="18" t="s">
        <v>16671</v>
      </c>
      <c r="X7386" s="18" t="s">
        <v>42</v>
      </c>
      <c r="Y7386" s="18" t="s">
        <v>12266</v>
      </c>
      <c r="Z7386" s="18" t="s">
        <v>166</v>
      </c>
      <c r="AA7386" s="21" t="str">
        <f>HYPERLINK("https://www.ncbi.nlm.nih.gov/nuccore/KT732794","NCBI Nucleotide")</f>
        <v>NCBI Nucleotide</v>
      </c>
    </row>
    <row r="7387" spans="1:27" x14ac:dyDescent="0.35">
      <c r="A7387">
        <v>1008210</v>
      </c>
      <c r="B7387">
        <v>6858</v>
      </c>
      <c r="C7387">
        <v>1</v>
      </c>
      <c r="D7387" s="17" t="s">
        <v>10507</v>
      </c>
      <c r="E7387" s="17"/>
      <c r="F7387" s="17" t="s">
        <v>10780</v>
      </c>
      <c r="G7387" s="17"/>
      <c r="H7387" s="17" t="s">
        <v>12908</v>
      </c>
      <c r="I7387" s="17"/>
      <c r="J7387" s="17" t="s">
        <v>14018</v>
      </c>
      <c r="K7387" s="17"/>
      <c r="L7387" s="17" t="s">
        <v>14019</v>
      </c>
      <c r="M7387" s="17"/>
      <c r="N7387" s="17" t="s">
        <v>16378</v>
      </c>
      <c r="O7387" s="17"/>
      <c r="P7387" s="17" t="s">
        <v>16379</v>
      </c>
      <c r="Q7387" s="17"/>
      <c r="R7387" s="25" t="str">
        <f>HYPERLINK("https://ictv.global/taxonomy/taxondetails?taxnode_id=202308957","Gemycircularvirus raski1")</f>
        <v>Gemycircularvirus raski1</v>
      </c>
      <c r="S7387" s="18" t="s">
        <v>30</v>
      </c>
      <c r="T7387" s="18" t="s">
        <v>16380</v>
      </c>
      <c r="U7387" s="18"/>
      <c r="V7387" s="18" t="s">
        <v>16704</v>
      </c>
      <c r="W7387" s="18" t="s">
        <v>16705</v>
      </c>
      <c r="X7387" s="18" t="s">
        <v>42</v>
      </c>
      <c r="Y7387" s="18" t="s">
        <v>12266</v>
      </c>
      <c r="Z7387" s="18" t="s">
        <v>166</v>
      </c>
      <c r="AA7387" s="21" t="str">
        <f>HYPERLINK("https://www.ncbi.nlm.nih.gov/nuccore/MK032754","NCBI Nucleotide")</f>
        <v>NCBI Nucleotide</v>
      </c>
    </row>
    <row r="7388" spans="1:27" x14ac:dyDescent="0.35">
      <c r="A7388">
        <v>1008211</v>
      </c>
      <c r="B7388">
        <v>6859</v>
      </c>
      <c r="C7388">
        <v>1</v>
      </c>
      <c r="D7388" s="17" t="s">
        <v>10507</v>
      </c>
      <c r="E7388" s="17"/>
      <c r="F7388" s="17" t="s">
        <v>10780</v>
      </c>
      <c r="G7388" s="17"/>
      <c r="H7388" s="17" t="s">
        <v>12908</v>
      </c>
      <c r="I7388" s="17"/>
      <c r="J7388" s="17" t="s">
        <v>14018</v>
      </c>
      <c r="K7388" s="17"/>
      <c r="L7388" s="17" t="s">
        <v>14019</v>
      </c>
      <c r="M7388" s="17"/>
      <c r="N7388" s="17" t="s">
        <v>16378</v>
      </c>
      <c r="O7388" s="17"/>
      <c r="P7388" s="17" t="s">
        <v>16379</v>
      </c>
      <c r="Q7388" s="17"/>
      <c r="R7388" s="25" t="str">
        <f>HYPERLINK("https://ictv.global/taxonomy/taxondetails?taxnode_id=202303587","Gemycircularvirus ratas1")</f>
        <v>Gemycircularvirus ratas1</v>
      </c>
      <c r="S7388" s="18" t="s">
        <v>30</v>
      </c>
      <c r="T7388" s="18" t="s">
        <v>16706</v>
      </c>
      <c r="U7388" s="18" t="s">
        <v>16707</v>
      </c>
      <c r="V7388" s="18" t="s">
        <v>16708</v>
      </c>
      <c r="W7388" s="18" t="s">
        <v>16709</v>
      </c>
      <c r="X7388" s="18" t="s">
        <v>42</v>
      </c>
      <c r="Y7388" s="18" t="s">
        <v>12266</v>
      </c>
      <c r="Z7388" s="18" t="s">
        <v>166</v>
      </c>
      <c r="AA7388" s="21" t="str">
        <f>HYPERLINK("https://www.ncbi.nlm.nih.gov/nuccore/KR912221","NCBI Nucleotide")</f>
        <v>NCBI Nucleotide</v>
      </c>
    </row>
    <row r="7389" spans="1:27" x14ac:dyDescent="0.35">
      <c r="A7389">
        <v>1008212</v>
      </c>
      <c r="B7389">
        <v>6860</v>
      </c>
      <c r="C7389">
        <v>1</v>
      </c>
      <c r="D7389" s="17" t="s">
        <v>10507</v>
      </c>
      <c r="E7389" s="17"/>
      <c r="F7389" s="17" t="s">
        <v>10780</v>
      </c>
      <c r="G7389" s="17"/>
      <c r="H7389" s="17" t="s">
        <v>12908</v>
      </c>
      <c r="I7389" s="17"/>
      <c r="J7389" s="17" t="s">
        <v>14018</v>
      </c>
      <c r="K7389" s="17"/>
      <c r="L7389" s="17" t="s">
        <v>14019</v>
      </c>
      <c r="M7389" s="17"/>
      <c r="N7389" s="17" t="s">
        <v>16378</v>
      </c>
      <c r="O7389" s="17"/>
      <c r="P7389" s="17" t="s">
        <v>16379</v>
      </c>
      <c r="Q7389" s="17"/>
      <c r="R7389" s="25" t="str">
        <f>HYPERLINK("https://ictv.global/taxonomy/taxondetails?taxnode_id=202308949","Gemycircularvirus rebac1")</f>
        <v>Gemycircularvirus rebac1</v>
      </c>
      <c r="S7389" s="18" t="s">
        <v>30</v>
      </c>
      <c r="T7389" s="18" t="s">
        <v>16710</v>
      </c>
      <c r="U7389" s="18"/>
      <c r="V7389" s="18" t="s">
        <v>16711</v>
      </c>
      <c r="W7389" s="18" t="s">
        <v>16712</v>
      </c>
      <c r="X7389" s="18" t="s">
        <v>42</v>
      </c>
      <c r="Y7389" s="18" t="s">
        <v>12266</v>
      </c>
      <c r="Z7389" s="18" t="s">
        <v>166</v>
      </c>
      <c r="AA7389" s="21" t="str">
        <f>HYPERLINK("https://www.ncbi.nlm.nih.gov/nuccore/MK738141","NCBI Nucleotide")</f>
        <v>NCBI Nucleotide</v>
      </c>
    </row>
    <row r="7390" spans="1:27" x14ac:dyDescent="0.35">
      <c r="A7390">
        <v>1008213</v>
      </c>
      <c r="B7390">
        <v>6861</v>
      </c>
      <c r="C7390">
        <v>1</v>
      </c>
      <c r="D7390" s="17" t="s">
        <v>10507</v>
      </c>
      <c r="E7390" s="17"/>
      <c r="F7390" s="17" t="s">
        <v>10780</v>
      </c>
      <c r="G7390" s="17"/>
      <c r="H7390" s="17" t="s">
        <v>12908</v>
      </c>
      <c r="I7390" s="17"/>
      <c r="J7390" s="17" t="s">
        <v>14018</v>
      </c>
      <c r="K7390" s="17"/>
      <c r="L7390" s="17" t="s">
        <v>14019</v>
      </c>
      <c r="M7390" s="17"/>
      <c r="N7390" s="17" t="s">
        <v>16378</v>
      </c>
      <c r="O7390" s="17"/>
      <c r="P7390" s="17" t="s">
        <v>16379</v>
      </c>
      <c r="Q7390" s="17"/>
      <c r="R7390" s="25" t="str">
        <f>HYPERLINK("https://ictv.global/taxonomy/taxondetails?taxnode_id=202308944","Gemycircularvirus recro1")</f>
        <v>Gemycircularvirus recro1</v>
      </c>
      <c r="S7390" s="18" t="s">
        <v>30</v>
      </c>
      <c r="T7390" s="18" t="s">
        <v>16649</v>
      </c>
      <c r="U7390" s="18"/>
      <c r="V7390" s="18" t="s">
        <v>16713</v>
      </c>
      <c r="W7390" s="18" t="s">
        <v>16714</v>
      </c>
      <c r="X7390" s="18" t="s">
        <v>42</v>
      </c>
      <c r="Y7390" s="18" t="s">
        <v>12266</v>
      </c>
      <c r="Z7390" s="18" t="s">
        <v>166</v>
      </c>
      <c r="AA7390" s="21" t="str">
        <f>HYPERLINK("https://www.ncbi.nlm.nih.gov/nuccore/KY312557","NCBI Nucleotide")</f>
        <v>NCBI Nucleotide</v>
      </c>
    </row>
    <row r="7391" spans="1:27" x14ac:dyDescent="0.35">
      <c r="A7391">
        <v>1008214</v>
      </c>
      <c r="B7391">
        <v>6862</v>
      </c>
      <c r="C7391">
        <v>1</v>
      </c>
      <c r="D7391" s="17" t="s">
        <v>10507</v>
      </c>
      <c r="E7391" s="17"/>
      <c r="F7391" s="17" t="s">
        <v>10780</v>
      </c>
      <c r="G7391" s="17"/>
      <c r="H7391" s="17" t="s">
        <v>12908</v>
      </c>
      <c r="I7391" s="17"/>
      <c r="J7391" s="17" t="s">
        <v>14018</v>
      </c>
      <c r="K7391" s="17"/>
      <c r="L7391" s="17" t="s">
        <v>14019</v>
      </c>
      <c r="M7391" s="17"/>
      <c r="N7391" s="17" t="s">
        <v>16378</v>
      </c>
      <c r="O7391" s="17"/>
      <c r="P7391" s="17" t="s">
        <v>16379</v>
      </c>
      <c r="Q7391" s="17"/>
      <c r="R7391" s="25" t="str">
        <f>HYPERLINK("https://ictv.global/taxonomy/taxondetails?taxnode_id=202308972","Gemycircularvirus sarpe1")</f>
        <v>Gemycircularvirus sarpe1</v>
      </c>
      <c r="S7391" s="18" t="s">
        <v>30</v>
      </c>
      <c r="T7391" s="18" t="s">
        <v>16715</v>
      </c>
      <c r="U7391" s="18"/>
      <c r="V7391" s="18" t="s">
        <v>16716</v>
      </c>
      <c r="W7391" s="18" t="s">
        <v>16717</v>
      </c>
      <c r="X7391" s="18" t="s">
        <v>42</v>
      </c>
      <c r="Y7391" s="18" t="s">
        <v>12266</v>
      </c>
      <c r="Z7391" s="18" t="s">
        <v>13441</v>
      </c>
      <c r="AA7391" s="21" t="str">
        <f>HYPERLINK("https://www.ncbi.nlm.nih.gov/nuccore/MH939397","NCBI Nucleotide")</f>
        <v>NCBI Nucleotide</v>
      </c>
    </row>
    <row r="7392" spans="1:27" x14ac:dyDescent="0.35">
      <c r="A7392">
        <v>1008215</v>
      </c>
      <c r="B7392">
        <v>6863</v>
      </c>
      <c r="C7392">
        <v>1</v>
      </c>
      <c r="D7392" s="17" t="s">
        <v>10507</v>
      </c>
      <c r="E7392" s="17"/>
      <c r="F7392" s="17" t="s">
        <v>10780</v>
      </c>
      <c r="G7392" s="17"/>
      <c r="H7392" s="17" t="s">
        <v>12908</v>
      </c>
      <c r="I7392" s="17"/>
      <c r="J7392" s="17" t="s">
        <v>14018</v>
      </c>
      <c r="K7392" s="17"/>
      <c r="L7392" s="17" t="s">
        <v>14019</v>
      </c>
      <c r="M7392" s="17"/>
      <c r="N7392" s="17" t="s">
        <v>16378</v>
      </c>
      <c r="O7392" s="17"/>
      <c r="P7392" s="17" t="s">
        <v>16379</v>
      </c>
      <c r="Q7392" s="17"/>
      <c r="R7392" s="25" t="str">
        <f>HYPERLINK("https://ictv.global/taxonomy/taxondetails?taxnode_id=202303588","Gemycircularvirus sclero1")</f>
        <v>Gemycircularvirus sclero1</v>
      </c>
      <c r="S7392" s="18" t="s">
        <v>30</v>
      </c>
      <c r="T7392" s="18" t="s">
        <v>16718</v>
      </c>
      <c r="U7392" s="18" t="s">
        <v>16719</v>
      </c>
      <c r="V7392" s="18"/>
      <c r="W7392" s="18" t="s">
        <v>16720</v>
      </c>
      <c r="X7392" s="18" t="s">
        <v>42</v>
      </c>
      <c r="Y7392" s="18" t="s">
        <v>12266</v>
      </c>
      <c r="Z7392" s="18" t="s">
        <v>16721</v>
      </c>
      <c r="AA7392" s="21" t="str">
        <f>HYPERLINK("https://www.ncbi.nlm.nih.gov/nuccore/GQ365709","NCBI Nucleotide")</f>
        <v>NCBI Nucleotide</v>
      </c>
    </row>
    <row r="7393" spans="1:27" x14ac:dyDescent="0.35">
      <c r="A7393">
        <v>1008216</v>
      </c>
      <c r="B7393">
        <v>6864</v>
      </c>
      <c r="C7393">
        <v>1</v>
      </c>
      <c r="D7393" s="17" t="s">
        <v>10507</v>
      </c>
      <c r="E7393" s="17"/>
      <c r="F7393" s="17" t="s">
        <v>10780</v>
      </c>
      <c r="G7393" s="17"/>
      <c r="H7393" s="17" t="s">
        <v>12908</v>
      </c>
      <c r="I7393" s="17"/>
      <c r="J7393" s="17" t="s">
        <v>14018</v>
      </c>
      <c r="K7393" s="17"/>
      <c r="L7393" s="17" t="s">
        <v>14019</v>
      </c>
      <c r="M7393" s="17"/>
      <c r="N7393" s="17" t="s">
        <v>16378</v>
      </c>
      <c r="O7393" s="17"/>
      <c r="P7393" s="17" t="s">
        <v>16379</v>
      </c>
      <c r="Q7393" s="17"/>
      <c r="R7393" s="25" t="str">
        <f>HYPERLINK("https://ictv.global/taxonomy/taxondetails?taxnode_id=202303589","Gemycircularvirus sewopo1")</f>
        <v>Gemycircularvirus sewopo1</v>
      </c>
      <c r="S7393" s="18" t="s">
        <v>30</v>
      </c>
      <c r="T7393" s="18" t="s">
        <v>16722</v>
      </c>
      <c r="U7393" s="18" t="s">
        <v>16723</v>
      </c>
      <c r="V7393" s="18" t="s">
        <v>16724</v>
      </c>
      <c r="W7393" s="18" t="s">
        <v>16725</v>
      </c>
      <c r="X7393" s="18" t="s">
        <v>42</v>
      </c>
      <c r="Y7393" s="18" t="s">
        <v>12266</v>
      </c>
      <c r="Z7393" s="18" t="s">
        <v>16726</v>
      </c>
      <c r="AA7393" s="21" t="str">
        <f>HYPERLINK("https://www.ncbi.nlm.nih.gov/nuccore/KJ547638","NCBI Nucleotide")</f>
        <v>NCBI Nucleotide</v>
      </c>
    </row>
    <row r="7394" spans="1:27" x14ac:dyDescent="0.35">
      <c r="A7394">
        <v>1008217</v>
      </c>
      <c r="B7394">
        <v>6865</v>
      </c>
      <c r="C7394">
        <v>1</v>
      </c>
      <c r="D7394" s="17" t="s">
        <v>10507</v>
      </c>
      <c r="E7394" s="17"/>
      <c r="F7394" s="17" t="s">
        <v>10780</v>
      </c>
      <c r="G7394" s="17"/>
      <c r="H7394" s="17" t="s">
        <v>12908</v>
      </c>
      <c r="I7394" s="17"/>
      <c r="J7394" s="17" t="s">
        <v>14018</v>
      </c>
      <c r="K7394" s="17"/>
      <c r="L7394" s="17" t="s">
        <v>14019</v>
      </c>
      <c r="M7394" s="17"/>
      <c r="N7394" s="17" t="s">
        <v>16378</v>
      </c>
      <c r="O7394" s="17"/>
      <c r="P7394" s="17" t="s">
        <v>16379</v>
      </c>
      <c r="Q7394" s="17"/>
      <c r="R7394" s="25" t="str">
        <f>HYPERLINK("https://ictv.global/taxonomy/taxondetails?taxnode_id=202303590","Gemycircularvirus sewopo2")</f>
        <v>Gemycircularvirus sewopo2</v>
      </c>
      <c r="S7394" s="18" t="s">
        <v>30</v>
      </c>
      <c r="T7394" s="18" t="s">
        <v>16727</v>
      </c>
      <c r="U7394" s="18" t="s">
        <v>16728</v>
      </c>
      <c r="V7394" s="18" t="s">
        <v>16729</v>
      </c>
      <c r="W7394" s="18" t="s">
        <v>16730</v>
      </c>
      <c r="X7394" s="18" t="s">
        <v>42</v>
      </c>
      <c r="Y7394" s="18" t="s">
        <v>12266</v>
      </c>
      <c r="Z7394" s="18" t="s">
        <v>16726</v>
      </c>
      <c r="AA7394" s="21" t="str">
        <f>HYPERLINK("https://www.ncbi.nlm.nih.gov/nuccore/KJ547641","NCBI Nucleotide")</f>
        <v>NCBI Nucleotide</v>
      </c>
    </row>
    <row r="7395" spans="1:27" x14ac:dyDescent="0.35">
      <c r="A7395">
        <v>1008218</v>
      </c>
      <c r="B7395">
        <v>6866</v>
      </c>
      <c r="C7395">
        <v>1</v>
      </c>
      <c r="D7395" s="17" t="s">
        <v>10507</v>
      </c>
      <c r="E7395" s="17"/>
      <c r="F7395" s="17" t="s">
        <v>10780</v>
      </c>
      <c r="G7395" s="17"/>
      <c r="H7395" s="17" t="s">
        <v>12908</v>
      </c>
      <c r="I7395" s="17"/>
      <c r="J7395" s="17" t="s">
        <v>14018</v>
      </c>
      <c r="K7395" s="17"/>
      <c r="L7395" s="17" t="s">
        <v>14019</v>
      </c>
      <c r="M7395" s="17"/>
      <c r="N7395" s="17" t="s">
        <v>16378</v>
      </c>
      <c r="O7395" s="17"/>
      <c r="P7395" s="17" t="s">
        <v>16379</v>
      </c>
      <c r="Q7395" s="17"/>
      <c r="R7395" s="25" t="str">
        <f>HYPERLINK("https://ictv.global/taxonomy/taxondetails?taxnode_id=202303591","Gemycircularvirus sewopo3")</f>
        <v>Gemycircularvirus sewopo3</v>
      </c>
      <c r="S7395" s="18" t="s">
        <v>30</v>
      </c>
      <c r="T7395" s="18" t="s">
        <v>16731</v>
      </c>
      <c r="U7395" s="18" t="s">
        <v>16732</v>
      </c>
      <c r="V7395" s="18" t="s">
        <v>16733</v>
      </c>
      <c r="W7395" s="18" t="s">
        <v>16734</v>
      </c>
      <c r="X7395" s="18" t="s">
        <v>42</v>
      </c>
      <c r="Y7395" s="18" t="s">
        <v>12266</v>
      </c>
      <c r="Z7395" s="18" t="s">
        <v>16726</v>
      </c>
      <c r="AA7395" s="21" t="str">
        <f>HYPERLINK("https://www.ncbi.nlm.nih.gov/nuccore/KJ547636","NCBI Nucleotide")</f>
        <v>NCBI Nucleotide</v>
      </c>
    </row>
    <row r="7396" spans="1:27" x14ac:dyDescent="0.35">
      <c r="A7396">
        <v>1008219</v>
      </c>
      <c r="B7396">
        <v>6867</v>
      </c>
      <c r="C7396">
        <v>1</v>
      </c>
      <c r="D7396" s="17" t="s">
        <v>10507</v>
      </c>
      <c r="E7396" s="17"/>
      <c r="F7396" s="17" t="s">
        <v>10780</v>
      </c>
      <c r="G7396" s="17"/>
      <c r="H7396" s="17" t="s">
        <v>12908</v>
      </c>
      <c r="I7396" s="17"/>
      <c r="J7396" s="17" t="s">
        <v>14018</v>
      </c>
      <c r="K7396" s="17"/>
      <c r="L7396" s="17" t="s">
        <v>14019</v>
      </c>
      <c r="M7396" s="17"/>
      <c r="N7396" s="17" t="s">
        <v>16378</v>
      </c>
      <c r="O7396" s="17"/>
      <c r="P7396" s="17" t="s">
        <v>16379</v>
      </c>
      <c r="Q7396" s="17"/>
      <c r="R7396" s="25" t="str">
        <f>HYPERLINK("https://ictv.global/taxonomy/taxondetails?taxnode_id=202303592","Gemycircularvirus sewopo4")</f>
        <v>Gemycircularvirus sewopo4</v>
      </c>
      <c r="S7396" s="18" t="s">
        <v>30</v>
      </c>
      <c r="T7396" s="18" t="s">
        <v>16735</v>
      </c>
      <c r="U7396" s="18" t="s">
        <v>16736</v>
      </c>
      <c r="V7396" s="18" t="s">
        <v>16737</v>
      </c>
      <c r="W7396" s="18" t="s">
        <v>16738</v>
      </c>
      <c r="X7396" s="18" t="s">
        <v>42</v>
      </c>
      <c r="Y7396" s="18" t="s">
        <v>12266</v>
      </c>
      <c r="Z7396" s="18" t="s">
        <v>16726</v>
      </c>
      <c r="AA7396" s="21" t="str">
        <f>HYPERLINK("https://www.ncbi.nlm.nih.gov/nuccore/KJ547640","NCBI Nucleotide")</f>
        <v>NCBI Nucleotide</v>
      </c>
    </row>
    <row r="7397" spans="1:27" x14ac:dyDescent="0.35">
      <c r="A7397">
        <v>1008220</v>
      </c>
      <c r="B7397">
        <v>6868</v>
      </c>
      <c r="C7397">
        <v>1</v>
      </c>
      <c r="D7397" s="17" t="s">
        <v>10507</v>
      </c>
      <c r="E7397" s="17"/>
      <c r="F7397" s="17" t="s">
        <v>10780</v>
      </c>
      <c r="G7397" s="17"/>
      <c r="H7397" s="17" t="s">
        <v>12908</v>
      </c>
      <c r="I7397" s="17"/>
      <c r="J7397" s="17" t="s">
        <v>14018</v>
      </c>
      <c r="K7397" s="17"/>
      <c r="L7397" s="17" t="s">
        <v>14019</v>
      </c>
      <c r="M7397" s="17"/>
      <c r="N7397" s="17" t="s">
        <v>16378</v>
      </c>
      <c r="O7397" s="17"/>
      <c r="P7397" s="17" t="s">
        <v>16379</v>
      </c>
      <c r="Q7397" s="17"/>
      <c r="R7397" s="25" t="str">
        <f>HYPERLINK("https://ictv.global/taxonomy/taxondetails?taxnode_id=202303593","Gemycircularvirus sewopo5")</f>
        <v>Gemycircularvirus sewopo5</v>
      </c>
      <c r="S7397" s="18" t="s">
        <v>30</v>
      </c>
      <c r="T7397" s="18" t="s">
        <v>16739</v>
      </c>
      <c r="U7397" s="18" t="s">
        <v>16740</v>
      </c>
      <c r="V7397" s="18" t="s">
        <v>16741</v>
      </c>
      <c r="W7397" s="18" t="s">
        <v>16742</v>
      </c>
      <c r="X7397" s="18" t="s">
        <v>42</v>
      </c>
      <c r="Y7397" s="18" t="s">
        <v>12266</v>
      </c>
      <c r="Z7397" s="18" t="s">
        <v>16726</v>
      </c>
      <c r="AA7397" s="21" t="str">
        <f>HYPERLINK("https://www.ncbi.nlm.nih.gov/nuccore/KJ547639","NCBI Nucleotide")</f>
        <v>NCBI Nucleotide</v>
      </c>
    </row>
    <row r="7398" spans="1:27" x14ac:dyDescent="0.35">
      <c r="A7398">
        <v>1008221</v>
      </c>
      <c r="B7398">
        <v>6869</v>
      </c>
      <c r="C7398">
        <v>1</v>
      </c>
      <c r="D7398" s="17" t="s">
        <v>10507</v>
      </c>
      <c r="E7398" s="17"/>
      <c r="F7398" s="17" t="s">
        <v>10780</v>
      </c>
      <c r="G7398" s="17"/>
      <c r="H7398" s="17" t="s">
        <v>12908</v>
      </c>
      <c r="I7398" s="17"/>
      <c r="J7398" s="17" t="s">
        <v>14018</v>
      </c>
      <c r="K7398" s="17"/>
      <c r="L7398" s="17" t="s">
        <v>14019</v>
      </c>
      <c r="M7398" s="17"/>
      <c r="N7398" s="17" t="s">
        <v>16378</v>
      </c>
      <c r="O7398" s="17"/>
      <c r="P7398" s="17" t="s">
        <v>16379</v>
      </c>
      <c r="Q7398" s="17"/>
      <c r="R7398" s="25" t="str">
        <f>HYPERLINK("https://ictv.global/taxonomy/taxondetails?taxnode_id=202303594","Gemycircularvirus sheas1")</f>
        <v>Gemycircularvirus sheas1</v>
      </c>
      <c r="S7398" s="18" t="s">
        <v>30</v>
      </c>
      <c r="T7398" s="18" t="s">
        <v>16743</v>
      </c>
      <c r="U7398" s="18" t="s">
        <v>16744</v>
      </c>
      <c r="V7398" s="18" t="s">
        <v>16745</v>
      </c>
      <c r="W7398" s="18" t="s">
        <v>16746</v>
      </c>
      <c r="X7398" s="18" t="s">
        <v>42</v>
      </c>
      <c r="Y7398" s="18" t="s">
        <v>12266</v>
      </c>
      <c r="Z7398" s="18" t="s">
        <v>166</v>
      </c>
      <c r="AA7398" s="21" t="str">
        <f>HYPERLINK("https://www.ncbi.nlm.nih.gov/nuccore/KT862249","NCBI Nucleotide")</f>
        <v>NCBI Nucleotide</v>
      </c>
    </row>
    <row r="7399" spans="1:27" x14ac:dyDescent="0.35">
      <c r="A7399">
        <v>1008222</v>
      </c>
      <c r="B7399">
        <v>6870</v>
      </c>
      <c r="C7399">
        <v>1</v>
      </c>
      <c r="D7399" s="17" t="s">
        <v>10507</v>
      </c>
      <c r="E7399" s="17"/>
      <c r="F7399" s="17" t="s">
        <v>10780</v>
      </c>
      <c r="G7399" s="17"/>
      <c r="H7399" s="17" t="s">
        <v>12908</v>
      </c>
      <c r="I7399" s="17"/>
      <c r="J7399" s="17" t="s">
        <v>14018</v>
      </c>
      <c r="K7399" s="17"/>
      <c r="L7399" s="17" t="s">
        <v>14019</v>
      </c>
      <c r="M7399" s="17"/>
      <c r="N7399" s="17" t="s">
        <v>16378</v>
      </c>
      <c r="O7399" s="17"/>
      <c r="P7399" s="17" t="s">
        <v>16379</v>
      </c>
      <c r="Q7399" s="17"/>
      <c r="R7399" s="25" t="str">
        <f>HYPERLINK("https://ictv.global/taxonomy/taxondetails?taxnode_id=202308981","Gemycircularvirus siedo1")</f>
        <v>Gemycircularvirus siedo1</v>
      </c>
      <c r="S7399" s="18" t="s">
        <v>30</v>
      </c>
      <c r="T7399" s="18" t="s">
        <v>16747</v>
      </c>
      <c r="U7399" s="18"/>
      <c r="V7399" s="18" t="s">
        <v>16748</v>
      </c>
      <c r="W7399" s="18" t="s">
        <v>16749</v>
      </c>
      <c r="X7399" s="18" t="s">
        <v>42</v>
      </c>
      <c r="Y7399" s="18" t="s">
        <v>12266</v>
      </c>
      <c r="Z7399" s="18" t="s">
        <v>10790</v>
      </c>
      <c r="AA7399" s="21" t="str">
        <f>HYPERLINK("https://www.ncbi.nlm.nih.gov/nuccore/MH545510","NCBI Nucleotide")</f>
        <v>NCBI Nucleotide</v>
      </c>
    </row>
    <row r="7400" spans="1:27" x14ac:dyDescent="0.35">
      <c r="A7400">
        <v>1008223</v>
      </c>
      <c r="B7400">
        <v>6871</v>
      </c>
      <c r="C7400">
        <v>1</v>
      </c>
      <c r="D7400" s="17" t="s">
        <v>10507</v>
      </c>
      <c r="E7400" s="17"/>
      <c r="F7400" s="17" t="s">
        <v>10780</v>
      </c>
      <c r="G7400" s="17"/>
      <c r="H7400" s="17" t="s">
        <v>12908</v>
      </c>
      <c r="I7400" s="17"/>
      <c r="J7400" s="17" t="s">
        <v>14018</v>
      </c>
      <c r="K7400" s="17"/>
      <c r="L7400" s="17" t="s">
        <v>14019</v>
      </c>
      <c r="M7400" s="17"/>
      <c r="N7400" s="17" t="s">
        <v>16378</v>
      </c>
      <c r="O7400" s="17"/>
      <c r="P7400" s="17" t="s">
        <v>16379</v>
      </c>
      <c r="Q7400" s="17"/>
      <c r="R7400" s="25" t="str">
        <f>HYPERLINK("https://ictv.global/taxonomy/taxondetails?taxnode_id=202309003","Gemycircularvirus solas1")</f>
        <v>Gemycircularvirus solas1</v>
      </c>
      <c r="S7400" s="18" t="s">
        <v>30</v>
      </c>
      <c r="T7400" s="18" t="s">
        <v>16750</v>
      </c>
      <c r="U7400" s="18"/>
      <c r="V7400" s="18" t="s">
        <v>16751</v>
      </c>
      <c r="W7400" s="18" t="s">
        <v>16752</v>
      </c>
      <c r="X7400" s="18" t="s">
        <v>42</v>
      </c>
      <c r="Y7400" s="18" t="s">
        <v>12266</v>
      </c>
      <c r="Z7400" s="18" t="s">
        <v>13441</v>
      </c>
      <c r="AA7400" s="21" t="str">
        <f>HYPERLINK("https://www.ncbi.nlm.nih.gov/nuccore/MH939384","NCBI Nucleotide")</f>
        <v>NCBI Nucleotide</v>
      </c>
    </row>
    <row r="7401" spans="1:27" x14ac:dyDescent="0.35">
      <c r="A7401">
        <v>1008224</v>
      </c>
      <c r="B7401">
        <v>6872</v>
      </c>
      <c r="C7401">
        <v>1</v>
      </c>
      <c r="D7401" s="17" t="s">
        <v>10507</v>
      </c>
      <c r="E7401" s="17"/>
      <c r="F7401" s="17" t="s">
        <v>10780</v>
      </c>
      <c r="G7401" s="17"/>
      <c r="H7401" s="17" t="s">
        <v>12908</v>
      </c>
      <c r="I7401" s="17"/>
      <c r="J7401" s="17" t="s">
        <v>14018</v>
      </c>
      <c r="K7401" s="17"/>
      <c r="L7401" s="17" t="s">
        <v>14019</v>
      </c>
      <c r="M7401" s="17"/>
      <c r="N7401" s="17" t="s">
        <v>16378</v>
      </c>
      <c r="O7401" s="17"/>
      <c r="P7401" s="17" t="s">
        <v>16379</v>
      </c>
      <c r="Q7401" s="17"/>
      <c r="R7401" s="25" t="str">
        <f>HYPERLINK("https://ictv.global/taxonomy/taxondetails?taxnode_id=202303595","Gemycircularvirus soybe1")</f>
        <v>Gemycircularvirus soybe1</v>
      </c>
      <c r="S7401" s="18" t="s">
        <v>30</v>
      </c>
      <c r="T7401" s="18" t="s">
        <v>16753</v>
      </c>
      <c r="U7401" s="18" t="s">
        <v>16754</v>
      </c>
      <c r="V7401" s="18" t="s">
        <v>16755</v>
      </c>
      <c r="W7401" s="18" t="s">
        <v>16756</v>
      </c>
      <c r="X7401" s="18" t="s">
        <v>42</v>
      </c>
      <c r="Y7401" s="18" t="s">
        <v>12266</v>
      </c>
      <c r="Z7401" s="18" t="s">
        <v>13441</v>
      </c>
      <c r="AA7401" s="21" t="str">
        <f>HYPERLINK("https://www.ncbi.nlm.nih.gov/nuccore/KT598248","NCBI Nucleotide")</f>
        <v>NCBI Nucleotide</v>
      </c>
    </row>
    <row r="7402" spans="1:27" x14ac:dyDescent="0.35">
      <c r="A7402">
        <v>1008225</v>
      </c>
      <c r="B7402">
        <v>6873</v>
      </c>
      <c r="C7402">
        <v>1</v>
      </c>
      <c r="D7402" s="17" t="s">
        <v>10507</v>
      </c>
      <c r="E7402" s="17"/>
      <c r="F7402" s="17" t="s">
        <v>10780</v>
      </c>
      <c r="G7402" s="17"/>
      <c r="H7402" s="17" t="s">
        <v>12908</v>
      </c>
      <c r="I7402" s="17"/>
      <c r="J7402" s="17" t="s">
        <v>14018</v>
      </c>
      <c r="K7402" s="17"/>
      <c r="L7402" s="17" t="s">
        <v>14019</v>
      </c>
      <c r="M7402" s="17"/>
      <c r="N7402" s="17" t="s">
        <v>16378</v>
      </c>
      <c r="O7402" s="17"/>
      <c r="P7402" s="17" t="s">
        <v>16379</v>
      </c>
      <c r="Q7402" s="17"/>
      <c r="R7402" s="25" t="str">
        <f>HYPERLINK("https://ictv.global/taxonomy/taxondetails?taxnode_id=202308992","Gemycircularvirus termi1")</f>
        <v>Gemycircularvirus termi1</v>
      </c>
      <c r="S7402" s="18" t="s">
        <v>30</v>
      </c>
      <c r="T7402" s="18" t="s">
        <v>16757</v>
      </c>
      <c r="U7402" s="18"/>
      <c r="V7402" s="18" t="s">
        <v>16758</v>
      </c>
      <c r="W7402" s="18" t="s">
        <v>16759</v>
      </c>
      <c r="X7402" s="18" t="s">
        <v>42</v>
      </c>
      <c r="Y7402" s="18" t="s">
        <v>12266</v>
      </c>
      <c r="Z7402" s="18" t="s">
        <v>10790</v>
      </c>
      <c r="AA7402" s="21" t="str">
        <f>HYPERLINK("https://www.ncbi.nlm.nih.gov/nuccore/MG917675","NCBI Nucleotide")</f>
        <v>NCBI Nucleotide</v>
      </c>
    </row>
    <row r="7403" spans="1:27" x14ac:dyDescent="0.35">
      <c r="A7403">
        <v>1008226</v>
      </c>
      <c r="B7403">
        <v>6874</v>
      </c>
      <c r="C7403">
        <v>1</v>
      </c>
      <c r="D7403" s="17" t="s">
        <v>10507</v>
      </c>
      <c r="E7403" s="17"/>
      <c r="F7403" s="17" t="s">
        <v>10780</v>
      </c>
      <c r="G7403" s="17"/>
      <c r="H7403" s="17" t="s">
        <v>12908</v>
      </c>
      <c r="I7403" s="17"/>
      <c r="J7403" s="17" t="s">
        <v>14018</v>
      </c>
      <c r="K7403" s="17"/>
      <c r="L7403" s="17" t="s">
        <v>14019</v>
      </c>
      <c r="M7403" s="17"/>
      <c r="N7403" s="17" t="s">
        <v>16378</v>
      </c>
      <c r="O7403" s="17"/>
      <c r="P7403" s="17" t="s">
        <v>16379</v>
      </c>
      <c r="Q7403" s="17"/>
      <c r="R7403" s="25" t="str">
        <f>HYPERLINK("https://ictv.global/taxonomy/taxondetails?taxnode_id=202308939","Gemycircularvirus trilo1")</f>
        <v>Gemycircularvirus trilo1</v>
      </c>
      <c r="S7403" s="18" t="s">
        <v>30</v>
      </c>
      <c r="T7403" s="18" t="s">
        <v>16760</v>
      </c>
      <c r="U7403" s="18"/>
      <c r="V7403" s="18" t="s">
        <v>16761</v>
      </c>
      <c r="W7403" s="18" t="s">
        <v>16762</v>
      </c>
      <c r="X7403" s="18" t="s">
        <v>42</v>
      </c>
      <c r="Y7403" s="18" t="s">
        <v>12266</v>
      </c>
      <c r="Z7403" s="18" t="s">
        <v>13441</v>
      </c>
      <c r="AA7403" s="21" t="str">
        <f>HYPERLINK("https://www.ncbi.nlm.nih.gov/nuccore/MH939442","NCBI Nucleotide")</f>
        <v>NCBI Nucleotide</v>
      </c>
    </row>
    <row r="7404" spans="1:27" x14ac:dyDescent="0.35">
      <c r="A7404">
        <v>1008227</v>
      </c>
      <c r="B7404">
        <v>6875</v>
      </c>
      <c r="C7404">
        <v>1</v>
      </c>
      <c r="D7404" s="17" t="s">
        <v>10507</v>
      </c>
      <c r="E7404" s="17"/>
      <c r="F7404" s="17" t="s">
        <v>10780</v>
      </c>
      <c r="G7404" s="17"/>
      <c r="H7404" s="17" t="s">
        <v>12908</v>
      </c>
      <c r="I7404" s="17"/>
      <c r="J7404" s="17" t="s">
        <v>14018</v>
      </c>
      <c r="K7404" s="17"/>
      <c r="L7404" s="17" t="s">
        <v>14019</v>
      </c>
      <c r="M7404" s="17"/>
      <c r="N7404" s="17" t="s">
        <v>16378</v>
      </c>
      <c r="O7404" s="17"/>
      <c r="P7404" s="17" t="s">
        <v>16379</v>
      </c>
      <c r="Q7404" s="17"/>
      <c r="R7404" s="25" t="str">
        <f>HYPERLINK("https://ictv.global/taxonomy/taxondetails?taxnode_id=202308963","Gemycircularvirus turti1")</f>
        <v>Gemycircularvirus turti1</v>
      </c>
      <c r="S7404" s="18" t="s">
        <v>30</v>
      </c>
      <c r="T7404" s="18" t="s">
        <v>16380</v>
      </c>
      <c r="U7404" s="18"/>
      <c r="V7404" s="18" t="s">
        <v>16763</v>
      </c>
      <c r="W7404" s="18" t="s">
        <v>16764</v>
      </c>
      <c r="X7404" s="18" t="s">
        <v>42</v>
      </c>
      <c r="Y7404" s="18" t="s">
        <v>12266</v>
      </c>
      <c r="Z7404" s="18" t="s">
        <v>166</v>
      </c>
      <c r="AA7404" s="21" t="str">
        <f>HYPERLINK("https://www.ncbi.nlm.nih.gov/nuccore/MK012473","NCBI Nucleotide")</f>
        <v>NCBI Nucleotide</v>
      </c>
    </row>
    <row r="7405" spans="1:27" x14ac:dyDescent="0.35">
      <c r="A7405">
        <v>1008228</v>
      </c>
      <c r="B7405">
        <v>6876</v>
      </c>
      <c r="C7405">
        <v>1</v>
      </c>
      <c r="D7405" s="17" t="s">
        <v>10507</v>
      </c>
      <c r="E7405" s="17"/>
      <c r="F7405" s="17" t="s">
        <v>10780</v>
      </c>
      <c r="G7405" s="17"/>
      <c r="H7405" s="17" t="s">
        <v>12908</v>
      </c>
      <c r="I7405" s="17"/>
      <c r="J7405" s="17" t="s">
        <v>14018</v>
      </c>
      <c r="K7405" s="17"/>
      <c r="L7405" s="17" t="s">
        <v>14019</v>
      </c>
      <c r="M7405" s="17"/>
      <c r="N7405" s="17" t="s">
        <v>16378</v>
      </c>
      <c r="O7405" s="17"/>
      <c r="P7405" s="17" t="s">
        <v>16379</v>
      </c>
      <c r="Q7405" s="17"/>
      <c r="R7405" s="25" t="str">
        <f>HYPERLINK("https://ictv.global/taxonomy/taxondetails?taxnode_id=202308996","Gemycircularvirus willde1")</f>
        <v>Gemycircularvirus willde1</v>
      </c>
      <c r="S7405" s="18" t="s">
        <v>30</v>
      </c>
      <c r="T7405" s="18" t="s">
        <v>16765</v>
      </c>
      <c r="U7405" s="18"/>
      <c r="V7405" s="18" t="s">
        <v>16766</v>
      </c>
      <c r="W7405" s="18" t="s">
        <v>16767</v>
      </c>
      <c r="X7405" s="18" t="s">
        <v>42</v>
      </c>
      <c r="Y7405" s="18" t="s">
        <v>12266</v>
      </c>
      <c r="Z7405" s="18" t="s">
        <v>13441</v>
      </c>
      <c r="AA7405" s="21" t="str">
        <f>HYPERLINK("https://www.ncbi.nlm.nih.gov/nuccore/MH939427","NCBI Nucleotide")</f>
        <v>NCBI Nucleotide</v>
      </c>
    </row>
    <row r="7406" spans="1:27" x14ac:dyDescent="0.35">
      <c r="A7406">
        <v>1008229</v>
      </c>
      <c r="B7406">
        <v>6877</v>
      </c>
      <c r="C7406">
        <v>1</v>
      </c>
      <c r="D7406" s="17" t="s">
        <v>10507</v>
      </c>
      <c r="E7406" s="17"/>
      <c r="F7406" s="17" t="s">
        <v>10780</v>
      </c>
      <c r="G7406" s="17"/>
      <c r="H7406" s="17" t="s">
        <v>12908</v>
      </c>
      <c r="I7406" s="17"/>
      <c r="J7406" s="17" t="s">
        <v>14018</v>
      </c>
      <c r="K7406" s="17"/>
      <c r="L7406" s="17" t="s">
        <v>14019</v>
      </c>
      <c r="M7406" s="17"/>
      <c r="N7406" s="17" t="s">
        <v>16378</v>
      </c>
      <c r="O7406" s="17"/>
      <c r="P7406" s="17" t="s">
        <v>16768</v>
      </c>
      <c r="Q7406" s="17"/>
      <c r="R7406" s="25" t="str">
        <f>HYPERLINK("https://ictv.global/taxonomy/taxondetails?taxnode_id=202309022","Gemyduguivirus arteca1")</f>
        <v>Gemyduguivirus arteca1</v>
      </c>
      <c r="S7406" s="18" t="s">
        <v>30</v>
      </c>
      <c r="T7406" s="18" t="s">
        <v>16769</v>
      </c>
      <c r="U7406" s="18"/>
      <c r="V7406" s="18" t="s">
        <v>16770</v>
      </c>
      <c r="W7406" s="18" t="s">
        <v>16771</v>
      </c>
      <c r="X7406" s="18" t="s">
        <v>42</v>
      </c>
      <c r="Y7406" s="18" t="s">
        <v>12266</v>
      </c>
      <c r="Z7406" s="18" t="s">
        <v>13441</v>
      </c>
      <c r="AA7406" s="21" t="str">
        <f>HYPERLINK("https://www.ncbi.nlm.nih.gov/nuccore/MN823676","NCBI Nucleotide")</f>
        <v>NCBI Nucleotide</v>
      </c>
    </row>
    <row r="7407" spans="1:27" x14ac:dyDescent="0.35">
      <c r="A7407">
        <v>1008230</v>
      </c>
      <c r="B7407">
        <v>6878</v>
      </c>
      <c r="C7407">
        <v>1</v>
      </c>
      <c r="D7407" s="17" t="s">
        <v>10507</v>
      </c>
      <c r="E7407" s="17"/>
      <c r="F7407" s="17" t="s">
        <v>10780</v>
      </c>
      <c r="G7407" s="17"/>
      <c r="H7407" s="17" t="s">
        <v>12908</v>
      </c>
      <c r="I7407" s="17"/>
      <c r="J7407" s="17" t="s">
        <v>14018</v>
      </c>
      <c r="K7407" s="17"/>
      <c r="L7407" s="17" t="s">
        <v>14019</v>
      </c>
      <c r="M7407" s="17"/>
      <c r="N7407" s="17" t="s">
        <v>16378</v>
      </c>
      <c r="O7407" s="17"/>
      <c r="P7407" s="17" t="s">
        <v>16768</v>
      </c>
      <c r="Q7407" s="17"/>
      <c r="R7407" s="25" t="str">
        <f>HYPERLINK("https://ictv.global/taxonomy/taxondetails?taxnode_id=202309029","Gemyduguivirus austo1")</f>
        <v>Gemyduguivirus austo1</v>
      </c>
      <c r="S7407" s="18" t="s">
        <v>30</v>
      </c>
      <c r="T7407" s="18" t="s">
        <v>16772</v>
      </c>
      <c r="U7407" s="18"/>
      <c r="V7407" s="18" t="s">
        <v>16773</v>
      </c>
      <c r="W7407" s="18" t="s">
        <v>16774</v>
      </c>
      <c r="X7407" s="18" t="s">
        <v>42</v>
      </c>
      <c r="Y7407" s="18" t="s">
        <v>12266</v>
      </c>
      <c r="Z7407" s="18" t="s">
        <v>10790</v>
      </c>
      <c r="AA7407" s="21" t="str">
        <f>HYPERLINK("https://www.ncbi.nlm.nih.gov/nuccore/MK433240","NCBI Nucleotide")</f>
        <v>NCBI Nucleotide</v>
      </c>
    </row>
    <row r="7408" spans="1:27" x14ac:dyDescent="0.35">
      <c r="A7408">
        <v>1008231</v>
      </c>
      <c r="B7408">
        <v>6879</v>
      </c>
      <c r="C7408">
        <v>1</v>
      </c>
      <c r="D7408" s="17" t="s">
        <v>10507</v>
      </c>
      <c r="E7408" s="17"/>
      <c r="F7408" s="17" t="s">
        <v>10780</v>
      </c>
      <c r="G7408" s="17"/>
      <c r="H7408" s="17" t="s">
        <v>12908</v>
      </c>
      <c r="I7408" s="17"/>
      <c r="J7408" s="17" t="s">
        <v>14018</v>
      </c>
      <c r="K7408" s="17"/>
      <c r="L7408" s="17" t="s">
        <v>14019</v>
      </c>
      <c r="M7408" s="17"/>
      <c r="N7408" s="17" t="s">
        <v>16378</v>
      </c>
      <c r="O7408" s="17"/>
      <c r="P7408" s="17" t="s">
        <v>16768</v>
      </c>
      <c r="Q7408" s="17"/>
      <c r="R7408" s="25" t="str">
        <f>HYPERLINK("https://ictv.global/taxonomy/taxondetails?taxnode_id=202309026","Gemyduguivirus bemta1")</f>
        <v>Gemyduguivirus bemta1</v>
      </c>
      <c r="S7408" s="18" t="s">
        <v>30</v>
      </c>
      <c r="T7408" s="18" t="s">
        <v>16775</v>
      </c>
      <c r="U7408" s="18"/>
      <c r="V7408" s="18" t="s">
        <v>16776</v>
      </c>
      <c r="W7408" s="18" t="s">
        <v>16777</v>
      </c>
      <c r="X7408" s="18" t="s">
        <v>42</v>
      </c>
      <c r="Y7408" s="18" t="s">
        <v>12266</v>
      </c>
      <c r="Z7408" s="18" t="s">
        <v>10790</v>
      </c>
      <c r="AA7408" s="21" t="str">
        <f>HYPERLINK("https://www.ncbi.nlm.nih.gov/nuccore/KY230613","NCBI Nucleotide")</f>
        <v>NCBI Nucleotide</v>
      </c>
    </row>
    <row r="7409" spans="1:27" x14ac:dyDescent="0.35">
      <c r="A7409">
        <v>1008232</v>
      </c>
      <c r="B7409">
        <v>6880</v>
      </c>
      <c r="C7409">
        <v>1</v>
      </c>
      <c r="D7409" s="17" t="s">
        <v>10507</v>
      </c>
      <c r="E7409" s="17"/>
      <c r="F7409" s="17" t="s">
        <v>10780</v>
      </c>
      <c r="G7409" s="17"/>
      <c r="H7409" s="17" t="s">
        <v>12908</v>
      </c>
      <c r="I7409" s="17"/>
      <c r="J7409" s="17" t="s">
        <v>14018</v>
      </c>
      <c r="K7409" s="17"/>
      <c r="L7409" s="17" t="s">
        <v>14019</v>
      </c>
      <c r="M7409" s="17"/>
      <c r="N7409" s="17" t="s">
        <v>16378</v>
      </c>
      <c r="O7409" s="17"/>
      <c r="P7409" s="17" t="s">
        <v>16768</v>
      </c>
      <c r="Q7409" s="17"/>
      <c r="R7409" s="25" t="str">
        <f>HYPERLINK("https://ictv.global/taxonomy/taxondetails?taxnode_id=202303597","Gemyduguivirus draga1")</f>
        <v>Gemyduguivirus draga1</v>
      </c>
      <c r="S7409" s="18" t="s">
        <v>30</v>
      </c>
      <c r="T7409" s="18" t="s">
        <v>16778</v>
      </c>
      <c r="U7409" s="18" t="s">
        <v>16779</v>
      </c>
      <c r="V7409" s="18" t="s">
        <v>16780</v>
      </c>
      <c r="W7409" s="18" t="s">
        <v>16781</v>
      </c>
      <c r="X7409" s="18" t="s">
        <v>42</v>
      </c>
      <c r="Y7409" s="18" t="s">
        <v>12266</v>
      </c>
      <c r="Z7409" s="18" t="s">
        <v>10790</v>
      </c>
      <c r="AA7409" s="21" t="str">
        <f>HYPERLINK("https://www.ncbi.nlm.nih.gov/nuccore/JX185428","NCBI Nucleotide")</f>
        <v>NCBI Nucleotide</v>
      </c>
    </row>
    <row r="7410" spans="1:27" x14ac:dyDescent="0.35">
      <c r="A7410">
        <v>1008233</v>
      </c>
      <c r="B7410">
        <v>6881</v>
      </c>
      <c r="C7410">
        <v>1</v>
      </c>
      <c r="D7410" s="17" t="s">
        <v>10507</v>
      </c>
      <c r="E7410" s="17"/>
      <c r="F7410" s="17" t="s">
        <v>10780</v>
      </c>
      <c r="G7410" s="17"/>
      <c r="H7410" s="17" t="s">
        <v>12908</v>
      </c>
      <c r="I7410" s="17"/>
      <c r="J7410" s="17" t="s">
        <v>14018</v>
      </c>
      <c r="K7410" s="17"/>
      <c r="L7410" s="17" t="s">
        <v>14019</v>
      </c>
      <c r="M7410" s="17"/>
      <c r="N7410" s="17" t="s">
        <v>16378</v>
      </c>
      <c r="O7410" s="17"/>
      <c r="P7410" s="17" t="s">
        <v>16768</v>
      </c>
      <c r="Q7410" s="17"/>
      <c r="R7410" s="25" t="str">
        <f>HYPERLINK("https://ictv.global/taxonomy/taxondetails?taxnode_id=202309024","Gemyduguivirus hydro1")</f>
        <v>Gemyduguivirus hydro1</v>
      </c>
      <c r="S7410" s="18" t="s">
        <v>30</v>
      </c>
      <c r="T7410" s="18" t="s">
        <v>16782</v>
      </c>
      <c r="U7410" s="18"/>
      <c r="V7410" s="18" t="s">
        <v>16783</v>
      </c>
      <c r="W7410" s="18" t="s">
        <v>16784</v>
      </c>
      <c r="X7410" s="18" t="s">
        <v>42</v>
      </c>
      <c r="Y7410" s="18" t="s">
        <v>12266</v>
      </c>
      <c r="Z7410" s="18" t="s">
        <v>166</v>
      </c>
      <c r="AA7410" s="21" t="str">
        <f>HYPERLINK("https://www.ncbi.nlm.nih.gov/nuccore/MK483075","NCBI Nucleotide")</f>
        <v>NCBI Nucleotide</v>
      </c>
    </row>
    <row r="7411" spans="1:27" x14ac:dyDescent="0.35">
      <c r="A7411">
        <v>1008234</v>
      </c>
      <c r="B7411">
        <v>6882</v>
      </c>
      <c r="C7411">
        <v>1</v>
      </c>
      <c r="D7411" s="17" t="s">
        <v>10507</v>
      </c>
      <c r="E7411" s="17"/>
      <c r="F7411" s="17" t="s">
        <v>10780</v>
      </c>
      <c r="G7411" s="17"/>
      <c r="H7411" s="17" t="s">
        <v>12908</v>
      </c>
      <c r="I7411" s="17"/>
      <c r="J7411" s="17" t="s">
        <v>14018</v>
      </c>
      <c r="K7411" s="17"/>
      <c r="L7411" s="17" t="s">
        <v>14019</v>
      </c>
      <c r="M7411" s="17"/>
      <c r="N7411" s="17" t="s">
        <v>16378</v>
      </c>
      <c r="O7411" s="17"/>
      <c r="P7411" s="17" t="s">
        <v>16768</v>
      </c>
      <c r="Q7411" s="17"/>
      <c r="R7411" s="25" t="str">
        <f>HYPERLINK("https://ictv.global/taxonomy/taxondetails?taxnode_id=202309025","Gemyduguivirus hydro2")</f>
        <v>Gemyduguivirus hydro2</v>
      </c>
      <c r="S7411" s="18" t="s">
        <v>30</v>
      </c>
      <c r="T7411" s="18" t="s">
        <v>16785</v>
      </c>
      <c r="U7411" s="18"/>
      <c r="V7411" s="18" t="s">
        <v>16786</v>
      </c>
      <c r="W7411" s="18" t="s">
        <v>16787</v>
      </c>
      <c r="X7411" s="18" t="s">
        <v>42</v>
      </c>
      <c r="Y7411" s="18" t="s">
        <v>12266</v>
      </c>
      <c r="Z7411" s="18" t="s">
        <v>166</v>
      </c>
      <c r="AA7411" s="21" t="str">
        <f>HYPERLINK("https://www.ncbi.nlm.nih.gov/nuccore/MK483080","NCBI Nucleotide")</f>
        <v>NCBI Nucleotide</v>
      </c>
    </row>
    <row r="7412" spans="1:27" x14ac:dyDescent="0.35">
      <c r="A7412">
        <v>1008235</v>
      </c>
      <c r="B7412">
        <v>6883</v>
      </c>
      <c r="C7412">
        <v>1</v>
      </c>
      <c r="D7412" s="17" t="s">
        <v>10507</v>
      </c>
      <c r="E7412" s="17"/>
      <c r="F7412" s="17" t="s">
        <v>10780</v>
      </c>
      <c r="G7412" s="17"/>
      <c r="H7412" s="17" t="s">
        <v>12908</v>
      </c>
      <c r="I7412" s="17"/>
      <c r="J7412" s="17" t="s">
        <v>14018</v>
      </c>
      <c r="K7412" s="17"/>
      <c r="L7412" s="17" t="s">
        <v>14019</v>
      </c>
      <c r="M7412" s="17"/>
      <c r="N7412" s="17" t="s">
        <v>16378</v>
      </c>
      <c r="O7412" s="17"/>
      <c r="P7412" s="17" t="s">
        <v>16768</v>
      </c>
      <c r="Q7412" s="17"/>
      <c r="R7412" s="25" t="str">
        <f>HYPERLINK("https://ictv.global/taxonomy/taxondetails?taxnode_id=202309027","Gemyduguivirus hydro3")</f>
        <v>Gemyduguivirus hydro3</v>
      </c>
      <c r="S7412" s="18" t="s">
        <v>30</v>
      </c>
      <c r="T7412" s="18" t="s">
        <v>16788</v>
      </c>
      <c r="U7412" s="18"/>
      <c r="V7412" s="18" t="s">
        <v>16789</v>
      </c>
      <c r="W7412" s="18" t="s">
        <v>16790</v>
      </c>
      <c r="X7412" s="18" t="s">
        <v>42</v>
      </c>
      <c r="Y7412" s="18" t="s">
        <v>12266</v>
      </c>
      <c r="Z7412" s="18" t="s">
        <v>166</v>
      </c>
      <c r="AA7412" s="21" t="str">
        <f>HYPERLINK("https://www.ncbi.nlm.nih.gov/nuccore/MK483077","NCBI Nucleotide")</f>
        <v>NCBI Nucleotide</v>
      </c>
    </row>
    <row r="7413" spans="1:27" x14ac:dyDescent="0.35">
      <c r="A7413">
        <v>1008236</v>
      </c>
      <c r="B7413">
        <v>6884</v>
      </c>
      <c r="C7413">
        <v>1</v>
      </c>
      <c r="D7413" s="17" t="s">
        <v>10507</v>
      </c>
      <c r="E7413" s="17"/>
      <c r="F7413" s="17" t="s">
        <v>10780</v>
      </c>
      <c r="G7413" s="17"/>
      <c r="H7413" s="17" t="s">
        <v>12908</v>
      </c>
      <c r="I7413" s="17"/>
      <c r="J7413" s="17" t="s">
        <v>14018</v>
      </c>
      <c r="K7413" s="17"/>
      <c r="L7413" s="17" t="s">
        <v>14019</v>
      </c>
      <c r="M7413" s="17"/>
      <c r="N7413" s="17" t="s">
        <v>16378</v>
      </c>
      <c r="O7413" s="17"/>
      <c r="P7413" s="17" t="s">
        <v>16768</v>
      </c>
      <c r="Q7413" s="17"/>
      <c r="R7413" s="25" t="str">
        <f>HYPERLINK("https://ictv.global/taxonomy/taxondetails?taxnode_id=202309021","Gemyduguivirus macra1")</f>
        <v>Gemyduguivirus macra1</v>
      </c>
      <c r="S7413" s="18" t="s">
        <v>30</v>
      </c>
      <c r="T7413" s="18" t="s">
        <v>16791</v>
      </c>
      <c r="U7413" s="18"/>
      <c r="V7413" s="18" t="s">
        <v>16792</v>
      </c>
      <c r="W7413" s="18" t="s">
        <v>16793</v>
      </c>
      <c r="X7413" s="18" t="s">
        <v>42</v>
      </c>
      <c r="Y7413" s="18" t="s">
        <v>12266</v>
      </c>
      <c r="Z7413" s="18" t="s">
        <v>13441</v>
      </c>
      <c r="AA7413" s="21" t="str">
        <f>HYPERLINK("https://www.ncbi.nlm.nih.gov/nuccore/MH939370","NCBI Nucleotide")</f>
        <v>NCBI Nucleotide</v>
      </c>
    </row>
    <row r="7414" spans="1:27" x14ac:dyDescent="0.35">
      <c r="A7414">
        <v>1008237</v>
      </c>
      <c r="B7414">
        <v>6885</v>
      </c>
      <c r="C7414">
        <v>1</v>
      </c>
      <c r="D7414" s="17" t="s">
        <v>10507</v>
      </c>
      <c r="E7414" s="17"/>
      <c r="F7414" s="17" t="s">
        <v>10780</v>
      </c>
      <c r="G7414" s="17"/>
      <c r="H7414" s="17" t="s">
        <v>12908</v>
      </c>
      <c r="I7414" s="17"/>
      <c r="J7414" s="17" t="s">
        <v>14018</v>
      </c>
      <c r="K7414" s="17"/>
      <c r="L7414" s="17" t="s">
        <v>14019</v>
      </c>
      <c r="M7414" s="17"/>
      <c r="N7414" s="17" t="s">
        <v>16378</v>
      </c>
      <c r="O7414" s="17"/>
      <c r="P7414" s="17" t="s">
        <v>16768</v>
      </c>
      <c r="Q7414" s="17"/>
      <c r="R7414" s="25" t="str">
        <f>HYPERLINK("https://ictv.global/taxonomy/taxondetails?taxnode_id=202309019","Gemyduguivirus merre1")</f>
        <v>Gemyduguivirus merre1</v>
      </c>
      <c r="S7414" s="18" t="s">
        <v>30</v>
      </c>
      <c r="T7414" s="18" t="s">
        <v>16794</v>
      </c>
      <c r="U7414" s="18"/>
      <c r="V7414" s="18" t="s">
        <v>16795</v>
      </c>
      <c r="W7414" s="18" t="s">
        <v>16796</v>
      </c>
      <c r="X7414" s="18" t="s">
        <v>42</v>
      </c>
      <c r="Y7414" s="18" t="s">
        <v>12266</v>
      </c>
      <c r="Z7414" s="18" t="s">
        <v>13441</v>
      </c>
      <c r="AA7414" s="21" t="str">
        <f>HYPERLINK("https://www.ncbi.nlm.nih.gov/nuccore/MH939417","NCBI Nucleotide")</f>
        <v>NCBI Nucleotide</v>
      </c>
    </row>
    <row r="7415" spans="1:27" x14ac:dyDescent="0.35">
      <c r="A7415">
        <v>1008238</v>
      </c>
      <c r="B7415">
        <v>6886</v>
      </c>
      <c r="C7415">
        <v>1</v>
      </c>
      <c r="D7415" s="17" t="s">
        <v>10507</v>
      </c>
      <c r="E7415" s="17"/>
      <c r="F7415" s="17" t="s">
        <v>10780</v>
      </c>
      <c r="G7415" s="17"/>
      <c r="H7415" s="17" t="s">
        <v>12908</v>
      </c>
      <c r="I7415" s="17"/>
      <c r="J7415" s="17" t="s">
        <v>14018</v>
      </c>
      <c r="K7415" s="17"/>
      <c r="L7415" s="17" t="s">
        <v>14019</v>
      </c>
      <c r="M7415" s="17"/>
      <c r="N7415" s="17" t="s">
        <v>16378</v>
      </c>
      <c r="O7415" s="17"/>
      <c r="P7415" s="17" t="s">
        <v>16768</v>
      </c>
      <c r="Q7415" s="17"/>
      <c r="R7415" s="25" t="str">
        <f>HYPERLINK("https://ictv.global/taxonomy/taxondetails?taxnode_id=202309023","Gemyduguivirus minti1")</f>
        <v>Gemyduguivirus minti1</v>
      </c>
      <c r="S7415" s="18" t="s">
        <v>30</v>
      </c>
      <c r="T7415" s="18" t="s">
        <v>16380</v>
      </c>
      <c r="U7415" s="18"/>
      <c r="V7415" s="18" t="s">
        <v>16797</v>
      </c>
      <c r="W7415" s="18" t="s">
        <v>16798</v>
      </c>
      <c r="X7415" s="18" t="s">
        <v>42</v>
      </c>
      <c r="Y7415" s="18" t="s">
        <v>12266</v>
      </c>
      <c r="Z7415" s="18" t="s">
        <v>166</v>
      </c>
      <c r="AA7415" s="21" t="str">
        <f>HYPERLINK("https://www.ncbi.nlm.nih.gov/nuccore/MK032731","NCBI Nucleotide")</f>
        <v>NCBI Nucleotide</v>
      </c>
    </row>
    <row r="7416" spans="1:27" x14ac:dyDescent="0.35">
      <c r="A7416">
        <v>1008239</v>
      </c>
      <c r="B7416">
        <v>6887</v>
      </c>
      <c r="C7416">
        <v>1</v>
      </c>
      <c r="D7416" s="17" t="s">
        <v>10507</v>
      </c>
      <c r="E7416" s="17"/>
      <c r="F7416" s="17" t="s">
        <v>10780</v>
      </c>
      <c r="G7416" s="17"/>
      <c r="H7416" s="17" t="s">
        <v>12908</v>
      </c>
      <c r="I7416" s="17"/>
      <c r="J7416" s="17" t="s">
        <v>14018</v>
      </c>
      <c r="K7416" s="17"/>
      <c r="L7416" s="17" t="s">
        <v>14019</v>
      </c>
      <c r="M7416" s="17"/>
      <c r="N7416" s="17" t="s">
        <v>16378</v>
      </c>
      <c r="O7416" s="17"/>
      <c r="P7416" s="17" t="s">
        <v>16768</v>
      </c>
      <c r="Q7416" s="17"/>
      <c r="R7416" s="25" t="str">
        <f>HYPERLINK("https://ictv.global/taxonomy/taxondetails?taxnode_id=202309020","Gemyduguivirus minti2")</f>
        <v>Gemyduguivirus minti2</v>
      </c>
      <c r="S7416" s="18" t="s">
        <v>30</v>
      </c>
      <c r="T7416" s="18" t="s">
        <v>16380</v>
      </c>
      <c r="U7416" s="18"/>
      <c r="V7416" s="18" t="s">
        <v>16799</v>
      </c>
      <c r="W7416" s="18" t="s">
        <v>16800</v>
      </c>
      <c r="X7416" s="18" t="s">
        <v>42</v>
      </c>
      <c r="Y7416" s="18" t="s">
        <v>12266</v>
      </c>
      <c r="Z7416" s="18" t="s">
        <v>166</v>
      </c>
      <c r="AA7416" s="21" t="str">
        <f>HYPERLINK("https://www.ncbi.nlm.nih.gov/nuccore/MK032726","NCBI Nucleotide")</f>
        <v>NCBI Nucleotide</v>
      </c>
    </row>
    <row r="7417" spans="1:27" x14ac:dyDescent="0.35">
      <c r="A7417">
        <v>1008240</v>
      </c>
      <c r="B7417">
        <v>6888</v>
      </c>
      <c r="C7417">
        <v>1</v>
      </c>
      <c r="D7417" s="17" t="s">
        <v>10507</v>
      </c>
      <c r="E7417" s="17"/>
      <c r="F7417" s="17" t="s">
        <v>10780</v>
      </c>
      <c r="G7417" s="17"/>
      <c r="H7417" s="17" t="s">
        <v>12908</v>
      </c>
      <c r="I7417" s="17"/>
      <c r="J7417" s="17" t="s">
        <v>14018</v>
      </c>
      <c r="K7417" s="17"/>
      <c r="L7417" s="17" t="s">
        <v>14019</v>
      </c>
      <c r="M7417" s="17"/>
      <c r="N7417" s="17" t="s">
        <v>16378</v>
      </c>
      <c r="O7417" s="17"/>
      <c r="P7417" s="17" t="s">
        <v>16768</v>
      </c>
      <c r="Q7417" s="17"/>
      <c r="R7417" s="25" t="str">
        <f>HYPERLINK("https://ictv.global/taxonomy/taxondetails?taxnode_id=202309028","Gemyduguivirus recro1")</f>
        <v>Gemyduguivirus recro1</v>
      </c>
      <c r="S7417" s="18" t="s">
        <v>30</v>
      </c>
      <c r="T7417" s="18" t="s">
        <v>16649</v>
      </c>
      <c r="U7417" s="18"/>
      <c r="V7417" s="18" t="s">
        <v>16801</v>
      </c>
      <c r="W7417" s="18" t="s">
        <v>16802</v>
      </c>
      <c r="X7417" s="18" t="s">
        <v>42</v>
      </c>
      <c r="Y7417" s="18" t="s">
        <v>12266</v>
      </c>
      <c r="Z7417" s="18" t="s">
        <v>166</v>
      </c>
      <c r="AA7417" s="21" t="str">
        <f>HYPERLINK("https://www.ncbi.nlm.nih.gov/nuccore/KY312558","NCBI Nucleotide")</f>
        <v>NCBI Nucleotide</v>
      </c>
    </row>
    <row r="7418" spans="1:27" x14ac:dyDescent="0.35">
      <c r="A7418">
        <v>1008241</v>
      </c>
      <c r="B7418">
        <v>6889</v>
      </c>
      <c r="C7418">
        <v>1</v>
      </c>
      <c r="D7418" s="17" t="s">
        <v>10507</v>
      </c>
      <c r="E7418" s="17"/>
      <c r="F7418" s="17" t="s">
        <v>10780</v>
      </c>
      <c r="G7418" s="17"/>
      <c r="H7418" s="17" t="s">
        <v>12908</v>
      </c>
      <c r="I7418" s="17"/>
      <c r="J7418" s="17" t="s">
        <v>14018</v>
      </c>
      <c r="K7418" s="17"/>
      <c r="L7418" s="17" t="s">
        <v>14019</v>
      </c>
      <c r="M7418" s="17"/>
      <c r="N7418" s="17" t="s">
        <v>16378</v>
      </c>
      <c r="O7418" s="17"/>
      <c r="P7418" s="17" t="s">
        <v>16803</v>
      </c>
      <c r="Q7418" s="17"/>
      <c r="R7418" s="25" t="str">
        <f>HYPERLINK("https://ictv.global/taxonomy/taxondetails?taxnode_id=202303599","Gemygorvirus cania1")</f>
        <v>Gemygorvirus cania1</v>
      </c>
      <c r="S7418" s="18" t="s">
        <v>30</v>
      </c>
      <c r="T7418" s="18" t="s">
        <v>16804</v>
      </c>
      <c r="U7418" s="18" t="s">
        <v>16805</v>
      </c>
      <c r="V7418" s="18" t="s">
        <v>16806</v>
      </c>
      <c r="W7418" s="18" t="s">
        <v>16807</v>
      </c>
      <c r="X7418" s="18" t="s">
        <v>42</v>
      </c>
      <c r="Y7418" s="18" t="s">
        <v>12266</v>
      </c>
      <c r="Z7418" s="18" t="s">
        <v>166</v>
      </c>
      <c r="AA7418" s="21" t="str">
        <f>HYPERLINK("https://www.ncbi.nlm.nih.gov/nuccore/KT862254","NCBI Nucleotide")</f>
        <v>NCBI Nucleotide</v>
      </c>
    </row>
    <row r="7419" spans="1:27" x14ac:dyDescent="0.35">
      <c r="A7419">
        <v>1008242</v>
      </c>
      <c r="B7419">
        <v>6890</v>
      </c>
      <c r="C7419">
        <v>1</v>
      </c>
      <c r="D7419" s="17" t="s">
        <v>10507</v>
      </c>
      <c r="E7419" s="17"/>
      <c r="F7419" s="17" t="s">
        <v>10780</v>
      </c>
      <c r="G7419" s="17"/>
      <c r="H7419" s="17" t="s">
        <v>12908</v>
      </c>
      <c r="I7419" s="17"/>
      <c r="J7419" s="17" t="s">
        <v>14018</v>
      </c>
      <c r="K7419" s="17"/>
      <c r="L7419" s="17" t="s">
        <v>14019</v>
      </c>
      <c r="M7419" s="17"/>
      <c r="N7419" s="17" t="s">
        <v>16378</v>
      </c>
      <c r="O7419" s="17"/>
      <c r="P7419" s="17" t="s">
        <v>16803</v>
      </c>
      <c r="Q7419" s="17"/>
      <c r="R7419" s="25" t="str">
        <f>HYPERLINK("https://ictv.global/taxonomy/taxondetails?taxnode_id=202309031","Gemygorvirus hydro1")</f>
        <v>Gemygorvirus hydro1</v>
      </c>
      <c r="S7419" s="18" t="s">
        <v>30</v>
      </c>
      <c r="T7419" s="18" t="s">
        <v>16808</v>
      </c>
      <c r="U7419" s="18"/>
      <c r="V7419" s="18" t="s">
        <v>16809</v>
      </c>
      <c r="W7419" s="18" t="s">
        <v>16810</v>
      </c>
      <c r="X7419" s="18" t="s">
        <v>42</v>
      </c>
      <c r="Y7419" s="18" t="s">
        <v>12266</v>
      </c>
      <c r="Z7419" s="18" t="s">
        <v>166</v>
      </c>
      <c r="AA7419" s="21" t="str">
        <f>HYPERLINK("https://www.ncbi.nlm.nih.gov/nuccore/MK483078","NCBI Nucleotide")</f>
        <v>NCBI Nucleotide</v>
      </c>
    </row>
    <row r="7420" spans="1:27" x14ac:dyDescent="0.35">
      <c r="A7420">
        <v>1008243</v>
      </c>
      <c r="B7420">
        <v>6891</v>
      </c>
      <c r="C7420">
        <v>1</v>
      </c>
      <c r="D7420" s="17" t="s">
        <v>10507</v>
      </c>
      <c r="E7420" s="17"/>
      <c r="F7420" s="17" t="s">
        <v>10780</v>
      </c>
      <c r="G7420" s="17"/>
      <c r="H7420" s="17" t="s">
        <v>12908</v>
      </c>
      <c r="I7420" s="17"/>
      <c r="J7420" s="17" t="s">
        <v>14018</v>
      </c>
      <c r="K7420" s="17"/>
      <c r="L7420" s="17" t="s">
        <v>14019</v>
      </c>
      <c r="M7420" s="17"/>
      <c r="N7420" s="17" t="s">
        <v>16378</v>
      </c>
      <c r="O7420" s="17"/>
      <c r="P7420" s="17" t="s">
        <v>16803</v>
      </c>
      <c r="Q7420" s="17"/>
      <c r="R7420" s="25" t="str">
        <f>HYPERLINK("https://ictv.global/taxonomy/taxondetails?taxnode_id=202303600","Gemygorvirus malas1")</f>
        <v>Gemygorvirus malas1</v>
      </c>
      <c r="S7420" s="18" t="s">
        <v>30</v>
      </c>
      <c r="T7420" s="18" t="s">
        <v>16811</v>
      </c>
      <c r="U7420" s="18" t="s">
        <v>16812</v>
      </c>
      <c r="V7420" s="18" t="s">
        <v>16813</v>
      </c>
      <c r="W7420" s="18" t="s">
        <v>16814</v>
      </c>
      <c r="X7420" s="18" t="s">
        <v>42</v>
      </c>
      <c r="Y7420" s="18" t="s">
        <v>12266</v>
      </c>
      <c r="Z7420" s="18" t="s">
        <v>166</v>
      </c>
      <c r="AA7420" s="21" t="str">
        <f>HYPERLINK("https://www.ncbi.nlm.nih.gov/nuccore/KT862238","NCBI Nucleotide")</f>
        <v>NCBI Nucleotide</v>
      </c>
    </row>
    <row r="7421" spans="1:27" x14ac:dyDescent="0.35">
      <c r="A7421">
        <v>1008244</v>
      </c>
      <c r="B7421">
        <v>6892</v>
      </c>
      <c r="C7421">
        <v>1</v>
      </c>
      <c r="D7421" s="17" t="s">
        <v>10507</v>
      </c>
      <c r="E7421" s="17"/>
      <c r="F7421" s="17" t="s">
        <v>10780</v>
      </c>
      <c r="G7421" s="17"/>
      <c r="H7421" s="17" t="s">
        <v>12908</v>
      </c>
      <c r="I7421" s="17"/>
      <c r="J7421" s="17" t="s">
        <v>14018</v>
      </c>
      <c r="K7421" s="17"/>
      <c r="L7421" s="17" t="s">
        <v>14019</v>
      </c>
      <c r="M7421" s="17"/>
      <c r="N7421" s="17" t="s">
        <v>16378</v>
      </c>
      <c r="O7421" s="17"/>
      <c r="P7421" s="17" t="s">
        <v>16803</v>
      </c>
      <c r="Q7421" s="17"/>
      <c r="R7421" s="25" t="str">
        <f>HYPERLINK("https://ictv.global/taxonomy/taxondetails?taxnode_id=202309032","Gemygorvirus opunt1")</f>
        <v>Gemygorvirus opunt1</v>
      </c>
      <c r="S7421" s="18" t="s">
        <v>30</v>
      </c>
      <c r="T7421" s="18" t="s">
        <v>16815</v>
      </c>
      <c r="U7421" s="18"/>
      <c r="V7421" s="18" t="s">
        <v>16816</v>
      </c>
      <c r="W7421" s="18" t="s">
        <v>16817</v>
      </c>
      <c r="X7421" s="18" t="s">
        <v>42</v>
      </c>
      <c r="Y7421" s="18" t="s">
        <v>12266</v>
      </c>
      <c r="Z7421" s="18" t="s">
        <v>13441</v>
      </c>
      <c r="AA7421" s="21" t="str">
        <f>HYPERLINK("https://www.ncbi.nlm.nih.gov/nuccore/MK947373","NCBI Nucleotide")</f>
        <v>NCBI Nucleotide</v>
      </c>
    </row>
    <row r="7422" spans="1:27" x14ac:dyDescent="0.35">
      <c r="A7422">
        <v>1008245</v>
      </c>
      <c r="B7422">
        <v>6893</v>
      </c>
      <c r="C7422">
        <v>1</v>
      </c>
      <c r="D7422" s="17" t="s">
        <v>10507</v>
      </c>
      <c r="E7422" s="17"/>
      <c r="F7422" s="17" t="s">
        <v>10780</v>
      </c>
      <c r="G7422" s="17"/>
      <c r="H7422" s="17" t="s">
        <v>12908</v>
      </c>
      <c r="I7422" s="17"/>
      <c r="J7422" s="17" t="s">
        <v>14018</v>
      </c>
      <c r="K7422" s="17"/>
      <c r="L7422" s="17" t="s">
        <v>14019</v>
      </c>
      <c r="M7422" s="17"/>
      <c r="N7422" s="17" t="s">
        <v>16378</v>
      </c>
      <c r="O7422" s="17"/>
      <c r="P7422" s="17" t="s">
        <v>16803</v>
      </c>
      <c r="Q7422" s="17"/>
      <c r="R7422" s="25" t="str">
        <f>HYPERLINK("https://ictv.global/taxonomy/taxondetails?taxnode_id=202309030","Gemygorvirus poaspe1")</f>
        <v>Gemygorvirus poaspe1</v>
      </c>
      <c r="S7422" s="18" t="s">
        <v>30</v>
      </c>
      <c r="T7422" s="18" t="s">
        <v>16818</v>
      </c>
      <c r="U7422" s="18"/>
      <c r="V7422" s="18" t="s">
        <v>16819</v>
      </c>
      <c r="W7422" s="18" t="s">
        <v>16820</v>
      </c>
      <c r="X7422" s="18" t="s">
        <v>42</v>
      </c>
      <c r="Y7422" s="18" t="s">
        <v>12266</v>
      </c>
      <c r="Z7422" s="18" t="s">
        <v>13441</v>
      </c>
      <c r="AA7422" s="21" t="str">
        <f>HYPERLINK("https://www.ncbi.nlm.nih.gov/nuccore/MH939361","NCBI Nucleotide")</f>
        <v>NCBI Nucleotide</v>
      </c>
    </row>
    <row r="7423" spans="1:27" x14ac:dyDescent="0.35">
      <c r="A7423">
        <v>1008246</v>
      </c>
      <c r="B7423">
        <v>6894</v>
      </c>
      <c r="C7423">
        <v>1</v>
      </c>
      <c r="D7423" s="17" t="s">
        <v>10507</v>
      </c>
      <c r="E7423" s="17"/>
      <c r="F7423" s="17" t="s">
        <v>10780</v>
      </c>
      <c r="G7423" s="17"/>
      <c r="H7423" s="17" t="s">
        <v>12908</v>
      </c>
      <c r="I7423" s="17"/>
      <c r="J7423" s="17" t="s">
        <v>14018</v>
      </c>
      <c r="K7423" s="17"/>
      <c r="L7423" s="17" t="s">
        <v>14019</v>
      </c>
      <c r="M7423" s="17"/>
      <c r="N7423" s="17" t="s">
        <v>16378</v>
      </c>
      <c r="O7423" s="17"/>
      <c r="P7423" s="17" t="s">
        <v>16803</v>
      </c>
      <c r="Q7423" s="17"/>
      <c r="R7423" s="25" t="str">
        <f>HYPERLINK("https://ictv.global/taxonomy/taxondetails?taxnode_id=202303601","Gemygorvirus ptero1")</f>
        <v>Gemygorvirus ptero1</v>
      </c>
      <c r="S7423" s="18" t="s">
        <v>30</v>
      </c>
      <c r="T7423" s="18" t="s">
        <v>16821</v>
      </c>
      <c r="U7423" s="18" t="s">
        <v>16822</v>
      </c>
      <c r="V7423" s="18" t="s">
        <v>16823</v>
      </c>
      <c r="W7423" s="18" t="s">
        <v>16824</v>
      </c>
      <c r="X7423" s="18" t="s">
        <v>42</v>
      </c>
      <c r="Y7423" s="18" t="s">
        <v>12266</v>
      </c>
      <c r="Z7423" s="18" t="s">
        <v>166</v>
      </c>
      <c r="AA7423" s="21" t="str">
        <f>HYPERLINK("https://www.ncbi.nlm.nih.gov/nuccore/KT732790","NCBI Nucleotide")</f>
        <v>NCBI Nucleotide</v>
      </c>
    </row>
    <row r="7424" spans="1:27" x14ac:dyDescent="0.35">
      <c r="A7424">
        <v>1008247</v>
      </c>
      <c r="B7424">
        <v>6895</v>
      </c>
      <c r="C7424">
        <v>1</v>
      </c>
      <c r="D7424" s="17" t="s">
        <v>10507</v>
      </c>
      <c r="E7424" s="17"/>
      <c r="F7424" s="17" t="s">
        <v>10780</v>
      </c>
      <c r="G7424" s="17"/>
      <c r="H7424" s="17" t="s">
        <v>12908</v>
      </c>
      <c r="I7424" s="17"/>
      <c r="J7424" s="17" t="s">
        <v>14018</v>
      </c>
      <c r="K7424" s="17"/>
      <c r="L7424" s="17" t="s">
        <v>14019</v>
      </c>
      <c r="M7424" s="17"/>
      <c r="N7424" s="17" t="s">
        <v>16378</v>
      </c>
      <c r="O7424" s="17"/>
      <c r="P7424" s="17" t="s">
        <v>16803</v>
      </c>
      <c r="Q7424" s="17"/>
      <c r="R7424" s="25" t="str">
        <f>HYPERLINK("https://ictv.global/taxonomy/taxondetails?taxnode_id=202303602","Gemygorvirus sewopo1")</f>
        <v>Gemygorvirus sewopo1</v>
      </c>
      <c r="S7424" s="18" t="s">
        <v>30</v>
      </c>
      <c r="T7424" s="18" t="s">
        <v>16825</v>
      </c>
      <c r="U7424" s="18" t="s">
        <v>16826</v>
      </c>
      <c r="V7424" s="18" t="s">
        <v>16827</v>
      </c>
      <c r="W7424" s="18" t="s">
        <v>16828</v>
      </c>
      <c r="X7424" s="18" t="s">
        <v>42</v>
      </c>
      <c r="Y7424" s="18" t="s">
        <v>12266</v>
      </c>
      <c r="Z7424" s="18" t="s">
        <v>16726</v>
      </c>
      <c r="AA7424" s="21" t="str">
        <f>HYPERLINK("https://www.ncbi.nlm.nih.gov/nuccore/KJ547635","NCBI Nucleotide")</f>
        <v>NCBI Nucleotide</v>
      </c>
    </row>
    <row r="7425" spans="1:27" x14ac:dyDescent="0.35">
      <c r="A7425">
        <v>1008248</v>
      </c>
      <c r="B7425">
        <v>6896</v>
      </c>
      <c r="C7425">
        <v>1</v>
      </c>
      <c r="D7425" s="17" t="s">
        <v>10507</v>
      </c>
      <c r="E7425" s="17"/>
      <c r="F7425" s="17" t="s">
        <v>10780</v>
      </c>
      <c r="G7425" s="17"/>
      <c r="H7425" s="17" t="s">
        <v>12908</v>
      </c>
      <c r="I7425" s="17"/>
      <c r="J7425" s="17" t="s">
        <v>14018</v>
      </c>
      <c r="K7425" s="17"/>
      <c r="L7425" s="17" t="s">
        <v>14019</v>
      </c>
      <c r="M7425" s="17"/>
      <c r="N7425" s="17" t="s">
        <v>16378</v>
      </c>
      <c r="O7425" s="17"/>
      <c r="P7425" s="17" t="s">
        <v>16803</v>
      </c>
      <c r="Q7425" s="17"/>
      <c r="R7425" s="25" t="str">
        <f>HYPERLINK("https://ictv.global/taxonomy/taxondetails?taxnode_id=202303603","Gemygorvirus stara1")</f>
        <v>Gemygorvirus stara1</v>
      </c>
      <c r="S7425" s="18" t="s">
        <v>30</v>
      </c>
      <c r="T7425" s="18" t="s">
        <v>16829</v>
      </c>
      <c r="U7425" s="18" t="s">
        <v>16830</v>
      </c>
      <c r="V7425" s="18" t="s">
        <v>16831</v>
      </c>
      <c r="W7425" s="18" t="s">
        <v>16832</v>
      </c>
      <c r="X7425" s="18" t="s">
        <v>42</v>
      </c>
      <c r="Y7425" s="18" t="s">
        <v>12266</v>
      </c>
      <c r="Z7425" s="18" t="s">
        <v>166</v>
      </c>
      <c r="AA7425" s="21" t="str">
        <f>HYPERLINK("https://www.ncbi.nlm.nih.gov/nuccore/KF371632","NCBI Nucleotide")</f>
        <v>NCBI Nucleotide</v>
      </c>
    </row>
    <row r="7426" spans="1:27" x14ac:dyDescent="0.35">
      <c r="A7426">
        <v>1008249</v>
      </c>
      <c r="B7426">
        <v>6897</v>
      </c>
      <c r="C7426">
        <v>1</v>
      </c>
      <c r="D7426" s="17" t="s">
        <v>10507</v>
      </c>
      <c r="E7426" s="17"/>
      <c r="F7426" s="17" t="s">
        <v>10780</v>
      </c>
      <c r="G7426" s="17"/>
      <c r="H7426" s="17" t="s">
        <v>12908</v>
      </c>
      <c r="I7426" s="17"/>
      <c r="J7426" s="17" t="s">
        <v>14018</v>
      </c>
      <c r="K7426" s="17"/>
      <c r="L7426" s="17" t="s">
        <v>14019</v>
      </c>
      <c r="M7426" s="17"/>
      <c r="N7426" s="17" t="s">
        <v>16378</v>
      </c>
      <c r="O7426" s="17"/>
      <c r="P7426" s="17" t="s">
        <v>16833</v>
      </c>
      <c r="Q7426" s="17"/>
      <c r="R7426" s="25" t="str">
        <f>HYPERLINK("https://ictv.global/taxonomy/taxondetails?taxnode_id=202309054","Gemykibivirus abati1")</f>
        <v>Gemykibivirus abati1</v>
      </c>
      <c r="S7426" s="18" t="s">
        <v>30</v>
      </c>
      <c r="T7426" s="18" t="s">
        <v>16380</v>
      </c>
      <c r="U7426" s="18"/>
      <c r="V7426" s="18" t="s">
        <v>16834</v>
      </c>
      <c r="W7426" s="18" t="s">
        <v>16835</v>
      </c>
      <c r="X7426" s="18" t="s">
        <v>42</v>
      </c>
      <c r="Y7426" s="18" t="s">
        <v>12266</v>
      </c>
      <c r="Z7426" s="18" t="s">
        <v>10790</v>
      </c>
      <c r="AA7426" s="21" t="str">
        <f>HYPERLINK("https://www.ncbi.nlm.nih.gov/nuccore/MK032696","NCBI Nucleotide")</f>
        <v>NCBI Nucleotide</v>
      </c>
    </row>
    <row r="7427" spans="1:27" x14ac:dyDescent="0.35">
      <c r="A7427">
        <v>1008250</v>
      </c>
      <c r="B7427">
        <v>6898</v>
      </c>
      <c r="C7427">
        <v>1</v>
      </c>
      <c r="D7427" s="17" t="s">
        <v>10507</v>
      </c>
      <c r="E7427" s="17"/>
      <c r="F7427" s="17" t="s">
        <v>10780</v>
      </c>
      <c r="G7427" s="17"/>
      <c r="H7427" s="17" t="s">
        <v>12908</v>
      </c>
      <c r="I7427" s="17"/>
      <c r="J7427" s="17" t="s">
        <v>14018</v>
      </c>
      <c r="K7427" s="17"/>
      <c r="L7427" s="17" t="s">
        <v>14019</v>
      </c>
      <c r="M7427" s="17"/>
      <c r="N7427" s="17" t="s">
        <v>16378</v>
      </c>
      <c r="O7427" s="17"/>
      <c r="P7427" s="17" t="s">
        <v>16833</v>
      </c>
      <c r="Q7427" s="17"/>
      <c r="R7427" s="25" t="str">
        <f>HYPERLINK("https://ictv.global/taxonomy/taxondetails?taxnode_id=202309055","Gemykibivirus abati2")</f>
        <v>Gemykibivirus abati2</v>
      </c>
      <c r="S7427" s="18" t="s">
        <v>30</v>
      </c>
      <c r="T7427" s="18" t="s">
        <v>16380</v>
      </c>
      <c r="U7427" s="18"/>
      <c r="V7427" s="18" t="s">
        <v>16836</v>
      </c>
      <c r="W7427" s="18" t="s">
        <v>16837</v>
      </c>
      <c r="X7427" s="18" t="s">
        <v>42</v>
      </c>
      <c r="Y7427" s="18" t="s">
        <v>12266</v>
      </c>
      <c r="Z7427" s="18" t="s">
        <v>10790</v>
      </c>
      <c r="AA7427" s="21" t="str">
        <f>HYPERLINK("https://www.ncbi.nlm.nih.gov/nuccore/MK032759","NCBI Nucleotide")</f>
        <v>NCBI Nucleotide</v>
      </c>
    </row>
    <row r="7428" spans="1:27" x14ac:dyDescent="0.35">
      <c r="A7428">
        <v>1008251</v>
      </c>
      <c r="B7428">
        <v>6899</v>
      </c>
      <c r="C7428">
        <v>1</v>
      </c>
      <c r="D7428" s="17" t="s">
        <v>10507</v>
      </c>
      <c r="E7428" s="17"/>
      <c r="F7428" s="17" t="s">
        <v>10780</v>
      </c>
      <c r="G7428" s="17"/>
      <c r="H7428" s="17" t="s">
        <v>12908</v>
      </c>
      <c r="I7428" s="17"/>
      <c r="J7428" s="17" t="s">
        <v>14018</v>
      </c>
      <c r="K7428" s="17"/>
      <c r="L7428" s="17" t="s">
        <v>14019</v>
      </c>
      <c r="M7428" s="17"/>
      <c r="N7428" s="17" t="s">
        <v>16378</v>
      </c>
      <c r="O7428" s="17"/>
      <c r="P7428" s="17" t="s">
        <v>16833</v>
      </c>
      <c r="Q7428" s="17"/>
      <c r="R7428" s="25" t="str">
        <f>HYPERLINK("https://ictv.global/taxonomy/taxondetails?taxnode_id=202309062","Gemykibivirus anima1")</f>
        <v>Gemykibivirus anima1</v>
      </c>
      <c r="S7428" s="18" t="s">
        <v>30</v>
      </c>
      <c r="T7428" s="18" t="s">
        <v>16838</v>
      </c>
      <c r="U7428" s="18"/>
      <c r="V7428" s="18" t="s">
        <v>16839</v>
      </c>
      <c r="W7428" s="18" t="s">
        <v>16840</v>
      </c>
      <c r="X7428" s="18" t="s">
        <v>42</v>
      </c>
      <c r="Y7428" s="18" t="s">
        <v>12266</v>
      </c>
      <c r="Z7428" s="18" t="s">
        <v>166</v>
      </c>
      <c r="AA7428" s="21" t="str">
        <f>HYPERLINK("https://www.ncbi.nlm.nih.gov/nuccore/KY214433","NCBI Nucleotide")</f>
        <v>NCBI Nucleotide</v>
      </c>
    </row>
    <row r="7429" spans="1:27" x14ac:dyDescent="0.35">
      <c r="A7429">
        <v>1008252</v>
      </c>
      <c r="B7429">
        <v>6900</v>
      </c>
      <c r="C7429">
        <v>1</v>
      </c>
      <c r="D7429" s="17" t="s">
        <v>10507</v>
      </c>
      <c r="E7429" s="17"/>
      <c r="F7429" s="17" t="s">
        <v>10780</v>
      </c>
      <c r="G7429" s="17"/>
      <c r="H7429" s="17" t="s">
        <v>12908</v>
      </c>
      <c r="I7429" s="17"/>
      <c r="J7429" s="17" t="s">
        <v>14018</v>
      </c>
      <c r="K7429" s="17"/>
      <c r="L7429" s="17" t="s">
        <v>14019</v>
      </c>
      <c r="M7429" s="17"/>
      <c r="N7429" s="17" t="s">
        <v>16378</v>
      </c>
      <c r="O7429" s="17"/>
      <c r="P7429" s="17" t="s">
        <v>16833</v>
      </c>
      <c r="Q7429" s="17"/>
      <c r="R7429" s="25" t="str">
        <f>HYPERLINK("https://ictv.global/taxonomy/taxondetails?taxnode_id=202303605","Gemykibivirus badas1")</f>
        <v>Gemykibivirus badas1</v>
      </c>
      <c r="S7429" s="18" t="s">
        <v>30</v>
      </c>
      <c r="T7429" s="18" t="s">
        <v>16841</v>
      </c>
      <c r="U7429" s="18" t="s">
        <v>16842</v>
      </c>
      <c r="V7429" s="18" t="s">
        <v>16843</v>
      </c>
      <c r="W7429" s="18" t="s">
        <v>16844</v>
      </c>
      <c r="X7429" s="18" t="s">
        <v>42</v>
      </c>
      <c r="Y7429" s="18" t="s">
        <v>12266</v>
      </c>
      <c r="Z7429" s="18" t="s">
        <v>166</v>
      </c>
      <c r="AA7429" s="21" t="str">
        <f>HYPERLINK("https://www.ncbi.nlm.nih.gov/nuccore/KP263543","NCBI Nucleotide")</f>
        <v>NCBI Nucleotide</v>
      </c>
    </row>
    <row r="7430" spans="1:27" x14ac:dyDescent="0.35">
      <c r="A7430">
        <v>1008253</v>
      </c>
      <c r="B7430">
        <v>6901</v>
      </c>
      <c r="C7430">
        <v>1</v>
      </c>
      <c r="D7430" s="17" t="s">
        <v>10507</v>
      </c>
      <c r="E7430" s="17"/>
      <c r="F7430" s="17" t="s">
        <v>10780</v>
      </c>
      <c r="G7430" s="17"/>
      <c r="H7430" s="17" t="s">
        <v>12908</v>
      </c>
      <c r="I7430" s="17"/>
      <c r="J7430" s="17" t="s">
        <v>14018</v>
      </c>
      <c r="K7430" s="17"/>
      <c r="L7430" s="17" t="s">
        <v>14019</v>
      </c>
      <c r="M7430" s="17"/>
      <c r="N7430" s="17" t="s">
        <v>16378</v>
      </c>
      <c r="O7430" s="17"/>
      <c r="P7430" s="17" t="s">
        <v>16833</v>
      </c>
      <c r="Q7430" s="17"/>
      <c r="R7430" s="25" t="str">
        <f>HYPERLINK("https://ictv.global/taxonomy/taxondetails?taxnode_id=202309065","Gemykibivirus bemta1")</f>
        <v>Gemykibivirus bemta1</v>
      </c>
      <c r="S7430" s="18" t="s">
        <v>30</v>
      </c>
      <c r="T7430" s="18" t="s">
        <v>16845</v>
      </c>
      <c r="U7430" s="18"/>
      <c r="V7430" s="18" t="s">
        <v>16846</v>
      </c>
      <c r="W7430" s="18" t="s">
        <v>16847</v>
      </c>
      <c r="X7430" s="18" t="s">
        <v>42</v>
      </c>
      <c r="Y7430" s="18" t="s">
        <v>12266</v>
      </c>
      <c r="Z7430" s="18" t="s">
        <v>10790</v>
      </c>
      <c r="AA7430" s="21" t="str">
        <f>HYPERLINK("https://www.ncbi.nlm.nih.gov/nuccore/KY230625","NCBI Nucleotide")</f>
        <v>NCBI Nucleotide</v>
      </c>
    </row>
    <row r="7431" spans="1:27" x14ac:dyDescent="0.35">
      <c r="A7431">
        <v>1008254</v>
      </c>
      <c r="B7431">
        <v>6902</v>
      </c>
      <c r="C7431">
        <v>1</v>
      </c>
      <c r="D7431" s="17" t="s">
        <v>10507</v>
      </c>
      <c r="E7431" s="17"/>
      <c r="F7431" s="17" t="s">
        <v>10780</v>
      </c>
      <c r="G7431" s="17"/>
      <c r="H7431" s="17" t="s">
        <v>12908</v>
      </c>
      <c r="I7431" s="17"/>
      <c r="J7431" s="17" t="s">
        <v>14018</v>
      </c>
      <c r="K7431" s="17"/>
      <c r="L7431" s="17" t="s">
        <v>14019</v>
      </c>
      <c r="M7431" s="17"/>
      <c r="N7431" s="17" t="s">
        <v>16378</v>
      </c>
      <c r="O7431" s="17"/>
      <c r="P7431" s="17" t="s">
        <v>16833</v>
      </c>
      <c r="Q7431" s="17"/>
      <c r="R7431" s="25" t="str">
        <f>HYPERLINK("https://ictv.global/taxonomy/taxondetails?taxnode_id=202303607","Gemykibivirus blabi1")</f>
        <v>Gemykibivirus blabi1</v>
      </c>
      <c r="S7431" s="18" t="s">
        <v>30</v>
      </c>
      <c r="T7431" s="18" t="s">
        <v>16848</v>
      </c>
      <c r="U7431" s="18" t="s">
        <v>16849</v>
      </c>
      <c r="V7431" s="18" t="s">
        <v>16850</v>
      </c>
      <c r="W7431" s="18" t="s">
        <v>16851</v>
      </c>
      <c r="X7431" s="18" t="s">
        <v>42</v>
      </c>
      <c r="Y7431" s="18" t="s">
        <v>12266</v>
      </c>
      <c r="Z7431" s="18" t="s">
        <v>166</v>
      </c>
      <c r="AA7431" s="21" t="str">
        <f>HYPERLINK("https://www.ncbi.nlm.nih.gov/nuccore/KF371633","NCBI Nucleotide")</f>
        <v>NCBI Nucleotide</v>
      </c>
    </row>
    <row r="7432" spans="1:27" x14ac:dyDescent="0.35">
      <c r="A7432">
        <v>1008255</v>
      </c>
      <c r="B7432">
        <v>6903</v>
      </c>
      <c r="C7432">
        <v>1</v>
      </c>
      <c r="D7432" s="17" t="s">
        <v>10507</v>
      </c>
      <c r="E7432" s="17"/>
      <c r="F7432" s="17" t="s">
        <v>10780</v>
      </c>
      <c r="G7432" s="17"/>
      <c r="H7432" s="17" t="s">
        <v>12908</v>
      </c>
      <c r="I7432" s="17"/>
      <c r="J7432" s="17" t="s">
        <v>14018</v>
      </c>
      <c r="K7432" s="17"/>
      <c r="L7432" s="17" t="s">
        <v>14019</v>
      </c>
      <c r="M7432" s="17"/>
      <c r="N7432" s="17" t="s">
        <v>16378</v>
      </c>
      <c r="O7432" s="17"/>
      <c r="P7432" s="17" t="s">
        <v>16833</v>
      </c>
      <c r="Q7432" s="17"/>
      <c r="R7432" s="25" t="str">
        <f>HYPERLINK("https://ictv.global/taxonomy/taxondetails?taxnode_id=202303606","Gemykibivirus blaro1")</f>
        <v>Gemykibivirus blaro1</v>
      </c>
      <c r="S7432" s="18" t="s">
        <v>30</v>
      </c>
      <c r="T7432" s="18" t="s">
        <v>16852</v>
      </c>
      <c r="U7432" s="18" t="s">
        <v>16853</v>
      </c>
      <c r="V7432" s="18" t="s">
        <v>16854</v>
      </c>
      <c r="W7432" s="18" t="s">
        <v>16855</v>
      </c>
      <c r="X7432" s="18" t="s">
        <v>42</v>
      </c>
      <c r="Y7432" s="18" t="s">
        <v>12266</v>
      </c>
      <c r="Z7432" s="18" t="s">
        <v>166</v>
      </c>
      <c r="AA7432" s="21" t="str">
        <f>HYPERLINK("https://www.ncbi.nlm.nih.gov/nuccore/KF371634","NCBI Nucleotide")</f>
        <v>NCBI Nucleotide</v>
      </c>
    </row>
    <row r="7433" spans="1:27" x14ac:dyDescent="0.35">
      <c r="A7433">
        <v>1008256</v>
      </c>
      <c r="B7433">
        <v>6904</v>
      </c>
      <c r="C7433">
        <v>1</v>
      </c>
      <c r="D7433" s="17" t="s">
        <v>10507</v>
      </c>
      <c r="E7433" s="17"/>
      <c r="F7433" s="17" t="s">
        <v>10780</v>
      </c>
      <c r="G7433" s="17"/>
      <c r="H7433" s="17" t="s">
        <v>12908</v>
      </c>
      <c r="I7433" s="17"/>
      <c r="J7433" s="17" t="s">
        <v>14018</v>
      </c>
      <c r="K7433" s="17"/>
      <c r="L7433" s="17" t="s">
        <v>14019</v>
      </c>
      <c r="M7433" s="17"/>
      <c r="N7433" s="17" t="s">
        <v>16378</v>
      </c>
      <c r="O7433" s="17"/>
      <c r="P7433" s="17" t="s">
        <v>16833</v>
      </c>
      <c r="Q7433" s="17"/>
      <c r="R7433" s="25" t="str">
        <f>HYPERLINK("https://ictv.global/taxonomy/taxondetails?taxnode_id=202303608","Gemykibivirus bovas1")</f>
        <v>Gemykibivirus bovas1</v>
      </c>
      <c r="S7433" s="18" t="s">
        <v>30</v>
      </c>
      <c r="T7433" s="18" t="s">
        <v>16856</v>
      </c>
      <c r="U7433" s="18" t="s">
        <v>16857</v>
      </c>
      <c r="V7433" s="18" t="s">
        <v>16858</v>
      </c>
      <c r="W7433" s="18" t="s">
        <v>16859</v>
      </c>
      <c r="X7433" s="18" t="s">
        <v>42</v>
      </c>
      <c r="Y7433" s="18" t="s">
        <v>12266</v>
      </c>
      <c r="Z7433" s="18" t="s">
        <v>166</v>
      </c>
      <c r="AA7433" s="21" t="str">
        <f>HYPERLINK("https://www.ncbi.nlm.nih.gov/nuccore/LK931483","NCBI Nucleotide")</f>
        <v>NCBI Nucleotide</v>
      </c>
    </row>
    <row r="7434" spans="1:27" x14ac:dyDescent="0.35">
      <c r="A7434">
        <v>1008257</v>
      </c>
      <c r="B7434">
        <v>6905</v>
      </c>
      <c r="C7434">
        <v>1</v>
      </c>
      <c r="D7434" s="17" t="s">
        <v>10507</v>
      </c>
      <c r="E7434" s="17"/>
      <c r="F7434" s="17" t="s">
        <v>10780</v>
      </c>
      <c r="G7434" s="17"/>
      <c r="H7434" s="17" t="s">
        <v>12908</v>
      </c>
      <c r="I7434" s="17"/>
      <c r="J7434" s="17" t="s">
        <v>14018</v>
      </c>
      <c r="K7434" s="17"/>
      <c r="L7434" s="17" t="s">
        <v>14019</v>
      </c>
      <c r="M7434" s="17"/>
      <c r="N7434" s="17" t="s">
        <v>16378</v>
      </c>
      <c r="O7434" s="17"/>
      <c r="P7434" s="17" t="s">
        <v>16833</v>
      </c>
      <c r="Q7434" s="17"/>
      <c r="R7434" s="25" t="str">
        <f>HYPERLINK("https://ictv.global/taxonomy/taxondetails?taxnode_id=202309038","Gemykibivirus canfam1")</f>
        <v>Gemykibivirus canfam1</v>
      </c>
      <c r="S7434" s="18" t="s">
        <v>30</v>
      </c>
      <c r="T7434" s="18" t="s">
        <v>16860</v>
      </c>
      <c r="U7434" s="18"/>
      <c r="V7434" s="18" t="s">
        <v>12403</v>
      </c>
      <c r="W7434" s="18" t="s">
        <v>16861</v>
      </c>
      <c r="X7434" s="18" t="s">
        <v>42</v>
      </c>
      <c r="Y7434" s="18" t="s">
        <v>12266</v>
      </c>
      <c r="Z7434" s="18" t="s">
        <v>166</v>
      </c>
      <c r="AA7434" s="21" t="str">
        <f>HYPERLINK("https://www.ncbi.nlm.nih.gov/nuccore/KY214441","NCBI Nucleotide")</f>
        <v>NCBI Nucleotide</v>
      </c>
    </row>
    <row r="7435" spans="1:27" x14ac:dyDescent="0.35">
      <c r="A7435">
        <v>1008258</v>
      </c>
      <c r="B7435">
        <v>6906</v>
      </c>
      <c r="C7435">
        <v>1</v>
      </c>
      <c r="D7435" s="17" t="s">
        <v>10507</v>
      </c>
      <c r="E7435" s="17"/>
      <c r="F7435" s="17" t="s">
        <v>10780</v>
      </c>
      <c r="G7435" s="17"/>
      <c r="H7435" s="17" t="s">
        <v>12908</v>
      </c>
      <c r="I7435" s="17"/>
      <c r="J7435" s="17" t="s">
        <v>14018</v>
      </c>
      <c r="K7435" s="17"/>
      <c r="L7435" s="17" t="s">
        <v>14019</v>
      </c>
      <c r="M7435" s="17"/>
      <c r="N7435" s="17" t="s">
        <v>16378</v>
      </c>
      <c r="O7435" s="17"/>
      <c r="P7435" s="17" t="s">
        <v>16833</v>
      </c>
      <c r="Q7435" s="17"/>
      <c r="R7435" s="25" t="str">
        <f>HYPERLINK("https://ictv.global/taxonomy/taxondetails?taxnode_id=202309061","Gemykibivirus cowchi1")</f>
        <v>Gemykibivirus cowchi1</v>
      </c>
      <c r="S7435" s="18" t="s">
        <v>30</v>
      </c>
      <c r="T7435" s="18" t="s">
        <v>16862</v>
      </c>
      <c r="U7435" s="18"/>
      <c r="V7435" s="18" t="s">
        <v>16863</v>
      </c>
      <c r="W7435" s="18" t="s">
        <v>16864</v>
      </c>
      <c r="X7435" s="18" t="s">
        <v>42</v>
      </c>
      <c r="Y7435" s="18" t="s">
        <v>12266</v>
      </c>
      <c r="Z7435" s="18" t="s">
        <v>166</v>
      </c>
      <c r="AA7435" s="21" t="str">
        <f>HYPERLINK("https://www.ncbi.nlm.nih.gov/nuccore/MF669480","NCBI Nucleotide")</f>
        <v>NCBI Nucleotide</v>
      </c>
    </row>
    <row r="7436" spans="1:27" x14ac:dyDescent="0.35">
      <c r="A7436">
        <v>1008259</v>
      </c>
      <c r="B7436">
        <v>6907</v>
      </c>
      <c r="C7436">
        <v>1</v>
      </c>
      <c r="D7436" s="17" t="s">
        <v>10507</v>
      </c>
      <c r="E7436" s="17"/>
      <c r="F7436" s="17" t="s">
        <v>10780</v>
      </c>
      <c r="G7436" s="17"/>
      <c r="H7436" s="17" t="s">
        <v>12908</v>
      </c>
      <c r="I7436" s="17"/>
      <c r="J7436" s="17" t="s">
        <v>14018</v>
      </c>
      <c r="K7436" s="17"/>
      <c r="L7436" s="17" t="s">
        <v>14019</v>
      </c>
      <c r="M7436" s="17"/>
      <c r="N7436" s="17" t="s">
        <v>16378</v>
      </c>
      <c r="O7436" s="17"/>
      <c r="P7436" s="17" t="s">
        <v>16833</v>
      </c>
      <c r="Q7436" s="17"/>
      <c r="R7436" s="25" t="str">
        <f>HYPERLINK("https://ictv.global/taxonomy/taxondetails?taxnode_id=202309039","Gemykibivirus cybusi1")</f>
        <v>Gemykibivirus cybusi1</v>
      </c>
      <c r="S7436" s="18" t="s">
        <v>30</v>
      </c>
      <c r="T7436" s="18" t="s">
        <v>16865</v>
      </c>
      <c r="U7436" s="18"/>
      <c r="V7436" s="18" t="s">
        <v>16866</v>
      </c>
      <c r="W7436" s="18" t="s">
        <v>16867</v>
      </c>
      <c r="X7436" s="18" t="s">
        <v>42</v>
      </c>
      <c r="Y7436" s="18" t="s">
        <v>12266</v>
      </c>
      <c r="Z7436" s="18" t="s">
        <v>10790</v>
      </c>
      <c r="AA7436" s="21" t="str">
        <f>HYPERLINK("https://www.ncbi.nlm.nih.gov/nuccore/MH545507","NCBI Nucleotide")</f>
        <v>NCBI Nucleotide</v>
      </c>
    </row>
    <row r="7437" spans="1:27" x14ac:dyDescent="0.35">
      <c r="A7437">
        <v>1008260</v>
      </c>
      <c r="B7437">
        <v>6908</v>
      </c>
      <c r="C7437">
        <v>1</v>
      </c>
      <c r="D7437" s="17" t="s">
        <v>10507</v>
      </c>
      <c r="E7437" s="17"/>
      <c r="F7437" s="17" t="s">
        <v>10780</v>
      </c>
      <c r="G7437" s="17"/>
      <c r="H7437" s="17" t="s">
        <v>12908</v>
      </c>
      <c r="I7437" s="17"/>
      <c r="J7437" s="17" t="s">
        <v>14018</v>
      </c>
      <c r="K7437" s="17"/>
      <c r="L7437" s="17" t="s">
        <v>14019</v>
      </c>
      <c r="M7437" s="17"/>
      <c r="N7437" s="17" t="s">
        <v>16378</v>
      </c>
      <c r="O7437" s="17"/>
      <c r="P7437" s="17" t="s">
        <v>16833</v>
      </c>
      <c r="Q7437" s="17"/>
      <c r="R7437" s="25" t="str">
        <f>HYPERLINK("https://ictv.global/taxonomy/taxondetails?taxnode_id=202309040","Gemykibivirus cynas1")</f>
        <v>Gemykibivirus cynas1</v>
      </c>
      <c r="S7437" s="18" t="s">
        <v>30</v>
      </c>
      <c r="T7437" s="18" t="s">
        <v>16868</v>
      </c>
      <c r="U7437" s="18"/>
      <c r="V7437" s="18" t="s">
        <v>16869</v>
      </c>
      <c r="W7437" s="18" t="s">
        <v>16870</v>
      </c>
      <c r="X7437" s="18" t="s">
        <v>42</v>
      </c>
      <c r="Y7437" s="18" t="s">
        <v>12266</v>
      </c>
      <c r="Z7437" s="18" t="s">
        <v>13441</v>
      </c>
      <c r="AA7437" s="21" t="str">
        <f>HYPERLINK("https://www.ncbi.nlm.nih.gov/nuccore/MH939438","NCBI Nucleotide")</f>
        <v>NCBI Nucleotide</v>
      </c>
    </row>
    <row r="7438" spans="1:27" x14ac:dyDescent="0.35">
      <c r="A7438">
        <v>1008261</v>
      </c>
      <c r="B7438">
        <v>6909</v>
      </c>
      <c r="C7438">
        <v>1</v>
      </c>
      <c r="D7438" s="17" t="s">
        <v>10507</v>
      </c>
      <c r="E7438" s="17"/>
      <c r="F7438" s="17" t="s">
        <v>10780</v>
      </c>
      <c r="G7438" s="17"/>
      <c r="H7438" s="17" t="s">
        <v>12908</v>
      </c>
      <c r="I7438" s="17"/>
      <c r="J7438" s="17" t="s">
        <v>14018</v>
      </c>
      <c r="K7438" s="17"/>
      <c r="L7438" s="17" t="s">
        <v>14019</v>
      </c>
      <c r="M7438" s="17"/>
      <c r="N7438" s="17" t="s">
        <v>16378</v>
      </c>
      <c r="O7438" s="17"/>
      <c r="P7438" s="17" t="s">
        <v>16833</v>
      </c>
      <c r="Q7438" s="17"/>
      <c r="R7438" s="25" t="str">
        <f>HYPERLINK("https://ictv.global/taxonomy/taxondetails?taxnode_id=202303609","Gemykibivirus draga1")</f>
        <v>Gemykibivirus draga1</v>
      </c>
      <c r="S7438" s="18" t="s">
        <v>30</v>
      </c>
      <c r="T7438" s="18" t="s">
        <v>16871</v>
      </c>
      <c r="U7438" s="18" t="s">
        <v>16872</v>
      </c>
      <c r="V7438" s="18" t="s">
        <v>16873</v>
      </c>
      <c r="W7438" s="18" t="s">
        <v>16874</v>
      </c>
      <c r="X7438" s="18" t="s">
        <v>42</v>
      </c>
      <c r="Y7438" s="18" t="s">
        <v>12266</v>
      </c>
      <c r="Z7438" s="18" t="s">
        <v>10790</v>
      </c>
      <c r="AA7438" s="21" t="str">
        <f>HYPERLINK("https://www.ncbi.nlm.nih.gov/nuccore/JX185430","NCBI Nucleotide")</f>
        <v>NCBI Nucleotide</v>
      </c>
    </row>
    <row r="7439" spans="1:27" x14ac:dyDescent="0.35">
      <c r="A7439">
        <v>1008262</v>
      </c>
      <c r="B7439">
        <v>6910</v>
      </c>
      <c r="C7439">
        <v>1</v>
      </c>
      <c r="D7439" s="17" t="s">
        <v>10507</v>
      </c>
      <c r="E7439" s="17"/>
      <c r="F7439" s="17" t="s">
        <v>10780</v>
      </c>
      <c r="G7439" s="17"/>
      <c r="H7439" s="17" t="s">
        <v>12908</v>
      </c>
      <c r="I7439" s="17"/>
      <c r="J7439" s="17" t="s">
        <v>14018</v>
      </c>
      <c r="K7439" s="17"/>
      <c r="L7439" s="17" t="s">
        <v>14019</v>
      </c>
      <c r="M7439" s="17"/>
      <c r="N7439" s="17" t="s">
        <v>16378</v>
      </c>
      <c r="O7439" s="17"/>
      <c r="P7439" s="17" t="s">
        <v>16833</v>
      </c>
      <c r="Q7439" s="17"/>
      <c r="R7439" s="25" t="str">
        <f>HYPERLINK("https://ictv.global/taxonomy/taxondetails?taxnode_id=202309035","Gemykibivirus echi1")</f>
        <v>Gemykibivirus echi1</v>
      </c>
      <c r="S7439" s="18" t="s">
        <v>30</v>
      </c>
      <c r="T7439" s="18" t="s">
        <v>16875</v>
      </c>
      <c r="U7439" s="18"/>
      <c r="V7439" s="18" t="s">
        <v>16876</v>
      </c>
      <c r="W7439" s="18" t="s">
        <v>16877</v>
      </c>
      <c r="X7439" s="18" t="s">
        <v>42</v>
      </c>
      <c r="Y7439" s="18" t="s">
        <v>12266</v>
      </c>
      <c r="Z7439" s="18" t="s">
        <v>10790</v>
      </c>
      <c r="AA7439" s="21" t="str">
        <f>HYPERLINK("https://www.ncbi.nlm.nih.gov/nuccore/KY308269","NCBI Nucleotide")</f>
        <v>NCBI Nucleotide</v>
      </c>
    </row>
    <row r="7440" spans="1:27" x14ac:dyDescent="0.35">
      <c r="A7440">
        <v>1008263</v>
      </c>
      <c r="B7440">
        <v>6911</v>
      </c>
      <c r="C7440">
        <v>1</v>
      </c>
      <c r="D7440" s="17" t="s">
        <v>10507</v>
      </c>
      <c r="E7440" s="17"/>
      <c r="F7440" s="17" t="s">
        <v>10780</v>
      </c>
      <c r="G7440" s="17"/>
      <c r="H7440" s="17" t="s">
        <v>12908</v>
      </c>
      <c r="I7440" s="17"/>
      <c r="J7440" s="17" t="s">
        <v>14018</v>
      </c>
      <c r="K7440" s="17"/>
      <c r="L7440" s="17" t="s">
        <v>14019</v>
      </c>
      <c r="M7440" s="17"/>
      <c r="N7440" s="17" t="s">
        <v>16378</v>
      </c>
      <c r="O7440" s="17"/>
      <c r="P7440" s="17" t="s">
        <v>16833</v>
      </c>
      <c r="Q7440" s="17"/>
      <c r="R7440" s="25" t="str">
        <f>HYPERLINK("https://ictv.global/taxonomy/taxondetails?taxnode_id=202309063","Gemykibivirus galga1")</f>
        <v>Gemykibivirus galga1</v>
      </c>
      <c r="S7440" s="18" t="s">
        <v>30</v>
      </c>
      <c r="T7440" s="18" t="s">
        <v>16878</v>
      </c>
      <c r="U7440" s="18"/>
      <c r="V7440" s="18" t="s">
        <v>16879</v>
      </c>
      <c r="W7440" s="18" t="s">
        <v>16880</v>
      </c>
      <c r="X7440" s="18" t="s">
        <v>42</v>
      </c>
      <c r="Y7440" s="18" t="s">
        <v>12266</v>
      </c>
      <c r="Z7440" s="18" t="s">
        <v>166</v>
      </c>
      <c r="AA7440" s="21" t="str">
        <f>HYPERLINK("https://www.ncbi.nlm.nih.gov/nuccore/MN379612","NCBI Nucleotide")</f>
        <v>NCBI Nucleotide</v>
      </c>
    </row>
    <row r="7441" spans="1:27" x14ac:dyDescent="0.35">
      <c r="A7441">
        <v>1008264</v>
      </c>
      <c r="B7441">
        <v>6912</v>
      </c>
      <c r="C7441">
        <v>1</v>
      </c>
      <c r="D7441" s="17" t="s">
        <v>10507</v>
      </c>
      <c r="E7441" s="17"/>
      <c r="F7441" s="17" t="s">
        <v>10780</v>
      </c>
      <c r="G7441" s="17"/>
      <c r="H7441" s="17" t="s">
        <v>12908</v>
      </c>
      <c r="I7441" s="17"/>
      <c r="J7441" s="17" t="s">
        <v>14018</v>
      </c>
      <c r="K7441" s="17"/>
      <c r="L7441" s="17" t="s">
        <v>14019</v>
      </c>
      <c r="M7441" s="17"/>
      <c r="N7441" s="17" t="s">
        <v>16378</v>
      </c>
      <c r="O7441" s="17"/>
      <c r="P7441" s="17" t="s">
        <v>16833</v>
      </c>
      <c r="Q7441" s="17"/>
      <c r="R7441" s="25" t="str">
        <f>HYPERLINK("https://ictv.global/taxonomy/taxondetails?taxnode_id=202309064","Gemykibivirus galga2")</f>
        <v>Gemykibivirus galga2</v>
      </c>
      <c r="S7441" s="18" t="s">
        <v>30</v>
      </c>
      <c r="T7441" s="18" t="s">
        <v>16881</v>
      </c>
      <c r="U7441" s="18"/>
      <c r="V7441" s="18" t="s">
        <v>16882</v>
      </c>
      <c r="W7441" s="18" t="s">
        <v>16883</v>
      </c>
      <c r="X7441" s="18" t="s">
        <v>42</v>
      </c>
      <c r="Y7441" s="18" t="s">
        <v>12266</v>
      </c>
      <c r="Z7441" s="18" t="s">
        <v>166</v>
      </c>
      <c r="AA7441" s="21" t="str">
        <f>HYPERLINK("https://www.ncbi.nlm.nih.gov/nuccore/MN379615","NCBI Nucleotide")</f>
        <v>NCBI Nucleotide</v>
      </c>
    </row>
    <row r="7442" spans="1:27" x14ac:dyDescent="0.35">
      <c r="A7442">
        <v>1008265</v>
      </c>
      <c r="B7442">
        <v>6913</v>
      </c>
      <c r="C7442">
        <v>1</v>
      </c>
      <c r="D7442" s="17" t="s">
        <v>10507</v>
      </c>
      <c r="E7442" s="17"/>
      <c r="F7442" s="17" t="s">
        <v>10780</v>
      </c>
      <c r="G7442" s="17"/>
      <c r="H7442" s="17" t="s">
        <v>12908</v>
      </c>
      <c r="I7442" s="17"/>
      <c r="J7442" s="17" t="s">
        <v>14018</v>
      </c>
      <c r="K7442" s="17"/>
      <c r="L7442" s="17" t="s">
        <v>14019</v>
      </c>
      <c r="M7442" s="17"/>
      <c r="N7442" s="17" t="s">
        <v>16378</v>
      </c>
      <c r="O7442" s="17"/>
      <c r="P7442" s="17" t="s">
        <v>16833</v>
      </c>
      <c r="Q7442" s="17"/>
      <c r="R7442" s="25" t="str">
        <f>HYPERLINK("https://ictv.global/taxonomy/taxondetails?taxnode_id=202309066","Gemykibivirus galga3")</f>
        <v>Gemykibivirus galga3</v>
      </c>
      <c r="S7442" s="18" t="s">
        <v>30</v>
      </c>
      <c r="T7442" s="18" t="s">
        <v>16884</v>
      </c>
      <c r="U7442" s="18"/>
      <c r="V7442" s="18" t="s">
        <v>16885</v>
      </c>
      <c r="W7442" s="18" t="s">
        <v>16886</v>
      </c>
      <c r="X7442" s="18" t="s">
        <v>42</v>
      </c>
      <c r="Y7442" s="18" t="s">
        <v>12266</v>
      </c>
      <c r="Z7442" s="18" t="s">
        <v>166</v>
      </c>
      <c r="AA7442" s="21" t="str">
        <f>HYPERLINK("https://www.ncbi.nlm.nih.gov/nuccore/MN379608","NCBI Nucleotide")</f>
        <v>NCBI Nucleotide</v>
      </c>
    </row>
    <row r="7443" spans="1:27" x14ac:dyDescent="0.35">
      <c r="A7443">
        <v>1008266</v>
      </c>
      <c r="B7443">
        <v>6914</v>
      </c>
      <c r="C7443">
        <v>1</v>
      </c>
      <c r="D7443" s="17" t="s">
        <v>10507</v>
      </c>
      <c r="E7443" s="17"/>
      <c r="F7443" s="17" t="s">
        <v>10780</v>
      </c>
      <c r="G7443" s="17"/>
      <c r="H7443" s="17" t="s">
        <v>12908</v>
      </c>
      <c r="I7443" s="17"/>
      <c r="J7443" s="17" t="s">
        <v>14018</v>
      </c>
      <c r="K7443" s="17"/>
      <c r="L7443" s="17" t="s">
        <v>14019</v>
      </c>
      <c r="M7443" s="17"/>
      <c r="N7443" s="17" t="s">
        <v>16378</v>
      </c>
      <c r="O7443" s="17"/>
      <c r="P7443" s="17" t="s">
        <v>16833</v>
      </c>
      <c r="Q7443" s="17"/>
      <c r="R7443" s="25" t="str">
        <f>HYPERLINK("https://ictv.global/taxonomy/taxondetails?taxnode_id=202309043","Gemykibivirus giapa1")</f>
        <v>Gemykibivirus giapa1</v>
      </c>
      <c r="S7443" s="18" t="s">
        <v>30</v>
      </c>
      <c r="T7443" s="18" t="s">
        <v>16504</v>
      </c>
      <c r="U7443" s="18"/>
      <c r="V7443" s="18" t="s">
        <v>16887</v>
      </c>
      <c r="W7443" s="18" t="s">
        <v>16888</v>
      </c>
      <c r="X7443" s="18" t="s">
        <v>42</v>
      </c>
      <c r="Y7443" s="18" t="s">
        <v>12266</v>
      </c>
      <c r="Z7443" s="18" t="s">
        <v>166</v>
      </c>
      <c r="AA7443" s="21" t="str">
        <f>HYPERLINK("https://www.ncbi.nlm.nih.gov/nuccore/MF327571","NCBI Nucleotide")</f>
        <v>NCBI Nucleotide</v>
      </c>
    </row>
    <row r="7444" spans="1:27" x14ac:dyDescent="0.35">
      <c r="A7444">
        <v>1008267</v>
      </c>
      <c r="B7444">
        <v>6915</v>
      </c>
      <c r="C7444">
        <v>1</v>
      </c>
      <c r="D7444" s="17" t="s">
        <v>10507</v>
      </c>
      <c r="E7444" s="17"/>
      <c r="F7444" s="17" t="s">
        <v>10780</v>
      </c>
      <c r="G7444" s="17"/>
      <c r="H7444" s="17" t="s">
        <v>12908</v>
      </c>
      <c r="I7444" s="17"/>
      <c r="J7444" s="17" t="s">
        <v>14018</v>
      </c>
      <c r="K7444" s="17"/>
      <c r="L7444" s="17" t="s">
        <v>14019</v>
      </c>
      <c r="M7444" s="17"/>
      <c r="N7444" s="17" t="s">
        <v>16378</v>
      </c>
      <c r="O7444" s="17"/>
      <c r="P7444" s="17" t="s">
        <v>16833</v>
      </c>
      <c r="Q7444" s="17"/>
      <c r="R7444" s="25" t="str">
        <f>HYPERLINK("https://ictv.global/taxonomy/taxondetails?taxnode_id=202309058","Gemykibivirus hadtis1")</f>
        <v>Gemykibivirus hadtis1</v>
      </c>
      <c r="S7444" s="18" t="s">
        <v>30</v>
      </c>
      <c r="T7444" s="18" t="s">
        <v>16380</v>
      </c>
      <c r="U7444" s="18"/>
      <c r="V7444" s="18" t="s">
        <v>16889</v>
      </c>
      <c r="W7444" s="18" t="s">
        <v>16890</v>
      </c>
      <c r="X7444" s="18" t="s">
        <v>42</v>
      </c>
      <c r="Y7444" s="18" t="s">
        <v>12266</v>
      </c>
      <c r="Z7444" s="18" t="s">
        <v>166</v>
      </c>
      <c r="AA7444" s="21" t="str">
        <f>HYPERLINK("https://www.ncbi.nlm.nih.gov/nuccore/MK032708","NCBI Nucleotide")</f>
        <v>NCBI Nucleotide</v>
      </c>
    </row>
    <row r="7445" spans="1:27" x14ac:dyDescent="0.35">
      <c r="A7445">
        <v>1008268</v>
      </c>
      <c r="B7445">
        <v>6916</v>
      </c>
      <c r="C7445">
        <v>1</v>
      </c>
      <c r="D7445" s="17" t="s">
        <v>10507</v>
      </c>
      <c r="E7445" s="17"/>
      <c r="F7445" s="17" t="s">
        <v>10780</v>
      </c>
      <c r="G7445" s="17"/>
      <c r="H7445" s="17" t="s">
        <v>12908</v>
      </c>
      <c r="I7445" s="17"/>
      <c r="J7445" s="17" t="s">
        <v>14018</v>
      </c>
      <c r="K7445" s="17"/>
      <c r="L7445" s="17" t="s">
        <v>14019</v>
      </c>
      <c r="M7445" s="17"/>
      <c r="N7445" s="17" t="s">
        <v>16378</v>
      </c>
      <c r="O7445" s="17"/>
      <c r="P7445" s="17" t="s">
        <v>16833</v>
      </c>
      <c r="Q7445" s="17"/>
      <c r="R7445" s="25" t="str">
        <f>HYPERLINK("https://ictv.global/taxonomy/taxondetails?taxnode_id=202309044","Gemykibivirus haeme1")</f>
        <v>Gemykibivirus haeme1</v>
      </c>
      <c r="S7445" s="18" t="s">
        <v>30</v>
      </c>
      <c r="T7445" s="18" t="s">
        <v>16891</v>
      </c>
      <c r="U7445" s="18"/>
      <c r="V7445" s="18" t="s">
        <v>16892</v>
      </c>
      <c r="W7445" s="18" t="s">
        <v>16893</v>
      </c>
      <c r="X7445" s="18" t="s">
        <v>42</v>
      </c>
      <c r="Y7445" s="18" t="s">
        <v>12266</v>
      </c>
      <c r="Z7445" s="18" t="s">
        <v>166</v>
      </c>
      <c r="AA7445" s="21" t="str">
        <f>HYPERLINK("https://www.ncbi.nlm.nih.gov/nuccore/MK249305","NCBI Nucleotide")</f>
        <v>NCBI Nucleotide</v>
      </c>
    </row>
    <row r="7446" spans="1:27" x14ac:dyDescent="0.35">
      <c r="A7446">
        <v>1008269</v>
      </c>
      <c r="B7446">
        <v>6917</v>
      </c>
      <c r="C7446">
        <v>1</v>
      </c>
      <c r="D7446" s="17" t="s">
        <v>10507</v>
      </c>
      <c r="E7446" s="17"/>
      <c r="F7446" s="17" t="s">
        <v>10780</v>
      </c>
      <c r="G7446" s="17"/>
      <c r="H7446" s="17" t="s">
        <v>12908</v>
      </c>
      <c r="I7446" s="17"/>
      <c r="J7446" s="17" t="s">
        <v>14018</v>
      </c>
      <c r="K7446" s="17"/>
      <c r="L7446" s="17" t="s">
        <v>14019</v>
      </c>
      <c r="M7446" s="17"/>
      <c r="N7446" s="17" t="s">
        <v>16378</v>
      </c>
      <c r="O7446" s="17"/>
      <c r="P7446" s="17" t="s">
        <v>16833</v>
      </c>
      <c r="Q7446" s="17"/>
      <c r="R7446" s="25" t="str">
        <f>HYPERLINK("https://ictv.global/taxonomy/taxondetails?taxnode_id=202309045","Gemykibivirus haeme2")</f>
        <v>Gemykibivirus haeme2</v>
      </c>
      <c r="S7446" s="18" t="s">
        <v>30</v>
      </c>
      <c r="T7446" s="18" t="s">
        <v>16894</v>
      </c>
      <c r="U7446" s="18"/>
      <c r="V7446" s="18" t="s">
        <v>16895</v>
      </c>
      <c r="W7446" s="18" t="s">
        <v>16896</v>
      </c>
      <c r="X7446" s="18" t="s">
        <v>42</v>
      </c>
      <c r="Y7446" s="18" t="s">
        <v>12266</v>
      </c>
      <c r="Z7446" s="18" t="s">
        <v>166</v>
      </c>
      <c r="AA7446" s="21" t="str">
        <f>HYPERLINK("https://www.ncbi.nlm.nih.gov/nuccore/MF373638","NCBI Nucleotide")</f>
        <v>NCBI Nucleotide</v>
      </c>
    </row>
    <row r="7447" spans="1:27" x14ac:dyDescent="0.35">
      <c r="A7447">
        <v>1008270</v>
      </c>
      <c r="B7447">
        <v>6918</v>
      </c>
      <c r="C7447">
        <v>1</v>
      </c>
      <c r="D7447" s="17" t="s">
        <v>10507</v>
      </c>
      <c r="E7447" s="17"/>
      <c r="F7447" s="17" t="s">
        <v>10780</v>
      </c>
      <c r="G7447" s="17"/>
      <c r="H7447" s="17" t="s">
        <v>12908</v>
      </c>
      <c r="I7447" s="17"/>
      <c r="J7447" s="17" t="s">
        <v>14018</v>
      </c>
      <c r="K7447" s="17"/>
      <c r="L7447" s="17" t="s">
        <v>14019</v>
      </c>
      <c r="M7447" s="17"/>
      <c r="N7447" s="17" t="s">
        <v>16378</v>
      </c>
      <c r="O7447" s="17"/>
      <c r="P7447" s="17" t="s">
        <v>16833</v>
      </c>
      <c r="Q7447" s="17"/>
      <c r="R7447" s="25" t="str">
        <f>HYPERLINK("https://ictv.global/taxonomy/taxondetails?taxnode_id=202309046","Gemykibivirus haeme3")</f>
        <v>Gemykibivirus haeme3</v>
      </c>
      <c r="S7447" s="18" t="s">
        <v>30</v>
      </c>
      <c r="T7447" s="18" t="s">
        <v>16897</v>
      </c>
      <c r="U7447" s="18"/>
      <c r="V7447" s="18" t="s">
        <v>16898</v>
      </c>
      <c r="W7447" s="18" t="s">
        <v>16899</v>
      </c>
      <c r="X7447" s="18" t="s">
        <v>42</v>
      </c>
      <c r="Y7447" s="18" t="s">
        <v>12266</v>
      </c>
      <c r="Z7447" s="18" t="s">
        <v>166</v>
      </c>
      <c r="AA7447" s="21" t="str">
        <f>HYPERLINK("https://www.ncbi.nlm.nih.gov/nuccore/MK249239","NCBI Nucleotide")</f>
        <v>NCBI Nucleotide</v>
      </c>
    </row>
    <row r="7448" spans="1:27" x14ac:dyDescent="0.35">
      <c r="A7448">
        <v>1008271</v>
      </c>
      <c r="B7448">
        <v>6919</v>
      </c>
      <c r="C7448">
        <v>1</v>
      </c>
      <c r="D7448" s="17" t="s">
        <v>10507</v>
      </c>
      <c r="E7448" s="17"/>
      <c r="F7448" s="17" t="s">
        <v>10780</v>
      </c>
      <c r="G7448" s="17"/>
      <c r="H7448" s="17" t="s">
        <v>12908</v>
      </c>
      <c r="I7448" s="17"/>
      <c r="J7448" s="17" t="s">
        <v>14018</v>
      </c>
      <c r="K7448" s="17"/>
      <c r="L7448" s="17" t="s">
        <v>14019</v>
      </c>
      <c r="M7448" s="17"/>
      <c r="N7448" s="17" t="s">
        <v>16378</v>
      </c>
      <c r="O7448" s="17"/>
      <c r="P7448" s="17" t="s">
        <v>16833</v>
      </c>
      <c r="Q7448" s="17"/>
      <c r="R7448" s="25" t="str">
        <f>HYPERLINK("https://ictv.global/taxonomy/taxondetails?taxnode_id=202309049","Gemykibivirus haeme4")</f>
        <v>Gemykibivirus haeme4</v>
      </c>
      <c r="S7448" s="18" t="s">
        <v>30</v>
      </c>
      <c r="T7448" s="18" t="s">
        <v>16900</v>
      </c>
      <c r="U7448" s="18"/>
      <c r="V7448" s="18" t="s">
        <v>16532</v>
      </c>
      <c r="W7448" s="18" t="s">
        <v>16901</v>
      </c>
      <c r="X7448" s="18" t="s">
        <v>42</v>
      </c>
      <c r="Y7448" s="18" t="s">
        <v>12266</v>
      </c>
      <c r="Z7448" s="18" t="s">
        <v>166</v>
      </c>
      <c r="AA7448" s="21" t="str">
        <f>HYPERLINK("https://www.ncbi.nlm.nih.gov/nuccore/MK249240","NCBI Nucleotide")</f>
        <v>NCBI Nucleotide</v>
      </c>
    </row>
    <row r="7449" spans="1:27" x14ac:dyDescent="0.35">
      <c r="A7449">
        <v>1008272</v>
      </c>
      <c r="B7449">
        <v>6920</v>
      </c>
      <c r="C7449">
        <v>1</v>
      </c>
      <c r="D7449" s="17" t="s">
        <v>10507</v>
      </c>
      <c r="E7449" s="17"/>
      <c r="F7449" s="17" t="s">
        <v>10780</v>
      </c>
      <c r="G7449" s="17"/>
      <c r="H7449" s="17" t="s">
        <v>12908</v>
      </c>
      <c r="I7449" s="17"/>
      <c r="J7449" s="17" t="s">
        <v>14018</v>
      </c>
      <c r="K7449" s="17"/>
      <c r="L7449" s="17" t="s">
        <v>14019</v>
      </c>
      <c r="M7449" s="17"/>
      <c r="N7449" s="17" t="s">
        <v>16378</v>
      </c>
      <c r="O7449" s="17"/>
      <c r="P7449" s="17" t="s">
        <v>16833</v>
      </c>
      <c r="Q7449" s="17"/>
      <c r="R7449" s="25" t="str">
        <f>HYPERLINK("https://ictv.global/taxonomy/taxondetails?taxnode_id=202309053","Gemykibivirus haeme5")</f>
        <v>Gemykibivirus haeme5</v>
      </c>
      <c r="S7449" s="18" t="s">
        <v>30</v>
      </c>
      <c r="T7449" s="18" t="s">
        <v>16902</v>
      </c>
      <c r="U7449" s="18"/>
      <c r="V7449" s="18" t="s">
        <v>16903</v>
      </c>
      <c r="W7449" s="18" t="s">
        <v>16904</v>
      </c>
      <c r="X7449" s="18" t="s">
        <v>42</v>
      </c>
      <c r="Y7449" s="18" t="s">
        <v>12266</v>
      </c>
      <c r="Z7449" s="18" t="s">
        <v>166</v>
      </c>
      <c r="AA7449" s="21" t="str">
        <f>HYPERLINK("https://www.ncbi.nlm.nih.gov/nuccore/MK249294","NCBI Nucleotide")</f>
        <v>NCBI Nucleotide</v>
      </c>
    </row>
    <row r="7450" spans="1:27" x14ac:dyDescent="0.35">
      <c r="A7450">
        <v>1008273</v>
      </c>
      <c r="B7450">
        <v>6921</v>
      </c>
      <c r="C7450">
        <v>1</v>
      </c>
      <c r="D7450" s="17" t="s">
        <v>10507</v>
      </c>
      <c r="E7450" s="17"/>
      <c r="F7450" s="17" t="s">
        <v>10780</v>
      </c>
      <c r="G7450" s="17"/>
      <c r="H7450" s="17" t="s">
        <v>12908</v>
      </c>
      <c r="I7450" s="17"/>
      <c r="J7450" s="17" t="s">
        <v>14018</v>
      </c>
      <c r="K7450" s="17"/>
      <c r="L7450" s="17" t="s">
        <v>14019</v>
      </c>
      <c r="M7450" s="17"/>
      <c r="N7450" s="17" t="s">
        <v>16378</v>
      </c>
      <c r="O7450" s="17"/>
      <c r="P7450" s="17" t="s">
        <v>16833</v>
      </c>
      <c r="Q7450" s="17"/>
      <c r="R7450" s="25" t="str">
        <f>HYPERLINK("https://ictv.global/taxonomy/taxondetails?taxnode_id=202309033","Gemykibivirus hipla1")</f>
        <v>Gemykibivirus hipla1</v>
      </c>
      <c r="S7450" s="18" t="s">
        <v>30</v>
      </c>
      <c r="T7450" s="18" t="s">
        <v>16905</v>
      </c>
      <c r="U7450" s="18"/>
      <c r="V7450" s="18" t="s">
        <v>16906</v>
      </c>
      <c r="W7450" s="18" t="s">
        <v>16907</v>
      </c>
      <c r="X7450" s="18" t="s">
        <v>42</v>
      </c>
      <c r="Y7450" s="18" t="s">
        <v>12266</v>
      </c>
      <c r="Z7450" s="18" t="s">
        <v>166</v>
      </c>
      <c r="AA7450" s="21" t="str">
        <f>HYPERLINK("https://www.ncbi.nlm.nih.gov/nuccore/MK050014","NCBI Nucleotide")</f>
        <v>NCBI Nucleotide</v>
      </c>
    </row>
    <row r="7451" spans="1:27" x14ac:dyDescent="0.35">
      <c r="A7451">
        <v>1008274</v>
      </c>
      <c r="B7451">
        <v>6922</v>
      </c>
      <c r="C7451">
        <v>1</v>
      </c>
      <c r="D7451" s="17" t="s">
        <v>10507</v>
      </c>
      <c r="E7451" s="17"/>
      <c r="F7451" s="17" t="s">
        <v>10780</v>
      </c>
      <c r="G7451" s="17"/>
      <c r="H7451" s="17" t="s">
        <v>12908</v>
      </c>
      <c r="I7451" s="17"/>
      <c r="J7451" s="17" t="s">
        <v>14018</v>
      </c>
      <c r="K7451" s="17"/>
      <c r="L7451" s="17" t="s">
        <v>14019</v>
      </c>
      <c r="M7451" s="17"/>
      <c r="N7451" s="17" t="s">
        <v>16378</v>
      </c>
      <c r="O7451" s="17"/>
      <c r="P7451" s="17" t="s">
        <v>16833</v>
      </c>
      <c r="Q7451" s="17"/>
      <c r="R7451" s="25" t="str">
        <f>HYPERLINK("https://ictv.global/taxonomy/taxondetails?taxnode_id=202303610","Gemykibivirus humas1")</f>
        <v>Gemykibivirus humas1</v>
      </c>
      <c r="S7451" s="18" t="s">
        <v>30</v>
      </c>
      <c r="T7451" s="18" t="s">
        <v>16908</v>
      </c>
      <c r="U7451" s="18" t="s">
        <v>16909</v>
      </c>
      <c r="V7451" s="18" t="s">
        <v>16910</v>
      </c>
      <c r="W7451" s="18" t="s">
        <v>16911</v>
      </c>
      <c r="X7451" s="18" t="s">
        <v>42</v>
      </c>
      <c r="Y7451" s="18" t="s">
        <v>12266</v>
      </c>
      <c r="Z7451" s="18" t="s">
        <v>166</v>
      </c>
      <c r="AA7451" s="21" t="str">
        <f>HYPERLINK("https://www.ncbi.nlm.nih.gov/nuccore/LK931485","NCBI Nucleotide")</f>
        <v>NCBI Nucleotide</v>
      </c>
    </row>
    <row r="7452" spans="1:27" x14ac:dyDescent="0.35">
      <c r="A7452">
        <v>1008275</v>
      </c>
      <c r="B7452">
        <v>6923</v>
      </c>
      <c r="C7452">
        <v>1</v>
      </c>
      <c r="D7452" s="17" t="s">
        <v>10507</v>
      </c>
      <c r="E7452" s="17"/>
      <c r="F7452" s="17" t="s">
        <v>10780</v>
      </c>
      <c r="G7452" s="17"/>
      <c r="H7452" s="17" t="s">
        <v>12908</v>
      </c>
      <c r="I7452" s="17"/>
      <c r="J7452" s="17" t="s">
        <v>14018</v>
      </c>
      <c r="K7452" s="17"/>
      <c r="L7452" s="17" t="s">
        <v>14019</v>
      </c>
      <c r="M7452" s="17"/>
      <c r="N7452" s="17" t="s">
        <v>16378</v>
      </c>
      <c r="O7452" s="17"/>
      <c r="P7452" s="17" t="s">
        <v>16833</v>
      </c>
      <c r="Q7452" s="17"/>
      <c r="R7452" s="25" t="str">
        <f>HYPERLINK("https://ictv.global/taxonomy/taxondetails?taxnode_id=202303611","Gemykibivirus humas2")</f>
        <v>Gemykibivirus humas2</v>
      </c>
      <c r="S7452" s="18" t="s">
        <v>30</v>
      </c>
      <c r="T7452" s="18" t="s">
        <v>16912</v>
      </c>
      <c r="U7452" s="18" t="s">
        <v>16913</v>
      </c>
      <c r="V7452" s="18" t="s">
        <v>16914</v>
      </c>
      <c r="W7452" s="18" t="s">
        <v>16915</v>
      </c>
      <c r="X7452" s="18" t="s">
        <v>42</v>
      </c>
      <c r="Y7452" s="18" t="s">
        <v>12266</v>
      </c>
      <c r="Z7452" s="18" t="s">
        <v>166</v>
      </c>
      <c r="AA7452" s="21" t="str">
        <f>HYPERLINK("https://www.ncbi.nlm.nih.gov/nuccore/KP133075","NCBI Nucleotide")</f>
        <v>NCBI Nucleotide</v>
      </c>
    </row>
    <row r="7453" spans="1:27" x14ac:dyDescent="0.35">
      <c r="A7453">
        <v>1008276</v>
      </c>
      <c r="B7453">
        <v>6924</v>
      </c>
      <c r="C7453">
        <v>1</v>
      </c>
      <c r="D7453" s="17" t="s">
        <v>10507</v>
      </c>
      <c r="E7453" s="17"/>
      <c r="F7453" s="17" t="s">
        <v>10780</v>
      </c>
      <c r="G7453" s="17"/>
      <c r="H7453" s="17" t="s">
        <v>12908</v>
      </c>
      <c r="I7453" s="17"/>
      <c r="J7453" s="17" t="s">
        <v>14018</v>
      </c>
      <c r="K7453" s="17"/>
      <c r="L7453" s="17" t="s">
        <v>14019</v>
      </c>
      <c r="M7453" s="17"/>
      <c r="N7453" s="17" t="s">
        <v>16378</v>
      </c>
      <c r="O7453" s="17"/>
      <c r="P7453" s="17" t="s">
        <v>16833</v>
      </c>
      <c r="Q7453" s="17"/>
      <c r="R7453" s="25" t="str">
        <f>HYPERLINK("https://ictv.global/taxonomy/taxondetails?taxnode_id=202303612","Gemykibivirus humas3")</f>
        <v>Gemykibivirus humas3</v>
      </c>
      <c r="S7453" s="18" t="s">
        <v>30</v>
      </c>
      <c r="T7453" s="18" t="s">
        <v>16916</v>
      </c>
      <c r="U7453" s="18" t="s">
        <v>16917</v>
      </c>
      <c r="V7453" s="18" t="s">
        <v>16918</v>
      </c>
      <c r="W7453" s="18" t="s">
        <v>16919</v>
      </c>
      <c r="X7453" s="18" t="s">
        <v>42</v>
      </c>
      <c r="Y7453" s="18" t="s">
        <v>12266</v>
      </c>
      <c r="Z7453" s="18" t="s">
        <v>166</v>
      </c>
      <c r="AA7453" s="21" t="str">
        <f>HYPERLINK("https://www.ncbi.nlm.nih.gov/nuccore/KP987887","NCBI Nucleotide")</f>
        <v>NCBI Nucleotide</v>
      </c>
    </row>
    <row r="7454" spans="1:27" x14ac:dyDescent="0.35">
      <c r="A7454">
        <v>1008277</v>
      </c>
      <c r="B7454">
        <v>6925</v>
      </c>
      <c r="C7454">
        <v>1</v>
      </c>
      <c r="D7454" s="17" t="s">
        <v>10507</v>
      </c>
      <c r="E7454" s="17"/>
      <c r="F7454" s="17" t="s">
        <v>10780</v>
      </c>
      <c r="G7454" s="17"/>
      <c r="H7454" s="17" t="s">
        <v>12908</v>
      </c>
      <c r="I7454" s="17"/>
      <c r="J7454" s="17" t="s">
        <v>14018</v>
      </c>
      <c r="K7454" s="17"/>
      <c r="L7454" s="17" t="s">
        <v>14019</v>
      </c>
      <c r="M7454" s="17"/>
      <c r="N7454" s="17" t="s">
        <v>16378</v>
      </c>
      <c r="O7454" s="17"/>
      <c r="P7454" s="17" t="s">
        <v>16833</v>
      </c>
      <c r="Q7454" s="17"/>
      <c r="R7454" s="25" t="str">
        <f>HYPERLINK("https://ictv.global/taxonomy/taxondetails?taxnode_id=202303613","Gemykibivirus humas4")</f>
        <v>Gemykibivirus humas4</v>
      </c>
      <c r="S7454" s="18" t="s">
        <v>30</v>
      </c>
      <c r="T7454" s="18" t="s">
        <v>16920</v>
      </c>
      <c r="U7454" s="18" t="s">
        <v>16921</v>
      </c>
      <c r="V7454" s="18" t="s">
        <v>16922</v>
      </c>
      <c r="W7454" s="18" t="s">
        <v>16923</v>
      </c>
      <c r="X7454" s="18" t="s">
        <v>42</v>
      </c>
      <c r="Y7454" s="18" t="s">
        <v>12266</v>
      </c>
      <c r="Z7454" s="18" t="s">
        <v>166</v>
      </c>
      <c r="AA7454" s="21" t="str">
        <f>HYPERLINK("https://www.ncbi.nlm.nih.gov/nuccore/KT363839","NCBI Nucleotide")</f>
        <v>NCBI Nucleotide</v>
      </c>
    </row>
    <row r="7455" spans="1:27" x14ac:dyDescent="0.35">
      <c r="A7455">
        <v>1008278</v>
      </c>
      <c r="B7455">
        <v>6926</v>
      </c>
      <c r="C7455">
        <v>1</v>
      </c>
      <c r="D7455" s="17" t="s">
        <v>10507</v>
      </c>
      <c r="E7455" s="17"/>
      <c r="F7455" s="17" t="s">
        <v>10780</v>
      </c>
      <c r="G7455" s="17"/>
      <c r="H7455" s="17" t="s">
        <v>12908</v>
      </c>
      <c r="I7455" s="17"/>
      <c r="J7455" s="17" t="s">
        <v>14018</v>
      </c>
      <c r="K7455" s="17"/>
      <c r="L7455" s="17" t="s">
        <v>14019</v>
      </c>
      <c r="M7455" s="17"/>
      <c r="N7455" s="17" t="s">
        <v>16378</v>
      </c>
      <c r="O7455" s="17"/>
      <c r="P7455" s="17" t="s">
        <v>16833</v>
      </c>
      <c r="Q7455" s="17"/>
      <c r="R7455" s="25" t="str">
        <f>HYPERLINK("https://ictv.global/taxonomy/taxondetails?taxnode_id=202303614","Gemykibivirus humas5")</f>
        <v>Gemykibivirus humas5</v>
      </c>
      <c r="S7455" s="18" t="s">
        <v>30</v>
      </c>
      <c r="T7455" s="18" t="s">
        <v>16924</v>
      </c>
      <c r="U7455" s="18" t="s">
        <v>16925</v>
      </c>
      <c r="V7455" s="18" t="s">
        <v>16926</v>
      </c>
      <c r="W7455" s="18" t="s">
        <v>16927</v>
      </c>
      <c r="X7455" s="18" t="s">
        <v>42</v>
      </c>
      <c r="Y7455" s="18" t="s">
        <v>12266</v>
      </c>
      <c r="Z7455" s="18" t="s">
        <v>166</v>
      </c>
      <c r="AA7455" s="21" t="str">
        <f>HYPERLINK("https://www.ncbi.nlm.nih.gov/nuccore/KU343137","NCBI Nucleotide")</f>
        <v>NCBI Nucleotide</v>
      </c>
    </row>
    <row r="7456" spans="1:27" x14ac:dyDescent="0.35">
      <c r="A7456">
        <v>1008279</v>
      </c>
      <c r="B7456">
        <v>6927</v>
      </c>
      <c r="C7456">
        <v>1</v>
      </c>
      <c r="D7456" s="17" t="s">
        <v>10507</v>
      </c>
      <c r="E7456" s="17"/>
      <c r="F7456" s="17" t="s">
        <v>10780</v>
      </c>
      <c r="G7456" s="17"/>
      <c r="H7456" s="17" t="s">
        <v>12908</v>
      </c>
      <c r="I7456" s="17"/>
      <c r="J7456" s="17" t="s">
        <v>14018</v>
      </c>
      <c r="K7456" s="17"/>
      <c r="L7456" s="17" t="s">
        <v>14019</v>
      </c>
      <c r="M7456" s="17"/>
      <c r="N7456" s="17" t="s">
        <v>16378</v>
      </c>
      <c r="O7456" s="17"/>
      <c r="P7456" s="17" t="s">
        <v>16833</v>
      </c>
      <c r="Q7456" s="17"/>
      <c r="R7456" s="25" t="str">
        <f>HYPERLINK("https://ictv.global/taxonomy/taxondetails?taxnode_id=202309034","Gemykibivirus hydro1")</f>
        <v>Gemykibivirus hydro1</v>
      </c>
      <c r="S7456" s="18" t="s">
        <v>30</v>
      </c>
      <c r="T7456" s="18" t="s">
        <v>16928</v>
      </c>
      <c r="U7456" s="18"/>
      <c r="V7456" s="18" t="s">
        <v>16929</v>
      </c>
      <c r="W7456" s="18" t="s">
        <v>16930</v>
      </c>
      <c r="X7456" s="18" t="s">
        <v>42</v>
      </c>
      <c r="Y7456" s="18" t="s">
        <v>12266</v>
      </c>
      <c r="Z7456" s="18" t="s">
        <v>166</v>
      </c>
      <c r="AA7456" s="21" t="str">
        <f>HYPERLINK("https://www.ncbi.nlm.nih.gov/nuccore/MK483076","NCBI Nucleotide")</f>
        <v>NCBI Nucleotide</v>
      </c>
    </row>
    <row r="7457" spans="1:27" x14ac:dyDescent="0.35">
      <c r="A7457">
        <v>1008280</v>
      </c>
      <c r="B7457">
        <v>6928</v>
      </c>
      <c r="C7457">
        <v>1</v>
      </c>
      <c r="D7457" s="17" t="s">
        <v>10507</v>
      </c>
      <c r="E7457" s="17"/>
      <c r="F7457" s="17" t="s">
        <v>10780</v>
      </c>
      <c r="G7457" s="17"/>
      <c r="H7457" s="17" t="s">
        <v>12908</v>
      </c>
      <c r="I7457" s="17"/>
      <c r="J7457" s="17" t="s">
        <v>14018</v>
      </c>
      <c r="K7457" s="17"/>
      <c r="L7457" s="17" t="s">
        <v>14019</v>
      </c>
      <c r="M7457" s="17"/>
      <c r="N7457" s="17" t="s">
        <v>16378</v>
      </c>
      <c r="O7457" s="17"/>
      <c r="P7457" s="17" t="s">
        <v>16833</v>
      </c>
      <c r="Q7457" s="17"/>
      <c r="R7457" s="25" t="str">
        <f>HYPERLINK("https://ictv.global/taxonomy/taxondetails?taxnode_id=202309036","Gemykibivirus hydro2")</f>
        <v>Gemykibivirus hydro2</v>
      </c>
      <c r="S7457" s="18" t="s">
        <v>30</v>
      </c>
      <c r="T7457" s="18" t="s">
        <v>16931</v>
      </c>
      <c r="U7457" s="18"/>
      <c r="V7457" s="18" t="s">
        <v>16932</v>
      </c>
      <c r="W7457" s="18" t="s">
        <v>16933</v>
      </c>
      <c r="X7457" s="18" t="s">
        <v>42</v>
      </c>
      <c r="Y7457" s="18" t="s">
        <v>12266</v>
      </c>
      <c r="Z7457" s="18" t="s">
        <v>166</v>
      </c>
      <c r="AA7457" s="21" t="str">
        <f>HYPERLINK("https://www.ncbi.nlm.nih.gov/nuccore/MK483073","NCBI Nucleotide")</f>
        <v>NCBI Nucleotide</v>
      </c>
    </row>
    <row r="7458" spans="1:27" x14ac:dyDescent="0.35">
      <c r="A7458">
        <v>1008281</v>
      </c>
      <c r="B7458">
        <v>6929</v>
      </c>
      <c r="C7458">
        <v>1</v>
      </c>
      <c r="D7458" s="17" t="s">
        <v>10507</v>
      </c>
      <c r="E7458" s="17"/>
      <c r="F7458" s="17" t="s">
        <v>10780</v>
      </c>
      <c r="G7458" s="17"/>
      <c r="H7458" s="17" t="s">
        <v>12908</v>
      </c>
      <c r="I7458" s="17"/>
      <c r="J7458" s="17" t="s">
        <v>14018</v>
      </c>
      <c r="K7458" s="17"/>
      <c r="L7458" s="17" t="s">
        <v>14019</v>
      </c>
      <c r="M7458" s="17"/>
      <c r="N7458" s="17" t="s">
        <v>16378</v>
      </c>
      <c r="O7458" s="17"/>
      <c r="P7458" s="17" t="s">
        <v>16833</v>
      </c>
      <c r="Q7458" s="17"/>
      <c r="R7458" s="25" t="str">
        <f>HYPERLINK("https://ictv.global/taxonomy/taxondetails?taxnode_id=202309052","Gemykibivirus hydro3")</f>
        <v>Gemykibivirus hydro3</v>
      </c>
      <c r="S7458" s="18" t="s">
        <v>30</v>
      </c>
      <c r="T7458" s="18" t="s">
        <v>16934</v>
      </c>
      <c r="U7458" s="18"/>
      <c r="V7458" s="18" t="s">
        <v>16935</v>
      </c>
      <c r="W7458" s="18" t="s">
        <v>16936</v>
      </c>
      <c r="X7458" s="18" t="s">
        <v>42</v>
      </c>
      <c r="Y7458" s="18" t="s">
        <v>12266</v>
      </c>
      <c r="Z7458" s="18" t="s">
        <v>166</v>
      </c>
      <c r="AA7458" s="21" t="str">
        <f>HYPERLINK("https://www.ncbi.nlm.nih.gov/nuccore/MK483084","NCBI Nucleotide")</f>
        <v>NCBI Nucleotide</v>
      </c>
    </row>
    <row r="7459" spans="1:27" x14ac:dyDescent="0.35">
      <c r="A7459">
        <v>1008282</v>
      </c>
      <c r="B7459">
        <v>6930</v>
      </c>
      <c r="C7459">
        <v>1</v>
      </c>
      <c r="D7459" s="17" t="s">
        <v>10507</v>
      </c>
      <c r="E7459" s="17"/>
      <c r="F7459" s="17" t="s">
        <v>10780</v>
      </c>
      <c r="G7459" s="17"/>
      <c r="H7459" s="17" t="s">
        <v>12908</v>
      </c>
      <c r="I7459" s="17"/>
      <c r="J7459" s="17" t="s">
        <v>14018</v>
      </c>
      <c r="K7459" s="17"/>
      <c r="L7459" s="17" t="s">
        <v>14019</v>
      </c>
      <c r="M7459" s="17"/>
      <c r="N7459" s="17" t="s">
        <v>16378</v>
      </c>
      <c r="O7459" s="17"/>
      <c r="P7459" s="17" t="s">
        <v>16833</v>
      </c>
      <c r="Q7459" s="17"/>
      <c r="R7459" s="25" t="str">
        <f>HYPERLINK("https://ictv.global/taxonomy/taxondetails?taxnode_id=202309056","Gemykibivirus minti1")</f>
        <v>Gemykibivirus minti1</v>
      </c>
      <c r="S7459" s="18" t="s">
        <v>30</v>
      </c>
      <c r="T7459" s="18" t="s">
        <v>16380</v>
      </c>
      <c r="U7459" s="18"/>
      <c r="V7459" s="18" t="s">
        <v>16937</v>
      </c>
      <c r="W7459" s="18" t="s">
        <v>16938</v>
      </c>
      <c r="X7459" s="18" t="s">
        <v>42</v>
      </c>
      <c r="Y7459" s="18" t="s">
        <v>12266</v>
      </c>
      <c r="Z7459" s="18" t="s">
        <v>166</v>
      </c>
      <c r="AA7459" s="21" t="str">
        <f>HYPERLINK("https://www.ncbi.nlm.nih.gov/nuccore/MK032742","NCBI Nucleotide")</f>
        <v>NCBI Nucleotide</v>
      </c>
    </row>
    <row r="7460" spans="1:27" x14ac:dyDescent="0.35">
      <c r="A7460">
        <v>1008283</v>
      </c>
      <c r="B7460">
        <v>6931</v>
      </c>
      <c r="C7460">
        <v>1</v>
      </c>
      <c r="D7460" s="17" t="s">
        <v>10507</v>
      </c>
      <c r="E7460" s="17"/>
      <c r="F7460" s="17" t="s">
        <v>10780</v>
      </c>
      <c r="G7460" s="17"/>
      <c r="H7460" s="17" t="s">
        <v>12908</v>
      </c>
      <c r="I7460" s="17"/>
      <c r="J7460" s="17" t="s">
        <v>14018</v>
      </c>
      <c r="K7460" s="17"/>
      <c r="L7460" s="17" t="s">
        <v>14019</v>
      </c>
      <c r="M7460" s="17"/>
      <c r="N7460" s="17" t="s">
        <v>16378</v>
      </c>
      <c r="O7460" s="17"/>
      <c r="P7460" s="17" t="s">
        <v>16833</v>
      </c>
      <c r="Q7460" s="17"/>
      <c r="R7460" s="25" t="str">
        <f>HYPERLINK("https://ictv.global/taxonomy/taxondetails?taxnode_id=202303615","Gemykibivirus monas1")</f>
        <v>Gemykibivirus monas1</v>
      </c>
      <c r="S7460" s="18" t="s">
        <v>30</v>
      </c>
      <c r="T7460" s="18" t="s">
        <v>16939</v>
      </c>
      <c r="U7460" s="18" t="s">
        <v>16940</v>
      </c>
      <c r="V7460" s="18" t="s">
        <v>16941</v>
      </c>
      <c r="W7460" s="18" t="s">
        <v>16942</v>
      </c>
      <c r="X7460" s="18" t="s">
        <v>42</v>
      </c>
      <c r="Y7460" s="18" t="s">
        <v>12266</v>
      </c>
      <c r="Z7460" s="18" t="s">
        <v>166</v>
      </c>
      <c r="AA7460" s="21" t="str">
        <f>HYPERLINK("https://www.ncbi.nlm.nih.gov/nuccore/KP263545","NCBI Nucleotide")</f>
        <v>NCBI Nucleotide</v>
      </c>
    </row>
    <row r="7461" spans="1:27" x14ac:dyDescent="0.35">
      <c r="A7461">
        <v>1008284</v>
      </c>
      <c r="B7461">
        <v>6932</v>
      </c>
      <c r="C7461">
        <v>1</v>
      </c>
      <c r="D7461" s="17" t="s">
        <v>10507</v>
      </c>
      <c r="E7461" s="17"/>
      <c r="F7461" s="17" t="s">
        <v>10780</v>
      </c>
      <c r="G7461" s="17"/>
      <c r="H7461" s="17" t="s">
        <v>12908</v>
      </c>
      <c r="I7461" s="17"/>
      <c r="J7461" s="17" t="s">
        <v>14018</v>
      </c>
      <c r="K7461" s="17"/>
      <c r="L7461" s="17" t="s">
        <v>14019</v>
      </c>
      <c r="M7461" s="17"/>
      <c r="N7461" s="17" t="s">
        <v>16378</v>
      </c>
      <c r="O7461" s="17"/>
      <c r="P7461" s="17" t="s">
        <v>16833</v>
      </c>
      <c r="Q7461" s="17"/>
      <c r="R7461" s="25" t="str">
        <f>HYPERLINK("https://ictv.global/taxonomy/taxondetails?taxnode_id=202309047","Gemykibivirus mouti1")</f>
        <v>Gemykibivirus mouti1</v>
      </c>
      <c r="S7461" s="18" t="s">
        <v>30</v>
      </c>
      <c r="T7461" s="18" t="s">
        <v>16380</v>
      </c>
      <c r="U7461" s="18"/>
      <c r="V7461" s="18" t="s">
        <v>16943</v>
      </c>
      <c r="W7461" s="18" t="s">
        <v>16944</v>
      </c>
      <c r="X7461" s="18" t="s">
        <v>42</v>
      </c>
      <c r="Y7461" s="18" t="s">
        <v>12266</v>
      </c>
      <c r="Z7461" s="18" t="s">
        <v>166</v>
      </c>
      <c r="AA7461" s="21" t="str">
        <f>HYPERLINK("https://www.ncbi.nlm.nih.gov/nuccore/MK032703","NCBI Nucleotide")</f>
        <v>NCBI Nucleotide</v>
      </c>
    </row>
    <row r="7462" spans="1:27" x14ac:dyDescent="0.35">
      <c r="A7462">
        <v>1008285</v>
      </c>
      <c r="B7462">
        <v>6933</v>
      </c>
      <c r="C7462">
        <v>1</v>
      </c>
      <c r="D7462" s="17" t="s">
        <v>10507</v>
      </c>
      <c r="E7462" s="17"/>
      <c r="F7462" s="17" t="s">
        <v>10780</v>
      </c>
      <c r="G7462" s="17"/>
      <c r="H7462" s="17" t="s">
        <v>12908</v>
      </c>
      <c r="I7462" s="17"/>
      <c r="J7462" s="17" t="s">
        <v>14018</v>
      </c>
      <c r="K7462" s="17"/>
      <c r="L7462" s="17" t="s">
        <v>14019</v>
      </c>
      <c r="M7462" s="17"/>
      <c r="N7462" s="17" t="s">
        <v>16378</v>
      </c>
      <c r="O7462" s="17"/>
      <c r="P7462" s="17" t="s">
        <v>16833</v>
      </c>
      <c r="Q7462" s="17"/>
      <c r="R7462" s="25" t="str">
        <f>HYPERLINK("https://ictv.global/taxonomy/taxondetails?taxnode_id=202309060","Gemykibivirus mouti2")</f>
        <v>Gemykibivirus mouti2</v>
      </c>
      <c r="S7462" s="18" t="s">
        <v>30</v>
      </c>
      <c r="T7462" s="18" t="s">
        <v>16380</v>
      </c>
      <c r="U7462" s="18"/>
      <c r="V7462" s="18" t="s">
        <v>16945</v>
      </c>
      <c r="W7462" s="18" t="s">
        <v>16946</v>
      </c>
      <c r="X7462" s="18" t="s">
        <v>42</v>
      </c>
      <c r="Y7462" s="18" t="s">
        <v>12266</v>
      </c>
      <c r="Z7462" s="18" t="s">
        <v>166</v>
      </c>
      <c r="AA7462" s="21" t="str">
        <f>HYPERLINK("https://www.ncbi.nlm.nih.gov/nuccore/MK032748","NCBI Nucleotide")</f>
        <v>NCBI Nucleotide</v>
      </c>
    </row>
    <row r="7463" spans="1:27" x14ac:dyDescent="0.35">
      <c r="A7463">
        <v>1008286</v>
      </c>
      <c r="B7463">
        <v>6934</v>
      </c>
      <c r="C7463">
        <v>1</v>
      </c>
      <c r="D7463" s="17" t="s">
        <v>10507</v>
      </c>
      <c r="E7463" s="17"/>
      <c r="F7463" s="17" t="s">
        <v>10780</v>
      </c>
      <c r="G7463" s="17"/>
      <c r="H7463" s="17" t="s">
        <v>12908</v>
      </c>
      <c r="I7463" s="17"/>
      <c r="J7463" s="17" t="s">
        <v>14018</v>
      </c>
      <c r="K7463" s="17"/>
      <c r="L7463" s="17" t="s">
        <v>14019</v>
      </c>
      <c r="M7463" s="17"/>
      <c r="N7463" s="17" t="s">
        <v>16378</v>
      </c>
      <c r="O7463" s="17"/>
      <c r="P7463" s="17" t="s">
        <v>16833</v>
      </c>
      <c r="Q7463" s="17"/>
      <c r="R7463" s="25" t="str">
        <f>HYPERLINK("https://ictv.global/taxonomy/taxondetails?taxnode_id=202309048","Gemykibivirus pitis1")</f>
        <v>Gemykibivirus pitis1</v>
      </c>
      <c r="S7463" s="18" t="s">
        <v>30</v>
      </c>
      <c r="T7463" s="18" t="s">
        <v>16380</v>
      </c>
      <c r="U7463" s="18"/>
      <c r="V7463" s="18" t="s">
        <v>16947</v>
      </c>
      <c r="W7463" s="18" t="s">
        <v>16948</v>
      </c>
      <c r="X7463" s="18" t="s">
        <v>42</v>
      </c>
      <c r="Y7463" s="18" t="s">
        <v>12266</v>
      </c>
      <c r="Z7463" s="18" t="s">
        <v>166</v>
      </c>
      <c r="AA7463" s="21" t="str">
        <f>HYPERLINK("https://www.ncbi.nlm.nih.gov/nuccore/MK032749","NCBI Nucleotide")</f>
        <v>NCBI Nucleotide</v>
      </c>
    </row>
    <row r="7464" spans="1:27" x14ac:dyDescent="0.35">
      <c r="A7464">
        <v>1008287</v>
      </c>
      <c r="B7464">
        <v>6935</v>
      </c>
      <c r="C7464">
        <v>1</v>
      </c>
      <c r="D7464" s="17" t="s">
        <v>10507</v>
      </c>
      <c r="E7464" s="17"/>
      <c r="F7464" s="17" t="s">
        <v>10780</v>
      </c>
      <c r="G7464" s="17"/>
      <c r="H7464" s="17" t="s">
        <v>12908</v>
      </c>
      <c r="I7464" s="17"/>
      <c r="J7464" s="17" t="s">
        <v>14018</v>
      </c>
      <c r="K7464" s="17"/>
      <c r="L7464" s="17" t="s">
        <v>14019</v>
      </c>
      <c r="M7464" s="17"/>
      <c r="N7464" s="17" t="s">
        <v>16378</v>
      </c>
      <c r="O7464" s="17"/>
      <c r="P7464" s="17" t="s">
        <v>16833</v>
      </c>
      <c r="Q7464" s="17"/>
      <c r="R7464" s="25" t="str">
        <f>HYPERLINK("https://ictv.global/taxonomy/taxondetails?taxnode_id=202309051","Gemykibivirus pitis2")</f>
        <v>Gemykibivirus pitis2</v>
      </c>
      <c r="S7464" s="18" t="s">
        <v>30</v>
      </c>
      <c r="T7464" s="18" t="s">
        <v>16380</v>
      </c>
      <c r="U7464" s="18"/>
      <c r="V7464" s="18" t="s">
        <v>16949</v>
      </c>
      <c r="W7464" s="18" t="s">
        <v>16950</v>
      </c>
      <c r="X7464" s="18" t="s">
        <v>42</v>
      </c>
      <c r="Y7464" s="18" t="s">
        <v>12266</v>
      </c>
      <c r="Z7464" s="18" t="s">
        <v>166</v>
      </c>
      <c r="AA7464" s="21" t="str">
        <f>HYPERLINK("https://www.ncbi.nlm.nih.gov/nuccore/MK032721","NCBI Nucleotide")</f>
        <v>NCBI Nucleotide</v>
      </c>
    </row>
    <row r="7465" spans="1:27" x14ac:dyDescent="0.35">
      <c r="A7465">
        <v>1008288</v>
      </c>
      <c r="B7465">
        <v>6936</v>
      </c>
      <c r="C7465">
        <v>1</v>
      </c>
      <c r="D7465" s="17" t="s">
        <v>10507</v>
      </c>
      <c r="E7465" s="17"/>
      <c r="F7465" s="17" t="s">
        <v>10780</v>
      </c>
      <c r="G7465" s="17"/>
      <c r="H7465" s="17" t="s">
        <v>12908</v>
      </c>
      <c r="I7465" s="17"/>
      <c r="J7465" s="17" t="s">
        <v>14018</v>
      </c>
      <c r="K7465" s="17"/>
      <c r="L7465" s="17" t="s">
        <v>14019</v>
      </c>
      <c r="M7465" s="17"/>
      <c r="N7465" s="17" t="s">
        <v>16378</v>
      </c>
      <c r="O7465" s="17"/>
      <c r="P7465" s="17" t="s">
        <v>16833</v>
      </c>
      <c r="Q7465" s="17"/>
      <c r="R7465" s="25" t="str">
        <f>HYPERLINK("https://ictv.global/taxonomy/taxondetails?taxnode_id=202309037","Gemykibivirus planta1")</f>
        <v>Gemykibivirus planta1</v>
      </c>
      <c r="S7465" s="18" t="s">
        <v>30</v>
      </c>
      <c r="T7465" s="18" t="s">
        <v>16951</v>
      </c>
      <c r="U7465" s="18"/>
      <c r="V7465" s="18" t="s">
        <v>16952</v>
      </c>
      <c r="W7465" s="18" t="s">
        <v>16953</v>
      </c>
      <c r="X7465" s="18" t="s">
        <v>42</v>
      </c>
      <c r="Y7465" s="18" t="s">
        <v>12266</v>
      </c>
      <c r="Z7465" s="18" t="s">
        <v>13441</v>
      </c>
      <c r="AA7465" s="21" t="str">
        <f>HYPERLINK("https://www.ncbi.nlm.nih.gov/nuccore/MH939363","NCBI Nucleotide")</f>
        <v>NCBI Nucleotide</v>
      </c>
    </row>
    <row r="7466" spans="1:27" x14ac:dyDescent="0.35">
      <c r="A7466">
        <v>1008289</v>
      </c>
      <c r="B7466">
        <v>6937</v>
      </c>
      <c r="C7466">
        <v>1</v>
      </c>
      <c r="D7466" s="17" t="s">
        <v>10507</v>
      </c>
      <c r="E7466" s="17"/>
      <c r="F7466" s="17" t="s">
        <v>10780</v>
      </c>
      <c r="G7466" s="17"/>
      <c r="H7466" s="17" t="s">
        <v>12908</v>
      </c>
      <c r="I7466" s="17"/>
      <c r="J7466" s="17" t="s">
        <v>14018</v>
      </c>
      <c r="K7466" s="17"/>
      <c r="L7466" s="17" t="s">
        <v>14019</v>
      </c>
      <c r="M7466" s="17"/>
      <c r="N7466" s="17" t="s">
        <v>16378</v>
      </c>
      <c r="O7466" s="17"/>
      <c r="P7466" s="17" t="s">
        <v>16833</v>
      </c>
      <c r="Q7466" s="17"/>
      <c r="R7466" s="25" t="str">
        <f>HYPERLINK("https://ictv.global/taxonomy/taxondetails?taxnode_id=202309057","Gemykibivirus planta2")</f>
        <v>Gemykibivirus planta2</v>
      </c>
      <c r="S7466" s="18" t="s">
        <v>30</v>
      </c>
      <c r="T7466" s="18" t="s">
        <v>16954</v>
      </c>
      <c r="U7466" s="18"/>
      <c r="V7466" s="18" t="s">
        <v>16955</v>
      </c>
      <c r="W7466" s="18" t="s">
        <v>16956</v>
      </c>
      <c r="X7466" s="18" t="s">
        <v>42</v>
      </c>
      <c r="Y7466" s="18" t="s">
        <v>12266</v>
      </c>
      <c r="Z7466" s="18" t="s">
        <v>13441</v>
      </c>
      <c r="AA7466" s="21" t="str">
        <f>HYPERLINK("https://www.ncbi.nlm.nih.gov/nuccore/MK947376","NCBI Nucleotide")</f>
        <v>NCBI Nucleotide</v>
      </c>
    </row>
    <row r="7467" spans="1:27" x14ac:dyDescent="0.35">
      <c r="A7467">
        <v>1008290</v>
      </c>
      <c r="B7467">
        <v>6938</v>
      </c>
      <c r="C7467">
        <v>1</v>
      </c>
      <c r="D7467" s="17" t="s">
        <v>10507</v>
      </c>
      <c r="E7467" s="17"/>
      <c r="F7467" s="17" t="s">
        <v>10780</v>
      </c>
      <c r="G7467" s="17"/>
      <c r="H7467" s="17" t="s">
        <v>12908</v>
      </c>
      <c r="I7467" s="17"/>
      <c r="J7467" s="17" t="s">
        <v>14018</v>
      </c>
      <c r="K7467" s="17"/>
      <c r="L7467" s="17" t="s">
        <v>14019</v>
      </c>
      <c r="M7467" s="17"/>
      <c r="N7467" s="17" t="s">
        <v>16378</v>
      </c>
      <c r="O7467" s="17"/>
      <c r="P7467" s="17" t="s">
        <v>16833</v>
      </c>
      <c r="Q7467" s="17"/>
      <c r="R7467" s="25" t="str">
        <f>HYPERLINK("https://ictv.global/taxonomy/taxondetails?taxnode_id=202303616","Gemykibivirus ptero1")</f>
        <v>Gemykibivirus ptero1</v>
      </c>
      <c r="S7467" s="18" t="s">
        <v>30</v>
      </c>
      <c r="T7467" s="18" t="s">
        <v>16957</v>
      </c>
      <c r="U7467" s="18" t="s">
        <v>16958</v>
      </c>
      <c r="V7467" s="18" t="s">
        <v>16959</v>
      </c>
      <c r="W7467" s="18" t="s">
        <v>16960</v>
      </c>
      <c r="X7467" s="18" t="s">
        <v>42</v>
      </c>
      <c r="Y7467" s="18" t="s">
        <v>12266</v>
      </c>
      <c r="Z7467" s="18" t="s">
        <v>166</v>
      </c>
      <c r="AA7467" s="21" t="str">
        <f>HYPERLINK("https://www.ncbi.nlm.nih.gov/nuccore/KT732813","NCBI Nucleotide")</f>
        <v>NCBI Nucleotide</v>
      </c>
    </row>
    <row r="7468" spans="1:27" x14ac:dyDescent="0.35">
      <c r="A7468">
        <v>1008291</v>
      </c>
      <c r="B7468">
        <v>6939</v>
      </c>
      <c r="C7468">
        <v>1</v>
      </c>
      <c r="D7468" s="17" t="s">
        <v>10507</v>
      </c>
      <c r="E7468" s="17"/>
      <c r="F7468" s="17" t="s">
        <v>10780</v>
      </c>
      <c r="G7468" s="17"/>
      <c r="H7468" s="17" t="s">
        <v>12908</v>
      </c>
      <c r="I7468" s="17"/>
      <c r="J7468" s="17" t="s">
        <v>14018</v>
      </c>
      <c r="K7468" s="17"/>
      <c r="L7468" s="17" t="s">
        <v>14019</v>
      </c>
      <c r="M7468" s="17"/>
      <c r="N7468" s="17" t="s">
        <v>16378</v>
      </c>
      <c r="O7468" s="17"/>
      <c r="P7468" s="17" t="s">
        <v>16833</v>
      </c>
      <c r="Q7468" s="17"/>
      <c r="R7468" s="25" t="str">
        <f>HYPERLINK("https://ictv.global/taxonomy/taxondetails?taxnode_id=202309041","Gemykibivirus raski1")</f>
        <v>Gemykibivirus raski1</v>
      </c>
      <c r="S7468" s="18" t="s">
        <v>30</v>
      </c>
      <c r="T7468" s="18" t="s">
        <v>16380</v>
      </c>
      <c r="U7468" s="18"/>
      <c r="V7468" s="18" t="s">
        <v>16961</v>
      </c>
      <c r="W7468" s="18" t="s">
        <v>16962</v>
      </c>
      <c r="X7468" s="18" t="s">
        <v>42</v>
      </c>
      <c r="Y7468" s="18" t="s">
        <v>12266</v>
      </c>
      <c r="Z7468" s="18" t="s">
        <v>166</v>
      </c>
      <c r="AA7468" s="21" t="str">
        <f>HYPERLINK("https://www.ncbi.nlm.nih.gov/nuccore/MK032704","NCBI Nucleotide")</f>
        <v>NCBI Nucleotide</v>
      </c>
    </row>
    <row r="7469" spans="1:27" x14ac:dyDescent="0.35">
      <c r="A7469">
        <v>1008292</v>
      </c>
      <c r="B7469">
        <v>6940</v>
      </c>
      <c r="C7469">
        <v>1</v>
      </c>
      <c r="D7469" s="17" t="s">
        <v>10507</v>
      </c>
      <c r="E7469" s="17"/>
      <c r="F7469" s="17" t="s">
        <v>10780</v>
      </c>
      <c r="G7469" s="17"/>
      <c r="H7469" s="17" t="s">
        <v>12908</v>
      </c>
      <c r="I7469" s="17"/>
      <c r="J7469" s="17" t="s">
        <v>14018</v>
      </c>
      <c r="K7469" s="17"/>
      <c r="L7469" s="17" t="s">
        <v>14019</v>
      </c>
      <c r="M7469" s="17"/>
      <c r="N7469" s="17" t="s">
        <v>16378</v>
      </c>
      <c r="O7469" s="17"/>
      <c r="P7469" s="17" t="s">
        <v>16833</v>
      </c>
      <c r="Q7469" s="17"/>
      <c r="R7469" s="25" t="str">
        <f>HYPERLINK("https://ictv.global/taxonomy/taxondetails?taxnode_id=202303617","Gemykibivirus rhina1")</f>
        <v>Gemykibivirus rhina1</v>
      </c>
      <c r="S7469" s="18" t="s">
        <v>30</v>
      </c>
      <c r="T7469" s="18" t="s">
        <v>16963</v>
      </c>
      <c r="U7469" s="18" t="s">
        <v>16964</v>
      </c>
      <c r="V7469" s="18" t="s">
        <v>16965</v>
      </c>
      <c r="W7469" s="18" t="s">
        <v>16966</v>
      </c>
      <c r="X7469" s="18" t="s">
        <v>42</v>
      </c>
      <c r="Y7469" s="18" t="s">
        <v>12266</v>
      </c>
      <c r="Z7469" s="18" t="s">
        <v>166</v>
      </c>
      <c r="AA7469" s="21" t="str">
        <f>HYPERLINK("https://www.ncbi.nlm.nih.gov/nuccore/KJ641737","NCBI Nucleotide")</f>
        <v>NCBI Nucleotide</v>
      </c>
    </row>
    <row r="7470" spans="1:27" x14ac:dyDescent="0.35">
      <c r="A7470">
        <v>1008293</v>
      </c>
      <c r="B7470">
        <v>6941</v>
      </c>
      <c r="C7470">
        <v>1</v>
      </c>
      <c r="D7470" s="17" t="s">
        <v>10507</v>
      </c>
      <c r="E7470" s="17"/>
      <c r="F7470" s="17" t="s">
        <v>10780</v>
      </c>
      <c r="G7470" s="17"/>
      <c r="H7470" s="17" t="s">
        <v>12908</v>
      </c>
      <c r="I7470" s="17"/>
      <c r="J7470" s="17" t="s">
        <v>14018</v>
      </c>
      <c r="K7470" s="17"/>
      <c r="L7470" s="17" t="s">
        <v>14019</v>
      </c>
      <c r="M7470" s="17"/>
      <c r="N7470" s="17" t="s">
        <v>16378</v>
      </c>
      <c r="O7470" s="17"/>
      <c r="P7470" s="17" t="s">
        <v>16833</v>
      </c>
      <c r="Q7470" s="17"/>
      <c r="R7470" s="25" t="str">
        <f>HYPERLINK("https://ictv.global/taxonomy/taxondetails?taxnode_id=202303618","Gemykibivirus rhina2")</f>
        <v>Gemykibivirus rhina2</v>
      </c>
      <c r="S7470" s="18" t="s">
        <v>30</v>
      </c>
      <c r="T7470" s="18" t="s">
        <v>16967</v>
      </c>
      <c r="U7470" s="18" t="s">
        <v>16968</v>
      </c>
      <c r="V7470" s="18" t="s">
        <v>16969</v>
      </c>
      <c r="W7470" s="18" t="s">
        <v>16970</v>
      </c>
      <c r="X7470" s="18" t="s">
        <v>42</v>
      </c>
      <c r="Y7470" s="18" t="s">
        <v>12266</v>
      </c>
      <c r="Z7470" s="18" t="s">
        <v>166</v>
      </c>
      <c r="AA7470" s="21" t="str">
        <f>HYPERLINK("https://www.ncbi.nlm.nih.gov/nuccore/KJ641726","NCBI Nucleotide")</f>
        <v>NCBI Nucleotide</v>
      </c>
    </row>
    <row r="7471" spans="1:27" x14ac:dyDescent="0.35">
      <c r="A7471">
        <v>1008294</v>
      </c>
      <c r="B7471">
        <v>6942</v>
      </c>
      <c r="C7471">
        <v>1</v>
      </c>
      <c r="D7471" s="17" t="s">
        <v>10507</v>
      </c>
      <c r="E7471" s="17"/>
      <c r="F7471" s="17" t="s">
        <v>10780</v>
      </c>
      <c r="G7471" s="17"/>
      <c r="H7471" s="17" t="s">
        <v>12908</v>
      </c>
      <c r="I7471" s="17"/>
      <c r="J7471" s="17" t="s">
        <v>14018</v>
      </c>
      <c r="K7471" s="17"/>
      <c r="L7471" s="17" t="s">
        <v>14019</v>
      </c>
      <c r="M7471" s="17"/>
      <c r="N7471" s="17" t="s">
        <v>16378</v>
      </c>
      <c r="O7471" s="17"/>
      <c r="P7471" s="17" t="s">
        <v>16833</v>
      </c>
      <c r="Q7471" s="17"/>
      <c r="R7471" s="25" t="str">
        <f>HYPERLINK("https://ictv.global/taxonomy/taxondetails?taxnode_id=202303619","Gemykibivirus sewopo1")</f>
        <v>Gemykibivirus sewopo1</v>
      </c>
      <c r="S7471" s="18" t="s">
        <v>30</v>
      </c>
      <c r="T7471" s="18" t="s">
        <v>16971</v>
      </c>
      <c r="U7471" s="18" t="s">
        <v>16972</v>
      </c>
      <c r="V7471" s="18" t="s">
        <v>16973</v>
      </c>
      <c r="W7471" s="18" t="s">
        <v>16974</v>
      </c>
      <c r="X7471" s="18" t="s">
        <v>42</v>
      </c>
      <c r="Y7471" s="18" t="s">
        <v>12266</v>
      </c>
      <c r="Z7471" s="18" t="s">
        <v>16726</v>
      </c>
      <c r="AA7471" s="21" t="str">
        <f>HYPERLINK("https://www.ncbi.nlm.nih.gov/nuccore/KJ547643","NCBI Nucleotide")</f>
        <v>NCBI Nucleotide</v>
      </c>
    </row>
    <row r="7472" spans="1:27" x14ac:dyDescent="0.35">
      <c r="A7472">
        <v>1008295</v>
      </c>
      <c r="B7472">
        <v>6943</v>
      </c>
      <c r="C7472">
        <v>1</v>
      </c>
      <c r="D7472" s="17" t="s">
        <v>10507</v>
      </c>
      <c r="E7472" s="17"/>
      <c r="F7472" s="17" t="s">
        <v>10780</v>
      </c>
      <c r="G7472" s="17"/>
      <c r="H7472" s="17" t="s">
        <v>12908</v>
      </c>
      <c r="I7472" s="17"/>
      <c r="J7472" s="17" t="s">
        <v>14018</v>
      </c>
      <c r="K7472" s="17"/>
      <c r="L7472" s="17" t="s">
        <v>14019</v>
      </c>
      <c r="M7472" s="17"/>
      <c r="N7472" s="17" t="s">
        <v>16378</v>
      </c>
      <c r="O7472" s="17"/>
      <c r="P7472" s="17" t="s">
        <v>16833</v>
      </c>
      <c r="Q7472" s="17"/>
      <c r="R7472" s="25" t="str">
        <f>HYPERLINK("https://ictv.global/taxonomy/taxondetails?taxnode_id=202303620","Gemykibivirus sewopo2")</f>
        <v>Gemykibivirus sewopo2</v>
      </c>
      <c r="S7472" s="18" t="s">
        <v>30</v>
      </c>
      <c r="T7472" s="18" t="s">
        <v>16975</v>
      </c>
      <c r="U7472" s="18" t="s">
        <v>16976</v>
      </c>
      <c r="V7472" s="18" t="s">
        <v>16977</v>
      </c>
      <c r="W7472" s="18" t="s">
        <v>16978</v>
      </c>
      <c r="X7472" s="18" t="s">
        <v>42</v>
      </c>
      <c r="Y7472" s="18" t="s">
        <v>12266</v>
      </c>
      <c r="Z7472" s="18" t="s">
        <v>16726</v>
      </c>
      <c r="AA7472" s="21" t="str">
        <f>HYPERLINK("https://www.ncbi.nlm.nih.gov/nuccore/KJ547642","NCBI Nucleotide")</f>
        <v>NCBI Nucleotide</v>
      </c>
    </row>
    <row r="7473" spans="1:27" x14ac:dyDescent="0.35">
      <c r="A7473">
        <v>1008296</v>
      </c>
      <c r="B7473">
        <v>6944</v>
      </c>
      <c r="C7473">
        <v>1</v>
      </c>
      <c r="D7473" s="17" t="s">
        <v>10507</v>
      </c>
      <c r="E7473" s="17"/>
      <c r="F7473" s="17" t="s">
        <v>10780</v>
      </c>
      <c r="G7473" s="17"/>
      <c r="H7473" s="17" t="s">
        <v>12908</v>
      </c>
      <c r="I7473" s="17"/>
      <c r="J7473" s="17" t="s">
        <v>14018</v>
      </c>
      <c r="K7473" s="17"/>
      <c r="L7473" s="17" t="s">
        <v>14019</v>
      </c>
      <c r="M7473" s="17"/>
      <c r="N7473" s="17" t="s">
        <v>16378</v>
      </c>
      <c r="O7473" s="17"/>
      <c r="P7473" s="17" t="s">
        <v>16833</v>
      </c>
      <c r="Q7473" s="17"/>
      <c r="R7473" s="25" t="str">
        <f>HYPERLINK("https://ictv.global/taxonomy/taxondetails?taxnode_id=202309050","Gemykibivirus turti1")</f>
        <v>Gemykibivirus turti1</v>
      </c>
      <c r="S7473" s="18" t="s">
        <v>30</v>
      </c>
      <c r="T7473" s="18" t="s">
        <v>16380</v>
      </c>
      <c r="U7473" s="18"/>
      <c r="V7473" s="18" t="s">
        <v>16979</v>
      </c>
      <c r="W7473" s="18" t="s">
        <v>16980</v>
      </c>
      <c r="X7473" s="18" t="s">
        <v>42</v>
      </c>
      <c r="Y7473" s="18" t="s">
        <v>12266</v>
      </c>
      <c r="Z7473" s="18" t="s">
        <v>166</v>
      </c>
      <c r="AA7473" s="21" t="str">
        <f>HYPERLINK("https://www.ncbi.nlm.nih.gov/nuccore/MK012443","NCBI Nucleotide")</f>
        <v>NCBI Nucleotide</v>
      </c>
    </row>
    <row r="7474" spans="1:27" x14ac:dyDescent="0.35">
      <c r="A7474">
        <v>1008297</v>
      </c>
      <c r="B7474">
        <v>6945</v>
      </c>
      <c r="C7474">
        <v>1</v>
      </c>
      <c r="D7474" s="17" t="s">
        <v>10507</v>
      </c>
      <c r="E7474" s="17"/>
      <c r="F7474" s="17" t="s">
        <v>10780</v>
      </c>
      <c r="G7474" s="17"/>
      <c r="H7474" s="17" t="s">
        <v>12908</v>
      </c>
      <c r="I7474" s="17"/>
      <c r="J7474" s="17" t="s">
        <v>14018</v>
      </c>
      <c r="K7474" s="17"/>
      <c r="L7474" s="17" t="s">
        <v>14019</v>
      </c>
      <c r="M7474" s="17"/>
      <c r="N7474" s="17" t="s">
        <v>16378</v>
      </c>
      <c r="O7474" s="17"/>
      <c r="P7474" s="17" t="s">
        <v>16833</v>
      </c>
      <c r="Q7474" s="17"/>
      <c r="R7474" s="25" t="str">
        <f>HYPERLINK("https://ictv.global/taxonomy/taxondetails?taxnode_id=202309059","Gemykibivirus waste1")</f>
        <v>Gemykibivirus waste1</v>
      </c>
      <c r="S7474" s="18" t="s">
        <v>30</v>
      </c>
      <c r="T7474" s="18" t="s">
        <v>16380</v>
      </c>
      <c r="U7474" s="18"/>
      <c r="V7474" s="18" t="s">
        <v>16981</v>
      </c>
      <c r="W7474" s="18" t="s">
        <v>16982</v>
      </c>
      <c r="X7474" s="18" t="s">
        <v>42</v>
      </c>
      <c r="Y7474" s="18" t="s">
        <v>12266</v>
      </c>
      <c r="Z7474" s="18" t="s">
        <v>16726</v>
      </c>
      <c r="AA7474" s="21" t="str">
        <f>HYPERLINK("https://www.ncbi.nlm.nih.gov/nuccore/MT309857","NCBI Nucleotide")</f>
        <v>NCBI Nucleotide</v>
      </c>
    </row>
    <row r="7475" spans="1:27" x14ac:dyDescent="0.35">
      <c r="A7475">
        <v>1008298</v>
      </c>
      <c r="B7475">
        <v>6946</v>
      </c>
      <c r="C7475">
        <v>1</v>
      </c>
      <c r="D7475" s="17" t="s">
        <v>10507</v>
      </c>
      <c r="E7475" s="17"/>
      <c r="F7475" s="17" t="s">
        <v>10780</v>
      </c>
      <c r="G7475" s="17"/>
      <c r="H7475" s="17" t="s">
        <v>12908</v>
      </c>
      <c r="I7475" s="17"/>
      <c r="J7475" s="17" t="s">
        <v>14018</v>
      </c>
      <c r="K7475" s="17"/>
      <c r="L7475" s="17" t="s">
        <v>14019</v>
      </c>
      <c r="M7475" s="17"/>
      <c r="N7475" s="17" t="s">
        <v>16378</v>
      </c>
      <c r="O7475" s="17"/>
      <c r="P7475" s="17" t="s">
        <v>16833</v>
      </c>
      <c r="Q7475" s="17"/>
      <c r="R7475" s="25" t="str">
        <f>HYPERLINK("https://ictv.global/taxonomy/taxondetails?taxnode_id=202309042","Gemykibivirus womot1")</f>
        <v>Gemykibivirus womot1</v>
      </c>
      <c r="S7475" s="18" t="s">
        <v>30</v>
      </c>
      <c r="T7475" s="18" t="s">
        <v>16380</v>
      </c>
      <c r="U7475" s="18"/>
      <c r="V7475" s="18" t="s">
        <v>16983</v>
      </c>
      <c r="W7475" s="18" t="s">
        <v>16984</v>
      </c>
      <c r="X7475" s="18" t="s">
        <v>42</v>
      </c>
      <c r="Y7475" s="18" t="s">
        <v>12266</v>
      </c>
      <c r="Z7475" s="18" t="s">
        <v>166</v>
      </c>
      <c r="AA7475" s="21" t="str">
        <f>HYPERLINK("https://www.ncbi.nlm.nih.gov/nuccore/MK032756","NCBI Nucleotide")</f>
        <v>NCBI Nucleotide</v>
      </c>
    </row>
    <row r="7476" spans="1:27" x14ac:dyDescent="0.35">
      <c r="A7476">
        <v>1008299</v>
      </c>
      <c r="B7476">
        <v>6947</v>
      </c>
      <c r="C7476">
        <v>1</v>
      </c>
      <c r="D7476" s="17" t="s">
        <v>10507</v>
      </c>
      <c r="E7476" s="17"/>
      <c r="F7476" s="17" t="s">
        <v>10780</v>
      </c>
      <c r="G7476" s="17"/>
      <c r="H7476" s="17" t="s">
        <v>12908</v>
      </c>
      <c r="I7476" s="17"/>
      <c r="J7476" s="17" t="s">
        <v>14018</v>
      </c>
      <c r="K7476" s="17"/>
      <c r="L7476" s="17" t="s">
        <v>14019</v>
      </c>
      <c r="M7476" s="17"/>
      <c r="N7476" s="17" t="s">
        <v>16378</v>
      </c>
      <c r="O7476" s="17"/>
      <c r="P7476" s="17" t="s">
        <v>16985</v>
      </c>
      <c r="Q7476" s="17"/>
      <c r="R7476" s="25" t="str">
        <f>HYPERLINK("https://ictv.global/taxonomy/taxondetails?taxnode_id=202309074","Gemykolovirus abati1")</f>
        <v>Gemykolovirus abati1</v>
      </c>
      <c r="S7476" s="18" t="s">
        <v>30</v>
      </c>
      <c r="T7476" s="18" t="s">
        <v>16380</v>
      </c>
      <c r="U7476" s="18"/>
      <c r="V7476" s="18" t="s">
        <v>16986</v>
      </c>
      <c r="W7476" s="18" t="s">
        <v>16987</v>
      </c>
      <c r="X7476" s="18" t="s">
        <v>42</v>
      </c>
      <c r="Y7476" s="18" t="s">
        <v>12266</v>
      </c>
      <c r="Z7476" s="18" t="s">
        <v>10790</v>
      </c>
      <c r="AA7476" s="21" t="str">
        <f>HYPERLINK("https://www.ncbi.nlm.nih.gov/nuccore/MK032717","NCBI Nucleotide")</f>
        <v>NCBI Nucleotide</v>
      </c>
    </row>
    <row r="7477" spans="1:27" x14ac:dyDescent="0.35">
      <c r="A7477">
        <v>1008300</v>
      </c>
      <c r="B7477">
        <v>6948</v>
      </c>
      <c r="C7477">
        <v>1</v>
      </c>
      <c r="D7477" s="17" t="s">
        <v>10507</v>
      </c>
      <c r="E7477" s="17"/>
      <c r="F7477" s="17" t="s">
        <v>10780</v>
      </c>
      <c r="G7477" s="17"/>
      <c r="H7477" s="17" t="s">
        <v>12908</v>
      </c>
      <c r="I7477" s="17"/>
      <c r="J7477" s="17" t="s">
        <v>14018</v>
      </c>
      <c r="K7477" s="17"/>
      <c r="L7477" s="17" t="s">
        <v>14019</v>
      </c>
      <c r="M7477" s="17"/>
      <c r="N7477" s="17" t="s">
        <v>16378</v>
      </c>
      <c r="O7477" s="17"/>
      <c r="P7477" s="17" t="s">
        <v>16985</v>
      </c>
      <c r="Q7477" s="17"/>
      <c r="R7477" s="25" t="str">
        <f>HYPERLINK("https://ictv.global/taxonomy/taxondetails?taxnode_id=202309076","Gemykolovirus citas1")</f>
        <v>Gemykolovirus citas1</v>
      </c>
      <c r="S7477" s="18" t="s">
        <v>30</v>
      </c>
      <c r="T7477" s="18" t="s">
        <v>16988</v>
      </c>
      <c r="U7477" s="18"/>
      <c r="V7477" s="18" t="s">
        <v>16989</v>
      </c>
      <c r="W7477" s="18" t="s">
        <v>16990</v>
      </c>
      <c r="X7477" s="18" t="s">
        <v>42</v>
      </c>
      <c r="Y7477" s="18" t="s">
        <v>12266</v>
      </c>
      <c r="Z7477" s="18" t="s">
        <v>13441</v>
      </c>
      <c r="AA7477" s="21" t="str">
        <f>HYPERLINK("https://www.ncbi.nlm.nih.gov/nuccore/MN708482","NCBI Nucleotide")</f>
        <v>NCBI Nucleotide</v>
      </c>
    </row>
    <row r="7478" spans="1:27" x14ac:dyDescent="0.35">
      <c r="A7478">
        <v>1008301</v>
      </c>
      <c r="B7478">
        <v>6949</v>
      </c>
      <c r="C7478">
        <v>1</v>
      </c>
      <c r="D7478" s="17" t="s">
        <v>10507</v>
      </c>
      <c r="E7478" s="17"/>
      <c r="F7478" s="17" t="s">
        <v>10780</v>
      </c>
      <c r="G7478" s="17"/>
      <c r="H7478" s="17" t="s">
        <v>12908</v>
      </c>
      <c r="I7478" s="17"/>
      <c r="J7478" s="17" t="s">
        <v>14018</v>
      </c>
      <c r="K7478" s="17"/>
      <c r="L7478" s="17" t="s">
        <v>14019</v>
      </c>
      <c r="M7478" s="17"/>
      <c r="N7478" s="17" t="s">
        <v>16378</v>
      </c>
      <c r="O7478" s="17"/>
      <c r="P7478" s="17" t="s">
        <v>16985</v>
      </c>
      <c r="Q7478" s="17"/>
      <c r="R7478" s="25" t="str">
        <f>HYPERLINK("https://ictv.global/taxonomy/taxondetails?taxnode_id=202309068","Gemykolovirus derva1")</f>
        <v>Gemykolovirus derva1</v>
      </c>
      <c r="S7478" s="18" t="s">
        <v>30</v>
      </c>
      <c r="T7478" s="18" t="s">
        <v>16991</v>
      </c>
      <c r="U7478" s="18"/>
      <c r="V7478" s="18" t="s">
        <v>16992</v>
      </c>
      <c r="W7478" s="18" t="s">
        <v>16993</v>
      </c>
      <c r="X7478" s="18" t="s">
        <v>42</v>
      </c>
      <c r="Y7478" s="18" t="s">
        <v>12266</v>
      </c>
      <c r="Z7478" s="18" t="s">
        <v>10790</v>
      </c>
      <c r="AA7478" s="21" t="str">
        <f>HYPERLINK("https://www.ncbi.nlm.nih.gov/nuccore/MF173066","NCBI Nucleotide")</f>
        <v>NCBI Nucleotide</v>
      </c>
    </row>
    <row r="7479" spans="1:27" x14ac:dyDescent="0.35">
      <c r="A7479">
        <v>1008302</v>
      </c>
      <c r="B7479">
        <v>6950</v>
      </c>
      <c r="C7479">
        <v>1</v>
      </c>
      <c r="D7479" s="17" t="s">
        <v>10507</v>
      </c>
      <c r="E7479" s="17"/>
      <c r="F7479" s="17" t="s">
        <v>10780</v>
      </c>
      <c r="G7479" s="17"/>
      <c r="H7479" s="17" t="s">
        <v>12908</v>
      </c>
      <c r="I7479" s="17"/>
      <c r="J7479" s="17" t="s">
        <v>14018</v>
      </c>
      <c r="K7479" s="17"/>
      <c r="L7479" s="17" t="s">
        <v>14019</v>
      </c>
      <c r="M7479" s="17"/>
      <c r="N7479" s="17" t="s">
        <v>16378</v>
      </c>
      <c r="O7479" s="17"/>
      <c r="P7479" s="17" t="s">
        <v>16985</v>
      </c>
      <c r="Q7479" s="17"/>
      <c r="R7479" s="25" t="str">
        <f>HYPERLINK("https://ictv.global/taxonomy/taxondetails?taxnode_id=202309071","Gemykolovirus easlu1")</f>
        <v>Gemykolovirus easlu1</v>
      </c>
      <c r="S7479" s="18" t="s">
        <v>30</v>
      </c>
      <c r="T7479" s="18" t="s">
        <v>16994</v>
      </c>
      <c r="U7479" s="18"/>
      <c r="V7479" s="18" t="s">
        <v>16995</v>
      </c>
      <c r="W7479" s="18" t="s">
        <v>16996</v>
      </c>
      <c r="X7479" s="18" t="s">
        <v>42</v>
      </c>
      <c r="Y7479" s="18" t="s">
        <v>12266</v>
      </c>
      <c r="Z7479" s="18" t="s">
        <v>10790</v>
      </c>
      <c r="AA7479" s="21" t="str">
        <f>HYPERLINK("https://www.ncbi.nlm.nih.gov/nuccore/MH545499","NCBI Nucleotide")</f>
        <v>NCBI Nucleotide</v>
      </c>
    </row>
    <row r="7480" spans="1:27" x14ac:dyDescent="0.35">
      <c r="A7480">
        <v>1008303</v>
      </c>
      <c r="B7480">
        <v>6951</v>
      </c>
      <c r="C7480">
        <v>1</v>
      </c>
      <c r="D7480" s="17" t="s">
        <v>10507</v>
      </c>
      <c r="E7480" s="17"/>
      <c r="F7480" s="17" t="s">
        <v>10780</v>
      </c>
      <c r="G7480" s="17"/>
      <c r="H7480" s="17" t="s">
        <v>12908</v>
      </c>
      <c r="I7480" s="17"/>
      <c r="J7480" s="17" t="s">
        <v>14018</v>
      </c>
      <c r="K7480" s="17"/>
      <c r="L7480" s="17" t="s">
        <v>14019</v>
      </c>
      <c r="M7480" s="17"/>
      <c r="N7480" s="17" t="s">
        <v>16378</v>
      </c>
      <c r="O7480" s="17"/>
      <c r="P7480" s="17" t="s">
        <v>16985</v>
      </c>
      <c r="Q7480" s="17"/>
      <c r="R7480" s="25" t="str">
        <f>HYPERLINK("https://ictv.global/taxonomy/taxondetails?taxnode_id=202309067","Gemykolovirus echia1")</f>
        <v>Gemykolovirus echia1</v>
      </c>
      <c r="S7480" s="18" t="s">
        <v>30</v>
      </c>
      <c r="T7480" s="18" t="s">
        <v>16997</v>
      </c>
      <c r="U7480" s="18"/>
      <c r="V7480" s="18" t="s">
        <v>16998</v>
      </c>
      <c r="W7480" s="18" t="s">
        <v>16999</v>
      </c>
      <c r="X7480" s="18" t="s">
        <v>42</v>
      </c>
      <c r="Y7480" s="18" t="s">
        <v>12266</v>
      </c>
      <c r="Z7480" s="18" t="s">
        <v>10790</v>
      </c>
      <c r="AA7480" s="21" t="str">
        <f>HYPERLINK("https://www.ncbi.nlm.nih.gov/nuccore/KY308270","NCBI Nucleotide")</f>
        <v>NCBI Nucleotide</v>
      </c>
    </row>
    <row r="7481" spans="1:27" x14ac:dyDescent="0.35">
      <c r="A7481">
        <v>1008304</v>
      </c>
      <c r="B7481">
        <v>6952</v>
      </c>
      <c r="C7481">
        <v>1</v>
      </c>
      <c r="D7481" s="17" t="s">
        <v>10507</v>
      </c>
      <c r="E7481" s="17"/>
      <c r="F7481" s="17" t="s">
        <v>10780</v>
      </c>
      <c r="G7481" s="17"/>
      <c r="H7481" s="17" t="s">
        <v>12908</v>
      </c>
      <c r="I7481" s="17"/>
      <c r="J7481" s="17" t="s">
        <v>14018</v>
      </c>
      <c r="K7481" s="17"/>
      <c r="L7481" s="17" t="s">
        <v>14019</v>
      </c>
      <c r="M7481" s="17"/>
      <c r="N7481" s="17" t="s">
        <v>16378</v>
      </c>
      <c r="O7481" s="17"/>
      <c r="P7481" s="17" t="s">
        <v>16985</v>
      </c>
      <c r="Q7481" s="17"/>
      <c r="R7481" s="25" t="str">
        <f>HYPERLINK("https://ictv.global/taxonomy/taxondetails?taxnode_id=202309075","Gemykolovirus gopha1")</f>
        <v>Gemykolovirus gopha1</v>
      </c>
      <c r="S7481" s="18" t="s">
        <v>30</v>
      </c>
      <c r="T7481" s="18" t="s">
        <v>17000</v>
      </c>
      <c r="U7481" s="18"/>
      <c r="V7481" s="18" t="s">
        <v>17001</v>
      </c>
      <c r="W7481" s="18" t="s">
        <v>17002</v>
      </c>
      <c r="X7481" s="18" t="s">
        <v>42</v>
      </c>
      <c r="Y7481" s="18" t="s">
        <v>12266</v>
      </c>
      <c r="Z7481" s="18" t="s">
        <v>166</v>
      </c>
      <c r="AA7481" s="21" t="str">
        <f>HYPERLINK("https://www.ncbi.nlm.nih.gov/nuccore/MK570209","NCBI Nucleotide")</f>
        <v>NCBI Nucleotide</v>
      </c>
    </row>
    <row r="7482" spans="1:27" x14ac:dyDescent="0.35">
      <c r="A7482">
        <v>1008305</v>
      </c>
      <c r="B7482">
        <v>6953</v>
      </c>
      <c r="C7482">
        <v>1</v>
      </c>
      <c r="D7482" s="17" t="s">
        <v>10507</v>
      </c>
      <c r="E7482" s="17"/>
      <c r="F7482" s="17" t="s">
        <v>10780</v>
      </c>
      <c r="G7482" s="17"/>
      <c r="H7482" s="17" t="s">
        <v>12908</v>
      </c>
      <c r="I7482" s="17"/>
      <c r="J7482" s="17" t="s">
        <v>14018</v>
      </c>
      <c r="K7482" s="17"/>
      <c r="L7482" s="17" t="s">
        <v>14019</v>
      </c>
      <c r="M7482" s="17"/>
      <c r="N7482" s="17" t="s">
        <v>16378</v>
      </c>
      <c r="O7482" s="17"/>
      <c r="P7482" s="17" t="s">
        <v>16985</v>
      </c>
      <c r="Q7482" s="17"/>
      <c r="R7482" s="25" t="str">
        <f>HYPERLINK("https://ictv.global/taxonomy/taxondetails?taxnode_id=202309079","Gemykolovirus gopha2")</f>
        <v>Gemykolovirus gopha2</v>
      </c>
      <c r="S7482" s="18" t="s">
        <v>30</v>
      </c>
      <c r="T7482" s="18" t="s">
        <v>17003</v>
      </c>
      <c r="U7482" s="18"/>
      <c r="V7482" s="18" t="s">
        <v>17004</v>
      </c>
      <c r="W7482" s="18" t="s">
        <v>17005</v>
      </c>
      <c r="X7482" s="18" t="s">
        <v>42</v>
      </c>
      <c r="Y7482" s="18" t="s">
        <v>12266</v>
      </c>
      <c r="Z7482" s="18" t="s">
        <v>166</v>
      </c>
      <c r="AA7482" s="21" t="str">
        <f>HYPERLINK("https://www.ncbi.nlm.nih.gov/nuccore/MK570213","NCBI Nucleotide")</f>
        <v>NCBI Nucleotide</v>
      </c>
    </row>
    <row r="7483" spans="1:27" x14ac:dyDescent="0.35">
      <c r="A7483">
        <v>1008306</v>
      </c>
      <c r="B7483">
        <v>6954</v>
      </c>
      <c r="C7483">
        <v>1</v>
      </c>
      <c r="D7483" s="17" t="s">
        <v>10507</v>
      </c>
      <c r="E7483" s="17"/>
      <c r="F7483" s="17" t="s">
        <v>10780</v>
      </c>
      <c r="G7483" s="17"/>
      <c r="H7483" s="17" t="s">
        <v>12908</v>
      </c>
      <c r="I7483" s="17"/>
      <c r="J7483" s="17" t="s">
        <v>14018</v>
      </c>
      <c r="K7483" s="17"/>
      <c r="L7483" s="17" t="s">
        <v>14019</v>
      </c>
      <c r="M7483" s="17"/>
      <c r="N7483" s="17" t="s">
        <v>16378</v>
      </c>
      <c r="O7483" s="17"/>
      <c r="P7483" s="17" t="s">
        <v>16985</v>
      </c>
      <c r="Q7483" s="17"/>
      <c r="R7483" s="25" t="str">
        <f>HYPERLINK("https://ictv.global/taxonomy/taxondetails?taxnode_id=202309073","Gemykolovirus hadtis1")</f>
        <v>Gemykolovirus hadtis1</v>
      </c>
      <c r="S7483" s="18" t="s">
        <v>30</v>
      </c>
      <c r="T7483" s="18" t="s">
        <v>16380</v>
      </c>
      <c r="U7483" s="18"/>
      <c r="V7483" s="18" t="s">
        <v>17006</v>
      </c>
      <c r="W7483" s="18" t="s">
        <v>17007</v>
      </c>
      <c r="X7483" s="18" t="s">
        <v>42</v>
      </c>
      <c r="Y7483" s="18" t="s">
        <v>12266</v>
      </c>
      <c r="Z7483" s="18" t="s">
        <v>166</v>
      </c>
      <c r="AA7483" s="21" t="str">
        <f>HYPERLINK("https://www.ncbi.nlm.nih.gov/nuccore/MK032747","NCBI Nucleotide")</f>
        <v>NCBI Nucleotide</v>
      </c>
    </row>
    <row r="7484" spans="1:27" x14ac:dyDescent="0.35">
      <c r="A7484">
        <v>1008307</v>
      </c>
      <c r="B7484">
        <v>6955</v>
      </c>
      <c r="C7484">
        <v>1</v>
      </c>
      <c r="D7484" s="17" t="s">
        <v>10507</v>
      </c>
      <c r="E7484" s="17"/>
      <c r="F7484" s="17" t="s">
        <v>10780</v>
      </c>
      <c r="G7484" s="17"/>
      <c r="H7484" s="17" t="s">
        <v>12908</v>
      </c>
      <c r="I7484" s="17"/>
      <c r="J7484" s="17" t="s">
        <v>14018</v>
      </c>
      <c r="K7484" s="17"/>
      <c r="L7484" s="17" t="s">
        <v>14019</v>
      </c>
      <c r="M7484" s="17"/>
      <c r="N7484" s="17" t="s">
        <v>16378</v>
      </c>
      <c r="O7484" s="17"/>
      <c r="P7484" s="17" t="s">
        <v>16985</v>
      </c>
      <c r="Q7484" s="17"/>
      <c r="R7484" s="25" t="str">
        <f>HYPERLINK("https://ictv.global/taxonomy/taxondetails?taxnode_id=202309072","Gemykolovirus heris1")</f>
        <v>Gemykolovirus heris1</v>
      </c>
      <c r="S7484" s="18" t="s">
        <v>30</v>
      </c>
      <c r="T7484" s="18" t="s">
        <v>17008</v>
      </c>
      <c r="U7484" s="18"/>
      <c r="V7484" s="18" t="s">
        <v>17009</v>
      </c>
      <c r="W7484" s="18" t="s">
        <v>17010</v>
      </c>
      <c r="X7484" s="18" t="s">
        <v>42</v>
      </c>
      <c r="Y7484" s="18" t="s">
        <v>12266</v>
      </c>
      <c r="Z7484" s="18" t="s">
        <v>13441</v>
      </c>
      <c r="AA7484" s="21" t="str">
        <f>HYPERLINK("https://www.ncbi.nlm.nih.gov/nuccore/MH939374","NCBI Nucleotide")</f>
        <v>NCBI Nucleotide</v>
      </c>
    </row>
    <row r="7485" spans="1:27" x14ac:dyDescent="0.35">
      <c r="A7485">
        <v>1008308</v>
      </c>
      <c r="B7485">
        <v>6956</v>
      </c>
      <c r="C7485">
        <v>1</v>
      </c>
      <c r="D7485" s="17" t="s">
        <v>10507</v>
      </c>
      <c r="E7485" s="17"/>
      <c r="F7485" s="17" t="s">
        <v>10780</v>
      </c>
      <c r="G7485" s="17"/>
      <c r="H7485" s="17" t="s">
        <v>12908</v>
      </c>
      <c r="I7485" s="17"/>
      <c r="J7485" s="17" t="s">
        <v>14018</v>
      </c>
      <c r="K7485" s="17"/>
      <c r="L7485" s="17" t="s">
        <v>14019</v>
      </c>
      <c r="M7485" s="17"/>
      <c r="N7485" s="17" t="s">
        <v>16378</v>
      </c>
      <c r="O7485" s="17"/>
      <c r="P7485" s="17" t="s">
        <v>16985</v>
      </c>
      <c r="Q7485" s="17"/>
      <c r="R7485" s="25" t="str">
        <f>HYPERLINK("https://ictv.global/taxonomy/taxondetails?taxnode_id=202309070","Gemykolovirus lepam1")</f>
        <v>Gemykolovirus lepam1</v>
      </c>
      <c r="S7485" s="18" t="s">
        <v>30</v>
      </c>
      <c r="T7485" s="18" t="s">
        <v>17011</v>
      </c>
      <c r="U7485" s="18"/>
      <c r="V7485" s="18" t="s">
        <v>17012</v>
      </c>
      <c r="W7485" s="18" t="s">
        <v>17013</v>
      </c>
      <c r="X7485" s="18" t="s">
        <v>42</v>
      </c>
      <c r="Y7485" s="18" t="s">
        <v>12266</v>
      </c>
      <c r="Z7485" s="18" t="s">
        <v>166</v>
      </c>
      <c r="AA7485" s="21" t="str">
        <f>HYPERLINK("https://www.ncbi.nlm.nih.gov/nuccore/MG641203","NCBI Nucleotide")</f>
        <v>NCBI Nucleotide</v>
      </c>
    </row>
    <row r="7486" spans="1:27" x14ac:dyDescent="0.35">
      <c r="A7486">
        <v>1008309</v>
      </c>
      <c r="B7486">
        <v>6957</v>
      </c>
      <c r="C7486">
        <v>1</v>
      </c>
      <c r="D7486" s="17" t="s">
        <v>10507</v>
      </c>
      <c r="E7486" s="17"/>
      <c r="F7486" s="17" t="s">
        <v>10780</v>
      </c>
      <c r="G7486" s="17"/>
      <c r="H7486" s="17" t="s">
        <v>12908</v>
      </c>
      <c r="I7486" s="17"/>
      <c r="J7486" s="17" t="s">
        <v>14018</v>
      </c>
      <c r="K7486" s="17"/>
      <c r="L7486" s="17" t="s">
        <v>14019</v>
      </c>
      <c r="M7486" s="17"/>
      <c r="N7486" s="17" t="s">
        <v>16378</v>
      </c>
      <c r="O7486" s="17"/>
      <c r="P7486" s="17" t="s">
        <v>16985</v>
      </c>
      <c r="Q7486" s="17"/>
      <c r="R7486" s="25" t="str">
        <f>HYPERLINK("https://ictv.global/taxonomy/taxondetails?taxnode_id=202309069","Gemykolovirus poaspe1")</f>
        <v>Gemykolovirus poaspe1</v>
      </c>
      <c r="S7486" s="18" t="s">
        <v>30</v>
      </c>
      <c r="T7486" s="18" t="s">
        <v>17014</v>
      </c>
      <c r="U7486" s="18"/>
      <c r="V7486" s="18" t="s">
        <v>17015</v>
      </c>
      <c r="W7486" s="18" t="s">
        <v>17016</v>
      </c>
      <c r="X7486" s="18" t="s">
        <v>42</v>
      </c>
      <c r="Y7486" s="18" t="s">
        <v>12266</v>
      </c>
      <c r="Z7486" s="18" t="s">
        <v>13441</v>
      </c>
      <c r="AA7486" s="21" t="str">
        <f>HYPERLINK("https://www.ncbi.nlm.nih.gov/nuccore/MH939382","NCBI Nucleotide")</f>
        <v>NCBI Nucleotide</v>
      </c>
    </row>
    <row r="7487" spans="1:27" x14ac:dyDescent="0.35">
      <c r="A7487">
        <v>1008310</v>
      </c>
      <c r="B7487">
        <v>6958</v>
      </c>
      <c r="C7487">
        <v>1</v>
      </c>
      <c r="D7487" s="17" t="s">
        <v>10507</v>
      </c>
      <c r="E7487" s="17"/>
      <c r="F7487" s="17" t="s">
        <v>10780</v>
      </c>
      <c r="G7487" s="17"/>
      <c r="H7487" s="17" t="s">
        <v>12908</v>
      </c>
      <c r="I7487" s="17"/>
      <c r="J7487" s="17" t="s">
        <v>14018</v>
      </c>
      <c r="K7487" s="17"/>
      <c r="L7487" s="17" t="s">
        <v>14019</v>
      </c>
      <c r="M7487" s="17"/>
      <c r="N7487" s="17" t="s">
        <v>16378</v>
      </c>
      <c r="O7487" s="17"/>
      <c r="P7487" s="17" t="s">
        <v>16985</v>
      </c>
      <c r="Q7487" s="17"/>
      <c r="R7487" s="25" t="str">
        <f>HYPERLINK("https://ictv.global/taxonomy/taxondetails?taxnode_id=202309077","Gemykolovirus prupe1")</f>
        <v>Gemykolovirus prupe1</v>
      </c>
      <c r="S7487" s="18" t="s">
        <v>30</v>
      </c>
      <c r="T7487" s="18" t="s">
        <v>17017</v>
      </c>
      <c r="U7487" s="18"/>
      <c r="V7487" s="18" t="s">
        <v>17018</v>
      </c>
      <c r="W7487" s="18" t="s">
        <v>17019</v>
      </c>
      <c r="X7487" s="18" t="s">
        <v>42</v>
      </c>
      <c r="Y7487" s="18" t="s">
        <v>12266</v>
      </c>
      <c r="Z7487" s="18" t="s">
        <v>13441</v>
      </c>
      <c r="AA7487" s="21" t="str">
        <f>HYPERLINK("https://www.ncbi.nlm.nih.gov/nuccore/MN823669","NCBI Nucleotide")</f>
        <v>NCBI Nucleotide</v>
      </c>
    </row>
    <row r="7488" spans="1:27" x14ac:dyDescent="0.35">
      <c r="A7488">
        <v>1008311</v>
      </c>
      <c r="B7488">
        <v>6959</v>
      </c>
      <c r="C7488">
        <v>1</v>
      </c>
      <c r="D7488" s="17" t="s">
        <v>10507</v>
      </c>
      <c r="E7488" s="17"/>
      <c r="F7488" s="17" t="s">
        <v>10780</v>
      </c>
      <c r="G7488" s="17"/>
      <c r="H7488" s="17" t="s">
        <v>12908</v>
      </c>
      <c r="I7488" s="17"/>
      <c r="J7488" s="17" t="s">
        <v>14018</v>
      </c>
      <c r="K7488" s="17"/>
      <c r="L7488" s="17" t="s">
        <v>14019</v>
      </c>
      <c r="M7488" s="17"/>
      <c r="N7488" s="17" t="s">
        <v>16378</v>
      </c>
      <c r="O7488" s="17"/>
      <c r="P7488" s="17" t="s">
        <v>16985</v>
      </c>
      <c r="Q7488" s="17"/>
      <c r="R7488" s="25" t="str">
        <f>HYPERLINK("https://ictv.global/taxonomy/taxondetails?taxnode_id=202303622","Gemykolovirus ptero1")</f>
        <v>Gemykolovirus ptero1</v>
      </c>
      <c r="S7488" s="18" t="s">
        <v>30</v>
      </c>
      <c r="T7488" s="18" t="s">
        <v>17020</v>
      </c>
      <c r="U7488" s="18" t="s">
        <v>17021</v>
      </c>
      <c r="V7488" s="18" t="s">
        <v>17022</v>
      </c>
      <c r="W7488" s="18" t="s">
        <v>17023</v>
      </c>
      <c r="X7488" s="18" t="s">
        <v>42</v>
      </c>
      <c r="Y7488" s="18" t="s">
        <v>12266</v>
      </c>
      <c r="Z7488" s="18" t="s">
        <v>166</v>
      </c>
      <c r="AA7488" s="21" t="str">
        <f>HYPERLINK("https://www.ncbi.nlm.nih.gov/nuccore/KT732798","NCBI Nucleotide")</f>
        <v>NCBI Nucleotide</v>
      </c>
    </row>
    <row r="7489" spans="1:27" x14ac:dyDescent="0.35">
      <c r="A7489">
        <v>1008312</v>
      </c>
      <c r="B7489">
        <v>6960</v>
      </c>
      <c r="C7489">
        <v>1</v>
      </c>
      <c r="D7489" s="17" t="s">
        <v>10507</v>
      </c>
      <c r="E7489" s="17"/>
      <c r="F7489" s="17" t="s">
        <v>10780</v>
      </c>
      <c r="G7489" s="17"/>
      <c r="H7489" s="17" t="s">
        <v>12908</v>
      </c>
      <c r="I7489" s="17"/>
      <c r="J7489" s="17" t="s">
        <v>14018</v>
      </c>
      <c r="K7489" s="17"/>
      <c r="L7489" s="17" t="s">
        <v>14019</v>
      </c>
      <c r="M7489" s="17"/>
      <c r="N7489" s="17" t="s">
        <v>16378</v>
      </c>
      <c r="O7489" s="17"/>
      <c r="P7489" s="17" t="s">
        <v>16985</v>
      </c>
      <c r="Q7489" s="17"/>
      <c r="R7489" s="25" t="str">
        <f>HYPERLINK("https://ictv.global/taxonomy/taxondetails?taxnode_id=202303623","Gemykolovirus ptero2")</f>
        <v>Gemykolovirus ptero2</v>
      </c>
      <c r="S7489" s="18" t="s">
        <v>30</v>
      </c>
      <c r="T7489" s="18" t="s">
        <v>17024</v>
      </c>
      <c r="U7489" s="18" t="s">
        <v>17025</v>
      </c>
      <c r="V7489" s="18" t="s">
        <v>17026</v>
      </c>
      <c r="W7489" s="18" t="s">
        <v>17027</v>
      </c>
      <c r="X7489" s="18" t="s">
        <v>42</v>
      </c>
      <c r="Y7489" s="18" t="s">
        <v>12266</v>
      </c>
      <c r="Z7489" s="18" t="s">
        <v>166</v>
      </c>
      <c r="AA7489" s="21" t="str">
        <f>HYPERLINK("https://www.ncbi.nlm.nih.gov/nuccore/KT732800","NCBI Nucleotide")</f>
        <v>NCBI Nucleotide</v>
      </c>
    </row>
    <row r="7490" spans="1:27" x14ac:dyDescent="0.35">
      <c r="A7490">
        <v>1008313</v>
      </c>
      <c r="B7490">
        <v>6961</v>
      </c>
      <c r="C7490">
        <v>1</v>
      </c>
      <c r="D7490" s="17" t="s">
        <v>10507</v>
      </c>
      <c r="E7490" s="17"/>
      <c r="F7490" s="17" t="s">
        <v>10780</v>
      </c>
      <c r="G7490" s="17"/>
      <c r="H7490" s="17" t="s">
        <v>12908</v>
      </c>
      <c r="I7490" s="17"/>
      <c r="J7490" s="17" t="s">
        <v>14018</v>
      </c>
      <c r="K7490" s="17"/>
      <c r="L7490" s="17" t="s">
        <v>14019</v>
      </c>
      <c r="M7490" s="17"/>
      <c r="N7490" s="17" t="s">
        <v>16378</v>
      </c>
      <c r="O7490" s="17"/>
      <c r="P7490" s="17" t="s">
        <v>16985</v>
      </c>
      <c r="Q7490" s="17"/>
      <c r="R7490" s="25" t="str">
        <f>HYPERLINK("https://ictv.global/taxonomy/taxondetails?taxnode_id=202309078","Gemykolovirus segpa1")</f>
        <v>Gemykolovirus segpa1</v>
      </c>
      <c r="S7490" s="18" t="s">
        <v>30</v>
      </c>
      <c r="T7490" s="18" t="s">
        <v>17028</v>
      </c>
      <c r="U7490" s="18"/>
      <c r="V7490" s="18" t="s">
        <v>17029</v>
      </c>
      <c r="W7490" s="18" t="s">
        <v>17030</v>
      </c>
      <c r="X7490" s="18" t="s">
        <v>42</v>
      </c>
      <c r="Y7490" s="18" t="s">
        <v>12266</v>
      </c>
      <c r="Z7490" s="18" t="s">
        <v>10790</v>
      </c>
      <c r="AA7490" s="21" t="str">
        <f>HYPERLINK("https://www.ncbi.nlm.nih.gov/nuccore/MH545501","NCBI Nucleotide")</f>
        <v>NCBI Nucleotide</v>
      </c>
    </row>
    <row r="7491" spans="1:27" x14ac:dyDescent="0.35">
      <c r="A7491">
        <v>1008314</v>
      </c>
      <c r="B7491">
        <v>6962</v>
      </c>
      <c r="C7491">
        <v>1</v>
      </c>
      <c r="D7491" s="17" t="s">
        <v>10507</v>
      </c>
      <c r="E7491" s="17"/>
      <c r="F7491" s="17" t="s">
        <v>10780</v>
      </c>
      <c r="G7491" s="17"/>
      <c r="H7491" s="17" t="s">
        <v>12908</v>
      </c>
      <c r="I7491" s="17"/>
      <c r="J7491" s="17" t="s">
        <v>14018</v>
      </c>
      <c r="K7491" s="17"/>
      <c r="L7491" s="17" t="s">
        <v>14019</v>
      </c>
      <c r="M7491" s="17"/>
      <c r="N7491" s="17" t="s">
        <v>16378</v>
      </c>
      <c r="O7491" s="17"/>
      <c r="P7491" s="17" t="s">
        <v>16985</v>
      </c>
      <c r="Q7491" s="17"/>
      <c r="R7491" s="25" t="str">
        <f>HYPERLINK("https://ictv.global/taxonomy/taxondetails?taxnode_id=202309080","Gemykolovirus troti1")</f>
        <v>Gemykolovirus troti1</v>
      </c>
      <c r="S7491" s="18" t="s">
        <v>30</v>
      </c>
      <c r="T7491" s="18" t="s">
        <v>16380</v>
      </c>
      <c r="U7491" s="18"/>
      <c r="V7491" s="18" t="s">
        <v>17031</v>
      </c>
      <c r="W7491" s="18" t="s">
        <v>17032</v>
      </c>
      <c r="X7491" s="18" t="s">
        <v>42</v>
      </c>
      <c r="Y7491" s="18" t="s">
        <v>12266</v>
      </c>
      <c r="Z7491" s="18" t="s">
        <v>166</v>
      </c>
      <c r="AA7491" s="21" t="str">
        <f>HYPERLINK("https://www.ncbi.nlm.nih.gov/nuccore/MK032739","NCBI Nucleotide")</f>
        <v>NCBI Nucleotide</v>
      </c>
    </row>
    <row r="7492" spans="1:27" x14ac:dyDescent="0.35">
      <c r="A7492">
        <v>1008315</v>
      </c>
      <c r="B7492">
        <v>6963</v>
      </c>
      <c r="C7492">
        <v>1</v>
      </c>
      <c r="D7492" s="17" t="s">
        <v>10507</v>
      </c>
      <c r="E7492" s="17"/>
      <c r="F7492" s="17" t="s">
        <v>10780</v>
      </c>
      <c r="G7492" s="17"/>
      <c r="H7492" s="17" t="s">
        <v>12908</v>
      </c>
      <c r="I7492" s="17"/>
      <c r="J7492" s="17" t="s">
        <v>14018</v>
      </c>
      <c r="K7492" s="17"/>
      <c r="L7492" s="17" t="s">
        <v>14019</v>
      </c>
      <c r="M7492" s="17"/>
      <c r="N7492" s="17" t="s">
        <v>16378</v>
      </c>
      <c r="O7492" s="17"/>
      <c r="P7492" s="17" t="s">
        <v>17033</v>
      </c>
      <c r="Q7492" s="17"/>
      <c r="R7492" s="25" t="str">
        <f>HYPERLINK("https://ictv.global/taxonomy/taxondetails?taxnode_id=202309083","Gemykrogvirus abati1")</f>
        <v>Gemykrogvirus abati1</v>
      </c>
      <c r="S7492" s="18" t="s">
        <v>30</v>
      </c>
      <c r="T7492" s="18" t="s">
        <v>16380</v>
      </c>
      <c r="U7492" s="18"/>
      <c r="V7492" s="18" t="s">
        <v>17034</v>
      </c>
      <c r="W7492" s="18" t="s">
        <v>17035</v>
      </c>
      <c r="X7492" s="18" t="s">
        <v>42</v>
      </c>
      <c r="Y7492" s="18" t="s">
        <v>12266</v>
      </c>
      <c r="Z7492" s="18" t="s">
        <v>10790</v>
      </c>
      <c r="AA7492" s="21" t="str">
        <f>HYPERLINK("https://www.ncbi.nlm.nih.gov/nuccore/MK032716","NCBI Nucleotide")</f>
        <v>NCBI Nucleotide</v>
      </c>
    </row>
    <row r="7493" spans="1:27" x14ac:dyDescent="0.35">
      <c r="A7493">
        <v>1008316</v>
      </c>
      <c r="B7493">
        <v>6964</v>
      </c>
      <c r="C7493">
        <v>1</v>
      </c>
      <c r="D7493" s="17" t="s">
        <v>10507</v>
      </c>
      <c r="E7493" s="17"/>
      <c r="F7493" s="17" t="s">
        <v>10780</v>
      </c>
      <c r="G7493" s="17"/>
      <c r="H7493" s="17" t="s">
        <v>12908</v>
      </c>
      <c r="I7493" s="17"/>
      <c r="J7493" s="17" t="s">
        <v>14018</v>
      </c>
      <c r="K7493" s="17"/>
      <c r="L7493" s="17" t="s">
        <v>14019</v>
      </c>
      <c r="M7493" s="17"/>
      <c r="N7493" s="17" t="s">
        <v>16378</v>
      </c>
      <c r="O7493" s="17"/>
      <c r="P7493" s="17" t="s">
        <v>17033</v>
      </c>
      <c r="Q7493" s="17"/>
      <c r="R7493" s="25" t="str">
        <f>HYPERLINK("https://ictv.global/taxonomy/taxondetails?taxnode_id=202309087","Gemykrogvirus apime1")</f>
        <v>Gemykrogvirus apime1</v>
      </c>
      <c r="S7493" s="18" t="s">
        <v>30</v>
      </c>
      <c r="T7493" s="18" t="s">
        <v>17036</v>
      </c>
      <c r="U7493" s="18"/>
      <c r="V7493" s="18" t="s">
        <v>17037</v>
      </c>
      <c r="W7493" s="18" t="s">
        <v>17038</v>
      </c>
      <c r="X7493" s="18" t="s">
        <v>42</v>
      </c>
      <c r="Y7493" s="18" t="s">
        <v>12266</v>
      </c>
      <c r="Z7493" s="18" t="s">
        <v>10790</v>
      </c>
      <c r="AA7493" s="21" t="str">
        <f>HYPERLINK("https://www.ncbi.nlm.nih.gov/nuccore/MH973741","NCBI Nucleotide")</f>
        <v>NCBI Nucleotide</v>
      </c>
    </row>
    <row r="7494" spans="1:27" x14ac:dyDescent="0.35">
      <c r="A7494">
        <v>1008317</v>
      </c>
      <c r="B7494">
        <v>6965</v>
      </c>
      <c r="C7494">
        <v>1</v>
      </c>
      <c r="D7494" s="17" t="s">
        <v>10507</v>
      </c>
      <c r="E7494" s="17"/>
      <c r="F7494" s="17" t="s">
        <v>10780</v>
      </c>
      <c r="G7494" s="17"/>
      <c r="H7494" s="17" t="s">
        <v>12908</v>
      </c>
      <c r="I7494" s="17"/>
      <c r="J7494" s="17" t="s">
        <v>14018</v>
      </c>
      <c r="K7494" s="17"/>
      <c r="L7494" s="17" t="s">
        <v>14019</v>
      </c>
      <c r="M7494" s="17"/>
      <c r="N7494" s="17" t="s">
        <v>16378</v>
      </c>
      <c r="O7494" s="17"/>
      <c r="P7494" s="17" t="s">
        <v>17033</v>
      </c>
      <c r="Q7494" s="17"/>
      <c r="R7494" s="25" t="str">
        <f>HYPERLINK("https://ictv.global/taxonomy/taxondetails?taxnode_id=202303625","Gemykrogvirus bovas1")</f>
        <v>Gemykrogvirus bovas1</v>
      </c>
      <c r="S7494" s="18" t="s">
        <v>30</v>
      </c>
      <c r="T7494" s="18" t="s">
        <v>17039</v>
      </c>
      <c r="U7494" s="18" t="s">
        <v>17040</v>
      </c>
      <c r="V7494" s="18" t="s">
        <v>17041</v>
      </c>
      <c r="W7494" s="18" t="s">
        <v>17042</v>
      </c>
      <c r="X7494" s="18" t="s">
        <v>42</v>
      </c>
      <c r="Y7494" s="18" t="s">
        <v>12266</v>
      </c>
      <c r="Z7494" s="18" t="s">
        <v>166</v>
      </c>
      <c r="AA7494" s="21" t="str">
        <f>HYPERLINK("https://www.ncbi.nlm.nih.gov/nuccore/LK931484","NCBI Nucleotide")</f>
        <v>NCBI Nucleotide</v>
      </c>
    </row>
    <row r="7495" spans="1:27" x14ac:dyDescent="0.35">
      <c r="A7495">
        <v>1008318</v>
      </c>
      <c r="B7495">
        <v>6966</v>
      </c>
      <c r="C7495">
        <v>1</v>
      </c>
      <c r="D7495" s="17" t="s">
        <v>10507</v>
      </c>
      <c r="E7495" s="17"/>
      <c r="F7495" s="17" t="s">
        <v>10780</v>
      </c>
      <c r="G7495" s="17"/>
      <c r="H7495" s="17" t="s">
        <v>12908</v>
      </c>
      <c r="I7495" s="17"/>
      <c r="J7495" s="17" t="s">
        <v>14018</v>
      </c>
      <c r="K7495" s="17"/>
      <c r="L7495" s="17" t="s">
        <v>14019</v>
      </c>
      <c r="M7495" s="17"/>
      <c r="N7495" s="17" t="s">
        <v>16378</v>
      </c>
      <c r="O7495" s="17"/>
      <c r="P7495" s="17" t="s">
        <v>17033</v>
      </c>
      <c r="Q7495" s="17"/>
      <c r="R7495" s="25" t="str">
        <f>HYPERLINK("https://ictv.global/taxonomy/taxondetails?taxnode_id=202303626","Gemykrogvirus carib1")</f>
        <v>Gemykrogvirus carib1</v>
      </c>
      <c r="S7495" s="18" t="s">
        <v>30</v>
      </c>
      <c r="T7495" s="18" t="s">
        <v>17043</v>
      </c>
      <c r="U7495" s="18" t="s">
        <v>17040</v>
      </c>
      <c r="V7495" s="18" t="s">
        <v>17044</v>
      </c>
      <c r="W7495" s="18" t="s">
        <v>17045</v>
      </c>
      <c r="X7495" s="18" t="s">
        <v>42</v>
      </c>
      <c r="Y7495" s="18" t="s">
        <v>12266</v>
      </c>
      <c r="Z7495" s="18" t="s">
        <v>166</v>
      </c>
      <c r="AA7495" s="21" t="str">
        <f>HYPERLINK("https://www.ncbi.nlm.nih.gov/nuccore/KJ938717","NCBI Nucleotide")</f>
        <v>NCBI Nucleotide</v>
      </c>
    </row>
    <row r="7496" spans="1:27" x14ac:dyDescent="0.35">
      <c r="A7496">
        <v>1008319</v>
      </c>
      <c r="B7496">
        <v>6967</v>
      </c>
      <c r="C7496">
        <v>1</v>
      </c>
      <c r="D7496" s="17" t="s">
        <v>10507</v>
      </c>
      <c r="E7496" s="17"/>
      <c r="F7496" s="17" t="s">
        <v>10780</v>
      </c>
      <c r="G7496" s="17"/>
      <c r="H7496" s="17" t="s">
        <v>12908</v>
      </c>
      <c r="I7496" s="17"/>
      <c r="J7496" s="17" t="s">
        <v>14018</v>
      </c>
      <c r="K7496" s="17"/>
      <c r="L7496" s="17" t="s">
        <v>14019</v>
      </c>
      <c r="M7496" s="17"/>
      <c r="N7496" s="17" t="s">
        <v>16378</v>
      </c>
      <c r="O7496" s="17"/>
      <c r="P7496" s="17" t="s">
        <v>17033</v>
      </c>
      <c r="Q7496" s="17"/>
      <c r="R7496" s="25" t="str">
        <f>HYPERLINK("https://ictv.global/taxonomy/taxondetails?taxnode_id=202309084","Gemykrogvirus galga1")</f>
        <v>Gemykrogvirus galga1</v>
      </c>
      <c r="S7496" s="18" t="s">
        <v>30</v>
      </c>
      <c r="T7496" s="18" t="s">
        <v>17046</v>
      </c>
      <c r="U7496" s="18"/>
      <c r="V7496" s="18" t="s">
        <v>17047</v>
      </c>
      <c r="W7496" s="18" t="s">
        <v>17048</v>
      </c>
      <c r="X7496" s="18" t="s">
        <v>42</v>
      </c>
      <c r="Y7496" s="18" t="s">
        <v>12266</v>
      </c>
      <c r="Z7496" s="18" t="s">
        <v>166</v>
      </c>
      <c r="AA7496" s="21" t="str">
        <f>HYPERLINK("https://www.ncbi.nlm.nih.gov/nuccore/MN379609","NCBI Nucleotide")</f>
        <v>NCBI Nucleotide</v>
      </c>
    </row>
    <row r="7497" spans="1:27" x14ac:dyDescent="0.35">
      <c r="A7497">
        <v>1008320</v>
      </c>
      <c r="B7497">
        <v>6968</v>
      </c>
      <c r="C7497">
        <v>1</v>
      </c>
      <c r="D7497" s="17" t="s">
        <v>10507</v>
      </c>
      <c r="E7497" s="17"/>
      <c r="F7497" s="17" t="s">
        <v>10780</v>
      </c>
      <c r="G7497" s="17"/>
      <c r="H7497" s="17" t="s">
        <v>12908</v>
      </c>
      <c r="I7497" s="17"/>
      <c r="J7497" s="17" t="s">
        <v>14018</v>
      </c>
      <c r="K7497" s="17"/>
      <c r="L7497" s="17" t="s">
        <v>14019</v>
      </c>
      <c r="M7497" s="17"/>
      <c r="N7497" s="17" t="s">
        <v>16378</v>
      </c>
      <c r="O7497" s="17"/>
      <c r="P7497" s="17" t="s">
        <v>17033</v>
      </c>
      <c r="Q7497" s="17"/>
      <c r="R7497" s="25" t="str">
        <f>HYPERLINK("https://ictv.global/taxonomy/taxondetails?taxnode_id=202309086","Gemykrogvirus galga2")</f>
        <v>Gemykrogvirus galga2</v>
      </c>
      <c r="S7497" s="18" t="s">
        <v>30</v>
      </c>
      <c r="T7497" s="18" t="s">
        <v>17049</v>
      </c>
      <c r="U7497" s="18"/>
      <c r="V7497" s="18" t="s">
        <v>17050</v>
      </c>
      <c r="W7497" s="18" t="s">
        <v>17051</v>
      </c>
      <c r="X7497" s="18" t="s">
        <v>42</v>
      </c>
      <c r="Y7497" s="18" t="s">
        <v>12266</v>
      </c>
      <c r="Z7497" s="18" t="s">
        <v>166</v>
      </c>
      <c r="AA7497" s="21" t="str">
        <f>HYPERLINK("https://www.ncbi.nlm.nih.gov/nuccore/KY056250","NCBI Nucleotide")</f>
        <v>NCBI Nucleotide</v>
      </c>
    </row>
    <row r="7498" spans="1:27" x14ac:dyDescent="0.35">
      <c r="A7498">
        <v>1008321</v>
      </c>
      <c r="B7498">
        <v>6969</v>
      </c>
      <c r="C7498">
        <v>1</v>
      </c>
      <c r="D7498" s="17" t="s">
        <v>10507</v>
      </c>
      <c r="E7498" s="17"/>
      <c r="F7498" s="17" t="s">
        <v>10780</v>
      </c>
      <c r="G7498" s="17"/>
      <c r="H7498" s="17" t="s">
        <v>12908</v>
      </c>
      <c r="I7498" s="17"/>
      <c r="J7498" s="17" t="s">
        <v>14018</v>
      </c>
      <c r="K7498" s="17"/>
      <c r="L7498" s="17" t="s">
        <v>14019</v>
      </c>
      <c r="M7498" s="17"/>
      <c r="N7498" s="17" t="s">
        <v>16378</v>
      </c>
      <c r="O7498" s="17"/>
      <c r="P7498" s="17" t="s">
        <v>17033</v>
      </c>
      <c r="Q7498" s="17"/>
      <c r="R7498" s="25" t="str">
        <f>HYPERLINK("https://ictv.global/taxonomy/taxondetails?taxnode_id=202309088","Gemykrogvirus galga3")</f>
        <v>Gemykrogvirus galga3</v>
      </c>
      <c r="S7498" s="18" t="s">
        <v>30</v>
      </c>
      <c r="T7498" s="18" t="s">
        <v>17052</v>
      </c>
      <c r="U7498" s="18"/>
      <c r="V7498" s="18" t="s">
        <v>17053</v>
      </c>
      <c r="W7498" s="18" t="s">
        <v>17054</v>
      </c>
      <c r="X7498" s="18" t="s">
        <v>42</v>
      </c>
      <c r="Y7498" s="18" t="s">
        <v>12266</v>
      </c>
      <c r="Z7498" s="18" t="s">
        <v>166</v>
      </c>
      <c r="AA7498" s="21" t="str">
        <f>HYPERLINK("https://www.ncbi.nlm.nih.gov/nuccore/MN379605","NCBI Nucleotide")</f>
        <v>NCBI Nucleotide</v>
      </c>
    </row>
    <row r="7499" spans="1:27" x14ac:dyDescent="0.35">
      <c r="A7499">
        <v>1008322</v>
      </c>
      <c r="B7499">
        <v>6970</v>
      </c>
      <c r="C7499">
        <v>1</v>
      </c>
      <c r="D7499" s="17" t="s">
        <v>10507</v>
      </c>
      <c r="E7499" s="17"/>
      <c r="F7499" s="17" t="s">
        <v>10780</v>
      </c>
      <c r="G7499" s="17"/>
      <c r="H7499" s="17" t="s">
        <v>12908</v>
      </c>
      <c r="I7499" s="17"/>
      <c r="J7499" s="17" t="s">
        <v>14018</v>
      </c>
      <c r="K7499" s="17"/>
      <c r="L7499" s="17" t="s">
        <v>14019</v>
      </c>
      <c r="M7499" s="17"/>
      <c r="N7499" s="17" t="s">
        <v>16378</v>
      </c>
      <c r="O7499" s="17"/>
      <c r="P7499" s="17" t="s">
        <v>17033</v>
      </c>
      <c r="Q7499" s="17"/>
      <c r="R7499" s="25" t="str">
        <f>HYPERLINK("https://ictv.global/taxonomy/taxondetails?taxnode_id=202309089","Gemykrogvirus galga4")</f>
        <v>Gemykrogvirus galga4</v>
      </c>
      <c r="S7499" s="18" t="s">
        <v>30</v>
      </c>
      <c r="T7499" s="18" t="s">
        <v>17055</v>
      </c>
      <c r="U7499" s="18"/>
      <c r="V7499" s="18" t="s">
        <v>17056</v>
      </c>
      <c r="W7499" s="18" t="s">
        <v>17057</v>
      </c>
      <c r="X7499" s="18" t="s">
        <v>42</v>
      </c>
      <c r="Y7499" s="18" t="s">
        <v>12266</v>
      </c>
      <c r="Z7499" s="18" t="s">
        <v>166</v>
      </c>
      <c r="AA7499" s="21" t="str">
        <f>HYPERLINK("https://www.ncbi.nlm.nih.gov/nuccore/MN379614","NCBI Nucleotide")</f>
        <v>NCBI Nucleotide</v>
      </c>
    </row>
    <row r="7500" spans="1:27" x14ac:dyDescent="0.35">
      <c r="A7500">
        <v>1008323</v>
      </c>
      <c r="B7500">
        <v>6971</v>
      </c>
      <c r="C7500">
        <v>1</v>
      </c>
      <c r="D7500" s="17" t="s">
        <v>10507</v>
      </c>
      <c r="E7500" s="17"/>
      <c r="F7500" s="17" t="s">
        <v>10780</v>
      </c>
      <c r="G7500" s="17"/>
      <c r="H7500" s="17" t="s">
        <v>12908</v>
      </c>
      <c r="I7500" s="17"/>
      <c r="J7500" s="17" t="s">
        <v>14018</v>
      </c>
      <c r="K7500" s="17"/>
      <c r="L7500" s="17" t="s">
        <v>14019</v>
      </c>
      <c r="M7500" s="17"/>
      <c r="N7500" s="17" t="s">
        <v>16378</v>
      </c>
      <c r="O7500" s="17"/>
      <c r="P7500" s="17" t="s">
        <v>17033</v>
      </c>
      <c r="Q7500" s="17"/>
      <c r="R7500" s="25" t="str">
        <f>HYPERLINK("https://ictv.global/taxonomy/taxondetails?taxnode_id=202309090","Gemykrogvirus galga5")</f>
        <v>Gemykrogvirus galga5</v>
      </c>
      <c r="S7500" s="18" t="s">
        <v>30</v>
      </c>
      <c r="T7500" s="18" t="s">
        <v>17058</v>
      </c>
      <c r="U7500" s="18"/>
      <c r="V7500" s="18" t="s">
        <v>17059</v>
      </c>
      <c r="W7500" s="18" t="s">
        <v>17060</v>
      </c>
      <c r="X7500" s="18" t="s">
        <v>42</v>
      </c>
      <c r="Y7500" s="18" t="s">
        <v>12266</v>
      </c>
      <c r="Z7500" s="18" t="s">
        <v>166</v>
      </c>
      <c r="AA7500" s="21" t="str">
        <f>HYPERLINK("https://www.ncbi.nlm.nih.gov/nuccore/MN379604","NCBI Nucleotide")</f>
        <v>NCBI Nucleotide</v>
      </c>
    </row>
    <row r="7501" spans="1:27" x14ac:dyDescent="0.35">
      <c r="A7501">
        <v>1008324</v>
      </c>
      <c r="B7501">
        <v>6972</v>
      </c>
      <c r="C7501">
        <v>1</v>
      </c>
      <c r="D7501" s="17" t="s">
        <v>10507</v>
      </c>
      <c r="E7501" s="17"/>
      <c r="F7501" s="17" t="s">
        <v>10780</v>
      </c>
      <c r="G7501" s="17"/>
      <c r="H7501" s="17" t="s">
        <v>12908</v>
      </c>
      <c r="I7501" s="17"/>
      <c r="J7501" s="17" t="s">
        <v>14018</v>
      </c>
      <c r="K7501" s="17"/>
      <c r="L7501" s="17" t="s">
        <v>14019</v>
      </c>
      <c r="M7501" s="17"/>
      <c r="N7501" s="17" t="s">
        <v>16378</v>
      </c>
      <c r="O7501" s="17"/>
      <c r="P7501" s="17" t="s">
        <v>17033</v>
      </c>
      <c r="Q7501" s="17"/>
      <c r="R7501" s="25" t="str">
        <f>HYPERLINK("https://ictv.global/taxonomy/taxondetails?taxnode_id=202309082","Gemykrogvirus giapa1")</f>
        <v>Gemykrogvirus giapa1</v>
      </c>
      <c r="S7501" s="18" t="s">
        <v>30</v>
      </c>
      <c r="T7501" s="18" t="s">
        <v>16504</v>
      </c>
      <c r="U7501" s="18"/>
      <c r="V7501" s="18" t="s">
        <v>17061</v>
      </c>
      <c r="W7501" s="18" t="s">
        <v>17062</v>
      </c>
      <c r="X7501" s="18" t="s">
        <v>42</v>
      </c>
      <c r="Y7501" s="18" t="s">
        <v>12266</v>
      </c>
      <c r="Z7501" s="18" t="s">
        <v>166</v>
      </c>
      <c r="AA7501" s="21" t="str">
        <f>HYPERLINK("https://www.ncbi.nlm.nih.gov/nuccore/MF327559","NCBI Nucleotide")</f>
        <v>NCBI Nucleotide</v>
      </c>
    </row>
    <row r="7502" spans="1:27" x14ac:dyDescent="0.35">
      <c r="A7502">
        <v>1008325</v>
      </c>
      <c r="B7502">
        <v>6973</v>
      </c>
      <c r="C7502">
        <v>1</v>
      </c>
      <c r="D7502" s="17" t="s">
        <v>10507</v>
      </c>
      <c r="E7502" s="17"/>
      <c r="F7502" s="17" t="s">
        <v>10780</v>
      </c>
      <c r="G7502" s="17"/>
      <c r="H7502" s="17" t="s">
        <v>12908</v>
      </c>
      <c r="I7502" s="17"/>
      <c r="J7502" s="17" t="s">
        <v>14018</v>
      </c>
      <c r="K7502" s="17"/>
      <c r="L7502" s="17" t="s">
        <v>14019</v>
      </c>
      <c r="M7502" s="17"/>
      <c r="N7502" s="17" t="s">
        <v>16378</v>
      </c>
      <c r="O7502" s="17"/>
      <c r="P7502" s="17" t="s">
        <v>17033</v>
      </c>
      <c r="Q7502" s="17"/>
      <c r="R7502" s="25" t="str">
        <f>HYPERLINK("https://ictv.global/taxonomy/taxondetails?taxnode_id=202309081","Gemykrogvirus hadtis1")</f>
        <v>Gemykrogvirus hadtis1</v>
      </c>
      <c r="S7502" s="18" t="s">
        <v>30</v>
      </c>
      <c r="T7502" s="18" t="s">
        <v>16380</v>
      </c>
      <c r="U7502" s="18"/>
      <c r="V7502" s="18" t="s">
        <v>17063</v>
      </c>
      <c r="W7502" s="18" t="s">
        <v>17064</v>
      </c>
      <c r="X7502" s="18" t="s">
        <v>42</v>
      </c>
      <c r="Y7502" s="18" t="s">
        <v>12266</v>
      </c>
      <c r="Z7502" s="18" t="s">
        <v>166</v>
      </c>
      <c r="AA7502" s="21" t="str">
        <f>HYPERLINK("https://www.ncbi.nlm.nih.gov/nuccore/MK032724","NCBI Nucleotide")</f>
        <v>NCBI Nucleotide</v>
      </c>
    </row>
    <row r="7503" spans="1:27" x14ac:dyDescent="0.35">
      <c r="A7503">
        <v>1008326</v>
      </c>
      <c r="B7503">
        <v>6974</v>
      </c>
      <c r="C7503">
        <v>1</v>
      </c>
      <c r="D7503" s="17" t="s">
        <v>10507</v>
      </c>
      <c r="E7503" s="17"/>
      <c r="F7503" s="17" t="s">
        <v>10780</v>
      </c>
      <c r="G7503" s="17"/>
      <c r="H7503" s="17" t="s">
        <v>12908</v>
      </c>
      <c r="I7503" s="17"/>
      <c r="J7503" s="17" t="s">
        <v>14018</v>
      </c>
      <c r="K7503" s="17"/>
      <c r="L7503" s="17" t="s">
        <v>14019</v>
      </c>
      <c r="M7503" s="17"/>
      <c r="N7503" s="17" t="s">
        <v>16378</v>
      </c>
      <c r="O7503" s="17"/>
      <c r="P7503" s="17" t="s">
        <v>17033</v>
      </c>
      <c r="Q7503" s="17"/>
      <c r="R7503" s="25" t="str">
        <f>HYPERLINK("https://ictv.global/taxonomy/taxondetails?taxnode_id=202309085","Gemykrogvirus humas1")</f>
        <v>Gemykrogvirus humas1</v>
      </c>
      <c r="S7503" s="18" t="s">
        <v>30</v>
      </c>
      <c r="T7503" s="18" t="s">
        <v>16649</v>
      </c>
      <c r="U7503" s="18"/>
      <c r="V7503" s="18" t="s">
        <v>17065</v>
      </c>
      <c r="W7503" s="18" t="s">
        <v>17066</v>
      </c>
      <c r="X7503" s="18" t="s">
        <v>42</v>
      </c>
      <c r="Y7503" s="18" t="s">
        <v>12266</v>
      </c>
      <c r="Z7503" s="18" t="s">
        <v>166</v>
      </c>
      <c r="AA7503" s="21" t="str">
        <f>HYPERLINK("https://www.ncbi.nlm.nih.gov/nuccore/MT649486","NCBI Nucleotide")</f>
        <v>NCBI Nucleotide</v>
      </c>
    </row>
    <row r="7504" spans="1:27" x14ac:dyDescent="0.35">
      <c r="A7504">
        <v>1008327</v>
      </c>
      <c r="B7504">
        <v>6975</v>
      </c>
      <c r="C7504">
        <v>1</v>
      </c>
      <c r="D7504" s="17" t="s">
        <v>10507</v>
      </c>
      <c r="E7504" s="17"/>
      <c r="F7504" s="17" t="s">
        <v>10780</v>
      </c>
      <c r="G7504" s="17"/>
      <c r="H7504" s="17" t="s">
        <v>12908</v>
      </c>
      <c r="I7504" s="17"/>
      <c r="J7504" s="17" t="s">
        <v>14018</v>
      </c>
      <c r="K7504" s="17"/>
      <c r="L7504" s="17" t="s">
        <v>14019</v>
      </c>
      <c r="M7504" s="17"/>
      <c r="N7504" s="17" t="s">
        <v>16378</v>
      </c>
      <c r="O7504" s="17"/>
      <c r="P7504" s="17" t="s">
        <v>17033</v>
      </c>
      <c r="Q7504" s="17"/>
      <c r="R7504" s="25" t="str">
        <f>HYPERLINK("https://ictv.global/taxonomy/taxondetails?taxnode_id=202303627","Gemykrogvirus sewopo1")</f>
        <v>Gemykrogvirus sewopo1</v>
      </c>
      <c r="S7504" s="18" t="s">
        <v>30</v>
      </c>
      <c r="T7504" s="18" t="s">
        <v>17067</v>
      </c>
      <c r="U7504" s="18" t="s">
        <v>17068</v>
      </c>
      <c r="V7504" s="18" t="s">
        <v>17069</v>
      </c>
      <c r="W7504" s="18" t="s">
        <v>17070</v>
      </c>
      <c r="X7504" s="18" t="s">
        <v>42</v>
      </c>
      <c r="Y7504" s="18" t="s">
        <v>12266</v>
      </c>
      <c r="Z7504" s="18" t="s">
        <v>16726</v>
      </c>
      <c r="AA7504" s="21" t="str">
        <f>HYPERLINK("https://www.ncbi.nlm.nih.gov/nuccore/KJ547634","NCBI Nucleotide")</f>
        <v>NCBI Nucleotide</v>
      </c>
    </row>
    <row r="7505" spans="1:27" x14ac:dyDescent="0.35">
      <c r="A7505">
        <v>1008328</v>
      </c>
      <c r="B7505">
        <v>6976</v>
      </c>
      <c r="C7505">
        <v>1</v>
      </c>
      <c r="D7505" s="17" t="s">
        <v>10507</v>
      </c>
      <c r="E7505" s="17"/>
      <c r="F7505" s="17" t="s">
        <v>10780</v>
      </c>
      <c r="G7505" s="17"/>
      <c r="H7505" s="17" t="s">
        <v>12908</v>
      </c>
      <c r="I7505" s="17"/>
      <c r="J7505" s="17" t="s">
        <v>14018</v>
      </c>
      <c r="K7505" s="17"/>
      <c r="L7505" s="17" t="s">
        <v>14019</v>
      </c>
      <c r="M7505" s="17"/>
      <c r="N7505" s="17" t="s">
        <v>16378</v>
      </c>
      <c r="O7505" s="17"/>
      <c r="P7505" s="17" t="s">
        <v>17071</v>
      </c>
      <c r="Q7505" s="17"/>
      <c r="R7505" s="25" t="str">
        <f>HYPERLINK("https://ictv.global/taxonomy/taxondetails?taxnode_id=202309094","Gemykroznavirus anima1")</f>
        <v>Gemykroznavirus anima1</v>
      </c>
      <c r="S7505" s="18" t="s">
        <v>30</v>
      </c>
      <c r="T7505" s="18" t="s">
        <v>16380</v>
      </c>
      <c r="U7505" s="18"/>
      <c r="V7505" s="18" t="s">
        <v>17072</v>
      </c>
      <c r="W7505" s="18" t="s">
        <v>17073</v>
      </c>
      <c r="X7505" s="18" t="s">
        <v>42</v>
      </c>
      <c r="Y7505" s="18" t="s">
        <v>12266</v>
      </c>
      <c r="Z7505" s="18" t="s">
        <v>12289</v>
      </c>
      <c r="AA7505" s="21" t="str">
        <f>HYPERLINK("https://www.ncbi.nlm.nih.gov/nuccore/MK032727","NCBI Nucleotide")</f>
        <v>NCBI Nucleotide</v>
      </c>
    </row>
    <row r="7506" spans="1:27" x14ac:dyDescent="0.35">
      <c r="A7506">
        <v>1008329</v>
      </c>
      <c r="B7506">
        <v>6977</v>
      </c>
      <c r="C7506">
        <v>1</v>
      </c>
      <c r="D7506" s="17" t="s">
        <v>10507</v>
      </c>
      <c r="E7506" s="17"/>
      <c r="F7506" s="17" t="s">
        <v>10780</v>
      </c>
      <c r="G7506" s="17"/>
      <c r="H7506" s="17" t="s">
        <v>12908</v>
      </c>
      <c r="I7506" s="17"/>
      <c r="J7506" s="17" t="s">
        <v>14018</v>
      </c>
      <c r="K7506" s="17"/>
      <c r="L7506" s="17" t="s">
        <v>14019</v>
      </c>
      <c r="M7506" s="17"/>
      <c r="N7506" s="17" t="s">
        <v>16378</v>
      </c>
      <c r="O7506" s="17"/>
      <c r="P7506" s="17" t="s">
        <v>17071</v>
      </c>
      <c r="Q7506" s="17"/>
      <c r="R7506" s="25" t="str">
        <f>HYPERLINK("https://ictv.global/taxonomy/taxondetails?taxnode_id=202309093","Gemykroznavirus haeme1")</f>
        <v>Gemykroznavirus haeme1</v>
      </c>
      <c r="S7506" s="18" t="s">
        <v>30</v>
      </c>
      <c r="T7506" s="18" t="s">
        <v>17074</v>
      </c>
      <c r="U7506" s="18"/>
      <c r="V7506" s="18" t="s">
        <v>16535</v>
      </c>
      <c r="W7506" s="18" t="s">
        <v>17075</v>
      </c>
      <c r="X7506" s="18" t="s">
        <v>42</v>
      </c>
      <c r="Y7506" s="18" t="s">
        <v>12266</v>
      </c>
      <c r="Z7506" s="18" t="s">
        <v>166</v>
      </c>
      <c r="AA7506" s="21" t="str">
        <f>HYPERLINK("https://www.ncbi.nlm.nih.gov/nuccore/MK249245","NCBI Nucleotide")</f>
        <v>NCBI Nucleotide</v>
      </c>
    </row>
    <row r="7507" spans="1:27" x14ac:dyDescent="0.35">
      <c r="A7507">
        <v>1008330</v>
      </c>
      <c r="B7507">
        <v>6978</v>
      </c>
      <c r="C7507">
        <v>1</v>
      </c>
      <c r="D7507" s="17" t="s">
        <v>10507</v>
      </c>
      <c r="E7507" s="17"/>
      <c r="F7507" s="17" t="s">
        <v>10780</v>
      </c>
      <c r="G7507" s="17"/>
      <c r="H7507" s="17" t="s">
        <v>12908</v>
      </c>
      <c r="I7507" s="17"/>
      <c r="J7507" s="17" t="s">
        <v>14018</v>
      </c>
      <c r="K7507" s="17"/>
      <c r="L7507" s="17" t="s">
        <v>14019</v>
      </c>
      <c r="M7507" s="17"/>
      <c r="N7507" s="17" t="s">
        <v>16378</v>
      </c>
      <c r="O7507" s="17"/>
      <c r="P7507" s="17" t="s">
        <v>17071</v>
      </c>
      <c r="Q7507" s="17"/>
      <c r="R7507" s="25" t="str">
        <f>HYPERLINK("https://ictv.global/taxonomy/taxondetails?taxnode_id=202309095","Gemykroznavirus hydro1")</f>
        <v>Gemykroznavirus hydro1</v>
      </c>
      <c r="S7507" s="18" t="s">
        <v>30</v>
      </c>
      <c r="T7507" s="18" t="s">
        <v>17076</v>
      </c>
      <c r="U7507" s="18"/>
      <c r="V7507" s="18" t="s">
        <v>17077</v>
      </c>
      <c r="W7507" s="18" t="s">
        <v>17078</v>
      </c>
      <c r="X7507" s="18" t="s">
        <v>42</v>
      </c>
      <c r="Y7507" s="18" t="s">
        <v>12266</v>
      </c>
      <c r="Z7507" s="18" t="s">
        <v>166</v>
      </c>
      <c r="AA7507" s="21" t="str">
        <f>HYPERLINK("https://www.ncbi.nlm.nih.gov/nuccore/MK483082","NCBI Nucleotide")</f>
        <v>NCBI Nucleotide</v>
      </c>
    </row>
    <row r="7508" spans="1:27" x14ac:dyDescent="0.35">
      <c r="A7508">
        <v>1008331</v>
      </c>
      <c r="B7508">
        <v>6979</v>
      </c>
      <c r="C7508">
        <v>1</v>
      </c>
      <c r="D7508" s="17" t="s">
        <v>10507</v>
      </c>
      <c r="E7508" s="17"/>
      <c r="F7508" s="17" t="s">
        <v>10780</v>
      </c>
      <c r="G7508" s="17"/>
      <c r="H7508" s="17" t="s">
        <v>12908</v>
      </c>
      <c r="I7508" s="17"/>
      <c r="J7508" s="17" t="s">
        <v>14018</v>
      </c>
      <c r="K7508" s="17"/>
      <c r="L7508" s="17" t="s">
        <v>14019</v>
      </c>
      <c r="M7508" s="17"/>
      <c r="N7508" s="17" t="s">
        <v>16378</v>
      </c>
      <c r="O7508" s="17"/>
      <c r="P7508" s="17" t="s">
        <v>17071</v>
      </c>
      <c r="Q7508" s="17"/>
      <c r="R7508" s="25" t="str">
        <f>HYPERLINK("https://ictv.global/taxonomy/taxondetails?taxnode_id=202309091","Gemykroznavirus poaspe1")</f>
        <v>Gemykroznavirus poaspe1</v>
      </c>
      <c r="S7508" s="18" t="s">
        <v>30</v>
      </c>
      <c r="T7508" s="18" t="s">
        <v>17079</v>
      </c>
      <c r="U7508" s="18"/>
      <c r="V7508" s="18" t="s">
        <v>17080</v>
      </c>
      <c r="W7508" s="18" t="s">
        <v>17081</v>
      </c>
      <c r="X7508" s="18" t="s">
        <v>42</v>
      </c>
      <c r="Y7508" s="18" t="s">
        <v>12266</v>
      </c>
      <c r="Z7508" s="18" t="s">
        <v>13441</v>
      </c>
      <c r="AA7508" s="21" t="str">
        <f>HYPERLINK("https://www.ncbi.nlm.nih.gov/nuccore/MH939435","NCBI Nucleotide")</f>
        <v>NCBI Nucleotide</v>
      </c>
    </row>
    <row r="7509" spans="1:27" x14ac:dyDescent="0.35">
      <c r="A7509">
        <v>1008332</v>
      </c>
      <c r="B7509">
        <v>6980</v>
      </c>
      <c r="C7509">
        <v>1</v>
      </c>
      <c r="D7509" s="17" t="s">
        <v>10507</v>
      </c>
      <c r="E7509" s="17"/>
      <c r="F7509" s="17" t="s">
        <v>10780</v>
      </c>
      <c r="G7509" s="17"/>
      <c r="H7509" s="17" t="s">
        <v>12908</v>
      </c>
      <c r="I7509" s="17"/>
      <c r="J7509" s="17" t="s">
        <v>14018</v>
      </c>
      <c r="K7509" s="17"/>
      <c r="L7509" s="17" t="s">
        <v>14019</v>
      </c>
      <c r="M7509" s="17"/>
      <c r="N7509" s="17" t="s">
        <v>16378</v>
      </c>
      <c r="O7509" s="17"/>
      <c r="P7509" s="17" t="s">
        <v>17071</v>
      </c>
      <c r="Q7509" s="17"/>
      <c r="R7509" s="25" t="str">
        <f>HYPERLINK("https://ictv.global/taxonomy/taxondetails?taxnode_id=202303629","Gemykroznavirus rabas1")</f>
        <v>Gemykroznavirus rabas1</v>
      </c>
      <c r="S7509" s="18" t="s">
        <v>30</v>
      </c>
      <c r="T7509" s="18" t="s">
        <v>17082</v>
      </c>
      <c r="U7509" s="18" t="s">
        <v>17083</v>
      </c>
      <c r="V7509" s="18" t="s">
        <v>17084</v>
      </c>
      <c r="W7509" s="18" t="s">
        <v>17085</v>
      </c>
      <c r="X7509" s="18" t="s">
        <v>42</v>
      </c>
      <c r="Y7509" s="18" t="s">
        <v>12266</v>
      </c>
      <c r="Z7509" s="18" t="s">
        <v>166</v>
      </c>
      <c r="AA7509" s="21" t="str">
        <f>HYPERLINK("https://www.ncbi.nlm.nih.gov/nuccore/KF371631","NCBI Nucleotide")</f>
        <v>NCBI Nucleotide</v>
      </c>
    </row>
    <row r="7510" spans="1:27" x14ac:dyDescent="0.35">
      <c r="A7510">
        <v>1008333</v>
      </c>
      <c r="B7510">
        <v>6981</v>
      </c>
      <c r="C7510">
        <v>1</v>
      </c>
      <c r="D7510" s="17" t="s">
        <v>10507</v>
      </c>
      <c r="E7510" s="17"/>
      <c r="F7510" s="17" t="s">
        <v>10780</v>
      </c>
      <c r="G7510" s="17"/>
      <c r="H7510" s="17" t="s">
        <v>12908</v>
      </c>
      <c r="I7510" s="17"/>
      <c r="J7510" s="17" t="s">
        <v>14018</v>
      </c>
      <c r="K7510" s="17"/>
      <c r="L7510" s="17" t="s">
        <v>14019</v>
      </c>
      <c r="M7510" s="17"/>
      <c r="N7510" s="17" t="s">
        <v>16378</v>
      </c>
      <c r="O7510" s="17"/>
      <c r="P7510" s="17" t="s">
        <v>17071</v>
      </c>
      <c r="Q7510" s="17"/>
      <c r="R7510" s="25" t="str">
        <f>HYPERLINK("https://ictv.global/taxonomy/taxondetails?taxnode_id=202309092","Gemykroznavirus solas1")</f>
        <v>Gemykroznavirus solas1</v>
      </c>
      <c r="S7510" s="18" t="s">
        <v>30</v>
      </c>
      <c r="T7510" s="18" t="s">
        <v>17086</v>
      </c>
      <c r="U7510" s="18"/>
      <c r="V7510" s="18" t="s">
        <v>17087</v>
      </c>
      <c r="W7510" s="18" t="s">
        <v>17088</v>
      </c>
      <c r="X7510" s="18" t="s">
        <v>42</v>
      </c>
      <c r="Y7510" s="18" t="s">
        <v>12266</v>
      </c>
      <c r="Z7510" s="18" t="s">
        <v>13441</v>
      </c>
      <c r="AA7510" s="21" t="str">
        <f>HYPERLINK("https://www.ncbi.nlm.nih.gov/nuccore/MH939385","NCBI Nucleotide")</f>
        <v>NCBI Nucleotide</v>
      </c>
    </row>
    <row r="7511" spans="1:27" x14ac:dyDescent="0.35">
      <c r="A7511">
        <v>1008334</v>
      </c>
      <c r="B7511">
        <v>6982</v>
      </c>
      <c r="C7511">
        <v>1</v>
      </c>
      <c r="D7511" s="17" t="s">
        <v>10507</v>
      </c>
      <c r="E7511" s="17"/>
      <c r="F7511" s="17" t="s">
        <v>10780</v>
      </c>
      <c r="G7511" s="17"/>
      <c r="H7511" s="17" t="s">
        <v>12908</v>
      </c>
      <c r="I7511" s="17"/>
      <c r="J7511" s="17" t="s">
        <v>14018</v>
      </c>
      <c r="K7511" s="17"/>
      <c r="L7511" s="17" t="s">
        <v>14019</v>
      </c>
      <c r="M7511" s="17"/>
      <c r="N7511" s="17" t="s">
        <v>16378</v>
      </c>
      <c r="O7511" s="17"/>
      <c r="P7511" s="17" t="s">
        <v>17071</v>
      </c>
      <c r="Q7511" s="17"/>
      <c r="R7511" s="25" t="str">
        <f>HYPERLINK("https://ictv.global/taxonomy/taxondetails?taxnode_id=202309096","Gemykroznavirus zizan1")</f>
        <v>Gemykroznavirus zizan1</v>
      </c>
      <c r="S7511" s="18" t="s">
        <v>30</v>
      </c>
      <c r="T7511" s="18" t="s">
        <v>17089</v>
      </c>
      <c r="U7511" s="18"/>
      <c r="V7511" s="18" t="s">
        <v>17090</v>
      </c>
      <c r="W7511" s="18" t="s">
        <v>17091</v>
      </c>
      <c r="X7511" s="18" t="s">
        <v>42</v>
      </c>
      <c r="Y7511" s="18" t="s">
        <v>12266</v>
      </c>
      <c r="Z7511" s="18" t="s">
        <v>13441</v>
      </c>
      <c r="AA7511" s="21" t="str">
        <f>HYPERLINK("https://www.ncbi.nlm.nih.gov/nuccore/MN823671","NCBI Nucleotide")</f>
        <v>NCBI Nucleotide</v>
      </c>
    </row>
    <row r="7512" spans="1:27" x14ac:dyDescent="0.35">
      <c r="A7512">
        <v>1008335</v>
      </c>
      <c r="B7512">
        <v>6983</v>
      </c>
      <c r="C7512">
        <v>1</v>
      </c>
      <c r="D7512" s="17" t="s">
        <v>10507</v>
      </c>
      <c r="E7512" s="17"/>
      <c r="F7512" s="17" t="s">
        <v>10780</v>
      </c>
      <c r="G7512" s="17"/>
      <c r="H7512" s="17" t="s">
        <v>12908</v>
      </c>
      <c r="I7512" s="17"/>
      <c r="J7512" s="17" t="s">
        <v>14018</v>
      </c>
      <c r="K7512" s="17"/>
      <c r="L7512" s="17" t="s">
        <v>14019</v>
      </c>
      <c r="M7512" s="17"/>
      <c r="N7512" s="17" t="s">
        <v>16378</v>
      </c>
      <c r="O7512" s="17"/>
      <c r="P7512" s="17" t="s">
        <v>17092</v>
      </c>
      <c r="Q7512" s="17"/>
      <c r="R7512" s="25" t="str">
        <f>HYPERLINK("https://ictv.global/taxonomy/taxondetails?taxnode_id=202303631","Gemytondvirus ostri1")</f>
        <v>Gemytondvirus ostri1</v>
      </c>
      <c r="S7512" s="18" t="s">
        <v>30</v>
      </c>
      <c r="T7512" s="18" t="s">
        <v>17093</v>
      </c>
      <c r="U7512" s="18" t="s">
        <v>17094</v>
      </c>
      <c r="V7512" s="18" t="s">
        <v>17095</v>
      </c>
      <c r="W7512" s="18" t="s">
        <v>17096</v>
      </c>
      <c r="X7512" s="18" t="s">
        <v>42</v>
      </c>
      <c r="Y7512" s="18" t="s">
        <v>12266</v>
      </c>
      <c r="Z7512" s="18" t="s">
        <v>166</v>
      </c>
      <c r="AA7512" s="21" t="str">
        <f>HYPERLINK("https://www.ncbi.nlm.nih.gov/nuccore/KF371630","NCBI Nucleotide")</f>
        <v>NCBI Nucleotide</v>
      </c>
    </row>
    <row r="7513" spans="1:27" x14ac:dyDescent="0.35">
      <c r="A7513">
        <v>1008336</v>
      </c>
      <c r="B7513">
        <v>6984</v>
      </c>
      <c r="C7513">
        <v>1</v>
      </c>
      <c r="D7513" s="17" t="s">
        <v>10507</v>
      </c>
      <c r="E7513" s="17"/>
      <c r="F7513" s="17" t="s">
        <v>10780</v>
      </c>
      <c r="G7513" s="17"/>
      <c r="H7513" s="17" t="s">
        <v>12908</v>
      </c>
      <c r="I7513" s="17"/>
      <c r="J7513" s="17" t="s">
        <v>14018</v>
      </c>
      <c r="K7513" s="17"/>
      <c r="L7513" s="17" t="s">
        <v>14019</v>
      </c>
      <c r="M7513" s="17"/>
      <c r="N7513" s="17" t="s">
        <v>16378</v>
      </c>
      <c r="O7513" s="17"/>
      <c r="P7513" s="17" t="s">
        <v>17097</v>
      </c>
      <c r="Q7513" s="17"/>
      <c r="R7513" s="25" t="str">
        <f>HYPERLINK("https://ictv.global/taxonomy/taxondetails?taxnode_id=202309100","Gemytripvirus fugra1")</f>
        <v>Gemytripvirus fugra1</v>
      </c>
      <c r="S7513" s="18" t="s">
        <v>30</v>
      </c>
      <c r="T7513" s="18" t="s">
        <v>17098</v>
      </c>
      <c r="U7513" s="18" t="s">
        <v>17099</v>
      </c>
      <c r="V7513" s="18"/>
      <c r="W7513" s="18" t="s">
        <v>17100</v>
      </c>
      <c r="X7513" s="18" t="s">
        <v>42</v>
      </c>
      <c r="Y7513" s="18" t="s">
        <v>12266</v>
      </c>
      <c r="Z7513" s="18" t="s">
        <v>16721</v>
      </c>
      <c r="AA7513" s="21" t="str">
        <f>HYPERLINK("https://www.ncbi.nlm.nih.gov/nuccore/MK430076,MK430077,MK430078","NCBI Nucleotide")</f>
        <v>NCBI Nucleotide</v>
      </c>
    </row>
    <row r="7514" spans="1:27" x14ac:dyDescent="0.35">
      <c r="A7514">
        <v>1008337</v>
      </c>
      <c r="B7514">
        <v>6985</v>
      </c>
      <c r="C7514">
        <v>1</v>
      </c>
      <c r="D7514" s="17" t="s">
        <v>10507</v>
      </c>
      <c r="E7514" s="17"/>
      <c r="F7514" s="17" t="s">
        <v>10780</v>
      </c>
      <c r="G7514" s="17"/>
      <c r="H7514" s="17" t="s">
        <v>12908</v>
      </c>
      <c r="I7514" s="17"/>
      <c r="J7514" s="17" t="s">
        <v>14018</v>
      </c>
      <c r="K7514" s="17"/>
      <c r="L7514" s="17" t="s">
        <v>14019</v>
      </c>
      <c r="M7514" s="17"/>
      <c r="N7514" s="17" t="s">
        <v>16378</v>
      </c>
      <c r="O7514" s="17"/>
      <c r="P7514" s="17" t="s">
        <v>17101</v>
      </c>
      <c r="Q7514" s="17"/>
      <c r="R7514" s="25" t="str">
        <f>HYPERLINK("https://ictv.global/taxonomy/taxondetails?taxnode_id=202303633","Gemyvongvirus humas1")</f>
        <v>Gemyvongvirus humas1</v>
      </c>
      <c r="S7514" s="18" t="s">
        <v>30</v>
      </c>
      <c r="T7514" s="18" t="s">
        <v>17102</v>
      </c>
      <c r="U7514" s="18" t="s">
        <v>17103</v>
      </c>
      <c r="V7514" s="18" t="s">
        <v>17104</v>
      </c>
      <c r="W7514" s="18" t="s">
        <v>17105</v>
      </c>
      <c r="X7514" s="18" t="s">
        <v>42</v>
      </c>
      <c r="Y7514" s="18" t="s">
        <v>12266</v>
      </c>
      <c r="Z7514" s="18" t="s">
        <v>166</v>
      </c>
      <c r="AA7514" s="21" t="str">
        <f>HYPERLINK("https://www.ncbi.nlm.nih.gov/nuccore/KP974693","NCBI Nucleotide")</f>
        <v>NCBI Nucleotide</v>
      </c>
    </row>
    <row r="7515" spans="1:27" x14ac:dyDescent="0.35">
      <c r="A7515">
        <v>1008338</v>
      </c>
      <c r="B7515">
        <v>6986</v>
      </c>
      <c r="C7515">
        <v>1</v>
      </c>
      <c r="D7515" s="17" t="s">
        <v>10507</v>
      </c>
      <c r="E7515" s="17"/>
      <c r="F7515" s="17" t="s">
        <v>10780</v>
      </c>
      <c r="G7515" s="17"/>
      <c r="H7515" s="17" t="s">
        <v>12908</v>
      </c>
      <c r="I7515" s="17"/>
      <c r="J7515" s="17" t="s">
        <v>14018</v>
      </c>
      <c r="K7515" s="17"/>
      <c r="L7515" s="17" t="s">
        <v>14019</v>
      </c>
      <c r="M7515" s="17"/>
      <c r="N7515" s="17" t="s">
        <v>16378</v>
      </c>
      <c r="O7515" s="17"/>
      <c r="P7515" s="17" t="s">
        <v>17101</v>
      </c>
      <c r="Q7515" s="17"/>
      <c r="R7515" s="25" t="str">
        <f>HYPERLINK("https://ictv.global/taxonomy/taxondetails?taxnode_id=202309097","Gemyvongvirus minit1")</f>
        <v>Gemyvongvirus minit1</v>
      </c>
      <c r="S7515" s="18" t="s">
        <v>30</v>
      </c>
      <c r="T7515" s="18" t="s">
        <v>16380</v>
      </c>
      <c r="U7515" s="18"/>
      <c r="V7515" s="18" t="s">
        <v>17106</v>
      </c>
      <c r="W7515" s="18" t="s">
        <v>17107</v>
      </c>
      <c r="X7515" s="18" t="s">
        <v>42</v>
      </c>
      <c r="Y7515" s="18" t="s">
        <v>12266</v>
      </c>
      <c r="Z7515" s="18" t="s">
        <v>166</v>
      </c>
      <c r="AA7515" s="21" t="str">
        <f>HYPERLINK("https://www.ncbi.nlm.nih.gov/nuccore/MK032710","NCBI Nucleotide")</f>
        <v>NCBI Nucleotide</v>
      </c>
    </row>
    <row r="7516" spans="1:27" x14ac:dyDescent="0.35">
      <c r="A7516">
        <v>1008339</v>
      </c>
      <c r="B7516">
        <v>6987</v>
      </c>
      <c r="C7516">
        <v>1</v>
      </c>
      <c r="D7516" s="17" t="s">
        <v>10507</v>
      </c>
      <c r="E7516" s="17"/>
      <c r="F7516" s="17" t="s">
        <v>10780</v>
      </c>
      <c r="G7516" s="17"/>
      <c r="H7516" s="17" t="s">
        <v>12908</v>
      </c>
      <c r="I7516" s="17"/>
      <c r="J7516" s="17" t="s">
        <v>14018</v>
      </c>
      <c r="K7516" s="17"/>
      <c r="L7516" s="17" t="s">
        <v>14019</v>
      </c>
      <c r="M7516" s="17"/>
      <c r="N7516" s="17" t="s">
        <v>16378</v>
      </c>
      <c r="O7516" s="17"/>
      <c r="P7516" s="17" t="s">
        <v>17101</v>
      </c>
      <c r="Q7516" s="17"/>
      <c r="R7516" s="25" t="str">
        <f>HYPERLINK("https://ictv.global/taxonomy/taxondetails?taxnode_id=202309098","Gemyvongvirus minit2")</f>
        <v>Gemyvongvirus minit2</v>
      </c>
      <c r="S7516" s="18" t="s">
        <v>30</v>
      </c>
      <c r="T7516" s="18" t="s">
        <v>16380</v>
      </c>
      <c r="U7516" s="18"/>
      <c r="V7516" s="18" t="s">
        <v>17108</v>
      </c>
      <c r="W7516" s="18" t="s">
        <v>17109</v>
      </c>
      <c r="X7516" s="18" t="s">
        <v>42</v>
      </c>
      <c r="Y7516" s="18" t="s">
        <v>12266</v>
      </c>
      <c r="Z7516" s="18" t="s">
        <v>166</v>
      </c>
      <c r="AA7516" s="21" t="str">
        <f>HYPERLINK("https://www.ncbi.nlm.nih.gov/nuccore/MK032740","NCBI Nucleotide")</f>
        <v>NCBI Nucleotide</v>
      </c>
    </row>
    <row r="7517" spans="1:27" x14ac:dyDescent="0.35">
      <c r="A7517">
        <v>1025329</v>
      </c>
      <c r="B7517">
        <v>6988</v>
      </c>
      <c r="C7517">
        <v>1</v>
      </c>
      <c r="D7517" s="17" t="s">
        <v>10507</v>
      </c>
      <c r="E7517" s="17"/>
      <c r="F7517" s="17" t="s">
        <v>10780</v>
      </c>
      <c r="G7517" s="17"/>
      <c r="H7517" s="17" t="s">
        <v>12908</v>
      </c>
      <c r="I7517" s="17"/>
      <c r="J7517" s="17" t="s">
        <v>14018</v>
      </c>
      <c r="K7517" s="17"/>
      <c r="L7517" s="17" t="s">
        <v>14019</v>
      </c>
      <c r="M7517" s="17"/>
      <c r="N7517" s="17" t="s">
        <v>41612</v>
      </c>
      <c r="O7517" s="17"/>
      <c r="P7517" s="17" t="s">
        <v>41613</v>
      </c>
      <c r="Q7517" s="17"/>
      <c r="R7517" s="25" t="str">
        <f>HYPERLINK("https://ictv.global/taxonomy/taxondetails?taxnode_id=202318484","Acciovirus arizlamas")</f>
        <v>Acciovirus arizlamas</v>
      </c>
      <c r="S7517" s="18" t="s">
        <v>30</v>
      </c>
      <c r="T7517" s="18" t="s">
        <v>41614</v>
      </c>
      <c r="U7517" s="18"/>
      <c r="V7517" s="18" t="s">
        <v>41615</v>
      </c>
      <c r="W7517" s="18" t="s">
        <v>41616</v>
      </c>
      <c r="X7517" s="18" t="s">
        <v>42</v>
      </c>
      <c r="Y7517" s="18" t="s">
        <v>12266</v>
      </c>
      <c r="Z7517" s="18" t="s">
        <v>26655</v>
      </c>
      <c r="AA7517" s="21" t="str">
        <f>HYPERLINK("https://www.ncbi.nlm.nih.gov/nuccore/MW697536","NCBI Nucleotide")</f>
        <v>NCBI Nucleotide</v>
      </c>
    </row>
    <row r="7518" spans="1:27" x14ac:dyDescent="0.35">
      <c r="A7518">
        <v>1025330</v>
      </c>
      <c r="B7518">
        <v>6989</v>
      </c>
      <c r="C7518">
        <v>1</v>
      </c>
      <c r="D7518" s="17" t="s">
        <v>10507</v>
      </c>
      <c r="E7518" s="17"/>
      <c r="F7518" s="17" t="s">
        <v>10780</v>
      </c>
      <c r="G7518" s="17"/>
      <c r="H7518" s="17" t="s">
        <v>12908</v>
      </c>
      <c r="I7518" s="17"/>
      <c r="J7518" s="17" t="s">
        <v>14018</v>
      </c>
      <c r="K7518" s="17"/>
      <c r="L7518" s="17" t="s">
        <v>14019</v>
      </c>
      <c r="M7518" s="17"/>
      <c r="N7518" s="17" t="s">
        <v>41612</v>
      </c>
      <c r="O7518" s="17"/>
      <c r="P7518" s="17" t="s">
        <v>41613</v>
      </c>
      <c r="Q7518" s="17"/>
      <c r="R7518" s="25" t="str">
        <f>HYPERLINK("https://ictv.global/taxonomy/taxondetails?taxnode_id=202318485","Acciovirus quadrimis")</f>
        <v>Acciovirus quadrimis</v>
      </c>
      <c r="S7518" s="18" t="s">
        <v>30</v>
      </c>
      <c r="T7518" s="18" t="s">
        <v>41617</v>
      </c>
      <c r="U7518" s="18"/>
      <c r="V7518" s="18" t="s">
        <v>41618</v>
      </c>
      <c r="W7518" s="18" t="s">
        <v>41619</v>
      </c>
      <c r="X7518" s="18" t="s">
        <v>42</v>
      </c>
      <c r="Y7518" s="18" t="s">
        <v>12266</v>
      </c>
      <c r="Z7518" s="18" t="s">
        <v>10790</v>
      </c>
      <c r="AA7518" s="21" t="str">
        <f>HYPERLINK("https://www.ncbi.nlm.nih.gov/nuccore/KM598390","NCBI Nucleotide")</f>
        <v>NCBI Nucleotide</v>
      </c>
    </row>
    <row r="7519" spans="1:27" x14ac:dyDescent="0.35">
      <c r="A7519">
        <v>1025299</v>
      </c>
      <c r="B7519">
        <v>6990</v>
      </c>
      <c r="C7519">
        <v>1</v>
      </c>
      <c r="D7519" s="17" t="s">
        <v>10507</v>
      </c>
      <c r="E7519" s="17"/>
      <c r="F7519" s="17" t="s">
        <v>10780</v>
      </c>
      <c r="G7519" s="17"/>
      <c r="H7519" s="17" t="s">
        <v>12908</v>
      </c>
      <c r="I7519" s="17"/>
      <c r="J7519" s="17" t="s">
        <v>14018</v>
      </c>
      <c r="K7519" s="17"/>
      <c r="L7519" s="17" t="s">
        <v>14019</v>
      </c>
      <c r="M7519" s="17"/>
      <c r="N7519" s="17" t="s">
        <v>41612</v>
      </c>
      <c r="O7519" s="17"/>
      <c r="P7519" s="17" t="s">
        <v>41620</v>
      </c>
      <c r="Q7519" s="17"/>
      <c r="R7519" s="25" t="str">
        <f>HYPERLINK("https://ictv.global/taxonomy/taxondetails?taxnode_id=202318472","Aguamentivirus avheatis")</f>
        <v>Aguamentivirus avheatis</v>
      </c>
      <c r="S7519" s="18" t="s">
        <v>30</v>
      </c>
      <c r="T7519" s="18" t="s">
        <v>41621</v>
      </c>
      <c r="U7519" s="18"/>
      <c r="V7519" s="18" t="s">
        <v>41622</v>
      </c>
      <c r="W7519" s="18" t="s">
        <v>41623</v>
      </c>
      <c r="X7519" s="18" t="s">
        <v>42</v>
      </c>
      <c r="Y7519" s="18" t="s">
        <v>12266</v>
      </c>
      <c r="Z7519" s="18" t="s">
        <v>10790</v>
      </c>
      <c r="AA7519" s="21" t="str">
        <f>HYPERLINK("https://www.ncbi.nlm.nih.gov/nuccore/KM874355","NCBI Nucleotide")</f>
        <v>NCBI Nucleotide</v>
      </c>
    </row>
    <row r="7520" spans="1:27" x14ac:dyDescent="0.35">
      <c r="A7520">
        <v>1025300</v>
      </c>
      <c r="B7520">
        <v>6991</v>
      </c>
      <c r="C7520">
        <v>1</v>
      </c>
      <c r="D7520" s="17" t="s">
        <v>10507</v>
      </c>
      <c r="E7520" s="17"/>
      <c r="F7520" s="17" t="s">
        <v>10780</v>
      </c>
      <c r="G7520" s="17"/>
      <c r="H7520" s="17" t="s">
        <v>12908</v>
      </c>
      <c r="I7520" s="17"/>
      <c r="J7520" s="17" t="s">
        <v>14018</v>
      </c>
      <c r="K7520" s="17"/>
      <c r="L7520" s="17" t="s">
        <v>14019</v>
      </c>
      <c r="M7520" s="17"/>
      <c r="N7520" s="17" t="s">
        <v>41612</v>
      </c>
      <c r="O7520" s="17"/>
      <c r="P7520" s="17" t="s">
        <v>41620</v>
      </c>
      <c r="Q7520" s="17"/>
      <c r="R7520" s="25" t="str">
        <f>HYPERLINK("https://ictv.global/taxonomy/taxondetails?taxnode_id=202318471","Aguamentivirus racskinis")</f>
        <v>Aguamentivirus racskinis</v>
      </c>
      <c r="S7520" s="18" t="s">
        <v>30</v>
      </c>
      <c r="T7520" s="18" t="s">
        <v>41624</v>
      </c>
      <c r="U7520" s="18"/>
      <c r="V7520" s="18" t="s">
        <v>41625</v>
      </c>
      <c r="W7520" s="18" t="s">
        <v>41626</v>
      </c>
      <c r="X7520" s="18" t="s">
        <v>42</v>
      </c>
      <c r="Y7520" s="18" t="s">
        <v>12266</v>
      </c>
      <c r="Z7520" s="18" t="s">
        <v>166</v>
      </c>
      <c r="AA7520" s="21" t="str">
        <f>HYPERLINK("https://www.ncbi.nlm.nih.gov/nuccore/MK012475","NCBI Nucleotide")</f>
        <v>NCBI Nucleotide</v>
      </c>
    </row>
    <row r="7521" spans="1:27" x14ac:dyDescent="0.35">
      <c r="A7521">
        <v>1025317</v>
      </c>
      <c r="B7521">
        <v>6992</v>
      </c>
      <c r="C7521">
        <v>1</v>
      </c>
      <c r="D7521" s="17" t="s">
        <v>10507</v>
      </c>
      <c r="E7521" s="17"/>
      <c r="F7521" s="17" t="s">
        <v>10780</v>
      </c>
      <c r="G7521" s="17"/>
      <c r="H7521" s="17" t="s">
        <v>12908</v>
      </c>
      <c r="I7521" s="17"/>
      <c r="J7521" s="17" t="s">
        <v>14018</v>
      </c>
      <c r="K7521" s="17"/>
      <c r="L7521" s="17" t="s">
        <v>14019</v>
      </c>
      <c r="M7521" s="17"/>
      <c r="N7521" s="17" t="s">
        <v>41612</v>
      </c>
      <c r="O7521" s="17"/>
      <c r="P7521" s="17" t="s">
        <v>41627</v>
      </c>
      <c r="Q7521" s="17"/>
      <c r="R7521" s="25" t="str">
        <f>HYPERLINK("https://ictv.global/taxonomy/taxondetails?taxnode_id=202318463","Alohovirus ailgensis")</f>
        <v>Alohovirus ailgensis</v>
      </c>
      <c r="S7521" s="18" t="s">
        <v>30</v>
      </c>
      <c r="T7521" s="18" t="s">
        <v>41628</v>
      </c>
      <c r="U7521" s="18"/>
      <c r="V7521" s="18" t="s">
        <v>41629</v>
      </c>
      <c r="W7521" s="18" t="s">
        <v>41630</v>
      </c>
      <c r="X7521" s="18" t="s">
        <v>42</v>
      </c>
      <c r="Y7521" s="18" t="s">
        <v>12266</v>
      </c>
      <c r="Z7521" s="18" t="s">
        <v>166</v>
      </c>
      <c r="AA7521" s="21" t="str">
        <f>HYPERLINK("https://www.ncbi.nlm.nih.gov/nuccore/MZ556204","NCBI Nucleotide")</f>
        <v>NCBI Nucleotide</v>
      </c>
    </row>
    <row r="7522" spans="1:27" x14ac:dyDescent="0.35">
      <c r="A7522">
        <v>1025318</v>
      </c>
      <c r="B7522">
        <v>6993</v>
      </c>
      <c r="C7522">
        <v>1</v>
      </c>
      <c r="D7522" s="17" t="s">
        <v>10507</v>
      </c>
      <c r="E7522" s="17"/>
      <c r="F7522" s="17" t="s">
        <v>10780</v>
      </c>
      <c r="G7522" s="17"/>
      <c r="H7522" s="17" t="s">
        <v>12908</v>
      </c>
      <c r="I7522" s="17"/>
      <c r="J7522" s="17" t="s">
        <v>14018</v>
      </c>
      <c r="K7522" s="17"/>
      <c r="L7522" s="17" t="s">
        <v>14019</v>
      </c>
      <c r="M7522" s="17"/>
      <c r="N7522" s="17" t="s">
        <v>41612</v>
      </c>
      <c r="O7522" s="17"/>
      <c r="P7522" s="17" t="s">
        <v>41627</v>
      </c>
      <c r="Q7522" s="17"/>
      <c r="R7522" s="25" t="str">
        <f>HYPERLINK("https://ictv.global/taxonomy/taxondetails?taxnode_id=202318464","Alohovirus bromhordis")</f>
        <v>Alohovirus bromhordis</v>
      </c>
      <c r="S7522" s="18" t="s">
        <v>30</v>
      </c>
      <c r="T7522" s="18" t="s">
        <v>41631</v>
      </c>
      <c r="U7522" s="18"/>
      <c r="V7522" s="18" t="s">
        <v>41632</v>
      </c>
      <c r="W7522" s="18" t="s">
        <v>41633</v>
      </c>
      <c r="X7522" s="18" t="s">
        <v>42</v>
      </c>
      <c r="Y7522" s="18" t="s">
        <v>12266</v>
      </c>
      <c r="Z7522" s="18" t="s">
        <v>13441</v>
      </c>
      <c r="AA7522" s="21" t="str">
        <f>HYPERLINK("https://www.ncbi.nlm.nih.gov/nuccore/KP005454","NCBI Nucleotide")</f>
        <v>NCBI Nucleotide</v>
      </c>
    </row>
    <row r="7523" spans="1:27" x14ac:dyDescent="0.35">
      <c r="A7523">
        <v>1025319</v>
      </c>
      <c r="B7523">
        <v>6994</v>
      </c>
      <c r="C7523">
        <v>1</v>
      </c>
      <c r="D7523" s="17" t="s">
        <v>10507</v>
      </c>
      <c r="E7523" s="17"/>
      <c r="F7523" s="17" t="s">
        <v>10780</v>
      </c>
      <c r="G7523" s="17"/>
      <c r="H7523" s="17" t="s">
        <v>12908</v>
      </c>
      <c r="I7523" s="17"/>
      <c r="J7523" s="17" t="s">
        <v>14018</v>
      </c>
      <c r="K7523" s="17"/>
      <c r="L7523" s="17" t="s">
        <v>14019</v>
      </c>
      <c r="M7523" s="17"/>
      <c r="N7523" s="17" t="s">
        <v>41612</v>
      </c>
      <c r="O7523" s="17"/>
      <c r="P7523" s="17" t="s">
        <v>41627</v>
      </c>
      <c r="Q7523" s="17"/>
      <c r="R7523" s="25" t="str">
        <f>HYPERLINK("https://ictv.global/taxonomy/taxondetails?taxnode_id=202318462","Alohovirus bromis")</f>
        <v>Alohovirus bromis</v>
      </c>
      <c r="S7523" s="18" t="s">
        <v>30</v>
      </c>
      <c r="T7523" s="18" t="s">
        <v>41634</v>
      </c>
      <c r="U7523" s="18"/>
      <c r="V7523" s="18" t="s">
        <v>41635</v>
      </c>
      <c r="W7523" s="18" t="s">
        <v>41636</v>
      </c>
      <c r="X7523" s="18" t="s">
        <v>42</v>
      </c>
      <c r="Y7523" s="18" t="s">
        <v>12266</v>
      </c>
      <c r="Z7523" s="18" t="s">
        <v>13441</v>
      </c>
      <c r="AA7523" s="21" t="str">
        <f>HYPERLINK("https://www.ncbi.nlm.nih.gov/nuccore/KM510190","NCBI Nucleotide")</f>
        <v>NCBI Nucleotide</v>
      </c>
    </row>
    <row r="7524" spans="1:27" x14ac:dyDescent="0.35">
      <c r="A7524">
        <v>1025320</v>
      </c>
      <c r="B7524">
        <v>6995</v>
      </c>
      <c r="C7524">
        <v>1</v>
      </c>
      <c r="D7524" s="17" t="s">
        <v>10507</v>
      </c>
      <c r="E7524" s="17"/>
      <c r="F7524" s="17" t="s">
        <v>10780</v>
      </c>
      <c r="G7524" s="17"/>
      <c r="H7524" s="17" t="s">
        <v>12908</v>
      </c>
      <c r="I7524" s="17"/>
      <c r="J7524" s="17" t="s">
        <v>14018</v>
      </c>
      <c r="K7524" s="17"/>
      <c r="L7524" s="17" t="s">
        <v>14019</v>
      </c>
      <c r="M7524" s="17"/>
      <c r="N7524" s="17" t="s">
        <v>41612</v>
      </c>
      <c r="O7524" s="17"/>
      <c r="P7524" s="17" t="s">
        <v>41627</v>
      </c>
      <c r="Q7524" s="17"/>
      <c r="R7524" s="25" t="str">
        <f>HYPERLINK("https://ictv.global/taxonomy/taxondetails?taxnode_id=202318465","Alohovirus trifolis")</f>
        <v>Alohovirus trifolis</v>
      </c>
      <c r="S7524" s="18" t="s">
        <v>30</v>
      </c>
      <c r="T7524" s="18" t="s">
        <v>41637</v>
      </c>
      <c r="U7524" s="18"/>
      <c r="V7524" s="18" t="s">
        <v>41638</v>
      </c>
      <c r="W7524" s="18" t="s">
        <v>41639</v>
      </c>
      <c r="X7524" s="18" t="s">
        <v>42</v>
      </c>
      <c r="Y7524" s="18" t="s">
        <v>12266</v>
      </c>
      <c r="Z7524" s="18" t="s">
        <v>13441</v>
      </c>
      <c r="AA7524" s="21" t="str">
        <f>HYPERLINK("https://www.ncbi.nlm.nih.gov/nuccore/KP005453","NCBI Nucleotide")</f>
        <v>NCBI Nucleotide</v>
      </c>
    </row>
    <row r="7525" spans="1:27" x14ac:dyDescent="0.35">
      <c r="A7525">
        <v>1025308</v>
      </c>
      <c r="B7525">
        <v>6996</v>
      </c>
      <c r="C7525">
        <v>1</v>
      </c>
      <c r="D7525" s="17" t="s">
        <v>10507</v>
      </c>
      <c r="E7525" s="17"/>
      <c r="F7525" s="17" t="s">
        <v>10780</v>
      </c>
      <c r="G7525" s="17"/>
      <c r="H7525" s="17" t="s">
        <v>12908</v>
      </c>
      <c r="I7525" s="17"/>
      <c r="J7525" s="17" t="s">
        <v>14018</v>
      </c>
      <c r="K7525" s="17"/>
      <c r="L7525" s="17" t="s">
        <v>14019</v>
      </c>
      <c r="M7525" s="17"/>
      <c r="N7525" s="17" t="s">
        <v>41612</v>
      </c>
      <c r="O7525" s="17"/>
      <c r="P7525" s="17" t="s">
        <v>41640</v>
      </c>
      <c r="Q7525" s="17"/>
      <c r="R7525" s="25" t="str">
        <f>HYPERLINK("https://ictv.global/taxonomy/taxondetails?taxnode_id=202318467","Aparevirus airobis")</f>
        <v>Aparevirus airobis</v>
      </c>
      <c r="S7525" s="18" t="s">
        <v>30</v>
      </c>
      <c r="T7525" s="18" t="s">
        <v>41641</v>
      </c>
      <c r="U7525" s="18"/>
      <c r="V7525" s="18" t="s">
        <v>41642</v>
      </c>
      <c r="W7525" s="18" t="s">
        <v>41643</v>
      </c>
      <c r="X7525" s="18" t="s">
        <v>42</v>
      </c>
      <c r="Y7525" s="18" t="s">
        <v>12266</v>
      </c>
      <c r="Z7525" s="18" t="s">
        <v>40359</v>
      </c>
      <c r="AA7525" s="21" t="str">
        <f>HYPERLINK("https://www.ncbi.nlm.nih.gov/nuccore/MW678915","NCBI Nucleotide")</f>
        <v>NCBI Nucleotide</v>
      </c>
    </row>
    <row r="7526" spans="1:27" x14ac:dyDescent="0.35">
      <c r="A7526">
        <v>1025285</v>
      </c>
      <c r="B7526">
        <v>6997</v>
      </c>
      <c r="C7526">
        <v>1</v>
      </c>
      <c r="D7526" s="17" t="s">
        <v>10507</v>
      </c>
      <c r="E7526" s="17"/>
      <c r="F7526" s="17" t="s">
        <v>10780</v>
      </c>
      <c r="G7526" s="17"/>
      <c r="H7526" s="17" t="s">
        <v>12908</v>
      </c>
      <c r="I7526" s="17"/>
      <c r="J7526" s="17" t="s">
        <v>14018</v>
      </c>
      <c r="K7526" s="17"/>
      <c r="L7526" s="17" t="s">
        <v>14019</v>
      </c>
      <c r="M7526" s="17"/>
      <c r="N7526" s="17" t="s">
        <v>41612</v>
      </c>
      <c r="O7526" s="17"/>
      <c r="P7526" s="17" t="s">
        <v>41644</v>
      </c>
      <c r="Q7526" s="17"/>
      <c r="R7526" s="25" t="str">
        <f>HYPERLINK("https://ictv.global/taxonomy/taxondetails?taxnode_id=202318461","Avadavirus phoenis")</f>
        <v>Avadavirus phoenis</v>
      </c>
      <c r="S7526" s="18" t="s">
        <v>30</v>
      </c>
      <c r="T7526" s="18" t="s">
        <v>41645</v>
      </c>
      <c r="U7526" s="18"/>
      <c r="V7526" s="18" t="s">
        <v>41646</v>
      </c>
      <c r="W7526" s="18" t="s">
        <v>41647</v>
      </c>
      <c r="X7526" s="18" t="s">
        <v>42</v>
      </c>
      <c r="Y7526" s="18" t="s">
        <v>12266</v>
      </c>
      <c r="Z7526" s="18" t="s">
        <v>166</v>
      </c>
      <c r="AA7526" s="21" t="str">
        <f>HYPERLINK("https://www.ncbi.nlm.nih.gov/nuccore/MN928944","NCBI Nucleotide")</f>
        <v>NCBI Nucleotide</v>
      </c>
    </row>
    <row r="7527" spans="1:27" x14ac:dyDescent="0.35">
      <c r="A7527">
        <v>1025387</v>
      </c>
      <c r="B7527">
        <v>6998</v>
      </c>
      <c r="C7527">
        <v>1</v>
      </c>
      <c r="D7527" s="17" t="s">
        <v>10507</v>
      </c>
      <c r="E7527" s="17"/>
      <c r="F7527" s="17" t="s">
        <v>10780</v>
      </c>
      <c r="G7527" s="17"/>
      <c r="H7527" s="17" t="s">
        <v>12908</v>
      </c>
      <c r="I7527" s="17"/>
      <c r="J7527" s="17" t="s">
        <v>14018</v>
      </c>
      <c r="K7527" s="17"/>
      <c r="L7527" s="17" t="s">
        <v>14019</v>
      </c>
      <c r="M7527" s="17"/>
      <c r="N7527" s="17" t="s">
        <v>41612</v>
      </c>
      <c r="O7527" s="17"/>
      <c r="P7527" s="17" t="s">
        <v>41648</v>
      </c>
      <c r="Q7527" s="17"/>
      <c r="R7527" s="25" t="str">
        <f>HYPERLINK("https://ictv.global/taxonomy/taxondetails?taxnode_id=202318477","Densaugvirus maspris")</f>
        <v>Densaugvirus maspris</v>
      </c>
      <c r="S7527" s="18" t="s">
        <v>30</v>
      </c>
      <c r="T7527" s="18" t="s">
        <v>41649</v>
      </c>
      <c r="U7527" s="18"/>
      <c r="V7527" s="18" t="s">
        <v>41650</v>
      </c>
      <c r="W7527" s="18" t="s">
        <v>41651</v>
      </c>
      <c r="X7527" s="18" t="s">
        <v>42</v>
      </c>
      <c r="Y7527" s="18" t="s">
        <v>12266</v>
      </c>
      <c r="Z7527" s="18" t="s">
        <v>26655</v>
      </c>
      <c r="AA7527" s="21" t="str">
        <f>HYPERLINK("https://www.ncbi.nlm.nih.gov/nuccore/MW202708","NCBI Nucleotide")</f>
        <v>NCBI Nucleotide</v>
      </c>
    </row>
    <row r="7528" spans="1:27" x14ac:dyDescent="0.35">
      <c r="A7528">
        <v>1025369</v>
      </c>
      <c r="B7528">
        <v>6999</v>
      </c>
      <c r="C7528">
        <v>1</v>
      </c>
      <c r="D7528" s="17" t="s">
        <v>10507</v>
      </c>
      <c r="E7528" s="17"/>
      <c r="F7528" s="17" t="s">
        <v>10780</v>
      </c>
      <c r="G7528" s="17"/>
      <c r="H7528" s="17" t="s">
        <v>12908</v>
      </c>
      <c r="I7528" s="17"/>
      <c r="J7528" s="17" t="s">
        <v>14018</v>
      </c>
      <c r="K7528" s="17"/>
      <c r="L7528" s="17" t="s">
        <v>14019</v>
      </c>
      <c r="M7528" s="17"/>
      <c r="N7528" s="17" t="s">
        <v>41612</v>
      </c>
      <c r="O7528" s="17"/>
      <c r="P7528" s="17" t="s">
        <v>41652</v>
      </c>
      <c r="Q7528" s="17"/>
      <c r="R7528" s="25" t="str">
        <f>HYPERLINK("https://ictv.global/taxonomy/taxondetails?taxnode_id=202318460","Diffindovirus austrosis")</f>
        <v>Diffindovirus austrosis</v>
      </c>
      <c r="S7528" s="18" t="s">
        <v>30</v>
      </c>
      <c r="T7528" s="18" t="s">
        <v>41653</v>
      </c>
      <c r="U7528" s="18"/>
      <c r="V7528" s="18" t="s">
        <v>41654</v>
      </c>
      <c r="W7528" s="18" t="s">
        <v>41655</v>
      </c>
      <c r="X7528" s="18" t="s">
        <v>42</v>
      </c>
      <c r="Y7528" s="18" t="s">
        <v>12266</v>
      </c>
      <c r="Z7528" s="18" t="s">
        <v>10790</v>
      </c>
      <c r="AA7528" s="21" t="str">
        <f>HYPERLINK("https://www.ncbi.nlm.nih.gov/nuccore/MK433230","NCBI Nucleotide")</f>
        <v>NCBI Nucleotide</v>
      </c>
    </row>
    <row r="7529" spans="1:27" x14ac:dyDescent="0.35">
      <c r="A7529">
        <v>1025377</v>
      </c>
      <c r="B7529">
        <v>7000</v>
      </c>
      <c r="C7529">
        <v>1</v>
      </c>
      <c r="D7529" s="17" t="s">
        <v>10507</v>
      </c>
      <c r="E7529" s="17"/>
      <c r="F7529" s="17" t="s">
        <v>10780</v>
      </c>
      <c r="G7529" s="17"/>
      <c r="H7529" s="17" t="s">
        <v>12908</v>
      </c>
      <c r="I7529" s="17"/>
      <c r="J7529" s="17" t="s">
        <v>14018</v>
      </c>
      <c r="K7529" s="17"/>
      <c r="L7529" s="17" t="s">
        <v>14019</v>
      </c>
      <c r="M7529" s="17"/>
      <c r="N7529" s="17" t="s">
        <v>41612</v>
      </c>
      <c r="O7529" s="17"/>
      <c r="P7529" s="17" t="s">
        <v>41656</v>
      </c>
      <c r="Q7529" s="17"/>
      <c r="R7529" s="25" t="str">
        <f>HYPERLINK("https://ictv.global/taxonomy/taxondetails?taxnode_id=202318475","Engorgivirus mincris")</f>
        <v>Engorgivirus mincris</v>
      </c>
      <c r="S7529" s="18" t="s">
        <v>30</v>
      </c>
      <c r="T7529" s="18" t="s">
        <v>41657</v>
      </c>
      <c r="U7529" s="18"/>
      <c r="V7529" s="18" t="s">
        <v>41658</v>
      </c>
      <c r="W7529" s="18" t="s">
        <v>41659</v>
      </c>
      <c r="X7529" s="18" t="s">
        <v>42</v>
      </c>
      <c r="Y7529" s="18" t="s">
        <v>12266</v>
      </c>
      <c r="Z7529" s="18" t="s">
        <v>166</v>
      </c>
      <c r="AA7529" s="21" t="str">
        <f>HYPERLINK("https://www.ncbi.nlm.nih.gov/nuccore/MH616705","NCBI Nucleotide")</f>
        <v>NCBI Nucleotide</v>
      </c>
    </row>
    <row r="7530" spans="1:27" x14ac:dyDescent="0.35">
      <c r="A7530">
        <v>1025378</v>
      </c>
      <c r="B7530">
        <v>7001</v>
      </c>
      <c r="C7530">
        <v>1</v>
      </c>
      <c r="D7530" s="17" t="s">
        <v>10507</v>
      </c>
      <c r="E7530" s="17"/>
      <c r="F7530" s="17" t="s">
        <v>10780</v>
      </c>
      <c r="G7530" s="17"/>
      <c r="H7530" s="17" t="s">
        <v>12908</v>
      </c>
      <c r="I7530" s="17"/>
      <c r="J7530" s="17" t="s">
        <v>14018</v>
      </c>
      <c r="K7530" s="17"/>
      <c r="L7530" s="17" t="s">
        <v>14019</v>
      </c>
      <c r="M7530" s="17"/>
      <c r="N7530" s="17" t="s">
        <v>41612</v>
      </c>
      <c r="O7530" s="17"/>
      <c r="P7530" s="17" t="s">
        <v>41656</v>
      </c>
      <c r="Q7530" s="17"/>
      <c r="R7530" s="25" t="str">
        <f>HYPERLINK("https://ictv.global/taxonomy/taxondetails?taxnode_id=202318476","Engorgivirus musculis")</f>
        <v>Engorgivirus musculis</v>
      </c>
      <c r="S7530" s="18" t="s">
        <v>30</v>
      </c>
      <c r="T7530" s="18" t="s">
        <v>41660</v>
      </c>
      <c r="U7530" s="18"/>
      <c r="V7530" s="18" t="s">
        <v>41661</v>
      </c>
      <c r="W7530" s="18" t="s">
        <v>41662</v>
      </c>
      <c r="X7530" s="18" t="s">
        <v>42</v>
      </c>
      <c r="Y7530" s="18" t="s">
        <v>12266</v>
      </c>
      <c r="Z7530" s="18" t="s">
        <v>10790</v>
      </c>
      <c r="AA7530" s="21" t="str">
        <f>HYPERLINK("https://www.ncbi.nlm.nih.gov/nuccore/KP153501","NCBI Nucleotide")</f>
        <v>NCBI Nucleotide</v>
      </c>
    </row>
    <row r="7531" spans="1:27" x14ac:dyDescent="0.35">
      <c r="A7531">
        <v>1025370</v>
      </c>
      <c r="B7531">
        <v>7002</v>
      </c>
      <c r="C7531">
        <v>1</v>
      </c>
      <c r="D7531" s="17" t="s">
        <v>10507</v>
      </c>
      <c r="E7531" s="17"/>
      <c r="F7531" s="17" t="s">
        <v>10780</v>
      </c>
      <c r="G7531" s="17"/>
      <c r="H7531" s="17" t="s">
        <v>12908</v>
      </c>
      <c r="I7531" s="17"/>
      <c r="J7531" s="17" t="s">
        <v>14018</v>
      </c>
      <c r="K7531" s="17"/>
      <c r="L7531" s="17" t="s">
        <v>14019</v>
      </c>
      <c r="M7531" s="17"/>
      <c r="N7531" s="17" t="s">
        <v>41612</v>
      </c>
      <c r="O7531" s="17"/>
      <c r="P7531" s="17" t="s">
        <v>41663</v>
      </c>
      <c r="Q7531" s="17"/>
      <c r="R7531" s="25" t="str">
        <f>HYPERLINK("https://ictv.global/taxonomy/taxondetails?taxnode_id=202318479","Episkevirus kirilis")</f>
        <v>Episkevirus kirilis</v>
      </c>
      <c r="S7531" s="18" t="s">
        <v>30</v>
      </c>
      <c r="T7531" s="18" t="s">
        <v>41664</v>
      </c>
      <c r="U7531" s="18"/>
      <c r="V7531" s="18" t="s">
        <v>41665</v>
      </c>
      <c r="W7531" s="18" t="s">
        <v>41666</v>
      </c>
      <c r="X7531" s="18" t="s">
        <v>42</v>
      </c>
      <c r="Y7531" s="18" t="s">
        <v>12266</v>
      </c>
      <c r="Z7531" s="18" t="s">
        <v>13441</v>
      </c>
      <c r="AA7531" s="21" t="str">
        <f>HYPERLINK("https://www.ncbi.nlm.nih.gov/nuccore/MN891804","NCBI Nucleotide")</f>
        <v>NCBI Nucleotide</v>
      </c>
    </row>
    <row r="7532" spans="1:27" x14ac:dyDescent="0.35">
      <c r="A7532">
        <v>1025371</v>
      </c>
      <c r="B7532">
        <v>7003</v>
      </c>
      <c r="C7532">
        <v>1</v>
      </c>
      <c r="D7532" s="17" t="s">
        <v>10507</v>
      </c>
      <c r="E7532" s="17"/>
      <c r="F7532" s="17" t="s">
        <v>10780</v>
      </c>
      <c r="G7532" s="17"/>
      <c r="H7532" s="17" t="s">
        <v>12908</v>
      </c>
      <c r="I7532" s="17"/>
      <c r="J7532" s="17" t="s">
        <v>14018</v>
      </c>
      <c r="K7532" s="17"/>
      <c r="L7532" s="17" t="s">
        <v>14019</v>
      </c>
      <c r="M7532" s="17"/>
      <c r="N7532" s="17" t="s">
        <v>41612</v>
      </c>
      <c r="O7532" s="17"/>
      <c r="P7532" s="17" t="s">
        <v>41663</v>
      </c>
      <c r="Q7532" s="17"/>
      <c r="R7532" s="25" t="str">
        <f>HYPERLINK("https://ictv.global/taxonomy/taxondetails?taxnode_id=202318478","Episkevirus trichosis")</f>
        <v>Episkevirus trichosis</v>
      </c>
      <c r="S7532" s="18" t="s">
        <v>30</v>
      </c>
      <c r="T7532" s="18" t="s">
        <v>41667</v>
      </c>
      <c r="U7532" s="18"/>
      <c r="V7532" s="18" t="s">
        <v>41668</v>
      </c>
      <c r="W7532" s="18" t="s">
        <v>41669</v>
      </c>
      <c r="X7532" s="18" t="s">
        <v>42</v>
      </c>
      <c r="Y7532" s="18" t="s">
        <v>12266</v>
      </c>
      <c r="Z7532" s="18" t="s">
        <v>26655</v>
      </c>
      <c r="AA7532" s="21" t="str">
        <f>HYPERLINK("https://www.ncbi.nlm.nih.gov/nuccore/MW202452","NCBI Nucleotide")</f>
        <v>NCBI Nucleotide</v>
      </c>
    </row>
    <row r="7533" spans="1:27" x14ac:dyDescent="0.35">
      <c r="A7533">
        <v>1025381</v>
      </c>
      <c r="B7533">
        <v>7004</v>
      </c>
      <c r="C7533">
        <v>1</v>
      </c>
      <c r="D7533" s="17" t="s">
        <v>10507</v>
      </c>
      <c r="E7533" s="17"/>
      <c r="F7533" s="17" t="s">
        <v>10780</v>
      </c>
      <c r="G7533" s="17"/>
      <c r="H7533" s="17" t="s">
        <v>12908</v>
      </c>
      <c r="I7533" s="17"/>
      <c r="J7533" s="17" t="s">
        <v>14018</v>
      </c>
      <c r="K7533" s="17"/>
      <c r="L7533" s="17" t="s">
        <v>14019</v>
      </c>
      <c r="M7533" s="17"/>
      <c r="N7533" s="17" t="s">
        <v>41612</v>
      </c>
      <c r="O7533" s="17"/>
      <c r="P7533" s="17" t="s">
        <v>41670</v>
      </c>
      <c r="Q7533" s="17"/>
      <c r="R7533" s="25" t="str">
        <f>HYPERLINK("https://ictv.global/taxonomy/taxondetails?taxnode_id=202318486","Expellivirus minnis")</f>
        <v>Expellivirus minnis</v>
      </c>
      <c r="S7533" s="18" t="s">
        <v>30</v>
      </c>
      <c r="T7533" s="18" t="s">
        <v>41671</v>
      </c>
      <c r="U7533" s="18"/>
      <c r="V7533" s="18" t="s">
        <v>41672</v>
      </c>
      <c r="W7533" s="18" t="s">
        <v>41673</v>
      </c>
      <c r="X7533" s="18" t="s">
        <v>42</v>
      </c>
      <c r="Y7533" s="18" t="s">
        <v>12266</v>
      </c>
      <c r="Z7533" s="18" t="s">
        <v>166</v>
      </c>
      <c r="AA7533" s="21" t="str">
        <f>HYPERLINK("https://www.ncbi.nlm.nih.gov/nuccore/MH616944","NCBI Nucleotide")</f>
        <v>NCBI Nucleotide</v>
      </c>
    </row>
    <row r="7534" spans="1:27" x14ac:dyDescent="0.35">
      <c r="A7534">
        <v>1025555</v>
      </c>
      <c r="B7534">
        <v>7005</v>
      </c>
      <c r="C7534">
        <v>1</v>
      </c>
      <c r="D7534" s="17" t="s">
        <v>10507</v>
      </c>
      <c r="E7534" s="17"/>
      <c r="F7534" s="17" t="s">
        <v>10780</v>
      </c>
      <c r="G7534" s="17"/>
      <c r="H7534" s="17" t="s">
        <v>12908</v>
      </c>
      <c r="I7534" s="17"/>
      <c r="J7534" s="17" t="s">
        <v>14018</v>
      </c>
      <c r="K7534" s="17"/>
      <c r="L7534" s="17" t="s">
        <v>14019</v>
      </c>
      <c r="M7534" s="17"/>
      <c r="N7534" s="17" t="s">
        <v>41612</v>
      </c>
      <c r="O7534" s="17"/>
      <c r="P7534" s="17" t="s">
        <v>41674</v>
      </c>
      <c r="Q7534" s="17"/>
      <c r="R7534" s="25" t="str">
        <f>HYPERLINK("https://ictv.global/taxonomy/taxondetails?taxnode_id=202318469","Impedivirus copteris")</f>
        <v>Impedivirus copteris</v>
      </c>
      <c r="S7534" s="18" t="s">
        <v>30</v>
      </c>
      <c r="T7534" s="18" t="s">
        <v>41675</v>
      </c>
      <c r="U7534" s="18"/>
      <c r="V7534" s="18" t="s">
        <v>41676</v>
      </c>
      <c r="W7534" s="18" t="s">
        <v>41677</v>
      </c>
      <c r="X7534" s="18" t="s">
        <v>42</v>
      </c>
      <c r="Y7534" s="18" t="s">
        <v>12266</v>
      </c>
      <c r="Z7534" s="18" t="s">
        <v>166</v>
      </c>
      <c r="AA7534" s="21" t="str">
        <f>HYPERLINK("https://www.ncbi.nlm.nih.gov/nuccore/MN928943","NCBI Nucleotide")</f>
        <v>NCBI Nucleotide</v>
      </c>
    </row>
    <row r="7535" spans="1:27" x14ac:dyDescent="0.35">
      <c r="A7535">
        <v>1025556</v>
      </c>
      <c r="B7535">
        <v>7006</v>
      </c>
      <c r="C7535">
        <v>1</v>
      </c>
      <c r="D7535" s="17" t="s">
        <v>10507</v>
      </c>
      <c r="E7535" s="17"/>
      <c r="F7535" s="17" t="s">
        <v>10780</v>
      </c>
      <c r="G7535" s="17"/>
      <c r="H7535" s="17" t="s">
        <v>12908</v>
      </c>
      <c r="I7535" s="17"/>
      <c r="J7535" s="17" t="s">
        <v>14018</v>
      </c>
      <c r="K7535" s="17"/>
      <c r="L7535" s="17" t="s">
        <v>14019</v>
      </c>
      <c r="M7535" s="17"/>
      <c r="N7535" s="17" t="s">
        <v>41612</v>
      </c>
      <c r="O7535" s="17"/>
      <c r="P7535" s="17" t="s">
        <v>41674</v>
      </c>
      <c r="Q7535" s="17"/>
      <c r="R7535" s="25" t="str">
        <f>HYPERLINK("https://ictv.global/taxonomy/taxondetails?taxnode_id=202318470","Impedivirus libequis")</f>
        <v>Impedivirus libequis</v>
      </c>
      <c r="S7535" s="18" t="s">
        <v>30</v>
      </c>
      <c r="T7535" s="18" t="s">
        <v>41678</v>
      </c>
      <c r="U7535" s="18"/>
      <c r="V7535" s="18" t="s">
        <v>41679</v>
      </c>
      <c r="W7535" s="18" t="s">
        <v>41680</v>
      </c>
      <c r="X7535" s="18" t="s">
        <v>42</v>
      </c>
      <c r="Y7535" s="18" t="s">
        <v>12266</v>
      </c>
      <c r="Z7535" s="18" t="s">
        <v>10790</v>
      </c>
      <c r="AA7535" s="21" t="str">
        <f>HYPERLINK("https://www.ncbi.nlm.nih.gov/nuccore/KM598398","NCBI Nucleotide")</f>
        <v>NCBI Nucleotide</v>
      </c>
    </row>
    <row r="7536" spans="1:27" x14ac:dyDescent="0.35">
      <c r="A7536">
        <v>1025580</v>
      </c>
      <c r="B7536">
        <v>7007</v>
      </c>
      <c r="C7536">
        <v>1</v>
      </c>
      <c r="D7536" s="17" t="s">
        <v>10507</v>
      </c>
      <c r="E7536" s="17"/>
      <c r="F7536" s="17" t="s">
        <v>10780</v>
      </c>
      <c r="G7536" s="17"/>
      <c r="H7536" s="17" t="s">
        <v>12908</v>
      </c>
      <c r="I7536" s="17"/>
      <c r="J7536" s="17" t="s">
        <v>14018</v>
      </c>
      <c r="K7536" s="17"/>
      <c r="L7536" s="17" t="s">
        <v>14019</v>
      </c>
      <c r="M7536" s="17"/>
      <c r="N7536" s="17" t="s">
        <v>41612</v>
      </c>
      <c r="O7536" s="17"/>
      <c r="P7536" s="17" t="s">
        <v>41681</v>
      </c>
      <c r="Q7536" s="17"/>
      <c r="R7536" s="25" t="str">
        <f>HYPERLINK("https://ictv.global/taxonomy/taxondetails?taxnode_id=202318468","Lumovirus arcechis")</f>
        <v>Lumovirus arcechis</v>
      </c>
      <c r="S7536" s="18" t="s">
        <v>30</v>
      </c>
      <c r="T7536" s="18" t="s">
        <v>41682</v>
      </c>
      <c r="U7536" s="18"/>
      <c r="V7536" s="18" t="s">
        <v>41683</v>
      </c>
      <c r="W7536" s="18" t="s">
        <v>41684</v>
      </c>
      <c r="X7536" s="18" t="s">
        <v>42</v>
      </c>
      <c r="Y7536" s="18" t="s">
        <v>12266</v>
      </c>
      <c r="Z7536" s="18" t="s">
        <v>13441</v>
      </c>
      <c r="AA7536" s="21" t="str">
        <f>HYPERLINK("https://www.ncbi.nlm.nih.gov/nuccore/MH425569","NCBI Nucleotide")</f>
        <v>NCBI Nucleotide</v>
      </c>
    </row>
    <row r="7537" spans="1:27" x14ac:dyDescent="0.35">
      <c r="A7537">
        <v>1025520</v>
      </c>
      <c r="B7537">
        <v>7008</v>
      </c>
      <c r="C7537">
        <v>1</v>
      </c>
      <c r="D7537" s="17" t="s">
        <v>10507</v>
      </c>
      <c r="E7537" s="17"/>
      <c r="F7537" s="17" t="s">
        <v>10780</v>
      </c>
      <c r="G7537" s="17"/>
      <c r="H7537" s="17" t="s">
        <v>12908</v>
      </c>
      <c r="I7537" s="17"/>
      <c r="J7537" s="17" t="s">
        <v>14018</v>
      </c>
      <c r="K7537" s="17"/>
      <c r="L7537" s="17" t="s">
        <v>14019</v>
      </c>
      <c r="M7537" s="17"/>
      <c r="N7537" s="17" t="s">
        <v>41612</v>
      </c>
      <c r="O7537" s="17"/>
      <c r="P7537" s="17" t="s">
        <v>41685</v>
      </c>
      <c r="Q7537" s="17"/>
      <c r="R7537" s="25" t="str">
        <f>HYPERLINK("https://ictv.global/taxonomy/taxondetails?taxnode_id=202318480","Oblivivirus yangtsis")</f>
        <v>Oblivivirus yangtsis</v>
      </c>
      <c r="S7537" s="18" t="s">
        <v>30</v>
      </c>
      <c r="T7537" s="18" t="s">
        <v>41686</v>
      </c>
      <c r="U7537" s="18"/>
      <c r="V7537" s="18" t="s">
        <v>41687</v>
      </c>
      <c r="W7537" s="18" t="s">
        <v>41688</v>
      </c>
      <c r="X7537" s="18" t="s">
        <v>42</v>
      </c>
      <c r="Y7537" s="18" t="s">
        <v>12266</v>
      </c>
      <c r="Z7537" s="18" t="s">
        <v>26655</v>
      </c>
      <c r="AA7537" s="21" t="str">
        <f>HYPERLINK("https://www.ncbi.nlm.nih.gov/nuccore/MW346688","NCBI Nucleotide")</f>
        <v>NCBI Nucleotide</v>
      </c>
    </row>
    <row r="7538" spans="1:27" x14ac:dyDescent="0.35">
      <c r="A7538">
        <v>1025539</v>
      </c>
      <c r="B7538">
        <v>7009</v>
      </c>
      <c r="C7538">
        <v>1</v>
      </c>
      <c r="D7538" s="17" t="s">
        <v>10507</v>
      </c>
      <c r="E7538" s="17"/>
      <c r="F7538" s="17" t="s">
        <v>10780</v>
      </c>
      <c r="G7538" s="17"/>
      <c r="H7538" s="17" t="s">
        <v>12908</v>
      </c>
      <c r="I7538" s="17"/>
      <c r="J7538" s="17" t="s">
        <v>14018</v>
      </c>
      <c r="K7538" s="17"/>
      <c r="L7538" s="17" t="s">
        <v>14019</v>
      </c>
      <c r="M7538" s="17"/>
      <c r="N7538" s="17" t="s">
        <v>41612</v>
      </c>
      <c r="O7538" s="17"/>
      <c r="P7538" s="17" t="s">
        <v>41689</v>
      </c>
      <c r="Q7538" s="17"/>
      <c r="R7538" s="25" t="str">
        <f>HYPERLINK("https://ictv.global/taxonomy/taxondetails?taxnode_id=202318483","Patrovirus dianchis")</f>
        <v>Patrovirus dianchis</v>
      </c>
      <c r="S7538" s="18" t="s">
        <v>30</v>
      </c>
      <c r="T7538" s="18" t="s">
        <v>41690</v>
      </c>
      <c r="U7538" s="18"/>
      <c r="V7538" s="18" t="s">
        <v>41691</v>
      </c>
      <c r="W7538" s="18" t="s">
        <v>41692</v>
      </c>
      <c r="X7538" s="18" t="s">
        <v>42</v>
      </c>
      <c r="Y7538" s="18" t="s">
        <v>12266</v>
      </c>
      <c r="Z7538" s="18" t="s">
        <v>26655</v>
      </c>
      <c r="AA7538" s="21" t="str">
        <f>HYPERLINK("https://www.ncbi.nlm.nih.gov/nuccore/KT149395","NCBI Nucleotide")</f>
        <v>NCBI Nucleotide</v>
      </c>
    </row>
    <row r="7539" spans="1:27" x14ac:dyDescent="0.35">
      <c r="A7539">
        <v>1025481</v>
      </c>
      <c r="B7539">
        <v>7010</v>
      </c>
      <c r="C7539">
        <v>1</v>
      </c>
      <c r="D7539" s="17" t="s">
        <v>10507</v>
      </c>
      <c r="E7539" s="17"/>
      <c r="F7539" s="17" t="s">
        <v>10780</v>
      </c>
      <c r="G7539" s="17"/>
      <c r="H7539" s="17" t="s">
        <v>12908</v>
      </c>
      <c r="I7539" s="17"/>
      <c r="J7539" s="17" t="s">
        <v>14018</v>
      </c>
      <c r="K7539" s="17"/>
      <c r="L7539" s="17" t="s">
        <v>14019</v>
      </c>
      <c r="M7539" s="17"/>
      <c r="N7539" s="17" t="s">
        <v>41612</v>
      </c>
      <c r="O7539" s="17"/>
      <c r="P7539" s="17" t="s">
        <v>41693</v>
      </c>
      <c r="Q7539" s="17"/>
      <c r="R7539" s="25" t="str">
        <f>HYPERLINK("https://ictv.global/taxonomy/taxondetails?taxnode_id=202318459","Protegovirus ailuris")</f>
        <v>Protegovirus ailuris</v>
      </c>
      <c r="S7539" s="18" t="s">
        <v>30</v>
      </c>
      <c r="T7539" s="18" t="s">
        <v>41694</v>
      </c>
      <c r="U7539" s="18"/>
      <c r="V7539" s="18" t="s">
        <v>41695</v>
      </c>
      <c r="W7539" s="18" t="s">
        <v>41696</v>
      </c>
      <c r="X7539" s="18" t="s">
        <v>42</v>
      </c>
      <c r="Y7539" s="18" t="s">
        <v>12266</v>
      </c>
      <c r="Z7539" s="18" t="s">
        <v>166</v>
      </c>
      <c r="AA7539" s="21" t="str">
        <f>HYPERLINK("https://www.ncbi.nlm.nih.gov/nuccore/MZ556147","NCBI Nucleotide")</f>
        <v>NCBI Nucleotide</v>
      </c>
    </row>
    <row r="7540" spans="1:27" x14ac:dyDescent="0.35">
      <c r="A7540">
        <v>1025482</v>
      </c>
      <c r="B7540">
        <v>7011</v>
      </c>
      <c r="C7540">
        <v>1</v>
      </c>
      <c r="D7540" s="17" t="s">
        <v>10507</v>
      </c>
      <c r="E7540" s="17"/>
      <c r="F7540" s="17" t="s">
        <v>10780</v>
      </c>
      <c r="G7540" s="17"/>
      <c r="H7540" s="17" t="s">
        <v>12908</v>
      </c>
      <c r="I7540" s="17"/>
      <c r="J7540" s="17" t="s">
        <v>14018</v>
      </c>
      <c r="K7540" s="17"/>
      <c r="L7540" s="17" t="s">
        <v>14019</v>
      </c>
      <c r="M7540" s="17"/>
      <c r="N7540" s="17" t="s">
        <v>41612</v>
      </c>
      <c r="O7540" s="17"/>
      <c r="P7540" s="17" t="s">
        <v>41693</v>
      </c>
      <c r="Q7540" s="17"/>
      <c r="R7540" s="25" t="str">
        <f>HYPERLINK("https://ictv.global/taxonomy/taxondetails?taxnode_id=202318458","Protegovirus mintis")</f>
        <v>Protegovirus mintis</v>
      </c>
      <c r="S7540" s="18" t="s">
        <v>30</v>
      </c>
      <c r="T7540" s="18" t="s">
        <v>41697</v>
      </c>
      <c r="U7540" s="18"/>
      <c r="V7540" s="18" t="s">
        <v>41698</v>
      </c>
      <c r="W7540" s="18" t="s">
        <v>41699</v>
      </c>
      <c r="X7540" s="18" t="s">
        <v>42</v>
      </c>
      <c r="Y7540" s="18" t="s">
        <v>12266</v>
      </c>
      <c r="Z7540" s="18" t="s">
        <v>166</v>
      </c>
      <c r="AA7540" s="21" t="str">
        <f>HYPERLINK("https://www.ncbi.nlm.nih.gov/nuccore/MH617562","NCBI Nucleotide")</f>
        <v>NCBI Nucleotide</v>
      </c>
    </row>
    <row r="7541" spans="1:27" x14ac:dyDescent="0.35">
      <c r="A7541">
        <v>1025483</v>
      </c>
      <c r="B7541">
        <v>7012</v>
      </c>
      <c r="C7541">
        <v>1</v>
      </c>
      <c r="D7541" s="17" t="s">
        <v>10507</v>
      </c>
      <c r="E7541" s="17"/>
      <c r="F7541" s="17" t="s">
        <v>10780</v>
      </c>
      <c r="G7541" s="17"/>
      <c r="H7541" s="17" t="s">
        <v>12908</v>
      </c>
      <c r="I7541" s="17"/>
      <c r="J7541" s="17" t="s">
        <v>14018</v>
      </c>
      <c r="K7541" s="17"/>
      <c r="L7541" s="17" t="s">
        <v>14019</v>
      </c>
      <c r="M7541" s="17"/>
      <c r="N7541" s="17" t="s">
        <v>41612</v>
      </c>
      <c r="O7541" s="17"/>
      <c r="P7541" s="17" t="s">
        <v>41693</v>
      </c>
      <c r="Q7541" s="17"/>
      <c r="R7541" s="25" t="str">
        <f>HYPERLINK("https://ictv.global/taxonomy/taxondetails?taxnode_id=202318457","Protegovirus tongis")</f>
        <v>Protegovirus tongis</v>
      </c>
      <c r="S7541" s="18" t="s">
        <v>30</v>
      </c>
      <c r="T7541" s="18" t="s">
        <v>41700</v>
      </c>
      <c r="U7541" s="18"/>
      <c r="V7541" s="18" t="s">
        <v>41701</v>
      </c>
      <c r="W7541" s="18" t="s">
        <v>41702</v>
      </c>
      <c r="X7541" s="18" t="s">
        <v>42</v>
      </c>
      <c r="Y7541" s="18" t="s">
        <v>12266</v>
      </c>
      <c r="Z7541" s="18" t="s">
        <v>166</v>
      </c>
      <c r="AA7541" s="21" t="str">
        <f>HYPERLINK("https://www.ncbi.nlm.nih.gov/nuccore/KT732831","NCBI Nucleotide")</f>
        <v>NCBI Nucleotide</v>
      </c>
    </row>
    <row r="7542" spans="1:27" x14ac:dyDescent="0.35">
      <c r="A7542">
        <v>1025473</v>
      </c>
      <c r="B7542">
        <v>7013</v>
      </c>
      <c r="C7542">
        <v>1</v>
      </c>
      <c r="D7542" s="17" t="s">
        <v>10507</v>
      </c>
      <c r="E7542" s="17"/>
      <c r="F7542" s="17" t="s">
        <v>10780</v>
      </c>
      <c r="G7542" s="17"/>
      <c r="H7542" s="17" t="s">
        <v>12908</v>
      </c>
      <c r="I7542" s="17"/>
      <c r="J7542" s="17" t="s">
        <v>14018</v>
      </c>
      <c r="K7542" s="17"/>
      <c r="L7542" s="17" t="s">
        <v>14019</v>
      </c>
      <c r="M7542" s="17"/>
      <c r="N7542" s="17" t="s">
        <v>41612</v>
      </c>
      <c r="O7542" s="17"/>
      <c r="P7542" s="17" t="s">
        <v>41703</v>
      </c>
      <c r="Q7542" s="17"/>
      <c r="R7542" s="25" t="str">
        <f>HYPERLINK("https://ictv.global/taxonomy/taxondetails?taxnode_id=202318482","Riddikuvirus forpesis")</f>
        <v>Riddikuvirus forpesis</v>
      </c>
      <c r="S7542" s="18" t="s">
        <v>30</v>
      </c>
      <c r="T7542" s="18" t="s">
        <v>41704</v>
      </c>
      <c r="U7542" s="18"/>
      <c r="V7542" s="18" t="s">
        <v>41705</v>
      </c>
      <c r="W7542" s="18" t="s">
        <v>41706</v>
      </c>
      <c r="X7542" s="18" t="s">
        <v>42</v>
      </c>
      <c r="Y7542" s="18" t="s">
        <v>12266</v>
      </c>
      <c r="Z7542" s="18" t="s">
        <v>13441</v>
      </c>
      <c r="AA7542" s="21" t="str">
        <f>HYPERLINK("https://www.ncbi.nlm.nih.gov/nuccore/MN891803","NCBI Nucleotide")</f>
        <v>NCBI Nucleotide</v>
      </c>
    </row>
    <row r="7543" spans="1:27" x14ac:dyDescent="0.35">
      <c r="A7543">
        <v>1025474</v>
      </c>
      <c r="B7543">
        <v>7014</v>
      </c>
      <c r="C7543">
        <v>1</v>
      </c>
      <c r="D7543" s="17" t="s">
        <v>10507</v>
      </c>
      <c r="E7543" s="17"/>
      <c r="F7543" s="17" t="s">
        <v>10780</v>
      </c>
      <c r="G7543" s="17"/>
      <c r="H7543" s="17" t="s">
        <v>12908</v>
      </c>
      <c r="I7543" s="17"/>
      <c r="J7543" s="17" t="s">
        <v>14018</v>
      </c>
      <c r="K7543" s="17"/>
      <c r="L7543" s="17" t="s">
        <v>14019</v>
      </c>
      <c r="M7543" s="17"/>
      <c r="N7543" s="17" t="s">
        <v>41612</v>
      </c>
      <c r="O7543" s="17"/>
      <c r="P7543" s="17" t="s">
        <v>41703</v>
      </c>
      <c r="Q7543" s="17"/>
      <c r="R7543" s="25" t="str">
        <f>HYPERLINK("https://ictv.global/taxonomy/taxondetails?taxnode_id=202318481","Riddikuvirus manatis")</f>
        <v>Riddikuvirus manatis</v>
      </c>
      <c r="S7543" s="18" t="s">
        <v>30</v>
      </c>
      <c r="T7543" s="18" t="s">
        <v>41707</v>
      </c>
      <c r="U7543" s="18"/>
      <c r="V7543" s="18" t="s">
        <v>41708</v>
      </c>
      <c r="W7543" s="18" t="s">
        <v>41709</v>
      </c>
      <c r="X7543" s="18" t="s">
        <v>42</v>
      </c>
      <c r="Y7543" s="18" t="s">
        <v>12266</v>
      </c>
      <c r="Z7543" s="18" t="s">
        <v>26655</v>
      </c>
      <c r="AA7543" s="21" t="str">
        <f>HYPERLINK("https://www.ncbi.nlm.nih.gov/nuccore/MW202840","NCBI Nucleotide")</f>
        <v>NCBI Nucleotide</v>
      </c>
    </row>
    <row r="7544" spans="1:27" x14ac:dyDescent="0.35">
      <c r="A7544">
        <v>1025412</v>
      </c>
      <c r="B7544">
        <v>7015</v>
      </c>
      <c r="C7544">
        <v>1</v>
      </c>
      <c r="D7544" s="17" t="s">
        <v>10507</v>
      </c>
      <c r="E7544" s="17"/>
      <c r="F7544" s="17" t="s">
        <v>10780</v>
      </c>
      <c r="G7544" s="17"/>
      <c r="H7544" s="17" t="s">
        <v>12908</v>
      </c>
      <c r="I7544" s="17"/>
      <c r="J7544" s="17" t="s">
        <v>14018</v>
      </c>
      <c r="K7544" s="17"/>
      <c r="L7544" s="17" t="s">
        <v>14019</v>
      </c>
      <c r="M7544" s="17"/>
      <c r="N7544" s="17" t="s">
        <v>41612</v>
      </c>
      <c r="O7544" s="17"/>
      <c r="P7544" s="17" t="s">
        <v>41710</v>
      </c>
      <c r="Q7544" s="17"/>
      <c r="R7544" s="25" t="str">
        <f>HYPERLINK("https://ictv.global/taxonomy/taxondetails?taxnode_id=202318466","Stupevirus kummerois")</f>
        <v>Stupevirus kummerois</v>
      </c>
      <c r="S7544" s="18" t="s">
        <v>30</v>
      </c>
      <c r="T7544" s="18" t="s">
        <v>41711</v>
      </c>
      <c r="U7544" s="18"/>
      <c r="V7544" s="18" t="s">
        <v>41712</v>
      </c>
      <c r="W7544" s="18" t="s">
        <v>41713</v>
      </c>
      <c r="X7544" s="18" t="s">
        <v>42</v>
      </c>
      <c r="Y7544" s="18" t="s">
        <v>12266</v>
      </c>
      <c r="Z7544" s="18" t="s">
        <v>13441</v>
      </c>
      <c r="AA7544" s="21" t="str">
        <f>HYPERLINK("https://www.ncbi.nlm.nih.gov/nuccore/MN891814","NCBI Nucleotide")</f>
        <v>NCBI Nucleotide</v>
      </c>
    </row>
    <row r="7545" spans="1:27" x14ac:dyDescent="0.35">
      <c r="A7545">
        <v>1025600</v>
      </c>
      <c r="B7545">
        <v>7016</v>
      </c>
      <c r="C7545">
        <v>1</v>
      </c>
      <c r="D7545" s="17" t="s">
        <v>10507</v>
      </c>
      <c r="E7545" s="17"/>
      <c r="F7545" s="17" t="s">
        <v>10780</v>
      </c>
      <c r="G7545" s="17"/>
      <c r="H7545" s="17" t="s">
        <v>12908</v>
      </c>
      <c r="I7545" s="17"/>
      <c r="J7545" s="17" t="s">
        <v>14018</v>
      </c>
      <c r="K7545" s="17"/>
      <c r="L7545" s="17" t="s">
        <v>14019</v>
      </c>
      <c r="M7545" s="17"/>
      <c r="N7545" s="17" t="s">
        <v>41612</v>
      </c>
      <c r="O7545" s="17"/>
      <c r="P7545" s="17" t="s">
        <v>41714</v>
      </c>
      <c r="Q7545" s="17"/>
      <c r="R7545" s="25" t="str">
        <f>HYPERLINK("https://ictv.global/taxonomy/taxondetails?taxnode_id=202318473","Wingardivirus arilais")</f>
        <v>Wingardivirus arilais</v>
      </c>
      <c r="S7545" s="18" t="s">
        <v>30</v>
      </c>
      <c r="T7545" s="18" t="s">
        <v>41715</v>
      </c>
      <c r="U7545" s="18"/>
      <c r="V7545" s="18" t="s">
        <v>41716</v>
      </c>
      <c r="W7545" s="18" t="s">
        <v>41717</v>
      </c>
      <c r="X7545" s="18" t="s">
        <v>42</v>
      </c>
      <c r="Y7545" s="18" t="s">
        <v>12266</v>
      </c>
      <c r="Z7545" s="18" t="s">
        <v>26655</v>
      </c>
      <c r="AA7545" s="21" t="str">
        <f>HYPERLINK("https://www.ncbi.nlm.nih.gov/nuccore/MW697535","NCBI Nucleotide")</f>
        <v>NCBI Nucleotide</v>
      </c>
    </row>
    <row r="7546" spans="1:27" x14ac:dyDescent="0.35">
      <c r="A7546">
        <v>1025601</v>
      </c>
      <c r="B7546">
        <v>7017</v>
      </c>
      <c r="C7546">
        <v>1</v>
      </c>
      <c r="D7546" s="17" t="s">
        <v>10507</v>
      </c>
      <c r="E7546" s="17"/>
      <c r="F7546" s="17" t="s">
        <v>10780</v>
      </c>
      <c r="G7546" s="17"/>
      <c r="H7546" s="17" t="s">
        <v>12908</v>
      </c>
      <c r="I7546" s="17"/>
      <c r="J7546" s="17" t="s">
        <v>14018</v>
      </c>
      <c r="K7546" s="17"/>
      <c r="L7546" s="17" t="s">
        <v>14019</v>
      </c>
      <c r="M7546" s="17"/>
      <c r="N7546" s="17" t="s">
        <v>41612</v>
      </c>
      <c r="O7546" s="17"/>
      <c r="P7546" s="17" t="s">
        <v>41714</v>
      </c>
      <c r="Q7546" s="17"/>
      <c r="R7546" s="25" t="str">
        <f>HYPERLINK("https://ictv.global/taxonomy/taxondetails?taxnode_id=202318474","Wingardivirus capibaris")</f>
        <v>Wingardivirus capibaris</v>
      </c>
      <c r="S7546" s="18" t="s">
        <v>30</v>
      </c>
      <c r="T7546" s="18" t="s">
        <v>41718</v>
      </c>
      <c r="U7546" s="18"/>
      <c r="V7546" s="18" t="s">
        <v>41719</v>
      </c>
      <c r="W7546" s="18" t="s">
        <v>41720</v>
      </c>
      <c r="X7546" s="18" t="s">
        <v>42</v>
      </c>
      <c r="Y7546" s="18" t="s">
        <v>12266</v>
      </c>
      <c r="Z7546" s="18" t="s">
        <v>166</v>
      </c>
      <c r="AA7546" s="21" t="str">
        <f>HYPERLINK("https://www.ncbi.nlm.nih.gov/nuccore/MK570173","NCBI Nucleotide")</f>
        <v>NCBI Nucleotide</v>
      </c>
    </row>
    <row r="7547" spans="1:27" x14ac:dyDescent="0.35">
      <c r="A7547">
        <v>1008342</v>
      </c>
      <c r="B7547">
        <v>7018</v>
      </c>
      <c r="C7547">
        <v>1</v>
      </c>
      <c r="D7547" s="17" t="s">
        <v>10507</v>
      </c>
      <c r="E7547" s="17"/>
      <c r="F7547" s="17" t="s">
        <v>17110</v>
      </c>
      <c r="G7547" s="17"/>
      <c r="H7547" s="17" t="s">
        <v>17111</v>
      </c>
      <c r="I7547" s="17"/>
      <c r="J7547" s="17" t="s">
        <v>17112</v>
      </c>
      <c r="K7547" s="17"/>
      <c r="L7547" s="17" t="s">
        <v>17113</v>
      </c>
      <c r="M7547" s="17"/>
      <c r="N7547" s="17" t="s">
        <v>17114</v>
      </c>
      <c r="O7547" s="17"/>
      <c r="P7547" s="17" t="s">
        <v>17115</v>
      </c>
      <c r="Q7547" s="17"/>
      <c r="R7547" s="25" t="str">
        <f>HYPERLINK("https://ictv.global/taxonomy/taxondetails?taxnode_id=202304344","Alphapleolipovirus finnoniense")</f>
        <v>Alphapleolipovirus finnoniense</v>
      </c>
      <c r="S7547" s="18" t="s">
        <v>30</v>
      </c>
      <c r="T7547" s="18" t="s">
        <v>17122</v>
      </c>
      <c r="U7547" s="18" t="s">
        <v>17123</v>
      </c>
      <c r="V7547" s="18"/>
      <c r="W7547" s="18" t="s">
        <v>17124</v>
      </c>
      <c r="X7547" s="18" t="s">
        <v>42</v>
      </c>
      <c r="Y7547" s="18" t="s">
        <v>10535</v>
      </c>
      <c r="Z7547" s="18" t="s">
        <v>37</v>
      </c>
      <c r="AA7547" s="21" t="str">
        <f>HYPERLINK("https://www.ncbi.nlm.nih.gov/nuccore/FJ685651","NCBI Nucleotide")</f>
        <v>NCBI Nucleotide</v>
      </c>
    </row>
    <row r="7548" spans="1:27" x14ac:dyDescent="0.35">
      <c r="A7548">
        <v>1008341</v>
      </c>
      <c r="B7548">
        <v>7019</v>
      </c>
      <c r="C7548">
        <v>1</v>
      </c>
      <c r="D7548" s="17" t="s">
        <v>10507</v>
      </c>
      <c r="E7548" s="17"/>
      <c r="F7548" s="17" t="s">
        <v>17110</v>
      </c>
      <c r="G7548" s="17"/>
      <c r="H7548" s="17" t="s">
        <v>17111</v>
      </c>
      <c r="I7548" s="17"/>
      <c r="J7548" s="17" t="s">
        <v>17112</v>
      </c>
      <c r="K7548" s="17"/>
      <c r="L7548" s="17" t="s">
        <v>17113</v>
      </c>
      <c r="M7548" s="17"/>
      <c r="N7548" s="17" t="s">
        <v>17114</v>
      </c>
      <c r="O7548" s="17"/>
      <c r="P7548" s="17" t="s">
        <v>17115</v>
      </c>
      <c r="Q7548" s="17"/>
      <c r="R7548" s="25" t="str">
        <f>HYPERLINK("https://ictv.global/taxonomy/taxondetails?taxnode_id=202304343","Alphapleolipovirus huluense")</f>
        <v>Alphapleolipovirus huluense</v>
      </c>
      <c r="S7548" s="18" t="s">
        <v>30</v>
      </c>
      <c r="T7548" s="18" t="s">
        <v>17119</v>
      </c>
      <c r="U7548" s="18" t="s">
        <v>17120</v>
      </c>
      <c r="V7548" s="18"/>
      <c r="W7548" s="18" t="s">
        <v>17121</v>
      </c>
      <c r="X7548" s="18" t="s">
        <v>42</v>
      </c>
      <c r="Y7548" s="18" t="s">
        <v>12266</v>
      </c>
      <c r="Z7548" s="18" t="s">
        <v>37</v>
      </c>
      <c r="AA7548" s="21" t="str">
        <f>HYPERLINK("https://www.ncbi.nlm.nih.gov/nuccore/KF056323","NCBI Nucleotide")</f>
        <v>NCBI Nucleotide</v>
      </c>
    </row>
    <row r="7549" spans="1:27" x14ac:dyDescent="0.35">
      <c r="A7549">
        <v>1008340</v>
      </c>
      <c r="B7549">
        <v>7020</v>
      </c>
      <c r="C7549">
        <v>1</v>
      </c>
      <c r="D7549" s="17" t="s">
        <v>10507</v>
      </c>
      <c r="E7549" s="17"/>
      <c r="F7549" s="17" t="s">
        <v>17110</v>
      </c>
      <c r="G7549" s="17"/>
      <c r="H7549" s="17" t="s">
        <v>17111</v>
      </c>
      <c r="I7549" s="17"/>
      <c r="J7549" s="17" t="s">
        <v>17112</v>
      </c>
      <c r="K7549" s="17"/>
      <c r="L7549" s="17" t="s">
        <v>17113</v>
      </c>
      <c r="M7549" s="17"/>
      <c r="N7549" s="17" t="s">
        <v>17114</v>
      </c>
      <c r="O7549" s="17"/>
      <c r="P7549" s="17" t="s">
        <v>17115</v>
      </c>
      <c r="Q7549" s="17"/>
      <c r="R7549" s="25" t="str">
        <f>HYPERLINK("https://ictv.global/taxonomy/taxondetails?taxnode_id=202304342","Alphapleolipovirus italiense")</f>
        <v>Alphapleolipovirus italiense</v>
      </c>
      <c r="S7549" s="18" t="s">
        <v>30</v>
      </c>
      <c r="T7549" s="18" t="s">
        <v>17116</v>
      </c>
      <c r="U7549" s="18" t="s">
        <v>17117</v>
      </c>
      <c r="V7549" s="18"/>
      <c r="W7549" s="18" t="s">
        <v>17118</v>
      </c>
      <c r="X7549" s="18" t="s">
        <v>42</v>
      </c>
      <c r="Y7549" s="18" t="s">
        <v>36</v>
      </c>
      <c r="Z7549" s="18" t="s">
        <v>37</v>
      </c>
      <c r="AA7549" s="21" t="str">
        <f>HYPERLINK("https://www.ncbi.nlm.nih.gov/nuccore/GU321093","NCBI Nucleotide")</f>
        <v>NCBI Nucleotide</v>
      </c>
    </row>
    <row r="7550" spans="1:27" x14ac:dyDescent="0.35">
      <c r="A7550">
        <v>1008344</v>
      </c>
      <c r="B7550">
        <v>7021</v>
      </c>
      <c r="C7550">
        <v>1</v>
      </c>
      <c r="D7550" s="17" t="s">
        <v>10507</v>
      </c>
      <c r="E7550" s="17"/>
      <c r="F7550" s="17" t="s">
        <v>17110</v>
      </c>
      <c r="G7550" s="17"/>
      <c r="H7550" s="17" t="s">
        <v>17111</v>
      </c>
      <c r="I7550" s="17"/>
      <c r="J7550" s="17" t="s">
        <v>17112</v>
      </c>
      <c r="K7550" s="17"/>
      <c r="L7550" s="17" t="s">
        <v>17113</v>
      </c>
      <c r="M7550" s="17"/>
      <c r="N7550" s="17" t="s">
        <v>17114</v>
      </c>
      <c r="O7550" s="17"/>
      <c r="P7550" s="17" t="s">
        <v>17115</v>
      </c>
      <c r="Q7550" s="17"/>
      <c r="R7550" s="25" t="str">
        <f>HYPERLINK("https://ictv.global/taxonomy/taxondetails?taxnode_id=202304346","Alphapleolipovirus samutsakhonense")</f>
        <v>Alphapleolipovirus samutsakhonense</v>
      </c>
      <c r="S7550" s="18" t="s">
        <v>30</v>
      </c>
      <c r="T7550" s="18" t="s">
        <v>17128</v>
      </c>
      <c r="U7550" s="18" t="s">
        <v>17129</v>
      </c>
      <c r="V7550" s="18"/>
      <c r="W7550" s="18" t="s">
        <v>17130</v>
      </c>
      <c r="X7550" s="18" t="s">
        <v>42</v>
      </c>
      <c r="Y7550" s="18" t="s">
        <v>12266</v>
      </c>
      <c r="Z7550" s="18" t="s">
        <v>37</v>
      </c>
      <c r="AA7550" s="21" t="str">
        <f>HYPERLINK("https://www.ncbi.nlm.nih.gov/nuccore/JN882266","NCBI Nucleotide")</f>
        <v>NCBI Nucleotide</v>
      </c>
    </row>
    <row r="7551" spans="1:27" x14ac:dyDescent="0.35">
      <c r="A7551">
        <v>1008343</v>
      </c>
      <c r="B7551">
        <v>7022</v>
      </c>
      <c r="C7551">
        <v>1</v>
      </c>
      <c r="D7551" s="17" t="s">
        <v>10507</v>
      </c>
      <c r="E7551" s="17"/>
      <c r="F7551" s="17" t="s">
        <v>17110</v>
      </c>
      <c r="G7551" s="17"/>
      <c r="H7551" s="17" t="s">
        <v>17111</v>
      </c>
      <c r="I7551" s="17"/>
      <c r="J7551" s="17" t="s">
        <v>17112</v>
      </c>
      <c r="K7551" s="17"/>
      <c r="L7551" s="17" t="s">
        <v>17113</v>
      </c>
      <c r="M7551" s="17"/>
      <c r="N7551" s="17" t="s">
        <v>17114</v>
      </c>
      <c r="O7551" s="17"/>
      <c r="P7551" s="17" t="s">
        <v>17115</v>
      </c>
      <c r="Q7551" s="17"/>
      <c r="R7551" s="25" t="str">
        <f>HYPERLINK("https://ictv.global/taxonomy/taxondetails?taxnode_id=202304345","Alphapleolipovirus thailandense")</f>
        <v>Alphapleolipovirus thailandense</v>
      </c>
      <c r="S7551" s="18" t="s">
        <v>30</v>
      </c>
      <c r="T7551" s="18" t="s">
        <v>17125</v>
      </c>
      <c r="U7551" s="18" t="s">
        <v>17126</v>
      </c>
      <c r="V7551" s="18"/>
      <c r="W7551" s="18" t="s">
        <v>17127</v>
      </c>
      <c r="X7551" s="18" t="s">
        <v>42</v>
      </c>
      <c r="Y7551" s="18" t="s">
        <v>12266</v>
      </c>
      <c r="Z7551" s="18" t="s">
        <v>37</v>
      </c>
      <c r="AA7551" s="21" t="str">
        <f>HYPERLINK("https://www.ncbi.nlm.nih.gov/nuccore/JN882264","NCBI Nucleotide")</f>
        <v>NCBI Nucleotide</v>
      </c>
    </row>
    <row r="7552" spans="1:27" x14ac:dyDescent="0.35">
      <c r="A7552">
        <v>1008352</v>
      </c>
      <c r="B7552">
        <v>7023</v>
      </c>
      <c r="C7552">
        <v>1</v>
      </c>
      <c r="D7552" s="17" t="s">
        <v>10507</v>
      </c>
      <c r="E7552" s="17"/>
      <c r="F7552" s="17" t="s">
        <v>17110</v>
      </c>
      <c r="G7552" s="17"/>
      <c r="H7552" s="17" t="s">
        <v>17111</v>
      </c>
      <c r="I7552" s="17"/>
      <c r="J7552" s="17" t="s">
        <v>17112</v>
      </c>
      <c r="K7552" s="17"/>
      <c r="L7552" s="17" t="s">
        <v>17113</v>
      </c>
      <c r="M7552" s="17"/>
      <c r="N7552" s="17" t="s">
        <v>17114</v>
      </c>
      <c r="O7552" s="17"/>
      <c r="P7552" s="17" t="s">
        <v>17131</v>
      </c>
      <c r="Q7552" s="17"/>
      <c r="R7552" s="25" t="str">
        <f>HYPERLINK("https://ictv.global/taxonomy/taxondetails?taxnode_id=202308637","Betapleolipovirus flexibile")</f>
        <v>Betapleolipovirus flexibile</v>
      </c>
      <c r="S7552" s="18" t="s">
        <v>30</v>
      </c>
      <c r="T7552" s="18" t="s">
        <v>17153</v>
      </c>
      <c r="U7552" s="18" t="s">
        <v>17154</v>
      </c>
      <c r="V7552" s="18"/>
      <c r="W7552" s="18" t="s">
        <v>17155</v>
      </c>
      <c r="X7552" s="18" t="s">
        <v>42</v>
      </c>
      <c r="Y7552" s="18" t="s">
        <v>36</v>
      </c>
      <c r="Z7552" s="18" t="s">
        <v>37</v>
      </c>
      <c r="AA7552" s="21" t="str">
        <f>HYPERLINK("https://www.ncbi.nlm.nih.gov/nuccore/KY965934","NCBI Nucleotide")</f>
        <v>NCBI Nucleotide</v>
      </c>
    </row>
    <row r="7553" spans="1:27" x14ac:dyDescent="0.35">
      <c r="A7553">
        <v>1008345</v>
      </c>
      <c r="B7553">
        <v>7024</v>
      </c>
      <c r="C7553">
        <v>1</v>
      </c>
      <c r="D7553" s="17" t="s">
        <v>10507</v>
      </c>
      <c r="E7553" s="17"/>
      <c r="F7553" s="17" t="s">
        <v>17110</v>
      </c>
      <c r="G7553" s="17"/>
      <c r="H7553" s="17" t="s">
        <v>17111</v>
      </c>
      <c r="I7553" s="17"/>
      <c r="J7553" s="17" t="s">
        <v>17112</v>
      </c>
      <c r="K7553" s="17"/>
      <c r="L7553" s="17" t="s">
        <v>17113</v>
      </c>
      <c r="M7553" s="17"/>
      <c r="N7553" s="17" t="s">
        <v>17114</v>
      </c>
      <c r="O7553" s="17"/>
      <c r="P7553" s="17" t="s">
        <v>17131</v>
      </c>
      <c r="Q7553" s="17"/>
      <c r="R7553" s="25" t="str">
        <f>HYPERLINK("https://ictv.global/taxonomy/taxondetails?taxnode_id=202304348","Betapleolipovirus halogeometrici")</f>
        <v>Betapleolipovirus halogeometrici</v>
      </c>
      <c r="S7553" s="18" t="s">
        <v>30</v>
      </c>
      <c r="T7553" s="18" t="s">
        <v>17132</v>
      </c>
      <c r="U7553" s="18" t="s">
        <v>17133</v>
      </c>
      <c r="V7553" s="18"/>
      <c r="W7553" s="18" t="s">
        <v>17134</v>
      </c>
      <c r="X7553" s="18" t="s">
        <v>42</v>
      </c>
      <c r="Y7553" s="18" t="s">
        <v>36</v>
      </c>
      <c r="Z7553" s="18" t="s">
        <v>37</v>
      </c>
      <c r="AA7553" s="21" t="str">
        <f>HYPERLINK("https://www.ncbi.nlm.nih.gov/nuccore/JN882267","NCBI Nucleotide")</f>
        <v>NCBI Nucleotide</v>
      </c>
    </row>
    <row r="7554" spans="1:27" x14ac:dyDescent="0.35">
      <c r="A7554">
        <v>1008353</v>
      </c>
      <c r="B7554">
        <v>7025</v>
      </c>
      <c r="C7554">
        <v>1</v>
      </c>
      <c r="D7554" s="17" t="s">
        <v>10507</v>
      </c>
      <c r="E7554" s="17"/>
      <c r="F7554" s="17" t="s">
        <v>17110</v>
      </c>
      <c r="G7554" s="17"/>
      <c r="H7554" s="17" t="s">
        <v>17111</v>
      </c>
      <c r="I7554" s="17"/>
      <c r="J7554" s="17" t="s">
        <v>17112</v>
      </c>
      <c r="K7554" s="17"/>
      <c r="L7554" s="17" t="s">
        <v>17113</v>
      </c>
      <c r="M7554" s="17"/>
      <c r="N7554" s="17" t="s">
        <v>17114</v>
      </c>
      <c r="O7554" s="17"/>
      <c r="P7554" s="17" t="s">
        <v>17131</v>
      </c>
      <c r="Q7554" s="17"/>
      <c r="R7554" s="25" t="str">
        <f>HYPERLINK("https://ictv.global/taxonomy/taxondetails?taxnode_id=202308641","Betapleolipovirus integrationis")</f>
        <v>Betapleolipovirus integrationis</v>
      </c>
      <c r="S7554" s="18" t="s">
        <v>30</v>
      </c>
      <c r="T7554" s="18" t="s">
        <v>17156</v>
      </c>
      <c r="U7554" s="18" t="s">
        <v>17157</v>
      </c>
      <c r="V7554" s="18"/>
      <c r="W7554" s="18" t="s">
        <v>17158</v>
      </c>
      <c r="X7554" s="18" t="s">
        <v>42</v>
      </c>
      <c r="Y7554" s="18" t="s">
        <v>36</v>
      </c>
      <c r="Z7554" s="18" t="s">
        <v>37</v>
      </c>
      <c r="AA7554" s="21" t="str">
        <f>HYPERLINK("https://www.ncbi.nlm.nih.gov/nuccore/OP012469","NCBI Nucleotide")</f>
        <v>NCBI Nucleotide</v>
      </c>
    </row>
    <row r="7555" spans="1:27" x14ac:dyDescent="0.35">
      <c r="A7555">
        <v>1008347</v>
      </c>
      <c r="B7555">
        <v>7026</v>
      </c>
      <c r="C7555">
        <v>1</v>
      </c>
      <c r="D7555" s="17" t="s">
        <v>10507</v>
      </c>
      <c r="E7555" s="17"/>
      <c r="F7555" s="17" t="s">
        <v>17110</v>
      </c>
      <c r="G7555" s="17"/>
      <c r="H7555" s="17" t="s">
        <v>17111</v>
      </c>
      <c r="I7555" s="17"/>
      <c r="J7555" s="17" t="s">
        <v>17112</v>
      </c>
      <c r="K7555" s="17"/>
      <c r="L7555" s="17" t="s">
        <v>17113</v>
      </c>
      <c r="M7555" s="17"/>
      <c r="N7555" s="17" t="s">
        <v>17114</v>
      </c>
      <c r="O7555" s="17"/>
      <c r="P7555" s="17" t="s">
        <v>17131</v>
      </c>
      <c r="Q7555" s="17"/>
      <c r="R7555" s="25" t="str">
        <f>HYPERLINK("https://ictv.global/taxonomy/taxondetails?taxnode_id=202308636","Betapleolipovirus italiense")</f>
        <v>Betapleolipovirus italiense</v>
      </c>
      <c r="S7555" s="18" t="s">
        <v>30</v>
      </c>
      <c r="T7555" s="18" t="s">
        <v>17138</v>
      </c>
      <c r="U7555" s="18" t="s">
        <v>17139</v>
      </c>
      <c r="V7555" s="18"/>
      <c r="W7555" s="18" t="s">
        <v>17140</v>
      </c>
      <c r="X7555" s="18" t="s">
        <v>42</v>
      </c>
      <c r="Y7555" s="18" t="s">
        <v>36</v>
      </c>
      <c r="Z7555" s="18" t="s">
        <v>37</v>
      </c>
      <c r="AA7555" s="21" t="str">
        <f>HYPERLINK("https://www.ncbi.nlm.nih.gov/nuccore/KY264020","NCBI Nucleotide")</f>
        <v>NCBI Nucleotide</v>
      </c>
    </row>
    <row r="7556" spans="1:27" x14ac:dyDescent="0.35">
      <c r="A7556">
        <v>1008351</v>
      </c>
      <c r="B7556">
        <v>7027</v>
      </c>
      <c r="C7556">
        <v>1</v>
      </c>
      <c r="D7556" s="17" t="s">
        <v>10507</v>
      </c>
      <c r="E7556" s="17"/>
      <c r="F7556" s="17" t="s">
        <v>17110</v>
      </c>
      <c r="G7556" s="17"/>
      <c r="H7556" s="17" t="s">
        <v>17111</v>
      </c>
      <c r="I7556" s="17"/>
      <c r="J7556" s="17" t="s">
        <v>17112</v>
      </c>
      <c r="K7556" s="17"/>
      <c r="L7556" s="17" t="s">
        <v>17113</v>
      </c>
      <c r="M7556" s="17"/>
      <c r="N7556" s="17" t="s">
        <v>17114</v>
      </c>
      <c r="O7556" s="17"/>
      <c r="P7556" s="17" t="s">
        <v>17131</v>
      </c>
      <c r="Q7556" s="17"/>
      <c r="R7556" s="25" t="str">
        <f>HYPERLINK("https://ictv.global/taxonomy/taxondetails?taxnode_id=202304349","Betapleolipovirus kalvoae")</f>
        <v>Betapleolipovirus kalvoae</v>
      </c>
      <c r="S7556" s="18" t="s">
        <v>30</v>
      </c>
      <c r="T7556" s="18" t="s">
        <v>17150</v>
      </c>
      <c r="U7556" s="18" t="s">
        <v>17151</v>
      </c>
      <c r="V7556" s="18"/>
      <c r="W7556" s="18" t="s">
        <v>17152</v>
      </c>
      <c r="X7556" s="18" t="s">
        <v>42</v>
      </c>
      <c r="Y7556" s="18" t="s">
        <v>36</v>
      </c>
      <c r="Z7556" s="18" t="s">
        <v>37</v>
      </c>
      <c r="AA7556" s="21" t="str">
        <f>HYPERLINK("https://www.ncbi.nlm.nih.gov/nuccore/JN882265","NCBI Nucleotide")</f>
        <v>NCBI Nucleotide</v>
      </c>
    </row>
    <row r="7557" spans="1:27" x14ac:dyDescent="0.35">
      <c r="A7557">
        <v>1008349</v>
      </c>
      <c r="B7557">
        <v>7028</v>
      </c>
      <c r="C7557">
        <v>1</v>
      </c>
      <c r="D7557" s="17" t="s">
        <v>10507</v>
      </c>
      <c r="E7557" s="17"/>
      <c r="F7557" s="17" t="s">
        <v>17110</v>
      </c>
      <c r="G7557" s="17"/>
      <c r="H7557" s="17" t="s">
        <v>17111</v>
      </c>
      <c r="I7557" s="17"/>
      <c r="J7557" s="17" t="s">
        <v>17112</v>
      </c>
      <c r="K7557" s="17"/>
      <c r="L7557" s="17" t="s">
        <v>17113</v>
      </c>
      <c r="M7557" s="17"/>
      <c r="N7557" s="17" t="s">
        <v>17114</v>
      </c>
      <c r="O7557" s="17"/>
      <c r="P7557" s="17" t="s">
        <v>17131</v>
      </c>
      <c r="Q7557" s="17"/>
      <c r="R7557" s="25" t="str">
        <f>HYPERLINK("https://ictv.global/taxonomy/taxondetails?taxnode_id=202308639","Betapleolipovirus retbaense")</f>
        <v>Betapleolipovirus retbaense</v>
      </c>
      <c r="S7557" s="18" t="s">
        <v>30</v>
      </c>
      <c r="T7557" s="18" t="s">
        <v>17144</v>
      </c>
      <c r="U7557" s="18" t="s">
        <v>17145</v>
      </c>
      <c r="V7557" s="18"/>
      <c r="W7557" s="18" t="s">
        <v>17146</v>
      </c>
      <c r="X7557" s="18" t="s">
        <v>42</v>
      </c>
      <c r="Y7557" s="18" t="s">
        <v>36</v>
      </c>
      <c r="Z7557" s="18" t="s">
        <v>37</v>
      </c>
      <c r="AA7557" s="21" t="str">
        <f>HYPERLINK("https://www.ncbi.nlm.nih.gov/nuccore/MG550113","NCBI Nucleotide")</f>
        <v>NCBI Nucleotide</v>
      </c>
    </row>
    <row r="7558" spans="1:27" x14ac:dyDescent="0.35">
      <c r="A7558">
        <v>1008350</v>
      </c>
      <c r="B7558">
        <v>7029</v>
      </c>
      <c r="C7558">
        <v>1</v>
      </c>
      <c r="D7558" s="17" t="s">
        <v>10507</v>
      </c>
      <c r="E7558" s="17"/>
      <c r="F7558" s="17" t="s">
        <v>17110</v>
      </c>
      <c r="G7558" s="17"/>
      <c r="H7558" s="17" t="s">
        <v>17111</v>
      </c>
      <c r="I7558" s="17"/>
      <c r="J7558" s="17" t="s">
        <v>17112</v>
      </c>
      <c r="K7558" s="17"/>
      <c r="L7558" s="17" t="s">
        <v>17113</v>
      </c>
      <c r="M7558" s="17"/>
      <c r="N7558" s="17" t="s">
        <v>17114</v>
      </c>
      <c r="O7558" s="17"/>
      <c r="P7558" s="17" t="s">
        <v>17131</v>
      </c>
      <c r="Q7558" s="17"/>
      <c r="R7558" s="25" t="str">
        <f>HYPERLINK("https://ictv.global/taxonomy/taxondetails?taxnode_id=202308640","Betapleolipovirus rosense")</f>
        <v>Betapleolipovirus rosense</v>
      </c>
      <c r="S7558" s="18" t="s">
        <v>30</v>
      </c>
      <c r="T7558" s="18" t="s">
        <v>17147</v>
      </c>
      <c r="U7558" s="18" t="s">
        <v>17148</v>
      </c>
      <c r="V7558" s="18"/>
      <c r="W7558" s="18" t="s">
        <v>17149</v>
      </c>
      <c r="X7558" s="18" t="s">
        <v>42</v>
      </c>
      <c r="Y7558" s="18" t="s">
        <v>36</v>
      </c>
      <c r="Z7558" s="18" t="s">
        <v>37</v>
      </c>
      <c r="AA7558" s="21" t="str">
        <f>HYPERLINK("https://www.ncbi.nlm.nih.gov/nuccore/MG550110","NCBI Nucleotide")</f>
        <v>NCBI Nucleotide</v>
      </c>
    </row>
    <row r="7559" spans="1:27" x14ac:dyDescent="0.35">
      <c r="A7559">
        <v>1008348</v>
      </c>
      <c r="B7559">
        <v>7030</v>
      </c>
      <c r="C7559">
        <v>1</v>
      </c>
      <c r="D7559" s="17" t="s">
        <v>10507</v>
      </c>
      <c r="E7559" s="17"/>
      <c r="F7559" s="17" t="s">
        <v>17110</v>
      </c>
      <c r="G7559" s="17"/>
      <c r="H7559" s="17" t="s">
        <v>17111</v>
      </c>
      <c r="I7559" s="17"/>
      <c r="J7559" s="17" t="s">
        <v>17112</v>
      </c>
      <c r="K7559" s="17"/>
      <c r="L7559" s="17" t="s">
        <v>17113</v>
      </c>
      <c r="M7559" s="17"/>
      <c r="N7559" s="17" t="s">
        <v>17114</v>
      </c>
      <c r="O7559" s="17"/>
      <c r="P7559" s="17" t="s">
        <v>17131</v>
      </c>
      <c r="Q7559" s="17"/>
      <c r="R7559" s="25" t="str">
        <f>HYPERLINK("https://ictv.global/taxonomy/taxondetails?taxnode_id=202308638","Betapleolipovirus senegalense")</f>
        <v>Betapleolipovirus senegalense</v>
      </c>
      <c r="S7559" s="18" t="s">
        <v>30</v>
      </c>
      <c r="T7559" s="18" t="s">
        <v>17141</v>
      </c>
      <c r="U7559" s="18" t="s">
        <v>17142</v>
      </c>
      <c r="V7559" s="18"/>
      <c r="W7559" s="18" t="s">
        <v>17143</v>
      </c>
      <c r="X7559" s="18" t="s">
        <v>42</v>
      </c>
      <c r="Y7559" s="18" t="s">
        <v>36</v>
      </c>
      <c r="Z7559" s="18" t="s">
        <v>37</v>
      </c>
      <c r="AA7559" s="21" t="str">
        <f>HYPERLINK("https://www.ncbi.nlm.nih.gov/nuccore/MG550111","NCBI Nucleotide")</f>
        <v>NCBI Nucleotide</v>
      </c>
    </row>
    <row r="7560" spans="1:27" x14ac:dyDescent="0.35">
      <c r="A7560">
        <v>1008346</v>
      </c>
      <c r="B7560">
        <v>7031</v>
      </c>
      <c r="C7560">
        <v>1</v>
      </c>
      <c r="D7560" s="17" t="s">
        <v>10507</v>
      </c>
      <c r="E7560" s="17"/>
      <c r="F7560" s="17" t="s">
        <v>17110</v>
      </c>
      <c r="G7560" s="17"/>
      <c r="H7560" s="17" t="s">
        <v>17111</v>
      </c>
      <c r="I7560" s="17"/>
      <c r="J7560" s="17" t="s">
        <v>17112</v>
      </c>
      <c r="K7560" s="17"/>
      <c r="L7560" s="17" t="s">
        <v>17113</v>
      </c>
      <c r="M7560" s="17"/>
      <c r="N7560" s="17" t="s">
        <v>17114</v>
      </c>
      <c r="O7560" s="17"/>
      <c r="P7560" s="17" t="s">
        <v>17131</v>
      </c>
      <c r="Q7560" s="17"/>
      <c r="R7560" s="25" t="str">
        <f>HYPERLINK("https://ictv.global/taxonomy/taxondetails?taxnode_id=202308635","Betapleolipovirus thailandense")</f>
        <v>Betapleolipovirus thailandense</v>
      </c>
      <c r="S7560" s="18" t="s">
        <v>30</v>
      </c>
      <c r="T7560" s="18" t="s">
        <v>17135</v>
      </c>
      <c r="U7560" s="18" t="s">
        <v>17136</v>
      </c>
      <c r="V7560" s="18"/>
      <c r="W7560" s="18" t="s">
        <v>17137</v>
      </c>
      <c r="X7560" s="18" t="s">
        <v>42</v>
      </c>
      <c r="Y7560" s="18" t="s">
        <v>36</v>
      </c>
      <c r="Z7560" s="18" t="s">
        <v>37</v>
      </c>
      <c r="AA7560" s="21" t="str">
        <f>HYPERLINK("https://www.ncbi.nlm.nih.gov/nuccore/KX344510","NCBI Nucleotide")</f>
        <v>NCBI Nucleotide</v>
      </c>
    </row>
    <row r="7561" spans="1:27" x14ac:dyDescent="0.35">
      <c r="A7561">
        <v>1008355</v>
      </c>
      <c r="B7561">
        <v>7032</v>
      </c>
      <c r="C7561">
        <v>1</v>
      </c>
      <c r="D7561" s="17" t="s">
        <v>10507</v>
      </c>
      <c r="E7561" s="17"/>
      <c r="F7561" s="17" t="s">
        <v>17110</v>
      </c>
      <c r="G7561" s="17"/>
      <c r="H7561" s="17" t="s">
        <v>17111</v>
      </c>
      <c r="I7561" s="17"/>
      <c r="J7561" s="17" t="s">
        <v>17112</v>
      </c>
      <c r="K7561" s="17"/>
      <c r="L7561" s="17" t="s">
        <v>17113</v>
      </c>
      <c r="M7561" s="17"/>
      <c r="N7561" s="17" t="s">
        <v>17114</v>
      </c>
      <c r="O7561" s="17"/>
      <c r="P7561" s="17" t="s">
        <v>17159</v>
      </c>
      <c r="Q7561" s="17"/>
      <c r="R7561" s="25" t="str">
        <f>HYPERLINK("https://ictv.global/taxonomy/taxondetails?taxnode_id=202304351","Gammapleolipovirus australiense")</f>
        <v>Gammapleolipovirus australiense</v>
      </c>
      <c r="S7561" s="18" t="s">
        <v>30</v>
      </c>
      <c r="T7561" s="18" t="s">
        <v>17163</v>
      </c>
      <c r="U7561" s="18" t="s">
        <v>17164</v>
      </c>
      <c r="V7561" s="18"/>
      <c r="W7561" s="18" t="s">
        <v>17165</v>
      </c>
      <c r="X7561" s="18" t="s">
        <v>42</v>
      </c>
      <c r="Y7561" s="18" t="s">
        <v>36</v>
      </c>
      <c r="Z7561" s="18" t="s">
        <v>37</v>
      </c>
      <c r="AA7561" s="21" t="str">
        <f>HYPERLINK("https://www.ncbi.nlm.nih.gov/nuccore/AF191797","NCBI Nucleotide")</f>
        <v>NCBI Nucleotide</v>
      </c>
    </row>
    <row r="7562" spans="1:27" x14ac:dyDescent="0.35">
      <c r="A7562">
        <v>1008354</v>
      </c>
      <c r="B7562">
        <v>7033</v>
      </c>
      <c r="C7562">
        <v>1</v>
      </c>
      <c r="D7562" s="17" t="s">
        <v>10507</v>
      </c>
      <c r="E7562" s="17"/>
      <c r="F7562" s="17" t="s">
        <v>17110</v>
      </c>
      <c r="G7562" s="17"/>
      <c r="H7562" s="17" t="s">
        <v>17111</v>
      </c>
      <c r="I7562" s="17"/>
      <c r="J7562" s="17" t="s">
        <v>17112</v>
      </c>
      <c r="K7562" s="17"/>
      <c r="L7562" s="17" t="s">
        <v>17113</v>
      </c>
      <c r="M7562" s="17"/>
      <c r="N7562" s="17" t="s">
        <v>17114</v>
      </c>
      <c r="O7562" s="17"/>
      <c r="P7562" s="17" t="s">
        <v>17159</v>
      </c>
      <c r="Q7562" s="17"/>
      <c r="R7562" s="25" t="str">
        <f>HYPERLINK("https://ictv.global/taxonomy/taxondetails?taxnode_id=202312215","Gammapleolipovirus hardyense")</f>
        <v>Gammapleolipovirus hardyense</v>
      </c>
      <c r="S7562" s="18" t="s">
        <v>30</v>
      </c>
      <c r="T7562" s="18" t="s">
        <v>17160</v>
      </c>
      <c r="U7562" s="18" t="s">
        <v>17161</v>
      </c>
      <c r="V7562" s="18"/>
      <c r="W7562" s="18" t="s">
        <v>17162</v>
      </c>
      <c r="X7562" s="18" t="s">
        <v>42</v>
      </c>
      <c r="Y7562" s="18" t="s">
        <v>36</v>
      </c>
      <c r="Z7562" s="18" t="s">
        <v>37</v>
      </c>
      <c r="AA7562" s="21" t="str">
        <f>HYPERLINK("https://www.ncbi.nlm.nih.gov/nuccore/MW557853","NCBI Nucleotide")</f>
        <v>NCBI Nucleotide</v>
      </c>
    </row>
    <row r="7563" spans="1:27" x14ac:dyDescent="0.35">
      <c r="A7563">
        <v>1024459</v>
      </c>
      <c r="B7563">
        <v>7034</v>
      </c>
      <c r="C7563">
        <v>1</v>
      </c>
      <c r="D7563" s="17" t="s">
        <v>17166</v>
      </c>
      <c r="E7563" s="17"/>
      <c r="F7563" s="17" t="s">
        <v>17246</v>
      </c>
      <c r="G7563" s="17"/>
      <c r="H7563" s="17" t="s">
        <v>41721</v>
      </c>
      <c r="I7563" s="17"/>
      <c r="J7563" s="17" t="s">
        <v>41722</v>
      </c>
      <c r="K7563" s="17"/>
      <c r="L7563" s="17" t="s">
        <v>41723</v>
      </c>
      <c r="M7563" s="17"/>
      <c r="N7563" s="17" t="s">
        <v>41724</v>
      </c>
      <c r="O7563" s="17"/>
      <c r="P7563" s="17" t="s">
        <v>41725</v>
      </c>
      <c r="Q7563" s="17"/>
      <c r="R7563" s="25" t="str">
        <f>HYPERLINK("https://ictv.global/taxonomy/taxondetails?taxnode_id=202317860","Orthodumbivirus armillariae")</f>
        <v>Orthodumbivirus armillariae</v>
      </c>
      <c r="S7563" s="18" t="s">
        <v>30</v>
      </c>
      <c r="T7563" s="18" t="s">
        <v>41726</v>
      </c>
      <c r="U7563" s="18" t="s">
        <v>41727</v>
      </c>
      <c r="V7563" s="18"/>
      <c r="W7563" s="18" t="s">
        <v>48600</v>
      </c>
      <c r="X7563" s="18" t="s">
        <v>42</v>
      </c>
      <c r="Y7563" s="18" t="s">
        <v>23955</v>
      </c>
      <c r="Z7563" s="18" t="s">
        <v>16721</v>
      </c>
      <c r="AA7563" s="21" t="str">
        <f>HYPERLINK("https://www.ncbi.nlm.nih.gov/nuccore/BK014421","NCBI Nucleotide")</f>
        <v>NCBI Nucleotide</v>
      </c>
    </row>
    <row r="7564" spans="1:27" x14ac:dyDescent="0.35">
      <c r="A7564">
        <v>1024460</v>
      </c>
      <c r="B7564">
        <v>7035</v>
      </c>
      <c r="C7564">
        <v>1</v>
      </c>
      <c r="D7564" s="17" t="s">
        <v>17166</v>
      </c>
      <c r="E7564" s="17"/>
      <c r="F7564" s="17" t="s">
        <v>17246</v>
      </c>
      <c r="G7564" s="17"/>
      <c r="H7564" s="17" t="s">
        <v>41721</v>
      </c>
      <c r="I7564" s="17"/>
      <c r="J7564" s="17" t="s">
        <v>41722</v>
      </c>
      <c r="K7564" s="17"/>
      <c r="L7564" s="17" t="s">
        <v>41723</v>
      </c>
      <c r="M7564" s="17"/>
      <c r="N7564" s="17" t="s">
        <v>41724</v>
      </c>
      <c r="O7564" s="17"/>
      <c r="P7564" s="17" t="s">
        <v>41725</v>
      </c>
      <c r="Q7564" s="17"/>
      <c r="R7564" s="25" t="str">
        <f>HYPERLINK("https://ictv.global/taxonomy/taxondetails?taxnode_id=202317858","Orthodumbivirus duatulasnellae")</f>
        <v>Orthodumbivirus duatulasnellae</v>
      </c>
      <c r="S7564" s="18" t="s">
        <v>30</v>
      </c>
      <c r="T7564" s="18" t="s">
        <v>41728</v>
      </c>
      <c r="U7564" s="18" t="s">
        <v>41729</v>
      </c>
      <c r="V7564" s="18" t="s">
        <v>28824</v>
      </c>
      <c r="W7564" s="18" t="s">
        <v>48601</v>
      </c>
      <c r="X7564" s="18" t="s">
        <v>35</v>
      </c>
      <c r="Y7564" s="18" t="s">
        <v>23955</v>
      </c>
      <c r="Z7564" s="18" t="s">
        <v>16721</v>
      </c>
      <c r="AA7564" s="21" t="str">
        <f>HYPERLINK("https://www.ncbi.nlm.nih.gov/nuccore/MN793992","NCBI Nucleotide")</f>
        <v>NCBI Nucleotide</v>
      </c>
    </row>
    <row r="7565" spans="1:27" x14ac:dyDescent="0.35">
      <c r="A7565">
        <v>1024461</v>
      </c>
      <c r="B7565">
        <v>7036</v>
      </c>
      <c r="C7565">
        <v>1</v>
      </c>
      <c r="D7565" s="17" t="s">
        <v>17166</v>
      </c>
      <c r="E7565" s="17"/>
      <c r="F7565" s="17" t="s">
        <v>17246</v>
      </c>
      <c r="G7565" s="17"/>
      <c r="H7565" s="17" t="s">
        <v>41721</v>
      </c>
      <c r="I7565" s="17"/>
      <c r="J7565" s="17" t="s">
        <v>41722</v>
      </c>
      <c r="K7565" s="17"/>
      <c r="L7565" s="17" t="s">
        <v>41723</v>
      </c>
      <c r="M7565" s="17"/>
      <c r="N7565" s="17" t="s">
        <v>41724</v>
      </c>
      <c r="O7565" s="17"/>
      <c r="P7565" s="17" t="s">
        <v>41725</v>
      </c>
      <c r="Q7565" s="17"/>
      <c r="R7565" s="25" t="str">
        <f>HYPERLINK("https://ictv.global/taxonomy/taxondetails?taxnode_id=202317857","Orthodumbivirus duoheterobasidii")</f>
        <v>Orthodumbivirus duoheterobasidii</v>
      </c>
      <c r="S7565" s="18" t="s">
        <v>30</v>
      </c>
      <c r="T7565" s="18" t="s">
        <v>41730</v>
      </c>
      <c r="U7565" s="18" t="s">
        <v>41731</v>
      </c>
      <c r="V7565" s="18" t="s">
        <v>41732</v>
      </c>
      <c r="W7565" s="18" t="s">
        <v>48602</v>
      </c>
      <c r="X7565" s="18" t="s">
        <v>35</v>
      </c>
      <c r="Y7565" s="18" t="s">
        <v>23955</v>
      </c>
      <c r="Z7565" s="18" t="s">
        <v>16721</v>
      </c>
      <c r="AA7565" s="21" t="str">
        <f>HYPERLINK("https://www.ncbi.nlm.nih.gov/nuccore/MZ502385","NCBI Nucleotide")</f>
        <v>NCBI Nucleotide</v>
      </c>
    </row>
    <row r="7566" spans="1:27" x14ac:dyDescent="0.35">
      <c r="A7566">
        <v>1024462</v>
      </c>
      <c r="B7566">
        <v>7037</v>
      </c>
      <c r="C7566">
        <v>1</v>
      </c>
      <c r="D7566" s="17" t="s">
        <v>17166</v>
      </c>
      <c r="E7566" s="17"/>
      <c r="F7566" s="17" t="s">
        <v>17246</v>
      </c>
      <c r="G7566" s="17"/>
      <c r="H7566" s="17" t="s">
        <v>41721</v>
      </c>
      <c r="I7566" s="17"/>
      <c r="J7566" s="17" t="s">
        <v>41722</v>
      </c>
      <c r="K7566" s="17"/>
      <c r="L7566" s="17" t="s">
        <v>41723</v>
      </c>
      <c r="M7566" s="17"/>
      <c r="N7566" s="17" t="s">
        <v>41724</v>
      </c>
      <c r="O7566" s="17"/>
      <c r="P7566" s="17" t="s">
        <v>41725</v>
      </c>
      <c r="Q7566" s="17"/>
      <c r="R7566" s="25" t="str">
        <f>HYPERLINK("https://ictv.global/taxonomy/taxondetails?taxnode_id=202317859","Orthodumbivirus phlebiopsis")</f>
        <v>Orthodumbivirus phlebiopsis</v>
      </c>
      <c r="S7566" s="18" t="s">
        <v>30</v>
      </c>
      <c r="T7566" s="18" t="s">
        <v>41733</v>
      </c>
      <c r="U7566" s="18" t="s">
        <v>41734</v>
      </c>
      <c r="V7566" s="18" t="s">
        <v>41735</v>
      </c>
      <c r="W7566" s="18" t="s">
        <v>48603</v>
      </c>
      <c r="X7566" s="18" t="s">
        <v>35</v>
      </c>
      <c r="Y7566" s="18" t="s">
        <v>23955</v>
      </c>
      <c r="Z7566" s="18" t="s">
        <v>16721</v>
      </c>
      <c r="AA7566" s="21" t="str">
        <f>HYPERLINK("https://www.ncbi.nlm.nih.gov/nuccore/MZ448624","NCBI Nucleotide")</f>
        <v>NCBI Nucleotide</v>
      </c>
    </row>
    <row r="7567" spans="1:27" x14ac:dyDescent="0.35">
      <c r="A7567">
        <v>1024463</v>
      </c>
      <c r="B7567">
        <v>7038</v>
      </c>
      <c r="C7567">
        <v>1</v>
      </c>
      <c r="D7567" s="17" t="s">
        <v>17166</v>
      </c>
      <c r="E7567" s="17"/>
      <c r="F7567" s="17" t="s">
        <v>17246</v>
      </c>
      <c r="G7567" s="17"/>
      <c r="H7567" s="17" t="s">
        <v>41721</v>
      </c>
      <c r="I7567" s="17"/>
      <c r="J7567" s="17" t="s">
        <v>41722</v>
      </c>
      <c r="K7567" s="17"/>
      <c r="L7567" s="17" t="s">
        <v>41723</v>
      </c>
      <c r="M7567" s="17"/>
      <c r="N7567" s="17" t="s">
        <v>41724</v>
      </c>
      <c r="O7567" s="17"/>
      <c r="P7567" s="17" t="s">
        <v>41725</v>
      </c>
      <c r="Q7567" s="17"/>
      <c r="R7567" s="25" t="str">
        <f>HYPERLINK("https://ictv.global/taxonomy/taxondetails?taxnode_id=202317855","Orthodumbivirus rhizoctoniae")</f>
        <v>Orthodumbivirus rhizoctoniae</v>
      </c>
      <c r="S7567" s="18" t="s">
        <v>30</v>
      </c>
      <c r="T7567" s="18" t="s">
        <v>41736</v>
      </c>
      <c r="U7567" s="18" t="s">
        <v>41737</v>
      </c>
      <c r="V7567" s="18" t="s">
        <v>41738</v>
      </c>
      <c r="W7567" s="18" t="s">
        <v>48604</v>
      </c>
      <c r="X7567" s="18" t="s">
        <v>42</v>
      </c>
      <c r="Y7567" s="18" t="s">
        <v>23955</v>
      </c>
      <c r="Z7567" s="18" t="s">
        <v>16721</v>
      </c>
      <c r="AA7567" s="21" t="str">
        <f>HYPERLINK("https://www.ncbi.nlm.nih.gov/nuccore/MT354567","NCBI Nucleotide")</f>
        <v>NCBI Nucleotide</v>
      </c>
    </row>
    <row r="7568" spans="1:27" x14ac:dyDescent="0.35">
      <c r="A7568">
        <v>1024464</v>
      </c>
      <c r="B7568">
        <v>7039</v>
      </c>
      <c r="C7568">
        <v>1</v>
      </c>
      <c r="D7568" s="17" t="s">
        <v>17166</v>
      </c>
      <c r="E7568" s="17"/>
      <c r="F7568" s="17" t="s">
        <v>17246</v>
      </c>
      <c r="G7568" s="17"/>
      <c r="H7568" s="17" t="s">
        <v>41721</v>
      </c>
      <c r="I7568" s="17"/>
      <c r="J7568" s="17" t="s">
        <v>41722</v>
      </c>
      <c r="K7568" s="17"/>
      <c r="L7568" s="17" t="s">
        <v>41723</v>
      </c>
      <c r="M7568" s="17"/>
      <c r="N7568" s="17" t="s">
        <v>41724</v>
      </c>
      <c r="O7568" s="17"/>
      <c r="P7568" s="17" t="s">
        <v>41725</v>
      </c>
      <c r="Q7568" s="17"/>
      <c r="R7568" s="25" t="str">
        <f>HYPERLINK("https://ictv.global/taxonomy/taxondetails?taxnode_id=202317854","Orthodumbivirus unatulasnellae")</f>
        <v>Orthodumbivirus unatulasnellae</v>
      </c>
      <c r="S7568" s="18" t="s">
        <v>30</v>
      </c>
      <c r="T7568" s="18" t="s">
        <v>41739</v>
      </c>
      <c r="U7568" s="18" t="s">
        <v>41740</v>
      </c>
      <c r="V7568" s="18" t="s">
        <v>41741</v>
      </c>
      <c r="W7568" s="18" t="s">
        <v>48605</v>
      </c>
      <c r="X7568" s="18" t="s">
        <v>42</v>
      </c>
      <c r="Y7568" s="18" t="s">
        <v>23955</v>
      </c>
      <c r="Z7568" s="18" t="s">
        <v>16721</v>
      </c>
      <c r="AA7568" s="21" t="str">
        <f>HYPERLINK("https://www.ncbi.nlm.nih.gov/nuccore/MN793991","NCBI Nucleotide")</f>
        <v>NCBI Nucleotide</v>
      </c>
    </row>
    <row r="7569" spans="1:27" x14ac:dyDescent="0.35">
      <c r="A7569">
        <v>1024465</v>
      </c>
      <c r="B7569">
        <v>7040</v>
      </c>
      <c r="C7569">
        <v>1</v>
      </c>
      <c r="D7569" s="17" t="s">
        <v>17166</v>
      </c>
      <c r="E7569" s="17"/>
      <c r="F7569" s="17" t="s">
        <v>17246</v>
      </c>
      <c r="G7569" s="17"/>
      <c r="H7569" s="17" t="s">
        <v>41721</v>
      </c>
      <c r="I7569" s="17"/>
      <c r="J7569" s="17" t="s">
        <v>41722</v>
      </c>
      <c r="K7569" s="17"/>
      <c r="L7569" s="17" t="s">
        <v>41723</v>
      </c>
      <c r="M7569" s="17"/>
      <c r="N7569" s="17" t="s">
        <v>41724</v>
      </c>
      <c r="O7569" s="17"/>
      <c r="P7569" s="17" t="s">
        <v>41725</v>
      </c>
      <c r="Q7569" s="17"/>
      <c r="R7569" s="25" t="str">
        <f>HYPERLINK("https://ictv.global/taxonomy/taxondetails?taxnode_id=202317856","Orthodumbivirus unoheterobasidii")</f>
        <v>Orthodumbivirus unoheterobasidii</v>
      </c>
      <c r="S7569" s="18" t="s">
        <v>30</v>
      </c>
      <c r="T7569" s="18" t="s">
        <v>41742</v>
      </c>
      <c r="U7569" s="18" t="s">
        <v>41743</v>
      </c>
      <c r="V7569" s="18" t="s">
        <v>41744</v>
      </c>
      <c r="W7569" s="18" t="s">
        <v>48606</v>
      </c>
      <c r="X7569" s="18" t="s">
        <v>35</v>
      </c>
      <c r="Y7569" s="18" t="s">
        <v>23955</v>
      </c>
      <c r="Z7569" s="18" t="s">
        <v>16721</v>
      </c>
      <c r="AA7569" s="21" t="str">
        <f>HYPERLINK("https://www.ncbi.nlm.nih.gov/nuccore/MZ502384","NCBI Nucleotide")</f>
        <v>NCBI Nucleotide</v>
      </c>
    </row>
    <row r="7570" spans="1:27" x14ac:dyDescent="0.35">
      <c r="A7570">
        <v>1024475</v>
      </c>
      <c r="B7570">
        <v>7041</v>
      </c>
      <c r="C7570">
        <v>1</v>
      </c>
      <c r="D7570" s="17" t="s">
        <v>17166</v>
      </c>
      <c r="E7570" s="17"/>
      <c r="F7570" s="17" t="s">
        <v>17246</v>
      </c>
      <c r="G7570" s="17"/>
      <c r="H7570" s="17" t="s">
        <v>41721</v>
      </c>
      <c r="I7570" s="17"/>
      <c r="J7570" s="17" t="s">
        <v>41722</v>
      </c>
      <c r="K7570" s="17"/>
      <c r="L7570" s="17" t="s">
        <v>41723</v>
      </c>
      <c r="M7570" s="17"/>
      <c r="N7570" s="17" t="s">
        <v>41745</v>
      </c>
      <c r="O7570" s="17"/>
      <c r="P7570" s="17" t="s">
        <v>41746</v>
      </c>
      <c r="Q7570" s="17"/>
      <c r="R7570" s="25" t="str">
        <f>HYPERLINK("https://ictv.global/taxonomy/taxondetails?taxnode_id=202317869","Orthoquambivirus armillariae")</f>
        <v>Orthoquambivirus armillariae</v>
      </c>
      <c r="S7570" s="18" t="s">
        <v>30</v>
      </c>
      <c r="T7570" s="18" t="s">
        <v>41747</v>
      </c>
      <c r="U7570" s="18" t="s">
        <v>41748</v>
      </c>
      <c r="V7570" s="18" t="s">
        <v>41749</v>
      </c>
      <c r="W7570" s="18" t="s">
        <v>48607</v>
      </c>
      <c r="X7570" s="18" t="s">
        <v>35</v>
      </c>
      <c r="Y7570" s="18" t="s">
        <v>23955</v>
      </c>
      <c r="Z7570" s="18" t="s">
        <v>16721</v>
      </c>
      <c r="AA7570" s="21" t="str">
        <f>HYPERLINK("https://www.ncbi.nlm.nih.gov/nuccore/BK014422","NCBI Nucleotide")</f>
        <v>NCBI Nucleotide</v>
      </c>
    </row>
    <row r="7571" spans="1:27" x14ac:dyDescent="0.35">
      <c r="A7571">
        <v>1024476</v>
      </c>
      <c r="B7571">
        <v>7042</v>
      </c>
      <c r="C7571">
        <v>1</v>
      </c>
      <c r="D7571" s="17" t="s">
        <v>17166</v>
      </c>
      <c r="E7571" s="17"/>
      <c r="F7571" s="17" t="s">
        <v>17246</v>
      </c>
      <c r="G7571" s="17"/>
      <c r="H7571" s="17" t="s">
        <v>41721</v>
      </c>
      <c r="I7571" s="17"/>
      <c r="J7571" s="17" t="s">
        <v>41722</v>
      </c>
      <c r="K7571" s="17"/>
      <c r="L7571" s="17" t="s">
        <v>41723</v>
      </c>
      <c r="M7571" s="17"/>
      <c r="N7571" s="17" t="s">
        <v>41745</v>
      </c>
      <c r="O7571" s="17"/>
      <c r="P7571" s="17" t="s">
        <v>41746</v>
      </c>
      <c r="Q7571" s="17"/>
      <c r="R7571" s="25" t="str">
        <f>HYPERLINK("https://ictv.global/taxonomy/taxondetails?taxnode_id=202317867","Orthoquambivirus duatulasnellae")</f>
        <v>Orthoquambivirus duatulasnellae</v>
      </c>
      <c r="S7571" s="18" t="s">
        <v>30</v>
      </c>
      <c r="T7571" s="18" t="s">
        <v>41750</v>
      </c>
      <c r="U7571" s="18" t="s">
        <v>41751</v>
      </c>
      <c r="V7571" s="18" t="s">
        <v>41752</v>
      </c>
      <c r="W7571" s="18" t="s">
        <v>48608</v>
      </c>
      <c r="X7571" s="18" t="s">
        <v>42</v>
      </c>
      <c r="Y7571" s="18" t="s">
        <v>23955</v>
      </c>
      <c r="Z7571" s="18" t="s">
        <v>16721</v>
      </c>
      <c r="AA7571" s="21" t="str">
        <f>HYPERLINK("https://www.ncbi.nlm.nih.gov/nuccore/MN793994","NCBI Nucleotide")</f>
        <v>NCBI Nucleotide</v>
      </c>
    </row>
    <row r="7572" spans="1:27" x14ac:dyDescent="0.35">
      <c r="A7572">
        <v>1024477</v>
      </c>
      <c r="B7572">
        <v>7043</v>
      </c>
      <c r="C7572">
        <v>1</v>
      </c>
      <c r="D7572" s="17" t="s">
        <v>17166</v>
      </c>
      <c r="E7572" s="17"/>
      <c r="F7572" s="17" t="s">
        <v>17246</v>
      </c>
      <c r="G7572" s="17"/>
      <c r="H7572" s="17" t="s">
        <v>41721</v>
      </c>
      <c r="I7572" s="17"/>
      <c r="J7572" s="17" t="s">
        <v>41722</v>
      </c>
      <c r="K7572" s="17"/>
      <c r="L7572" s="17" t="s">
        <v>41723</v>
      </c>
      <c r="M7572" s="17"/>
      <c r="N7572" s="17" t="s">
        <v>41745</v>
      </c>
      <c r="O7572" s="17"/>
      <c r="P7572" s="17" t="s">
        <v>41746</v>
      </c>
      <c r="Q7572" s="17"/>
      <c r="R7572" s="25" t="str">
        <f>HYPERLINK("https://ictv.global/taxonomy/taxondetails?taxnode_id=202317868","Orthoquambivirus tritulasnellae")</f>
        <v>Orthoquambivirus tritulasnellae</v>
      </c>
      <c r="S7572" s="18" t="s">
        <v>30</v>
      </c>
      <c r="T7572" s="18" t="s">
        <v>41753</v>
      </c>
      <c r="U7572" s="18" t="s">
        <v>41754</v>
      </c>
      <c r="V7572" s="18" t="s">
        <v>41752</v>
      </c>
      <c r="W7572" s="18" t="s">
        <v>48609</v>
      </c>
      <c r="X7572" s="18" t="s">
        <v>35</v>
      </c>
      <c r="Y7572" s="18" t="s">
        <v>23955</v>
      </c>
      <c r="Z7572" s="18" t="s">
        <v>16721</v>
      </c>
      <c r="AA7572" s="21" t="str">
        <f>HYPERLINK("https://www.ncbi.nlm.nih.gov/nuccore/MN793996","NCBI Nucleotide")</f>
        <v>NCBI Nucleotide</v>
      </c>
    </row>
    <row r="7573" spans="1:27" x14ac:dyDescent="0.35">
      <c r="A7573">
        <v>1024478</v>
      </c>
      <c r="B7573">
        <v>7044</v>
      </c>
      <c r="C7573">
        <v>1</v>
      </c>
      <c r="D7573" s="17" t="s">
        <v>17166</v>
      </c>
      <c r="E7573" s="17"/>
      <c r="F7573" s="17" t="s">
        <v>17246</v>
      </c>
      <c r="G7573" s="17"/>
      <c r="H7573" s="17" t="s">
        <v>41721</v>
      </c>
      <c r="I7573" s="17"/>
      <c r="J7573" s="17" t="s">
        <v>41722</v>
      </c>
      <c r="K7573" s="17"/>
      <c r="L7573" s="17" t="s">
        <v>41723</v>
      </c>
      <c r="M7573" s="17"/>
      <c r="N7573" s="17" t="s">
        <v>41745</v>
      </c>
      <c r="O7573" s="17"/>
      <c r="P7573" s="17" t="s">
        <v>41746</v>
      </c>
      <c r="Q7573" s="17"/>
      <c r="R7573" s="25" t="str">
        <f>HYPERLINK("https://ictv.global/taxonomy/taxondetails?taxnode_id=202317866","Orthoquambivirus unatulasnellae")</f>
        <v>Orthoquambivirus unatulasnellae</v>
      </c>
      <c r="S7573" s="18" t="s">
        <v>30</v>
      </c>
      <c r="T7573" s="18" t="s">
        <v>41755</v>
      </c>
      <c r="U7573" s="18" t="s">
        <v>41756</v>
      </c>
      <c r="V7573" s="18" t="s">
        <v>41752</v>
      </c>
      <c r="W7573" s="18" t="s">
        <v>48610</v>
      </c>
      <c r="X7573" s="18" t="s">
        <v>42</v>
      </c>
      <c r="Y7573" s="18" t="s">
        <v>23955</v>
      </c>
      <c r="Z7573" s="18" t="s">
        <v>16721</v>
      </c>
      <c r="AA7573" s="21" t="str">
        <f>HYPERLINK("https://www.ncbi.nlm.nih.gov/nuccore/MN793995","NCBI Nucleotide")</f>
        <v>NCBI Nucleotide</v>
      </c>
    </row>
    <row r="7574" spans="1:27" x14ac:dyDescent="0.35">
      <c r="A7574">
        <v>1024466</v>
      </c>
      <c r="B7574">
        <v>7045</v>
      </c>
      <c r="C7574">
        <v>1</v>
      </c>
      <c r="D7574" s="17" t="s">
        <v>17166</v>
      </c>
      <c r="E7574" s="17"/>
      <c r="F7574" s="17" t="s">
        <v>17246</v>
      </c>
      <c r="G7574" s="17"/>
      <c r="H7574" s="17" t="s">
        <v>41721</v>
      </c>
      <c r="I7574" s="17"/>
      <c r="J7574" s="17" t="s">
        <v>41722</v>
      </c>
      <c r="K7574" s="17"/>
      <c r="L7574" s="17" t="s">
        <v>41723</v>
      </c>
      <c r="M7574" s="17"/>
      <c r="N7574" s="17" t="s">
        <v>41757</v>
      </c>
      <c r="O7574" s="17"/>
      <c r="P7574" s="17" t="s">
        <v>41758</v>
      </c>
      <c r="Q7574" s="17"/>
      <c r="R7574" s="25" t="str">
        <f>HYPERLINK("https://ictv.global/taxonomy/taxondetails?taxnode_id=202317864","Orthotrimbivirus duarmillariae")</f>
        <v>Orthotrimbivirus duarmillariae</v>
      </c>
      <c r="S7574" s="18" t="s">
        <v>30</v>
      </c>
      <c r="T7574" s="18" t="s">
        <v>41759</v>
      </c>
      <c r="U7574" s="18" t="s">
        <v>41760</v>
      </c>
      <c r="V7574" s="18" t="s">
        <v>41761</v>
      </c>
      <c r="W7574" s="18" t="s">
        <v>48611</v>
      </c>
      <c r="X7574" s="18" t="s">
        <v>35</v>
      </c>
      <c r="Y7574" s="18" t="s">
        <v>23955</v>
      </c>
      <c r="Z7574" s="18" t="s">
        <v>16721</v>
      </c>
      <c r="AA7574" s="21" t="str">
        <f>HYPERLINK("https://www.ncbi.nlm.nih.gov/nuccore/BK014418","NCBI Nucleotide")</f>
        <v>NCBI Nucleotide</v>
      </c>
    </row>
    <row r="7575" spans="1:27" x14ac:dyDescent="0.35">
      <c r="A7575">
        <v>1024467</v>
      </c>
      <c r="B7575">
        <v>7046</v>
      </c>
      <c r="C7575">
        <v>1</v>
      </c>
      <c r="D7575" s="17" t="s">
        <v>17166</v>
      </c>
      <c r="E7575" s="17"/>
      <c r="F7575" s="17" t="s">
        <v>17246</v>
      </c>
      <c r="G7575" s="17"/>
      <c r="H7575" s="17" t="s">
        <v>41721</v>
      </c>
      <c r="I7575" s="17"/>
      <c r="J7575" s="17" t="s">
        <v>41722</v>
      </c>
      <c r="K7575" s="17"/>
      <c r="L7575" s="17" t="s">
        <v>41723</v>
      </c>
      <c r="M7575" s="17"/>
      <c r="N7575" s="17" t="s">
        <v>41757</v>
      </c>
      <c r="O7575" s="17"/>
      <c r="P7575" s="17" t="s">
        <v>41758</v>
      </c>
      <c r="Q7575" s="17"/>
      <c r="R7575" s="25" t="str">
        <f>HYPERLINK("https://ictv.global/taxonomy/taxondetails?taxnode_id=202317863","Orthotrimbivirus duoheterobasidii")</f>
        <v>Orthotrimbivirus duoheterobasidii</v>
      </c>
      <c r="S7575" s="18" t="s">
        <v>30</v>
      </c>
      <c r="T7575" s="18" t="s">
        <v>41762</v>
      </c>
      <c r="U7575" s="18" t="s">
        <v>41763</v>
      </c>
      <c r="V7575" s="18" t="s">
        <v>41732</v>
      </c>
      <c r="W7575" s="18" t="s">
        <v>48612</v>
      </c>
      <c r="X7575" s="18" t="s">
        <v>35</v>
      </c>
      <c r="Y7575" s="18" t="s">
        <v>23955</v>
      </c>
      <c r="Z7575" s="18" t="s">
        <v>16721</v>
      </c>
      <c r="AA7575" s="21" t="str">
        <f>HYPERLINK("https://www.ncbi.nlm.nih.gov/nuccore/MZ502386","NCBI Nucleotide")</f>
        <v>NCBI Nucleotide</v>
      </c>
    </row>
    <row r="7576" spans="1:27" x14ac:dyDescent="0.35">
      <c r="A7576">
        <v>1024468</v>
      </c>
      <c r="B7576">
        <v>7047</v>
      </c>
      <c r="C7576">
        <v>1</v>
      </c>
      <c r="D7576" s="17" t="s">
        <v>17166</v>
      </c>
      <c r="E7576" s="17"/>
      <c r="F7576" s="17" t="s">
        <v>17246</v>
      </c>
      <c r="G7576" s="17"/>
      <c r="H7576" s="17" t="s">
        <v>41721</v>
      </c>
      <c r="I7576" s="17"/>
      <c r="J7576" s="17" t="s">
        <v>41722</v>
      </c>
      <c r="K7576" s="17"/>
      <c r="L7576" s="17" t="s">
        <v>41723</v>
      </c>
      <c r="M7576" s="17"/>
      <c r="N7576" s="17" t="s">
        <v>41757</v>
      </c>
      <c r="O7576" s="17"/>
      <c r="P7576" s="17" t="s">
        <v>41758</v>
      </c>
      <c r="Q7576" s="17"/>
      <c r="R7576" s="25" t="str">
        <f>HYPERLINK("https://ictv.global/taxonomy/taxondetails?taxnode_id=202317865","Orthotrimbivirus triarmillariae")</f>
        <v>Orthotrimbivirus triarmillariae</v>
      </c>
      <c r="S7576" s="18" t="s">
        <v>30</v>
      </c>
      <c r="T7576" s="18" t="s">
        <v>41764</v>
      </c>
      <c r="U7576" s="18" t="s">
        <v>41765</v>
      </c>
      <c r="V7576" s="18" t="s">
        <v>41766</v>
      </c>
      <c r="W7576" s="18" t="s">
        <v>48613</v>
      </c>
      <c r="X7576" s="18" t="s">
        <v>35</v>
      </c>
      <c r="Y7576" s="18" t="s">
        <v>23955</v>
      </c>
      <c r="Z7576" s="18" t="s">
        <v>16721</v>
      </c>
      <c r="AA7576" s="21" t="str">
        <f>HYPERLINK("https://www.ncbi.nlm.nih.gov/nuccore/MW423805","NCBI Nucleotide")</f>
        <v>NCBI Nucleotide</v>
      </c>
    </row>
    <row r="7577" spans="1:27" x14ac:dyDescent="0.35">
      <c r="A7577">
        <v>1024469</v>
      </c>
      <c r="B7577">
        <v>7048</v>
      </c>
      <c r="C7577">
        <v>1</v>
      </c>
      <c r="D7577" s="17" t="s">
        <v>17166</v>
      </c>
      <c r="E7577" s="17"/>
      <c r="F7577" s="17" t="s">
        <v>17246</v>
      </c>
      <c r="G7577" s="17"/>
      <c r="H7577" s="17" t="s">
        <v>41721</v>
      </c>
      <c r="I7577" s="17"/>
      <c r="J7577" s="17" t="s">
        <v>41722</v>
      </c>
      <c r="K7577" s="17"/>
      <c r="L7577" s="17" t="s">
        <v>41723</v>
      </c>
      <c r="M7577" s="17"/>
      <c r="N7577" s="17" t="s">
        <v>41757</v>
      </c>
      <c r="O7577" s="17"/>
      <c r="P7577" s="17" t="s">
        <v>41758</v>
      </c>
      <c r="Q7577" s="17"/>
      <c r="R7577" s="25" t="str">
        <f>HYPERLINK("https://ictv.global/taxonomy/taxondetails?taxnode_id=202317861","Orthotrimbivirus unarmillariae")</f>
        <v>Orthotrimbivirus unarmillariae</v>
      </c>
      <c r="S7577" s="18" t="s">
        <v>30</v>
      </c>
      <c r="T7577" s="18" t="s">
        <v>41767</v>
      </c>
      <c r="U7577" s="18" t="s">
        <v>41768</v>
      </c>
      <c r="V7577" s="18" t="s">
        <v>41769</v>
      </c>
      <c r="W7577" s="18" t="s">
        <v>48614</v>
      </c>
      <c r="X7577" s="18" t="s">
        <v>35</v>
      </c>
      <c r="Y7577" s="18" t="s">
        <v>23955</v>
      </c>
      <c r="Z7577" s="18" t="s">
        <v>16721</v>
      </c>
      <c r="AA7577" s="21" t="str">
        <f>HYPERLINK("https://www.ncbi.nlm.nih.gov/nuccore/BK014419","NCBI Nucleotide")</f>
        <v>NCBI Nucleotide</v>
      </c>
    </row>
    <row r="7578" spans="1:27" x14ac:dyDescent="0.35">
      <c r="A7578">
        <v>1024470</v>
      </c>
      <c r="B7578">
        <v>7049</v>
      </c>
      <c r="C7578">
        <v>1</v>
      </c>
      <c r="D7578" s="17" t="s">
        <v>17166</v>
      </c>
      <c r="E7578" s="17"/>
      <c r="F7578" s="17" t="s">
        <v>17246</v>
      </c>
      <c r="G7578" s="17"/>
      <c r="H7578" s="17" t="s">
        <v>41721</v>
      </c>
      <c r="I7578" s="17"/>
      <c r="J7578" s="17" t="s">
        <v>41722</v>
      </c>
      <c r="K7578" s="17"/>
      <c r="L7578" s="17" t="s">
        <v>41723</v>
      </c>
      <c r="M7578" s="17"/>
      <c r="N7578" s="17" t="s">
        <v>41757</v>
      </c>
      <c r="O7578" s="17"/>
      <c r="P7578" s="17" t="s">
        <v>41758</v>
      </c>
      <c r="Q7578" s="17"/>
      <c r="R7578" s="25" t="str">
        <f>HYPERLINK("https://ictv.global/taxonomy/taxondetails?taxnode_id=202317862","Orthotrimbivirus unheterobasidii")</f>
        <v>Orthotrimbivirus unheterobasidii</v>
      </c>
      <c r="S7578" s="18" t="s">
        <v>30</v>
      </c>
      <c r="T7578" s="18" t="s">
        <v>41770</v>
      </c>
      <c r="U7578" s="18" t="s">
        <v>41771</v>
      </c>
      <c r="V7578" s="18" t="s">
        <v>41732</v>
      </c>
      <c r="W7578" s="18" t="s">
        <v>48615</v>
      </c>
      <c r="X7578" s="18" t="s">
        <v>35</v>
      </c>
      <c r="Y7578" s="18" t="s">
        <v>23955</v>
      </c>
      <c r="Z7578" s="18" t="s">
        <v>16721</v>
      </c>
      <c r="AA7578" s="21" t="str">
        <f>HYPERLINK("https://www.ncbi.nlm.nih.gov/nuccore/MZ502387","NCBI Nucleotide")</f>
        <v>NCBI Nucleotide</v>
      </c>
    </row>
    <row r="7579" spans="1:27" x14ac:dyDescent="0.35">
      <c r="A7579">
        <v>1024471</v>
      </c>
      <c r="B7579">
        <v>7050</v>
      </c>
      <c r="C7579">
        <v>1</v>
      </c>
      <c r="D7579" s="17" t="s">
        <v>17166</v>
      </c>
      <c r="E7579" s="17"/>
      <c r="F7579" s="17" t="s">
        <v>17246</v>
      </c>
      <c r="G7579" s="17"/>
      <c r="H7579" s="17" t="s">
        <v>41721</v>
      </c>
      <c r="I7579" s="17"/>
      <c r="J7579" s="17" t="s">
        <v>41722</v>
      </c>
      <c r="K7579" s="17"/>
      <c r="L7579" s="17" t="s">
        <v>41723</v>
      </c>
      <c r="M7579" s="17"/>
      <c r="N7579" s="17" t="s">
        <v>41772</v>
      </c>
      <c r="O7579" s="17"/>
      <c r="P7579" s="17" t="s">
        <v>41773</v>
      </c>
      <c r="Q7579" s="17"/>
      <c r="R7579" s="25" t="str">
        <f>HYPERLINK("https://ictv.global/taxonomy/taxondetails?taxnode_id=202317850","Orthounambivirus cryphonectriae")</f>
        <v>Orthounambivirus cryphonectriae</v>
      </c>
      <c r="S7579" s="18" t="s">
        <v>30</v>
      </c>
      <c r="T7579" s="18" t="s">
        <v>41774</v>
      </c>
      <c r="U7579" s="18" t="s">
        <v>41775</v>
      </c>
      <c r="V7579" s="18" t="s">
        <v>41776</v>
      </c>
      <c r="W7579" s="18" t="s">
        <v>48616</v>
      </c>
      <c r="X7579" s="18" t="s">
        <v>42</v>
      </c>
      <c r="Y7579" s="18" t="s">
        <v>23955</v>
      </c>
      <c r="Z7579" s="18" t="s">
        <v>16721</v>
      </c>
      <c r="AA7579" s="21" t="str">
        <f>HYPERLINK("https://www.ncbi.nlm.nih.gov/nuccore/MT354566","NCBI Nucleotide")</f>
        <v>NCBI Nucleotide</v>
      </c>
    </row>
    <row r="7580" spans="1:27" x14ac:dyDescent="0.35">
      <c r="A7580">
        <v>1024472</v>
      </c>
      <c r="B7580">
        <v>7051</v>
      </c>
      <c r="C7580">
        <v>1</v>
      </c>
      <c r="D7580" s="17" t="s">
        <v>17166</v>
      </c>
      <c r="E7580" s="17"/>
      <c r="F7580" s="17" t="s">
        <v>17246</v>
      </c>
      <c r="G7580" s="17"/>
      <c r="H7580" s="17" t="s">
        <v>41721</v>
      </c>
      <c r="I7580" s="17"/>
      <c r="J7580" s="17" t="s">
        <v>41722</v>
      </c>
      <c r="K7580" s="17"/>
      <c r="L7580" s="17" t="s">
        <v>41723</v>
      </c>
      <c r="M7580" s="17"/>
      <c r="N7580" s="17" t="s">
        <v>41772</v>
      </c>
      <c r="O7580" s="17"/>
      <c r="P7580" s="17" t="s">
        <v>41773</v>
      </c>
      <c r="Q7580" s="17"/>
      <c r="R7580" s="25" t="str">
        <f>HYPERLINK("https://ictv.global/taxonomy/taxondetails?taxnode_id=202317851","Orthounambivirus duarmillariae")</f>
        <v>Orthounambivirus duarmillariae</v>
      </c>
      <c r="S7580" s="18" t="s">
        <v>30</v>
      </c>
      <c r="T7580" s="18" t="s">
        <v>41777</v>
      </c>
      <c r="U7580" s="18" t="s">
        <v>41778</v>
      </c>
      <c r="V7580" s="18" t="s">
        <v>41779</v>
      </c>
      <c r="W7580" s="18" t="s">
        <v>48617</v>
      </c>
      <c r="X7580" s="18" t="s">
        <v>35</v>
      </c>
      <c r="Y7580" s="18" t="s">
        <v>23955</v>
      </c>
      <c r="Z7580" s="18" t="s">
        <v>16721</v>
      </c>
      <c r="AA7580" s="21" t="str">
        <f>HYPERLINK("https://www.ncbi.nlm.nih.gov/nuccore/ON380551","NCBI Nucleotide")</f>
        <v>NCBI Nucleotide</v>
      </c>
    </row>
    <row r="7581" spans="1:27" x14ac:dyDescent="0.35">
      <c r="A7581">
        <v>1024473</v>
      </c>
      <c r="B7581">
        <v>7052</v>
      </c>
      <c r="C7581">
        <v>1</v>
      </c>
      <c r="D7581" s="17" t="s">
        <v>17166</v>
      </c>
      <c r="E7581" s="17"/>
      <c r="F7581" s="17" t="s">
        <v>17246</v>
      </c>
      <c r="G7581" s="17"/>
      <c r="H7581" s="17" t="s">
        <v>41721</v>
      </c>
      <c r="I7581" s="17"/>
      <c r="J7581" s="17" t="s">
        <v>41722</v>
      </c>
      <c r="K7581" s="17"/>
      <c r="L7581" s="17" t="s">
        <v>41723</v>
      </c>
      <c r="M7581" s="17"/>
      <c r="N7581" s="17" t="s">
        <v>41772</v>
      </c>
      <c r="O7581" s="17"/>
      <c r="P7581" s="17" t="s">
        <v>41773</v>
      </c>
      <c r="Q7581" s="17"/>
      <c r="R7581" s="25" t="str">
        <f>HYPERLINK("https://ictv.global/taxonomy/taxondetails?taxnode_id=202317852","Orthounambivirus phlebiopsis")</f>
        <v>Orthounambivirus phlebiopsis</v>
      </c>
      <c r="S7581" s="18" t="s">
        <v>30</v>
      </c>
      <c r="T7581" s="18" t="s">
        <v>41780</v>
      </c>
      <c r="U7581" s="18" t="s">
        <v>41781</v>
      </c>
      <c r="V7581" s="18" t="s">
        <v>41782</v>
      </c>
      <c r="W7581" s="18" t="s">
        <v>48618</v>
      </c>
      <c r="X7581" s="18" t="s">
        <v>35</v>
      </c>
      <c r="Y7581" s="18" t="s">
        <v>23955</v>
      </c>
      <c r="Z7581" s="18" t="s">
        <v>16721</v>
      </c>
      <c r="AA7581" s="21" t="str">
        <f>HYPERLINK("https://www.ncbi.nlm.nih.gov/nuccore/MZ448625","NCBI Nucleotide")</f>
        <v>NCBI Nucleotide</v>
      </c>
    </row>
    <row r="7582" spans="1:27" x14ac:dyDescent="0.35">
      <c r="A7582">
        <v>1024474</v>
      </c>
      <c r="B7582">
        <v>7053</v>
      </c>
      <c r="C7582">
        <v>1</v>
      </c>
      <c r="D7582" s="17" t="s">
        <v>17166</v>
      </c>
      <c r="E7582" s="17"/>
      <c r="F7582" s="17" t="s">
        <v>17246</v>
      </c>
      <c r="G7582" s="17"/>
      <c r="H7582" s="17" t="s">
        <v>41721</v>
      </c>
      <c r="I7582" s="17"/>
      <c r="J7582" s="17" t="s">
        <v>41722</v>
      </c>
      <c r="K7582" s="17"/>
      <c r="L7582" s="17" t="s">
        <v>41723</v>
      </c>
      <c r="M7582" s="17"/>
      <c r="N7582" s="17" t="s">
        <v>41772</v>
      </c>
      <c r="O7582" s="17"/>
      <c r="P7582" s="17" t="s">
        <v>41773</v>
      </c>
      <c r="Q7582" s="17"/>
      <c r="R7582" s="25" t="str">
        <f>HYPERLINK("https://ictv.global/taxonomy/taxondetails?taxnode_id=202317853","Orthounambivirus unarmillariae")</f>
        <v>Orthounambivirus unarmillariae</v>
      </c>
      <c r="S7582" s="18" t="s">
        <v>30</v>
      </c>
      <c r="T7582" s="18" t="s">
        <v>41783</v>
      </c>
      <c r="U7582" s="18" t="s">
        <v>41784</v>
      </c>
      <c r="V7582" s="18" t="s">
        <v>24581</v>
      </c>
      <c r="W7582" s="18" t="s">
        <v>48619</v>
      </c>
      <c r="X7582" s="18" t="s">
        <v>35</v>
      </c>
      <c r="Y7582" s="18" t="s">
        <v>23955</v>
      </c>
      <c r="Z7582" s="18" t="s">
        <v>16721</v>
      </c>
      <c r="AA7582" s="21" t="str">
        <f>HYPERLINK("https://www.ncbi.nlm.nih.gov/nuccore/BK014420","NCBI Nucleotide")</f>
        <v>NCBI Nucleotide</v>
      </c>
    </row>
    <row r="7583" spans="1:27" x14ac:dyDescent="0.35">
      <c r="A7583">
        <v>1025631</v>
      </c>
      <c r="B7583">
        <v>7054</v>
      </c>
      <c r="C7583">
        <v>1</v>
      </c>
      <c r="D7583" s="17" t="s">
        <v>17166</v>
      </c>
      <c r="E7583" s="17"/>
      <c r="F7583" s="17" t="s">
        <v>17246</v>
      </c>
      <c r="G7583" s="17"/>
      <c r="H7583" s="17" t="s">
        <v>17310</v>
      </c>
      <c r="I7583" s="17"/>
      <c r="J7583" s="17" t="s">
        <v>17311</v>
      </c>
      <c r="K7583" s="17"/>
      <c r="L7583" s="17" t="s">
        <v>17312</v>
      </c>
      <c r="M7583" s="17" t="s">
        <v>41785</v>
      </c>
      <c r="N7583" s="17" t="s">
        <v>41786</v>
      </c>
      <c r="O7583" s="17"/>
      <c r="P7583" s="17" t="s">
        <v>17247</v>
      </c>
      <c r="Q7583" s="17"/>
      <c r="R7583" s="25" t="str">
        <f>HYPERLINK("https://ictv.global/taxonomy/taxondetails?taxnode_id=202318098","Botybirnavirus go")</f>
        <v>Botybirnavirus go</v>
      </c>
      <c r="S7583" s="18" t="s">
        <v>30</v>
      </c>
      <c r="T7583" s="18" t="s">
        <v>41787</v>
      </c>
      <c r="U7583" s="18" t="s">
        <v>41788</v>
      </c>
      <c r="V7583" s="18" t="s">
        <v>41789</v>
      </c>
      <c r="W7583" s="18" t="s">
        <v>50883</v>
      </c>
      <c r="X7583" s="18" t="s">
        <v>42</v>
      </c>
      <c r="Y7583" s="18" t="s">
        <v>17196</v>
      </c>
      <c r="Z7583" s="18" t="s">
        <v>16721</v>
      </c>
      <c r="AA7583" s="21" t="str">
        <f>HYPERLINK("https://www.ncbi.nlm.nih.gov/nuccore/LC437024,LC437025","NCBI Nucleotide")</f>
        <v>NCBI Nucleotide</v>
      </c>
    </row>
    <row r="7584" spans="1:27" x14ac:dyDescent="0.35">
      <c r="A7584">
        <v>1025632</v>
      </c>
      <c r="B7584">
        <v>7055</v>
      </c>
      <c r="C7584">
        <v>1</v>
      </c>
      <c r="D7584" s="17" t="s">
        <v>17166</v>
      </c>
      <c r="E7584" s="17"/>
      <c r="F7584" s="17" t="s">
        <v>17246</v>
      </c>
      <c r="G7584" s="17"/>
      <c r="H7584" s="17" t="s">
        <v>17310</v>
      </c>
      <c r="I7584" s="17"/>
      <c r="J7584" s="17" t="s">
        <v>17311</v>
      </c>
      <c r="K7584" s="17"/>
      <c r="L7584" s="17" t="s">
        <v>17312</v>
      </c>
      <c r="M7584" s="17" t="s">
        <v>41785</v>
      </c>
      <c r="N7584" s="17" t="s">
        <v>41786</v>
      </c>
      <c r="O7584" s="17"/>
      <c r="P7584" s="17" t="s">
        <v>17247</v>
      </c>
      <c r="Q7584" s="17"/>
      <c r="R7584" s="25" t="str">
        <f>HYPERLINK("https://ictv.global/taxonomy/taxondetails?taxnode_id=202318099","Botybirnavirus hachi")</f>
        <v>Botybirnavirus hachi</v>
      </c>
      <c r="S7584" s="18" t="s">
        <v>30</v>
      </c>
      <c r="T7584" s="18" t="s">
        <v>41790</v>
      </c>
      <c r="U7584" s="18" t="s">
        <v>41791</v>
      </c>
      <c r="V7584" s="18" t="s">
        <v>41792</v>
      </c>
      <c r="W7584" s="18" t="s">
        <v>50884</v>
      </c>
      <c r="X7584" s="18" t="s">
        <v>154</v>
      </c>
      <c r="Y7584" s="18" t="s">
        <v>17196</v>
      </c>
      <c r="Z7584" s="18" t="s">
        <v>13567</v>
      </c>
      <c r="AA7584" s="21" t="str">
        <f>HYPERLINK("https://www.ncbi.nlm.nih.gov/nuccore/MN552388,MN552389","NCBI Nucleotide")</f>
        <v>NCBI Nucleotide</v>
      </c>
    </row>
    <row r="7585" spans="1:27" x14ac:dyDescent="0.35">
      <c r="A7585">
        <v>1003503</v>
      </c>
      <c r="B7585">
        <v>7056</v>
      </c>
      <c r="C7585">
        <v>1</v>
      </c>
      <c r="D7585" s="17" t="s">
        <v>17166</v>
      </c>
      <c r="E7585" s="17"/>
      <c r="F7585" s="17" t="s">
        <v>17246</v>
      </c>
      <c r="G7585" s="17"/>
      <c r="H7585" s="17" t="s">
        <v>17310</v>
      </c>
      <c r="I7585" s="17"/>
      <c r="J7585" s="17" t="s">
        <v>17311</v>
      </c>
      <c r="K7585" s="17"/>
      <c r="L7585" s="17" t="s">
        <v>17312</v>
      </c>
      <c r="M7585" s="17" t="s">
        <v>41785</v>
      </c>
      <c r="N7585" s="17" t="s">
        <v>41786</v>
      </c>
      <c r="O7585" s="17"/>
      <c r="P7585" s="17" t="s">
        <v>17247</v>
      </c>
      <c r="Q7585" s="17"/>
      <c r="R7585" s="25" t="str">
        <f>HYPERLINK("https://ictv.global/taxonomy/taxondetails?taxnode_id=202305343","Botybirnavirus ichi")</f>
        <v>Botybirnavirus ichi</v>
      </c>
      <c r="S7585" s="18" t="s">
        <v>30</v>
      </c>
      <c r="T7585" s="18" t="s">
        <v>17248</v>
      </c>
      <c r="U7585" s="18" t="s">
        <v>17249</v>
      </c>
      <c r="V7585" s="18" t="s">
        <v>17250</v>
      </c>
      <c r="W7585" s="18" t="s">
        <v>17251</v>
      </c>
      <c r="X7585" s="18" t="s">
        <v>42</v>
      </c>
      <c r="Y7585" s="18" t="s">
        <v>17196</v>
      </c>
      <c r="Z7585" s="18" t="s">
        <v>16721</v>
      </c>
      <c r="AA7585" s="21" t="str">
        <f>HYPERLINK("https://www.ncbi.nlm.nih.gov/nuccore/JF716350,JF716351","NCBI Nucleotide")</f>
        <v>NCBI Nucleotide</v>
      </c>
    </row>
    <row r="7586" spans="1:27" x14ac:dyDescent="0.35">
      <c r="A7586">
        <v>1025633</v>
      </c>
      <c r="B7586">
        <v>7057</v>
      </c>
      <c r="C7586">
        <v>1</v>
      </c>
      <c r="D7586" s="17" t="s">
        <v>17166</v>
      </c>
      <c r="E7586" s="17"/>
      <c r="F7586" s="17" t="s">
        <v>17246</v>
      </c>
      <c r="G7586" s="17"/>
      <c r="H7586" s="17" t="s">
        <v>17310</v>
      </c>
      <c r="I7586" s="17"/>
      <c r="J7586" s="17" t="s">
        <v>17311</v>
      </c>
      <c r="K7586" s="17"/>
      <c r="L7586" s="17" t="s">
        <v>17312</v>
      </c>
      <c r="M7586" s="17" t="s">
        <v>41785</v>
      </c>
      <c r="N7586" s="17" t="s">
        <v>41786</v>
      </c>
      <c r="O7586" s="17"/>
      <c r="P7586" s="17" t="s">
        <v>17247</v>
      </c>
      <c r="Q7586" s="17"/>
      <c r="R7586" s="25" t="str">
        <f>HYPERLINK("https://ictv.global/taxonomy/taxondetails?taxnode_id=202318100","Botybirnavirus kyu")</f>
        <v>Botybirnavirus kyu</v>
      </c>
      <c r="S7586" s="18" t="s">
        <v>30</v>
      </c>
      <c r="T7586" s="18" t="s">
        <v>41793</v>
      </c>
      <c r="U7586" s="18" t="s">
        <v>41794</v>
      </c>
      <c r="V7586" s="18" t="s">
        <v>41795</v>
      </c>
      <c r="W7586" s="18" t="s">
        <v>50885</v>
      </c>
      <c r="X7586" s="18" t="s">
        <v>35</v>
      </c>
      <c r="Y7586" s="18" t="s">
        <v>17196</v>
      </c>
      <c r="Z7586" s="18" t="s">
        <v>16721</v>
      </c>
      <c r="AA7586" s="21" t="str">
        <f>HYPERLINK("https://www.ncbi.nlm.nih.gov/nuccore/MN627274,MN627275","NCBI Nucleotide")</f>
        <v>NCBI Nucleotide</v>
      </c>
    </row>
    <row r="7587" spans="1:27" x14ac:dyDescent="0.35">
      <c r="A7587">
        <v>1025634</v>
      </c>
      <c r="B7587">
        <v>7058</v>
      </c>
      <c r="C7587">
        <v>1</v>
      </c>
      <c r="D7587" s="17" t="s">
        <v>17166</v>
      </c>
      <c r="E7587" s="17"/>
      <c r="F7587" s="17" t="s">
        <v>17246</v>
      </c>
      <c r="G7587" s="17"/>
      <c r="H7587" s="17" t="s">
        <v>17310</v>
      </c>
      <c r="I7587" s="17"/>
      <c r="J7587" s="17" t="s">
        <v>17311</v>
      </c>
      <c r="K7587" s="17"/>
      <c r="L7587" s="17" t="s">
        <v>17312</v>
      </c>
      <c r="M7587" s="17" t="s">
        <v>41785</v>
      </c>
      <c r="N7587" s="17" t="s">
        <v>41786</v>
      </c>
      <c r="O7587" s="17"/>
      <c r="P7587" s="17" t="s">
        <v>17247</v>
      </c>
      <c r="Q7587" s="17"/>
      <c r="R7587" s="25" t="str">
        <f>HYPERLINK("https://ictv.global/taxonomy/taxondetails?taxnode_id=202318101","Botybirnavirus ni")</f>
        <v>Botybirnavirus ni</v>
      </c>
      <c r="S7587" s="18" t="s">
        <v>30</v>
      </c>
      <c r="T7587" s="18" t="s">
        <v>41796</v>
      </c>
      <c r="U7587" s="18" t="s">
        <v>41797</v>
      </c>
      <c r="V7587" s="18" t="s">
        <v>41798</v>
      </c>
      <c r="W7587" s="18" t="s">
        <v>41799</v>
      </c>
      <c r="X7587" s="18" t="s">
        <v>42</v>
      </c>
      <c r="Y7587" s="18" t="s">
        <v>17196</v>
      </c>
      <c r="Z7587" s="18" t="s">
        <v>16721</v>
      </c>
      <c r="AA7587" s="21" t="str">
        <f>HYPERLINK("https://www.ncbi.nlm.nih.gov/nuccore/KP774592,KP774593","NCBI Nucleotide")</f>
        <v>NCBI Nucleotide</v>
      </c>
    </row>
    <row r="7588" spans="1:27" x14ac:dyDescent="0.35">
      <c r="A7588">
        <v>1025635</v>
      </c>
      <c r="B7588">
        <v>7059</v>
      </c>
      <c r="C7588">
        <v>1</v>
      </c>
      <c r="D7588" s="17" t="s">
        <v>17166</v>
      </c>
      <c r="E7588" s="17"/>
      <c r="F7588" s="17" t="s">
        <v>17246</v>
      </c>
      <c r="G7588" s="17"/>
      <c r="H7588" s="17" t="s">
        <v>17310</v>
      </c>
      <c r="I7588" s="17"/>
      <c r="J7588" s="17" t="s">
        <v>17311</v>
      </c>
      <c r="K7588" s="17"/>
      <c r="L7588" s="17" t="s">
        <v>17312</v>
      </c>
      <c r="M7588" s="17" t="s">
        <v>41785</v>
      </c>
      <c r="N7588" s="17" t="s">
        <v>41786</v>
      </c>
      <c r="O7588" s="17"/>
      <c r="P7588" s="17" t="s">
        <v>17247</v>
      </c>
      <c r="Q7588" s="17"/>
      <c r="R7588" s="25" t="str">
        <f>HYPERLINK("https://ictv.global/taxonomy/taxondetails?taxnode_id=202318102","Botybirnavirus roku")</f>
        <v>Botybirnavirus roku</v>
      </c>
      <c r="S7588" s="18" t="s">
        <v>30</v>
      </c>
      <c r="T7588" s="18" t="s">
        <v>41800</v>
      </c>
      <c r="U7588" s="18" t="s">
        <v>41801</v>
      </c>
      <c r="V7588" s="18" t="s">
        <v>41802</v>
      </c>
      <c r="W7588" s="18" t="s">
        <v>50886</v>
      </c>
      <c r="X7588" s="18" t="s">
        <v>42</v>
      </c>
      <c r="Y7588" s="18" t="s">
        <v>17196</v>
      </c>
      <c r="Z7588" s="18" t="s">
        <v>16721</v>
      </c>
      <c r="AA7588" s="21" t="str">
        <f>HYPERLINK("https://www.ncbi.nlm.nih.gov/nuccore/MH321499,MH321500","NCBI Nucleotide")</f>
        <v>NCBI Nucleotide</v>
      </c>
    </row>
    <row r="7589" spans="1:27" x14ac:dyDescent="0.35">
      <c r="A7589">
        <v>1025636</v>
      </c>
      <c r="B7589">
        <v>7060</v>
      </c>
      <c r="C7589">
        <v>1</v>
      </c>
      <c r="D7589" s="17" t="s">
        <v>17166</v>
      </c>
      <c r="E7589" s="17"/>
      <c r="F7589" s="17" t="s">
        <v>17246</v>
      </c>
      <c r="G7589" s="17"/>
      <c r="H7589" s="17" t="s">
        <v>17310</v>
      </c>
      <c r="I7589" s="17"/>
      <c r="J7589" s="17" t="s">
        <v>17311</v>
      </c>
      <c r="K7589" s="17"/>
      <c r="L7589" s="17" t="s">
        <v>17312</v>
      </c>
      <c r="M7589" s="17" t="s">
        <v>41785</v>
      </c>
      <c r="N7589" s="17" t="s">
        <v>41786</v>
      </c>
      <c r="O7589" s="17"/>
      <c r="P7589" s="17" t="s">
        <v>17247</v>
      </c>
      <c r="Q7589" s="17"/>
      <c r="R7589" s="25" t="str">
        <f>HYPERLINK("https://ictv.global/taxonomy/taxondetails?taxnode_id=202318103","Botybirnavirus sani")</f>
        <v>Botybirnavirus sani</v>
      </c>
      <c r="S7589" s="18" t="s">
        <v>30</v>
      </c>
      <c r="T7589" s="18" t="s">
        <v>41803</v>
      </c>
      <c r="U7589" s="18" t="s">
        <v>41804</v>
      </c>
      <c r="V7589" s="18" t="s">
        <v>41805</v>
      </c>
      <c r="W7589" s="18" t="s">
        <v>50887</v>
      </c>
      <c r="X7589" s="18" t="s">
        <v>42</v>
      </c>
      <c r="Y7589" s="18" t="s">
        <v>17196</v>
      </c>
      <c r="Z7589" s="18" t="s">
        <v>16721</v>
      </c>
      <c r="AA7589" s="21" t="str">
        <f>HYPERLINK("https://www.ncbi.nlm.nih.gov/nuccore/KT962972,KT962973","NCBI Nucleotide")</f>
        <v>NCBI Nucleotide</v>
      </c>
    </row>
    <row r="7590" spans="1:27" x14ac:dyDescent="0.35">
      <c r="A7590">
        <v>1025637</v>
      </c>
      <c r="B7590">
        <v>7061</v>
      </c>
      <c r="C7590">
        <v>1</v>
      </c>
      <c r="D7590" s="17" t="s">
        <v>17166</v>
      </c>
      <c r="E7590" s="17"/>
      <c r="F7590" s="17" t="s">
        <v>17246</v>
      </c>
      <c r="G7590" s="17"/>
      <c r="H7590" s="17" t="s">
        <v>17310</v>
      </c>
      <c r="I7590" s="17"/>
      <c r="J7590" s="17" t="s">
        <v>17311</v>
      </c>
      <c r="K7590" s="17"/>
      <c r="L7590" s="17" t="s">
        <v>17312</v>
      </c>
      <c r="M7590" s="17" t="s">
        <v>41785</v>
      </c>
      <c r="N7590" s="17" t="s">
        <v>41786</v>
      </c>
      <c r="O7590" s="17"/>
      <c r="P7590" s="17" t="s">
        <v>17247</v>
      </c>
      <c r="Q7590" s="17"/>
      <c r="R7590" s="25" t="str">
        <f>HYPERLINK("https://ictv.global/taxonomy/taxondetails?taxnode_id=202318104","Botybirnavirus shi")</f>
        <v>Botybirnavirus shi</v>
      </c>
      <c r="S7590" s="18" t="s">
        <v>30</v>
      </c>
      <c r="T7590" s="18" t="s">
        <v>41806</v>
      </c>
      <c r="U7590" s="18" t="s">
        <v>41807</v>
      </c>
      <c r="V7590" s="18" t="s">
        <v>41808</v>
      </c>
      <c r="W7590" s="18" t="s">
        <v>50888</v>
      </c>
      <c r="X7590" s="18" t="s">
        <v>42</v>
      </c>
      <c r="Y7590" s="18" t="s">
        <v>17196</v>
      </c>
      <c r="Z7590" s="18" t="s">
        <v>16721</v>
      </c>
      <c r="AA7590" s="21" t="str">
        <f>HYPERLINK("https://www.ncbi.nlm.nih.gov/nuccore/KX784490,KX784491","NCBI Nucleotide")</f>
        <v>NCBI Nucleotide</v>
      </c>
    </row>
    <row r="7591" spans="1:27" x14ac:dyDescent="0.35">
      <c r="A7591">
        <v>1025638</v>
      </c>
      <c r="B7591">
        <v>7062</v>
      </c>
      <c r="C7591">
        <v>1</v>
      </c>
      <c r="D7591" s="17" t="s">
        <v>17166</v>
      </c>
      <c r="E7591" s="17"/>
      <c r="F7591" s="17" t="s">
        <v>17246</v>
      </c>
      <c r="G7591" s="17"/>
      <c r="H7591" s="17" t="s">
        <v>17310</v>
      </c>
      <c r="I7591" s="17"/>
      <c r="J7591" s="17" t="s">
        <v>17311</v>
      </c>
      <c r="K7591" s="17"/>
      <c r="L7591" s="17" t="s">
        <v>17312</v>
      </c>
      <c r="M7591" s="17" t="s">
        <v>41785</v>
      </c>
      <c r="N7591" s="17" t="s">
        <v>41786</v>
      </c>
      <c r="O7591" s="17"/>
      <c r="P7591" s="17" t="s">
        <v>17247</v>
      </c>
      <c r="Q7591" s="17"/>
      <c r="R7591" s="25" t="str">
        <f>HYPERLINK("https://ictv.global/taxonomy/taxondetails?taxnode_id=202318105","Botybirnavirus shichi")</f>
        <v>Botybirnavirus shichi</v>
      </c>
      <c r="S7591" s="18" t="s">
        <v>30</v>
      </c>
      <c r="T7591" s="18" t="s">
        <v>41809</v>
      </c>
      <c r="U7591" s="18" t="s">
        <v>41810</v>
      </c>
      <c r="V7591" s="18" t="s">
        <v>41811</v>
      </c>
      <c r="W7591" s="18" t="s">
        <v>50889</v>
      </c>
      <c r="X7591" s="18" t="s">
        <v>35</v>
      </c>
      <c r="Y7591" s="18" t="s">
        <v>17196</v>
      </c>
      <c r="Z7591" s="18" t="s">
        <v>13567</v>
      </c>
      <c r="AA7591" s="21" t="str">
        <f>HYPERLINK("https://www.ncbi.nlm.nih.gov/nuccore/MN552386,MN552387","NCBI Nucleotide")</f>
        <v>NCBI Nucleotide</v>
      </c>
    </row>
    <row r="7592" spans="1:27" x14ac:dyDescent="0.35">
      <c r="A7592">
        <v>1008361</v>
      </c>
      <c r="B7592">
        <v>7063</v>
      </c>
      <c r="C7592">
        <v>1</v>
      </c>
      <c r="D7592" s="17" t="s">
        <v>17166</v>
      </c>
      <c r="E7592" s="17"/>
      <c r="F7592" s="17" t="s">
        <v>17246</v>
      </c>
      <c r="G7592" s="17"/>
      <c r="H7592" s="17" t="s">
        <v>17310</v>
      </c>
      <c r="I7592" s="17"/>
      <c r="J7592" s="17" t="s">
        <v>17311</v>
      </c>
      <c r="K7592" s="17"/>
      <c r="L7592" s="17" t="s">
        <v>17312</v>
      </c>
      <c r="M7592" s="17" t="s">
        <v>41785</v>
      </c>
      <c r="N7592" s="17" t="s">
        <v>17330</v>
      </c>
      <c r="O7592" s="17"/>
      <c r="P7592" s="17" t="s">
        <v>17331</v>
      </c>
      <c r="Q7592" s="17"/>
      <c r="R7592" s="25" t="str">
        <f>HYPERLINK("https://ictv.global/taxonomy/taxondetails?taxnode_id=202306297","Alphachrysovirus anthurii")</f>
        <v>Alphachrysovirus anthurii</v>
      </c>
      <c r="S7592" s="18" t="s">
        <v>30</v>
      </c>
      <c r="T7592" s="18" t="s">
        <v>17332</v>
      </c>
      <c r="U7592" s="18" t="s">
        <v>17333</v>
      </c>
      <c r="V7592" s="18" t="s">
        <v>17334</v>
      </c>
      <c r="W7592" s="18" t="s">
        <v>17335</v>
      </c>
      <c r="X7592" s="18" t="s">
        <v>42</v>
      </c>
      <c r="Y7592" s="18" t="s">
        <v>17196</v>
      </c>
      <c r="Z7592" s="18" t="s">
        <v>17336</v>
      </c>
      <c r="AA7592" s="21" t="str">
        <f>HYPERLINK("https://www.ncbi.nlm.nih.gov/nuccore/FJ899675,FJ899676,FJ899677","NCBI Nucleotide")</f>
        <v>NCBI Nucleotide</v>
      </c>
    </row>
    <row r="7593" spans="1:27" x14ac:dyDescent="0.35">
      <c r="A7593">
        <v>1008362</v>
      </c>
      <c r="B7593">
        <v>7064</v>
      </c>
      <c r="C7593">
        <v>1</v>
      </c>
      <c r="D7593" s="17" t="s">
        <v>17166</v>
      </c>
      <c r="E7593" s="17"/>
      <c r="F7593" s="17" t="s">
        <v>17246</v>
      </c>
      <c r="G7593" s="17"/>
      <c r="H7593" s="17" t="s">
        <v>17310</v>
      </c>
      <c r="I7593" s="17"/>
      <c r="J7593" s="17" t="s">
        <v>17311</v>
      </c>
      <c r="K7593" s="17"/>
      <c r="L7593" s="17" t="s">
        <v>17312</v>
      </c>
      <c r="M7593" s="17" t="s">
        <v>41785</v>
      </c>
      <c r="N7593" s="17" t="s">
        <v>17330</v>
      </c>
      <c r="O7593" s="17"/>
      <c r="P7593" s="17" t="s">
        <v>17331</v>
      </c>
      <c r="Q7593" s="17"/>
      <c r="R7593" s="25" t="str">
        <f>HYPERLINK("https://ictv.global/taxonomy/taxondetails?taxnode_id=202302892","Alphachrysovirus aspergilli")</f>
        <v>Alphachrysovirus aspergilli</v>
      </c>
      <c r="S7593" s="18" t="s">
        <v>30</v>
      </c>
      <c r="T7593" s="18" t="s">
        <v>17337</v>
      </c>
      <c r="U7593" s="18" t="s">
        <v>17338</v>
      </c>
      <c r="V7593" s="18" t="s">
        <v>17339</v>
      </c>
      <c r="W7593" s="18" t="s">
        <v>17340</v>
      </c>
      <c r="X7593" s="18" t="s">
        <v>42</v>
      </c>
      <c r="Y7593" s="18" t="s">
        <v>17196</v>
      </c>
      <c r="Z7593" s="18" t="s">
        <v>16721</v>
      </c>
      <c r="AA7593" s="21" t="str">
        <f>HYPERLINK("https://www.ncbi.nlm.nih.gov/nuccore/FN178512,FN178513,FN178514,FN178515","NCBI Nucleotide")</f>
        <v>NCBI Nucleotide</v>
      </c>
    </row>
    <row r="7594" spans="1:27" x14ac:dyDescent="0.35">
      <c r="A7594">
        <v>1008363</v>
      </c>
      <c r="B7594">
        <v>7065</v>
      </c>
      <c r="C7594">
        <v>1</v>
      </c>
      <c r="D7594" s="17" t="s">
        <v>17166</v>
      </c>
      <c r="E7594" s="17"/>
      <c r="F7594" s="17" t="s">
        <v>17246</v>
      </c>
      <c r="G7594" s="17"/>
      <c r="H7594" s="17" t="s">
        <v>17310</v>
      </c>
      <c r="I7594" s="17"/>
      <c r="J7594" s="17" t="s">
        <v>17311</v>
      </c>
      <c r="K7594" s="17"/>
      <c r="L7594" s="17" t="s">
        <v>17312</v>
      </c>
      <c r="M7594" s="17" t="s">
        <v>41785</v>
      </c>
      <c r="N7594" s="17" t="s">
        <v>17330</v>
      </c>
      <c r="O7594" s="17"/>
      <c r="P7594" s="17" t="s">
        <v>17331</v>
      </c>
      <c r="Q7594" s="17"/>
      <c r="R7594" s="25" t="str">
        <f>HYPERLINK("https://ictv.global/taxonomy/taxondetails?taxnode_id=202306298","Alphachrysovirus brassicae")</f>
        <v>Alphachrysovirus brassicae</v>
      </c>
      <c r="S7594" s="18" t="s">
        <v>30</v>
      </c>
      <c r="T7594" s="18" t="s">
        <v>17341</v>
      </c>
      <c r="U7594" s="18" t="s">
        <v>17342</v>
      </c>
      <c r="V7594" s="18" t="s">
        <v>17343</v>
      </c>
      <c r="W7594" s="18" t="s">
        <v>50481</v>
      </c>
      <c r="X7594" s="18" t="s">
        <v>42</v>
      </c>
      <c r="Y7594" s="18" t="s">
        <v>17196</v>
      </c>
      <c r="Z7594" s="18" t="s">
        <v>17336</v>
      </c>
      <c r="AA7594" s="21" t="str">
        <f>HYPERLINK("https://www.ncbi.nlm.nih.gov/nuccore/KP782031,KP782030,KP782029","NCBI Nucleotide")</f>
        <v>NCBI Nucleotide</v>
      </c>
    </row>
    <row r="7595" spans="1:27" x14ac:dyDescent="0.35">
      <c r="A7595">
        <v>1008364</v>
      </c>
      <c r="B7595">
        <v>7066</v>
      </c>
      <c r="C7595">
        <v>1</v>
      </c>
      <c r="D7595" s="17" t="s">
        <v>17166</v>
      </c>
      <c r="E7595" s="17"/>
      <c r="F7595" s="17" t="s">
        <v>17246</v>
      </c>
      <c r="G7595" s="17"/>
      <c r="H7595" s="17" t="s">
        <v>17310</v>
      </c>
      <c r="I7595" s="17"/>
      <c r="J7595" s="17" t="s">
        <v>17311</v>
      </c>
      <c r="K7595" s="17"/>
      <c r="L7595" s="17" t="s">
        <v>17312</v>
      </c>
      <c r="M7595" s="17" t="s">
        <v>41785</v>
      </c>
      <c r="N7595" s="17" t="s">
        <v>17330</v>
      </c>
      <c r="O7595" s="17"/>
      <c r="P7595" s="17" t="s">
        <v>17331</v>
      </c>
      <c r="Q7595" s="17"/>
      <c r="R7595" s="25" t="str">
        <f>HYPERLINK("https://ictv.global/taxonomy/taxondetails?taxnode_id=202302891","Alphachrysovirus cerasi")</f>
        <v>Alphachrysovirus cerasi</v>
      </c>
      <c r="S7595" s="18" t="s">
        <v>30</v>
      </c>
      <c r="T7595" s="18" t="s">
        <v>17344</v>
      </c>
      <c r="U7595" s="18" t="s">
        <v>17345</v>
      </c>
      <c r="V7595" s="18" t="s">
        <v>17346</v>
      </c>
      <c r="W7595" s="18" t="s">
        <v>50482</v>
      </c>
      <c r="X7595" s="18" t="s">
        <v>42</v>
      </c>
      <c r="Y7595" s="18" t="s">
        <v>17196</v>
      </c>
      <c r="Z7595" s="18" t="s">
        <v>17336</v>
      </c>
      <c r="AA7595" s="21" t="str">
        <f>HYPERLINK("https://www.ncbi.nlm.nih.gov/nuccore/AJ781166,AJ781165,AJ781164,AJ781163","NCBI Nucleotide")</f>
        <v>NCBI Nucleotide</v>
      </c>
    </row>
    <row r="7596" spans="1:27" x14ac:dyDescent="0.35">
      <c r="A7596">
        <v>1012696</v>
      </c>
      <c r="B7596">
        <v>7066</v>
      </c>
      <c r="C7596">
        <v>2</v>
      </c>
      <c r="D7596" s="17" t="s">
        <v>17166</v>
      </c>
      <c r="E7596" s="17"/>
      <c r="F7596" s="17" t="s">
        <v>17246</v>
      </c>
      <c r="G7596" s="17"/>
      <c r="H7596" s="17" t="s">
        <v>17310</v>
      </c>
      <c r="I7596" s="17"/>
      <c r="J7596" s="17" t="s">
        <v>17311</v>
      </c>
      <c r="K7596" s="17"/>
      <c r="L7596" s="17" t="s">
        <v>17312</v>
      </c>
      <c r="M7596" s="17" t="s">
        <v>41785</v>
      </c>
      <c r="N7596" s="17" t="s">
        <v>17330</v>
      </c>
      <c r="O7596" s="17"/>
      <c r="P7596" s="17" t="s">
        <v>17331</v>
      </c>
      <c r="Q7596" s="17"/>
      <c r="R7596" s="25" t="str">
        <f>HYPERLINK("https://ictv.global/taxonomy/taxondetails?taxnode_id=202302891","Alphachrysovirus cerasi")</f>
        <v>Alphachrysovirus cerasi</v>
      </c>
      <c r="S7596" s="18" t="s">
        <v>8141</v>
      </c>
      <c r="T7596" s="18" t="s">
        <v>17347</v>
      </c>
      <c r="U7596" s="18" t="s">
        <v>17348</v>
      </c>
      <c r="V7596" s="18" t="s">
        <v>17349</v>
      </c>
      <c r="W7596" s="18" t="s">
        <v>49256</v>
      </c>
      <c r="X7596" s="18" t="s">
        <v>42</v>
      </c>
      <c r="Y7596" s="18" t="s">
        <v>17196</v>
      </c>
      <c r="Z7596" s="18" t="s">
        <v>17336</v>
      </c>
      <c r="AA7596" s="21" t="str">
        <f>HYPERLINK("https://www.ncbi.nlm.nih.gov/nuccore/AJ781397,AJ781398,AJ781399,AJ781400","NCBI Nucleotide")</f>
        <v>NCBI Nucleotide</v>
      </c>
    </row>
    <row r="7597" spans="1:27" x14ac:dyDescent="0.35">
      <c r="A7597">
        <v>1008365</v>
      </c>
      <c r="B7597">
        <v>7067</v>
      </c>
      <c r="C7597">
        <v>1</v>
      </c>
      <c r="D7597" s="17" t="s">
        <v>17166</v>
      </c>
      <c r="E7597" s="17"/>
      <c r="F7597" s="17" t="s">
        <v>17246</v>
      </c>
      <c r="G7597" s="17"/>
      <c r="H7597" s="17" t="s">
        <v>17310</v>
      </c>
      <c r="I7597" s="17"/>
      <c r="J7597" s="17" t="s">
        <v>17311</v>
      </c>
      <c r="K7597" s="17"/>
      <c r="L7597" s="17" t="s">
        <v>17312</v>
      </c>
      <c r="M7597" s="17" t="s">
        <v>41785</v>
      </c>
      <c r="N7597" s="17" t="s">
        <v>17330</v>
      </c>
      <c r="O7597" s="17"/>
      <c r="P7597" s="17" t="s">
        <v>17331</v>
      </c>
      <c r="Q7597" s="17"/>
      <c r="R7597" s="25" t="str">
        <f>HYPERLINK("https://ictv.global/taxonomy/taxondetails?taxnode_id=202308818","Alphachrysovirus chrysothricis")</f>
        <v>Alphachrysovirus chrysothricis</v>
      </c>
      <c r="S7597" s="18" t="s">
        <v>30</v>
      </c>
      <c r="T7597" s="18" t="s">
        <v>17350</v>
      </c>
      <c r="U7597" s="18" t="s">
        <v>17351</v>
      </c>
      <c r="V7597" s="18" t="s">
        <v>17352</v>
      </c>
      <c r="W7597" s="18" t="s">
        <v>17353</v>
      </c>
      <c r="X7597" s="18" t="s">
        <v>42</v>
      </c>
      <c r="Y7597" s="18" t="s">
        <v>17196</v>
      </c>
      <c r="Z7597" s="18" t="s">
        <v>16721</v>
      </c>
      <c r="AA7597" s="21" t="str">
        <f>HYPERLINK("https://www.ncbi.nlm.nih.gov/nuccore/MN625832,MN625833,MN625834,MN625835","NCBI Nucleotide")</f>
        <v>NCBI Nucleotide</v>
      </c>
    </row>
    <row r="7598" spans="1:27" x14ac:dyDescent="0.35">
      <c r="A7598">
        <v>1008366</v>
      </c>
      <c r="B7598">
        <v>7068</v>
      </c>
      <c r="C7598">
        <v>1</v>
      </c>
      <c r="D7598" s="17" t="s">
        <v>17166</v>
      </c>
      <c r="E7598" s="17"/>
      <c r="F7598" s="17" t="s">
        <v>17246</v>
      </c>
      <c r="G7598" s="17"/>
      <c r="H7598" s="17" t="s">
        <v>17310</v>
      </c>
      <c r="I7598" s="17"/>
      <c r="J7598" s="17" t="s">
        <v>17311</v>
      </c>
      <c r="K7598" s="17"/>
      <c r="L7598" s="17" t="s">
        <v>17312</v>
      </c>
      <c r="M7598" s="17" t="s">
        <v>41785</v>
      </c>
      <c r="N7598" s="17" t="s">
        <v>17330</v>
      </c>
      <c r="O7598" s="17"/>
      <c r="P7598" s="17" t="s">
        <v>17331</v>
      </c>
      <c r="Q7598" s="17"/>
      <c r="R7598" s="25" t="str">
        <f>HYPERLINK("https://ictv.global/taxonomy/taxondetails?taxnode_id=202306299","Alphachrysovirus colletotrichi")</f>
        <v>Alphachrysovirus colletotrichi</v>
      </c>
      <c r="S7598" s="18" t="s">
        <v>30</v>
      </c>
      <c r="T7598" s="18" t="s">
        <v>17354</v>
      </c>
      <c r="U7598" s="18" t="s">
        <v>17355</v>
      </c>
      <c r="V7598" s="18" t="s">
        <v>17356</v>
      </c>
      <c r="W7598" s="18" t="s">
        <v>17357</v>
      </c>
      <c r="X7598" s="18" t="s">
        <v>42</v>
      </c>
      <c r="Y7598" s="18" t="s">
        <v>17196</v>
      </c>
      <c r="Z7598" s="18" t="s">
        <v>16721</v>
      </c>
      <c r="AA7598" s="21" t="str">
        <f>HYPERLINK("https://www.ncbi.nlm.nih.gov/nuccore/KT581957,KT581958,KT581959","NCBI Nucleotide")</f>
        <v>NCBI Nucleotide</v>
      </c>
    </row>
    <row r="7599" spans="1:27" x14ac:dyDescent="0.35">
      <c r="A7599">
        <v>1008367</v>
      </c>
      <c r="B7599">
        <v>7069</v>
      </c>
      <c r="C7599">
        <v>1</v>
      </c>
      <c r="D7599" s="17" t="s">
        <v>17166</v>
      </c>
      <c r="E7599" s="17"/>
      <c r="F7599" s="17" t="s">
        <v>17246</v>
      </c>
      <c r="G7599" s="17"/>
      <c r="H7599" s="17" t="s">
        <v>17310</v>
      </c>
      <c r="I7599" s="17"/>
      <c r="J7599" s="17" t="s">
        <v>17311</v>
      </c>
      <c r="K7599" s="17"/>
      <c r="L7599" s="17" t="s">
        <v>17312</v>
      </c>
      <c r="M7599" s="17" t="s">
        <v>41785</v>
      </c>
      <c r="N7599" s="17" t="s">
        <v>17330</v>
      </c>
      <c r="O7599" s="17"/>
      <c r="P7599" s="17" t="s">
        <v>17331</v>
      </c>
      <c r="Q7599" s="17"/>
      <c r="R7599" s="25" t="str">
        <f>HYPERLINK("https://ictv.global/taxonomy/taxondetails?taxnode_id=202302893","Alphachrysovirus cryphonectriae")</f>
        <v>Alphachrysovirus cryphonectriae</v>
      </c>
      <c r="S7599" s="18" t="s">
        <v>30</v>
      </c>
      <c r="T7599" s="18" t="s">
        <v>17358</v>
      </c>
      <c r="U7599" s="18" t="s">
        <v>17359</v>
      </c>
      <c r="V7599" s="18" t="s">
        <v>17360</v>
      </c>
      <c r="W7599" s="18" t="s">
        <v>50483</v>
      </c>
      <c r="X7599" s="18" t="s">
        <v>35</v>
      </c>
      <c r="Y7599" s="18" t="s">
        <v>17196</v>
      </c>
      <c r="Z7599" s="18" t="s">
        <v>16721</v>
      </c>
      <c r="AA7599" s="21" t="str">
        <f>HYPERLINK("https://www.ncbi.nlm.nih.gov/nuccore/GQ290649,GQ290645,HM013825,HM013826","NCBI Nucleotide")</f>
        <v>NCBI Nucleotide</v>
      </c>
    </row>
    <row r="7600" spans="1:27" x14ac:dyDescent="0.35">
      <c r="A7600">
        <v>1008368</v>
      </c>
      <c r="B7600">
        <v>7070</v>
      </c>
      <c r="C7600">
        <v>1</v>
      </c>
      <c r="D7600" s="17" t="s">
        <v>17166</v>
      </c>
      <c r="E7600" s="17"/>
      <c r="F7600" s="17" t="s">
        <v>17246</v>
      </c>
      <c r="G7600" s="17"/>
      <c r="H7600" s="17" t="s">
        <v>17310</v>
      </c>
      <c r="I7600" s="17"/>
      <c r="J7600" s="17" t="s">
        <v>17311</v>
      </c>
      <c r="K7600" s="17"/>
      <c r="L7600" s="17" t="s">
        <v>17312</v>
      </c>
      <c r="M7600" s="17" t="s">
        <v>41785</v>
      </c>
      <c r="N7600" s="17" t="s">
        <v>17330</v>
      </c>
      <c r="O7600" s="17"/>
      <c r="P7600" s="17" t="s">
        <v>17331</v>
      </c>
      <c r="Q7600" s="17"/>
      <c r="R7600" s="25" t="str">
        <f>HYPERLINK("https://ictv.global/taxonomy/taxondetails?taxnode_id=202302894","Alphachrysovirus fusarii")</f>
        <v>Alphachrysovirus fusarii</v>
      </c>
      <c r="S7600" s="18" t="s">
        <v>30</v>
      </c>
      <c r="T7600" s="18" t="s">
        <v>17361</v>
      </c>
      <c r="U7600" s="18" t="s">
        <v>17362</v>
      </c>
      <c r="V7600" s="18" t="s">
        <v>17363</v>
      </c>
      <c r="W7600" s="18" t="s">
        <v>17364</v>
      </c>
      <c r="X7600" s="18" t="s">
        <v>2018</v>
      </c>
      <c r="Y7600" s="18" t="s">
        <v>17196</v>
      </c>
      <c r="Z7600" s="18" t="s">
        <v>16721</v>
      </c>
      <c r="AA7600" s="21" t="str">
        <f>HYPERLINK("https://www.ncbi.nlm.nih.gov/nuccore/EF152346,EF152347,EF152348","NCBI Nucleotide")</f>
        <v>NCBI Nucleotide</v>
      </c>
    </row>
    <row r="7601" spans="1:27" x14ac:dyDescent="0.35">
      <c r="A7601">
        <v>1008369</v>
      </c>
      <c r="B7601">
        <v>7071</v>
      </c>
      <c r="C7601">
        <v>1</v>
      </c>
      <c r="D7601" s="17" t="s">
        <v>17166</v>
      </c>
      <c r="E7601" s="17"/>
      <c r="F7601" s="17" t="s">
        <v>17246</v>
      </c>
      <c r="G7601" s="17"/>
      <c r="H7601" s="17" t="s">
        <v>17310</v>
      </c>
      <c r="I7601" s="17"/>
      <c r="J7601" s="17" t="s">
        <v>17311</v>
      </c>
      <c r="K7601" s="17"/>
      <c r="L7601" s="17" t="s">
        <v>17312</v>
      </c>
      <c r="M7601" s="17" t="s">
        <v>41785</v>
      </c>
      <c r="N7601" s="17" t="s">
        <v>17330</v>
      </c>
      <c r="O7601" s="17"/>
      <c r="P7601" s="17" t="s">
        <v>17331</v>
      </c>
      <c r="Q7601" s="17"/>
      <c r="R7601" s="25" t="str">
        <f>HYPERLINK("https://ictv.global/taxonomy/taxondetails?taxnode_id=202302895","Alphachrysovirus helminthosporii")</f>
        <v>Alphachrysovirus helminthosporii</v>
      </c>
      <c r="S7601" s="18" t="s">
        <v>30</v>
      </c>
      <c r="T7601" s="18" t="s">
        <v>17365</v>
      </c>
      <c r="U7601" s="18" t="s">
        <v>17366</v>
      </c>
      <c r="V7601" s="18" t="s">
        <v>17367</v>
      </c>
      <c r="W7601" s="18" t="s">
        <v>17368</v>
      </c>
      <c r="X7601" s="18" t="s">
        <v>42</v>
      </c>
      <c r="Y7601" s="18" t="s">
        <v>17196</v>
      </c>
      <c r="Z7601" s="18" t="s">
        <v>16721</v>
      </c>
      <c r="AA7601" s="21" t="str">
        <f>HYPERLINK("https://www.ncbi.nlm.nih.gov/nuccore/AF297176,AF297177,AF297178,AF297179","NCBI Nucleotide")</f>
        <v>NCBI Nucleotide</v>
      </c>
    </row>
    <row r="7602" spans="1:27" x14ac:dyDescent="0.35">
      <c r="A7602">
        <v>1012697</v>
      </c>
      <c r="B7602">
        <v>7071</v>
      </c>
      <c r="C7602">
        <v>2</v>
      </c>
      <c r="D7602" s="17" t="s">
        <v>17166</v>
      </c>
      <c r="E7602" s="17"/>
      <c r="F7602" s="17" t="s">
        <v>17246</v>
      </c>
      <c r="G7602" s="17"/>
      <c r="H7602" s="17" t="s">
        <v>17310</v>
      </c>
      <c r="I7602" s="17"/>
      <c r="J7602" s="17" t="s">
        <v>17311</v>
      </c>
      <c r="K7602" s="17"/>
      <c r="L7602" s="17" t="s">
        <v>17312</v>
      </c>
      <c r="M7602" s="17" t="s">
        <v>41785</v>
      </c>
      <c r="N7602" s="17" t="s">
        <v>17330</v>
      </c>
      <c r="O7602" s="17"/>
      <c r="P7602" s="17" t="s">
        <v>17331</v>
      </c>
      <c r="Q7602" s="17"/>
      <c r="R7602" s="25" t="str">
        <f>HYPERLINK("https://ictv.global/taxonomy/taxondetails?taxnode_id=202302895","Alphachrysovirus helminthosporii")</f>
        <v>Alphachrysovirus helminthosporii</v>
      </c>
      <c r="S7602" s="18" t="s">
        <v>8141</v>
      </c>
      <c r="T7602" s="18" t="s">
        <v>17369</v>
      </c>
      <c r="U7602" s="18" t="s">
        <v>17370</v>
      </c>
      <c r="V7602" s="18" t="s">
        <v>17371</v>
      </c>
      <c r="W7602" s="18" t="s">
        <v>49257</v>
      </c>
      <c r="X7602" s="18" t="s">
        <v>42</v>
      </c>
      <c r="Y7602" s="18" t="s">
        <v>17196</v>
      </c>
      <c r="Z7602" s="18" t="s">
        <v>16721</v>
      </c>
      <c r="AA7602" s="21" t="str">
        <f>HYPERLINK("https://www.ncbi.nlm.nih.gov/nuccore/KY489954,KY489955,KY489956,KY489957","NCBI Nucleotide")</f>
        <v>NCBI Nucleotide</v>
      </c>
    </row>
    <row r="7603" spans="1:27" x14ac:dyDescent="0.35">
      <c r="A7603">
        <v>1008370</v>
      </c>
      <c r="B7603">
        <v>7072</v>
      </c>
      <c r="C7603">
        <v>1</v>
      </c>
      <c r="D7603" s="17" t="s">
        <v>17166</v>
      </c>
      <c r="E7603" s="17"/>
      <c r="F7603" s="17" t="s">
        <v>17246</v>
      </c>
      <c r="G7603" s="17"/>
      <c r="H7603" s="17" t="s">
        <v>17310</v>
      </c>
      <c r="I7603" s="17"/>
      <c r="J7603" s="17" t="s">
        <v>17311</v>
      </c>
      <c r="K7603" s="17"/>
      <c r="L7603" s="17" t="s">
        <v>17312</v>
      </c>
      <c r="M7603" s="17" t="s">
        <v>41785</v>
      </c>
      <c r="N7603" s="17" t="s">
        <v>17330</v>
      </c>
      <c r="O7603" s="17"/>
      <c r="P7603" s="17" t="s">
        <v>17331</v>
      </c>
      <c r="Q7603" s="17"/>
      <c r="R7603" s="25" t="str">
        <f>HYPERLINK("https://ictv.global/taxonomy/taxondetails?taxnode_id=202306300","Alphachrysovirus isariae")</f>
        <v>Alphachrysovirus isariae</v>
      </c>
      <c r="S7603" s="18" t="s">
        <v>30</v>
      </c>
      <c r="T7603" s="18" t="s">
        <v>17372</v>
      </c>
      <c r="U7603" s="18" t="s">
        <v>17373</v>
      </c>
      <c r="V7603" s="18" t="s">
        <v>17374</v>
      </c>
      <c r="W7603" s="18" t="s">
        <v>17375</v>
      </c>
      <c r="X7603" s="18" t="s">
        <v>42</v>
      </c>
      <c r="Y7603" s="18" t="s">
        <v>17196</v>
      </c>
      <c r="Z7603" s="18" t="s">
        <v>16721</v>
      </c>
      <c r="AA7603" s="21" t="str">
        <f>HYPERLINK("https://www.ncbi.nlm.nih.gov/nuccore/KX898416,KX898417,KX898418,KX898419","NCBI Nucleotide")</f>
        <v>NCBI Nucleotide</v>
      </c>
    </row>
    <row r="7604" spans="1:27" x14ac:dyDescent="0.35">
      <c r="A7604">
        <v>1012698</v>
      </c>
      <c r="B7604">
        <v>7072</v>
      </c>
      <c r="C7604">
        <v>2</v>
      </c>
      <c r="D7604" s="17" t="s">
        <v>17166</v>
      </c>
      <c r="E7604" s="17"/>
      <c r="F7604" s="17" t="s">
        <v>17246</v>
      </c>
      <c r="G7604" s="17"/>
      <c r="H7604" s="17" t="s">
        <v>17310</v>
      </c>
      <c r="I7604" s="17"/>
      <c r="J7604" s="17" t="s">
        <v>17311</v>
      </c>
      <c r="K7604" s="17"/>
      <c r="L7604" s="17" t="s">
        <v>17312</v>
      </c>
      <c r="M7604" s="17" t="s">
        <v>41785</v>
      </c>
      <c r="N7604" s="17" t="s">
        <v>17330</v>
      </c>
      <c r="O7604" s="17"/>
      <c r="P7604" s="17" t="s">
        <v>17331</v>
      </c>
      <c r="Q7604" s="17"/>
      <c r="R7604" s="25" t="str">
        <f>HYPERLINK("https://ictv.global/taxonomy/taxondetails?taxnode_id=202306300","Alphachrysovirus isariae")</f>
        <v>Alphachrysovirus isariae</v>
      </c>
      <c r="S7604" s="18" t="s">
        <v>8141</v>
      </c>
      <c r="T7604" s="18" t="s">
        <v>17376</v>
      </c>
      <c r="U7604" s="18" t="s">
        <v>17377</v>
      </c>
      <c r="V7604" s="18" t="s">
        <v>17378</v>
      </c>
      <c r="W7604" s="18" t="s">
        <v>49258</v>
      </c>
      <c r="X7604" s="18" t="s">
        <v>42</v>
      </c>
      <c r="Y7604" s="18" t="s">
        <v>17196</v>
      </c>
      <c r="Z7604" s="18" t="s">
        <v>16721</v>
      </c>
      <c r="AA7604" s="21" t="str">
        <f>HYPERLINK("https://www.ncbi.nlm.nih.gov/nuccore/MK279433,MK279434,MK279435,MK279436","NCBI Nucleotide")</f>
        <v>NCBI Nucleotide</v>
      </c>
    </row>
    <row r="7605" spans="1:27" x14ac:dyDescent="0.35">
      <c r="A7605">
        <v>1008371</v>
      </c>
      <c r="B7605">
        <v>7073</v>
      </c>
      <c r="C7605">
        <v>1</v>
      </c>
      <c r="D7605" s="17" t="s">
        <v>17166</v>
      </c>
      <c r="E7605" s="17"/>
      <c r="F7605" s="17" t="s">
        <v>17246</v>
      </c>
      <c r="G7605" s="17"/>
      <c r="H7605" s="17" t="s">
        <v>17310</v>
      </c>
      <c r="I7605" s="17"/>
      <c r="J7605" s="17" t="s">
        <v>17311</v>
      </c>
      <c r="K7605" s="17"/>
      <c r="L7605" s="17" t="s">
        <v>17312</v>
      </c>
      <c r="M7605" s="17" t="s">
        <v>41785</v>
      </c>
      <c r="N7605" s="17" t="s">
        <v>17330</v>
      </c>
      <c r="O7605" s="17"/>
      <c r="P7605" s="17" t="s">
        <v>17331</v>
      </c>
      <c r="Q7605" s="17"/>
      <c r="R7605" s="25" t="str">
        <f>HYPERLINK("https://ictv.global/taxonomy/taxondetails?taxnode_id=202306301","Alphachrysovirus macrophominae")</f>
        <v>Alphachrysovirus macrophominae</v>
      </c>
      <c r="S7605" s="18" t="s">
        <v>30</v>
      </c>
      <c r="T7605" s="18" t="s">
        <v>17379</v>
      </c>
      <c r="U7605" s="18" t="s">
        <v>17380</v>
      </c>
      <c r="V7605" s="18" t="s">
        <v>17381</v>
      </c>
      <c r="W7605" s="18" t="s">
        <v>17382</v>
      </c>
      <c r="X7605" s="18" t="s">
        <v>42</v>
      </c>
      <c r="Y7605" s="18" t="s">
        <v>17196</v>
      </c>
      <c r="Z7605" s="18" t="s">
        <v>16721</v>
      </c>
      <c r="AA7605" s="21" t="str">
        <f>HYPERLINK("https://www.ncbi.nlm.nih.gov/nuccore/KP900886,KP900887,KP900888,KP900889","NCBI Nucleotide")</f>
        <v>NCBI Nucleotide</v>
      </c>
    </row>
    <row r="7606" spans="1:27" x14ac:dyDescent="0.35">
      <c r="A7606">
        <v>1008372</v>
      </c>
      <c r="B7606">
        <v>7074</v>
      </c>
      <c r="C7606">
        <v>1</v>
      </c>
      <c r="D7606" s="17" t="s">
        <v>17166</v>
      </c>
      <c r="E7606" s="17"/>
      <c r="F7606" s="17" t="s">
        <v>17246</v>
      </c>
      <c r="G7606" s="17"/>
      <c r="H7606" s="17" t="s">
        <v>17310</v>
      </c>
      <c r="I7606" s="17"/>
      <c r="J7606" s="17" t="s">
        <v>17311</v>
      </c>
      <c r="K7606" s="17"/>
      <c r="L7606" s="17" t="s">
        <v>17312</v>
      </c>
      <c r="M7606" s="17" t="s">
        <v>41785</v>
      </c>
      <c r="N7606" s="17" t="s">
        <v>17330</v>
      </c>
      <c r="O7606" s="17"/>
      <c r="P7606" s="17" t="s">
        <v>17331</v>
      </c>
      <c r="Q7606" s="17"/>
      <c r="R7606" s="25" t="str">
        <f>HYPERLINK("https://ictv.global/taxonomy/taxondetails?taxnode_id=202302897","Alphachrysovirus penicillii")</f>
        <v>Alphachrysovirus penicillii</v>
      </c>
      <c r="S7606" s="18" t="s">
        <v>30</v>
      </c>
      <c r="T7606" s="18" t="s">
        <v>17383</v>
      </c>
      <c r="U7606" s="18" t="s">
        <v>17384</v>
      </c>
      <c r="V7606" s="18" t="s">
        <v>17385</v>
      </c>
      <c r="W7606" s="18" t="s">
        <v>17386</v>
      </c>
      <c r="X7606" s="18" t="s">
        <v>42</v>
      </c>
      <c r="Y7606" s="18" t="s">
        <v>17196</v>
      </c>
      <c r="Z7606" s="18" t="s">
        <v>16721</v>
      </c>
      <c r="AA7606" s="21" t="str">
        <f>HYPERLINK("https://www.ncbi.nlm.nih.gov/nuccore/AF296439,AF296440,AF296441,AF296442","NCBI Nucleotide")</f>
        <v>NCBI Nucleotide</v>
      </c>
    </row>
    <row r="7607" spans="1:27" x14ac:dyDescent="0.35">
      <c r="A7607">
        <v>1012700</v>
      </c>
      <c r="B7607">
        <v>7074</v>
      </c>
      <c r="C7607">
        <v>2</v>
      </c>
      <c r="D7607" s="17" t="s">
        <v>17166</v>
      </c>
      <c r="E7607" s="17"/>
      <c r="F7607" s="17" t="s">
        <v>17246</v>
      </c>
      <c r="G7607" s="17"/>
      <c r="H7607" s="17" t="s">
        <v>17310</v>
      </c>
      <c r="I7607" s="17"/>
      <c r="J7607" s="17" t="s">
        <v>17311</v>
      </c>
      <c r="K7607" s="17"/>
      <c r="L7607" s="17" t="s">
        <v>17312</v>
      </c>
      <c r="M7607" s="17" t="s">
        <v>41785</v>
      </c>
      <c r="N7607" s="17" t="s">
        <v>17330</v>
      </c>
      <c r="O7607" s="17"/>
      <c r="P7607" s="17" t="s">
        <v>17331</v>
      </c>
      <c r="Q7607" s="17"/>
      <c r="R7607" s="25" t="str">
        <f>HYPERLINK("https://ictv.global/taxonomy/taxondetails?taxnode_id=202302897","Alphachrysovirus penicillii")</f>
        <v>Alphachrysovirus penicillii</v>
      </c>
      <c r="S7607" s="18" t="s">
        <v>8141</v>
      </c>
      <c r="T7607" s="18" t="s">
        <v>17390</v>
      </c>
      <c r="U7607" s="18" t="s">
        <v>17391</v>
      </c>
      <c r="V7607" s="18" t="s">
        <v>17392</v>
      </c>
      <c r="W7607" s="18" t="s">
        <v>49259</v>
      </c>
      <c r="X7607" s="18" t="s">
        <v>42</v>
      </c>
      <c r="Y7607" s="18" t="s">
        <v>17196</v>
      </c>
      <c r="Z7607" s="18" t="s">
        <v>16721</v>
      </c>
      <c r="AA7607" s="21" t="str">
        <f>HYPERLINK("https://www.ncbi.nlm.nih.gov/nuccore/MK214380,MK214381,MK214382,MK214383","NCBI Nucleotide")</f>
        <v>NCBI Nucleotide</v>
      </c>
    </row>
    <row r="7608" spans="1:27" x14ac:dyDescent="0.35">
      <c r="A7608">
        <v>1012701</v>
      </c>
      <c r="B7608">
        <v>7074</v>
      </c>
      <c r="C7608">
        <v>3</v>
      </c>
      <c r="D7608" s="17" t="s">
        <v>17166</v>
      </c>
      <c r="E7608" s="17"/>
      <c r="F7608" s="17" t="s">
        <v>17246</v>
      </c>
      <c r="G7608" s="17"/>
      <c r="H7608" s="17" t="s">
        <v>17310</v>
      </c>
      <c r="I7608" s="17"/>
      <c r="J7608" s="17" t="s">
        <v>17311</v>
      </c>
      <c r="K7608" s="17"/>
      <c r="L7608" s="17" t="s">
        <v>17312</v>
      </c>
      <c r="M7608" s="17" t="s">
        <v>41785</v>
      </c>
      <c r="N7608" s="17" t="s">
        <v>17330</v>
      </c>
      <c r="O7608" s="17"/>
      <c r="P7608" s="17" t="s">
        <v>17331</v>
      </c>
      <c r="Q7608" s="17"/>
      <c r="R7608" s="25" t="str">
        <f>HYPERLINK("https://ictv.global/taxonomy/taxondetails?taxnode_id=202302897","Alphachrysovirus penicillii")</f>
        <v>Alphachrysovirus penicillii</v>
      </c>
      <c r="S7608" s="18" t="s">
        <v>8141</v>
      </c>
      <c r="T7608" s="18" t="s">
        <v>17393</v>
      </c>
      <c r="U7608" s="18" t="s">
        <v>17394</v>
      </c>
      <c r="V7608" s="18" t="s">
        <v>17395</v>
      </c>
      <c r="W7608" s="18" t="s">
        <v>49260</v>
      </c>
      <c r="X7608" s="18" t="s">
        <v>42</v>
      </c>
      <c r="Y7608" s="18" t="s">
        <v>17196</v>
      </c>
      <c r="Z7608" s="18" t="s">
        <v>16721</v>
      </c>
      <c r="AA7608" s="21" t="str">
        <f>HYPERLINK("https://www.ncbi.nlm.nih.gov/nuccore/MK279429,MK279430,MK279431,MK279432","NCBI Nucleotide")</f>
        <v>NCBI Nucleotide</v>
      </c>
    </row>
    <row r="7609" spans="1:27" x14ac:dyDescent="0.35">
      <c r="A7609">
        <v>1012699</v>
      </c>
      <c r="B7609">
        <v>7074</v>
      </c>
      <c r="C7609">
        <v>4</v>
      </c>
      <c r="D7609" s="17" t="s">
        <v>17166</v>
      </c>
      <c r="E7609" s="17"/>
      <c r="F7609" s="17" t="s">
        <v>17246</v>
      </c>
      <c r="G7609" s="17"/>
      <c r="H7609" s="17" t="s">
        <v>17310</v>
      </c>
      <c r="I7609" s="17"/>
      <c r="J7609" s="17" t="s">
        <v>17311</v>
      </c>
      <c r="K7609" s="17"/>
      <c r="L7609" s="17" t="s">
        <v>17312</v>
      </c>
      <c r="M7609" s="17" t="s">
        <v>41785</v>
      </c>
      <c r="N7609" s="17" t="s">
        <v>17330</v>
      </c>
      <c r="O7609" s="17"/>
      <c r="P7609" s="17" t="s">
        <v>17331</v>
      </c>
      <c r="Q7609" s="17"/>
      <c r="R7609" s="25" t="str">
        <f>HYPERLINK("https://ictv.global/taxonomy/taxondetails?taxnode_id=202302897","Alphachrysovirus penicillii")</f>
        <v>Alphachrysovirus penicillii</v>
      </c>
      <c r="S7609" s="18" t="s">
        <v>8141</v>
      </c>
      <c r="T7609" s="18" t="s">
        <v>17387</v>
      </c>
      <c r="U7609" s="18" t="s">
        <v>17388</v>
      </c>
      <c r="V7609" s="18" t="s">
        <v>17389</v>
      </c>
      <c r="W7609" s="18" t="s">
        <v>49261</v>
      </c>
      <c r="X7609" s="18" t="s">
        <v>42</v>
      </c>
      <c r="Y7609" s="18" t="s">
        <v>17196</v>
      </c>
      <c r="Z7609" s="18" t="s">
        <v>16721</v>
      </c>
      <c r="AA7609" s="21" t="str">
        <f>HYPERLINK("https://www.ncbi.nlm.nih.gov/nuccore/MG887760,MG887761,MG887762,MH271211","NCBI Nucleotide")</f>
        <v>NCBI Nucleotide</v>
      </c>
    </row>
    <row r="7610" spans="1:27" x14ac:dyDescent="0.35">
      <c r="A7610">
        <v>1008373</v>
      </c>
      <c r="B7610">
        <v>7075</v>
      </c>
      <c r="C7610">
        <v>1</v>
      </c>
      <c r="D7610" s="17" t="s">
        <v>17166</v>
      </c>
      <c r="E7610" s="17"/>
      <c r="F7610" s="17" t="s">
        <v>17246</v>
      </c>
      <c r="G7610" s="17"/>
      <c r="H7610" s="17" t="s">
        <v>17310</v>
      </c>
      <c r="I7610" s="17"/>
      <c r="J7610" s="17" t="s">
        <v>17311</v>
      </c>
      <c r="K7610" s="17"/>
      <c r="L7610" s="17" t="s">
        <v>17312</v>
      </c>
      <c r="M7610" s="17" t="s">
        <v>41785</v>
      </c>
      <c r="N7610" s="17" t="s">
        <v>17330</v>
      </c>
      <c r="O7610" s="17"/>
      <c r="P7610" s="17" t="s">
        <v>17331</v>
      </c>
      <c r="Q7610" s="17"/>
      <c r="R7610" s="25" t="str">
        <f>HYPERLINK("https://ictv.global/taxonomy/taxondetails?taxnode_id=202302896","Alphachrysovirus penicompacti")</f>
        <v>Alphachrysovirus penicompacti</v>
      </c>
      <c r="S7610" s="18" t="s">
        <v>30</v>
      </c>
      <c r="T7610" s="18" t="s">
        <v>17396</v>
      </c>
      <c r="U7610" s="18" t="s">
        <v>17397</v>
      </c>
      <c r="V7610" s="18" t="s">
        <v>17398</v>
      </c>
      <c r="W7610" s="18"/>
      <c r="X7610" s="18" t="s">
        <v>3311</v>
      </c>
      <c r="Y7610" s="18" t="s">
        <v>17196</v>
      </c>
      <c r="Z7610" s="18" t="s">
        <v>16721</v>
      </c>
      <c r="AA7610" s="21"/>
    </row>
    <row r="7611" spans="1:27" x14ac:dyDescent="0.35">
      <c r="A7611">
        <v>1008374</v>
      </c>
      <c r="B7611">
        <v>7076</v>
      </c>
      <c r="C7611">
        <v>1</v>
      </c>
      <c r="D7611" s="17" t="s">
        <v>17166</v>
      </c>
      <c r="E7611" s="17"/>
      <c r="F7611" s="17" t="s">
        <v>17246</v>
      </c>
      <c r="G7611" s="17"/>
      <c r="H7611" s="17" t="s">
        <v>17310</v>
      </c>
      <c r="I7611" s="17"/>
      <c r="J7611" s="17" t="s">
        <v>17311</v>
      </c>
      <c r="K7611" s="17"/>
      <c r="L7611" s="17" t="s">
        <v>17312</v>
      </c>
      <c r="M7611" s="17" t="s">
        <v>41785</v>
      </c>
      <c r="N7611" s="17" t="s">
        <v>17330</v>
      </c>
      <c r="O7611" s="17"/>
      <c r="P7611" s="17" t="s">
        <v>17331</v>
      </c>
      <c r="Q7611" s="17"/>
      <c r="R7611" s="25" t="str">
        <f>HYPERLINK("https://ictv.global/taxonomy/taxondetails?taxnode_id=202302898","Alphachrysovirus penifulvi")</f>
        <v>Alphachrysovirus penifulvi</v>
      </c>
      <c r="S7611" s="18" t="s">
        <v>30</v>
      </c>
      <c r="T7611" s="18" t="s">
        <v>17399</v>
      </c>
      <c r="U7611" s="18" t="s">
        <v>17400</v>
      </c>
      <c r="V7611" s="18" t="s">
        <v>17401</v>
      </c>
      <c r="W7611" s="18"/>
      <c r="X7611" s="18" t="s">
        <v>3311</v>
      </c>
      <c r="Y7611" s="18" t="s">
        <v>17196</v>
      </c>
      <c r="Z7611" s="18" t="s">
        <v>16721</v>
      </c>
      <c r="AA7611" s="21"/>
    </row>
    <row r="7612" spans="1:27" x14ac:dyDescent="0.35">
      <c r="A7612">
        <v>1008375</v>
      </c>
      <c r="B7612">
        <v>7077</v>
      </c>
      <c r="C7612">
        <v>1</v>
      </c>
      <c r="D7612" s="17" t="s">
        <v>17166</v>
      </c>
      <c r="E7612" s="17"/>
      <c r="F7612" s="17" t="s">
        <v>17246</v>
      </c>
      <c r="G7612" s="17"/>
      <c r="H7612" s="17" t="s">
        <v>17310</v>
      </c>
      <c r="I7612" s="17"/>
      <c r="J7612" s="17" t="s">
        <v>17311</v>
      </c>
      <c r="K7612" s="17"/>
      <c r="L7612" s="17" t="s">
        <v>17312</v>
      </c>
      <c r="M7612" s="17" t="s">
        <v>41785</v>
      </c>
      <c r="N7612" s="17" t="s">
        <v>17330</v>
      </c>
      <c r="O7612" s="17"/>
      <c r="P7612" s="17" t="s">
        <v>17331</v>
      </c>
      <c r="Q7612" s="17"/>
      <c r="R7612" s="25" t="str">
        <f>HYPERLINK("https://ictv.global/taxonomy/taxondetails?taxnode_id=202306302","Alphachrysovirus perseae")</f>
        <v>Alphachrysovirus perseae</v>
      </c>
      <c r="S7612" s="18" t="s">
        <v>30</v>
      </c>
      <c r="T7612" s="18" t="s">
        <v>17402</v>
      </c>
      <c r="U7612" s="18" t="s">
        <v>17403</v>
      </c>
      <c r="V7612" s="18" t="s">
        <v>17404</v>
      </c>
      <c r="W7612" s="18" t="s">
        <v>17405</v>
      </c>
      <c r="X7612" s="18" t="s">
        <v>42</v>
      </c>
      <c r="Y7612" s="18" t="s">
        <v>17196</v>
      </c>
      <c r="Z7612" s="18" t="s">
        <v>17336</v>
      </c>
      <c r="AA7612" s="21" t="str">
        <f>HYPERLINK("https://www.ncbi.nlm.nih.gov/nuccore/KJ418374,KJ418375,KJ418376","NCBI Nucleotide")</f>
        <v>NCBI Nucleotide</v>
      </c>
    </row>
    <row r="7613" spans="1:27" x14ac:dyDescent="0.35">
      <c r="A7613">
        <v>1008376</v>
      </c>
      <c r="B7613">
        <v>7078</v>
      </c>
      <c r="C7613">
        <v>1</v>
      </c>
      <c r="D7613" s="17" t="s">
        <v>17166</v>
      </c>
      <c r="E7613" s="17"/>
      <c r="F7613" s="17" t="s">
        <v>17246</v>
      </c>
      <c r="G7613" s="17"/>
      <c r="H7613" s="17" t="s">
        <v>17310</v>
      </c>
      <c r="I7613" s="17"/>
      <c r="J7613" s="17" t="s">
        <v>17311</v>
      </c>
      <c r="K7613" s="17"/>
      <c r="L7613" s="17" t="s">
        <v>17312</v>
      </c>
      <c r="M7613" s="17" t="s">
        <v>41785</v>
      </c>
      <c r="N7613" s="17" t="s">
        <v>17330</v>
      </c>
      <c r="O7613" s="17"/>
      <c r="P7613" s="17" t="s">
        <v>17331</v>
      </c>
      <c r="Q7613" s="17"/>
      <c r="R7613" s="25" t="str">
        <f>HYPERLINK("https://ictv.global/taxonomy/taxondetails?taxnode_id=202306303","Alphachrysovirus raphani")</f>
        <v>Alphachrysovirus raphani</v>
      </c>
      <c r="S7613" s="18" t="s">
        <v>30</v>
      </c>
      <c r="T7613" s="18" t="s">
        <v>17406</v>
      </c>
      <c r="U7613" s="18" t="s">
        <v>17407</v>
      </c>
      <c r="V7613" s="18">
        <v>13</v>
      </c>
      <c r="W7613" s="18" t="s">
        <v>17408</v>
      </c>
      <c r="X7613" s="18" t="s">
        <v>42</v>
      </c>
      <c r="Y7613" s="18" t="s">
        <v>17196</v>
      </c>
      <c r="Z7613" s="18" t="s">
        <v>17336</v>
      </c>
      <c r="AA7613" s="21" t="str">
        <f>HYPERLINK("https://www.ncbi.nlm.nih.gov/nuccore/JQ045335,JQ045336,JQ045337","NCBI Nucleotide")</f>
        <v>NCBI Nucleotide</v>
      </c>
    </row>
    <row r="7614" spans="1:27" x14ac:dyDescent="0.35">
      <c r="A7614">
        <v>1008377</v>
      </c>
      <c r="B7614">
        <v>7079</v>
      </c>
      <c r="C7614">
        <v>1</v>
      </c>
      <c r="D7614" s="17" t="s">
        <v>17166</v>
      </c>
      <c r="E7614" s="17"/>
      <c r="F7614" s="17" t="s">
        <v>17246</v>
      </c>
      <c r="G7614" s="17"/>
      <c r="H7614" s="17" t="s">
        <v>17310</v>
      </c>
      <c r="I7614" s="17"/>
      <c r="J7614" s="17" t="s">
        <v>17311</v>
      </c>
      <c r="K7614" s="17"/>
      <c r="L7614" s="17" t="s">
        <v>17312</v>
      </c>
      <c r="M7614" s="17" t="s">
        <v>41785</v>
      </c>
      <c r="N7614" s="17" t="s">
        <v>17330</v>
      </c>
      <c r="O7614" s="17"/>
      <c r="P7614" s="17" t="s">
        <v>17331</v>
      </c>
      <c r="Q7614" s="17"/>
      <c r="R7614" s="25" t="str">
        <f>HYPERLINK("https://ictv.global/taxonomy/taxondetails?taxnode_id=202308819","Alphachrysovirus saladoense")</f>
        <v>Alphachrysovirus saladoense</v>
      </c>
      <c r="S7614" s="18" t="s">
        <v>30</v>
      </c>
      <c r="T7614" s="18" t="s">
        <v>17409</v>
      </c>
      <c r="U7614" s="18" t="s">
        <v>17410</v>
      </c>
      <c r="V7614" s="18" t="s">
        <v>17411</v>
      </c>
      <c r="W7614" s="18" t="s">
        <v>17412</v>
      </c>
      <c r="X7614" s="18" t="s">
        <v>42</v>
      </c>
      <c r="Y7614" s="18" t="s">
        <v>17196</v>
      </c>
      <c r="Z7614" s="18" t="s">
        <v>17413</v>
      </c>
      <c r="AA7614" s="21" t="str">
        <f>HYPERLINK("https://www.ncbi.nlm.nih.gov/nuccore/MN661047,MN661048,MN661049,MN661050","NCBI Nucleotide")</f>
        <v>NCBI Nucleotide</v>
      </c>
    </row>
    <row r="7615" spans="1:27" x14ac:dyDescent="0.35">
      <c r="A7615">
        <v>1008378</v>
      </c>
      <c r="B7615">
        <v>7080</v>
      </c>
      <c r="C7615">
        <v>1</v>
      </c>
      <c r="D7615" s="17" t="s">
        <v>17166</v>
      </c>
      <c r="E7615" s="17"/>
      <c r="F7615" s="17" t="s">
        <v>17246</v>
      </c>
      <c r="G7615" s="17"/>
      <c r="H7615" s="17" t="s">
        <v>17310</v>
      </c>
      <c r="I7615" s="17"/>
      <c r="J7615" s="17" t="s">
        <v>17311</v>
      </c>
      <c r="K7615" s="17"/>
      <c r="L7615" s="17" t="s">
        <v>17312</v>
      </c>
      <c r="M7615" s="17" t="s">
        <v>41785</v>
      </c>
      <c r="N7615" s="17" t="s">
        <v>17330</v>
      </c>
      <c r="O7615" s="17"/>
      <c r="P7615" s="17" t="s">
        <v>17331</v>
      </c>
      <c r="Q7615" s="17"/>
      <c r="R7615" s="25" t="str">
        <f>HYPERLINK("https://ictv.global/taxonomy/taxondetails?taxnode_id=202306304","Alphachrysovirus shuangaoense")</f>
        <v>Alphachrysovirus shuangaoense</v>
      </c>
      <c r="S7615" s="18" t="s">
        <v>30</v>
      </c>
      <c r="T7615" s="18" t="s">
        <v>17414</v>
      </c>
      <c r="U7615" s="18" t="s">
        <v>17415</v>
      </c>
      <c r="V7615" s="18" t="s">
        <v>17416</v>
      </c>
      <c r="W7615" s="18" t="s">
        <v>17417</v>
      </c>
      <c r="X7615" s="18" t="s">
        <v>42</v>
      </c>
      <c r="Y7615" s="18" t="s">
        <v>17196</v>
      </c>
      <c r="Z7615" s="18" t="s">
        <v>17413</v>
      </c>
      <c r="AA7615" s="21" t="str">
        <f>HYPERLINK("https://www.ncbi.nlm.nih.gov/nuccore/MF176340,MF176341,MF176342,MF176343","NCBI Nucleotide")</f>
        <v>NCBI Nucleotide</v>
      </c>
    </row>
    <row r="7616" spans="1:27" x14ac:dyDescent="0.35">
      <c r="A7616">
        <v>1012702</v>
      </c>
      <c r="B7616">
        <v>7080</v>
      </c>
      <c r="C7616">
        <v>2</v>
      </c>
      <c r="D7616" s="17" t="s">
        <v>17166</v>
      </c>
      <c r="E7616" s="17"/>
      <c r="F7616" s="17" t="s">
        <v>17246</v>
      </c>
      <c r="G7616" s="17"/>
      <c r="H7616" s="17" t="s">
        <v>17310</v>
      </c>
      <c r="I7616" s="17"/>
      <c r="J7616" s="17" t="s">
        <v>17311</v>
      </c>
      <c r="K7616" s="17"/>
      <c r="L7616" s="17" t="s">
        <v>17312</v>
      </c>
      <c r="M7616" s="17" t="s">
        <v>41785</v>
      </c>
      <c r="N7616" s="17" t="s">
        <v>17330</v>
      </c>
      <c r="O7616" s="17"/>
      <c r="P7616" s="17" t="s">
        <v>17331</v>
      </c>
      <c r="Q7616" s="17"/>
      <c r="R7616" s="25" t="str">
        <f>HYPERLINK("https://ictv.global/taxonomy/taxondetails?taxnode_id=202306304","Alphachrysovirus shuangaoense")</f>
        <v>Alphachrysovirus shuangaoense</v>
      </c>
      <c r="S7616" s="18" t="s">
        <v>8141</v>
      </c>
      <c r="T7616" s="18" t="s">
        <v>17418</v>
      </c>
      <c r="U7616" s="18" t="s">
        <v>17419</v>
      </c>
      <c r="V7616" s="18" t="s">
        <v>17420</v>
      </c>
      <c r="W7616" s="18" t="s">
        <v>49262</v>
      </c>
      <c r="X7616" s="18" t="s">
        <v>42</v>
      </c>
      <c r="Y7616" s="18" t="s">
        <v>17196</v>
      </c>
      <c r="Z7616" s="18" t="s">
        <v>17413</v>
      </c>
      <c r="AA7616" s="21" t="str">
        <f>HYPERLINK("https://www.ncbi.nlm.nih.gov/nuccore/MF176309,MF176310,MF176311,MF176312","NCBI Nucleotide")</f>
        <v>NCBI Nucleotide</v>
      </c>
    </row>
    <row r="7617" spans="1:27" x14ac:dyDescent="0.35">
      <c r="A7617">
        <v>1008379</v>
      </c>
      <c r="B7617">
        <v>7081</v>
      </c>
      <c r="C7617">
        <v>1</v>
      </c>
      <c r="D7617" s="17" t="s">
        <v>17166</v>
      </c>
      <c r="E7617" s="17"/>
      <c r="F7617" s="17" t="s">
        <v>17246</v>
      </c>
      <c r="G7617" s="17"/>
      <c r="H7617" s="17" t="s">
        <v>17310</v>
      </c>
      <c r="I7617" s="17"/>
      <c r="J7617" s="17" t="s">
        <v>17311</v>
      </c>
      <c r="K7617" s="17"/>
      <c r="L7617" s="17" t="s">
        <v>17312</v>
      </c>
      <c r="M7617" s="17" t="s">
        <v>41785</v>
      </c>
      <c r="N7617" s="17" t="s">
        <v>17330</v>
      </c>
      <c r="O7617" s="17"/>
      <c r="P7617" s="17" t="s">
        <v>17331</v>
      </c>
      <c r="Q7617" s="17"/>
      <c r="R7617" s="25" t="str">
        <f>HYPERLINK("https://ictv.global/taxonomy/taxondetails?taxnode_id=202302899","Alphachrysovirus verticillii")</f>
        <v>Alphachrysovirus verticillii</v>
      </c>
      <c r="S7617" s="18" t="s">
        <v>30</v>
      </c>
      <c r="T7617" s="18" t="s">
        <v>17421</v>
      </c>
      <c r="U7617" s="18" t="s">
        <v>17422</v>
      </c>
      <c r="V7617" s="18" t="s">
        <v>17234</v>
      </c>
      <c r="W7617" s="18" t="s">
        <v>17423</v>
      </c>
      <c r="X7617" s="18" t="s">
        <v>42</v>
      </c>
      <c r="Y7617" s="18" t="s">
        <v>17196</v>
      </c>
      <c r="Z7617" s="18" t="s">
        <v>16721</v>
      </c>
      <c r="AA7617" s="21" t="str">
        <f>HYPERLINK("https://www.ncbi.nlm.nih.gov/nuccore/HM004067,HM004068,HM004069,HM004070","NCBI Nucleotide")</f>
        <v>NCBI Nucleotide</v>
      </c>
    </row>
    <row r="7618" spans="1:27" x14ac:dyDescent="0.35">
      <c r="A7618">
        <v>1008380</v>
      </c>
      <c r="B7618">
        <v>7082</v>
      </c>
      <c r="C7618">
        <v>1</v>
      </c>
      <c r="D7618" s="17" t="s">
        <v>17166</v>
      </c>
      <c r="E7618" s="17"/>
      <c r="F7618" s="17" t="s">
        <v>17246</v>
      </c>
      <c r="G7618" s="17"/>
      <c r="H7618" s="17" t="s">
        <v>17310</v>
      </c>
      <c r="I7618" s="17"/>
      <c r="J7618" s="17" t="s">
        <v>17311</v>
      </c>
      <c r="K7618" s="17"/>
      <c r="L7618" s="17" t="s">
        <v>17312</v>
      </c>
      <c r="M7618" s="17" t="s">
        <v>41785</v>
      </c>
      <c r="N7618" s="17" t="s">
        <v>17330</v>
      </c>
      <c r="O7618" s="17"/>
      <c r="P7618" s="17" t="s">
        <v>17331</v>
      </c>
      <c r="Q7618" s="17"/>
      <c r="R7618" s="25" t="str">
        <f>HYPERLINK("https://ictv.global/taxonomy/taxondetails?taxnode_id=202308820","Alphachrysovirus zeae")</f>
        <v>Alphachrysovirus zeae</v>
      </c>
      <c r="S7618" s="18" t="s">
        <v>30</v>
      </c>
      <c r="T7618" s="18" t="s">
        <v>17424</v>
      </c>
      <c r="U7618" s="18" t="s">
        <v>17425</v>
      </c>
      <c r="V7618" s="18">
        <v>74</v>
      </c>
      <c r="W7618" s="18" t="s">
        <v>50484</v>
      </c>
      <c r="X7618" s="18" t="s">
        <v>42</v>
      </c>
      <c r="Y7618" s="18" t="s">
        <v>17196</v>
      </c>
      <c r="Z7618" s="18" t="s">
        <v>16721</v>
      </c>
      <c r="AA7618" s="21" t="str">
        <f>HYPERLINK("https://www.ncbi.nlm.nih.gov/nuccore/MH931196,MH931195,MH931197","NCBI Nucleotide")</f>
        <v>NCBI Nucleotide</v>
      </c>
    </row>
    <row r="7619" spans="1:27" x14ac:dyDescent="0.35">
      <c r="A7619">
        <v>1008381</v>
      </c>
      <c r="B7619">
        <v>7083</v>
      </c>
      <c r="C7619">
        <v>1</v>
      </c>
      <c r="D7619" s="17" t="s">
        <v>17166</v>
      </c>
      <c r="E7619" s="17"/>
      <c r="F7619" s="17" t="s">
        <v>17246</v>
      </c>
      <c r="G7619" s="17"/>
      <c r="H7619" s="17" t="s">
        <v>17310</v>
      </c>
      <c r="I7619" s="17"/>
      <c r="J7619" s="17" t="s">
        <v>17311</v>
      </c>
      <c r="K7619" s="17"/>
      <c r="L7619" s="17" t="s">
        <v>17312</v>
      </c>
      <c r="M7619" s="17" t="s">
        <v>41785</v>
      </c>
      <c r="N7619" s="17" t="s">
        <v>17330</v>
      </c>
      <c r="O7619" s="17"/>
      <c r="P7619" s="17" t="s">
        <v>17426</v>
      </c>
      <c r="Q7619" s="17"/>
      <c r="R7619" s="25" t="str">
        <f>HYPERLINK("https://ictv.global/taxonomy/taxondetails?taxnode_id=202306305","Betachrysovirus alternariae")</f>
        <v>Betachrysovirus alternariae</v>
      </c>
      <c r="S7619" s="18" t="s">
        <v>30</v>
      </c>
      <c r="T7619" s="18" t="s">
        <v>17427</v>
      </c>
      <c r="U7619" s="18" t="s">
        <v>17428</v>
      </c>
      <c r="V7619" s="18" t="s">
        <v>17429</v>
      </c>
      <c r="W7619" s="18" t="s">
        <v>17430</v>
      </c>
      <c r="X7619" s="18" t="s">
        <v>42</v>
      </c>
      <c r="Y7619" s="18" t="s">
        <v>17196</v>
      </c>
      <c r="Z7619" s="18" t="s">
        <v>16721</v>
      </c>
      <c r="AA7619" s="21" t="str">
        <f>HYPERLINK("https://www.ncbi.nlm.nih.gov/nuccore/LC350277,LC350278,LC350279,LC350280,LC350281","NCBI Nucleotide")</f>
        <v>NCBI Nucleotide</v>
      </c>
    </row>
    <row r="7620" spans="1:27" x14ac:dyDescent="0.35">
      <c r="A7620">
        <v>1008382</v>
      </c>
      <c r="B7620">
        <v>7084</v>
      </c>
      <c r="C7620">
        <v>1</v>
      </c>
      <c r="D7620" s="17" t="s">
        <v>17166</v>
      </c>
      <c r="E7620" s="17"/>
      <c r="F7620" s="17" t="s">
        <v>17246</v>
      </c>
      <c r="G7620" s="17"/>
      <c r="H7620" s="17" t="s">
        <v>17310</v>
      </c>
      <c r="I7620" s="17"/>
      <c r="J7620" s="17" t="s">
        <v>17311</v>
      </c>
      <c r="K7620" s="17"/>
      <c r="L7620" s="17" t="s">
        <v>17312</v>
      </c>
      <c r="M7620" s="17" t="s">
        <v>41785</v>
      </c>
      <c r="N7620" s="17" t="s">
        <v>17330</v>
      </c>
      <c r="O7620" s="17"/>
      <c r="P7620" s="17" t="s">
        <v>17426</v>
      </c>
      <c r="Q7620" s="17"/>
      <c r="R7620" s="25" t="str">
        <f>HYPERLINK("https://ictv.global/taxonomy/taxondetails?taxnode_id=202308821","Betachrysovirus aspergilli")</f>
        <v>Betachrysovirus aspergilli</v>
      </c>
      <c r="S7620" s="18" t="s">
        <v>30</v>
      </c>
      <c r="T7620" s="18" t="s">
        <v>17431</v>
      </c>
      <c r="U7620" s="18" t="s">
        <v>17432</v>
      </c>
      <c r="V7620" s="18" t="s">
        <v>17433</v>
      </c>
      <c r="W7620" s="18" t="s">
        <v>17434</v>
      </c>
      <c r="X7620" s="18" t="s">
        <v>42</v>
      </c>
      <c r="Y7620" s="18" t="s">
        <v>17196</v>
      </c>
      <c r="Z7620" s="18" t="s">
        <v>16721</v>
      </c>
      <c r="AA7620" s="21" t="str">
        <f>HYPERLINK("https://www.ncbi.nlm.nih.gov/nuccore/MF045841,MF045842,MF045843,MF045844","NCBI Nucleotide")</f>
        <v>NCBI Nucleotide</v>
      </c>
    </row>
    <row r="7621" spans="1:27" x14ac:dyDescent="0.35">
      <c r="A7621">
        <v>1008383</v>
      </c>
      <c r="B7621">
        <v>7085</v>
      </c>
      <c r="C7621">
        <v>1</v>
      </c>
      <c r="D7621" s="17" t="s">
        <v>17166</v>
      </c>
      <c r="E7621" s="17"/>
      <c r="F7621" s="17" t="s">
        <v>17246</v>
      </c>
      <c r="G7621" s="17"/>
      <c r="H7621" s="17" t="s">
        <v>17310</v>
      </c>
      <c r="I7621" s="17"/>
      <c r="J7621" s="17" t="s">
        <v>17311</v>
      </c>
      <c r="K7621" s="17"/>
      <c r="L7621" s="17" t="s">
        <v>17312</v>
      </c>
      <c r="M7621" s="17" t="s">
        <v>41785</v>
      </c>
      <c r="N7621" s="17" t="s">
        <v>17330</v>
      </c>
      <c r="O7621" s="17"/>
      <c r="P7621" s="17" t="s">
        <v>17426</v>
      </c>
      <c r="Q7621" s="17"/>
      <c r="R7621" s="25" t="str">
        <f>HYPERLINK("https://ictv.global/taxonomy/taxondetails?taxnode_id=202306306","Betachrysovirus botryosphaeriae")</f>
        <v>Betachrysovirus botryosphaeriae</v>
      </c>
      <c r="S7621" s="18" t="s">
        <v>30</v>
      </c>
      <c r="T7621" s="18" t="s">
        <v>17435</v>
      </c>
      <c r="U7621" s="18" t="s">
        <v>17436</v>
      </c>
      <c r="V7621" s="18" t="s">
        <v>17437</v>
      </c>
      <c r="W7621" s="18" t="s">
        <v>17438</v>
      </c>
      <c r="X7621" s="18" t="s">
        <v>42</v>
      </c>
      <c r="Y7621" s="18" t="s">
        <v>17196</v>
      </c>
      <c r="Z7621" s="18" t="s">
        <v>16721</v>
      </c>
      <c r="AA7621" s="21" t="str">
        <f>HYPERLINK("https://www.ncbi.nlm.nih.gov/nuccore/KF688736,KF688737,KF688738,KF688739","NCBI Nucleotide")</f>
        <v>NCBI Nucleotide</v>
      </c>
    </row>
    <row r="7622" spans="1:27" x14ac:dyDescent="0.35">
      <c r="A7622">
        <v>1008384</v>
      </c>
      <c r="B7622">
        <v>7086</v>
      </c>
      <c r="C7622">
        <v>1</v>
      </c>
      <c r="D7622" s="17" t="s">
        <v>17166</v>
      </c>
      <c r="E7622" s="17"/>
      <c r="F7622" s="17" t="s">
        <v>17246</v>
      </c>
      <c r="G7622" s="17"/>
      <c r="H7622" s="17" t="s">
        <v>17310</v>
      </c>
      <c r="I7622" s="17"/>
      <c r="J7622" s="17" t="s">
        <v>17311</v>
      </c>
      <c r="K7622" s="17"/>
      <c r="L7622" s="17" t="s">
        <v>17312</v>
      </c>
      <c r="M7622" s="17" t="s">
        <v>41785</v>
      </c>
      <c r="N7622" s="17" t="s">
        <v>17330</v>
      </c>
      <c r="O7622" s="17"/>
      <c r="P7622" s="17" t="s">
        <v>17426</v>
      </c>
      <c r="Q7622" s="17"/>
      <c r="R7622" s="25" t="str">
        <f>HYPERLINK("https://ictv.global/taxonomy/taxondetails?taxnode_id=202306307","Betachrysovirus colletotrichi")</f>
        <v>Betachrysovirus colletotrichi</v>
      </c>
      <c r="S7622" s="18" t="s">
        <v>30</v>
      </c>
      <c r="T7622" s="18" t="s">
        <v>17439</v>
      </c>
      <c r="U7622" s="18" t="s">
        <v>17440</v>
      </c>
      <c r="V7622" s="18" t="s">
        <v>17441</v>
      </c>
      <c r="W7622" s="18" t="s">
        <v>17442</v>
      </c>
      <c r="X7622" s="18" t="s">
        <v>42</v>
      </c>
      <c r="Y7622" s="18" t="s">
        <v>17196</v>
      </c>
      <c r="Z7622" s="18" t="s">
        <v>16721</v>
      </c>
      <c r="AA7622" s="21" t="str">
        <f>HYPERLINK("https://www.ncbi.nlm.nih.gov/nuccore/MG425969,MG425970,MG425971,MG425972,MG425973,MG425974,MG425975","NCBI Nucleotide")</f>
        <v>NCBI Nucleotide</v>
      </c>
    </row>
    <row r="7623" spans="1:27" x14ac:dyDescent="0.35">
      <c r="A7623">
        <v>1008385</v>
      </c>
      <c r="B7623">
        <v>7087</v>
      </c>
      <c r="C7623">
        <v>1</v>
      </c>
      <c r="D7623" s="17" t="s">
        <v>17166</v>
      </c>
      <c r="E7623" s="17"/>
      <c r="F7623" s="17" t="s">
        <v>17246</v>
      </c>
      <c r="G7623" s="17"/>
      <c r="H7623" s="17" t="s">
        <v>17310</v>
      </c>
      <c r="I7623" s="17"/>
      <c r="J7623" s="17" t="s">
        <v>17311</v>
      </c>
      <c r="K7623" s="17"/>
      <c r="L7623" s="17" t="s">
        <v>17312</v>
      </c>
      <c r="M7623" s="17" t="s">
        <v>41785</v>
      </c>
      <c r="N7623" s="17" t="s">
        <v>17330</v>
      </c>
      <c r="O7623" s="17"/>
      <c r="P7623" s="17" t="s">
        <v>17426</v>
      </c>
      <c r="Q7623" s="17"/>
      <c r="R7623" s="25" t="str">
        <f>HYPERLINK("https://ictv.global/taxonomy/taxondetails?taxnode_id=202308822","Betachrysovirus coniothyrii")</f>
        <v>Betachrysovirus coniothyrii</v>
      </c>
      <c r="S7623" s="18" t="s">
        <v>30</v>
      </c>
      <c r="T7623" s="18" t="s">
        <v>17443</v>
      </c>
      <c r="U7623" s="18" t="s">
        <v>17444</v>
      </c>
      <c r="V7623" s="18" t="s">
        <v>17445</v>
      </c>
      <c r="W7623" s="18" t="s">
        <v>50485</v>
      </c>
      <c r="X7623" s="18" t="s">
        <v>42</v>
      </c>
      <c r="Y7623" s="18" t="s">
        <v>17196</v>
      </c>
      <c r="Z7623" s="18" t="s">
        <v>16721</v>
      </c>
      <c r="AA7623" s="21" t="str">
        <f>HYPERLINK("https://www.ncbi.nlm.nih.gov/nuccore/MK584812,MK584813,MK584814,MK584815","NCBI Nucleotide")</f>
        <v>NCBI Nucleotide</v>
      </c>
    </row>
    <row r="7624" spans="1:27" x14ac:dyDescent="0.35">
      <c r="A7624">
        <v>1008386</v>
      </c>
      <c r="B7624">
        <v>7088</v>
      </c>
      <c r="C7624">
        <v>1</v>
      </c>
      <c r="D7624" s="17" t="s">
        <v>17166</v>
      </c>
      <c r="E7624" s="17"/>
      <c r="F7624" s="17" t="s">
        <v>17246</v>
      </c>
      <c r="G7624" s="17"/>
      <c r="H7624" s="17" t="s">
        <v>17310</v>
      </c>
      <c r="I7624" s="17"/>
      <c r="J7624" s="17" t="s">
        <v>17311</v>
      </c>
      <c r="K7624" s="17"/>
      <c r="L7624" s="17" t="s">
        <v>17312</v>
      </c>
      <c r="M7624" s="17" t="s">
        <v>41785</v>
      </c>
      <c r="N7624" s="17" t="s">
        <v>17330</v>
      </c>
      <c r="O7624" s="17"/>
      <c r="P7624" s="17" t="s">
        <v>17426</v>
      </c>
      <c r="Q7624" s="17"/>
      <c r="R7624" s="25" t="str">
        <f>HYPERLINK("https://ictv.global/taxonomy/taxondetails?taxnode_id=202306309","Betachrysovirus foxyspori")</f>
        <v>Betachrysovirus foxyspori</v>
      </c>
      <c r="S7624" s="18" t="s">
        <v>30</v>
      </c>
      <c r="T7624" s="18" t="s">
        <v>17446</v>
      </c>
      <c r="U7624" s="18" t="s">
        <v>17447</v>
      </c>
      <c r="V7624" s="18" t="s">
        <v>17448</v>
      </c>
      <c r="W7624" s="18" t="s">
        <v>17449</v>
      </c>
      <c r="X7624" s="18" t="s">
        <v>42</v>
      </c>
      <c r="Y7624" s="18" t="s">
        <v>17196</v>
      </c>
      <c r="Z7624" s="18" t="s">
        <v>16721</v>
      </c>
      <c r="AA7624" s="21" t="str">
        <f>HYPERLINK("https://www.ncbi.nlm.nih.gov/nuccore/KP876629,KP876630,KP876631,KP876632","NCBI Nucleotide")</f>
        <v>NCBI Nucleotide</v>
      </c>
    </row>
    <row r="7625" spans="1:27" x14ac:dyDescent="0.35">
      <c r="A7625">
        <v>1012703</v>
      </c>
      <c r="B7625">
        <v>7088</v>
      </c>
      <c r="C7625">
        <v>2</v>
      </c>
      <c r="D7625" s="17" t="s">
        <v>17166</v>
      </c>
      <c r="E7625" s="17"/>
      <c r="F7625" s="17" t="s">
        <v>17246</v>
      </c>
      <c r="G7625" s="17"/>
      <c r="H7625" s="17" t="s">
        <v>17310</v>
      </c>
      <c r="I7625" s="17"/>
      <c r="J7625" s="17" t="s">
        <v>17311</v>
      </c>
      <c r="K7625" s="17"/>
      <c r="L7625" s="17" t="s">
        <v>17312</v>
      </c>
      <c r="M7625" s="17" t="s">
        <v>41785</v>
      </c>
      <c r="N7625" s="17" t="s">
        <v>17330</v>
      </c>
      <c r="O7625" s="17"/>
      <c r="P7625" s="17" t="s">
        <v>17426</v>
      </c>
      <c r="Q7625" s="17"/>
      <c r="R7625" s="25" t="str">
        <f>HYPERLINK("https://ictv.global/taxonomy/taxondetails?taxnode_id=202306309","Betachrysovirus foxyspori")</f>
        <v>Betachrysovirus foxyspori</v>
      </c>
      <c r="S7625" s="18" t="s">
        <v>8141</v>
      </c>
      <c r="T7625" s="18" t="s">
        <v>17450</v>
      </c>
      <c r="U7625" s="18" t="s">
        <v>17451</v>
      </c>
      <c r="V7625" s="18" t="s">
        <v>17452</v>
      </c>
      <c r="W7625" s="18" t="s">
        <v>49263</v>
      </c>
      <c r="X7625" s="18" t="s">
        <v>42</v>
      </c>
      <c r="Y7625" s="18" t="s">
        <v>17196</v>
      </c>
      <c r="Z7625" s="18" t="s">
        <v>16721</v>
      </c>
      <c r="AA7625" s="21" t="str">
        <f>HYPERLINK("https://www.ncbi.nlm.nih.gov/nuccore/MN295964,MN295965,MN295966,MN295967","NCBI Nucleotide")</f>
        <v>NCBI Nucleotide</v>
      </c>
    </row>
    <row r="7626" spans="1:27" x14ac:dyDescent="0.35">
      <c r="A7626">
        <v>1008387</v>
      </c>
      <c r="B7626">
        <v>7089</v>
      </c>
      <c r="C7626">
        <v>1</v>
      </c>
      <c r="D7626" s="17" t="s">
        <v>17166</v>
      </c>
      <c r="E7626" s="17"/>
      <c r="F7626" s="17" t="s">
        <v>17246</v>
      </c>
      <c r="G7626" s="17"/>
      <c r="H7626" s="17" t="s">
        <v>17310</v>
      </c>
      <c r="I7626" s="17"/>
      <c r="J7626" s="17" t="s">
        <v>17311</v>
      </c>
      <c r="K7626" s="17"/>
      <c r="L7626" s="17" t="s">
        <v>17312</v>
      </c>
      <c r="M7626" s="17" t="s">
        <v>41785</v>
      </c>
      <c r="N7626" s="17" t="s">
        <v>17330</v>
      </c>
      <c r="O7626" s="17"/>
      <c r="P7626" s="17" t="s">
        <v>17426</v>
      </c>
      <c r="Q7626" s="17"/>
      <c r="R7626" s="25" t="str">
        <f>HYPERLINK("https://ictv.global/taxonomy/taxondetails?taxnode_id=202306308","Betachrysovirus fugramineari")</f>
        <v>Betachrysovirus fugramineari</v>
      </c>
      <c r="S7626" s="18" t="s">
        <v>30</v>
      </c>
      <c r="T7626" s="18" t="s">
        <v>17453</v>
      </c>
      <c r="U7626" s="18" t="s">
        <v>17454</v>
      </c>
      <c r="V7626" s="18" t="s">
        <v>17455</v>
      </c>
      <c r="W7626" s="18" t="s">
        <v>17456</v>
      </c>
      <c r="X7626" s="18" t="s">
        <v>42</v>
      </c>
      <c r="Y7626" s="18" t="s">
        <v>17196</v>
      </c>
      <c r="Z7626" s="18" t="s">
        <v>16721</v>
      </c>
      <c r="AA7626" s="21" t="str">
        <f>HYPERLINK("https://www.ncbi.nlm.nih.gov/nuccore/HQ343295,HQ343296,HQ343297,HQ343298,HQ343299","NCBI Nucleotide")</f>
        <v>NCBI Nucleotide</v>
      </c>
    </row>
    <row r="7627" spans="1:27" x14ac:dyDescent="0.35">
      <c r="A7627">
        <v>1012704</v>
      </c>
      <c r="B7627">
        <v>7089</v>
      </c>
      <c r="C7627">
        <v>2</v>
      </c>
      <c r="D7627" s="17" t="s">
        <v>17166</v>
      </c>
      <c r="E7627" s="17"/>
      <c r="F7627" s="17" t="s">
        <v>17246</v>
      </c>
      <c r="G7627" s="17"/>
      <c r="H7627" s="17" t="s">
        <v>17310</v>
      </c>
      <c r="I7627" s="17"/>
      <c r="J7627" s="17" t="s">
        <v>17311</v>
      </c>
      <c r="K7627" s="17"/>
      <c r="L7627" s="17" t="s">
        <v>17312</v>
      </c>
      <c r="M7627" s="17" t="s">
        <v>41785</v>
      </c>
      <c r="N7627" s="17" t="s">
        <v>17330</v>
      </c>
      <c r="O7627" s="17"/>
      <c r="P7627" s="17" t="s">
        <v>17426</v>
      </c>
      <c r="Q7627" s="17"/>
      <c r="R7627" s="25" t="str">
        <f>HYPERLINK("https://ictv.global/taxonomy/taxondetails?taxnode_id=202306308","Betachrysovirus fugramineari")</f>
        <v>Betachrysovirus fugramineari</v>
      </c>
      <c r="S7627" s="18" t="s">
        <v>8141</v>
      </c>
      <c r="T7627" s="18" t="s">
        <v>17457</v>
      </c>
      <c r="U7627" s="18" t="s">
        <v>17458</v>
      </c>
      <c r="V7627" s="18" t="s">
        <v>17459</v>
      </c>
      <c r="W7627" s="18" t="s">
        <v>49264</v>
      </c>
      <c r="X7627" s="18" t="s">
        <v>42</v>
      </c>
      <c r="Y7627" s="18" t="s">
        <v>17196</v>
      </c>
      <c r="Z7627" s="18" t="s">
        <v>16721</v>
      </c>
      <c r="AA7627" s="21" t="str">
        <f>HYPERLINK("https://www.ncbi.nlm.nih.gov/nuccore/HQ228213,HQ228214,HQ228215,HQ228216,HQ228217","NCBI Nucleotide")</f>
        <v>NCBI Nucleotide</v>
      </c>
    </row>
    <row r="7628" spans="1:27" x14ac:dyDescent="0.35">
      <c r="A7628">
        <v>1008388</v>
      </c>
      <c r="B7628">
        <v>7090</v>
      </c>
      <c r="C7628">
        <v>1</v>
      </c>
      <c r="D7628" s="17" t="s">
        <v>17166</v>
      </c>
      <c r="E7628" s="17"/>
      <c r="F7628" s="17" t="s">
        <v>17246</v>
      </c>
      <c r="G7628" s="17"/>
      <c r="H7628" s="17" t="s">
        <v>17310</v>
      </c>
      <c r="I7628" s="17"/>
      <c r="J7628" s="17" t="s">
        <v>17311</v>
      </c>
      <c r="K7628" s="17"/>
      <c r="L7628" s="17" t="s">
        <v>17312</v>
      </c>
      <c r="M7628" s="17" t="s">
        <v>41785</v>
      </c>
      <c r="N7628" s="17" t="s">
        <v>17330</v>
      </c>
      <c r="O7628" s="17"/>
      <c r="P7628" s="17" t="s">
        <v>17426</v>
      </c>
      <c r="Q7628" s="17"/>
      <c r="R7628" s="25" t="str">
        <f>HYPERLINK("https://ictv.global/taxonomy/taxondetails?taxnode_id=202306310","Betachrysovirus magnaporthis")</f>
        <v>Betachrysovirus magnaporthis</v>
      </c>
      <c r="S7628" s="18" t="s">
        <v>30</v>
      </c>
      <c r="T7628" s="18" t="s">
        <v>17460</v>
      </c>
      <c r="U7628" s="18" t="s">
        <v>17461</v>
      </c>
      <c r="V7628" s="18" t="s">
        <v>17065</v>
      </c>
      <c r="W7628" s="18" t="s">
        <v>17462</v>
      </c>
      <c r="X7628" s="18" t="s">
        <v>42</v>
      </c>
      <c r="Y7628" s="18" t="s">
        <v>17196</v>
      </c>
      <c r="Z7628" s="18" t="s">
        <v>16721</v>
      </c>
      <c r="AA7628" s="21" t="str">
        <f>HYPERLINK("https://www.ncbi.nlm.nih.gov/nuccore/AB560761,AB560762,AB560763,AB560764,AB700631","NCBI Nucleotide")</f>
        <v>NCBI Nucleotide</v>
      </c>
    </row>
    <row r="7629" spans="1:27" x14ac:dyDescent="0.35">
      <c r="A7629">
        <v>1012705</v>
      </c>
      <c r="B7629">
        <v>7090</v>
      </c>
      <c r="C7629">
        <v>2</v>
      </c>
      <c r="D7629" s="17" t="s">
        <v>17166</v>
      </c>
      <c r="E7629" s="17"/>
      <c r="F7629" s="17" t="s">
        <v>17246</v>
      </c>
      <c r="G7629" s="17"/>
      <c r="H7629" s="17" t="s">
        <v>17310</v>
      </c>
      <c r="I7629" s="17"/>
      <c r="J7629" s="17" t="s">
        <v>17311</v>
      </c>
      <c r="K7629" s="17"/>
      <c r="L7629" s="17" t="s">
        <v>17312</v>
      </c>
      <c r="M7629" s="17" t="s">
        <v>41785</v>
      </c>
      <c r="N7629" s="17" t="s">
        <v>17330</v>
      </c>
      <c r="O7629" s="17"/>
      <c r="P7629" s="17" t="s">
        <v>17426</v>
      </c>
      <c r="Q7629" s="17"/>
      <c r="R7629" s="25" t="str">
        <f>HYPERLINK("https://ictv.global/taxonomy/taxondetails?taxnode_id=202306310","Betachrysovirus magnaporthis")</f>
        <v>Betachrysovirus magnaporthis</v>
      </c>
      <c r="S7629" s="18" t="s">
        <v>8141</v>
      </c>
      <c r="T7629" s="18" t="s">
        <v>17463</v>
      </c>
      <c r="U7629" s="18" t="s">
        <v>17464</v>
      </c>
      <c r="V7629" s="18" t="s">
        <v>17065</v>
      </c>
      <c r="W7629" s="18" t="s">
        <v>49265</v>
      </c>
      <c r="X7629" s="18" t="s">
        <v>42</v>
      </c>
      <c r="Y7629" s="18" t="s">
        <v>17196</v>
      </c>
      <c r="Z7629" s="18" t="s">
        <v>16721</v>
      </c>
      <c r="AA7629" s="21" t="str">
        <f>HYPERLINK("https://www.ncbi.nlm.nih.gov/nuccore/AB824667,AB824668,AB824669,AB824670,AB824671","NCBI Nucleotide")</f>
        <v>NCBI Nucleotide</v>
      </c>
    </row>
    <row r="7630" spans="1:27" x14ac:dyDescent="0.35">
      <c r="A7630">
        <v>1008389</v>
      </c>
      <c r="B7630">
        <v>7091</v>
      </c>
      <c r="C7630">
        <v>1</v>
      </c>
      <c r="D7630" s="17" t="s">
        <v>17166</v>
      </c>
      <c r="E7630" s="17"/>
      <c r="F7630" s="17" t="s">
        <v>17246</v>
      </c>
      <c r="G7630" s="17"/>
      <c r="H7630" s="17" t="s">
        <v>17310</v>
      </c>
      <c r="I7630" s="17"/>
      <c r="J7630" s="17" t="s">
        <v>17311</v>
      </c>
      <c r="K7630" s="17"/>
      <c r="L7630" s="17" t="s">
        <v>17312</v>
      </c>
      <c r="M7630" s="17" t="s">
        <v>41785</v>
      </c>
      <c r="N7630" s="17" t="s">
        <v>17330</v>
      </c>
      <c r="O7630" s="17"/>
      <c r="P7630" s="17" t="s">
        <v>17426</v>
      </c>
      <c r="Q7630" s="17"/>
      <c r="R7630" s="25" t="str">
        <f>HYPERLINK("https://ictv.global/taxonomy/taxondetails?taxnode_id=202308823","Betachrysovirus neofusicocci")</f>
        <v>Betachrysovirus neofusicocci</v>
      </c>
      <c r="S7630" s="18" t="s">
        <v>30</v>
      </c>
      <c r="T7630" s="18" t="s">
        <v>17465</v>
      </c>
      <c r="U7630" s="18" t="s">
        <v>17466</v>
      </c>
      <c r="V7630" s="18" t="s">
        <v>17467</v>
      </c>
      <c r="W7630" s="18" t="s">
        <v>17468</v>
      </c>
      <c r="X7630" s="18" t="s">
        <v>42</v>
      </c>
      <c r="Y7630" s="18" t="s">
        <v>17196</v>
      </c>
      <c r="Z7630" s="18" t="s">
        <v>16721</v>
      </c>
      <c r="AA7630" s="21" t="str">
        <f>HYPERLINK("https://www.ncbi.nlm.nih.gov/nuccore/MK584816,MK584817,MK584818,MK584819","NCBI Nucleotide")</f>
        <v>NCBI Nucleotide</v>
      </c>
    </row>
    <row r="7631" spans="1:27" x14ac:dyDescent="0.35">
      <c r="A7631">
        <v>1008390</v>
      </c>
      <c r="B7631">
        <v>7092</v>
      </c>
      <c r="C7631">
        <v>1</v>
      </c>
      <c r="D7631" s="17" t="s">
        <v>17166</v>
      </c>
      <c r="E7631" s="17"/>
      <c r="F7631" s="17" t="s">
        <v>17246</v>
      </c>
      <c r="G7631" s="17"/>
      <c r="H7631" s="17" t="s">
        <v>17310</v>
      </c>
      <c r="I7631" s="17"/>
      <c r="J7631" s="17" t="s">
        <v>17311</v>
      </c>
      <c r="K7631" s="17"/>
      <c r="L7631" s="17" t="s">
        <v>17312</v>
      </c>
      <c r="M7631" s="17" t="s">
        <v>41785</v>
      </c>
      <c r="N7631" s="17" t="s">
        <v>17330</v>
      </c>
      <c r="O7631" s="17"/>
      <c r="P7631" s="17" t="s">
        <v>17426</v>
      </c>
      <c r="Q7631" s="17"/>
      <c r="R7631" s="25" t="str">
        <f>HYPERLINK("https://ictv.global/taxonomy/taxondetails?taxnode_id=202306311","Betachrysovirus pripenicillii")</f>
        <v>Betachrysovirus pripenicillii</v>
      </c>
      <c r="S7631" s="18" t="s">
        <v>30</v>
      </c>
      <c r="T7631" s="18" t="s">
        <v>17469</v>
      </c>
      <c r="U7631" s="18" t="s">
        <v>17470</v>
      </c>
      <c r="V7631" s="18" t="s">
        <v>17471</v>
      </c>
      <c r="W7631" s="18" t="s">
        <v>17472</v>
      </c>
      <c r="X7631" s="18" t="s">
        <v>42</v>
      </c>
      <c r="Y7631" s="18" t="s">
        <v>17196</v>
      </c>
      <c r="Z7631" s="18" t="s">
        <v>16721</v>
      </c>
      <c r="AA7631" s="21" t="str">
        <f>HYPERLINK("https://www.ncbi.nlm.nih.gov/nuccore/KT601115,KT601116,KT601117,KT601118","NCBI Nucleotide")</f>
        <v>NCBI Nucleotide</v>
      </c>
    </row>
    <row r="7632" spans="1:27" x14ac:dyDescent="0.35">
      <c r="A7632">
        <v>1008391</v>
      </c>
      <c r="B7632">
        <v>7093</v>
      </c>
      <c r="C7632">
        <v>1</v>
      </c>
      <c r="D7632" s="17" t="s">
        <v>17166</v>
      </c>
      <c r="E7632" s="17"/>
      <c r="F7632" s="17" t="s">
        <v>17246</v>
      </c>
      <c r="G7632" s="17"/>
      <c r="H7632" s="17" t="s">
        <v>17310</v>
      </c>
      <c r="I7632" s="17"/>
      <c r="J7632" s="17" t="s">
        <v>17311</v>
      </c>
      <c r="K7632" s="17"/>
      <c r="L7632" s="17" t="s">
        <v>17312</v>
      </c>
      <c r="M7632" s="17" t="s">
        <v>41785</v>
      </c>
      <c r="N7632" s="17" t="s">
        <v>17330</v>
      </c>
      <c r="O7632" s="17"/>
      <c r="P7632" s="17" t="s">
        <v>17426</v>
      </c>
      <c r="Q7632" s="17"/>
      <c r="R7632" s="25" t="str">
        <f>HYPERLINK("https://ictv.global/taxonomy/taxondetails?taxnode_id=202306312","Betachrysovirus secupenicillii")</f>
        <v>Betachrysovirus secupenicillii</v>
      </c>
      <c r="S7632" s="18" t="s">
        <v>30</v>
      </c>
      <c r="T7632" s="18" t="s">
        <v>17473</v>
      </c>
      <c r="U7632" s="18" t="s">
        <v>17474</v>
      </c>
      <c r="V7632" s="18" t="s">
        <v>17475</v>
      </c>
      <c r="W7632" s="18" t="s">
        <v>17476</v>
      </c>
      <c r="X7632" s="18" t="s">
        <v>42</v>
      </c>
      <c r="Y7632" s="18" t="s">
        <v>17196</v>
      </c>
      <c r="Z7632" s="18" t="s">
        <v>16721</v>
      </c>
      <c r="AA7632" s="21" t="str">
        <f>HYPERLINK("https://www.ncbi.nlm.nih.gov/nuccore/KT950836,KT950837,KT950838,KT950839","NCBI Nucleotide")</f>
        <v>NCBI Nucleotide</v>
      </c>
    </row>
    <row r="7633" spans="1:27" x14ac:dyDescent="0.35">
      <c r="A7633">
        <v>1025611</v>
      </c>
      <c r="B7633">
        <v>7094</v>
      </c>
      <c r="C7633">
        <v>1</v>
      </c>
      <c r="D7633" s="17" t="s">
        <v>17166</v>
      </c>
      <c r="E7633" s="17"/>
      <c r="F7633" s="17" t="s">
        <v>17246</v>
      </c>
      <c r="G7633" s="17"/>
      <c r="H7633" s="17" t="s">
        <v>17310</v>
      </c>
      <c r="I7633" s="17"/>
      <c r="J7633" s="17" t="s">
        <v>17311</v>
      </c>
      <c r="K7633" s="17"/>
      <c r="L7633" s="17" t="s">
        <v>17312</v>
      </c>
      <c r="M7633" s="17" t="s">
        <v>41785</v>
      </c>
      <c r="N7633" s="17" t="s">
        <v>41812</v>
      </c>
      <c r="O7633" s="17"/>
      <c r="P7633" s="17" t="s">
        <v>41813</v>
      </c>
      <c r="Q7633" s="17"/>
      <c r="R7633" s="25" t="str">
        <f>HYPERLINK("https://ictv.global/taxonomy/taxondetails?taxnode_id=202318106","Fusagravirus go")</f>
        <v>Fusagravirus go</v>
      </c>
      <c r="S7633" s="18" t="s">
        <v>30</v>
      </c>
      <c r="T7633" s="18" t="s">
        <v>41814</v>
      </c>
      <c r="U7633" s="18" t="s">
        <v>41815</v>
      </c>
      <c r="V7633" s="18"/>
      <c r="W7633" s="18" t="s">
        <v>41816</v>
      </c>
      <c r="X7633" s="18" t="s">
        <v>35</v>
      </c>
      <c r="Y7633" s="18" t="s">
        <v>17196</v>
      </c>
      <c r="Z7633" s="18" t="s">
        <v>16721</v>
      </c>
      <c r="AA7633" s="21" t="str">
        <f>HYPERLINK("https://www.ncbi.nlm.nih.gov/nuccore/JN671443","NCBI Nucleotide")</f>
        <v>NCBI Nucleotide</v>
      </c>
    </row>
    <row r="7634" spans="1:27" x14ac:dyDescent="0.35">
      <c r="A7634">
        <v>1025612</v>
      </c>
      <c r="B7634">
        <v>7095</v>
      </c>
      <c r="C7634">
        <v>1</v>
      </c>
      <c r="D7634" s="17" t="s">
        <v>17166</v>
      </c>
      <c r="E7634" s="17"/>
      <c r="F7634" s="17" t="s">
        <v>17246</v>
      </c>
      <c r="G7634" s="17"/>
      <c r="H7634" s="17" t="s">
        <v>17310</v>
      </c>
      <c r="I7634" s="17"/>
      <c r="J7634" s="17" t="s">
        <v>17311</v>
      </c>
      <c r="K7634" s="17"/>
      <c r="L7634" s="17" t="s">
        <v>17312</v>
      </c>
      <c r="M7634" s="17" t="s">
        <v>41785</v>
      </c>
      <c r="N7634" s="17" t="s">
        <v>41812</v>
      </c>
      <c r="O7634" s="17"/>
      <c r="P7634" s="17" t="s">
        <v>41813</v>
      </c>
      <c r="Q7634" s="17"/>
      <c r="R7634" s="25" t="str">
        <f>HYPERLINK("https://ictv.global/taxonomy/taxondetails?taxnode_id=202318107","Fusagravirus hachi")</f>
        <v>Fusagravirus hachi</v>
      </c>
      <c r="S7634" s="18" t="s">
        <v>30</v>
      </c>
      <c r="T7634" s="18" t="s">
        <v>41817</v>
      </c>
      <c r="U7634" s="18" t="s">
        <v>41818</v>
      </c>
      <c r="V7634" s="18" t="s">
        <v>41819</v>
      </c>
      <c r="W7634" s="18" t="s">
        <v>41820</v>
      </c>
      <c r="X7634" s="18" t="s">
        <v>42</v>
      </c>
      <c r="Y7634" s="18" t="s">
        <v>17196</v>
      </c>
      <c r="Z7634" s="18" t="s">
        <v>16721</v>
      </c>
      <c r="AA7634" s="21" t="str">
        <f>HYPERLINK("https://www.ncbi.nlm.nih.gov/nuccore/KU728181","NCBI Nucleotide")</f>
        <v>NCBI Nucleotide</v>
      </c>
    </row>
    <row r="7635" spans="1:27" x14ac:dyDescent="0.35">
      <c r="A7635">
        <v>1025613</v>
      </c>
      <c r="B7635">
        <v>7096</v>
      </c>
      <c r="C7635">
        <v>1</v>
      </c>
      <c r="D7635" s="17" t="s">
        <v>17166</v>
      </c>
      <c r="E7635" s="17"/>
      <c r="F7635" s="17" t="s">
        <v>17246</v>
      </c>
      <c r="G7635" s="17"/>
      <c r="H7635" s="17" t="s">
        <v>17310</v>
      </c>
      <c r="I7635" s="17"/>
      <c r="J7635" s="17" t="s">
        <v>17311</v>
      </c>
      <c r="K7635" s="17"/>
      <c r="L7635" s="17" t="s">
        <v>17312</v>
      </c>
      <c r="M7635" s="17" t="s">
        <v>41785</v>
      </c>
      <c r="N7635" s="17" t="s">
        <v>41812</v>
      </c>
      <c r="O7635" s="17"/>
      <c r="P7635" s="17" t="s">
        <v>41813</v>
      </c>
      <c r="Q7635" s="17"/>
      <c r="R7635" s="25" t="str">
        <f>HYPERLINK("https://ictv.global/taxonomy/taxondetails?taxnode_id=202318108","Fusagravirus ichi")</f>
        <v>Fusagravirus ichi</v>
      </c>
      <c r="S7635" s="18" t="s">
        <v>30</v>
      </c>
      <c r="T7635" s="18" t="s">
        <v>41821</v>
      </c>
      <c r="U7635" s="18" t="s">
        <v>41822</v>
      </c>
      <c r="V7635" s="18" t="s">
        <v>41823</v>
      </c>
      <c r="W7635" s="18" t="s">
        <v>41824</v>
      </c>
      <c r="X7635" s="18" t="s">
        <v>42</v>
      </c>
      <c r="Y7635" s="18" t="s">
        <v>17196</v>
      </c>
      <c r="Z7635" s="18" t="s">
        <v>16721</v>
      </c>
      <c r="AA7635" s="21" t="str">
        <f>HYPERLINK("https://www.ncbi.nlm.nih.gov/nuccore/GQ140626","NCBI Nucleotide")</f>
        <v>NCBI Nucleotide</v>
      </c>
    </row>
    <row r="7636" spans="1:27" x14ac:dyDescent="0.35">
      <c r="A7636">
        <v>1025614</v>
      </c>
      <c r="B7636">
        <v>7097</v>
      </c>
      <c r="C7636">
        <v>1</v>
      </c>
      <c r="D7636" s="17" t="s">
        <v>17166</v>
      </c>
      <c r="E7636" s="17"/>
      <c r="F7636" s="17" t="s">
        <v>17246</v>
      </c>
      <c r="G7636" s="17"/>
      <c r="H7636" s="17" t="s">
        <v>17310</v>
      </c>
      <c r="I7636" s="17"/>
      <c r="J7636" s="17" t="s">
        <v>17311</v>
      </c>
      <c r="K7636" s="17"/>
      <c r="L7636" s="17" t="s">
        <v>17312</v>
      </c>
      <c r="M7636" s="17" t="s">
        <v>41785</v>
      </c>
      <c r="N7636" s="17" t="s">
        <v>41812</v>
      </c>
      <c r="O7636" s="17"/>
      <c r="P7636" s="17" t="s">
        <v>41813</v>
      </c>
      <c r="Q7636" s="17"/>
      <c r="R7636" s="25" t="str">
        <f>HYPERLINK("https://ictv.global/taxonomy/taxondetails?taxnode_id=202318109","Fusagravirus jyu")</f>
        <v>Fusagravirus jyu</v>
      </c>
      <c r="S7636" s="18" t="s">
        <v>30</v>
      </c>
      <c r="T7636" s="18" t="s">
        <v>41825</v>
      </c>
      <c r="U7636" s="18" t="s">
        <v>41826</v>
      </c>
      <c r="V7636" s="18" t="s">
        <v>41827</v>
      </c>
      <c r="W7636" s="18" t="s">
        <v>41828</v>
      </c>
      <c r="X7636" s="18" t="s">
        <v>35</v>
      </c>
      <c r="Y7636" s="18" t="s">
        <v>17196</v>
      </c>
      <c r="Z7636" s="18" t="s">
        <v>16721</v>
      </c>
      <c r="AA7636" s="21" t="str">
        <f>HYPERLINK("https://www.ncbi.nlm.nih.gov/nuccore/KP900891","NCBI Nucleotide")</f>
        <v>NCBI Nucleotide</v>
      </c>
    </row>
    <row r="7637" spans="1:27" x14ac:dyDescent="0.35">
      <c r="A7637">
        <v>1025615</v>
      </c>
      <c r="B7637">
        <v>7098</v>
      </c>
      <c r="C7637">
        <v>1</v>
      </c>
      <c r="D7637" s="17" t="s">
        <v>17166</v>
      </c>
      <c r="E7637" s="17"/>
      <c r="F7637" s="17" t="s">
        <v>17246</v>
      </c>
      <c r="G7637" s="17"/>
      <c r="H7637" s="17" t="s">
        <v>17310</v>
      </c>
      <c r="I7637" s="17"/>
      <c r="J7637" s="17" t="s">
        <v>17311</v>
      </c>
      <c r="K7637" s="17"/>
      <c r="L7637" s="17" t="s">
        <v>17312</v>
      </c>
      <c r="M7637" s="17" t="s">
        <v>41785</v>
      </c>
      <c r="N7637" s="17" t="s">
        <v>41812</v>
      </c>
      <c r="O7637" s="17"/>
      <c r="P7637" s="17" t="s">
        <v>41813</v>
      </c>
      <c r="Q7637" s="17"/>
      <c r="R7637" s="25" t="str">
        <f>HYPERLINK("https://ictv.global/taxonomy/taxondetails?taxnode_id=202318110","Fusagravirus jyugo")</f>
        <v>Fusagravirus jyugo</v>
      </c>
      <c r="S7637" s="18" t="s">
        <v>30</v>
      </c>
      <c r="T7637" s="18" t="s">
        <v>41829</v>
      </c>
      <c r="U7637" s="18" t="s">
        <v>29078</v>
      </c>
      <c r="V7637" s="18" t="s">
        <v>41830</v>
      </c>
      <c r="W7637" s="18" t="s">
        <v>41831</v>
      </c>
      <c r="X7637" s="18" t="s">
        <v>42</v>
      </c>
      <c r="Y7637" s="18" t="s">
        <v>17196</v>
      </c>
      <c r="Z7637" s="18" t="s">
        <v>16721</v>
      </c>
      <c r="AA7637" s="21" t="str">
        <f>HYPERLINK("https://www.ncbi.nlm.nih.gov/nuccore/MK780821","NCBI Nucleotide")</f>
        <v>NCBI Nucleotide</v>
      </c>
    </row>
    <row r="7638" spans="1:27" x14ac:dyDescent="0.35">
      <c r="A7638">
        <v>1025616</v>
      </c>
      <c r="B7638">
        <v>7099</v>
      </c>
      <c r="C7638">
        <v>1</v>
      </c>
      <c r="D7638" s="17" t="s">
        <v>17166</v>
      </c>
      <c r="E7638" s="17"/>
      <c r="F7638" s="17" t="s">
        <v>17246</v>
      </c>
      <c r="G7638" s="17"/>
      <c r="H7638" s="17" t="s">
        <v>17310</v>
      </c>
      <c r="I7638" s="17"/>
      <c r="J7638" s="17" t="s">
        <v>17311</v>
      </c>
      <c r="K7638" s="17"/>
      <c r="L7638" s="17" t="s">
        <v>17312</v>
      </c>
      <c r="M7638" s="17" t="s">
        <v>41785</v>
      </c>
      <c r="N7638" s="17" t="s">
        <v>41812</v>
      </c>
      <c r="O7638" s="17"/>
      <c r="P7638" s="17" t="s">
        <v>41813</v>
      </c>
      <c r="Q7638" s="17"/>
      <c r="R7638" s="25" t="str">
        <f>HYPERLINK("https://ictv.global/taxonomy/taxondetails?taxnode_id=202318111","Fusagravirus jyuhachi")</f>
        <v>Fusagravirus jyuhachi</v>
      </c>
      <c r="S7638" s="18" t="s">
        <v>30</v>
      </c>
      <c r="T7638" s="18" t="s">
        <v>41832</v>
      </c>
      <c r="U7638" s="18" t="s">
        <v>41833</v>
      </c>
      <c r="V7638" s="18" t="s">
        <v>41834</v>
      </c>
      <c r="W7638" s="18" t="s">
        <v>41835</v>
      </c>
      <c r="X7638" s="18" t="s">
        <v>42</v>
      </c>
      <c r="Y7638" s="18" t="s">
        <v>17196</v>
      </c>
      <c r="Z7638" s="18" t="s">
        <v>16721</v>
      </c>
      <c r="AA7638" s="21" t="str">
        <f>HYPERLINK("https://www.ncbi.nlm.nih.gov/nuccore/MW258947","NCBI Nucleotide")</f>
        <v>NCBI Nucleotide</v>
      </c>
    </row>
    <row r="7639" spans="1:27" x14ac:dyDescent="0.35">
      <c r="A7639">
        <v>1025617</v>
      </c>
      <c r="B7639">
        <v>7100</v>
      </c>
      <c r="C7639">
        <v>1</v>
      </c>
      <c r="D7639" s="17" t="s">
        <v>17166</v>
      </c>
      <c r="E7639" s="17"/>
      <c r="F7639" s="17" t="s">
        <v>17246</v>
      </c>
      <c r="G7639" s="17"/>
      <c r="H7639" s="17" t="s">
        <v>17310</v>
      </c>
      <c r="I7639" s="17"/>
      <c r="J7639" s="17" t="s">
        <v>17311</v>
      </c>
      <c r="K7639" s="17"/>
      <c r="L7639" s="17" t="s">
        <v>17312</v>
      </c>
      <c r="M7639" s="17" t="s">
        <v>41785</v>
      </c>
      <c r="N7639" s="17" t="s">
        <v>41812</v>
      </c>
      <c r="O7639" s="17"/>
      <c r="P7639" s="17" t="s">
        <v>41813</v>
      </c>
      <c r="Q7639" s="17"/>
      <c r="R7639" s="25" t="str">
        <f>HYPERLINK("https://ictv.global/taxonomy/taxondetails?taxnode_id=202318112","Fusagravirus jyuichi")</f>
        <v>Fusagravirus jyuichi</v>
      </c>
      <c r="S7639" s="18" t="s">
        <v>30</v>
      </c>
      <c r="T7639" s="18" t="s">
        <v>41836</v>
      </c>
      <c r="U7639" s="18" t="s">
        <v>41837</v>
      </c>
      <c r="V7639" s="18" t="s">
        <v>41838</v>
      </c>
      <c r="W7639" s="18" t="s">
        <v>41839</v>
      </c>
      <c r="X7639" s="18" t="s">
        <v>42</v>
      </c>
      <c r="Y7639" s="18" t="s">
        <v>17196</v>
      </c>
      <c r="Z7639" s="18" t="s">
        <v>16721</v>
      </c>
      <c r="AA7639" s="21" t="str">
        <f>HYPERLINK("https://www.ncbi.nlm.nih.gov/nuccore/KX821737","NCBI Nucleotide")</f>
        <v>NCBI Nucleotide</v>
      </c>
    </row>
    <row r="7640" spans="1:27" x14ac:dyDescent="0.35">
      <c r="A7640">
        <v>1025618</v>
      </c>
      <c r="B7640">
        <v>7101</v>
      </c>
      <c r="C7640">
        <v>1</v>
      </c>
      <c r="D7640" s="17" t="s">
        <v>17166</v>
      </c>
      <c r="E7640" s="17"/>
      <c r="F7640" s="17" t="s">
        <v>17246</v>
      </c>
      <c r="G7640" s="17"/>
      <c r="H7640" s="17" t="s">
        <v>17310</v>
      </c>
      <c r="I7640" s="17"/>
      <c r="J7640" s="17" t="s">
        <v>17311</v>
      </c>
      <c r="K7640" s="17"/>
      <c r="L7640" s="17" t="s">
        <v>17312</v>
      </c>
      <c r="M7640" s="17" t="s">
        <v>41785</v>
      </c>
      <c r="N7640" s="17" t="s">
        <v>41812</v>
      </c>
      <c r="O7640" s="17"/>
      <c r="P7640" s="17" t="s">
        <v>41813</v>
      </c>
      <c r="Q7640" s="17"/>
      <c r="R7640" s="25" t="str">
        <f>HYPERLINK("https://ictv.global/taxonomy/taxondetails?taxnode_id=202318113","Fusagravirus jyukyu")</f>
        <v>Fusagravirus jyukyu</v>
      </c>
      <c r="S7640" s="18" t="s">
        <v>30</v>
      </c>
      <c r="T7640" s="18" t="s">
        <v>41840</v>
      </c>
      <c r="U7640" s="18" t="s">
        <v>41841</v>
      </c>
      <c r="V7640" s="18" t="s">
        <v>41842</v>
      </c>
      <c r="W7640" s="18" t="s">
        <v>41843</v>
      </c>
      <c r="X7640" s="18" t="s">
        <v>42</v>
      </c>
      <c r="Y7640" s="18" t="s">
        <v>17196</v>
      </c>
      <c r="Z7640" s="18" t="s">
        <v>16721</v>
      </c>
      <c r="AA7640" s="21" t="str">
        <f>HYPERLINK("https://www.ncbi.nlm.nih.gov/nuccore/MZ736512","NCBI Nucleotide")</f>
        <v>NCBI Nucleotide</v>
      </c>
    </row>
    <row r="7641" spans="1:27" x14ac:dyDescent="0.35">
      <c r="A7641">
        <v>1025619</v>
      </c>
      <c r="B7641">
        <v>7102</v>
      </c>
      <c r="C7641">
        <v>1</v>
      </c>
      <c r="D7641" s="17" t="s">
        <v>17166</v>
      </c>
      <c r="E7641" s="17"/>
      <c r="F7641" s="17" t="s">
        <v>17246</v>
      </c>
      <c r="G7641" s="17"/>
      <c r="H7641" s="17" t="s">
        <v>17310</v>
      </c>
      <c r="I7641" s="17"/>
      <c r="J7641" s="17" t="s">
        <v>17311</v>
      </c>
      <c r="K7641" s="17"/>
      <c r="L7641" s="17" t="s">
        <v>17312</v>
      </c>
      <c r="M7641" s="17" t="s">
        <v>41785</v>
      </c>
      <c r="N7641" s="17" t="s">
        <v>41812</v>
      </c>
      <c r="O7641" s="17"/>
      <c r="P7641" s="17" t="s">
        <v>41813</v>
      </c>
      <c r="Q7641" s="17"/>
      <c r="R7641" s="25" t="str">
        <f>HYPERLINK("https://ictv.global/taxonomy/taxondetails?taxnode_id=202318114","Fusagravirus jyuni")</f>
        <v>Fusagravirus jyuni</v>
      </c>
      <c r="S7641" s="18" t="s">
        <v>30</v>
      </c>
      <c r="T7641" s="18" t="s">
        <v>41844</v>
      </c>
      <c r="U7641" s="18" t="s">
        <v>41845</v>
      </c>
      <c r="V7641" s="18" t="s">
        <v>41846</v>
      </c>
      <c r="W7641" s="18" t="s">
        <v>41847</v>
      </c>
      <c r="X7641" s="18" t="s">
        <v>35</v>
      </c>
      <c r="Y7641" s="18" t="s">
        <v>17196</v>
      </c>
      <c r="Z7641" s="18" t="s">
        <v>16721</v>
      </c>
      <c r="AA7641" s="21" t="str">
        <f>HYPERLINK("https://www.ncbi.nlm.nih.gov/nuccore/LC333734","NCBI Nucleotide")</f>
        <v>NCBI Nucleotide</v>
      </c>
    </row>
    <row r="7642" spans="1:27" x14ac:dyDescent="0.35">
      <c r="A7642">
        <v>1025620</v>
      </c>
      <c r="B7642">
        <v>7103</v>
      </c>
      <c r="C7642">
        <v>1</v>
      </c>
      <c r="D7642" s="17" t="s">
        <v>17166</v>
      </c>
      <c r="E7642" s="17"/>
      <c r="F7642" s="17" t="s">
        <v>17246</v>
      </c>
      <c r="G7642" s="17"/>
      <c r="H7642" s="17" t="s">
        <v>17310</v>
      </c>
      <c r="I7642" s="17"/>
      <c r="J7642" s="17" t="s">
        <v>17311</v>
      </c>
      <c r="K7642" s="17"/>
      <c r="L7642" s="17" t="s">
        <v>17312</v>
      </c>
      <c r="M7642" s="17" t="s">
        <v>41785</v>
      </c>
      <c r="N7642" s="17" t="s">
        <v>41812</v>
      </c>
      <c r="O7642" s="17"/>
      <c r="P7642" s="17" t="s">
        <v>41813</v>
      </c>
      <c r="Q7642" s="17"/>
      <c r="R7642" s="25" t="str">
        <f>HYPERLINK("https://ictv.global/taxonomy/taxondetails?taxnode_id=202318115","Fusagravirus jyuroku")</f>
        <v>Fusagravirus jyuroku</v>
      </c>
      <c r="S7642" s="18" t="s">
        <v>30</v>
      </c>
      <c r="T7642" s="18" t="s">
        <v>41848</v>
      </c>
      <c r="U7642" s="18" t="s">
        <v>41849</v>
      </c>
      <c r="V7642" s="18" t="s">
        <v>41850</v>
      </c>
      <c r="W7642" s="18" t="s">
        <v>41851</v>
      </c>
      <c r="X7642" s="18" t="s">
        <v>42</v>
      </c>
      <c r="Y7642" s="18" t="s">
        <v>17196</v>
      </c>
      <c r="Z7642" s="18" t="s">
        <v>16721</v>
      </c>
      <c r="AA7642" s="21" t="str">
        <f>HYPERLINK("https://www.ncbi.nlm.nih.gov/nuccore/MT876190","NCBI Nucleotide")</f>
        <v>NCBI Nucleotide</v>
      </c>
    </row>
    <row r="7643" spans="1:27" x14ac:dyDescent="0.35">
      <c r="A7643">
        <v>1025621</v>
      </c>
      <c r="B7643">
        <v>7104</v>
      </c>
      <c r="C7643">
        <v>1</v>
      </c>
      <c r="D7643" s="17" t="s">
        <v>17166</v>
      </c>
      <c r="E7643" s="17"/>
      <c r="F7643" s="17" t="s">
        <v>17246</v>
      </c>
      <c r="G7643" s="17"/>
      <c r="H7643" s="17" t="s">
        <v>17310</v>
      </c>
      <c r="I7643" s="17"/>
      <c r="J7643" s="17" t="s">
        <v>17311</v>
      </c>
      <c r="K7643" s="17"/>
      <c r="L7643" s="17" t="s">
        <v>17312</v>
      </c>
      <c r="M7643" s="17" t="s">
        <v>41785</v>
      </c>
      <c r="N7643" s="17" t="s">
        <v>41812</v>
      </c>
      <c r="O7643" s="17"/>
      <c r="P7643" s="17" t="s">
        <v>41813</v>
      </c>
      <c r="Q7643" s="17"/>
      <c r="R7643" s="25" t="str">
        <f>HYPERLINK("https://ictv.global/taxonomy/taxondetails?taxnode_id=202318116","Fusagravirus jyusani")</f>
        <v>Fusagravirus jyusani</v>
      </c>
      <c r="S7643" s="18" t="s">
        <v>30</v>
      </c>
      <c r="T7643" s="18" t="s">
        <v>41852</v>
      </c>
      <c r="U7643" s="18" t="s">
        <v>41853</v>
      </c>
      <c r="V7643" s="18" t="s">
        <v>28973</v>
      </c>
      <c r="W7643" s="18" t="s">
        <v>41854</v>
      </c>
      <c r="X7643" s="18" t="s">
        <v>35</v>
      </c>
      <c r="Y7643" s="18" t="s">
        <v>17196</v>
      </c>
      <c r="Z7643" s="18" t="s">
        <v>16721</v>
      </c>
      <c r="AA7643" s="21" t="str">
        <f>HYPERLINK("https://www.ncbi.nlm.nih.gov/nuccore/LC333739","NCBI Nucleotide")</f>
        <v>NCBI Nucleotide</v>
      </c>
    </row>
    <row r="7644" spans="1:27" x14ac:dyDescent="0.35">
      <c r="A7644">
        <v>1025622</v>
      </c>
      <c r="B7644">
        <v>7105</v>
      </c>
      <c r="C7644">
        <v>1</v>
      </c>
      <c r="D7644" s="17" t="s">
        <v>17166</v>
      </c>
      <c r="E7644" s="17"/>
      <c r="F7644" s="17" t="s">
        <v>17246</v>
      </c>
      <c r="G7644" s="17"/>
      <c r="H7644" s="17" t="s">
        <v>17310</v>
      </c>
      <c r="I7644" s="17"/>
      <c r="J7644" s="17" t="s">
        <v>17311</v>
      </c>
      <c r="K7644" s="17"/>
      <c r="L7644" s="17" t="s">
        <v>17312</v>
      </c>
      <c r="M7644" s="17" t="s">
        <v>41785</v>
      </c>
      <c r="N7644" s="17" t="s">
        <v>41812</v>
      </c>
      <c r="O7644" s="17"/>
      <c r="P7644" s="17" t="s">
        <v>41813</v>
      </c>
      <c r="Q7644" s="17"/>
      <c r="R7644" s="25" t="str">
        <f>HYPERLINK("https://ictv.global/taxonomy/taxondetails?taxnode_id=202318117","Fusagravirus jyushi")</f>
        <v>Fusagravirus jyushi</v>
      </c>
      <c r="S7644" s="18" t="s">
        <v>30</v>
      </c>
      <c r="T7644" s="18" t="s">
        <v>41855</v>
      </c>
      <c r="U7644" s="18" t="s">
        <v>41856</v>
      </c>
      <c r="V7644" s="18" t="s">
        <v>41857</v>
      </c>
      <c r="W7644" s="18" t="s">
        <v>41858</v>
      </c>
      <c r="X7644" s="18" t="s">
        <v>35</v>
      </c>
      <c r="Y7644" s="18" t="s">
        <v>17196</v>
      </c>
      <c r="Z7644" s="18" t="s">
        <v>16721</v>
      </c>
      <c r="AA7644" s="21" t="str">
        <f>HYPERLINK("https://www.ncbi.nlm.nih.gov/nuccore/MG897472","NCBI Nucleotide")</f>
        <v>NCBI Nucleotide</v>
      </c>
    </row>
    <row r="7645" spans="1:27" x14ac:dyDescent="0.35">
      <c r="A7645">
        <v>1025623</v>
      </c>
      <c r="B7645">
        <v>7106</v>
      </c>
      <c r="C7645">
        <v>1</v>
      </c>
      <c r="D7645" s="17" t="s">
        <v>17166</v>
      </c>
      <c r="E7645" s="17"/>
      <c r="F7645" s="17" t="s">
        <v>17246</v>
      </c>
      <c r="G7645" s="17"/>
      <c r="H7645" s="17" t="s">
        <v>17310</v>
      </c>
      <c r="I7645" s="17"/>
      <c r="J7645" s="17" t="s">
        <v>17311</v>
      </c>
      <c r="K7645" s="17"/>
      <c r="L7645" s="17" t="s">
        <v>17312</v>
      </c>
      <c r="M7645" s="17" t="s">
        <v>41785</v>
      </c>
      <c r="N7645" s="17" t="s">
        <v>41812</v>
      </c>
      <c r="O7645" s="17"/>
      <c r="P7645" s="17" t="s">
        <v>41813</v>
      </c>
      <c r="Q7645" s="17"/>
      <c r="R7645" s="25" t="str">
        <f>HYPERLINK("https://ictv.global/taxonomy/taxondetails?taxnode_id=202318118","Fusagravirus jyushichi")</f>
        <v>Fusagravirus jyushichi</v>
      </c>
      <c r="S7645" s="18" t="s">
        <v>30</v>
      </c>
      <c r="T7645" s="18" t="s">
        <v>41859</v>
      </c>
      <c r="U7645" s="18" t="s">
        <v>41860</v>
      </c>
      <c r="V7645" s="18" t="s">
        <v>41861</v>
      </c>
      <c r="W7645" s="18" t="s">
        <v>41862</v>
      </c>
      <c r="X7645" s="18" t="s">
        <v>35</v>
      </c>
      <c r="Y7645" s="18" t="s">
        <v>17196</v>
      </c>
      <c r="Z7645" s="18" t="s">
        <v>16721</v>
      </c>
      <c r="AA7645" s="21" t="str">
        <f>HYPERLINK("https://www.ncbi.nlm.nih.gov/nuccore/MT520144","NCBI Nucleotide")</f>
        <v>NCBI Nucleotide</v>
      </c>
    </row>
    <row r="7646" spans="1:27" x14ac:dyDescent="0.35">
      <c r="A7646">
        <v>1025624</v>
      </c>
      <c r="B7646">
        <v>7107</v>
      </c>
      <c r="C7646">
        <v>1</v>
      </c>
      <c r="D7646" s="17" t="s">
        <v>17166</v>
      </c>
      <c r="E7646" s="17"/>
      <c r="F7646" s="17" t="s">
        <v>17246</v>
      </c>
      <c r="G7646" s="17"/>
      <c r="H7646" s="17" t="s">
        <v>17310</v>
      </c>
      <c r="I7646" s="17"/>
      <c r="J7646" s="17" t="s">
        <v>17311</v>
      </c>
      <c r="K7646" s="17"/>
      <c r="L7646" s="17" t="s">
        <v>17312</v>
      </c>
      <c r="M7646" s="17" t="s">
        <v>41785</v>
      </c>
      <c r="N7646" s="17" t="s">
        <v>41812</v>
      </c>
      <c r="O7646" s="17"/>
      <c r="P7646" s="17" t="s">
        <v>41813</v>
      </c>
      <c r="Q7646" s="17"/>
      <c r="R7646" s="25" t="str">
        <f>HYPERLINK("https://ictv.global/taxonomy/taxondetails?taxnode_id=202318119","Fusagravirus kyu")</f>
        <v>Fusagravirus kyu</v>
      </c>
      <c r="S7646" s="18" t="s">
        <v>30</v>
      </c>
      <c r="T7646" s="18" t="s">
        <v>41863</v>
      </c>
      <c r="U7646" s="18" t="s">
        <v>41864</v>
      </c>
      <c r="V7646" s="18" t="s">
        <v>41865</v>
      </c>
      <c r="W7646" s="18" t="s">
        <v>41866</v>
      </c>
      <c r="X7646" s="18" t="s">
        <v>35</v>
      </c>
      <c r="Y7646" s="18" t="s">
        <v>17196</v>
      </c>
      <c r="Z7646" s="18" t="s">
        <v>13441</v>
      </c>
      <c r="AA7646" s="21" t="str">
        <f>HYPERLINK("https://www.ncbi.nlm.nih.gov/nuccore/KT921784","NCBI Nucleotide")</f>
        <v>NCBI Nucleotide</v>
      </c>
    </row>
    <row r="7647" spans="1:27" x14ac:dyDescent="0.35">
      <c r="A7647">
        <v>1025625</v>
      </c>
      <c r="B7647">
        <v>7108</v>
      </c>
      <c r="C7647">
        <v>1</v>
      </c>
      <c r="D7647" s="17" t="s">
        <v>17166</v>
      </c>
      <c r="E7647" s="17"/>
      <c r="F7647" s="17" t="s">
        <v>17246</v>
      </c>
      <c r="G7647" s="17"/>
      <c r="H7647" s="17" t="s">
        <v>17310</v>
      </c>
      <c r="I7647" s="17"/>
      <c r="J7647" s="17" t="s">
        <v>17311</v>
      </c>
      <c r="K7647" s="17"/>
      <c r="L7647" s="17" t="s">
        <v>17312</v>
      </c>
      <c r="M7647" s="17" t="s">
        <v>41785</v>
      </c>
      <c r="N7647" s="17" t="s">
        <v>41812</v>
      </c>
      <c r="O7647" s="17"/>
      <c r="P7647" s="17" t="s">
        <v>41813</v>
      </c>
      <c r="Q7647" s="17"/>
      <c r="R7647" s="25" t="str">
        <f>HYPERLINK("https://ictv.global/taxonomy/taxondetails?taxnode_id=202318120","Fusagravirus ni")</f>
        <v>Fusagravirus ni</v>
      </c>
      <c r="S7647" s="18" t="s">
        <v>30</v>
      </c>
      <c r="T7647" s="18" t="s">
        <v>41867</v>
      </c>
      <c r="U7647" s="18" t="s">
        <v>41868</v>
      </c>
      <c r="V7647" s="18" t="s">
        <v>41869</v>
      </c>
      <c r="W7647" s="18" t="s">
        <v>41870</v>
      </c>
      <c r="X7647" s="18" t="s">
        <v>42</v>
      </c>
      <c r="Y7647" s="18" t="s">
        <v>17196</v>
      </c>
      <c r="Z7647" s="18" t="s">
        <v>16721</v>
      </c>
      <c r="AA7647" s="21" t="str">
        <f>HYPERLINK("https://www.ncbi.nlm.nih.gov/nuccore/KJ549662","NCBI Nucleotide")</f>
        <v>NCBI Nucleotide</v>
      </c>
    </row>
    <row r="7648" spans="1:27" x14ac:dyDescent="0.35">
      <c r="A7648">
        <v>1025626</v>
      </c>
      <c r="B7648">
        <v>7109</v>
      </c>
      <c r="C7648">
        <v>1</v>
      </c>
      <c r="D7648" s="17" t="s">
        <v>17166</v>
      </c>
      <c r="E7648" s="17"/>
      <c r="F7648" s="17" t="s">
        <v>17246</v>
      </c>
      <c r="G7648" s="17"/>
      <c r="H7648" s="17" t="s">
        <v>17310</v>
      </c>
      <c r="I7648" s="17"/>
      <c r="J7648" s="17" t="s">
        <v>17311</v>
      </c>
      <c r="K7648" s="17"/>
      <c r="L7648" s="17" t="s">
        <v>17312</v>
      </c>
      <c r="M7648" s="17" t="s">
        <v>41785</v>
      </c>
      <c r="N7648" s="17" t="s">
        <v>41812</v>
      </c>
      <c r="O7648" s="17"/>
      <c r="P7648" s="17" t="s">
        <v>41813</v>
      </c>
      <c r="Q7648" s="17"/>
      <c r="R7648" s="25" t="str">
        <f>HYPERLINK("https://ictv.global/taxonomy/taxondetails?taxnode_id=202318121","Fusagravirus nijyu")</f>
        <v>Fusagravirus nijyu</v>
      </c>
      <c r="S7648" s="18" t="s">
        <v>30</v>
      </c>
      <c r="T7648" s="18" t="s">
        <v>41871</v>
      </c>
      <c r="U7648" s="18" t="s">
        <v>41872</v>
      </c>
      <c r="V7648" s="18" t="s">
        <v>41873</v>
      </c>
      <c r="W7648" s="18" t="s">
        <v>41874</v>
      </c>
      <c r="X7648" s="18" t="s">
        <v>42</v>
      </c>
      <c r="Y7648" s="18" t="s">
        <v>17196</v>
      </c>
      <c r="Z7648" s="18" t="s">
        <v>16721</v>
      </c>
      <c r="AA7648" s="21" t="str">
        <f>HYPERLINK("https://www.ncbi.nlm.nih.gov/nuccore/LC651180","NCBI Nucleotide")</f>
        <v>NCBI Nucleotide</v>
      </c>
    </row>
    <row r="7649" spans="1:27" x14ac:dyDescent="0.35">
      <c r="A7649">
        <v>1025627</v>
      </c>
      <c r="B7649">
        <v>7110</v>
      </c>
      <c r="C7649">
        <v>1</v>
      </c>
      <c r="D7649" s="17" t="s">
        <v>17166</v>
      </c>
      <c r="E7649" s="17"/>
      <c r="F7649" s="17" t="s">
        <v>17246</v>
      </c>
      <c r="G7649" s="17"/>
      <c r="H7649" s="17" t="s">
        <v>17310</v>
      </c>
      <c r="I7649" s="17"/>
      <c r="J7649" s="17" t="s">
        <v>17311</v>
      </c>
      <c r="K7649" s="17"/>
      <c r="L7649" s="17" t="s">
        <v>17312</v>
      </c>
      <c r="M7649" s="17" t="s">
        <v>41785</v>
      </c>
      <c r="N7649" s="17" t="s">
        <v>41812</v>
      </c>
      <c r="O7649" s="17"/>
      <c r="P7649" s="17" t="s">
        <v>41813</v>
      </c>
      <c r="Q7649" s="17"/>
      <c r="R7649" s="25" t="str">
        <f>HYPERLINK("https://ictv.global/taxonomy/taxondetails?taxnode_id=202318122","Fusagravirus roku")</f>
        <v>Fusagravirus roku</v>
      </c>
      <c r="S7649" s="18" t="s">
        <v>30</v>
      </c>
      <c r="T7649" s="18" t="s">
        <v>41863</v>
      </c>
      <c r="U7649" s="18" t="s">
        <v>41864</v>
      </c>
      <c r="V7649" s="18" t="s">
        <v>41875</v>
      </c>
      <c r="W7649" s="18" t="s">
        <v>41876</v>
      </c>
      <c r="X7649" s="18" t="s">
        <v>42</v>
      </c>
      <c r="Y7649" s="18" t="s">
        <v>17196</v>
      </c>
      <c r="Z7649" s="18" t="s">
        <v>13441</v>
      </c>
      <c r="AA7649" s="21" t="str">
        <f>HYPERLINK("https://www.ncbi.nlm.nih.gov/nuccore/KT013296","NCBI Nucleotide")</f>
        <v>NCBI Nucleotide</v>
      </c>
    </row>
    <row r="7650" spans="1:27" x14ac:dyDescent="0.35">
      <c r="A7650">
        <v>1025628</v>
      </c>
      <c r="B7650">
        <v>7111</v>
      </c>
      <c r="C7650">
        <v>1</v>
      </c>
      <c r="D7650" s="17" t="s">
        <v>17166</v>
      </c>
      <c r="E7650" s="17"/>
      <c r="F7650" s="17" t="s">
        <v>17246</v>
      </c>
      <c r="G7650" s="17"/>
      <c r="H7650" s="17" t="s">
        <v>17310</v>
      </c>
      <c r="I7650" s="17"/>
      <c r="J7650" s="17" t="s">
        <v>17311</v>
      </c>
      <c r="K7650" s="17"/>
      <c r="L7650" s="17" t="s">
        <v>17312</v>
      </c>
      <c r="M7650" s="17" t="s">
        <v>41785</v>
      </c>
      <c r="N7650" s="17" t="s">
        <v>41812</v>
      </c>
      <c r="O7650" s="17"/>
      <c r="P7650" s="17" t="s">
        <v>41813</v>
      </c>
      <c r="Q7650" s="17"/>
      <c r="R7650" s="25" t="str">
        <f>HYPERLINK("https://ictv.global/taxonomy/taxondetails?taxnode_id=202318123","Fusagravirus sani")</f>
        <v>Fusagravirus sani</v>
      </c>
      <c r="S7650" s="18" t="s">
        <v>30</v>
      </c>
      <c r="T7650" s="18" t="s">
        <v>41877</v>
      </c>
      <c r="U7650" s="18" t="s">
        <v>41878</v>
      </c>
      <c r="V7650" s="18" t="s">
        <v>41879</v>
      </c>
      <c r="W7650" s="18" t="s">
        <v>41880</v>
      </c>
      <c r="X7650" s="18" t="s">
        <v>42</v>
      </c>
      <c r="Y7650" s="18" t="s">
        <v>17196</v>
      </c>
      <c r="Z7650" s="18" t="s">
        <v>17496</v>
      </c>
      <c r="AA7650" s="21" t="str">
        <f>HYPERLINK("https://www.ncbi.nlm.nih.gov/nuccore/JN603241","NCBI Nucleotide")</f>
        <v>NCBI Nucleotide</v>
      </c>
    </row>
    <row r="7651" spans="1:27" x14ac:dyDescent="0.35">
      <c r="A7651">
        <v>1025629</v>
      </c>
      <c r="B7651">
        <v>7112</v>
      </c>
      <c r="C7651">
        <v>1</v>
      </c>
      <c r="D7651" s="17" t="s">
        <v>17166</v>
      </c>
      <c r="E7651" s="17"/>
      <c r="F7651" s="17" t="s">
        <v>17246</v>
      </c>
      <c r="G7651" s="17"/>
      <c r="H7651" s="17" t="s">
        <v>17310</v>
      </c>
      <c r="I7651" s="17"/>
      <c r="J7651" s="17" t="s">
        <v>17311</v>
      </c>
      <c r="K7651" s="17"/>
      <c r="L7651" s="17" t="s">
        <v>17312</v>
      </c>
      <c r="M7651" s="17" t="s">
        <v>41785</v>
      </c>
      <c r="N7651" s="17" t="s">
        <v>41812</v>
      </c>
      <c r="O7651" s="17"/>
      <c r="P7651" s="17" t="s">
        <v>41813</v>
      </c>
      <c r="Q7651" s="17"/>
      <c r="R7651" s="25" t="str">
        <f>HYPERLINK("https://ictv.global/taxonomy/taxondetails?taxnode_id=202318124","Fusagravirus shi")</f>
        <v>Fusagravirus shi</v>
      </c>
      <c r="S7651" s="18" t="s">
        <v>30</v>
      </c>
      <c r="T7651" s="18" t="s">
        <v>41881</v>
      </c>
      <c r="U7651" s="18" t="s">
        <v>41882</v>
      </c>
      <c r="V7651" s="18"/>
      <c r="W7651" s="18" t="s">
        <v>41883</v>
      </c>
      <c r="X7651" s="18" t="s">
        <v>35</v>
      </c>
      <c r="Y7651" s="18" t="s">
        <v>17196</v>
      </c>
      <c r="Z7651" s="18" t="s">
        <v>16721</v>
      </c>
      <c r="AA7651" s="21" t="str">
        <f>HYPERLINK("https://www.ncbi.nlm.nih.gov/nuccore/JN671444","NCBI Nucleotide")</f>
        <v>NCBI Nucleotide</v>
      </c>
    </row>
    <row r="7652" spans="1:27" x14ac:dyDescent="0.35">
      <c r="A7652">
        <v>1025630</v>
      </c>
      <c r="B7652">
        <v>7113</v>
      </c>
      <c r="C7652">
        <v>1</v>
      </c>
      <c r="D7652" s="17" t="s">
        <v>17166</v>
      </c>
      <c r="E7652" s="17"/>
      <c r="F7652" s="17" t="s">
        <v>17246</v>
      </c>
      <c r="G7652" s="17"/>
      <c r="H7652" s="17" t="s">
        <v>17310</v>
      </c>
      <c r="I7652" s="17"/>
      <c r="J7652" s="17" t="s">
        <v>17311</v>
      </c>
      <c r="K7652" s="17"/>
      <c r="L7652" s="17" t="s">
        <v>17312</v>
      </c>
      <c r="M7652" s="17" t="s">
        <v>41785</v>
      </c>
      <c r="N7652" s="17" t="s">
        <v>41812</v>
      </c>
      <c r="O7652" s="17"/>
      <c r="P7652" s="17" t="s">
        <v>41813</v>
      </c>
      <c r="Q7652" s="17"/>
      <c r="R7652" s="25" t="str">
        <f>HYPERLINK("https://ictv.global/taxonomy/taxondetails?taxnode_id=202318125","Fusagravirus shichi")</f>
        <v>Fusagravirus shichi</v>
      </c>
      <c r="S7652" s="18" t="s">
        <v>30</v>
      </c>
      <c r="T7652" s="18" t="s">
        <v>41884</v>
      </c>
      <c r="U7652" s="18" t="s">
        <v>41885</v>
      </c>
      <c r="V7652" s="18" t="s">
        <v>41819</v>
      </c>
      <c r="W7652" s="18" t="s">
        <v>41886</v>
      </c>
      <c r="X7652" s="18" t="s">
        <v>42</v>
      </c>
      <c r="Y7652" s="18" t="s">
        <v>17196</v>
      </c>
      <c r="Z7652" s="18" t="s">
        <v>16721</v>
      </c>
      <c r="AA7652" s="21" t="str">
        <f>HYPERLINK("https://www.ncbi.nlm.nih.gov/nuccore/KU728180","NCBI Nucleotide")</f>
        <v>NCBI Nucleotide</v>
      </c>
    </row>
    <row r="7653" spans="1:27" x14ac:dyDescent="0.35">
      <c r="A7653">
        <v>1025707</v>
      </c>
      <c r="B7653">
        <v>7114</v>
      </c>
      <c r="C7653">
        <v>1</v>
      </c>
      <c r="D7653" s="17" t="s">
        <v>17166</v>
      </c>
      <c r="E7653" s="17"/>
      <c r="F7653" s="17" t="s">
        <v>17246</v>
      </c>
      <c r="G7653" s="17"/>
      <c r="H7653" s="17" t="s">
        <v>17310</v>
      </c>
      <c r="I7653" s="17"/>
      <c r="J7653" s="17" t="s">
        <v>17311</v>
      </c>
      <c r="K7653" s="17"/>
      <c r="L7653" s="17" t="s">
        <v>17312</v>
      </c>
      <c r="M7653" s="17" t="s">
        <v>41785</v>
      </c>
      <c r="N7653" s="17" t="s">
        <v>17477</v>
      </c>
      <c r="O7653" s="17"/>
      <c r="P7653" s="17" t="s">
        <v>17478</v>
      </c>
      <c r="Q7653" s="17"/>
      <c r="R7653" s="25" t="str">
        <f>HYPERLINK("https://ictv.global/taxonomy/taxondetails?taxnode_id=202318126","Megabirnavirus go")</f>
        <v>Megabirnavirus go</v>
      </c>
      <c r="S7653" s="18" t="s">
        <v>30</v>
      </c>
      <c r="T7653" s="18" t="s">
        <v>41887</v>
      </c>
      <c r="U7653" s="18" t="s">
        <v>41888</v>
      </c>
      <c r="V7653" s="18" t="s">
        <v>41889</v>
      </c>
      <c r="W7653" s="18" t="s">
        <v>50890</v>
      </c>
      <c r="X7653" s="18" t="s">
        <v>42</v>
      </c>
      <c r="Y7653" s="18" t="s">
        <v>17196</v>
      </c>
      <c r="Z7653" s="18" t="s">
        <v>16721</v>
      </c>
      <c r="AA7653" s="21" t="str">
        <f>HYPERLINK("https://www.ncbi.nlm.nih.gov/nuccore/MH057692,MH057693","NCBI Nucleotide")</f>
        <v>NCBI Nucleotide</v>
      </c>
    </row>
    <row r="7654" spans="1:27" x14ac:dyDescent="0.35">
      <c r="A7654">
        <v>1008392</v>
      </c>
      <c r="B7654">
        <v>7115</v>
      </c>
      <c r="C7654">
        <v>1</v>
      </c>
      <c r="D7654" s="17" t="s">
        <v>17166</v>
      </c>
      <c r="E7654" s="17"/>
      <c r="F7654" s="17" t="s">
        <v>17246</v>
      </c>
      <c r="G7654" s="17"/>
      <c r="H7654" s="17" t="s">
        <v>17310</v>
      </c>
      <c r="I7654" s="17"/>
      <c r="J7654" s="17" t="s">
        <v>17311</v>
      </c>
      <c r="K7654" s="17"/>
      <c r="L7654" s="17" t="s">
        <v>17312</v>
      </c>
      <c r="M7654" s="17" t="s">
        <v>41785</v>
      </c>
      <c r="N7654" s="17" t="s">
        <v>17477</v>
      </c>
      <c r="O7654" s="17"/>
      <c r="P7654" s="17" t="s">
        <v>17478</v>
      </c>
      <c r="Q7654" s="17"/>
      <c r="R7654" s="25" t="str">
        <f>HYPERLINK("https://ictv.global/taxonomy/taxondetails?taxnode_id=202303810","Megabirnavirus ichi")</f>
        <v>Megabirnavirus ichi</v>
      </c>
      <c r="S7654" s="18" t="s">
        <v>30</v>
      </c>
      <c r="T7654" s="18" t="s">
        <v>17479</v>
      </c>
      <c r="U7654" s="18" t="s">
        <v>17480</v>
      </c>
      <c r="V7654" s="18" t="s">
        <v>17481</v>
      </c>
      <c r="W7654" s="18" t="s">
        <v>17482</v>
      </c>
      <c r="X7654" s="18" t="s">
        <v>42</v>
      </c>
      <c r="Y7654" s="18" t="s">
        <v>17196</v>
      </c>
      <c r="Z7654" s="18" t="s">
        <v>16721</v>
      </c>
      <c r="AA7654" s="21" t="str">
        <f>HYPERLINK("https://www.ncbi.nlm.nih.gov/nuccore/AB512282,AB512283","NCBI Nucleotide")</f>
        <v>NCBI Nucleotide</v>
      </c>
    </row>
    <row r="7655" spans="1:27" x14ac:dyDescent="0.35">
      <c r="A7655">
        <v>1025708</v>
      </c>
      <c r="B7655">
        <v>7116</v>
      </c>
      <c r="C7655">
        <v>1</v>
      </c>
      <c r="D7655" s="17" t="s">
        <v>17166</v>
      </c>
      <c r="E7655" s="17"/>
      <c r="F7655" s="17" t="s">
        <v>17246</v>
      </c>
      <c r="G7655" s="17"/>
      <c r="H7655" s="17" t="s">
        <v>17310</v>
      </c>
      <c r="I7655" s="17"/>
      <c r="J7655" s="17" t="s">
        <v>17311</v>
      </c>
      <c r="K7655" s="17"/>
      <c r="L7655" s="17" t="s">
        <v>17312</v>
      </c>
      <c r="M7655" s="17" t="s">
        <v>41785</v>
      </c>
      <c r="N7655" s="17" t="s">
        <v>17477</v>
      </c>
      <c r="O7655" s="17"/>
      <c r="P7655" s="17" t="s">
        <v>17478</v>
      </c>
      <c r="Q7655" s="17"/>
      <c r="R7655" s="25" t="str">
        <f>HYPERLINK("https://ictv.global/taxonomy/taxondetails?taxnode_id=202318127","Megabirnavirus ni")</f>
        <v>Megabirnavirus ni</v>
      </c>
      <c r="S7655" s="18" t="s">
        <v>30</v>
      </c>
      <c r="T7655" s="18" t="s">
        <v>41890</v>
      </c>
      <c r="U7655" s="18" t="s">
        <v>41891</v>
      </c>
      <c r="V7655" s="18" t="s">
        <v>41892</v>
      </c>
      <c r="W7655" s="18" t="s">
        <v>41893</v>
      </c>
      <c r="X7655" s="18" t="s">
        <v>42</v>
      </c>
      <c r="Y7655" s="18" t="s">
        <v>17196</v>
      </c>
      <c r="Z7655" s="18" t="s">
        <v>16721</v>
      </c>
      <c r="AA7655" s="21" t="str">
        <f>HYPERLINK("https://www.ncbi.nlm.nih.gov/nuccore/KP686398,KP686399","NCBI Nucleotide")</f>
        <v>NCBI Nucleotide</v>
      </c>
    </row>
    <row r="7656" spans="1:27" x14ac:dyDescent="0.35">
      <c r="A7656">
        <v>1025709</v>
      </c>
      <c r="B7656">
        <v>7117</v>
      </c>
      <c r="C7656">
        <v>1</v>
      </c>
      <c r="D7656" s="17" t="s">
        <v>17166</v>
      </c>
      <c r="E7656" s="17"/>
      <c r="F7656" s="17" t="s">
        <v>17246</v>
      </c>
      <c r="G7656" s="17"/>
      <c r="H7656" s="17" t="s">
        <v>17310</v>
      </c>
      <c r="I7656" s="17"/>
      <c r="J7656" s="17" t="s">
        <v>17311</v>
      </c>
      <c r="K7656" s="17"/>
      <c r="L7656" s="17" t="s">
        <v>17312</v>
      </c>
      <c r="M7656" s="17" t="s">
        <v>41785</v>
      </c>
      <c r="N7656" s="17" t="s">
        <v>17477</v>
      </c>
      <c r="O7656" s="17"/>
      <c r="P7656" s="17" t="s">
        <v>17478</v>
      </c>
      <c r="Q7656" s="17"/>
      <c r="R7656" s="25" t="str">
        <f>HYPERLINK("https://ictv.global/taxonomy/taxondetails?taxnode_id=202318128","Megabirnavirus sani")</f>
        <v>Megabirnavirus sani</v>
      </c>
      <c r="S7656" s="18" t="s">
        <v>30</v>
      </c>
      <c r="T7656" s="18" t="s">
        <v>41894</v>
      </c>
      <c r="U7656" s="18" t="s">
        <v>41895</v>
      </c>
      <c r="V7656" s="18" t="s">
        <v>41896</v>
      </c>
      <c r="W7656" s="18" t="s">
        <v>50891</v>
      </c>
      <c r="X7656" s="18" t="s">
        <v>35</v>
      </c>
      <c r="Y7656" s="18" t="s">
        <v>17196</v>
      </c>
      <c r="Z7656" s="18" t="s">
        <v>16721</v>
      </c>
      <c r="AA7656" s="21" t="str">
        <f>HYPERLINK("https://www.ncbi.nlm.nih.gov/nuccore/KT601119,KT601120","NCBI Nucleotide")</f>
        <v>NCBI Nucleotide</v>
      </c>
    </row>
    <row r="7657" spans="1:27" x14ac:dyDescent="0.35">
      <c r="A7657">
        <v>1025710</v>
      </c>
      <c r="B7657">
        <v>7118</v>
      </c>
      <c r="C7657">
        <v>1</v>
      </c>
      <c r="D7657" s="17" t="s">
        <v>17166</v>
      </c>
      <c r="E7657" s="17"/>
      <c r="F7657" s="17" t="s">
        <v>17246</v>
      </c>
      <c r="G7657" s="17"/>
      <c r="H7657" s="17" t="s">
        <v>17310</v>
      </c>
      <c r="I7657" s="17"/>
      <c r="J7657" s="17" t="s">
        <v>17311</v>
      </c>
      <c r="K7657" s="17"/>
      <c r="L7657" s="17" t="s">
        <v>17312</v>
      </c>
      <c r="M7657" s="17" t="s">
        <v>41785</v>
      </c>
      <c r="N7657" s="17" t="s">
        <v>17477</v>
      </c>
      <c r="O7657" s="17"/>
      <c r="P7657" s="17" t="s">
        <v>17478</v>
      </c>
      <c r="Q7657" s="17"/>
      <c r="R7657" s="25" t="str">
        <f>HYPERLINK("https://ictv.global/taxonomy/taxondetails?taxnode_id=202318129","Megabirnavirus shi")</f>
        <v>Megabirnavirus shi</v>
      </c>
      <c r="S7657" s="18" t="s">
        <v>30</v>
      </c>
      <c r="T7657" s="18" t="s">
        <v>41897</v>
      </c>
      <c r="U7657" s="18" t="s">
        <v>41898</v>
      </c>
      <c r="V7657" s="18" t="s">
        <v>41899</v>
      </c>
      <c r="W7657" s="18" t="s">
        <v>41900</v>
      </c>
      <c r="X7657" s="18" t="s">
        <v>42</v>
      </c>
      <c r="Y7657" s="18" t="s">
        <v>17196</v>
      </c>
      <c r="Z7657" s="18" t="s">
        <v>16721</v>
      </c>
      <c r="AA7657" s="21" t="str">
        <f>HYPERLINK("https://www.ncbi.nlm.nih.gov/nuccore/LC062704,LC062705","NCBI Nucleotide")</f>
        <v>NCBI Nucleotide</v>
      </c>
    </row>
    <row r="7658" spans="1:27" x14ac:dyDescent="0.35">
      <c r="A7658">
        <v>1008401</v>
      </c>
      <c r="B7658">
        <v>7119</v>
      </c>
      <c r="C7658">
        <v>1</v>
      </c>
      <c r="D7658" s="17" t="s">
        <v>17166</v>
      </c>
      <c r="E7658" s="17"/>
      <c r="F7658" s="17" t="s">
        <v>17246</v>
      </c>
      <c r="G7658" s="17"/>
      <c r="H7658" s="17" t="s">
        <v>17310</v>
      </c>
      <c r="I7658" s="17"/>
      <c r="J7658" s="17" t="s">
        <v>17311</v>
      </c>
      <c r="K7658" s="17"/>
      <c r="L7658" s="17" t="s">
        <v>17312</v>
      </c>
      <c r="M7658" s="17" t="s">
        <v>41785</v>
      </c>
      <c r="N7658" s="17" t="s">
        <v>41901</v>
      </c>
      <c r="O7658" s="17"/>
      <c r="P7658" s="17" t="s">
        <v>41902</v>
      </c>
      <c r="Q7658" s="17"/>
      <c r="R7658" s="25" t="str">
        <f>HYPERLINK("https://ictv.global/taxonomy/taxondetails?taxnode_id=202305297","Monocitivirus ichi")</f>
        <v>Monocitivirus ichi</v>
      </c>
      <c r="S7658" s="18" t="s">
        <v>30</v>
      </c>
      <c r="T7658" s="18" t="s">
        <v>17521</v>
      </c>
      <c r="U7658" s="18" t="s">
        <v>17522</v>
      </c>
      <c r="V7658" s="18" t="s">
        <v>17523</v>
      </c>
      <c r="W7658" s="18" t="s">
        <v>17524</v>
      </c>
      <c r="X7658" s="18" t="s">
        <v>42</v>
      </c>
      <c r="Y7658" s="18" t="s">
        <v>17196</v>
      </c>
      <c r="Z7658" s="18" t="s">
        <v>16721</v>
      </c>
      <c r="AA7658" s="21" t="str">
        <f>HYPERLINK("https://www.ncbi.nlm.nih.gov/nuccore/U01059","NCBI Nucleotide")</f>
        <v>NCBI Nucleotide</v>
      </c>
    </row>
    <row r="7659" spans="1:27" x14ac:dyDescent="0.35">
      <c r="A7659">
        <v>1008403</v>
      </c>
      <c r="B7659">
        <v>7120</v>
      </c>
      <c r="C7659">
        <v>1</v>
      </c>
      <c r="D7659" s="17" t="s">
        <v>17166</v>
      </c>
      <c r="E7659" s="17"/>
      <c r="F7659" s="17" t="s">
        <v>17246</v>
      </c>
      <c r="G7659" s="17"/>
      <c r="H7659" s="17" t="s">
        <v>17310</v>
      </c>
      <c r="I7659" s="17"/>
      <c r="J7659" s="17" t="s">
        <v>17311</v>
      </c>
      <c r="K7659" s="17"/>
      <c r="L7659" s="17" t="s">
        <v>17312</v>
      </c>
      <c r="M7659" s="17" t="s">
        <v>41785</v>
      </c>
      <c r="N7659" s="17" t="s">
        <v>42272</v>
      </c>
      <c r="O7659" s="17"/>
      <c r="P7659" s="17" t="s">
        <v>17504</v>
      </c>
      <c r="Q7659" s="17"/>
      <c r="R7659" s="25" t="str">
        <f>HYPERLINK("https://ictv.global/taxonomy/taxondetails?taxnode_id=202305299","Totivirus go")</f>
        <v>Totivirus go</v>
      </c>
      <c r="S7659" s="18" t="s">
        <v>30</v>
      </c>
      <c r="T7659" s="18" t="s">
        <v>17529</v>
      </c>
      <c r="U7659" s="18" t="s">
        <v>17530</v>
      </c>
      <c r="V7659" s="18" t="s">
        <v>17527</v>
      </c>
      <c r="W7659" s="18" t="s">
        <v>17531</v>
      </c>
      <c r="X7659" s="18" t="s">
        <v>42</v>
      </c>
      <c r="Y7659" s="18" t="s">
        <v>17196</v>
      </c>
      <c r="Z7659" s="18" t="s">
        <v>16721</v>
      </c>
      <c r="AA7659" s="21" t="str">
        <f>HYPERLINK("https://www.ncbi.nlm.nih.gov/nuccore/JN997473","NCBI Nucleotide")</f>
        <v>NCBI Nucleotide</v>
      </c>
    </row>
    <row r="7660" spans="1:27" x14ac:dyDescent="0.35">
      <c r="A7660">
        <v>1025679</v>
      </c>
      <c r="B7660">
        <v>7121</v>
      </c>
      <c r="C7660">
        <v>1</v>
      </c>
      <c r="D7660" s="17" t="s">
        <v>17166</v>
      </c>
      <c r="E7660" s="17"/>
      <c r="F7660" s="17" t="s">
        <v>17246</v>
      </c>
      <c r="G7660" s="17"/>
      <c r="H7660" s="17" t="s">
        <v>17310</v>
      </c>
      <c r="I7660" s="17"/>
      <c r="J7660" s="17" t="s">
        <v>17311</v>
      </c>
      <c r="K7660" s="17"/>
      <c r="L7660" s="17" t="s">
        <v>17312</v>
      </c>
      <c r="M7660" s="17" t="s">
        <v>41785</v>
      </c>
      <c r="N7660" s="17" t="s">
        <v>42272</v>
      </c>
      <c r="O7660" s="17"/>
      <c r="P7660" s="17" t="s">
        <v>17504</v>
      </c>
      <c r="Q7660" s="17"/>
      <c r="R7660" s="25" t="str">
        <f>HYPERLINK("https://ictv.global/taxonomy/taxondetails?taxnode_id=202318130","Totivirus hachi")</f>
        <v>Totivirus hachi</v>
      </c>
      <c r="S7660" s="18" t="s">
        <v>30</v>
      </c>
      <c r="T7660" s="18" t="s">
        <v>42273</v>
      </c>
      <c r="U7660" s="18" t="s">
        <v>42274</v>
      </c>
      <c r="V7660" s="18" t="s">
        <v>42275</v>
      </c>
      <c r="W7660" s="18" t="s">
        <v>42276</v>
      </c>
      <c r="X7660" s="18" t="s">
        <v>42</v>
      </c>
      <c r="Y7660" s="18" t="s">
        <v>17196</v>
      </c>
      <c r="Z7660" s="18" t="s">
        <v>16721</v>
      </c>
      <c r="AA7660" s="21" t="str">
        <f>HYPERLINK("https://www.ncbi.nlm.nih.gov/nuccore/LC075485","NCBI Nucleotide")</f>
        <v>NCBI Nucleotide</v>
      </c>
    </row>
    <row r="7661" spans="1:27" x14ac:dyDescent="0.35">
      <c r="A7661">
        <v>1008397</v>
      </c>
      <c r="B7661">
        <v>7122</v>
      </c>
      <c r="C7661">
        <v>1</v>
      </c>
      <c r="D7661" s="17" t="s">
        <v>17166</v>
      </c>
      <c r="E7661" s="17"/>
      <c r="F7661" s="17" t="s">
        <v>17246</v>
      </c>
      <c r="G7661" s="17"/>
      <c r="H7661" s="17" t="s">
        <v>17310</v>
      </c>
      <c r="I7661" s="17"/>
      <c r="J7661" s="17" t="s">
        <v>17311</v>
      </c>
      <c r="K7661" s="17"/>
      <c r="L7661" s="17" t="s">
        <v>17312</v>
      </c>
      <c r="M7661" s="17" t="s">
        <v>41785</v>
      </c>
      <c r="N7661" s="17" t="s">
        <v>42272</v>
      </c>
      <c r="O7661" s="17"/>
      <c r="P7661" s="17" t="s">
        <v>17504</v>
      </c>
      <c r="Q7661" s="17"/>
      <c r="R7661" s="25" t="str">
        <f>HYPERLINK("https://ictv.global/taxonomy/taxondetails?taxnode_id=202305293","Totivirus ichi")</f>
        <v>Totivirus ichi</v>
      </c>
      <c r="S7661" s="18" t="s">
        <v>30</v>
      </c>
      <c r="T7661" s="18" t="s">
        <v>17505</v>
      </c>
      <c r="U7661" s="18" t="s">
        <v>17506</v>
      </c>
      <c r="V7661" s="18" t="s">
        <v>17507</v>
      </c>
      <c r="W7661" s="18" t="s">
        <v>17508</v>
      </c>
      <c r="X7661" s="18" t="s">
        <v>42</v>
      </c>
      <c r="Y7661" s="18" t="s">
        <v>17196</v>
      </c>
      <c r="Z7661" s="18" t="s">
        <v>16721</v>
      </c>
      <c r="AA7661" s="21" t="str">
        <f>HYPERLINK("https://www.ncbi.nlm.nih.gov/nuccore/J04692","NCBI Nucleotide")</f>
        <v>NCBI Nucleotide</v>
      </c>
    </row>
    <row r="7662" spans="1:27" x14ac:dyDescent="0.35">
      <c r="A7662">
        <v>1025680</v>
      </c>
      <c r="B7662">
        <v>7123</v>
      </c>
      <c r="C7662">
        <v>1</v>
      </c>
      <c r="D7662" s="17" t="s">
        <v>17166</v>
      </c>
      <c r="E7662" s="17"/>
      <c r="F7662" s="17" t="s">
        <v>17246</v>
      </c>
      <c r="G7662" s="17"/>
      <c r="H7662" s="17" t="s">
        <v>17310</v>
      </c>
      <c r="I7662" s="17"/>
      <c r="J7662" s="17" t="s">
        <v>17311</v>
      </c>
      <c r="K7662" s="17"/>
      <c r="L7662" s="17" t="s">
        <v>17312</v>
      </c>
      <c r="M7662" s="17" t="s">
        <v>41785</v>
      </c>
      <c r="N7662" s="17" t="s">
        <v>42272</v>
      </c>
      <c r="O7662" s="17"/>
      <c r="P7662" s="17" t="s">
        <v>17504</v>
      </c>
      <c r="Q7662" s="17"/>
      <c r="R7662" s="25" t="str">
        <f>HYPERLINK("https://ictv.global/taxonomy/taxondetails?taxnode_id=202318131","Totivirus jyu")</f>
        <v>Totivirus jyu</v>
      </c>
      <c r="S7662" s="18" t="s">
        <v>30</v>
      </c>
      <c r="T7662" s="18" t="s">
        <v>42277</v>
      </c>
      <c r="U7662" s="18" t="s">
        <v>42278</v>
      </c>
      <c r="V7662" s="18" t="s">
        <v>42279</v>
      </c>
      <c r="W7662" s="18" t="s">
        <v>42280</v>
      </c>
      <c r="X7662" s="18" t="s">
        <v>42</v>
      </c>
      <c r="Y7662" s="18" t="s">
        <v>17196</v>
      </c>
      <c r="Z7662" s="18" t="s">
        <v>16721</v>
      </c>
      <c r="AA7662" s="21" t="str">
        <f>HYPERLINK("https://www.ncbi.nlm.nih.gov/nuccore/LC075488","NCBI Nucleotide")</f>
        <v>NCBI Nucleotide</v>
      </c>
    </row>
    <row r="7663" spans="1:27" x14ac:dyDescent="0.35">
      <c r="A7663">
        <v>1025681</v>
      </c>
      <c r="B7663">
        <v>7124</v>
      </c>
      <c r="C7663">
        <v>1</v>
      </c>
      <c r="D7663" s="17" t="s">
        <v>17166</v>
      </c>
      <c r="E7663" s="17"/>
      <c r="F7663" s="17" t="s">
        <v>17246</v>
      </c>
      <c r="G7663" s="17"/>
      <c r="H7663" s="17" t="s">
        <v>17310</v>
      </c>
      <c r="I7663" s="17"/>
      <c r="J7663" s="17" t="s">
        <v>17311</v>
      </c>
      <c r="K7663" s="17"/>
      <c r="L7663" s="17" t="s">
        <v>17312</v>
      </c>
      <c r="M7663" s="17" t="s">
        <v>41785</v>
      </c>
      <c r="N7663" s="17" t="s">
        <v>42272</v>
      </c>
      <c r="O7663" s="17"/>
      <c r="P7663" s="17" t="s">
        <v>17504</v>
      </c>
      <c r="Q7663" s="17"/>
      <c r="R7663" s="25" t="str">
        <f>HYPERLINK("https://ictv.global/taxonomy/taxondetails?taxnode_id=202318132","Totivirus jyugo")</f>
        <v>Totivirus jyugo</v>
      </c>
      <c r="S7663" s="18" t="s">
        <v>30</v>
      </c>
      <c r="T7663" s="18" t="s">
        <v>42281</v>
      </c>
      <c r="U7663" s="18" t="s">
        <v>42282</v>
      </c>
      <c r="V7663" s="18" t="s">
        <v>42283</v>
      </c>
      <c r="W7663" s="18" t="s">
        <v>42284</v>
      </c>
      <c r="X7663" s="18" t="s">
        <v>35</v>
      </c>
      <c r="Y7663" s="18" t="s">
        <v>17196</v>
      </c>
      <c r="Z7663" s="18" t="s">
        <v>10790</v>
      </c>
      <c r="AA7663" s="21" t="str">
        <f>HYPERLINK("https://www.ncbi.nlm.nih.gov/nuccore/KX882939","NCBI Nucleotide")</f>
        <v>NCBI Nucleotide</v>
      </c>
    </row>
    <row r="7664" spans="1:27" x14ac:dyDescent="0.35">
      <c r="A7664">
        <v>1025682</v>
      </c>
      <c r="B7664">
        <v>7125</v>
      </c>
      <c r="C7664">
        <v>1</v>
      </c>
      <c r="D7664" s="17" t="s">
        <v>17166</v>
      </c>
      <c r="E7664" s="17"/>
      <c r="F7664" s="17" t="s">
        <v>17246</v>
      </c>
      <c r="G7664" s="17"/>
      <c r="H7664" s="17" t="s">
        <v>17310</v>
      </c>
      <c r="I7664" s="17"/>
      <c r="J7664" s="17" t="s">
        <v>17311</v>
      </c>
      <c r="K7664" s="17"/>
      <c r="L7664" s="17" t="s">
        <v>17312</v>
      </c>
      <c r="M7664" s="17" t="s">
        <v>41785</v>
      </c>
      <c r="N7664" s="17" t="s">
        <v>42272</v>
      </c>
      <c r="O7664" s="17"/>
      <c r="P7664" s="17" t="s">
        <v>17504</v>
      </c>
      <c r="Q7664" s="17"/>
      <c r="R7664" s="25" t="str">
        <f>HYPERLINK("https://ictv.global/taxonomy/taxondetails?taxnode_id=202318133","Totivirus jyuhachi")</f>
        <v>Totivirus jyuhachi</v>
      </c>
      <c r="S7664" s="18" t="s">
        <v>30</v>
      </c>
      <c r="T7664" s="18" t="s">
        <v>42285</v>
      </c>
      <c r="U7664" s="18" t="s">
        <v>42286</v>
      </c>
      <c r="V7664" s="18" t="s">
        <v>42287</v>
      </c>
      <c r="W7664" s="18" t="s">
        <v>42288</v>
      </c>
      <c r="X7664" s="18" t="s">
        <v>35</v>
      </c>
      <c r="Y7664" s="18" t="s">
        <v>17196</v>
      </c>
      <c r="Z7664" s="18" t="s">
        <v>10790</v>
      </c>
      <c r="AA7664" s="21" t="str">
        <f>HYPERLINK("https://www.ncbi.nlm.nih.gov/nuccore/KX882983","NCBI Nucleotide")</f>
        <v>NCBI Nucleotide</v>
      </c>
    </row>
    <row r="7665" spans="1:27" x14ac:dyDescent="0.35">
      <c r="A7665">
        <v>1025683</v>
      </c>
      <c r="B7665">
        <v>7126</v>
      </c>
      <c r="C7665">
        <v>1</v>
      </c>
      <c r="D7665" s="17" t="s">
        <v>17166</v>
      </c>
      <c r="E7665" s="17"/>
      <c r="F7665" s="17" t="s">
        <v>17246</v>
      </c>
      <c r="G7665" s="17"/>
      <c r="H7665" s="17" t="s">
        <v>17310</v>
      </c>
      <c r="I7665" s="17"/>
      <c r="J7665" s="17" t="s">
        <v>17311</v>
      </c>
      <c r="K7665" s="17"/>
      <c r="L7665" s="17" t="s">
        <v>17312</v>
      </c>
      <c r="M7665" s="17" t="s">
        <v>41785</v>
      </c>
      <c r="N7665" s="17" t="s">
        <v>42272</v>
      </c>
      <c r="O7665" s="17"/>
      <c r="P7665" s="17" t="s">
        <v>17504</v>
      </c>
      <c r="Q7665" s="17"/>
      <c r="R7665" s="25" t="str">
        <f>HYPERLINK("https://ictv.global/taxonomy/taxondetails?taxnode_id=202318134","Totivirus jyuichi")</f>
        <v>Totivirus jyuichi</v>
      </c>
      <c r="S7665" s="18" t="s">
        <v>30</v>
      </c>
      <c r="T7665" s="18" t="s">
        <v>42289</v>
      </c>
      <c r="U7665" s="18" t="s">
        <v>42290</v>
      </c>
      <c r="V7665" s="18" t="s">
        <v>42291</v>
      </c>
      <c r="W7665" s="18" t="s">
        <v>42292</v>
      </c>
      <c r="X7665" s="18" t="s">
        <v>42</v>
      </c>
      <c r="Y7665" s="18" t="s">
        <v>17196</v>
      </c>
      <c r="Z7665" s="18" t="s">
        <v>16721</v>
      </c>
      <c r="AA7665" s="21" t="str">
        <f>HYPERLINK("https://www.ncbi.nlm.nih.gov/nuccore/LC075490","NCBI Nucleotide")</f>
        <v>NCBI Nucleotide</v>
      </c>
    </row>
    <row r="7666" spans="1:27" x14ac:dyDescent="0.35">
      <c r="A7666">
        <v>1025684</v>
      </c>
      <c r="B7666">
        <v>7127</v>
      </c>
      <c r="C7666">
        <v>1</v>
      </c>
      <c r="D7666" s="17" t="s">
        <v>17166</v>
      </c>
      <c r="E7666" s="17"/>
      <c r="F7666" s="17" t="s">
        <v>17246</v>
      </c>
      <c r="G7666" s="17"/>
      <c r="H7666" s="17" t="s">
        <v>17310</v>
      </c>
      <c r="I7666" s="17"/>
      <c r="J7666" s="17" t="s">
        <v>17311</v>
      </c>
      <c r="K7666" s="17"/>
      <c r="L7666" s="17" t="s">
        <v>17312</v>
      </c>
      <c r="M7666" s="17" t="s">
        <v>41785</v>
      </c>
      <c r="N7666" s="17" t="s">
        <v>42272</v>
      </c>
      <c r="O7666" s="17"/>
      <c r="P7666" s="17" t="s">
        <v>17504</v>
      </c>
      <c r="Q7666" s="17"/>
      <c r="R7666" s="25" t="str">
        <f>HYPERLINK("https://ictv.global/taxonomy/taxondetails?taxnode_id=202318135","Totivirus jyukyu")</f>
        <v>Totivirus jyukyu</v>
      </c>
      <c r="S7666" s="18" t="s">
        <v>30</v>
      </c>
      <c r="T7666" s="18" t="s">
        <v>42293</v>
      </c>
      <c r="U7666" s="18" t="s">
        <v>42294</v>
      </c>
      <c r="V7666" s="18" t="s">
        <v>42295</v>
      </c>
      <c r="W7666" s="18" t="s">
        <v>42296</v>
      </c>
      <c r="X7666" s="18" t="s">
        <v>35</v>
      </c>
      <c r="Y7666" s="18" t="s">
        <v>17196</v>
      </c>
      <c r="Z7666" s="18" t="s">
        <v>13441</v>
      </c>
      <c r="AA7666" s="21" t="str">
        <f>HYPERLINK("https://www.ncbi.nlm.nih.gov/nuccore/MK066243","NCBI Nucleotide")</f>
        <v>NCBI Nucleotide</v>
      </c>
    </row>
    <row r="7667" spans="1:27" x14ac:dyDescent="0.35">
      <c r="A7667">
        <v>1025685</v>
      </c>
      <c r="B7667">
        <v>7128</v>
      </c>
      <c r="C7667">
        <v>1</v>
      </c>
      <c r="D7667" s="17" t="s">
        <v>17166</v>
      </c>
      <c r="E7667" s="17"/>
      <c r="F7667" s="17" t="s">
        <v>17246</v>
      </c>
      <c r="G7667" s="17"/>
      <c r="H7667" s="17" t="s">
        <v>17310</v>
      </c>
      <c r="I7667" s="17"/>
      <c r="J7667" s="17" t="s">
        <v>17311</v>
      </c>
      <c r="K7667" s="17"/>
      <c r="L7667" s="17" t="s">
        <v>17312</v>
      </c>
      <c r="M7667" s="17" t="s">
        <v>41785</v>
      </c>
      <c r="N7667" s="17" t="s">
        <v>42272</v>
      </c>
      <c r="O7667" s="17"/>
      <c r="P7667" s="17" t="s">
        <v>17504</v>
      </c>
      <c r="Q7667" s="17"/>
      <c r="R7667" s="25" t="str">
        <f>HYPERLINK("https://ictv.global/taxonomy/taxondetails?taxnode_id=202318136","Totivirus jyuni")</f>
        <v>Totivirus jyuni</v>
      </c>
      <c r="S7667" s="18" t="s">
        <v>30</v>
      </c>
      <c r="T7667" s="18" t="s">
        <v>42297</v>
      </c>
      <c r="U7667" s="18" t="s">
        <v>42298</v>
      </c>
      <c r="V7667" s="18" t="s">
        <v>42299</v>
      </c>
      <c r="W7667" s="18" t="s">
        <v>42300</v>
      </c>
      <c r="X7667" s="18" t="s">
        <v>42</v>
      </c>
      <c r="Y7667" s="18" t="s">
        <v>17196</v>
      </c>
      <c r="Z7667" s="18" t="s">
        <v>16721</v>
      </c>
      <c r="AA7667" s="21" t="str">
        <f>HYPERLINK("https://www.ncbi.nlm.nih.gov/nuccore/LC075491","NCBI Nucleotide")</f>
        <v>NCBI Nucleotide</v>
      </c>
    </row>
    <row r="7668" spans="1:27" x14ac:dyDescent="0.35">
      <c r="A7668">
        <v>1025686</v>
      </c>
      <c r="B7668">
        <v>7129</v>
      </c>
      <c r="C7668">
        <v>1</v>
      </c>
      <c r="D7668" s="17" t="s">
        <v>17166</v>
      </c>
      <c r="E7668" s="17"/>
      <c r="F7668" s="17" t="s">
        <v>17246</v>
      </c>
      <c r="G7668" s="17"/>
      <c r="H7668" s="17" t="s">
        <v>17310</v>
      </c>
      <c r="I7668" s="17"/>
      <c r="J7668" s="17" t="s">
        <v>17311</v>
      </c>
      <c r="K7668" s="17"/>
      <c r="L7668" s="17" t="s">
        <v>17312</v>
      </c>
      <c r="M7668" s="17" t="s">
        <v>41785</v>
      </c>
      <c r="N7668" s="17" t="s">
        <v>42272</v>
      </c>
      <c r="O7668" s="17"/>
      <c r="P7668" s="17" t="s">
        <v>17504</v>
      </c>
      <c r="Q7668" s="17"/>
      <c r="R7668" s="25" t="str">
        <f>HYPERLINK("https://ictv.global/taxonomy/taxondetails?taxnode_id=202318137","Totivirus jyuroku")</f>
        <v>Totivirus jyuroku</v>
      </c>
      <c r="S7668" s="18" t="s">
        <v>30</v>
      </c>
      <c r="T7668" s="18" t="s">
        <v>42301</v>
      </c>
      <c r="U7668" s="18" t="s">
        <v>42302</v>
      </c>
      <c r="V7668" s="18" t="s">
        <v>42303</v>
      </c>
      <c r="W7668" s="18" t="s">
        <v>42304</v>
      </c>
      <c r="X7668" s="18" t="s">
        <v>35</v>
      </c>
      <c r="Y7668" s="18" t="s">
        <v>17196</v>
      </c>
      <c r="Z7668" s="18" t="s">
        <v>10790</v>
      </c>
      <c r="AA7668" s="21" t="str">
        <f>HYPERLINK("https://www.ncbi.nlm.nih.gov/nuccore/KX882997","NCBI Nucleotide")</f>
        <v>NCBI Nucleotide</v>
      </c>
    </row>
    <row r="7669" spans="1:27" x14ac:dyDescent="0.35">
      <c r="A7669">
        <v>1025687</v>
      </c>
      <c r="B7669">
        <v>7130</v>
      </c>
      <c r="C7669">
        <v>1</v>
      </c>
      <c r="D7669" s="17" t="s">
        <v>17166</v>
      </c>
      <c r="E7669" s="17"/>
      <c r="F7669" s="17" t="s">
        <v>17246</v>
      </c>
      <c r="G7669" s="17"/>
      <c r="H7669" s="17" t="s">
        <v>17310</v>
      </c>
      <c r="I7669" s="17"/>
      <c r="J7669" s="17" t="s">
        <v>17311</v>
      </c>
      <c r="K7669" s="17"/>
      <c r="L7669" s="17" t="s">
        <v>17312</v>
      </c>
      <c r="M7669" s="17" t="s">
        <v>41785</v>
      </c>
      <c r="N7669" s="17" t="s">
        <v>42272</v>
      </c>
      <c r="O7669" s="17"/>
      <c r="P7669" s="17" t="s">
        <v>17504</v>
      </c>
      <c r="Q7669" s="17"/>
      <c r="R7669" s="25" t="str">
        <f>HYPERLINK("https://ictv.global/taxonomy/taxondetails?taxnode_id=202318138","Totivirus jyusani")</f>
        <v>Totivirus jyusani</v>
      </c>
      <c r="S7669" s="18" t="s">
        <v>30</v>
      </c>
      <c r="T7669" s="18" t="s">
        <v>42305</v>
      </c>
      <c r="U7669" s="18" t="s">
        <v>42306</v>
      </c>
      <c r="V7669" s="18">
        <v>27576</v>
      </c>
      <c r="W7669" s="18" t="s">
        <v>42307</v>
      </c>
      <c r="X7669" s="18" t="s">
        <v>42</v>
      </c>
      <c r="Y7669" s="18" t="s">
        <v>17196</v>
      </c>
      <c r="Z7669" s="18" t="s">
        <v>16721</v>
      </c>
      <c r="AA7669" s="21" t="str">
        <f>HYPERLINK("https://www.ncbi.nlm.nih.gov/nuccore/LC075492","NCBI Nucleotide")</f>
        <v>NCBI Nucleotide</v>
      </c>
    </row>
    <row r="7670" spans="1:27" x14ac:dyDescent="0.35">
      <c r="A7670">
        <v>1025688</v>
      </c>
      <c r="B7670">
        <v>7131</v>
      </c>
      <c r="C7670">
        <v>1</v>
      </c>
      <c r="D7670" s="17" t="s">
        <v>17166</v>
      </c>
      <c r="E7670" s="17"/>
      <c r="F7670" s="17" t="s">
        <v>17246</v>
      </c>
      <c r="G7670" s="17"/>
      <c r="H7670" s="17" t="s">
        <v>17310</v>
      </c>
      <c r="I7670" s="17"/>
      <c r="J7670" s="17" t="s">
        <v>17311</v>
      </c>
      <c r="K7670" s="17"/>
      <c r="L7670" s="17" t="s">
        <v>17312</v>
      </c>
      <c r="M7670" s="17" t="s">
        <v>41785</v>
      </c>
      <c r="N7670" s="17" t="s">
        <v>42272</v>
      </c>
      <c r="O7670" s="17"/>
      <c r="P7670" s="17" t="s">
        <v>17504</v>
      </c>
      <c r="Q7670" s="17"/>
      <c r="R7670" s="25" t="str">
        <f>HYPERLINK("https://ictv.global/taxonomy/taxondetails?taxnode_id=202318139","Totivirus jyushi")</f>
        <v>Totivirus jyushi</v>
      </c>
      <c r="S7670" s="18" t="s">
        <v>30</v>
      </c>
      <c r="T7670" s="18" t="s">
        <v>42308</v>
      </c>
      <c r="U7670" s="18" t="s">
        <v>42309</v>
      </c>
      <c r="V7670" s="18" t="s">
        <v>42310</v>
      </c>
      <c r="W7670" s="18" t="s">
        <v>42311</v>
      </c>
      <c r="X7670" s="18" t="s">
        <v>42</v>
      </c>
      <c r="Y7670" s="18" t="s">
        <v>17196</v>
      </c>
      <c r="Z7670" s="18" t="s">
        <v>13441</v>
      </c>
      <c r="AA7670" s="21" t="str">
        <f>HYPERLINK("https://www.ncbi.nlm.nih.gov/nuccore/KT388111","NCBI Nucleotide")</f>
        <v>NCBI Nucleotide</v>
      </c>
    </row>
    <row r="7671" spans="1:27" x14ac:dyDescent="0.35">
      <c r="A7671">
        <v>1025689</v>
      </c>
      <c r="B7671">
        <v>7132</v>
      </c>
      <c r="C7671">
        <v>1</v>
      </c>
      <c r="D7671" s="17" t="s">
        <v>17166</v>
      </c>
      <c r="E7671" s="17"/>
      <c r="F7671" s="17" t="s">
        <v>17246</v>
      </c>
      <c r="G7671" s="17"/>
      <c r="H7671" s="17" t="s">
        <v>17310</v>
      </c>
      <c r="I7671" s="17"/>
      <c r="J7671" s="17" t="s">
        <v>17311</v>
      </c>
      <c r="K7671" s="17"/>
      <c r="L7671" s="17" t="s">
        <v>17312</v>
      </c>
      <c r="M7671" s="17" t="s">
        <v>41785</v>
      </c>
      <c r="N7671" s="17" t="s">
        <v>42272</v>
      </c>
      <c r="O7671" s="17"/>
      <c r="P7671" s="17" t="s">
        <v>17504</v>
      </c>
      <c r="Q7671" s="17"/>
      <c r="R7671" s="25" t="str">
        <f>HYPERLINK("https://ictv.global/taxonomy/taxondetails?taxnode_id=202318140","Totivirus jyushichi")</f>
        <v>Totivirus jyushichi</v>
      </c>
      <c r="S7671" s="18" t="s">
        <v>30</v>
      </c>
      <c r="T7671" s="18" t="s">
        <v>42312</v>
      </c>
      <c r="U7671" s="18" t="s">
        <v>42313</v>
      </c>
      <c r="V7671" s="18" t="s">
        <v>42314</v>
      </c>
      <c r="W7671" s="18" t="s">
        <v>42315</v>
      </c>
      <c r="X7671" s="18" t="s">
        <v>35</v>
      </c>
      <c r="Y7671" s="18" t="s">
        <v>17196</v>
      </c>
      <c r="Z7671" s="18" t="s">
        <v>10790</v>
      </c>
      <c r="AA7671" s="21" t="str">
        <f>HYPERLINK("https://www.ncbi.nlm.nih.gov/nuccore/KX882990","NCBI Nucleotide")</f>
        <v>NCBI Nucleotide</v>
      </c>
    </row>
    <row r="7672" spans="1:27" x14ac:dyDescent="0.35">
      <c r="A7672">
        <v>1025690</v>
      </c>
      <c r="B7672">
        <v>7133</v>
      </c>
      <c r="C7672">
        <v>1</v>
      </c>
      <c r="D7672" s="17" t="s">
        <v>17166</v>
      </c>
      <c r="E7672" s="17"/>
      <c r="F7672" s="17" t="s">
        <v>17246</v>
      </c>
      <c r="G7672" s="17"/>
      <c r="H7672" s="17" t="s">
        <v>17310</v>
      </c>
      <c r="I7672" s="17"/>
      <c r="J7672" s="17" t="s">
        <v>17311</v>
      </c>
      <c r="K7672" s="17"/>
      <c r="L7672" s="17" t="s">
        <v>17312</v>
      </c>
      <c r="M7672" s="17" t="s">
        <v>41785</v>
      </c>
      <c r="N7672" s="17" t="s">
        <v>42272</v>
      </c>
      <c r="O7672" s="17"/>
      <c r="P7672" s="17" t="s">
        <v>17504</v>
      </c>
      <c r="Q7672" s="17"/>
      <c r="R7672" s="25" t="str">
        <f>HYPERLINK("https://ictv.global/taxonomy/taxondetails?taxnode_id=202318141","Totivirus kyu")</f>
        <v>Totivirus kyu</v>
      </c>
      <c r="S7672" s="18" t="s">
        <v>30</v>
      </c>
      <c r="T7672" s="18" t="s">
        <v>42316</v>
      </c>
      <c r="U7672" s="18" t="s">
        <v>42317</v>
      </c>
      <c r="V7672" s="18" t="s">
        <v>42318</v>
      </c>
      <c r="W7672" s="18" t="s">
        <v>42319</v>
      </c>
      <c r="X7672" s="18" t="s">
        <v>35</v>
      </c>
      <c r="Y7672" s="18" t="s">
        <v>17196</v>
      </c>
      <c r="Z7672" s="18" t="s">
        <v>16721</v>
      </c>
      <c r="AA7672" s="21" t="str">
        <f>HYPERLINK("https://www.ncbi.nlm.nih.gov/nuccore/LC075487","NCBI Nucleotide")</f>
        <v>NCBI Nucleotide</v>
      </c>
    </row>
    <row r="7673" spans="1:27" x14ac:dyDescent="0.35">
      <c r="A7673">
        <v>1008398</v>
      </c>
      <c r="B7673">
        <v>7134</v>
      </c>
      <c r="C7673">
        <v>1</v>
      </c>
      <c r="D7673" s="17" t="s">
        <v>17166</v>
      </c>
      <c r="E7673" s="17"/>
      <c r="F7673" s="17" t="s">
        <v>17246</v>
      </c>
      <c r="G7673" s="17"/>
      <c r="H7673" s="17" t="s">
        <v>17310</v>
      </c>
      <c r="I7673" s="17"/>
      <c r="J7673" s="17" t="s">
        <v>17311</v>
      </c>
      <c r="K7673" s="17"/>
      <c r="L7673" s="17" t="s">
        <v>17312</v>
      </c>
      <c r="M7673" s="17" t="s">
        <v>41785</v>
      </c>
      <c r="N7673" s="17" t="s">
        <v>42272</v>
      </c>
      <c r="O7673" s="17"/>
      <c r="P7673" s="17" t="s">
        <v>17504</v>
      </c>
      <c r="Q7673" s="17"/>
      <c r="R7673" s="25" t="str">
        <f>HYPERLINK("https://ictv.global/taxonomy/taxondetails?taxnode_id=202305294","Totivirus ni")</f>
        <v>Totivirus ni</v>
      </c>
      <c r="S7673" s="18" t="s">
        <v>30</v>
      </c>
      <c r="T7673" s="18" t="s">
        <v>17509</v>
      </c>
      <c r="U7673" s="18" t="s">
        <v>17510</v>
      </c>
      <c r="V7673" s="18" t="s">
        <v>17511</v>
      </c>
      <c r="W7673" s="18" t="s">
        <v>17512</v>
      </c>
      <c r="X7673" s="18" t="s">
        <v>42</v>
      </c>
      <c r="Y7673" s="18" t="s">
        <v>17196</v>
      </c>
      <c r="Z7673" s="18" t="s">
        <v>16721</v>
      </c>
      <c r="AA7673" s="21" t="str">
        <f>HYPERLINK("https://www.ncbi.nlm.nih.gov/nuccore/U01060","NCBI Nucleotide")</f>
        <v>NCBI Nucleotide</v>
      </c>
    </row>
    <row r="7674" spans="1:27" x14ac:dyDescent="0.35">
      <c r="A7674">
        <v>1025691</v>
      </c>
      <c r="B7674">
        <v>7135</v>
      </c>
      <c r="C7674">
        <v>1</v>
      </c>
      <c r="D7674" s="17" t="s">
        <v>17166</v>
      </c>
      <c r="E7674" s="17"/>
      <c r="F7674" s="17" t="s">
        <v>17246</v>
      </c>
      <c r="G7674" s="17"/>
      <c r="H7674" s="17" t="s">
        <v>17310</v>
      </c>
      <c r="I7674" s="17"/>
      <c r="J7674" s="17" t="s">
        <v>17311</v>
      </c>
      <c r="K7674" s="17"/>
      <c r="L7674" s="17" t="s">
        <v>17312</v>
      </c>
      <c r="M7674" s="17" t="s">
        <v>41785</v>
      </c>
      <c r="N7674" s="17" t="s">
        <v>42272</v>
      </c>
      <c r="O7674" s="17"/>
      <c r="P7674" s="17" t="s">
        <v>17504</v>
      </c>
      <c r="Q7674" s="17"/>
      <c r="R7674" s="25" t="str">
        <f>HYPERLINK("https://ictv.global/taxonomy/taxondetails?taxnode_id=202318142","Totivirus nijyu")</f>
        <v>Totivirus nijyu</v>
      </c>
      <c r="S7674" s="18" t="s">
        <v>30</v>
      </c>
      <c r="T7674" s="18" t="s">
        <v>42320</v>
      </c>
      <c r="U7674" s="18" t="s">
        <v>42321</v>
      </c>
      <c r="V7674" s="18" t="s">
        <v>42322</v>
      </c>
      <c r="W7674" s="18" t="s">
        <v>42323</v>
      </c>
      <c r="X7674" s="18" t="s">
        <v>42</v>
      </c>
      <c r="Y7674" s="18" t="s">
        <v>17196</v>
      </c>
      <c r="Z7674" s="18" t="s">
        <v>16721</v>
      </c>
      <c r="AA7674" s="21" t="str">
        <f>HYPERLINK("https://www.ncbi.nlm.nih.gov/nuccore/MK967422","NCBI Nucleotide")</f>
        <v>NCBI Nucleotide</v>
      </c>
    </row>
    <row r="7675" spans="1:27" x14ac:dyDescent="0.35">
      <c r="A7675">
        <v>1025692</v>
      </c>
      <c r="B7675">
        <v>7136</v>
      </c>
      <c r="C7675">
        <v>1</v>
      </c>
      <c r="D7675" s="17" t="s">
        <v>17166</v>
      </c>
      <c r="E7675" s="17"/>
      <c r="F7675" s="17" t="s">
        <v>17246</v>
      </c>
      <c r="G7675" s="17"/>
      <c r="H7675" s="17" t="s">
        <v>17310</v>
      </c>
      <c r="I7675" s="17"/>
      <c r="J7675" s="17" t="s">
        <v>17311</v>
      </c>
      <c r="K7675" s="17"/>
      <c r="L7675" s="17" t="s">
        <v>17312</v>
      </c>
      <c r="M7675" s="17" t="s">
        <v>41785</v>
      </c>
      <c r="N7675" s="17" t="s">
        <v>42272</v>
      </c>
      <c r="O7675" s="17"/>
      <c r="P7675" s="17" t="s">
        <v>17504</v>
      </c>
      <c r="Q7675" s="17"/>
      <c r="R7675" s="25" t="str">
        <f>HYPERLINK("https://ictv.global/taxonomy/taxondetails?taxnode_id=202318143","Totivirus nijyugo")</f>
        <v>Totivirus nijyugo</v>
      </c>
      <c r="S7675" s="18" t="s">
        <v>30</v>
      </c>
      <c r="T7675" s="18" t="s">
        <v>42324</v>
      </c>
      <c r="U7675" s="18" t="s">
        <v>42325</v>
      </c>
      <c r="V7675" s="18" t="s">
        <v>42326</v>
      </c>
      <c r="W7675" s="18" t="s">
        <v>42327</v>
      </c>
      <c r="X7675" s="18" t="s">
        <v>42</v>
      </c>
      <c r="Y7675" s="18" t="s">
        <v>17196</v>
      </c>
      <c r="Z7675" s="18" t="s">
        <v>16721</v>
      </c>
      <c r="AA7675" s="21" t="str">
        <f>HYPERLINK("https://www.ncbi.nlm.nih.gov/nuccore/MN937194","NCBI Nucleotide")</f>
        <v>NCBI Nucleotide</v>
      </c>
    </row>
    <row r="7676" spans="1:27" x14ac:dyDescent="0.35">
      <c r="A7676">
        <v>1025693</v>
      </c>
      <c r="B7676">
        <v>7137</v>
      </c>
      <c r="C7676">
        <v>1</v>
      </c>
      <c r="D7676" s="17" t="s">
        <v>17166</v>
      </c>
      <c r="E7676" s="17"/>
      <c r="F7676" s="17" t="s">
        <v>17246</v>
      </c>
      <c r="G7676" s="17"/>
      <c r="H7676" s="17" t="s">
        <v>17310</v>
      </c>
      <c r="I7676" s="17"/>
      <c r="J7676" s="17" t="s">
        <v>17311</v>
      </c>
      <c r="K7676" s="17"/>
      <c r="L7676" s="17" t="s">
        <v>17312</v>
      </c>
      <c r="M7676" s="17" t="s">
        <v>41785</v>
      </c>
      <c r="N7676" s="17" t="s">
        <v>42272</v>
      </c>
      <c r="O7676" s="17"/>
      <c r="P7676" s="17" t="s">
        <v>17504</v>
      </c>
      <c r="Q7676" s="17"/>
      <c r="R7676" s="25" t="str">
        <f>HYPERLINK("https://ictv.global/taxonomy/taxondetails?taxnode_id=202318144","Totivirus nijyuhachi")</f>
        <v>Totivirus nijyuhachi</v>
      </c>
      <c r="S7676" s="18" t="s">
        <v>30</v>
      </c>
      <c r="T7676" s="18" t="s">
        <v>42328</v>
      </c>
      <c r="U7676" s="18" t="s">
        <v>42329</v>
      </c>
      <c r="V7676" s="18" t="s">
        <v>42330</v>
      </c>
      <c r="W7676" s="18" t="s">
        <v>42331</v>
      </c>
      <c r="X7676" s="18" t="s">
        <v>42</v>
      </c>
      <c r="Y7676" s="18" t="s">
        <v>17196</v>
      </c>
      <c r="Z7676" s="18" t="s">
        <v>16721</v>
      </c>
      <c r="AA7676" s="21" t="str">
        <f>HYPERLINK("https://www.ncbi.nlm.nih.gov/nuccore/MW174763","NCBI Nucleotide")</f>
        <v>NCBI Nucleotide</v>
      </c>
    </row>
    <row r="7677" spans="1:27" x14ac:dyDescent="0.35">
      <c r="A7677">
        <v>1025694</v>
      </c>
      <c r="B7677">
        <v>7138</v>
      </c>
      <c r="C7677">
        <v>1</v>
      </c>
      <c r="D7677" s="17" t="s">
        <v>17166</v>
      </c>
      <c r="E7677" s="17"/>
      <c r="F7677" s="17" t="s">
        <v>17246</v>
      </c>
      <c r="G7677" s="17"/>
      <c r="H7677" s="17" t="s">
        <v>17310</v>
      </c>
      <c r="I7677" s="17"/>
      <c r="J7677" s="17" t="s">
        <v>17311</v>
      </c>
      <c r="K7677" s="17"/>
      <c r="L7677" s="17" t="s">
        <v>17312</v>
      </c>
      <c r="M7677" s="17" t="s">
        <v>41785</v>
      </c>
      <c r="N7677" s="17" t="s">
        <v>42272</v>
      </c>
      <c r="O7677" s="17"/>
      <c r="P7677" s="17" t="s">
        <v>17504</v>
      </c>
      <c r="Q7677" s="17"/>
      <c r="R7677" s="25" t="str">
        <f>HYPERLINK("https://ictv.global/taxonomy/taxondetails?taxnode_id=202318145","Totivirus nijyuichi")</f>
        <v>Totivirus nijyuichi</v>
      </c>
      <c r="S7677" s="18" t="s">
        <v>30</v>
      </c>
      <c r="T7677" s="18" t="s">
        <v>42332</v>
      </c>
      <c r="U7677" s="18" t="s">
        <v>42333</v>
      </c>
      <c r="V7677" s="18" t="s">
        <v>42334</v>
      </c>
      <c r="W7677" s="18" t="s">
        <v>42335</v>
      </c>
      <c r="X7677" s="18" t="s">
        <v>42</v>
      </c>
      <c r="Y7677" s="18" t="s">
        <v>17196</v>
      </c>
      <c r="Z7677" s="18" t="s">
        <v>16721</v>
      </c>
      <c r="AA7677" s="21" t="str">
        <f>HYPERLINK("https://www.ncbi.nlm.nih.gov/nuccore/MK967421","NCBI Nucleotide")</f>
        <v>NCBI Nucleotide</v>
      </c>
    </row>
    <row r="7678" spans="1:27" x14ac:dyDescent="0.35">
      <c r="A7678">
        <v>1025695</v>
      </c>
      <c r="B7678">
        <v>7139</v>
      </c>
      <c r="C7678">
        <v>1</v>
      </c>
      <c r="D7678" s="17" t="s">
        <v>17166</v>
      </c>
      <c r="E7678" s="17"/>
      <c r="F7678" s="17" t="s">
        <v>17246</v>
      </c>
      <c r="G7678" s="17"/>
      <c r="H7678" s="17" t="s">
        <v>17310</v>
      </c>
      <c r="I7678" s="17"/>
      <c r="J7678" s="17" t="s">
        <v>17311</v>
      </c>
      <c r="K7678" s="17"/>
      <c r="L7678" s="17" t="s">
        <v>17312</v>
      </c>
      <c r="M7678" s="17" t="s">
        <v>41785</v>
      </c>
      <c r="N7678" s="17" t="s">
        <v>42272</v>
      </c>
      <c r="O7678" s="17"/>
      <c r="P7678" s="17" t="s">
        <v>17504</v>
      </c>
      <c r="Q7678" s="17"/>
      <c r="R7678" s="25" t="str">
        <f>HYPERLINK("https://ictv.global/taxonomy/taxondetails?taxnode_id=202318146","Totivirus nijyukyu")</f>
        <v>Totivirus nijyukyu</v>
      </c>
      <c r="S7678" s="18" t="s">
        <v>30</v>
      </c>
      <c r="T7678" s="18" t="s">
        <v>42336</v>
      </c>
      <c r="U7678" s="18" t="s">
        <v>42337</v>
      </c>
      <c r="V7678" s="18" t="s">
        <v>42338</v>
      </c>
      <c r="W7678" s="18" t="s">
        <v>42339</v>
      </c>
      <c r="X7678" s="18" t="s">
        <v>35</v>
      </c>
      <c r="Y7678" s="18" t="s">
        <v>17196</v>
      </c>
      <c r="Z7678" s="18" t="s">
        <v>13567</v>
      </c>
      <c r="AA7678" s="21" t="str">
        <f>HYPERLINK("https://www.ncbi.nlm.nih.gov/nuccore/MN545910","NCBI Nucleotide")</f>
        <v>NCBI Nucleotide</v>
      </c>
    </row>
    <row r="7679" spans="1:27" x14ac:dyDescent="0.35">
      <c r="A7679">
        <v>1025696</v>
      </c>
      <c r="B7679">
        <v>7140</v>
      </c>
      <c r="C7679">
        <v>1</v>
      </c>
      <c r="D7679" s="17" t="s">
        <v>17166</v>
      </c>
      <c r="E7679" s="17"/>
      <c r="F7679" s="17" t="s">
        <v>17246</v>
      </c>
      <c r="G7679" s="17"/>
      <c r="H7679" s="17" t="s">
        <v>17310</v>
      </c>
      <c r="I7679" s="17"/>
      <c r="J7679" s="17" t="s">
        <v>17311</v>
      </c>
      <c r="K7679" s="17"/>
      <c r="L7679" s="17" t="s">
        <v>17312</v>
      </c>
      <c r="M7679" s="17" t="s">
        <v>41785</v>
      </c>
      <c r="N7679" s="17" t="s">
        <v>42272</v>
      </c>
      <c r="O7679" s="17"/>
      <c r="P7679" s="17" t="s">
        <v>17504</v>
      </c>
      <c r="Q7679" s="17"/>
      <c r="R7679" s="25" t="str">
        <f>HYPERLINK("https://ictv.global/taxonomy/taxondetails?taxnode_id=202318147","Totivirus nijyuni")</f>
        <v>Totivirus nijyuni</v>
      </c>
      <c r="S7679" s="18" t="s">
        <v>30</v>
      </c>
      <c r="T7679" s="18" t="s">
        <v>42340</v>
      </c>
      <c r="U7679" s="18" t="s">
        <v>42341</v>
      </c>
      <c r="V7679" s="18" t="s">
        <v>42334</v>
      </c>
      <c r="W7679" s="18" t="s">
        <v>42342</v>
      </c>
      <c r="X7679" s="18" t="s">
        <v>42</v>
      </c>
      <c r="Y7679" s="18" t="s">
        <v>17196</v>
      </c>
      <c r="Z7679" s="18" t="s">
        <v>16721</v>
      </c>
      <c r="AA7679" s="21" t="str">
        <f>HYPERLINK("https://www.ncbi.nlm.nih.gov/nuccore/MK967420","NCBI Nucleotide")</f>
        <v>NCBI Nucleotide</v>
      </c>
    </row>
    <row r="7680" spans="1:27" x14ac:dyDescent="0.35">
      <c r="A7680">
        <v>1025697</v>
      </c>
      <c r="B7680">
        <v>7141</v>
      </c>
      <c r="C7680">
        <v>1</v>
      </c>
      <c r="D7680" s="17" t="s">
        <v>17166</v>
      </c>
      <c r="E7680" s="17"/>
      <c r="F7680" s="17" t="s">
        <v>17246</v>
      </c>
      <c r="G7680" s="17"/>
      <c r="H7680" s="17" t="s">
        <v>17310</v>
      </c>
      <c r="I7680" s="17"/>
      <c r="J7680" s="17" t="s">
        <v>17311</v>
      </c>
      <c r="K7680" s="17"/>
      <c r="L7680" s="17" t="s">
        <v>17312</v>
      </c>
      <c r="M7680" s="17" t="s">
        <v>41785</v>
      </c>
      <c r="N7680" s="17" t="s">
        <v>42272</v>
      </c>
      <c r="O7680" s="17"/>
      <c r="P7680" s="17" t="s">
        <v>17504</v>
      </c>
      <c r="Q7680" s="17"/>
      <c r="R7680" s="25" t="str">
        <f>HYPERLINK("https://ictv.global/taxonomy/taxondetails?taxnode_id=202318148","Totivirus nijyuroku")</f>
        <v>Totivirus nijyuroku</v>
      </c>
      <c r="S7680" s="18" t="s">
        <v>30</v>
      </c>
      <c r="T7680" s="18" t="s">
        <v>42343</v>
      </c>
      <c r="U7680" s="18" t="s">
        <v>42344</v>
      </c>
      <c r="V7680" s="18" t="s">
        <v>42345</v>
      </c>
      <c r="W7680" s="18" t="s">
        <v>42346</v>
      </c>
      <c r="X7680" s="18" t="s">
        <v>42</v>
      </c>
      <c r="Y7680" s="18" t="s">
        <v>17196</v>
      </c>
      <c r="Z7680" s="18" t="s">
        <v>16721</v>
      </c>
      <c r="AA7680" s="21" t="str">
        <f>HYPERLINK("https://www.ncbi.nlm.nih.gov/nuccore/MN603497","NCBI Nucleotide")</f>
        <v>NCBI Nucleotide</v>
      </c>
    </row>
    <row r="7681" spans="1:27" x14ac:dyDescent="0.35">
      <c r="A7681">
        <v>1025698</v>
      </c>
      <c r="B7681">
        <v>7142</v>
      </c>
      <c r="C7681">
        <v>1</v>
      </c>
      <c r="D7681" s="17" t="s">
        <v>17166</v>
      </c>
      <c r="E7681" s="17"/>
      <c r="F7681" s="17" t="s">
        <v>17246</v>
      </c>
      <c r="G7681" s="17"/>
      <c r="H7681" s="17" t="s">
        <v>17310</v>
      </c>
      <c r="I7681" s="17"/>
      <c r="J7681" s="17" t="s">
        <v>17311</v>
      </c>
      <c r="K7681" s="17"/>
      <c r="L7681" s="17" t="s">
        <v>17312</v>
      </c>
      <c r="M7681" s="17" t="s">
        <v>41785</v>
      </c>
      <c r="N7681" s="17" t="s">
        <v>42272</v>
      </c>
      <c r="O7681" s="17"/>
      <c r="P7681" s="17" t="s">
        <v>17504</v>
      </c>
      <c r="Q7681" s="17"/>
      <c r="R7681" s="25" t="str">
        <f>HYPERLINK("https://ictv.global/taxonomy/taxondetails?taxnode_id=202318149","Totivirus nijyusani")</f>
        <v>Totivirus nijyusani</v>
      </c>
      <c r="S7681" s="18" t="s">
        <v>30</v>
      </c>
      <c r="T7681" s="18" t="s">
        <v>42347</v>
      </c>
      <c r="U7681" s="18" t="s">
        <v>42348</v>
      </c>
      <c r="V7681" s="18" t="s">
        <v>42334</v>
      </c>
      <c r="W7681" s="18" t="s">
        <v>42349</v>
      </c>
      <c r="X7681" s="18" t="s">
        <v>42</v>
      </c>
      <c r="Y7681" s="18" t="s">
        <v>17196</v>
      </c>
      <c r="Z7681" s="18" t="s">
        <v>16721</v>
      </c>
      <c r="AA7681" s="21" t="str">
        <f>HYPERLINK("https://www.ncbi.nlm.nih.gov/nuccore/MK967419","NCBI Nucleotide")</f>
        <v>NCBI Nucleotide</v>
      </c>
    </row>
    <row r="7682" spans="1:27" x14ac:dyDescent="0.35">
      <c r="A7682">
        <v>1025699</v>
      </c>
      <c r="B7682">
        <v>7143</v>
      </c>
      <c r="C7682">
        <v>1</v>
      </c>
      <c r="D7682" s="17" t="s">
        <v>17166</v>
      </c>
      <c r="E7682" s="17"/>
      <c r="F7682" s="17" t="s">
        <v>17246</v>
      </c>
      <c r="G7682" s="17"/>
      <c r="H7682" s="17" t="s">
        <v>17310</v>
      </c>
      <c r="I7682" s="17"/>
      <c r="J7682" s="17" t="s">
        <v>17311</v>
      </c>
      <c r="K7682" s="17"/>
      <c r="L7682" s="17" t="s">
        <v>17312</v>
      </c>
      <c r="M7682" s="17" t="s">
        <v>41785</v>
      </c>
      <c r="N7682" s="17" t="s">
        <v>42272</v>
      </c>
      <c r="O7682" s="17"/>
      <c r="P7682" s="17" t="s">
        <v>17504</v>
      </c>
      <c r="Q7682" s="17"/>
      <c r="R7682" s="25" t="str">
        <f>HYPERLINK("https://ictv.global/taxonomy/taxondetails?taxnode_id=202318150","Totivirus nijyushi")</f>
        <v>Totivirus nijyushi</v>
      </c>
      <c r="S7682" s="18" t="s">
        <v>30</v>
      </c>
      <c r="T7682" s="18" t="s">
        <v>42350</v>
      </c>
      <c r="U7682" s="18" t="s">
        <v>42351</v>
      </c>
      <c r="V7682" s="18" t="s">
        <v>42352</v>
      </c>
      <c r="W7682" s="18" t="s">
        <v>42353</v>
      </c>
      <c r="X7682" s="18" t="s">
        <v>35</v>
      </c>
      <c r="Y7682" s="18" t="s">
        <v>17196</v>
      </c>
      <c r="Z7682" s="18" t="s">
        <v>16721</v>
      </c>
      <c r="AA7682" s="21" t="str">
        <f>HYPERLINK("https://www.ncbi.nlm.nih.gov/nuccore/MK993478","NCBI Nucleotide")</f>
        <v>NCBI Nucleotide</v>
      </c>
    </row>
    <row r="7683" spans="1:27" x14ac:dyDescent="0.35">
      <c r="A7683">
        <v>1025700</v>
      </c>
      <c r="B7683">
        <v>7144</v>
      </c>
      <c r="C7683">
        <v>1</v>
      </c>
      <c r="D7683" s="17" t="s">
        <v>17166</v>
      </c>
      <c r="E7683" s="17"/>
      <c r="F7683" s="17" t="s">
        <v>17246</v>
      </c>
      <c r="G7683" s="17"/>
      <c r="H7683" s="17" t="s">
        <v>17310</v>
      </c>
      <c r="I7683" s="17"/>
      <c r="J7683" s="17" t="s">
        <v>17311</v>
      </c>
      <c r="K7683" s="17"/>
      <c r="L7683" s="17" t="s">
        <v>17312</v>
      </c>
      <c r="M7683" s="17" t="s">
        <v>41785</v>
      </c>
      <c r="N7683" s="17" t="s">
        <v>42272</v>
      </c>
      <c r="O7683" s="17"/>
      <c r="P7683" s="17" t="s">
        <v>17504</v>
      </c>
      <c r="Q7683" s="17"/>
      <c r="R7683" s="25" t="str">
        <f>HYPERLINK("https://ictv.global/taxonomy/taxondetails?taxnode_id=202318151","Totivirus nijyushichi")</f>
        <v>Totivirus nijyushichi</v>
      </c>
      <c r="S7683" s="18" t="s">
        <v>30</v>
      </c>
      <c r="T7683" s="18" t="s">
        <v>42354</v>
      </c>
      <c r="U7683" s="18" t="s">
        <v>42355</v>
      </c>
      <c r="V7683" s="18"/>
      <c r="W7683" s="18" t="s">
        <v>42356</v>
      </c>
      <c r="X7683" s="18" t="s">
        <v>42</v>
      </c>
      <c r="Y7683" s="18" t="s">
        <v>17196</v>
      </c>
      <c r="Z7683" s="18" t="s">
        <v>16721</v>
      </c>
      <c r="AA7683" s="21" t="str">
        <f>HYPERLINK("https://www.ncbi.nlm.nih.gov/nuccore/MN812428","NCBI Nucleotide")</f>
        <v>NCBI Nucleotide</v>
      </c>
    </row>
    <row r="7684" spans="1:27" x14ac:dyDescent="0.35">
      <c r="A7684">
        <v>1008399</v>
      </c>
      <c r="B7684">
        <v>7145</v>
      </c>
      <c r="C7684">
        <v>1</v>
      </c>
      <c r="D7684" s="17" t="s">
        <v>17166</v>
      </c>
      <c r="E7684" s="17"/>
      <c r="F7684" s="17" t="s">
        <v>17246</v>
      </c>
      <c r="G7684" s="17"/>
      <c r="H7684" s="17" t="s">
        <v>17310</v>
      </c>
      <c r="I7684" s="17"/>
      <c r="J7684" s="17" t="s">
        <v>17311</v>
      </c>
      <c r="K7684" s="17"/>
      <c r="L7684" s="17" t="s">
        <v>17312</v>
      </c>
      <c r="M7684" s="17" t="s">
        <v>41785</v>
      </c>
      <c r="N7684" s="17" t="s">
        <v>42272</v>
      </c>
      <c r="O7684" s="17"/>
      <c r="P7684" s="17" t="s">
        <v>17504</v>
      </c>
      <c r="Q7684" s="17"/>
      <c r="R7684" s="25" t="str">
        <f>HYPERLINK("https://ictv.global/taxonomy/taxondetails?taxnode_id=202305295","Totivirus roku")</f>
        <v>Totivirus roku</v>
      </c>
      <c r="S7684" s="18" t="s">
        <v>30</v>
      </c>
      <c r="T7684" s="18" t="s">
        <v>17513</v>
      </c>
      <c r="U7684" s="18" t="s">
        <v>17514</v>
      </c>
      <c r="V7684" s="18" t="s">
        <v>17515</v>
      </c>
      <c r="W7684" s="18" t="s">
        <v>17516</v>
      </c>
      <c r="X7684" s="18" t="s">
        <v>42</v>
      </c>
      <c r="Y7684" s="18" t="s">
        <v>17196</v>
      </c>
      <c r="Z7684" s="18" t="s">
        <v>16721</v>
      </c>
      <c r="AA7684" s="21" t="str">
        <f>HYPERLINK("https://www.ncbi.nlm.nih.gov/nuccore/KC610514","NCBI Nucleotide")</f>
        <v>NCBI Nucleotide</v>
      </c>
    </row>
    <row r="7685" spans="1:27" x14ac:dyDescent="0.35">
      <c r="A7685">
        <v>1008400</v>
      </c>
      <c r="B7685">
        <v>7146</v>
      </c>
      <c r="C7685">
        <v>1</v>
      </c>
      <c r="D7685" s="17" t="s">
        <v>17166</v>
      </c>
      <c r="E7685" s="17"/>
      <c r="F7685" s="17" t="s">
        <v>17246</v>
      </c>
      <c r="G7685" s="17"/>
      <c r="H7685" s="17" t="s">
        <v>17310</v>
      </c>
      <c r="I7685" s="17"/>
      <c r="J7685" s="17" t="s">
        <v>17311</v>
      </c>
      <c r="K7685" s="17"/>
      <c r="L7685" s="17" t="s">
        <v>17312</v>
      </c>
      <c r="M7685" s="17" t="s">
        <v>41785</v>
      </c>
      <c r="N7685" s="17" t="s">
        <v>42272</v>
      </c>
      <c r="O7685" s="17"/>
      <c r="P7685" s="17" t="s">
        <v>17504</v>
      </c>
      <c r="Q7685" s="17"/>
      <c r="R7685" s="25" t="str">
        <f>HYPERLINK("https://ictv.global/taxonomy/taxondetails?taxnode_id=202305296","Totivirus sani")</f>
        <v>Totivirus sani</v>
      </c>
      <c r="S7685" s="18" t="s">
        <v>30</v>
      </c>
      <c r="T7685" s="18" t="s">
        <v>17517</v>
      </c>
      <c r="U7685" s="18" t="s">
        <v>17518</v>
      </c>
      <c r="V7685" s="18" t="s">
        <v>17519</v>
      </c>
      <c r="W7685" s="18" t="s">
        <v>17520</v>
      </c>
      <c r="X7685" s="18" t="s">
        <v>42</v>
      </c>
      <c r="Y7685" s="18" t="s">
        <v>17196</v>
      </c>
      <c r="Z7685" s="18" t="s">
        <v>16721</v>
      </c>
      <c r="AA7685" s="21" t="str">
        <f>HYPERLINK("https://www.ncbi.nlm.nih.gov/nuccore/HQ158596","NCBI Nucleotide")</f>
        <v>NCBI Nucleotide</v>
      </c>
    </row>
    <row r="7686" spans="1:27" x14ac:dyDescent="0.35">
      <c r="A7686">
        <v>1025701</v>
      </c>
      <c r="B7686">
        <v>7147</v>
      </c>
      <c r="C7686">
        <v>1</v>
      </c>
      <c r="D7686" s="17" t="s">
        <v>17166</v>
      </c>
      <c r="E7686" s="17"/>
      <c r="F7686" s="17" t="s">
        <v>17246</v>
      </c>
      <c r="G7686" s="17"/>
      <c r="H7686" s="17" t="s">
        <v>17310</v>
      </c>
      <c r="I7686" s="17"/>
      <c r="J7686" s="17" t="s">
        <v>17311</v>
      </c>
      <c r="K7686" s="17"/>
      <c r="L7686" s="17" t="s">
        <v>17312</v>
      </c>
      <c r="M7686" s="17" t="s">
        <v>41785</v>
      </c>
      <c r="N7686" s="17" t="s">
        <v>42272</v>
      </c>
      <c r="O7686" s="17"/>
      <c r="P7686" s="17" t="s">
        <v>17504</v>
      </c>
      <c r="Q7686" s="17"/>
      <c r="R7686" s="25" t="str">
        <f>HYPERLINK("https://ictv.global/taxonomy/taxondetails?taxnode_id=202318152","Totivirus sanjyu")</f>
        <v>Totivirus sanjyu</v>
      </c>
      <c r="S7686" s="18" t="s">
        <v>30</v>
      </c>
      <c r="T7686" s="18" t="s">
        <v>42357</v>
      </c>
      <c r="U7686" s="18" t="s">
        <v>42358</v>
      </c>
      <c r="V7686" s="18" t="s">
        <v>42359</v>
      </c>
      <c r="W7686" s="18" t="s">
        <v>42360</v>
      </c>
      <c r="X7686" s="18" t="s">
        <v>35</v>
      </c>
      <c r="Y7686" s="18" t="s">
        <v>17196</v>
      </c>
      <c r="Z7686" s="18" t="s">
        <v>13567</v>
      </c>
      <c r="AA7686" s="21" t="str">
        <f>HYPERLINK("https://www.ncbi.nlm.nih.gov/nuccore/MN545912","NCBI Nucleotide")</f>
        <v>NCBI Nucleotide</v>
      </c>
    </row>
    <row r="7687" spans="1:27" x14ac:dyDescent="0.35">
      <c r="A7687">
        <v>1025702</v>
      </c>
      <c r="B7687">
        <v>7148</v>
      </c>
      <c r="C7687">
        <v>1</v>
      </c>
      <c r="D7687" s="17" t="s">
        <v>17166</v>
      </c>
      <c r="E7687" s="17"/>
      <c r="F7687" s="17" t="s">
        <v>17246</v>
      </c>
      <c r="G7687" s="17"/>
      <c r="H7687" s="17" t="s">
        <v>17310</v>
      </c>
      <c r="I7687" s="17"/>
      <c r="J7687" s="17" t="s">
        <v>17311</v>
      </c>
      <c r="K7687" s="17"/>
      <c r="L7687" s="17" t="s">
        <v>17312</v>
      </c>
      <c r="M7687" s="17" t="s">
        <v>41785</v>
      </c>
      <c r="N7687" s="17" t="s">
        <v>42272</v>
      </c>
      <c r="O7687" s="17"/>
      <c r="P7687" s="17" t="s">
        <v>17504</v>
      </c>
      <c r="Q7687" s="17"/>
      <c r="R7687" s="25" t="str">
        <f>HYPERLINK("https://ictv.global/taxonomy/taxondetails?taxnode_id=202318153","Totivirus sanjyuichi")</f>
        <v>Totivirus sanjyuichi</v>
      </c>
      <c r="S7687" s="18" t="s">
        <v>30</v>
      </c>
      <c r="T7687" s="18" t="s">
        <v>42361</v>
      </c>
      <c r="U7687" s="18" t="s">
        <v>42362</v>
      </c>
      <c r="V7687" s="18" t="s">
        <v>42363</v>
      </c>
      <c r="W7687" s="18" t="s">
        <v>42364</v>
      </c>
      <c r="X7687" s="18" t="s">
        <v>42</v>
      </c>
      <c r="Y7687" s="18" t="s">
        <v>17196</v>
      </c>
      <c r="Z7687" s="18" t="s">
        <v>16721</v>
      </c>
      <c r="AA7687" s="21" t="str">
        <f>HYPERLINK("https://www.ncbi.nlm.nih.gov/nuccore/MW249058","NCBI Nucleotide")</f>
        <v>NCBI Nucleotide</v>
      </c>
    </row>
    <row r="7688" spans="1:27" x14ac:dyDescent="0.35">
      <c r="A7688">
        <v>1025703</v>
      </c>
      <c r="B7688">
        <v>7149</v>
      </c>
      <c r="C7688">
        <v>1</v>
      </c>
      <c r="D7688" s="17" t="s">
        <v>17166</v>
      </c>
      <c r="E7688" s="17"/>
      <c r="F7688" s="17" t="s">
        <v>17246</v>
      </c>
      <c r="G7688" s="17"/>
      <c r="H7688" s="17" t="s">
        <v>17310</v>
      </c>
      <c r="I7688" s="17"/>
      <c r="J7688" s="17" t="s">
        <v>17311</v>
      </c>
      <c r="K7688" s="17"/>
      <c r="L7688" s="17" t="s">
        <v>17312</v>
      </c>
      <c r="M7688" s="17" t="s">
        <v>41785</v>
      </c>
      <c r="N7688" s="17" t="s">
        <v>42272</v>
      </c>
      <c r="O7688" s="17"/>
      <c r="P7688" s="17" t="s">
        <v>17504</v>
      </c>
      <c r="Q7688" s="17"/>
      <c r="R7688" s="25" t="str">
        <f>HYPERLINK("https://ictv.global/taxonomy/taxondetails?taxnode_id=202318154","Totivirus sanjyuni")</f>
        <v>Totivirus sanjyuni</v>
      </c>
      <c r="S7688" s="18" t="s">
        <v>30</v>
      </c>
      <c r="T7688" s="18" t="s">
        <v>42365</v>
      </c>
      <c r="U7688" s="18" t="s">
        <v>42366</v>
      </c>
      <c r="V7688" s="18" t="s">
        <v>42367</v>
      </c>
      <c r="W7688" s="18" t="s">
        <v>42368</v>
      </c>
      <c r="X7688" s="18" t="s">
        <v>42</v>
      </c>
      <c r="Y7688" s="18" t="s">
        <v>17196</v>
      </c>
      <c r="Z7688" s="18" t="s">
        <v>13441</v>
      </c>
      <c r="AA7688" s="21" t="str">
        <f>HYPERLINK("https://www.ncbi.nlm.nih.gov/nuccore/MW025466","NCBI Nucleotide")</f>
        <v>NCBI Nucleotide</v>
      </c>
    </row>
    <row r="7689" spans="1:27" x14ac:dyDescent="0.35">
      <c r="A7689">
        <v>1008402</v>
      </c>
      <c r="B7689">
        <v>7150</v>
      </c>
      <c r="C7689">
        <v>1</v>
      </c>
      <c r="D7689" s="17" t="s">
        <v>17166</v>
      </c>
      <c r="E7689" s="17"/>
      <c r="F7689" s="17" t="s">
        <v>17246</v>
      </c>
      <c r="G7689" s="17"/>
      <c r="H7689" s="17" t="s">
        <v>17310</v>
      </c>
      <c r="I7689" s="17"/>
      <c r="J7689" s="17" t="s">
        <v>17311</v>
      </c>
      <c r="K7689" s="17"/>
      <c r="L7689" s="17" t="s">
        <v>17312</v>
      </c>
      <c r="M7689" s="17" t="s">
        <v>41785</v>
      </c>
      <c r="N7689" s="17" t="s">
        <v>42272</v>
      </c>
      <c r="O7689" s="17"/>
      <c r="P7689" s="17" t="s">
        <v>17504</v>
      </c>
      <c r="Q7689" s="17"/>
      <c r="R7689" s="25" t="str">
        <f>HYPERLINK("https://ictv.global/taxonomy/taxondetails?taxnode_id=202305298","Totivirus shi")</f>
        <v>Totivirus shi</v>
      </c>
      <c r="S7689" s="18" t="s">
        <v>30</v>
      </c>
      <c r="T7689" s="18" t="s">
        <v>17525</v>
      </c>
      <c r="U7689" s="18" t="s">
        <v>17526</v>
      </c>
      <c r="V7689" s="18" t="s">
        <v>17527</v>
      </c>
      <c r="W7689" s="18" t="s">
        <v>17528</v>
      </c>
      <c r="X7689" s="18" t="s">
        <v>42</v>
      </c>
      <c r="Y7689" s="18" t="s">
        <v>17196</v>
      </c>
      <c r="Z7689" s="18" t="s">
        <v>16721</v>
      </c>
      <c r="AA7689" s="21" t="str">
        <f>HYPERLINK("https://www.ncbi.nlm.nih.gov/nuccore/JN997472","NCBI Nucleotide")</f>
        <v>NCBI Nucleotide</v>
      </c>
    </row>
    <row r="7690" spans="1:27" x14ac:dyDescent="0.35">
      <c r="A7690">
        <v>1025704</v>
      </c>
      <c r="B7690">
        <v>7151</v>
      </c>
      <c r="C7690">
        <v>1</v>
      </c>
      <c r="D7690" s="17" t="s">
        <v>17166</v>
      </c>
      <c r="E7690" s="17"/>
      <c r="F7690" s="17" t="s">
        <v>17246</v>
      </c>
      <c r="G7690" s="17"/>
      <c r="H7690" s="17" t="s">
        <v>17310</v>
      </c>
      <c r="I7690" s="17"/>
      <c r="J7690" s="17" t="s">
        <v>17311</v>
      </c>
      <c r="K7690" s="17"/>
      <c r="L7690" s="17" t="s">
        <v>17312</v>
      </c>
      <c r="M7690" s="17" t="s">
        <v>41785</v>
      </c>
      <c r="N7690" s="17" t="s">
        <v>42272</v>
      </c>
      <c r="O7690" s="17"/>
      <c r="P7690" s="17" t="s">
        <v>17504</v>
      </c>
      <c r="Q7690" s="17"/>
      <c r="R7690" s="25" t="str">
        <f>HYPERLINK("https://ictv.global/taxonomy/taxondetails?taxnode_id=202318155","Totivirus shichi")</f>
        <v>Totivirus shichi</v>
      </c>
      <c r="S7690" s="18" t="s">
        <v>30</v>
      </c>
      <c r="T7690" s="18" t="s">
        <v>42369</v>
      </c>
      <c r="U7690" s="18" t="s">
        <v>42294</v>
      </c>
      <c r="V7690" s="18" t="s">
        <v>42370</v>
      </c>
      <c r="W7690" s="18" t="s">
        <v>42371</v>
      </c>
      <c r="X7690" s="18" t="s">
        <v>42</v>
      </c>
      <c r="Y7690" s="18" t="s">
        <v>17196</v>
      </c>
      <c r="Z7690" s="18" t="s">
        <v>13441</v>
      </c>
      <c r="AA7690" s="21" t="str">
        <f>HYPERLINK("https://www.ncbi.nlm.nih.gov/nuccore/KP984504","NCBI Nucleotide")</f>
        <v>NCBI Nucleotide</v>
      </c>
    </row>
    <row r="7691" spans="1:27" x14ac:dyDescent="0.35">
      <c r="A7691">
        <v>1025648</v>
      </c>
      <c r="B7691">
        <v>7152</v>
      </c>
      <c r="C7691">
        <v>1</v>
      </c>
      <c r="D7691" s="17" t="s">
        <v>17166</v>
      </c>
      <c r="E7691" s="17"/>
      <c r="F7691" s="17" t="s">
        <v>17246</v>
      </c>
      <c r="G7691" s="17"/>
      <c r="H7691" s="17" t="s">
        <v>17310</v>
      </c>
      <c r="I7691" s="17"/>
      <c r="J7691" s="17" t="s">
        <v>17311</v>
      </c>
      <c r="K7691" s="17"/>
      <c r="L7691" s="17" t="s">
        <v>17312</v>
      </c>
      <c r="M7691" s="17" t="s">
        <v>41785</v>
      </c>
      <c r="N7691" s="17" t="s">
        <v>41903</v>
      </c>
      <c r="O7691" s="17"/>
      <c r="P7691" s="17" t="s">
        <v>41904</v>
      </c>
      <c r="Q7691" s="17"/>
      <c r="R7691" s="25" t="str">
        <f>HYPERLINK("https://ictv.global/taxonomy/taxondetails?taxnode_id=202318156","Phlegivirus ichi")</f>
        <v>Phlegivirus ichi</v>
      </c>
      <c r="S7691" s="18" t="s">
        <v>30</v>
      </c>
      <c r="T7691" s="18" t="s">
        <v>41905</v>
      </c>
      <c r="U7691" s="18" t="s">
        <v>41906</v>
      </c>
      <c r="V7691" s="18" t="s">
        <v>41907</v>
      </c>
      <c r="W7691" s="18" t="s">
        <v>41908</v>
      </c>
      <c r="X7691" s="18" t="s">
        <v>42</v>
      </c>
      <c r="Y7691" s="18" t="s">
        <v>17196</v>
      </c>
      <c r="Z7691" s="18" t="s">
        <v>16721</v>
      </c>
      <c r="AA7691" s="21" t="str">
        <f>HYPERLINK("https://www.ncbi.nlm.nih.gov/nuccore/AM111096","NCBI Nucleotide")</f>
        <v>NCBI Nucleotide</v>
      </c>
    </row>
    <row r="7692" spans="1:27" x14ac:dyDescent="0.35">
      <c r="A7692">
        <v>1025649</v>
      </c>
      <c r="B7692">
        <v>7153</v>
      </c>
      <c r="C7692">
        <v>1</v>
      </c>
      <c r="D7692" s="17" t="s">
        <v>17166</v>
      </c>
      <c r="E7692" s="17"/>
      <c r="F7692" s="17" t="s">
        <v>17246</v>
      </c>
      <c r="G7692" s="17"/>
      <c r="H7692" s="17" t="s">
        <v>17310</v>
      </c>
      <c r="I7692" s="17"/>
      <c r="J7692" s="17" t="s">
        <v>17311</v>
      </c>
      <c r="K7692" s="17"/>
      <c r="L7692" s="17" t="s">
        <v>17312</v>
      </c>
      <c r="M7692" s="17" t="s">
        <v>41785</v>
      </c>
      <c r="N7692" s="17" t="s">
        <v>41903</v>
      </c>
      <c r="O7692" s="17"/>
      <c r="P7692" s="17" t="s">
        <v>41904</v>
      </c>
      <c r="Q7692" s="17"/>
      <c r="R7692" s="25" t="str">
        <f>HYPERLINK("https://ictv.global/taxonomy/taxondetails?taxnode_id=202318157","Phlegivirus ni")</f>
        <v>Phlegivirus ni</v>
      </c>
      <c r="S7692" s="18" t="s">
        <v>30</v>
      </c>
      <c r="T7692" s="18" t="s">
        <v>41909</v>
      </c>
      <c r="U7692" s="18" t="s">
        <v>41910</v>
      </c>
      <c r="V7692" s="18" t="s">
        <v>41911</v>
      </c>
      <c r="W7692" s="18" t="s">
        <v>41912</v>
      </c>
      <c r="X7692" s="18" t="s">
        <v>42</v>
      </c>
      <c r="Y7692" s="18" t="s">
        <v>17196</v>
      </c>
      <c r="Z7692" s="18" t="s">
        <v>16721</v>
      </c>
      <c r="AA7692" s="21" t="str">
        <f>HYPERLINK("https://www.ncbi.nlm.nih.gov/nuccore/KT191297","NCBI Nucleotide")</f>
        <v>NCBI Nucleotide</v>
      </c>
    </row>
    <row r="7693" spans="1:27" x14ac:dyDescent="0.35">
      <c r="A7693">
        <v>1025650</v>
      </c>
      <c r="B7693">
        <v>7154</v>
      </c>
      <c r="C7693">
        <v>1</v>
      </c>
      <c r="D7693" s="17" t="s">
        <v>17166</v>
      </c>
      <c r="E7693" s="17"/>
      <c r="F7693" s="17" t="s">
        <v>17246</v>
      </c>
      <c r="G7693" s="17"/>
      <c r="H7693" s="17" t="s">
        <v>17310</v>
      </c>
      <c r="I7693" s="17"/>
      <c r="J7693" s="17" t="s">
        <v>17311</v>
      </c>
      <c r="K7693" s="17"/>
      <c r="L7693" s="17" t="s">
        <v>17312</v>
      </c>
      <c r="M7693" s="17" t="s">
        <v>41785</v>
      </c>
      <c r="N7693" s="17" t="s">
        <v>41903</v>
      </c>
      <c r="O7693" s="17"/>
      <c r="P7693" s="17" t="s">
        <v>41904</v>
      </c>
      <c r="Q7693" s="17"/>
      <c r="R7693" s="25" t="str">
        <f>HYPERLINK("https://ictv.global/taxonomy/taxondetails?taxnode_id=202318158","Phlegivirus sani")</f>
        <v>Phlegivirus sani</v>
      </c>
      <c r="S7693" s="18" t="s">
        <v>30</v>
      </c>
      <c r="T7693" s="18" t="s">
        <v>41913</v>
      </c>
      <c r="U7693" s="18" t="s">
        <v>41914</v>
      </c>
      <c r="V7693" s="18" t="s">
        <v>20057</v>
      </c>
      <c r="W7693" s="18" t="s">
        <v>41915</v>
      </c>
      <c r="X7693" s="18" t="s">
        <v>35</v>
      </c>
      <c r="Y7693" s="18" t="s">
        <v>17196</v>
      </c>
      <c r="Z7693" s="18" t="s">
        <v>16721</v>
      </c>
      <c r="AA7693" s="21" t="str">
        <f>HYPERLINK("https://www.ncbi.nlm.nih.gov/nuccore/MK532272","NCBI Nucleotide")</f>
        <v>NCBI Nucleotide</v>
      </c>
    </row>
    <row r="7694" spans="1:27" x14ac:dyDescent="0.35">
      <c r="A7694">
        <v>1025651</v>
      </c>
      <c r="B7694">
        <v>7155</v>
      </c>
      <c r="C7694">
        <v>1</v>
      </c>
      <c r="D7694" s="17" t="s">
        <v>17166</v>
      </c>
      <c r="E7694" s="17"/>
      <c r="F7694" s="17" t="s">
        <v>17246</v>
      </c>
      <c r="G7694" s="17"/>
      <c r="H7694" s="17" t="s">
        <v>17310</v>
      </c>
      <c r="I7694" s="17"/>
      <c r="J7694" s="17" t="s">
        <v>17311</v>
      </c>
      <c r="K7694" s="17"/>
      <c r="L7694" s="17" t="s">
        <v>17312</v>
      </c>
      <c r="M7694" s="17" t="s">
        <v>41785</v>
      </c>
      <c r="N7694" s="17" t="s">
        <v>41903</v>
      </c>
      <c r="O7694" s="17"/>
      <c r="P7694" s="17" t="s">
        <v>41904</v>
      </c>
      <c r="Q7694" s="17"/>
      <c r="R7694" s="25" t="str">
        <f>HYPERLINK("https://ictv.global/taxonomy/taxondetails?taxnode_id=202318159","Phlegivirus shi")</f>
        <v>Phlegivirus shi</v>
      </c>
      <c r="S7694" s="18" t="s">
        <v>30</v>
      </c>
      <c r="T7694" s="18" t="s">
        <v>41916</v>
      </c>
      <c r="U7694" s="18" t="s">
        <v>41917</v>
      </c>
      <c r="V7694" s="18" t="s">
        <v>41918</v>
      </c>
      <c r="W7694" s="18" t="s">
        <v>41919</v>
      </c>
      <c r="X7694" s="18" t="s">
        <v>35</v>
      </c>
      <c r="Y7694" s="18" t="s">
        <v>17196</v>
      </c>
      <c r="Z7694" s="18" t="s">
        <v>16721</v>
      </c>
      <c r="AA7694" s="21" t="str">
        <f>HYPERLINK("https://www.ncbi.nlm.nih.gov/nuccore/MN744709","NCBI Nucleotide")</f>
        <v>NCBI Nucleotide</v>
      </c>
    </row>
    <row r="7695" spans="1:27" x14ac:dyDescent="0.35">
      <c r="A7695">
        <v>1025608</v>
      </c>
      <c r="B7695">
        <v>7156</v>
      </c>
      <c r="C7695">
        <v>1</v>
      </c>
      <c r="D7695" s="17" t="s">
        <v>17166</v>
      </c>
      <c r="E7695" s="17"/>
      <c r="F7695" s="17" t="s">
        <v>17246</v>
      </c>
      <c r="G7695" s="17"/>
      <c r="H7695" s="17" t="s">
        <v>17310</v>
      </c>
      <c r="I7695" s="17"/>
      <c r="J7695" s="17" t="s">
        <v>17311</v>
      </c>
      <c r="K7695" s="17"/>
      <c r="L7695" s="17" t="s">
        <v>17312</v>
      </c>
      <c r="M7695" s="17" t="s">
        <v>41785</v>
      </c>
      <c r="N7695" s="17" t="s">
        <v>41920</v>
      </c>
      <c r="O7695" s="17"/>
      <c r="P7695" s="17" t="s">
        <v>41921</v>
      </c>
      <c r="Q7695" s="17"/>
      <c r="R7695" s="25" t="str">
        <f>HYPERLINK("https://ictv.global/taxonomy/taxondetails?taxnode_id=202318160","Eimeriavirus ichi")</f>
        <v>Eimeriavirus ichi</v>
      </c>
      <c r="S7695" s="18" t="s">
        <v>30</v>
      </c>
      <c r="T7695" s="18" t="s">
        <v>41922</v>
      </c>
      <c r="U7695" s="18" t="s">
        <v>41923</v>
      </c>
      <c r="V7695" s="18" t="s">
        <v>41924</v>
      </c>
      <c r="W7695" s="18" t="s">
        <v>41925</v>
      </c>
      <c r="X7695" s="18" t="s">
        <v>35</v>
      </c>
      <c r="Y7695" s="18" t="s">
        <v>17196</v>
      </c>
      <c r="Z7695" s="18" t="s">
        <v>17496</v>
      </c>
      <c r="AA7695" s="21" t="str">
        <f>HYPERLINK("https://www.ncbi.nlm.nih.gov/nuccore/KJ363185","NCBI Nucleotide")</f>
        <v>NCBI Nucleotide</v>
      </c>
    </row>
    <row r="7696" spans="1:27" x14ac:dyDescent="0.35">
      <c r="A7696">
        <v>1025609</v>
      </c>
      <c r="B7696">
        <v>7157</v>
      </c>
      <c r="C7696">
        <v>1</v>
      </c>
      <c r="D7696" s="17" t="s">
        <v>17166</v>
      </c>
      <c r="E7696" s="17"/>
      <c r="F7696" s="17" t="s">
        <v>17246</v>
      </c>
      <c r="G7696" s="17"/>
      <c r="H7696" s="17" t="s">
        <v>17310</v>
      </c>
      <c r="I7696" s="17"/>
      <c r="J7696" s="17" t="s">
        <v>17311</v>
      </c>
      <c r="K7696" s="17"/>
      <c r="L7696" s="17" t="s">
        <v>17312</v>
      </c>
      <c r="M7696" s="17" t="s">
        <v>41785</v>
      </c>
      <c r="N7696" s="17" t="s">
        <v>41920</v>
      </c>
      <c r="O7696" s="17"/>
      <c r="P7696" s="17" t="s">
        <v>41921</v>
      </c>
      <c r="Q7696" s="17"/>
      <c r="R7696" s="25" t="str">
        <f>HYPERLINK("https://ictv.global/taxonomy/taxondetails?taxnode_id=202318161","Eimeriavirus ni")</f>
        <v>Eimeriavirus ni</v>
      </c>
      <c r="S7696" s="18" t="s">
        <v>30</v>
      </c>
      <c r="T7696" s="18" t="s">
        <v>41926</v>
      </c>
      <c r="U7696" s="18" t="s">
        <v>41927</v>
      </c>
      <c r="V7696" s="18" t="s">
        <v>41928</v>
      </c>
      <c r="W7696" s="18" t="s">
        <v>41929</v>
      </c>
      <c r="X7696" s="18" t="s">
        <v>42</v>
      </c>
      <c r="Y7696" s="18" t="s">
        <v>17196</v>
      </c>
      <c r="Z7696" s="18" t="s">
        <v>17496</v>
      </c>
      <c r="AA7696" s="21" t="str">
        <f>HYPERLINK("https://www.ncbi.nlm.nih.gov/nuccore/KU597305","NCBI Nucleotide")</f>
        <v>NCBI Nucleotide</v>
      </c>
    </row>
    <row r="7697" spans="1:27" x14ac:dyDescent="0.35">
      <c r="A7697">
        <v>1025610</v>
      </c>
      <c r="B7697">
        <v>7158</v>
      </c>
      <c r="C7697">
        <v>1</v>
      </c>
      <c r="D7697" s="17" t="s">
        <v>17166</v>
      </c>
      <c r="E7697" s="17"/>
      <c r="F7697" s="17" t="s">
        <v>17246</v>
      </c>
      <c r="G7697" s="17"/>
      <c r="H7697" s="17" t="s">
        <v>17310</v>
      </c>
      <c r="I7697" s="17"/>
      <c r="J7697" s="17" t="s">
        <v>17311</v>
      </c>
      <c r="K7697" s="17"/>
      <c r="L7697" s="17" t="s">
        <v>17312</v>
      </c>
      <c r="M7697" s="17" t="s">
        <v>41785</v>
      </c>
      <c r="N7697" s="17" t="s">
        <v>41920</v>
      </c>
      <c r="O7697" s="17"/>
      <c r="P7697" s="17" t="s">
        <v>41921</v>
      </c>
      <c r="Q7697" s="17"/>
      <c r="R7697" s="25" t="str">
        <f>HYPERLINK("https://ictv.global/taxonomy/taxondetails?taxnode_id=202318162","Eimeriavirus sani")</f>
        <v>Eimeriavirus sani</v>
      </c>
      <c r="S7697" s="18" t="s">
        <v>30</v>
      </c>
      <c r="T7697" s="18" t="s">
        <v>41926</v>
      </c>
      <c r="U7697" s="18" t="s">
        <v>41927</v>
      </c>
      <c r="V7697" s="18" t="s">
        <v>41930</v>
      </c>
      <c r="W7697" s="18" t="s">
        <v>41931</v>
      </c>
      <c r="X7697" s="18" t="s">
        <v>35</v>
      </c>
      <c r="Y7697" s="18" t="s">
        <v>17196</v>
      </c>
      <c r="Z7697" s="18" t="s">
        <v>166</v>
      </c>
      <c r="AA7697" s="21" t="str">
        <f>HYPERLINK("https://www.ncbi.nlm.nih.gov/nuccore/MT129769","NCBI Nucleotide")</f>
        <v>NCBI Nucleotide</v>
      </c>
    </row>
    <row r="7698" spans="1:27" x14ac:dyDescent="0.35">
      <c r="A7698">
        <v>1025711</v>
      </c>
      <c r="B7698">
        <v>7159</v>
      </c>
      <c r="C7698">
        <v>1</v>
      </c>
      <c r="D7698" s="17" t="s">
        <v>17166</v>
      </c>
      <c r="E7698" s="17"/>
      <c r="F7698" s="17" t="s">
        <v>17246</v>
      </c>
      <c r="G7698" s="17"/>
      <c r="H7698" s="17" t="s">
        <v>17310</v>
      </c>
      <c r="I7698" s="17"/>
      <c r="J7698" s="17" t="s">
        <v>17311</v>
      </c>
      <c r="K7698" s="17"/>
      <c r="L7698" s="17" t="s">
        <v>17312</v>
      </c>
      <c r="M7698" s="17" t="s">
        <v>41785</v>
      </c>
      <c r="N7698" s="17" t="s">
        <v>41920</v>
      </c>
      <c r="O7698" s="17"/>
      <c r="P7698" s="17" t="s">
        <v>17497</v>
      </c>
      <c r="Q7698" s="17"/>
      <c r="R7698" s="25" t="str">
        <f>HYPERLINK("https://ictv.global/taxonomy/taxondetails?taxnode_id=202318163","Leishmaniavirus go")</f>
        <v>Leishmaniavirus go</v>
      </c>
      <c r="S7698" s="18" t="s">
        <v>30</v>
      </c>
      <c r="T7698" s="18" t="s">
        <v>41932</v>
      </c>
      <c r="U7698" s="18" t="s">
        <v>41933</v>
      </c>
      <c r="V7698" s="18" t="s">
        <v>41934</v>
      </c>
      <c r="W7698" s="18" t="s">
        <v>41935</v>
      </c>
      <c r="X7698" s="18" t="s">
        <v>35</v>
      </c>
      <c r="Y7698" s="18" t="s">
        <v>17196</v>
      </c>
      <c r="Z7698" s="18" t="s">
        <v>17496</v>
      </c>
      <c r="AA7698" s="21" t="str">
        <f>HYPERLINK("https://www.ncbi.nlm.nih.gov/nuccore/MG967347","NCBI Nucleotide")</f>
        <v>NCBI Nucleotide</v>
      </c>
    </row>
    <row r="7699" spans="1:27" x14ac:dyDescent="0.35">
      <c r="A7699">
        <v>1008395</v>
      </c>
      <c r="B7699">
        <v>7160</v>
      </c>
      <c r="C7699">
        <v>1</v>
      </c>
      <c r="D7699" s="17" t="s">
        <v>17166</v>
      </c>
      <c r="E7699" s="17"/>
      <c r="F7699" s="17" t="s">
        <v>17246</v>
      </c>
      <c r="G7699" s="17"/>
      <c r="H7699" s="17" t="s">
        <v>17310</v>
      </c>
      <c r="I7699" s="17"/>
      <c r="J7699" s="17" t="s">
        <v>17311</v>
      </c>
      <c r="K7699" s="17"/>
      <c r="L7699" s="17" t="s">
        <v>17312</v>
      </c>
      <c r="M7699" s="17" t="s">
        <v>41785</v>
      </c>
      <c r="N7699" s="17" t="s">
        <v>41920</v>
      </c>
      <c r="O7699" s="17"/>
      <c r="P7699" s="17" t="s">
        <v>17497</v>
      </c>
      <c r="Q7699" s="17"/>
      <c r="R7699" s="25" t="str">
        <f>HYPERLINK("https://ictv.global/taxonomy/taxondetails?taxnode_id=202305290","Leishmaniavirus ichi")</f>
        <v>Leishmaniavirus ichi</v>
      </c>
      <c r="S7699" s="18" t="s">
        <v>30</v>
      </c>
      <c r="T7699" s="18" t="s">
        <v>17498</v>
      </c>
      <c r="U7699" s="18" t="s">
        <v>17499</v>
      </c>
      <c r="V7699" s="18">
        <v>42370</v>
      </c>
      <c r="W7699" s="18" t="s">
        <v>17500</v>
      </c>
      <c r="X7699" s="18" t="s">
        <v>42</v>
      </c>
      <c r="Y7699" s="18" t="s">
        <v>17196</v>
      </c>
      <c r="Z7699" s="18" t="s">
        <v>17496</v>
      </c>
      <c r="AA7699" s="21" t="str">
        <f>HYPERLINK("https://www.ncbi.nlm.nih.gov/nuccore/M92355","NCBI Nucleotide")</f>
        <v>NCBI Nucleotide</v>
      </c>
    </row>
    <row r="7700" spans="1:27" x14ac:dyDescent="0.35">
      <c r="A7700">
        <v>1008396</v>
      </c>
      <c r="B7700">
        <v>7161</v>
      </c>
      <c r="C7700">
        <v>1</v>
      </c>
      <c r="D7700" s="17" t="s">
        <v>17166</v>
      </c>
      <c r="E7700" s="17"/>
      <c r="F7700" s="17" t="s">
        <v>17246</v>
      </c>
      <c r="G7700" s="17"/>
      <c r="H7700" s="17" t="s">
        <v>17310</v>
      </c>
      <c r="I7700" s="17"/>
      <c r="J7700" s="17" t="s">
        <v>17311</v>
      </c>
      <c r="K7700" s="17"/>
      <c r="L7700" s="17" t="s">
        <v>17312</v>
      </c>
      <c r="M7700" s="17" t="s">
        <v>41785</v>
      </c>
      <c r="N7700" s="17" t="s">
        <v>41920</v>
      </c>
      <c r="O7700" s="17"/>
      <c r="P7700" s="17" t="s">
        <v>17497</v>
      </c>
      <c r="Q7700" s="17"/>
      <c r="R7700" s="25" t="str">
        <f>HYPERLINK("https://ictv.global/taxonomy/taxondetails?taxnode_id=202305291","Leishmaniavirus ni")</f>
        <v>Leishmaniavirus ni</v>
      </c>
      <c r="S7700" s="18" t="s">
        <v>30</v>
      </c>
      <c r="T7700" s="18" t="s">
        <v>17501</v>
      </c>
      <c r="U7700" s="18" t="s">
        <v>17502</v>
      </c>
      <c r="V7700" s="18">
        <v>42401</v>
      </c>
      <c r="W7700" s="18" t="s">
        <v>17503</v>
      </c>
      <c r="X7700" s="18" t="s">
        <v>42</v>
      </c>
      <c r="Y7700" s="18" t="s">
        <v>17196</v>
      </c>
      <c r="Z7700" s="18" t="s">
        <v>17496</v>
      </c>
      <c r="AA7700" s="21" t="str">
        <f>HYPERLINK("https://www.ncbi.nlm.nih.gov/nuccore/U32108","NCBI Nucleotide")</f>
        <v>NCBI Nucleotide</v>
      </c>
    </row>
    <row r="7701" spans="1:27" x14ac:dyDescent="0.35">
      <c r="A7701">
        <v>1025712</v>
      </c>
      <c r="B7701">
        <v>7162</v>
      </c>
      <c r="C7701">
        <v>1</v>
      </c>
      <c r="D7701" s="17" t="s">
        <v>17166</v>
      </c>
      <c r="E7701" s="17"/>
      <c r="F7701" s="17" t="s">
        <v>17246</v>
      </c>
      <c r="G7701" s="17"/>
      <c r="H7701" s="17" t="s">
        <v>17310</v>
      </c>
      <c r="I7701" s="17"/>
      <c r="J7701" s="17" t="s">
        <v>17311</v>
      </c>
      <c r="K7701" s="17"/>
      <c r="L7701" s="17" t="s">
        <v>17312</v>
      </c>
      <c r="M7701" s="17" t="s">
        <v>41785</v>
      </c>
      <c r="N7701" s="17" t="s">
        <v>41920</v>
      </c>
      <c r="O7701" s="17"/>
      <c r="P7701" s="17" t="s">
        <v>17497</v>
      </c>
      <c r="Q7701" s="17"/>
      <c r="R7701" s="25" t="str">
        <f>HYPERLINK("https://ictv.global/taxonomy/taxondetails?taxnode_id=202318164","Leishmaniavirus roku")</f>
        <v>Leishmaniavirus roku</v>
      </c>
      <c r="S7701" s="18" t="s">
        <v>30</v>
      </c>
      <c r="T7701" s="18" t="s">
        <v>41936</v>
      </c>
      <c r="U7701" s="18" t="s">
        <v>41937</v>
      </c>
      <c r="V7701" s="18" t="s">
        <v>41938</v>
      </c>
      <c r="W7701" s="18" t="s">
        <v>41939</v>
      </c>
      <c r="X7701" s="18" t="s">
        <v>35</v>
      </c>
      <c r="Y7701" s="18" t="s">
        <v>17196</v>
      </c>
      <c r="Z7701" s="18" t="s">
        <v>17496</v>
      </c>
      <c r="AA7701" s="21" t="str">
        <f>HYPERLINK("https://www.ncbi.nlm.nih.gov/nuccore/MG967341","NCBI Nucleotide")</f>
        <v>NCBI Nucleotide</v>
      </c>
    </row>
    <row r="7702" spans="1:27" x14ac:dyDescent="0.35">
      <c r="A7702">
        <v>1025713</v>
      </c>
      <c r="B7702">
        <v>7163</v>
      </c>
      <c r="C7702">
        <v>1</v>
      </c>
      <c r="D7702" s="17" t="s">
        <v>17166</v>
      </c>
      <c r="E7702" s="17"/>
      <c r="F7702" s="17" t="s">
        <v>17246</v>
      </c>
      <c r="G7702" s="17"/>
      <c r="H7702" s="17" t="s">
        <v>17310</v>
      </c>
      <c r="I7702" s="17"/>
      <c r="J7702" s="17" t="s">
        <v>17311</v>
      </c>
      <c r="K7702" s="17"/>
      <c r="L7702" s="17" t="s">
        <v>17312</v>
      </c>
      <c r="M7702" s="17" t="s">
        <v>41785</v>
      </c>
      <c r="N7702" s="17" t="s">
        <v>41920</v>
      </c>
      <c r="O7702" s="17"/>
      <c r="P7702" s="17" t="s">
        <v>17497</v>
      </c>
      <c r="Q7702" s="17"/>
      <c r="R7702" s="25" t="str">
        <f>HYPERLINK("https://ictv.global/taxonomy/taxondetails?taxnode_id=202318165","Leishmaniavirus sani")</f>
        <v>Leishmaniavirus sani</v>
      </c>
      <c r="S7702" s="18" t="s">
        <v>30</v>
      </c>
      <c r="T7702" s="18" t="s">
        <v>41940</v>
      </c>
      <c r="U7702" s="18" t="s">
        <v>41941</v>
      </c>
      <c r="V7702" s="18" t="s">
        <v>41942</v>
      </c>
      <c r="W7702" s="18" t="s">
        <v>41943</v>
      </c>
      <c r="X7702" s="18" t="s">
        <v>42</v>
      </c>
      <c r="Y7702" s="18" t="s">
        <v>17196</v>
      </c>
      <c r="Z7702" s="18" t="s">
        <v>17496</v>
      </c>
      <c r="AA7702" s="21" t="str">
        <f>HYPERLINK("https://www.ncbi.nlm.nih.gov/nuccore/KF757256","NCBI Nucleotide")</f>
        <v>NCBI Nucleotide</v>
      </c>
    </row>
    <row r="7703" spans="1:27" x14ac:dyDescent="0.35">
      <c r="A7703">
        <v>1025714</v>
      </c>
      <c r="B7703">
        <v>7164</v>
      </c>
      <c r="C7703">
        <v>1</v>
      </c>
      <c r="D7703" s="17" t="s">
        <v>17166</v>
      </c>
      <c r="E7703" s="17"/>
      <c r="F7703" s="17" t="s">
        <v>17246</v>
      </c>
      <c r="G7703" s="17"/>
      <c r="H7703" s="17" t="s">
        <v>17310</v>
      </c>
      <c r="I7703" s="17"/>
      <c r="J7703" s="17" t="s">
        <v>17311</v>
      </c>
      <c r="K7703" s="17"/>
      <c r="L7703" s="17" t="s">
        <v>17312</v>
      </c>
      <c r="M7703" s="17" t="s">
        <v>41785</v>
      </c>
      <c r="N7703" s="17" t="s">
        <v>41920</v>
      </c>
      <c r="O7703" s="17"/>
      <c r="P7703" s="17" t="s">
        <v>17497</v>
      </c>
      <c r="Q7703" s="17"/>
      <c r="R7703" s="25" t="str">
        <f>HYPERLINK("https://ictv.global/taxonomy/taxondetails?taxnode_id=202318166","Leishmaniavirus shi")</f>
        <v>Leishmaniavirus shi</v>
      </c>
      <c r="S7703" s="18" t="s">
        <v>30</v>
      </c>
      <c r="T7703" s="18" t="s">
        <v>41944</v>
      </c>
      <c r="U7703" s="18" t="s">
        <v>41945</v>
      </c>
      <c r="V7703" s="18" t="s">
        <v>41946</v>
      </c>
      <c r="W7703" s="18" t="s">
        <v>41947</v>
      </c>
      <c r="X7703" s="18" t="s">
        <v>35</v>
      </c>
      <c r="Y7703" s="18" t="s">
        <v>17196</v>
      </c>
      <c r="Z7703" s="18" t="s">
        <v>17496</v>
      </c>
      <c r="AA7703" s="21" t="str">
        <f>HYPERLINK("https://www.ncbi.nlm.nih.gov/nuccore/MG967345","NCBI Nucleotide")</f>
        <v>NCBI Nucleotide</v>
      </c>
    </row>
    <row r="7704" spans="1:27" x14ac:dyDescent="0.35">
      <c r="A7704">
        <v>1008404</v>
      </c>
      <c r="B7704">
        <v>7165</v>
      </c>
      <c r="C7704">
        <v>1</v>
      </c>
      <c r="D7704" s="17" t="s">
        <v>17166</v>
      </c>
      <c r="E7704" s="17"/>
      <c r="F7704" s="17" t="s">
        <v>17246</v>
      </c>
      <c r="G7704" s="17"/>
      <c r="H7704" s="17" t="s">
        <v>17310</v>
      </c>
      <c r="I7704" s="17"/>
      <c r="J7704" s="17" t="s">
        <v>17311</v>
      </c>
      <c r="K7704" s="17"/>
      <c r="L7704" s="17" t="s">
        <v>17312</v>
      </c>
      <c r="M7704" s="17" t="s">
        <v>41785</v>
      </c>
      <c r="N7704" s="17" t="s">
        <v>41920</v>
      </c>
      <c r="O7704" s="17"/>
      <c r="P7704" s="17" t="s">
        <v>17532</v>
      </c>
      <c r="Q7704" s="17"/>
      <c r="R7704" s="25" t="str">
        <f>HYPERLINK("https://ictv.global/taxonomy/taxondetails?taxnode_id=202305301","Trichomonasvirus vagiprimus")</f>
        <v>Trichomonasvirus vagiprimus</v>
      </c>
      <c r="S7704" s="18" t="s">
        <v>30</v>
      </c>
      <c r="T7704" s="18" t="s">
        <v>17533</v>
      </c>
      <c r="U7704" s="18" t="s">
        <v>17534</v>
      </c>
      <c r="V7704" s="18" t="s">
        <v>17535</v>
      </c>
      <c r="W7704" s="18" t="s">
        <v>17536</v>
      </c>
      <c r="X7704" s="18" t="s">
        <v>42</v>
      </c>
      <c r="Y7704" s="18" t="s">
        <v>17196</v>
      </c>
      <c r="Z7704" s="18" t="s">
        <v>17496</v>
      </c>
      <c r="AA7704" s="21" t="str">
        <f>HYPERLINK("https://www.ncbi.nlm.nih.gov/nuccore/U08999","NCBI Nucleotide")</f>
        <v>NCBI Nucleotide</v>
      </c>
    </row>
    <row r="7705" spans="1:27" x14ac:dyDescent="0.35">
      <c r="A7705">
        <v>1008407</v>
      </c>
      <c r="B7705">
        <v>7166</v>
      </c>
      <c r="C7705">
        <v>1</v>
      </c>
      <c r="D7705" s="17" t="s">
        <v>17166</v>
      </c>
      <c r="E7705" s="17"/>
      <c r="F7705" s="17" t="s">
        <v>17246</v>
      </c>
      <c r="G7705" s="17"/>
      <c r="H7705" s="17" t="s">
        <v>17310</v>
      </c>
      <c r="I7705" s="17"/>
      <c r="J7705" s="17" t="s">
        <v>17311</v>
      </c>
      <c r="K7705" s="17"/>
      <c r="L7705" s="17" t="s">
        <v>17312</v>
      </c>
      <c r="M7705" s="17" t="s">
        <v>41785</v>
      </c>
      <c r="N7705" s="17" t="s">
        <v>41920</v>
      </c>
      <c r="O7705" s="17"/>
      <c r="P7705" s="17" t="s">
        <v>17532</v>
      </c>
      <c r="Q7705" s="17"/>
      <c r="R7705" s="25" t="str">
        <f>HYPERLINK("https://ictv.global/taxonomy/taxondetails?taxnode_id=202305304","Trichomonasvirus vagiquartus")</f>
        <v>Trichomonasvirus vagiquartus</v>
      </c>
      <c r="S7705" s="18" t="s">
        <v>30</v>
      </c>
      <c r="T7705" s="18" t="s">
        <v>17544</v>
      </c>
      <c r="U7705" s="18" t="s">
        <v>17545</v>
      </c>
      <c r="V7705" s="18" t="s">
        <v>17546</v>
      </c>
      <c r="W7705" s="18" t="s">
        <v>17547</v>
      </c>
      <c r="X7705" s="18" t="s">
        <v>42</v>
      </c>
      <c r="Y7705" s="18" t="s">
        <v>17196</v>
      </c>
      <c r="Z7705" s="18" t="s">
        <v>17496</v>
      </c>
      <c r="AA7705" s="21" t="str">
        <f>HYPERLINK("https://www.ncbi.nlm.nih.gov/nuccore/HQ607520","NCBI Nucleotide")</f>
        <v>NCBI Nucleotide</v>
      </c>
    </row>
    <row r="7706" spans="1:27" x14ac:dyDescent="0.35">
      <c r="A7706">
        <v>1025678</v>
      </c>
      <c r="B7706">
        <v>7167</v>
      </c>
      <c r="C7706">
        <v>1</v>
      </c>
      <c r="D7706" s="17" t="s">
        <v>17166</v>
      </c>
      <c r="E7706" s="17"/>
      <c r="F7706" s="17" t="s">
        <v>17246</v>
      </c>
      <c r="G7706" s="17"/>
      <c r="H7706" s="17" t="s">
        <v>17310</v>
      </c>
      <c r="I7706" s="17"/>
      <c r="J7706" s="17" t="s">
        <v>17311</v>
      </c>
      <c r="K7706" s="17"/>
      <c r="L7706" s="17" t="s">
        <v>17312</v>
      </c>
      <c r="M7706" s="17" t="s">
        <v>41785</v>
      </c>
      <c r="N7706" s="17" t="s">
        <v>41920</v>
      </c>
      <c r="O7706" s="17"/>
      <c r="P7706" s="17" t="s">
        <v>17532</v>
      </c>
      <c r="Q7706" s="17"/>
      <c r="R7706" s="25" t="str">
        <f>HYPERLINK("https://ictv.global/taxonomy/taxondetails?taxnode_id=202317749","Trichomonasvirus vagiquintus")</f>
        <v>Trichomonasvirus vagiquintus</v>
      </c>
      <c r="S7706" s="18" t="s">
        <v>30</v>
      </c>
      <c r="T7706" s="18" t="s">
        <v>41948</v>
      </c>
      <c r="U7706" s="18" t="s">
        <v>41949</v>
      </c>
      <c r="V7706" s="18" t="s">
        <v>41950</v>
      </c>
      <c r="W7706" s="18" t="s">
        <v>48620</v>
      </c>
      <c r="X7706" s="18" t="s">
        <v>35</v>
      </c>
      <c r="Y7706" s="18" t="s">
        <v>17196</v>
      </c>
      <c r="Z7706" s="18" t="s">
        <v>17496</v>
      </c>
      <c r="AA7706" s="21" t="str">
        <f>HYPERLINK("https://www.ncbi.nlm.nih.gov/nuccore/BK063446","NCBI Nucleotide")</f>
        <v>NCBI Nucleotide</v>
      </c>
    </row>
    <row r="7707" spans="1:27" x14ac:dyDescent="0.35">
      <c r="A7707">
        <v>1008405</v>
      </c>
      <c r="B7707">
        <v>7168</v>
      </c>
      <c r="C7707">
        <v>1</v>
      </c>
      <c r="D7707" s="17" t="s">
        <v>17166</v>
      </c>
      <c r="E7707" s="17"/>
      <c r="F7707" s="17" t="s">
        <v>17246</v>
      </c>
      <c r="G7707" s="17"/>
      <c r="H7707" s="17" t="s">
        <v>17310</v>
      </c>
      <c r="I7707" s="17"/>
      <c r="J7707" s="17" t="s">
        <v>17311</v>
      </c>
      <c r="K7707" s="17"/>
      <c r="L7707" s="17" t="s">
        <v>17312</v>
      </c>
      <c r="M7707" s="17" t="s">
        <v>41785</v>
      </c>
      <c r="N7707" s="17" t="s">
        <v>41920</v>
      </c>
      <c r="O7707" s="17"/>
      <c r="P7707" s="17" t="s">
        <v>17532</v>
      </c>
      <c r="Q7707" s="17"/>
      <c r="R7707" s="25" t="str">
        <f>HYPERLINK("https://ictv.global/taxonomy/taxondetails?taxnode_id=202305302","Trichomonasvirus vagisecundus")</f>
        <v>Trichomonasvirus vagisecundus</v>
      </c>
      <c r="S7707" s="18" t="s">
        <v>30</v>
      </c>
      <c r="T7707" s="18" t="s">
        <v>17537</v>
      </c>
      <c r="U7707" s="18" t="s">
        <v>17538</v>
      </c>
      <c r="V7707" s="18" t="s">
        <v>17539</v>
      </c>
      <c r="W7707" s="18" t="s">
        <v>17540</v>
      </c>
      <c r="X7707" s="18" t="s">
        <v>42</v>
      </c>
      <c r="Y7707" s="18" t="s">
        <v>17196</v>
      </c>
      <c r="Z7707" s="18" t="s">
        <v>17496</v>
      </c>
      <c r="AA7707" s="21" t="str">
        <f>HYPERLINK("https://www.ncbi.nlm.nih.gov/nuccore/AF127178","NCBI Nucleotide")</f>
        <v>NCBI Nucleotide</v>
      </c>
    </row>
    <row r="7708" spans="1:27" x14ac:dyDescent="0.35">
      <c r="A7708">
        <v>1008406</v>
      </c>
      <c r="B7708">
        <v>7169</v>
      </c>
      <c r="C7708">
        <v>1</v>
      </c>
      <c r="D7708" s="17" t="s">
        <v>17166</v>
      </c>
      <c r="E7708" s="17"/>
      <c r="F7708" s="17" t="s">
        <v>17246</v>
      </c>
      <c r="G7708" s="17"/>
      <c r="H7708" s="17" t="s">
        <v>17310</v>
      </c>
      <c r="I7708" s="17"/>
      <c r="J7708" s="17" t="s">
        <v>17311</v>
      </c>
      <c r="K7708" s="17"/>
      <c r="L7708" s="17" t="s">
        <v>17312</v>
      </c>
      <c r="M7708" s="17" t="s">
        <v>41785</v>
      </c>
      <c r="N7708" s="17" t="s">
        <v>41920</v>
      </c>
      <c r="O7708" s="17"/>
      <c r="P7708" s="17" t="s">
        <v>17532</v>
      </c>
      <c r="Q7708" s="17"/>
      <c r="R7708" s="25" t="str">
        <f>HYPERLINK("https://ictv.global/taxonomy/taxondetails?taxnode_id=202305303","Trichomonasvirus vagitertius")</f>
        <v>Trichomonasvirus vagitertius</v>
      </c>
      <c r="S7708" s="18" t="s">
        <v>30</v>
      </c>
      <c r="T7708" s="18" t="s">
        <v>17541</v>
      </c>
      <c r="U7708" s="18" t="s">
        <v>17542</v>
      </c>
      <c r="V7708" s="18" t="s">
        <v>17539</v>
      </c>
      <c r="W7708" s="18" t="s">
        <v>17543</v>
      </c>
      <c r="X7708" s="18" t="s">
        <v>42</v>
      </c>
      <c r="Y7708" s="18" t="s">
        <v>17196</v>
      </c>
      <c r="Z7708" s="18" t="s">
        <v>17496</v>
      </c>
      <c r="AA7708" s="21" t="str">
        <f>HYPERLINK("https://www.ncbi.nlm.nih.gov/nuccore/AF325840","NCBI Nucleotide")</f>
        <v>NCBI Nucleotide</v>
      </c>
    </row>
    <row r="7709" spans="1:27" x14ac:dyDescent="0.35">
      <c r="A7709">
        <v>1008411</v>
      </c>
      <c r="B7709">
        <v>7170</v>
      </c>
      <c r="C7709">
        <v>1</v>
      </c>
      <c r="D7709" s="17" t="s">
        <v>17166</v>
      </c>
      <c r="E7709" s="17"/>
      <c r="F7709" s="17" t="s">
        <v>17246</v>
      </c>
      <c r="G7709" s="17"/>
      <c r="H7709" s="17" t="s">
        <v>17310</v>
      </c>
      <c r="I7709" s="17"/>
      <c r="J7709" s="17" t="s">
        <v>17311</v>
      </c>
      <c r="K7709" s="17"/>
      <c r="L7709" s="17" t="s">
        <v>17312</v>
      </c>
      <c r="M7709" s="17" t="s">
        <v>41785</v>
      </c>
      <c r="N7709" s="17" t="s">
        <v>41920</v>
      </c>
      <c r="O7709" s="17"/>
      <c r="P7709" s="17" t="s">
        <v>17548</v>
      </c>
      <c r="Q7709" s="17"/>
      <c r="R7709" s="25" t="str">
        <f>HYPERLINK("https://ictv.global/taxonomy/taxondetails?taxnode_id=202305309","Victorivirus go")</f>
        <v>Victorivirus go</v>
      </c>
      <c r="S7709" s="18" t="s">
        <v>30</v>
      </c>
      <c r="T7709" s="18" t="s">
        <v>17561</v>
      </c>
      <c r="U7709" s="18" t="s">
        <v>17562</v>
      </c>
      <c r="V7709" s="18" t="s">
        <v>17563</v>
      </c>
      <c r="W7709" s="18" t="s">
        <v>17564</v>
      </c>
      <c r="X7709" s="18" t="s">
        <v>42</v>
      </c>
      <c r="Y7709" s="18" t="s">
        <v>17196</v>
      </c>
      <c r="Z7709" s="18" t="s">
        <v>16721</v>
      </c>
      <c r="AA7709" s="21" t="str">
        <f>HYPERLINK("https://www.ncbi.nlm.nih.gov/nuccore/AF527633","NCBI Nucleotide")</f>
        <v>NCBI Nucleotide</v>
      </c>
    </row>
    <row r="7710" spans="1:27" x14ac:dyDescent="0.35">
      <c r="A7710">
        <v>1008412</v>
      </c>
      <c r="B7710">
        <v>7171</v>
      </c>
      <c r="C7710">
        <v>1</v>
      </c>
      <c r="D7710" s="17" t="s">
        <v>17166</v>
      </c>
      <c r="E7710" s="17"/>
      <c r="F7710" s="17" t="s">
        <v>17246</v>
      </c>
      <c r="G7710" s="17"/>
      <c r="H7710" s="17" t="s">
        <v>17310</v>
      </c>
      <c r="I7710" s="17"/>
      <c r="J7710" s="17" t="s">
        <v>17311</v>
      </c>
      <c r="K7710" s="17"/>
      <c r="L7710" s="17" t="s">
        <v>17312</v>
      </c>
      <c r="M7710" s="17" t="s">
        <v>41785</v>
      </c>
      <c r="N7710" s="17" t="s">
        <v>41920</v>
      </c>
      <c r="O7710" s="17"/>
      <c r="P7710" s="17" t="s">
        <v>17548</v>
      </c>
      <c r="Q7710" s="17"/>
      <c r="R7710" s="25" t="str">
        <f>HYPERLINK("https://ictv.global/taxonomy/taxondetails?taxnode_id=202305310","Victorivirus hachi")</f>
        <v>Victorivirus hachi</v>
      </c>
      <c r="S7710" s="18" t="s">
        <v>30</v>
      </c>
      <c r="T7710" s="18" t="s">
        <v>17565</v>
      </c>
      <c r="U7710" s="18" t="s">
        <v>17566</v>
      </c>
      <c r="V7710" s="18" t="s">
        <v>17567</v>
      </c>
      <c r="W7710" s="18" t="s">
        <v>17568</v>
      </c>
      <c r="X7710" s="18" t="s">
        <v>35</v>
      </c>
      <c r="Y7710" s="18" t="s">
        <v>17196</v>
      </c>
      <c r="Z7710" s="18" t="s">
        <v>16721</v>
      </c>
      <c r="AA7710" s="21" t="str">
        <f>HYPERLINK("https://www.ncbi.nlm.nih.gov/nuccore/AM261427","NCBI Nucleotide")</f>
        <v>NCBI Nucleotide</v>
      </c>
    </row>
    <row r="7711" spans="1:27" x14ac:dyDescent="0.35">
      <c r="A7711">
        <v>1008415</v>
      </c>
      <c r="B7711">
        <v>7172</v>
      </c>
      <c r="C7711">
        <v>1</v>
      </c>
      <c r="D7711" s="17" t="s">
        <v>17166</v>
      </c>
      <c r="E7711" s="17"/>
      <c r="F7711" s="17" t="s">
        <v>17246</v>
      </c>
      <c r="G7711" s="17"/>
      <c r="H7711" s="17" t="s">
        <v>17310</v>
      </c>
      <c r="I7711" s="17"/>
      <c r="J7711" s="17" t="s">
        <v>17311</v>
      </c>
      <c r="K7711" s="17"/>
      <c r="L7711" s="17" t="s">
        <v>17312</v>
      </c>
      <c r="M7711" s="17" t="s">
        <v>41785</v>
      </c>
      <c r="N7711" s="17" t="s">
        <v>41920</v>
      </c>
      <c r="O7711" s="17"/>
      <c r="P7711" s="17" t="s">
        <v>17548</v>
      </c>
      <c r="Q7711" s="17"/>
      <c r="R7711" s="25" t="str">
        <f>HYPERLINK("https://ictv.global/taxonomy/taxondetails?taxnode_id=202305313","Victorivirus ichi")</f>
        <v>Victorivirus ichi</v>
      </c>
      <c r="S7711" s="18" t="s">
        <v>30</v>
      </c>
      <c r="T7711" s="18" t="s">
        <v>17577</v>
      </c>
      <c r="U7711" s="18" t="s">
        <v>17578</v>
      </c>
      <c r="V7711" s="18" t="s">
        <v>17579</v>
      </c>
      <c r="W7711" s="18" t="s">
        <v>17580</v>
      </c>
      <c r="X7711" s="18" t="s">
        <v>42</v>
      </c>
      <c r="Y7711" s="18" t="s">
        <v>17196</v>
      </c>
      <c r="Z7711" s="18" t="s">
        <v>16721</v>
      </c>
      <c r="AA7711" s="21" t="str">
        <f>HYPERLINK("https://www.ncbi.nlm.nih.gov/nuccore/U41345","NCBI Nucleotide")</f>
        <v>NCBI Nucleotide</v>
      </c>
    </row>
    <row r="7712" spans="1:27" x14ac:dyDescent="0.35">
      <c r="A7712">
        <v>1008417</v>
      </c>
      <c r="B7712">
        <v>7173</v>
      </c>
      <c r="C7712">
        <v>1</v>
      </c>
      <c r="D7712" s="17" t="s">
        <v>17166</v>
      </c>
      <c r="E7712" s="17"/>
      <c r="F7712" s="17" t="s">
        <v>17246</v>
      </c>
      <c r="G7712" s="17"/>
      <c r="H7712" s="17" t="s">
        <v>17310</v>
      </c>
      <c r="I7712" s="17"/>
      <c r="J7712" s="17" t="s">
        <v>17311</v>
      </c>
      <c r="K7712" s="17"/>
      <c r="L7712" s="17" t="s">
        <v>17312</v>
      </c>
      <c r="M7712" s="17" t="s">
        <v>41785</v>
      </c>
      <c r="N7712" s="17" t="s">
        <v>41920</v>
      </c>
      <c r="O7712" s="17"/>
      <c r="P7712" s="17" t="s">
        <v>17548</v>
      </c>
      <c r="Q7712" s="17"/>
      <c r="R7712" s="25" t="str">
        <f>HYPERLINK("https://ictv.global/taxonomy/taxondetails?taxnode_id=202305315","Victorivirus jyu")</f>
        <v>Victorivirus jyu</v>
      </c>
      <c r="S7712" s="18" t="s">
        <v>30</v>
      </c>
      <c r="T7712" s="18" t="s">
        <v>17585</v>
      </c>
      <c r="U7712" s="18" t="s">
        <v>17586</v>
      </c>
      <c r="V7712" s="18" t="s">
        <v>17587</v>
      </c>
      <c r="W7712" s="18" t="s">
        <v>17588</v>
      </c>
      <c r="X7712" s="18" t="s">
        <v>42</v>
      </c>
      <c r="Y7712" s="18" t="s">
        <v>17196</v>
      </c>
      <c r="Z7712" s="18" t="s">
        <v>16721</v>
      </c>
      <c r="AA7712" s="21" t="str">
        <f>HYPERLINK("https://www.ncbi.nlm.nih.gov/nuccore/AB300379","NCBI Nucleotide")</f>
        <v>NCBI Nucleotide</v>
      </c>
    </row>
    <row r="7713" spans="1:27" x14ac:dyDescent="0.35">
      <c r="A7713">
        <v>1008418</v>
      </c>
      <c r="B7713">
        <v>7174</v>
      </c>
      <c r="C7713">
        <v>1</v>
      </c>
      <c r="D7713" s="17" t="s">
        <v>17166</v>
      </c>
      <c r="E7713" s="17"/>
      <c r="F7713" s="17" t="s">
        <v>17246</v>
      </c>
      <c r="G7713" s="17"/>
      <c r="H7713" s="17" t="s">
        <v>17310</v>
      </c>
      <c r="I7713" s="17"/>
      <c r="J7713" s="17" t="s">
        <v>17311</v>
      </c>
      <c r="K7713" s="17"/>
      <c r="L7713" s="17" t="s">
        <v>17312</v>
      </c>
      <c r="M7713" s="17" t="s">
        <v>41785</v>
      </c>
      <c r="N7713" s="17" t="s">
        <v>41920</v>
      </c>
      <c r="O7713" s="17"/>
      <c r="P7713" s="17" t="s">
        <v>17548</v>
      </c>
      <c r="Q7713" s="17"/>
      <c r="R7713" s="25" t="str">
        <f>HYPERLINK("https://ictv.global/taxonomy/taxondetails?taxnode_id=202305316","Victorivirus jyugo")</f>
        <v>Victorivirus jyugo</v>
      </c>
      <c r="S7713" s="18" t="s">
        <v>30</v>
      </c>
      <c r="T7713" s="18" t="s">
        <v>17589</v>
      </c>
      <c r="U7713" s="18" t="s">
        <v>41951</v>
      </c>
      <c r="V7713" s="18" t="s">
        <v>17590</v>
      </c>
      <c r="W7713" s="18" t="s">
        <v>17591</v>
      </c>
      <c r="X7713" s="18" t="s">
        <v>42</v>
      </c>
      <c r="Y7713" s="18" t="s">
        <v>17196</v>
      </c>
      <c r="Z7713" s="18" t="s">
        <v>16721</v>
      </c>
      <c r="AA7713" s="21" t="str">
        <f>HYPERLINK("https://www.ncbi.nlm.nih.gov/nuccore/AB742454","NCBI Nucleotide")</f>
        <v>NCBI Nucleotide</v>
      </c>
    </row>
    <row r="7714" spans="1:27" x14ac:dyDescent="0.35">
      <c r="A7714">
        <v>1025739</v>
      </c>
      <c r="B7714">
        <v>7175</v>
      </c>
      <c r="C7714">
        <v>1</v>
      </c>
      <c r="D7714" s="17" t="s">
        <v>17166</v>
      </c>
      <c r="E7714" s="17"/>
      <c r="F7714" s="17" t="s">
        <v>17246</v>
      </c>
      <c r="G7714" s="17"/>
      <c r="H7714" s="17" t="s">
        <v>17310</v>
      </c>
      <c r="I7714" s="17"/>
      <c r="J7714" s="17" t="s">
        <v>17311</v>
      </c>
      <c r="K7714" s="17"/>
      <c r="L7714" s="17" t="s">
        <v>17312</v>
      </c>
      <c r="M7714" s="17" t="s">
        <v>41785</v>
      </c>
      <c r="N7714" s="17" t="s">
        <v>41920</v>
      </c>
      <c r="O7714" s="17"/>
      <c r="P7714" s="17" t="s">
        <v>17548</v>
      </c>
      <c r="Q7714" s="17"/>
      <c r="R7714" s="25" t="str">
        <f>HYPERLINK("https://ictv.global/taxonomy/taxondetails?taxnode_id=202318167","Victorivirus jyuhachi")</f>
        <v>Victorivirus jyuhachi</v>
      </c>
      <c r="S7714" s="18" t="s">
        <v>30</v>
      </c>
      <c r="T7714" s="18" t="s">
        <v>41952</v>
      </c>
      <c r="U7714" s="18" t="s">
        <v>41953</v>
      </c>
      <c r="V7714" s="18" t="s">
        <v>41954</v>
      </c>
      <c r="W7714" s="18" t="s">
        <v>41955</v>
      </c>
      <c r="X7714" s="18" t="s">
        <v>42</v>
      </c>
      <c r="Y7714" s="18" t="s">
        <v>17196</v>
      </c>
      <c r="Z7714" s="18" t="s">
        <v>16721</v>
      </c>
      <c r="AA7714" s="21" t="str">
        <f>HYPERLINK("https://www.ncbi.nlm.nih.gov/nuccore/KM051424","NCBI Nucleotide")</f>
        <v>NCBI Nucleotide</v>
      </c>
    </row>
    <row r="7715" spans="1:27" x14ac:dyDescent="0.35">
      <c r="A7715">
        <v>1008421</v>
      </c>
      <c r="B7715">
        <v>7176</v>
      </c>
      <c r="C7715">
        <v>1</v>
      </c>
      <c r="D7715" s="17" t="s">
        <v>17166</v>
      </c>
      <c r="E7715" s="17"/>
      <c r="F7715" s="17" t="s">
        <v>17246</v>
      </c>
      <c r="G7715" s="17"/>
      <c r="H7715" s="17" t="s">
        <v>17310</v>
      </c>
      <c r="I7715" s="17"/>
      <c r="J7715" s="17" t="s">
        <v>17311</v>
      </c>
      <c r="K7715" s="17"/>
      <c r="L7715" s="17" t="s">
        <v>17312</v>
      </c>
      <c r="M7715" s="17" t="s">
        <v>41785</v>
      </c>
      <c r="N7715" s="17" t="s">
        <v>41920</v>
      </c>
      <c r="O7715" s="17"/>
      <c r="P7715" s="17" t="s">
        <v>17548</v>
      </c>
      <c r="Q7715" s="17"/>
      <c r="R7715" s="25" t="str">
        <f>HYPERLINK("https://ictv.global/taxonomy/taxondetails?taxnode_id=202305319","Victorivirus jyuichi")</f>
        <v>Victorivirus jyuichi</v>
      </c>
      <c r="S7715" s="18" t="s">
        <v>30</v>
      </c>
      <c r="T7715" s="18" t="s">
        <v>17600</v>
      </c>
      <c r="U7715" s="18" t="s">
        <v>17601</v>
      </c>
      <c r="V7715" s="18" t="s">
        <v>17602</v>
      </c>
      <c r="W7715" s="18" t="s">
        <v>17603</v>
      </c>
      <c r="X7715" s="18" t="s">
        <v>42</v>
      </c>
      <c r="Y7715" s="18" t="s">
        <v>17196</v>
      </c>
      <c r="Z7715" s="18" t="s">
        <v>16721</v>
      </c>
      <c r="AA7715" s="21" t="str">
        <f>HYPERLINK("https://www.ncbi.nlm.nih.gov/nuccore/FR750562","NCBI Nucleotide")</f>
        <v>NCBI Nucleotide</v>
      </c>
    </row>
    <row r="7716" spans="1:27" x14ac:dyDescent="0.35">
      <c r="A7716">
        <v>1025740</v>
      </c>
      <c r="B7716">
        <v>7177</v>
      </c>
      <c r="C7716">
        <v>1</v>
      </c>
      <c r="D7716" s="17" t="s">
        <v>17166</v>
      </c>
      <c r="E7716" s="17"/>
      <c r="F7716" s="17" t="s">
        <v>17246</v>
      </c>
      <c r="G7716" s="17"/>
      <c r="H7716" s="17" t="s">
        <v>17310</v>
      </c>
      <c r="I7716" s="17"/>
      <c r="J7716" s="17" t="s">
        <v>17311</v>
      </c>
      <c r="K7716" s="17"/>
      <c r="L7716" s="17" t="s">
        <v>17312</v>
      </c>
      <c r="M7716" s="17" t="s">
        <v>41785</v>
      </c>
      <c r="N7716" s="17" t="s">
        <v>41920</v>
      </c>
      <c r="O7716" s="17"/>
      <c r="P7716" s="17" t="s">
        <v>17548</v>
      </c>
      <c r="Q7716" s="17"/>
      <c r="R7716" s="25" t="str">
        <f>HYPERLINK("https://ictv.global/taxonomy/taxondetails?taxnode_id=202318168","Victorivirus jyukyu")</f>
        <v>Victorivirus jyukyu</v>
      </c>
      <c r="S7716" s="18" t="s">
        <v>30</v>
      </c>
      <c r="T7716" s="18" t="s">
        <v>41956</v>
      </c>
      <c r="U7716" s="18" t="s">
        <v>41957</v>
      </c>
      <c r="V7716" s="18">
        <v>1</v>
      </c>
      <c r="W7716" s="18" t="s">
        <v>41958</v>
      </c>
      <c r="X7716" s="18" t="s">
        <v>42</v>
      </c>
      <c r="Y7716" s="18" t="s">
        <v>17196</v>
      </c>
      <c r="Z7716" s="18" t="s">
        <v>16721</v>
      </c>
      <c r="AA7716" s="21" t="str">
        <f>HYPERLINK("https://www.ncbi.nlm.nih.gov/nuccore/KP090346","NCBI Nucleotide")</f>
        <v>NCBI Nucleotide</v>
      </c>
    </row>
    <row r="7717" spans="1:27" x14ac:dyDescent="0.35">
      <c r="A7717">
        <v>1008408</v>
      </c>
      <c r="B7717">
        <v>7178</v>
      </c>
      <c r="C7717">
        <v>1</v>
      </c>
      <c r="D7717" s="17" t="s">
        <v>17166</v>
      </c>
      <c r="E7717" s="17"/>
      <c r="F7717" s="17" t="s">
        <v>17246</v>
      </c>
      <c r="G7717" s="17"/>
      <c r="H7717" s="17" t="s">
        <v>17310</v>
      </c>
      <c r="I7717" s="17"/>
      <c r="J7717" s="17" t="s">
        <v>17311</v>
      </c>
      <c r="K7717" s="17"/>
      <c r="L7717" s="17" t="s">
        <v>17312</v>
      </c>
      <c r="M7717" s="17" t="s">
        <v>41785</v>
      </c>
      <c r="N7717" s="17" t="s">
        <v>41920</v>
      </c>
      <c r="O7717" s="17"/>
      <c r="P7717" s="17" t="s">
        <v>17548</v>
      </c>
      <c r="Q7717" s="17"/>
      <c r="R7717" s="25" t="str">
        <f>HYPERLINK("https://ictv.global/taxonomy/taxondetails?taxnode_id=202305306","Victorivirus jyuni")</f>
        <v>Victorivirus jyuni</v>
      </c>
      <c r="S7717" s="18" t="s">
        <v>30</v>
      </c>
      <c r="T7717" s="18" t="s">
        <v>17549</v>
      </c>
      <c r="U7717" s="18" t="s">
        <v>17550</v>
      </c>
      <c r="V7717" s="18" t="s">
        <v>17551</v>
      </c>
      <c r="W7717" s="18" t="s">
        <v>17552</v>
      </c>
      <c r="X7717" s="18" t="s">
        <v>42</v>
      </c>
      <c r="Y7717" s="18" t="s">
        <v>17196</v>
      </c>
      <c r="Z7717" s="18" t="s">
        <v>16721</v>
      </c>
      <c r="AA7717" s="21" t="str">
        <f>HYPERLINK("https://www.ncbi.nlm.nih.gov/nuccore/HE588147","NCBI Nucleotide")</f>
        <v>NCBI Nucleotide</v>
      </c>
    </row>
    <row r="7718" spans="1:27" x14ac:dyDescent="0.35">
      <c r="A7718">
        <v>1025741</v>
      </c>
      <c r="B7718">
        <v>7179</v>
      </c>
      <c r="C7718">
        <v>1</v>
      </c>
      <c r="D7718" s="17" t="s">
        <v>17166</v>
      </c>
      <c r="E7718" s="17"/>
      <c r="F7718" s="17" t="s">
        <v>17246</v>
      </c>
      <c r="G7718" s="17"/>
      <c r="H7718" s="17" t="s">
        <v>17310</v>
      </c>
      <c r="I7718" s="17"/>
      <c r="J7718" s="17" t="s">
        <v>17311</v>
      </c>
      <c r="K7718" s="17"/>
      <c r="L7718" s="17" t="s">
        <v>17312</v>
      </c>
      <c r="M7718" s="17" t="s">
        <v>41785</v>
      </c>
      <c r="N7718" s="17" t="s">
        <v>41920</v>
      </c>
      <c r="O7718" s="17"/>
      <c r="P7718" s="17" t="s">
        <v>17548</v>
      </c>
      <c r="Q7718" s="17"/>
      <c r="R7718" s="25" t="str">
        <f>HYPERLINK("https://ictv.global/taxonomy/taxondetails?taxnode_id=202318169","Victorivirus jyuroku")</f>
        <v>Victorivirus jyuroku</v>
      </c>
      <c r="S7718" s="18" t="s">
        <v>30</v>
      </c>
      <c r="T7718" s="18" t="s">
        <v>17553</v>
      </c>
      <c r="U7718" s="18" t="s">
        <v>41959</v>
      </c>
      <c r="V7718" s="18">
        <v>6887</v>
      </c>
      <c r="W7718" s="18" t="s">
        <v>41960</v>
      </c>
      <c r="X7718" s="18" t="s">
        <v>42</v>
      </c>
      <c r="Y7718" s="18" t="s">
        <v>17196</v>
      </c>
      <c r="Z7718" s="18" t="s">
        <v>16721</v>
      </c>
      <c r="AA7718" s="21" t="str">
        <f>HYPERLINK("https://www.ncbi.nlm.nih.gov/nuccore/KJ364649","NCBI Nucleotide")</f>
        <v>NCBI Nucleotide</v>
      </c>
    </row>
    <row r="7719" spans="1:27" x14ac:dyDescent="0.35">
      <c r="A7719">
        <v>1008409</v>
      </c>
      <c r="B7719">
        <v>7180</v>
      </c>
      <c r="C7719">
        <v>1</v>
      </c>
      <c r="D7719" s="17" t="s">
        <v>17166</v>
      </c>
      <c r="E7719" s="17"/>
      <c r="F7719" s="17" t="s">
        <v>17246</v>
      </c>
      <c r="G7719" s="17"/>
      <c r="H7719" s="17" t="s">
        <v>17310</v>
      </c>
      <c r="I7719" s="17"/>
      <c r="J7719" s="17" t="s">
        <v>17311</v>
      </c>
      <c r="K7719" s="17"/>
      <c r="L7719" s="17" t="s">
        <v>17312</v>
      </c>
      <c r="M7719" s="17" t="s">
        <v>41785</v>
      </c>
      <c r="N7719" s="17" t="s">
        <v>41920</v>
      </c>
      <c r="O7719" s="17"/>
      <c r="P7719" s="17" t="s">
        <v>17548</v>
      </c>
      <c r="Q7719" s="17"/>
      <c r="R7719" s="25" t="str">
        <f>HYPERLINK("https://ictv.global/taxonomy/taxondetails?taxnode_id=202305307","Victorivirus jyusani")</f>
        <v>Victorivirus jyusani</v>
      </c>
      <c r="S7719" s="18" t="s">
        <v>30</v>
      </c>
      <c r="T7719" s="18" t="s">
        <v>17553</v>
      </c>
      <c r="U7719" s="18" t="s">
        <v>17554</v>
      </c>
      <c r="V7719" s="18" t="s">
        <v>17555</v>
      </c>
      <c r="W7719" s="18" t="s">
        <v>17556</v>
      </c>
      <c r="X7719" s="18" t="s">
        <v>42</v>
      </c>
      <c r="Y7719" s="18" t="s">
        <v>17196</v>
      </c>
      <c r="Z7719" s="18" t="s">
        <v>16721</v>
      </c>
      <c r="AA7719" s="21" t="str">
        <f>HYPERLINK("https://www.ncbi.nlm.nih.gov/nuccore/HE572591","NCBI Nucleotide")</f>
        <v>NCBI Nucleotide</v>
      </c>
    </row>
    <row r="7720" spans="1:27" x14ac:dyDescent="0.35">
      <c r="A7720">
        <v>1025742</v>
      </c>
      <c r="B7720">
        <v>7181</v>
      </c>
      <c r="C7720">
        <v>1</v>
      </c>
      <c r="D7720" s="17" t="s">
        <v>17166</v>
      </c>
      <c r="E7720" s="17"/>
      <c r="F7720" s="17" t="s">
        <v>17246</v>
      </c>
      <c r="G7720" s="17"/>
      <c r="H7720" s="17" t="s">
        <v>17310</v>
      </c>
      <c r="I7720" s="17"/>
      <c r="J7720" s="17" t="s">
        <v>17311</v>
      </c>
      <c r="K7720" s="17"/>
      <c r="L7720" s="17" t="s">
        <v>17312</v>
      </c>
      <c r="M7720" s="17" t="s">
        <v>41785</v>
      </c>
      <c r="N7720" s="17" t="s">
        <v>41920</v>
      </c>
      <c r="O7720" s="17"/>
      <c r="P7720" s="17" t="s">
        <v>17548</v>
      </c>
      <c r="Q7720" s="17"/>
      <c r="R7720" s="25" t="str">
        <f>HYPERLINK("https://ictv.global/taxonomy/taxondetails?taxnode_id=202318170","Victorivirus jyushi")</f>
        <v>Victorivirus jyushi</v>
      </c>
      <c r="S7720" s="18" t="s">
        <v>30</v>
      </c>
      <c r="T7720" s="18" t="s">
        <v>41961</v>
      </c>
      <c r="U7720" s="18" t="s">
        <v>41962</v>
      </c>
      <c r="V7720" s="18" t="s">
        <v>41963</v>
      </c>
      <c r="W7720" s="18" t="s">
        <v>41964</v>
      </c>
      <c r="X7720" s="18" t="s">
        <v>42</v>
      </c>
      <c r="Y7720" s="18" t="s">
        <v>17196</v>
      </c>
      <c r="Z7720" s="18" t="s">
        <v>16721</v>
      </c>
      <c r="AA7720" s="21" t="str">
        <f>HYPERLINK("https://www.ncbi.nlm.nih.gov/nuccore/KJ101566","NCBI Nucleotide")</f>
        <v>NCBI Nucleotide</v>
      </c>
    </row>
    <row r="7721" spans="1:27" x14ac:dyDescent="0.35">
      <c r="A7721">
        <v>1025743</v>
      </c>
      <c r="B7721">
        <v>7182</v>
      </c>
      <c r="C7721">
        <v>1</v>
      </c>
      <c r="D7721" s="17" t="s">
        <v>17166</v>
      </c>
      <c r="E7721" s="17"/>
      <c r="F7721" s="17" t="s">
        <v>17246</v>
      </c>
      <c r="G7721" s="17"/>
      <c r="H7721" s="17" t="s">
        <v>17310</v>
      </c>
      <c r="I7721" s="17"/>
      <c r="J7721" s="17" t="s">
        <v>17311</v>
      </c>
      <c r="K7721" s="17"/>
      <c r="L7721" s="17" t="s">
        <v>17312</v>
      </c>
      <c r="M7721" s="17" t="s">
        <v>41785</v>
      </c>
      <c r="N7721" s="17" t="s">
        <v>41920</v>
      </c>
      <c r="O7721" s="17"/>
      <c r="P7721" s="17" t="s">
        <v>17548</v>
      </c>
      <c r="Q7721" s="17"/>
      <c r="R7721" s="25" t="str">
        <f>HYPERLINK("https://ictv.global/taxonomy/taxondetails?taxnode_id=202318171","Victorivirus jyushichi")</f>
        <v>Victorivirus jyushichi</v>
      </c>
      <c r="S7721" s="18" t="s">
        <v>30</v>
      </c>
      <c r="T7721" s="18" t="s">
        <v>41965</v>
      </c>
      <c r="U7721" s="18" t="s">
        <v>41966</v>
      </c>
      <c r="V7721" s="18" t="s">
        <v>41967</v>
      </c>
      <c r="W7721" s="18" t="s">
        <v>41968</v>
      </c>
      <c r="X7721" s="18" t="s">
        <v>42</v>
      </c>
      <c r="Y7721" s="18" t="s">
        <v>17196</v>
      </c>
      <c r="Z7721" s="18" t="s">
        <v>16721</v>
      </c>
      <c r="AA7721" s="21" t="str">
        <f>HYPERLINK("https://www.ncbi.nlm.nih.gov/nuccore/KF791042","NCBI Nucleotide")</f>
        <v>NCBI Nucleotide</v>
      </c>
    </row>
    <row r="7722" spans="1:27" x14ac:dyDescent="0.35">
      <c r="A7722">
        <v>1008416</v>
      </c>
      <c r="B7722">
        <v>7183</v>
      </c>
      <c r="C7722">
        <v>1</v>
      </c>
      <c r="D7722" s="17" t="s">
        <v>17166</v>
      </c>
      <c r="E7722" s="17"/>
      <c r="F7722" s="17" t="s">
        <v>17246</v>
      </c>
      <c r="G7722" s="17"/>
      <c r="H7722" s="17" t="s">
        <v>17310</v>
      </c>
      <c r="I7722" s="17"/>
      <c r="J7722" s="17" t="s">
        <v>17311</v>
      </c>
      <c r="K7722" s="17"/>
      <c r="L7722" s="17" t="s">
        <v>17312</v>
      </c>
      <c r="M7722" s="17" t="s">
        <v>41785</v>
      </c>
      <c r="N7722" s="17" t="s">
        <v>41920</v>
      </c>
      <c r="O7722" s="17"/>
      <c r="P7722" s="17" t="s">
        <v>17548</v>
      </c>
      <c r="Q7722" s="17"/>
      <c r="R7722" s="25" t="str">
        <f>HYPERLINK("https://ictv.global/taxonomy/taxondetails?taxnode_id=202305314","Victorivirus kyu")</f>
        <v>Victorivirus kyu</v>
      </c>
      <c r="S7722" s="18" t="s">
        <v>30</v>
      </c>
      <c r="T7722" s="18" t="s">
        <v>17581</v>
      </c>
      <c r="U7722" s="18" t="s">
        <v>17582</v>
      </c>
      <c r="V7722" s="18" t="s">
        <v>17583</v>
      </c>
      <c r="W7722" s="18" t="s">
        <v>17584</v>
      </c>
      <c r="X7722" s="18" t="s">
        <v>42</v>
      </c>
      <c r="Y7722" s="18" t="s">
        <v>17196</v>
      </c>
      <c r="Z7722" s="18" t="s">
        <v>16721</v>
      </c>
      <c r="AA7722" s="21" t="str">
        <f>HYPERLINK("https://www.ncbi.nlm.nih.gov/nuccore/AB176964","NCBI Nucleotide")</f>
        <v>NCBI Nucleotide</v>
      </c>
    </row>
    <row r="7723" spans="1:27" x14ac:dyDescent="0.35">
      <c r="A7723">
        <v>1008410</v>
      </c>
      <c r="B7723">
        <v>7184</v>
      </c>
      <c r="C7723">
        <v>1</v>
      </c>
      <c r="D7723" s="17" t="s">
        <v>17166</v>
      </c>
      <c r="E7723" s="17"/>
      <c r="F7723" s="17" t="s">
        <v>17246</v>
      </c>
      <c r="G7723" s="17"/>
      <c r="H7723" s="17" t="s">
        <v>17310</v>
      </c>
      <c r="I7723" s="17"/>
      <c r="J7723" s="17" t="s">
        <v>17311</v>
      </c>
      <c r="K7723" s="17"/>
      <c r="L7723" s="17" t="s">
        <v>17312</v>
      </c>
      <c r="M7723" s="17" t="s">
        <v>41785</v>
      </c>
      <c r="N7723" s="17" t="s">
        <v>41920</v>
      </c>
      <c r="O7723" s="17"/>
      <c r="P7723" s="17" t="s">
        <v>17548</v>
      </c>
      <c r="Q7723" s="17"/>
      <c r="R7723" s="25" t="str">
        <f>HYPERLINK("https://ictv.global/taxonomy/taxondetails?taxnode_id=202305308","Victorivirus ni")</f>
        <v>Victorivirus ni</v>
      </c>
      <c r="S7723" s="18" t="s">
        <v>30</v>
      </c>
      <c r="T7723" s="18" t="s">
        <v>17557</v>
      </c>
      <c r="U7723" s="18" t="s">
        <v>17558</v>
      </c>
      <c r="V7723" s="18" t="s">
        <v>17559</v>
      </c>
      <c r="W7723" s="18" t="s">
        <v>17560</v>
      </c>
      <c r="X7723" s="18" t="s">
        <v>42</v>
      </c>
      <c r="Y7723" s="18" t="s">
        <v>17196</v>
      </c>
      <c r="Z7723" s="18" t="s">
        <v>16721</v>
      </c>
      <c r="AA7723" s="21" t="str">
        <f>HYPERLINK("https://www.ncbi.nlm.nih.gov/nuccore/AY561500","NCBI Nucleotide")</f>
        <v>NCBI Nucleotide</v>
      </c>
    </row>
    <row r="7724" spans="1:27" x14ac:dyDescent="0.35">
      <c r="A7724">
        <v>1025744</v>
      </c>
      <c r="B7724">
        <v>7185</v>
      </c>
      <c r="C7724">
        <v>1</v>
      </c>
      <c r="D7724" s="17" t="s">
        <v>17166</v>
      </c>
      <c r="E7724" s="17"/>
      <c r="F7724" s="17" t="s">
        <v>17246</v>
      </c>
      <c r="G7724" s="17"/>
      <c r="H7724" s="17" t="s">
        <v>17310</v>
      </c>
      <c r="I7724" s="17"/>
      <c r="J7724" s="17" t="s">
        <v>17311</v>
      </c>
      <c r="K7724" s="17"/>
      <c r="L7724" s="17" t="s">
        <v>17312</v>
      </c>
      <c r="M7724" s="17" t="s">
        <v>41785</v>
      </c>
      <c r="N7724" s="17" t="s">
        <v>41920</v>
      </c>
      <c r="O7724" s="17"/>
      <c r="P7724" s="17" t="s">
        <v>17548</v>
      </c>
      <c r="Q7724" s="17"/>
      <c r="R7724" s="25" t="str">
        <f>HYPERLINK("https://ictv.global/taxonomy/taxondetails?taxnode_id=202318172","Victorivirus nijyu")</f>
        <v>Victorivirus nijyu</v>
      </c>
      <c r="S7724" s="18" t="s">
        <v>30</v>
      </c>
      <c r="T7724" s="18" t="s">
        <v>41969</v>
      </c>
      <c r="U7724" s="18" t="s">
        <v>41970</v>
      </c>
      <c r="V7724" s="18" t="s">
        <v>41971</v>
      </c>
      <c r="W7724" s="18" t="s">
        <v>41972</v>
      </c>
      <c r="X7724" s="18" t="s">
        <v>42</v>
      </c>
      <c r="Y7724" s="18" t="s">
        <v>17196</v>
      </c>
      <c r="Z7724" s="18" t="s">
        <v>16721</v>
      </c>
      <c r="AA7724" s="21" t="str">
        <f>HYPERLINK("https://www.ncbi.nlm.nih.gov/nuccore/KP893140","NCBI Nucleotide")</f>
        <v>NCBI Nucleotide</v>
      </c>
    </row>
    <row r="7725" spans="1:27" x14ac:dyDescent="0.35">
      <c r="A7725">
        <v>1025745</v>
      </c>
      <c r="B7725">
        <v>7186</v>
      </c>
      <c r="C7725">
        <v>1</v>
      </c>
      <c r="D7725" s="17" t="s">
        <v>17166</v>
      </c>
      <c r="E7725" s="17"/>
      <c r="F7725" s="17" t="s">
        <v>17246</v>
      </c>
      <c r="G7725" s="17"/>
      <c r="H7725" s="17" t="s">
        <v>17310</v>
      </c>
      <c r="I7725" s="17"/>
      <c r="J7725" s="17" t="s">
        <v>17311</v>
      </c>
      <c r="K7725" s="17"/>
      <c r="L7725" s="17" t="s">
        <v>17312</v>
      </c>
      <c r="M7725" s="17" t="s">
        <v>41785</v>
      </c>
      <c r="N7725" s="17" t="s">
        <v>41920</v>
      </c>
      <c r="O7725" s="17"/>
      <c r="P7725" s="17" t="s">
        <v>17548</v>
      </c>
      <c r="Q7725" s="17"/>
      <c r="R7725" s="25" t="str">
        <f>HYPERLINK("https://ictv.global/taxonomy/taxondetails?taxnode_id=202318173","Victorivirus nijyugo")</f>
        <v>Victorivirus nijyugo</v>
      </c>
      <c r="S7725" s="18" t="s">
        <v>30</v>
      </c>
      <c r="T7725" s="18" t="s">
        <v>41973</v>
      </c>
      <c r="U7725" s="18" t="s">
        <v>41974</v>
      </c>
      <c r="V7725" s="18" t="s">
        <v>41975</v>
      </c>
      <c r="W7725" s="18" t="s">
        <v>41976</v>
      </c>
      <c r="X7725" s="18" t="s">
        <v>35</v>
      </c>
      <c r="Y7725" s="18" t="s">
        <v>17196</v>
      </c>
      <c r="Z7725" s="18" t="s">
        <v>16721</v>
      </c>
      <c r="AA7725" s="21" t="str">
        <f>HYPERLINK("https://www.ncbi.nlm.nih.gov/nuccore/MH301088","NCBI Nucleotide")</f>
        <v>NCBI Nucleotide</v>
      </c>
    </row>
    <row r="7726" spans="1:27" x14ac:dyDescent="0.35">
      <c r="A7726">
        <v>1025746</v>
      </c>
      <c r="B7726">
        <v>7187</v>
      </c>
      <c r="C7726">
        <v>1</v>
      </c>
      <c r="D7726" s="17" t="s">
        <v>17166</v>
      </c>
      <c r="E7726" s="17"/>
      <c r="F7726" s="17" t="s">
        <v>17246</v>
      </c>
      <c r="G7726" s="17"/>
      <c r="H7726" s="17" t="s">
        <v>17310</v>
      </c>
      <c r="I7726" s="17"/>
      <c r="J7726" s="17" t="s">
        <v>17311</v>
      </c>
      <c r="K7726" s="17"/>
      <c r="L7726" s="17" t="s">
        <v>17312</v>
      </c>
      <c r="M7726" s="17" t="s">
        <v>41785</v>
      </c>
      <c r="N7726" s="17" t="s">
        <v>41920</v>
      </c>
      <c r="O7726" s="17"/>
      <c r="P7726" s="17" t="s">
        <v>17548</v>
      </c>
      <c r="Q7726" s="17"/>
      <c r="R7726" s="25" t="str">
        <f>HYPERLINK("https://ictv.global/taxonomy/taxondetails?taxnode_id=202318174","Victorivirus nijyuhachi")</f>
        <v>Victorivirus nijyuhachi</v>
      </c>
      <c r="S7726" s="18" t="s">
        <v>30</v>
      </c>
      <c r="T7726" s="18" t="s">
        <v>41977</v>
      </c>
      <c r="U7726" s="18" t="s">
        <v>41978</v>
      </c>
      <c r="V7726" s="18" t="s">
        <v>17200</v>
      </c>
      <c r="W7726" s="18" t="s">
        <v>41979</v>
      </c>
      <c r="X7726" s="18" t="s">
        <v>42</v>
      </c>
      <c r="Y7726" s="18" t="s">
        <v>17196</v>
      </c>
      <c r="Z7726" s="18" t="s">
        <v>16721</v>
      </c>
      <c r="AA7726" s="21" t="str">
        <f>HYPERLINK("https://www.ncbi.nlm.nih.gov/nuccore/LC553706","NCBI Nucleotide")</f>
        <v>NCBI Nucleotide</v>
      </c>
    </row>
    <row r="7727" spans="1:27" x14ac:dyDescent="0.35">
      <c r="A7727">
        <v>1025747</v>
      </c>
      <c r="B7727">
        <v>7188</v>
      </c>
      <c r="C7727">
        <v>1</v>
      </c>
      <c r="D7727" s="17" t="s">
        <v>17166</v>
      </c>
      <c r="E7727" s="17"/>
      <c r="F7727" s="17" t="s">
        <v>17246</v>
      </c>
      <c r="G7727" s="17"/>
      <c r="H7727" s="17" t="s">
        <v>17310</v>
      </c>
      <c r="I7727" s="17"/>
      <c r="J7727" s="17" t="s">
        <v>17311</v>
      </c>
      <c r="K7727" s="17"/>
      <c r="L7727" s="17" t="s">
        <v>17312</v>
      </c>
      <c r="M7727" s="17" t="s">
        <v>41785</v>
      </c>
      <c r="N7727" s="17" t="s">
        <v>41920</v>
      </c>
      <c r="O7727" s="17"/>
      <c r="P7727" s="17" t="s">
        <v>17548</v>
      </c>
      <c r="Q7727" s="17"/>
      <c r="R7727" s="25" t="str">
        <f>HYPERLINK("https://ictv.global/taxonomy/taxondetails?taxnode_id=202318175","Victorivirus nijyuichi")</f>
        <v>Victorivirus nijyuichi</v>
      </c>
      <c r="S7727" s="18" t="s">
        <v>30</v>
      </c>
      <c r="T7727" s="18" t="s">
        <v>41980</v>
      </c>
      <c r="U7727" s="18" t="s">
        <v>41981</v>
      </c>
      <c r="V7727" s="18" t="s">
        <v>41982</v>
      </c>
      <c r="W7727" s="18" t="s">
        <v>41983</v>
      </c>
      <c r="X7727" s="18" t="s">
        <v>42</v>
      </c>
      <c r="Y7727" s="18" t="s">
        <v>17196</v>
      </c>
      <c r="Z7727" s="18" t="s">
        <v>16721</v>
      </c>
      <c r="AA7727" s="21" t="str">
        <f>HYPERLINK("https://www.ncbi.nlm.nih.gov/nuccore/KU933932","NCBI Nucleotide")</f>
        <v>NCBI Nucleotide</v>
      </c>
    </row>
    <row r="7728" spans="1:27" x14ac:dyDescent="0.35">
      <c r="A7728">
        <v>1025748</v>
      </c>
      <c r="B7728">
        <v>7189</v>
      </c>
      <c r="C7728">
        <v>1</v>
      </c>
      <c r="D7728" s="17" t="s">
        <v>17166</v>
      </c>
      <c r="E7728" s="17"/>
      <c r="F7728" s="17" t="s">
        <v>17246</v>
      </c>
      <c r="G7728" s="17"/>
      <c r="H7728" s="17" t="s">
        <v>17310</v>
      </c>
      <c r="I7728" s="17"/>
      <c r="J7728" s="17" t="s">
        <v>17311</v>
      </c>
      <c r="K7728" s="17"/>
      <c r="L7728" s="17" t="s">
        <v>17312</v>
      </c>
      <c r="M7728" s="17" t="s">
        <v>41785</v>
      </c>
      <c r="N7728" s="17" t="s">
        <v>41920</v>
      </c>
      <c r="O7728" s="17"/>
      <c r="P7728" s="17" t="s">
        <v>17548</v>
      </c>
      <c r="Q7728" s="17"/>
      <c r="R7728" s="25" t="str">
        <f>HYPERLINK("https://ictv.global/taxonomy/taxondetails?taxnode_id=202318176","Victorivirus nijyukyu")</f>
        <v>Victorivirus nijyukyu</v>
      </c>
      <c r="S7728" s="18" t="s">
        <v>30</v>
      </c>
      <c r="T7728" s="18" t="s">
        <v>41984</v>
      </c>
      <c r="U7728" s="18" t="s">
        <v>41985</v>
      </c>
      <c r="V7728" s="18" t="s">
        <v>41986</v>
      </c>
      <c r="W7728" s="18" t="s">
        <v>41987</v>
      </c>
      <c r="X7728" s="18" t="s">
        <v>42</v>
      </c>
      <c r="Y7728" s="18" t="s">
        <v>17196</v>
      </c>
      <c r="Z7728" s="18" t="s">
        <v>16721</v>
      </c>
      <c r="AA7728" s="21" t="str">
        <f>HYPERLINK("https://www.ncbi.nlm.nih.gov/nuccore/MZ868719","NCBI Nucleotide")</f>
        <v>NCBI Nucleotide</v>
      </c>
    </row>
    <row r="7729" spans="1:27" x14ac:dyDescent="0.35">
      <c r="A7729">
        <v>1025749</v>
      </c>
      <c r="B7729">
        <v>7190</v>
      </c>
      <c r="C7729">
        <v>1</v>
      </c>
      <c r="D7729" s="17" t="s">
        <v>17166</v>
      </c>
      <c r="E7729" s="17"/>
      <c r="F7729" s="17" t="s">
        <v>17246</v>
      </c>
      <c r="G7729" s="17"/>
      <c r="H7729" s="17" t="s">
        <v>17310</v>
      </c>
      <c r="I7729" s="17"/>
      <c r="J7729" s="17" t="s">
        <v>17311</v>
      </c>
      <c r="K7729" s="17"/>
      <c r="L7729" s="17" t="s">
        <v>17312</v>
      </c>
      <c r="M7729" s="17" t="s">
        <v>41785</v>
      </c>
      <c r="N7729" s="17" t="s">
        <v>41920</v>
      </c>
      <c r="O7729" s="17"/>
      <c r="P7729" s="17" t="s">
        <v>17548</v>
      </c>
      <c r="Q7729" s="17"/>
      <c r="R7729" s="25" t="str">
        <f>HYPERLINK("https://ictv.global/taxonomy/taxondetails?taxnode_id=202318177","Victorivirus nijyuni")</f>
        <v>Victorivirus nijyuni</v>
      </c>
      <c r="S7729" s="18" t="s">
        <v>30</v>
      </c>
      <c r="T7729" s="18" t="s">
        <v>41988</v>
      </c>
      <c r="U7729" s="18" t="s">
        <v>41989</v>
      </c>
      <c r="V7729" s="18" t="s">
        <v>41990</v>
      </c>
      <c r="W7729" s="18" t="s">
        <v>41991</v>
      </c>
      <c r="X7729" s="18" t="s">
        <v>42</v>
      </c>
      <c r="Y7729" s="18" t="s">
        <v>17196</v>
      </c>
      <c r="Z7729" s="18" t="s">
        <v>16721</v>
      </c>
      <c r="AA7729" s="21" t="str">
        <f>HYPERLINK("https://www.ncbi.nlm.nih.gov/nuccore/KT428155","NCBI Nucleotide")</f>
        <v>NCBI Nucleotide</v>
      </c>
    </row>
    <row r="7730" spans="1:27" x14ac:dyDescent="0.35">
      <c r="A7730">
        <v>1025750</v>
      </c>
      <c r="B7730">
        <v>7191</v>
      </c>
      <c r="C7730">
        <v>1</v>
      </c>
      <c r="D7730" s="17" t="s">
        <v>17166</v>
      </c>
      <c r="E7730" s="17"/>
      <c r="F7730" s="17" t="s">
        <v>17246</v>
      </c>
      <c r="G7730" s="17"/>
      <c r="H7730" s="17" t="s">
        <v>17310</v>
      </c>
      <c r="I7730" s="17"/>
      <c r="J7730" s="17" t="s">
        <v>17311</v>
      </c>
      <c r="K7730" s="17"/>
      <c r="L7730" s="17" t="s">
        <v>17312</v>
      </c>
      <c r="M7730" s="17" t="s">
        <v>41785</v>
      </c>
      <c r="N7730" s="17" t="s">
        <v>41920</v>
      </c>
      <c r="O7730" s="17"/>
      <c r="P7730" s="17" t="s">
        <v>17548</v>
      </c>
      <c r="Q7730" s="17"/>
      <c r="R7730" s="25" t="str">
        <f>HYPERLINK("https://ictv.global/taxonomy/taxondetails?taxnode_id=202318178","Victorivirus nijyuroku")</f>
        <v>Victorivirus nijyuroku</v>
      </c>
      <c r="S7730" s="18" t="s">
        <v>30</v>
      </c>
      <c r="T7730" s="18" t="s">
        <v>41992</v>
      </c>
      <c r="U7730" s="18" t="s">
        <v>41993</v>
      </c>
      <c r="V7730" s="18" t="s">
        <v>41994</v>
      </c>
      <c r="W7730" s="18" t="s">
        <v>41995</v>
      </c>
      <c r="X7730" s="18" t="s">
        <v>42</v>
      </c>
      <c r="Y7730" s="18" t="s">
        <v>17196</v>
      </c>
      <c r="Z7730" s="18" t="s">
        <v>16721</v>
      </c>
      <c r="AA7730" s="21" t="str">
        <f>HYPERLINK("https://www.ncbi.nlm.nih.gov/nuccore/MK787250","NCBI Nucleotide")</f>
        <v>NCBI Nucleotide</v>
      </c>
    </row>
    <row r="7731" spans="1:27" x14ac:dyDescent="0.35">
      <c r="A7731">
        <v>1025751</v>
      </c>
      <c r="B7731">
        <v>7192</v>
      </c>
      <c r="C7731">
        <v>1</v>
      </c>
      <c r="D7731" s="17" t="s">
        <v>17166</v>
      </c>
      <c r="E7731" s="17"/>
      <c r="F7731" s="17" t="s">
        <v>17246</v>
      </c>
      <c r="G7731" s="17"/>
      <c r="H7731" s="17" t="s">
        <v>17310</v>
      </c>
      <c r="I7731" s="17"/>
      <c r="J7731" s="17" t="s">
        <v>17311</v>
      </c>
      <c r="K7731" s="17"/>
      <c r="L7731" s="17" t="s">
        <v>17312</v>
      </c>
      <c r="M7731" s="17" t="s">
        <v>41785</v>
      </c>
      <c r="N7731" s="17" t="s">
        <v>41920</v>
      </c>
      <c r="O7731" s="17"/>
      <c r="P7731" s="17" t="s">
        <v>17548</v>
      </c>
      <c r="Q7731" s="17"/>
      <c r="R7731" s="25" t="str">
        <f>HYPERLINK("https://ictv.global/taxonomy/taxondetails?taxnode_id=202318179","Victorivirus nijyusani")</f>
        <v>Victorivirus nijyusani</v>
      </c>
      <c r="S7731" s="18" t="s">
        <v>30</v>
      </c>
      <c r="T7731" s="18" t="s">
        <v>41996</v>
      </c>
      <c r="U7731" s="18" t="s">
        <v>41997</v>
      </c>
      <c r="V7731" s="18" t="s">
        <v>41998</v>
      </c>
      <c r="W7731" s="18" t="s">
        <v>41999</v>
      </c>
      <c r="X7731" s="18" t="s">
        <v>42</v>
      </c>
      <c r="Y7731" s="18" t="s">
        <v>17196</v>
      </c>
      <c r="Z7731" s="18" t="s">
        <v>16721</v>
      </c>
      <c r="AA7731" s="21" t="str">
        <f>HYPERLINK("https://www.ncbi.nlm.nih.gov/nuccore/KT365894","NCBI Nucleotide")</f>
        <v>NCBI Nucleotide</v>
      </c>
    </row>
    <row r="7732" spans="1:27" x14ac:dyDescent="0.35">
      <c r="A7732">
        <v>1025752</v>
      </c>
      <c r="B7732">
        <v>7193</v>
      </c>
      <c r="C7732">
        <v>1</v>
      </c>
      <c r="D7732" s="17" t="s">
        <v>17166</v>
      </c>
      <c r="E7732" s="17"/>
      <c r="F7732" s="17" t="s">
        <v>17246</v>
      </c>
      <c r="G7732" s="17"/>
      <c r="H7732" s="17" t="s">
        <v>17310</v>
      </c>
      <c r="I7732" s="17"/>
      <c r="J7732" s="17" t="s">
        <v>17311</v>
      </c>
      <c r="K7732" s="17"/>
      <c r="L7732" s="17" t="s">
        <v>17312</v>
      </c>
      <c r="M7732" s="17" t="s">
        <v>41785</v>
      </c>
      <c r="N7732" s="17" t="s">
        <v>41920</v>
      </c>
      <c r="O7732" s="17"/>
      <c r="P7732" s="17" t="s">
        <v>17548</v>
      </c>
      <c r="Q7732" s="17"/>
      <c r="R7732" s="25" t="str">
        <f>HYPERLINK("https://ictv.global/taxonomy/taxondetails?taxnode_id=202318180","Victorivirus nijyushi")</f>
        <v>Victorivirus nijyushi</v>
      </c>
      <c r="S7732" s="18" t="s">
        <v>30</v>
      </c>
      <c r="T7732" s="18" t="s">
        <v>42000</v>
      </c>
      <c r="U7732" s="18" t="s">
        <v>42001</v>
      </c>
      <c r="V7732" s="18" t="s">
        <v>20997</v>
      </c>
      <c r="W7732" s="18" t="s">
        <v>42002</v>
      </c>
      <c r="X7732" s="18" t="s">
        <v>42</v>
      </c>
      <c r="Y7732" s="18" t="s">
        <v>17196</v>
      </c>
      <c r="Z7732" s="18" t="s">
        <v>16721</v>
      </c>
      <c r="AA7732" s="21" t="str">
        <f>HYPERLINK("https://www.ncbi.nlm.nih.gov/nuccore/LC150610","NCBI Nucleotide")</f>
        <v>NCBI Nucleotide</v>
      </c>
    </row>
    <row r="7733" spans="1:27" x14ac:dyDescent="0.35">
      <c r="A7733">
        <v>1025753</v>
      </c>
      <c r="B7733">
        <v>7194</v>
      </c>
      <c r="C7733">
        <v>1</v>
      </c>
      <c r="D7733" s="17" t="s">
        <v>17166</v>
      </c>
      <c r="E7733" s="17"/>
      <c r="F7733" s="17" t="s">
        <v>17246</v>
      </c>
      <c r="G7733" s="17"/>
      <c r="H7733" s="17" t="s">
        <v>17310</v>
      </c>
      <c r="I7733" s="17"/>
      <c r="J7733" s="17" t="s">
        <v>17311</v>
      </c>
      <c r="K7733" s="17"/>
      <c r="L7733" s="17" t="s">
        <v>17312</v>
      </c>
      <c r="M7733" s="17" t="s">
        <v>41785</v>
      </c>
      <c r="N7733" s="17" t="s">
        <v>41920</v>
      </c>
      <c r="O7733" s="17"/>
      <c r="P7733" s="17" t="s">
        <v>17548</v>
      </c>
      <c r="Q7733" s="17"/>
      <c r="R7733" s="25" t="str">
        <f>HYPERLINK("https://ictv.global/taxonomy/taxondetails?taxnode_id=202318181","Victorivirus nijyushichi")</f>
        <v>Victorivirus nijyushichi</v>
      </c>
      <c r="S7733" s="18" t="s">
        <v>30</v>
      </c>
      <c r="T7733" s="18" t="s">
        <v>42003</v>
      </c>
      <c r="U7733" s="18" t="s">
        <v>42004</v>
      </c>
      <c r="V7733" s="18" t="s">
        <v>35290</v>
      </c>
      <c r="W7733" s="18" t="s">
        <v>42005</v>
      </c>
      <c r="X7733" s="18" t="s">
        <v>42</v>
      </c>
      <c r="Y7733" s="18" t="s">
        <v>17196</v>
      </c>
      <c r="Z7733" s="18" t="s">
        <v>16721</v>
      </c>
      <c r="AA7733" s="21" t="str">
        <f>HYPERLINK("https://www.ncbi.nlm.nih.gov/nuccore/MT023007","NCBI Nucleotide")</f>
        <v>NCBI Nucleotide</v>
      </c>
    </row>
    <row r="7734" spans="1:27" x14ac:dyDescent="0.35">
      <c r="A7734">
        <v>1008414</v>
      </c>
      <c r="B7734">
        <v>7195</v>
      </c>
      <c r="C7734">
        <v>1</v>
      </c>
      <c r="D7734" s="17" t="s">
        <v>17166</v>
      </c>
      <c r="E7734" s="17"/>
      <c r="F7734" s="17" t="s">
        <v>17246</v>
      </c>
      <c r="G7734" s="17"/>
      <c r="H7734" s="17" t="s">
        <v>17310</v>
      </c>
      <c r="I7734" s="17"/>
      <c r="J7734" s="17" t="s">
        <v>17311</v>
      </c>
      <c r="K7734" s="17"/>
      <c r="L7734" s="17" t="s">
        <v>17312</v>
      </c>
      <c r="M7734" s="17" t="s">
        <v>41785</v>
      </c>
      <c r="N7734" s="17" t="s">
        <v>41920</v>
      </c>
      <c r="O7734" s="17"/>
      <c r="P7734" s="17" t="s">
        <v>17548</v>
      </c>
      <c r="Q7734" s="17"/>
      <c r="R7734" s="25" t="str">
        <f>HYPERLINK("https://ictv.global/taxonomy/taxondetails?taxnode_id=202305312","Victorivirus roku")</f>
        <v>Victorivirus roku</v>
      </c>
      <c r="S7734" s="18" t="s">
        <v>30</v>
      </c>
      <c r="T7734" s="18" t="s">
        <v>17573</v>
      </c>
      <c r="U7734" s="18" t="s">
        <v>17574</v>
      </c>
      <c r="V7734" s="18" t="s">
        <v>17575</v>
      </c>
      <c r="W7734" s="18" t="s">
        <v>17576</v>
      </c>
      <c r="X7734" s="18" t="s">
        <v>42</v>
      </c>
      <c r="Y7734" s="18" t="s">
        <v>17196</v>
      </c>
      <c r="Z7734" s="18" t="s">
        <v>16721</v>
      </c>
      <c r="AA7734" s="21" t="str">
        <f>HYPERLINK("https://www.ncbi.nlm.nih.gov/nuccore/AB085814","NCBI Nucleotide")</f>
        <v>NCBI Nucleotide</v>
      </c>
    </row>
    <row r="7735" spans="1:27" x14ac:dyDescent="0.35">
      <c r="A7735">
        <v>1008419</v>
      </c>
      <c r="B7735">
        <v>7196</v>
      </c>
      <c r="C7735">
        <v>1</v>
      </c>
      <c r="D7735" s="17" t="s">
        <v>17166</v>
      </c>
      <c r="E7735" s="17"/>
      <c r="F7735" s="17" t="s">
        <v>17246</v>
      </c>
      <c r="G7735" s="17"/>
      <c r="H7735" s="17" t="s">
        <v>17310</v>
      </c>
      <c r="I7735" s="17"/>
      <c r="J7735" s="17" t="s">
        <v>17311</v>
      </c>
      <c r="K7735" s="17"/>
      <c r="L7735" s="17" t="s">
        <v>17312</v>
      </c>
      <c r="M7735" s="17" t="s">
        <v>41785</v>
      </c>
      <c r="N7735" s="17" t="s">
        <v>41920</v>
      </c>
      <c r="O7735" s="17"/>
      <c r="P7735" s="17" t="s">
        <v>17548</v>
      </c>
      <c r="Q7735" s="17"/>
      <c r="R7735" s="25" t="str">
        <f>HYPERLINK("https://ictv.global/taxonomy/taxondetails?taxnode_id=202305317","Victorivirus sani")</f>
        <v>Victorivirus sani</v>
      </c>
      <c r="S7735" s="18" t="s">
        <v>30</v>
      </c>
      <c r="T7735" s="18" t="s">
        <v>17592</v>
      </c>
      <c r="U7735" s="18" t="s">
        <v>17593</v>
      </c>
      <c r="V7735" s="18" t="s">
        <v>17594</v>
      </c>
      <c r="W7735" s="18" t="s">
        <v>17595</v>
      </c>
      <c r="X7735" s="18" t="s">
        <v>42</v>
      </c>
      <c r="Y7735" s="18" t="s">
        <v>17196</v>
      </c>
      <c r="Z7735" s="18" t="s">
        <v>16721</v>
      </c>
      <c r="AA7735" s="21" t="str">
        <f>HYPERLINK("https://www.ncbi.nlm.nih.gov/nuccore/AF038665","NCBI Nucleotide")</f>
        <v>NCBI Nucleotide</v>
      </c>
    </row>
    <row r="7736" spans="1:27" x14ac:dyDescent="0.35">
      <c r="A7736">
        <v>1025754</v>
      </c>
      <c r="B7736">
        <v>7197</v>
      </c>
      <c r="C7736">
        <v>1</v>
      </c>
      <c r="D7736" s="17" t="s">
        <v>17166</v>
      </c>
      <c r="E7736" s="17"/>
      <c r="F7736" s="17" t="s">
        <v>17246</v>
      </c>
      <c r="G7736" s="17"/>
      <c r="H7736" s="17" t="s">
        <v>17310</v>
      </c>
      <c r="I7736" s="17"/>
      <c r="J7736" s="17" t="s">
        <v>17311</v>
      </c>
      <c r="K7736" s="17"/>
      <c r="L7736" s="17" t="s">
        <v>17312</v>
      </c>
      <c r="M7736" s="17" t="s">
        <v>41785</v>
      </c>
      <c r="N7736" s="17" t="s">
        <v>41920</v>
      </c>
      <c r="O7736" s="17"/>
      <c r="P7736" s="17" t="s">
        <v>17548</v>
      </c>
      <c r="Q7736" s="17"/>
      <c r="R7736" s="25" t="str">
        <f>HYPERLINK("https://ictv.global/taxonomy/taxondetails?taxnode_id=202318182","Victorivirus sanjyu")</f>
        <v>Victorivirus sanjyu</v>
      </c>
      <c r="S7736" s="18" t="s">
        <v>30</v>
      </c>
      <c r="T7736" s="18" t="s">
        <v>42006</v>
      </c>
      <c r="U7736" s="18" t="s">
        <v>42007</v>
      </c>
      <c r="V7736" s="18" t="s">
        <v>42008</v>
      </c>
      <c r="W7736" s="18" t="s">
        <v>42009</v>
      </c>
      <c r="X7736" s="18" t="s">
        <v>35</v>
      </c>
      <c r="Y7736" s="18" t="s">
        <v>17196</v>
      </c>
      <c r="Z7736" s="18" t="s">
        <v>16721</v>
      </c>
      <c r="AA7736" s="21" t="str">
        <f>HYPERLINK("https://www.ncbi.nlm.nih.gov/nuccore/MW175880","NCBI Nucleotide")</f>
        <v>NCBI Nucleotide</v>
      </c>
    </row>
    <row r="7737" spans="1:27" x14ac:dyDescent="0.35">
      <c r="A7737">
        <v>1025755</v>
      </c>
      <c r="B7737">
        <v>7198</v>
      </c>
      <c r="C7737">
        <v>1</v>
      </c>
      <c r="D7737" s="17" t="s">
        <v>17166</v>
      </c>
      <c r="E7737" s="17"/>
      <c r="F7737" s="17" t="s">
        <v>17246</v>
      </c>
      <c r="G7737" s="17"/>
      <c r="H7737" s="17" t="s">
        <v>17310</v>
      </c>
      <c r="I7737" s="17"/>
      <c r="J7737" s="17" t="s">
        <v>17311</v>
      </c>
      <c r="K7737" s="17"/>
      <c r="L7737" s="17" t="s">
        <v>17312</v>
      </c>
      <c r="M7737" s="17" t="s">
        <v>41785</v>
      </c>
      <c r="N7737" s="17" t="s">
        <v>41920</v>
      </c>
      <c r="O7737" s="17"/>
      <c r="P7737" s="17" t="s">
        <v>17548</v>
      </c>
      <c r="Q7737" s="17"/>
      <c r="R7737" s="25" t="str">
        <f>HYPERLINK("https://ictv.global/taxonomy/taxondetails?taxnode_id=202318183","Victorivirus sanjyuichi")</f>
        <v>Victorivirus sanjyuichi</v>
      </c>
      <c r="S7737" s="18" t="s">
        <v>30</v>
      </c>
      <c r="T7737" s="18" t="s">
        <v>42010</v>
      </c>
      <c r="U7737" s="18" t="s">
        <v>42011</v>
      </c>
      <c r="V7737" s="18" t="s">
        <v>42012</v>
      </c>
      <c r="W7737" s="18" t="s">
        <v>42013</v>
      </c>
      <c r="X7737" s="18" t="s">
        <v>42</v>
      </c>
      <c r="Y7737" s="18" t="s">
        <v>17196</v>
      </c>
      <c r="Z7737" s="18" t="s">
        <v>16721</v>
      </c>
      <c r="AA7737" s="21" t="str">
        <f>HYPERLINK("https://www.ncbi.nlm.nih.gov/nuccore/LC596824","NCBI Nucleotide")</f>
        <v>NCBI Nucleotide</v>
      </c>
    </row>
    <row r="7738" spans="1:27" x14ac:dyDescent="0.35">
      <c r="A7738">
        <v>1025756</v>
      </c>
      <c r="B7738">
        <v>7199</v>
      </c>
      <c r="C7738">
        <v>1</v>
      </c>
      <c r="D7738" s="17" t="s">
        <v>17166</v>
      </c>
      <c r="E7738" s="17"/>
      <c r="F7738" s="17" t="s">
        <v>17246</v>
      </c>
      <c r="G7738" s="17"/>
      <c r="H7738" s="17" t="s">
        <v>17310</v>
      </c>
      <c r="I7738" s="17"/>
      <c r="J7738" s="17" t="s">
        <v>17311</v>
      </c>
      <c r="K7738" s="17"/>
      <c r="L7738" s="17" t="s">
        <v>17312</v>
      </c>
      <c r="M7738" s="17" t="s">
        <v>41785</v>
      </c>
      <c r="N7738" s="17" t="s">
        <v>41920</v>
      </c>
      <c r="O7738" s="17"/>
      <c r="P7738" s="17" t="s">
        <v>17548</v>
      </c>
      <c r="Q7738" s="17"/>
      <c r="R7738" s="25" t="str">
        <f>HYPERLINK("https://ictv.global/taxonomy/taxondetails?taxnode_id=202318184","Victorivirus sanjyuni")</f>
        <v>Victorivirus sanjyuni</v>
      </c>
      <c r="S7738" s="18" t="s">
        <v>30</v>
      </c>
      <c r="T7738" s="18" t="s">
        <v>42014</v>
      </c>
      <c r="U7738" s="18" t="s">
        <v>42015</v>
      </c>
      <c r="V7738" s="18" t="s">
        <v>42016</v>
      </c>
      <c r="W7738" s="18" t="s">
        <v>42017</v>
      </c>
      <c r="X7738" s="18" t="s">
        <v>42</v>
      </c>
      <c r="Y7738" s="18" t="s">
        <v>17196</v>
      </c>
      <c r="Z7738" s="18" t="s">
        <v>16721</v>
      </c>
      <c r="AA7738" s="21" t="str">
        <f>HYPERLINK("https://www.ncbi.nlm.nih.gov/nuccore/MN839447","NCBI Nucleotide")</f>
        <v>NCBI Nucleotide</v>
      </c>
    </row>
    <row r="7739" spans="1:27" x14ac:dyDescent="0.35">
      <c r="A7739">
        <v>1008420</v>
      </c>
      <c r="B7739">
        <v>7200</v>
      </c>
      <c r="C7739">
        <v>1</v>
      </c>
      <c r="D7739" s="17" t="s">
        <v>17166</v>
      </c>
      <c r="E7739" s="17"/>
      <c r="F7739" s="17" t="s">
        <v>17246</v>
      </c>
      <c r="G7739" s="17"/>
      <c r="H7739" s="17" t="s">
        <v>17310</v>
      </c>
      <c r="I7739" s="17"/>
      <c r="J7739" s="17" t="s">
        <v>17311</v>
      </c>
      <c r="K7739" s="17"/>
      <c r="L7739" s="17" t="s">
        <v>17312</v>
      </c>
      <c r="M7739" s="17" t="s">
        <v>41785</v>
      </c>
      <c r="N7739" s="17" t="s">
        <v>41920</v>
      </c>
      <c r="O7739" s="17"/>
      <c r="P7739" s="17" t="s">
        <v>17548</v>
      </c>
      <c r="Q7739" s="17"/>
      <c r="R7739" s="25" t="str">
        <f>HYPERLINK("https://ictv.global/taxonomy/taxondetails?taxnode_id=202305318","Victorivirus shi")</f>
        <v>Victorivirus shi</v>
      </c>
      <c r="S7739" s="18" t="s">
        <v>30</v>
      </c>
      <c r="T7739" s="18" t="s">
        <v>17596</v>
      </c>
      <c r="U7739" s="18" t="s">
        <v>17597</v>
      </c>
      <c r="V7739" s="18" t="s">
        <v>17598</v>
      </c>
      <c r="W7739" s="18" t="s">
        <v>17599</v>
      </c>
      <c r="X7739" s="18" t="s">
        <v>42</v>
      </c>
      <c r="Y7739" s="18" t="s">
        <v>17196</v>
      </c>
      <c r="Z7739" s="18" t="s">
        <v>16721</v>
      </c>
      <c r="AA7739" s="21" t="str">
        <f>HYPERLINK("https://www.ncbi.nlm.nih.gov/nuccore/AF039080","NCBI Nucleotide")</f>
        <v>NCBI Nucleotide</v>
      </c>
    </row>
    <row r="7740" spans="1:27" x14ac:dyDescent="0.35">
      <c r="A7740">
        <v>1008413</v>
      </c>
      <c r="B7740">
        <v>7201</v>
      </c>
      <c r="C7740">
        <v>1</v>
      </c>
      <c r="D7740" s="17" t="s">
        <v>17166</v>
      </c>
      <c r="E7740" s="17"/>
      <c r="F7740" s="17" t="s">
        <v>17246</v>
      </c>
      <c r="G7740" s="17"/>
      <c r="H7740" s="17" t="s">
        <v>17310</v>
      </c>
      <c r="I7740" s="17"/>
      <c r="J7740" s="17" t="s">
        <v>17311</v>
      </c>
      <c r="K7740" s="17"/>
      <c r="L7740" s="17" t="s">
        <v>17312</v>
      </c>
      <c r="M7740" s="17" t="s">
        <v>41785</v>
      </c>
      <c r="N7740" s="17" t="s">
        <v>41920</v>
      </c>
      <c r="O7740" s="17"/>
      <c r="P7740" s="17" t="s">
        <v>17548</v>
      </c>
      <c r="Q7740" s="17"/>
      <c r="R7740" s="25" t="str">
        <f>HYPERLINK("https://ictv.global/taxonomy/taxondetails?taxnode_id=202305311","Victorivirus shichi")</f>
        <v>Victorivirus shichi</v>
      </c>
      <c r="S7740" s="18" t="s">
        <v>30</v>
      </c>
      <c r="T7740" s="18" t="s">
        <v>17569</v>
      </c>
      <c r="U7740" s="18" t="s">
        <v>17570</v>
      </c>
      <c r="V7740" s="18" t="s">
        <v>17571</v>
      </c>
      <c r="W7740" s="18" t="s">
        <v>17572</v>
      </c>
      <c r="X7740" s="18" t="s">
        <v>42</v>
      </c>
      <c r="Y7740" s="18" t="s">
        <v>17196</v>
      </c>
      <c r="Z7740" s="18" t="s">
        <v>16721</v>
      </c>
      <c r="AA7740" s="21" t="str">
        <f>HYPERLINK("https://www.ncbi.nlm.nih.gov/nuccore/AF337175","NCBI Nucleotide")</f>
        <v>NCBI Nucleotide</v>
      </c>
    </row>
    <row r="7741" spans="1:27" x14ac:dyDescent="0.35">
      <c r="A7741">
        <v>1008393</v>
      </c>
      <c r="B7741">
        <v>7202</v>
      </c>
      <c r="C7741">
        <v>1</v>
      </c>
      <c r="D7741" s="17" t="s">
        <v>17166</v>
      </c>
      <c r="E7741" s="17"/>
      <c r="F7741" s="17" t="s">
        <v>17246</v>
      </c>
      <c r="G7741" s="17"/>
      <c r="H7741" s="17" t="s">
        <v>17310</v>
      </c>
      <c r="I7741" s="17"/>
      <c r="J7741" s="17" t="s">
        <v>17311</v>
      </c>
      <c r="K7741" s="17"/>
      <c r="L7741" s="17" t="s">
        <v>17312</v>
      </c>
      <c r="M7741" s="17" t="s">
        <v>41785</v>
      </c>
      <c r="N7741" s="17" t="s">
        <v>17483</v>
      </c>
      <c r="O7741" s="17"/>
      <c r="P7741" s="17" t="s">
        <v>17484</v>
      </c>
      <c r="Q7741" s="17"/>
      <c r="R7741" s="25" t="str">
        <f>HYPERLINK("https://ictv.global/taxonomy/taxondetails?taxnode_id=202304870","Quadrivirus ichi")</f>
        <v>Quadrivirus ichi</v>
      </c>
      <c r="S7741" s="18" t="s">
        <v>30</v>
      </c>
      <c r="T7741" s="18" t="s">
        <v>17485</v>
      </c>
      <c r="U7741" s="18" t="s">
        <v>17486</v>
      </c>
      <c r="V7741" s="18" t="s">
        <v>17487</v>
      </c>
      <c r="W7741" s="18" t="s">
        <v>17488</v>
      </c>
      <c r="X7741" s="18" t="s">
        <v>42</v>
      </c>
      <c r="Y7741" s="18" t="s">
        <v>17196</v>
      </c>
      <c r="Z7741" s="18" t="s">
        <v>16721</v>
      </c>
      <c r="AA7741" s="21" t="str">
        <f>HYPERLINK("https://www.ncbi.nlm.nih.gov/nuccore/AB620061,AB620062,AB620063,AB620064","NCBI Nucleotide")</f>
        <v>NCBI Nucleotide</v>
      </c>
    </row>
    <row r="7742" spans="1:27" x14ac:dyDescent="0.35">
      <c r="A7742">
        <v>1012706</v>
      </c>
      <c r="B7742">
        <v>7202</v>
      </c>
      <c r="C7742">
        <v>2</v>
      </c>
      <c r="D7742" s="17" t="s">
        <v>17166</v>
      </c>
      <c r="E7742" s="17"/>
      <c r="F7742" s="17" t="s">
        <v>17246</v>
      </c>
      <c r="G7742" s="17"/>
      <c r="H7742" s="17" t="s">
        <v>17310</v>
      </c>
      <c r="I7742" s="17"/>
      <c r="J7742" s="17" t="s">
        <v>17311</v>
      </c>
      <c r="K7742" s="17"/>
      <c r="L7742" s="17" t="s">
        <v>17312</v>
      </c>
      <c r="M7742" s="17" t="s">
        <v>41785</v>
      </c>
      <c r="N7742" s="17" t="s">
        <v>17483</v>
      </c>
      <c r="O7742" s="17"/>
      <c r="P7742" s="17" t="s">
        <v>17484</v>
      </c>
      <c r="Q7742" s="17"/>
      <c r="R7742" s="25" t="str">
        <f>HYPERLINK("https://ictv.global/taxonomy/taxondetails?taxnode_id=202304870","Quadrivirus ichi")</f>
        <v>Quadrivirus ichi</v>
      </c>
      <c r="S7742" s="18" t="s">
        <v>8141</v>
      </c>
      <c r="T7742" s="18" t="s">
        <v>17485</v>
      </c>
      <c r="U7742" s="18" t="s">
        <v>17486</v>
      </c>
      <c r="V7742" s="18" t="s">
        <v>17489</v>
      </c>
      <c r="W7742" s="18" t="s">
        <v>49266</v>
      </c>
      <c r="X7742" s="18" t="s">
        <v>42</v>
      </c>
      <c r="Y7742" s="18" t="s">
        <v>17196</v>
      </c>
      <c r="Z7742" s="18" t="s">
        <v>16721</v>
      </c>
      <c r="AA7742" s="21" t="str">
        <f>HYPERLINK("https://www.ncbi.nlm.nih.gov/nuccore/AB744677,AB744678,AB744679,AB744680","NCBI Nucleotide")</f>
        <v>NCBI Nucleotide</v>
      </c>
    </row>
    <row r="7743" spans="1:27" x14ac:dyDescent="0.35">
      <c r="A7743">
        <v>1012707</v>
      </c>
      <c r="B7743">
        <v>7202</v>
      </c>
      <c r="C7743">
        <v>3</v>
      </c>
      <c r="D7743" s="17" t="s">
        <v>17166</v>
      </c>
      <c r="E7743" s="17"/>
      <c r="F7743" s="17" t="s">
        <v>17246</v>
      </c>
      <c r="G7743" s="17"/>
      <c r="H7743" s="17" t="s">
        <v>17310</v>
      </c>
      <c r="I7743" s="17"/>
      <c r="J7743" s="17" t="s">
        <v>17311</v>
      </c>
      <c r="K7743" s="17"/>
      <c r="L7743" s="17" t="s">
        <v>17312</v>
      </c>
      <c r="M7743" s="17" t="s">
        <v>41785</v>
      </c>
      <c r="N7743" s="17" t="s">
        <v>17483</v>
      </c>
      <c r="O7743" s="17"/>
      <c r="P7743" s="17" t="s">
        <v>17484</v>
      </c>
      <c r="Q7743" s="17"/>
      <c r="R7743" s="25" t="str">
        <f>HYPERLINK("https://ictv.global/taxonomy/taxondetails?taxnode_id=202304870","Quadrivirus ichi")</f>
        <v>Quadrivirus ichi</v>
      </c>
      <c r="S7743" s="18" t="s">
        <v>8141</v>
      </c>
      <c r="T7743" s="18" t="s">
        <v>17485</v>
      </c>
      <c r="U7743" s="18" t="s">
        <v>17486</v>
      </c>
      <c r="V7743" s="18" t="s">
        <v>17490</v>
      </c>
      <c r="W7743" s="18" t="s">
        <v>49267</v>
      </c>
      <c r="X7743" s="18" t="s">
        <v>154</v>
      </c>
      <c r="Y7743" s="18" t="s">
        <v>17196</v>
      </c>
      <c r="Z7743" s="18" t="s">
        <v>16721</v>
      </c>
      <c r="AA7743" s="21" t="str">
        <f>HYPERLINK("https://www.ncbi.nlm.nih.gov/nuccore/AB771723","NCBI Nucleotide")</f>
        <v>NCBI Nucleotide</v>
      </c>
    </row>
    <row r="7744" spans="1:27" x14ac:dyDescent="0.35">
      <c r="A7744">
        <v>1025663</v>
      </c>
      <c r="B7744">
        <v>7203</v>
      </c>
      <c r="C7744">
        <v>1</v>
      </c>
      <c r="D7744" s="17" t="s">
        <v>17166</v>
      </c>
      <c r="E7744" s="17"/>
      <c r="F7744" s="17" t="s">
        <v>17246</v>
      </c>
      <c r="G7744" s="17"/>
      <c r="H7744" s="17" t="s">
        <v>17310</v>
      </c>
      <c r="I7744" s="17"/>
      <c r="J7744" s="17" t="s">
        <v>17311</v>
      </c>
      <c r="K7744" s="17"/>
      <c r="L7744" s="17" t="s">
        <v>17312</v>
      </c>
      <c r="M7744" s="17" t="s">
        <v>41785</v>
      </c>
      <c r="N7744" s="17" t="s">
        <v>17483</v>
      </c>
      <c r="O7744" s="17"/>
      <c r="P7744" s="17" t="s">
        <v>17484</v>
      </c>
      <c r="Q7744" s="17"/>
      <c r="R7744" s="25" t="str">
        <f>HYPERLINK("https://ictv.global/taxonomy/taxondetails?taxnode_id=202318185","Quadrivirus ni")</f>
        <v>Quadrivirus ni</v>
      </c>
      <c r="S7744" s="18" t="s">
        <v>30</v>
      </c>
      <c r="T7744" s="18" t="s">
        <v>42018</v>
      </c>
      <c r="U7744" s="18" t="s">
        <v>42019</v>
      </c>
      <c r="V7744" s="18" t="s">
        <v>42020</v>
      </c>
      <c r="W7744" s="18" t="s">
        <v>50892</v>
      </c>
      <c r="X7744" s="18" t="s">
        <v>35</v>
      </c>
      <c r="Y7744" s="18" t="s">
        <v>17196</v>
      </c>
      <c r="Z7744" s="18" t="s">
        <v>16721</v>
      </c>
      <c r="AA7744" s="21" t="str">
        <f>HYPERLINK("https://www.ncbi.nlm.nih.gov/nuccore/MN954886,MN617034,MN954885,MN617035","NCBI Nucleotide")</f>
        <v>NCBI Nucleotide</v>
      </c>
    </row>
    <row r="7745" spans="1:27" x14ac:dyDescent="0.35">
      <c r="A7745">
        <v>1025664</v>
      </c>
      <c r="B7745">
        <v>7204</v>
      </c>
      <c r="C7745">
        <v>1</v>
      </c>
      <c r="D7745" s="17" t="s">
        <v>17166</v>
      </c>
      <c r="E7745" s="17"/>
      <c r="F7745" s="17" t="s">
        <v>17246</v>
      </c>
      <c r="G7745" s="17"/>
      <c r="H7745" s="17" t="s">
        <v>17310</v>
      </c>
      <c r="I7745" s="17"/>
      <c r="J7745" s="17" t="s">
        <v>17311</v>
      </c>
      <c r="K7745" s="17"/>
      <c r="L7745" s="17" t="s">
        <v>17312</v>
      </c>
      <c r="M7745" s="17" t="s">
        <v>41785</v>
      </c>
      <c r="N7745" s="17" t="s">
        <v>17483</v>
      </c>
      <c r="O7745" s="17"/>
      <c r="P7745" s="17" t="s">
        <v>17484</v>
      </c>
      <c r="Q7745" s="17"/>
      <c r="R7745" s="25" t="str">
        <f>HYPERLINK("https://ictv.global/taxonomy/taxondetails?taxnode_id=202318186","Quadrivirus sani")</f>
        <v>Quadrivirus sani</v>
      </c>
      <c r="S7745" s="18" t="s">
        <v>30</v>
      </c>
      <c r="T7745" s="18" t="s">
        <v>42021</v>
      </c>
      <c r="U7745" s="18" t="s">
        <v>42022</v>
      </c>
      <c r="V7745" s="18" t="s">
        <v>42023</v>
      </c>
      <c r="W7745" s="18" t="s">
        <v>50893</v>
      </c>
      <c r="X7745" s="18" t="s">
        <v>42</v>
      </c>
      <c r="Y7745" s="18" t="s">
        <v>17196</v>
      </c>
      <c r="Z7745" s="18" t="s">
        <v>16721</v>
      </c>
      <c r="AA7745" s="21" t="str">
        <f>HYPERLINK("https://www.ncbi.nlm.nih.gov/nuccore/OK077750,OK077751,OK077752,OK077753","NCBI Nucleotide")</f>
        <v>NCBI Nucleotide</v>
      </c>
    </row>
    <row r="7746" spans="1:27" x14ac:dyDescent="0.35">
      <c r="A7746">
        <v>1025665</v>
      </c>
      <c r="B7746">
        <v>7205</v>
      </c>
      <c r="C7746">
        <v>1</v>
      </c>
      <c r="D7746" s="17" t="s">
        <v>17166</v>
      </c>
      <c r="E7746" s="17"/>
      <c r="F7746" s="17" t="s">
        <v>17246</v>
      </c>
      <c r="G7746" s="17"/>
      <c r="H7746" s="17" t="s">
        <v>17310</v>
      </c>
      <c r="I7746" s="17"/>
      <c r="J7746" s="17" t="s">
        <v>17311</v>
      </c>
      <c r="K7746" s="17"/>
      <c r="L7746" s="17" t="s">
        <v>17312</v>
      </c>
      <c r="M7746" s="17" t="s">
        <v>41785</v>
      </c>
      <c r="N7746" s="17" t="s">
        <v>42024</v>
      </c>
      <c r="O7746" s="17"/>
      <c r="P7746" s="17" t="s">
        <v>42025</v>
      </c>
      <c r="Q7746" s="17"/>
      <c r="R7746" s="25" t="str">
        <f>HYPERLINK("https://ictv.global/taxonomy/taxondetails?taxnode_id=202318187","Spicivirus go")</f>
        <v>Spicivirus go</v>
      </c>
      <c r="S7746" s="18" t="s">
        <v>30</v>
      </c>
      <c r="T7746" s="18" t="s">
        <v>42026</v>
      </c>
      <c r="U7746" s="18" t="s">
        <v>42027</v>
      </c>
      <c r="V7746" s="18" t="s">
        <v>42028</v>
      </c>
      <c r="W7746" s="18" t="s">
        <v>42029</v>
      </c>
      <c r="X7746" s="18" t="s">
        <v>42</v>
      </c>
      <c r="Y7746" s="18" t="s">
        <v>17196</v>
      </c>
      <c r="Z7746" s="18" t="s">
        <v>10790</v>
      </c>
      <c r="AA7746" s="21" t="str">
        <f>HYPERLINK("https://www.ncbi.nlm.nih.gov/nuccore/MF176241","NCBI Nucleotide")</f>
        <v>NCBI Nucleotide</v>
      </c>
    </row>
    <row r="7747" spans="1:27" x14ac:dyDescent="0.35">
      <c r="A7747">
        <v>1025666</v>
      </c>
      <c r="B7747">
        <v>7206</v>
      </c>
      <c r="C7747">
        <v>1</v>
      </c>
      <c r="D7747" s="17" t="s">
        <v>17166</v>
      </c>
      <c r="E7747" s="17"/>
      <c r="F7747" s="17" t="s">
        <v>17246</v>
      </c>
      <c r="G7747" s="17"/>
      <c r="H7747" s="17" t="s">
        <v>17310</v>
      </c>
      <c r="I7747" s="17"/>
      <c r="J7747" s="17" t="s">
        <v>17311</v>
      </c>
      <c r="K7747" s="17"/>
      <c r="L7747" s="17" t="s">
        <v>17312</v>
      </c>
      <c r="M7747" s="17" t="s">
        <v>41785</v>
      </c>
      <c r="N7747" s="17" t="s">
        <v>42024</v>
      </c>
      <c r="O7747" s="17"/>
      <c r="P7747" s="17" t="s">
        <v>42025</v>
      </c>
      <c r="Q7747" s="17"/>
      <c r="R7747" s="25" t="str">
        <f>HYPERLINK("https://ictv.global/taxonomy/taxondetails?taxnode_id=202318188","Spicivirus hachi")</f>
        <v>Spicivirus hachi</v>
      </c>
      <c r="S7747" s="18" t="s">
        <v>30</v>
      </c>
      <c r="T7747" s="18" t="s">
        <v>42030</v>
      </c>
      <c r="U7747" s="18" t="s">
        <v>42031</v>
      </c>
      <c r="V7747" s="18" t="s">
        <v>42032</v>
      </c>
      <c r="W7747" s="18" t="s">
        <v>42033</v>
      </c>
      <c r="X7747" s="18" t="s">
        <v>42</v>
      </c>
      <c r="Y7747" s="18" t="s">
        <v>17196</v>
      </c>
      <c r="Z7747" s="18" t="s">
        <v>10790</v>
      </c>
      <c r="AA7747" s="21" t="str">
        <f>HYPERLINK("https://www.ncbi.nlm.nih.gov/nuccore/MN982381","NCBI Nucleotide")</f>
        <v>NCBI Nucleotide</v>
      </c>
    </row>
    <row r="7748" spans="1:27" x14ac:dyDescent="0.35">
      <c r="A7748">
        <v>1025667</v>
      </c>
      <c r="B7748">
        <v>7207</v>
      </c>
      <c r="C7748">
        <v>1</v>
      </c>
      <c r="D7748" s="17" t="s">
        <v>17166</v>
      </c>
      <c r="E7748" s="17"/>
      <c r="F7748" s="17" t="s">
        <v>17246</v>
      </c>
      <c r="G7748" s="17"/>
      <c r="H7748" s="17" t="s">
        <v>17310</v>
      </c>
      <c r="I7748" s="17"/>
      <c r="J7748" s="17" t="s">
        <v>17311</v>
      </c>
      <c r="K7748" s="17"/>
      <c r="L7748" s="17" t="s">
        <v>17312</v>
      </c>
      <c r="M7748" s="17" t="s">
        <v>41785</v>
      </c>
      <c r="N7748" s="17" t="s">
        <v>42024</v>
      </c>
      <c r="O7748" s="17"/>
      <c r="P7748" s="17" t="s">
        <v>42025</v>
      </c>
      <c r="Q7748" s="17"/>
      <c r="R7748" s="25" t="str">
        <f>HYPERLINK("https://ictv.global/taxonomy/taxondetails?taxnode_id=202318189","Spicivirus ichi")</f>
        <v>Spicivirus ichi</v>
      </c>
      <c r="S7748" s="18" t="s">
        <v>30</v>
      </c>
      <c r="T7748" s="18" t="s">
        <v>42034</v>
      </c>
      <c r="U7748" s="18" t="s">
        <v>42035</v>
      </c>
      <c r="V7748" s="18" t="s">
        <v>42036</v>
      </c>
      <c r="W7748" s="18" t="s">
        <v>42037</v>
      </c>
      <c r="X7748" s="18" t="s">
        <v>42</v>
      </c>
      <c r="Y7748" s="18" t="s">
        <v>17196</v>
      </c>
      <c r="Z7748" s="18" t="s">
        <v>10790</v>
      </c>
      <c r="AA7748" s="21" t="str">
        <f>HYPERLINK("https://www.ncbi.nlm.nih.gov/nuccore/GU979419","NCBI Nucleotide")</f>
        <v>NCBI Nucleotide</v>
      </c>
    </row>
    <row r="7749" spans="1:27" x14ac:dyDescent="0.35">
      <c r="A7749">
        <v>1025668</v>
      </c>
      <c r="B7749">
        <v>7208</v>
      </c>
      <c r="C7749">
        <v>1</v>
      </c>
      <c r="D7749" s="17" t="s">
        <v>17166</v>
      </c>
      <c r="E7749" s="17"/>
      <c r="F7749" s="17" t="s">
        <v>17246</v>
      </c>
      <c r="G7749" s="17"/>
      <c r="H7749" s="17" t="s">
        <v>17310</v>
      </c>
      <c r="I7749" s="17"/>
      <c r="J7749" s="17" t="s">
        <v>17311</v>
      </c>
      <c r="K7749" s="17"/>
      <c r="L7749" s="17" t="s">
        <v>17312</v>
      </c>
      <c r="M7749" s="17" t="s">
        <v>41785</v>
      </c>
      <c r="N7749" s="17" t="s">
        <v>42024</v>
      </c>
      <c r="O7749" s="17"/>
      <c r="P7749" s="17" t="s">
        <v>42025</v>
      </c>
      <c r="Q7749" s="17"/>
      <c r="R7749" s="25" t="str">
        <f>HYPERLINK("https://ictv.global/taxonomy/taxondetails?taxnode_id=202318190","Spicivirus jyu")</f>
        <v>Spicivirus jyu</v>
      </c>
      <c r="S7749" s="18" t="s">
        <v>30</v>
      </c>
      <c r="T7749" s="18" t="s">
        <v>42038</v>
      </c>
      <c r="U7749" s="18" t="s">
        <v>42039</v>
      </c>
      <c r="V7749" s="18" t="s">
        <v>20057</v>
      </c>
      <c r="W7749" s="18" t="s">
        <v>42040</v>
      </c>
      <c r="X7749" s="18" t="s">
        <v>42</v>
      </c>
      <c r="Y7749" s="18" t="s">
        <v>17196</v>
      </c>
      <c r="Z7749" s="18" t="s">
        <v>10790</v>
      </c>
      <c r="AA7749" s="21" t="str">
        <f>HYPERLINK("https://www.ncbi.nlm.nih.gov/nuccore/MW227222","NCBI Nucleotide")</f>
        <v>NCBI Nucleotide</v>
      </c>
    </row>
    <row r="7750" spans="1:27" x14ac:dyDescent="0.35">
      <c r="A7750">
        <v>1025669</v>
      </c>
      <c r="B7750">
        <v>7209</v>
      </c>
      <c r="C7750">
        <v>1</v>
      </c>
      <c r="D7750" s="17" t="s">
        <v>17166</v>
      </c>
      <c r="E7750" s="17"/>
      <c r="F7750" s="17" t="s">
        <v>17246</v>
      </c>
      <c r="G7750" s="17"/>
      <c r="H7750" s="17" t="s">
        <v>17310</v>
      </c>
      <c r="I7750" s="17"/>
      <c r="J7750" s="17" t="s">
        <v>17311</v>
      </c>
      <c r="K7750" s="17"/>
      <c r="L7750" s="17" t="s">
        <v>17312</v>
      </c>
      <c r="M7750" s="17" t="s">
        <v>41785</v>
      </c>
      <c r="N7750" s="17" t="s">
        <v>42024</v>
      </c>
      <c r="O7750" s="17"/>
      <c r="P7750" s="17" t="s">
        <v>42025</v>
      </c>
      <c r="Q7750" s="17"/>
      <c r="R7750" s="25" t="str">
        <f>HYPERLINK("https://ictv.global/taxonomy/taxondetails?taxnode_id=202318191","Spicivirus jyuichi")</f>
        <v>Spicivirus jyuichi</v>
      </c>
      <c r="S7750" s="18" t="s">
        <v>30</v>
      </c>
      <c r="T7750" s="18" t="s">
        <v>42041</v>
      </c>
      <c r="U7750" s="18" t="s">
        <v>42042</v>
      </c>
      <c r="V7750" s="18" t="s">
        <v>38977</v>
      </c>
      <c r="W7750" s="18" t="s">
        <v>42043</v>
      </c>
      <c r="X7750" s="18" t="s">
        <v>42</v>
      </c>
      <c r="Y7750" s="18" t="s">
        <v>17196</v>
      </c>
      <c r="Z7750" s="18" t="s">
        <v>10790</v>
      </c>
      <c r="AA7750" s="21" t="str">
        <f>HYPERLINK("https://www.ncbi.nlm.nih.gov/nuccore/MW227223","NCBI Nucleotide")</f>
        <v>NCBI Nucleotide</v>
      </c>
    </row>
    <row r="7751" spans="1:27" x14ac:dyDescent="0.35">
      <c r="A7751">
        <v>1025670</v>
      </c>
      <c r="B7751">
        <v>7210</v>
      </c>
      <c r="C7751">
        <v>1</v>
      </c>
      <c r="D7751" s="17" t="s">
        <v>17166</v>
      </c>
      <c r="E7751" s="17"/>
      <c r="F7751" s="17" t="s">
        <v>17246</v>
      </c>
      <c r="G7751" s="17"/>
      <c r="H7751" s="17" t="s">
        <v>17310</v>
      </c>
      <c r="I7751" s="17"/>
      <c r="J7751" s="17" t="s">
        <v>17311</v>
      </c>
      <c r="K7751" s="17"/>
      <c r="L7751" s="17" t="s">
        <v>17312</v>
      </c>
      <c r="M7751" s="17" t="s">
        <v>41785</v>
      </c>
      <c r="N7751" s="17" t="s">
        <v>42024</v>
      </c>
      <c r="O7751" s="17"/>
      <c r="P7751" s="17" t="s">
        <v>42025</v>
      </c>
      <c r="Q7751" s="17"/>
      <c r="R7751" s="25" t="str">
        <f>HYPERLINK("https://ictv.global/taxonomy/taxondetails?taxnode_id=202318192","Spicivirus jyuni")</f>
        <v>Spicivirus jyuni</v>
      </c>
      <c r="S7751" s="18" t="s">
        <v>30</v>
      </c>
      <c r="T7751" s="18" t="s">
        <v>42044</v>
      </c>
      <c r="U7751" s="18" t="s">
        <v>42045</v>
      </c>
      <c r="V7751" s="18" t="s">
        <v>42046</v>
      </c>
      <c r="W7751" s="18" t="s">
        <v>42047</v>
      </c>
      <c r="X7751" s="18" t="s">
        <v>35</v>
      </c>
      <c r="Y7751" s="18" t="s">
        <v>17196</v>
      </c>
      <c r="Z7751" s="18" t="s">
        <v>10790</v>
      </c>
      <c r="AA7751" s="21" t="str">
        <f>HYPERLINK("https://www.ncbi.nlm.nih.gov/nuccore/MN764138","NCBI Nucleotide")</f>
        <v>NCBI Nucleotide</v>
      </c>
    </row>
    <row r="7752" spans="1:27" x14ac:dyDescent="0.35">
      <c r="A7752">
        <v>1025671</v>
      </c>
      <c r="B7752">
        <v>7211</v>
      </c>
      <c r="C7752">
        <v>1</v>
      </c>
      <c r="D7752" s="17" t="s">
        <v>17166</v>
      </c>
      <c r="E7752" s="17"/>
      <c r="F7752" s="17" t="s">
        <v>17246</v>
      </c>
      <c r="G7752" s="17"/>
      <c r="H7752" s="17" t="s">
        <v>17310</v>
      </c>
      <c r="I7752" s="17"/>
      <c r="J7752" s="17" t="s">
        <v>17311</v>
      </c>
      <c r="K7752" s="17"/>
      <c r="L7752" s="17" t="s">
        <v>17312</v>
      </c>
      <c r="M7752" s="17" t="s">
        <v>41785</v>
      </c>
      <c r="N7752" s="17" t="s">
        <v>42024</v>
      </c>
      <c r="O7752" s="17"/>
      <c r="P7752" s="17" t="s">
        <v>42025</v>
      </c>
      <c r="Q7752" s="17"/>
      <c r="R7752" s="25" t="str">
        <f>HYPERLINK("https://ictv.global/taxonomy/taxondetails?taxnode_id=202318193","Spicivirus jyusani")</f>
        <v>Spicivirus jyusani</v>
      </c>
      <c r="S7752" s="18" t="s">
        <v>30</v>
      </c>
      <c r="T7752" s="18" t="s">
        <v>42048</v>
      </c>
      <c r="U7752" s="18" t="s">
        <v>42049</v>
      </c>
      <c r="V7752" s="18" t="s">
        <v>42050</v>
      </c>
      <c r="W7752" s="18" t="s">
        <v>42051</v>
      </c>
      <c r="X7752" s="18" t="s">
        <v>35</v>
      </c>
      <c r="Y7752" s="18" t="s">
        <v>17196</v>
      </c>
      <c r="Z7752" s="18" t="s">
        <v>10790</v>
      </c>
      <c r="AA7752" s="21" t="str">
        <f>HYPERLINK("https://www.ncbi.nlm.nih.gov/nuccore/MN764139","NCBI Nucleotide")</f>
        <v>NCBI Nucleotide</v>
      </c>
    </row>
    <row r="7753" spans="1:27" x14ac:dyDescent="0.35">
      <c r="A7753">
        <v>1025672</v>
      </c>
      <c r="B7753">
        <v>7212</v>
      </c>
      <c r="C7753">
        <v>1</v>
      </c>
      <c r="D7753" s="17" t="s">
        <v>17166</v>
      </c>
      <c r="E7753" s="17"/>
      <c r="F7753" s="17" t="s">
        <v>17246</v>
      </c>
      <c r="G7753" s="17"/>
      <c r="H7753" s="17" t="s">
        <v>17310</v>
      </c>
      <c r="I7753" s="17"/>
      <c r="J7753" s="17" t="s">
        <v>17311</v>
      </c>
      <c r="K7753" s="17"/>
      <c r="L7753" s="17" t="s">
        <v>17312</v>
      </c>
      <c r="M7753" s="17" t="s">
        <v>41785</v>
      </c>
      <c r="N7753" s="17" t="s">
        <v>42024</v>
      </c>
      <c r="O7753" s="17"/>
      <c r="P7753" s="17" t="s">
        <v>42025</v>
      </c>
      <c r="Q7753" s="17"/>
      <c r="R7753" s="25" t="str">
        <f>HYPERLINK("https://ictv.global/taxonomy/taxondetails?taxnode_id=202318194","Spicivirus kyu")</f>
        <v>Spicivirus kyu</v>
      </c>
      <c r="S7753" s="18" t="s">
        <v>30</v>
      </c>
      <c r="T7753" s="18" t="s">
        <v>42052</v>
      </c>
      <c r="U7753" s="18" t="s">
        <v>42053</v>
      </c>
      <c r="V7753" s="18" t="s">
        <v>42054</v>
      </c>
      <c r="W7753" s="18" t="s">
        <v>42055</v>
      </c>
      <c r="X7753" s="18" t="s">
        <v>42</v>
      </c>
      <c r="Y7753" s="18" t="s">
        <v>17196</v>
      </c>
      <c r="Z7753" s="18" t="s">
        <v>10790</v>
      </c>
      <c r="AA7753" s="21" t="str">
        <f>HYPERLINK("https://www.ncbi.nlm.nih.gov/nuccore/MN803436","NCBI Nucleotide")</f>
        <v>NCBI Nucleotide</v>
      </c>
    </row>
    <row r="7754" spans="1:27" x14ac:dyDescent="0.35">
      <c r="A7754">
        <v>1025673</v>
      </c>
      <c r="B7754">
        <v>7213</v>
      </c>
      <c r="C7754">
        <v>1</v>
      </c>
      <c r="D7754" s="17" t="s">
        <v>17166</v>
      </c>
      <c r="E7754" s="17"/>
      <c r="F7754" s="17" t="s">
        <v>17246</v>
      </c>
      <c r="G7754" s="17"/>
      <c r="H7754" s="17" t="s">
        <v>17310</v>
      </c>
      <c r="I7754" s="17"/>
      <c r="J7754" s="17" t="s">
        <v>17311</v>
      </c>
      <c r="K7754" s="17"/>
      <c r="L7754" s="17" t="s">
        <v>17312</v>
      </c>
      <c r="M7754" s="17" t="s">
        <v>41785</v>
      </c>
      <c r="N7754" s="17" t="s">
        <v>42024</v>
      </c>
      <c r="O7754" s="17"/>
      <c r="P7754" s="17" t="s">
        <v>42025</v>
      </c>
      <c r="Q7754" s="17"/>
      <c r="R7754" s="25" t="str">
        <f>HYPERLINK("https://ictv.global/taxonomy/taxondetails?taxnode_id=202318195","Spicivirus ni")</f>
        <v>Spicivirus ni</v>
      </c>
      <c r="S7754" s="18" t="s">
        <v>30</v>
      </c>
      <c r="T7754" s="18" t="s">
        <v>42056</v>
      </c>
      <c r="U7754" s="18" t="s">
        <v>42057</v>
      </c>
      <c r="V7754" s="18" t="s">
        <v>42058</v>
      </c>
      <c r="W7754" s="18" t="s">
        <v>42059</v>
      </c>
      <c r="X7754" s="18" t="s">
        <v>42</v>
      </c>
      <c r="Y7754" s="18" t="s">
        <v>17196</v>
      </c>
      <c r="Z7754" s="18" t="s">
        <v>10790</v>
      </c>
      <c r="AA7754" s="21" t="str">
        <f>HYPERLINK("https://www.ncbi.nlm.nih.gov/nuccore/GU979420","NCBI Nucleotide")</f>
        <v>NCBI Nucleotide</v>
      </c>
    </row>
    <row r="7755" spans="1:27" x14ac:dyDescent="0.35">
      <c r="A7755">
        <v>1025674</v>
      </c>
      <c r="B7755">
        <v>7214</v>
      </c>
      <c r="C7755">
        <v>1</v>
      </c>
      <c r="D7755" s="17" t="s">
        <v>17166</v>
      </c>
      <c r="E7755" s="17"/>
      <c r="F7755" s="17" t="s">
        <v>17246</v>
      </c>
      <c r="G7755" s="17"/>
      <c r="H7755" s="17" t="s">
        <v>17310</v>
      </c>
      <c r="I7755" s="17"/>
      <c r="J7755" s="17" t="s">
        <v>17311</v>
      </c>
      <c r="K7755" s="17"/>
      <c r="L7755" s="17" t="s">
        <v>17312</v>
      </c>
      <c r="M7755" s="17" t="s">
        <v>41785</v>
      </c>
      <c r="N7755" s="17" t="s">
        <v>42024</v>
      </c>
      <c r="O7755" s="17"/>
      <c r="P7755" s="17" t="s">
        <v>42025</v>
      </c>
      <c r="Q7755" s="17"/>
      <c r="R7755" s="25" t="str">
        <f>HYPERLINK("https://ictv.global/taxonomy/taxondetails?taxnode_id=202318196","Spicivirus roku")</f>
        <v>Spicivirus roku</v>
      </c>
      <c r="S7755" s="18" t="s">
        <v>30</v>
      </c>
      <c r="T7755" s="18" t="s">
        <v>42060</v>
      </c>
      <c r="U7755" s="18" t="s">
        <v>42061</v>
      </c>
      <c r="V7755" s="18" t="s">
        <v>42062</v>
      </c>
      <c r="W7755" s="18" t="s">
        <v>42063</v>
      </c>
      <c r="X7755" s="18" t="s">
        <v>35</v>
      </c>
      <c r="Y7755" s="18" t="s">
        <v>17196</v>
      </c>
      <c r="Z7755" s="18" t="s">
        <v>10790</v>
      </c>
      <c r="AA7755" s="21" t="str">
        <f>HYPERLINK("https://www.ncbi.nlm.nih.gov/nuccore/MN053720","NCBI Nucleotide")</f>
        <v>NCBI Nucleotide</v>
      </c>
    </row>
    <row r="7756" spans="1:27" x14ac:dyDescent="0.35">
      <c r="A7756">
        <v>1025675</v>
      </c>
      <c r="B7756">
        <v>7215</v>
      </c>
      <c r="C7756">
        <v>1</v>
      </c>
      <c r="D7756" s="17" t="s">
        <v>17166</v>
      </c>
      <c r="E7756" s="17"/>
      <c r="F7756" s="17" t="s">
        <v>17246</v>
      </c>
      <c r="G7756" s="17"/>
      <c r="H7756" s="17" t="s">
        <v>17310</v>
      </c>
      <c r="I7756" s="17"/>
      <c r="J7756" s="17" t="s">
        <v>17311</v>
      </c>
      <c r="K7756" s="17"/>
      <c r="L7756" s="17" t="s">
        <v>17312</v>
      </c>
      <c r="M7756" s="17" t="s">
        <v>41785</v>
      </c>
      <c r="N7756" s="17" t="s">
        <v>42024</v>
      </c>
      <c r="O7756" s="17"/>
      <c r="P7756" s="17" t="s">
        <v>42025</v>
      </c>
      <c r="Q7756" s="17"/>
      <c r="R7756" s="25" t="str">
        <f>HYPERLINK("https://ictv.global/taxonomy/taxondetails?taxnode_id=202318197","Spicivirus sani")</f>
        <v>Spicivirus sani</v>
      </c>
      <c r="S7756" s="18" t="s">
        <v>30</v>
      </c>
      <c r="T7756" s="18" t="s">
        <v>42064</v>
      </c>
      <c r="U7756" s="18" t="s">
        <v>42065</v>
      </c>
      <c r="V7756" s="18" t="s">
        <v>42066</v>
      </c>
      <c r="W7756" s="18" t="s">
        <v>42067</v>
      </c>
      <c r="X7756" s="18" t="s">
        <v>42</v>
      </c>
      <c r="Y7756" s="18" t="s">
        <v>17196</v>
      </c>
      <c r="Z7756" s="18" t="s">
        <v>13441</v>
      </c>
      <c r="AA7756" s="21" t="str">
        <f>HYPERLINK("https://www.ncbi.nlm.nih.gov/nuccore/AB735629","NCBI Nucleotide")</f>
        <v>NCBI Nucleotide</v>
      </c>
    </row>
    <row r="7757" spans="1:27" x14ac:dyDescent="0.35">
      <c r="A7757">
        <v>1025676</v>
      </c>
      <c r="B7757">
        <v>7216</v>
      </c>
      <c r="C7757">
        <v>1</v>
      </c>
      <c r="D7757" s="17" t="s">
        <v>17166</v>
      </c>
      <c r="E7757" s="17"/>
      <c r="F7757" s="17" t="s">
        <v>17246</v>
      </c>
      <c r="G7757" s="17"/>
      <c r="H7757" s="17" t="s">
        <v>17310</v>
      </c>
      <c r="I7757" s="17"/>
      <c r="J7757" s="17" t="s">
        <v>17311</v>
      </c>
      <c r="K7757" s="17"/>
      <c r="L7757" s="17" t="s">
        <v>17312</v>
      </c>
      <c r="M7757" s="17" t="s">
        <v>41785</v>
      </c>
      <c r="N7757" s="17" t="s">
        <v>42024</v>
      </c>
      <c r="O7757" s="17"/>
      <c r="P7757" s="17" t="s">
        <v>42025</v>
      </c>
      <c r="Q7757" s="17"/>
      <c r="R7757" s="25" t="str">
        <f>HYPERLINK("https://ictv.global/taxonomy/taxondetails?taxnode_id=202318198","Spicivirus shi")</f>
        <v>Spicivirus shi</v>
      </c>
      <c r="S7757" s="18" t="s">
        <v>30</v>
      </c>
      <c r="T7757" s="18" t="s">
        <v>42068</v>
      </c>
      <c r="U7757" s="18" t="s">
        <v>42069</v>
      </c>
      <c r="V7757" s="18" t="s">
        <v>42070</v>
      </c>
      <c r="W7757" s="18" t="s">
        <v>42071</v>
      </c>
      <c r="X7757" s="18" t="s">
        <v>35</v>
      </c>
      <c r="Y7757" s="18" t="s">
        <v>17196</v>
      </c>
      <c r="Z7757" s="18" t="s">
        <v>10790</v>
      </c>
      <c r="AA7757" s="21" t="str">
        <f>HYPERLINK("https://www.ncbi.nlm.nih.gov/nuccore/KX882938","NCBI Nucleotide")</f>
        <v>NCBI Nucleotide</v>
      </c>
    </row>
    <row r="7758" spans="1:27" x14ac:dyDescent="0.35">
      <c r="A7758">
        <v>1025677</v>
      </c>
      <c r="B7758">
        <v>7217</v>
      </c>
      <c r="C7758">
        <v>1</v>
      </c>
      <c r="D7758" s="17" t="s">
        <v>17166</v>
      </c>
      <c r="E7758" s="17"/>
      <c r="F7758" s="17" t="s">
        <v>17246</v>
      </c>
      <c r="G7758" s="17"/>
      <c r="H7758" s="17" t="s">
        <v>17310</v>
      </c>
      <c r="I7758" s="17"/>
      <c r="J7758" s="17" t="s">
        <v>17311</v>
      </c>
      <c r="K7758" s="17"/>
      <c r="L7758" s="17" t="s">
        <v>17312</v>
      </c>
      <c r="M7758" s="17" t="s">
        <v>41785</v>
      </c>
      <c r="N7758" s="17" t="s">
        <v>42024</v>
      </c>
      <c r="O7758" s="17"/>
      <c r="P7758" s="17" t="s">
        <v>42025</v>
      </c>
      <c r="Q7758" s="17"/>
      <c r="R7758" s="25" t="str">
        <f>HYPERLINK("https://ictv.global/taxonomy/taxondetails?taxnode_id=202318199","Spicivirus shichi")</f>
        <v>Spicivirus shichi</v>
      </c>
      <c r="S7758" s="18" t="s">
        <v>30</v>
      </c>
      <c r="T7758" s="18" t="s">
        <v>42072</v>
      </c>
      <c r="U7758" s="18" t="s">
        <v>42073</v>
      </c>
      <c r="V7758" s="18" t="s">
        <v>42074</v>
      </c>
      <c r="W7758" s="18" t="s">
        <v>42075</v>
      </c>
      <c r="X7758" s="18" t="s">
        <v>35</v>
      </c>
      <c r="Y7758" s="18" t="s">
        <v>17196</v>
      </c>
      <c r="Z7758" s="18" t="s">
        <v>10790</v>
      </c>
      <c r="AA7758" s="21" t="str">
        <f>HYPERLINK("https://www.ncbi.nlm.nih.gov/nuccore/LC514295","NCBI Nucleotide")</f>
        <v>NCBI Nucleotide</v>
      </c>
    </row>
    <row r="7759" spans="1:27" x14ac:dyDescent="0.35">
      <c r="A7759">
        <v>1025639</v>
      </c>
      <c r="B7759">
        <v>7218</v>
      </c>
      <c r="C7759">
        <v>1</v>
      </c>
      <c r="D7759" s="17" t="s">
        <v>17166</v>
      </c>
      <c r="E7759" s="17"/>
      <c r="F7759" s="17" t="s">
        <v>17246</v>
      </c>
      <c r="G7759" s="17"/>
      <c r="H7759" s="17" t="s">
        <v>17310</v>
      </c>
      <c r="I7759" s="17"/>
      <c r="J7759" s="17" t="s">
        <v>17311</v>
      </c>
      <c r="K7759" s="17"/>
      <c r="L7759" s="17" t="s">
        <v>17312</v>
      </c>
      <c r="M7759" s="17" t="s">
        <v>42076</v>
      </c>
      <c r="N7759" s="17" t="s">
        <v>42077</v>
      </c>
      <c r="O7759" s="17"/>
      <c r="P7759" s="17" t="s">
        <v>42078</v>
      </c>
      <c r="Q7759" s="17"/>
      <c r="R7759" s="25" t="str">
        <f>HYPERLINK("https://ictv.global/taxonomy/taxondetails?taxnode_id=202318200","Artivirus go")</f>
        <v>Artivirus go</v>
      </c>
      <c r="S7759" s="18" t="s">
        <v>30</v>
      </c>
      <c r="T7759" s="18" t="s">
        <v>42079</v>
      </c>
      <c r="U7759" s="18" t="s">
        <v>42080</v>
      </c>
      <c r="V7759" s="18" t="s">
        <v>42081</v>
      </c>
      <c r="W7759" s="18" t="s">
        <v>42082</v>
      </c>
      <c r="X7759" s="18" t="s">
        <v>35</v>
      </c>
      <c r="Y7759" s="18" t="s">
        <v>17196</v>
      </c>
      <c r="Z7759" s="18" t="s">
        <v>10790</v>
      </c>
      <c r="AA7759" s="21" t="str">
        <f>HYPERLINK("https://www.ncbi.nlm.nih.gov/nuccore/KX882995","NCBI Nucleotide")</f>
        <v>NCBI Nucleotide</v>
      </c>
    </row>
    <row r="7760" spans="1:27" x14ac:dyDescent="0.35">
      <c r="A7760">
        <v>1025640</v>
      </c>
      <c r="B7760">
        <v>7219</v>
      </c>
      <c r="C7760">
        <v>1</v>
      </c>
      <c r="D7760" s="17" t="s">
        <v>17166</v>
      </c>
      <c r="E7760" s="17"/>
      <c r="F7760" s="17" t="s">
        <v>17246</v>
      </c>
      <c r="G7760" s="17"/>
      <c r="H7760" s="17" t="s">
        <v>17310</v>
      </c>
      <c r="I7760" s="17"/>
      <c r="J7760" s="17" t="s">
        <v>17311</v>
      </c>
      <c r="K7760" s="17"/>
      <c r="L7760" s="17" t="s">
        <v>17312</v>
      </c>
      <c r="M7760" s="17" t="s">
        <v>42076</v>
      </c>
      <c r="N7760" s="17" t="s">
        <v>42077</v>
      </c>
      <c r="O7760" s="17"/>
      <c r="P7760" s="17" t="s">
        <v>42078</v>
      </c>
      <c r="Q7760" s="17"/>
      <c r="R7760" s="25" t="str">
        <f>HYPERLINK("https://ictv.global/taxonomy/taxondetails?taxnode_id=202318201","Artivirus hachi")</f>
        <v>Artivirus hachi</v>
      </c>
      <c r="S7760" s="18" t="s">
        <v>30</v>
      </c>
      <c r="T7760" s="18" t="s">
        <v>42083</v>
      </c>
      <c r="U7760" s="18" t="s">
        <v>42084</v>
      </c>
      <c r="V7760" s="18" t="s">
        <v>42085</v>
      </c>
      <c r="W7760" s="18" t="s">
        <v>42086</v>
      </c>
      <c r="X7760" s="18" t="s">
        <v>35</v>
      </c>
      <c r="Y7760" s="18" t="s">
        <v>17196</v>
      </c>
      <c r="Z7760" s="18" t="s">
        <v>10790</v>
      </c>
      <c r="AA7760" s="21" t="str">
        <f>HYPERLINK("https://www.ncbi.nlm.nih.gov/nuccore/KX882989","NCBI Nucleotide")</f>
        <v>NCBI Nucleotide</v>
      </c>
    </row>
    <row r="7761" spans="1:27" x14ac:dyDescent="0.35">
      <c r="A7761">
        <v>1025641</v>
      </c>
      <c r="B7761">
        <v>7220</v>
      </c>
      <c r="C7761">
        <v>1</v>
      </c>
      <c r="D7761" s="17" t="s">
        <v>17166</v>
      </c>
      <c r="E7761" s="17"/>
      <c r="F7761" s="17" t="s">
        <v>17246</v>
      </c>
      <c r="G7761" s="17"/>
      <c r="H7761" s="17" t="s">
        <v>17310</v>
      </c>
      <c r="I7761" s="17"/>
      <c r="J7761" s="17" t="s">
        <v>17311</v>
      </c>
      <c r="K7761" s="17"/>
      <c r="L7761" s="17" t="s">
        <v>17312</v>
      </c>
      <c r="M7761" s="17" t="s">
        <v>42076</v>
      </c>
      <c r="N7761" s="17" t="s">
        <v>42077</v>
      </c>
      <c r="O7761" s="17"/>
      <c r="P7761" s="17" t="s">
        <v>42078</v>
      </c>
      <c r="Q7761" s="17"/>
      <c r="R7761" s="25" t="str">
        <f>HYPERLINK("https://ictv.global/taxonomy/taxondetails?taxnode_id=202318202","Artivirus ichi")</f>
        <v>Artivirus ichi</v>
      </c>
      <c r="S7761" s="18" t="s">
        <v>30</v>
      </c>
      <c r="T7761" s="18" t="s">
        <v>42087</v>
      </c>
      <c r="U7761" s="18" t="s">
        <v>42088</v>
      </c>
      <c r="V7761" s="18" t="s">
        <v>42089</v>
      </c>
      <c r="W7761" s="18" t="s">
        <v>42090</v>
      </c>
      <c r="X7761" s="18" t="s">
        <v>42</v>
      </c>
      <c r="Y7761" s="18" t="s">
        <v>17196</v>
      </c>
      <c r="Z7761" s="18" t="s">
        <v>10790</v>
      </c>
      <c r="AA7761" s="21" t="str">
        <f>HYPERLINK("https://www.ncbi.nlm.nih.gov/nuccore/AY570982","NCBI Nucleotide")</f>
        <v>NCBI Nucleotide</v>
      </c>
    </row>
    <row r="7762" spans="1:27" x14ac:dyDescent="0.35">
      <c r="A7762">
        <v>1025642</v>
      </c>
      <c r="B7762">
        <v>7221</v>
      </c>
      <c r="C7762">
        <v>1</v>
      </c>
      <c r="D7762" s="17" t="s">
        <v>17166</v>
      </c>
      <c r="E7762" s="17"/>
      <c r="F7762" s="17" t="s">
        <v>17246</v>
      </c>
      <c r="G7762" s="17"/>
      <c r="H7762" s="17" t="s">
        <v>17310</v>
      </c>
      <c r="I7762" s="17"/>
      <c r="J7762" s="17" t="s">
        <v>17311</v>
      </c>
      <c r="K7762" s="17"/>
      <c r="L7762" s="17" t="s">
        <v>17312</v>
      </c>
      <c r="M7762" s="17" t="s">
        <v>42076</v>
      </c>
      <c r="N7762" s="17" t="s">
        <v>42077</v>
      </c>
      <c r="O7762" s="17"/>
      <c r="P7762" s="17" t="s">
        <v>42078</v>
      </c>
      <c r="Q7762" s="17"/>
      <c r="R7762" s="25" t="str">
        <f>HYPERLINK("https://ictv.global/taxonomy/taxondetails?taxnode_id=202318203","Artivirus kyu")</f>
        <v>Artivirus kyu</v>
      </c>
      <c r="S7762" s="18" t="s">
        <v>30</v>
      </c>
      <c r="T7762" s="18" t="s">
        <v>42091</v>
      </c>
      <c r="U7762" s="18" t="s">
        <v>42092</v>
      </c>
      <c r="V7762" s="18" t="s">
        <v>42093</v>
      </c>
      <c r="W7762" s="18" t="s">
        <v>42094</v>
      </c>
      <c r="X7762" s="18" t="s">
        <v>35</v>
      </c>
      <c r="Y7762" s="18" t="s">
        <v>17196</v>
      </c>
      <c r="Z7762" s="18" t="s">
        <v>10790</v>
      </c>
      <c r="AA7762" s="21" t="str">
        <f>HYPERLINK("https://www.ncbi.nlm.nih.gov/nuccore/MT293125","NCBI Nucleotide")</f>
        <v>NCBI Nucleotide</v>
      </c>
    </row>
    <row r="7763" spans="1:27" x14ac:dyDescent="0.35">
      <c r="A7763">
        <v>1025643</v>
      </c>
      <c r="B7763">
        <v>7222</v>
      </c>
      <c r="C7763">
        <v>1</v>
      </c>
      <c r="D7763" s="17" t="s">
        <v>17166</v>
      </c>
      <c r="E7763" s="17"/>
      <c r="F7763" s="17" t="s">
        <v>17246</v>
      </c>
      <c r="G7763" s="17"/>
      <c r="H7763" s="17" t="s">
        <v>17310</v>
      </c>
      <c r="I7763" s="17"/>
      <c r="J7763" s="17" t="s">
        <v>17311</v>
      </c>
      <c r="K7763" s="17"/>
      <c r="L7763" s="17" t="s">
        <v>17312</v>
      </c>
      <c r="M7763" s="17" t="s">
        <v>42076</v>
      </c>
      <c r="N7763" s="17" t="s">
        <v>42077</v>
      </c>
      <c r="O7763" s="17"/>
      <c r="P7763" s="17" t="s">
        <v>42078</v>
      </c>
      <c r="Q7763" s="17"/>
      <c r="R7763" s="25" t="str">
        <f>HYPERLINK("https://ictv.global/taxonomy/taxondetails?taxnode_id=202318204","Artivirus ni")</f>
        <v>Artivirus ni</v>
      </c>
      <c r="S7763" s="18" t="s">
        <v>30</v>
      </c>
      <c r="T7763" s="18" t="s">
        <v>42095</v>
      </c>
      <c r="U7763" s="18" t="s">
        <v>20277</v>
      </c>
      <c r="V7763" s="18" t="s">
        <v>20483</v>
      </c>
      <c r="W7763" s="18" t="s">
        <v>42096</v>
      </c>
      <c r="X7763" s="18" t="s">
        <v>42</v>
      </c>
      <c r="Y7763" s="18" t="s">
        <v>17196</v>
      </c>
      <c r="Z7763" s="18" t="s">
        <v>10790</v>
      </c>
      <c r="AA7763" s="21" t="str">
        <f>HYPERLINK("https://www.ncbi.nlm.nih.gov/nuccore/GQ342961","NCBI Nucleotide")</f>
        <v>NCBI Nucleotide</v>
      </c>
    </row>
    <row r="7764" spans="1:27" x14ac:dyDescent="0.35">
      <c r="A7764">
        <v>1025644</v>
      </c>
      <c r="B7764">
        <v>7223</v>
      </c>
      <c r="C7764">
        <v>1</v>
      </c>
      <c r="D7764" s="17" t="s">
        <v>17166</v>
      </c>
      <c r="E7764" s="17"/>
      <c r="F7764" s="17" t="s">
        <v>17246</v>
      </c>
      <c r="G7764" s="17"/>
      <c r="H7764" s="17" t="s">
        <v>17310</v>
      </c>
      <c r="I7764" s="17"/>
      <c r="J7764" s="17" t="s">
        <v>17311</v>
      </c>
      <c r="K7764" s="17"/>
      <c r="L7764" s="17" t="s">
        <v>17312</v>
      </c>
      <c r="M7764" s="17" t="s">
        <v>42076</v>
      </c>
      <c r="N7764" s="17" t="s">
        <v>42077</v>
      </c>
      <c r="O7764" s="17"/>
      <c r="P7764" s="17" t="s">
        <v>42078</v>
      </c>
      <c r="Q7764" s="17"/>
      <c r="R7764" s="25" t="str">
        <f>HYPERLINK("https://ictv.global/taxonomy/taxondetails?taxnode_id=202318205","Artivirus roku")</f>
        <v>Artivirus roku</v>
      </c>
      <c r="S7764" s="18" t="s">
        <v>30</v>
      </c>
      <c r="T7764" s="18" t="s">
        <v>42097</v>
      </c>
      <c r="U7764" s="18" t="s">
        <v>42098</v>
      </c>
      <c r="V7764" s="18" t="s">
        <v>42099</v>
      </c>
      <c r="W7764" s="18" t="s">
        <v>42100</v>
      </c>
      <c r="X7764" s="18" t="s">
        <v>35</v>
      </c>
      <c r="Y7764" s="18" t="s">
        <v>17196</v>
      </c>
      <c r="Z7764" s="18" t="s">
        <v>10790</v>
      </c>
      <c r="AA7764" s="21" t="str">
        <f>HYPERLINK("https://www.ncbi.nlm.nih.gov/nuccore/KX882972","NCBI Nucleotide")</f>
        <v>NCBI Nucleotide</v>
      </c>
    </row>
    <row r="7765" spans="1:27" x14ac:dyDescent="0.35">
      <c r="A7765">
        <v>1025645</v>
      </c>
      <c r="B7765">
        <v>7224</v>
      </c>
      <c r="C7765">
        <v>1</v>
      </c>
      <c r="D7765" s="17" t="s">
        <v>17166</v>
      </c>
      <c r="E7765" s="17"/>
      <c r="F7765" s="17" t="s">
        <v>17246</v>
      </c>
      <c r="G7765" s="17"/>
      <c r="H7765" s="17" t="s">
        <v>17310</v>
      </c>
      <c r="I7765" s="17"/>
      <c r="J7765" s="17" t="s">
        <v>17311</v>
      </c>
      <c r="K7765" s="17"/>
      <c r="L7765" s="17" t="s">
        <v>17312</v>
      </c>
      <c r="M7765" s="17" t="s">
        <v>42076</v>
      </c>
      <c r="N7765" s="17" t="s">
        <v>42077</v>
      </c>
      <c r="O7765" s="17"/>
      <c r="P7765" s="17" t="s">
        <v>42078</v>
      </c>
      <c r="Q7765" s="17"/>
      <c r="R7765" s="25" t="str">
        <f>HYPERLINK("https://ictv.global/taxonomy/taxondetails?taxnode_id=202318206","Artivirus sani")</f>
        <v>Artivirus sani</v>
      </c>
      <c r="S7765" s="18" t="s">
        <v>30</v>
      </c>
      <c r="T7765" s="18" t="s">
        <v>42101</v>
      </c>
      <c r="U7765" s="18" t="s">
        <v>42102</v>
      </c>
      <c r="V7765" s="18" t="s">
        <v>42103</v>
      </c>
      <c r="W7765" s="18" t="s">
        <v>42104</v>
      </c>
      <c r="X7765" s="18" t="s">
        <v>42</v>
      </c>
      <c r="Y7765" s="18" t="s">
        <v>17196</v>
      </c>
      <c r="Z7765" s="18" t="s">
        <v>10790</v>
      </c>
      <c r="AA7765" s="21" t="str">
        <f>HYPERLINK("https://www.ncbi.nlm.nih.gov/nuccore/EU715328","NCBI Nucleotide")</f>
        <v>NCBI Nucleotide</v>
      </c>
    </row>
    <row r="7766" spans="1:27" x14ac:dyDescent="0.35">
      <c r="A7766">
        <v>1025646</v>
      </c>
      <c r="B7766">
        <v>7225</v>
      </c>
      <c r="C7766">
        <v>1</v>
      </c>
      <c r="D7766" s="17" t="s">
        <v>17166</v>
      </c>
      <c r="E7766" s="17"/>
      <c r="F7766" s="17" t="s">
        <v>17246</v>
      </c>
      <c r="G7766" s="17"/>
      <c r="H7766" s="17" t="s">
        <v>17310</v>
      </c>
      <c r="I7766" s="17"/>
      <c r="J7766" s="17" t="s">
        <v>17311</v>
      </c>
      <c r="K7766" s="17"/>
      <c r="L7766" s="17" t="s">
        <v>17312</v>
      </c>
      <c r="M7766" s="17" t="s">
        <v>42076</v>
      </c>
      <c r="N7766" s="17" t="s">
        <v>42077</v>
      </c>
      <c r="O7766" s="17"/>
      <c r="P7766" s="17" t="s">
        <v>42078</v>
      </c>
      <c r="Q7766" s="17"/>
      <c r="R7766" s="25" t="str">
        <f>HYPERLINK("https://ictv.global/taxonomy/taxondetails?taxnode_id=202318207","Artivirus shi")</f>
        <v>Artivirus shi</v>
      </c>
      <c r="S7766" s="18" t="s">
        <v>30</v>
      </c>
      <c r="T7766" s="18" t="s">
        <v>42105</v>
      </c>
      <c r="U7766" s="18" t="s">
        <v>42106</v>
      </c>
      <c r="V7766" s="18" t="s">
        <v>42107</v>
      </c>
      <c r="W7766" s="18" t="s">
        <v>42108</v>
      </c>
      <c r="X7766" s="18" t="s">
        <v>42</v>
      </c>
      <c r="Y7766" s="18" t="s">
        <v>17196</v>
      </c>
      <c r="Z7766" s="18" t="s">
        <v>10790</v>
      </c>
      <c r="AA7766" s="21" t="str">
        <f>HYPERLINK("https://www.ncbi.nlm.nih.gov/nuccore/AB555544","NCBI Nucleotide")</f>
        <v>NCBI Nucleotide</v>
      </c>
    </row>
    <row r="7767" spans="1:27" x14ac:dyDescent="0.35">
      <c r="A7767">
        <v>1025647</v>
      </c>
      <c r="B7767">
        <v>7226</v>
      </c>
      <c r="C7767">
        <v>1</v>
      </c>
      <c r="D7767" s="17" t="s">
        <v>17166</v>
      </c>
      <c r="E7767" s="17"/>
      <c r="F7767" s="17" t="s">
        <v>17246</v>
      </c>
      <c r="G7767" s="17"/>
      <c r="H7767" s="17" t="s">
        <v>17310</v>
      </c>
      <c r="I7767" s="17"/>
      <c r="J7767" s="17" t="s">
        <v>17311</v>
      </c>
      <c r="K7767" s="17"/>
      <c r="L7767" s="17" t="s">
        <v>17312</v>
      </c>
      <c r="M7767" s="17" t="s">
        <v>42076</v>
      </c>
      <c r="N7767" s="17" t="s">
        <v>42077</v>
      </c>
      <c r="O7767" s="17"/>
      <c r="P7767" s="17" t="s">
        <v>42078</v>
      </c>
      <c r="Q7767" s="17"/>
      <c r="R7767" s="25" t="str">
        <f>HYPERLINK("https://ictv.global/taxonomy/taxondetails?taxnode_id=202318208","Artivirus shichi")</f>
        <v>Artivirus shichi</v>
      </c>
      <c r="S7767" s="18" t="s">
        <v>30</v>
      </c>
      <c r="T7767" s="18" t="s">
        <v>42109</v>
      </c>
      <c r="U7767" s="18" t="s">
        <v>42110</v>
      </c>
      <c r="V7767" s="18" t="s">
        <v>42111</v>
      </c>
      <c r="W7767" s="18" t="s">
        <v>42112</v>
      </c>
      <c r="X7767" s="18" t="s">
        <v>35</v>
      </c>
      <c r="Y7767" s="18" t="s">
        <v>17196</v>
      </c>
      <c r="Z7767" s="18" t="s">
        <v>10790</v>
      </c>
      <c r="AA7767" s="21" t="str">
        <f>HYPERLINK("https://www.ncbi.nlm.nih.gov/nuccore/KX882992","NCBI Nucleotide")</f>
        <v>NCBI Nucleotide</v>
      </c>
    </row>
    <row r="7768" spans="1:27" x14ac:dyDescent="0.35">
      <c r="A7768">
        <v>1008394</v>
      </c>
      <c r="B7768">
        <v>7227</v>
      </c>
      <c r="C7768">
        <v>1</v>
      </c>
      <c r="D7768" s="17" t="s">
        <v>17166</v>
      </c>
      <c r="E7768" s="17"/>
      <c r="F7768" s="17" t="s">
        <v>17246</v>
      </c>
      <c r="G7768" s="17"/>
      <c r="H7768" s="17" t="s">
        <v>17310</v>
      </c>
      <c r="I7768" s="17"/>
      <c r="J7768" s="17" t="s">
        <v>17311</v>
      </c>
      <c r="K7768" s="17"/>
      <c r="L7768" s="17" t="s">
        <v>17312</v>
      </c>
      <c r="M7768" s="17" t="s">
        <v>42076</v>
      </c>
      <c r="N7768" s="17" t="s">
        <v>42113</v>
      </c>
      <c r="O7768" s="17"/>
      <c r="P7768" s="17" t="s">
        <v>17491</v>
      </c>
      <c r="Q7768" s="17"/>
      <c r="R7768" s="25" t="str">
        <f>HYPERLINK("https://ictv.global/taxonomy/taxondetails?taxnode_id=202305288","Giardiavirus ichi")</f>
        <v>Giardiavirus ichi</v>
      </c>
      <c r="S7768" s="18" t="s">
        <v>30</v>
      </c>
      <c r="T7768" s="18" t="s">
        <v>17492</v>
      </c>
      <c r="U7768" s="18" t="s">
        <v>17493</v>
      </c>
      <c r="V7768" s="18" t="s">
        <v>17494</v>
      </c>
      <c r="W7768" s="18" t="s">
        <v>17495</v>
      </c>
      <c r="X7768" s="18" t="s">
        <v>42</v>
      </c>
      <c r="Y7768" s="18" t="s">
        <v>17196</v>
      </c>
      <c r="Z7768" s="18" t="s">
        <v>17496</v>
      </c>
      <c r="AA7768" s="21" t="str">
        <f>HYPERLINK("https://www.ncbi.nlm.nih.gov/nuccore/L13218","NCBI Nucleotide")</f>
        <v>NCBI Nucleotide</v>
      </c>
    </row>
    <row r="7769" spans="1:27" x14ac:dyDescent="0.35">
      <c r="A7769">
        <v>1025723</v>
      </c>
      <c r="B7769">
        <v>7228</v>
      </c>
      <c r="C7769">
        <v>1</v>
      </c>
      <c r="D7769" s="17" t="s">
        <v>17166</v>
      </c>
      <c r="E7769" s="17"/>
      <c r="F7769" s="17" t="s">
        <v>17246</v>
      </c>
      <c r="G7769" s="17"/>
      <c r="H7769" s="17" t="s">
        <v>17310</v>
      </c>
      <c r="I7769" s="17"/>
      <c r="J7769" s="17" t="s">
        <v>17311</v>
      </c>
      <c r="K7769" s="17"/>
      <c r="L7769" s="17" t="s">
        <v>17312</v>
      </c>
      <c r="M7769" s="17" t="s">
        <v>42076</v>
      </c>
      <c r="N7769" s="17" t="s">
        <v>42114</v>
      </c>
      <c r="O7769" s="17"/>
      <c r="P7769" s="17" t="s">
        <v>42115</v>
      </c>
      <c r="Q7769" s="17"/>
      <c r="R7769" s="25" t="str">
        <f>HYPERLINK("https://ictv.global/taxonomy/taxondetails?taxnode_id=202318209","Insevirus go")</f>
        <v>Insevirus go</v>
      </c>
      <c r="S7769" s="18" t="s">
        <v>30</v>
      </c>
      <c r="T7769" s="18" t="s">
        <v>42116</v>
      </c>
      <c r="U7769" s="18" t="s">
        <v>42117</v>
      </c>
      <c r="V7769" s="18" t="s">
        <v>42118</v>
      </c>
      <c r="W7769" s="18" t="s">
        <v>42119</v>
      </c>
      <c r="X7769" s="18" t="s">
        <v>35</v>
      </c>
      <c r="Y7769" s="18" t="s">
        <v>17196</v>
      </c>
      <c r="Z7769" s="18" t="s">
        <v>10790</v>
      </c>
      <c r="AA7769" s="21" t="str">
        <f>HYPERLINK("https://www.ncbi.nlm.nih.gov/nuccore/KX882956","NCBI Nucleotide")</f>
        <v>NCBI Nucleotide</v>
      </c>
    </row>
    <row r="7770" spans="1:27" x14ac:dyDescent="0.35">
      <c r="A7770">
        <v>1025724</v>
      </c>
      <c r="B7770">
        <v>7229</v>
      </c>
      <c r="C7770">
        <v>1</v>
      </c>
      <c r="D7770" s="17" t="s">
        <v>17166</v>
      </c>
      <c r="E7770" s="17"/>
      <c r="F7770" s="17" t="s">
        <v>17246</v>
      </c>
      <c r="G7770" s="17"/>
      <c r="H7770" s="17" t="s">
        <v>17310</v>
      </c>
      <c r="I7770" s="17"/>
      <c r="J7770" s="17" t="s">
        <v>17311</v>
      </c>
      <c r="K7770" s="17"/>
      <c r="L7770" s="17" t="s">
        <v>17312</v>
      </c>
      <c r="M7770" s="17" t="s">
        <v>42076</v>
      </c>
      <c r="N7770" s="17" t="s">
        <v>42114</v>
      </c>
      <c r="O7770" s="17"/>
      <c r="P7770" s="17" t="s">
        <v>42115</v>
      </c>
      <c r="Q7770" s="17"/>
      <c r="R7770" s="25" t="str">
        <f>HYPERLINK("https://ictv.global/taxonomy/taxondetails?taxnode_id=202318210","Insevirus hachi")</f>
        <v>Insevirus hachi</v>
      </c>
      <c r="S7770" s="18" t="s">
        <v>30</v>
      </c>
      <c r="T7770" s="18" t="s">
        <v>42120</v>
      </c>
      <c r="U7770" s="18" t="s">
        <v>42121</v>
      </c>
      <c r="V7770" s="18" t="s">
        <v>42122</v>
      </c>
      <c r="W7770" s="18" t="s">
        <v>42123</v>
      </c>
      <c r="X7770" s="18" t="s">
        <v>35</v>
      </c>
      <c r="Y7770" s="18" t="s">
        <v>17196</v>
      </c>
      <c r="Z7770" s="18" t="s">
        <v>10790</v>
      </c>
      <c r="AA7770" s="21" t="str">
        <f>HYPERLINK("https://www.ncbi.nlm.nih.gov/nuccore/KX882977","NCBI Nucleotide")</f>
        <v>NCBI Nucleotide</v>
      </c>
    </row>
    <row r="7771" spans="1:27" x14ac:dyDescent="0.35">
      <c r="A7771">
        <v>1025725</v>
      </c>
      <c r="B7771">
        <v>7230</v>
      </c>
      <c r="C7771">
        <v>1</v>
      </c>
      <c r="D7771" s="17" t="s">
        <v>17166</v>
      </c>
      <c r="E7771" s="17"/>
      <c r="F7771" s="17" t="s">
        <v>17246</v>
      </c>
      <c r="G7771" s="17"/>
      <c r="H7771" s="17" t="s">
        <v>17310</v>
      </c>
      <c r="I7771" s="17"/>
      <c r="J7771" s="17" t="s">
        <v>17311</v>
      </c>
      <c r="K7771" s="17"/>
      <c r="L7771" s="17" t="s">
        <v>17312</v>
      </c>
      <c r="M7771" s="17" t="s">
        <v>42076</v>
      </c>
      <c r="N7771" s="17" t="s">
        <v>42114</v>
      </c>
      <c r="O7771" s="17"/>
      <c r="P7771" s="17" t="s">
        <v>42115</v>
      </c>
      <c r="Q7771" s="17"/>
      <c r="R7771" s="25" t="str">
        <f>HYPERLINK("https://ictv.global/taxonomy/taxondetails?taxnode_id=202318211","Insevirus ichi")</f>
        <v>Insevirus ichi</v>
      </c>
      <c r="S7771" s="18" t="s">
        <v>30</v>
      </c>
      <c r="T7771" s="18" t="s">
        <v>42124</v>
      </c>
      <c r="U7771" s="18" t="s">
        <v>42125</v>
      </c>
      <c r="V7771" s="18" t="s">
        <v>42126</v>
      </c>
      <c r="W7771" s="18" t="s">
        <v>42127</v>
      </c>
      <c r="X7771" s="18" t="s">
        <v>42</v>
      </c>
      <c r="Y7771" s="18" t="s">
        <v>17196</v>
      </c>
      <c r="Z7771" s="18" t="s">
        <v>10790</v>
      </c>
      <c r="AA7771" s="21" t="str">
        <f>HYPERLINK("https://www.ncbi.nlm.nih.gov/nuccore/LC026053","NCBI Nucleotide")</f>
        <v>NCBI Nucleotide</v>
      </c>
    </row>
    <row r="7772" spans="1:27" x14ac:dyDescent="0.35">
      <c r="A7772">
        <v>1025726</v>
      </c>
      <c r="B7772">
        <v>7231</v>
      </c>
      <c r="C7772">
        <v>1</v>
      </c>
      <c r="D7772" s="17" t="s">
        <v>17166</v>
      </c>
      <c r="E7772" s="17"/>
      <c r="F7772" s="17" t="s">
        <v>17246</v>
      </c>
      <c r="G7772" s="17"/>
      <c r="H7772" s="17" t="s">
        <v>17310</v>
      </c>
      <c r="I7772" s="17"/>
      <c r="J7772" s="17" t="s">
        <v>17311</v>
      </c>
      <c r="K7772" s="17"/>
      <c r="L7772" s="17" t="s">
        <v>17312</v>
      </c>
      <c r="M7772" s="17" t="s">
        <v>42076</v>
      </c>
      <c r="N7772" s="17" t="s">
        <v>42114</v>
      </c>
      <c r="O7772" s="17"/>
      <c r="P7772" s="17" t="s">
        <v>42115</v>
      </c>
      <c r="Q7772" s="17"/>
      <c r="R7772" s="25" t="str">
        <f>HYPERLINK("https://ictv.global/taxonomy/taxondetails?taxnode_id=202318212","Insevirus jyu")</f>
        <v>Insevirus jyu</v>
      </c>
      <c r="S7772" s="18" t="s">
        <v>30</v>
      </c>
      <c r="T7772" s="18" t="s">
        <v>42128</v>
      </c>
      <c r="U7772" s="18" t="s">
        <v>42129</v>
      </c>
      <c r="V7772" s="18">
        <v>150840</v>
      </c>
      <c r="W7772" s="18" t="s">
        <v>42130</v>
      </c>
      <c r="X7772" s="18" t="s">
        <v>42</v>
      </c>
      <c r="Y7772" s="18" t="s">
        <v>17196</v>
      </c>
      <c r="Z7772" s="18" t="s">
        <v>10790</v>
      </c>
      <c r="AA7772" s="21" t="str">
        <f>HYPERLINK("https://www.ncbi.nlm.nih.gov/nuccore/MF073200","NCBI Nucleotide")</f>
        <v>NCBI Nucleotide</v>
      </c>
    </row>
    <row r="7773" spans="1:27" x14ac:dyDescent="0.35">
      <c r="A7773">
        <v>1025727</v>
      </c>
      <c r="B7773">
        <v>7232</v>
      </c>
      <c r="C7773">
        <v>1</v>
      </c>
      <c r="D7773" s="17" t="s">
        <v>17166</v>
      </c>
      <c r="E7773" s="17"/>
      <c r="F7773" s="17" t="s">
        <v>17246</v>
      </c>
      <c r="G7773" s="17"/>
      <c r="H7773" s="17" t="s">
        <v>17310</v>
      </c>
      <c r="I7773" s="17"/>
      <c r="J7773" s="17" t="s">
        <v>17311</v>
      </c>
      <c r="K7773" s="17"/>
      <c r="L7773" s="17" t="s">
        <v>17312</v>
      </c>
      <c r="M7773" s="17" t="s">
        <v>42076</v>
      </c>
      <c r="N7773" s="17" t="s">
        <v>42114</v>
      </c>
      <c r="O7773" s="17"/>
      <c r="P7773" s="17" t="s">
        <v>42115</v>
      </c>
      <c r="Q7773" s="17"/>
      <c r="R7773" s="25" t="str">
        <f>HYPERLINK("https://ictv.global/taxonomy/taxondetails?taxnode_id=202318213","Insevirus jyugo")</f>
        <v>Insevirus jyugo</v>
      </c>
      <c r="S7773" s="18" t="s">
        <v>30</v>
      </c>
      <c r="T7773" s="18" t="s">
        <v>42131</v>
      </c>
      <c r="U7773" s="18" t="s">
        <v>42132</v>
      </c>
      <c r="V7773" s="18" t="s">
        <v>42133</v>
      </c>
      <c r="W7773" s="18" t="s">
        <v>42134</v>
      </c>
      <c r="X7773" s="18" t="s">
        <v>42</v>
      </c>
      <c r="Y7773" s="18" t="s">
        <v>17196</v>
      </c>
      <c r="Z7773" s="18" t="s">
        <v>10790</v>
      </c>
      <c r="AA7773" s="21" t="str">
        <f>HYPERLINK("https://www.ncbi.nlm.nih.gov/nuccore/MN745082","NCBI Nucleotide")</f>
        <v>NCBI Nucleotide</v>
      </c>
    </row>
    <row r="7774" spans="1:27" x14ac:dyDescent="0.35">
      <c r="A7774">
        <v>1025728</v>
      </c>
      <c r="B7774">
        <v>7233</v>
      </c>
      <c r="C7774">
        <v>1</v>
      </c>
      <c r="D7774" s="17" t="s">
        <v>17166</v>
      </c>
      <c r="E7774" s="17"/>
      <c r="F7774" s="17" t="s">
        <v>17246</v>
      </c>
      <c r="G7774" s="17"/>
      <c r="H7774" s="17" t="s">
        <v>17310</v>
      </c>
      <c r="I7774" s="17"/>
      <c r="J7774" s="17" t="s">
        <v>17311</v>
      </c>
      <c r="K7774" s="17"/>
      <c r="L7774" s="17" t="s">
        <v>17312</v>
      </c>
      <c r="M7774" s="17" t="s">
        <v>42076</v>
      </c>
      <c r="N7774" s="17" t="s">
        <v>42114</v>
      </c>
      <c r="O7774" s="17"/>
      <c r="P7774" s="17" t="s">
        <v>42115</v>
      </c>
      <c r="Q7774" s="17"/>
      <c r="R7774" s="25" t="str">
        <f>HYPERLINK("https://ictv.global/taxonomy/taxondetails?taxnode_id=202318214","Insevirus jyuichi")</f>
        <v>Insevirus jyuichi</v>
      </c>
      <c r="S7774" s="18" t="s">
        <v>30</v>
      </c>
      <c r="T7774" s="18" t="s">
        <v>42135</v>
      </c>
      <c r="U7774" s="18" t="s">
        <v>42136</v>
      </c>
      <c r="V7774" s="18"/>
      <c r="W7774" s="18" t="s">
        <v>42137</v>
      </c>
      <c r="X7774" s="18" t="s">
        <v>42</v>
      </c>
      <c r="Y7774" s="18" t="s">
        <v>17196</v>
      </c>
      <c r="Z7774" s="18" t="s">
        <v>10790</v>
      </c>
      <c r="AA7774" s="21" t="str">
        <f>HYPERLINK("https://www.ncbi.nlm.nih.gov/nuccore/MG546515","NCBI Nucleotide")</f>
        <v>NCBI Nucleotide</v>
      </c>
    </row>
    <row r="7775" spans="1:27" x14ac:dyDescent="0.35">
      <c r="A7775">
        <v>1025729</v>
      </c>
      <c r="B7775">
        <v>7234</v>
      </c>
      <c r="C7775">
        <v>1</v>
      </c>
      <c r="D7775" s="17" t="s">
        <v>17166</v>
      </c>
      <c r="E7775" s="17"/>
      <c r="F7775" s="17" t="s">
        <v>17246</v>
      </c>
      <c r="G7775" s="17"/>
      <c r="H7775" s="17" t="s">
        <v>17310</v>
      </c>
      <c r="I7775" s="17"/>
      <c r="J7775" s="17" t="s">
        <v>17311</v>
      </c>
      <c r="K7775" s="17"/>
      <c r="L7775" s="17" t="s">
        <v>17312</v>
      </c>
      <c r="M7775" s="17" t="s">
        <v>42076</v>
      </c>
      <c r="N7775" s="17" t="s">
        <v>42114</v>
      </c>
      <c r="O7775" s="17"/>
      <c r="P7775" s="17" t="s">
        <v>42115</v>
      </c>
      <c r="Q7775" s="17"/>
      <c r="R7775" s="25" t="str">
        <f>HYPERLINK("https://ictv.global/taxonomy/taxondetails?taxnode_id=202318215","Insevirus jyuni")</f>
        <v>Insevirus jyuni</v>
      </c>
      <c r="S7775" s="18" t="s">
        <v>30</v>
      </c>
      <c r="T7775" s="18" t="s">
        <v>42138</v>
      </c>
      <c r="U7775" s="18" t="s">
        <v>42139</v>
      </c>
      <c r="V7775" s="18"/>
      <c r="W7775" s="18" t="s">
        <v>42140</v>
      </c>
      <c r="X7775" s="18" t="s">
        <v>42</v>
      </c>
      <c r="Y7775" s="18" t="s">
        <v>17196</v>
      </c>
      <c r="Z7775" s="18" t="s">
        <v>10790</v>
      </c>
      <c r="AA7775" s="21" t="str">
        <f>HYPERLINK("https://www.ncbi.nlm.nih.gov/nuccore/MG546516","NCBI Nucleotide")</f>
        <v>NCBI Nucleotide</v>
      </c>
    </row>
    <row r="7776" spans="1:27" x14ac:dyDescent="0.35">
      <c r="A7776">
        <v>1025730</v>
      </c>
      <c r="B7776">
        <v>7235</v>
      </c>
      <c r="C7776">
        <v>1</v>
      </c>
      <c r="D7776" s="17" t="s">
        <v>17166</v>
      </c>
      <c r="E7776" s="17"/>
      <c r="F7776" s="17" t="s">
        <v>17246</v>
      </c>
      <c r="G7776" s="17"/>
      <c r="H7776" s="17" t="s">
        <v>17310</v>
      </c>
      <c r="I7776" s="17"/>
      <c r="J7776" s="17" t="s">
        <v>17311</v>
      </c>
      <c r="K7776" s="17"/>
      <c r="L7776" s="17" t="s">
        <v>17312</v>
      </c>
      <c r="M7776" s="17" t="s">
        <v>42076</v>
      </c>
      <c r="N7776" s="17" t="s">
        <v>42114</v>
      </c>
      <c r="O7776" s="17"/>
      <c r="P7776" s="17" t="s">
        <v>42115</v>
      </c>
      <c r="Q7776" s="17"/>
      <c r="R7776" s="25" t="str">
        <f>HYPERLINK("https://ictv.global/taxonomy/taxondetails?taxnode_id=202318216","Insevirus jyuroku")</f>
        <v>Insevirus jyuroku</v>
      </c>
      <c r="S7776" s="18" t="s">
        <v>30</v>
      </c>
      <c r="T7776" s="18" t="s">
        <v>42141</v>
      </c>
      <c r="U7776" s="18" t="s">
        <v>42142</v>
      </c>
      <c r="V7776" s="18" t="s">
        <v>42143</v>
      </c>
      <c r="W7776" s="18" t="s">
        <v>42144</v>
      </c>
      <c r="X7776" s="18" t="s">
        <v>42</v>
      </c>
      <c r="Y7776" s="18" t="s">
        <v>17196</v>
      </c>
      <c r="Z7776" s="18" t="s">
        <v>10790</v>
      </c>
      <c r="AA7776" s="21" t="str">
        <f>HYPERLINK("https://www.ncbi.nlm.nih.gov/nuccore/MN745083","NCBI Nucleotide")</f>
        <v>NCBI Nucleotide</v>
      </c>
    </row>
    <row r="7777" spans="1:27" x14ac:dyDescent="0.35">
      <c r="A7777">
        <v>1025731</v>
      </c>
      <c r="B7777">
        <v>7236</v>
      </c>
      <c r="C7777">
        <v>1</v>
      </c>
      <c r="D7777" s="17" t="s">
        <v>17166</v>
      </c>
      <c r="E7777" s="17"/>
      <c r="F7777" s="17" t="s">
        <v>17246</v>
      </c>
      <c r="G7777" s="17"/>
      <c r="H7777" s="17" t="s">
        <v>17310</v>
      </c>
      <c r="I7777" s="17"/>
      <c r="J7777" s="17" t="s">
        <v>17311</v>
      </c>
      <c r="K7777" s="17"/>
      <c r="L7777" s="17" t="s">
        <v>17312</v>
      </c>
      <c r="M7777" s="17" t="s">
        <v>42076</v>
      </c>
      <c r="N7777" s="17" t="s">
        <v>42114</v>
      </c>
      <c r="O7777" s="17"/>
      <c r="P7777" s="17" t="s">
        <v>42115</v>
      </c>
      <c r="Q7777" s="17"/>
      <c r="R7777" s="25" t="str">
        <f>HYPERLINK("https://ictv.global/taxonomy/taxondetails?taxnode_id=202318217","Insevirus jyusani")</f>
        <v>Insevirus jyusani</v>
      </c>
      <c r="S7777" s="18" t="s">
        <v>30</v>
      </c>
      <c r="T7777" s="18" t="s">
        <v>42145</v>
      </c>
      <c r="U7777" s="18" t="s">
        <v>42146</v>
      </c>
      <c r="V7777" s="18" t="s">
        <v>42147</v>
      </c>
      <c r="W7777" s="18" t="s">
        <v>42148</v>
      </c>
      <c r="X7777" s="18" t="s">
        <v>35</v>
      </c>
      <c r="Y7777" s="18" t="s">
        <v>17196</v>
      </c>
      <c r="Z7777" s="18" t="s">
        <v>10790</v>
      </c>
      <c r="AA7777" s="21" t="str">
        <f>HYPERLINK("https://www.ncbi.nlm.nih.gov/nuccore/MN053722","NCBI Nucleotide")</f>
        <v>NCBI Nucleotide</v>
      </c>
    </row>
    <row r="7778" spans="1:27" x14ac:dyDescent="0.35">
      <c r="A7778">
        <v>1025732</v>
      </c>
      <c r="B7778">
        <v>7237</v>
      </c>
      <c r="C7778">
        <v>1</v>
      </c>
      <c r="D7778" s="17" t="s">
        <v>17166</v>
      </c>
      <c r="E7778" s="17"/>
      <c r="F7778" s="17" t="s">
        <v>17246</v>
      </c>
      <c r="G7778" s="17"/>
      <c r="H7778" s="17" t="s">
        <v>17310</v>
      </c>
      <c r="I7778" s="17"/>
      <c r="J7778" s="17" t="s">
        <v>17311</v>
      </c>
      <c r="K7778" s="17"/>
      <c r="L7778" s="17" t="s">
        <v>17312</v>
      </c>
      <c r="M7778" s="17" t="s">
        <v>42076</v>
      </c>
      <c r="N7778" s="17" t="s">
        <v>42114</v>
      </c>
      <c r="O7778" s="17"/>
      <c r="P7778" s="17" t="s">
        <v>42115</v>
      </c>
      <c r="Q7778" s="17"/>
      <c r="R7778" s="25" t="str">
        <f>HYPERLINK("https://ictv.global/taxonomy/taxondetails?taxnode_id=202318218","Insevirus jyushi")</f>
        <v>Insevirus jyushi</v>
      </c>
      <c r="S7778" s="18" t="s">
        <v>30</v>
      </c>
      <c r="T7778" s="18" t="s">
        <v>42149</v>
      </c>
      <c r="U7778" s="18" t="s">
        <v>42150</v>
      </c>
      <c r="V7778" s="18" t="s">
        <v>42151</v>
      </c>
      <c r="W7778" s="18" t="s">
        <v>42152</v>
      </c>
      <c r="X7778" s="18" t="s">
        <v>42</v>
      </c>
      <c r="Y7778" s="18" t="s">
        <v>17196</v>
      </c>
      <c r="Z7778" s="18" t="s">
        <v>10790</v>
      </c>
      <c r="AA7778" s="21" t="str">
        <f>HYPERLINK("https://www.ncbi.nlm.nih.gov/nuccore/MW699041","NCBI Nucleotide")</f>
        <v>NCBI Nucleotide</v>
      </c>
    </row>
    <row r="7779" spans="1:27" x14ac:dyDescent="0.35">
      <c r="A7779">
        <v>1025733</v>
      </c>
      <c r="B7779">
        <v>7238</v>
      </c>
      <c r="C7779">
        <v>1</v>
      </c>
      <c r="D7779" s="17" t="s">
        <v>17166</v>
      </c>
      <c r="E7779" s="17"/>
      <c r="F7779" s="17" t="s">
        <v>17246</v>
      </c>
      <c r="G7779" s="17"/>
      <c r="H7779" s="17" t="s">
        <v>17310</v>
      </c>
      <c r="I7779" s="17"/>
      <c r="J7779" s="17" t="s">
        <v>17311</v>
      </c>
      <c r="K7779" s="17"/>
      <c r="L7779" s="17" t="s">
        <v>17312</v>
      </c>
      <c r="M7779" s="17" t="s">
        <v>42076</v>
      </c>
      <c r="N7779" s="17" t="s">
        <v>42114</v>
      </c>
      <c r="O7779" s="17"/>
      <c r="P7779" s="17" t="s">
        <v>42115</v>
      </c>
      <c r="Q7779" s="17"/>
      <c r="R7779" s="25" t="str">
        <f>HYPERLINK("https://ictv.global/taxonomy/taxondetails?taxnode_id=202318219","Insevirus kyu")</f>
        <v>Insevirus kyu</v>
      </c>
      <c r="S7779" s="18" t="s">
        <v>30</v>
      </c>
      <c r="T7779" s="18" t="s">
        <v>42153</v>
      </c>
      <c r="U7779" s="18" t="s">
        <v>42154</v>
      </c>
      <c r="V7779" s="18" t="s">
        <v>42155</v>
      </c>
      <c r="W7779" s="18" t="s">
        <v>42156</v>
      </c>
      <c r="X7779" s="18" t="s">
        <v>35</v>
      </c>
      <c r="Y7779" s="18" t="s">
        <v>17196</v>
      </c>
      <c r="Z7779" s="18" t="s">
        <v>10790</v>
      </c>
      <c r="AA7779" s="21" t="str">
        <f>HYPERLINK("https://www.ncbi.nlm.nih.gov/nuccore/KX882996","NCBI Nucleotide")</f>
        <v>NCBI Nucleotide</v>
      </c>
    </row>
    <row r="7780" spans="1:27" x14ac:dyDescent="0.35">
      <c r="A7780">
        <v>1025734</v>
      </c>
      <c r="B7780">
        <v>7239</v>
      </c>
      <c r="C7780">
        <v>1</v>
      </c>
      <c r="D7780" s="17" t="s">
        <v>17166</v>
      </c>
      <c r="E7780" s="17"/>
      <c r="F7780" s="17" t="s">
        <v>17246</v>
      </c>
      <c r="G7780" s="17"/>
      <c r="H7780" s="17" t="s">
        <v>17310</v>
      </c>
      <c r="I7780" s="17"/>
      <c r="J7780" s="17" t="s">
        <v>17311</v>
      </c>
      <c r="K7780" s="17"/>
      <c r="L7780" s="17" t="s">
        <v>17312</v>
      </c>
      <c r="M7780" s="17" t="s">
        <v>42076</v>
      </c>
      <c r="N7780" s="17" t="s">
        <v>42114</v>
      </c>
      <c r="O7780" s="17"/>
      <c r="P7780" s="17" t="s">
        <v>42115</v>
      </c>
      <c r="Q7780" s="17"/>
      <c r="R7780" s="25" t="str">
        <f>HYPERLINK("https://ictv.global/taxonomy/taxondetails?taxnode_id=202318220","Insevirus ni")</f>
        <v>Insevirus ni</v>
      </c>
      <c r="S7780" s="18" t="s">
        <v>30</v>
      </c>
      <c r="T7780" s="18" t="s">
        <v>42157</v>
      </c>
      <c r="U7780" s="18" t="s">
        <v>42125</v>
      </c>
      <c r="V7780" s="18" t="s">
        <v>42158</v>
      </c>
      <c r="W7780" s="18" t="s">
        <v>42159</v>
      </c>
      <c r="X7780" s="18" t="s">
        <v>35</v>
      </c>
      <c r="Y7780" s="18" t="s">
        <v>17196</v>
      </c>
      <c r="Z7780" s="18" t="s">
        <v>10790</v>
      </c>
      <c r="AA7780" s="21" t="str">
        <f>HYPERLINK("https://www.ncbi.nlm.nih.gov/nuccore/LC101918","NCBI Nucleotide")</f>
        <v>NCBI Nucleotide</v>
      </c>
    </row>
    <row r="7781" spans="1:27" x14ac:dyDescent="0.35">
      <c r="A7781">
        <v>1025735</v>
      </c>
      <c r="B7781">
        <v>7240</v>
      </c>
      <c r="C7781">
        <v>1</v>
      </c>
      <c r="D7781" s="17" t="s">
        <v>17166</v>
      </c>
      <c r="E7781" s="17"/>
      <c r="F7781" s="17" t="s">
        <v>17246</v>
      </c>
      <c r="G7781" s="17"/>
      <c r="H7781" s="17" t="s">
        <v>17310</v>
      </c>
      <c r="I7781" s="17"/>
      <c r="J7781" s="17" t="s">
        <v>17311</v>
      </c>
      <c r="K7781" s="17"/>
      <c r="L7781" s="17" t="s">
        <v>17312</v>
      </c>
      <c r="M7781" s="17" t="s">
        <v>42076</v>
      </c>
      <c r="N7781" s="17" t="s">
        <v>42114</v>
      </c>
      <c r="O7781" s="17"/>
      <c r="P7781" s="17" t="s">
        <v>42115</v>
      </c>
      <c r="Q7781" s="17"/>
      <c r="R7781" s="25" t="str">
        <f>HYPERLINK("https://ictv.global/taxonomy/taxondetails?taxnode_id=202318221","Insevirus roku")</f>
        <v>Insevirus roku</v>
      </c>
      <c r="S7781" s="18" t="s">
        <v>30</v>
      </c>
      <c r="T7781" s="18" t="s">
        <v>42160</v>
      </c>
      <c r="U7781" s="18" t="s">
        <v>42161</v>
      </c>
      <c r="V7781" s="18" t="s">
        <v>42162</v>
      </c>
      <c r="W7781" s="18" t="s">
        <v>42163</v>
      </c>
      <c r="X7781" s="18" t="s">
        <v>35</v>
      </c>
      <c r="Y7781" s="18" t="s">
        <v>17196</v>
      </c>
      <c r="Z7781" s="18" t="s">
        <v>10790</v>
      </c>
      <c r="AA7781" s="21" t="str">
        <f>HYPERLINK("https://www.ncbi.nlm.nih.gov/nuccore/KX882966","NCBI Nucleotide")</f>
        <v>NCBI Nucleotide</v>
      </c>
    </row>
    <row r="7782" spans="1:27" x14ac:dyDescent="0.35">
      <c r="A7782">
        <v>1025736</v>
      </c>
      <c r="B7782">
        <v>7241</v>
      </c>
      <c r="C7782">
        <v>1</v>
      </c>
      <c r="D7782" s="17" t="s">
        <v>17166</v>
      </c>
      <c r="E7782" s="17"/>
      <c r="F7782" s="17" t="s">
        <v>17246</v>
      </c>
      <c r="G7782" s="17"/>
      <c r="H7782" s="17" t="s">
        <v>17310</v>
      </c>
      <c r="I7782" s="17"/>
      <c r="J7782" s="17" t="s">
        <v>17311</v>
      </c>
      <c r="K7782" s="17"/>
      <c r="L7782" s="17" t="s">
        <v>17312</v>
      </c>
      <c r="M7782" s="17" t="s">
        <v>42076</v>
      </c>
      <c r="N7782" s="17" t="s">
        <v>42114</v>
      </c>
      <c r="O7782" s="17"/>
      <c r="P7782" s="17" t="s">
        <v>42115</v>
      </c>
      <c r="Q7782" s="17"/>
      <c r="R7782" s="25" t="str">
        <f>HYPERLINK("https://ictv.global/taxonomy/taxondetails?taxnode_id=202318222","Insevirus sani")</f>
        <v>Insevirus sani</v>
      </c>
      <c r="S7782" s="18" t="s">
        <v>30</v>
      </c>
      <c r="T7782" s="18" t="s">
        <v>42164</v>
      </c>
      <c r="U7782" s="18" t="s">
        <v>42165</v>
      </c>
      <c r="V7782" s="18"/>
      <c r="W7782" s="18" t="s">
        <v>42166</v>
      </c>
      <c r="X7782" s="18" t="s">
        <v>35</v>
      </c>
      <c r="Y7782" s="18" t="s">
        <v>17196</v>
      </c>
      <c r="Z7782" s="18" t="s">
        <v>10790</v>
      </c>
      <c r="AA7782" s="21" t="str">
        <f>HYPERLINK("https://www.ncbi.nlm.nih.gov/nuccore/KX148550","NCBI Nucleotide")</f>
        <v>NCBI Nucleotide</v>
      </c>
    </row>
    <row r="7783" spans="1:27" x14ac:dyDescent="0.35">
      <c r="A7783">
        <v>1025737</v>
      </c>
      <c r="B7783">
        <v>7242</v>
      </c>
      <c r="C7783">
        <v>1</v>
      </c>
      <c r="D7783" s="17" t="s">
        <v>17166</v>
      </c>
      <c r="E7783" s="17"/>
      <c r="F7783" s="17" t="s">
        <v>17246</v>
      </c>
      <c r="G7783" s="17"/>
      <c r="H7783" s="17" t="s">
        <v>17310</v>
      </c>
      <c r="I7783" s="17"/>
      <c r="J7783" s="17" t="s">
        <v>17311</v>
      </c>
      <c r="K7783" s="17"/>
      <c r="L7783" s="17" t="s">
        <v>17312</v>
      </c>
      <c r="M7783" s="17" t="s">
        <v>42076</v>
      </c>
      <c r="N7783" s="17" t="s">
        <v>42114</v>
      </c>
      <c r="O7783" s="17"/>
      <c r="P7783" s="17" t="s">
        <v>42115</v>
      </c>
      <c r="Q7783" s="17"/>
      <c r="R7783" s="25" t="str">
        <f>HYPERLINK("https://ictv.global/taxonomy/taxondetails?taxnode_id=202318223","Insevirus shi")</f>
        <v>Insevirus shi</v>
      </c>
      <c r="S7783" s="18" t="s">
        <v>30</v>
      </c>
      <c r="T7783" s="18" t="s">
        <v>42167</v>
      </c>
      <c r="U7783" s="18" t="s">
        <v>42168</v>
      </c>
      <c r="V7783" s="18" t="s">
        <v>42169</v>
      </c>
      <c r="W7783" s="18" t="s">
        <v>42170</v>
      </c>
      <c r="X7783" s="18" t="s">
        <v>35</v>
      </c>
      <c r="Y7783" s="18" t="s">
        <v>17196</v>
      </c>
      <c r="Z7783" s="18" t="s">
        <v>10790</v>
      </c>
      <c r="AA7783" s="21" t="str">
        <f>HYPERLINK("https://www.ncbi.nlm.nih.gov/nuccore/KX882942","NCBI Nucleotide")</f>
        <v>NCBI Nucleotide</v>
      </c>
    </row>
    <row r="7784" spans="1:27" x14ac:dyDescent="0.35">
      <c r="A7784">
        <v>1025738</v>
      </c>
      <c r="B7784">
        <v>7243</v>
      </c>
      <c r="C7784">
        <v>1</v>
      </c>
      <c r="D7784" s="17" t="s">
        <v>17166</v>
      </c>
      <c r="E7784" s="17"/>
      <c r="F7784" s="17" t="s">
        <v>17246</v>
      </c>
      <c r="G7784" s="17"/>
      <c r="H7784" s="17" t="s">
        <v>17310</v>
      </c>
      <c r="I7784" s="17"/>
      <c r="J7784" s="17" t="s">
        <v>17311</v>
      </c>
      <c r="K7784" s="17"/>
      <c r="L7784" s="17" t="s">
        <v>17312</v>
      </c>
      <c r="M7784" s="17" t="s">
        <v>42076</v>
      </c>
      <c r="N7784" s="17" t="s">
        <v>42114</v>
      </c>
      <c r="O7784" s="17"/>
      <c r="P7784" s="17" t="s">
        <v>42115</v>
      </c>
      <c r="Q7784" s="17"/>
      <c r="R7784" s="25" t="str">
        <f>HYPERLINK("https://ictv.global/taxonomy/taxondetails?taxnode_id=202318224","Insevirus shichi")</f>
        <v>Insevirus shichi</v>
      </c>
      <c r="S7784" s="18" t="s">
        <v>30</v>
      </c>
      <c r="T7784" s="18" t="s">
        <v>42171</v>
      </c>
      <c r="U7784" s="18" t="s">
        <v>42172</v>
      </c>
      <c r="V7784" s="18" t="s">
        <v>42173</v>
      </c>
      <c r="W7784" s="18" t="s">
        <v>42174</v>
      </c>
      <c r="X7784" s="18" t="s">
        <v>35</v>
      </c>
      <c r="Y7784" s="18" t="s">
        <v>17196</v>
      </c>
      <c r="Z7784" s="18" t="s">
        <v>10790</v>
      </c>
      <c r="AA7784" s="21" t="str">
        <f>HYPERLINK("https://www.ncbi.nlm.nih.gov/nuccore/KX882974","NCBI Nucleotide")</f>
        <v>NCBI Nucleotide</v>
      </c>
    </row>
    <row r="7785" spans="1:27" x14ac:dyDescent="0.35">
      <c r="A7785">
        <v>1025715</v>
      </c>
      <c r="B7785">
        <v>7244</v>
      </c>
      <c r="C7785">
        <v>1</v>
      </c>
      <c r="D7785" s="17" t="s">
        <v>17166</v>
      </c>
      <c r="E7785" s="17"/>
      <c r="F7785" s="17" t="s">
        <v>17246</v>
      </c>
      <c r="G7785" s="17"/>
      <c r="H7785" s="17" t="s">
        <v>17310</v>
      </c>
      <c r="I7785" s="17"/>
      <c r="J7785" s="17" t="s">
        <v>17311</v>
      </c>
      <c r="K7785" s="17"/>
      <c r="L7785" s="17" t="s">
        <v>17312</v>
      </c>
      <c r="M7785" s="17" t="s">
        <v>42076</v>
      </c>
      <c r="N7785" s="17" t="s">
        <v>42175</v>
      </c>
      <c r="O7785" s="17"/>
      <c r="P7785" s="17" t="s">
        <v>42176</v>
      </c>
      <c r="Q7785" s="17"/>
      <c r="R7785" s="25" t="str">
        <f>HYPERLINK("https://ictv.global/taxonomy/taxondetails?taxnode_id=202318225","Lebotivirus go")</f>
        <v>Lebotivirus go</v>
      </c>
      <c r="S7785" s="18" t="s">
        <v>30</v>
      </c>
      <c r="T7785" s="18" t="s">
        <v>42177</v>
      </c>
      <c r="U7785" s="18" t="s">
        <v>42178</v>
      </c>
      <c r="V7785" s="18" t="s">
        <v>42179</v>
      </c>
      <c r="W7785" s="18" t="s">
        <v>42180</v>
      </c>
      <c r="X7785" s="18" t="s">
        <v>35</v>
      </c>
      <c r="Y7785" s="18" t="s">
        <v>17196</v>
      </c>
      <c r="Z7785" s="18" t="s">
        <v>10790</v>
      </c>
      <c r="AA7785" s="21" t="str">
        <f>HYPERLINK("https://www.ncbi.nlm.nih.gov/nuccore/KX882976","NCBI Nucleotide")</f>
        <v>NCBI Nucleotide</v>
      </c>
    </row>
    <row r="7786" spans="1:27" x14ac:dyDescent="0.35">
      <c r="A7786">
        <v>1025716</v>
      </c>
      <c r="B7786">
        <v>7245</v>
      </c>
      <c r="C7786">
        <v>1</v>
      </c>
      <c r="D7786" s="17" t="s">
        <v>17166</v>
      </c>
      <c r="E7786" s="17"/>
      <c r="F7786" s="17" t="s">
        <v>17246</v>
      </c>
      <c r="G7786" s="17"/>
      <c r="H7786" s="17" t="s">
        <v>17310</v>
      </c>
      <c r="I7786" s="17"/>
      <c r="J7786" s="17" t="s">
        <v>17311</v>
      </c>
      <c r="K7786" s="17"/>
      <c r="L7786" s="17" t="s">
        <v>17312</v>
      </c>
      <c r="M7786" s="17" t="s">
        <v>42076</v>
      </c>
      <c r="N7786" s="17" t="s">
        <v>42175</v>
      </c>
      <c r="O7786" s="17"/>
      <c r="P7786" s="17" t="s">
        <v>42176</v>
      </c>
      <c r="Q7786" s="17"/>
      <c r="R7786" s="25" t="str">
        <f>HYPERLINK("https://ictv.global/taxonomy/taxondetails?taxnode_id=202318226","Lebotivirus hachi")</f>
        <v>Lebotivirus hachi</v>
      </c>
      <c r="S7786" s="18" t="s">
        <v>30</v>
      </c>
      <c r="T7786" s="18" t="s">
        <v>42181</v>
      </c>
      <c r="U7786" s="18" t="s">
        <v>42182</v>
      </c>
      <c r="V7786" s="18" t="s">
        <v>30331</v>
      </c>
      <c r="W7786" s="18" t="s">
        <v>42183</v>
      </c>
      <c r="X7786" s="18" t="s">
        <v>42</v>
      </c>
      <c r="Y7786" s="18" t="s">
        <v>17196</v>
      </c>
      <c r="Z7786" s="18" t="s">
        <v>10790</v>
      </c>
      <c r="AA7786" s="21" t="str">
        <f>HYPERLINK("https://www.ncbi.nlm.nih.gov/nuccore/MH727531","NCBI Nucleotide")</f>
        <v>NCBI Nucleotide</v>
      </c>
    </row>
    <row r="7787" spans="1:27" x14ac:dyDescent="0.35">
      <c r="A7787">
        <v>1025717</v>
      </c>
      <c r="B7787">
        <v>7246</v>
      </c>
      <c r="C7787">
        <v>1</v>
      </c>
      <c r="D7787" s="17" t="s">
        <v>17166</v>
      </c>
      <c r="E7787" s="17"/>
      <c r="F7787" s="17" t="s">
        <v>17246</v>
      </c>
      <c r="G7787" s="17"/>
      <c r="H7787" s="17" t="s">
        <v>17310</v>
      </c>
      <c r="I7787" s="17"/>
      <c r="J7787" s="17" t="s">
        <v>17311</v>
      </c>
      <c r="K7787" s="17"/>
      <c r="L7787" s="17" t="s">
        <v>17312</v>
      </c>
      <c r="M7787" s="17" t="s">
        <v>42076</v>
      </c>
      <c r="N7787" s="17" t="s">
        <v>42175</v>
      </c>
      <c r="O7787" s="17"/>
      <c r="P7787" s="17" t="s">
        <v>42176</v>
      </c>
      <c r="Q7787" s="17"/>
      <c r="R7787" s="25" t="str">
        <f>HYPERLINK("https://ictv.global/taxonomy/taxondetails?taxnode_id=202318227","Lebotivirus ichi")</f>
        <v>Lebotivirus ichi</v>
      </c>
      <c r="S7787" s="18" t="s">
        <v>30</v>
      </c>
      <c r="T7787" s="18" t="s">
        <v>50938</v>
      </c>
      <c r="U7787" s="18" t="s">
        <v>42184</v>
      </c>
      <c r="V7787" s="18" t="s">
        <v>42185</v>
      </c>
      <c r="W7787" s="18" t="s">
        <v>42186</v>
      </c>
      <c r="X7787" s="18" t="s">
        <v>35</v>
      </c>
      <c r="Y7787" s="18" t="s">
        <v>17196</v>
      </c>
      <c r="Z7787" s="18" t="s">
        <v>10790</v>
      </c>
      <c r="AA7787" s="21" t="str">
        <f>HYPERLINK("https://www.ncbi.nlm.nih.gov/nuccore/KF274642","NCBI Nucleotide")</f>
        <v>NCBI Nucleotide</v>
      </c>
    </row>
    <row r="7788" spans="1:27" x14ac:dyDescent="0.35">
      <c r="A7788">
        <v>1025718</v>
      </c>
      <c r="B7788">
        <v>7247</v>
      </c>
      <c r="C7788">
        <v>1</v>
      </c>
      <c r="D7788" s="17" t="s">
        <v>17166</v>
      </c>
      <c r="E7788" s="17"/>
      <c r="F7788" s="17" t="s">
        <v>17246</v>
      </c>
      <c r="G7788" s="17"/>
      <c r="H7788" s="17" t="s">
        <v>17310</v>
      </c>
      <c r="I7788" s="17"/>
      <c r="J7788" s="17" t="s">
        <v>17311</v>
      </c>
      <c r="K7788" s="17"/>
      <c r="L7788" s="17" t="s">
        <v>17312</v>
      </c>
      <c r="M7788" s="17" t="s">
        <v>42076</v>
      </c>
      <c r="N7788" s="17" t="s">
        <v>42175</v>
      </c>
      <c r="O7788" s="17"/>
      <c r="P7788" s="17" t="s">
        <v>42176</v>
      </c>
      <c r="Q7788" s="17"/>
      <c r="R7788" s="25" t="str">
        <f>HYPERLINK("https://ictv.global/taxonomy/taxondetails?taxnode_id=202318228","Lebotivirus ni")</f>
        <v>Lebotivirus ni</v>
      </c>
      <c r="S7788" s="18" t="s">
        <v>30</v>
      </c>
      <c r="T7788" s="18" t="s">
        <v>42187</v>
      </c>
      <c r="U7788" s="18" t="s">
        <v>42188</v>
      </c>
      <c r="V7788" s="18" t="s">
        <v>42189</v>
      </c>
      <c r="W7788" s="18" t="s">
        <v>42190</v>
      </c>
      <c r="X7788" s="18" t="s">
        <v>35</v>
      </c>
      <c r="Y7788" s="18" t="s">
        <v>17196</v>
      </c>
      <c r="Z7788" s="18" t="s">
        <v>10790</v>
      </c>
      <c r="AA7788" s="21" t="str">
        <f>HYPERLINK("https://www.ncbi.nlm.nih.gov/nuccore/KX882957","NCBI Nucleotide")</f>
        <v>NCBI Nucleotide</v>
      </c>
    </row>
    <row r="7789" spans="1:27" x14ac:dyDescent="0.35">
      <c r="A7789">
        <v>1025719</v>
      </c>
      <c r="B7789">
        <v>7248</v>
      </c>
      <c r="C7789">
        <v>1</v>
      </c>
      <c r="D7789" s="17" t="s">
        <v>17166</v>
      </c>
      <c r="E7789" s="17"/>
      <c r="F7789" s="17" t="s">
        <v>17246</v>
      </c>
      <c r="G7789" s="17"/>
      <c r="H7789" s="17" t="s">
        <v>17310</v>
      </c>
      <c r="I7789" s="17"/>
      <c r="J7789" s="17" t="s">
        <v>17311</v>
      </c>
      <c r="K7789" s="17"/>
      <c r="L7789" s="17" t="s">
        <v>17312</v>
      </c>
      <c r="M7789" s="17" t="s">
        <v>42076</v>
      </c>
      <c r="N7789" s="17" t="s">
        <v>42175</v>
      </c>
      <c r="O7789" s="17"/>
      <c r="P7789" s="17" t="s">
        <v>42176</v>
      </c>
      <c r="Q7789" s="17"/>
      <c r="R7789" s="25" t="str">
        <f>HYPERLINK("https://ictv.global/taxonomy/taxondetails?taxnode_id=202318229","Lebotivirus roku")</f>
        <v>Lebotivirus roku</v>
      </c>
      <c r="S7789" s="18" t="s">
        <v>30</v>
      </c>
      <c r="T7789" s="18" t="s">
        <v>42191</v>
      </c>
      <c r="U7789" s="18" t="s">
        <v>42192</v>
      </c>
      <c r="V7789" s="18" t="s">
        <v>42193</v>
      </c>
      <c r="W7789" s="18" t="s">
        <v>42194</v>
      </c>
      <c r="X7789" s="18" t="s">
        <v>35</v>
      </c>
      <c r="Y7789" s="18" t="s">
        <v>17196</v>
      </c>
      <c r="Z7789" s="18" t="s">
        <v>10790</v>
      </c>
      <c r="AA7789" s="21" t="str">
        <f>HYPERLINK("https://www.ncbi.nlm.nih.gov/nuccore/KX882979","NCBI Nucleotide")</f>
        <v>NCBI Nucleotide</v>
      </c>
    </row>
    <row r="7790" spans="1:27" x14ac:dyDescent="0.35">
      <c r="A7790">
        <v>1025720</v>
      </c>
      <c r="B7790">
        <v>7249</v>
      </c>
      <c r="C7790">
        <v>1</v>
      </c>
      <c r="D7790" s="17" t="s">
        <v>17166</v>
      </c>
      <c r="E7790" s="17"/>
      <c r="F7790" s="17" t="s">
        <v>17246</v>
      </c>
      <c r="G7790" s="17"/>
      <c r="H7790" s="17" t="s">
        <v>17310</v>
      </c>
      <c r="I7790" s="17"/>
      <c r="J7790" s="17" t="s">
        <v>17311</v>
      </c>
      <c r="K7790" s="17"/>
      <c r="L7790" s="17" t="s">
        <v>17312</v>
      </c>
      <c r="M7790" s="17" t="s">
        <v>42076</v>
      </c>
      <c r="N7790" s="17" t="s">
        <v>42175</v>
      </c>
      <c r="O7790" s="17"/>
      <c r="P7790" s="17" t="s">
        <v>42176</v>
      </c>
      <c r="Q7790" s="17"/>
      <c r="R7790" s="25" t="str">
        <f>HYPERLINK("https://ictv.global/taxonomy/taxondetails?taxnode_id=202318230","Lebotivirus sani")</f>
        <v>Lebotivirus sani</v>
      </c>
      <c r="S7790" s="18" t="s">
        <v>30</v>
      </c>
      <c r="T7790" s="18" t="s">
        <v>42195</v>
      </c>
      <c r="U7790" s="18" t="s">
        <v>42196</v>
      </c>
      <c r="V7790" s="18" t="s">
        <v>42197</v>
      </c>
      <c r="W7790" s="18" t="s">
        <v>42198</v>
      </c>
      <c r="X7790" s="18" t="s">
        <v>35</v>
      </c>
      <c r="Y7790" s="18" t="s">
        <v>17196</v>
      </c>
      <c r="Z7790" s="18" t="s">
        <v>10790</v>
      </c>
      <c r="AA7790" s="21" t="str">
        <f>HYPERLINK("https://www.ncbi.nlm.nih.gov/nuccore/KX882952","NCBI Nucleotide")</f>
        <v>NCBI Nucleotide</v>
      </c>
    </row>
    <row r="7791" spans="1:27" x14ac:dyDescent="0.35">
      <c r="A7791">
        <v>1025721</v>
      </c>
      <c r="B7791">
        <v>7250</v>
      </c>
      <c r="C7791">
        <v>1</v>
      </c>
      <c r="D7791" s="17" t="s">
        <v>17166</v>
      </c>
      <c r="E7791" s="17"/>
      <c r="F7791" s="17" t="s">
        <v>17246</v>
      </c>
      <c r="G7791" s="17"/>
      <c r="H7791" s="17" t="s">
        <v>17310</v>
      </c>
      <c r="I7791" s="17"/>
      <c r="J7791" s="17" t="s">
        <v>17311</v>
      </c>
      <c r="K7791" s="17"/>
      <c r="L7791" s="17" t="s">
        <v>17312</v>
      </c>
      <c r="M7791" s="17" t="s">
        <v>42076</v>
      </c>
      <c r="N7791" s="17" t="s">
        <v>42175</v>
      </c>
      <c r="O7791" s="17"/>
      <c r="P7791" s="17" t="s">
        <v>42176</v>
      </c>
      <c r="Q7791" s="17"/>
      <c r="R7791" s="25" t="str">
        <f>HYPERLINK("https://ictv.global/taxonomy/taxondetails?taxnode_id=202318231","Lebotivirus shi")</f>
        <v>Lebotivirus shi</v>
      </c>
      <c r="S7791" s="18" t="s">
        <v>30</v>
      </c>
      <c r="T7791" s="18" t="s">
        <v>42199</v>
      </c>
      <c r="U7791" s="18" t="s">
        <v>42200</v>
      </c>
      <c r="V7791" s="18" t="s">
        <v>42201</v>
      </c>
      <c r="W7791" s="18" t="s">
        <v>42202</v>
      </c>
      <c r="X7791" s="18" t="s">
        <v>35</v>
      </c>
      <c r="Y7791" s="18" t="s">
        <v>17196</v>
      </c>
      <c r="Z7791" s="18" t="s">
        <v>10790</v>
      </c>
      <c r="AA7791" s="21" t="str">
        <f>HYPERLINK("https://www.ncbi.nlm.nih.gov/nuccore/KX882960","NCBI Nucleotide")</f>
        <v>NCBI Nucleotide</v>
      </c>
    </row>
    <row r="7792" spans="1:27" x14ac:dyDescent="0.35">
      <c r="A7792">
        <v>1025722</v>
      </c>
      <c r="B7792">
        <v>7251</v>
      </c>
      <c r="C7792">
        <v>1</v>
      </c>
      <c r="D7792" s="17" t="s">
        <v>17166</v>
      </c>
      <c r="E7792" s="17"/>
      <c r="F7792" s="17" t="s">
        <v>17246</v>
      </c>
      <c r="G7792" s="17"/>
      <c r="H7792" s="17" t="s">
        <v>17310</v>
      </c>
      <c r="I7792" s="17"/>
      <c r="J7792" s="17" t="s">
        <v>17311</v>
      </c>
      <c r="K7792" s="17"/>
      <c r="L7792" s="17" t="s">
        <v>17312</v>
      </c>
      <c r="M7792" s="17" t="s">
        <v>42076</v>
      </c>
      <c r="N7792" s="17" t="s">
        <v>42175</v>
      </c>
      <c r="O7792" s="17"/>
      <c r="P7792" s="17" t="s">
        <v>42176</v>
      </c>
      <c r="Q7792" s="17"/>
      <c r="R7792" s="25" t="str">
        <f>HYPERLINK("https://ictv.global/taxonomy/taxondetails?taxnode_id=202318232","Lebotivirus shichi")</f>
        <v>Lebotivirus shichi</v>
      </c>
      <c r="S7792" s="18" t="s">
        <v>30</v>
      </c>
      <c r="T7792" s="18" t="s">
        <v>42203</v>
      </c>
      <c r="U7792" s="18" t="s">
        <v>42204</v>
      </c>
      <c r="V7792" s="18" t="s">
        <v>42205</v>
      </c>
      <c r="W7792" s="18" t="s">
        <v>42206</v>
      </c>
      <c r="X7792" s="18" t="s">
        <v>35</v>
      </c>
      <c r="Y7792" s="18" t="s">
        <v>17196</v>
      </c>
      <c r="Z7792" s="18" t="s">
        <v>10790</v>
      </c>
      <c r="AA7792" s="21" t="str">
        <f>HYPERLINK("https://www.ncbi.nlm.nih.gov/nuccore/MH213243","NCBI Nucleotide")</f>
        <v>NCBI Nucleotide</v>
      </c>
    </row>
    <row r="7793" spans="1:27" x14ac:dyDescent="0.35">
      <c r="A7793">
        <v>1025705</v>
      </c>
      <c r="B7793">
        <v>7252</v>
      </c>
      <c r="C7793">
        <v>1</v>
      </c>
      <c r="D7793" s="17" t="s">
        <v>17166</v>
      </c>
      <c r="E7793" s="17"/>
      <c r="F7793" s="17" t="s">
        <v>17246</v>
      </c>
      <c r="G7793" s="17"/>
      <c r="H7793" s="17" t="s">
        <v>17310</v>
      </c>
      <c r="I7793" s="17"/>
      <c r="J7793" s="17" t="s">
        <v>17311</v>
      </c>
      <c r="K7793" s="17"/>
      <c r="L7793" s="17" t="s">
        <v>17312</v>
      </c>
      <c r="M7793" s="17" t="s">
        <v>42076</v>
      </c>
      <c r="N7793" s="17" t="s">
        <v>42207</v>
      </c>
      <c r="O7793" s="17"/>
      <c r="P7793" s="17" t="s">
        <v>42208</v>
      </c>
      <c r="Q7793" s="17"/>
      <c r="R7793" s="25" t="str">
        <f>HYPERLINK("https://ictv.global/taxonomy/taxondetails?taxnode_id=202318233","Megatotivirus ichi")</f>
        <v>Megatotivirus ichi</v>
      </c>
      <c r="S7793" s="18" t="s">
        <v>30</v>
      </c>
      <c r="T7793" s="18" t="s">
        <v>42209</v>
      </c>
      <c r="U7793" s="18" t="s">
        <v>42210</v>
      </c>
      <c r="V7793" s="18" t="s">
        <v>42211</v>
      </c>
      <c r="W7793" s="18" t="s">
        <v>42212</v>
      </c>
      <c r="X7793" s="18" t="s">
        <v>35</v>
      </c>
      <c r="Y7793" s="18" t="s">
        <v>17196</v>
      </c>
      <c r="Z7793" s="18" t="s">
        <v>16721</v>
      </c>
      <c r="AA7793" s="21" t="str">
        <f>HYPERLINK("https://www.ncbi.nlm.nih.gov/nuccore/LC333746","NCBI Nucleotide")</f>
        <v>NCBI Nucleotide</v>
      </c>
    </row>
    <row r="7794" spans="1:27" x14ac:dyDescent="0.35">
      <c r="A7794">
        <v>1025706</v>
      </c>
      <c r="B7794">
        <v>7253</v>
      </c>
      <c r="C7794">
        <v>1</v>
      </c>
      <c r="D7794" s="17" t="s">
        <v>17166</v>
      </c>
      <c r="E7794" s="17"/>
      <c r="F7794" s="17" t="s">
        <v>17246</v>
      </c>
      <c r="G7794" s="17"/>
      <c r="H7794" s="17" t="s">
        <v>17310</v>
      </c>
      <c r="I7794" s="17"/>
      <c r="J7794" s="17" t="s">
        <v>17311</v>
      </c>
      <c r="K7794" s="17"/>
      <c r="L7794" s="17" t="s">
        <v>17312</v>
      </c>
      <c r="M7794" s="17" t="s">
        <v>42076</v>
      </c>
      <c r="N7794" s="17" t="s">
        <v>42207</v>
      </c>
      <c r="O7794" s="17"/>
      <c r="P7794" s="17" t="s">
        <v>42208</v>
      </c>
      <c r="Q7794" s="17"/>
      <c r="R7794" s="25" t="str">
        <f>HYPERLINK("https://ictv.global/taxonomy/taxondetails?taxnode_id=202318234","Megatotivirus ni")</f>
        <v>Megatotivirus ni</v>
      </c>
      <c r="S7794" s="18" t="s">
        <v>30</v>
      </c>
      <c r="T7794" s="18" t="s">
        <v>42213</v>
      </c>
      <c r="U7794" s="18" t="s">
        <v>42214</v>
      </c>
      <c r="V7794" s="18" t="s">
        <v>42215</v>
      </c>
      <c r="W7794" s="18" t="s">
        <v>42216</v>
      </c>
      <c r="X7794" s="18" t="s">
        <v>42</v>
      </c>
      <c r="Y7794" s="18" t="s">
        <v>17196</v>
      </c>
      <c r="Z7794" s="18" t="s">
        <v>16721</v>
      </c>
      <c r="AA7794" s="21" t="str">
        <f>HYPERLINK("https://www.ncbi.nlm.nih.gov/nuccore/MT876189","NCBI Nucleotide")</f>
        <v>NCBI Nucleotide</v>
      </c>
    </row>
    <row r="7795" spans="1:27" x14ac:dyDescent="0.35">
      <c r="A7795">
        <v>1025652</v>
      </c>
      <c r="B7795">
        <v>7254</v>
      </c>
      <c r="C7795">
        <v>1</v>
      </c>
      <c r="D7795" s="17" t="s">
        <v>17166</v>
      </c>
      <c r="E7795" s="17"/>
      <c r="F7795" s="17" t="s">
        <v>17246</v>
      </c>
      <c r="G7795" s="17"/>
      <c r="H7795" s="17" t="s">
        <v>17310</v>
      </c>
      <c r="I7795" s="17"/>
      <c r="J7795" s="17" t="s">
        <v>17311</v>
      </c>
      <c r="K7795" s="17"/>
      <c r="L7795" s="17" t="s">
        <v>17312</v>
      </c>
      <c r="M7795" s="17" t="s">
        <v>42076</v>
      </c>
      <c r="N7795" s="17" t="s">
        <v>42217</v>
      </c>
      <c r="O7795" s="17"/>
      <c r="P7795" s="17" t="s">
        <v>42218</v>
      </c>
      <c r="Q7795" s="17"/>
      <c r="R7795" s="25" t="str">
        <f>HYPERLINK("https://ictv.global/taxonomy/taxondetails?taxnode_id=202318235","Ootivirus go")</f>
        <v>Ootivirus go</v>
      </c>
      <c r="S7795" s="18" t="s">
        <v>30</v>
      </c>
      <c r="T7795" s="18" t="s">
        <v>42219</v>
      </c>
      <c r="U7795" s="18" t="s">
        <v>42220</v>
      </c>
      <c r="V7795" s="18" t="s">
        <v>42221</v>
      </c>
      <c r="W7795" s="18" t="s">
        <v>42222</v>
      </c>
      <c r="X7795" s="18" t="s">
        <v>35</v>
      </c>
      <c r="Y7795" s="18" t="s">
        <v>17196</v>
      </c>
      <c r="Z7795" s="18" t="s">
        <v>13567</v>
      </c>
      <c r="AA7795" s="21" t="str">
        <f>HYPERLINK("https://www.ncbi.nlm.nih.gov/nuccore/MN545915","NCBI Nucleotide")</f>
        <v>NCBI Nucleotide</v>
      </c>
    </row>
    <row r="7796" spans="1:27" x14ac:dyDescent="0.35">
      <c r="A7796">
        <v>1025653</v>
      </c>
      <c r="B7796">
        <v>7255</v>
      </c>
      <c r="C7796">
        <v>1</v>
      </c>
      <c r="D7796" s="17" t="s">
        <v>17166</v>
      </c>
      <c r="E7796" s="17"/>
      <c r="F7796" s="17" t="s">
        <v>17246</v>
      </c>
      <c r="G7796" s="17"/>
      <c r="H7796" s="17" t="s">
        <v>17310</v>
      </c>
      <c r="I7796" s="17"/>
      <c r="J7796" s="17" t="s">
        <v>17311</v>
      </c>
      <c r="K7796" s="17"/>
      <c r="L7796" s="17" t="s">
        <v>17312</v>
      </c>
      <c r="M7796" s="17" t="s">
        <v>42076</v>
      </c>
      <c r="N7796" s="17" t="s">
        <v>42217</v>
      </c>
      <c r="O7796" s="17"/>
      <c r="P7796" s="17" t="s">
        <v>42218</v>
      </c>
      <c r="Q7796" s="17"/>
      <c r="R7796" s="25" t="str">
        <f>HYPERLINK("https://ictv.global/taxonomy/taxondetails?taxnode_id=202318236","Ootivirus ichi")</f>
        <v>Ootivirus ichi</v>
      </c>
      <c r="S7796" s="18" t="s">
        <v>30</v>
      </c>
      <c r="T7796" s="18" t="s">
        <v>42223</v>
      </c>
      <c r="U7796" s="18" t="s">
        <v>42224</v>
      </c>
      <c r="V7796" s="18" t="s">
        <v>42225</v>
      </c>
      <c r="W7796" s="18" t="s">
        <v>42226</v>
      </c>
      <c r="X7796" s="18" t="s">
        <v>42</v>
      </c>
      <c r="Y7796" s="18" t="s">
        <v>17196</v>
      </c>
      <c r="Z7796" s="18" t="s">
        <v>17496</v>
      </c>
      <c r="AA7796" s="21" t="str">
        <f>HYPERLINK("https://www.ncbi.nlm.nih.gov/nuccore/LC376044","NCBI Nucleotide")</f>
        <v>NCBI Nucleotide</v>
      </c>
    </row>
    <row r="7797" spans="1:27" x14ac:dyDescent="0.35">
      <c r="A7797">
        <v>1025654</v>
      </c>
      <c r="B7797">
        <v>7256</v>
      </c>
      <c r="C7797">
        <v>1</v>
      </c>
      <c r="D7797" s="17" t="s">
        <v>17166</v>
      </c>
      <c r="E7797" s="17"/>
      <c r="F7797" s="17" t="s">
        <v>17246</v>
      </c>
      <c r="G7797" s="17"/>
      <c r="H7797" s="17" t="s">
        <v>17310</v>
      </c>
      <c r="I7797" s="17"/>
      <c r="J7797" s="17" t="s">
        <v>17311</v>
      </c>
      <c r="K7797" s="17"/>
      <c r="L7797" s="17" t="s">
        <v>17312</v>
      </c>
      <c r="M7797" s="17" t="s">
        <v>42076</v>
      </c>
      <c r="N7797" s="17" t="s">
        <v>42217</v>
      </c>
      <c r="O7797" s="17"/>
      <c r="P7797" s="17" t="s">
        <v>42218</v>
      </c>
      <c r="Q7797" s="17"/>
      <c r="R7797" s="25" t="str">
        <f>HYPERLINK("https://ictv.global/taxonomy/taxondetails?taxnode_id=202318237","Ootivirus ni")</f>
        <v>Ootivirus ni</v>
      </c>
      <c r="S7797" s="18" t="s">
        <v>30</v>
      </c>
      <c r="T7797" s="18" t="s">
        <v>42227</v>
      </c>
      <c r="U7797" s="18" t="s">
        <v>42228</v>
      </c>
      <c r="V7797" s="18">
        <v>425508</v>
      </c>
      <c r="W7797" s="18" t="s">
        <v>42229</v>
      </c>
      <c r="X7797" s="18" t="s">
        <v>42</v>
      </c>
      <c r="Y7797" s="18" t="s">
        <v>17196</v>
      </c>
      <c r="Z7797" s="18" t="s">
        <v>17496</v>
      </c>
      <c r="AA7797" s="21" t="str">
        <f>HYPERLINK("https://www.ncbi.nlm.nih.gov/nuccore/LC467965","NCBI Nucleotide")</f>
        <v>NCBI Nucleotide</v>
      </c>
    </row>
    <row r="7798" spans="1:27" x14ac:dyDescent="0.35">
      <c r="A7798">
        <v>1025655</v>
      </c>
      <c r="B7798">
        <v>7257</v>
      </c>
      <c r="C7798">
        <v>1</v>
      </c>
      <c r="D7798" s="17" t="s">
        <v>17166</v>
      </c>
      <c r="E7798" s="17"/>
      <c r="F7798" s="17" t="s">
        <v>17246</v>
      </c>
      <c r="G7798" s="17"/>
      <c r="H7798" s="17" t="s">
        <v>17310</v>
      </c>
      <c r="I7798" s="17"/>
      <c r="J7798" s="17" t="s">
        <v>17311</v>
      </c>
      <c r="K7798" s="17"/>
      <c r="L7798" s="17" t="s">
        <v>17312</v>
      </c>
      <c r="M7798" s="17" t="s">
        <v>42076</v>
      </c>
      <c r="N7798" s="17" t="s">
        <v>42217</v>
      </c>
      <c r="O7798" s="17"/>
      <c r="P7798" s="17" t="s">
        <v>42218</v>
      </c>
      <c r="Q7798" s="17"/>
      <c r="R7798" s="25" t="str">
        <f>HYPERLINK("https://ictv.global/taxonomy/taxondetails?taxnode_id=202318238","Ootivirus roku")</f>
        <v>Ootivirus roku</v>
      </c>
      <c r="S7798" s="18" t="s">
        <v>30</v>
      </c>
      <c r="T7798" s="18" t="s">
        <v>42230</v>
      </c>
      <c r="U7798" s="18" t="s">
        <v>42231</v>
      </c>
      <c r="V7798" s="18" t="s">
        <v>42232</v>
      </c>
      <c r="W7798" s="18" t="s">
        <v>42233</v>
      </c>
      <c r="X7798" s="18" t="s">
        <v>42</v>
      </c>
      <c r="Y7798" s="18" t="s">
        <v>17196</v>
      </c>
      <c r="Z7798" s="18" t="s">
        <v>17496</v>
      </c>
      <c r="AA7798" s="21" t="str">
        <f>HYPERLINK("https://www.ncbi.nlm.nih.gov/nuccore/MW503714","NCBI Nucleotide")</f>
        <v>NCBI Nucleotide</v>
      </c>
    </row>
    <row r="7799" spans="1:27" x14ac:dyDescent="0.35">
      <c r="A7799">
        <v>1025656</v>
      </c>
      <c r="B7799">
        <v>7258</v>
      </c>
      <c r="C7799">
        <v>1</v>
      </c>
      <c r="D7799" s="17" t="s">
        <v>17166</v>
      </c>
      <c r="E7799" s="17"/>
      <c r="F7799" s="17" t="s">
        <v>17246</v>
      </c>
      <c r="G7799" s="17"/>
      <c r="H7799" s="17" t="s">
        <v>17310</v>
      </c>
      <c r="I7799" s="17"/>
      <c r="J7799" s="17" t="s">
        <v>17311</v>
      </c>
      <c r="K7799" s="17"/>
      <c r="L7799" s="17" t="s">
        <v>17312</v>
      </c>
      <c r="M7799" s="17" t="s">
        <v>42076</v>
      </c>
      <c r="N7799" s="17" t="s">
        <v>42217</v>
      </c>
      <c r="O7799" s="17"/>
      <c r="P7799" s="17" t="s">
        <v>42218</v>
      </c>
      <c r="Q7799" s="17"/>
      <c r="R7799" s="25" t="str">
        <f>HYPERLINK("https://ictv.global/taxonomy/taxondetails?taxnode_id=202318239","Ootivirus sani")</f>
        <v>Ootivirus sani</v>
      </c>
      <c r="S7799" s="18" t="s">
        <v>30</v>
      </c>
      <c r="T7799" s="18" t="s">
        <v>42234</v>
      </c>
      <c r="U7799" s="18" t="s">
        <v>42235</v>
      </c>
      <c r="V7799" s="18" t="s">
        <v>42236</v>
      </c>
      <c r="W7799" s="18" t="s">
        <v>42237</v>
      </c>
      <c r="X7799" s="18" t="s">
        <v>42</v>
      </c>
      <c r="Y7799" s="18" t="s">
        <v>17196</v>
      </c>
      <c r="Z7799" s="18" t="s">
        <v>17496</v>
      </c>
      <c r="AA7799" s="21" t="str">
        <f>HYPERLINK("https://www.ncbi.nlm.nih.gov/nuccore/MN956531","NCBI Nucleotide")</f>
        <v>NCBI Nucleotide</v>
      </c>
    </row>
    <row r="7800" spans="1:27" x14ac:dyDescent="0.35">
      <c r="A7800">
        <v>1025657</v>
      </c>
      <c r="B7800">
        <v>7259</v>
      </c>
      <c r="C7800">
        <v>1</v>
      </c>
      <c r="D7800" s="17" t="s">
        <v>17166</v>
      </c>
      <c r="E7800" s="17"/>
      <c r="F7800" s="17" t="s">
        <v>17246</v>
      </c>
      <c r="G7800" s="17"/>
      <c r="H7800" s="17" t="s">
        <v>17310</v>
      </c>
      <c r="I7800" s="17"/>
      <c r="J7800" s="17" t="s">
        <v>17311</v>
      </c>
      <c r="K7800" s="17"/>
      <c r="L7800" s="17" t="s">
        <v>17312</v>
      </c>
      <c r="M7800" s="17" t="s">
        <v>42076</v>
      </c>
      <c r="N7800" s="17" t="s">
        <v>42217</v>
      </c>
      <c r="O7800" s="17"/>
      <c r="P7800" s="17" t="s">
        <v>42218</v>
      </c>
      <c r="Q7800" s="17"/>
      <c r="R7800" s="25" t="str">
        <f>HYPERLINK("https://ictv.global/taxonomy/taxondetails?taxnode_id=202318240","Ootivirus shi")</f>
        <v>Ootivirus shi</v>
      </c>
      <c r="S7800" s="18" t="s">
        <v>30</v>
      </c>
      <c r="T7800" s="18" t="s">
        <v>42238</v>
      </c>
      <c r="U7800" s="18" t="s">
        <v>42239</v>
      </c>
      <c r="V7800" s="18" t="s">
        <v>42240</v>
      </c>
      <c r="W7800" s="18" t="s">
        <v>42241</v>
      </c>
      <c r="X7800" s="18" t="s">
        <v>35</v>
      </c>
      <c r="Y7800" s="18" t="s">
        <v>17196</v>
      </c>
      <c r="Z7800" s="18" t="s">
        <v>13567</v>
      </c>
      <c r="AA7800" s="21" t="str">
        <f>HYPERLINK("https://www.ncbi.nlm.nih.gov/nuccore/MN545914","NCBI Nucleotide")</f>
        <v>NCBI Nucleotide</v>
      </c>
    </row>
    <row r="7801" spans="1:27" x14ac:dyDescent="0.35">
      <c r="A7801">
        <v>1025658</v>
      </c>
      <c r="B7801">
        <v>7260</v>
      </c>
      <c r="C7801">
        <v>1</v>
      </c>
      <c r="D7801" s="17" t="s">
        <v>17166</v>
      </c>
      <c r="E7801" s="17"/>
      <c r="F7801" s="17" t="s">
        <v>17246</v>
      </c>
      <c r="G7801" s="17"/>
      <c r="H7801" s="17" t="s">
        <v>17310</v>
      </c>
      <c r="I7801" s="17"/>
      <c r="J7801" s="17" t="s">
        <v>17311</v>
      </c>
      <c r="K7801" s="17"/>
      <c r="L7801" s="17" t="s">
        <v>17312</v>
      </c>
      <c r="M7801" s="17" t="s">
        <v>42076</v>
      </c>
      <c r="N7801" s="17" t="s">
        <v>42217</v>
      </c>
      <c r="O7801" s="17"/>
      <c r="P7801" s="17" t="s">
        <v>42218</v>
      </c>
      <c r="Q7801" s="17"/>
      <c r="R7801" s="25" t="str">
        <f>HYPERLINK("https://ictv.global/taxonomy/taxondetails?taxnode_id=202318241","Ootivirus shichi")</f>
        <v>Ootivirus shichi</v>
      </c>
      <c r="S7801" s="18" t="s">
        <v>30</v>
      </c>
      <c r="T7801" s="18" t="s">
        <v>42242</v>
      </c>
      <c r="U7801" s="18" t="s">
        <v>42243</v>
      </c>
      <c r="V7801" s="18" t="s">
        <v>42244</v>
      </c>
      <c r="W7801" s="18" t="s">
        <v>42245</v>
      </c>
      <c r="X7801" s="18" t="s">
        <v>42</v>
      </c>
      <c r="Y7801" s="18" t="s">
        <v>17196</v>
      </c>
      <c r="Z7801" s="18" t="s">
        <v>17496</v>
      </c>
      <c r="AA7801" s="21" t="str">
        <f>HYPERLINK("https://www.ncbi.nlm.nih.gov/nuccore/LC622069","NCBI Nucleotide")</f>
        <v>NCBI Nucleotide</v>
      </c>
    </row>
    <row r="7802" spans="1:27" x14ac:dyDescent="0.35">
      <c r="A7802">
        <v>1025659</v>
      </c>
      <c r="B7802">
        <v>7261</v>
      </c>
      <c r="C7802">
        <v>1</v>
      </c>
      <c r="D7802" s="17" t="s">
        <v>17166</v>
      </c>
      <c r="E7802" s="17"/>
      <c r="F7802" s="17" t="s">
        <v>17246</v>
      </c>
      <c r="G7802" s="17"/>
      <c r="H7802" s="17" t="s">
        <v>17310</v>
      </c>
      <c r="I7802" s="17"/>
      <c r="J7802" s="17" t="s">
        <v>17311</v>
      </c>
      <c r="K7802" s="17"/>
      <c r="L7802" s="17" t="s">
        <v>17312</v>
      </c>
      <c r="M7802" s="17" t="s">
        <v>42076</v>
      </c>
      <c r="N7802" s="17" t="s">
        <v>42246</v>
      </c>
      <c r="O7802" s="17"/>
      <c r="P7802" s="17" t="s">
        <v>42247</v>
      </c>
      <c r="Q7802" s="17"/>
      <c r="R7802" s="25" t="str">
        <f>HYPERLINK("https://ictv.global/taxonomy/taxondetails?taxnode_id=202318242","Pistolvirus ichi")</f>
        <v>Pistolvirus ichi</v>
      </c>
      <c r="S7802" s="18" t="s">
        <v>30</v>
      </c>
      <c r="T7802" s="18" t="s">
        <v>50939</v>
      </c>
      <c r="U7802" s="18" t="s">
        <v>42248</v>
      </c>
      <c r="V7802" s="18" t="s">
        <v>42249</v>
      </c>
      <c r="W7802" s="18" t="s">
        <v>42250</v>
      </c>
      <c r="X7802" s="18" t="s">
        <v>42</v>
      </c>
      <c r="Y7802" s="18" t="s">
        <v>17196</v>
      </c>
      <c r="Z7802" s="18" t="s">
        <v>166</v>
      </c>
      <c r="AA7802" s="21" t="str">
        <f>HYPERLINK("https://www.ncbi.nlm.nih.gov/nuccore/HQ339954","NCBI Nucleotide")</f>
        <v>NCBI Nucleotide</v>
      </c>
    </row>
    <row r="7803" spans="1:27" x14ac:dyDescent="0.35">
      <c r="A7803">
        <v>1025660</v>
      </c>
      <c r="B7803">
        <v>7262</v>
      </c>
      <c r="C7803">
        <v>1</v>
      </c>
      <c r="D7803" s="17" t="s">
        <v>17166</v>
      </c>
      <c r="E7803" s="17"/>
      <c r="F7803" s="17" t="s">
        <v>17246</v>
      </c>
      <c r="G7803" s="17"/>
      <c r="H7803" s="17" t="s">
        <v>17310</v>
      </c>
      <c r="I7803" s="17"/>
      <c r="J7803" s="17" t="s">
        <v>17311</v>
      </c>
      <c r="K7803" s="17"/>
      <c r="L7803" s="17" t="s">
        <v>17312</v>
      </c>
      <c r="M7803" s="17" t="s">
        <v>42076</v>
      </c>
      <c r="N7803" s="17" t="s">
        <v>42246</v>
      </c>
      <c r="O7803" s="17"/>
      <c r="P7803" s="17" t="s">
        <v>42247</v>
      </c>
      <c r="Q7803" s="17"/>
      <c r="R7803" s="25" t="str">
        <f>HYPERLINK("https://ictv.global/taxonomy/taxondetails?taxnode_id=202318243","Pistolvirus ni")</f>
        <v>Pistolvirus ni</v>
      </c>
      <c r="S7803" s="18" t="s">
        <v>30</v>
      </c>
      <c r="T7803" s="18" t="s">
        <v>50940</v>
      </c>
      <c r="U7803" s="18" t="s">
        <v>42251</v>
      </c>
      <c r="V7803" s="18" t="s">
        <v>42252</v>
      </c>
      <c r="W7803" s="18" t="s">
        <v>42253</v>
      </c>
      <c r="X7803" s="18" t="s">
        <v>42</v>
      </c>
      <c r="Y7803" s="18" t="s">
        <v>17196</v>
      </c>
      <c r="Z7803" s="18" t="s">
        <v>166</v>
      </c>
      <c r="AA7803" s="21" t="str">
        <f>HYPERLINK("https://www.ncbi.nlm.nih.gov/nuccore/KT725636","NCBI Nucleotide")</f>
        <v>NCBI Nucleotide</v>
      </c>
    </row>
    <row r="7804" spans="1:27" x14ac:dyDescent="0.35">
      <c r="A7804">
        <v>1025661</v>
      </c>
      <c r="B7804">
        <v>7263</v>
      </c>
      <c r="C7804">
        <v>1</v>
      </c>
      <c r="D7804" s="17" t="s">
        <v>17166</v>
      </c>
      <c r="E7804" s="17"/>
      <c r="F7804" s="17" t="s">
        <v>17246</v>
      </c>
      <c r="G7804" s="17"/>
      <c r="H7804" s="17" t="s">
        <v>17310</v>
      </c>
      <c r="I7804" s="17"/>
      <c r="J7804" s="17" t="s">
        <v>17311</v>
      </c>
      <c r="K7804" s="17"/>
      <c r="L7804" s="17" t="s">
        <v>17312</v>
      </c>
      <c r="M7804" s="17" t="s">
        <v>42076</v>
      </c>
      <c r="N7804" s="17" t="s">
        <v>42246</v>
      </c>
      <c r="O7804" s="17"/>
      <c r="P7804" s="17" t="s">
        <v>42247</v>
      </c>
      <c r="Q7804" s="17"/>
      <c r="R7804" s="25" t="str">
        <f>HYPERLINK("https://ictv.global/taxonomy/taxondetails?taxnode_id=202318244","Pistolvirus sani")</f>
        <v>Pistolvirus sani</v>
      </c>
      <c r="S7804" s="18" t="s">
        <v>30</v>
      </c>
      <c r="T7804" s="18" t="s">
        <v>42254</v>
      </c>
      <c r="U7804" s="18" t="s">
        <v>42255</v>
      </c>
      <c r="V7804" s="18" t="s">
        <v>42256</v>
      </c>
      <c r="W7804" s="18" t="s">
        <v>42257</v>
      </c>
      <c r="X7804" s="18" t="s">
        <v>42</v>
      </c>
      <c r="Y7804" s="18" t="s">
        <v>17196</v>
      </c>
      <c r="Z7804" s="18" t="s">
        <v>166</v>
      </c>
      <c r="AA7804" s="21" t="str">
        <f>HYPERLINK("https://www.ncbi.nlm.nih.gov/nuccore/MW811138","NCBI Nucleotide")</f>
        <v>NCBI Nucleotide</v>
      </c>
    </row>
    <row r="7805" spans="1:27" x14ac:dyDescent="0.35">
      <c r="A7805">
        <v>1025662</v>
      </c>
      <c r="B7805">
        <v>7264</v>
      </c>
      <c r="C7805">
        <v>1</v>
      </c>
      <c r="D7805" s="17" t="s">
        <v>17166</v>
      </c>
      <c r="E7805" s="17"/>
      <c r="F7805" s="17" t="s">
        <v>17246</v>
      </c>
      <c r="G7805" s="17"/>
      <c r="H7805" s="17" t="s">
        <v>17310</v>
      </c>
      <c r="I7805" s="17"/>
      <c r="J7805" s="17" t="s">
        <v>17311</v>
      </c>
      <c r="K7805" s="17"/>
      <c r="L7805" s="17" t="s">
        <v>17312</v>
      </c>
      <c r="M7805" s="17" t="s">
        <v>42076</v>
      </c>
      <c r="N7805" s="17" t="s">
        <v>42246</v>
      </c>
      <c r="O7805" s="17"/>
      <c r="P7805" s="17" t="s">
        <v>42247</v>
      </c>
      <c r="Q7805" s="17"/>
      <c r="R7805" s="25" t="str">
        <f>HYPERLINK("https://ictv.global/taxonomy/taxondetails?taxnode_id=202318245","Pistolvirus shi")</f>
        <v>Pistolvirus shi</v>
      </c>
      <c r="S7805" s="18" t="s">
        <v>30</v>
      </c>
      <c r="T7805" s="18" t="s">
        <v>50941</v>
      </c>
      <c r="U7805" s="18" t="s">
        <v>42258</v>
      </c>
      <c r="V7805" s="18" t="s">
        <v>42259</v>
      </c>
      <c r="W7805" s="18" t="s">
        <v>42260</v>
      </c>
      <c r="X7805" s="18" t="s">
        <v>42</v>
      </c>
      <c r="Y7805" s="18" t="s">
        <v>17196</v>
      </c>
      <c r="Z7805" s="18" t="s">
        <v>166</v>
      </c>
      <c r="AA7805" s="21" t="str">
        <f>HYPERLINK("https://www.ncbi.nlm.nih.gov/nuccore/MW893686","NCBI Nucleotide")</f>
        <v>NCBI Nucleotide</v>
      </c>
    </row>
    <row r="7806" spans="1:27" x14ac:dyDescent="0.35">
      <c r="A7806">
        <v>1025757</v>
      </c>
      <c r="B7806">
        <v>7265</v>
      </c>
      <c r="C7806">
        <v>1</v>
      </c>
      <c r="D7806" s="17" t="s">
        <v>17166</v>
      </c>
      <c r="E7806" s="17"/>
      <c r="F7806" s="17" t="s">
        <v>17246</v>
      </c>
      <c r="G7806" s="17"/>
      <c r="H7806" s="17" t="s">
        <v>17310</v>
      </c>
      <c r="I7806" s="17"/>
      <c r="J7806" s="17" t="s">
        <v>17311</v>
      </c>
      <c r="K7806" s="17"/>
      <c r="L7806" s="17" t="s">
        <v>17312</v>
      </c>
      <c r="M7806" s="17" t="s">
        <v>42076</v>
      </c>
      <c r="N7806" s="17" t="s">
        <v>42261</v>
      </c>
      <c r="O7806" s="17"/>
      <c r="P7806" s="17" t="s">
        <v>42262</v>
      </c>
      <c r="Q7806" s="17"/>
      <c r="R7806" s="25" t="str">
        <f>HYPERLINK("https://ictv.global/taxonomy/taxondetails?taxnode_id=202318246","Yadonushivirus ichi")</f>
        <v>Yadonushivirus ichi</v>
      </c>
      <c r="S7806" s="18" t="s">
        <v>30</v>
      </c>
      <c r="T7806" s="18" t="s">
        <v>42263</v>
      </c>
      <c r="U7806" s="18" t="s">
        <v>42264</v>
      </c>
      <c r="V7806" s="18" t="s">
        <v>42265</v>
      </c>
      <c r="W7806" s="18" t="s">
        <v>42266</v>
      </c>
      <c r="X7806" s="18" t="s">
        <v>42</v>
      </c>
      <c r="Y7806" s="18" t="s">
        <v>17196</v>
      </c>
      <c r="Z7806" s="18" t="s">
        <v>16721</v>
      </c>
      <c r="AA7806" s="21" t="str">
        <f>HYPERLINK("https://www.ncbi.nlm.nih.gov/nuccore/LC061478","NCBI Nucleotide")</f>
        <v>NCBI Nucleotide</v>
      </c>
    </row>
    <row r="7807" spans="1:27" x14ac:dyDescent="0.35">
      <c r="A7807">
        <v>1008356</v>
      </c>
      <c r="B7807">
        <v>7266</v>
      </c>
      <c r="C7807">
        <v>1</v>
      </c>
      <c r="D7807" s="17" t="s">
        <v>17166</v>
      </c>
      <c r="E7807" s="17"/>
      <c r="F7807" s="17" t="s">
        <v>17246</v>
      </c>
      <c r="G7807" s="17"/>
      <c r="H7807" s="17" t="s">
        <v>17310</v>
      </c>
      <c r="I7807" s="17"/>
      <c r="J7807" s="17" t="s">
        <v>17311</v>
      </c>
      <c r="K7807" s="17"/>
      <c r="L7807" s="17" t="s">
        <v>17312</v>
      </c>
      <c r="M7807" s="17" t="s">
        <v>42267</v>
      </c>
      <c r="N7807" s="17" t="s">
        <v>17313</v>
      </c>
      <c r="O7807" s="17"/>
      <c r="P7807" s="17" t="s">
        <v>17314</v>
      </c>
      <c r="Q7807" s="17"/>
      <c r="R7807" s="25" t="str">
        <f>HYPERLINK("https://ictv.global/taxonomy/taxondetails?taxnode_id=202314983","Alternavirus alternariae")</f>
        <v>Alternavirus alternariae</v>
      </c>
      <c r="S7807" s="18" t="s">
        <v>30</v>
      </c>
      <c r="T7807" s="18" t="s">
        <v>17315</v>
      </c>
      <c r="U7807" s="18" t="s">
        <v>17316</v>
      </c>
      <c r="V7807" s="18" t="s">
        <v>17317</v>
      </c>
      <c r="W7807" s="18" t="s">
        <v>42268</v>
      </c>
      <c r="X7807" s="18" t="s">
        <v>42</v>
      </c>
      <c r="Y7807" s="18" t="s">
        <v>17196</v>
      </c>
      <c r="Z7807" s="18" t="s">
        <v>16721</v>
      </c>
      <c r="AA7807" s="21" t="str">
        <f>HYPERLINK("https://www.ncbi.nlm.nih.gov/nuccore/AB368492,AB438027,AB438028,AB438029","NCBI Nucleotide")</f>
        <v>NCBI Nucleotide</v>
      </c>
    </row>
    <row r="7808" spans="1:27" x14ac:dyDescent="0.35">
      <c r="A7808">
        <v>1008357</v>
      </c>
      <c r="B7808">
        <v>7267</v>
      </c>
      <c r="C7808">
        <v>1</v>
      </c>
      <c r="D7808" s="17" t="s">
        <v>17166</v>
      </c>
      <c r="E7808" s="17"/>
      <c r="F7808" s="17" t="s">
        <v>17246</v>
      </c>
      <c r="G7808" s="17"/>
      <c r="H7808" s="17" t="s">
        <v>17310</v>
      </c>
      <c r="I7808" s="17"/>
      <c r="J7808" s="17" t="s">
        <v>17311</v>
      </c>
      <c r="K7808" s="17"/>
      <c r="L7808" s="17" t="s">
        <v>17312</v>
      </c>
      <c r="M7808" s="17" t="s">
        <v>42267</v>
      </c>
      <c r="N7808" s="17" t="s">
        <v>17313</v>
      </c>
      <c r="O7808" s="17"/>
      <c r="P7808" s="17" t="s">
        <v>17314</v>
      </c>
      <c r="Q7808" s="17"/>
      <c r="R7808" s="25" t="str">
        <f>HYPERLINK("https://ictv.global/taxonomy/taxondetails?taxnode_id=202314984","Alternavirus aspergilli")</f>
        <v>Alternavirus aspergilli</v>
      </c>
      <c r="S7808" s="18" t="s">
        <v>30</v>
      </c>
      <c r="T7808" s="18" t="s">
        <v>17318</v>
      </c>
      <c r="U7808" s="18" t="s">
        <v>17319</v>
      </c>
      <c r="V7808" s="18" t="s">
        <v>17320</v>
      </c>
      <c r="W7808" s="18" t="s">
        <v>42269</v>
      </c>
      <c r="X7808" s="18" t="s">
        <v>42</v>
      </c>
      <c r="Y7808" s="18" t="s">
        <v>17196</v>
      </c>
      <c r="Z7808" s="18" t="s">
        <v>16721</v>
      </c>
      <c r="AA7808" s="21" t="str">
        <f>HYPERLINK("https://www.ncbi.nlm.nih.gov/nuccore/HE588144,HE588145,HE588146,HE647818","NCBI Nucleotide")</f>
        <v>NCBI Nucleotide</v>
      </c>
    </row>
    <row r="7809" spans="1:27" x14ac:dyDescent="0.35">
      <c r="A7809">
        <v>1008358</v>
      </c>
      <c r="B7809">
        <v>7268</v>
      </c>
      <c r="C7809">
        <v>1</v>
      </c>
      <c r="D7809" s="17" t="s">
        <v>17166</v>
      </c>
      <c r="E7809" s="17"/>
      <c r="F7809" s="17" t="s">
        <v>17246</v>
      </c>
      <c r="G7809" s="17"/>
      <c r="H7809" s="17" t="s">
        <v>17310</v>
      </c>
      <c r="I7809" s="17"/>
      <c r="J7809" s="17" t="s">
        <v>17311</v>
      </c>
      <c r="K7809" s="17"/>
      <c r="L7809" s="17" t="s">
        <v>17312</v>
      </c>
      <c r="M7809" s="17" t="s">
        <v>42267</v>
      </c>
      <c r="N7809" s="17" t="s">
        <v>17313</v>
      </c>
      <c r="O7809" s="17"/>
      <c r="P7809" s="17" t="s">
        <v>17314</v>
      </c>
      <c r="Q7809" s="17"/>
      <c r="R7809" s="25" t="str">
        <f>HYPERLINK("https://ictv.global/taxonomy/taxondetails?taxnode_id=202314985","Alternavirus cordycipitae")</f>
        <v>Alternavirus cordycipitae</v>
      </c>
      <c r="S7809" s="18" t="s">
        <v>30</v>
      </c>
      <c r="T7809" s="18" t="s">
        <v>17321</v>
      </c>
      <c r="U7809" s="18" t="s">
        <v>17322</v>
      </c>
      <c r="V7809" s="18" t="s">
        <v>17323</v>
      </c>
      <c r="W7809" s="18" t="s">
        <v>42270</v>
      </c>
      <c r="X7809" s="18" t="s">
        <v>42</v>
      </c>
      <c r="Y7809" s="18" t="s">
        <v>17196</v>
      </c>
      <c r="Z7809" s="18" t="s">
        <v>16721</v>
      </c>
      <c r="AA7809" s="21" t="str">
        <f>HYPERLINK("https://www.ncbi.nlm.nih.gov/nuccore/OK481552,OK481553,OK481554","NCBI Nucleotide")</f>
        <v>NCBI Nucleotide</v>
      </c>
    </row>
    <row r="7810" spans="1:27" x14ac:dyDescent="0.35">
      <c r="A7810">
        <v>1008359</v>
      </c>
      <c r="B7810">
        <v>7269</v>
      </c>
      <c r="C7810">
        <v>1</v>
      </c>
      <c r="D7810" s="17" t="s">
        <v>17166</v>
      </c>
      <c r="E7810" s="17"/>
      <c r="F7810" s="17" t="s">
        <v>17246</v>
      </c>
      <c r="G7810" s="17"/>
      <c r="H7810" s="17" t="s">
        <v>17310</v>
      </c>
      <c r="I7810" s="17"/>
      <c r="J7810" s="17" t="s">
        <v>17311</v>
      </c>
      <c r="K7810" s="17"/>
      <c r="L7810" s="17" t="s">
        <v>17312</v>
      </c>
      <c r="M7810" s="17" t="s">
        <v>42267</v>
      </c>
      <c r="N7810" s="17" t="s">
        <v>17313</v>
      </c>
      <c r="O7810" s="17"/>
      <c r="P7810" s="17" t="s">
        <v>17314</v>
      </c>
      <c r="Q7810" s="17"/>
      <c r="R7810" s="25" t="str">
        <f>HYPERLINK("https://ictv.global/taxonomy/taxondetails?taxnode_id=202314986","Alternavirus foxispori")</f>
        <v>Alternavirus foxispori</v>
      </c>
      <c r="S7810" s="18" t="s">
        <v>30</v>
      </c>
      <c r="T7810" s="18" t="s">
        <v>17324</v>
      </c>
      <c r="U7810" s="18" t="s">
        <v>17325</v>
      </c>
      <c r="V7810" s="18" t="s">
        <v>17326</v>
      </c>
      <c r="W7810" s="18" t="s">
        <v>42271</v>
      </c>
      <c r="X7810" s="18" t="s">
        <v>42</v>
      </c>
      <c r="Y7810" s="18" t="s">
        <v>17196</v>
      </c>
      <c r="Z7810" s="18" t="s">
        <v>16721</v>
      </c>
      <c r="AA7810" s="21" t="str">
        <f>HYPERLINK("https://www.ncbi.nlm.nih.gov/nuccore/MT659125,MT659126,MT659127,MT659128","NCBI Nucleotide")</f>
        <v>NCBI Nucleotide</v>
      </c>
    </row>
    <row r="7811" spans="1:27" x14ac:dyDescent="0.35">
      <c r="A7811">
        <v>1008360</v>
      </c>
      <c r="B7811">
        <v>7270</v>
      </c>
      <c r="C7811">
        <v>1</v>
      </c>
      <c r="D7811" s="17" t="s">
        <v>17166</v>
      </c>
      <c r="E7811" s="17"/>
      <c r="F7811" s="17" t="s">
        <v>17246</v>
      </c>
      <c r="G7811" s="17"/>
      <c r="H7811" s="17" t="s">
        <v>17310</v>
      </c>
      <c r="I7811" s="17"/>
      <c r="J7811" s="17" t="s">
        <v>17311</v>
      </c>
      <c r="K7811" s="17"/>
      <c r="L7811" s="17" t="s">
        <v>17312</v>
      </c>
      <c r="M7811" s="17" t="s">
        <v>42267</v>
      </c>
      <c r="N7811" s="17" t="s">
        <v>17313</v>
      </c>
      <c r="O7811" s="17"/>
      <c r="P7811" s="17" t="s">
        <v>17314</v>
      </c>
      <c r="Q7811" s="17"/>
      <c r="R7811" s="25" t="str">
        <f>HYPERLINK("https://ictv.global/taxonomy/taxondetails?taxnode_id=202314987","Alternavirus fusarii")</f>
        <v>Alternavirus fusarii</v>
      </c>
      <c r="S7811" s="18" t="s">
        <v>30</v>
      </c>
      <c r="T7811" s="18" t="s">
        <v>17327</v>
      </c>
      <c r="U7811" s="18" t="s">
        <v>17328</v>
      </c>
      <c r="V7811" s="18" t="s">
        <v>17329</v>
      </c>
      <c r="W7811" s="18" t="s">
        <v>50775</v>
      </c>
      <c r="X7811" s="18" t="s">
        <v>42</v>
      </c>
      <c r="Y7811" s="18" t="s">
        <v>17196</v>
      </c>
      <c r="Z7811" s="18" t="s">
        <v>16721</v>
      </c>
      <c r="AA7811" s="21" t="str">
        <f>HYPERLINK("https://www.ncbi.nlm.nih.gov/nuccore/MG254901,MG254902,MG697236","NCBI Nucleotide")</f>
        <v>NCBI Nucleotide</v>
      </c>
    </row>
    <row r="7812" spans="1:27" x14ac:dyDescent="0.35">
      <c r="A7812">
        <v>1008422</v>
      </c>
      <c r="B7812">
        <v>7271</v>
      </c>
      <c r="C7812">
        <v>1</v>
      </c>
      <c r="D7812" s="17" t="s">
        <v>17166</v>
      </c>
      <c r="E7812" s="17"/>
      <c r="F7812" s="17" t="s">
        <v>17246</v>
      </c>
      <c r="G7812" s="17"/>
      <c r="H7812" s="17" t="s">
        <v>17310</v>
      </c>
      <c r="I7812" s="17"/>
      <c r="J7812" s="17" t="s">
        <v>17604</v>
      </c>
      <c r="K7812" s="17"/>
      <c r="L7812" s="17" t="s">
        <v>17605</v>
      </c>
      <c r="M7812" s="17"/>
      <c r="N7812" s="17" t="s">
        <v>17606</v>
      </c>
      <c r="O7812" s="17"/>
      <c r="P7812" s="17" t="s">
        <v>17607</v>
      </c>
      <c r="Q7812" s="17"/>
      <c r="R7812" s="25" t="str">
        <f>HYPERLINK("https://ictv.global/taxonomy/taxondetails?taxnode_id=202304874","Cardoreovirus eriocheiris")</f>
        <v>Cardoreovirus eriocheiris</v>
      </c>
      <c r="S7812" s="18" t="s">
        <v>30</v>
      </c>
      <c r="T7812" s="18" t="s">
        <v>17608</v>
      </c>
      <c r="U7812" s="18" t="s">
        <v>17609</v>
      </c>
      <c r="V7812" s="18">
        <v>905</v>
      </c>
      <c r="W7812" s="18" t="s">
        <v>17610</v>
      </c>
      <c r="X7812" s="18" t="s">
        <v>154</v>
      </c>
      <c r="Y7812" s="18" t="s">
        <v>17196</v>
      </c>
      <c r="Z7812" s="18" t="s">
        <v>10790</v>
      </c>
      <c r="AA7812" s="21" t="str">
        <f>HYPERLINK("https://www.ncbi.nlm.nih.gov/nuccore/AY542965","NCBI Nucleotide")</f>
        <v>NCBI Nucleotide</v>
      </c>
    </row>
    <row r="7813" spans="1:27" x14ac:dyDescent="0.35">
      <c r="A7813">
        <v>1008423</v>
      </c>
      <c r="B7813">
        <v>7272</v>
      </c>
      <c r="C7813">
        <v>1</v>
      </c>
      <c r="D7813" s="17" t="s">
        <v>17166</v>
      </c>
      <c r="E7813" s="17"/>
      <c r="F7813" s="17" t="s">
        <v>17246</v>
      </c>
      <c r="G7813" s="17"/>
      <c r="H7813" s="17" t="s">
        <v>17310</v>
      </c>
      <c r="I7813" s="17"/>
      <c r="J7813" s="17" t="s">
        <v>17604</v>
      </c>
      <c r="K7813" s="17"/>
      <c r="L7813" s="17" t="s">
        <v>17605</v>
      </c>
      <c r="M7813" s="17"/>
      <c r="N7813" s="17" t="s">
        <v>17606</v>
      </c>
      <c r="O7813" s="17"/>
      <c r="P7813" s="17" t="s">
        <v>17611</v>
      </c>
      <c r="Q7813" s="17"/>
      <c r="R7813" s="25" t="str">
        <f>HYPERLINK("https://ictv.global/taxonomy/taxondetails?taxnode_id=202304876","Mimoreovirus micromonadis")</f>
        <v>Mimoreovirus micromonadis</v>
      </c>
      <c r="S7813" s="18" t="s">
        <v>30</v>
      </c>
      <c r="T7813" s="18" t="s">
        <v>17612</v>
      </c>
      <c r="U7813" s="18" t="s">
        <v>17613</v>
      </c>
      <c r="V7813" s="18" t="s">
        <v>17614</v>
      </c>
      <c r="W7813" s="18" t="s">
        <v>17615</v>
      </c>
      <c r="X7813" s="18" t="s">
        <v>42</v>
      </c>
      <c r="Y7813" s="18" t="s">
        <v>17196</v>
      </c>
      <c r="Z7813" s="18" t="s">
        <v>17496</v>
      </c>
      <c r="AA7813" s="21" t="str">
        <f>HYPERLINK("https://www.ncbi.nlm.nih.gov/nuccore/DQ126101,DQ126102,DQ126103,DQ126104,DQ126105,DQ126106,DQ126107,DQ126108,DQ126109,DQ126110,DQ126111","NCBI Nucleotide")</f>
        <v>NCBI Nucleotide</v>
      </c>
    </row>
    <row r="7814" spans="1:27" x14ac:dyDescent="0.35">
      <c r="A7814">
        <v>1008424</v>
      </c>
      <c r="B7814">
        <v>7273</v>
      </c>
      <c r="C7814">
        <v>1</v>
      </c>
      <c r="D7814" s="17" t="s">
        <v>17166</v>
      </c>
      <c r="E7814" s="17"/>
      <c r="F7814" s="17" t="s">
        <v>17246</v>
      </c>
      <c r="G7814" s="17"/>
      <c r="H7814" s="17" t="s">
        <v>17310</v>
      </c>
      <c r="I7814" s="17"/>
      <c r="J7814" s="17" t="s">
        <v>17604</v>
      </c>
      <c r="K7814" s="17"/>
      <c r="L7814" s="17" t="s">
        <v>17605</v>
      </c>
      <c r="M7814" s="17"/>
      <c r="N7814" s="17" t="s">
        <v>17606</v>
      </c>
      <c r="O7814" s="17"/>
      <c r="P7814" s="17" t="s">
        <v>17616</v>
      </c>
      <c r="Q7814" s="17"/>
      <c r="R7814" s="25" t="str">
        <f>HYPERLINK("https://ictv.global/taxonomy/taxondetails?taxnode_id=202304878","Orbivirus alphaequi")</f>
        <v>Orbivirus alphaequi</v>
      </c>
      <c r="S7814" s="18" t="s">
        <v>30</v>
      </c>
      <c r="T7814" s="18" t="s">
        <v>17617</v>
      </c>
      <c r="U7814" s="18" t="s">
        <v>17618</v>
      </c>
      <c r="V7814" s="18" t="s">
        <v>17619</v>
      </c>
      <c r="W7814" s="18" t="s">
        <v>50486</v>
      </c>
      <c r="X7814" s="18" t="s">
        <v>42</v>
      </c>
      <c r="Y7814" s="18" t="s">
        <v>17196</v>
      </c>
      <c r="Z7814" s="18" t="s">
        <v>12289</v>
      </c>
      <c r="AA7814" s="21" t="str">
        <f>HYPERLINK("https://www.ncbi.nlm.nih.gov/nuccore/U94887,AF021235,M94681,D14402,U73658,M94682,D12533,M69090,U33000,D12479","NCBI Nucleotide")</f>
        <v>NCBI Nucleotide</v>
      </c>
    </row>
    <row r="7815" spans="1:27" x14ac:dyDescent="0.35">
      <c r="A7815">
        <v>1008429</v>
      </c>
      <c r="B7815">
        <v>7274</v>
      </c>
      <c r="C7815">
        <v>1</v>
      </c>
      <c r="D7815" s="17" t="s">
        <v>17166</v>
      </c>
      <c r="E7815" s="17"/>
      <c r="F7815" s="17" t="s">
        <v>17246</v>
      </c>
      <c r="G7815" s="17"/>
      <c r="H7815" s="17" t="s">
        <v>17310</v>
      </c>
      <c r="I7815" s="17"/>
      <c r="J7815" s="17" t="s">
        <v>17604</v>
      </c>
      <c r="K7815" s="17"/>
      <c r="L7815" s="17" t="s">
        <v>17605</v>
      </c>
      <c r="M7815" s="17"/>
      <c r="N7815" s="17" t="s">
        <v>17606</v>
      </c>
      <c r="O7815" s="17"/>
      <c r="P7815" s="17" t="s">
        <v>17616</v>
      </c>
      <c r="Q7815" s="17"/>
      <c r="R7815" s="25" t="str">
        <f>HYPERLINK("https://ictv.global/taxonomy/taxondetails?taxnode_id=202304883","Orbivirus alphamitchellense")</f>
        <v>Orbivirus alphamitchellense</v>
      </c>
      <c r="S7815" s="18" t="s">
        <v>30</v>
      </c>
      <c r="T7815" s="18" t="s">
        <v>17635</v>
      </c>
      <c r="U7815" s="18" t="s">
        <v>17636</v>
      </c>
      <c r="V7815" s="18" t="s">
        <v>17637</v>
      </c>
      <c r="W7815" s="18" t="s">
        <v>17638</v>
      </c>
      <c r="X7815" s="18" t="s">
        <v>42</v>
      </c>
      <c r="Y7815" s="18" t="s">
        <v>17196</v>
      </c>
      <c r="Z7815" s="18" t="s">
        <v>12289</v>
      </c>
      <c r="AA7815" s="21" t="str">
        <f>HYPERLINK("https://www.ncbi.nlm.nih.gov/nuccore/KC853042,KC853043,KC853044,KC853045,KC853046,KC853047,KC853048,KC853049,KC853050,KC853051","NCBI Nucleotide")</f>
        <v>NCBI Nucleotide</v>
      </c>
    </row>
    <row r="7816" spans="1:27" x14ac:dyDescent="0.35">
      <c r="A7816">
        <v>1008431</v>
      </c>
      <c r="B7816">
        <v>7275</v>
      </c>
      <c r="C7816">
        <v>1</v>
      </c>
      <c r="D7816" s="17" t="s">
        <v>17166</v>
      </c>
      <c r="E7816" s="17"/>
      <c r="F7816" s="17" t="s">
        <v>17246</v>
      </c>
      <c r="G7816" s="17"/>
      <c r="H7816" s="17" t="s">
        <v>17310</v>
      </c>
      <c r="I7816" s="17"/>
      <c r="J7816" s="17" t="s">
        <v>17604</v>
      </c>
      <c r="K7816" s="17"/>
      <c r="L7816" s="17" t="s">
        <v>17605</v>
      </c>
      <c r="M7816" s="17"/>
      <c r="N7816" s="17" t="s">
        <v>17606</v>
      </c>
      <c r="O7816" s="17"/>
      <c r="P7816" s="17" t="s">
        <v>17616</v>
      </c>
      <c r="Q7816" s="17"/>
      <c r="R7816" s="25" t="str">
        <f>HYPERLINK("https://ictv.global/taxonomy/taxondetails?taxnode_id=202304885","Orbivirus betaequi")</f>
        <v>Orbivirus betaequi</v>
      </c>
      <c r="S7816" s="18" t="s">
        <v>30</v>
      </c>
      <c r="T7816" s="18" t="s">
        <v>17643</v>
      </c>
      <c r="U7816" s="18" t="s">
        <v>17644</v>
      </c>
      <c r="V7816" s="18" t="s">
        <v>17645</v>
      </c>
      <c r="W7816" s="18" t="s">
        <v>50487</v>
      </c>
      <c r="X7816" s="18" t="s">
        <v>42</v>
      </c>
      <c r="Y7816" s="18" t="s">
        <v>17196</v>
      </c>
      <c r="Z7816" s="18" t="s">
        <v>166</v>
      </c>
      <c r="AA7816" s="21" t="str">
        <f>HYPERLINK("https://www.ncbi.nlm.nih.gov/nuccore/FJ183384,FJ183385,FJ183386,FJ183387,FJ183388,FJ183389,FJ183391,FJ183390,FJ183392,FJ183393","NCBI Nucleotide")</f>
        <v>NCBI Nucleotide</v>
      </c>
    </row>
    <row r="7817" spans="1:27" x14ac:dyDescent="0.35">
      <c r="A7817">
        <v>1008442</v>
      </c>
      <c r="B7817">
        <v>7276</v>
      </c>
      <c r="C7817">
        <v>1</v>
      </c>
      <c r="D7817" s="17" t="s">
        <v>17166</v>
      </c>
      <c r="E7817" s="17"/>
      <c r="F7817" s="17" t="s">
        <v>17246</v>
      </c>
      <c r="G7817" s="17"/>
      <c r="H7817" s="17" t="s">
        <v>17310</v>
      </c>
      <c r="I7817" s="17"/>
      <c r="J7817" s="17" t="s">
        <v>17604</v>
      </c>
      <c r="K7817" s="17"/>
      <c r="L7817" s="17" t="s">
        <v>17605</v>
      </c>
      <c r="M7817" s="17"/>
      <c r="N7817" s="17" t="s">
        <v>17606</v>
      </c>
      <c r="O7817" s="17"/>
      <c r="P7817" s="17" t="s">
        <v>17616</v>
      </c>
      <c r="Q7817" s="17"/>
      <c r="R7817" s="25" t="str">
        <f>HYPERLINK("https://ictv.global/taxonomy/taxondetails?taxnode_id=202304896","Orbivirus betamitchellense")</f>
        <v>Orbivirus betamitchellense</v>
      </c>
      <c r="S7817" s="18" t="s">
        <v>30</v>
      </c>
      <c r="T7817" s="18" t="s">
        <v>17679</v>
      </c>
      <c r="U7817" s="18" t="s">
        <v>17680</v>
      </c>
      <c r="V7817" s="18">
        <v>927</v>
      </c>
      <c r="W7817" s="18" t="s">
        <v>17681</v>
      </c>
      <c r="X7817" s="18" t="s">
        <v>42</v>
      </c>
      <c r="Y7817" s="18" t="s">
        <v>17196</v>
      </c>
      <c r="Z7817" s="18" t="s">
        <v>12289</v>
      </c>
      <c r="AA7817" s="21" t="str">
        <f>HYPERLINK("https://www.ncbi.nlm.nih.gov/nuccore/KF234259,KF234260,KF234261,KF234262,KF234263,KF234264,KF234265,KF234266,KF234267,KF234268","NCBI Nucleotide")</f>
        <v>NCBI Nucleotide</v>
      </c>
    </row>
    <row r="7818" spans="1:27" x14ac:dyDescent="0.35">
      <c r="A7818">
        <v>1008425</v>
      </c>
      <c r="B7818">
        <v>7277</v>
      </c>
      <c r="C7818">
        <v>1</v>
      </c>
      <c r="D7818" s="17" t="s">
        <v>17166</v>
      </c>
      <c r="E7818" s="17"/>
      <c r="F7818" s="17" t="s">
        <v>17246</v>
      </c>
      <c r="G7818" s="17"/>
      <c r="H7818" s="17" t="s">
        <v>17310</v>
      </c>
      <c r="I7818" s="17"/>
      <c r="J7818" s="17" t="s">
        <v>17604</v>
      </c>
      <c r="K7818" s="17"/>
      <c r="L7818" s="17" t="s">
        <v>17605</v>
      </c>
      <c r="M7818" s="17"/>
      <c r="N7818" s="17" t="s">
        <v>17606</v>
      </c>
      <c r="O7818" s="17"/>
      <c r="P7818" s="17" t="s">
        <v>17616</v>
      </c>
      <c r="Q7818" s="17"/>
      <c r="R7818" s="25" t="str">
        <f>HYPERLINK("https://ictv.global/taxonomy/taxondetails?taxnode_id=202304879","Orbivirus caerulinguae")</f>
        <v>Orbivirus caerulinguae</v>
      </c>
      <c r="S7818" s="18" t="s">
        <v>30</v>
      </c>
      <c r="T7818" s="18" t="s">
        <v>17620</v>
      </c>
      <c r="U7818" s="18" t="s">
        <v>17621</v>
      </c>
      <c r="V7818" s="18" t="s">
        <v>17622</v>
      </c>
      <c r="W7818" s="18" t="s">
        <v>50488</v>
      </c>
      <c r="X7818" s="18" t="s">
        <v>42</v>
      </c>
      <c r="Y7818" s="18" t="s">
        <v>17196</v>
      </c>
      <c r="Z7818" s="18" t="s">
        <v>12289</v>
      </c>
      <c r="AA7818" s="21" t="str">
        <f>HYPERLINK("https://www.ncbi.nlm.nih.gov/nuccore/X12819,M11787,M22096,Y00421,Y00422,D12532,X06463,D00500,D00509,M28981","NCBI Nucleotide")</f>
        <v>NCBI Nucleotide</v>
      </c>
    </row>
    <row r="7819" spans="1:27" x14ac:dyDescent="0.35">
      <c r="A7819">
        <v>1008426</v>
      </c>
      <c r="B7819">
        <v>7278</v>
      </c>
      <c r="C7819">
        <v>1</v>
      </c>
      <c r="D7819" s="17" t="s">
        <v>17166</v>
      </c>
      <c r="E7819" s="17"/>
      <c r="F7819" s="17" t="s">
        <v>17246</v>
      </c>
      <c r="G7819" s="17"/>
      <c r="H7819" s="17" t="s">
        <v>17310</v>
      </c>
      <c r="I7819" s="17"/>
      <c r="J7819" s="17" t="s">
        <v>17604</v>
      </c>
      <c r="K7819" s="17"/>
      <c r="L7819" s="17" t="s">
        <v>17605</v>
      </c>
      <c r="M7819" s="17"/>
      <c r="N7819" s="17" t="s">
        <v>17606</v>
      </c>
      <c r="O7819" s="17"/>
      <c r="P7819" s="17" t="s">
        <v>17616</v>
      </c>
      <c r="Q7819" s="17"/>
      <c r="R7819" s="25" t="str">
        <f>HYPERLINK("https://ictv.global/taxonomy/taxondetails?taxnode_id=202304880","Orbivirus changuinolaense")</f>
        <v>Orbivirus changuinolaense</v>
      </c>
      <c r="S7819" s="18" t="s">
        <v>30</v>
      </c>
      <c r="T7819" s="18" t="s">
        <v>17623</v>
      </c>
      <c r="U7819" s="18" t="s">
        <v>17624</v>
      </c>
      <c r="V7819" s="18" t="s">
        <v>17625</v>
      </c>
      <c r="W7819" s="18" t="s">
        <v>17626</v>
      </c>
      <c r="X7819" s="18" t="s">
        <v>42</v>
      </c>
      <c r="Y7819" s="18" t="s">
        <v>17196</v>
      </c>
      <c r="Z7819" s="18" t="s">
        <v>12289</v>
      </c>
      <c r="AA7819" s="21" t="str">
        <f>HYPERLINK("https://www.ncbi.nlm.nih.gov/nuccore/KF624614,KF624615,KF624616,KF624617,KF624618,KF624619,KF624620,KF624621,KF624622,KF624623","NCBI Nucleotide")</f>
        <v>NCBI Nucleotide</v>
      </c>
    </row>
    <row r="7820" spans="1:27" x14ac:dyDescent="0.35">
      <c r="A7820">
        <v>1008427</v>
      </c>
      <c r="B7820">
        <v>7279</v>
      </c>
      <c r="C7820">
        <v>1</v>
      </c>
      <c r="D7820" s="17" t="s">
        <v>17166</v>
      </c>
      <c r="E7820" s="17"/>
      <c r="F7820" s="17" t="s">
        <v>17246</v>
      </c>
      <c r="G7820" s="17"/>
      <c r="H7820" s="17" t="s">
        <v>17310</v>
      </c>
      <c r="I7820" s="17"/>
      <c r="J7820" s="17" t="s">
        <v>17604</v>
      </c>
      <c r="K7820" s="17"/>
      <c r="L7820" s="17" t="s">
        <v>17605</v>
      </c>
      <c r="M7820" s="17"/>
      <c r="N7820" s="17" t="s">
        <v>17606</v>
      </c>
      <c r="O7820" s="17"/>
      <c r="P7820" s="17" t="s">
        <v>17616</v>
      </c>
      <c r="Q7820" s="17"/>
      <c r="R7820" s="25" t="str">
        <f>HYPERLINK("https://ictv.global/taxonomy/taxondetails?taxnode_id=202304881","Orbivirus chenudaense")</f>
        <v>Orbivirus chenudaense</v>
      </c>
      <c r="S7820" s="18" t="s">
        <v>30</v>
      </c>
      <c r="T7820" s="18" t="s">
        <v>17627</v>
      </c>
      <c r="U7820" s="18" t="s">
        <v>17628</v>
      </c>
      <c r="V7820" s="18" t="s">
        <v>17629</v>
      </c>
      <c r="W7820" s="18" t="s">
        <v>17630</v>
      </c>
      <c r="X7820" s="18" t="s">
        <v>42</v>
      </c>
      <c r="Y7820" s="18" t="s">
        <v>17196</v>
      </c>
      <c r="Z7820" s="18" t="s">
        <v>12289</v>
      </c>
      <c r="AA7820" s="21" t="str">
        <f>HYPERLINK("https://www.ncbi.nlm.nih.gov/nuccore/KP268794,KP268795,KP268796,KP268797,KP268798,KP268799,KP268800,KP268801,KP268802,KP268803","NCBI Nucleotide")</f>
        <v>NCBI Nucleotide</v>
      </c>
    </row>
    <row r="7821" spans="1:27" x14ac:dyDescent="0.35">
      <c r="A7821">
        <v>1008428</v>
      </c>
      <c r="B7821">
        <v>7280</v>
      </c>
      <c r="C7821">
        <v>1</v>
      </c>
      <c r="D7821" s="17" t="s">
        <v>17166</v>
      </c>
      <c r="E7821" s="17"/>
      <c r="F7821" s="17" t="s">
        <v>17246</v>
      </c>
      <c r="G7821" s="17"/>
      <c r="H7821" s="17" t="s">
        <v>17310</v>
      </c>
      <c r="I7821" s="17"/>
      <c r="J7821" s="17" t="s">
        <v>17604</v>
      </c>
      <c r="K7821" s="17"/>
      <c r="L7821" s="17" t="s">
        <v>17605</v>
      </c>
      <c r="M7821" s="17"/>
      <c r="N7821" s="17" t="s">
        <v>17606</v>
      </c>
      <c r="O7821" s="17"/>
      <c r="P7821" s="17" t="s">
        <v>17616</v>
      </c>
      <c r="Q7821" s="17"/>
      <c r="R7821" s="25" t="str">
        <f>HYPERLINK("https://ictv.global/taxonomy/taxondetails?taxnode_id=202304882","Orbivirus chobarense")</f>
        <v>Orbivirus chobarense</v>
      </c>
      <c r="S7821" s="18" t="s">
        <v>30</v>
      </c>
      <c r="T7821" s="18" t="s">
        <v>17631</v>
      </c>
      <c r="U7821" s="18" t="s">
        <v>17632</v>
      </c>
      <c r="V7821" s="18" t="s">
        <v>17633</v>
      </c>
      <c r="W7821" s="18" t="s">
        <v>17634</v>
      </c>
      <c r="X7821" s="18" t="s">
        <v>42</v>
      </c>
      <c r="Y7821" s="18" t="s">
        <v>17196</v>
      </c>
      <c r="Z7821" s="18" t="s">
        <v>12289</v>
      </c>
      <c r="AA7821" s="21" t="str">
        <f>HYPERLINK("https://www.ncbi.nlm.nih.gov/nuccore/KP268784,KP268785,KP268786,KP268787,KP268788,KP268789,KP268790,KP268791,KP268792,KP268793","NCBI Nucleotide")</f>
        <v>NCBI Nucleotide</v>
      </c>
    </row>
    <row r="7822" spans="1:27" x14ac:dyDescent="0.35">
      <c r="A7822">
        <v>1008444</v>
      </c>
      <c r="B7822">
        <v>7281</v>
      </c>
      <c r="C7822">
        <v>1</v>
      </c>
      <c r="D7822" s="17" t="s">
        <v>17166</v>
      </c>
      <c r="E7822" s="17"/>
      <c r="F7822" s="17" t="s">
        <v>17246</v>
      </c>
      <c r="G7822" s="17"/>
      <c r="H7822" s="17" t="s">
        <v>17310</v>
      </c>
      <c r="I7822" s="17"/>
      <c r="J7822" s="17" t="s">
        <v>17604</v>
      </c>
      <c r="K7822" s="17"/>
      <c r="L7822" s="17" t="s">
        <v>17605</v>
      </c>
      <c r="M7822" s="17"/>
      <c r="N7822" s="17" t="s">
        <v>17606</v>
      </c>
      <c r="O7822" s="17"/>
      <c r="P7822" s="17" t="s">
        <v>17616</v>
      </c>
      <c r="Q7822" s="17"/>
      <c r="R7822" s="25" t="str">
        <f>HYPERLINK("https://ictv.global/taxonomy/taxondetails?taxnode_id=202304898","Orbivirus deltamitchellense")</f>
        <v>Orbivirus deltamitchellense</v>
      </c>
      <c r="S7822" s="18" t="s">
        <v>30</v>
      </c>
      <c r="T7822" s="18" t="s">
        <v>17685</v>
      </c>
      <c r="U7822" s="18" t="s">
        <v>17686</v>
      </c>
      <c r="V7822" s="18" t="s">
        <v>17687</v>
      </c>
      <c r="W7822" s="18" t="s">
        <v>17688</v>
      </c>
      <c r="X7822" s="18" t="s">
        <v>154</v>
      </c>
      <c r="Y7822" s="18" t="s">
        <v>17196</v>
      </c>
      <c r="Z7822" s="18" t="s">
        <v>12289</v>
      </c>
      <c r="AA7822" s="21" t="str">
        <f>HYPERLINK("https://www.ncbi.nlm.nih.gov/nuccore/U56992","NCBI Nucleotide")</f>
        <v>NCBI Nucleotide</v>
      </c>
    </row>
    <row r="7823" spans="1:27" x14ac:dyDescent="0.35">
      <c r="A7823">
        <v>1008432</v>
      </c>
      <c r="B7823">
        <v>7282</v>
      </c>
      <c r="C7823">
        <v>1</v>
      </c>
      <c r="D7823" s="17" t="s">
        <v>17166</v>
      </c>
      <c r="E7823" s="17"/>
      <c r="F7823" s="17" t="s">
        <v>17246</v>
      </c>
      <c r="G7823" s="17"/>
      <c r="H7823" s="17" t="s">
        <v>17310</v>
      </c>
      <c r="I7823" s="17"/>
      <c r="J7823" s="17" t="s">
        <v>17604</v>
      </c>
      <c r="K7823" s="17"/>
      <c r="L7823" s="17" t="s">
        <v>17605</v>
      </c>
      <c r="M7823" s="17"/>
      <c r="N7823" s="17" t="s">
        <v>17606</v>
      </c>
      <c r="O7823" s="17"/>
      <c r="P7823" s="17" t="s">
        <v>17616</v>
      </c>
      <c r="Q7823" s="17"/>
      <c r="R7823" s="25" t="str">
        <f>HYPERLINK("https://ictv.global/taxonomy/taxondetails?taxnode_id=202304886","Orbivirus eubenangeense")</f>
        <v>Orbivirus eubenangeense</v>
      </c>
      <c r="S7823" s="18" t="s">
        <v>30</v>
      </c>
      <c r="T7823" s="18" t="s">
        <v>17646</v>
      </c>
      <c r="U7823" s="18" t="s">
        <v>17647</v>
      </c>
      <c r="V7823" s="18" t="s">
        <v>17648</v>
      </c>
      <c r="W7823" s="18" t="s">
        <v>17649</v>
      </c>
      <c r="X7823" s="18" t="s">
        <v>42</v>
      </c>
      <c r="Y7823" s="18" t="s">
        <v>17196</v>
      </c>
      <c r="Z7823" s="18" t="s">
        <v>12289</v>
      </c>
      <c r="AA7823" s="21" t="str">
        <f>HYPERLINK("https://www.ncbi.nlm.nih.gov/nuccore/JQ070376,JQ070377,JQ070378,JQ070379,JQ070380,JQ070381,JQ070382,JQ070383,JQ070384,JQ070385","NCBI Nucleotide")</f>
        <v>NCBI Nucleotide</v>
      </c>
    </row>
    <row r="7824" spans="1:27" x14ac:dyDescent="0.35">
      <c r="A7824">
        <v>1008438</v>
      </c>
      <c r="B7824">
        <v>7283</v>
      </c>
      <c r="C7824">
        <v>1</v>
      </c>
      <c r="D7824" s="17" t="s">
        <v>17166</v>
      </c>
      <c r="E7824" s="17"/>
      <c r="F7824" s="17" t="s">
        <v>17246</v>
      </c>
      <c r="G7824" s="17"/>
      <c r="H7824" s="17" t="s">
        <v>17310</v>
      </c>
      <c r="I7824" s="17"/>
      <c r="J7824" s="17" t="s">
        <v>17604</v>
      </c>
      <c r="K7824" s="17"/>
      <c r="L7824" s="17" t="s">
        <v>17605</v>
      </c>
      <c r="M7824" s="17"/>
      <c r="N7824" s="17" t="s">
        <v>17606</v>
      </c>
      <c r="O7824" s="17"/>
      <c r="P7824" s="17" t="s">
        <v>17616</v>
      </c>
      <c r="Q7824" s="17"/>
      <c r="R7824" s="25" t="str">
        <f>HYPERLINK("https://ictv.global/taxonomy/taxondetails?taxnode_id=202304892","Orbivirus gammaequi")</f>
        <v>Orbivirus gammaequi</v>
      </c>
      <c r="S7824" s="18" t="s">
        <v>30</v>
      </c>
      <c r="T7824" s="18" t="s">
        <v>17666</v>
      </c>
      <c r="U7824" s="18" t="s">
        <v>17667</v>
      </c>
      <c r="V7824" s="18"/>
      <c r="W7824" s="18" t="s">
        <v>50489</v>
      </c>
      <c r="X7824" s="18" t="s">
        <v>42</v>
      </c>
      <c r="Y7824" s="18" t="s">
        <v>17196</v>
      </c>
      <c r="Z7824" s="18" t="s">
        <v>166</v>
      </c>
      <c r="AA7824" s="21" t="str">
        <f>HYPERLINK("https://www.ncbi.nlm.nih.gov/nuccore/DQ248057,DQ248058,DQ248059,DQ248060,DQ248064,DQ248061,DQ248065,DQ248063,DQ248062,DQ248066","NCBI Nucleotide")</f>
        <v>NCBI Nucleotide</v>
      </c>
    </row>
    <row r="7825" spans="1:27" x14ac:dyDescent="0.35">
      <c r="A7825">
        <v>1008443</v>
      </c>
      <c r="B7825">
        <v>7284</v>
      </c>
      <c r="C7825">
        <v>1</v>
      </c>
      <c r="D7825" s="17" t="s">
        <v>17166</v>
      </c>
      <c r="E7825" s="17"/>
      <c r="F7825" s="17" t="s">
        <v>17246</v>
      </c>
      <c r="G7825" s="17"/>
      <c r="H7825" s="17" t="s">
        <v>17310</v>
      </c>
      <c r="I7825" s="17"/>
      <c r="J7825" s="17" t="s">
        <v>17604</v>
      </c>
      <c r="K7825" s="17"/>
      <c r="L7825" s="17" t="s">
        <v>17605</v>
      </c>
      <c r="M7825" s="17"/>
      <c r="N7825" s="17" t="s">
        <v>17606</v>
      </c>
      <c r="O7825" s="17"/>
      <c r="P7825" s="17" t="s">
        <v>17616</v>
      </c>
      <c r="Q7825" s="17"/>
      <c r="R7825" s="25" t="str">
        <f>HYPERLINK("https://ictv.global/taxonomy/taxondetails?taxnode_id=202304897","Orbivirus gammamitchellense")</f>
        <v>Orbivirus gammamitchellense</v>
      </c>
      <c r="S7825" s="18" t="s">
        <v>30</v>
      </c>
      <c r="T7825" s="18" t="s">
        <v>17682</v>
      </c>
      <c r="U7825" s="18" t="s">
        <v>17683</v>
      </c>
      <c r="V7825" s="18" t="s">
        <v>17684</v>
      </c>
      <c r="W7825" s="18" t="s">
        <v>50490</v>
      </c>
      <c r="X7825" s="18" t="s">
        <v>42</v>
      </c>
      <c r="Y7825" s="18" t="s">
        <v>17196</v>
      </c>
      <c r="Z7825" s="18" t="s">
        <v>12289</v>
      </c>
      <c r="AA7825" s="21" t="str">
        <f>HYPERLINK("https://www.ncbi.nlm.nih.gov/nuccore/KJ495755,KJ495756,KJ495757,KJ495758,KJ495759,KJ495760,KJ495762,KJ495761,KJ495763,KJ495764","NCBI Nucleotide")</f>
        <v>NCBI Nucleotide</v>
      </c>
    </row>
    <row r="7826" spans="1:27" x14ac:dyDescent="0.35">
      <c r="A7826">
        <v>1008435</v>
      </c>
      <c r="B7826">
        <v>7285</v>
      </c>
      <c r="C7826">
        <v>1</v>
      </c>
      <c r="D7826" s="17" t="s">
        <v>17166</v>
      </c>
      <c r="E7826" s="17"/>
      <c r="F7826" s="17" t="s">
        <v>17246</v>
      </c>
      <c r="G7826" s="17"/>
      <c r="H7826" s="17" t="s">
        <v>17310</v>
      </c>
      <c r="I7826" s="17"/>
      <c r="J7826" s="17" t="s">
        <v>17604</v>
      </c>
      <c r="K7826" s="17"/>
      <c r="L7826" s="17" t="s">
        <v>17605</v>
      </c>
      <c r="M7826" s="17"/>
      <c r="N7826" s="17" t="s">
        <v>17606</v>
      </c>
      <c r="O7826" s="17"/>
      <c r="P7826" s="17" t="s">
        <v>17616</v>
      </c>
      <c r="Q7826" s="17"/>
      <c r="R7826" s="25" t="str">
        <f>HYPERLINK("https://ictv.global/taxonomy/taxondetails?taxnode_id=202304889","Orbivirus lebomboense")</f>
        <v>Orbivirus lebomboense</v>
      </c>
      <c r="S7826" s="18" t="s">
        <v>30</v>
      </c>
      <c r="T7826" s="18" t="s">
        <v>17656</v>
      </c>
      <c r="U7826" s="18" t="s">
        <v>17657</v>
      </c>
      <c r="V7826" s="18" t="s">
        <v>17658</v>
      </c>
      <c r="W7826" s="18" t="s">
        <v>17659</v>
      </c>
      <c r="X7826" s="18" t="s">
        <v>42</v>
      </c>
      <c r="Y7826" s="18" t="s">
        <v>17196</v>
      </c>
      <c r="Z7826" s="18" t="s">
        <v>12289</v>
      </c>
      <c r="AA7826" s="21" t="str">
        <f>HYPERLINK("https://www.ncbi.nlm.nih.gov/nuccore/JQ610665,JQ610666,JQ610667,JQ610668,JQ610669,JQ610670,JQ610671,JQ610672,JQ610673,JQ610674","NCBI Nucleotide")</f>
        <v>NCBI Nucleotide</v>
      </c>
    </row>
    <row r="7827" spans="1:27" x14ac:dyDescent="0.35">
      <c r="A7827">
        <v>1008433</v>
      </c>
      <c r="B7827">
        <v>7286</v>
      </c>
      <c r="C7827">
        <v>1</v>
      </c>
      <c r="D7827" s="17" t="s">
        <v>17166</v>
      </c>
      <c r="E7827" s="17"/>
      <c r="F7827" s="17" t="s">
        <v>17246</v>
      </c>
      <c r="G7827" s="17"/>
      <c r="H7827" s="17" t="s">
        <v>17310</v>
      </c>
      <c r="I7827" s="17"/>
      <c r="J7827" s="17" t="s">
        <v>17604</v>
      </c>
      <c r="K7827" s="17"/>
      <c r="L7827" s="17" t="s">
        <v>17605</v>
      </c>
      <c r="M7827" s="17"/>
      <c r="N7827" s="17" t="s">
        <v>17606</v>
      </c>
      <c r="O7827" s="17"/>
      <c r="P7827" s="17" t="s">
        <v>17616</v>
      </c>
      <c r="Q7827" s="17"/>
      <c r="R7827" s="25" t="str">
        <f>HYPERLINK("https://ictv.global/taxonomy/taxondetails?taxnode_id=202304887","Orbivirus magninsulae")</f>
        <v>Orbivirus magninsulae</v>
      </c>
      <c r="S7827" s="18" t="s">
        <v>30</v>
      </c>
      <c r="T7827" s="18" t="s">
        <v>17650</v>
      </c>
      <c r="U7827" s="18" t="s">
        <v>17651</v>
      </c>
      <c r="V7827" s="18" t="s">
        <v>17652</v>
      </c>
      <c r="W7827" s="18" t="s">
        <v>17653</v>
      </c>
      <c r="X7827" s="18" t="s">
        <v>42</v>
      </c>
      <c r="Y7827" s="18" t="s">
        <v>17196</v>
      </c>
      <c r="Z7827" s="18" t="s">
        <v>12289</v>
      </c>
      <c r="AA7827" s="21" t="str">
        <f>HYPERLINK("https://www.ncbi.nlm.nih.gov/nuccore/HM543465,HM543466,HM543467,HM543468,HM543469,HM543470,HM543471,HM543472,HM543473,HM543474","NCBI Nucleotide")</f>
        <v>NCBI Nucleotide</v>
      </c>
    </row>
    <row r="7828" spans="1:27" x14ac:dyDescent="0.35">
      <c r="A7828">
        <v>1008436</v>
      </c>
      <c r="B7828">
        <v>7287</v>
      </c>
      <c r="C7828">
        <v>1</v>
      </c>
      <c r="D7828" s="17" t="s">
        <v>17166</v>
      </c>
      <c r="E7828" s="17"/>
      <c r="F7828" s="17" t="s">
        <v>17246</v>
      </c>
      <c r="G7828" s="17"/>
      <c r="H7828" s="17" t="s">
        <v>17310</v>
      </c>
      <c r="I7828" s="17"/>
      <c r="J7828" s="17" t="s">
        <v>17604</v>
      </c>
      <c r="K7828" s="17"/>
      <c r="L7828" s="17" t="s">
        <v>17605</v>
      </c>
      <c r="M7828" s="17"/>
      <c r="N7828" s="17" t="s">
        <v>17606</v>
      </c>
      <c r="O7828" s="17"/>
      <c r="P7828" s="17" t="s">
        <v>17616</v>
      </c>
      <c r="Q7828" s="17"/>
      <c r="R7828" s="25" t="str">
        <f>HYPERLINK("https://ictv.global/taxonomy/taxondetails?taxnode_id=202304890","Orbivirus orungoense")</f>
        <v>Orbivirus orungoense</v>
      </c>
      <c r="S7828" s="18" t="s">
        <v>30</v>
      </c>
      <c r="T7828" s="18" t="s">
        <v>17660</v>
      </c>
      <c r="U7828" s="18" t="s">
        <v>17661</v>
      </c>
      <c r="V7828" s="18" t="s">
        <v>17662</v>
      </c>
      <c r="W7828" s="18" t="s">
        <v>17663</v>
      </c>
      <c r="X7828" s="18" t="s">
        <v>42</v>
      </c>
      <c r="Y7828" s="18" t="s">
        <v>17196</v>
      </c>
      <c r="Z7828" s="18" t="s">
        <v>12289</v>
      </c>
      <c r="AA7828" s="21" t="str">
        <f>HYPERLINK("https://www.ncbi.nlm.nih.gov/nuccore/JQ610675,JQ610676,JQ610677,JQ610678,JQ610679,JQ610680,JQ610681,JQ610682,JQ610683,JQ610684","NCBI Nucleotide")</f>
        <v>NCBI Nucleotide</v>
      </c>
    </row>
    <row r="7829" spans="1:27" x14ac:dyDescent="0.35">
      <c r="A7829">
        <v>1008437</v>
      </c>
      <c r="B7829">
        <v>7288</v>
      </c>
      <c r="C7829">
        <v>1</v>
      </c>
      <c r="D7829" s="17" t="s">
        <v>17166</v>
      </c>
      <c r="E7829" s="17"/>
      <c r="F7829" s="17" t="s">
        <v>17246</v>
      </c>
      <c r="G7829" s="17"/>
      <c r="H7829" s="17" t="s">
        <v>17310</v>
      </c>
      <c r="I7829" s="17"/>
      <c r="J7829" s="17" t="s">
        <v>17604</v>
      </c>
      <c r="K7829" s="17"/>
      <c r="L7829" s="17" t="s">
        <v>17605</v>
      </c>
      <c r="M7829" s="17"/>
      <c r="N7829" s="17" t="s">
        <v>17606</v>
      </c>
      <c r="O7829" s="17"/>
      <c r="P7829" s="17" t="s">
        <v>17616</v>
      </c>
      <c r="Q7829" s="17"/>
      <c r="R7829" s="25" t="str">
        <f>HYPERLINK("https://ictv.global/taxonomy/taxondetails?taxnode_id=202304891","Orbivirus palyamense")</f>
        <v>Orbivirus palyamense</v>
      </c>
      <c r="S7829" s="18" t="s">
        <v>30</v>
      </c>
      <c r="T7829" s="18" t="s">
        <v>17664</v>
      </c>
      <c r="U7829" s="18" t="s">
        <v>17665</v>
      </c>
      <c r="V7829" s="18"/>
      <c r="W7829" s="18" t="s">
        <v>50491</v>
      </c>
      <c r="X7829" s="18" t="s">
        <v>42</v>
      </c>
      <c r="Y7829" s="18" t="s">
        <v>17196</v>
      </c>
      <c r="Z7829" s="18" t="s">
        <v>12289</v>
      </c>
      <c r="AA7829" s="21" t="str">
        <f>HYPERLINK("https://www.ncbi.nlm.nih.gov/nuccore/AB018086,AB014725,AB014728,AB018087,AB018089,AB014726,AB014727,AB018090,AB018088,AB018091","NCBI Nucleotide")</f>
        <v>NCBI Nucleotide</v>
      </c>
    </row>
    <row r="7830" spans="1:27" x14ac:dyDescent="0.35">
      <c r="A7830">
        <v>1008430</v>
      </c>
      <c r="B7830">
        <v>7289</v>
      </c>
      <c r="C7830">
        <v>1</v>
      </c>
      <c r="D7830" s="17" t="s">
        <v>17166</v>
      </c>
      <c r="E7830" s="17"/>
      <c r="F7830" s="17" t="s">
        <v>17246</v>
      </c>
      <c r="G7830" s="17"/>
      <c r="H7830" s="17" t="s">
        <v>17310</v>
      </c>
      <c r="I7830" s="17"/>
      <c r="J7830" s="17" t="s">
        <v>17604</v>
      </c>
      <c r="K7830" s="17"/>
      <c r="L7830" s="17" t="s">
        <v>17605</v>
      </c>
      <c r="M7830" s="17"/>
      <c r="N7830" s="17" t="s">
        <v>17606</v>
      </c>
      <c r="O7830" s="17"/>
      <c r="P7830" s="17" t="s">
        <v>17616</v>
      </c>
      <c r="Q7830" s="17"/>
      <c r="R7830" s="25" t="str">
        <f>HYPERLINK("https://ictv.global/taxonomy/taxondetails?taxnode_id=202304884","Orbivirus ruminantium")</f>
        <v>Orbivirus ruminantium</v>
      </c>
      <c r="S7830" s="18" t="s">
        <v>30</v>
      </c>
      <c r="T7830" s="18" t="s">
        <v>17639</v>
      </c>
      <c r="U7830" s="18" t="s">
        <v>17640</v>
      </c>
      <c r="V7830" s="18" t="s">
        <v>17641</v>
      </c>
      <c r="W7830" s="18" t="s">
        <v>17642</v>
      </c>
      <c r="X7830" s="18" t="s">
        <v>42</v>
      </c>
      <c r="Y7830" s="18" t="s">
        <v>17196</v>
      </c>
      <c r="Z7830" s="18" t="s">
        <v>12289</v>
      </c>
      <c r="AA7830" s="21" t="str">
        <f>HYPERLINK("https://www.ncbi.nlm.nih.gov/nuccore/AM744977,AM744978,AM744979,AM744980,AM744981,AM744982,AM744983,AM744984,AM744985,AM744986","NCBI Nucleotide")</f>
        <v>NCBI Nucleotide</v>
      </c>
    </row>
    <row r="7831" spans="1:27" x14ac:dyDescent="0.35">
      <c r="A7831">
        <v>1008439</v>
      </c>
      <c r="B7831">
        <v>7290</v>
      </c>
      <c r="C7831">
        <v>1</v>
      </c>
      <c r="D7831" s="17" t="s">
        <v>17166</v>
      </c>
      <c r="E7831" s="17"/>
      <c r="F7831" s="17" t="s">
        <v>17246</v>
      </c>
      <c r="G7831" s="17"/>
      <c r="H7831" s="17" t="s">
        <v>17310</v>
      </c>
      <c r="I7831" s="17"/>
      <c r="J7831" s="17" t="s">
        <v>17604</v>
      </c>
      <c r="K7831" s="17"/>
      <c r="L7831" s="17" t="s">
        <v>17605</v>
      </c>
      <c r="M7831" s="17"/>
      <c r="N7831" s="17" t="s">
        <v>17606</v>
      </c>
      <c r="O7831" s="17"/>
      <c r="P7831" s="17" t="s">
        <v>17616</v>
      </c>
      <c r="Q7831" s="17"/>
      <c r="R7831" s="25" t="str">
        <f>HYPERLINK("https://ictv.global/taxonomy/taxondetails?taxnode_id=202304893","Orbivirus saintcroixense")</f>
        <v>Orbivirus saintcroixense</v>
      </c>
      <c r="S7831" s="18" t="s">
        <v>30</v>
      </c>
      <c r="T7831" s="18" t="s">
        <v>17668</v>
      </c>
      <c r="U7831" s="18" t="s">
        <v>17669</v>
      </c>
      <c r="V7831" s="18"/>
      <c r="W7831" s="18" t="s">
        <v>17670</v>
      </c>
      <c r="X7831" s="18" t="s">
        <v>42</v>
      </c>
      <c r="Y7831" s="18" t="s">
        <v>17196</v>
      </c>
      <c r="Z7831" s="18" t="s">
        <v>10790</v>
      </c>
      <c r="AA7831" s="21" t="str">
        <f>HYPERLINK("https://www.ncbi.nlm.nih.gov/nuccore/AF133431,AF133432,AF145400,AF145401,AF145402,AF145403,AF145404,AF145405,AF145406,AF145407","NCBI Nucleotide")</f>
        <v>NCBI Nucleotide</v>
      </c>
    </row>
    <row r="7832" spans="1:27" x14ac:dyDescent="0.35">
      <c r="A7832">
        <v>1008434</v>
      </c>
      <c r="B7832">
        <v>7291</v>
      </c>
      <c r="C7832">
        <v>1</v>
      </c>
      <c r="D7832" s="17" t="s">
        <v>17166</v>
      </c>
      <c r="E7832" s="17"/>
      <c r="F7832" s="17" t="s">
        <v>17246</v>
      </c>
      <c r="G7832" s="17"/>
      <c r="H7832" s="17" t="s">
        <v>17310</v>
      </c>
      <c r="I7832" s="17"/>
      <c r="J7832" s="17" t="s">
        <v>17604</v>
      </c>
      <c r="K7832" s="17"/>
      <c r="L7832" s="17" t="s">
        <v>17605</v>
      </c>
      <c r="M7832" s="17"/>
      <c r="N7832" s="17" t="s">
        <v>17606</v>
      </c>
      <c r="O7832" s="17"/>
      <c r="P7832" s="17" t="s">
        <v>17616</v>
      </c>
      <c r="Q7832" s="17"/>
      <c r="R7832" s="25" t="str">
        <f>HYPERLINK("https://ictv.global/taxonomy/taxondetails?taxnode_id=202304888","Orbivirus trinidadense")</f>
        <v>Orbivirus trinidadense</v>
      </c>
      <c r="S7832" s="18" t="s">
        <v>30</v>
      </c>
      <c r="T7832" s="18" t="s">
        <v>17654</v>
      </c>
      <c r="U7832" s="18" t="s">
        <v>17655</v>
      </c>
      <c r="V7832" s="18"/>
      <c r="W7832" s="18"/>
      <c r="X7832" s="18" t="s">
        <v>3311</v>
      </c>
      <c r="Y7832" s="18" t="s">
        <v>17196</v>
      </c>
      <c r="Z7832" s="18" t="s">
        <v>12289</v>
      </c>
      <c r="AA7832" s="21"/>
    </row>
    <row r="7833" spans="1:27" x14ac:dyDescent="0.35">
      <c r="A7833">
        <v>1008440</v>
      </c>
      <c r="B7833">
        <v>7292</v>
      </c>
      <c r="C7833">
        <v>1</v>
      </c>
      <c r="D7833" s="17" t="s">
        <v>17166</v>
      </c>
      <c r="E7833" s="17"/>
      <c r="F7833" s="17" t="s">
        <v>17246</v>
      </c>
      <c r="G7833" s="17"/>
      <c r="H7833" s="17" t="s">
        <v>17310</v>
      </c>
      <c r="I7833" s="17"/>
      <c r="J7833" s="17" t="s">
        <v>17604</v>
      </c>
      <c r="K7833" s="17"/>
      <c r="L7833" s="17" t="s">
        <v>17605</v>
      </c>
      <c r="M7833" s="17"/>
      <c r="N7833" s="17" t="s">
        <v>17606</v>
      </c>
      <c r="O7833" s="17"/>
      <c r="P7833" s="17" t="s">
        <v>17616</v>
      </c>
      <c r="Q7833" s="17"/>
      <c r="R7833" s="25" t="str">
        <f>HYPERLINK("https://ictv.global/taxonomy/taxondetails?taxnode_id=202304894","Orbivirus umatillaense")</f>
        <v>Orbivirus umatillaense</v>
      </c>
      <c r="S7833" s="18" t="s">
        <v>30</v>
      </c>
      <c r="T7833" s="18" t="s">
        <v>17671</v>
      </c>
      <c r="U7833" s="18" t="s">
        <v>17672</v>
      </c>
      <c r="V7833" s="18" t="s">
        <v>17673</v>
      </c>
      <c r="W7833" s="18" t="s">
        <v>17674</v>
      </c>
      <c r="X7833" s="18" t="s">
        <v>42</v>
      </c>
      <c r="Y7833" s="18" t="s">
        <v>17196</v>
      </c>
      <c r="Z7833" s="18" t="s">
        <v>12289</v>
      </c>
      <c r="AA7833" s="21" t="str">
        <f>HYPERLINK("https://www.ncbi.nlm.nih.gov/nuccore/HQ842619,HQ842620,HQ842621,HQ842622,HQ842623,HQ842624,HQ842625,HQ842626,HQ842627,HQ842628","NCBI Nucleotide")</f>
        <v>NCBI Nucleotide</v>
      </c>
    </row>
    <row r="7834" spans="1:27" x14ac:dyDescent="0.35">
      <c r="A7834">
        <v>1008441</v>
      </c>
      <c r="B7834">
        <v>7293</v>
      </c>
      <c r="C7834">
        <v>1</v>
      </c>
      <c r="D7834" s="17" t="s">
        <v>17166</v>
      </c>
      <c r="E7834" s="17"/>
      <c r="F7834" s="17" t="s">
        <v>17246</v>
      </c>
      <c r="G7834" s="17"/>
      <c r="H7834" s="17" t="s">
        <v>17310</v>
      </c>
      <c r="I7834" s="17"/>
      <c r="J7834" s="17" t="s">
        <v>17604</v>
      </c>
      <c r="K7834" s="17"/>
      <c r="L7834" s="17" t="s">
        <v>17605</v>
      </c>
      <c r="M7834" s="17"/>
      <c r="N7834" s="17" t="s">
        <v>17606</v>
      </c>
      <c r="O7834" s="17"/>
      <c r="P7834" s="17" t="s">
        <v>17616</v>
      </c>
      <c r="Q7834" s="17"/>
      <c r="R7834" s="25" t="str">
        <f>HYPERLINK("https://ictv.global/taxonomy/taxondetails?taxnode_id=202304895","Orbivirus wadmedaniense")</f>
        <v>Orbivirus wadmedaniense</v>
      </c>
      <c r="S7834" s="18" t="s">
        <v>30</v>
      </c>
      <c r="T7834" s="18" t="s">
        <v>17675</v>
      </c>
      <c r="U7834" s="18" t="s">
        <v>17676</v>
      </c>
      <c r="V7834" s="18" t="s">
        <v>17677</v>
      </c>
      <c r="W7834" s="18" t="s">
        <v>17678</v>
      </c>
      <c r="X7834" s="18" t="s">
        <v>42</v>
      </c>
      <c r="Y7834" s="18" t="s">
        <v>17196</v>
      </c>
      <c r="Z7834" s="18" t="s">
        <v>12289</v>
      </c>
      <c r="AA7834" s="21" t="str">
        <f>HYPERLINK("https://www.ncbi.nlm.nih.gov/nuccore/KP268804,KP268805,KP268806,KP268807,KP268808,KP268809,KP268810,KP268811,KP268812,KP268813","NCBI Nucleotide")</f>
        <v>NCBI Nucleotide</v>
      </c>
    </row>
    <row r="7835" spans="1:27" x14ac:dyDescent="0.35">
      <c r="A7835">
        <v>1008445</v>
      </c>
      <c r="B7835">
        <v>7294</v>
      </c>
      <c r="C7835">
        <v>1</v>
      </c>
      <c r="D7835" s="17" t="s">
        <v>17166</v>
      </c>
      <c r="E7835" s="17"/>
      <c r="F7835" s="17" t="s">
        <v>17246</v>
      </c>
      <c r="G7835" s="17"/>
      <c r="H7835" s="17" t="s">
        <v>17310</v>
      </c>
      <c r="I7835" s="17"/>
      <c r="J7835" s="17" t="s">
        <v>17604</v>
      </c>
      <c r="K7835" s="17"/>
      <c r="L7835" s="17" t="s">
        <v>17605</v>
      </c>
      <c r="M7835" s="17"/>
      <c r="N7835" s="17" t="s">
        <v>17606</v>
      </c>
      <c r="O7835" s="17"/>
      <c r="P7835" s="17" t="s">
        <v>17616</v>
      </c>
      <c r="Q7835" s="17"/>
      <c r="R7835" s="25" t="str">
        <f>HYPERLINK("https://ictv.global/taxonomy/taxondetails?taxnode_id=202304899","Orbivirus yunnanense")</f>
        <v>Orbivirus yunnanense</v>
      </c>
      <c r="S7835" s="18" t="s">
        <v>30</v>
      </c>
      <c r="T7835" s="18" t="s">
        <v>17689</v>
      </c>
      <c r="U7835" s="18" t="s">
        <v>17690</v>
      </c>
      <c r="V7835" s="18" t="s">
        <v>17691</v>
      </c>
      <c r="W7835" s="18" t="s">
        <v>17692</v>
      </c>
      <c r="X7835" s="18" t="s">
        <v>42</v>
      </c>
      <c r="Y7835" s="18" t="s">
        <v>17196</v>
      </c>
      <c r="Z7835" s="18" t="s">
        <v>12289</v>
      </c>
      <c r="AA7835" s="21" t="str">
        <f>HYPERLINK("https://www.ncbi.nlm.nih.gov/nuccore/AY701509,AY701510,AY701511,AY701512,AY701513,AY701514,AY701515,AY701516,AY701517,AY701518","NCBI Nucleotide")</f>
        <v>NCBI Nucleotide</v>
      </c>
    </row>
    <row r="7836" spans="1:27" x14ac:dyDescent="0.35">
      <c r="A7836">
        <v>1008446</v>
      </c>
      <c r="B7836">
        <v>7295</v>
      </c>
      <c r="C7836">
        <v>1</v>
      </c>
      <c r="D7836" s="17" t="s">
        <v>17166</v>
      </c>
      <c r="E7836" s="17"/>
      <c r="F7836" s="17" t="s">
        <v>17246</v>
      </c>
      <c r="G7836" s="17"/>
      <c r="H7836" s="17" t="s">
        <v>17310</v>
      </c>
      <c r="I7836" s="17"/>
      <c r="J7836" s="17" t="s">
        <v>17604</v>
      </c>
      <c r="K7836" s="17"/>
      <c r="L7836" s="17" t="s">
        <v>17605</v>
      </c>
      <c r="M7836" s="17"/>
      <c r="N7836" s="17" t="s">
        <v>17606</v>
      </c>
      <c r="O7836" s="17"/>
      <c r="P7836" s="17" t="s">
        <v>17693</v>
      </c>
      <c r="Q7836" s="17"/>
      <c r="R7836" s="25" t="str">
        <f>HYPERLINK("https://ictv.global/taxonomy/taxondetails?taxnode_id=202304901","Phytoreovirus alphaoryzae")</f>
        <v>Phytoreovirus alphaoryzae</v>
      </c>
      <c r="S7836" s="18" t="s">
        <v>30</v>
      </c>
      <c r="T7836" s="18" t="s">
        <v>17694</v>
      </c>
      <c r="U7836" s="18" t="s">
        <v>17695</v>
      </c>
      <c r="V7836" s="18" t="s">
        <v>17234</v>
      </c>
      <c r="W7836" s="18" t="s">
        <v>50492</v>
      </c>
      <c r="X7836" s="18" t="s">
        <v>42</v>
      </c>
      <c r="Y7836" s="18" t="s">
        <v>17196</v>
      </c>
      <c r="Z7836" s="18" t="s">
        <v>15964</v>
      </c>
      <c r="AA7836" s="21" t="str">
        <f>HYPERLINK("https://www.ncbi.nlm.nih.gov/nuccore/U73201,U73202,U72757,U36562,U36563,U36564,U36402,U36565,U36566,U36567,U36568,U36569","NCBI Nucleotide")</f>
        <v>NCBI Nucleotide</v>
      </c>
    </row>
    <row r="7837" spans="1:27" x14ac:dyDescent="0.35">
      <c r="A7837">
        <v>1008447</v>
      </c>
      <c r="B7837">
        <v>7296</v>
      </c>
      <c r="C7837">
        <v>1</v>
      </c>
      <c r="D7837" s="17" t="s">
        <v>17166</v>
      </c>
      <c r="E7837" s="17"/>
      <c r="F7837" s="17" t="s">
        <v>17246</v>
      </c>
      <c r="G7837" s="17"/>
      <c r="H7837" s="17" t="s">
        <v>17310</v>
      </c>
      <c r="I7837" s="17"/>
      <c r="J7837" s="17" t="s">
        <v>17604</v>
      </c>
      <c r="K7837" s="17"/>
      <c r="L7837" s="17" t="s">
        <v>17605</v>
      </c>
      <c r="M7837" s="17"/>
      <c r="N7837" s="17" t="s">
        <v>17606</v>
      </c>
      <c r="O7837" s="17"/>
      <c r="P7837" s="17" t="s">
        <v>17693</v>
      </c>
      <c r="Q7837" s="17"/>
      <c r="R7837" s="25" t="str">
        <f>HYPERLINK("https://ictv.global/taxonomy/taxondetails?taxnode_id=202304902","Phytoreovirus betaoryzae")</f>
        <v>Phytoreovirus betaoryzae</v>
      </c>
      <c r="S7837" s="18" t="s">
        <v>30</v>
      </c>
      <c r="T7837" s="18" t="s">
        <v>17696</v>
      </c>
      <c r="U7837" s="18" t="s">
        <v>17697</v>
      </c>
      <c r="V7837" s="18" t="s">
        <v>17698</v>
      </c>
      <c r="W7837" s="18" t="s">
        <v>50493</v>
      </c>
      <c r="X7837" s="18" t="s">
        <v>42</v>
      </c>
      <c r="Y7837" s="18" t="s">
        <v>17196</v>
      </c>
      <c r="Z7837" s="18" t="s">
        <v>15964</v>
      </c>
      <c r="AA7837" s="21" t="str">
        <f>HYPERLINK("https://www.ncbi.nlm.nih.gov/nuccore/AB254451,D86439,D13774,AB254452,D76429,AB254454,AB254453,D13410,D01047,D13411,AB030009,AB254455","NCBI Nucleotide")</f>
        <v>NCBI Nucleotide</v>
      </c>
    </row>
    <row r="7838" spans="1:27" x14ac:dyDescent="0.35">
      <c r="A7838">
        <v>1008448</v>
      </c>
      <c r="B7838">
        <v>7297</v>
      </c>
      <c r="C7838">
        <v>1</v>
      </c>
      <c r="D7838" s="17" t="s">
        <v>17166</v>
      </c>
      <c r="E7838" s="17"/>
      <c r="F7838" s="17" t="s">
        <v>17246</v>
      </c>
      <c r="G7838" s="17"/>
      <c r="H7838" s="17" t="s">
        <v>17310</v>
      </c>
      <c r="I7838" s="17"/>
      <c r="J7838" s="17" t="s">
        <v>17604</v>
      </c>
      <c r="K7838" s="17"/>
      <c r="L7838" s="17" t="s">
        <v>17605</v>
      </c>
      <c r="M7838" s="17"/>
      <c r="N7838" s="17" t="s">
        <v>17606</v>
      </c>
      <c r="O7838" s="17"/>
      <c r="P7838" s="17" t="s">
        <v>17693</v>
      </c>
      <c r="Q7838" s="17"/>
      <c r="R7838" s="25" t="str">
        <f>HYPERLINK("https://ictv.global/taxonomy/taxondetails?taxnode_id=202304903","Phytoreovirus vulnustumoris")</f>
        <v>Phytoreovirus vulnustumoris</v>
      </c>
      <c r="S7838" s="18" t="s">
        <v>30</v>
      </c>
      <c r="T7838" s="18" t="s">
        <v>17699</v>
      </c>
      <c r="U7838" s="18" t="s">
        <v>17700</v>
      </c>
      <c r="V7838" s="18" t="s">
        <v>17701</v>
      </c>
      <c r="W7838" s="18" t="s">
        <v>50494</v>
      </c>
      <c r="X7838" s="18" t="s">
        <v>154</v>
      </c>
      <c r="Y7838" s="18" t="s">
        <v>17196</v>
      </c>
      <c r="Z7838" s="18" t="s">
        <v>15964</v>
      </c>
      <c r="AA7838" s="21" t="str">
        <f>HYPERLINK("https://www.ncbi.nlm.nih.gov/nuccore/M24117,J03020,M24116,X14218,J04344,M24115,M24114,X14219,M11133","NCBI Nucleotide")</f>
        <v>NCBI Nucleotide</v>
      </c>
    </row>
    <row r="7839" spans="1:27" x14ac:dyDescent="0.35">
      <c r="A7839">
        <v>1008449</v>
      </c>
      <c r="B7839">
        <v>7298</v>
      </c>
      <c r="C7839">
        <v>1</v>
      </c>
      <c r="D7839" s="17" t="s">
        <v>17166</v>
      </c>
      <c r="E7839" s="17"/>
      <c r="F7839" s="17" t="s">
        <v>17246</v>
      </c>
      <c r="G7839" s="17"/>
      <c r="H7839" s="17" t="s">
        <v>17310</v>
      </c>
      <c r="I7839" s="17"/>
      <c r="J7839" s="17" t="s">
        <v>17604</v>
      </c>
      <c r="K7839" s="17"/>
      <c r="L7839" s="17" t="s">
        <v>17605</v>
      </c>
      <c r="M7839" s="17"/>
      <c r="N7839" s="17" t="s">
        <v>17606</v>
      </c>
      <c r="O7839" s="17"/>
      <c r="P7839" s="17" t="s">
        <v>17702</v>
      </c>
      <c r="Q7839" s="17"/>
      <c r="R7839" s="25" t="str">
        <f>HYPERLINK("https://ictv.global/taxonomy/taxondetails?taxnode_id=202304905","Rotavirus alphagastroenteritidis")</f>
        <v>Rotavirus alphagastroenteritidis</v>
      </c>
      <c r="S7839" s="18" t="s">
        <v>30</v>
      </c>
      <c r="T7839" s="18" t="s">
        <v>17703</v>
      </c>
      <c r="U7839" s="18" t="s">
        <v>17704</v>
      </c>
      <c r="V7839" s="18" t="s">
        <v>17705</v>
      </c>
      <c r="W7839" s="18" t="s">
        <v>50495</v>
      </c>
      <c r="X7839" s="18" t="s">
        <v>42</v>
      </c>
      <c r="Y7839" s="18" t="s">
        <v>17196</v>
      </c>
      <c r="Z7839" s="18" t="s">
        <v>166</v>
      </c>
      <c r="AA7839" s="21" t="str">
        <f>HYPERLINK("https://www.ncbi.nlm.nih.gov/nuccore/DQ838640,DQ838635,DQ838645,DQ841262,DQ838599,DQ838650,DQ838610,DQ838615,DQ838620,DQ838625,DQ838630","NCBI Nucleotide")</f>
        <v>NCBI Nucleotide</v>
      </c>
    </row>
    <row r="7840" spans="1:27" x14ac:dyDescent="0.35">
      <c r="A7840">
        <v>1008455</v>
      </c>
      <c r="B7840">
        <v>7299</v>
      </c>
      <c r="C7840">
        <v>1</v>
      </c>
      <c r="D7840" s="17" t="s">
        <v>17166</v>
      </c>
      <c r="E7840" s="17"/>
      <c r="F7840" s="17" t="s">
        <v>17246</v>
      </c>
      <c r="G7840" s="17"/>
      <c r="H7840" s="17" t="s">
        <v>17310</v>
      </c>
      <c r="I7840" s="17"/>
      <c r="J7840" s="17" t="s">
        <v>17604</v>
      </c>
      <c r="K7840" s="17"/>
      <c r="L7840" s="17" t="s">
        <v>17605</v>
      </c>
      <c r="M7840" s="17"/>
      <c r="N7840" s="17" t="s">
        <v>17606</v>
      </c>
      <c r="O7840" s="17"/>
      <c r="P7840" s="17" t="s">
        <v>17702</v>
      </c>
      <c r="Q7840" s="17"/>
      <c r="R7840" s="25" t="str">
        <f>HYPERLINK("https://ictv.global/taxonomy/taxondetails?taxnode_id=202304912","Rotavirus aspergastroenteritidis")</f>
        <v>Rotavirus aspergastroenteritidis</v>
      </c>
      <c r="S7840" s="18" t="s">
        <v>30</v>
      </c>
      <c r="T7840" s="18" t="s">
        <v>17722</v>
      </c>
      <c r="U7840" s="18" t="s">
        <v>17723</v>
      </c>
      <c r="V7840" s="18" t="s">
        <v>17724</v>
      </c>
      <c r="W7840" s="18" t="s">
        <v>17725</v>
      </c>
      <c r="X7840" s="18" t="s">
        <v>42</v>
      </c>
      <c r="Y7840" s="18" t="s">
        <v>17196</v>
      </c>
      <c r="Z7840" s="18" t="s">
        <v>166</v>
      </c>
      <c r="AA7840" s="21" t="str">
        <f>HYPERLINK("https://www.ncbi.nlm.nih.gov/nuccore/DQ113897,DQ113898,DQ113899,DQ113900,DQ113901,DQ113902,DQ113903,DQ113904,DQ113905,DQ113906,DQ113907","NCBI Nucleotide")</f>
        <v>NCBI Nucleotide</v>
      </c>
    </row>
    <row r="7841" spans="1:27" x14ac:dyDescent="0.35">
      <c r="A7841">
        <v>1008450</v>
      </c>
      <c r="B7841">
        <v>7300</v>
      </c>
      <c r="C7841">
        <v>1</v>
      </c>
      <c r="D7841" s="17" t="s">
        <v>17166</v>
      </c>
      <c r="E7841" s="17"/>
      <c r="F7841" s="17" t="s">
        <v>17246</v>
      </c>
      <c r="G7841" s="17"/>
      <c r="H7841" s="17" t="s">
        <v>17310</v>
      </c>
      <c r="I7841" s="17"/>
      <c r="J7841" s="17" t="s">
        <v>17604</v>
      </c>
      <c r="K7841" s="17"/>
      <c r="L7841" s="17" t="s">
        <v>17605</v>
      </c>
      <c r="M7841" s="17"/>
      <c r="N7841" s="17" t="s">
        <v>17606</v>
      </c>
      <c r="O7841" s="17"/>
      <c r="P7841" s="17" t="s">
        <v>17702</v>
      </c>
      <c r="Q7841" s="17"/>
      <c r="R7841" s="25" t="str">
        <f>HYPERLINK("https://ictv.global/taxonomy/taxondetails?taxnode_id=202304906","Rotavirus betagastroenteritidis")</f>
        <v>Rotavirus betagastroenteritidis</v>
      </c>
      <c r="S7841" s="18" t="s">
        <v>30</v>
      </c>
      <c r="T7841" s="18" t="s">
        <v>17706</v>
      </c>
      <c r="U7841" s="18" t="s">
        <v>17707</v>
      </c>
      <c r="V7841" s="18" t="s">
        <v>17708</v>
      </c>
      <c r="W7841" s="18" t="s">
        <v>50496</v>
      </c>
      <c r="X7841" s="18" t="s">
        <v>42</v>
      </c>
      <c r="Y7841" s="18" t="s">
        <v>17196</v>
      </c>
      <c r="Z7841" s="18" t="s">
        <v>166</v>
      </c>
      <c r="AA7841" s="21" t="str">
        <f>HYPERLINK("https://www.ncbi.nlm.nih.gov/nuccore/EU490415,AY238390,EU490418,AY238388,AY238391,AY238389,AY238392,AY238393,AY238385,AY238384,AY238394","NCBI Nucleotide")</f>
        <v>NCBI Nucleotide</v>
      </c>
    </row>
    <row r="7842" spans="1:27" x14ac:dyDescent="0.35">
      <c r="A7842">
        <v>1008452</v>
      </c>
      <c r="B7842">
        <v>7301</v>
      </c>
      <c r="C7842">
        <v>1</v>
      </c>
      <c r="D7842" s="17" t="s">
        <v>17166</v>
      </c>
      <c r="E7842" s="17"/>
      <c r="F7842" s="17" t="s">
        <v>17246</v>
      </c>
      <c r="G7842" s="17"/>
      <c r="H7842" s="17" t="s">
        <v>17310</v>
      </c>
      <c r="I7842" s="17"/>
      <c r="J7842" s="17" t="s">
        <v>17604</v>
      </c>
      <c r="K7842" s="17"/>
      <c r="L7842" s="17" t="s">
        <v>17605</v>
      </c>
      <c r="M7842" s="17"/>
      <c r="N7842" s="17" t="s">
        <v>17606</v>
      </c>
      <c r="O7842" s="17"/>
      <c r="P7842" s="17" t="s">
        <v>17702</v>
      </c>
      <c r="Q7842" s="17"/>
      <c r="R7842" s="25" t="str">
        <f>HYPERLINK("https://ictv.global/taxonomy/taxondetails?taxnode_id=202304908","Rotavirus deltagastroenteritidis")</f>
        <v>Rotavirus deltagastroenteritidis</v>
      </c>
      <c r="S7842" s="18" t="s">
        <v>30</v>
      </c>
      <c r="T7842" s="18" t="s">
        <v>17712</v>
      </c>
      <c r="U7842" s="18" t="s">
        <v>17713</v>
      </c>
      <c r="V7842" s="18" t="s">
        <v>17714</v>
      </c>
      <c r="W7842" s="18" t="s">
        <v>17715</v>
      </c>
      <c r="X7842" s="18" t="s">
        <v>42</v>
      </c>
      <c r="Y7842" s="18" t="s">
        <v>17196</v>
      </c>
      <c r="Z7842" s="18" t="s">
        <v>166</v>
      </c>
      <c r="AA7842" s="21" t="str">
        <f>HYPERLINK("https://www.ncbi.nlm.nih.gov/nuccore/GU733443,GU733444,GU733445,GU733446,GU733447,GU733448,GU733449,GU733450,GU733451,GU733452,GU733453","NCBI Nucleotide")</f>
        <v>NCBI Nucleotide</v>
      </c>
    </row>
    <row r="7843" spans="1:27" x14ac:dyDescent="0.35">
      <c r="A7843">
        <v>1008454</v>
      </c>
      <c r="B7843">
        <v>7302</v>
      </c>
      <c r="C7843">
        <v>1</v>
      </c>
      <c r="D7843" s="17" t="s">
        <v>17166</v>
      </c>
      <c r="E7843" s="17"/>
      <c r="F7843" s="17" t="s">
        <v>17246</v>
      </c>
      <c r="G7843" s="17"/>
      <c r="H7843" s="17" t="s">
        <v>17310</v>
      </c>
      <c r="I7843" s="17"/>
      <c r="J7843" s="17" t="s">
        <v>17604</v>
      </c>
      <c r="K7843" s="17"/>
      <c r="L7843" s="17" t="s">
        <v>17605</v>
      </c>
      <c r="M7843" s="17"/>
      <c r="N7843" s="17" t="s">
        <v>17606</v>
      </c>
      <c r="O7843" s="17"/>
      <c r="P7843" s="17" t="s">
        <v>17702</v>
      </c>
      <c r="Q7843" s="17"/>
      <c r="R7843" s="25" t="str">
        <f>HYPERLINK("https://ictv.global/taxonomy/taxondetails?taxnode_id=202304911","Rotavirus gammagastroenteritidis")</f>
        <v>Rotavirus gammagastroenteritidis</v>
      </c>
      <c r="S7843" s="18" t="s">
        <v>30</v>
      </c>
      <c r="T7843" s="18" t="s">
        <v>17719</v>
      </c>
      <c r="U7843" s="18" t="s">
        <v>17720</v>
      </c>
      <c r="V7843" s="18" t="s">
        <v>17721</v>
      </c>
      <c r="W7843" s="18" t="s">
        <v>50497</v>
      </c>
      <c r="X7843" s="18" t="s">
        <v>42</v>
      </c>
      <c r="Y7843" s="18" t="s">
        <v>17196</v>
      </c>
      <c r="Z7843" s="18" t="s">
        <v>166</v>
      </c>
      <c r="AA7843" s="21" t="str">
        <f>HYPERLINK("https://www.ncbi.nlm.nih.gov/nuccore/JN596592,JQ920004,JQ920006,JQ920005,JQ920008,HQ403604,JQ920010,JQ920009,JQ920007,JQ920011,JQ920012","NCBI Nucleotide")</f>
        <v>NCBI Nucleotide</v>
      </c>
    </row>
    <row r="7844" spans="1:27" x14ac:dyDescent="0.35">
      <c r="A7844">
        <v>1008456</v>
      </c>
      <c r="B7844">
        <v>7303</v>
      </c>
      <c r="C7844">
        <v>1</v>
      </c>
      <c r="D7844" s="17" t="s">
        <v>17166</v>
      </c>
      <c r="E7844" s="17"/>
      <c r="F7844" s="17" t="s">
        <v>17246</v>
      </c>
      <c r="G7844" s="17"/>
      <c r="H7844" s="17" t="s">
        <v>17310</v>
      </c>
      <c r="I7844" s="17"/>
      <c r="J7844" s="17" t="s">
        <v>17604</v>
      </c>
      <c r="K7844" s="17"/>
      <c r="L7844" s="17" t="s">
        <v>17605</v>
      </c>
      <c r="M7844" s="17"/>
      <c r="N7844" s="17" t="s">
        <v>17606</v>
      </c>
      <c r="O7844" s="17"/>
      <c r="P7844" s="17" t="s">
        <v>17702</v>
      </c>
      <c r="Q7844" s="17"/>
      <c r="R7844" s="25" t="str">
        <f>HYPERLINK("https://ictv.global/taxonomy/taxondetails?taxnode_id=202304913","Rotavirus iotagastroenteritidis")</f>
        <v>Rotavirus iotagastroenteritidis</v>
      </c>
      <c r="S7844" s="18" t="s">
        <v>30</v>
      </c>
      <c r="T7844" s="18" t="s">
        <v>17726</v>
      </c>
      <c r="U7844" s="18" t="s">
        <v>17727</v>
      </c>
      <c r="V7844" s="18" t="s">
        <v>17728</v>
      </c>
      <c r="W7844" s="18" t="s">
        <v>50498</v>
      </c>
      <c r="X7844" s="18" t="s">
        <v>42</v>
      </c>
      <c r="Y7844" s="18" t="s">
        <v>17196</v>
      </c>
      <c r="Z7844" s="18" t="s">
        <v>166</v>
      </c>
      <c r="AA7844" s="21" t="str">
        <f>HYPERLINK("https://www.ncbi.nlm.nih.gov/nuccore/KM369892,KM369893,KM369894,KM369895,KM369887,KM369896,KM369889,KM369888,KM369897,KM369890,KM369891","NCBI Nucleotide")</f>
        <v>NCBI Nucleotide</v>
      </c>
    </row>
    <row r="7845" spans="1:27" x14ac:dyDescent="0.35">
      <c r="A7845">
        <v>1008457</v>
      </c>
      <c r="B7845">
        <v>7304</v>
      </c>
      <c r="C7845">
        <v>1</v>
      </c>
      <c r="D7845" s="17" t="s">
        <v>17166</v>
      </c>
      <c r="E7845" s="17"/>
      <c r="F7845" s="17" t="s">
        <v>17246</v>
      </c>
      <c r="G7845" s="17"/>
      <c r="H7845" s="17" t="s">
        <v>17310</v>
      </c>
      <c r="I7845" s="17"/>
      <c r="J7845" s="17" t="s">
        <v>17604</v>
      </c>
      <c r="K7845" s="17"/>
      <c r="L7845" s="17" t="s">
        <v>17605</v>
      </c>
      <c r="M7845" s="17"/>
      <c r="N7845" s="17" t="s">
        <v>17606</v>
      </c>
      <c r="O7845" s="17"/>
      <c r="P7845" s="17" t="s">
        <v>17702</v>
      </c>
      <c r="Q7845" s="17"/>
      <c r="R7845" s="25" t="str">
        <f>HYPERLINK("https://ictv.global/taxonomy/taxondetails?taxnode_id=202307663","Rotavirus jotagastroenteritidis")</f>
        <v>Rotavirus jotagastroenteritidis</v>
      </c>
      <c r="S7845" s="18" t="s">
        <v>30</v>
      </c>
      <c r="T7845" s="18" t="s">
        <v>17729</v>
      </c>
      <c r="U7845" s="18" t="s">
        <v>17730</v>
      </c>
      <c r="V7845" s="18" t="s">
        <v>17731</v>
      </c>
      <c r="W7845" s="18" t="s">
        <v>50499</v>
      </c>
      <c r="X7845" s="18" t="s">
        <v>42</v>
      </c>
      <c r="Y7845" s="18" t="s">
        <v>17196</v>
      </c>
      <c r="Z7845" s="18" t="s">
        <v>166</v>
      </c>
      <c r="AA7845" s="21" t="str">
        <f>HYPERLINK("https://www.ncbi.nlm.nih.gov/nuccore/KX756624,KX756625,KX756627,KX756626,KX756619,KX756628,KX756621,KX756620,KX756629,KX756622,KX756623","NCBI Nucleotide")</f>
        <v>NCBI Nucleotide</v>
      </c>
    </row>
    <row r="7846" spans="1:27" x14ac:dyDescent="0.35">
      <c r="A7846">
        <v>1008453</v>
      </c>
      <c r="B7846">
        <v>7305</v>
      </c>
      <c r="C7846">
        <v>1</v>
      </c>
      <c r="D7846" s="17" t="s">
        <v>17166</v>
      </c>
      <c r="E7846" s="17"/>
      <c r="F7846" s="17" t="s">
        <v>17246</v>
      </c>
      <c r="G7846" s="17"/>
      <c r="H7846" s="17" t="s">
        <v>17310</v>
      </c>
      <c r="I7846" s="17"/>
      <c r="J7846" s="17" t="s">
        <v>17604</v>
      </c>
      <c r="K7846" s="17"/>
      <c r="L7846" s="17" t="s">
        <v>17605</v>
      </c>
      <c r="M7846" s="17"/>
      <c r="N7846" s="17" t="s">
        <v>17606</v>
      </c>
      <c r="O7846" s="17"/>
      <c r="P7846" s="17" t="s">
        <v>17702</v>
      </c>
      <c r="Q7846" s="17"/>
      <c r="R7846" s="25" t="str">
        <f>HYPERLINK("https://ictv.global/taxonomy/taxondetails?taxnode_id=202304910","Rotavirus phigastroenteritidis")</f>
        <v>Rotavirus phigastroenteritidis</v>
      </c>
      <c r="S7846" s="18" t="s">
        <v>30</v>
      </c>
      <c r="T7846" s="18" t="s">
        <v>17716</v>
      </c>
      <c r="U7846" s="18" t="s">
        <v>17717</v>
      </c>
      <c r="V7846" s="18" t="s">
        <v>17718</v>
      </c>
      <c r="W7846" s="18" t="s">
        <v>50500</v>
      </c>
      <c r="X7846" s="18" t="s">
        <v>42</v>
      </c>
      <c r="Y7846" s="18" t="s">
        <v>17196</v>
      </c>
      <c r="Z7846" s="18" t="s">
        <v>166</v>
      </c>
      <c r="AA7846" s="21" t="str">
        <f>HYPERLINK("https://www.ncbi.nlm.nih.gov/nuccore/JN596591,JQ919995,JQ919997,JQ919996,JQ919999,HQ403603,JQ920001,JQ920000,JQ919998,JQ920003,JQ920002","NCBI Nucleotide")</f>
        <v>NCBI Nucleotide</v>
      </c>
    </row>
    <row r="7847" spans="1:27" x14ac:dyDescent="0.35">
      <c r="A7847">
        <v>1008451</v>
      </c>
      <c r="B7847">
        <v>7306</v>
      </c>
      <c r="C7847">
        <v>1</v>
      </c>
      <c r="D7847" s="17" t="s">
        <v>17166</v>
      </c>
      <c r="E7847" s="17"/>
      <c r="F7847" s="17" t="s">
        <v>17246</v>
      </c>
      <c r="G7847" s="17"/>
      <c r="H7847" s="17" t="s">
        <v>17310</v>
      </c>
      <c r="I7847" s="17"/>
      <c r="J7847" s="17" t="s">
        <v>17604</v>
      </c>
      <c r="K7847" s="17"/>
      <c r="L7847" s="17" t="s">
        <v>17605</v>
      </c>
      <c r="M7847" s="17"/>
      <c r="N7847" s="17" t="s">
        <v>17606</v>
      </c>
      <c r="O7847" s="17"/>
      <c r="P7847" s="17" t="s">
        <v>17702</v>
      </c>
      <c r="Q7847" s="17"/>
      <c r="R7847" s="25" t="str">
        <f>HYPERLINK("https://ictv.global/taxonomy/taxondetails?taxnode_id=202304907","Rotavirus tritogastroenteritidis")</f>
        <v>Rotavirus tritogastroenteritidis</v>
      </c>
      <c r="S7847" s="18" t="s">
        <v>30</v>
      </c>
      <c r="T7847" s="18" t="s">
        <v>17709</v>
      </c>
      <c r="U7847" s="18" t="s">
        <v>17710</v>
      </c>
      <c r="V7847" s="18" t="s">
        <v>17711</v>
      </c>
      <c r="W7847" s="18" t="s">
        <v>50501</v>
      </c>
      <c r="X7847" s="18" t="s">
        <v>42</v>
      </c>
      <c r="Y7847" s="18" t="s">
        <v>17196</v>
      </c>
      <c r="Z7847" s="18" t="s">
        <v>166</v>
      </c>
      <c r="AA7847" s="21" t="str">
        <f>HYPERLINK("https://www.ncbi.nlm.nih.gov/nuccore/AJ304859,AJ303139,X79442,X96697,X59843,AJ132203,AJ132204,X77257,AJ132205,M81488,X83967","NCBI Nucleotide")</f>
        <v>NCBI Nucleotide</v>
      </c>
    </row>
    <row r="7848" spans="1:27" x14ac:dyDescent="0.35">
      <c r="A7848">
        <v>1008458</v>
      </c>
      <c r="B7848">
        <v>7307</v>
      </c>
      <c r="C7848">
        <v>1</v>
      </c>
      <c r="D7848" s="17" t="s">
        <v>17166</v>
      </c>
      <c r="E7848" s="17"/>
      <c r="F7848" s="17" t="s">
        <v>17246</v>
      </c>
      <c r="G7848" s="17"/>
      <c r="H7848" s="17" t="s">
        <v>17310</v>
      </c>
      <c r="I7848" s="17"/>
      <c r="J7848" s="17" t="s">
        <v>17604</v>
      </c>
      <c r="K7848" s="17"/>
      <c r="L7848" s="17" t="s">
        <v>17605</v>
      </c>
      <c r="M7848" s="17"/>
      <c r="N7848" s="17" t="s">
        <v>17606</v>
      </c>
      <c r="O7848" s="17"/>
      <c r="P7848" s="17" t="s">
        <v>17732</v>
      </c>
      <c r="Q7848" s="17"/>
      <c r="R7848" s="25" t="str">
        <f>HYPERLINK("https://ictv.global/taxonomy/taxondetails?taxnode_id=202304915","Seadornavirus bannaense")</f>
        <v>Seadornavirus bannaense</v>
      </c>
      <c r="S7848" s="18" t="s">
        <v>30</v>
      </c>
      <c r="T7848" s="18" t="s">
        <v>17733</v>
      </c>
      <c r="U7848" s="18" t="s">
        <v>17734</v>
      </c>
      <c r="V7848" s="18" t="s">
        <v>17735</v>
      </c>
      <c r="W7848" s="18" t="s">
        <v>50502</v>
      </c>
      <c r="X7848" s="18" t="s">
        <v>42</v>
      </c>
      <c r="Y7848" s="18" t="s">
        <v>17196</v>
      </c>
      <c r="Z7848" s="18" t="s">
        <v>12289</v>
      </c>
      <c r="AA7848" s="21" t="str">
        <f>HYPERLINK("https://www.ncbi.nlm.nih.gov/nuccore/AF133430,AF134514,AF134515,AF134516,AF134517,AF134518,AF052018,AF052017,AF052016,AF052015,AF052014,AF019908","NCBI Nucleotide")</f>
        <v>NCBI Nucleotide</v>
      </c>
    </row>
    <row r="7849" spans="1:27" x14ac:dyDescent="0.35">
      <c r="A7849">
        <v>1012708</v>
      </c>
      <c r="B7849">
        <v>7307</v>
      </c>
      <c r="C7849">
        <v>2</v>
      </c>
      <c r="D7849" s="17" t="s">
        <v>17166</v>
      </c>
      <c r="E7849" s="17"/>
      <c r="F7849" s="17" t="s">
        <v>17246</v>
      </c>
      <c r="G7849" s="17"/>
      <c r="H7849" s="17" t="s">
        <v>17310</v>
      </c>
      <c r="I7849" s="17"/>
      <c r="J7849" s="17" t="s">
        <v>17604</v>
      </c>
      <c r="K7849" s="17"/>
      <c r="L7849" s="17" t="s">
        <v>17605</v>
      </c>
      <c r="M7849" s="17"/>
      <c r="N7849" s="17" t="s">
        <v>17606</v>
      </c>
      <c r="O7849" s="17"/>
      <c r="P7849" s="17" t="s">
        <v>17732</v>
      </c>
      <c r="Q7849" s="17"/>
      <c r="R7849" s="25" t="str">
        <f>HYPERLINK("https://ictv.global/taxonomy/taxondetails?taxnode_id=202304915","Seadornavirus bannaense")</f>
        <v>Seadornavirus bannaense</v>
      </c>
      <c r="S7849" s="18" t="s">
        <v>8141</v>
      </c>
      <c r="T7849" s="18" t="s">
        <v>17733</v>
      </c>
      <c r="U7849" s="18" t="s">
        <v>17734</v>
      </c>
      <c r="V7849" s="18" t="s">
        <v>17736</v>
      </c>
      <c r="W7849" s="18" t="s">
        <v>49268</v>
      </c>
      <c r="X7849" s="18" t="s">
        <v>42</v>
      </c>
      <c r="Y7849" s="18" t="s">
        <v>17196</v>
      </c>
      <c r="Z7849" s="18" t="s">
        <v>12289</v>
      </c>
      <c r="AA7849" s="21" t="str">
        <f>HYPERLINK("https://www.ncbi.nlm.nih.gov/nuccore/AF168005,AF134526,AY549307,AY549308,AY549309,AF168006,AF052035,AF052034,AF052033,AF052032,AF052031,AF052030","NCBI Nucleotide")</f>
        <v>NCBI Nucleotide</v>
      </c>
    </row>
    <row r="7850" spans="1:27" x14ac:dyDescent="0.35">
      <c r="A7850">
        <v>1012709</v>
      </c>
      <c r="B7850">
        <v>7307</v>
      </c>
      <c r="C7850">
        <v>3</v>
      </c>
      <c r="D7850" s="17" t="s">
        <v>17166</v>
      </c>
      <c r="E7850" s="17"/>
      <c r="F7850" s="17" t="s">
        <v>17246</v>
      </c>
      <c r="G7850" s="17"/>
      <c r="H7850" s="17" t="s">
        <v>17310</v>
      </c>
      <c r="I7850" s="17"/>
      <c r="J7850" s="17" t="s">
        <v>17604</v>
      </c>
      <c r="K7850" s="17"/>
      <c r="L7850" s="17" t="s">
        <v>17605</v>
      </c>
      <c r="M7850" s="17"/>
      <c r="N7850" s="17" t="s">
        <v>17606</v>
      </c>
      <c r="O7850" s="17"/>
      <c r="P7850" s="17" t="s">
        <v>17732</v>
      </c>
      <c r="Q7850" s="17"/>
      <c r="R7850" s="25" t="str">
        <f>HYPERLINK("https://ictv.global/taxonomy/taxondetails?taxnode_id=202304915","Seadornavirus bannaense")</f>
        <v>Seadornavirus bannaense</v>
      </c>
      <c r="S7850" s="18" t="s">
        <v>8141</v>
      </c>
      <c r="T7850" s="18" t="s">
        <v>17733</v>
      </c>
      <c r="U7850" s="18" t="s">
        <v>17734</v>
      </c>
      <c r="V7850" s="18" t="s">
        <v>17737</v>
      </c>
      <c r="W7850" s="18" t="s">
        <v>50894</v>
      </c>
      <c r="X7850" s="18" t="s">
        <v>154</v>
      </c>
      <c r="Y7850" s="18" t="s">
        <v>17196</v>
      </c>
      <c r="Z7850" s="18" t="s">
        <v>12289</v>
      </c>
      <c r="AA7850" s="21" t="str">
        <f>HYPERLINK("https://www.ncbi.nlm.nih.gov/nuccore/AF134522,AF134523,AF052013,AF052012,AF052011,AF052010,AF052009,AF052008","NCBI Nucleotide")</f>
        <v>NCBI Nucleotide</v>
      </c>
    </row>
    <row r="7851" spans="1:27" x14ac:dyDescent="0.35">
      <c r="A7851">
        <v>1012710</v>
      </c>
      <c r="B7851">
        <v>7307</v>
      </c>
      <c r="C7851">
        <v>4</v>
      </c>
      <c r="D7851" s="17" t="s">
        <v>17166</v>
      </c>
      <c r="E7851" s="17"/>
      <c r="F7851" s="17" t="s">
        <v>17246</v>
      </c>
      <c r="G7851" s="17"/>
      <c r="H7851" s="17" t="s">
        <v>17310</v>
      </c>
      <c r="I7851" s="17"/>
      <c r="J7851" s="17" t="s">
        <v>17604</v>
      </c>
      <c r="K7851" s="17"/>
      <c r="L7851" s="17" t="s">
        <v>17605</v>
      </c>
      <c r="M7851" s="17"/>
      <c r="N7851" s="17" t="s">
        <v>17606</v>
      </c>
      <c r="O7851" s="17"/>
      <c r="P7851" s="17" t="s">
        <v>17732</v>
      </c>
      <c r="Q7851" s="17"/>
      <c r="R7851" s="25" t="str">
        <f>HYPERLINK("https://ictv.global/taxonomy/taxondetails?taxnode_id=202304915","Seadornavirus bannaense")</f>
        <v>Seadornavirus bannaense</v>
      </c>
      <c r="S7851" s="18" t="s">
        <v>8141</v>
      </c>
      <c r="T7851" s="18" t="s">
        <v>17733</v>
      </c>
      <c r="U7851" s="18" t="s">
        <v>17734</v>
      </c>
      <c r="V7851" s="18" t="s">
        <v>17738</v>
      </c>
      <c r="W7851" s="18" t="s">
        <v>49269</v>
      </c>
      <c r="X7851" s="18" t="s">
        <v>154</v>
      </c>
      <c r="Y7851" s="18" t="s">
        <v>17196</v>
      </c>
      <c r="Z7851" s="18" t="s">
        <v>12289</v>
      </c>
      <c r="AA7851" s="21" t="str">
        <f>HYPERLINK("https://www.ncbi.nlm.nih.gov/nuccore/AF134519,AF134520,AF134521,AF052029,AF052028,AF052027,AF052026,AF052025,AF052024","NCBI Nucleotide")</f>
        <v>NCBI Nucleotide</v>
      </c>
    </row>
    <row r="7852" spans="1:27" x14ac:dyDescent="0.35">
      <c r="A7852">
        <v>1008459</v>
      </c>
      <c r="B7852">
        <v>7308</v>
      </c>
      <c r="C7852">
        <v>1</v>
      </c>
      <c r="D7852" s="17" t="s">
        <v>17166</v>
      </c>
      <c r="E7852" s="17"/>
      <c r="F7852" s="17" t="s">
        <v>17246</v>
      </c>
      <c r="G7852" s="17"/>
      <c r="H7852" s="17" t="s">
        <v>17310</v>
      </c>
      <c r="I7852" s="17"/>
      <c r="J7852" s="17" t="s">
        <v>17604</v>
      </c>
      <c r="K7852" s="17"/>
      <c r="L7852" s="17" t="s">
        <v>17605</v>
      </c>
      <c r="M7852" s="17"/>
      <c r="N7852" s="17" t="s">
        <v>17606</v>
      </c>
      <c r="O7852" s="17"/>
      <c r="P7852" s="17" t="s">
        <v>17732</v>
      </c>
      <c r="Q7852" s="17"/>
      <c r="R7852" s="25" t="str">
        <f>HYPERLINK("https://ictv.global/taxonomy/taxondetails?taxnode_id=202304916","Seadornavirus kadipiroense")</f>
        <v>Seadornavirus kadipiroense</v>
      </c>
      <c r="S7852" s="18" t="s">
        <v>30</v>
      </c>
      <c r="T7852" s="18" t="s">
        <v>17739</v>
      </c>
      <c r="U7852" s="18" t="s">
        <v>17740</v>
      </c>
      <c r="V7852" s="18" t="s">
        <v>17741</v>
      </c>
      <c r="W7852" s="18" t="s">
        <v>50503</v>
      </c>
      <c r="X7852" s="18" t="s">
        <v>42</v>
      </c>
      <c r="Y7852" s="18" t="s">
        <v>17196</v>
      </c>
      <c r="Z7852" s="18" t="s">
        <v>10790</v>
      </c>
      <c r="AA7852" s="21" t="str">
        <f>HYPERLINK("https://www.ncbi.nlm.nih.gov/nuccore/AF133429,AF134509,AF134510,AF134511,AF134512,AF134513,AF052023,AF052022,AF052021,AF052020,AF052019,AF019909","NCBI Nucleotide")</f>
        <v>NCBI Nucleotide</v>
      </c>
    </row>
    <row r="7853" spans="1:27" x14ac:dyDescent="0.35">
      <c r="A7853">
        <v>1008460</v>
      </c>
      <c r="B7853">
        <v>7309</v>
      </c>
      <c r="C7853">
        <v>1</v>
      </c>
      <c r="D7853" s="17" t="s">
        <v>17166</v>
      </c>
      <c r="E7853" s="17"/>
      <c r="F7853" s="17" t="s">
        <v>17246</v>
      </c>
      <c r="G7853" s="17"/>
      <c r="H7853" s="17" t="s">
        <v>17310</v>
      </c>
      <c r="I7853" s="17"/>
      <c r="J7853" s="17" t="s">
        <v>17604</v>
      </c>
      <c r="K7853" s="17"/>
      <c r="L7853" s="17" t="s">
        <v>17605</v>
      </c>
      <c r="M7853" s="17"/>
      <c r="N7853" s="17" t="s">
        <v>17606</v>
      </c>
      <c r="O7853" s="17"/>
      <c r="P7853" s="17" t="s">
        <v>17732</v>
      </c>
      <c r="Q7853" s="17"/>
      <c r="R7853" s="25" t="str">
        <f>HYPERLINK("https://ictv.global/taxonomy/taxondetails?taxnode_id=202304917","Seadornavirus liaoningense")</f>
        <v>Seadornavirus liaoningense</v>
      </c>
      <c r="S7853" s="18" t="s">
        <v>30</v>
      </c>
      <c r="T7853" s="18" t="s">
        <v>17742</v>
      </c>
      <c r="U7853" s="18" t="s">
        <v>17743</v>
      </c>
      <c r="V7853" s="18" t="s">
        <v>17744</v>
      </c>
      <c r="W7853" s="18" t="s">
        <v>17745</v>
      </c>
      <c r="X7853" s="18" t="s">
        <v>42</v>
      </c>
      <c r="Y7853" s="18" t="s">
        <v>17196</v>
      </c>
      <c r="Z7853" s="18" t="s">
        <v>10790</v>
      </c>
      <c r="AA7853" s="21" t="str">
        <f>HYPERLINK("https://www.ncbi.nlm.nih.gov/nuccore/AY701339,AY701340,AY701341,AY701342,AY701343,AY701344,AY701345,AY701346,AY701347,AY701348,AY701349,AY701350","NCBI Nucleotide")</f>
        <v>NCBI Nucleotide</v>
      </c>
    </row>
    <row r="7854" spans="1:27" x14ac:dyDescent="0.35">
      <c r="A7854">
        <v>1012711</v>
      </c>
      <c r="B7854">
        <v>7309</v>
      </c>
      <c r="C7854">
        <v>2</v>
      </c>
      <c r="D7854" s="17" t="s">
        <v>17166</v>
      </c>
      <c r="E7854" s="17"/>
      <c r="F7854" s="17" t="s">
        <v>17246</v>
      </c>
      <c r="G7854" s="17"/>
      <c r="H7854" s="17" t="s">
        <v>17310</v>
      </c>
      <c r="I7854" s="17"/>
      <c r="J7854" s="17" t="s">
        <v>17604</v>
      </c>
      <c r="K7854" s="17"/>
      <c r="L7854" s="17" t="s">
        <v>17605</v>
      </c>
      <c r="M7854" s="17"/>
      <c r="N7854" s="17" t="s">
        <v>17606</v>
      </c>
      <c r="O7854" s="17"/>
      <c r="P7854" s="17" t="s">
        <v>17732</v>
      </c>
      <c r="Q7854" s="17"/>
      <c r="R7854" s="25" t="str">
        <f>HYPERLINK("https://ictv.global/taxonomy/taxondetails?taxnode_id=202304917","Seadornavirus liaoningense")</f>
        <v>Seadornavirus liaoningense</v>
      </c>
      <c r="S7854" s="18" t="s">
        <v>8141</v>
      </c>
      <c r="T7854" s="18" t="s">
        <v>17742</v>
      </c>
      <c r="U7854" s="18" t="s">
        <v>17743</v>
      </c>
      <c r="V7854" s="18" t="s">
        <v>17746</v>
      </c>
      <c r="W7854" s="18" t="s">
        <v>49270</v>
      </c>
      <c r="X7854" s="18" t="s">
        <v>42</v>
      </c>
      <c r="Y7854" s="18" t="s">
        <v>17196</v>
      </c>
      <c r="Z7854" s="18" t="s">
        <v>10790</v>
      </c>
      <c r="AA7854" s="21" t="str">
        <f>HYPERLINK("https://www.ncbi.nlm.nih.gov/nuccore/AY317099,AY317100,AY317101,AY317102,AY317103,AY317104,AY317105,AY317106,AY317107,AY317108,AY317109,AY317110","NCBI Nucleotide")</f>
        <v>NCBI Nucleotide</v>
      </c>
    </row>
    <row r="7855" spans="1:27" x14ac:dyDescent="0.35">
      <c r="A7855">
        <v>1008463</v>
      </c>
      <c r="B7855">
        <v>7310</v>
      </c>
      <c r="C7855">
        <v>1</v>
      </c>
      <c r="D7855" s="17" t="s">
        <v>17166</v>
      </c>
      <c r="E7855" s="17"/>
      <c r="F7855" s="17" t="s">
        <v>17246</v>
      </c>
      <c r="G7855" s="17"/>
      <c r="H7855" s="17" t="s">
        <v>17310</v>
      </c>
      <c r="I7855" s="17"/>
      <c r="J7855" s="17" t="s">
        <v>17604</v>
      </c>
      <c r="K7855" s="17"/>
      <c r="L7855" s="17" t="s">
        <v>17605</v>
      </c>
      <c r="M7855" s="17"/>
      <c r="N7855" s="17" t="s">
        <v>17747</v>
      </c>
      <c r="O7855" s="17"/>
      <c r="P7855" s="17" t="s">
        <v>17748</v>
      </c>
      <c r="Q7855" s="17"/>
      <c r="R7855" s="25" t="str">
        <f>HYPERLINK("https://ictv.global/taxonomy/taxondetails?taxnode_id=202304922","Aquareovirus ctenopharyngodontis")</f>
        <v>Aquareovirus ctenopharyngodontis</v>
      </c>
      <c r="S7855" s="18" t="s">
        <v>30</v>
      </c>
      <c r="T7855" s="18" t="s">
        <v>17758</v>
      </c>
      <c r="U7855" s="18" t="s">
        <v>17759</v>
      </c>
      <c r="V7855" s="18"/>
      <c r="W7855" s="18" t="s">
        <v>17760</v>
      </c>
      <c r="X7855" s="18" t="s">
        <v>42</v>
      </c>
      <c r="Y7855" s="18" t="s">
        <v>17196</v>
      </c>
      <c r="Z7855" s="18" t="s">
        <v>166</v>
      </c>
      <c r="AA7855" s="21" t="str">
        <f>HYPERLINK("https://www.ncbi.nlm.nih.gov/nuccore/AF403398,AF403399,AF403400,AF403401,AF403402,AF403403,AF403404,AF403405,AF403406,AF403407,AF403408","NCBI Nucleotide")</f>
        <v>NCBI Nucleotide</v>
      </c>
    </row>
    <row r="7856" spans="1:27" x14ac:dyDescent="0.35">
      <c r="A7856">
        <v>1012713</v>
      </c>
      <c r="B7856">
        <v>7310</v>
      </c>
      <c r="C7856">
        <v>2</v>
      </c>
      <c r="D7856" s="17" t="s">
        <v>17166</v>
      </c>
      <c r="E7856" s="17"/>
      <c r="F7856" s="17" t="s">
        <v>17246</v>
      </c>
      <c r="G7856" s="17"/>
      <c r="H7856" s="17" t="s">
        <v>17310</v>
      </c>
      <c r="I7856" s="17"/>
      <c r="J7856" s="17" t="s">
        <v>17604</v>
      </c>
      <c r="K7856" s="17"/>
      <c r="L7856" s="17" t="s">
        <v>17605</v>
      </c>
      <c r="M7856" s="17"/>
      <c r="N7856" s="17" t="s">
        <v>17747</v>
      </c>
      <c r="O7856" s="17"/>
      <c r="P7856" s="17" t="s">
        <v>17748</v>
      </c>
      <c r="Q7856" s="17"/>
      <c r="R7856" s="25" t="str">
        <f>HYPERLINK("https://ictv.global/taxonomy/taxondetails?taxnode_id=202304922","Aquareovirus ctenopharyngodontis")</f>
        <v>Aquareovirus ctenopharyngodontis</v>
      </c>
      <c r="S7856" s="18" t="s">
        <v>8141</v>
      </c>
      <c r="T7856" s="18" t="s">
        <v>17761</v>
      </c>
      <c r="U7856" s="18" t="s">
        <v>17762</v>
      </c>
      <c r="V7856" s="18" t="s">
        <v>42372</v>
      </c>
      <c r="W7856" s="18" t="s">
        <v>49271</v>
      </c>
      <c r="X7856" s="18" t="s">
        <v>42</v>
      </c>
      <c r="Y7856" s="18" t="s">
        <v>17196</v>
      </c>
      <c r="Z7856" s="18" t="s">
        <v>166</v>
      </c>
      <c r="AA7856" s="21" t="str">
        <f>HYPERLINK("https://www.ncbi.nlm.nih.gov/nuccore/AH009795,AF403390,AF403391,AF403392,AF403393,AF403394,AF403395,AF403396,AF403397","NCBI Nucleotide")</f>
        <v>NCBI Nucleotide</v>
      </c>
    </row>
    <row r="7857" spans="1:27" x14ac:dyDescent="0.35">
      <c r="A7857">
        <v>1008467</v>
      </c>
      <c r="B7857">
        <v>7311</v>
      </c>
      <c r="C7857">
        <v>1</v>
      </c>
      <c r="D7857" s="17" t="s">
        <v>17166</v>
      </c>
      <c r="E7857" s="17"/>
      <c r="F7857" s="17" t="s">
        <v>17246</v>
      </c>
      <c r="G7857" s="17"/>
      <c r="H7857" s="17" t="s">
        <v>17310</v>
      </c>
      <c r="I7857" s="17"/>
      <c r="J7857" s="17" t="s">
        <v>17604</v>
      </c>
      <c r="K7857" s="17"/>
      <c r="L7857" s="17" t="s">
        <v>17605</v>
      </c>
      <c r="M7857" s="17"/>
      <c r="N7857" s="17" t="s">
        <v>17747</v>
      </c>
      <c r="O7857" s="17"/>
      <c r="P7857" s="17" t="s">
        <v>17748</v>
      </c>
      <c r="Q7857" s="17"/>
      <c r="R7857" s="25" t="str">
        <f>HYPERLINK("https://ictv.global/taxonomy/taxondetails?taxnode_id=202304926","Aquareovirus graminis")</f>
        <v>Aquareovirus graminis</v>
      </c>
      <c r="S7857" s="18" t="s">
        <v>30</v>
      </c>
      <c r="T7857" s="18" t="s">
        <v>17771</v>
      </c>
      <c r="U7857" s="18" t="s">
        <v>17772</v>
      </c>
      <c r="V7857" s="18" t="s">
        <v>17773</v>
      </c>
      <c r="W7857" s="18" t="s">
        <v>17774</v>
      </c>
      <c r="X7857" s="18" t="s">
        <v>42</v>
      </c>
      <c r="Y7857" s="18" t="s">
        <v>17196</v>
      </c>
      <c r="Z7857" s="18" t="s">
        <v>166</v>
      </c>
      <c r="AA7857" s="21" t="str">
        <f>HYPERLINK("https://www.ncbi.nlm.nih.gov/nuccore/EF589098,EF589099,EF589100,EF589101,EF589102,EF589103,EF589104,EF589105,EF589106,EF589107,EF589108","NCBI Nucleotide")</f>
        <v>NCBI Nucleotide</v>
      </c>
    </row>
    <row r="7858" spans="1:27" x14ac:dyDescent="0.35">
      <c r="A7858">
        <v>1008464</v>
      </c>
      <c r="B7858">
        <v>7312</v>
      </c>
      <c r="C7858">
        <v>1</v>
      </c>
      <c r="D7858" s="17" t="s">
        <v>17166</v>
      </c>
      <c r="E7858" s="17"/>
      <c r="F7858" s="17" t="s">
        <v>17246</v>
      </c>
      <c r="G7858" s="17"/>
      <c r="H7858" s="17" t="s">
        <v>17310</v>
      </c>
      <c r="I7858" s="17"/>
      <c r="J7858" s="17" t="s">
        <v>17604</v>
      </c>
      <c r="K7858" s="17"/>
      <c r="L7858" s="17" t="s">
        <v>17605</v>
      </c>
      <c r="M7858" s="17"/>
      <c r="N7858" s="17" t="s">
        <v>17747</v>
      </c>
      <c r="O7858" s="17"/>
      <c r="P7858" s="17" t="s">
        <v>17748</v>
      </c>
      <c r="Q7858" s="17"/>
      <c r="R7858" s="25" t="str">
        <f>HYPERLINK("https://ictv.global/taxonomy/taxondetails?taxnode_id=202304923","Aquareovirus ictaluri")</f>
        <v>Aquareovirus ictaluri</v>
      </c>
      <c r="S7858" s="18" t="s">
        <v>30</v>
      </c>
      <c r="T7858" s="18" t="s">
        <v>17763</v>
      </c>
      <c r="U7858" s="18" t="s">
        <v>17764</v>
      </c>
      <c r="V7858" s="18"/>
      <c r="W7858" s="18"/>
      <c r="X7858" s="18" t="s">
        <v>3311</v>
      </c>
      <c r="Y7858" s="18" t="s">
        <v>17196</v>
      </c>
      <c r="Z7858" s="18" t="s">
        <v>166</v>
      </c>
      <c r="AA7858" s="21"/>
    </row>
    <row r="7859" spans="1:27" x14ac:dyDescent="0.35">
      <c r="A7859">
        <v>1008466</v>
      </c>
      <c r="B7859">
        <v>7313</v>
      </c>
      <c r="C7859">
        <v>1</v>
      </c>
      <c r="D7859" s="17" t="s">
        <v>17166</v>
      </c>
      <c r="E7859" s="17"/>
      <c r="F7859" s="17" t="s">
        <v>17246</v>
      </c>
      <c r="G7859" s="17"/>
      <c r="H7859" s="17" t="s">
        <v>17310</v>
      </c>
      <c r="I7859" s="17"/>
      <c r="J7859" s="17" t="s">
        <v>17604</v>
      </c>
      <c r="K7859" s="17"/>
      <c r="L7859" s="17" t="s">
        <v>17605</v>
      </c>
      <c r="M7859" s="17"/>
      <c r="N7859" s="17" t="s">
        <v>17747</v>
      </c>
      <c r="O7859" s="17"/>
      <c r="P7859" s="17" t="s">
        <v>17748</v>
      </c>
      <c r="Q7859" s="17"/>
      <c r="R7859" s="25" t="str">
        <f>HYPERLINK("https://ictv.global/taxonomy/taxondetails?taxnode_id=202304925","Aquareovirus maculosi")</f>
        <v>Aquareovirus maculosi</v>
      </c>
      <c r="S7859" s="18" t="s">
        <v>30</v>
      </c>
      <c r="T7859" s="18" t="s">
        <v>17768</v>
      </c>
      <c r="U7859" s="18" t="s">
        <v>17769</v>
      </c>
      <c r="V7859" s="18" t="s">
        <v>17770</v>
      </c>
      <c r="W7859" s="18"/>
      <c r="X7859" s="18" t="s">
        <v>3311</v>
      </c>
      <c r="Y7859" s="18" t="s">
        <v>17196</v>
      </c>
      <c r="Z7859" s="18" t="s">
        <v>166</v>
      </c>
      <c r="AA7859" s="21"/>
    </row>
    <row r="7860" spans="1:27" x14ac:dyDescent="0.35">
      <c r="A7860">
        <v>1008462</v>
      </c>
      <c r="B7860">
        <v>7314</v>
      </c>
      <c r="C7860">
        <v>1</v>
      </c>
      <c r="D7860" s="17" t="s">
        <v>17166</v>
      </c>
      <c r="E7860" s="17"/>
      <c r="F7860" s="17" t="s">
        <v>17246</v>
      </c>
      <c r="G7860" s="17"/>
      <c r="H7860" s="17" t="s">
        <v>17310</v>
      </c>
      <c r="I7860" s="17"/>
      <c r="J7860" s="17" t="s">
        <v>17604</v>
      </c>
      <c r="K7860" s="17"/>
      <c r="L7860" s="17" t="s">
        <v>17605</v>
      </c>
      <c r="M7860" s="17"/>
      <c r="N7860" s="17" t="s">
        <v>17747</v>
      </c>
      <c r="O7860" s="17"/>
      <c r="P7860" s="17" t="s">
        <v>17748</v>
      </c>
      <c r="Q7860" s="17"/>
      <c r="R7860" s="25" t="str">
        <f>HYPERLINK("https://ictv.global/taxonomy/taxondetails?taxnode_id=202304921","Aquareovirus oncorhynchi")</f>
        <v>Aquareovirus oncorhynchi</v>
      </c>
      <c r="S7860" s="18" t="s">
        <v>30</v>
      </c>
      <c r="T7860" s="18" t="s">
        <v>17755</v>
      </c>
      <c r="U7860" s="18" t="s">
        <v>17756</v>
      </c>
      <c r="V7860" s="18"/>
      <c r="W7860" s="18" t="s">
        <v>17757</v>
      </c>
      <c r="X7860" s="18" t="s">
        <v>154</v>
      </c>
      <c r="Y7860" s="18" t="s">
        <v>17196</v>
      </c>
      <c r="Z7860" s="18" t="s">
        <v>166</v>
      </c>
      <c r="AA7860" s="21" t="str">
        <f>HYPERLINK("https://www.ncbi.nlm.nih.gov/nuccore/KC588376,KC588377,KC588378,KC588379,KC588380,KC588381,KC588382,KC588383,KC588384,KC588385","NCBI Nucleotide")</f>
        <v>NCBI Nucleotide</v>
      </c>
    </row>
    <row r="7861" spans="1:27" x14ac:dyDescent="0.35">
      <c r="A7861">
        <v>1008461</v>
      </c>
      <c r="B7861">
        <v>7315</v>
      </c>
      <c r="C7861">
        <v>1</v>
      </c>
      <c r="D7861" s="17" t="s">
        <v>17166</v>
      </c>
      <c r="E7861" s="17"/>
      <c r="F7861" s="17" t="s">
        <v>17246</v>
      </c>
      <c r="G7861" s="17"/>
      <c r="H7861" s="17" t="s">
        <v>17310</v>
      </c>
      <c r="I7861" s="17"/>
      <c r="J7861" s="17" t="s">
        <v>17604</v>
      </c>
      <c r="K7861" s="17"/>
      <c r="L7861" s="17" t="s">
        <v>17605</v>
      </c>
      <c r="M7861" s="17"/>
      <c r="N7861" s="17" t="s">
        <v>17747</v>
      </c>
      <c r="O7861" s="17"/>
      <c r="P7861" s="17" t="s">
        <v>17748</v>
      </c>
      <c r="Q7861" s="17"/>
      <c r="R7861" s="25" t="str">
        <f>HYPERLINK("https://ictv.global/taxonomy/taxondetails?taxnode_id=202304920","Aquareovirus salmonis")</f>
        <v>Aquareovirus salmonis</v>
      </c>
      <c r="S7861" s="18" t="s">
        <v>30</v>
      </c>
      <c r="T7861" s="18" t="s">
        <v>17749</v>
      </c>
      <c r="U7861" s="18" t="s">
        <v>17750</v>
      </c>
      <c r="V7861" s="18" t="s">
        <v>17751</v>
      </c>
      <c r="W7861" s="18" t="s">
        <v>17752</v>
      </c>
      <c r="X7861" s="18" t="s">
        <v>42</v>
      </c>
      <c r="Y7861" s="18" t="s">
        <v>17196</v>
      </c>
      <c r="Z7861" s="18" t="s">
        <v>166</v>
      </c>
      <c r="AA7861" s="21" t="str">
        <f>HYPERLINK("https://www.ncbi.nlm.nih.gov/nuccore/AF418294,AF418295,AF418296,AF418297,AF418298,AF418299,AF418300,AF418301,AF418302,AF418303,AF418304","NCBI Nucleotide")</f>
        <v>NCBI Nucleotide</v>
      </c>
    </row>
    <row r="7862" spans="1:27" x14ac:dyDescent="0.35">
      <c r="A7862">
        <v>1012712</v>
      </c>
      <c r="B7862">
        <v>7315</v>
      </c>
      <c r="C7862">
        <v>2</v>
      </c>
      <c r="D7862" s="17" t="s">
        <v>17166</v>
      </c>
      <c r="E7862" s="17"/>
      <c r="F7862" s="17" t="s">
        <v>17246</v>
      </c>
      <c r="G7862" s="17"/>
      <c r="H7862" s="17" t="s">
        <v>17310</v>
      </c>
      <c r="I7862" s="17"/>
      <c r="J7862" s="17" t="s">
        <v>17604</v>
      </c>
      <c r="K7862" s="17"/>
      <c r="L7862" s="17" t="s">
        <v>17605</v>
      </c>
      <c r="M7862" s="17"/>
      <c r="N7862" s="17" t="s">
        <v>17747</v>
      </c>
      <c r="O7862" s="17"/>
      <c r="P7862" s="17" t="s">
        <v>17748</v>
      </c>
      <c r="Q7862" s="17"/>
      <c r="R7862" s="25" t="str">
        <f>HYPERLINK("https://ictv.global/taxonomy/taxondetails?taxnode_id=202304920","Aquareovirus salmonis")</f>
        <v>Aquareovirus salmonis</v>
      </c>
      <c r="S7862" s="18" t="s">
        <v>8141</v>
      </c>
      <c r="T7862" s="18" t="s">
        <v>17753</v>
      </c>
      <c r="U7862" s="18" t="s">
        <v>17754</v>
      </c>
      <c r="V7862" s="18"/>
      <c r="W7862" s="18" t="s">
        <v>49272</v>
      </c>
      <c r="X7862" s="18" t="s">
        <v>154</v>
      </c>
      <c r="Y7862" s="18" t="s">
        <v>17196</v>
      </c>
      <c r="Z7862" s="18" t="s">
        <v>166</v>
      </c>
      <c r="AA7862" s="21" t="str">
        <f>HYPERLINK("https://www.ncbi.nlm.nih.gov/nuccore/AF450318,AF450319,AF450320,AF450321,AF450322","NCBI Nucleotide")</f>
        <v>NCBI Nucleotide</v>
      </c>
    </row>
    <row r="7863" spans="1:27" x14ac:dyDescent="0.35">
      <c r="A7863">
        <v>1008465</v>
      </c>
      <c r="B7863">
        <v>7316</v>
      </c>
      <c r="C7863">
        <v>1</v>
      </c>
      <c r="D7863" s="17" t="s">
        <v>17166</v>
      </c>
      <c r="E7863" s="17"/>
      <c r="F7863" s="17" t="s">
        <v>17246</v>
      </c>
      <c r="G7863" s="17"/>
      <c r="H7863" s="17" t="s">
        <v>17310</v>
      </c>
      <c r="I7863" s="17"/>
      <c r="J7863" s="17" t="s">
        <v>17604</v>
      </c>
      <c r="K7863" s="17"/>
      <c r="L7863" s="17" t="s">
        <v>17605</v>
      </c>
      <c r="M7863" s="17"/>
      <c r="N7863" s="17" t="s">
        <v>17747</v>
      </c>
      <c r="O7863" s="17"/>
      <c r="P7863" s="17" t="s">
        <v>17748</v>
      </c>
      <c r="Q7863" s="17"/>
      <c r="R7863" s="25" t="str">
        <f>HYPERLINK("https://ictv.global/taxonomy/taxondetails?taxnode_id=202304924","Aquareovirus scophthalmi")</f>
        <v>Aquareovirus scophthalmi</v>
      </c>
      <c r="S7863" s="18" t="s">
        <v>30</v>
      </c>
      <c r="T7863" s="18" t="s">
        <v>17765</v>
      </c>
      <c r="U7863" s="18" t="s">
        <v>17766</v>
      </c>
      <c r="V7863" s="18"/>
      <c r="W7863" s="18" t="s">
        <v>17767</v>
      </c>
      <c r="X7863" s="18" t="s">
        <v>42</v>
      </c>
      <c r="Y7863" s="18" t="s">
        <v>17196</v>
      </c>
      <c r="Z7863" s="18" t="s">
        <v>166</v>
      </c>
      <c r="AA7863" s="21" t="str">
        <f>HYPERLINK("https://www.ncbi.nlm.nih.gov/nuccore/HM989930,HM989931,HM989932,HM989933,HM989934,HM989935,HM989936,HM989937,HM989938,HM989939,HM989940","NCBI Nucleotide")</f>
        <v>NCBI Nucleotide</v>
      </c>
    </row>
    <row r="7864" spans="1:27" x14ac:dyDescent="0.35">
      <c r="A7864">
        <v>1008468</v>
      </c>
      <c r="B7864">
        <v>7317</v>
      </c>
      <c r="C7864">
        <v>1</v>
      </c>
      <c r="D7864" s="17" t="s">
        <v>17166</v>
      </c>
      <c r="E7864" s="17"/>
      <c r="F7864" s="17" t="s">
        <v>17246</v>
      </c>
      <c r="G7864" s="17"/>
      <c r="H7864" s="17" t="s">
        <v>17310</v>
      </c>
      <c r="I7864" s="17"/>
      <c r="J7864" s="17" t="s">
        <v>17604</v>
      </c>
      <c r="K7864" s="17"/>
      <c r="L7864" s="17" t="s">
        <v>17605</v>
      </c>
      <c r="M7864" s="17"/>
      <c r="N7864" s="17" t="s">
        <v>17747</v>
      </c>
      <c r="O7864" s="17"/>
      <c r="P7864" s="17" t="s">
        <v>17775</v>
      </c>
      <c r="Q7864" s="17"/>
      <c r="R7864" s="25" t="str">
        <f>HYPERLINK("https://ictv.global/taxonomy/taxondetails?taxnode_id=202304928","Coltivirus dermacentoris")</f>
        <v>Coltivirus dermacentoris</v>
      </c>
      <c r="S7864" s="18" t="s">
        <v>30</v>
      </c>
      <c r="T7864" s="18" t="s">
        <v>17776</v>
      </c>
      <c r="U7864" s="18" t="s">
        <v>17777</v>
      </c>
      <c r="V7864" s="18" t="s">
        <v>17778</v>
      </c>
      <c r="W7864" s="18" t="s">
        <v>50504</v>
      </c>
      <c r="X7864" s="18" t="s">
        <v>42</v>
      </c>
      <c r="Y7864" s="18" t="s">
        <v>17196</v>
      </c>
      <c r="Z7864" s="18" t="s">
        <v>166</v>
      </c>
      <c r="AA7864" s="21" t="str">
        <f>HYPERLINK("https://www.ncbi.nlm.nih.gov/nuccore/AF133428,AF139758,AF139759,AF139760,AF139761,AF139762,AF139763,AF139764,AF000720,AF139765,U72694,U53227","NCBI Nucleotide")</f>
        <v>NCBI Nucleotide</v>
      </c>
    </row>
    <row r="7865" spans="1:27" x14ac:dyDescent="0.35">
      <c r="A7865">
        <v>1008469</v>
      </c>
      <c r="B7865">
        <v>7318</v>
      </c>
      <c r="C7865">
        <v>1</v>
      </c>
      <c r="D7865" s="17" t="s">
        <v>17166</v>
      </c>
      <c r="E7865" s="17"/>
      <c r="F7865" s="17" t="s">
        <v>17246</v>
      </c>
      <c r="G7865" s="17"/>
      <c r="H7865" s="17" t="s">
        <v>17310</v>
      </c>
      <c r="I7865" s="17"/>
      <c r="J7865" s="17" t="s">
        <v>17604</v>
      </c>
      <c r="K7865" s="17"/>
      <c r="L7865" s="17" t="s">
        <v>17605</v>
      </c>
      <c r="M7865" s="17"/>
      <c r="N7865" s="17" t="s">
        <v>17747</v>
      </c>
      <c r="O7865" s="17"/>
      <c r="P7865" s="17" t="s">
        <v>17775</v>
      </c>
      <c r="Q7865" s="17"/>
      <c r="R7865" s="25" t="str">
        <f>HYPERLINK("https://ictv.global/taxonomy/taxondetails?taxnode_id=202304929","Coltivirus ixodis")</f>
        <v>Coltivirus ixodis</v>
      </c>
      <c r="S7865" s="18" t="s">
        <v>30</v>
      </c>
      <c r="T7865" s="18" t="s">
        <v>17779</v>
      </c>
      <c r="U7865" s="18" t="s">
        <v>17780</v>
      </c>
      <c r="V7865" s="18" t="s">
        <v>17781</v>
      </c>
      <c r="W7865" s="18" t="s">
        <v>42373</v>
      </c>
      <c r="X7865" s="18" t="s">
        <v>42</v>
      </c>
      <c r="Y7865" s="18" t="s">
        <v>17196</v>
      </c>
      <c r="Z7865" s="18" t="s">
        <v>166</v>
      </c>
      <c r="AA7865" s="21" t="str">
        <f>HYPERLINK("https://www.ncbi.nlm.nih.gov/nuccore/AF282467,AF282468,AF282469,AF282470,AF282471,AF282472,AF282473,AF282474,AF282475,AF282476,AF282477,AF282478","NCBI Nucleotide")</f>
        <v>NCBI Nucleotide</v>
      </c>
    </row>
    <row r="7866" spans="1:27" x14ac:dyDescent="0.35">
      <c r="A7866">
        <v>1008470</v>
      </c>
      <c r="B7866">
        <v>7319</v>
      </c>
      <c r="C7866">
        <v>1</v>
      </c>
      <c r="D7866" s="17" t="s">
        <v>17166</v>
      </c>
      <c r="E7866" s="17"/>
      <c r="F7866" s="17" t="s">
        <v>17246</v>
      </c>
      <c r="G7866" s="17"/>
      <c r="H7866" s="17" t="s">
        <v>17310</v>
      </c>
      <c r="I7866" s="17"/>
      <c r="J7866" s="17" t="s">
        <v>17604</v>
      </c>
      <c r="K7866" s="17"/>
      <c r="L7866" s="17" t="s">
        <v>17605</v>
      </c>
      <c r="M7866" s="17"/>
      <c r="N7866" s="17" t="s">
        <v>17747</v>
      </c>
      <c r="O7866" s="17"/>
      <c r="P7866" s="17" t="s">
        <v>17775</v>
      </c>
      <c r="Q7866" s="17"/>
      <c r="R7866" s="25" t="str">
        <f>HYPERLINK("https://ictv.global/taxonomy/taxondetails?taxnode_id=202307654","Coltivirus kundalense")</f>
        <v>Coltivirus kundalense</v>
      </c>
      <c r="S7866" s="18" t="s">
        <v>30</v>
      </c>
      <c r="T7866" s="18" t="s">
        <v>17782</v>
      </c>
      <c r="U7866" s="18" t="s">
        <v>17783</v>
      </c>
      <c r="V7866" s="18" t="s">
        <v>17784</v>
      </c>
      <c r="W7866" s="18" t="s">
        <v>17785</v>
      </c>
      <c r="X7866" s="18" t="s">
        <v>35</v>
      </c>
      <c r="Y7866" s="18" t="s">
        <v>17196</v>
      </c>
      <c r="Z7866" s="18" t="s">
        <v>12289</v>
      </c>
      <c r="AA7866" s="21" t="str">
        <f>HYPERLINK("https://www.ncbi.nlm.nih.gov/nuccore/MH327935,MH327936,MH327937,MH327938,MH327939,MH327940,MH327941,MH327942,MH327943,MH327944,MH327945,MH327946","NCBI Nucleotide")</f>
        <v>NCBI Nucleotide</v>
      </c>
    </row>
    <row r="7867" spans="1:27" x14ac:dyDescent="0.35">
      <c r="A7867">
        <v>1008471</v>
      </c>
      <c r="B7867">
        <v>7320</v>
      </c>
      <c r="C7867">
        <v>1</v>
      </c>
      <c r="D7867" s="17" t="s">
        <v>17166</v>
      </c>
      <c r="E7867" s="17"/>
      <c r="F7867" s="17" t="s">
        <v>17246</v>
      </c>
      <c r="G7867" s="17"/>
      <c r="H7867" s="17" t="s">
        <v>17310</v>
      </c>
      <c r="I7867" s="17"/>
      <c r="J7867" s="17" t="s">
        <v>17604</v>
      </c>
      <c r="K7867" s="17"/>
      <c r="L7867" s="17" t="s">
        <v>17605</v>
      </c>
      <c r="M7867" s="17"/>
      <c r="N7867" s="17" t="s">
        <v>17747</v>
      </c>
      <c r="O7867" s="17"/>
      <c r="P7867" s="17" t="s">
        <v>17775</v>
      </c>
      <c r="Q7867" s="17"/>
      <c r="R7867" s="25" t="str">
        <f>HYPERLINK("https://ictv.global/taxonomy/taxondetails?taxnode_id=202307655","Coltivirus taiense")</f>
        <v>Coltivirus taiense</v>
      </c>
      <c r="S7867" s="18" t="s">
        <v>30</v>
      </c>
      <c r="T7867" s="18" t="s">
        <v>17786</v>
      </c>
      <c r="U7867" s="18" t="s">
        <v>17787</v>
      </c>
      <c r="V7867" s="18" t="s">
        <v>17788</v>
      </c>
      <c r="W7867" s="18" t="s">
        <v>50776</v>
      </c>
      <c r="X7867" s="18" t="s">
        <v>35</v>
      </c>
      <c r="Y7867" s="18" t="s">
        <v>17196</v>
      </c>
      <c r="Z7867" s="18" t="s">
        <v>12289</v>
      </c>
      <c r="AA7867" s="21" t="str">
        <f>HYPERLINK("https://www.ncbi.nlm.nih.gov/nuccore/KX989543,KX989544,KX989545,MF511051,MF511052,MF511053,MF511054,KX989546,MF511055,MF511056","NCBI Nucleotide")</f>
        <v>NCBI Nucleotide</v>
      </c>
    </row>
    <row r="7868" spans="1:27" x14ac:dyDescent="0.35">
      <c r="A7868">
        <v>1008472</v>
      </c>
      <c r="B7868">
        <v>7321</v>
      </c>
      <c r="C7868">
        <v>1</v>
      </c>
      <c r="D7868" s="17" t="s">
        <v>17166</v>
      </c>
      <c r="E7868" s="17"/>
      <c r="F7868" s="17" t="s">
        <v>17246</v>
      </c>
      <c r="G7868" s="17"/>
      <c r="H7868" s="17" t="s">
        <v>17310</v>
      </c>
      <c r="I7868" s="17"/>
      <c r="J7868" s="17" t="s">
        <v>17604</v>
      </c>
      <c r="K7868" s="17"/>
      <c r="L7868" s="17" t="s">
        <v>17605</v>
      </c>
      <c r="M7868" s="17"/>
      <c r="N7868" s="17" t="s">
        <v>17747</v>
      </c>
      <c r="O7868" s="17"/>
      <c r="P7868" s="17" t="s">
        <v>17775</v>
      </c>
      <c r="Q7868" s="17"/>
      <c r="R7868" s="25" t="str">
        <f>HYPERLINK("https://ictv.global/taxonomy/taxondetails?taxnode_id=202307656","Coltivirus tarumizuense")</f>
        <v>Coltivirus tarumizuense</v>
      </c>
      <c r="S7868" s="18" t="s">
        <v>30</v>
      </c>
      <c r="T7868" s="18" t="s">
        <v>17789</v>
      </c>
      <c r="U7868" s="18" t="s">
        <v>17790</v>
      </c>
      <c r="V7868" s="18" t="s">
        <v>17791</v>
      </c>
      <c r="W7868" s="18" t="s">
        <v>17792</v>
      </c>
      <c r="X7868" s="18" t="s">
        <v>35</v>
      </c>
      <c r="Y7868" s="18" t="s">
        <v>17196</v>
      </c>
      <c r="Z7868" s="18" t="s">
        <v>12289</v>
      </c>
      <c r="AA7868" s="21" t="str">
        <f>HYPERLINK("https://www.ncbi.nlm.nih.gov/nuccore/LC275156,LC275157,LC275158,LC275159,LC275160,LC275161,LC275162,LC275163,LC275164,LC275165,LC275166,LC275167","NCBI Nucleotide")</f>
        <v>NCBI Nucleotide</v>
      </c>
    </row>
    <row r="7869" spans="1:27" x14ac:dyDescent="0.35">
      <c r="A7869">
        <v>1008485</v>
      </c>
      <c r="B7869">
        <v>7322</v>
      </c>
      <c r="C7869">
        <v>1</v>
      </c>
      <c r="D7869" s="17" t="s">
        <v>17166</v>
      </c>
      <c r="E7869" s="17"/>
      <c r="F7869" s="17" t="s">
        <v>17246</v>
      </c>
      <c r="G7869" s="17"/>
      <c r="H7869" s="17" t="s">
        <v>17310</v>
      </c>
      <c r="I7869" s="17"/>
      <c r="J7869" s="17" t="s">
        <v>17604</v>
      </c>
      <c r="K7869" s="17"/>
      <c r="L7869" s="17" t="s">
        <v>17605</v>
      </c>
      <c r="M7869" s="17"/>
      <c r="N7869" s="17" t="s">
        <v>17747</v>
      </c>
      <c r="O7869" s="17"/>
      <c r="P7869" s="17" t="s">
        <v>17793</v>
      </c>
      <c r="Q7869" s="17"/>
      <c r="R7869" s="25" t="str">
        <f>HYPERLINK("https://ictv.global/taxonomy/taxondetails?taxnode_id=202304936","Cypovirus aglaidis")</f>
        <v>Cypovirus aglaidis</v>
      </c>
      <c r="S7869" s="18" t="s">
        <v>30</v>
      </c>
      <c r="T7869" s="18" t="s">
        <v>17834</v>
      </c>
      <c r="U7869" s="18" t="s">
        <v>17835</v>
      </c>
      <c r="V7869" s="18"/>
      <c r="W7869" s="18"/>
      <c r="X7869" s="18" t="s">
        <v>3311</v>
      </c>
      <c r="Y7869" s="18" t="s">
        <v>17196</v>
      </c>
      <c r="Z7869" s="18" t="s">
        <v>10790</v>
      </c>
      <c r="AA7869" s="21"/>
    </row>
    <row r="7870" spans="1:27" x14ac:dyDescent="0.35">
      <c r="A7870">
        <v>1008488</v>
      </c>
      <c r="B7870">
        <v>7323</v>
      </c>
      <c r="C7870">
        <v>1</v>
      </c>
      <c r="D7870" s="17" t="s">
        <v>17166</v>
      </c>
      <c r="E7870" s="17"/>
      <c r="F7870" s="17" t="s">
        <v>17246</v>
      </c>
      <c r="G7870" s="17"/>
      <c r="H7870" s="17" t="s">
        <v>17310</v>
      </c>
      <c r="I7870" s="17"/>
      <c r="J7870" s="17" t="s">
        <v>17604</v>
      </c>
      <c r="K7870" s="17"/>
      <c r="L7870" s="17" t="s">
        <v>17605</v>
      </c>
      <c r="M7870" s="17"/>
      <c r="N7870" s="17" t="s">
        <v>17747</v>
      </c>
      <c r="O7870" s="17"/>
      <c r="P7870" s="17" t="s">
        <v>17793</v>
      </c>
      <c r="Q7870" s="17"/>
      <c r="R7870" s="25" t="str">
        <f>HYPERLINK("https://ictv.global/taxonomy/taxondetails?taxnode_id=202304939","Cypovirus agrotidis")</f>
        <v>Cypovirus agrotidis</v>
      </c>
      <c r="S7870" s="18" t="s">
        <v>30</v>
      </c>
      <c r="T7870" s="18" t="s">
        <v>17840</v>
      </c>
      <c r="U7870" s="18" t="s">
        <v>17841</v>
      </c>
      <c r="V7870" s="18"/>
      <c r="W7870" s="18"/>
      <c r="X7870" s="18" t="s">
        <v>3311</v>
      </c>
      <c r="Y7870" s="18" t="s">
        <v>17196</v>
      </c>
      <c r="Z7870" s="18" t="s">
        <v>10790</v>
      </c>
      <c r="AA7870" s="21"/>
    </row>
    <row r="7871" spans="1:27" x14ac:dyDescent="0.35">
      <c r="A7871">
        <v>1008473</v>
      </c>
      <c r="B7871">
        <v>7324</v>
      </c>
      <c r="C7871">
        <v>1</v>
      </c>
      <c r="D7871" s="17" t="s">
        <v>17166</v>
      </c>
      <c r="E7871" s="17"/>
      <c r="F7871" s="17" t="s">
        <v>17246</v>
      </c>
      <c r="G7871" s="17"/>
      <c r="H7871" s="17" t="s">
        <v>17310</v>
      </c>
      <c r="I7871" s="17"/>
      <c r="J7871" s="17" t="s">
        <v>17604</v>
      </c>
      <c r="K7871" s="17"/>
      <c r="L7871" s="17" t="s">
        <v>17605</v>
      </c>
      <c r="M7871" s="17"/>
      <c r="N7871" s="17" t="s">
        <v>17747</v>
      </c>
      <c r="O7871" s="17"/>
      <c r="P7871" s="17" t="s">
        <v>17793</v>
      </c>
      <c r="Q7871" s="17"/>
      <c r="R7871" s="25" t="str">
        <f>HYPERLINK("https://ictv.global/taxonomy/taxondetails?taxnode_id=202304931","Cypovirus altineae")</f>
        <v>Cypovirus altineae</v>
      </c>
      <c r="S7871" s="18" t="s">
        <v>30</v>
      </c>
      <c r="T7871" s="18" t="s">
        <v>17794</v>
      </c>
      <c r="U7871" s="18" t="s">
        <v>17795</v>
      </c>
      <c r="V7871" s="18"/>
      <c r="W7871" s="18" t="s">
        <v>17796</v>
      </c>
      <c r="X7871" s="18" t="s">
        <v>42</v>
      </c>
      <c r="Y7871" s="18" t="s">
        <v>17196</v>
      </c>
      <c r="Z7871" s="18" t="s">
        <v>10790</v>
      </c>
      <c r="AA7871" s="21" t="str">
        <f>HYPERLINK("https://www.ncbi.nlm.nih.gov/nuccore/AF389462,AF389463,AF389464,AF389465,AF389466,AF389467,AF389468,AF389469,AF389470,AF389471","NCBI Nucleotide")</f>
        <v>NCBI Nucleotide</v>
      </c>
    </row>
    <row r="7872" spans="1:27" x14ac:dyDescent="0.35">
      <c r="A7872">
        <v>1012714</v>
      </c>
      <c r="B7872">
        <v>7324</v>
      </c>
      <c r="C7872">
        <v>2</v>
      </c>
      <c r="D7872" s="17" t="s">
        <v>17166</v>
      </c>
      <c r="E7872" s="17"/>
      <c r="F7872" s="17" t="s">
        <v>17246</v>
      </c>
      <c r="G7872" s="17"/>
      <c r="H7872" s="17" t="s">
        <v>17310</v>
      </c>
      <c r="I7872" s="17"/>
      <c r="J7872" s="17" t="s">
        <v>17604</v>
      </c>
      <c r="K7872" s="17"/>
      <c r="L7872" s="17" t="s">
        <v>17605</v>
      </c>
      <c r="M7872" s="17"/>
      <c r="N7872" s="17" t="s">
        <v>17747</v>
      </c>
      <c r="O7872" s="17"/>
      <c r="P7872" s="17" t="s">
        <v>17793</v>
      </c>
      <c r="Q7872" s="17"/>
      <c r="R7872" s="25" t="str">
        <f>HYPERLINK("https://ictv.global/taxonomy/taxondetails?taxnode_id=202304931","Cypovirus altineae")</f>
        <v>Cypovirus altineae</v>
      </c>
      <c r="S7872" s="18" t="s">
        <v>8141</v>
      </c>
      <c r="T7872" s="18" t="s">
        <v>17797</v>
      </c>
      <c r="U7872" s="18" t="s">
        <v>17798</v>
      </c>
      <c r="V7872" s="18"/>
      <c r="W7872" s="18" t="s">
        <v>49273</v>
      </c>
      <c r="X7872" s="18" t="s">
        <v>42</v>
      </c>
      <c r="Y7872" s="18" t="s">
        <v>17196</v>
      </c>
      <c r="Z7872" s="18" t="s">
        <v>10790</v>
      </c>
      <c r="AA7872" s="21" t="str">
        <f>HYPERLINK("https://www.ncbi.nlm.nih.gov/nuccore/KR704197,KR704195,KR704198,KR704199,KR704200,KR704201,KR815454,KR704202,KR704203,KR704196","NCBI Nucleotide")</f>
        <v>NCBI Nucleotide</v>
      </c>
    </row>
    <row r="7873" spans="1:27" x14ac:dyDescent="0.35">
      <c r="A7873">
        <v>1012715</v>
      </c>
      <c r="B7873">
        <v>7324</v>
      </c>
      <c r="C7873">
        <v>3</v>
      </c>
      <c r="D7873" s="17" t="s">
        <v>17166</v>
      </c>
      <c r="E7873" s="17"/>
      <c r="F7873" s="17" t="s">
        <v>17246</v>
      </c>
      <c r="G7873" s="17"/>
      <c r="H7873" s="17" t="s">
        <v>17310</v>
      </c>
      <c r="I7873" s="17"/>
      <c r="J7873" s="17" t="s">
        <v>17604</v>
      </c>
      <c r="K7873" s="17"/>
      <c r="L7873" s="17" t="s">
        <v>17605</v>
      </c>
      <c r="M7873" s="17"/>
      <c r="N7873" s="17" t="s">
        <v>17747</v>
      </c>
      <c r="O7873" s="17"/>
      <c r="P7873" s="17" t="s">
        <v>17793</v>
      </c>
      <c r="Q7873" s="17"/>
      <c r="R7873" s="25" t="str">
        <f>HYPERLINK("https://ictv.global/taxonomy/taxondetails?taxnode_id=202304931","Cypovirus altineae")</f>
        <v>Cypovirus altineae</v>
      </c>
      <c r="S7873" s="18" t="s">
        <v>8141</v>
      </c>
      <c r="T7873" s="18" t="s">
        <v>17799</v>
      </c>
      <c r="U7873" s="18" t="s">
        <v>17800</v>
      </c>
      <c r="V7873" s="18"/>
      <c r="W7873" s="18" t="s">
        <v>49274</v>
      </c>
      <c r="X7873" s="18" t="s">
        <v>42</v>
      </c>
      <c r="Y7873" s="18" t="s">
        <v>17196</v>
      </c>
      <c r="Z7873" s="18" t="s">
        <v>10790</v>
      </c>
      <c r="AA7873" s="21" t="str">
        <f>HYPERLINK("https://www.ncbi.nlm.nih.gov/nuccore/AY163247,AY147187,AY167578,AF542082,AY163248,AY177408,AY180906,AY211092,AY211093,AY204878","NCBI Nucleotide")</f>
        <v>NCBI Nucleotide</v>
      </c>
    </row>
    <row r="7874" spans="1:27" x14ac:dyDescent="0.35">
      <c r="A7874">
        <v>1008483</v>
      </c>
      <c r="B7874">
        <v>7325</v>
      </c>
      <c r="C7874">
        <v>1</v>
      </c>
      <c r="D7874" s="17" t="s">
        <v>17166</v>
      </c>
      <c r="E7874" s="17"/>
      <c r="F7874" s="17" t="s">
        <v>17246</v>
      </c>
      <c r="G7874" s="17"/>
      <c r="H7874" s="17" t="s">
        <v>17310</v>
      </c>
      <c r="I7874" s="17"/>
      <c r="J7874" s="17" t="s">
        <v>17604</v>
      </c>
      <c r="K7874" s="17"/>
      <c r="L7874" s="17" t="s">
        <v>17605</v>
      </c>
      <c r="M7874" s="17"/>
      <c r="N7874" s="17" t="s">
        <v>17747</v>
      </c>
      <c r="O7874" s="17"/>
      <c r="P7874" s="17" t="s">
        <v>17793</v>
      </c>
      <c r="Q7874" s="17"/>
      <c r="R7874" s="25" t="str">
        <f>HYPERLINK("https://ictv.global/taxonomy/taxondetails?taxnode_id=202304934","Cypovirus antheraeae")</f>
        <v>Cypovirus antheraeae</v>
      </c>
      <c r="S7874" s="18" t="s">
        <v>30</v>
      </c>
      <c r="T7874" s="18" t="s">
        <v>17827</v>
      </c>
      <c r="U7874" s="18" t="s">
        <v>17828</v>
      </c>
      <c r="V7874" s="18"/>
      <c r="W7874" s="18" t="s">
        <v>17829</v>
      </c>
      <c r="X7874" s="18" t="s">
        <v>154</v>
      </c>
      <c r="Y7874" s="18" t="s">
        <v>17196</v>
      </c>
      <c r="Z7874" s="18" t="s">
        <v>10790</v>
      </c>
      <c r="AA7874" s="21" t="str">
        <f>HYPERLINK("https://www.ncbi.nlm.nih.gov/nuccore/EF062995,DQ512389,DQ975382,AY212272","NCBI Nucleotide")</f>
        <v>NCBI Nucleotide</v>
      </c>
    </row>
    <row r="7875" spans="1:27" x14ac:dyDescent="0.35">
      <c r="A7875">
        <v>1012716</v>
      </c>
      <c r="B7875">
        <v>7325</v>
      </c>
      <c r="C7875">
        <v>2</v>
      </c>
      <c r="D7875" s="17" t="s">
        <v>17166</v>
      </c>
      <c r="E7875" s="17"/>
      <c r="F7875" s="17" t="s">
        <v>17246</v>
      </c>
      <c r="G7875" s="17"/>
      <c r="H7875" s="17" t="s">
        <v>17310</v>
      </c>
      <c r="I7875" s="17"/>
      <c r="J7875" s="17" t="s">
        <v>17604</v>
      </c>
      <c r="K7875" s="17"/>
      <c r="L7875" s="17" t="s">
        <v>17605</v>
      </c>
      <c r="M7875" s="17"/>
      <c r="N7875" s="17" t="s">
        <v>17747</v>
      </c>
      <c r="O7875" s="17"/>
      <c r="P7875" s="17" t="s">
        <v>17793</v>
      </c>
      <c r="Q7875" s="17"/>
      <c r="R7875" s="25" t="str">
        <f>HYPERLINK("https://ictv.global/taxonomy/taxondetails?taxnode_id=202304934","Cypovirus antheraeae")</f>
        <v>Cypovirus antheraeae</v>
      </c>
      <c r="S7875" s="18" t="s">
        <v>8141</v>
      </c>
      <c r="T7875" s="18" t="s">
        <v>17823</v>
      </c>
      <c r="U7875" s="18" t="s">
        <v>17824</v>
      </c>
      <c r="V7875" s="18"/>
      <c r="W7875" s="18"/>
      <c r="X7875" s="18" t="s">
        <v>3311</v>
      </c>
      <c r="Y7875" s="18" t="s">
        <v>17196</v>
      </c>
      <c r="Z7875" s="18" t="s">
        <v>10790</v>
      </c>
      <c r="AA7875" s="21"/>
    </row>
    <row r="7876" spans="1:27" x14ac:dyDescent="0.35">
      <c r="A7876">
        <v>1012717</v>
      </c>
      <c r="B7876">
        <v>7325</v>
      </c>
      <c r="C7876">
        <v>3</v>
      </c>
      <c r="D7876" s="17" t="s">
        <v>17166</v>
      </c>
      <c r="E7876" s="17"/>
      <c r="F7876" s="17" t="s">
        <v>17246</v>
      </c>
      <c r="G7876" s="17"/>
      <c r="H7876" s="17" t="s">
        <v>17310</v>
      </c>
      <c r="I7876" s="17"/>
      <c r="J7876" s="17" t="s">
        <v>17604</v>
      </c>
      <c r="K7876" s="17"/>
      <c r="L7876" s="17" t="s">
        <v>17605</v>
      </c>
      <c r="M7876" s="17"/>
      <c r="N7876" s="17" t="s">
        <v>17747</v>
      </c>
      <c r="O7876" s="17"/>
      <c r="P7876" s="17" t="s">
        <v>17793</v>
      </c>
      <c r="Q7876" s="17"/>
      <c r="R7876" s="25" t="str">
        <f>HYPERLINK("https://ictv.global/taxonomy/taxondetails?taxnode_id=202304934","Cypovirus antheraeae")</f>
        <v>Cypovirus antheraeae</v>
      </c>
      <c r="S7876" s="18" t="s">
        <v>8141</v>
      </c>
      <c r="T7876" s="18" t="s">
        <v>17825</v>
      </c>
      <c r="U7876" s="18" t="s">
        <v>17826</v>
      </c>
      <c r="V7876" s="18"/>
      <c r="W7876" s="18"/>
      <c r="X7876" s="18" t="s">
        <v>3311</v>
      </c>
      <c r="Y7876" s="18" t="s">
        <v>17196</v>
      </c>
      <c r="Z7876" s="18" t="s">
        <v>10790</v>
      </c>
      <c r="AA7876" s="21"/>
    </row>
    <row r="7877" spans="1:27" x14ac:dyDescent="0.35">
      <c r="A7877">
        <v>1008482</v>
      </c>
      <c r="B7877">
        <v>7326</v>
      </c>
      <c r="C7877">
        <v>1</v>
      </c>
      <c r="D7877" s="17" t="s">
        <v>17166</v>
      </c>
      <c r="E7877" s="17"/>
      <c r="F7877" s="17" t="s">
        <v>17246</v>
      </c>
      <c r="G7877" s="17"/>
      <c r="H7877" s="17" t="s">
        <v>17310</v>
      </c>
      <c r="I7877" s="17"/>
      <c r="J7877" s="17" t="s">
        <v>17604</v>
      </c>
      <c r="K7877" s="17"/>
      <c r="L7877" s="17" t="s">
        <v>17605</v>
      </c>
      <c r="M7877" s="17"/>
      <c r="N7877" s="17" t="s">
        <v>17747</v>
      </c>
      <c r="O7877" s="17"/>
      <c r="P7877" s="17" t="s">
        <v>17793</v>
      </c>
      <c r="Q7877" s="17"/>
      <c r="R7877" s="25" t="str">
        <f>HYPERLINK("https://ictv.global/taxonomy/taxondetails?taxnode_id=202304933","Cypovirus aplocerae")</f>
        <v>Cypovirus aplocerae</v>
      </c>
      <c r="S7877" s="18" t="s">
        <v>30</v>
      </c>
      <c r="T7877" s="18" t="s">
        <v>17821</v>
      </c>
      <c r="U7877" s="18" t="s">
        <v>17822</v>
      </c>
      <c r="V7877" s="18"/>
      <c r="W7877" s="18"/>
      <c r="X7877" s="18" t="s">
        <v>3311</v>
      </c>
      <c r="Y7877" s="18" t="s">
        <v>17196</v>
      </c>
      <c r="Z7877" s="18" t="s">
        <v>10790</v>
      </c>
      <c r="AA7877" s="21"/>
    </row>
    <row r="7878" spans="1:27" x14ac:dyDescent="0.35">
      <c r="A7878">
        <v>1008474</v>
      </c>
      <c r="B7878">
        <v>7327</v>
      </c>
      <c r="C7878">
        <v>1</v>
      </c>
      <c r="D7878" s="17" t="s">
        <v>17166</v>
      </c>
      <c r="E7878" s="17"/>
      <c r="F7878" s="17" t="s">
        <v>17246</v>
      </c>
      <c r="G7878" s="17"/>
      <c r="H7878" s="17" t="s">
        <v>17310</v>
      </c>
      <c r="I7878" s="17"/>
      <c r="J7878" s="17" t="s">
        <v>17604</v>
      </c>
      <c r="K7878" s="17"/>
      <c r="L7878" s="17" t="s">
        <v>17605</v>
      </c>
      <c r="M7878" s="17"/>
      <c r="N7878" s="17" t="s">
        <v>17747</v>
      </c>
      <c r="O7878" s="17"/>
      <c r="P7878" s="17" t="s">
        <v>17793</v>
      </c>
      <c r="Q7878" s="17"/>
      <c r="R7878" s="25" t="str">
        <f>HYPERLINK("https://ictv.global/taxonomy/taxondetails?taxnode_id=202304940","Cypovirus aprophylae")</f>
        <v>Cypovirus aprophylae</v>
      </c>
      <c r="S7878" s="18" t="s">
        <v>30</v>
      </c>
      <c r="T7878" s="18" t="s">
        <v>17801</v>
      </c>
      <c r="U7878" s="18" t="s">
        <v>17802</v>
      </c>
      <c r="V7878" s="18"/>
      <c r="W7878" s="18"/>
      <c r="X7878" s="18" t="s">
        <v>3311</v>
      </c>
      <c r="Y7878" s="18" t="s">
        <v>17196</v>
      </c>
      <c r="Z7878" s="18" t="s">
        <v>10790</v>
      </c>
      <c r="AA7878" s="21"/>
    </row>
    <row r="7879" spans="1:27" x14ac:dyDescent="0.35">
      <c r="A7879">
        <v>1008476</v>
      </c>
      <c r="B7879">
        <v>7328</v>
      </c>
      <c r="C7879">
        <v>1</v>
      </c>
      <c r="D7879" s="17" t="s">
        <v>17166</v>
      </c>
      <c r="E7879" s="17"/>
      <c r="F7879" s="17" t="s">
        <v>17246</v>
      </c>
      <c r="G7879" s="17"/>
      <c r="H7879" s="17" t="s">
        <v>17310</v>
      </c>
      <c r="I7879" s="17"/>
      <c r="J7879" s="17" t="s">
        <v>17604</v>
      </c>
      <c r="K7879" s="17"/>
      <c r="L7879" s="17" t="s">
        <v>17605</v>
      </c>
      <c r="M7879" s="17"/>
      <c r="N7879" s="17" t="s">
        <v>17747</v>
      </c>
      <c r="O7879" s="17"/>
      <c r="P7879" s="17" t="s">
        <v>17793</v>
      </c>
      <c r="Q7879" s="17"/>
      <c r="R7879" s="25" t="str">
        <f>HYPERLINK("https://ictv.global/taxonomy/taxondetails?taxnode_id=202304942","Cypovirus autographae")</f>
        <v>Cypovirus autographae</v>
      </c>
      <c r="S7879" s="18" t="s">
        <v>30</v>
      </c>
      <c r="T7879" s="18" t="s">
        <v>17805</v>
      </c>
      <c r="U7879" s="18" t="s">
        <v>17806</v>
      </c>
      <c r="V7879" s="18"/>
      <c r="W7879" s="18"/>
      <c r="X7879" s="18" t="s">
        <v>3311</v>
      </c>
      <c r="Y7879" s="18" t="s">
        <v>17196</v>
      </c>
      <c r="Z7879" s="18" t="s">
        <v>10790</v>
      </c>
      <c r="AA7879" s="21"/>
    </row>
    <row r="7880" spans="1:27" x14ac:dyDescent="0.35">
      <c r="A7880">
        <v>1008484</v>
      </c>
      <c r="B7880">
        <v>7329</v>
      </c>
      <c r="C7880">
        <v>1</v>
      </c>
      <c r="D7880" s="17" t="s">
        <v>17166</v>
      </c>
      <c r="E7880" s="17"/>
      <c r="F7880" s="17" t="s">
        <v>17246</v>
      </c>
      <c r="G7880" s="17"/>
      <c r="H7880" s="17" t="s">
        <v>17310</v>
      </c>
      <c r="I7880" s="17"/>
      <c r="J7880" s="17" t="s">
        <v>17604</v>
      </c>
      <c r="K7880" s="17"/>
      <c r="L7880" s="17" t="s">
        <v>17605</v>
      </c>
      <c r="M7880" s="17"/>
      <c r="N7880" s="17" t="s">
        <v>17747</v>
      </c>
      <c r="O7880" s="17"/>
      <c r="P7880" s="17" t="s">
        <v>17793</v>
      </c>
      <c r="Q7880" s="17"/>
      <c r="R7880" s="25" t="str">
        <f>HYPERLINK("https://ictv.global/taxonomy/taxondetails?taxnode_id=202304935","Cypovirus betineae")</f>
        <v>Cypovirus betineae</v>
      </c>
      <c r="S7880" s="18" t="s">
        <v>30</v>
      </c>
      <c r="T7880" s="18" t="s">
        <v>17830</v>
      </c>
      <c r="U7880" s="18" t="s">
        <v>17831</v>
      </c>
      <c r="V7880" s="18"/>
      <c r="W7880" s="18" t="s">
        <v>50505</v>
      </c>
      <c r="X7880" s="18" t="s">
        <v>42</v>
      </c>
      <c r="Y7880" s="18" t="s">
        <v>17196</v>
      </c>
      <c r="Z7880" s="18" t="s">
        <v>10790</v>
      </c>
      <c r="AA7880" s="21" t="str">
        <f>HYPERLINK("https://www.ncbi.nlm.nih.gov/nuccore/EF634325,EF634324,EF634323,EF634322,EF634321,EF634320,DQ077913,DQ178180,DQ178179,DQ077912","NCBI Nucleotide")</f>
        <v>NCBI Nucleotide</v>
      </c>
    </row>
    <row r="7881" spans="1:27" x14ac:dyDescent="0.35">
      <c r="A7881">
        <v>1012718</v>
      </c>
      <c r="B7881">
        <v>7329</v>
      </c>
      <c r="C7881">
        <v>2</v>
      </c>
      <c r="D7881" s="17" t="s">
        <v>17166</v>
      </c>
      <c r="E7881" s="17"/>
      <c r="F7881" s="17" t="s">
        <v>17246</v>
      </c>
      <c r="G7881" s="17"/>
      <c r="H7881" s="17" t="s">
        <v>17310</v>
      </c>
      <c r="I7881" s="17"/>
      <c r="J7881" s="17" t="s">
        <v>17604</v>
      </c>
      <c r="K7881" s="17"/>
      <c r="L7881" s="17" t="s">
        <v>17605</v>
      </c>
      <c r="M7881" s="17"/>
      <c r="N7881" s="17" t="s">
        <v>17747</v>
      </c>
      <c r="O7881" s="17"/>
      <c r="P7881" s="17" t="s">
        <v>17793</v>
      </c>
      <c r="Q7881" s="17"/>
      <c r="R7881" s="25" t="str">
        <f>HYPERLINK("https://ictv.global/taxonomy/taxondetails?taxnode_id=202304935","Cypovirus betineae")</f>
        <v>Cypovirus betineae</v>
      </c>
      <c r="S7881" s="18" t="s">
        <v>8141</v>
      </c>
      <c r="T7881" s="18" t="s">
        <v>17832</v>
      </c>
      <c r="U7881" s="18" t="s">
        <v>17833</v>
      </c>
      <c r="V7881" s="18"/>
      <c r="W7881" s="18" t="s">
        <v>49275</v>
      </c>
      <c r="X7881" s="18" t="s">
        <v>42</v>
      </c>
      <c r="Y7881" s="18" t="s">
        <v>17196</v>
      </c>
      <c r="Z7881" s="18" t="s">
        <v>10790</v>
      </c>
      <c r="AA7881" s="21" t="str">
        <f>HYPERLINK("https://www.ncbi.nlm.nih.gov/nuccore/KC588356,KC588357,KC588358,KC588359,KC588360,KC588361,KC588362,KC588363,KC588364,KC588365","NCBI Nucleotide")</f>
        <v>NCBI Nucleotide</v>
      </c>
    </row>
    <row r="7882" spans="1:27" x14ac:dyDescent="0.35">
      <c r="A7882">
        <v>1008480</v>
      </c>
      <c r="B7882">
        <v>7330</v>
      </c>
      <c r="C7882">
        <v>1</v>
      </c>
      <c r="D7882" s="17" t="s">
        <v>17166</v>
      </c>
      <c r="E7882" s="17"/>
      <c r="F7882" s="17" t="s">
        <v>17246</v>
      </c>
      <c r="G7882" s="17"/>
      <c r="H7882" s="17" t="s">
        <v>17310</v>
      </c>
      <c r="I7882" s="17"/>
      <c r="J7882" s="17" t="s">
        <v>17604</v>
      </c>
      <c r="K7882" s="17"/>
      <c r="L7882" s="17" t="s">
        <v>17605</v>
      </c>
      <c r="M7882" s="17"/>
      <c r="N7882" s="17" t="s">
        <v>17747</v>
      </c>
      <c r="O7882" s="17"/>
      <c r="P7882" s="17" t="s">
        <v>17793</v>
      </c>
      <c r="Q7882" s="17"/>
      <c r="R7882" s="25" t="str">
        <f>HYPERLINK("https://ictv.global/taxonomy/taxondetails?taxnode_id=202304946","Cypovirus choristoneurae")</f>
        <v>Cypovirus choristoneurae</v>
      </c>
      <c r="S7882" s="18" t="s">
        <v>30</v>
      </c>
      <c r="T7882" s="18" t="s">
        <v>17815</v>
      </c>
      <c r="U7882" s="18" t="s">
        <v>17816</v>
      </c>
      <c r="V7882" s="18" t="s">
        <v>17817</v>
      </c>
      <c r="W7882" s="18" t="s">
        <v>50506</v>
      </c>
      <c r="X7882" s="18" t="s">
        <v>154</v>
      </c>
      <c r="Y7882" s="18" t="s">
        <v>17196</v>
      </c>
      <c r="Z7882" s="18" t="s">
        <v>10790</v>
      </c>
      <c r="AA7882" s="21" t="str">
        <f>HYPERLINK("https://www.ncbi.nlm.nih.gov/nuccore/EU486988,EU486989,EU486990,EU201039,EU201040,EU201041,EU201042,EU201043","NCBI Nucleotide")</f>
        <v>NCBI Nucleotide</v>
      </c>
    </row>
    <row r="7883" spans="1:27" x14ac:dyDescent="0.35">
      <c r="A7883">
        <v>1008487</v>
      </c>
      <c r="B7883">
        <v>7331</v>
      </c>
      <c r="C7883">
        <v>1</v>
      </c>
      <c r="D7883" s="17" t="s">
        <v>17166</v>
      </c>
      <c r="E7883" s="17"/>
      <c r="F7883" s="17" t="s">
        <v>17246</v>
      </c>
      <c r="G7883" s="17"/>
      <c r="H7883" s="17" t="s">
        <v>17310</v>
      </c>
      <c r="I7883" s="17"/>
      <c r="J7883" s="17" t="s">
        <v>17604</v>
      </c>
      <c r="K7883" s="17"/>
      <c r="L7883" s="17" t="s">
        <v>17605</v>
      </c>
      <c r="M7883" s="17"/>
      <c r="N7883" s="17" t="s">
        <v>17747</v>
      </c>
      <c r="O7883" s="17"/>
      <c r="P7883" s="17" t="s">
        <v>17793</v>
      </c>
      <c r="Q7883" s="17"/>
      <c r="R7883" s="25" t="str">
        <f>HYPERLINK("https://ictv.global/taxonomy/taxondetails?taxnode_id=202304938","Cypovirus gatineae")</f>
        <v>Cypovirus gatineae</v>
      </c>
      <c r="S7883" s="18" t="s">
        <v>30</v>
      </c>
      <c r="T7883" s="18" t="s">
        <v>17838</v>
      </c>
      <c r="U7883" s="18" t="s">
        <v>17839</v>
      </c>
      <c r="V7883" s="18"/>
      <c r="W7883" s="18"/>
      <c r="X7883" s="18" t="s">
        <v>3311</v>
      </c>
      <c r="Y7883" s="18" t="s">
        <v>17196</v>
      </c>
      <c r="Z7883" s="18" t="s">
        <v>10790</v>
      </c>
      <c r="AA7883" s="21"/>
    </row>
    <row r="7884" spans="1:27" x14ac:dyDescent="0.35">
      <c r="A7884">
        <v>1008475</v>
      </c>
      <c r="B7884">
        <v>7332</v>
      </c>
      <c r="C7884">
        <v>1</v>
      </c>
      <c r="D7884" s="17" t="s">
        <v>17166</v>
      </c>
      <c r="E7884" s="17"/>
      <c r="F7884" s="17" t="s">
        <v>17246</v>
      </c>
      <c r="G7884" s="17"/>
      <c r="H7884" s="17" t="s">
        <v>17310</v>
      </c>
      <c r="I7884" s="17"/>
      <c r="J7884" s="17" t="s">
        <v>17604</v>
      </c>
      <c r="K7884" s="17"/>
      <c r="L7884" s="17" t="s">
        <v>17605</v>
      </c>
      <c r="M7884" s="17"/>
      <c r="N7884" s="17" t="s">
        <v>17747</v>
      </c>
      <c r="O7884" s="17"/>
      <c r="P7884" s="17" t="s">
        <v>17793</v>
      </c>
      <c r="Q7884" s="17"/>
      <c r="R7884" s="25" t="str">
        <f>HYPERLINK("https://ictv.global/taxonomy/taxondetails?taxnode_id=202304941","Cypovirus heliothidis")</f>
        <v>Cypovirus heliothidis</v>
      </c>
      <c r="S7884" s="18" t="s">
        <v>30</v>
      </c>
      <c r="T7884" s="18" t="s">
        <v>17803</v>
      </c>
      <c r="U7884" s="18" t="s">
        <v>17804</v>
      </c>
      <c r="V7884" s="18"/>
      <c r="W7884" s="18"/>
      <c r="X7884" s="18" t="s">
        <v>3311</v>
      </c>
      <c r="Y7884" s="18" t="s">
        <v>17196</v>
      </c>
      <c r="Z7884" s="18" t="s">
        <v>10790</v>
      </c>
      <c r="AA7884" s="21"/>
    </row>
    <row r="7885" spans="1:27" x14ac:dyDescent="0.35">
      <c r="A7885">
        <v>1008481</v>
      </c>
      <c r="B7885">
        <v>7333</v>
      </c>
      <c r="C7885">
        <v>1</v>
      </c>
      <c r="D7885" s="17" t="s">
        <v>17166</v>
      </c>
      <c r="E7885" s="17"/>
      <c r="F7885" s="17" t="s">
        <v>17246</v>
      </c>
      <c r="G7885" s="17"/>
      <c r="H7885" s="17" t="s">
        <v>17310</v>
      </c>
      <c r="I7885" s="17"/>
      <c r="J7885" s="17" t="s">
        <v>17604</v>
      </c>
      <c r="K7885" s="17"/>
      <c r="L7885" s="17" t="s">
        <v>17605</v>
      </c>
      <c r="M7885" s="17"/>
      <c r="N7885" s="17" t="s">
        <v>17747</v>
      </c>
      <c r="O7885" s="17"/>
      <c r="P7885" s="17" t="s">
        <v>17793</v>
      </c>
      <c r="Q7885" s="17"/>
      <c r="R7885" s="25" t="str">
        <f>HYPERLINK("https://ictv.global/taxonomy/taxondetails?taxnode_id=202304932","Cypovirus inachidis")</f>
        <v>Cypovirus inachidis</v>
      </c>
      <c r="S7885" s="18" t="s">
        <v>30</v>
      </c>
      <c r="T7885" s="18" t="s">
        <v>17818</v>
      </c>
      <c r="U7885" s="18" t="s">
        <v>17819</v>
      </c>
      <c r="V7885" s="18"/>
      <c r="W7885" s="18" t="s">
        <v>17820</v>
      </c>
      <c r="X7885" s="18" t="s">
        <v>42</v>
      </c>
      <c r="Y7885" s="18" t="s">
        <v>17196</v>
      </c>
      <c r="Z7885" s="18" t="s">
        <v>10790</v>
      </c>
      <c r="AA7885" s="21" t="str">
        <f>HYPERLINK("https://www.ncbi.nlm.nih.gov/nuccore/KC588366,KC588367,KC588368,KC588369,KC588370,KC588371,KC588372,KC588373,KC588374,KC588375","NCBI Nucleotide")</f>
        <v>NCBI Nucleotide</v>
      </c>
    </row>
    <row r="7886" spans="1:27" x14ac:dyDescent="0.35">
      <c r="A7886">
        <v>1008478</v>
      </c>
      <c r="B7886">
        <v>7334</v>
      </c>
      <c r="C7886">
        <v>1</v>
      </c>
      <c r="D7886" s="17" t="s">
        <v>17166</v>
      </c>
      <c r="E7886" s="17"/>
      <c r="F7886" s="17" t="s">
        <v>17246</v>
      </c>
      <c r="G7886" s="17"/>
      <c r="H7886" s="17" t="s">
        <v>17310</v>
      </c>
      <c r="I7886" s="17"/>
      <c r="J7886" s="17" t="s">
        <v>17604</v>
      </c>
      <c r="K7886" s="17"/>
      <c r="L7886" s="17" t="s">
        <v>17605</v>
      </c>
      <c r="M7886" s="17"/>
      <c r="N7886" s="17" t="s">
        <v>17747</v>
      </c>
      <c r="O7886" s="17"/>
      <c r="P7886" s="17" t="s">
        <v>17793</v>
      </c>
      <c r="Q7886" s="17"/>
      <c r="R7886" s="25" t="str">
        <f>HYPERLINK("https://ictv.global/taxonomy/taxondetails?taxnode_id=202304944","Cypovirus lymantriae")</f>
        <v>Cypovirus lymantriae</v>
      </c>
      <c r="S7886" s="18" t="s">
        <v>30</v>
      </c>
      <c r="T7886" s="18" t="s">
        <v>17809</v>
      </c>
      <c r="U7886" s="18" t="s">
        <v>17810</v>
      </c>
      <c r="V7886" s="18"/>
      <c r="W7886" s="18" t="s">
        <v>17811</v>
      </c>
      <c r="X7886" s="18" t="s">
        <v>42</v>
      </c>
      <c r="Y7886" s="18" t="s">
        <v>17196</v>
      </c>
      <c r="Z7886" s="18" t="s">
        <v>10790</v>
      </c>
      <c r="AA7886" s="21" t="str">
        <f>HYPERLINK("https://www.ncbi.nlm.nih.gov/nuccore/AF389452,AF389453,AF389454,AF389455,AF389456,AF389457,AF389458,AF389459,AF389460,AF389461","NCBI Nucleotide")</f>
        <v>NCBI Nucleotide</v>
      </c>
    </row>
    <row r="7887" spans="1:27" x14ac:dyDescent="0.35">
      <c r="A7887">
        <v>1008486</v>
      </c>
      <c r="B7887">
        <v>7335</v>
      </c>
      <c r="C7887">
        <v>1</v>
      </c>
      <c r="D7887" s="17" t="s">
        <v>17166</v>
      </c>
      <c r="E7887" s="17"/>
      <c r="F7887" s="17" t="s">
        <v>17246</v>
      </c>
      <c r="G7887" s="17"/>
      <c r="H7887" s="17" t="s">
        <v>17310</v>
      </c>
      <c r="I7887" s="17"/>
      <c r="J7887" s="17" t="s">
        <v>17604</v>
      </c>
      <c r="K7887" s="17"/>
      <c r="L7887" s="17" t="s">
        <v>17605</v>
      </c>
      <c r="M7887" s="17"/>
      <c r="N7887" s="17" t="s">
        <v>17747</v>
      </c>
      <c r="O7887" s="17"/>
      <c r="P7887" s="17" t="s">
        <v>17793</v>
      </c>
      <c r="Q7887" s="17"/>
      <c r="R7887" s="25" t="str">
        <f>HYPERLINK("https://ictv.global/taxonomy/taxondetails?taxnode_id=202304937","Cypovirus mamestrae")</f>
        <v>Cypovirus mamestrae</v>
      </c>
      <c r="S7887" s="18" t="s">
        <v>30</v>
      </c>
      <c r="T7887" s="18" t="s">
        <v>17836</v>
      </c>
      <c r="U7887" s="18" t="s">
        <v>17837</v>
      </c>
      <c r="V7887" s="18"/>
      <c r="W7887" s="18"/>
      <c r="X7887" s="18" t="s">
        <v>3311</v>
      </c>
      <c r="Y7887" s="18" t="s">
        <v>17196</v>
      </c>
      <c r="Z7887" s="18" t="s">
        <v>10790</v>
      </c>
      <c r="AA7887" s="21"/>
    </row>
    <row r="7888" spans="1:27" x14ac:dyDescent="0.35">
      <c r="A7888">
        <v>1008477</v>
      </c>
      <c r="B7888">
        <v>7336</v>
      </c>
      <c r="C7888">
        <v>1</v>
      </c>
      <c r="D7888" s="17" t="s">
        <v>17166</v>
      </c>
      <c r="E7888" s="17"/>
      <c r="F7888" s="17" t="s">
        <v>17246</v>
      </c>
      <c r="G7888" s="17"/>
      <c r="H7888" s="17" t="s">
        <v>17310</v>
      </c>
      <c r="I7888" s="17"/>
      <c r="J7888" s="17" t="s">
        <v>17604</v>
      </c>
      <c r="K7888" s="17"/>
      <c r="L7888" s="17" t="s">
        <v>17605</v>
      </c>
      <c r="M7888" s="17"/>
      <c r="N7888" s="17" t="s">
        <v>17747</v>
      </c>
      <c r="O7888" s="17"/>
      <c r="P7888" s="17" t="s">
        <v>17793</v>
      </c>
      <c r="Q7888" s="17"/>
      <c r="R7888" s="25" t="str">
        <f>HYPERLINK("https://ictv.global/taxonomy/taxondetails?taxnode_id=202304943","Cypovirus polistis")</f>
        <v>Cypovirus polistis</v>
      </c>
      <c r="S7888" s="18" t="s">
        <v>30</v>
      </c>
      <c r="T7888" s="18" t="s">
        <v>17807</v>
      </c>
      <c r="U7888" s="18" t="s">
        <v>17808</v>
      </c>
      <c r="V7888" s="18"/>
      <c r="W7888" s="18"/>
      <c r="X7888" s="18" t="s">
        <v>3311</v>
      </c>
      <c r="Y7888" s="18" t="s">
        <v>17196</v>
      </c>
      <c r="Z7888" s="18" t="s">
        <v>10790</v>
      </c>
      <c r="AA7888" s="21"/>
    </row>
    <row r="7889" spans="1:27" x14ac:dyDescent="0.35">
      <c r="A7889">
        <v>1008479</v>
      </c>
      <c r="B7889">
        <v>7337</v>
      </c>
      <c r="C7889">
        <v>1</v>
      </c>
      <c r="D7889" s="17" t="s">
        <v>17166</v>
      </c>
      <c r="E7889" s="17"/>
      <c r="F7889" s="17" t="s">
        <v>17246</v>
      </c>
      <c r="G7889" s="17"/>
      <c r="H7889" s="17" t="s">
        <v>17310</v>
      </c>
      <c r="I7889" s="17"/>
      <c r="J7889" s="17" t="s">
        <v>17604</v>
      </c>
      <c r="K7889" s="17"/>
      <c r="L7889" s="17" t="s">
        <v>17605</v>
      </c>
      <c r="M7889" s="17"/>
      <c r="N7889" s="17" t="s">
        <v>17747</v>
      </c>
      <c r="O7889" s="17"/>
      <c r="P7889" s="17" t="s">
        <v>17793</v>
      </c>
      <c r="Q7889" s="17"/>
      <c r="R7889" s="25" t="str">
        <f>HYPERLINK("https://ictv.global/taxonomy/taxondetails?taxnode_id=202304945","Cypovirus trichoplusiae")</f>
        <v>Cypovirus trichoplusiae</v>
      </c>
      <c r="S7889" s="18" t="s">
        <v>30</v>
      </c>
      <c r="T7889" s="18" t="s">
        <v>17812</v>
      </c>
      <c r="U7889" s="18" t="s">
        <v>17813</v>
      </c>
      <c r="V7889" s="18"/>
      <c r="W7889" s="18" t="s">
        <v>17814</v>
      </c>
      <c r="X7889" s="18" t="s">
        <v>42</v>
      </c>
      <c r="Y7889" s="18" t="s">
        <v>17196</v>
      </c>
      <c r="Z7889" s="18" t="s">
        <v>10790</v>
      </c>
      <c r="AA7889" s="21" t="str">
        <f>HYPERLINK("https://www.ncbi.nlm.nih.gov/nuccore/AF291683,AF291684,AF291685,AF291686,AF291687,AF291688,AF291689,AF291690,AF291691,AF291692,AF291693","NCBI Nucleotide")</f>
        <v>NCBI Nucleotide</v>
      </c>
    </row>
    <row r="7890" spans="1:27" x14ac:dyDescent="0.35">
      <c r="A7890">
        <v>1008489</v>
      </c>
      <c r="B7890">
        <v>7338</v>
      </c>
      <c r="C7890">
        <v>1</v>
      </c>
      <c r="D7890" s="17" t="s">
        <v>17166</v>
      </c>
      <c r="E7890" s="17"/>
      <c r="F7890" s="17" t="s">
        <v>17246</v>
      </c>
      <c r="G7890" s="17"/>
      <c r="H7890" s="17" t="s">
        <v>17310</v>
      </c>
      <c r="I7890" s="17"/>
      <c r="J7890" s="17" t="s">
        <v>17604</v>
      </c>
      <c r="K7890" s="17"/>
      <c r="L7890" s="17" t="s">
        <v>17605</v>
      </c>
      <c r="M7890" s="17"/>
      <c r="N7890" s="17" t="s">
        <v>17747</v>
      </c>
      <c r="O7890" s="17"/>
      <c r="P7890" s="17" t="s">
        <v>17842</v>
      </c>
      <c r="Q7890" s="17"/>
      <c r="R7890" s="25" t="str">
        <f>HYPERLINK("https://ictv.global/taxonomy/taxondetails?taxnode_id=202304948","Dinovernavirus aedis")</f>
        <v>Dinovernavirus aedis</v>
      </c>
      <c r="S7890" s="18" t="s">
        <v>30</v>
      </c>
      <c r="T7890" s="18" t="s">
        <v>17843</v>
      </c>
      <c r="U7890" s="18" t="s">
        <v>17844</v>
      </c>
      <c r="V7890" s="18"/>
      <c r="W7890" s="18" t="s">
        <v>17845</v>
      </c>
      <c r="X7890" s="18" t="s">
        <v>42</v>
      </c>
      <c r="Y7890" s="18" t="s">
        <v>17196</v>
      </c>
      <c r="Z7890" s="18" t="s">
        <v>10790</v>
      </c>
      <c r="AA7890" s="21" t="str">
        <f>HYPERLINK("https://www.ncbi.nlm.nih.gov/nuccore/DQ087276,DQ087277,DQ087278,DQ087279,DQ087280,DQ087281,DQ087282,DQ087283,DQ087284","NCBI Nucleotide")</f>
        <v>NCBI Nucleotide</v>
      </c>
    </row>
    <row r="7891" spans="1:27" x14ac:dyDescent="0.35">
      <c r="A7891">
        <v>1008491</v>
      </c>
      <c r="B7891">
        <v>7339</v>
      </c>
      <c r="C7891">
        <v>1</v>
      </c>
      <c r="D7891" s="17" t="s">
        <v>17166</v>
      </c>
      <c r="E7891" s="17"/>
      <c r="F7891" s="17" t="s">
        <v>17246</v>
      </c>
      <c r="G7891" s="17"/>
      <c r="H7891" s="17" t="s">
        <v>17310</v>
      </c>
      <c r="I7891" s="17"/>
      <c r="J7891" s="17" t="s">
        <v>17604</v>
      </c>
      <c r="K7891" s="17"/>
      <c r="L7891" s="17" t="s">
        <v>17605</v>
      </c>
      <c r="M7891" s="17"/>
      <c r="N7891" s="17" t="s">
        <v>17747</v>
      </c>
      <c r="O7891" s="17"/>
      <c r="P7891" s="17" t="s">
        <v>17846</v>
      </c>
      <c r="Q7891" s="17"/>
      <c r="R7891" s="25" t="str">
        <f>HYPERLINK("https://ictv.global/taxonomy/taxondetails?taxnode_id=202304951","Fijivirus allii")</f>
        <v>Fijivirus allii</v>
      </c>
      <c r="S7891" s="18" t="s">
        <v>30</v>
      </c>
      <c r="T7891" s="18" t="s">
        <v>17850</v>
      </c>
      <c r="U7891" s="18" t="s">
        <v>17851</v>
      </c>
      <c r="V7891" s="18"/>
      <c r="W7891" s="18"/>
      <c r="X7891" s="18" t="s">
        <v>3311</v>
      </c>
      <c r="Y7891" s="18" t="s">
        <v>17196</v>
      </c>
      <c r="Z7891" s="18" t="s">
        <v>15964</v>
      </c>
      <c r="AA7891" s="21"/>
    </row>
    <row r="7892" spans="1:27" x14ac:dyDescent="0.35">
      <c r="A7892">
        <v>1008497</v>
      </c>
      <c r="B7892">
        <v>7340</v>
      </c>
      <c r="C7892">
        <v>1</v>
      </c>
      <c r="D7892" s="17" t="s">
        <v>17166</v>
      </c>
      <c r="E7892" s="17"/>
      <c r="F7892" s="17" t="s">
        <v>17246</v>
      </c>
      <c r="G7892" s="17"/>
      <c r="H7892" s="17" t="s">
        <v>17310</v>
      </c>
      <c r="I7892" s="17"/>
      <c r="J7892" s="17" t="s">
        <v>17604</v>
      </c>
      <c r="K7892" s="17"/>
      <c r="L7892" s="17" t="s">
        <v>17605</v>
      </c>
      <c r="M7892" s="17"/>
      <c r="N7892" s="17" t="s">
        <v>17747</v>
      </c>
      <c r="O7892" s="17"/>
      <c r="P7892" s="17" t="s">
        <v>17846</v>
      </c>
      <c r="Q7892" s="17"/>
      <c r="R7892" s="25" t="str">
        <f>HYPERLINK("https://ictv.global/taxonomy/taxondetails?taxnode_id=202304957","Fijivirus alporyzae")</f>
        <v>Fijivirus alporyzae</v>
      </c>
      <c r="S7892" s="18" t="s">
        <v>30</v>
      </c>
      <c r="T7892" s="18" t="s">
        <v>17868</v>
      </c>
      <c r="U7892" s="18" t="s">
        <v>17869</v>
      </c>
      <c r="V7892" s="18" t="s">
        <v>17870</v>
      </c>
      <c r="W7892" s="18" t="s">
        <v>50507</v>
      </c>
      <c r="X7892" s="18" t="s">
        <v>42</v>
      </c>
      <c r="Y7892" s="18" t="s">
        <v>17196</v>
      </c>
      <c r="Z7892" s="18" t="s">
        <v>15964</v>
      </c>
      <c r="AA7892" s="21" t="str">
        <f>HYPERLINK("https://www.ncbi.nlm.nih.gov/nuccore/AJ294757,AJ409145,AJ293984,AJ409146,AJ409147,AJ409148,AJ297427,AJ297431,AJ297430,AJ297433","NCBI Nucleotide")</f>
        <v>NCBI Nucleotide</v>
      </c>
    </row>
    <row r="7893" spans="1:27" x14ac:dyDescent="0.35">
      <c r="A7893">
        <v>1008495</v>
      </c>
      <c r="B7893">
        <v>7341</v>
      </c>
      <c r="C7893">
        <v>1</v>
      </c>
      <c r="D7893" s="17" t="s">
        <v>17166</v>
      </c>
      <c r="E7893" s="17"/>
      <c r="F7893" s="17" t="s">
        <v>17246</v>
      </c>
      <c r="G7893" s="17"/>
      <c r="H7893" s="17" t="s">
        <v>17310</v>
      </c>
      <c r="I7893" s="17"/>
      <c r="J7893" s="17" t="s">
        <v>17604</v>
      </c>
      <c r="K7893" s="17"/>
      <c r="L7893" s="17" t="s">
        <v>17605</v>
      </c>
      <c r="M7893" s="17"/>
      <c r="N7893" s="17" t="s">
        <v>17747</v>
      </c>
      <c r="O7893" s="17"/>
      <c r="P7893" s="17" t="s">
        <v>17846</v>
      </c>
      <c r="Q7893" s="17"/>
      <c r="R7893" s="25" t="str">
        <f>HYPERLINK("https://ictv.global/taxonomy/taxondetails?taxnode_id=202304955","Fijivirus avenae")</f>
        <v>Fijivirus avenae</v>
      </c>
      <c r="S7893" s="18" t="s">
        <v>30</v>
      </c>
      <c r="T7893" s="18" t="s">
        <v>17862</v>
      </c>
      <c r="U7893" s="18" t="s">
        <v>17863</v>
      </c>
      <c r="V7893" s="18" t="s">
        <v>17864</v>
      </c>
      <c r="W7893" s="18" t="s">
        <v>17865</v>
      </c>
      <c r="X7893" s="18" t="s">
        <v>154</v>
      </c>
      <c r="Y7893" s="18" t="s">
        <v>17196</v>
      </c>
      <c r="Z7893" s="18" t="s">
        <v>15964</v>
      </c>
      <c r="AA7893" s="21" t="str">
        <f>HYPERLINK("https://www.ncbi.nlm.nih.gov/nuccore/AB011024,AB011025,AB011026,AB011027","NCBI Nucleotide")</f>
        <v>NCBI Nucleotide</v>
      </c>
    </row>
    <row r="7894" spans="1:27" x14ac:dyDescent="0.35">
      <c r="A7894">
        <v>1008498</v>
      </c>
      <c r="B7894">
        <v>7342</v>
      </c>
      <c r="C7894">
        <v>1</v>
      </c>
      <c r="D7894" s="17" t="s">
        <v>17166</v>
      </c>
      <c r="E7894" s="17"/>
      <c r="F7894" s="17" t="s">
        <v>17246</v>
      </c>
      <c r="G7894" s="17"/>
      <c r="H7894" s="17" t="s">
        <v>17310</v>
      </c>
      <c r="I7894" s="17"/>
      <c r="J7894" s="17" t="s">
        <v>17604</v>
      </c>
      <c r="K7894" s="17"/>
      <c r="L7894" s="17" t="s">
        <v>17605</v>
      </c>
      <c r="M7894" s="17"/>
      <c r="N7894" s="17" t="s">
        <v>17747</v>
      </c>
      <c r="O7894" s="17"/>
      <c r="P7894" s="17" t="s">
        <v>17846</v>
      </c>
      <c r="Q7894" s="17"/>
      <c r="R7894" s="25" t="str">
        <f>HYPERLINK("https://ictv.global/taxonomy/taxondetails?taxnode_id=202304958","Fijivirus boryzae")</f>
        <v>Fijivirus boryzae</v>
      </c>
      <c r="S7894" s="18" t="s">
        <v>30</v>
      </c>
      <c r="T7894" s="18" t="s">
        <v>17871</v>
      </c>
      <c r="U7894" s="18" t="s">
        <v>17872</v>
      </c>
      <c r="V7894" s="18" t="s">
        <v>17873</v>
      </c>
      <c r="W7894" s="18" t="s">
        <v>50508</v>
      </c>
      <c r="X7894" s="18" t="s">
        <v>42</v>
      </c>
      <c r="Y7894" s="18" t="s">
        <v>17196</v>
      </c>
      <c r="Z7894" s="18" t="s">
        <v>15964</v>
      </c>
      <c r="AA7894" s="21" t="str">
        <f>HYPERLINK("https://www.ncbi.nlm.nih.gov/nuccore/FN563989,FN563990,FN563991,FN563992,FN563993,FN563994,FN563995,FN563996,EU523359,EU523360","NCBI Nucleotide")</f>
        <v>NCBI Nucleotide</v>
      </c>
    </row>
    <row r="7895" spans="1:27" x14ac:dyDescent="0.35">
      <c r="A7895">
        <v>1008493</v>
      </c>
      <c r="B7895">
        <v>7343</v>
      </c>
      <c r="C7895">
        <v>1</v>
      </c>
      <c r="D7895" s="17" t="s">
        <v>17166</v>
      </c>
      <c r="E7895" s="17"/>
      <c r="F7895" s="17" t="s">
        <v>17246</v>
      </c>
      <c r="G7895" s="17"/>
      <c r="H7895" s="17" t="s">
        <v>17310</v>
      </c>
      <c r="I7895" s="17"/>
      <c r="J7895" s="17" t="s">
        <v>17604</v>
      </c>
      <c r="K7895" s="17"/>
      <c r="L7895" s="17" t="s">
        <v>17605</v>
      </c>
      <c r="M7895" s="17"/>
      <c r="N7895" s="17" t="s">
        <v>17747</v>
      </c>
      <c r="O7895" s="17"/>
      <c r="P7895" s="17" t="s">
        <v>17846</v>
      </c>
      <c r="Q7895" s="17"/>
      <c r="R7895" s="25" t="str">
        <f>HYPERLINK("https://ictv.global/taxonomy/taxondetails?taxnode_id=202304953","Fijivirus cuartoense")</f>
        <v>Fijivirus cuartoense</v>
      </c>
      <c r="S7895" s="18" t="s">
        <v>30</v>
      </c>
      <c r="T7895" s="18" t="s">
        <v>17856</v>
      </c>
      <c r="U7895" s="18" t="s">
        <v>17857</v>
      </c>
      <c r="V7895" s="18" t="s">
        <v>17858</v>
      </c>
      <c r="W7895" s="18" t="s">
        <v>50509</v>
      </c>
      <c r="X7895" s="18" t="s">
        <v>42</v>
      </c>
      <c r="Y7895" s="18" t="s">
        <v>17196</v>
      </c>
      <c r="Z7895" s="18" t="s">
        <v>15964</v>
      </c>
      <c r="AA7895" s="21" t="str">
        <f>HYPERLINK("https://www.ncbi.nlm.nih.gov/nuccore/AF499925,AF499926,AF499928,AF395873,AY607587,AF499927,AY923115,AF395872,DQ023312,AY607586","NCBI Nucleotide")</f>
        <v>NCBI Nucleotide</v>
      </c>
    </row>
    <row r="7896" spans="1:27" x14ac:dyDescent="0.35">
      <c r="A7896">
        <v>1008496</v>
      </c>
      <c r="B7896">
        <v>7344</v>
      </c>
      <c r="C7896">
        <v>1</v>
      </c>
      <c r="D7896" s="17" t="s">
        <v>17166</v>
      </c>
      <c r="E7896" s="17"/>
      <c r="F7896" s="17" t="s">
        <v>17246</v>
      </c>
      <c r="G7896" s="17"/>
      <c r="H7896" s="17" t="s">
        <v>17310</v>
      </c>
      <c r="I7896" s="17"/>
      <c r="J7896" s="17" t="s">
        <v>17604</v>
      </c>
      <c r="K7896" s="17"/>
      <c r="L7896" s="17" t="s">
        <v>17605</v>
      </c>
      <c r="M7896" s="17"/>
      <c r="N7896" s="17" t="s">
        <v>17747</v>
      </c>
      <c r="O7896" s="17"/>
      <c r="P7896" s="17" t="s">
        <v>17846</v>
      </c>
      <c r="Q7896" s="17"/>
      <c r="R7896" s="25" t="str">
        <f>HYPERLINK("https://ictv.global/taxonomy/taxondetails?taxnode_id=202304956","Fijivirus digitariae")</f>
        <v>Fijivirus digitariae</v>
      </c>
      <c r="S7896" s="18" t="s">
        <v>30</v>
      </c>
      <c r="T7896" s="18" t="s">
        <v>17866</v>
      </c>
      <c r="U7896" s="18" t="s">
        <v>17867</v>
      </c>
      <c r="V7896" s="18"/>
      <c r="W7896" s="18"/>
      <c r="X7896" s="18" t="s">
        <v>3311</v>
      </c>
      <c r="Y7896" s="18" t="s">
        <v>17196</v>
      </c>
      <c r="Z7896" s="18" t="s">
        <v>15964</v>
      </c>
      <c r="AA7896" s="21"/>
    </row>
    <row r="7897" spans="1:27" x14ac:dyDescent="0.35">
      <c r="A7897">
        <v>1008490</v>
      </c>
      <c r="B7897">
        <v>7345</v>
      </c>
      <c r="C7897">
        <v>1</v>
      </c>
      <c r="D7897" s="17" t="s">
        <v>17166</v>
      </c>
      <c r="E7897" s="17"/>
      <c r="F7897" s="17" t="s">
        <v>17246</v>
      </c>
      <c r="G7897" s="17"/>
      <c r="H7897" s="17" t="s">
        <v>17310</v>
      </c>
      <c r="I7897" s="17"/>
      <c r="J7897" s="17" t="s">
        <v>17604</v>
      </c>
      <c r="K7897" s="17"/>
      <c r="L7897" s="17" t="s">
        <v>17605</v>
      </c>
      <c r="M7897" s="17"/>
      <c r="N7897" s="17" t="s">
        <v>17747</v>
      </c>
      <c r="O7897" s="17"/>
      <c r="P7897" s="17" t="s">
        <v>17846</v>
      </c>
      <c r="Q7897" s="17"/>
      <c r="R7897" s="25" t="str">
        <f>HYPERLINK("https://ictv.global/taxonomy/taxondetails?taxnode_id=202304950","Fijivirus fijiense")</f>
        <v>Fijivirus fijiense</v>
      </c>
      <c r="S7897" s="18" t="s">
        <v>30</v>
      </c>
      <c r="T7897" s="18" t="s">
        <v>17847</v>
      </c>
      <c r="U7897" s="18" t="s">
        <v>17848</v>
      </c>
      <c r="V7897" s="18" t="s">
        <v>17849</v>
      </c>
      <c r="W7897" s="18" t="s">
        <v>50510</v>
      </c>
      <c r="X7897" s="18" t="s">
        <v>42</v>
      </c>
      <c r="Y7897" s="18" t="s">
        <v>17196</v>
      </c>
      <c r="Z7897" s="18" t="s">
        <v>15964</v>
      </c>
      <c r="AA7897" s="21" t="str">
        <f>HYPERLINK("https://www.ncbi.nlm.nih.gov/nuccore/AY029520,AF049704,AF359556,AF049705,AY029521,AF356083,AY789927,AY297693,AF050086,AY297694","NCBI Nucleotide")</f>
        <v>NCBI Nucleotide</v>
      </c>
    </row>
    <row r="7898" spans="1:27" x14ac:dyDescent="0.35">
      <c r="A7898">
        <v>1008494</v>
      </c>
      <c r="B7898">
        <v>7346</v>
      </c>
      <c r="C7898">
        <v>1</v>
      </c>
      <c r="D7898" s="17" t="s">
        <v>17166</v>
      </c>
      <c r="E7898" s="17"/>
      <c r="F7898" s="17" t="s">
        <v>17246</v>
      </c>
      <c r="G7898" s="17"/>
      <c r="H7898" s="17" t="s">
        <v>17310</v>
      </c>
      <c r="I7898" s="17"/>
      <c r="J7898" s="17" t="s">
        <v>17604</v>
      </c>
      <c r="K7898" s="17"/>
      <c r="L7898" s="17" t="s">
        <v>17605</v>
      </c>
      <c r="M7898" s="17"/>
      <c r="N7898" s="17" t="s">
        <v>17747</v>
      </c>
      <c r="O7898" s="17"/>
      <c r="P7898" s="17" t="s">
        <v>17846</v>
      </c>
      <c r="Q7898" s="17"/>
      <c r="R7898" s="25" t="str">
        <f>HYPERLINK("https://ictv.global/taxonomy/taxondetails?taxnode_id=202304954","Fijivirus nilaparvatae")</f>
        <v>Fijivirus nilaparvatae</v>
      </c>
      <c r="S7898" s="18" t="s">
        <v>30</v>
      </c>
      <c r="T7898" s="18" t="s">
        <v>17859</v>
      </c>
      <c r="U7898" s="18" t="s">
        <v>17860</v>
      </c>
      <c r="V7898" s="18" t="s">
        <v>17861</v>
      </c>
      <c r="W7898" s="18" t="s">
        <v>50511</v>
      </c>
      <c r="X7898" s="18" t="s">
        <v>42</v>
      </c>
      <c r="Y7898" s="18" t="s">
        <v>17196</v>
      </c>
      <c r="Z7898" s="18" t="s">
        <v>10790</v>
      </c>
      <c r="AA7898" s="21" t="str">
        <f>HYPERLINK("https://www.ncbi.nlm.nih.gov/nuccore/D49693,D49694,D49695,D49696,D49697,D49698,D49699,D26127,D49700,D14691","NCBI Nucleotide")</f>
        <v>NCBI Nucleotide</v>
      </c>
    </row>
    <row r="7899" spans="1:27" x14ac:dyDescent="0.35">
      <c r="A7899">
        <v>1008492</v>
      </c>
      <c r="B7899">
        <v>7347</v>
      </c>
      <c r="C7899">
        <v>1</v>
      </c>
      <c r="D7899" s="17" t="s">
        <v>17166</v>
      </c>
      <c r="E7899" s="17"/>
      <c r="F7899" s="17" t="s">
        <v>17246</v>
      </c>
      <c r="G7899" s="17"/>
      <c r="H7899" s="17" t="s">
        <v>17310</v>
      </c>
      <c r="I7899" s="17"/>
      <c r="J7899" s="17" t="s">
        <v>17604</v>
      </c>
      <c r="K7899" s="17"/>
      <c r="L7899" s="17" t="s">
        <v>17605</v>
      </c>
      <c r="M7899" s="17"/>
      <c r="N7899" s="17" t="s">
        <v>17747</v>
      </c>
      <c r="O7899" s="17"/>
      <c r="P7899" s="17" t="s">
        <v>17846</v>
      </c>
      <c r="Q7899" s="17"/>
      <c r="R7899" s="25" t="str">
        <f>HYPERLINK("https://ictv.global/taxonomy/taxondetails?taxnode_id=202304952","Fijivirus zeae")</f>
        <v>Fijivirus zeae</v>
      </c>
      <c r="S7899" s="18" t="s">
        <v>30</v>
      </c>
      <c r="T7899" s="18" t="s">
        <v>17852</v>
      </c>
      <c r="U7899" s="18" t="s">
        <v>17853</v>
      </c>
      <c r="V7899" s="18" t="s">
        <v>17854</v>
      </c>
      <c r="W7899" s="18" t="s">
        <v>17855</v>
      </c>
      <c r="X7899" s="18" t="s">
        <v>42</v>
      </c>
      <c r="Y7899" s="18" t="s">
        <v>17196</v>
      </c>
      <c r="Z7899" s="18" t="s">
        <v>15964</v>
      </c>
      <c r="AA7899" s="21" t="str">
        <f>HYPERLINK("https://www.ncbi.nlm.nih.gov/nuccore/KU984966,KU984967,KU984968,KU984969,KU984970,KU984971,KU984972,KU984973,KU984974,KU984975","NCBI Nucleotide")</f>
        <v>NCBI Nucleotide</v>
      </c>
    </row>
    <row r="7900" spans="1:27" x14ac:dyDescent="0.35">
      <c r="A7900">
        <v>1008503</v>
      </c>
      <c r="B7900">
        <v>7348</v>
      </c>
      <c r="C7900">
        <v>1</v>
      </c>
      <c r="D7900" s="17" t="s">
        <v>17166</v>
      </c>
      <c r="E7900" s="17"/>
      <c r="F7900" s="17" t="s">
        <v>17246</v>
      </c>
      <c r="G7900" s="17"/>
      <c r="H7900" s="17" t="s">
        <v>17310</v>
      </c>
      <c r="I7900" s="17"/>
      <c r="J7900" s="17" t="s">
        <v>17604</v>
      </c>
      <c r="K7900" s="17"/>
      <c r="L7900" s="17" t="s">
        <v>17605</v>
      </c>
      <c r="M7900" s="17"/>
      <c r="N7900" s="17" t="s">
        <v>17747</v>
      </c>
      <c r="O7900" s="17"/>
      <c r="P7900" s="17" t="s">
        <v>17874</v>
      </c>
      <c r="Q7900" s="17"/>
      <c r="R7900" s="25" t="str">
        <f>HYPERLINK("https://ictv.global/taxonomy/taxondetails?taxnode_id=202304964","Idnoreovirus ceratitidis")</f>
        <v>Idnoreovirus ceratitidis</v>
      </c>
      <c r="S7900" s="18" t="s">
        <v>30</v>
      </c>
      <c r="T7900" s="18" t="s">
        <v>17883</v>
      </c>
      <c r="U7900" s="18" t="s">
        <v>17884</v>
      </c>
      <c r="V7900" s="18"/>
      <c r="W7900" s="18"/>
      <c r="X7900" s="18" t="s">
        <v>3311</v>
      </c>
      <c r="Y7900" s="18" t="s">
        <v>17196</v>
      </c>
      <c r="Z7900" s="18" t="s">
        <v>10790</v>
      </c>
      <c r="AA7900" s="21"/>
    </row>
    <row r="7901" spans="1:27" x14ac:dyDescent="0.35">
      <c r="A7901">
        <v>1012719</v>
      </c>
      <c r="B7901">
        <v>7348</v>
      </c>
      <c r="C7901">
        <v>2</v>
      </c>
      <c r="D7901" s="17" t="s">
        <v>17166</v>
      </c>
      <c r="E7901" s="17"/>
      <c r="F7901" s="17" t="s">
        <v>17246</v>
      </c>
      <c r="G7901" s="17"/>
      <c r="H7901" s="17" t="s">
        <v>17310</v>
      </c>
      <c r="I7901" s="17"/>
      <c r="J7901" s="17" t="s">
        <v>17604</v>
      </c>
      <c r="K7901" s="17"/>
      <c r="L7901" s="17" t="s">
        <v>17605</v>
      </c>
      <c r="M7901" s="17"/>
      <c r="N7901" s="17" t="s">
        <v>17747</v>
      </c>
      <c r="O7901" s="17"/>
      <c r="P7901" s="17" t="s">
        <v>17874</v>
      </c>
      <c r="Q7901" s="17"/>
      <c r="R7901" s="25" t="str">
        <f>HYPERLINK("https://ictv.global/taxonomy/taxondetails?taxnode_id=202304964","Idnoreovirus ceratitidis")</f>
        <v>Idnoreovirus ceratitidis</v>
      </c>
      <c r="S7901" s="18" t="s">
        <v>8141</v>
      </c>
      <c r="T7901" s="18" t="s">
        <v>17885</v>
      </c>
      <c r="U7901" s="18" t="s">
        <v>17886</v>
      </c>
      <c r="V7901" s="18"/>
      <c r="W7901" s="18"/>
      <c r="X7901" s="18" t="s">
        <v>3311</v>
      </c>
      <c r="Y7901" s="18" t="s">
        <v>17196</v>
      </c>
      <c r="Z7901" s="18" t="s">
        <v>10790</v>
      </c>
      <c r="AA7901" s="21"/>
    </row>
    <row r="7902" spans="1:27" x14ac:dyDescent="0.35">
      <c r="A7902">
        <v>1008502</v>
      </c>
      <c r="B7902">
        <v>7349</v>
      </c>
      <c r="C7902">
        <v>1</v>
      </c>
      <c r="D7902" s="17" t="s">
        <v>17166</v>
      </c>
      <c r="E7902" s="17"/>
      <c r="F7902" s="17" t="s">
        <v>17246</v>
      </c>
      <c r="G7902" s="17"/>
      <c r="H7902" s="17" t="s">
        <v>17310</v>
      </c>
      <c r="I7902" s="17"/>
      <c r="J7902" s="17" t="s">
        <v>17604</v>
      </c>
      <c r="K7902" s="17"/>
      <c r="L7902" s="17" t="s">
        <v>17605</v>
      </c>
      <c r="M7902" s="17"/>
      <c r="N7902" s="17" t="s">
        <v>17747</v>
      </c>
      <c r="O7902" s="17"/>
      <c r="P7902" s="17" t="s">
        <v>17874</v>
      </c>
      <c r="Q7902" s="17"/>
      <c r="R7902" s="25" t="str">
        <f>HYPERLINK("https://ictv.global/taxonomy/taxondetails?taxnode_id=202304963","Idnoreovirus daci")</f>
        <v>Idnoreovirus daci</v>
      </c>
      <c r="S7902" s="18" t="s">
        <v>30</v>
      </c>
      <c r="T7902" s="18" t="s">
        <v>17881</v>
      </c>
      <c r="U7902" s="18" t="s">
        <v>17882</v>
      </c>
      <c r="V7902" s="18"/>
      <c r="W7902" s="18"/>
      <c r="X7902" s="18" t="s">
        <v>3311</v>
      </c>
      <c r="Y7902" s="18" t="s">
        <v>17196</v>
      </c>
      <c r="Z7902" s="18" t="s">
        <v>10790</v>
      </c>
      <c r="AA7902" s="21"/>
    </row>
    <row r="7903" spans="1:27" x14ac:dyDescent="0.35">
      <c r="A7903">
        <v>1008499</v>
      </c>
      <c r="B7903">
        <v>7350</v>
      </c>
      <c r="C7903">
        <v>1</v>
      </c>
      <c r="D7903" s="17" t="s">
        <v>17166</v>
      </c>
      <c r="E7903" s="17"/>
      <c r="F7903" s="17" t="s">
        <v>17246</v>
      </c>
      <c r="G7903" s="17"/>
      <c r="H7903" s="17" t="s">
        <v>17310</v>
      </c>
      <c r="I7903" s="17"/>
      <c r="J7903" s="17" t="s">
        <v>17604</v>
      </c>
      <c r="K7903" s="17"/>
      <c r="L7903" s="17" t="s">
        <v>17605</v>
      </c>
      <c r="M7903" s="17"/>
      <c r="N7903" s="17" t="s">
        <v>17747</v>
      </c>
      <c r="O7903" s="17"/>
      <c r="P7903" s="17" t="s">
        <v>17874</v>
      </c>
      <c r="Q7903" s="17"/>
      <c r="R7903" s="25" t="str">
        <f>HYPERLINK("https://ictv.global/taxonomy/taxondetails?taxnode_id=202304960","Idnoreovirus diadromi")</f>
        <v>Idnoreovirus diadromi</v>
      </c>
      <c r="S7903" s="18" t="s">
        <v>30</v>
      </c>
      <c r="T7903" s="18" t="s">
        <v>17875</v>
      </c>
      <c r="U7903" s="18" t="s">
        <v>17876</v>
      </c>
      <c r="V7903" s="18"/>
      <c r="W7903" s="18" t="s">
        <v>42374</v>
      </c>
      <c r="X7903" s="18" t="s">
        <v>154</v>
      </c>
      <c r="Y7903" s="18" t="s">
        <v>17196</v>
      </c>
      <c r="Z7903" s="18" t="s">
        <v>10790</v>
      </c>
      <c r="AA7903" s="21" t="str">
        <f>HYPERLINK("https://www.ncbi.nlm.nih.gov/nuccore/X80480,X80481,X82045,X82046,X82047,X82048,X82049","NCBI Nucleotide")</f>
        <v>NCBI Nucleotide</v>
      </c>
    </row>
    <row r="7904" spans="1:27" x14ac:dyDescent="0.35">
      <c r="A7904">
        <v>1008500</v>
      </c>
      <c r="B7904">
        <v>7351</v>
      </c>
      <c r="C7904">
        <v>1</v>
      </c>
      <c r="D7904" s="17" t="s">
        <v>17166</v>
      </c>
      <c r="E7904" s="17"/>
      <c r="F7904" s="17" t="s">
        <v>17246</v>
      </c>
      <c r="G7904" s="17"/>
      <c r="H7904" s="17" t="s">
        <v>17310</v>
      </c>
      <c r="I7904" s="17"/>
      <c r="J7904" s="17" t="s">
        <v>17604</v>
      </c>
      <c r="K7904" s="17"/>
      <c r="L7904" s="17" t="s">
        <v>17605</v>
      </c>
      <c r="M7904" s="17"/>
      <c r="N7904" s="17" t="s">
        <v>17747</v>
      </c>
      <c r="O7904" s="17"/>
      <c r="P7904" s="17" t="s">
        <v>17874</v>
      </c>
      <c r="Q7904" s="17"/>
      <c r="R7904" s="25" t="str">
        <f>HYPERLINK("https://ictv.global/taxonomy/taxondetails?taxnode_id=202304961","Idnoreovirus hypersoteris")</f>
        <v>Idnoreovirus hypersoteris</v>
      </c>
      <c r="S7904" s="18" t="s">
        <v>30</v>
      </c>
      <c r="T7904" s="18" t="s">
        <v>17877</v>
      </c>
      <c r="U7904" s="18" t="s">
        <v>17878</v>
      </c>
      <c r="V7904" s="18"/>
      <c r="W7904" s="18"/>
      <c r="X7904" s="18" t="s">
        <v>3311</v>
      </c>
      <c r="Y7904" s="18" t="s">
        <v>17196</v>
      </c>
      <c r="Z7904" s="18" t="s">
        <v>10790</v>
      </c>
      <c r="AA7904" s="21"/>
    </row>
    <row r="7905" spans="1:27" x14ac:dyDescent="0.35">
      <c r="A7905">
        <v>1008501</v>
      </c>
      <c r="B7905">
        <v>7352</v>
      </c>
      <c r="C7905">
        <v>1</v>
      </c>
      <c r="D7905" s="17" t="s">
        <v>17166</v>
      </c>
      <c r="E7905" s="17"/>
      <c r="F7905" s="17" t="s">
        <v>17246</v>
      </c>
      <c r="G7905" s="17"/>
      <c r="H7905" s="17" t="s">
        <v>17310</v>
      </c>
      <c r="I7905" s="17"/>
      <c r="J7905" s="17" t="s">
        <v>17604</v>
      </c>
      <c r="K7905" s="17"/>
      <c r="L7905" s="17" t="s">
        <v>17605</v>
      </c>
      <c r="M7905" s="17"/>
      <c r="N7905" s="17" t="s">
        <v>17747</v>
      </c>
      <c r="O7905" s="17"/>
      <c r="P7905" s="17" t="s">
        <v>17874</v>
      </c>
      <c r="Q7905" s="17"/>
      <c r="R7905" s="25" t="str">
        <f>HYPERLINK("https://ictv.global/taxonomy/taxondetails?taxnode_id=202304962","Idnoreovirus muscae")</f>
        <v>Idnoreovirus muscae</v>
      </c>
      <c r="S7905" s="18" t="s">
        <v>30</v>
      </c>
      <c r="T7905" s="18" t="s">
        <v>17879</v>
      </c>
      <c r="U7905" s="18" t="s">
        <v>17880</v>
      </c>
      <c r="V7905" s="18"/>
      <c r="W7905" s="18"/>
      <c r="X7905" s="18" t="s">
        <v>3311</v>
      </c>
      <c r="Y7905" s="18" t="s">
        <v>17196</v>
      </c>
      <c r="Z7905" s="18" t="s">
        <v>10790</v>
      </c>
      <c r="AA7905" s="21"/>
    </row>
    <row r="7906" spans="1:27" x14ac:dyDescent="0.35">
      <c r="A7906">
        <v>1008504</v>
      </c>
      <c r="B7906">
        <v>7353</v>
      </c>
      <c r="C7906">
        <v>1</v>
      </c>
      <c r="D7906" s="17" t="s">
        <v>17166</v>
      </c>
      <c r="E7906" s="17"/>
      <c r="F7906" s="17" t="s">
        <v>17246</v>
      </c>
      <c r="G7906" s="17"/>
      <c r="H7906" s="17" t="s">
        <v>17310</v>
      </c>
      <c r="I7906" s="17"/>
      <c r="J7906" s="17" t="s">
        <v>17604</v>
      </c>
      <c r="K7906" s="17"/>
      <c r="L7906" s="17" t="s">
        <v>17605</v>
      </c>
      <c r="M7906" s="17"/>
      <c r="N7906" s="17" t="s">
        <v>17747</v>
      </c>
      <c r="O7906" s="17"/>
      <c r="P7906" s="17" t="s">
        <v>17887</v>
      </c>
      <c r="Q7906" s="17"/>
      <c r="R7906" s="25" t="str">
        <f>HYPERLINK("https://ictv.global/taxonomy/taxondetails?taxnode_id=202304966","Mycoreovirus alcryphonectriae")</f>
        <v>Mycoreovirus alcryphonectriae</v>
      </c>
      <c r="S7906" s="18" t="s">
        <v>30</v>
      </c>
      <c r="T7906" s="18" t="s">
        <v>42375</v>
      </c>
      <c r="U7906" s="18" t="s">
        <v>42376</v>
      </c>
      <c r="V7906" s="18" t="s">
        <v>17888</v>
      </c>
      <c r="W7906" s="18" t="s">
        <v>50512</v>
      </c>
      <c r="X7906" s="18" t="s">
        <v>42</v>
      </c>
      <c r="Y7906" s="18" t="s">
        <v>17196</v>
      </c>
      <c r="Z7906" s="18" t="s">
        <v>16721</v>
      </c>
      <c r="AA7906" s="21" t="str">
        <f>HYPERLINK("https://www.ncbi.nlm.nih.gov/nuccore/AY277888,AY277889,AY277890,AB179636,AB179637,AB179638,AB179639,AB179640,AB179641,AB179642,AB179643","NCBI Nucleotide")</f>
        <v>NCBI Nucleotide</v>
      </c>
    </row>
    <row r="7907" spans="1:27" x14ac:dyDescent="0.35">
      <c r="A7907">
        <v>1008505</v>
      </c>
      <c r="B7907">
        <v>7354</v>
      </c>
      <c r="C7907">
        <v>1</v>
      </c>
      <c r="D7907" s="17" t="s">
        <v>17166</v>
      </c>
      <c r="E7907" s="17"/>
      <c r="F7907" s="17" t="s">
        <v>17246</v>
      </c>
      <c r="G7907" s="17"/>
      <c r="H7907" s="17" t="s">
        <v>17310</v>
      </c>
      <c r="I7907" s="17"/>
      <c r="J7907" s="17" t="s">
        <v>17604</v>
      </c>
      <c r="K7907" s="17"/>
      <c r="L7907" s="17" t="s">
        <v>17605</v>
      </c>
      <c r="M7907" s="17"/>
      <c r="N7907" s="17" t="s">
        <v>17747</v>
      </c>
      <c r="O7907" s="17"/>
      <c r="P7907" s="17" t="s">
        <v>17887</v>
      </c>
      <c r="Q7907" s="17"/>
      <c r="R7907" s="25" t="str">
        <f>HYPERLINK("https://ictv.global/taxonomy/taxondetails?taxnode_id=202304967","Mycoreovirus becryphonectriae")</f>
        <v>Mycoreovirus becryphonectriae</v>
      </c>
      <c r="S7907" s="18" t="s">
        <v>30</v>
      </c>
      <c r="T7907" s="18" t="s">
        <v>42377</v>
      </c>
      <c r="U7907" s="18" t="s">
        <v>42378</v>
      </c>
      <c r="V7907" s="18" t="s">
        <v>17889</v>
      </c>
      <c r="W7907" s="18" t="s">
        <v>17890</v>
      </c>
      <c r="X7907" s="18" t="s">
        <v>154</v>
      </c>
      <c r="Y7907" s="18" t="s">
        <v>17196</v>
      </c>
      <c r="Z7907" s="18" t="s">
        <v>16721</v>
      </c>
      <c r="AA7907" s="21" t="str">
        <f>HYPERLINK("https://www.ncbi.nlm.nih.gov/nuccore/DQ902580","NCBI Nucleotide")</f>
        <v>NCBI Nucleotide</v>
      </c>
    </row>
    <row r="7908" spans="1:27" x14ac:dyDescent="0.35">
      <c r="A7908">
        <v>1008506</v>
      </c>
      <c r="B7908">
        <v>7355</v>
      </c>
      <c r="C7908">
        <v>1</v>
      </c>
      <c r="D7908" s="17" t="s">
        <v>17166</v>
      </c>
      <c r="E7908" s="17"/>
      <c r="F7908" s="17" t="s">
        <v>17246</v>
      </c>
      <c r="G7908" s="17"/>
      <c r="H7908" s="17" t="s">
        <v>17310</v>
      </c>
      <c r="I7908" s="17"/>
      <c r="J7908" s="17" t="s">
        <v>17604</v>
      </c>
      <c r="K7908" s="17"/>
      <c r="L7908" s="17" t="s">
        <v>17605</v>
      </c>
      <c r="M7908" s="17"/>
      <c r="N7908" s="17" t="s">
        <v>17747</v>
      </c>
      <c r="O7908" s="17"/>
      <c r="P7908" s="17" t="s">
        <v>17887</v>
      </c>
      <c r="Q7908" s="17"/>
      <c r="R7908" s="25" t="str">
        <f>HYPERLINK("https://ictv.global/taxonomy/taxondetails?taxnode_id=202304968","Mycoreovirus roselliniae")</f>
        <v>Mycoreovirus roselliniae</v>
      </c>
      <c r="S7908" s="18" t="s">
        <v>30</v>
      </c>
      <c r="T7908" s="18" t="s">
        <v>17891</v>
      </c>
      <c r="U7908" s="18" t="s">
        <v>17892</v>
      </c>
      <c r="V7908" s="18" t="s">
        <v>17893</v>
      </c>
      <c r="W7908" s="18" t="s">
        <v>50513</v>
      </c>
      <c r="X7908" s="18" t="s">
        <v>42</v>
      </c>
      <c r="Y7908" s="18" t="s">
        <v>17196</v>
      </c>
      <c r="Z7908" s="18" t="s">
        <v>16721</v>
      </c>
      <c r="AA7908" s="21" t="str">
        <f>HYPERLINK("https://www.ncbi.nlm.nih.gov/nuccore/AB102674,AB098022,AB102675,AB073276,AB098023,AB073277,AB073278,AB073279,AB073280,AB073281,AB073282,AB073283","NCBI Nucleotide")</f>
        <v>NCBI Nucleotide</v>
      </c>
    </row>
    <row r="7909" spans="1:27" x14ac:dyDescent="0.35">
      <c r="A7909">
        <v>1008507</v>
      </c>
      <c r="B7909">
        <v>7356</v>
      </c>
      <c r="C7909">
        <v>1</v>
      </c>
      <c r="D7909" s="17" t="s">
        <v>17166</v>
      </c>
      <c r="E7909" s="17"/>
      <c r="F7909" s="17" t="s">
        <v>17246</v>
      </c>
      <c r="G7909" s="17"/>
      <c r="H7909" s="17" t="s">
        <v>17310</v>
      </c>
      <c r="I7909" s="17"/>
      <c r="J7909" s="17" t="s">
        <v>17604</v>
      </c>
      <c r="K7909" s="17"/>
      <c r="L7909" s="17" t="s">
        <v>17605</v>
      </c>
      <c r="M7909" s="17"/>
      <c r="N7909" s="17" t="s">
        <v>17747</v>
      </c>
      <c r="O7909" s="17"/>
      <c r="P7909" s="17" t="s">
        <v>17894</v>
      </c>
      <c r="Q7909" s="17"/>
      <c r="R7909" s="25" t="str">
        <f>HYPERLINK("https://ictv.global/taxonomy/taxondetails?taxnode_id=202304970","Orthoreovirus avis")</f>
        <v>Orthoreovirus avis</v>
      </c>
      <c r="S7909" s="18" t="s">
        <v>30</v>
      </c>
      <c r="T7909" s="18" t="s">
        <v>17895</v>
      </c>
      <c r="U7909" s="18" t="s">
        <v>17896</v>
      </c>
      <c r="V7909" s="18" t="s">
        <v>17897</v>
      </c>
      <c r="W7909" s="18" t="s">
        <v>17898</v>
      </c>
      <c r="X7909" s="18" t="s">
        <v>42</v>
      </c>
      <c r="Y7909" s="18" t="s">
        <v>17196</v>
      </c>
      <c r="Z7909" s="18" t="s">
        <v>166</v>
      </c>
      <c r="AA7909" s="21" t="str">
        <f>HYPERLINK("https://www.ncbi.nlm.nih.gov/nuccore/FR694191,FR694192,FR694193,FR694194,FR694195,FR694196,FR694197,FR694198,FR694199,FR694200","NCBI Nucleotide")</f>
        <v>NCBI Nucleotide</v>
      </c>
    </row>
    <row r="7910" spans="1:27" x14ac:dyDescent="0.35">
      <c r="A7910">
        <v>1012720</v>
      </c>
      <c r="B7910">
        <v>7356</v>
      </c>
      <c r="C7910">
        <v>2</v>
      </c>
      <c r="D7910" s="17" t="s">
        <v>17166</v>
      </c>
      <c r="E7910" s="17"/>
      <c r="F7910" s="17" t="s">
        <v>17246</v>
      </c>
      <c r="G7910" s="17"/>
      <c r="H7910" s="17" t="s">
        <v>17310</v>
      </c>
      <c r="I7910" s="17"/>
      <c r="J7910" s="17" t="s">
        <v>17604</v>
      </c>
      <c r="K7910" s="17"/>
      <c r="L7910" s="17" t="s">
        <v>17605</v>
      </c>
      <c r="M7910" s="17"/>
      <c r="N7910" s="17" t="s">
        <v>17747</v>
      </c>
      <c r="O7910" s="17"/>
      <c r="P7910" s="17" t="s">
        <v>17894</v>
      </c>
      <c r="Q7910" s="17"/>
      <c r="R7910" s="25" t="str">
        <f>HYPERLINK("https://ictv.global/taxonomy/taxondetails?taxnode_id=202304970","Orthoreovirus avis")</f>
        <v>Orthoreovirus avis</v>
      </c>
      <c r="S7910" s="18" t="s">
        <v>8141</v>
      </c>
      <c r="T7910" s="18" t="s">
        <v>17899</v>
      </c>
      <c r="U7910" s="18" t="s">
        <v>17900</v>
      </c>
      <c r="V7910" s="18" t="s">
        <v>17901</v>
      </c>
      <c r="W7910" s="18" t="s">
        <v>49276</v>
      </c>
      <c r="X7910" s="18" t="s">
        <v>154</v>
      </c>
      <c r="Y7910" s="18" t="s">
        <v>17196</v>
      </c>
      <c r="Z7910" s="18" t="s">
        <v>166</v>
      </c>
      <c r="AA7910" s="21" t="str">
        <f>HYPERLINK("https://www.ncbi.nlm.nih.gov/nuccore/AY444910","NCBI Nucleotide")</f>
        <v>NCBI Nucleotide</v>
      </c>
    </row>
    <row r="7911" spans="1:27" x14ac:dyDescent="0.35">
      <c r="A7911">
        <v>1012721</v>
      </c>
      <c r="B7911">
        <v>7356</v>
      </c>
      <c r="C7911">
        <v>3</v>
      </c>
      <c r="D7911" s="17" t="s">
        <v>17166</v>
      </c>
      <c r="E7911" s="17"/>
      <c r="F7911" s="17" t="s">
        <v>17246</v>
      </c>
      <c r="G7911" s="17"/>
      <c r="H7911" s="17" t="s">
        <v>17310</v>
      </c>
      <c r="I7911" s="17"/>
      <c r="J7911" s="17" t="s">
        <v>17604</v>
      </c>
      <c r="K7911" s="17"/>
      <c r="L7911" s="17" t="s">
        <v>17605</v>
      </c>
      <c r="M7911" s="17"/>
      <c r="N7911" s="17" t="s">
        <v>17747</v>
      </c>
      <c r="O7911" s="17"/>
      <c r="P7911" s="17" t="s">
        <v>17894</v>
      </c>
      <c r="Q7911" s="17"/>
      <c r="R7911" s="25" t="str">
        <f>HYPERLINK("https://ictv.global/taxonomy/taxondetails?taxnode_id=202304970","Orthoreovirus avis")</f>
        <v>Orthoreovirus avis</v>
      </c>
      <c r="S7911" s="18" t="s">
        <v>8141</v>
      </c>
      <c r="T7911" s="18" t="s">
        <v>17902</v>
      </c>
      <c r="U7911" s="18" t="s">
        <v>17903</v>
      </c>
      <c r="V7911" s="18" t="s">
        <v>17904</v>
      </c>
      <c r="W7911" s="18" t="s">
        <v>49277</v>
      </c>
      <c r="X7911" s="18" t="s">
        <v>42</v>
      </c>
      <c r="Y7911" s="18" t="s">
        <v>17196</v>
      </c>
      <c r="Z7911" s="18" t="s">
        <v>166</v>
      </c>
      <c r="AA7911" s="21" t="str">
        <f>HYPERLINK("https://www.ncbi.nlm.nih.gov/nuccore/KF809662,KF809663,KF809664,KF809665,KF809666,KF809667,KF809668,KF809669,KF809670,KF809671","NCBI Nucleotide")</f>
        <v>NCBI Nucleotide</v>
      </c>
    </row>
    <row r="7912" spans="1:27" x14ac:dyDescent="0.35">
      <c r="A7912">
        <v>1012723</v>
      </c>
      <c r="B7912">
        <v>7356</v>
      </c>
      <c r="C7912">
        <v>4</v>
      </c>
      <c r="D7912" s="17" t="s">
        <v>17166</v>
      </c>
      <c r="E7912" s="17"/>
      <c r="F7912" s="17" t="s">
        <v>17246</v>
      </c>
      <c r="G7912" s="17"/>
      <c r="H7912" s="17" t="s">
        <v>17310</v>
      </c>
      <c r="I7912" s="17"/>
      <c r="J7912" s="17" t="s">
        <v>17604</v>
      </c>
      <c r="K7912" s="17"/>
      <c r="L7912" s="17" t="s">
        <v>17605</v>
      </c>
      <c r="M7912" s="17"/>
      <c r="N7912" s="17" t="s">
        <v>17747</v>
      </c>
      <c r="O7912" s="17"/>
      <c r="P7912" s="17" t="s">
        <v>17894</v>
      </c>
      <c r="Q7912" s="17"/>
      <c r="R7912" s="25" t="str">
        <f>HYPERLINK("https://ictv.global/taxonomy/taxondetails?taxnode_id=202304970","Orthoreovirus avis")</f>
        <v>Orthoreovirus avis</v>
      </c>
      <c r="S7912" s="18" t="s">
        <v>8141</v>
      </c>
      <c r="T7912" s="18" t="s">
        <v>17908</v>
      </c>
      <c r="U7912" s="18" t="s">
        <v>17909</v>
      </c>
      <c r="V7912" s="18" t="s">
        <v>17910</v>
      </c>
      <c r="W7912" s="18" t="s">
        <v>49278</v>
      </c>
      <c r="X7912" s="18" t="s">
        <v>42</v>
      </c>
      <c r="Y7912" s="18" t="s">
        <v>17196</v>
      </c>
      <c r="Z7912" s="18" t="s">
        <v>166</v>
      </c>
      <c r="AA7912" s="21" t="str">
        <f>HYPERLINK("https://www.ncbi.nlm.nih.gov/nuccore/JX145328,JX145329,JX145330,JX145331,JX145332,JX145333,JX145334,JX145335,JX145336,JX145337","NCBI Nucleotide")</f>
        <v>NCBI Nucleotide</v>
      </c>
    </row>
    <row r="7913" spans="1:27" x14ac:dyDescent="0.35">
      <c r="A7913">
        <v>1012722</v>
      </c>
      <c r="B7913">
        <v>7356</v>
      </c>
      <c r="C7913">
        <v>5</v>
      </c>
      <c r="D7913" s="17" t="s">
        <v>17166</v>
      </c>
      <c r="E7913" s="17"/>
      <c r="F7913" s="17" t="s">
        <v>17246</v>
      </c>
      <c r="G7913" s="17"/>
      <c r="H7913" s="17" t="s">
        <v>17310</v>
      </c>
      <c r="I7913" s="17"/>
      <c r="J7913" s="17" t="s">
        <v>17604</v>
      </c>
      <c r="K7913" s="17"/>
      <c r="L7913" s="17" t="s">
        <v>17605</v>
      </c>
      <c r="M7913" s="17"/>
      <c r="N7913" s="17" t="s">
        <v>17747</v>
      </c>
      <c r="O7913" s="17"/>
      <c r="P7913" s="17" t="s">
        <v>17894</v>
      </c>
      <c r="Q7913" s="17"/>
      <c r="R7913" s="25" t="str">
        <f>HYPERLINK("https://ictv.global/taxonomy/taxondetails?taxnode_id=202304970","Orthoreovirus avis")</f>
        <v>Orthoreovirus avis</v>
      </c>
      <c r="S7913" s="18" t="s">
        <v>8141</v>
      </c>
      <c r="T7913" s="18" t="s">
        <v>17905</v>
      </c>
      <c r="U7913" s="18" t="s">
        <v>17906</v>
      </c>
      <c r="V7913" s="18" t="s">
        <v>17907</v>
      </c>
      <c r="W7913" s="18" t="s">
        <v>49279</v>
      </c>
      <c r="X7913" s="18" t="s">
        <v>42</v>
      </c>
      <c r="Y7913" s="18" t="s">
        <v>17196</v>
      </c>
      <c r="Z7913" s="18" t="s">
        <v>166</v>
      </c>
      <c r="AA7913" s="21" t="str">
        <f>HYPERLINK("https://www.ncbi.nlm.nih.gov/nuccore/JX478260,JX478261,JX478262,JX478263,JX478264,JX478265,JX478266,JX478267,JX478268,JX478269","NCBI Nucleotide")</f>
        <v>NCBI Nucleotide</v>
      </c>
    </row>
    <row r="7914" spans="1:27" x14ac:dyDescent="0.35">
      <c r="A7914">
        <v>1008509</v>
      </c>
      <c r="B7914">
        <v>7357</v>
      </c>
      <c r="C7914">
        <v>1</v>
      </c>
      <c r="D7914" s="17" t="s">
        <v>17166</v>
      </c>
      <c r="E7914" s="17"/>
      <c r="F7914" s="17" t="s">
        <v>17246</v>
      </c>
      <c r="G7914" s="17"/>
      <c r="H7914" s="17" t="s">
        <v>17310</v>
      </c>
      <c r="I7914" s="17"/>
      <c r="J7914" s="17" t="s">
        <v>17604</v>
      </c>
      <c r="K7914" s="17"/>
      <c r="L7914" s="17" t="s">
        <v>17605</v>
      </c>
      <c r="M7914" s="17"/>
      <c r="N7914" s="17" t="s">
        <v>17747</v>
      </c>
      <c r="O7914" s="17"/>
      <c r="P7914" s="17" t="s">
        <v>17894</v>
      </c>
      <c r="Q7914" s="17"/>
      <c r="R7914" s="25" t="str">
        <f>HYPERLINK("https://ictv.global/taxonomy/taxondetails?taxnode_id=202307547","Orthoreovirus broomense")</f>
        <v>Orthoreovirus broomense</v>
      </c>
      <c r="S7914" s="18" t="s">
        <v>30</v>
      </c>
      <c r="T7914" s="18" t="s">
        <v>17914</v>
      </c>
      <c r="U7914" s="18" t="s">
        <v>17915</v>
      </c>
      <c r="V7914" s="18"/>
      <c r="W7914" s="18" t="s">
        <v>50514</v>
      </c>
      <c r="X7914" s="18" t="s">
        <v>42</v>
      </c>
      <c r="Y7914" s="18" t="s">
        <v>17196</v>
      </c>
      <c r="Z7914" s="18" t="s">
        <v>166</v>
      </c>
      <c r="AA7914" s="21" t="str">
        <f>HYPERLINK("https://www.ncbi.nlm.nih.gov/nuccore/GQ258977,GQ258978,GQ258979,GQ258980,GQ258981,GQ258982,GQ258983,GQ258984,GQ258985,GQ258986","NCBI Nucleotide")</f>
        <v>NCBI Nucleotide</v>
      </c>
    </row>
    <row r="7915" spans="1:27" x14ac:dyDescent="0.35">
      <c r="A7915">
        <v>1008510</v>
      </c>
      <c r="B7915">
        <v>7358</v>
      </c>
      <c r="C7915">
        <v>1</v>
      </c>
      <c r="D7915" s="17" t="s">
        <v>17166</v>
      </c>
      <c r="E7915" s="17"/>
      <c r="F7915" s="17" t="s">
        <v>17246</v>
      </c>
      <c r="G7915" s="17"/>
      <c r="H7915" s="17" t="s">
        <v>17310</v>
      </c>
      <c r="I7915" s="17"/>
      <c r="J7915" s="17" t="s">
        <v>17604</v>
      </c>
      <c r="K7915" s="17"/>
      <c r="L7915" s="17" t="s">
        <v>17605</v>
      </c>
      <c r="M7915" s="17"/>
      <c r="N7915" s="17" t="s">
        <v>17747</v>
      </c>
      <c r="O7915" s="17"/>
      <c r="P7915" s="17" t="s">
        <v>17894</v>
      </c>
      <c r="Q7915" s="17"/>
      <c r="R7915" s="25" t="str">
        <f>HYPERLINK("https://ictv.global/taxonomy/taxondetails?taxnode_id=202305927","Orthoreovirus mahlapitsiense")</f>
        <v>Orthoreovirus mahlapitsiense</v>
      </c>
      <c r="S7915" s="18" t="s">
        <v>30</v>
      </c>
      <c r="T7915" s="18" t="s">
        <v>17916</v>
      </c>
      <c r="U7915" s="18" t="s">
        <v>17917</v>
      </c>
      <c r="V7915" s="18">
        <v>2511</v>
      </c>
      <c r="W7915" s="18" t="s">
        <v>17918</v>
      </c>
      <c r="X7915" s="18" t="s">
        <v>42</v>
      </c>
      <c r="Y7915" s="18" t="s">
        <v>17196</v>
      </c>
      <c r="Z7915" s="18" t="s">
        <v>10790</v>
      </c>
      <c r="AA7915" s="21" t="str">
        <f>HYPERLINK("https://www.ncbi.nlm.nih.gov/nuccore/KU198602,KU198603,KU198604,KU198605,KU198606,KU198607,KU198608,KU198609,KU198610,KU198611","NCBI Nucleotide")</f>
        <v>NCBI Nucleotide</v>
      </c>
    </row>
    <row r="7916" spans="1:27" x14ac:dyDescent="0.35">
      <c r="A7916">
        <v>1008511</v>
      </c>
      <c r="B7916">
        <v>7359</v>
      </c>
      <c r="C7916">
        <v>1</v>
      </c>
      <c r="D7916" s="17" t="s">
        <v>17166</v>
      </c>
      <c r="E7916" s="17"/>
      <c r="F7916" s="17" t="s">
        <v>17246</v>
      </c>
      <c r="G7916" s="17"/>
      <c r="H7916" s="17" t="s">
        <v>17310</v>
      </c>
      <c r="I7916" s="17"/>
      <c r="J7916" s="17" t="s">
        <v>17604</v>
      </c>
      <c r="K7916" s="17"/>
      <c r="L7916" s="17" t="s">
        <v>17605</v>
      </c>
      <c r="M7916" s="17"/>
      <c r="N7916" s="17" t="s">
        <v>17747</v>
      </c>
      <c r="O7916" s="17"/>
      <c r="P7916" s="17" t="s">
        <v>17894</v>
      </c>
      <c r="Q7916" s="17"/>
      <c r="R7916" s="25" t="str">
        <f>HYPERLINK("https://ictv.global/taxonomy/taxondetails?taxnode_id=202304972","Orthoreovirus mammalis")</f>
        <v>Orthoreovirus mammalis</v>
      </c>
      <c r="S7916" s="18" t="s">
        <v>30</v>
      </c>
      <c r="T7916" s="18" t="s">
        <v>17919</v>
      </c>
      <c r="U7916" s="18" t="s">
        <v>17920</v>
      </c>
      <c r="V7916" s="18" t="s">
        <v>17921</v>
      </c>
      <c r="W7916" s="18" t="s">
        <v>17922</v>
      </c>
      <c r="X7916" s="18" t="s">
        <v>42</v>
      </c>
      <c r="Y7916" s="18" t="s">
        <v>17196</v>
      </c>
      <c r="Z7916" s="18" t="s">
        <v>166</v>
      </c>
      <c r="AA7916" s="21" t="str">
        <f>HYPERLINK("https://www.ncbi.nlm.nih.gov/nuccore/HM159613,HM159614,HM159615,HM159616,HM159617,HM159618,HM159619,HM159620,HM159621,HM159622","NCBI Nucleotide")</f>
        <v>NCBI Nucleotide</v>
      </c>
    </row>
    <row r="7917" spans="1:27" x14ac:dyDescent="0.35">
      <c r="A7917">
        <v>1012724</v>
      </c>
      <c r="B7917">
        <v>7359</v>
      </c>
      <c r="C7917">
        <v>2</v>
      </c>
      <c r="D7917" s="17" t="s">
        <v>17166</v>
      </c>
      <c r="E7917" s="17"/>
      <c r="F7917" s="17" t="s">
        <v>17246</v>
      </c>
      <c r="G7917" s="17"/>
      <c r="H7917" s="17" t="s">
        <v>17310</v>
      </c>
      <c r="I7917" s="17"/>
      <c r="J7917" s="17" t="s">
        <v>17604</v>
      </c>
      <c r="K7917" s="17"/>
      <c r="L7917" s="17" t="s">
        <v>17605</v>
      </c>
      <c r="M7917" s="17"/>
      <c r="N7917" s="17" t="s">
        <v>17747</v>
      </c>
      <c r="O7917" s="17"/>
      <c r="P7917" s="17" t="s">
        <v>17894</v>
      </c>
      <c r="Q7917" s="17"/>
      <c r="R7917" s="25" t="str">
        <f>HYPERLINK("https://ictv.global/taxonomy/taxondetails?taxnode_id=202304972","Orthoreovirus mammalis")</f>
        <v>Orthoreovirus mammalis</v>
      </c>
      <c r="S7917" s="18" t="s">
        <v>8141</v>
      </c>
      <c r="T7917" s="18" t="s">
        <v>17923</v>
      </c>
      <c r="U7917" s="18" t="s">
        <v>83</v>
      </c>
      <c r="V7917" s="18" t="s">
        <v>17924</v>
      </c>
      <c r="W7917" s="18" t="s">
        <v>49280</v>
      </c>
      <c r="X7917" s="18" t="s">
        <v>42</v>
      </c>
      <c r="Y7917" s="18" t="s">
        <v>17196</v>
      </c>
      <c r="Z7917" s="18" t="s">
        <v>166</v>
      </c>
      <c r="AA7917" s="21" t="str">
        <f>HYPERLINK("https://www.ncbi.nlm.nih.gov/nuccore/KX263307,KX263308,KX263309,KX263310,KX263311,KX263312,KX263313,KX263314,KX263315,KX263316","NCBI Nucleotide")</f>
        <v>NCBI Nucleotide</v>
      </c>
    </row>
    <row r="7918" spans="1:27" x14ac:dyDescent="0.35">
      <c r="A7918">
        <v>1012725</v>
      </c>
      <c r="B7918">
        <v>7359</v>
      </c>
      <c r="C7918">
        <v>3</v>
      </c>
      <c r="D7918" s="17" t="s">
        <v>17166</v>
      </c>
      <c r="E7918" s="17"/>
      <c r="F7918" s="17" t="s">
        <v>17246</v>
      </c>
      <c r="G7918" s="17"/>
      <c r="H7918" s="17" t="s">
        <v>17310</v>
      </c>
      <c r="I7918" s="17"/>
      <c r="J7918" s="17" t="s">
        <v>17604</v>
      </c>
      <c r="K7918" s="17"/>
      <c r="L7918" s="17" t="s">
        <v>17605</v>
      </c>
      <c r="M7918" s="17"/>
      <c r="N7918" s="17" t="s">
        <v>17747</v>
      </c>
      <c r="O7918" s="17"/>
      <c r="P7918" s="17" t="s">
        <v>17894</v>
      </c>
      <c r="Q7918" s="17"/>
      <c r="R7918" s="25" t="str">
        <f>HYPERLINK("https://ictv.global/taxonomy/taxondetails?taxnode_id=202304972","Orthoreovirus mammalis")</f>
        <v>Orthoreovirus mammalis</v>
      </c>
      <c r="S7918" s="18" t="s">
        <v>8141</v>
      </c>
      <c r="T7918" s="18" t="s">
        <v>17925</v>
      </c>
      <c r="U7918" s="18" t="s">
        <v>17926</v>
      </c>
      <c r="V7918" s="18" t="s">
        <v>17927</v>
      </c>
      <c r="W7918" s="18" t="s">
        <v>49281</v>
      </c>
      <c r="X7918" s="18" t="s">
        <v>42</v>
      </c>
      <c r="Y7918" s="18" t="s">
        <v>17196</v>
      </c>
      <c r="Z7918" s="18" t="s">
        <v>166</v>
      </c>
      <c r="AA7918" s="21" t="str">
        <f>HYPERLINK("https://www.ncbi.nlm.nih.gov/nuccore/JX204738,JX204739,JX204740,JX204741,JX204742,JX204743,JX204737,JX204744,JX204745,JX204746","NCBI Nucleotide")</f>
        <v>NCBI Nucleotide</v>
      </c>
    </row>
    <row r="7919" spans="1:27" x14ac:dyDescent="0.35">
      <c r="A7919">
        <v>1012726</v>
      </c>
      <c r="B7919">
        <v>7359</v>
      </c>
      <c r="C7919">
        <v>4</v>
      </c>
      <c r="D7919" s="17" t="s">
        <v>17166</v>
      </c>
      <c r="E7919" s="17"/>
      <c r="F7919" s="17" t="s">
        <v>17246</v>
      </c>
      <c r="G7919" s="17"/>
      <c r="H7919" s="17" t="s">
        <v>17310</v>
      </c>
      <c r="I7919" s="17"/>
      <c r="J7919" s="17" t="s">
        <v>17604</v>
      </c>
      <c r="K7919" s="17"/>
      <c r="L7919" s="17" t="s">
        <v>17605</v>
      </c>
      <c r="M7919" s="17"/>
      <c r="N7919" s="17" t="s">
        <v>17747</v>
      </c>
      <c r="O7919" s="17"/>
      <c r="P7919" s="17" t="s">
        <v>17894</v>
      </c>
      <c r="Q7919" s="17"/>
      <c r="R7919" s="25" t="str">
        <f>HYPERLINK("https://ictv.global/taxonomy/taxondetails?taxnode_id=202304972","Orthoreovirus mammalis")</f>
        <v>Orthoreovirus mammalis</v>
      </c>
      <c r="S7919" s="18" t="s">
        <v>8141</v>
      </c>
      <c r="T7919" s="18" t="s">
        <v>17928</v>
      </c>
      <c r="U7919" s="18" t="s">
        <v>17929</v>
      </c>
      <c r="V7919" s="18" t="s">
        <v>17930</v>
      </c>
      <c r="W7919" s="18" t="s">
        <v>49282</v>
      </c>
      <c r="X7919" s="18" t="s">
        <v>154</v>
      </c>
      <c r="Y7919" s="18" t="s">
        <v>17196</v>
      </c>
      <c r="Z7919" s="18" t="s">
        <v>166</v>
      </c>
      <c r="AA7919" s="21" t="str">
        <f>HYPERLINK("https://www.ncbi.nlm.nih.gov/nuccore/AF368033,AF368034,AF368035,AF368036,AF368037","NCBI Nucleotide")</f>
        <v>NCBI Nucleotide</v>
      </c>
    </row>
    <row r="7920" spans="1:27" x14ac:dyDescent="0.35">
      <c r="A7920">
        <v>1008512</v>
      </c>
      <c r="B7920">
        <v>7360</v>
      </c>
      <c r="C7920">
        <v>1</v>
      </c>
      <c r="D7920" s="17" t="s">
        <v>17166</v>
      </c>
      <c r="E7920" s="17"/>
      <c r="F7920" s="17" t="s">
        <v>17246</v>
      </c>
      <c r="G7920" s="17"/>
      <c r="H7920" s="17" t="s">
        <v>17310</v>
      </c>
      <c r="I7920" s="17"/>
      <c r="J7920" s="17" t="s">
        <v>17604</v>
      </c>
      <c r="K7920" s="17"/>
      <c r="L7920" s="17" t="s">
        <v>17605</v>
      </c>
      <c r="M7920" s="17"/>
      <c r="N7920" s="17" t="s">
        <v>17747</v>
      </c>
      <c r="O7920" s="17"/>
      <c r="P7920" s="17" t="s">
        <v>17894</v>
      </c>
      <c r="Q7920" s="17"/>
      <c r="R7920" s="25" t="str">
        <f>HYPERLINK("https://ictv.global/taxonomy/taxondetails?taxnode_id=202304973","Orthoreovirus nelsonense")</f>
        <v>Orthoreovirus nelsonense</v>
      </c>
      <c r="S7920" s="18" t="s">
        <v>30</v>
      </c>
      <c r="T7920" s="18" t="s">
        <v>17931</v>
      </c>
      <c r="U7920" s="18" t="s">
        <v>17932</v>
      </c>
      <c r="V7920" s="18" t="s">
        <v>17933</v>
      </c>
      <c r="W7920" s="18" t="s">
        <v>50515</v>
      </c>
      <c r="X7920" s="18" t="s">
        <v>42</v>
      </c>
      <c r="Y7920" s="18" t="s">
        <v>17196</v>
      </c>
      <c r="Z7920" s="18" t="s">
        <v>166</v>
      </c>
      <c r="AA7920" s="21" t="str">
        <f>HYPERLINK("https://www.ncbi.nlm.nih.gov/nuccore/JF342666,JF342667,JF342668,JF342669,JF342670,JF342671,AY357730,AY357731,AY357732,AY357733","NCBI Nucleotide")</f>
        <v>NCBI Nucleotide</v>
      </c>
    </row>
    <row r="7921" spans="1:27" x14ac:dyDescent="0.35">
      <c r="A7921">
        <v>1012727</v>
      </c>
      <c r="B7921">
        <v>7360</v>
      </c>
      <c r="C7921">
        <v>2</v>
      </c>
      <c r="D7921" s="17" t="s">
        <v>17166</v>
      </c>
      <c r="E7921" s="17"/>
      <c r="F7921" s="17" t="s">
        <v>17246</v>
      </c>
      <c r="G7921" s="17"/>
      <c r="H7921" s="17" t="s">
        <v>17310</v>
      </c>
      <c r="I7921" s="17"/>
      <c r="J7921" s="17" t="s">
        <v>17604</v>
      </c>
      <c r="K7921" s="17"/>
      <c r="L7921" s="17" t="s">
        <v>17605</v>
      </c>
      <c r="M7921" s="17"/>
      <c r="N7921" s="17" t="s">
        <v>17747</v>
      </c>
      <c r="O7921" s="17"/>
      <c r="P7921" s="17" t="s">
        <v>17894</v>
      </c>
      <c r="Q7921" s="17"/>
      <c r="R7921" s="25" t="str">
        <f>HYPERLINK("https://ictv.global/taxonomy/taxondetails?taxnode_id=202304973","Orthoreovirus nelsonense")</f>
        <v>Orthoreovirus nelsonense</v>
      </c>
      <c r="S7921" s="18" t="s">
        <v>8141</v>
      </c>
      <c r="T7921" s="18" t="s">
        <v>17931</v>
      </c>
      <c r="U7921" s="18" t="s">
        <v>17932</v>
      </c>
      <c r="V7921" s="18" t="s">
        <v>17934</v>
      </c>
      <c r="W7921" s="18" t="s">
        <v>49283</v>
      </c>
      <c r="X7921" s="18" t="s">
        <v>154</v>
      </c>
      <c r="Y7921" s="18" t="s">
        <v>17196</v>
      </c>
      <c r="Z7921" s="18" t="s">
        <v>166</v>
      </c>
      <c r="AA7921" s="21" t="str">
        <f>HYPERLINK("https://www.ncbi.nlm.nih.gov/nuccore/JF811580,JF811581,JF811582,JF811583","NCBI Nucleotide")</f>
        <v>NCBI Nucleotide</v>
      </c>
    </row>
    <row r="7922" spans="1:27" x14ac:dyDescent="0.35">
      <c r="A7922">
        <v>1012728</v>
      </c>
      <c r="B7922">
        <v>7360</v>
      </c>
      <c r="C7922">
        <v>3</v>
      </c>
      <c r="D7922" s="17" t="s">
        <v>17166</v>
      </c>
      <c r="E7922" s="17"/>
      <c r="F7922" s="17" t="s">
        <v>17246</v>
      </c>
      <c r="G7922" s="17"/>
      <c r="H7922" s="17" t="s">
        <v>17310</v>
      </c>
      <c r="I7922" s="17"/>
      <c r="J7922" s="17" t="s">
        <v>17604</v>
      </c>
      <c r="K7922" s="17"/>
      <c r="L7922" s="17" t="s">
        <v>17605</v>
      </c>
      <c r="M7922" s="17"/>
      <c r="N7922" s="17" t="s">
        <v>17747</v>
      </c>
      <c r="O7922" s="17"/>
      <c r="P7922" s="17" t="s">
        <v>17894</v>
      </c>
      <c r="Q7922" s="17"/>
      <c r="R7922" s="25" t="str">
        <f>HYPERLINK("https://ictv.global/taxonomy/taxondetails?taxnode_id=202304973","Orthoreovirus nelsonense")</f>
        <v>Orthoreovirus nelsonense</v>
      </c>
      <c r="S7922" s="18" t="s">
        <v>8141</v>
      </c>
      <c r="T7922" s="18" t="s">
        <v>17931</v>
      </c>
      <c r="U7922" s="18" t="s">
        <v>17932</v>
      </c>
      <c r="V7922" s="18"/>
      <c r="W7922" s="18" t="s">
        <v>49284</v>
      </c>
      <c r="X7922" s="18" t="s">
        <v>154</v>
      </c>
      <c r="Y7922" s="18" t="s">
        <v>17196</v>
      </c>
      <c r="Z7922" s="18" t="s">
        <v>166</v>
      </c>
      <c r="AA7922" s="21" t="str">
        <f>HYPERLINK("https://www.ncbi.nlm.nih.gov/nuccore/AF218360,AF059718,AF059726,AF059722","NCBI Nucleotide")</f>
        <v>NCBI Nucleotide</v>
      </c>
    </row>
    <row r="7923" spans="1:27" x14ac:dyDescent="0.35">
      <c r="A7923">
        <v>1008513</v>
      </c>
      <c r="B7923">
        <v>7361</v>
      </c>
      <c r="C7923">
        <v>1</v>
      </c>
      <c r="D7923" s="17" t="s">
        <v>17166</v>
      </c>
      <c r="E7923" s="17"/>
      <c r="F7923" s="17" t="s">
        <v>17246</v>
      </c>
      <c r="G7923" s="17"/>
      <c r="H7923" s="17" t="s">
        <v>17310</v>
      </c>
      <c r="I7923" s="17"/>
      <c r="J7923" s="17" t="s">
        <v>17604</v>
      </c>
      <c r="K7923" s="17"/>
      <c r="L7923" s="17" t="s">
        <v>17605</v>
      </c>
      <c r="M7923" s="17"/>
      <c r="N7923" s="17" t="s">
        <v>17747</v>
      </c>
      <c r="O7923" s="17"/>
      <c r="P7923" s="17" t="s">
        <v>17894</v>
      </c>
      <c r="Q7923" s="17"/>
      <c r="R7923" s="25" t="str">
        <f>HYPERLINK("https://ictv.global/taxonomy/taxondetails?taxnode_id=202307548","Orthoreovirus neoavis")</f>
        <v>Orthoreovirus neoavis</v>
      </c>
      <c r="S7923" s="18" t="s">
        <v>30</v>
      </c>
      <c r="T7923" s="18" t="s">
        <v>17935</v>
      </c>
      <c r="U7923" s="18" t="s">
        <v>17936</v>
      </c>
      <c r="V7923" s="18" t="s">
        <v>17937</v>
      </c>
      <c r="W7923" s="18" t="s">
        <v>17938</v>
      </c>
      <c r="X7923" s="18" t="s">
        <v>42</v>
      </c>
      <c r="Y7923" s="18" t="s">
        <v>17196</v>
      </c>
      <c r="Z7923" s="18" t="s">
        <v>166</v>
      </c>
      <c r="AA7923" s="21" t="str">
        <f>HYPERLINK("https://www.ncbi.nlm.nih.gov/nuccore/AB914760,AB914761,AB914762,AB914763,AB914764,AB914765,AB914766,AB914767,AB914768,AB914769","NCBI Nucleotide")</f>
        <v>NCBI Nucleotide</v>
      </c>
    </row>
    <row r="7924" spans="1:27" x14ac:dyDescent="0.35">
      <c r="A7924">
        <v>1012729</v>
      </c>
      <c r="B7924">
        <v>7361</v>
      </c>
      <c r="C7924">
        <v>2</v>
      </c>
      <c r="D7924" s="17" t="s">
        <v>17166</v>
      </c>
      <c r="E7924" s="17"/>
      <c r="F7924" s="17" t="s">
        <v>17246</v>
      </c>
      <c r="G7924" s="17"/>
      <c r="H7924" s="17" t="s">
        <v>17310</v>
      </c>
      <c r="I7924" s="17"/>
      <c r="J7924" s="17" t="s">
        <v>17604</v>
      </c>
      <c r="K7924" s="17"/>
      <c r="L7924" s="17" t="s">
        <v>17605</v>
      </c>
      <c r="M7924" s="17"/>
      <c r="N7924" s="17" t="s">
        <v>17747</v>
      </c>
      <c r="O7924" s="17"/>
      <c r="P7924" s="17" t="s">
        <v>17894</v>
      </c>
      <c r="Q7924" s="17"/>
      <c r="R7924" s="25" t="str">
        <f>HYPERLINK("https://ictv.global/taxonomy/taxondetails?taxnode_id=202307548","Orthoreovirus neoavis")</f>
        <v>Orthoreovirus neoavis</v>
      </c>
      <c r="S7924" s="18" t="s">
        <v>8141</v>
      </c>
      <c r="T7924" s="18" t="s">
        <v>17939</v>
      </c>
      <c r="U7924" s="18" t="s">
        <v>17940</v>
      </c>
      <c r="V7924" s="18" t="s">
        <v>17941</v>
      </c>
      <c r="W7924" s="18" t="s">
        <v>49285</v>
      </c>
      <c r="X7924" s="18" t="s">
        <v>154</v>
      </c>
      <c r="Y7924" s="18" t="s">
        <v>17196</v>
      </c>
      <c r="Z7924" s="18" t="s">
        <v>166</v>
      </c>
      <c r="AA7924" s="21" t="str">
        <f>HYPERLINK("https://www.ncbi.nlm.nih.gov/nuccore/EU252582,EU189200,EU189201,EU189202","NCBI Nucleotide")</f>
        <v>NCBI Nucleotide</v>
      </c>
    </row>
    <row r="7925" spans="1:27" x14ac:dyDescent="0.35">
      <c r="A7925">
        <v>1012730</v>
      </c>
      <c r="B7925">
        <v>7361</v>
      </c>
      <c r="C7925">
        <v>3</v>
      </c>
      <c r="D7925" s="17" t="s">
        <v>17166</v>
      </c>
      <c r="E7925" s="17"/>
      <c r="F7925" s="17" t="s">
        <v>17246</v>
      </c>
      <c r="G7925" s="17"/>
      <c r="H7925" s="17" t="s">
        <v>17310</v>
      </c>
      <c r="I7925" s="17"/>
      <c r="J7925" s="17" t="s">
        <v>17604</v>
      </c>
      <c r="K7925" s="17"/>
      <c r="L7925" s="17" t="s">
        <v>17605</v>
      </c>
      <c r="M7925" s="17"/>
      <c r="N7925" s="17" t="s">
        <v>17747</v>
      </c>
      <c r="O7925" s="17"/>
      <c r="P7925" s="17" t="s">
        <v>17894</v>
      </c>
      <c r="Q7925" s="17"/>
      <c r="R7925" s="25" t="str">
        <f>HYPERLINK("https://ictv.global/taxonomy/taxondetails?taxnode_id=202307548","Orthoreovirus neoavis")</f>
        <v>Orthoreovirus neoavis</v>
      </c>
      <c r="S7925" s="18" t="s">
        <v>8141</v>
      </c>
      <c r="T7925" s="18" t="s">
        <v>17942</v>
      </c>
      <c r="U7925" s="18" t="s">
        <v>17943</v>
      </c>
      <c r="V7925" s="18" t="s">
        <v>17944</v>
      </c>
      <c r="W7925" s="18" t="s">
        <v>49286</v>
      </c>
      <c r="X7925" s="18" t="s">
        <v>42</v>
      </c>
      <c r="Y7925" s="18" t="s">
        <v>17196</v>
      </c>
      <c r="Z7925" s="18" t="s">
        <v>166</v>
      </c>
      <c r="AA7925" s="21" t="str">
        <f>HYPERLINK("https://www.ncbi.nlm.nih.gov/nuccore/KF692089,KF692090,KF692091,KF692092,KF692093,KF692094,KF692095,KF692096,KF692097,KF692098","NCBI Nucleotide")</f>
        <v>NCBI Nucleotide</v>
      </c>
    </row>
    <row r="7926" spans="1:27" x14ac:dyDescent="0.35">
      <c r="A7926">
        <v>1008508</v>
      </c>
      <c r="B7926">
        <v>7362</v>
      </c>
      <c r="C7926">
        <v>1</v>
      </c>
      <c r="D7926" s="17" t="s">
        <v>17166</v>
      </c>
      <c r="E7926" s="17"/>
      <c r="F7926" s="17" t="s">
        <v>17246</v>
      </c>
      <c r="G7926" s="17"/>
      <c r="H7926" s="17" t="s">
        <v>17310</v>
      </c>
      <c r="I7926" s="17"/>
      <c r="J7926" s="17" t="s">
        <v>17604</v>
      </c>
      <c r="K7926" s="17"/>
      <c r="L7926" s="17" t="s">
        <v>17605</v>
      </c>
      <c r="M7926" s="17"/>
      <c r="N7926" s="17" t="s">
        <v>17747</v>
      </c>
      <c r="O7926" s="17"/>
      <c r="P7926" s="17" t="s">
        <v>17894</v>
      </c>
      <c r="Q7926" s="17"/>
      <c r="R7926" s="25" t="str">
        <f>HYPERLINK("https://ictv.global/taxonomy/taxondetails?taxnode_id=202304971","Orthoreovirus papionis")</f>
        <v>Orthoreovirus papionis</v>
      </c>
      <c r="S7926" s="18" t="s">
        <v>30</v>
      </c>
      <c r="T7926" s="18" t="s">
        <v>17911</v>
      </c>
      <c r="U7926" s="18" t="s">
        <v>17912</v>
      </c>
      <c r="V7926" s="18" t="s">
        <v>17913</v>
      </c>
      <c r="W7926" s="18" t="s">
        <v>50516</v>
      </c>
      <c r="X7926" s="18" t="s">
        <v>42</v>
      </c>
      <c r="Y7926" s="18" t="s">
        <v>17196</v>
      </c>
      <c r="Z7926" s="18" t="s">
        <v>166</v>
      </c>
      <c r="AA7926" s="21" t="str">
        <f>HYPERLINK("https://www.ncbi.nlm.nih.gov/nuccore/HQ847903,HQ847904,HQ847905,HQ847906,HQ847907,HQ847908,AF059719,AF059723,AF059727,AF406787","NCBI Nucleotide")</f>
        <v>NCBI Nucleotide</v>
      </c>
    </row>
    <row r="7927" spans="1:27" x14ac:dyDescent="0.35">
      <c r="A7927">
        <v>1008514</v>
      </c>
      <c r="B7927">
        <v>7363</v>
      </c>
      <c r="C7927">
        <v>1</v>
      </c>
      <c r="D7927" s="17" t="s">
        <v>17166</v>
      </c>
      <c r="E7927" s="17"/>
      <c r="F7927" s="17" t="s">
        <v>17246</v>
      </c>
      <c r="G7927" s="17"/>
      <c r="H7927" s="17" t="s">
        <v>17310</v>
      </c>
      <c r="I7927" s="17"/>
      <c r="J7927" s="17" t="s">
        <v>17604</v>
      </c>
      <c r="K7927" s="17"/>
      <c r="L7927" s="17" t="s">
        <v>17605</v>
      </c>
      <c r="M7927" s="17"/>
      <c r="N7927" s="17" t="s">
        <v>17747</v>
      </c>
      <c r="O7927" s="17"/>
      <c r="P7927" s="17" t="s">
        <v>17894</v>
      </c>
      <c r="Q7927" s="17"/>
      <c r="R7927" s="25" t="str">
        <f>HYPERLINK("https://ictv.global/taxonomy/taxondetails?taxnode_id=202304974","Orthoreovirus piscis")</f>
        <v>Orthoreovirus piscis</v>
      </c>
      <c r="S7927" s="18" t="s">
        <v>30</v>
      </c>
      <c r="T7927" s="18" t="s">
        <v>17945</v>
      </c>
      <c r="U7927" s="18" t="s">
        <v>17946</v>
      </c>
      <c r="V7927" s="18" t="s">
        <v>17947</v>
      </c>
      <c r="W7927" s="18" t="s">
        <v>17948</v>
      </c>
      <c r="X7927" s="18" t="s">
        <v>42</v>
      </c>
      <c r="Y7927" s="18" t="s">
        <v>17196</v>
      </c>
      <c r="Z7927" s="18" t="s">
        <v>166</v>
      </c>
      <c r="AA7927" s="21" t="str">
        <f>HYPERLINK("https://www.ncbi.nlm.nih.gov/nuccore/KC795565,KC795566,KC795567,KC795568,KC795569,KC795570,KC795571,KC795572,KC795573,KC795574","NCBI Nucleotide")</f>
        <v>NCBI Nucleotide</v>
      </c>
    </row>
    <row r="7928" spans="1:27" x14ac:dyDescent="0.35">
      <c r="A7928">
        <v>1008515</v>
      </c>
      <c r="B7928">
        <v>7364</v>
      </c>
      <c r="C7928">
        <v>1</v>
      </c>
      <c r="D7928" s="17" t="s">
        <v>17166</v>
      </c>
      <c r="E7928" s="17"/>
      <c r="F7928" s="17" t="s">
        <v>17246</v>
      </c>
      <c r="G7928" s="17"/>
      <c r="H7928" s="17" t="s">
        <v>17310</v>
      </c>
      <c r="I7928" s="17"/>
      <c r="J7928" s="17" t="s">
        <v>17604</v>
      </c>
      <c r="K7928" s="17"/>
      <c r="L7928" s="17" t="s">
        <v>17605</v>
      </c>
      <c r="M7928" s="17"/>
      <c r="N7928" s="17" t="s">
        <v>17747</v>
      </c>
      <c r="O7928" s="17"/>
      <c r="P7928" s="17" t="s">
        <v>17894</v>
      </c>
      <c r="Q7928" s="17"/>
      <c r="R7928" s="25" t="str">
        <f>HYPERLINK("https://ictv.global/taxonomy/taxondetails?taxnode_id=202304975","Orthoreovirus reptilis")</f>
        <v>Orthoreovirus reptilis</v>
      </c>
      <c r="S7928" s="18" t="s">
        <v>30</v>
      </c>
      <c r="T7928" s="18" t="s">
        <v>17949</v>
      </c>
      <c r="U7928" s="18" t="s">
        <v>17950</v>
      </c>
      <c r="V7928" s="18" t="s">
        <v>17951</v>
      </c>
      <c r="W7928" s="18" t="s">
        <v>50517</v>
      </c>
      <c r="X7928" s="18" t="s">
        <v>42</v>
      </c>
      <c r="Y7928" s="18" t="s">
        <v>17196</v>
      </c>
      <c r="Z7928" s="18" t="s">
        <v>166</v>
      </c>
      <c r="AA7928" s="21" t="str">
        <f>HYPERLINK("https://www.ncbi.nlm.nih.gov/nuccore/KC852153,KC852155,KC852154,KC852158,KC852156,KC852157,KC852161,KC852159,KC852160,KC852162","NCBI Nucleotide")</f>
        <v>NCBI Nucleotide</v>
      </c>
    </row>
    <row r="7929" spans="1:27" x14ac:dyDescent="0.35">
      <c r="A7929">
        <v>1008516</v>
      </c>
      <c r="B7929">
        <v>7365</v>
      </c>
      <c r="C7929">
        <v>1</v>
      </c>
      <c r="D7929" s="17" t="s">
        <v>17166</v>
      </c>
      <c r="E7929" s="17"/>
      <c r="F7929" s="17" t="s">
        <v>17246</v>
      </c>
      <c r="G7929" s="17"/>
      <c r="H7929" s="17" t="s">
        <v>17310</v>
      </c>
      <c r="I7929" s="17"/>
      <c r="J7929" s="17" t="s">
        <v>17604</v>
      </c>
      <c r="K7929" s="17"/>
      <c r="L7929" s="17" t="s">
        <v>17605</v>
      </c>
      <c r="M7929" s="17"/>
      <c r="N7929" s="17" t="s">
        <v>17747</v>
      </c>
      <c r="O7929" s="17"/>
      <c r="P7929" s="17" t="s">
        <v>17894</v>
      </c>
      <c r="Q7929" s="17"/>
      <c r="R7929" s="25" t="str">
        <f>HYPERLINK("https://ictv.global/taxonomy/taxondetails?taxnode_id=202307549","Orthoreovirus testudinis")</f>
        <v>Orthoreovirus testudinis</v>
      </c>
      <c r="S7929" s="18" t="s">
        <v>30</v>
      </c>
      <c r="T7929" s="18" t="s">
        <v>17952</v>
      </c>
      <c r="U7929" s="18" t="s">
        <v>17953</v>
      </c>
      <c r="V7929" s="18" t="s">
        <v>17954</v>
      </c>
      <c r="W7929" s="18" t="s">
        <v>17955</v>
      </c>
      <c r="X7929" s="18" t="s">
        <v>42</v>
      </c>
      <c r="Y7929" s="18" t="s">
        <v>17196</v>
      </c>
      <c r="Z7929" s="18" t="s">
        <v>166</v>
      </c>
      <c r="AA7929" s="21" t="str">
        <f>HYPERLINK("https://www.ncbi.nlm.nih.gov/nuccore/KT696547,KT696548,KT696549,KT696550,KT696551,KT696552,KT696553,KT696554,KT696555,KT696556","NCBI Nucleotide")</f>
        <v>NCBI Nucleotide</v>
      </c>
    </row>
    <row r="7930" spans="1:27" x14ac:dyDescent="0.35">
      <c r="A7930">
        <v>1008517</v>
      </c>
      <c r="B7930">
        <v>7366</v>
      </c>
      <c r="C7930">
        <v>1</v>
      </c>
      <c r="D7930" s="17" t="s">
        <v>17166</v>
      </c>
      <c r="E7930" s="17"/>
      <c r="F7930" s="17" t="s">
        <v>17246</v>
      </c>
      <c r="G7930" s="17"/>
      <c r="H7930" s="17" t="s">
        <v>17310</v>
      </c>
      <c r="I7930" s="17"/>
      <c r="J7930" s="17" t="s">
        <v>17604</v>
      </c>
      <c r="K7930" s="17"/>
      <c r="L7930" s="17" t="s">
        <v>17605</v>
      </c>
      <c r="M7930" s="17"/>
      <c r="N7930" s="17" t="s">
        <v>17747</v>
      </c>
      <c r="O7930" s="17"/>
      <c r="P7930" s="17" t="s">
        <v>17956</v>
      </c>
      <c r="Q7930" s="17"/>
      <c r="R7930" s="25" t="str">
        <f>HYPERLINK("https://ictv.global/taxonomy/taxondetails?taxnode_id=202304977","Oryzavirus echinochloae")</f>
        <v>Oryzavirus echinochloae</v>
      </c>
      <c r="S7930" s="18" t="s">
        <v>30</v>
      </c>
      <c r="T7930" s="18" t="s">
        <v>17957</v>
      </c>
      <c r="U7930" s="18" t="s">
        <v>17958</v>
      </c>
      <c r="V7930" s="18"/>
      <c r="W7930" s="18"/>
      <c r="X7930" s="18" t="s">
        <v>3311</v>
      </c>
      <c r="Y7930" s="18" t="s">
        <v>17196</v>
      </c>
      <c r="Z7930" s="18" t="s">
        <v>15964</v>
      </c>
      <c r="AA7930" s="21"/>
    </row>
    <row r="7931" spans="1:27" x14ac:dyDescent="0.35">
      <c r="A7931">
        <v>1008518</v>
      </c>
      <c r="B7931">
        <v>7367</v>
      </c>
      <c r="C7931">
        <v>1</v>
      </c>
      <c r="D7931" s="17" t="s">
        <v>17166</v>
      </c>
      <c r="E7931" s="17"/>
      <c r="F7931" s="17" t="s">
        <v>17246</v>
      </c>
      <c r="G7931" s="17"/>
      <c r="H7931" s="17" t="s">
        <v>17310</v>
      </c>
      <c r="I7931" s="17"/>
      <c r="J7931" s="17" t="s">
        <v>17604</v>
      </c>
      <c r="K7931" s="17"/>
      <c r="L7931" s="17" t="s">
        <v>17605</v>
      </c>
      <c r="M7931" s="17"/>
      <c r="N7931" s="17" t="s">
        <v>17747</v>
      </c>
      <c r="O7931" s="17"/>
      <c r="P7931" s="17" t="s">
        <v>17956</v>
      </c>
      <c r="Q7931" s="17"/>
      <c r="R7931" s="25" t="str">
        <f>HYPERLINK("https://ictv.global/taxonomy/taxondetails?taxnode_id=202304978","Oryzavirus oryzae")</f>
        <v>Oryzavirus oryzae</v>
      </c>
      <c r="S7931" s="18" t="s">
        <v>30</v>
      </c>
      <c r="T7931" s="18" t="s">
        <v>17959</v>
      </c>
      <c r="U7931" s="18" t="s">
        <v>17960</v>
      </c>
      <c r="V7931" s="18" t="s">
        <v>17961</v>
      </c>
      <c r="W7931" s="18" t="s">
        <v>50518</v>
      </c>
      <c r="X7931" s="18" t="s">
        <v>42</v>
      </c>
      <c r="Y7931" s="18" t="s">
        <v>17196</v>
      </c>
      <c r="Z7931" s="18" t="s">
        <v>15964</v>
      </c>
      <c r="AA7931" s="21" t="str">
        <f>HYPERLINK("https://www.ncbi.nlm.nih.gov/nuccore/AF020334,AF020335,AF020336,U66714,U33633,AF020337,U66713,L46682,L38899,U66712","NCBI Nucleotide")</f>
        <v>NCBI Nucleotide</v>
      </c>
    </row>
    <row r="7932" spans="1:27" x14ac:dyDescent="0.35">
      <c r="A7932">
        <v>1008522</v>
      </c>
      <c r="B7932">
        <v>7368</v>
      </c>
      <c r="C7932">
        <v>1</v>
      </c>
      <c r="D7932" s="17" t="s">
        <v>17166</v>
      </c>
      <c r="E7932" s="17"/>
      <c r="F7932" s="17" t="s">
        <v>17246</v>
      </c>
      <c r="G7932" s="17"/>
      <c r="H7932" s="17" t="s">
        <v>17310</v>
      </c>
      <c r="I7932" s="17"/>
      <c r="J7932" s="17" t="s">
        <v>17962</v>
      </c>
      <c r="K7932" s="17"/>
      <c r="L7932" s="17" t="s">
        <v>17963</v>
      </c>
      <c r="M7932" s="17"/>
      <c r="N7932" s="17" t="s">
        <v>17964</v>
      </c>
      <c r="O7932" s="17"/>
      <c r="P7932" s="17" t="s">
        <v>17965</v>
      </c>
      <c r="Q7932" s="17"/>
      <c r="R7932" s="25" t="str">
        <f>HYPERLINK("https://ictv.global/taxonomy/taxondetails?taxnode_id=202303041","Cystovirus phi6")</f>
        <v>Cystovirus phi6</v>
      </c>
      <c r="S7932" s="18" t="s">
        <v>30</v>
      </c>
      <c r="T7932" s="18" t="s">
        <v>17973</v>
      </c>
      <c r="U7932" s="18" t="s">
        <v>17974</v>
      </c>
      <c r="V7932" s="18"/>
      <c r="W7932" s="18" t="s">
        <v>50519</v>
      </c>
      <c r="X7932" s="18" t="s">
        <v>42</v>
      </c>
      <c r="Y7932" s="18" t="s">
        <v>17196</v>
      </c>
      <c r="Z7932" s="18" t="s">
        <v>697</v>
      </c>
      <c r="AA7932" s="21" t="str">
        <f>HYPERLINK("https://www.ncbi.nlm.nih.gov/nuccore/M17461,M17462,M12921","NCBI Nucleotide")</f>
        <v>NCBI Nucleotide</v>
      </c>
    </row>
    <row r="7933" spans="1:27" x14ac:dyDescent="0.35">
      <c r="A7933">
        <v>1008523</v>
      </c>
      <c r="B7933">
        <v>7369</v>
      </c>
      <c r="C7933">
        <v>1</v>
      </c>
      <c r="D7933" s="17" t="s">
        <v>17166</v>
      </c>
      <c r="E7933" s="17"/>
      <c r="F7933" s="17" t="s">
        <v>17246</v>
      </c>
      <c r="G7933" s="17"/>
      <c r="H7933" s="17" t="s">
        <v>17310</v>
      </c>
      <c r="I7933" s="17"/>
      <c r="J7933" s="17" t="s">
        <v>17962</v>
      </c>
      <c r="K7933" s="17"/>
      <c r="L7933" s="17" t="s">
        <v>17963</v>
      </c>
      <c r="M7933" s="17"/>
      <c r="N7933" s="17" t="s">
        <v>17964</v>
      </c>
      <c r="O7933" s="17"/>
      <c r="P7933" s="17" t="s">
        <v>17965</v>
      </c>
      <c r="Q7933" s="17"/>
      <c r="R7933" s="25" t="str">
        <f>HYPERLINK("https://ictv.global/taxonomy/taxondetails?taxnode_id=202305775","Cystovirus phi8")</f>
        <v>Cystovirus phi8</v>
      </c>
      <c r="S7933" s="18" t="s">
        <v>30</v>
      </c>
      <c r="T7933" s="18" t="s">
        <v>17975</v>
      </c>
      <c r="U7933" s="18" t="s">
        <v>17976</v>
      </c>
      <c r="V7933" s="18"/>
      <c r="W7933" s="18" t="s">
        <v>17977</v>
      </c>
      <c r="X7933" s="18" t="s">
        <v>42</v>
      </c>
      <c r="Y7933" s="18" t="s">
        <v>17196</v>
      </c>
      <c r="Z7933" s="18" t="s">
        <v>697</v>
      </c>
      <c r="AA7933" s="21" t="str">
        <f>HYPERLINK("https://www.ncbi.nlm.nih.gov/nuccore/AF226851,AF226852,AF226853","NCBI Nucleotide")</f>
        <v>NCBI Nucleotide</v>
      </c>
    </row>
    <row r="7934" spans="1:27" x14ac:dyDescent="0.35">
      <c r="A7934">
        <v>1008519</v>
      </c>
      <c r="B7934">
        <v>7370</v>
      </c>
      <c r="C7934">
        <v>1</v>
      </c>
      <c r="D7934" s="17" t="s">
        <v>17166</v>
      </c>
      <c r="E7934" s="17"/>
      <c r="F7934" s="17" t="s">
        <v>17246</v>
      </c>
      <c r="G7934" s="17"/>
      <c r="H7934" s="17" t="s">
        <v>17310</v>
      </c>
      <c r="I7934" s="17"/>
      <c r="J7934" s="17" t="s">
        <v>17962</v>
      </c>
      <c r="K7934" s="17"/>
      <c r="L7934" s="17" t="s">
        <v>17963</v>
      </c>
      <c r="M7934" s="17"/>
      <c r="N7934" s="17" t="s">
        <v>17964</v>
      </c>
      <c r="O7934" s="17"/>
      <c r="P7934" s="17" t="s">
        <v>17965</v>
      </c>
      <c r="Q7934" s="17"/>
      <c r="R7934" s="25" t="str">
        <f>HYPERLINK("https://ictv.global/taxonomy/taxondetails?taxnode_id=202305772","Cystovirus phi12")</f>
        <v>Cystovirus phi12</v>
      </c>
      <c r="S7934" s="18" t="s">
        <v>30</v>
      </c>
      <c r="T7934" s="18" t="s">
        <v>17966</v>
      </c>
      <c r="U7934" s="18" t="s">
        <v>17967</v>
      </c>
      <c r="V7934" s="18"/>
      <c r="W7934" s="18" t="s">
        <v>50520</v>
      </c>
      <c r="X7934" s="18" t="s">
        <v>42</v>
      </c>
      <c r="Y7934" s="18" t="s">
        <v>17196</v>
      </c>
      <c r="Z7934" s="18" t="s">
        <v>697</v>
      </c>
      <c r="AA7934" s="21" t="str">
        <f>HYPERLINK("https://www.ncbi.nlm.nih.gov/nuccore/AF408636,AY039807,AY034425","NCBI Nucleotide")</f>
        <v>NCBI Nucleotide</v>
      </c>
    </row>
    <row r="7935" spans="1:27" x14ac:dyDescent="0.35">
      <c r="A7935">
        <v>1008520</v>
      </c>
      <c r="B7935">
        <v>7371</v>
      </c>
      <c r="C7935">
        <v>1</v>
      </c>
      <c r="D7935" s="17" t="s">
        <v>17166</v>
      </c>
      <c r="E7935" s="17"/>
      <c r="F7935" s="17" t="s">
        <v>17246</v>
      </c>
      <c r="G7935" s="17"/>
      <c r="H7935" s="17" t="s">
        <v>17310</v>
      </c>
      <c r="I7935" s="17"/>
      <c r="J7935" s="17" t="s">
        <v>17962</v>
      </c>
      <c r="K7935" s="17"/>
      <c r="L7935" s="17" t="s">
        <v>17963</v>
      </c>
      <c r="M7935" s="17"/>
      <c r="N7935" s="17" t="s">
        <v>17964</v>
      </c>
      <c r="O7935" s="17"/>
      <c r="P7935" s="17" t="s">
        <v>17965</v>
      </c>
      <c r="Q7935" s="17"/>
      <c r="R7935" s="25" t="str">
        <f>HYPERLINK("https://ictv.global/taxonomy/taxondetails?taxnode_id=202305773","Cystovirus phi13")</f>
        <v>Cystovirus phi13</v>
      </c>
      <c r="S7935" s="18" t="s">
        <v>30</v>
      </c>
      <c r="T7935" s="18" t="s">
        <v>17968</v>
      </c>
      <c r="U7935" s="18" t="s">
        <v>17969</v>
      </c>
      <c r="V7935" s="18"/>
      <c r="W7935" s="18" t="s">
        <v>50521</v>
      </c>
      <c r="X7935" s="18" t="s">
        <v>42</v>
      </c>
      <c r="Y7935" s="18" t="s">
        <v>17196</v>
      </c>
      <c r="Z7935" s="18" t="s">
        <v>697</v>
      </c>
      <c r="AA7935" s="21" t="str">
        <f>HYPERLINK("https://www.ncbi.nlm.nih.gov/nuccore/AF261668,AF261667,AF261666","NCBI Nucleotide")</f>
        <v>NCBI Nucleotide</v>
      </c>
    </row>
    <row r="7936" spans="1:27" x14ac:dyDescent="0.35">
      <c r="A7936">
        <v>1008521</v>
      </c>
      <c r="B7936">
        <v>7372</v>
      </c>
      <c r="C7936">
        <v>1</v>
      </c>
      <c r="D7936" s="17" t="s">
        <v>17166</v>
      </c>
      <c r="E7936" s="17"/>
      <c r="F7936" s="17" t="s">
        <v>17246</v>
      </c>
      <c r="G7936" s="17"/>
      <c r="H7936" s="17" t="s">
        <v>17310</v>
      </c>
      <c r="I7936" s="17"/>
      <c r="J7936" s="17" t="s">
        <v>17962</v>
      </c>
      <c r="K7936" s="17"/>
      <c r="L7936" s="17" t="s">
        <v>17963</v>
      </c>
      <c r="M7936" s="17"/>
      <c r="N7936" s="17" t="s">
        <v>17964</v>
      </c>
      <c r="O7936" s="17"/>
      <c r="P7936" s="17" t="s">
        <v>17965</v>
      </c>
      <c r="Q7936" s="17"/>
      <c r="R7936" s="25" t="str">
        <f>HYPERLINK("https://ictv.global/taxonomy/taxondetails?taxnode_id=202305774","Cystovirus phi2954")</f>
        <v>Cystovirus phi2954</v>
      </c>
      <c r="S7936" s="18" t="s">
        <v>30</v>
      </c>
      <c r="T7936" s="18" t="s">
        <v>17970</v>
      </c>
      <c r="U7936" s="18" t="s">
        <v>17971</v>
      </c>
      <c r="V7936" s="18"/>
      <c r="W7936" s="18" t="s">
        <v>17972</v>
      </c>
      <c r="X7936" s="18" t="s">
        <v>42</v>
      </c>
      <c r="Y7936" s="18" t="s">
        <v>17196</v>
      </c>
      <c r="Z7936" s="18" t="s">
        <v>697</v>
      </c>
      <c r="AA7936" s="21" t="str">
        <f>HYPERLINK("https://www.ncbi.nlm.nih.gov/nuccore/FJ608823,FJ608824,FJ608825","NCBI Nucleotide")</f>
        <v>NCBI Nucleotide</v>
      </c>
    </row>
    <row r="7937" spans="1:27" x14ac:dyDescent="0.35">
      <c r="A7937">
        <v>1008524</v>
      </c>
      <c r="B7937">
        <v>7373</v>
      </c>
      <c r="C7937">
        <v>1</v>
      </c>
      <c r="D7937" s="17" t="s">
        <v>17166</v>
      </c>
      <c r="E7937" s="17"/>
      <c r="F7937" s="17" t="s">
        <v>17246</v>
      </c>
      <c r="G7937" s="17"/>
      <c r="H7937" s="17" t="s">
        <v>17310</v>
      </c>
      <c r="I7937" s="17"/>
      <c r="J7937" s="17" t="s">
        <v>17962</v>
      </c>
      <c r="K7937" s="17"/>
      <c r="L7937" s="17" t="s">
        <v>17963</v>
      </c>
      <c r="M7937" s="17"/>
      <c r="N7937" s="17" t="s">
        <v>17964</v>
      </c>
      <c r="O7937" s="17"/>
      <c r="P7937" s="17" t="s">
        <v>17965</v>
      </c>
      <c r="Q7937" s="17"/>
      <c r="R7937" s="25" t="str">
        <f>HYPERLINK("https://ictv.global/taxonomy/taxondetails?taxnode_id=202305776","Cystovirus phiNN")</f>
        <v>Cystovirus phiNN</v>
      </c>
      <c r="S7937" s="18" t="s">
        <v>30</v>
      </c>
      <c r="T7937" s="18" t="s">
        <v>17978</v>
      </c>
      <c r="U7937" s="18" t="s">
        <v>17979</v>
      </c>
      <c r="V7937" s="18"/>
      <c r="W7937" s="18" t="s">
        <v>17980</v>
      </c>
      <c r="X7937" s="18" t="s">
        <v>42</v>
      </c>
      <c r="Y7937" s="18" t="s">
        <v>17196</v>
      </c>
      <c r="Z7937" s="18" t="s">
        <v>697</v>
      </c>
      <c r="AA7937" s="21" t="str">
        <f>HYPERLINK("https://www.ncbi.nlm.nih.gov/nuccore/KJ957164,KJ957165,KJ957166","NCBI Nucleotide")</f>
        <v>NCBI Nucleotide</v>
      </c>
    </row>
    <row r="7938" spans="1:27" x14ac:dyDescent="0.35">
      <c r="A7938">
        <v>1008525</v>
      </c>
      <c r="B7938">
        <v>7374</v>
      </c>
      <c r="C7938">
        <v>1</v>
      </c>
      <c r="D7938" s="17" t="s">
        <v>17166</v>
      </c>
      <c r="E7938" s="17"/>
      <c r="F7938" s="17" t="s">
        <v>17246</v>
      </c>
      <c r="G7938" s="17"/>
      <c r="H7938" s="17" t="s">
        <v>17310</v>
      </c>
      <c r="I7938" s="17"/>
      <c r="J7938" s="17" t="s">
        <v>17962</v>
      </c>
      <c r="K7938" s="17"/>
      <c r="L7938" s="17" t="s">
        <v>17963</v>
      </c>
      <c r="M7938" s="17"/>
      <c r="N7938" s="17" t="s">
        <v>17964</v>
      </c>
      <c r="O7938" s="17"/>
      <c r="P7938" s="17" t="s">
        <v>17965</v>
      </c>
      <c r="Q7938" s="17"/>
      <c r="R7938" s="25" t="str">
        <f>HYPERLINK("https://ictv.global/taxonomy/taxondetails?taxnode_id=202305777","Cystovirus phiYY")</f>
        <v>Cystovirus phiYY</v>
      </c>
      <c r="S7938" s="18" t="s">
        <v>30</v>
      </c>
      <c r="T7938" s="18" t="s">
        <v>17981</v>
      </c>
      <c r="U7938" s="18" t="s">
        <v>17982</v>
      </c>
      <c r="V7938" s="18"/>
      <c r="W7938" s="18" t="s">
        <v>17983</v>
      </c>
      <c r="X7938" s="18" t="s">
        <v>42</v>
      </c>
      <c r="Y7938" s="18" t="s">
        <v>17196</v>
      </c>
      <c r="Z7938" s="18" t="s">
        <v>697</v>
      </c>
      <c r="AA7938" s="21" t="str">
        <f>HYPERLINK("https://www.ncbi.nlm.nih.gov/nuccore/KX074201,KX074202,KX074203","NCBI Nucleotide")</f>
        <v>NCBI Nucleotide</v>
      </c>
    </row>
    <row r="7939" spans="1:27" x14ac:dyDescent="0.35">
      <c r="A7939">
        <v>1008526</v>
      </c>
      <c r="B7939">
        <v>7375</v>
      </c>
      <c r="C7939">
        <v>1</v>
      </c>
      <c r="D7939" s="17" t="s">
        <v>17166</v>
      </c>
      <c r="E7939" s="17"/>
      <c r="F7939" s="17" t="s">
        <v>17246</v>
      </c>
      <c r="G7939" s="17"/>
      <c r="H7939" s="17" t="s">
        <v>17984</v>
      </c>
      <c r="I7939" s="17"/>
      <c r="J7939" s="17" t="s">
        <v>17985</v>
      </c>
      <c r="K7939" s="17"/>
      <c r="L7939" s="17" t="s">
        <v>17986</v>
      </c>
      <c r="M7939" s="17"/>
      <c r="N7939" s="17" t="s">
        <v>17987</v>
      </c>
      <c r="O7939" s="17"/>
      <c r="P7939" s="17" t="s">
        <v>17988</v>
      </c>
      <c r="Q7939" s="17"/>
      <c r="R7939" s="25" t="str">
        <f>HYPERLINK("https://ictv.global/taxonomy/taxondetails?taxnode_id=202302459","Betatetravirus antheraeae")</f>
        <v>Betatetravirus antheraeae</v>
      </c>
      <c r="S7939" s="18" t="s">
        <v>30</v>
      </c>
      <c r="T7939" s="18" t="s">
        <v>17989</v>
      </c>
      <c r="U7939" s="18" t="s">
        <v>17990</v>
      </c>
      <c r="V7939" s="18"/>
      <c r="W7939" s="18"/>
      <c r="X7939" s="18" t="s">
        <v>3311</v>
      </c>
      <c r="Y7939" s="18" t="s">
        <v>17171</v>
      </c>
      <c r="Z7939" s="18" t="s">
        <v>10790</v>
      </c>
      <c r="AA7939" s="21"/>
    </row>
    <row r="7940" spans="1:27" x14ac:dyDescent="0.35">
      <c r="A7940">
        <v>1008527</v>
      </c>
      <c r="B7940">
        <v>7376</v>
      </c>
      <c r="C7940">
        <v>1</v>
      </c>
      <c r="D7940" s="17" t="s">
        <v>17166</v>
      </c>
      <c r="E7940" s="17"/>
      <c r="F7940" s="17" t="s">
        <v>17246</v>
      </c>
      <c r="G7940" s="17"/>
      <c r="H7940" s="17" t="s">
        <v>17984</v>
      </c>
      <c r="I7940" s="17"/>
      <c r="J7940" s="17" t="s">
        <v>17985</v>
      </c>
      <c r="K7940" s="17"/>
      <c r="L7940" s="17" t="s">
        <v>17986</v>
      </c>
      <c r="M7940" s="17"/>
      <c r="N7940" s="17" t="s">
        <v>17987</v>
      </c>
      <c r="O7940" s="17"/>
      <c r="P7940" s="17" t="s">
        <v>17988</v>
      </c>
      <c r="Q7940" s="17"/>
      <c r="R7940" s="25" t="str">
        <f>HYPERLINK("https://ictv.global/taxonomy/taxondetails?taxnode_id=202302460","Betatetravirus darnae")</f>
        <v>Betatetravirus darnae</v>
      </c>
      <c r="S7940" s="18" t="s">
        <v>30</v>
      </c>
      <c r="T7940" s="18" t="s">
        <v>17991</v>
      </c>
      <c r="U7940" s="18" t="s">
        <v>17992</v>
      </c>
      <c r="V7940" s="18"/>
      <c r="W7940" s="18"/>
      <c r="X7940" s="18" t="s">
        <v>3311</v>
      </c>
      <c r="Y7940" s="18" t="s">
        <v>17171</v>
      </c>
      <c r="Z7940" s="18" t="s">
        <v>10790</v>
      </c>
      <c r="AA7940" s="21"/>
    </row>
    <row r="7941" spans="1:27" x14ac:dyDescent="0.35">
      <c r="A7941">
        <v>1008528</v>
      </c>
      <c r="B7941">
        <v>7377</v>
      </c>
      <c r="C7941">
        <v>1</v>
      </c>
      <c r="D7941" s="17" t="s">
        <v>17166</v>
      </c>
      <c r="E7941" s="17"/>
      <c r="F7941" s="17" t="s">
        <v>17246</v>
      </c>
      <c r="G7941" s="17"/>
      <c r="H7941" s="17" t="s">
        <v>17984</v>
      </c>
      <c r="I7941" s="17"/>
      <c r="J7941" s="17" t="s">
        <v>17985</v>
      </c>
      <c r="K7941" s="17"/>
      <c r="L7941" s="17" t="s">
        <v>17986</v>
      </c>
      <c r="M7941" s="17"/>
      <c r="N7941" s="17" t="s">
        <v>17987</v>
      </c>
      <c r="O7941" s="17"/>
      <c r="P7941" s="17" t="s">
        <v>17988</v>
      </c>
      <c r="Q7941" s="17"/>
      <c r="R7941" s="25" t="str">
        <f>HYPERLINK("https://ictv.global/taxonomy/taxondetails?taxnode_id=202302461","Betatetravirus dasychirae")</f>
        <v>Betatetravirus dasychirae</v>
      </c>
      <c r="S7941" s="18" t="s">
        <v>30</v>
      </c>
      <c r="T7941" s="18" t="s">
        <v>17993</v>
      </c>
      <c r="U7941" s="18" t="s">
        <v>17994</v>
      </c>
      <c r="V7941" s="18"/>
      <c r="W7941" s="18"/>
      <c r="X7941" s="18" t="s">
        <v>3311</v>
      </c>
      <c r="Y7941" s="18" t="s">
        <v>17171</v>
      </c>
      <c r="Z7941" s="18" t="s">
        <v>10790</v>
      </c>
      <c r="AA7941" s="21"/>
    </row>
    <row r="7942" spans="1:27" x14ac:dyDescent="0.35">
      <c r="A7942">
        <v>1008529</v>
      </c>
      <c r="B7942">
        <v>7378</v>
      </c>
      <c r="C7942">
        <v>1</v>
      </c>
      <c r="D7942" s="17" t="s">
        <v>17166</v>
      </c>
      <c r="E7942" s="17"/>
      <c r="F7942" s="17" t="s">
        <v>17246</v>
      </c>
      <c r="G7942" s="17"/>
      <c r="H7942" s="17" t="s">
        <v>17984</v>
      </c>
      <c r="I7942" s="17"/>
      <c r="J7942" s="17" t="s">
        <v>17985</v>
      </c>
      <c r="K7942" s="17"/>
      <c r="L7942" s="17" t="s">
        <v>17986</v>
      </c>
      <c r="M7942" s="17"/>
      <c r="N7942" s="17" t="s">
        <v>17987</v>
      </c>
      <c r="O7942" s="17"/>
      <c r="P7942" s="17" t="s">
        <v>17988</v>
      </c>
      <c r="Q7942" s="17"/>
      <c r="R7942" s="25" t="str">
        <f>HYPERLINK("https://ictv.global/taxonomy/taxondetails?taxnode_id=202302462","Betatetravirus nudaureliae")</f>
        <v>Betatetravirus nudaureliae</v>
      </c>
      <c r="S7942" s="18" t="s">
        <v>30</v>
      </c>
      <c r="T7942" s="18" t="s">
        <v>17995</v>
      </c>
      <c r="U7942" s="18" t="s">
        <v>17996</v>
      </c>
      <c r="V7942" s="18"/>
      <c r="W7942" s="18" t="s">
        <v>17997</v>
      </c>
      <c r="X7942" s="18" t="s">
        <v>42</v>
      </c>
      <c r="Y7942" s="18" t="s">
        <v>17171</v>
      </c>
      <c r="Z7942" s="18" t="s">
        <v>10790</v>
      </c>
      <c r="AA7942" s="21" t="str">
        <f>HYPERLINK("https://www.ncbi.nlm.nih.gov/nuccore/AF102884","NCBI Nucleotide")</f>
        <v>NCBI Nucleotide</v>
      </c>
    </row>
    <row r="7943" spans="1:27" x14ac:dyDescent="0.35">
      <c r="A7943">
        <v>1008530</v>
      </c>
      <c r="B7943">
        <v>7379</v>
      </c>
      <c r="C7943">
        <v>1</v>
      </c>
      <c r="D7943" s="17" t="s">
        <v>17166</v>
      </c>
      <c r="E7943" s="17"/>
      <c r="F7943" s="17" t="s">
        <v>17246</v>
      </c>
      <c r="G7943" s="17"/>
      <c r="H7943" s="17" t="s">
        <v>17984</v>
      </c>
      <c r="I7943" s="17"/>
      <c r="J7943" s="17" t="s">
        <v>17985</v>
      </c>
      <c r="K7943" s="17"/>
      <c r="L7943" s="17" t="s">
        <v>17986</v>
      </c>
      <c r="M7943" s="17"/>
      <c r="N7943" s="17" t="s">
        <v>17987</v>
      </c>
      <c r="O7943" s="17"/>
      <c r="P7943" s="17" t="s">
        <v>17988</v>
      </c>
      <c r="Q7943" s="17"/>
      <c r="R7943" s="25" t="str">
        <f>HYPERLINK("https://ictv.global/taxonomy/taxondetails?taxnode_id=202302463","Betatetravirus philosamiae")</f>
        <v>Betatetravirus philosamiae</v>
      </c>
      <c r="S7943" s="18" t="s">
        <v>30</v>
      </c>
      <c r="T7943" s="18" t="s">
        <v>17998</v>
      </c>
      <c r="U7943" s="18" t="s">
        <v>17999</v>
      </c>
      <c r="V7943" s="18"/>
      <c r="W7943" s="18"/>
      <c r="X7943" s="18" t="s">
        <v>3311</v>
      </c>
      <c r="Y7943" s="18" t="s">
        <v>17171</v>
      </c>
      <c r="Z7943" s="18" t="s">
        <v>10790</v>
      </c>
      <c r="AA7943" s="21"/>
    </row>
    <row r="7944" spans="1:27" x14ac:dyDescent="0.35">
      <c r="A7944">
        <v>1008531</v>
      </c>
      <c r="B7944">
        <v>7380</v>
      </c>
      <c r="C7944">
        <v>1</v>
      </c>
      <c r="D7944" s="17" t="s">
        <v>17166</v>
      </c>
      <c r="E7944" s="17"/>
      <c r="F7944" s="17" t="s">
        <v>17246</v>
      </c>
      <c r="G7944" s="17"/>
      <c r="H7944" s="17" t="s">
        <v>17984</v>
      </c>
      <c r="I7944" s="17"/>
      <c r="J7944" s="17" t="s">
        <v>17985</v>
      </c>
      <c r="K7944" s="17"/>
      <c r="L7944" s="17" t="s">
        <v>17986</v>
      </c>
      <c r="M7944" s="17"/>
      <c r="N7944" s="17" t="s">
        <v>17987</v>
      </c>
      <c r="O7944" s="17"/>
      <c r="P7944" s="17" t="s">
        <v>17988</v>
      </c>
      <c r="Q7944" s="17"/>
      <c r="R7944" s="25" t="str">
        <f>HYPERLINK("https://ictv.global/taxonomy/taxondetails?taxnode_id=202302464","Betatetravirus pseudoplusiae")</f>
        <v>Betatetravirus pseudoplusiae</v>
      </c>
      <c r="S7944" s="18" t="s">
        <v>30</v>
      </c>
      <c r="T7944" s="18" t="s">
        <v>18000</v>
      </c>
      <c r="U7944" s="18" t="s">
        <v>18001</v>
      </c>
      <c r="V7944" s="18"/>
      <c r="W7944" s="18"/>
      <c r="X7944" s="18" t="s">
        <v>3311</v>
      </c>
      <c r="Y7944" s="18" t="s">
        <v>17171</v>
      </c>
      <c r="Z7944" s="18" t="s">
        <v>10790</v>
      </c>
      <c r="AA7944" s="21"/>
    </row>
    <row r="7945" spans="1:27" x14ac:dyDescent="0.35">
      <c r="A7945">
        <v>1008532</v>
      </c>
      <c r="B7945">
        <v>7381</v>
      </c>
      <c r="C7945">
        <v>1</v>
      </c>
      <c r="D7945" s="17" t="s">
        <v>17166</v>
      </c>
      <c r="E7945" s="17"/>
      <c r="F7945" s="17" t="s">
        <v>17246</v>
      </c>
      <c r="G7945" s="17"/>
      <c r="H7945" s="17" t="s">
        <v>17984</v>
      </c>
      <c r="I7945" s="17"/>
      <c r="J7945" s="17" t="s">
        <v>17985</v>
      </c>
      <c r="K7945" s="17"/>
      <c r="L7945" s="17" t="s">
        <v>17986</v>
      </c>
      <c r="M7945" s="17"/>
      <c r="N7945" s="17" t="s">
        <v>17987</v>
      </c>
      <c r="O7945" s="17"/>
      <c r="P7945" s="17" t="s">
        <v>17988</v>
      </c>
      <c r="Q7945" s="17"/>
      <c r="R7945" s="25" t="str">
        <f>HYPERLINK("https://ictv.global/taxonomy/taxondetails?taxnode_id=202302465","Betatetravirus trichoplusiae")</f>
        <v>Betatetravirus trichoplusiae</v>
      </c>
      <c r="S7945" s="18" t="s">
        <v>30</v>
      </c>
      <c r="T7945" s="18" t="s">
        <v>18002</v>
      </c>
      <c r="U7945" s="18" t="s">
        <v>18003</v>
      </c>
      <c r="V7945" s="18"/>
      <c r="W7945" s="18"/>
      <c r="X7945" s="18" t="s">
        <v>3311</v>
      </c>
      <c r="Y7945" s="18" t="s">
        <v>17171</v>
      </c>
      <c r="Z7945" s="18" t="s">
        <v>10790</v>
      </c>
      <c r="AA7945" s="21"/>
    </row>
    <row r="7946" spans="1:27" x14ac:dyDescent="0.35">
      <c r="A7946">
        <v>1008533</v>
      </c>
      <c r="B7946">
        <v>7382</v>
      </c>
      <c r="C7946">
        <v>1</v>
      </c>
      <c r="D7946" s="17" t="s">
        <v>17166</v>
      </c>
      <c r="E7946" s="17"/>
      <c r="F7946" s="17" t="s">
        <v>17246</v>
      </c>
      <c r="G7946" s="17"/>
      <c r="H7946" s="17" t="s">
        <v>17984</v>
      </c>
      <c r="I7946" s="17"/>
      <c r="J7946" s="17" t="s">
        <v>17985</v>
      </c>
      <c r="K7946" s="17"/>
      <c r="L7946" s="17" t="s">
        <v>17986</v>
      </c>
      <c r="M7946" s="17"/>
      <c r="N7946" s="17" t="s">
        <v>17987</v>
      </c>
      <c r="O7946" s="17"/>
      <c r="P7946" s="17" t="s">
        <v>18004</v>
      </c>
      <c r="Q7946" s="17"/>
      <c r="R7946" s="25" t="str">
        <f>HYPERLINK("https://ictv.global/taxonomy/taxondetails?taxnode_id=202302467","Omegatetravirus dendrolimi")</f>
        <v>Omegatetravirus dendrolimi</v>
      </c>
      <c r="S7946" s="18" t="s">
        <v>30</v>
      </c>
      <c r="T7946" s="18" t="s">
        <v>18005</v>
      </c>
      <c r="U7946" s="18" t="s">
        <v>18006</v>
      </c>
      <c r="V7946" s="18"/>
      <c r="W7946" s="18" t="s">
        <v>18007</v>
      </c>
      <c r="X7946" s="18" t="s">
        <v>42</v>
      </c>
      <c r="Y7946" s="18" t="s">
        <v>17171</v>
      </c>
      <c r="Z7946" s="18" t="s">
        <v>10790</v>
      </c>
      <c r="AA7946" s="21" t="str">
        <f>HYPERLINK("https://www.ncbi.nlm.nih.gov/nuccore/AY594352,AY594353","NCBI Nucleotide")</f>
        <v>NCBI Nucleotide</v>
      </c>
    </row>
    <row r="7947" spans="1:27" x14ac:dyDescent="0.35">
      <c r="A7947">
        <v>1008534</v>
      </c>
      <c r="B7947">
        <v>7383</v>
      </c>
      <c r="C7947">
        <v>1</v>
      </c>
      <c r="D7947" s="17" t="s">
        <v>17166</v>
      </c>
      <c r="E7947" s="17"/>
      <c r="F7947" s="17" t="s">
        <v>17246</v>
      </c>
      <c r="G7947" s="17"/>
      <c r="H7947" s="17" t="s">
        <v>17984</v>
      </c>
      <c r="I7947" s="17"/>
      <c r="J7947" s="17" t="s">
        <v>17985</v>
      </c>
      <c r="K7947" s="17"/>
      <c r="L7947" s="17" t="s">
        <v>17986</v>
      </c>
      <c r="M7947" s="17"/>
      <c r="N7947" s="17" t="s">
        <v>17987</v>
      </c>
      <c r="O7947" s="17"/>
      <c r="P7947" s="17" t="s">
        <v>18004</v>
      </c>
      <c r="Q7947" s="17"/>
      <c r="R7947" s="25" t="str">
        <f>HYPERLINK("https://ictv.global/taxonomy/taxondetails?taxnode_id=202302468","Omegatetravirus helicoverpae")</f>
        <v>Omegatetravirus helicoverpae</v>
      </c>
      <c r="S7947" s="18" t="s">
        <v>30</v>
      </c>
      <c r="T7947" s="18" t="s">
        <v>18008</v>
      </c>
      <c r="U7947" s="18" t="s">
        <v>18009</v>
      </c>
      <c r="V7947" s="18"/>
      <c r="W7947" s="18" t="s">
        <v>50522</v>
      </c>
      <c r="X7947" s="18" t="s">
        <v>42</v>
      </c>
      <c r="Y7947" s="18" t="s">
        <v>17171</v>
      </c>
      <c r="Z7947" s="18" t="s">
        <v>10790</v>
      </c>
      <c r="AA7947" s="21" t="str">
        <f>HYPERLINK("https://www.ncbi.nlm.nih.gov/nuccore/U18246,L37299","NCBI Nucleotide")</f>
        <v>NCBI Nucleotide</v>
      </c>
    </row>
    <row r="7948" spans="1:27" x14ac:dyDescent="0.35">
      <c r="A7948">
        <v>1008535</v>
      </c>
      <c r="B7948">
        <v>7384</v>
      </c>
      <c r="C7948">
        <v>1</v>
      </c>
      <c r="D7948" s="17" t="s">
        <v>17166</v>
      </c>
      <c r="E7948" s="17"/>
      <c r="F7948" s="17" t="s">
        <v>17246</v>
      </c>
      <c r="G7948" s="17"/>
      <c r="H7948" s="17" t="s">
        <v>17984</v>
      </c>
      <c r="I7948" s="17"/>
      <c r="J7948" s="17" t="s">
        <v>17985</v>
      </c>
      <c r="K7948" s="17"/>
      <c r="L7948" s="17" t="s">
        <v>17986</v>
      </c>
      <c r="M7948" s="17"/>
      <c r="N7948" s="17" t="s">
        <v>17987</v>
      </c>
      <c r="O7948" s="17"/>
      <c r="P7948" s="17" t="s">
        <v>18004</v>
      </c>
      <c r="Q7948" s="17"/>
      <c r="R7948" s="25" t="str">
        <f>HYPERLINK("https://ictv.global/taxonomy/taxondetails?taxnode_id=202302469","Omegatetravirus nudaureliae")</f>
        <v>Omegatetravirus nudaureliae</v>
      </c>
      <c r="S7948" s="18" t="s">
        <v>30</v>
      </c>
      <c r="T7948" s="18" t="s">
        <v>18010</v>
      </c>
      <c r="U7948" s="18" t="s">
        <v>18011</v>
      </c>
      <c r="V7948" s="18"/>
      <c r="W7948" s="18" t="s">
        <v>18012</v>
      </c>
      <c r="X7948" s="18" t="s">
        <v>154</v>
      </c>
      <c r="Y7948" s="18" t="s">
        <v>17171</v>
      </c>
      <c r="Z7948" s="18" t="s">
        <v>10790</v>
      </c>
      <c r="AA7948" s="21" t="str">
        <f>HYPERLINK("https://www.ncbi.nlm.nih.gov/nuccore/S43937","NCBI Nucleotide")</f>
        <v>NCBI Nucleotide</v>
      </c>
    </row>
    <row r="7949" spans="1:27" x14ac:dyDescent="0.35">
      <c r="A7949">
        <v>1008538</v>
      </c>
      <c r="B7949">
        <v>7385</v>
      </c>
      <c r="C7949">
        <v>1</v>
      </c>
      <c r="D7949" s="17" t="s">
        <v>17166</v>
      </c>
      <c r="E7949" s="17"/>
      <c r="F7949" s="17" t="s">
        <v>17246</v>
      </c>
      <c r="G7949" s="17"/>
      <c r="H7949" s="17" t="s">
        <v>17984</v>
      </c>
      <c r="I7949" s="17"/>
      <c r="J7949" s="17" t="s">
        <v>17985</v>
      </c>
      <c r="K7949" s="17"/>
      <c r="L7949" s="17" t="s">
        <v>17986</v>
      </c>
      <c r="M7949" s="17"/>
      <c r="N7949" s="17" t="s">
        <v>18013</v>
      </c>
      <c r="O7949" s="17"/>
      <c r="P7949" s="17" t="s">
        <v>18014</v>
      </c>
      <c r="Q7949" s="17"/>
      <c r="R7949" s="25" t="str">
        <f>HYPERLINK("https://ictv.global/taxonomy/taxondetails?taxnode_id=202302735","Benyvirus arctii")</f>
        <v>Benyvirus arctii</v>
      </c>
      <c r="S7949" s="18" t="s">
        <v>30</v>
      </c>
      <c r="T7949" s="18" t="s">
        <v>18021</v>
      </c>
      <c r="U7949" s="18" t="s">
        <v>18022</v>
      </c>
      <c r="V7949" s="18" t="s">
        <v>18017</v>
      </c>
      <c r="W7949" s="18" t="s">
        <v>18023</v>
      </c>
      <c r="X7949" s="18" t="s">
        <v>42</v>
      </c>
      <c r="Y7949" s="18" t="s">
        <v>17171</v>
      </c>
      <c r="Z7949" s="18" t="s">
        <v>13441</v>
      </c>
      <c r="AA7949" s="21" t="str">
        <f>HYPERLINK("https://www.ncbi.nlm.nih.gov/nuccore/AB818898,AB818899","NCBI Nucleotide")</f>
        <v>NCBI Nucleotide</v>
      </c>
    </row>
    <row r="7950" spans="1:27" x14ac:dyDescent="0.35">
      <c r="A7950">
        <v>1008536</v>
      </c>
      <c r="B7950">
        <v>7386</v>
      </c>
      <c r="C7950">
        <v>1</v>
      </c>
      <c r="D7950" s="17" t="s">
        <v>17166</v>
      </c>
      <c r="E7950" s="17"/>
      <c r="F7950" s="17" t="s">
        <v>17246</v>
      </c>
      <c r="G7950" s="17"/>
      <c r="H7950" s="17" t="s">
        <v>17984</v>
      </c>
      <c r="I7950" s="17"/>
      <c r="J7950" s="17" t="s">
        <v>17985</v>
      </c>
      <c r="K7950" s="17"/>
      <c r="L7950" s="17" t="s">
        <v>17986</v>
      </c>
      <c r="M7950" s="17"/>
      <c r="N7950" s="17" t="s">
        <v>18013</v>
      </c>
      <c r="O7950" s="17"/>
      <c r="P7950" s="17" t="s">
        <v>18014</v>
      </c>
      <c r="Q7950" s="17"/>
      <c r="R7950" s="25" t="str">
        <f>HYPERLINK("https://ictv.global/taxonomy/taxondetails?taxnode_id=202302733","Benyvirus necrobetae")</f>
        <v>Benyvirus necrobetae</v>
      </c>
      <c r="S7950" s="18" t="s">
        <v>30</v>
      </c>
      <c r="T7950" s="18" t="s">
        <v>18015</v>
      </c>
      <c r="U7950" s="18" t="s">
        <v>18016</v>
      </c>
      <c r="V7950" s="18" t="s">
        <v>18017</v>
      </c>
      <c r="W7950" s="18" t="s">
        <v>50523</v>
      </c>
      <c r="X7950" s="18" t="s">
        <v>42</v>
      </c>
      <c r="Y7950" s="18" t="s">
        <v>17171</v>
      </c>
      <c r="Z7950" s="18" t="s">
        <v>13441</v>
      </c>
      <c r="AA7950" s="21" t="str">
        <f>HYPERLINK("https://www.ncbi.nlm.nih.gov/nuccore/D84410,D84411,D84412,D84413,D63936","NCBI Nucleotide")</f>
        <v>NCBI Nucleotide</v>
      </c>
    </row>
    <row r="7951" spans="1:27" x14ac:dyDescent="0.35">
      <c r="A7951">
        <v>1008539</v>
      </c>
      <c r="B7951">
        <v>7387</v>
      </c>
      <c r="C7951">
        <v>1</v>
      </c>
      <c r="D7951" s="17" t="s">
        <v>17166</v>
      </c>
      <c r="E7951" s="17"/>
      <c r="F7951" s="17" t="s">
        <v>17246</v>
      </c>
      <c r="G7951" s="17"/>
      <c r="H7951" s="17" t="s">
        <v>17984</v>
      </c>
      <c r="I7951" s="17"/>
      <c r="J7951" s="17" t="s">
        <v>17985</v>
      </c>
      <c r="K7951" s="17"/>
      <c r="L7951" s="17" t="s">
        <v>17986</v>
      </c>
      <c r="M7951" s="17"/>
      <c r="N7951" s="17" t="s">
        <v>18013</v>
      </c>
      <c r="O7951" s="17"/>
      <c r="P7951" s="17" t="s">
        <v>18014</v>
      </c>
      <c r="Q7951" s="17"/>
      <c r="R7951" s="25" t="str">
        <f>HYPERLINK("https://ictv.global/taxonomy/taxondetails?taxnode_id=202302736","Benyvirus oryzae")</f>
        <v>Benyvirus oryzae</v>
      </c>
      <c r="S7951" s="18" t="s">
        <v>30</v>
      </c>
      <c r="T7951" s="18" t="s">
        <v>18024</v>
      </c>
      <c r="U7951" s="18" t="s">
        <v>18025</v>
      </c>
      <c r="V7951" s="18" t="s">
        <v>18026</v>
      </c>
      <c r="W7951" s="18" t="s">
        <v>18027</v>
      </c>
      <c r="X7951" s="18" t="s">
        <v>42</v>
      </c>
      <c r="Y7951" s="18" t="s">
        <v>17171</v>
      </c>
      <c r="Z7951" s="18" t="s">
        <v>13441</v>
      </c>
      <c r="AA7951" s="21" t="str">
        <f>HYPERLINK("https://www.ncbi.nlm.nih.gov/nuccore/EU099844,EU099845","NCBI Nucleotide")</f>
        <v>NCBI Nucleotide</v>
      </c>
    </row>
    <row r="7952" spans="1:27" x14ac:dyDescent="0.35">
      <c r="A7952">
        <v>1008537</v>
      </c>
      <c r="B7952">
        <v>7388</v>
      </c>
      <c r="C7952">
        <v>1</v>
      </c>
      <c r="D7952" s="17" t="s">
        <v>17166</v>
      </c>
      <c r="E7952" s="17"/>
      <c r="F7952" s="17" t="s">
        <v>17246</v>
      </c>
      <c r="G7952" s="17"/>
      <c r="H7952" s="17" t="s">
        <v>17984</v>
      </c>
      <c r="I7952" s="17"/>
      <c r="J7952" s="17" t="s">
        <v>17985</v>
      </c>
      <c r="K7952" s="17"/>
      <c r="L7952" s="17" t="s">
        <v>17986</v>
      </c>
      <c r="M7952" s="17"/>
      <c r="N7952" s="17" t="s">
        <v>18013</v>
      </c>
      <c r="O7952" s="17"/>
      <c r="P7952" s="17" t="s">
        <v>18014</v>
      </c>
      <c r="Q7952" s="17"/>
      <c r="R7952" s="25" t="str">
        <f>HYPERLINK("https://ictv.global/taxonomy/taxondetails?taxnode_id=202302734","Benyvirus solibetae")</f>
        <v>Benyvirus solibetae</v>
      </c>
      <c r="S7952" s="18" t="s">
        <v>30</v>
      </c>
      <c r="T7952" s="18" t="s">
        <v>18018</v>
      </c>
      <c r="U7952" s="18" t="s">
        <v>18019</v>
      </c>
      <c r="V7952" s="18" t="s">
        <v>18020</v>
      </c>
      <c r="W7952" s="18" t="s">
        <v>50524</v>
      </c>
      <c r="X7952" s="18" t="s">
        <v>42</v>
      </c>
      <c r="Y7952" s="18" t="s">
        <v>17171</v>
      </c>
      <c r="Z7952" s="18" t="s">
        <v>13441</v>
      </c>
      <c r="AA7952" s="21" t="str">
        <f>HYPERLINK("https://www.ncbi.nlm.nih.gov/nuccore/JF513082,JF513083,EU410955,FJ424610","NCBI Nucleotide")</f>
        <v>NCBI Nucleotide</v>
      </c>
    </row>
    <row r="7953" spans="1:27" x14ac:dyDescent="0.35">
      <c r="A7953">
        <v>1008540</v>
      </c>
      <c r="B7953">
        <v>7389</v>
      </c>
      <c r="C7953">
        <v>1</v>
      </c>
      <c r="D7953" s="17" t="s">
        <v>17166</v>
      </c>
      <c r="E7953" s="17"/>
      <c r="F7953" s="17" t="s">
        <v>17246</v>
      </c>
      <c r="G7953" s="17"/>
      <c r="H7953" s="17" t="s">
        <v>17984</v>
      </c>
      <c r="I7953" s="17"/>
      <c r="J7953" s="17" t="s">
        <v>17985</v>
      </c>
      <c r="K7953" s="17"/>
      <c r="L7953" s="17" t="s">
        <v>17986</v>
      </c>
      <c r="M7953" s="17"/>
      <c r="N7953" s="17" t="s">
        <v>18028</v>
      </c>
      <c r="O7953" s="17" t="s">
        <v>18029</v>
      </c>
      <c r="P7953" s="17" t="s">
        <v>18030</v>
      </c>
      <c r="Q7953" s="17"/>
      <c r="R7953" s="25" t="str">
        <f>HYPERLINK("https://ictv.global/taxonomy/taxondetails?taxnode_id=202313887","Avihepevirus egretti")</f>
        <v>Avihepevirus egretti</v>
      </c>
      <c r="S7953" s="18" t="s">
        <v>30</v>
      </c>
      <c r="T7953" s="18" t="s">
        <v>18031</v>
      </c>
      <c r="U7953" s="18" t="s">
        <v>18032</v>
      </c>
      <c r="V7953" s="18" t="s">
        <v>18033</v>
      </c>
      <c r="W7953" s="18" t="s">
        <v>18034</v>
      </c>
      <c r="X7953" s="18" t="s">
        <v>42</v>
      </c>
      <c r="Y7953" s="18" t="s">
        <v>17171</v>
      </c>
      <c r="Z7953" s="18" t="s">
        <v>166</v>
      </c>
      <c r="AA7953" s="21" t="str">
        <f>HYPERLINK("https://www.ncbi.nlm.nih.gov/nuccore/KX589065","NCBI Nucleotide")</f>
        <v>NCBI Nucleotide</v>
      </c>
    </row>
    <row r="7954" spans="1:27" x14ac:dyDescent="0.35">
      <c r="A7954">
        <v>1008541</v>
      </c>
      <c r="B7954">
        <v>7390</v>
      </c>
      <c r="C7954">
        <v>1</v>
      </c>
      <c r="D7954" s="17" t="s">
        <v>17166</v>
      </c>
      <c r="E7954" s="17"/>
      <c r="F7954" s="17" t="s">
        <v>17246</v>
      </c>
      <c r="G7954" s="17"/>
      <c r="H7954" s="17" t="s">
        <v>17984</v>
      </c>
      <c r="I7954" s="17"/>
      <c r="J7954" s="17" t="s">
        <v>17985</v>
      </c>
      <c r="K7954" s="17"/>
      <c r="L7954" s="17" t="s">
        <v>17986</v>
      </c>
      <c r="M7954" s="17"/>
      <c r="N7954" s="17" t="s">
        <v>18028</v>
      </c>
      <c r="O7954" s="17" t="s">
        <v>18029</v>
      </c>
      <c r="P7954" s="17" t="s">
        <v>18030</v>
      </c>
      <c r="Q7954" s="17"/>
      <c r="R7954" s="25" t="str">
        <f>HYPERLINK("https://ictv.global/taxonomy/taxondetails?taxnode_id=202303666","Avihepevirus magniiecur")</f>
        <v>Avihepevirus magniiecur</v>
      </c>
      <c r="S7954" s="18" t="s">
        <v>30</v>
      </c>
      <c r="T7954" s="18" t="s">
        <v>18035</v>
      </c>
      <c r="U7954" s="18" t="s">
        <v>18036</v>
      </c>
      <c r="V7954" s="18"/>
      <c r="W7954" s="18" t="s">
        <v>18037</v>
      </c>
      <c r="X7954" s="18" t="s">
        <v>42</v>
      </c>
      <c r="Y7954" s="18" t="s">
        <v>17171</v>
      </c>
      <c r="Z7954" s="18" t="s">
        <v>166</v>
      </c>
      <c r="AA7954" s="21" t="str">
        <f>HYPERLINK("https://www.ncbi.nlm.nih.gov/nuccore/AY535004","NCBI Nucleotide")</f>
        <v>NCBI Nucleotide</v>
      </c>
    </row>
    <row r="7955" spans="1:27" x14ac:dyDescent="0.35">
      <c r="A7955">
        <v>1012731</v>
      </c>
      <c r="B7955">
        <v>7390</v>
      </c>
      <c r="C7955">
        <v>2</v>
      </c>
      <c r="D7955" s="17" t="s">
        <v>17166</v>
      </c>
      <c r="E7955" s="17"/>
      <c r="F7955" s="17" t="s">
        <v>17246</v>
      </c>
      <c r="G7955" s="17"/>
      <c r="H7955" s="17" t="s">
        <v>17984</v>
      </c>
      <c r="I7955" s="17"/>
      <c r="J7955" s="17" t="s">
        <v>17985</v>
      </c>
      <c r="K7955" s="17"/>
      <c r="L7955" s="17" t="s">
        <v>17986</v>
      </c>
      <c r="M7955" s="17"/>
      <c r="N7955" s="17" t="s">
        <v>18028</v>
      </c>
      <c r="O7955" s="17" t="s">
        <v>18029</v>
      </c>
      <c r="P7955" s="17" t="s">
        <v>18030</v>
      </c>
      <c r="Q7955" s="17"/>
      <c r="R7955" s="25" t="str">
        <f>HYPERLINK("https://ictv.global/taxonomy/taxondetails?taxnode_id=202303666","Avihepevirus magniiecur")</f>
        <v>Avihepevirus magniiecur</v>
      </c>
      <c r="S7955" s="18" t="s">
        <v>8141</v>
      </c>
      <c r="T7955" s="18" t="s">
        <v>18035</v>
      </c>
      <c r="U7955" s="18" t="s">
        <v>18036</v>
      </c>
      <c r="V7955" s="18"/>
      <c r="W7955" s="18" t="s">
        <v>49287</v>
      </c>
      <c r="X7955" s="18" t="s">
        <v>35</v>
      </c>
      <c r="Y7955" s="18" t="s">
        <v>17171</v>
      </c>
      <c r="Z7955" s="18" t="s">
        <v>166</v>
      </c>
      <c r="AA7955" s="21" t="str">
        <f>HYPERLINK("https://www.ncbi.nlm.nih.gov/nuccore/EF206691","NCBI Nucleotide")</f>
        <v>NCBI Nucleotide</v>
      </c>
    </row>
    <row r="7956" spans="1:27" x14ac:dyDescent="0.35">
      <c r="A7956">
        <v>1012732</v>
      </c>
      <c r="B7956">
        <v>7390</v>
      </c>
      <c r="C7956">
        <v>3</v>
      </c>
      <c r="D7956" s="17" t="s">
        <v>17166</v>
      </c>
      <c r="E7956" s="17"/>
      <c r="F7956" s="17" t="s">
        <v>17246</v>
      </c>
      <c r="G7956" s="17"/>
      <c r="H7956" s="17" t="s">
        <v>17984</v>
      </c>
      <c r="I7956" s="17"/>
      <c r="J7956" s="17" t="s">
        <v>17985</v>
      </c>
      <c r="K7956" s="17"/>
      <c r="L7956" s="17" t="s">
        <v>17986</v>
      </c>
      <c r="M7956" s="17"/>
      <c r="N7956" s="17" t="s">
        <v>18028</v>
      </c>
      <c r="O7956" s="17" t="s">
        <v>18029</v>
      </c>
      <c r="P7956" s="17" t="s">
        <v>18030</v>
      </c>
      <c r="Q7956" s="17"/>
      <c r="R7956" s="25" t="str">
        <f>HYPERLINK("https://ictv.global/taxonomy/taxondetails?taxnode_id=202303666","Avihepevirus magniiecur")</f>
        <v>Avihepevirus magniiecur</v>
      </c>
      <c r="S7956" s="18" t="s">
        <v>8141</v>
      </c>
      <c r="T7956" s="18" t="s">
        <v>18035</v>
      </c>
      <c r="U7956" s="18" t="s">
        <v>18036</v>
      </c>
      <c r="V7956" s="18" t="s">
        <v>18038</v>
      </c>
      <c r="W7956" s="18" t="s">
        <v>49288</v>
      </c>
      <c r="X7956" s="18" t="s">
        <v>42</v>
      </c>
      <c r="Y7956" s="18" t="s">
        <v>17171</v>
      </c>
      <c r="Z7956" s="18" t="s">
        <v>166</v>
      </c>
      <c r="AA7956" s="21" t="str">
        <f>HYPERLINK("https://www.ncbi.nlm.nih.gov/nuccore/GU954430","NCBI Nucleotide")</f>
        <v>NCBI Nucleotide</v>
      </c>
    </row>
    <row r="7957" spans="1:27" x14ac:dyDescent="0.35">
      <c r="A7957">
        <v>1012733</v>
      </c>
      <c r="B7957">
        <v>7390</v>
      </c>
      <c r="C7957">
        <v>4</v>
      </c>
      <c r="D7957" s="17" t="s">
        <v>17166</v>
      </c>
      <c r="E7957" s="17"/>
      <c r="F7957" s="17" t="s">
        <v>17246</v>
      </c>
      <c r="G7957" s="17"/>
      <c r="H7957" s="17" t="s">
        <v>17984</v>
      </c>
      <c r="I7957" s="17"/>
      <c r="J7957" s="17" t="s">
        <v>17985</v>
      </c>
      <c r="K7957" s="17"/>
      <c r="L7957" s="17" t="s">
        <v>17986</v>
      </c>
      <c r="M7957" s="17"/>
      <c r="N7957" s="17" t="s">
        <v>18028</v>
      </c>
      <c r="O7957" s="17" t="s">
        <v>18029</v>
      </c>
      <c r="P7957" s="17" t="s">
        <v>18030</v>
      </c>
      <c r="Q7957" s="17"/>
      <c r="R7957" s="25" t="str">
        <f>HYPERLINK("https://ictv.global/taxonomy/taxondetails?taxnode_id=202303666","Avihepevirus magniiecur")</f>
        <v>Avihepevirus magniiecur</v>
      </c>
      <c r="S7957" s="18" t="s">
        <v>8141</v>
      </c>
      <c r="T7957" s="18" t="s">
        <v>18035</v>
      </c>
      <c r="U7957" s="18" t="s">
        <v>18036</v>
      </c>
      <c r="V7957" s="18" t="s">
        <v>18039</v>
      </c>
      <c r="W7957" s="18" t="s">
        <v>49289</v>
      </c>
      <c r="X7957" s="18" t="s">
        <v>42</v>
      </c>
      <c r="Y7957" s="18" t="s">
        <v>17171</v>
      </c>
      <c r="Z7957" s="18" t="s">
        <v>166</v>
      </c>
      <c r="AA7957" s="21" t="str">
        <f>HYPERLINK("https://www.ncbi.nlm.nih.gov/nuccore/JN597006","NCBI Nucleotide")</f>
        <v>NCBI Nucleotide</v>
      </c>
    </row>
    <row r="7958" spans="1:27" x14ac:dyDescent="0.35">
      <c r="A7958">
        <v>1008542</v>
      </c>
      <c r="B7958">
        <v>7391</v>
      </c>
      <c r="C7958">
        <v>1</v>
      </c>
      <c r="D7958" s="17" t="s">
        <v>17166</v>
      </c>
      <c r="E7958" s="17"/>
      <c r="F7958" s="17" t="s">
        <v>17246</v>
      </c>
      <c r="G7958" s="17"/>
      <c r="H7958" s="17" t="s">
        <v>17984</v>
      </c>
      <c r="I7958" s="17"/>
      <c r="J7958" s="17" t="s">
        <v>17985</v>
      </c>
      <c r="K7958" s="17"/>
      <c r="L7958" s="17" t="s">
        <v>17986</v>
      </c>
      <c r="M7958" s="17"/>
      <c r="N7958" s="17" t="s">
        <v>18028</v>
      </c>
      <c r="O7958" s="17" t="s">
        <v>18029</v>
      </c>
      <c r="P7958" s="17" t="s">
        <v>18040</v>
      </c>
      <c r="Q7958" s="17"/>
      <c r="R7958" s="25" t="str">
        <f>HYPERLINK("https://ictv.global/taxonomy/taxondetails?taxnode_id=202313892","Chirohepevirus desmodi")</f>
        <v>Chirohepevirus desmodi</v>
      </c>
      <c r="S7958" s="18" t="s">
        <v>30</v>
      </c>
      <c r="T7958" s="18" t="s">
        <v>18041</v>
      </c>
      <c r="U7958" s="18" t="s">
        <v>18042</v>
      </c>
      <c r="V7958" s="18" t="s">
        <v>18043</v>
      </c>
      <c r="W7958" s="18" t="s">
        <v>18044</v>
      </c>
      <c r="X7958" s="18" t="s">
        <v>42</v>
      </c>
      <c r="Y7958" s="18" t="s">
        <v>17171</v>
      </c>
      <c r="Z7958" s="18" t="s">
        <v>166</v>
      </c>
      <c r="AA7958" s="21" t="str">
        <f>HYPERLINK("https://www.ncbi.nlm.nih.gov/nuccore/MW249011","NCBI Nucleotide")</f>
        <v>NCBI Nucleotide</v>
      </c>
    </row>
    <row r="7959" spans="1:27" x14ac:dyDescent="0.35">
      <c r="A7959">
        <v>1008543</v>
      </c>
      <c r="B7959">
        <v>7392</v>
      </c>
      <c r="C7959">
        <v>1</v>
      </c>
      <c r="D7959" s="17" t="s">
        <v>17166</v>
      </c>
      <c r="E7959" s="17"/>
      <c r="F7959" s="17" t="s">
        <v>17246</v>
      </c>
      <c r="G7959" s="17"/>
      <c r="H7959" s="17" t="s">
        <v>17984</v>
      </c>
      <c r="I7959" s="17"/>
      <c r="J7959" s="17" t="s">
        <v>17985</v>
      </c>
      <c r="K7959" s="17"/>
      <c r="L7959" s="17" t="s">
        <v>17986</v>
      </c>
      <c r="M7959" s="17"/>
      <c r="N7959" s="17" t="s">
        <v>18028</v>
      </c>
      <c r="O7959" s="17" t="s">
        <v>18029</v>
      </c>
      <c r="P7959" s="17" t="s">
        <v>18040</v>
      </c>
      <c r="Q7959" s="17"/>
      <c r="R7959" s="25" t="str">
        <f>HYPERLINK("https://ictv.global/taxonomy/taxondetails?taxnode_id=202303668","Chirohepevirus eptesici")</f>
        <v>Chirohepevirus eptesici</v>
      </c>
      <c r="S7959" s="18" t="s">
        <v>30</v>
      </c>
      <c r="T7959" s="18" t="s">
        <v>18045</v>
      </c>
      <c r="U7959" s="18" t="s">
        <v>18046</v>
      </c>
      <c r="V7959" s="18" t="s">
        <v>18047</v>
      </c>
      <c r="W7959" s="18" t="s">
        <v>18048</v>
      </c>
      <c r="X7959" s="18" t="s">
        <v>42</v>
      </c>
      <c r="Y7959" s="18" t="s">
        <v>17171</v>
      </c>
      <c r="Z7959" s="18" t="s">
        <v>166</v>
      </c>
      <c r="AA7959" s="21" t="str">
        <f>HYPERLINK("https://www.ncbi.nlm.nih.gov/nuccore/JQ001749","NCBI Nucleotide")</f>
        <v>NCBI Nucleotide</v>
      </c>
    </row>
    <row r="7960" spans="1:27" x14ac:dyDescent="0.35">
      <c r="A7960">
        <v>1008544</v>
      </c>
      <c r="B7960">
        <v>7393</v>
      </c>
      <c r="C7960">
        <v>1</v>
      </c>
      <c r="D7960" s="17" t="s">
        <v>17166</v>
      </c>
      <c r="E7960" s="17"/>
      <c r="F7960" s="17" t="s">
        <v>17246</v>
      </c>
      <c r="G7960" s="17"/>
      <c r="H7960" s="17" t="s">
        <v>17984</v>
      </c>
      <c r="I7960" s="17"/>
      <c r="J7960" s="17" t="s">
        <v>17985</v>
      </c>
      <c r="K7960" s="17"/>
      <c r="L7960" s="17" t="s">
        <v>17986</v>
      </c>
      <c r="M7960" s="17"/>
      <c r="N7960" s="17" t="s">
        <v>18028</v>
      </c>
      <c r="O7960" s="17" t="s">
        <v>18029</v>
      </c>
      <c r="P7960" s="17" t="s">
        <v>18040</v>
      </c>
      <c r="Q7960" s="17"/>
      <c r="R7960" s="25" t="str">
        <f>HYPERLINK("https://ictv.global/taxonomy/taxondetails?taxnode_id=202313891","Chirohepevirus rhinolophi")</f>
        <v>Chirohepevirus rhinolophi</v>
      </c>
      <c r="S7960" s="18" t="s">
        <v>30</v>
      </c>
      <c r="T7960" s="18" t="s">
        <v>18049</v>
      </c>
      <c r="U7960" s="18" t="s">
        <v>18050</v>
      </c>
      <c r="V7960" s="18" t="s">
        <v>18051</v>
      </c>
      <c r="W7960" s="18" t="s">
        <v>18052</v>
      </c>
      <c r="X7960" s="18" t="s">
        <v>35</v>
      </c>
      <c r="Y7960" s="18" t="s">
        <v>17171</v>
      </c>
      <c r="Z7960" s="18" t="s">
        <v>166</v>
      </c>
      <c r="AA7960" s="21" t="str">
        <f>HYPERLINK("https://www.ncbi.nlm.nih.gov/nuccore/KJ562187","NCBI Nucleotide")</f>
        <v>NCBI Nucleotide</v>
      </c>
    </row>
    <row r="7961" spans="1:27" x14ac:dyDescent="0.35">
      <c r="A7961">
        <v>1008545</v>
      </c>
      <c r="B7961">
        <v>7394</v>
      </c>
      <c r="C7961">
        <v>1</v>
      </c>
      <c r="D7961" s="17" t="s">
        <v>17166</v>
      </c>
      <c r="E7961" s="17"/>
      <c r="F7961" s="17" t="s">
        <v>17246</v>
      </c>
      <c r="G7961" s="17"/>
      <c r="H7961" s="17" t="s">
        <v>17984</v>
      </c>
      <c r="I7961" s="17"/>
      <c r="J7961" s="17" t="s">
        <v>17985</v>
      </c>
      <c r="K7961" s="17"/>
      <c r="L7961" s="17" t="s">
        <v>17986</v>
      </c>
      <c r="M7961" s="17"/>
      <c r="N7961" s="17" t="s">
        <v>18028</v>
      </c>
      <c r="O7961" s="17" t="s">
        <v>18029</v>
      </c>
      <c r="P7961" s="17" t="s">
        <v>18053</v>
      </c>
      <c r="Q7961" s="17"/>
      <c r="R7961" s="25" t="str">
        <f>HYPERLINK("https://ictv.global/taxonomy/taxondetails?taxnode_id=202313885","Paslahepevirus alci")</f>
        <v>Paslahepevirus alci</v>
      </c>
      <c r="S7961" s="18" t="s">
        <v>30</v>
      </c>
      <c r="T7961" s="18" t="s">
        <v>18054</v>
      </c>
      <c r="U7961" s="18" t="s">
        <v>18055</v>
      </c>
      <c r="V7961" s="18" t="s">
        <v>18056</v>
      </c>
      <c r="W7961" s="18" t="s">
        <v>18057</v>
      </c>
      <c r="X7961" s="18" t="s">
        <v>35</v>
      </c>
      <c r="Y7961" s="18" t="s">
        <v>17171</v>
      </c>
      <c r="Z7961" s="18" t="s">
        <v>166</v>
      </c>
      <c r="AA7961" s="21" t="str">
        <f>HYPERLINK("https://www.ncbi.nlm.nih.gov/nuccore/KF951328","NCBI Nucleotide")</f>
        <v>NCBI Nucleotide</v>
      </c>
    </row>
    <row r="7962" spans="1:27" x14ac:dyDescent="0.35">
      <c r="A7962">
        <v>1008546</v>
      </c>
      <c r="B7962">
        <v>7395</v>
      </c>
      <c r="C7962">
        <v>1</v>
      </c>
      <c r="D7962" s="17" t="s">
        <v>17166</v>
      </c>
      <c r="E7962" s="17"/>
      <c r="F7962" s="17" t="s">
        <v>17246</v>
      </c>
      <c r="G7962" s="17"/>
      <c r="H7962" s="17" t="s">
        <v>17984</v>
      </c>
      <c r="I7962" s="17"/>
      <c r="J7962" s="17" t="s">
        <v>17985</v>
      </c>
      <c r="K7962" s="17"/>
      <c r="L7962" s="17" t="s">
        <v>17986</v>
      </c>
      <c r="M7962" s="17"/>
      <c r="N7962" s="17" t="s">
        <v>18028</v>
      </c>
      <c r="O7962" s="17" t="s">
        <v>18029</v>
      </c>
      <c r="P7962" s="17" t="s">
        <v>18053</v>
      </c>
      <c r="Q7962" s="17"/>
      <c r="R7962" s="25" t="str">
        <f t="shared" ref="R7962:R7970" si="30">HYPERLINK("https://ictv.global/taxonomy/taxondetails?taxnode_id=202303665","Paslahepevirus balayani")</f>
        <v>Paslahepevirus balayani</v>
      </c>
      <c r="S7962" s="18" t="s">
        <v>30</v>
      </c>
      <c r="T7962" s="18" t="s">
        <v>18058</v>
      </c>
      <c r="U7962" s="18" t="s">
        <v>18059</v>
      </c>
      <c r="V7962" s="18" t="s">
        <v>18060</v>
      </c>
      <c r="W7962" s="18" t="s">
        <v>18061</v>
      </c>
      <c r="X7962" s="18" t="s">
        <v>35</v>
      </c>
      <c r="Y7962" s="18" t="s">
        <v>17171</v>
      </c>
      <c r="Z7962" s="18" t="s">
        <v>166</v>
      </c>
      <c r="AA7962" s="21" t="str">
        <f>HYPERLINK("https://www.ncbi.nlm.nih.gov/nuccore/M73218","NCBI Nucleotide")</f>
        <v>NCBI Nucleotide</v>
      </c>
    </row>
    <row r="7963" spans="1:27" x14ac:dyDescent="0.35">
      <c r="A7963">
        <v>1012740</v>
      </c>
      <c r="B7963">
        <v>7395</v>
      </c>
      <c r="C7963">
        <v>2</v>
      </c>
      <c r="D7963" s="17" t="s">
        <v>17166</v>
      </c>
      <c r="E7963" s="17"/>
      <c r="F7963" s="17" t="s">
        <v>17246</v>
      </c>
      <c r="G7963" s="17"/>
      <c r="H7963" s="17" t="s">
        <v>17984</v>
      </c>
      <c r="I7963" s="17"/>
      <c r="J7963" s="17" t="s">
        <v>17985</v>
      </c>
      <c r="K7963" s="17"/>
      <c r="L7963" s="17" t="s">
        <v>17986</v>
      </c>
      <c r="M7963" s="17"/>
      <c r="N7963" s="17" t="s">
        <v>18028</v>
      </c>
      <c r="O7963" s="17" t="s">
        <v>18029</v>
      </c>
      <c r="P7963" s="17" t="s">
        <v>18053</v>
      </c>
      <c r="Q7963" s="17"/>
      <c r="R7963" s="25" t="str">
        <f t="shared" si="30"/>
        <v>Paslahepevirus balayani</v>
      </c>
      <c r="S7963" s="18" t="s">
        <v>8141</v>
      </c>
      <c r="T7963" s="18" t="s">
        <v>18073</v>
      </c>
      <c r="U7963" s="18" t="s">
        <v>18059</v>
      </c>
      <c r="V7963" s="18" t="s">
        <v>18074</v>
      </c>
      <c r="W7963" s="18" t="s">
        <v>49290</v>
      </c>
      <c r="X7963" s="18" t="s">
        <v>42</v>
      </c>
      <c r="Y7963" s="18" t="s">
        <v>17171</v>
      </c>
      <c r="Z7963" s="18" t="s">
        <v>166</v>
      </c>
      <c r="AA7963" s="21" t="str">
        <f>HYPERLINK("https://www.ncbi.nlm.nih.gov/nuccore/KJ496143","NCBI Nucleotide")</f>
        <v>NCBI Nucleotide</v>
      </c>
    </row>
    <row r="7964" spans="1:27" x14ac:dyDescent="0.35">
      <c r="A7964">
        <v>1012741</v>
      </c>
      <c r="B7964">
        <v>7395</v>
      </c>
      <c r="C7964">
        <v>3</v>
      </c>
      <c r="D7964" s="17" t="s">
        <v>17166</v>
      </c>
      <c r="E7964" s="17"/>
      <c r="F7964" s="17" t="s">
        <v>17246</v>
      </c>
      <c r="G7964" s="17"/>
      <c r="H7964" s="17" t="s">
        <v>17984</v>
      </c>
      <c r="I7964" s="17"/>
      <c r="J7964" s="17" t="s">
        <v>17985</v>
      </c>
      <c r="K7964" s="17"/>
      <c r="L7964" s="17" t="s">
        <v>17986</v>
      </c>
      <c r="M7964" s="17"/>
      <c r="N7964" s="17" t="s">
        <v>18028</v>
      </c>
      <c r="O7964" s="17" t="s">
        <v>18029</v>
      </c>
      <c r="P7964" s="17" t="s">
        <v>18053</v>
      </c>
      <c r="Q7964" s="17"/>
      <c r="R7964" s="25" t="str">
        <f t="shared" si="30"/>
        <v>Paslahepevirus balayani</v>
      </c>
      <c r="S7964" s="18" t="s">
        <v>8141</v>
      </c>
      <c r="T7964" s="18" t="s">
        <v>18075</v>
      </c>
      <c r="U7964" s="18" t="s">
        <v>18059</v>
      </c>
      <c r="V7964" s="18" t="s">
        <v>18076</v>
      </c>
      <c r="W7964" s="18" t="s">
        <v>49291</v>
      </c>
      <c r="X7964" s="18" t="s">
        <v>42</v>
      </c>
      <c r="Y7964" s="18" t="s">
        <v>17171</v>
      </c>
      <c r="Z7964" s="18" t="s">
        <v>166</v>
      </c>
      <c r="AA7964" s="21" t="str">
        <f>HYPERLINK("https://www.ncbi.nlm.nih.gov/nuccore/KX387865","NCBI Nucleotide")</f>
        <v>NCBI Nucleotide</v>
      </c>
    </row>
    <row r="7965" spans="1:27" x14ac:dyDescent="0.35">
      <c r="A7965">
        <v>1012734</v>
      </c>
      <c r="B7965">
        <v>7395</v>
      </c>
      <c r="C7965">
        <v>4</v>
      </c>
      <c r="D7965" s="17" t="s">
        <v>17166</v>
      </c>
      <c r="E7965" s="17"/>
      <c r="F7965" s="17" t="s">
        <v>17246</v>
      </c>
      <c r="G7965" s="17"/>
      <c r="H7965" s="17" t="s">
        <v>17984</v>
      </c>
      <c r="I7965" s="17"/>
      <c r="J7965" s="17" t="s">
        <v>17985</v>
      </c>
      <c r="K7965" s="17"/>
      <c r="L7965" s="17" t="s">
        <v>17986</v>
      </c>
      <c r="M7965" s="17"/>
      <c r="N7965" s="17" t="s">
        <v>18028</v>
      </c>
      <c r="O7965" s="17" t="s">
        <v>18029</v>
      </c>
      <c r="P7965" s="17" t="s">
        <v>18053</v>
      </c>
      <c r="Q7965" s="17"/>
      <c r="R7965" s="25" t="str">
        <f t="shared" si="30"/>
        <v>Paslahepevirus balayani</v>
      </c>
      <c r="S7965" s="18" t="s">
        <v>8141</v>
      </c>
      <c r="T7965" s="18" t="s">
        <v>18058</v>
      </c>
      <c r="U7965" s="18" t="s">
        <v>18059</v>
      </c>
      <c r="V7965" s="18" t="s">
        <v>18062</v>
      </c>
      <c r="W7965" s="18" t="s">
        <v>49292</v>
      </c>
      <c r="X7965" s="18" t="s">
        <v>35</v>
      </c>
      <c r="Y7965" s="18" t="s">
        <v>17171</v>
      </c>
      <c r="Z7965" s="18" t="s">
        <v>166</v>
      </c>
      <c r="AA7965" s="21" t="str">
        <f>HYPERLINK("https://www.ncbi.nlm.nih.gov/nuccore/L08816","NCBI Nucleotide")</f>
        <v>NCBI Nucleotide</v>
      </c>
    </row>
    <row r="7966" spans="1:27" x14ac:dyDescent="0.35">
      <c r="A7966">
        <v>1012735</v>
      </c>
      <c r="B7966">
        <v>7395</v>
      </c>
      <c r="C7966">
        <v>5</v>
      </c>
      <c r="D7966" s="17" t="s">
        <v>17166</v>
      </c>
      <c r="E7966" s="17"/>
      <c r="F7966" s="17" t="s">
        <v>17246</v>
      </c>
      <c r="G7966" s="17"/>
      <c r="H7966" s="17" t="s">
        <v>17984</v>
      </c>
      <c r="I7966" s="17"/>
      <c r="J7966" s="17" t="s">
        <v>17985</v>
      </c>
      <c r="K7966" s="17"/>
      <c r="L7966" s="17" t="s">
        <v>17986</v>
      </c>
      <c r="M7966" s="17"/>
      <c r="N7966" s="17" t="s">
        <v>18028</v>
      </c>
      <c r="O7966" s="17" t="s">
        <v>18029</v>
      </c>
      <c r="P7966" s="17" t="s">
        <v>18053</v>
      </c>
      <c r="Q7966" s="17"/>
      <c r="R7966" s="25" t="str">
        <f t="shared" si="30"/>
        <v>Paslahepevirus balayani</v>
      </c>
      <c r="S7966" s="18" t="s">
        <v>8141</v>
      </c>
      <c r="T7966" s="18" t="s">
        <v>18063</v>
      </c>
      <c r="U7966" s="18" t="s">
        <v>18059</v>
      </c>
      <c r="V7966" s="18" t="s">
        <v>18064</v>
      </c>
      <c r="W7966" s="18" t="s">
        <v>49293</v>
      </c>
      <c r="X7966" s="18" t="s">
        <v>154</v>
      </c>
      <c r="Y7966" s="18" t="s">
        <v>17171</v>
      </c>
      <c r="Z7966" s="18" t="s">
        <v>166</v>
      </c>
      <c r="AA7966" s="21" t="str">
        <f>HYPERLINK("https://www.ncbi.nlm.nih.gov/nuccore/KX578717","NCBI Nucleotide")</f>
        <v>NCBI Nucleotide</v>
      </c>
    </row>
    <row r="7967" spans="1:27" x14ac:dyDescent="0.35">
      <c r="A7967">
        <v>1012736</v>
      </c>
      <c r="B7967">
        <v>7395</v>
      </c>
      <c r="C7967">
        <v>6</v>
      </c>
      <c r="D7967" s="17" t="s">
        <v>17166</v>
      </c>
      <c r="E7967" s="17"/>
      <c r="F7967" s="17" t="s">
        <v>17246</v>
      </c>
      <c r="G7967" s="17"/>
      <c r="H7967" s="17" t="s">
        <v>17984</v>
      </c>
      <c r="I7967" s="17"/>
      <c r="J7967" s="17" t="s">
        <v>17985</v>
      </c>
      <c r="K7967" s="17"/>
      <c r="L7967" s="17" t="s">
        <v>17986</v>
      </c>
      <c r="M7967" s="17"/>
      <c r="N7967" s="17" t="s">
        <v>18028</v>
      </c>
      <c r="O7967" s="17" t="s">
        <v>18029</v>
      </c>
      <c r="P7967" s="17" t="s">
        <v>18053</v>
      </c>
      <c r="Q7967" s="17"/>
      <c r="R7967" s="25" t="str">
        <f t="shared" si="30"/>
        <v>Paslahepevirus balayani</v>
      </c>
      <c r="S7967" s="18" t="s">
        <v>8141</v>
      </c>
      <c r="T7967" s="18" t="s">
        <v>18065</v>
      </c>
      <c r="U7967" s="18" t="s">
        <v>18059</v>
      </c>
      <c r="V7967" s="18" t="s">
        <v>18066</v>
      </c>
      <c r="W7967" s="18" t="s">
        <v>49294</v>
      </c>
      <c r="X7967" s="18" t="s">
        <v>35</v>
      </c>
      <c r="Y7967" s="18" t="s">
        <v>17171</v>
      </c>
      <c r="Z7967" s="18" t="s">
        <v>166</v>
      </c>
      <c r="AA7967" s="21" t="str">
        <f>HYPERLINK("https://www.ncbi.nlm.nih.gov/nuccore/AF082843","NCBI Nucleotide")</f>
        <v>NCBI Nucleotide</v>
      </c>
    </row>
    <row r="7968" spans="1:27" x14ac:dyDescent="0.35">
      <c r="A7968">
        <v>1012737</v>
      </c>
      <c r="B7968">
        <v>7395</v>
      </c>
      <c r="C7968">
        <v>7</v>
      </c>
      <c r="D7968" s="17" t="s">
        <v>17166</v>
      </c>
      <c r="E7968" s="17"/>
      <c r="F7968" s="17" t="s">
        <v>17246</v>
      </c>
      <c r="G7968" s="17"/>
      <c r="H7968" s="17" t="s">
        <v>17984</v>
      </c>
      <c r="I7968" s="17"/>
      <c r="J7968" s="17" t="s">
        <v>17985</v>
      </c>
      <c r="K7968" s="17"/>
      <c r="L7968" s="17" t="s">
        <v>17986</v>
      </c>
      <c r="M7968" s="17"/>
      <c r="N7968" s="17" t="s">
        <v>18028</v>
      </c>
      <c r="O7968" s="17" t="s">
        <v>18029</v>
      </c>
      <c r="P7968" s="17" t="s">
        <v>18053</v>
      </c>
      <c r="Q7968" s="17"/>
      <c r="R7968" s="25" t="str">
        <f t="shared" si="30"/>
        <v>Paslahepevirus balayani</v>
      </c>
      <c r="S7968" s="18" t="s">
        <v>8141</v>
      </c>
      <c r="T7968" s="18" t="s">
        <v>18067</v>
      </c>
      <c r="U7968" s="18" t="s">
        <v>18059</v>
      </c>
      <c r="V7968" s="18" t="s">
        <v>18068</v>
      </c>
      <c r="W7968" s="18" t="s">
        <v>49295</v>
      </c>
      <c r="X7968" s="18" t="s">
        <v>42</v>
      </c>
      <c r="Y7968" s="18" t="s">
        <v>17171</v>
      </c>
      <c r="Z7968" s="18" t="s">
        <v>166</v>
      </c>
      <c r="AA7968" s="21" t="str">
        <f>HYPERLINK("https://www.ncbi.nlm.nih.gov/nuccore/EF077630","NCBI Nucleotide")</f>
        <v>NCBI Nucleotide</v>
      </c>
    </row>
    <row r="7969" spans="1:27" x14ac:dyDescent="0.35">
      <c r="A7969">
        <v>1012738</v>
      </c>
      <c r="B7969">
        <v>7395</v>
      </c>
      <c r="C7969">
        <v>8</v>
      </c>
      <c r="D7969" s="17" t="s">
        <v>17166</v>
      </c>
      <c r="E7969" s="17"/>
      <c r="F7969" s="17" t="s">
        <v>17246</v>
      </c>
      <c r="G7969" s="17"/>
      <c r="H7969" s="17" t="s">
        <v>17984</v>
      </c>
      <c r="I7969" s="17"/>
      <c r="J7969" s="17" t="s">
        <v>17985</v>
      </c>
      <c r="K7969" s="17"/>
      <c r="L7969" s="17" t="s">
        <v>17986</v>
      </c>
      <c r="M7969" s="17"/>
      <c r="N7969" s="17" t="s">
        <v>18028</v>
      </c>
      <c r="O7969" s="17" t="s">
        <v>18029</v>
      </c>
      <c r="P7969" s="17" t="s">
        <v>18053</v>
      </c>
      <c r="Q7969" s="17"/>
      <c r="R7969" s="25" t="str">
        <f t="shared" si="30"/>
        <v>Paslahepevirus balayani</v>
      </c>
      <c r="S7969" s="18" t="s">
        <v>8141</v>
      </c>
      <c r="T7969" s="18" t="s">
        <v>18069</v>
      </c>
      <c r="U7969" s="18" t="s">
        <v>18059</v>
      </c>
      <c r="V7969" s="18" t="s">
        <v>18070</v>
      </c>
      <c r="W7969" s="18" t="s">
        <v>49296</v>
      </c>
      <c r="X7969" s="18" t="s">
        <v>35</v>
      </c>
      <c r="Y7969" s="18" t="s">
        <v>17171</v>
      </c>
      <c r="Z7969" s="18" t="s">
        <v>166</v>
      </c>
      <c r="AA7969" s="21" t="str">
        <f>HYPERLINK("https://www.ncbi.nlm.nih.gov/nuccore/AB573435","NCBI Nucleotide")</f>
        <v>NCBI Nucleotide</v>
      </c>
    </row>
    <row r="7970" spans="1:27" x14ac:dyDescent="0.35">
      <c r="A7970">
        <v>1012739</v>
      </c>
      <c r="B7970">
        <v>7395</v>
      </c>
      <c r="C7970">
        <v>9</v>
      </c>
      <c r="D7970" s="17" t="s">
        <v>17166</v>
      </c>
      <c r="E7970" s="17"/>
      <c r="F7970" s="17" t="s">
        <v>17246</v>
      </c>
      <c r="G7970" s="17"/>
      <c r="H7970" s="17" t="s">
        <v>17984</v>
      </c>
      <c r="I7970" s="17"/>
      <c r="J7970" s="17" t="s">
        <v>17985</v>
      </c>
      <c r="K7970" s="17"/>
      <c r="L7970" s="17" t="s">
        <v>17986</v>
      </c>
      <c r="M7970" s="17"/>
      <c r="N7970" s="17" t="s">
        <v>18028</v>
      </c>
      <c r="O7970" s="17" t="s">
        <v>18029</v>
      </c>
      <c r="P7970" s="17" t="s">
        <v>18053</v>
      </c>
      <c r="Q7970" s="17"/>
      <c r="R7970" s="25" t="str">
        <f t="shared" si="30"/>
        <v>Paslahepevirus balayani</v>
      </c>
      <c r="S7970" s="18" t="s">
        <v>8141</v>
      </c>
      <c r="T7970" s="18" t="s">
        <v>18071</v>
      </c>
      <c r="U7970" s="18" t="s">
        <v>18059</v>
      </c>
      <c r="V7970" s="18" t="s">
        <v>18072</v>
      </c>
      <c r="W7970" s="18" t="s">
        <v>49297</v>
      </c>
      <c r="X7970" s="18" t="s">
        <v>35</v>
      </c>
      <c r="Y7970" s="18" t="s">
        <v>17171</v>
      </c>
      <c r="Z7970" s="18" t="s">
        <v>166</v>
      </c>
      <c r="AA7970" s="21" t="str">
        <f>HYPERLINK("https://www.ncbi.nlm.nih.gov/nuccore/AB602441","NCBI Nucleotide")</f>
        <v>NCBI Nucleotide</v>
      </c>
    </row>
    <row r="7971" spans="1:27" x14ac:dyDescent="0.35">
      <c r="A7971">
        <v>1008547</v>
      </c>
      <c r="B7971">
        <v>7396</v>
      </c>
      <c r="C7971">
        <v>1</v>
      </c>
      <c r="D7971" s="17" t="s">
        <v>17166</v>
      </c>
      <c r="E7971" s="17"/>
      <c r="F7971" s="17" t="s">
        <v>17246</v>
      </c>
      <c r="G7971" s="17"/>
      <c r="H7971" s="17" t="s">
        <v>17984</v>
      </c>
      <c r="I7971" s="17"/>
      <c r="J7971" s="17" t="s">
        <v>17985</v>
      </c>
      <c r="K7971" s="17"/>
      <c r="L7971" s="17" t="s">
        <v>17986</v>
      </c>
      <c r="M7971" s="17"/>
      <c r="N7971" s="17" t="s">
        <v>18028</v>
      </c>
      <c r="O7971" s="17" t="s">
        <v>18029</v>
      </c>
      <c r="P7971" s="17" t="s">
        <v>18077</v>
      </c>
      <c r="Q7971" s="17"/>
      <c r="R7971" s="25" t="str">
        <f>HYPERLINK("https://ictv.global/taxonomy/taxondetails?taxnode_id=202313889","Rocahepevirus eothenomi")</f>
        <v>Rocahepevirus eothenomi</v>
      </c>
      <c r="S7971" s="18" t="s">
        <v>30</v>
      </c>
      <c r="T7971" s="18" t="s">
        <v>18078</v>
      </c>
      <c r="U7971" s="18" t="s">
        <v>18079</v>
      </c>
      <c r="V7971" s="18" t="s">
        <v>18080</v>
      </c>
      <c r="W7971" s="18" t="s">
        <v>18081</v>
      </c>
      <c r="X7971" s="18" t="s">
        <v>42</v>
      </c>
      <c r="Y7971" s="18" t="s">
        <v>17171</v>
      </c>
      <c r="Z7971" s="18" t="s">
        <v>166</v>
      </c>
      <c r="AA7971" s="21" t="str">
        <f>HYPERLINK("https://www.ncbi.nlm.nih.gov/nuccore/MG020024","NCBI Nucleotide")</f>
        <v>NCBI Nucleotide</v>
      </c>
    </row>
    <row r="7972" spans="1:27" x14ac:dyDescent="0.35">
      <c r="A7972">
        <v>1008548</v>
      </c>
      <c r="B7972">
        <v>7397</v>
      </c>
      <c r="C7972">
        <v>1</v>
      </c>
      <c r="D7972" s="17" t="s">
        <v>17166</v>
      </c>
      <c r="E7972" s="17"/>
      <c r="F7972" s="17" t="s">
        <v>17246</v>
      </c>
      <c r="G7972" s="17"/>
      <c r="H7972" s="17" t="s">
        <v>17984</v>
      </c>
      <c r="I7972" s="17"/>
      <c r="J7972" s="17" t="s">
        <v>17985</v>
      </c>
      <c r="K7972" s="17"/>
      <c r="L7972" s="17" t="s">
        <v>17986</v>
      </c>
      <c r="M7972" s="17"/>
      <c r="N7972" s="17" t="s">
        <v>18028</v>
      </c>
      <c r="O7972" s="17" t="s">
        <v>18029</v>
      </c>
      <c r="P7972" s="17" t="s">
        <v>18077</v>
      </c>
      <c r="Q7972" s="17"/>
      <c r="R7972" s="25" t="str">
        <f>HYPERLINK("https://ictv.global/taxonomy/taxondetails?taxnode_id=202303667","Rocahepevirus ratti")</f>
        <v>Rocahepevirus ratti</v>
      </c>
      <c r="S7972" s="18" t="s">
        <v>30</v>
      </c>
      <c r="T7972" s="18" t="s">
        <v>18082</v>
      </c>
      <c r="U7972" s="18" t="s">
        <v>18083</v>
      </c>
      <c r="V7972" s="18" t="s">
        <v>18084</v>
      </c>
      <c r="W7972" s="18" t="s">
        <v>18085</v>
      </c>
      <c r="X7972" s="18" t="s">
        <v>42</v>
      </c>
      <c r="Y7972" s="18" t="s">
        <v>17171</v>
      </c>
      <c r="Z7972" s="18" t="s">
        <v>166</v>
      </c>
      <c r="AA7972" s="21" t="str">
        <f>HYPERLINK("https://www.ncbi.nlm.nih.gov/nuccore/GU345042","NCBI Nucleotide")</f>
        <v>NCBI Nucleotide</v>
      </c>
    </row>
    <row r="7973" spans="1:27" x14ac:dyDescent="0.35">
      <c r="A7973">
        <v>1012743</v>
      </c>
      <c r="B7973">
        <v>7397</v>
      </c>
      <c r="C7973">
        <v>2</v>
      </c>
      <c r="D7973" s="17" t="s">
        <v>17166</v>
      </c>
      <c r="E7973" s="17"/>
      <c r="F7973" s="17" t="s">
        <v>17246</v>
      </c>
      <c r="G7973" s="17"/>
      <c r="H7973" s="17" t="s">
        <v>17984</v>
      </c>
      <c r="I7973" s="17"/>
      <c r="J7973" s="17" t="s">
        <v>17985</v>
      </c>
      <c r="K7973" s="17"/>
      <c r="L7973" s="17" t="s">
        <v>17986</v>
      </c>
      <c r="M7973" s="17"/>
      <c r="N7973" s="17" t="s">
        <v>18028</v>
      </c>
      <c r="O7973" s="17" t="s">
        <v>18029</v>
      </c>
      <c r="P7973" s="17" t="s">
        <v>18077</v>
      </c>
      <c r="Q7973" s="17"/>
      <c r="R7973" s="25" t="str">
        <f>HYPERLINK("https://ictv.global/taxonomy/taxondetails?taxnode_id=202303667","Rocahepevirus ratti")</f>
        <v>Rocahepevirus ratti</v>
      </c>
      <c r="S7973" s="18" t="s">
        <v>8141</v>
      </c>
      <c r="T7973" s="18" t="s">
        <v>18087</v>
      </c>
      <c r="U7973" s="18" t="s">
        <v>18088</v>
      </c>
      <c r="V7973" s="18" t="s">
        <v>18089</v>
      </c>
      <c r="W7973" s="18" t="s">
        <v>49298</v>
      </c>
      <c r="X7973" s="18" t="s">
        <v>42</v>
      </c>
      <c r="Y7973" s="18" t="s">
        <v>17171</v>
      </c>
      <c r="Z7973" s="18" t="s">
        <v>166</v>
      </c>
      <c r="AA7973" s="21" t="str">
        <f>HYPERLINK("https://www.ncbi.nlm.nih.gov/nuccore/LC057247","NCBI Nucleotide")</f>
        <v>NCBI Nucleotide</v>
      </c>
    </row>
    <row r="7974" spans="1:27" x14ac:dyDescent="0.35">
      <c r="A7974">
        <v>1012744</v>
      </c>
      <c r="B7974">
        <v>7397</v>
      </c>
      <c r="C7974">
        <v>3</v>
      </c>
      <c r="D7974" s="17" t="s">
        <v>17166</v>
      </c>
      <c r="E7974" s="17"/>
      <c r="F7974" s="17" t="s">
        <v>17246</v>
      </c>
      <c r="G7974" s="17"/>
      <c r="H7974" s="17" t="s">
        <v>17984</v>
      </c>
      <c r="I7974" s="17"/>
      <c r="J7974" s="17" t="s">
        <v>17985</v>
      </c>
      <c r="K7974" s="17"/>
      <c r="L7974" s="17" t="s">
        <v>17986</v>
      </c>
      <c r="M7974" s="17"/>
      <c r="N7974" s="17" t="s">
        <v>18028</v>
      </c>
      <c r="O7974" s="17" t="s">
        <v>18029</v>
      </c>
      <c r="P7974" s="17" t="s">
        <v>18077</v>
      </c>
      <c r="Q7974" s="17"/>
      <c r="R7974" s="25" t="str">
        <f>HYPERLINK("https://ictv.global/taxonomy/taxondetails?taxnode_id=202303667","Rocahepevirus ratti")</f>
        <v>Rocahepevirus ratti</v>
      </c>
      <c r="S7974" s="18" t="s">
        <v>8141</v>
      </c>
      <c r="T7974" s="18" t="s">
        <v>18087</v>
      </c>
      <c r="U7974" s="18" t="s">
        <v>18088</v>
      </c>
      <c r="V7974" s="18">
        <v>4</v>
      </c>
      <c r="W7974" s="18" t="s">
        <v>49299</v>
      </c>
      <c r="X7974" s="18" t="s">
        <v>42</v>
      </c>
      <c r="Y7974" s="18" t="s">
        <v>17171</v>
      </c>
      <c r="Z7974" s="18" t="s">
        <v>166</v>
      </c>
      <c r="AA7974" s="21" t="str">
        <f>HYPERLINK("https://www.ncbi.nlm.nih.gov/nuccore/JN998606","NCBI Nucleotide")</f>
        <v>NCBI Nucleotide</v>
      </c>
    </row>
    <row r="7975" spans="1:27" x14ac:dyDescent="0.35">
      <c r="A7975">
        <v>1012742</v>
      </c>
      <c r="B7975">
        <v>7397</v>
      </c>
      <c r="C7975">
        <v>4</v>
      </c>
      <c r="D7975" s="17" t="s">
        <v>17166</v>
      </c>
      <c r="E7975" s="17"/>
      <c r="F7975" s="17" t="s">
        <v>17246</v>
      </c>
      <c r="G7975" s="17"/>
      <c r="H7975" s="17" t="s">
        <v>17984</v>
      </c>
      <c r="I7975" s="17"/>
      <c r="J7975" s="17" t="s">
        <v>17985</v>
      </c>
      <c r="K7975" s="17"/>
      <c r="L7975" s="17" t="s">
        <v>17986</v>
      </c>
      <c r="M7975" s="17"/>
      <c r="N7975" s="17" t="s">
        <v>18028</v>
      </c>
      <c r="O7975" s="17" t="s">
        <v>18029</v>
      </c>
      <c r="P7975" s="17" t="s">
        <v>18077</v>
      </c>
      <c r="Q7975" s="17"/>
      <c r="R7975" s="25" t="str">
        <f>HYPERLINK("https://ictv.global/taxonomy/taxondetails?taxnode_id=202303667","Rocahepevirus ratti")</f>
        <v>Rocahepevirus ratti</v>
      </c>
      <c r="S7975" s="18" t="s">
        <v>8141</v>
      </c>
      <c r="T7975" s="18" t="s">
        <v>18082</v>
      </c>
      <c r="U7975" s="18" t="s">
        <v>18083</v>
      </c>
      <c r="V7975" s="18" t="s">
        <v>18086</v>
      </c>
      <c r="W7975" s="18" t="s">
        <v>49300</v>
      </c>
      <c r="X7975" s="18" t="s">
        <v>42</v>
      </c>
      <c r="Y7975" s="18" t="s">
        <v>17171</v>
      </c>
      <c r="Z7975" s="18" t="s">
        <v>166</v>
      </c>
      <c r="AA7975" s="21" t="str">
        <f>HYPERLINK("https://www.ncbi.nlm.nih.gov/nuccore/KM516906","NCBI Nucleotide")</f>
        <v>NCBI Nucleotide</v>
      </c>
    </row>
    <row r="7976" spans="1:27" x14ac:dyDescent="0.35">
      <c r="A7976">
        <v>1008549</v>
      </c>
      <c r="B7976">
        <v>7398</v>
      </c>
      <c r="C7976">
        <v>1</v>
      </c>
      <c r="D7976" s="17" t="s">
        <v>17166</v>
      </c>
      <c r="E7976" s="17"/>
      <c r="F7976" s="17" t="s">
        <v>17246</v>
      </c>
      <c r="G7976" s="17"/>
      <c r="H7976" s="17" t="s">
        <v>17984</v>
      </c>
      <c r="I7976" s="17"/>
      <c r="J7976" s="17" t="s">
        <v>17985</v>
      </c>
      <c r="K7976" s="17"/>
      <c r="L7976" s="17" t="s">
        <v>17986</v>
      </c>
      <c r="M7976" s="17"/>
      <c r="N7976" s="17" t="s">
        <v>18028</v>
      </c>
      <c r="O7976" s="17" t="s">
        <v>18090</v>
      </c>
      <c r="P7976" s="17" t="s">
        <v>18091</v>
      </c>
      <c r="Q7976" s="17"/>
      <c r="R7976" s="25" t="str">
        <f>HYPERLINK("https://ictv.global/taxonomy/taxondetails?taxnode_id=202303670","Piscihepevirus heenan")</f>
        <v>Piscihepevirus heenan</v>
      </c>
      <c r="S7976" s="18" t="s">
        <v>30</v>
      </c>
      <c r="T7976" s="18" t="s">
        <v>18092</v>
      </c>
      <c r="U7976" s="18" t="s">
        <v>18093</v>
      </c>
      <c r="V7976" s="18" t="s">
        <v>18094</v>
      </c>
      <c r="W7976" s="18" t="s">
        <v>18095</v>
      </c>
      <c r="X7976" s="18" t="s">
        <v>42</v>
      </c>
      <c r="Y7976" s="18" t="s">
        <v>17171</v>
      </c>
      <c r="Z7976" s="18" t="s">
        <v>166</v>
      </c>
      <c r="AA7976" s="21" t="str">
        <f>HYPERLINK("https://www.ncbi.nlm.nih.gov/nuccore/HQ731075","NCBI Nucleotide")</f>
        <v>NCBI Nucleotide</v>
      </c>
    </row>
    <row r="7977" spans="1:27" x14ac:dyDescent="0.35">
      <c r="A7977">
        <v>1008550</v>
      </c>
      <c r="B7977">
        <v>7399</v>
      </c>
      <c r="C7977">
        <v>1</v>
      </c>
      <c r="D7977" s="17" t="s">
        <v>17166</v>
      </c>
      <c r="E7977" s="17"/>
      <c r="F7977" s="17" t="s">
        <v>17246</v>
      </c>
      <c r="G7977" s="17"/>
      <c r="H7977" s="17" t="s">
        <v>17984</v>
      </c>
      <c r="I7977" s="17"/>
      <c r="J7977" s="17" t="s">
        <v>17985</v>
      </c>
      <c r="K7977" s="17"/>
      <c r="L7977" s="17" t="s">
        <v>17986</v>
      </c>
      <c r="M7977" s="17"/>
      <c r="N7977" s="17" t="s">
        <v>18096</v>
      </c>
      <c r="O7977" s="17"/>
      <c r="P7977" s="17" t="s">
        <v>18097</v>
      </c>
      <c r="Q7977" s="17"/>
      <c r="R7977" s="25" t="str">
        <f>HYPERLINK("https://ictv.global/taxonomy/taxondetails?taxnode_id=202305115","Rubivirus rubellae")</f>
        <v>Rubivirus rubellae</v>
      </c>
      <c r="S7977" s="18" t="s">
        <v>30</v>
      </c>
      <c r="T7977" s="18" t="s">
        <v>18098</v>
      </c>
      <c r="U7977" s="18" t="s">
        <v>18099</v>
      </c>
      <c r="V7977" s="18" t="s">
        <v>18100</v>
      </c>
      <c r="W7977" s="18" t="s">
        <v>18101</v>
      </c>
      <c r="X7977" s="18" t="s">
        <v>42</v>
      </c>
      <c r="Y7977" s="18" t="s">
        <v>17171</v>
      </c>
      <c r="Z7977" s="18" t="s">
        <v>166</v>
      </c>
      <c r="AA7977" s="21" t="str">
        <f>HYPERLINK("https://www.ncbi.nlm.nih.gov/nuccore/JN635296","NCBI Nucleotide")</f>
        <v>NCBI Nucleotide</v>
      </c>
    </row>
    <row r="7978" spans="1:27" x14ac:dyDescent="0.35">
      <c r="A7978">
        <v>1012745</v>
      </c>
      <c r="B7978">
        <v>7399</v>
      </c>
      <c r="C7978">
        <v>2</v>
      </c>
      <c r="D7978" s="17" t="s">
        <v>17166</v>
      </c>
      <c r="E7978" s="17"/>
      <c r="F7978" s="17" t="s">
        <v>17246</v>
      </c>
      <c r="G7978" s="17"/>
      <c r="H7978" s="17" t="s">
        <v>17984</v>
      </c>
      <c r="I7978" s="17"/>
      <c r="J7978" s="17" t="s">
        <v>17985</v>
      </c>
      <c r="K7978" s="17"/>
      <c r="L7978" s="17" t="s">
        <v>17986</v>
      </c>
      <c r="M7978" s="17"/>
      <c r="N7978" s="17" t="s">
        <v>18096</v>
      </c>
      <c r="O7978" s="17"/>
      <c r="P7978" s="17" t="s">
        <v>18097</v>
      </c>
      <c r="Q7978" s="17"/>
      <c r="R7978" s="25" t="str">
        <f>HYPERLINK("https://ictv.global/taxonomy/taxondetails?taxnode_id=202305115","Rubivirus rubellae")</f>
        <v>Rubivirus rubellae</v>
      </c>
      <c r="S7978" s="18" t="s">
        <v>8141</v>
      </c>
      <c r="T7978" s="18" t="s">
        <v>18098</v>
      </c>
      <c r="U7978" s="18" t="s">
        <v>18099</v>
      </c>
      <c r="V7978" s="18" t="s">
        <v>18102</v>
      </c>
      <c r="W7978" s="18" t="s">
        <v>49301</v>
      </c>
      <c r="X7978" s="18" t="s">
        <v>42</v>
      </c>
      <c r="Y7978" s="18" t="s">
        <v>17171</v>
      </c>
      <c r="Z7978" s="18" t="s">
        <v>166</v>
      </c>
      <c r="AA7978" s="21" t="str">
        <f>HYPERLINK("https://www.ncbi.nlm.nih.gov/nuccore/M15240","NCBI Nucleotide")</f>
        <v>NCBI Nucleotide</v>
      </c>
    </row>
    <row r="7979" spans="1:27" x14ac:dyDescent="0.35">
      <c r="A7979">
        <v>1008551</v>
      </c>
      <c r="B7979">
        <v>7400</v>
      </c>
      <c r="C7979">
        <v>1</v>
      </c>
      <c r="D7979" s="17" t="s">
        <v>17166</v>
      </c>
      <c r="E7979" s="17"/>
      <c r="F7979" s="17" t="s">
        <v>17246</v>
      </c>
      <c r="G7979" s="17"/>
      <c r="H7979" s="17" t="s">
        <v>17984</v>
      </c>
      <c r="I7979" s="17"/>
      <c r="J7979" s="17" t="s">
        <v>17985</v>
      </c>
      <c r="K7979" s="17"/>
      <c r="L7979" s="17" t="s">
        <v>17986</v>
      </c>
      <c r="M7979" s="17"/>
      <c r="N7979" s="17" t="s">
        <v>18096</v>
      </c>
      <c r="O7979" s="17"/>
      <c r="P7979" s="17" t="s">
        <v>18097</v>
      </c>
      <c r="Q7979" s="17"/>
      <c r="R7979" s="25" t="str">
        <f>HYPERLINK("https://ictv.global/taxonomy/taxondetails?taxnode_id=202309288","Rubivirus ruteetense")</f>
        <v>Rubivirus ruteetense</v>
      </c>
      <c r="S7979" s="18" t="s">
        <v>30</v>
      </c>
      <c r="T7979" s="18" t="s">
        <v>18103</v>
      </c>
      <c r="U7979" s="18" t="s">
        <v>18104</v>
      </c>
      <c r="V7979" s="18" t="s">
        <v>18105</v>
      </c>
      <c r="W7979" s="18" t="s">
        <v>18106</v>
      </c>
      <c r="X7979" s="18" t="s">
        <v>42</v>
      </c>
      <c r="Y7979" s="18" t="s">
        <v>17171</v>
      </c>
      <c r="Z7979" s="18" t="s">
        <v>166</v>
      </c>
      <c r="AA7979" s="21" t="str">
        <f>HYPERLINK("https://www.ncbi.nlm.nih.gov/nuccore/MN547623","NCBI Nucleotide")</f>
        <v>NCBI Nucleotide</v>
      </c>
    </row>
    <row r="7980" spans="1:27" x14ac:dyDescent="0.35">
      <c r="A7980">
        <v>1008552</v>
      </c>
      <c r="B7980">
        <v>7401</v>
      </c>
      <c r="C7980">
        <v>1</v>
      </c>
      <c r="D7980" s="17" t="s">
        <v>17166</v>
      </c>
      <c r="E7980" s="17"/>
      <c r="F7980" s="17" t="s">
        <v>17246</v>
      </c>
      <c r="G7980" s="17"/>
      <c r="H7980" s="17" t="s">
        <v>17984</v>
      </c>
      <c r="I7980" s="17"/>
      <c r="J7980" s="17" t="s">
        <v>17985</v>
      </c>
      <c r="K7980" s="17"/>
      <c r="L7980" s="17" t="s">
        <v>17986</v>
      </c>
      <c r="M7980" s="17"/>
      <c r="N7980" s="17" t="s">
        <v>18096</v>
      </c>
      <c r="O7980" s="17"/>
      <c r="P7980" s="17" t="s">
        <v>18097</v>
      </c>
      <c r="Q7980" s="17"/>
      <c r="R7980" s="25" t="str">
        <f>HYPERLINK("https://ictv.global/taxonomy/taxondetails?taxnode_id=202309289","Rubivirus strelense")</f>
        <v>Rubivirus strelense</v>
      </c>
      <c r="S7980" s="18" t="s">
        <v>30</v>
      </c>
      <c r="T7980" s="18" t="s">
        <v>18107</v>
      </c>
      <c r="U7980" s="18" t="s">
        <v>18108</v>
      </c>
      <c r="V7980" s="18" t="s">
        <v>18109</v>
      </c>
      <c r="W7980" s="18" t="s">
        <v>18110</v>
      </c>
      <c r="X7980" s="18" t="s">
        <v>42</v>
      </c>
      <c r="Y7980" s="18" t="s">
        <v>17171</v>
      </c>
      <c r="Z7980" s="18" t="s">
        <v>166</v>
      </c>
      <c r="AA7980" s="21" t="str">
        <f>HYPERLINK("https://www.ncbi.nlm.nih.gov/nuccore/MN552442","NCBI Nucleotide")</f>
        <v>NCBI Nucleotide</v>
      </c>
    </row>
    <row r="7981" spans="1:27" x14ac:dyDescent="0.35">
      <c r="A7981">
        <v>1008553</v>
      </c>
      <c r="B7981">
        <v>7402</v>
      </c>
      <c r="C7981">
        <v>1</v>
      </c>
      <c r="D7981" s="17" t="s">
        <v>17166</v>
      </c>
      <c r="E7981" s="17"/>
      <c r="F7981" s="17" t="s">
        <v>17246</v>
      </c>
      <c r="G7981" s="17"/>
      <c r="H7981" s="17" t="s">
        <v>17984</v>
      </c>
      <c r="I7981" s="17"/>
      <c r="J7981" s="17" t="s">
        <v>17985</v>
      </c>
      <c r="K7981" s="17"/>
      <c r="L7981" s="17" t="s">
        <v>18111</v>
      </c>
      <c r="M7981" s="17"/>
      <c r="N7981" s="17" t="s">
        <v>18112</v>
      </c>
      <c r="O7981" s="17"/>
      <c r="P7981" s="17" t="s">
        <v>18113</v>
      </c>
      <c r="Q7981" s="17"/>
      <c r="R7981" s="25" t="str">
        <f>HYPERLINK("https://ictv.global/taxonomy/taxondetails?taxnode_id=202302760","Alfamovirus AMV")</f>
        <v>Alfamovirus AMV</v>
      </c>
      <c r="S7981" s="18" t="s">
        <v>30</v>
      </c>
      <c r="T7981" s="18" t="s">
        <v>18114</v>
      </c>
      <c r="U7981" s="18" t="s">
        <v>13956</v>
      </c>
      <c r="V7981" s="18" t="s">
        <v>18115</v>
      </c>
      <c r="W7981" s="18" t="s">
        <v>50525</v>
      </c>
      <c r="X7981" s="18" t="s">
        <v>42</v>
      </c>
      <c r="Y7981" s="18" t="s">
        <v>17171</v>
      </c>
      <c r="Z7981" s="18" t="s">
        <v>13441</v>
      </c>
      <c r="AA7981" s="21" t="str">
        <f>HYPERLINK("https://www.ncbi.nlm.nih.gov/nuccore/L00163,X01572,K02703","NCBI Nucleotide")</f>
        <v>NCBI Nucleotide</v>
      </c>
    </row>
    <row r="7982" spans="1:27" x14ac:dyDescent="0.35">
      <c r="A7982">
        <v>1008554</v>
      </c>
      <c r="B7982">
        <v>7403</v>
      </c>
      <c r="C7982">
        <v>1</v>
      </c>
      <c r="D7982" s="17" t="s">
        <v>17166</v>
      </c>
      <c r="E7982" s="17"/>
      <c r="F7982" s="17" t="s">
        <v>17246</v>
      </c>
      <c r="G7982" s="17"/>
      <c r="H7982" s="17" t="s">
        <v>17984</v>
      </c>
      <c r="I7982" s="17"/>
      <c r="J7982" s="17" t="s">
        <v>17985</v>
      </c>
      <c r="K7982" s="17"/>
      <c r="L7982" s="17" t="s">
        <v>18111</v>
      </c>
      <c r="M7982" s="17"/>
      <c r="N7982" s="17" t="s">
        <v>18112</v>
      </c>
      <c r="O7982" s="17"/>
      <c r="P7982" s="17" t="s">
        <v>18116</v>
      </c>
      <c r="Q7982" s="17"/>
      <c r="R7982" s="25" t="str">
        <f>HYPERLINK("https://ictv.global/taxonomy/taxondetails?taxnode_id=202302762","Anulavirus ALMMV")</f>
        <v>Anulavirus ALMMV</v>
      </c>
      <c r="S7982" s="18" t="s">
        <v>30</v>
      </c>
      <c r="T7982" s="18" t="s">
        <v>18117</v>
      </c>
      <c r="U7982" s="18" t="s">
        <v>18118</v>
      </c>
      <c r="V7982" s="18" t="s">
        <v>18119</v>
      </c>
      <c r="W7982" s="18" t="s">
        <v>50526</v>
      </c>
      <c r="X7982" s="18" t="s">
        <v>42</v>
      </c>
      <c r="Y7982" s="18" t="s">
        <v>17171</v>
      </c>
      <c r="Z7982" s="18" t="s">
        <v>13441</v>
      </c>
      <c r="AA7982" s="21" t="str">
        <f>HYPERLINK("https://www.ncbi.nlm.nih.gov/nuccore/AB724113,AB724114,AB724115","NCBI Nucleotide")</f>
        <v>NCBI Nucleotide</v>
      </c>
    </row>
    <row r="7983" spans="1:27" x14ac:dyDescent="0.35">
      <c r="A7983">
        <v>1008555</v>
      </c>
      <c r="B7983">
        <v>7404</v>
      </c>
      <c r="C7983">
        <v>1</v>
      </c>
      <c r="D7983" s="17" t="s">
        <v>17166</v>
      </c>
      <c r="E7983" s="17"/>
      <c r="F7983" s="17" t="s">
        <v>17246</v>
      </c>
      <c r="G7983" s="17"/>
      <c r="H7983" s="17" t="s">
        <v>17984</v>
      </c>
      <c r="I7983" s="17"/>
      <c r="J7983" s="17" t="s">
        <v>17985</v>
      </c>
      <c r="K7983" s="17"/>
      <c r="L7983" s="17" t="s">
        <v>18111</v>
      </c>
      <c r="M7983" s="17"/>
      <c r="N7983" s="17" t="s">
        <v>18112</v>
      </c>
      <c r="O7983" s="17"/>
      <c r="P7983" s="17" t="s">
        <v>18116</v>
      </c>
      <c r="Q7983" s="17"/>
      <c r="R7983" s="25" t="str">
        <f>HYPERLINK("https://ictv.global/taxonomy/taxondetails?taxnode_id=202313833","Anulavirus GLPV")</f>
        <v>Anulavirus GLPV</v>
      </c>
      <c r="S7983" s="18" t="s">
        <v>30</v>
      </c>
      <c r="T7983" s="18" t="s">
        <v>18120</v>
      </c>
      <c r="U7983" s="18" t="s">
        <v>18121</v>
      </c>
      <c r="V7983" s="18" t="s">
        <v>18122</v>
      </c>
      <c r="W7983" s="18" t="s">
        <v>18123</v>
      </c>
      <c r="X7983" s="18" t="s">
        <v>42</v>
      </c>
      <c r="Y7983" s="18" t="s">
        <v>17171</v>
      </c>
      <c r="Z7983" s="18" t="s">
        <v>13441</v>
      </c>
      <c r="AA7983" s="21" t="str">
        <f>HYPERLINK("https://www.ncbi.nlm.nih.gov/nuccore/MT319109,MT319110,MT319111","NCBI Nucleotide")</f>
        <v>NCBI Nucleotide</v>
      </c>
    </row>
    <row r="7984" spans="1:27" x14ac:dyDescent="0.35">
      <c r="A7984">
        <v>1012746</v>
      </c>
      <c r="B7984">
        <v>7404</v>
      </c>
      <c r="C7984">
        <v>2</v>
      </c>
      <c r="D7984" s="17" t="s">
        <v>17166</v>
      </c>
      <c r="E7984" s="17"/>
      <c r="F7984" s="17" t="s">
        <v>17246</v>
      </c>
      <c r="G7984" s="17"/>
      <c r="H7984" s="17" t="s">
        <v>17984</v>
      </c>
      <c r="I7984" s="17"/>
      <c r="J7984" s="17" t="s">
        <v>17985</v>
      </c>
      <c r="K7984" s="17"/>
      <c r="L7984" s="17" t="s">
        <v>18111</v>
      </c>
      <c r="M7984" s="17"/>
      <c r="N7984" s="17" t="s">
        <v>18112</v>
      </c>
      <c r="O7984" s="17"/>
      <c r="P7984" s="17" t="s">
        <v>18116</v>
      </c>
      <c r="Q7984" s="17"/>
      <c r="R7984" s="25" t="str">
        <f>HYPERLINK("https://ictv.global/taxonomy/taxondetails?taxnode_id=202313833","Anulavirus GLPV")</f>
        <v>Anulavirus GLPV</v>
      </c>
      <c r="S7984" s="18" t="s">
        <v>8141</v>
      </c>
      <c r="T7984" s="18" t="s">
        <v>18120</v>
      </c>
      <c r="U7984" s="18" t="s">
        <v>18121</v>
      </c>
      <c r="V7984" s="18" t="s">
        <v>18124</v>
      </c>
      <c r="W7984" s="18" t="s">
        <v>49302</v>
      </c>
      <c r="X7984" s="18" t="s">
        <v>42</v>
      </c>
      <c r="Y7984" s="18" t="s">
        <v>17171</v>
      </c>
      <c r="Z7984" s="18" t="s">
        <v>13441</v>
      </c>
      <c r="AA7984" s="21" t="str">
        <f>HYPERLINK("https://www.ncbi.nlm.nih.gov/nuccore/MW888424,MW888423,MW888422","NCBI Nucleotide")</f>
        <v>NCBI Nucleotide</v>
      </c>
    </row>
    <row r="7985" spans="1:27" x14ac:dyDescent="0.35">
      <c r="A7985">
        <v>1008556</v>
      </c>
      <c r="B7985">
        <v>7405</v>
      </c>
      <c r="C7985">
        <v>1</v>
      </c>
      <c r="D7985" s="17" t="s">
        <v>17166</v>
      </c>
      <c r="E7985" s="17"/>
      <c r="F7985" s="17" t="s">
        <v>17246</v>
      </c>
      <c r="G7985" s="17"/>
      <c r="H7985" s="17" t="s">
        <v>17984</v>
      </c>
      <c r="I7985" s="17"/>
      <c r="J7985" s="17" t="s">
        <v>17985</v>
      </c>
      <c r="K7985" s="17"/>
      <c r="L7985" s="17" t="s">
        <v>18111</v>
      </c>
      <c r="M7985" s="17"/>
      <c r="N7985" s="17" t="s">
        <v>18112</v>
      </c>
      <c r="O7985" s="17"/>
      <c r="P7985" s="17" t="s">
        <v>18116</v>
      </c>
      <c r="Q7985" s="17"/>
      <c r="R7985" s="25" t="str">
        <f>HYPERLINK("https://ictv.global/taxonomy/taxondetails?taxnode_id=202302763","Anulavirus PZSV")</f>
        <v>Anulavirus PZSV</v>
      </c>
      <c r="S7985" s="18" t="s">
        <v>30</v>
      </c>
      <c r="T7985" s="18" t="s">
        <v>18125</v>
      </c>
      <c r="U7985" s="18" t="s">
        <v>18126</v>
      </c>
      <c r="V7985" s="18" t="s">
        <v>18127</v>
      </c>
      <c r="W7985" s="18" t="s">
        <v>18128</v>
      </c>
      <c r="X7985" s="18" t="s">
        <v>42</v>
      </c>
      <c r="Y7985" s="18" t="s">
        <v>17171</v>
      </c>
      <c r="Z7985" s="18" t="s">
        <v>13441</v>
      </c>
      <c r="AA7985" s="21" t="str">
        <f>HYPERLINK("https://www.ncbi.nlm.nih.gov/nuccore/AJ272327,AJ272328,AJ272329","NCBI Nucleotide")</f>
        <v>NCBI Nucleotide</v>
      </c>
    </row>
    <row r="7986" spans="1:27" x14ac:dyDescent="0.35">
      <c r="A7986">
        <v>1008557</v>
      </c>
      <c r="B7986">
        <v>7406</v>
      </c>
      <c r="C7986">
        <v>1</v>
      </c>
      <c r="D7986" s="17" t="s">
        <v>17166</v>
      </c>
      <c r="E7986" s="17"/>
      <c r="F7986" s="17" t="s">
        <v>17246</v>
      </c>
      <c r="G7986" s="17"/>
      <c r="H7986" s="17" t="s">
        <v>17984</v>
      </c>
      <c r="I7986" s="17"/>
      <c r="J7986" s="17" t="s">
        <v>17985</v>
      </c>
      <c r="K7986" s="17"/>
      <c r="L7986" s="17" t="s">
        <v>18111</v>
      </c>
      <c r="M7986" s="17"/>
      <c r="N7986" s="17" t="s">
        <v>18112</v>
      </c>
      <c r="O7986" s="17"/>
      <c r="P7986" s="17" t="s">
        <v>18129</v>
      </c>
      <c r="Q7986" s="17"/>
      <c r="R7986" s="25" t="str">
        <f>HYPERLINK("https://ictv.global/taxonomy/taxondetails?taxnode_id=202302765","Bromovirus BBMV")</f>
        <v>Bromovirus BBMV</v>
      </c>
      <c r="S7986" s="18" t="s">
        <v>30</v>
      </c>
      <c r="T7986" s="18" t="s">
        <v>18130</v>
      </c>
      <c r="U7986" s="18" t="s">
        <v>18131</v>
      </c>
      <c r="V7986" s="18" t="s">
        <v>18132</v>
      </c>
      <c r="W7986" s="18" t="s">
        <v>50527</v>
      </c>
      <c r="X7986" s="18" t="s">
        <v>42</v>
      </c>
      <c r="Y7986" s="18" t="s">
        <v>17171</v>
      </c>
      <c r="Z7986" s="18" t="s">
        <v>13441</v>
      </c>
      <c r="AA7986" s="21" t="str">
        <f>HYPERLINK("https://www.ncbi.nlm.nih.gov/nuccore/M65138,M64713,M60291","NCBI Nucleotide")</f>
        <v>NCBI Nucleotide</v>
      </c>
    </row>
    <row r="7987" spans="1:27" x14ac:dyDescent="0.35">
      <c r="A7987">
        <v>1008558</v>
      </c>
      <c r="B7987">
        <v>7407</v>
      </c>
      <c r="C7987">
        <v>1</v>
      </c>
      <c r="D7987" s="17" t="s">
        <v>17166</v>
      </c>
      <c r="E7987" s="17"/>
      <c r="F7987" s="17" t="s">
        <v>17246</v>
      </c>
      <c r="G7987" s="17"/>
      <c r="H7987" s="17" t="s">
        <v>17984</v>
      </c>
      <c r="I7987" s="17"/>
      <c r="J7987" s="17" t="s">
        <v>17985</v>
      </c>
      <c r="K7987" s="17"/>
      <c r="L7987" s="17" t="s">
        <v>18111</v>
      </c>
      <c r="M7987" s="17"/>
      <c r="N7987" s="17" t="s">
        <v>18112</v>
      </c>
      <c r="O7987" s="17"/>
      <c r="P7987" s="17" t="s">
        <v>18129</v>
      </c>
      <c r="Q7987" s="17"/>
      <c r="R7987" s="25" t="str">
        <f>HYPERLINK("https://ictv.global/taxonomy/taxondetails?taxnode_id=202302766","Bromovirus BMV")</f>
        <v>Bromovirus BMV</v>
      </c>
      <c r="S7987" s="18" t="s">
        <v>30</v>
      </c>
      <c r="T7987" s="18" t="s">
        <v>18133</v>
      </c>
      <c r="U7987" s="18" t="s">
        <v>18134</v>
      </c>
      <c r="V7987" s="18" t="s">
        <v>18135</v>
      </c>
      <c r="W7987" s="18" t="s">
        <v>50528</v>
      </c>
      <c r="X7987" s="18" t="s">
        <v>42</v>
      </c>
      <c r="Y7987" s="18" t="s">
        <v>17171</v>
      </c>
      <c r="Z7987" s="18" t="s">
        <v>13441</v>
      </c>
      <c r="AA7987" s="21" t="str">
        <f>HYPERLINK("https://www.ncbi.nlm.nih.gov/nuccore/X02380,X01678,J02042","NCBI Nucleotide")</f>
        <v>NCBI Nucleotide</v>
      </c>
    </row>
    <row r="7988" spans="1:27" x14ac:dyDescent="0.35">
      <c r="A7988">
        <v>1008561</v>
      </c>
      <c r="B7988">
        <v>7408</v>
      </c>
      <c r="C7988">
        <v>1</v>
      </c>
      <c r="D7988" s="17" t="s">
        <v>17166</v>
      </c>
      <c r="E7988" s="17"/>
      <c r="F7988" s="17" t="s">
        <v>17246</v>
      </c>
      <c r="G7988" s="17"/>
      <c r="H7988" s="17" t="s">
        <v>17984</v>
      </c>
      <c r="I7988" s="17"/>
      <c r="J7988" s="17" t="s">
        <v>17985</v>
      </c>
      <c r="K7988" s="17"/>
      <c r="L7988" s="17" t="s">
        <v>18111</v>
      </c>
      <c r="M7988" s="17"/>
      <c r="N7988" s="17" t="s">
        <v>18112</v>
      </c>
      <c r="O7988" s="17"/>
      <c r="P7988" s="17" t="s">
        <v>18129</v>
      </c>
      <c r="Q7988" s="17"/>
      <c r="R7988" s="25" t="str">
        <f>HYPERLINK("https://ictv.global/taxonomy/taxondetails?taxnode_id=202302768","Bromovirus CCMV")</f>
        <v>Bromovirus CCMV</v>
      </c>
      <c r="S7988" s="18" t="s">
        <v>30</v>
      </c>
      <c r="T7988" s="18" t="s">
        <v>18144</v>
      </c>
      <c r="U7988" s="18" t="s">
        <v>18145</v>
      </c>
      <c r="V7988" s="18" t="s">
        <v>18132</v>
      </c>
      <c r="W7988" s="18" t="s">
        <v>50529</v>
      </c>
      <c r="X7988" s="18" t="s">
        <v>42</v>
      </c>
      <c r="Y7988" s="18" t="s">
        <v>17171</v>
      </c>
      <c r="Z7988" s="18" t="s">
        <v>13441</v>
      </c>
      <c r="AA7988" s="21" t="str">
        <f>HYPERLINK("https://www.ncbi.nlm.nih.gov/nuccore/M65139,M28817,M28818","NCBI Nucleotide")</f>
        <v>NCBI Nucleotide</v>
      </c>
    </row>
    <row r="7989" spans="1:27" x14ac:dyDescent="0.35">
      <c r="A7989">
        <v>1008560</v>
      </c>
      <c r="B7989">
        <v>7409</v>
      </c>
      <c r="C7989">
        <v>1</v>
      </c>
      <c r="D7989" s="17" t="s">
        <v>17166</v>
      </c>
      <c r="E7989" s="17"/>
      <c r="F7989" s="17" t="s">
        <v>17246</v>
      </c>
      <c r="G7989" s="17"/>
      <c r="H7989" s="17" t="s">
        <v>17984</v>
      </c>
      <c r="I7989" s="17"/>
      <c r="J7989" s="17" t="s">
        <v>17985</v>
      </c>
      <c r="K7989" s="17"/>
      <c r="L7989" s="17" t="s">
        <v>18111</v>
      </c>
      <c r="M7989" s="17"/>
      <c r="N7989" s="17" t="s">
        <v>18112</v>
      </c>
      <c r="O7989" s="17"/>
      <c r="P7989" s="17" t="s">
        <v>18129</v>
      </c>
      <c r="Q7989" s="17"/>
      <c r="R7989" s="25" t="str">
        <f>HYPERLINK("https://ictv.global/taxonomy/taxondetails?taxnode_id=202302767","Bromovirus CYBV")</f>
        <v>Bromovirus CYBV</v>
      </c>
      <c r="S7989" s="18" t="s">
        <v>30</v>
      </c>
      <c r="T7989" s="18" t="s">
        <v>18140</v>
      </c>
      <c r="U7989" s="18" t="s">
        <v>18141</v>
      </c>
      <c r="V7989" s="18" t="s">
        <v>18142</v>
      </c>
      <c r="W7989" s="18" t="s">
        <v>18143</v>
      </c>
      <c r="X7989" s="18" t="s">
        <v>42</v>
      </c>
      <c r="Y7989" s="18" t="s">
        <v>17171</v>
      </c>
      <c r="Z7989" s="18" t="s">
        <v>13441</v>
      </c>
      <c r="AA7989" s="21" t="str">
        <f>HYPERLINK("https://www.ncbi.nlm.nih.gov/nuccore/AB194806,AB194807,AB194808","NCBI Nucleotide")</f>
        <v>NCBI Nucleotide</v>
      </c>
    </row>
    <row r="7990" spans="1:27" x14ac:dyDescent="0.35">
      <c r="A7990">
        <v>1008562</v>
      </c>
      <c r="B7990">
        <v>7410</v>
      </c>
      <c r="C7990">
        <v>1</v>
      </c>
      <c r="D7990" s="17" t="s">
        <v>17166</v>
      </c>
      <c r="E7990" s="17"/>
      <c r="F7990" s="17" t="s">
        <v>17246</v>
      </c>
      <c r="G7990" s="17"/>
      <c r="H7990" s="17" t="s">
        <v>17984</v>
      </c>
      <c r="I7990" s="17"/>
      <c r="J7990" s="17" t="s">
        <v>17985</v>
      </c>
      <c r="K7990" s="17"/>
      <c r="L7990" s="17" t="s">
        <v>18111</v>
      </c>
      <c r="M7990" s="17"/>
      <c r="N7990" s="17" t="s">
        <v>18112</v>
      </c>
      <c r="O7990" s="17"/>
      <c r="P7990" s="17" t="s">
        <v>18129</v>
      </c>
      <c r="Q7990" s="17"/>
      <c r="R7990" s="25" t="str">
        <f>HYPERLINK("https://ictv.global/taxonomy/taxondetails?taxnode_id=202302769","Bromovirus MYFV")</f>
        <v>Bromovirus MYFV</v>
      </c>
      <c r="S7990" s="18" t="s">
        <v>30</v>
      </c>
      <c r="T7990" s="18" t="s">
        <v>18146</v>
      </c>
      <c r="U7990" s="18" t="s">
        <v>18147</v>
      </c>
      <c r="V7990" s="18" t="s">
        <v>18142</v>
      </c>
      <c r="W7990" s="18" t="s">
        <v>18148</v>
      </c>
      <c r="X7990" s="18" t="s">
        <v>42</v>
      </c>
      <c r="Y7990" s="18" t="s">
        <v>17171</v>
      </c>
      <c r="Z7990" s="18" t="s">
        <v>13441</v>
      </c>
      <c r="AA7990" s="21" t="str">
        <f>HYPERLINK("https://www.ncbi.nlm.nih.gov/nuccore/AB444583,AB444584,AB444585","NCBI Nucleotide")</f>
        <v>NCBI Nucleotide</v>
      </c>
    </row>
    <row r="7991" spans="1:27" x14ac:dyDescent="0.35">
      <c r="A7991">
        <v>1008563</v>
      </c>
      <c r="B7991">
        <v>7411</v>
      </c>
      <c r="C7991">
        <v>1</v>
      </c>
      <c r="D7991" s="17" t="s">
        <v>17166</v>
      </c>
      <c r="E7991" s="17"/>
      <c r="F7991" s="17" t="s">
        <v>17246</v>
      </c>
      <c r="G7991" s="17"/>
      <c r="H7991" s="17" t="s">
        <v>17984</v>
      </c>
      <c r="I7991" s="17"/>
      <c r="J7991" s="17" t="s">
        <v>17985</v>
      </c>
      <c r="K7991" s="17"/>
      <c r="L7991" s="17" t="s">
        <v>18111</v>
      </c>
      <c r="M7991" s="17"/>
      <c r="N7991" s="17" t="s">
        <v>18112</v>
      </c>
      <c r="O7991" s="17"/>
      <c r="P7991" s="17" t="s">
        <v>18129</v>
      </c>
      <c r="Q7991" s="17"/>
      <c r="R7991" s="25" t="str">
        <f>HYPERLINK("https://ictv.global/taxonomy/taxondetails?taxnode_id=202302770","Bromovirus SBLV")</f>
        <v>Bromovirus SBLV</v>
      </c>
      <c r="S7991" s="18" t="s">
        <v>30</v>
      </c>
      <c r="T7991" s="18" t="s">
        <v>18149</v>
      </c>
      <c r="U7991" s="18" t="s">
        <v>18150</v>
      </c>
      <c r="V7991" s="18" t="s">
        <v>18142</v>
      </c>
      <c r="W7991" s="18" t="s">
        <v>18151</v>
      </c>
      <c r="X7991" s="18" t="s">
        <v>42</v>
      </c>
      <c r="Y7991" s="18" t="s">
        <v>17171</v>
      </c>
      <c r="Z7991" s="18" t="s">
        <v>13441</v>
      </c>
      <c r="AA7991" s="21" t="str">
        <f>HYPERLINK("https://www.ncbi.nlm.nih.gov/nuccore/AB080598,AB080599,AB080600","NCBI Nucleotide")</f>
        <v>NCBI Nucleotide</v>
      </c>
    </row>
    <row r="7992" spans="1:27" x14ac:dyDescent="0.35">
      <c r="A7992">
        <v>1008559</v>
      </c>
      <c r="B7992">
        <v>7412</v>
      </c>
      <c r="C7992">
        <v>1</v>
      </c>
      <c r="D7992" s="17" t="s">
        <v>17166</v>
      </c>
      <c r="E7992" s="17"/>
      <c r="F7992" s="17" t="s">
        <v>17246</v>
      </c>
      <c r="G7992" s="17"/>
      <c r="H7992" s="17" t="s">
        <v>17984</v>
      </c>
      <c r="I7992" s="17"/>
      <c r="J7992" s="17" t="s">
        <v>17985</v>
      </c>
      <c r="K7992" s="17"/>
      <c r="L7992" s="17" t="s">
        <v>18111</v>
      </c>
      <c r="M7992" s="17"/>
      <c r="N7992" s="17" t="s">
        <v>18112</v>
      </c>
      <c r="O7992" s="17"/>
      <c r="P7992" s="17" t="s">
        <v>18129</v>
      </c>
      <c r="Q7992" s="17"/>
      <c r="R7992" s="25" t="str">
        <f>HYPERLINK("https://ictv.global/taxonomy/taxondetails?taxnode_id=202313834","Bromovirus SVS")</f>
        <v>Bromovirus SVS</v>
      </c>
      <c r="S7992" s="18" t="s">
        <v>30</v>
      </c>
      <c r="T7992" s="18" t="s">
        <v>18136</v>
      </c>
      <c r="U7992" s="18" t="s">
        <v>18137</v>
      </c>
      <c r="V7992" s="18" t="s">
        <v>18138</v>
      </c>
      <c r="W7992" s="18" t="s">
        <v>18139</v>
      </c>
      <c r="X7992" s="18" t="s">
        <v>42</v>
      </c>
      <c r="Y7992" s="18" t="s">
        <v>17171</v>
      </c>
      <c r="Z7992" s="18" t="s">
        <v>13441</v>
      </c>
      <c r="AA7992" s="21" t="str">
        <f>HYPERLINK("https://www.ncbi.nlm.nih.gov/nuccore/MF688613,MF688614,MF688615","NCBI Nucleotide")</f>
        <v>NCBI Nucleotide</v>
      </c>
    </row>
    <row r="7993" spans="1:27" x14ac:dyDescent="0.35">
      <c r="A7993">
        <v>1008564</v>
      </c>
      <c r="B7993">
        <v>7413</v>
      </c>
      <c r="C7993">
        <v>1</v>
      </c>
      <c r="D7993" s="17" t="s">
        <v>17166</v>
      </c>
      <c r="E7993" s="17"/>
      <c r="F7993" s="17" t="s">
        <v>17246</v>
      </c>
      <c r="G7993" s="17"/>
      <c r="H7993" s="17" t="s">
        <v>17984</v>
      </c>
      <c r="I7993" s="17"/>
      <c r="J7993" s="17" t="s">
        <v>17985</v>
      </c>
      <c r="K7993" s="17"/>
      <c r="L7993" s="17" t="s">
        <v>18111</v>
      </c>
      <c r="M7993" s="17"/>
      <c r="N7993" s="17" t="s">
        <v>18112</v>
      </c>
      <c r="O7993" s="17"/>
      <c r="P7993" s="17" t="s">
        <v>18152</v>
      </c>
      <c r="Q7993" s="17"/>
      <c r="R7993" s="25" t="str">
        <f>HYPERLINK("https://ictv.global/taxonomy/taxondetails?taxnode_id=202302772","Cucumovirus CMV")</f>
        <v>Cucumovirus CMV</v>
      </c>
      <c r="S7993" s="18" t="s">
        <v>30</v>
      </c>
      <c r="T7993" s="18" t="s">
        <v>18153</v>
      </c>
      <c r="U7993" s="18" t="s">
        <v>18154</v>
      </c>
      <c r="V7993" s="18" t="s">
        <v>18155</v>
      </c>
      <c r="W7993" s="18" t="s">
        <v>50530</v>
      </c>
      <c r="X7993" s="18" t="s">
        <v>42</v>
      </c>
      <c r="Y7993" s="18" t="s">
        <v>17171</v>
      </c>
      <c r="Z7993" s="18" t="s">
        <v>13441</v>
      </c>
      <c r="AA7993" s="21" t="str">
        <f>HYPERLINK("https://www.ncbi.nlm.nih.gov/nuccore/D00356,D00355,D10538","NCBI Nucleotide")</f>
        <v>NCBI Nucleotide</v>
      </c>
    </row>
    <row r="7994" spans="1:27" x14ac:dyDescent="0.35">
      <c r="A7994">
        <v>1008565</v>
      </c>
      <c r="B7994">
        <v>7414</v>
      </c>
      <c r="C7994">
        <v>1</v>
      </c>
      <c r="D7994" s="17" t="s">
        <v>17166</v>
      </c>
      <c r="E7994" s="17"/>
      <c r="F7994" s="17" t="s">
        <v>17246</v>
      </c>
      <c r="G7994" s="17"/>
      <c r="H7994" s="17" t="s">
        <v>17984</v>
      </c>
      <c r="I7994" s="17"/>
      <c r="J7994" s="17" t="s">
        <v>17985</v>
      </c>
      <c r="K7994" s="17"/>
      <c r="L7994" s="17" t="s">
        <v>18111</v>
      </c>
      <c r="M7994" s="17"/>
      <c r="N7994" s="17" t="s">
        <v>18112</v>
      </c>
      <c r="O7994" s="17"/>
      <c r="P7994" s="17" t="s">
        <v>18152</v>
      </c>
      <c r="Q7994" s="17"/>
      <c r="R7994" s="25" t="str">
        <f>HYPERLINK("https://ictv.global/taxonomy/taxondetails?taxnode_id=202302773","Cucumovirus GMMV")</f>
        <v>Cucumovirus GMMV</v>
      </c>
      <c r="S7994" s="18" t="s">
        <v>30</v>
      </c>
      <c r="T7994" s="18" t="s">
        <v>18156</v>
      </c>
      <c r="U7994" s="18" t="s">
        <v>18157</v>
      </c>
      <c r="V7994" s="18" t="s">
        <v>18158</v>
      </c>
      <c r="W7994" s="18" t="s">
        <v>18159</v>
      </c>
      <c r="X7994" s="18" t="s">
        <v>42</v>
      </c>
      <c r="Y7994" s="18" t="s">
        <v>17171</v>
      </c>
      <c r="Z7994" s="18" t="s">
        <v>13441</v>
      </c>
      <c r="AA7994" s="21" t="str">
        <f>HYPERLINK("https://www.ncbi.nlm.nih.gov/nuccore/FM881899,FM881900,FM881901","NCBI Nucleotide")</f>
        <v>NCBI Nucleotide</v>
      </c>
    </row>
    <row r="7995" spans="1:27" x14ac:dyDescent="0.35">
      <c r="A7995">
        <v>1008566</v>
      </c>
      <c r="B7995">
        <v>7415</v>
      </c>
      <c r="C7995">
        <v>1</v>
      </c>
      <c r="D7995" s="17" t="s">
        <v>17166</v>
      </c>
      <c r="E7995" s="17"/>
      <c r="F7995" s="17" t="s">
        <v>17246</v>
      </c>
      <c r="G7995" s="17"/>
      <c r="H7995" s="17" t="s">
        <v>17984</v>
      </c>
      <c r="I7995" s="17"/>
      <c r="J7995" s="17" t="s">
        <v>17985</v>
      </c>
      <c r="K7995" s="17"/>
      <c r="L7995" s="17" t="s">
        <v>18111</v>
      </c>
      <c r="M7995" s="17"/>
      <c r="N7995" s="17" t="s">
        <v>18112</v>
      </c>
      <c r="O7995" s="17"/>
      <c r="P7995" s="17" t="s">
        <v>18152</v>
      </c>
      <c r="Q7995" s="17"/>
      <c r="R7995" s="25" t="str">
        <f>HYPERLINK("https://ictv.global/taxonomy/taxondetails?taxnode_id=202302774","Cucumovirus PSV")</f>
        <v>Cucumovirus PSV</v>
      </c>
      <c r="S7995" s="18" t="s">
        <v>30</v>
      </c>
      <c r="T7995" s="18" t="s">
        <v>18160</v>
      </c>
      <c r="U7995" s="18" t="s">
        <v>18161</v>
      </c>
      <c r="V7995" s="18" t="s">
        <v>18162</v>
      </c>
      <c r="W7995" s="18" t="s">
        <v>18163</v>
      </c>
      <c r="X7995" s="18" t="s">
        <v>42</v>
      </c>
      <c r="Y7995" s="18" t="s">
        <v>17171</v>
      </c>
      <c r="Z7995" s="18" t="s">
        <v>13441</v>
      </c>
      <c r="AA7995" s="21" t="str">
        <f>HYPERLINK("https://www.ncbi.nlm.nih.gov/nuccore/U15728,U15729,U15730","NCBI Nucleotide")</f>
        <v>NCBI Nucleotide</v>
      </c>
    </row>
    <row r="7996" spans="1:27" x14ac:dyDescent="0.35">
      <c r="A7996">
        <v>1008567</v>
      </c>
      <c r="B7996">
        <v>7416</v>
      </c>
      <c r="C7996">
        <v>1</v>
      </c>
      <c r="D7996" s="17" t="s">
        <v>17166</v>
      </c>
      <c r="E7996" s="17"/>
      <c r="F7996" s="17" t="s">
        <v>17246</v>
      </c>
      <c r="G7996" s="17"/>
      <c r="H7996" s="17" t="s">
        <v>17984</v>
      </c>
      <c r="I7996" s="17"/>
      <c r="J7996" s="17" t="s">
        <v>17985</v>
      </c>
      <c r="K7996" s="17"/>
      <c r="L7996" s="17" t="s">
        <v>18111</v>
      </c>
      <c r="M7996" s="17"/>
      <c r="N7996" s="17" t="s">
        <v>18112</v>
      </c>
      <c r="O7996" s="17"/>
      <c r="P7996" s="17" t="s">
        <v>18152</v>
      </c>
      <c r="Q7996" s="17"/>
      <c r="R7996" s="25" t="str">
        <f>HYPERLINK("https://ictv.global/taxonomy/taxondetails?taxnode_id=202302775","Cucumovirus TAV")</f>
        <v>Cucumovirus TAV</v>
      </c>
      <c r="S7996" s="18" t="s">
        <v>30</v>
      </c>
      <c r="T7996" s="18" t="s">
        <v>18164</v>
      </c>
      <c r="U7996" s="18" t="s">
        <v>18165</v>
      </c>
      <c r="V7996" s="18" t="s">
        <v>18166</v>
      </c>
      <c r="W7996" s="18" t="s">
        <v>50531</v>
      </c>
      <c r="X7996" s="18" t="s">
        <v>42</v>
      </c>
      <c r="Y7996" s="18" t="s">
        <v>17171</v>
      </c>
      <c r="Z7996" s="18" t="s">
        <v>13441</v>
      </c>
      <c r="AA7996" s="21" t="str">
        <f>HYPERLINK("https://www.ncbi.nlm.nih.gov/nuccore/D10044,D10663,AJ277268","NCBI Nucleotide")</f>
        <v>NCBI Nucleotide</v>
      </c>
    </row>
    <row r="7997" spans="1:27" x14ac:dyDescent="0.35">
      <c r="A7997">
        <v>1008568</v>
      </c>
      <c r="B7997">
        <v>7417</v>
      </c>
      <c r="C7997">
        <v>1</v>
      </c>
      <c r="D7997" s="17" t="s">
        <v>17166</v>
      </c>
      <c r="E7997" s="17"/>
      <c r="F7997" s="17" t="s">
        <v>17246</v>
      </c>
      <c r="G7997" s="17"/>
      <c r="H7997" s="17" t="s">
        <v>17984</v>
      </c>
      <c r="I7997" s="17"/>
      <c r="J7997" s="17" t="s">
        <v>17985</v>
      </c>
      <c r="K7997" s="17"/>
      <c r="L7997" s="17" t="s">
        <v>18111</v>
      </c>
      <c r="M7997" s="17"/>
      <c r="N7997" s="17" t="s">
        <v>18112</v>
      </c>
      <c r="O7997" s="17"/>
      <c r="P7997" s="17" t="s">
        <v>18167</v>
      </c>
      <c r="Q7997" s="17"/>
      <c r="R7997" s="25" t="str">
        <f>HYPERLINK("https://ictv.global/taxonomy/taxondetails?taxnode_id=202305758","Ilarvirus AGLV")</f>
        <v>Ilarvirus AGLV</v>
      </c>
      <c r="S7997" s="18" t="s">
        <v>30</v>
      </c>
      <c r="T7997" s="18" t="s">
        <v>18168</v>
      </c>
      <c r="U7997" s="18" t="s">
        <v>18169</v>
      </c>
      <c r="V7997" s="18">
        <v>1998</v>
      </c>
      <c r="W7997" s="18" t="s">
        <v>18170</v>
      </c>
      <c r="X7997" s="18" t="s">
        <v>42</v>
      </c>
      <c r="Y7997" s="18" t="s">
        <v>17171</v>
      </c>
      <c r="Z7997" s="18" t="s">
        <v>13441</v>
      </c>
      <c r="AA7997" s="21" t="str">
        <f>HYPERLINK("https://www.ncbi.nlm.nih.gov/nuccore/JX463340,JX463341,JX463342","NCBI Nucleotide")</f>
        <v>NCBI Nucleotide</v>
      </c>
    </row>
    <row r="7998" spans="1:27" x14ac:dyDescent="0.35">
      <c r="A7998">
        <v>1026672</v>
      </c>
      <c r="B7998">
        <v>7418</v>
      </c>
      <c r="C7998">
        <v>1</v>
      </c>
      <c r="D7998" s="17" t="s">
        <v>17166</v>
      </c>
      <c r="E7998" s="17"/>
      <c r="F7998" s="17" t="s">
        <v>17246</v>
      </c>
      <c r="G7998" s="17"/>
      <c r="H7998" s="17" t="s">
        <v>17984</v>
      </c>
      <c r="I7998" s="17"/>
      <c r="J7998" s="17" t="s">
        <v>17985</v>
      </c>
      <c r="K7998" s="17"/>
      <c r="L7998" s="17" t="s">
        <v>18111</v>
      </c>
      <c r="M7998" s="17"/>
      <c r="N7998" s="17" t="s">
        <v>18112</v>
      </c>
      <c r="O7998" s="17"/>
      <c r="P7998" s="17" t="s">
        <v>18167</v>
      </c>
      <c r="Q7998" s="17"/>
      <c r="R7998" s="25" t="str">
        <f>HYPERLINK("https://ictv.global/taxonomy/taxondetails?taxnode_id=202317819","Ilarvirus AIV2")</f>
        <v>Ilarvirus AIV2</v>
      </c>
      <c r="S7998" s="18" t="s">
        <v>30</v>
      </c>
      <c r="T7998" s="18" t="s">
        <v>42379</v>
      </c>
      <c r="U7998" s="18" t="s">
        <v>42380</v>
      </c>
      <c r="V7998" s="18" t="s">
        <v>42381</v>
      </c>
      <c r="W7998" s="18" t="s">
        <v>42382</v>
      </c>
      <c r="X7998" s="18" t="s">
        <v>42</v>
      </c>
      <c r="Y7998" s="18" t="s">
        <v>17171</v>
      </c>
      <c r="Z7998" s="18" t="s">
        <v>13441</v>
      </c>
      <c r="AA7998" s="21" t="str">
        <f>HYPERLINK("https://www.ncbi.nlm.nih.gov/nuccore/ON932434,ON932435,ON932436","NCBI Nucleotide")</f>
        <v>NCBI Nucleotide</v>
      </c>
    </row>
    <row r="7999" spans="1:27" x14ac:dyDescent="0.35">
      <c r="A7999">
        <v>1008569</v>
      </c>
      <c r="B7999">
        <v>7419</v>
      </c>
      <c r="C7999">
        <v>1</v>
      </c>
      <c r="D7999" s="17" t="s">
        <v>17166</v>
      </c>
      <c r="E7999" s="17"/>
      <c r="F7999" s="17" t="s">
        <v>17246</v>
      </c>
      <c r="G7999" s="17"/>
      <c r="H7999" s="17" t="s">
        <v>17984</v>
      </c>
      <c r="I7999" s="17"/>
      <c r="J7999" s="17" t="s">
        <v>17985</v>
      </c>
      <c r="K7999" s="17"/>
      <c r="L7999" s="17" t="s">
        <v>18111</v>
      </c>
      <c r="M7999" s="17"/>
      <c r="N7999" s="17" t="s">
        <v>18112</v>
      </c>
      <c r="O7999" s="17"/>
      <c r="P7999" s="17" t="s">
        <v>18167</v>
      </c>
      <c r="Q7999" s="17"/>
      <c r="R7999" s="25" t="str">
        <f>HYPERLINK("https://ictv.global/taxonomy/taxondetails?taxnode_id=202302777","Ilarvirus APLPV")</f>
        <v>Ilarvirus APLPV</v>
      </c>
      <c r="S7999" s="18" t="s">
        <v>30</v>
      </c>
      <c r="T7999" s="18" t="s">
        <v>18171</v>
      </c>
      <c r="U7999" s="18" t="s">
        <v>18172</v>
      </c>
      <c r="V7999" s="18" t="s">
        <v>18173</v>
      </c>
      <c r="W7999" s="18" t="s">
        <v>18174</v>
      </c>
      <c r="X7999" s="18" t="s">
        <v>42</v>
      </c>
      <c r="Y7999" s="18" t="s">
        <v>17171</v>
      </c>
      <c r="Z7999" s="18" t="s">
        <v>13441</v>
      </c>
      <c r="AA7999" s="21" t="str">
        <f>HYPERLINK("https://www.ncbi.nlm.nih.gov/nuccore/AF235033,AF235165,AF235166","NCBI Nucleotide")</f>
        <v>NCBI Nucleotide</v>
      </c>
    </row>
    <row r="8000" spans="1:27" x14ac:dyDescent="0.35">
      <c r="A8000">
        <v>1008570</v>
      </c>
      <c r="B8000">
        <v>7420</v>
      </c>
      <c r="C8000">
        <v>1</v>
      </c>
      <c r="D8000" s="17" t="s">
        <v>17166</v>
      </c>
      <c r="E8000" s="17"/>
      <c r="F8000" s="17" t="s">
        <v>17246</v>
      </c>
      <c r="G8000" s="17"/>
      <c r="H8000" s="17" t="s">
        <v>17984</v>
      </c>
      <c r="I8000" s="17"/>
      <c r="J8000" s="17" t="s">
        <v>17985</v>
      </c>
      <c r="K8000" s="17"/>
      <c r="L8000" s="17" t="s">
        <v>18111</v>
      </c>
      <c r="M8000" s="17"/>
      <c r="N8000" s="17" t="s">
        <v>18112</v>
      </c>
      <c r="O8000" s="17"/>
      <c r="P8000" s="17" t="s">
        <v>18167</v>
      </c>
      <c r="Q8000" s="17"/>
      <c r="R8000" s="25" t="str">
        <f>HYPERLINK("https://ictv.global/taxonomy/taxondetails?taxnode_id=202302778","Ilarvirus ApMV")</f>
        <v>Ilarvirus ApMV</v>
      </c>
      <c r="S8000" s="18" t="s">
        <v>30</v>
      </c>
      <c r="T8000" s="18" t="s">
        <v>18175</v>
      </c>
      <c r="U8000" s="18" t="s">
        <v>13956</v>
      </c>
      <c r="V8000" s="18" t="s">
        <v>18176</v>
      </c>
      <c r="W8000" s="18" t="s">
        <v>50532</v>
      </c>
      <c r="X8000" s="18" t="s">
        <v>154</v>
      </c>
      <c r="Y8000" s="18" t="s">
        <v>17171</v>
      </c>
      <c r="Z8000" s="18" t="s">
        <v>13441</v>
      </c>
      <c r="AA8000" s="21" t="str">
        <f>HYPERLINK("https://www.ncbi.nlm.nih.gov/nuccore/AF174584,AF174585,U15608","NCBI Nucleotide")</f>
        <v>NCBI Nucleotide</v>
      </c>
    </row>
    <row r="8001" spans="1:27" x14ac:dyDescent="0.35">
      <c r="A8001">
        <v>1008571</v>
      </c>
      <c r="B8001">
        <v>7421</v>
      </c>
      <c r="C8001">
        <v>1</v>
      </c>
      <c r="D8001" s="17" t="s">
        <v>17166</v>
      </c>
      <c r="E8001" s="17"/>
      <c r="F8001" s="17" t="s">
        <v>17246</v>
      </c>
      <c r="G8001" s="17"/>
      <c r="H8001" s="17" t="s">
        <v>17984</v>
      </c>
      <c r="I8001" s="17"/>
      <c r="J8001" s="17" t="s">
        <v>17985</v>
      </c>
      <c r="K8001" s="17"/>
      <c r="L8001" s="17" t="s">
        <v>18111</v>
      </c>
      <c r="M8001" s="17"/>
      <c r="N8001" s="17" t="s">
        <v>18112</v>
      </c>
      <c r="O8001" s="17"/>
      <c r="P8001" s="17" t="s">
        <v>18167</v>
      </c>
      <c r="Q8001" s="17"/>
      <c r="R8001" s="25" t="str">
        <f>HYPERLINK("https://ictv.global/taxonomy/taxondetails?taxnode_id=202302779","Ilarvirus AV2")</f>
        <v>Ilarvirus AV2</v>
      </c>
      <c r="S8001" s="18" t="s">
        <v>30</v>
      </c>
      <c r="T8001" s="18" t="s">
        <v>18177</v>
      </c>
      <c r="U8001" s="18" t="s">
        <v>18178</v>
      </c>
      <c r="V8001" s="18" t="s">
        <v>18179</v>
      </c>
      <c r="W8001" s="18" t="s">
        <v>18180</v>
      </c>
      <c r="X8001" s="18" t="s">
        <v>42</v>
      </c>
      <c r="Y8001" s="18" t="s">
        <v>17171</v>
      </c>
      <c r="Z8001" s="18" t="s">
        <v>13441</v>
      </c>
      <c r="AA8001" s="21" t="str">
        <f>HYPERLINK("https://www.ncbi.nlm.nih.gov/nuccore/EU919666,EU919667,X86352","NCBI Nucleotide")</f>
        <v>NCBI Nucleotide</v>
      </c>
    </row>
    <row r="8002" spans="1:27" x14ac:dyDescent="0.35">
      <c r="A8002">
        <v>1026673</v>
      </c>
      <c r="B8002">
        <v>7422</v>
      </c>
      <c r="C8002">
        <v>1</v>
      </c>
      <c r="D8002" s="17" t="s">
        <v>17166</v>
      </c>
      <c r="E8002" s="17"/>
      <c r="F8002" s="17" t="s">
        <v>17246</v>
      </c>
      <c r="G8002" s="17"/>
      <c r="H8002" s="17" t="s">
        <v>17984</v>
      </c>
      <c r="I8002" s="17"/>
      <c r="J8002" s="17" t="s">
        <v>17985</v>
      </c>
      <c r="K8002" s="17"/>
      <c r="L8002" s="17" t="s">
        <v>18111</v>
      </c>
      <c r="M8002" s="17"/>
      <c r="N8002" s="17" t="s">
        <v>18112</v>
      </c>
      <c r="O8002" s="17"/>
      <c r="P8002" s="17" t="s">
        <v>18167</v>
      </c>
      <c r="Q8002" s="17"/>
      <c r="R8002" s="25" t="str">
        <f>HYPERLINK("https://ictv.global/taxonomy/taxondetails?taxnode_id=202317818","Ilarvirus AYRSpV")</f>
        <v>Ilarvirus AYRSpV</v>
      </c>
      <c r="S8002" s="18" t="s">
        <v>30</v>
      </c>
      <c r="T8002" s="18" t="s">
        <v>42383</v>
      </c>
      <c r="U8002" s="18" t="s">
        <v>42384</v>
      </c>
      <c r="V8002" s="18" t="s">
        <v>42385</v>
      </c>
      <c r="W8002" s="18" t="s">
        <v>42386</v>
      </c>
      <c r="X8002" s="18" t="s">
        <v>35</v>
      </c>
      <c r="Y8002" s="18" t="s">
        <v>17171</v>
      </c>
      <c r="Z8002" s="18" t="s">
        <v>13441</v>
      </c>
      <c r="AA8002" s="21" t="str">
        <f>HYPERLINK("https://www.ncbi.nlm.nih.gov/nuccore/MN612758,MN612759,MN612760","NCBI Nucleotide")</f>
        <v>NCBI Nucleotide</v>
      </c>
    </row>
    <row r="8003" spans="1:27" x14ac:dyDescent="0.35">
      <c r="A8003">
        <v>1008572</v>
      </c>
      <c r="B8003">
        <v>7423</v>
      </c>
      <c r="C8003">
        <v>1</v>
      </c>
      <c r="D8003" s="17" t="s">
        <v>17166</v>
      </c>
      <c r="E8003" s="17"/>
      <c r="F8003" s="17" t="s">
        <v>17246</v>
      </c>
      <c r="G8003" s="17"/>
      <c r="H8003" s="17" t="s">
        <v>17984</v>
      </c>
      <c r="I8003" s="17"/>
      <c r="J8003" s="17" t="s">
        <v>17985</v>
      </c>
      <c r="K8003" s="17"/>
      <c r="L8003" s="17" t="s">
        <v>18111</v>
      </c>
      <c r="M8003" s="17"/>
      <c r="N8003" s="17" t="s">
        <v>18112</v>
      </c>
      <c r="O8003" s="17"/>
      <c r="P8003" s="17" t="s">
        <v>18167</v>
      </c>
      <c r="Q8003" s="17"/>
      <c r="R8003" s="25" t="str">
        <f>HYPERLINK("https://ictv.global/taxonomy/taxondetails?taxnode_id=202302780","Ilarvirus BCRV")</f>
        <v>Ilarvirus BCRV</v>
      </c>
      <c r="S8003" s="18" t="s">
        <v>30</v>
      </c>
      <c r="T8003" s="18" t="s">
        <v>18181</v>
      </c>
      <c r="U8003" s="18" t="s">
        <v>18182</v>
      </c>
      <c r="V8003" s="18" t="s">
        <v>18183</v>
      </c>
      <c r="W8003" s="18" t="s">
        <v>18184</v>
      </c>
      <c r="X8003" s="18" t="s">
        <v>42</v>
      </c>
      <c r="Y8003" s="18" t="s">
        <v>17171</v>
      </c>
      <c r="Z8003" s="18" t="s">
        <v>13441</v>
      </c>
      <c r="AA8003" s="21" t="str">
        <f>HYPERLINK("https://www.ncbi.nlm.nih.gov/nuccore/DQ091193,DQ091194,DQ091195","NCBI Nucleotide")</f>
        <v>NCBI Nucleotide</v>
      </c>
    </row>
    <row r="8004" spans="1:27" x14ac:dyDescent="0.35">
      <c r="A8004">
        <v>1008573</v>
      </c>
      <c r="B8004">
        <v>7424</v>
      </c>
      <c r="C8004">
        <v>1</v>
      </c>
      <c r="D8004" s="17" t="s">
        <v>17166</v>
      </c>
      <c r="E8004" s="17"/>
      <c r="F8004" s="17" t="s">
        <v>17246</v>
      </c>
      <c r="G8004" s="17"/>
      <c r="H8004" s="17" t="s">
        <v>17984</v>
      </c>
      <c r="I8004" s="17"/>
      <c r="J8004" s="17" t="s">
        <v>17985</v>
      </c>
      <c r="K8004" s="17"/>
      <c r="L8004" s="17" t="s">
        <v>18111</v>
      </c>
      <c r="M8004" s="17"/>
      <c r="N8004" s="17" t="s">
        <v>18112</v>
      </c>
      <c r="O8004" s="17"/>
      <c r="P8004" s="17" t="s">
        <v>18167</v>
      </c>
      <c r="Q8004" s="17"/>
      <c r="R8004" s="25" t="str">
        <f>HYPERLINK("https://ictv.global/taxonomy/taxondetails?taxnode_id=202302781","Ilarvirus BSV")</f>
        <v>Ilarvirus BSV</v>
      </c>
      <c r="S8004" s="18" t="s">
        <v>30</v>
      </c>
      <c r="T8004" s="18" t="s">
        <v>18185</v>
      </c>
      <c r="U8004" s="18" t="s">
        <v>18186</v>
      </c>
      <c r="V8004" s="18" t="s">
        <v>18187</v>
      </c>
      <c r="W8004" s="18" t="s">
        <v>18188</v>
      </c>
      <c r="X8004" s="18" t="s">
        <v>42</v>
      </c>
      <c r="Y8004" s="18" t="s">
        <v>17171</v>
      </c>
      <c r="Z8004" s="18" t="s">
        <v>13441</v>
      </c>
      <c r="AA8004" s="21" t="str">
        <f>HYPERLINK("https://www.ncbi.nlm.nih.gov/nuccore/KF031037,KF031038,KF031039","NCBI Nucleotide")</f>
        <v>NCBI Nucleotide</v>
      </c>
    </row>
    <row r="8005" spans="1:27" x14ac:dyDescent="0.35">
      <c r="A8005">
        <v>1026674</v>
      </c>
      <c r="B8005">
        <v>7425</v>
      </c>
      <c r="C8005">
        <v>1</v>
      </c>
      <c r="D8005" s="17" t="s">
        <v>17166</v>
      </c>
      <c r="E8005" s="17"/>
      <c r="F8005" s="17" t="s">
        <v>17246</v>
      </c>
      <c r="G8005" s="17"/>
      <c r="H8005" s="17" t="s">
        <v>17984</v>
      </c>
      <c r="I8005" s="17"/>
      <c r="J8005" s="17" t="s">
        <v>17985</v>
      </c>
      <c r="K8005" s="17"/>
      <c r="L8005" s="17" t="s">
        <v>18111</v>
      </c>
      <c r="M8005" s="17"/>
      <c r="N8005" s="17" t="s">
        <v>18112</v>
      </c>
      <c r="O8005" s="17"/>
      <c r="P8005" s="17" t="s">
        <v>18167</v>
      </c>
      <c r="Q8005" s="17"/>
      <c r="R8005" s="25" t="str">
        <f>HYPERLINK("https://ictv.global/taxonomy/taxondetails?taxnode_id=202317820","Ilarvirus CarIV1")</f>
        <v>Ilarvirus CarIV1</v>
      </c>
      <c r="S8005" s="18" t="s">
        <v>30</v>
      </c>
      <c r="T8005" s="18" t="s">
        <v>42387</v>
      </c>
      <c r="U8005" s="18" t="s">
        <v>42388</v>
      </c>
      <c r="V8005" s="18" t="s">
        <v>42389</v>
      </c>
      <c r="W8005" s="18" t="s">
        <v>42390</v>
      </c>
      <c r="X8005" s="18" t="s">
        <v>35</v>
      </c>
      <c r="Y8005" s="18" t="s">
        <v>17171</v>
      </c>
      <c r="Z8005" s="18" t="s">
        <v>13441</v>
      </c>
      <c r="AA8005" s="21" t="str">
        <f>HYPERLINK("https://www.ncbi.nlm.nih.gov/nuccore/OL964100,OL964099,OL964098","NCBI Nucleotide")</f>
        <v>NCBI Nucleotide</v>
      </c>
    </row>
    <row r="8006" spans="1:27" x14ac:dyDescent="0.35">
      <c r="A8006">
        <v>1008574</v>
      </c>
      <c r="B8006">
        <v>7426</v>
      </c>
      <c r="C8006">
        <v>1</v>
      </c>
      <c r="D8006" s="17" t="s">
        <v>17166</v>
      </c>
      <c r="E8006" s="17"/>
      <c r="F8006" s="17" t="s">
        <v>17246</v>
      </c>
      <c r="G8006" s="17"/>
      <c r="H8006" s="17" t="s">
        <v>17984</v>
      </c>
      <c r="I8006" s="17"/>
      <c r="J8006" s="17" t="s">
        <v>17985</v>
      </c>
      <c r="K8006" s="17"/>
      <c r="L8006" s="17" t="s">
        <v>18111</v>
      </c>
      <c r="M8006" s="17"/>
      <c r="N8006" s="17" t="s">
        <v>18112</v>
      </c>
      <c r="O8006" s="17"/>
      <c r="P8006" s="17" t="s">
        <v>18167</v>
      </c>
      <c r="Q8006" s="17"/>
      <c r="R8006" s="25" t="str">
        <f>HYPERLINK("https://ictv.global/taxonomy/taxondetails?taxnode_id=202302782","Ilarvirus CLRV")</f>
        <v>Ilarvirus CLRV</v>
      </c>
      <c r="S8006" s="18" t="s">
        <v>30</v>
      </c>
      <c r="T8006" s="18" t="s">
        <v>18189</v>
      </c>
      <c r="U8006" s="18" t="s">
        <v>18190</v>
      </c>
      <c r="V8006" s="18" t="s">
        <v>18173</v>
      </c>
      <c r="W8006" s="18" t="s">
        <v>50533</v>
      </c>
      <c r="X8006" s="18" t="s">
        <v>42</v>
      </c>
      <c r="Y8006" s="18" t="s">
        <v>17171</v>
      </c>
      <c r="Z8006" s="18" t="s">
        <v>13441</v>
      </c>
      <c r="AA8006" s="21" t="str">
        <f>HYPERLINK("https://www.ncbi.nlm.nih.gov/nuccore/U23715,U17726,U17390","NCBI Nucleotide")</f>
        <v>NCBI Nucleotide</v>
      </c>
    </row>
    <row r="8007" spans="1:27" x14ac:dyDescent="0.35">
      <c r="A8007">
        <v>1008575</v>
      </c>
      <c r="B8007">
        <v>7427</v>
      </c>
      <c r="C8007">
        <v>1</v>
      </c>
      <c r="D8007" s="17" t="s">
        <v>17166</v>
      </c>
      <c r="E8007" s="17"/>
      <c r="F8007" s="17" t="s">
        <v>17246</v>
      </c>
      <c r="G8007" s="17"/>
      <c r="H8007" s="17" t="s">
        <v>17984</v>
      </c>
      <c r="I8007" s="17"/>
      <c r="J8007" s="17" t="s">
        <v>17985</v>
      </c>
      <c r="K8007" s="17"/>
      <c r="L8007" s="17" t="s">
        <v>18111</v>
      </c>
      <c r="M8007" s="17"/>
      <c r="N8007" s="17" t="s">
        <v>18112</v>
      </c>
      <c r="O8007" s="17"/>
      <c r="P8007" s="17" t="s">
        <v>18167</v>
      </c>
      <c r="Q8007" s="17"/>
      <c r="R8007" s="25" t="str">
        <f>HYPERLINK("https://ictv.global/taxonomy/taxondetails?taxnode_id=202302783","Ilarvirus CVV")</f>
        <v>Ilarvirus CVV</v>
      </c>
      <c r="S8007" s="18" t="s">
        <v>30</v>
      </c>
      <c r="T8007" s="18" t="s">
        <v>18191</v>
      </c>
      <c r="U8007" s="18" t="s">
        <v>18192</v>
      </c>
      <c r="V8007" s="18" t="s">
        <v>18193</v>
      </c>
      <c r="W8007" s="18" t="s">
        <v>18194</v>
      </c>
      <c r="X8007" s="18" t="s">
        <v>42</v>
      </c>
      <c r="Y8007" s="18" t="s">
        <v>17171</v>
      </c>
      <c r="Z8007" s="18" t="s">
        <v>13441</v>
      </c>
      <c r="AA8007" s="21" t="str">
        <f>HYPERLINK("https://www.ncbi.nlm.nih.gov/nuccore/EF584664,EF584665,U17389","NCBI Nucleotide")</f>
        <v>NCBI Nucleotide</v>
      </c>
    </row>
    <row r="8008" spans="1:27" x14ac:dyDescent="0.35">
      <c r="A8008">
        <v>1008576</v>
      </c>
      <c r="B8008">
        <v>7428</v>
      </c>
      <c r="C8008">
        <v>1</v>
      </c>
      <c r="D8008" s="17" t="s">
        <v>17166</v>
      </c>
      <c r="E8008" s="17"/>
      <c r="F8008" s="17" t="s">
        <v>17246</v>
      </c>
      <c r="G8008" s="17"/>
      <c r="H8008" s="17" t="s">
        <v>17984</v>
      </c>
      <c r="I8008" s="17"/>
      <c r="J8008" s="17" t="s">
        <v>17985</v>
      </c>
      <c r="K8008" s="17"/>
      <c r="L8008" s="17" t="s">
        <v>18111</v>
      </c>
      <c r="M8008" s="17"/>
      <c r="N8008" s="17" t="s">
        <v>18112</v>
      </c>
      <c r="O8008" s="17"/>
      <c r="P8008" s="17" t="s">
        <v>18167</v>
      </c>
      <c r="Q8008" s="17"/>
      <c r="R8008" s="25" t="str">
        <f>HYPERLINK("https://ictv.global/taxonomy/taxondetails?taxnode_id=202302784","Ilarvirus EMoV")</f>
        <v>Ilarvirus EMoV</v>
      </c>
      <c r="S8008" s="18" t="s">
        <v>30</v>
      </c>
      <c r="T8008" s="18" t="s">
        <v>18195</v>
      </c>
      <c r="U8008" s="18" t="s">
        <v>18196</v>
      </c>
      <c r="V8008" s="18" t="s">
        <v>18173</v>
      </c>
      <c r="W8008" s="18" t="s">
        <v>50534</v>
      </c>
      <c r="X8008" s="18" t="s">
        <v>42</v>
      </c>
      <c r="Y8008" s="18" t="s">
        <v>17171</v>
      </c>
      <c r="Z8008" s="18" t="s">
        <v>13441</v>
      </c>
      <c r="AA8008" s="21" t="str">
        <f>HYPERLINK("https://www.ncbi.nlm.nih.gov/nuccore/U57047,U34050,U85399","NCBI Nucleotide")</f>
        <v>NCBI Nucleotide</v>
      </c>
    </row>
    <row r="8009" spans="1:27" x14ac:dyDescent="0.35">
      <c r="A8009">
        <v>1008577</v>
      </c>
      <c r="B8009">
        <v>7429</v>
      </c>
      <c r="C8009">
        <v>1</v>
      </c>
      <c r="D8009" s="17" t="s">
        <v>17166</v>
      </c>
      <c r="E8009" s="17"/>
      <c r="F8009" s="17" t="s">
        <v>17246</v>
      </c>
      <c r="G8009" s="17"/>
      <c r="H8009" s="17" t="s">
        <v>17984</v>
      </c>
      <c r="I8009" s="17"/>
      <c r="J8009" s="17" t="s">
        <v>17985</v>
      </c>
      <c r="K8009" s="17"/>
      <c r="L8009" s="17" t="s">
        <v>18111</v>
      </c>
      <c r="M8009" s="17"/>
      <c r="N8009" s="17" t="s">
        <v>18112</v>
      </c>
      <c r="O8009" s="17"/>
      <c r="P8009" s="17" t="s">
        <v>18167</v>
      </c>
      <c r="Q8009" s="17"/>
      <c r="R8009" s="25" t="str">
        <f>HYPERLINK("https://ictv.global/taxonomy/taxondetails?taxnode_id=202302785","Ilarvirus FCILV")</f>
        <v>Ilarvirus FCILV</v>
      </c>
      <c r="S8009" s="18" t="s">
        <v>30</v>
      </c>
      <c r="T8009" s="18" t="s">
        <v>18197</v>
      </c>
      <c r="U8009" s="18" t="s">
        <v>18198</v>
      </c>
      <c r="V8009" s="18" t="s">
        <v>18199</v>
      </c>
      <c r="W8009" s="18" t="s">
        <v>18200</v>
      </c>
      <c r="X8009" s="18" t="s">
        <v>42</v>
      </c>
      <c r="Y8009" s="18" t="s">
        <v>17171</v>
      </c>
      <c r="Z8009" s="18" t="s">
        <v>13441</v>
      </c>
      <c r="AA8009" s="21" t="str">
        <f>HYPERLINK("https://www.ncbi.nlm.nih.gov/nuccore/AY682102,AY707771,AY707772","NCBI Nucleotide")</f>
        <v>NCBI Nucleotide</v>
      </c>
    </row>
    <row r="8010" spans="1:27" x14ac:dyDescent="0.35">
      <c r="A8010">
        <v>1026675</v>
      </c>
      <c r="B8010">
        <v>7430</v>
      </c>
      <c r="C8010">
        <v>1</v>
      </c>
      <c r="D8010" s="17" t="s">
        <v>17166</v>
      </c>
      <c r="E8010" s="17"/>
      <c r="F8010" s="17" t="s">
        <v>17246</v>
      </c>
      <c r="G8010" s="17"/>
      <c r="H8010" s="17" t="s">
        <v>17984</v>
      </c>
      <c r="I8010" s="17"/>
      <c r="J8010" s="17" t="s">
        <v>17985</v>
      </c>
      <c r="K8010" s="17"/>
      <c r="L8010" s="17" t="s">
        <v>18111</v>
      </c>
      <c r="M8010" s="17"/>
      <c r="N8010" s="17" t="s">
        <v>18112</v>
      </c>
      <c r="O8010" s="17"/>
      <c r="P8010" s="17" t="s">
        <v>18167</v>
      </c>
      <c r="Q8010" s="17"/>
      <c r="R8010" s="25" t="str">
        <f>HYPERLINK("https://ictv.global/taxonomy/taxondetails?taxnode_id=202317821","Ilarvirus HdVBV")</f>
        <v>Ilarvirus HdVBV</v>
      </c>
      <c r="S8010" s="18" t="s">
        <v>30</v>
      </c>
      <c r="T8010" s="18" t="s">
        <v>42391</v>
      </c>
      <c r="U8010" s="18" t="s">
        <v>42392</v>
      </c>
      <c r="V8010" s="18" t="s">
        <v>42393</v>
      </c>
      <c r="W8010" s="18" t="s">
        <v>42394</v>
      </c>
      <c r="X8010" s="18" t="s">
        <v>42</v>
      </c>
      <c r="Y8010" s="18" t="s">
        <v>17171</v>
      </c>
      <c r="Z8010" s="18" t="s">
        <v>13441</v>
      </c>
      <c r="AA8010" s="21" t="str">
        <f>HYPERLINK("https://www.ncbi.nlm.nih.gov/nuccore/OK666835,OK666836,OK666837","NCBI Nucleotide")</f>
        <v>NCBI Nucleotide</v>
      </c>
    </row>
    <row r="8011" spans="1:27" x14ac:dyDescent="0.35">
      <c r="A8011">
        <v>1008578</v>
      </c>
      <c r="B8011">
        <v>7431</v>
      </c>
      <c r="C8011">
        <v>1</v>
      </c>
      <c r="D8011" s="17" t="s">
        <v>17166</v>
      </c>
      <c r="E8011" s="17"/>
      <c r="F8011" s="17" t="s">
        <v>17246</v>
      </c>
      <c r="G8011" s="17"/>
      <c r="H8011" s="17" t="s">
        <v>17984</v>
      </c>
      <c r="I8011" s="17"/>
      <c r="J8011" s="17" t="s">
        <v>17985</v>
      </c>
      <c r="K8011" s="17"/>
      <c r="L8011" s="17" t="s">
        <v>18111</v>
      </c>
      <c r="M8011" s="17"/>
      <c r="N8011" s="17" t="s">
        <v>18112</v>
      </c>
      <c r="O8011" s="17"/>
      <c r="P8011" s="17" t="s">
        <v>18167</v>
      </c>
      <c r="Q8011" s="17"/>
      <c r="R8011" s="25" t="str">
        <f>HYPERLINK("https://ictv.global/taxonomy/taxondetails?taxnode_id=202302786","Ilarvirus HJLV")</f>
        <v>Ilarvirus HJLV</v>
      </c>
      <c r="S8011" s="18" t="s">
        <v>30</v>
      </c>
      <c r="T8011" s="18" t="s">
        <v>18201</v>
      </c>
      <c r="U8011" s="18" t="s">
        <v>18202</v>
      </c>
      <c r="V8011" s="18" t="s">
        <v>18183</v>
      </c>
      <c r="W8011" s="18" t="s">
        <v>18203</v>
      </c>
      <c r="X8011" s="18" t="s">
        <v>42</v>
      </c>
      <c r="Y8011" s="18" t="s">
        <v>17171</v>
      </c>
      <c r="Z8011" s="18" t="s">
        <v>13441</v>
      </c>
      <c r="AA8011" s="21" t="str">
        <f>HYPERLINK("https://www.ncbi.nlm.nih.gov/nuccore/AY500236,AY500237,AY500238","NCBI Nucleotide")</f>
        <v>NCBI Nucleotide</v>
      </c>
    </row>
    <row r="8012" spans="1:27" x14ac:dyDescent="0.35">
      <c r="A8012">
        <v>1008579</v>
      </c>
      <c r="B8012">
        <v>7432</v>
      </c>
      <c r="C8012">
        <v>1</v>
      </c>
      <c r="D8012" s="17" t="s">
        <v>17166</v>
      </c>
      <c r="E8012" s="17"/>
      <c r="F8012" s="17" t="s">
        <v>17246</v>
      </c>
      <c r="G8012" s="17"/>
      <c r="H8012" s="17" t="s">
        <v>17984</v>
      </c>
      <c r="I8012" s="17"/>
      <c r="J8012" s="17" t="s">
        <v>17985</v>
      </c>
      <c r="K8012" s="17"/>
      <c r="L8012" s="17" t="s">
        <v>18111</v>
      </c>
      <c r="M8012" s="17"/>
      <c r="N8012" s="17" t="s">
        <v>18112</v>
      </c>
      <c r="O8012" s="17"/>
      <c r="P8012" s="17" t="s">
        <v>18167</v>
      </c>
      <c r="Q8012" s="17"/>
      <c r="R8012" s="25" t="str">
        <f>HYPERLINK("https://ictv.global/taxonomy/taxondetails?taxnode_id=202302787","Ilarvirus LLCV")</f>
        <v>Ilarvirus LLCV</v>
      </c>
      <c r="S8012" s="18" t="s">
        <v>30</v>
      </c>
      <c r="T8012" s="18" t="s">
        <v>18204</v>
      </c>
      <c r="U8012" s="18" t="s">
        <v>18205</v>
      </c>
      <c r="V8012" s="18" t="s">
        <v>18206</v>
      </c>
      <c r="W8012" s="18" t="s">
        <v>50535</v>
      </c>
      <c r="X8012" s="18" t="s">
        <v>42</v>
      </c>
      <c r="Y8012" s="18" t="s">
        <v>17171</v>
      </c>
      <c r="Z8012" s="18" t="s">
        <v>13441</v>
      </c>
      <c r="AA8012" s="21" t="str">
        <f>HYPERLINK("https://www.ncbi.nlm.nih.gov/nuccore/HE572565,FN669168,FN669169","NCBI Nucleotide")</f>
        <v>NCBI Nucleotide</v>
      </c>
    </row>
    <row r="8013" spans="1:27" x14ac:dyDescent="0.35">
      <c r="A8013">
        <v>1008580</v>
      </c>
      <c r="B8013">
        <v>7433</v>
      </c>
      <c r="C8013">
        <v>1</v>
      </c>
      <c r="D8013" s="17" t="s">
        <v>17166</v>
      </c>
      <c r="E8013" s="17"/>
      <c r="F8013" s="17" t="s">
        <v>17246</v>
      </c>
      <c r="G8013" s="17"/>
      <c r="H8013" s="17" t="s">
        <v>17984</v>
      </c>
      <c r="I8013" s="17"/>
      <c r="J8013" s="17" t="s">
        <v>17985</v>
      </c>
      <c r="K8013" s="17"/>
      <c r="L8013" s="17" t="s">
        <v>18111</v>
      </c>
      <c r="M8013" s="17"/>
      <c r="N8013" s="17" t="s">
        <v>18112</v>
      </c>
      <c r="O8013" s="17"/>
      <c r="P8013" s="17" t="s">
        <v>18167</v>
      </c>
      <c r="Q8013" s="17"/>
      <c r="R8013" s="25" t="str">
        <f>HYPERLINK("https://ictv.global/taxonomy/taxondetails?taxnode_id=202302788","Ilarvirus LRMV")</f>
        <v>Ilarvirus LRMV</v>
      </c>
      <c r="S8013" s="18" t="s">
        <v>30</v>
      </c>
      <c r="T8013" s="18" t="s">
        <v>18207</v>
      </c>
      <c r="U8013" s="18" t="s">
        <v>18208</v>
      </c>
      <c r="V8013" s="18" t="s">
        <v>17614</v>
      </c>
      <c r="W8013" s="18" t="s">
        <v>18209</v>
      </c>
      <c r="X8013" s="18" t="s">
        <v>154</v>
      </c>
      <c r="Y8013" s="18" t="s">
        <v>17171</v>
      </c>
      <c r="Z8013" s="18" t="s">
        <v>13441</v>
      </c>
      <c r="AA8013" s="21" t="str">
        <f>HYPERLINK("https://www.ncbi.nlm.nih.gov/nuccore/EU919669,U17391","NCBI Nucleotide")</f>
        <v>NCBI Nucleotide</v>
      </c>
    </row>
    <row r="8014" spans="1:27" x14ac:dyDescent="0.35">
      <c r="A8014">
        <v>1008583</v>
      </c>
      <c r="B8014">
        <v>7434</v>
      </c>
      <c r="C8014">
        <v>1</v>
      </c>
      <c r="D8014" s="17" t="s">
        <v>17166</v>
      </c>
      <c r="E8014" s="17"/>
      <c r="F8014" s="17" t="s">
        <v>17246</v>
      </c>
      <c r="G8014" s="17"/>
      <c r="H8014" s="17" t="s">
        <v>17984</v>
      </c>
      <c r="I8014" s="17"/>
      <c r="J8014" s="17" t="s">
        <v>17985</v>
      </c>
      <c r="K8014" s="17"/>
      <c r="L8014" s="17" t="s">
        <v>18111</v>
      </c>
      <c r="M8014" s="17"/>
      <c r="N8014" s="17" t="s">
        <v>18112</v>
      </c>
      <c r="O8014" s="17"/>
      <c r="P8014" s="17" t="s">
        <v>18167</v>
      </c>
      <c r="Q8014" s="17"/>
      <c r="R8014" s="25" t="str">
        <f>HYPERLINK("https://ictv.global/taxonomy/taxondetails?taxnode_id=202302790","Ilarvirus PDV")</f>
        <v>Ilarvirus PDV</v>
      </c>
      <c r="S8014" s="18" t="s">
        <v>30</v>
      </c>
      <c r="T8014" s="18" t="s">
        <v>18218</v>
      </c>
      <c r="U8014" s="18" t="s">
        <v>18219</v>
      </c>
      <c r="V8014" s="18" t="s">
        <v>18220</v>
      </c>
      <c r="W8014" s="18" t="s">
        <v>50536</v>
      </c>
      <c r="X8014" s="18" t="s">
        <v>42</v>
      </c>
      <c r="Y8014" s="18" t="s">
        <v>17171</v>
      </c>
      <c r="Z8014" s="18" t="s">
        <v>13441</v>
      </c>
      <c r="AA8014" s="21" t="str">
        <f>HYPERLINK("https://www.ncbi.nlm.nih.gov/nuccore/U57648,AF277662,L28145","NCBI Nucleotide")</f>
        <v>NCBI Nucleotide</v>
      </c>
    </row>
    <row r="8015" spans="1:27" x14ac:dyDescent="0.35">
      <c r="A8015">
        <v>1008581</v>
      </c>
      <c r="B8015">
        <v>7435</v>
      </c>
      <c r="C8015">
        <v>1</v>
      </c>
      <c r="D8015" s="17" t="s">
        <v>17166</v>
      </c>
      <c r="E8015" s="17"/>
      <c r="F8015" s="17" t="s">
        <v>17246</v>
      </c>
      <c r="G8015" s="17"/>
      <c r="H8015" s="17" t="s">
        <v>17984</v>
      </c>
      <c r="I8015" s="17"/>
      <c r="J8015" s="17" t="s">
        <v>17985</v>
      </c>
      <c r="K8015" s="17"/>
      <c r="L8015" s="17" t="s">
        <v>18111</v>
      </c>
      <c r="M8015" s="17"/>
      <c r="N8015" s="17" t="s">
        <v>18112</v>
      </c>
      <c r="O8015" s="17"/>
      <c r="P8015" s="17" t="s">
        <v>18167</v>
      </c>
      <c r="Q8015" s="17"/>
      <c r="R8015" s="25" t="str">
        <f>HYPERLINK("https://ictv.global/taxonomy/taxondetails?taxnode_id=202302789","Ilarvirus PMV")</f>
        <v>Ilarvirus PMV</v>
      </c>
      <c r="S8015" s="18" t="s">
        <v>30</v>
      </c>
      <c r="T8015" s="18" t="s">
        <v>18210</v>
      </c>
      <c r="U8015" s="18" t="s">
        <v>18211</v>
      </c>
      <c r="V8015" s="18" t="s">
        <v>18212</v>
      </c>
      <c r="W8015" s="18" t="s">
        <v>18213</v>
      </c>
      <c r="X8015" s="18" t="s">
        <v>42</v>
      </c>
      <c r="Y8015" s="18" t="s">
        <v>17171</v>
      </c>
      <c r="Z8015" s="18" t="s">
        <v>13441</v>
      </c>
      <c r="AA8015" s="21" t="str">
        <f>HYPERLINK("https://www.ncbi.nlm.nih.gov/nuccore/AY496068,AY496069,U35145","NCBI Nucleotide")</f>
        <v>NCBI Nucleotide</v>
      </c>
    </row>
    <row r="8016" spans="1:27" x14ac:dyDescent="0.35">
      <c r="A8016">
        <v>1008584</v>
      </c>
      <c r="B8016">
        <v>7436</v>
      </c>
      <c r="C8016">
        <v>1</v>
      </c>
      <c r="D8016" s="17" t="s">
        <v>17166</v>
      </c>
      <c r="E8016" s="17"/>
      <c r="F8016" s="17" t="s">
        <v>17246</v>
      </c>
      <c r="G8016" s="17"/>
      <c r="H8016" s="17" t="s">
        <v>17984</v>
      </c>
      <c r="I8016" s="17"/>
      <c r="J8016" s="17" t="s">
        <v>17985</v>
      </c>
      <c r="K8016" s="17"/>
      <c r="L8016" s="17" t="s">
        <v>18111</v>
      </c>
      <c r="M8016" s="17"/>
      <c r="N8016" s="17" t="s">
        <v>18112</v>
      </c>
      <c r="O8016" s="17"/>
      <c r="P8016" s="17" t="s">
        <v>18167</v>
      </c>
      <c r="Q8016" s="17"/>
      <c r="R8016" s="25" t="str">
        <f>HYPERLINK("https://ictv.global/taxonomy/taxondetails?taxnode_id=202302791","Ilarvirus PNRSV")</f>
        <v>Ilarvirus PNRSV</v>
      </c>
      <c r="S8016" s="18" t="s">
        <v>30</v>
      </c>
      <c r="T8016" s="18" t="s">
        <v>18221</v>
      </c>
      <c r="U8016" s="18" t="s">
        <v>18222</v>
      </c>
      <c r="V8016" s="18" t="s">
        <v>18223</v>
      </c>
      <c r="W8016" s="18" t="s">
        <v>18224</v>
      </c>
      <c r="X8016" s="18" t="s">
        <v>42</v>
      </c>
      <c r="Y8016" s="18" t="s">
        <v>17171</v>
      </c>
      <c r="Z8016" s="18" t="s">
        <v>13441</v>
      </c>
      <c r="AA8016" s="21" t="str">
        <f>HYPERLINK("https://www.ncbi.nlm.nih.gov/nuccore/AF278534,AF278535,U57046","NCBI Nucleotide")</f>
        <v>NCBI Nucleotide</v>
      </c>
    </row>
    <row r="8017" spans="1:27" x14ac:dyDescent="0.35">
      <c r="A8017">
        <v>1008582</v>
      </c>
      <c r="B8017">
        <v>7437</v>
      </c>
      <c r="C8017">
        <v>1</v>
      </c>
      <c r="D8017" s="17" t="s">
        <v>17166</v>
      </c>
      <c r="E8017" s="17"/>
      <c r="F8017" s="17" t="s">
        <v>17246</v>
      </c>
      <c r="G8017" s="17"/>
      <c r="H8017" s="17" t="s">
        <v>17984</v>
      </c>
      <c r="I8017" s="17"/>
      <c r="J8017" s="17" t="s">
        <v>17985</v>
      </c>
      <c r="K8017" s="17"/>
      <c r="L8017" s="17" t="s">
        <v>18111</v>
      </c>
      <c r="M8017" s="17"/>
      <c r="N8017" s="17" t="s">
        <v>18112</v>
      </c>
      <c r="O8017" s="17"/>
      <c r="P8017" s="17" t="s">
        <v>18167</v>
      </c>
      <c r="Q8017" s="17"/>
      <c r="R8017" s="25" t="str">
        <f>HYPERLINK("https://ictv.global/taxonomy/taxondetails?taxnode_id=202305759","Ilarvirus PrRSV")</f>
        <v>Ilarvirus PrRSV</v>
      </c>
      <c r="S8017" s="18" t="s">
        <v>30</v>
      </c>
      <c r="T8017" s="18" t="s">
        <v>18214</v>
      </c>
      <c r="U8017" s="18" t="s">
        <v>18215</v>
      </c>
      <c r="V8017" s="18" t="s">
        <v>18216</v>
      </c>
      <c r="W8017" s="18" t="s">
        <v>18217</v>
      </c>
      <c r="X8017" s="18" t="s">
        <v>42</v>
      </c>
      <c r="Y8017" s="18" t="s">
        <v>17171</v>
      </c>
      <c r="Z8017" s="18" t="s">
        <v>13441</v>
      </c>
      <c r="AA8017" s="21" t="str">
        <f>HYPERLINK("https://www.ncbi.nlm.nih.gov/nuccore/KT290039,KT290040,KT290041","NCBI Nucleotide")</f>
        <v>NCBI Nucleotide</v>
      </c>
    </row>
    <row r="8018" spans="1:27" x14ac:dyDescent="0.35">
      <c r="A8018">
        <v>1026676</v>
      </c>
      <c r="B8018">
        <v>7438</v>
      </c>
      <c r="C8018">
        <v>1</v>
      </c>
      <c r="D8018" s="17" t="s">
        <v>17166</v>
      </c>
      <c r="E8018" s="17"/>
      <c r="F8018" s="17" t="s">
        <v>17246</v>
      </c>
      <c r="G8018" s="17"/>
      <c r="H8018" s="17" t="s">
        <v>17984</v>
      </c>
      <c r="I8018" s="17"/>
      <c r="J8018" s="17" t="s">
        <v>17985</v>
      </c>
      <c r="K8018" s="17"/>
      <c r="L8018" s="17" t="s">
        <v>18111</v>
      </c>
      <c r="M8018" s="17"/>
      <c r="N8018" s="17" t="s">
        <v>18112</v>
      </c>
      <c r="O8018" s="17"/>
      <c r="P8018" s="17" t="s">
        <v>18167</v>
      </c>
      <c r="Q8018" s="17"/>
      <c r="R8018" s="25" t="str">
        <f>HYPERLINK("https://ictv.global/taxonomy/taxondetails?taxnode_id=202317822","Ilarvirus PrV1")</f>
        <v>Ilarvirus PrV1</v>
      </c>
      <c r="S8018" s="18" t="s">
        <v>30</v>
      </c>
      <c r="T8018" s="18" t="s">
        <v>42395</v>
      </c>
      <c r="U8018" s="18" t="s">
        <v>42396</v>
      </c>
      <c r="V8018" s="18" t="s">
        <v>42397</v>
      </c>
      <c r="W8018" s="18" t="s">
        <v>42398</v>
      </c>
      <c r="X8018" s="18" t="s">
        <v>42</v>
      </c>
      <c r="Y8018" s="18" t="s">
        <v>17171</v>
      </c>
      <c r="Z8018" s="18" t="s">
        <v>13441</v>
      </c>
      <c r="AA8018" s="21" t="str">
        <f>HYPERLINK("https://www.ncbi.nlm.nih.gov/nuccore/MW579753,MW579754,MW579755","NCBI Nucleotide")</f>
        <v>NCBI Nucleotide</v>
      </c>
    </row>
    <row r="8019" spans="1:27" x14ac:dyDescent="0.35">
      <c r="A8019">
        <v>1026677</v>
      </c>
      <c r="B8019">
        <v>7439</v>
      </c>
      <c r="C8019">
        <v>1</v>
      </c>
      <c r="D8019" s="17" t="s">
        <v>17166</v>
      </c>
      <c r="E8019" s="17"/>
      <c r="F8019" s="17" t="s">
        <v>17246</v>
      </c>
      <c r="G8019" s="17"/>
      <c r="H8019" s="17" t="s">
        <v>17984</v>
      </c>
      <c r="I8019" s="17"/>
      <c r="J8019" s="17" t="s">
        <v>17985</v>
      </c>
      <c r="K8019" s="17"/>
      <c r="L8019" s="17" t="s">
        <v>18111</v>
      </c>
      <c r="M8019" s="17"/>
      <c r="N8019" s="17" t="s">
        <v>18112</v>
      </c>
      <c r="O8019" s="17"/>
      <c r="P8019" s="17" t="s">
        <v>18167</v>
      </c>
      <c r="Q8019" s="17"/>
      <c r="R8019" s="25" t="str">
        <f>HYPERLINK("https://ictv.global/taxonomy/taxondetails?taxnode_id=202317823","Ilarvirus RIV1")</f>
        <v>Ilarvirus RIV1</v>
      </c>
      <c r="S8019" s="18" t="s">
        <v>30</v>
      </c>
      <c r="T8019" s="18" t="s">
        <v>42399</v>
      </c>
      <c r="U8019" s="18" t="s">
        <v>42400</v>
      </c>
      <c r="V8019" s="18" t="s">
        <v>42389</v>
      </c>
      <c r="W8019" s="18" t="s">
        <v>42401</v>
      </c>
      <c r="X8019" s="18" t="s">
        <v>35</v>
      </c>
      <c r="Y8019" s="18" t="s">
        <v>17171</v>
      </c>
      <c r="Z8019" s="18" t="s">
        <v>13441</v>
      </c>
      <c r="AA8019" s="21" t="str">
        <f>HYPERLINK("https://www.ncbi.nlm.nih.gov/nuccore/MT017861,MT017862,MT017863","NCBI Nucleotide")</f>
        <v>NCBI Nucleotide</v>
      </c>
    </row>
    <row r="8020" spans="1:27" x14ac:dyDescent="0.35">
      <c r="A8020">
        <v>1026678</v>
      </c>
      <c r="B8020">
        <v>7440</v>
      </c>
      <c r="C8020">
        <v>1</v>
      </c>
      <c r="D8020" s="17" t="s">
        <v>17166</v>
      </c>
      <c r="E8020" s="17"/>
      <c r="F8020" s="17" t="s">
        <v>17246</v>
      </c>
      <c r="G8020" s="17"/>
      <c r="H8020" s="17" t="s">
        <v>17984</v>
      </c>
      <c r="I8020" s="17"/>
      <c r="J8020" s="17" t="s">
        <v>17985</v>
      </c>
      <c r="K8020" s="17"/>
      <c r="L8020" s="17" t="s">
        <v>18111</v>
      </c>
      <c r="M8020" s="17"/>
      <c r="N8020" s="17" t="s">
        <v>18112</v>
      </c>
      <c r="O8020" s="17"/>
      <c r="P8020" s="17" t="s">
        <v>18167</v>
      </c>
      <c r="Q8020" s="17"/>
      <c r="R8020" s="25" t="str">
        <f>HYPERLINK("https://ictv.global/taxonomy/taxondetails?taxnode_id=202317824","Ilarvirus RIV2")</f>
        <v>Ilarvirus RIV2</v>
      </c>
      <c r="S8020" s="18" t="s">
        <v>30</v>
      </c>
      <c r="T8020" s="18" t="s">
        <v>42402</v>
      </c>
      <c r="U8020" s="18" t="s">
        <v>42403</v>
      </c>
      <c r="V8020" s="18" t="s">
        <v>19343</v>
      </c>
      <c r="W8020" s="18" t="s">
        <v>42404</v>
      </c>
      <c r="X8020" s="18" t="s">
        <v>42</v>
      </c>
      <c r="Y8020" s="18" t="s">
        <v>17171</v>
      </c>
      <c r="Z8020" s="18" t="s">
        <v>13441</v>
      </c>
      <c r="AA8020" s="21" t="str">
        <f>HYPERLINK("https://www.ncbi.nlm.nih.gov/nuccore/ON843765,ON843766,ON843767","NCBI Nucleotide")</f>
        <v>NCBI Nucleotide</v>
      </c>
    </row>
    <row r="8021" spans="1:27" x14ac:dyDescent="0.35">
      <c r="A8021">
        <v>1008585</v>
      </c>
      <c r="B8021">
        <v>7441</v>
      </c>
      <c r="C8021">
        <v>1</v>
      </c>
      <c r="D8021" s="17" t="s">
        <v>17166</v>
      </c>
      <c r="E8021" s="17"/>
      <c r="F8021" s="17" t="s">
        <v>17246</v>
      </c>
      <c r="G8021" s="17"/>
      <c r="H8021" s="17" t="s">
        <v>17984</v>
      </c>
      <c r="I8021" s="17"/>
      <c r="J8021" s="17" t="s">
        <v>17985</v>
      </c>
      <c r="K8021" s="17"/>
      <c r="L8021" s="17" t="s">
        <v>18111</v>
      </c>
      <c r="M8021" s="17"/>
      <c r="N8021" s="17" t="s">
        <v>18112</v>
      </c>
      <c r="O8021" s="17"/>
      <c r="P8021" s="17" t="s">
        <v>18167</v>
      </c>
      <c r="Q8021" s="17"/>
      <c r="R8021" s="25" t="str">
        <f>HYPERLINK("https://ictv.global/taxonomy/taxondetails?taxnode_id=202302792","Ilarvirus SLV")</f>
        <v>Ilarvirus SLV</v>
      </c>
      <c r="S8021" s="18" t="s">
        <v>30</v>
      </c>
      <c r="T8021" s="18" t="s">
        <v>18225</v>
      </c>
      <c r="U8021" s="18" t="s">
        <v>18226</v>
      </c>
      <c r="V8021" s="18" t="s">
        <v>18173</v>
      </c>
      <c r="W8021" s="18" t="s">
        <v>18227</v>
      </c>
      <c r="X8021" s="18" t="s">
        <v>42</v>
      </c>
      <c r="Y8021" s="18" t="s">
        <v>17171</v>
      </c>
      <c r="Z8021" s="18" t="s">
        <v>13441</v>
      </c>
      <c r="AA8021" s="21" t="str">
        <f>HYPERLINK("https://www.ncbi.nlm.nih.gov/nuccore/U93192,U93193,U93194","NCBI Nucleotide")</f>
        <v>NCBI Nucleotide</v>
      </c>
    </row>
    <row r="8022" spans="1:27" x14ac:dyDescent="0.35">
      <c r="A8022">
        <v>1026679</v>
      </c>
      <c r="B8022">
        <v>7442</v>
      </c>
      <c r="C8022">
        <v>1</v>
      </c>
      <c r="D8022" s="17" t="s">
        <v>17166</v>
      </c>
      <c r="E8022" s="17"/>
      <c r="F8022" s="17" t="s">
        <v>17246</v>
      </c>
      <c r="G8022" s="17"/>
      <c r="H8022" s="17" t="s">
        <v>17984</v>
      </c>
      <c r="I8022" s="17"/>
      <c r="J8022" s="17" t="s">
        <v>17985</v>
      </c>
      <c r="K8022" s="17"/>
      <c r="L8022" s="17" t="s">
        <v>18111</v>
      </c>
      <c r="M8022" s="17"/>
      <c r="N8022" s="17" t="s">
        <v>18112</v>
      </c>
      <c r="O8022" s="17"/>
      <c r="P8022" s="17" t="s">
        <v>18167</v>
      </c>
      <c r="Q8022" s="17"/>
      <c r="R8022" s="25" t="str">
        <f>HYPERLINK("https://ictv.global/taxonomy/taxondetails?taxnode_id=202317825","Ilarvirus SnIV1")</f>
        <v>Ilarvirus SnIV1</v>
      </c>
      <c r="S8022" s="18" t="s">
        <v>30</v>
      </c>
      <c r="T8022" s="18" t="s">
        <v>42405</v>
      </c>
      <c r="U8022" s="18" t="s">
        <v>42406</v>
      </c>
      <c r="V8022" s="18" t="s">
        <v>42407</v>
      </c>
      <c r="W8022" s="18" t="s">
        <v>42408</v>
      </c>
      <c r="X8022" s="18" t="s">
        <v>35</v>
      </c>
      <c r="Y8022" s="18" t="s">
        <v>17171</v>
      </c>
      <c r="Z8022" s="18" t="s">
        <v>13441</v>
      </c>
      <c r="AA8022" s="21" t="str">
        <f>HYPERLINK("https://www.ncbi.nlm.nih.gov/nuccore/OL472060,OL472061,OL472062","NCBI Nucleotide")</f>
        <v>NCBI Nucleotide</v>
      </c>
    </row>
    <row r="8023" spans="1:27" x14ac:dyDescent="0.35">
      <c r="A8023">
        <v>1008586</v>
      </c>
      <c r="B8023">
        <v>7443</v>
      </c>
      <c r="C8023">
        <v>1</v>
      </c>
      <c r="D8023" s="17" t="s">
        <v>17166</v>
      </c>
      <c r="E8023" s="17"/>
      <c r="F8023" s="17" t="s">
        <v>17246</v>
      </c>
      <c r="G8023" s="17"/>
      <c r="H8023" s="17" t="s">
        <v>17984</v>
      </c>
      <c r="I8023" s="17"/>
      <c r="J8023" s="17" t="s">
        <v>17985</v>
      </c>
      <c r="K8023" s="17"/>
      <c r="L8023" s="17" t="s">
        <v>18111</v>
      </c>
      <c r="M8023" s="17"/>
      <c r="N8023" s="17" t="s">
        <v>18112</v>
      </c>
      <c r="O8023" s="17"/>
      <c r="P8023" s="17" t="s">
        <v>18167</v>
      </c>
      <c r="Q8023" s="17"/>
      <c r="R8023" s="25" t="str">
        <f>HYPERLINK("https://ictv.global/taxonomy/taxondetails?taxnode_id=202302793","Ilarvirus SNSV")</f>
        <v>Ilarvirus SNSV</v>
      </c>
      <c r="S8023" s="18" t="s">
        <v>30</v>
      </c>
      <c r="T8023" s="18" t="s">
        <v>18228</v>
      </c>
      <c r="U8023" s="18" t="s">
        <v>18229</v>
      </c>
      <c r="V8023" s="18" t="s">
        <v>18230</v>
      </c>
      <c r="W8023" s="18" t="s">
        <v>50537</v>
      </c>
      <c r="X8023" s="18" t="s">
        <v>42</v>
      </c>
      <c r="Y8023" s="18" t="s">
        <v>17171</v>
      </c>
      <c r="Z8023" s="18" t="s">
        <v>13441</v>
      </c>
      <c r="AA8023" s="21" t="str">
        <f>HYPERLINK("https://www.ncbi.nlm.nih.gov/nuccore/DQ318818,AY743591,AY363228","NCBI Nucleotide")</f>
        <v>NCBI Nucleotide</v>
      </c>
    </row>
    <row r="8024" spans="1:27" x14ac:dyDescent="0.35">
      <c r="A8024">
        <v>1026680</v>
      </c>
      <c r="B8024">
        <v>7444</v>
      </c>
      <c r="C8024">
        <v>1</v>
      </c>
      <c r="D8024" s="17" t="s">
        <v>17166</v>
      </c>
      <c r="E8024" s="17"/>
      <c r="F8024" s="17" t="s">
        <v>17246</v>
      </c>
      <c r="G8024" s="17"/>
      <c r="H8024" s="17" t="s">
        <v>17984</v>
      </c>
      <c r="I8024" s="17"/>
      <c r="J8024" s="17" t="s">
        <v>17985</v>
      </c>
      <c r="K8024" s="17"/>
      <c r="L8024" s="17" t="s">
        <v>18111</v>
      </c>
      <c r="M8024" s="17"/>
      <c r="N8024" s="17" t="s">
        <v>18112</v>
      </c>
      <c r="O8024" s="17"/>
      <c r="P8024" s="17" t="s">
        <v>18167</v>
      </c>
      <c r="Q8024" s="17"/>
      <c r="R8024" s="25" t="str">
        <f>HYPERLINK("https://ictv.global/taxonomy/taxondetails?taxnode_id=202317826","Ilarvirus SolV1")</f>
        <v>Ilarvirus SolV1</v>
      </c>
      <c r="S8024" s="18" t="s">
        <v>30</v>
      </c>
      <c r="T8024" s="18" t="s">
        <v>42409</v>
      </c>
      <c r="U8024" s="18" t="s">
        <v>42410</v>
      </c>
      <c r="V8024" s="18" t="s">
        <v>42411</v>
      </c>
      <c r="W8024" s="18" t="s">
        <v>42412</v>
      </c>
      <c r="X8024" s="18" t="s">
        <v>35</v>
      </c>
      <c r="Y8024" s="18" t="s">
        <v>17171</v>
      </c>
      <c r="Z8024" s="18" t="s">
        <v>13441</v>
      </c>
      <c r="AA8024" s="21" t="str">
        <f>HYPERLINK("https://www.ncbi.nlm.nih.gov/nuccore/OL539723,OL539724,OL539725","NCBI Nucleotide")</f>
        <v>NCBI Nucleotide</v>
      </c>
    </row>
    <row r="8025" spans="1:27" x14ac:dyDescent="0.35">
      <c r="A8025">
        <v>1008589</v>
      </c>
      <c r="B8025">
        <v>7445</v>
      </c>
      <c r="C8025">
        <v>1</v>
      </c>
      <c r="D8025" s="17" t="s">
        <v>17166</v>
      </c>
      <c r="E8025" s="17"/>
      <c r="F8025" s="17" t="s">
        <v>17246</v>
      </c>
      <c r="G8025" s="17"/>
      <c r="H8025" s="17" t="s">
        <v>17984</v>
      </c>
      <c r="I8025" s="17"/>
      <c r="J8025" s="17" t="s">
        <v>17985</v>
      </c>
      <c r="K8025" s="17"/>
      <c r="L8025" s="17" t="s">
        <v>18111</v>
      </c>
      <c r="M8025" s="17"/>
      <c r="N8025" s="17" t="s">
        <v>18112</v>
      </c>
      <c r="O8025" s="17"/>
      <c r="P8025" s="17" t="s">
        <v>18167</v>
      </c>
      <c r="Q8025" s="17"/>
      <c r="R8025" s="25" t="str">
        <f>HYPERLINK("https://ictv.global/taxonomy/taxondetails?taxnode_id=202302795","Ilarvirus TAMV")</f>
        <v>Ilarvirus TAMV</v>
      </c>
      <c r="S8025" s="18" t="s">
        <v>30</v>
      </c>
      <c r="T8025" s="18" t="s">
        <v>18238</v>
      </c>
      <c r="U8025" s="18" t="s">
        <v>18239</v>
      </c>
      <c r="V8025" s="18" t="s">
        <v>18173</v>
      </c>
      <c r="W8025" s="18" t="s">
        <v>18240</v>
      </c>
      <c r="X8025" s="18" t="s">
        <v>42</v>
      </c>
      <c r="Y8025" s="18" t="s">
        <v>17171</v>
      </c>
      <c r="Z8025" s="18" t="s">
        <v>13441</v>
      </c>
      <c r="AA8025" s="21" t="str">
        <f>HYPERLINK("https://www.ncbi.nlm.nih.gov/nuccore/AF226160,AF226161,AF226162","NCBI Nucleotide")</f>
        <v>NCBI Nucleotide</v>
      </c>
    </row>
    <row r="8026" spans="1:27" x14ac:dyDescent="0.35">
      <c r="A8026">
        <v>1008588</v>
      </c>
      <c r="B8026">
        <v>7446</v>
      </c>
      <c r="C8026">
        <v>1</v>
      </c>
      <c r="D8026" s="17" t="s">
        <v>17166</v>
      </c>
      <c r="E8026" s="17"/>
      <c r="F8026" s="17" t="s">
        <v>17246</v>
      </c>
      <c r="G8026" s="17"/>
      <c r="H8026" s="17" t="s">
        <v>17984</v>
      </c>
      <c r="I8026" s="17"/>
      <c r="J8026" s="17" t="s">
        <v>17985</v>
      </c>
      <c r="K8026" s="17"/>
      <c r="L8026" s="17" t="s">
        <v>18111</v>
      </c>
      <c r="M8026" s="17"/>
      <c r="N8026" s="17" t="s">
        <v>18112</v>
      </c>
      <c r="O8026" s="17"/>
      <c r="P8026" s="17" t="s">
        <v>18167</v>
      </c>
      <c r="Q8026" s="17"/>
      <c r="R8026" s="25" t="str">
        <f>HYPERLINK("https://ictv.global/taxonomy/taxondetails?taxnode_id=202305760","Ilarvirus TomNSV")</f>
        <v>Ilarvirus TomNSV</v>
      </c>
      <c r="S8026" s="18" t="s">
        <v>30</v>
      </c>
      <c r="T8026" s="18" t="s">
        <v>18234</v>
      </c>
      <c r="U8026" s="18" t="s">
        <v>18235</v>
      </c>
      <c r="V8026" s="18" t="s">
        <v>18236</v>
      </c>
      <c r="W8026" s="18" t="s">
        <v>18237</v>
      </c>
      <c r="X8026" s="18" t="s">
        <v>42</v>
      </c>
      <c r="Y8026" s="18" t="s">
        <v>17171</v>
      </c>
      <c r="Z8026" s="18" t="s">
        <v>13441</v>
      </c>
      <c r="AA8026" s="21" t="str">
        <f>HYPERLINK("https://www.ncbi.nlm.nih.gov/nuccore/KT779204,KT779205,KT779206","NCBI Nucleotide")</f>
        <v>NCBI Nucleotide</v>
      </c>
    </row>
    <row r="8027" spans="1:27" x14ac:dyDescent="0.35">
      <c r="A8027">
        <v>1008587</v>
      </c>
      <c r="B8027">
        <v>7447</v>
      </c>
      <c r="C8027">
        <v>1</v>
      </c>
      <c r="D8027" s="17" t="s">
        <v>17166</v>
      </c>
      <c r="E8027" s="17"/>
      <c r="F8027" s="17" t="s">
        <v>17246</v>
      </c>
      <c r="G8027" s="17"/>
      <c r="H8027" s="17" t="s">
        <v>17984</v>
      </c>
      <c r="I8027" s="17"/>
      <c r="J8027" s="17" t="s">
        <v>17985</v>
      </c>
      <c r="K8027" s="17"/>
      <c r="L8027" s="17" t="s">
        <v>18111</v>
      </c>
      <c r="M8027" s="17"/>
      <c r="N8027" s="17" t="s">
        <v>18112</v>
      </c>
      <c r="O8027" s="17"/>
      <c r="P8027" s="17" t="s">
        <v>18167</v>
      </c>
      <c r="Q8027" s="17"/>
      <c r="R8027" s="25" t="str">
        <f>HYPERLINK("https://ictv.global/taxonomy/taxondetails?taxnode_id=202302794","Ilarvirus TSV")</f>
        <v>Ilarvirus TSV</v>
      </c>
      <c r="S8027" s="18" t="s">
        <v>30</v>
      </c>
      <c r="T8027" s="18" t="s">
        <v>18231</v>
      </c>
      <c r="U8027" s="18" t="s">
        <v>18232</v>
      </c>
      <c r="V8027" s="18" t="s">
        <v>18233</v>
      </c>
      <c r="W8027" s="18" t="s">
        <v>50538</v>
      </c>
      <c r="X8027" s="18" t="s">
        <v>42</v>
      </c>
      <c r="Y8027" s="18" t="s">
        <v>17171</v>
      </c>
      <c r="Z8027" s="18" t="s">
        <v>13441</v>
      </c>
      <c r="AA8027" s="21" t="str">
        <f>HYPERLINK("https://www.ncbi.nlm.nih.gov/nuccore/U80934,U75538,X00435","NCBI Nucleotide")</f>
        <v>NCBI Nucleotide</v>
      </c>
    </row>
    <row r="8028" spans="1:27" x14ac:dyDescent="0.35">
      <c r="A8028">
        <v>1026681</v>
      </c>
      <c r="B8028">
        <v>7448</v>
      </c>
      <c r="C8028">
        <v>1</v>
      </c>
      <c r="D8028" s="17" t="s">
        <v>17166</v>
      </c>
      <c r="E8028" s="17"/>
      <c r="F8028" s="17" t="s">
        <v>17246</v>
      </c>
      <c r="G8028" s="17"/>
      <c r="H8028" s="17" t="s">
        <v>17984</v>
      </c>
      <c r="I8028" s="17"/>
      <c r="J8028" s="17" t="s">
        <v>17985</v>
      </c>
      <c r="K8028" s="17"/>
      <c r="L8028" s="17" t="s">
        <v>18111</v>
      </c>
      <c r="M8028" s="17"/>
      <c r="N8028" s="17" t="s">
        <v>18112</v>
      </c>
      <c r="O8028" s="17"/>
      <c r="P8028" s="17" t="s">
        <v>18167</v>
      </c>
      <c r="Q8028" s="17"/>
      <c r="R8028" s="25" t="str">
        <f>HYPERLINK("https://ictv.global/taxonomy/taxondetails?taxnode_id=202317827","Ilarvirus WCVA")</f>
        <v>Ilarvirus WCVA</v>
      </c>
      <c r="S8028" s="18" t="s">
        <v>30</v>
      </c>
      <c r="T8028" s="18" t="s">
        <v>42413</v>
      </c>
      <c r="U8028" s="18" t="s">
        <v>42414</v>
      </c>
      <c r="V8028" s="18" t="s">
        <v>42415</v>
      </c>
      <c r="W8028" s="18" t="s">
        <v>42416</v>
      </c>
      <c r="X8028" s="18" t="s">
        <v>35</v>
      </c>
      <c r="Y8028" s="18" t="s">
        <v>17171</v>
      </c>
      <c r="Z8028" s="18" t="s">
        <v>13441</v>
      </c>
      <c r="AA8028" s="21" t="str">
        <f>HYPERLINK("https://www.ncbi.nlm.nih.gov/nuccore/MZ170696,MZ170697,MZ170698","NCBI Nucleotide")</f>
        <v>NCBI Nucleotide</v>
      </c>
    </row>
    <row r="8029" spans="1:27" x14ac:dyDescent="0.35">
      <c r="A8029">
        <v>1008590</v>
      </c>
      <c r="B8029">
        <v>7449</v>
      </c>
      <c r="C8029">
        <v>1</v>
      </c>
      <c r="D8029" s="17" t="s">
        <v>17166</v>
      </c>
      <c r="E8029" s="17"/>
      <c r="F8029" s="17" t="s">
        <v>17246</v>
      </c>
      <c r="G8029" s="17"/>
      <c r="H8029" s="17" t="s">
        <v>17984</v>
      </c>
      <c r="I8029" s="17"/>
      <c r="J8029" s="17" t="s">
        <v>17985</v>
      </c>
      <c r="K8029" s="17"/>
      <c r="L8029" s="17" t="s">
        <v>18111</v>
      </c>
      <c r="M8029" s="17"/>
      <c r="N8029" s="17" t="s">
        <v>18112</v>
      </c>
      <c r="O8029" s="17"/>
      <c r="P8029" s="17" t="s">
        <v>18241</v>
      </c>
      <c r="Q8029" s="17"/>
      <c r="R8029" s="25" t="str">
        <f>HYPERLINK("https://ictv.global/taxonomy/taxondetails?taxnode_id=202302797","Oleavirus OLV2")</f>
        <v>Oleavirus OLV2</v>
      </c>
      <c r="S8029" s="18" t="s">
        <v>30</v>
      </c>
      <c r="T8029" s="18" t="s">
        <v>18242</v>
      </c>
      <c r="U8029" s="18" t="s">
        <v>18243</v>
      </c>
      <c r="V8029" s="18" t="s">
        <v>18127</v>
      </c>
      <c r="W8029" s="18" t="s">
        <v>50539</v>
      </c>
      <c r="X8029" s="18" t="s">
        <v>42</v>
      </c>
      <c r="Y8029" s="18" t="s">
        <v>17171</v>
      </c>
      <c r="Z8029" s="18" t="s">
        <v>13441</v>
      </c>
      <c r="AA8029" s="21" t="str">
        <f>HYPERLINK("https://www.ncbi.nlm.nih.gov/nuccore/X94346,X94347,X76993","NCBI Nucleotide")</f>
        <v>NCBI Nucleotide</v>
      </c>
    </row>
    <row r="8030" spans="1:27" x14ac:dyDescent="0.35">
      <c r="A8030">
        <v>1008591</v>
      </c>
      <c r="B8030">
        <v>7450</v>
      </c>
      <c r="C8030">
        <v>1</v>
      </c>
      <c r="D8030" s="17" t="s">
        <v>17166</v>
      </c>
      <c r="E8030" s="17"/>
      <c r="F8030" s="17" t="s">
        <v>17246</v>
      </c>
      <c r="G8030" s="17"/>
      <c r="H8030" s="17" t="s">
        <v>17984</v>
      </c>
      <c r="I8030" s="17"/>
      <c r="J8030" s="17" t="s">
        <v>17985</v>
      </c>
      <c r="K8030" s="17"/>
      <c r="L8030" s="17" t="s">
        <v>18111</v>
      </c>
      <c r="M8030" s="17"/>
      <c r="N8030" s="17" t="s">
        <v>18244</v>
      </c>
      <c r="O8030" s="17"/>
      <c r="P8030" s="17" t="s">
        <v>18245</v>
      </c>
      <c r="Q8030" s="17"/>
      <c r="R8030" s="25" t="str">
        <f>HYPERLINK("https://ictv.global/taxonomy/taxondetails?taxnode_id=202306656","Ampelovirus bulbiferae")</f>
        <v>Ampelovirus bulbiferae</v>
      </c>
      <c r="S8030" s="18" t="s">
        <v>30</v>
      </c>
      <c r="T8030" s="18" t="s">
        <v>18246</v>
      </c>
      <c r="U8030" s="18" t="s">
        <v>18247</v>
      </c>
      <c r="V8030" s="18" t="s">
        <v>18248</v>
      </c>
      <c r="W8030" s="18" t="s">
        <v>18249</v>
      </c>
      <c r="X8030" s="18" t="s">
        <v>42</v>
      </c>
      <c r="Y8030" s="18" t="s">
        <v>17171</v>
      </c>
      <c r="Z8030" s="18" t="s">
        <v>13441</v>
      </c>
      <c r="AA8030" s="21" t="str">
        <f>HYPERLINK("https://www.ncbi.nlm.nih.gov/nuccore/MH206615","NCBI Nucleotide")</f>
        <v>NCBI Nucleotide</v>
      </c>
    </row>
    <row r="8031" spans="1:27" x14ac:dyDescent="0.35">
      <c r="A8031">
        <v>1008603</v>
      </c>
      <c r="B8031">
        <v>7451</v>
      </c>
      <c r="C8031">
        <v>1</v>
      </c>
      <c r="D8031" s="17" t="s">
        <v>17166</v>
      </c>
      <c r="E8031" s="17"/>
      <c r="F8031" s="17" t="s">
        <v>17246</v>
      </c>
      <c r="G8031" s="17"/>
      <c r="H8031" s="17" t="s">
        <v>17984</v>
      </c>
      <c r="I8031" s="17"/>
      <c r="J8031" s="17" t="s">
        <v>17985</v>
      </c>
      <c r="K8031" s="17"/>
      <c r="L8031" s="17" t="s">
        <v>18111</v>
      </c>
      <c r="M8031" s="17"/>
      <c r="N8031" s="17" t="s">
        <v>18244</v>
      </c>
      <c r="O8031" s="17"/>
      <c r="P8031" s="17" t="s">
        <v>18245</v>
      </c>
      <c r="Q8031" s="17"/>
      <c r="R8031" s="25" t="str">
        <f>HYPERLINK("https://ictv.global/taxonomy/taxondetails?taxnode_id=202308911","Ampelovirus dioscoreae")</f>
        <v>Ampelovirus dioscoreae</v>
      </c>
      <c r="S8031" s="18" t="s">
        <v>30</v>
      </c>
      <c r="T8031" s="18" t="s">
        <v>18291</v>
      </c>
      <c r="U8031" s="18" t="s">
        <v>18292</v>
      </c>
      <c r="V8031" s="18" t="s">
        <v>18293</v>
      </c>
      <c r="W8031" s="18" t="s">
        <v>18294</v>
      </c>
      <c r="X8031" s="18" t="s">
        <v>42</v>
      </c>
      <c r="Y8031" s="18" t="s">
        <v>17171</v>
      </c>
      <c r="Z8031" s="18" t="s">
        <v>13441</v>
      </c>
      <c r="AA8031" s="21" t="str">
        <f>HYPERLINK("https://www.ncbi.nlm.nih.gov/nuccore/MT409627","NCBI Nucleotide")</f>
        <v>NCBI Nucleotide</v>
      </c>
    </row>
    <row r="8032" spans="1:27" x14ac:dyDescent="0.35">
      <c r="A8032">
        <v>1008599</v>
      </c>
      <c r="B8032">
        <v>7452</v>
      </c>
      <c r="C8032">
        <v>1</v>
      </c>
      <c r="D8032" s="17" t="s">
        <v>17166</v>
      </c>
      <c r="E8032" s="17"/>
      <c r="F8032" s="17" t="s">
        <v>17246</v>
      </c>
      <c r="G8032" s="17"/>
      <c r="H8032" s="17" t="s">
        <v>17984</v>
      </c>
      <c r="I8032" s="17"/>
      <c r="J8032" s="17" t="s">
        <v>17985</v>
      </c>
      <c r="K8032" s="17"/>
      <c r="L8032" s="17" t="s">
        <v>18111</v>
      </c>
      <c r="M8032" s="17"/>
      <c r="N8032" s="17" t="s">
        <v>18244</v>
      </c>
      <c r="O8032" s="17"/>
      <c r="P8032" s="17" t="s">
        <v>18245</v>
      </c>
      <c r="Q8032" s="17"/>
      <c r="R8032" s="25" t="str">
        <f>HYPERLINK("https://ictv.global/taxonomy/taxondetails?taxnode_id=202302987","Ampelovirus duananas")</f>
        <v>Ampelovirus duananas</v>
      </c>
      <c r="S8032" s="18" t="s">
        <v>30</v>
      </c>
      <c r="T8032" s="18" t="s">
        <v>18277</v>
      </c>
      <c r="U8032" s="18" t="s">
        <v>18278</v>
      </c>
      <c r="V8032" s="18" t="s">
        <v>18279</v>
      </c>
      <c r="W8032" s="18" t="s">
        <v>18280</v>
      </c>
      <c r="X8032" s="18" t="s">
        <v>154</v>
      </c>
      <c r="Y8032" s="18" t="s">
        <v>17171</v>
      </c>
      <c r="Z8032" s="18" t="s">
        <v>13441</v>
      </c>
      <c r="AA8032" s="21" t="str">
        <f>HYPERLINK("https://www.ncbi.nlm.nih.gov/nuccore/AF283103","NCBI Nucleotide")</f>
        <v>NCBI Nucleotide</v>
      </c>
    </row>
    <row r="8033" spans="1:27" x14ac:dyDescent="0.35">
      <c r="A8033">
        <v>1008597</v>
      </c>
      <c r="B8033">
        <v>7453</v>
      </c>
      <c r="C8033">
        <v>1</v>
      </c>
      <c r="D8033" s="17" t="s">
        <v>17166</v>
      </c>
      <c r="E8033" s="17"/>
      <c r="F8033" s="17" t="s">
        <v>17246</v>
      </c>
      <c r="G8033" s="17"/>
      <c r="H8033" s="17" t="s">
        <v>17984</v>
      </c>
      <c r="I8033" s="17"/>
      <c r="J8033" s="17" t="s">
        <v>17985</v>
      </c>
      <c r="K8033" s="17"/>
      <c r="L8033" s="17" t="s">
        <v>18111</v>
      </c>
      <c r="M8033" s="17"/>
      <c r="N8033" s="17" t="s">
        <v>18244</v>
      </c>
      <c r="O8033" s="17"/>
      <c r="P8033" s="17" t="s">
        <v>18245</v>
      </c>
      <c r="Q8033" s="17"/>
      <c r="R8033" s="25" t="str">
        <f>HYPERLINK("https://ictv.global/taxonomy/taxondetails?taxnode_id=202302985","Ampelovirus nanoavii")</f>
        <v>Ampelovirus nanoavii</v>
      </c>
      <c r="S8033" s="18" t="s">
        <v>30</v>
      </c>
      <c r="T8033" s="18" t="s">
        <v>18269</v>
      </c>
      <c r="U8033" s="18" t="s">
        <v>18270</v>
      </c>
      <c r="V8033" s="18" t="s">
        <v>18271</v>
      </c>
      <c r="W8033" s="18" t="s">
        <v>18272</v>
      </c>
      <c r="X8033" s="18" t="s">
        <v>42</v>
      </c>
      <c r="Y8033" s="18" t="s">
        <v>17171</v>
      </c>
      <c r="Z8033" s="18" t="s">
        <v>13441</v>
      </c>
      <c r="AA8033" s="21" t="str">
        <f>HYPERLINK("https://www.ncbi.nlm.nih.gov/nuccore/AF531505","NCBI Nucleotide")</f>
        <v>NCBI Nucleotide</v>
      </c>
    </row>
    <row r="8034" spans="1:27" x14ac:dyDescent="0.35">
      <c r="A8034">
        <v>1008601</v>
      </c>
      <c r="B8034">
        <v>7454</v>
      </c>
      <c r="C8034">
        <v>1</v>
      </c>
      <c r="D8034" s="17" t="s">
        <v>17166</v>
      </c>
      <c r="E8034" s="17"/>
      <c r="F8034" s="17" t="s">
        <v>17246</v>
      </c>
      <c r="G8034" s="17"/>
      <c r="H8034" s="17" t="s">
        <v>17984</v>
      </c>
      <c r="I8034" s="17"/>
      <c r="J8034" s="17" t="s">
        <v>17985</v>
      </c>
      <c r="K8034" s="17"/>
      <c r="L8034" s="17" t="s">
        <v>18111</v>
      </c>
      <c r="M8034" s="17"/>
      <c r="N8034" s="17" t="s">
        <v>18244</v>
      </c>
      <c r="O8034" s="17"/>
      <c r="P8034" s="17" t="s">
        <v>18245</v>
      </c>
      <c r="Q8034" s="17"/>
      <c r="R8034" s="25" t="str">
        <f>HYPERLINK("https://ictv.global/taxonomy/taxondetails?taxnode_id=202307265","Ampelovirus pistaciae")</f>
        <v>Ampelovirus pistaciae</v>
      </c>
      <c r="S8034" s="18" t="s">
        <v>30</v>
      </c>
      <c r="T8034" s="18" t="s">
        <v>18284</v>
      </c>
      <c r="U8034" s="18" t="s">
        <v>18285</v>
      </c>
      <c r="V8034" s="18" t="s">
        <v>18286</v>
      </c>
      <c r="W8034" s="18" t="s">
        <v>18287</v>
      </c>
      <c r="X8034" s="18" t="s">
        <v>35</v>
      </c>
      <c r="Y8034" s="18" t="s">
        <v>17171</v>
      </c>
      <c r="Z8034" s="18" t="s">
        <v>13441</v>
      </c>
      <c r="AA8034" s="21" t="str">
        <f>HYPERLINK("https://www.ncbi.nlm.nih.gov/nuccore/MF198462","NCBI Nucleotide")</f>
        <v>NCBI Nucleotide</v>
      </c>
    </row>
    <row r="8035" spans="1:27" x14ac:dyDescent="0.35">
      <c r="A8035">
        <v>1008602</v>
      </c>
      <c r="B8035">
        <v>7455</v>
      </c>
      <c r="C8035">
        <v>1</v>
      </c>
      <c r="D8035" s="17" t="s">
        <v>17166</v>
      </c>
      <c r="E8035" s="17"/>
      <c r="F8035" s="17" t="s">
        <v>17246</v>
      </c>
      <c r="G8035" s="17"/>
      <c r="H8035" s="17" t="s">
        <v>17984</v>
      </c>
      <c r="I8035" s="17"/>
      <c r="J8035" s="17" t="s">
        <v>17985</v>
      </c>
      <c r="K8035" s="17"/>
      <c r="L8035" s="17" t="s">
        <v>18111</v>
      </c>
      <c r="M8035" s="17"/>
      <c r="N8035" s="17" t="s">
        <v>18244</v>
      </c>
      <c r="O8035" s="17"/>
      <c r="P8035" s="17" t="s">
        <v>18245</v>
      </c>
      <c r="Q8035" s="17"/>
      <c r="R8035" s="25" t="str">
        <f>HYPERLINK("https://ictv.global/taxonomy/taxondetails?taxnode_id=202302989","Ampelovirus pruni")</f>
        <v>Ampelovirus pruni</v>
      </c>
      <c r="S8035" s="18" t="s">
        <v>30</v>
      </c>
      <c r="T8035" s="18" t="s">
        <v>18288</v>
      </c>
      <c r="U8035" s="18" t="s">
        <v>18289</v>
      </c>
      <c r="V8035" s="18" t="s">
        <v>18179</v>
      </c>
      <c r="W8035" s="18" t="s">
        <v>18290</v>
      </c>
      <c r="X8035" s="18" t="s">
        <v>42</v>
      </c>
      <c r="Y8035" s="18" t="s">
        <v>17171</v>
      </c>
      <c r="Z8035" s="18" t="s">
        <v>13441</v>
      </c>
      <c r="AA8035" s="21" t="str">
        <f>HYPERLINK("https://www.ncbi.nlm.nih.gov/nuccore/EF546442","NCBI Nucleotide")</f>
        <v>NCBI Nucleotide</v>
      </c>
    </row>
    <row r="8036" spans="1:27" x14ac:dyDescent="0.35">
      <c r="A8036">
        <v>1008596</v>
      </c>
      <c r="B8036">
        <v>7456</v>
      </c>
      <c r="C8036">
        <v>1</v>
      </c>
      <c r="D8036" s="17" t="s">
        <v>17166</v>
      </c>
      <c r="E8036" s="17"/>
      <c r="F8036" s="17" t="s">
        <v>17246</v>
      </c>
      <c r="G8036" s="17"/>
      <c r="H8036" s="17" t="s">
        <v>17984</v>
      </c>
      <c r="I8036" s="17"/>
      <c r="J8036" s="17" t="s">
        <v>17985</v>
      </c>
      <c r="K8036" s="17"/>
      <c r="L8036" s="17" t="s">
        <v>18111</v>
      </c>
      <c r="M8036" s="17"/>
      <c r="N8036" s="17" t="s">
        <v>18244</v>
      </c>
      <c r="O8036" s="17"/>
      <c r="P8036" s="17" t="s">
        <v>18245</v>
      </c>
      <c r="Q8036" s="17"/>
      <c r="R8036" s="25" t="str">
        <f>HYPERLINK("https://ictv.global/taxonomy/taxondetails?taxnode_id=202302984","Ampelovirus tetravitis")</f>
        <v>Ampelovirus tetravitis</v>
      </c>
      <c r="S8036" s="18" t="s">
        <v>30</v>
      </c>
      <c r="T8036" s="18" t="s">
        <v>18265</v>
      </c>
      <c r="U8036" s="18" t="s">
        <v>18266</v>
      </c>
      <c r="V8036" s="18" t="s">
        <v>18267</v>
      </c>
      <c r="W8036" s="18" t="s">
        <v>18268</v>
      </c>
      <c r="X8036" s="18" t="s">
        <v>42</v>
      </c>
      <c r="Y8036" s="18" t="s">
        <v>17171</v>
      </c>
      <c r="Z8036" s="18" t="s">
        <v>13441</v>
      </c>
      <c r="AA8036" s="21" t="str">
        <f>HYPERLINK("https://www.ncbi.nlm.nih.gov/nuccore/FJ467503","NCBI Nucleotide")</f>
        <v>NCBI Nucleotide</v>
      </c>
    </row>
    <row r="8037" spans="1:27" x14ac:dyDescent="0.35">
      <c r="A8037">
        <v>1008594</v>
      </c>
      <c r="B8037">
        <v>7457</v>
      </c>
      <c r="C8037">
        <v>1</v>
      </c>
      <c r="D8037" s="17" t="s">
        <v>17166</v>
      </c>
      <c r="E8037" s="17"/>
      <c r="F8037" s="17" t="s">
        <v>17246</v>
      </c>
      <c r="G8037" s="17"/>
      <c r="H8037" s="17" t="s">
        <v>17984</v>
      </c>
      <c r="I8037" s="17"/>
      <c r="J8037" s="17" t="s">
        <v>17985</v>
      </c>
      <c r="K8037" s="17"/>
      <c r="L8037" s="17" t="s">
        <v>18111</v>
      </c>
      <c r="M8037" s="17"/>
      <c r="N8037" s="17" t="s">
        <v>18244</v>
      </c>
      <c r="O8037" s="17"/>
      <c r="P8037" s="17" t="s">
        <v>18245</v>
      </c>
      <c r="Q8037" s="17"/>
      <c r="R8037" s="25" t="str">
        <f>HYPERLINK("https://ictv.global/taxonomy/taxondetails?taxnode_id=202305771","Ampelovirus tredecimvitis")</f>
        <v>Ampelovirus tredecimvitis</v>
      </c>
      <c r="S8037" s="18" t="s">
        <v>30</v>
      </c>
      <c r="T8037" s="18" t="s">
        <v>18257</v>
      </c>
      <c r="U8037" s="18" t="s">
        <v>18258</v>
      </c>
      <c r="V8037" s="18" t="s">
        <v>18259</v>
      </c>
      <c r="W8037" s="18" t="s">
        <v>18260</v>
      </c>
      <c r="X8037" s="18" t="s">
        <v>42</v>
      </c>
      <c r="Y8037" s="18" t="s">
        <v>17171</v>
      </c>
      <c r="Z8037" s="18" t="s">
        <v>13441</v>
      </c>
      <c r="AA8037" s="21" t="str">
        <f>HYPERLINK("https://www.ncbi.nlm.nih.gov/nuccore/LC052212","NCBI Nucleotide")</f>
        <v>NCBI Nucleotide</v>
      </c>
    </row>
    <row r="8038" spans="1:27" x14ac:dyDescent="0.35">
      <c r="A8038">
        <v>1008600</v>
      </c>
      <c r="B8038">
        <v>7458</v>
      </c>
      <c r="C8038">
        <v>1</v>
      </c>
      <c r="D8038" s="17" t="s">
        <v>17166</v>
      </c>
      <c r="E8038" s="17"/>
      <c r="F8038" s="17" t="s">
        <v>17246</v>
      </c>
      <c r="G8038" s="17"/>
      <c r="H8038" s="17" t="s">
        <v>17984</v>
      </c>
      <c r="I8038" s="17"/>
      <c r="J8038" s="17" t="s">
        <v>17985</v>
      </c>
      <c r="K8038" s="17"/>
      <c r="L8038" s="17" t="s">
        <v>18111</v>
      </c>
      <c r="M8038" s="17"/>
      <c r="N8038" s="17" t="s">
        <v>18244</v>
      </c>
      <c r="O8038" s="17"/>
      <c r="P8038" s="17" t="s">
        <v>18245</v>
      </c>
      <c r="Q8038" s="17"/>
      <c r="R8038" s="25" t="str">
        <f>HYPERLINK("https://ictv.global/taxonomy/taxondetails?taxnode_id=202302988","Ampelovirus triananas")</f>
        <v>Ampelovirus triananas</v>
      </c>
      <c r="S8038" s="18" t="s">
        <v>30</v>
      </c>
      <c r="T8038" s="18" t="s">
        <v>18281</v>
      </c>
      <c r="U8038" s="18" t="s">
        <v>18282</v>
      </c>
      <c r="V8038" s="18" t="s">
        <v>18279</v>
      </c>
      <c r="W8038" s="18" t="s">
        <v>18283</v>
      </c>
      <c r="X8038" s="18" t="s">
        <v>154</v>
      </c>
      <c r="Y8038" s="18" t="s">
        <v>17171</v>
      </c>
      <c r="Z8038" s="18" t="s">
        <v>13441</v>
      </c>
      <c r="AA8038" s="21" t="str">
        <f>HYPERLINK("https://www.ncbi.nlm.nih.gov/nuccore/DQ399259","NCBI Nucleotide")</f>
        <v>NCBI Nucleotide</v>
      </c>
    </row>
    <row r="8039" spans="1:27" x14ac:dyDescent="0.35">
      <c r="A8039">
        <v>1008595</v>
      </c>
      <c r="B8039">
        <v>7459</v>
      </c>
      <c r="C8039">
        <v>1</v>
      </c>
      <c r="D8039" s="17" t="s">
        <v>17166</v>
      </c>
      <c r="E8039" s="17"/>
      <c r="F8039" s="17" t="s">
        <v>17246</v>
      </c>
      <c r="G8039" s="17"/>
      <c r="H8039" s="17" t="s">
        <v>17984</v>
      </c>
      <c r="I8039" s="17"/>
      <c r="J8039" s="17" t="s">
        <v>17985</v>
      </c>
      <c r="K8039" s="17"/>
      <c r="L8039" s="17" t="s">
        <v>18111</v>
      </c>
      <c r="M8039" s="17"/>
      <c r="N8039" s="17" t="s">
        <v>18244</v>
      </c>
      <c r="O8039" s="17"/>
      <c r="P8039" s="17" t="s">
        <v>18245</v>
      </c>
      <c r="Q8039" s="17"/>
      <c r="R8039" s="25" t="str">
        <f>HYPERLINK("https://ictv.global/taxonomy/taxondetails?taxnode_id=202302983","Ampelovirus trivitis")</f>
        <v>Ampelovirus trivitis</v>
      </c>
      <c r="S8039" s="18" t="s">
        <v>30</v>
      </c>
      <c r="T8039" s="18" t="s">
        <v>18261</v>
      </c>
      <c r="U8039" s="18" t="s">
        <v>18262</v>
      </c>
      <c r="V8039" s="18" t="s">
        <v>18263</v>
      </c>
      <c r="W8039" s="18" t="s">
        <v>18264</v>
      </c>
      <c r="X8039" s="18" t="s">
        <v>42</v>
      </c>
      <c r="Y8039" s="18" t="s">
        <v>17171</v>
      </c>
      <c r="Z8039" s="18" t="s">
        <v>13441</v>
      </c>
      <c r="AA8039" s="21" t="str">
        <f>HYPERLINK("https://www.ncbi.nlm.nih.gov/nuccore/AF037268","NCBI Nucleotide")</f>
        <v>NCBI Nucleotide</v>
      </c>
    </row>
    <row r="8040" spans="1:27" x14ac:dyDescent="0.35">
      <c r="A8040">
        <v>1008598</v>
      </c>
      <c r="B8040">
        <v>7460</v>
      </c>
      <c r="C8040">
        <v>1</v>
      </c>
      <c r="D8040" s="17" t="s">
        <v>17166</v>
      </c>
      <c r="E8040" s="17"/>
      <c r="F8040" s="17" t="s">
        <v>17246</v>
      </c>
      <c r="G8040" s="17"/>
      <c r="H8040" s="17" t="s">
        <v>17984</v>
      </c>
      <c r="I8040" s="17"/>
      <c r="J8040" s="17" t="s">
        <v>17985</v>
      </c>
      <c r="K8040" s="17"/>
      <c r="L8040" s="17" t="s">
        <v>18111</v>
      </c>
      <c r="M8040" s="17"/>
      <c r="N8040" s="17" t="s">
        <v>18244</v>
      </c>
      <c r="O8040" s="17"/>
      <c r="P8040" s="17" t="s">
        <v>18245</v>
      </c>
      <c r="Q8040" s="17"/>
      <c r="R8040" s="25" t="str">
        <f>HYPERLINK("https://ictv.global/taxonomy/taxondetails?taxnode_id=202302986","Ampelovirus unananas")</f>
        <v>Ampelovirus unananas</v>
      </c>
      <c r="S8040" s="18" t="s">
        <v>30</v>
      </c>
      <c r="T8040" s="18" t="s">
        <v>18273</v>
      </c>
      <c r="U8040" s="18" t="s">
        <v>18274</v>
      </c>
      <c r="V8040" s="18" t="s">
        <v>18275</v>
      </c>
      <c r="W8040" s="18" t="s">
        <v>18276</v>
      </c>
      <c r="X8040" s="18" t="s">
        <v>42</v>
      </c>
      <c r="Y8040" s="18" t="s">
        <v>17171</v>
      </c>
      <c r="Z8040" s="18" t="s">
        <v>13441</v>
      </c>
      <c r="AA8040" s="21" t="str">
        <f>HYPERLINK("https://www.ncbi.nlm.nih.gov/nuccore/AF414119","NCBI Nucleotide")</f>
        <v>NCBI Nucleotide</v>
      </c>
    </row>
    <row r="8041" spans="1:27" x14ac:dyDescent="0.35">
      <c r="A8041">
        <v>1008593</v>
      </c>
      <c r="B8041">
        <v>7461</v>
      </c>
      <c r="C8041">
        <v>1</v>
      </c>
      <c r="D8041" s="17" t="s">
        <v>17166</v>
      </c>
      <c r="E8041" s="17"/>
      <c r="F8041" s="17" t="s">
        <v>17246</v>
      </c>
      <c r="G8041" s="17"/>
      <c r="H8041" s="17" t="s">
        <v>17984</v>
      </c>
      <c r="I8041" s="17"/>
      <c r="J8041" s="17" t="s">
        <v>17985</v>
      </c>
      <c r="K8041" s="17"/>
      <c r="L8041" s="17" t="s">
        <v>18111</v>
      </c>
      <c r="M8041" s="17"/>
      <c r="N8041" s="17" t="s">
        <v>18244</v>
      </c>
      <c r="O8041" s="17"/>
      <c r="P8041" s="17" t="s">
        <v>18245</v>
      </c>
      <c r="Q8041" s="17"/>
      <c r="R8041" s="25" t="str">
        <f>HYPERLINK("https://ictv.global/taxonomy/taxondetails?taxnode_id=202302982","Ampelovirus univitis")</f>
        <v>Ampelovirus univitis</v>
      </c>
      <c r="S8041" s="18" t="s">
        <v>30</v>
      </c>
      <c r="T8041" s="18" t="s">
        <v>18254</v>
      </c>
      <c r="U8041" s="18" t="s">
        <v>18255</v>
      </c>
      <c r="V8041" s="18">
        <v>1050</v>
      </c>
      <c r="W8041" s="18" t="s">
        <v>18256</v>
      </c>
      <c r="X8041" s="18" t="s">
        <v>42</v>
      </c>
      <c r="Y8041" s="18" t="s">
        <v>17171</v>
      </c>
      <c r="Z8041" s="18" t="s">
        <v>13441</v>
      </c>
      <c r="AA8041" s="21" t="str">
        <f>HYPERLINK("https://www.ncbi.nlm.nih.gov/nuccore/JQ023131","NCBI Nucleotide")</f>
        <v>NCBI Nucleotide</v>
      </c>
    </row>
    <row r="8042" spans="1:27" x14ac:dyDescent="0.35">
      <c r="A8042">
        <v>1008592</v>
      </c>
      <c r="B8042">
        <v>7462</v>
      </c>
      <c r="C8042">
        <v>1</v>
      </c>
      <c r="D8042" s="17" t="s">
        <v>17166</v>
      </c>
      <c r="E8042" s="17"/>
      <c r="F8042" s="17" t="s">
        <v>17246</v>
      </c>
      <c r="G8042" s="17"/>
      <c r="H8042" s="17" t="s">
        <v>17984</v>
      </c>
      <c r="I8042" s="17"/>
      <c r="J8042" s="17" t="s">
        <v>17985</v>
      </c>
      <c r="K8042" s="17"/>
      <c r="L8042" s="17" t="s">
        <v>18111</v>
      </c>
      <c r="M8042" s="17"/>
      <c r="N8042" s="17" t="s">
        <v>18244</v>
      </c>
      <c r="O8042" s="17"/>
      <c r="P8042" s="17" t="s">
        <v>18245</v>
      </c>
      <c r="Q8042" s="17"/>
      <c r="R8042" s="25" t="str">
        <f>HYPERLINK("https://ictv.global/taxonomy/taxondetails?taxnode_id=202302981","Ampelovirus venarubi")</f>
        <v>Ampelovirus venarubi</v>
      </c>
      <c r="S8042" s="18" t="s">
        <v>30</v>
      </c>
      <c r="T8042" s="18" t="s">
        <v>18250</v>
      </c>
      <c r="U8042" s="18" t="s">
        <v>18251</v>
      </c>
      <c r="V8042" s="18" t="s">
        <v>18252</v>
      </c>
      <c r="W8042" s="18" t="s">
        <v>18253</v>
      </c>
      <c r="X8042" s="18" t="s">
        <v>42</v>
      </c>
      <c r="Y8042" s="18" t="s">
        <v>17171</v>
      </c>
      <c r="Z8042" s="18" t="s">
        <v>13441</v>
      </c>
      <c r="AA8042" s="21" t="str">
        <f>HYPERLINK("https://www.ncbi.nlm.nih.gov/nuccore/KC904540","NCBI Nucleotide")</f>
        <v>NCBI Nucleotide</v>
      </c>
    </row>
    <row r="8043" spans="1:27" x14ac:dyDescent="0.35">
      <c r="A8043">
        <v>1008604</v>
      </c>
      <c r="B8043">
        <v>7463</v>
      </c>
      <c r="C8043">
        <v>1</v>
      </c>
      <c r="D8043" s="17" t="s">
        <v>17166</v>
      </c>
      <c r="E8043" s="17"/>
      <c r="F8043" s="17" t="s">
        <v>17246</v>
      </c>
      <c r="G8043" s="17"/>
      <c r="H8043" s="17" t="s">
        <v>17984</v>
      </c>
      <c r="I8043" s="17"/>
      <c r="J8043" s="17" t="s">
        <v>17985</v>
      </c>
      <c r="K8043" s="17"/>
      <c r="L8043" s="17" t="s">
        <v>18111</v>
      </c>
      <c r="M8043" s="17"/>
      <c r="N8043" s="17" t="s">
        <v>18244</v>
      </c>
      <c r="O8043" s="17"/>
      <c r="P8043" s="17" t="s">
        <v>18295</v>
      </c>
      <c r="Q8043" s="17"/>
      <c r="R8043" s="25" t="str">
        <f>HYPERLINK("https://ictv.global/taxonomy/taxondetails?taxnode_id=202303021","Bluvavirus vaccinii")</f>
        <v>Bluvavirus vaccinii</v>
      </c>
      <c r="S8043" s="18" t="s">
        <v>30</v>
      </c>
      <c r="T8043" s="18" t="s">
        <v>18296</v>
      </c>
      <c r="U8043" s="18" t="s">
        <v>18297</v>
      </c>
      <c r="V8043" s="18" t="s">
        <v>18298</v>
      </c>
      <c r="W8043" s="18" t="s">
        <v>18299</v>
      </c>
      <c r="X8043" s="18" t="s">
        <v>42</v>
      </c>
      <c r="Y8043" s="18" t="s">
        <v>17171</v>
      </c>
      <c r="Z8043" s="18" t="s">
        <v>13441</v>
      </c>
      <c r="AA8043" s="21" t="str">
        <f>HYPERLINK("https://www.ncbi.nlm.nih.gov/nuccore/AB733585","NCBI Nucleotide")</f>
        <v>NCBI Nucleotide</v>
      </c>
    </row>
    <row r="8044" spans="1:27" x14ac:dyDescent="0.35">
      <c r="A8044">
        <v>1008605</v>
      </c>
      <c r="B8044">
        <v>7464</v>
      </c>
      <c r="C8044">
        <v>1</v>
      </c>
      <c r="D8044" s="17" t="s">
        <v>17166</v>
      </c>
      <c r="E8044" s="17"/>
      <c r="F8044" s="17" t="s">
        <v>17246</v>
      </c>
      <c r="G8044" s="17"/>
      <c r="H8044" s="17" t="s">
        <v>17984</v>
      </c>
      <c r="I8044" s="17"/>
      <c r="J8044" s="17" t="s">
        <v>17985</v>
      </c>
      <c r="K8044" s="17"/>
      <c r="L8044" s="17" t="s">
        <v>18111</v>
      </c>
      <c r="M8044" s="17"/>
      <c r="N8044" s="17" t="s">
        <v>18244</v>
      </c>
      <c r="O8044" s="17"/>
      <c r="P8044" s="17" t="s">
        <v>18300</v>
      </c>
      <c r="Q8044" s="17"/>
      <c r="R8044" s="25" t="str">
        <f>HYPERLINK("https://ictv.global/taxonomy/taxondetails?taxnode_id=202307262","Closterovirus arracaciae")</f>
        <v>Closterovirus arracaciae</v>
      </c>
      <c r="S8044" s="18" t="s">
        <v>30</v>
      </c>
      <c r="T8044" s="18" t="s">
        <v>18301</v>
      </c>
      <c r="U8044" s="18" t="s">
        <v>18302</v>
      </c>
      <c r="V8044" s="18" t="s">
        <v>18303</v>
      </c>
      <c r="W8044" s="18" t="s">
        <v>18304</v>
      </c>
      <c r="X8044" s="18" t="s">
        <v>42</v>
      </c>
      <c r="Y8044" s="18" t="s">
        <v>17171</v>
      </c>
      <c r="Z8044" s="18" t="s">
        <v>13441</v>
      </c>
      <c r="AA8044" s="21" t="str">
        <f>HYPERLINK("https://www.ncbi.nlm.nih.gov/nuccore/MG919988","NCBI Nucleotide")</f>
        <v>NCBI Nucleotide</v>
      </c>
    </row>
    <row r="8045" spans="1:27" x14ac:dyDescent="0.35">
      <c r="A8045">
        <v>1008611</v>
      </c>
      <c r="B8045">
        <v>7465</v>
      </c>
      <c r="C8045">
        <v>1</v>
      </c>
      <c r="D8045" s="17" t="s">
        <v>17166</v>
      </c>
      <c r="E8045" s="17"/>
      <c r="F8045" s="17" t="s">
        <v>17246</v>
      </c>
      <c r="G8045" s="17"/>
      <c r="H8045" s="17" t="s">
        <v>17984</v>
      </c>
      <c r="I8045" s="17"/>
      <c r="J8045" s="17" t="s">
        <v>17985</v>
      </c>
      <c r="K8045" s="17"/>
      <c r="L8045" s="17" t="s">
        <v>18111</v>
      </c>
      <c r="M8045" s="17"/>
      <c r="N8045" s="17" t="s">
        <v>18244</v>
      </c>
      <c r="O8045" s="17"/>
      <c r="P8045" s="17" t="s">
        <v>18300</v>
      </c>
      <c r="Q8045" s="17"/>
      <c r="R8045" s="25" t="str">
        <f>HYPERLINK("https://ictv.global/taxonomy/taxondetails?taxnode_id=202308910","Closterovirus carotae")</f>
        <v>Closterovirus carotae</v>
      </c>
      <c r="S8045" s="18" t="s">
        <v>30</v>
      </c>
      <c r="T8045" s="18" t="s">
        <v>18323</v>
      </c>
      <c r="U8045" s="18" t="s">
        <v>18324</v>
      </c>
      <c r="V8045" s="18" t="s">
        <v>18325</v>
      </c>
      <c r="W8045" s="18" t="s">
        <v>18326</v>
      </c>
      <c r="X8045" s="18" t="s">
        <v>35</v>
      </c>
      <c r="Y8045" s="18" t="s">
        <v>17171</v>
      </c>
      <c r="Z8045" s="18" t="s">
        <v>13441</v>
      </c>
      <c r="AA8045" s="21" t="str">
        <f>HYPERLINK("https://www.ncbi.nlm.nih.gov/nuccore/KF533697","NCBI Nucleotide")</f>
        <v>NCBI Nucleotide</v>
      </c>
    </row>
    <row r="8046" spans="1:27" x14ac:dyDescent="0.35">
      <c r="A8046">
        <v>1008609</v>
      </c>
      <c r="B8046">
        <v>7466</v>
      </c>
      <c r="C8046">
        <v>1</v>
      </c>
      <c r="D8046" s="17" t="s">
        <v>17166</v>
      </c>
      <c r="E8046" s="17"/>
      <c r="F8046" s="17" t="s">
        <v>17246</v>
      </c>
      <c r="G8046" s="17"/>
      <c r="H8046" s="17" t="s">
        <v>17984</v>
      </c>
      <c r="I8046" s="17"/>
      <c r="J8046" s="17" t="s">
        <v>17985</v>
      </c>
      <c r="K8046" s="17"/>
      <c r="L8046" s="17" t="s">
        <v>18111</v>
      </c>
      <c r="M8046" s="17"/>
      <c r="N8046" s="17" t="s">
        <v>18244</v>
      </c>
      <c r="O8046" s="17"/>
      <c r="P8046" s="17" t="s">
        <v>18300</v>
      </c>
      <c r="Q8046" s="17"/>
      <c r="R8046" s="25" t="str">
        <f>HYPERLINK("https://ictv.global/taxonomy/taxondetails?taxnode_id=202302993","Closterovirus flavarctii")</f>
        <v>Closterovirus flavarctii</v>
      </c>
      <c r="S8046" s="18" t="s">
        <v>30</v>
      </c>
      <c r="T8046" s="18" t="s">
        <v>18317</v>
      </c>
      <c r="U8046" s="18" t="s">
        <v>18318</v>
      </c>
      <c r="V8046" s="18" t="s">
        <v>18319</v>
      </c>
      <c r="W8046" s="18"/>
      <c r="X8046" s="18" t="s">
        <v>3311</v>
      </c>
      <c r="Y8046" s="18" t="s">
        <v>17171</v>
      </c>
      <c r="Z8046" s="18" t="s">
        <v>13441</v>
      </c>
      <c r="AA8046" s="21"/>
    </row>
    <row r="8047" spans="1:27" x14ac:dyDescent="0.35">
      <c r="A8047">
        <v>1008607</v>
      </c>
      <c r="B8047">
        <v>7467</v>
      </c>
      <c r="C8047">
        <v>1</v>
      </c>
      <c r="D8047" s="17" t="s">
        <v>17166</v>
      </c>
      <c r="E8047" s="17"/>
      <c r="F8047" s="17" t="s">
        <v>17246</v>
      </c>
      <c r="G8047" s="17"/>
      <c r="H8047" s="17" t="s">
        <v>17984</v>
      </c>
      <c r="I8047" s="17"/>
      <c r="J8047" s="17" t="s">
        <v>17985</v>
      </c>
      <c r="K8047" s="17"/>
      <c r="L8047" s="17" t="s">
        <v>18111</v>
      </c>
      <c r="M8047" s="17"/>
      <c r="N8047" s="17" t="s">
        <v>18244</v>
      </c>
      <c r="O8047" s="17"/>
      <c r="P8047" s="17" t="s">
        <v>18300</v>
      </c>
      <c r="Q8047" s="17"/>
      <c r="R8047" s="25" t="str">
        <f>HYPERLINK("https://ictv.global/taxonomy/taxondetails?taxnode_id=202302992","Closterovirus flavibetae")</f>
        <v>Closterovirus flavibetae</v>
      </c>
      <c r="S8047" s="18" t="s">
        <v>30</v>
      </c>
      <c r="T8047" s="18" t="s">
        <v>18309</v>
      </c>
      <c r="U8047" s="18" t="s">
        <v>18310</v>
      </c>
      <c r="V8047" s="18" t="s">
        <v>18311</v>
      </c>
      <c r="W8047" s="18" t="s">
        <v>18312</v>
      </c>
      <c r="X8047" s="18" t="s">
        <v>42</v>
      </c>
      <c r="Y8047" s="18" t="s">
        <v>17171</v>
      </c>
      <c r="Z8047" s="18" t="s">
        <v>13441</v>
      </c>
      <c r="AA8047" s="21" t="str">
        <f>HYPERLINK("https://www.ncbi.nlm.nih.gov/nuccore/X73476","NCBI Nucleotide")</f>
        <v>NCBI Nucleotide</v>
      </c>
    </row>
    <row r="8048" spans="1:27" x14ac:dyDescent="0.35">
      <c r="A8048">
        <v>1008612</v>
      </c>
      <c r="B8048">
        <v>7468</v>
      </c>
      <c r="C8048">
        <v>1</v>
      </c>
      <c r="D8048" s="17" t="s">
        <v>17166</v>
      </c>
      <c r="E8048" s="17"/>
      <c r="F8048" s="17" t="s">
        <v>17246</v>
      </c>
      <c r="G8048" s="17"/>
      <c r="H8048" s="17" t="s">
        <v>17984</v>
      </c>
      <c r="I8048" s="17"/>
      <c r="J8048" s="17" t="s">
        <v>17985</v>
      </c>
      <c r="K8048" s="17"/>
      <c r="L8048" s="17" t="s">
        <v>18111</v>
      </c>
      <c r="M8048" s="17"/>
      <c r="N8048" s="17" t="s">
        <v>18244</v>
      </c>
      <c r="O8048" s="17"/>
      <c r="P8048" s="17" t="s">
        <v>18300</v>
      </c>
      <c r="Q8048" s="17"/>
      <c r="R8048" s="25" t="str">
        <f>HYPERLINK("https://ictv.global/taxonomy/taxondetails?taxnode_id=202302995","Closterovirus flavicarotae")</f>
        <v>Closterovirus flavicarotae</v>
      </c>
      <c r="S8048" s="18" t="s">
        <v>30</v>
      </c>
      <c r="T8048" s="18" t="s">
        <v>18327</v>
      </c>
      <c r="U8048" s="18" t="s">
        <v>18328</v>
      </c>
      <c r="V8048" s="18" t="s">
        <v>14054</v>
      </c>
      <c r="W8048" s="18" t="s">
        <v>18329</v>
      </c>
      <c r="X8048" s="18" t="s">
        <v>42</v>
      </c>
      <c r="Y8048" s="18" t="s">
        <v>17171</v>
      </c>
      <c r="Z8048" s="18" t="s">
        <v>13441</v>
      </c>
      <c r="AA8048" s="21" t="str">
        <f>HYPERLINK("https://www.ncbi.nlm.nih.gov/nuccore/FJ869862","NCBI Nucleotide")</f>
        <v>NCBI Nucleotide</v>
      </c>
    </row>
    <row r="8049" spans="1:27" x14ac:dyDescent="0.35">
      <c r="A8049">
        <v>1008621</v>
      </c>
      <c r="B8049">
        <v>7469</v>
      </c>
      <c r="C8049">
        <v>1</v>
      </c>
      <c r="D8049" s="17" t="s">
        <v>17166</v>
      </c>
      <c r="E8049" s="17"/>
      <c r="F8049" s="17" t="s">
        <v>17246</v>
      </c>
      <c r="G8049" s="17"/>
      <c r="H8049" s="17" t="s">
        <v>17984</v>
      </c>
      <c r="I8049" s="17"/>
      <c r="J8049" s="17" t="s">
        <v>17985</v>
      </c>
      <c r="K8049" s="17"/>
      <c r="L8049" s="17" t="s">
        <v>18111</v>
      </c>
      <c r="M8049" s="17"/>
      <c r="N8049" s="17" t="s">
        <v>18244</v>
      </c>
      <c r="O8049" s="17"/>
      <c r="P8049" s="17" t="s">
        <v>18300</v>
      </c>
      <c r="Q8049" s="17"/>
      <c r="R8049" s="25" t="str">
        <f>HYPERLINK("https://ictv.global/taxonomy/taxondetails?taxnode_id=202303003","Closterovirus flavitritici")</f>
        <v>Closterovirus flavitritici</v>
      </c>
      <c r="S8049" s="18" t="s">
        <v>30</v>
      </c>
      <c r="T8049" s="18" t="s">
        <v>18359</v>
      </c>
      <c r="U8049" s="18" t="s">
        <v>18360</v>
      </c>
      <c r="V8049" s="18" t="s">
        <v>18361</v>
      </c>
      <c r="W8049" s="18"/>
      <c r="X8049" s="18" t="s">
        <v>3311</v>
      </c>
      <c r="Y8049" s="18" t="s">
        <v>17171</v>
      </c>
      <c r="Z8049" s="18" t="s">
        <v>13441</v>
      </c>
      <c r="AA8049" s="21"/>
    </row>
    <row r="8050" spans="1:27" x14ac:dyDescent="0.35">
      <c r="A8050">
        <v>1008619</v>
      </c>
      <c r="B8050">
        <v>7470</v>
      </c>
      <c r="C8050">
        <v>1</v>
      </c>
      <c r="D8050" s="17" t="s">
        <v>17166</v>
      </c>
      <c r="E8050" s="17"/>
      <c r="F8050" s="17" t="s">
        <v>17246</v>
      </c>
      <c r="G8050" s="17"/>
      <c r="H8050" s="17" t="s">
        <v>17984</v>
      </c>
      <c r="I8050" s="17"/>
      <c r="J8050" s="17" t="s">
        <v>17985</v>
      </c>
      <c r="K8050" s="17"/>
      <c r="L8050" s="17" t="s">
        <v>18111</v>
      </c>
      <c r="M8050" s="17"/>
      <c r="N8050" s="17" t="s">
        <v>18244</v>
      </c>
      <c r="O8050" s="17"/>
      <c r="P8050" s="17" t="s">
        <v>18300</v>
      </c>
      <c r="Q8050" s="17"/>
      <c r="R8050" s="25" t="str">
        <f>HYPERLINK("https://ictv.global/taxonomy/taxondetails?taxnode_id=202303001","Closterovirus fragariae")</f>
        <v>Closterovirus fragariae</v>
      </c>
      <c r="S8050" s="18" t="s">
        <v>30</v>
      </c>
      <c r="T8050" s="18" t="s">
        <v>18353</v>
      </c>
      <c r="U8050" s="18" t="s">
        <v>18354</v>
      </c>
      <c r="V8050" s="18" t="s">
        <v>18179</v>
      </c>
      <c r="W8050" s="18" t="s">
        <v>18355</v>
      </c>
      <c r="X8050" s="18" t="s">
        <v>42</v>
      </c>
      <c r="Y8050" s="18" t="s">
        <v>17171</v>
      </c>
      <c r="Z8050" s="18" t="s">
        <v>13441</v>
      </c>
      <c r="AA8050" s="21" t="str">
        <f>HYPERLINK("https://www.ncbi.nlm.nih.gov/nuccore/DQ860839","NCBI Nucleotide")</f>
        <v>NCBI Nucleotide</v>
      </c>
    </row>
    <row r="8051" spans="1:27" x14ac:dyDescent="0.35">
      <c r="A8051">
        <v>1008616</v>
      </c>
      <c r="B8051">
        <v>7471</v>
      </c>
      <c r="C8051">
        <v>1</v>
      </c>
      <c r="D8051" s="17" t="s">
        <v>17166</v>
      </c>
      <c r="E8051" s="17"/>
      <c r="F8051" s="17" t="s">
        <v>17246</v>
      </c>
      <c r="G8051" s="17"/>
      <c r="H8051" s="17" t="s">
        <v>17984</v>
      </c>
      <c r="I8051" s="17"/>
      <c r="J8051" s="17" t="s">
        <v>17985</v>
      </c>
      <c r="K8051" s="17"/>
      <c r="L8051" s="17" t="s">
        <v>18111</v>
      </c>
      <c r="M8051" s="17"/>
      <c r="N8051" s="17" t="s">
        <v>18244</v>
      </c>
      <c r="O8051" s="17"/>
      <c r="P8051" s="17" t="s">
        <v>18300</v>
      </c>
      <c r="Q8051" s="17"/>
      <c r="R8051" s="25" t="str">
        <f>HYPERLINK("https://ictv.global/taxonomy/taxondetails?taxnode_id=202302999","Closterovirus macularubi")</f>
        <v>Closterovirus macularubi</v>
      </c>
      <c r="S8051" s="18" t="s">
        <v>30</v>
      </c>
      <c r="T8051" s="18" t="s">
        <v>18341</v>
      </c>
      <c r="U8051" s="18" t="s">
        <v>18342</v>
      </c>
      <c r="V8051" s="18" t="s">
        <v>18343</v>
      </c>
      <c r="W8051" s="18" t="s">
        <v>18344</v>
      </c>
      <c r="X8051" s="18" t="s">
        <v>42</v>
      </c>
      <c r="Y8051" s="18" t="s">
        <v>17171</v>
      </c>
      <c r="Z8051" s="18" t="s">
        <v>13441</v>
      </c>
      <c r="AA8051" s="21" t="str">
        <f>HYPERLINK("https://www.ncbi.nlm.nih.gov/nuccore/DQ357218","NCBI Nucleotide")</f>
        <v>NCBI Nucleotide</v>
      </c>
    </row>
    <row r="8052" spans="1:27" x14ac:dyDescent="0.35">
      <c r="A8052">
        <v>1008615</v>
      </c>
      <c r="B8052">
        <v>7472</v>
      </c>
      <c r="C8052">
        <v>1</v>
      </c>
      <c r="D8052" s="17" t="s">
        <v>17166</v>
      </c>
      <c r="E8052" s="17"/>
      <c r="F8052" s="17" t="s">
        <v>17246</v>
      </c>
      <c r="G8052" s="17"/>
      <c r="H8052" s="17" t="s">
        <v>17984</v>
      </c>
      <c r="I8052" s="17"/>
      <c r="J8052" s="17" t="s">
        <v>17985</v>
      </c>
      <c r="K8052" s="17"/>
      <c r="L8052" s="17" t="s">
        <v>18111</v>
      </c>
      <c r="M8052" s="17"/>
      <c r="N8052" s="17" t="s">
        <v>18244</v>
      </c>
      <c r="O8052" s="17"/>
      <c r="P8052" s="17" t="s">
        <v>18300</v>
      </c>
      <c r="Q8052" s="17"/>
      <c r="R8052" s="25" t="str">
        <f>HYPERLINK("https://ictv.global/taxonomy/taxondetails?taxnode_id=202302998","Closterovirus menthae")</f>
        <v>Closterovirus menthae</v>
      </c>
      <c r="S8052" s="18" t="s">
        <v>30</v>
      </c>
      <c r="T8052" s="18" t="s">
        <v>18337</v>
      </c>
      <c r="U8052" s="18" t="s">
        <v>18338</v>
      </c>
      <c r="V8052" s="18" t="s">
        <v>18339</v>
      </c>
      <c r="W8052" s="18" t="s">
        <v>18340</v>
      </c>
      <c r="X8052" s="18" t="s">
        <v>42</v>
      </c>
      <c r="Y8052" s="18" t="s">
        <v>17171</v>
      </c>
      <c r="Z8052" s="18" t="s">
        <v>13441</v>
      </c>
      <c r="AA8052" s="21" t="str">
        <f>HYPERLINK("https://www.ncbi.nlm.nih.gov/nuccore/AY792620","NCBI Nucleotide")</f>
        <v>NCBI Nucleotide</v>
      </c>
    </row>
    <row r="8053" spans="1:27" x14ac:dyDescent="0.35">
      <c r="A8053">
        <v>1008606</v>
      </c>
      <c r="B8053">
        <v>7473</v>
      </c>
      <c r="C8053">
        <v>1</v>
      </c>
      <c r="D8053" s="17" t="s">
        <v>17166</v>
      </c>
      <c r="E8053" s="17"/>
      <c r="F8053" s="17" t="s">
        <v>17246</v>
      </c>
      <c r="G8053" s="17"/>
      <c r="H8053" s="17" t="s">
        <v>17984</v>
      </c>
      <c r="I8053" s="17"/>
      <c r="J8053" s="17" t="s">
        <v>17985</v>
      </c>
      <c r="K8053" s="17"/>
      <c r="L8053" s="17" t="s">
        <v>18111</v>
      </c>
      <c r="M8053" s="17"/>
      <c r="N8053" s="17" t="s">
        <v>18244</v>
      </c>
      <c r="O8053" s="17"/>
      <c r="P8053" s="17" t="s">
        <v>18300</v>
      </c>
      <c r="Q8053" s="17"/>
      <c r="R8053" s="25" t="str">
        <f>HYPERLINK("https://ictv.global/taxonomy/taxondetails?taxnode_id=202302991","Closterovirus nanobetae")</f>
        <v>Closterovirus nanobetae</v>
      </c>
      <c r="S8053" s="18" t="s">
        <v>30</v>
      </c>
      <c r="T8053" s="18" t="s">
        <v>18305</v>
      </c>
      <c r="U8053" s="18" t="s">
        <v>18306</v>
      </c>
      <c r="V8053" s="18" t="s">
        <v>18307</v>
      </c>
      <c r="W8053" s="18" t="s">
        <v>18308</v>
      </c>
      <c r="X8053" s="18" t="s">
        <v>154</v>
      </c>
      <c r="Y8053" s="18" t="s">
        <v>17171</v>
      </c>
      <c r="Z8053" s="18" t="s">
        <v>13441</v>
      </c>
      <c r="AA8053" s="21" t="str">
        <f>HYPERLINK("https://www.ncbi.nlm.nih.gov/nuccore/U51931","NCBI Nucleotide")</f>
        <v>NCBI Nucleotide</v>
      </c>
    </row>
    <row r="8054" spans="1:27" x14ac:dyDescent="0.35">
      <c r="A8054">
        <v>1008610</v>
      </c>
      <c r="B8054">
        <v>7474</v>
      </c>
      <c r="C8054">
        <v>1</v>
      </c>
      <c r="D8054" s="17" t="s">
        <v>17166</v>
      </c>
      <c r="E8054" s="17"/>
      <c r="F8054" s="17" t="s">
        <v>17246</v>
      </c>
      <c r="G8054" s="17"/>
      <c r="H8054" s="17" t="s">
        <v>17984</v>
      </c>
      <c r="I8054" s="17"/>
      <c r="J8054" s="17" t="s">
        <v>17985</v>
      </c>
      <c r="K8054" s="17"/>
      <c r="L8054" s="17" t="s">
        <v>18111</v>
      </c>
      <c r="M8054" s="17"/>
      <c r="N8054" s="17" t="s">
        <v>18244</v>
      </c>
      <c r="O8054" s="17"/>
      <c r="P8054" s="17" t="s">
        <v>18300</v>
      </c>
      <c r="Q8054" s="17"/>
      <c r="R8054" s="25" t="str">
        <f>HYPERLINK("https://ictv.global/taxonomy/taxondetails?taxnode_id=202302994","Closterovirus necrodianthi")</f>
        <v>Closterovirus necrodianthi</v>
      </c>
      <c r="S8054" s="18" t="s">
        <v>30</v>
      </c>
      <c r="T8054" s="18" t="s">
        <v>18320</v>
      </c>
      <c r="U8054" s="18" t="s">
        <v>18321</v>
      </c>
      <c r="V8054" s="18" t="s">
        <v>18179</v>
      </c>
      <c r="W8054" s="18" t="s">
        <v>18322</v>
      </c>
      <c r="X8054" s="18" t="s">
        <v>154</v>
      </c>
      <c r="Y8054" s="18" t="s">
        <v>17171</v>
      </c>
      <c r="Z8054" s="18" t="s">
        <v>13441</v>
      </c>
      <c r="AA8054" s="21" t="str">
        <f>HYPERLINK("https://www.ncbi.nlm.nih.gov/nuccore/GU234166","NCBI Nucleotide")</f>
        <v>NCBI Nucleotide</v>
      </c>
    </row>
    <row r="8055" spans="1:27" x14ac:dyDescent="0.35">
      <c r="A8055">
        <v>1008617</v>
      </c>
      <c r="B8055">
        <v>7475</v>
      </c>
      <c r="C8055">
        <v>1</v>
      </c>
      <c r="D8055" s="17" t="s">
        <v>17166</v>
      </c>
      <c r="E8055" s="17"/>
      <c r="F8055" s="17" t="s">
        <v>17246</v>
      </c>
      <c r="G8055" s="17"/>
      <c r="H8055" s="17" t="s">
        <v>17984</v>
      </c>
      <c r="I8055" s="17"/>
      <c r="J8055" s="17" t="s">
        <v>17985</v>
      </c>
      <c r="K8055" s="17"/>
      <c r="L8055" s="17" t="s">
        <v>18111</v>
      </c>
      <c r="M8055" s="17"/>
      <c r="N8055" s="17" t="s">
        <v>18244</v>
      </c>
      <c r="O8055" s="17"/>
      <c r="P8055" s="17" t="s">
        <v>18300</v>
      </c>
      <c r="Q8055" s="17"/>
      <c r="R8055" s="25" t="str">
        <f>HYPERLINK("https://ictv.global/taxonomy/taxondetails?taxnode_id=202307263","Closterovirus rehmanniae")</f>
        <v>Closterovirus rehmanniae</v>
      </c>
      <c r="S8055" s="18" t="s">
        <v>30</v>
      </c>
      <c r="T8055" s="18" t="s">
        <v>18345</v>
      </c>
      <c r="U8055" s="18" t="s">
        <v>18346</v>
      </c>
      <c r="V8055" s="18" t="s">
        <v>18347</v>
      </c>
      <c r="W8055" s="18" t="s">
        <v>18348</v>
      </c>
      <c r="X8055" s="18" t="s">
        <v>42</v>
      </c>
      <c r="Y8055" s="18" t="s">
        <v>17171</v>
      </c>
      <c r="Z8055" s="18" t="s">
        <v>13441</v>
      </c>
      <c r="AA8055" s="21" t="str">
        <f>HYPERLINK("https://www.ncbi.nlm.nih.gov/nuccore/MH033657","NCBI Nucleotide")</f>
        <v>NCBI Nucleotide</v>
      </c>
    </row>
    <row r="8056" spans="1:27" x14ac:dyDescent="0.35">
      <c r="A8056">
        <v>1008618</v>
      </c>
      <c r="B8056">
        <v>7476</v>
      </c>
      <c r="C8056">
        <v>1</v>
      </c>
      <c r="D8056" s="17" t="s">
        <v>17166</v>
      </c>
      <c r="E8056" s="17"/>
      <c r="F8056" s="17" t="s">
        <v>17246</v>
      </c>
      <c r="G8056" s="17"/>
      <c r="H8056" s="17" t="s">
        <v>17984</v>
      </c>
      <c r="I8056" s="17"/>
      <c r="J8056" s="17" t="s">
        <v>17985</v>
      </c>
      <c r="K8056" s="17"/>
      <c r="L8056" s="17" t="s">
        <v>18111</v>
      </c>
      <c r="M8056" s="17"/>
      <c r="N8056" s="17" t="s">
        <v>18244</v>
      </c>
      <c r="O8056" s="17"/>
      <c r="P8056" s="17" t="s">
        <v>18300</v>
      </c>
      <c r="Q8056" s="17"/>
      <c r="R8056" s="25" t="str">
        <f>HYPERLINK("https://ictv.global/taxonomy/taxondetails?taxnode_id=202303000","Closterovirus rosafolium")</f>
        <v>Closterovirus rosafolium</v>
      </c>
      <c r="S8056" s="18" t="s">
        <v>30</v>
      </c>
      <c r="T8056" s="18" t="s">
        <v>18349</v>
      </c>
      <c r="U8056" s="18" t="s">
        <v>18350</v>
      </c>
      <c r="V8056" s="18" t="s">
        <v>18351</v>
      </c>
      <c r="W8056" s="18" t="s">
        <v>18352</v>
      </c>
      <c r="X8056" s="18" t="s">
        <v>42</v>
      </c>
      <c r="Y8056" s="18" t="s">
        <v>17171</v>
      </c>
      <c r="Z8056" s="18" t="s">
        <v>13441</v>
      </c>
      <c r="AA8056" s="21" t="str">
        <f>HYPERLINK("https://www.ncbi.nlm.nih.gov/nuccore/KJ748003","NCBI Nucleotide")</f>
        <v>NCBI Nucleotide</v>
      </c>
    </row>
    <row r="8057" spans="1:27" x14ac:dyDescent="0.35">
      <c r="A8057">
        <v>1008620</v>
      </c>
      <c r="B8057">
        <v>7477</v>
      </c>
      <c r="C8057">
        <v>1</v>
      </c>
      <c r="D8057" s="17" t="s">
        <v>17166</v>
      </c>
      <c r="E8057" s="17"/>
      <c r="F8057" s="17" t="s">
        <v>17246</v>
      </c>
      <c r="G8057" s="17"/>
      <c r="H8057" s="17" t="s">
        <v>17984</v>
      </c>
      <c r="I8057" s="17"/>
      <c r="J8057" s="17" t="s">
        <v>17985</v>
      </c>
      <c r="K8057" s="17"/>
      <c r="L8057" s="17" t="s">
        <v>18111</v>
      </c>
      <c r="M8057" s="17"/>
      <c r="N8057" s="17" t="s">
        <v>18244</v>
      </c>
      <c r="O8057" s="17"/>
      <c r="P8057" s="17" t="s">
        <v>18300</v>
      </c>
      <c r="Q8057" s="17"/>
      <c r="R8057" s="25" t="str">
        <f>HYPERLINK("https://ictv.global/taxonomy/taxondetails?taxnode_id=202303002","Closterovirus tabaci")</f>
        <v>Closterovirus tabaci</v>
      </c>
      <c r="S8057" s="18" t="s">
        <v>30</v>
      </c>
      <c r="T8057" s="18" t="s">
        <v>18356</v>
      </c>
      <c r="U8057" s="18" t="s">
        <v>17300</v>
      </c>
      <c r="V8057" s="18" t="s">
        <v>18357</v>
      </c>
      <c r="W8057" s="18" t="s">
        <v>18358</v>
      </c>
      <c r="X8057" s="18" t="s">
        <v>42</v>
      </c>
      <c r="Y8057" s="18" t="s">
        <v>17171</v>
      </c>
      <c r="Z8057" s="18" t="s">
        <v>13441</v>
      </c>
      <c r="AA8057" s="21" t="str">
        <f>HYPERLINK("https://www.ncbi.nlm.nih.gov/nuccore/KT203917","NCBI Nucleotide")</f>
        <v>NCBI Nucleotide</v>
      </c>
    </row>
    <row r="8058" spans="1:27" x14ac:dyDescent="0.35">
      <c r="A8058">
        <v>1008613</v>
      </c>
      <c r="B8058">
        <v>7478</v>
      </c>
      <c r="C8058">
        <v>1</v>
      </c>
      <c r="D8058" s="17" t="s">
        <v>17166</v>
      </c>
      <c r="E8058" s="17"/>
      <c r="F8058" s="17" t="s">
        <v>17246</v>
      </c>
      <c r="G8058" s="17"/>
      <c r="H8058" s="17" t="s">
        <v>17984</v>
      </c>
      <c r="I8058" s="17"/>
      <c r="J8058" s="17" t="s">
        <v>17985</v>
      </c>
      <c r="K8058" s="17"/>
      <c r="L8058" s="17" t="s">
        <v>18111</v>
      </c>
      <c r="M8058" s="17"/>
      <c r="N8058" s="17" t="s">
        <v>18244</v>
      </c>
      <c r="O8058" s="17"/>
      <c r="P8058" s="17" t="s">
        <v>18300</v>
      </c>
      <c r="Q8058" s="17"/>
      <c r="R8058" s="25" t="str">
        <f>HYPERLINK("https://ictv.global/taxonomy/taxondetails?taxnode_id=202302996","Closterovirus tristezae")</f>
        <v>Closterovirus tristezae</v>
      </c>
      <c r="S8058" s="18" t="s">
        <v>30</v>
      </c>
      <c r="T8058" s="18" t="s">
        <v>18330</v>
      </c>
      <c r="U8058" s="18" t="s">
        <v>18093</v>
      </c>
      <c r="V8058" s="18" t="s">
        <v>18331</v>
      </c>
      <c r="W8058" s="18" t="s">
        <v>18332</v>
      </c>
      <c r="X8058" s="18" t="s">
        <v>42</v>
      </c>
      <c r="Y8058" s="18" t="s">
        <v>17171</v>
      </c>
      <c r="Z8058" s="18" t="s">
        <v>13441</v>
      </c>
      <c r="AA8058" s="21" t="str">
        <f>HYPERLINK("https://www.ncbi.nlm.nih.gov/nuccore/U16304","NCBI Nucleotide")</f>
        <v>NCBI Nucleotide</v>
      </c>
    </row>
    <row r="8059" spans="1:27" x14ac:dyDescent="0.35">
      <c r="A8059">
        <v>1008608</v>
      </c>
      <c r="B8059">
        <v>7479</v>
      </c>
      <c r="C8059">
        <v>1</v>
      </c>
      <c r="D8059" s="17" t="s">
        <v>17166</v>
      </c>
      <c r="E8059" s="17"/>
      <c r="F8059" s="17" t="s">
        <v>17246</v>
      </c>
      <c r="G8059" s="17"/>
      <c r="H8059" s="17" t="s">
        <v>17984</v>
      </c>
      <c r="I8059" s="17"/>
      <c r="J8059" s="17" t="s">
        <v>17985</v>
      </c>
      <c r="K8059" s="17"/>
      <c r="L8059" s="17" t="s">
        <v>18111</v>
      </c>
      <c r="M8059" s="17"/>
      <c r="N8059" s="17" t="s">
        <v>18244</v>
      </c>
      <c r="O8059" s="17"/>
      <c r="P8059" s="17" t="s">
        <v>18300</v>
      </c>
      <c r="Q8059" s="17"/>
      <c r="R8059" s="25" t="str">
        <f>HYPERLINK("https://ictv.global/taxonomy/taxondetails?taxnode_id=202307264","Closterovirus uniribi")</f>
        <v>Closterovirus uniribi</v>
      </c>
      <c r="S8059" s="18" t="s">
        <v>30</v>
      </c>
      <c r="T8059" s="18" t="s">
        <v>18313</v>
      </c>
      <c r="U8059" s="18" t="s">
        <v>18314</v>
      </c>
      <c r="V8059" s="18" t="s">
        <v>18315</v>
      </c>
      <c r="W8059" s="18" t="s">
        <v>18316</v>
      </c>
      <c r="X8059" s="18" t="s">
        <v>42</v>
      </c>
      <c r="Y8059" s="18" t="s">
        <v>17171</v>
      </c>
      <c r="Z8059" s="18" t="s">
        <v>13441</v>
      </c>
      <c r="AA8059" s="21" t="str">
        <f>HYPERLINK("https://www.ncbi.nlm.nih.gov/nuccore/MH267701","NCBI Nucleotide")</f>
        <v>NCBI Nucleotide</v>
      </c>
    </row>
    <row r="8060" spans="1:27" x14ac:dyDescent="0.35">
      <c r="A8060">
        <v>1008614</v>
      </c>
      <c r="B8060">
        <v>7480</v>
      </c>
      <c r="C8060">
        <v>1</v>
      </c>
      <c r="D8060" s="17" t="s">
        <v>17166</v>
      </c>
      <c r="E8060" s="17"/>
      <c r="F8060" s="17" t="s">
        <v>17246</v>
      </c>
      <c r="G8060" s="17"/>
      <c r="H8060" s="17" t="s">
        <v>17984</v>
      </c>
      <c r="I8060" s="17"/>
      <c r="J8060" s="17" t="s">
        <v>17985</v>
      </c>
      <c r="K8060" s="17"/>
      <c r="L8060" s="17" t="s">
        <v>18111</v>
      </c>
      <c r="M8060" s="17"/>
      <c r="N8060" s="17" t="s">
        <v>18244</v>
      </c>
      <c r="O8060" s="17"/>
      <c r="P8060" s="17" t="s">
        <v>18300</v>
      </c>
      <c r="Q8060" s="17"/>
      <c r="R8060" s="25" t="str">
        <f>HYPERLINK("https://ictv.global/taxonomy/taxondetails?taxnode_id=202302997","Closterovirus vitis")</f>
        <v>Closterovirus vitis</v>
      </c>
      <c r="S8060" s="18" t="s">
        <v>30</v>
      </c>
      <c r="T8060" s="18" t="s">
        <v>18333</v>
      </c>
      <c r="U8060" s="18" t="s">
        <v>18334</v>
      </c>
      <c r="V8060" s="18" t="s">
        <v>18335</v>
      </c>
      <c r="W8060" s="18" t="s">
        <v>18336</v>
      </c>
      <c r="X8060" s="18" t="s">
        <v>42</v>
      </c>
      <c r="Y8060" s="18" t="s">
        <v>17171</v>
      </c>
      <c r="Z8060" s="18" t="s">
        <v>13441</v>
      </c>
      <c r="AA8060" s="21" t="str">
        <f>HYPERLINK("https://www.ncbi.nlm.nih.gov/nuccore/AY881628","NCBI Nucleotide")</f>
        <v>NCBI Nucleotide</v>
      </c>
    </row>
    <row r="8061" spans="1:27" x14ac:dyDescent="0.35">
      <c r="A8061">
        <v>1008622</v>
      </c>
      <c r="B8061">
        <v>7481</v>
      </c>
      <c r="C8061">
        <v>1</v>
      </c>
      <c r="D8061" s="17" t="s">
        <v>17166</v>
      </c>
      <c r="E8061" s="17"/>
      <c r="F8061" s="17" t="s">
        <v>17246</v>
      </c>
      <c r="G8061" s="17"/>
      <c r="H8061" s="17" t="s">
        <v>17984</v>
      </c>
      <c r="I8061" s="17"/>
      <c r="J8061" s="17" t="s">
        <v>17985</v>
      </c>
      <c r="K8061" s="17"/>
      <c r="L8061" s="17" t="s">
        <v>18111</v>
      </c>
      <c r="M8061" s="17"/>
      <c r="N8061" s="17" t="s">
        <v>18244</v>
      </c>
      <c r="O8061" s="17"/>
      <c r="P8061" s="17" t="s">
        <v>18362</v>
      </c>
      <c r="Q8061" s="17"/>
      <c r="R8061" s="25" t="str">
        <f>HYPERLINK("https://ictv.global/taxonomy/taxondetails?taxnode_id=202303005","Crinivirus abutilonis")</f>
        <v>Crinivirus abutilonis</v>
      </c>
      <c r="S8061" s="18" t="s">
        <v>30</v>
      </c>
      <c r="T8061" s="18" t="s">
        <v>18363</v>
      </c>
      <c r="U8061" s="18" t="s">
        <v>18364</v>
      </c>
      <c r="V8061" s="18" t="s">
        <v>18365</v>
      </c>
      <c r="W8061" s="18" t="s">
        <v>18366</v>
      </c>
      <c r="X8061" s="18" t="s">
        <v>154</v>
      </c>
      <c r="Y8061" s="18" t="s">
        <v>17171</v>
      </c>
      <c r="Z8061" s="18" t="s">
        <v>13441</v>
      </c>
      <c r="AA8061" s="21" t="str">
        <f>HYPERLINK("https://www.ncbi.nlm.nih.gov/nuccore/AY422069,AY422070","NCBI Nucleotide")</f>
        <v>NCBI Nucleotide</v>
      </c>
    </row>
    <row r="8062" spans="1:27" x14ac:dyDescent="0.35">
      <c r="A8062">
        <v>1008633</v>
      </c>
      <c r="B8062">
        <v>7482</v>
      </c>
      <c r="C8062">
        <v>1</v>
      </c>
      <c r="D8062" s="17" t="s">
        <v>17166</v>
      </c>
      <c r="E8062" s="17"/>
      <c r="F8062" s="17" t="s">
        <v>17246</v>
      </c>
      <c r="G8062" s="17"/>
      <c r="H8062" s="17" t="s">
        <v>17984</v>
      </c>
      <c r="I8062" s="17"/>
      <c r="J8062" s="17" t="s">
        <v>17985</v>
      </c>
      <c r="K8062" s="17"/>
      <c r="L8062" s="17" t="s">
        <v>18111</v>
      </c>
      <c r="M8062" s="17"/>
      <c r="N8062" s="17" t="s">
        <v>18244</v>
      </c>
      <c r="O8062" s="17"/>
      <c r="P8062" s="17" t="s">
        <v>18362</v>
      </c>
      <c r="Q8062" s="17"/>
      <c r="R8062" s="25" t="str">
        <f>HYPERLINK("https://ictv.global/taxonomy/taxondetails?taxnode_id=202303016","Crinivirus chelidonii")</f>
        <v>Crinivirus chelidonii</v>
      </c>
      <c r="S8062" s="18" t="s">
        <v>30</v>
      </c>
      <c r="T8062" s="18" t="s">
        <v>18404</v>
      </c>
      <c r="U8062" s="18" t="s">
        <v>18405</v>
      </c>
      <c r="V8062" s="18" t="s">
        <v>18406</v>
      </c>
      <c r="W8062" s="18" t="s">
        <v>18407</v>
      </c>
      <c r="X8062" s="18" t="s">
        <v>42</v>
      </c>
      <c r="Y8062" s="18" t="s">
        <v>17171</v>
      </c>
      <c r="Z8062" s="18" t="s">
        <v>13441</v>
      </c>
      <c r="AA8062" s="21" t="str">
        <f>HYPERLINK("https://www.ncbi.nlm.nih.gov/nuccore/KR002686,KR002687","NCBI Nucleotide")</f>
        <v>NCBI Nucleotide</v>
      </c>
    </row>
    <row r="8063" spans="1:27" x14ac:dyDescent="0.35">
      <c r="A8063">
        <v>1008635</v>
      </c>
      <c r="B8063">
        <v>7483</v>
      </c>
      <c r="C8063">
        <v>1</v>
      </c>
      <c r="D8063" s="17" t="s">
        <v>17166</v>
      </c>
      <c r="E8063" s="17"/>
      <c r="F8063" s="17" t="s">
        <v>17246</v>
      </c>
      <c r="G8063" s="17"/>
      <c r="H8063" s="17" t="s">
        <v>17984</v>
      </c>
      <c r="I8063" s="17"/>
      <c r="J8063" s="17" t="s">
        <v>17985</v>
      </c>
      <c r="K8063" s="17"/>
      <c r="L8063" s="17" t="s">
        <v>18111</v>
      </c>
      <c r="M8063" s="17"/>
      <c r="N8063" s="17" t="s">
        <v>18244</v>
      </c>
      <c r="O8063" s="17"/>
      <c r="P8063" s="17" t="s">
        <v>18362</v>
      </c>
      <c r="Q8063" s="17"/>
      <c r="R8063" s="25" t="str">
        <f>HYPERLINK("https://ictv.global/taxonomy/taxondetails?taxnode_id=202303018","Crinivirus contagichlorosis")</f>
        <v>Crinivirus contagichlorosis</v>
      </c>
      <c r="S8063" s="18" t="s">
        <v>30</v>
      </c>
      <c r="T8063" s="18" t="s">
        <v>18412</v>
      </c>
      <c r="U8063" s="18" t="s">
        <v>18413</v>
      </c>
      <c r="V8063" s="18" t="s">
        <v>18414</v>
      </c>
      <c r="W8063" s="18" t="s">
        <v>18415</v>
      </c>
      <c r="X8063" s="18" t="s">
        <v>42</v>
      </c>
      <c r="Y8063" s="18" t="s">
        <v>17171</v>
      </c>
      <c r="Z8063" s="18" t="s">
        <v>13441</v>
      </c>
      <c r="AA8063" s="21" t="str">
        <f>HYPERLINK("https://www.ncbi.nlm.nih.gov/nuccore/FJ815440,FJ815441","NCBI Nucleotide")</f>
        <v>NCBI Nucleotide</v>
      </c>
    </row>
    <row r="8064" spans="1:27" x14ac:dyDescent="0.35">
      <c r="A8064">
        <v>1008626</v>
      </c>
      <c r="B8064">
        <v>7484</v>
      </c>
      <c r="C8064">
        <v>1</v>
      </c>
      <c r="D8064" s="17" t="s">
        <v>17166</v>
      </c>
      <c r="E8064" s="17"/>
      <c r="F8064" s="17" t="s">
        <v>17246</v>
      </c>
      <c r="G8064" s="17"/>
      <c r="H8064" s="17" t="s">
        <v>17984</v>
      </c>
      <c r="I8064" s="17"/>
      <c r="J8064" s="17" t="s">
        <v>17985</v>
      </c>
      <c r="K8064" s="17"/>
      <c r="L8064" s="17" t="s">
        <v>18111</v>
      </c>
      <c r="M8064" s="17"/>
      <c r="N8064" s="17" t="s">
        <v>18244</v>
      </c>
      <c r="O8064" s="17"/>
      <c r="P8064" s="17" t="s">
        <v>18362</v>
      </c>
      <c r="Q8064" s="17"/>
      <c r="R8064" s="25" t="str">
        <f>HYPERLINK("https://ictv.global/taxonomy/taxondetails?taxnode_id=202303009","Crinivirus cucurbitae")</f>
        <v>Crinivirus cucurbitae</v>
      </c>
      <c r="S8064" s="18" t="s">
        <v>30</v>
      </c>
      <c r="T8064" s="18" t="s">
        <v>18378</v>
      </c>
      <c r="U8064" s="18" t="s">
        <v>18379</v>
      </c>
      <c r="V8064" s="18" t="s">
        <v>18380</v>
      </c>
      <c r="W8064" s="18" t="s">
        <v>18381</v>
      </c>
      <c r="X8064" s="18" t="s">
        <v>42</v>
      </c>
      <c r="Y8064" s="18" t="s">
        <v>17171</v>
      </c>
      <c r="Z8064" s="18" t="s">
        <v>13441</v>
      </c>
      <c r="AA8064" s="21" t="str">
        <f>HYPERLINK("https://www.ncbi.nlm.nih.gov/nuccore/AY242077,AY242078","NCBI Nucleotide")</f>
        <v>NCBI Nucleotide</v>
      </c>
    </row>
    <row r="8065" spans="1:27" x14ac:dyDescent="0.35">
      <c r="A8065">
        <v>1008627</v>
      </c>
      <c r="B8065">
        <v>7485</v>
      </c>
      <c r="C8065">
        <v>1</v>
      </c>
      <c r="D8065" s="17" t="s">
        <v>17166</v>
      </c>
      <c r="E8065" s="17"/>
      <c r="F8065" s="17" t="s">
        <v>17246</v>
      </c>
      <c r="G8065" s="17"/>
      <c r="H8065" s="17" t="s">
        <v>17984</v>
      </c>
      <c r="I8065" s="17"/>
      <c r="J8065" s="17" t="s">
        <v>17985</v>
      </c>
      <c r="K8065" s="17"/>
      <c r="L8065" s="17" t="s">
        <v>18111</v>
      </c>
      <c r="M8065" s="17"/>
      <c r="N8065" s="17" t="s">
        <v>18244</v>
      </c>
      <c r="O8065" s="17"/>
      <c r="P8065" s="17" t="s">
        <v>18362</v>
      </c>
      <c r="Q8065" s="17"/>
      <c r="R8065" s="25" t="str">
        <f>HYPERLINK("https://ictv.global/taxonomy/taxondetails?taxnode_id=202303010","Crinivirus diodiae")</f>
        <v>Crinivirus diodiae</v>
      </c>
      <c r="S8065" s="18" t="s">
        <v>30</v>
      </c>
      <c r="T8065" s="18" t="s">
        <v>18382</v>
      </c>
      <c r="U8065" s="18" t="s">
        <v>18383</v>
      </c>
      <c r="V8065" s="18" t="s">
        <v>18384</v>
      </c>
      <c r="W8065" s="18" t="s">
        <v>18385</v>
      </c>
      <c r="X8065" s="18" t="s">
        <v>42</v>
      </c>
      <c r="Y8065" s="18" t="s">
        <v>17171</v>
      </c>
      <c r="Z8065" s="18" t="s">
        <v>13441</v>
      </c>
      <c r="AA8065" s="21" t="str">
        <f>HYPERLINK("https://www.ncbi.nlm.nih.gov/nuccore/GQ225585,GQ376201","NCBI Nucleotide")</f>
        <v>NCBI Nucleotide</v>
      </c>
    </row>
    <row r="8066" spans="1:27" x14ac:dyDescent="0.35">
      <c r="A8066">
        <v>1008623</v>
      </c>
      <c r="B8066">
        <v>7486</v>
      </c>
      <c r="C8066">
        <v>1</v>
      </c>
      <c r="D8066" s="17" t="s">
        <v>17166</v>
      </c>
      <c r="E8066" s="17"/>
      <c r="F8066" s="17" t="s">
        <v>17246</v>
      </c>
      <c r="G8066" s="17"/>
      <c r="H8066" s="17" t="s">
        <v>17984</v>
      </c>
      <c r="I8066" s="17"/>
      <c r="J8066" s="17" t="s">
        <v>17985</v>
      </c>
      <c r="K8066" s="17"/>
      <c r="L8066" s="17" t="s">
        <v>18111</v>
      </c>
      <c r="M8066" s="17"/>
      <c r="N8066" s="17" t="s">
        <v>18244</v>
      </c>
      <c r="O8066" s="17"/>
      <c r="P8066" s="17" t="s">
        <v>18362</v>
      </c>
      <c r="Q8066" s="17"/>
      <c r="R8066" s="25" t="str">
        <f>HYPERLINK("https://ictv.global/taxonomy/taxondetails?taxnode_id=202303006","Crinivirus flavibetae")</f>
        <v>Crinivirus flavibetae</v>
      </c>
      <c r="S8066" s="18" t="s">
        <v>30</v>
      </c>
      <c r="T8066" s="18" t="s">
        <v>18367</v>
      </c>
      <c r="U8066" s="18" t="s">
        <v>18368</v>
      </c>
      <c r="V8066" s="18" t="s">
        <v>18369</v>
      </c>
      <c r="W8066" s="18" t="s">
        <v>18370</v>
      </c>
      <c r="X8066" s="18" t="s">
        <v>42</v>
      </c>
      <c r="Y8066" s="18" t="s">
        <v>17171</v>
      </c>
      <c r="Z8066" s="18" t="s">
        <v>13441</v>
      </c>
      <c r="AA8066" s="21" t="str">
        <f>HYPERLINK("https://www.ncbi.nlm.nih.gov/nuccore/EU191904,EU191905","NCBI Nucleotide")</f>
        <v>NCBI Nucleotide</v>
      </c>
    </row>
    <row r="8067" spans="1:27" x14ac:dyDescent="0.35">
      <c r="A8067">
        <v>1008630</v>
      </c>
      <c r="B8067">
        <v>7487</v>
      </c>
      <c r="C8067">
        <v>1</v>
      </c>
      <c r="D8067" s="17" t="s">
        <v>17166</v>
      </c>
      <c r="E8067" s="17"/>
      <c r="F8067" s="17" t="s">
        <v>17246</v>
      </c>
      <c r="G8067" s="17"/>
      <c r="H8067" s="17" t="s">
        <v>17984</v>
      </c>
      <c r="I8067" s="17"/>
      <c r="J8067" s="17" t="s">
        <v>17985</v>
      </c>
      <c r="K8067" s="17"/>
      <c r="L8067" s="17" t="s">
        <v>18111</v>
      </c>
      <c r="M8067" s="17"/>
      <c r="N8067" s="17" t="s">
        <v>18244</v>
      </c>
      <c r="O8067" s="17"/>
      <c r="P8067" s="17" t="s">
        <v>18362</v>
      </c>
      <c r="Q8067" s="17"/>
      <c r="R8067" s="25" t="str">
        <f>HYPERLINK("https://ictv.global/taxonomy/taxondetails?taxnode_id=202303013","Crinivirus flavisolani")</f>
        <v>Crinivirus flavisolani</v>
      </c>
      <c r="S8067" s="18" t="s">
        <v>30</v>
      </c>
      <c r="T8067" s="18" t="s">
        <v>18393</v>
      </c>
      <c r="U8067" s="18" t="s">
        <v>18394</v>
      </c>
      <c r="V8067" s="18" t="s">
        <v>18395</v>
      </c>
      <c r="W8067" s="18" t="s">
        <v>50540</v>
      </c>
      <c r="X8067" s="18" t="s">
        <v>42</v>
      </c>
      <c r="Y8067" s="18" t="s">
        <v>17171</v>
      </c>
      <c r="Z8067" s="18" t="s">
        <v>13441</v>
      </c>
      <c r="AA8067" s="21" t="str">
        <f>HYPERLINK("https://www.ncbi.nlm.nih.gov/nuccore/AJ557128,AJ557129,AJ508757","NCBI Nucleotide")</f>
        <v>NCBI Nucleotide</v>
      </c>
    </row>
    <row r="8068" spans="1:27" x14ac:dyDescent="0.35">
      <c r="A8068">
        <v>1008632</v>
      </c>
      <c r="B8068">
        <v>7488</v>
      </c>
      <c r="C8068">
        <v>1</v>
      </c>
      <c r="D8068" s="17" t="s">
        <v>17166</v>
      </c>
      <c r="E8068" s="17"/>
      <c r="F8068" s="17" t="s">
        <v>17246</v>
      </c>
      <c r="G8068" s="17"/>
      <c r="H8068" s="17" t="s">
        <v>17984</v>
      </c>
      <c r="I8068" s="17"/>
      <c r="J8068" s="17" t="s">
        <v>17985</v>
      </c>
      <c r="K8068" s="17"/>
      <c r="L8068" s="17" t="s">
        <v>18111</v>
      </c>
      <c r="M8068" s="17"/>
      <c r="N8068" s="17" t="s">
        <v>18244</v>
      </c>
      <c r="O8068" s="17"/>
      <c r="P8068" s="17" t="s">
        <v>18362</v>
      </c>
      <c r="Q8068" s="17"/>
      <c r="R8068" s="25" t="str">
        <f>HYPERLINK("https://ictv.global/taxonomy/taxondetails?taxnode_id=202303015","Crinivirus ipomeae")</f>
        <v>Crinivirus ipomeae</v>
      </c>
      <c r="S8068" s="18" t="s">
        <v>30</v>
      </c>
      <c r="T8068" s="18" t="s">
        <v>18400</v>
      </c>
      <c r="U8068" s="18" t="s">
        <v>18401</v>
      </c>
      <c r="V8068" s="18" t="s">
        <v>18402</v>
      </c>
      <c r="W8068" s="18" t="s">
        <v>18403</v>
      </c>
      <c r="X8068" s="18" t="s">
        <v>42</v>
      </c>
      <c r="Y8068" s="18" t="s">
        <v>17171</v>
      </c>
      <c r="Z8068" s="18" t="s">
        <v>13441</v>
      </c>
      <c r="AA8068" s="21" t="str">
        <f>HYPERLINK("https://www.ncbi.nlm.nih.gov/nuccore/AJ428554,AJ428555","NCBI Nucleotide")</f>
        <v>NCBI Nucleotide</v>
      </c>
    </row>
    <row r="8069" spans="1:27" x14ac:dyDescent="0.35">
      <c r="A8069">
        <v>1008628</v>
      </c>
      <c r="B8069">
        <v>7489</v>
      </c>
      <c r="C8069">
        <v>1</v>
      </c>
      <c r="D8069" s="17" t="s">
        <v>17166</v>
      </c>
      <c r="E8069" s="17"/>
      <c r="F8069" s="17" t="s">
        <v>17246</v>
      </c>
      <c r="G8069" s="17"/>
      <c r="H8069" s="17" t="s">
        <v>17984</v>
      </c>
      <c r="I8069" s="17"/>
      <c r="J8069" s="17" t="s">
        <v>17985</v>
      </c>
      <c r="K8069" s="17"/>
      <c r="L8069" s="17" t="s">
        <v>18111</v>
      </c>
      <c r="M8069" s="17"/>
      <c r="N8069" s="17" t="s">
        <v>18244</v>
      </c>
      <c r="O8069" s="17"/>
      <c r="P8069" s="17" t="s">
        <v>18362</v>
      </c>
      <c r="Q8069" s="17"/>
      <c r="R8069" s="25" t="str">
        <f>HYPERLINK("https://ictv.global/taxonomy/taxondetails?taxnode_id=202303011","Crinivirus lactucachlorosi")</f>
        <v>Crinivirus lactucachlorosi</v>
      </c>
      <c r="S8069" s="18" t="s">
        <v>30</v>
      </c>
      <c r="T8069" s="18" t="s">
        <v>18386</v>
      </c>
      <c r="U8069" s="18" t="s">
        <v>18387</v>
      </c>
      <c r="V8069" s="18" t="s">
        <v>18388</v>
      </c>
      <c r="W8069" s="18" t="s">
        <v>18389</v>
      </c>
      <c r="X8069" s="18" t="s">
        <v>42</v>
      </c>
      <c r="Y8069" s="18" t="s">
        <v>17171</v>
      </c>
      <c r="Z8069" s="18" t="s">
        <v>13441</v>
      </c>
      <c r="AA8069" s="21" t="str">
        <f>HYPERLINK("https://www.ncbi.nlm.nih.gov/nuccore/FJ380118,FJ380119","NCBI Nucleotide")</f>
        <v>NCBI Nucleotide</v>
      </c>
    </row>
    <row r="8070" spans="1:27" x14ac:dyDescent="0.35">
      <c r="A8070">
        <v>1008629</v>
      </c>
      <c r="B8070">
        <v>7490</v>
      </c>
      <c r="C8070">
        <v>1</v>
      </c>
      <c r="D8070" s="17" t="s">
        <v>17166</v>
      </c>
      <c r="E8070" s="17"/>
      <c r="F8070" s="17" t="s">
        <v>17246</v>
      </c>
      <c r="G8070" s="17"/>
      <c r="H8070" s="17" t="s">
        <v>17984</v>
      </c>
      <c r="I8070" s="17"/>
      <c r="J8070" s="17" t="s">
        <v>17985</v>
      </c>
      <c r="K8070" s="17"/>
      <c r="L8070" s="17" t="s">
        <v>18111</v>
      </c>
      <c r="M8070" s="17"/>
      <c r="N8070" s="17" t="s">
        <v>18244</v>
      </c>
      <c r="O8070" s="17"/>
      <c r="P8070" s="17" t="s">
        <v>18362</v>
      </c>
      <c r="Q8070" s="17"/>
      <c r="R8070" s="25" t="str">
        <f>HYPERLINK("https://ictv.global/taxonomy/taxondetails?taxnode_id=202303012","Crinivirus lactucaflavi")</f>
        <v>Crinivirus lactucaflavi</v>
      </c>
      <c r="S8070" s="18" t="s">
        <v>30</v>
      </c>
      <c r="T8070" s="18" t="s">
        <v>18390</v>
      </c>
      <c r="U8070" s="18" t="s">
        <v>18391</v>
      </c>
      <c r="V8070" s="18">
        <v>92</v>
      </c>
      <c r="W8070" s="18" t="s">
        <v>18392</v>
      </c>
      <c r="X8070" s="18" t="s">
        <v>42</v>
      </c>
      <c r="Y8070" s="18" t="s">
        <v>17171</v>
      </c>
      <c r="Z8070" s="18" t="s">
        <v>13441</v>
      </c>
      <c r="AA8070" s="21" t="str">
        <f>HYPERLINK("https://www.ncbi.nlm.nih.gov/nuccore/U15440,U15441","NCBI Nucleotide")</f>
        <v>NCBI Nucleotide</v>
      </c>
    </row>
    <row r="8071" spans="1:27" x14ac:dyDescent="0.35">
      <c r="A8071">
        <v>1008631</v>
      </c>
      <c r="B8071">
        <v>7491</v>
      </c>
      <c r="C8071">
        <v>1</v>
      </c>
      <c r="D8071" s="17" t="s">
        <v>17166</v>
      </c>
      <c r="E8071" s="17"/>
      <c r="F8071" s="17" t="s">
        <v>17246</v>
      </c>
      <c r="G8071" s="17"/>
      <c r="H8071" s="17" t="s">
        <v>17984</v>
      </c>
      <c r="I8071" s="17"/>
      <c r="J8071" s="17" t="s">
        <v>17985</v>
      </c>
      <c r="K8071" s="17"/>
      <c r="L8071" s="17" t="s">
        <v>18111</v>
      </c>
      <c r="M8071" s="17"/>
      <c r="N8071" s="17" t="s">
        <v>18244</v>
      </c>
      <c r="O8071" s="17"/>
      <c r="P8071" s="17" t="s">
        <v>18362</v>
      </c>
      <c r="Q8071" s="17"/>
      <c r="R8071" s="25" t="str">
        <f>HYPERLINK("https://ictv.global/taxonomy/taxondetails?taxnode_id=202303014","Crinivirus palidofragariae")</f>
        <v>Crinivirus palidofragariae</v>
      </c>
      <c r="S8071" s="18" t="s">
        <v>30</v>
      </c>
      <c r="T8071" s="18" t="s">
        <v>18396</v>
      </c>
      <c r="U8071" s="18" t="s">
        <v>18397</v>
      </c>
      <c r="V8071" s="18" t="s">
        <v>18398</v>
      </c>
      <c r="W8071" s="18" t="s">
        <v>18399</v>
      </c>
      <c r="X8071" s="18" t="s">
        <v>42</v>
      </c>
      <c r="Y8071" s="18" t="s">
        <v>17171</v>
      </c>
      <c r="Z8071" s="18" t="s">
        <v>13441</v>
      </c>
      <c r="AA8071" s="21" t="str">
        <f>HYPERLINK("https://www.ncbi.nlm.nih.gov/nuccore/AY488137,AY488138","NCBI Nucleotide")</f>
        <v>NCBI Nucleotide</v>
      </c>
    </row>
    <row r="8072" spans="1:27" x14ac:dyDescent="0.35">
      <c r="A8072">
        <v>1008624</v>
      </c>
      <c r="B8072">
        <v>7492</v>
      </c>
      <c r="C8072">
        <v>1</v>
      </c>
      <c r="D8072" s="17" t="s">
        <v>17166</v>
      </c>
      <c r="E8072" s="17"/>
      <c r="F8072" s="17" t="s">
        <v>17246</v>
      </c>
      <c r="G8072" s="17"/>
      <c r="H8072" s="17" t="s">
        <v>17984</v>
      </c>
      <c r="I8072" s="17"/>
      <c r="J8072" s="17" t="s">
        <v>17985</v>
      </c>
      <c r="K8072" s="17"/>
      <c r="L8072" s="17" t="s">
        <v>18111</v>
      </c>
      <c r="M8072" s="17"/>
      <c r="N8072" s="17" t="s">
        <v>18244</v>
      </c>
      <c r="O8072" s="17"/>
      <c r="P8072" s="17" t="s">
        <v>18362</v>
      </c>
      <c r="Q8072" s="17"/>
      <c r="R8072" s="25" t="str">
        <f>HYPERLINK("https://ictv.global/taxonomy/taxondetails?taxnode_id=202303007","Crinivirus pseudobetae")</f>
        <v>Crinivirus pseudobetae</v>
      </c>
      <c r="S8072" s="18" t="s">
        <v>30</v>
      </c>
      <c r="T8072" s="18" t="s">
        <v>18371</v>
      </c>
      <c r="U8072" s="18" t="s">
        <v>18372</v>
      </c>
      <c r="V8072" s="18" t="s">
        <v>18179</v>
      </c>
      <c r="W8072" s="18" t="s">
        <v>18373</v>
      </c>
      <c r="X8072" s="18" t="s">
        <v>42</v>
      </c>
      <c r="Y8072" s="18" t="s">
        <v>17171</v>
      </c>
      <c r="Z8072" s="18" t="s">
        <v>13441</v>
      </c>
      <c r="AA8072" s="21" t="str">
        <f>HYPERLINK("https://www.ncbi.nlm.nih.gov/nuccore/AY330918,AY330919","NCBI Nucleotide")</f>
        <v>NCBI Nucleotide</v>
      </c>
    </row>
    <row r="8073" spans="1:27" x14ac:dyDescent="0.35">
      <c r="A8073">
        <v>1008625</v>
      </c>
      <c r="B8073">
        <v>7493</v>
      </c>
      <c r="C8073">
        <v>1</v>
      </c>
      <c r="D8073" s="17" t="s">
        <v>17166</v>
      </c>
      <c r="E8073" s="17"/>
      <c r="F8073" s="17" t="s">
        <v>17246</v>
      </c>
      <c r="G8073" s="17"/>
      <c r="H8073" s="17" t="s">
        <v>17984</v>
      </c>
      <c r="I8073" s="17"/>
      <c r="J8073" s="17" t="s">
        <v>17985</v>
      </c>
      <c r="K8073" s="17"/>
      <c r="L8073" s="17" t="s">
        <v>18111</v>
      </c>
      <c r="M8073" s="17"/>
      <c r="N8073" s="17" t="s">
        <v>18244</v>
      </c>
      <c r="O8073" s="17"/>
      <c r="P8073" s="17" t="s">
        <v>18362</v>
      </c>
      <c r="Q8073" s="17"/>
      <c r="R8073" s="25" t="str">
        <f>HYPERLINK("https://ictv.global/taxonomy/taxondetails?taxnode_id=202303008","Crinivirus rubi")</f>
        <v>Crinivirus rubi</v>
      </c>
      <c r="S8073" s="18" t="s">
        <v>30</v>
      </c>
      <c r="T8073" s="18" t="s">
        <v>18374</v>
      </c>
      <c r="U8073" s="18" t="s">
        <v>18375</v>
      </c>
      <c r="V8073" s="18" t="s">
        <v>18376</v>
      </c>
      <c r="W8073" s="18" t="s">
        <v>18377</v>
      </c>
      <c r="X8073" s="18" t="s">
        <v>42</v>
      </c>
      <c r="Y8073" s="18" t="s">
        <v>17171</v>
      </c>
      <c r="Z8073" s="18" t="s">
        <v>13441</v>
      </c>
      <c r="AA8073" s="21" t="str">
        <f>HYPERLINK("https://www.ncbi.nlm.nih.gov/nuccore/AY776334,AY776335","NCBI Nucleotide")</f>
        <v>NCBI Nucleotide</v>
      </c>
    </row>
    <row r="8074" spans="1:27" x14ac:dyDescent="0.35">
      <c r="A8074">
        <v>1008634</v>
      </c>
      <c r="B8074">
        <v>7494</v>
      </c>
      <c r="C8074">
        <v>1</v>
      </c>
      <c r="D8074" s="17" t="s">
        <v>17166</v>
      </c>
      <c r="E8074" s="17"/>
      <c r="F8074" s="17" t="s">
        <v>17246</v>
      </c>
      <c r="G8074" s="17"/>
      <c r="H8074" s="17" t="s">
        <v>17984</v>
      </c>
      <c r="I8074" s="17"/>
      <c r="J8074" s="17" t="s">
        <v>17985</v>
      </c>
      <c r="K8074" s="17"/>
      <c r="L8074" s="17" t="s">
        <v>18111</v>
      </c>
      <c r="M8074" s="17"/>
      <c r="N8074" s="17" t="s">
        <v>18244</v>
      </c>
      <c r="O8074" s="17"/>
      <c r="P8074" s="17" t="s">
        <v>18362</v>
      </c>
      <c r="Q8074" s="17"/>
      <c r="R8074" s="25" t="str">
        <f>HYPERLINK("https://ictv.global/taxonomy/taxondetails?taxnode_id=202303017","Crinivirus tomatichlorosis")</f>
        <v>Crinivirus tomatichlorosis</v>
      </c>
      <c r="S8074" s="18" t="s">
        <v>30</v>
      </c>
      <c r="T8074" s="18" t="s">
        <v>18408</v>
      </c>
      <c r="U8074" s="18" t="s">
        <v>18409</v>
      </c>
      <c r="V8074" s="18" t="s">
        <v>18410</v>
      </c>
      <c r="W8074" s="18" t="s">
        <v>18411</v>
      </c>
      <c r="X8074" s="18" t="s">
        <v>42</v>
      </c>
      <c r="Y8074" s="18" t="s">
        <v>17171</v>
      </c>
      <c r="Z8074" s="18" t="s">
        <v>13441</v>
      </c>
      <c r="AA8074" s="21" t="str">
        <f>HYPERLINK("https://www.ncbi.nlm.nih.gov/nuccore/AY903447,AY903448","NCBI Nucleotide")</f>
        <v>NCBI Nucleotide</v>
      </c>
    </row>
    <row r="8075" spans="1:27" x14ac:dyDescent="0.35">
      <c r="A8075">
        <v>1008636</v>
      </c>
      <c r="B8075">
        <v>7495</v>
      </c>
      <c r="C8075">
        <v>1</v>
      </c>
      <c r="D8075" s="17" t="s">
        <v>17166</v>
      </c>
      <c r="E8075" s="17"/>
      <c r="F8075" s="17" t="s">
        <v>17246</v>
      </c>
      <c r="G8075" s="17"/>
      <c r="H8075" s="17" t="s">
        <v>17984</v>
      </c>
      <c r="I8075" s="17"/>
      <c r="J8075" s="17" t="s">
        <v>17985</v>
      </c>
      <c r="K8075" s="17"/>
      <c r="L8075" s="17" t="s">
        <v>18111</v>
      </c>
      <c r="M8075" s="17"/>
      <c r="N8075" s="17" t="s">
        <v>18244</v>
      </c>
      <c r="O8075" s="17"/>
      <c r="P8075" s="17" t="s">
        <v>18416</v>
      </c>
      <c r="Q8075" s="17"/>
      <c r="R8075" s="25" t="str">
        <f>HYPERLINK("https://ictv.global/taxonomy/taxondetails?taxnode_id=202303023","Menthavirus menthae")</f>
        <v>Menthavirus menthae</v>
      </c>
      <c r="S8075" s="18" t="s">
        <v>30</v>
      </c>
      <c r="T8075" s="18" t="s">
        <v>18417</v>
      </c>
      <c r="U8075" s="18" t="s">
        <v>18418</v>
      </c>
      <c r="V8075" s="18" t="s">
        <v>18419</v>
      </c>
      <c r="W8075" s="18" t="s">
        <v>18420</v>
      </c>
      <c r="X8075" s="18" t="s">
        <v>154</v>
      </c>
      <c r="Y8075" s="18" t="s">
        <v>17171</v>
      </c>
      <c r="Z8075" s="18" t="s">
        <v>13441</v>
      </c>
      <c r="AA8075" s="21" t="str">
        <f>HYPERLINK("https://www.ncbi.nlm.nih.gov/nuccore/KJ572575","NCBI Nucleotide")</f>
        <v>NCBI Nucleotide</v>
      </c>
    </row>
    <row r="8076" spans="1:27" x14ac:dyDescent="0.35">
      <c r="A8076">
        <v>1008637</v>
      </c>
      <c r="B8076">
        <v>7496</v>
      </c>
      <c r="C8076">
        <v>1</v>
      </c>
      <c r="D8076" s="17" t="s">
        <v>17166</v>
      </c>
      <c r="E8076" s="17"/>
      <c r="F8076" s="17" t="s">
        <v>17246</v>
      </c>
      <c r="G8076" s="17"/>
      <c r="H8076" s="17" t="s">
        <v>17984</v>
      </c>
      <c r="I8076" s="17"/>
      <c r="J8076" s="17" t="s">
        <v>17985</v>
      </c>
      <c r="K8076" s="17"/>
      <c r="L8076" s="17" t="s">
        <v>18111</v>
      </c>
      <c r="M8076" s="17"/>
      <c r="N8076" s="17" t="s">
        <v>18244</v>
      </c>
      <c r="O8076" s="17"/>
      <c r="P8076" s="17" t="s">
        <v>18421</v>
      </c>
      <c r="Q8076" s="17"/>
      <c r="R8076" s="25" t="str">
        <f>HYPERLINK("https://ictv.global/taxonomy/taxondetails?taxnode_id=202306657","Olivavirus actinidiae")</f>
        <v>Olivavirus actinidiae</v>
      </c>
      <c r="S8076" s="18" t="s">
        <v>30</v>
      </c>
      <c r="T8076" s="18" t="s">
        <v>18422</v>
      </c>
      <c r="U8076" s="18" t="s">
        <v>18423</v>
      </c>
      <c r="V8076" s="18" t="s">
        <v>18424</v>
      </c>
      <c r="W8076" s="18" t="s">
        <v>18425</v>
      </c>
      <c r="X8076" s="18" t="s">
        <v>42</v>
      </c>
      <c r="Y8076" s="18" t="s">
        <v>17171</v>
      </c>
      <c r="Z8076" s="18" t="s">
        <v>13441</v>
      </c>
      <c r="AA8076" s="21" t="str">
        <f>HYPERLINK("https://www.ncbi.nlm.nih.gov/nuccore/KX857665","NCBI Nucleotide")</f>
        <v>NCBI Nucleotide</v>
      </c>
    </row>
    <row r="8077" spans="1:27" x14ac:dyDescent="0.35">
      <c r="A8077">
        <v>1008639</v>
      </c>
      <c r="B8077">
        <v>7497</v>
      </c>
      <c r="C8077">
        <v>1</v>
      </c>
      <c r="D8077" s="17" t="s">
        <v>17166</v>
      </c>
      <c r="E8077" s="17"/>
      <c r="F8077" s="17" t="s">
        <v>17246</v>
      </c>
      <c r="G8077" s="17"/>
      <c r="H8077" s="17" t="s">
        <v>17984</v>
      </c>
      <c r="I8077" s="17"/>
      <c r="J8077" s="17" t="s">
        <v>17985</v>
      </c>
      <c r="K8077" s="17"/>
      <c r="L8077" s="17" t="s">
        <v>18111</v>
      </c>
      <c r="M8077" s="17"/>
      <c r="N8077" s="17" t="s">
        <v>18244</v>
      </c>
      <c r="O8077" s="17"/>
      <c r="P8077" s="17" t="s">
        <v>18421</v>
      </c>
      <c r="Q8077" s="17"/>
      <c r="R8077" s="25" t="str">
        <f>HYPERLINK("https://ictv.global/taxonomy/taxondetails?taxnode_id=202303025","Olivavirus betadiospyri")</f>
        <v>Olivavirus betadiospyri</v>
      </c>
      <c r="S8077" s="18" t="s">
        <v>30</v>
      </c>
      <c r="T8077" s="18" t="s">
        <v>18430</v>
      </c>
      <c r="U8077" s="18" t="s">
        <v>18431</v>
      </c>
      <c r="V8077" s="18" t="s">
        <v>9992</v>
      </c>
      <c r="W8077" s="18" t="s">
        <v>18432</v>
      </c>
      <c r="X8077" s="18" t="s">
        <v>42</v>
      </c>
      <c r="Y8077" s="18" t="s">
        <v>17171</v>
      </c>
      <c r="Z8077" s="18" t="s">
        <v>13441</v>
      </c>
      <c r="AA8077" s="21" t="str">
        <f>HYPERLINK("https://www.ncbi.nlm.nih.gov/nuccore/AB923924","NCBI Nucleotide")</f>
        <v>NCBI Nucleotide</v>
      </c>
    </row>
    <row r="8078" spans="1:27" x14ac:dyDescent="0.35">
      <c r="A8078">
        <v>1008638</v>
      </c>
      <c r="B8078">
        <v>7498</v>
      </c>
      <c r="C8078">
        <v>1</v>
      </c>
      <c r="D8078" s="17" t="s">
        <v>17166</v>
      </c>
      <c r="E8078" s="17"/>
      <c r="F8078" s="17" t="s">
        <v>17246</v>
      </c>
      <c r="G8078" s="17"/>
      <c r="H8078" s="17" t="s">
        <v>17984</v>
      </c>
      <c r="I8078" s="17"/>
      <c r="J8078" s="17" t="s">
        <v>17985</v>
      </c>
      <c r="K8078" s="17"/>
      <c r="L8078" s="17" t="s">
        <v>18111</v>
      </c>
      <c r="M8078" s="17"/>
      <c r="N8078" s="17" t="s">
        <v>18244</v>
      </c>
      <c r="O8078" s="17"/>
      <c r="P8078" s="17" t="s">
        <v>18421</v>
      </c>
      <c r="Q8078" s="17"/>
      <c r="R8078" s="25" t="str">
        <f>HYPERLINK("https://ictv.global/taxonomy/taxondetails?taxnode_id=202303024","Olivavirus flavioleae")</f>
        <v>Olivavirus flavioleae</v>
      </c>
      <c r="S8078" s="18" t="s">
        <v>30</v>
      </c>
      <c r="T8078" s="18" t="s">
        <v>18426</v>
      </c>
      <c r="U8078" s="18" t="s">
        <v>18427</v>
      </c>
      <c r="V8078" s="18" t="s">
        <v>18428</v>
      </c>
      <c r="W8078" s="18" t="s">
        <v>18429</v>
      </c>
      <c r="X8078" s="18" t="s">
        <v>154</v>
      </c>
      <c r="Y8078" s="18" t="s">
        <v>17171</v>
      </c>
      <c r="Z8078" s="18" t="s">
        <v>13441</v>
      </c>
      <c r="AA8078" s="21" t="str">
        <f>HYPERLINK("https://www.ncbi.nlm.nih.gov/nuccore/AJ440010","NCBI Nucleotide")</f>
        <v>NCBI Nucleotide</v>
      </c>
    </row>
    <row r="8079" spans="1:27" x14ac:dyDescent="0.35">
      <c r="A8079">
        <v>1008647</v>
      </c>
      <c r="B8079">
        <v>7499</v>
      </c>
      <c r="C8079">
        <v>1</v>
      </c>
      <c r="D8079" s="17" t="s">
        <v>17166</v>
      </c>
      <c r="E8079" s="17"/>
      <c r="F8079" s="17" t="s">
        <v>17246</v>
      </c>
      <c r="G8079" s="17"/>
      <c r="H8079" s="17" t="s">
        <v>17984</v>
      </c>
      <c r="I8079" s="17"/>
      <c r="J8079" s="17" t="s">
        <v>17985</v>
      </c>
      <c r="K8079" s="17"/>
      <c r="L8079" s="17" t="s">
        <v>18111</v>
      </c>
      <c r="M8079" s="17"/>
      <c r="N8079" s="17" t="s">
        <v>18244</v>
      </c>
      <c r="O8079" s="17"/>
      <c r="P8079" s="17" t="s">
        <v>18433</v>
      </c>
      <c r="Q8079" s="17"/>
      <c r="R8079" s="25" t="str">
        <f>HYPERLINK("https://ictv.global/taxonomy/taxondetails?taxnode_id=202308912","Velarivirus alphamali")</f>
        <v>Velarivirus alphamali</v>
      </c>
      <c r="S8079" s="18" t="s">
        <v>30</v>
      </c>
      <c r="T8079" s="18" t="s">
        <v>18459</v>
      </c>
      <c r="U8079" s="18" t="s">
        <v>18460</v>
      </c>
      <c r="V8079" s="18" t="s">
        <v>18461</v>
      </c>
      <c r="W8079" s="18" t="s">
        <v>18462</v>
      </c>
      <c r="X8079" s="18" t="s">
        <v>42</v>
      </c>
      <c r="Y8079" s="18" t="s">
        <v>17171</v>
      </c>
      <c r="Z8079" s="18" t="s">
        <v>13441</v>
      </c>
      <c r="AA8079" s="21" t="str">
        <f>HYPERLINK("https://www.ncbi.nlm.nih.gov/nuccore/MN548734","NCBI Nucleotide")</f>
        <v>NCBI Nucleotide</v>
      </c>
    </row>
    <row r="8080" spans="1:27" x14ac:dyDescent="0.35">
      <c r="A8080">
        <v>1008640</v>
      </c>
      <c r="B8080">
        <v>7500</v>
      </c>
      <c r="C8080">
        <v>1</v>
      </c>
      <c r="D8080" s="17" t="s">
        <v>17166</v>
      </c>
      <c r="E8080" s="17"/>
      <c r="F8080" s="17" t="s">
        <v>17246</v>
      </c>
      <c r="G8080" s="17"/>
      <c r="H8080" s="17" t="s">
        <v>17984</v>
      </c>
      <c r="I8080" s="17"/>
      <c r="J8080" s="17" t="s">
        <v>17985</v>
      </c>
      <c r="K8080" s="17"/>
      <c r="L8080" s="17" t="s">
        <v>18111</v>
      </c>
      <c r="M8080" s="17"/>
      <c r="N8080" s="17" t="s">
        <v>18244</v>
      </c>
      <c r="O8080" s="17"/>
      <c r="P8080" s="17" t="s">
        <v>18433</v>
      </c>
      <c r="Q8080" s="17"/>
      <c r="R8080" s="25" t="str">
        <f>HYPERLINK("https://ictv.global/taxonomy/taxondetails?taxnode_id=202303027","Velarivirus arecae")</f>
        <v>Velarivirus arecae</v>
      </c>
      <c r="S8080" s="18" t="s">
        <v>30</v>
      </c>
      <c r="T8080" s="18" t="s">
        <v>18434</v>
      </c>
      <c r="U8080" s="18" t="s">
        <v>18435</v>
      </c>
      <c r="V8080" s="18" t="s">
        <v>17873</v>
      </c>
      <c r="W8080" s="18" t="s">
        <v>18436</v>
      </c>
      <c r="X8080" s="18" t="s">
        <v>42</v>
      </c>
      <c r="Y8080" s="18" t="s">
        <v>17171</v>
      </c>
      <c r="Z8080" s="18" t="s">
        <v>13441</v>
      </c>
      <c r="AA8080" s="21" t="str">
        <f>HYPERLINK("https://www.ncbi.nlm.nih.gov/nuccore/KR349464","NCBI Nucleotide")</f>
        <v>NCBI Nucleotide</v>
      </c>
    </row>
    <row r="8081" spans="1:27" x14ac:dyDescent="0.35">
      <c r="A8081">
        <v>1008642</v>
      </c>
      <c r="B8081">
        <v>7501</v>
      </c>
      <c r="C8081">
        <v>1</v>
      </c>
      <c r="D8081" s="17" t="s">
        <v>17166</v>
      </c>
      <c r="E8081" s="17"/>
      <c r="F8081" s="17" t="s">
        <v>17246</v>
      </c>
      <c r="G8081" s="17"/>
      <c r="H8081" s="17" t="s">
        <v>17984</v>
      </c>
      <c r="I8081" s="17"/>
      <c r="J8081" s="17" t="s">
        <v>17985</v>
      </c>
      <c r="K8081" s="17"/>
      <c r="L8081" s="17" t="s">
        <v>18111</v>
      </c>
      <c r="M8081" s="17"/>
      <c r="N8081" s="17" t="s">
        <v>18244</v>
      </c>
      <c r="O8081" s="17"/>
      <c r="P8081" s="17" t="s">
        <v>18433</v>
      </c>
      <c r="Q8081" s="17"/>
      <c r="R8081" s="25" t="str">
        <f>HYPERLINK("https://ictv.global/taxonomy/taxondetails?taxnode_id=202303029","Velarivirus duocordylinae")</f>
        <v>Velarivirus duocordylinae</v>
      </c>
      <c r="S8081" s="18" t="s">
        <v>30</v>
      </c>
      <c r="T8081" s="18" t="s">
        <v>18441</v>
      </c>
      <c r="U8081" s="18" t="s">
        <v>18442</v>
      </c>
      <c r="V8081" s="18" t="s">
        <v>18443</v>
      </c>
      <c r="W8081" s="18" t="s">
        <v>18444</v>
      </c>
      <c r="X8081" s="18" t="s">
        <v>154</v>
      </c>
      <c r="Y8081" s="18" t="s">
        <v>17171</v>
      </c>
      <c r="Z8081" s="18" t="s">
        <v>13441</v>
      </c>
      <c r="AA8081" s="21" t="str">
        <f>HYPERLINK("https://www.ncbi.nlm.nih.gov/nuccore/JQ599282","NCBI Nucleotide")</f>
        <v>NCBI Nucleotide</v>
      </c>
    </row>
    <row r="8082" spans="1:27" x14ac:dyDescent="0.35">
      <c r="A8082">
        <v>1008646</v>
      </c>
      <c r="B8082">
        <v>7502</v>
      </c>
      <c r="C8082">
        <v>1</v>
      </c>
      <c r="D8082" s="17" t="s">
        <v>17166</v>
      </c>
      <c r="E8082" s="17"/>
      <c r="F8082" s="17" t="s">
        <v>17246</v>
      </c>
      <c r="G8082" s="17"/>
      <c r="H8082" s="17" t="s">
        <v>17984</v>
      </c>
      <c r="I8082" s="17"/>
      <c r="J8082" s="17" t="s">
        <v>17985</v>
      </c>
      <c r="K8082" s="17"/>
      <c r="L8082" s="17" t="s">
        <v>18111</v>
      </c>
      <c r="M8082" s="17"/>
      <c r="N8082" s="17" t="s">
        <v>18244</v>
      </c>
      <c r="O8082" s="17"/>
      <c r="P8082" s="17" t="s">
        <v>18433</v>
      </c>
      <c r="Q8082" s="17"/>
      <c r="R8082" s="25" t="str">
        <f>HYPERLINK("https://ictv.global/taxonomy/taxondetails?taxnode_id=202303033","Velarivirus nanoavii")</f>
        <v>Velarivirus nanoavii</v>
      </c>
      <c r="S8082" s="18" t="s">
        <v>30</v>
      </c>
      <c r="T8082" s="18" t="s">
        <v>18455</v>
      </c>
      <c r="U8082" s="18" t="s">
        <v>18456</v>
      </c>
      <c r="V8082" s="18" t="s">
        <v>18457</v>
      </c>
      <c r="W8082" s="18" t="s">
        <v>18458</v>
      </c>
      <c r="X8082" s="18" t="s">
        <v>42</v>
      </c>
      <c r="Y8082" s="18" t="s">
        <v>17171</v>
      </c>
      <c r="Z8082" s="18" t="s">
        <v>13441</v>
      </c>
      <c r="AA8082" s="21" t="str">
        <f>HYPERLINK("https://www.ncbi.nlm.nih.gov/nuccore/Y10237","NCBI Nucleotide")</f>
        <v>NCBI Nucleotide</v>
      </c>
    </row>
    <row r="8083" spans="1:27" x14ac:dyDescent="0.35">
      <c r="A8083">
        <v>1008645</v>
      </c>
      <c r="B8083">
        <v>7503</v>
      </c>
      <c r="C8083">
        <v>1</v>
      </c>
      <c r="D8083" s="17" t="s">
        <v>17166</v>
      </c>
      <c r="E8083" s="17"/>
      <c r="F8083" s="17" t="s">
        <v>17246</v>
      </c>
      <c r="G8083" s="17"/>
      <c r="H8083" s="17" t="s">
        <v>17984</v>
      </c>
      <c r="I8083" s="17"/>
      <c r="J8083" s="17" t="s">
        <v>17985</v>
      </c>
      <c r="K8083" s="17"/>
      <c r="L8083" s="17" t="s">
        <v>18111</v>
      </c>
      <c r="M8083" s="17"/>
      <c r="N8083" s="17" t="s">
        <v>18244</v>
      </c>
      <c r="O8083" s="17"/>
      <c r="P8083" s="17" t="s">
        <v>18433</v>
      </c>
      <c r="Q8083" s="17"/>
      <c r="R8083" s="25" t="str">
        <f>HYPERLINK("https://ictv.global/taxonomy/taxondetails?taxnode_id=202303032","Velarivirus septemvitis")</f>
        <v>Velarivirus septemvitis</v>
      </c>
      <c r="S8083" s="18" t="s">
        <v>30</v>
      </c>
      <c r="T8083" s="18" t="s">
        <v>18451</v>
      </c>
      <c r="U8083" s="18" t="s">
        <v>18452</v>
      </c>
      <c r="V8083" s="18" t="s">
        <v>18453</v>
      </c>
      <c r="W8083" s="18" t="s">
        <v>18454</v>
      </c>
      <c r="X8083" s="18" t="s">
        <v>42</v>
      </c>
      <c r="Y8083" s="18" t="s">
        <v>17171</v>
      </c>
      <c r="Z8083" s="18" t="s">
        <v>13441</v>
      </c>
      <c r="AA8083" s="21" t="str">
        <f>HYPERLINK("https://www.ncbi.nlm.nih.gov/nuccore/HE588185","NCBI Nucleotide")</f>
        <v>NCBI Nucleotide</v>
      </c>
    </row>
    <row r="8084" spans="1:27" x14ac:dyDescent="0.35">
      <c r="A8084">
        <v>1008644</v>
      </c>
      <c r="B8084">
        <v>7504</v>
      </c>
      <c r="C8084">
        <v>1</v>
      </c>
      <c r="D8084" s="17" t="s">
        <v>17166</v>
      </c>
      <c r="E8084" s="17"/>
      <c r="F8084" s="17" t="s">
        <v>17246</v>
      </c>
      <c r="G8084" s="17"/>
      <c r="H8084" s="17" t="s">
        <v>17984</v>
      </c>
      <c r="I8084" s="17"/>
      <c r="J8084" s="17" t="s">
        <v>17985</v>
      </c>
      <c r="K8084" s="17"/>
      <c r="L8084" s="17" t="s">
        <v>18111</v>
      </c>
      <c r="M8084" s="17"/>
      <c r="N8084" s="17" t="s">
        <v>18244</v>
      </c>
      <c r="O8084" s="17"/>
      <c r="P8084" s="17" t="s">
        <v>18433</v>
      </c>
      <c r="Q8084" s="17"/>
      <c r="R8084" s="25" t="str">
        <f>HYPERLINK("https://ictv.global/taxonomy/taxondetails?taxnode_id=202303031","Velarivirus tetracordylinae")</f>
        <v>Velarivirus tetracordylinae</v>
      </c>
      <c r="S8084" s="18" t="s">
        <v>30</v>
      </c>
      <c r="T8084" s="18" t="s">
        <v>18448</v>
      </c>
      <c r="U8084" s="18" t="s">
        <v>18449</v>
      </c>
      <c r="V8084" s="18" t="s">
        <v>18443</v>
      </c>
      <c r="W8084" s="18" t="s">
        <v>18450</v>
      </c>
      <c r="X8084" s="18" t="s">
        <v>154</v>
      </c>
      <c r="Y8084" s="18" t="s">
        <v>17171</v>
      </c>
      <c r="Z8084" s="18" t="s">
        <v>13441</v>
      </c>
      <c r="AA8084" s="21" t="str">
        <f>HYPERLINK("https://www.ncbi.nlm.nih.gov/nuccore/JQ599284","NCBI Nucleotide")</f>
        <v>NCBI Nucleotide</v>
      </c>
    </row>
    <row r="8085" spans="1:27" x14ac:dyDescent="0.35">
      <c r="A8085">
        <v>1008643</v>
      </c>
      <c r="B8085">
        <v>7505</v>
      </c>
      <c r="C8085">
        <v>1</v>
      </c>
      <c r="D8085" s="17" t="s">
        <v>17166</v>
      </c>
      <c r="E8085" s="17"/>
      <c r="F8085" s="17" t="s">
        <v>17246</v>
      </c>
      <c r="G8085" s="17"/>
      <c r="H8085" s="17" t="s">
        <v>17984</v>
      </c>
      <c r="I8085" s="17"/>
      <c r="J8085" s="17" t="s">
        <v>17985</v>
      </c>
      <c r="K8085" s="17"/>
      <c r="L8085" s="17" t="s">
        <v>18111</v>
      </c>
      <c r="M8085" s="17"/>
      <c r="N8085" s="17" t="s">
        <v>18244</v>
      </c>
      <c r="O8085" s="17"/>
      <c r="P8085" s="17" t="s">
        <v>18433</v>
      </c>
      <c r="Q8085" s="17"/>
      <c r="R8085" s="25" t="str">
        <f>HYPERLINK("https://ictv.global/taxonomy/taxondetails?taxnode_id=202303030","Velarivirus tricordylinae")</f>
        <v>Velarivirus tricordylinae</v>
      </c>
      <c r="S8085" s="18" t="s">
        <v>30</v>
      </c>
      <c r="T8085" s="18" t="s">
        <v>18445</v>
      </c>
      <c r="U8085" s="18" t="s">
        <v>18446</v>
      </c>
      <c r="V8085" s="18" t="s">
        <v>18443</v>
      </c>
      <c r="W8085" s="18" t="s">
        <v>18447</v>
      </c>
      <c r="X8085" s="18" t="s">
        <v>154</v>
      </c>
      <c r="Y8085" s="18" t="s">
        <v>17171</v>
      </c>
      <c r="Z8085" s="18" t="s">
        <v>13441</v>
      </c>
      <c r="AA8085" s="21" t="str">
        <f>HYPERLINK("https://www.ncbi.nlm.nih.gov/nuccore/JQ599283","NCBI Nucleotide")</f>
        <v>NCBI Nucleotide</v>
      </c>
    </row>
    <row r="8086" spans="1:27" x14ac:dyDescent="0.35">
      <c r="A8086">
        <v>1008641</v>
      </c>
      <c r="B8086">
        <v>7506</v>
      </c>
      <c r="C8086">
        <v>1</v>
      </c>
      <c r="D8086" s="17" t="s">
        <v>17166</v>
      </c>
      <c r="E8086" s="17"/>
      <c r="F8086" s="17" t="s">
        <v>17246</v>
      </c>
      <c r="G8086" s="17"/>
      <c r="H8086" s="17" t="s">
        <v>17984</v>
      </c>
      <c r="I8086" s="17"/>
      <c r="J8086" s="17" t="s">
        <v>17985</v>
      </c>
      <c r="K8086" s="17"/>
      <c r="L8086" s="17" t="s">
        <v>18111</v>
      </c>
      <c r="M8086" s="17"/>
      <c r="N8086" s="17" t="s">
        <v>18244</v>
      </c>
      <c r="O8086" s="17"/>
      <c r="P8086" s="17" t="s">
        <v>18433</v>
      </c>
      <c r="Q8086" s="17"/>
      <c r="R8086" s="25" t="str">
        <f>HYPERLINK("https://ictv.global/taxonomy/taxondetails?taxnode_id=202303028","Velarivirus unicordylinae")</f>
        <v>Velarivirus unicordylinae</v>
      </c>
      <c r="S8086" s="18" t="s">
        <v>30</v>
      </c>
      <c r="T8086" s="18" t="s">
        <v>18437</v>
      </c>
      <c r="U8086" s="18" t="s">
        <v>18438</v>
      </c>
      <c r="V8086" s="18" t="s">
        <v>18439</v>
      </c>
      <c r="W8086" s="18" t="s">
        <v>18440</v>
      </c>
      <c r="X8086" s="18" t="s">
        <v>42</v>
      </c>
      <c r="Y8086" s="18" t="s">
        <v>17171</v>
      </c>
      <c r="Z8086" s="18" t="s">
        <v>13441</v>
      </c>
      <c r="AA8086" s="21" t="str">
        <f>HYPERLINK("https://www.ncbi.nlm.nih.gov/nuccore/HM588723","NCBI Nucleotide")</f>
        <v>NCBI Nucleotide</v>
      </c>
    </row>
    <row r="8087" spans="1:27" x14ac:dyDescent="0.35">
      <c r="A8087">
        <v>1008648</v>
      </c>
      <c r="B8087">
        <v>7507</v>
      </c>
      <c r="C8087">
        <v>1</v>
      </c>
      <c r="D8087" s="17" t="s">
        <v>17166</v>
      </c>
      <c r="E8087" s="17"/>
      <c r="F8087" s="17" t="s">
        <v>17246</v>
      </c>
      <c r="G8087" s="17"/>
      <c r="H8087" s="17" t="s">
        <v>17984</v>
      </c>
      <c r="I8087" s="17"/>
      <c r="J8087" s="17" t="s">
        <v>17985</v>
      </c>
      <c r="K8087" s="17"/>
      <c r="L8087" s="17" t="s">
        <v>18111</v>
      </c>
      <c r="M8087" s="17"/>
      <c r="N8087" s="17" t="s">
        <v>18463</v>
      </c>
      <c r="O8087" s="17"/>
      <c r="P8087" s="17" t="s">
        <v>18464</v>
      </c>
      <c r="Q8087" s="17"/>
      <c r="R8087" s="25" t="str">
        <f>HYPERLINK("https://ictv.global/taxonomy/taxondetails?taxnode_id=202307538","Alphaendornavirus agarici")</f>
        <v>Alphaendornavirus agarici</v>
      </c>
      <c r="S8087" s="18" t="s">
        <v>30</v>
      </c>
      <c r="T8087" s="18" t="s">
        <v>18465</v>
      </c>
      <c r="U8087" s="18" t="s">
        <v>18466</v>
      </c>
      <c r="V8087" s="18">
        <v>2990</v>
      </c>
      <c r="W8087" s="18" t="s">
        <v>18467</v>
      </c>
      <c r="X8087" s="18" t="s">
        <v>42</v>
      </c>
      <c r="Y8087" s="18" t="s">
        <v>17171</v>
      </c>
      <c r="Z8087" s="18" t="s">
        <v>16721</v>
      </c>
      <c r="AA8087" s="21" t="str">
        <f>HYPERLINK("https://www.ncbi.nlm.nih.gov/nuccore/KY357509","NCBI Nucleotide")</f>
        <v>NCBI Nucleotide</v>
      </c>
    </row>
    <row r="8088" spans="1:27" x14ac:dyDescent="0.35">
      <c r="A8088">
        <v>1008649</v>
      </c>
      <c r="B8088">
        <v>7508</v>
      </c>
      <c r="C8088">
        <v>1</v>
      </c>
      <c r="D8088" s="17" t="s">
        <v>17166</v>
      </c>
      <c r="E8088" s="17"/>
      <c r="F8088" s="17" t="s">
        <v>17246</v>
      </c>
      <c r="G8088" s="17"/>
      <c r="H8088" s="17" t="s">
        <v>17984</v>
      </c>
      <c r="I8088" s="17"/>
      <c r="J8088" s="17" t="s">
        <v>17985</v>
      </c>
      <c r="K8088" s="17"/>
      <c r="L8088" s="17" t="s">
        <v>18111</v>
      </c>
      <c r="M8088" s="17"/>
      <c r="N8088" s="17" t="s">
        <v>18463</v>
      </c>
      <c r="O8088" s="17"/>
      <c r="P8088" s="17" t="s">
        <v>18464</v>
      </c>
      <c r="Q8088" s="17"/>
      <c r="R8088" s="25" t="str">
        <f>HYPERLINK("https://ictv.global/taxonomy/taxondetails?taxnode_id=202303045","Alphaendornavirus basellae")</f>
        <v>Alphaendornavirus basellae</v>
      </c>
      <c r="S8088" s="18" t="s">
        <v>30</v>
      </c>
      <c r="T8088" s="18" t="s">
        <v>18468</v>
      </c>
      <c r="U8088" s="18" t="s">
        <v>18469</v>
      </c>
      <c r="V8088" s="18" t="s">
        <v>18470</v>
      </c>
      <c r="W8088" s="18" t="s">
        <v>18471</v>
      </c>
      <c r="X8088" s="18" t="s">
        <v>42</v>
      </c>
      <c r="Y8088" s="18" t="s">
        <v>17171</v>
      </c>
      <c r="Z8088" s="18" t="s">
        <v>13441</v>
      </c>
      <c r="AA8088" s="21" t="str">
        <f>HYPERLINK("https://www.ncbi.nlm.nih.gov/nuccore/AB844264","NCBI Nucleotide")</f>
        <v>NCBI Nucleotide</v>
      </c>
    </row>
    <row r="8089" spans="1:27" x14ac:dyDescent="0.35">
      <c r="A8089">
        <v>1008650</v>
      </c>
      <c r="B8089">
        <v>7509</v>
      </c>
      <c r="C8089">
        <v>1</v>
      </c>
      <c r="D8089" s="17" t="s">
        <v>17166</v>
      </c>
      <c r="E8089" s="17"/>
      <c r="F8089" s="17" t="s">
        <v>17246</v>
      </c>
      <c r="G8089" s="17"/>
      <c r="H8089" s="17" t="s">
        <v>17984</v>
      </c>
      <c r="I8089" s="17"/>
      <c r="J8089" s="17" t="s">
        <v>17985</v>
      </c>
      <c r="K8089" s="17"/>
      <c r="L8089" s="17" t="s">
        <v>18111</v>
      </c>
      <c r="M8089" s="17"/>
      <c r="N8089" s="17" t="s">
        <v>18463</v>
      </c>
      <c r="O8089" s="17"/>
      <c r="P8089" s="17" t="s">
        <v>18464</v>
      </c>
      <c r="Q8089" s="17"/>
      <c r="R8089" s="25" t="str">
        <f>HYPERLINK("https://ictv.global/taxonomy/taxondetails?taxnode_id=202303046","Alphaendornavirus capsici")</f>
        <v>Alphaendornavirus capsici</v>
      </c>
      <c r="S8089" s="18" t="s">
        <v>30</v>
      </c>
      <c r="T8089" s="18" t="s">
        <v>18472</v>
      </c>
      <c r="U8089" s="18" t="s">
        <v>18473</v>
      </c>
      <c r="V8089" s="18" t="s">
        <v>18474</v>
      </c>
      <c r="W8089" s="18" t="s">
        <v>18475</v>
      </c>
      <c r="X8089" s="18" t="s">
        <v>42</v>
      </c>
      <c r="Y8089" s="18" t="s">
        <v>17171</v>
      </c>
      <c r="Z8089" s="18" t="s">
        <v>13441</v>
      </c>
      <c r="AA8089" s="21" t="str">
        <f>HYPERLINK("https://www.ncbi.nlm.nih.gov/nuccore/KX977569","NCBI Nucleotide")</f>
        <v>NCBI Nucleotide</v>
      </c>
    </row>
    <row r="8090" spans="1:27" x14ac:dyDescent="0.35">
      <c r="A8090">
        <v>1008652</v>
      </c>
      <c r="B8090">
        <v>7510</v>
      </c>
      <c r="C8090">
        <v>1</v>
      </c>
      <c r="D8090" s="17" t="s">
        <v>17166</v>
      </c>
      <c r="E8090" s="17"/>
      <c r="F8090" s="17" t="s">
        <v>17246</v>
      </c>
      <c r="G8090" s="17"/>
      <c r="H8090" s="17" t="s">
        <v>17984</v>
      </c>
      <c r="I8090" s="17"/>
      <c r="J8090" s="17" t="s">
        <v>17985</v>
      </c>
      <c r="K8090" s="17"/>
      <c r="L8090" s="17" t="s">
        <v>18111</v>
      </c>
      <c r="M8090" s="17"/>
      <c r="N8090" s="17" t="s">
        <v>18463</v>
      </c>
      <c r="O8090" s="17"/>
      <c r="P8090" s="17" t="s">
        <v>18464</v>
      </c>
      <c r="Q8090" s="17"/>
      <c r="R8090" s="25" t="str">
        <f>HYPERLINK("https://ictv.global/taxonomy/taxondetails?taxnode_id=202303047","Alphaendornavirus cucumis")</f>
        <v>Alphaendornavirus cucumis</v>
      </c>
      <c r="S8090" s="18" t="s">
        <v>30</v>
      </c>
      <c r="T8090" s="18" t="s">
        <v>18479</v>
      </c>
      <c r="U8090" s="18" t="s">
        <v>18480</v>
      </c>
      <c r="V8090" s="18" t="s">
        <v>18481</v>
      </c>
      <c r="W8090" s="18" t="s">
        <v>18482</v>
      </c>
      <c r="X8090" s="18" t="s">
        <v>42</v>
      </c>
      <c r="Y8090" s="18" t="s">
        <v>17171</v>
      </c>
      <c r="Z8090" s="18" t="s">
        <v>13441</v>
      </c>
      <c r="AA8090" s="21" t="str">
        <f>HYPERLINK("https://www.ncbi.nlm.nih.gov/nuccore/KT727022","NCBI Nucleotide")</f>
        <v>NCBI Nucleotide</v>
      </c>
    </row>
    <row r="8091" spans="1:27" x14ac:dyDescent="0.35">
      <c r="A8091">
        <v>1008651</v>
      </c>
      <c r="B8091">
        <v>7511</v>
      </c>
      <c r="C8091">
        <v>1</v>
      </c>
      <c r="D8091" s="17" t="s">
        <v>17166</v>
      </c>
      <c r="E8091" s="17"/>
      <c r="F8091" s="17" t="s">
        <v>17246</v>
      </c>
      <c r="G8091" s="17"/>
      <c r="H8091" s="17" t="s">
        <v>17984</v>
      </c>
      <c r="I8091" s="17"/>
      <c r="J8091" s="17" t="s">
        <v>17985</v>
      </c>
      <c r="K8091" s="17"/>
      <c r="L8091" s="17" t="s">
        <v>18111</v>
      </c>
      <c r="M8091" s="17"/>
      <c r="N8091" s="17" t="s">
        <v>18463</v>
      </c>
      <c r="O8091" s="17"/>
      <c r="P8091" s="17" t="s">
        <v>18464</v>
      </c>
      <c r="Q8091" s="17"/>
      <c r="R8091" s="25" t="str">
        <f>HYPERLINK("https://ictv.global/taxonomy/taxondetails?taxnode_id=202307539","Alphaendornavirus cyamopsis")</f>
        <v>Alphaendornavirus cyamopsis</v>
      </c>
      <c r="S8091" s="18" t="s">
        <v>30</v>
      </c>
      <c r="T8091" s="18" t="s">
        <v>18476</v>
      </c>
      <c r="U8091" s="18" t="s">
        <v>18477</v>
      </c>
      <c r="V8091" s="18">
        <v>593409</v>
      </c>
      <c r="W8091" s="18" t="s">
        <v>18478</v>
      </c>
      <c r="X8091" s="18" t="s">
        <v>42</v>
      </c>
      <c r="Y8091" s="18" t="s">
        <v>17171</v>
      </c>
      <c r="Z8091" s="18" t="s">
        <v>13441</v>
      </c>
      <c r="AA8091" s="21" t="str">
        <f>HYPERLINK("https://www.ncbi.nlm.nih.gov/nuccore/MG764084","NCBI Nucleotide")</f>
        <v>NCBI Nucleotide</v>
      </c>
    </row>
    <row r="8092" spans="1:27" x14ac:dyDescent="0.35">
      <c r="A8092">
        <v>1008653</v>
      </c>
      <c r="B8092">
        <v>7512</v>
      </c>
      <c r="C8092">
        <v>1</v>
      </c>
      <c r="D8092" s="17" t="s">
        <v>17166</v>
      </c>
      <c r="E8092" s="17"/>
      <c r="F8092" s="17" t="s">
        <v>17246</v>
      </c>
      <c r="G8092" s="17"/>
      <c r="H8092" s="17" t="s">
        <v>17984</v>
      </c>
      <c r="I8092" s="17"/>
      <c r="J8092" s="17" t="s">
        <v>17985</v>
      </c>
      <c r="K8092" s="17"/>
      <c r="L8092" s="17" t="s">
        <v>18111</v>
      </c>
      <c r="M8092" s="17"/>
      <c r="N8092" s="17" t="s">
        <v>18463</v>
      </c>
      <c r="O8092" s="17"/>
      <c r="P8092" s="17" t="s">
        <v>18464</v>
      </c>
      <c r="Q8092" s="17"/>
      <c r="R8092" s="25" t="str">
        <f>HYPERLINK("https://ictv.global/taxonomy/taxondetails?taxnode_id=202303048","Alphaendornavirus erysiphes")</f>
        <v>Alphaendornavirus erysiphes</v>
      </c>
      <c r="S8092" s="18" t="s">
        <v>30</v>
      </c>
      <c r="T8092" s="18" t="s">
        <v>18483</v>
      </c>
      <c r="U8092" s="18" t="s">
        <v>18484</v>
      </c>
      <c r="V8092" s="18" t="s">
        <v>18485</v>
      </c>
      <c r="W8092" s="18" t="s">
        <v>18486</v>
      </c>
      <c r="X8092" s="18" t="s">
        <v>42</v>
      </c>
      <c r="Y8092" s="18" t="s">
        <v>17171</v>
      </c>
      <c r="Z8092" s="18" t="s">
        <v>16721</v>
      </c>
      <c r="AA8092" s="21" t="str">
        <f>HYPERLINK("https://www.ncbi.nlm.nih.gov/nuccore/KT388110","NCBI Nucleotide")</f>
        <v>NCBI Nucleotide</v>
      </c>
    </row>
    <row r="8093" spans="1:27" x14ac:dyDescent="0.35">
      <c r="A8093">
        <v>1008658</v>
      </c>
      <c r="B8093">
        <v>7513</v>
      </c>
      <c r="C8093">
        <v>1</v>
      </c>
      <c r="D8093" s="17" t="s">
        <v>17166</v>
      </c>
      <c r="E8093" s="17"/>
      <c r="F8093" s="17" t="s">
        <v>17246</v>
      </c>
      <c r="G8093" s="17"/>
      <c r="H8093" s="17" t="s">
        <v>17984</v>
      </c>
      <c r="I8093" s="17"/>
      <c r="J8093" s="17" t="s">
        <v>17985</v>
      </c>
      <c r="K8093" s="17"/>
      <c r="L8093" s="17" t="s">
        <v>18111</v>
      </c>
      <c r="M8093" s="17"/>
      <c r="N8093" s="17" t="s">
        <v>18463</v>
      </c>
      <c r="O8093" s="17"/>
      <c r="P8093" s="17" t="s">
        <v>18464</v>
      </c>
      <c r="Q8093" s="17"/>
      <c r="R8093" s="25" t="str">
        <f>HYPERLINK("https://ictv.global/taxonomy/taxondetails?taxnode_id=202303052","Alphaendornavirus fucapsici")</f>
        <v>Alphaendornavirus fucapsici</v>
      </c>
      <c r="S8093" s="18" t="s">
        <v>30</v>
      </c>
      <c r="T8093" s="18" t="s">
        <v>18502</v>
      </c>
      <c r="U8093" s="18" t="s">
        <v>18503</v>
      </c>
      <c r="V8093" s="18" t="s">
        <v>17751</v>
      </c>
      <c r="W8093" s="18" t="s">
        <v>18504</v>
      </c>
      <c r="X8093" s="18" t="s">
        <v>42</v>
      </c>
      <c r="Y8093" s="18" t="s">
        <v>17171</v>
      </c>
      <c r="Z8093" s="18" t="s">
        <v>13441</v>
      </c>
      <c r="AA8093" s="21" t="str">
        <f>HYPERLINK("https://www.ncbi.nlm.nih.gov/nuccore/KR080326","NCBI Nucleotide")</f>
        <v>NCBI Nucleotide</v>
      </c>
    </row>
    <row r="8094" spans="1:27" x14ac:dyDescent="0.35">
      <c r="A8094">
        <v>1008664</v>
      </c>
      <c r="B8094">
        <v>7514</v>
      </c>
      <c r="C8094">
        <v>1</v>
      </c>
      <c r="D8094" s="17" t="s">
        <v>17166</v>
      </c>
      <c r="E8094" s="17"/>
      <c r="F8094" s="17" t="s">
        <v>17246</v>
      </c>
      <c r="G8094" s="17"/>
      <c r="H8094" s="17" t="s">
        <v>17984</v>
      </c>
      <c r="I8094" s="17"/>
      <c r="J8094" s="17" t="s">
        <v>17985</v>
      </c>
      <c r="K8094" s="17"/>
      <c r="L8094" s="17" t="s">
        <v>18111</v>
      </c>
      <c r="M8094" s="17"/>
      <c r="N8094" s="17" t="s">
        <v>18463</v>
      </c>
      <c r="O8094" s="17"/>
      <c r="P8094" s="17" t="s">
        <v>18464</v>
      </c>
      <c r="Q8094" s="17"/>
      <c r="R8094" s="25" t="str">
        <f>HYPERLINK("https://ictv.global/taxonomy/taxondetails?taxnode_id=202303058","Alphaendornavirus fuphaseoli")</f>
        <v>Alphaendornavirus fuphaseoli</v>
      </c>
      <c r="S8094" s="18" t="s">
        <v>30</v>
      </c>
      <c r="T8094" s="18" t="s">
        <v>18524</v>
      </c>
      <c r="U8094" s="18" t="s">
        <v>18525</v>
      </c>
      <c r="V8094" s="18" t="s">
        <v>18522</v>
      </c>
      <c r="W8094" s="18" t="s">
        <v>18526</v>
      </c>
      <c r="X8094" s="18" t="s">
        <v>42</v>
      </c>
      <c r="Y8094" s="18" t="s">
        <v>17171</v>
      </c>
      <c r="Z8094" s="18" t="s">
        <v>13441</v>
      </c>
      <c r="AA8094" s="21" t="str">
        <f>HYPERLINK("https://www.ncbi.nlm.nih.gov/nuccore/KT456288","NCBI Nucleotide")</f>
        <v>NCBI Nucleotide</v>
      </c>
    </row>
    <row r="8095" spans="1:27" x14ac:dyDescent="0.35">
      <c r="A8095">
        <v>1008655</v>
      </c>
      <c r="B8095">
        <v>7515</v>
      </c>
      <c r="C8095">
        <v>1</v>
      </c>
      <c r="D8095" s="17" t="s">
        <v>17166</v>
      </c>
      <c r="E8095" s="17"/>
      <c r="F8095" s="17" t="s">
        <v>17246</v>
      </c>
      <c r="G8095" s="17"/>
      <c r="H8095" s="17" t="s">
        <v>17984</v>
      </c>
      <c r="I8095" s="17"/>
      <c r="J8095" s="17" t="s">
        <v>17985</v>
      </c>
      <c r="K8095" s="17"/>
      <c r="L8095" s="17" t="s">
        <v>18111</v>
      </c>
      <c r="M8095" s="17"/>
      <c r="N8095" s="17" t="s">
        <v>18463</v>
      </c>
      <c r="O8095" s="17"/>
      <c r="P8095" s="17" t="s">
        <v>18464</v>
      </c>
      <c r="Q8095" s="17"/>
      <c r="R8095" s="25" t="str">
        <f>HYPERLINK("https://ictv.global/taxonomy/taxondetails?taxnode_id=202307540","Alphaendornavirus helianthi")</f>
        <v>Alphaendornavirus helianthi</v>
      </c>
      <c r="S8095" s="18" t="s">
        <v>30</v>
      </c>
      <c r="T8095" s="18" t="s">
        <v>18490</v>
      </c>
      <c r="U8095" s="18" t="s">
        <v>18491</v>
      </c>
      <c r="V8095" s="18" t="s">
        <v>18492</v>
      </c>
      <c r="W8095" s="18" t="s">
        <v>18493</v>
      </c>
      <c r="X8095" s="18" t="s">
        <v>42</v>
      </c>
      <c r="Y8095" s="18" t="s">
        <v>17171</v>
      </c>
      <c r="Z8095" s="18" t="s">
        <v>13441</v>
      </c>
      <c r="AA8095" s="21" t="str">
        <f>HYPERLINK("https://www.ncbi.nlm.nih.gov/nuccore/MF362666","NCBI Nucleotide")</f>
        <v>NCBI Nucleotide</v>
      </c>
    </row>
    <row r="8096" spans="1:27" x14ac:dyDescent="0.35">
      <c r="A8096">
        <v>1008656</v>
      </c>
      <c r="B8096">
        <v>7516</v>
      </c>
      <c r="C8096">
        <v>1</v>
      </c>
      <c r="D8096" s="17" t="s">
        <v>17166</v>
      </c>
      <c r="E8096" s="17"/>
      <c r="F8096" s="17" t="s">
        <v>17246</v>
      </c>
      <c r="G8096" s="17"/>
      <c r="H8096" s="17" t="s">
        <v>17984</v>
      </c>
      <c r="I8096" s="17"/>
      <c r="J8096" s="17" t="s">
        <v>17985</v>
      </c>
      <c r="K8096" s="17"/>
      <c r="L8096" s="17" t="s">
        <v>18111</v>
      </c>
      <c r="M8096" s="17"/>
      <c r="N8096" s="17" t="s">
        <v>18463</v>
      </c>
      <c r="O8096" s="17"/>
      <c r="P8096" s="17" t="s">
        <v>18464</v>
      </c>
      <c r="Q8096" s="17"/>
      <c r="R8096" s="25" t="str">
        <f>HYPERLINK("https://ictv.global/taxonomy/taxondetails?taxnode_id=202303050","Alphaendornavirus helicobasidii")</f>
        <v>Alphaendornavirus helicobasidii</v>
      </c>
      <c r="S8096" s="18" t="s">
        <v>30</v>
      </c>
      <c r="T8096" s="18" t="s">
        <v>18494</v>
      </c>
      <c r="U8096" s="18" t="s">
        <v>18495</v>
      </c>
      <c r="V8096" s="18" t="s">
        <v>18496</v>
      </c>
      <c r="W8096" s="18" t="s">
        <v>18497</v>
      </c>
      <c r="X8096" s="18" t="s">
        <v>42</v>
      </c>
      <c r="Y8096" s="18" t="s">
        <v>17171</v>
      </c>
      <c r="Z8096" s="18" t="s">
        <v>16721</v>
      </c>
      <c r="AA8096" s="21" t="str">
        <f>HYPERLINK("https://www.ncbi.nlm.nih.gov/nuccore/AB218287","NCBI Nucleotide")</f>
        <v>NCBI Nucleotide</v>
      </c>
    </row>
    <row r="8097" spans="1:27" x14ac:dyDescent="0.35">
      <c r="A8097">
        <v>1008657</v>
      </c>
      <c r="B8097">
        <v>7517</v>
      </c>
      <c r="C8097">
        <v>1</v>
      </c>
      <c r="D8097" s="17" t="s">
        <v>17166</v>
      </c>
      <c r="E8097" s="17"/>
      <c r="F8097" s="17" t="s">
        <v>17246</v>
      </c>
      <c r="G8097" s="17"/>
      <c r="H8097" s="17" t="s">
        <v>17984</v>
      </c>
      <c r="I8097" s="17"/>
      <c r="J8097" s="17" t="s">
        <v>17985</v>
      </c>
      <c r="K8097" s="17"/>
      <c r="L8097" s="17" t="s">
        <v>18111</v>
      </c>
      <c r="M8097" s="17"/>
      <c r="N8097" s="17" t="s">
        <v>18463</v>
      </c>
      <c r="O8097" s="17"/>
      <c r="P8097" s="17" t="s">
        <v>18464</v>
      </c>
      <c r="Q8097" s="17"/>
      <c r="R8097" s="25" t="str">
        <f>HYPERLINK("https://ictv.global/taxonomy/taxondetails?taxnode_id=202303051","Alphaendornavirus hordei")</f>
        <v>Alphaendornavirus hordei</v>
      </c>
      <c r="S8097" s="18" t="s">
        <v>30</v>
      </c>
      <c r="T8097" s="18" t="s">
        <v>18498</v>
      </c>
      <c r="U8097" s="18" t="s">
        <v>18499</v>
      </c>
      <c r="V8097" s="18" t="s">
        <v>18500</v>
      </c>
      <c r="W8097" s="18" t="s">
        <v>18501</v>
      </c>
      <c r="X8097" s="18" t="s">
        <v>42</v>
      </c>
      <c r="Y8097" s="18" t="s">
        <v>17171</v>
      </c>
      <c r="Z8097" s="18" t="s">
        <v>13441</v>
      </c>
      <c r="AA8097" s="21" t="str">
        <f>HYPERLINK("https://www.ncbi.nlm.nih.gov/nuccore/KT721705","NCBI Nucleotide")</f>
        <v>NCBI Nucleotide</v>
      </c>
    </row>
    <row r="8098" spans="1:27" x14ac:dyDescent="0.35">
      <c r="A8098">
        <v>1008659</v>
      </c>
      <c r="B8098">
        <v>7518</v>
      </c>
      <c r="C8098">
        <v>1</v>
      </c>
      <c r="D8098" s="17" t="s">
        <v>17166</v>
      </c>
      <c r="E8098" s="17"/>
      <c r="F8098" s="17" t="s">
        <v>17246</v>
      </c>
      <c r="G8098" s="17"/>
      <c r="H8098" s="17" t="s">
        <v>17984</v>
      </c>
      <c r="I8098" s="17"/>
      <c r="J8098" s="17" t="s">
        <v>17985</v>
      </c>
      <c r="K8098" s="17"/>
      <c r="L8098" s="17" t="s">
        <v>18111</v>
      </c>
      <c r="M8098" s="17"/>
      <c r="N8098" s="17" t="s">
        <v>18463</v>
      </c>
      <c r="O8098" s="17"/>
      <c r="P8098" s="17" t="s">
        <v>18464</v>
      </c>
      <c r="Q8098" s="17"/>
      <c r="R8098" s="25" t="str">
        <f>HYPERLINK("https://ictv.global/taxonomy/taxondetails?taxnode_id=202303053","Alphaendornavirus lagenariae")</f>
        <v>Alphaendornavirus lagenariae</v>
      </c>
      <c r="S8098" s="18" t="s">
        <v>30</v>
      </c>
      <c r="T8098" s="18" t="s">
        <v>18505</v>
      </c>
      <c r="U8098" s="18" t="s">
        <v>18506</v>
      </c>
      <c r="V8098" s="18" t="s">
        <v>13960</v>
      </c>
      <c r="W8098" s="18" t="s">
        <v>18507</v>
      </c>
      <c r="X8098" s="18" t="s">
        <v>42</v>
      </c>
      <c r="Y8098" s="18" t="s">
        <v>17171</v>
      </c>
      <c r="Z8098" s="18" t="s">
        <v>13441</v>
      </c>
      <c r="AA8098" s="21" t="str">
        <f>HYPERLINK("https://www.ncbi.nlm.nih.gov/nuccore/KF562072","NCBI Nucleotide")</f>
        <v>NCBI Nucleotide</v>
      </c>
    </row>
    <row r="8099" spans="1:27" x14ac:dyDescent="0.35">
      <c r="A8099">
        <v>1008665</v>
      </c>
      <c r="B8099">
        <v>7519</v>
      </c>
      <c r="C8099">
        <v>1</v>
      </c>
      <c r="D8099" s="17" t="s">
        <v>17166</v>
      </c>
      <c r="E8099" s="17"/>
      <c r="F8099" s="17" t="s">
        <v>17246</v>
      </c>
      <c r="G8099" s="17"/>
      <c r="H8099" s="17" t="s">
        <v>17984</v>
      </c>
      <c r="I8099" s="17"/>
      <c r="J8099" s="17" t="s">
        <v>17985</v>
      </c>
      <c r="K8099" s="17"/>
      <c r="L8099" s="17" t="s">
        <v>18111</v>
      </c>
      <c r="M8099" s="17"/>
      <c r="N8099" s="17" t="s">
        <v>18463</v>
      </c>
      <c r="O8099" s="17"/>
      <c r="P8099" s="17" t="s">
        <v>18464</v>
      </c>
      <c r="Q8099" s="17"/>
      <c r="R8099" s="25" t="str">
        <f>HYPERLINK("https://ictv.global/taxonomy/taxondetails?taxnode_id=202307541","Alphaendornavirus miphaseoli")</f>
        <v>Alphaendornavirus miphaseoli</v>
      </c>
      <c r="S8099" s="18" t="s">
        <v>30</v>
      </c>
      <c r="T8099" s="18" t="s">
        <v>18527</v>
      </c>
      <c r="U8099" s="18" t="s">
        <v>18528</v>
      </c>
      <c r="V8099" s="18" t="s">
        <v>18529</v>
      </c>
      <c r="W8099" s="18" t="s">
        <v>18530</v>
      </c>
      <c r="X8099" s="18" t="s">
        <v>42</v>
      </c>
      <c r="Y8099" s="18" t="s">
        <v>17171</v>
      </c>
      <c r="Z8099" s="18" t="s">
        <v>13441</v>
      </c>
      <c r="AA8099" s="21" t="str">
        <f>HYPERLINK("https://www.ncbi.nlm.nih.gov/nuccore/MG242064","NCBI Nucleotide")</f>
        <v>NCBI Nucleotide</v>
      </c>
    </row>
    <row r="8100" spans="1:27" x14ac:dyDescent="0.35">
      <c r="A8100">
        <v>1008661</v>
      </c>
      <c r="B8100">
        <v>7520</v>
      </c>
      <c r="C8100">
        <v>1</v>
      </c>
      <c r="D8100" s="17" t="s">
        <v>17166</v>
      </c>
      <c r="E8100" s="17"/>
      <c r="F8100" s="17" t="s">
        <v>17246</v>
      </c>
      <c r="G8100" s="17"/>
      <c r="H8100" s="17" t="s">
        <v>17984</v>
      </c>
      <c r="I8100" s="17"/>
      <c r="J8100" s="17" t="s">
        <v>17985</v>
      </c>
      <c r="K8100" s="17"/>
      <c r="L8100" s="17" t="s">
        <v>18111</v>
      </c>
      <c r="M8100" s="17"/>
      <c r="N8100" s="17" t="s">
        <v>18463</v>
      </c>
      <c r="O8100" s="17"/>
      <c r="P8100" s="17" t="s">
        <v>18464</v>
      </c>
      <c r="Q8100" s="17"/>
      <c r="R8100" s="25" t="str">
        <f>HYPERLINK("https://ictv.global/taxonomy/taxondetails?taxnode_id=202303055","Alphaendornavirus oryzae")</f>
        <v>Alphaendornavirus oryzae</v>
      </c>
      <c r="S8100" s="18" t="s">
        <v>30</v>
      </c>
      <c r="T8100" s="18" t="s">
        <v>18512</v>
      </c>
      <c r="U8100" s="18" t="s">
        <v>18513</v>
      </c>
      <c r="V8100" s="18" t="s">
        <v>18514</v>
      </c>
      <c r="W8100" s="18" t="s">
        <v>18515</v>
      </c>
      <c r="X8100" s="18" t="s">
        <v>42</v>
      </c>
      <c r="Y8100" s="18" t="s">
        <v>17171</v>
      </c>
      <c r="Z8100" s="18" t="s">
        <v>13441</v>
      </c>
      <c r="AA8100" s="21" t="str">
        <f>HYPERLINK("https://www.ncbi.nlm.nih.gov/nuccore/D32136","NCBI Nucleotide")</f>
        <v>NCBI Nucleotide</v>
      </c>
    </row>
    <row r="8101" spans="1:27" x14ac:dyDescent="0.35">
      <c r="A8101">
        <v>1008662</v>
      </c>
      <c r="B8101">
        <v>7521</v>
      </c>
      <c r="C8101">
        <v>1</v>
      </c>
      <c r="D8101" s="17" t="s">
        <v>17166</v>
      </c>
      <c r="E8101" s="17"/>
      <c r="F8101" s="17" t="s">
        <v>17246</v>
      </c>
      <c r="G8101" s="17"/>
      <c r="H8101" s="17" t="s">
        <v>17984</v>
      </c>
      <c r="I8101" s="17"/>
      <c r="J8101" s="17" t="s">
        <v>17985</v>
      </c>
      <c r="K8101" s="17"/>
      <c r="L8101" s="17" t="s">
        <v>18111</v>
      </c>
      <c r="M8101" s="17"/>
      <c r="N8101" s="17" t="s">
        <v>18463</v>
      </c>
      <c r="O8101" s="17"/>
      <c r="P8101" s="17" t="s">
        <v>18464</v>
      </c>
      <c r="Q8101" s="17"/>
      <c r="R8101" s="25" t="str">
        <f>HYPERLINK("https://ictv.global/taxonomy/taxondetails?taxnode_id=202303056","Alphaendornavirus perseae")</f>
        <v>Alphaendornavirus perseae</v>
      </c>
      <c r="S8101" s="18" t="s">
        <v>30</v>
      </c>
      <c r="T8101" s="18" t="s">
        <v>18516</v>
      </c>
      <c r="U8101" s="18" t="s">
        <v>18517</v>
      </c>
      <c r="V8101" s="18" t="s">
        <v>18518</v>
      </c>
      <c r="W8101" s="18" t="s">
        <v>18519</v>
      </c>
      <c r="X8101" s="18" t="s">
        <v>42</v>
      </c>
      <c r="Y8101" s="18" t="s">
        <v>17171</v>
      </c>
      <c r="Z8101" s="18" t="s">
        <v>13441</v>
      </c>
      <c r="AA8101" s="21" t="str">
        <f>HYPERLINK("https://www.ncbi.nlm.nih.gov/nuccore/JN880414","NCBI Nucleotide")</f>
        <v>NCBI Nucleotide</v>
      </c>
    </row>
    <row r="8102" spans="1:27" x14ac:dyDescent="0.35">
      <c r="A8102">
        <v>1008663</v>
      </c>
      <c r="B8102">
        <v>7522</v>
      </c>
      <c r="C8102">
        <v>1</v>
      </c>
      <c r="D8102" s="17" t="s">
        <v>17166</v>
      </c>
      <c r="E8102" s="17"/>
      <c r="F8102" s="17" t="s">
        <v>17246</v>
      </c>
      <c r="G8102" s="17"/>
      <c r="H8102" s="17" t="s">
        <v>17984</v>
      </c>
      <c r="I8102" s="17"/>
      <c r="J8102" s="17" t="s">
        <v>17985</v>
      </c>
      <c r="K8102" s="17"/>
      <c r="L8102" s="17" t="s">
        <v>18111</v>
      </c>
      <c r="M8102" s="17"/>
      <c r="N8102" s="17" t="s">
        <v>18463</v>
      </c>
      <c r="O8102" s="17"/>
      <c r="P8102" s="17" t="s">
        <v>18464</v>
      </c>
      <c r="Q8102" s="17"/>
      <c r="R8102" s="25" t="str">
        <f>HYPERLINK("https://ictv.global/taxonomy/taxondetails?taxnode_id=202303057","Alphaendornavirus phaseoli")</f>
        <v>Alphaendornavirus phaseoli</v>
      </c>
      <c r="S8102" s="18" t="s">
        <v>30</v>
      </c>
      <c r="T8102" s="18" t="s">
        <v>18520</v>
      </c>
      <c r="U8102" s="18" t="s">
        <v>18521</v>
      </c>
      <c r="V8102" s="18" t="s">
        <v>18522</v>
      </c>
      <c r="W8102" s="18" t="s">
        <v>18523</v>
      </c>
      <c r="X8102" s="18" t="s">
        <v>42</v>
      </c>
      <c r="Y8102" s="18" t="s">
        <v>17171</v>
      </c>
      <c r="Z8102" s="18" t="s">
        <v>13441</v>
      </c>
      <c r="AA8102" s="21" t="str">
        <f>HYPERLINK("https://www.ncbi.nlm.nih.gov/nuccore/KT456287","NCBI Nucleotide")</f>
        <v>NCBI Nucleotide</v>
      </c>
    </row>
    <row r="8103" spans="1:27" x14ac:dyDescent="0.35">
      <c r="A8103">
        <v>1008666</v>
      </c>
      <c r="B8103">
        <v>7523</v>
      </c>
      <c r="C8103">
        <v>1</v>
      </c>
      <c r="D8103" s="17" t="s">
        <v>17166</v>
      </c>
      <c r="E8103" s="17"/>
      <c r="F8103" s="17" t="s">
        <v>17246</v>
      </c>
      <c r="G8103" s="17"/>
      <c r="H8103" s="17" t="s">
        <v>17984</v>
      </c>
      <c r="I8103" s="17"/>
      <c r="J8103" s="17" t="s">
        <v>17985</v>
      </c>
      <c r="K8103" s="17"/>
      <c r="L8103" s="17" t="s">
        <v>18111</v>
      </c>
      <c r="M8103" s="17"/>
      <c r="N8103" s="17" t="s">
        <v>18463</v>
      </c>
      <c r="O8103" s="17"/>
      <c r="P8103" s="17" t="s">
        <v>18464</v>
      </c>
      <c r="Q8103" s="17"/>
      <c r="R8103" s="25" t="str">
        <f>HYPERLINK("https://ictv.global/taxonomy/taxondetails?taxnode_id=202303059","Alphaendornavirus phytophthorae")</f>
        <v>Alphaendornavirus phytophthorae</v>
      </c>
      <c r="S8103" s="18" t="s">
        <v>30</v>
      </c>
      <c r="T8103" s="18" t="s">
        <v>18531</v>
      </c>
      <c r="U8103" s="18" t="s">
        <v>18532</v>
      </c>
      <c r="V8103" s="18" t="s">
        <v>18533</v>
      </c>
      <c r="W8103" s="18" t="s">
        <v>18534</v>
      </c>
      <c r="X8103" s="18" t="s">
        <v>42</v>
      </c>
      <c r="Y8103" s="18" t="s">
        <v>17171</v>
      </c>
      <c r="Z8103" s="18" t="s">
        <v>17496</v>
      </c>
      <c r="AA8103" s="21" t="str">
        <f>HYPERLINK("https://www.ncbi.nlm.nih.gov/nuccore/AJ877914","NCBI Nucleotide")</f>
        <v>NCBI Nucleotide</v>
      </c>
    </row>
    <row r="8104" spans="1:27" x14ac:dyDescent="0.35">
      <c r="A8104">
        <v>1008670</v>
      </c>
      <c r="B8104">
        <v>7524</v>
      </c>
      <c r="C8104">
        <v>1</v>
      </c>
      <c r="D8104" s="17" t="s">
        <v>17166</v>
      </c>
      <c r="E8104" s="17"/>
      <c r="F8104" s="17" t="s">
        <v>17246</v>
      </c>
      <c r="G8104" s="17"/>
      <c r="H8104" s="17" t="s">
        <v>17984</v>
      </c>
      <c r="I8104" s="17"/>
      <c r="J8104" s="17" t="s">
        <v>17985</v>
      </c>
      <c r="K8104" s="17"/>
      <c r="L8104" s="17" t="s">
        <v>18111</v>
      </c>
      <c r="M8104" s="17"/>
      <c r="N8104" s="17" t="s">
        <v>18463</v>
      </c>
      <c r="O8104" s="17"/>
      <c r="P8104" s="17" t="s">
        <v>18464</v>
      </c>
      <c r="Q8104" s="17"/>
      <c r="R8104" s="25" t="str">
        <f>HYPERLINK("https://ictv.global/taxonomy/taxondetails?taxnode_id=202305778","Alphaendornavirus psophocarpi")</f>
        <v>Alphaendornavirus psophocarpi</v>
      </c>
      <c r="S8104" s="18" t="s">
        <v>30</v>
      </c>
      <c r="T8104" s="18" t="s">
        <v>18546</v>
      </c>
      <c r="U8104" s="18" t="s">
        <v>18547</v>
      </c>
      <c r="V8104" s="18" t="s">
        <v>18548</v>
      </c>
      <c r="W8104" s="18" t="s">
        <v>18549</v>
      </c>
      <c r="X8104" s="18" t="s">
        <v>42</v>
      </c>
      <c r="Y8104" s="18" t="s">
        <v>17171</v>
      </c>
      <c r="Z8104" s="18" t="s">
        <v>13441</v>
      </c>
      <c r="AA8104" s="21" t="str">
        <f>HYPERLINK("https://www.ncbi.nlm.nih.gov/nuccore/LC144945","NCBI Nucleotide")</f>
        <v>NCBI Nucleotide</v>
      </c>
    </row>
    <row r="8105" spans="1:27" x14ac:dyDescent="0.35">
      <c r="A8105">
        <v>1008667</v>
      </c>
      <c r="B8105">
        <v>7525</v>
      </c>
      <c r="C8105">
        <v>1</v>
      </c>
      <c r="D8105" s="17" t="s">
        <v>17166</v>
      </c>
      <c r="E8105" s="17"/>
      <c r="F8105" s="17" t="s">
        <v>17246</v>
      </c>
      <c r="G8105" s="17"/>
      <c r="H8105" s="17" t="s">
        <v>17984</v>
      </c>
      <c r="I8105" s="17"/>
      <c r="J8105" s="17" t="s">
        <v>17985</v>
      </c>
      <c r="K8105" s="17"/>
      <c r="L8105" s="17" t="s">
        <v>18111</v>
      </c>
      <c r="M8105" s="17"/>
      <c r="N8105" s="17" t="s">
        <v>18463</v>
      </c>
      <c r="O8105" s="17"/>
      <c r="P8105" s="17" t="s">
        <v>18464</v>
      </c>
      <c r="Q8105" s="17"/>
      <c r="R8105" s="25" t="str">
        <f>HYPERLINK("https://ictv.global/taxonomy/taxondetails?taxnode_id=202303060","Alphaendornavirus rhizocerealis")</f>
        <v>Alphaendornavirus rhizocerealis</v>
      </c>
      <c r="S8105" s="18" t="s">
        <v>30</v>
      </c>
      <c r="T8105" s="18" t="s">
        <v>18535</v>
      </c>
      <c r="U8105" s="18" t="s">
        <v>18536</v>
      </c>
      <c r="V8105" s="18" t="s">
        <v>18537</v>
      </c>
      <c r="W8105" s="18" t="s">
        <v>18538</v>
      </c>
      <c r="X8105" s="18" t="s">
        <v>42</v>
      </c>
      <c r="Y8105" s="18" t="s">
        <v>17171</v>
      </c>
      <c r="Z8105" s="18" t="s">
        <v>16721</v>
      </c>
      <c r="AA8105" s="21" t="str">
        <f>HYPERLINK("https://www.ncbi.nlm.nih.gov/nuccore/KF311065","NCBI Nucleotide")</f>
        <v>NCBI Nucleotide</v>
      </c>
    </row>
    <row r="8106" spans="1:27" x14ac:dyDescent="0.35">
      <c r="A8106">
        <v>1008668</v>
      </c>
      <c r="B8106">
        <v>7526</v>
      </c>
      <c r="C8106">
        <v>1</v>
      </c>
      <c r="D8106" s="17" t="s">
        <v>17166</v>
      </c>
      <c r="E8106" s="17"/>
      <c r="F8106" s="17" t="s">
        <v>17246</v>
      </c>
      <c r="G8106" s="17"/>
      <c r="H8106" s="17" t="s">
        <v>17984</v>
      </c>
      <c r="I8106" s="17"/>
      <c r="J8106" s="17" t="s">
        <v>17985</v>
      </c>
      <c r="K8106" s="17"/>
      <c r="L8106" s="17" t="s">
        <v>18111</v>
      </c>
      <c r="M8106" s="17"/>
      <c r="N8106" s="17" t="s">
        <v>18463</v>
      </c>
      <c r="O8106" s="17"/>
      <c r="P8106" s="17" t="s">
        <v>18464</v>
      </c>
      <c r="Q8106" s="17"/>
      <c r="R8106" s="25" t="str">
        <f>HYPERLINK("https://ictv.global/taxonomy/taxondetails?taxnode_id=202307542","Alphaendornavirus rhizosolani")</f>
        <v>Alphaendornavirus rhizosolani</v>
      </c>
      <c r="S8106" s="18" t="s">
        <v>30</v>
      </c>
      <c r="T8106" s="18" t="s">
        <v>18539</v>
      </c>
      <c r="U8106" s="18" t="s">
        <v>18540</v>
      </c>
      <c r="V8106" s="18" t="s">
        <v>18541</v>
      </c>
      <c r="W8106" s="18" t="s">
        <v>18542</v>
      </c>
      <c r="X8106" s="18" t="s">
        <v>42</v>
      </c>
      <c r="Y8106" s="18" t="s">
        <v>17171</v>
      </c>
      <c r="Z8106" s="18" t="s">
        <v>16721</v>
      </c>
      <c r="AA8106" s="21" t="str">
        <f>HYPERLINK("https://www.ncbi.nlm.nih.gov/nuccore/KT823701","NCBI Nucleotide")</f>
        <v>NCBI Nucleotide</v>
      </c>
    </row>
    <row r="8107" spans="1:27" x14ac:dyDescent="0.35">
      <c r="A8107">
        <v>1008660</v>
      </c>
      <c r="B8107">
        <v>7527</v>
      </c>
      <c r="C8107">
        <v>1</v>
      </c>
      <c r="D8107" s="17" t="s">
        <v>17166</v>
      </c>
      <c r="E8107" s="17"/>
      <c r="F8107" s="17" t="s">
        <v>17246</v>
      </c>
      <c r="G8107" s="17"/>
      <c r="H8107" s="17" t="s">
        <v>17984</v>
      </c>
      <c r="I8107" s="17"/>
      <c r="J8107" s="17" t="s">
        <v>17985</v>
      </c>
      <c r="K8107" s="17"/>
      <c r="L8107" s="17" t="s">
        <v>18111</v>
      </c>
      <c r="M8107" s="17"/>
      <c r="N8107" s="17" t="s">
        <v>18463</v>
      </c>
      <c r="O8107" s="17"/>
      <c r="P8107" s="17" t="s">
        <v>18464</v>
      </c>
      <c r="Q8107" s="17"/>
      <c r="R8107" s="25" t="str">
        <f>HYPERLINK("https://ictv.global/taxonomy/taxondetails?taxnode_id=202303054","Alphaendornavirus rupifigonis")</f>
        <v>Alphaendornavirus rupifigonis</v>
      </c>
      <c r="S8107" s="18" t="s">
        <v>30</v>
      </c>
      <c r="T8107" s="18" t="s">
        <v>18508</v>
      </c>
      <c r="U8107" s="18" t="s">
        <v>18509</v>
      </c>
      <c r="V8107" s="18" t="s">
        <v>18510</v>
      </c>
      <c r="W8107" s="18" t="s">
        <v>18511</v>
      </c>
      <c r="X8107" s="18" t="s">
        <v>42</v>
      </c>
      <c r="Y8107" s="18" t="s">
        <v>17171</v>
      </c>
      <c r="Z8107" s="18" t="s">
        <v>13441</v>
      </c>
      <c r="AA8107" s="21" t="str">
        <f>HYPERLINK("https://www.ncbi.nlm.nih.gov/nuccore/AB014344","NCBI Nucleotide")</f>
        <v>NCBI Nucleotide</v>
      </c>
    </row>
    <row r="8108" spans="1:27" x14ac:dyDescent="0.35">
      <c r="A8108">
        <v>1008669</v>
      </c>
      <c r="B8108">
        <v>7528</v>
      </c>
      <c r="C8108">
        <v>1</v>
      </c>
      <c r="D8108" s="17" t="s">
        <v>17166</v>
      </c>
      <c r="E8108" s="17"/>
      <c r="F8108" s="17" t="s">
        <v>17246</v>
      </c>
      <c r="G8108" s="17"/>
      <c r="H8108" s="17" t="s">
        <v>17984</v>
      </c>
      <c r="I8108" s="17"/>
      <c r="J8108" s="17" t="s">
        <v>17985</v>
      </c>
      <c r="K8108" s="17"/>
      <c r="L8108" s="17" t="s">
        <v>18111</v>
      </c>
      <c r="M8108" s="17"/>
      <c r="N8108" s="17" t="s">
        <v>18463</v>
      </c>
      <c r="O8108" s="17"/>
      <c r="P8108" s="17" t="s">
        <v>18464</v>
      </c>
      <c r="Q8108" s="17"/>
      <c r="R8108" s="25" t="str">
        <f>HYPERLINK("https://ictv.global/taxonomy/taxondetails?taxnode_id=202303061","Alphaendornavirus viciae")</f>
        <v>Alphaendornavirus viciae</v>
      </c>
      <c r="S8108" s="18" t="s">
        <v>30</v>
      </c>
      <c r="T8108" s="18" t="s">
        <v>18543</v>
      </c>
      <c r="U8108" s="18" t="s">
        <v>18544</v>
      </c>
      <c r="V8108" s="18">
        <v>447</v>
      </c>
      <c r="W8108" s="18" t="s">
        <v>18545</v>
      </c>
      <c r="X8108" s="18" t="s">
        <v>42</v>
      </c>
      <c r="Y8108" s="18" t="s">
        <v>17171</v>
      </c>
      <c r="Z8108" s="18" t="s">
        <v>13441</v>
      </c>
      <c r="AA8108" s="21" t="str">
        <f>HYPERLINK("https://www.ncbi.nlm.nih.gov/nuccore/AJ000929","NCBI Nucleotide")</f>
        <v>NCBI Nucleotide</v>
      </c>
    </row>
    <row r="8109" spans="1:27" x14ac:dyDescent="0.35">
      <c r="A8109">
        <v>1008654</v>
      </c>
      <c r="B8109">
        <v>7529</v>
      </c>
      <c r="C8109">
        <v>1</v>
      </c>
      <c r="D8109" s="17" t="s">
        <v>17166</v>
      </c>
      <c r="E8109" s="17"/>
      <c r="F8109" s="17" t="s">
        <v>17246</v>
      </c>
      <c r="G8109" s="17"/>
      <c r="H8109" s="17" t="s">
        <v>17984</v>
      </c>
      <c r="I8109" s="17"/>
      <c r="J8109" s="17" t="s">
        <v>17985</v>
      </c>
      <c r="K8109" s="17"/>
      <c r="L8109" s="17" t="s">
        <v>18111</v>
      </c>
      <c r="M8109" s="17"/>
      <c r="N8109" s="17" t="s">
        <v>18463</v>
      </c>
      <c r="O8109" s="17"/>
      <c r="P8109" s="17" t="s">
        <v>18464</v>
      </c>
      <c r="Q8109" s="17"/>
      <c r="R8109" s="25" t="str">
        <f>HYPERLINK("https://ictv.global/taxonomy/taxondetails?taxnode_id=202303049","Alphaendornavirus vitis")</f>
        <v>Alphaendornavirus vitis</v>
      </c>
      <c r="S8109" s="18" t="s">
        <v>30</v>
      </c>
      <c r="T8109" s="18" t="s">
        <v>18487</v>
      </c>
      <c r="U8109" s="18" t="s">
        <v>18488</v>
      </c>
      <c r="V8109" s="18" t="s">
        <v>15266</v>
      </c>
      <c r="W8109" s="18" t="s">
        <v>18489</v>
      </c>
      <c r="X8109" s="18" t="s">
        <v>42</v>
      </c>
      <c r="Y8109" s="18" t="s">
        <v>17171</v>
      </c>
      <c r="Z8109" s="18" t="s">
        <v>16721</v>
      </c>
      <c r="AA8109" s="21" t="str">
        <f>HYPERLINK("https://www.ncbi.nlm.nih.gov/nuccore/JX678977","NCBI Nucleotide")</f>
        <v>NCBI Nucleotide</v>
      </c>
    </row>
    <row r="8110" spans="1:27" x14ac:dyDescent="0.35">
      <c r="A8110">
        <v>1008671</v>
      </c>
      <c r="B8110">
        <v>7530</v>
      </c>
      <c r="C8110">
        <v>1</v>
      </c>
      <c r="D8110" s="17" t="s">
        <v>17166</v>
      </c>
      <c r="E8110" s="17"/>
      <c r="F8110" s="17" t="s">
        <v>17246</v>
      </c>
      <c r="G8110" s="17"/>
      <c r="H8110" s="17" t="s">
        <v>17984</v>
      </c>
      <c r="I8110" s="17"/>
      <c r="J8110" s="17" t="s">
        <v>17985</v>
      </c>
      <c r="K8110" s="17"/>
      <c r="L8110" s="17" t="s">
        <v>18111</v>
      </c>
      <c r="M8110" s="17"/>
      <c r="N8110" s="17" t="s">
        <v>18463</v>
      </c>
      <c r="O8110" s="17"/>
      <c r="P8110" s="17" t="s">
        <v>18464</v>
      </c>
      <c r="Q8110" s="17"/>
      <c r="R8110" s="25" t="str">
        <f>HYPERLINK("https://ictv.global/taxonomy/taxondetails?taxnode_id=202303062","Alphaendornavirus yerbae")</f>
        <v>Alphaendornavirus yerbae</v>
      </c>
      <c r="S8110" s="18" t="s">
        <v>30</v>
      </c>
      <c r="T8110" s="18" t="s">
        <v>18550</v>
      </c>
      <c r="U8110" s="18" t="s">
        <v>18551</v>
      </c>
      <c r="V8110" s="18" t="s">
        <v>18552</v>
      </c>
      <c r="W8110" s="18" t="s">
        <v>18553</v>
      </c>
      <c r="X8110" s="18" t="s">
        <v>42</v>
      </c>
      <c r="Y8110" s="18" t="s">
        <v>17171</v>
      </c>
      <c r="Z8110" s="18" t="s">
        <v>13441</v>
      </c>
      <c r="AA8110" s="21" t="str">
        <f>HYPERLINK("https://www.ncbi.nlm.nih.gov/nuccore/KJ634409","NCBI Nucleotide")</f>
        <v>NCBI Nucleotide</v>
      </c>
    </row>
    <row r="8111" spans="1:27" x14ac:dyDescent="0.35">
      <c r="A8111">
        <v>1008672</v>
      </c>
      <c r="B8111">
        <v>7531</v>
      </c>
      <c r="C8111">
        <v>1</v>
      </c>
      <c r="D8111" s="17" t="s">
        <v>17166</v>
      </c>
      <c r="E8111" s="17"/>
      <c r="F8111" s="17" t="s">
        <v>17246</v>
      </c>
      <c r="G8111" s="17"/>
      <c r="H8111" s="17" t="s">
        <v>17984</v>
      </c>
      <c r="I8111" s="17"/>
      <c r="J8111" s="17" t="s">
        <v>17985</v>
      </c>
      <c r="K8111" s="17"/>
      <c r="L8111" s="17" t="s">
        <v>18111</v>
      </c>
      <c r="M8111" s="17"/>
      <c r="N8111" s="17" t="s">
        <v>18463</v>
      </c>
      <c r="O8111" s="17"/>
      <c r="P8111" s="17" t="s">
        <v>18554</v>
      </c>
      <c r="Q8111" s="17"/>
      <c r="R8111" s="25" t="str">
        <f>HYPERLINK("https://ictv.global/taxonomy/taxondetails?taxnode_id=202303064","Betaendornavirus alternariae")</f>
        <v>Betaendornavirus alternariae</v>
      </c>
      <c r="S8111" s="18" t="s">
        <v>30</v>
      </c>
      <c r="T8111" s="18" t="s">
        <v>18555</v>
      </c>
      <c r="U8111" s="18" t="s">
        <v>18466</v>
      </c>
      <c r="V8111" s="18">
        <v>1</v>
      </c>
      <c r="W8111" s="18" t="s">
        <v>18556</v>
      </c>
      <c r="X8111" s="18" t="s">
        <v>42</v>
      </c>
      <c r="Y8111" s="18" t="s">
        <v>17171</v>
      </c>
      <c r="Z8111" s="18" t="s">
        <v>16721</v>
      </c>
      <c r="AA8111" s="21" t="str">
        <f>HYPERLINK("https://www.ncbi.nlm.nih.gov/nuccore/KP239989","NCBI Nucleotide")</f>
        <v>NCBI Nucleotide</v>
      </c>
    </row>
    <row r="8112" spans="1:27" x14ac:dyDescent="0.35">
      <c r="A8112">
        <v>1008673</v>
      </c>
      <c r="B8112">
        <v>7532</v>
      </c>
      <c r="C8112">
        <v>1</v>
      </c>
      <c r="D8112" s="17" t="s">
        <v>17166</v>
      </c>
      <c r="E8112" s="17"/>
      <c r="F8112" s="17" t="s">
        <v>17246</v>
      </c>
      <c r="G8112" s="17"/>
      <c r="H8112" s="17" t="s">
        <v>17984</v>
      </c>
      <c r="I8112" s="17"/>
      <c r="J8112" s="17" t="s">
        <v>17985</v>
      </c>
      <c r="K8112" s="17"/>
      <c r="L8112" s="17" t="s">
        <v>18111</v>
      </c>
      <c r="M8112" s="17"/>
      <c r="N8112" s="17" t="s">
        <v>18463</v>
      </c>
      <c r="O8112" s="17"/>
      <c r="P8112" s="17" t="s">
        <v>18554</v>
      </c>
      <c r="Q8112" s="17"/>
      <c r="R8112" s="25" t="str">
        <f>HYPERLINK("https://ictv.global/taxonomy/taxondetails?taxnode_id=202305779","Betaendornavirus botrytidis")</f>
        <v>Betaendornavirus botrytidis</v>
      </c>
      <c r="S8112" s="18" t="s">
        <v>30</v>
      </c>
      <c r="T8112" s="18" t="s">
        <v>18557</v>
      </c>
      <c r="U8112" s="18" t="s">
        <v>18558</v>
      </c>
      <c r="V8112" s="18" t="s">
        <v>18559</v>
      </c>
      <c r="W8112" s="18" t="s">
        <v>18560</v>
      </c>
      <c r="X8112" s="18" t="s">
        <v>42</v>
      </c>
      <c r="Y8112" s="18" t="s">
        <v>17171</v>
      </c>
      <c r="Z8112" s="18" t="s">
        <v>16721</v>
      </c>
      <c r="AA8112" s="21" t="str">
        <f>HYPERLINK("https://www.ncbi.nlm.nih.gov/nuccore/KU923747","NCBI Nucleotide")</f>
        <v>NCBI Nucleotide</v>
      </c>
    </row>
    <row r="8113" spans="1:27" x14ac:dyDescent="0.35">
      <c r="A8113">
        <v>1008676</v>
      </c>
      <c r="B8113">
        <v>7533</v>
      </c>
      <c r="C8113">
        <v>1</v>
      </c>
      <c r="D8113" s="17" t="s">
        <v>17166</v>
      </c>
      <c r="E8113" s="17"/>
      <c r="F8113" s="17" t="s">
        <v>17246</v>
      </c>
      <c r="G8113" s="17"/>
      <c r="H8113" s="17" t="s">
        <v>17984</v>
      </c>
      <c r="I8113" s="17"/>
      <c r="J8113" s="17" t="s">
        <v>17985</v>
      </c>
      <c r="K8113" s="17"/>
      <c r="L8113" s="17" t="s">
        <v>18111</v>
      </c>
      <c r="M8113" s="17"/>
      <c r="N8113" s="17" t="s">
        <v>18463</v>
      </c>
      <c r="O8113" s="17"/>
      <c r="P8113" s="17" t="s">
        <v>18554</v>
      </c>
      <c r="Q8113" s="17"/>
      <c r="R8113" s="25" t="str">
        <f>HYPERLINK("https://ictv.global/taxonomy/taxondetails?taxnode_id=202307544","Betaendornavirus fusclerotiniae")</f>
        <v>Betaendornavirus fusclerotiniae</v>
      </c>
      <c r="S8113" s="18" t="s">
        <v>30</v>
      </c>
      <c r="T8113" s="18" t="s">
        <v>18569</v>
      </c>
      <c r="U8113" s="18" t="s">
        <v>18570</v>
      </c>
      <c r="V8113" s="18" t="s">
        <v>18571</v>
      </c>
      <c r="W8113" s="18" t="s">
        <v>18572</v>
      </c>
      <c r="X8113" s="18" t="s">
        <v>42</v>
      </c>
      <c r="Y8113" s="18" t="s">
        <v>17171</v>
      </c>
      <c r="Z8113" s="18" t="s">
        <v>16721</v>
      </c>
      <c r="AA8113" s="21" t="str">
        <f>HYPERLINK("https://www.ncbi.nlm.nih.gov/nuccore/MG255170","NCBI Nucleotide")</f>
        <v>NCBI Nucleotide</v>
      </c>
    </row>
    <row r="8114" spans="1:27" x14ac:dyDescent="0.35">
      <c r="A8114">
        <v>1008674</v>
      </c>
      <c r="B8114">
        <v>7534</v>
      </c>
      <c r="C8114">
        <v>1</v>
      </c>
      <c r="D8114" s="17" t="s">
        <v>17166</v>
      </c>
      <c r="E8114" s="17"/>
      <c r="F8114" s="17" t="s">
        <v>17246</v>
      </c>
      <c r="G8114" s="17"/>
      <c r="H8114" s="17" t="s">
        <v>17984</v>
      </c>
      <c r="I8114" s="17"/>
      <c r="J8114" s="17" t="s">
        <v>17985</v>
      </c>
      <c r="K8114" s="17"/>
      <c r="L8114" s="17" t="s">
        <v>18111</v>
      </c>
      <c r="M8114" s="17"/>
      <c r="N8114" s="17" t="s">
        <v>18463</v>
      </c>
      <c r="O8114" s="17"/>
      <c r="P8114" s="17" t="s">
        <v>18554</v>
      </c>
      <c r="Q8114" s="17"/>
      <c r="R8114" s="25" t="str">
        <f>HYPERLINK("https://ictv.global/taxonomy/taxondetails?taxnode_id=202303065","Betaendornavirus gremmeniellae")</f>
        <v>Betaendornavirus gremmeniellae</v>
      </c>
      <c r="S8114" s="18" t="s">
        <v>30</v>
      </c>
      <c r="T8114" s="18" t="s">
        <v>18561</v>
      </c>
      <c r="U8114" s="18" t="s">
        <v>18562</v>
      </c>
      <c r="V8114" s="18" t="s">
        <v>18563</v>
      </c>
      <c r="W8114" s="18" t="s">
        <v>18564</v>
      </c>
      <c r="X8114" s="18" t="s">
        <v>42</v>
      </c>
      <c r="Y8114" s="18" t="s">
        <v>17171</v>
      </c>
      <c r="Z8114" s="18" t="s">
        <v>16721</v>
      </c>
      <c r="AA8114" s="21" t="str">
        <f>HYPERLINK("https://www.ncbi.nlm.nih.gov/nuccore/DQ399289","NCBI Nucleotide")</f>
        <v>NCBI Nucleotide</v>
      </c>
    </row>
    <row r="8115" spans="1:27" x14ac:dyDescent="0.35">
      <c r="A8115">
        <v>1008675</v>
      </c>
      <c r="B8115">
        <v>7535</v>
      </c>
      <c r="C8115">
        <v>1</v>
      </c>
      <c r="D8115" s="17" t="s">
        <v>17166</v>
      </c>
      <c r="E8115" s="17"/>
      <c r="F8115" s="17" t="s">
        <v>17246</v>
      </c>
      <c r="G8115" s="17"/>
      <c r="H8115" s="17" t="s">
        <v>17984</v>
      </c>
      <c r="I8115" s="17"/>
      <c r="J8115" s="17" t="s">
        <v>17985</v>
      </c>
      <c r="K8115" s="17"/>
      <c r="L8115" s="17" t="s">
        <v>18111</v>
      </c>
      <c r="M8115" s="17"/>
      <c r="N8115" s="17" t="s">
        <v>18463</v>
      </c>
      <c r="O8115" s="17"/>
      <c r="P8115" s="17" t="s">
        <v>18554</v>
      </c>
      <c r="Q8115" s="17"/>
      <c r="R8115" s="25" t="str">
        <f>HYPERLINK("https://ictv.global/taxonomy/taxondetails?taxnode_id=202307543","Betaendornavirus roselliniae")</f>
        <v>Betaendornavirus roselliniae</v>
      </c>
      <c r="S8115" s="18" t="s">
        <v>30</v>
      </c>
      <c r="T8115" s="18" t="s">
        <v>18565</v>
      </c>
      <c r="U8115" s="18" t="s">
        <v>18566</v>
      </c>
      <c r="V8115" s="18" t="s">
        <v>18567</v>
      </c>
      <c r="W8115" s="18" t="s">
        <v>18568</v>
      </c>
      <c r="X8115" s="18" t="s">
        <v>42</v>
      </c>
      <c r="Y8115" s="18" t="s">
        <v>17171</v>
      </c>
      <c r="Z8115" s="18" t="s">
        <v>16721</v>
      </c>
      <c r="AA8115" s="21" t="str">
        <f>HYPERLINK("https://www.ncbi.nlm.nih.gov/nuccore/LC076696","NCBI Nucleotide")</f>
        <v>NCBI Nucleotide</v>
      </c>
    </row>
    <row r="8116" spans="1:27" x14ac:dyDescent="0.35">
      <c r="A8116">
        <v>1008677</v>
      </c>
      <c r="B8116">
        <v>7536</v>
      </c>
      <c r="C8116">
        <v>1</v>
      </c>
      <c r="D8116" s="17" t="s">
        <v>17166</v>
      </c>
      <c r="E8116" s="17"/>
      <c r="F8116" s="17" t="s">
        <v>17246</v>
      </c>
      <c r="G8116" s="17"/>
      <c r="H8116" s="17" t="s">
        <v>17984</v>
      </c>
      <c r="I8116" s="17"/>
      <c r="J8116" s="17" t="s">
        <v>17985</v>
      </c>
      <c r="K8116" s="17"/>
      <c r="L8116" s="17" t="s">
        <v>18111</v>
      </c>
      <c r="M8116" s="17"/>
      <c r="N8116" s="17" t="s">
        <v>18463</v>
      </c>
      <c r="O8116" s="17"/>
      <c r="P8116" s="17" t="s">
        <v>18554</v>
      </c>
      <c r="Q8116" s="17"/>
      <c r="R8116" s="25" t="str">
        <f>HYPERLINK("https://ictv.global/taxonomy/taxondetails?taxnode_id=202303066","Betaendornavirus sclerotiniae")</f>
        <v>Betaendornavirus sclerotiniae</v>
      </c>
      <c r="S8116" s="18" t="s">
        <v>30</v>
      </c>
      <c r="T8116" s="18" t="s">
        <v>18573</v>
      </c>
      <c r="U8116" s="18" t="s">
        <v>18574</v>
      </c>
      <c r="V8116" s="18">
        <v>11691</v>
      </c>
      <c r="W8116" s="18" t="s">
        <v>18575</v>
      </c>
      <c r="X8116" s="18" t="s">
        <v>42</v>
      </c>
      <c r="Y8116" s="18" t="s">
        <v>17171</v>
      </c>
      <c r="Z8116" s="18" t="s">
        <v>16721</v>
      </c>
      <c r="AA8116" s="21" t="str">
        <f>HYPERLINK("https://www.ncbi.nlm.nih.gov/nuccore/KJ123645","NCBI Nucleotide")</f>
        <v>NCBI Nucleotide</v>
      </c>
    </row>
    <row r="8117" spans="1:27" x14ac:dyDescent="0.35">
      <c r="A8117">
        <v>1008678</v>
      </c>
      <c r="B8117">
        <v>7537</v>
      </c>
      <c r="C8117">
        <v>1</v>
      </c>
      <c r="D8117" s="17" t="s">
        <v>17166</v>
      </c>
      <c r="E8117" s="17"/>
      <c r="F8117" s="17" t="s">
        <v>17246</v>
      </c>
      <c r="G8117" s="17"/>
      <c r="H8117" s="17" t="s">
        <v>17984</v>
      </c>
      <c r="I8117" s="17"/>
      <c r="J8117" s="17" t="s">
        <v>17985</v>
      </c>
      <c r="K8117" s="17"/>
      <c r="L8117" s="17" t="s">
        <v>18111</v>
      </c>
      <c r="M8117" s="17"/>
      <c r="N8117" s="17" t="s">
        <v>18463</v>
      </c>
      <c r="O8117" s="17"/>
      <c r="P8117" s="17" t="s">
        <v>18554</v>
      </c>
      <c r="Q8117" s="17"/>
      <c r="R8117" s="25" t="str">
        <f>HYPERLINK("https://ictv.global/taxonomy/taxondetails?taxnode_id=202303067","Betaendornavirus tuberis")</f>
        <v>Betaendornavirus tuberis</v>
      </c>
      <c r="S8117" s="18" t="s">
        <v>30</v>
      </c>
      <c r="T8117" s="18" t="s">
        <v>18576</v>
      </c>
      <c r="U8117" s="18" t="s">
        <v>18577</v>
      </c>
      <c r="V8117" s="18" t="s">
        <v>18578</v>
      </c>
      <c r="W8117" s="18" t="s">
        <v>18579</v>
      </c>
      <c r="X8117" s="18" t="s">
        <v>42</v>
      </c>
      <c r="Y8117" s="18" t="s">
        <v>17171</v>
      </c>
      <c r="Z8117" s="18" t="s">
        <v>16721</v>
      </c>
      <c r="AA8117" s="21" t="str">
        <f>HYPERLINK("https://www.ncbi.nlm.nih.gov/nuccore/HQ380014","NCBI Nucleotide")</f>
        <v>NCBI Nucleotide</v>
      </c>
    </row>
    <row r="8118" spans="1:27" x14ac:dyDescent="0.35">
      <c r="A8118">
        <v>1008679</v>
      </c>
      <c r="B8118">
        <v>7538</v>
      </c>
      <c r="C8118">
        <v>1</v>
      </c>
      <c r="D8118" s="17" t="s">
        <v>17166</v>
      </c>
      <c r="E8118" s="17"/>
      <c r="F8118" s="17" t="s">
        <v>17246</v>
      </c>
      <c r="G8118" s="17"/>
      <c r="H8118" s="17" t="s">
        <v>17984</v>
      </c>
      <c r="I8118" s="17"/>
      <c r="J8118" s="17" t="s">
        <v>17985</v>
      </c>
      <c r="K8118" s="17"/>
      <c r="L8118" s="17" t="s">
        <v>18111</v>
      </c>
      <c r="M8118" s="17"/>
      <c r="N8118" s="17" t="s">
        <v>18580</v>
      </c>
      <c r="O8118" s="17"/>
      <c r="P8118" s="17" t="s">
        <v>18581</v>
      </c>
      <c r="Q8118" s="17"/>
      <c r="R8118" s="25" t="str">
        <f>HYPERLINK("https://ictv.global/taxonomy/taxondetails?taxnode_id=202307186","Blunervirus camelliae")</f>
        <v>Blunervirus camelliae</v>
      </c>
      <c r="S8118" s="18" t="s">
        <v>30</v>
      </c>
      <c r="T8118" s="18" t="s">
        <v>18582</v>
      </c>
      <c r="U8118" s="18" t="s">
        <v>18583</v>
      </c>
      <c r="V8118" s="18"/>
      <c r="W8118" s="18" t="s">
        <v>18584</v>
      </c>
      <c r="X8118" s="18" t="s">
        <v>42</v>
      </c>
      <c r="Y8118" s="18" t="s">
        <v>17171</v>
      </c>
      <c r="Z8118" s="18" t="s">
        <v>13441</v>
      </c>
      <c r="AA8118" s="21" t="str">
        <f>HYPERLINK("https://www.ncbi.nlm.nih.gov/nuccore/MG781152,MG781153,MG781154,MG781155","NCBI Nucleotide")</f>
        <v>NCBI Nucleotide</v>
      </c>
    </row>
    <row r="8119" spans="1:27" x14ac:dyDescent="0.35">
      <c r="A8119">
        <v>1008680</v>
      </c>
      <c r="B8119">
        <v>7539</v>
      </c>
      <c r="C8119">
        <v>1</v>
      </c>
      <c r="D8119" s="17" t="s">
        <v>17166</v>
      </c>
      <c r="E8119" s="17"/>
      <c r="F8119" s="17" t="s">
        <v>17246</v>
      </c>
      <c r="G8119" s="17"/>
      <c r="H8119" s="17" t="s">
        <v>17984</v>
      </c>
      <c r="I8119" s="17"/>
      <c r="J8119" s="17" t="s">
        <v>17985</v>
      </c>
      <c r="K8119" s="17"/>
      <c r="L8119" s="17" t="s">
        <v>18111</v>
      </c>
      <c r="M8119" s="17"/>
      <c r="N8119" s="17" t="s">
        <v>18580</v>
      </c>
      <c r="O8119" s="17"/>
      <c r="P8119" s="17" t="s">
        <v>18581</v>
      </c>
      <c r="Q8119" s="17"/>
      <c r="R8119" s="25" t="str">
        <f>HYPERLINK("https://ictv.global/taxonomy/taxondetails?taxnode_id=202309259","Blunervirus solani")</f>
        <v>Blunervirus solani</v>
      </c>
      <c r="S8119" s="18" t="s">
        <v>30</v>
      </c>
      <c r="T8119" s="18" t="s">
        <v>18585</v>
      </c>
      <c r="U8119" s="18" t="s">
        <v>18586</v>
      </c>
      <c r="V8119" s="18" t="s">
        <v>18587</v>
      </c>
      <c r="W8119" s="18" t="s">
        <v>18588</v>
      </c>
      <c r="X8119" s="18" t="s">
        <v>42</v>
      </c>
      <c r="Y8119" s="18" t="s">
        <v>17171</v>
      </c>
      <c r="Z8119" s="18" t="s">
        <v>13441</v>
      </c>
      <c r="AA8119" s="21" t="str">
        <f>HYPERLINK("https://www.ncbi.nlm.nih.gov/nuccore/MK517477,MK517478,MK517479,MK517480","NCBI Nucleotide")</f>
        <v>NCBI Nucleotide</v>
      </c>
    </row>
    <row r="8120" spans="1:27" x14ac:dyDescent="0.35">
      <c r="A8120">
        <v>1008681</v>
      </c>
      <c r="B8120">
        <v>7540</v>
      </c>
      <c r="C8120">
        <v>1</v>
      </c>
      <c r="D8120" s="17" t="s">
        <v>17166</v>
      </c>
      <c r="E8120" s="17"/>
      <c r="F8120" s="17" t="s">
        <v>17246</v>
      </c>
      <c r="G8120" s="17"/>
      <c r="H8120" s="17" t="s">
        <v>17984</v>
      </c>
      <c r="I8120" s="17"/>
      <c r="J8120" s="17" t="s">
        <v>17985</v>
      </c>
      <c r="K8120" s="17"/>
      <c r="L8120" s="17" t="s">
        <v>18111</v>
      </c>
      <c r="M8120" s="17"/>
      <c r="N8120" s="17" t="s">
        <v>18580</v>
      </c>
      <c r="O8120" s="17"/>
      <c r="P8120" s="17" t="s">
        <v>18581</v>
      </c>
      <c r="Q8120" s="17"/>
      <c r="R8120" s="25" t="str">
        <f>HYPERLINK("https://ictv.global/taxonomy/taxondetails?taxnode_id=202305341","Blunervirus vaccinii")</f>
        <v>Blunervirus vaccinii</v>
      </c>
      <c r="S8120" s="18" t="s">
        <v>30</v>
      </c>
      <c r="T8120" s="18" t="s">
        <v>18589</v>
      </c>
      <c r="U8120" s="18" t="s">
        <v>18590</v>
      </c>
      <c r="V8120" s="18" t="s">
        <v>18591</v>
      </c>
      <c r="W8120" s="18" t="s">
        <v>18592</v>
      </c>
      <c r="X8120" s="18" t="s">
        <v>42</v>
      </c>
      <c r="Y8120" s="18" t="s">
        <v>17171</v>
      </c>
      <c r="Z8120" s="18" t="s">
        <v>13441</v>
      </c>
      <c r="AA8120" s="21" t="str">
        <f>HYPERLINK("https://www.ncbi.nlm.nih.gov/nuccore/JN651148,JN651149,JN651150,JN651151","NCBI Nucleotide")</f>
        <v>NCBI Nucleotide</v>
      </c>
    </row>
    <row r="8121" spans="1:27" x14ac:dyDescent="0.35">
      <c r="A8121">
        <v>1008682</v>
      </c>
      <c r="B8121">
        <v>7541</v>
      </c>
      <c r="C8121">
        <v>1</v>
      </c>
      <c r="D8121" s="17" t="s">
        <v>17166</v>
      </c>
      <c r="E8121" s="17"/>
      <c r="F8121" s="17" t="s">
        <v>17246</v>
      </c>
      <c r="G8121" s="17"/>
      <c r="H8121" s="17" t="s">
        <v>17984</v>
      </c>
      <c r="I8121" s="17"/>
      <c r="J8121" s="17" t="s">
        <v>17985</v>
      </c>
      <c r="K8121" s="17"/>
      <c r="L8121" s="17" t="s">
        <v>18111</v>
      </c>
      <c r="M8121" s="17"/>
      <c r="N8121" s="17" t="s">
        <v>18580</v>
      </c>
      <c r="O8121" s="17"/>
      <c r="P8121" s="17" t="s">
        <v>18593</v>
      </c>
      <c r="Q8121" s="17"/>
      <c r="R8121" s="25" t="str">
        <f>HYPERLINK("https://ictv.global/taxonomy/taxondetails?taxnode_id=202315120","Cilevirus australis")</f>
        <v>Cilevirus australis</v>
      </c>
      <c r="S8121" s="18" t="s">
        <v>30</v>
      </c>
      <c r="T8121" s="18" t="s">
        <v>18594</v>
      </c>
      <c r="U8121" s="18" t="s">
        <v>18595</v>
      </c>
      <c r="V8121" s="18" t="s">
        <v>18596</v>
      </c>
      <c r="W8121" s="18" t="s">
        <v>18597</v>
      </c>
      <c r="X8121" s="18" t="s">
        <v>42</v>
      </c>
      <c r="Y8121" s="18" t="s">
        <v>17171</v>
      </c>
      <c r="Z8121" s="18" t="s">
        <v>13441</v>
      </c>
      <c r="AA8121" s="21" t="str">
        <f>HYPERLINK("https://www.ncbi.nlm.nih.gov/nuccore/OK626451,OK626452","NCBI Nucleotide")</f>
        <v>NCBI Nucleotide</v>
      </c>
    </row>
    <row r="8122" spans="1:27" x14ac:dyDescent="0.35">
      <c r="A8122">
        <v>1008683</v>
      </c>
      <c r="B8122">
        <v>7542</v>
      </c>
      <c r="C8122">
        <v>1</v>
      </c>
      <c r="D8122" s="17" t="s">
        <v>17166</v>
      </c>
      <c r="E8122" s="17"/>
      <c r="F8122" s="17" t="s">
        <v>17246</v>
      </c>
      <c r="G8122" s="17"/>
      <c r="H8122" s="17" t="s">
        <v>17984</v>
      </c>
      <c r="I8122" s="17"/>
      <c r="J8122" s="17" t="s">
        <v>17985</v>
      </c>
      <c r="K8122" s="17"/>
      <c r="L8122" s="17" t="s">
        <v>18111</v>
      </c>
      <c r="M8122" s="17"/>
      <c r="N8122" s="17" t="s">
        <v>18580</v>
      </c>
      <c r="O8122" s="17"/>
      <c r="P8122" s="17" t="s">
        <v>18593</v>
      </c>
      <c r="Q8122" s="17"/>
      <c r="R8122" s="25" t="str">
        <f>HYPERLINK("https://ictv.global/taxonomy/taxondetails?taxnode_id=202305346","Cilevirus colombiaense")</f>
        <v>Cilevirus colombiaense</v>
      </c>
      <c r="S8122" s="18" t="s">
        <v>30</v>
      </c>
      <c r="T8122" s="18" t="s">
        <v>18598</v>
      </c>
      <c r="U8122" s="18" t="s">
        <v>18599</v>
      </c>
      <c r="V8122" s="18" t="s">
        <v>18600</v>
      </c>
      <c r="W8122" s="18" t="s">
        <v>18601</v>
      </c>
      <c r="X8122" s="18" t="s">
        <v>42</v>
      </c>
      <c r="Y8122" s="18" t="s">
        <v>17171</v>
      </c>
      <c r="Z8122" s="18" t="s">
        <v>15964</v>
      </c>
      <c r="AA8122" s="21" t="str">
        <f>HYPERLINK("https://www.ncbi.nlm.nih.gov/nuccore/JX000024,JX000025","NCBI Nucleotide")</f>
        <v>NCBI Nucleotide</v>
      </c>
    </row>
    <row r="8123" spans="1:27" x14ac:dyDescent="0.35">
      <c r="A8123">
        <v>1008684</v>
      </c>
      <c r="B8123">
        <v>7543</v>
      </c>
      <c r="C8123">
        <v>1</v>
      </c>
      <c r="D8123" s="17" t="s">
        <v>17166</v>
      </c>
      <c r="E8123" s="17"/>
      <c r="F8123" s="17" t="s">
        <v>17246</v>
      </c>
      <c r="G8123" s="17"/>
      <c r="H8123" s="17" t="s">
        <v>17984</v>
      </c>
      <c r="I8123" s="17"/>
      <c r="J8123" s="17" t="s">
        <v>17985</v>
      </c>
      <c r="K8123" s="17"/>
      <c r="L8123" s="17" t="s">
        <v>18111</v>
      </c>
      <c r="M8123" s="17"/>
      <c r="N8123" s="17" t="s">
        <v>18580</v>
      </c>
      <c r="O8123" s="17"/>
      <c r="P8123" s="17" t="s">
        <v>18593</v>
      </c>
      <c r="Q8123" s="17"/>
      <c r="R8123" s="25" t="str">
        <f>HYPERLINK("https://ictv.global/taxonomy/taxondetails?taxnode_id=202305345","Cilevirus leprosis")</f>
        <v>Cilevirus leprosis</v>
      </c>
      <c r="S8123" s="18" t="s">
        <v>30</v>
      </c>
      <c r="T8123" s="18" t="s">
        <v>18602</v>
      </c>
      <c r="U8123" s="18" t="s">
        <v>18603</v>
      </c>
      <c r="V8123" s="18" t="s">
        <v>18604</v>
      </c>
      <c r="W8123" s="18" t="s">
        <v>18605</v>
      </c>
      <c r="X8123" s="18" t="s">
        <v>42</v>
      </c>
      <c r="Y8123" s="18" t="s">
        <v>17171</v>
      </c>
      <c r="Z8123" s="18" t="s">
        <v>15964</v>
      </c>
      <c r="AA8123" s="21" t="str">
        <f>HYPERLINK("https://www.ncbi.nlm.nih.gov/nuccore/DQ352194,DQ352195","NCBI Nucleotide")</f>
        <v>NCBI Nucleotide</v>
      </c>
    </row>
    <row r="8124" spans="1:27" x14ac:dyDescent="0.35">
      <c r="A8124">
        <v>1008685</v>
      </c>
      <c r="B8124">
        <v>7544</v>
      </c>
      <c r="C8124">
        <v>1</v>
      </c>
      <c r="D8124" s="17" t="s">
        <v>17166</v>
      </c>
      <c r="E8124" s="17"/>
      <c r="F8124" s="17" t="s">
        <v>17246</v>
      </c>
      <c r="G8124" s="17"/>
      <c r="H8124" s="17" t="s">
        <v>17984</v>
      </c>
      <c r="I8124" s="17"/>
      <c r="J8124" s="17" t="s">
        <v>17985</v>
      </c>
      <c r="K8124" s="17"/>
      <c r="L8124" s="17" t="s">
        <v>18111</v>
      </c>
      <c r="M8124" s="17"/>
      <c r="N8124" s="17" t="s">
        <v>18580</v>
      </c>
      <c r="O8124" s="17"/>
      <c r="P8124" s="17" t="s">
        <v>18593</v>
      </c>
      <c r="Q8124" s="17"/>
      <c r="R8124" s="25" t="str">
        <f>HYPERLINK("https://ictv.global/taxonomy/taxondetails?taxnode_id=202315119","Cilevirus ligustri")</f>
        <v>Cilevirus ligustri</v>
      </c>
      <c r="S8124" s="18" t="s">
        <v>30</v>
      </c>
      <c r="T8124" s="18" t="s">
        <v>18606</v>
      </c>
      <c r="U8124" s="18" t="s">
        <v>18607</v>
      </c>
      <c r="V8124" s="18" t="s">
        <v>18608</v>
      </c>
      <c r="W8124" s="18" t="s">
        <v>18609</v>
      </c>
      <c r="X8124" s="18" t="s">
        <v>42</v>
      </c>
      <c r="Y8124" s="18" t="s">
        <v>17171</v>
      </c>
      <c r="Z8124" s="18" t="s">
        <v>13441</v>
      </c>
      <c r="AA8124" s="21" t="str">
        <f>HYPERLINK("https://www.ncbi.nlm.nih.gov/nuccore/OK626447,OK626448","NCBI Nucleotide")</f>
        <v>NCBI Nucleotide</v>
      </c>
    </row>
    <row r="8125" spans="1:27" x14ac:dyDescent="0.35">
      <c r="A8125">
        <v>1008686</v>
      </c>
      <c r="B8125">
        <v>7545</v>
      </c>
      <c r="C8125">
        <v>1</v>
      </c>
      <c r="D8125" s="17" t="s">
        <v>17166</v>
      </c>
      <c r="E8125" s="17"/>
      <c r="F8125" s="17" t="s">
        <v>17246</v>
      </c>
      <c r="G8125" s="17"/>
      <c r="H8125" s="17" t="s">
        <v>17984</v>
      </c>
      <c r="I8125" s="17"/>
      <c r="J8125" s="17" t="s">
        <v>17985</v>
      </c>
      <c r="K8125" s="17"/>
      <c r="L8125" s="17" t="s">
        <v>18111</v>
      </c>
      <c r="M8125" s="17"/>
      <c r="N8125" s="17" t="s">
        <v>18580</v>
      </c>
      <c r="O8125" s="17"/>
      <c r="P8125" s="17" t="s">
        <v>18593</v>
      </c>
      <c r="Q8125" s="17"/>
      <c r="R8125" s="25" t="str">
        <f>HYPERLINK("https://ictv.global/taxonomy/taxondetails?taxnode_id=202313862","Cilevirus oahuense")</f>
        <v>Cilevirus oahuense</v>
      </c>
      <c r="S8125" s="18" t="s">
        <v>30</v>
      </c>
      <c r="T8125" s="18" t="s">
        <v>18610</v>
      </c>
      <c r="U8125" s="18" t="s">
        <v>18611</v>
      </c>
      <c r="V8125" s="18" t="s">
        <v>18612</v>
      </c>
      <c r="W8125" s="18" t="s">
        <v>18613</v>
      </c>
      <c r="X8125" s="18" t="s">
        <v>42</v>
      </c>
      <c r="Y8125" s="18" t="s">
        <v>17171</v>
      </c>
      <c r="Z8125" s="18" t="s">
        <v>13441</v>
      </c>
      <c r="AA8125" s="21" t="str">
        <f>HYPERLINK("https://www.ncbi.nlm.nih.gov/nuccore/MT472637,MT472638","NCBI Nucleotide")</f>
        <v>NCBI Nucleotide</v>
      </c>
    </row>
    <row r="8126" spans="1:27" x14ac:dyDescent="0.35">
      <c r="A8126">
        <v>1008687</v>
      </c>
      <c r="B8126">
        <v>7546</v>
      </c>
      <c r="C8126">
        <v>1</v>
      </c>
      <c r="D8126" s="17" t="s">
        <v>17166</v>
      </c>
      <c r="E8126" s="17"/>
      <c r="F8126" s="17" t="s">
        <v>17246</v>
      </c>
      <c r="G8126" s="17"/>
      <c r="H8126" s="17" t="s">
        <v>17984</v>
      </c>
      <c r="I8126" s="17"/>
      <c r="J8126" s="17" t="s">
        <v>17985</v>
      </c>
      <c r="K8126" s="17"/>
      <c r="L8126" s="17" t="s">
        <v>18111</v>
      </c>
      <c r="M8126" s="17"/>
      <c r="N8126" s="17" t="s">
        <v>18580</v>
      </c>
      <c r="O8126" s="17"/>
      <c r="P8126" s="17" t="s">
        <v>18593</v>
      </c>
      <c r="Q8126" s="17"/>
      <c r="R8126" s="25" t="str">
        <f>HYPERLINK("https://ictv.global/taxonomy/taxondetails?taxnode_id=202309287","Cilevirus passiflorae")</f>
        <v>Cilevirus passiflorae</v>
      </c>
      <c r="S8126" s="18" t="s">
        <v>30</v>
      </c>
      <c r="T8126" s="18" t="s">
        <v>18614</v>
      </c>
      <c r="U8126" s="18" t="s">
        <v>18615</v>
      </c>
      <c r="V8126" s="18" t="s">
        <v>18616</v>
      </c>
      <c r="W8126" s="18" t="s">
        <v>18617</v>
      </c>
      <c r="X8126" s="18" t="s">
        <v>42</v>
      </c>
      <c r="Y8126" s="18" t="s">
        <v>17171</v>
      </c>
      <c r="Z8126" s="18" t="s">
        <v>13441</v>
      </c>
      <c r="AA8126" s="21" t="str">
        <f>HYPERLINK("https://www.ncbi.nlm.nih.gov/nuccore/MK804171,MK804172","NCBI Nucleotide")</f>
        <v>NCBI Nucleotide</v>
      </c>
    </row>
    <row r="8127" spans="1:27" x14ac:dyDescent="0.35">
      <c r="A8127">
        <v>1008688</v>
      </c>
      <c r="B8127">
        <v>7547</v>
      </c>
      <c r="C8127">
        <v>1</v>
      </c>
      <c r="D8127" s="17" t="s">
        <v>17166</v>
      </c>
      <c r="E8127" s="17"/>
      <c r="F8127" s="17" t="s">
        <v>17246</v>
      </c>
      <c r="G8127" s="17"/>
      <c r="H8127" s="17" t="s">
        <v>17984</v>
      </c>
      <c r="I8127" s="17"/>
      <c r="J8127" s="17" t="s">
        <v>17985</v>
      </c>
      <c r="K8127" s="17"/>
      <c r="L8127" s="17" t="s">
        <v>18111</v>
      </c>
      <c r="M8127" s="17"/>
      <c r="N8127" s="17" t="s">
        <v>18580</v>
      </c>
      <c r="O8127" s="17"/>
      <c r="P8127" s="17" t="s">
        <v>18593</v>
      </c>
      <c r="Q8127" s="17"/>
      <c r="R8127" s="25" t="str">
        <f>HYPERLINK("https://ictv.global/taxonomy/taxondetails?taxnode_id=202315118","Cilevirus solani")</f>
        <v>Cilevirus solani</v>
      </c>
      <c r="S8127" s="18" t="s">
        <v>30</v>
      </c>
      <c r="T8127" s="18" t="s">
        <v>18618</v>
      </c>
      <c r="U8127" s="18" t="s">
        <v>18619</v>
      </c>
      <c r="V8127" s="18" t="s">
        <v>18620</v>
      </c>
      <c r="W8127" s="18" t="s">
        <v>18621</v>
      </c>
      <c r="X8127" s="18" t="s">
        <v>42</v>
      </c>
      <c r="Y8127" s="18" t="s">
        <v>17171</v>
      </c>
      <c r="Z8127" s="18" t="s">
        <v>13441</v>
      </c>
      <c r="AA8127" s="21" t="str">
        <f>HYPERLINK("https://www.ncbi.nlm.nih.gov/nuccore/OK626439,OK626440","NCBI Nucleotide")</f>
        <v>NCBI Nucleotide</v>
      </c>
    </row>
    <row r="8128" spans="1:27" x14ac:dyDescent="0.35">
      <c r="A8128">
        <v>1008689</v>
      </c>
      <c r="B8128">
        <v>7548</v>
      </c>
      <c r="C8128">
        <v>1</v>
      </c>
      <c r="D8128" s="17" t="s">
        <v>17166</v>
      </c>
      <c r="E8128" s="17"/>
      <c r="F8128" s="17" t="s">
        <v>17246</v>
      </c>
      <c r="G8128" s="17"/>
      <c r="H8128" s="17" t="s">
        <v>17984</v>
      </c>
      <c r="I8128" s="17"/>
      <c r="J8128" s="17" t="s">
        <v>17985</v>
      </c>
      <c r="K8128" s="17"/>
      <c r="L8128" s="17" t="s">
        <v>18111</v>
      </c>
      <c r="M8128" s="17"/>
      <c r="N8128" s="17" t="s">
        <v>18580</v>
      </c>
      <c r="O8128" s="17"/>
      <c r="P8128" s="17" t="s">
        <v>18622</v>
      </c>
      <c r="Q8128" s="17"/>
      <c r="R8128" s="25" t="str">
        <f>HYPERLINK("https://ictv.global/taxonomy/taxondetails?taxnode_id=202305352","Higrevirus waimanalo")</f>
        <v>Higrevirus waimanalo</v>
      </c>
      <c r="S8128" s="18" t="s">
        <v>30</v>
      </c>
      <c r="T8128" s="18" t="s">
        <v>18623</v>
      </c>
      <c r="U8128" s="18" t="s">
        <v>18624</v>
      </c>
      <c r="V8128" s="18" t="s">
        <v>18625</v>
      </c>
      <c r="W8128" s="18" t="s">
        <v>18626</v>
      </c>
      <c r="X8128" s="18" t="s">
        <v>42</v>
      </c>
      <c r="Y8128" s="18" t="s">
        <v>17171</v>
      </c>
      <c r="Z8128" s="18" t="s">
        <v>13441</v>
      </c>
      <c r="AA8128" s="21" t="str">
        <f>HYPERLINK("https://www.ncbi.nlm.nih.gov/nuccore/HQ852052,HQ852053,HQ852054","NCBI Nucleotide")</f>
        <v>NCBI Nucleotide</v>
      </c>
    </row>
    <row r="8129" spans="1:27" x14ac:dyDescent="0.35">
      <c r="A8129">
        <v>1008690</v>
      </c>
      <c r="B8129">
        <v>7549</v>
      </c>
      <c r="C8129">
        <v>1</v>
      </c>
      <c r="D8129" s="17" t="s">
        <v>17166</v>
      </c>
      <c r="E8129" s="17"/>
      <c r="F8129" s="17" t="s">
        <v>17246</v>
      </c>
      <c r="G8129" s="17"/>
      <c r="H8129" s="17" t="s">
        <v>17984</v>
      </c>
      <c r="I8129" s="17"/>
      <c r="J8129" s="17" t="s">
        <v>17985</v>
      </c>
      <c r="K8129" s="17"/>
      <c r="L8129" s="17" t="s">
        <v>18111</v>
      </c>
      <c r="M8129" s="17"/>
      <c r="N8129" s="17" t="s">
        <v>18627</v>
      </c>
      <c r="O8129" s="17"/>
      <c r="P8129" s="17" t="s">
        <v>18628</v>
      </c>
      <c r="Q8129" s="17"/>
      <c r="R8129" s="25" t="str">
        <f>HYPERLINK("https://ictv.global/taxonomy/taxondetails?taxnode_id=202306633","Idaeovirus ligustri")</f>
        <v>Idaeovirus ligustri</v>
      </c>
      <c r="S8129" s="18" t="s">
        <v>30</v>
      </c>
      <c r="T8129" s="18" t="s">
        <v>18629</v>
      </c>
      <c r="U8129" s="18" t="s">
        <v>18630</v>
      </c>
      <c r="V8129" s="18"/>
      <c r="W8129" s="18" t="s">
        <v>18631</v>
      </c>
      <c r="X8129" s="18" t="s">
        <v>42</v>
      </c>
      <c r="Y8129" s="18" t="s">
        <v>17171</v>
      </c>
      <c r="Z8129" s="18" t="s">
        <v>13441</v>
      </c>
      <c r="AA8129" s="21" t="str">
        <f>HYPERLINK("https://www.ncbi.nlm.nih.gov/nuccore/LT221868,LT221869","NCBI Nucleotide")</f>
        <v>NCBI Nucleotide</v>
      </c>
    </row>
    <row r="8130" spans="1:27" x14ac:dyDescent="0.35">
      <c r="A8130">
        <v>1008691</v>
      </c>
      <c r="B8130">
        <v>7550</v>
      </c>
      <c r="C8130">
        <v>1</v>
      </c>
      <c r="D8130" s="17" t="s">
        <v>17166</v>
      </c>
      <c r="E8130" s="17"/>
      <c r="F8130" s="17" t="s">
        <v>17246</v>
      </c>
      <c r="G8130" s="17"/>
      <c r="H8130" s="17" t="s">
        <v>17984</v>
      </c>
      <c r="I8130" s="17"/>
      <c r="J8130" s="17" t="s">
        <v>17985</v>
      </c>
      <c r="K8130" s="17"/>
      <c r="L8130" s="17" t="s">
        <v>18111</v>
      </c>
      <c r="M8130" s="17"/>
      <c r="N8130" s="17" t="s">
        <v>18627</v>
      </c>
      <c r="O8130" s="17"/>
      <c r="P8130" s="17" t="s">
        <v>18628</v>
      </c>
      <c r="Q8130" s="17"/>
      <c r="R8130" s="25" t="str">
        <f>HYPERLINK("https://ictv.global/taxonomy/taxondetails?taxnode_id=202305354","Idaeovirus rubi")</f>
        <v>Idaeovirus rubi</v>
      </c>
      <c r="S8130" s="18" t="s">
        <v>30</v>
      </c>
      <c r="T8130" s="18" t="s">
        <v>18632</v>
      </c>
      <c r="U8130" s="18" t="s">
        <v>18633</v>
      </c>
      <c r="V8130" s="18" t="s">
        <v>18634</v>
      </c>
      <c r="W8130" s="18" t="s">
        <v>18635</v>
      </c>
      <c r="X8130" s="18" t="s">
        <v>42</v>
      </c>
      <c r="Y8130" s="18" t="s">
        <v>17171</v>
      </c>
      <c r="Z8130" s="18" t="s">
        <v>13441</v>
      </c>
      <c r="AA8130" s="21" t="str">
        <f>HYPERLINK("https://www.ncbi.nlm.nih.gov/nuccore/S51557,S55890","NCBI Nucleotide")</f>
        <v>NCBI Nucleotide</v>
      </c>
    </row>
    <row r="8131" spans="1:27" x14ac:dyDescent="0.35">
      <c r="A8131">
        <v>1008692</v>
      </c>
      <c r="B8131">
        <v>7551</v>
      </c>
      <c r="C8131">
        <v>1</v>
      </c>
      <c r="D8131" s="17" t="s">
        <v>17166</v>
      </c>
      <c r="E8131" s="17"/>
      <c r="F8131" s="17" t="s">
        <v>17246</v>
      </c>
      <c r="G8131" s="17"/>
      <c r="H8131" s="17" t="s">
        <v>17984</v>
      </c>
      <c r="I8131" s="17"/>
      <c r="J8131" s="17" t="s">
        <v>17985</v>
      </c>
      <c r="K8131" s="17"/>
      <c r="L8131" s="17" t="s">
        <v>18111</v>
      </c>
      <c r="M8131" s="17"/>
      <c r="N8131" s="17" t="s">
        <v>18627</v>
      </c>
      <c r="O8131" s="17"/>
      <c r="P8131" s="17" t="s">
        <v>18636</v>
      </c>
      <c r="Q8131" s="17"/>
      <c r="R8131" s="25" t="str">
        <f>HYPERLINK("https://ictv.global/taxonomy/taxondetails?taxnode_id=202307565","Pteridovirus filicis")</f>
        <v>Pteridovirus filicis</v>
      </c>
      <c r="S8131" s="18" t="s">
        <v>30</v>
      </c>
      <c r="T8131" s="18" t="s">
        <v>18637</v>
      </c>
      <c r="U8131" s="18" t="s">
        <v>18638</v>
      </c>
      <c r="V8131" s="18" t="s">
        <v>18639</v>
      </c>
      <c r="W8131" s="18" t="s">
        <v>18640</v>
      </c>
      <c r="X8131" s="18" t="s">
        <v>42</v>
      </c>
      <c r="Y8131" s="18" t="s">
        <v>17171</v>
      </c>
      <c r="Z8131" s="18" t="s">
        <v>13441</v>
      </c>
      <c r="AA8131" s="21" t="str">
        <f>HYPERLINK("https://www.ncbi.nlm.nih.gov/nuccore/FJ907327,FJ907328","NCBI Nucleotide")</f>
        <v>NCBI Nucleotide</v>
      </c>
    </row>
    <row r="8132" spans="1:27" x14ac:dyDescent="0.35">
      <c r="A8132">
        <v>1008693</v>
      </c>
      <c r="B8132">
        <v>7552</v>
      </c>
      <c r="C8132">
        <v>1</v>
      </c>
      <c r="D8132" s="17" t="s">
        <v>17166</v>
      </c>
      <c r="E8132" s="17"/>
      <c r="F8132" s="17" t="s">
        <v>17246</v>
      </c>
      <c r="G8132" s="17"/>
      <c r="H8132" s="17" t="s">
        <v>17984</v>
      </c>
      <c r="I8132" s="17"/>
      <c r="J8132" s="17" t="s">
        <v>17985</v>
      </c>
      <c r="K8132" s="17"/>
      <c r="L8132" s="17" t="s">
        <v>18111</v>
      </c>
      <c r="M8132" s="17"/>
      <c r="N8132" s="17" t="s">
        <v>18627</v>
      </c>
      <c r="O8132" s="17"/>
      <c r="P8132" s="17" t="s">
        <v>18636</v>
      </c>
      <c r="Q8132" s="17"/>
      <c r="R8132" s="25" t="str">
        <f>HYPERLINK("https://ictv.global/taxonomy/taxondetails?taxnode_id=202307566","Pteridovirus maydis")</f>
        <v>Pteridovirus maydis</v>
      </c>
      <c r="S8132" s="18" t="s">
        <v>30</v>
      </c>
      <c r="T8132" s="18" t="s">
        <v>18641</v>
      </c>
      <c r="U8132" s="18" t="s">
        <v>18642</v>
      </c>
      <c r="V8132" s="18">
        <v>160060</v>
      </c>
      <c r="W8132" s="18" t="s">
        <v>18643</v>
      </c>
      <c r="X8132" s="18" t="s">
        <v>35</v>
      </c>
      <c r="Y8132" s="18" t="s">
        <v>17171</v>
      </c>
      <c r="Z8132" s="18" t="s">
        <v>13441</v>
      </c>
      <c r="AA8132" s="21" t="str">
        <f>HYPERLINK("https://www.ncbi.nlm.nih.gov/nuccore/MK112502,MK112503","NCBI Nucleotide")</f>
        <v>NCBI Nucleotide</v>
      </c>
    </row>
    <row r="8133" spans="1:27" x14ac:dyDescent="0.35">
      <c r="A8133">
        <v>1008694</v>
      </c>
      <c r="B8133">
        <v>7553</v>
      </c>
      <c r="C8133">
        <v>1</v>
      </c>
      <c r="D8133" s="17" t="s">
        <v>17166</v>
      </c>
      <c r="E8133" s="17"/>
      <c r="F8133" s="17" t="s">
        <v>17246</v>
      </c>
      <c r="G8133" s="17"/>
      <c r="H8133" s="17" t="s">
        <v>17984</v>
      </c>
      <c r="I8133" s="17"/>
      <c r="J8133" s="17" t="s">
        <v>17985</v>
      </c>
      <c r="K8133" s="17"/>
      <c r="L8133" s="17" t="s">
        <v>18111</v>
      </c>
      <c r="M8133" s="17"/>
      <c r="N8133" s="17" t="s">
        <v>18644</v>
      </c>
      <c r="O8133" s="17"/>
      <c r="P8133" s="17" t="s">
        <v>18645</v>
      </c>
      <c r="Q8133" s="17"/>
      <c r="R8133" s="25" t="str">
        <f>HYPERLINK("https://ictv.global/taxonomy/taxondetails?taxnode_id=202305083","Alphavirus aura")</f>
        <v>Alphavirus aura</v>
      </c>
      <c r="S8133" s="18" t="s">
        <v>30</v>
      </c>
      <c r="T8133" s="18" t="s">
        <v>18646</v>
      </c>
      <c r="U8133" s="18" t="s">
        <v>18647</v>
      </c>
      <c r="V8133" s="18"/>
      <c r="W8133" s="18" t="s">
        <v>18648</v>
      </c>
      <c r="X8133" s="18" t="s">
        <v>35</v>
      </c>
      <c r="Y8133" s="18" t="s">
        <v>17171</v>
      </c>
      <c r="Z8133" s="18" t="s">
        <v>12289</v>
      </c>
      <c r="AA8133" s="21" t="str">
        <f>HYPERLINK("https://www.ncbi.nlm.nih.gov/nuccore/AF126284","NCBI Nucleotide")</f>
        <v>NCBI Nucleotide</v>
      </c>
    </row>
    <row r="8134" spans="1:27" x14ac:dyDescent="0.35">
      <c r="A8134">
        <v>1008695</v>
      </c>
      <c r="B8134">
        <v>7554</v>
      </c>
      <c r="C8134">
        <v>1</v>
      </c>
      <c r="D8134" s="17" t="s">
        <v>17166</v>
      </c>
      <c r="E8134" s="17"/>
      <c r="F8134" s="17" t="s">
        <v>17246</v>
      </c>
      <c r="G8134" s="17"/>
      <c r="H8134" s="17" t="s">
        <v>17984</v>
      </c>
      <c r="I8134" s="17"/>
      <c r="J8134" s="17" t="s">
        <v>17985</v>
      </c>
      <c r="K8134" s="17"/>
      <c r="L8134" s="17" t="s">
        <v>18111</v>
      </c>
      <c r="M8134" s="17"/>
      <c r="N8134" s="17" t="s">
        <v>18644</v>
      </c>
      <c r="O8134" s="17"/>
      <c r="P8134" s="17" t="s">
        <v>18645</v>
      </c>
      <c r="Q8134" s="17"/>
      <c r="R8134" s="25" t="str">
        <f>HYPERLINK("https://ictv.global/taxonomy/taxondetails?taxnode_id=202305084","Alphavirus barmah")</f>
        <v>Alphavirus barmah</v>
      </c>
      <c r="S8134" s="18" t="s">
        <v>30</v>
      </c>
      <c r="T8134" s="18" t="s">
        <v>18649</v>
      </c>
      <c r="U8134" s="18" t="s">
        <v>18650</v>
      </c>
      <c r="V8134" s="18" t="s">
        <v>18651</v>
      </c>
      <c r="W8134" s="18" t="s">
        <v>18652</v>
      </c>
      <c r="X8134" s="18" t="s">
        <v>42</v>
      </c>
      <c r="Y8134" s="18" t="s">
        <v>17171</v>
      </c>
      <c r="Z8134" s="18" t="s">
        <v>12289</v>
      </c>
      <c r="AA8134" s="21" t="str">
        <f>HYPERLINK("https://www.ncbi.nlm.nih.gov/nuccore/U73745","NCBI Nucleotide")</f>
        <v>NCBI Nucleotide</v>
      </c>
    </row>
    <row r="8135" spans="1:27" x14ac:dyDescent="0.35">
      <c r="A8135">
        <v>1008696</v>
      </c>
      <c r="B8135">
        <v>7555</v>
      </c>
      <c r="C8135">
        <v>1</v>
      </c>
      <c r="D8135" s="17" t="s">
        <v>17166</v>
      </c>
      <c r="E8135" s="17"/>
      <c r="F8135" s="17" t="s">
        <v>17246</v>
      </c>
      <c r="G8135" s="17"/>
      <c r="H8135" s="17" t="s">
        <v>17984</v>
      </c>
      <c r="I8135" s="17"/>
      <c r="J8135" s="17" t="s">
        <v>17985</v>
      </c>
      <c r="K8135" s="17"/>
      <c r="L8135" s="17" t="s">
        <v>18111</v>
      </c>
      <c r="M8135" s="17"/>
      <c r="N8135" s="17" t="s">
        <v>18644</v>
      </c>
      <c r="O8135" s="17"/>
      <c r="P8135" s="17" t="s">
        <v>18645</v>
      </c>
      <c r="Q8135" s="17"/>
      <c r="R8135" s="25" t="str">
        <f>HYPERLINK("https://ictv.global/taxonomy/taxondetails?taxnode_id=202305085","Alphavirus bebaru")</f>
        <v>Alphavirus bebaru</v>
      </c>
      <c r="S8135" s="18" t="s">
        <v>30</v>
      </c>
      <c r="T8135" s="18" t="s">
        <v>18653</v>
      </c>
      <c r="U8135" s="18" t="s">
        <v>18654</v>
      </c>
      <c r="V8135" s="18"/>
      <c r="W8135" s="18" t="s">
        <v>18655</v>
      </c>
      <c r="X8135" s="18" t="s">
        <v>42</v>
      </c>
      <c r="Y8135" s="18" t="s">
        <v>17171</v>
      </c>
      <c r="Z8135" s="18" t="s">
        <v>12289</v>
      </c>
      <c r="AA8135" s="21" t="str">
        <f>HYPERLINK("https://www.ncbi.nlm.nih.gov/nuccore/HM147985","NCBI Nucleotide")</f>
        <v>NCBI Nucleotide</v>
      </c>
    </row>
    <row r="8136" spans="1:27" x14ac:dyDescent="0.35">
      <c r="A8136">
        <v>1008697</v>
      </c>
      <c r="B8136">
        <v>7556</v>
      </c>
      <c r="C8136">
        <v>1</v>
      </c>
      <c r="D8136" s="17" t="s">
        <v>17166</v>
      </c>
      <c r="E8136" s="17"/>
      <c r="F8136" s="17" t="s">
        <v>17246</v>
      </c>
      <c r="G8136" s="17"/>
      <c r="H8136" s="17" t="s">
        <v>17984</v>
      </c>
      <c r="I8136" s="17"/>
      <c r="J8136" s="17" t="s">
        <v>17985</v>
      </c>
      <c r="K8136" s="17"/>
      <c r="L8136" s="17" t="s">
        <v>18111</v>
      </c>
      <c r="M8136" s="17"/>
      <c r="N8136" s="17" t="s">
        <v>18644</v>
      </c>
      <c r="O8136" s="17"/>
      <c r="P8136" s="17" t="s">
        <v>18645</v>
      </c>
      <c r="Q8136" s="17"/>
      <c r="R8136" s="25" t="str">
        <f>HYPERLINK("https://ictv.global/taxonomy/taxondetails?taxnode_id=202309260","Alphavirus caaingua")</f>
        <v>Alphavirus caaingua</v>
      </c>
      <c r="S8136" s="18" t="s">
        <v>30</v>
      </c>
      <c r="T8136" s="18" t="s">
        <v>18656</v>
      </c>
      <c r="U8136" s="18" t="s">
        <v>18657</v>
      </c>
      <c r="V8136" s="18" t="s">
        <v>18658</v>
      </c>
      <c r="W8136" s="18" t="s">
        <v>18659</v>
      </c>
      <c r="X8136" s="18" t="s">
        <v>42</v>
      </c>
      <c r="Y8136" s="18" t="s">
        <v>17171</v>
      </c>
      <c r="Z8136" s="18" t="s">
        <v>12289</v>
      </c>
      <c r="AA8136" s="21" t="str">
        <f>HYPERLINK("https://www.ncbi.nlm.nih.gov/nuccore/MK353339","NCBI Nucleotide")</f>
        <v>NCBI Nucleotide</v>
      </c>
    </row>
    <row r="8137" spans="1:27" x14ac:dyDescent="0.35">
      <c r="A8137">
        <v>1008698</v>
      </c>
      <c r="B8137">
        <v>7557</v>
      </c>
      <c r="C8137">
        <v>1</v>
      </c>
      <c r="D8137" s="17" t="s">
        <v>17166</v>
      </c>
      <c r="E8137" s="17"/>
      <c r="F8137" s="17" t="s">
        <v>17246</v>
      </c>
      <c r="G8137" s="17"/>
      <c r="H8137" s="17" t="s">
        <v>17984</v>
      </c>
      <c r="I8137" s="17"/>
      <c r="J8137" s="17" t="s">
        <v>17985</v>
      </c>
      <c r="K8137" s="17"/>
      <c r="L8137" s="17" t="s">
        <v>18111</v>
      </c>
      <c r="M8137" s="17"/>
      <c r="N8137" s="17" t="s">
        <v>18644</v>
      </c>
      <c r="O8137" s="17"/>
      <c r="P8137" s="17" t="s">
        <v>18645</v>
      </c>
      <c r="Q8137" s="17"/>
      <c r="R8137" s="25" t="str">
        <f>HYPERLINK("https://ictv.global/taxonomy/taxondetails?taxnode_id=202305086","Alphavirus cabassou")</f>
        <v>Alphavirus cabassou</v>
      </c>
      <c r="S8137" s="18" t="s">
        <v>30</v>
      </c>
      <c r="T8137" s="18" t="s">
        <v>18660</v>
      </c>
      <c r="U8137" s="18" t="s">
        <v>18661</v>
      </c>
      <c r="V8137" s="18" t="s">
        <v>18662</v>
      </c>
      <c r="W8137" s="18" t="s">
        <v>18663</v>
      </c>
      <c r="X8137" s="18" t="s">
        <v>42</v>
      </c>
      <c r="Y8137" s="18" t="s">
        <v>17171</v>
      </c>
      <c r="Z8137" s="18" t="s">
        <v>12289</v>
      </c>
      <c r="AA8137" s="21" t="str">
        <f>HYPERLINK("https://www.ncbi.nlm.nih.gov/nuccore/AF075259","NCBI Nucleotide")</f>
        <v>NCBI Nucleotide</v>
      </c>
    </row>
    <row r="8138" spans="1:27" x14ac:dyDescent="0.35">
      <c r="A8138">
        <v>1008699</v>
      </c>
      <c r="B8138">
        <v>7558</v>
      </c>
      <c r="C8138">
        <v>1</v>
      </c>
      <c r="D8138" s="17" t="s">
        <v>17166</v>
      </c>
      <c r="E8138" s="17"/>
      <c r="F8138" s="17" t="s">
        <v>17246</v>
      </c>
      <c r="G8138" s="17"/>
      <c r="H8138" s="17" t="s">
        <v>17984</v>
      </c>
      <c r="I8138" s="17"/>
      <c r="J8138" s="17" t="s">
        <v>17985</v>
      </c>
      <c r="K8138" s="17"/>
      <c r="L8138" s="17" t="s">
        <v>18111</v>
      </c>
      <c r="M8138" s="17"/>
      <c r="N8138" s="17" t="s">
        <v>18644</v>
      </c>
      <c r="O8138" s="17"/>
      <c r="P8138" s="17" t="s">
        <v>18645</v>
      </c>
      <c r="Q8138" s="17"/>
      <c r="R8138" s="25" t="str">
        <f>HYPERLINK("https://ictv.global/taxonomy/taxondetails?taxnode_id=202305087","Alphavirus chikungunya")</f>
        <v>Alphavirus chikungunya</v>
      </c>
      <c r="S8138" s="18" t="s">
        <v>30</v>
      </c>
      <c r="T8138" s="18" t="s">
        <v>18664</v>
      </c>
      <c r="U8138" s="18" t="s">
        <v>18665</v>
      </c>
      <c r="V8138" s="18" t="s">
        <v>18666</v>
      </c>
      <c r="W8138" s="18" t="s">
        <v>18667</v>
      </c>
      <c r="X8138" s="18" t="s">
        <v>42</v>
      </c>
      <c r="Y8138" s="18" t="s">
        <v>17171</v>
      </c>
      <c r="Z8138" s="18" t="s">
        <v>12289</v>
      </c>
      <c r="AA8138" s="21" t="str">
        <f>HYPERLINK("https://www.ncbi.nlm.nih.gov/nuccore/AF369024","NCBI Nucleotide")</f>
        <v>NCBI Nucleotide</v>
      </c>
    </row>
    <row r="8139" spans="1:27" x14ac:dyDescent="0.35">
      <c r="A8139">
        <v>1012747</v>
      </c>
      <c r="B8139">
        <v>7558</v>
      </c>
      <c r="C8139">
        <v>2</v>
      </c>
      <c r="D8139" s="17" t="s">
        <v>17166</v>
      </c>
      <c r="E8139" s="17"/>
      <c r="F8139" s="17" t="s">
        <v>17246</v>
      </c>
      <c r="G8139" s="17"/>
      <c r="H8139" s="17" t="s">
        <v>17984</v>
      </c>
      <c r="I8139" s="17"/>
      <c r="J8139" s="17" t="s">
        <v>17985</v>
      </c>
      <c r="K8139" s="17"/>
      <c r="L8139" s="17" t="s">
        <v>18111</v>
      </c>
      <c r="M8139" s="17"/>
      <c r="N8139" s="17" t="s">
        <v>18644</v>
      </c>
      <c r="O8139" s="17"/>
      <c r="P8139" s="17" t="s">
        <v>18645</v>
      </c>
      <c r="Q8139" s="17"/>
      <c r="R8139" s="25" t="str">
        <f>HYPERLINK("https://ictv.global/taxonomy/taxondetails?taxnode_id=202305087","Alphavirus chikungunya")</f>
        <v>Alphavirus chikungunya</v>
      </c>
      <c r="S8139" s="18" t="s">
        <v>8141</v>
      </c>
      <c r="T8139" s="18" t="s">
        <v>18664</v>
      </c>
      <c r="U8139" s="18" t="s">
        <v>18665</v>
      </c>
      <c r="V8139" s="18" t="s">
        <v>18668</v>
      </c>
      <c r="W8139" s="18" t="s">
        <v>49303</v>
      </c>
      <c r="X8139" s="18" t="s">
        <v>154</v>
      </c>
      <c r="Y8139" s="18" t="s">
        <v>17171</v>
      </c>
      <c r="Z8139" s="18" t="s">
        <v>12289</v>
      </c>
      <c r="AA8139" s="21" t="str">
        <f>HYPERLINK("https://www.ncbi.nlm.nih.gov/nuccore/KP003813","NCBI Nucleotide")</f>
        <v>NCBI Nucleotide</v>
      </c>
    </row>
    <row r="8140" spans="1:27" x14ac:dyDescent="0.35">
      <c r="A8140">
        <v>1008700</v>
      </c>
      <c r="B8140">
        <v>7559</v>
      </c>
      <c r="C8140">
        <v>1</v>
      </c>
      <c r="D8140" s="17" t="s">
        <v>17166</v>
      </c>
      <c r="E8140" s="17"/>
      <c r="F8140" s="17" t="s">
        <v>17246</v>
      </c>
      <c r="G8140" s="17"/>
      <c r="H8140" s="17" t="s">
        <v>17984</v>
      </c>
      <c r="I8140" s="17"/>
      <c r="J8140" s="17" t="s">
        <v>17985</v>
      </c>
      <c r="K8140" s="17"/>
      <c r="L8140" s="17" t="s">
        <v>18111</v>
      </c>
      <c r="M8140" s="17"/>
      <c r="N8140" s="17" t="s">
        <v>18644</v>
      </c>
      <c r="O8140" s="17"/>
      <c r="P8140" s="17" t="s">
        <v>18645</v>
      </c>
      <c r="Q8140" s="17"/>
      <c r="R8140" s="25" t="str">
        <f>HYPERLINK("https://ictv.global/taxonomy/taxondetails?taxnode_id=202305088","Alphavirus eastern")</f>
        <v>Alphavirus eastern</v>
      </c>
      <c r="S8140" s="18" t="s">
        <v>30</v>
      </c>
      <c r="T8140" s="18" t="s">
        <v>18669</v>
      </c>
      <c r="U8140" s="18" t="s">
        <v>18670</v>
      </c>
      <c r="V8140" s="18" t="s">
        <v>18671</v>
      </c>
      <c r="W8140" s="18" t="s">
        <v>18672</v>
      </c>
      <c r="X8140" s="18" t="s">
        <v>42</v>
      </c>
      <c r="Y8140" s="18" t="s">
        <v>17171</v>
      </c>
      <c r="Z8140" s="18" t="s">
        <v>12289</v>
      </c>
      <c r="AA8140" s="21" t="str">
        <f>HYPERLINK("https://www.ncbi.nlm.nih.gov/nuccore/X63135","NCBI Nucleotide")</f>
        <v>NCBI Nucleotide</v>
      </c>
    </row>
    <row r="8141" spans="1:27" x14ac:dyDescent="0.35">
      <c r="A8141">
        <v>1008701</v>
      </c>
      <c r="B8141">
        <v>7560</v>
      </c>
      <c r="C8141">
        <v>1</v>
      </c>
      <c r="D8141" s="17" t="s">
        <v>17166</v>
      </c>
      <c r="E8141" s="17"/>
      <c r="F8141" s="17" t="s">
        <v>17246</v>
      </c>
      <c r="G8141" s="17"/>
      <c r="H8141" s="17" t="s">
        <v>17984</v>
      </c>
      <c r="I8141" s="17"/>
      <c r="J8141" s="17" t="s">
        <v>17985</v>
      </c>
      <c r="K8141" s="17"/>
      <c r="L8141" s="17" t="s">
        <v>18111</v>
      </c>
      <c r="M8141" s="17"/>
      <c r="N8141" s="17" t="s">
        <v>18644</v>
      </c>
      <c r="O8141" s="17"/>
      <c r="P8141" s="17" t="s">
        <v>18645</v>
      </c>
      <c r="Q8141" s="17"/>
      <c r="R8141" s="25" t="str">
        <f>HYPERLINK("https://ictv.global/taxonomy/taxondetails?taxnode_id=202305089","Alphavirus eilat")</f>
        <v>Alphavirus eilat</v>
      </c>
      <c r="S8141" s="18" t="s">
        <v>30</v>
      </c>
      <c r="T8141" s="18" t="s">
        <v>18673</v>
      </c>
      <c r="U8141" s="18" t="s">
        <v>18674</v>
      </c>
      <c r="V8141" s="18" t="s">
        <v>18675</v>
      </c>
      <c r="W8141" s="18" t="s">
        <v>18676</v>
      </c>
      <c r="X8141" s="18" t="s">
        <v>42</v>
      </c>
      <c r="Y8141" s="18" t="s">
        <v>17171</v>
      </c>
      <c r="Z8141" s="18" t="s">
        <v>10790</v>
      </c>
      <c r="AA8141" s="21" t="str">
        <f>HYPERLINK("https://www.ncbi.nlm.nih.gov/nuccore/JX678730","NCBI Nucleotide")</f>
        <v>NCBI Nucleotide</v>
      </c>
    </row>
    <row r="8142" spans="1:27" x14ac:dyDescent="0.35">
      <c r="A8142">
        <v>1008702</v>
      </c>
      <c r="B8142">
        <v>7561</v>
      </c>
      <c r="C8142">
        <v>1</v>
      </c>
      <c r="D8142" s="17" t="s">
        <v>17166</v>
      </c>
      <c r="E8142" s="17"/>
      <c r="F8142" s="17" t="s">
        <v>17246</v>
      </c>
      <c r="G8142" s="17"/>
      <c r="H8142" s="17" t="s">
        <v>17984</v>
      </c>
      <c r="I8142" s="17"/>
      <c r="J8142" s="17" t="s">
        <v>17985</v>
      </c>
      <c r="K8142" s="17"/>
      <c r="L8142" s="17" t="s">
        <v>18111</v>
      </c>
      <c r="M8142" s="17"/>
      <c r="N8142" s="17" t="s">
        <v>18644</v>
      </c>
      <c r="O8142" s="17"/>
      <c r="P8142" s="17" t="s">
        <v>18645</v>
      </c>
      <c r="Q8142" s="17"/>
      <c r="R8142" s="25" t="str">
        <f>HYPERLINK("https://ictv.global/taxonomy/taxondetails?taxnode_id=202305090","Alphavirus everglades")</f>
        <v>Alphavirus everglades</v>
      </c>
      <c r="S8142" s="18" t="s">
        <v>30</v>
      </c>
      <c r="T8142" s="18" t="s">
        <v>18677</v>
      </c>
      <c r="U8142" s="18" t="s">
        <v>18678</v>
      </c>
      <c r="V8142" s="18" t="s">
        <v>18679</v>
      </c>
      <c r="W8142" s="18" t="s">
        <v>18680</v>
      </c>
      <c r="X8142" s="18" t="s">
        <v>42</v>
      </c>
      <c r="Y8142" s="18" t="s">
        <v>17171</v>
      </c>
      <c r="Z8142" s="18" t="s">
        <v>12289</v>
      </c>
      <c r="AA8142" s="21" t="str">
        <f>HYPERLINK("https://www.ncbi.nlm.nih.gov/nuccore/AF075251","NCBI Nucleotide")</f>
        <v>NCBI Nucleotide</v>
      </c>
    </row>
    <row r="8143" spans="1:27" x14ac:dyDescent="0.35">
      <c r="A8143">
        <v>1008703</v>
      </c>
      <c r="B8143">
        <v>7562</v>
      </c>
      <c r="C8143">
        <v>1</v>
      </c>
      <c r="D8143" s="17" t="s">
        <v>17166</v>
      </c>
      <c r="E8143" s="17"/>
      <c r="F8143" s="17" t="s">
        <v>17246</v>
      </c>
      <c r="G8143" s="17"/>
      <c r="H8143" s="17" t="s">
        <v>17984</v>
      </c>
      <c r="I8143" s="17"/>
      <c r="J8143" s="17" t="s">
        <v>17985</v>
      </c>
      <c r="K8143" s="17"/>
      <c r="L8143" s="17" t="s">
        <v>18111</v>
      </c>
      <c r="M8143" s="17"/>
      <c r="N8143" s="17" t="s">
        <v>18644</v>
      </c>
      <c r="O8143" s="17"/>
      <c r="P8143" s="17" t="s">
        <v>18645</v>
      </c>
      <c r="Q8143" s="17"/>
      <c r="R8143" s="25" t="str">
        <f>HYPERLINK("https://ictv.global/taxonomy/taxondetails?taxnode_id=202305091","Alphavirus fortmorgan")</f>
        <v>Alphavirus fortmorgan</v>
      </c>
      <c r="S8143" s="18" t="s">
        <v>30</v>
      </c>
      <c r="T8143" s="18" t="s">
        <v>18681</v>
      </c>
      <c r="U8143" s="18" t="s">
        <v>18682</v>
      </c>
      <c r="V8143" s="18" t="s">
        <v>18683</v>
      </c>
      <c r="W8143" s="18" t="s">
        <v>18684</v>
      </c>
      <c r="X8143" s="18" t="s">
        <v>42</v>
      </c>
      <c r="Y8143" s="18" t="s">
        <v>17171</v>
      </c>
      <c r="Z8143" s="18" t="s">
        <v>12289</v>
      </c>
      <c r="AA8143" s="21" t="str">
        <f>HYPERLINK("https://www.ncbi.nlm.nih.gov/nuccore/GQ281603","NCBI Nucleotide")</f>
        <v>NCBI Nucleotide</v>
      </c>
    </row>
    <row r="8144" spans="1:27" x14ac:dyDescent="0.35">
      <c r="A8144">
        <v>1012748</v>
      </c>
      <c r="B8144">
        <v>7562</v>
      </c>
      <c r="C8144">
        <v>2</v>
      </c>
      <c r="D8144" s="17" t="s">
        <v>17166</v>
      </c>
      <c r="E8144" s="17"/>
      <c r="F8144" s="17" t="s">
        <v>17246</v>
      </c>
      <c r="G8144" s="17"/>
      <c r="H8144" s="17" t="s">
        <v>17984</v>
      </c>
      <c r="I8144" s="17"/>
      <c r="J8144" s="17" t="s">
        <v>17985</v>
      </c>
      <c r="K8144" s="17"/>
      <c r="L8144" s="17" t="s">
        <v>18111</v>
      </c>
      <c r="M8144" s="17"/>
      <c r="N8144" s="17" t="s">
        <v>18644</v>
      </c>
      <c r="O8144" s="17"/>
      <c r="P8144" s="17" t="s">
        <v>18645</v>
      </c>
      <c r="Q8144" s="17"/>
      <c r="R8144" s="25" t="str">
        <f>HYPERLINK("https://ictv.global/taxonomy/taxondetails?taxnode_id=202305091","Alphavirus fortmorgan")</f>
        <v>Alphavirus fortmorgan</v>
      </c>
      <c r="S8144" s="18" t="s">
        <v>8141</v>
      </c>
      <c r="T8144" s="18" t="s">
        <v>18685</v>
      </c>
      <c r="U8144" s="18" t="s">
        <v>18686</v>
      </c>
      <c r="V8144" s="18"/>
      <c r="W8144" s="18" t="s">
        <v>49304</v>
      </c>
      <c r="X8144" s="18" t="s">
        <v>42</v>
      </c>
      <c r="Y8144" s="18" t="s">
        <v>17171</v>
      </c>
      <c r="Z8144" s="18" t="s">
        <v>12289</v>
      </c>
      <c r="AA8144" s="21" t="str">
        <f>HYPERLINK("https://www.ncbi.nlm.nih.gov/nuccore/HM147986","NCBI Nucleotide")</f>
        <v>NCBI Nucleotide</v>
      </c>
    </row>
    <row r="8145" spans="1:27" x14ac:dyDescent="0.35">
      <c r="A8145">
        <v>1008704</v>
      </c>
      <c r="B8145">
        <v>7563</v>
      </c>
      <c r="C8145">
        <v>1</v>
      </c>
      <c r="D8145" s="17" t="s">
        <v>17166</v>
      </c>
      <c r="E8145" s="17"/>
      <c r="F8145" s="17" t="s">
        <v>17246</v>
      </c>
      <c r="G8145" s="17"/>
      <c r="H8145" s="17" t="s">
        <v>17984</v>
      </c>
      <c r="I8145" s="17"/>
      <c r="J8145" s="17" t="s">
        <v>17985</v>
      </c>
      <c r="K8145" s="17"/>
      <c r="L8145" s="17" t="s">
        <v>18111</v>
      </c>
      <c r="M8145" s="17"/>
      <c r="N8145" s="17" t="s">
        <v>18644</v>
      </c>
      <c r="O8145" s="17"/>
      <c r="P8145" s="17" t="s">
        <v>18645</v>
      </c>
      <c r="Q8145" s="17"/>
      <c r="R8145" s="25" t="str">
        <f>HYPERLINK("https://ictv.global/taxonomy/taxondetails?taxnode_id=202305092","Alphavirus getah")</f>
        <v>Alphavirus getah</v>
      </c>
      <c r="S8145" s="18" t="s">
        <v>30</v>
      </c>
      <c r="T8145" s="18" t="s">
        <v>18687</v>
      </c>
      <c r="U8145" s="18" t="s">
        <v>18688</v>
      </c>
      <c r="V8145" s="18" t="s">
        <v>18689</v>
      </c>
      <c r="W8145" s="18" t="s">
        <v>18690</v>
      </c>
      <c r="X8145" s="18" t="s">
        <v>42</v>
      </c>
      <c r="Y8145" s="18" t="s">
        <v>17171</v>
      </c>
      <c r="Z8145" s="18" t="s">
        <v>12289</v>
      </c>
      <c r="AA8145" s="21" t="str">
        <f>HYPERLINK("https://www.ncbi.nlm.nih.gov/nuccore/AY702913","NCBI Nucleotide")</f>
        <v>NCBI Nucleotide</v>
      </c>
    </row>
    <row r="8146" spans="1:27" x14ac:dyDescent="0.35">
      <c r="A8146">
        <v>1012749</v>
      </c>
      <c r="B8146">
        <v>7563</v>
      </c>
      <c r="C8146">
        <v>2</v>
      </c>
      <c r="D8146" s="17" t="s">
        <v>17166</v>
      </c>
      <c r="E8146" s="17"/>
      <c r="F8146" s="17" t="s">
        <v>17246</v>
      </c>
      <c r="G8146" s="17"/>
      <c r="H8146" s="17" t="s">
        <v>17984</v>
      </c>
      <c r="I8146" s="17"/>
      <c r="J8146" s="17" t="s">
        <v>17985</v>
      </c>
      <c r="K8146" s="17"/>
      <c r="L8146" s="17" t="s">
        <v>18111</v>
      </c>
      <c r="M8146" s="17"/>
      <c r="N8146" s="17" t="s">
        <v>18644</v>
      </c>
      <c r="O8146" s="17"/>
      <c r="P8146" s="17" t="s">
        <v>18645</v>
      </c>
      <c r="Q8146" s="17"/>
      <c r="R8146" s="25" t="str">
        <f>HYPERLINK("https://ictv.global/taxonomy/taxondetails?taxnode_id=202305092","Alphavirus getah")</f>
        <v>Alphavirus getah</v>
      </c>
      <c r="S8146" s="18" t="s">
        <v>8141</v>
      </c>
      <c r="T8146" s="18" t="s">
        <v>18691</v>
      </c>
      <c r="U8146" s="18" t="s">
        <v>18692</v>
      </c>
      <c r="V8146" s="18"/>
      <c r="W8146" s="18" t="s">
        <v>49305</v>
      </c>
      <c r="X8146" s="18" t="s">
        <v>42</v>
      </c>
      <c r="Y8146" s="18" t="s">
        <v>17171</v>
      </c>
      <c r="Z8146" s="18" t="s">
        <v>12289</v>
      </c>
      <c r="AA8146" s="21" t="str">
        <f>HYPERLINK("https://www.ncbi.nlm.nih.gov/nuccore/AB032553","NCBI Nucleotide")</f>
        <v>NCBI Nucleotide</v>
      </c>
    </row>
    <row r="8147" spans="1:27" x14ac:dyDescent="0.35">
      <c r="A8147">
        <v>1012750</v>
      </c>
      <c r="B8147">
        <v>7563</v>
      </c>
      <c r="C8147">
        <v>3</v>
      </c>
      <c r="D8147" s="17" t="s">
        <v>17166</v>
      </c>
      <c r="E8147" s="17"/>
      <c r="F8147" s="17" t="s">
        <v>17246</v>
      </c>
      <c r="G8147" s="17"/>
      <c r="H8147" s="17" t="s">
        <v>17984</v>
      </c>
      <c r="I8147" s="17"/>
      <c r="J8147" s="17" t="s">
        <v>17985</v>
      </c>
      <c r="K8147" s="17"/>
      <c r="L8147" s="17" t="s">
        <v>18111</v>
      </c>
      <c r="M8147" s="17"/>
      <c r="N8147" s="17" t="s">
        <v>18644</v>
      </c>
      <c r="O8147" s="17"/>
      <c r="P8147" s="17" t="s">
        <v>18645</v>
      </c>
      <c r="Q8147" s="17"/>
      <c r="R8147" s="25" t="str">
        <f>HYPERLINK("https://ictv.global/taxonomy/taxondetails?taxnode_id=202305092","Alphavirus getah")</f>
        <v>Alphavirus getah</v>
      </c>
      <c r="S8147" s="18" t="s">
        <v>8141</v>
      </c>
      <c r="T8147" s="18" t="s">
        <v>18693</v>
      </c>
      <c r="U8147" s="18" t="s">
        <v>18694</v>
      </c>
      <c r="V8147" s="18" t="s">
        <v>18398</v>
      </c>
      <c r="W8147" s="18" t="s">
        <v>49306</v>
      </c>
      <c r="X8147" s="18" t="s">
        <v>42</v>
      </c>
      <c r="Y8147" s="18" t="s">
        <v>17171</v>
      </c>
      <c r="Z8147" s="18" t="s">
        <v>12289</v>
      </c>
      <c r="AA8147" s="21" t="str">
        <f>HYPERLINK("https://www.ncbi.nlm.nih.gov/nuccore/EF011023","NCBI Nucleotide")</f>
        <v>NCBI Nucleotide</v>
      </c>
    </row>
    <row r="8148" spans="1:27" x14ac:dyDescent="0.35">
      <c r="A8148">
        <v>1008705</v>
      </c>
      <c r="B8148">
        <v>7564</v>
      </c>
      <c r="C8148">
        <v>1</v>
      </c>
      <c r="D8148" s="17" t="s">
        <v>17166</v>
      </c>
      <c r="E8148" s="17"/>
      <c r="F8148" s="17" t="s">
        <v>17246</v>
      </c>
      <c r="G8148" s="17"/>
      <c r="H8148" s="17" t="s">
        <v>17984</v>
      </c>
      <c r="I8148" s="17"/>
      <c r="J8148" s="17" t="s">
        <v>17985</v>
      </c>
      <c r="K8148" s="17"/>
      <c r="L8148" s="17" t="s">
        <v>18111</v>
      </c>
      <c r="M8148" s="17"/>
      <c r="N8148" s="17" t="s">
        <v>18644</v>
      </c>
      <c r="O8148" s="17"/>
      <c r="P8148" s="17" t="s">
        <v>18645</v>
      </c>
      <c r="Q8148" s="17"/>
      <c r="R8148" s="25" t="str">
        <f>HYPERLINK("https://ictv.global/taxonomy/taxondetails?taxnode_id=202305093","Alphavirus highlandsj")</f>
        <v>Alphavirus highlandsj</v>
      </c>
      <c r="S8148" s="18" t="s">
        <v>30</v>
      </c>
      <c r="T8148" s="18" t="s">
        <v>18695</v>
      </c>
      <c r="U8148" s="18" t="s">
        <v>18696</v>
      </c>
      <c r="V8148" s="18" t="s">
        <v>18697</v>
      </c>
      <c r="W8148" s="18" t="s">
        <v>18698</v>
      </c>
      <c r="X8148" s="18" t="s">
        <v>42</v>
      </c>
      <c r="Y8148" s="18" t="s">
        <v>17171</v>
      </c>
      <c r="Z8148" s="18" t="s">
        <v>12289</v>
      </c>
      <c r="AA8148" s="21" t="str">
        <f>HYPERLINK("https://www.ncbi.nlm.nih.gov/nuccore/FJ827631","NCBI Nucleotide")</f>
        <v>NCBI Nucleotide</v>
      </c>
    </row>
    <row r="8149" spans="1:27" x14ac:dyDescent="0.35">
      <c r="A8149">
        <v>1008706</v>
      </c>
      <c r="B8149">
        <v>7565</v>
      </c>
      <c r="C8149">
        <v>1</v>
      </c>
      <c r="D8149" s="17" t="s">
        <v>17166</v>
      </c>
      <c r="E8149" s="17"/>
      <c r="F8149" s="17" t="s">
        <v>17246</v>
      </c>
      <c r="G8149" s="17"/>
      <c r="H8149" s="17" t="s">
        <v>17984</v>
      </c>
      <c r="I8149" s="17"/>
      <c r="J8149" s="17" t="s">
        <v>17985</v>
      </c>
      <c r="K8149" s="17"/>
      <c r="L8149" s="17" t="s">
        <v>18111</v>
      </c>
      <c r="M8149" s="17"/>
      <c r="N8149" s="17" t="s">
        <v>18644</v>
      </c>
      <c r="O8149" s="17"/>
      <c r="P8149" s="17" t="s">
        <v>18645</v>
      </c>
      <c r="Q8149" s="17"/>
      <c r="R8149" s="25" t="str">
        <f>HYPERLINK("https://ictv.global/taxonomy/taxondetails?taxnode_id=202305094","Alphavirus madariaga")</f>
        <v>Alphavirus madariaga</v>
      </c>
      <c r="S8149" s="18" t="s">
        <v>30</v>
      </c>
      <c r="T8149" s="18" t="s">
        <v>18699</v>
      </c>
      <c r="U8149" s="18" t="s">
        <v>18700</v>
      </c>
      <c r="V8149" s="18" t="s">
        <v>18701</v>
      </c>
      <c r="W8149" s="18" t="s">
        <v>18702</v>
      </c>
      <c r="X8149" s="18" t="s">
        <v>42</v>
      </c>
      <c r="Y8149" s="18" t="s">
        <v>17171</v>
      </c>
      <c r="Z8149" s="18" t="s">
        <v>12289</v>
      </c>
      <c r="AA8149" s="21" t="str">
        <f>HYPERLINK("https://www.ncbi.nlm.nih.gov/nuccore/DQ241303","NCBI Nucleotide")</f>
        <v>NCBI Nucleotide</v>
      </c>
    </row>
    <row r="8150" spans="1:27" x14ac:dyDescent="0.35">
      <c r="A8150">
        <v>1012751</v>
      </c>
      <c r="B8150">
        <v>7565</v>
      </c>
      <c r="C8150">
        <v>2</v>
      </c>
      <c r="D8150" s="17" t="s">
        <v>17166</v>
      </c>
      <c r="E8150" s="17"/>
      <c r="F8150" s="17" t="s">
        <v>17246</v>
      </c>
      <c r="G8150" s="17"/>
      <c r="H8150" s="17" t="s">
        <v>17984</v>
      </c>
      <c r="I8150" s="17"/>
      <c r="J8150" s="17" t="s">
        <v>17985</v>
      </c>
      <c r="K8150" s="17"/>
      <c r="L8150" s="17" t="s">
        <v>18111</v>
      </c>
      <c r="M8150" s="17"/>
      <c r="N8150" s="17" t="s">
        <v>18644</v>
      </c>
      <c r="O8150" s="17"/>
      <c r="P8150" s="17" t="s">
        <v>18645</v>
      </c>
      <c r="Q8150" s="17"/>
      <c r="R8150" s="25" t="str">
        <f>HYPERLINK("https://ictv.global/taxonomy/taxondetails?taxnode_id=202305094","Alphavirus madariaga")</f>
        <v>Alphavirus madariaga</v>
      </c>
      <c r="S8150" s="18" t="s">
        <v>8141</v>
      </c>
      <c r="T8150" s="18" t="s">
        <v>18699</v>
      </c>
      <c r="U8150" s="18" t="s">
        <v>18700</v>
      </c>
      <c r="V8150" s="18" t="s">
        <v>18703</v>
      </c>
      <c r="W8150" s="18" t="s">
        <v>49307</v>
      </c>
      <c r="X8150" s="18" t="s">
        <v>42</v>
      </c>
      <c r="Y8150" s="18" t="s">
        <v>17171</v>
      </c>
      <c r="Z8150" s="18" t="s">
        <v>12289</v>
      </c>
      <c r="AA8150" s="21" t="str">
        <f>HYPERLINK("https://www.ncbi.nlm.nih.gov/nuccore/KJ469640","NCBI Nucleotide")</f>
        <v>NCBI Nucleotide</v>
      </c>
    </row>
    <row r="8151" spans="1:27" x14ac:dyDescent="0.35">
      <c r="A8151">
        <v>1012752</v>
      </c>
      <c r="B8151">
        <v>7565</v>
      </c>
      <c r="C8151">
        <v>3</v>
      </c>
      <c r="D8151" s="17" t="s">
        <v>17166</v>
      </c>
      <c r="E8151" s="17"/>
      <c r="F8151" s="17" t="s">
        <v>17246</v>
      </c>
      <c r="G8151" s="17"/>
      <c r="H8151" s="17" t="s">
        <v>17984</v>
      </c>
      <c r="I8151" s="17"/>
      <c r="J8151" s="17" t="s">
        <v>17985</v>
      </c>
      <c r="K8151" s="17"/>
      <c r="L8151" s="17" t="s">
        <v>18111</v>
      </c>
      <c r="M8151" s="17"/>
      <c r="N8151" s="17" t="s">
        <v>18644</v>
      </c>
      <c r="O8151" s="17"/>
      <c r="P8151" s="17" t="s">
        <v>18645</v>
      </c>
      <c r="Q8151" s="17"/>
      <c r="R8151" s="25" t="str">
        <f>HYPERLINK("https://ictv.global/taxonomy/taxondetails?taxnode_id=202305094","Alphavirus madariaga")</f>
        <v>Alphavirus madariaga</v>
      </c>
      <c r="S8151" s="18" t="s">
        <v>8141</v>
      </c>
      <c r="T8151" s="18" t="s">
        <v>18699</v>
      </c>
      <c r="U8151" s="18" t="s">
        <v>18700</v>
      </c>
      <c r="V8151" s="18" t="s">
        <v>18704</v>
      </c>
      <c r="W8151" s="18" t="s">
        <v>49308</v>
      </c>
      <c r="X8151" s="18" t="s">
        <v>42</v>
      </c>
      <c r="Y8151" s="18" t="s">
        <v>17171</v>
      </c>
      <c r="Z8151" s="18" t="s">
        <v>12289</v>
      </c>
      <c r="AA8151" s="21" t="str">
        <f>HYPERLINK("https://www.ncbi.nlm.nih.gov/nuccore/EF151503","NCBI Nucleotide")</f>
        <v>NCBI Nucleotide</v>
      </c>
    </row>
    <row r="8152" spans="1:27" x14ac:dyDescent="0.35">
      <c r="A8152">
        <v>1008707</v>
      </c>
      <c r="B8152">
        <v>7566</v>
      </c>
      <c r="C8152">
        <v>1</v>
      </c>
      <c r="D8152" s="17" t="s">
        <v>17166</v>
      </c>
      <c r="E8152" s="17"/>
      <c r="F8152" s="17" t="s">
        <v>17246</v>
      </c>
      <c r="G8152" s="17"/>
      <c r="H8152" s="17" t="s">
        <v>17984</v>
      </c>
      <c r="I8152" s="17"/>
      <c r="J8152" s="17" t="s">
        <v>17985</v>
      </c>
      <c r="K8152" s="17"/>
      <c r="L8152" s="17" t="s">
        <v>18111</v>
      </c>
      <c r="M8152" s="17"/>
      <c r="N8152" s="17" t="s">
        <v>18644</v>
      </c>
      <c r="O8152" s="17"/>
      <c r="P8152" s="17" t="s">
        <v>18645</v>
      </c>
      <c r="Q8152" s="17"/>
      <c r="R8152" s="25" t="str">
        <f>HYPERLINK("https://ictv.global/taxonomy/taxondetails?taxnode_id=202305095","Alphavirus mayaro")</f>
        <v>Alphavirus mayaro</v>
      </c>
      <c r="S8152" s="18" t="s">
        <v>30</v>
      </c>
      <c r="T8152" s="18" t="s">
        <v>18705</v>
      </c>
      <c r="U8152" s="18" t="s">
        <v>18706</v>
      </c>
      <c r="V8152" s="18"/>
      <c r="W8152" s="18" t="s">
        <v>18707</v>
      </c>
      <c r="X8152" s="18" t="s">
        <v>42</v>
      </c>
      <c r="Y8152" s="18" t="s">
        <v>17171</v>
      </c>
      <c r="Z8152" s="18" t="s">
        <v>12289</v>
      </c>
      <c r="AA8152" s="21" t="str">
        <f>HYPERLINK("https://www.ncbi.nlm.nih.gov/nuccore/AF237947","NCBI Nucleotide")</f>
        <v>NCBI Nucleotide</v>
      </c>
    </row>
    <row r="8153" spans="1:27" x14ac:dyDescent="0.35">
      <c r="A8153">
        <v>1008708</v>
      </c>
      <c r="B8153">
        <v>7567</v>
      </c>
      <c r="C8153">
        <v>1</v>
      </c>
      <c r="D8153" s="17" t="s">
        <v>17166</v>
      </c>
      <c r="E8153" s="17"/>
      <c r="F8153" s="17" t="s">
        <v>17246</v>
      </c>
      <c r="G8153" s="17"/>
      <c r="H8153" s="17" t="s">
        <v>17984</v>
      </c>
      <c r="I8153" s="17"/>
      <c r="J8153" s="17" t="s">
        <v>17985</v>
      </c>
      <c r="K8153" s="17"/>
      <c r="L8153" s="17" t="s">
        <v>18111</v>
      </c>
      <c r="M8153" s="17"/>
      <c r="N8153" s="17" t="s">
        <v>18644</v>
      </c>
      <c r="O8153" s="17"/>
      <c r="P8153" s="17" t="s">
        <v>18645</v>
      </c>
      <c r="Q8153" s="17"/>
      <c r="R8153" s="25" t="str">
        <f>HYPERLINK("https://ictv.global/taxonomy/taxondetails?taxnode_id=202305096","Alphavirus middelburg")</f>
        <v>Alphavirus middelburg</v>
      </c>
      <c r="S8153" s="18" t="s">
        <v>30</v>
      </c>
      <c r="T8153" s="18" t="s">
        <v>18708</v>
      </c>
      <c r="U8153" s="18" t="s">
        <v>18709</v>
      </c>
      <c r="V8153" s="18" t="s">
        <v>18710</v>
      </c>
      <c r="W8153" s="18" t="s">
        <v>18711</v>
      </c>
      <c r="X8153" s="18" t="s">
        <v>42</v>
      </c>
      <c r="Y8153" s="18" t="s">
        <v>17171</v>
      </c>
      <c r="Z8153" s="18" t="s">
        <v>12289</v>
      </c>
      <c r="AA8153" s="21" t="str">
        <f>HYPERLINK("https://www.ncbi.nlm.nih.gov/nuccore/KM115530","NCBI Nucleotide")</f>
        <v>NCBI Nucleotide</v>
      </c>
    </row>
    <row r="8154" spans="1:27" x14ac:dyDescent="0.35">
      <c r="A8154">
        <v>1012753</v>
      </c>
      <c r="B8154">
        <v>7567</v>
      </c>
      <c r="C8154">
        <v>2</v>
      </c>
      <c r="D8154" s="17" t="s">
        <v>17166</v>
      </c>
      <c r="E8154" s="17"/>
      <c r="F8154" s="17" t="s">
        <v>17246</v>
      </c>
      <c r="G8154" s="17"/>
      <c r="H8154" s="17" t="s">
        <v>17984</v>
      </c>
      <c r="I8154" s="17"/>
      <c r="J8154" s="17" t="s">
        <v>17985</v>
      </c>
      <c r="K8154" s="17"/>
      <c r="L8154" s="17" t="s">
        <v>18111</v>
      </c>
      <c r="M8154" s="17"/>
      <c r="N8154" s="17" t="s">
        <v>18644</v>
      </c>
      <c r="O8154" s="17"/>
      <c r="P8154" s="17" t="s">
        <v>18645</v>
      </c>
      <c r="Q8154" s="17"/>
      <c r="R8154" s="25" t="str">
        <f>HYPERLINK("https://ictv.global/taxonomy/taxondetails?taxnode_id=202305096","Alphavirus middelburg")</f>
        <v>Alphavirus middelburg</v>
      </c>
      <c r="S8154" s="18" t="s">
        <v>8141</v>
      </c>
      <c r="T8154" s="18" t="s">
        <v>18708</v>
      </c>
      <c r="U8154" s="18" t="s">
        <v>18709</v>
      </c>
      <c r="V8154" s="18">
        <v>857</v>
      </c>
      <c r="W8154" s="18" t="s">
        <v>49309</v>
      </c>
      <c r="X8154" s="18" t="s">
        <v>35</v>
      </c>
      <c r="Y8154" s="18" t="s">
        <v>17171</v>
      </c>
      <c r="Z8154" s="18" t="s">
        <v>12289</v>
      </c>
      <c r="AA8154" s="21" t="str">
        <f>HYPERLINK("https://www.ncbi.nlm.nih.gov/nuccore/EF536323","NCBI Nucleotide")</f>
        <v>NCBI Nucleotide</v>
      </c>
    </row>
    <row r="8155" spans="1:27" x14ac:dyDescent="0.35">
      <c r="A8155">
        <v>1008709</v>
      </c>
      <c r="B8155">
        <v>7568</v>
      </c>
      <c r="C8155">
        <v>1</v>
      </c>
      <c r="D8155" s="17" t="s">
        <v>17166</v>
      </c>
      <c r="E8155" s="17"/>
      <c r="F8155" s="17" t="s">
        <v>17246</v>
      </c>
      <c r="G8155" s="17"/>
      <c r="H8155" s="17" t="s">
        <v>17984</v>
      </c>
      <c r="I8155" s="17"/>
      <c r="J8155" s="17" t="s">
        <v>17985</v>
      </c>
      <c r="K8155" s="17"/>
      <c r="L8155" s="17" t="s">
        <v>18111</v>
      </c>
      <c r="M8155" s="17"/>
      <c r="N8155" s="17" t="s">
        <v>18644</v>
      </c>
      <c r="O8155" s="17"/>
      <c r="P8155" s="17" t="s">
        <v>18645</v>
      </c>
      <c r="Q8155" s="17"/>
      <c r="R8155" s="25" t="str">
        <f>HYPERLINK("https://ictv.global/taxonomy/taxondetails?taxnode_id=202305097","Alphavirus mossopedras")</f>
        <v>Alphavirus mossopedras</v>
      </c>
      <c r="S8155" s="18" t="s">
        <v>30</v>
      </c>
      <c r="T8155" s="18" t="s">
        <v>18712</v>
      </c>
      <c r="U8155" s="18" t="s">
        <v>18713</v>
      </c>
      <c r="V8155" s="18" t="s">
        <v>18714</v>
      </c>
      <c r="W8155" s="18" t="s">
        <v>18715</v>
      </c>
      <c r="X8155" s="18" t="s">
        <v>42</v>
      </c>
      <c r="Y8155" s="18" t="s">
        <v>17171</v>
      </c>
      <c r="Z8155" s="18" t="s">
        <v>12289</v>
      </c>
      <c r="AA8155" s="21" t="str">
        <f>HYPERLINK("https://www.ncbi.nlm.nih.gov/nuccore/AF075257","NCBI Nucleotide")</f>
        <v>NCBI Nucleotide</v>
      </c>
    </row>
    <row r="8156" spans="1:27" x14ac:dyDescent="0.35">
      <c r="A8156">
        <v>1008710</v>
      </c>
      <c r="B8156">
        <v>7569</v>
      </c>
      <c r="C8156">
        <v>1</v>
      </c>
      <c r="D8156" s="17" t="s">
        <v>17166</v>
      </c>
      <c r="E8156" s="17"/>
      <c r="F8156" s="17" t="s">
        <v>17246</v>
      </c>
      <c r="G8156" s="17"/>
      <c r="H8156" s="17" t="s">
        <v>17984</v>
      </c>
      <c r="I8156" s="17"/>
      <c r="J8156" s="17" t="s">
        <v>17985</v>
      </c>
      <c r="K8156" s="17"/>
      <c r="L8156" s="17" t="s">
        <v>18111</v>
      </c>
      <c r="M8156" s="17"/>
      <c r="N8156" s="17" t="s">
        <v>18644</v>
      </c>
      <c r="O8156" s="17"/>
      <c r="P8156" s="17" t="s">
        <v>18645</v>
      </c>
      <c r="Q8156" s="17"/>
      <c r="R8156" s="25" t="str">
        <f>HYPERLINK("https://ictv.global/taxonomy/taxondetails?taxnode_id=202305098","Alphavirus mucambo")</f>
        <v>Alphavirus mucambo</v>
      </c>
      <c r="S8156" s="18" t="s">
        <v>30</v>
      </c>
      <c r="T8156" s="18" t="s">
        <v>18716</v>
      </c>
      <c r="U8156" s="18" t="s">
        <v>18717</v>
      </c>
      <c r="V8156" s="18" t="s">
        <v>18718</v>
      </c>
      <c r="W8156" s="18" t="s">
        <v>18719</v>
      </c>
      <c r="X8156" s="18" t="s">
        <v>42</v>
      </c>
      <c r="Y8156" s="18" t="s">
        <v>17171</v>
      </c>
      <c r="Z8156" s="18" t="s">
        <v>12289</v>
      </c>
      <c r="AA8156" s="21" t="str">
        <f>HYPERLINK("https://www.ncbi.nlm.nih.gov/nuccore/AF075253","NCBI Nucleotide")</f>
        <v>NCBI Nucleotide</v>
      </c>
    </row>
    <row r="8157" spans="1:27" x14ac:dyDescent="0.35">
      <c r="A8157">
        <v>1008711</v>
      </c>
      <c r="B8157">
        <v>7570</v>
      </c>
      <c r="C8157">
        <v>1</v>
      </c>
      <c r="D8157" s="17" t="s">
        <v>17166</v>
      </c>
      <c r="E8157" s="17"/>
      <c r="F8157" s="17" t="s">
        <v>17246</v>
      </c>
      <c r="G8157" s="17"/>
      <c r="H8157" s="17" t="s">
        <v>17984</v>
      </c>
      <c r="I8157" s="17"/>
      <c r="J8157" s="17" t="s">
        <v>17985</v>
      </c>
      <c r="K8157" s="17"/>
      <c r="L8157" s="17" t="s">
        <v>18111</v>
      </c>
      <c r="M8157" s="17"/>
      <c r="N8157" s="17" t="s">
        <v>18644</v>
      </c>
      <c r="O8157" s="17"/>
      <c r="P8157" s="17" t="s">
        <v>18645</v>
      </c>
      <c r="Q8157" s="17"/>
      <c r="R8157" s="25" t="str">
        <f>HYPERLINK("https://ictv.global/taxonomy/taxondetails?taxnode_id=202305099","Alphavirus ndumu")</f>
        <v>Alphavirus ndumu</v>
      </c>
      <c r="S8157" s="18" t="s">
        <v>30</v>
      </c>
      <c r="T8157" s="18" t="s">
        <v>18720</v>
      </c>
      <c r="U8157" s="18" t="s">
        <v>18721</v>
      </c>
      <c r="V8157" s="18"/>
      <c r="W8157" s="18" t="s">
        <v>18722</v>
      </c>
      <c r="X8157" s="18" t="s">
        <v>42</v>
      </c>
      <c r="Y8157" s="18" t="s">
        <v>17171</v>
      </c>
      <c r="Z8157" s="18" t="s">
        <v>12289</v>
      </c>
      <c r="AA8157" s="21" t="str">
        <f>HYPERLINK("https://www.ncbi.nlm.nih.gov/nuccore/HM147989","NCBI Nucleotide")</f>
        <v>NCBI Nucleotide</v>
      </c>
    </row>
    <row r="8158" spans="1:27" x14ac:dyDescent="0.35">
      <c r="A8158">
        <v>1008714</v>
      </c>
      <c r="B8158">
        <v>7571</v>
      </c>
      <c r="C8158">
        <v>1</v>
      </c>
      <c r="D8158" s="17" t="s">
        <v>17166</v>
      </c>
      <c r="E8158" s="17"/>
      <c r="F8158" s="17" t="s">
        <v>17246</v>
      </c>
      <c r="G8158" s="17"/>
      <c r="H8158" s="17" t="s">
        <v>17984</v>
      </c>
      <c r="I8158" s="17"/>
      <c r="J8158" s="17" t="s">
        <v>17985</v>
      </c>
      <c r="K8158" s="17"/>
      <c r="L8158" s="17" t="s">
        <v>18111</v>
      </c>
      <c r="M8158" s="17"/>
      <c r="N8158" s="17" t="s">
        <v>18644</v>
      </c>
      <c r="O8158" s="17"/>
      <c r="P8158" s="17" t="s">
        <v>18645</v>
      </c>
      <c r="Q8158" s="17"/>
      <c r="R8158" s="25" t="str">
        <f>HYPERLINK("https://ictv.global/taxonomy/taxondetails?taxnode_id=202305102","Alphavirus negro")</f>
        <v>Alphavirus negro</v>
      </c>
      <c r="S8158" s="18" t="s">
        <v>30</v>
      </c>
      <c r="T8158" s="18" t="s">
        <v>18735</v>
      </c>
      <c r="U8158" s="18" t="s">
        <v>18736</v>
      </c>
      <c r="V8158" s="18" t="s">
        <v>18737</v>
      </c>
      <c r="W8158" s="18" t="s">
        <v>18738</v>
      </c>
      <c r="X8158" s="18" t="s">
        <v>42</v>
      </c>
      <c r="Y8158" s="18" t="s">
        <v>17171</v>
      </c>
      <c r="Z8158" s="18" t="s">
        <v>12289</v>
      </c>
      <c r="AA8158" s="21" t="str">
        <f>HYPERLINK("https://www.ncbi.nlm.nih.gov/nuccore/AF075258","NCBI Nucleotide")</f>
        <v>NCBI Nucleotide</v>
      </c>
    </row>
    <row r="8159" spans="1:27" x14ac:dyDescent="0.35">
      <c r="A8159">
        <v>1008712</v>
      </c>
      <c r="B8159">
        <v>7572</v>
      </c>
      <c r="C8159">
        <v>1</v>
      </c>
      <c r="D8159" s="17" t="s">
        <v>17166</v>
      </c>
      <c r="E8159" s="17"/>
      <c r="F8159" s="17" t="s">
        <v>17246</v>
      </c>
      <c r="G8159" s="17"/>
      <c r="H8159" s="17" t="s">
        <v>17984</v>
      </c>
      <c r="I8159" s="17"/>
      <c r="J8159" s="17" t="s">
        <v>17985</v>
      </c>
      <c r="K8159" s="17"/>
      <c r="L8159" s="17" t="s">
        <v>18111</v>
      </c>
      <c r="M8159" s="17"/>
      <c r="N8159" s="17" t="s">
        <v>18644</v>
      </c>
      <c r="O8159" s="17"/>
      <c r="P8159" s="17" t="s">
        <v>18645</v>
      </c>
      <c r="Q8159" s="17"/>
      <c r="R8159" s="25" t="str">
        <f>HYPERLINK("https://ictv.global/taxonomy/taxondetails?taxnode_id=202305100","Alphavirus onyong")</f>
        <v>Alphavirus onyong</v>
      </c>
      <c r="S8159" s="18" t="s">
        <v>30</v>
      </c>
      <c r="T8159" s="18" t="s">
        <v>18723</v>
      </c>
      <c r="U8159" s="18" t="s">
        <v>18724</v>
      </c>
      <c r="V8159" s="18" t="s">
        <v>18725</v>
      </c>
      <c r="W8159" s="18" t="s">
        <v>18726</v>
      </c>
      <c r="X8159" s="18" t="s">
        <v>42</v>
      </c>
      <c r="Y8159" s="18" t="s">
        <v>17171</v>
      </c>
      <c r="Z8159" s="18" t="s">
        <v>12289</v>
      </c>
      <c r="AA8159" s="21" t="str">
        <f>HYPERLINK("https://www.ncbi.nlm.nih.gov/nuccore/AF079456","NCBI Nucleotide")</f>
        <v>NCBI Nucleotide</v>
      </c>
    </row>
    <row r="8160" spans="1:27" x14ac:dyDescent="0.35">
      <c r="A8160">
        <v>1012754</v>
      </c>
      <c r="B8160">
        <v>7572</v>
      </c>
      <c r="C8160">
        <v>2</v>
      </c>
      <c r="D8160" s="17" t="s">
        <v>17166</v>
      </c>
      <c r="E8160" s="17"/>
      <c r="F8160" s="17" t="s">
        <v>17246</v>
      </c>
      <c r="G8160" s="17"/>
      <c r="H8160" s="17" t="s">
        <v>17984</v>
      </c>
      <c r="I8160" s="17"/>
      <c r="J8160" s="17" t="s">
        <v>17985</v>
      </c>
      <c r="K8160" s="17"/>
      <c r="L8160" s="17" t="s">
        <v>18111</v>
      </c>
      <c r="M8160" s="17"/>
      <c r="N8160" s="17" t="s">
        <v>18644</v>
      </c>
      <c r="O8160" s="17"/>
      <c r="P8160" s="17" t="s">
        <v>18645</v>
      </c>
      <c r="Q8160" s="17"/>
      <c r="R8160" s="25" t="str">
        <f>HYPERLINK("https://ictv.global/taxonomy/taxondetails?taxnode_id=202305100","Alphavirus onyong")</f>
        <v>Alphavirus onyong</v>
      </c>
      <c r="S8160" s="18" t="s">
        <v>8141</v>
      </c>
      <c r="T8160" s="18" t="s">
        <v>18723</v>
      </c>
      <c r="U8160" s="18" t="s">
        <v>18724</v>
      </c>
      <c r="V8160" s="18" t="s">
        <v>18727</v>
      </c>
      <c r="W8160" s="18" t="s">
        <v>49310</v>
      </c>
      <c r="X8160" s="18" t="s">
        <v>42</v>
      </c>
      <c r="Y8160" s="18" t="s">
        <v>17171</v>
      </c>
      <c r="Z8160" s="18" t="s">
        <v>12289</v>
      </c>
      <c r="AA8160" s="21" t="str">
        <f>HYPERLINK("https://www.ncbi.nlm.nih.gov/nuccore/M20303","NCBI Nucleotide")</f>
        <v>NCBI Nucleotide</v>
      </c>
    </row>
    <row r="8161" spans="1:27" x14ac:dyDescent="0.35">
      <c r="A8161">
        <v>1012755</v>
      </c>
      <c r="B8161">
        <v>7572</v>
      </c>
      <c r="C8161">
        <v>3</v>
      </c>
      <c r="D8161" s="17" t="s">
        <v>17166</v>
      </c>
      <c r="E8161" s="17"/>
      <c r="F8161" s="17" t="s">
        <v>17246</v>
      </c>
      <c r="G8161" s="17"/>
      <c r="H8161" s="17" t="s">
        <v>17984</v>
      </c>
      <c r="I8161" s="17"/>
      <c r="J8161" s="17" t="s">
        <v>17985</v>
      </c>
      <c r="K8161" s="17"/>
      <c r="L8161" s="17" t="s">
        <v>18111</v>
      </c>
      <c r="M8161" s="17"/>
      <c r="N8161" s="17" t="s">
        <v>18644</v>
      </c>
      <c r="O8161" s="17"/>
      <c r="P8161" s="17" t="s">
        <v>18645</v>
      </c>
      <c r="Q8161" s="17"/>
      <c r="R8161" s="25" t="str">
        <f>HYPERLINK("https://ictv.global/taxonomy/taxondetails?taxnode_id=202305100","Alphavirus onyong")</f>
        <v>Alphavirus onyong</v>
      </c>
      <c r="S8161" s="18" t="s">
        <v>8141</v>
      </c>
      <c r="T8161" s="18" t="s">
        <v>18728</v>
      </c>
      <c r="U8161" s="18" t="s">
        <v>18729</v>
      </c>
      <c r="V8161" s="18" t="s">
        <v>18730</v>
      </c>
      <c r="W8161" s="18" t="s">
        <v>49311</v>
      </c>
      <c r="X8161" s="18" t="s">
        <v>42</v>
      </c>
      <c r="Y8161" s="18" t="s">
        <v>17171</v>
      </c>
      <c r="Z8161" s="18" t="s">
        <v>12289</v>
      </c>
      <c r="AA8161" s="21" t="str">
        <f>HYPERLINK("https://www.ncbi.nlm.nih.gov/nuccore/AF079457","NCBI Nucleotide")</f>
        <v>NCBI Nucleotide</v>
      </c>
    </row>
    <row r="8162" spans="1:27" x14ac:dyDescent="0.35">
      <c r="A8162">
        <v>1008713</v>
      </c>
      <c r="B8162">
        <v>7573</v>
      </c>
      <c r="C8162">
        <v>1</v>
      </c>
      <c r="D8162" s="17" t="s">
        <v>17166</v>
      </c>
      <c r="E8162" s="17"/>
      <c r="F8162" s="17" t="s">
        <v>17246</v>
      </c>
      <c r="G8162" s="17"/>
      <c r="H8162" s="17" t="s">
        <v>17984</v>
      </c>
      <c r="I8162" s="17"/>
      <c r="J8162" s="17" t="s">
        <v>17985</v>
      </c>
      <c r="K8162" s="17"/>
      <c r="L8162" s="17" t="s">
        <v>18111</v>
      </c>
      <c r="M8162" s="17"/>
      <c r="N8162" s="17" t="s">
        <v>18644</v>
      </c>
      <c r="O8162" s="17"/>
      <c r="P8162" s="17" t="s">
        <v>18645</v>
      </c>
      <c r="Q8162" s="17"/>
      <c r="R8162" s="25" t="str">
        <f>HYPERLINK("https://ictv.global/taxonomy/taxondetails?taxnode_id=202305101","Alphavirus pixuna")</f>
        <v>Alphavirus pixuna</v>
      </c>
      <c r="S8162" s="18" t="s">
        <v>30</v>
      </c>
      <c r="T8162" s="18" t="s">
        <v>18731</v>
      </c>
      <c r="U8162" s="18" t="s">
        <v>18732</v>
      </c>
      <c r="V8162" s="18" t="s">
        <v>18733</v>
      </c>
      <c r="W8162" s="18" t="s">
        <v>18734</v>
      </c>
      <c r="X8162" s="18" t="s">
        <v>42</v>
      </c>
      <c r="Y8162" s="18" t="s">
        <v>17171</v>
      </c>
      <c r="Z8162" s="18" t="s">
        <v>12289</v>
      </c>
      <c r="AA8162" s="21" t="str">
        <f>HYPERLINK("https://www.ncbi.nlm.nih.gov/nuccore/AF075256","NCBI Nucleotide")</f>
        <v>NCBI Nucleotide</v>
      </c>
    </row>
    <row r="8163" spans="1:27" x14ac:dyDescent="0.35">
      <c r="A8163">
        <v>1008715</v>
      </c>
      <c r="B8163">
        <v>7574</v>
      </c>
      <c r="C8163">
        <v>1</v>
      </c>
      <c r="D8163" s="17" t="s">
        <v>17166</v>
      </c>
      <c r="E8163" s="17"/>
      <c r="F8163" s="17" t="s">
        <v>17246</v>
      </c>
      <c r="G8163" s="17"/>
      <c r="H8163" s="17" t="s">
        <v>17984</v>
      </c>
      <c r="I8163" s="17"/>
      <c r="J8163" s="17" t="s">
        <v>17985</v>
      </c>
      <c r="K8163" s="17"/>
      <c r="L8163" s="17" t="s">
        <v>18111</v>
      </c>
      <c r="M8163" s="17"/>
      <c r="N8163" s="17" t="s">
        <v>18644</v>
      </c>
      <c r="O8163" s="17"/>
      <c r="P8163" s="17" t="s">
        <v>18645</v>
      </c>
      <c r="Q8163" s="17"/>
      <c r="R8163" s="25" t="str">
        <f>HYPERLINK("https://ictv.global/taxonomy/taxondetails?taxnode_id=202305103","Alphavirus rossriver")</f>
        <v>Alphavirus rossriver</v>
      </c>
      <c r="S8163" s="18" t="s">
        <v>30</v>
      </c>
      <c r="T8163" s="18" t="s">
        <v>18739</v>
      </c>
      <c r="U8163" s="18" t="s">
        <v>18740</v>
      </c>
      <c r="V8163" s="18" t="s">
        <v>18741</v>
      </c>
      <c r="W8163" s="18" t="s">
        <v>18742</v>
      </c>
      <c r="X8163" s="18" t="s">
        <v>42</v>
      </c>
      <c r="Y8163" s="18" t="s">
        <v>17171</v>
      </c>
      <c r="Z8163" s="18" t="s">
        <v>12289</v>
      </c>
      <c r="AA8163" s="21" t="str">
        <f>HYPERLINK("https://www.ncbi.nlm.nih.gov/nuccore/GQ433354","NCBI Nucleotide")</f>
        <v>NCBI Nucleotide</v>
      </c>
    </row>
    <row r="8164" spans="1:27" x14ac:dyDescent="0.35">
      <c r="A8164">
        <v>1012756</v>
      </c>
      <c r="B8164">
        <v>7574</v>
      </c>
      <c r="C8164">
        <v>2</v>
      </c>
      <c r="D8164" s="17" t="s">
        <v>17166</v>
      </c>
      <c r="E8164" s="17"/>
      <c r="F8164" s="17" t="s">
        <v>17246</v>
      </c>
      <c r="G8164" s="17"/>
      <c r="H8164" s="17" t="s">
        <v>17984</v>
      </c>
      <c r="I8164" s="17"/>
      <c r="J8164" s="17" t="s">
        <v>17985</v>
      </c>
      <c r="K8164" s="17"/>
      <c r="L8164" s="17" t="s">
        <v>18111</v>
      </c>
      <c r="M8164" s="17"/>
      <c r="N8164" s="17" t="s">
        <v>18644</v>
      </c>
      <c r="O8164" s="17"/>
      <c r="P8164" s="17" t="s">
        <v>18645</v>
      </c>
      <c r="Q8164" s="17"/>
      <c r="R8164" s="25" t="str">
        <f>HYPERLINK("https://ictv.global/taxonomy/taxondetails?taxnode_id=202305103","Alphavirus rossriver")</f>
        <v>Alphavirus rossriver</v>
      </c>
      <c r="S8164" s="18" t="s">
        <v>8141</v>
      </c>
      <c r="T8164" s="18" t="s">
        <v>18739</v>
      </c>
      <c r="U8164" s="18" t="s">
        <v>18740</v>
      </c>
      <c r="V8164" s="18" t="s">
        <v>18743</v>
      </c>
      <c r="W8164" s="18" t="s">
        <v>49312</v>
      </c>
      <c r="X8164" s="18" t="s">
        <v>42</v>
      </c>
      <c r="Y8164" s="18" t="s">
        <v>17171</v>
      </c>
      <c r="Z8164" s="18" t="s">
        <v>12289</v>
      </c>
      <c r="AA8164" s="21" t="str">
        <f>HYPERLINK("https://www.ncbi.nlm.nih.gov/nuccore/M20162","NCBI Nucleotide")</f>
        <v>NCBI Nucleotide</v>
      </c>
    </row>
    <row r="8165" spans="1:27" x14ac:dyDescent="0.35">
      <c r="A8165">
        <v>1008716</v>
      </c>
      <c r="B8165">
        <v>7575</v>
      </c>
      <c r="C8165">
        <v>1</v>
      </c>
      <c r="D8165" s="17" t="s">
        <v>17166</v>
      </c>
      <c r="E8165" s="17"/>
      <c r="F8165" s="17" t="s">
        <v>17246</v>
      </c>
      <c r="G8165" s="17"/>
      <c r="H8165" s="17" t="s">
        <v>17984</v>
      </c>
      <c r="I8165" s="17"/>
      <c r="J8165" s="17" t="s">
        <v>17985</v>
      </c>
      <c r="K8165" s="17"/>
      <c r="L8165" s="17" t="s">
        <v>18111</v>
      </c>
      <c r="M8165" s="17"/>
      <c r="N8165" s="17" t="s">
        <v>18644</v>
      </c>
      <c r="O8165" s="17"/>
      <c r="P8165" s="17" t="s">
        <v>18645</v>
      </c>
      <c r="Q8165" s="17"/>
      <c r="R8165" s="25" t="str">
        <f>HYPERLINK("https://ictv.global/taxonomy/taxondetails?taxnode_id=202305104","Alphavirus salmon")</f>
        <v>Alphavirus salmon</v>
      </c>
      <c r="S8165" s="18" t="s">
        <v>30</v>
      </c>
      <c r="T8165" s="18" t="s">
        <v>18744</v>
      </c>
      <c r="U8165" s="18" t="s">
        <v>18745</v>
      </c>
      <c r="V8165" s="18"/>
      <c r="W8165" s="18" t="s">
        <v>18746</v>
      </c>
      <c r="X8165" s="18" t="s">
        <v>42</v>
      </c>
      <c r="Y8165" s="18" t="s">
        <v>17171</v>
      </c>
      <c r="Z8165" s="18" t="s">
        <v>166</v>
      </c>
      <c r="AA8165" s="21" t="str">
        <f>HYPERLINK("https://www.ncbi.nlm.nih.gov/nuccore/AJ316246","NCBI Nucleotide")</f>
        <v>NCBI Nucleotide</v>
      </c>
    </row>
    <row r="8166" spans="1:27" x14ac:dyDescent="0.35">
      <c r="A8166">
        <v>1008719</v>
      </c>
      <c r="B8166">
        <v>7576</v>
      </c>
      <c r="C8166">
        <v>1</v>
      </c>
      <c r="D8166" s="17" t="s">
        <v>17166</v>
      </c>
      <c r="E8166" s="17"/>
      <c r="F8166" s="17" t="s">
        <v>17246</v>
      </c>
      <c r="G8166" s="17"/>
      <c r="H8166" s="17" t="s">
        <v>17984</v>
      </c>
      <c r="I8166" s="17"/>
      <c r="J8166" s="17" t="s">
        <v>17985</v>
      </c>
      <c r="K8166" s="17"/>
      <c r="L8166" s="17" t="s">
        <v>18111</v>
      </c>
      <c r="M8166" s="17"/>
      <c r="N8166" s="17" t="s">
        <v>18644</v>
      </c>
      <c r="O8166" s="17"/>
      <c r="P8166" s="17" t="s">
        <v>18645</v>
      </c>
      <c r="Q8166" s="17"/>
      <c r="R8166" s="25" t="str">
        <f>HYPERLINK("https://ictv.global/taxonomy/taxondetails?taxnode_id=202305107","Alphavirus seal")</f>
        <v>Alphavirus seal</v>
      </c>
      <c r="S8166" s="18" t="s">
        <v>30</v>
      </c>
      <c r="T8166" s="18" t="s">
        <v>18762</v>
      </c>
      <c r="U8166" s="18" t="s">
        <v>18763</v>
      </c>
      <c r="V8166" s="18"/>
      <c r="W8166" s="18" t="s">
        <v>18764</v>
      </c>
      <c r="X8166" s="18" t="s">
        <v>42</v>
      </c>
      <c r="Y8166" s="18" t="s">
        <v>17171</v>
      </c>
      <c r="Z8166" s="18" t="s">
        <v>12289</v>
      </c>
      <c r="AA8166" s="21" t="str">
        <f>HYPERLINK("https://www.ncbi.nlm.nih.gov/nuccore/HM147990","NCBI Nucleotide")</f>
        <v>NCBI Nucleotide</v>
      </c>
    </row>
    <row r="8167" spans="1:27" x14ac:dyDescent="0.35">
      <c r="A8167">
        <v>1008717</v>
      </c>
      <c r="B8167">
        <v>7577</v>
      </c>
      <c r="C8167">
        <v>1</v>
      </c>
      <c r="D8167" s="17" t="s">
        <v>17166</v>
      </c>
      <c r="E8167" s="17"/>
      <c r="F8167" s="17" t="s">
        <v>17246</v>
      </c>
      <c r="G8167" s="17"/>
      <c r="H8167" s="17" t="s">
        <v>17984</v>
      </c>
      <c r="I8167" s="17"/>
      <c r="J8167" s="17" t="s">
        <v>17985</v>
      </c>
      <c r="K8167" s="17"/>
      <c r="L8167" s="17" t="s">
        <v>18111</v>
      </c>
      <c r="M8167" s="17"/>
      <c r="N8167" s="17" t="s">
        <v>18644</v>
      </c>
      <c r="O8167" s="17"/>
      <c r="P8167" s="17" t="s">
        <v>18645</v>
      </c>
      <c r="Q8167" s="17"/>
      <c r="R8167" s="25" t="str">
        <f>HYPERLINK("https://ictv.global/taxonomy/taxondetails?taxnode_id=202305105","Alphavirus semliki")</f>
        <v>Alphavirus semliki</v>
      </c>
      <c r="S8167" s="18" t="s">
        <v>30</v>
      </c>
      <c r="T8167" s="18" t="s">
        <v>18747</v>
      </c>
      <c r="U8167" s="18" t="s">
        <v>18748</v>
      </c>
      <c r="V8167" s="18"/>
      <c r="W8167" s="18" t="s">
        <v>18749</v>
      </c>
      <c r="X8167" s="18" t="s">
        <v>42</v>
      </c>
      <c r="Y8167" s="18" t="s">
        <v>17171</v>
      </c>
      <c r="Z8167" s="18" t="s">
        <v>12289</v>
      </c>
      <c r="AA8167" s="21" t="str">
        <f>HYPERLINK("https://www.ncbi.nlm.nih.gov/nuccore/X04129","NCBI Nucleotide")</f>
        <v>NCBI Nucleotide</v>
      </c>
    </row>
    <row r="8168" spans="1:27" x14ac:dyDescent="0.35">
      <c r="A8168">
        <v>1012757</v>
      </c>
      <c r="B8168">
        <v>7577</v>
      </c>
      <c r="C8168">
        <v>2</v>
      </c>
      <c r="D8168" s="17" t="s">
        <v>17166</v>
      </c>
      <c r="E8168" s="17"/>
      <c r="F8168" s="17" t="s">
        <v>17246</v>
      </c>
      <c r="G8168" s="17"/>
      <c r="H8168" s="17" t="s">
        <v>17984</v>
      </c>
      <c r="I8168" s="17"/>
      <c r="J8168" s="17" t="s">
        <v>17985</v>
      </c>
      <c r="K8168" s="17"/>
      <c r="L8168" s="17" t="s">
        <v>18111</v>
      </c>
      <c r="M8168" s="17"/>
      <c r="N8168" s="17" t="s">
        <v>18644</v>
      </c>
      <c r="O8168" s="17"/>
      <c r="P8168" s="17" t="s">
        <v>18645</v>
      </c>
      <c r="Q8168" s="17"/>
      <c r="R8168" s="25" t="str">
        <f>HYPERLINK("https://ictv.global/taxonomy/taxondetails?taxnode_id=202305105","Alphavirus semliki")</f>
        <v>Alphavirus semliki</v>
      </c>
      <c r="S8168" s="18" t="s">
        <v>8141</v>
      </c>
      <c r="T8168" s="18" t="s">
        <v>18747</v>
      </c>
      <c r="U8168" s="18" t="s">
        <v>18748</v>
      </c>
      <c r="V8168" s="18" t="s">
        <v>18750</v>
      </c>
      <c r="W8168" s="18" t="s">
        <v>49313</v>
      </c>
      <c r="X8168" s="18" t="s">
        <v>154</v>
      </c>
      <c r="Y8168" s="18" t="s">
        <v>17171</v>
      </c>
      <c r="Z8168" s="18" t="s">
        <v>12289</v>
      </c>
      <c r="AA8168" s="21" t="str">
        <f>HYPERLINK("https://www.ncbi.nlm.nih.gov/nuccore/JF972635","NCBI Nucleotide")</f>
        <v>NCBI Nucleotide</v>
      </c>
    </row>
    <row r="8169" spans="1:27" x14ac:dyDescent="0.35">
      <c r="A8169">
        <v>1008718</v>
      </c>
      <c r="B8169">
        <v>7578</v>
      </c>
      <c r="C8169">
        <v>1</v>
      </c>
      <c r="D8169" s="17" t="s">
        <v>17166</v>
      </c>
      <c r="E8169" s="17"/>
      <c r="F8169" s="17" t="s">
        <v>17246</v>
      </c>
      <c r="G8169" s="17"/>
      <c r="H8169" s="17" t="s">
        <v>17984</v>
      </c>
      <c r="I8169" s="17"/>
      <c r="J8169" s="17" t="s">
        <v>17985</v>
      </c>
      <c r="K8169" s="17"/>
      <c r="L8169" s="17" t="s">
        <v>18111</v>
      </c>
      <c r="M8169" s="17"/>
      <c r="N8169" s="17" t="s">
        <v>18644</v>
      </c>
      <c r="O8169" s="17"/>
      <c r="P8169" s="17" t="s">
        <v>18645</v>
      </c>
      <c r="Q8169" s="17"/>
      <c r="R8169" s="25" t="str">
        <f>HYPERLINK("https://ictv.global/taxonomy/taxondetails?taxnode_id=202305106","Alphavirus sindbis")</f>
        <v>Alphavirus sindbis</v>
      </c>
      <c r="S8169" s="18" t="s">
        <v>30</v>
      </c>
      <c r="T8169" s="18" t="s">
        <v>18751</v>
      </c>
      <c r="U8169" s="18" t="s">
        <v>18752</v>
      </c>
      <c r="V8169" s="18" t="s">
        <v>18753</v>
      </c>
      <c r="W8169" s="18" t="s">
        <v>18754</v>
      </c>
      <c r="X8169" s="18" t="s">
        <v>42</v>
      </c>
      <c r="Y8169" s="18" t="s">
        <v>17171</v>
      </c>
      <c r="Z8169" s="18" t="s">
        <v>12289</v>
      </c>
      <c r="AA8169" s="21" t="str">
        <f>HYPERLINK("https://www.ncbi.nlm.nih.gov/nuccore/J02363","NCBI Nucleotide")</f>
        <v>NCBI Nucleotide</v>
      </c>
    </row>
    <row r="8170" spans="1:27" x14ac:dyDescent="0.35">
      <c r="A8170">
        <v>1012758</v>
      </c>
      <c r="B8170">
        <v>7578</v>
      </c>
      <c r="C8170">
        <v>2</v>
      </c>
      <c r="D8170" s="17" t="s">
        <v>17166</v>
      </c>
      <c r="E8170" s="17"/>
      <c r="F8170" s="17" t="s">
        <v>17246</v>
      </c>
      <c r="G8170" s="17"/>
      <c r="H8170" s="17" t="s">
        <v>17984</v>
      </c>
      <c r="I8170" s="17"/>
      <c r="J8170" s="17" t="s">
        <v>17985</v>
      </c>
      <c r="K8170" s="17"/>
      <c r="L8170" s="17" t="s">
        <v>18111</v>
      </c>
      <c r="M8170" s="17"/>
      <c r="N8170" s="17" t="s">
        <v>18644</v>
      </c>
      <c r="O8170" s="17"/>
      <c r="P8170" s="17" t="s">
        <v>18645</v>
      </c>
      <c r="Q8170" s="17"/>
      <c r="R8170" s="25" t="str">
        <f>HYPERLINK("https://ictv.global/taxonomy/taxondetails?taxnode_id=202305106","Alphavirus sindbis")</f>
        <v>Alphavirus sindbis</v>
      </c>
      <c r="S8170" s="18" t="s">
        <v>8141</v>
      </c>
      <c r="T8170" s="18" t="s">
        <v>18755</v>
      </c>
      <c r="U8170" s="18" t="s">
        <v>18756</v>
      </c>
      <c r="V8170" s="18" t="s">
        <v>18757</v>
      </c>
      <c r="W8170" s="18" t="s">
        <v>49314</v>
      </c>
      <c r="X8170" s="18" t="s">
        <v>42</v>
      </c>
      <c r="Y8170" s="18" t="s">
        <v>17171</v>
      </c>
      <c r="Z8170" s="18" t="s">
        <v>12289</v>
      </c>
      <c r="AA8170" s="21" t="str">
        <f>HYPERLINK("https://www.ncbi.nlm.nih.gov/nuccore/M69205","NCBI Nucleotide")</f>
        <v>NCBI Nucleotide</v>
      </c>
    </row>
    <row r="8171" spans="1:27" x14ac:dyDescent="0.35">
      <c r="A8171">
        <v>1012759</v>
      </c>
      <c r="B8171">
        <v>7578</v>
      </c>
      <c r="C8171">
        <v>3</v>
      </c>
      <c r="D8171" s="17" t="s">
        <v>17166</v>
      </c>
      <c r="E8171" s="17"/>
      <c r="F8171" s="17" t="s">
        <v>17246</v>
      </c>
      <c r="G8171" s="17"/>
      <c r="H8171" s="17" t="s">
        <v>17984</v>
      </c>
      <c r="I8171" s="17"/>
      <c r="J8171" s="17" t="s">
        <v>17985</v>
      </c>
      <c r="K8171" s="17"/>
      <c r="L8171" s="17" t="s">
        <v>18111</v>
      </c>
      <c r="M8171" s="17"/>
      <c r="N8171" s="17" t="s">
        <v>18644</v>
      </c>
      <c r="O8171" s="17"/>
      <c r="P8171" s="17" t="s">
        <v>18645</v>
      </c>
      <c r="Q8171" s="17"/>
      <c r="R8171" s="25" t="str">
        <f>HYPERLINK("https://ictv.global/taxonomy/taxondetails?taxnode_id=202305106","Alphavirus sindbis")</f>
        <v>Alphavirus sindbis</v>
      </c>
      <c r="S8171" s="18" t="s">
        <v>8141</v>
      </c>
      <c r="T8171" s="18" t="s">
        <v>18758</v>
      </c>
      <c r="U8171" s="18" t="s">
        <v>18759</v>
      </c>
      <c r="V8171" s="18"/>
      <c r="W8171" s="18" t="s">
        <v>49315</v>
      </c>
      <c r="X8171" s="18" t="s">
        <v>42</v>
      </c>
      <c r="Y8171" s="18" t="s">
        <v>17171</v>
      </c>
      <c r="Z8171" s="18" t="s">
        <v>12289</v>
      </c>
      <c r="AA8171" s="21" t="str">
        <f>HYPERLINK("https://www.ncbi.nlm.nih.gov/nuccore/HM147984","NCBI Nucleotide")</f>
        <v>NCBI Nucleotide</v>
      </c>
    </row>
    <row r="8172" spans="1:27" x14ac:dyDescent="0.35">
      <c r="A8172">
        <v>1012760</v>
      </c>
      <c r="B8172">
        <v>7578</v>
      </c>
      <c r="C8172">
        <v>4</v>
      </c>
      <c r="D8172" s="17" t="s">
        <v>17166</v>
      </c>
      <c r="E8172" s="17"/>
      <c r="F8172" s="17" t="s">
        <v>17246</v>
      </c>
      <c r="G8172" s="17"/>
      <c r="H8172" s="17" t="s">
        <v>17984</v>
      </c>
      <c r="I8172" s="17"/>
      <c r="J8172" s="17" t="s">
        <v>17985</v>
      </c>
      <c r="K8172" s="17"/>
      <c r="L8172" s="17" t="s">
        <v>18111</v>
      </c>
      <c r="M8172" s="17"/>
      <c r="N8172" s="17" t="s">
        <v>18644</v>
      </c>
      <c r="O8172" s="17"/>
      <c r="P8172" s="17" t="s">
        <v>18645</v>
      </c>
      <c r="Q8172" s="17"/>
      <c r="R8172" s="25" t="str">
        <f>HYPERLINK("https://ictv.global/taxonomy/taxondetails?taxnode_id=202305106","Alphavirus sindbis")</f>
        <v>Alphavirus sindbis</v>
      </c>
      <c r="S8172" s="18" t="s">
        <v>8141</v>
      </c>
      <c r="T8172" s="18" t="s">
        <v>18751</v>
      </c>
      <c r="U8172" s="18" t="s">
        <v>18752</v>
      </c>
      <c r="V8172" s="18" t="s">
        <v>18760</v>
      </c>
      <c r="W8172" s="18" t="s">
        <v>49316</v>
      </c>
      <c r="X8172" s="18" t="s">
        <v>42</v>
      </c>
      <c r="Y8172" s="18" t="s">
        <v>17171</v>
      </c>
      <c r="Z8172" s="18" t="s">
        <v>12289</v>
      </c>
      <c r="AA8172" s="21" t="str">
        <f>HYPERLINK("https://www.ncbi.nlm.nih.gov/nuccore/AF103728","NCBI Nucleotide")</f>
        <v>NCBI Nucleotide</v>
      </c>
    </row>
    <row r="8173" spans="1:27" x14ac:dyDescent="0.35">
      <c r="A8173">
        <v>1012761</v>
      </c>
      <c r="B8173">
        <v>7578</v>
      </c>
      <c r="C8173">
        <v>5</v>
      </c>
      <c r="D8173" s="17" t="s">
        <v>17166</v>
      </c>
      <c r="E8173" s="17"/>
      <c r="F8173" s="17" t="s">
        <v>17246</v>
      </c>
      <c r="G8173" s="17"/>
      <c r="H8173" s="17" t="s">
        <v>17984</v>
      </c>
      <c r="I8173" s="17"/>
      <c r="J8173" s="17" t="s">
        <v>17985</v>
      </c>
      <c r="K8173" s="17"/>
      <c r="L8173" s="17" t="s">
        <v>18111</v>
      </c>
      <c r="M8173" s="17"/>
      <c r="N8173" s="17" t="s">
        <v>18644</v>
      </c>
      <c r="O8173" s="17"/>
      <c r="P8173" s="17" t="s">
        <v>18645</v>
      </c>
      <c r="Q8173" s="17"/>
      <c r="R8173" s="25" t="str">
        <f>HYPERLINK("https://ictv.global/taxonomy/taxondetails?taxnode_id=202305106","Alphavirus sindbis")</f>
        <v>Alphavirus sindbis</v>
      </c>
      <c r="S8173" s="18" t="s">
        <v>8141</v>
      </c>
      <c r="T8173" s="18" t="s">
        <v>18751</v>
      </c>
      <c r="U8173" s="18" t="s">
        <v>18752</v>
      </c>
      <c r="V8173" s="18" t="s">
        <v>18761</v>
      </c>
      <c r="W8173" s="18" t="s">
        <v>49317</v>
      </c>
      <c r="X8173" s="18" t="s">
        <v>42</v>
      </c>
      <c r="Y8173" s="18" t="s">
        <v>17171</v>
      </c>
      <c r="Z8173" s="18" t="s">
        <v>12289</v>
      </c>
      <c r="AA8173" s="21" t="str">
        <f>HYPERLINK("https://www.ncbi.nlm.nih.gov/nuccore/AF429428","NCBI Nucleotide")</f>
        <v>NCBI Nucleotide</v>
      </c>
    </row>
    <row r="8174" spans="1:27" x14ac:dyDescent="0.35">
      <c r="A8174">
        <v>1008720</v>
      </c>
      <c r="B8174">
        <v>7579</v>
      </c>
      <c r="C8174">
        <v>1</v>
      </c>
      <c r="D8174" s="17" t="s">
        <v>17166</v>
      </c>
      <c r="E8174" s="17"/>
      <c r="F8174" s="17" t="s">
        <v>17246</v>
      </c>
      <c r="G8174" s="17"/>
      <c r="H8174" s="17" t="s">
        <v>17984</v>
      </c>
      <c r="I8174" s="17"/>
      <c r="J8174" s="17" t="s">
        <v>17985</v>
      </c>
      <c r="K8174" s="17"/>
      <c r="L8174" s="17" t="s">
        <v>18111</v>
      </c>
      <c r="M8174" s="17"/>
      <c r="N8174" s="17" t="s">
        <v>18644</v>
      </c>
      <c r="O8174" s="17"/>
      <c r="P8174" s="17" t="s">
        <v>18645</v>
      </c>
      <c r="Q8174" s="17"/>
      <c r="R8174" s="25" t="str">
        <f>HYPERLINK("https://ictv.global/taxonomy/taxondetails?taxnode_id=202305108","Alphavirus tonate")</f>
        <v>Alphavirus tonate</v>
      </c>
      <c r="S8174" s="18" t="s">
        <v>30</v>
      </c>
      <c r="T8174" s="18" t="s">
        <v>18765</v>
      </c>
      <c r="U8174" s="18" t="s">
        <v>18766</v>
      </c>
      <c r="V8174" s="18" t="s">
        <v>18767</v>
      </c>
      <c r="W8174" s="18" t="s">
        <v>18768</v>
      </c>
      <c r="X8174" s="18" t="s">
        <v>42</v>
      </c>
      <c r="Y8174" s="18" t="s">
        <v>17171</v>
      </c>
      <c r="Z8174" s="18" t="s">
        <v>12289</v>
      </c>
      <c r="AA8174" s="21" t="str">
        <f>HYPERLINK("https://www.ncbi.nlm.nih.gov/nuccore/AF075254","NCBI Nucleotide")</f>
        <v>NCBI Nucleotide</v>
      </c>
    </row>
    <row r="8175" spans="1:27" x14ac:dyDescent="0.35">
      <c r="A8175">
        <v>1008721</v>
      </c>
      <c r="B8175">
        <v>7580</v>
      </c>
      <c r="C8175">
        <v>1</v>
      </c>
      <c r="D8175" s="17" t="s">
        <v>17166</v>
      </c>
      <c r="E8175" s="17"/>
      <c r="F8175" s="17" t="s">
        <v>17246</v>
      </c>
      <c r="G8175" s="17"/>
      <c r="H8175" s="17" t="s">
        <v>17984</v>
      </c>
      <c r="I8175" s="17"/>
      <c r="J8175" s="17" t="s">
        <v>17985</v>
      </c>
      <c r="K8175" s="17"/>
      <c r="L8175" s="17" t="s">
        <v>18111</v>
      </c>
      <c r="M8175" s="17"/>
      <c r="N8175" s="17" t="s">
        <v>18644</v>
      </c>
      <c r="O8175" s="17"/>
      <c r="P8175" s="17" t="s">
        <v>18645</v>
      </c>
      <c r="Q8175" s="17"/>
      <c r="R8175" s="25" t="str">
        <f>HYPERLINK("https://ictv.global/taxonomy/taxondetails?taxnode_id=202305109","Alphavirus trocara")</f>
        <v>Alphavirus trocara</v>
      </c>
      <c r="S8175" s="18" t="s">
        <v>30</v>
      </c>
      <c r="T8175" s="18" t="s">
        <v>18769</v>
      </c>
      <c r="U8175" s="18" t="s">
        <v>18770</v>
      </c>
      <c r="V8175" s="18"/>
      <c r="W8175" s="18" t="s">
        <v>18771</v>
      </c>
      <c r="X8175" s="18" t="s">
        <v>154</v>
      </c>
      <c r="Y8175" s="18" t="s">
        <v>17171</v>
      </c>
      <c r="Z8175" s="18" t="s">
        <v>10790</v>
      </c>
      <c r="AA8175" s="21" t="str">
        <f>HYPERLINK("https://www.ncbi.nlm.nih.gov/nuccore/HM147991","NCBI Nucleotide")</f>
        <v>NCBI Nucleotide</v>
      </c>
    </row>
    <row r="8176" spans="1:27" x14ac:dyDescent="0.35">
      <c r="A8176">
        <v>1012762</v>
      </c>
      <c r="B8176">
        <v>7580</v>
      </c>
      <c r="C8176">
        <v>2</v>
      </c>
      <c r="D8176" s="17" t="s">
        <v>17166</v>
      </c>
      <c r="E8176" s="17"/>
      <c r="F8176" s="17" t="s">
        <v>17246</v>
      </c>
      <c r="G8176" s="17"/>
      <c r="H8176" s="17" t="s">
        <v>17984</v>
      </c>
      <c r="I8176" s="17"/>
      <c r="J8176" s="17" t="s">
        <v>17985</v>
      </c>
      <c r="K8176" s="17"/>
      <c r="L8176" s="17" t="s">
        <v>18111</v>
      </c>
      <c r="M8176" s="17"/>
      <c r="N8176" s="17" t="s">
        <v>18644</v>
      </c>
      <c r="O8176" s="17"/>
      <c r="P8176" s="17" t="s">
        <v>18645</v>
      </c>
      <c r="Q8176" s="17"/>
      <c r="R8176" s="25" t="str">
        <f>HYPERLINK("https://ictv.global/taxonomy/taxondetails?taxnode_id=202305109","Alphavirus trocara")</f>
        <v>Alphavirus trocara</v>
      </c>
      <c r="S8176" s="18" t="s">
        <v>8141</v>
      </c>
      <c r="T8176" s="18" t="s">
        <v>18769</v>
      </c>
      <c r="U8176" s="18" t="s">
        <v>18770</v>
      </c>
      <c r="V8176" s="18" t="s">
        <v>18772</v>
      </c>
      <c r="W8176" s="18" t="s">
        <v>49318</v>
      </c>
      <c r="X8176" s="18" t="s">
        <v>154</v>
      </c>
      <c r="Y8176" s="18" t="s">
        <v>17171</v>
      </c>
      <c r="Z8176" s="18" t="s">
        <v>10790</v>
      </c>
      <c r="AA8176" s="21" t="str">
        <f>HYPERLINK("https://www.ncbi.nlm.nih.gov/nuccore/AF252265","NCBI Nucleotide")</f>
        <v>NCBI Nucleotide</v>
      </c>
    </row>
    <row r="8177" spans="1:27" x14ac:dyDescent="0.35">
      <c r="A8177">
        <v>1008722</v>
      </c>
      <c r="B8177">
        <v>7581</v>
      </c>
      <c r="C8177">
        <v>1</v>
      </c>
      <c r="D8177" s="17" t="s">
        <v>17166</v>
      </c>
      <c r="E8177" s="17"/>
      <c r="F8177" s="17" t="s">
        <v>17246</v>
      </c>
      <c r="G8177" s="17"/>
      <c r="H8177" s="17" t="s">
        <v>17984</v>
      </c>
      <c r="I8177" s="17"/>
      <c r="J8177" s="17" t="s">
        <v>17985</v>
      </c>
      <c r="K8177" s="17"/>
      <c r="L8177" s="17" t="s">
        <v>18111</v>
      </c>
      <c r="M8177" s="17"/>
      <c r="N8177" s="17" t="s">
        <v>18644</v>
      </c>
      <c r="O8177" s="17"/>
      <c r="P8177" s="17" t="s">
        <v>18645</v>
      </c>
      <c r="Q8177" s="17"/>
      <c r="R8177" s="25" t="str">
        <f>HYPERLINK("https://ictv.global/taxonomy/taxondetails?taxnode_id=202305110","Alphavirus una")</f>
        <v>Alphavirus una</v>
      </c>
      <c r="S8177" s="18" t="s">
        <v>30</v>
      </c>
      <c r="T8177" s="18" t="s">
        <v>18773</v>
      </c>
      <c r="U8177" s="18" t="s">
        <v>18774</v>
      </c>
      <c r="V8177" s="18"/>
      <c r="W8177" s="18" t="s">
        <v>18775</v>
      </c>
      <c r="X8177" s="18" t="s">
        <v>154</v>
      </c>
      <c r="Y8177" s="18" t="s">
        <v>17171</v>
      </c>
      <c r="Z8177" s="18" t="s">
        <v>12289</v>
      </c>
      <c r="AA8177" s="21" t="str">
        <f>HYPERLINK("https://www.ncbi.nlm.nih.gov/nuccore/HM147992","NCBI Nucleotide")</f>
        <v>NCBI Nucleotide</v>
      </c>
    </row>
    <row r="8178" spans="1:27" x14ac:dyDescent="0.35">
      <c r="A8178">
        <v>1012763</v>
      </c>
      <c r="B8178">
        <v>7581</v>
      </c>
      <c r="C8178">
        <v>2</v>
      </c>
      <c r="D8178" s="17" t="s">
        <v>17166</v>
      </c>
      <c r="E8178" s="17"/>
      <c r="F8178" s="17" t="s">
        <v>17246</v>
      </c>
      <c r="G8178" s="17"/>
      <c r="H8178" s="17" t="s">
        <v>17984</v>
      </c>
      <c r="I8178" s="17"/>
      <c r="J8178" s="17" t="s">
        <v>17985</v>
      </c>
      <c r="K8178" s="17"/>
      <c r="L8178" s="17" t="s">
        <v>18111</v>
      </c>
      <c r="M8178" s="17"/>
      <c r="N8178" s="17" t="s">
        <v>18644</v>
      </c>
      <c r="O8178" s="17"/>
      <c r="P8178" s="17" t="s">
        <v>18645</v>
      </c>
      <c r="Q8178" s="17"/>
      <c r="R8178" s="25" t="str">
        <f>HYPERLINK("https://ictv.global/taxonomy/taxondetails?taxnode_id=202305110","Alphavirus una")</f>
        <v>Alphavirus una</v>
      </c>
      <c r="S8178" s="18" t="s">
        <v>8141</v>
      </c>
      <c r="T8178" s="18" t="s">
        <v>18773</v>
      </c>
      <c r="U8178" s="18" t="s">
        <v>18774</v>
      </c>
      <c r="V8178" s="18" t="s">
        <v>18776</v>
      </c>
      <c r="W8178" s="18" t="s">
        <v>49319</v>
      </c>
      <c r="X8178" s="18" t="s">
        <v>154</v>
      </c>
      <c r="Y8178" s="18" t="s">
        <v>17171</v>
      </c>
      <c r="Z8178" s="18" t="s">
        <v>12289</v>
      </c>
      <c r="AA8178" s="21" t="str">
        <f>HYPERLINK("https://www.ncbi.nlm.nih.gov/nuccore/U94603","NCBI Nucleotide")</f>
        <v>NCBI Nucleotide</v>
      </c>
    </row>
    <row r="8179" spans="1:27" x14ac:dyDescent="0.35">
      <c r="A8179">
        <v>1008723</v>
      </c>
      <c r="B8179">
        <v>7582</v>
      </c>
      <c r="C8179">
        <v>1</v>
      </c>
      <c r="D8179" s="17" t="s">
        <v>17166</v>
      </c>
      <c r="E8179" s="17"/>
      <c r="F8179" s="17" t="s">
        <v>17246</v>
      </c>
      <c r="G8179" s="17"/>
      <c r="H8179" s="17" t="s">
        <v>17984</v>
      </c>
      <c r="I8179" s="17"/>
      <c r="J8179" s="17" t="s">
        <v>17985</v>
      </c>
      <c r="K8179" s="17"/>
      <c r="L8179" s="17" t="s">
        <v>18111</v>
      </c>
      <c r="M8179" s="17"/>
      <c r="N8179" s="17" t="s">
        <v>18644</v>
      </c>
      <c r="O8179" s="17"/>
      <c r="P8179" s="17" t="s">
        <v>18645</v>
      </c>
      <c r="Q8179" s="17"/>
      <c r="R8179" s="25" t="str">
        <f>HYPERLINK("https://ictv.global/taxonomy/taxondetails?taxnode_id=202305111","Alphavirus venezuelan")</f>
        <v>Alphavirus venezuelan</v>
      </c>
      <c r="S8179" s="18" t="s">
        <v>30</v>
      </c>
      <c r="T8179" s="18" t="s">
        <v>18777</v>
      </c>
      <c r="U8179" s="18" t="s">
        <v>18778</v>
      </c>
      <c r="V8179" s="18" t="s">
        <v>18779</v>
      </c>
      <c r="W8179" s="18" t="s">
        <v>18780</v>
      </c>
      <c r="X8179" s="18" t="s">
        <v>42</v>
      </c>
      <c r="Y8179" s="18" t="s">
        <v>17171</v>
      </c>
      <c r="Z8179" s="18" t="s">
        <v>12289</v>
      </c>
      <c r="AA8179" s="21" t="str">
        <f>HYPERLINK("https://www.ncbi.nlm.nih.gov/nuccore/L01442","NCBI Nucleotide")</f>
        <v>NCBI Nucleotide</v>
      </c>
    </row>
    <row r="8180" spans="1:27" x14ac:dyDescent="0.35">
      <c r="A8180">
        <v>1012764</v>
      </c>
      <c r="B8180">
        <v>7582</v>
      </c>
      <c r="C8180">
        <v>2</v>
      </c>
      <c r="D8180" s="17" t="s">
        <v>17166</v>
      </c>
      <c r="E8180" s="17"/>
      <c r="F8180" s="17" t="s">
        <v>17246</v>
      </c>
      <c r="G8180" s="17"/>
      <c r="H8180" s="17" t="s">
        <v>17984</v>
      </c>
      <c r="I8180" s="17"/>
      <c r="J8180" s="17" t="s">
        <v>17985</v>
      </c>
      <c r="K8180" s="17"/>
      <c r="L8180" s="17" t="s">
        <v>18111</v>
      </c>
      <c r="M8180" s="17"/>
      <c r="N8180" s="17" t="s">
        <v>18644</v>
      </c>
      <c r="O8180" s="17"/>
      <c r="P8180" s="17" t="s">
        <v>18645</v>
      </c>
      <c r="Q8180" s="17"/>
      <c r="R8180" s="25" t="str">
        <f>HYPERLINK("https://ictv.global/taxonomy/taxondetails?taxnode_id=202305111","Alphavirus venezuelan")</f>
        <v>Alphavirus venezuelan</v>
      </c>
      <c r="S8180" s="18" t="s">
        <v>8141</v>
      </c>
      <c r="T8180" s="18" t="s">
        <v>18781</v>
      </c>
      <c r="U8180" s="18" t="s">
        <v>18782</v>
      </c>
      <c r="V8180" s="18" t="s">
        <v>18783</v>
      </c>
      <c r="W8180" s="18" t="s">
        <v>49320</v>
      </c>
      <c r="X8180" s="18" t="s">
        <v>42</v>
      </c>
      <c r="Y8180" s="18" t="s">
        <v>17171</v>
      </c>
      <c r="Z8180" s="18" t="s">
        <v>12289</v>
      </c>
      <c r="AA8180" s="21" t="str">
        <f>HYPERLINK("https://www.ncbi.nlm.nih.gov/nuccore/AF375051","NCBI Nucleotide")</f>
        <v>NCBI Nucleotide</v>
      </c>
    </row>
    <row r="8181" spans="1:27" x14ac:dyDescent="0.35">
      <c r="A8181">
        <v>1012765</v>
      </c>
      <c r="B8181">
        <v>7582</v>
      </c>
      <c r="C8181">
        <v>3</v>
      </c>
      <c r="D8181" s="17" t="s">
        <v>17166</v>
      </c>
      <c r="E8181" s="17"/>
      <c r="F8181" s="17" t="s">
        <v>17246</v>
      </c>
      <c r="G8181" s="17"/>
      <c r="H8181" s="17" t="s">
        <v>17984</v>
      </c>
      <c r="I8181" s="17"/>
      <c r="J8181" s="17" t="s">
        <v>17985</v>
      </c>
      <c r="K8181" s="17"/>
      <c r="L8181" s="17" t="s">
        <v>18111</v>
      </c>
      <c r="M8181" s="17"/>
      <c r="N8181" s="17" t="s">
        <v>18644</v>
      </c>
      <c r="O8181" s="17"/>
      <c r="P8181" s="17" t="s">
        <v>18645</v>
      </c>
      <c r="Q8181" s="17"/>
      <c r="R8181" s="25" t="str">
        <f>HYPERLINK("https://ictv.global/taxonomy/taxondetails?taxnode_id=202305111","Alphavirus venezuelan")</f>
        <v>Alphavirus venezuelan</v>
      </c>
      <c r="S8181" s="18" t="s">
        <v>8141</v>
      </c>
      <c r="T8181" s="18" t="s">
        <v>18784</v>
      </c>
      <c r="U8181" s="18" t="s">
        <v>18785</v>
      </c>
      <c r="V8181" s="18">
        <v>3880</v>
      </c>
      <c r="W8181" s="18" t="s">
        <v>49321</v>
      </c>
      <c r="X8181" s="18" t="s">
        <v>42</v>
      </c>
      <c r="Y8181" s="18" t="s">
        <v>17171</v>
      </c>
      <c r="Z8181" s="18" t="s">
        <v>12289</v>
      </c>
      <c r="AA8181" s="21" t="str">
        <f>HYPERLINK("https://www.ncbi.nlm.nih.gov/nuccore/L00930","NCBI Nucleotide")</f>
        <v>NCBI Nucleotide</v>
      </c>
    </row>
    <row r="8182" spans="1:27" x14ac:dyDescent="0.35">
      <c r="A8182">
        <v>1012766</v>
      </c>
      <c r="B8182">
        <v>7582</v>
      </c>
      <c r="C8182">
        <v>4</v>
      </c>
      <c r="D8182" s="17" t="s">
        <v>17166</v>
      </c>
      <c r="E8182" s="17"/>
      <c r="F8182" s="17" t="s">
        <v>17246</v>
      </c>
      <c r="G8182" s="17"/>
      <c r="H8182" s="17" t="s">
        <v>17984</v>
      </c>
      <c r="I8182" s="17"/>
      <c r="J8182" s="17" t="s">
        <v>17985</v>
      </c>
      <c r="K8182" s="17"/>
      <c r="L8182" s="17" t="s">
        <v>18111</v>
      </c>
      <c r="M8182" s="17"/>
      <c r="N8182" s="17" t="s">
        <v>18644</v>
      </c>
      <c r="O8182" s="17"/>
      <c r="P8182" s="17" t="s">
        <v>18645</v>
      </c>
      <c r="Q8182" s="17"/>
      <c r="R8182" s="25" t="str">
        <f>HYPERLINK("https://ictv.global/taxonomy/taxondetails?taxnode_id=202305111","Alphavirus venezuelan")</f>
        <v>Alphavirus venezuelan</v>
      </c>
      <c r="S8182" s="18" t="s">
        <v>8141</v>
      </c>
      <c r="T8182" s="18" t="s">
        <v>18786</v>
      </c>
      <c r="U8182" s="18" t="s">
        <v>18787</v>
      </c>
      <c r="V8182" s="18" t="s">
        <v>18788</v>
      </c>
      <c r="W8182" s="18" t="s">
        <v>49322</v>
      </c>
      <c r="X8182" s="18" t="s">
        <v>42</v>
      </c>
      <c r="Y8182" s="18" t="s">
        <v>17171</v>
      </c>
      <c r="Z8182" s="18" t="s">
        <v>12289</v>
      </c>
      <c r="AA8182" s="21" t="str">
        <f>HYPERLINK("https://www.ncbi.nlm.nih.gov/nuccore/U34999","NCBI Nucleotide")</f>
        <v>NCBI Nucleotide</v>
      </c>
    </row>
    <row r="8183" spans="1:27" x14ac:dyDescent="0.35">
      <c r="A8183">
        <v>1012767</v>
      </c>
      <c r="B8183">
        <v>7582</v>
      </c>
      <c r="C8183">
        <v>5</v>
      </c>
      <c r="D8183" s="17" t="s">
        <v>17166</v>
      </c>
      <c r="E8183" s="17"/>
      <c r="F8183" s="17" t="s">
        <v>17246</v>
      </c>
      <c r="G8183" s="17"/>
      <c r="H8183" s="17" t="s">
        <v>17984</v>
      </c>
      <c r="I8183" s="17"/>
      <c r="J8183" s="17" t="s">
        <v>17985</v>
      </c>
      <c r="K8183" s="17"/>
      <c r="L8183" s="17" t="s">
        <v>18111</v>
      </c>
      <c r="M8183" s="17"/>
      <c r="N8183" s="17" t="s">
        <v>18644</v>
      </c>
      <c r="O8183" s="17"/>
      <c r="P8183" s="17" t="s">
        <v>18645</v>
      </c>
      <c r="Q8183" s="17"/>
      <c r="R8183" s="25" t="str">
        <f>HYPERLINK("https://ictv.global/taxonomy/taxondetails?taxnode_id=202305111","Alphavirus venezuelan")</f>
        <v>Alphavirus venezuelan</v>
      </c>
      <c r="S8183" s="18" t="s">
        <v>8141</v>
      </c>
      <c r="T8183" s="18" t="s">
        <v>18789</v>
      </c>
      <c r="U8183" s="18" t="s">
        <v>18790</v>
      </c>
      <c r="V8183" s="18" t="s">
        <v>18791</v>
      </c>
      <c r="W8183" s="18" t="s">
        <v>49323</v>
      </c>
      <c r="X8183" s="18" t="s">
        <v>42</v>
      </c>
      <c r="Y8183" s="18" t="s">
        <v>17171</v>
      </c>
      <c r="Z8183" s="18" t="s">
        <v>12289</v>
      </c>
      <c r="AA8183" s="21" t="str">
        <f>HYPERLINK("https://www.ncbi.nlm.nih.gov/nuccore/AF075255","NCBI Nucleotide")</f>
        <v>NCBI Nucleotide</v>
      </c>
    </row>
    <row r="8184" spans="1:27" x14ac:dyDescent="0.35">
      <c r="A8184">
        <v>1008724</v>
      </c>
      <c r="B8184">
        <v>7583</v>
      </c>
      <c r="C8184">
        <v>1</v>
      </c>
      <c r="D8184" s="17" t="s">
        <v>17166</v>
      </c>
      <c r="E8184" s="17"/>
      <c r="F8184" s="17" t="s">
        <v>17246</v>
      </c>
      <c r="G8184" s="17"/>
      <c r="H8184" s="17" t="s">
        <v>17984</v>
      </c>
      <c r="I8184" s="17"/>
      <c r="J8184" s="17" t="s">
        <v>17985</v>
      </c>
      <c r="K8184" s="17"/>
      <c r="L8184" s="17" t="s">
        <v>18111</v>
      </c>
      <c r="M8184" s="17"/>
      <c r="N8184" s="17" t="s">
        <v>18644</v>
      </c>
      <c r="O8184" s="17"/>
      <c r="P8184" s="17" t="s">
        <v>18645</v>
      </c>
      <c r="Q8184" s="17"/>
      <c r="R8184" s="25" t="str">
        <f>HYPERLINK("https://ictv.global/taxonomy/taxondetails?taxnode_id=202305112","Alphavirus western")</f>
        <v>Alphavirus western</v>
      </c>
      <c r="S8184" s="18" t="s">
        <v>30</v>
      </c>
      <c r="T8184" s="18" t="s">
        <v>18792</v>
      </c>
      <c r="U8184" s="18" t="s">
        <v>18793</v>
      </c>
      <c r="V8184" s="18" t="s">
        <v>18794</v>
      </c>
      <c r="W8184" s="18" t="s">
        <v>18795</v>
      </c>
      <c r="X8184" s="18" t="s">
        <v>42</v>
      </c>
      <c r="Y8184" s="18" t="s">
        <v>17171</v>
      </c>
      <c r="Z8184" s="18" t="s">
        <v>12289</v>
      </c>
      <c r="AA8184" s="21" t="str">
        <f>HYPERLINK("https://www.ncbi.nlm.nih.gov/nuccore/GQ287646","NCBI Nucleotide")</f>
        <v>NCBI Nucleotide</v>
      </c>
    </row>
    <row r="8185" spans="1:27" x14ac:dyDescent="0.35">
      <c r="A8185">
        <v>1012768</v>
      </c>
      <c r="B8185">
        <v>7583</v>
      </c>
      <c r="C8185">
        <v>2</v>
      </c>
      <c r="D8185" s="17" t="s">
        <v>17166</v>
      </c>
      <c r="E8185" s="17"/>
      <c r="F8185" s="17" t="s">
        <v>17246</v>
      </c>
      <c r="G8185" s="17"/>
      <c r="H8185" s="17" t="s">
        <v>17984</v>
      </c>
      <c r="I8185" s="17"/>
      <c r="J8185" s="17" t="s">
        <v>17985</v>
      </c>
      <c r="K8185" s="17"/>
      <c r="L8185" s="17" t="s">
        <v>18111</v>
      </c>
      <c r="M8185" s="17"/>
      <c r="N8185" s="17" t="s">
        <v>18644</v>
      </c>
      <c r="O8185" s="17"/>
      <c r="P8185" s="17" t="s">
        <v>18645</v>
      </c>
      <c r="Q8185" s="17"/>
      <c r="R8185" s="25" t="str">
        <f>HYPERLINK("https://ictv.global/taxonomy/taxondetails?taxnode_id=202305112","Alphavirus western")</f>
        <v>Alphavirus western</v>
      </c>
      <c r="S8185" s="18" t="s">
        <v>8141</v>
      </c>
      <c r="T8185" s="18" t="s">
        <v>18796</v>
      </c>
      <c r="U8185" s="18" t="s">
        <v>18797</v>
      </c>
      <c r="V8185" s="18" t="s">
        <v>18798</v>
      </c>
      <c r="W8185" s="18" t="s">
        <v>49324</v>
      </c>
      <c r="X8185" s="18" t="s">
        <v>42</v>
      </c>
      <c r="Y8185" s="18" t="s">
        <v>17171</v>
      </c>
      <c r="Z8185" s="18" t="s">
        <v>12289</v>
      </c>
      <c r="AA8185" s="21" t="str">
        <f>HYPERLINK("https://www.ncbi.nlm.nih.gov/nuccore/AF214040","NCBI Nucleotide")</f>
        <v>NCBI Nucleotide</v>
      </c>
    </row>
    <row r="8186" spans="1:27" x14ac:dyDescent="0.35">
      <c r="A8186">
        <v>1008725</v>
      </c>
      <c r="B8186">
        <v>7584</v>
      </c>
      <c r="C8186">
        <v>1</v>
      </c>
      <c r="D8186" s="17" t="s">
        <v>17166</v>
      </c>
      <c r="E8186" s="17"/>
      <c r="F8186" s="17" t="s">
        <v>17246</v>
      </c>
      <c r="G8186" s="17"/>
      <c r="H8186" s="17" t="s">
        <v>17984</v>
      </c>
      <c r="I8186" s="17"/>
      <c r="J8186" s="17" t="s">
        <v>17985</v>
      </c>
      <c r="K8186" s="17"/>
      <c r="L8186" s="17" t="s">
        <v>18111</v>
      </c>
      <c r="M8186" s="17"/>
      <c r="N8186" s="17" t="s">
        <v>18644</v>
      </c>
      <c r="O8186" s="17"/>
      <c r="P8186" s="17" t="s">
        <v>18645</v>
      </c>
      <c r="Q8186" s="17"/>
      <c r="R8186" s="25" t="str">
        <f>HYPERLINK("https://ictv.global/taxonomy/taxondetails?taxnode_id=202305113","Alphavirus whataroa")</f>
        <v>Alphavirus whataroa</v>
      </c>
      <c r="S8186" s="18" t="s">
        <v>30</v>
      </c>
      <c r="T8186" s="18" t="s">
        <v>18799</v>
      </c>
      <c r="U8186" s="18" t="s">
        <v>18800</v>
      </c>
      <c r="V8186" s="18"/>
      <c r="W8186" s="18" t="s">
        <v>18801</v>
      </c>
      <c r="X8186" s="18" t="s">
        <v>42</v>
      </c>
      <c r="Y8186" s="18" t="s">
        <v>17171</v>
      </c>
      <c r="Z8186" s="18" t="s">
        <v>12289</v>
      </c>
      <c r="AA8186" s="21" t="str">
        <f>HYPERLINK("https://www.ncbi.nlm.nih.gov/nuccore/HM147993","NCBI Nucleotide")</f>
        <v>NCBI Nucleotide</v>
      </c>
    </row>
    <row r="8187" spans="1:27" x14ac:dyDescent="0.35">
      <c r="A8187">
        <v>1008728</v>
      </c>
      <c r="B8187">
        <v>7585</v>
      </c>
      <c r="C8187">
        <v>1</v>
      </c>
      <c r="D8187" s="17" t="s">
        <v>17166</v>
      </c>
      <c r="E8187" s="17"/>
      <c r="F8187" s="17" t="s">
        <v>17246</v>
      </c>
      <c r="G8187" s="17"/>
      <c r="H8187" s="17" t="s">
        <v>17984</v>
      </c>
      <c r="I8187" s="17"/>
      <c r="J8187" s="17" t="s">
        <v>17985</v>
      </c>
      <c r="K8187" s="17"/>
      <c r="L8187" s="17" t="s">
        <v>18111</v>
      </c>
      <c r="M8187" s="17"/>
      <c r="N8187" s="17" t="s">
        <v>18802</v>
      </c>
      <c r="O8187" s="17"/>
      <c r="P8187" s="17" t="s">
        <v>18803</v>
      </c>
      <c r="Q8187" s="17"/>
      <c r="R8187" s="25" t="str">
        <f>HYPERLINK("https://ictv.global/taxonomy/taxondetails?taxnode_id=202305399","Furovirus avenae")</f>
        <v>Furovirus avenae</v>
      </c>
      <c r="S8187" s="18" t="s">
        <v>30</v>
      </c>
      <c r="T8187" s="18" t="s">
        <v>18814</v>
      </c>
      <c r="U8187" s="18" t="s">
        <v>18815</v>
      </c>
      <c r="V8187" s="18" t="s">
        <v>18816</v>
      </c>
      <c r="W8187" s="18" t="s">
        <v>18817</v>
      </c>
      <c r="X8187" s="18" t="s">
        <v>42</v>
      </c>
      <c r="Y8187" s="18" t="s">
        <v>17171</v>
      </c>
      <c r="Z8187" s="18" t="s">
        <v>13441</v>
      </c>
      <c r="AA8187" s="21" t="str">
        <f>HYPERLINK("https://www.ncbi.nlm.nih.gov/nuccore/AJ132578,AJ132579","NCBI Nucleotide")</f>
        <v>NCBI Nucleotide</v>
      </c>
    </row>
    <row r="8188" spans="1:27" x14ac:dyDescent="0.35">
      <c r="A8188">
        <v>1008729</v>
      </c>
      <c r="B8188">
        <v>7586</v>
      </c>
      <c r="C8188">
        <v>1</v>
      </c>
      <c r="D8188" s="17" t="s">
        <v>17166</v>
      </c>
      <c r="E8188" s="17"/>
      <c r="F8188" s="17" t="s">
        <v>17246</v>
      </c>
      <c r="G8188" s="17"/>
      <c r="H8188" s="17" t="s">
        <v>17984</v>
      </c>
      <c r="I8188" s="17"/>
      <c r="J8188" s="17" t="s">
        <v>17985</v>
      </c>
      <c r="K8188" s="17"/>
      <c r="L8188" s="17" t="s">
        <v>18111</v>
      </c>
      <c r="M8188" s="17"/>
      <c r="N8188" s="17" t="s">
        <v>18802</v>
      </c>
      <c r="O8188" s="17"/>
      <c r="P8188" s="17" t="s">
        <v>18803</v>
      </c>
      <c r="Q8188" s="17"/>
      <c r="R8188" s="25" t="str">
        <f>HYPERLINK("https://ictv.global/taxonomy/taxondetails?taxnode_id=202305400","Furovirus cerealis")</f>
        <v>Furovirus cerealis</v>
      </c>
      <c r="S8188" s="18" t="s">
        <v>30</v>
      </c>
      <c r="T8188" s="18" t="s">
        <v>18818</v>
      </c>
      <c r="U8188" s="18" t="s">
        <v>18819</v>
      </c>
      <c r="V8188" s="18" t="s">
        <v>18820</v>
      </c>
      <c r="W8188" s="18" t="s">
        <v>18821</v>
      </c>
      <c r="X8188" s="18" t="s">
        <v>42</v>
      </c>
      <c r="Y8188" s="18" t="s">
        <v>17171</v>
      </c>
      <c r="Z8188" s="18" t="s">
        <v>13441</v>
      </c>
      <c r="AA8188" s="21" t="str">
        <f>HYPERLINK("https://www.ncbi.nlm.nih.gov/nuccore/AJ132576,AJ132577","NCBI Nucleotide")</f>
        <v>NCBI Nucleotide</v>
      </c>
    </row>
    <row r="8189" spans="1:27" x14ac:dyDescent="0.35">
      <c r="A8189">
        <v>1008726</v>
      </c>
      <c r="B8189">
        <v>7587</v>
      </c>
      <c r="C8189">
        <v>1</v>
      </c>
      <c r="D8189" s="17" t="s">
        <v>17166</v>
      </c>
      <c r="E8189" s="17"/>
      <c r="F8189" s="17" t="s">
        <v>17246</v>
      </c>
      <c r="G8189" s="17"/>
      <c r="H8189" s="17" t="s">
        <v>17984</v>
      </c>
      <c r="I8189" s="17"/>
      <c r="J8189" s="17" t="s">
        <v>17985</v>
      </c>
      <c r="K8189" s="17"/>
      <c r="L8189" s="17" t="s">
        <v>18111</v>
      </c>
      <c r="M8189" s="17"/>
      <c r="N8189" s="17" t="s">
        <v>18802</v>
      </c>
      <c r="O8189" s="17"/>
      <c r="P8189" s="17" t="s">
        <v>18803</v>
      </c>
      <c r="Q8189" s="17"/>
      <c r="R8189" s="25" t="str">
        <f>HYPERLINK("https://ictv.global/taxonomy/taxondetails?taxnode_id=202305397","Furovirus chinense")</f>
        <v>Furovirus chinense</v>
      </c>
      <c r="S8189" s="18" t="s">
        <v>30</v>
      </c>
      <c r="T8189" s="18" t="s">
        <v>18804</v>
      </c>
      <c r="U8189" s="18" t="s">
        <v>18805</v>
      </c>
      <c r="V8189" s="18" t="s">
        <v>18806</v>
      </c>
      <c r="W8189" s="18" t="s">
        <v>18807</v>
      </c>
      <c r="X8189" s="18" t="s">
        <v>42</v>
      </c>
      <c r="Y8189" s="18" t="s">
        <v>17171</v>
      </c>
      <c r="Z8189" s="18" t="s">
        <v>13441</v>
      </c>
      <c r="AA8189" s="21" t="str">
        <f>HYPERLINK("https://www.ncbi.nlm.nih.gov/nuccore/AJ012005,AJ012006","NCBI Nucleotide")</f>
        <v>NCBI Nucleotide</v>
      </c>
    </row>
    <row r="8190" spans="1:27" x14ac:dyDescent="0.35">
      <c r="A8190">
        <v>1008727</v>
      </c>
      <c r="B8190">
        <v>7588</v>
      </c>
      <c r="C8190">
        <v>1</v>
      </c>
      <c r="D8190" s="17" t="s">
        <v>17166</v>
      </c>
      <c r="E8190" s="17"/>
      <c r="F8190" s="17" t="s">
        <v>17246</v>
      </c>
      <c r="G8190" s="17"/>
      <c r="H8190" s="17" t="s">
        <v>17984</v>
      </c>
      <c r="I8190" s="17"/>
      <c r="J8190" s="17" t="s">
        <v>17985</v>
      </c>
      <c r="K8190" s="17"/>
      <c r="L8190" s="17" t="s">
        <v>18111</v>
      </c>
      <c r="M8190" s="17"/>
      <c r="N8190" s="17" t="s">
        <v>18802</v>
      </c>
      <c r="O8190" s="17"/>
      <c r="P8190" s="17" t="s">
        <v>18803</v>
      </c>
      <c r="Q8190" s="17"/>
      <c r="R8190" s="25" t="str">
        <f>HYPERLINK("https://ictv.global/taxonomy/taxondetails?taxnode_id=202305398","Furovirus japonicum")</f>
        <v>Furovirus japonicum</v>
      </c>
      <c r="S8190" s="18" t="s">
        <v>30</v>
      </c>
      <c r="T8190" s="18" t="s">
        <v>18808</v>
      </c>
      <c r="U8190" s="18" t="s">
        <v>18809</v>
      </c>
      <c r="V8190" s="18" t="s">
        <v>18810</v>
      </c>
      <c r="W8190" s="18" t="s">
        <v>18811</v>
      </c>
      <c r="X8190" s="18" t="s">
        <v>42</v>
      </c>
      <c r="Y8190" s="18" t="s">
        <v>17171</v>
      </c>
      <c r="Z8190" s="18" t="s">
        <v>13441</v>
      </c>
      <c r="AA8190" s="21" t="str">
        <f>HYPERLINK("https://www.ncbi.nlm.nih.gov/nuccore/AB033689,AB033690","NCBI Nucleotide")</f>
        <v>NCBI Nucleotide</v>
      </c>
    </row>
    <row r="8191" spans="1:27" x14ac:dyDescent="0.35">
      <c r="A8191">
        <v>1012769</v>
      </c>
      <c r="B8191">
        <v>7588</v>
      </c>
      <c r="C8191">
        <v>2</v>
      </c>
      <c r="D8191" s="17" t="s">
        <v>17166</v>
      </c>
      <c r="E8191" s="17"/>
      <c r="F8191" s="17" t="s">
        <v>17246</v>
      </c>
      <c r="G8191" s="17"/>
      <c r="H8191" s="17" t="s">
        <v>17984</v>
      </c>
      <c r="I8191" s="17"/>
      <c r="J8191" s="17" t="s">
        <v>17985</v>
      </c>
      <c r="K8191" s="17"/>
      <c r="L8191" s="17" t="s">
        <v>18111</v>
      </c>
      <c r="M8191" s="17"/>
      <c r="N8191" s="17" t="s">
        <v>18802</v>
      </c>
      <c r="O8191" s="17"/>
      <c r="P8191" s="17" t="s">
        <v>18803</v>
      </c>
      <c r="Q8191" s="17"/>
      <c r="R8191" s="25" t="str">
        <f>HYPERLINK("https://ictv.global/taxonomy/taxondetails?taxnode_id=202305398","Furovirus japonicum")</f>
        <v>Furovirus japonicum</v>
      </c>
      <c r="S8191" s="18" t="s">
        <v>8141</v>
      </c>
      <c r="T8191" s="18" t="s">
        <v>18812</v>
      </c>
      <c r="U8191" s="18" t="s">
        <v>18813</v>
      </c>
      <c r="V8191" s="18"/>
      <c r="W8191" s="18" t="s">
        <v>49325</v>
      </c>
      <c r="X8191" s="18" t="s">
        <v>154</v>
      </c>
      <c r="Y8191" s="18" t="s">
        <v>17171</v>
      </c>
      <c r="Z8191" s="18" t="s">
        <v>13441</v>
      </c>
      <c r="AA8191" s="21" t="str">
        <f>HYPERLINK("https://www.ncbi.nlm.nih.gov/nuccore/AJ749658,AJ749657","NCBI Nucleotide")</f>
        <v>NCBI Nucleotide</v>
      </c>
    </row>
    <row r="8192" spans="1:27" x14ac:dyDescent="0.35">
      <c r="A8192">
        <v>1008731</v>
      </c>
      <c r="B8192">
        <v>7589</v>
      </c>
      <c r="C8192">
        <v>1</v>
      </c>
      <c r="D8192" s="17" t="s">
        <v>17166</v>
      </c>
      <c r="E8192" s="17"/>
      <c r="F8192" s="17" t="s">
        <v>17246</v>
      </c>
      <c r="G8192" s="17"/>
      <c r="H8192" s="17" t="s">
        <v>17984</v>
      </c>
      <c r="I8192" s="17"/>
      <c r="J8192" s="17" t="s">
        <v>17985</v>
      </c>
      <c r="K8192" s="17"/>
      <c r="L8192" s="17" t="s">
        <v>18111</v>
      </c>
      <c r="M8192" s="17"/>
      <c r="N8192" s="17" t="s">
        <v>18802</v>
      </c>
      <c r="O8192" s="17"/>
      <c r="P8192" s="17" t="s">
        <v>18803</v>
      </c>
      <c r="Q8192" s="17"/>
      <c r="R8192" s="25" t="str">
        <f>HYPERLINK("https://ictv.global/taxonomy/taxondetails?taxnode_id=202305402","Furovirus sorghi")</f>
        <v>Furovirus sorghi</v>
      </c>
      <c r="S8192" s="18" t="s">
        <v>30</v>
      </c>
      <c r="T8192" s="18" t="s">
        <v>18826</v>
      </c>
      <c r="U8192" s="18" t="s">
        <v>18827</v>
      </c>
      <c r="V8192" s="18" t="s">
        <v>18828</v>
      </c>
      <c r="W8192" s="18" t="s">
        <v>18829</v>
      </c>
      <c r="X8192" s="18" t="s">
        <v>42</v>
      </c>
      <c r="Y8192" s="18" t="s">
        <v>17171</v>
      </c>
      <c r="Z8192" s="18" t="s">
        <v>13441</v>
      </c>
      <c r="AA8192" s="21" t="str">
        <f>HYPERLINK("https://www.ncbi.nlm.nih.gov/nuccore/AB033691,AB033692","NCBI Nucleotide")</f>
        <v>NCBI Nucleotide</v>
      </c>
    </row>
    <row r="8193" spans="1:27" x14ac:dyDescent="0.35">
      <c r="A8193">
        <v>1008730</v>
      </c>
      <c r="B8193">
        <v>7590</v>
      </c>
      <c r="C8193">
        <v>1</v>
      </c>
      <c r="D8193" s="17" t="s">
        <v>17166</v>
      </c>
      <c r="E8193" s="17"/>
      <c r="F8193" s="17" t="s">
        <v>17246</v>
      </c>
      <c r="G8193" s="17"/>
      <c r="H8193" s="17" t="s">
        <v>17984</v>
      </c>
      <c r="I8193" s="17"/>
      <c r="J8193" s="17" t="s">
        <v>17985</v>
      </c>
      <c r="K8193" s="17"/>
      <c r="L8193" s="17" t="s">
        <v>18111</v>
      </c>
      <c r="M8193" s="17"/>
      <c r="N8193" s="17" t="s">
        <v>18802</v>
      </c>
      <c r="O8193" s="17"/>
      <c r="P8193" s="17" t="s">
        <v>18803</v>
      </c>
      <c r="Q8193" s="17"/>
      <c r="R8193" s="25" t="str">
        <f>HYPERLINK("https://ictv.global/taxonomy/taxondetails?taxnode_id=202305401","Furovirus tritici")</f>
        <v>Furovirus tritici</v>
      </c>
      <c r="S8193" s="18" t="s">
        <v>30</v>
      </c>
      <c r="T8193" s="18" t="s">
        <v>18822</v>
      </c>
      <c r="U8193" s="18" t="s">
        <v>18823</v>
      </c>
      <c r="V8193" s="18" t="s">
        <v>18824</v>
      </c>
      <c r="W8193" s="18" t="s">
        <v>18825</v>
      </c>
      <c r="X8193" s="18" t="s">
        <v>42</v>
      </c>
      <c r="Y8193" s="18" t="s">
        <v>17171</v>
      </c>
      <c r="Z8193" s="18" t="s">
        <v>13441</v>
      </c>
      <c r="AA8193" s="21" t="str">
        <f>HYPERLINK("https://www.ncbi.nlm.nih.gov/nuccore/L07937,L07938","NCBI Nucleotide")</f>
        <v>NCBI Nucleotide</v>
      </c>
    </row>
    <row r="8194" spans="1:27" x14ac:dyDescent="0.35">
      <c r="A8194">
        <v>1008732</v>
      </c>
      <c r="B8194">
        <v>7591</v>
      </c>
      <c r="C8194">
        <v>1</v>
      </c>
      <c r="D8194" s="17" t="s">
        <v>17166</v>
      </c>
      <c r="E8194" s="17"/>
      <c r="F8194" s="17" t="s">
        <v>17246</v>
      </c>
      <c r="G8194" s="17"/>
      <c r="H8194" s="17" t="s">
        <v>17984</v>
      </c>
      <c r="I8194" s="17"/>
      <c r="J8194" s="17" t="s">
        <v>17985</v>
      </c>
      <c r="K8194" s="17"/>
      <c r="L8194" s="17" t="s">
        <v>18111</v>
      </c>
      <c r="M8194" s="17"/>
      <c r="N8194" s="17" t="s">
        <v>18802</v>
      </c>
      <c r="O8194" s="17"/>
      <c r="P8194" s="17" t="s">
        <v>18830</v>
      </c>
      <c r="Q8194" s="17"/>
      <c r="R8194" s="25" t="str">
        <f>HYPERLINK("https://ictv.global/taxonomy/taxondetails?taxnode_id=202305404","Goravirus drakeae")</f>
        <v>Goravirus drakeae</v>
      </c>
      <c r="S8194" s="18" t="s">
        <v>30</v>
      </c>
      <c r="T8194" s="18" t="s">
        <v>18831</v>
      </c>
      <c r="U8194" s="18" t="s">
        <v>18832</v>
      </c>
      <c r="V8194" s="18" t="s">
        <v>18833</v>
      </c>
      <c r="W8194" s="18" t="s">
        <v>18834</v>
      </c>
      <c r="X8194" s="18" t="s">
        <v>154</v>
      </c>
      <c r="Y8194" s="18" t="s">
        <v>17171</v>
      </c>
      <c r="Z8194" s="18" t="s">
        <v>13441</v>
      </c>
      <c r="AA8194" s="21" t="str">
        <f>HYPERLINK("https://www.ncbi.nlm.nih.gov/nuccore/KP760461,KP760462","NCBI Nucleotide")</f>
        <v>NCBI Nucleotide</v>
      </c>
    </row>
    <row r="8195" spans="1:27" x14ac:dyDescent="0.35">
      <c r="A8195">
        <v>1008733</v>
      </c>
      <c r="B8195">
        <v>7592</v>
      </c>
      <c r="C8195">
        <v>1</v>
      </c>
      <c r="D8195" s="17" t="s">
        <v>17166</v>
      </c>
      <c r="E8195" s="17"/>
      <c r="F8195" s="17" t="s">
        <v>17246</v>
      </c>
      <c r="G8195" s="17"/>
      <c r="H8195" s="17" t="s">
        <v>17984</v>
      </c>
      <c r="I8195" s="17"/>
      <c r="J8195" s="17" t="s">
        <v>17985</v>
      </c>
      <c r="K8195" s="17"/>
      <c r="L8195" s="17" t="s">
        <v>18111</v>
      </c>
      <c r="M8195" s="17"/>
      <c r="N8195" s="17" t="s">
        <v>18802</v>
      </c>
      <c r="O8195" s="17"/>
      <c r="P8195" s="17" t="s">
        <v>18830</v>
      </c>
      <c r="Q8195" s="17"/>
      <c r="R8195" s="25" t="str">
        <f>HYPERLINK("https://ictv.global/taxonomy/taxondetails?taxnode_id=202305405","Goravirus gentianae")</f>
        <v>Goravirus gentianae</v>
      </c>
      <c r="S8195" s="18" t="s">
        <v>30</v>
      </c>
      <c r="T8195" s="18" t="s">
        <v>18835</v>
      </c>
      <c r="U8195" s="18" t="s">
        <v>18836</v>
      </c>
      <c r="V8195" s="18" t="s">
        <v>18017</v>
      </c>
      <c r="W8195" s="18" t="s">
        <v>18837</v>
      </c>
      <c r="X8195" s="18" t="s">
        <v>42</v>
      </c>
      <c r="Y8195" s="18" t="s">
        <v>17171</v>
      </c>
      <c r="Z8195" s="18" t="s">
        <v>13441</v>
      </c>
      <c r="AA8195" s="21" t="str">
        <f>HYPERLINK("https://www.ncbi.nlm.nih.gov/nuccore/AB976029,AB976030","NCBI Nucleotide")</f>
        <v>NCBI Nucleotide</v>
      </c>
    </row>
    <row r="8196" spans="1:27" x14ac:dyDescent="0.35">
      <c r="A8196">
        <v>1008734</v>
      </c>
      <c r="B8196">
        <v>7593</v>
      </c>
      <c r="C8196">
        <v>1</v>
      </c>
      <c r="D8196" s="17" t="s">
        <v>17166</v>
      </c>
      <c r="E8196" s="17"/>
      <c r="F8196" s="17" t="s">
        <v>17246</v>
      </c>
      <c r="G8196" s="17"/>
      <c r="H8196" s="17" t="s">
        <v>17984</v>
      </c>
      <c r="I8196" s="17"/>
      <c r="J8196" s="17" t="s">
        <v>17985</v>
      </c>
      <c r="K8196" s="17"/>
      <c r="L8196" s="17" t="s">
        <v>18111</v>
      </c>
      <c r="M8196" s="17"/>
      <c r="N8196" s="17" t="s">
        <v>18802</v>
      </c>
      <c r="O8196" s="17"/>
      <c r="P8196" s="17" t="s">
        <v>18838</v>
      </c>
      <c r="Q8196" s="17"/>
      <c r="R8196" s="25" t="str">
        <f>HYPERLINK("https://ictv.global/taxonomy/taxondetails?taxnode_id=202305407","Hordeivirus anthoxanthi")</f>
        <v>Hordeivirus anthoxanthi</v>
      </c>
      <c r="S8196" s="18" t="s">
        <v>30</v>
      </c>
      <c r="T8196" s="18" t="s">
        <v>18839</v>
      </c>
      <c r="U8196" s="18" t="s">
        <v>18840</v>
      </c>
      <c r="V8196" s="18" t="s">
        <v>18841</v>
      </c>
      <c r="W8196" s="18"/>
      <c r="X8196" s="18" t="s">
        <v>3311</v>
      </c>
      <c r="Y8196" s="18" t="s">
        <v>17171</v>
      </c>
      <c r="Z8196" s="18" t="s">
        <v>13441</v>
      </c>
      <c r="AA8196" s="21"/>
    </row>
    <row r="8197" spans="1:27" x14ac:dyDescent="0.35">
      <c r="A8197">
        <v>1008735</v>
      </c>
      <c r="B8197">
        <v>7594</v>
      </c>
      <c r="C8197">
        <v>1</v>
      </c>
      <c r="D8197" s="17" t="s">
        <v>17166</v>
      </c>
      <c r="E8197" s="17"/>
      <c r="F8197" s="17" t="s">
        <v>17246</v>
      </c>
      <c r="G8197" s="17"/>
      <c r="H8197" s="17" t="s">
        <v>17984</v>
      </c>
      <c r="I8197" s="17"/>
      <c r="J8197" s="17" t="s">
        <v>17985</v>
      </c>
      <c r="K8197" s="17"/>
      <c r="L8197" s="17" t="s">
        <v>18111</v>
      </c>
      <c r="M8197" s="17"/>
      <c r="N8197" s="17" t="s">
        <v>18802</v>
      </c>
      <c r="O8197" s="17"/>
      <c r="P8197" s="17" t="s">
        <v>18838</v>
      </c>
      <c r="Q8197" s="17"/>
      <c r="R8197" s="25" t="str">
        <f>HYPERLINK("https://ictv.global/taxonomy/taxondetails?taxnode_id=202305408","Hordeivirus hordei")</f>
        <v>Hordeivirus hordei</v>
      </c>
      <c r="S8197" s="18" t="s">
        <v>30</v>
      </c>
      <c r="T8197" s="18" t="s">
        <v>18842</v>
      </c>
      <c r="U8197" s="18" t="s">
        <v>18843</v>
      </c>
      <c r="V8197" s="18" t="s">
        <v>18844</v>
      </c>
      <c r="W8197" s="18" t="s">
        <v>50541</v>
      </c>
      <c r="X8197" s="18" t="s">
        <v>42</v>
      </c>
      <c r="Y8197" s="18" t="s">
        <v>17171</v>
      </c>
      <c r="Z8197" s="18" t="s">
        <v>13441</v>
      </c>
      <c r="AA8197" s="21" t="str">
        <f>HYPERLINK("https://www.ncbi.nlm.nih.gov/nuccore/J04342,X03854,M16576","NCBI Nucleotide")</f>
        <v>NCBI Nucleotide</v>
      </c>
    </row>
    <row r="8198" spans="1:27" x14ac:dyDescent="0.35">
      <c r="A8198">
        <v>1008736</v>
      </c>
      <c r="B8198">
        <v>7595</v>
      </c>
      <c r="C8198">
        <v>1</v>
      </c>
      <c r="D8198" s="17" t="s">
        <v>17166</v>
      </c>
      <c r="E8198" s="17"/>
      <c r="F8198" s="17" t="s">
        <v>17246</v>
      </c>
      <c r="G8198" s="17"/>
      <c r="H8198" s="17" t="s">
        <v>17984</v>
      </c>
      <c r="I8198" s="17"/>
      <c r="J8198" s="17" t="s">
        <v>17985</v>
      </c>
      <c r="K8198" s="17"/>
      <c r="L8198" s="17" t="s">
        <v>18111</v>
      </c>
      <c r="M8198" s="17"/>
      <c r="N8198" s="17" t="s">
        <v>18802</v>
      </c>
      <c r="O8198" s="17"/>
      <c r="P8198" s="17" t="s">
        <v>18838</v>
      </c>
      <c r="Q8198" s="17"/>
      <c r="R8198" s="25" t="str">
        <f>HYPERLINK("https://ictv.global/taxonomy/taxondetails?taxnode_id=202305409","Hordeivirus lychnis")</f>
        <v>Hordeivirus lychnis</v>
      </c>
      <c r="S8198" s="18" t="s">
        <v>30</v>
      </c>
      <c r="T8198" s="18" t="s">
        <v>18845</v>
      </c>
      <c r="U8198" s="18" t="s">
        <v>18846</v>
      </c>
      <c r="V8198" s="18" t="s">
        <v>18847</v>
      </c>
      <c r="W8198" s="18" t="s">
        <v>18848</v>
      </c>
      <c r="X8198" s="18" t="s">
        <v>154</v>
      </c>
      <c r="Y8198" s="18" t="s">
        <v>17171</v>
      </c>
      <c r="Z8198" s="18" t="s">
        <v>13441</v>
      </c>
      <c r="AA8198" s="21" t="str">
        <f>HYPERLINK("https://www.ncbi.nlm.nih.gov/nuccore/Z46351,Z46353","NCBI Nucleotide")</f>
        <v>NCBI Nucleotide</v>
      </c>
    </row>
    <row r="8199" spans="1:27" x14ac:dyDescent="0.35">
      <c r="A8199">
        <v>1008737</v>
      </c>
      <c r="B8199">
        <v>7596</v>
      </c>
      <c r="C8199">
        <v>1</v>
      </c>
      <c r="D8199" s="17" t="s">
        <v>17166</v>
      </c>
      <c r="E8199" s="17"/>
      <c r="F8199" s="17" t="s">
        <v>17246</v>
      </c>
      <c r="G8199" s="17"/>
      <c r="H8199" s="17" t="s">
        <v>17984</v>
      </c>
      <c r="I8199" s="17"/>
      <c r="J8199" s="17" t="s">
        <v>17985</v>
      </c>
      <c r="K8199" s="17"/>
      <c r="L8199" s="17" t="s">
        <v>18111</v>
      </c>
      <c r="M8199" s="17"/>
      <c r="N8199" s="17" t="s">
        <v>18802</v>
      </c>
      <c r="O8199" s="17"/>
      <c r="P8199" s="17" t="s">
        <v>18838</v>
      </c>
      <c r="Q8199" s="17"/>
      <c r="R8199" s="25" t="str">
        <f>HYPERLINK("https://ictv.global/taxonomy/taxondetails?taxnode_id=202305410","Hordeivirus poae")</f>
        <v>Hordeivirus poae</v>
      </c>
      <c r="S8199" s="18" t="s">
        <v>30</v>
      </c>
      <c r="T8199" s="18" t="s">
        <v>18849</v>
      </c>
      <c r="U8199" s="18" t="s">
        <v>18850</v>
      </c>
      <c r="V8199" s="18" t="s">
        <v>18851</v>
      </c>
      <c r="W8199" s="18" t="s">
        <v>18852</v>
      </c>
      <c r="X8199" s="18" t="s">
        <v>154</v>
      </c>
      <c r="Y8199" s="18" t="s">
        <v>17171</v>
      </c>
      <c r="Z8199" s="18" t="s">
        <v>13441</v>
      </c>
      <c r="AA8199" s="21" t="str">
        <f>HYPERLINK("https://www.ncbi.nlm.nih.gov/nuccore/M81486,M81487","NCBI Nucleotide")</f>
        <v>NCBI Nucleotide</v>
      </c>
    </row>
    <row r="8200" spans="1:27" x14ac:dyDescent="0.35">
      <c r="A8200">
        <v>1008739</v>
      </c>
      <c r="B8200">
        <v>7597</v>
      </c>
      <c r="C8200">
        <v>1</v>
      </c>
      <c r="D8200" s="17" t="s">
        <v>17166</v>
      </c>
      <c r="E8200" s="17"/>
      <c r="F8200" s="17" t="s">
        <v>17246</v>
      </c>
      <c r="G8200" s="17"/>
      <c r="H8200" s="17" t="s">
        <v>17984</v>
      </c>
      <c r="I8200" s="17"/>
      <c r="J8200" s="17" t="s">
        <v>17985</v>
      </c>
      <c r="K8200" s="17"/>
      <c r="L8200" s="17" t="s">
        <v>18111</v>
      </c>
      <c r="M8200" s="17"/>
      <c r="N8200" s="17" t="s">
        <v>18802</v>
      </c>
      <c r="O8200" s="17"/>
      <c r="P8200" s="17" t="s">
        <v>18853</v>
      </c>
      <c r="Q8200" s="17"/>
      <c r="R8200" s="25" t="str">
        <f>HYPERLINK("https://ictv.global/taxonomy/taxondetails?taxnode_id=202305413","Pecluvirus arachidis")</f>
        <v>Pecluvirus arachidis</v>
      </c>
      <c r="S8200" s="18" t="s">
        <v>30</v>
      </c>
      <c r="T8200" s="18" t="s">
        <v>18857</v>
      </c>
      <c r="U8200" s="18" t="s">
        <v>18858</v>
      </c>
      <c r="V8200" s="18" t="s">
        <v>18859</v>
      </c>
      <c r="W8200" s="18" t="s">
        <v>50542</v>
      </c>
      <c r="X8200" s="18" t="s">
        <v>42</v>
      </c>
      <c r="Y8200" s="18" t="s">
        <v>17171</v>
      </c>
      <c r="Z8200" s="18" t="s">
        <v>13441</v>
      </c>
      <c r="AA8200" s="21" t="str">
        <f>HYPERLINK("https://www.ncbi.nlm.nih.gov/nuccore/X78602,L07269","NCBI Nucleotide")</f>
        <v>NCBI Nucleotide</v>
      </c>
    </row>
    <row r="8201" spans="1:27" x14ac:dyDescent="0.35">
      <c r="A8201">
        <v>1008738</v>
      </c>
      <c r="B8201">
        <v>7598</v>
      </c>
      <c r="C8201">
        <v>1</v>
      </c>
      <c r="D8201" s="17" t="s">
        <v>17166</v>
      </c>
      <c r="E8201" s="17"/>
      <c r="F8201" s="17" t="s">
        <v>17246</v>
      </c>
      <c r="G8201" s="17"/>
      <c r="H8201" s="17" t="s">
        <v>17984</v>
      </c>
      <c r="I8201" s="17"/>
      <c r="J8201" s="17" t="s">
        <v>17985</v>
      </c>
      <c r="K8201" s="17"/>
      <c r="L8201" s="17" t="s">
        <v>18111</v>
      </c>
      <c r="M8201" s="17"/>
      <c r="N8201" s="17" t="s">
        <v>18802</v>
      </c>
      <c r="O8201" s="17"/>
      <c r="P8201" s="17" t="s">
        <v>18853</v>
      </c>
      <c r="Q8201" s="17"/>
      <c r="R8201" s="25" t="str">
        <f>HYPERLINK("https://ictv.global/taxonomy/taxondetails?taxnode_id=202305412","Pecluvirus indicum")</f>
        <v>Pecluvirus indicum</v>
      </c>
      <c r="S8201" s="18" t="s">
        <v>30</v>
      </c>
      <c r="T8201" s="18" t="s">
        <v>18854</v>
      </c>
      <c r="U8201" s="18" t="s">
        <v>18855</v>
      </c>
      <c r="V8201" s="18" t="s">
        <v>18856</v>
      </c>
      <c r="W8201" s="18" t="s">
        <v>50543</v>
      </c>
      <c r="X8201" s="18" t="s">
        <v>42</v>
      </c>
      <c r="Y8201" s="18" t="s">
        <v>17171</v>
      </c>
      <c r="Z8201" s="18" t="s">
        <v>13441</v>
      </c>
      <c r="AA8201" s="21" t="str">
        <f>HYPERLINK("https://www.ncbi.nlm.nih.gov/nuccore/X99149,AF447397","NCBI Nucleotide")</f>
        <v>NCBI Nucleotide</v>
      </c>
    </row>
    <row r="8202" spans="1:27" x14ac:dyDescent="0.35">
      <c r="A8202">
        <v>1008741</v>
      </c>
      <c r="B8202">
        <v>7599</v>
      </c>
      <c r="C8202">
        <v>1</v>
      </c>
      <c r="D8202" s="17" t="s">
        <v>17166</v>
      </c>
      <c r="E8202" s="17"/>
      <c r="F8202" s="17" t="s">
        <v>17246</v>
      </c>
      <c r="G8202" s="17"/>
      <c r="H8202" s="17" t="s">
        <v>17984</v>
      </c>
      <c r="I8202" s="17"/>
      <c r="J8202" s="17" t="s">
        <v>17985</v>
      </c>
      <c r="K8202" s="17"/>
      <c r="L8202" s="17" t="s">
        <v>18111</v>
      </c>
      <c r="M8202" s="17"/>
      <c r="N8202" s="17" t="s">
        <v>18802</v>
      </c>
      <c r="O8202" s="17"/>
      <c r="P8202" s="17" t="s">
        <v>18860</v>
      </c>
      <c r="Q8202" s="17"/>
      <c r="R8202" s="25" t="str">
        <f>HYPERLINK("https://ictv.global/taxonomy/taxondetails?taxnode_id=202305416","Pomovirus betae")</f>
        <v>Pomovirus betae</v>
      </c>
      <c r="S8202" s="18" t="s">
        <v>30</v>
      </c>
      <c r="T8202" s="18" t="s">
        <v>18864</v>
      </c>
      <c r="U8202" s="18" t="s">
        <v>18865</v>
      </c>
      <c r="V8202" s="18" t="s">
        <v>18866</v>
      </c>
      <c r="W8202" s="18" t="s">
        <v>18867</v>
      </c>
      <c r="X8202" s="18" t="s">
        <v>42</v>
      </c>
      <c r="Y8202" s="18" t="s">
        <v>17171</v>
      </c>
      <c r="Z8202" s="18" t="s">
        <v>13441</v>
      </c>
      <c r="AA8202" s="21" t="str">
        <f>HYPERLINK("https://www.ncbi.nlm.nih.gov/nuccore/AJ223596,AJ223597,AJ223598","NCBI Nucleotide")</f>
        <v>NCBI Nucleotide</v>
      </c>
    </row>
    <row r="8203" spans="1:27" x14ac:dyDescent="0.35">
      <c r="A8203">
        <v>1008743</v>
      </c>
      <c r="B8203">
        <v>7600</v>
      </c>
      <c r="C8203">
        <v>1</v>
      </c>
      <c r="D8203" s="17" t="s">
        <v>17166</v>
      </c>
      <c r="E8203" s="17"/>
      <c r="F8203" s="17" t="s">
        <v>17246</v>
      </c>
      <c r="G8203" s="17"/>
      <c r="H8203" s="17" t="s">
        <v>17984</v>
      </c>
      <c r="I8203" s="17"/>
      <c r="J8203" s="17" t="s">
        <v>17985</v>
      </c>
      <c r="K8203" s="17"/>
      <c r="L8203" s="17" t="s">
        <v>18111</v>
      </c>
      <c r="M8203" s="17"/>
      <c r="N8203" s="17" t="s">
        <v>18802</v>
      </c>
      <c r="O8203" s="17"/>
      <c r="P8203" s="17" t="s">
        <v>18860</v>
      </c>
      <c r="Q8203" s="17"/>
      <c r="R8203" s="25" t="str">
        <f>HYPERLINK("https://ictv.global/taxonomy/taxondetails?taxnode_id=202305418","Pomovirus colombiense")</f>
        <v>Pomovirus colombiense</v>
      </c>
      <c r="S8203" s="18" t="s">
        <v>30</v>
      </c>
      <c r="T8203" s="18" t="s">
        <v>18871</v>
      </c>
      <c r="U8203" s="18" t="s">
        <v>18872</v>
      </c>
      <c r="V8203" s="18" t="s">
        <v>18873</v>
      </c>
      <c r="W8203" s="18" t="s">
        <v>18874</v>
      </c>
      <c r="X8203" s="18" t="s">
        <v>42</v>
      </c>
      <c r="Y8203" s="18" t="s">
        <v>17171</v>
      </c>
      <c r="Z8203" s="18" t="s">
        <v>13441</v>
      </c>
      <c r="AA8203" s="21" t="str">
        <f>HYPERLINK("https://www.ncbi.nlm.nih.gov/nuccore/KT225271,KT225272,KT225273","NCBI Nucleotide")</f>
        <v>NCBI Nucleotide</v>
      </c>
    </row>
    <row r="8204" spans="1:27" x14ac:dyDescent="0.35">
      <c r="A8204">
        <v>1008744</v>
      </c>
      <c r="B8204">
        <v>7601</v>
      </c>
      <c r="C8204">
        <v>1</v>
      </c>
      <c r="D8204" s="17" t="s">
        <v>17166</v>
      </c>
      <c r="E8204" s="17"/>
      <c r="F8204" s="17" t="s">
        <v>17246</v>
      </c>
      <c r="G8204" s="17"/>
      <c r="H8204" s="17" t="s">
        <v>17984</v>
      </c>
      <c r="I8204" s="17"/>
      <c r="J8204" s="17" t="s">
        <v>17985</v>
      </c>
      <c r="K8204" s="17"/>
      <c r="L8204" s="17" t="s">
        <v>18111</v>
      </c>
      <c r="M8204" s="17"/>
      <c r="N8204" s="17" t="s">
        <v>18802</v>
      </c>
      <c r="O8204" s="17"/>
      <c r="P8204" s="17" t="s">
        <v>18860</v>
      </c>
      <c r="Q8204" s="17"/>
      <c r="R8204" s="25" t="str">
        <f>HYPERLINK("https://ictv.global/taxonomy/taxondetails?taxnode_id=202305419","Pomovirus solani")</f>
        <v>Pomovirus solani</v>
      </c>
      <c r="S8204" s="18" t="s">
        <v>30</v>
      </c>
      <c r="T8204" s="18" t="s">
        <v>18875</v>
      </c>
      <c r="U8204" s="18" t="s">
        <v>18876</v>
      </c>
      <c r="V8204" s="18" t="s">
        <v>18877</v>
      </c>
      <c r="W8204" s="18" t="s">
        <v>18878</v>
      </c>
      <c r="X8204" s="18" t="s">
        <v>42</v>
      </c>
      <c r="Y8204" s="18" t="s">
        <v>17171</v>
      </c>
      <c r="Z8204" s="18" t="s">
        <v>13441</v>
      </c>
      <c r="AA8204" s="21" t="str">
        <f>HYPERLINK("https://www.ncbi.nlm.nih.gov/nuccore/AJ238607,AJ243719,AJ277556","NCBI Nucleotide")</f>
        <v>NCBI Nucleotide</v>
      </c>
    </row>
    <row r="8205" spans="1:27" x14ac:dyDescent="0.35">
      <c r="A8205">
        <v>1008740</v>
      </c>
      <c r="B8205">
        <v>7602</v>
      </c>
      <c r="C8205">
        <v>1</v>
      </c>
      <c r="D8205" s="17" t="s">
        <v>17166</v>
      </c>
      <c r="E8205" s="17"/>
      <c r="F8205" s="17" t="s">
        <v>17246</v>
      </c>
      <c r="G8205" s="17"/>
      <c r="H8205" s="17" t="s">
        <v>17984</v>
      </c>
      <c r="I8205" s="17"/>
      <c r="J8205" s="17" t="s">
        <v>17985</v>
      </c>
      <c r="K8205" s="17"/>
      <c r="L8205" s="17" t="s">
        <v>18111</v>
      </c>
      <c r="M8205" s="17"/>
      <c r="N8205" s="17" t="s">
        <v>18802</v>
      </c>
      <c r="O8205" s="17"/>
      <c r="P8205" s="17" t="s">
        <v>18860</v>
      </c>
      <c r="Q8205" s="17"/>
      <c r="R8205" s="25" t="str">
        <f>HYPERLINK("https://ictv.global/taxonomy/taxondetails?taxnode_id=202305415","Pomovirus solibetae")</f>
        <v>Pomovirus solibetae</v>
      </c>
      <c r="S8205" s="18" t="s">
        <v>30</v>
      </c>
      <c r="T8205" s="18" t="s">
        <v>18861</v>
      </c>
      <c r="U8205" s="18" t="s">
        <v>18862</v>
      </c>
      <c r="V8205" s="18" t="s">
        <v>18863</v>
      </c>
      <c r="W8205" s="18" t="s">
        <v>50544</v>
      </c>
      <c r="X8205" s="18" t="s">
        <v>42</v>
      </c>
      <c r="Y8205" s="18" t="s">
        <v>17171</v>
      </c>
      <c r="Z8205" s="18" t="s">
        <v>13441</v>
      </c>
      <c r="AA8205" s="21" t="str">
        <f>HYPERLINK("https://www.ncbi.nlm.nih.gov/nuccore/Z97873,U64512,Z66493","NCBI Nucleotide")</f>
        <v>NCBI Nucleotide</v>
      </c>
    </row>
    <row r="8206" spans="1:27" x14ac:dyDescent="0.35">
      <c r="A8206">
        <v>1008742</v>
      </c>
      <c r="B8206">
        <v>7603</v>
      </c>
      <c r="C8206">
        <v>1</v>
      </c>
      <c r="D8206" s="17" t="s">
        <v>17166</v>
      </c>
      <c r="E8206" s="17"/>
      <c r="F8206" s="17" t="s">
        <v>17246</v>
      </c>
      <c r="G8206" s="17"/>
      <c r="H8206" s="17" t="s">
        <v>17984</v>
      </c>
      <c r="I8206" s="17"/>
      <c r="J8206" s="17" t="s">
        <v>17985</v>
      </c>
      <c r="K8206" s="17"/>
      <c r="L8206" s="17" t="s">
        <v>18111</v>
      </c>
      <c r="M8206" s="17"/>
      <c r="N8206" s="17" t="s">
        <v>18802</v>
      </c>
      <c r="O8206" s="17"/>
      <c r="P8206" s="17" t="s">
        <v>18860</v>
      </c>
      <c r="Q8206" s="17"/>
      <c r="R8206" s="25" t="str">
        <f>HYPERLINK("https://ictv.global/taxonomy/taxondetails?taxnode_id=202305417","Pomovirus viciae")</f>
        <v>Pomovirus viciae</v>
      </c>
      <c r="S8206" s="18" t="s">
        <v>30</v>
      </c>
      <c r="T8206" s="18" t="s">
        <v>18868</v>
      </c>
      <c r="U8206" s="18" t="s">
        <v>18869</v>
      </c>
      <c r="V8206" s="18" t="s">
        <v>17587</v>
      </c>
      <c r="W8206" s="18" t="s">
        <v>18870</v>
      </c>
      <c r="X8206" s="18" t="s">
        <v>42</v>
      </c>
      <c r="Y8206" s="18" t="s">
        <v>17171</v>
      </c>
      <c r="Z8206" s="18" t="s">
        <v>13441</v>
      </c>
      <c r="AA8206" s="21" t="str">
        <f>HYPERLINK("https://www.ncbi.nlm.nih.gov/nuccore/D86636,D86637,D86638","NCBI Nucleotide")</f>
        <v>NCBI Nucleotide</v>
      </c>
    </row>
    <row r="8207" spans="1:27" x14ac:dyDescent="0.35">
      <c r="A8207">
        <v>1008779</v>
      </c>
      <c r="B8207">
        <v>7604</v>
      </c>
      <c r="C8207">
        <v>1</v>
      </c>
      <c r="D8207" s="17" t="s">
        <v>17166</v>
      </c>
      <c r="E8207" s="17"/>
      <c r="F8207" s="17" t="s">
        <v>17246</v>
      </c>
      <c r="G8207" s="17"/>
      <c r="H8207" s="17" t="s">
        <v>17984</v>
      </c>
      <c r="I8207" s="17"/>
      <c r="J8207" s="17" t="s">
        <v>17985</v>
      </c>
      <c r="K8207" s="17"/>
      <c r="L8207" s="17" t="s">
        <v>18111</v>
      </c>
      <c r="M8207" s="17"/>
      <c r="N8207" s="17" t="s">
        <v>18802</v>
      </c>
      <c r="O8207" s="17"/>
      <c r="P8207" s="17" t="s">
        <v>18879</v>
      </c>
      <c r="Q8207" s="17"/>
      <c r="R8207" s="25" t="str">
        <f>HYPERLINK("https://ictv.global/taxonomy/taxondetails?taxnode_id=202305455","Tobamovirus anthocercis")</f>
        <v>Tobamovirus anthocercis</v>
      </c>
      <c r="S8207" s="18" t="s">
        <v>30</v>
      </c>
      <c r="T8207" s="18" t="s">
        <v>19001</v>
      </c>
      <c r="U8207" s="18" t="s">
        <v>19002</v>
      </c>
      <c r="V8207" s="18" t="s">
        <v>19003</v>
      </c>
      <c r="W8207" s="18" t="s">
        <v>19004</v>
      </c>
      <c r="X8207" s="18" t="s">
        <v>42</v>
      </c>
      <c r="Y8207" s="18" t="s">
        <v>17171</v>
      </c>
      <c r="Z8207" s="18" t="s">
        <v>13441</v>
      </c>
      <c r="AA8207" s="21" t="str">
        <f>HYPERLINK("https://www.ncbi.nlm.nih.gov/nuccore/KF495564","NCBI Nucleotide")</f>
        <v>NCBI Nucleotide</v>
      </c>
    </row>
    <row r="8208" spans="1:27" x14ac:dyDescent="0.35">
      <c r="A8208">
        <v>1008746</v>
      </c>
      <c r="B8208">
        <v>7605</v>
      </c>
      <c r="C8208">
        <v>1</v>
      </c>
      <c r="D8208" s="17" t="s">
        <v>17166</v>
      </c>
      <c r="E8208" s="17"/>
      <c r="F8208" s="17" t="s">
        <v>17246</v>
      </c>
      <c r="G8208" s="17"/>
      <c r="H8208" s="17" t="s">
        <v>17984</v>
      </c>
      <c r="I8208" s="17"/>
      <c r="J8208" s="17" t="s">
        <v>17985</v>
      </c>
      <c r="K8208" s="17"/>
      <c r="L8208" s="17" t="s">
        <v>18111</v>
      </c>
      <c r="M8208" s="17"/>
      <c r="N8208" s="17" t="s">
        <v>18802</v>
      </c>
      <c r="O8208" s="17"/>
      <c r="P8208" s="17" t="s">
        <v>18879</v>
      </c>
      <c r="Q8208" s="17"/>
      <c r="R8208" s="25" t="str">
        <f>HYPERLINK("https://ictv.global/taxonomy/taxondetails?taxnode_id=202305422","Tobamovirus brugmansiae")</f>
        <v>Tobamovirus brugmansiae</v>
      </c>
      <c r="S8208" s="18" t="s">
        <v>30</v>
      </c>
      <c r="T8208" s="18" t="s">
        <v>18883</v>
      </c>
      <c r="U8208" s="18" t="s">
        <v>18884</v>
      </c>
      <c r="V8208" s="18">
        <v>2373</v>
      </c>
      <c r="W8208" s="18" t="s">
        <v>18885</v>
      </c>
      <c r="X8208" s="18" t="s">
        <v>42</v>
      </c>
      <c r="Y8208" s="18" t="s">
        <v>17171</v>
      </c>
      <c r="Z8208" s="18" t="s">
        <v>13441</v>
      </c>
      <c r="AA8208" s="21" t="str">
        <f>HYPERLINK("https://www.ncbi.nlm.nih.gov/nuccore/AM398436","NCBI Nucleotide")</f>
        <v>NCBI Nucleotide</v>
      </c>
    </row>
    <row r="8209" spans="1:27" x14ac:dyDescent="0.35">
      <c r="A8209">
        <v>1008747</v>
      </c>
      <c r="B8209">
        <v>7606</v>
      </c>
      <c r="C8209">
        <v>1</v>
      </c>
      <c r="D8209" s="17" t="s">
        <v>17166</v>
      </c>
      <c r="E8209" s="17"/>
      <c r="F8209" s="17" t="s">
        <v>17246</v>
      </c>
      <c r="G8209" s="17"/>
      <c r="H8209" s="17" t="s">
        <v>17984</v>
      </c>
      <c r="I8209" s="17"/>
      <c r="J8209" s="17" t="s">
        <v>17985</v>
      </c>
      <c r="K8209" s="17"/>
      <c r="L8209" s="17" t="s">
        <v>18111</v>
      </c>
      <c r="M8209" s="17"/>
      <c r="N8209" s="17" t="s">
        <v>18802</v>
      </c>
      <c r="O8209" s="17"/>
      <c r="P8209" s="17" t="s">
        <v>18879</v>
      </c>
      <c r="Q8209" s="17"/>
      <c r="R8209" s="25" t="str">
        <f>HYPERLINK("https://ictv.global/taxonomy/taxondetails?taxnode_id=202305423","Tobamovirus cacti")</f>
        <v>Tobamovirus cacti</v>
      </c>
      <c r="S8209" s="18" t="s">
        <v>30</v>
      </c>
      <c r="T8209" s="18" t="s">
        <v>18886</v>
      </c>
      <c r="U8209" s="18" t="s">
        <v>18887</v>
      </c>
      <c r="V8209" s="18" t="s">
        <v>18888</v>
      </c>
      <c r="W8209" s="18" t="s">
        <v>18889</v>
      </c>
      <c r="X8209" s="18" t="s">
        <v>42</v>
      </c>
      <c r="Y8209" s="18" t="s">
        <v>17171</v>
      </c>
      <c r="Z8209" s="18" t="s">
        <v>13441</v>
      </c>
      <c r="AA8209" s="21" t="str">
        <f>HYPERLINK("https://www.ncbi.nlm.nih.gov/nuccore/EU043335","NCBI Nucleotide")</f>
        <v>NCBI Nucleotide</v>
      </c>
    </row>
    <row r="8210" spans="1:27" x14ac:dyDescent="0.35">
      <c r="A8210">
        <v>1008762</v>
      </c>
      <c r="B8210">
        <v>7607</v>
      </c>
      <c r="C8210">
        <v>1</v>
      </c>
      <c r="D8210" s="17" t="s">
        <v>17166</v>
      </c>
      <c r="E8210" s="17"/>
      <c r="F8210" s="17" t="s">
        <v>17246</v>
      </c>
      <c r="G8210" s="17"/>
      <c r="H8210" s="17" t="s">
        <v>17984</v>
      </c>
      <c r="I8210" s="17"/>
      <c r="J8210" s="17" t="s">
        <v>17985</v>
      </c>
      <c r="K8210" s="17"/>
      <c r="L8210" s="17" t="s">
        <v>18111</v>
      </c>
      <c r="M8210" s="17"/>
      <c r="N8210" s="17" t="s">
        <v>18802</v>
      </c>
      <c r="O8210" s="17"/>
      <c r="P8210" s="17" t="s">
        <v>18879</v>
      </c>
      <c r="Q8210" s="17"/>
      <c r="R8210" s="25" t="str">
        <f>HYPERLINK("https://ictv.global/taxonomy/taxondetails?taxnode_id=202305437","Tobamovirus capsici")</f>
        <v>Tobamovirus capsici</v>
      </c>
      <c r="S8210" s="18" t="s">
        <v>30</v>
      </c>
      <c r="T8210" s="18" t="s">
        <v>18941</v>
      </c>
      <c r="U8210" s="18" t="s">
        <v>18942</v>
      </c>
      <c r="V8210" s="18" t="s">
        <v>18017</v>
      </c>
      <c r="W8210" s="18" t="s">
        <v>18943</v>
      </c>
      <c r="X8210" s="18" t="s">
        <v>42</v>
      </c>
      <c r="Y8210" s="18" t="s">
        <v>17171</v>
      </c>
      <c r="Z8210" s="18" t="s">
        <v>13441</v>
      </c>
      <c r="AA8210" s="21" t="str">
        <f>HYPERLINK("https://www.ncbi.nlm.nih.gov/nuccore/M81413","NCBI Nucleotide")</f>
        <v>NCBI Nucleotide</v>
      </c>
    </row>
    <row r="8211" spans="1:27" x14ac:dyDescent="0.35">
      <c r="A8211">
        <v>1008748</v>
      </c>
      <c r="B8211">
        <v>7608</v>
      </c>
      <c r="C8211">
        <v>1</v>
      </c>
      <c r="D8211" s="17" t="s">
        <v>17166</v>
      </c>
      <c r="E8211" s="17"/>
      <c r="F8211" s="17" t="s">
        <v>17246</v>
      </c>
      <c r="G8211" s="17"/>
      <c r="H8211" s="17" t="s">
        <v>17984</v>
      </c>
      <c r="I8211" s="17"/>
      <c r="J8211" s="17" t="s">
        <v>17985</v>
      </c>
      <c r="K8211" s="17"/>
      <c r="L8211" s="17" t="s">
        <v>18111</v>
      </c>
      <c r="M8211" s="17"/>
      <c r="N8211" s="17" t="s">
        <v>18802</v>
      </c>
      <c r="O8211" s="17"/>
      <c r="P8211" s="17" t="s">
        <v>18879</v>
      </c>
      <c r="Q8211" s="17"/>
      <c r="R8211" s="25" t="str">
        <f>HYPERLINK("https://ictv.global/taxonomy/taxondetails?taxnode_id=202305424","Tobamovirus clitoriae")</f>
        <v>Tobamovirus clitoriae</v>
      </c>
      <c r="S8211" s="18" t="s">
        <v>30</v>
      </c>
      <c r="T8211" s="18" t="s">
        <v>18890</v>
      </c>
      <c r="U8211" s="18" t="s">
        <v>18891</v>
      </c>
      <c r="V8211" s="18" t="s">
        <v>18892</v>
      </c>
      <c r="W8211" s="18" t="s">
        <v>18893</v>
      </c>
      <c r="X8211" s="18" t="s">
        <v>42</v>
      </c>
      <c r="Y8211" s="18" t="s">
        <v>17171</v>
      </c>
      <c r="Z8211" s="18" t="s">
        <v>13441</v>
      </c>
      <c r="AA8211" s="21" t="str">
        <f>HYPERLINK("https://www.ncbi.nlm.nih.gov/nuccore/JN566124","NCBI Nucleotide")</f>
        <v>NCBI Nucleotide</v>
      </c>
    </row>
    <row r="8212" spans="1:27" x14ac:dyDescent="0.35">
      <c r="A8212">
        <v>1008768</v>
      </c>
      <c r="B8212">
        <v>7609</v>
      </c>
      <c r="C8212">
        <v>1</v>
      </c>
      <c r="D8212" s="17" t="s">
        <v>17166</v>
      </c>
      <c r="E8212" s="17"/>
      <c r="F8212" s="17" t="s">
        <v>17246</v>
      </c>
      <c r="G8212" s="17"/>
      <c r="H8212" s="17" t="s">
        <v>17984</v>
      </c>
      <c r="I8212" s="17"/>
      <c r="J8212" s="17" t="s">
        <v>17985</v>
      </c>
      <c r="K8212" s="17"/>
      <c r="L8212" s="17" t="s">
        <v>18111</v>
      </c>
      <c r="M8212" s="17"/>
      <c r="N8212" s="17" t="s">
        <v>18802</v>
      </c>
      <c r="O8212" s="17"/>
      <c r="P8212" s="17" t="s">
        <v>18879</v>
      </c>
      <c r="Q8212" s="17"/>
      <c r="R8212" s="25" t="str">
        <f>HYPERLINK("https://ictv.global/taxonomy/taxondetails?taxnode_id=202305444","Tobamovirus crotalariae")</f>
        <v>Tobamovirus crotalariae</v>
      </c>
      <c r="S8212" s="18" t="s">
        <v>30</v>
      </c>
      <c r="T8212" s="18" t="s">
        <v>18964</v>
      </c>
      <c r="U8212" s="18" t="s">
        <v>18965</v>
      </c>
      <c r="V8212" s="18"/>
      <c r="W8212" s="18" t="s">
        <v>42417</v>
      </c>
      <c r="X8212" s="18" t="s">
        <v>154</v>
      </c>
      <c r="Y8212" s="18" t="s">
        <v>17171</v>
      </c>
      <c r="Z8212" s="18" t="s">
        <v>13441</v>
      </c>
      <c r="AA8212" s="21" t="str">
        <f>HYPERLINK("https://www.ncbi.nlm.nih.gov/nuccore/J02413,U47034","NCBI Nucleotide")</f>
        <v>NCBI Nucleotide</v>
      </c>
    </row>
    <row r="8213" spans="1:27" x14ac:dyDescent="0.35">
      <c r="A8213">
        <v>1008751</v>
      </c>
      <c r="B8213">
        <v>7610</v>
      </c>
      <c r="C8213">
        <v>1</v>
      </c>
      <c r="D8213" s="17" t="s">
        <v>17166</v>
      </c>
      <c r="E8213" s="17"/>
      <c r="F8213" s="17" t="s">
        <v>17246</v>
      </c>
      <c r="G8213" s="17"/>
      <c r="H8213" s="17" t="s">
        <v>17984</v>
      </c>
      <c r="I8213" s="17"/>
      <c r="J8213" s="17" t="s">
        <v>17985</v>
      </c>
      <c r="K8213" s="17"/>
      <c r="L8213" s="17" t="s">
        <v>18111</v>
      </c>
      <c r="M8213" s="17"/>
      <c r="N8213" s="17" t="s">
        <v>18802</v>
      </c>
      <c r="O8213" s="17"/>
      <c r="P8213" s="17" t="s">
        <v>18879</v>
      </c>
      <c r="Q8213" s="17"/>
      <c r="R8213" s="25" t="str">
        <f>HYPERLINK("https://ictv.global/taxonomy/taxondetails?taxnode_id=202305427","Tobamovirus cucumeris")</f>
        <v>Tobamovirus cucumeris</v>
      </c>
      <c r="S8213" s="18" t="s">
        <v>30</v>
      </c>
      <c r="T8213" s="18" t="s">
        <v>18901</v>
      </c>
      <c r="U8213" s="18" t="s">
        <v>18902</v>
      </c>
      <c r="V8213" s="18" t="s">
        <v>18903</v>
      </c>
      <c r="W8213" s="18" t="s">
        <v>18904</v>
      </c>
      <c r="X8213" s="18" t="s">
        <v>42</v>
      </c>
      <c r="Y8213" s="18" t="s">
        <v>17171</v>
      </c>
      <c r="Z8213" s="18" t="s">
        <v>13441</v>
      </c>
      <c r="AA8213" s="21" t="str">
        <f>HYPERLINK("https://www.ncbi.nlm.nih.gov/nuccore/AB261167","NCBI Nucleotide")</f>
        <v>NCBI Nucleotide</v>
      </c>
    </row>
    <row r="8214" spans="1:27" x14ac:dyDescent="0.35">
      <c r="A8214">
        <v>1008781</v>
      </c>
      <c r="B8214">
        <v>7611</v>
      </c>
      <c r="C8214">
        <v>1</v>
      </c>
      <c r="D8214" s="17" t="s">
        <v>17166</v>
      </c>
      <c r="E8214" s="17"/>
      <c r="F8214" s="17" t="s">
        <v>17246</v>
      </c>
      <c r="G8214" s="17"/>
      <c r="H8214" s="17" t="s">
        <v>17984</v>
      </c>
      <c r="I8214" s="17"/>
      <c r="J8214" s="17" t="s">
        <v>17985</v>
      </c>
      <c r="K8214" s="17"/>
      <c r="L8214" s="17" t="s">
        <v>18111</v>
      </c>
      <c r="M8214" s="17"/>
      <c r="N8214" s="17" t="s">
        <v>18802</v>
      </c>
      <c r="O8214" s="17"/>
      <c r="P8214" s="17" t="s">
        <v>18879</v>
      </c>
      <c r="Q8214" s="17"/>
      <c r="R8214" s="25" t="str">
        <f>HYPERLINK("https://ictv.global/taxonomy/taxondetails?taxnode_id=202305457","Tobamovirus cucurbitae")</f>
        <v>Tobamovirus cucurbitae</v>
      </c>
      <c r="S8214" s="18" t="s">
        <v>30</v>
      </c>
      <c r="T8214" s="18" t="s">
        <v>19008</v>
      </c>
      <c r="U8214" s="18" t="s">
        <v>19009</v>
      </c>
      <c r="V8214" s="18" t="s">
        <v>19010</v>
      </c>
      <c r="W8214" s="18" t="s">
        <v>19011</v>
      </c>
      <c r="X8214" s="18" t="s">
        <v>42</v>
      </c>
      <c r="Y8214" s="18" t="s">
        <v>17171</v>
      </c>
      <c r="Z8214" s="18" t="s">
        <v>13441</v>
      </c>
      <c r="AA8214" s="21" t="str">
        <f>HYPERLINK("https://www.ncbi.nlm.nih.gov/nuccore/AJ295949","NCBI Nucleotide")</f>
        <v>NCBI Nucleotide</v>
      </c>
    </row>
    <row r="8215" spans="1:27" x14ac:dyDescent="0.35">
      <c r="A8215">
        <v>1008753</v>
      </c>
      <c r="B8215">
        <v>7612</v>
      </c>
      <c r="C8215">
        <v>1</v>
      </c>
      <c r="D8215" s="17" t="s">
        <v>17166</v>
      </c>
      <c r="E8215" s="17"/>
      <c r="F8215" s="17" t="s">
        <v>17246</v>
      </c>
      <c r="G8215" s="17"/>
      <c r="H8215" s="17" t="s">
        <v>17984</v>
      </c>
      <c r="I8215" s="17"/>
      <c r="J8215" s="17" t="s">
        <v>17985</v>
      </c>
      <c r="K8215" s="17"/>
      <c r="L8215" s="17" t="s">
        <v>18111</v>
      </c>
      <c r="M8215" s="17"/>
      <c r="N8215" s="17" t="s">
        <v>18802</v>
      </c>
      <c r="O8215" s="17"/>
      <c r="P8215" s="17" t="s">
        <v>18879</v>
      </c>
      <c r="Q8215" s="17"/>
      <c r="R8215" s="25" t="str">
        <f>HYPERLINK("https://ictv.global/taxonomy/taxondetails?taxnode_id=202305429","Tobamovirus fortpiercense")</f>
        <v>Tobamovirus fortpiercense</v>
      </c>
      <c r="S8215" s="18" t="s">
        <v>30</v>
      </c>
      <c r="T8215" s="18" t="s">
        <v>18909</v>
      </c>
      <c r="U8215" s="18" t="s">
        <v>18910</v>
      </c>
      <c r="V8215" s="18" t="s">
        <v>18911</v>
      </c>
      <c r="W8215" s="18" t="s">
        <v>18912</v>
      </c>
      <c r="X8215" s="18" t="s">
        <v>42</v>
      </c>
      <c r="Y8215" s="18" t="s">
        <v>17171</v>
      </c>
      <c r="Z8215" s="18" t="s">
        <v>13441</v>
      </c>
      <c r="AA8215" s="21" t="str">
        <f>HYPERLINK("https://www.ncbi.nlm.nih.gov/nuccore/AB917427","NCBI Nucleotide")</f>
        <v>NCBI Nucleotide</v>
      </c>
    </row>
    <row r="8216" spans="1:27" x14ac:dyDescent="0.35">
      <c r="A8216">
        <v>1008752</v>
      </c>
      <c r="B8216">
        <v>7613</v>
      </c>
      <c r="C8216">
        <v>1</v>
      </c>
      <c r="D8216" s="17" t="s">
        <v>17166</v>
      </c>
      <c r="E8216" s="17"/>
      <c r="F8216" s="17" t="s">
        <v>17246</v>
      </c>
      <c r="G8216" s="17"/>
      <c r="H8216" s="17" t="s">
        <v>17984</v>
      </c>
      <c r="I8216" s="17"/>
      <c r="J8216" s="17" t="s">
        <v>17985</v>
      </c>
      <c r="K8216" s="17"/>
      <c r="L8216" s="17" t="s">
        <v>18111</v>
      </c>
      <c r="M8216" s="17"/>
      <c r="N8216" s="17" t="s">
        <v>18802</v>
      </c>
      <c r="O8216" s="17"/>
      <c r="P8216" s="17" t="s">
        <v>18879</v>
      </c>
      <c r="Q8216" s="17"/>
      <c r="R8216" s="25" t="str">
        <f>HYPERLINK("https://ictv.global/taxonomy/taxondetails?taxnode_id=202305428","Tobamovirus frangipani")</f>
        <v>Tobamovirus frangipani</v>
      </c>
      <c r="S8216" s="18" t="s">
        <v>30</v>
      </c>
      <c r="T8216" s="18" t="s">
        <v>18905</v>
      </c>
      <c r="U8216" s="18" t="s">
        <v>18906</v>
      </c>
      <c r="V8216" s="18" t="s">
        <v>18907</v>
      </c>
      <c r="W8216" s="18" t="s">
        <v>18908</v>
      </c>
      <c r="X8216" s="18" t="s">
        <v>42</v>
      </c>
      <c r="Y8216" s="18" t="s">
        <v>17171</v>
      </c>
      <c r="Z8216" s="18" t="s">
        <v>13441</v>
      </c>
      <c r="AA8216" s="21" t="str">
        <f>HYPERLINK("https://www.ncbi.nlm.nih.gov/nuccore/HM026454","NCBI Nucleotide")</f>
        <v>NCBI Nucleotide</v>
      </c>
    </row>
    <row r="8217" spans="1:27" x14ac:dyDescent="0.35">
      <c r="A8217">
        <v>1008772</v>
      </c>
      <c r="B8217">
        <v>7614</v>
      </c>
      <c r="C8217">
        <v>1</v>
      </c>
      <c r="D8217" s="17" t="s">
        <v>17166</v>
      </c>
      <c r="E8217" s="17"/>
      <c r="F8217" s="17" t="s">
        <v>17246</v>
      </c>
      <c r="G8217" s="17"/>
      <c r="H8217" s="17" t="s">
        <v>17984</v>
      </c>
      <c r="I8217" s="17"/>
      <c r="J8217" s="17" t="s">
        <v>17985</v>
      </c>
      <c r="K8217" s="17"/>
      <c r="L8217" s="17" t="s">
        <v>18111</v>
      </c>
      <c r="M8217" s="17"/>
      <c r="N8217" s="17" t="s">
        <v>18802</v>
      </c>
      <c r="O8217" s="17"/>
      <c r="P8217" s="17" t="s">
        <v>18879</v>
      </c>
      <c r="Q8217" s="17"/>
      <c r="R8217" s="25" t="str">
        <f>HYPERLINK("https://ictv.global/taxonomy/taxondetails?taxnode_id=202305448","Tobamovirus fructirugosum")</f>
        <v>Tobamovirus fructirugosum</v>
      </c>
      <c r="S8217" s="18" t="s">
        <v>30</v>
      </c>
      <c r="T8217" s="18" t="s">
        <v>18976</v>
      </c>
      <c r="U8217" s="18" t="s">
        <v>18977</v>
      </c>
      <c r="V8217" s="18" t="s">
        <v>18978</v>
      </c>
      <c r="W8217" s="18" t="s">
        <v>18979</v>
      </c>
      <c r="X8217" s="18" t="s">
        <v>42</v>
      </c>
      <c r="Y8217" s="18" t="s">
        <v>17171</v>
      </c>
      <c r="Z8217" s="18" t="s">
        <v>13441</v>
      </c>
      <c r="AA8217" s="21" t="str">
        <f>HYPERLINK("https://www.ncbi.nlm.nih.gov/nuccore/KT383474","NCBI Nucleotide")</f>
        <v>NCBI Nucleotide</v>
      </c>
    </row>
    <row r="8218" spans="1:27" x14ac:dyDescent="0.35">
      <c r="A8218">
        <v>1008755</v>
      </c>
      <c r="B8218">
        <v>7615</v>
      </c>
      <c r="C8218">
        <v>1</v>
      </c>
      <c r="D8218" s="17" t="s">
        <v>17166</v>
      </c>
      <c r="E8218" s="17"/>
      <c r="F8218" s="17" t="s">
        <v>17246</v>
      </c>
      <c r="G8218" s="17"/>
      <c r="H8218" s="17" t="s">
        <v>17984</v>
      </c>
      <c r="I8218" s="17"/>
      <c r="J8218" s="17" t="s">
        <v>17985</v>
      </c>
      <c r="K8218" s="17"/>
      <c r="L8218" s="17" t="s">
        <v>18111</v>
      </c>
      <c r="M8218" s="17"/>
      <c r="N8218" s="17" t="s">
        <v>18802</v>
      </c>
      <c r="O8218" s="17"/>
      <c r="P8218" s="17" t="s">
        <v>18879</v>
      </c>
      <c r="Q8218" s="17"/>
      <c r="R8218" s="25" t="str">
        <f>HYPERLINK("https://ictv.global/taxonomy/taxondetails?taxnode_id=202305431","Tobamovirus kyuri")</f>
        <v>Tobamovirus kyuri</v>
      </c>
      <c r="S8218" s="18" t="s">
        <v>30</v>
      </c>
      <c r="T8218" s="18" t="s">
        <v>18917</v>
      </c>
      <c r="U8218" s="18" t="s">
        <v>18918</v>
      </c>
      <c r="V8218" s="18" t="s">
        <v>18919</v>
      </c>
      <c r="W8218" s="18" t="s">
        <v>18920</v>
      </c>
      <c r="X8218" s="18" t="s">
        <v>42</v>
      </c>
      <c r="Y8218" s="18" t="s">
        <v>17171</v>
      </c>
      <c r="Z8218" s="18" t="s">
        <v>13441</v>
      </c>
      <c r="AA8218" s="21" t="str">
        <f>HYPERLINK("https://www.ncbi.nlm.nih.gov/nuccore/AJ295948","NCBI Nucleotide")</f>
        <v>NCBI Nucleotide</v>
      </c>
    </row>
    <row r="8219" spans="1:27" x14ac:dyDescent="0.35">
      <c r="A8219">
        <v>1008769</v>
      </c>
      <c r="B8219">
        <v>7616</v>
      </c>
      <c r="C8219">
        <v>1</v>
      </c>
      <c r="D8219" s="17" t="s">
        <v>17166</v>
      </c>
      <c r="E8219" s="17"/>
      <c r="F8219" s="17" t="s">
        <v>17246</v>
      </c>
      <c r="G8219" s="17"/>
      <c r="H8219" s="17" t="s">
        <v>17984</v>
      </c>
      <c r="I8219" s="17"/>
      <c r="J8219" s="17" t="s">
        <v>17985</v>
      </c>
      <c r="K8219" s="17"/>
      <c r="L8219" s="17" t="s">
        <v>18111</v>
      </c>
      <c r="M8219" s="17"/>
      <c r="N8219" s="17" t="s">
        <v>18802</v>
      </c>
      <c r="O8219" s="17"/>
      <c r="P8219" s="17" t="s">
        <v>18879</v>
      </c>
      <c r="Q8219" s="17"/>
      <c r="R8219" s="25" t="str">
        <f>HYPERLINK("https://ictv.global/taxonomy/taxondetails?taxnode_id=202305445","Tobamovirus latentabaci")</f>
        <v>Tobamovirus latentabaci</v>
      </c>
      <c r="S8219" s="18" t="s">
        <v>30</v>
      </c>
      <c r="T8219" s="18" t="s">
        <v>18966</v>
      </c>
      <c r="U8219" s="18" t="s">
        <v>18967</v>
      </c>
      <c r="V8219" s="18"/>
      <c r="W8219" s="18" t="s">
        <v>18968</v>
      </c>
      <c r="X8219" s="18" t="s">
        <v>154</v>
      </c>
      <c r="Y8219" s="18" t="s">
        <v>17171</v>
      </c>
      <c r="Z8219" s="18" t="s">
        <v>13441</v>
      </c>
      <c r="AA8219" s="21" t="str">
        <f>HYPERLINK("https://www.ncbi.nlm.nih.gov/nuccore/AY137775","NCBI Nucleotide")</f>
        <v>NCBI Nucleotide</v>
      </c>
    </row>
    <row r="8220" spans="1:27" x14ac:dyDescent="0.35">
      <c r="A8220">
        <v>1008745</v>
      </c>
      <c r="B8220">
        <v>7617</v>
      </c>
      <c r="C8220">
        <v>1</v>
      </c>
      <c r="D8220" s="17" t="s">
        <v>17166</v>
      </c>
      <c r="E8220" s="17"/>
      <c r="F8220" s="17" t="s">
        <v>17246</v>
      </c>
      <c r="G8220" s="17"/>
      <c r="H8220" s="17" t="s">
        <v>17984</v>
      </c>
      <c r="I8220" s="17"/>
      <c r="J8220" s="17" t="s">
        <v>17985</v>
      </c>
      <c r="K8220" s="17"/>
      <c r="L8220" s="17" t="s">
        <v>18111</v>
      </c>
      <c r="M8220" s="17"/>
      <c r="N8220" s="17" t="s">
        <v>18802</v>
      </c>
      <c r="O8220" s="17"/>
      <c r="P8220" s="17" t="s">
        <v>18879</v>
      </c>
      <c r="Q8220" s="17"/>
      <c r="R8220" s="25" t="str">
        <f>HYPERLINK("https://ictv.global/taxonomy/taxondetails?taxnode_id=202305421","Tobamovirus maculacapsici")</f>
        <v>Tobamovirus maculacapsici</v>
      </c>
      <c r="S8220" s="18" t="s">
        <v>30</v>
      </c>
      <c r="T8220" s="18" t="s">
        <v>18880</v>
      </c>
      <c r="U8220" s="18" t="s">
        <v>18881</v>
      </c>
      <c r="V8220" s="18" t="s">
        <v>17614</v>
      </c>
      <c r="W8220" s="18" t="s">
        <v>18882</v>
      </c>
      <c r="X8220" s="18" t="s">
        <v>42</v>
      </c>
      <c r="Y8220" s="18" t="s">
        <v>17171</v>
      </c>
      <c r="Z8220" s="18" t="s">
        <v>13441</v>
      </c>
      <c r="AA8220" s="21" t="str">
        <f>HYPERLINK("https://www.ncbi.nlm.nih.gov/nuccore/DQ355023","NCBI Nucleotide")</f>
        <v>NCBI Nucleotide</v>
      </c>
    </row>
    <row r="8221" spans="1:27" x14ac:dyDescent="0.35">
      <c r="A8221">
        <v>1008749</v>
      </c>
      <c r="B8221">
        <v>7618</v>
      </c>
      <c r="C8221">
        <v>1</v>
      </c>
      <c r="D8221" s="17" t="s">
        <v>17166</v>
      </c>
      <c r="E8221" s="17"/>
      <c r="F8221" s="17" t="s">
        <v>17246</v>
      </c>
      <c r="G8221" s="17"/>
      <c r="H8221" s="17" t="s">
        <v>17984</v>
      </c>
      <c r="I8221" s="17"/>
      <c r="J8221" s="17" t="s">
        <v>17985</v>
      </c>
      <c r="K8221" s="17"/>
      <c r="L8221" s="17" t="s">
        <v>18111</v>
      </c>
      <c r="M8221" s="17"/>
      <c r="N8221" s="17" t="s">
        <v>18802</v>
      </c>
      <c r="O8221" s="17"/>
      <c r="P8221" s="17" t="s">
        <v>18879</v>
      </c>
      <c r="Q8221" s="17"/>
      <c r="R8221" s="25" t="str">
        <f>HYPERLINK("https://ictv.global/taxonomy/taxondetails?taxnode_id=202305425","Tobamovirus maculafructi")</f>
        <v>Tobamovirus maculafructi</v>
      </c>
      <c r="S8221" s="18" t="s">
        <v>30</v>
      </c>
      <c r="T8221" s="18" t="s">
        <v>18894</v>
      </c>
      <c r="U8221" s="18" t="s">
        <v>18895</v>
      </c>
      <c r="V8221" s="18" t="s">
        <v>17494</v>
      </c>
      <c r="W8221" s="18" t="s">
        <v>18896</v>
      </c>
      <c r="X8221" s="18" t="s">
        <v>42</v>
      </c>
      <c r="Y8221" s="18" t="s">
        <v>17171</v>
      </c>
      <c r="Z8221" s="18" t="s">
        <v>13441</v>
      </c>
      <c r="AA8221" s="21" t="str">
        <f>HYPERLINK("https://www.ncbi.nlm.nih.gov/nuccore/AF321057","NCBI Nucleotide")</f>
        <v>NCBI Nucleotide</v>
      </c>
    </row>
    <row r="8222" spans="1:27" x14ac:dyDescent="0.35">
      <c r="A8222">
        <v>1008774</v>
      </c>
      <c r="B8222">
        <v>7619</v>
      </c>
      <c r="C8222">
        <v>1</v>
      </c>
      <c r="D8222" s="17" t="s">
        <v>17166</v>
      </c>
      <c r="E8222" s="17"/>
      <c r="F8222" s="17" t="s">
        <v>17246</v>
      </c>
      <c r="G8222" s="17"/>
      <c r="H8222" s="17" t="s">
        <v>17984</v>
      </c>
      <c r="I8222" s="17"/>
      <c r="J8222" s="17" t="s">
        <v>17985</v>
      </c>
      <c r="K8222" s="17"/>
      <c r="L8222" s="17" t="s">
        <v>18111</v>
      </c>
      <c r="M8222" s="17"/>
      <c r="N8222" s="17" t="s">
        <v>18802</v>
      </c>
      <c r="O8222" s="17"/>
      <c r="P8222" s="17" t="s">
        <v>18879</v>
      </c>
      <c r="Q8222" s="17"/>
      <c r="R8222" s="25" t="str">
        <f>HYPERLINK("https://ictv.global/taxonomy/taxondetails?taxnode_id=202305450","Tobamovirus maculatessellati")</f>
        <v>Tobamovirus maculatessellati</v>
      </c>
      <c r="S8222" s="18" t="s">
        <v>30</v>
      </c>
      <c r="T8222" s="18" t="s">
        <v>18984</v>
      </c>
      <c r="U8222" s="18" t="s">
        <v>15754</v>
      </c>
      <c r="V8222" s="18" t="s">
        <v>18985</v>
      </c>
      <c r="W8222" s="18" t="s">
        <v>18986</v>
      </c>
      <c r="X8222" s="18" t="s">
        <v>42</v>
      </c>
      <c r="Y8222" s="18" t="s">
        <v>17171</v>
      </c>
      <c r="Z8222" s="18" t="s">
        <v>13441</v>
      </c>
      <c r="AA8222" s="21" t="str">
        <f>HYPERLINK("https://www.ncbi.nlm.nih.gov/nuccore/KF477193","NCBI Nucleotide")</f>
        <v>NCBI Nucleotide</v>
      </c>
    </row>
    <row r="8223" spans="1:27" x14ac:dyDescent="0.35">
      <c r="A8223">
        <v>1008756</v>
      </c>
      <c r="B8223">
        <v>7620</v>
      </c>
      <c r="C8223">
        <v>1</v>
      </c>
      <c r="D8223" s="17" t="s">
        <v>17166</v>
      </c>
      <c r="E8223" s="17"/>
      <c r="F8223" s="17" t="s">
        <v>17246</v>
      </c>
      <c r="G8223" s="17"/>
      <c r="H8223" s="17" t="s">
        <v>17984</v>
      </c>
      <c r="I8223" s="17"/>
      <c r="J8223" s="17" t="s">
        <v>17985</v>
      </c>
      <c r="K8223" s="17"/>
      <c r="L8223" s="17" t="s">
        <v>18111</v>
      </c>
      <c r="M8223" s="17"/>
      <c r="N8223" s="17" t="s">
        <v>18802</v>
      </c>
      <c r="O8223" s="17"/>
      <c r="P8223" s="17" t="s">
        <v>18879</v>
      </c>
      <c r="Q8223" s="17"/>
      <c r="R8223" s="25" t="str">
        <f>HYPERLINK("https://ictv.global/taxonomy/taxondetails?taxnode_id=202305432","Tobamovirus maracujae")</f>
        <v>Tobamovirus maracujae</v>
      </c>
      <c r="S8223" s="18" t="s">
        <v>30</v>
      </c>
      <c r="T8223" s="18" t="s">
        <v>18921</v>
      </c>
      <c r="U8223" s="18" t="s">
        <v>18922</v>
      </c>
      <c r="V8223" s="18" t="s">
        <v>660</v>
      </c>
      <c r="W8223" s="18" t="s">
        <v>18923</v>
      </c>
      <c r="X8223" s="18" t="s">
        <v>42</v>
      </c>
      <c r="Y8223" s="18" t="s">
        <v>17171</v>
      </c>
      <c r="Z8223" s="18" t="s">
        <v>13441</v>
      </c>
      <c r="AA8223" s="21" t="str">
        <f>HYPERLINK("https://www.ncbi.nlm.nih.gov/nuccore/DQ356949","NCBI Nucleotide")</f>
        <v>NCBI Nucleotide</v>
      </c>
    </row>
    <row r="8224" spans="1:27" x14ac:dyDescent="0.35">
      <c r="A8224">
        <v>1008770</v>
      </c>
      <c r="B8224">
        <v>7621</v>
      </c>
      <c r="C8224">
        <v>1</v>
      </c>
      <c r="D8224" s="17" t="s">
        <v>17166</v>
      </c>
      <c r="E8224" s="17"/>
      <c r="F8224" s="17" t="s">
        <v>17246</v>
      </c>
      <c r="G8224" s="17"/>
      <c r="H8224" s="17" t="s">
        <v>17984</v>
      </c>
      <c r="I8224" s="17"/>
      <c r="J8224" s="17" t="s">
        <v>17985</v>
      </c>
      <c r="K8224" s="17"/>
      <c r="L8224" s="17" t="s">
        <v>18111</v>
      </c>
      <c r="M8224" s="17"/>
      <c r="N8224" s="17" t="s">
        <v>18802</v>
      </c>
      <c r="O8224" s="17"/>
      <c r="P8224" s="17" t="s">
        <v>18879</v>
      </c>
      <c r="Q8224" s="17"/>
      <c r="R8224" s="25" t="str">
        <f>HYPERLINK("https://ictv.global/taxonomy/taxondetails?taxnode_id=202305446","Tobamovirus mititessellati")</f>
        <v>Tobamovirus mititessellati</v>
      </c>
      <c r="S8224" s="18" t="s">
        <v>30</v>
      </c>
      <c r="T8224" s="18" t="s">
        <v>18969</v>
      </c>
      <c r="U8224" s="18" t="s">
        <v>18970</v>
      </c>
      <c r="V8224" s="18" t="s">
        <v>18971</v>
      </c>
      <c r="W8224" s="18" t="s">
        <v>18972</v>
      </c>
      <c r="X8224" s="18" t="s">
        <v>42</v>
      </c>
      <c r="Y8224" s="18" t="s">
        <v>17171</v>
      </c>
      <c r="Z8224" s="18" t="s">
        <v>13441</v>
      </c>
      <c r="AA8224" s="21" t="str">
        <f>HYPERLINK("https://www.ncbi.nlm.nih.gov/nuccore/M34077","NCBI Nucleotide")</f>
        <v>NCBI Nucleotide</v>
      </c>
    </row>
    <row r="8225" spans="1:27" x14ac:dyDescent="0.35">
      <c r="A8225">
        <v>1008764</v>
      </c>
      <c r="B8225">
        <v>7622</v>
      </c>
      <c r="C8225">
        <v>1</v>
      </c>
      <c r="D8225" s="17" t="s">
        <v>17166</v>
      </c>
      <c r="E8225" s="17"/>
      <c r="F8225" s="17" t="s">
        <v>17246</v>
      </c>
      <c r="G8225" s="17"/>
      <c r="H8225" s="17" t="s">
        <v>17984</v>
      </c>
      <c r="I8225" s="17"/>
      <c r="J8225" s="17" t="s">
        <v>17985</v>
      </c>
      <c r="K8225" s="17"/>
      <c r="L8225" s="17" t="s">
        <v>18111</v>
      </c>
      <c r="M8225" s="17"/>
      <c r="N8225" s="17" t="s">
        <v>18802</v>
      </c>
      <c r="O8225" s="17"/>
      <c r="P8225" s="17" t="s">
        <v>18879</v>
      </c>
      <c r="Q8225" s="17"/>
      <c r="R8225" s="25" t="str">
        <f>HYPERLINK("https://ictv.global/taxonomy/taxondetails?taxnode_id=202305439","Tobamovirus muricaudae")</f>
        <v>Tobamovirus muricaudae</v>
      </c>
      <c r="S8225" s="18" t="s">
        <v>30</v>
      </c>
      <c r="T8225" s="18" t="s">
        <v>18948</v>
      </c>
      <c r="U8225" s="18" t="s">
        <v>18949</v>
      </c>
      <c r="V8225" s="18" t="s">
        <v>18950</v>
      </c>
      <c r="W8225" s="18" t="s">
        <v>18951</v>
      </c>
      <c r="X8225" s="18" t="s">
        <v>42</v>
      </c>
      <c r="Y8225" s="18" t="s">
        <v>17171</v>
      </c>
      <c r="Z8225" s="18" t="s">
        <v>13441</v>
      </c>
      <c r="AA8225" s="21" t="str">
        <f>HYPERLINK("https://www.ncbi.nlm.nih.gov/nuccore/JF729471","NCBI Nucleotide")</f>
        <v>NCBI Nucleotide</v>
      </c>
    </row>
    <row r="8226" spans="1:27" x14ac:dyDescent="0.35">
      <c r="A8226">
        <v>1008757</v>
      </c>
      <c r="B8226">
        <v>7623</v>
      </c>
      <c r="C8226">
        <v>1</v>
      </c>
      <c r="D8226" s="17" t="s">
        <v>17166</v>
      </c>
      <c r="E8226" s="17"/>
      <c r="F8226" s="17" t="s">
        <v>17246</v>
      </c>
      <c r="G8226" s="17"/>
      <c r="H8226" s="17" t="s">
        <v>17984</v>
      </c>
      <c r="I8226" s="17"/>
      <c r="J8226" s="17" t="s">
        <v>17985</v>
      </c>
      <c r="K8226" s="17"/>
      <c r="L8226" s="17" t="s">
        <v>18111</v>
      </c>
      <c r="M8226" s="17"/>
      <c r="N8226" s="17" t="s">
        <v>18802</v>
      </c>
      <c r="O8226" s="17"/>
      <c r="P8226" s="17" t="s">
        <v>18879</v>
      </c>
      <c r="Q8226" s="17"/>
      <c r="R8226" s="25" t="str">
        <f>HYPERLINK("https://ictv.global/taxonomy/taxondetails?taxnode_id=202305433","Tobamovirus obudae")</f>
        <v>Tobamovirus obudae</v>
      </c>
      <c r="S8226" s="18" t="s">
        <v>30</v>
      </c>
      <c r="T8226" s="18" t="s">
        <v>18924</v>
      </c>
      <c r="U8226" s="18" t="s">
        <v>18925</v>
      </c>
      <c r="V8226" s="18" t="s">
        <v>18926</v>
      </c>
      <c r="W8226" s="18" t="s">
        <v>18927</v>
      </c>
      <c r="X8226" s="18" t="s">
        <v>42</v>
      </c>
      <c r="Y8226" s="18" t="s">
        <v>17171</v>
      </c>
      <c r="Z8226" s="18" t="s">
        <v>13441</v>
      </c>
      <c r="AA8226" s="21" t="str">
        <f>HYPERLINK("https://www.ncbi.nlm.nih.gov/nuccore/D13438","NCBI Nucleotide")</f>
        <v>NCBI Nucleotide</v>
      </c>
    </row>
    <row r="8227" spans="1:27" x14ac:dyDescent="0.35">
      <c r="A8227">
        <v>1008758</v>
      </c>
      <c r="B8227">
        <v>7624</v>
      </c>
      <c r="C8227">
        <v>1</v>
      </c>
      <c r="D8227" s="17" t="s">
        <v>17166</v>
      </c>
      <c r="E8227" s="17"/>
      <c r="F8227" s="17" t="s">
        <v>17246</v>
      </c>
      <c r="G8227" s="17"/>
      <c r="H8227" s="17" t="s">
        <v>17984</v>
      </c>
      <c r="I8227" s="17"/>
      <c r="J8227" s="17" t="s">
        <v>17985</v>
      </c>
      <c r="K8227" s="17"/>
      <c r="L8227" s="17" t="s">
        <v>18111</v>
      </c>
      <c r="M8227" s="17"/>
      <c r="N8227" s="17" t="s">
        <v>18802</v>
      </c>
      <c r="O8227" s="17"/>
      <c r="P8227" s="17" t="s">
        <v>18879</v>
      </c>
      <c r="Q8227" s="17"/>
      <c r="R8227" s="25" t="str">
        <f>HYPERLINK("https://ictv.global/taxonomy/taxondetails?taxnode_id=202305434","Tobamovirus odontoglossi")</f>
        <v>Tobamovirus odontoglossi</v>
      </c>
      <c r="S8227" s="18" t="s">
        <v>30</v>
      </c>
      <c r="T8227" s="18" t="s">
        <v>18928</v>
      </c>
      <c r="U8227" s="18" t="s">
        <v>18929</v>
      </c>
      <c r="V8227" s="18" t="s">
        <v>18930</v>
      </c>
      <c r="W8227" s="18" t="s">
        <v>18931</v>
      </c>
      <c r="X8227" s="18" t="s">
        <v>42</v>
      </c>
      <c r="Y8227" s="18" t="s">
        <v>17171</v>
      </c>
      <c r="Z8227" s="18" t="s">
        <v>13441</v>
      </c>
      <c r="AA8227" s="21" t="str">
        <f>HYPERLINK("https://www.ncbi.nlm.nih.gov/nuccore/X82130","NCBI Nucleotide")</f>
        <v>NCBI Nucleotide</v>
      </c>
    </row>
    <row r="8228" spans="1:27" x14ac:dyDescent="0.35">
      <c r="A8228">
        <v>1008759</v>
      </c>
      <c r="B8228">
        <v>7625</v>
      </c>
      <c r="C8228">
        <v>1</v>
      </c>
      <c r="D8228" s="17" t="s">
        <v>17166</v>
      </c>
      <c r="E8228" s="17"/>
      <c r="F8228" s="17" t="s">
        <v>17246</v>
      </c>
      <c r="G8228" s="17"/>
      <c r="H8228" s="17" t="s">
        <v>17984</v>
      </c>
      <c r="I8228" s="17"/>
      <c r="J8228" s="17" t="s">
        <v>17985</v>
      </c>
      <c r="K8228" s="17"/>
      <c r="L8228" s="17" t="s">
        <v>18111</v>
      </c>
      <c r="M8228" s="17"/>
      <c r="N8228" s="17" t="s">
        <v>18802</v>
      </c>
      <c r="O8228" s="17"/>
      <c r="P8228" s="17" t="s">
        <v>18879</v>
      </c>
      <c r="Q8228" s="17"/>
      <c r="R8228" s="25" t="str">
        <f>HYPERLINK("https://ictv.global/taxonomy/taxondetails?taxnode_id=202305442","Tobamovirus opuntiae")</f>
        <v>Tobamovirus opuntiae</v>
      </c>
      <c r="S8228" s="18" t="s">
        <v>30</v>
      </c>
      <c r="T8228" s="18" t="s">
        <v>18932</v>
      </c>
      <c r="U8228" s="18" t="s">
        <v>18933</v>
      </c>
      <c r="V8228" s="18"/>
      <c r="W8228" s="18"/>
      <c r="X8228" s="18" t="s">
        <v>3311</v>
      </c>
      <c r="Y8228" s="18" t="s">
        <v>17171</v>
      </c>
      <c r="Z8228" s="18" t="s">
        <v>13441</v>
      </c>
      <c r="AA8228" s="21"/>
    </row>
    <row r="8229" spans="1:27" x14ac:dyDescent="0.35">
      <c r="A8229">
        <v>1008760</v>
      </c>
      <c r="B8229">
        <v>7626</v>
      </c>
      <c r="C8229">
        <v>1</v>
      </c>
      <c r="D8229" s="17" t="s">
        <v>17166</v>
      </c>
      <c r="E8229" s="17"/>
      <c r="F8229" s="17" t="s">
        <v>17246</v>
      </c>
      <c r="G8229" s="17"/>
      <c r="H8229" s="17" t="s">
        <v>17984</v>
      </c>
      <c r="I8229" s="17"/>
      <c r="J8229" s="17" t="s">
        <v>17985</v>
      </c>
      <c r="K8229" s="17"/>
      <c r="L8229" s="17" t="s">
        <v>18111</v>
      </c>
      <c r="M8229" s="17"/>
      <c r="N8229" s="17" t="s">
        <v>18802</v>
      </c>
      <c r="O8229" s="17"/>
      <c r="P8229" s="17" t="s">
        <v>18879</v>
      </c>
      <c r="Q8229" s="17"/>
      <c r="R8229" s="25" t="str">
        <f>HYPERLINK("https://ictv.global/taxonomy/taxondetails?taxnode_id=202305435","Tobamovirus paprikae")</f>
        <v>Tobamovirus paprikae</v>
      </c>
      <c r="S8229" s="18" t="s">
        <v>30</v>
      </c>
      <c r="T8229" s="18" t="s">
        <v>18934</v>
      </c>
      <c r="U8229" s="18" t="s">
        <v>18935</v>
      </c>
      <c r="V8229" s="18" t="s">
        <v>18936</v>
      </c>
      <c r="W8229" s="18" t="s">
        <v>18937</v>
      </c>
      <c r="X8229" s="18" t="s">
        <v>42</v>
      </c>
      <c r="Y8229" s="18" t="s">
        <v>17171</v>
      </c>
      <c r="Z8229" s="18" t="s">
        <v>13441</v>
      </c>
      <c r="AA8229" s="21" t="str">
        <f>HYPERLINK("https://www.ncbi.nlm.nih.gov/nuccore/AB089381","NCBI Nucleotide")</f>
        <v>NCBI Nucleotide</v>
      </c>
    </row>
    <row r="8230" spans="1:27" x14ac:dyDescent="0.35">
      <c r="A8230">
        <v>1008761</v>
      </c>
      <c r="B8230">
        <v>7627</v>
      </c>
      <c r="C8230">
        <v>1</v>
      </c>
      <c r="D8230" s="17" t="s">
        <v>17166</v>
      </c>
      <c r="E8230" s="17"/>
      <c r="F8230" s="17" t="s">
        <v>17246</v>
      </c>
      <c r="G8230" s="17"/>
      <c r="H8230" s="17" t="s">
        <v>17984</v>
      </c>
      <c r="I8230" s="17"/>
      <c r="J8230" s="17" t="s">
        <v>17985</v>
      </c>
      <c r="K8230" s="17"/>
      <c r="L8230" s="17" t="s">
        <v>18111</v>
      </c>
      <c r="M8230" s="17"/>
      <c r="N8230" s="17" t="s">
        <v>18802</v>
      </c>
      <c r="O8230" s="17"/>
      <c r="P8230" s="17" t="s">
        <v>18879</v>
      </c>
      <c r="Q8230" s="17"/>
      <c r="R8230" s="25" t="str">
        <f>HYPERLINK("https://ictv.global/taxonomy/taxondetails?taxnode_id=202305436","Tobamovirus passiflorae")</f>
        <v>Tobamovirus passiflorae</v>
      </c>
      <c r="S8230" s="18" t="s">
        <v>30</v>
      </c>
      <c r="T8230" s="18" t="s">
        <v>18938</v>
      </c>
      <c r="U8230" s="18" t="s">
        <v>18939</v>
      </c>
      <c r="V8230" s="18" t="s">
        <v>18179</v>
      </c>
      <c r="W8230" s="18" t="s">
        <v>18940</v>
      </c>
      <c r="X8230" s="18" t="s">
        <v>42</v>
      </c>
      <c r="Y8230" s="18" t="s">
        <v>17171</v>
      </c>
      <c r="Z8230" s="18" t="s">
        <v>13441</v>
      </c>
      <c r="AA8230" s="21" t="str">
        <f>HYPERLINK("https://www.ncbi.nlm.nih.gov/nuccore/HQ389540","NCBI Nucleotide")</f>
        <v>NCBI Nucleotide</v>
      </c>
    </row>
    <row r="8231" spans="1:27" x14ac:dyDescent="0.35">
      <c r="A8231">
        <v>1008766</v>
      </c>
      <c r="B8231">
        <v>7628</v>
      </c>
      <c r="C8231">
        <v>1</v>
      </c>
      <c r="D8231" s="17" t="s">
        <v>17166</v>
      </c>
      <c r="E8231" s="17"/>
      <c r="F8231" s="17" t="s">
        <v>17246</v>
      </c>
      <c r="G8231" s="17"/>
      <c r="H8231" s="17" t="s">
        <v>17984</v>
      </c>
      <c r="I8231" s="17"/>
      <c r="J8231" s="17" t="s">
        <v>17985</v>
      </c>
      <c r="K8231" s="17"/>
      <c r="L8231" s="17" t="s">
        <v>18111</v>
      </c>
      <c r="M8231" s="17"/>
      <c r="N8231" s="17" t="s">
        <v>18802</v>
      </c>
      <c r="O8231" s="17"/>
      <c r="P8231" s="17" t="s">
        <v>18879</v>
      </c>
      <c r="Q8231" s="17"/>
      <c r="R8231" s="25" t="str">
        <f>HYPERLINK("https://ictv.global/taxonomy/taxondetails?taxnode_id=202305441","Tobamovirus plantagonis")</f>
        <v>Tobamovirus plantagonis</v>
      </c>
      <c r="S8231" s="18" t="s">
        <v>30</v>
      </c>
      <c r="T8231" s="18" t="s">
        <v>18956</v>
      </c>
      <c r="U8231" s="18" t="s">
        <v>18957</v>
      </c>
      <c r="V8231" s="18" t="s">
        <v>18958</v>
      </c>
      <c r="W8231" s="18" t="s">
        <v>18959</v>
      </c>
      <c r="X8231" s="18" t="s">
        <v>42</v>
      </c>
      <c r="Y8231" s="18" t="s">
        <v>17171</v>
      </c>
      <c r="Z8231" s="18" t="s">
        <v>13441</v>
      </c>
      <c r="AA8231" s="21" t="str">
        <f>HYPERLINK("https://www.ncbi.nlm.nih.gov/nuccore/HQ667979","NCBI Nucleotide")</f>
        <v>NCBI Nucleotide</v>
      </c>
    </row>
    <row r="8232" spans="1:27" x14ac:dyDescent="0.35">
      <c r="A8232">
        <v>1008763</v>
      </c>
      <c r="B8232">
        <v>7629</v>
      </c>
      <c r="C8232">
        <v>1</v>
      </c>
      <c r="D8232" s="17" t="s">
        <v>17166</v>
      </c>
      <c r="E8232" s="17"/>
      <c r="F8232" s="17" t="s">
        <v>17246</v>
      </c>
      <c r="G8232" s="17"/>
      <c r="H8232" s="17" t="s">
        <v>17984</v>
      </c>
      <c r="I8232" s="17"/>
      <c r="J8232" s="17" t="s">
        <v>17985</v>
      </c>
      <c r="K8232" s="17"/>
      <c r="L8232" s="17" t="s">
        <v>18111</v>
      </c>
      <c r="M8232" s="17"/>
      <c r="N8232" s="17" t="s">
        <v>18802</v>
      </c>
      <c r="O8232" s="17"/>
      <c r="P8232" s="17" t="s">
        <v>18879</v>
      </c>
      <c r="Q8232" s="17"/>
      <c r="R8232" s="25" t="str">
        <f>HYPERLINK("https://ictv.global/taxonomy/taxondetails?taxnode_id=202305438","Tobamovirus plumeriae")</f>
        <v>Tobamovirus plumeriae</v>
      </c>
      <c r="S8232" s="18" t="s">
        <v>30</v>
      </c>
      <c r="T8232" s="18" t="s">
        <v>18944</v>
      </c>
      <c r="U8232" s="18" t="s">
        <v>18945</v>
      </c>
      <c r="V8232" s="18" t="s">
        <v>18946</v>
      </c>
      <c r="W8232" s="18" t="s">
        <v>18947</v>
      </c>
      <c r="X8232" s="18" t="s">
        <v>42</v>
      </c>
      <c r="Y8232" s="18" t="s">
        <v>17171</v>
      </c>
      <c r="Z8232" s="18" t="s">
        <v>13441</v>
      </c>
      <c r="AA8232" s="21" t="str">
        <f>HYPERLINK("https://www.ncbi.nlm.nih.gov/nuccore/KJ395757","NCBI Nucleotide")</f>
        <v>NCBI Nucleotide</v>
      </c>
    </row>
    <row r="8233" spans="1:27" x14ac:dyDescent="0.35">
      <c r="A8233">
        <v>1008776</v>
      </c>
      <c r="B8233">
        <v>7630</v>
      </c>
      <c r="C8233">
        <v>1</v>
      </c>
      <c r="D8233" s="17" t="s">
        <v>17166</v>
      </c>
      <c r="E8233" s="17"/>
      <c r="F8233" s="17" t="s">
        <v>17246</v>
      </c>
      <c r="G8233" s="17"/>
      <c r="H8233" s="17" t="s">
        <v>17984</v>
      </c>
      <c r="I8233" s="17"/>
      <c r="J8233" s="17" t="s">
        <v>17985</v>
      </c>
      <c r="K8233" s="17"/>
      <c r="L8233" s="17" t="s">
        <v>18111</v>
      </c>
      <c r="M8233" s="17"/>
      <c r="N8233" s="17" t="s">
        <v>18802</v>
      </c>
      <c r="O8233" s="17"/>
      <c r="P8233" s="17" t="s">
        <v>18879</v>
      </c>
      <c r="Q8233" s="17"/>
      <c r="R8233" s="25" t="str">
        <f>HYPERLINK("https://ictv.global/taxonomy/taxondetails?taxnode_id=202305452","Tobamovirus rapae")</f>
        <v>Tobamovirus rapae</v>
      </c>
      <c r="S8233" s="18" t="s">
        <v>30</v>
      </c>
      <c r="T8233" s="18" t="s">
        <v>18991</v>
      </c>
      <c r="U8233" s="18" t="s">
        <v>18992</v>
      </c>
      <c r="V8233" s="18" t="s">
        <v>18993</v>
      </c>
      <c r="W8233" s="18" t="s">
        <v>18994</v>
      </c>
      <c r="X8233" s="18" t="s">
        <v>42</v>
      </c>
      <c r="Y8233" s="18" t="s">
        <v>17171</v>
      </c>
      <c r="Z8233" s="18" t="s">
        <v>13441</v>
      </c>
      <c r="AA8233" s="21" t="str">
        <f>HYPERLINK("https://www.ncbi.nlm.nih.gov/nuccore/U03387","NCBI Nucleotide")</f>
        <v>NCBI Nucleotide</v>
      </c>
    </row>
    <row r="8234" spans="1:27" x14ac:dyDescent="0.35">
      <c r="A8234">
        <v>1008765</v>
      </c>
      <c r="B8234">
        <v>7631</v>
      </c>
      <c r="C8234">
        <v>1</v>
      </c>
      <c r="D8234" s="17" t="s">
        <v>17166</v>
      </c>
      <c r="E8234" s="17"/>
      <c r="F8234" s="17" t="s">
        <v>17246</v>
      </c>
      <c r="G8234" s="17"/>
      <c r="H8234" s="17" t="s">
        <v>17984</v>
      </c>
      <c r="I8234" s="17"/>
      <c r="J8234" s="17" t="s">
        <v>17985</v>
      </c>
      <c r="K8234" s="17"/>
      <c r="L8234" s="17" t="s">
        <v>18111</v>
      </c>
      <c r="M8234" s="17"/>
      <c r="N8234" s="17" t="s">
        <v>18802</v>
      </c>
      <c r="O8234" s="17"/>
      <c r="P8234" s="17" t="s">
        <v>18879</v>
      </c>
      <c r="Q8234" s="17"/>
      <c r="R8234" s="25" t="str">
        <f>HYPERLINK("https://ictv.global/taxonomy/taxondetails?taxnode_id=202305440","Tobamovirus rehmanniae")</f>
        <v>Tobamovirus rehmanniae</v>
      </c>
      <c r="S8234" s="18" t="s">
        <v>30</v>
      </c>
      <c r="T8234" s="18" t="s">
        <v>18952</v>
      </c>
      <c r="U8234" s="18" t="s">
        <v>18953</v>
      </c>
      <c r="V8234" s="18" t="s">
        <v>18954</v>
      </c>
      <c r="W8234" s="18" t="s">
        <v>18955</v>
      </c>
      <c r="X8234" s="18" t="s">
        <v>42</v>
      </c>
      <c r="Y8234" s="18" t="s">
        <v>17171</v>
      </c>
      <c r="Z8234" s="18" t="s">
        <v>13441</v>
      </c>
      <c r="AA8234" s="21" t="str">
        <f>HYPERLINK("https://www.ncbi.nlm.nih.gov/nuccore/EF375551","NCBI Nucleotide")</f>
        <v>NCBI Nucleotide</v>
      </c>
    </row>
    <row r="8235" spans="1:27" x14ac:dyDescent="0.35">
      <c r="A8235">
        <v>1008754</v>
      </c>
      <c r="B8235">
        <v>7632</v>
      </c>
      <c r="C8235">
        <v>1</v>
      </c>
      <c r="D8235" s="17" t="s">
        <v>17166</v>
      </c>
      <c r="E8235" s="17"/>
      <c r="F8235" s="17" t="s">
        <v>17246</v>
      </c>
      <c r="G8235" s="17"/>
      <c r="H8235" s="17" t="s">
        <v>17984</v>
      </c>
      <c r="I8235" s="17"/>
      <c r="J8235" s="17" t="s">
        <v>17985</v>
      </c>
      <c r="K8235" s="17"/>
      <c r="L8235" s="17" t="s">
        <v>18111</v>
      </c>
      <c r="M8235" s="17"/>
      <c r="N8235" s="17" t="s">
        <v>18802</v>
      </c>
      <c r="O8235" s="17"/>
      <c r="P8235" s="17" t="s">
        <v>18879</v>
      </c>
      <c r="Q8235" s="17"/>
      <c r="R8235" s="25" t="str">
        <f>HYPERLINK("https://ictv.global/taxonomy/taxondetails?taxnode_id=202305430","Tobamovirus singaporense")</f>
        <v>Tobamovirus singaporense</v>
      </c>
      <c r="S8235" s="18" t="s">
        <v>30</v>
      </c>
      <c r="T8235" s="18" t="s">
        <v>18913</v>
      </c>
      <c r="U8235" s="18" t="s">
        <v>18914</v>
      </c>
      <c r="V8235" s="18" t="s">
        <v>18915</v>
      </c>
      <c r="W8235" s="18" t="s">
        <v>18916</v>
      </c>
      <c r="X8235" s="18" t="s">
        <v>42</v>
      </c>
      <c r="Y8235" s="18" t="s">
        <v>17171</v>
      </c>
      <c r="Z8235" s="18" t="s">
        <v>13441</v>
      </c>
      <c r="AA8235" s="21" t="str">
        <f>HYPERLINK("https://www.ncbi.nlm.nih.gov/nuccore/AF395898","NCBI Nucleotide")</f>
        <v>NCBI Nucleotide</v>
      </c>
    </row>
    <row r="8236" spans="1:27" x14ac:dyDescent="0.35">
      <c r="A8236">
        <v>1008767</v>
      </c>
      <c r="B8236">
        <v>7633</v>
      </c>
      <c r="C8236">
        <v>1</v>
      </c>
      <c r="D8236" s="17" t="s">
        <v>17166</v>
      </c>
      <c r="E8236" s="17"/>
      <c r="F8236" s="17" t="s">
        <v>17246</v>
      </c>
      <c r="G8236" s="17"/>
      <c r="H8236" s="17" t="s">
        <v>17984</v>
      </c>
      <c r="I8236" s="17"/>
      <c r="J8236" s="17" t="s">
        <v>17985</v>
      </c>
      <c r="K8236" s="17"/>
      <c r="L8236" s="17" t="s">
        <v>18111</v>
      </c>
      <c r="M8236" s="17"/>
      <c r="N8236" s="17" t="s">
        <v>18802</v>
      </c>
      <c r="O8236" s="17"/>
      <c r="P8236" s="17" t="s">
        <v>18879</v>
      </c>
      <c r="Q8236" s="17"/>
      <c r="R8236" s="25" t="str">
        <f>HYPERLINK("https://ictv.global/taxonomy/taxondetails?taxnode_id=202305443","Tobamovirus streptocarpi")</f>
        <v>Tobamovirus streptocarpi</v>
      </c>
      <c r="S8236" s="18" t="s">
        <v>30</v>
      </c>
      <c r="T8236" s="18" t="s">
        <v>18960</v>
      </c>
      <c r="U8236" s="18" t="s">
        <v>18961</v>
      </c>
      <c r="V8236" s="18" t="s">
        <v>18962</v>
      </c>
      <c r="W8236" s="18" t="s">
        <v>18963</v>
      </c>
      <c r="X8236" s="18" t="s">
        <v>42</v>
      </c>
      <c r="Y8236" s="18" t="s">
        <v>17171</v>
      </c>
      <c r="Z8236" s="18" t="s">
        <v>13441</v>
      </c>
      <c r="AA8236" s="21" t="str">
        <f>HYPERLINK("https://www.ncbi.nlm.nih.gov/nuccore/AM040955","NCBI Nucleotide")</f>
        <v>NCBI Nucleotide</v>
      </c>
    </row>
    <row r="8237" spans="1:27" x14ac:dyDescent="0.35">
      <c r="A8237">
        <v>1008771</v>
      </c>
      <c r="B8237">
        <v>7634</v>
      </c>
      <c r="C8237">
        <v>1</v>
      </c>
      <c r="D8237" s="17" t="s">
        <v>17166</v>
      </c>
      <c r="E8237" s="17"/>
      <c r="F8237" s="17" t="s">
        <v>17246</v>
      </c>
      <c r="G8237" s="17"/>
      <c r="H8237" s="17" t="s">
        <v>17984</v>
      </c>
      <c r="I8237" s="17"/>
      <c r="J8237" s="17" t="s">
        <v>17985</v>
      </c>
      <c r="K8237" s="17"/>
      <c r="L8237" s="17" t="s">
        <v>18111</v>
      </c>
      <c r="M8237" s="17"/>
      <c r="N8237" s="17" t="s">
        <v>18802</v>
      </c>
      <c r="O8237" s="17"/>
      <c r="P8237" s="17" t="s">
        <v>18879</v>
      </c>
      <c r="Q8237" s="17"/>
      <c r="R8237" s="25" t="str">
        <f>HYPERLINK("https://ictv.global/taxonomy/taxondetails?taxnode_id=202305447","Tobamovirus tabaci")</f>
        <v>Tobamovirus tabaci</v>
      </c>
      <c r="S8237" s="18" t="s">
        <v>30</v>
      </c>
      <c r="T8237" s="18" t="s">
        <v>18973</v>
      </c>
      <c r="U8237" s="18" t="s">
        <v>18974</v>
      </c>
      <c r="V8237" s="18" t="s">
        <v>9992</v>
      </c>
      <c r="W8237" s="18" t="s">
        <v>18975</v>
      </c>
      <c r="X8237" s="18" t="s">
        <v>42</v>
      </c>
      <c r="Y8237" s="18" t="s">
        <v>17171</v>
      </c>
      <c r="Z8237" s="18" t="s">
        <v>13441</v>
      </c>
      <c r="AA8237" s="21" t="str">
        <f>HYPERLINK("https://www.ncbi.nlm.nih.gov/nuccore/V01408","NCBI Nucleotide")</f>
        <v>NCBI Nucleotide</v>
      </c>
    </row>
    <row r="8238" spans="1:27" x14ac:dyDescent="0.35">
      <c r="A8238">
        <v>1008773</v>
      </c>
      <c r="B8238">
        <v>7635</v>
      </c>
      <c r="C8238">
        <v>1</v>
      </c>
      <c r="D8238" s="17" t="s">
        <v>17166</v>
      </c>
      <c r="E8238" s="17"/>
      <c r="F8238" s="17" t="s">
        <v>17246</v>
      </c>
      <c r="G8238" s="17"/>
      <c r="H8238" s="17" t="s">
        <v>17984</v>
      </c>
      <c r="I8238" s="17"/>
      <c r="J8238" s="17" t="s">
        <v>17985</v>
      </c>
      <c r="K8238" s="17"/>
      <c r="L8238" s="17" t="s">
        <v>18111</v>
      </c>
      <c r="M8238" s="17"/>
      <c r="N8238" s="17" t="s">
        <v>18802</v>
      </c>
      <c r="O8238" s="17"/>
      <c r="P8238" s="17" t="s">
        <v>18879</v>
      </c>
      <c r="Q8238" s="17"/>
      <c r="R8238" s="25" t="str">
        <f>HYPERLINK("https://ictv.global/taxonomy/taxondetails?taxnode_id=202305449","Tobamovirus tomatotessellati")</f>
        <v>Tobamovirus tomatotessellati</v>
      </c>
      <c r="S8238" s="18" t="s">
        <v>30</v>
      </c>
      <c r="T8238" s="18" t="s">
        <v>18980</v>
      </c>
      <c r="U8238" s="18" t="s">
        <v>18981</v>
      </c>
      <c r="V8238" s="18" t="s">
        <v>18982</v>
      </c>
      <c r="W8238" s="18" t="s">
        <v>18983</v>
      </c>
      <c r="X8238" s="18" t="s">
        <v>42</v>
      </c>
      <c r="Y8238" s="18" t="s">
        <v>17171</v>
      </c>
      <c r="Z8238" s="18" t="s">
        <v>13441</v>
      </c>
      <c r="AA8238" s="21" t="str">
        <f>HYPERLINK("https://www.ncbi.nlm.nih.gov/nuccore/AF332868","NCBI Nucleotide")</f>
        <v>NCBI Nucleotide</v>
      </c>
    </row>
    <row r="8239" spans="1:27" x14ac:dyDescent="0.35">
      <c r="A8239">
        <v>1008775</v>
      </c>
      <c r="B8239">
        <v>7636</v>
      </c>
      <c r="C8239">
        <v>1</v>
      </c>
      <c r="D8239" s="17" t="s">
        <v>17166</v>
      </c>
      <c r="E8239" s="17"/>
      <c r="F8239" s="17" t="s">
        <v>17246</v>
      </c>
      <c r="G8239" s="17"/>
      <c r="H8239" s="17" t="s">
        <v>17984</v>
      </c>
      <c r="I8239" s="17"/>
      <c r="J8239" s="17" t="s">
        <v>17985</v>
      </c>
      <c r="K8239" s="17"/>
      <c r="L8239" s="17" t="s">
        <v>18111</v>
      </c>
      <c r="M8239" s="17"/>
      <c r="N8239" s="17" t="s">
        <v>18802</v>
      </c>
      <c r="O8239" s="17"/>
      <c r="P8239" s="17" t="s">
        <v>18879</v>
      </c>
      <c r="Q8239" s="17"/>
      <c r="R8239" s="25" t="str">
        <f>HYPERLINK("https://ictv.global/taxonomy/taxondetails?taxnode_id=202305451","Tobamovirus tropici")</f>
        <v>Tobamovirus tropici</v>
      </c>
      <c r="S8239" s="18" t="s">
        <v>30</v>
      </c>
      <c r="T8239" s="18" t="s">
        <v>18987</v>
      </c>
      <c r="U8239" s="18" t="s">
        <v>18988</v>
      </c>
      <c r="V8239" s="18" t="s">
        <v>18989</v>
      </c>
      <c r="W8239" s="18" t="s">
        <v>18990</v>
      </c>
      <c r="X8239" s="18" t="s">
        <v>42</v>
      </c>
      <c r="Y8239" s="18" t="s">
        <v>17171</v>
      </c>
      <c r="Z8239" s="18" t="s">
        <v>13441</v>
      </c>
      <c r="AA8239" s="21" t="str">
        <f>HYPERLINK("https://www.ncbi.nlm.nih.gov/nuccore/KU659022","NCBI Nucleotide")</f>
        <v>NCBI Nucleotide</v>
      </c>
    </row>
    <row r="8240" spans="1:27" x14ac:dyDescent="0.35">
      <c r="A8240">
        <v>1008777</v>
      </c>
      <c r="B8240">
        <v>7637</v>
      </c>
      <c r="C8240">
        <v>1</v>
      </c>
      <c r="D8240" s="17" t="s">
        <v>17166</v>
      </c>
      <c r="E8240" s="17"/>
      <c r="F8240" s="17" t="s">
        <v>17246</v>
      </c>
      <c r="G8240" s="17"/>
      <c r="H8240" s="17" t="s">
        <v>17984</v>
      </c>
      <c r="I8240" s="17"/>
      <c r="J8240" s="17" t="s">
        <v>17985</v>
      </c>
      <c r="K8240" s="17"/>
      <c r="L8240" s="17" t="s">
        <v>18111</v>
      </c>
      <c r="M8240" s="17"/>
      <c r="N8240" s="17" t="s">
        <v>18802</v>
      </c>
      <c r="O8240" s="17"/>
      <c r="P8240" s="17" t="s">
        <v>18879</v>
      </c>
      <c r="Q8240" s="17"/>
      <c r="R8240" s="25" t="str">
        <f>HYPERLINK("https://ictv.global/taxonomy/taxondetails?taxnode_id=202305453","Tobamovirus ulluci")</f>
        <v>Tobamovirus ulluci</v>
      </c>
      <c r="S8240" s="18" t="s">
        <v>30</v>
      </c>
      <c r="T8240" s="18" t="s">
        <v>18995</v>
      </c>
      <c r="U8240" s="18" t="s">
        <v>18996</v>
      </c>
      <c r="V8240" s="18"/>
      <c r="W8240" s="18"/>
      <c r="X8240" s="18" t="s">
        <v>3311</v>
      </c>
      <c r="Y8240" s="18" t="s">
        <v>17171</v>
      </c>
      <c r="Z8240" s="18" t="s">
        <v>13441</v>
      </c>
      <c r="AA8240" s="21"/>
    </row>
    <row r="8241" spans="1:27" x14ac:dyDescent="0.35">
      <c r="A8241">
        <v>1008750</v>
      </c>
      <c r="B8241">
        <v>7638</v>
      </c>
      <c r="C8241">
        <v>1</v>
      </c>
      <c r="D8241" s="17" t="s">
        <v>17166</v>
      </c>
      <c r="E8241" s="17"/>
      <c r="F8241" s="17" t="s">
        <v>17246</v>
      </c>
      <c r="G8241" s="17"/>
      <c r="H8241" s="17" t="s">
        <v>17984</v>
      </c>
      <c r="I8241" s="17"/>
      <c r="J8241" s="17" t="s">
        <v>17985</v>
      </c>
      <c r="K8241" s="17"/>
      <c r="L8241" s="17" t="s">
        <v>18111</v>
      </c>
      <c r="M8241" s="17"/>
      <c r="N8241" s="17" t="s">
        <v>18802</v>
      </c>
      <c r="O8241" s="17"/>
      <c r="P8241" s="17" t="s">
        <v>18879</v>
      </c>
      <c r="Q8241" s="17"/>
      <c r="R8241" s="25" t="str">
        <f>HYPERLINK("https://ictv.global/taxonomy/taxondetails?taxnode_id=202305426","Tobamovirus viridimaculae")</f>
        <v>Tobamovirus viridimaculae</v>
      </c>
      <c r="S8241" s="18" t="s">
        <v>30</v>
      </c>
      <c r="T8241" s="18" t="s">
        <v>18897</v>
      </c>
      <c r="U8241" s="18" t="s">
        <v>18898</v>
      </c>
      <c r="V8241" s="18" t="s">
        <v>18899</v>
      </c>
      <c r="W8241" s="18" t="s">
        <v>18900</v>
      </c>
      <c r="X8241" s="18" t="s">
        <v>42</v>
      </c>
      <c r="Y8241" s="18" t="s">
        <v>17171</v>
      </c>
      <c r="Z8241" s="18" t="s">
        <v>13441</v>
      </c>
      <c r="AA8241" s="21" t="str">
        <f>HYPERLINK("https://www.ncbi.nlm.nih.gov/nuccore/D12505","NCBI Nucleotide")</f>
        <v>NCBI Nucleotide</v>
      </c>
    </row>
    <row r="8242" spans="1:27" x14ac:dyDescent="0.35">
      <c r="A8242">
        <v>1008778</v>
      </c>
      <c r="B8242">
        <v>7639</v>
      </c>
      <c r="C8242">
        <v>1</v>
      </c>
      <c r="D8242" s="17" t="s">
        <v>17166</v>
      </c>
      <c r="E8242" s="17"/>
      <c r="F8242" s="17" t="s">
        <v>17246</v>
      </c>
      <c r="G8242" s="17"/>
      <c r="H8242" s="17" t="s">
        <v>17984</v>
      </c>
      <c r="I8242" s="17"/>
      <c r="J8242" s="17" t="s">
        <v>17985</v>
      </c>
      <c r="K8242" s="17"/>
      <c r="L8242" s="17" t="s">
        <v>18111</v>
      </c>
      <c r="M8242" s="17"/>
      <c r="N8242" s="17" t="s">
        <v>18802</v>
      </c>
      <c r="O8242" s="17"/>
      <c r="P8242" s="17" t="s">
        <v>18879</v>
      </c>
      <c r="Q8242" s="17"/>
      <c r="R8242" s="25" t="str">
        <f>HYPERLINK("https://ictv.global/taxonomy/taxondetails?taxnode_id=202305454","Tobamovirus wasabi")</f>
        <v>Tobamovirus wasabi</v>
      </c>
      <c r="S8242" s="18" t="s">
        <v>30</v>
      </c>
      <c r="T8242" s="18" t="s">
        <v>18997</v>
      </c>
      <c r="U8242" s="18" t="s">
        <v>18998</v>
      </c>
      <c r="V8242" s="18" t="s">
        <v>18999</v>
      </c>
      <c r="W8242" s="18" t="s">
        <v>19000</v>
      </c>
      <c r="X8242" s="18" t="s">
        <v>42</v>
      </c>
      <c r="Y8242" s="18" t="s">
        <v>17171</v>
      </c>
      <c r="Z8242" s="18" t="s">
        <v>13441</v>
      </c>
      <c r="AA8242" s="21" t="str">
        <f>HYPERLINK("https://www.ncbi.nlm.nih.gov/nuccore/AB017503","NCBI Nucleotide")</f>
        <v>NCBI Nucleotide</v>
      </c>
    </row>
    <row r="8243" spans="1:27" x14ac:dyDescent="0.35">
      <c r="A8243">
        <v>1008780</v>
      </c>
      <c r="B8243">
        <v>7640</v>
      </c>
      <c r="C8243">
        <v>1</v>
      </c>
      <c r="D8243" s="17" t="s">
        <v>17166</v>
      </c>
      <c r="E8243" s="17"/>
      <c r="F8243" s="17" t="s">
        <v>17246</v>
      </c>
      <c r="G8243" s="17"/>
      <c r="H8243" s="17" t="s">
        <v>17984</v>
      </c>
      <c r="I8243" s="17"/>
      <c r="J8243" s="17" t="s">
        <v>17985</v>
      </c>
      <c r="K8243" s="17"/>
      <c r="L8243" s="17" t="s">
        <v>18111</v>
      </c>
      <c r="M8243" s="17"/>
      <c r="N8243" s="17" t="s">
        <v>18802</v>
      </c>
      <c r="O8243" s="17"/>
      <c r="P8243" s="17" t="s">
        <v>18879</v>
      </c>
      <c r="Q8243" s="17"/>
      <c r="R8243" s="25" t="str">
        <f>HYPERLINK("https://ictv.global/taxonomy/taxondetails?taxnode_id=202305456","Tobamovirus youcai")</f>
        <v>Tobamovirus youcai</v>
      </c>
      <c r="S8243" s="18" t="s">
        <v>30</v>
      </c>
      <c r="T8243" s="18" t="s">
        <v>19005</v>
      </c>
      <c r="U8243" s="18" t="s">
        <v>19006</v>
      </c>
      <c r="V8243" s="18"/>
      <c r="W8243" s="18" t="s">
        <v>19007</v>
      </c>
      <c r="X8243" s="18" t="s">
        <v>42</v>
      </c>
      <c r="Y8243" s="18" t="s">
        <v>17171</v>
      </c>
      <c r="Z8243" s="18" t="s">
        <v>13441</v>
      </c>
      <c r="AA8243" s="21" t="str">
        <f>HYPERLINK("https://www.ncbi.nlm.nih.gov/nuccore/U30944","NCBI Nucleotide")</f>
        <v>NCBI Nucleotide</v>
      </c>
    </row>
    <row r="8244" spans="1:27" x14ac:dyDescent="0.35">
      <c r="A8244">
        <v>1008783</v>
      </c>
      <c r="B8244">
        <v>7641</v>
      </c>
      <c r="C8244">
        <v>1</v>
      </c>
      <c r="D8244" s="17" t="s">
        <v>17166</v>
      </c>
      <c r="E8244" s="17"/>
      <c r="F8244" s="17" t="s">
        <v>17246</v>
      </c>
      <c r="G8244" s="17"/>
      <c r="H8244" s="17" t="s">
        <v>17984</v>
      </c>
      <c r="I8244" s="17"/>
      <c r="J8244" s="17" t="s">
        <v>17985</v>
      </c>
      <c r="K8244" s="17"/>
      <c r="L8244" s="17" t="s">
        <v>18111</v>
      </c>
      <c r="M8244" s="17"/>
      <c r="N8244" s="17" t="s">
        <v>18802</v>
      </c>
      <c r="O8244" s="17"/>
      <c r="P8244" s="17" t="s">
        <v>19012</v>
      </c>
      <c r="Q8244" s="17"/>
      <c r="R8244" s="25" t="str">
        <f>HYPERLINK("https://ictv.global/taxonomy/taxondetails?taxnode_id=202305460","Tobravirus capsici")</f>
        <v>Tobravirus capsici</v>
      </c>
      <c r="S8244" s="18" t="s">
        <v>30</v>
      </c>
      <c r="T8244" s="18" t="s">
        <v>19017</v>
      </c>
      <c r="U8244" s="18" t="s">
        <v>19018</v>
      </c>
      <c r="V8244" s="18" t="s">
        <v>19019</v>
      </c>
      <c r="W8244" s="18" t="s">
        <v>19020</v>
      </c>
      <c r="X8244" s="18" t="s">
        <v>42</v>
      </c>
      <c r="Y8244" s="18" t="s">
        <v>17171</v>
      </c>
      <c r="Z8244" s="18" t="s">
        <v>13441</v>
      </c>
      <c r="AA8244" s="21" t="str">
        <f>HYPERLINK("https://www.ncbi.nlm.nih.gov/nuccore/L23972,X03241","NCBI Nucleotide")</f>
        <v>NCBI Nucleotide</v>
      </c>
    </row>
    <row r="8245" spans="1:27" x14ac:dyDescent="0.35">
      <c r="A8245">
        <v>1008782</v>
      </c>
      <c r="B8245">
        <v>7642</v>
      </c>
      <c r="C8245">
        <v>1</v>
      </c>
      <c r="D8245" s="17" t="s">
        <v>17166</v>
      </c>
      <c r="E8245" s="17"/>
      <c r="F8245" s="17" t="s">
        <v>17246</v>
      </c>
      <c r="G8245" s="17"/>
      <c r="H8245" s="17" t="s">
        <v>17984</v>
      </c>
      <c r="I8245" s="17"/>
      <c r="J8245" s="17" t="s">
        <v>17985</v>
      </c>
      <c r="K8245" s="17"/>
      <c r="L8245" s="17" t="s">
        <v>18111</v>
      </c>
      <c r="M8245" s="17"/>
      <c r="N8245" s="17" t="s">
        <v>18802</v>
      </c>
      <c r="O8245" s="17"/>
      <c r="P8245" s="17" t="s">
        <v>19012</v>
      </c>
      <c r="Q8245" s="17"/>
      <c r="R8245" s="25" t="str">
        <f>HYPERLINK("https://ictv.global/taxonomy/taxondetails?taxnode_id=202305459","Tobravirus pisi")</f>
        <v>Tobravirus pisi</v>
      </c>
      <c r="S8245" s="18" t="s">
        <v>30</v>
      </c>
      <c r="T8245" s="18" t="s">
        <v>19013</v>
      </c>
      <c r="U8245" s="18" t="s">
        <v>19014</v>
      </c>
      <c r="V8245" s="18" t="s">
        <v>19015</v>
      </c>
      <c r="W8245" s="18" t="s">
        <v>19016</v>
      </c>
      <c r="X8245" s="18" t="s">
        <v>42</v>
      </c>
      <c r="Y8245" s="18" t="s">
        <v>17171</v>
      </c>
      <c r="Z8245" s="18" t="s">
        <v>13441</v>
      </c>
      <c r="AA8245" s="21" t="str">
        <f>HYPERLINK("https://www.ncbi.nlm.nih.gov/nuccore/X14006,X51828","NCBI Nucleotide")</f>
        <v>NCBI Nucleotide</v>
      </c>
    </row>
    <row r="8246" spans="1:27" x14ac:dyDescent="0.35">
      <c r="A8246">
        <v>1008784</v>
      </c>
      <c r="B8246">
        <v>7643</v>
      </c>
      <c r="C8246">
        <v>1</v>
      </c>
      <c r="D8246" s="17" t="s">
        <v>17166</v>
      </c>
      <c r="E8246" s="17"/>
      <c r="F8246" s="17" t="s">
        <v>17246</v>
      </c>
      <c r="G8246" s="17"/>
      <c r="H8246" s="17" t="s">
        <v>17984</v>
      </c>
      <c r="I8246" s="17"/>
      <c r="J8246" s="17" t="s">
        <v>17985</v>
      </c>
      <c r="K8246" s="17"/>
      <c r="L8246" s="17" t="s">
        <v>18111</v>
      </c>
      <c r="M8246" s="17"/>
      <c r="N8246" s="17" t="s">
        <v>18802</v>
      </c>
      <c r="O8246" s="17"/>
      <c r="P8246" s="17" t="s">
        <v>19012</v>
      </c>
      <c r="Q8246" s="17"/>
      <c r="R8246" s="25" t="str">
        <f>HYPERLINK("https://ictv.global/taxonomy/taxondetails?taxnode_id=202305461","Tobravirus tabaci")</f>
        <v>Tobravirus tabaci</v>
      </c>
      <c r="S8246" s="18" t="s">
        <v>30</v>
      </c>
      <c r="T8246" s="18" t="s">
        <v>19021</v>
      </c>
      <c r="U8246" s="18" t="s">
        <v>19022</v>
      </c>
      <c r="V8246" s="18" t="s">
        <v>19023</v>
      </c>
      <c r="W8246" s="18" t="s">
        <v>19024</v>
      </c>
      <c r="X8246" s="18" t="s">
        <v>42</v>
      </c>
      <c r="Y8246" s="18" t="s">
        <v>17171</v>
      </c>
      <c r="Z8246" s="18" t="s">
        <v>13441</v>
      </c>
      <c r="AA8246" s="21" t="str">
        <f>HYPERLINK("https://www.ncbi.nlm.nih.gov/nuccore/AF166084,Z36974","NCBI Nucleotide")</f>
        <v>NCBI Nucleotide</v>
      </c>
    </row>
    <row r="8247" spans="1:27" x14ac:dyDescent="0.35">
      <c r="A8247">
        <v>1008785</v>
      </c>
      <c r="B8247">
        <v>7644</v>
      </c>
      <c r="C8247">
        <v>1</v>
      </c>
      <c r="D8247" s="17" t="s">
        <v>17166</v>
      </c>
      <c r="E8247" s="17"/>
      <c r="F8247" s="17" t="s">
        <v>17246</v>
      </c>
      <c r="G8247" s="17"/>
      <c r="H8247" s="17" t="s">
        <v>17984</v>
      </c>
      <c r="I8247" s="17"/>
      <c r="J8247" s="17" t="s">
        <v>17985</v>
      </c>
      <c r="K8247" s="17"/>
      <c r="L8247" s="17" t="s">
        <v>19025</v>
      </c>
      <c r="M8247" s="17"/>
      <c r="N8247" s="17" t="s">
        <v>19026</v>
      </c>
      <c r="O8247" s="17"/>
      <c r="P8247" s="17" t="s">
        <v>19027</v>
      </c>
      <c r="Q8247" s="17" t="s">
        <v>19050</v>
      </c>
      <c r="R8247" s="25" t="str">
        <f>HYPERLINK("https://ictv.global/taxonomy/taxondetails?taxnode_id=202302176","Allexivirus alphallii")</f>
        <v>Allexivirus alphallii</v>
      </c>
      <c r="S8247" s="18" t="s">
        <v>30</v>
      </c>
      <c r="T8247" s="18" t="s">
        <v>19051</v>
      </c>
      <c r="U8247" s="18" t="s">
        <v>19052</v>
      </c>
      <c r="V8247" s="18" t="s">
        <v>19053</v>
      </c>
      <c r="W8247" s="18" t="s">
        <v>19054</v>
      </c>
      <c r="X8247" s="18" t="s">
        <v>42</v>
      </c>
      <c r="Y8247" s="18" t="s">
        <v>17171</v>
      </c>
      <c r="Z8247" s="18" t="s">
        <v>13441</v>
      </c>
      <c r="AA8247" s="21" t="str">
        <f>HYPERLINK("https://www.ncbi.nlm.nih.gov/nuccore/AB010300","NCBI Nucleotide")</f>
        <v>NCBI Nucleotide</v>
      </c>
    </row>
    <row r="8248" spans="1:27" x14ac:dyDescent="0.35">
      <c r="A8248">
        <v>1008786</v>
      </c>
      <c r="B8248">
        <v>7645</v>
      </c>
      <c r="C8248">
        <v>1</v>
      </c>
      <c r="D8248" s="17" t="s">
        <v>17166</v>
      </c>
      <c r="E8248" s="17"/>
      <c r="F8248" s="17" t="s">
        <v>17246</v>
      </c>
      <c r="G8248" s="17"/>
      <c r="H8248" s="17" t="s">
        <v>17984</v>
      </c>
      <c r="I8248" s="17"/>
      <c r="J8248" s="17" t="s">
        <v>17985</v>
      </c>
      <c r="K8248" s="17"/>
      <c r="L8248" s="17" t="s">
        <v>19025</v>
      </c>
      <c r="M8248" s="17"/>
      <c r="N8248" s="17" t="s">
        <v>19026</v>
      </c>
      <c r="O8248" s="17"/>
      <c r="P8248" s="17" t="s">
        <v>19027</v>
      </c>
      <c r="Q8248" s="17" t="s">
        <v>19050</v>
      </c>
      <c r="R8248" s="25" t="str">
        <f>HYPERLINK("https://ictv.global/taxonomy/taxondetails?taxnode_id=202302177","Allexivirus betallii")</f>
        <v>Allexivirus betallii</v>
      </c>
      <c r="S8248" s="18" t="s">
        <v>30</v>
      </c>
      <c r="T8248" s="18" t="s">
        <v>19055</v>
      </c>
      <c r="U8248" s="18" t="s">
        <v>19056</v>
      </c>
      <c r="V8248" s="18" t="s">
        <v>19057</v>
      </c>
      <c r="W8248" s="18" t="s">
        <v>19058</v>
      </c>
      <c r="X8248" s="18" t="s">
        <v>42</v>
      </c>
      <c r="Y8248" s="18" t="s">
        <v>17171</v>
      </c>
      <c r="Z8248" s="18" t="s">
        <v>13441</v>
      </c>
      <c r="AA8248" s="21" t="str">
        <f>HYPERLINK("https://www.ncbi.nlm.nih.gov/nuccore/KM379144","NCBI Nucleotide")</f>
        <v>NCBI Nucleotide</v>
      </c>
    </row>
    <row r="8249" spans="1:27" x14ac:dyDescent="0.35">
      <c r="A8249">
        <v>1008787</v>
      </c>
      <c r="B8249">
        <v>7646</v>
      </c>
      <c r="C8249">
        <v>1</v>
      </c>
      <c r="D8249" s="17" t="s">
        <v>17166</v>
      </c>
      <c r="E8249" s="17"/>
      <c r="F8249" s="17" t="s">
        <v>17246</v>
      </c>
      <c r="G8249" s="17"/>
      <c r="H8249" s="17" t="s">
        <v>17984</v>
      </c>
      <c r="I8249" s="17"/>
      <c r="J8249" s="17" t="s">
        <v>17985</v>
      </c>
      <c r="K8249" s="17"/>
      <c r="L8249" s="17" t="s">
        <v>19025</v>
      </c>
      <c r="M8249" s="17"/>
      <c r="N8249" s="17" t="s">
        <v>19026</v>
      </c>
      <c r="O8249" s="17"/>
      <c r="P8249" s="17" t="s">
        <v>19027</v>
      </c>
      <c r="Q8249" s="17" t="s">
        <v>19050</v>
      </c>
      <c r="R8249" s="25" t="str">
        <f>HYPERLINK("https://ictv.global/taxonomy/taxondetails?taxnode_id=202302178","Allexivirus chiallii")</f>
        <v>Allexivirus chiallii</v>
      </c>
      <c r="S8249" s="18" t="s">
        <v>30</v>
      </c>
      <c r="T8249" s="18" t="s">
        <v>19059</v>
      </c>
      <c r="U8249" s="18" t="s">
        <v>19060</v>
      </c>
      <c r="V8249" s="18" t="s">
        <v>19053</v>
      </c>
      <c r="W8249" s="18" t="s">
        <v>19061</v>
      </c>
      <c r="X8249" s="18" t="s">
        <v>42</v>
      </c>
      <c r="Y8249" s="18" t="s">
        <v>17171</v>
      </c>
      <c r="Z8249" s="18" t="s">
        <v>13441</v>
      </c>
      <c r="AA8249" s="21" t="str">
        <f>HYPERLINK("https://www.ncbi.nlm.nih.gov/nuccore/AB010302","NCBI Nucleotide")</f>
        <v>NCBI Nucleotide</v>
      </c>
    </row>
    <row r="8250" spans="1:27" x14ac:dyDescent="0.35">
      <c r="A8250">
        <v>1008788</v>
      </c>
      <c r="B8250">
        <v>7647</v>
      </c>
      <c r="C8250">
        <v>1</v>
      </c>
      <c r="D8250" s="17" t="s">
        <v>17166</v>
      </c>
      <c r="E8250" s="17"/>
      <c r="F8250" s="17" t="s">
        <v>17246</v>
      </c>
      <c r="G8250" s="17"/>
      <c r="H8250" s="17" t="s">
        <v>17984</v>
      </c>
      <c r="I8250" s="17"/>
      <c r="J8250" s="17" t="s">
        <v>17985</v>
      </c>
      <c r="K8250" s="17"/>
      <c r="L8250" s="17" t="s">
        <v>19025</v>
      </c>
      <c r="M8250" s="17"/>
      <c r="N8250" s="17" t="s">
        <v>19026</v>
      </c>
      <c r="O8250" s="17"/>
      <c r="P8250" s="17" t="s">
        <v>19027</v>
      </c>
      <c r="Q8250" s="17" t="s">
        <v>19050</v>
      </c>
      <c r="R8250" s="25" t="str">
        <f>HYPERLINK("https://ictv.global/taxonomy/taxondetails?taxnode_id=202302179","Allexivirus deltallii")</f>
        <v>Allexivirus deltallii</v>
      </c>
      <c r="S8250" s="18" t="s">
        <v>30</v>
      </c>
      <c r="T8250" s="18" t="s">
        <v>19062</v>
      </c>
      <c r="U8250" s="18" t="s">
        <v>19063</v>
      </c>
      <c r="V8250" s="18" t="s">
        <v>19064</v>
      </c>
      <c r="W8250" s="18" t="s">
        <v>19065</v>
      </c>
      <c r="X8250" s="18" t="s">
        <v>42</v>
      </c>
      <c r="Y8250" s="18" t="s">
        <v>17171</v>
      </c>
      <c r="Z8250" s="18" t="s">
        <v>13441</v>
      </c>
      <c r="AA8250" s="21" t="str">
        <f>HYPERLINK("https://www.ncbi.nlm.nih.gov/nuccore/KF555653","NCBI Nucleotide")</f>
        <v>NCBI Nucleotide</v>
      </c>
    </row>
    <row r="8251" spans="1:27" x14ac:dyDescent="0.35">
      <c r="A8251">
        <v>1008790</v>
      </c>
      <c r="B8251">
        <v>7648</v>
      </c>
      <c r="C8251">
        <v>1</v>
      </c>
      <c r="D8251" s="17" t="s">
        <v>17166</v>
      </c>
      <c r="E8251" s="17"/>
      <c r="F8251" s="17" t="s">
        <v>17246</v>
      </c>
      <c r="G8251" s="17"/>
      <c r="H8251" s="17" t="s">
        <v>17984</v>
      </c>
      <c r="I8251" s="17"/>
      <c r="J8251" s="17" t="s">
        <v>17985</v>
      </c>
      <c r="K8251" s="17"/>
      <c r="L8251" s="17" t="s">
        <v>19025</v>
      </c>
      <c r="M8251" s="17"/>
      <c r="N8251" s="17" t="s">
        <v>19026</v>
      </c>
      <c r="O8251" s="17"/>
      <c r="P8251" s="17" t="s">
        <v>19027</v>
      </c>
      <c r="Q8251" s="17" t="s">
        <v>19050</v>
      </c>
      <c r="R8251" s="25" t="str">
        <f>HYPERLINK("https://ictv.global/taxonomy/taxondetails?taxnode_id=202302181","Allexivirus ecsallii")</f>
        <v>Allexivirus ecsallii</v>
      </c>
      <c r="S8251" s="18" t="s">
        <v>30</v>
      </c>
      <c r="T8251" s="18" t="s">
        <v>19069</v>
      </c>
      <c r="U8251" s="18" t="s">
        <v>19070</v>
      </c>
      <c r="V8251" s="18" t="s">
        <v>19071</v>
      </c>
      <c r="W8251" s="18" t="s">
        <v>19072</v>
      </c>
      <c r="X8251" s="18" t="s">
        <v>42</v>
      </c>
      <c r="Y8251" s="18" t="s">
        <v>17171</v>
      </c>
      <c r="Z8251" s="18" t="s">
        <v>13441</v>
      </c>
      <c r="AA8251" s="21" t="str">
        <f>HYPERLINK("https://www.ncbi.nlm.nih.gov/nuccore/U89243","NCBI Nucleotide")</f>
        <v>NCBI Nucleotide</v>
      </c>
    </row>
    <row r="8252" spans="1:27" x14ac:dyDescent="0.35">
      <c r="A8252">
        <v>1008791</v>
      </c>
      <c r="B8252">
        <v>7649</v>
      </c>
      <c r="C8252">
        <v>1</v>
      </c>
      <c r="D8252" s="17" t="s">
        <v>17166</v>
      </c>
      <c r="E8252" s="17"/>
      <c r="F8252" s="17" t="s">
        <v>17246</v>
      </c>
      <c r="G8252" s="17"/>
      <c r="H8252" s="17" t="s">
        <v>17984</v>
      </c>
      <c r="I8252" s="17"/>
      <c r="J8252" s="17" t="s">
        <v>17985</v>
      </c>
      <c r="K8252" s="17"/>
      <c r="L8252" s="17" t="s">
        <v>19025</v>
      </c>
      <c r="M8252" s="17"/>
      <c r="N8252" s="17" t="s">
        <v>19026</v>
      </c>
      <c r="O8252" s="17"/>
      <c r="P8252" s="17" t="s">
        <v>19027</v>
      </c>
      <c r="Q8252" s="17" t="s">
        <v>19050</v>
      </c>
      <c r="R8252" s="25" t="str">
        <f>HYPERLINK("https://ictv.global/taxonomy/taxondetails?taxnode_id=202302182","Allexivirus ecsascalonicum")</f>
        <v>Allexivirus ecsascalonicum</v>
      </c>
      <c r="S8252" s="18" t="s">
        <v>30</v>
      </c>
      <c r="T8252" s="18" t="s">
        <v>19073</v>
      </c>
      <c r="U8252" s="18" t="s">
        <v>19074</v>
      </c>
      <c r="V8252" s="18" t="s">
        <v>19075</v>
      </c>
      <c r="W8252" s="18" t="s">
        <v>19076</v>
      </c>
      <c r="X8252" s="18" t="s">
        <v>42</v>
      </c>
      <c r="Y8252" s="18" t="s">
        <v>17171</v>
      </c>
      <c r="Z8252" s="18" t="s">
        <v>13441</v>
      </c>
      <c r="AA8252" s="21" t="str">
        <f>HYPERLINK("https://www.ncbi.nlm.nih.gov/nuccore/M97264","NCBI Nucleotide")</f>
        <v>NCBI Nucleotide</v>
      </c>
    </row>
    <row r="8253" spans="1:27" x14ac:dyDescent="0.35">
      <c r="A8253">
        <v>1008789</v>
      </c>
      <c r="B8253">
        <v>7650</v>
      </c>
      <c r="C8253">
        <v>1</v>
      </c>
      <c r="D8253" s="17" t="s">
        <v>17166</v>
      </c>
      <c r="E8253" s="17"/>
      <c r="F8253" s="17" t="s">
        <v>17246</v>
      </c>
      <c r="G8253" s="17"/>
      <c r="H8253" s="17" t="s">
        <v>17984</v>
      </c>
      <c r="I8253" s="17"/>
      <c r="J8253" s="17" t="s">
        <v>17985</v>
      </c>
      <c r="K8253" s="17"/>
      <c r="L8253" s="17" t="s">
        <v>19025</v>
      </c>
      <c r="M8253" s="17"/>
      <c r="N8253" s="17" t="s">
        <v>19026</v>
      </c>
      <c r="O8253" s="17"/>
      <c r="P8253" s="17" t="s">
        <v>19027</v>
      </c>
      <c r="Q8253" s="17" t="s">
        <v>19050</v>
      </c>
      <c r="R8253" s="25" t="str">
        <f>HYPERLINK("https://ictv.global/taxonomy/taxondetails?taxnode_id=202302180","Allexivirus epsalii")</f>
        <v>Allexivirus epsalii</v>
      </c>
      <c r="S8253" s="18" t="s">
        <v>30</v>
      </c>
      <c r="T8253" s="18" t="s">
        <v>19066</v>
      </c>
      <c r="U8253" s="18" t="s">
        <v>19067</v>
      </c>
      <c r="V8253" s="18" t="s">
        <v>13954</v>
      </c>
      <c r="W8253" s="18" t="s">
        <v>19068</v>
      </c>
      <c r="X8253" s="18" t="s">
        <v>42</v>
      </c>
      <c r="Y8253" s="18" t="s">
        <v>17171</v>
      </c>
      <c r="Z8253" s="18" t="s">
        <v>13441</v>
      </c>
      <c r="AA8253" s="21" t="str">
        <f>HYPERLINK("https://www.ncbi.nlm.nih.gov/nuccore/AJ292230","NCBI Nucleotide")</f>
        <v>NCBI Nucleotide</v>
      </c>
    </row>
    <row r="8254" spans="1:27" x14ac:dyDescent="0.35">
      <c r="A8254">
        <v>1008794</v>
      </c>
      <c r="B8254">
        <v>7651</v>
      </c>
      <c r="C8254">
        <v>1</v>
      </c>
      <c r="D8254" s="17" t="s">
        <v>17166</v>
      </c>
      <c r="E8254" s="17"/>
      <c r="F8254" s="17" t="s">
        <v>17246</v>
      </c>
      <c r="G8254" s="17"/>
      <c r="H8254" s="17" t="s">
        <v>17984</v>
      </c>
      <c r="I8254" s="17"/>
      <c r="J8254" s="17" t="s">
        <v>17985</v>
      </c>
      <c r="K8254" s="17"/>
      <c r="L8254" s="17" t="s">
        <v>19025</v>
      </c>
      <c r="M8254" s="17"/>
      <c r="N8254" s="17" t="s">
        <v>19026</v>
      </c>
      <c r="O8254" s="17"/>
      <c r="P8254" s="17" t="s">
        <v>19027</v>
      </c>
      <c r="Q8254" s="17"/>
      <c r="R8254" s="25" t="str">
        <f>HYPERLINK("https://ictv.global/taxonomy/taxondetails?taxnode_id=202302231","Allexivirus epsilonrubi")</f>
        <v>Allexivirus epsilonrubi</v>
      </c>
      <c r="S8254" s="18" t="s">
        <v>30</v>
      </c>
      <c r="T8254" s="18" t="s">
        <v>19036</v>
      </c>
      <c r="U8254" s="18" t="s">
        <v>19037</v>
      </c>
      <c r="V8254" s="18" t="s">
        <v>19038</v>
      </c>
      <c r="W8254" s="18" t="s">
        <v>19039</v>
      </c>
      <c r="X8254" s="18" t="s">
        <v>42</v>
      </c>
      <c r="Y8254" s="18" t="s">
        <v>17171</v>
      </c>
      <c r="Z8254" s="18" t="s">
        <v>13441</v>
      </c>
      <c r="AA8254" s="21" t="str">
        <f>HYPERLINK("https://www.ncbi.nlm.nih.gov/nuccore/JN053266","NCBI Nucleotide")</f>
        <v>NCBI Nucleotide</v>
      </c>
    </row>
    <row r="8255" spans="1:27" x14ac:dyDescent="0.35">
      <c r="A8255">
        <v>1008795</v>
      </c>
      <c r="B8255">
        <v>7652</v>
      </c>
      <c r="C8255">
        <v>1</v>
      </c>
      <c r="D8255" s="17" t="s">
        <v>17166</v>
      </c>
      <c r="E8255" s="17"/>
      <c r="F8255" s="17" t="s">
        <v>17246</v>
      </c>
      <c r="G8255" s="17"/>
      <c r="H8255" s="17" t="s">
        <v>17984</v>
      </c>
      <c r="I8255" s="17"/>
      <c r="J8255" s="17" t="s">
        <v>17985</v>
      </c>
      <c r="K8255" s="17"/>
      <c r="L8255" s="17" t="s">
        <v>19025</v>
      </c>
      <c r="M8255" s="17"/>
      <c r="N8255" s="17" t="s">
        <v>19026</v>
      </c>
      <c r="O8255" s="17"/>
      <c r="P8255" s="17" t="s">
        <v>19027</v>
      </c>
      <c r="Q8255" s="17"/>
      <c r="R8255" s="25" t="str">
        <f>HYPERLINK("https://ictv.global/taxonomy/taxondetails?taxnode_id=202302175","Allexivirus filumallii")</f>
        <v>Allexivirus filumallii</v>
      </c>
      <c r="S8255" s="18" t="s">
        <v>30</v>
      </c>
      <c r="T8255" s="18" t="s">
        <v>19040</v>
      </c>
      <c r="U8255" s="18" t="s">
        <v>19041</v>
      </c>
      <c r="V8255" s="18"/>
      <c r="W8255" s="18" t="s">
        <v>19042</v>
      </c>
      <c r="X8255" s="18" t="s">
        <v>154</v>
      </c>
      <c r="Y8255" s="18" t="s">
        <v>17171</v>
      </c>
      <c r="Z8255" s="18" t="s">
        <v>13441</v>
      </c>
      <c r="AA8255" s="21" t="str">
        <f>HYPERLINK("https://www.ncbi.nlm.nih.gov/nuccore/X98991","NCBI Nucleotide")</f>
        <v>NCBI Nucleotide</v>
      </c>
    </row>
    <row r="8256" spans="1:27" x14ac:dyDescent="0.35">
      <c r="A8256">
        <v>1008797</v>
      </c>
      <c r="B8256">
        <v>7653</v>
      </c>
      <c r="C8256">
        <v>1</v>
      </c>
      <c r="D8256" s="17" t="s">
        <v>17166</v>
      </c>
      <c r="E8256" s="17"/>
      <c r="F8256" s="17" t="s">
        <v>17246</v>
      </c>
      <c r="G8256" s="17"/>
      <c r="H8256" s="17" t="s">
        <v>17984</v>
      </c>
      <c r="I8256" s="17"/>
      <c r="J8256" s="17" t="s">
        <v>17985</v>
      </c>
      <c r="K8256" s="17"/>
      <c r="L8256" s="17" t="s">
        <v>19025</v>
      </c>
      <c r="M8256" s="17"/>
      <c r="N8256" s="17" t="s">
        <v>19026</v>
      </c>
      <c r="O8256" s="17"/>
      <c r="P8256" s="17" t="s">
        <v>19027</v>
      </c>
      <c r="Q8256" s="17"/>
      <c r="R8256" s="25" t="str">
        <f>HYPERLINK("https://ictv.global/taxonomy/taxondetails?taxnode_id=202305633","Allexivirus latensvanillae")</f>
        <v>Allexivirus latensvanillae</v>
      </c>
      <c r="S8256" s="18" t="s">
        <v>30</v>
      </c>
      <c r="T8256" s="18" t="s">
        <v>19046</v>
      </c>
      <c r="U8256" s="18" t="s">
        <v>19047</v>
      </c>
      <c r="V8256" s="18" t="s">
        <v>19048</v>
      </c>
      <c r="W8256" s="18" t="s">
        <v>19049</v>
      </c>
      <c r="X8256" s="18" t="s">
        <v>42</v>
      </c>
      <c r="Y8256" s="18" t="s">
        <v>17171</v>
      </c>
      <c r="Z8256" s="18" t="s">
        <v>13441</v>
      </c>
      <c r="AA8256" s="21" t="str">
        <f>HYPERLINK("https://www.ncbi.nlm.nih.gov/nuccore/MF150239","NCBI Nucleotide")</f>
        <v>NCBI Nucleotide</v>
      </c>
    </row>
    <row r="8257" spans="1:27" x14ac:dyDescent="0.35">
      <c r="A8257">
        <v>1008793</v>
      </c>
      <c r="B8257">
        <v>7654</v>
      </c>
      <c r="C8257">
        <v>1</v>
      </c>
      <c r="D8257" s="17" t="s">
        <v>17166</v>
      </c>
      <c r="E8257" s="17"/>
      <c r="F8257" s="17" t="s">
        <v>17246</v>
      </c>
      <c r="G8257" s="17"/>
      <c r="H8257" s="17" t="s">
        <v>17984</v>
      </c>
      <c r="I8257" s="17"/>
      <c r="J8257" s="17" t="s">
        <v>17985</v>
      </c>
      <c r="K8257" s="17"/>
      <c r="L8257" s="17" t="s">
        <v>19025</v>
      </c>
      <c r="M8257" s="17"/>
      <c r="N8257" s="17" t="s">
        <v>19026</v>
      </c>
      <c r="O8257" s="17"/>
      <c r="P8257" s="17" t="s">
        <v>19027</v>
      </c>
      <c r="Q8257" s="17"/>
      <c r="R8257" s="25" t="str">
        <f>HYPERLINK("https://ictv.global/taxonomy/taxondetails?taxnode_id=202305632","Allexivirus pintoi")</f>
        <v>Allexivirus pintoi</v>
      </c>
      <c r="S8257" s="18" t="s">
        <v>30</v>
      </c>
      <c r="T8257" s="18" t="s">
        <v>19032</v>
      </c>
      <c r="U8257" s="18" t="s">
        <v>19033</v>
      </c>
      <c r="V8257" s="18" t="s">
        <v>19034</v>
      </c>
      <c r="W8257" s="18" t="s">
        <v>19035</v>
      </c>
      <c r="X8257" s="18" t="s">
        <v>42</v>
      </c>
      <c r="Y8257" s="18" t="s">
        <v>17171</v>
      </c>
      <c r="Z8257" s="18" t="s">
        <v>13441</v>
      </c>
      <c r="AA8257" s="21" t="str">
        <f>HYPERLINK("https://www.ncbi.nlm.nih.gov/nuccore/KX058345","NCBI Nucleotide")</f>
        <v>NCBI Nucleotide</v>
      </c>
    </row>
    <row r="8258" spans="1:27" x14ac:dyDescent="0.35">
      <c r="A8258">
        <v>1008796</v>
      </c>
      <c r="B8258">
        <v>7655</v>
      </c>
      <c r="C8258">
        <v>1</v>
      </c>
      <c r="D8258" s="17" t="s">
        <v>17166</v>
      </c>
      <c r="E8258" s="17"/>
      <c r="F8258" s="17" t="s">
        <v>17246</v>
      </c>
      <c r="G8258" s="17"/>
      <c r="H8258" s="17" t="s">
        <v>17984</v>
      </c>
      <c r="I8258" s="17"/>
      <c r="J8258" s="17" t="s">
        <v>17985</v>
      </c>
      <c r="K8258" s="17"/>
      <c r="L8258" s="17" t="s">
        <v>19025</v>
      </c>
      <c r="M8258" s="17"/>
      <c r="N8258" s="17" t="s">
        <v>19026</v>
      </c>
      <c r="O8258" s="17"/>
      <c r="P8258" s="17" t="s">
        <v>19027</v>
      </c>
      <c r="Q8258" s="17"/>
      <c r="R8258" s="25" t="str">
        <f>HYPERLINK("https://ictv.global/taxonomy/taxondetails?taxnode_id=202309851","Allexivirus sennae")</f>
        <v>Allexivirus sennae</v>
      </c>
      <c r="S8258" s="18" t="s">
        <v>30</v>
      </c>
      <c r="T8258" s="18" t="s">
        <v>19043</v>
      </c>
      <c r="U8258" s="18" t="s">
        <v>19044</v>
      </c>
      <c r="V8258" s="18"/>
      <c r="W8258" s="18" t="s">
        <v>19045</v>
      </c>
      <c r="X8258" s="18" t="s">
        <v>42</v>
      </c>
      <c r="Y8258" s="18" t="s">
        <v>17171</v>
      </c>
      <c r="Z8258" s="18" t="s">
        <v>13441</v>
      </c>
      <c r="AA8258" s="21" t="str">
        <f>HYPERLINK("https://www.ncbi.nlm.nih.gov/nuccore/MN031278","NCBI Nucleotide")</f>
        <v>NCBI Nucleotide</v>
      </c>
    </row>
    <row r="8259" spans="1:27" x14ac:dyDescent="0.35">
      <c r="A8259">
        <v>1008792</v>
      </c>
      <c r="B8259">
        <v>7656</v>
      </c>
      <c r="C8259">
        <v>1</v>
      </c>
      <c r="D8259" s="17" t="s">
        <v>17166</v>
      </c>
      <c r="E8259" s="17"/>
      <c r="F8259" s="17" t="s">
        <v>17246</v>
      </c>
      <c r="G8259" s="17"/>
      <c r="H8259" s="17" t="s">
        <v>17984</v>
      </c>
      <c r="I8259" s="17"/>
      <c r="J8259" s="17" t="s">
        <v>17985</v>
      </c>
      <c r="K8259" s="17"/>
      <c r="L8259" s="17" t="s">
        <v>19025</v>
      </c>
      <c r="M8259" s="17"/>
      <c r="N8259" s="17" t="s">
        <v>19026</v>
      </c>
      <c r="O8259" s="17"/>
      <c r="P8259" s="17" t="s">
        <v>19027</v>
      </c>
      <c r="Q8259" s="17"/>
      <c r="R8259" s="25" t="str">
        <f>HYPERLINK("https://ictv.global/taxonomy/taxondetails?taxnode_id=202305631","Allexivirus sigmamedicagonis")</f>
        <v>Allexivirus sigmamedicagonis</v>
      </c>
      <c r="S8259" s="18" t="s">
        <v>30</v>
      </c>
      <c r="T8259" s="18" t="s">
        <v>19028</v>
      </c>
      <c r="U8259" s="18" t="s">
        <v>19029</v>
      </c>
      <c r="V8259" s="18" t="s">
        <v>19030</v>
      </c>
      <c r="W8259" s="18" t="s">
        <v>19031</v>
      </c>
      <c r="X8259" s="18" t="s">
        <v>42</v>
      </c>
      <c r="Y8259" s="18" t="s">
        <v>17171</v>
      </c>
      <c r="Z8259" s="18" t="s">
        <v>13441</v>
      </c>
      <c r="AA8259" s="21" t="str">
        <f>HYPERLINK("https://www.ncbi.nlm.nih.gov/nuccore/KY696659","NCBI Nucleotide")</f>
        <v>NCBI Nucleotide</v>
      </c>
    </row>
    <row r="8260" spans="1:27" x14ac:dyDescent="0.35">
      <c r="A8260">
        <v>1008798</v>
      </c>
      <c r="B8260">
        <v>7657</v>
      </c>
      <c r="C8260">
        <v>1</v>
      </c>
      <c r="D8260" s="17" t="s">
        <v>17166</v>
      </c>
      <c r="E8260" s="17"/>
      <c r="F8260" s="17" t="s">
        <v>17246</v>
      </c>
      <c r="G8260" s="17"/>
      <c r="H8260" s="17" t="s">
        <v>17984</v>
      </c>
      <c r="I8260" s="17"/>
      <c r="J8260" s="17" t="s">
        <v>17985</v>
      </c>
      <c r="K8260" s="17"/>
      <c r="L8260" s="17" t="s">
        <v>19025</v>
      </c>
      <c r="M8260" s="17"/>
      <c r="N8260" s="17" t="s">
        <v>19026</v>
      </c>
      <c r="O8260" s="17"/>
      <c r="P8260" s="17" t="s">
        <v>19077</v>
      </c>
      <c r="Q8260" s="17"/>
      <c r="R8260" s="25" t="str">
        <f>HYPERLINK("https://ictv.global/taxonomy/taxondetails?taxnode_id=202302184","Botrexvirus ecsbotrytis")</f>
        <v>Botrexvirus ecsbotrytis</v>
      </c>
      <c r="S8260" s="18" t="s">
        <v>30</v>
      </c>
      <c r="T8260" s="18" t="s">
        <v>19078</v>
      </c>
      <c r="U8260" s="18" t="s">
        <v>19079</v>
      </c>
      <c r="V8260" s="18" t="s">
        <v>19080</v>
      </c>
      <c r="W8260" s="18" t="s">
        <v>19081</v>
      </c>
      <c r="X8260" s="18" t="s">
        <v>42</v>
      </c>
      <c r="Y8260" s="18" t="s">
        <v>17171</v>
      </c>
      <c r="Z8260" s="18" t="s">
        <v>16721</v>
      </c>
      <c r="AA8260" s="21" t="str">
        <f>HYPERLINK("https://www.ncbi.nlm.nih.gov/nuccore/AY055762","NCBI Nucleotide")</f>
        <v>NCBI Nucleotide</v>
      </c>
    </row>
    <row r="8261" spans="1:27" x14ac:dyDescent="0.35">
      <c r="A8261">
        <v>1008799</v>
      </c>
      <c r="B8261">
        <v>7658</v>
      </c>
      <c r="C8261">
        <v>1</v>
      </c>
      <c r="D8261" s="17" t="s">
        <v>17166</v>
      </c>
      <c r="E8261" s="17"/>
      <c r="F8261" s="17" t="s">
        <v>17246</v>
      </c>
      <c r="G8261" s="17"/>
      <c r="H8261" s="17" t="s">
        <v>17984</v>
      </c>
      <c r="I8261" s="17"/>
      <c r="J8261" s="17" t="s">
        <v>17985</v>
      </c>
      <c r="K8261" s="17"/>
      <c r="L8261" s="17" t="s">
        <v>19025</v>
      </c>
      <c r="M8261" s="17"/>
      <c r="N8261" s="17" t="s">
        <v>19026</v>
      </c>
      <c r="O8261" s="17"/>
      <c r="P8261" s="17" t="s">
        <v>19082</v>
      </c>
      <c r="Q8261" s="17"/>
      <c r="R8261" s="25" t="str">
        <f>HYPERLINK("https://ictv.global/taxonomy/taxondetails?taxnode_id=202302186","Lolavirus latenslolii")</f>
        <v>Lolavirus latenslolii</v>
      </c>
      <c r="S8261" s="18" t="s">
        <v>30</v>
      </c>
      <c r="T8261" s="18" t="s">
        <v>19083</v>
      </c>
      <c r="U8261" s="18" t="s">
        <v>19084</v>
      </c>
      <c r="V8261" s="18" t="s">
        <v>19085</v>
      </c>
      <c r="W8261" s="18" t="s">
        <v>19086</v>
      </c>
      <c r="X8261" s="18" t="s">
        <v>42</v>
      </c>
      <c r="Y8261" s="18" t="s">
        <v>17171</v>
      </c>
      <c r="Z8261" s="18" t="s">
        <v>13441</v>
      </c>
      <c r="AA8261" s="21" t="str">
        <f>HYPERLINK("https://www.ncbi.nlm.nih.gov/nuccore/EU489641","NCBI Nucleotide")</f>
        <v>NCBI Nucleotide</v>
      </c>
    </row>
    <row r="8262" spans="1:27" x14ac:dyDescent="0.35">
      <c r="A8262">
        <v>1008800</v>
      </c>
      <c r="B8262">
        <v>7659</v>
      </c>
      <c r="C8262">
        <v>1</v>
      </c>
      <c r="D8262" s="17" t="s">
        <v>17166</v>
      </c>
      <c r="E8262" s="17"/>
      <c r="F8262" s="17" t="s">
        <v>17246</v>
      </c>
      <c r="G8262" s="17"/>
      <c r="H8262" s="17" t="s">
        <v>17984</v>
      </c>
      <c r="I8262" s="17"/>
      <c r="J8262" s="17" t="s">
        <v>17985</v>
      </c>
      <c r="K8262" s="17"/>
      <c r="L8262" s="17" t="s">
        <v>19025</v>
      </c>
      <c r="M8262" s="17"/>
      <c r="N8262" s="17" t="s">
        <v>19026</v>
      </c>
      <c r="O8262" s="17"/>
      <c r="P8262" s="17" t="s">
        <v>19087</v>
      </c>
      <c r="Q8262" s="17"/>
      <c r="R8262" s="25" t="str">
        <f>HYPERLINK("https://ictv.global/taxonomy/taxondetails?taxnode_id=202302191","Platypuvirus asinorchis")</f>
        <v>Platypuvirus asinorchis</v>
      </c>
      <c r="S8262" s="18" t="s">
        <v>30</v>
      </c>
      <c r="T8262" s="18" t="s">
        <v>19088</v>
      </c>
      <c r="U8262" s="18" t="s">
        <v>19089</v>
      </c>
      <c r="V8262" s="18" t="s">
        <v>19090</v>
      </c>
      <c r="W8262" s="18" t="s">
        <v>19091</v>
      </c>
      <c r="X8262" s="18" t="s">
        <v>42</v>
      </c>
      <c r="Y8262" s="18" t="s">
        <v>17171</v>
      </c>
      <c r="Z8262" s="18" t="s">
        <v>13441</v>
      </c>
      <c r="AA8262" s="21" t="str">
        <f>HYPERLINK("https://www.ncbi.nlm.nih.gov/nuccore/KC923234","NCBI Nucleotide")</f>
        <v>NCBI Nucleotide</v>
      </c>
    </row>
    <row r="8263" spans="1:27" x14ac:dyDescent="0.35">
      <c r="A8263">
        <v>1008801</v>
      </c>
      <c r="B8263">
        <v>7660</v>
      </c>
      <c r="C8263">
        <v>1</v>
      </c>
      <c r="D8263" s="17" t="s">
        <v>17166</v>
      </c>
      <c r="E8263" s="17"/>
      <c r="F8263" s="17" t="s">
        <v>17246</v>
      </c>
      <c r="G8263" s="17"/>
      <c r="H8263" s="17" t="s">
        <v>17984</v>
      </c>
      <c r="I8263" s="17"/>
      <c r="J8263" s="17" t="s">
        <v>17985</v>
      </c>
      <c r="K8263" s="17"/>
      <c r="L8263" s="17" t="s">
        <v>19025</v>
      </c>
      <c r="M8263" s="17"/>
      <c r="N8263" s="17" t="s">
        <v>19026</v>
      </c>
      <c r="O8263" s="17"/>
      <c r="P8263" s="17" t="s">
        <v>19092</v>
      </c>
      <c r="Q8263" s="17" t="s">
        <v>19251</v>
      </c>
      <c r="R8263" s="25" t="str">
        <f>HYPERLINK("https://ictv.global/taxonomy/taxondetails?taxnode_id=202309865","Potexvirus citriflavimaculae")</f>
        <v>Potexvirus citriflavimaculae</v>
      </c>
      <c r="S8263" s="18" t="s">
        <v>30</v>
      </c>
      <c r="T8263" s="18" t="s">
        <v>19252</v>
      </c>
      <c r="U8263" s="18" t="s">
        <v>19253</v>
      </c>
      <c r="V8263" s="18" t="s">
        <v>19254</v>
      </c>
      <c r="W8263" s="18" t="s">
        <v>19255</v>
      </c>
      <c r="X8263" s="18" t="s">
        <v>42</v>
      </c>
      <c r="Y8263" s="18" t="s">
        <v>17171</v>
      </c>
      <c r="Z8263" s="18" t="s">
        <v>13441</v>
      </c>
      <c r="AA8263" s="21" t="str">
        <f>HYPERLINK("https://www.ncbi.nlm.nih.gov/nuccore/MK957246","NCBI Nucleotide")</f>
        <v>NCBI Nucleotide</v>
      </c>
    </row>
    <row r="8264" spans="1:27" x14ac:dyDescent="0.35">
      <c r="A8264">
        <v>1008802</v>
      </c>
      <c r="B8264">
        <v>7661</v>
      </c>
      <c r="C8264">
        <v>1</v>
      </c>
      <c r="D8264" s="17" t="s">
        <v>17166</v>
      </c>
      <c r="E8264" s="17"/>
      <c r="F8264" s="17" t="s">
        <v>17246</v>
      </c>
      <c r="G8264" s="17"/>
      <c r="H8264" s="17" t="s">
        <v>17984</v>
      </c>
      <c r="I8264" s="17"/>
      <c r="J8264" s="17" t="s">
        <v>17985</v>
      </c>
      <c r="K8264" s="17"/>
      <c r="L8264" s="17" t="s">
        <v>19025</v>
      </c>
      <c r="M8264" s="17"/>
      <c r="N8264" s="17" t="s">
        <v>19026</v>
      </c>
      <c r="O8264" s="17"/>
      <c r="P8264" s="17" t="s">
        <v>19092</v>
      </c>
      <c r="Q8264" s="17" t="s">
        <v>19251</v>
      </c>
      <c r="R8264" s="25" t="str">
        <f>HYPERLINK("https://ictv.global/taxonomy/taxondetails?taxnode_id=202302188","Potexvirus citriflavivenae")</f>
        <v>Potexvirus citriflavivenae</v>
      </c>
      <c r="S8264" s="18" t="s">
        <v>30</v>
      </c>
      <c r="T8264" s="18" t="s">
        <v>19256</v>
      </c>
      <c r="U8264" s="18" t="s">
        <v>19257</v>
      </c>
      <c r="V8264" s="18" t="s">
        <v>19258</v>
      </c>
      <c r="W8264" s="18" t="s">
        <v>19259</v>
      </c>
      <c r="X8264" s="18" t="s">
        <v>42</v>
      </c>
      <c r="Y8264" s="18" t="s">
        <v>17171</v>
      </c>
      <c r="Z8264" s="18" t="s">
        <v>13441</v>
      </c>
      <c r="AA8264" s="21" t="str">
        <f>HYPERLINK("https://www.ncbi.nlm.nih.gov/nuccore/KP313240","NCBI Nucleotide")</f>
        <v>NCBI Nucleotide</v>
      </c>
    </row>
    <row r="8265" spans="1:27" x14ac:dyDescent="0.35">
      <c r="A8265">
        <v>1008803</v>
      </c>
      <c r="B8265">
        <v>7662</v>
      </c>
      <c r="C8265">
        <v>1</v>
      </c>
      <c r="D8265" s="17" t="s">
        <v>17166</v>
      </c>
      <c r="E8265" s="17"/>
      <c r="F8265" s="17" t="s">
        <v>17246</v>
      </c>
      <c r="G8265" s="17"/>
      <c r="H8265" s="17" t="s">
        <v>17984</v>
      </c>
      <c r="I8265" s="17"/>
      <c r="J8265" s="17" t="s">
        <v>17985</v>
      </c>
      <c r="K8265" s="17"/>
      <c r="L8265" s="17" t="s">
        <v>19025</v>
      </c>
      <c r="M8265" s="17"/>
      <c r="N8265" s="17" t="s">
        <v>19026</v>
      </c>
      <c r="O8265" s="17"/>
      <c r="P8265" s="17" t="s">
        <v>19092</v>
      </c>
      <c r="Q8265" s="17" t="s">
        <v>19251</v>
      </c>
      <c r="R8265" s="25" t="str">
        <f>HYPERLINK("https://ictv.global/taxonomy/taxondetails?taxnode_id=202302189","Potexvirus citrindicum")</f>
        <v>Potexvirus citrindicum</v>
      </c>
      <c r="S8265" s="18" t="s">
        <v>30</v>
      </c>
      <c r="T8265" s="18" t="s">
        <v>19260</v>
      </c>
      <c r="U8265" s="18" t="s">
        <v>19261</v>
      </c>
      <c r="V8265" s="18" t="s">
        <v>19262</v>
      </c>
      <c r="W8265" s="18" t="s">
        <v>19263</v>
      </c>
      <c r="X8265" s="18" t="s">
        <v>42</v>
      </c>
      <c r="Y8265" s="18" t="s">
        <v>17171</v>
      </c>
      <c r="Z8265" s="18" t="s">
        <v>13441</v>
      </c>
      <c r="AA8265" s="21" t="str">
        <f>HYPERLINK("https://www.ncbi.nlm.nih.gov/nuccore/AF406744","NCBI Nucleotide")</f>
        <v>NCBI Nucleotide</v>
      </c>
    </row>
    <row r="8266" spans="1:27" x14ac:dyDescent="0.35">
      <c r="A8266">
        <v>1008806</v>
      </c>
      <c r="B8266">
        <v>7663</v>
      </c>
      <c r="C8266">
        <v>1</v>
      </c>
      <c r="D8266" s="17" t="s">
        <v>17166</v>
      </c>
      <c r="E8266" s="17"/>
      <c r="F8266" s="17" t="s">
        <v>17246</v>
      </c>
      <c r="G8266" s="17"/>
      <c r="H8266" s="17" t="s">
        <v>17984</v>
      </c>
      <c r="I8266" s="17"/>
      <c r="J8266" s="17" t="s">
        <v>17985</v>
      </c>
      <c r="K8266" s="17"/>
      <c r="L8266" s="17" t="s">
        <v>19025</v>
      </c>
      <c r="M8266" s="17"/>
      <c r="N8266" s="17" t="s">
        <v>19026</v>
      </c>
      <c r="O8266" s="17"/>
      <c r="P8266" s="17" t="s">
        <v>19092</v>
      </c>
      <c r="Q8266" s="17"/>
      <c r="R8266" s="25" t="str">
        <f>HYPERLINK("https://ictv.global/taxonomy/taxondetails?taxnode_id=202302195","Potexvirus alternantherae")</f>
        <v>Potexvirus alternantherae</v>
      </c>
      <c r="S8266" s="18" t="s">
        <v>30</v>
      </c>
      <c r="T8266" s="18" t="s">
        <v>19099</v>
      </c>
      <c r="U8266" s="18" t="s">
        <v>19100</v>
      </c>
      <c r="V8266" s="18" t="s">
        <v>19101</v>
      </c>
      <c r="W8266" s="18" t="s">
        <v>19102</v>
      </c>
      <c r="X8266" s="18" t="s">
        <v>42</v>
      </c>
      <c r="Y8266" s="18" t="s">
        <v>17171</v>
      </c>
      <c r="Z8266" s="18" t="s">
        <v>13441</v>
      </c>
      <c r="AA8266" s="21" t="str">
        <f>HYPERLINK("https://www.ncbi.nlm.nih.gov/nuccore/AY863024","NCBI Nucleotide")</f>
        <v>NCBI Nucleotide</v>
      </c>
    </row>
    <row r="8267" spans="1:27" x14ac:dyDescent="0.35">
      <c r="A8267">
        <v>1008809</v>
      </c>
      <c r="B8267">
        <v>7664</v>
      </c>
      <c r="C8267">
        <v>1</v>
      </c>
      <c r="D8267" s="17" t="s">
        <v>17166</v>
      </c>
      <c r="E8267" s="17"/>
      <c r="F8267" s="17" t="s">
        <v>17246</v>
      </c>
      <c r="G8267" s="17"/>
      <c r="H8267" s="17" t="s">
        <v>17984</v>
      </c>
      <c r="I8267" s="17"/>
      <c r="J8267" s="17" t="s">
        <v>17985</v>
      </c>
      <c r="K8267" s="17"/>
      <c r="L8267" s="17" t="s">
        <v>19025</v>
      </c>
      <c r="M8267" s="17"/>
      <c r="N8267" s="17" t="s">
        <v>19026</v>
      </c>
      <c r="O8267" s="17"/>
      <c r="P8267" s="17" t="s">
        <v>19092</v>
      </c>
      <c r="Q8267" s="17"/>
      <c r="R8267" s="25" t="str">
        <f>HYPERLINK("https://ictv.global/taxonomy/taxondetails?taxnode_id=202309847","Potexvirus babaci")</f>
        <v>Potexvirus babaci</v>
      </c>
      <c r="S8267" s="18" t="s">
        <v>30</v>
      </c>
      <c r="T8267" s="18" t="s">
        <v>19111</v>
      </c>
      <c r="U8267" s="18" t="s">
        <v>19112</v>
      </c>
      <c r="V8267" s="18"/>
      <c r="W8267" s="18" t="s">
        <v>19113</v>
      </c>
      <c r="X8267" s="18" t="s">
        <v>42</v>
      </c>
      <c r="Y8267" s="18" t="s">
        <v>17171</v>
      </c>
      <c r="Z8267" s="18" t="s">
        <v>13441</v>
      </c>
      <c r="AA8267" s="21" t="str">
        <f>HYPERLINK("https://www.ncbi.nlm.nih.gov/nuccore/MF978248","NCBI Nucleotide")</f>
        <v>NCBI Nucleotide</v>
      </c>
    </row>
    <row r="8268" spans="1:27" x14ac:dyDescent="0.35">
      <c r="A8268">
        <v>1008810</v>
      </c>
      <c r="B8268">
        <v>7665</v>
      </c>
      <c r="C8268">
        <v>1</v>
      </c>
      <c r="D8268" s="17" t="s">
        <v>17166</v>
      </c>
      <c r="E8268" s="17"/>
      <c r="F8268" s="17" t="s">
        <v>17246</v>
      </c>
      <c r="G8268" s="17"/>
      <c r="H8268" s="17" t="s">
        <v>17984</v>
      </c>
      <c r="I8268" s="17"/>
      <c r="J8268" s="17" t="s">
        <v>17985</v>
      </c>
      <c r="K8268" s="17"/>
      <c r="L8268" s="17" t="s">
        <v>19025</v>
      </c>
      <c r="M8268" s="17"/>
      <c r="N8268" s="17" t="s">
        <v>19026</v>
      </c>
      <c r="O8268" s="17"/>
      <c r="P8268" s="17" t="s">
        <v>19092</v>
      </c>
      <c r="Q8268" s="17"/>
      <c r="R8268" s="25" t="str">
        <f>HYPERLINK("https://ictv.global/taxonomy/taxondetails?taxnode_id=202302197","Potexvirus bambusae")</f>
        <v>Potexvirus bambusae</v>
      </c>
      <c r="S8268" s="18" t="s">
        <v>30</v>
      </c>
      <c r="T8268" s="18" t="s">
        <v>19114</v>
      </c>
      <c r="U8268" s="18" t="s">
        <v>19115</v>
      </c>
      <c r="V8268" s="18" t="s">
        <v>19116</v>
      </c>
      <c r="W8268" s="18" t="s">
        <v>19117</v>
      </c>
      <c r="X8268" s="18" t="s">
        <v>42</v>
      </c>
      <c r="Y8268" s="18" t="s">
        <v>17171</v>
      </c>
      <c r="Z8268" s="18" t="s">
        <v>13441</v>
      </c>
      <c r="AA8268" s="21" t="str">
        <f>HYPERLINK("https://www.ncbi.nlm.nih.gov/nuccore/D26017","NCBI Nucleotide")</f>
        <v>NCBI Nucleotide</v>
      </c>
    </row>
    <row r="8269" spans="1:27" x14ac:dyDescent="0.35">
      <c r="A8269">
        <v>1008812</v>
      </c>
      <c r="B8269">
        <v>7666</v>
      </c>
      <c r="C8269">
        <v>1</v>
      </c>
      <c r="D8269" s="17" t="s">
        <v>17166</v>
      </c>
      <c r="E8269" s="17"/>
      <c r="F8269" s="17" t="s">
        <v>17246</v>
      </c>
      <c r="G8269" s="17"/>
      <c r="H8269" s="17" t="s">
        <v>17984</v>
      </c>
      <c r="I8269" s="17"/>
      <c r="J8269" s="17" t="s">
        <v>17985</v>
      </c>
      <c r="K8269" s="17"/>
      <c r="L8269" s="17" t="s">
        <v>19025</v>
      </c>
      <c r="M8269" s="17"/>
      <c r="N8269" s="17" t="s">
        <v>19026</v>
      </c>
      <c r="O8269" s="17"/>
      <c r="P8269" s="17" t="s">
        <v>19092</v>
      </c>
      <c r="Q8269" s="17"/>
      <c r="R8269" s="25" t="str">
        <f>HYPERLINK("https://ictv.global/taxonomy/taxondetails?taxnode_id=202309844","Potexvirus colombiense")</f>
        <v>Potexvirus colombiense</v>
      </c>
      <c r="S8269" s="18" t="s">
        <v>30</v>
      </c>
      <c r="T8269" s="18" t="s">
        <v>19121</v>
      </c>
      <c r="U8269" s="18" t="s">
        <v>19122</v>
      </c>
      <c r="V8269" s="18"/>
      <c r="W8269" s="18" t="s">
        <v>19123</v>
      </c>
      <c r="X8269" s="18" t="s">
        <v>42</v>
      </c>
      <c r="Y8269" s="18" t="s">
        <v>17171</v>
      </c>
      <c r="Z8269" s="18" t="s">
        <v>13441</v>
      </c>
      <c r="AA8269" s="21" t="str">
        <f>HYPERLINK("https://www.ncbi.nlm.nih.gov/nuccore/KC505252","NCBI Nucleotide")</f>
        <v>NCBI Nucleotide</v>
      </c>
    </row>
    <row r="8270" spans="1:27" x14ac:dyDescent="0.35">
      <c r="A8270">
        <v>1008817</v>
      </c>
      <c r="B8270">
        <v>7667</v>
      </c>
      <c r="C8270">
        <v>1</v>
      </c>
      <c r="D8270" s="17" t="s">
        <v>17166</v>
      </c>
      <c r="E8270" s="17"/>
      <c r="F8270" s="17" t="s">
        <v>17246</v>
      </c>
      <c r="G8270" s="17"/>
      <c r="H8270" s="17" t="s">
        <v>17984</v>
      </c>
      <c r="I8270" s="17"/>
      <c r="J8270" s="17" t="s">
        <v>17985</v>
      </c>
      <c r="K8270" s="17"/>
      <c r="L8270" s="17" t="s">
        <v>19025</v>
      </c>
      <c r="M8270" s="17"/>
      <c r="N8270" s="17" t="s">
        <v>19026</v>
      </c>
      <c r="O8270" s="17"/>
      <c r="P8270" s="17" t="s">
        <v>19092</v>
      </c>
      <c r="Q8270" s="17"/>
      <c r="R8270" s="25" t="str">
        <f>HYPERLINK("https://ictv.global/taxonomy/taxondetails?taxnode_id=202302202","Potexvirus cymbidii")</f>
        <v>Potexvirus cymbidii</v>
      </c>
      <c r="S8270" s="18" t="s">
        <v>30</v>
      </c>
      <c r="T8270" s="18" t="s">
        <v>19138</v>
      </c>
      <c r="U8270" s="18" t="s">
        <v>19139</v>
      </c>
      <c r="V8270" s="18" t="s">
        <v>18915</v>
      </c>
      <c r="W8270" s="18" t="s">
        <v>19140</v>
      </c>
      <c r="X8270" s="18" t="s">
        <v>42</v>
      </c>
      <c r="Y8270" s="18" t="s">
        <v>17171</v>
      </c>
      <c r="Z8270" s="18" t="s">
        <v>13441</v>
      </c>
      <c r="AA8270" s="21" t="str">
        <f>HYPERLINK("https://www.ncbi.nlm.nih.gov/nuccore/U62963","NCBI Nucleotide")</f>
        <v>NCBI Nucleotide</v>
      </c>
    </row>
    <row r="8271" spans="1:27" x14ac:dyDescent="0.35">
      <c r="A8271">
        <v>1008804</v>
      </c>
      <c r="B8271">
        <v>7668</v>
      </c>
      <c r="C8271">
        <v>1</v>
      </c>
      <c r="D8271" s="17" t="s">
        <v>17166</v>
      </c>
      <c r="E8271" s="17"/>
      <c r="F8271" s="17" t="s">
        <v>17246</v>
      </c>
      <c r="G8271" s="17"/>
      <c r="H8271" s="17" t="s">
        <v>17984</v>
      </c>
      <c r="I8271" s="17"/>
      <c r="J8271" s="17" t="s">
        <v>17985</v>
      </c>
      <c r="K8271" s="17"/>
      <c r="L8271" s="17" t="s">
        <v>19025</v>
      </c>
      <c r="M8271" s="17"/>
      <c r="N8271" s="17" t="s">
        <v>19026</v>
      </c>
      <c r="O8271" s="17"/>
      <c r="P8271" s="17" t="s">
        <v>19092</v>
      </c>
      <c r="Q8271" s="17"/>
      <c r="R8271" s="25" t="str">
        <f>HYPERLINK("https://ictv.global/taxonomy/taxondetails?taxnode_id=202302193","Potexvirus ecsallii")</f>
        <v>Potexvirus ecsallii</v>
      </c>
      <c r="S8271" s="18" t="s">
        <v>30</v>
      </c>
      <c r="T8271" s="18" t="s">
        <v>19093</v>
      </c>
      <c r="U8271" s="18" t="s">
        <v>19094</v>
      </c>
      <c r="V8271" s="18" t="s">
        <v>17614</v>
      </c>
      <c r="W8271" s="18" t="s">
        <v>19095</v>
      </c>
      <c r="X8271" s="18" t="s">
        <v>42</v>
      </c>
      <c r="Y8271" s="18" t="s">
        <v>17171</v>
      </c>
      <c r="Z8271" s="18" t="s">
        <v>13441</v>
      </c>
      <c r="AA8271" s="21" t="str">
        <f>HYPERLINK("https://www.ncbi.nlm.nih.gov/nuccore/FJ670570","NCBI Nucleotide")</f>
        <v>NCBI Nucleotide</v>
      </c>
    </row>
    <row r="8272" spans="1:27" x14ac:dyDescent="0.35">
      <c r="A8272">
        <v>1008805</v>
      </c>
      <c r="B8272">
        <v>7669</v>
      </c>
      <c r="C8272">
        <v>1</v>
      </c>
      <c r="D8272" s="17" t="s">
        <v>17166</v>
      </c>
      <c r="E8272" s="17"/>
      <c r="F8272" s="17" t="s">
        <v>17246</v>
      </c>
      <c r="G8272" s="17"/>
      <c r="H8272" s="17" t="s">
        <v>17984</v>
      </c>
      <c r="I8272" s="17"/>
      <c r="J8272" s="17" t="s">
        <v>17985</v>
      </c>
      <c r="K8272" s="17"/>
      <c r="L8272" s="17" t="s">
        <v>19025</v>
      </c>
      <c r="M8272" s="17"/>
      <c r="N8272" s="17" t="s">
        <v>19026</v>
      </c>
      <c r="O8272" s="17"/>
      <c r="P8272" s="17" t="s">
        <v>19092</v>
      </c>
      <c r="Q8272" s="17"/>
      <c r="R8272" s="25" t="str">
        <f>HYPERLINK("https://ictv.global/taxonomy/taxondetails?taxnode_id=202302194","Potexvirus ecsalstroemeriae")</f>
        <v>Potexvirus ecsalstroemeriae</v>
      </c>
      <c r="S8272" s="18" t="s">
        <v>30</v>
      </c>
      <c r="T8272" s="18" t="s">
        <v>19096</v>
      </c>
      <c r="U8272" s="18" t="s">
        <v>19097</v>
      </c>
      <c r="V8272" s="18" t="s">
        <v>18119</v>
      </c>
      <c r="W8272" s="18" t="s">
        <v>19098</v>
      </c>
      <c r="X8272" s="18" t="s">
        <v>42</v>
      </c>
      <c r="Y8272" s="18" t="s">
        <v>17171</v>
      </c>
      <c r="Z8272" s="18" t="s">
        <v>13441</v>
      </c>
      <c r="AA8272" s="21" t="str">
        <f>HYPERLINK("https://www.ncbi.nlm.nih.gov/nuccore/AB206396","NCBI Nucleotide")</f>
        <v>NCBI Nucleotide</v>
      </c>
    </row>
    <row r="8273" spans="1:27" x14ac:dyDescent="0.35">
      <c r="A8273">
        <v>1008811</v>
      </c>
      <c r="B8273">
        <v>7670</v>
      </c>
      <c r="C8273">
        <v>1</v>
      </c>
      <c r="D8273" s="17" t="s">
        <v>17166</v>
      </c>
      <c r="E8273" s="17"/>
      <c r="F8273" s="17" t="s">
        <v>17246</v>
      </c>
      <c r="G8273" s="17"/>
      <c r="H8273" s="17" t="s">
        <v>17984</v>
      </c>
      <c r="I8273" s="17"/>
      <c r="J8273" s="17" t="s">
        <v>17985</v>
      </c>
      <c r="K8273" s="17"/>
      <c r="L8273" s="17" t="s">
        <v>19025</v>
      </c>
      <c r="M8273" s="17"/>
      <c r="N8273" s="17" t="s">
        <v>19026</v>
      </c>
      <c r="O8273" s="17"/>
      <c r="P8273" s="17" t="s">
        <v>19092</v>
      </c>
      <c r="Q8273" s="17"/>
      <c r="R8273" s="25" t="str">
        <f>HYPERLINK("https://ictv.global/taxonomy/taxondetails?taxnode_id=202302198","Potexvirus ecscacti")</f>
        <v>Potexvirus ecscacti</v>
      </c>
      <c r="S8273" s="18" t="s">
        <v>30</v>
      </c>
      <c r="T8273" s="18" t="s">
        <v>19118</v>
      </c>
      <c r="U8273" s="18" t="s">
        <v>19119</v>
      </c>
      <c r="V8273" s="18" t="s">
        <v>17244</v>
      </c>
      <c r="W8273" s="18" t="s">
        <v>19120</v>
      </c>
      <c r="X8273" s="18" t="s">
        <v>42</v>
      </c>
      <c r="Y8273" s="18" t="s">
        <v>17171</v>
      </c>
      <c r="Z8273" s="18" t="s">
        <v>13441</v>
      </c>
      <c r="AA8273" s="21" t="str">
        <f>HYPERLINK("https://www.ncbi.nlm.nih.gov/nuccore/AF308158","NCBI Nucleotide")</f>
        <v>NCBI Nucleotide</v>
      </c>
    </row>
    <row r="8274" spans="1:27" x14ac:dyDescent="0.35">
      <c r="A8274">
        <v>1008839</v>
      </c>
      <c r="B8274">
        <v>7671</v>
      </c>
      <c r="C8274">
        <v>1</v>
      </c>
      <c r="D8274" s="17" t="s">
        <v>17166</v>
      </c>
      <c r="E8274" s="17"/>
      <c r="F8274" s="17" t="s">
        <v>17246</v>
      </c>
      <c r="G8274" s="17"/>
      <c r="H8274" s="17" t="s">
        <v>17984</v>
      </c>
      <c r="I8274" s="17"/>
      <c r="J8274" s="17" t="s">
        <v>17985</v>
      </c>
      <c r="K8274" s="17"/>
      <c r="L8274" s="17" t="s">
        <v>19025</v>
      </c>
      <c r="M8274" s="17"/>
      <c r="N8274" s="17" t="s">
        <v>19026</v>
      </c>
      <c r="O8274" s="17"/>
      <c r="P8274" s="17" t="s">
        <v>19092</v>
      </c>
      <c r="Q8274" s="17"/>
      <c r="R8274" s="25" t="str">
        <f>HYPERLINK("https://ictv.global/taxonomy/taxondetails?taxnode_id=202302221","Potexvirus ecschlumbergerae")</f>
        <v>Potexvirus ecschlumbergerae</v>
      </c>
      <c r="S8274" s="18" t="s">
        <v>30</v>
      </c>
      <c r="T8274" s="18" t="s">
        <v>19214</v>
      </c>
      <c r="U8274" s="18" t="s">
        <v>19215</v>
      </c>
      <c r="V8274" s="18" t="s">
        <v>19216</v>
      </c>
      <c r="W8274" s="18" t="s">
        <v>19217</v>
      </c>
      <c r="X8274" s="18" t="s">
        <v>42</v>
      </c>
      <c r="Y8274" s="18" t="s">
        <v>17171</v>
      </c>
      <c r="Z8274" s="18" t="s">
        <v>13441</v>
      </c>
      <c r="AA8274" s="21" t="str">
        <f>HYPERLINK("https://www.ncbi.nlm.nih.gov/nuccore/AY366207","NCBI Nucleotide")</f>
        <v>NCBI Nucleotide</v>
      </c>
    </row>
    <row r="8275" spans="1:27" x14ac:dyDescent="0.35">
      <c r="A8275">
        <v>1008816</v>
      </c>
      <c r="B8275">
        <v>7672</v>
      </c>
      <c r="C8275">
        <v>1</v>
      </c>
      <c r="D8275" s="17" t="s">
        <v>17166</v>
      </c>
      <c r="E8275" s="17"/>
      <c r="F8275" s="17" t="s">
        <v>17246</v>
      </c>
      <c r="G8275" s="17"/>
      <c r="H8275" s="17" t="s">
        <v>17984</v>
      </c>
      <c r="I8275" s="17"/>
      <c r="J8275" s="17" t="s">
        <v>17985</v>
      </c>
      <c r="K8275" s="17"/>
      <c r="L8275" s="17" t="s">
        <v>19025</v>
      </c>
      <c r="M8275" s="17"/>
      <c r="N8275" s="17" t="s">
        <v>19026</v>
      </c>
      <c r="O8275" s="17"/>
      <c r="P8275" s="17" t="s">
        <v>19092</v>
      </c>
      <c r="Q8275" s="17"/>
      <c r="R8275" s="25" t="str">
        <f>HYPERLINK("https://ictv.global/taxonomy/taxondetails?taxnode_id=202309850","Potexvirus ecscnidii")</f>
        <v>Potexvirus ecscnidii</v>
      </c>
      <c r="S8275" s="18" t="s">
        <v>30</v>
      </c>
      <c r="T8275" s="18" t="s">
        <v>19135</v>
      </c>
      <c r="U8275" s="18" t="s">
        <v>19136</v>
      </c>
      <c r="V8275" s="18"/>
      <c r="W8275" s="18" t="s">
        <v>19137</v>
      </c>
      <c r="X8275" s="18" t="s">
        <v>42</v>
      </c>
      <c r="Y8275" s="18" t="s">
        <v>17171</v>
      </c>
      <c r="Z8275" s="18" t="s">
        <v>13441</v>
      </c>
      <c r="AA8275" s="21" t="str">
        <f>HYPERLINK("https://www.ncbi.nlm.nih.gov/nuccore/LC460456","NCBI Nucleotide")</f>
        <v>NCBI Nucleotide</v>
      </c>
    </row>
    <row r="8276" spans="1:27" x14ac:dyDescent="0.35">
      <c r="A8276">
        <v>1008847</v>
      </c>
      <c r="B8276">
        <v>7673</v>
      </c>
      <c r="C8276">
        <v>1</v>
      </c>
      <c r="D8276" s="17" t="s">
        <v>17166</v>
      </c>
      <c r="E8276" s="17"/>
      <c r="F8276" s="17" t="s">
        <v>17246</v>
      </c>
      <c r="G8276" s="17"/>
      <c r="H8276" s="17" t="s">
        <v>17984</v>
      </c>
      <c r="I8276" s="17"/>
      <c r="J8276" s="17" t="s">
        <v>17985</v>
      </c>
      <c r="K8276" s="17"/>
      <c r="L8276" s="17" t="s">
        <v>19025</v>
      </c>
      <c r="M8276" s="17"/>
      <c r="N8276" s="17" t="s">
        <v>19026</v>
      </c>
      <c r="O8276" s="17"/>
      <c r="P8276" s="17" t="s">
        <v>19092</v>
      </c>
      <c r="Q8276" s="17"/>
      <c r="R8276" s="25" t="str">
        <f>HYPERLINK("https://ictv.global/taxonomy/taxondetails?taxnode_id=202302226","Potexvirus ecsdioscoreae")</f>
        <v>Potexvirus ecsdioscoreae</v>
      </c>
      <c r="S8276" s="18" t="s">
        <v>30</v>
      </c>
      <c r="T8276" s="18" t="s">
        <v>19243</v>
      </c>
      <c r="U8276" s="18" t="s">
        <v>19244</v>
      </c>
      <c r="V8276" s="18" t="s">
        <v>19245</v>
      </c>
      <c r="W8276" s="18" t="s">
        <v>19246</v>
      </c>
      <c r="X8276" s="18" t="s">
        <v>42</v>
      </c>
      <c r="Y8276" s="18" t="s">
        <v>17171</v>
      </c>
      <c r="Z8276" s="18" t="s">
        <v>13441</v>
      </c>
      <c r="AA8276" s="21" t="str">
        <f>HYPERLINK("https://www.ncbi.nlm.nih.gov/nuccore/KJ711908","NCBI Nucleotide")</f>
        <v>NCBI Nucleotide</v>
      </c>
    </row>
    <row r="8277" spans="1:27" x14ac:dyDescent="0.35">
      <c r="A8277">
        <v>1008821</v>
      </c>
      <c r="B8277">
        <v>7674</v>
      </c>
      <c r="C8277">
        <v>1</v>
      </c>
      <c r="D8277" s="17" t="s">
        <v>17166</v>
      </c>
      <c r="E8277" s="17"/>
      <c r="F8277" s="17" t="s">
        <v>17246</v>
      </c>
      <c r="G8277" s="17"/>
      <c r="H8277" s="17" t="s">
        <v>17984</v>
      </c>
      <c r="I8277" s="17"/>
      <c r="J8277" s="17" t="s">
        <v>17985</v>
      </c>
      <c r="K8277" s="17"/>
      <c r="L8277" s="17" t="s">
        <v>19025</v>
      </c>
      <c r="M8277" s="17"/>
      <c r="N8277" s="17" t="s">
        <v>19026</v>
      </c>
      <c r="O8277" s="17"/>
      <c r="P8277" s="17" t="s">
        <v>19092</v>
      </c>
      <c r="Q8277" s="17"/>
      <c r="R8277" s="25" t="str">
        <f>HYPERLINK("https://ictv.global/taxonomy/taxondetails?taxnode_id=202302204","Potexvirus ecshostae")</f>
        <v>Potexvirus ecshostae</v>
      </c>
      <c r="S8277" s="18" t="s">
        <v>30</v>
      </c>
      <c r="T8277" s="18" t="s">
        <v>19150</v>
      </c>
      <c r="U8277" s="18" t="s">
        <v>19151</v>
      </c>
      <c r="V8277" s="18" t="s">
        <v>18888</v>
      </c>
      <c r="W8277" s="18" t="s">
        <v>19152</v>
      </c>
      <c r="X8277" s="18" t="s">
        <v>42</v>
      </c>
      <c r="Y8277" s="18" t="s">
        <v>17171</v>
      </c>
      <c r="Z8277" s="18" t="s">
        <v>13441</v>
      </c>
      <c r="AA8277" s="21" t="str">
        <f>HYPERLINK("https://www.ncbi.nlm.nih.gov/nuccore/AJ620114","NCBI Nucleotide")</f>
        <v>NCBI Nucleotide</v>
      </c>
    </row>
    <row r="8278" spans="1:27" x14ac:dyDescent="0.35">
      <c r="A8278">
        <v>1008824</v>
      </c>
      <c r="B8278">
        <v>7675</v>
      </c>
      <c r="C8278">
        <v>1</v>
      </c>
      <c r="D8278" s="17" t="s">
        <v>17166</v>
      </c>
      <c r="E8278" s="17"/>
      <c r="F8278" s="17" t="s">
        <v>17246</v>
      </c>
      <c r="G8278" s="17"/>
      <c r="H8278" s="17" t="s">
        <v>17984</v>
      </c>
      <c r="I8278" s="17"/>
      <c r="J8278" s="17" t="s">
        <v>17985</v>
      </c>
      <c r="K8278" s="17"/>
      <c r="L8278" s="17" t="s">
        <v>19025</v>
      </c>
      <c r="M8278" s="17"/>
      <c r="N8278" s="17" t="s">
        <v>19026</v>
      </c>
      <c r="O8278" s="17"/>
      <c r="P8278" s="17" t="s">
        <v>19092</v>
      </c>
      <c r="Q8278" s="17"/>
      <c r="R8278" s="25" t="str">
        <f>HYPERLINK("https://ictv.global/taxonomy/taxondetails?taxnode_id=202302207","Potexvirus ecslactucae")</f>
        <v>Potexvirus ecslactucae</v>
      </c>
      <c r="S8278" s="18" t="s">
        <v>30</v>
      </c>
      <c r="T8278" s="18" t="s">
        <v>19160</v>
      </c>
      <c r="U8278" s="18" t="s">
        <v>19161</v>
      </c>
      <c r="V8278" s="18" t="s">
        <v>19162</v>
      </c>
      <c r="W8278" s="18" t="s">
        <v>19163</v>
      </c>
      <c r="X8278" s="18" t="s">
        <v>42</v>
      </c>
      <c r="Y8278" s="18" t="s">
        <v>17171</v>
      </c>
      <c r="Z8278" s="18" t="s">
        <v>13441</v>
      </c>
      <c r="AA8278" s="21" t="str">
        <f>HYPERLINK("https://www.ncbi.nlm.nih.gov/nuccore/AM745758","NCBI Nucleotide")</f>
        <v>NCBI Nucleotide</v>
      </c>
    </row>
    <row r="8279" spans="1:27" x14ac:dyDescent="0.35">
      <c r="A8279">
        <v>1008825</v>
      </c>
      <c r="B8279">
        <v>7676</v>
      </c>
      <c r="C8279">
        <v>1</v>
      </c>
      <c r="D8279" s="17" t="s">
        <v>17166</v>
      </c>
      <c r="E8279" s="17"/>
      <c r="F8279" s="17" t="s">
        <v>17246</v>
      </c>
      <c r="G8279" s="17"/>
      <c r="H8279" s="17" t="s">
        <v>17984</v>
      </c>
      <c r="I8279" s="17"/>
      <c r="J8279" s="17" t="s">
        <v>17985</v>
      </c>
      <c r="K8279" s="17"/>
      <c r="L8279" s="17" t="s">
        <v>19025</v>
      </c>
      <c r="M8279" s="17"/>
      <c r="N8279" s="17" t="s">
        <v>19026</v>
      </c>
      <c r="O8279" s="17"/>
      <c r="P8279" s="17" t="s">
        <v>19092</v>
      </c>
      <c r="Q8279" s="17"/>
      <c r="R8279" s="25" t="str">
        <f>HYPERLINK("https://ictv.global/taxonomy/taxondetails?taxnode_id=202302208","Potexvirus ecslilii")</f>
        <v>Potexvirus ecslilii</v>
      </c>
      <c r="S8279" s="18" t="s">
        <v>30</v>
      </c>
      <c r="T8279" s="18" t="s">
        <v>19164</v>
      </c>
      <c r="U8279" s="18" t="s">
        <v>19165</v>
      </c>
      <c r="V8279" s="18" t="s">
        <v>17614</v>
      </c>
      <c r="W8279" s="18" t="s">
        <v>19166</v>
      </c>
      <c r="X8279" s="18" t="s">
        <v>42</v>
      </c>
      <c r="Y8279" s="18" t="s">
        <v>17171</v>
      </c>
      <c r="Z8279" s="18" t="s">
        <v>13441</v>
      </c>
      <c r="AA8279" s="21" t="str">
        <f>HYPERLINK("https://www.ncbi.nlm.nih.gov/nuccore/AJ633822","NCBI Nucleotide")</f>
        <v>NCBI Nucleotide</v>
      </c>
    </row>
    <row r="8280" spans="1:27" x14ac:dyDescent="0.35">
      <c r="A8280">
        <v>1008814</v>
      </c>
      <c r="B8280">
        <v>7677</v>
      </c>
      <c r="C8280">
        <v>1</v>
      </c>
      <c r="D8280" s="17" t="s">
        <v>17166</v>
      </c>
      <c r="E8280" s="17"/>
      <c r="F8280" s="17" t="s">
        <v>17246</v>
      </c>
      <c r="G8280" s="17"/>
      <c r="H8280" s="17" t="s">
        <v>17984</v>
      </c>
      <c r="I8280" s="17"/>
      <c r="J8280" s="17" t="s">
        <v>17985</v>
      </c>
      <c r="K8280" s="17"/>
      <c r="L8280" s="17" t="s">
        <v>19025</v>
      </c>
      <c r="M8280" s="17"/>
      <c r="N8280" s="17" t="s">
        <v>19026</v>
      </c>
      <c r="O8280" s="17"/>
      <c r="P8280" s="17" t="s">
        <v>19092</v>
      </c>
      <c r="Q8280" s="17"/>
      <c r="R8280" s="25" t="str">
        <f>HYPERLINK("https://ictv.global/taxonomy/taxondetails?taxnode_id=202302200","Potexvirus ecsmanihotis")</f>
        <v>Potexvirus ecsmanihotis</v>
      </c>
      <c r="S8280" s="18" t="s">
        <v>30</v>
      </c>
      <c r="T8280" s="18" t="s">
        <v>19128</v>
      </c>
      <c r="U8280" s="18" t="s">
        <v>19129</v>
      </c>
      <c r="V8280" s="18" t="s">
        <v>19130</v>
      </c>
      <c r="W8280" s="18" t="s">
        <v>19131</v>
      </c>
      <c r="X8280" s="18" t="s">
        <v>42</v>
      </c>
      <c r="Y8280" s="18" t="s">
        <v>17171</v>
      </c>
      <c r="Z8280" s="18" t="s">
        <v>13441</v>
      </c>
      <c r="AA8280" s="21" t="str">
        <f>HYPERLINK("https://www.ncbi.nlm.nih.gov/nuccore/KY288487","NCBI Nucleotide")</f>
        <v>NCBI Nucleotide</v>
      </c>
    </row>
    <row r="8281" spans="1:27" x14ac:dyDescent="0.35">
      <c r="A8281">
        <v>1008827</v>
      </c>
      <c r="B8281">
        <v>7678</v>
      </c>
      <c r="C8281">
        <v>1</v>
      </c>
      <c r="D8281" s="17" t="s">
        <v>17166</v>
      </c>
      <c r="E8281" s="17"/>
      <c r="F8281" s="17" t="s">
        <v>17246</v>
      </c>
      <c r="G8281" s="17"/>
      <c r="H8281" s="17" t="s">
        <v>17984</v>
      </c>
      <c r="I8281" s="17"/>
      <c r="J8281" s="17" t="s">
        <v>17985</v>
      </c>
      <c r="K8281" s="17"/>
      <c r="L8281" s="17" t="s">
        <v>19025</v>
      </c>
      <c r="M8281" s="17"/>
      <c r="N8281" s="17" t="s">
        <v>19026</v>
      </c>
      <c r="O8281" s="17"/>
      <c r="P8281" s="17" t="s">
        <v>19092</v>
      </c>
      <c r="Q8281" s="17"/>
      <c r="R8281" s="25" t="str">
        <f>HYPERLINK("https://ictv.global/taxonomy/taxondetails?taxnode_id=202302210","Potexvirus ecsmenthae")</f>
        <v>Potexvirus ecsmenthae</v>
      </c>
      <c r="S8281" s="18" t="s">
        <v>30</v>
      </c>
      <c r="T8281" s="18" t="s">
        <v>19171</v>
      </c>
      <c r="U8281" s="18" t="s">
        <v>19172</v>
      </c>
      <c r="V8281" s="18" t="s">
        <v>18419</v>
      </c>
      <c r="W8281" s="18" t="s">
        <v>19173</v>
      </c>
      <c r="X8281" s="18" t="s">
        <v>42</v>
      </c>
      <c r="Y8281" s="18" t="s">
        <v>17171</v>
      </c>
      <c r="Z8281" s="18" t="s">
        <v>13441</v>
      </c>
      <c r="AA8281" s="21" t="str">
        <f>HYPERLINK("https://www.ncbi.nlm.nih.gov/nuccore/AY789138","NCBI Nucleotide")</f>
        <v>NCBI Nucleotide</v>
      </c>
    </row>
    <row r="8282" spans="1:27" x14ac:dyDescent="0.35">
      <c r="A8282">
        <v>1008829</v>
      </c>
      <c r="B8282">
        <v>7679</v>
      </c>
      <c r="C8282">
        <v>1</v>
      </c>
      <c r="D8282" s="17" t="s">
        <v>17166</v>
      </c>
      <c r="E8282" s="17"/>
      <c r="F8282" s="17" t="s">
        <v>17246</v>
      </c>
      <c r="G8282" s="17"/>
      <c r="H8282" s="17" t="s">
        <v>17984</v>
      </c>
      <c r="I8282" s="17"/>
      <c r="J8282" s="17" t="s">
        <v>17985</v>
      </c>
      <c r="K8282" s="17"/>
      <c r="L8282" s="17" t="s">
        <v>19025</v>
      </c>
      <c r="M8282" s="17"/>
      <c r="N8282" s="17" t="s">
        <v>19026</v>
      </c>
      <c r="O8282" s="17"/>
      <c r="P8282" s="17" t="s">
        <v>19092</v>
      </c>
      <c r="Q8282" s="17"/>
      <c r="R8282" s="25" t="str">
        <f>HYPERLINK("https://ictv.global/taxonomy/taxondetails?taxnode_id=202302212","Potexvirus ecsnerinis")</f>
        <v>Potexvirus ecsnerinis</v>
      </c>
      <c r="S8282" s="18" t="s">
        <v>30</v>
      </c>
      <c r="T8282" s="18" t="s">
        <v>19178</v>
      </c>
      <c r="U8282" s="18" t="s">
        <v>19179</v>
      </c>
      <c r="V8282" s="18" t="s">
        <v>18911</v>
      </c>
      <c r="W8282" s="18" t="s">
        <v>19180</v>
      </c>
      <c r="X8282" s="18" t="s">
        <v>42</v>
      </c>
      <c r="Y8282" s="18" t="s">
        <v>17171</v>
      </c>
      <c r="Z8282" s="18" t="s">
        <v>13441</v>
      </c>
      <c r="AA8282" s="21" t="str">
        <f>HYPERLINK("https://www.ncbi.nlm.nih.gov/nuccore/AB219105","NCBI Nucleotide")</f>
        <v>NCBI Nucleotide</v>
      </c>
    </row>
    <row r="8283" spans="1:27" x14ac:dyDescent="0.35">
      <c r="A8283">
        <v>1008830</v>
      </c>
      <c r="B8283">
        <v>7680</v>
      </c>
      <c r="C8283">
        <v>1</v>
      </c>
      <c r="D8283" s="17" t="s">
        <v>17166</v>
      </c>
      <c r="E8283" s="17"/>
      <c r="F8283" s="17" t="s">
        <v>17246</v>
      </c>
      <c r="G8283" s="17"/>
      <c r="H8283" s="17" t="s">
        <v>17984</v>
      </c>
      <c r="I8283" s="17"/>
      <c r="J8283" s="17" t="s">
        <v>17985</v>
      </c>
      <c r="K8283" s="17"/>
      <c r="L8283" s="17" t="s">
        <v>19025</v>
      </c>
      <c r="M8283" s="17"/>
      <c r="N8283" s="17" t="s">
        <v>19026</v>
      </c>
      <c r="O8283" s="17"/>
      <c r="P8283" s="17" t="s">
        <v>19092</v>
      </c>
      <c r="Q8283" s="17"/>
      <c r="R8283" s="25" t="str">
        <f>HYPERLINK("https://ictv.global/taxonomy/taxondetails?taxnode_id=202302213","Potexvirus ecsopuntiae")</f>
        <v>Potexvirus ecsopuntiae</v>
      </c>
      <c r="S8283" s="18" t="s">
        <v>30</v>
      </c>
      <c r="T8283" s="18" t="s">
        <v>19181</v>
      </c>
      <c r="U8283" s="18" t="s">
        <v>19182</v>
      </c>
      <c r="V8283" s="18" t="s">
        <v>19183</v>
      </c>
      <c r="W8283" s="18" t="s">
        <v>19184</v>
      </c>
      <c r="X8283" s="18" t="s">
        <v>42</v>
      </c>
      <c r="Y8283" s="18" t="s">
        <v>17171</v>
      </c>
      <c r="Z8283" s="18" t="s">
        <v>13441</v>
      </c>
      <c r="AA8283" s="21" t="str">
        <f>HYPERLINK("https://www.ncbi.nlm.nih.gov/nuccore/AY366209","NCBI Nucleotide")</f>
        <v>NCBI Nucleotide</v>
      </c>
    </row>
    <row r="8284" spans="1:27" x14ac:dyDescent="0.35">
      <c r="A8284">
        <v>1008833</v>
      </c>
      <c r="B8284">
        <v>7681</v>
      </c>
      <c r="C8284">
        <v>1</v>
      </c>
      <c r="D8284" s="17" t="s">
        <v>17166</v>
      </c>
      <c r="E8284" s="17"/>
      <c r="F8284" s="17" t="s">
        <v>17246</v>
      </c>
      <c r="G8284" s="17"/>
      <c r="H8284" s="17" t="s">
        <v>17984</v>
      </c>
      <c r="I8284" s="17"/>
      <c r="J8284" s="17" t="s">
        <v>17985</v>
      </c>
      <c r="K8284" s="17"/>
      <c r="L8284" s="17" t="s">
        <v>19025</v>
      </c>
      <c r="M8284" s="17"/>
      <c r="N8284" s="17" t="s">
        <v>19026</v>
      </c>
      <c r="O8284" s="17"/>
      <c r="P8284" s="17" t="s">
        <v>19092</v>
      </c>
      <c r="Q8284" s="17"/>
      <c r="R8284" s="25" t="str">
        <f>HYPERLINK("https://ictv.global/taxonomy/taxondetails?taxnode_id=202302216","Potexvirus ecsphaii")</f>
        <v>Potexvirus ecsphaii</v>
      </c>
      <c r="S8284" s="18" t="s">
        <v>30</v>
      </c>
      <c r="T8284" s="18" t="s">
        <v>19192</v>
      </c>
      <c r="U8284" s="18" t="s">
        <v>19193</v>
      </c>
      <c r="V8284" s="18" t="s">
        <v>18119</v>
      </c>
      <c r="W8284" s="18" t="s">
        <v>19194</v>
      </c>
      <c r="X8284" s="18" t="s">
        <v>42</v>
      </c>
      <c r="Y8284" s="18" t="s">
        <v>17171</v>
      </c>
      <c r="Z8284" s="18" t="s">
        <v>13441</v>
      </c>
      <c r="AA8284" s="21" t="str">
        <f>HYPERLINK("https://www.ncbi.nlm.nih.gov/nuccore/AB353071","NCBI Nucleotide")</f>
        <v>NCBI Nucleotide</v>
      </c>
    </row>
    <row r="8285" spans="1:27" x14ac:dyDescent="0.35">
      <c r="A8285">
        <v>1008834</v>
      </c>
      <c r="B8285">
        <v>7682</v>
      </c>
      <c r="C8285">
        <v>1</v>
      </c>
      <c r="D8285" s="17" t="s">
        <v>17166</v>
      </c>
      <c r="E8285" s="17"/>
      <c r="F8285" s="17" t="s">
        <v>17246</v>
      </c>
      <c r="G8285" s="17"/>
      <c r="H8285" s="17" t="s">
        <v>17984</v>
      </c>
      <c r="I8285" s="17"/>
      <c r="J8285" s="17" t="s">
        <v>17985</v>
      </c>
      <c r="K8285" s="17"/>
      <c r="L8285" s="17" t="s">
        <v>19025</v>
      </c>
      <c r="M8285" s="17"/>
      <c r="N8285" s="17" t="s">
        <v>19026</v>
      </c>
      <c r="O8285" s="17"/>
      <c r="P8285" s="17" t="s">
        <v>19092</v>
      </c>
      <c r="Q8285" s="17"/>
      <c r="R8285" s="25" t="str">
        <f>HYPERLINK("https://ictv.global/taxonomy/taxondetails?taxnode_id=202305635","Potexvirus ecspitayae")</f>
        <v>Potexvirus ecspitayae</v>
      </c>
      <c r="S8285" s="18" t="s">
        <v>30</v>
      </c>
      <c r="T8285" s="18" t="s">
        <v>19195</v>
      </c>
      <c r="U8285" s="18" t="s">
        <v>19196</v>
      </c>
      <c r="V8285" s="18" t="s">
        <v>19197</v>
      </c>
      <c r="W8285" s="18" t="s">
        <v>19198</v>
      </c>
      <c r="X8285" s="18" t="s">
        <v>42</v>
      </c>
      <c r="Y8285" s="18" t="s">
        <v>17171</v>
      </c>
      <c r="Z8285" s="18" t="s">
        <v>13441</v>
      </c>
      <c r="AA8285" s="21" t="str">
        <f>HYPERLINK("https://www.ncbi.nlm.nih.gov/nuccore/JF930327","NCBI Nucleotide")</f>
        <v>NCBI Nucleotide</v>
      </c>
    </row>
    <row r="8286" spans="1:27" x14ac:dyDescent="0.35">
      <c r="A8286">
        <v>1008836</v>
      </c>
      <c r="B8286">
        <v>7683</v>
      </c>
      <c r="C8286">
        <v>1</v>
      </c>
      <c r="D8286" s="17" t="s">
        <v>17166</v>
      </c>
      <c r="E8286" s="17"/>
      <c r="F8286" s="17" t="s">
        <v>17246</v>
      </c>
      <c r="G8286" s="17"/>
      <c r="H8286" s="17" t="s">
        <v>17984</v>
      </c>
      <c r="I8286" s="17"/>
      <c r="J8286" s="17" t="s">
        <v>17985</v>
      </c>
      <c r="K8286" s="17"/>
      <c r="L8286" s="17" t="s">
        <v>19025</v>
      </c>
      <c r="M8286" s="17"/>
      <c r="N8286" s="17" t="s">
        <v>19026</v>
      </c>
      <c r="O8286" s="17"/>
      <c r="P8286" s="17" t="s">
        <v>19092</v>
      </c>
      <c r="Q8286" s="17"/>
      <c r="R8286" s="25" t="str">
        <f>HYPERLINK("https://ictv.global/taxonomy/taxondetails?taxnode_id=202302218","Potexvirus ecsplantagonis")</f>
        <v>Potexvirus ecsplantagonis</v>
      </c>
      <c r="S8286" s="18" t="s">
        <v>30</v>
      </c>
      <c r="T8286" s="18" t="s">
        <v>19203</v>
      </c>
      <c r="U8286" s="18" t="s">
        <v>19204</v>
      </c>
      <c r="V8286" s="18"/>
      <c r="W8286" s="18" t="s">
        <v>19205</v>
      </c>
      <c r="X8286" s="18" t="s">
        <v>42</v>
      </c>
      <c r="Y8286" s="18" t="s">
        <v>17171</v>
      </c>
      <c r="Z8286" s="18" t="s">
        <v>13441</v>
      </c>
      <c r="AA8286" s="21" t="str">
        <f>HYPERLINK("https://www.ncbi.nlm.nih.gov/nuccore/KR872420","NCBI Nucleotide")</f>
        <v>NCBI Nucleotide</v>
      </c>
    </row>
    <row r="8287" spans="1:27" x14ac:dyDescent="0.35">
      <c r="A8287">
        <v>1008838</v>
      </c>
      <c r="B8287">
        <v>7684</v>
      </c>
      <c r="C8287">
        <v>1</v>
      </c>
      <c r="D8287" s="17" t="s">
        <v>17166</v>
      </c>
      <c r="E8287" s="17"/>
      <c r="F8287" s="17" t="s">
        <v>17246</v>
      </c>
      <c r="G8287" s="17"/>
      <c r="H8287" s="17" t="s">
        <v>17984</v>
      </c>
      <c r="I8287" s="17"/>
      <c r="J8287" s="17" t="s">
        <v>17985</v>
      </c>
      <c r="K8287" s="17"/>
      <c r="L8287" s="17" t="s">
        <v>19025</v>
      </c>
      <c r="M8287" s="17"/>
      <c r="N8287" s="17" t="s">
        <v>19026</v>
      </c>
      <c r="O8287" s="17"/>
      <c r="P8287" s="17" t="s">
        <v>19092</v>
      </c>
      <c r="Q8287" s="17"/>
      <c r="R8287" s="25" t="str">
        <f>HYPERLINK("https://ictv.global/taxonomy/taxondetails?taxnode_id=202302220","Potexvirus ecspotati")</f>
        <v>Potexvirus ecspotati</v>
      </c>
      <c r="S8287" s="18" t="s">
        <v>30</v>
      </c>
      <c r="T8287" s="18" t="s">
        <v>19210</v>
      </c>
      <c r="U8287" s="18" t="s">
        <v>19211</v>
      </c>
      <c r="V8287" s="18" t="s">
        <v>19212</v>
      </c>
      <c r="W8287" s="18" t="s">
        <v>19213</v>
      </c>
      <c r="X8287" s="18" t="s">
        <v>42</v>
      </c>
      <c r="Y8287" s="18" t="s">
        <v>17171</v>
      </c>
      <c r="Z8287" s="18" t="s">
        <v>13441</v>
      </c>
      <c r="AA8287" s="21" t="str">
        <f>HYPERLINK("https://www.ncbi.nlm.nih.gov/nuccore/D00344","NCBI Nucleotide")</f>
        <v>NCBI Nucleotide</v>
      </c>
    </row>
    <row r="8288" spans="1:27" x14ac:dyDescent="0.35">
      <c r="A8288">
        <v>1008844</v>
      </c>
      <c r="B8288">
        <v>7685</v>
      </c>
      <c r="C8288">
        <v>1</v>
      </c>
      <c r="D8288" s="17" t="s">
        <v>17166</v>
      </c>
      <c r="E8288" s="17"/>
      <c r="F8288" s="17" t="s">
        <v>17246</v>
      </c>
      <c r="G8288" s="17"/>
      <c r="H8288" s="17" t="s">
        <v>17984</v>
      </c>
      <c r="I8288" s="17"/>
      <c r="J8288" s="17" t="s">
        <v>17985</v>
      </c>
      <c r="K8288" s="17"/>
      <c r="L8288" s="17" t="s">
        <v>19025</v>
      </c>
      <c r="M8288" s="17"/>
      <c r="N8288" s="17" t="s">
        <v>19026</v>
      </c>
      <c r="O8288" s="17"/>
      <c r="P8288" s="17" t="s">
        <v>19092</v>
      </c>
      <c r="Q8288" s="17"/>
      <c r="R8288" s="25" t="str">
        <f>HYPERLINK("https://ictv.global/taxonomy/taxondetails?taxnode_id=202309849","Potexvirus ecsthalassiae")</f>
        <v>Potexvirus ecsthalassiae</v>
      </c>
      <c r="S8288" s="18" t="s">
        <v>30</v>
      </c>
      <c r="T8288" s="18" t="s">
        <v>19232</v>
      </c>
      <c r="U8288" s="18" t="s">
        <v>19233</v>
      </c>
      <c r="V8288" s="18"/>
      <c r="W8288" s="18" t="s">
        <v>19234</v>
      </c>
      <c r="X8288" s="18" t="s">
        <v>42</v>
      </c>
      <c r="Y8288" s="18" t="s">
        <v>17171</v>
      </c>
      <c r="Z8288" s="18" t="s">
        <v>13441</v>
      </c>
      <c r="AA8288" s="21" t="str">
        <f>HYPERLINK("https://www.ncbi.nlm.nih.gov/nuccore/MH077559","NCBI Nucleotide")</f>
        <v>NCBI Nucleotide</v>
      </c>
    </row>
    <row r="8289" spans="1:27" x14ac:dyDescent="0.35">
      <c r="A8289">
        <v>1008843</v>
      </c>
      <c r="B8289">
        <v>7686</v>
      </c>
      <c r="C8289">
        <v>1</v>
      </c>
      <c r="D8289" s="17" t="s">
        <v>17166</v>
      </c>
      <c r="E8289" s="17"/>
      <c r="F8289" s="17" t="s">
        <v>17246</v>
      </c>
      <c r="G8289" s="17"/>
      <c r="H8289" s="17" t="s">
        <v>17984</v>
      </c>
      <c r="I8289" s="17"/>
      <c r="J8289" s="17" t="s">
        <v>17985</v>
      </c>
      <c r="K8289" s="17"/>
      <c r="L8289" s="17" t="s">
        <v>19025</v>
      </c>
      <c r="M8289" s="17"/>
      <c r="N8289" s="17" t="s">
        <v>19026</v>
      </c>
      <c r="O8289" s="17"/>
      <c r="P8289" s="17" t="s">
        <v>19092</v>
      </c>
      <c r="Q8289" s="17"/>
      <c r="R8289" s="25" t="str">
        <f>HYPERLINK("https://ictv.global/taxonomy/taxondetails?taxnode_id=202302224","Potexvirus ecstulipae")</f>
        <v>Potexvirus ecstulipae</v>
      </c>
      <c r="S8289" s="18" t="s">
        <v>30</v>
      </c>
      <c r="T8289" s="18" t="s">
        <v>19229</v>
      </c>
      <c r="U8289" s="18" t="s">
        <v>19230</v>
      </c>
      <c r="V8289" s="18" t="s">
        <v>18911</v>
      </c>
      <c r="W8289" s="18" t="s">
        <v>19231</v>
      </c>
      <c r="X8289" s="18" t="s">
        <v>42</v>
      </c>
      <c r="Y8289" s="18" t="s">
        <v>17171</v>
      </c>
      <c r="Z8289" s="18" t="s">
        <v>13441</v>
      </c>
      <c r="AA8289" s="21" t="str">
        <f>HYPERLINK("https://www.ncbi.nlm.nih.gov/nuccore/AB066288","NCBI Nucleotide")</f>
        <v>NCBI Nucleotide</v>
      </c>
    </row>
    <row r="8290" spans="1:27" x14ac:dyDescent="0.35">
      <c r="A8290">
        <v>1008845</v>
      </c>
      <c r="B8290">
        <v>7687</v>
      </c>
      <c r="C8290">
        <v>1</v>
      </c>
      <c r="D8290" s="17" t="s">
        <v>17166</v>
      </c>
      <c r="E8290" s="17"/>
      <c r="F8290" s="17" t="s">
        <v>17246</v>
      </c>
      <c r="G8290" s="17"/>
      <c r="H8290" s="17" t="s">
        <v>17984</v>
      </c>
      <c r="I8290" s="17"/>
      <c r="J8290" s="17" t="s">
        <v>17985</v>
      </c>
      <c r="K8290" s="17"/>
      <c r="L8290" s="17" t="s">
        <v>19025</v>
      </c>
      <c r="M8290" s="17"/>
      <c r="N8290" s="17" t="s">
        <v>19026</v>
      </c>
      <c r="O8290" s="17"/>
      <c r="P8290" s="17" t="s">
        <v>19092</v>
      </c>
      <c r="Q8290" s="17"/>
      <c r="R8290" s="25" t="str">
        <f>HYPERLINK("https://ictv.global/taxonomy/taxondetails?taxnode_id=202305636","Potexvirus ecsvanillae")</f>
        <v>Potexvirus ecsvanillae</v>
      </c>
      <c r="S8290" s="18" t="s">
        <v>30</v>
      </c>
      <c r="T8290" s="18" t="s">
        <v>19235</v>
      </c>
      <c r="U8290" s="18" t="s">
        <v>19236</v>
      </c>
      <c r="V8290" s="18" t="s">
        <v>19237</v>
      </c>
      <c r="W8290" s="18" t="s">
        <v>19238</v>
      </c>
      <c r="X8290" s="18" t="s">
        <v>42</v>
      </c>
      <c r="Y8290" s="18" t="s">
        <v>17171</v>
      </c>
      <c r="Z8290" s="18" t="s">
        <v>13441</v>
      </c>
      <c r="AA8290" s="21" t="str">
        <f>HYPERLINK("https://www.ncbi.nlm.nih.gov/nuccore/MF150240","NCBI Nucleotide")</f>
        <v>NCBI Nucleotide</v>
      </c>
    </row>
    <row r="8291" spans="1:27" x14ac:dyDescent="0.35">
      <c r="A8291">
        <v>1008848</v>
      </c>
      <c r="B8291">
        <v>7688</v>
      </c>
      <c r="C8291">
        <v>1</v>
      </c>
      <c r="D8291" s="17" t="s">
        <v>17166</v>
      </c>
      <c r="E8291" s="17"/>
      <c r="F8291" s="17" t="s">
        <v>17246</v>
      </c>
      <c r="G8291" s="17"/>
      <c r="H8291" s="17" t="s">
        <v>17984</v>
      </c>
      <c r="I8291" s="17"/>
      <c r="J8291" s="17" t="s">
        <v>17985</v>
      </c>
      <c r="K8291" s="17"/>
      <c r="L8291" s="17" t="s">
        <v>19025</v>
      </c>
      <c r="M8291" s="17"/>
      <c r="N8291" s="17" t="s">
        <v>19026</v>
      </c>
      <c r="O8291" s="17"/>
      <c r="P8291" s="17" t="s">
        <v>19092</v>
      </c>
      <c r="Q8291" s="17"/>
      <c r="R8291" s="25" t="str">
        <f>HYPERLINK("https://ictv.global/taxonomy/taxondetails?taxnode_id=202302227","Potexvirus eczygocacti")</f>
        <v>Potexvirus eczygocacti</v>
      </c>
      <c r="S8291" s="18" t="s">
        <v>30</v>
      </c>
      <c r="T8291" s="18" t="s">
        <v>19247</v>
      </c>
      <c r="U8291" s="18" t="s">
        <v>19248</v>
      </c>
      <c r="V8291" s="18" t="s">
        <v>19249</v>
      </c>
      <c r="W8291" s="18" t="s">
        <v>19250</v>
      </c>
      <c r="X8291" s="18" t="s">
        <v>42</v>
      </c>
      <c r="Y8291" s="18" t="s">
        <v>17171</v>
      </c>
      <c r="Z8291" s="18" t="s">
        <v>13441</v>
      </c>
      <c r="AA8291" s="21" t="str">
        <f>HYPERLINK("https://www.ncbi.nlm.nih.gov/nuccore/AY366208","NCBI Nucleotide")</f>
        <v>NCBI Nucleotide</v>
      </c>
    </row>
    <row r="8292" spans="1:27" x14ac:dyDescent="0.35">
      <c r="A8292">
        <v>1008818</v>
      </c>
      <c r="B8292">
        <v>7689</v>
      </c>
      <c r="C8292">
        <v>1</v>
      </c>
      <c r="D8292" s="17" t="s">
        <v>17166</v>
      </c>
      <c r="E8292" s="17"/>
      <c r="F8292" s="17" t="s">
        <v>17246</v>
      </c>
      <c r="G8292" s="17"/>
      <c r="H8292" s="17" t="s">
        <v>17984</v>
      </c>
      <c r="I8292" s="17"/>
      <c r="J8292" s="17" t="s">
        <v>17985</v>
      </c>
      <c r="K8292" s="17"/>
      <c r="L8292" s="17" t="s">
        <v>19025</v>
      </c>
      <c r="M8292" s="17"/>
      <c r="N8292" s="17" t="s">
        <v>19026</v>
      </c>
      <c r="O8292" s="17"/>
      <c r="P8292" s="17" t="s">
        <v>19092</v>
      </c>
      <c r="Q8292" s="17"/>
      <c r="R8292" s="25" t="str">
        <f>HYPERLINK("https://ictv.global/taxonomy/taxondetails?taxnode_id=202309845","Potexvirus flavimaculae")</f>
        <v>Potexvirus flavimaculae</v>
      </c>
      <c r="S8292" s="18" t="s">
        <v>30</v>
      </c>
      <c r="T8292" s="18" t="s">
        <v>19141</v>
      </c>
      <c r="U8292" s="18" t="s">
        <v>19142</v>
      </c>
      <c r="V8292" s="18"/>
      <c r="W8292" s="18" t="s">
        <v>19143</v>
      </c>
      <c r="X8292" s="18" t="s">
        <v>42</v>
      </c>
      <c r="Y8292" s="18" t="s">
        <v>17171</v>
      </c>
      <c r="Z8292" s="18" t="s">
        <v>13441</v>
      </c>
      <c r="AA8292" s="21" t="str">
        <f>HYPERLINK("https://www.ncbi.nlm.nih.gov/nuccore/MK572000","NCBI Nucleotide")</f>
        <v>NCBI Nucleotide</v>
      </c>
    </row>
    <row r="8293" spans="1:27" x14ac:dyDescent="0.35">
      <c r="A8293">
        <v>1008815</v>
      </c>
      <c r="B8293">
        <v>7690</v>
      </c>
      <c r="C8293">
        <v>1</v>
      </c>
      <c r="D8293" s="17" t="s">
        <v>17166</v>
      </c>
      <c r="E8293" s="17"/>
      <c r="F8293" s="17" t="s">
        <v>17246</v>
      </c>
      <c r="G8293" s="17"/>
      <c r="H8293" s="17" t="s">
        <v>17984</v>
      </c>
      <c r="I8293" s="17"/>
      <c r="J8293" s="17" t="s">
        <v>17985</v>
      </c>
      <c r="K8293" s="17"/>
      <c r="L8293" s="17" t="s">
        <v>19025</v>
      </c>
      <c r="M8293" s="17"/>
      <c r="N8293" s="17" t="s">
        <v>19026</v>
      </c>
      <c r="O8293" s="17"/>
      <c r="P8293" s="17" t="s">
        <v>19092</v>
      </c>
      <c r="Q8293" s="17"/>
      <c r="R8293" s="25" t="str">
        <f>HYPERLINK("https://ictv.global/taxonomy/taxondetails?taxnode_id=202302201","Potexvirus flavitrifolii")</f>
        <v>Potexvirus flavitrifolii</v>
      </c>
      <c r="S8293" s="18" t="s">
        <v>30</v>
      </c>
      <c r="T8293" s="18" t="s">
        <v>19132</v>
      </c>
      <c r="U8293" s="18" t="s">
        <v>14301</v>
      </c>
      <c r="V8293" s="18" t="s">
        <v>19133</v>
      </c>
      <c r="W8293" s="18" t="s">
        <v>19134</v>
      </c>
      <c r="X8293" s="18" t="s">
        <v>42</v>
      </c>
      <c r="Y8293" s="18" t="s">
        <v>17171</v>
      </c>
      <c r="Z8293" s="18" t="s">
        <v>13441</v>
      </c>
      <c r="AA8293" s="21" t="str">
        <f>HYPERLINK("https://www.ncbi.nlm.nih.gov/nuccore/D29630","NCBI Nucleotide")</f>
        <v>NCBI Nucleotide</v>
      </c>
    </row>
    <row r="8294" spans="1:27" x14ac:dyDescent="0.35">
      <c r="A8294">
        <v>1008819</v>
      </c>
      <c r="B8294">
        <v>7691</v>
      </c>
      <c r="C8294">
        <v>1</v>
      </c>
      <c r="D8294" s="17" t="s">
        <v>17166</v>
      </c>
      <c r="E8294" s="17"/>
      <c r="F8294" s="17" t="s">
        <v>17246</v>
      </c>
      <c r="G8294" s="17"/>
      <c r="H8294" s="17" t="s">
        <v>17984</v>
      </c>
      <c r="I8294" s="17"/>
      <c r="J8294" s="17" t="s">
        <v>17985</v>
      </c>
      <c r="K8294" s="17"/>
      <c r="L8294" s="17" t="s">
        <v>19025</v>
      </c>
      <c r="M8294" s="17"/>
      <c r="N8294" s="17" t="s">
        <v>19026</v>
      </c>
      <c r="O8294" s="17"/>
      <c r="P8294" s="17" t="s">
        <v>19092</v>
      </c>
      <c r="Q8294" s="17"/>
      <c r="R8294" s="25" t="str">
        <f>HYPERLINK("https://ictv.global/taxonomy/taxondetails?taxnode_id=202309846","Potexvirus flavivenae")</f>
        <v>Potexvirus flavivenae</v>
      </c>
      <c r="S8294" s="18" t="s">
        <v>30</v>
      </c>
      <c r="T8294" s="18" t="s">
        <v>19144</v>
      </c>
      <c r="U8294" s="18" t="s">
        <v>14516</v>
      </c>
      <c r="V8294" s="18"/>
      <c r="W8294" s="18" t="s">
        <v>19145</v>
      </c>
      <c r="X8294" s="18" t="s">
        <v>42</v>
      </c>
      <c r="Y8294" s="18" t="s">
        <v>17171</v>
      </c>
      <c r="Z8294" s="18" t="s">
        <v>13441</v>
      </c>
      <c r="AA8294" s="21" t="str">
        <f>HYPERLINK("https://www.ncbi.nlm.nih.gov/nuccore/MF078061","NCBI Nucleotide")</f>
        <v>NCBI Nucleotide</v>
      </c>
    </row>
    <row r="8295" spans="1:27" x14ac:dyDescent="0.35">
      <c r="A8295">
        <v>1008841</v>
      </c>
      <c r="B8295">
        <v>7692</v>
      </c>
      <c r="C8295">
        <v>1</v>
      </c>
      <c r="D8295" s="17" t="s">
        <v>17166</v>
      </c>
      <c r="E8295" s="17"/>
      <c r="F8295" s="17" t="s">
        <v>17246</v>
      </c>
      <c r="G8295" s="17"/>
      <c r="H8295" s="17" t="s">
        <v>17984</v>
      </c>
      <c r="I8295" s="17"/>
      <c r="J8295" s="17" t="s">
        <v>17985</v>
      </c>
      <c r="K8295" s="17"/>
      <c r="L8295" s="17" t="s">
        <v>19025</v>
      </c>
      <c r="M8295" s="17"/>
      <c r="N8295" s="17" t="s">
        <v>19026</v>
      </c>
      <c r="O8295" s="17"/>
      <c r="P8295" s="17" t="s">
        <v>19092</v>
      </c>
      <c r="Q8295" s="17"/>
      <c r="R8295" s="25" t="str">
        <f>HYPERLINK("https://ictv.global/taxonomy/taxondetails?taxnode_id=202302222","Potexvirus fragariae")</f>
        <v>Potexvirus fragariae</v>
      </c>
      <c r="S8295" s="18" t="s">
        <v>30</v>
      </c>
      <c r="T8295" s="18" t="s">
        <v>19221</v>
      </c>
      <c r="U8295" s="18" t="s">
        <v>19222</v>
      </c>
      <c r="V8295" s="18" t="s">
        <v>19223</v>
      </c>
      <c r="W8295" s="18" t="s">
        <v>19224</v>
      </c>
      <c r="X8295" s="18" t="s">
        <v>42</v>
      </c>
      <c r="Y8295" s="18" t="s">
        <v>17171</v>
      </c>
      <c r="Z8295" s="18" t="s">
        <v>13441</v>
      </c>
      <c r="AA8295" s="21" t="str">
        <f>HYPERLINK("https://www.ncbi.nlm.nih.gov/nuccore/D12517","NCBI Nucleotide")</f>
        <v>NCBI Nucleotide</v>
      </c>
    </row>
    <row r="8296" spans="1:27" x14ac:dyDescent="0.35">
      <c r="A8296">
        <v>1008822</v>
      </c>
      <c r="B8296">
        <v>7693</v>
      </c>
      <c r="C8296">
        <v>1</v>
      </c>
      <c r="D8296" s="17" t="s">
        <v>17166</v>
      </c>
      <c r="E8296" s="17"/>
      <c r="F8296" s="17" t="s">
        <v>17246</v>
      </c>
      <c r="G8296" s="17"/>
      <c r="H8296" s="17" t="s">
        <v>17984</v>
      </c>
      <c r="I8296" s="17"/>
      <c r="J8296" s="17" t="s">
        <v>17985</v>
      </c>
      <c r="K8296" s="17"/>
      <c r="L8296" s="17" t="s">
        <v>19025</v>
      </c>
      <c r="M8296" s="17"/>
      <c r="N8296" s="17" t="s">
        <v>19026</v>
      </c>
      <c r="O8296" s="17"/>
      <c r="P8296" s="17" t="s">
        <v>19092</v>
      </c>
      <c r="Q8296" s="17"/>
      <c r="R8296" s="25" t="str">
        <f>HYPERLINK("https://ictv.global/taxonomy/taxondetails?taxnode_id=202302205","Potexvirus hydrangeae")</f>
        <v>Potexvirus hydrangeae</v>
      </c>
      <c r="S8296" s="18" t="s">
        <v>30</v>
      </c>
      <c r="T8296" s="18" t="s">
        <v>19153</v>
      </c>
      <c r="U8296" s="18" t="s">
        <v>19154</v>
      </c>
      <c r="V8296" s="18" t="s">
        <v>19155</v>
      </c>
      <c r="W8296" s="18" t="s">
        <v>19156</v>
      </c>
      <c r="X8296" s="18" t="s">
        <v>42</v>
      </c>
      <c r="Y8296" s="18" t="s">
        <v>17171</v>
      </c>
      <c r="Z8296" s="18" t="s">
        <v>13441</v>
      </c>
      <c r="AA8296" s="21" t="str">
        <f>HYPERLINK("https://www.ncbi.nlm.nih.gov/nuccore/AY707100","NCBI Nucleotide")</f>
        <v>NCBI Nucleotide</v>
      </c>
    </row>
    <row r="8297" spans="1:27" x14ac:dyDescent="0.35">
      <c r="A8297">
        <v>1008823</v>
      </c>
      <c r="B8297">
        <v>7694</v>
      </c>
      <c r="C8297">
        <v>1</v>
      </c>
      <c r="D8297" s="17" t="s">
        <v>17166</v>
      </c>
      <c r="E8297" s="17"/>
      <c r="F8297" s="17" t="s">
        <v>17246</v>
      </c>
      <c r="G8297" s="17"/>
      <c r="H8297" s="17" t="s">
        <v>17984</v>
      </c>
      <c r="I8297" s="17"/>
      <c r="J8297" s="17" t="s">
        <v>17985</v>
      </c>
      <c r="K8297" s="17"/>
      <c r="L8297" s="17" t="s">
        <v>19025</v>
      </c>
      <c r="M8297" s="17"/>
      <c r="N8297" s="17" t="s">
        <v>19026</v>
      </c>
      <c r="O8297" s="17"/>
      <c r="P8297" s="17" t="s">
        <v>19092</v>
      </c>
      <c r="Q8297" s="17"/>
      <c r="R8297" s="25" t="str">
        <f>HYPERLINK("https://ictv.global/taxonomy/taxondetails?taxnode_id=202302206","Potexvirus lagenariae")</f>
        <v>Potexvirus lagenariae</v>
      </c>
      <c r="S8297" s="18" t="s">
        <v>30</v>
      </c>
      <c r="T8297" s="18" t="s">
        <v>19157</v>
      </c>
      <c r="U8297" s="18" t="s">
        <v>19158</v>
      </c>
      <c r="V8297" s="18"/>
      <c r="W8297" s="18" t="s">
        <v>19159</v>
      </c>
      <c r="X8297" s="18" t="s">
        <v>154</v>
      </c>
      <c r="Y8297" s="18" t="s">
        <v>17171</v>
      </c>
      <c r="Z8297" s="18" t="s">
        <v>13441</v>
      </c>
      <c r="AA8297" s="21" t="str">
        <f>HYPERLINK("https://www.ncbi.nlm.nih.gov/nuccore/AB546335","NCBI Nucleotide")</f>
        <v>NCBI Nucleotide</v>
      </c>
    </row>
    <row r="8298" spans="1:27" x14ac:dyDescent="0.35">
      <c r="A8298">
        <v>1008826</v>
      </c>
      <c r="B8298">
        <v>7695</v>
      </c>
      <c r="C8298">
        <v>1</v>
      </c>
      <c r="D8298" s="17" t="s">
        <v>17166</v>
      </c>
      <c r="E8298" s="17"/>
      <c r="F8298" s="17" t="s">
        <v>17246</v>
      </c>
      <c r="G8298" s="17"/>
      <c r="H8298" s="17" t="s">
        <v>17984</v>
      </c>
      <c r="I8298" s="17"/>
      <c r="J8298" s="17" t="s">
        <v>17985</v>
      </c>
      <c r="K8298" s="17"/>
      <c r="L8298" s="17" t="s">
        <v>19025</v>
      </c>
      <c r="M8298" s="17"/>
      <c r="N8298" s="17" t="s">
        <v>19026</v>
      </c>
      <c r="O8298" s="17"/>
      <c r="P8298" s="17" t="s">
        <v>19092</v>
      </c>
      <c r="Q8298" s="17"/>
      <c r="R8298" s="25" t="str">
        <f>HYPERLINK("https://ictv.global/taxonomy/taxondetails?taxnode_id=202302209","Potexvirus malvae")</f>
        <v>Potexvirus malvae</v>
      </c>
      <c r="S8298" s="18" t="s">
        <v>30</v>
      </c>
      <c r="T8298" s="18" t="s">
        <v>19167</v>
      </c>
      <c r="U8298" s="18" t="s">
        <v>19168</v>
      </c>
      <c r="V8298" s="18" t="s">
        <v>19169</v>
      </c>
      <c r="W8298" s="18" t="s">
        <v>19170</v>
      </c>
      <c r="X8298" s="18" t="s">
        <v>42</v>
      </c>
      <c r="Y8298" s="18" t="s">
        <v>17171</v>
      </c>
      <c r="Z8298" s="18" t="s">
        <v>13441</v>
      </c>
      <c r="AA8298" s="21" t="str">
        <f>HYPERLINK("https://www.ncbi.nlm.nih.gov/nuccore/DQ660333","NCBI Nucleotide")</f>
        <v>NCBI Nucleotide</v>
      </c>
    </row>
    <row r="8299" spans="1:27" x14ac:dyDescent="0.35">
      <c r="A8299">
        <v>1008837</v>
      </c>
      <c r="B8299">
        <v>7696</v>
      </c>
      <c r="C8299">
        <v>1</v>
      </c>
      <c r="D8299" s="17" t="s">
        <v>17166</v>
      </c>
      <c r="E8299" s="17"/>
      <c r="F8299" s="17" t="s">
        <v>17246</v>
      </c>
      <c r="G8299" s="17"/>
      <c r="H8299" s="17" t="s">
        <v>17984</v>
      </c>
      <c r="I8299" s="17"/>
      <c r="J8299" s="17" t="s">
        <v>17985</v>
      </c>
      <c r="K8299" s="17"/>
      <c r="L8299" s="17" t="s">
        <v>19025</v>
      </c>
      <c r="M8299" s="17"/>
      <c r="N8299" s="17" t="s">
        <v>19026</v>
      </c>
      <c r="O8299" s="17"/>
      <c r="P8299" s="17" t="s">
        <v>19092</v>
      </c>
      <c r="Q8299" s="17"/>
      <c r="R8299" s="25" t="str">
        <f>HYPERLINK("https://ictv.global/taxonomy/taxondetails?taxnode_id=202302219","Potexvirus marmoraucuba")</f>
        <v>Potexvirus marmoraucuba</v>
      </c>
      <c r="S8299" s="18" t="s">
        <v>30</v>
      </c>
      <c r="T8299" s="18" t="s">
        <v>19206</v>
      </c>
      <c r="U8299" s="18" t="s">
        <v>19207</v>
      </c>
      <c r="V8299" s="18" t="s">
        <v>19208</v>
      </c>
      <c r="W8299" s="18" t="s">
        <v>19209</v>
      </c>
      <c r="X8299" s="18" t="s">
        <v>42</v>
      </c>
      <c r="Y8299" s="18" t="s">
        <v>17171</v>
      </c>
      <c r="Z8299" s="18" t="s">
        <v>13441</v>
      </c>
      <c r="AA8299" s="21" t="str">
        <f>HYPERLINK("https://www.ncbi.nlm.nih.gov/nuccore/S73580","NCBI Nucleotide")</f>
        <v>NCBI Nucleotide</v>
      </c>
    </row>
    <row r="8300" spans="1:27" x14ac:dyDescent="0.35">
      <c r="A8300">
        <v>1008842</v>
      </c>
      <c r="B8300">
        <v>7697</v>
      </c>
      <c r="C8300">
        <v>1</v>
      </c>
      <c r="D8300" s="17" t="s">
        <v>17166</v>
      </c>
      <c r="E8300" s="17"/>
      <c r="F8300" s="17" t="s">
        <v>17246</v>
      </c>
      <c r="G8300" s="17"/>
      <c r="H8300" s="17" t="s">
        <v>17984</v>
      </c>
      <c r="I8300" s="17"/>
      <c r="J8300" s="17" t="s">
        <v>17985</v>
      </c>
      <c r="K8300" s="17"/>
      <c r="L8300" s="17" t="s">
        <v>19025</v>
      </c>
      <c r="M8300" s="17"/>
      <c r="N8300" s="17" t="s">
        <v>19026</v>
      </c>
      <c r="O8300" s="17"/>
      <c r="P8300" s="17" t="s">
        <v>19092</v>
      </c>
      <c r="Q8300" s="17"/>
      <c r="R8300" s="25" t="str">
        <f>HYPERLINK("https://ictv.global/taxonomy/taxondetails?taxnode_id=202302223","Potexvirus marmordioscoreae")</f>
        <v>Potexvirus marmordioscoreae</v>
      </c>
      <c r="S8300" s="18" t="s">
        <v>30</v>
      </c>
      <c r="T8300" s="18" t="s">
        <v>19225</v>
      </c>
      <c r="U8300" s="18" t="s">
        <v>19226</v>
      </c>
      <c r="V8300" s="18" t="s">
        <v>19227</v>
      </c>
      <c r="W8300" s="18" t="s">
        <v>19228</v>
      </c>
      <c r="X8300" s="18" t="s">
        <v>42</v>
      </c>
      <c r="Y8300" s="18" t="s">
        <v>17171</v>
      </c>
      <c r="Z8300" s="18" t="s">
        <v>13441</v>
      </c>
      <c r="AA8300" s="21" t="str">
        <f>HYPERLINK("https://www.ncbi.nlm.nih.gov/nuccore/JN389521","NCBI Nucleotide")</f>
        <v>NCBI Nucleotide</v>
      </c>
    </row>
    <row r="8301" spans="1:27" x14ac:dyDescent="0.35">
      <c r="A8301">
        <v>1008813</v>
      </c>
      <c r="B8301">
        <v>7698</v>
      </c>
      <c r="C8301">
        <v>1</v>
      </c>
      <c r="D8301" s="17" t="s">
        <v>17166</v>
      </c>
      <c r="E8301" s="17"/>
      <c r="F8301" s="17" t="s">
        <v>17246</v>
      </c>
      <c r="G8301" s="17"/>
      <c r="H8301" s="17" t="s">
        <v>17984</v>
      </c>
      <c r="I8301" s="17"/>
      <c r="J8301" s="17" t="s">
        <v>17985</v>
      </c>
      <c r="K8301" s="17"/>
      <c r="L8301" s="17" t="s">
        <v>19025</v>
      </c>
      <c r="M8301" s="17"/>
      <c r="N8301" s="17" t="s">
        <v>19026</v>
      </c>
      <c r="O8301" s="17"/>
      <c r="P8301" s="17" t="s">
        <v>19092</v>
      </c>
      <c r="Q8301" s="17"/>
      <c r="R8301" s="25" t="str">
        <f>HYPERLINK("https://ictv.global/taxonomy/taxondetails?taxnode_id=202302199","Potexvirus marmormanihotis")</f>
        <v>Potexvirus marmormanihotis</v>
      </c>
      <c r="S8301" s="18" t="s">
        <v>30</v>
      </c>
      <c r="T8301" s="18" t="s">
        <v>19124</v>
      </c>
      <c r="U8301" s="18" t="s">
        <v>19125</v>
      </c>
      <c r="V8301" s="18" t="s">
        <v>19126</v>
      </c>
      <c r="W8301" s="18" t="s">
        <v>19127</v>
      </c>
      <c r="X8301" s="18" t="s">
        <v>42</v>
      </c>
      <c r="Y8301" s="18" t="s">
        <v>17171</v>
      </c>
      <c r="Z8301" s="18" t="s">
        <v>13441</v>
      </c>
      <c r="AA8301" s="21" t="str">
        <f>HYPERLINK("https://www.ncbi.nlm.nih.gov/nuccore/U23414","NCBI Nucleotide")</f>
        <v>NCBI Nucleotide</v>
      </c>
    </row>
    <row r="8302" spans="1:27" x14ac:dyDescent="0.35">
      <c r="A8302">
        <v>1008835</v>
      </c>
      <c r="B8302">
        <v>7699</v>
      </c>
      <c r="C8302">
        <v>1</v>
      </c>
      <c r="D8302" s="17" t="s">
        <v>17166</v>
      </c>
      <c r="E8302" s="17"/>
      <c r="F8302" s="17" t="s">
        <v>17246</v>
      </c>
      <c r="G8302" s="17"/>
      <c r="H8302" s="17" t="s">
        <v>17984</v>
      </c>
      <c r="I8302" s="17"/>
      <c r="J8302" s="17" t="s">
        <v>17985</v>
      </c>
      <c r="K8302" s="17"/>
      <c r="L8302" s="17" t="s">
        <v>19025</v>
      </c>
      <c r="M8302" s="17"/>
      <c r="N8302" s="17" t="s">
        <v>19026</v>
      </c>
      <c r="O8302" s="17"/>
      <c r="P8302" s="17" t="s">
        <v>19092</v>
      </c>
      <c r="Q8302" s="17"/>
      <c r="R8302" s="25" t="str">
        <f>HYPERLINK("https://ictv.global/taxonomy/taxondetails?taxnode_id=202302217","Potexvirus marmorplantagonis")</f>
        <v>Potexvirus marmorplantagonis</v>
      </c>
      <c r="S8302" s="18" t="s">
        <v>30</v>
      </c>
      <c r="T8302" s="18" t="s">
        <v>19199</v>
      </c>
      <c r="U8302" s="18" t="s">
        <v>19200</v>
      </c>
      <c r="V8302" s="18" t="s">
        <v>19201</v>
      </c>
      <c r="W8302" s="18" t="s">
        <v>19202</v>
      </c>
      <c r="X8302" s="18" t="s">
        <v>42</v>
      </c>
      <c r="Y8302" s="18" t="s">
        <v>17171</v>
      </c>
      <c r="Z8302" s="18" t="s">
        <v>13441</v>
      </c>
      <c r="AA8302" s="21" t="str">
        <f>HYPERLINK("https://www.ncbi.nlm.nih.gov/nuccore/Z21647","NCBI Nucleotide")</f>
        <v>NCBI Nucleotide</v>
      </c>
    </row>
    <row r="8303" spans="1:27" x14ac:dyDescent="0.35">
      <c r="A8303">
        <v>1008840</v>
      </c>
      <c r="B8303">
        <v>7700</v>
      </c>
      <c r="C8303">
        <v>1</v>
      </c>
      <c r="D8303" s="17" t="s">
        <v>17166</v>
      </c>
      <c r="E8303" s="17"/>
      <c r="F8303" s="17" t="s">
        <v>17246</v>
      </c>
      <c r="G8303" s="17"/>
      <c r="H8303" s="17" t="s">
        <v>17984</v>
      </c>
      <c r="I8303" s="17"/>
      <c r="J8303" s="17" t="s">
        <v>17985</v>
      </c>
      <c r="K8303" s="17"/>
      <c r="L8303" s="17" t="s">
        <v>19025</v>
      </c>
      <c r="M8303" s="17"/>
      <c r="N8303" s="17" t="s">
        <v>19026</v>
      </c>
      <c r="O8303" s="17"/>
      <c r="P8303" s="17" t="s">
        <v>19092</v>
      </c>
      <c r="Q8303" s="17"/>
      <c r="R8303" s="25" t="str">
        <f>HYPERLINK("https://ictv.global/taxonomy/taxondetails?taxnode_id=202309848","Potexvirus marmorsennae")</f>
        <v>Potexvirus marmorsennae</v>
      </c>
      <c r="S8303" s="18" t="s">
        <v>30</v>
      </c>
      <c r="T8303" s="18" t="s">
        <v>19218</v>
      </c>
      <c r="U8303" s="18" t="s">
        <v>19219</v>
      </c>
      <c r="V8303" s="18"/>
      <c r="W8303" s="18" t="s">
        <v>19220</v>
      </c>
      <c r="X8303" s="18" t="s">
        <v>42</v>
      </c>
      <c r="Y8303" s="18" t="s">
        <v>17171</v>
      </c>
      <c r="Z8303" s="18" t="s">
        <v>13441</v>
      </c>
      <c r="AA8303" s="21" t="str">
        <f>HYPERLINK("https://www.ncbi.nlm.nih.gov/nuccore/KX196173","NCBI Nucleotide")</f>
        <v>NCBI Nucleotide</v>
      </c>
    </row>
    <row r="8304" spans="1:27" x14ac:dyDescent="0.35">
      <c r="A8304">
        <v>1008828</v>
      </c>
      <c r="B8304">
        <v>7701</v>
      </c>
      <c r="C8304">
        <v>1</v>
      </c>
      <c r="D8304" s="17" t="s">
        <v>17166</v>
      </c>
      <c r="E8304" s="17"/>
      <c r="F8304" s="17" t="s">
        <v>17246</v>
      </c>
      <c r="G8304" s="17"/>
      <c r="H8304" s="17" t="s">
        <v>17984</v>
      </c>
      <c r="I8304" s="17"/>
      <c r="J8304" s="17" t="s">
        <v>17985</v>
      </c>
      <c r="K8304" s="17"/>
      <c r="L8304" s="17" t="s">
        <v>19025</v>
      </c>
      <c r="M8304" s="17"/>
      <c r="N8304" s="17" t="s">
        <v>19026</v>
      </c>
      <c r="O8304" s="17"/>
      <c r="P8304" s="17" t="s">
        <v>19092</v>
      </c>
      <c r="Q8304" s="17"/>
      <c r="R8304" s="25" t="str">
        <f>HYPERLINK("https://ictv.global/taxonomy/taxondetails?taxnode_id=202302211","Potexvirus narcissi")</f>
        <v>Potexvirus narcissi</v>
      </c>
      <c r="S8304" s="18" t="s">
        <v>30</v>
      </c>
      <c r="T8304" s="18" t="s">
        <v>19174</v>
      </c>
      <c r="U8304" s="18" t="s">
        <v>19175</v>
      </c>
      <c r="V8304" s="18" t="s">
        <v>19176</v>
      </c>
      <c r="W8304" s="18" t="s">
        <v>19177</v>
      </c>
      <c r="X8304" s="18" t="s">
        <v>42</v>
      </c>
      <c r="Y8304" s="18" t="s">
        <v>17171</v>
      </c>
      <c r="Z8304" s="18" t="s">
        <v>13441</v>
      </c>
      <c r="AA8304" s="21" t="str">
        <f>HYPERLINK("https://www.ncbi.nlm.nih.gov/nuccore/D13747","NCBI Nucleotide")</f>
        <v>NCBI Nucleotide</v>
      </c>
    </row>
    <row r="8305" spans="1:27" x14ac:dyDescent="0.35">
      <c r="A8305">
        <v>1008807</v>
      </c>
      <c r="B8305">
        <v>7702</v>
      </c>
      <c r="C8305">
        <v>1</v>
      </c>
      <c r="D8305" s="17" t="s">
        <v>17166</v>
      </c>
      <c r="E8305" s="17"/>
      <c r="F8305" s="17" t="s">
        <v>17246</v>
      </c>
      <c r="G8305" s="17"/>
      <c r="H8305" s="17" t="s">
        <v>17984</v>
      </c>
      <c r="I8305" s="17"/>
      <c r="J8305" s="17" t="s">
        <v>17985</v>
      </c>
      <c r="K8305" s="17"/>
      <c r="L8305" s="17" t="s">
        <v>19025</v>
      </c>
      <c r="M8305" s="17"/>
      <c r="N8305" s="17" t="s">
        <v>19026</v>
      </c>
      <c r="O8305" s="17"/>
      <c r="P8305" s="17" t="s">
        <v>19092</v>
      </c>
      <c r="Q8305" s="17"/>
      <c r="R8305" s="25" t="str">
        <f>HYPERLINK("https://ictv.global/taxonomy/taxondetails?taxnode_id=202309843","Potexvirus nesignambrosiae")</f>
        <v>Potexvirus nesignambrosiae</v>
      </c>
      <c r="S8305" s="18" t="s">
        <v>30</v>
      </c>
      <c r="T8305" s="18" t="s">
        <v>19103</v>
      </c>
      <c r="U8305" s="18" t="s">
        <v>19104</v>
      </c>
      <c r="V8305" s="18"/>
      <c r="W8305" s="18" t="s">
        <v>19105</v>
      </c>
      <c r="X8305" s="18" t="s">
        <v>42</v>
      </c>
      <c r="Y8305" s="18" t="s">
        <v>17171</v>
      </c>
      <c r="Z8305" s="18" t="s">
        <v>13441</v>
      </c>
      <c r="AA8305" s="21" t="str">
        <f>HYPERLINK("https://www.ncbi.nlm.nih.gov/nuccore/KF421905","NCBI Nucleotide")</f>
        <v>NCBI Nucleotide</v>
      </c>
    </row>
    <row r="8306" spans="1:27" x14ac:dyDescent="0.35">
      <c r="A8306">
        <v>1008831</v>
      </c>
      <c r="B8306">
        <v>7703</v>
      </c>
      <c r="C8306">
        <v>1</v>
      </c>
      <c r="D8306" s="17" t="s">
        <v>17166</v>
      </c>
      <c r="E8306" s="17"/>
      <c r="F8306" s="17" t="s">
        <v>17246</v>
      </c>
      <c r="G8306" s="17"/>
      <c r="H8306" s="17" t="s">
        <v>17984</v>
      </c>
      <c r="I8306" s="17"/>
      <c r="J8306" s="17" t="s">
        <v>17985</v>
      </c>
      <c r="K8306" s="17"/>
      <c r="L8306" s="17" t="s">
        <v>19025</v>
      </c>
      <c r="M8306" s="17"/>
      <c r="N8306" s="17" t="s">
        <v>19026</v>
      </c>
      <c r="O8306" s="17"/>
      <c r="P8306" s="17" t="s">
        <v>19092</v>
      </c>
      <c r="Q8306" s="17"/>
      <c r="R8306" s="25" t="str">
        <f>HYPERLINK("https://ictv.global/taxonomy/taxondetails?taxnode_id=202302214","Potexvirus papayae")</f>
        <v>Potexvirus papayae</v>
      </c>
      <c r="S8306" s="18" t="s">
        <v>30</v>
      </c>
      <c r="T8306" s="18" t="s">
        <v>19185</v>
      </c>
      <c r="U8306" s="18" t="s">
        <v>19186</v>
      </c>
      <c r="V8306" s="18" t="s">
        <v>19133</v>
      </c>
      <c r="W8306" s="18" t="s">
        <v>19187</v>
      </c>
      <c r="X8306" s="18" t="s">
        <v>42</v>
      </c>
      <c r="Y8306" s="18" t="s">
        <v>17171</v>
      </c>
      <c r="Z8306" s="18" t="s">
        <v>13441</v>
      </c>
      <c r="AA8306" s="21" t="str">
        <f>HYPERLINK("https://www.ncbi.nlm.nih.gov/nuccore/D13957","NCBI Nucleotide")</f>
        <v>NCBI Nucleotide</v>
      </c>
    </row>
    <row r="8307" spans="1:27" x14ac:dyDescent="0.35">
      <c r="A8307">
        <v>1008832</v>
      </c>
      <c r="B8307">
        <v>7704</v>
      </c>
      <c r="C8307">
        <v>1</v>
      </c>
      <c r="D8307" s="17" t="s">
        <v>17166</v>
      </c>
      <c r="E8307" s="17"/>
      <c r="F8307" s="17" t="s">
        <v>17246</v>
      </c>
      <c r="G8307" s="17"/>
      <c r="H8307" s="17" t="s">
        <v>17984</v>
      </c>
      <c r="I8307" s="17"/>
      <c r="J8307" s="17" t="s">
        <v>17985</v>
      </c>
      <c r="K8307" s="17"/>
      <c r="L8307" s="17" t="s">
        <v>19025</v>
      </c>
      <c r="M8307" s="17"/>
      <c r="N8307" s="17" t="s">
        <v>19026</v>
      </c>
      <c r="O8307" s="17"/>
      <c r="P8307" s="17" t="s">
        <v>19092</v>
      </c>
      <c r="Q8307" s="17"/>
      <c r="R8307" s="25" t="str">
        <f>HYPERLINK("https://ictv.global/taxonomy/taxondetails?taxnode_id=202302215","Potexvirus pepini")</f>
        <v>Potexvirus pepini</v>
      </c>
      <c r="S8307" s="18" t="s">
        <v>30</v>
      </c>
      <c r="T8307" s="18" t="s">
        <v>19188</v>
      </c>
      <c r="U8307" s="18" t="s">
        <v>19189</v>
      </c>
      <c r="V8307" s="18" t="s">
        <v>19190</v>
      </c>
      <c r="W8307" s="18" t="s">
        <v>19191</v>
      </c>
      <c r="X8307" s="18" t="s">
        <v>42</v>
      </c>
      <c r="Y8307" s="18" t="s">
        <v>17171</v>
      </c>
      <c r="Z8307" s="18" t="s">
        <v>13441</v>
      </c>
      <c r="AA8307" s="21" t="str">
        <f>HYPERLINK("https://www.ncbi.nlm.nih.gov/nuccore/AF484251","NCBI Nucleotide")</f>
        <v>NCBI Nucleotide</v>
      </c>
    </row>
    <row r="8308" spans="1:27" x14ac:dyDescent="0.35">
      <c r="A8308">
        <v>1008820</v>
      </c>
      <c r="B8308">
        <v>7705</v>
      </c>
      <c r="C8308">
        <v>1</v>
      </c>
      <c r="D8308" s="17" t="s">
        <v>17166</v>
      </c>
      <c r="E8308" s="17"/>
      <c r="F8308" s="17" t="s">
        <v>17246</v>
      </c>
      <c r="G8308" s="17"/>
      <c r="H8308" s="17" t="s">
        <v>17984</v>
      </c>
      <c r="I8308" s="17"/>
      <c r="J8308" s="17" t="s">
        <v>17985</v>
      </c>
      <c r="K8308" s="17"/>
      <c r="L8308" s="17" t="s">
        <v>19025</v>
      </c>
      <c r="M8308" s="17"/>
      <c r="N8308" s="17" t="s">
        <v>19026</v>
      </c>
      <c r="O8308" s="17"/>
      <c r="P8308" s="17" t="s">
        <v>19092</v>
      </c>
      <c r="Q8308" s="17"/>
      <c r="R8308" s="25" t="str">
        <f>HYPERLINK("https://ictv.global/taxonomy/taxondetails?taxnode_id=202302203","Potexvirus setariae")</f>
        <v>Potexvirus setariae</v>
      </c>
      <c r="S8308" s="18" t="s">
        <v>30</v>
      </c>
      <c r="T8308" s="18" t="s">
        <v>19146</v>
      </c>
      <c r="U8308" s="18" t="s">
        <v>19147</v>
      </c>
      <c r="V8308" s="18" t="s">
        <v>19148</v>
      </c>
      <c r="W8308" s="18" t="s">
        <v>19149</v>
      </c>
      <c r="X8308" s="18" t="s">
        <v>42</v>
      </c>
      <c r="Y8308" s="18" t="s">
        <v>17171</v>
      </c>
      <c r="Z8308" s="18" t="s">
        <v>13441</v>
      </c>
      <c r="AA8308" s="21" t="str">
        <f>HYPERLINK("https://www.ncbi.nlm.nih.gov/nuccore/M62730","NCBI Nucleotide")</f>
        <v>NCBI Nucleotide</v>
      </c>
    </row>
    <row r="8309" spans="1:27" x14ac:dyDescent="0.35">
      <c r="A8309">
        <v>1008808</v>
      </c>
      <c r="B8309">
        <v>7706</v>
      </c>
      <c r="C8309">
        <v>1</v>
      </c>
      <c r="D8309" s="17" t="s">
        <v>17166</v>
      </c>
      <c r="E8309" s="17"/>
      <c r="F8309" s="17" t="s">
        <v>17246</v>
      </c>
      <c r="G8309" s="17"/>
      <c r="H8309" s="17" t="s">
        <v>17984</v>
      </c>
      <c r="I8309" s="17"/>
      <c r="J8309" s="17" t="s">
        <v>17985</v>
      </c>
      <c r="K8309" s="17"/>
      <c r="L8309" s="17" t="s">
        <v>19025</v>
      </c>
      <c r="M8309" s="17"/>
      <c r="N8309" s="17" t="s">
        <v>19026</v>
      </c>
      <c r="O8309" s="17"/>
      <c r="P8309" s="17" t="s">
        <v>19092</v>
      </c>
      <c r="Q8309" s="17"/>
      <c r="R8309" s="25" t="str">
        <f>HYPERLINK("https://ictv.global/taxonomy/taxondetails?taxnode_id=202302196","Potexvirus triasparagi")</f>
        <v>Potexvirus triasparagi</v>
      </c>
      <c r="S8309" s="18" t="s">
        <v>30</v>
      </c>
      <c r="T8309" s="18" t="s">
        <v>19106</v>
      </c>
      <c r="U8309" s="18" t="s">
        <v>19107</v>
      </c>
      <c r="V8309" s="18" t="s">
        <v>18911</v>
      </c>
      <c r="W8309" s="18" t="s">
        <v>19108</v>
      </c>
      <c r="X8309" s="18" t="s">
        <v>42</v>
      </c>
      <c r="Y8309" s="18" t="s">
        <v>17171</v>
      </c>
      <c r="Z8309" s="18" t="s">
        <v>13441</v>
      </c>
      <c r="AA8309" s="21" t="str">
        <f>HYPERLINK("https://www.ncbi.nlm.nih.gov/nuccore/AB304848","NCBI Nucleotide")</f>
        <v>NCBI Nucleotide</v>
      </c>
    </row>
    <row r="8310" spans="1:27" x14ac:dyDescent="0.35">
      <c r="A8310">
        <v>1012770</v>
      </c>
      <c r="B8310">
        <v>7706</v>
      </c>
      <c r="C8310">
        <v>2</v>
      </c>
      <c r="D8310" s="17" t="s">
        <v>17166</v>
      </c>
      <c r="E8310" s="17"/>
      <c r="F8310" s="17" t="s">
        <v>17246</v>
      </c>
      <c r="G8310" s="17"/>
      <c r="H8310" s="17" t="s">
        <v>17984</v>
      </c>
      <c r="I8310" s="17"/>
      <c r="J8310" s="17" t="s">
        <v>17985</v>
      </c>
      <c r="K8310" s="17"/>
      <c r="L8310" s="17" t="s">
        <v>19025</v>
      </c>
      <c r="M8310" s="17"/>
      <c r="N8310" s="17" t="s">
        <v>19026</v>
      </c>
      <c r="O8310" s="17"/>
      <c r="P8310" s="17" t="s">
        <v>19092</v>
      </c>
      <c r="Q8310" s="17"/>
      <c r="R8310" s="25" t="str">
        <f>HYPERLINK("https://ictv.global/taxonomy/taxondetails?taxnode_id=202302196","Potexvirus triasparagi")</f>
        <v>Potexvirus triasparagi</v>
      </c>
      <c r="S8310" s="18" t="s">
        <v>8141</v>
      </c>
      <c r="T8310" s="18" t="s">
        <v>19109</v>
      </c>
      <c r="U8310" s="18" t="s">
        <v>19110</v>
      </c>
      <c r="V8310" s="18"/>
      <c r="W8310" s="18" t="s">
        <v>49326</v>
      </c>
      <c r="X8310" s="18" t="s">
        <v>42</v>
      </c>
      <c r="Y8310" s="18" t="s">
        <v>17171</v>
      </c>
      <c r="Z8310" s="18" t="s">
        <v>13441</v>
      </c>
      <c r="AA8310" s="21" t="str">
        <f>HYPERLINK("https://www.ncbi.nlm.nih.gov/nuccore/AJ316085","NCBI Nucleotide")</f>
        <v>NCBI Nucleotide</v>
      </c>
    </row>
    <row r="8311" spans="1:27" x14ac:dyDescent="0.35">
      <c r="A8311">
        <v>1008846</v>
      </c>
      <c r="B8311">
        <v>7707</v>
      </c>
      <c r="C8311">
        <v>1</v>
      </c>
      <c r="D8311" s="17" t="s">
        <v>17166</v>
      </c>
      <c r="E8311" s="17"/>
      <c r="F8311" s="17" t="s">
        <v>17246</v>
      </c>
      <c r="G8311" s="17"/>
      <c r="H8311" s="17" t="s">
        <v>17984</v>
      </c>
      <c r="I8311" s="17"/>
      <c r="J8311" s="17" t="s">
        <v>17985</v>
      </c>
      <c r="K8311" s="17"/>
      <c r="L8311" s="17" t="s">
        <v>19025</v>
      </c>
      <c r="M8311" s="17"/>
      <c r="N8311" s="17" t="s">
        <v>19026</v>
      </c>
      <c r="O8311" s="17"/>
      <c r="P8311" s="17" t="s">
        <v>19092</v>
      </c>
      <c r="Q8311" s="17"/>
      <c r="R8311" s="25" t="str">
        <f>HYPERLINK("https://ictv.global/taxonomy/taxondetails?taxnode_id=202302225","Potexvirus trifolii")</f>
        <v>Potexvirus trifolii</v>
      </c>
      <c r="S8311" s="18" t="s">
        <v>30</v>
      </c>
      <c r="T8311" s="18" t="s">
        <v>19239</v>
      </c>
      <c r="U8311" s="18" t="s">
        <v>19240</v>
      </c>
      <c r="V8311" s="18" t="s">
        <v>19241</v>
      </c>
      <c r="W8311" s="18" t="s">
        <v>19242</v>
      </c>
      <c r="X8311" s="18" t="s">
        <v>42</v>
      </c>
      <c r="Y8311" s="18" t="s">
        <v>17171</v>
      </c>
      <c r="Z8311" s="18" t="s">
        <v>13441</v>
      </c>
      <c r="AA8311" s="21" t="str">
        <f>HYPERLINK("https://www.ncbi.nlm.nih.gov/nuccore/X06728","NCBI Nucleotide")</f>
        <v>NCBI Nucleotide</v>
      </c>
    </row>
    <row r="8312" spans="1:27" x14ac:dyDescent="0.35">
      <c r="A8312">
        <v>1008849</v>
      </c>
      <c r="B8312">
        <v>7708</v>
      </c>
      <c r="C8312">
        <v>1</v>
      </c>
      <c r="D8312" s="17" t="s">
        <v>17166</v>
      </c>
      <c r="E8312" s="17"/>
      <c r="F8312" s="17" t="s">
        <v>17246</v>
      </c>
      <c r="G8312" s="17"/>
      <c r="H8312" s="17" t="s">
        <v>17984</v>
      </c>
      <c r="I8312" s="17"/>
      <c r="J8312" s="17" t="s">
        <v>17985</v>
      </c>
      <c r="K8312" s="17"/>
      <c r="L8312" s="17" t="s">
        <v>19025</v>
      </c>
      <c r="M8312" s="17"/>
      <c r="N8312" s="17" t="s">
        <v>19026</v>
      </c>
      <c r="O8312" s="17"/>
      <c r="P8312" s="17" t="s">
        <v>19264</v>
      </c>
      <c r="Q8312" s="17"/>
      <c r="R8312" s="25" t="str">
        <f>HYPERLINK("https://ictv.global/taxonomy/taxondetails?taxnode_id=202302229","Sclerodarnavirus sclerotiniae")</f>
        <v>Sclerodarnavirus sclerotiniae</v>
      </c>
      <c r="S8312" s="18" t="s">
        <v>30</v>
      </c>
      <c r="T8312" s="18" t="s">
        <v>19265</v>
      </c>
      <c r="U8312" s="18" t="s">
        <v>19266</v>
      </c>
      <c r="V8312" s="18" t="s">
        <v>17234</v>
      </c>
      <c r="W8312" s="18" t="s">
        <v>19267</v>
      </c>
      <c r="X8312" s="18" t="s">
        <v>42</v>
      </c>
      <c r="Y8312" s="18" t="s">
        <v>17171</v>
      </c>
      <c r="Z8312" s="18" t="s">
        <v>16721</v>
      </c>
      <c r="AA8312" s="21" t="str">
        <f>HYPERLINK("https://www.ncbi.nlm.nih.gov/nuccore/AY147260","NCBI Nucleotide")</f>
        <v>NCBI Nucleotide</v>
      </c>
    </row>
    <row r="8313" spans="1:27" x14ac:dyDescent="0.35">
      <c r="A8313">
        <v>1008850</v>
      </c>
      <c r="B8313">
        <v>7709</v>
      </c>
      <c r="C8313">
        <v>1</v>
      </c>
      <c r="D8313" s="17" t="s">
        <v>17166</v>
      </c>
      <c r="E8313" s="17"/>
      <c r="F8313" s="17" t="s">
        <v>17246</v>
      </c>
      <c r="G8313" s="17"/>
      <c r="H8313" s="17" t="s">
        <v>17984</v>
      </c>
      <c r="I8313" s="17"/>
      <c r="J8313" s="17" t="s">
        <v>17985</v>
      </c>
      <c r="K8313" s="17"/>
      <c r="L8313" s="17" t="s">
        <v>19025</v>
      </c>
      <c r="M8313" s="17"/>
      <c r="N8313" s="17" t="s">
        <v>19268</v>
      </c>
      <c r="O8313" s="17" t="s">
        <v>19269</v>
      </c>
      <c r="P8313" s="17" t="s">
        <v>19274</v>
      </c>
      <c r="Q8313" s="17"/>
      <c r="R8313" s="25" t="str">
        <f>HYPERLINK("https://ictv.global/taxonomy/taxondetails?taxnode_id=202302296","Banmivirus musae")</f>
        <v>Banmivirus musae</v>
      </c>
      <c r="S8313" s="18" t="s">
        <v>30</v>
      </c>
      <c r="T8313" s="18" t="s">
        <v>19275</v>
      </c>
      <c r="U8313" s="18" t="s">
        <v>19276</v>
      </c>
      <c r="V8313" s="18" t="s">
        <v>19277</v>
      </c>
      <c r="W8313" s="18" t="s">
        <v>19278</v>
      </c>
      <c r="X8313" s="18" t="s">
        <v>42</v>
      </c>
      <c r="Y8313" s="18" t="s">
        <v>17171</v>
      </c>
      <c r="Z8313" s="18" t="s">
        <v>13441</v>
      </c>
      <c r="AA8313" s="21" t="str">
        <f>HYPERLINK("https://www.ncbi.nlm.nih.gov/nuccore/AF314662","NCBI Nucleotide")</f>
        <v>NCBI Nucleotide</v>
      </c>
    </row>
    <row r="8314" spans="1:27" x14ac:dyDescent="0.35">
      <c r="A8314">
        <v>1008851</v>
      </c>
      <c r="B8314">
        <v>7710</v>
      </c>
      <c r="C8314">
        <v>1</v>
      </c>
      <c r="D8314" s="17" t="s">
        <v>17166</v>
      </c>
      <c r="E8314" s="17"/>
      <c r="F8314" s="17" t="s">
        <v>17246</v>
      </c>
      <c r="G8314" s="17"/>
      <c r="H8314" s="17" t="s">
        <v>17984</v>
      </c>
      <c r="I8314" s="17"/>
      <c r="J8314" s="17" t="s">
        <v>17985</v>
      </c>
      <c r="K8314" s="17"/>
      <c r="L8314" s="17" t="s">
        <v>19025</v>
      </c>
      <c r="M8314" s="17"/>
      <c r="N8314" s="17" t="s">
        <v>19268</v>
      </c>
      <c r="O8314" s="17" t="s">
        <v>19269</v>
      </c>
      <c r="P8314" s="17" t="s">
        <v>19274</v>
      </c>
      <c r="Q8314" s="17"/>
      <c r="R8314" s="25" t="str">
        <f>HYPERLINK("https://ictv.global/taxonomy/taxondetails?taxnode_id=202315089","Banmivirus musornatae")</f>
        <v>Banmivirus musornatae</v>
      </c>
      <c r="S8314" s="18" t="s">
        <v>30</v>
      </c>
      <c r="T8314" s="18" t="s">
        <v>19279</v>
      </c>
      <c r="U8314" s="18" t="s">
        <v>19280</v>
      </c>
      <c r="V8314" s="18" t="s">
        <v>19281</v>
      </c>
      <c r="W8314" s="18" t="s">
        <v>19282</v>
      </c>
      <c r="X8314" s="18" t="s">
        <v>35</v>
      </c>
      <c r="Y8314" s="18" t="s">
        <v>17171</v>
      </c>
      <c r="Z8314" s="18" t="s">
        <v>13441</v>
      </c>
      <c r="AA8314" s="21" t="str">
        <f>HYPERLINK("https://www.ncbi.nlm.nih.gov/nuccore/OK721096","NCBI Nucleotide")</f>
        <v>NCBI Nucleotide</v>
      </c>
    </row>
    <row r="8315" spans="1:27" x14ac:dyDescent="0.35">
      <c r="A8315">
        <v>1008868</v>
      </c>
      <c r="B8315">
        <v>7711</v>
      </c>
      <c r="C8315">
        <v>1</v>
      </c>
      <c r="D8315" s="17" t="s">
        <v>17166</v>
      </c>
      <c r="E8315" s="17"/>
      <c r="F8315" s="17" t="s">
        <v>17246</v>
      </c>
      <c r="G8315" s="17"/>
      <c r="H8315" s="17" t="s">
        <v>17984</v>
      </c>
      <c r="I8315" s="17"/>
      <c r="J8315" s="17" t="s">
        <v>17985</v>
      </c>
      <c r="K8315" s="17"/>
      <c r="L8315" s="17" t="s">
        <v>19025</v>
      </c>
      <c r="M8315" s="17"/>
      <c r="N8315" s="17" t="s">
        <v>19268</v>
      </c>
      <c r="O8315" s="17" t="s">
        <v>19269</v>
      </c>
      <c r="P8315" s="17" t="s">
        <v>19283</v>
      </c>
      <c r="Q8315" s="17"/>
      <c r="R8315" s="25" t="str">
        <f>HYPERLINK("https://ictv.global/taxonomy/taxondetails?taxnode_id=202313846","Carlavirus alphacapsici")</f>
        <v>Carlavirus alphacapsici</v>
      </c>
      <c r="S8315" s="18" t="s">
        <v>30</v>
      </c>
      <c r="T8315" s="18" t="s">
        <v>19341</v>
      </c>
      <c r="U8315" s="18" t="s">
        <v>19342</v>
      </c>
      <c r="V8315" s="18" t="s">
        <v>19343</v>
      </c>
      <c r="W8315" s="18" t="s">
        <v>19344</v>
      </c>
      <c r="X8315" s="18" t="s">
        <v>35</v>
      </c>
      <c r="Y8315" s="18" t="s">
        <v>17171</v>
      </c>
      <c r="Z8315" s="18" t="s">
        <v>13441</v>
      </c>
      <c r="AA8315" s="21" t="str">
        <f>HYPERLINK("https://www.ncbi.nlm.nih.gov/nuccore/KU726694","NCBI Nucleotide")</f>
        <v>NCBI Nucleotide</v>
      </c>
    </row>
    <row r="8316" spans="1:27" x14ac:dyDescent="0.35">
      <c r="A8316">
        <v>1008864</v>
      </c>
      <c r="B8316">
        <v>7712</v>
      </c>
      <c r="C8316">
        <v>1</v>
      </c>
      <c r="D8316" s="17" t="s">
        <v>17166</v>
      </c>
      <c r="E8316" s="17"/>
      <c r="F8316" s="17" t="s">
        <v>17246</v>
      </c>
      <c r="G8316" s="17"/>
      <c r="H8316" s="17" t="s">
        <v>17984</v>
      </c>
      <c r="I8316" s="17"/>
      <c r="J8316" s="17" t="s">
        <v>17985</v>
      </c>
      <c r="K8316" s="17"/>
      <c r="L8316" s="17" t="s">
        <v>19025</v>
      </c>
      <c r="M8316" s="17"/>
      <c r="N8316" s="17" t="s">
        <v>19268</v>
      </c>
      <c r="O8316" s="17" t="s">
        <v>19269</v>
      </c>
      <c r="P8316" s="17" t="s">
        <v>19283</v>
      </c>
      <c r="Q8316" s="17"/>
      <c r="R8316" s="25" t="str">
        <f>HYPERLINK("https://ictv.global/taxonomy/taxondetails?taxnode_id=202315083","Carlavirus alphacliviae")</f>
        <v>Carlavirus alphacliviae</v>
      </c>
      <c r="S8316" s="18" t="s">
        <v>30</v>
      </c>
      <c r="T8316" s="18" t="s">
        <v>19326</v>
      </c>
      <c r="U8316" s="18" t="s">
        <v>19327</v>
      </c>
      <c r="V8316" s="18" t="s">
        <v>19328</v>
      </c>
      <c r="W8316" s="18" t="s">
        <v>19329</v>
      </c>
      <c r="X8316" s="18" t="s">
        <v>42</v>
      </c>
      <c r="Y8316" s="18" t="s">
        <v>17171</v>
      </c>
      <c r="Z8316" s="18" t="s">
        <v>13441</v>
      </c>
      <c r="AA8316" s="21" t="str">
        <f>HYPERLINK("https://www.ncbi.nlm.nih.gov/nuccore/MT533598","NCBI Nucleotide")</f>
        <v>NCBI Nucleotide</v>
      </c>
    </row>
    <row r="8317" spans="1:27" x14ac:dyDescent="0.35">
      <c r="A8317">
        <v>1008859</v>
      </c>
      <c r="B8317">
        <v>7713</v>
      </c>
      <c r="C8317">
        <v>1</v>
      </c>
      <c r="D8317" s="17" t="s">
        <v>17166</v>
      </c>
      <c r="E8317" s="17"/>
      <c r="F8317" s="17" t="s">
        <v>17246</v>
      </c>
      <c r="G8317" s="17"/>
      <c r="H8317" s="17" t="s">
        <v>17984</v>
      </c>
      <c r="I8317" s="17"/>
      <c r="J8317" s="17" t="s">
        <v>17985</v>
      </c>
      <c r="K8317" s="17"/>
      <c r="L8317" s="17" t="s">
        <v>19025</v>
      </c>
      <c r="M8317" s="17"/>
      <c r="N8317" s="17" t="s">
        <v>19268</v>
      </c>
      <c r="O8317" s="17" t="s">
        <v>19269</v>
      </c>
      <c r="P8317" s="17" t="s">
        <v>19283</v>
      </c>
      <c r="Q8317" s="17"/>
      <c r="R8317" s="25" t="str">
        <f>HYPERLINK("https://ictv.global/taxonomy/taxondetails?taxnode_id=202315079","Carlavirus alphaconiti")</f>
        <v>Carlavirus alphaconiti</v>
      </c>
      <c r="S8317" s="18" t="s">
        <v>30</v>
      </c>
      <c r="T8317" s="18" t="s">
        <v>19308</v>
      </c>
      <c r="U8317" s="18" t="s">
        <v>19309</v>
      </c>
      <c r="V8317" s="18" t="s">
        <v>12330</v>
      </c>
      <c r="W8317" s="18" t="s">
        <v>19310</v>
      </c>
      <c r="X8317" s="18" t="s">
        <v>42</v>
      </c>
      <c r="Y8317" s="18" t="s">
        <v>17171</v>
      </c>
      <c r="Z8317" s="18" t="s">
        <v>13441</v>
      </c>
      <c r="AA8317" s="21" t="str">
        <f>HYPERLINK("https://www.ncbi.nlm.nih.gov/nuccore/MN944106","NCBI Nucleotide")</f>
        <v>NCBI Nucleotide</v>
      </c>
    </row>
    <row r="8318" spans="1:27" x14ac:dyDescent="0.35">
      <c r="A8318">
        <v>1008891</v>
      </c>
      <c r="B8318">
        <v>7714</v>
      </c>
      <c r="C8318">
        <v>1</v>
      </c>
      <c r="D8318" s="17" t="s">
        <v>17166</v>
      </c>
      <c r="E8318" s="17"/>
      <c r="F8318" s="17" t="s">
        <v>17246</v>
      </c>
      <c r="G8318" s="17"/>
      <c r="H8318" s="17" t="s">
        <v>17984</v>
      </c>
      <c r="I8318" s="17"/>
      <c r="J8318" s="17" t="s">
        <v>17985</v>
      </c>
      <c r="K8318" s="17"/>
      <c r="L8318" s="17" t="s">
        <v>19025</v>
      </c>
      <c r="M8318" s="17"/>
      <c r="N8318" s="17" t="s">
        <v>19268</v>
      </c>
      <c r="O8318" s="17" t="s">
        <v>19269</v>
      </c>
      <c r="P8318" s="17" t="s">
        <v>19283</v>
      </c>
      <c r="Q8318" s="17"/>
      <c r="R8318" s="25" t="str">
        <f>HYPERLINK("https://ictv.global/taxonomy/taxondetails?taxnode_id=202305638","Carlavirus alphaligustri")</f>
        <v>Carlavirus alphaligustri</v>
      </c>
      <c r="S8318" s="18" t="s">
        <v>30</v>
      </c>
      <c r="T8318" s="18" t="s">
        <v>19421</v>
      </c>
      <c r="U8318" s="18" t="s">
        <v>19422</v>
      </c>
      <c r="V8318" s="18" t="s">
        <v>19294</v>
      </c>
      <c r="W8318" s="18" t="s">
        <v>19423</v>
      </c>
      <c r="X8318" s="18" t="s">
        <v>42</v>
      </c>
      <c r="Y8318" s="18" t="s">
        <v>17171</v>
      </c>
      <c r="Z8318" s="18" t="s">
        <v>13441</v>
      </c>
      <c r="AA8318" s="21" t="str">
        <f>HYPERLINK("https://www.ncbi.nlm.nih.gov/nuccore/KX000914","NCBI Nucleotide")</f>
        <v>NCBI Nucleotide</v>
      </c>
    </row>
    <row r="8319" spans="1:27" x14ac:dyDescent="0.35">
      <c r="A8319">
        <v>1008869</v>
      </c>
      <c r="B8319">
        <v>7715</v>
      </c>
      <c r="C8319">
        <v>1</v>
      </c>
      <c r="D8319" s="17" t="s">
        <v>17166</v>
      </c>
      <c r="E8319" s="17"/>
      <c r="F8319" s="17" t="s">
        <v>17246</v>
      </c>
      <c r="G8319" s="17"/>
      <c r="H8319" s="17" t="s">
        <v>17984</v>
      </c>
      <c r="I8319" s="17"/>
      <c r="J8319" s="17" t="s">
        <v>17985</v>
      </c>
      <c r="K8319" s="17"/>
      <c r="L8319" s="17" t="s">
        <v>19025</v>
      </c>
      <c r="M8319" s="17"/>
      <c r="N8319" s="17" t="s">
        <v>19268</v>
      </c>
      <c r="O8319" s="17" t="s">
        <v>19269</v>
      </c>
      <c r="P8319" s="17" t="s">
        <v>19283</v>
      </c>
      <c r="Q8319" s="17"/>
      <c r="R8319" s="25" t="str">
        <f>HYPERLINK("https://ictv.global/taxonomy/taxondetails?taxnode_id=202313847","Carlavirus alpharosae")</f>
        <v>Carlavirus alpharosae</v>
      </c>
      <c r="S8319" s="18" t="s">
        <v>30</v>
      </c>
      <c r="T8319" s="18" t="s">
        <v>19345</v>
      </c>
      <c r="U8319" s="18" t="s">
        <v>19346</v>
      </c>
      <c r="V8319" s="18" t="s">
        <v>19347</v>
      </c>
      <c r="W8319" s="18" t="s">
        <v>19348</v>
      </c>
      <c r="X8319" s="18" t="s">
        <v>42</v>
      </c>
      <c r="Y8319" s="18" t="s">
        <v>17171</v>
      </c>
      <c r="Z8319" s="18" t="s">
        <v>13441</v>
      </c>
      <c r="AA8319" s="21" t="str">
        <f>HYPERLINK("https://www.ncbi.nlm.nih.gov/nuccore/MN053272","NCBI Nucleotide")</f>
        <v>NCBI Nucleotide</v>
      </c>
    </row>
    <row r="8320" spans="1:27" x14ac:dyDescent="0.35">
      <c r="A8320">
        <v>1008853</v>
      </c>
      <c r="B8320">
        <v>7716</v>
      </c>
      <c r="C8320">
        <v>1</v>
      </c>
      <c r="D8320" s="17" t="s">
        <v>17166</v>
      </c>
      <c r="E8320" s="17"/>
      <c r="F8320" s="17" t="s">
        <v>17246</v>
      </c>
      <c r="G8320" s="17"/>
      <c r="H8320" s="17" t="s">
        <v>17984</v>
      </c>
      <c r="I8320" s="17"/>
      <c r="J8320" s="17" t="s">
        <v>17985</v>
      </c>
      <c r="K8320" s="17"/>
      <c r="L8320" s="17" t="s">
        <v>19025</v>
      </c>
      <c r="M8320" s="17"/>
      <c r="N8320" s="17" t="s">
        <v>19268</v>
      </c>
      <c r="O8320" s="17" t="s">
        <v>19269</v>
      </c>
      <c r="P8320" s="17" t="s">
        <v>19283</v>
      </c>
      <c r="Q8320" s="17"/>
      <c r="R8320" s="25" t="str">
        <f>HYPERLINK("https://ictv.global/taxonomy/taxondetails?taxnode_id=202302236","Carlavirus americanense")</f>
        <v>Carlavirus americanense</v>
      </c>
      <c r="S8320" s="18" t="s">
        <v>30</v>
      </c>
      <c r="T8320" s="18" t="s">
        <v>19288</v>
      </c>
      <c r="U8320" s="18" t="s">
        <v>19289</v>
      </c>
      <c r="V8320" s="18" t="s">
        <v>19290</v>
      </c>
      <c r="W8320" s="18" t="s">
        <v>19291</v>
      </c>
      <c r="X8320" s="18" t="s">
        <v>42</v>
      </c>
      <c r="Y8320" s="18" t="s">
        <v>17171</v>
      </c>
      <c r="Z8320" s="18" t="s">
        <v>13441</v>
      </c>
      <c r="AA8320" s="21" t="str">
        <f>HYPERLINK("https://www.ncbi.nlm.nih.gov/nuccore/JQ245696","NCBI Nucleotide")</f>
        <v>NCBI Nucleotide</v>
      </c>
    </row>
    <row r="8321" spans="1:27" x14ac:dyDescent="0.35">
      <c r="A8321">
        <v>1008854</v>
      </c>
      <c r="B8321">
        <v>7717</v>
      </c>
      <c r="C8321">
        <v>1</v>
      </c>
      <c r="D8321" s="17" t="s">
        <v>17166</v>
      </c>
      <c r="E8321" s="17"/>
      <c r="F8321" s="17" t="s">
        <v>17246</v>
      </c>
      <c r="G8321" s="17"/>
      <c r="H8321" s="17" t="s">
        <v>17984</v>
      </c>
      <c r="I8321" s="17"/>
      <c r="J8321" s="17" t="s">
        <v>17985</v>
      </c>
      <c r="K8321" s="17"/>
      <c r="L8321" s="17" t="s">
        <v>19025</v>
      </c>
      <c r="M8321" s="17"/>
      <c r="N8321" s="17" t="s">
        <v>19268</v>
      </c>
      <c r="O8321" s="17" t="s">
        <v>19269</v>
      </c>
      <c r="P8321" s="17" t="s">
        <v>19283</v>
      </c>
      <c r="Q8321" s="17"/>
      <c r="R8321" s="25" t="str">
        <f>HYPERLINK("https://ictv.global/taxonomy/taxondetails?taxnode_id=202305637","Carlavirus atractylodis")</f>
        <v>Carlavirus atractylodis</v>
      </c>
      <c r="S8321" s="18" t="s">
        <v>30</v>
      </c>
      <c r="T8321" s="18" t="s">
        <v>19292</v>
      </c>
      <c r="U8321" s="18" t="s">
        <v>19293</v>
      </c>
      <c r="V8321" s="18" t="s">
        <v>19294</v>
      </c>
      <c r="W8321" s="18" t="s">
        <v>19295</v>
      </c>
      <c r="X8321" s="18" t="s">
        <v>42</v>
      </c>
      <c r="Y8321" s="18" t="s">
        <v>17171</v>
      </c>
      <c r="Z8321" s="18" t="s">
        <v>13441</v>
      </c>
      <c r="AA8321" s="21" t="str">
        <f>HYPERLINK("https://www.ncbi.nlm.nih.gov/nuccore/KR349343","NCBI Nucleotide")</f>
        <v>NCBI Nucleotide</v>
      </c>
    </row>
    <row r="8322" spans="1:27" x14ac:dyDescent="0.35">
      <c r="A8322">
        <v>1008874</v>
      </c>
      <c r="B8322">
        <v>7718</v>
      </c>
      <c r="C8322">
        <v>1</v>
      </c>
      <c r="D8322" s="17" t="s">
        <v>17166</v>
      </c>
      <c r="E8322" s="17"/>
      <c r="F8322" s="17" t="s">
        <v>17246</v>
      </c>
      <c r="G8322" s="17"/>
      <c r="H8322" s="17" t="s">
        <v>17984</v>
      </c>
      <c r="I8322" s="17"/>
      <c r="J8322" s="17" t="s">
        <v>17985</v>
      </c>
      <c r="K8322" s="17"/>
      <c r="L8322" s="17" t="s">
        <v>19025</v>
      </c>
      <c r="M8322" s="17"/>
      <c r="N8322" s="17" t="s">
        <v>19268</v>
      </c>
      <c r="O8322" s="17" t="s">
        <v>19269</v>
      </c>
      <c r="P8322" s="17" t="s">
        <v>19283</v>
      </c>
      <c r="Q8322" s="17"/>
      <c r="R8322" s="25" t="str">
        <f>HYPERLINK("https://ictv.global/taxonomy/taxondetails?taxnode_id=202302242","Carlavirus betachrysanthemi")</f>
        <v>Carlavirus betachrysanthemi</v>
      </c>
      <c r="S8322" s="18" t="s">
        <v>30</v>
      </c>
      <c r="T8322" s="18" t="s">
        <v>19363</v>
      </c>
      <c r="U8322" s="18" t="s">
        <v>19364</v>
      </c>
      <c r="V8322" s="18" t="s">
        <v>19365</v>
      </c>
      <c r="W8322" s="18" t="s">
        <v>19366</v>
      </c>
      <c r="X8322" s="18" t="s">
        <v>42</v>
      </c>
      <c r="Y8322" s="18" t="s">
        <v>17171</v>
      </c>
      <c r="Z8322" s="18" t="s">
        <v>13441</v>
      </c>
      <c r="AA8322" s="21" t="str">
        <f>HYPERLINK("https://www.ncbi.nlm.nih.gov/nuccore/AM493895","NCBI Nucleotide")</f>
        <v>NCBI Nucleotide</v>
      </c>
    </row>
    <row r="8323" spans="1:27" x14ac:dyDescent="0.35">
      <c r="A8323">
        <v>1008860</v>
      </c>
      <c r="B8323">
        <v>7719</v>
      </c>
      <c r="C8323">
        <v>1</v>
      </c>
      <c r="D8323" s="17" t="s">
        <v>17166</v>
      </c>
      <c r="E8323" s="17"/>
      <c r="F8323" s="17" t="s">
        <v>17246</v>
      </c>
      <c r="G8323" s="17"/>
      <c r="H8323" s="17" t="s">
        <v>17984</v>
      </c>
      <c r="I8323" s="17"/>
      <c r="J8323" s="17" t="s">
        <v>17985</v>
      </c>
      <c r="K8323" s="17"/>
      <c r="L8323" s="17" t="s">
        <v>19025</v>
      </c>
      <c r="M8323" s="17"/>
      <c r="N8323" s="17" t="s">
        <v>19268</v>
      </c>
      <c r="O8323" s="17" t="s">
        <v>19269</v>
      </c>
      <c r="P8323" s="17" t="s">
        <v>19283</v>
      </c>
      <c r="Q8323" s="17"/>
      <c r="R8323" s="25" t="str">
        <f>HYPERLINK("https://ictv.global/taxonomy/taxondetails?taxnode_id=202315080","Carlavirus betagapanthi")</f>
        <v>Carlavirus betagapanthi</v>
      </c>
      <c r="S8323" s="18" t="s">
        <v>30</v>
      </c>
      <c r="T8323" s="18" t="s">
        <v>19311</v>
      </c>
      <c r="U8323" s="18" t="s">
        <v>19312</v>
      </c>
      <c r="V8323" s="18" t="s">
        <v>19313</v>
      </c>
      <c r="W8323" s="18" t="s">
        <v>19314</v>
      </c>
      <c r="X8323" s="18" t="s">
        <v>42</v>
      </c>
      <c r="Y8323" s="18" t="s">
        <v>17171</v>
      </c>
      <c r="Z8323" s="18" t="s">
        <v>13441</v>
      </c>
      <c r="AA8323" s="21" t="str">
        <f>HYPERLINK("https://www.ncbi.nlm.nih.gov/nuccore/MW303999","NCBI Nucleotide")</f>
        <v>NCBI Nucleotide</v>
      </c>
    </row>
    <row r="8324" spans="1:27" x14ac:dyDescent="0.35">
      <c r="A8324">
        <v>1008899</v>
      </c>
      <c r="B8324">
        <v>7720</v>
      </c>
      <c r="C8324">
        <v>1</v>
      </c>
      <c r="D8324" s="17" t="s">
        <v>17166</v>
      </c>
      <c r="E8324" s="17"/>
      <c r="F8324" s="17" t="s">
        <v>17246</v>
      </c>
      <c r="G8324" s="17"/>
      <c r="H8324" s="17" t="s">
        <v>17984</v>
      </c>
      <c r="I8324" s="17"/>
      <c r="J8324" s="17" t="s">
        <v>17985</v>
      </c>
      <c r="K8324" s="17"/>
      <c r="L8324" s="17" t="s">
        <v>19025</v>
      </c>
      <c r="M8324" s="17"/>
      <c r="N8324" s="17" t="s">
        <v>19268</v>
      </c>
      <c r="O8324" s="17" t="s">
        <v>19269</v>
      </c>
      <c r="P8324" s="17" t="s">
        <v>19283</v>
      </c>
      <c r="Q8324" s="17"/>
      <c r="R8324" s="25" t="str">
        <f>HYPERLINK("https://ictv.global/taxonomy/taxondetails?taxnode_id=202302266","Carlavirus betaphlocis")</f>
        <v>Carlavirus betaphlocis</v>
      </c>
      <c r="S8324" s="18" t="s">
        <v>30</v>
      </c>
      <c r="T8324" s="18" t="s">
        <v>19450</v>
      </c>
      <c r="U8324" s="18" t="s">
        <v>19451</v>
      </c>
      <c r="V8324" s="18" t="s">
        <v>19452</v>
      </c>
      <c r="W8324" s="18" t="s">
        <v>19453</v>
      </c>
      <c r="X8324" s="18" t="s">
        <v>42</v>
      </c>
      <c r="Y8324" s="18" t="s">
        <v>17171</v>
      </c>
      <c r="Z8324" s="18" t="s">
        <v>13441</v>
      </c>
      <c r="AA8324" s="21" t="str">
        <f>HYPERLINK("https://www.ncbi.nlm.nih.gov/nuccore/EU162589","NCBI Nucleotide")</f>
        <v>NCBI Nucleotide</v>
      </c>
    </row>
    <row r="8325" spans="1:27" x14ac:dyDescent="0.35">
      <c r="A8325">
        <v>1008870</v>
      </c>
      <c r="B8325">
        <v>7721</v>
      </c>
      <c r="C8325">
        <v>1</v>
      </c>
      <c r="D8325" s="17" t="s">
        <v>17166</v>
      </c>
      <c r="E8325" s="17"/>
      <c r="F8325" s="17" t="s">
        <v>17246</v>
      </c>
      <c r="G8325" s="17"/>
      <c r="H8325" s="17" t="s">
        <v>17984</v>
      </c>
      <c r="I8325" s="17"/>
      <c r="J8325" s="17" t="s">
        <v>17985</v>
      </c>
      <c r="K8325" s="17"/>
      <c r="L8325" s="17" t="s">
        <v>19025</v>
      </c>
      <c r="M8325" s="17"/>
      <c r="N8325" s="17" t="s">
        <v>19268</v>
      </c>
      <c r="O8325" s="17" t="s">
        <v>19269</v>
      </c>
      <c r="P8325" s="17" t="s">
        <v>19283</v>
      </c>
      <c r="Q8325" s="17"/>
      <c r="R8325" s="25" t="str">
        <f>HYPERLINK("https://ictv.global/taxonomy/taxondetails?taxnode_id=202315084","Carlavirus betarosae")</f>
        <v>Carlavirus betarosae</v>
      </c>
      <c r="S8325" s="18" t="s">
        <v>30</v>
      </c>
      <c r="T8325" s="18" t="s">
        <v>19349</v>
      </c>
      <c r="U8325" s="18" t="s">
        <v>17707</v>
      </c>
      <c r="V8325" s="18" t="s">
        <v>19350</v>
      </c>
      <c r="W8325" s="18" t="s">
        <v>19351</v>
      </c>
      <c r="X8325" s="18" t="s">
        <v>42</v>
      </c>
      <c r="Y8325" s="18" t="s">
        <v>17171</v>
      </c>
      <c r="Z8325" s="18" t="s">
        <v>13441</v>
      </c>
      <c r="AA8325" s="21" t="str">
        <f>HYPERLINK("https://www.ncbi.nlm.nih.gov/nuccore/MT473961","NCBI Nucleotide")</f>
        <v>NCBI Nucleotide</v>
      </c>
    </row>
    <row r="8326" spans="1:27" x14ac:dyDescent="0.35">
      <c r="A8326">
        <v>1008861</v>
      </c>
      <c r="B8326">
        <v>7722</v>
      </c>
      <c r="C8326">
        <v>1</v>
      </c>
      <c r="D8326" s="17" t="s">
        <v>17166</v>
      </c>
      <c r="E8326" s="17"/>
      <c r="F8326" s="17" t="s">
        <v>17246</v>
      </c>
      <c r="G8326" s="17"/>
      <c r="H8326" s="17" t="s">
        <v>17984</v>
      </c>
      <c r="I8326" s="17"/>
      <c r="J8326" s="17" t="s">
        <v>17985</v>
      </c>
      <c r="K8326" s="17"/>
      <c r="L8326" s="17" t="s">
        <v>19025</v>
      </c>
      <c r="M8326" s="17"/>
      <c r="N8326" s="17" t="s">
        <v>19268</v>
      </c>
      <c r="O8326" s="17" t="s">
        <v>19269</v>
      </c>
      <c r="P8326" s="17" t="s">
        <v>19283</v>
      </c>
      <c r="Q8326" s="17"/>
      <c r="R8326" s="25" t="str">
        <f>HYPERLINK("https://ictv.global/taxonomy/taxondetails?taxnode_id=202313842","Carlavirus betulae")</f>
        <v>Carlavirus betulae</v>
      </c>
      <c r="S8326" s="18" t="s">
        <v>30</v>
      </c>
      <c r="T8326" s="18" t="s">
        <v>19315</v>
      </c>
      <c r="U8326" s="18" t="s">
        <v>19316</v>
      </c>
      <c r="V8326" s="18" t="s">
        <v>19317</v>
      </c>
      <c r="W8326" s="18" t="s">
        <v>19318</v>
      </c>
      <c r="X8326" s="18" t="s">
        <v>42</v>
      </c>
      <c r="Y8326" s="18" t="s">
        <v>17171</v>
      </c>
      <c r="Z8326" s="18" t="s">
        <v>13441</v>
      </c>
      <c r="AA8326" s="21" t="str">
        <f>HYPERLINK("https://www.ncbi.nlm.nih.gov/nuccore/MH536506","NCBI Nucleotide")</f>
        <v>NCBI Nucleotide</v>
      </c>
    </row>
    <row r="8327" spans="1:27" x14ac:dyDescent="0.35">
      <c r="A8327">
        <v>1008857</v>
      </c>
      <c r="B8327">
        <v>7723</v>
      </c>
      <c r="C8327">
        <v>1</v>
      </c>
      <c r="D8327" s="17" t="s">
        <v>17166</v>
      </c>
      <c r="E8327" s="17"/>
      <c r="F8327" s="17" t="s">
        <v>17246</v>
      </c>
      <c r="G8327" s="17"/>
      <c r="H8327" s="17" t="s">
        <v>17984</v>
      </c>
      <c r="I8327" s="17"/>
      <c r="J8327" s="17" t="s">
        <v>17985</v>
      </c>
      <c r="K8327" s="17"/>
      <c r="L8327" s="17" t="s">
        <v>19025</v>
      </c>
      <c r="M8327" s="17"/>
      <c r="N8327" s="17" t="s">
        <v>19268</v>
      </c>
      <c r="O8327" s="17" t="s">
        <v>19269</v>
      </c>
      <c r="P8327" s="17" t="s">
        <v>19283</v>
      </c>
      <c r="Q8327" s="17"/>
      <c r="R8327" s="25" t="str">
        <f>HYPERLINK("https://ictv.global/taxonomy/taxondetails?taxnode_id=202302239","Carlavirus cacti")</f>
        <v>Carlavirus cacti</v>
      </c>
      <c r="S8327" s="18" t="s">
        <v>30</v>
      </c>
      <c r="T8327" s="18" t="s">
        <v>19303</v>
      </c>
      <c r="U8327" s="18" t="s">
        <v>18442</v>
      </c>
      <c r="V8327" s="18"/>
      <c r="W8327" s="18"/>
      <c r="X8327" s="18" t="s">
        <v>3311</v>
      </c>
      <c r="Y8327" s="18" t="s">
        <v>17171</v>
      </c>
      <c r="Z8327" s="18" t="s">
        <v>13441</v>
      </c>
      <c r="AA8327" s="21"/>
    </row>
    <row r="8328" spans="1:27" x14ac:dyDescent="0.35">
      <c r="A8328">
        <v>1008904</v>
      </c>
      <c r="B8328">
        <v>7724</v>
      </c>
      <c r="C8328">
        <v>1</v>
      </c>
      <c r="D8328" s="17" t="s">
        <v>17166</v>
      </c>
      <c r="E8328" s="17"/>
      <c r="F8328" s="17" t="s">
        <v>17246</v>
      </c>
      <c r="G8328" s="17"/>
      <c r="H8328" s="17" t="s">
        <v>17984</v>
      </c>
      <c r="I8328" s="17"/>
      <c r="J8328" s="17" t="s">
        <v>17985</v>
      </c>
      <c r="K8328" s="17"/>
      <c r="L8328" s="17" t="s">
        <v>19025</v>
      </c>
      <c r="M8328" s="17"/>
      <c r="N8328" s="17" t="s">
        <v>19268</v>
      </c>
      <c r="O8328" s="17" t="s">
        <v>19269</v>
      </c>
      <c r="P8328" s="17" t="s">
        <v>19283</v>
      </c>
      <c r="Q8328" s="17"/>
      <c r="R8328" s="25" t="str">
        <f>HYPERLINK("https://ictv.global/taxonomy/taxondetails?taxnode_id=202302271","Carlavirus chisolani")</f>
        <v>Carlavirus chisolani</v>
      </c>
      <c r="S8328" s="18" t="s">
        <v>30</v>
      </c>
      <c r="T8328" s="18" t="s">
        <v>19469</v>
      </c>
      <c r="U8328" s="18" t="s">
        <v>19470</v>
      </c>
      <c r="V8328" s="18" t="s">
        <v>19471</v>
      </c>
      <c r="W8328" s="18" t="s">
        <v>19472</v>
      </c>
      <c r="X8328" s="18" t="s">
        <v>42</v>
      </c>
      <c r="Y8328" s="18" t="s">
        <v>17171</v>
      </c>
      <c r="Z8328" s="18" t="s">
        <v>13441</v>
      </c>
      <c r="AA8328" s="21" t="str">
        <f>HYPERLINK("https://www.ncbi.nlm.nih.gov/nuccore/JQ904630","NCBI Nucleotide")</f>
        <v>NCBI Nucleotide</v>
      </c>
    </row>
    <row r="8329" spans="1:27" x14ac:dyDescent="0.35">
      <c r="A8329">
        <v>1008916</v>
      </c>
      <c r="B8329">
        <v>7725</v>
      </c>
      <c r="C8329">
        <v>1</v>
      </c>
      <c r="D8329" s="17" t="s">
        <v>17166</v>
      </c>
      <c r="E8329" s="17"/>
      <c r="F8329" s="17" t="s">
        <v>17246</v>
      </c>
      <c r="G8329" s="17"/>
      <c r="H8329" s="17" t="s">
        <v>17984</v>
      </c>
      <c r="I8329" s="17"/>
      <c r="J8329" s="17" t="s">
        <v>17985</v>
      </c>
      <c r="K8329" s="17"/>
      <c r="L8329" s="17" t="s">
        <v>19025</v>
      </c>
      <c r="M8329" s="17"/>
      <c r="N8329" s="17" t="s">
        <v>19268</v>
      </c>
      <c r="O8329" s="17" t="s">
        <v>19269</v>
      </c>
      <c r="P8329" s="17" t="s">
        <v>19283</v>
      </c>
      <c r="Q8329" s="17"/>
      <c r="R8329" s="25" t="str">
        <f>HYPERLINK("https://ictv.global/taxonomy/taxondetails?taxnode_id=202302280","Carlavirus chloroipomoeae")</f>
        <v>Carlavirus chloroipomoeae</v>
      </c>
      <c r="S8329" s="18" t="s">
        <v>30</v>
      </c>
      <c r="T8329" s="18" t="s">
        <v>19514</v>
      </c>
      <c r="U8329" s="18" t="s">
        <v>19515</v>
      </c>
      <c r="V8329" s="18" t="s">
        <v>19516</v>
      </c>
      <c r="W8329" s="18" t="s">
        <v>19517</v>
      </c>
      <c r="X8329" s="18" t="s">
        <v>42</v>
      </c>
      <c r="Y8329" s="18" t="s">
        <v>17171</v>
      </c>
      <c r="Z8329" s="18" t="s">
        <v>13441</v>
      </c>
      <c r="AA8329" s="21" t="str">
        <f>HYPERLINK("https://www.ncbi.nlm.nih.gov/nuccore/AY461421","NCBI Nucleotide")</f>
        <v>NCBI Nucleotide</v>
      </c>
    </row>
    <row r="8330" spans="1:27" x14ac:dyDescent="0.35">
      <c r="A8330">
        <v>1008876</v>
      </c>
      <c r="B8330">
        <v>7726</v>
      </c>
      <c r="C8330">
        <v>1</v>
      </c>
      <c r="D8330" s="17" t="s">
        <v>17166</v>
      </c>
      <c r="E8330" s="17"/>
      <c r="F8330" s="17" t="s">
        <v>17246</v>
      </c>
      <c r="G8330" s="17"/>
      <c r="H8330" s="17" t="s">
        <v>17984</v>
      </c>
      <c r="I8330" s="17"/>
      <c r="J8330" s="17" t="s">
        <v>17985</v>
      </c>
      <c r="K8330" s="17"/>
      <c r="L8330" s="17" t="s">
        <v>19025</v>
      </c>
      <c r="M8330" s="17"/>
      <c r="N8330" s="17" t="s">
        <v>19268</v>
      </c>
      <c r="O8330" s="17" t="s">
        <v>19269</v>
      </c>
      <c r="P8330" s="17" t="s">
        <v>19283</v>
      </c>
      <c r="Q8330" s="17"/>
      <c r="R8330" s="25" t="str">
        <f>HYPERLINK("https://ictv.global/taxonomy/taxondetails?taxnode_id=202302244","Carlavirus colei")</f>
        <v>Carlavirus colei</v>
      </c>
      <c r="S8330" s="18" t="s">
        <v>30</v>
      </c>
      <c r="T8330" s="18" t="s">
        <v>19370</v>
      </c>
      <c r="U8330" s="18" t="s">
        <v>19371</v>
      </c>
      <c r="V8330" s="18" t="s">
        <v>18179</v>
      </c>
      <c r="W8330" s="18" t="s">
        <v>19372</v>
      </c>
      <c r="X8330" s="18" t="s">
        <v>42</v>
      </c>
      <c r="Y8330" s="18" t="s">
        <v>17171</v>
      </c>
      <c r="Z8330" s="18" t="s">
        <v>13441</v>
      </c>
      <c r="AA8330" s="21" t="str">
        <f>HYPERLINK("https://www.ncbi.nlm.nih.gov/nuccore/EF527260","NCBI Nucleotide")</f>
        <v>NCBI Nucleotide</v>
      </c>
    </row>
    <row r="8331" spans="1:27" x14ac:dyDescent="0.35">
      <c r="A8331">
        <v>1008913</v>
      </c>
      <c r="B8331">
        <v>7727</v>
      </c>
      <c r="C8331">
        <v>1</v>
      </c>
      <c r="D8331" s="17" t="s">
        <v>17166</v>
      </c>
      <c r="E8331" s="17"/>
      <c r="F8331" s="17" t="s">
        <v>17246</v>
      </c>
      <c r="G8331" s="17"/>
      <c r="H8331" s="17" t="s">
        <v>17984</v>
      </c>
      <c r="I8331" s="17"/>
      <c r="J8331" s="17" t="s">
        <v>17985</v>
      </c>
      <c r="K8331" s="17"/>
      <c r="L8331" s="17" t="s">
        <v>19025</v>
      </c>
      <c r="M8331" s="17"/>
      <c r="N8331" s="17" t="s">
        <v>19268</v>
      </c>
      <c r="O8331" s="17" t="s">
        <v>19269</v>
      </c>
      <c r="P8331" s="17" t="s">
        <v>19283</v>
      </c>
      <c r="Q8331" s="17"/>
      <c r="R8331" s="25" t="str">
        <f>HYPERLINK("https://ictv.global/taxonomy/taxondetails?taxnode_id=202302277","Carlavirus cornutum")</f>
        <v>Carlavirus cornutum</v>
      </c>
      <c r="S8331" s="18" t="s">
        <v>30</v>
      </c>
      <c r="T8331" s="18" t="s">
        <v>19504</v>
      </c>
      <c r="U8331" s="18" t="s">
        <v>19505</v>
      </c>
      <c r="V8331" s="18" t="s">
        <v>19506</v>
      </c>
      <c r="W8331" s="18" t="s">
        <v>19507</v>
      </c>
      <c r="X8331" s="18" t="s">
        <v>154</v>
      </c>
      <c r="Y8331" s="18" t="s">
        <v>17171</v>
      </c>
      <c r="Z8331" s="18" t="s">
        <v>13441</v>
      </c>
      <c r="AA8331" s="21" t="str">
        <f>HYPERLINK("https://www.ncbi.nlm.nih.gov/nuccore/EU659745","NCBI Nucleotide")</f>
        <v>NCBI Nucleotide</v>
      </c>
    </row>
    <row r="8332" spans="1:27" x14ac:dyDescent="0.35">
      <c r="A8332">
        <v>1008878</v>
      </c>
      <c r="B8332">
        <v>7728</v>
      </c>
      <c r="C8332">
        <v>1</v>
      </c>
      <c r="D8332" s="17" t="s">
        <v>17166</v>
      </c>
      <c r="E8332" s="17"/>
      <c r="F8332" s="17" t="s">
        <v>17246</v>
      </c>
      <c r="G8332" s="17"/>
      <c r="H8332" s="17" t="s">
        <v>17984</v>
      </c>
      <c r="I8332" s="17"/>
      <c r="J8332" s="17" t="s">
        <v>17985</v>
      </c>
      <c r="K8332" s="17"/>
      <c r="L8332" s="17" t="s">
        <v>19025</v>
      </c>
      <c r="M8332" s="17"/>
      <c r="N8332" s="17" t="s">
        <v>19268</v>
      </c>
      <c r="O8332" s="17" t="s">
        <v>19269</v>
      </c>
      <c r="P8332" s="17" t="s">
        <v>19283</v>
      </c>
      <c r="Q8332" s="17"/>
      <c r="R8332" s="25" t="str">
        <f>HYPERLINK("https://ictv.global/taxonomy/taxondetails?taxnode_id=202302246","Carlavirus cucumis")</f>
        <v>Carlavirus cucumis</v>
      </c>
      <c r="S8332" s="18" t="s">
        <v>30</v>
      </c>
      <c r="T8332" s="18" t="s">
        <v>19377</v>
      </c>
      <c r="U8332" s="18" t="s">
        <v>19378</v>
      </c>
      <c r="V8332" s="18" t="s">
        <v>19379</v>
      </c>
      <c r="W8332" s="18" t="s">
        <v>19380</v>
      </c>
      <c r="X8332" s="18" t="s">
        <v>154</v>
      </c>
      <c r="Y8332" s="18" t="s">
        <v>17171</v>
      </c>
      <c r="Z8332" s="18" t="s">
        <v>13441</v>
      </c>
      <c r="AA8332" s="21" t="str">
        <f>HYPERLINK("https://www.ncbi.nlm.nih.gov/nuccore/JN591720","NCBI Nucleotide")</f>
        <v>NCBI Nucleotide</v>
      </c>
    </row>
    <row r="8333" spans="1:27" x14ac:dyDescent="0.35">
      <c r="A8333">
        <v>1008910</v>
      </c>
      <c r="B8333">
        <v>7729</v>
      </c>
      <c r="C8333">
        <v>1</v>
      </c>
      <c r="D8333" s="17" t="s">
        <v>17166</v>
      </c>
      <c r="E8333" s="17"/>
      <c r="F8333" s="17" t="s">
        <v>17246</v>
      </c>
      <c r="G8333" s="17"/>
      <c r="H8333" s="17" t="s">
        <v>17984</v>
      </c>
      <c r="I8333" s="17"/>
      <c r="J8333" s="17" t="s">
        <v>17985</v>
      </c>
      <c r="K8333" s="17"/>
      <c r="L8333" s="17" t="s">
        <v>19025</v>
      </c>
      <c r="M8333" s="17"/>
      <c r="N8333" s="17" t="s">
        <v>19268</v>
      </c>
      <c r="O8333" s="17" t="s">
        <v>19269</v>
      </c>
      <c r="P8333" s="17" t="s">
        <v>19283</v>
      </c>
      <c r="Q8333" s="17"/>
      <c r="R8333" s="25" t="str">
        <f>HYPERLINK("https://ictv.global/taxonomy/taxondetails?taxnode_id=202305640","Carlavirus deltasambuci")</f>
        <v>Carlavirus deltasambuci</v>
      </c>
      <c r="S8333" s="18" t="s">
        <v>30</v>
      </c>
      <c r="T8333" s="18" t="s">
        <v>19493</v>
      </c>
      <c r="U8333" s="18" t="s">
        <v>19494</v>
      </c>
      <c r="V8333" s="18" t="s">
        <v>19495</v>
      </c>
      <c r="W8333" s="18" t="s">
        <v>19496</v>
      </c>
      <c r="X8333" s="18" t="s">
        <v>42</v>
      </c>
      <c r="Y8333" s="18" t="s">
        <v>17171</v>
      </c>
      <c r="Z8333" s="18" t="s">
        <v>13441</v>
      </c>
      <c r="AA8333" s="21" t="str">
        <f>HYPERLINK("https://www.ncbi.nlm.nih.gov/nuccore/KJ572563","NCBI Nucleotide")</f>
        <v>NCBI Nucleotide</v>
      </c>
    </row>
    <row r="8334" spans="1:27" x14ac:dyDescent="0.35">
      <c r="A8334">
        <v>1008863</v>
      </c>
      <c r="B8334">
        <v>7730</v>
      </c>
      <c r="C8334">
        <v>1</v>
      </c>
      <c r="D8334" s="17" t="s">
        <v>17166</v>
      </c>
      <c r="E8334" s="17"/>
      <c r="F8334" s="17" t="s">
        <v>17246</v>
      </c>
      <c r="G8334" s="17"/>
      <c r="H8334" s="17" t="s">
        <v>17984</v>
      </c>
      <c r="I8334" s="17"/>
      <c r="J8334" s="17" t="s">
        <v>17985</v>
      </c>
      <c r="K8334" s="17"/>
      <c r="L8334" s="17" t="s">
        <v>19025</v>
      </c>
      <c r="M8334" s="17"/>
      <c r="N8334" s="17" t="s">
        <v>19268</v>
      </c>
      <c r="O8334" s="17" t="s">
        <v>19269</v>
      </c>
      <c r="P8334" s="17" t="s">
        <v>19283</v>
      </c>
      <c r="Q8334" s="17"/>
      <c r="R8334" s="25" t="str">
        <f>HYPERLINK("https://ictv.global/taxonomy/taxondetails?taxnode_id=202315082","Carlavirus duocacti")</f>
        <v>Carlavirus duocacti</v>
      </c>
      <c r="S8334" s="18" t="s">
        <v>30</v>
      </c>
      <c r="T8334" s="18" t="s">
        <v>19323</v>
      </c>
      <c r="U8334" s="18" t="s">
        <v>19324</v>
      </c>
      <c r="V8334" s="18" t="s">
        <v>19321</v>
      </c>
      <c r="W8334" s="18" t="s">
        <v>19325</v>
      </c>
      <c r="X8334" s="18" t="s">
        <v>42</v>
      </c>
      <c r="Y8334" s="18" t="s">
        <v>17171</v>
      </c>
      <c r="Z8334" s="18" t="s">
        <v>13441</v>
      </c>
      <c r="AA8334" s="21" t="str">
        <f>HYPERLINK("https://www.ncbi.nlm.nih.gov/nuccore/MK415317","NCBI Nucleotide")</f>
        <v>NCBI Nucleotide</v>
      </c>
    </row>
    <row r="8335" spans="1:27" x14ac:dyDescent="0.35">
      <c r="A8335">
        <v>1026004</v>
      </c>
      <c r="B8335">
        <v>7731</v>
      </c>
      <c r="C8335">
        <v>1</v>
      </c>
      <c r="D8335" s="17" t="s">
        <v>17166</v>
      </c>
      <c r="E8335" s="17"/>
      <c r="F8335" s="17" t="s">
        <v>17246</v>
      </c>
      <c r="G8335" s="17"/>
      <c r="H8335" s="17" t="s">
        <v>17984</v>
      </c>
      <c r="I8335" s="17"/>
      <c r="J8335" s="17" t="s">
        <v>17985</v>
      </c>
      <c r="K8335" s="17"/>
      <c r="L8335" s="17" t="s">
        <v>19025</v>
      </c>
      <c r="M8335" s="17"/>
      <c r="N8335" s="17" t="s">
        <v>19268</v>
      </c>
      <c r="O8335" s="17" t="s">
        <v>19269</v>
      </c>
      <c r="P8335" s="17" t="s">
        <v>19283</v>
      </c>
      <c r="Q8335" s="17"/>
      <c r="R8335" s="25" t="str">
        <f>HYPERLINK("https://ictv.global/taxonomy/taxondetails?taxnode_id=202319034","Carlavirus duopseudostellariae")</f>
        <v>Carlavirus duopseudostellariae</v>
      </c>
      <c r="S8335" s="18" t="s">
        <v>30</v>
      </c>
      <c r="T8335" s="18" t="s">
        <v>42418</v>
      </c>
      <c r="U8335" s="18" t="s">
        <v>42419</v>
      </c>
      <c r="V8335" s="18" t="s">
        <v>42420</v>
      </c>
      <c r="W8335" s="18" t="s">
        <v>48621</v>
      </c>
      <c r="X8335" s="18" t="s">
        <v>42</v>
      </c>
      <c r="Y8335" s="18" t="s">
        <v>17171</v>
      </c>
      <c r="Z8335" s="18" t="s">
        <v>13441</v>
      </c>
      <c r="AA8335" s="21" t="str">
        <f>HYPERLINK("https://www.ncbi.nlm.nih.gov/nuccore/ON241320","NCBI Nucleotide")</f>
        <v>NCBI Nucleotide</v>
      </c>
    </row>
    <row r="8336" spans="1:27" x14ac:dyDescent="0.35">
      <c r="A8336">
        <v>1008911</v>
      </c>
      <c r="B8336">
        <v>7732</v>
      </c>
      <c r="C8336">
        <v>1</v>
      </c>
      <c r="D8336" s="17" t="s">
        <v>17166</v>
      </c>
      <c r="E8336" s="17"/>
      <c r="F8336" s="17" t="s">
        <v>17246</v>
      </c>
      <c r="G8336" s="17"/>
      <c r="H8336" s="17" t="s">
        <v>17984</v>
      </c>
      <c r="I8336" s="17"/>
      <c r="J8336" s="17" t="s">
        <v>17985</v>
      </c>
      <c r="K8336" s="17"/>
      <c r="L8336" s="17" t="s">
        <v>19025</v>
      </c>
      <c r="M8336" s="17"/>
      <c r="N8336" s="17" t="s">
        <v>19268</v>
      </c>
      <c r="O8336" s="17" t="s">
        <v>19269</v>
      </c>
      <c r="P8336" s="17" t="s">
        <v>19283</v>
      </c>
      <c r="Q8336" s="17"/>
      <c r="R8336" s="25" t="str">
        <f>HYPERLINK("https://ictv.global/taxonomy/taxondetails?taxnode_id=202305641","Carlavirus epsilonsambuci")</f>
        <v>Carlavirus epsilonsambuci</v>
      </c>
      <c r="S8336" s="18" t="s">
        <v>30</v>
      </c>
      <c r="T8336" s="18" t="s">
        <v>19497</v>
      </c>
      <c r="U8336" s="18" t="s">
        <v>19498</v>
      </c>
      <c r="V8336" s="18" t="s">
        <v>19499</v>
      </c>
      <c r="W8336" s="18" t="s">
        <v>19500</v>
      </c>
      <c r="X8336" s="18" t="s">
        <v>42</v>
      </c>
      <c r="Y8336" s="18" t="s">
        <v>17171</v>
      </c>
      <c r="Z8336" s="18" t="s">
        <v>13441</v>
      </c>
      <c r="AA8336" s="21" t="str">
        <f>HYPERLINK("https://www.ncbi.nlm.nih.gov/nuccore/KJ572564","NCBI Nucleotide")</f>
        <v>NCBI Nucleotide</v>
      </c>
    </row>
    <row r="8337" spans="1:27" x14ac:dyDescent="0.35">
      <c r="A8337">
        <v>1008914</v>
      </c>
      <c r="B8337">
        <v>7733</v>
      </c>
      <c r="C8337">
        <v>1</v>
      </c>
      <c r="D8337" s="17" t="s">
        <v>17166</v>
      </c>
      <c r="E8337" s="17"/>
      <c r="F8337" s="17" t="s">
        <v>17246</v>
      </c>
      <c r="G8337" s="17"/>
      <c r="H8337" s="17" t="s">
        <v>17984</v>
      </c>
      <c r="I8337" s="17"/>
      <c r="J8337" s="17" t="s">
        <v>17985</v>
      </c>
      <c r="K8337" s="17"/>
      <c r="L8337" s="17" t="s">
        <v>19025</v>
      </c>
      <c r="M8337" s="17"/>
      <c r="N8337" s="17" t="s">
        <v>19268</v>
      </c>
      <c r="O8337" s="17" t="s">
        <v>19269</v>
      </c>
      <c r="P8337" s="17" t="s">
        <v>19283</v>
      </c>
      <c r="Q8337" s="17"/>
      <c r="R8337" s="25" t="str">
        <f>HYPERLINK("https://ictv.global/taxonomy/taxondetails?taxnode_id=202302278","Carlavirus fragariae")</f>
        <v>Carlavirus fragariae</v>
      </c>
      <c r="S8337" s="18" t="s">
        <v>30</v>
      </c>
      <c r="T8337" s="18" t="s">
        <v>19508</v>
      </c>
      <c r="U8337" s="18" t="s">
        <v>19509</v>
      </c>
      <c r="V8337" s="18"/>
      <c r="W8337" s="18"/>
      <c r="X8337" s="18" t="s">
        <v>3311</v>
      </c>
      <c r="Y8337" s="18" t="s">
        <v>17171</v>
      </c>
      <c r="Z8337" s="18" t="s">
        <v>13441</v>
      </c>
      <c r="AA8337" s="21"/>
    </row>
    <row r="8338" spans="1:27" x14ac:dyDescent="0.35">
      <c r="A8338">
        <v>1008909</v>
      </c>
      <c r="B8338">
        <v>7734</v>
      </c>
      <c r="C8338">
        <v>1</v>
      </c>
      <c r="D8338" s="17" t="s">
        <v>17166</v>
      </c>
      <c r="E8338" s="17"/>
      <c r="F8338" s="17" t="s">
        <v>17246</v>
      </c>
      <c r="G8338" s="17"/>
      <c r="H8338" s="17" t="s">
        <v>17984</v>
      </c>
      <c r="I8338" s="17"/>
      <c r="J8338" s="17" t="s">
        <v>17985</v>
      </c>
      <c r="K8338" s="17"/>
      <c r="L8338" s="17" t="s">
        <v>19025</v>
      </c>
      <c r="M8338" s="17"/>
      <c r="N8338" s="17" t="s">
        <v>19268</v>
      </c>
      <c r="O8338" s="17" t="s">
        <v>19269</v>
      </c>
      <c r="P8338" s="17" t="s">
        <v>19283</v>
      </c>
      <c r="Q8338" s="17"/>
      <c r="R8338" s="25" t="str">
        <f>HYPERLINK("https://ictv.global/taxonomy/taxondetails?taxnode_id=202305639","Carlavirus gammasambuci")</f>
        <v>Carlavirus gammasambuci</v>
      </c>
      <c r="S8338" s="18" t="s">
        <v>30</v>
      </c>
      <c r="T8338" s="18" t="s">
        <v>19489</v>
      </c>
      <c r="U8338" s="18" t="s">
        <v>19490</v>
      </c>
      <c r="V8338" s="18" t="s">
        <v>19491</v>
      </c>
      <c r="W8338" s="18" t="s">
        <v>19492</v>
      </c>
      <c r="X8338" s="18" t="s">
        <v>42</v>
      </c>
      <c r="Y8338" s="18" t="s">
        <v>17171</v>
      </c>
      <c r="Z8338" s="18" t="s">
        <v>13441</v>
      </c>
      <c r="AA8338" s="21" t="str">
        <f>HYPERLINK("https://www.ncbi.nlm.nih.gov/nuccore/KJ572562","NCBI Nucleotide")</f>
        <v>NCBI Nucleotide</v>
      </c>
    </row>
    <row r="8339" spans="1:27" x14ac:dyDescent="0.35">
      <c r="A8339">
        <v>1008883</v>
      </c>
      <c r="B8339">
        <v>7735</v>
      </c>
      <c r="C8339">
        <v>1</v>
      </c>
      <c r="D8339" s="17" t="s">
        <v>17166</v>
      </c>
      <c r="E8339" s="17"/>
      <c r="F8339" s="17" t="s">
        <v>17246</v>
      </c>
      <c r="G8339" s="17"/>
      <c r="H8339" s="17" t="s">
        <v>17984</v>
      </c>
      <c r="I8339" s="17"/>
      <c r="J8339" s="17" t="s">
        <v>17985</v>
      </c>
      <c r="K8339" s="17"/>
      <c r="L8339" s="17" t="s">
        <v>19025</v>
      </c>
      <c r="M8339" s="17"/>
      <c r="N8339" s="17" t="s">
        <v>19268</v>
      </c>
      <c r="O8339" s="17" t="s">
        <v>19269</v>
      </c>
      <c r="P8339" s="17" t="s">
        <v>19283</v>
      </c>
      <c r="Q8339" s="17"/>
      <c r="R8339" s="25" t="str">
        <f>HYPERLINK("https://ictv.global/taxonomy/taxondetails?taxnode_id=202302251","Carlavirus hellebori")</f>
        <v>Carlavirus hellebori</v>
      </c>
      <c r="S8339" s="18" t="s">
        <v>30</v>
      </c>
      <c r="T8339" s="18" t="s">
        <v>19394</v>
      </c>
      <c r="U8339" s="18" t="s">
        <v>19395</v>
      </c>
      <c r="V8339" s="18"/>
      <c r="W8339" s="18" t="s">
        <v>19396</v>
      </c>
      <c r="X8339" s="18" t="s">
        <v>154</v>
      </c>
      <c r="Y8339" s="18" t="s">
        <v>17171</v>
      </c>
      <c r="Z8339" s="18" t="s">
        <v>13441</v>
      </c>
      <c r="AA8339" s="21" t="str">
        <f>HYPERLINK("https://www.ncbi.nlm.nih.gov/nuccore/FJ196838","NCBI Nucleotide")</f>
        <v>NCBI Nucleotide</v>
      </c>
    </row>
    <row r="8340" spans="1:27" x14ac:dyDescent="0.35">
      <c r="A8340">
        <v>1008887</v>
      </c>
      <c r="B8340">
        <v>7736</v>
      </c>
      <c r="C8340">
        <v>1</v>
      </c>
      <c r="D8340" s="17" t="s">
        <v>17166</v>
      </c>
      <c r="E8340" s="17"/>
      <c r="F8340" s="17" t="s">
        <v>17246</v>
      </c>
      <c r="G8340" s="17"/>
      <c r="H8340" s="17" t="s">
        <v>17984</v>
      </c>
      <c r="I8340" s="17"/>
      <c r="J8340" s="17" t="s">
        <v>17985</v>
      </c>
      <c r="K8340" s="17"/>
      <c r="L8340" s="17" t="s">
        <v>19025</v>
      </c>
      <c r="M8340" s="17"/>
      <c r="N8340" s="17" t="s">
        <v>19268</v>
      </c>
      <c r="O8340" s="17" t="s">
        <v>19269</v>
      </c>
      <c r="P8340" s="17" t="s">
        <v>19283</v>
      </c>
      <c r="Q8340" s="17"/>
      <c r="R8340" s="25" t="str">
        <f>HYPERLINK("https://ictv.global/taxonomy/taxondetails?taxnode_id=202302255","Carlavirus humuli")</f>
        <v>Carlavirus humuli</v>
      </c>
      <c r="S8340" s="18" t="s">
        <v>30</v>
      </c>
      <c r="T8340" s="18" t="s">
        <v>19407</v>
      </c>
      <c r="U8340" s="18" t="s">
        <v>19408</v>
      </c>
      <c r="V8340" s="18" t="s">
        <v>13887</v>
      </c>
      <c r="W8340" s="18" t="s">
        <v>19409</v>
      </c>
      <c r="X8340" s="18" t="s">
        <v>42</v>
      </c>
      <c r="Y8340" s="18" t="s">
        <v>17171</v>
      </c>
      <c r="Z8340" s="18" t="s">
        <v>13441</v>
      </c>
      <c r="AA8340" s="21" t="str">
        <f>HYPERLINK("https://www.ncbi.nlm.nih.gov/nuccore/EU527979","NCBI Nucleotide")</f>
        <v>NCBI Nucleotide</v>
      </c>
    </row>
    <row r="8341" spans="1:27" x14ac:dyDescent="0.35">
      <c r="A8341">
        <v>1008888</v>
      </c>
      <c r="B8341">
        <v>7737</v>
      </c>
      <c r="C8341">
        <v>1</v>
      </c>
      <c r="D8341" s="17" t="s">
        <v>17166</v>
      </c>
      <c r="E8341" s="17"/>
      <c r="F8341" s="17" t="s">
        <v>17246</v>
      </c>
      <c r="G8341" s="17"/>
      <c r="H8341" s="17" t="s">
        <v>17984</v>
      </c>
      <c r="I8341" s="17"/>
      <c r="J8341" s="17" t="s">
        <v>17985</v>
      </c>
      <c r="K8341" s="17"/>
      <c r="L8341" s="17" t="s">
        <v>19025</v>
      </c>
      <c r="M8341" s="17"/>
      <c r="N8341" s="17" t="s">
        <v>19268</v>
      </c>
      <c r="O8341" s="17" t="s">
        <v>19269</v>
      </c>
      <c r="P8341" s="17" t="s">
        <v>19283</v>
      </c>
      <c r="Q8341" s="17"/>
      <c r="R8341" s="25" t="str">
        <f>HYPERLINK("https://ictv.global/taxonomy/taxondetails?taxnode_id=202302256","Carlavirus hydrangeae")</f>
        <v>Carlavirus hydrangeae</v>
      </c>
      <c r="S8341" s="18" t="s">
        <v>30</v>
      </c>
      <c r="T8341" s="18" t="s">
        <v>19410</v>
      </c>
      <c r="U8341" s="18" t="s">
        <v>19411</v>
      </c>
      <c r="V8341" s="18" t="s">
        <v>19412</v>
      </c>
      <c r="W8341" s="18" t="s">
        <v>19413</v>
      </c>
      <c r="X8341" s="18" t="s">
        <v>42</v>
      </c>
      <c r="Y8341" s="18" t="s">
        <v>17171</v>
      </c>
      <c r="Z8341" s="18" t="s">
        <v>13441</v>
      </c>
      <c r="AA8341" s="21" t="str">
        <f>HYPERLINK("https://www.ncbi.nlm.nih.gov/nuccore/EU754720","NCBI Nucleotide")</f>
        <v>NCBI Nucleotide</v>
      </c>
    </row>
    <row r="8342" spans="1:27" x14ac:dyDescent="0.35">
      <c r="A8342">
        <v>1008915</v>
      </c>
      <c r="B8342">
        <v>7738</v>
      </c>
      <c r="C8342">
        <v>1</v>
      </c>
      <c r="D8342" s="17" t="s">
        <v>17166</v>
      </c>
      <c r="E8342" s="17"/>
      <c r="F8342" s="17" t="s">
        <v>17246</v>
      </c>
      <c r="G8342" s="17"/>
      <c r="H8342" s="17" t="s">
        <v>17984</v>
      </c>
      <c r="I8342" s="17"/>
      <c r="J8342" s="17" t="s">
        <v>17985</v>
      </c>
      <c r="K8342" s="17"/>
      <c r="L8342" s="17" t="s">
        <v>19025</v>
      </c>
      <c r="M8342" s="17"/>
      <c r="N8342" s="17" t="s">
        <v>19268</v>
      </c>
      <c r="O8342" s="17" t="s">
        <v>19269</v>
      </c>
      <c r="P8342" s="17" t="s">
        <v>19283</v>
      </c>
      <c r="Q8342" s="17"/>
      <c r="R8342" s="25" t="str">
        <f>HYPERLINK("https://ictv.global/taxonomy/taxondetails?taxnode_id=202302279","Carlavirus ipomoeae")</f>
        <v>Carlavirus ipomoeae</v>
      </c>
      <c r="S8342" s="18" t="s">
        <v>30</v>
      </c>
      <c r="T8342" s="18" t="s">
        <v>19510</v>
      </c>
      <c r="U8342" s="18" t="s">
        <v>19511</v>
      </c>
      <c r="V8342" s="18" t="s">
        <v>19512</v>
      </c>
      <c r="W8342" s="18" t="s">
        <v>19513</v>
      </c>
      <c r="X8342" s="18" t="s">
        <v>42</v>
      </c>
      <c r="Y8342" s="18" t="s">
        <v>17171</v>
      </c>
      <c r="Z8342" s="18" t="s">
        <v>13441</v>
      </c>
      <c r="AA8342" s="21" t="str">
        <f>HYPERLINK("https://www.ncbi.nlm.nih.gov/nuccore/JX212747","NCBI Nucleotide")</f>
        <v>NCBI Nucleotide</v>
      </c>
    </row>
    <row r="8343" spans="1:27" x14ac:dyDescent="0.35">
      <c r="A8343">
        <v>1026005</v>
      </c>
      <c r="B8343">
        <v>7739</v>
      </c>
      <c r="C8343">
        <v>1</v>
      </c>
      <c r="D8343" s="17" t="s">
        <v>17166</v>
      </c>
      <c r="E8343" s="17"/>
      <c r="F8343" s="17" t="s">
        <v>17246</v>
      </c>
      <c r="G8343" s="17"/>
      <c r="H8343" s="17" t="s">
        <v>17984</v>
      </c>
      <c r="I8343" s="17"/>
      <c r="J8343" s="17" t="s">
        <v>17985</v>
      </c>
      <c r="K8343" s="17"/>
      <c r="L8343" s="17" t="s">
        <v>19025</v>
      </c>
      <c r="M8343" s="17"/>
      <c r="N8343" s="17" t="s">
        <v>19268</v>
      </c>
      <c r="O8343" s="17" t="s">
        <v>19269</v>
      </c>
      <c r="P8343" s="17" t="s">
        <v>19283</v>
      </c>
      <c r="Q8343" s="17"/>
      <c r="R8343" s="25" t="str">
        <f>HYPERLINK("https://ictv.global/taxonomy/taxondetails?taxnode_id=202319032","Carlavirus jasmini")</f>
        <v>Carlavirus jasmini</v>
      </c>
      <c r="S8343" s="18" t="s">
        <v>30</v>
      </c>
      <c r="T8343" s="18" t="s">
        <v>42421</v>
      </c>
      <c r="U8343" s="18" t="s">
        <v>42422</v>
      </c>
      <c r="V8343" s="18" t="s">
        <v>42423</v>
      </c>
      <c r="W8343" s="18" t="s">
        <v>48622</v>
      </c>
      <c r="X8343" s="18" t="s">
        <v>42</v>
      </c>
      <c r="Y8343" s="18" t="s">
        <v>17171</v>
      </c>
      <c r="Z8343" s="18" t="s">
        <v>13441</v>
      </c>
      <c r="AA8343" s="21" t="str">
        <f>HYPERLINK("https://www.ncbi.nlm.nih.gov/nuccore/MZ189739","NCBI Nucleotide")</f>
        <v>NCBI Nucleotide</v>
      </c>
    </row>
    <row r="8344" spans="1:27" x14ac:dyDescent="0.35">
      <c r="A8344">
        <v>1008852</v>
      </c>
      <c r="B8344">
        <v>7740</v>
      </c>
      <c r="C8344">
        <v>1</v>
      </c>
      <c r="D8344" s="17" t="s">
        <v>17166</v>
      </c>
      <c r="E8344" s="17"/>
      <c r="F8344" s="17" t="s">
        <v>17246</v>
      </c>
      <c r="G8344" s="17"/>
      <c r="H8344" s="17" t="s">
        <v>17984</v>
      </c>
      <c r="I8344" s="17"/>
      <c r="J8344" s="17" t="s">
        <v>17985</v>
      </c>
      <c r="K8344" s="17"/>
      <c r="L8344" s="17" t="s">
        <v>19025</v>
      </c>
      <c r="M8344" s="17"/>
      <c r="N8344" s="17" t="s">
        <v>19268</v>
      </c>
      <c r="O8344" s="17" t="s">
        <v>19269</v>
      </c>
      <c r="P8344" s="17" t="s">
        <v>19283</v>
      </c>
      <c r="Q8344" s="17"/>
      <c r="R8344" s="25" t="str">
        <f>HYPERLINK("https://ictv.global/taxonomy/taxondetails?taxnode_id=202302235","Carlavirus latensaconiti")</f>
        <v>Carlavirus latensaconiti</v>
      </c>
      <c r="S8344" s="18" t="s">
        <v>30</v>
      </c>
      <c r="T8344" s="18" t="s">
        <v>19284</v>
      </c>
      <c r="U8344" s="18" t="s">
        <v>19285</v>
      </c>
      <c r="V8344" s="18" t="s">
        <v>19286</v>
      </c>
      <c r="W8344" s="18" t="s">
        <v>19287</v>
      </c>
      <c r="X8344" s="18" t="s">
        <v>42</v>
      </c>
      <c r="Y8344" s="18" t="s">
        <v>17171</v>
      </c>
      <c r="Z8344" s="18" t="s">
        <v>13441</v>
      </c>
      <c r="AA8344" s="21" t="str">
        <f>HYPERLINK("https://www.ncbi.nlm.nih.gov/nuccore/AB051848","NCBI Nucleotide")</f>
        <v>NCBI Nucleotide</v>
      </c>
    </row>
    <row r="8345" spans="1:27" x14ac:dyDescent="0.35">
      <c r="A8345">
        <v>1008881</v>
      </c>
      <c r="B8345">
        <v>7741</v>
      </c>
      <c r="C8345">
        <v>1</v>
      </c>
      <c r="D8345" s="17" t="s">
        <v>17166</v>
      </c>
      <c r="E8345" s="17"/>
      <c r="F8345" s="17" t="s">
        <v>17246</v>
      </c>
      <c r="G8345" s="17"/>
      <c r="H8345" s="17" t="s">
        <v>17984</v>
      </c>
      <c r="I8345" s="17"/>
      <c r="J8345" s="17" t="s">
        <v>17985</v>
      </c>
      <c r="K8345" s="17"/>
      <c r="L8345" s="17" t="s">
        <v>19025</v>
      </c>
      <c r="M8345" s="17"/>
      <c r="N8345" s="17" t="s">
        <v>19268</v>
      </c>
      <c r="O8345" s="17" t="s">
        <v>19269</v>
      </c>
      <c r="P8345" s="17" t="s">
        <v>19283</v>
      </c>
      <c r="Q8345" s="17"/>
      <c r="R8345" s="25" t="str">
        <f>HYPERLINK("https://ictv.global/taxonomy/taxondetails?taxnode_id=202302249","Carlavirus latensallii")</f>
        <v>Carlavirus latensallii</v>
      </c>
      <c r="S8345" s="18" t="s">
        <v>30</v>
      </c>
      <c r="T8345" s="18" t="s">
        <v>19387</v>
      </c>
      <c r="U8345" s="18" t="s">
        <v>19388</v>
      </c>
      <c r="V8345" s="18" t="s">
        <v>19389</v>
      </c>
      <c r="W8345" s="18" t="s">
        <v>19390</v>
      </c>
      <c r="X8345" s="18" t="s">
        <v>42</v>
      </c>
      <c r="Y8345" s="18" t="s">
        <v>17171</v>
      </c>
      <c r="Z8345" s="18" t="s">
        <v>13441</v>
      </c>
      <c r="AA8345" s="21" t="str">
        <f>HYPERLINK("https://www.ncbi.nlm.nih.gov/nuccore/JF320810","NCBI Nucleotide")</f>
        <v>NCBI Nucleotide</v>
      </c>
    </row>
    <row r="8346" spans="1:27" x14ac:dyDescent="0.35">
      <c r="A8346">
        <v>1008912</v>
      </c>
      <c r="B8346">
        <v>7742</v>
      </c>
      <c r="C8346">
        <v>1</v>
      </c>
      <c r="D8346" s="17" t="s">
        <v>17166</v>
      </c>
      <c r="E8346" s="17"/>
      <c r="F8346" s="17" t="s">
        <v>17246</v>
      </c>
      <c r="G8346" s="17"/>
      <c r="H8346" s="17" t="s">
        <v>17984</v>
      </c>
      <c r="I8346" s="17"/>
      <c r="J8346" s="17" t="s">
        <v>17985</v>
      </c>
      <c r="K8346" s="17"/>
      <c r="L8346" s="17" t="s">
        <v>19025</v>
      </c>
      <c r="M8346" s="17"/>
      <c r="N8346" s="17" t="s">
        <v>19268</v>
      </c>
      <c r="O8346" s="17" t="s">
        <v>19269</v>
      </c>
      <c r="P8346" s="17" t="s">
        <v>19283</v>
      </c>
      <c r="Q8346" s="17"/>
      <c r="R8346" s="25" t="str">
        <f>HYPERLINK("https://ictv.global/taxonomy/taxondetails?taxnode_id=202302276","Carlavirus latensascalonici")</f>
        <v>Carlavirus latensascalonici</v>
      </c>
      <c r="S8346" s="18" t="s">
        <v>30</v>
      </c>
      <c r="T8346" s="18" t="s">
        <v>19501</v>
      </c>
      <c r="U8346" s="18" t="s">
        <v>18226</v>
      </c>
      <c r="V8346" s="18" t="s">
        <v>19502</v>
      </c>
      <c r="W8346" s="18" t="s">
        <v>19503</v>
      </c>
      <c r="X8346" s="18" t="s">
        <v>42</v>
      </c>
      <c r="Y8346" s="18" t="s">
        <v>17171</v>
      </c>
      <c r="Z8346" s="18" t="s">
        <v>13441</v>
      </c>
      <c r="AA8346" s="21" t="str">
        <f>HYPERLINK("https://www.ncbi.nlm.nih.gov/nuccore/AJ292226","NCBI Nucleotide")</f>
        <v>NCBI Nucleotide</v>
      </c>
    </row>
    <row r="8347" spans="1:27" x14ac:dyDescent="0.35">
      <c r="A8347">
        <v>1008875</v>
      </c>
      <c r="B8347">
        <v>7743</v>
      </c>
      <c r="C8347">
        <v>1</v>
      </c>
      <c r="D8347" s="17" t="s">
        <v>17166</v>
      </c>
      <c r="E8347" s="17"/>
      <c r="F8347" s="17" t="s">
        <v>17246</v>
      </c>
      <c r="G8347" s="17"/>
      <c r="H8347" s="17" t="s">
        <v>17984</v>
      </c>
      <c r="I8347" s="17"/>
      <c r="J8347" s="17" t="s">
        <v>17985</v>
      </c>
      <c r="K8347" s="17"/>
      <c r="L8347" s="17" t="s">
        <v>19025</v>
      </c>
      <c r="M8347" s="17"/>
      <c r="N8347" s="17" t="s">
        <v>19268</v>
      </c>
      <c r="O8347" s="17" t="s">
        <v>19269</v>
      </c>
      <c r="P8347" s="17" t="s">
        <v>19283</v>
      </c>
      <c r="Q8347" s="17"/>
      <c r="R8347" s="25" t="str">
        <f>HYPERLINK("https://ictv.global/taxonomy/taxondetails?taxnode_id=202302243","Carlavirus latensbrassicae")</f>
        <v>Carlavirus latensbrassicae</v>
      </c>
      <c r="S8347" s="18" t="s">
        <v>30</v>
      </c>
      <c r="T8347" s="18" t="s">
        <v>19367</v>
      </c>
      <c r="U8347" s="18" t="s">
        <v>19368</v>
      </c>
      <c r="V8347" s="18"/>
      <c r="W8347" s="18" t="s">
        <v>19369</v>
      </c>
      <c r="X8347" s="18" t="s">
        <v>154</v>
      </c>
      <c r="Y8347" s="18" t="s">
        <v>17171</v>
      </c>
      <c r="Z8347" s="18" t="s">
        <v>13441</v>
      </c>
      <c r="AA8347" s="21" t="str">
        <f>HYPERLINK("https://www.ncbi.nlm.nih.gov/nuccore/AY340584","NCBI Nucleotide")</f>
        <v>NCBI Nucleotide</v>
      </c>
    </row>
    <row r="8348" spans="1:27" x14ac:dyDescent="0.35">
      <c r="A8348">
        <v>1008858</v>
      </c>
      <c r="B8348">
        <v>7744</v>
      </c>
      <c r="C8348">
        <v>1</v>
      </c>
      <c r="D8348" s="17" t="s">
        <v>17166</v>
      </c>
      <c r="E8348" s="17"/>
      <c r="F8348" s="17" t="s">
        <v>17246</v>
      </c>
      <c r="G8348" s="17"/>
      <c r="H8348" s="17" t="s">
        <v>17984</v>
      </c>
      <c r="I8348" s="17"/>
      <c r="J8348" s="17" t="s">
        <v>17985</v>
      </c>
      <c r="K8348" s="17"/>
      <c r="L8348" s="17" t="s">
        <v>19025</v>
      </c>
      <c r="M8348" s="17"/>
      <c r="N8348" s="17" t="s">
        <v>19268</v>
      </c>
      <c r="O8348" s="17" t="s">
        <v>19269</v>
      </c>
      <c r="P8348" s="17" t="s">
        <v>19283</v>
      </c>
      <c r="Q8348" s="17"/>
      <c r="R8348" s="25" t="str">
        <f>HYPERLINK("https://ictv.global/taxonomy/taxondetails?taxnode_id=202302240","Carlavirus latenscapparis")</f>
        <v>Carlavirus latenscapparis</v>
      </c>
      <c r="S8348" s="18" t="s">
        <v>30</v>
      </c>
      <c r="T8348" s="18" t="s">
        <v>19304</v>
      </c>
      <c r="U8348" s="18" t="s">
        <v>19305</v>
      </c>
      <c r="V8348" s="18" t="s">
        <v>19306</v>
      </c>
      <c r="W8348" s="18" t="s">
        <v>19307</v>
      </c>
      <c r="X8348" s="18" t="s">
        <v>154</v>
      </c>
      <c r="Y8348" s="18" t="s">
        <v>17171</v>
      </c>
      <c r="Z8348" s="18" t="s">
        <v>13441</v>
      </c>
      <c r="AA8348" s="21" t="str">
        <f>HYPERLINK("https://www.ncbi.nlm.nih.gov/nuccore/HQ588147","NCBI Nucleotide")</f>
        <v>NCBI Nucleotide</v>
      </c>
    </row>
    <row r="8349" spans="1:27" x14ac:dyDescent="0.35">
      <c r="A8349">
        <v>1008873</v>
      </c>
      <c r="B8349">
        <v>7745</v>
      </c>
      <c r="C8349">
        <v>1</v>
      </c>
      <c r="D8349" s="17" t="s">
        <v>17166</v>
      </c>
      <c r="E8349" s="17"/>
      <c r="F8349" s="17" t="s">
        <v>17246</v>
      </c>
      <c r="G8349" s="17"/>
      <c r="H8349" s="17" t="s">
        <v>17984</v>
      </c>
      <c r="I8349" s="17"/>
      <c r="J8349" s="17" t="s">
        <v>17985</v>
      </c>
      <c r="K8349" s="17"/>
      <c r="L8349" s="17" t="s">
        <v>19025</v>
      </c>
      <c r="M8349" s="17"/>
      <c r="N8349" s="17" t="s">
        <v>19268</v>
      </c>
      <c r="O8349" s="17" t="s">
        <v>19269</v>
      </c>
      <c r="P8349" s="17" t="s">
        <v>19283</v>
      </c>
      <c r="Q8349" s="17"/>
      <c r="R8349" s="25" t="str">
        <f>HYPERLINK("https://ictv.global/taxonomy/taxondetails?taxnode_id=202302241","Carlavirus latensdianthi")</f>
        <v>Carlavirus latensdianthi</v>
      </c>
      <c r="S8349" s="18" t="s">
        <v>30</v>
      </c>
      <c r="T8349" s="18" t="s">
        <v>19360</v>
      </c>
      <c r="U8349" s="18" t="s">
        <v>19361</v>
      </c>
      <c r="V8349" s="18"/>
      <c r="W8349" s="18" t="s">
        <v>19362</v>
      </c>
      <c r="X8349" s="18" t="s">
        <v>154</v>
      </c>
      <c r="Y8349" s="18" t="s">
        <v>17171</v>
      </c>
      <c r="Z8349" s="18" t="s">
        <v>13441</v>
      </c>
      <c r="AA8349" s="21" t="str">
        <f>HYPERLINK("https://www.ncbi.nlm.nih.gov/nuccore/AJ010697","NCBI Nucleotide")</f>
        <v>NCBI Nucleotide</v>
      </c>
    </row>
    <row r="8350" spans="1:27" x14ac:dyDescent="0.35">
      <c r="A8350">
        <v>1008918</v>
      </c>
      <c r="B8350">
        <v>7746</v>
      </c>
      <c r="C8350">
        <v>1</v>
      </c>
      <c r="D8350" s="17" t="s">
        <v>17166</v>
      </c>
      <c r="E8350" s="17"/>
      <c r="F8350" s="17" t="s">
        <v>17246</v>
      </c>
      <c r="G8350" s="17"/>
      <c r="H8350" s="17" t="s">
        <v>17984</v>
      </c>
      <c r="I8350" s="17"/>
      <c r="J8350" s="17" t="s">
        <v>17985</v>
      </c>
      <c r="K8350" s="17"/>
      <c r="L8350" s="17" t="s">
        <v>19025</v>
      </c>
      <c r="M8350" s="17"/>
      <c r="N8350" s="17" t="s">
        <v>19268</v>
      </c>
      <c r="O8350" s="17" t="s">
        <v>19269</v>
      </c>
      <c r="P8350" s="17" t="s">
        <v>19283</v>
      </c>
      <c r="Q8350" s="17"/>
      <c r="R8350" s="25" t="str">
        <f>HYPERLINK("https://ictv.global/taxonomy/taxondetails?taxnode_id=202305642","Carlavirus latensdioscoreae")</f>
        <v>Carlavirus latensdioscoreae</v>
      </c>
      <c r="S8350" s="18" t="s">
        <v>30</v>
      </c>
      <c r="T8350" s="18" t="s">
        <v>19521</v>
      </c>
      <c r="U8350" s="18" t="s">
        <v>19522</v>
      </c>
      <c r="V8350" s="18" t="s">
        <v>19523</v>
      </c>
      <c r="W8350" s="18" t="s">
        <v>19524</v>
      </c>
      <c r="X8350" s="18" t="s">
        <v>42</v>
      </c>
      <c r="Y8350" s="18" t="s">
        <v>17171</v>
      </c>
      <c r="Z8350" s="18" t="s">
        <v>13441</v>
      </c>
      <c r="AA8350" s="21" t="str">
        <f>HYPERLINK("https://www.ncbi.nlm.nih.gov/nuccore/KJ789130","NCBI Nucleotide")</f>
        <v>NCBI Nucleotide</v>
      </c>
    </row>
    <row r="8351" spans="1:27" x14ac:dyDescent="0.35">
      <c r="A8351">
        <v>1008880</v>
      </c>
      <c r="B8351">
        <v>7747</v>
      </c>
      <c r="C8351">
        <v>1</v>
      </c>
      <c r="D8351" s="17" t="s">
        <v>17166</v>
      </c>
      <c r="E8351" s="17"/>
      <c r="F8351" s="17" t="s">
        <v>17246</v>
      </c>
      <c r="G8351" s="17"/>
      <c r="H8351" s="17" t="s">
        <v>17984</v>
      </c>
      <c r="I8351" s="17"/>
      <c r="J8351" s="17" t="s">
        <v>17985</v>
      </c>
      <c r="K8351" s="17"/>
      <c r="L8351" s="17" t="s">
        <v>19025</v>
      </c>
      <c r="M8351" s="17"/>
      <c r="N8351" s="17" t="s">
        <v>19268</v>
      </c>
      <c r="O8351" s="17" t="s">
        <v>19269</v>
      </c>
      <c r="P8351" s="17" t="s">
        <v>19283</v>
      </c>
      <c r="Q8351" s="17"/>
      <c r="R8351" s="25" t="str">
        <f>HYPERLINK("https://ictv.global/taxonomy/taxondetails?taxnode_id=202302248","Carlavirus latensgaillardiae")</f>
        <v>Carlavirus latensgaillardiae</v>
      </c>
      <c r="S8351" s="18" t="s">
        <v>30</v>
      </c>
      <c r="T8351" s="18" t="s">
        <v>19384</v>
      </c>
      <c r="U8351" s="18" t="s">
        <v>17493</v>
      </c>
      <c r="V8351" s="18" t="s">
        <v>19385</v>
      </c>
      <c r="W8351" s="18" t="s">
        <v>19386</v>
      </c>
      <c r="X8351" s="18" t="s">
        <v>42</v>
      </c>
      <c r="Y8351" s="18" t="s">
        <v>17171</v>
      </c>
      <c r="Z8351" s="18" t="s">
        <v>13441</v>
      </c>
      <c r="AA8351" s="21" t="str">
        <f>HYPERLINK("https://www.ncbi.nlm.nih.gov/nuccore/KJ415259","NCBI Nucleotide")</f>
        <v>NCBI Nucleotide</v>
      </c>
    </row>
    <row r="8352" spans="1:27" x14ac:dyDescent="0.35">
      <c r="A8352">
        <v>1008885</v>
      </c>
      <c r="B8352">
        <v>7748</v>
      </c>
      <c r="C8352">
        <v>1</v>
      </c>
      <c r="D8352" s="17" t="s">
        <v>17166</v>
      </c>
      <c r="E8352" s="17"/>
      <c r="F8352" s="17" t="s">
        <v>17246</v>
      </c>
      <c r="G8352" s="17"/>
      <c r="H8352" s="17" t="s">
        <v>17984</v>
      </c>
      <c r="I8352" s="17"/>
      <c r="J8352" s="17" t="s">
        <v>17985</v>
      </c>
      <c r="K8352" s="17"/>
      <c r="L8352" s="17" t="s">
        <v>19025</v>
      </c>
      <c r="M8352" s="17"/>
      <c r="N8352" s="17" t="s">
        <v>19268</v>
      </c>
      <c r="O8352" s="17" t="s">
        <v>19269</v>
      </c>
      <c r="P8352" s="17" t="s">
        <v>19283</v>
      </c>
      <c r="Q8352" s="17"/>
      <c r="R8352" s="25" t="str">
        <f>HYPERLINK("https://ictv.global/taxonomy/taxondetails?taxnode_id=202302253","Carlavirus latenshippeastri")</f>
        <v>Carlavirus latenshippeastri</v>
      </c>
      <c r="S8352" s="18" t="s">
        <v>30</v>
      </c>
      <c r="T8352" s="18" t="s">
        <v>19401</v>
      </c>
      <c r="U8352" s="18" t="s">
        <v>19402</v>
      </c>
      <c r="V8352" s="18" t="s">
        <v>17244</v>
      </c>
      <c r="W8352" s="18" t="s">
        <v>19403</v>
      </c>
      <c r="X8352" s="18" t="s">
        <v>42</v>
      </c>
      <c r="Y8352" s="18" t="s">
        <v>17171</v>
      </c>
      <c r="Z8352" s="18" t="s">
        <v>13441</v>
      </c>
      <c r="AA8352" s="21" t="str">
        <f>HYPERLINK("https://www.ncbi.nlm.nih.gov/nuccore/DQ098905","NCBI Nucleotide")</f>
        <v>NCBI Nucleotide</v>
      </c>
    </row>
    <row r="8353" spans="1:27" x14ac:dyDescent="0.35">
      <c r="A8353">
        <v>1008886</v>
      </c>
      <c r="B8353">
        <v>7749</v>
      </c>
      <c r="C8353">
        <v>1</v>
      </c>
      <c r="D8353" s="17" t="s">
        <v>17166</v>
      </c>
      <c r="E8353" s="17"/>
      <c r="F8353" s="17" t="s">
        <v>17246</v>
      </c>
      <c r="G8353" s="17"/>
      <c r="H8353" s="17" t="s">
        <v>17984</v>
      </c>
      <c r="I8353" s="17"/>
      <c r="J8353" s="17" t="s">
        <v>17985</v>
      </c>
      <c r="K8353" s="17"/>
      <c r="L8353" s="17" t="s">
        <v>19025</v>
      </c>
      <c r="M8353" s="17"/>
      <c r="N8353" s="17" t="s">
        <v>19268</v>
      </c>
      <c r="O8353" s="17" t="s">
        <v>19269</v>
      </c>
      <c r="P8353" s="17" t="s">
        <v>19283</v>
      </c>
      <c r="Q8353" s="17"/>
      <c r="R8353" s="25" t="str">
        <f>HYPERLINK("https://ictv.global/taxonomy/taxondetails?taxnode_id=202302254","Carlavirus latenshumuli")</f>
        <v>Carlavirus latenshumuli</v>
      </c>
      <c r="S8353" s="18" t="s">
        <v>30</v>
      </c>
      <c r="T8353" s="18" t="s">
        <v>19404</v>
      </c>
      <c r="U8353" s="18" t="s">
        <v>19405</v>
      </c>
      <c r="V8353" s="18" t="s">
        <v>18119</v>
      </c>
      <c r="W8353" s="18" t="s">
        <v>19406</v>
      </c>
      <c r="X8353" s="18" t="s">
        <v>42</v>
      </c>
      <c r="Y8353" s="18" t="s">
        <v>17171</v>
      </c>
      <c r="Z8353" s="18" t="s">
        <v>13441</v>
      </c>
      <c r="AA8353" s="21" t="str">
        <f>HYPERLINK("https://www.ncbi.nlm.nih.gov/nuccore/AB032469","NCBI Nucleotide")</f>
        <v>NCBI Nucleotide</v>
      </c>
    </row>
    <row r="8354" spans="1:27" x14ac:dyDescent="0.35">
      <c r="A8354">
        <v>1008889</v>
      </c>
      <c r="B8354">
        <v>7750</v>
      </c>
      <c r="C8354">
        <v>1</v>
      </c>
      <c r="D8354" s="17" t="s">
        <v>17166</v>
      </c>
      <c r="E8354" s="17"/>
      <c r="F8354" s="17" t="s">
        <v>17246</v>
      </c>
      <c r="G8354" s="17"/>
      <c r="H8354" s="17" t="s">
        <v>17984</v>
      </c>
      <c r="I8354" s="17"/>
      <c r="J8354" s="17" t="s">
        <v>17985</v>
      </c>
      <c r="K8354" s="17"/>
      <c r="L8354" s="17" t="s">
        <v>19025</v>
      </c>
      <c r="M8354" s="17"/>
      <c r="N8354" s="17" t="s">
        <v>19268</v>
      </c>
      <c r="O8354" s="17" t="s">
        <v>19269</v>
      </c>
      <c r="P8354" s="17" t="s">
        <v>19283</v>
      </c>
      <c r="Q8354" s="17"/>
      <c r="R8354" s="25" t="str">
        <f>HYPERLINK("https://ictv.global/taxonomy/taxondetails?taxnode_id=202302257","Carlavirus latenskalanchoe")</f>
        <v>Carlavirus latenskalanchoe</v>
      </c>
      <c r="S8354" s="18" t="s">
        <v>30</v>
      </c>
      <c r="T8354" s="18" t="s">
        <v>19414</v>
      </c>
      <c r="U8354" s="18" t="s">
        <v>19415</v>
      </c>
      <c r="V8354" s="18" t="s">
        <v>19416</v>
      </c>
      <c r="W8354" s="18" t="s">
        <v>19417</v>
      </c>
      <c r="X8354" s="18" t="s">
        <v>42</v>
      </c>
      <c r="Y8354" s="18" t="s">
        <v>17171</v>
      </c>
      <c r="Z8354" s="18" t="s">
        <v>13441</v>
      </c>
      <c r="AA8354" s="21" t="str">
        <f>HYPERLINK("https://www.ncbi.nlm.nih.gov/nuccore/FJ531634","NCBI Nucleotide")</f>
        <v>NCBI Nucleotide</v>
      </c>
    </row>
    <row r="8355" spans="1:27" x14ac:dyDescent="0.35">
      <c r="A8355">
        <v>1008895</v>
      </c>
      <c r="B8355">
        <v>7751</v>
      </c>
      <c r="C8355">
        <v>1</v>
      </c>
      <c r="D8355" s="17" t="s">
        <v>17166</v>
      </c>
      <c r="E8355" s="17"/>
      <c r="F8355" s="17" t="s">
        <v>17246</v>
      </c>
      <c r="G8355" s="17"/>
      <c r="H8355" s="17" t="s">
        <v>17984</v>
      </c>
      <c r="I8355" s="17"/>
      <c r="J8355" s="17" t="s">
        <v>17985</v>
      </c>
      <c r="K8355" s="17"/>
      <c r="L8355" s="17" t="s">
        <v>19025</v>
      </c>
      <c r="M8355" s="17"/>
      <c r="N8355" s="17" t="s">
        <v>19268</v>
      </c>
      <c r="O8355" s="17" t="s">
        <v>19269</v>
      </c>
      <c r="P8355" s="17" t="s">
        <v>19283</v>
      </c>
      <c r="Q8355" s="17"/>
      <c r="R8355" s="25" t="str">
        <f>HYPERLINK("https://ictv.global/taxonomy/taxondetails?taxnode_id=202302262","Carlavirus latensnarcissi")</f>
        <v>Carlavirus latensnarcissi</v>
      </c>
      <c r="S8355" s="18" t="s">
        <v>30</v>
      </c>
      <c r="T8355" s="18" t="s">
        <v>19434</v>
      </c>
      <c r="U8355" s="18" t="s">
        <v>19435</v>
      </c>
      <c r="V8355" s="18" t="s">
        <v>19436</v>
      </c>
      <c r="W8355" s="18" t="s">
        <v>19437</v>
      </c>
      <c r="X8355" s="18" t="s">
        <v>42</v>
      </c>
      <c r="Y8355" s="18" t="s">
        <v>17171</v>
      </c>
      <c r="Z8355" s="18" t="s">
        <v>13441</v>
      </c>
      <c r="AA8355" s="21" t="str">
        <f>HYPERLINK("https://www.ncbi.nlm.nih.gov/nuccore/AM158439","NCBI Nucleotide")</f>
        <v>NCBI Nucleotide</v>
      </c>
    </row>
    <row r="8356" spans="1:27" x14ac:dyDescent="0.35">
      <c r="A8356">
        <v>1008896</v>
      </c>
      <c r="B8356">
        <v>7752</v>
      </c>
      <c r="C8356">
        <v>1</v>
      </c>
      <c r="D8356" s="17" t="s">
        <v>17166</v>
      </c>
      <c r="E8356" s="17"/>
      <c r="F8356" s="17" t="s">
        <v>17246</v>
      </c>
      <c r="G8356" s="17"/>
      <c r="H8356" s="17" t="s">
        <v>17984</v>
      </c>
      <c r="I8356" s="17"/>
      <c r="J8356" s="17" t="s">
        <v>17985</v>
      </c>
      <c r="K8356" s="17"/>
      <c r="L8356" s="17" t="s">
        <v>19025</v>
      </c>
      <c r="M8356" s="17"/>
      <c r="N8356" s="17" t="s">
        <v>19268</v>
      </c>
      <c r="O8356" s="17" t="s">
        <v>19269</v>
      </c>
      <c r="P8356" s="17" t="s">
        <v>19283</v>
      </c>
      <c r="Q8356" s="17"/>
      <c r="R8356" s="25" t="str">
        <f>HYPERLINK("https://ictv.global/taxonomy/taxondetails?taxnode_id=202302263","Carlavirus latensnerinis")</f>
        <v>Carlavirus latensnerinis</v>
      </c>
      <c r="S8356" s="18" t="s">
        <v>30</v>
      </c>
      <c r="T8356" s="18" t="s">
        <v>19438</v>
      </c>
      <c r="U8356" s="18" t="s">
        <v>19439</v>
      </c>
      <c r="V8356" s="18" t="s">
        <v>19440</v>
      </c>
      <c r="W8356" s="18" t="s">
        <v>19441</v>
      </c>
      <c r="X8356" s="18" t="s">
        <v>42</v>
      </c>
      <c r="Y8356" s="18" t="s">
        <v>17171</v>
      </c>
      <c r="Z8356" s="18" t="s">
        <v>13441</v>
      </c>
      <c r="AA8356" s="21" t="str">
        <f>HYPERLINK("https://www.ncbi.nlm.nih.gov/nuccore/AM182569","NCBI Nucleotide")</f>
        <v>NCBI Nucleotide</v>
      </c>
    </row>
    <row r="8357" spans="1:27" x14ac:dyDescent="0.35">
      <c r="A8357">
        <v>1008903</v>
      </c>
      <c r="B8357">
        <v>7753</v>
      </c>
      <c r="C8357">
        <v>1</v>
      </c>
      <c r="D8357" s="17" t="s">
        <v>17166</v>
      </c>
      <c r="E8357" s="17"/>
      <c r="F8357" s="17" t="s">
        <v>17246</v>
      </c>
      <c r="G8357" s="17"/>
      <c r="H8357" s="17" t="s">
        <v>17984</v>
      </c>
      <c r="I8357" s="17"/>
      <c r="J8357" s="17" t="s">
        <v>17985</v>
      </c>
      <c r="K8357" s="17"/>
      <c r="L8357" s="17" t="s">
        <v>19025</v>
      </c>
      <c r="M8357" s="17"/>
      <c r="N8357" s="17" t="s">
        <v>19268</v>
      </c>
      <c r="O8357" s="17" t="s">
        <v>19269</v>
      </c>
      <c r="P8357" s="17" t="s">
        <v>19283</v>
      </c>
      <c r="Q8357" s="17"/>
      <c r="R8357" s="25" t="str">
        <f>HYPERLINK("https://ictv.global/taxonomy/taxondetails?taxnode_id=202302270","Carlavirus latensolani")</f>
        <v>Carlavirus latensolani</v>
      </c>
      <c r="S8357" s="18" t="s">
        <v>30</v>
      </c>
      <c r="T8357" s="18" t="s">
        <v>19466</v>
      </c>
      <c r="U8357" s="18" t="s">
        <v>19467</v>
      </c>
      <c r="V8357" s="18" t="s">
        <v>374</v>
      </c>
      <c r="W8357" s="18" t="s">
        <v>19468</v>
      </c>
      <c r="X8357" s="18" t="s">
        <v>42</v>
      </c>
      <c r="Y8357" s="18" t="s">
        <v>17171</v>
      </c>
      <c r="Z8357" s="18" t="s">
        <v>13441</v>
      </c>
      <c r="AA8357" s="21" t="str">
        <f>HYPERLINK("https://www.ncbi.nlm.nih.gov/nuccore/EU433397","NCBI Nucleotide")</f>
        <v>NCBI Nucleotide</v>
      </c>
    </row>
    <row r="8358" spans="1:27" x14ac:dyDescent="0.35">
      <c r="A8358">
        <v>1008897</v>
      </c>
      <c r="B8358">
        <v>7754</v>
      </c>
      <c r="C8358">
        <v>1</v>
      </c>
      <c r="D8358" s="17" t="s">
        <v>17166</v>
      </c>
      <c r="E8358" s="17"/>
      <c r="F8358" s="17" t="s">
        <v>17246</v>
      </c>
      <c r="G8358" s="17"/>
      <c r="H8358" s="17" t="s">
        <v>17984</v>
      </c>
      <c r="I8358" s="17"/>
      <c r="J8358" s="17" t="s">
        <v>17985</v>
      </c>
      <c r="K8358" s="17"/>
      <c r="L8358" s="17" t="s">
        <v>19025</v>
      </c>
      <c r="M8358" s="17"/>
      <c r="N8358" s="17" t="s">
        <v>19268</v>
      </c>
      <c r="O8358" s="17" t="s">
        <v>19269</v>
      </c>
      <c r="P8358" s="17" t="s">
        <v>19283</v>
      </c>
      <c r="Q8358" s="17"/>
      <c r="R8358" s="25" t="str">
        <f>HYPERLINK("https://ictv.global/taxonomy/taxondetails?taxnode_id=202302264","Carlavirus latenspassiflorae")</f>
        <v>Carlavirus latenspassiflorae</v>
      </c>
      <c r="S8358" s="18" t="s">
        <v>30</v>
      </c>
      <c r="T8358" s="18" t="s">
        <v>19442</v>
      </c>
      <c r="U8358" s="18" t="s">
        <v>19443</v>
      </c>
      <c r="V8358" s="18" t="s">
        <v>19444</v>
      </c>
      <c r="W8358" s="18" t="s">
        <v>19445</v>
      </c>
      <c r="X8358" s="18" t="s">
        <v>42</v>
      </c>
      <c r="Y8358" s="18" t="s">
        <v>17171</v>
      </c>
      <c r="Z8358" s="18" t="s">
        <v>13441</v>
      </c>
      <c r="AA8358" s="21" t="str">
        <f>HYPERLINK("https://www.ncbi.nlm.nih.gov/nuccore/DQ455582","NCBI Nucleotide")</f>
        <v>NCBI Nucleotide</v>
      </c>
    </row>
    <row r="8359" spans="1:27" x14ac:dyDescent="0.35">
      <c r="A8359">
        <v>1008917</v>
      </c>
      <c r="B8359">
        <v>7755</v>
      </c>
      <c r="C8359">
        <v>1</v>
      </c>
      <c r="D8359" s="17" t="s">
        <v>17166</v>
      </c>
      <c r="E8359" s="17"/>
      <c r="F8359" s="17" t="s">
        <v>17246</v>
      </c>
      <c r="G8359" s="17"/>
      <c r="H8359" s="17" t="s">
        <v>17984</v>
      </c>
      <c r="I8359" s="17"/>
      <c r="J8359" s="17" t="s">
        <v>17985</v>
      </c>
      <c r="K8359" s="17"/>
      <c r="L8359" s="17" t="s">
        <v>19025</v>
      </c>
      <c r="M8359" s="17"/>
      <c r="N8359" s="17" t="s">
        <v>19268</v>
      </c>
      <c r="O8359" s="17" t="s">
        <v>19269</v>
      </c>
      <c r="P8359" s="17" t="s">
        <v>19283</v>
      </c>
      <c r="Q8359" s="17"/>
      <c r="R8359" s="25" t="str">
        <f>HYPERLINK("https://ictv.global/taxonomy/taxondetails?taxnode_id=202302281","Carlavirus latensverbenae")</f>
        <v>Carlavirus latensverbenae</v>
      </c>
      <c r="S8359" s="18" t="s">
        <v>30</v>
      </c>
      <c r="T8359" s="18" t="s">
        <v>19518</v>
      </c>
      <c r="U8359" s="18" t="s">
        <v>19519</v>
      </c>
      <c r="V8359" s="18" t="s">
        <v>19412</v>
      </c>
      <c r="W8359" s="18" t="s">
        <v>19520</v>
      </c>
      <c r="X8359" s="18" t="s">
        <v>154</v>
      </c>
      <c r="Y8359" s="18" t="s">
        <v>17171</v>
      </c>
      <c r="Z8359" s="18" t="s">
        <v>13441</v>
      </c>
      <c r="AA8359" s="21" t="str">
        <f>HYPERLINK("https://www.ncbi.nlm.nih.gov/nuccore/FJ754643","NCBI Nucleotide")</f>
        <v>NCBI Nucleotide</v>
      </c>
    </row>
    <row r="8360" spans="1:27" x14ac:dyDescent="0.35">
      <c r="A8360">
        <v>1008892</v>
      </c>
      <c r="B8360">
        <v>7756</v>
      </c>
      <c r="C8360">
        <v>1</v>
      </c>
      <c r="D8360" s="17" t="s">
        <v>17166</v>
      </c>
      <c r="E8360" s="17"/>
      <c r="F8360" s="17" t="s">
        <v>17246</v>
      </c>
      <c r="G8360" s="17"/>
      <c r="H8360" s="17" t="s">
        <v>17984</v>
      </c>
      <c r="I8360" s="17"/>
      <c r="J8360" s="17" t="s">
        <v>17985</v>
      </c>
      <c r="K8360" s="17"/>
      <c r="L8360" s="17" t="s">
        <v>19025</v>
      </c>
      <c r="M8360" s="17"/>
      <c r="N8360" s="17" t="s">
        <v>19268</v>
      </c>
      <c r="O8360" s="17" t="s">
        <v>19269</v>
      </c>
      <c r="P8360" s="17" t="s">
        <v>19283</v>
      </c>
      <c r="Q8360" s="17"/>
      <c r="R8360" s="25" t="str">
        <f>HYPERLINK("https://ictv.global/taxonomy/taxondetails?taxnode_id=202302259","Carlavirus lilii")</f>
        <v>Carlavirus lilii</v>
      </c>
      <c r="S8360" s="18" t="s">
        <v>30</v>
      </c>
      <c r="T8360" s="18" t="s">
        <v>19424</v>
      </c>
      <c r="U8360" s="18" t="s">
        <v>19425</v>
      </c>
      <c r="V8360" s="18" t="s">
        <v>18950</v>
      </c>
      <c r="W8360" s="18" t="s">
        <v>19426</v>
      </c>
      <c r="X8360" s="18" t="s">
        <v>42</v>
      </c>
      <c r="Y8360" s="18" t="s">
        <v>17171</v>
      </c>
      <c r="Z8360" s="18" t="s">
        <v>13441</v>
      </c>
      <c r="AA8360" s="21" t="str">
        <f>HYPERLINK("https://www.ncbi.nlm.nih.gov/nuccore/AJ516059","NCBI Nucleotide")</f>
        <v>NCBI Nucleotide</v>
      </c>
    </row>
    <row r="8361" spans="1:27" x14ac:dyDescent="0.35">
      <c r="A8361">
        <v>1008867</v>
      </c>
      <c r="B8361">
        <v>7757</v>
      </c>
      <c r="C8361">
        <v>1</v>
      </c>
      <c r="D8361" s="17" t="s">
        <v>17166</v>
      </c>
      <c r="E8361" s="17"/>
      <c r="F8361" s="17" t="s">
        <v>17246</v>
      </c>
      <c r="G8361" s="17"/>
      <c r="H8361" s="17" t="s">
        <v>17984</v>
      </c>
      <c r="I8361" s="17"/>
      <c r="J8361" s="17" t="s">
        <v>17985</v>
      </c>
      <c r="K8361" s="17"/>
      <c r="L8361" s="17" t="s">
        <v>19025</v>
      </c>
      <c r="M8361" s="17"/>
      <c r="N8361" s="17" t="s">
        <v>19268</v>
      </c>
      <c r="O8361" s="17" t="s">
        <v>19269</v>
      </c>
      <c r="P8361" s="17" t="s">
        <v>19283</v>
      </c>
      <c r="Q8361" s="17"/>
      <c r="R8361" s="25" t="str">
        <f>HYPERLINK("https://ictv.global/taxonomy/taxondetails?taxnode_id=202313845","Carlavirus maculapapayae")</f>
        <v>Carlavirus maculapapayae</v>
      </c>
      <c r="S8361" s="18" t="s">
        <v>30</v>
      </c>
      <c r="T8361" s="18" t="s">
        <v>19337</v>
      </c>
      <c r="U8361" s="18" t="s">
        <v>19338</v>
      </c>
      <c r="V8361" s="18" t="s">
        <v>19339</v>
      </c>
      <c r="W8361" s="18" t="s">
        <v>19340</v>
      </c>
      <c r="X8361" s="18" t="s">
        <v>42</v>
      </c>
      <c r="Y8361" s="18" t="s">
        <v>17171</v>
      </c>
      <c r="Z8361" s="18" t="s">
        <v>13441</v>
      </c>
      <c r="AA8361" s="21" t="str">
        <f>HYPERLINK("https://www.ncbi.nlm.nih.gov/nuccore/MK984600","NCBI Nucleotide")</f>
        <v>NCBI Nucleotide</v>
      </c>
    </row>
    <row r="8362" spans="1:27" x14ac:dyDescent="0.35">
      <c r="A8362">
        <v>1008893</v>
      </c>
      <c r="B8362">
        <v>7758</v>
      </c>
      <c r="C8362">
        <v>1</v>
      </c>
      <c r="D8362" s="17" t="s">
        <v>17166</v>
      </c>
      <c r="E8362" s="17"/>
      <c r="F8362" s="17" t="s">
        <v>17246</v>
      </c>
      <c r="G8362" s="17"/>
      <c r="H8362" s="17" t="s">
        <v>17984</v>
      </c>
      <c r="I8362" s="17"/>
      <c r="J8362" s="17" t="s">
        <v>17985</v>
      </c>
      <c r="K8362" s="17"/>
      <c r="L8362" s="17" t="s">
        <v>19025</v>
      </c>
      <c r="M8362" s="17"/>
      <c r="N8362" s="17" t="s">
        <v>19268</v>
      </c>
      <c r="O8362" s="17" t="s">
        <v>19269</v>
      </c>
      <c r="P8362" s="17" t="s">
        <v>19283</v>
      </c>
      <c r="Q8362" s="17"/>
      <c r="R8362" s="25" t="str">
        <f>HYPERLINK("https://ictv.global/taxonomy/taxondetails?taxnode_id=202302260","Carlavirus melonis")</f>
        <v>Carlavirus melonis</v>
      </c>
      <c r="S8362" s="18" t="s">
        <v>30</v>
      </c>
      <c r="T8362" s="18" t="s">
        <v>19427</v>
      </c>
      <c r="U8362" s="18" t="s">
        <v>19428</v>
      </c>
      <c r="V8362" s="18" t="s">
        <v>19429</v>
      </c>
      <c r="W8362" s="18" t="s">
        <v>19430</v>
      </c>
      <c r="X8362" s="18" t="s">
        <v>42</v>
      </c>
      <c r="Y8362" s="18" t="s">
        <v>17171</v>
      </c>
      <c r="Z8362" s="18" t="s">
        <v>13441</v>
      </c>
      <c r="AA8362" s="21" t="str">
        <f>HYPERLINK("https://www.ncbi.nlm.nih.gov/nuccore/LC224308","NCBI Nucleotide")</f>
        <v>NCBI Nucleotide</v>
      </c>
    </row>
    <row r="8363" spans="1:27" x14ac:dyDescent="0.35">
      <c r="A8363">
        <v>1008900</v>
      </c>
      <c r="B8363">
        <v>7759</v>
      </c>
      <c r="C8363">
        <v>1</v>
      </c>
      <c r="D8363" s="17" t="s">
        <v>17166</v>
      </c>
      <c r="E8363" s="17"/>
      <c r="F8363" s="17" t="s">
        <v>17246</v>
      </c>
      <c r="G8363" s="17"/>
      <c r="H8363" s="17" t="s">
        <v>17984</v>
      </c>
      <c r="I8363" s="17"/>
      <c r="J8363" s="17" t="s">
        <v>17985</v>
      </c>
      <c r="K8363" s="17"/>
      <c r="L8363" s="17" t="s">
        <v>19025</v>
      </c>
      <c r="M8363" s="17"/>
      <c r="N8363" s="17" t="s">
        <v>19268</v>
      </c>
      <c r="O8363" s="17" t="s">
        <v>19269</v>
      </c>
      <c r="P8363" s="17" t="s">
        <v>19283</v>
      </c>
      <c r="Q8363" s="17"/>
      <c r="R8363" s="25" t="str">
        <f>HYPERLINK("https://ictv.global/taxonomy/taxondetails?taxnode_id=202302267","Carlavirus miphlocis")</f>
        <v>Carlavirus miphlocis</v>
      </c>
      <c r="S8363" s="18" t="s">
        <v>30</v>
      </c>
      <c r="T8363" s="18" t="s">
        <v>19454</v>
      </c>
      <c r="U8363" s="18" t="s">
        <v>19455</v>
      </c>
      <c r="V8363" s="18" t="s">
        <v>19456</v>
      </c>
      <c r="W8363" s="18" t="s">
        <v>19457</v>
      </c>
      <c r="X8363" s="18" t="s">
        <v>154</v>
      </c>
      <c r="Y8363" s="18" t="s">
        <v>17171</v>
      </c>
      <c r="Z8363" s="18" t="s">
        <v>13441</v>
      </c>
      <c r="AA8363" s="21" t="str">
        <f>HYPERLINK("https://www.ncbi.nlm.nih.gov/nuccore/FJ159381","NCBI Nucleotide")</f>
        <v>NCBI Nucleotide</v>
      </c>
    </row>
    <row r="8364" spans="1:27" x14ac:dyDescent="0.35">
      <c r="A8364">
        <v>1008894</v>
      </c>
      <c r="B8364">
        <v>7760</v>
      </c>
      <c r="C8364">
        <v>1</v>
      </c>
      <c r="D8364" s="17" t="s">
        <v>17166</v>
      </c>
      <c r="E8364" s="17"/>
      <c r="F8364" s="17" t="s">
        <v>17246</v>
      </c>
      <c r="G8364" s="17"/>
      <c r="H8364" s="17" t="s">
        <v>17984</v>
      </c>
      <c r="I8364" s="17"/>
      <c r="J8364" s="17" t="s">
        <v>17985</v>
      </c>
      <c r="K8364" s="17"/>
      <c r="L8364" s="17" t="s">
        <v>19025</v>
      </c>
      <c r="M8364" s="17"/>
      <c r="N8364" s="17" t="s">
        <v>19268</v>
      </c>
      <c r="O8364" s="17" t="s">
        <v>19269</v>
      </c>
      <c r="P8364" s="17" t="s">
        <v>19283</v>
      </c>
      <c r="Q8364" s="17"/>
      <c r="R8364" s="25" t="str">
        <f>HYPERLINK("https://ictv.global/taxonomy/taxondetails?taxnode_id=202302261","Carlavirus mirabilis")</f>
        <v>Carlavirus mirabilis</v>
      </c>
      <c r="S8364" s="18" t="s">
        <v>30</v>
      </c>
      <c r="T8364" s="18" t="s">
        <v>19431</v>
      </c>
      <c r="U8364" s="18" t="s">
        <v>19432</v>
      </c>
      <c r="V8364" s="18" t="s">
        <v>18179</v>
      </c>
      <c r="W8364" s="18" t="s">
        <v>19433</v>
      </c>
      <c r="X8364" s="18" t="s">
        <v>42</v>
      </c>
      <c r="Y8364" s="18" t="s">
        <v>17171</v>
      </c>
      <c r="Z8364" s="18" t="s">
        <v>13441</v>
      </c>
      <c r="AA8364" s="21" t="str">
        <f>HYPERLINK("https://www.ncbi.nlm.nih.gov/nuccore/JN039374","NCBI Nucleotide")</f>
        <v>NCBI Nucleotide</v>
      </c>
    </row>
    <row r="8365" spans="1:27" x14ac:dyDescent="0.35">
      <c r="A8365">
        <v>1008905</v>
      </c>
      <c r="B8365">
        <v>7761</v>
      </c>
      <c r="C8365">
        <v>1</v>
      </c>
      <c r="D8365" s="17" t="s">
        <v>17166</v>
      </c>
      <c r="E8365" s="17"/>
      <c r="F8365" s="17" t="s">
        <v>17246</v>
      </c>
      <c r="G8365" s="17"/>
      <c r="H8365" s="17" t="s">
        <v>17984</v>
      </c>
      <c r="I8365" s="17"/>
      <c r="J8365" s="17" t="s">
        <v>17985</v>
      </c>
      <c r="K8365" s="17"/>
      <c r="L8365" s="17" t="s">
        <v>19025</v>
      </c>
      <c r="M8365" s="17"/>
      <c r="N8365" s="17" t="s">
        <v>19268</v>
      </c>
      <c r="O8365" s="17" t="s">
        <v>19269</v>
      </c>
      <c r="P8365" s="17" t="s">
        <v>19283</v>
      </c>
      <c r="Q8365" s="17"/>
      <c r="R8365" s="25" t="str">
        <f>HYPERLINK("https://ictv.global/taxonomy/taxondetails?taxnode_id=202302272","Carlavirus misolani")</f>
        <v>Carlavirus misolani</v>
      </c>
      <c r="S8365" s="18" t="s">
        <v>30</v>
      </c>
      <c r="T8365" s="18" t="s">
        <v>19473</v>
      </c>
      <c r="U8365" s="18" t="s">
        <v>19474</v>
      </c>
      <c r="V8365" s="18" t="s">
        <v>19475</v>
      </c>
      <c r="W8365" s="18" t="s">
        <v>19476</v>
      </c>
      <c r="X8365" s="18" t="s">
        <v>42</v>
      </c>
      <c r="Y8365" s="18" t="s">
        <v>17171</v>
      </c>
      <c r="Z8365" s="18" t="s">
        <v>13441</v>
      </c>
      <c r="AA8365" s="21" t="str">
        <f>HYPERLINK("https://www.ncbi.nlm.nih.gov/nuccore/D14449","NCBI Nucleotide")</f>
        <v>NCBI Nucleotide</v>
      </c>
    </row>
    <row r="8366" spans="1:27" x14ac:dyDescent="0.35">
      <c r="A8366">
        <v>1008866</v>
      </c>
      <c r="B8366">
        <v>7762</v>
      </c>
      <c r="C8366">
        <v>1</v>
      </c>
      <c r="D8366" s="17" t="s">
        <v>17166</v>
      </c>
      <c r="E8366" s="17"/>
      <c r="F8366" s="17" t="s">
        <v>17246</v>
      </c>
      <c r="G8366" s="17"/>
      <c r="H8366" s="17" t="s">
        <v>17984</v>
      </c>
      <c r="I8366" s="17"/>
      <c r="J8366" s="17" t="s">
        <v>17985</v>
      </c>
      <c r="K8366" s="17"/>
      <c r="L8366" s="17" t="s">
        <v>19025</v>
      </c>
      <c r="M8366" s="17"/>
      <c r="N8366" s="17" t="s">
        <v>19268</v>
      </c>
      <c r="O8366" s="17" t="s">
        <v>19269</v>
      </c>
      <c r="P8366" s="17" t="s">
        <v>19283</v>
      </c>
      <c r="Q8366" s="17"/>
      <c r="R8366" s="25" t="str">
        <f>HYPERLINK("https://ictv.global/taxonomy/taxondetails?taxnode_id=202313844","Carlavirus mitipapayae")</f>
        <v>Carlavirus mitipapayae</v>
      </c>
      <c r="S8366" s="18" t="s">
        <v>30</v>
      </c>
      <c r="T8366" s="18" t="s">
        <v>19333</v>
      </c>
      <c r="U8366" s="18" t="s">
        <v>19334</v>
      </c>
      <c r="V8366" s="18" t="s">
        <v>19335</v>
      </c>
      <c r="W8366" s="18" t="s">
        <v>19336</v>
      </c>
      <c r="X8366" s="18" t="s">
        <v>42</v>
      </c>
      <c r="Y8366" s="18" t="s">
        <v>17171</v>
      </c>
      <c r="Z8366" s="18" t="s">
        <v>13441</v>
      </c>
      <c r="AA8366" s="21" t="str">
        <f>HYPERLINK("https://www.ncbi.nlm.nih.gov/nuccore/MK984598","NCBI Nucleotide")</f>
        <v>NCBI Nucleotide</v>
      </c>
    </row>
    <row r="8367" spans="1:27" x14ac:dyDescent="0.35">
      <c r="A8367">
        <v>1008890</v>
      </c>
      <c r="B8367">
        <v>7763</v>
      </c>
      <c r="C8367">
        <v>1</v>
      </c>
      <c r="D8367" s="17" t="s">
        <v>17166</v>
      </c>
      <c r="E8367" s="17"/>
      <c r="F8367" s="17" t="s">
        <v>17246</v>
      </c>
      <c r="G8367" s="17"/>
      <c r="H8367" s="17" t="s">
        <v>17984</v>
      </c>
      <c r="I8367" s="17"/>
      <c r="J8367" s="17" t="s">
        <v>17985</v>
      </c>
      <c r="K8367" s="17"/>
      <c r="L8367" s="17" t="s">
        <v>19025</v>
      </c>
      <c r="M8367" s="17"/>
      <c r="N8367" s="17" t="s">
        <v>19268</v>
      </c>
      <c r="O8367" s="17" t="s">
        <v>19269</v>
      </c>
      <c r="P8367" s="17" t="s">
        <v>19283</v>
      </c>
      <c r="Q8367" s="17"/>
      <c r="R8367" s="25" t="str">
        <f>HYPERLINK("https://ictv.global/taxonomy/taxondetails?taxnode_id=202302258","Carlavirus necroligustri")</f>
        <v>Carlavirus necroligustri</v>
      </c>
      <c r="S8367" s="18" t="s">
        <v>30</v>
      </c>
      <c r="T8367" s="18" t="s">
        <v>19418</v>
      </c>
      <c r="U8367" s="18" t="s">
        <v>19419</v>
      </c>
      <c r="V8367" s="18" t="s">
        <v>18179</v>
      </c>
      <c r="W8367" s="18" t="s">
        <v>19420</v>
      </c>
      <c r="X8367" s="18" t="s">
        <v>42</v>
      </c>
      <c r="Y8367" s="18" t="s">
        <v>17171</v>
      </c>
      <c r="Z8367" s="18" t="s">
        <v>13441</v>
      </c>
      <c r="AA8367" s="21" t="str">
        <f>HYPERLINK("https://www.ncbi.nlm.nih.gov/nuccore/EU074853","NCBI Nucleotide")</f>
        <v>NCBI Nucleotide</v>
      </c>
    </row>
    <row r="8368" spans="1:27" x14ac:dyDescent="0.35">
      <c r="A8368">
        <v>1008884</v>
      </c>
      <c r="B8368">
        <v>7764</v>
      </c>
      <c r="C8368">
        <v>1</v>
      </c>
      <c r="D8368" s="17" t="s">
        <v>17166</v>
      </c>
      <c r="E8368" s="17"/>
      <c r="F8368" s="17" t="s">
        <v>17246</v>
      </c>
      <c r="G8368" s="17"/>
      <c r="H8368" s="17" t="s">
        <v>17984</v>
      </c>
      <c r="I8368" s="17"/>
      <c r="J8368" s="17" t="s">
        <v>17985</v>
      </c>
      <c r="K8368" s="17"/>
      <c r="L8368" s="17" t="s">
        <v>19025</v>
      </c>
      <c r="M8368" s="17"/>
      <c r="N8368" s="17" t="s">
        <v>19268</v>
      </c>
      <c r="O8368" s="17" t="s">
        <v>19269</v>
      </c>
      <c r="P8368" s="17" t="s">
        <v>19283</v>
      </c>
      <c r="Q8368" s="17"/>
      <c r="R8368" s="25" t="str">
        <f>HYPERLINK("https://ictv.global/taxonomy/taxondetails?taxnode_id=202302252","Carlavirus necroretis")</f>
        <v>Carlavirus necroretis</v>
      </c>
      <c r="S8368" s="18" t="s">
        <v>30</v>
      </c>
      <c r="T8368" s="18" t="s">
        <v>19397</v>
      </c>
      <c r="U8368" s="18" t="s">
        <v>19398</v>
      </c>
      <c r="V8368" s="18" t="s">
        <v>19399</v>
      </c>
      <c r="W8368" s="18" t="s">
        <v>19400</v>
      </c>
      <c r="X8368" s="18" t="s">
        <v>42</v>
      </c>
      <c r="Y8368" s="18" t="s">
        <v>17171</v>
      </c>
      <c r="Z8368" s="18" t="s">
        <v>13441</v>
      </c>
      <c r="AA8368" s="21" t="str">
        <f>HYPERLINK("https://www.ncbi.nlm.nih.gov/nuccore/FJ196835","NCBI Nucleotide")</f>
        <v>NCBI Nucleotide</v>
      </c>
    </row>
    <row r="8369" spans="1:27" x14ac:dyDescent="0.35">
      <c r="A8369">
        <v>1026006</v>
      </c>
      <c r="B8369">
        <v>7765</v>
      </c>
      <c r="C8369">
        <v>1</v>
      </c>
      <c r="D8369" s="17" t="s">
        <v>17166</v>
      </c>
      <c r="E8369" s="17"/>
      <c r="F8369" s="17" t="s">
        <v>17246</v>
      </c>
      <c r="G8369" s="17"/>
      <c r="H8369" s="17" t="s">
        <v>17984</v>
      </c>
      <c r="I8369" s="17"/>
      <c r="J8369" s="17" t="s">
        <v>17985</v>
      </c>
      <c r="K8369" s="17"/>
      <c r="L8369" s="17" t="s">
        <v>19025</v>
      </c>
      <c r="M8369" s="17"/>
      <c r="N8369" s="17" t="s">
        <v>19268</v>
      </c>
      <c r="O8369" s="17" t="s">
        <v>19269</v>
      </c>
      <c r="P8369" s="17" t="s">
        <v>19283</v>
      </c>
      <c r="Q8369" s="17"/>
      <c r="R8369" s="25" t="str">
        <f>HYPERLINK("https://ictv.global/taxonomy/taxondetails?taxnode_id=202319031","Carlavirus oleraceae")</f>
        <v>Carlavirus oleraceae</v>
      </c>
      <c r="S8369" s="18" t="s">
        <v>30</v>
      </c>
      <c r="T8369" s="18" t="s">
        <v>42424</v>
      </c>
      <c r="U8369" s="18" t="s">
        <v>42425</v>
      </c>
      <c r="V8369" s="18" t="s">
        <v>42426</v>
      </c>
      <c r="W8369" s="18" t="s">
        <v>48623</v>
      </c>
      <c r="X8369" s="18" t="s">
        <v>42</v>
      </c>
      <c r="Y8369" s="18" t="s">
        <v>17171</v>
      </c>
      <c r="Z8369" s="18" t="s">
        <v>13441</v>
      </c>
      <c r="AA8369" s="21" t="str">
        <f>HYPERLINK("https://www.ncbi.nlm.nih.gov/nuccore/MK684348","NCBI Nucleotide")</f>
        <v>NCBI Nucleotide</v>
      </c>
    </row>
    <row r="8370" spans="1:27" x14ac:dyDescent="0.35">
      <c r="A8370">
        <v>1008856</v>
      </c>
      <c r="B8370">
        <v>7766</v>
      </c>
      <c r="C8370">
        <v>1</v>
      </c>
      <c r="D8370" s="17" t="s">
        <v>17166</v>
      </c>
      <c r="E8370" s="17"/>
      <c r="F8370" s="17" t="s">
        <v>17246</v>
      </c>
      <c r="G8370" s="17"/>
      <c r="H8370" s="17" t="s">
        <v>17984</v>
      </c>
      <c r="I8370" s="17"/>
      <c r="J8370" s="17" t="s">
        <v>17985</v>
      </c>
      <c r="K8370" s="17"/>
      <c r="L8370" s="17" t="s">
        <v>19025</v>
      </c>
      <c r="M8370" s="17"/>
      <c r="N8370" s="17" t="s">
        <v>19268</v>
      </c>
      <c r="O8370" s="17" t="s">
        <v>19269</v>
      </c>
      <c r="P8370" s="17" t="s">
        <v>19283</v>
      </c>
      <c r="Q8370" s="17"/>
      <c r="R8370" s="25" t="str">
        <f>HYPERLINK("https://ictv.global/taxonomy/taxondetails?taxnode_id=202302238","Carlavirus petasitis")</f>
        <v>Carlavirus petasitis</v>
      </c>
      <c r="S8370" s="18" t="s">
        <v>30</v>
      </c>
      <c r="T8370" s="18" t="s">
        <v>19300</v>
      </c>
      <c r="U8370" s="18" t="s">
        <v>19301</v>
      </c>
      <c r="V8370" s="18" t="s">
        <v>18911</v>
      </c>
      <c r="W8370" s="18" t="s">
        <v>19302</v>
      </c>
      <c r="X8370" s="18" t="s">
        <v>42</v>
      </c>
      <c r="Y8370" s="18" t="s">
        <v>17171</v>
      </c>
      <c r="Z8370" s="18" t="s">
        <v>13441</v>
      </c>
      <c r="AA8370" s="21" t="str">
        <f>HYPERLINK("https://www.ncbi.nlm.nih.gov/nuccore/AB517596","NCBI Nucleotide")</f>
        <v>NCBI Nucleotide</v>
      </c>
    </row>
    <row r="8371" spans="1:27" x14ac:dyDescent="0.35">
      <c r="A8371">
        <v>1008898</v>
      </c>
      <c r="B8371">
        <v>7767</v>
      </c>
      <c r="C8371">
        <v>1</v>
      </c>
      <c r="D8371" s="17" t="s">
        <v>17166</v>
      </c>
      <c r="E8371" s="17"/>
      <c r="F8371" s="17" t="s">
        <v>17246</v>
      </c>
      <c r="G8371" s="17"/>
      <c r="H8371" s="17" t="s">
        <v>17984</v>
      </c>
      <c r="I8371" s="17"/>
      <c r="J8371" s="17" t="s">
        <v>17985</v>
      </c>
      <c r="K8371" s="17"/>
      <c r="L8371" s="17" t="s">
        <v>19025</v>
      </c>
      <c r="M8371" s="17"/>
      <c r="N8371" s="17" t="s">
        <v>19268</v>
      </c>
      <c r="O8371" s="17" t="s">
        <v>19269</v>
      </c>
      <c r="P8371" s="17" t="s">
        <v>19283</v>
      </c>
      <c r="Q8371" s="17"/>
      <c r="R8371" s="25" t="str">
        <f>HYPERLINK("https://ictv.global/taxonomy/taxondetails?taxnode_id=202302265","Carlavirus pisi")</f>
        <v>Carlavirus pisi</v>
      </c>
      <c r="S8371" s="18" t="s">
        <v>30</v>
      </c>
      <c r="T8371" s="18" t="s">
        <v>19446</v>
      </c>
      <c r="U8371" s="18" t="s">
        <v>19447</v>
      </c>
      <c r="V8371" s="18" t="s">
        <v>19448</v>
      </c>
      <c r="W8371" s="18" t="s">
        <v>19449</v>
      </c>
      <c r="X8371" s="18" t="s">
        <v>42</v>
      </c>
      <c r="Y8371" s="18" t="s">
        <v>17171</v>
      </c>
      <c r="Z8371" s="18" t="s">
        <v>13441</v>
      </c>
      <c r="AA8371" s="21" t="str">
        <f>HYPERLINK("https://www.ncbi.nlm.nih.gov/nuccore/KP784454","NCBI Nucleotide")</f>
        <v>NCBI Nucleotide</v>
      </c>
    </row>
    <row r="8372" spans="1:27" x14ac:dyDescent="0.35">
      <c r="A8372">
        <v>1008906</v>
      </c>
      <c r="B8372">
        <v>7768</v>
      </c>
      <c r="C8372">
        <v>1</v>
      </c>
      <c r="D8372" s="17" t="s">
        <v>17166</v>
      </c>
      <c r="E8372" s="17"/>
      <c r="F8372" s="17" t="s">
        <v>17246</v>
      </c>
      <c r="G8372" s="17"/>
      <c r="H8372" s="17" t="s">
        <v>17984</v>
      </c>
      <c r="I8372" s="17"/>
      <c r="J8372" s="17" t="s">
        <v>17985</v>
      </c>
      <c r="K8372" s="17"/>
      <c r="L8372" s="17" t="s">
        <v>19025</v>
      </c>
      <c r="M8372" s="17"/>
      <c r="N8372" s="17" t="s">
        <v>19268</v>
      </c>
      <c r="O8372" s="17" t="s">
        <v>19269</v>
      </c>
      <c r="P8372" s="17" t="s">
        <v>19283</v>
      </c>
      <c r="Q8372" s="17"/>
      <c r="R8372" s="25" t="str">
        <f>HYPERLINK("https://ictv.global/taxonomy/taxondetails?taxnode_id=202302273","Carlavirus pisolani")</f>
        <v>Carlavirus pisolani</v>
      </c>
      <c r="S8372" s="18" t="s">
        <v>30</v>
      </c>
      <c r="T8372" s="18" t="s">
        <v>19477</v>
      </c>
      <c r="U8372" s="18" t="s">
        <v>19478</v>
      </c>
      <c r="V8372" s="18" t="s">
        <v>19479</v>
      </c>
      <c r="W8372" s="18" t="s">
        <v>19480</v>
      </c>
      <c r="X8372" s="18" t="s">
        <v>42</v>
      </c>
      <c r="Y8372" s="18" t="s">
        <v>17171</v>
      </c>
      <c r="Z8372" s="18" t="s">
        <v>13441</v>
      </c>
      <c r="AA8372" s="21" t="str">
        <f>HYPERLINK("https://www.ncbi.nlm.nih.gov/nuccore/EU020009","NCBI Nucleotide")</f>
        <v>NCBI Nucleotide</v>
      </c>
    </row>
    <row r="8373" spans="1:27" x14ac:dyDescent="0.35">
      <c r="A8373">
        <v>1008902</v>
      </c>
      <c r="B8373">
        <v>7769</v>
      </c>
      <c r="C8373">
        <v>1</v>
      </c>
      <c r="D8373" s="17" t="s">
        <v>17166</v>
      </c>
      <c r="E8373" s="17"/>
      <c r="F8373" s="17" t="s">
        <v>17246</v>
      </c>
      <c r="G8373" s="17"/>
      <c r="H8373" s="17" t="s">
        <v>17984</v>
      </c>
      <c r="I8373" s="17"/>
      <c r="J8373" s="17" t="s">
        <v>17985</v>
      </c>
      <c r="K8373" s="17"/>
      <c r="L8373" s="17" t="s">
        <v>19025</v>
      </c>
      <c r="M8373" s="17"/>
      <c r="N8373" s="17" t="s">
        <v>19268</v>
      </c>
      <c r="O8373" s="17" t="s">
        <v>19269</v>
      </c>
      <c r="P8373" s="17" t="s">
        <v>19283</v>
      </c>
      <c r="Q8373" s="17"/>
      <c r="R8373" s="25" t="str">
        <f>HYPERLINK("https://ictv.global/taxonomy/taxondetails?taxnode_id=202302269","Carlavirus populi")</f>
        <v>Carlavirus populi</v>
      </c>
      <c r="S8373" s="18" t="s">
        <v>30</v>
      </c>
      <c r="T8373" s="18" t="s">
        <v>19462</v>
      </c>
      <c r="U8373" s="18" t="s">
        <v>19463</v>
      </c>
      <c r="V8373" s="18" t="s">
        <v>19464</v>
      </c>
      <c r="W8373" s="18" t="s">
        <v>19465</v>
      </c>
      <c r="X8373" s="18" t="s">
        <v>42</v>
      </c>
      <c r="Y8373" s="18" t="s">
        <v>17171</v>
      </c>
      <c r="Z8373" s="18" t="s">
        <v>13441</v>
      </c>
      <c r="AA8373" s="21" t="str">
        <f>HYPERLINK("https://www.ncbi.nlm.nih.gov/nuccore/AY505475","NCBI Nucleotide")</f>
        <v>NCBI Nucleotide</v>
      </c>
    </row>
    <row r="8374" spans="1:27" x14ac:dyDescent="0.35">
      <c r="A8374">
        <v>1008865</v>
      </c>
      <c r="B8374">
        <v>7770</v>
      </c>
      <c r="C8374">
        <v>1</v>
      </c>
      <c r="D8374" s="17" t="s">
        <v>17166</v>
      </c>
      <c r="E8374" s="17"/>
      <c r="F8374" s="17" t="s">
        <v>17246</v>
      </c>
      <c r="G8374" s="17"/>
      <c r="H8374" s="17" t="s">
        <v>17984</v>
      </c>
      <c r="I8374" s="17"/>
      <c r="J8374" s="17" t="s">
        <v>17985</v>
      </c>
      <c r="K8374" s="17"/>
      <c r="L8374" s="17" t="s">
        <v>19025</v>
      </c>
      <c r="M8374" s="17"/>
      <c r="N8374" s="17" t="s">
        <v>19268</v>
      </c>
      <c r="O8374" s="17" t="s">
        <v>19269</v>
      </c>
      <c r="P8374" s="17" t="s">
        <v>19283</v>
      </c>
      <c r="Q8374" s="17"/>
      <c r="R8374" s="25" t="str">
        <f>HYPERLINK("https://ictv.global/taxonomy/taxondetails?taxnode_id=202313843","Carlavirus rhochrysanthemi")</f>
        <v>Carlavirus rhochrysanthemi</v>
      </c>
      <c r="S8374" s="18" t="s">
        <v>30</v>
      </c>
      <c r="T8374" s="18" t="s">
        <v>19330</v>
      </c>
      <c r="U8374" s="18" t="s">
        <v>19331</v>
      </c>
      <c r="V8374" s="18" t="s">
        <v>18492</v>
      </c>
      <c r="W8374" s="18" t="s">
        <v>19332</v>
      </c>
      <c r="X8374" s="18" t="s">
        <v>42</v>
      </c>
      <c r="Y8374" s="18" t="s">
        <v>17171</v>
      </c>
      <c r="Z8374" s="18" t="s">
        <v>13441</v>
      </c>
      <c r="AA8374" s="21" t="str">
        <f>HYPERLINK("https://www.ncbi.nlm.nih.gov/nuccore/MG432107","NCBI Nucleotide")</f>
        <v>NCBI Nucleotide</v>
      </c>
    </row>
    <row r="8375" spans="1:27" x14ac:dyDescent="0.35">
      <c r="A8375">
        <v>1008879</v>
      </c>
      <c r="B8375">
        <v>7771</v>
      </c>
      <c r="C8375">
        <v>1</v>
      </c>
      <c r="D8375" s="17" t="s">
        <v>17166</v>
      </c>
      <c r="E8375" s="17"/>
      <c r="F8375" s="17" t="s">
        <v>17246</v>
      </c>
      <c r="G8375" s="17"/>
      <c r="H8375" s="17" t="s">
        <v>17984</v>
      </c>
      <c r="I8375" s="17"/>
      <c r="J8375" s="17" t="s">
        <v>17985</v>
      </c>
      <c r="K8375" s="17"/>
      <c r="L8375" s="17" t="s">
        <v>19025</v>
      </c>
      <c r="M8375" s="17"/>
      <c r="N8375" s="17" t="s">
        <v>19268</v>
      </c>
      <c r="O8375" s="17" t="s">
        <v>19269</v>
      </c>
      <c r="P8375" s="17" t="s">
        <v>19283</v>
      </c>
      <c r="Q8375" s="17"/>
      <c r="R8375" s="25" t="str">
        <f>HYPERLINK("https://ictv.global/taxonomy/taxondetails?taxnode_id=202302247","Carlavirus sigmadaphnis")</f>
        <v>Carlavirus sigmadaphnis</v>
      </c>
      <c r="S8375" s="18" t="s">
        <v>30</v>
      </c>
      <c r="T8375" s="18" t="s">
        <v>19381</v>
      </c>
      <c r="U8375" s="18" t="s">
        <v>19382</v>
      </c>
      <c r="V8375" s="18" t="s">
        <v>19010</v>
      </c>
      <c r="W8375" s="18" t="s">
        <v>19383</v>
      </c>
      <c r="X8375" s="18" t="s">
        <v>42</v>
      </c>
      <c r="Y8375" s="18" t="s">
        <v>17171</v>
      </c>
      <c r="Z8375" s="18" t="s">
        <v>13441</v>
      </c>
      <c r="AA8375" s="21" t="str">
        <f>HYPERLINK("https://www.ncbi.nlm.nih.gov/nuccore/AJ620300","NCBI Nucleotide")</f>
        <v>NCBI Nucleotide</v>
      </c>
    </row>
    <row r="8376" spans="1:27" x14ac:dyDescent="0.35">
      <c r="A8376">
        <v>1008882</v>
      </c>
      <c r="B8376">
        <v>7772</v>
      </c>
      <c r="C8376">
        <v>1</v>
      </c>
      <c r="D8376" s="17" t="s">
        <v>17166</v>
      </c>
      <c r="E8376" s="17"/>
      <c r="F8376" s="17" t="s">
        <v>17246</v>
      </c>
      <c r="G8376" s="17"/>
      <c r="H8376" s="17" t="s">
        <v>17984</v>
      </c>
      <c r="I8376" s="17"/>
      <c r="J8376" s="17" t="s">
        <v>17985</v>
      </c>
      <c r="K8376" s="17"/>
      <c r="L8376" s="17" t="s">
        <v>19025</v>
      </c>
      <c r="M8376" s="17"/>
      <c r="N8376" s="17" t="s">
        <v>19268</v>
      </c>
      <c r="O8376" s="17" t="s">
        <v>19269</v>
      </c>
      <c r="P8376" s="17" t="s">
        <v>19283</v>
      </c>
      <c r="Q8376" s="17"/>
      <c r="R8376" s="25" t="str">
        <f>HYPERLINK("https://ictv.global/taxonomy/taxondetails?taxnode_id=202302250","Carlavirus sigmahelenii")</f>
        <v>Carlavirus sigmahelenii</v>
      </c>
      <c r="S8376" s="18" t="s">
        <v>30</v>
      </c>
      <c r="T8376" s="18" t="s">
        <v>19391</v>
      </c>
      <c r="U8376" s="18" t="s">
        <v>19392</v>
      </c>
      <c r="V8376" s="18"/>
      <c r="W8376" s="18" t="s">
        <v>19393</v>
      </c>
      <c r="X8376" s="18" t="s">
        <v>154</v>
      </c>
      <c r="Y8376" s="18" t="s">
        <v>17171</v>
      </c>
      <c r="Z8376" s="18" t="s">
        <v>13441</v>
      </c>
      <c r="AA8376" s="21" t="str">
        <f>HYPERLINK("https://www.ncbi.nlm.nih.gov/nuccore/D10454","NCBI Nucleotide")</f>
        <v>NCBI Nucleotide</v>
      </c>
    </row>
    <row r="8377" spans="1:27" x14ac:dyDescent="0.35">
      <c r="A8377">
        <v>1008901</v>
      </c>
      <c r="B8377">
        <v>7773</v>
      </c>
      <c r="C8377">
        <v>1</v>
      </c>
      <c r="D8377" s="17" t="s">
        <v>17166</v>
      </c>
      <c r="E8377" s="17"/>
      <c r="F8377" s="17" t="s">
        <v>17246</v>
      </c>
      <c r="G8377" s="17"/>
      <c r="H8377" s="17" t="s">
        <v>17984</v>
      </c>
      <c r="I8377" s="17"/>
      <c r="J8377" s="17" t="s">
        <v>17985</v>
      </c>
      <c r="K8377" s="17"/>
      <c r="L8377" s="17" t="s">
        <v>19025</v>
      </c>
      <c r="M8377" s="17"/>
      <c r="N8377" s="17" t="s">
        <v>19268</v>
      </c>
      <c r="O8377" s="17" t="s">
        <v>19269</v>
      </c>
      <c r="P8377" s="17" t="s">
        <v>19283</v>
      </c>
      <c r="Q8377" s="17"/>
      <c r="R8377" s="25" t="str">
        <f>HYPERLINK("https://ictv.global/taxonomy/taxondetails?taxnode_id=202302268","Carlavirus sigmaphlocis")</f>
        <v>Carlavirus sigmaphlocis</v>
      </c>
      <c r="S8377" s="18" t="s">
        <v>30</v>
      </c>
      <c r="T8377" s="18" t="s">
        <v>19458</v>
      </c>
      <c r="U8377" s="18" t="s">
        <v>19459</v>
      </c>
      <c r="V8377" s="18" t="s">
        <v>19460</v>
      </c>
      <c r="W8377" s="18" t="s">
        <v>19461</v>
      </c>
      <c r="X8377" s="18" t="s">
        <v>42</v>
      </c>
      <c r="Y8377" s="18" t="s">
        <v>17171</v>
      </c>
      <c r="Z8377" s="18" t="s">
        <v>13441</v>
      </c>
      <c r="AA8377" s="21" t="str">
        <f>HYPERLINK("https://www.ncbi.nlm.nih.gov/nuccore/EF492068","NCBI Nucleotide")</f>
        <v>NCBI Nucleotide</v>
      </c>
    </row>
    <row r="8378" spans="1:27" x14ac:dyDescent="0.35">
      <c r="A8378">
        <v>1008872</v>
      </c>
      <c r="B8378">
        <v>7774</v>
      </c>
      <c r="C8378">
        <v>1</v>
      </c>
      <c r="D8378" s="17" t="s">
        <v>17166</v>
      </c>
      <c r="E8378" s="17"/>
      <c r="F8378" s="17" t="s">
        <v>17246</v>
      </c>
      <c r="G8378" s="17"/>
      <c r="H8378" s="17" t="s">
        <v>17984</v>
      </c>
      <c r="I8378" s="17"/>
      <c r="J8378" s="17" t="s">
        <v>17985</v>
      </c>
      <c r="K8378" s="17"/>
      <c r="L8378" s="17" t="s">
        <v>19025</v>
      </c>
      <c r="M8378" s="17"/>
      <c r="N8378" s="17" t="s">
        <v>19268</v>
      </c>
      <c r="O8378" s="17" t="s">
        <v>19269</v>
      </c>
      <c r="P8378" s="17" t="s">
        <v>19283</v>
      </c>
      <c r="Q8378" s="17"/>
      <c r="R8378" s="25" t="str">
        <f>HYPERLINK("https://ictv.global/taxonomy/taxondetails?taxnode_id=202313849","Carlavirus sigmascalonici")</f>
        <v>Carlavirus sigmascalonici</v>
      </c>
      <c r="S8378" s="18" t="s">
        <v>30</v>
      </c>
      <c r="T8378" s="18" t="s">
        <v>19356</v>
      </c>
      <c r="U8378" s="18" t="s">
        <v>19357</v>
      </c>
      <c r="V8378" s="18" t="s">
        <v>19358</v>
      </c>
      <c r="W8378" s="18" t="s">
        <v>19359</v>
      </c>
      <c r="X8378" s="18" t="s">
        <v>42</v>
      </c>
      <c r="Y8378" s="18" t="s">
        <v>17171</v>
      </c>
      <c r="Z8378" s="18" t="s">
        <v>13441</v>
      </c>
      <c r="AA8378" s="21" t="str">
        <f>HYPERLINK("https://www.ncbi.nlm.nih.gov/nuccore/MH292861","NCBI Nucleotide")</f>
        <v>NCBI Nucleotide</v>
      </c>
    </row>
    <row r="8379" spans="1:27" x14ac:dyDescent="0.35">
      <c r="A8379">
        <v>1008907</v>
      </c>
      <c r="B8379">
        <v>7775</v>
      </c>
      <c r="C8379">
        <v>1</v>
      </c>
      <c r="D8379" s="17" t="s">
        <v>17166</v>
      </c>
      <c r="E8379" s="17"/>
      <c r="F8379" s="17" t="s">
        <v>17246</v>
      </c>
      <c r="G8379" s="17"/>
      <c r="H8379" s="17" t="s">
        <v>17984</v>
      </c>
      <c r="I8379" s="17"/>
      <c r="J8379" s="17" t="s">
        <v>17985</v>
      </c>
      <c r="K8379" s="17"/>
      <c r="L8379" s="17" t="s">
        <v>19025</v>
      </c>
      <c r="M8379" s="17"/>
      <c r="N8379" s="17" t="s">
        <v>19268</v>
      </c>
      <c r="O8379" s="17" t="s">
        <v>19269</v>
      </c>
      <c r="P8379" s="17" t="s">
        <v>19283</v>
      </c>
      <c r="Q8379" s="17"/>
      <c r="R8379" s="25" t="str">
        <f>HYPERLINK("https://ictv.global/taxonomy/taxondetails?taxnode_id=202302274","Carlavirus sigmasolani")</f>
        <v>Carlavirus sigmasolani</v>
      </c>
      <c r="S8379" s="18" t="s">
        <v>30</v>
      </c>
      <c r="T8379" s="18" t="s">
        <v>19481</v>
      </c>
      <c r="U8379" s="18" t="s">
        <v>19482</v>
      </c>
      <c r="V8379" s="18" t="s">
        <v>19483</v>
      </c>
      <c r="W8379" s="18" t="s">
        <v>19484</v>
      </c>
      <c r="X8379" s="18" t="s">
        <v>42</v>
      </c>
      <c r="Y8379" s="18" t="s">
        <v>17171</v>
      </c>
      <c r="Z8379" s="18" t="s">
        <v>13441</v>
      </c>
      <c r="AA8379" s="21" t="str">
        <f>HYPERLINK("https://www.ncbi.nlm.nih.gov/nuccore/AJ863509","NCBI Nucleotide")</f>
        <v>NCBI Nucleotide</v>
      </c>
    </row>
    <row r="8380" spans="1:27" x14ac:dyDescent="0.35">
      <c r="A8380">
        <v>1026007</v>
      </c>
      <c r="B8380">
        <v>7776</v>
      </c>
      <c r="C8380">
        <v>1</v>
      </c>
      <c r="D8380" s="17" t="s">
        <v>17166</v>
      </c>
      <c r="E8380" s="17"/>
      <c r="F8380" s="17" t="s">
        <v>17246</v>
      </c>
      <c r="G8380" s="17"/>
      <c r="H8380" s="17" t="s">
        <v>17984</v>
      </c>
      <c r="I8380" s="17"/>
      <c r="J8380" s="17" t="s">
        <v>17985</v>
      </c>
      <c r="K8380" s="17"/>
      <c r="L8380" s="17" t="s">
        <v>19025</v>
      </c>
      <c r="M8380" s="17"/>
      <c r="N8380" s="17" t="s">
        <v>19268</v>
      </c>
      <c r="O8380" s="17" t="s">
        <v>19269</v>
      </c>
      <c r="P8380" s="17" t="s">
        <v>19283</v>
      </c>
      <c r="Q8380" s="17"/>
      <c r="R8380" s="25" t="str">
        <f>HYPERLINK("https://ictv.global/taxonomy/taxondetails?taxnode_id=202319030","Carlavirus sigmavaccinii")</f>
        <v>Carlavirus sigmavaccinii</v>
      </c>
      <c r="S8380" s="18" t="s">
        <v>30</v>
      </c>
      <c r="T8380" s="18" t="s">
        <v>42427</v>
      </c>
      <c r="U8380" s="18" t="s">
        <v>19878</v>
      </c>
      <c r="V8380" s="18" t="s">
        <v>42428</v>
      </c>
      <c r="W8380" s="18" t="s">
        <v>48624</v>
      </c>
      <c r="X8380" s="18" t="s">
        <v>42</v>
      </c>
      <c r="Y8380" s="18" t="s">
        <v>17171</v>
      </c>
      <c r="Z8380" s="18" t="s">
        <v>13441</v>
      </c>
      <c r="AA8380" s="21" t="str">
        <f>HYPERLINK("https://www.ncbi.nlm.nih.gov/nuccore/ON595755","NCBI Nucleotide")</f>
        <v>NCBI Nucleotide</v>
      </c>
    </row>
    <row r="8381" spans="1:27" x14ac:dyDescent="0.35">
      <c r="A8381">
        <v>1008908</v>
      </c>
      <c r="B8381">
        <v>7777</v>
      </c>
      <c r="C8381">
        <v>1</v>
      </c>
      <c r="D8381" s="17" t="s">
        <v>17166</v>
      </c>
      <c r="E8381" s="17"/>
      <c r="F8381" s="17" t="s">
        <v>17246</v>
      </c>
      <c r="G8381" s="17"/>
      <c r="H8381" s="17" t="s">
        <v>17984</v>
      </c>
      <c r="I8381" s="17"/>
      <c r="J8381" s="17" t="s">
        <v>17985</v>
      </c>
      <c r="K8381" s="17"/>
      <c r="L8381" s="17" t="s">
        <v>19025</v>
      </c>
      <c r="M8381" s="17"/>
      <c r="N8381" s="17" t="s">
        <v>19268</v>
      </c>
      <c r="O8381" s="17" t="s">
        <v>19269</v>
      </c>
      <c r="P8381" s="17" t="s">
        <v>19283</v>
      </c>
      <c r="Q8381" s="17"/>
      <c r="R8381" s="25" t="str">
        <f>HYPERLINK("https://ictv.global/taxonomy/taxondetails?taxnode_id=202302275","Carlavirus trifolii")</f>
        <v>Carlavirus trifolii</v>
      </c>
      <c r="S8381" s="18" t="s">
        <v>30</v>
      </c>
      <c r="T8381" s="18" t="s">
        <v>19485</v>
      </c>
      <c r="U8381" s="18" t="s">
        <v>19486</v>
      </c>
      <c r="V8381" s="18" t="s">
        <v>19487</v>
      </c>
      <c r="W8381" s="18" t="s">
        <v>19488</v>
      </c>
      <c r="X8381" s="18" t="s">
        <v>42</v>
      </c>
      <c r="Y8381" s="18" t="s">
        <v>17171</v>
      </c>
      <c r="Z8381" s="18" t="s">
        <v>13441</v>
      </c>
      <c r="AA8381" s="21" t="str">
        <f>HYPERLINK("https://www.ncbi.nlm.nih.gov/nuccore/FJ685618","NCBI Nucleotide")</f>
        <v>NCBI Nucleotide</v>
      </c>
    </row>
    <row r="8382" spans="1:27" x14ac:dyDescent="0.35">
      <c r="A8382">
        <v>1026008</v>
      </c>
      <c r="B8382">
        <v>7778</v>
      </c>
      <c r="C8382">
        <v>1</v>
      </c>
      <c r="D8382" s="17" t="s">
        <v>17166</v>
      </c>
      <c r="E8382" s="17"/>
      <c r="F8382" s="17" t="s">
        <v>17246</v>
      </c>
      <c r="G8382" s="17"/>
      <c r="H8382" s="17" t="s">
        <v>17984</v>
      </c>
      <c r="I8382" s="17"/>
      <c r="J8382" s="17" t="s">
        <v>17985</v>
      </c>
      <c r="K8382" s="17"/>
      <c r="L8382" s="17" t="s">
        <v>19025</v>
      </c>
      <c r="M8382" s="17"/>
      <c r="N8382" s="17" t="s">
        <v>19268</v>
      </c>
      <c r="O8382" s="17" t="s">
        <v>19269</v>
      </c>
      <c r="P8382" s="17" t="s">
        <v>19283</v>
      </c>
      <c r="Q8382" s="17"/>
      <c r="R8382" s="25" t="str">
        <f>HYPERLINK("https://ictv.global/taxonomy/taxondetails?taxnode_id=202319035","Carlavirus tripseudostellariae")</f>
        <v>Carlavirus tripseudostellariae</v>
      </c>
      <c r="S8382" s="18" t="s">
        <v>30</v>
      </c>
      <c r="T8382" s="18" t="s">
        <v>42429</v>
      </c>
      <c r="U8382" s="18" t="s">
        <v>42430</v>
      </c>
      <c r="V8382" s="18" t="s">
        <v>42420</v>
      </c>
      <c r="W8382" s="18" t="s">
        <v>48625</v>
      </c>
      <c r="X8382" s="18" t="s">
        <v>42</v>
      </c>
      <c r="Y8382" s="18" t="s">
        <v>17171</v>
      </c>
      <c r="Z8382" s="18" t="s">
        <v>13441</v>
      </c>
      <c r="AA8382" s="21" t="str">
        <f>HYPERLINK("https://www.ncbi.nlm.nih.gov/nuccore/ON241321","NCBI Nucleotide")</f>
        <v>NCBI Nucleotide</v>
      </c>
    </row>
    <row r="8383" spans="1:27" x14ac:dyDescent="0.35">
      <c r="A8383">
        <v>1008862</v>
      </c>
      <c r="B8383">
        <v>7779</v>
      </c>
      <c r="C8383">
        <v>1</v>
      </c>
      <c r="D8383" s="17" t="s">
        <v>17166</v>
      </c>
      <c r="E8383" s="17"/>
      <c r="F8383" s="17" t="s">
        <v>17246</v>
      </c>
      <c r="G8383" s="17"/>
      <c r="H8383" s="17" t="s">
        <v>17984</v>
      </c>
      <c r="I8383" s="17"/>
      <c r="J8383" s="17" t="s">
        <v>17985</v>
      </c>
      <c r="K8383" s="17"/>
      <c r="L8383" s="17" t="s">
        <v>19025</v>
      </c>
      <c r="M8383" s="17"/>
      <c r="N8383" s="17" t="s">
        <v>19268</v>
      </c>
      <c r="O8383" s="17" t="s">
        <v>19269</v>
      </c>
      <c r="P8383" s="17" t="s">
        <v>19283</v>
      </c>
      <c r="Q8383" s="17"/>
      <c r="R8383" s="25" t="str">
        <f>HYPERLINK("https://ictv.global/taxonomy/taxondetails?taxnode_id=202315081","Carlavirus unicacti")</f>
        <v>Carlavirus unicacti</v>
      </c>
      <c r="S8383" s="18" t="s">
        <v>30</v>
      </c>
      <c r="T8383" s="18" t="s">
        <v>19319</v>
      </c>
      <c r="U8383" s="18" t="s">
        <v>19320</v>
      </c>
      <c r="V8383" s="18" t="s">
        <v>19321</v>
      </c>
      <c r="W8383" s="18" t="s">
        <v>19322</v>
      </c>
      <c r="X8383" s="18" t="s">
        <v>42</v>
      </c>
      <c r="Y8383" s="18" t="s">
        <v>17171</v>
      </c>
      <c r="Z8383" s="18" t="s">
        <v>13441</v>
      </c>
      <c r="AA8383" s="21" t="str">
        <f>HYPERLINK("https://www.ncbi.nlm.nih.gov/nuccore/MK415316","NCBI Nucleotide")</f>
        <v>NCBI Nucleotide</v>
      </c>
    </row>
    <row r="8384" spans="1:27" x14ac:dyDescent="0.35">
      <c r="A8384">
        <v>1008871</v>
      </c>
      <c r="B8384">
        <v>7780</v>
      </c>
      <c r="C8384">
        <v>1</v>
      </c>
      <c r="D8384" s="17" t="s">
        <v>17166</v>
      </c>
      <c r="E8384" s="17"/>
      <c r="F8384" s="17" t="s">
        <v>17246</v>
      </c>
      <c r="G8384" s="17"/>
      <c r="H8384" s="17" t="s">
        <v>17984</v>
      </c>
      <c r="I8384" s="17"/>
      <c r="J8384" s="17" t="s">
        <v>17985</v>
      </c>
      <c r="K8384" s="17"/>
      <c r="L8384" s="17" t="s">
        <v>19025</v>
      </c>
      <c r="M8384" s="17"/>
      <c r="N8384" s="17" t="s">
        <v>19268</v>
      </c>
      <c r="O8384" s="17" t="s">
        <v>19269</v>
      </c>
      <c r="P8384" s="17" t="s">
        <v>19283</v>
      </c>
      <c r="Q8384" s="17"/>
      <c r="R8384" s="25" t="str">
        <f>HYPERLINK("https://ictv.global/taxonomy/taxondetails?taxnode_id=202313848","Carlavirus uniglycinis")</f>
        <v>Carlavirus uniglycinis</v>
      </c>
      <c r="S8384" s="18" t="s">
        <v>30</v>
      </c>
      <c r="T8384" s="18" t="s">
        <v>19352</v>
      </c>
      <c r="U8384" s="18" t="s">
        <v>19353</v>
      </c>
      <c r="V8384" s="18" t="s">
        <v>19354</v>
      </c>
      <c r="W8384" s="18" t="s">
        <v>19355</v>
      </c>
      <c r="X8384" s="18" t="s">
        <v>42</v>
      </c>
      <c r="Y8384" s="18" t="s">
        <v>17171</v>
      </c>
      <c r="Z8384" s="18" t="s">
        <v>13441</v>
      </c>
      <c r="AA8384" s="21" t="str">
        <f>HYPERLINK("https://www.ncbi.nlm.nih.gov/nuccore/MW176107","NCBI Nucleotide")</f>
        <v>NCBI Nucleotide</v>
      </c>
    </row>
    <row r="8385" spans="1:27" x14ac:dyDescent="0.35">
      <c r="A8385">
        <v>1026009</v>
      </c>
      <c r="B8385">
        <v>7781</v>
      </c>
      <c r="C8385">
        <v>1</v>
      </c>
      <c r="D8385" s="17" t="s">
        <v>17166</v>
      </c>
      <c r="E8385" s="17"/>
      <c r="F8385" s="17" t="s">
        <v>17246</v>
      </c>
      <c r="G8385" s="17"/>
      <c r="H8385" s="17" t="s">
        <v>17984</v>
      </c>
      <c r="I8385" s="17"/>
      <c r="J8385" s="17" t="s">
        <v>17985</v>
      </c>
      <c r="K8385" s="17"/>
      <c r="L8385" s="17" t="s">
        <v>19025</v>
      </c>
      <c r="M8385" s="17"/>
      <c r="N8385" s="17" t="s">
        <v>19268</v>
      </c>
      <c r="O8385" s="17" t="s">
        <v>19269</v>
      </c>
      <c r="P8385" s="17" t="s">
        <v>19283</v>
      </c>
      <c r="Q8385" s="17"/>
      <c r="R8385" s="25" t="str">
        <f>HYPERLINK("https://ictv.global/taxonomy/taxondetails?taxnode_id=202319033","Carlavirus unipseudostellariae")</f>
        <v>Carlavirus unipseudostellariae</v>
      </c>
      <c r="S8385" s="18" t="s">
        <v>30</v>
      </c>
      <c r="T8385" s="18" t="s">
        <v>42431</v>
      </c>
      <c r="U8385" s="18" t="s">
        <v>42432</v>
      </c>
      <c r="V8385" s="18" t="s">
        <v>42420</v>
      </c>
      <c r="W8385" s="18" t="s">
        <v>48626</v>
      </c>
      <c r="X8385" s="18" t="s">
        <v>42</v>
      </c>
      <c r="Y8385" s="18" t="s">
        <v>17171</v>
      </c>
      <c r="Z8385" s="18" t="s">
        <v>13441</v>
      </c>
      <c r="AA8385" s="21" t="str">
        <f>HYPERLINK("https://www.ncbi.nlm.nih.gov/nuccore/ON241319","NCBI Nucleotide")</f>
        <v>NCBI Nucleotide</v>
      </c>
    </row>
    <row r="8386" spans="1:27" x14ac:dyDescent="0.35">
      <c r="A8386">
        <v>1026010</v>
      </c>
      <c r="B8386">
        <v>7782</v>
      </c>
      <c r="C8386">
        <v>1</v>
      </c>
      <c r="D8386" s="17" t="s">
        <v>17166</v>
      </c>
      <c r="E8386" s="17"/>
      <c r="F8386" s="17" t="s">
        <v>17246</v>
      </c>
      <c r="G8386" s="17"/>
      <c r="H8386" s="17" t="s">
        <v>17984</v>
      </c>
      <c r="I8386" s="17"/>
      <c r="J8386" s="17" t="s">
        <v>17985</v>
      </c>
      <c r="K8386" s="17"/>
      <c r="L8386" s="17" t="s">
        <v>19025</v>
      </c>
      <c r="M8386" s="17"/>
      <c r="N8386" s="17" t="s">
        <v>19268</v>
      </c>
      <c r="O8386" s="17" t="s">
        <v>19269</v>
      </c>
      <c r="P8386" s="17" t="s">
        <v>19283</v>
      </c>
      <c r="Q8386" s="17"/>
      <c r="R8386" s="25" t="str">
        <f>HYPERLINK("https://ictv.global/taxonomy/taxondetails?taxnode_id=202319036","Carlavirus unisteviae")</f>
        <v>Carlavirus unisteviae</v>
      </c>
      <c r="S8386" s="18" t="s">
        <v>30</v>
      </c>
      <c r="T8386" s="18" t="s">
        <v>42433</v>
      </c>
      <c r="U8386" s="18" t="s">
        <v>42434</v>
      </c>
      <c r="V8386" s="18" t="s">
        <v>42420</v>
      </c>
      <c r="W8386" s="18" t="s">
        <v>48627</v>
      </c>
      <c r="X8386" s="18" t="s">
        <v>42</v>
      </c>
      <c r="Y8386" s="18" t="s">
        <v>17171</v>
      </c>
      <c r="Z8386" s="18" t="s">
        <v>13441</v>
      </c>
      <c r="AA8386" s="21" t="str">
        <f>HYPERLINK("https://www.ncbi.nlm.nih.gov/nuccore/ON241323","NCBI Nucleotide")</f>
        <v>NCBI Nucleotide</v>
      </c>
    </row>
    <row r="8387" spans="1:27" x14ac:dyDescent="0.35">
      <c r="A8387">
        <v>1008855</v>
      </c>
      <c r="B8387">
        <v>7783</v>
      </c>
      <c r="C8387">
        <v>1</v>
      </c>
      <c r="D8387" s="17" t="s">
        <v>17166</v>
      </c>
      <c r="E8387" s="17"/>
      <c r="F8387" s="17" t="s">
        <v>17246</v>
      </c>
      <c r="G8387" s="17"/>
      <c r="H8387" s="17" t="s">
        <v>17984</v>
      </c>
      <c r="I8387" s="17"/>
      <c r="J8387" s="17" t="s">
        <v>17985</v>
      </c>
      <c r="K8387" s="17"/>
      <c r="L8387" s="17" t="s">
        <v>19025</v>
      </c>
      <c r="M8387" s="17"/>
      <c r="N8387" s="17" t="s">
        <v>19268</v>
      </c>
      <c r="O8387" s="17" t="s">
        <v>19269</v>
      </c>
      <c r="P8387" s="17" t="s">
        <v>19283</v>
      </c>
      <c r="Q8387" s="17"/>
      <c r="R8387" s="25" t="str">
        <f>HYPERLINK("https://ictv.global/taxonomy/taxondetails?taxnode_id=202302237","Carlavirus vaccinii")</f>
        <v>Carlavirus vaccinii</v>
      </c>
      <c r="S8387" s="18" t="s">
        <v>30</v>
      </c>
      <c r="T8387" s="18" t="s">
        <v>19296</v>
      </c>
      <c r="U8387" s="18" t="s">
        <v>19297</v>
      </c>
      <c r="V8387" s="18" t="s">
        <v>19298</v>
      </c>
      <c r="W8387" s="18" t="s">
        <v>19299</v>
      </c>
      <c r="X8387" s="18" t="s">
        <v>42</v>
      </c>
      <c r="Y8387" s="18" t="s">
        <v>17171</v>
      </c>
      <c r="Z8387" s="18" t="s">
        <v>13441</v>
      </c>
      <c r="AA8387" s="21" t="str">
        <f>HYPERLINK("https://www.ncbi.nlm.nih.gov/nuccore/L25658","NCBI Nucleotide")</f>
        <v>NCBI Nucleotide</v>
      </c>
    </row>
    <row r="8388" spans="1:27" x14ac:dyDescent="0.35">
      <c r="A8388">
        <v>1008877</v>
      </c>
      <c r="B8388">
        <v>7784</v>
      </c>
      <c r="C8388">
        <v>1</v>
      </c>
      <c r="D8388" s="17" t="s">
        <v>17166</v>
      </c>
      <c r="E8388" s="17"/>
      <c r="F8388" s="17" t="s">
        <v>17246</v>
      </c>
      <c r="G8388" s="17"/>
      <c r="H8388" s="17" t="s">
        <v>17984</v>
      </c>
      <c r="I8388" s="17"/>
      <c r="J8388" s="17" t="s">
        <v>17985</v>
      </c>
      <c r="K8388" s="17"/>
      <c r="L8388" s="17" t="s">
        <v>19025</v>
      </c>
      <c r="M8388" s="17"/>
      <c r="N8388" s="17" t="s">
        <v>19268</v>
      </c>
      <c r="O8388" s="17" t="s">
        <v>19269</v>
      </c>
      <c r="P8388" s="17" t="s">
        <v>19283</v>
      </c>
      <c r="Q8388" s="17"/>
      <c r="R8388" s="25" t="str">
        <f>HYPERLINK("https://ictv.global/taxonomy/taxondetails?taxnode_id=202302245","Carlavirus vignae")</f>
        <v>Carlavirus vignae</v>
      </c>
      <c r="S8388" s="18" t="s">
        <v>30</v>
      </c>
      <c r="T8388" s="18" t="s">
        <v>19373</v>
      </c>
      <c r="U8388" s="18" t="s">
        <v>19374</v>
      </c>
      <c r="V8388" s="18" t="s">
        <v>19375</v>
      </c>
      <c r="W8388" s="18" t="s">
        <v>19376</v>
      </c>
      <c r="X8388" s="18" t="s">
        <v>42</v>
      </c>
      <c r="Y8388" s="18" t="s">
        <v>17171</v>
      </c>
      <c r="Z8388" s="18" t="s">
        <v>13441</v>
      </c>
      <c r="AA8388" s="21" t="str">
        <f>HYPERLINK("https://www.ncbi.nlm.nih.gov/nuccore/HQ184471","NCBI Nucleotide")</f>
        <v>NCBI Nucleotide</v>
      </c>
    </row>
    <row r="8389" spans="1:27" x14ac:dyDescent="0.35">
      <c r="A8389">
        <v>1008925</v>
      </c>
      <c r="B8389">
        <v>7785</v>
      </c>
      <c r="C8389">
        <v>1</v>
      </c>
      <c r="D8389" s="17" t="s">
        <v>17166</v>
      </c>
      <c r="E8389" s="17"/>
      <c r="F8389" s="17" t="s">
        <v>17246</v>
      </c>
      <c r="G8389" s="17"/>
      <c r="H8389" s="17" t="s">
        <v>17984</v>
      </c>
      <c r="I8389" s="17"/>
      <c r="J8389" s="17" t="s">
        <v>17985</v>
      </c>
      <c r="K8389" s="17"/>
      <c r="L8389" s="17" t="s">
        <v>19025</v>
      </c>
      <c r="M8389" s="17"/>
      <c r="N8389" s="17" t="s">
        <v>19268</v>
      </c>
      <c r="O8389" s="17" t="s">
        <v>19269</v>
      </c>
      <c r="P8389" s="17" t="s">
        <v>19525</v>
      </c>
      <c r="Q8389" s="17"/>
      <c r="R8389" s="25" t="str">
        <f>HYPERLINK("https://ictv.global/taxonomy/taxondetails?taxnode_id=202315086","Foveavirus alphavitis")</f>
        <v>Foveavirus alphavitis</v>
      </c>
      <c r="S8389" s="18" t="s">
        <v>30</v>
      </c>
      <c r="T8389" s="18" t="s">
        <v>19550</v>
      </c>
      <c r="U8389" s="18" t="s">
        <v>19551</v>
      </c>
      <c r="V8389" s="18" t="s">
        <v>19552</v>
      </c>
      <c r="W8389" s="18" t="s">
        <v>19553</v>
      </c>
      <c r="X8389" s="18" t="s">
        <v>35</v>
      </c>
      <c r="Y8389" s="18" t="s">
        <v>17171</v>
      </c>
      <c r="Z8389" s="18" t="s">
        <v>13441</v>
      </c>
      <c r="AA8389" s="21" t="str">
        <f>HYPERLINK("https://www.ncbi.nlm.nih.gov/nuccore/MN553040","NCBI Nucleotide")</f>
        <v>NCBI Nucleotide</v>
      </c>
    </row>
    <row r="8390" spans="1:27" x14ac:dyDescent="0.35">
      <c r="A8390">
        <v>1008923</v>
      </c>
      <c r="B8390">
        <v>7786</v>
      </c>
      <c r="C8390">
        <v>1</v>
      </c>
      <c r="D8390" s="17" t="s">
        <v>17166</v>
      </c>
      <c r="E8390" s="17"/>
      <c r="F8390" s="17" t="s">
        <v>17246</v>
      </c>
      <c r="G8390" s="17"/>
      <c r="H8390" s="17" t="s">
        <v>17984</v>
      </c>
      <c r="I8390" s="17"/>
      <c r="J8390" s="17" t="s">
        <v>17985</v>
      </c>
      <c r="K8390" s="17"/>
      <c r="L8390" s="17" t="s">
        <v>19025</v>
      </c>
      <c r="M8390" s="17"/>
      <c r="N8390" s="17" t="s">
        <v>19268</v>
      </c>
      <c r="O8390" s="17" t="s">
        <v>19269</v>
      </c>
      <c r="P8390" s="17" t="s">
        <v>19525</v>
      </c>
      <c r="Q8390" s="17"/>
      <c r="R8390" s="25" t="str">
        <f>HYPERLINK("https://ictv.global/taxonomy/taxondetails?taxnode_id=202313850","Foveavirus betavii")</f>
        <v>Foveavirus betavii</v>
      </c>
      <c r="S8390" s="18" t="s">
        <v>30</v>
      </c>
      <c r="T8390" s="18" t="s">
        <v>19542</v>
      </c>
      <c r="U8390" s="18" t="s">
        <v>19543</v>
      </c>
      <c r="V8390" s="18" t="s">
        <v>19544</v>
      </c>
      <c r="W8390" s="18" t="s">
        <v>19545</v>
      </c>
      <c r="X8390" s="18" t="s">
        <v>42</v>
      </c>
      <c r="Y8390" s="18" t="s">
        <v>17171</v>
      </c>
      <c r="Z8390" s="18" t="s">
        <v>13441</v>
      </c>
      <c r="AA8390" s="21" t="str">
        <f>HYPERLINK("https://www.ncbi.nlm.nih.gov/nuccore/LC373513","NCBI Nucleotide")</f>
        <v>NCBI Nucleotide</v>
      </c>
    </row>
    <row r="8391" spans="1:27" x14ac:dyDescent="0.35">
      <c r="A8391">
        <v>1008922</v>
      </c>
      <c r="B8391">
        <v>7787</v>
      </c>
      <c r="C8391">
        <v>1</v>
      </c>
      <c r="D8391" s="17" t="s">
        <v>17166</v>
      </c>
      <c r="E8391" s="17"/>
      <c r="F8391" s="17" t="s">
        <v>17246</v>
      </c>
      <c r="G8391" s="17"/>
      <c r="H8391" s="17" t="s">
        <v>17984</v>
      </c>
      <c r="I8391" s="17"/>
      <c r="J8391" s="17" t="s">
        <v>17985</v>
      </c>
      <c r="K8391" s="17"/>
      <c r="L8391" s="17" t="s">
        <v>19025</v>
      </c>
      <c r="M8391" s="17"/>
      <c r="N8391" s="17" t="s">
        <v>19268</v>
      </c>
      <c r="O8391" s="17" t="s">
        <v>19269</v>
      </c>
      <c r="P8391" s="17" t="s">
        <v>19525</v>
      </c>
      <c r="Q8391" s="17"/>
      <c r="R8391" s="25" t="str">
        <f>HYPERLINK("https://ictv.global/taxonomy/taxondetails?taxnode_id=202305643","Foveavirus duoasiaticum")</f>
        <v>Foveavirus duoasiaticum</v>
      </c>
      <c r="S8391" s="18" t="s">
        <v>30</v>
      </c>
      <c r="T8391" s="18" t="s">
        <v>19538</v>
      </c>
      <c r="U8391" s="18" t="s">
        <v>19539</v>
      </c>
      <c r="V8391" s="18" t="s">
        <v>19540</v>
      </c>
      <c r="W8391" s="18" t="s">
        <v>19541</v>
      </c>
      <c r="X8391" s="18" t="s">
        <v>42</v>
      </c>
      <c r="Y8391" s="18" t="s">
        <v>17171</v>
      </c>
      <c r="Z8391" s="18" t="s">
        <v>13441</v>
      </c>
      <c r="AA8391" s="21" t="str">
        <f>HYPERLINK("https://www.ncbi.nlm.nih.gov/nuccore/KT893294","NCBI Nucleotide")</f>
        <v>NCBI Nucleotide</v>
      </c>
    </row>
    <row r="8392" spans="1:27" x14ac:dyDescent="0.35">
      <c r="A8392">
        <v>1008920</v>
      </c>
      <c r="B8392">
        <v>7788</v>
      </c>
      <c r="C8392">
        <v>1</v>
      </c>
      <c r="D8392" s="17" t="s">
        <v>17166</v>
      </c>
      <c r="E8392" s="17"/>
      <c r="F8392" s="17" t="s">
        <v>17246</v>
      </c>
      <c r="G8392" s="17"/>
      <c r="H8392" s="17" t="s">
        <v>17984</v>
      </c>
      <c r="I8392" s="17"/>
      <c r="J8392" s="17" t="s">
        <v>17985</v>
      </c>
      <c r="K8392" s="17"/>
      <c r="L8392" s="17" t="s">
        <v>19025</v>
      </c>
      <c r="M8392" s="17"/>
      <c r="N8392" s="17" t="s">
        <v>19268</v>
      </c>
      <c r="O8392" s="17" t="s">
        <v>19269</v>
      </c>
      <c r="P8392" s="17" t="s">
        <v>19525</v>
      </c>
      <c r="Q8392" s="17"/>
      <c r="R8392" s="25" t="str">
        <f>HYPERLINK("https://ictv.global/taxonomy/taxondetails?taxnode_id=202302284","Foveavirus latensarmeniacae")</f>
        <v>Foveavirus latensarmeniacae</v>
      </c>
      <c r="S8392" s="18" t="s">
        <v>30</v>
      </c>
      <c r="T8392" s="18" t="s">
        <v>19530</v>
      </c>
      <c r="U8392" s="18" t="s">
        <v>19531</v>
      </c>
      <c r="V8392" s="18" t="s">
        <v>19532</v>
      </c>
      <c r="W8392" s="18" t="s">
        <v>19533</v>
      </c>
      <c r="X8392" s="18" t="s">
        <v>42</v>
      </c>
      <c r="Y8392" s="18" t="s">
        <v>17171</v>
      </c>
      <c r="Z8392" s="18" t="s">
        <v>13441</v>
      </c>
      <c r="AA8392" s="21" t="str">
        <f>HYPERLINK("https://www.ncbi.nlm.nih.gov/nuccore/HQ339956","NCBI Nucleotide")</f>
        <v>NCBI Nucleotide</v>
      </c>
    </row>
    <row r="8393" spans="1:27" x14ac:dyDescent="0.35">
      <c r="A8393">
        <v>1008919</v>
      </c>
      <c r="B8393">
        <v>7789</v>
      </c>
      <c r="C8393">
        <v>1</v>
      </c>
      <c r="D8393" s="17" t="s">
        <v>17166</v>
      </c>
      <c r="E8393" s="17"/>
      <c r="F8393" s="17" t="s">
        <v>17246</v>
      </c>
      <c r="G8393" s="17"/>
      <c r="H8393" s="17" t="s">
        <v>17984</v>
      </c>
      <c r="I8393" s="17"/>
      <c r="J8393" s="17" t="s">
        <v>17985</v>
      </c>
      <c r="K8393" s="17"/>
      <c r="L8393" s="17" t="s">
        <v>19025</v>
      </c>
      <c r="M8393" s="17"/>
      <c r="N8393" s="17" t="s">
        <v>19268</v>
      </c>
      <c r="O8393" s="17" t="s">
        <v>19269</v>
      </c>
      <c r="P8393" s="17" t="s">
        <v>19525</v>
      </c>
      <c r="Q8393" s="17"/>
      <c r="R8393" s="25" t="str">
        <f>HYPERLINK("https://ictv.global/taxonomy/taxondetails?taxnode_id=202302283","Foveavirus mali")</f>
        <v>Foveavirus mali</v>
      </c>
      <c r="S8393" s="18" t="s">
        <v>30</v>
      </c>
      <c r="T8393" s="18" t="s">
        <v>19526</v>
      </c>
      <c r="U8393" s="18" t="s">
        <v>19527</v>
      </c>
      <c r="V8393" s="18" t="s">
        <v>19528</v>
      </c>
      <c r="W8393" s="18" t="s">
        <v>19529</v>
      </c>
      <c r="X8393" s="18" t="s">
        <v>42</v>
      </c>
      <c r="Y8393" s="18" t="s">
        <v>17171</v>
      </c>
      <c r="Z8393" s="18" t="s">
        <v>13441</v>
      </c>
      <c r="AA8393" s="21" t="str">
        <f>HYPERLINK("https://www.ncbi.nlm.nih.gov/nuccore/D21829","NCBI Nucleotide")</f>
        <v>NCBI Nucleotide</v>
      </c>
    </row>
    <row r="8394" spans="1:27" x14ac:dyDescent="0.35">
      <c r="A8394">
        <v>1026113</v>
      </c>
      <c r="B8394">
        <v>7790</v>
      </c>
      <c r="C8394">
        <v>1</v>
      </c>
      <c r="D8394" s="17" t="s">
        <v>17166</v>
      </c>
      <c r="E8394" s="17"/>
      <c r="F8394" s="17" t="s">
        <v>17246</v>
      </c>
      <c r="G8394" s="17"/>
      <c r="H8394" s="17" t="s">
        <v>17984</v>
      </c>
      <c r="I8394" s="17"/>
      <c r="J8394" s="17" t="s">
        <v>17985</v>
      </c>
      <c r="K8394" s="17"/>
      <c r="L8394" s="17" t="s">
        <v>19025</v>
      </c>
      <c r="M8394" s="17"/>
      <c r="N8394" s="17" t="s">
        <v>19268</v>
      </c>
      <c r="O8394" s="17" t="s">
        <v>19269</v>
      </c>
      <c r="P8394" s="17" t="s">
        <v>19525</v>
      </c>
      <c r="Q8394" s="17"/>
      <c r="R8394" s="25" t="str">
        <f>HYPERLINK("https://ictv.global/taxonomy/taxondetails?taxnode_id=202319037","Foveavirus mumeae")</f>
        <v>Foveavirus mumeae</v>
      </c>
      <c r="S8394" s="18" t="s">
        <v>30</v>
      </c>
      <c r="T8394" s="18" t="s">
        <v>42435</v>
      </c>
      <c r="U8394" s="18" t="s">
        <v>42436</v>
      </c>
      <c r="V8394" s="18" t="s">
        <v>32878</v>
      </c>
      <c r="W8394" s="18" t="s">
        <v>48628</v>
      </c>
      <c r="X8394" s="18" t="s">
        <v>42</v>
      </c>
      <c r="Y8394" s="18" t="s">
        <v>17171</v>
      </c>
      <c r="Z8394" s="18" t="s">
        <v>13441</v>
      </c>
      <c r="AA8394" s="21" t="str">
        <f>HYPERLINK("https://www.ncbi.nlm.nih.gov/nuccore/OP066307","NCBI Nucleotide")</f>
        <v>NCBI Nucleotide</v>
      </c>
    </row>
    <row r="8395" spans="1:27" x14ac:dyDescent="0.35">
      <c r="A8395">
        <v>1008929</v>
      </c>
      <c r="B8395">
        <v>7791</v>
      </c>
      <c r="C8395">
        <v>1</v>
      </c>
      <c r="D8395" s="17" t="s">
        <v>17166</v>
      </c>
      <c r="E8395" s="17"/>
      <c r="F8395" s="17" t="s">
        <v>17246</v>
      </c>
      <c r="G8395" s="17"/>
      <c r="H8395" s="17" t="s">
        <v>17984</v>
      </c>
      <c r="I8395" s="17"/>
      <c r="J8395" s="17" t="s">
        <v>17985</v>
      </c>
      <c r="K8395" s="17"/>
      <c r="L8395" s="17" t="s">
        <v>19025</v>
      </c>
      <c r="M8395" s="17"/>
      <c r="N8395" s="17" t="s">
        <v>19268</v>
      </c>
      <c r="O8395" s="17" t="s">
        <v>19269</v>
      </c>
      <c r="P8395" s="17" t="s">
        <v>19525</v>
      </c>
      <c r="Q8395" s="17"/>
      <c r="R8395" s="25" t="str">
        <f>HYPERLINK("https://ictv.global/taxonomy/taxondetails?taxnode_id=202302287","Foveavirus persicae")</f>
        <v>Foveavirus persicae</v>
      </c>
      <c r="S8395" s="18" t="s">
        <v>30</v>
      </c>
      <c r="T8395" s="18" t="s">
        <v>19564</v>
      </c>
      <c r="U8395" s="18" t="s">
        <v>19565</v>
      </c>
      <c r="V8395" s="18" t="s">
        <v>19566</v>
      </c>
      <c r="W8395" s="18" t="s">
        <v>19567</v>
      </c>
      <c r="X8395" s="18" t="s">
        <v>42</v>
      </c>
      <c r="Y8395" s="18" t="s">
        <v>17171</v>
      </c>
      <c r="Z8395" s="18" t="s">
        <v>13441</v>
      </c>
      <c r="AA8395" s="21" t="str">
        <f>HYPERLINK("https://www.ncbi.nlm.nih.gov/nuccore/EF693898","NCBI Nucleotide")</f>
        <v>NCBI Nucleotide</v>
      </c>
    </row>
    <row r="8396" spans="1:27" x14ac:dyDescent="0.35">
      <c r="A8396">
        <v>1008927</v>
      </c>
      <c r="B8396">
        <v>7792</v>
      </c>
      <c r="C8396">
        <v>1</v>
      </c>
      <c r="D8396" s="17" t="s">
        <v>17166</v>
      </c>
      <c r="E8396" s="17"/>
      <c r="F8396" s="17" t="s">
        <v>17246</v>
      </c>
      <c r="G8396" s="17"/>
      <c r="H8396" s="17" t="s">
        <v>17984</v>
      </c>
      <c r="I8396" s="17"/>
      <c r="J8396" s="17" t="s">
        <v>17985</v>
      </c>
      <c r="K8396" s="17"/>
      <c r="L8396" s="17" t="s">
        <v>19025</v>
      </c>
      <c r="M8396" s="17"/>
      <c r="N8396" s="17" t="s">
        <v>19268</v>
      </c>
      <c r="O8396" s="17" t="s">
        <v>19269</v>
      </c>
      <c r="P8396" s="17" t="s">
        <v>19525</v>
      </c>
      <c r="Q8396" s="17"/>
      <c r="R8396" s="25" t="str">
        <f>HYPERLINK("https://ictv.global/taxonomy/taxondetails?taxnode_id=202302286","Foveavirus rupestris")</f>
        <v>Foveavirus rupestris</v>
      </c>
      <c r="S8396" s="18" t="s">
        <v>30</v>
      </c>
      <c r="T8396" s="18" t="s">
        <v>19558</v>
      </c>
      <c r="U8396" s="18" t="s">
        <v>19559</v>
      </c>
      <c r="V8396" s="18" t="s">
        <v>18066</v>
      </c>
      <c r="W8396" s="18" t="s">
        <v>19560</v>
      </c>
      <c r="X8396" s="18" t="s">
        <v>42</v>
      </c>
      <c r="Y8396" s="18" t="s">
        <v>17171</v>
      </c>
      <c r="Z8396" s="18" t="s">
        <v>13441</v>
      </c>
      <c r="AA8396" s="21" t="str">
        <f>HYPERLINK("https://www.ncbi.nlm.nih.gov/nuccore/AF057136","NCBI Nucleotide")</f>
        <v>NCBI Nucleotide</v>
      </c>
    </row>
    <row r="8397" spans="1:27" x14ac:dyDescent="0.35">
      <c r="A8397">
        <v>1008928</v>
      </c>
      <c r="B8397">
        <v>7793</v>
      </c>
      <c r="C8397">
        <v>1</v>
      </c>
      <c r="D8397" s="17" t="s">
        <v>17166</v>
      </c>
      <c r="E8397" s="17"/>
      <c r="F8397" s="17" t="s">
        <v>17246</v>
      </c>
      <c r="G8397" s="17"/>
      <c r="H8397" s="17" t="s">
        <v>17984</v>
      </c>
      <c r="I8397" s="17"/>
      <c r="J8397" s="17" t="s">
        <v>17985</v>
      </c>
      <c r="K8397" s="17"/>
      <c r="L8397" s="17" t="s">
        <v>19025</v>
      </c>
      <c r="M8397" s="17"/>
      <c r="N8397" s="17" t="s">
        <v>19268</v>
      </c>
      <c r="O8397" s="17" t="s">
        <v>19269</v>
      </c>
      <c r="P8397" s="17" t="s">
        <v>19525</v>
      </c>
      <c r="Q8397" s="17"/>
      <c r="R8397" s="25" t="str">
        <f>HYPERLINK("https://ictv.global/taxonomy/taxondetails?taxnode_id=202306339","Foveavirus tafvitis")</f>
        <v>Foveavirus tafvitis</v>
      </c>
      <c r="S8397" s="18" t="s">
        <v>30</v>
      </c>
      <c r="T8397" s="18" t="s">
        <v>19561</v>
      </c>
      <c r="U8397" s="18" t="s">
        <v>19562</v>
      </c>
      <c r="V8397" s="18" t="s">
        <v>19563</v>
      </c>
      <c r="W8397" s="18"/>
      <c r="X8397" s="18" t="s">
        <v>3311</v>
      </c>
      <c r="Y8397" s="18" t="s">
        <v>17171</v>
      </c>
      <c r="Z8397" s="18" t="s">
        <v>13441</v>
      </c>
      <c r="AA8397" s="21"/>
    </row>
    <row r="8398" spans="1:27" x14ac:dyDescent="0.35">
      <c r="A8398">
        <v>1008924</v>
      </c>
      <c r="B8398">
        <v>7794</v>
      </c>
      <c r="C8398">
        <v>1</v>
      </c>
      <c r="D8398" s="17" t="s">
        <v>17166</v>
      </c>
      <c r="E8398" s="17"/>
      <c r="F8398" s="17" t="s">
        <v>17246</v>
      </c>
      <c r="G8398" s="17"/>
      <c r="H8398" s="17" t="s">
        <v>17984</v>
      </c>
      <c r="I8398" s="17"/>
      <c r="J8398" s="17" t="s">
        <v>17985</v>
      </c>
      <c r="K8398" s="17"/>
      <c r="L8398" s="17" t="s">
        <v>19025</v>
      </c>
      <c r="M8398" s="17"/>
      <c r="N8398" s="17" t="s">
        <v>19268</v>
      </c>
      <c r="O8398" s="17" t="s">
        <v>19269</v>
      </c>
      <c r="P8398" s="17" t="s">
        <v>19525</v>
      </c>
      <c r="Q8398" s="17"/>
      <c r="R8398" s="25" t="str">
        <f>HYPERLINK("https://ictv.global/taxonomy/taxondetails?taxnode_id=202315085","Foveavirus tetracamelliae")</f>
        <v>Foveavirus tetracamelliae</v>
      </c>
      <c r="S8398" s="18" t="s">
        <v>30</v>
      </c>
      <c r="T8398" s="18" t="s">
        <v>19546</v>
      </c>
      <c r="U8398" s="18" t="s">
        <v>19547</v>
      </c>
      <c r="V8398" s="18" t="s">
        <v>19548</v>
      </c>
      <c r="W8398" s="18" t="s">
        <v>19549</v>
      </c>
      <c r="X8398" s="18" t="s">
        <v>42</v>
      </c>
      <c r="Y8398" s="18" t="s">
        <v>17171</v>
      </c>
      <c r="Z8398" s="18" t="s">
        <v>13441</v>
      </c>
      <c r="AA8398" s="21" t="str">
        <f>HYPERLINK("https://www.ncbi.nlm.nih.gov/nuccore/MT028514","NCBI Nucleotide")</f>
        <v>NCBI Nucleotide</v>
      </c>
    </row>
    <row r="8399" spans="1:27" x14ac:dyDescent="0.35">
      <c r="A8399">
        <v>1008921</v>
      </c>
      <c r="B8399">
        <v>7795</v>
      </c>
      <c r="C8399">
        <v>1</v>
      </c>
      <c r="D8399" s="17" t="s">
        <v>17166</v>
      </c>
      <c r="E8399" s="17"/>
      <c r="F8399" s="17" t="s">
        <v>17246</v>
      </c>
      <c r="G8399" s="17"/>
      <c r="H8399" s="17" t="s">
        <v>17984</v>
      </c>
      <c r="I8399" s="17"/>
      <c r="J8399" s="17" t="s">
        <v>17985</v>
      </c>
      <c r="K8399" s="17"/>
      <c r="L8399" s="17" t="s">
        <v>19025</v>
      </c>
      <c r="M8399" s="17"/>
      <c r="N8399" s="17" t="s">
        <v>19268</v>
      </c>
      <c r="O8399" s="17" t="s">
        <v>19269</v>
      </c>
      <c r="P8399" s="17" t="s">
        <v>19525</v>
      </c>
      <c r="Q8399" s="17"/>
      <c r="R8399" s="25" t="str">
        <f>HYPERLINK("https://ictv.global/taxonomy/taxondetails?taxnode_id=202302285","Foveavirus unasiaticum")</f>
        <v>Foveavirus unasiaticum</v>
      </c>
      <c r="S8399" s="18" t="s">
        <v>30</v>
      </c>
      <c r="T8399" s="18" t="s">
        <v>19534</v>
      </c>
      <c r="U8399" s="18" t="s">
        <v>19535</v>
      </c>
      <c r="V8399" s="18" t="s">
        <v>19536</v>
      </c>
      <c r="W8399" s="18" t="s">
        <v>19537</v>
      </c>
      <c r="X8399" s="18" t="s">
        <v>42</v>
      </c>
      <c r="Y8399" s="18" t="s">
        <v>17171</v>
      </c>
      <c r="Z8399" s="18" t="s">
        <v>13441</v>
      </c>
      <c r="AA8399" s="21" t="str">
        <f>HYPERLINK("https://www.ncbi.nlm.nih.gov/nuccore/FJ824737","NCBI Nucleotide")</f>
        <v>NCBI Nucleotide</v>
      </c>
    </row>
    <row r="8400" spans="1:27" x14ac:dyDescent="0.35">
      <c r="A8400">
        <v>1008930</v>
      </c>
      <c r="B8400">
        <v>7796</v>
      </c>
      <c r="C8400">
        <v>1</v>
      </c>
      <c r="D8400" s="17" t="s">
        <v>17166</v>
      </c>
      <c r="E8400" s="17"/>
      <c r="F8400" s="17" t="s">
        <v>17246</v>
      </c>
      <c r="G8400" s="17"/>
      <c r="H8400" s="17" t="s">
        <v>17984</v>
      </c>
      <c r="I8400" s="17"/>
      <c r="J8400" s="17" t="s">
        <v>17985</v>
      </c>
      <c r="K8400" s="17"/>
      <c r="L8400" s="17" t="s">
        <v>19025</v>
      </c>
      <c r="M8400" s="17"/>
      <c r="N8400" s="17" t="s">
        <v>19268</v>
      </c>
      <c r="O8400" s="17" t="s">
        <v>19269</v>
      </c>
      <c r="P8400" s="17" t="s">
        <v>19525</v>
      </c>
      <c r="Q8400" s="17"/>
      <c r="R8400" s="25" t="str">
        <f>HYPERLINK("https://ictv.global/taxonomy/taxondetails?taxnode_id=202302288","Foveavirus unicanadense")</f>
        <v>Foveavirus unicanadense</v>
      </c>
      <c r="S8400" s="18" t="s">
        <v>30</v>
      </c>
      <c r="T8400" s="18" t="s">
        <v>19568</v>
      </c>
      <c r="U8400" s="18" t="s">
        <v>19569</v>
      </c>
      <c r="V8400" s="18" t="s">
        <v>19570</v>
      </c>
      <c r="W8400" s="18" t="s">
        <v>19571</v>
      </c>
      <c r="X8400" s="18" t="s">
        <v>42</v>
      </c>
      <c r="Y8400" s="18" t="s">
        <v>17171</v>
      </c>
      <c r="Z8400" s="18" t="s">
        <v>13441</v>
      </c>
      <c r="AA8400" s="21" t="str">
        <f>HYPERLINK("https://www.ncbi.nlm.nih.gov/nuccore/JX277553","NCBI Nucleotide")</f>
        <v>NCBI Nucleotide</v>
      </c>
    </row>
    <row r="8401" spans="1:27" x14ac:dyDescent="0.35">
      <c r="A8401">
        <v>1008926</v>
      </c>
      <c r="B8401">
        <v>7797</v>
      </c>
      <c r="C8401">
        <v>1</v>
      </c>
      <c r="D8401" s="17" t="s">
        <v>17166</v>
      </c>
      <c r="E8401" s="17"/>
      <c r="F8401" s="17" t="s">
        <v>17246</v>
      </c>
      <c r="G8401" s="17"/>
      <c r="H8401" s="17" t="s">
        <v>17984</v>
      </c>
      <c r="I8401" s="17"/>
      <c r="J8401" s="17" t="s">
        <v>17985</v>
      </c>
      <c r="K8401" s="17"/>
      <c r="L8401" s="17" t="s">
        <v>19025</v>
      </c>
      <c r="M8401" s="17"/>
      <c r="N8401" s="17" t="s">
        <v>19268</v>
      </c>
      <c r="O8401" s="17" t="s">
        <v>19269</v>
      </c>
      <c r="P8401" s="17" t="s">
        <v>19525</v>
      </c>
      <c r="Q8401" s="17"/>
      <c r="R8401" s="25" t="str">
        <f>HYPERLINK("https://ictv.global/taxonomy/taxondetails?taxnode_id=202313851","Foveavirus unirubi")</f>
        <v>Foveavirus unirubi</v>
      </c>
      <c r="S8401" s="18" t="s">
        <v>30</v>
      </c>
      <c r="T8401" s="18" t="s">
        <v>19554</v>
      </c>
      <c r="U8401" s="18" t="s">
        <v>19555</v>
      </c>
      <c r="V8401" s="18" t="s">
        <v>19556</v>
      </c>
      <c r="W8401" s="18" t="s">
        <v>19557</v>
      </c>
      <c r="X8401" s="18" t="s">
        <v>42</v>
      </c>
      <c r="Y8401" s="18" t="s">
        <v>17171</v>
      </c>
      <c r="Z8401" s="18" t="s">
        <v>13441</v>
      </c>
      <c r="AA8401" s="21" t="str">
        <f>HYPERLINK("https://www.ncbi.nlm.nih.gov/nuccore/MN944023","NCBI Nucleotide")</f>
        <v>NCBI Nucleotide</v>
      </c>
    </row>
    <row r="8402" spans="1:27" x14ac:dyDescent="0.35">
      <c r="A8402">
        <v>1008931</v>
      </c>
      <c r="B8402">
        <v>7798</v>
      </c>
      <c r="C8402">
        <v>1</v>
      </c>
      <c r="D8402" s="17" t="s">
        <v>17166</v>
      </c>
      <c r="E8402" s="17"/>
      <c r="F8402" s="17" t="s">
        <v>17246</v>
      </c>
      <c r="G8402" s="17"/>
      <c r="H8402" s="17" t="s">
        <v>17984</v>
      </c>
      <c r="I8402" s="17"/>
      <c r="J8402" s="17" t="s">
        <v>17985</v>
      </c>
      <c r="K8402" s="17"/>
      <c r="L8402" s="17" t="s">
        <v>19025</v>
      </c>
      <c r="M8402" s="17"/>
      <c r="N8402" s="17" t="s">
        <v>19268</v>
      </c>
      <c r="O8402" s="17" t="s">
        <v>19269</v>
      </c>
      <c r="P8402" s="17" t="s">
        <v>19572</v>
      </c>
      <c r="Q8402" s="17"/>
      <c r="R8402" s="25" t="str">
        <f>HYPERLINK("https://ictv.global/taxonomy/taxondetails?taxnode_id=202302290","Robigovirus elaeis")</f>
        <v>Robigovirus elaeis</v>
      </c>
      <c r="S8402" s="18" t="s">
        <v>30</v>
      </c>
      <c r="T8402" s="18" t="s">
        <v>19573</v>
      </c>
      <c r="U8402" s="18" t="s">
        <v>19574</v>
      </c>
      <c r="V8402" s="18" t="s">
        <v>19575</v>
      </c>
      <c r="W8402" s="18" t="s">
        <v>19576</v>
      </c>
      <c r="X8402" s="18" t="s">
        <v>42</v>
      </c>
      <c r="Y8402" s="18" t="s">
        <v>17171</v>
      </c>
      <c r="Z8402" s="18" t="s">
        <v>13441</v>
      </c>
      <c r="AA8402" s="21" t="str">
        <f>HYPERLINK("https://www.ncbi.nlm.nih.gov/nuccore/AY072921","NCBI Nucleotide")</f>
        <v>NCBI Nucleotide</v>
      </c>
    </row>
    <row r="8403" spans="1:27" x14ac:dyDescent="0.35">
      <c r="A8403">
        <v>1008933</v>
      </c>
      <c r="B8403">
        <v>7799</v>
      </c>
      <c r="C8403">
        <v>1</v>
      </c>
      <c r="D8403" s="17" t="s">
        <v>17166</v>
      </c>
      <c r="E8403" s="17"/>
      <c r="F8403" s="17" t="s">
        <v>17246</v>
      </c>
      <c r="G8403" s="17"/>
      <c r="H8403" s="17" t="s">
        <v>17984</v>
      </c>
      <c r="I8403" s="17"/>
      <c r="J8403" s="17" t="s">
        <v>17985</v>
      </c>
      <c r="K8403" s="17"/>
      <c r="L8403" s="17" t="s">
        <v>19025</v>
      </c>
      <c r="M8403" s="17"/>
      <c r="N8403" s="17" t="s">
        <v>19268</v>
      </c>
      <c r="O8403" s="17" t="s">
        <v>19269</v>
      </c>
      <c r="P8403" s="17" t="s">
        <v>19572</v>
      </c>
      <c r="Q8403" s="17"/>
      <c r="R8403" s="25" t="str">
        <f>HYPERLINK("https://ictv.global/taxonomy/taxondetails?taxnode_id=202302292","Robigovirus necroavii")</f>
        <v>Robigovirus necroavii</v>
      </c>
      <c r="S8403" s="18" t="s">
        <v>30</v>
      </c>
      <c r="T8403" s="18" t="s">
        <v>19581</v>
      </c>
      <c r="U8403" s="18" t="s">
        <v>19582</v>
      </c>
      <c r="V8403" s="18" t="s">
        <v>19583</v>
      </c>
      <c r="W8403" s="18" t="s">
        <v>19584</v>
      </c>
      <c r="X8403" s="18" t="s">
        <v>42</v>
      </c>
      <c r="Y8403" s="18" t="s">
        <v>17171</v>
      </c>
      <c r="Z8403" s="18" t="s">
        <v>13441</v>
      </c>
      <c r="AA8403" s="21" t="str">
        <f>HYPERLINK("https://www.ncbi.nlm.nih.gov/nuccore/AF237816","NCBI Nucleotide")</f>
        <v>NCBI Nucleotide</v>
      </c>
    </row>
    <row r="8404" spans="1:27" x14ac:dyDescent="0.35">
      <c r="A8404">
        <v>1008934</v>
      </c>
      <c r="B8404">
        <v>7800</v>
      </c>
      <c r="C8404">
        <v>1</v>
      </c>
      <c r="D8404" s="17" t="s">
        <v>17166</v>
      </c>
      <c r="E8404" s="17"/>
      <c r="F8404" s="17" t="s">
        <v>17246</v>
      </c>
      <c r="G8404" s="17"/>
      <c r="H8404" s="17" t="s">
        <v>17984</v>
      </c>
      <c r="I8404" s="17"/>
      <c r="J8404" s="17" t="s">
        <v>17985</v>
      </c>
      <c r="K8404" s="17"/>
      <c r="L8404" s="17" t="s">
        <v>19025</v>
      </c>
      <c r="M8404" s="17"/>
      <c r="N8404" s="17" t="s">
        <v>19268</v>
      </c>
      <c r="O8404" s="17" t="s">
        <v>19269</v>
      </c>
      <c r="P8404" s="17" t="s">
        <v>19572</v>
      </c>
      <c r="Q8404" s="17"/>
      <c r="R8404" s="25" t="str">
        <f>HYPERLINK("https://ictv.global/taxonomy/taxondetails?taxnode_id=202302293","Robigovirus robigomaculae")</f>
        <v>Robigovirus robigomaculae</v>
      </c>
      <c r="S8404" s="18" t="s">
        <v>30</v>
      </c>
      <c r="T8404" s="18" t="s">
        <v>19585</v>
      </c>
      <c r="U8404" s="18" t="s">
        <v>19586</v>
      </c>
      <c r="V8404" s="18" t="s">
        <v>19587</v>
      </c>
      <c r="W8404" s="18" t="s">
        <v>19588</v>
      </c>
      <c r="X8404" s="18" t="s">
        <v>42</v>
      </c>
      <c r="Y8404" s="18" t="s">
        <v>17171</v>
      </c>
      <c r="Z8404" s="18" t="s">
        <v>13441</v>
      </c>
      <c r="AA8404" s="21" t="str">
        <f>HYPERLINK("https://www.ncbi.nlm.nih.gov/nuccore/KC218926","NCBI Nucleotide")</f>
        <v>NCBI Nucleotide</v>
      </c>
    </row>
    <row r="8405" spans="1:27" x14ac:dyDescent="0.35">
      <c r="A8405">
        <v>1008935</v>
      </c>
      <c r="B8405">
        <v>7801</v>
      </c>
      <c r="C8405">
        <v>1</v>
      </c>
      <c r="D8405" s="17" t="s">
        <v>17166</v>
      </c>
      <c r="E8405" s="17"/>
      <c r="F8405" s="17" t="s">
        <v>17246</v>
      </c>
      <c r="G8405" s="17"/>
      <c r="H8405" s="17" t="s">
        <v>17984</v>
      </c>
      <c r="I8405" s="17"/>
      <c r="J8405" s="17" t="s">
        <v>17985</v>
      </c>
      <c r="K8405" s="17"/>
      <c r="L8405" s="17" t="s">
        <v>19025</v>
      </c>
      <c r="M8405" s="17"/>
      <c r="N8405" s="17" t="s">
        <v>19268</v>
      </c>
      <c r="O8405" s="17" t="s">
        <v>19269</v>
      </c>
      <c r="P8405" s="17" t="s">
        <v>19572</v>
      </c>
      <c r="Q8405" s="17"/>
      <c r="R8405" s="25" t="str">
        <f>HYPERLINK("https://ictv.global/taxonomy/taxondetails?taxnode_id=202302294","Robigovirus tortifoliae")</f>
        <v>Robigovirus tortifoliae</v>
      </c>
      <c r="S8405" s="18" t="s">
        <v>30</v>
      </c>
      <c r="T8405" s="18" t="s">
        <v>19589</v>
      </c>
      <c r="U8405" s="18" t="s">
        <v>19590</v>
      </c>
      <c r="V8405" s="18">
        <v>8431</v>
      </c>
      <c r="W8405" s="18" t="s">
        <v>19591</v>
      </c>
      <c r="X8405" s="18" t="s">
        <v>42</v>
      </c>
      <c r="Y8405" s="18" t="s">
        <v>17171</v>
      </c>
      <c r="Z8405" s="18" t="s">
        <v>13441</v>
      </c>
      <c r="AA8405" s="21" t="str">
        <f>HYPERLINK("https://www.ncbi.nlm.nih.gov/nuccore/KF958838","NCBI Nucleotide")</f>
        <v>NCBI Nucleotide</v>
      </c>
    </row>
    <row r="8406" spans="1:27" x14ac:dyDescent="0.35">
      <c r="A8406">
        <v>1008932</v>
      </c>
      <c r="B8406">
        <v>7802</v>
      </c>
      <c r="C8406">
        <v>1</v>
      </c>
      <c r="D8406" s="17" t="s">
        <v>17166</v>
      </c>
      <c r="E8406" s="17"/>
      <c r="F8406" s="17" t="s">
        <v>17246</v>
      </c>
      <c r="G8406" s="17"/>
      <c r="H8406" s="17" t="s">
        <v>17984</v>
      </c>
      <c r="I8406" s="17"/>
      <c r="J8406" s="17" t="s">
        <v>17985</v>
      </c>
      <c r="K8406" s="17"/>
      <c r="L8406" s="17" t="s">
        <v>19025</v>
      </c>
      <c r="M8406" s="17"/>
      <c r="N8406" s="17" t="s">
        <v>19268</v>
      </c>
      <c r="O8406" s="17" t="s">
        <v>19269</v>
      </c>
      <c r="P8406" s="17" t="s">
        <v>19572</v>
      </c>
      <c r="Q8406" s="17"/>
      <c r="R8406" s="25" t="str">
        <f>HYPERLINK("https://ictv.global/taxonomy/taxondetails?taxnode_id=202302291","Robigovirus viridiavii")</f>
        <v>Robigovirus viridiavii</v>
      </c>
      <c r="S8406" s="18" t="s">
        <v>30</v>
      </c>
      <c r="T8406" s="18" t="s">
        <v>19577</v>
      </c>
      <c r="U8406" s="18" t="s">
        <v>19578</v>
      </c>
      <c r="V8406" s="18" t="s">
        <v>19579</v>
      </c>
      <c r="W8406" s="18" t="s">
        <v>19580</v>
      </c>
      <c r="X8406" s="18" t="s">
        <v>42</v>
      </c>
      <c r="Y8406" s="18" t="s">
        <v>17171</v>
      </c>
      <c r="Z8406" s="18" t="s">
        <v>13441</v>
      </c>
      <c r="AA8406" s="21" t="str">
        <f>HYPERLINK("https://www.ncbi.nlm.nih.gov/nuccore/AF017780","NCBI Nucleotide")</f>
        <v>NCBI Nucleotide</v>
      </c>
    </row>
    <row r="8407" spans="1:27" x14ac:dyDescent="0.35">
      <c r="A8407">
        <v>1008936</v>
      </c>
      <c r="B8407">
        <v>7803</v>
      </c>
      <c r="C8407">
        <v>1</v>
      </c>
      <c r="D8407" s="17" t="s">
        <v>17166</v>
      </c>
      <c r="E8407" s="17"/>
      <c r="F8407" s="17" t="s">
        <v>17246</v>
      </c>
      <c r="G8407" s="17"/>
      <c r="H8407" s="17" t="s">
        <v>17984</v>
      </c>
      <c r="I8407" s="17"/>
      <c r="J8407" s="17" t="s">
        <v>17985</v>
      </c>
      <c r="K8407" s="17"/>
      <c r="L8407" s="17" t="s">
        <v>19025</v>
      </c>
      <c r="M8407" s="17"/>
      <c r="N8407" s="17" t="s">
        <v>19268</v>
      </c>
      <c r="O8407" s="17" t="s">
        <v>19269</v>
      </c>
      <c r="P8407" s="17" t="s">
        <v>19592</v>
      </c>
      <c r="Q8407" s="17"/>
      <c r="R8407" s="25" t="str">
        <f>HYPERLINK("https://ictv.global/taxonomy/taxondetails?taxnode_id=202302298","Sustrivirus sacchari")</f>
        <v>Sustrivirus sacchari</v>
      </c>
      <c r="S8407" s="18" t="s">
        <v>30</v>
      </c>
      <c r="T8407" s="18" t="s">
        <v>19593</v>
      </c>
      <c r="U8407" s="18" t="s">
        <v>19594</v>
      </c>
      <c r="V8407" s="18" t="s">
        <v>19595</v>
      </c>
      <c r="W8407" s="18" t="s">
        <v>19596</v>
      </c>
      <c r="X8407" s="18" t="s">
        <v>42</v>
      </c>
      <c r="Y8407" s="18" t="s">
        <v>17171</v>
      </c>
      <c r="Z8407" s="18" t="s">
        <v>13441</v>
      </c>
      <c r="AA8407" s="21" t="str">
        <f>HYPERLINK("https://www.ncbi.nlm.nih.gov/nuccore/AF315308","NCBI Nucleotide")</f>
        <v>NCBI Nucleotide</v>
      </c>
    </row>
    <row r="8408" spans="1:27" x14ac:dyDescent="0.35">
      <c r="A8408">
        <v>1008937</v>
      </c>
      <c r="B8408">
        <v>7804</v>
      </c>
      <c r="C8408">
        <v>1</v>
      </c>
      <c r="D8408" s="17" t="s">
        <v>17166</v>
      </c>
      <c r="E8408" s="17"/>
      <c r="F8408" s="17" t="s">
        <v>17246</v>
      </c>
      <c r="G8408" s="17"/>
      <c r="H8408" s="17" t="s">
        <v>17984</v>
      </c>
      <c r="I8408" s="17"/>
      <c r="J8408" s="17" t="s">
        <v>17985</v>
      </c>
      <c r="K8408" s="17"/>
      <c r="L8408" s="17" t="s">
        <v>19025</v>
      </c>
      <c r="M8408" s="17"/>
      <c r="N8408" s="17" t="s">
        <v>19268</v>
      </c>
      <c r="O8408" s="17" t="s">
        <v>19269</v>
      </c>
      <c r="P8408" s="17"/>
      <c r="Q8408" s="17"/>
      <c r="R8408" s="25" t="str">
        <f>HYPERLINK("https://ictv.global/taxonomy/taxondetails?taxnode_id=202302297","Banana virus X")</f>
        <v>Banana virus X</v>
      </c>
      <c r="S8408" s="18" t="s">
        <v>30</v>
      </c>
      <c r="T8408" s="18" t="s">
        <v>19270</v>
      </c>
      <c r="U8408" s="18" t="s">
        <v>19271</v>
      </c>
      <c r="V8408" s="18" t="s">
        <v>19272</v>
      </c>
      <c r="W8408" s="18" t="s">
        <v>19273</v>
      </c>
      <c r="X8408" s="18" t="s">
        <v>154</v>
      </c>
      <c r="Y8408" s="18" t="s">
        <v>17171</v>
      </c>
      <c r="Z8408" s="18" t="s">
        <v>13441</v>
      </c>
      <c r="AA8408" s="21" t="str">
        <f>HYPERLINK("https://www.ncbi.nlm.nih.gov/nuccore/AY710267","NCBI Nucleotide")</f>
        <v>NCBI Nucleotide</v>
      </c>
    </row>
    <row r="8409" spans="1:27" x14ac:dyDescent="0.35">
      <c r="A8409">
        <v>1008939</v>
      </c>
      <c r="B8409">
        <v>7805</v>
      </c>
      <c r="C8409">
        <v>1</v>
      </c>
      <c r="D8409" s="17" t="s">
        <v>17166</v>
      </c>
      <c r="E8409" s="17"/>
      <c r="F8409" s="17" t="s">
        <v>17246</v>
      </c>
      <c r="G8409" s="17"/>
      <c r="H8409" s="17" t="s">
        <v>17984</v>
      </c>
      <c r="I8409" s="17"/>
      <c r="J8409" s="17" t="s">
        <v>17985</v>
      </c>
      <c r="K8409" s="17"/>
      <c r="L8409" s="17" t="s">
        <v>19025</v>
      </c>
      <c r="M8409" s="17"/>
      <c r="N8409" s="17" t="s">
        <v>19268</v>
      </c>
      <c r="O8409" s="17" t="s">
        <v>19597</v>
      </c>
      <c r="P8409" s="17" t="s">
        <v>19598</v>
      </c>
      <c r="Q8409" s="17"/>
      <c r="R8409" s="25" t="str">
        <f>HYPERLINK("https://ictv.global/taxonomy/taxondetails?taxnode_id=202315078","Capillovirus alphaeriobotryae")</f>
        <v>Capillovirus alphaeriobotryae</v>
      </c>
      <c r="S8409" s="18" t="s">
        <v>30</v>
      </c>
      <c r="T8409" s="18" t="s">
        <v>19602</v>
      </c>
      <c r="U8409" s="18" t="s">
        <v>19603</v>
      </c>
      <c r="V8409" s="18" t="s">
        <v>19604</v>
      </c>
      <c r="W8409" s="18" t="s">
        <v>19605</v>
      </c>
      <c r="X8409" s="18" t="s">
        <v>42</v>
      </c>
      <c r="Y8409" s="18" t="s">
        <v>17171</v>
      </c>
      <c r="Z8409" s="18" t="s">
        <v>13441</v>
      </c>
      <c r="AA8409" s="21" t="str">
        <f>HYPERLINK("https://www.ncbi.nlm.nih.gov/nuccore/MK936045","NCBI Nucleotide")</f>
        <v>NCBI Nucleotide</v>
      </c>
    </row>
    <row r="8410" spans="1:27" x14ac:dyDescent="0.35">
      <c r="A8410">
        <v>1026001</v>
      </c>
      <c r="B8410">
        <v>7806</v>
      </c>
      <c r="C8410">
        <v>1</v>
      </c>
      <c r="D8410" s="17" t="s">
        <v>17166</v>
      </c>
      <c r="E8410" s="17"/>
      <c r="F8410" s="17" t="s">
        <v>17246</v>
      </c>
      <c r="G8410" s="17"/>
      <c r="H8410" s="17" t="s">
        <v>17984</v>
      </c>
      <c r="I8410" s="17"/>
      <c r="J8410" s="17" t="s">
        <v>17985</v>
      </c>
      <c r="K8410" s="17"/>
      <c r="L8410" s="17" t="s">
        <v>19025</v>
      </c>
      <c r="M8410" s="17"/>
      <c r="N8410" s="17" t="s">
        <v>19268</v>
      </c>
      <c r="O8410" s="17" t="s">
        <v>19597</v>
      </c>
      <c r="P8410" s="17" t="s">
        <v>19598</v>
      </c>
      <c r="Q8410" s="17"/>
      <c r="R8410" s="25" t="str">
        <f>HYPERLINK("https://ictv.global/taxonomy/taxondetails?taxnode_id=202319025","Capillovirus alphagerberae")</f>
        <v>Capillovirus alphagerberae</v>
      </c>
      <c r="S8410" s="18" t="s">
        <v>30</v>
      </c>
      <c r="T8410" s="18" t="s">
        <v>42437</v>
      </c>
      <c r="U8410" s="18" t="s">
        <v>42438</v>
      </c>
      <c r="V8410" s="18" t="s">
        <v>20565</v>
      </c>
      <c r="W8410" s="18" t="s">
        <v>48629</v>
      </c>
      <c r="X8410" s="18" t="s">
        <v>42</v>
      </c>
      <c r="Y8410" s="18" t="s">
        <v>17171</v>
      </c>
      <c r="Z8410" s="18" t="s">
        <v>13441</v>
      </c>
      <c r="AA8410" s="21" t="str">
        <f>HYPERLINK("https://www.ncbi.nlm.nih.gov/nuccore/OM525829","NCBI Nucleotide")</f>
        <v>NCBI Nucleotide</v>
      </c>
    </row>
    <row r="8411" spans="1:27" x14ac:dyDescent="0.35">
      <c r="A8411">
        <v>1008943</v>
      </c>
      <c r="B8411">
        <v>7807</v>
      </c>
      <c r="C8411">
        <v>1</v>
      </c>
      <c r="D8411" s="17" t="s">
        <v>17166</v>
      </c>
      <c r="E8411" s="17"/>
      <c r="F8411" s="17" t="s">
        <v>17246</v>
      </c>
      <c r="G8411" s="17"/>
      <c r="H8411" s="17" t="s">
        <v>17984</v>
      </c>
      <c r="I8411" s="17"/>
      <c r="J8411" s="17" t="s">
        <v>17985</v>
      </c>
      <c r="K8411" s="17"/>
      <c r="L8411" s="17" t="s">
        <v>19025</v>
      </c>
      <c r="M8411" s="17"/>
      <c r="N8411" s="17" t="s">
        <v>19268</v>
      </c>
      <c r="O8411" s="17" t="s">
        <v>19597</v>
      </c>
      <c r="P8411" s="17" t="s">
        <v>19598</v>
      </c>
      <c r="Q8411" s="17"/>
      <c r="R8411" s="25" t="str">
        <f>HYPERLINK("https://ictv.global/taxonomy/taxondetails?taxnode_id=202306322","Capillovirus alphamume")</f>
        <v>Capillovirus alphamume</v>
      </c>
      <c r="S8411" s="18" t="s">
        <v>30</v>
      </c>
      <c r="T8411" s="18" t="s">
        <v>19617</v>
      </c>
      <c r="U8411" s="18" t="s">
        <v>19618</v>
      </c>
      <c r="V8411" s="18" t="s">
        <v>19619</v>
      </c>
      <c r="W8411" s="18" t="s">
        <v>19620</v>
      </c>
      <c r="X8411" s="18" t="s">
        <v>42</v>
      </c>
      <c r="Y8411" s="18" t="s">
        <v>17171</v>
      </c>
      <c r="Z8411" s="18" t="s">
        <v>13441</v>
      </c>
      <c r="AA8411" s="21" t="str">
        <f>HYPERLINK("https://www.ncbi.nlm.nih.gov/nuccore/MG783575","NCBI Nucleotide")</f>
        <v>NCBI Nucleotide</v>
      </c>
    </row>
    <row r="8412" spans="1:27" x14ac:dyDescent="0.35">
      <c r="A8412">
        <v>1008942</v>
      </c>
      <c r="B8412">
        <v>7808</v>
      </c>
      <c r="C8412">
        <v>1</v>
      </c>
      <c r="D8412" s="17" t="s">
        <v>17166</v>
      </c>
      <c r="E8412" s="17"/>
      <c r="F8412" s="17" t="s">
        <v>17246</v>
      </c>
      <c r="G8412" s="17"/>
      <c r="H8412" s="17" t="s">
        <v>17984</v>
      </c>
      <c r="I8412" s="17"/>
      <c r="J8412" s="17" t="s">
        <v>17985</v>
      </c>
      <c r="K8412" s="17"/>
      <c r="L8412" s="17" t="s">
        <v>19025</v>
      </c>
      <c r="M8412" s="17"/>
      <c r="N8412" s="17" t="s">
        <v>19268</v>
      </c>
      <c r="O8412" s="17" t="s">
        <v>19597</v>
      </c>
      <c r="P8412" s="17" t="s">
        <v>19598</v>
      </c>
      <c r="Q8412" s="17"/>
      <c r="R8412" s="25" t="str">
        <f>HYPERLINK("https://ictv.global/taxonomy/taxondetails?taxnode_id=202306329","Capillovirus alpharibis")</f>
        <v>Capillovirus alpharibis</v>
      </c>
      <c r="S8412" s="18" t="s">
        <v>30</v>
      </c>
      <c r="T8412" s="18" t="s">
        <v>19613</v>
      </c>
      <c r="U8412" s="18" t="s">
        <v>19614</v>
      </c>
      <c r="V8412" s="18" t="s">
        <v>19615</v>
      </c>
      <c r="W8412" s="18" t="s">
        <v>19616</v>
      </c>
      <c r="X8412" s="18" t="s">
        <v>42</v>
      </c>
      <c r="Y8412" s="18" t="s">
        <v>17171</v>
      </c>
      <c r="Z8412" s="18" t="s">
        <v>13441</v>
      </c>
      <c r="AA8412" s="21" t="str">
        <f>HYPERLINK("https://www.ncbi.nlm.nih.gov/nuccore/KT763043","NCBI Nucleotide")</f>
        <v>NCBI Nucleotide</v>
      </c>
    </row>
    <row r="8413" spans="1:27" x14ac:dyDescent="0.35">
      <c r="A8413">
        <v>1008941</v>
      </c>
      <c r="B8413">
        <v>7809</v>
      </c>
      <c r="C8413">
        <v>1</v>
      </c>
      <c r="D8413" s="17" t="s">
        <v>17166</v>
      </c>
      <c r="E8413" s="17"/>
      <c r="F8413" s="17" t="s">
        <v>17246</v>
      </c>
      <c r="G8413" s="17"/>
      <c r="H8413" s="17" t="s">
        <v>17984</v>
      </c>
      <c r="I8413" s="17"/>
      <c r="J8413" s="17" t="s">
        <v>17985</v>
      </c>
      <c r="K8413" s="17"/>
      <c r="L8413" s="17" t="s">
        <v>19025</v>
      </c>
      <c r="M8413" s="17"/>
      <c r="N8413" s="17" t="s">
        <v>19268</v>
      </c>
      <c r="O8413" s="17" t="s">
        <v>19597</v>
      </c>
      <c r="P8413" s="17" t="s">
        <v>19598</v>
      </c>
      <c r="Q8413" s="17"/>
      <c r="R8413" s="25" t="str">
        <f>HYPERLINK("https://ictv.global/taxonomy/taxondetails?taxnode_id=202302302","Capillovirus alphavii")</f>
        <v>Capillovirus alphavii</v>
      </c>
      <c r="S8413" s="18" t="s">
        <v>30</v>
      </c>
      <c r="T8413" s="18" t="s">
        <v>19610</v>
      </c>
      <c r="U8413" s="18" t="s">
        <v>19611</v>
      </c>
      <c r="V8413" s="18" t="s">
        <v>14054</v>
      </c>
      <c r="W8413" s="18" t="s">
        <v>19612</v>
      </c>
      <c r="X8413" s="18" t="s">
        <v>42</v>
      </c>
      <c r="Y8413" s="18" t="s">
        <v>17171</v>
      </c>
      <c r="Z8413" s="18" t="s">
        <v>13441</v>
      </c>
      <c r="AA8413" s="21" t="str">
        <f>HYPERLINK("https://www.ncbi.nlm.nih.gov/nuccore/X82547","NCBI Nucleotide")</f>
        <v>NCBI Nucleotide</v>
      </c>
    </row>
    <row r="8414" spans="1:27" x14ac:dyDescent="0.35">
      <c r="A8414">
        <v>1008938</v>
      </c>
      <c r="B8414">
        <v>7810</v>
      </c>
      <c r="C8414">
        <v>1</v>
      </c>
      <c r="D8414" s="17" t="s">
        <v>17166</v>
      </c>
      <c r="E8414" s="17"/>
      <c r="F8414" s="17" t="s">
        <v>17246</v>
      </c>
      <c r="G8414" s="17"/>
      <c r="H8414" s="17" t="s">
        <v>17984</v>
      </c>
      <c r="I8414" s="17"/>
      <c r="J8414" s="17" t="s">
        <v>17985</v>
      </c>
      <c r="K8414" s="17"/>
      <c r="L8414" s="17" t="s">
        <v>19025</v>
      </c>
      <c r="M8414" s="17"/>
      <c r="N8414" s="17" t="s">
        <v>19268</v>
      </c>
      <c r="O8414" s="17" t="s">
        <v>19597</v>
      </c>
      <c r="P8414" s="17" t="s">
        <v>19598</v>
      </c>
      <c r="Q8414" s="17"/>
      <c r="R8414" s="25" t="str">
        <f>HYPERLINK("https://ictv.global/taxonomy/taxondetails?taxnode_id=202302301","Capillovirus mali")</f>
        <v>Capillovirus mali</v>
      </c>
      <c r="S8414" s="18" t="s">
        <v>30</v>
      </c>
      <c r="T8414" s="18" t="s">
        <v>19599</v>
      </c>
      <c r="U8414" s="18" t="s">
        <v>19600</v>
      </c>
      <c r="V8414" s="18"/>
      <c r="W8414" s="18" t="s">
        <v>19601</v>
      </c>
      <c r="X8414" s="18" t="s">
        <v>42</v>
      </c>
      <c r="Y8414" s="18" t="s">
        <v>17171</v>
      </c>
      <c r="Z8414" s="18" t="s">
        <v>13441</v>
      </c>
      <c r="AA8414" s="21" t="str">
        <f>HYPERLINK("https://www.ncbi.nlm.nih.gov/nuccore/D14995","NCBI Nucleotide")</f>
        <v>NCBI Nucleotide</v>
      </c>
    </row>
    <row r="8415" spans="1:27" x14ac:dyDescent="0.35">
      <c r="A8415">
        <v>1008940</v>
      </c>
      <c r="B8415">
        <v>7811</v>
      </c>
      <c r="C8415">
        <v>1</v>
      </c>
      <c r="D8415" s="17" t="s">
        <v>17166</v>
      </c>
      <c r="E8415" s="17"/>
      <c r="F8415" s="17" t="s">
        <v>17246</v>
      </c>
      <c r="G8415" s="17"/>
      <c r="H8415" s="17" t="s">
        <v>17984</v>
      </c>
      <c r="I8415" s="17"/>
      <c r="J8415" s="17" t="s">
        <v>17985</v>
      </c>
      <c r="K8415" s="17"/>
      <c r="L8415" s="17" t="s">
        <v>19025</v>
      </c>
      <c r="M8415" s="17"/>
      <c r="N8415" s="17" t="s">
        <v>19268</v>
      </c>
      <c r="O8415" s="17" t="s">
        <v>19597</v>
      </c>
      <c r="P8415" s="17" t="s">
        <v>19598</v>
      </c>
      <c r="Q8415" s="17"/>
      <c r="R8415" s="25" t="str">
        <f>HYPERLINK("https://ictv.global/taxonomy/taxondetails?taxnode_id=202313852","Capillovirus uniheveae")</f>
        <v>Capillovirus uniheveae</v>
      </c>
      <c r="S8415" s="18" t="s">
        <v>30</v>
      </c>
      <c r="T8415" s="18" t="s">
        <v>19606</v>
      </c>
      <c r="U8415" s="18" t="s">
        <v>19607</v>
      </c>
      <c r="V8415" s="18" t="s">
        <v>19608</v>
      </c>
      <c r="W8415" s="18" t="s">
        <v>19609</v>
      </c>
      <c r="X8415" s="18" t="s">
        <v>42</v>
      </c>
      <c r="Y8415" s="18" t="s">
        <v>17171</v>
      </c>
      <c r="Z8415" s="18" t="s">
        <v>13441</v>
      </c>
      <c r="AA8415" s="21" t="str">
        <f>HYPERLINK("https://www.ncbi.nlm.nih.gov/nuccore/MN047299","NCBI Nucleotide")</f>
        <v>NCBI Nucleotide</v>
      </c>
    </row>
    <row r="8416" spans="1:27" x14ac:dyDescent="0.35">
      <c r="A8416">
        <v>1026002</v>
      </c>
      <c r="B8416">
        <v>7812</v>
      </c>
      <c r="C8416">
        <v>1</v>
      </c>
      <c r="D8416" s="17" t="s">
        <v>17166</v>
      </c>
      <c r="E8416" s="17"/>
      <c r="F8416" s="17" t="s">
        <v>17246</v>
      </c>
      <c r="G8416" s="17"/>
      <c r="H8416" s="17" t="s">
        <v>17984</v>
      </c>
      <c r="I8416" s="17"/>
      <c r="J8416" s="17" t="s">
        <v>17985</v>
      </c>
      <c r="K8416" s="17"/>
      <c r="L8416" s="17" t="s">
        <v>19025</v>
      </c>
      <c r="M8416" s="17"/>
      <c r="N8416" s="17" t="s">
        <v>19268</v>
      </c>
      <c r="O8416" s="17" t="s">
        <v>19597</v>
      </c>
      <c r="P8416" s="17" t="s">
        <v>19598</v>
      </c>
      <c r="Q8416" s="17"/>
      <c r="R8416" s="25" t="str">
        <f>HYPERLINK("https://ictv.global/taxonomy/taxondetails?taxnode_id=202319026","Capillovirus unipolysciasii")</f>
        <v>Capillovirus unipolysciasii</v>
      </c>
      <c r="S8416" s="18" t="s">
        <v>30</v>
      </c>
      <c r="T8416" s="18" t="s">
        <v>42439</v>
      </c>
      <c r="U8416" s="18" t="s">
        <v>42440</v>
      </c>
      <c r="V8416" s="18" t="s">
        <v>42441</v>
      </c>
      <c r="W8416" s="18" t="s">
        <v>48630</v>
      </c>
      <c r="X8416" s="18" t="s">
        <v>42</v>
      </c>
      <c r="Y8416" s="18" t="s">
        <v>17171</v>
      </c>
      <c r="Z8416" s="18" t="s">
        <v>13441</v>
      </c>
      <c r="AA8416" s="21" t="str">
        <f>HYPERLINK("https://www.ncbi.nlm.nih.gov/nuccore/ON240063","NCBI Nucleotide")</f>
        <v>NCBI Nucleotide</v>
      </c>
    </row>
    <row r="8417" spans="1:27" x14ac:dyDescent="0.35">
      <c r="A8417">
        <v>1008945</v>
      </c>
      <c r="B8417">
        <v>7813</v>
      </c>
      <c r="C8417">
        <v>1</v>
      </c>
      <c r="D8417" s="17" t="s">
        <v>17166</v>
      </c>
      <c r="E8417" s="17"/>
      <c r="F8417" s="17" t="s">
        <v>17246</v>
      </c>
      <c r="G8417" s="17"/>
      <c r="H8417" s="17" t="s">
        <v>17984</v>
      </c>
      <c r="I8417" s="17"/>
      <c r="J8417" s="17" t="s">
        <v>17985</v>
      </c>
      <c r="K8417" s="17"/>
      <c r="L8417" s="17" t="s">
        <v>19025</v>
      </c>
      <c r="M8417" s="17"/>
      <c r="N8417" s="17" t="s">
        <v>19268</v>
      </c>
      <c r="O8417" s="17" t="s">
        <v>19597</v>
      </c>
      <c r="P8417" s="17" t="s">
        <v>19621</v>
      </c>
      <c r="Q8417" s="17"/>
      <c r="R8417" s="25" t="str">
        <f>HYPERLINK("https://ictv.global/taxonomy/taxondetails?taxnode_id=202302305","Chordovirus duocarotae")</f>
        <v>Chordovirus duocarotae</v>
      </c>
      <c r="S8417" s="18" t="s">
        <v>30</v>
      </c>
      <c r="T8417" s="18" t="s">
        <v>19625</v>
      </c>
      <c r="U8417" s="18" t="s">
        <v>19626</v>
      </c>
      <c r="V8417" s="18" t="s">
        <v>19627</v>
      </c>
      <c r="W8417" s="18" t="s">
        <v>19628</v>
      </c>
      <c r="X8417" s="18" t="s">
        <v>42</v>
      </c>
      <c r="Y8417" s="18" t="s">
        <v>17171</v>
      </c>
      <c r="Z8417" s="18" t="s">
        <v>13441</v>
      </c>
      <c r="AA8417" s="21" t="str">
        <f>HYPERLINK("https://www.ncbi.nlm.nih.gov/nuccore/KF533710","NCBI Nucleotide")</f>
        <v>NCBI Nucleotide</v>
      </c>
    </row>
    <row r="8418" spans="1:27" x14ac:dyDescent="0.35">
      <c r="A8418">
        <v>1008946</v>
      </c>
      <c r="B8418">
        <v>7814</v>
      </c>
      <c r="C8418">
        <v>1</v>
      </c>
      <c r="D8418" s="17" t="s">
        <v>17166</v>
      </c>
      <c r="E8418" s="17"/>
      <c r="F8418" s="17" t="s">
        <v>17246</v>
      </c>
      <c r="G8418" s="17"/>
      <c r="H8418" s="17" t="s">
        <v>17984</v>
      </c>
      <c r="I8418" s="17"/>
      <c r="J8418" s="17" t="s">
        <v>17985</v>
      </c>
      <c r="K8418" s="17"/>
      <c r="L8418" s="17" t="s">
        <v>19025</v>
      </c>
      <c r="M8418" s="17"/>
      <c r="N8418" s="17" t="s">
        <v>19268</v>
      </c>
      <c r="O8418" s="17" t="s">
        <v>19597</v>
      </c>
      <c r="P8418" s="17" t="s">
        <v>19621</v>
      </c>
      <c r="Q8418" s="17"/>
      <c r="R8418" s="25" t="str">
        <f>HYPERLINK("https://ictv.global/taxonomy/taxondetails?taxnode_id=202315087","Chordovirus tetraheraclei")</f>
        <v>Chordovirus tetraheraclei</v>
      </c>
      <c r="S8418" s="18" t="s">
        <v>30</v>
      </c>
      <c r="T8418" s="18" t="s">
        <v>19629</v>
      </c>
      <c r="U8418" s="18" t="s">
        <v>19630</v>
      </c>
      <c r="V8418" s="18"/>
      <c r="W8418" s="18" t="s">
        <v>19631</v>
      </c>
      <c r="X8418" s="18" t="s">
        <v>42</v>
      </c>
      <c r="Y8418" s="18" t="s">
        <v>17171</v>
      </c>
      <c r="Z8418" s="18" t="s">
        <v>13441</v>
      </c>
      <c r="AA8418" s="21" t="str">
        <f>HYPERLINK("https://www.ncbi.nlm.nih.gov/nuccore/OK032418","NCBI Nucleotide")</f>
        <v>NCBI Nucleotide</v>
      </c>
    </row>
    <row r="8419" spans="1:27" x14ac:dyDescent="0.35">
      <c r="A8419">
        <v>1008944</v>
      </c>
      <c r="B8419">
        <v>7815</v>
      </c>
      <c r="C8419">
        <v>1</v>
      </c>
      <c r="D8419" s="17" t="s">
        <v>17166</v>
      </c>
      <c r="E8419" s="17"/>
      <c r="F8419" s="17" t="s">
        <v>17246</v>
      </c>
      <c r="G8419" s="17"/>
      <c r="H8419" s="17" t="s">
        <v>17984</v>
      </c>
      <c r="I8419" s="17"/>
      <c r="J8419" s="17" t="s">
        <v>17985</v>
      </c>
      <c r="K8419" s="17"/>
      <c r="L8419" s="17" t="s">
        <v>19025</v>
      </c>
      <c r="M8419" s="17"/>
      <c r="N8419" s="17" t="s">
        <v>19268</v>
      </c>
      <c r="O8419" s="17" t="s">
        <v>19597</v>
      </c>
      <c r="P8419" s="17" t="s">
        <v>19621</v>
      </c>
      <c r="Q8419" s="17"/>
      <c r="R8419" s="25" t="str">
        <f>HYPERLINK("https://ictv.global/taxonomy/taxondetails?taxnode_id=202302304","Chordovirus unicarotae")</f>
        <v>Chordovirus unicarotae</v>
      </c>
      <c r="S8419" s="18" t="s">
        <v>30</v>
      </c>
      <c r="T8419" s="18" t="s">
        <v>19622</v>
      </c>
      <c r="U8419" s="18" t="s">
        <v>17351</v>
      </c>
      <c r="V8419" s="18" t="s">
        <v>19623</v>
      </c>
      <c r="W8419" s="18" t="s">
        <v>19624</v>
      </c>
      <c r="X8419" s="18" t="s">
        <v>42</v>
      </c>
      <c r="Y8419" s="18" t="s">
        <v>17171</v>
      </c>
      <c r="Z8419" s="18" t="s">
        <v>13441</v>
      </c>
      <c r="AA8419" s="21" t="str">
        <f>HYPERLINK("https://www.ncbi.nlm.nih.gov/nuccore/KF533711","NCBI Nucleotide")</f>
        <v>NCBI Nucleotide</v>
      </c>
    </row>
    <row r="8420" spans="1:27" x14ac:dyDescent="0.35">
      <c r="A8420">
        <v>1008947</v>
      </c>
      <c r="B8420">
        <v>7816</v>
      </c>
      <c r="C8420">
        <v>1</v>
      </c>
      <c r="D8420" s="17" t="s">
        <v>17166</v>
      </c>
      <c r="E8420" s="17"/>
      <c r="F8420" s="17" t="s">
        <v>17246</v>
      </c>
      <c r="G8420" s="17"/>
      <c r="H8420" s="17" t="s">
        <v>17984</v>
      </c>
      <c r="I8420" s="17"/>
      <c r="J8420" s="17" t="s">
        <v>17985</v>
      </c>
      <c r="K8420" s="17"/>
      <c r="L8420" s="17" t="s">
        <v>19025</v>
      </c>
      <c r="M8420" s="17"/>
      <c r="N8420" s="17" t="s">
        <v>19268</v>
      </c>
      <c r="O8420" s="17" t="s">
        <v>19597</v>
      </c>
      <c r="P8420" s="17" t="s">
        <v>19621</v>
      </c>
      <c r="Q8420" s="17"/>
      <c r="R8420" s="25" t="str">
        <f>HYPERLINK("https://ictv.global/taxonomy/taxondetails?taxnode_id=202315088","Chordovirus unilactucae")</f>
        <v>Chordovirus unilactucae</v>
      </c>
      <c r="S8420" s="18" t="s">
        <v>30</v>
      </c>
      <c r="T8420" s="18" t="s">
        <v>19632</v>
      </c>
      <c r="U8420" s="18" t="s">
        <v>19633</v>
      </c>
      <c r="V8420" s="18" t="s">
        <v>19634</v>
      </c>
      <c r="W8420" s="18" t="s">
        <v>19635</v>
      </c>
      <c r="X8420" s="18" t="s">
        <v>42</v>
      </c>
      <c r="Y8420" s="18" t="s">
        <v>17171</v>
      </c>
      <c r="Z8420" s="18" t="s">
        <v>13441</v>
      </c>
      <c r="AA8420" s="21" t="str">
        <f>HYPERLINK("https://www.ncbi.nlm.nih.gov/nuccore/MG208123","NCBI Nucleotide")</f>
        <v>NCBI Nucleotide</v>
      </c>
    </row>
    <row r="8421" spans="1:27" x14ac:dyDescent="0.35">
      <c r="A8421">
        <v>1008948</v>
      </c>
      <c r="B8421">
        <v>7817</v>
      </c>
      <c r="C8421">
        <v>1</v>
      </c>
      <c r="D8421" s="17" t="s">
        <v>17166</v>
      </c>
      <c r="E8421" s="17"/>
      <c r="F8421" s="17" t="s">
        <v>17246</v>
      </c>
      <c r="G8421" s="17"/>
      <c r="H8421" s="17" t="s">
        <v>17984</v>
      </c>
      <c r="I8421" s="17"/>
      <c r="J8421" s="17" t="s">
        <v>17985</v>
      </c>
      <c r="K8421" s="17"/>
      <c r="L8421" s="17" t="s">
        <v>19025</v>
      </c>
      <c r="M8421" s="17"/>
      <c r="N8421" s="17" t="s">
        <v>19268</v>
      </c>
      <c r="O8421" s="17" t="s">
        <v>19597</v>
      </c>
      <c r="P8421" s="17" t="s">
        <v>19636</v>
      </c>
      <c r="Q8421" s="17"/>
      <c r="R8421" s="25" t="str">
        <f>HYPERLINK("https://ictv.global/taxonomy/taxondetails?taxnode_id=202302307","Citrivirus citri")</f>
        <v>Citrivirus citri</v>
      </c>
      <c r="S8421" s="18" t="s">
        <v>30</v>
      </c>
      <c r="T8421" s="18" t="s">
        <v>19637</v>
      </c>
      <c r="U8421" s="18" t="s">
        <v>19638</v>
      </c>
      <c r="V8421" s="18" t="s">
        <v>19639</v>
      </c>
      <c r="W8421" s="18" t="s">
        <v>19640</v>
      </c>
      <c r="X8421" s="18" t="s">
        <v>42</v>
      </c>
      <c r="Y8421" s="18" t="s">
        <v>17171</v>
      </c>
      <c r="Z8421" s="18" t="s">
        <v>13441</v>
      </c>
      <c r="AA8421" s="21" t="str">
        <f>HYPERLINK("https://www.ncbi.nlm.nih.gov/nuccore/AJ318061","NCBI Nucleotide")</f>
        <v>NCBI Nucleotide</v>
      </c>
    </row>
    <row r="8422" spans="1:27" x14ac:dyDescent="0.35">
      <c r="A8422">
        <v>1026093</v>
      </c>
      <c r="B8422">
        <v>7818</v>
      </c>
      <c r="C8422">
        <v>1</v>
      </c>
      <c r="D8422" s="17" t="s">
        <v>17166</v>
      </c>
      <c r="E8422" s="17"/>
      <c r="F8422" s="17" t="s">
        <v>17246</v>
      </c>
      <c r="G8422" s="17"/>
      <c r="H8422" s="17" t="s">
        <v>17984</v>
      </c>
      <c r="I8422" s="17"/>
      <c r="J8422" s="17" t="s">
        <v>17985</v>
      </c>
      <c r="K8422" s="17"/>
      <c r="L8422" s="17" t="s">
        <v>19025</v>
      </c>
      <c r="M8422" s="17"/>
      <c r="N8422" s="17" t="s">
        <v>19268</v>
      </c>
      <c r="O8422" s="17" t="s">
        <v>19597</v>
      </c>
      <c r="P8422" s="17" t="s">
        <v>19636</v>
      </c>
      <c r="Q8422" s="17"/>
      <c r="R8422" s="25" t="str">
        <f>HYPERLINK("https://ictv.global/taxonomy/taxondetails?taxnode_id=202319027","Citrivirus unipolysciasii")</f>
        <v>Citrivirus unipolysciasii</v>
      </c>
      <c r="S8422" s="18" t="s">
        <v>30</v>
      </c>
      <c r="T8422" s="18" t="s">
        <v>42442</v>
      </c>
      <c r="U8422" s="18" t="s">
        <v>42443</v>
      </c>
      <c r="V8422" s="18" t="s">
        <v>42441</v>
      </c>
      <c r="W8422" s="18" t="s">
        <v>48631</v>
      </c>
      <c r="X8422" s="18" t="s">
        <v>42</v>
      </c>
      <c r="Y8422" s="18" t="s">
        <v>17171</v>
      </c>
      <c r="Z8422" s="18" t="s">
        <v>13441</v>
      </c>
      <c r="AA8422" s="21" t="str">
        <f>HYPERLINK("https://www.ncbi.nlm.nih.gov/nuccore/ON240064","NCBI Nucleotide")</f>
        <v>NCBI Nucleotide</v>
      </c>
    </row>
    <row r="8423" spans="1:27" x14ac:dyDescent="0.35">
      <c r="A8423">
        <v>1008949</v>
      </c>
      <c r="B8423">
        <v>7819</v>
      </c>
      <c r="C8423">
        <v>1</v>
      </c>
      <c r="D8423" s="17" t="s">
        <v>17166</v>
      </c>
      <c r="E8423" s="17"/>
      <c r="F8423" s="17" t="s">
        <v>17246</v>
      </c>
      <c r="G8423" s="17"/>
      <c r="H8423" s="17" t="s">
        <v>17984</v>
      </c>
      <c r="I8423" s="17"/>
      <c r="J8423" s="17" t="s">
        <v>17985</v>
      </c>
      <c r="K8423" s="17"/>
      <c r="L8423" s="17" t="s">
        <v>19025</v>
      </c>
      <c r="M8423" s="17"/>
      <c r="N8423" s="17" t="s">
        <v>19268</v>
      </c>
      <c r="O8423" s="17" t="s">
        <v>19597</v>
      </c>
      <c r="P8423" s="17" t="s">
        <v>19641</v>
      </c>
      <c r="Q8423" s="17"/>
      <c r="R8423" s="25" t="str">
        <f>HYPERLINK("https://ictv.global/taxonomy/taxondetails?taxnode_id=202302309","Divavirus alphadiuris")</f>
        <v>Divavirus alphadiuris</v>
      </c>
      <c r="S8423" s="18" t="s">
        <v>30</v>
      </c>
      <c r="T8423" s="18" t="s">
        <v>19642</v>
      </c>
      <c r="U8423" s="18" t="s">
        <v>19643</v>
      </c>
      <c r="V8423" s="18" t="s">
        <v>19644</v>
      </c>
      <c r="W8423" s="18" t="s">
        <v>19645</v>
      </c>
      <c r="X8423" s="18" t="s">
        <v>42</v>
      </c>
      <c r="Y8423" s="18" t="s">
        <v>17171</v>
      </c>
      <c r="Z8423" s="18" t="s">
        <v>13441</v>
      </c>
      <c r="AA8423" s="21" t="str">
        <f>HYPERLINK("https://www.ncbi.nlm.nih.gov/nuccore/JX173276","NCBI Nucleotide")</f>
        <v>NCBI Nucleotide</v>
      </c>
    </row>
    <row r="8424" spans="1:27" x14ac:dyDescent="0.35">
      <c r="A8424">
        <v>1008951</v>
      </c>
      <c r="B8424">
        <v>7820</v>
      </c>
      <c r="C8424">
        <v>1</v>
      </c>
      <c r="D8424" s="17" t="s">
        <v>17166</v>
      </c>
      <c r="E8424" s="17"/>
      <c r="F8424" s="17" t="s">
        <v>17246</v>
      </c>
      <c r="G8424" s="17"/>
      <c r="H8424" s="17" t="s">
        <v>17984</v>
      </c>
      <c r="I8424" s="17"/>
      <c r="J8424" s="17" t="s">
        <v>17985</v>
      </c>
      <c r="K8424" s="17"/>
      <c r="L8424" s="17" t="s">
        <v>19025</v>
      </c>
      <c r="M8424" s="17"/>
      <c r="N8424" s="17" t="s">
        <v>19268</v>
      </c>
      <c r="O8424" s="17" t="s">
        <v>19597</v>
      </c>
      <c r="P8424" s="17" t="s">
        <v>19641</v>
      </c>
      <c r="Q8424" s="17"/>
      <c r="R8424" s="25" t="str">
        <f>HYPERLINK("https://ictv.global/taxonomy/taxondetails?taxnode_id=202302311","Divavirus alphahardenbergiae")</f>
        <v>Divavirus alphahardenbergiae</v>
      </c>
      <c r="S8424" s="18" t="s">
        <v>30</v>
      </c>
      <c r="T8424" s="18" t="s">
        <v>19649</v>
      </c>
      <c r="U8424" s="18" t="s">
        <v>19650</v>
      </c>
      <c r="V8424" s="18">
        <v>57</v>
      </c>
      <c r="W8424" s="18" t="s">
        <v>19651</v>
      </c>
      <c r="X8424" s="18" t="s">
        <v>42</v>
      </c>
      <c r="Y8424" s="18" t="s">
        <v>17171</v>
      </c>
      <c r="Z8424" s="18" t="s">
        <v>13441</v>
      </c>
      <c r="AA8424" s="21" t="str">
        <f>HYPERLINK("https://www.ncbi.nlm.nih.gov/nuccore/HQ241409","NCBI Nucleotide")</f>
        <v>NCBI Nucleotide</v>
      </c>
    </row>
    <row r="8425" spans="1:27" x14ac:dyDescent="0.35">
      <c r="A8425">
        <v>1008950</v>
      </c>
      <c r="B8425">
        <v>7821</v>
      </c>
      <c r="C8425">
        <v>1</v>
      </c>
      <c r="D8425" s="17" t="s">
        <v>17166</v>
      </c>
      <c r="E8425" s="17"/>
      <c r="F8425" s="17" t="s">
        <v>17246</v>
      </c>
      <c r="G8425" s="17"/>
      <c r="H8425" s="17" t="s">
        <v>17984</v>
      </c>
      <c r="I8425" s="17"/>
      <c r="J8425" s="17" t="s">
        <v>17985</v>
      </c>
      <c r="K8425" s="17"/>
      <c r="L8425" s="17" t="s">
        <v>19025</v>
      </c>
      <c r="M8425" s="17"/>
      <c r="N8425" s="17" t="s">
        <v>19268</v>
      </c>
      <c r="O8425" s="17" t="s">
        <v>19597</v>
      </c>
      <c r="P8425" s="17" t="s">
        <v>19641</v>
      </c>
      <c r="Q8425" s="17"/>
      <c r="R8425" s="25" t="str">
        <f>HYPERLINK("https://ictv.global/taxonomy/taxondetails?taxnode_id=202302310","Divavirus betadiuris")</f>
        <v>Divavirus betadiuris</v>
      </c>
      <c r="S8425" s="18" t="s">
        <v>30</v>
      </c>
      <c r="T8425" s="18" t="s">
        <v>19646</v>
      </c>
      <c r="U8425" s="18" t="s">
        <v>19647</v>
      </c>
      <c r="V8425" s="18" t="s">
        <v>19644</v>
      </c>
      <c r="W8425" s="18" t="s">
        <v>19648</v>
      </c>
      <c r="X8425" s="18" t="s">
        <v>42</v>
      </c>
      <c r="Y8425" s="18" t="s">
        <v>17171</v>
      </c>
      <c r="Z8425" s="18" t="s">
        <v>13441</v>
      </c>
      <c r="AA8425" s="21" t="str">
        <f>HYPERLINK("https://www.ncbi.nlm.nih.gov/nuccore/JX173277","NCBI Nucleotide")</f>
        <v>NCBI Nucleotide</v>
      </c>
    </row>
    <row r="8426" spans="1:27" x14ac:dyDescent="0.35">
      <c r="A8426">
        <v>1008952</v>
      </c>
      <c r="B8426">
        <v>7822</v>
      </c>
      <c r="C8426">
        <v>1</v>
      </c>
      <c r="D8426" s="17" t="s">
        <v>17166</v>
      </c>
      <c r="E8426" s="17"/>
      <c r="F8426" s="17" t="s">
        <v>17246</v>
      </c>
      <c r="G8426" s="17"/>
      <c r="H8426" s="17" t="s">
        <v>17984</v>
      </c>
      <c r="I8426" s="17"/>
      <c r="J8426" s="17" t="s">
        <v>17985</v>
      </c>
      <c r="K8426" s="17"/>
      <c r="L8426" s="17" t="s">
        <v>19025</v>
      </c>
      <c r="M8426" s="17"/>
      <c r="N8426" s="17" t="s">
        <v>19268</v>
      </c>
      <c r="O8426" s="17" t="s">
        <v>19597</v>
      </c>
      <c r="P8426" s="17" t="s">
        <v>19652</v>
      </c>
      <c r="Q8426" s="17"/>
      <c r="R8426" s="25" t="str">
        <f>HYPERLINK("https://ictv.global/taxonomy/taxondetails?taxnode_id=202306390","Prunevirus actinidiae")</f>
        <v>Prunevirus actinidiae</v>
      </c>
      <c r="S8426" s="18" t="s">
        <v>30</v>
      </c>
      <c r="T8426" s="18" t="s">
        <v>19653</v>
      </c>
      <c r="U8426" s="18" t="s">
        <v>19654</v>
      </c>
      <c r="V8426" s="18">
        <v>1227</v>
      </c>
      <c r="W8426" s="18" t="s">
        <v>19655</v>
      </c>
      <c r="X8426" s="18" t="s">
        <v>42</v>
      </c>
      <c r="Y8426" s="18" t="s">
        <v>17171</v>
      </c>
      <c r="Z8426" s="18" t="s">
        <v>13441</v>
      </c>
      <c r="AA8426" s="21" t="str">
        <f>HYPERLINK("https://www.ncbi.nlm.nih.gov/nuccore/MF440375","NCBI Nucleotide")</f>
        <v>NCBI Nucleotide</v>
      </c>
    </row>
    <row r="8427" spans="1:27" x14ac:dyDescent="0.35">
      <c r="A8427">
        <v>1008953</v>
      </c>
      <c r="B8427">
        <v>7823</v>
      </c>
      <c r="C8427">
        <v>1</v>
      </c>
      <c r="D8427" s="17" t="s">
        <v>17166</v>
      </c>
      <c r="E8427" s="17"/>
      <c r="F8427" s="17" t="s">
        <v>17246</v>
      </c>
      <c r="G8427" s="17"/>
      <c r="H8427" s="17" t="s">
        <v>17984</v>
      </c>
      <c r="I8427" s="17"/>
      <c r="J8427" s="17" t="s">
        <v>17985</v>
      </c>
      <c r="K8427" s="17"/>
      <c r="L8427" s="17" t="s">
        <v>19025</v>
      </c>
      <c r="M8427" s="17"/>
      <c r="N8427" s="17" t="s">
        <v>19268</v>
      </c>
      <c r="O8427" s="17" t="s">
        <v>19597</v>
      </c>
      <c r="P8427" s="17" t="s">
        <v>19652</v>
      </c>
      <c r="Q8427" s="17"/>
      <c r="R8427" s="25" t="str">
        <f>HYPERLINK("https://ictv.global/taxonomy/taxondetails?taxnode_id=202302313","Prunevirus armeniacae")</f>
        <v>Prunevirus armeniacae</v>
      </c>
      <c r="S8427" s="18" t="s">
        <v>30</v>
      </c>
      <c r="T8427" s="18" t="s">
        <v>19656</v>
      </c>
      <c r="U8427" s="18" t="s">
        <v>19657</v>
      </c>
      <c r="V8427" s="18" t="s">
        <v>19658</v>
      </c>
      <c r="W8427" s="18" t="s">
        <v>19659</v>
      </c>
      <c r="X8427" s="18" t="s">
        <v>42</v>
      </c>
      <c r="Y8427" s="18" t="s">
        <v>17171</v>
      </c>
      <c r="Z8427" s="18" t="s">
        <v>13441</v>
      </c>
      <c r="AA8427" s="21" t="str">
        <f>HYPERLINK("https://www.ncbi.nlm.nih.gov/nuccore/HG008921","NCBI Nucleotide")</f>
        <v>NCBI Nucleotide</v>
      </c>
    </row>
    <row r="8428" spans="1:27" x14ac:dyDescent="0.35">
      <c r="A8428">
        <v>1008954</v>
      </c>
      <c r="B8428">
        <v>7824</v>
      </c>
      <c r="C8428">
        <v>1</v>
      </c>
      <c r="D8428" s="17" t="s">
        <v>17166</v>
      </c>
      <c r="E8428" s="17"/>
      <c r="F8428" s="17" t="s">
        <v>17246</v>
      </c>
      <c r="G8428" s="17"/>
      <c r="H8428" s="17" t="s">
        <v>17984</v>
      </c>
      <c r="I8428" s="17"/>
      <c r="J8428" s="17" t="s">
        <v>17985</v>
      </c>
      <c r="K8428" s="17"/>
      <c r="L8428" s="17" t="s">
        <v>19025</v>
      </c>
      <c r="M8428" s="17"/>
      <c r="N8428" s="17" t="s">
        <v>19268</v>
      </c>
      <c r="O8428" s="17" t="s">
        <v>19597</v>
      </c>
      <c r="P8428" s="17" t="s">
        <v>19652</v>
      </c>
      <c r="Q8428" s="17"/>
      <c r="R8428" s="25" t="str">
        <f>HYPERLINK("https://ictv.global/taxonomy/taxondetails?taxnode_id=202302314","Prunevirus caucasicum")</f>
        <v>Prunevirus caucasicum</v>
      </c>
      <c r="S8428" s="18" t="s">
        <v>30</v>
      </c>
      <c r="T8428" s="18" t="s">
        <v>19660</v>
      </c>
      <c r="U8428" s="18" t="s">
        <v>12807</v>
      </c>
      <c r="V8428" s="18" t="s">
        <v>19661</v>
      </c>
      <c r="W8428" s="18" t="s">
        <v>19662</v>
      </c>
      <c r="X8428" s="18" t="s">
        <v>42</v>
      </c>
      <c r="Y8428" s="18" t="s">
        <v>17171</v>
      </c>
      <c r="Z8428" s="18" t="s">
        <v>13441</v>
      </c>
      <c r="AA8428" s="21" t="str">
        <f>HYPERLINK("https://www.ncbi.nlm.nih.gov/nuccore/KM507061","NCBI Nucleotide")</f>
        <v>NCBI Nucleotide</v>
      </c>
    </row>
    <row r="8429" spans="1:27" x14ac:dyDescent="0.35">
      <c r="A8429">
        <v>1008955</v>
      </c>
      <c r="B8429">
        <v>7825</v>
      </c>
      <c r="C8429">
        <v>1</v>
      </c>
      <c r="D8429" s="17" t="s">
        <v>17166</v>
      </c>
      <c r="E8429" s="17"/>
      <c r="F8429" s="17" t="s">
        <v>17246</v>
      </c>
      <c r="G8429" s="17"/>
      <c r="H8429" s="17" t="s">
        <v>17984</v>
      </c>
      <c r="I8429" s="17"/>
      <c r="J8429" s="17" t="s">
        <v>17985</v>
      </c>
      <c r="K8429" s="17"/>
      <c r="L8429" s="17" t="s">
        <v>19025</v>
      </c>
      <c r="M8429" s="17"/>
      <c r="N8429" s="17" t="s">
        <v>19268</v>
      </c>
      <c r="O8429" s="17" t="s">
        <v>19597</v>
      </c>
      <c r="P8429" s="17" t="s">
        <v>19652</v>
      </c>
      <c r="Q8429" s="17"/>
      <c r="R8429" s="25" t="str">
        <f>HYPERLINK("https://ictv.global/taxonomy/taxondetails?taxnode_id=202313853","Prunevirus unicamelliae")</f>
        <v>Prunevirus unicamelliae</v>
      </c>
      <c r="S8429" s="18" t="s">
        <v>30</v>
      </c>
      <c r="T8429" s="18" t="s">
        <v>19663</v>
      </c>
      <c r="U8429" s="18" t="s">
        <v>19664</v>
      </c>
      <c r="V8429" s="18" t="s">
        <v>19665</v>
      </c>
      <c r="W8429" s="18" t="s">
        <v>19666</v>
      </c>
      <c r="X8429" s="18" t="s">
        <v>42</v>
      </c>
      <c r="Y8429" s="18" t="s">
        <v>17171</v>
      </c>
      <c r="Z8429" s="18" t="s">
        <v>13441</v>
      </c>
      <c r="AA8429" s="21" t="str">
        <f>HYPERLINK("https://www.ncbi.nlm.nih.gov/nuccore/MK050792","NCBI Nucleotide")</f>
        <v>NCBI Nucleotide</v>
      </c>
    </row>
    <row r="8430" spans="1:27" x14ac:dyDescent="0.35">
      <c r="A8430">
        <v>1008956</v>
      </c>
      <c r="B8430">
        <v>7826</v>
      </c>
      <c r="C8430">
        <v>1</v>
      </c>
      <c r="D8430" s="17" t="s">
        <v>17166</v>
      </c>
      <c r="E8430" s="17"/>
      <c r="F8430" s="17" t="s">
        <v>17246</v>
      </c>
      <c r="G8430" s="17"/>
      <c r="H8430" s="17" t="s">
        <v>17984</v>
      </c>
      <c r="I8430" s="17"/>
      <c r="J8430" s="17" t="s">
        <v>17985</v>
      </c>
      <c r="K8430" s="17"/>
      <c r="L8430" s="17" t="s">
        <v>19025</v>
      </c>
      <c r="M8430" s="17"/>
      <c r="N8430" s="17" t="s">
        <v>19268</v>
      </c>
      <c r="O8430" s="17" t="s">
        <v>19597</v>
      </c>
      <c r="P8430" s="17" t="s">
        <v>19667</v>
      </c>
      <c r="Q8430" s="17"/>
      <c r="R8430" s="25" t="str">
        <f>HYPERLINK("https://ictv.global/taxonomy/taxondetails?taxnode_id=202307396","Ravavirus alpharibis")</f>
        <v>Ravavirus alpharibis</v>
      </c>
      <c r="S8430" s="18" t="s">
        <v>30</v>
      </c>
      <c r="T8430" s="18" t="s">
        <v>19668</v>
      </c>
      <c r="U8430" s="18" t="s">
        <v>19669</v>
      </c>
      <c r="V8430" s="18" t="s">
        <v>19670</v>
      </c>
      <c r="W8430" s="18" t="s">
        <v>19671</v>
      </c>
      <c r="X8430" s="18" t="s">
        <v>42</v>
      </c>
      <c r="Y8430" s="18" t="s">
        <v>17171</v>
      </c>
      <c r="Z8430" s="18" t="s">
        <v>13441</v>
      </c>
      <c r="AA8430" s="21" t="str">
        <f>HYPERLINK("https://www.ncbi.nlm.nih.gov/nuccore/MF166685","NCBI Nucleotide")</f>
        <v>NCBI Nucleotide</v>
      </c>
    </row>
    <row r="8431" spans="1:27" x14ac:dyDescent="0.35">
      <c r="A8431">
        <v>1008959</v>
      </c>
      <c r="B8431">
        <v>7827</v>
      </c>
      <c r="C8431">
        <v>1</v>
      </c>
      <c r="D8431" s="17" t="s">
        <v>17166</v>
      </c>
      <c r="E8431" s="17"/>
      <c r="F8431" s="17" t="s">
        <v>17246</v>
      </c>
      <c r="G8431" s="17"/>
      <c r="H8431" s="17" t="s">
        <v>17984</v>
      </c>
      <c r="I8431" s="17"/>
      <c r="J8431" s="17" t="s">
        <v>17985</v>
      </c>
      <c r="K8431" s="17"/>
      <c r="L8431" s="17" t="s">
        <v>19025</v>
      </c>
      <c r="M8431" s="17"/>
      <c r="N8431" s="17" t="s">
        <v>19268</v>
      </c>
      <c r="O8431" s="17" t="s">
        <v>19597</v>
      </c>
      <c r="P8431" s="17" t="s">
        <v>19672</v>
      </c>
      <c r="Q8431" s="17"/>
      <c r="R8431" s="25" t="str">
        <f>HYPERLINK("https://ictv.global/taxonomy/taxondetails?taxnode_id=202313854","Tepovirus tafagavis")</f>
        <v>Tepovirus tafagavis</v>
      </c>
      <c r="S8431" s="18" t="s">
        <v>30</v>
      </c>
      <c r="T8431" s="18" t="s">
        <v>19680</v>
      </c>
      <c r="U8431" s="18" t="s">
        <v>19681</v>
      </c>
      <c r="V8431" s="18" t="s">
        <v>19682</v>
      </c>
      <c r="W8431" s="18" t="s">
        <v>19683</v>
      </c>
      <c r="X8431" s="18" t="s">
        <v>35</v>
      </c>
      <c r="Y8431" s="18" t="s">
        <v>17171</v>
      </c>
      <c r="Z8431" s="18" t="s">
        <v>13441</v>
      </c>
      <c r="AA8431" s="21" t="str">
        <f>HYPERLINK("https://www.ncbi.nlm.nih.gov/nuccore/MW323519","NCBI Nucleotide")</f>
        <v>NCBI Nucleotide</v>
      </c>
    </row>
    <row r="8432" spans="1:27" x14ac:dyDescent="0.35">
      <c r="A8432">
        <v>1008960</v>
      </c>
      <c r="B8432">
        <v>7828</v>
      </c>
      <c r="C8432">
        <v>1</v>
      </c>
      <c r="D8432" s="17" t="s">
        <v>17166</v>
      </c>
      <c r="E8432" s="17"/>
      <c r="F8432" s="17" t="s">
        <v>17246</v>
      </c>
      <c r="G8432" s="17"/>
      <c r="H8432" s="17" t="s">
        <v>17984</v>
      </c>
      <c r="I8432" s="17"/>
      <c r="J8432" s="17" t="s">
        <v>17985</v>
      </c>
      <c r="K8432" s="17"/>
      <c r="L8432" s="17" t="s">
        <v>19025</v>
      </c>
      <c r="M8432" s="17"/>
      <c r="N8432" s="17" t="s">
        <v>19268</v>
      </c>
      <c r="O8432" s="17" t="s">
        <v>19597</v>
      </c>
      <c r="P8432" s="17" t="s">
        <v>19672</v>
      </c>
      <c r="Q8432" s="17"/>
      <c r="R8432" s="25" t="str">
        <f>HYPERLINK("https://ictv.global/taxonomy/taxondetails?taxnode_id=202313855","Tepovirus tafavii")</f>
        <v>Tepovirus tafavii</v>
      </c>
      <c r="S8432" s="18" t="s">
        <v>30</v>
      </c>
      <c r="T8432" s="18" t="s">
        <v>19684</v>
      </c>
      <c r="U8432" s="18" t="s">
        <v>19685</v>
      </c>
      <c r="V8432" s="18" t="s">
        <v>19686</v>
      </c>
      <c r="W8432" s="18" t="s">
        <v>19687</v>
      </c>
      <c r="X8432" s="18" t="s">
        <v>42</v>
      </c>
      <c r="Y8432" s="18" t="s">
        <v>17171</v>
      </c>
      <c r="Z8432" s="18" t="s">
        <v>13441</v>
      </c>
      <c r="AA8432" s="21" t="str">
        <f>HYPERLINK("https://www.ncbi.nlm.nih.gov/nuccore/MT090966","NCBI Nucleotide")</f>
        <v>NCBI Nucleotide</v>
      </c>
    </row>
    <row r="8433" spans="1:27" x14ac:dyDescent="0.35">
      <c r="A8433">
        <v>1008958</v>
      </c>
      <c r="B8433">
        <v>7829</v>
      </c>
      <c r="C8433">
        <v>1</v>
      </c>
      <c r="D8433" s="17" t="s">
        <v>17166</v>
      </c>
      <c r="E8433" s="17"/>
      <c r="F8433" s="17" t="s">
        <v>17246</v>
      </c>
      <c r="G8433" s="17"/>
      <c r="H8433" s="17" t="s">
        <v>17984</v>
      </c>
      <c r="I8433" s="17"/>
      <c r="J8433" s="17" t="s">
        <v>17985</v>
      </c>
      <c r="K8433" s="17"/>
      <c r="L8433" s="17" t="s">
        <v>19025</v>
      </c>
      <c r="M8433" s="17"/>
      <c r="N8433" s="17" t="s">
        <v>19268</v>
      </c>
      <c r="O8433" s="17" t="s">
        <v>19597</v>
      </c>
      <c r="P8433" s="17" t="s">
        <v>19672</v>
      </c>
      <c r="Q8433" s="17"/>
      <c r="R8433" s="25" t="str">
        <f>HYPERLINK("https://ictv.global/taxonomy/taxondetails?taxnode_id=202302317","Tepovirus tafpruni")</f>
        <v>Tepovirus tafpruni</v>
      </c>
      <c r="S8433" s="18" t="s">
        <v>30</v>
      </c>
      <c r="T8433" s="18" t="s">
        <v>19676</v>
      </c>
      <c r="U8433" s="18" t="s">
        <v>19677</v>
      </c>
      <c r="V8433" s="18" t="s">
        <v>19678</v>
      </c>
      <c r="W8433" s="18" t="s">
        <v>19679</v>
      </c>
      <c r="X8433" s="18" t="s">
        <v>42</v>
      </c>
      <c r="Y8433" s="18" t="s">
        <v>17171</v>
      </c>
      <c r="Z8433" s="18" t="s">
        <v>13441</v>
      </c>
      <c r="AA8433" s="21" t="str">
        <f>HYPERLINK("https://www.ncbi.nlm.nih.gov/nuccore/KF700263","NCBI Nucleotide")</f>
        <v>NCBI Nucleotide</v>
      </c>
    </row>
    <row r="8434" spans="1:27" x14ac:dyDescent="0.35">
      <c r="A8434">
        <v>1008957</v>
      </c>
      <c r="B8434">
        <v>7830</v>
      </c>
      <c r="C8434">
        <v>1</v>
      </c>
      <c r="D8434" s="17" t="s">
        <v>17166</v>
      </c>
      <c r="E8434" s="17"/>
      <c r="F8434" s="17" t="s">
        <v>17246</v>
      </c>
      <c r="G8434" s="17"/>
      <c r="H8434" s="17" t="s">
        <v>17984</v>
      </c>
      <c r="I8434" s="17"/>
      <c r="J8434" s="17" t="s">
        <v>17985</v>
      </c>
      <c r="K8434" s="17"/>
      <c r="L8434" s="17" t="s">
        <v>19025</v>
      </c>
      <c r="M8434" s="17"/>
      <c r="N8434" s="17" t="s">
        <v>19268</v>
      </c>
      <c r="O8434" s="17" t="s">
        <v>19597</v>
      </c>
      <c r="P8434" s="17" t="s">
        <v>19672</v>
      </c>
      <c r="Q8434" s="17"/>
      <c r="R8434" s="25" t="str">
        <f>HYPERLINK("https://ictv.global/taxonomy/taxondetails?taxnode_id=202302316","Tepovirus tafsolani")</f>
        <v>Tepovirus tafsolani</v>
      </c>
      <c r="S8434" s="18" t="s">
        <v>30</v>
      </c>
      <c r="T8434" s="18" t="s">
        <v>19673</v>
      </c>
      <c r="U8434" s="18" t="s">
        <v>19674</v>
      </c>
      <c r="V8434" s="18" t="s">
        <v>660</v>
      </c>
      <c r="W8434" s="18" t="s">
        <v>19675</v>
      </c>
      <c r="X8434" s="18" t="s">
        <v>42</v>
      </c>
      <c r="Y8434" s="18" t="s">
        <v>17171</v>
      </c>
      <c r="Z8434" s="18" t="s">
        <v>13441</v>
      </c>
      <c r="AA8434" s="21" t="str">
        <f>HYPERLINK("https://www.ncbi.nlm.nih.gov/nuccore/EU835937","NCBI Nucleotide")</f>
        <v>NCBI Nucleotide</v>
      </c>
    </row>
    <row r="8435" spans="1:27" x14ac:dyDescent="0.35">
      <c r="A8435">
        <v>1008961</v>
      </c>
      <c r="B8435">
        <v>7831</v>
      </c>
      <c r="C8435">
        <v>1</v>
      </c>
      <c r="D8435" s="17" t="s">
        <v>17166</v>
      </c>
      <c r="E8435" s="17"/>
      <c r="F8435" s="17" t="s">
        <v>17246</v>
      </c>
      <c r="G8435" s="17"/>
      <c r="H8435" s="17" t="s">
        <v>17984</v>
      </c>
      <c r="I8435" s="17"/>
      <c r="J8435" s="17" t="s">
        <v>17985</v>
      </c>
      <c r="K8435" s="17"/>
      <c r="L8435" s="17" t="s">
        <v>19025</v>
      </c>
      <c r="M8435" s="17"/>
      <c r="N8435" s="17" t="s">
        <v>19268</v>
      </c>
      <c r="O8435" s="17" t="s">
        <v>19597</v>
      </c>
      <c r="P8435" s="17" t="s">
        <v>19672</v>
      </c>
      <c r="Q8435" s="17"/>
      <c r="R8435" s="25" t="str">
        <f>HYPERLINK("https://ictv.global/taxonomy/taxondetails?taxnode_id=202313856","Tepovirus tafzosterae")</f>
        <v>Tepovirus tafzosterae</v>
      </c>
      <c r="S8435" s="18" t="s">
        <v>30</v>
      </c>
      <c r="T8435" s="18" t="s">
        <v>19688</v>
      </c>
      <c r="U8435" s="18" t="s">
        <v>19689</v>
      </c>
      <c r="V8435" s="18" t="s">
        <v>19690</v>
      </c>
      <c r="W8435" s="18" t="s">
        <v>19691</v>
      </c>
      <c r="X8435" s="18" t="s">
        <v>35</v>
      </c>
      <c r="Y8435" s="18" t="s">
        <v>17171</v>
      </c>
      <c r="Z8435" s="18" t="s">
        <v>13441</v>
      </c>
      <c r="AA8435" s="21" t="str">
        <f>HYPERLINK("https://www.ncbi.nlm.nih.gov/nuccore/MK514426","NCBI Nucleotide")</f>
        <v>NCBI Nucleotide</v>
      </c>
    </row>
    <row r="8436" spans="1:27" x14ac:dyDescent="0.35">
      <c r="A8436">
        <v>1008963</v>
      </c>
      <c r="B8436">
        <v>7832</v>
      </c>
      <c r="C8436">
        <v>1</v>
      </c>
      <c r="D8436" s="17" t="s">
        <v>17166</v>
      </c>
      <c r="E8436" s="17"/>
      <c r="F8436" s="17" t="s">
        <v>17246</v>
      </c>
      <c r="G8436" s="17"/>
      <c r="H8436" s="17" t="s">
        <v>17984</v>
      </c>
      <c r="I8436" s="17"/>
      <c r="J8436" s="17" t="s">
        <v>17985</v>
      </c>
      <c r="K8436" s="17"/>
      <c r="L8436" s="17" t="s">
        <v>19025</v>
      </c>
      <c r="M8436" s="17"/>
      <c r="N8436" s="17" t="s">
        <v>19268</v>
      </c>
      <c r="O8436" s="17" t="s">
        <v>19597</v>
      </c>
      <c r="P8436" s="17" t="s">
        <v>19692</v>
      </c>
      <c r="Q8436" s="17"/>
      <c r="R8436" s="25" t="str">
        <f>HYPERLINK("https://ictv.global/taxonomy/taxondetails?taxnode_id=202302320","Trichovirus armeniacae")</f>
        <v>Trichovirus armeniacae</v>
      </c>
      <c r="S8436" s="18" t="s">
        <v>30</v>
      </c>
      <c r="T8436" s="18" t="s">
        <v>19697</v>
      </c>
      <c r="U8436" s="18" t="s">
        <v>19698</v>
      </c>
      <c r="V8436" s="18" t="s">
        <v>19699</v>
      </c>
      <c r="W8436" s="18" t="s">
        <v>19700</v>
      </c>
      <c r="X8436" s="18" t="s">
        <v>42</v>
      </c>
      <c r="Y8436" s="18" t="s">
        <v>17171</v>
      </c>
      <c r="Z8436" s="18" t="s">
        <v>13441</v>
      </c>
      <c r="AA8436" s="21" t="str">
        <f>HYPERLINK("https://www.ncbi.nlm.nih.gov/nuccore/AY713379","NCBI Nucleotide")</f>
        <v>NCBI Nucleotide</v>
      </c>
    </row>
    <row r="8437" spans="1:27" x14ac:dyDescent="0.35">
      <c r="A8437">
        <v>1008970</v>
      </c>
      <c r="B8437">
        <v>7833</v>
      </c>
      <c r="C8437">
        <v>1</v>
      </c>
      <c r="D8437" s="17" t="s">
        <v>17166</v>
      </c>
      <c r="E8437" s="17"/>
      <c r="F8437" s="17" t="s">
        <v>17246</v>
      </c>
      <c r="G8437" s="17"/>
      <c r="H8437" s="17" t="s">
        <v>17984</v>
      </c>
      <c r="I8437" s="17"/>
      <c r="J8437" s="17" t="s">
        <v>17985</v>
      </c>
      <c r="K8437" s="17"/>
      <c r="L8437" s="17" t="s">
        <v>19025</v>
      </c>
      <c r="M8437" s="17"/>
      <c r="N8437" s="17" t="s">
        <v>19268</v>
      </c>
      <c r="O8437" s="17" t="s">
        <v>19597</v>
      </c>
      <c r="P8437" s="17" t="s">
        <v>19692</v>
      </c>
      <c r="Q8437" s="17"/>
      <c r="R8437" s="25" t="str">
        <f>HYPERLINK("https://ictv.global/taxonomy/taxondetails?taxnode_id=202313859","Trichovirus chloropersicae")</f>
        <v>Trichovirus chloropersicae</v>
      </c>
      <c r="S8437" s="18" t="s">
        <v>30</v>
      </c>
      <c r="T8437" s="18" t="s">
        <v>19722</v>
      </c>
      <c r="U8437" s="18" t="s">
        <v>19723</v>
      </c>
      <c r="V8437" s="18" t="s">
        <v>19724</v>
      </c>
      <c r="W8437" s="18" t="s">
        <v>19725</v>
      </c>
      <c r="X8437" s="18" t="s">
        <v>42</v>
      </c>
      <c r="Y8437" s="18" t="s">
        <v>17171</v>
      </c>
      <c r="Z8437" s="18" t="s">
        <v>13441</v>
      </c>
      <c r="AA8437" s="21" t="str">
        <f>HYPERLINK("https://www.ncbi.nlm.nih.gov/nuccore/MH084695","NCBI Nucleotide")</f>
        <v>NCBI Nucleotide</v>
      </c>
    </row>
    <row r="8438" spans="1:27" x14ac:dyDescent="0.35">
      <c r="A8438">
        <v>1008969</v>
      </c>
      <c r="B8438">
        <v>7834</v>
      </c>
      <c r="C8438">
        <v>1</v>
      </c>
      <c r="D8438" s="17" t="s">
        <v>17166</v>
      </c>
      <c r="E8438" s="17"/>
      <c r="F8438" s="17" t="s">
        <v>17246</v>
      </c>
      <c r="G8438" s="17"/>
      <c r="H8438" s="17" t="s">
        <v>17984</v>
      </c>
      <c r="I8438" s="17"/>
      <c r="J8438" s="17" t="s">
        <v>17985</v>
      </c>
      <c r="K8438" s="17"/>
      <c r="L8438" s="17" t="s">
        <v>19025</v>
      </c>
      <c r="M8438" s="17"/>
      <c r="N8438" s="17" t="s">
        <v>19268</v>
      </c>
      <c r="O8438" s="17" t="s">
        <v>19597</v>
      </c>
      <c r="P8438" s="17" t="s">
        <v>19692</v>
      </c>
      <c r="Q8438" s="17"/>
      <c r="R8438" s="25" t="str">
        <f>HYPERLINK("https://ictv.global/taxonomy/taxondetails?taxnode_id=202313857","Trichovirus latensavii")</f>
        <v>Trichovirus latensavii</v>
      </c>
      <c r="S8438" s="18" t="s">
        <v>30</v>
      </c>
      <c r="T8438" s="18" t="s">
        <v>19718</v>
      </c>
      <c r="U8438" s="18" t="s">
        <v>19719</v>
      </c>
      <c r="V8438" s="18" t="s">
        <v>19720</v>
      </c>
      <c r="W8438" s="18" t="s">
        <v>19721</v>
      </c>
      <c r="X8438" s="18" t="s">
        <v>42</v>
      </c>
      <c r="Y8438" s="18" t="s">
        <v>17171</v>
      </c>
      <c r="Z8438" s="18" t="s">
        <v>13441</v>
      </c>
      <c r="AA8438" s="21" t="str">
        <f>HYPERLINK("https://www.ncbi.nlm.nih.gov/nuccore/MK770441","NCBI Nucleotide")</f>
        <v>NCBI Nucleotide</v>
      </c>
    </row>
    <row r="8439" spans="1:27" x14ac:dyDescent="0.35">
      <c r="A8439">
        <v>1008964</v>
      </c>
      <c r="B8439">
        <v>7835</v>
      </c>
      <c r="C8439">
        <v>1</v>
      </c>
      <c r="D8439" s="17" t="s">
        <v>17166</v>
      </c>
      <c r="E8439" s="17"/>
      <c r="F8439" s="17" t="s">
        <v>17246</v>
      </c>
      <c r="G8439" s="17"/>
      <c r="H8439" s="17" t="s">
        <v>17984</v>
      </c>
      <c r="I8439" s="17"/>
      <c r="J8439" s="17" t="s">
        <v>17985</v>
      </c>
      <c r="K8439" s="17"/>
      <c r="L8439" s="17" t="s">
        <v>19025</v>
      </c>
      <c r="M8439" s="17"/>
      <c r="N8439" s="17" t="s">
        <v>19268</v>
      </c>
      <c r="O8439" s="17" t="s">
        <v>19597</v>
      </c>
      <c r="P8439" s="17" t="s">
        <v>19692</v>
      </c>
      <c r="Q8439" s="17"/>
      <c r="R8439" s="25" t="str">
        <f>HYPERLINK("https://ictv.global/taxonomy/taxondetails?taxnode_id=202302321","Trichovirus maculavii")</f>
        <v>Trichovirus maculavii</v>
      </c>
      <c r="S8439" s="18" t="s">
        <v>30</v>
      </c>
      <c r="T8439" s="18" t="s">
        <v>19701</v>
      </c>
      <c r="U8439" s="18" t="s">
        <v>19702</v>
      </c>
      <c r="V8439" s="18" t="s">
        <v>19703</v>
      </c>
      <c r="W8439" s="18" t="s">
        <v>19704</v>
      </c>
      <c r="X8439" s="18" t="s">
        <v>42</v>
      </c>
      <c r="Y8439" s="18" t="s">
        <v>17171</v>
      </c>
      <c r="Z8439" s="18" t="s">
        <v>13441</v>
      </c>
      <c r="AA8439" s="21" t="str">
        <f>HYPERLINK("https://www.ncbi.nlm.nih.gov/nuccore/AF170028","NCBI Nucleotide")</f>
        <v>NCBI Nucleotide</v>
      </c>
    </row>
    <row r="8440" spans="1:27" x14ac:dyDescent="0.35">
      <c r="A8440">
        <v>1008962</v>
      </c>
      <c r="B8440">
        <v>7836</v>
      </c>
      <c r="C8440">
        <v>1</v>
      </c>
      <c r="D8440" s="17" t="s">
        <v>17166</v>
      </c>
      <c r="E8440" s="17"/>
      <c r="F8440" s="17" t="s">
        <v>17246</v>
      </c>
      <c r="G8440" s="17"/>
      <c r="H8440" s="17" t="s">
        <v>17984</v>
      </c>
      <c r="I8440" s="17"/>
      <c r="J8440" s="17" t="s">
        <v>17985</v>
      </c>
      <c r="K8440" s="17"/>
      <c r="L8440" s="17" t="s">
        <v>19025</v>
      </c>
      <c r="M8440" s="17"/>
      <c r="N8440" s="17" t="s">
        <v>19268</v>
      </c>
      <c r="O8440" s="17" t="s">
        <v>19597</v>
      </c>
      <c r="P8440" s="17" t="s">
        <v>19692</v>
      </c>
      <c r="Q8440" s="17"/>
      <c r="R8440" s="25" t="str">
        <f>HYPERLINK("https://ictv.global/taxonomy/taxondetails?taxnode_id=202302319","Trichovirus mali")</f>
        <v>Trichovirus mali</v>
      </c>
      <c r="S8440" s="18" t="s">
        <v>30</v>
      </c>
      <c r="T8440" s="18" t="s">
        <v>19693</v>
      </c>
      <c r="U8440" s="18" t="s">
        <v>19694</v>
      </c>
      <c r="V8440" s="18" t="s">
        <v>19695</v>
      </c>
      <c r="W8440" s="18" t="s">
        <v>19696</v>
      </c>
      <c r="X8440" s="18" t="s">
        <v>42</v>
      </c>
      <c r="Y8440" s="18" t="s">
        <v>17171</v>
      </c>
      <c r="Z8440" s="18" t="s">
        <v>13441</v>
      </c>
      <c r="AA8440" s="21" t="str">
        <f>HYPERLINK("https://www.ncbi.nlm.nih.gov/nuccore/M58152","NCBI Nucleotide")</f>
        <v>NCBI Nucleotide</v>
      </c>
    </row>
    <row r="8441" spans="1:27" x14ac:dyDescent="0.35">
      <c r="A8441">
        <v>1008971</v>
      </c>
      <c r="B8441">
        <v>7837</v>
      </c>
      <c r="C8441">
        <v>1</v>
      </c>
      <c r="D8441" s="17" t="s">
        <v>17166</v>
      </c>
      <c r="E8441" s="17"/>
      <c r="F8441" s="17" t="s">
        <v>17246</v>
      </c>
      <c r="G8441" s="17"/>
      <c r="H8441" s="17" t="s">
        <v>17984</v>
      </c>
      <c r="I8441" s="17"/>
      <c r="J8441" s="17" t="s">
        <v>17985</v>
      </c>
      <c r="K8441" s="17"/>
      <c r="L8441" s="17" t="s">
        <v>19025</v>
      </c>
      <c r="M8441" s="17"/>
      <c r="N8441" s="17" t="s">
        <v>19268</v>
      </c>
      <c r="O8441" s="17" t="s">
        <v>19597</v>
      </c>
      <c r="P8441" s="17" t="s">
        <v>19692</v>
      </c>
      <c r="Q8441" s="17"/>
      <c r="R8441" s="25" t="str">
        <f>HYPERLINK("https://ictv.global/taxonomy/taxondetails?taxnode_id=202313858","Trichovirus mipersicae")</f>
        <v>Trichovirus mipersicae</v>
      </c>
      <c r="S8441" s="18" t="s">
        <v>30</v>
      </c>
      <c r="T8441" s="18" t="s">
        <v>19726</v>
      </c>
      <c r="U8441" s="18" t="s">
        <v>19727</v>
      </c>
      <c r="V8441" s="18" t="s">
        <v>19728</v>
      </c>
      <c r="W8441" s="18" t="s">
        <v>19729</v>
      </c>
      <c r="X8441" s="18" t="s">
        <v>42</v>
      </c>
      <c r="Y8441" s="18" t="s">
        <v>17171</v>
      </c>
      <c r="Z8441" s="18" t="s">
        <v>13441</v>
      </c>
      <c r="AA8441" s="21" t="str">
        <f>HYPERLINK("https://www.ncbi.nlm.nih.gov/nuccore/MK012336","NCBI Nucleotide")</f>
        <v>NCBI Nucleotide</v>
      </c>
    </row>
    <row r="8442" spans="1:27" x14ac:dyDescent="0.35">
      <c r="A8442">
        <v>1008965</v>
      </c>
      <c r="B8442">
        <v>7838</v>
      </c>
      <c r="C8442">
        <v>1</v>
      </c>
      <c r="D8442" s="17" t="s">
        <v>17166</v>
      </c>
      <c r="E8442" s="17"/>
      <c r="F8442" s="17" t="s">
        <v>17246</v>
      </c>
      <c r="G8442" s="17"/>
      <c r="H8442" s="17" t="s">
        <v>17984</v>
      </c>
      <c r="I8442" s="17"/>
      <c r="J8442" s="17" t="s">
        <v>17985</v>
      </c>
      <c r="K8442" s="17"/>
      <c r="L8442" s="17" t="s">
        <v>19025</v>
      </c>
      <c r="M8442" s="17"/>
      <c r="N8442" s="17" t="s">
        <v>19268</v>
      </c>
      <c r="O8442" s="17" t="s">
        <v>19597</v>
      </c>
      <c r="P8442" s="17" t="s">
        <v>19692</v>
      </c>
      <c r="Q8442" s="17"/>
      <c r="R8442" s="25" t="str">
        <f>HYPERLINK("https://ictv.global/taxonomy/taxondetails?taxnode_id=202302322","Trichovirus necroacini")</f>
        <v>Trichovirus necroacini</v>
      </c>
      <c r="S8442" s="18" t="s">
        <v>30</v>
      </c>
      <c r="T8442" s="18" t="s">
        <v>19705</v>
      </c>
      <c r="U8442" s="18" t="s">
        <v>19706</v>
      </c>
      <c r="V8442" s="18" t="s">
        <v>19707</v>
      </c>
      <c r="W8442" s="18" t="s">
        <v>19708</v>
      </c>
      <c r="X8442" s="18" t="s">
        <v>42</v>
      </c>
      <c r="Y8442" s="18" t="s">
        <v>17171</v>
      </c>
      <c r="Z8442" s="18" t="s">
        <v>13441</v>
      </c>
      <c r="AA8442" s="21" t="str">
        <f>HYPERLINK("https://www.ncbi.nlm.nih.gov/nuccore/D88448","NCBI Nucleotide")</f>
        <v>NCBI Nucleotide</v>
      </c>
    </row>
    <row r="8443" spans="1:27" x14ac:dyDescent="0.35">
      <c r="A8443">
        <v>1008967</v>
      </c>
      <c r="B8443">
        <v>7839</v>
      </c>
      <c r="C8443">
        <v>1</v>
      </c>
      <c r="D8443" s="17" t="s">
        <v>17166</v>
      </c>
      <c r="E8443" s="17"/>
      <c r="F8443" s="17" t="s">
        <v>17246</v>
      </c>
      <c r="G8443" s="17"/>
      <c r="H8443" s="17" t="s">
        <v>17984</v>
      </c>
      <c r="I8443" s="17"/>
      <c r="J8443" s="17" t="s">
        <v>17985</v>
      </c>
      <c r="K8443" s="17"/>
      <c r="L8443" s="17" t="s">
        <v>19025</v>
      </c>
      <c r="M8443" s="17"/>
      <c r="N8443" s="17" t="s">
        <v>19268</v>
      </c>
      <c r="O8443" s="17" t="s">
        <v>19597</v>
      </c>
      <c r="P8443" s="17" t="s">
        <v>19692</v>
      </c>
      <c r="Q8443" s="17"/>
      <c r="R8443" s="25" t="str">
        <f>HYPERLINK("https://ictv.global/taxonomy/taxondetails?taxnode_id=202302324","Trichovirus persicae")</f>
        <v>Trichovirus persicae</v>
      </c>
      <c r="S8443" s="18" t="s">
        <v>30</v>
      </c>
      <c r="T8443" s="18" t="s">
        <v>19712</v>
      </c>
      <c r="U8443" s="18" t="s">
        <v>19713</v>
      </c>
      <c r="V8443" s="18" t="s">
        <v>19714</v>
      </c>
      <c r="W8443" s="18" t="s">
        <v>19715</v>
      </c>
      <c r="X8443" s="18" t="s">
        <v>42</v>
      </c>
      <c r="Y8443" s="18" t="s">
        <v>17171</v>
      </c>
      <c r="Z8443" s="18" t="s">
        <v>13441</v>
      </c>
      <c r="AA8443" s="21" t="str">
        <f>HYPERLINK("https://www.ncbi.nlm.nih.gov/nuccore/DQ117579","NCBI Nucleotide")</f>
        <v>NCBI Nucleotide</v>
      </c>
    </row>
    <row r="8444" spans="1:27" x14ac:dyDescent="0.35">
      <c r="A8444">
        <v>1008968</v>
      </c>
      <c r="B8444">
        <v>7840</v>
      </c>
      <c r="C8444">
        <v>1</v>
      </c>
      <c r="D8444" s="17" t="s">
        <v>17166</v>
      </c>
      <c r="E8444" s="17"/>
      <c r="F8444" s="17" t="s">
        <v>17246</v>
      </c>
      <c r="G8444" s="17"/>
      <c r="H8444" s="17" t="s">
        <v>17984</v>
      </c>
      <c r="I8444" s="17"/>
      <c r="J8444" s="17" t="s">
        <v>17985</v>
      </c>
      <c r="K8444" s="17"/>
      <c r="L8444" s="17" t="s">
        <v>19025</v>
      </c>
      <c r="M8444" s="17"/>
      <c r="N8444" s="17" t="s">
        <v>19268</v>
      </c>
      <c r="O8444" s="17" t="s">
        <v>19597</v>
      </c>
      <c r="P8444" s="17" t="s">
        <v>19692</v>
      </c>
      <c r="Q8444" s="17"/>
      <c r="R8444" s="25" t="str">
        <f>HYPERLINK("https://ictv.global/taxonomy/taxondetails?taxnode_id=202302325","Trichovirus phlomis")</f>
        <v>Trichovirus phlomis</v>
      </c>
      <c r="S8444" s="18" t="s">
        <v>30</v>
      </c>
      <c r="T8444" s="18" t="s">
        <v>19716</v>
      </c>
      <c r="U8444" s="18" t="s">
        <v>18211</v>
      </c>
      <c r="V8444" s="18"/>
      <c r="W8444" s="18" t="s">
        <v>19717</v>
      </c>
      <c r="X8444" s="18" t="s">
        <v>154</v>
      </c>
      <c r="Y8444" s="18" t="s">
        <v>17171</v>
      </c>
      <c r="Z8444" s="18" t="s">
        <v>13441</v>
      </c>
      <c r="AA8444" s="21" t="str">
        <f>HYPERLINK("https://www.ncbi.nlm.nih.gov/nuccore/AM920542","NCBI Nucleotide")</f>
        <v>NCBI Nucleotide</v>
      </c>
    </row>
    <row r="8445" spans="1:27" x14ac:dyDescent="0.35">
      <c r="A8445">
        <v>1008966</v>
      </c>
      <c r="B8445">
        <v>7841</v>
      </c>
      <c r="C8445">
        <v>1</v>
      </c>
      <c r="D8445" s="17" t="s">
        <v>17166</v>
      </c>
      <c r="E8445" s="17"/>
      <c r="F8445" s="17" t="s">
        <v>17246</v>
      </c>
      <c r="G8445" s="17"/>
      <c r="H8445" s="17" t="s">
        <v>17984</v>
      </c>
      <c r="I8445" s="17"/>
      <c r="J8445" s="17" t="s">
        <v>17985</v>
      </c>
      <c r="K8445" s="17"/>
      <c r="L8445" s="17" t="s">
        <v>19025</v>
      </c>
      <c r="M8445" s="17"/>
      <c r="N8445" s="17" t="s">
        <v>19268</v>
      </c>
      <c r="O8445" s="17" t="s">
        <v>19597</v>
      </c>
      <c r="P8445" s="17" t="s">
        <v>19692</v>
      </c>
      <c r="Q8445" s="17"/>
      <c r="R8445" s="25" t="str">
        <f>HYPERLINK("https://ictv.global/taxonomy/taxondetails?taxnode_id=202302323","Trichovirus pinovitis")</f>
        <v>Trichovirus pinovitis</v>
      </c>
      <c r="S8445" s="18" t="s">
        <v>30</v>
      </c>
      <c r="T8445" s="18" t="s">
        <v>19709</v>
      </c>
      <c r="U8445" s="18" t="s">
        <v>19710</v>
      </c>
      <c r="V8445" s="18" t="s">
        <v>17349</v>
      </c>
      <c r="W8445" s="18" t="s">
        <v>19711</v>
      </c>
      <c r="X8445" s="18" t="s">
        <v>42</v>
      </c>
      <c r="Y8445" s="18" t="s">
        <v>17171</v>
      </c>
      <c r="Z8445" s="18" t="s">
        <v>13441</v>
      </c>
      <c r="AA8445" s="21" t="str">
        <f>HYPERLINK("https://www.ncbi.nlm.nih.gov/nuccore/FR877530","NCBI Nucleotide")</f>
        <v>NCBI Nucleotide</v>
      </c>
    </row>
    <row r="8446" spans="1:27" x14ac:dyDescent="0.35">
      <c r="A8446">
        <v>1008972</v>
      </c>
      <c r="B8446">
        <v>7842</v>
      </c>
      <c r="C8446">
        <v>1</v>
      </c>
      <c r="D8446" s="17" t="s">
        <v>17166</v>
      </c>
      <c r="E8446" s="17"/>
      <c r="F8446" s="17" t="s">
        <v>17246</v>
      </c>
      <c r="G8446" s="17"/>
      <c r="H8446" s="17" t="s">
        <v>17984</v>
      </c>
      <c r="I8446" s="17"/>
      <c r="J8446" s="17" t="s">
        <v>17985</v>
      </c>
      <c r="K8446" s="17"/>
      <c r="L8446" s="17" t="s">
        <v>19025</v>
      </c>
      <c r="M8446" s="17"/>
      <c r="N8446" s="17" t="s">
        <v>19268</v>
      </c>
      <c r="O8446" s="17" t="s">
        <v>19597</v>
      </c>
      <c r="P8446" s="17" t="s">
        <v>19730</v>
      </c>
      <c r="Q8446" s="17"/>
      <c r="R8446" s="25" t="str">
        <f>HYPERLINK("https://ictv.global/taxonomy/taxondetails?taxnode_id=202302327","Vitivirus alphactinidiae")</f>
        <v>Vitivirus alphactinidiae</v>
      </c>
      <c r="S8446" s="18" t="s">
        <v>30</v>
      </c>
      <c r="T8446" s="18" t="s">
        <v>19731</v>
      </c>
      <c r="U8446" s="18" t="s">
        <v>19732</v>
      </c>
      <c r="V8446" s="18" t="s">
        <v>19733</v>
      </c>
      <c r="W8446" s="18" t="s">
        <v>19734</v>
      </c>
      <c r="X8446" s="18" t="s">
        <v>154</v>
      </c>
      <c r="Y8446" s="18" t="s">
        <v>17171</v>
      </c>
      <c r="Z8446" s="18" t="s">
        <v>13441</v>
      </c>
      <c r="AA8446" s="21" t="str">
        <f>HYPERLINK("https://www.ncbi.nlm.nih.gov/nuccore/JN427014","NCBI Nucleotide")</f>
        <v>NCBI Nucleotide</v>
      </c>
    </row>
    <row r="8447" spans="1:27" x14ac:dyDescent="0.35">
      <c r="A8447">
        <v>1008975</v>
      </c>
      <c r="B8447">
        <v>7843</v>
      </c>
      <c r="C8447">
        <v>1</v>
      </c>
      <c r="D8447" s="17" t="s">
        <v>17166</v>
      </c>
      <c r="E8447" s="17"/>
      <c r="F8447" s="17" t="s">
        <v>17246</v>
      </c>
      <c r="G8447" s="17"/>
      <c r="H8447" s="17" t="s">
        <v>17984</v>
      </c>
      <c r="I8447" s="17"/>
      <c r="J8447" s="17" t="s">
        <v>17985</v>
      </c>
      <c r="K8447" s="17"/>
      <c r="L8447" s="17" t="s">
        <v>19025</v>
      </c>
      <c r="M8447" s="17"/>
      <c r="N8447" s="17" t="s">
        <v>19268</v>
      </c>
      <c r="O8447" s="17" t="s">
        <v>19597</v>
      </c>
      <c r="P8447" s="17" t="s">
        <v>19730</v>
      </c>
      <c r="Q8447" s="17"/>
      <c r="R8447" s="25" t="str">
        <f>HYPERLINK("https://ictv.global/taxonomy/taxondetails?taxnode_id=202306439","Vitivirus alpharubi")</f>
        <v>Vitivirus alpharubi</v>
      </c>
      <c r="S8447" s="18" t="s">
        <v>30</v>
      </c>
      <c r="T8447" s="18" t="s">
        <v>19743</v>
      </c>
      <c r="U8447" s="18" t="s">
        <v>18297</v>
      </c>
      <c r="V8447" s="18" t="s">
        <v>19744</v>
      </c>
      <c r="W8447" s="18" t="s">
        <v>19745</v>
      </c>
      <c r="X8447" s="18" t="s">
        <v>42</v>
      </c>
      <c r="Y8447" s="18" t="s">
        <v>17171</v>
      </c>
      <c r="Z8447" s="18" t="s">
        <v>13441</v>
      </c>
      <c r="AA8447" s="21" t="str">
        <f>HYPERLINK("https://www.ncbi.nlm.nih.gov/nuccore/MG254193","NCBI Nucleotide")</f>
        <v>NCBI Nucleotide</v>
      </c>
    </row>
    <row r="8448" spans="1:27" x14ac:dyDescent="0.35">
      <c r="A8448">
        <v>1008976</v>
      </c>
      <c r="B8448">
        <v>7844</v>
      </c>
      <c r="C8448">
        <v>1</v>
      </c>
      <c r="D8448" s="17" t="s">
        <v>17166</v>
      </c>
      <c r="E8448" s="17"/>
      <c r="F8448" s="17" t="s">
        <v>17246</v>
      </c>
      <c r="G8448" s="17"/>
      <c r="H8448" s="17" t="s">
        <v>17984</v>
      </c>
      <c r="I8448" s="17"/>
      <c r="J8448" s="17" t="s">
        <v>17985</v>
      </c>
      <c r="K8448" s="17"/>
      <c r="L8448" s="17" t="s">
        <v>19025</v>
      </c>
      <c r="M8448" s="17"/>
      <c r="N8448" s="17" t="s">
        <v>19268</v>
      </c>
      <c r="O8448" s="17" t="s">
        <v>19597</v>
      </c>
      <c r="P8448" s="17" t="s">
        <v>19730</v>
      </c>
      <c r="Q8448" s="17"/>
      <c r="R8448" s="25" t="str">
        <f>HYPERLINK("https://ictv.global/taxonomy/taxondetails?taxnode_id=202302329","Vitivirus alphavitis")</f>
        <v>Vitivirus alphavitis</v>
      </c>
      <c r="S8448" s="18" t="s">
        <v>30</v>
      </c>
      <c r="T8448" s="18" t="s">
        <v>19746</v>
      </c>
      <c r="U8448" s="18" t="s">
        <v>19747</v>
      </c>
      <c r="V8448" s="18" t="s">
        <v>19748</v>
      </c>
      <c r="W8448" s="18" t="s">
        <v>19749</v>
      </c>
      <c r="X8448" s="18" t="s">
        <v>42</v>
      </c>
      <c r="Y8448" s="18" t="s">
        <v>17171</v>
      </c>
      <c r="Z8448" s="18" t="s">
        <v>13441</v>
      </c>
      <c r="AA8448" s="21" t="str">
        <f>HYPERLINK("https://www.ncbi.nlm.nih.gov/nuccore/X75433","NCBI Nucleotide")</f>
        <v>NCBI Nucleotide</v>
      </c>
    </row>
    <row r="8449" spans="1:27" x14ac:dyDescent="0.35">
      <c r="A8449">
        <v>1027462</v>
      </c>
      <c r="B8449">
        <v>7845</v>
      </c>
      <c r="C8449">
        <v>1</v>
      </c>
      <c r="D8449" s="17" t="s">
        <v>17166</v>
      </c>
      <c r="E8449" s="17"/>
      <c r="F8449" s="17" t="s">
        <v>17246</v>
      </c>
      <c r="G8449" s="17"/>
      <c r="H8449" s="17" t="s">
        <v>17984</v>
      </c>
      <c r="I8449" s="17"/>
      <c r="J8449" s="17" t="s">
        <v>17985</v>
      </c>
      <c r="K8449" s="17"/>
      <c r="L8449" s="17" t="s">
        <v>19025</v>
      </c>
      <c r="M8449" s="17"/>
      <c r="N8449" s="17" t="s">
        <v>19268</v>
      </c>
      <c r="O8449" s="17" t="s">
        <v>19597</v>
      </c>
      <c r="P8449" s="17" t="s">
        <v>19730</v>
      </c>
      <c r="Q8449" s="17"/>
      <c r="R8449" s="25" t="str">
        <f>HYPERLINK("https://ictv.global/taxonomy/taxondetails?taxnode_id=202319029","Vitivirus ananasae")</f>
        <v>Vitivirus ananasae</v>
      </c>
      <c r="S8449" s="18" t="s">
        <v>30</v>
      </c>
      <c r="T8449" s="18" t="s">
        <v>42444</v>
      </c>
      <c r="U8449" s="18" t="s">
        <v>42445</v>
      </c>
      <c r="V8449" s="18" t="s">
        <v>42446</v>
      </c>
      <c r="W8449" s="18" t="s">
        <v>48632</v>
      </c>
      <c r="X8449" s="18" t="s">
        <v>42</v>
      </c>
      <c r="Y8449" s="18" t="s">
        <v>17171</v>
      </c>
      <c r="Z8449" s="18" t="s">
        <v>13441</v>
      </c>
      <c r="AA8449" s="21" t="str">
        <f>HYPERLINK("https://www.ncbi.nlm.nih.gov/nuccore/OM141115","NCBI Nucleotide")</f>
        <v>NCBI Nucleotide</v>
      </c>
    </row>
    <row r="8450" spans="1:27" x14ac:dyDescent="0.35">
      <c r="A8450">
        <v>1008973</v>
      </c>
      <c r="B8450">
        <v>7846</v>
      </c>
      <c r="C8450">
        <v>1</v>
      </c>
      <c r="D8450" s="17" t="s">
        <v>17166</v>
      </c>
      <c r="E8450" s="17"/>
      <c r="F8450" s="17" t="s">
        <v>17246</v>
      </c>
      <c r="G8450" s="17"/>
      <c r="H8450" s="17" t="s">
        <v>17984</v>
      </c>
      <c r="I8450" s="17"/>
      <c r="J8450" s="17" t="s">
        <v>17985</v>
      </c>
      <c r="K8450" s="17"/>
      <c r="L8450" s="17" t="s">
        <v>19025</v>
      </c>
      <c r="M8450" s="17"/>
      <c r="N8450" s="17" t="s">
        <v>19268</v>
      </c>
      <c r="O8450" s="17" t="s">
        <v>19597</v>
      </c>
      <c r="P8450" s="17" t="s">
        <v>19730</v>
      </c>
      <c r="Q8450" s="17"/>
      <c r="R8450" s="25" t="str">
        <f>HYPERLINK("https://ictv.global/taxonomy/taxondetails?taxnode_id=202302328","Vitivirus betactinidiae")</f>
        <v>Vitivirus betactinidiae</v>
      </c>
      <c r="S8450" s="18" t="s">
        <v>30</v>
      </c>
      <c r="T8450" s="18" t="s">
        <v>19735</v>
      </c>
      <c r="U8450" s="18" t="s">
        <v>19736</v>
      </c>
      <c r="V8450" s="18" t="s">
        <v>19737</v>
      </c>
      <c r="W8450" s="18" t="s">
        <v>19738</v>
      </c>
      <c r="X8450" s="18" t="s">
        <v>42</v>
      </c>
      <c r="Y8450" s="18" t="s">
        <v>17171</v>
      </c>
      <c r="Z8450" s="18" t="s">
        <v>13441</v>
      </c>
      <c r="AA8450" s="21" t="str">
        <f>HYPERLINK("https://www.ncbi.nlm.nih.gov/nuccore/JN427015","NCBI Nucleotide")</f>
        <v>NCBI Nucleotide</v>
      </c>
    </row>
    <row r="8451" spans="1:27" x14ac:dyDescent="0.35">
      <c r="A8451">
        <v>1008977</v>
      </c>
      <c r="B8451">
        <v>7847</v>
      </c>
      <c r="C8451">
        <v>1</v>
      </c>
      <c r="D8451" s="17" t="s">
        <v>17166</v>
      </c>
      <c r="E8451" s="17"/>
      <c r="F8451" s="17" t="s">
        <v>17246</v>
      </c>
      <c r="G8451" s="17"/>
      <c r="H8451" s="17" t="s">
        <v>17984</v>
      </c>
      <c r="I8451" s="17"/>
      <c r="J8451" s="17" t="s">
        <v>17985</v>
      </c>
      <c r="K8451" s="17"/>
      <c r="L8451" s="17" t="s">
        <v>19025</v>
      </c>
      <c r="M8451" s="17"/>
      <c r="N8451" s="17" t="s">
        <v>19268</v>
      </c>
      <c r="O8451" s="17" t="s">
        <v>19597</v>
      </c>
      <c r="P8451" s="17" t="s">
        <v>19730</v>
      </c>
      <c r="Q8451" s="17"/>
      <c r="R8451" s="25" t="str">
        <f>HYPERLINK("https://ictv.global/taxonomy/taxondetails?taxnode_id=202302330","Vitivirus betavitis")</f>
        <v>Vitivirus betavitis</v>
      </c>
      <c r="S8451" s="18" t="s">
        <v>30</v>
      </c>
      <c r="T8451" s="18" t="s">
        <v>19750</v>
      </c>
      <c r="U8451" s="18" t="s">
        <v>19751</v>
      </c>
      <c r="V8451" s="18" t="s">
        <v>19752</v>
      </c>
      <c r="W8451" s="18" t="s">
        <v>19753</v>
      </c>
      <c r="X8451" s="18" t="s">
        <v>42</v>
      </c>
      <c r="Y8451" s="18" t="s">
        <v>17171</v>
      </c>
      <c r="Z8451" s="18" t="s">
        <v>13441</v>
      </c>
      <c r="AA8451" s="21" t="str">
        <f>HYPERLINK("https://www.ncbi.nlm.nih.gov/nuccore/X75448","NCBI Nucleotide")</f>
        <v>NCBI Nucleotide</v>
      </c>
    </row>
    <row r="8452" spans="1:27" x14ac:dyDescent="0.35">
      <c r="A8452">
        <v>1008978</v>
      </c>
      <c r="B8452">
        <v>7848</v>
      </c>
      <c r="C8452">
        <v>1</v>
      </c>
      <c r="D8452" s="17" t="s">
        <v>17166</v>
      </c>
      <c r="E8452" s="17"/>
      <c r="F8452" s="17" t="s">
        <v>17246</v>
      </c>
      <c r="G8452" s="17"/>
      <c r="H8452" s="17" t="s">
        <v>17984</v>
      </c>
      <c r="I8452" s="17"/>
      <c r="J8452" s="17" t="s">
        <v>17985</v>
      </c>
      <c r="K8452" s="17"/>
      <c r="L8452" s="17" t="s">
        <v>19025</v>
      </c>
      <c r="M8452" s="17"/>
      <c r="N8452" s="17" t="s">
        <v>19268</v>
      </c>
      <c r="O8452" s="17" t="s">
        <v>19597</v>
      </c>
      <c r="P8452" s="17" t="s">
        <v>19730</v>
      </c>
      <c r="Q8452" s="17"/>
      <c r="R8452" s="25" t="str">
        <f>HYPERLINK("https://ictv.global/taxonomy/taxondetails?taxnode_id=202302331","Vitivirus deltavitis")</f>
        <v>Vitivirus deltavitis</v>
      </c>
      <c r="S8452" s="18" t="s">
        <v>30</v>
      </c>
      <c r="T8452" s="18" t="s">
        <v>19754</v>
      </c>
      <c r="U8452" s="18" t="s">
        <v>19755</v>
      </c>
      <c r="V8452" s="18" t="s">
        <v>19756</v>
      </c>
      <c r="W8452" s="18" t="s">
        <v>19757</v>
      </c>
      <c r="X8452" s="18" t="s">
        <v>154</v>
      </c>
      <c r="Y8452" s="18" t="s">
        <v>17171</v>
      </c>
      <c r="Z8452" s="18" t="s">
        <v>13441</v>
      </c>
      <c r="AA8452" s="21" t="str">
        <f>HYPERLINK("https://www.ncbi.nlm.nih.gov/nuccore/JQ031715","NCBI Nucleotide")</f>
        <v>NCBI Nucleotide</v>
      </c>
    </row>
    <row r="8453" spans="1:27" x14ac:dyDescent="0.35">
      <c r="A8453">
        <v>1008986</v>
      </c>
      <c r="B8453">
        <v>7849</v>
      </c>
      <c r="C8453">
        <v>1</v>
      </c>
      <c r="D8453" s="17" t="s">
        <v>17166</v>
      </c>
      <c r="E8453" s="17"/>
      <c r="F8453" s="17" t="s">
        <v>17246</v>
      </c>
      <c r="G8453" s="17"/>
      <c r="H8453" s="17" t="s">
        <v>17984</v>
      </c>
      <c r="I8453" s="17"/>
      <c r="J8453" s="17" t="s">
        <v>17985</v>
      </c>
      <c r="K8453" s="17"/>
      <c r="L8453" s="17" t="s">
        <v>19025</v>
      </c>
      <c r="M8453" s="17"/>
      <c r="N8453" s="17" t="s">
        <v>19268</v>
      </c>
      <c r="O8453" s="17" t="s">
        <v>19597</v>
      </c>
      <c r="P8453" s="17" t="s">
        <v>19730</v>
      </c>
      <c r="Q8453" s="17"/>
      <c r="R8453" s="25" t="str">
        <f>HYPERLINK("https://ictv.global/taxonomy/taxondetails?taxnode_id=202302335","Vitivirus duomenthae")</f>
        <v>Vitivirus duomenthae</v>
      </c>
      <c r="S8453" s="18" t="s">
        <v>30</v>
      </c>
      <c r="T8453" s="18" t="s">
        <v>19785</v>
      </c>
      <c r="U8453" s="18" t="s">
        <v>19786</v>
      </c>
      <c r="V8453" s="18" t="s">
        <v>18339</v>
      </c>
      <c r="W8453" s="18" t="s">
        <v>19787</v>
      </c>
      <c r="X8453" s="18" t="s">
        <v>154</v>
      </c>
      <c r="Y8453" s="18" t="s">
        <v>17171</v>
      </c>
      <c r="Z8453" s="18" t="s">
        <v>13441</v>
      </c>
      <c r="AA8453" s="21" t="str">
        <f>HYPERLINK("https://www.ncbi.nlm.nih.gov/nuccore/AY913795","NCBI Nucleotide")</f>
        <v>NCBI Nucleotide</v>
      </c>
    </row>
    <row r="8454" spans="1:27" x14ac:dyDescent="0.35">
      <c r="A8454">
        <v>1008979</v>
      </c>
      <c r="B8454">
        <v>7850</v>
      </c>
      <c r="C8454">
        <v>1</v>
      </c>
      <c r="D8454" s="17" t="s">
        <v>17166</v>
      </c>
      <c r="E8454" s="17"/>
      <c r="F8454" s="17" t="s">
        <v>17246</v>
      </c>
      <c r="G8454" s="17"/>
      <c r="H8454" s="17" t="s">
        <v>17984</v>
      </c>
      <c r="I8454" s="17"/>
      <c r="J8454" s="17" t="s">
        <v>17985</v>
      </c>
      <c r="K8454" s="17"/>
      <c r="L8454" s="17" t="s">
        <v>19025</v>
      </c>
      <c r="M8454" s="17"/>
      <c r="N8454" s="17" t="s">
        <v>19268</v>
      </c>
      <c r="O8454" s="17" t="s">
        <v>19597</v>
      </c>
      <c r="P8454" s="17" t="s">
        <v>19730</v>
      </c>
      <c r="Q8454" s="17"/>
      <c r="R8454" s="25" t="str">
        <f>HYPERLINK("https://ictv.global/taxonomy/taxondetails?taxnode_id=202302332","Vitivirus epsilonvitis")</f>
        <v>Vitivirus epsilonvitis</v>
      </c>
      <c r="S8454" s="18" t="s">
        <v>30</v>
      </c>
      <c r="T8454" s="18" t="s">
        <v>19758</v>
      </c>
      <c r="U8454" s="18" t="s">
        <v>19759</v>
      </c>
      <c r="V8454" s="18" t="s">
        <v>19760</v>
      </c>
      <c r="W8454" s="18" t="s">
        <v>19761</v>
      </c>
      <c r="X8454" s="18" t="s">
        <v>42</v>
      </c>
      <c r="Y8454" s="18" t="s">
        <v>17171</v>
      </c>
      <c r="Z8454" s="18" t="s">
        <v>13441</v>
      </c>
      <c r="AA8454" s="21" t="str">
        <f>HYPERLINK("https://www.ncbi.nlm.nih.gov/nuccore/AB432910","NCBI Nucleotide")</f>
        <v>NCBI Nucleotide</v>
      </c>
    </row>
    <row r="8455" spans="1:27" x14ac:dyDescent="0.35">
      <c r="A8455">
        <v>1008982</v>
      </c>
      <c r="B8455">
        <v>7851</v>
      </c>
      <c r="C8455">
        <v>1</v>
      </c>
      <c r="D8455" s="17" t="s">
        <v>17166</v>
      </c>
      <c r="E8455" s="17"/>
      <c r="F8455" s="17" t="s">
        <v>17246</v>
      </c>
      <c r="G8455" s="17"/>
      <c r="H8455" s="17" t="s">
        <v>17984</v>
      </c>
      <c r="I8455" s="17"/>
      <c r="J8455" s="17" t="s">
        <v>17985</v>
      </c>
      <c r="K8455" s="17"/>
      <c r="L8455" s="17" t="s">
        <v>19025</v>
      </c>
      <c r="M8455" s="17"/>
      <c r="N8455" s="17" t="s">
        <v>19268</v>
      </c>
      <c r="O8455" s="17" t="s">
        <v>19597</v>
      </c>
      <c r="P8455" s="17" t="s">
        <v>19730</v>
      </c>
      <c r="Q8455" s="17"/>
      <c r="R8455" s="25" t="str">
        <f>HYPERLINK("https://ictv.global/taxonomy/taxondetails?taxnode_id=202306481","Vitivirus etavitis")</f>
        <v>Vitivirus etavitis</v>
      </c>
      <c r="S8455" s="18" t="s">
        <v>30</v>
      </c>
      <c r="T8455" s="18" t="s">
        <v>19770</v>
      </c>
      <c r="U8455" s="18" t="s">
        <v>19771</v>
      </c>
      <c r="V8455" s="18" t="s">
        <v>19772</v>
      </c>
      <c r="W8455" s="18" t="s">
        <v>19773</v>
      </c>
      <c r="X8455" s="18" t="s">
        <v>42</v>
      </c>
      <c r="Y8455" s="18" t="s">
        <v>17171</v>
      </c>
      <c r="Z8455" s="18" t="s">
        <v>13441</v>
      </c>
      <c r="AA8455" s="21" t="str">
        <f>HYPERLINK("https://www.ncbi.nlm.nih.gov/nuccore/MF521889","NCBI Nucleotide")</f>
        <v>NCBI Nucleotide</v>
      </c>
    </row>
    <row r="8456" spans="1:27" x14ac:dyDescent="0.35">
      <c r="A8456">
        <v>1008981</v>
      </c>
      <c r="B8456">
        <v>7852</v>
      </c>
      <c r="C8456">
        <v>1</v>
      </c>
      <c r="D8456" s="17" t="s">
        <v>17166</v>
      </c>
      <c r="E8456" s="17"/>
      <c r="F8456" s="17" t="s">
        <v>17246</v>
      </c>
      <c r="G8456" s="17"/>
      <c r="H8456" s="17" t="s">
        <v>17984</v>
      </c>
      <c r="I8456" s="17"/>
      <c r="J8456" s="17" t="s">
        <v>17985</v>
      </c>
      <c r="K8456" s="17"/>
      <c r="L8456" s="17" t="s">
        <v>19025</v>
      </c>
      <c r="M8456" s="17"/>
      <c r="N8456" s="17" t="s">
        <v>19268</v>
      </c>
      <c r="O8456" s="17" t="s">
        <v>19597</v>
      </c>
      <c r="P8456" s="17" t="s">
        <v>19730</v>
      </c>
      <c r="Q8456" s="17"/>
      <c r="R8456" s="25" t="str">
        <f>HYPERLINK("https://ictv.global/taxonomy/taxondetails?taxnode_id=202306476","Vitivirus gammavitis")</f>
        <v>Vitivirus gammavitis</v>
      </c>
      <c r="S8456" s="18" t="s">
        <v>30</v>
      </c>
      <c r="T8456" s="18" t="s">
        <v>19766</v>
      </c>
      <c r="U8456" s="18" t="s">
        <v>19767</v>
      </c>
      <c r="V8456" s="18" t="s">
        <v>19768</v>
      </c>
      <c r="W8456" s="18" t="s">
        <v>19769</v>
      </c>
      <c r="X8456" s="18" t="s">
        <v>42</v>
      </c>
      <c r="Y8456" s="18" t="s">
        <v>17171</v>
      </c>
      <c r="Z8456" s="18" t="s">
        <v>13441</v>
      </c>
      <c r="AA8456" s="21" t="str">
        <f>HYPERLINK("https://www.ncbi.nlm.nih.gov/nuccore/MF405923","NCBI Nucleotide")</f>
        <v>NCBI Nucleotide</v>
      </c>
    </row>
    <row r="8457" spans="1:27" x14ac:dyDescent="0.35">
      <c r="A8457">
        <v>1008983</v>
      </c>
      <c r="B8457">
        <v>7853</v>
      </c>
      <c r="C8457">
        <v>1</v>
      </c>
      <c r="D8457" s="17" t="s">
        <v>17166</v>
      </c>
      <c r="E8457" s="17"/>
      <c r="F8457" s="17" t="s">
        <v>17246</v>
      </c>
      <c r="G8457" s="17"/>
      <c r="H8457" s="17" t="s">
        <v>17984</v>
      </c>
      <c r="I8457" s="17"/>
      <c r="J8457" s="17" t="s">
        <v>17985</v>
      </c>
      <c r="K8457" s="17"/>
      <c r="L8457" s="17" t="s">
        <v>19025</v>
      </c>
      <c r="M8457" s="17"/>
      <c r="N8457" s="17" t="s">
        <v>19268</v>
      </c>
      <c r="O8457" s="17" t="s">
        <v>19597</v>
      </c>
      <c r="P8457" s="17" t="s">
        <v>19730</v>
      </c>
      <c r="Q8457" s="17"/>
      <c r="R8457" s="25" t="str">
        <f>HYPERLINK("https://ictv.global/taxonomy/taxondetails?taxnode_id=202306487","Vitivirus iotavitis")</f>
        <v>Vitivirus iotavitis</v>
      </c>
      <c r="S8457" s="18" t="s">
        <v>30</v>
      </c>
      <c r="T8457" s="18" t="s">
        <v>19774</v>
      </c>
      <c r="U8457" s="18" t="s">
        <v>19775</v>
      </c>
      <c r="V8457" s="18" t="s">
        <v>19776</v>
      </c>
      <c r="W8457" s="18" t="s">
        <v>19777</v>
      </c>
      <c r="X8457" s="18" t="s">
        <v>42</v>
      </c>
      <c r="Y8457" s="18" t="s">
        <v>17171</v>
      </c>
      <c r="Z8457" s="18" t="s">
        <v>13441</v>
      </c>
      <c r="AA8457" s="21" t="str">
        <f>HYPERLINK("https://www.ncbi.nlm.nih.gov/nuccore/MF927925","NCBI Nucleotide")</f>
        <v>NCBI Nucleotide</v>
      </c>
    </row>
    <row r="8458" spans="1:27" x14ac:dyDescent="0.35">
      <c r="A8458">
        <v>1008984</v>
      </c>
      <c r="B8458">
        <v>7854</v>
      </c>
      <c r="C8458">
        <v>1</v>
      </c>
      <c r="D8458" s="17" t="s">
        <v>17166</v>
      </c>
      <c r="E8458" s="17"/>
      <c r="F8458" s="17" t="s">
        <v>17246</v>
      </c>
      <c r="G8458" s="17"/>
      <c r="H8458" s="17" t="s">
        <v>17984</v>
      </c>
      <c r="I8458" s="17"/>
      <c r="J8458" s="17" t="s">
        <v>17985</v>
      </c>
      <c r="K8458" s="17"/>
      <c r="L8458" s="17" t="s">
        <v>19025</v>
      </c>
      <c r="M8458" s="17"/>
      <c r="N8458" s="17" t="s">
        <v>19268</v>
      </c>
      <c r="O8458" s="17" t="s">
        <v>19597</v>
      </c>
      <c r="P8458" s="17" t="s">
        <v>19730</v>
      </c>
      <c r="Q8458" s="17"/>
      <c r="R8458" s="25" t="str">
        <f>HYPERLINK("https://ictv.global/taxonomy/taxondetails?taxnode_id=202306493","Vitivirus jeivitis")</f>
        <v>Vitivirus jeivitis</v>
      </c>
      <c r="S8458" s="18" t="s">
        <v>30</v>
      </c>
      <c r="T8458" s="18" t="s">
        <v>19778</v>
      </c>
      <c r="U8458" s="18" t="s">
        <v>19779</v>
      </c>
      <c r="V8458" s="18" t="s">
        <v>19780</v>
      </c>
      <c r="W8458" s="18" t="s">
        <v>19781</v>
      </c>
      <c r="X8458" s="18" t="s">
        <v>42</v>
      </c>
      <c r="Y8458" s="18" t="s">
        <v>17171</v>
      </c>
      <c r="Z8458" s="18" t="s">
        <v>13441</v>
      </c>
      <c r="AA8458" s="21" t="str">
        <f>HYPERLINK("https://www.ncbi.nlm.nih.gov/nuccore/MG637048","NCBI Nucleotide")</f>
        <v>NCBI Nucleotide</v>
      </c>
    </row>
    <row r="8459" spans="1:27" x14ac:dyDescent="0.35">
      <c r="A8459">
        <v>1008988</v>
      </c>
      <c r="B8459">
        <v>7855</v>
      </c>
      <c r="C8459">
        <v>1</v>
      </c>
      <c r="D8459" s="17" t="s">
        <v>17166</v>
      </c>
      <c r="E8459" s="17"/>
      <c r="F8459" s="17" t="s">
        <v>17246</v>
      </c>
      <c r="G8459" s="17"/>
      <c r="H8459" s="17" t="s">
        <v>17984</v>
      </c>
      <c r="I8459" s="17"/>
      <c r="J8459" s="17" t="s">
        <v>17985</v>
      </c>
      <c r="K8459" s="17"/>
      <c r="L8459" s="17" t="s">
        <v>19025</v>
      </c>
      <c r="M8459" s="17"/>
      <c r="N8459" s="17" t="s">
        <v>19268</v>
      </c>
      <c r="O8459" s="17" t="s">
        <v>19597</v>
      </c>
      <c r="P8459" s="17" t="s">
        <v>19730</v>
      </c>
      <c r="Q8459" s="17"/>
      <c r="R8459" s="25" t="str">
        <f>HYPERLINK("https://ictv.global/taxonomy/taxondetails?taxnode_id=202313861","Vitivirus lambdavitis")</f>
        <v>Vitivirus lambdavitis</v>
      </c>
      <c r="S8459" s="18" t="s">
        <v>30</v>
      </c>
      <c r="T8459" s="18" t="s">
        <v>19792</v>
      </c>
      <c r="U8459" s="18" t="s">
        <v>19793</v>
      </c>
      <c r="V8459" s="18" t="s">
        <v>19794</v>
      </c>
      <c r="W8459" s="18" t="s">
        <v>19795</v>
      </c>
      <c r="X8459" s="18" t="s">
        <v>42</v>
      </c>
      <c r="Y8459" s="18" t="s">
        <v>17171</v>
      </c>
      <c r="Z8459" s="18" t="s">
        <v>13441</v>
      </c>
      <c r="AA8459" s="21" t="str">
        <f>HYPERLINK("https://www.ncbi.nlm.nih.gov/nuccore/MT269788","NCBI Nucleotide")</f>
        <v>NCBI Nucleotide</v>
      </c>
    </row>
    <row r="8460" spans="1:27" x14ac:dyDescent="0.35">
      <c r="A8460">
        <v>1008985</v>
      </c>
      <c r="B8460">
        <v>7856</v>
      </c>
      <c r="C8460">
        <v>1</v>
      </c>
      <c r="D8460" s="17" t="s">
        <v>17166</v>
      </c>
      <c r="E8460" s="17"/>
      <c r="F8460" s="17" t="s">
        <v>17246</v>
      </c>
      <c r="G8460" s="17"/>
      <c r="H8460" s="17" t="s">
        <v>17984</v>
      </c>
      <c r="I8460" s="17"/>
      <c r="J8460" s="17" t="s">
        <v>17985</v>
      </c>
      <c r="K8460" s="17"/>
      <c r="L8460" s="17" t="s">
        <v>19025</v>
      </c>
      <c r="M8460" s="17"/>
      <c r="N8460" s="17" t="s">
        <v>19268</v>
      </c>
      <c r="O8460" s="17" t="s">
        <v>19597</v>
      </c>
      <c r="P8460" s="17" t="s">
        <v>19730</v>
      </c>
      <c r="Q8460" s="17"/>
      <c r="R8460" s="25" t="str">
        <f>HYPERLINK("https://ictv.global/taxonomy/taxondetails?taxnode_id=202302334","Vitivirus latensheraclei")</f>
        <v>Vitivirus latensheraclei</v>
      </c>
      <c r="S8460" s="18" t="s">
        <v>30</v>
      </c>
      <c r="T8460" s="18" t="s">
        <v>19782</v>
      </c>
      <c r="U8460" s="18" t="s">
        <v>19402</v>
      </c>
      <c r="V8460" s="18" t="s">
        <v>19783</v>
      </c>
      <c r="W8460" s="18" t="s">
        <v>19784</v>
      </c>
      <c r="X8460" s="18" t="s">
        <v>154</v>
      </c>
      <c r="Y8460" s="18" t="s">
        <v>17171</v>
      </c>
      <c r="Z8460" s="18" t="s">
        <v>13441</v>
      </c>
      <c r="AA8460" s="21" t="str">
        <f>HYPERLINK("https://www.ncbi.nlm.nih.gov/nuccore/X79270","NCBI Nucleotide")</f>
        <v>NCBI Nucleotide</v>
      </c>
    </row>
    <row r="8461" spans="1:27" x14ac:dyDescent="0.35">
      <c r="A8461">
        <v>1027463</v>
      </c>
      <c r="B8461">
        <v>7857</v>
      </c>
      <c r="C8461">
        <v>1</v>
      </c>
      <c r="D8461" s="17" t="s">
        <v>17166</v>
      </c>
      <c r="E8461" s="17"/>
      <c r="F8461" s="17" t="s">
        <v>17246</v>
      </c>
      <c r="G8461" s="17"/>
      <c r="H8461" s="17" t="s">
        <v>17984</v>
      </c>
      <c r="I8461" s="17"/>
      <c r="J8461" s="17" t="s">
        <v>17985</v>
      </c>
      <c r="K8461" s="17"/>
      <c r="L8461" s="17" t="s">
        <v>19025</v>
      </c>
      <c r="M8461" s="17"/>
      <c r="N8461" s="17" t="s">
        <v>19268</v>
      </c>
      <c r="O8461" s="17" t="s">
        <v>19597</v>
      </c>
      <c r="P8461" s="17" t="s">
        <v>19730</v>
      </c>
      <c r="Q8461" s="17"/>
      <c r="R8461" s="25" t="str">
        <f>HYPERLINK("https://ictv.global/taxonomy/taxondetails?taxnode_id=202319028","Vitivirus nuvitis")</f>
        <v>Vitivirus nuvitis</v>
      </c>
      <c r="S8461" s="18" t="s">
        <v>30</v>
      </c>
      <c r="T8461" s="18" t="s">
        <v>42447</v>
      </c>
      <c r="U8461" s="18" t="s">
        <v>42448</v>
      </c>
      <c r="V8461" s="18" t="s">
        <v>42449</v>
      </c>
      <c r="W8461" s="18" t="s">
        <v>48633</v>
      </c>
      <c r="X8461" s="18" t="s">
        <v>42</v>
      </c>
      <c r="Y8461" s="18" t="s">
        <v>17171</v>
      </c>
      <c r="Z8461" s="18" t="s">
        <v>13441</v>
      </c>
      <c r="AA8461" s="21" t="str">
        <f>HYPERLINK("https://www.ncbi.nlm.nih.gov/nuccore/MZ682351","NCBI Nucleotide")</f>
        <v>NCBI Nucleotide</v>
      </c>
    </row>
    <row r="8462" spans="1:27" x14ac:dyDescent="0.35">
      <c r="A8462">
        <v>1008980</v>
      </c>
      <c r="B8462">
        <v>7858</v>
      </c>
      <c r="C8462">
        <v>1</v>
      </c>
      <c r="D8462" s="17" t="s">
        <v>17166</v>
      </c>
      <c r="E8462" s="17"/>
      <c r="F8462" s="17" t="s">
        <v>17246</v>
      </c>
      <c r="G8462" s="17"/>
      <c r="H8462" s="17" t="s">
        <v>17984</v>
      </c>
      <c r="I8462" s="17"/>
      <c r="J8462" s="17" t="s">
        <v>17985</v>
      </c>
      <c r="K8462" s="17"/>
      <c r="L8462" s="17" t="s">
        <v>19025</v>
      </c>
      <c r="M8462" s="17"/>
      <c r="N8462" s="17" t="s">
        <v>19268</v>
      </c>
      <c r="O8462" s="17" t="s">
        <v>19597</v>
      </c>
      <c r="P8462" s="17" t="s">
        <v>19730</v>
      </c>
      <c r="Q8462" s="17"/>
      <c r="R8462" s="25" t="str">
        <f>HYPERLINK("https://ictv.global/taxonomy/taxondetails?taxnode_id=202302333","Vitivirus phivitis")</f>
        <v>Vitivirus phivitis</v>
      </c>
      <c r="S8462" s="18" t="s">
        <v>30</v>
      </c>
      <c r="T8462" s="18" t="s">
        <v>19762</v>
      </c>
      <c r="U8462" s="18" t="s">
        <v>19763</v>
      </c>
      <c r="V8462" s="18" t="s">
        <v>19764</v>
      </c>
      <c r="W8462" s="18" t="s">
        <v>19765</v>
      </c>
      <c r="X8462" s="18" t="s">
        <v>42</v>
      </c>
      <c r="Y8462" s="18" t="s">
        <v>17171</v>
      </c>
      <c r="Z8462" s="18" t="s">
        <v>13441</v>
      </c>
      <c r="AA8462" s="21" t="str">
        <f>HYPERLINK("https://www.ncbi.nlm.nih.gov/nuccore/JX105428","NCBI Nucleotide")</f>
        <v>NCBI Nucleotide</v>
      </c>
    </row>
    <row r="8463" spans="1:27" x14ac:dyDescent="0.35">
      <c r="A8463">
        <v>1008987</v>
      </c>
      <c r="B8463">
        <v>7859</v>
      </c>
      <c r="C8463">
        <v>1</v>
      </c>
      <c r="D8463" s="17" t="s">
        <v>17166</v>
      </c>
      <c r="E8463" s="17"/>
      <c r="F8463" s="17" t="s">
        <v>17246</v>
      </c>
      <c r="G8463" s="17"/>
      <c r="H8463" s="17" t="s">
        <v>17984</v>
      </c>
      <c r="I8463" s="17"/>
      <c r="J8463" s="17" t="s">
        <v>17985</v>
      </c>
      <c r="K8463" s="17"/>
      <c r="L8463" s="17" t="s">
        <v>19025</v>
      </c>
      <c r="M8463" s="17"/>
      <c r="N8463" s="17" t="s">
        <v>19268</v>
      </c>
      <c r="O8463" s="17" t="s">
        <v>19597</v>
      </c>
      <c r="P8463" s="17" t="s">
        <v>19730</v>
      </c>
      <c r="Q8463" s="17"/>
      <c r="R8463" s="25" t="str">
        <f>HYPERLINK("https://ictv.global/taxonomy/taxondetails?taxnode_id=202313860","Vitivirus vaccinii")</f>
        <v>Vitivirus vaccinii</v>
      </c>
      <c r="S8463" s="18" t="s">
        <v>30</v>
      </c>
      <c r="T8463" s="18" t="s">
        <v>19788</v>
      </c>
      <c r="U8463" s="18" t="s">
        <v>19789</v>
      </c>
      <c r="V8463" s="18" t="s">
        <v>19790</v>
      </c>
      <c r="W8463" s="18" t="s">
        <v>19791</v>
      </c>
      <c r="X8463" s="18" t="s">
        <v>42</v>
      </c>
      <c r="Y8463" s="18" t="s">
        <v>17171</v>
      </c>
      <c r="Z8463" s="18" t="s">
        <v>13441</v>
      </c>
      <c r="AA8463" s="21" t="str">
        <f>HYPERLINK("https://www.ncbi.nlm.nih.gov/nuccore/MK460433","NCBI Nucleotide")</f>
        <v>NCBI Nucleotide</v>
      </c>
    </row>
    <row r="8464" spans="1:27" x14ac:dyDescent="0.35">
      <c r="A8464">
        <v>1008974</v>
      </c>
      <c r="B8464">
        <v>7860</v>
      </c>
      <c r="C8464">
        <v>1</v>
      </c>
      <c r="D8464" s="17" t="s">
        <v>17166</v>
      </c>
      <c r="E8464" s="17"/>
      <c r="F8464" s="17" t="s">
        <v>17246</v>
      </c>
      <c r="G8464" s="17"/>
      <c r="H8464" s="17" t="s">
        <v>17984</v>
      </c>
      <c r="I8464" s="17"/>
      <c r="J8464" s="17" t="s">
        <v>17985</v>
      </c>
      <c r="K8464" s="17"/>
      <c r="L8464" s="17" t="s">
        <v>19025</v>
      </c>
      <c r="M8464" s="17"/>
      <c r="N8464" s="17" t="s">
        <v>19268</v>
      </c>
      <c r="O8464" s="17" t="s">
        <v>19597</v>
      </c>
      <c r="P8464" s="17" t="s">
        <v>19730</v>
      </c>
      <c r="Q8464" s="17"/>
      <c r="R8464" s="25" t="str">
        <f>HYPERLINK("https://ictv.global/taxonomy/taxondetails?taxnode_id=202305644","Vitivirus viarracaciae")</f>
        <v>Vitivirus viarracaciae</v>
      </c>
      <c r="S8464" s="18" t="s">
        <v>30</v>
      </c>
      <c r="T8464" s="18" t="s">
        <v>19739</v>
      </c>
      <c r="U8464" s="18" t="s">
        <v>19740</v>
      </c>
      <c r="V8464" s="18" t="s">
        <v>19741</v>
      </c>
      <c r="W8464" s="18" t="s">
        <v>19742</v>
      </c>
      <c r="X8464" s="18" t="s">
        <v>42</v>
      </c>
      <c r="Y8464" s="18" t="s">
        <v>17171</v>
      </c>
      <c r="Z8464" s="18" t="s">
        <v>13441</v>
      </c>
      <c r="AA8464" s="21" t="str">
        <f>HYPERLINK("https://www.ncbi.nlm.nih.gov/nuccore/KY392781","NCBI Nucleotide")</f>
        <v>NCBI Nucleotide</v>
      </c>
    </row>
    <row r="8465" spans="1:27" x14ac:dyDescent="0.35">
      <c r="A8465">
        <v>1008989</v>
      </c>
      <c r="B8465">
        <v>7861</v>
      </c>
      <c r="C8465">
        <v>1</v>
      </c>
      <c r="D8465" s="17" t="s">
        <v>17166</v>
      </c>
      <c r="E8465" s="17"/>
      <c r="F8465" s="17" t="s">
        <v>17246</v>
      </c>
      <c r="G8465" s="17"/>
      <c r="H8465" s="17" t="s">
        <v>17984</v>
      </c>
      <c r="I8465" s="17"/>
      <c r="J8465" s="17" t="s">
        <v>17985</v>
      </c>
      <c r="K8465" s="17"/>
      <c r="L8465" s="17" t="s">
        <v>19025</v>
      </c>
      <c r="M8465" s="17"/>
      <c r="N8465" s="17" t="s">
        <v>19268</v>
      </c>
      <c r="O8465" s="17" t="s">
        <v>19597</v>
      </c>
      <c r="P8465" s="17" t="s">
        <v>19796</v>
      </c>
      <c r="Q8465" s="17"/>
      <c r="R8465" s="25" t="str">
        <f>HYPERLINK("https://ictv.global/taxonomy/taxondetails?taxnode_id=202306419","Wamavirus alphacitrulli")</f>
        <v>Wamavirus alphacitrulli</v>
      </c>
      <c r="S8465" s="18" t="s">
        <v>30</v>
      </c>
      <c r="T8465" s="18" t="s">
        <v>19797</v>
      </c>
      <c r="U8465" s="18" t="s">
        <v>19798</v>
      </c>
      <c r="V8465" s="18" t="s">
        <v>19799</v>
      </c>
      <c r="W8465" s="18" t="s">
        <v>19800</v>
      </c>
      <c r="X8465" s="18" t="s">
        <v>42</v>
      </c>
      <c r="Y8465" s="18" t="s">
        <v>17171</v>
      </c>
      <c r="Z8465" s="18" t="s">
        <v>13441</v>
      </c>
      <c r="AA8465" s="21" t="str">
        <f>HYPERLINK("https://www.ncbi.nlm.nih.gov/nuccore/KY363796","NCBI Nucleotide")</f>
        <v>NCBI Nucleotide</v>
      </c>
    </row>
    <row r="8466" spans="1:27" x14ac:dyDescent="0.35">
      <c r="A8466">
        <v>1008990</v>
      </c>
      <c r="B8466">
        <v>7862</v>
      </c>
      <c r="C8466">
        <v>1</v>
      </c>
      <c r="D8466" s="17" t="s">
        <v>17166</v>
      </c>
      <c r="E8466" s="17"/>
      <c r="F8466" s="17" t="s">
        <v>17246</v>
      </c>
      <c r="G8466" s="17"/>
      <c r="H8466" s="17" t="s">
        <v>17984</v>
      </c>
      <c r="I8466" s="17"/>
      <c r="J8466" s="17" t="s">
        <v>17985</v>
      </c>
      <c r="K8466" s="17"/>
      <c r="L8466" s="17" t="s">
        <v>19025</v>
      </c>
      <c r="M8466" s="17"/>
      <c r="N8466" s="17" t="s">
        <v>19801</v>
      </c>
      <c r="O8466" s="17"/>
      <c r="P8466" s="17" t="s">
        <v>19802</v>
      </c>
      <c r="Q8466" s="17"/>
      <c r="R8466" s="25" t="str">
        <f>HYPERLINK("https://ictv.global/taxonomy/taxondetails?taxnode_id=202305645","Deltaflexivirus fusarii")</f>
        <v>Deltaflexivirus fusarii</v>
      </c>
      <c r="S8466" s="18" t="s">
        <v>30</v>
      </c>
      <c r="T8466" s="18" t="s">
        <v>19803</v>
      </c>
      <c r="U8466" s="18" t="s">
        <v>19804</v>
      </c>
      <c r="V8466" s="18" t="s">
        <v>19805</v>
      </c>
      <c r="W8466" s="18" t="s">
        <v>19806</v>
      </c>
      <c r="X8466" s="18" t="s">
        <v>42</v>
      </c>
      <c r="Y8466" s="18" t="s">
        <v>17171</v>
      </c>
      <c r="Z8466" s="18" t="s">
        <v>16721</v>
      </c>
      <c r="AA8466" s="21" t="str">
        <f>HYPERLINK("https://www.ncbi.nlm.nih.gov/nuccore/KX015962","NCBI Nucleotide")</f>
        <v>NCBI Nucleotide</v>
      </c>
    </row>
    <row r="8467" spans="1:27" x14ac:dyDescent="0.35">
      <c r="A8467">
        <v>1008992</v>
      </c>
      <c r="B8467">
        <v>7863</v>
      </c>
      <c r="C8467">
        <v>1</v>
      </c>
      <c r="D8467" s="17" t="s">
        <v>17166</v>
      </c>
      <c r="E8467" s="17"/>
      <c r="F8467" s="17" t="s">
        <v>17246</v>
      </c>
      <c r="G8467" s="17"/>
      <c r="H8467" s="17" t="s">
        <v>17984</v>
      </c>
      <c r="I8467" s="17"/>
      <c r="J8467" s="17" t="s">
        <v>17985</v>
      </c>
      <c r="K8467" s="17"/>
      <c r="L8467" s="17" t="s">
        <v>19025</v>
      </c>
      <c r="M8467" s="17"/>
      <c r="N8467" s="17" t="s">
        <v>19801</v>
      </c>
      <c r="O8467" s="17"/>
      <c r="P8467" s="17" t="s">
        <v>19802</v>
      </c>
      <c r="Q8467" s="17"/>
      <c r="R8467" s="25" t="str">
        <f>HYPERLINK("https://ictv.global/taxonomy/taxondetails?taxnode_id=202305647","Deltaflexivirus glycinis")</f>
        <v>Deltaflexivirus glycinis</v>
      </c>
      <c r="S8467" s="18" t="s">
        <v>30</v>
      </c>
      <c r="T8467" s="18" t="s">
        <v>19811</v>
      </c>
      <c r="U8467" s="18" t="s">
        <v>19812</v>
      </c>
      <c r="V8467" s="18">
        <v>1</v>
      </c>
      <c r="W8467" s="18" t="s">
        <v>19813</v>
      </c>
      <c r="X8467" s="18" t="s">
        <v>154</v>
      </c>
      <c r="Y8467" s="18" t="s">
        <v>17171</v>
      </c>
      <c r="Z8467" s="18" t="s">
        <v>16721</v>
      </c>
      <c r="AA8467" s="21" t="str">
        <f>HYPERLINK("https://www.ncbi.nlm.nih.gov/nuccore/KT598226","NCBI Nucleotide")</f>
        <v>NCBI Nucleotide</v>
      </c>
    </row>
    <row r="8468" spans="1:27" x14ac:dyDescent="0.35">
      <c r="A8468">
        <v>1026188</v>
      </c>
      <c r="B8468">
        <v>7864</v>
      </c>
      <c r="C8468">
        <v>1</v>
      </c>
      <c r="D8468" s="17" t="s">
        <v>17166</v>
      </c>
      <c r="E8468" s="17"/>
      <c r="F8468" s="17" t="s">
        <v>17246</v>
      </c>
      <c r="G8468" s="17"/>
      <c r="H8468" s="17" t="s">
        <v>17984</v>
      </c>
      <c r="I8468" s="17"/>
      <c r="J8468" s="17" t="s">
        <v>17985</v>
      </c>
      <c r="K8468" s="17"/>
      <c r="L8468" s="17" t="s">
        <v>19025</v>
      </c>
      <c r="M8468" s="17"/>
      <c r="N8468" s="17" t="s">
        <v>19801</v>
      </c>
      <c r="O8468" s="17"/>
      <c r="P8468" s="17" t="s">
        <v>19802</v>
      </c>
      <c r="Q8468" s="17"/>
      <c r="R8468" s="25" t="str">
        <f>HYPERLINK("https://ictv.global/taxonomy/taxondetails?taxnode_id=202318067","Deltaflexivirus pleurotii")</f>
        <v>Deltaflexivirus pleurotii</v>
      </c>
      <c r="S8468" s="18" t="s">
        <v>30</v>
      </c>
      <c r="T8468" s="18" t="s">
        <v>42450</v>
      </c>
      <c r="U8468" s="18" t="s">
        <v>42451</v>
      </c>
      <c r="V8468" s="18" t="s">
        <v>2551</v>
      </c>
      <c r="W8468" s="18" t="s">
        <v>48634</v>
      </c>
      <c r="X8468" s="18" t="s">
        <v>42</v>
      </c>
      <c r="Y8468" s="18" t="s">
        <v>17171</v>
      </c>
      <c r="Z8468" s="18" t="s">
        <v>16721</v>
      </c>
      <c r="AA8468" s="21" t="str">
        <f>HYPERLINK("https://www.ncbi.nlm.nih.gov/nuccore/OQ295989","NCBI Nucleotide")</f>
        <v>NCBI Nucleotide</v>
      </c>
    </row>
    <row r="8469" spans="1:27" x14ac:dyDescent="0.35">
      <c r="A8469">
        <v>1008991</v>
      </c>
      <c r="B8469">
        <v>7865</v>
      </c>
      <c r="C8469">
        <v>1</v>
      </c>
      <c r="D8469" s="17" t="s">
        <v>17166</v>
      </c>
      <c r="E8469" s="17"/>
      <c r="F8469" s="17" t="s">
        <v>17246</v>
      </c>
      <c r="G8469" s="17"/>
      <c r="H8469" s="17" t="s">
        <v>17984</v>
      </c>
      <c r="I8469" s="17"/>
      <c r="J8469" s="17" t="s">
        <v>17985</v>
      </c>
      <c r="K8469" s="17"/>
      <c r="L8469" s="17" t="s">
        <v>19025</v>
      </c>
      <c r="M8469" s="17"/>
      <c r="N8469" s="17" t="s">
        <v>19801</v>
      </c>
      <c r="O8469" s="17"/>
      <c r="P8469" s="17" t="s">
        <v>19802</v>
      </c>
      <c r="Q8469" s="17"/>
      <c r="R8469" s="25" t="str">
        <f>HYPERLINK("https://ictv.global/taxonomy/taxondetails?taxnode_id=202305646","Deltaflexivirus sclerotiniae")</f>
        <v>Deltaflexivirus sclerotiniae</v>
      </c>
      <c r="S8469" s="18" t="s">
        <v>30</v>
      </c>
      <c r="T8469" s="18" t="s">
        <v>19807</v>
      </c>
      <c r="U8469" s="18" t="s">
        <v>19808</v>
      </c>
      <c r="V8469" s="18" t="s">
        <v>19809</v>
      </c>
      <c r="W8469" s="18" t="s">
        <v>19810</v>
      </c>
      <c r="X8469" s="18" t="s">
        <v>35</v>
      </c>
      <c r="Y8469" s="18" t="s">
        <v>17171</v>
      </c>
      <c r="Z8469" s="18" t="s">
        <v>16721</v>
      </c>
      <c r="AA8469" s="21" t="str">
        <f>HYPERLINK("https://www.ncbi.nlm.nih.gov/nuccore/KT581451","NCBI Nucleotide")</f>
        <v>NCBI Nucleotide</v>
      </c>
    </row>
    <row r="8470" spans="1:27" x14ac:dyDescent="0.35">
      <c r="A8470">
        <v>1008993</v>
      </c>
      <c r="B8470">
        <v>7866</v>
      </c>
      <c r="C8470">
        <v>1</v>
      </c>
      <c r="D8470" s="17" t="s">
        <v>17166</v>
      </c>
      <c r="E8470" s="17"/>
      <c r="F8470" s="17" t="s">
        <v>17246</v>
      </c>
      <c r="G8470" s="17"/>
      <c r="H8470" s="17" t="s">
        <v>17984</v>
      </c>
      <c r="I8470" s="17"/>
      <c r="J8470" s="17" t="s">
        <v>17985</v>
      </c>
      <c r="K8470" s="17"/>
      <c r="L8470" s="17" t="s">
        <v>19025</v>
      </c>
      <c r="M8470" s="17"/>
      <c r="N8470" s="17" t="s">
        <v>19814</v>
      </c>
      <c r="O8470" s="17"/>
      <c r="P8470" s="17" t="s">
        <v>19815</v>
      </c>
      <c r="Q8470" s="17"/>
      <c r="R8470" s="25" t="str">
        <f>HYPERLINK("https://ictv.global/taxonomy/taxondetails?taxnode_id=202312524","Gammaflexivirus unientoleucae")</f>
        <v>Gammaflexivirus unientoleucae</v>
      </c>
      <c r="S8470" s="18" t="s">
        <v>30</v>
      </c>
      <c r="T8470" s="18" t="s">
        <v>19816</v>
      </c>
      <c r="U8470" s="18" t="s">
        <v>19817</v>
      </c>
      <c r="V8470" s="18" t="s">
        <v>19818</v>
      </c>
      <c r="W8470" s="18" t="s">
        <v>19819</v>
      </c>
      <c r="X8470" s="18" t="s">
        <v>42</v>
      </c>
      <c r="Y8470" s="18" t="s">
        <v>17171</v>
      </c>
      <c r="Z8470" s="18" t="s">
        <v>16721</v>
      </c>
      <c r="AA8470" s="21" t="str">
        <f>HYPERLINK("https://www.ncbi.nlm.nih.gov/nuccore/MF375883","NCBI Nucleotide")</f>
        <v>NCBI Nucleotide</v>
      </c>
    </row>
    <row r="8471" spans="1:27" x14ac:dyDescent="0.35">
      <c r="A8471">
        <v>1008994</v>
      </c>
      <c r="B8471">
        <v>7867</v>
      </c>
      <c r="C8471">
        <v>1</v>
      </c>
      <c r="D8471" s="17" t="s">
        <v>17166</v>
      </c>
      <c r="E8471" s="17"/>
      <c r="F8471" s="17" t="s">
        <v>17246</v>
      </c>
      <c r="G8471" s="17"/>
      <c r="H8471" s="17" t="s">
        <v>17984</v>
      </c>
      <c r="I8471" s="17"/>
      <c r="J8471" s="17" t="s">
        <v>17985</v>
      </c>
      <c r="K8471" s="17"/>
      <c r="L8471" s="17" t="s">
        <v>19025</v>
      </c>
      <c r="M8471" s="17"/>
      <c r="N8471" s="17" t="s">
        <v>19814</v>
      </c>
      <c r="O8471" s="17"/>
      <c r="P8471" s="17" t="s">
        <v>19815</v>
      </c>
      <c r="Q8471" s="17"/>
      <c r="R8471" s="25" t="str">
        <f>HYPERLINK("https://ictv.global/taxonomy/taxondetails?taxnode_id=202312525","Gammaflexivirus unipistaciae")</f>
        <v>Gammaflexivirus unipistaciae</v>
      </c>
      <c r="S8471" s="18" t="s">
        <v>30</v>
      </c>
      <c r="T8471" s="18" t="s">
        <v>19820</v>
      </c>
      <c r="U8471" s="18" t="s">
        <v>19821</v>
      </c>
      <c r="V8471" s="18" t="s">
        <v>19818</v>
      </c>
      <c r="W8471" s="18" t="s">
        <v>19822</v>
      </c>
      <c r="X8471" s="18" t="s">
        <v>42</v>
      </c>
      <c r="Y8471" s="18" t="s">
        <v>17171</v>
      </c>
      <c r="Z8471" s="18" t="s">
        <v>16721</v>
      </c>
      <c r="AA8471" s="21" t="str">
        <f>HYPERLINK("https://www.ncbi.nlm.nih.gov/nuccore/MF375884","NCBI Nucleotide")</f>
        <v>NCBI Nucleotide</v>
      </c>
    </row>
    <row r="8472" spans="1:27" x14ac:dyDescent="0.35">
      <c r="A8472">
        <v>1008995</v>
      </c>
      <c r="B8472">
        <v>7868</v>
      </c>
      <c r="C8472">
        <v>1</v>
      </c>
      <c r="D8472" s="17" t="s">
        <v>17166</v>
      </c>
      <c r="E8472" s="17"/>
      <c r="F8472" s="17" t="s">
        <v>17246</v>
      </c>
      <c r="G8472" s="17"/>
      <c r="H8472" s="17" t="s">
        <v>17984</v>
      </c>
      <c r="I8472" s="17"/>
      <c r="J8472" s="17" t="s">
        <v>17985</v>
      </c>
      <c r="K8472" s="17"/>
      <c r="L8472" s="17" t="s">
        <v>19025</v>
      </c>
      <c r="M8472" s="17"/>
      <c r="N8472" s="17" t="s">
        <v>19814</v>
      </c>
      <c r="O8472" s="17"/>
      <c r="P8472" s="17" t="s">
        <v>19823</v>
      </c>
      <c r="Q8472" s="17"/>
      <c r="R8472" s="25" t="str">
        <f>HYPERLINK("https://ictv.global/taxonomy/taxondetails?taxnode_id=202302340","Mycoflexivirus phibotrytidis")</f>
        <v>Mycoflexivirus phibotrytidis</v>
      </c>
      <c r="S8472" s="18" t="s">
        <v>30</v>
      </c>
      <c r="T8472" s="18" t="s">
        <v>19824</v>
      </c>
      <c r="U8472" s="18" t="s">
        <v>19825</v>
      </c>
      <c r="V8472" s="18" t="s">
        <v>19080</v>
      </c>
      <c r="W8472" s="18" t="s">
        <v>19826</v>
      </c>
      <c r="X8472" s="18" t="s">
        <v>42</v>
      </c>
      <c r="Y8472" s="18" t="s">
        <v>17171</v>
      </c>
      <c r="Z8472" s="18" t="s">
        <v>16721</v>
      </c>
      <c r="AA8472" s="21" t="str">
        <f>HYPERLINK("https://www.ncbi.nlm.nih.gov/nuccore/AF238884","NCBI Nucleotide")</f>
        <v>NCBI Nucleotide</v>
      </c>
    </row>
    <row r="8473" spans="1:27" x14ac:dyDescent="0.35">
      <c r="A8473">
        <v>1008996</v>
      </c>
      <c r="B8473">
        <v>7869</v>
      </c>
      <c r="C8473">
        <v>1</v>
      </c>
      <c r="D8473" s="17" t="s">
        <v>17166</v>
      </c>
      <c r="E8473" s="17"/>
      <c r="F8473" s="17" t="s">
        <v>17246</v>
      </c>
      <c r="G8473" s="17"/>
      <c r="H8473" s="17" t="s">
        <v>17984</v>
      </c>
      <c r="I8473" s="17"/>
      <c r="J8473" s="17" t="s">
        <v>17985</v>
      </c>
      <c r="K8473" s="17"/>
      <c r="L8473" s="17" t="s">
        <v>19025</v>
      </c>
      <c r="M8473" s="17"/>
      <c r="N8473" s="17" t="s">
        <v>19814</v>
      </c>
      <c r="O8473" s="17"/>
      <c r="P8473" s="17" t="s">
        <v>19827</v>
      </c>
      <c r="Q8473" s="17"/>
      <c r="R8473" s="25" t="str">
        <f>HYPERLINK("https://ictv.global/taxonomy/taxondetails?taxnode_id=202312527","Xylavirus duoentoleucae")</f>
        <v>Xylavirus duoentoleucae</v>
      </c>
      <c r="S8473" s="18" t="s">
        <v>30</v>
      </c>
      <c r="T8473" s="18" t="s">
        <v>19828</v>
      </c>
      <c r="U8473" s="18" t="s">
        <v>19829</v>
      </c>
      <c r="V8473" s="18" t="s">
        <v>19830</v>
      </c>
      <c r="W8473" s="18" t="s">
        <v>19831</v>
      </c>
      <c r="X8473" s="18" t="s">
        <v>42</v>
      </c>
      <c r="Y8473" s="18" t="s">
        <v>17171</v>
      </c>
      <c r="Z8473" s="18" t="s">
        <v>16721</v>
      </c>
      <c r="AA8473" s="21" t="str">
        <f>HYPERLINK("https://www.ncbi.nlm.nih.gov/nuccore/MK605686","NCBI Nucleotide")</f>
        <v>NCBI Nucleotide</v>
      </c>
    </row>
    <row r="8474" spans="1:27" x14ac:dyDescent="0.35">
      <c r="A8474">
        <v>1008997</v>
      </c>
      <c r="B8474">
        <v>7870</v>
      </c>
      <c r="C8474">
        <v>1</v>
      </c>
      <c r="D8474" s="17" t="s">
        <v>17166</v>
      </c>
      <c r="E8474" s="17"/>
      <c r="F8474" s="17" t="s">
        <v>17246</v>
      </c>
      <c r="G8474" s="17"/>
      <c r="H8474" s="17" t="s">
        <v>17984</v>
      </c>
      <c r="I8474" s="17"/>
      <c r="J8474" s="17" t="s">
        <v>17985</v>
      </c>
      <c r="K8474" s="17"/>
      <c r="L8474" s="17" t="s">
        <v>19025</v>
      </c>
      <c r="M8474" s="17"/>
      <c r="N8474" s="17" t="s">
        <v>19832</v>
      </c>
      <c r="O8474" s="17"/>
      <c r="P8474" s="17" t="s">
        <v>19839</v>
      </c>
      <c r="Q8474" s="17"/>
      <c r="R8474" s="25" t="str">
        <f>HYPERLINK("https://ictv.global/taxonomy/taxondetails?taxnode_id=202302344","Maculavirus vitis")</f>
        <v>Maculavirus vitis</v>
      </c>
      <c r="S8474" s="18" t="s">
        <v>30</v>
      </c>
      <c r="T8474" s="18" t="s">
        <v>19840</v>
      </c>
      <c r="U8474" s="18" t="s">
        <v>19841</v>
      </c>
      <c r="V8474" s="18" t="s">
        <v>19842</v>
      </c>
      <c r="W8474" s="18" t="s">
        <v>19843</v>
      </c>
      <c r="X8474" s="18" t="s">
        <v>42</v>
      </c>
      <c r="Y8474" s="18" t="s">
        <v>17171</v>
      </c>
      <c r="Z8474" s="18" t="s">
        <v>13441</v>
      </c>
      <c r="AA8474" s="21" t="str">
        <f>HYPERLINK("https://www.ncbi.nlm.nih.gov/nuccore/AJ309022","NCBI Nucleotide")</f>
        <v>NCBI Nucleotide</v>
      </c>
    </row>
    <row r="8475" spans="1:27" x14ac:dyDescent="0.35">
      <c r="A8475">
        <v>1008998</v>
      </c>
      <c r="B8475">
        <v>7871</v>
      </c>
      <c r="C8475">
        <v>1</v>
      </c>
      <c r="D8475" s="17" t="s">
        <v>17166</v>
      </c>
      <c r="E8475" s="17"/>
      <c r="F8475" s="17" t="s">
        <v>17246</v>
      </c>
      <c r="G8475" s="17"/>
      <c r="H8475" s="17" t="s">
        <v>17984</v>
      </c>
      <c r="I8475" s="17"/>
      <c r="J8475" s="17" t="s">
        <v>17985</v>
      </c>
      <c r="K8475" s="17"/>
      <c r="L8475" s="17" t="s">
        <v>19025</v>
      </c>
      <c r="M8475" s="17"/>
      <c r="N8475" s="17" t="s">
        <v>19832</v>
      </c>
      <c r="O8475" s="17"/>
      <c r="P8475" s="17" t="s">
        <v>19844</v>
      </c>
      <c r="Q8475" s="17"/>
      <c r="R8475" s="25" t="str">
        <f>HYPERLINK("https://ictv.global/taxonomy/taxondetails?taxnode_id=202305650","Marafivirus asteroides")</f>
        <v>Marafivirus asteroides</v>
      </c>
      <c r="S8475" s="18" t="s">
        <v>30</v>
      </c>
      <c r="T8475" s="18" t="s">
        <v>19845</v>
      </c>
      <c r="U8475" s="18" t="s">
        <v>19846</v>
      </c>
      <c r="V8475" s="18" t="s">
        <v>19847</v>
      </c>
      <c r="W8475" s="18" t="s">
        <v>19848</v>
      </c>
      <c r="X8475" s="18" t="s">
        <v>42</v>
      </c>
      <c r="Y8475" s="18" t="s">
        <v>17171</v>
      </c>
      <c r="Z8475" s="18" t="s">
        <v>13441</v>
      </c>
      <c r="AA8475" s="21" t="str">
        <f>HYPERLINK("https://www.ncbi.nlm.nih.gov/nuccore/KX354202","NCBI Nucleotide")</f>
        <v>NCBI Nucleotide</v>
      </c>
    </row>
    <row r="8476" spans="1:27" x14ac:dyDescent="0.35">
      <c r="A8476">
        <v>1008999</v>
      </c>
      <c r="B8476">
        <v>7872</v>
      </c>
      <c r="C8476">
        <v>1</v>
      </c>
      <c r="D8476" s="17" t="s">
        <v>17166</v>
      </c>
      <c r="E8476" s="17"/>
      <c r="F8476" s="17" t="s">
        <v>17246</v>
      </c>
      <c r="G8476" s="17"/>
      <c r="H8476" s="17" t="s">
        <v>17984</v>
      </c>
      <c r="I8476" s="17"/>
      <c r="J8476" s="17" t="s">
        <v>17985</v>
      </c>
      <c r="K8476" s="17"/>
      <c r="L8476" s="17" t="s">
        <v>19025</v>
      </c>
      <c r="M8476" s="17"/>
      <c r="N8476" s="17" t="s">
        <v>19832</v>
      </c>
      <c r="O8476" s="17"/>
      <c r="P8476" s="17" t="s">
        <v>19844</v>
      </c>
      <c r="Q8476" s="17"/>
      <c r="R8476" s="25" t="str">
        <f>HYPERLINK("https://ictv.global/taxonomy/taxondetails?taxnode_id=202302352","Marafivirus avenae")</f>
        <v>Marafivirus avenae</v>
      </c>
      <c r="S8476" s="18" t="s">
        <v>30</v>
      </c>
      <c r="T8476" s="18" t="s">
        <v>19849</v>
      </c>
      <c r="U8476" s="18" t="s">
        <v>19850</v>
      </c>
      <c r="V8476" s="18" t="s">
        <v>19851</v>
      </c>
      <c r="W8476" s="18" t="s">
        <v>19852</v>
      </c>
      <c r="X8476" s="18" t="s">
        <v>42</v>
      </c>
      <c r="Y8476" s="18" t="s">
        <v>17171</v>
      </c>
      <c r="Z8476" s="18" t="s">
        <v>13441</v>
      </c>
      <c r="AA8476" s="21" t="str">
        <f>HYPERLINK("https://www.ncbi.nlm.nih.gov/nuccore/U87832","NCBI Nucleotide")</f>
        <v>NCBI Nucleotide</v>
      </c>
    </row>
    <row r="8477" spans="1:27" x14ac:dyDescent="0.35">
      <c r="A8477">
        <v>1009000</v>
      </c>
      <c r="B8477">
        <v>7873</v>
      </c>
      <c r="C8477">
        <v>1</v>
      </c>
      <c r="D8477" s="17" t="s">
        <v>17166</v>
      </c>
      <c r="E8477" s="17"/>
      <c r="F8477" s="17" t="s">
        <v>17246</v>
      </c>
      <c r="G8477" s="17"/>
      <c r="H8477" s="17" t="s">
        <v>17984</v>
      </c>
      <c r="I8477" s="17"/>
      <c r="J8477" s="17" t="s">
        <v>17985</v>
      </c>
      <c r="K8477" s="17"/>
      <c r="L8477" s="17" t="s">
        <v>19025</v>
      </c>
      <c r="M8477" s="17"/>
      <c r="N8477" s="17" t="s">
        <v>19832</v>
      </c>
      <c r="O8477" s="17"/>
      <c r="P8477" s="17" t="s">
        <v>19844</v>
      </c>
      <c r="Q8477" s="17"/>
      <c r="R8477" s="25" t="str">
        <f>HYPERLINK("https://ictv.global/taxonomy/taxondetails?taxnode_id=202302348","Marafivirus citri")</f>
        <v>Marafivirus citri</v>
      </c>
      <c r="S8477" s="18" t="s">
        <v>30</v>
      </c>
      <c r="T8477" s="18" t="s">
        <v>19853</v>
      </c>
      <c r="U8477" s="18" t="s">
        <v>19854</v>
      </c>
      <c r="V8477" s="18" t="s">
        <v>15148</v>
      </c>
      <c r="W8477" s="18" t="s">
        <v>19855</v>
      </c>
      <c r="X8477" s="18" t="s">
        <v>42</v>
      </c>
      <c r="Y8477" s="18" t="s">
        <v>17171</v>
      </c>
      <c r="Z8477" s="18" t="s">
        <v>13441</v>
      </c>
      <c r="AA8477" s="21" t="str">
        <f>HYPERLINK("https://www.ncbi.nlm.nih.gov/nuccore/AY884005","NCBI Nucleotide")</f>
        <v>NCBI Nucleotide</v>
      </c>
    </row>
    <row r="8478" spans="1:27" x14ac:dyDescent="0.35">
      <c r="A8478">
        <v>1009001</v>
      </c>
      <c r="B8478">
        <v>7874</v>
      </c>
      <c r="C8478">
        <v>1</v>
      </c>
      <c r="D8478" s="17" t="s">
        <v>17166</v>
      </c>
      <c r="E8478" s="17"/>
      <c r="F8478" s="17" t="s">
        <v>17246</v>
      </c>
      <c r="G8478" s="17"/>
      <c r="H8478" s="17" t="s">
        <v>17984</v>
      </c>
      <c r="I8478" s="17"/>
      <c r="J8478" s="17" t="s">
        <v>17985</v>
      </c>
      <c r="K8478" s="17"/>
      <c r="L8478" s="17" t="s">
        <v>19025</v>
      </c>
      <c r="M8478" s="17"/>
      <c r="N8478" s="17" t="s">
        <v>19832</v>
      </c>
      <c r="O8478" s="17"/>
      <c r="P8478" s="17" t="s">
        <v>19844</v>
      </c>
      <c r="Q8478" s="17"/>
      <c r="R8478" s="25" t="str">
        <f>HYPERLINK("https://ictv.global/taxonomy/taxondetails?taxnode_id=202302346","Marafivirus cynodonis")</f>
        <v>Marafivirus cynodonis</v>
      </c>
      <c r="S8478" s="18" t="s">
        <v>30</v>
      </c>
      <c r="T8478" s="18" t="s">
        <v>19856</v>
      </c>
      <c r="U8478" s="18" t="s">
        <v>19857</v>
      </c>
      <c r="V8478" s="18" t="s">
        <v>19858</v>
      </c>
      <c r="W8478" s="18" t="s">
        <v>19859</v>
      </c>
      <c r="X8478" s="18" t="s">
        <v>154</v>
      </c>
      <c r="Y8478" s="18" t="s">
        <v>17171</v>
      </c>
      <c r="Z8478" s="18" t="s">
        <v>13441</v>
      </c>
      <c r="AA8478" s="21" t="str">
        <f>HYPERLINK("https://www.ncbi.nlm.nih.gov/nuccore/AY040531","NCBI Nucleotide")</f>
        <v>NCBI Nucleotide</v>
      </c>
    </row>
    <row r="8479" spans="1:27" x14ac:dyDescent="0.35">
      <c r="A8479">
        <v>1009002</v>
      </c>
      <c r="B8479">
        <v>7875</v>
      </c>
      <c r="C8479">
        <v>1</v>
      </c>
      <c r="D8479" s="17" t="s">
        <v>17166</v>
      </c>
      <c r="E8479" s="17"/>
      <c r="F8479" s="17" t="s">
        <v>17246</v>
      </c>
      <c r="G8479" s="17"/>
      <c r="H8479" s="17" t="s">
        <v>17984</v>
      </c>
      <c r="I8479" s="17"/>
      <c r="J8479" s="17" t="s">
        <v>17985</v>
      </c>
      <c r="K8479" s="17"/>
      <c r="L8479" s="17" t="s">
        <v>19025</v>
      </c>
      <c r="M8479" s="17"/>
      <c r="N8479" s="17" t="s">
        <v>19832</v>
      </c>
      <c r="O8479" s="17"/>
      <c r="P8479" s="17" t="s">
        <v>19844</v>
      </c>
      <c r="Q8479" s="17"/>
      <c r="R8479" s="25" t="str">
        <f>HYPERLINK("https://ictv.global/taxonomy/taxondetails?taxnode_id=202302350","Marafivirus maydis")</f>
        <v>Marafivirus maydis</v>
      </c>
      <c r="S8479" s="18" t="s">
        <v>30</v>
      </c>
      <c r="T8479" s="18" t="s">
        <v>19860</v>
      </c>
      <c r="U8479" s="18" t="s">
        <v>19861</v>
      </c>
      <c r="V8479" s="18" t="s">
        <v>19862</v>
      </c>
      <c r="W8479" s="18" t="s">
        <v>19863</v>
      </c>
      <c r="X8479" s="18" t="s">
        <v>42</v>
      </c>
      <c r="Y8479" s="18" t="s">
        <v>17171</v>
      </c>
      <c r="Z8479" s="18" t="s">
        <v>13441</v>
      </c>
      <c r="AA8479" s="21" t="str">
        <f>HYPERLINK("https://www.ncbi.nlm.nih.gov/nuccore/AF265566","NCBI Nucleotide")</f>
        <v>NCBI Nucleotide</v>
      </c>
    </row>
    <row r="8480" spans="1:27" x14ac:dyDescent="0.35">
      <c r="A8480">
        <v>1009003</v>
      </c>
      <c r="B8480">
        <v>7876</v>
      </c>
      <c r="C8480">
        <v>1</v>
      </c>
      <c r="D8480" s="17" t="s">
        <v>17166</v>
      </c>
      <c r="E8480" s="17"/>
      <c r="F8480" s="17" t="s">
        <v>17246</v>
      </c>
      <c r="G8480" s="17"/>
      <c r="H8480" s="17" t="s">
        <v>17984</v>
      </c>
      <c r="I8480" s="17"/>
      <c r="J8480" s="17" t="s">
        <v>17985</v>
      </c>
      <c r="K8480" s="17"/>
      <c r="L8480" s="17" t="s">
        <v>19025</v>
      </c>
      <c r="M8480" s="17"/>
      <c r="N8480" s="17" t="s">
        <v>19832</v>
      </c>
      <c r="O8480" s="17"/>
      <c r="P8480" s="17" t="s">
        <v>19844</v>
      </c>
      <c r="Q8480" s="17"/>
      <c r="R8480" s="25" t="str">
        <f>HYPERLINK("https://ictv.global/taxonomy/taxondetails?taxnode_id=202309793","Marafivirus medicagonis")</f>
        <v>Marafivirus medicagonis</v>
      </c>
      <c r="S8480" s="18" t="s">
        <v>30</v>
      </c>
      <c r="T8480" s="18" t="s">
        <v>19864</v>
      </c>
      <c r="U8480" s="18" t="s">
        <v>19865</v>
      </c>
      <c r="V8480" s="18" t="s">
        <v>19866</v>
      </c>
      <c r="W8480" s="18" t="s">
        <v>19867</v>
      </c>
      <c r="X8480" s="18" t="s">
        <v>42</v>
      </c>
      <c r="Y8480" s="18" t="s">
        <v>17171</v>
      </c>
      <c r="Z8480" s="18" t="s">
        <v>13441</v>
      </c>
      <c r="AA8480" s="21" t="str">
        <f>HYPERLINK("https://www.ncbi.nlm.nih.gov/nuccore/MG676465","NCBI Nucleotide")</f>
        <v>NCBI Nucleotide</v>
      </c>
    </row>
    <row r="8481" spans="1:27" x14ac:dyDescent="0.35">
      <c r="A8481">
        <v>1009004</v>
      </c>
      <c r="B8481">
        <v>7877</v>
      </c>
      <c r="C8481">
        <v>1</v>
      </c>
      <c r="D8481" s="17" t="s">
        <v>17166</v>
      </c>
      <c r="E8481" s="17"/>
      <c r="F8481" s="17" t="s">
        <v>17246</v>
      </c>
      <c r="G8481" s="17"/>
      <c r="H8481" s="17" t="s">
        <v>17984</v>
      </c>
      <c r="I8481" s="17"/>
      <c r="J8481" s="17" t="s">
        <v>17985</v>
      </c>
      <c r="K8481" s="17"/>
      <c r="L8481" s="17" t="s">
        <v>19025</v>
      </c>
      <c r="M8481" s="17"/>
      <c r="N8481" s="17" t="s">
        <v>19832</v>
      </c>
      <c r="O8481" s="17"/>
      <c r="P8481" s="17" t="s">
        <v>19844</v>
      </c>
      <c r="Q8481" s="17"/>
      <c r="R8481" s="25" t="str">
        <f>HYPERLINK("https://ictv.global/taxonomy/taxondetails?taxnode_id=202302351","Marafivirus nucipersicae")</f>
        <v>Marafivirus nucipersicae</v>
      </c>
      <c r="S8481" s="18" t="s">
        <v>30</v>
      </c>
      <c r="T8481" s="18" t="s">
        <v>19868</v>
      </c>
      <c r="U8481" s="18" t="s">
        <v>19869</v>
      </c>
      <c r="V8481" s="18"/>
      <c r="W8481" s="18"/>
      <c r="X8481" s="18" t="s">
        <v>3311</v>
      </c>
      <c r="Y8481" s="18" t="s">
        <v>17171</v>
      </c>
      <c r="Z8481" s="18" t="s">
        <v>13441</v>
      </c>
      <c r="AA8481" s="21"/>
    </row>
    <row r="8482" spans="1:27" x14ac:dyDescent="0.35">
      <c r="A8482">
        <v>1009005</v>
      </c>
      <c r="B8482">
        <v>7878</v>
      </c>
      <c r="C8482">
        <v>1</v>
      </c>
      <c r="D8482" s="17" t="s">
        <v>17166</v>
      </c>
      <c r="E8482" s="17"/>
      <c r="F8482" s="17" t="s">
        <v>17246</v>
      </c>
      <c r="G8482" s="17"/>
      <c r="H8482" s="17" t="s">
        <v>17984</v>
      </c>
      <c r="I8482" s="17"/>
      <c r="J8482" s="17" t="s">
        <v>17985</v>
      </c>
      <c r="K8482" s="17"/>
      <c r="L8482" s="17" t="s">
        <v>19025</v>
      </c>
      <c r="M8482" s="17"/>
      <c r="N8482" s="17" t="s">
        <v>19832</v>
      </c>
      <c r="O8482" s="17"/>
      <c r="P8482" s="17" t="s">
        <v>19844</v>
      </c>
      <c r="Q8482" s="17"/>
      <c r="R8482" s="25" t="str">
        <f>HYPERLINK("https://ictv.global/taxonomy/taxondetails?taxnode_id=202302353","Marafivirus oleae")</f>
        <v>Marafivirus oleae</v>
      </c>
      <c r="S8482" s="18" t="s">
        <v>30</v>
      </c>
      <c r="T8482" s="18" t="s">
        <v>19870</v>
      </c>
      <c r="U8482" s="18" t="s">
        <v>19871</v>
      </c>
      <c r="V8482" s="18" t="s">
        <v>19872</v>
      </c>
      <c r="W8482" s="18" t="s">
        <v>19873</v>
      </c>
      <c r="X8482" s="18" t="s">
        <v>42</v>
      </c>
      <c r="Y8482" s="18" t="s">
        <v>17171</v>
      </c>
      <c r="Z8482" s="18" t="s">
        <v>13441</v>
      </c>
      <c r="AA8482" s="21" t="str">
        <f>HYPERLINK("https://www.ncbi.nlm.nih.gov/nuccore/FJ444852","NCBI Nucleotide")</f>
        <v>NCBI Nucleotide</v>
      </c>
    </row>
    <row r="8483" spans="1:27" x14ac:dyDescent="0.35">
      <c r="A8483">
        <v>1009006</v>
      </c>
      <c r="B8483">
        <v>7879</v>
      </c>
      <c r="C8483">
        <v>1</v>
      </c>
      <c r="D8483" s="17" t="s">
        <v>17166</v>
      </c>
      <c r="E8483" s="17"/>
      <c r="F8483" s="17" t="s">
        <v>17246</v>
      </c>
      <c r="G8483" s="17"/>
      <c r="H8483" s="17" t="s">
        <v>17984</v>
      </c>
      <c r="I8483" s="17"/>
      <c r="J8483" s="17" t="s">
        <v>17985</v>
      </c>
      <c r="K8483" s="17"/>
      <c r="L8483" s="17" t="s">
        <v>19025</v>
      </c>
      <c r="M8483" s="17"/>
      <c r="N8483" s="17" t="s">
        <v>19832</v>
      </c>
      <c r="O8483" s="17"/>
      <c r="P8483" s="17" t="s">
        <v>19844</v>
      </c>
      <c r="Q8483" s="17"/>
      <c r="R8483" s="25" t="str">
        <f>HYPERLINK("https://ictv.global/taxonomy/taxondetails?taxnode_id=202305651","Marafivirus pruni")</f>
        <v>Marafivirus pruni</v>
      </c>
      <c r="S8483" s="18" t="s">
        <v>30</v>
      </c>
      <c r="T8483" s="18" t="s">
        <v>19874</v>
      </c>
      <c r="U8483" s="18" t="s">
        <v>19875</v>
      </c>
      <c r="V8483" s="18" t="s">
        <v>19294</v>
      </c>
      <c r="W8483" s="18" t="s">
        <v>19876</v>
      </c>
      <c r="X8483" s="18" t="s">
        <v>42</v>
      </c>
      <c r="Y8483" s="18" t="s">
        <v>17171</v>
      </c>
      <c r="Z8483" s="18" t="s">
        <v>13441</v>
      </c>
      <c r="AA8483" s="21" t="str">
        <f>HYPERLINK("https://www.ncbi.nlm.nih.gov/nuccore/KY084481","NCBI Nucleotide")</f>
        <v>NCBI Nucleotide</v>
      </c>
    </row>
    <row r="8484" spans="1:27" x14ac:dyDescent="0.35">
      <c r="A8484">
        <v>1009007</v>
      </c>
      <c r="B8484">
        <v>7880</v>
      </c>
      <c r="C8484">
        <v>1</v>
      </c>
      <c r="D8484" s="17" t="s">
        <v>17166</v>
      </c>
      <c r="E8484" s="17"/>
      <c r="F8484" s="17" t="s">
        <v>17246</v>
      </c>
      <c r="G8484" s="17"/>
      <c r="H8484" s="17" t="s">
        <v>17984</v>
      </c>
      <c r="I8484" s="17"/>
      <c r="J8484" s="17" t="s">
        <v>17985</v>
      </c>
      <c r="K8484" s="17"/>
      <c r="L8484" s="17" t="s">
        <v>19025</v>
      </c>
      <c r="M8484" s="17"/>
      <c r="N8484" s="17" t="s">
        <v>19832</v>
      </c>
      <c r="O8484" s="17"/>
      <c r="P8484" s="17" t="s">
        <v>19844</v>
      </c>
      <c r="Q8484" s="17"/>
      <c r="R8484" s="25" t="str">
        <f>HYPERLINK("https://ictv.global/taxonomy/taxondetails?taxnode_id=202302347","Marafivirus rubi")</f>
        <v>Marafivirus rubi</v>
      </c>
      <c r="S8484" s="18" t="s">
        <v>30</v>
      </c>
      <c r="T8484" s="18" t="s">
        <v>19877</v>
      </c>
      <c r="U8484" s="18" t="s">
        <v>19878</v>
      </c>
      <c r="V8484" s="18" t="s">
        <v>19879</v>
      </c>
      <c r="W8484" s="18" t="s">
        <v>19880</v>
      </c>
      <c r="X8484" s="18" t="s">
        <v>35</v>
      </c>
      <c r="Y8484" s="18" t="s">
        <v>17171</v>
      </c>
      <c r="Z8484" s="18" t="s">
        <v>13441</v>
      </c>
      <c r="AA8484" s="21" t="str">
        <f>HYPERLINK("https://www.ncbi.nlm.nih.gov/nuccore/FJ915122","NCBI Nucleotide")</f>
        <v>NCBI Nucleotide</v>
      </c>
    </row>
    <row r="8485" spans="1:27" x14ac:dyDescent="0.35">
      <c r="A8485">
        <v>1009008</v>
      </c>
      <c r="B8485">
        <v>7881</v>
      </c>
      <c r="C8485">
        <v>1</v>
      </c>
      <c r="D8485" s="17" t="s">
        <v>17166</v>
      </c>
      <c r="E8485" s="17"/>
      <c r="F8485" s="17" t="s">
        <v>17246</v>
      </c>
      <c r="G8485" s="17"/>
      <c r="H8485" s="17" t="s">
        <v>17984</v>
      </c>
      <c r="I8485" s="17"/>
      <c r="J8485" s="17" t="s">
        <v>17985</v>
      </c>
      <c r="K8485" s="17"/>
      <c r="L8485" s="17" t="s">
        <v>19025</v>
      </c>
      <c r="M8485" s="17"/>
      <c r="N8485" s="17" t="s">
        <v>19832</v>
      </c>
      <c r="O8485" s="17"/>
      <c r="P8485" s="17" t="s">
        <v>19844</v>
      </c>
      <c r="Q8485" s="17"/>
      <c r="R8485" s="25" t="str">
        <f>HYPERLINK("https://ictv.global/taxonomy/taxondetails?taxnode_id=202315115","Marafivirus sorghi")</f>
        <v>Marafivirus sorghi</v>
      </c>
      <c r="S8485" s="18" t="s">
        <v>30</v>
      </c>
      <c r="T8485" s="18" t="s">
        <v>19881</v>
      </c>
      <c r="U8485" s="18" t="s">
        <v>19882</v>
      </c>
      <c r="V8485" s="18" t="s">
        <v>19883</v>
      </c>
      <c r="W8485" s="18" t="s">
        <v>19884</v>
      </c>
      <c r="X8485" s="18" t="s">
        <v>42</v>
      </c>
      <c r="Y8485" s="18" t="s">
        <v>17171</v>
      </c>
      <c r="Z8485" s="18" t="s">
        <v>13441</v>
      </c>
      <c r="AA8485" s="21" t="str">
        <f>HYPERLINK("https://www.ncbi.nlm.nih.gov/nuccore/MN714643","NCBI Nucleotide")</f>
        <v>NCBI Nucleotide</v>
      </c>
    </row>
    <row r="8486" spans="1:27" x14ac:dyDescent="0.35">
      <c r="A8486">
        <v>1009009</v>
      </c>
      <c r="B8486">
        <v>7882</v>
      </c>
      <c r="C8486">
        <v>1</v>
      </c>
      <c r="D8486" s="17" t="s">
        <v>17166</v>
      </c>
      <c r="E8486" s="17"/>
      <c r="F8486" s="17" t="s">
        <v>17246</v>
      </c>
      <c r="G8486" s="17"/>
      <c r="H8486" s="17" t="s">
        <v>17984</v>
      </c>
      <c r="I8486" s="17"/>
      <c r="J8486" s="17" t="s">
        <v>17985</v>
      </c>
      <c r="K8486" s="17"/>
      <c r="L8486" s="17" t="s">
        <v>19025</v>
      </c>
      <c r="M8486" s="17"/>
      <c r="N8486" s="17" t="s">
        <v>19832</v>
      </c>
      <c r="O8486" s="17"/>
      <c r="P8486" s="17" t="s">
        <v>19844</v>
      </c>
      <c r="Q8486" s="17"/>
      <c r="R8486" s="25" t="str">
        <f>HYPERLINK("https://ictv.global/taxonomy/taxondetails?taxnode_id=202302349","Marafivirus syrahense")</f>
        <v>Marafivirus syrahense</v>
      </c>
      <c r="S8486" s="18" t="s">
        <v>30</v>
      </c>
      <c r="T8486" s="18" t="s">
        <v>19885</v>
      </c>
      <c r="U8486" s="18" t="s">
        <v>19886</v>
      </c>
      <c r="V8486" s="18" t="s">
        <v>19887</v>
      </c>
      <c r="W8486" s="18" t="s">
        <v>19888</v>
      </c>
      <c r="X8486" s="18" t="s">
        <v>42</v>
      </c>
      <c r="Y8486" s="18" t="s">
        <v>17171</v>
      </c>
      <c r="Z8486" s="18" t="s">
        <v>13441</v>
      </c>
      <c r="AA8486" s="21" t="str">
        <f>HYPERLINK("https://www.ncbi.nlm.nih.gov/nuccore/FJ436028","NCBI Nucleotide")</f>
        <v>NCBI Nucleotide</v>
      </c>
    </row>
    <row r="8487" spans="1:27" x14ac:dyDescent="0.35">
      <c r="A8487">
        <v>1009010</v>
      </c>
      <c r="B8487">
        <v>7883</v>
      </c>
      <c r="C8487">
        <v>1</v>
      </c>
      <c r="D8487" s="17" t="s">
        <v>17166</v>
      </c>
      <c r="E8487" s="17"/>
      <c r="F8487" s="17" t="s">
        <v>17246</v>
      </c>
      <c r="G8487" s="17"/>
      <c r="H8487" s="17" t="s">
        <v>17984</v>
      </c>
      <c r="I8487" s="17"/>
      <c r="J8487" s="17" t="s">
        <v>17985</v>
      </c>
      <c r="K8487" s="17"/>
      <c r="L8487" s="17" t="s">
        <v>19025</v>
      </c>
      <c r="M8487" s="17"/>
      <c r="N8487" s="17" t="s">
        <v>19832</v>
      </c>
      <c r="O8487" s="17"/>
      <c r="P8487" s="17" t="s">
        <v>19889</v>
      </c>
      <c r="Q8487" s="17"/>
      <c r="R8487" s="25" t="str">
        <f>HYPERLINK("https://ictv.global/taxonomy/taxondetails?taxnode_id=202302371","Tymovirus abelmoschi")</f>
        <v>Tymovirus abelmoschi</v>
      </c>
      <c r="S8487" s="18" t="s">
        <v>30</v>
      </c>
      <c r="T8487" s="18" t="s">
        <v>19890</v>
      </c>
      <c r="U8487" s="18" t="s">
        <v>19891</v>
      </c>
      <c r="V8487" s="18" t="s">
        <v>19892</v>
      </c>
      <c r="W8487" s="18" t="s">
        <v>19893</v>
      </c>
      <c r="X8487" s="18" t="s">
        <v>42</v>
      </c>
      <c r="Y8487" s="18" t="s">
        <v>17171</v>
      </c>
      <c r="Z8487" s="18" t="s">
        <v>13441</v>
      </c>
      <c r="AA8487" s="21" t="str">
        <f>HYPERLINK("https://www.ncbi.nlm.nih.gov/nuccore/EF554577","NCBI Nucleotide")</f>
        <v>NCBI Nucleotide</v>
      </c>
    </row>
    <row r="8488" spans="1:27" x14ac:dyDescent="0.35">
      <c r="A8488">
        <v>1009011</v>
      </c>
      <c r="B8488">
        <v>7884</v>
      </c>
      <c r="C8488">
        <v>1</v>
      </c>
      <c r="D8488" s="17" t="s">
        <v>17166</v>
      </c>
      <c r="E8488" s="17"/>
      <c r="F8488" s="17" t="s">
        <v>17246</v>
      </c>
      <c r="G8488" s="17"/>
      <c r="H8488" s="17" t="s">
        <v>17984</v>
      </c>
      <c r="I8488" s="17"/>
      <c r="J8488" s="17" t="s">
        <v>17985</v>
      </c>
      <c r="K8488" s="17"/>
      <c r="L8488" s="17" t="s">
        <v>19025</v>
      </c>
      <c r="M8488" s="17"/>
      <c r="N8488" s="17" t="s">
        <v>19832</v>
      </c>
      <c r="O8488" s="17"/>
      <c r="P8488" s="17" t="s">
        <v>19889</v>
      </c>
      <c r="Q8488" s="17"/>
      <c r="R8488" s="25" t="str">
        <f>HYPERLINK("https://ictv.global/taxonomy/taxondetails?taxnode_id=202302355","Tymovirus anagyris")</f>
        <v>Tymovirus anagyris</v>
      </c>
      <c r="S8488" s="18" t="s">
        <v>30</v>
      </c>
      <c r="T8488" s="18" t="s">
        <v>19894</v>
      </c>
      <c r="U8488" s="18" t="s">
        <v>19895</v>
      </c>
      <c r="V8488" s="18" t="s">
        <v>18866</v>
      </c>
      <c r="W8488" s="18" t="s">
        <v>19896</v>
      </c>
      <c r="X8488" s="18" t="s">
        <v>42</v>
      </c>
      <c r="Y8488" s="18" t="s">
        <v>17171</v>
      </c>
      <c r="Z8488" s="18" t="s">
        <v>13441</v>
      </c>
      <c r="AA8488" s="21" t="str">
        <f>HYPERLINK("https://www.ncbi.nlm.nih.gov/nuccore/AY751780","NCBI Nucleotide")</f>
        <v>NCBI Nucleotide</v>
      </c>
    </row>
    <row r="8489" spans="1:27" x14ac:dyDescent="0.35">
      <c r="A8489">
        <v>1009012</v>
      </c>
      <c r="B8489">
        <v>7885</v>
      </c>
      <c r="C8489">
        <v>1</v>
      </c>
      <c r="D8489" s="17" t="s">
        <v>17166</v>
      </c>
      <c r="E8489" s="17"/>
      <c r="F8489" s="17" t="s">
        <v>17246</v>
      </c>
      <c r="G8489" s="17"/>
      <c r="H8489" s="17" t="s">
        <v>17984</v>
      </c>
      <c r="I8489" s="17"/>
      <c r="J8489" s="17" t="s">
        <v>17985</v>
      </c>
      <c r="K8489" s="17"/>
      <c r="L8489" s="17" t="s">
        <v>19025</v>
      </c>
      <c r="M8489" s="17"/>
      <c r="N8489" s="17" t="s">
        <v>19832</v>
      </c>
      <c r="O8489" s="17"/>
      <c r="P8489" s="17" t="s">
        <v>19889</v>
      </c>
      <c r="Q8489" s="17"/>
      <c r="R8489" s="25" t="str">
        <f>HYPERLINK("https://ictv.global/taxonomy/taxondetails?taxnode_id=202302374","Tymovirus arachidis")</f>
        <v>Tymovirus arachidis</v>
      </c>
      <c r="S8489" s="18" t="s">
        <v>30</v>
      </c>
      <c r="T8489" s="18" t="s">
        <v>19897</v>
      </c>
      <c r="U8489" s="18" t="s">
        <v>19898</v>
      </c>
      <c r="V8489" s="18"/>
      <c r="W8489" s="18"/>
      <c r="X8489" s="18" t="s">
        <v>3311</v>
      </c>
      <c r="Y8489" s="18" t="s">
        <v>17171</v>
      </c>
      <c r="Z8489" s="18" t="s">
        <v>13441</v>
      </c>
      <c r="AA8489" s="21"/>
    </row>
    <row r="8490" spans="1:27" x14ac:dyDescent="0.35">
      <c r="A8490">
        <v>1009013</v>
      </c>
      <c r="B8490">
        <v>7886</v>
      </c>
      <c r="C8490">
        <v>1</v>
      </c>
      <c r="D8490" s="17" t="s">
        <v>17166</v>
      </c>
      <c r="E8490" s="17"/>
      <c r="F8490" s="17" t="s">
        <v>17246</v>
      </c>
      <c r="G8490" s="17"/>
      <c r="H8490" s="17" t="s">
        <v>17984</v>
      </c>
      <c r="I8490" s="17"/>
      <c r="J8490" s="17" t="s">
        <v>17985</v>
      </c>
      <c r="K8490" s="17"/>
      <c r="L8490" s="17" t="s">
        <v>19025</v>
      </c>
      <c r="M8490" s="17"/>
      <c r="N8490" s="17" t="s">
        <v>19832</v>
      </c>
      <c r="O8490" s="17"/>
      <c r="P8490" s="17" t="s">
        <v>19889</v>
      </c>
      <c r="Q8490" s="17"/>
      <c r="R8490" s="25" t="str">
        <f>HYPERLINK("https://ictv.global/taxonomy/taxondetails?taxnode_id=202302358","Tymovirus belladonnae")</f>
        <v>Tymovirus belladonnae</v>
      </c>
      <c r="S8490" s="18" t="s">
        <v>30</v>
      </c>
      <c r="T8490" s="18" t="s">
        <v>19899</v>
      </c>
      <c r="U8490" s="18" t="s">
        <v>19900</v>
      </c>
      <c r="V8490" s="18" t="s">
        <v>19901</v>
      </c>
      <c r="W8490" s="18" t="s">
        <v>19902</v>
      </c>
      <c r="X8490" s="18" t="s">
        <v>154</v>
      </c>
      <c r="Y8490" s="18" t="s">
        <v>17171</v>
      </c>
      <c r="Z8490" s="18" t="s">
        <v>13441</v>
      </c>
      <c r="AA8490" s="21" t="str">
        <f>HYPERLINK("https://www.ncbi.nlm.nih.gov/nuccore/X54529","NCBI Nucleotide")</f>
        <v>NCBI Nucleotide</v>
      </c>
    </row>
    <row r="8491" spans="1:27" x14ac:dyDescent="0.35">
      <c r="A8491">
        <v>1009014</v>
      </c>
      <c r="B8491">
        <v>7887</v>
      </c>
      <c r="C8491">
        <v>1</v>
      </c>
      <c r="D8491" s="17" t="s">
        <v>17166</v>
      </c>
      <c r="E8491" s="17"/>
      <c r="F8491" s="17" t="s">
        <v>17246</v>
      </c>
      <c r="G8491" s="17"/>
      <c r="H8491" s="17" t="s">
        <v>17984</v>
      </c>
      <c r="I8491" s="17"/>
      <c r="J8491" s="17" t="s">
        <v>17985</v>
      </c>
      <c r="K8491" s="17"/>
      <c r="L8491" s="17" t="s">
        <v>19025</v>
      </c>
      <c r="M8491" s="17"/>
      <c r="N8491" s="17" t="s">
        <v>19832</v>
      </c>
      <c r="O8491" s="17"/>
      <c r="P8491" s="17" t="s">
        <v>19889</v>
      </c>
      <c r="Q8491" s="17"/>
      <c r="R8491" s="25" t="str">
        <f>HYPERLINK("https://ictv.global/taxonomy/taxondetails?taxnode_id=202302380","Tymovirus brassicae")</f>
        <v>Tymovirus brassicae</v>
      </c>
      <c r="S8491" s="18" t="s">
        <v>30</v>
      </c>
      <c r="T8491" s="18" t="s">
        <v>19903</v>
      </c>
      <c r="U8491" s="18" t="s">
        <v>19904</v>
      </c>
      <c r="V8491" s="18" t="s">
        <v>19905</v>
      </c>
      <c r="W8491" s="18" t="s">
        <v>19906</v>
      </c>
      <c r="X8491" s="18" t="s">
        <v>42</v>
      </c>
      <c r="Y8491" s="18" t="s">
        <v>17171</v>
      </c>
      <c r="Z8491" s="18" t="s">
        <v>13441</v>
      </c>
      <c r="AA8491" s="21" t="str">
        <f>HYPERLINK("https://www.ncbi.nlm.nih.gov/nuccore/X07441","NCBI Nucleotide")</f>
        <v>NCBI Nucleotide</v>
      </c>
    </row>
    <row r="8492" spans="1:27" x14ac:dyDescent="0.35">
      <c r="A8492">
        <v>1009015</v>
      </c>
      <c r="B8492">
        <v>7888</v>
      </c>
      <c r="C8492">
        <v>1</v>
      </c>
      <c r="D8492" s="17" t="s">
        <v>17166</v>
      </c>
      <c r="E8492" s="17"/>
      <c r="F8492" s="17" t="s">
        <v>17246</v>
      </c>
      <c r="G8492" s="17"/>
      <c r="H8492" s="17" t="s">
        <v>17984</v>
      </c>
      <c r="I8492" s="17"/>
      <c r="J8492" s="17" t="s">
        <v>17985</v>
      </c>
      <c r="K8492" s="17"/>
      <c r="L8492" s="17" t="s">
        <v>19025</v>
      </c>
      <c r="M8492" s="17"/>
      <c r="N8492" s="17" t="s">
        <v>19832</v>
      </c>
      <c r="O8492" s="17"/>
      <c r="P8492" s="17" t="s">
        <v>19889</v>
      </c>
      <c r="Q8492" s="17"/>
      <c r="R8492" s="25" t="str">
        <f>HYPERLINK("https://ictv.global/taxonomy/taxondetails?taxnode_id=202302360","Tymovirus calopogonii")</f>
        <v>Tymovirus calopogonii</v>
      </c>
      <c r="S8492" s="18" t="s">
        <v>30</v>
      </c>
      <c r="T8492" s="18" t="s">
        <v>19907</v>
      </c>
      <c r="U8492" s="18" t="s">
        <v>19908</v>
      </c>
      <c r="V8492" s="18"/>
      <c r="W8492" s="18"/>
      <c r="X8492" s="18" t="s">
        <v>3311</v>
      </c>
      <c r="Y8492" s="18" t="s">
        <v>17171</v>
      </c>
      <c r="Z8492" s="18" t="s">
        <v>13441</v>
      </c>
      <c r="AA8492" s="21"/>
    </row>
    <row r="8493" spans="1:27" x14ac:dyDescent="0.35">
      <c r="A8493">
        <v>1009016</v>
      </c>
      <c r="B8493">
        <v>7889</v>
      </c>
      <c r="C8493">
        <v>1</v>
      </c>
      <c r="D8493" s="17" t="s">
        <v>17166</v>
      </c>
      <c r="E8493" s="17"/>
      <c r="F8493" s="17" t="s">
        <v>17246</v>
      </c>
      <c r="G8493" s="17"/>
      <c r="H8493" s="17" t="s">
        <v>17984</v>
      </c>
      <c r="I8493" s="17"/>
      <c r="J8493" s="17" t="s">
        <v>17985</v>
      </c>
      <c r="K8493" s="17"/>
      <c r="L8493" s="17" t="s">
        <v>19025</v>
      </c>
      <c r="M8493" s="17"/>
      <c r="N8493" s="17" t="s">
        <v>19832</v>
      </c>
      <c r="O8493" s="17"/>
      <c r="P8493" s="17" t="s">
        <v>19889</v>
      </c>
      <c r="Q8493" s="17"/>
      <c r="R8493" s="25" t="str">
        <f>HYPERLINK("https://ictv.global/taxonomy/taxondetails?taxnode_id=202302361","Tymovirus chayotis")</f>
        <v>Tymovirus chayotis</v>
      </c>
      <c r="S8493" s="18" t="s">
        <v>30</v>
      </c>
      <c r="T8493" s="18" t="s">
        <v>19909</v>
      </c>
      <c r="U8493" s="18" t="s">
        <v>19910</v>
      </c>
      <c r="V8493" s="18"/>
      <c r="W8493" s="18" t="s">
        <v>19911</v>
      </c>
      <c r="X8493" s="18" t="s">
        <v>42</v>
      </c>
      <c r="Y8493" s="18" t="s">
        <v>17171</v>
      </c>
      <c r="Z8493" s="18" t="s">
        <v>13441</v>
      </c>
      <c r="AA8493" s="21" t="str">
        <f>HYPERLINK("https://www.ncbi.nlm.nih.gov/nuccore/AF195000","NCBI Nucleotide")</f>
        <v>NCBI Nucleotide</v>
      </c>
    </row>
    <row r="8494" spans="1:27" x14ac:dyDescent="0.35">
      <c r="A8494">
        <v>1009017</v>
      </c>
      <c r="B8494">
        <v>7890</v>
      </c>
      <c r="C8494">
        <v>1</v>
      </c>
      <c r="D8494" s="17" t="s">
        <v>17166</v>
      </c>
      <c r="E8494" s="17"/>
      <c r="F8494" s="17" t="s">
        <v>17246</v>
      </c>
      <c r="G8494" s="17"/>
      <c r="H8494" s="17" t="s">
        <v>17984</v>
      </c>
      <c r="I8494" s="17"/>
      <c r="J8494" s="17" t="s">
        <v>17985</v>
      </c>
      <c r="K8494" s="17"/>
      <c r="L8494" s="17" t="s">
        <v>19025</v>
      </c>
      <c r="M8494" s="17"/>
      <c r="N8494" s="17" t="s">
        <v>19832</v>
      </c>
      <c r="O8494" s="17"/>
      <c r="P8494" s="17" t="s">
        <v>19889</v>
      </c>
      <c r="Q8494" s="17"/>
      <c r="R8494" s="25" t="str">
        <f>HYPERLINK("https://ictv.global/taxonomy/taxondetails?taxnode_id=202302362","Tymovirus chiltepini")</f>
        <v>Tymovirus chiltepini</v>
      </c>
      <c r="S8494" s="18" t="s">
        <v>30</v>
      </c>
      <c r="T8494" s="18" t="s">
        <v>19912</v>
      </c>
      <c r="U8494" s="18" t="s">
        <v>14428</v>
      </c>
      <c r="V8494" s="18">
        <v>43605</v>
      </c>
      <c r="W8494" s="18" t="s">
        <v>19913</v>
      </c>
      <c r="X8494" s="18" t="s">
        <v>42</v>
      </c>
      <c r="Y8494" s="18" t="s">
        <v>17171</v>
      </c>
      <c r="Z8494" s="18" t="s">
        <v>13441</v>
      </c>
      <c r="AA8494" s="21" t="str">
        <f>HYPERLINK("https://www.ncbi.nlm.nih.gov/nuccore/FN563123","NCBI Nucleotide")</f>
        <v>NCBI Nucleotide</v>
      </c>
    </row>
    <row r="8495" spans="1:27" x14ac:dyDescent="0.35">
      <c r="A8495">
        <v>1009018</v>
      </c>
      <c r="B8495">
        <v>7891</v>
      </c>
      <c r="C8495">
        <v>1</v>
      </c>
      <c r="D8495" s="17" t="s">
        <v>17166</v>
      </c>
      <c r="E8495" s="17"/>
      <c r="F8495" s="17" t="s">
        <v>17246</v>
      </c>
      <c r="G8495" s="17"/>
      <c r="H8495" s="17" t="s">
        <v>17984</v>
      </c>
      <c r="I8495" s="17"/>
      <c r="J8495" s="17" t="s">
        <v>17985</v>
      </c>
      <c r="K8495" s="17"/>
      <c r="L8495" s="17" t="s">
        <v>19025</v>
      </c>
      <c r="M8495" s="17"/>
      <c r="N8495" s="17" t="s">
        <v>19832</v>
      </c>
      <c r="O8495" s="17"/>
      <c r="P8495" s="17" t="s">
        <v>19889</v>
      </c>
      <c r="Q8495" s="17"/>
      <c r="R8495" s="25" t="str">
        <f>HYPERLINK("https://ictv.global/taxonomy/taxondetails?taxnode_id=202302363","Tymovirus clitoriae")</f>
        <v>Tymovirus clitoriae</v>
      </c>
      <c r="S8495" s="18" t="s">
        <v>30</v>
      </c>
      <c r="T8495" s="18" t="s">
        <v>19914</v>
      </c>
      <c r="U8495" s="18" t="s">
        <v>19915</v>
      </c>
      <c r="V8495" s="18" t="s">
        <v>19916</v>
      </c>
      <c r="W8495" s="18" t="s">
        <v>19917</v>
      </c>
      <c r="X8495" s="18" t="s">
        <v>154</v>
      </c>
      <c r="Y8495" s="18" t="s">
        <v>17171</v>
      </c>
      <c r="Z8495" s="18" t="s">
        <v>13441</v>
      </c>
      <c r="AA8495" s="21" t="str">
        <f>HYPERLINK("https://www.ncbi.nlm.nih.gov/nuccore/AF035200","NCBI Nucleotide")</f>
        <v>NCBI Nucleotide</v>
      </c>
    </row>
    <row r="8496" spans="1:27" x14ac:dyDescent="0.35">
      <c r="A8496">
        <v>1009019</v>
      </c>
      <c r="B8496">
        <v>7892</v>
      </c>
      <c r="C8496">
        <v>1</v>
      </c>
      <c r="D8496" s="17" t="s">
        <v>17166</v>
      </c>
      <c r="E8496" s="17"/>
      <c r="F8496" s="17" t="s">
        <v>17246</v>
      </c>
      <c r="G8496" s="17"/>
      <c r="H8496" s="17" t="s">
        <v>17984</v>
      </c>
      <c r="I8496" s="17"/>
      <c r="J8496" s="17" t="s">
        <v>17985</v>
      </c>
      <c r="K8496" s="17"/>
      <c r="L8496" s="17" t="s">
        <v>19025</v>
      </c>
      <c r="M8496" s="17"/>
      <c r="N8496" s="17" t="s">
        <v>19832</v>
      </c>
      <c r="O8496" s="17"/>
      <c r="P8496" s="17" t="s">
        <v>19889</v>
      </c>
      <c r="Q8496" s="17"/>
      <c r="R8496" s="25" t="str">
        <f>HYPERLINK("https://ictv.global/taxonomy/taxondetails?taxnode_id=202302382","Tymovirus cucumis")</f>
        <v>Tymovirus cucumis</v>
      </c>
      <c r="S8496" s="18" t="s">
        <v>30</v>
      </c>
      <c r="T8496" s="18" t="s">
        <v>19918</v>
      </c>
      <c r="U8496" s="18" t="s">
        <v>19919</v>
      </c>
      <c r="V8496" s="18"/>
      <c r="W8496" s="18" t="s">
        <v>19920</v>
      </c>
      <c r="X8496" s="18" t="s">
        <v>154</v>
      </c>
      <c r="Y8496" s="18" t="s">
        <v>17171</v>
      </c>
      <c r="Z8496" s="18" t="s">
        <v>13441</v>
      </c>
      <c r="AA8496" s="21" t="str">
        <f>HYPERLINK("https://www.ncbi.nlm.nih.gov/nuccore/AF035633","NCBI Nucleotide")</f>
        <v>NCBI Nucleotide</v>
      </c>
    </row>
    <row r="8497" spans="1:27" x14ac:dyDescent="0.35">
      <c r="A8497">
        <v>1009020</v>
      </c>
      <c r="B8497">
        <v>7893</v>
      </c>
      <c r="C8497">
        <v>1</v>
      </c>
      <c r="D8497" s="17" t="s">
        <v>17166</v>
      </c>
      <c r="E8497" s="17"/>
      <c r="F8497" s="17" t="s">
        <v>17246</v>
      </c>
      <c r="G8497" s="17"/>
      <c r="H8497" s="17" t="s">
        <v>17984</v>
      </c>
      <c r="I8497" s="17"/>
      <c r="J8497" s="17" t="s">
        <v>17985</v>
      </c>
      <c r="K8497" s="17"/>
      <c r="L8497" s="17" t="s">
        <v>19025</v>
      </c>
      <c r="M8497" s="17"/>
      <c r="N8497" s="17" t="s">
        <v>19832</v>
      </c>
      <c r="O8497" s="17"/>
      <c r="P8497" s="17" t="s">
        <v>19889</v>
      </c>
      <c r="Q8497" s="17"/>
      <c r="R8497" s="25" t="str">
        <f>HYPERLINK("https://ictv.global/taxonomy/taxondetails?taxnode_id=202302364","Tymovirus desmodii")</f>
        <v>Tymovirus desmodii</v>
      </c>
      <c r="S8497" s="18" t="s">
        <v>30</v>
      </c>
      <c r="T8497" s="18" t="s">
        <v>19921</v>
      </c>
      <c r="U8497" s="18" t="s">
        <v>19922</v>
      </c>
      <c r="V8497" s="18" t="s">
        <v>19923</v>
      </c>
      <c r="W8497" s="18" t="s">
        <v>19924</v>
      </c>
      <c r="X8497" s="18" t="s">
        <v>154</v>
      </c>
      <c r="Y8497" s="18" t="s">
        <v>17171</v>
      </c>
      <c r="Z8497" s="18" t="s">
        <v>13441</v>
      </c>
      <c r="AA8497" s="21" t="str">
        <f>HYPERLINK("https://www.ncbi.nlm.nih.gov/nuccore/AF035201","NCBI Nucleotide")</f>
        <v>NCBI Nucleotide</v>
      </c>
    </row>
    <row r="8498" spans="1:27" x14ac:dyDescent="0.35">
      <c r="A8498">
        <v>1009021</v>
      </c>
      <c r="B8498">
        <v>7894</v>
      </c>
      <c r="C8498">
        <v>1</v>
      </c>
      <c r="D8498" s="17" t="s">
        <v>17166</v>
      </c>
      <c r="E8498" s="17"/>
      <c r="F8498" s="17" t="s">
        <v>17246</v>
      </c>
      <c r="G8498" s="17"/>
      <c r="H8498" s="17" t="s">
        <v>17984</v>
      </c>
      <c r="I8498" s="17"/>
      <c r="J8498" s="17" t="s">
        <v>17985</v>
      </c>
      <c r="K8498" s="17"/>
      <c r="L8498" s="17" t="s">
        <v>19025</v>
      </c>
      <c r="M8498" s="17"/>
      <c r="N8498" s="17" t="s">
        <v>19832</v>
      </c>
      <c r="O8498" s="17"/>
      <c r="P8498" s="17" t="s">
        <v>19889</v>
      </c>
      <c r="Q8498" s="17"/>
      <c r="R8498" s="25" t="str">
        <f>HYPERLINK("https://ictv.global/taxonomy/taxondetails?taxnode_id=202302365","Tymovirus dulcamarae")</f>
        <v>Tymovirus dulcamarae</v>
      </c>
      <c r="S8498" s="18" t="s">
        <v>30</v>
      </c>
      <c r="T8498" s="18" t="s">
        <v>19925</v>
      </c>
      <c r="U8498" s="18" t="s">
        <v>19926</v>
      </c>
      <c r="V8498" s="18" t="s">
        <v>19927</v>
      </c>
      <c r="W8498" s="18" t="s">
        <v>19928</v>
      </c>
      <c r="X8498" s="18" t="s">
        <v>42</v>
      </c>
      <c r="Y8498" s="18" t="s">
        <v>17171</v>
      </c>
      <c r="Z8498" s="18" t="s">
        <v>13441</v>
      </c>
      <c r="AA8498" s="21" t="str">
        <f>HYPERLINK("https://www.ncbi.nlm.nih.gov/nuccore/AY789137","NCBI Nucleotide")</f>
        <v>NCBI Nucleotide</v>
      </c>
    </row>
    <row r="8499" spans="1:27" x14ac:dyDescent="0.35">
      <c r="A8499">
        <v>1009022</v>
      </c>
      <c r="B8499">
        <v>7895</v>
      </c>
      <c r="C8499">
        <v>1</v>
      </c>
      <c r="D8499" s="17" t="s">
        <v>17166</v>
      </c>
      <c r="E8499" s="17"/>
      <c r="F8499" s="17" t="s">
        <v>17246</v>
      </c>
      <c r="G8499" s="17"/>
      <c r="H8499" s="17" t="s">
        <v>17984</v>
      </c>
      <c r="I8499" s="17"/>
      <c r="J8499" s="17" t="s">
        <v>17985</v>
      </c>
      <c r="K8499" s="17"/>
      <c r="L8499" s="17" t="s">
        <v>19025</v>
      </c>
      <c r="M8499" s="17"/>
      <c r="N8499" s="17" t="s">
        <v>19832</v>
      </c>
      <c r="O8499" s="17"/>
      <c r="P8499" s="17" t="s">
        <v>19889</v>
      </c>
      <c r="Q8499" s="17"/>
      <c r="R8499" s="25" t="str">
        <f>HYPERLINK("https://ictv.global/taxonomy/taxondetails?taxnode_id=202302367","Tymovirus erysimi")</f>
        <v>Tymovirus erysimi</v>
      </c>
      <c r="S8499" s="18" t="s">
        <v>30</v>
      </c>
      <c r="T8499" s="18" t="s">
        <v>19929</v>
      </c>
      <c r="U8499" s="18" t="s">
        <v>19930</v>
      </c>
      <c r="V8499" s="18" t="s">
        <v>19931</v>
      </c>
      <c r="W8499" s="18" t="s">
        <v>19932</v>
      </c>
      <c r="X8499" s="18" t="s">
        <v>42</v>
      </c>
      <c r="Y8499" s="18" t="s">
        <v>17171</v>
      </c>
      <c r="Z8499" s="18" t="s">
        <v>13441</v>
      </c>
      <c r="AA8499" s="21" t="str">
        <f>HYPERLINK("https://www.ncbi.nlm.nih.gov/nuccore/AF098523","NCBI Nucleotide")</f>
        <v>NCBI Nucleotide</v>
      </c>
    </row>
    <row r="8500" spans="1:27" x14ac:dyDescent="0.35">
      <c r="A8500">
        <v>1009023</v>
      </c>
      <c r="B8500">
        <v>7896</v>
      </c>
      <c r="C8500">
        <v>1</v>
      </c>
      <c r="D8500" s="17" t="s">
        <v>17166</v>
      </c>
      <c r="E8500" s="17"/>
      <c r="F8500" s="17" t="s">
        <v>17246</v>
      </c>
      <c r="G8500" s="17"/>
      <c r="H8500" s="17" t="s">
        <v>17984</v>
      </c>
      <c r="I8500" s="17"/>
      <c r="J8500" s="17" t="s">
        <v>17985</v>
      </c>
      <c r="K8500" s="17"/>
      <c r="L8500" s="17" t="s">
        <v>19025</v>
      </c>
      <c r="M8500" s="17"/>
      <c r="N8500" s="17" t="s">
        <v>19832</v>
      </c>
      <c r="O8500" s="17"/>
      <c r="P8500" s="17" t="s">
        <v>19889</v>
      </c>
      <c r="Q8500" s="17"/>
      <c r="R8500" s="25" t="str">
        <f>HYPERLINK("https://ictv.global/taxonomy/taxondetails?taxnode_id=202302368","Tymovirus kennedyae")</f>
        <v>Tymovirus kennedyae</v>
      </c>
      <c r="S8500" s="18" t="s">
        <v>30</v>
      </c>
      <c r="T8500" s="18" t="s">
        <v>19933</v>
      </c>
      <c r="U8500" s="18" t="s">
        <v>19934</v>
      </c>
      <c r="V8500" s="18" t="s">
        <v>19935</v>
      </c>
      <c r="W8500" s="18" t="s">
        <v>19936</v>
      </c>
      <c r="X8500" s="18" t="s">
        <v>42</v>
      </c>
      <c r="Y8500" s="18" t="s">
        <v>17171</v>
      </c>
      <c r="Z8500" s="18" t="s">
        <v>13441</v>
      </c>
      <c r="AA8500" s="21" t="str">
        <f>HYPERLINK("https://www.ncbi.nlm.nih.gov/nuccore/D00637","NCBI Nucleotide")</f>
        <v>NCBI Nucleotide</v>
      </c>
    </row>
    <row r="8501" spans="1:27" x14ac:dyDescent="0.35">
      <c r="A8501">
        <v>1009024</v>
      </c>
      <c r="B8501">
        <v>7897</v>
      </c>
      <c r="C8501">
        <v>1</v>
      </c>
      <c r="D8501" s="17" t="s">
        <v>17166</v>
      </c>
      <c r="E8501" s="17"/>
      <c r="F8501" s="17" t="s">
        <v>17246</v>
      </c>
      <c r="G8501" s="17"/>
      <c r="H8501" s="17" t="s">
        <v>17984</v>
      </c>
      <c r="I8501" s="17"/>
      <c r="J8501" s="17" t="s">
        <v>17985</v>
      </c>
      <c r="K8501" s="17"/>
      <c r="L8501" s="17" t="s">
        <v>19025</v>
      </c>
      <c r="M8501" s="17"/>
      <c r="N8501" s="17" t="s">
        <v>19832</v>
      </c>
      <c r="O8501" s="17"/>
      <c r="P8501" s="17" t="s">
        <v>19889</v>
      </c>
      <c r="Q8501" s="17"/>
      <c r="R8501" s="25" t="str">
        <f>HYPERLINK("https://ictv.global/taxonomy/taxondetails?taxnode_id=202302356","Tymovirus latandigenum")</f>
        <v>Tymovirus latandigenum</v>
      </c>
      <c r="S8501" s="18" t="s">
        <v>30</v>
      </c>
      <c r="T8501" s="18" t="s">
        <v>19937</v>
      </c>
      <c r="U8501" s="18" t="s">
        <v>19938</v>
      </c>
      <c r="V8501" s="18" t="s">
        <v>19939</v>
      </c>
      <c r="W8501" s="18" t="s">
        <v>19940</v>
      </c>
      <c r="X8501" s="18" t="s">
        <v>42</v>
      </c>
      <c r="Y8501" s="18" t="s">
        <v>17171</v>
      </c>
      <c r="Z8501" s="18" t="s">
        <v>13441</v>
      </c>
      <c r="AA8501" s="21" t="str">
        <f>HYPERLINK("https://www.ncbi.nlm.nih.gov/nuccore/JX508291","NCBI Nucleotide")</f>
        <v>NCBI Nucleotide</v>
      </c>
    </row>
    <row r="8502" spans="1:27" x14ac:dyDescent="0.35">
      <c r="A8502">
        <v>1009025</v>
      </c>
      <c r="B8502">
        <v>7898</v>
      </c>
      <c r="C8502">
        <v>1</v>
      </c>
      <c r="D8502" s="17" t="s">
        <v>17166</v>
      </c>
      <c r="E8502" s="17"/>
      <c r="F8502" s="17" t="s">
        <v>17246</v>
      </c>
      <c r="G8502" s="17"/>
      <c r="H8502" s="17" t="s">
        <v>17984</v>
      </c>
      <c r="I8502" s="17"/>
      <c r="J8502" s="17" t="s">
        <v>17985</v>
      </c>
      <c r="K8502" s="17"/>
      <c r="L8502" s="17" t="s">
        <v>19025</v>
      </c>
      <c r="M8502" s="17"/>
      <c r="N8502" s="17" t="s">
        <v>19832</v>
      </c>
      <c r="O8502" s="17"/>
      <c r="P8502" s="17" t="s">
        <v>19889</v>
      </c>
      <c r="Q8502" s="17"/>
      <c r="R8502" s="25" t="str">
        <f>HYPERLINK("https://ictv.global/taxonomy/taxondetails?taxnode_id=202302379","Tymovirus lycopersici")</f>
        <v>Tymovirus lycopersici</v>
      </c>
      <c r="S8502" s="18" t="s">
        <v>30</v>
      </c>
      <c r="T8502" s="18" t="s">
        <v>19941</v>
      </c>
      <c r="U8502" s="18" t="s">
        <v>19942</v>
      </c>
      <c r="V8502" s="18" t="s">
        <v>19943</v>
      </c>
      <c r="W8502" s="18" t="s">
        <v>19944</v>
      </c>
      <c r="X8502" s="18" t="s">
        <v>42</v>
      </c>
      <c r="Y8502" s="18" t="s">
        <v>17171</v>
      </c>
      <c r="Z8502" s="18" t="s">
        <v>13441</v>
      </c>
      <c r="AA8502" s="21" t="str">
        <f>HYPERLINK("https://www.ncbi.nlm.nih.gov/nuccore/KC840043","NCBI Nucleotide")</f>
        <v>NCBI Nucleotide</v>
      </c>
    </row>
    <row r="8503" spans="1:27" x14ac:dyDescent="0.35">
      <c r="A8503">
        <v>1009026</v>
      </c>
      <c r="B8503">
        <v>7899</v>
      </c>
      <c r="C8503">
        <v>1</v>
      </c>
      <c r="D8503" s="17" t="s">
        <v>17166</v>
      </c>
      <c r="E8503" s="17"/>
      <c r="F8503" s="17" t="s">
        <v>17246</v>
      </c>
      <c r="G8503" s="17"/>
      <c r="H8503" s="17" t="s">
        <v>17984</v>
      </c>
      <c r="I8503" s="17"/>
      <c r="J8503" s="17" t="s">
        <v>17985</v>
      </c>
      <c r="K8503" s="17"/>
      <c r="L8503" s="17" t="s">
        <v>19025</v>
      </c>
      <c r="M8503" s="17"/>
      <c r="N8503" s="17" t="s">
        <v>19832</v>
      </c>
      <c r="O8503" s="17"/>
      <c r="P8503" s="17" t="s">
        <v>19889</v>
      </c>
      <c r="Q8503" s="17"/>
      <c r="R8503" s="25" t="str">
        <f>HYPERLINK("https://ictv.global/taxonomy/taxondetails?taxnode_id=202302366","Tymovirus melongenae")</f>
        <v>Tymovirus melongenae</v>
      </c>
      <c r="S8503" s="18" t="s">
        <v>30</v>
      </c>
      <c r="T8503" s="18" t="s">
        <v>19945</v>
      </c>
      <c r="U8503" s="18" t="s">
        <v>19946</v>
      </c>
      <c r="V8503" s="18"/>
      <c r="W8503" s="18" t="s">
        <v>19947</v>
      </c>
      <c r="X8503" s="18" t="s">
        <v>42</v>
      </c>
      <c r="Y8503" s="18" t="s">
        <v>17171</v>
      </c>
      <c r="Z8503" s="18" t="s">
        <v>13441</v>
      </c>
      <c r="AA8503" s="21" t="str">
        <f>HYPERLINK("https://www.ncbi.nlm.nih.gov/nuccore/J04374","NCBI Nucleotide")</f>
        <v>NCBI Nucleotide</v>
      </c>
    </row>
    <row r="8504" spans="1:27" x14ac:dyDescent="0.35">
      <c r="A8504">
        <v>1009027</v>
      </c>
      <c r="B8504">
        <v>7900</v>
      </c>
      <c r="C8504">
        <v>1</v>
      </c>
      <c r="D8504" s="17" t="s">
        <v>17166</v>
      </c>
      <c r="E8504" s="17"/>
      <c r="F8504" s="17" t="s">
        <v>17246</v>
      </c>
      <c r="G8504" s="17"/>
      <c r="H8504" s="17" t="s">
        <v>17984</v>
      </c>
      <c r="I8504" s="17"/>
      <c r="J8504" s="17" t="s">
        <v>17985</v>
      </c>
      <c r="K8504" s="17"/>
      <c r="L8504" s="17" t="s">
        <v>19025</v>
      </c>
      <c r="M8504" s="17"/>
      <c r="N8504" s="17" t="s">
        <v>19832</v>
      </c>
      <c r="O8504" s="17"/>
      <c r="P8504" s="17" t="s">
        <v>19889</v>
      </c>
      <c r="Q8504" s="17"/>
      <c r="R8504" s="25" t="str">
        <f>HYPERLINK("https://ictv.global/taxonomy/taxondetails?taxnode_id=202302369","Tymovirus melonis")</f>
        <v>Tymovirus melonis</v>
      </c>
      <c r="S8504" s="18" t="s">
        <v>30</v>
      </c>
      <c r="T8504" s="18" t="s">
        <v>19948</v>
      </c>
      <c r="U8504" s="18" t="s">
        <v>19949</v>
      </c>
      <c r="V8504" s="18">
        <v>264</v>
      </c>
      <c r="W8504" s="18"/>
      <c r="X8504" s="18" t="s">
        <v>3311</v>
      </c>
      <c r="Y8504" s="18" t="s">
        <v>17171</v>
      </c>
      <c r="Z8504" s="18" t="s">
        <v>13441</v>
      </c>
      <c r="AA8504" s="21"/>
    </row>
    <row r="8505" spans="1:27" x14ac:dyDescent="0.35">
      <c r="A8505">
        <v>1009028</v>
      </c>
      <c r="B8505">
        <v>7901</v>
      </c>
      <c r="C8505">
        <v>1</v>
      </c>
      <c r="D8505" s="17" t="s">
        <v>17166</v>
      </c>
      <c r="E8505" s="17"/>
      <c r="F8505" s="17" t="s">
        <v>17246</v>
      </c>
      <c r="G8505" s="17"/>
      <c r="H8505" s="17" t="s">
        <v>17984</v>
      </c>
      <c r="I8505" s="17"/>
      <c r="J8505" s="17" t="s">
        <v>17985</v>
      </c>
      <c r="K8505" s="17"/>
      <c r="L8505" s="17" t="s">
        <v>19025</v>
      </c>
      <c r="M8505" s="17"/>
      <c r="N8505" s="17" t="s">
        <v>19832</v>
      </c>
      <c r="O8505" s="17"/>
      <c r="P8505" s="17" t="s">
        <v>19889</v>
      </c>
      <c r="Q8505" s="17"/>
      <c r="R8505" s="25" t="str">
        <f>HYPERLINK("https://ictv.global/taxonomy/taxondetails?taxnode_id=202302357","Tymovirus mosandigenum")</f>
        <v>Tymovirus mosandigenum</v>
      </c>
      <c r="S8505" s="18" t="s">
        <v>30</v>
      </c>
      <c r="T8505" s="18" t="s">
        <v>19950</v>
      </c>
      <c r="U8505" s="18" t="s">
        <v>19951</v>
      </c>
      <c r="V8505" s="18" t="s">
        <v>19952</v>
      </c>
      <c r="W8505" s="18" t="s">
        <v>19953</v>
      </c>
      <c r="X8505" s="18" t="s">
        <v>42</v>
      </c>
      <c r="Y8505" s="18" t="s">
        <v>17171</v>
      </c>
      <c r="Z8505" s="18" t="s">
        <v>13441</v>
      </c>
      <c r="AA8505" s="21" t="str">
        <f>HYPERLINK("https://www.ncbi.nlm.nih.gov/nuccore/JX508290","NCBI Nucleotide")</f>
        <v>NCBI Nucleotide</v>
      </c>
    </row>
    <row r="8506" spans="1:27" x14ac:dyDescent="0.35">
      <c r="A8506">
        <v>1009029</v>
      </c>
      <c r="B8506">
        <v>7902</v>
      </c>
      <c r="C8506">
        <v>1</v>
      </c>
      <c r="D8506" s="17" t="s">
        <v>17166</v>
      </c>
      <c r="E8506" s="17"/>
      <c r="F8506" s="17" t="s">
        <v>17246</v>
      </c>
      <c r="G8506" s="17"/>
      <c r="H8506" s="17" t="s">
        <v>17984</v>
      </c>
      <c r="I8506" s="17"/>
      <c r="J8506" s="17" t="s">
        <v>17985</v>
      </c>
      <c r="K8506" s="17"/>
      <c r="L8506" s="17" t="s">
        <v>19025</v>
      </c>
      <c r="M8506" s="17"/>
      <c r="N8506" s="17" t="s">
        <v>19832</v>
      </c>
      <c r="O8506" s="17"/>
      <c r="P8506" s="17" t="s">
        <v>19889</v>
      </c>
      <c r="Q8506" s="17"/>
      <c r="R8506" s="25" t="str">
        <f>HYPERLINK("https://ictv.global/taxonomy/taxondetails?taxnode_id=202315116","Tymovirus naranjillae")</f>
        <v>Tymovirus naranjillae</v>
      </c>
      <c r="S8506" s="18" t="s">
        <v>30</v>
      </c>
      <c r="T8506" s="18" t="s">
        <v>19954</v>
      </c>
      <c r="U8506" s="18" t="s">
        <v>19955</v>
      </c>
      <c r="V8506" s="18" t="s">
        <v>19956</v>
      </c>
      <c r="W8506" s="18" t="s">
        <v>19957</v>
      </c>
      <c r="X8506" s="18" t="s">
        <v>42</v>
      </c>
      <c r="Y8506" s="18" t="s">
        <v>17171</v>
      </c>
      <c r="Z8506" s="18" t="s">
        <v>13441</v>
      </c>
      <c r="AA8506" s="21" t="str">
        <f>HYPERLINK("https://www.ncbi.nlm.nih.gov/nuccore/MG323924","NCBI Nucleotide")</f>
        <v>NCBI Nucleotide</v>
      </c>
    </row>
    <row r="8507" spans="1:27" x14ac:dyDescent="0.35">
      <c r="A8507">
        <v>1009030</v>
      </c>
      <c r="B8507">
        <v>7903</v>
      </c>
      <c r="C8507">
        <v>1</v>
      </c>
      <c r="D8507" s="17" t="s">
        <v>17166</v>
      </c>
      <c r="E8507" s="17"/>
      <c r="F8507" s="17" t="s">
        <v>17246</v>
      </c>
      <c r="G8507" s="17"/>
      <c r="H8507" s="17" t="s">
        <v>17984</v>
      </c>
      <c r="I8507" s="17"/>
      <c r="J8507" s="17" t="s">
        <v>17985</v>
      </c>
      <c r="K8507" s="17"/>
      <c r="L8507" s="17" t="s">
        <v>19025</v>
      </c>
      <c r="M8507" s="17"/>
      <c r="N8507" s="17" t="s">
        <v>19832</v>
      </c>
      <c r="O8507" s="17"/>
      <c r="P8507" s="17" t="s">
        <v>19889</v>
      </c>
      <c r="Q8507" s="17"/>
      <c r="R8507" s="25" t="str">
        <f>HYPERLINK("https://ictv.global/taxonomy/taxondetails?taxnode_id=202302370","Tymovirus nemesiae")</f>
        <v>Tymovirus nemesiae</v>
      </c>
      <c r="S8507" s="18" t="s">
        <v>30</v>
      </c>
      <c r="T8507" s="18" t="s">
        <v>19958</v>
      </c>
      <c r="U8507" s="18" t="s">
        <v>19959</v>
      </c>
      <c r="V8507" s="18" t="s">
        <v>18866</v>
      </c>
      <c r="W8507" s="18" t="s">
        <v>19960</v>
      </c>
      <c r="X8507" s="18" t="s">
        <v>42</v>
      </c>
      <c r="Y8507" s="18" t="s">
        <v>17171</v>
      </c>
      <c r="Z8507" s="18" t="s">
        <v>13441</v>
      </c>
      <c r="AA8507" s="21" t="str">
        <f>HYPERLINK("https://www.ncbi.nlm.nih.gov/nuccore/AY751778","NCBI Nucleotide")</f>
        <v>NCBI Nucleotide</v>
      </c>
    </row>
    <row r="8508" spans="1:27" x14ac:dyDescent="0.35">
      <c r="A8508">
        <v>1009031</v>
      </c>
      <c r="B8508">
        <v>7904</v>
      </c>
      <c r="C8508">
        <v>1</v>
      </c>
      <c r="D8508" s="17" t="s">
        <v>17166</v>
      </c>
      <c r="E8508" s="17"/>
      <c r="F8508" s="17" t="s">
        <v>17246</v>
      </c>
      <c r="G8508" s="17"/>
      <c r="H8508" s="17" t="s">
        <v>17984</v>
      </c>
      <c r="I8508" s="17"/>
      <c r="J8508" s="17" t="s">
        <v>17985</v>
      </c>
      <c r="K8508" s="17"/>
      <c r="L8508" s="17" t="s">
        <v>19025</v>
      </c>
      <c r="M8508" s="17"/>
      <c r="N8508" s="17" t="s">
        <v>19832</v>
      </c>
      <c r="O8508" s="17"/>
      <c r="P8508" s="17" t="s">
        <v>19889</v>
      </c>
      <c r="Q8508" s="17"/>
      <c r="R8508" s="25" t="str">
        <f>HYPERLINK("https://ictv.global/taxonomy/taxondetails?taxnode_id=202302372","Tymovirus ononis")</f>
        <v>Tymovirus ononis</v>
      </c>
      <c r="S8508" s="18" t="s">
        <v>30</v>
      </c>
      <c r="T8508" s="18" t="s">
        <v>19961</v>
      </c>
      <c r="U8508" s="18" t="s">
        <v>14870</v>
      </c>
      <c r="V8508" s="18" t="s">
        <v>19962</v>
      </c>
      <c r="W8508" s="18" t="s">
        <v>19963</v>
      </c>
      <c r="X8508" s="18" t="s">
        <v>42</v>
      </c>
      <c r="Y8508" s="18" t="s">
        <v>17171</v>
      </c>
      <c r="Z8508" s="18" t="s">
        <v>13441</v>
      </c>
      <c r="AA8508" s="21" t="str">
        <f>HYPERLINK("https://www.ncbi.nlm.nih.gov/nuccore/J04375","NCBI Nucleotide")</f>
        <v>NCBI Nucleotide</v>
      </c>
    </row>
    <row r="8509" spans="1:27" x14ac:dyDescent="0.35">
      <c r="A8509">
        <v>1009032</v>
      </c>
      <c r="B8509">
        <v>7905</v>
      </c>
      <c r="C8509">
        <v>1</v>
      </c>
      <c r="D8509" s="17" t="s">
        <v>17166</v>
      </c>
      <c r="E8509" s="17"/>
      <c r="F8509" s="17" t="s">
        <v>17246</v>
      </c>
      <c r="G8509" s="17"/>
      <c r="H8509" s="17" t="s">
        <v>17984</v>
      </c>
      <c r="I8509" s="17"/>
      <c r="J8509" s="17" t="s">
        <v>17985</v>
      </c>
      <c r="K8509" s="17"/>
      <c r="L8509" s="17" t="s">
        <v>19025</v>
      </c>
      <c r="M8509" s="17"/>
      <c r="N8509" s="17" t="s">
        <v>19832</v>
      </c>
      <c r="O8509" s="17"/>
      <c r="P8509" s="17" t="s">
        <v>19889</v>
      </c>
      <c r="Q8509" s="17"/>
      <c r="R8509" s="25" t="str">
        <f>HYPERLINK("https://ictv.global/taxonomy/taxondetails?taxnode_id=202302373","Tymovirus passiflorae")</f>
        <v>Tymovirus passiflorae</v>
      </c>
      <c r="S8509" s="18" t="s">
        <v>30</v>
      </c>
      <c r="T8509" s="18" t="s">
        <v>19964</v>
      </c>
      <c r="U8509" s="18" t="s">
        <v>19965</v>
      </c>
      <c r="V8509" s="18"/>
      <c r="W8509" s="18" t="s">
        <v>19966</v>
      </c>
      <c r="X8509" s="18" t="s">
        <v>154</v>
      </c>
      <c r="Y8509" s="18" t="s">
        <v>17171</v>
      </c>
      <c r="Z8509" s="18" t="s">
        <v>13441</v>
      </c>
      <c r="AA8509" s="21" t="str">
        <f>HYPERLINK("https://www.ncbi.nlm.nih.gov/nuccore/AF467107","NCBI Nucleotide")</f>
        <v>NCBI Nucleotide</v>
      </c>
    </row>
    <row r="8510" spans="1:27" x14ac:dyDescent="0.35">
      <c r="A8510">
        <v>1009033</v>
      </c>
      <c r="B8510">
        <v>7906</v>
      </c>
      <c r="C8510">
        <v>1</v>
      </c>
      <c r="D8510" s="17" t="s">
        <v>17166</v>
      </c>
      <c r="E8510" s="17"/>
      <c r="F8510" s="17" t="s">
        <v>17246</v>
      </c>
      <c r="G8510" s="17"/>
      <c r="H8510" s="17" t="s">
        <v>17984</v>
      </c>
      <c r="I8510" s="17"/>
      <c r="J8510" s="17" t="s">
        <v>17985</v>
      </c>
      <c r="K8510" s="17"/>
      <c r="L8510" s="17" t="s">
        <v>19025</v>
      </c>
      <c r="M8510" s="17"/>
      <c r="N8510" s="17" t="s">
        <v>19832</v>
      </c>
      <c r="O8510" s="17"/>
      <c r="P8510" s="17" t="s">
        <v>19889</v>
      </c>
      <c r="Q8510" s="17"/>
      <c r="R8510" s="25" t="str">
        <f>HYPERLINK("https://ictv.global/taxonomy/taxondetails?taxnode_id=202302375","Tymovirus petuniae")</f>
        <v>Tymovirus petuniae</v>
      </c>
      <c r="S8510" s="18" t="s">
        <v>30</v>
      </c>
      <c r="T8510" s="18" t="s">
        <v>19967</v>
      </c>
      <c r="U8510" s="18" t="s">
        <v>19968</v>
      </c>
      <c r="V8510" s="18" t="s">
        <v>18866</v>
      </c>
      <c r="W8510" s="18" t="s">
        <v>19969</v>
      </c>
      <c r="X8510" s="18" t="s">
        <v>154</v>
      </c>
      <c r="Y8510" s="18" t="s">
        <v>17171</v>
      </c>
      <c r="Z8510" s="18" t="s">
        <v>13441</v>
      </c>
      <c r="AA8510" s="21" t="str">
        <f>HYPERLINK("https://www.ncbi.nlm.nih.gov/nuccore/AF210709","NCBI Nucleotide")</f>
        <v>NCBI Nucleotide</v>
      </c>
    </row>
    <row r="8511" spans="1:27" x14ac:dyDescent="0.35">
      <c r="A8511">
        <v>1009034</v>
      </c>
      <c r="B8511">
        <v>7907</v>
      </c>
      <c r="C8511">
        <v>1</v>
      </c>
      <c r="D8511" s="17" t="s">
        <v>17166</v>
      </c>
      <c r="E8511" s="17"/>
      <c r="F8511" s="17" t="s">
        <v>17246</v>
      </c>
      <c r="G8511" s="17"/>
      <c r="H8511" s="17" t="s">
        <v>17984</v>
      </c>
      <c r="I8511" s="17"/>
      <c r="J8511" s="17" t="s">
        <v>17985</v>
      </c>
      <c r="K8511" s="17"/>
      <c r="L8511" s="17" t="s">
        <v>19025</v>
      </c>
      <c r="M8511" s="17"/>
      <c r="N8511" s="17" t="s">
        <v>19832</v>
      </c>
      <c r="O8511" s="17"/>
      <c r="P8511" s="17" t="s">
        <v>19889</v>
      </c>
      <c r="Q8511" s="17"/>
      <c r="R8511" s="25" t="str">
        <f>HYPERLINK("https://ictv.global/taxonomy/taxondetails?taxnode_id=202302376","Tymovirus physalis")</f>
        <v>Tymovirus physalis</v>
      </c>
      <c r="S8511" s="18" t="s">
        <v>30</v>
      </c>
      <c r="T8511" s="18" t="s">
        <v>19970</v>
      </c>
      <c r="U8511" s="18" t="s">
        <v>19971</v>
      </c>
      <c r="V8511" s="18"/>
      <c r="W8511" s="18" t="s">
        <v>19972</v>
      </c>
      <c r="X8511" s="18" t="s">
        <v>42</v>
      </c>
      <c r="Y8511" s="18" t="s">
        <v>17171</v>
      </c>
      <c r="Z8511" s="18" t="s">
        <v>13441</v>
      </c>
      <c r="AA8511" s="21" t="str">
        <f>HYPERLINK("https://www.ncbi.nlm.nih.gov/nuccore/Y16104","NCBI Nucleotide")</f>
        <v>NCBI Nucleotide</v>
      </c>
    </row>
    <row r="8512" spans="1:27" x14ac:dyDescent="0.35">
      <c r="A8512">
        <v>1009035</v>
      </c>
      <c r="B8512">
        <v>7908</v>
      </c>
      <c r="C8512">
        <v>1</v>
      </c>
      <c r="D8512" s="17" t="s">
        <v>17166</v>
      </c>
      <c r="E8512" s="17"/>
      <c r="F8512" s="17" t="s">
        <v>17246</v>
      </c>
      <c r="G8512" s="17"/>
      <c r="H8512" s="17" t="s">
        <v>17984</v>
      </c>
      <c r="I8512" s="17"/>
      <c r="J8512" s="17" t="s">
        <v>17985</v>
      </c>
      <c r="K8512" s="17"/>
      <c r="L8512" s="17" t="s">
        <v>19025</v>
      </c>
      <c r="M8512" s="17"/>
      <c r="N8512" s="17" t="s">
        <v>19832</v>
      </c>
      <c r="O8512" s="17"/>
      <c r="P8512" s="17" t="s">
        <v>19889</v>
      </c>
      <c r="Q8512" s="17"/>
      <c r="R8512" s="25" t="str">
        <f>HYPERLINK("https://ictv.global/taxonomy/taxondetails?taxnode_id=202302377","Tymovirus plantagonis")</f>
        <v>Tymovirus plantagonis</v>
      </c>
      <c r="S8512" s="18" t="s">
        <v>30</v>
      </c>
      <c r="T8512" s="18" t="s">
        <v>19973</v>
      </c>
      <c r="U8512" s="18" t="s">
        <v>19974</v>
      </c>
      <c r="V8512" s="18" t="s">
        <v>18866</v>
      </c>
      <c r="W8512" s="18" t="s">
        <v>19975</v>
      </c>
      <c r="X8512" s="18" t="s">
        <v>42</v>
      </c>
      <c r="Y8512" s="18" t="s">
        <v>17171</v>
      </c>
      <c r="Z8512" s="18" t="s">
        <v>13441</v>
      </c>
      <c r="AA8512" s="21" t="str">
        <f>HYPERLINK("https://www.ncbi.nlm.nih.gov/nuccore/AY751779","NCBI Nucleotide")</f>
        <v>NCBI Nucleotide</v>
      </c>
    </row>
    <row r="8513" spans="1:27" x14ac:dyDescent="0.35">
      <c r="A8513">
        <v>1009036</v>
      </c>
      <c r="B8513">
        <v>7909</v>
      </c>
      <c r="C8513">
        <v>1</v>
      </c>
      <c r="D8513" s="17" t="s">
        <v>17166</v>
      </c>
      <c r="E8513" s="17"/>
      <c r="F8513" s="17" t="s">
        <v>17246</v>
      </c>
      <c r="G8513" s="17"/>
      <c r="H8513" s="17" t="s">
        <v>17984</v>
      </c>
      <c r="I8513" s="17"/>
      <c r="J8513" s="17" t="s">
        <v>17985</v>
      </c>
      <c r="K8513" s="17"/>
      <c r="L8513" s="17" t="s">
        <v>19025</v>
      </c>
      <c r="M8513" s="17"/>
      <c r="N8513" s="17" t="s">
        <v>19832</v>
      </c>
      <c r="O8513" s="17"/>
      <c r="P8513" s="17" t="s">
        <v>19889</v>
      </c>
      <c r="Q8513" s="17"/>
      <c r="R8513" s="25" t="str">
        <f>HYPERLINK("https://ictv.global/taxonomy/taxondetails?taxnode_id=202315117","Tymovirus quitoense")</f>
        <v>Tymovirus quitoense</v>
      </c>
      <c r="S8513" s="18" t="s">
        <v>30</v>
      </c>
      <c r="T8513" s="18" t="s">
        <v>19976</v>
      </c>
      <c r="U8513" s="18" t="s">
        <v>19977</v>
      </c>
      <c r="V8513" s="18" t="s">
        <v>19956</v>
      </c>
      <c r="W8513" s="18" t="s">
        <v>19978</v>
      </c>
      <c r="X8513" s="18" t="s">
        <v>42</v>
      </c>
      <c r="Y8513" s="18" t="s">
        <v>17171</v>
      </c>
      <c r="Z8513" s="18" t="s">
        <v>13441</v>
      </c>
      <c r="AA8513" s="21" t="str">
        <f>HYPERLINK("https://www.ncbi.nlm.nih.gov/nuccore/MH784952","NCBI Nucleotide")</f>
        <v>NCBI Nucleotide</v>
      </c>
    </row>
    <row r="8514" spans="1:27" x14ac:dyDescent="0.35">
      <c r="A8514">
        <v>1009037</v>
      </c>
      <c r="B8514">
        <v>7910</v>
      </c>
      <c r="C8514">
        <v>1</v>
      </c>
      <c r="D8514" s="17" t="s">
        <v>17166</v>
      </c>
      <c r="E8514" s="17"/>
      <c r="F8514" s="17" t="s">
        <v>17246</v>
      </c>
      <c r="G8514" s="17"/>
      <c r="H8514" s="17" t="s">
        <v>17984</v>
      </c>
      <c r="I8514" s="17"/>
      <c r="J8514" s="17" t="s">
        <v>17985</v>
      </c>
      <c r="K8514" s="17"/>
      <c r="L8514" s="17" t="s">
        <v>19025</v>
      </c>
      <c r="M8514" s="17"/>
      <c r="N8514" s="17" t="s">
        <v>19832</v>
      </c>
      <c r="O8514" s="17"/>
      <c r="P8514" s="17" t="s">
        <v>19889</v>
      </c>
      <c r="Q8514" s="17"/>
      <c r="R8514" s="25" t="str">
        <f>HYPERLINK("https://ictv.global/taxonomy/taxondetails?taxnode_id=202302378","Tymovirus scrophulariae")</f>
        <v>Tymovirus scrophulariae</v>
      </c>
      <c r="S8514" s="18" t="s">
        <v>30</v>
      </c>
      <c r="T8514" s="18" t="s">
        <v>19979</v>
      </c>
      <c r="U8514" s="18" t="s">
        <v>19980</v>
      </c>
      <c r="V8514" s="18" t="s">
        <v>18866</v>
      </c>
      <c r="W8514" s="18" t="s">
        <v>19981</v>
      </c>
      <c r="X8514" s="18" t="s">
        <v>42</v>
      </c>
      <c r="Y8514" s="18" t="s">
        <v>17171</v>
      </c>
      <c r="Z8514" s="18" t="s">
        <v>13441</v>
      </c>
      <c r="AA8514" s="21" t="str">
        <f>HYPERLINK("https://www.ncbi.nlm.nih.gov/nuccore/AY751777","NCBI Nucleotide")</f>
        <v>NCBI Nucleotide</v>
      </c>
    </row>
    <row r="8515" spans="1:27" x14ac:dyDescent="0.35">
      <c r="A8515">
        <v>1009038</v>
      </c>
      <c r="B8515">
        <v>7911</v>
      </c>
      <c r="C8515">
        <v>1</v>
      </c>
      <c r="D8515" s="17" t="s">
        <v>17166</v>
      </c>
      <c r="E8515" s="17"/>
      <c r="F8515" s="17" t="s">
        <v>17246</v>
      </c>
      <c r="G8515" s="17"/>
      <c r="H8515" s="17" t="s">
        <v>17984</v>
      </c>
      <c r="I8515" s="17"/>
      <c r="J8515" s="17" t="s">
        <v>17985</v>
      </c>
      <c r="K8515" s="17"/>
      <c r="L8515" s="17" t="s">
        <v>19025</v>
      </c>
      <c r="M8515" s="17"/>
      <c r="N8515" s="17" t="s">
        <v>19832</v>
      </c>
      <c r="O8515" s="17"/>
      <c r="P8515" s="17" t="s">
        <v>19889</v>
      </c>
      <c r="Q8515" s="17"/>
      <c r="R8515" s="25" t="str">
        <f>HYPERLINK("https://ictv.global/taxonomy/taxondetails?taxnode_id=202302359","Tymovirus theobromatis")</f>
        <v>Tymovirus theobromatis</v>
      </c>
      <c r="S8515" s="18" t="s">
        <v>30</v>
      </c>
      <c r="T8515" s="18" t="s">
        <v>19982</v>
      </c>
      <c r="U8515" s="18" t="s">
        <v>14428</v>
      </c>
      <c r="V8515" s="18" t="s">
        <v>19962</v>
      </c>
      <c r="W8515" s="18" t="s">
        <v>19983</v>
      </c>
      <c r="X8515" s="18" t="s">
        <v>154</v>
      </c>
      <c r="Y8515" s="18" t="s">
        <v>17171</v>
      </c>
      <c r="Z8515" s="18" t="s">
        <v>13441</v>
      </c>
      <c r="AA8515" s="21" t="str">
        <f>HYPERLINK("https://www.ncbi.nlm.nih.gov/nuccore/X54354","NCBI Nucleotide")</f>
        <v>NCBI Nucleotide</v>
      </c>
    </row>
    <row r="8516" spans="1:27" x14ac:dyDescent="0.35">
      <c r="A8516">
        <v>1009039</v>
      </c>
      <c r="B8516">
        <v>7912</v>
      </c>
      <c r="C8516">
        <v>1</v>
      </c>
      <c r="D8516" s="17" t="s">
        <v>17166</v>
      </c>
      <c r="E8516" s="17"/>
      <c r="F8516" s="17" t="s">
        <v>17246</v>
      </c>
      <c r="G8516" s="17"/>
      <c r="H8516" s="17" t="s">
        <v>17984</v>
      </c>
      <c r="I8516" s="17"/>
      <c r="J8516" s="17" t="s">
        <v>17985</v>
      </c>
      <c r="K8516" s="17"/>
      <c r="L8516" s="17" t="s">
        <v>19025</v>
      </c>
      <c r="M8516" s="17"/>
      <c r="N8516" s="17" t="s">
        <v>19832</v>
      </c>
      <c r="O8516" s="17"/>
      <c r="P8516" s="17" t="s">
        <v>19889</v>
      </c>
      <c r="Q8516" s="17"/>
      <c r="R8516" s="25" t="str">
        <f>HYPERLINK("https://ictv.global/taxonomy/taxondetails?taxnode_id=202302381","Tymovirus voandzeiae")</f>
        <v>Tymovirus voandzeiae</v>
      </c>
      <c r="S8516" s="18" t="s">
        <v>30</v>
      </c>
      <c r="T8516" s="18" t="s">
        <v>19984</v>
      </c>
      <c r="U8516" s="18" t="s">
        <v>19985</v>
      </c>
      <c r="V8516" s="18"/>
      <c r="W8516" s="18"/>
      <c r="X8516" s="18" t="s">
        <v>3311</v>
      </c>
      <c r="Y8516" s="18" t="s">
        <v>17171</v>
      </c>
      <c r="Z8516" s="18" t="s">
        <v>13441</v>
      </c>
      <c r="AA8516" s="21"/>
    </row>
    <row r="8517" spans="1:27" x14ac:dyDescent="0.35">
      <c r="A8517">
        <v>1009040</v>
      </c>
      <c r="B8517">
        <v>7913</v>
      </c>
      <c r="C8517">
        <v>1</v>
      </c>
      <c r="D8517" s="17" t="s">
        <v>17166</v>
      </c>
      <c r="E8517" s="17"/>
      <c r="F8517" s="17" t="s">
        <v>17246</v>
      </c>
      <c r="G8517" s="17"/>
      <c r="H8517" s="17" t="s">
        <v>17984</v>
      </c>
      <c r="I8517" s="17"/>
      <c r="J8517" s="17" t="s">
        <v>17985</v>
      </c>
      <c r="K8517" s="17"/>
      <c r="L8517" s="17" t="s">
        <v>19025</v>
      </c>
      <c r="M8517" s="17"/>
      <c r="N8517" s="17" t="s">
        <v>19832</v>
      </c>
      <c r="O8517" s="17"/>
      <c r="P8517" s="17"/>
      <c r="Q8517" s="17"/>
      <c r="R8517" s="25" t="str">
        <f>HYPERLINK("https://ictv.global/taxonomy/taxondetails?taxnode_id=202302384","Bombyx mori latent virus")</f>
        <v>Bombyx mori latent virus</v>
      </c>
      <c r="S8517" s="18" t="s">
        <v>30</v>
      </c>
      <c r="T8517" s="18" t="s">
        <v>19833</v>
      </c>
      <c r="U8517" s="18" t="s">
        <v>19834</v>
      </c>
      <c r="V8517" s="18"/>
      <c r="W8517" s="18" t="s">
        <v>19835</v>
      </c>
      <c r="X8517" s="18" t="s">
        <v>42</v>
      </c>
      <c r="Y8517" s="18" t="s">
        <v>17171</v>
      </c>
      <c r="Z8517" s="18" t="s">
        <v>10790</v>
      </c>
      <c r="AA8517" s="21" t="str">
        <f>HYPERLINK("https://www.ncbi.nlm.nih.gov/nuccore/AB186123","NCBI Nucleotide")</f>
        <v>NCBI Nucleotide</v>
      </c>
    </row>
    <row r="8518" spans="1:27" x14ac:dyDescent="0.35">
      <c r="A8518">
        <v>1009041</v>
      </c>
      <c r="B8518">
        <v>7914</v>
      </c>
      <c r="C8518">
        <v>1</v>
      </c>
      <c r="D8518" s="17" t="s">
        <v>17166</v>
      </c>
      <c r="E8518" s="17"/>
      <c r="F8518" s="17" t="s">
        <v>17246</v>
      </c>
      <c r="G8518" s="17"/>
      <c r="H8518" s="17" t="s">
        <v>17984</v>
      </c>
      <c r="I8518" s="17"/>
      <c r="J8518" s="17" t="s">
        <v>17985</v>
      </c>
      <c r="K8518" s="17"/>
      <c r="L8518" s="17" t="s">
        <v>19025</v>
      </c>
      <c r="M8518" s="17"/>
      <c r="N8518" s="17" t="s">
        <v>19832</v>
      </c>
      <c r="O8518" s="17"/>
      <c r="P8518" s="17"/>
      <c r="Q8518" s="17"/>
      <c r="R8518" s="25" t="str">
        <f>HYPERLINK("https://ictv.global/taxonomy/taxondetails?taxnode_id=202302385","Poinsettia mosaic virus")</f>
        <v>Poinsettia mosaic virus</v>
      </c>
      <c r="S8518" s="18" t="s">
        <v>30</v>
      </c>
      <c r="T8518" s="18" t="s">
        <v>19836</v>
      </c>
      <c r="U8518" s="18" t="s">
        <v>18211</v>
      </c>
      <c r="V8518" s="18" t="s">
        <v>19837</v>
      </c>
      <c r="W8518" s="18" t="s">
        <v>19838</v>
      </c>
      <c r="X8518" s="18" t="s">
        <v>42</v>
      </c>
      <c r="Y8518" s="18" t="s">
        <v>17171</v>
      </c>
      <c r="Z8518" s="18" t="s">
        <v>13441</v>
      </c>
      <c r="AA8518" s="21" t="str">
        <f>HYPERLINK("https://www.ncbi.nlm.nih.gov/nuccore/AJ271595","NCBI Nucleotide")</f>
        <v>NCBI Nucleotide</v>
      </c>
    </row>
    <row r="8519" spans="1:27" x14ac:dyDescent="0.35">
      <c r="A8519">
        <v>1009042</v>
      </c>
      <c r="B8519">
        <v>7915</v>
      </c>
      <c r="C8519">
        <v>1</v>
      </c>
      <c r="D8519" s="17" t="s">
        <v>17166</v>
      </c>
      <c r="E8519" s="17"/>
      <c r="F8519" s="17" t="s">
        <v>17246</v>
      </c>
      <c r="G8519" s="17"/>
      <c r="H8519" s="17" t="s">
        <v>17984</v>
      </c>
      <c r="I8519" s="17"/>
      <c r="J8519" s="17" t="s">
        <v>19986</v>
      </c>
      <c r="K8519" s="17"/>
      <c r="L8519" s="17" t="s">
        <v>19987</v>
      </c>
      <c r="M8519" s="17"/>
      <c r="N8519" s="17" t="s">
        <v>19988</v>
      </c>
      <c r="O8519" s="17"/>
      <c r="P8519" s="17" t="s">
        <v>19989</v>
      </c>
      <c r="Q8519" s="17"/>
      <c r="R8519" s="25" t="str">
        <f>HYPERLINK("https://ictv.global/taxonomy/taxondetails?taxnode_id=202303138","Hepacivirus bovis")</f>
        <v>Hepacivirus bovis</v>
      </c>
      <c r="S8519" s="18" t="s">
        <v>30</v>
      </c>
      <c r="T8519" s="18" t="s">
        <v>19990</v>
      </c>
      <c r="U8519" s="18" t="s">
        <v>19991</v>
      </c>
      <c r="V8519" s="18" t="s">
        <v>19992</v>
      </c>
      <c r="W8519" s="18" t="s">
        <v>19993</v>
      </c>
      <c r="X8519" s="18" t="s">
        <v>35</v>
      </c>
      <c r="Y8519" s="18" t="s">
        <v>17171</v>
      </c>
      <c r="Z8519" s="18" t="s">
        <v>166</v>
      </c>
      <c r="AA8519" s="21" t="str">
        <f>HYPERLINK("https://www.ncbi.nlm.nih.gov/nuccore/KP641127","NCBI Nucleotide")</f>
        <v>NCBI Nucleotide</v>
      </c>
    </row>
    <row r="8520" spans="1:27" x14ac:dyDescent="0.35">
      <c r="A8520">
        <v>1009043</v>
      </c>
      <c r="B8520">
        <v>7916</v>
      </c>
      <c r="C8520">
        <v>1</v>
      </c>
      <c r="D8520" s="17" t="s">
        <v>17166</v>
      </c>
      <c r="E8520" s="17"/>
      <c r="F8520" s="17" t="s">
        <v>17246</v>
      </c>
      <c r="G8520" s="17"/>
      <c r="H8520" s="17" t="s">
        <v>17984</v>
      </c>
      <c r="I8520" s="17"/>
      <c r="J8520" s="17" t="s">
        <v>19986</v>
      </c>
      <c r="K8520" s="17"/>
      <c r="L8520" s="17" t="s">
        <v>19987</v>
      </c>
      <c r="M8520" s="17"/>
      <c r="N8520" s="17" t="s">
        <v>19988</v>
      </c>
      <c r="O8520" s="17"/>
      <c r="P8520" s="17" t="s">
        <v>19989</v>
      </c>
      <c r="Q8520" s="17"/>
      <c r="R8520" s="25" t="str">
        <f>HYPERLINK("https://ictv.global/taxonomy/taxondetails?taxnode_id=202303128","Hepacivirus colobi")</f>
        <v>Hepacivirus colobi</v>
      </c>
      <c r="S8520" s="18" t="s">
        <v>30</v>
      </c>
      <c r="T8520" s="18" t="s">
        <v>19994</v>
      </c>
      <c r="U8520" s="18" t="s">
        <v>19995</v>
      </c>
      <c r="V8520" s="18" t="s">
        <v>19996</v>
      </c>
      <c r="W8520" s="18" t="s">
        <v>19997</v>
      </c>
      <c r="X8520" s="18" t="s">
        <v>35</v>
      </c>
      <c r="Y8520" s="18" t="s">
        <v>17171</v>
      </c>
      <c r="Z8520" s="18" t="s">
        <v>166</v>
      </c>
      <c r="AA8520" s="21" t="str">
        <f>HYPERLINK("https://www.ncbi.nlm.nih.gov/nuccore/KC551800","NCBI Nucleotide")</f>
        <v>NCBI Nucleotide</v>
      </c>
    </row>
    <row r="8521" spans="1:27" x14ac:dyDescent="0.35">
      <c r="A8521">
        <v>1009044</v>
      </c>
      <c r="B8521">
        <v>7917</v>
      </c>
      <c r="C8521">
        <v>1</v>
      </c>
      <c r="D8521" s="17" t="s">
        <v>17166</v>
      </c>
      <c r="E8521" s="17"/>
      <c r="F8521" s="17" t="s">
        <v>17246</v>
      </c>
      <c r="G8521" s="17"/>
      <c r="H8521" s="17" t="s">
        <v>17984</v>
      </c>
      <c r="I8521" s="17"/>
      <c r="J8521" s="17" t="s">
        <v>19986</v>
      </c>
      <c r="K8521" s="17"/>
      <c r="L8521" s="17" t="s">
        <v>19987</v>
      </c>
      <c r="M8521" s="17"/>
      <c r="N8521" s="17" t="s">
        <v>19988</v>
      </c>
      <c r="O8521" s="17"/>
      <c r="P8521" s="17" t="s">
        <v>19989</v>
      </c>
      <c r="Q8521" s="17"/>
      <c r="R8521" s="25" t="str">
        <f>HYPERLINK("https://ictv.global/taxonomy/taxondetails?taxnode_id=202303125","Hepacivirus equi")</f>
        <v>Hepacivirus equi</v>
      </c>
      <c r="S8521" s="18" t="s">
        <v>30</v>
      </c>
      <c r="T8521" s="18" t="s">
        <v>19998</v>
      </c>
      <c r="U8521" s="18" t="s">
        <v>19999</v>
      </c>
      <c r="V8521" s="18" t="s">
        <v>20000</v>
      </c>
      <c r="W8521" s="18" t="s">
        <v>20001</v>
      </c>
      <c r="X8521" s="18" t="s">
        <v>42</v>
      </c>
      <c r="Y8521" s="18" t="s">
        <v>17171</v>
      </c>
      <c r="Z8521" s="18" t="s">
        <v>166</v>
      </c>
      <c r="AA8521" s="21" t="str">
        <f>HYPERLINK("https://www.ncbi.nlm.nih.gov/nuccore/KP325401","NCBI Nucleotide")</f>
        <v>NCBI Nucleotide</v>
      </c>
    </row>
    <row r="8522" spans="1:27" x14ac:dyDescent="0.35">
      <c r="A8522">
        <v>1009045</v>
      </c>
      <c r="B8522">
        <v>7918</v>
      </c>
      <c r="C8522">
        <v>1</v>
      </c>
      <c r="D8522" s="17" t="s">
        <v>17166</v>
      </c>
      <c r="E8522" s="17"/>
      <c r="F8522" s="17" t="s">
        <v>17246</v>
      </c>
      <c r="G8522" s="17"/>
      <c r="H8522" s="17" t="s">
        <v>17984</v>
      </c>
      <c r="I8522" s="17"/>
      <c r="J8522" s="17" t="s">
        <v>19986</v>
      </c>
      <c r="K8522" s="17"/>
      <c r="L8522" s="17" t="s">
        <v>19987</v>
      </c>
      <c r="M8522" s="17"/>
      <c r="N8522" s="17" t="s">
        <v>19988</v>
      </c>
      <c r="O8522" s="17"/>
      <c r="P8522" s="17" t="s">
        <v>19989</v>
      </c>
      <c r="Q8522" s="17"/>
      <c r="R8522" s="25" t="str">
        <f>HYPERLINK("https://ictv.global/taxonomy/taxondetails?taxnode_id=202303134","Hepacivirus glareoli")</f>
        <v>Hepacivirus glareoli</v>
      </c>
      <c r="S8522" s="18" t="s">
        <v>30</v>
      </c>
      <c r="T8522" s="18" t="s">
        <v>20002</v>
      </c>
      <c r="U8522" s="18" t="s">
        <v>20003</v>
      </c>
      <c r="V8522" s="18" t="s">
        <v>20004</v>
      </c>
      <c r="W8522" s="18" t="s">
        <v>20005</v>
      </c>
      <c r="X8522" s="18" t="s">
        <v>35</v>
      </c>
      <c r="Y8522" s="18" t="s">
        <v>17171</v>
      </c>
      <c r="Z8522" s="18" t="s">
        <v>166</v>
      </c>
      <c r="AA8522" s="21" t="str">
        <f>HYPERLINK("https://www.ncbi.nlm.nih.gov/nuccore/KC411777","NCBI Nucleotide")</f>
        <v>NCBI Nucleotide</v>
      </c>
    </row>
    <row r="8523" spans="1:27" x14ac:dyDescent="0.35">
      <c r="A8523">
        <v>1009046</v>
      </c>
      <c r="B8523">
        <v>7919</v>
      </c>
      <c r="C8523">
        <v>1</v>
      </c>
      <c r="D8523" s="17" t="s">
        <v>17166</v>
      </c>
      <c r="E8523" s="17"/>
      <c r="F8523" s="17" t="s">
        <v>17246</v>
      </c>
      <c r="G8523" s="17"/>
      <c r="H8523" s="17" t="s">
        <v>17984</v>
      </c>
      <c r="I8523" s="17"/>
      <c r="J8523" s="17" t="s">
        <v>19986</v>
      </c>
      <c r="K8523" s="17"/>
      <c r="L8523" s="17" t="s">
        <v>19987</v>
      </c>
      <c r="M8523" s="17"/>
      <c r="N8523" s="17" t="s">
        <v>19988</v>
      </c>
      <c r="O8523" s="17"/>
      <c r="P8523" s="17" t="s">
        <v>19989</v>
      </c>
      <c r="Q8523" s="17"/>
      <c r="R8523" s="25" t="str">
        <f t="shared" ref="R8523:R8534" si="31">HYPERLINK("https://ictv.global/taxonomy/taxondetails?taxnode_id=202303127","Hepacivirus hominis")</f>
        <v>Hepacivirus hominis</v>
      </c>
      <c r="S8523" s="18" t="s">
        <v>30</v>
      </c>
      <c r="T8523" s="18" t="s">
        <v>20006</v>
      </c>
      <c r="U8523" s="18" t="s">
        <v>20007</v>
      </c>
      <c r="V8523" s="18" t="s">
        <v>20008</v>
      </c>
      <c r="W8523" s="18" t="s">
        <v>20009</v>
      </c>
      <c r="X8523" s="18" t="s">
        <v>42</v>
      </c>
      <c r="Y8523" s="18" t="s">
        <v>17171</v>
      </c>
      <c r="Z8523" s="18" t="s">
        <v>166</v>
      </c>
      <c r="AA8523" s="21" t="str">
        <f>HYPERLINK("https://www.ncbi.nlm.nih.gov/nuccore/AF009606","NCBI Nucleotide")</f>
        <v>NCBI Nucleotide</v>
      </c>
    </row>
    <row r="8524" spans="1:27" x14ac:dyDescent="0.35">
      <c r="A8524">
        <v>1012771</v>
      </c>
      <c r="B8524">
        <v>7919</v>
      </c>
      <c r="C8524">
        <v>2</v>
      </c>
      <c r="D8524" s="17" t="s">
        <v>17166</v>
      </c>
      <c r="E8524" s="17"/>
      <c r="F8524" s="17" t="s">
        <v>17246</v>
      </c>
      <c r="G8524" s="17"/>
      <c r="H8524" s="17" t="s">
        <v>17984</v>
      </c>
      <c r="I8524" s="17"/>
      <c r="J8524" s="17" t="s">
        <v>19986</v>
      </c>
      <c r="K8524" s="17"/>
      <c r="L8524" s="17" t="s">
        <v>19987</v>
      </c>
      <c r="M8524" s="17"/>
      <c r="N8524" s="17" t="s">
        <v>19988</v>
      </c>
      <c r="O8524" s="17"/>
      <c r="P8524" s="17" t="s">
        <v>19989</v>
      </c>
      <c r="Q8524" s="17"/>
      <c r="R8524" s="25" t="str">
        <f t="shared" si="31"/>
        <v>Hepacivirus hominis</v>
      </c>
      <c r="S8524" s="18" t="s">
        <v>8141</v>
      </c>
      <c r="T8524" s="18" t="s">
        <v>20006</v>
      </c>
      <c r="U8524" s="18" t="s">
        <v>20007</v>
      </c>
      <c r="V8524" s="18" t="s">
        <v>20010</v>
      </c>
      <c r="W8524" s="18" t="s">
        <v>49327</v>
      </c>
      <c r="X8524" s="18" t="s">
        <v>42</v>
      </c>
      <c r="Y8524" s="18" t="s">
        <v>17171</v>
      </c>
      <c r="Z8524" s="18" t="s">
        <v>166</v>
      </c>
      <c r="AA8524" s="21" t="str">
        <f>HYPERLINK("https://www.ncbi.nlm.nih.gov/nuccore/M62321","NCBI Nucleotide")</f>
        <v>NCBI Nucleotide</v>
      </c>
    </row>
    <row r="8525" spans="1:27" x14ac:dyDescent="0.35">
      <c r="A8525">
        <v>1012772</v>
      </c>
      <c r="B8525">
        <v>7919</v>
      </c>
      <c r="C8525">
        <v>3</v>
      </c>
      <c r="D8525" s="17" t="s">
        <v>17166</v>
      </c>
      <c r="E8525" s="17"/>
      <c r="F8525" s="17" t="s">
        <v>17246</v>
      </c>
      <c r="G8525" s="17"/>
      <c r="H8525" s="17" t="s">
        <v>17984</v>
      </c>
      <c r="I8525" s="17"/>
      <c r="J8525" s="17" t="s">
        <v>19986</v>
      </c>
      <c r="K8525" s="17"/>
      <c r="L8525" s="17" t="s">
        <v>19987</v>
      </c>
      <c r="M8525" s="17"/>
      <c r="N8525" s="17" t="s">
        <v>19988</v>
      </c>
      <c r="O8525" s="17"/>
      <c r="P8525" s="17" t="s">
        <v>19989</v>
      </c>
      <c r="Q8525" s="17"/>
      <c r="R8525" s="25" t="str">
        <f t="shared" si="31"/>
        <v>Hepacivirus hominis</v>
      </c>
      <c r="S8525" s="18" t="s">
        <v>8141</v>
      </c>
      <c r="T8525" s="18" t="s">
        <v>20011</v>
      </c>
      <c r="U8525" s="18" t="s">
        <v>20012</v>
      </c>
      <c r="V8525" s="18" t="s">
        <v>18911</v>
      </c>
      <c r="W8525" s="18" t="s">
        <v>49328</v>
      </c>
      <c r="X8525" s="18" t="s">
        <v>35</v>
      </c>
      <c r="Y8525" s="18" t="s">
        <v>17171</v>
      </c>
      <c r="Z8525" s="18" t="s">
        <v>166</v>
      </c>
      <c r="AA8525" s="21" t="str">
        <f>HYPERLINK("https://www.ncbi.nlm.nih.gov/nuccore/D90208","NCBI Nucleotide")</f>
        <v>NCBI Nucleotide</v>
      </c>
    </row>
    <row r="8526" spans="1:27" x14ac:dyDescent="0.35">
      <c r="A8526">
        <v>1012773</v>
      </c>
      <c r="B8526">
        <v>7919</v>
      </c>
      <c r="C8526">
        <v>4</v>
      </c>
      <c r="D8526" s="17" t="s">
        <v>17166</v>
      </c>
      <c r="E8526" s="17"/>
      <c r="F8526" s="17" t="s">
        <v>17246</v>
      </c>
      <c r="G8526" s="17"/>
      <c r="H8526" s="17" t="s">
        <v>17984</v>
      </c>
      <c r="I8526" s="17"/>
      <c r="J8526" s="17" t="s">
        <v>19986</v>
      </c>
      <c r="K8526" s="17"/>
      <c r="L8526" s="17" t="s">
        <v>19987</v>
      </c>
      <c r="M8526" s="17"/>
      <c r="N8526" s="17" t="s">
        <v>19988</v>
      </c>
      <c r="O8526" s="17"/>
      <c r="P8526" s="17" t="s">
        <v>19989</v>
      </c>
      <c r="Q8526" s="17"/>
      <c r="R8526" s="25" t="str">
        <f t="shared" si="31"/>
        <v>Hepacivirus hominis</v>
      </c>
      <c r="S8526" s="18" t="s">
        <v>8141</v>
      </c>
      <c r="T8526" s="18" t="s">
        <v>20013</v>
      </c>
      <c r="U8526" s="18" t="s">
        <v>20014</v>
      </c>
      <c r="V8526" s="18" t="s">
        <v>20015</v>
      </c>
      <c r="W8526" s="18" t="s">
        <v>49329</v>
      </c>
      <c r="X8526" s="18" t="s">
        <v>35</v>
      </c>
      <c r="Y8526" s="18" t="s">
        <v>17171</v>
      </c>
      <c r="Z8526" s="18" t="s">
        <v>166</v>
      </c>
      <c r="AA8526" s="21" t="str">
        <f>HYPERLINK("https://www.ncbi.nlm.nih.gov/nuccore/D00944","NCBI Nucleotide")</f>
        <v>NCBI Nucleotide</v>
      </c>
    </row>
    <row r="8527" spans="1:27" x14ac:dyDescent="0.35">
      <c r="A8527">
        <v>1012774</v>
      </c>
      <c r="B8527">
        <v>7919</v>
      </c>
      <c r="C8527">
        <v>5</v>
      </c>
      <c r="D8527" s="17" t="s">
        <v>17166</v>
      </c>
      <c r="E8527" s="17"/>
      <c r="F8527" s="17" t="s">
        <v>17246</v>
      </c>
      <c r="G8527" s="17"/>
      <c r="H8527" s="17" t="s">
        <v>17984</v>
      </c>
      <c r="I8527" s="17"/>
      <c r="J8527" s="17" t="s">
        <v>19986</v>
      </c>
      <c r="K8527" s="17"/>
      <c r="L8527" s="17" t="s">
        <v>19987</v>
      </c>
      <c r="M8527" s="17"/>
      <c r="N8527" s="17" t="s">
        <v>19988</v>
      </c>
      <c r="O8527" s="17"/>
      <c r="P8527" s="17" t="s">
        <v>19989</v>
      </c>
      <c r="Q8527" s="17"/>
      <c r="R8527" s="25" t="str">
        <f t="shared" si="31"/>
        <v>Hepacivirus hominis</v>
      </c>
      <c r="S8527" s="18" t="s">
        <v>8141</v>
      </c>
      <c r="T8527" s="18" t="s">
        <v>20016</v>
      </c>
      <c r="U8527" s="18" t="s">
        <v>20017</v>
      </c>
      <c r="V8527" s="18" t="s">
        <v>20018</v>
      </c>
      <c r="W8527" s="18" t="s">
        <v>49330</v>
      </c>
      <c r="X8527" s="18" t="s">
        <v>35</v>
      </c>
      <c r="Y8527" s="18" t="s">
        <v>17171</v>
      </c>
      <c r="Z8527" s="18" t="s">
        <v>166</v>
      </c>
      <c r="AA8527" s="21" t="str">
        <f>HYPERLINK("https://www.ncbi.nlm.nih.gov/nuccore/D10988","NCBI Nucleotide")</f>
        <v>NCBI Nucleotide</v>
      </c>
    </row>
    <row r="8528" spans="1:27" x14ac:dyDescent="0.35">
      <c r="A8528">
        <v>1012775</v>
      </c>
      <c r="B8528">
        <v>7919</v>
      </c>
      <c r="C8528">
        <v>6</v>
      </c>
      <c r="D8528" s="17" t="s">
        <v>17166</v>
      </c>
      <c r="E8528" s="17"/>
      <c r="F8528" s="17" t="s">
        <v>17246</v>
      </c>
      <c r="G8528" s="17"/>
      <c r="H8528" s="17" t="s">
        <v>17984</v>
      </c>
      <c r="I8528" s="17"/>
      <c r="J8528" s="17" t="s">
        <v>19986</v>
      </c>
      <c r="K8528" s="17"/>
      <c r="L8528" s="17" t="s">
        <v>19987</v>
      </c>
      <c r="M8528" s="17"/>
      <c r="N8528" s="17" t="s">
        <v>19988</v>
      </c>
      <c r="O8528" s="17"/>
      <c r="P8528" s="17" t="s">
        <v>19989</v>
      </c>
      <c r="Q8528" s="17"/>
      <c r="R8528" s="25" t="str">
        <f t="shared" si="31"/>
        <v>Hepacivirus hominis</v>
      </c>
      <c r="S8528" s="18" t="s">
        <v>8141</v>
      </c>
      <c r="T8528" s="18" t="s">
        <v>20019</v>
      </c>
      <c r="U8528" s="18" t="s">
        <v>20020</v>
      </c>
      <c r="V8528" s="18" t="s">
        <v>20021</v>
      </c>
      <c r="W8528" s="18" t="s">
        <v>49331</v>
      </c>
      <c r="X8528" s="18" t="s">
        <v>35</v>
      </c>
      <c r="Y8528" s="18" t="s">
        <v>17171</v>
      </c>
      <c r="Z8528" s="18" t="s">
        <v>166</v>
      </c>
      <c r="AA8528" s="21" t="str">
        <f>HYPERLINK("https://www.ncbi.nlm.nih.gov/nuccore/D17763","NCBI Nucleotide")</f>
        <v>NCBI Nucleotide</v>
      </c>
    </row>
    <row r="8529" spans="1:27" x14ac:dyDescent="0.35">
      <c r="A8529">
        <v>1012776</v>
      </c>
      <c r="B8529">
        <v>7919</v>
      </c>
      <c r="C8529">
        <v>7</v>
      </c>
      <c r="D8529" s="17" t="s">
        <v>17166</v>
      </c>
      <c r="E8529" s="17"/>
      <c r="F8529" s="17" t="s">
        <v>17246</v>
      </c>
      <c r="G8529" s="17"/>
      <c r="H8529" s="17" t="s">
        <v>17984</v>
      </c>
      <c r="I8529" s="17"/>
      <c r="J8529" s="17" t="s">
        <v>19986</v>
      </c>
      <c r="K8529" s="17"/>
      <c r="L8529" s="17" t="s">
        <v>19987</v>
      </c>
      <c r="M8529" s="17"/>
      <c r="N8529" s="17" t="s">
        <v>19988</v>
      </c>
      <c r="O8529" s="17"/>
      <c r="P8529" s="17" t="s">
        <v>19989</v>
      </c>
      <c r="Q8529" s="17"/>
      <c r="R8529" s="25" t="str">
        <f t="shared" si="31"/>
        <v>Hepacivirus hominis</v>
      </c>
      <c r="S8529" s="18" t="s">
        <v>8141</v>
      </c>
      <c r="T8529" s="18" t="s">
        <v>20022</v>
      </c>
      <c r="U8529" s="18" t="s">
        <v>20023</v>
      </c>
      <c r="V8529" s="18" t="s">
        <v>20024</v>
      </c>
      <c r="W8529" s="18" t="s">
        <v>49332</v>
      </c>
      <c r="X8529" s="18" t="s">
        <v>35</v>
      </c>
      <c r="Y8529" s="18" t="s">
        <v>17171</v>
      </c>
      <c r="Z8529" s="18" t="s">
        <v>166</v>
      </c>
      <c r="AA8529" s="21" t="str">
        <f>HYPERLINK("https://www.ncbi.nlm.nih.gov/nuccore/D63821","NCBI Nucleotide")</f>
        <v>NCBI Nucleotide</v>
      </c>
    </row>
    <row r="8530" spans="1:27" x14ac:dyDescent="0.35">
      <c r="A8530">
        <v>1012777</v>
      </c>
      <c r="B8530">
        <v>7919</v>
      </c>
      <c r="C8530">
        <v>8</v>
      </c>
      <c r="D8530" s="17" t="s">
        <v>17166</v>
      </c>
      <c r="E8530" s="17"/>
      <c r="F8530" s="17" t="s">
        <v>17246</v>
      </c>
      <c r="G8530" s="17"/>
      <c r="H8530" s="17" t="s">
        <v>17984</v>
      </c>
      <c r="I8530" s="17"/>
      <c r="J8530" s="17" t="s">
        <v>19986</v>
      </c>
      <c r="K8530" s="17"/>
      <c r="L8530" s="17" t="s">
        <v>19987</v>
      </c>
      <c r="M8530" s="17"/>
      <c r="N8530" s="17" t="s">
        <v>19988</v>
      </c>
      <c r="O8530" s="17"/>
      <c r="P8530" s="17" t="s">
        <v>19989</v>
      </c>
      <c r="Q8530" s="17"/>
      <c r="R8530" s="25" t="str">
        <f t="shared" si="31"/>
        <v>Hepacivirus hominis</v>
      </c>
      <c r="S8530" s="18" t="s">
        <v>8141</v>
      </c>
      <c r="T8530" s="18" t="s">
        <v>20025</v>
      </c>
      <c r="U8530" s="18" t="s">
        <v>20026</v>
      </c>
      <c r="V8530" s="18" t="s">
        <v>20027</v>
      </c>
      <c r="W8530" s="18" t="s">
        <v>49333</v>
      </c>
      <c r="X8530" s="18" t="s">
        <v>35</v>
      </c>
      <c r="Y8530" s="18" t="s">
        <v>17171</v>
      </c>
      <c r="Z8530" s="18" t="s">
        <v>166</v>
      </c>
      <c r="AA8530" s="21" t="str">
        <f>HYPERLINK("https://www.ncbi.nlm.nih.gov/nuccore/GU814265","NCBI Nucleotide")</f>
        <v>NCBI Nucleotide</v>
      </c>
    </row>
    <row r="8531" spans="1:27" x14ac:dyDescent="0.35">
      <c r="A8531">
        <v>1012778</v>
      </c>
      <c r="B8531">
        <v>7919</v>
      </c>
      <c r="C8531">
        <v>9</v>
      </c>
      <c r="D8531" s="17" t="s">
        <v>17166</v>
      </c>
      <c r="E8531" s="17"/>
      <c r="F8531" s="17" t="s">
        <v>17246</v>
      </c>
      <c r="G8531" s="17"/>
      <c r="H8531" s="17" t="s">
        <v>17984</v>
      </c>
      <c r="I8531" s="17"/>
      <c r="J8531" s="17" t="s">
        <v>19986</v>
      </c>
      <c r="K8531" s="17"/>
      <c r="L8531" s="17" t="s">
        <v>19987</v>
      </c>
      <c r="M8531" s="17"/>
      <c r="N8531" s="17" t="s">
        <v>19988</v>
      </c>
      <c r="O8531" s="17"/>
      <c r="P8531" s="17" t="s">
        <v>19989</v>
      </c>
      <c r="Q8531" s="17"/>
      <c r="R8531" s="25" t="str">
        <f t="shared" si="31"/>
        <v>Hepacivirus hominis</v>
      </c>
      <c r="S8531" s="18" t="s">
        <v>8141</v>
      </c>
      <c r="T8531" s="18" t="s">
        <v>20028</v>
      </c>
      <c r="U8531" s="18" t="s">
        <v>20029</v>
      </c>
      <c r="V8531" s="18" t="s">
        <v>20030</v>
      </c>
      <c r="W8531" s="18" t="s">
        <v>49334</v>
      </c>
      <c r="X8531" s="18" t="s">
        <v>35</v>
      </c>
      <c r="Y8531" s="18" t="s">
        <v>17171</v>
      </c>
      <c r="Z8531" s="18" t="s">
        <v>166</v>
      </c>
      <c r="AA8531" s="21" t="str">
        <f>HYPERLINK("https://www.ncbi.nlm.nih.gov/nuccore/Y13184","NCBI Nucleotide")</f>
        <v>NCBI Nucleotide</v>
      </c>
    </row>
    <row r="8532" spans="1:27" x14ac:dyDescent="0.35">
      <c r="A8532">
        <v>1012779</v>
      </c>
      <c r="B8532">
        <v>7919</v>
      </c>
      <c r="C8532">
        <v>10</v>
      </c>
      <c r="D8532" s="17" t="s">
        <v>17166</v>
      </c>
      <c r="E8532" s="17"/>
      <c r="F8532" s="17" t="s">
        <v>17246</v>
      </c>
      <c r="G8532" s="17"/>
      <c r="H8532" s="17" t="s">
        <v>17984</v>
      </c>
      <c r="I8532" s="17"/>
      <c r="J8532" s="17" t="s">
        <v>19986</v>
      </c>
      <c r="K8532" s="17"/>
      <c r="L8532" s="17" t="s">
        <v>19987</v>
      </c>
      <c r="M8532" s="17"/>
      <c r="N8532" s="17" t="s">
        <v>19988</v>
      </c>
      <c r="O8532" s="17"/>
      <c r="P8532" s="17" t="s">
        <v>19989</v>
      </c>
      <c r="Q8532" s="17"/>
      <c r="R8532" s="25" t="str">
        <f t="shared" si="31"/>
        <v>Hepacivirus hominis</v>
      </c>
      <c r="S8532" s="18" t="s">
        <v>8141</v>
      </c>
      <c r="T8532" s="18" t="s">
        <v>20031</v>
      </c>
      <c r="U8532" s="18" t="s">
        <v>20032</v>
      </c>
      <c r="V8532" s="18" t="s">
        <v>20033</v>
      </c>
      <c r="W8532" s="18" t="s">
        <v>49335</v>
      </c>
      <c r="X8532" s="18" t="s">
        <v>35</v>
      </c>
      <c r="Y8532" s="18" t="s">
        <v>17171</v>
      </c>
      <c r="Z8532" s="18" t="s">
        <v>166</v>
      </c>
      <c r="AA8532" s="21" t="str">
        <f>HYPERLINK("https://www.ncbi.nlm.nih.gov/nuccore/Y12083","NCBI Nucleotide")</f>
        <v>NCBI Nucleotide</v>
      </c>
    </row>
    <row r="8533" spans="1:27" x14ac:dyDescent="0.35">
      <c r="A8533">
        <v>1012780</v>
      </c>
      <c r="B8533">
        <v>7919</v>
      </c>
      <c r="C8533">
        <v>11</v>
      </c>
      <c r="D8533" s="17" t="s">
        <v>17166</v>
      </c>
      <c r="E8533" s="17"/>
      <c r="F8533" s="17" t="s">
        <v>17246</v>
      </c>
      <c r="G8533" s="17"/>
      <c r="H8533" s="17" t="s">
        <v>17984</v>
      </c>
      <c r="I8533" s="17"/>
      <c r="J8533" s="17" t="s">
        <v>19986</v>
      </c>
      <c r="K8533" s="17"/>
      <c r="L8533" s="17" t="s">
        <v>19987</v>
      </c>
      <c r="M8533" s="17"/>
      <c r="N8533" s="17" t="s">
        <v>19988</v>
      </c>
      <c r="O8533" s="17"/>
      <c r="P8533" s="17" t="s">
        <v>19989</v>
      </c>
      <c r="Q8533" s="17"/>
      <c r="R8533" s="25" t="str">
        <f t="shared" si="31"/>
        <v>Hepacivirus hominis</v>
      </c>
      <c r="S8533" s="18" t="s">
        <v>8141</v>
      </c>
      <c r="T8533" s="18" t="s">
        <v>20034</v>
      </c>
      <c r="U8533" s="18" t="s">
        <v>20035</v>
      </c>
      <c r="V8533" s="18" t="s">
        <v>20036</v>
      </c>
      <c r="W8533" s="18" t="s">
        <v>49336</v>
      </c>
      <c r="X8533" s="18" t="s">
        <v>35</v>
      </c>
      <c r="Y8533" s="18" t="s">
        <v>17171</v>
      </c>
      <c r="Z8533" s="18" t="s">
        <v>166</v>
      </c>
      <c r="AA8533" s="21" t="str">
        <f>HYPERLINK("https://www.ncbi.nlm.nih.gov/nuccore/D63822","NCBI Nucleotide")</f>
        <v>NCBI Nucleotide</v>
      </c>
    </row>
    <row r="8534" spans="1:27" x14ac:dyDescent="0.35">
      <c r="A8534">
        <v>1012781</v>
      </c>
      <c r="B8534">
        <v>7919</v>
      </c>
      <c r="C8534">
        <v>12</v>
      </c>
      <c r="D8534" s="17" t="s">
        <v>17166</v>
      </c>
      <c r="E8534" s="17"/>
      <c r="F8534" s="17" t="s">
        <v>17246</v>
      </c>
      <c r="G8534" s="17"/>
      <c r="H8534" s="17" t="s">
        <v>17984</v>
      </c>
      <c r="I8534" s="17"/>
      <c r="J8534" s="17" t="s">
        <v>19986</v>
      </c>
      <c r="K8534" s="17"/>
      <c r="L8534" s="17" t="s">
        <v>19987</v>
      </c>
      <c r="M8534" s="17"/>
      <c r="N8534" s="17" t="s">
        <v>19988</v>
      </c>
      <c r="O8534" s="17"/>
      <c r="P8534" s="17" t="s">
        <v>19989</v>
      </c>
      <c r="Q8534" s="17"/>
      <c r="R8534" s="25" t="str">
        <f t="shared" si="31"/>
        <v>Hepacivirus hominis</v>
      </c>
      <c r="S8534" s="18" t="s">
        <v>8141</v>
      </c>
      <c r="T8534" s="18" t="s">
        <v>20037</v>
      </c>
      <c r="U8534" s="18" t="s">
        <v>20038</v>
      </c>
      <c r="V8534" s="18" t="s">
        <v>20039</v>
      </c>
      <c r="W8534" s="18" t="s">
        <v>49337</v>
      </c>
      <c r="X8534" s="18" t="s">
        <v>35</v>
      </c>
      <c r="Y8534" s="18" t="s">
        <v>17171</v>
      </c>
      <c r="Z8534" s="18" t="s">
        <v>166</v>
      </c>
      <c r="AA8534" s="21" t="str">
        <f>HYPERLINK("https://www.ncbi.nlm.nih.gov/nuccore/EF108306","NCBI Nucleotide")</f>
        <v>NCBI Nucleotide</v>
      </c>
    </row>
    <row r="8535" spans="1:27" x14ac:dyDescent="0.35">
      <c r="A8535">
        <v>1009047</v>
      </c>
      <c r="B8535">
        <v>7920</v>
      </c>
      <c r="C8535">
        <v>1</v>
      </c>
      <c r="D8535" s="17" t="s">
        <v>17166</v>
      </c>
      <c r="E8535" s="17"/>
      <c r="F8535" s="17" t="s">
        <v>17246</v>
      </c>
      <c r="G8535" s="17"/>
      <c r="H8535" s="17" t="s">
        <v>17984</v>
      </c>
      <c r="I8535" s="17"/>
      <c r="J8535" s="17" t="s">
        <v>19986</v>
      </c>
      <c r="K8535" s="17"/>
      <c r="L8535" s="17" t="s">
        <v>19987</v>
      </c>
      <c r="M8535" s="17"/>
      <c r="N8535" s="17" t="s">
        <v>19988</v>
      </c>
      <c r="O8535" s="17"/>
      <c r="P8535" s="17" t="s">
        <v>19989</v>
      </c>
      <c r="Q8535" s="17"/>
      <c r="R8535" s="25" t="str">
        <f>HYPERLINK("https://ictv.global/taxonomy/taxondetails?taxnode_id=202303135","Hepacivirus macronycteridis")</f>
        <v>Hepacivirus macronycteridis</v>
      </c>
      <c r="S8535" s="18" t="s">
        <v>30</v>
      </c>
      <c r="T8535" s="18" t="s">
        <v>20040</v>
      </c>
      <c r="U8535" s="18" t="s">
        <v>20041</v>
      </c>
      <c r="V8535" s="18" t="s">
        <v>20042</v>
      </c>
      <c r="W8535" s="18" t="s">
        <v>20043</v>
      </c>
      <c r="X8535" s="18" t="s">
        <v>35</v>
      </c>
      <c r="Y8535" s="18" t="s">
        <v>17171</v>
      </c>
      <c r="Z8535" s="18" t="s">
        <v>166</v>
      </c>
      <c r="AA8535" s="21" t="str">
        <f>HYPERLINK("https://www.ncbi.nlm.nih.gov/nuccore/KC796074","NCBI Nucleotide")</f>
        <v>NCBI Nucleotide</v>
      </c>
    </row>
    <row r="8536" spans="1:27" x14ac:dyDescent="0.35">
      <c r="A8536">
        <v>1009048</v>
      </c>
      <c r="B8536">
        <v>7921</v>
      </c>
      <c r="C8536">
        <v>1</v>
      </c>
      <c r="D8536" s="17" t="s">
        <v>17166</v>
      </c>
      <c r="E8536" s="17"/>
      <c r="F8536" s="17" t="s">
        <v>17246</v>
      </c>
      <c r="G8536" s="17"/>
      <c r="H8536" s="17" t="s">
        <v>17984</v>
      </c>
      <c r="I8536" s="17"/>
      <c r="J8536" s="17" t="s">
        <v>19986</v>
      </c>
      <c r="K8536" s="17"/>
      <c r="L8536" s="17" t="s">
        <v>19987</v>
      </c>
      <c r="M8536" s="17"/>
      <c r="N8536" s="17" t="s">
        <v>19988</v>
      </c>
      <c r="O8536" s="17"/>
      <c r="P8536" s="17" t="s">
        <v>19989</v>
      </c>
      <c r="Q8536" s="17"/>
      <c r="R8536" s="25" t="str">
        <f>HYPERLINK("https://ictv.global/taxonomy/taxondetails?taxnode_id=202303130","Hepacivirus myodae")</f>
        <v>Hepacivirus myodae</v>
      </c>
      <c r="S8536" s="18" t="s">
        <v>30</v>
      </c>
      <c r="T8536" s="18" t="s">
        <v>20002</v>
      </c>
      <c r="U8536" s="18" t="s">
        <v>20044</v>
      </c>
      <c r="V8536" s="18">
        <v>25842</v>
      </c>
      <c r="W8536" s="18" t="s">
        <v>20045</v>
      </c>
      <c r="X8536" s="18" t="s">
        <v>35</v>
      </c>
      <c r="Y8536" s="18" t="s">
        <v>17171</v>
      </c>
      <c r="Z8536" s="18" t="s">
        <v>166</v>
      </c>
      <c r="AA8536" s="21" t="str">
        <f>HYPERLINK("https://www.ncbi.nlm.nih.gov/nuccore/KC411784","NCBI Nucleotide")</f>
        <v>NCBI Nucleotide</v>
      </c>
    </row>
    <row r="8537" spans="1:27" x14ac:dyDescent="0.35">
      <c r="A8537">
        <v>1009049</v>
      </c>
      <c r="B8537">
        <v>7922</v>
      </c>
      <c r="C8537">
        <v>1</v>
      </c>
      <c r="D8537" s="17" t="s">
        <v>17166</v>
      </c>
      <c r="E8537" s="17"/>
      <c r="F8537" s="17" t="s">
        <v>17246</v>
      </c>
      <c r="G8537" s="17"/>
      <c r="H8537" s="17" t="s">
        <v>17984</v>
      </c>
      <c r="I8537" s="17"/>
      <c r="J8537" s="17" t="s">
        <v>19986</v>
      </c>
      <c r="K8537" s="17"/>
      <c r="L8537" s="17" t="s">
        <v>19987</v>
      </c>
      <c r="M8537" s="17"/>
      <c r="N8537" s="17" t="s">
        <v>19988</v>
      </c>
      <c r="O8537" s="17"/>
      <c r="P8537" s="17" t="s">
        <v>19989</v>
      </c>
      <c r="Q8537" s="17"/>
      <c r="R8537" s="25" t="str">
        <f>HYPERLINK("https://ictv.global/taxonomy/taxondetails?taxnode_id=202303132","Hepacivirus norvegici")</f>
        <v>Hepacivirus norvegici</v>
      </c>
      <c r="S8537" s="18" t="s">
        <v>30</v>
      </c>
      <c r="T8537" s="18" t="s">
        <v>20046</v>
      </c>
      <c r="U8537" s="18" t="s">
        <v>20047</v>
      </c>
      <c r="V8537" s="18" t="s">
        <v>20048</v>
      </c>
      <c r="W8537" s="18" t="s">
        <v>20049</v>
      </c>
      <c r="X8537" s="18" t="s">
        <v>42</v>
      </c>
      <c r="Y8537" s="18" t="s">
        <v>17171</v>
      </c>
      <c r="Z8537" s="18" t="s">
        <v>166</v>
      </c>
      <c r="AA8537" s="21" t="str">
        <f>HYPERLINK("https://www.ncbi.nlm.nih.gov/nuccore/KJ950939","NCBI Nucleotide")</f>
        <v>NCBI Nucleotide</v>
      </c>
    </row>
    <row r="8538" spans="1:27" x14ac:dyDescent="0.35">
      <c r="A8538">
        <v>1009050</v>
      </c>
      <c r="B8538">
        <v>7923</v>
      </c>
      <c r="C8538">
        <v>1</v>
      </c>
      <c r="D8538" s="17" t="s">
        <v>17166</v>
      </c>
      <c r="E8538" s="17"/>
      <c r="F8538" s="17" t="s">
        <v>17246</v>
      </c>
      <c r="G8538" s="17"/>
      <c r="H8538" s="17" t="s">
        <v>17984</v>
      </c>
      <c r="I8538" s="17"/>
      <c r="J8538" s="17" t="s">
        <v>19986</v>
      </c>
      <c r="K8538" s="17"/>
      <c r="L8538" s="17" t="s">
        <v>19987</v>
      </c>
      <c r="M8538" s="17"/>
      <c r="N8538" s="17" t="s">
        <v>19988</v>
      </c>
      <c r="O8538" s="17"/>
      <c r="P8538" s="17" t="s">
        <v>19989</v>
      </c>
      <c r="Q8538" s="17"/>
      <c r="R8538" s="25" t="str">
        <f>HYPERLINK("https://ictv.global/taxonomy/taxondetails?taxnode_id=202303137","Hepacivirus otomopis")</f>
        <v>Hepacivirus otomopis</v>
      </c>
      <c r="S8538" s="18" t="s">
        <v>30</v>
      </c>
      <c r="T8538" s="18" t="s">
        <v>20040</v>
      </c>
      <c r="U8538" s="18" t="s">
        <v>20050</v>
      </c>
      <c r="V8538" s="18" t="s">
        <v>20051</v>
      </c>
      <c r="W8538" s="18" t="s">
        <v>20052</v>
      </c>
      <c r="X8538" s="18" t="s">
        <v>35</v>
      </c>
      <c r="Y8538" s="18" t="s">
        <v>17171</v>
      </c>
      <c r="Z8538" s="18" t="s">
        <v>166</v>
      </c>
      <c r="AA8538" s="21" t="str">
        <f>HYPERLINK("https://www.ncbi.nlm.nih.gov/nuccore/KC796078","NCBI Nucleotide")</f>
        <v>NCBI Nucleotide</v>
      </c>
    </row>
    <row r="8539" spans="1:27" x14ac:dyDescent="0.35">
      <c r="A8539">
        <v>1009051</v>
      </c>
      <c r="B8539">
        <v>7924</v>
      </c>
      <c r="C8539">
        <v>1</v>
      </c>
      <c r="D8539" s="17" t="s">
        <v>17166</v>
      </c>
      <c r="E8539" s="17"/>
      <c r="F8539" s="17" t="s">
        <v>17246</v>
      </c>
      <c r="G8539" s="17"/>
      <c r="H8539" s="17" t="s">
        <v>17984</v>
      </c>
      <c r="I8539" s="17"/>
      <c r="J8539" s="17" t="s">
        <v>19986</v>
      </c>
      <c r="K8539" s="17"/>
      <c r="L8539" s="17" t="s">
        <v>19987</v>
      </c>
      <c r="M8539" s="17"/>
      <c r="N8539" s="17" t="s">
        <v>19988</v>
      </c>
      <c r="O8539" s="17"/>
      <c r="P8539" s="17" t="s">
        <v>19989</v>
      </c>
      <c r="Q8539" s="17"/>
      <c r="R8539" s="25" t="str">
        <f>HYPERLINK("https://ictv.global/taxonomy/taxondetails?taxnode_id=202303129","Hepacivirus peromysci")</f>
        <v>Hepacivirus peromysci</v>
      </c>
      <c r="S8539" s="18" t="s">
        <v>30</v>
      </c>
      <c r="T8539" s="18" t="s">
        <v>20002</v>
      </c>
      <c r="U8539" s="18" t="s">
        <v>20053</v>
      </c>
      <c r="V8539" s="18">
        <v>339</v>
      </c>
      <c r="W8539" s="18" t="s">
        <v>20054</v>
      </c>
      <c r="X8539" s="18" t="s">
        <v>42</v>
      </c>
      <c r="Y8539" s="18" t="s">
        <v>17171</v>
      </c>
      <c r="Z8539" s="18" t="s">
        <v>166</v>
      </c>
      <c r="AA8539" s="21" t="str">
        <f>HYPERLINK("https://www.ncbi.nlm.nih.gov/nuccore/KC815310","NCBI Nucleotide")</f>
        <v>NCBI Nucleotide</v>
      </c>
    </row>
    <row r="8540" spans="1:27" x14ac:dyDescent="0.35">
      <c r="A8540">
        <v>1009052</v>
      </c>
      <c r="B8540">
        <v>7925</v>
      </c>
      <c r="C8540">
        <v>1</v>
      </c>
      <c r="D8540" s="17" t="s">
        <v>17166</v>
      </c>
      <c r="E8540" s="17"/>
      <c r="F8540" s="17" t="s">
        <v>17246</v>
      </c>
      <c r="G8540" s="17"/>
      <c r="H8540" s="17" t="s">
        <v>17984</v>
      </c>
      <c r="I8540" s="17"/>
      <c r="J8540" s="17" t="s">
        <v>19986</v>
      </c>
      <c r="K8540" s="17"/>
      <c r="L8540" s="17" t="s">
        <v>19987</v>
      </c>
      <c r="M8540" s="17"/>
      <c r="N8540" s="17" t="s">
        <v>19988</v>
      </c>
      <c r="O8540" s="17"/>
      <c r="P8540" s="17" t="s">
        <v>19989</v>
      </c>
      <c r="Q8540" s="17"/>
      <c r="R8540" s="25" t="str">
        <f>HYPERLINK("https://ictv.global/taxonomy/taxondetails?taxnode_id=202303126","Hepacivirus platyrrhini")</f>
        <v>Hepacivirus platyrrhini</v>
      </c>
      <c r="S8540" s="18" t="s">
        <v>30</v>
      </c>
      <c r="T8540" s="18" t="s">
        <v>20055</v>
      </c>
      <c r="U8540" s="18" t="s">
        <v>20056</v>
      </c>
      <c r="V8540" s="18" t="s">
        <v>20057</v>
      </c>
      <c r="W8540" s="18" t="s">
        <v>20058</v>
      </c>
      <c r="X8540" s="18" t="s">
        <v>42</v>
      </c>
      <c r="Y8540" s="18" t="s">
        <v>17171</v>
      </c>
      <c r="Z8540" s="18" t="s">
        <v>166</v>
      </c>
      <c r="AA8540" s="21" t="str">
        <f>HYPERLINK("https://www.ncbi.nlm.nih.gov/nuccore/U22304","NCBI Nucleotide")</f>
        <v>NCBI Nucleotide</v>
      </c>
    </row>
    <row r="8541" spans="1:27" x14ac:dyDescent="0.35">
      <c r="A8541">
        <v>1009053</v>
      </c>
      <c r="B8541">
        <v>7926</v>
      </c>
      <c r="C8541">
        <v>1</v>
      </c>
      <c r="D8541" s="17" t="s">
        <v>17166</v>
      </c>
      <c r="E8541" s="17"/>
      <c r="F8541" s="17" t="s">
        <v>17246</v>
      </c>
      <c r="G8541" s="17"/>
      <c r="H8541" s="17" t="s">
        <v>17984</v>
      </c>
      <c r="I8541" s="17"/>
      <c r="J8541" s="17" t="s">
        <v>19986</v>
      </c>
      <c r="K8541" s="17"/>
      <c r="L8541" s="17" t="s">
        <v>19987</v>
      </c>
      <c r="M8541" s="17"/>
      <c r="N8541" s="17" t="s">
        <v>19988</v>
      </c>
      <c r="O8541" s="17"/>
      <c r="P8541" s="17" t="s">
        <v>19989</v>
      </c>
      <c r="Q8541" s="17"/>
      <c r="R8541" s="25" t="str">
        <f>HYPERLINK("https://ictv.global/taxonomy/taxondetails?taxnode_id=202303131","Hepacivirus ratti")</f>
        <v>Hepacivirus ratti</v>
      </c>
      <c r="S8541" s="18" t="s">
        <v>30</v>
      </c>
      <c r="T8541" s="18" t="s">
        <v>20059</v>
      </c>
      <c r="U8541" s="18" t="s">
        <v>20060</v>
      </c>
      <c r="V8541" s="18" t="s">
        <v>20061</v>
      </c>
      <c r="W8541" s="18" t="s">
        <v>20062</v>
      </c>
      <c r="X8541" s="18" t="s">
        <v>35</v>
      </c>
      <c r="Y8541" s="18" t="s">
        <v>17171</v>
      </c>
      <c r="Z8541" s="18" t="s">
        <v>166</v>
      </c>
      <c r="AA8541" s="21" t="str">
        <f>HYPERLINK("https://www.ncbi.nlm.nih.gov/nuccore/KJ950938","NCBI Nucleotide")</f>
        <v>NCBI Nucleotide</v>
      </c>
    </row>
    <row r="8542" spans="1:27" x14ac:dyDescent="0.35">
      <c r="A8542">
        <v>1012782</v>
      </c>
      <c r="B8542">
        <v>7926</v>
      </c>
      <c r="C8542">
        <v>2</v>
      </c>
      <c r="D8542" s="17" t="s">
        <v>17166</v>
      </c>
      <c r="E8542" s="17"/>
      <c r="F8542" s="17" t="s">
        <v>17246</v>
      </c>
      <c r="G8542" s="17"/>
      <c r="H8542" s="17" t="s">
        <v>17984</v>
      </c>
      <c r="I8542" s="17"/>
      <c r="J8542" s="17" t="s">
        <v>19986</v>
      </c>
      <c r="K8542" s="17"/>
      <c r="L8542" s="17" t="s">
        <v>19987</v>
      </c>
      <c r="M8542" s="17"/>
      <c r="N8542" s="17" t="s">
        <v>19988</v>
      </c>
      <c r="O8542" s="17"/>
      <c r="P8542" s="17" t="s">
        <v>19989</v>
      </c>
      <c r="Q8542" s="17"/>
      <c r="R8542" s="25" t="str">
        <f>HYPERLINK("https://ictv.global/taxonomy/taxondetails?taxnode_id=202303131","Hepacivirus ratti")</f>
        <v>Hepacivirus ratti</v>
      </c>
      <c r="S8542" s="18" t="s">
        <v>8141</v>
      </c>
      <c r="T8542" s="18" t="s">
        <v>20059</v>
      </c>
      <c r="U8542" s="18" t="s">
        <v>20060</v>
      </c>
      <c r="V8542" s="18" t="s">
        <v>20063</v>
      </c>
      <c r="W8542" s="18" t="s">
        <v>49338</v>
      </c>
      <c r="X8542" s="18" t="s">
        <v>42</v>
      </c>
      <c r="Y8542" s="18" t="s">
        <v>17171</v>
      </c>
      <c r="Z8542" s="18" t="s">
        <v>166</v>
      </c>
      <c r="AA8542" s="21" t="str">
        <f>HYPERLINK("https://www.ncbi.nlm.nih.gov/nuccore/KX905133","NCBI Nucleotide")</f>
        <v>NCBI Nucleotide</v>
      </c>
    </row>
    <row r="8543" spans="1:27" x14ac:dyDescent="0.35">
      <c r="A8543">
        <v>1009054</v>
      </c>
      <c r="B8543">
        <v>7927</v>
      </c>
      <c r="C8543">
        <v>1</v>
      </c>
      <c r="D8543" s="17" t="s">
        <v>17166</v>
      </c>
      <c r="E8543" s="17"/>
      <c r="F8543" s="17" t="s">
        <v>17246</v>
      </c>
      <c r="G8543" s="17"/>
      <c r="H8543" s="17" t="s">
        <v>17984</v>
      </c>
      <c r="I8543" s="17"/>
      <c r="J8543" s="17" t="s">
        <v>19986</v>
      </c>
      <c r="K8543" s="17"/>
      <c r="L8543" s="17" t="s">
        <v>19987</v>
      </c>
      <c r="M8543" s="17"/>
      <c r="N8543" s="17" t="s">
        <v>19988</v>
      </c>
      <c r="O8543" s="17"/>
      <c r="P8543" s="17" t="s">
        <v>19989</v>
      </c>
      <c r="Q8543" s="17"/>
      <c r="R8543" s="25" t="str">
        <f>HYPERLINK("https://ictv.global/taxonomy/taxondetails?taxnode_id=202303133","Hepacivirus rhabdomysis")</f>
        <v>Hepacivirus rhabdomysis</v>
      </c>
      <c r="S8543" s="18" t="s">
        <v>30</v>
      </c>
      <c r="T8543" s="18" t="s">
        <v>20002</v>
      </c>
      <c r="U8543" s="18" t="s">
        <v>20064</v>
      </c>
      <c r="V8543" s="18" t="s">
        <v>20065</v>
      </c>
      <c r="W8543" s="18" t="s">
        <v>20066</v>
      </c>
      <c r="X8543" s="18" t="s">
        <v>35</v>
      </c>
      <c r="Y8543" s="18" t="s">
        <v>17171</v>
      </c>
      <c r="Z8543" s="18" t="s">
        <v>166</v>
      </c>
      <c r="AA8543" s="21" t="str">
        <f>HYPERLINK("https://www.ncbi.nlm.nih.gov/nuccore/KC411806","NCBI Nucleotide")</f>
        <v>NCBI Nucleotide</v>
      </c>
    </row>
    <row r="8544" spans="1:27" x14ac:dyDescent="0.35">
      <c r="A8544">
        <v>1009055</v>
      </c>
      <c r="B8544">
        <v>7928</v>
      </c>
      <c r="C8544">
        <v>1</v>
      </c>
      <c r="D8544" s="17" t="s">
        <v>17166</v>
      </c>
      <c r="E8544" s="17"/>
      <c r="F8544" s="17" t="s">
        <v>17246</v>
      </c>
      <c r="G8544" s="17"/>
      <c r="H8544" s="17" t="s">
        <v>17984</v>
      </c>
      <c r="I8544" s="17"/>
      <c r="J8544" s="17" t="s">
        <v>19986</v>
      </c>
      <c r="K8544" s="17"/>
      <c r="L8544" s="17" t="s">
        <v>19987</v>
      </c>
      <c r="M8544" s="17"/>
      <c r="N8544" s="17" t="s">
        <v>19988</v>
      </c>
      <c r="O8544" s="17"/>
      <c r="P8544" s="17" t="s">
        <v>19989</v>
      </c>
      <c r="Q8544" s="17"/>
      <c r="R8544" s="25" t="str">
        <f>HYPERLINK("https://ictv.global/taxonomy/taxondetails?taxnode_id=202303136","Hepacivirus vittatae")</f>
        <v>Hepacivirus vittatae</v>
      </c>
      <c r="S8544" s="18" t="s">
        <v>30</v>
      </c>
      <c r="T8544" s="18" t="s">
        <v>20040</v>
      </c>
      <c r="U8544" s="18" t="s">
        <v>20067</v>
      </c>
      <c r="V8544" s="18" t="s">
        <v>20068</v>
      </c>
      <c r="W8544" s="18" t="s">
        <v>20069</v>
      </c>
      <c r="X8544" s="18" t="s">
        <v>35</v>
      </c>
      <c r="Y8544" s="18" t="s">
        <v>17171</v>
      </c>
      <c r="Z8544" s="18" t="s">
        <v>166</v>
      </c>
      <c r="AA8544" s="21" t="str">
        <f>HYPERLINK("https://www.ncbi.nlm.nih.gov/nuccore/KC796077","NCBI Nucleotide")</f>
        <v>NCBI Nucleotide</v>
      </c>
    </row>
    <row r="8545" spans="1:27" x14ac:dyDescent="0.35">
      <c r="A8545">
        <v>1009056</v>
      </c>
      <c r="B8545">
        <v>7929</v>
      </c>
      <c r="C8545">
        <v>1</v>
      </c>
      <c r="D8545" s="17" t="s">
        <v>17166</v>
      </c>
      <c r="E8545" s="17"/>
      <c r="F8545" s="17" t="s">
        <v>17246</v>
      </c>
      <c r="G8545" s="17"/>
      <c r="H8545" s="17" t="s">
        <v>17984</v>
      </c>
      <c r="I8545" s="17"/>
      <c r="J8545" s="17" t="s">
        <v>19986</v>
      </c>
      <c r="K8545" s="17"/>
      <c r="L8545" s="17" t="s">
        <v>19987</v>
      </c>
      <c r="M8545" s="17"/>
      <c r="N8545" s="17" t="s">
        <v>19988</v>
      </c>
      <c r="O8545" s="17"/>
      <c r="P8545" s="17" t="s">
        <v>20070</v>
      </c>
      <c r="Q8545" s="17"/>
      <c r="R8545" s="25" t="str">
        <f>HYPERLINK("https://ictv.global/taxonomy/taxondetails?taxnode_id=202303071","Orthoflavivirus apoiense")</f>
        <v>Orthoflavivirus apoiense</v>
      </c>
      <c r="S8545" s="18" t="s">
        <v>30</v>
      </c>
      <c r="T8545" s="18" t="s">
        <v>20071</v>
      </c>
      <c r="U8545" s="18" t="s">
        <v>20072</v>
      </c>
      <c r="V8545" s="18" t="s">
        <v>20073</v>
      </c>
      <c r="W8545" s="18" t="s">
        <v>20074</v>
      </c>
      <c r="X8545" s="18" t="s">
        <v>42</v>
      </c>
      <c r="Y8545" s="18" t="s">
        <v>17171</v>
      </c>
      <c r="Z8545" s="18" t="s">
        <v>166</v>
      </c>
      <c r="AA8545" s="21" t="str">
        <f>HYPERLINK("https://www.ncbi.nlm.nih.gov/nuccore/AF160193","NCBI Nucleotide")</f>
        <v>NCBI Nucleotide</v>
      </c>
    </row>
    <row r="8546" spans="1:27" x14ac:dyDescent="0.35">
      <c r="A8546">
        <v>1009057</v>
      </c>
      <c r="B8546">
        <v>7930</v>
      </c>
      <c r="C8546">
        <v>1</v>
      </c>
      <c r="D8546" s="17" t="s">
        <v>17166</v>
      </c>
      <c r="E8546" s="17"/>
      <c r="F8546" s="17" t="s">
        <v>17246</v>
      </c>
      <c r="G8546" s="17"/>
      <c r="H8546" s="17" t="s">
        <v>17984</v>
      </c>
      <c r="I8546" s="17"/>
      <c r="J8546" s="17" t="s">
        <v>19986</v>
      </c>
      <c r="K8546" s="17"/>
      <c r="L8546" s="17" t="s">
        <v>19987</v>
      </c>
      <c r="M8546" s="17"/>
      <c r="N8546" s="17" t="s">
        <v>19988</v>
      </c>
      <c r="O8546" s="17"/>
      <c r="P8546" s="17" t="s">
        <v>20070</v>
      </c>
      <c r="Q8546" s="17"/>
      <c r="R8546" s="25" t="str">
        <f>HYPERLINK("https://ictv.global/taxonomy/taxondetails?taxnode_id=202303072","Orthoflavivirus aroaense")</f>
        <v>Orthoflavivirus aroaense</v>
      </c>
      <c r="S8546" s="18" t="s">
        <v>30</v>
      </c>
      <c r="T8546" s="18" t="s">
        <v>20075</v>
      </c>
      <c r="U8546" s="18" t="s">
        <v>20076</v>
      </c>
      <c r="V8546" s="18" t="s">
        <v>20077</v>
      </c>
      <c r="W8546" s="18" t="s">
        <v>20078</v>
      </c>
      <c r="X8546" s="18" t="s">
        <v>42</v>
      </c>
      <c r="Y8546" s="18" t="s">
        <v>17171</v>
      </c>
      <c r="Z8546" s="18" t="s">
        <v>12289</v>
      </c>
      <c r="AA8546" s="21" t="str">
        <f>HYPERLINK("https://www.ncbi.nlm.nih.gov/nuccore/AY632536","NCBI Nucleotide")</f>
        <v>NCBI Nucleotide</v>
      </c>
    </row>
    <row r="8547" spans="1:27" x14ac:dyDescent="0.35">
      <c r="A8547">
        <v>1012783</v>
      </c>
      <c r="B8547">
        <v>7930</v>
      </c>
      <c r="C8547">
        <v>2</v>
      </c>
      <c r="D8547" s="17" t="s">
        <v>17166</v>
      </c>
      <c r="E8547" s="17"/>
      <c r="F8547" s="17" t="s">
        <v>17246</v>
      </c>
      <c r="G8547" s="17"/>
      <c r="H8547" s="17" t="s">
        <v>17984</v>
      </c>
      <c r="I8547" s="17"/>
      <c r="J8547" s="17" t="s">
        <v>19986</v>
      </c>
      <c r="K8547" s="17"/>
      <c r="L8547" s="17" t="s">
        <v>19987</v>
      </c>
      <c r="M8547" s="17"/>
      <c r="N8547" s="17" t="s">
        <v>19988</v>
      </c>
      <c r="O8547" s="17"/>
      <c r="P8547" s="17" t="s">
        <v>20070</v>
      </c>
      <c r="Q8547" s="17"/>
      <c r="R8547" s="25" t="str">
        <f>HYPERLINK("https://ictv.global/taxonomy/taxondetails?taxnode_id=202303072","Orthoflavivirus aroaense")</f>
        <v>Orthoflavivirus aroaense</v>
      </c>
      <c r="S8547" s="18" t="s">
        <v>8141</v>
      </c>
      <c r="T8547" s="18" t="s">
        <v>20075</v>
      </c>
      <c r="U8547" s="18" t="s">
        <v>20076</v>
      </c>
      <c r="V8547" s="18" t="s">
        <v>20079</v>
      </c>
      <c r="W8547" s="18" t="s">
        <v>49339</v>
      </c>
      <c r="X8547" s="18" t="s">
        <v>154</v>
      </c>
      <c r="Y8547" s="18" t="s">
        <v>17171</v>
      </c>
      <c r="Z8547" s="18" t="s">
        <v>12289</v>
      </c>
      <c r="AA8547" s="21" t="str">
        <f>HYPERLINK("https://www.ncbi.nlm.nih.gov/nuccore/AF013362","NCBI Nucleotide")</f>
        <v>NCBI Nucleotide</v>
      </c>
    </row>
    <row r="8548" spans="1:27" x14ac:dyDescent="0.35">
      <c r="A8548">
        <v>1012784</v>
      </c>
      <c r="B8548">
        <v>7930</v>
      </c>
      <c r="C8548">
        <v>3</v>
      </c>
      <c r="D8548" s="17" t="s">
        <v>17166</v>
      </c>
      <c r="E8548" s="17"/>
      <c r="F8548" s="17" t="s">
        <v>17246</v>
      </c>
      <c r="G8548" s="17"/>
      <c r="H8548" s="17" t="s">
        <v>17984</v>
      </c>
      <c r="I8548" s="17"/>
      <c r="J8548" s="17" t="s">
        <v>19986</v>
      </c>
      <c r="K8548" s="17"/>
      <c r="L8548" s="17" t="s">
        <v>19987</v>
      </c>
      <c r="M8548" s="17"/>
      <c r="N8548" s="17" t="s">
        <v>19988</v>
      </c>
      <c r="O8548" s="17"/>
      <c r="P8548" s="17" t="s">
        <v>20070</v>
      </c>
      <c r="Q8548" s="17"/>
      <c r="R8548" s="25" t="str">
        <f>HYPERLINK("https://ictv.global/taxonomy/taxondetails?taxnode_id=202303072","Orthoflavivirus aroaense")</f>
        <v>Orthoflavivirus aroaense</v>
      </c>
      <c r="S8548" s="18" t="s">
        <v>8141</v>
      </c>
      <c r="T8548" s="18" t="s">
        <v>20080</v>
      </c>
      <c r="U8548" s="18" t="s">
        <v>20081</v>
      </c>
      <c r="V8548" s="18" t="s">
        <v>20077</v>
      </c>
      <c r="W8548" s="18" t="s">
        <v>49340</v>
      </c>
      <c r="X8548" s="18" t="s">
        <v>154</v>
      </c>
      <c r="Y8548" s="18" t="s">
        <v>17171</v>
      </c>
      <c r="Z8548" s="18" t="s">
        <v>12289</v>
      </c>
      <c r="AA8548" s="21" t="str">
        <f>HYPERLINK("https://www.ncbi.nlm.nih.gov/nuccore/AF013366","NCBI Nucleotide")</f>
        <v>NCBI Nucleotide</v>
      </c>
    </row>
    <row r="8549" spans="1:27" x14ac:dyDescent="0.35">
      <c r="A8549">
        <v>1012785</v>
      </c>
      <c r="B8549">
        <v>7930</v>
      </c>
      <c r="C8549">
        <v>4</v>
      </c>
      <c r="D8549" s="17" t="s">
        <v>17166</v>
      </c>
      <c r="E8549" s="17"/>
      <c r="F8549" s="17" t="s">
        <v>17246</v>
      </c>
      <c r="G8549" s="17"/>
      <c r="H8549" s="17" t="s">
        <v>17984</v>
      </c>
      <c r="I8549" s="17"/>
      <c r="J8549" s="17" t="s">
        <v>19986</v>
      </c>
      <c r="K8549" s="17"/>
      <c r="L8549" s="17" t="s">
        <v>19987</v>
      </c>
      <c r="M8549" s="17"/>
      <c r="N8549" s="17" t="s">
        <v>19988</v>
      </c>
      <c r="O8549" s="17"/>
      <c r="P8549" s="17" t="s">
        <v>20070</v>
      </c>
      <c r="Q8549" s="17"/>
      <c r="R8549" s="25" t="str">
        <f>HYPERLINK("https://ictv.global/taxonomy/taxondetails?taxnode_id=202303072","Orthoflavivirus aroaense")</f>
        <v>Orthoflavivirus aroaense</v>
      </c>
      <c r="S8549" s="18" t="s">
        <v>8141</v>
      </c>
      <c r="T8549" s="18" t="s">
        <v>20082</v>
      </c>
      <c r="U8549" s="18" t="s">
        <v>20083</v>
      </c>
      <c r="V8549" s="18" t="s">
        <v>20084</v>
      </c>
      <c r="W8549" s="18" t="s">
        <v>49341</v>
      </c>
      <c r="X8549" s="18" t="s">
        <v>154</v>
      </c>
      <c r="Y8549" s="18" t="s">
        <v>17171</v>
      </c>
      <c r="Z8549" s="18" t="s">
        <v>12289</v>
      </c>
      <c r="AA8549" s="21" t="str">
        <f>HYPERLINK("https://www.ncbi.nlm.nih.gov/nuccore/AF013375","NCBI Nucleotide")</f>
        <v>NCBI Nucleotide</v>
      </c>
    </row>
    <row r="8550" spans="1:27" x14ac:dyDescent="0.35">
      <c r="A8550">
        <v>1012786</v>
      </c>
      <c r="B8550">
        <v>7930</v>
      </c>
      <c r="C8550">
        <v>5</v>
      </c>
      <c r="D8550" s="17" t="s">
        <v>17166</v>
      </c>
      <c r="E8550" s="17"/>
      <c r="F8550" s="17" t="s">
        <v>17246</v>
      </c>
      <c r="G8550" s="17"/>
      <c r="H8550" s="17" t="s">
        <v>17984</v>
      </c>
      <c r="I8550" s="17"/>
      <c r="J8550" s="17" t="s">
        <v>19986</v>
      </c>
      <c r="K8550" s="17"/>
      <c r="L8550" s="17" t="s">
        <v>19987</v>
      </c>
      <c r="M8550" s="17"/>
      <c r="N8550" s="17" t="s">
        <v>19988</v>
      </c>
      <c r="O8550" s="17"/>
      <c r="P8550" s="17" t="s">
        <v>20070</v>
      </c>
      <c r="Q8550" s="17"/>
      <c r="R8550" s="25" t="str">
        <f>HYPERLINK("https://ictv.global/taxonomy/taxondetails?taxnode_id=202303072","Orthoflavivirus aroaense")</f>
        <v>Orthoflavivirus aroaense</v>
      </c>
      <c r="S8550" s="18" t="s">
        <v>8141</v>
      </c>
      <c r="T8550" s="18" t="s">
        <v>20085</v>
      </c>
      <c r="U8550" s="18" t="s">
        <v>20086</v>
      </c>
      <c r="V8550" s="18">
        <v>25008</v>
      </c>
      <c r="W8550" s="18" t="s">
        <v>49342</v>
      </c>
      <c r="X8550" s="18" t="s">
        <v>154</v>
      </c>
      <c r="Y8550" s="18" t="s">
        <v>17171</v>
      </c>
      <c r="Z8550" s="18" t="s">
        <v>12289</v>
      </c>
      <c r="AA8550" s="21" t="str">
        <f>HYPERLINK("https://www.ncbi.nlm.nih.gov/nuccore/AF013390","NCBI Nucleotide")</f>
        <v>NCBI Nucleotide</v>
      </c>
    </row>
    <row r="8551" spans="1:27" x14ac:dyDescent="0.35">
      <c r="A8551">
        <v>1009058</v>
      </c>
      <c r="B8551">
        <v>7931</v>
      </c>
      <c r="C8551">
        <v>1</v>
      </c>
      <c r="D8551" s="17" t="s">
        <v>17166</v>
      </c>
      <c r="E8551" s="17"/>
      <c r="F8551" s="17" t="s">
        <v>17246</v>
      </c>
      <c r="G8551" s="17"/>
      <c r="H8551" s="17" t="s">
        <v>17984</v>
      </c>
      <c r="I8551" s="17"/>
      <c r="J8551" s="17" t="s">
        <v>19986</v>
      </c>
      <c r="K8551" s="17"/>
      <c r="L8551" s="17" t="s">
        <v>19987</v>
      </c>
      <c r="M8551" s="17"/>
      <c r="N8551" s="17" t="s">
        <v>19988</v>
      </c>
      <c r="O8551" s="17"/>
      <c r="P8551" s="17" t="s">
        <v>20070</v>
      </c>
      <c r="Q8551" s="17"/>
      <c r="R8551" s="25" t="str">
        <f>HYPERLINK("https://ictv.global/taxonomy/taxondetails?taxnode_id=202303073","Orthoflavivirus bagazaense")</f>
        <v>Orthoflavivirus bagazaense</v>
      </c>
      <c r="S8551" s="18" t="s">
        <v>30</v>
      </c>
      <c r="T8551" s="18" t="s">
        <v>20087</v>
      </c>
      <c r="U8551" s="18" t="s">
        <v>20088</v>
      </c>
      <c r="V8551" s="18" t="s">
        <v>20089</v>
      </c>
      <c r="W8551" s="18" t="s">
        <v>20090</v>
      </c>
      <c r="X8551" s="18" t="s">
        <v>42</v>
      </c>
      <c r="Y8551" s="18" t="s">
        <v>17171</v>
      </c>
      <c r="Z8551" s="18" t="s">
        <v>12289</v>
      </c>
      <c r="AA8551" s="21" t="str">
        <f>HYPERLINK("https://www.ncbi.nlm.nih.gov/nuccore/AY632545","NCBI Nucleotide")</f>
        <v>NCBI Nucleotide</v>
      </c>
    </row>
    <row r="8552" spans="1:27" x14ac:dyDescent="0.35">
      <c r="A8552">
        <v>1009059</v>
      </c>
      <c r="B8552">
        <v>7932</v>
      </c>
      <c r="C8552">
        <v>1</v>
      </c>
      <c r="D8552" s="17" t="s">
        <v>17166</v>
      </c>
      <c r="E8552" s="17"/>
      <c r="F8552" s="17" t="s">
        <v>17246</v>
      </c>
      <c r="G8552" s="17"/>
      <c r="H8552" s="17" t="s">
        <v>17984</v>
      </c>
      <c r="I8552" s="17"/>
      <c r="J8552" s="17" t="s">
        <v>19986</v>
      </c>
      <c r="K8552" s="17"/>
      <c r="L8552" s="17" t="s">
        <v>19987</v>
      </c>
      <c r="M8552" s="17"/>
      <c r="N8552" s="17" t="s">
        <v>19988</v>
      </c>
      <c r="O8552" s="17"/>
      <c r="P8552" s="17" t="s">
        <v>20070</v>
      </c>
      <c r="Q8552" s="17"/>
      <c r="R8552" s="25" t="str">
        <f>HYPERLINK("https://ictv.global/taxonomy/taxondetails?taxnode_id=202303074","Orthoflavivirus banziense")</f>
        <v>Orthoflavivirus banziense</v>
      </c>
      <c r="S8552" s="18" t="s">
        <v>30</v>
      </c>
      <c r="T8552" s="18" t="s">
        <v>20091</v>
      </c>
      <c r="U8552" s="18" t="s">
        <v>20092</v>
      </c>
      <c r="V8552" s="18" t="s">
        <v>20093</v>
      </c>
      <c r="W8552" s="18" t="s">
        <v>20094</v>
      </c>
      <c r="X8552" s="18" t="s">
        <v>42</v>
      </c>
      <c r="Y8552" s="18" t="s">
        <v>17171</v>
      </c>
      <c r="Z8552" s="18" t="s">
        <v>12289</v>
      </c>
      <c r="AA8552" s="21" t="str">
        <f>HYPERLINK("https://www.ncbi.nlm.nih.gov/nuccore/DQ859056","NCBI Nucleotide")</f>
        <v>NCBI Nucleotide</v>
      </c>
    </row>
    <row r="8553" spans="1:27" x14ac:dyDescent="0.35">
      <c r="A8553">
        <v>1009060</v>
      </c>
      <c r="B8553">
        <v>7933</v>
      </c>
      <c r="C8553">
        <v>1</v>
      </c>
      <c r="D8553" s="17" t="s">
        <v>17166</v>
      </c>
      <c r="E8553" s="17"/>
      <c r="F8553" s="17" t="s">
        <v>17246</v>
      </c>
      <c r="G8553" s="17"/>
      <c r="H8553" s="17" t="s">
        <v>17984</v>
      </c>
      <c r="I8553" s="17"/>
      <c r="J8553" s="17" t="s">
        <v>19986</v>
      </c>
      <c r="K8553" s="17"/>
      <c r="L8553" s="17" t="s">
        <v>19987</v>
      </c>
      <c r="M8553" s="17"/>
      <c r="N8553" s="17" t="s">
        <v>19988</v>
      </c>
      <c r="O8553" s="17"/>
      <c r="P8553" s="17" t="s">
        <v>20070</v>
      </c>
      <c r="Q8553" s="17"/>
      <c r="R8553" s="25" t="str">
        <f>HYPERLINK("https://ictv.global/taxonomy/taxondetails?taxnode_id=202303075","Orthoflavivirus boubouiense")</f>
        <v>Orthoflavivirus boubouiense</v>
      </c>
      <c r="S8553" s="18" t="s">
        <v>30</v>
      </c>
      <c r="T8553" s="18" t="s">
        <v>20095</v>
      </c>
      <c r="U8553" s="18" t="s">
        <v>20096</v>
      </c>
      <c r="V8553" s="18" t="s">
        <v>20097</v>
      </c>
      <c r="W8553" s="18" t="s">
        <v>20098</v>
      </c>
      <c r="X8553" s="18" t="s">
        <v>42</v>
      </c>
      <c r="Y8553" s="18" t="s">
        <v>17171</v>
      </c>
      <c r="Z8553" s="18" t="s">
        <v>12289</v>
      </c>
      <c r="AA8553" s="21" t="str">
        <f>HYPERLINK("https://www.ncbi.nlm.nih.gov/nuccore/DQ859057","NCBI Nucleotide")</f>
        <v>NCBI Nucleotide</v>
      </c>
    </row>
    <row r="8554" spans="1:27" x14ac:dyDescent="0.35">
      <c r="A8554">
        <v>1009061</v>
      </c>
      <c r="B8554">
        <v>7934</v>
      </c>
      <c r="C8554">
        <v>1</v>
      </c>
      <c r="D8554" s="17" t="s">
        <v>17166</v>
      </c>
      <c r="E8554" s="17"/>
      <c r="F8554" s="17" t="s">
        <v>17246</v>
      </c>
      <c r="G8554" s="17"/>
      <c r="H8554" s="17" t="s">
        <v>17984</v>
      </c>
      <c r="I8554" s="17"/>
      <c r="J8554" s="17" t="s">
        <v>19986</v>
      </c>
      <c r="K8554" s="17"/>
      <c r="L8554" s="17" t="s">
        <v>19987</v>
      </c>
      <c r="M8554" s="17"/>
      <c r="N8554" s="17" t="s">
        <v>19988</v>
      </c>
      <c r="O8554" s="17"/>
      <c r="P8554" s="17" t="s">
        <v>20070</v>
      </c>
      <c r="Q8554" s="17"/>
      <c r="R8554" s="25" t="str">
        <f>HYPERLINK("https://ictv.global/taxonomy/taxondetails?taxnode_id=202303105","Orthoflavivirus bravoense")</f>
        <v>Orthoflavivirus bravoense</v>
      </c>
      <c r="S8554" s="18" t="s">
        <v>30</v>
      </c>
      <c r="T8554" s="18" t="s">
        <v>20099</v>
      </c>
      <c r="U8554" s="18" t="s">
        <v>17295</v>
      </c>
      <c r="V8554" s="18" t="s">
        <v>20100</v>
      </c>
      <c r="W8554" s="18" t="s">
        <v>20101</v>
      </c>
      <c r="X8554" s="18" t="s">
        <v>42</v>
      </c>
      <c r="Y8554" s="18" t="s">
        <v>17171</v>
      </c>
      <c r="Z8554" s="18" t="s">
        <v>166</v>
      </c>
      <c r="AA8554" s="21" t="str">
        <f>HYPERLINK("https://www.ncbi.nlm.nih.gov/nuccore/AF144692","NCBI Nucleotide")</f>
        <v>NCBI Nucleotide</v>
      </c>
    </row>
    <row r="8555" spans="1:27" x14ac:dyDescent="0.35">
      <c r="A8555">
        <v>1009062</v>
      </c>
      <c r="B8555">
        <v>7935</v>
      </c>
      <c r="C8555">
        <v>1</v>
      </c>
      <c r="D8555" s="17" t="s">
        <v>17166</v>
      </c>
      <c r="E8555" s="17"/>
      <c r="F8555" s="17" t="s">
        <v>17246</v>
      </c>
      <c r="G8555" s="17"/>
      <c r="H8555" s="17" t="s">
        <v>17984</v>
      </c>
      <c r="I8555" s="17"/>
      <c r="J8555" s="17" t="s">
        <v>19986</v>
      </c>
      <c r="K8555" s="17"/>
      <c r="L8555" s="17" t="s">
        <v>19987</v>
      </c>
      <c r="M8555" s="17"/>
      <c r="N8555" s="17" t="s">
        <v>19988</v>
      </c>
      <c r="O8555" s="17"/>
      <c r="P8555" s="17" t="s">
        <v>20070</v>
      </c>
      <c r="Q8555" s="17"/>
      <c r="R8555" s="25" t="str">
        <f>HYPERLINK("https://ictv.global/taxonomy/taxondetails?taxnode_id=202303076","Orthoflavivirus bukalasaense")</f>
        <v>Orthoflavivirus bukalasaense</v>
      </c>
      <c r="S8555" s="18" t="s">
        <v>30</v>
      </c>
      <c r="T8555" s="18" t="s">
        <v>20102</v>
      </c>
      <c r="U8555" s="18" t="s">
        <v>20103</v>
      </c>
      <c r="V8555" s="18" t="s">
        <v>20104</v>
      </c>
      <c r="W8555" s="18" t="s">
        <v>20105</v>
      </c>
      <c r="X8555" s="18" t="s">
        <v>154</v>
      </c>
      <c r="Y8555" s="18" t="s">
        <v>17171</v>
      </c>
      <c r="Z8555" s="18" t="s">
        <v>166</v>
      </c>
      <c r="AA8555" s="21" t="str">
        <f>HYPERLINK("https://www.ncbi.nlm.nih.gov/nuccore/AF013365","NCBI Nucleotide")</f>
        <v>NCBI Nucleotide</v>
      </c>
    </row>
    <row r="8556" spans="1:27" x14ac:dyDescent="0.35">
      <c r="A8556">
        <v>1009063</v>
      </c>
      <c r="B8556">
        <v>7936</v>
      </c>
      <c r="C8556">
        <v>1</v>
      </c>
      <c r="D8556" s="17" t="s">
        <v>17166</v>
      </c>
      <c r="E8556" s="17"/>
      <c r="F8556" s="17" t="s">
        <v>17246</v>
      </c>
      <c r="G8556" s="17"/>
      <c r="H8556" s="17" t="s">
        <v>17984</v>
      </c>
      <c r="I8556" s="17"/>
      <c r="J8556" s="17" t="s">
        <v>19986</v>
      </c>
      <c r="K8556" s="17"/>
      <c r="L8556" s="17" t="s">
        <v>19987</v>
      </c>
      <c r="M8556" s="17"/>
      <c r="N8556" s="17" t="s">
        <v>19988</v>
      </c>
      <c r="O8556" s="17"/>
      <c r="P8556" s="17" t="s">
        <v>20070</v>
      </c>
      <c r="Q8556" s="17"/>
      <c r="R8556" s="25" t="str">
        <f>HYPERLINK("https://ictv.global/taxonomy/taxondetails?taxnode_id=202303077","Orthoflavivirus cacipacoreense")</f>
        <v>Orthoflavivirus cacipacoreense</v>
      </c>
      <c r="S8556" s="18" t="s">
        <v>30</v>
      </c>
      <c r="T8556" s="18" t="s">
        <v>20106</v>
      </c>
      <c r="U8556" s="18" t="s">
        <v>20107</v>
      </c>
      <c r="V8556" s="18" t="s">
        <v>20108</v>
      </c>
      <c r="W8556" s="18" t="s">
        <v>20109</v>
      </c>
      <c r="X8556" s="18" t="s">
        <v>42</v>
      </c>
      <c r="Y8556" s="18" t="s">
        <v>17171</v>
      </c>
      <c r="Z8556" s="18" t="s">
        <v>12289</v>
      </c>
      <c r="AA8556" s="21" t="str">
        <f>HYPERLINK("https://www.ncbi.nlm.nih.gov/nuccore/KF917536","NCBI Nucleotide")</f>
        <v>NCBI Nucleotide</v>
      </c>
    </row>
    <row r="8557" spans="1:27" x14ac:dyDescent="0.35">
      <c r="A8557">
        <v>1009064</v>
      </c>
      <c r="B8557">
        <v>7937</v>
      </c>
      <c r="C8557">
        <v>1</v>
      </c>
      <c r="D8557" s="17" t="s">
        <v>17166</v>
      </c>
      <c r="E8557" s="17"/>
      <c r="F8557" s="17" t="s">
        <v>17246</v>
      </c>
      <c r="G8557" s="17"/>
      <c r="H8557" s="17" t="s">
        <v>17984</v>
      </c>
      <c r="I8557" s="17"/>
      <c r="J8557" s="17" t="s">
        <v>19986</v>
      </c>
      <c r="K8557" s="17"/>
      <c r="L8557" s="17" t="s">
        <v>19987</v>
      </c>
      <c r="M8557" s="17"/>
      <c r="N8557" s="17" t="s">
        <v>19988</v>
      </c>
      <c r="O8557" s="17"/>
      <c r="P8557" s="17" t="s">
        <v>20070</v>
      </c>
      <c r="Q8557" s="17"/>
      <c r="R8557" s="25" t="str">
        <f>HYPERLINK("https://ictv.global/taxonomy/taxondetails?taxnode_id=202303078","Orthoflavivirus careyense")</f>
        <v>Orthoflavivirus careyense</v>
      </c>
      <c r="S8557" s="18" t="s">
        <v>30</v>
      </c>
      <c r="T8557" s="18" t="s">
        <v>20110</v>
      </c>
      <c r="U8557" s="18" t="s">
        <v>20111</v>
      </c>
      <c r="V8557" s="18" t="s">
        <v>20112</v>
      </c>
      <c r="W8557" s="18" t="s">
        <v>20113</v>
      </c>
      <c r="X8557" s="18" t="s">
        <v>154</v>
      </c>
      <c r="Y8557" s="18" t="s">
        <v>17171</v>
      </c>
      <c r="Z8557" s="18" t="s">
        <v>166</v>
      </c>
      <c r="AA8557" s="21" t="str">
        <f>HYPERLINK("https://www.ncbi.nlm.nih.gov/nuccore/AF013368","NCBI Nucleotide")</f>
        <v>NCBI Nucleotide</v>
      </c>
    </row>
    <row r="8558" spans="1:27" x14ac:dyDescent="0.35">
      <c r="A8558">
        <v>1009065</v>
      </c>
      <c r="B8558">
        <v>7938</v>
      </c>
      <c r="C8558">
        <v>1</v>
      </c>
      <c r="D8558" s="17" t="s">
        <v>17166</v>
      </c>
      <c r="E8558" s="17"/>
      <c r="F8558" s="17" t="s">
        <v>17246</v>
      </c>
      <c r="G8558" s="17"/>
      <c r="H8558" s="17" t="s">
        <v>17984</v>
      </c>
      <c r="I8558" s="17"/>
      <c r="J8558" s="17" t="s">
        <v>19986</v>
      </c>
      <c r="K8558" s="17"/>
      <c r="L8558" s="17" t="s">
        <v>19987</v>
      </c>
      <c r="M8558" s="17"/>
      <c r="N8558" s="17" t="s">
        <v>19988</v>
      </c>
      <c r="O8558" s="17"/>
      <c r="P8558" s="17" t="s">
        <v>20070</v>
      </c>
      <c r="Q8558" s="17"/>
      <c r="R8558" s="25" t="str">
        <f>HYPERLINK("https://ictv.global/taxonomy/taxondetails?taxnode_id=202303079","Orthoflavivirus cowboneense")</f>
        <v>Orthoflavivirus cowboneense</v>
      </c>
      <c r="S8558" s="18" t="s">
        <v>30</v>
      </c>
      <c r="T8558" s="18" t="s">
        <v>20114</v>
      </c>
      <c r="U8558" s="18" t="s">
        <v>20115</v>
      </c>
      <c r="V8558" s="18" t="s">
        <v>20116</v>
      </c>
      <c r="W8558" s="18" t="s">
        <v>20117</v>
      </c>
      <c r="X8558" s="18" t="s">
        <v>154</v>
      </c>
      <c r="Y8558" s="18" t="s">
        <v>17171</v>
      </c>
      <c r="Z8558" s="18" t="s">
        <v>166</v>
      </c>
      <c r="AA8558" s="21" t="str">
        <f>HYPERLINK("https://www.ncbi.nlm.nih.gov/nuccore/AF013370","NCBI Nucleotide")</f>
        <v>NCBI Nucleotide</v>
      </c>
    </row>
    <row r="8559" spans="1:27" x14ac:dyDescent="0.35">
      <c r="A8559">
        <v>1009066</v>
      </c>
      <c r="B8559">
        <v>7939</v>
      </c>
      <c r="C8559">
        <v>1</v>
      </c>
      <c r="D8559" s="17" t="s">
        <v>17166</v>
      </c>
      <c r="E8559" s="17"/>
      <c r="F8559" s="17" t="s">
        <v>17246</v>
      </c>
      <c r="G8559" s="17"/>
      <c r="H8559" s="17" t="s">
        <v>17984</v>
      </c>
      <c r="I8559" s="17"/>
      <c r="J8559" s="17" t="s">
        <v>19986</v>
      </c>
      <c r="K8559" s="17"/>
      <c r="L8559" s="17" t="s">
        <v>19987</v>
      </c>
      <c r="M8559" s="17"/>
      <c r="N8559" s="17" t="s">
        <v>19988</v>
      </c>
      <c r="O8559" s="17"/>
      <c r="P8559" s="17" t="s">
        <v>20070</v>
      </c>
      <c r="Q8559" s="17"/>
      <c r="R8559" s="25" t="str">
        <f>HYPERLINK("https://ictv.global/taxonomy/taxondetails?taxnode_id=202303080","Orthoflavivirus dakarense")</f>
        <v>Orthoflavivirus dakarense</v>
      </c>
      <c r="S8559" s="18" t="s">
        <v>30</v>
      </c>
      <c r="T8559" s="18" t="s">
        <v>20118</v>
      </c>
      <c r="U8559" s="18" t="s">
        <v>17285</v>
      </c>
      <c r="V8559" s="18">
        <v>209</v>
      </c>
      <c r="W8559" s="18" t="s">
        <v>20119</v>
      </c>
      <c r="X8559" s="18" t="s">
        <v>154</v>
      </c>
      <c r="Y8559" s="18" t="s">
        <v>17171</v>
      </c>
      <c r="Z8559" s="18" t="s">
        <v>166</v>
      </c>
      <c r="AA8559" s="21" t="str">
        <f>HYPERLINK("https://www.ncbi.nlm.nih.gov/nuccore/AF013371","NCBI Nucleotide")</f>
        <v>NCBI Nucleotide</v>
      </c>
    </row>
    <row r="8560" spans="1:27" x14ac:dyDescent="0.35">
      <c r="A8560">
        <v>1009067</v>
      </c>
      <c r="B8560">
        <v>7940</v>
      </c>
      <c r="C8560">
        <v>1</v>
      </c>
      <c r="D8560" s="17" t="s">
        <v>17166</v>
      </c>
      <c r="E8560" s="17"/>
      <c r="F8560" s="17" t="s">
        <v>17246</v>
      </c>
      <c r="G8560" s="17"/>
      <c r="H8560" s="17" t="s">
        <v>17984</v>
      </c>
      <c r="I8560" s="17"/>
      <c r="J8560" s="17" t="s">
        <v>19986</v>
      </c>
      <c r="K8560" s="17"/>
      <c r="L8560" s="17" t="s">
        <v>19987</v>
      </c>
      <c r="M8560" s="17"/>
      <c r="N8560" s="17" t="s">
        <v>19988</v>
      </c>
      <c r="O8560" s="17"/>
      <c r="P8560" s="17" t="s">
        <v>20070</v>
      </c>
      <c r="Q8560" s="17"/>
      <c r="R8560" s="25" t="str">
        <f>HYPERLINK("https://ictv.global/taxonomy/taxondetails?taxnode_id=202303081","Orthoflavivirus denguei")</f>
        <v>Orthoflavivirus denguei</v>
      </c>
      <c r="S8560" s="18" t="s">
        <v>30</v>
      </c>
      <c r="T8560" s="18" t="s">
        <v>20120</v>
      </c>
      <c r="U8560" s="18" t="s">
        <v>20121</v>
      </c>
      <c r="V8560" s="18">
        <v>16681</v>
      </c>
      <c r="W8560" s="18" t="s">
        <v>20122</v>
      </c>
      <c r="X8560" s="18" t="s">
        <v>42</v>
      </c>
      <c r="Y8560" s="18" t="s">
        <v>17171</v>
      </c>
      <c r="Z8560" s="18" t="s">
        <v>12289</v>
      </c>
      <c r="AA8560" s="21" t="str">
        <f>HYPERLINK("https://www.ncbi.nlm.nih.gov/nuccore/U87411","NCBI Nucleotide")</f>
        <v>NCBI Nucleotide</v>
      </c>
    </row>
    <row r="8561" spans="1:27" x14ac:dyDescent="0.35">
      <c r="A8561">
        <v>1012787</v>
      </c>
      <c r="B8561">
        <v>7940</v>
      </c>
      <c r="C8561">
        <v>2</v>
      </c>
      <c r="D8561" s="17" t="s">
        <v>17166</v>
      </c>
      <c r="E8561" s="17"/>
      <c r="F8561" s="17" t="s">
        <v>17246</v>
      </c>
      <c r="G8561" s="17"/>
      <c r="H8561" s="17" t="s">
        <v>17984</v>
      </c>
      <c r="I8561" s="17"/>
      <c r="J8561" s="17" t="s">
        <v>19986</v>
      </c>
      <c r="K8561" s="17"/>
      <c r="L8561" s="17" t="s">
        <v>19987</v>
      </c>
      <c r="M8561" s="17"/>
      <c r="N8561" s="17" t="s">
        <v>19988</v>
      </c>
      <c r="O8561" s="17"/>
      <c r="P8561" s="17" t="s">
        <v>20070</v>
      </c>
      <c r="Q8561" s="17"/>
      <c r="R8561" s="25" t="str">
        <f>HYPERLINK("https://ictv.global/taxonomy/taxondetails?taxnode_id=202303081","Orthoflavivirus denguei")</f>
        <v>Orthoflavivirus denguei</v>
      </c>
      <c r="S8561" s="18" t="s">
        <v>8141</v>
      </c>
      <c r="T8561" s="18" t="s">
        <v>20123</v>
      </c>
      <c r="U8561" s="18" t="s">
        <v>20124</v>
      </c>
      <c r="V8561" s="18" t="s">
        <v>20125</v>
      </c>
      <c r="W8561" s="18" t="s">
        <v>49343</v>
      </c>
      <c r="X8561" s="18" t="s">
        <v>42</v>
      </c>
      <c r="Y8561" s="18" t="s">
        <v>17171</v>
      </c>
      <c r="Z8561" s="18" t="s">
        <v>12289</v>
      </c>
      <c r="AA8561" s="21" t="str">
        <f>HYPERLINK("https://www.ncbi.nlm.nih.gov/nuccore/U88536","NCBI Nucleotide")</f>
        <v>NCBI Nucleotide</v>
      </c>
    </row>
    <row r="8562" spans="1:27" x14ac:dyDescent="0.35">
      <c r="A8562">
        <v>1012788</v>
      </c>
      <c r="B8562">
        <v>7940</v>
      </c>
      <c r="C8562">
        <v>3</v>
      </c>
      <c r="D8562" s="17" t="s">
        <v>17166</v>
      </c>
      <c r="E8562" s="17"/>
      <c r="F8562" s="17" t="s">
        <v>17246</v>
      </c>
      <c r="G8562" s="17"/>
      <c r="H8562" s="17" t="s">
        <v>17984</v>
      </c>
      <c r="I8562" s="17"/>
      <c r="J8562" s="17" t="s">
        <v>19986</v>
      </c>
      <c r="K8562" s="17"/>
      <c r="L8562" s="17" t="s">
        <v>19987</v>
      </c>
      <c r="M8562" s="17"/>
      <c r="N8562" s="17" t="s">
        <v>19988</v>
      </c>
      <c r="O8562" s="17"/>
      <c r="P8562" s="17" t="s">
        <v>20070</v>
      </c>
      <c r="Q8562" s="17"/>
      <c r="R8562" s="25" t="str">
        <f>HYPERLINK("https://ictv.global/taxonomy/taxondetails?taxnode_id=202303081","Orthoflavivirus denguei")</f>
        <v>Orthoflavivirus denguei</v>
      </c>
      <c r="S8562" s="18" t="s">
        <v>8141</v>
      </c>
      <c r="T8562" s="18" t="s">
        <v>20126</v>
      </c>
      <c r="U8562" s="18" t="s">
        <v>20127</v>
      </c>
      <c r="V8562" s="18" t="s">
        <v>20128</v>
      </c>
      <c r="W8562" s="18" t="s">
        <v>49344</v>
      </c>
      <c r="X8562" s="18" t="s">
        <v>42</v>
      </c>
      <c r="Y8562" s="18" t="s">
        <v>17171</v>
      </c>
      <c r="Z8562" s="18" t="s">
        <v>12289</v>
      </c>
      <c r="AA8562" s="21" t="str">
        <f>HYPERLINK("https://www.ncbi.nlm.nih.gov/nuccore/M93130","NCBI Nucleotide")</f>
        <v>NCBI Nucleotide</v>
      </c>
    </row>
    <row r="8563" spans="1:27" x14ac:dyDescent="0.35">
      <c r="A8563">
        <v>1012789</v>
      </c>
      <c r="B8563">
        <v>7940</v>
      </c>
      <c r="C8563">
        <v>4</v>
      </c>
      <c r="D8563" s="17" t="s">
        <v>17166</v>
      </c>
      <c r="E8563" s="17"/>
      <c r="F8563" s="17" t="s">
        <v>17246</v>
      </c>
      <c r="G8563" s="17"/>
      <c r="H8563" s="17" t="s">
        <v>17984</v>
      </c>
      <c r="I8563" s="17"/>
      <c r="J8563" s="17" t="s">
        <v>19986</v>
      </c>
      <c r="K8563" s="17"/>
      <c r="L8563" s="17" t="s">
        <v>19987</v>
      </c>
      <c r="M8563" s="17"/>
      <c r="N8563" s="17" t="s">
        <v>19988</v>
      </c>
      <c r="O8563" s="17"/>
      <c r="P8563" s="17" t="s">
        <v>20070</v>
      </c>
      <c r="Q8563" s="17"/>
      <c r="R8563" s="25" t="str">
        <f>HYPERLINK("https://ictv.global/taxonomy/taxondetails?taxnode_id=202303081","Orthoflavivirus denguei")</f>
        <v>Orthoflavivirus denguei</v>
      </c>
      <c r="S8563" s="18" t="s">
        <v>8141</v>
      </c>
      <c r="T8563" s="18" t="s">
        <v>20129</v>
      </c>
      <c r="U8563" s="18" t="s">
        <v>20130</v>
      </c>
      <c r="V8563" s="18">
        <v>814669</v>
      </c>
      <c r="W8563" s="18" t="s">
        <v>49345</v>
      </c>
      <c r="X8563" s="18" t="s">
        <v>42</v>
      </c>
      <c r="Y8563" s="18" t="s">
        <v>17171</v>
      </c>
      <c r="Z8563" s="18" t="s">
        <v>12289</v>
      </c>
      <c r="AA8563" s="21" t="str">
        <f>HYPERLINK("https://www.ncbi.nlm.nih.gov/nuccore/AF326573","NCBI Nucleotide")</f>
        <v>NCBI Nucleotide</v>
      </c>
    </row>
    <row r="8564" spans="1:27" x14ac:dyDescent="0.35">
      <c r="A8564">
        <v>1009068</v>
      </c>
      <c r="B8564">
        <v>7941</v>
      </c>
      <c r="C8564">
        <v>1</v>
      </c>
      <c r="D8564" s="17" t="s">
        <v>17166</v>
      </c>
      <c r="E8564" s="17"/>
      <c r="F8564" s="17" t="s">
        <v>17246</v>
      </c>
      <c r="G8564" s="17"/>
      <c r="H8564" s="17" t="s">
        <v>17984</v>
      </c>
      <c r="I8564" s="17"/>
      <c r="J8564" s="17" t="s">
        <v>19986</v>
      </c>
      <c r="K8564" s="17"/>
      <c r="L8564" s="17" t="s">
        <v>19987</v>
      </c>
      <c r="M8564" s="17"/>
      <c r="N8564" s="17" t="s">
        <v>19988</v>
      </c>
      <c r="O8564" s="17"/>
      <c r="P8564" s="17" t="s">
        <v>20070</v>
      </c>
      <c r="Q8564" s="17"/>
      <c r="R8564" s="25" t="str">
        <f>HYPERLINK("https://ictv.global/taxonomy/taxondetails?taxnode_id=202303082","Orthoflavivirus edgehillense")</f>
        <v>Orthoflavivirus edgehillense</v>
      </c>
      <c r="S8564" s="18" t="s">
        <v>30</v>
      </c>
      <c r="T8564" s="18" t="s">
        <v>20131</v>
      </c>
      <c r="U8564" s="18" t="s">
        <v>20132</v>
      </c>
      <c r="V8564" s="18" t="s">
        <v>20133</v>
      </c>
      <c r="W8564" s="18" t="s">
        <v>20134</v>
      </c>
      <c r="X8564" s="18" t="s">
        <v>42</v>
      </c>
      <c r="Y8564" s="18" t="s">
        <v>17171</v>
      </c>
      <c r="Z8564" s="18" t="s">
        <v>12289</v>
      </c>
      <c r="AA8564" s="21" t="str">
        <f>HYPERLINK("https://www.ncbi.nlm.nih.gov/nuccore/DQ859060","NCBI Nucleotide")</f>
        <v>NCBI Nucleotide</v>
      </c>
    </row>
    <row r="8565" spans="1:27" x14ac:dyDescent="0.35">
      <c r="A8565">
        <v>1009069</v>
      </c>
      <c r="B8565">
        <v>7942</v>
      </c>
      <c r="C8565">
        <v>1</v>
      </c>
      <c r="D8565" s="17" t="s">
        <v>17166</v>
      </c>
      <c r="E8565" s="17"/>
      <c r="F8565" s="17" t="s">
        <v>17246</v>
      </c>
      <c r="G8565" s="17"/>
      <c r="H8565" s="17" t="s">
        <v>17984</v>
      </c>
      <c r="I8565" s="17"/>
      <c r="J8565" s="17" t="s">
        <v>19986</v>
      </c>
      <c r="K8565" s="17"/>
      <c r="L8565" s="17" t="s">
        <v>19987</v>
      </c>
      <c r="M8565" s="17"/>
      <c r="N8565" s="17" t="s">
        <v>19988</v>
      </c>
      <c r="O8565" s="17"/>
      <c r="P8565" s="17" t="s">
        <v>20070</v>
      </c>
      <c r="Q8565" s="17"/>
      <c r="R8565" s="25" t="str">
        <f>HYPERLINK("https://ictv.global/taxonomy/taxondetails?taxnode_id=202303114","Orthoflavivirus encephalitidis")</f>
        <v>Orthoflavivirus encephalitidis</v>
      </c>
      <c r="S8565" s="18" t="s">
        <v>30</v>
      </c>
      <c r="T8565" s="18" t="s">
        <v>20135</v>
      </c>
      <c r="U8565" s="18" t="s">
        <v>20136</v>
      </c>
      <c r="V8565" s="18" t="s">
        <v>20137</v>
      </c>
      <c r="W8565" s="18" t="s">
        <v>20138</v>
      </c>
      <c r="X8565" s="18" t="s">
        <v>42</v>
      </c>
      <c r="Y8565" s="18" t="s">
        <v>17171</v>
      </c>
      <c r="Z8565" s="18" t="s">
        <v>12289</v>
      </c>
      <c r="AA8565" s="21" t="str">
        <f>HYPERLINK("https://www.ncbi.nlm.nih.gov/nuccore/U27495","NCBI Nucleotide")</f>
        <v>NCBI Nucleotide</v>
      </c>
    </row>
    <row r="8566" spans="1:27" x14ac:dyDescent="0.35">
      <c r="A8566">
        <v>1012790</v>
      </c>
      <c r="B8566">
        <v>7942</v>
      </c>
      <c r="C8566">
        <v>2</v>
      </c>
      <c r="D8566" s="17" t="s">
        <v>17166</v>
      </c>
      <c r="E8566" s="17"/>
      <c r="F8566" s="17" t="s">
        <v>17246</v>
      </c>
      <c r="G8566" s="17"/>
      <c r="H8566" s="17" t="s">
        <v>17984</v>
      </c>
      <c r="I8566" s="17"/>
      <c r="J8566" s="17" t="s">
        <v>19986</v>
      </c>
      <c r="K8566" s="17"/>
      <c r="L8566" s="17" t="s">
        <v>19987</v>
      </c>
      <c r="M8566" s="17"/>
      <c r="N8566" s="17" t="s">
        <v>19988</v>
      </c>
      <c r="O8566" s="17"/>
      <c r="P8566" s="17" t="s">
        <v>20070</v>
      </c>
      <c r="Q8566" s="17"/>
      <c r="R8566" s="25" t="str">
        <f>HYPERLINK("https://ictv.global/taxonomy/taxondetails?taxnode_id=202303114","Orthoflavivirus encephalitidis")</f>
        <v>Orthoflavivirus encephalitidis</v>
      </c>
      <c r="S8566" s="18" t="s">
        <v>8141</v>
      </c>
      <c r="T8566" s="18" t="s">
        <v>20139</v>
      </c>
      <c r="U8566" s="18" t="s">
        <v>20140</v>
      </c>
      <c r="V8566" s="18" t="s">
        <v>20141</v>
      </c>
      <c r="W8566" s="18" t="s">
        <v>49346</v>
      </c>
      <c r="X8566" s="18" t="s">
        <v>154</v>
      </c>
      <c r="Y8566" s="18" t="s">
        <v>17171</v>
      </c>
      <c r="Z8566" s="18" t="s">
        <v>12289</v>
      </c>
      <c r="AA8566" s="21" t="str">
        <f>HYPERLINK("https://www.ncbi.nlm.nih.gov/nuccore/X07755","NCBI Nucleotide")</f>
        <v>NCBI Nucleotide</v>
      </c>
    </row>
    <row r="8567" spans="1:27" x14ac:dyDescent="0.35">
      <c r="A8567">
        <v>1012791</v>
      </c>
      <c r="B8567">
        <v>7942</v>
      </c>
      <c r="C8567">
        <v>3</v>
      </c>
      <c r="D8567" s="17" t="s">
        <v>17166</v>
      </c>
      <c r="E8567" s="17"/>
      <c r="F8567" s="17" t="s">
        <v>17246</v>
      </c>
      <c r="G8567" s="17"/>
      <c r="H8567" s="17" t="s">
        <v>17984</v>
      </c>
      <c r="I8567" s="17"/>
      <c r="J8567" s="17" t="s">
        <v>19986</v>
      </c>
      <c r="K8567" s="17"/>
      <c r="L8567" s="17" t="s">
        <v>19987</v>
      </c>
      <c r="M8567" s="17"/>
      <c r="N8567" s="17" t="s">
        <v>19988</v>
      </c>
      <c r="O8567" s="17"/>
      <c r="P8567" s="17" t="s">
        <v>20070</v>
      </c>
      <c r="Q8567" s="17"/>
      <c r="R8567" s="25" t="str">
        <f>HYPERLINK("https://ictv.global/taxonomy/taxondetails?taxnode_id=202303114","Orthoflavivirus encephalitidis")</f>
        <v>Orthoflavivirus encephalitidis</v>
      </c>
      <c r="S8567" s="18" t="s">
        <v>8141</v>
      </c>
      <c r="T8567" s="18" t="s">
        <v>20142</v>
      </c>
      <c r="U8567" s="18" t="s">
        <v>20143</v>
      </c>
      <c r="V8567" s="18" t="s">
        <v>20144</v>
      </c>
      <c r="W8567" s="18" t="s">
        <v>49347</v>
      </c>
      <c r="X8567" s="18" t="s">
        <v>42</v>
      </c>
      <c r="Y8567" s="18" t="s">
        <v>17171</v>
      </c>
      <c r="Z8567" s="18" t="s">
        <v>12289</v>
      </c>
      <c r="AA8567" s="21" t="str">
        <f>HYPERLINK("https://www.ncbi.nlm.nih.gov/nuccore/L40361","NCBI Nucleotide")</f>
        <v>NCBI Nucleotide</v>
      </c>
    </row>
    <row r="8568" spans="1:27" x14ac:dyDescent="0.35">
      <c r="A8568">
        <v>1009070</v>
      </c>
      <c r="B8568">
        <v>7943</v>
      </c>
      <c r="C8568">
        <v>1</v>
      </c>
      <c r="D8568" s="17" t="s">
        <v>17166</v>
      </c>
      <c r="E8568" s="17"/>
      <c r="F8568" s="17" t="s">
        <v>17246</v>
      </c>
      <c r="G8568" s="17"/>
      <c r="H8568" s="17" t="s">
        <v>17984</v>
      </c>
      <c r="I8568" s="17"/>
      <c r="J8568" s="17" t="s">
        <v>19986</v>
      </c>
      <c r="K8568" s="17"/>
      <c r="L8568" s="17" t="s">
        <v>19987</v>
      </c>
      <c r="M8568" s="17"/>
      <c r="N8568" s="17" t="s">
        <v>19988</v>
      </c>
      <c r="O8568" s="17"/>
      <c r="P8568" s="17" t="s">
        <v>20070</v>
      </c>
      <c r="Q8568" s="17"/>
      <c r="R8568" s="25" t="str">
        <f>HYPERLINK("https://ictv.global/taxonomy/taxondetails?taxnode_id=202303083","Orthoflavivirus entebbeense")</f>
        <v>Orthoflavivirus entebbeense</v>
      </c>
      <c r="S8568" s="18" t="s">
        <v>30</v>
      </c>
      <c r="T8568" s="18" t="s">
        <v>20145</v>
      </c>
      <c r="U8568" s="18" t="s">
        <v>20146</v>
      </c>
      <c r="V8568" s="18" t="s">
        <v>20147</v>
      </c>
      <c r="W8568" s="18" t="s">
        <v>20148</v>
      </c>
      <c r="X8568" s="18" t="s">
        <v>42</v>
      </c>
      <c r="Y8568" s="18" t="s">
        <v>17171</v>
      </c>
      <c r="Z8568" s="18" t="s">
        <v>166</v>
      </c>
      <c r="AA8568" s="21" t="str">
        <f>HYPERLINK("https://www.ncbi.nlm.nih.gov/nuccore/DQ837641","NCBI Nucleotide")</f>
        <v>NCBI Nucleotide</v>
      </c>
    </row>
    <row r="8569" spans="1:27" x14ac:dyDescent="0.35">
      <c r="A8569">
        <v>1012792</v>
      </c>
      <c r="B8569">
        <v>7943</v>
      </c>
      <c r="C8569">
        <v>2</v>
      </c>
      <c r="D8569" s="17" t="s">
        <v>17166</v>
      </c>
      <c r="E8569" s="17"/>
      <c r="F8569" s="17" t="s">
        <v>17246</v>
      </c>
      <c r="G8569" s="17"/>
      <c r="H8569" s="17" t="s">
        <v>17984</v>
      </c>
      <c r="I8569" s="17"/>
      <c r="J8569" s="17" t="s">
        <v>19986</v>
      </c>
      <c r="K8569" s="17"/>
      <c r="L8569" s="17" t="s">
        <v>19987</v>
      </c>
      <c r="M8569" s="17"/>
      <c r="N8569" s="17" t="s">
        <v>19988</v>
      </c>
      <c r="O8569" s="17"/>
      <c r="P8569" s="17" t="s">
        <v>20070</v>
      </c>
      <c r="Q8569" s="17"/>
      <c r="R8569" s="25" t="str">
        <f>HYPERLINK("https://ictv.global/taxonomy/taxondetails?taxnode_id=202303083","Orthoflavivirus entebbeense")</f>
        <v>Orthoflavivirus entebbeense</v>
      </c>
      <c r="S8569" s="18" t="s">
        <v>8141</v>
      </c>
      <c r="T8569" s="18" t="s">
        <v>20149</v>
      </c>
      <c r="U8569" s="18" t="s">
        <v>20150</v>
      </c>
      <c r="V8569" s="18" t="s">
        <v>20151</v>
      </c>
      <c r="W8569" s="18" t="s">
        <v>49348</v>
      </c>
      <c r="X8569" s="18" t="s">
        <v>154</v>
      </c>
      <c r="Y8569" s="18" t="s">
        <v>17171</v>
      </c>
      <c r="Z8569" s="18" t="s">
        <v>166</v>
      </c>
      <c r="AA8569" s="21" t="str">
        <f>HYPERLINK("https://www.ncbi.nlm.nih.gov/nuccore/AF013405","NCBI Nucleotide")</f>
        <v>NCBI Nucleotide</v>
      </c>
    </row>
    <row r="8570" spans="1:27" x14ac:dyDescent="0.35">
      <c r="A8570">
        <v>1009071</v>
      </c>
      <c r="B8570">
        <v>7944</v>
      </c>
      <c r="C8570">
        <v>1</v>
      </c>
      <c r="D8570" s="17" t="s">
        <v>17166</v>
      </c>
      <c r="E8570" s="17"/>
      <c r="F8570" s="17" t="s">
        <v>17246</v>
      </c>
      <c r="G8570" s="17"/>
      <c r="H8570" s="17" t="s">
        <v>17984</v>
      </c>
      <c r="I8570" s="17"/>
      <c r="J8570" s="17" t="s">
        <v>19986</v>
      </c>
      <c r="K8570" s="17"/>
      <c r="L8570" s="17" t="s">
        <v>19987</v>
      </c>
      <c r="M8570" s="17"/>
      <c r="N8570" s="17" t="s">
        <v>19988</v>
      </c>
      <c r="O8570" s="17"/>
      <c r="P8570" s="17" t="s">
        <v>20070</v>
      </c>
      <c r="Q8570" s="17"/>
      <c r="R8570" s="25" t="str">
        <f>HYPERLINK("https://ictv.global/taxonomy/taxondetails?taxnode_id=202303121","Orthoflavivirus flavi")</f>
        <v>Orthoflavivirus flavi</v>
      </c>
      <c r="S8570" s="18" t="s">
        <v>30</v>
      </c>
      <c r="T8570" s="18" t="s">
        <v>20152</v>
      </c>
      <c r="U8570" s="18" t="s">
        <v>20153</v>
      </c>
      <c r="V8570" s="18" t="s">
        <v>20154</v>
      </c>
      <c r="W8570" s="18" t="s">
        <v>20155</v>
      </c>
      <c r="X8570" s="18" t="s">
        <v>42</v>
      </c>
      <c r="Y8570" s="18" t="s">
        <v>17171</v>
      </c>
      <c r="Z8570" s="18" t="s">
        <v>12289</v>
      </c>
      <c r="AA8570" s="21" t="str">
        <f>HYPERLINK("https://www.ncbi.nlm.nih.gov/nuccore/X03700","NCBI Nucleotide")</f>
        <v>NCBI Nucleotide</v>
      </c>
    </row>
    <row r="8571" spans="1:27" x14ac:dyDescent="0.35">
      <c r="A8571">
        <v>1009072</v>
      </c>
      <c r="B8571">
        <v>7945</v>
      </c>
      <c r="C8571">
        <v>1</v>
      </c>
      <c r="D8571" s="17" t="s">
        <v>17166</v>
      </c>
      <c r="E8571" s="17"/>
      <c r="F8571" s="17" t="s">
        <v>17246</v>
      </c>
      <c r="G8571" s="17"/>
      <c r="H8571" s="17" t="s">
        <v>17984</v>
      </c>
      <c r="I8571" s="17"/>
      <c r="J8571" s="17" t="s">
        <v>19986</v>
      </c>
      <c r="K8571" s="17"/>
      <c r="L8571" s="17" t="s">
        <v>19987</v>
      </c>
      <c r="M8571" s="17"/>
      <c r="N8571" s="17" t="s">
        <v>19988</v>
      </c>
      <c r="O8571" s="17"/>
      <c r="P8571" s="17" t="s">
        <v>20070</v>
      </c>
      <c r="Q8571" s="17"/>
      <c r="R8571" s="25" t="str">
        <f>HYPERLINK("https://ictv.global/taxonomy/taxondetails?taxnode_id=202303084","Orthoflavivirus gadgetsense")</f>
        <v>Orthoflavivirus gadgetsense</v>
      </c>
      <c r="S8571" s="18" t="s">
        <v>30</v>
      </c>
      <c r="T8571" s="18" t="s">
        <v>20156</v>
      </c>
      <c r="U8571" s="18" t="s">
        <v>20157</v>
      </c>
      <c r="V8571" s="18" t="s">
        <v>20158</v>
      </c>
      <c r="W8571" s="18" t="s">
        <v>20159</v>
      </c>
      <c r="X8571" s="18" t="s">
        <v>42</v>
      </c>
      <c r="Y8571" s="18" t="s">
        <v>17171</v>
      </c>
      <c r="Z8571" s="18" t="s">
        <v>12289</v>
      </c>
      <c r="AA8571" s="21" t="str">
        <f>HYPERLINK("https://www.ncbi.nlm.nih.gov/nuccore/DQ235145","NCBI Nucleotide")</f>
        <v>NCBI Nucleotide</v>
      </c>
    </row>
    <row r="8572" spans="1:27" x14ac:dyDescent="0.35">
      <c r="A8572">
        <v>1009073</v>
      </c>
      <c r="B8572">
        <v>7946</v>
      </c>
      <c r="C8572">
        <v>1</v>
      </c>
      <c r="D8572" s="17" t="s">
        <v>17166</v>
      </c>
      <c r="E8572" s="17"/>
      <c r="F8572" s="17" t="s">
        <v>17246</v>
      </c>
      <c r="G8572" s="17"/>
      <c r="H8572" s="17" t="s">
        <v>17984</v>
      </c>
      <c r="I8572" s="17"/>
      <c r="J8572" s="17" t="s">
        <v>19986</v>
      </c>
      <c r="K8572" s="17"/>
      <c r="L8572" s="17" t="s">
        <v>19987</v>
      </c>
      <c r="M8572" s="17"/>
      <c r="N8572" s="17" t="s">
        <v>19988</v>
      </c>
      <c r="O8572" s="17"/>
      <c r="P8572" s="17" t="s">
        <v>20070</v>
      </c>
      <c r="Q8572" s="17"/>
      <c r="R8572" s="25" t="str">
        <f>HYPERLINK("https://ictv.global/taxonomy/taxondetails?taxnode_id=202303085","Orthoflavivirus ilheusense")</f>
        <v>Orthoflavivirus ilheusense</v>
      </c>
      <c r="S8572" s="18" t="s">
        <v>30</v>
      </c>
      <c r="T8572" s="18" t="s">
        <v>20160</v>
      </c>
      <c r="U8572" s="18" t="s">
        <v>20161</v>
      </c>
      <c r="V8572" s="18" t="s">
        <v>20162</v>
      </c>
      <c r="W8572" s="18" t="s">
        <v>20163</v>
      </c>
      <c r="X8572" s="18" t="s">
        <v>42</v>
      </c>
      <c r="Y8572" s="18" t="s">
        <v>17171</v>
      </c>
      <c r="Z8572" s="18" t="s">
        <v>12289</v>
      </c>
      <c r="AA8572" s="21" t="str">
        <f>HYPERLINK("https://www.ncbi.nlm.nih.gov/nuccore/AY632539","NCBI Nucleotide")</f>
        <v>NCBI Nucleotide</v>
      </c>
    </row>
    <row r="8573" spans="1:27" x14ac:dyDescent="0.35">
      <c r="A8573">
        <v>1012793</v>
      </c>
      <c r="B8573">
        <v>7946</v>
      </c>
      <c r="C8573">
        <v>2</v>
      </c>
      <c r="D8573" s="17" t="s">
        <v>17166</v>
      </c>
      <c r="E8573" s="17"/>
      <c r="F8573" s="17" t="s">
        <v>17246</v>
      </c>
      <c r="G8573" s="17"/>
      <c r="H8573" s="17" t="s">
        <v>17984</v>
      </c>
      <c r="I8573" s="17"/>
      <c r="J8573" s="17" t="s">
        <v>19986</v>
      </c>
      <c r="K8573" s="17"/>
      <c r="L8573" s="17" t="s">
        <v>19987</v>
      </c>
      <c r="M8573" s="17"/>
      <c r="N8573" s="17" t="s">
        <v>19988</v>
      </c>
      <c r="O8573" s="17"/>
      <c r="P8573" s="17" t="s">
        <v>20070</v>
      </c>
      <c r="Q8573" s="17"/>
      <c r="R8573" s="25" t="str">
        <f>HYPERLINK("https://ictv.global/taxonomy/taxondetails?taxnode_id=202303085","Orthoflavivirus ilheusense")</f>
        <v>Orthoflavivirus ilheusense</v>
      </c>
      <c r="S8573" s="18" t="s">
        <v>8141</v>
      </c>
      <c r="T8573" s="18" t="s">
        <v>20164</v>
      </c>
      <c r="U8573" s="18" t="s">
        <v>20165</v>
      </c>
      <c r="V8573" s="18" t="s">
        <v>20166</v>
      </c>
      <c r="W8573" s="18" t="s">
        <v>49349</v>
      </c>
      <c r="X8573" s="18" t="s">
        <v>154</v>
      </c>
      <c r="Y8573" s="18" t="s">
        <v>17171</v>
      </c>
      <c r="Z8573" s="18" t="s">
        <v>12289</v>
      </c>
      <c r="AA8573" s="21" t="str">
        <f>HYPERLINK("https://www.ncbi.nlm.nih.gov/nuccore/AF013397","NCBI Nucleotide")</f>
        <v>NCBI Nucleotide</v>
      </c>
    </row>
    <row r="8574" spans="1:27" x14ac:dyDescent="0.35">
      <c r="A8574">
        <v>1009074</v>
      </c>
      <c r="B8574">
        <v>7947</v>
      </c>
      <c r="C8574">
        <v>1</v>
      </c>
      <c r="D8574" s="17" t="s">
        <v>17166</v>
      </c>
      <c r="E8574" s="17"/>
      <c r="F8574" s="17" t="s">
        <v>17246</v>
      </c>
      <c r="G8574" s="17"/>
      <c r="H8574" s="17" t="s">
        <v>17984</v>
      </c>
      <c r="I8574" s="17"/>
      <c r="J8574" s="17" t="s">
        <v>19986</v>
      </c>
      <c r="K8574" s="17"/>
      <c r="L8574" s="17" t="s">
        <v>19987</v>
      </c>
      <c r="M8574" s="17"/>
      <c r="N8574" s="17" t="s">
        <v>19988</v>
      </c>
      <c r="O8574" s="17"/>
      <c r="P8574" s="17" t="s">
        <v>20070</v>
      </c>
      <c r="Q8574" s="17"/>
      <c r="R8574" s="25" t="str">
        <f>HYPERLINK("https://ictv.global/taxonomy/taxondetails?taxnode_id=202303086","Orthoflavivirus israelense")</f>
        <v>Orthoflavivirus israelense</v>
      </c>
      <c r="S8574" s="18" t="s">
        <v>30</v>
      </c>
      <c r="T8574" s="18" t="s">
        <v>20167</v>
      </c>
      <c r="U8574" s="18" t="s">
        <v>20168</v>
      </c>
      <c r="V8574" s="18"/>
      <c r="W8574" s="18" t="s">
        <v>20169</v>
      </c>
      <c r="X8574" s="18" t="s">
        <v>154</v>
      </c>
      <c r="Y8574" s="18" t="s">
        <v>17171</v>
      </c>
      <c r="Z8574" s="18" t="s">
        <v>12289</v>
      </c>
      <c r="AA8574" s="21" t="str">
        <f>HYPERLINK("https://www.ncbi.nlm.nih.gov/nuccore/AF013377","NCBI Nucleotide")</f>
        <v>NCBI Nucleotide</v>
      </c>
    </row>
    <row r="8575" spans="1:27" x14ac:dyDescent="0.35">
      <c r="A8575">
        <v>1009075</v>
      </c>
      <c r="B8575">
        <v>7948</v>
      </c>
      <c r="C8575">
        <v>1</v>
      </c>
      <c r="D8575" s="17" t="s">
        <v>17166</v>
      </c>
      <c r="E8575" s="17"/>
      <c r="F8575" s="17" t="s">
        <v>17246</v>
      </c>
      <c r="G8575" s="17"/>
      <c r="H8575" s="17" t="s">
        <v>17984</v>
      </c>
      <c r="I8575" s="17"/>
      <c r="J8575" s="17" t="s">
        <v>19986</v>
      </c>
      <c r="K8575" s="17"/>
      <c r="L8575" s="17" t="s">
        <v>19987</v>
      </c>
      <c r="M8575" s="17"/>
      <c r="N8575" s="17" t="s">
        <v>19988</v>
      </c>
      <c r="O8575" s="17"/>
      <c r="P8575" s="17" t="s">
        <v>20070</v>
      </c>
      <c r="Q8575" s="17"/>
      <c r="R8575" s="25" t="str">
        <f>HYPERLINK("https://ictv.global/taxonomy/taxondetails?taxnode_id=202303087","Orthoflavivirus japonicum")</f>
        <v>Orthoflavivirus japonicum</v>
      </c>
      <c r="S8575" s="18" t="s">
        <v>30</v>
      </c>
      <c r="T8575" s="18" t="s">
        <v>20170</v>
      </c>
      <c r="U8575" s="18" t="s">
        <v>20171</v>
      </c>
      <c r="V8575" s="18" t="s">
        <v>20172</v>
      </c>
      <c r="W8575" s="18" t="s">
        <v>20173</v>
      </c>
      <c r="X8575" s="18" t="s">
        <v>42</v>
      </c>
      <c r="Y8575" s="18" t="s">
        <v>17171</v>
      </c>
      <c r="Z8575" s="18" t="s">
        <v>12289</v>
      </c>
      <c r="AA8575" s="21" t="str">
        <f>HYPERLINK("https://www.ncbi.nlm.nih.gov/nuccore/M18370","NCBI Nucleotide")</f>
        <v>NCBI Nucleotide</v>
      </c>
    </row>
    <row r="8576" spans="1:27" x14ac:dyDescent="0.35">
      <c r="A8576">
        <v>1009076</v>
      </c>
      <c r="B8576">
        <v>7949</v>
      </c>
      <c r="C8576">
        <v>1</v>
      </c>
      <c r="D8576" s="17" t="s">
        <v>17166</v>
      </c>
      <c r="E8576" s="17"/>
      <c r="F8576" s="17" t="s">
        <v>17246</v>
      </c>
      <c r="G8576" s="17"/>
      <c r="H8576" s="17" t="s">
        <v>17984</v>
      </c>
      <c r="I8576" s="17"/>
      <c r="J8576" s="17" t="s">
        <v>19986</v>
      </c>
      <c r="K8576" s="17"/>
      <c r="L8576" s="17" t="s">
        <v>19987</v>
      </c>
      <c r="M8576" s="17"/>
      <c r="N8576" s="17" t="s">
        <v>19988</v>
      </c>
      <c r="O8576" s="17"/>
      <c r="P8576" s="17" t="s">
        <v>20070</v>
      </c>
      <c r="Q8576" s="17"/>
      <c r="R8576" s="25" t="str">
        <f>HYPERLINK("https://ictv.global/taxonomy/taxondetails?taxnode_id=202303088","Orthoflavivirus jugraense")</f>
        <v>Orthoflavivirus jugraense</v>
      </c>
      <c r="S8576" s="18" t="s">
        <v>30</v>
      </c>
      <c r="T8576" s="18" t="s">
        <v>20174</v>
      </c>
      <c r="U8576" s="18" t="s">
        <v>20175</v>
      </c>
      <c r="V8576" s="18" t="s">
        <v>20176</v>
      </c>
      <c r="W8576" s="18" t="s">
        <v>20177</v>
      </c>
      <c r="X8576" s="18" t="s">
        <v>42</v>
      </c>
      <c r="Y8576" s="18" t="s">
        <v>17171</v>
      </c>
      <c r="Z8576" s="18" t="s">
        <v>12289</v>
      </c>
      <c r="AA8576" s="21" t="str">
        <f>HYPERLINK("https://www.ncbi.nlm.nih.gov/nuccore/DQ859066","NCBI Nucleotide")</f>
        <v>NCBI Nucleotide</v>
      </c>
    </row>
    <row r="8577" spans="1:27" x14ac:dyDescent="0.35">
      <c r="A8577">
        <v>1009077</v>
      </c>
      <c r="B8577">
        <v>7950</v>
      </c>
      <c r="C8577">
        <v>1</v>
      </c>
      <c r="D8577" s="17" t="s">
        <v>17166</v>
      </c>
      <c r="E8577" s="17"/>
      <c r="F8577" s="17" t="s">
        <v>17246</v>
      </c>
      <c r="G8577" s="17"/>
      <c r="H8577" s="17" t="s">
        <v>17984</v>
      </c>
      <c r="I8577" s="17"/>
      <c r="J8577" s="17" t="s">
        <v>19986</v>
      </c>
      <c r="K8577" s="17"/>
      <c r="L8577" s="17" t="s">
        <v>19987</v>
      </c>
      <c r="M8577" s="17"/>
      <c r="N8577" s="17" t="s">
        <v>19988</v>
      </c>
      <c r="O8577" s="17"/>
      <c r="P8577" s="17" t="s">
        <v>20070</v>
      </c>
      <c r="Q8577" s="17"/>
      <c r="R8577" s="25" t="str">
        <f>HYPERLINK("https://ictv.global/taxonomy/taxondetails?taxnode_id=202303089","Orthoflavivirus jutiapaense")</f>
        <v>Orthoflavivirus jutiapaense</v>
      </c>
      <c r="S8577" s="18" t="s">
        <v>30</v>
      </c>
      <c r="T8577" s="18" t="s">
        <v>20178</v>
      </c>
      <c r="U8577" s="18" t="s">
        <v>20179</v>
      </c>
      <c r="V8577" s="18" t="s">
        <v>20180</v>
      </c>
      <c r="W8577" s="18" t="s">
        <v>20181</v>
      </c>
      <c r="X8577" s="18" t="s">
        <v>42</v>
      </c>
      <c r="Y8577" s="18" t="s">
        <v>17171</v>
      </c>
      <c r="Z8577" s="18" t="s">
        <v>166</v>
      </c>
      <c r="AA8577" s="21" t="str">
        <f>HYPERLINK("https://www.ncbi.nlm.nih.gov/nuccore/KJ469371","NCBI Nucleotide")</f>
        <v>NCBI Nucleotide</v>
      </c>
    </row>
    <row r="8578" spans="1:27" x14ac:dyDescent="0.35">
      <c r="A8578">
        <v>1009078</v>
      </c>
      <c r="B8578">
        <v>7951</v>
      </c>
      <c r="C8578">
        <v>1</v>
      </c>
      <c r="D8578" s="17" t="s">
        <v>17166</v>
      </c>
      <c r="E8578" s="17"/>
      <c r="F8578" s="17" t="s">
        <v>17246</v>
      </c>
      <c r="G8578" s="17"/>
      <c r="H8578" s="17" t="s">
        <v>17984</v>
      </c>
      <c r="I8578" s="17"/>
      <c r="J8578" s="17" t="s">
        <v>19986</v>
      </c>
      <c r="K8578" s="17"/>
      <c r="L8578" s="17" t="s">
        <v>19987</v>
      </c>
      <c r="M8578" s="17"/>
      <c r="N8578" s="17" t="s">
        <v>19988</v>
      </c>
      <c r="O8578" s="17"/>
      <c r="P8578" s="17" t="s">
        <v>20070</v>
      </c>
      <c r="Q8578" s="17"/>
      <c r="R8578" s="25" t="str">
        <f>HYPERLINK("https://ictv.global/taxonomy/taxondetails?taxnode_id=202303090","Orthoflavivirus kadamense")</f>
        <v>Orthoflavivirus kadamense</v>
      </c>
      <c r="S8578" s="18" t="s">
        <v>30</v>
      </c>
      <c r="T8578" s="18" t="s">
        <v>20182</v>
      </c>
      <c r="U8578" s="18" t="s">
        <v>20183</v>
      </c>
      <c r="V8578" s="18" t="s">
        <v>19516</v>
      </c>
      <c r="W8578" s="18" t="s">
        <v>20184</v>
      </c>
      <c r="X8578" s="18" t="s">
        <v>42</v>
      </c>
      <c r="Y8578" s="18" t="s">
        <v>17171</v>
      </c>
      <c r="Z8578" s="18" t="s">
        <v>12289</v>
      </c>
      <c r="AA8578" s="21" t="str">
        <f>HYPERLINK("https://www.ncbi.nlm.nih.gov/nuccore/DQ235146","NCBI Nucleotide")</f>
        <v>NCBI Nucleotide</v>
      </c>
    </row>
    <row r="8579" spans="1:27" x14ac:dyDescent="0.35">
      <c r="A8579">
        <v>1009079</v>
      </c>
      <c r="B8579">
        <v>7952</v>
      </c>
      <c r="C8579">
        <v>1</v>
      </c>
      <c r="D8579" s="17" t="s">
        <v>17166</v>
      </c>
      <c r="E8579" s="17"/>
      <c r="F8579" s="17" t="s">
        <v>17246</v>
      </c>
      <c r="G8579" s="17"/>
      <c r="H8579" s="17" t="s">
        <v>17984</v>
      </c>
      <c r="I8579" s="17"/>
      <c r="J8579" s="17" t="s">
        <v>19986</v>
      </c>
      <c r="K8579" s="17"/>
      <c r="L8579" s="17" t="s">
        <v>19987</v>
      </c>
      <c r="M8579" s="17"/>
      <c r="N8579" s="17" t="s">
        <v>19988</v>
      </c>
      <c r="O8579" s="17"/>
      <c r="P8579" s="17" t="s">
        <v>20070</v>
      </c>
      <c r="Q8579" s="17"/>
      <c r="R8579" s="25" t="str">
        <f>HYPERLINK("https://ictv.global/taxonomy/taxondetails?taxnode_id=202303091","Orthoflavivirus kedougouense")</f>
        <v>Orthoflavivirus kedougouense</v>
      </c>
      <c r="S8579" s="18" t="s">
        <v>30</v>
      </c>
      <c r="T8579" s="18" t="s">
        <v>20185</v>
      </c>
      <c r="U8579" s="18" t="s">
        <v>20186</v>
      </c>
      <c r="V8579" s="18" t="s">
        <v>20187</v>
      </c>
      <c r="W8579" s="18" t="s">
        <v>20188</v>
      </c>
      <c r="X8579" s="18" t="s">
        <v>42</v>
      </c>
      <c r="Y8579" s="18" t="s">
        <v>17171</v>
      </c>
      <c r="Z8579" s="18" t="s">
        <v>12289</v>
      </c>
      <c r="AA8579" s="21" t="str">
        <f>HYPERLINK("https://www.ncbi.nlm.nih.gov/nuccore/AY632540","NCBI Nucleotide")</f>
        <v>NCBI Nucleotide</v>
      </c>
    </row>
    <row r="8580" spans="1:27" x14ac:dyDescent="0.35">
      <c r="A8580">
        <v>1009080</v>
      </c>
      <c r="B8580">
        <v>7953</v>
      </c>
      <c r="C8580">
        <v>1</v>
      </c>
      <c r="D8580" s="17" t="s">
        <v>17166</v>
      </c>
      <c r="E8580" s="17"/>
      <c r="F8580" s="17" t="s">
        <v>17246</v>
      </c>
      <c r="G8580" s="17"/>
      <c r="H8580" s="17" t="s">
        <v>17984</v>
      </c>
      <c r="I8580" s="17"/>
      <c r="J8580" s="17" t="s">
        <v>19986</v>
      </c>
      <c r="K8580" s="17"/>
      <c r="L8580" s="17" t="s">
        <v>19987</v>
      </c>
      <c r="M8580" s="17"/>
      <c r="N8580" s="17" t="s">
        <v>19988</v>
      </c>
      <c r="O8580" s="17"/>
      <c r="P8580" s="17" t="s">
        <v>20070</v>
      </c>
      <c r="Q8580" s="17"/>
      <c r="R8580" s="25" t="str">
        <f>HYPERLINK("https://ictv.global/taxonomy/taxondetails?taxnode_id=202303092","Orthoflavivirus kokoberaorum")</f>
        <v>Orthoflavivirus kokoberaorum</v>
      </c>
      <c r="S8580" s="18" t="s">
        <v>30</v>
      </c>
      <c r="T8580" s="18" t="s">
        <v>20189</v>
      </c>
      <c r="U8580" s="18" t="s">
        <v>20190</v>
      </c>
      <c r="V8580" s="18" t="s">
        <v>20191</v>
      </c>
      <c r="W8580" s="18" t="s">
        <v>20192</v>
      </c>
      <c r="X8580" s="18" t="s">
        <v>42</v>
      </c>
      <c r="Y8580" s="18" t="s">
        <v>17171</v>
      </c>
      <c r="Z8580" s="18" t="s">
        <v>12289</v>
      </c>
      <c r="AA8580" s="21" t="str">
        <f>HYPERLINK("https://www.ncbi.nlm.nih.gov/nuccore/AY632541","NCBI Nucleotide")</f>
        <v>NCBI Nucleotide</v>
      </c>
    </row>
    <row r="8581" spans="1:27" x14ac:dyDescent="0.35">
      <c r="A8581">
        <v>1012794</v>
      </c>
      <c r="B8581">
        <v>7953</v>
      </c>
      <c r="C8581">
        <v>2</v>
      </c>
      <c r="D8581" s="17" t="s">
        <v>17166</v>
      </c>
      <c r="E8581" s="17"/>
      <c r="F8581" s="17" t="s">
        <v>17246</v>
      </c>
      <c r="G8581" s="17"/>
      <c r="H8581" s="17" t="s">
        <v>17984</v>
      </c>
      <c r="I8581" s="17"/>
      <c r="J8581" s="17" t="s">
        <v>19986</v>
      </c>
      <c r="K8581" s="17"/>
      <c r="L8581" s="17" t="s">
        <v>19987</v>
      </c>
      <c r="M8581" s="17"/>
      <c r="N8581" s="17" t="s">
        <v>19988</v>
      </c>
      <c r="O8581" s="17"/>
      <c r="P8581" s="17" t="s">
        <v>20070</v>
      </c>
      <c r="Q8581" s="17"/>
      <c r="R8581" s="25" t="str">
        <f>HYPERLINK("https://ictv.global/taxonomy/taxondetails?taxnode_id=202303092","Orthoflavivirus kokoberaorum")</f>
        <v>Orthoflavivirus kokoberaorum</v>
      </c>
      <c r="S8581" s="18" t="s">
        <v>8141</v>
      </c>
      <c r="T8581" s="18" t="s">
        <v>20193</v>
      </c>
      <c r="U8581" s="18" t="s">
        <v>20194</v>
      </c>
      <c r="V8581" s="18" t="s">
        <v>20195</v>
      </c>
      <c r="W8581" s="18" t="s">
        <v>49350</v>
      </c>
      <c r="X8581" s="18" t="s">
        <v>154</v>
      </c>
      <c r="Y8581" s="18" t="s">
        <v>17171</v>
      </c>
      <c r="Z8581" s="18" t="s">
        <v>12289</v>
      </c>
      <c r="AA8581" s="21" t="str">
        <f>HYPERLINK("https://www.ncbi.nlm.nih.gov/nuccore/AF013407","NCBI Nucleotide")</f>
        <v>NCBI Nucleotide</v>
      </c>
    </row>
    <row r="8582" spans="1:27" x14ac:dyDescent="0.35">
      <c r="A8582">
        <v>1009081</v>
      </c>
      <c r="B8582">
        <v>7954</v>
      </c>
      <c r="C8582">
        <v>1</v>
      </c>
      <c r="D8582" s="17" t="s">
        <v>17166</v>
      </c>
      <c r="E8582" s="17"/>
      <c r="F8582" s="17" t="s">
        <v>17246</v>
      </c>
      <c r="G8582" s="17"/>
      <c r="H8582" s="17" t="s">
        <v>17984</v>
      </c>
      <c r="I8582" s="17"/>
      <c r="J8582" s="17" t="s">
        <v>19986</v>
      </c>
      <c r="K8582" s="17"/>
      <c r="L8582" s="17" t="s">
        <v>19987</v>
      </c>
      <c r="M8582" s="17"/>
      <c r="N8582" s="17" t="s">
        <v>19988</v>
      </c>
      <c r="O8582" s="17"/>
      <c r="P8582" s="17" t="s">
        <v>20070</v>
      </c>
      <c r="Q8582" s="17"/>
      <c r="R8582" s="25" t="str">
        <f>HYPERLINK("https://ictv.global/taxonomy/taxondetails?taxnode_id=202303093","Orthoflavivirus koutangoense")</f>
        <v>Orthoflavivirus koutangoense</v>
      </c>
      <c r="S8582" s="18" t="s">
        <v>30</v>
      </c>
      <c r="T8582" s="18" t="s">
        <v>20196</v>
      </c>
      <c r="U8582" s="18" t="s">
        <v>20197</v>
      </c>
      <c r="V8582" s="18" t="s">
        <v>20198</v>
      </c>
      <c r="W8582" s="18" t="s">
        <v>20199</v>
      </c>
      <c r="X8582" s="18" t="s">
        <v>154</v>
      </c>
      <c r="Y8582" s="18" t="s">
        <v>17171</v>
      </c>
      <c r="Z8582" s="18" t="s">
        <v>12289</v>
      </c>
      <c r="AA8582" s="21" t="str">
        <f>HYPERLINK("https://www.ncbi.nlm.nih.gov/nuccore/AF013384","NCBI Nucleotide")</f>
        <v>NCBI Nucleotide</v>
      </c>
    </row>
    <row r="8583" spans="1:27" x14ac:dyDescent="0.35">
      <c r="A8583">
        <v>1009082</v>
      </c>
      <c r="B8583">
        <v>7955</v>
      </c>
      <c r="C8583">
        <v>1</v>
      </c>
      <c r="D8583" s="17" t="s">
        <v>17166</v>
      </c>
      <c r="E8583" s="17"/>
      <c r="F8583" s="17" t="s">
        <v>17246</v>
      </c>
      <c r="G8583" s="17"/>
      <c r="H8583" s="17" t="s">
        <v>17984</v>
      </c>
      <c r="I8583" s="17"/>
      <c r="J8583" s="17" t="s">
        <v>19986</v>
      </c>
      <c r="K8583" s="17"/>
      <c r="L8583" s="17" t="s">
        <v>19987</v>
      </c>
      <c r="M8583" s="17"/>
      <c r="N8583" s="17" t="s">
        <v>19988</v>
      </c>
      <c r="O8583" s="17"/>
      <c r="P8583" s="17" t="s">
        <v>20070</v>
      </c>
      <c r="Q8583" s="17"/>
      <c r="R8583" s="25" t="str">
        <f>HYPERLINK("https://ictv.global/taxonomy/taxondetails?taxnode_id=202303094","Orthoflavivirus kyasanurense")</f>
        <v>Orthoflavivirus kyasanurense</v>
      </c>
      <c r="S8583" s="18" t="s">
        <v>30</v>
      </c>
      <c r="T8583" s="18" t="s">
        <v>20200</v>
      </c>
      <c r="U8583" s="18" t="s">
        <v>20201</v>
      </c>
      <c r="V8583" s="18"/>
      <c r="W8583" s="18" t="s">
        <v>20202</v>
      </c>
      <c r="X8583" s="18" t="s">
        <v>42</v>
      </c>
      <c r="Y8583" s="18" t="s">
        <v>17171</v>
      </c>
      <c r="Z8583" s="18" t="s">
        <v>12289</v>
      </c>
      <c r="AA8583" s="21" t="str">
        <f>HYPERLINK("https://www.ncbi.nlm.nih.gov/nuccore/AY323490","NCBI Nucleotide")</f>
        <v>NCBI Nucleotide</v>
      </c>
    </row>
    <row r="8584" spans="1:27" x14ac:dyDescent="0.35">
      <c r="A8584">
        <v>1012795</v>
      </c>
      <c r="B8584">
        <v>7955</v>
      </c>
      <c r="C8584">
        <v>2</v>
      </c>
      <c r="D8584" s="17" t="s">
        <v>17166</v>
      </c>
      <c r="E8584" s="17"/>
      <c r="F8584" s="17" t="s">
        <v>17246</v>
      </c>
      <c r="G8584" s="17"/>
      <c r="H8584" s="17" t="s">
        <v>17984</v>
      </c>
      <c r="I8584" s="17"/>
      <c r="J8584" s="17" t="s">
        <v>19986</v>
      </c>
      <c r="K8584" s="17"/>
      <c r="L8584" s="17" t="s">
        <v>19987</v>
      </c>
      <c r="M8584" s="17"/>
      <c r="N8584" s="17" t="s">
        <v>19988</v>
      </c>
      <c r="O8584" s="17"/>
      <c r="P8584" s="17" t="s">
        <v>20070</v>
      </c>
      <c r="Q8584" s="17"/>
      <c r="R8584" s="25" t="str">
        <f>HYPERLINK("https://ictv.global/taxonomy/taxondetails?taxnode_id=202303094","Orthoflavivirus kyasanurense")</f>
        <v>Orthoflavivirus kyasanurense</v>
      </c>
      <c r="S8584" s="18" t="s">
        <v>8141</v>
      </c>
      <c r="T8584" s="18" t="s">
        <v>20203</v>
      </c>
      <c r="U8584" s="18" t="s">
        <v>20204</v>
      </c>
      <c r="V8584" s="18">
        <v>1176</v>
      </c>
      <c r="W8584" s="18" t="s">
        <v>49351</v>
      </c>
      <c r="X8584" s="18" t="s">
        <v>42</v>
      </c>
      <c r="Y8584" s="18" t="s">
        <v>17171</v>
      </c>
      <c r="Z8584" s="18" t="s">
        <v>12289</v>
      </c>
      <c r="AA8584" s="21" t="str">
        <f>HYPERLINK("https://www.ncbi.nlm.nih.gov/nuccore/AF331718","NCBI Nucleotide")</f>
        <v>NCBI Nucleotide</v>
      </c>
    </row>
    <row r="8585" spans="1:27" x14ac:dyDescent="0.35">
      <c r="A8585">
        <v>1009083</v>
      </c>
      <c r="B8585">
        <v>7956</v>
      </c>
      <c r="C8585">
        <v>1</v>
      </c>
      <c r="D8585" s="17" t="s">
        <v>17166</v>
      </c>
      <c r="E8585" s="17"/>
      <c r="F8585" s="17" t="s">
        <v>17246</v>
      </c>
      <c r="G8585" s="17"/>
      <c r="H8585" s="17" t="s">
        <v>17984</v>
      </c>
      <c r="I8585" s="17"/>
      <c r="J8585" s="17" t="s">
        <v>19986</v>
      </c>
      <c r="K8585" s="17"/>
      <c r="L8585" s="17" t="s">
        <v>19987</v>
      </c>
      <c r="M8585" s="17"/>
      <c r="N8585" s="17" t="s">
        <v>19988</v>
      </c>
      <c r="O8585" s="17"/>
      <c r="P8585" s="17" t="s">
        <v>20070</v>
      </c>
      <c r="Q8585" s="17"/>
      <c r="R8585" s="25" t="str">
        <f>HYPERLINK("https://ictv.global/taxonomy/taxondetails?taxnode_id=202303095","Orthoflavivirus langatense")</f>
        <v>Orthoflavivirus langatense</v>
      </c>
      <c r="S8585" s="18" t="s">
        <v>30</v>
      </c>
      <c r="T8585" s="18" t="s">
        <v>20205</v>
      </c>
      <c r="U8585" s="18" t="s">
        <v>20206</v>
      </c>
      <c r="V8585" s="18" t="s">
        <v>20207</v>
      </c>
      <c r="W8585" s="18" t="s">
        <v>20208</v>
      </c>
      <c r="X8585" s="18" t="s">
        <v>42</v>
      </c>
      <c r="Y8585" s="18" t="s">
        <v>17171</v>
      </c>
      <c r="Z8585" s="18" t="s">
        <v>12289</v>
      </c>
      <c r="AA8585" s="21" t="str">
        <f>HYPERLINK("https://www.ncbi.nlm.nih.gov/nuccore/AF253419","NCBI Nucleotide")</f>
        <v>NCBI Nucleotide</v>
      </c>
    </row>
    <row r="8586" spans="1:27" x14ac:dyDescent="0.35">
      <c r="A8586">
        <v>1009084</v>
      </c>
      <c r="B8586">
        <v>7957</v>
      </c>
      <c r="C8586">
        <v>1</v>
      </c>
      <c r="D8586" s="17" t="s">
        <v>17166</v>
      </c>
      <c r="E8586" s="17"/>
      <c r="F8586" s="17" t="s">
        <v>17246</v>
      </c>
      <c r="G8586" s="17"/>
      <c r="H8586" s="17" t="s">
        <v>17984</v>
      </c>
      <c r="I8586" s="17"/>
      <c r="J8586" s="17" t="s">
        <v>19986</v>
      </c>
      <c r="K8586" s="17"/>
      <c r="L8586" s="17" t="s">
        <v>19987</v>
      </c>
      <c r="M8586" s="17"/>
      <c r="N8586" s="17" t="s">
        <v>19988</v>
      </c>
      <c r="O8586" s="17"/>
      <c r="P8586" s="17" t="s">
        <v>20070</v>
      </c>
      <c r="Q8586" s="17"/>
      <c r="R8586" s="25" t="str">
        <f>HYPERLINK("https://ictv.global/taxonomy/taxondetails?taxnode_id=202303112","Orthoflavivirus louisense")</f>
        <v>Orthoflavivirus louisense</v>
      </c>
      <c r="S8586" s="18" t="s">
        <v>30</v>
      </c>
      <c r="T8586" s="18" t="s">
        <v>20209</v>
      </c>
      <c r="U8586" s="18" t="s">
        <v>20210</v>
      </c>
      <c r="V8586" s="18" t="s">
        <v>20211</v>
      </c>
      <c r="W8586" s="18" t="s">
        <v>20212</v>
      </c>
      <c r="X8586" s="18" t="s">
        <v>42</v>
      </c>
      <c r="Y8586" s="18" t="s">
        <v>17171</v>
      </c>
      <c r="Z8586" s="18" t="s">
        <v>12289</v>
      </c>
      <c r="AA8586" s="21" t="str">
        <f>HYPERLINK("https://www.ncbi.nlm.nih.gov/nuccore/DQ525916","NCBI Nucleotide")</f>
        <v>NCBI Nucleotide</v>
      </c>
    </row>
    <row r="8587" spans="1:27" x14ac:dyDescent="0.35">
      <c r="A8587">
        <v>1009085</v>
      </c>
      <c r="B8587">
        <v>7958</v>
      </c>
      <c r="C8587">
        <v>1</v>
      </c>
      <c r="D8587" s="17" t="s">
        <v>17166</v>
      </c>
      <c r="E8587" s="17"/>
      <c r="F8587" s="17" t="s">
        <v>17246</v>
      </c>
      <c r="G8587" s="17"/>
      <c r="H8587" s="17" t="s">
        <v>17984</v>
      </c>
      <c r="I8587" s="17"/>
      <c r="J8587" s="17" t="s">
        <v>19986</v>
      </c>
      <c r="K8587" s="17"/>
      <c r="L8587" s="17" t="s">
        <v>19987</v>
      </c>
      <c r="M8587" s="17"/>
      <c r="N8587" s="17" t="s">
        <v>19988</v>
      </c>
      <c r="O8587" s="17"/>
      <c r="P8587" s="17" t="s">
        <v>20070</v>
      </c>
      <c r="Q8587" s="17"/>
      <c r="R8587" s="25" t="str">
        <f t="shared" ref="R8587:R8592" si="32">HYPERLINK("https://ictv.global/taxonomy/taxondetails?taxnode_id=202303096","Orthoflavivirus loupingi")</f>
        <v>Orthoflavivirus loupingi</v>
      </c>
      <c r="S8587" s="18" t="s">
        <v>30</v>
      </c>
      <c r="T8587" s="18" t="s">
        <v>20213</v>
      </c>
      <c r="U8587" s="18" t="s">
        <v>20214</v>
      </c>
      <c r="V8587" s="18" t="s">
        <v>20215</v>
      </c>
      <c r="W8587" s="18" t="s">
        <v>20216</v>
      </c>
      <c r="X8587" s="18" t="s">
        <v>42</v>
      </c>
      <c r="Y8587" s="18" t="s">
        <v>17171</v>
      </c>
      <c r="Z8587" s="18" t="s">
        <v>12289</v>
      </c>
      <c r="AA8587" s="21" t="str">
        <f>HYPERLINK("https://www.ncbi.nlm.nih.gov/nuccore/Y07863","NCBI Nucleotide")</f>
        <v>NCBI Nucleotide</v>
      </c>
    </row>
    <row r="8588" spans="1:27" x14ac:dyDescent="0.35">
      <c r="A8588">
        <v>1012800</v>
      </c>
      <c r="B8588">
        <v>7958</v>
      </c>
      <c r="C8588">
        <v>2</v>
      </c>
      <c r="D8588" s="17" t="s">
        <v>17166</v>
      </c>
      <c r="E8588" s="17"/>
      <c r="F8588" s="17" t="s">
        <v>17246</v>
      </c>
      <c r="G8588" s="17"/>
      <c r="H8588" s="17" t="s">
        <v>17984</v>
      </c>
      <c r="I8588" s="17"/>
      <c r="J8588" s="17" t="s">
        <v>19986</v>
      </c>
      <c r="K8588" s="17"/>
      <c r="L8588" s="17" t="s">
        <v>19987</v>
      </c>
      <c r="M8588" s="17"/>
      <c r="N8588" s="17" t="s">
        <v>19988</v>
      </c>
      <c r="O8588" s="17"/>
      <c r="P8588" s="17" t="s">
        <v>20070</v>
      </c>
      <c r="Q8588" s="17"/>
      <c r="R8588" s="25" t="str">
        <f t="shared" si="32"/>
        <v>Orthoflavivirus loupingi</v>
      </c>
      <c r="S8588" s="18" t="s">
        <v>8141</v>
      </c>
      <c r="T8588" s="18" t="s">
        <v>20229</v>
      </c>
      <c r="U8588" s="18" t="s">
        <v>20230</v>
      </c>
      <c r="V8588" s="18" t="s">
        <v>20231</v>
      </c>
      <c r="W8588" s="18" t="s">
        <v>49352</v>
      </c>
      <c r="X8588" s="18" t="s">
        <v>35</v>
      </c>
      <c r="Y8588" s="18" t="s">
        <v>17171</v>
      </c>
      <c r="Z8588" s="18" t="s">
        <v>12289</v>
      </c>
      <c r="AA8588" s="21" t="str">
        <f>HYPERLINK("https://www.ncbi.nlm.nih.gov/nuccore/DQ235153","NCBI Nucleotide")</f>
        <v>NCBI Nucleotide</v>
      </c>
    </row>
    <row r="8589" spans="1:27" x14ac:dyDescent="0.35">
      <c r="A8589">
        <v>1012796</v>
      </c>
      <c r="B8589">
        <v>7958</v>
      </c>
      <c r="C8589">
        <v>3</v>
      </c>
      <c r="D8589" s="17" t="s">
        <v>17166</v>
      </c>
      <c r="E8589" s="17"/>
      <c r="F8589" s="17" t="s">
        <v>17246</v>
      </c>
      <c r="G8589" s="17"/>
      <c r="H8589" s="17" t="s">
        <v>17984</v>
      </c>
      <c r="I8589" s="17"/>
      <c r="J8589" s="17" t="s">
        <v>19986</v>
      </c>
      <c r="K8589" s="17"/>
      <c r="L8589" s="17" t="s">
        <v>19987</v>
      </c>
      <c r="M8589" s="17"/>
      <c r="N8589" s="17" t="s">
        <v>19988</v>
      </c>
      <c r="O8589" s="17"/>
      <c r="P8589" s="17" t="s">
        <v>20070</v>
      </c>
      <c r="Q8589" s="17"/>
      <c r="R8589" s="25" t="str">
        <f t="shared" si="32"/>
        <v>Orthoflavivirus loupingi</v>
      </c>
      <c r="S8589" s="18" t="s">
        <v>8141</v>
      </c>
      <c r="T8589" s="18" t="s">
        <v>20217</v>
      </c>
      <c r="U8589" s="18" t="s">
        <v>20218</v>
      </c>
      <c r="V8589" s="18" t="s">
        <v>20219</v>
      </c>
      <c r="W8589" s="18" t="s">
        <v>49353</v>
      </c>
      <c r="X8589" s="18" t="s">
        <v>154</v>
      </c>
      <c r="Y8589" s="18" t="s">
        <v>17171</v>
      </c>
      <c r="Z8589" s="18" t="s">
        <v>12289</v>
      </c>
      <c r="AA8589" s="21" t="str">
        <f>HYPERLINK("https://www.ncbi.nlm.nih.gov/nuccore/D12937","NCBI Nucleotide")</f>
        <v>NCBI Nucleotide</v>
      </c>
    </row>
    <row r="8590" spans="1:27" x14ac:dyDescent="0.35">
      <c r="A8590">
        <v>1012797</v>
      </c>
      <c r="B8590">
        <v>7958</v>
      </c>
      <c r="C8590">
        <v>4</v>
      </c>
      <c r="D8590" s="17" t="s">
        <v>17166</v>
      </c>
      <c r="E8590" s="17"/>
      <c r="F8590" s="17" t="s">
        <v>17246</v>
      </c>
      <c r="G8590" s="17"/>
      <c r="H8590" s="17" t="s">
        <v>17984</v>
      </c>
      <c r="I8590" s="17"/>
      <c r="J8590" s="17" t="s">
        <v>19986</v>
      </c>
      <c r="K8590" s="17"/>
      <c r="L8590" s="17" t="s">
        <v>19987</v>
      </c>
      <c r="M8590" s="17"/>
      <c r="N8590" s="17" t="s">
        <v>19988</v>
      </c>
      <c r="O8590" s="17"/>
      <c r="P8590" s="17" t="s">
        <v>20070</v>
      </c>
      <c r="Q8590" s="17"/>
      <c r="R8590" s="25" t="str">
        <f t="shared" si="32"/>
        <v>Orthoflavivirus loupingi</v>
      </c>
      <c r="S8590" s="18" t="s">
        <v>8141</v>
      </c>
      <c r="T8590" s="18" t="s">
        <v>20220</v>
      </c>
      <c r="U8590" s="18" t="s">
        <v>20221</v>
      </c>
      <c r="V8590" s="18" t="s">
        <v>20222</v>
      </c>
      <c r="W8590" s="18" t="s">
        <v>49354</v>
      </c>
      <c r="X8590" s="18" t="s">
        <v>154</v>
      </c>
      <c r="Y8590" s="18" t="s">
        <v>17171</v>
      </c>
      <c r="Z8590" s="18" t="s">
        <v>12289</v>
      </c>
      <c r="AA8590" s="21" t="str">
        <f>HYPERLINK("https://www.ncbi.nlm.nih.gov/nuccore/X86784","NCBI Nucleotide")</f>
        <v>NCBI Nucleotide</v>
      </c>
    </row>
    <row r="8591" spans="1:27" x14ac:dyDescent="0.35">
      <c r="A8591">
        <v>1012798</v>
      </c>
      <c r="B8591">
        <v>7958</v>
      </c>
      <c r="C8591">
        <v>5</v>
      </c>
      <c r="D8591" s="17" t="s">
        <v>17166</v>
      </c>
      <c r="E8591" s="17"/>
      <c r="F8591" s="17" t="s">
        <v>17246</v>
      </c>
      <c r="G8591" s="17"/>
      <c r="H8591" s="17" t="s">
        <v>17984</v>
      </c>
      <c r="I8591" s="17"/>
      <c r="J8591" s="17" t="s">
        <v>19986</v>
      </c>
      <c r="K8591" s="17"/>
      <c r="L8591" s="17" t="s">
        <v>19987</v>
      </c>
      <c r="M8591" s="17"/>
      <c r="N8591" s="17" t="s">
        <v>19988</v>
      </c>
      <c r="O8591" s="17"/>
      <c r="P8591" s="17" t="s">
        <v>20070</v>
      </c>
      <c r="Q8591" s="17"/>
      <c r="R8591" s="25" t="str">
        <f t="shared" si="32"/>
        <v>Orthoflavivirus loupingi</v>
      </c>
      <c r="S8591" s="18" t="s">
        <v>8141</v>
      </c>
      <c r="T8591" s="18" t="s">
        <v>20223</v>
      </c>
      <c r="U8591" s="18" t="s">
        <v>20224</v>
      </c>
      <c r="V8591" s="18" t="s">
        <v>20225</v>
      </c>
      <c r="W8591" s="18" t="s">
        <v>49355</v>
      </c>
      <c r="X8591" s="18" t="s">
        <v>35</v>
      </c>
      <c r="Y8591" s="18" t="s">
        <v>17171</v>
      </c>
      <c r="Z8591" s="18" t="s">
        <v>12289</v>
      </c>
      <c r="AA8591" s="21" t="str">
        <f>HYPERLINK("https://www.ncbi.nlm.nih.gov/nuccore/DQ235152","NCBI Nucleotide")</f>
        <v>NCBI Nucleotide</v>
      </c>
    </row>
    <row r="8592" spans="1:27" x14ac:dyDescent="0.35">
      <c r="A8592">
        <v>1012799</v>
      </c>
      <c r="B8592">
        <v>7958</v>
      </c>
      <c r="C8592">
        <v>6</v>
      </c>
      <c r="D8592" s="17" t="s">
        <v>17166</v>
      </c>
      <c r="E8592" s="17"/>
      <c r="F8592" s="17" t="s">
        <v>17246</v>
      </c>
      <c r="G8592" s="17"/>
      <c r="H8592" s="17" t="s">
        <v>17984</v>
      </c>
      <c r="I8592" s="17"/>
      <c r="J8592" s="17" t="s">
        <v>19986</v>
      </c>
      <c r="K8592" s="17"/>
      <c r="L8592" s="17" t="s">
        <v>19987</v>
      </c>
      <c r="M8592" s="17"/>
      <c r="N8592" s="17" t="s">
        <v>19988</v>
      </c>
      <c r="O8592" s="17"/>
      <c r="P8592" s="17" t="s">
        <v>20070</v>
      </c>
      <c r="Q8592" s="17"/>
      <c r="R8592" s="25" t="str">
        <f t="shared" si="32"/>
        <v>Orthoflavivirus loupingi</v>
      </c>
      <c r="S8592" s="18" t="s">
        <v>8141</v>
      </c>
      <c r="T8592" s="18" t="s">
        <v>20226</v>
      </c>
      <c r="U8592" s="18" t="s">
        <v>20227</v>
      </c>
      <c r="V8592" s="18" t="s">
        <v>20228</v>
      </c>
      <c r="W8592" s="18" t="s">
        <v>49356</v>
      </c>
      <c r="X8592" s="18" t="s">
        <v>35</v>
      </c>
      <c r="Y8592" s="18" t="s">
        <v>17171</v>
      </c>
      <c r="Z8592" s="18" t="s">
        <v>12289</v>
      </c>
      <c r="AA8592" s="21" t="str">
        <f>HYPERLINK("https://www.ncbi.nlm.nih.gov/nuccore/DQ235151","NCBI Nucleotide")</f>
        <v>NCBI Nucleotide</v>
      </c>
    </row>
    <row r="8593" spans="1:27" x14ac:dyDescent="0.35">
      <c r="A8593">
        <v>1009086</v>
      </c>
      <c r="B8593">
        <v>7959</v>
      </c>
      <c r="C8593">
        <v>1</v>
      </c>
      <c r="D8593" s="17" t="s">
        <v>17166</v>
      </c>
      <c r="E8593" s="17"/>
      <c r="F8593" s="17" t="s">
        <v>17246</v>
      </c>
      <c r="G8593" s="17"/>
      <c r="H8593" s="17" t="s">
        <v>17984</v>
      </c>
      <c r="I8593" s="17"/>
      <c r="J8593" s="17" t="s">
        <v>19986</v>
      </c>
      <c r="K8593" s="17"/>
      <c r="L8593" s="17" t="s">
        <v>19987</v>
      </c>
      <c r="M8593" s="17"/>
      <c r="N8593" s="17" t="s">
        <v>19988</v>
      </c>
      <c r="O8593" s="17"/>
      <c r="P8593" s="17" t="s">
        <v>20070</v>
      </c>
      <c r="Q8593" s="17"/>
      <c r="R8593" s="25" t="str">
        <f>HYPERLINK("https://ictv.global/taxonomy/taxondetails?taxnode_id=202303097","Orthoflavivirus meabanense")</f>
        <v>Orthoflavivirus meabanense</v>
      </c>
      <c r="S8593" s="18" t="s">
        <v>30</v>
      </c>
      <c r="T8593" s="18" t="s">
        <v>20232</v>
      </c>
      <c r="U8593" s="18" t="s">
        <v>20233</v>
      </c>
      <c r="V8593" s="18" t="s">
        <v>18820</v>
      </c>
      <c r="W8593" s="18" t="s">
        <v>20234</v>
      </c>
      <c r="X8593" s="18" t="s">
        <v>42</v>
      </c>
      <c r="Y8593" s="18" t="s">
        <v>17171</v>
      </c>
      <c r="Z8593" s="18" t="s">
        <v>12289</v>
      </c>
      <c r="AA8593" s="21" t="str">
        <f>HYPERLINK("https://www.ncbi.nlm.nih.gov/nuccore/DQ235144","NCBI Nucleotide")</f>
        <v>NCBI Nucleotide</v>
      </c>
    </row>
    <row r="8594" spans="1:27" x14ac:dyDescent="0.35">
      <c r="A8594">
        <v>1009087</v>
      </c>
      <c r="B8594">
        <v>7960</v>
      </c>
      <c r="C8594">
        <v>1</v>
      </c>
      <c r="D8594" s="17" t="s">
        <v>17166</v>
      </c>
      <c r="E8594" s="17"/>
      <c r="F8594" s="17" t="s">
        <v>17246</v>
      </c>
      <c r="G8594" s="17"/>
      <c r="H8594" s="17" t="s">
        <v>17984</v>
      </c>
      <c r="I8594" s="17"/>
      <c r="J8594" s="17" t="s">
        <v>19986</v>
      </c>
      <c r="K8594" s="17"/>
      <c r="L8594" s="17" t="s">
        <v>19987</v>
      </c>
      <c r="M8594" s="17"/>
      <c r="N8594" s="17" t="s">
        <v>19988</v>
      </c>
      <c r="O8594" s="17"/>
      <c r="P8594" s="17" t="s">
        <v>20070</v>
      </c>
      <c r="Q8594" s="17"/>
      <c r="R8594" s="25" t="str">
        <f>HYPERLINK("https://ictv.global/taxonomy/taxondetails?taxnode_id=202303098","Orthoflavivirus modocense")</f>
        <v>Orthoflavivirus modocense</v>
      </c>
      <c r="S8594" s="18" t="s">
        <v>30</v>
      </c>
      <c r="T8594" s="18" t="s">
        <v>20235</v>
      </c>
      <c r="U8594" s="18" t="s">
        <v>20236</v>
      </c>
      <c r="V8594" s="18" t="s">
        <v>20237</v>
      </c>
      <c r="W8594" s="18" t="s">
        <v>20238</v>
      </c>
      <c r="X8594" s="18" t="s">
        <v>42</v>
      </c>
      <c r="Y8594" s="18" t="s">
        <v>17171</v>
      </c>
      <c r="Z8594" s="18" t="s">
        <v>166</v>
      </c>
      <c r="AA8594" s="21" t="str">
        <f>HYPERLINK("https://www.ncbi.nlm.nih.gov/nuccore/AJ242984","NCBI Nucleotide")</f>
        <v>NCBI Nucleotide</v>
      </c>
    </row>
    <row r="8595" spans="1:27" x14ac:dyDescent="0.35">
      <c r="A8595">
        <v>1009088</v>
      </c>
      <c r="B8595">
        <v>7961</v>
      </c>
      <c r="C8595">
        <v>1</v>
      </c>
      <c r="D8595" s="17" t="s">
        <v>17166</v>
      </c>
      <c r="E8595" s="17"/>
      <c r="F8595" s="17" t="s">
        <v>17246</v>
      </c>
      <c r="G8595" s="17"/>
      <c r="H8595" s="17" t="s">
        <v>17984</v>
      </c>
      <c r="I8595" s="17"/>
      <c r="J8595" s="17" t="s">
        <v>19986</v>
      </c>
      <c r="K8595" s="17"/>
      <c r="L8595" s="17" t="s">
        <v>19987</v>
      </c>
      <c r="M8595" s="17"/>
      <c r="N8595" s="17" t="s">
        <v>19988</v>
      </c>
      <c r="O8595" s="17"/>
      <c r="P8595" s="17" t="s">
        <v>20070</v>
      </c>
      <c r="Q8595" s="17"/>
      <c r="R8595" s="25" t="str">
        <f>HYPERLINK("https://ictv.global/taxonomy/taxondetails?taxnode_id=202303099","Orthoflavivirus montanaense")</f>
        <v>Orthoflavivirus montanaense</v>
      </c>
      <c r="S8595" s="18" t="s">
        <v>30</v>
      </c>
      <c r="T8595" s="18" t="s">
        <v>20239</v>
      </c>
      <c r="U8595" s="18" t="s">
        <v>20240</v>
      </c>
      <c r="V8595" s="18" t="s">
        <v>18179</v>
      </c>
      <c r="W8595" s="18" t="s">
        <v>20241</v>
      </c>
      <c r="X8595" s="18" t="s">
        <v>42</v>
      </c>
      <c r="Y8595" s="18" t="s">
        <v>17171</v>
      </c>
      <c r="Z8595" s="18" t="s">
        <v>166</v>
      </c>
      <c r="AA8595" s="21" t="str">
        <f>HYPERLINK("https://www.ncbi.nlm.nih.gov/nuccore/AJ299445","NCBI Nucleotide")</f>
        <v>NCBI Nucleotide</v>
      </c>
    </row>
    <row r="8596" spans="1:27" x14ac:dyDescent="0.35">
      <c r="A8596">
        <v>1009089</v>
      </c>
      <c r="B8596">
        <v>7962</v>
      </c>
      <c r="C8596">
        <v>1</v>
      </c>
      <c r="D8596" s="17" t="s">
        <v>17166</v>
      </c>
      <c r="E8596" s="17"/>
      <c r="F8596" s="17" t="s">
        <v>17246</v>
      </c>
      <c r="G8596" s="17"/>
      <c r="H8596" s="17" t="s">
        <v>17984</v>
      </c>
      <c r="I8596" s="17"/>
      <c r="J8596" s="17" t="s">
        <v>19986</v>
      </c>
      <c r="K8596" s="17"/>
      <c r="L8596" s="17" t="s">
        <v>19987</v>
      </c>
      <c r="M8596" s="17"/>
      <c r="N8596" s="17" t="s">
        <v>19988</v>
      </c>
      <c r="O8596" s="17"/>
      <c r="P8596" s="17" t="s">
        <v>20070</v>
      </c>
      <c r="Q8596" s="17"/>
      <c r="R8596" s="25" t="str">
        <f>HYPERLINK("https://ictv.global/taxonomy/taxondetails?taxnode_id=202303100","Orthoflavivirus murrayense")</f>
        <v>Orthoflavivirus murrayense</v>
      </c>
      <c r="S8596" s="18" t="s">
        <v>30</v>
      </c>
      <c r="T8596" s="18" t="s">
        <v>20242</v>
      </c>
      <c r="U8596" s="18" t="s">
        <v>20243</v>
      </c>
      <c r="V8596" s="18">
        <v>18629</v>
      </c>
      <c r="W8596" s="18" t="s">
        <v>20244</v>
      </c>
      <c r="X8596" s="18" t="s">
        <v>42</v>
      </c>
      <c r="Y8596" s="18" t="s">
        <v>17171</v>
      </c>
      <c r="Z8596" s="18" t="s">
        <v>12289</v>
      </c>
      <c r="AA8596" s="21" t="str">
        <f>HYPERLINK("https://www.ncbi.nlm.nih.gov/nuccore/AF161266","NCBI Nucleotide")</f>
        <v>NCBI Nucleotide</v>
      </c>
    </row>
    <row r="8597" spans="1:27" x14ac:dyDescent="0.35">
      <c r="A8597">
        <v>1012801</v>
      </c>
      <c r="B8597">
        <v>7962</v>
      </c>
      <c r="C8597">
        <v>2</v>
      </c>
      <c r="D8597" s="17" t="s">
        <v>17166</v>
      </c>
      <c r="E8597" s="17"/>
      <c r="F8597" s="17" t="s">
        <v>17246</v>
      </c>
      <c r="G8597" s="17"/>
      <c r="H8597" s="17" t="s">
        <v>17984</v>
      </c>
      <c r="I8597" s="17"/>
      <c r="J8597" s="17" t="s">
        <v>19986</v>
      </c>
      <c r="K8597" s="17"/>
      <c r="L8597" s="17" t="s">
        <v>19987</v>
      </c>
      <c r="M8597" s="17"/>
      <c r="N8597" s="17" t="s">
        <v>19988</v>
      </c>
      <c r="O8597" s="17"/>
      <c r="P8597" s="17" t="s">
        <v>20070</v>
      </c>
      <c r="Q8597" s="17"/>
      <c r="R8597" s="25" t="str">
        <f>HYPERLINK("https://ictv.global/taxonomy/taxondetails?taxnode_id=202303100","Orthoflavivirus murrayense")</f>
        <v>Orthoflavivirus murrayense</v>
      </c>
      <c r="S8597" s="18" t="s">
        <v>8141</v>
      </c>
      <c r="T8597" s="18" t="s">
        <v>20245</v>
      </c>
      <c r="U8597" s="18" t="s">
        <v>20246</v>
      </c>
      <c r="V8597" s="18" t="s">
        <v>20247</v>
      </c>
      <c r="W8597" s="18" t="s">
        <v>49357</v>
      </c>
      <c r="X8597" s="18" t="s">
        <v>154</v>
      </c>
      <c r="Y8597" s="18" t="s">
        <v>17171</v>
      </c>
      <c r="Z8597" s="18" t="s">
        <v>12289</v>
      </c>
      <c r="AA8597" s="21" t="str">
        <f>HYPERLINK("https://www.ncbi.nlm.nih.gov/nuccore/AF013360","NCBI Nucleotide")</f>
        <v>NCBI Nucleotide</v>
      </c>
    </row>
    <row r="8598" spans="1:27" x14ac:dyDescent="0.35">
      <c r="A8598">
        <v>1009090</v>
      </c>
      <c r="B8598">
        <v>7963</v>
      </c>
      <c r="C8598">
        <v>1</v>
      </c>
      <c r="D8598" s="17" t="s">
        <v>17166</v>
      </c>
      <c r="E8598" s="17"/>
      <c r="F8598" s="17" t="s">
        <v>17246</v>
      </c>
      <c r="G8598" s="17"/>
      <c r="H8598" s="17" t="s">
        <v>17984</v>
      </c>
      <c r="I8598" s="17"/>
      <c r="J8598" s="17" t="s">
        <v>19986</v>
      </c>
      <c r="K8598" s="17"/>
      <c r="L8598" s="17" t="s">
        <v>19987</v>
      </c>
      <c r="M8598" s="17"/>
      <c r="N8598" s="17" t="s">
        <v>19988</v>
      </c>
      <c r="O8598" s="17"/>
      <c r="P8598" s="17" t="s">
        <v>20070</v>
      </c>
      <c r="Q8598" s="17"/>
      <c r="R8598" s="25" t="str">
        <f>HYPERLINK("https://ictv.global/taxonomy/taxondetails?taxnode_id=202303119","Orthoflavivirus nilense")</f>
        <v>Orthoflavivirus nilense</v>
      </c>
      <c r="S8598" s="18" t="s">
        <v>30</v>
      </c>
      <c r="T8598" s="18" t="s">
        <v>20248</v>
      </c>
      <c r="U8598" s="18" t="s">
        <v>20249</v>
      </c>
      <c r="V8598" s="18">
        <v>956</v>
      </c>
      <c r="W8598" s="18" t="s">
        <v>20250</v>
      </c>
      <c r="X8598" s="18" t="s">
        <v>42</v>
      </c>
      <c r="Y8598" s="18" t="s">
        <v>17171</v>
      </c>
      <c r="Z8598" s="18" t="s">
        <v>12289</v>
      </c>
      <c r="AA8598" s="21" t="str">
        <f>HYPERLINK("https://www.ncbi.nlm.nih.gov/nuccore/M12294","NCBI Nucleotide")</f>
        <v>NCBI Nucleotide</v>
      </c>
    </row>
    <row r="8599" spans="1:27" x14ac:dyDescent="0.35">
      <c r="A8599">
        <v>1012802</v>
      </c>
      <c r="B8599">
        <v>7963</v>
      </c>
      <c r="C8599">
        <v>2</v>
      </c>
      <c r="D8599" s="17" t="s">
        <v>17166</v>
      </c>
      <c r="E8599" s="17"/>
      <c r="F8599" s="17" t="s">
        <v>17246</v>
      </c>
      <c r="G8599" s="17"/>
      <c r="H8599" s="17" t="s">
        <v>17984</v>
      </c>
      <c r="I8599" s="17"/>
      <c r="J8599" s="17" t="s">
        <v>19986</v>
      </c>
      <c r="K8599" s="17"/>
      <c r="L8599" s="17" t="s">
        <v>19987</v>
      </c>
      <c r="M8599" s="17"/>
      <c r="N8599" s="17" t="s">
        <v>19988</v>
      </c>
      <c r="O8599" s="17"/>
      <c r="P8599" s="17" t="s">
        <v>20070</v>
      </c>
      <c r="Q8599" s="17"/>
      <c r="R8599" s="25" t="str">
        <f>HYPERLINK("https://ictv.global/taxonomy/taxondetails?taxnode_id=202303119","Orthoflavivirus nilense")</f>
        <v>Orthoflavivirus nilense</v>
      </c>
      <c r="S8599" s="18" t="s">
        <v>8141</v>
      </c>
      <c r="T8599" s="18" t="s">
        <v>20251</v>
      </c>
      <c r="U8599" s="18" t="s">
        <v>20252</v>
      </c>
      <c r="V8599" s="18" t="s">
        <v>20253</v>
      </c>
      <c r="W8599" s="18" t="s">
        <v>49358</v>
      </c>
      <c r="X8599" s="18" t="s">
        <v>42</v>
      </c>
      <c r="Y8599" s="18" t="s">
        <v>17171</v>
      </c>
      <c r="Z8599" s="18" t="s">
        <v>12289</v>
      </c>
      <c r="AA8599" s="21" t="str">
        <f>HYPERLINK("https://www.ncbi.nlm.nih.gov/nuccore/D00246","NCBI Nucleotide")</f>
        <v>NCBI Nucleotide</v>
      </c>
    </row>
    <row r="8600" spans="1:27" x14ac:dyDescent="0.35">
      <c r="A8600">
        <v>1009091</v>
      </c>
      <c r="B8600">
        <v>7964</v>
      </c>
      <c r="C8600">
        <v>1</v>
      </c>
      <c r="D8600" s="17" t="s">
        <v>17166</v>
      </c>
      <c r="E8600" s="17"/>
      <c r="F8600" s="17" t="s">
        <v>17246</v>
      </c>
      <c r="G8600" s="17"/>
      <c r="H8600" s="17" t="s">
        <v>17984</v>
      </c>
      <c r="I8600" s="17"/>
      <c r="J8600" s="17" t="s">
        <v>19986</v>
      </c>
      <c r="K8600" s="17"/>
      <c r="L8600" s="17" t="s">
        <v>19987</v>
      </c>
      <c r="M8600" s="17"/>
      <c r="N8600" s="17" t="s">
        <v>19988</v>
      </c>
      <c r="O8600" s="17"/>
      <c r="P8600" s="17" t="s">
        <v>20070</v>
      </c>
      <c r="Q8600" s="17"/>
      <c r="R8600" s="25" t="str">
        <f>HYPERLINK("https://ictv.global/taxonomy/taxondetails?taxnode_id=202303101","Orthoflavivirus ntayaense")</f>
        <v>Orthoflavivirus ntayaense</v>
      </c>
      <c r="S8600" s="18" t="s">
        <v>30</v>
      </c>
      <c r="T8600" s="18" t="s">
        <v>20254</v>
      </c>
      <c r="U8600" s="18" t="s">
        <v>20255</v>
      </c>
      <c r="V8600" s="18" t="s">
        <v>20256</v>
      </c>
      <c r="W8600" s="18" t="s">
        <v>20257</v>
      </c>
      <c r="X8600" s="18" t="s">
        <v>42</v>
      </c>
      <c r="Y8600" s="18" t="s">
        <v>17171</v>
      </c>
      <c r="Z8600" s="18" t="s">
        <v>12289</v>
      </c>
      <c r="AA8600" s="21" t="str">
        <f>HYPERLINK("https://www.ncbi.nlm.nih.gov/nuccore/JX236040","NCBI Nucleotide")</f>
        <v>NCBI Nucleotide</v>
      </c>
    </row>
    <row r="8601" spans="1:27" x14ac:dyDescent="0.35">
      <c r="A8601">
        <v>1009092</v>
      </c>
      <c r="B8601">
        <v>7965</v>
      </c>
      <c r="C8601">
        <v>1</v>
      </c>
      <c r="D8601" s="17" t="s">
        <v>17166</v>
      </c>
      <c r="E8601" s="17"/>
      <c r="F8601" s="17" t="s">
        <v>17246</v>
      </c>
      <c r="G8601" s="17"/>
      <c r="H8601" s="17" t="s">
        <v>17984</v>
      </c>
      <c r="I8601" s="17"/>
      <c r="J8601" s="17" t="s">
        <v>19986</v>
      </c>
      <c r="K8601" s="17"/>
      <c r="L8601" s="17" t="s">
        <v>19987</v>
      </c>
      <c r="M8601" s="17"/>
      <c r="N8601" s="17" t="s">
        <v>19988</v>
      </c>
      <c r="O8601" s="17"/>
      <c r="P8601" s="17" t="s">
        <v>20070</v>
      </c>
      <c r="Q8601" s="17"/>
      <c r="R8601" s="25" t="str">
        <f>HYPERLINK("https://ictv.global/taxonomy/taxondetails?taxnode_id=202303102","Orthoflavivirus omskense")</f>
        <v>Orthoflavivirus omskense</v>
      </c>
      <c r="S8601" s="18" t="s">
        <v>30</v>
      </c>
      <c r="T8601" s="18" t="s">
        <v>20258</v>
      </c>
      <c r="U8601" s="18" t="s">
        <v>20259</v>
      </c>
      <c r="V8601" s="18" t="s">
        <v>20260</v>
      </c>
      <c r="W8601" s="18" t="s">
        <v>20261</v>
      </c>
      <c r="X8601" s="18" t="s">
        <v>42</v>
      </c>
      <c r="Y8601" s="18" t="s">
        <v>17171</v>
      </c>
      <c r="Z8601" s="18" t="s">
        <v>12289</v>
      </c>
      <c r="AA8601" s="21" t="str">
        <f>HYPERLINK("https://www.ncbi.nlm.nih.gov/nuccore/AY193805","NCBI Nucleotide")</f>
        <v>NCBI Nucleotide</v>
      </c>
    </row>
    <row r="8602" spans="1:27" x14ac:dyDescent="0.35">
      <c r="A8602">
        <v>1009093</v>
      </c>
      <c r="B8602">
        <v>7966</v>
      </c>
      <c r="C8602">
        <v>1</v>
      </c>
      <c r="D8602" s="17" t="s">
        <v>17166</v>
      </c>
      <c r="E8602" s="17"/>
      <c r="F8602" s="17" t="s">
        <v>17246</v>
      </c>
      <c r="G8602" s="17"/>
      <c r="H8602" s="17" t="s">
        <v>17984</v>
      </c>
      <c r="I8602" s="17"/>
      <c r="J8602" s="17" t="s">
        <v>19986</v>
      </c>
      <c r="K8602" s="17"/>
      <c r="L8602" s="17" t="s">
        <v>19987</v>
      </c>
      <c r="M8602" s="17"/>
      <c r="N8602" s="17" t="s">
        <v>19988</v>
      </c>
      <c r="O8602" s="17"/>
      <c r="P8602" s="17" t="s">
        <v>20070</v>
      </c>
      <c r="Q8602" s="17"/>
      <c r="R8602" s="25" t="str">
        <f>HYPERLINK("https://ictv.global/taxonomy/taxondetails?taxnode_id=202303109","Orthoflavivirus perlitaense")</f>
        <v>Orthoflavivirus perlitaense</v>
      </c>
      <c r="S8602" s="18" t="s">
        <v>30</v>
      </c>
      <c r="T8602" s="18" t="s">
        <v>20262</v>
      </c>
      <c r="U8602" s="18" t="s">
        <v>12787</v>
      </c>
      <c r="V8602" s="18" t="s">
        <v>20263</v>
      </c>
      <c r="W8602" s="18" t="s">
        <v>20264</v>
      </c>
      <c r="X8602" s="18" t="s">
        <v>154</v>
      </c>
      <c r="Y8602" s="18" t="s">
        <v>17171</v>
      </c>
      <c r="Z8602" s="18" t="s">
        <v>166</v>
      </c>
      <c r="AA8602" s="21" t="str">
        <f>HYPERLINK("https://www.ncbi.nlm.nih.gov/nuccore/AF013402","NCBI Nucleotide")</f>
        <v>NCBI Nucleotide</v>
      </c>
    </row>
    <row r="8603" spans="1:27" x14ac:dyDescent="0.35">
      <c r="A8603">
        <v>1009094</v>
      </c>
      <c r="B8603">
        <v>7967</v>
      </c>
      <c r="C8603">
        <v>1</v>
      </c>
      <c r="D8603" s="17" t="s">
        <v>17166</v>
      </c>
      <c r="E8603" s="17"/>
      <c r="F8603" s="17" t="s">
        <v>17246</v>
      </c>
      <c r="G8603" s="17"/>
      <c r="H8603" s="17" t="s">
        <v>17984</v>
      </c>
      <c r="I8603" s="17"/>
      <c r="J8603" s="17" t="s">
        <v>19986</v>
      </c>
      <c r="K8603" s="17"/>
      <c r="L8603" s="17" t="s">
        <v>19987</v>
      </c>
      <c r="M8603" s="17"/>
      <c r="N8603" s="17" t="s">
        <v>19988</v>
      </c>
      <c r="O8603" s="17"/>
      <c r="P8603" s="17" t="s">
        <v>20070</v>
      </c>
      <c r="Q8603" s="17"/>
      <c r="R8603" s="25" t="str">
        <f>HYPERLINK("https://ictv.global/taxonomy/taxondetails?taxnode_id=202303103","Orthoflavivirus phnompenhense")</f>
        <v>Orthoflavivirus phnompenhense</v>
      </c>
      <c r="S8603" s="18" t="s">
        <v>30</v>
      </c>
      <c r="T8603" s="18" t="s">
        <v>20265</v>
      </c>
      <c r="U8603" s="18" t="s">
        <v>20266</v>
      </c>
      <c r="V8603" s="18" t="s">
        <v>20267</v>
      </c>
      <c r="W8603" s="18" t="s">
        <v>20268</v>
      </c>
      <c r="X8603" s="18" t="s">
        <v>154</v>
      </c>
      <c r="Y8603" s="18" t="s">
        <v>17171</v>
      </c>
      <c r="Z8603" s="18" t="s">
        <v>166</v>
      </c>
      <c r="AA8603" s="21" t="str">
        <f>HYPERLINK("https://www.ncbi.nlm.nih.gov/nuccore/AF013394","NCBI Nucleotide")</f>
        <v>NCBI Nucleotide</v>
      </c>
    </row>
    <row r="8604" spans="1:27" x14ac:dyDescent="0.35">
      <c r="A8604">
        <v>1012803</v>
      </c>
      <c r="B8604">
        <v>7967</v>
      </c>
      <c r="C8604">
        <v>2</v>
      </c>
      <c r="D8604" s="17" t="s">
        <v>17166</v>
      </c>
      <c r="E8604" s="17"/>
      <c r="F8604" s="17" t="s">
        <v>17246</v>
      </c>
      <c r="G8604" s="17"/>
      <c r="H8604" s="17" t="s">
        <v>17984</v>
      </c>
      <c r="I8604" s="17"/>
      <c r="J8604" s="17" t="s">
        <v>19986</v>
      </c>
      <c r="K8604" s="17"/>
      <c r="L8604" s="17" t="s">
        <v>19987</v>
      </c>
      <c r="M8604" s="17"/>
      <c r="N8604" s="17" t="s">
        <v>19988</v>
      </c>
      <c r="O8604" s="17"/>
      <c r="P8604" s="17" t="s">
        <v>20070</v>
      </c>
      <c r="Q8604" s="17"/>
      <c r="R8604" s="25" t="str">
        <f>HYPERLINK("https://ictv.global/taxonomy/taxondetails?taxnode_id=202303103","Orthoflavivirus phnompenhense")</f>
        <v>Orthoflavivirus phnompenhense</v>
      </c>
      <c r="S8604" s="18" t="s">
        <v>8141</v>
      </c>
      <c r="T8604" s="18" t="s">
        <v>20269</v>
      </c>
      <c r="U8604" s="18" t="s">
        <v>20270</v>
      </c>
      <c r="V8604" s="18" t="s">
        <v>20271</v>
      </c>
      <c r="W8604" s="18" t="s">
        <v>49359</v>
      </c>
      <c r="X8604" s="18" t="s">
        <v>154</v>
      </c>
      <c r="Y8604" s="18" t="s">
        <v>17171</v>
      </c>
      <c r="Z8604" s="18" t="s">
        <v>166</v>
      </c>
      <c r="AA8604" s="21" t="str">
        <f>HYPERLINK("https://www.ncbi.nlm.nih.gov/nuccore/AF013369","NCBI Nucleotide")</f>
        <v>NCBI Nucleotide</v>
      </c>
    </row>
    <row r="8605" spans="1:27" x14ac:dyDescent="0.35">
      <c r="A8605">
        <v>1009095</v>
      </c>
      <c r="B8605">
        <v>7968</v>
      </c>
      <c r="C8605">
        <v>1</v>
      </c>
      <c r="D8605" s="17" t="s">
        <v>17166</v>
      </c>
      <c r="E8605" s="17"/>
      <c r="F8605" s="17" t="s">
        <v>17246</v>
      </c>
      <c r="G8605" s="17"/>
      <c r="H8605" s="17" t="s">
        <v>17984</v>
      </c>
      <c r="I8605" s="17"/>
      <c r="J8605" s="17" t="s">
        <v>19986</v>
      </c>
      <c r="K8605" s="17"/>
      <c r="L8605" s="17" t="s">
        <v>19987</v>
      </c>
      <c r="M8605" s="17"/>
      <c r="N8605" s="17" t="s">
        <v>19988</v>
      </c>
      <c r="O8605" s="17"/>
      <c r="P8605" s="17" t="s">
        <v>20070</v>
      </c>
      <c r="Q8605" s="17"/>
      <c r="R8605" s="25" t="str">
        <f>HYPERLINK("https://ictv.global/taxonomy/taxondetails?taxnode_id=202303104","Orthoflavivirus powassanense")</f>
        <v>Orthoflavivirus powassanense</v>
      </c>
      <c r="S8605" s="18" t="s">
        <v>30</v>
      </c>
      <c r="T8605" s="18" t="s">
        <v>20272</v>
      </c>
      <c r="U8605" s="18" t="s">
        <v>20273</v>
      </c>
      <c r="V8605" s="18" t="s">
        <v>20274</v>
      </c>
      <c r="W8605" s="18" t="s">
        <v>20275</v>
      </c>
      <c r="X8605" s="18" t="s">
        <v>42</v>
      </c>
      <c r="Y8605" s="18" t="s">
        <v>17171</v>
      </c>
      <c r="Z8605" s="18" t="s">
        <v>12289</v>
      </c>
      <c r="AA8605" s="21" t="str">
        <f>HYPERLINK("https://www.ncbi.nlm.nih.gov/nuccore/L06436","NCBI Nucleotide")</f>
        <v>NCBI Nucleotide</v>
      </c>
    </row>
    <row r="8606" spans="1:27" x14ac:dyDescent="0.35">
      <c r="A8606">
        <v>1012804</v>
      </c>
      <c r="B8606">
        <v>7968</v>
      </c>
      <c r="C8606">
        <v>2</v>
      </c>
      <c r="D8606" s="17" t="s">
        <v>17166</v>
      </c>
      <c r="E8606" s="17"/>
      <c r="F8606" s="17" t="s">
        <v>17246</v>
      </c>
      <c r="G8606" s="17"/>
      <c r="H8606" s="17" t="s">
        <v>17984</v>
      </c>
      <c r="I8606" s="17"/>
      <c r="J8606" s="17" t="s">
        <v>19986</v>
      </c>
      <c r="K8606" s="17"/>
      <c r="L8606" s="17" t="s">
        <v>19987</v>
      </c>
      <c r="M8606" s="17"/>
      <c r="N8606" s="17" t="s">
        <v>19988</v>
      </c>
      <c r="O8606" s="17"/>
      <c r="P8606" s="17" t="s">
        <v>20070</v>
      </c>
      <c r="Q8606" s="17"/>
      <c r="R8606" s="25" t="str">
        <f>HYPERLINK("https://ictv.global/taxonomy/taxondetails?taxnode_id=202303104","Orthoflavivirus powassanense")</f>
        <v>Orthoflavivirus powassanense</v>
      </c>
      <c r="S8606" s="18" t="s">
        <v>8141</v>
      </c>
      <c r="T8606" s="18" t="s">
        <v>20276</v>
      </c>
      <c r="U8606" s="18" t="s">
        <v>20277</v>
      </c>
      <c r="V8606" s="18" t="s">
        <v>20278</v>
      </c>
      <c r="W8606" s="18" t="s">
        <v>49360</v>
      </c>
      <c r="X8606" s="18" t="s">
        <v>35</v>
      </c>
      <c r="Y8606" s="18" t="s">
        <v>17171</v>
      </c>
      <c r="Z8606" s="18" t="s">
        <v>12289</v>
      </c>
      <c r="AA8606" s="21" t="str">
        <f>HYPERLINK("https://www.ncbi.nlm.nih.gov/nuccore/AF311056","NCBI Nucleotide")</f>
        <v>NCBI Nucleotide</v>
      </c>
    </row>
    <row r="8607" spans="1:27" x14ac:dyDescent="0.35">
      <c r="A8607">
        <v>1009096</v>
      </c>
      <c r="B8607">
        <v>7969</v>
      </c>
      <c r="C8607">
        <v>1</v>
      </c>
      <c r="D8607" s="17" t="s">
        <v>17166</v>
      </c>
      <c r="E8607" s="17"/>
      <c r="F8607" s="17" t="s">
        <v>17246</v>
      </c>
      <c r="G8607" s="17"/>
      <c r="H8607" s="17" t="s">
        <v>17984</v>
      </c>
      <c r="I8607" s="17"/>
      <c r="J8607" s="17" t="s">
        <v>19986</v>
      </c>
      <c r="K8607" s="17"/>
      <c r="L8607" s="17" t="s">
        <v>19987</v>
      </c>
      <c r="M8607" s="17"/>
      <c r="N8607" s="17" t="s">
        <v>19988</v>
      </c>
      <c r="O8607" s="17"/>
      <c r="P8607" s="17" t="s">
        <v>20070</v>
      </c>
      <c r="Q8607" s="17"/>
      <c r="R8607" s="25" t="str">
        <f>HYPERLINK("https://ictv.global/taxonomy/taxondetails?taxnode_id=202303106","Orthoflavivirus royalense")</f>
        <v>Orthoflavivirus royalense</v>
      </c>
      <c r="S8607" s="18" t="s">
        <v>30</v>
      </c>
      <c r="T8607" s="18" t="s">
        <v>20279</v>
      </c>
      <c r="U8607" s="18" t="s">
        <v>20280</v>
      </c>
      <c r="V8607" s="18" t="s">
        <v>20281</v>
      </c>
      <c r="W8607" s="18" t="s">
        <v>20282</v>
      </c>
      <c r="X8607" s="18" t="s">
        <v>42</v>
      </c>
      <c r="Y8607" s="18" t="s">
        <v>17171</v>
      </c>
      <c r="Z8607" s="18" t="s">
        <v>12289</v>
      </c>
      <c r="AA8607" s="21" t="str">
        <f>HYPERLINK("https://www.ncbi.nlm.nih.gov/nuccore/DQ235149","NCBI Nucleotide")</f>
        <v>NCBI Nucleotide</v>
      </c>
    </row>
    <row r="8608" spans="1:27" x14ac:dyDescent="0.35">
      <c r="A8608">
        <v>1009097</v>
      </c>
      <c r="B8608">
        <v>7970</v>
      </c>
      <c r="C8608">
        <v>1</v>
      </c>
      <c r="D8608" s="17" t="s">
        <v>17166</v>
      </c>
      <c r="E8608" s="17"/>
      <c r="F8608" s="17" t="s">
        <v>17246</v>
      </c>
      <c r="G8608" s="17"/>
      <c r="H8608" s="17" t="s">
        <v>17984</v>
      </c>
      <c r="I8608" s="17"/>
      <c r="J8608" s="17" t="s">
        <v>19986</v>
      </c>
      <c r="K8608" s="17"/>
      <c r="L8608" s="17" t="s">
        <v>19987</v>
      </c>
      <c r="M8608" s="17"/>
      <c r="N8608" s="17" t="s">
        <v>19988</v>
      </c>
      <c r="O8608" s="17"/>
      <c r="P8608" s="17" t="s">
        <v>20070</v>
      </c>
      <c r="Q8608" s="17"/>
      <c r="R8608" s="25" t="str">
        <f>HYPERLINK("https://ictv.global/taxonomy/taxondetails?taxnode_id=202303107","Orthoflavivirus saboyaense")</f>
        <v>Orthoflavivirus saboyaense</v>
      </c>
      <c r="S8608" s="18" t="s">
        <v>30</v>
      </c>
      <c r="T8608" s="18" t="s">
        <v>20283</v>
      </c>
      <c r="U8608" s="18" t="s">
        <v>20284</v>
      </c>
      <c r="V8608" s="18" t="s">
        <v>20285</v>
      </c>
      <c r="W8608" s="18" t="s">
        <v>20286</v>
      </c>
      <c r="X8608" s="18" t="s">
        <v>42</v>
      </c>
      <c r="Y8608" s="18" t="s">
        <v>17171</v>
      </c>
      <c r="Z8608" s="18" t="s">
        <v>12289</v>
      </c>
      <c r="AA8608" s="21" t="str">
        <f>HYPERLINK("https://www.ncbi.nlm.nih.gov/nuccore/DQ859062","NCBI Nucleotide")</f>
        <v>NCBI Nucleotide</v>
      </c>
    </row>
    <row r="8609" spans="1:27" x14ac:dyDescent="0.35">
      <c r="A8609">
        <v>1012805</v>
      </c>
      <c r="B8609">
        <v>7970</v>
      </c>
      <c r="C8609">
        <v>2</v>
      </c>
      <c r="D8609" s="17" t="s">
        <v>17166</v>
      </c>
      <c r="E8609" s="17"/>
      <c r="F8609" s="17" t="s">
        <v>17246</v>
      </c>
      <c r="G8609" s="17"/>
      <c r="H8609" s="17" t="s">
        <v>17984</v>
      </c>
      <c r="I8609" s="17"/>
      <c r="J8609" s="17" t="s">
        <v>19986</v>
      </c>
      <c r="K8609" s="17"/>
      <c r="L8609" s="17" t="s">
        <v>19987</v>
      </c>
      <c r="M8609" s="17"/>
      <c r="N8609" s="17" t="s">
        <v>19988</v>
      </c>
      <c r="O8609" s="17"/>
      <c r="P8609" s="17" t="s">
        <v>20070</v>
      </c>
      <c r="Q8609" s="17"/>
      <c r="R8609" s="25" t="str">
        <f>HYPERLINK("https://ictv.global/taxonomy/taxondetails?taxnode_id=202303107","Orthoflavivirus saboyaense")</f>
        <v>Orthoflavivirus saboyaense</v>
      </c>
      <c r="S8609" s="18" t="s">
        <v>8141</v>
      </c>
      <c r="T8609" s="18" t="s">
        <v>20287</v>
      </c>
      <c r="U8609" s="18" t="s">
        <v>20288</v>
      </c>
      <c r="V8609" s="18" t="s">
        <v>20289</v>
      </c>
      <c r="W8609" s="18" t="s">
        <v>49361</v>
      </c>
      <c r="X8609" s="18" t="s">
        <v>35</v>
      </c>
      <c r="Y8609" s="18" t="s">
        <v>17171</v>
      </c>
      <c r="Z8609" s="18" t="s">
        <v>12289</v>
      </c>
      <c r="AA8609" s="21" t="str">
        <f>HYPERLINK("https://www.ncbi.nlm.nih.gov/nuccore/DQ859067","NCBI Nucleotide")</f>
        <v>NCBI Nucleotide</v>
      </c>
    </row>
    <row r="8610" spans="1:27" x14ac:dyDescent="0.35">
      <c r="A8610">
        <v>1009098</v>
      </c>
      <c r="B8610">
        <v>7971</v>
      </c>
      <c r="C8610">
        <v>1</v>
      </c>
      <c r="D8610" s="17" t="s">
        <v>17166</v>
      </c>
      <c r="E8610" s="17"/>
      <c r="F8610" s="17" t="s">
        <v>17246</v>
      </c>
      <c r="G8610" s="17"/>
      <c r="H8610" s="17" t="s">
        <v>17984</v>
      </c>
      <c r="I8610" s="17"/>
      <c r="J8610" s="17" t="s">
        <v>19986</v>
      </c>
      <c r="K8610" s="17"/>
      <c r="L8610" s="17" t="s">
        <v>19987</v>
      </c>
      <c r="M8610" s="17"/>
      <c r="N8610" s="17" t="s">
        <v>19988</v>
      </c>
      <c r="O8610" s="17"/>
      <c r="P8610" s="17" t="s">
        <v>20070</v>
      </c>
      <c r="Q8610" s="17"/>
      <c r="R8610" s="25" t="str">
        <f>HYPERLINK("https://ictv.global/taxonomy/taxondetails?taxnode_id=202303110","Orthoflavivirus saumarezense")</f>
        <v>Orthoflavivirus saumarezense</v>
      </c>
      <c r="S8610" s="18" t="s">
        <v>30</v>
      </c>
      <c r="T8610" s="18" t="s">
        <v>20290</v>
      </c>
      <c r="U8610" s="18" t="s">
        <v>20291</v>
      </c>
      <c r="V8610" s="18" t="s">
        <v>13887</v>
      </c>
      <c r="W8610" s="18" t="s">
        <v>20292</v>
      </c>
      <c r="X8610" s="18" t="s">
        <v>42</v>
      </c>
      <c r="Y8610" s="18" t="s">
        <v>17171</v>
      </c>
      <c r="Z8610" s="18" t="s">
        <v>12289</v>
      </c>
      <c r="AA8610" s="21" t="str">
        <f>HYPERLINK("https://www.ncbi.nlm.nih.gov/nuccore/DQ235150","NCBI Nucleotide")</f>
        <v>NCBI Nucleotide</v>
      </c>
    </row>
    <row r="8611" spans="1:27" x14ac:dyDescent="0.35">
      <c r="A8611">
        <v>1009099</v>
      </c>
      <c r="B8611">
        <v>7972</v>
      </c>
      <c r="C8611">
        <v>1</v>
      </c>
      <c r="D8611" s="17" t="s">
        <v>17166</v>
      </c>
      <c r="E8611" s="17"/>
      <c r="F8611" s="17" t="s">
        <v>17246</v>
      </c>
      <c r="G8611" s="17"/>
      <c r="H8611" s="17" t="s">
        <v>17984</v>
      </c>
      <c r="I8611" s="17"/>
      <c r="J8611" s="17" t="s">
        <v>19986</v>
      </c>
      <c r="K8611" s="17"/>
      <c r="L8611" s="17" t="s">
        <v>19987</v>
      </c>
      <c r="M8611" s="17"/>
      <c r="N8611" s="17" t="s">
        <v>19988</v>
      </c>
      <c r="O8611" s="17"/>
      <c r="P8611" s="17" t="s">
        <v>20070</v>
      </c>
      <c r="Q8611" s="17"/>
      <c r="R8611" s="25" t="str">
        <f>HYPERLINK("https://ictv.global/taxonomy/taxondetails?taxnode_id=202303111","Orthoflavivirus sepikense")</f>
        <v>Orthoflavivirus sepikense</v>
      </c>
      <c r="S8611" s="18" t="s">
        <v>30</v>
      </c>
      <c r="T8611" s="18" t="s">
        <v>20293</v>
      </c>
      <c r="U8611" s="18" t="s">
        <v>20294</v>
      </c>
      <c r="V8611" s="18" t="s">
        <v>20295</v>
      </c>
      <c r="W8611" s="18" t="s">
        <v>20296</v>
      </c>
      <c r="X8611" s="18" t="s">
        <v>42</v>
      </c>
      <c r="Y8611" s="18" t="s">
        <v>17171</v>
      </c>
      <c r="Z8611" s="18" t="s">
        <v>12289</v>
      </c>
      <c r="AA8611" s="21" t="str">
        <f>HYPERLINK("https://www.ncbi.nlm.nih.gov/nuccore/DQ837642","NCBI Nucleotide")</f>
        <v>NCBI Nucleotide</v>
      </c>
    </row>
    <row r="8612" spans="1:27" x14ac:dyDescent="0.35">
      <c r="A8612">
        <v>1009100</v>
      </c>
      <c r="B8612">
        <v>7973</v>
      </c>
      <c r="C8612">
        <v>1</v>
      </c>
      <c r="D8612" s="17" t="s">
        <v>17166</v>
      </c>
      <c r="E8612" s="17"/>
      <c r="F8612" s="17" t="s">
        <v>17246</v>
      </c>
      <c r="G8612" s="17"/>
      <c r="H8612" s="17" t="s">
        <v>17984</v>
      </c>
      <c r="I8612" s="17"/>
      <c r="J8612" s="17" t="s">
        <v>19986</v>
      </c>
      <c r="K8612" s="17"/>
      <c r="L8612" s="17" t="s">
        <v>19987</v>
      </c>
      <c r="M8612" s="17"/>
      <c r="N8612" s="17" t="s">
        <v>19988</v>
      </c>
      <c r="O8612" s="17"/>
      <c r="P8612" s="17" t="s">
        <v>20070</v>
      </c>
      <c r="Q8612" s="17"/>
      <c r="R8612" s="25" t="str">
        <f>HYPERLINK("https://ictv.global/taxonomy/taxondetails?taxnode_id=202303113","Orthoflavivirus tembusu")</f>
        <v>Orthoflavivirus tembusu</v>
      </c>
      <c r="S8612" s="18" t="s">
        <v>30</v>
      </c>
      <c r="T8612" s="18" t="s">
        <v>20297</v>
      </c>
      <c r="U8612" s="18" t="s">
        <v>20298</v>
      </c>
      <c r="V8612" s="18" t="s">
        <v>20299</v>
      </c>
      <c r="W8612" s="18" t="s">
        <v>20300</v>
      </c>
      <c r="X8612" s="18" t="s">
        <v>42</v>
      </c>
      <c r="Y8612" s="18" t="s">
        <v>17171</v>
      </c>
      <c r="Z8612" s="18" t="s">
        <v>12289</v>
      </c>
      <c r="AA8612" s="21" t="str">
        <f>HYPERLINK("https://www.ncbi.nlm.nih.gov/nuccore/JF895923","NCBI Nucleotide")</f>
        <v>NCBI Nucleotide</v>
      </c>
    </row>
    <row r="8613" spans="1:27" x14ac:dyDescent="0.35">
      <c r="A8613">
        <v>1009101</v>
      </c>
      <c r="B8613">
        <v>7974</v>
      </c>
      <c r="C8613">
        <v>1</v>
      </c>
      <c r="D8613" s="17" t="s">
        <v>17166</v>
      </c>
      <c r="E8613" s="17"/>
      <c r="F8613" s="17" t="s">
        <v>17246</v>
      </c>
      <c r="G8613" s="17"/>
      <c r="H8613" s="17" t="s">
        <v>17984</v>
      </c>
      <c r="I8613" s="17"/>
      <c r="J8613" s="17" t="s">
        <v>19986</v>
      </c>
      <c r="K8613" s="17"/>
      <c r="L8613" s="17" t="s">
        <v>19987</v>
      </c>
      <c r="M8613" s="17"/>
      <c r="N8613" s="17" t="s">
        <v>19988</v>
      </c>
      <c r="O8613" s="17"/>
      <c r="P8613" s="17" t="s">
        <v>20070</v>
      </c>
      <c r="Q8613" s="17"/>
      <c r="R8613" s="25" t="str">
        <f>HYPERLINK("https://ictv.global/taxonomy/taxondetails?taxnode_id=202303115","Orthoflavivirus tyuleniyense")</f>
        <v>Orthoflavivirus tyuleniyense</v>
      </c>
      <c r="S8613" s="18" t="s">
        <v>30</v>
      </c>
      <c r="T8613" s="18" t="s">
        <v>20301</v>
      </c>
      <c r="U8613" s="18" t="s">
        <v>20302</v>
      </c>
      <c r="V8613" s="18" t="s">
        <v>20303</v>
      </c>
      <c r="W8613" s="18" t="s">
        <v>20304</v>
      </c>
      <c r="X8613" s="18" t="s">
        <v>42</v>
      </c>
      <c r="Y8613" s="18" t="s">
        <v>17171</v>
      </c>
      <c r="Z8613" s="18" t="s">
        <v>12289</v>
      </c>
      <c r="AA8613" s="21" t="str">
        <f>HYPERLINK("https://www.ncbi.nlm.nih.gov/nuccore/KF815939","NCBI Nucleotide")</f>
        <v>NCBI Nucleotide</v>
      </c>
    </row>
    <row r="8614" spans="1:27" x14ac:dyDescent="0.35">
      <c r="A8614">
        <v>1009102</v>
      </c>
      <c r="B8614">
        <v>7975</v>
      </c>
      <c r="C8614">
        <v>1</v>
      </c>
      <c r="D8614" s="17" t="s">
        <v>17166</v>
      </c>
      <c r="E8614" s="17"/>
      <c r="F8614" s="17" t="s">
        <v>17246</v>
      </c>
      <c r="G8614" s="17"/>
      <c r="H8614" s="17" t="s">
        <v>17984</v>
      </c>
      <c r="I8614" s="17"/>
      <c r="J8614" s="17" t="s">
        <v>19986</v>
      </c>
      <c r="K8614" s="17"/>
      <c r="L8614" s="17" t="s">
        <v>19987</v>
      </c>
      <c r="M8614" s="17"/>
      <c r="N8614" s="17" t="s">
        <v>19988</v>
      </c>
      <c r="O8614" s="17"/>
      <c r="P8614" s="17" t="s">
        <v>20070</v>
      </c>
      <c r="Q8614" s="17"/>
      <c r="R8614" s="25" t="str">
        <f>HYPERLINK("https://ictv.global/taxonomy/taxondetails?taxnode_id=202303116","Orthoflavivirus ugandaense")</f>
        <v>Orthoflavivirus ugandaense</v>
      </c>
      <c r="S8614" s="18" t="s">
        <v>30</v>
      </c>
      <c r="T8614" s="18" t="s">
        <v>20305</v>
      </c>
      <c r="U8614" s="18" t="s">
        <v>20306</v>
      </c>
      <c r="V8614" s="18" t="s">
        <v>19516</v>
      </c>
      <c r="W8614" s="18" t="s">
        <v>20307</v>
      </c>
      <c r="X8614" s="18" t="s">
        <v>42</v>
      </c>
      <c r="Y8614" s="18" t="s">
        <v>17171</v>
      </c>
      <c r="Z8614" s="18" t="s">
        <v>12289</v>
      </c>
      <c r="AA8614" s="21" t="str">
        <f>HYPERLINK("https://www.ncbi.nlm.nih.gov/nuccore/DQ859065","NCBI Nucleotide")</f>
        <v>NCBI Nucleotide</v>
      </c>
    </row>
    <row r="8615" spans="1:27" x14ac:dyDescent="0.35">
      <c r="A8615">
        <v>1009103</v>
      </c>
      <c r="B8615">
        <v>7976</v>
      </c>
      <c r="C8615">
        <v>1</v>
      </c>
      <c r="D8615" s="17" t="s">
        <v>17166</v>
      </c>
      <c r="E8615" s="17"/>
      <c r="F8615" s="17" t="s">
        <v>17246</v>
      </c>
      <c r="G8615" s="17"/>
      <c r="H8615" s="17" t="s">
        <v>17984</v>
      </c>
      <c r="I8615" s="17"/>
      <c r="J8615" s="17" t="s">
        <v>19986</v>
      </c>
      <c r="K8615" s="17"/>
      <c r="L8615" s="17" t="s">
        <v>19987</v>
      </c>
      <c r="M8615" s="17"/>
      <c r="N8615" s="17" t="s">
        <v>19988</v>
      </c>
      <c r="O8615" s="17"/>
      <c r="P8615" s="17" t="s">
        <v>20070</v>
      </c>
      <c r="Q8615" s="17"/>
      <c r="R8615" s="25" t="str">
        <f>HYPERLINK("https://ictv.global/taxonomy/taxondetails?taxnode_id=202303117","Orthoflavivirus usutuense")</f>
        <v>Orthoflavivirus usutuense</v>
      </c>
      <c r="S8615" s="18" t="s">
        <v>30</v>
      </c>
      <c r="T8615" s="18" t="s">
        <v>20308</v>
      </c>
      <c r="U8615" s="18" t="s">
        <v>20309</v>
      </c>
      <c r="V8615" s="18" t="s">
        <v>20310</v>
      </c>
      <c r="W8615" s="18" t="s">
        <v>20311</v>
      </c>
      <c r="X8615" s="18" t="s">
        <v>42</v>
      </c>
      <c r="Y8615" s="18" t="s">
        <v>17171</v>
      </c>
      <c r="Z8615" s="18" t="s">
        <v>12289</v>
      </c>
      <c r="AA8615" s="21" t="str">
        <f>HYPERLINK("https://www.ncbi.nlm.nih.gov/nuccore/AY453411","NCBI Nucleotide")</f>
        <v>NCBI Nucleotide</v>
      </c>
    </row>
    <row r="8616" spans="1:27" x14ac:dyDescent="0.35">
      <c r="A8616">
        <v>1009104</v>
      </c>
      <c r="B8616">
        <v>7977</v>
      </c>
      <c r="C8616">
        <v>1</v>
      </c>
      <c r="D8616" s="17" t="s">
        <v>17166</v>
      </c>
      <c r="E8616" s="17"/>
      <c r="F8616" s="17" t="s">
        <v>17246</v>
      </c>
      <c r="G8616" s="17"/>
      <c r="H8616" s="17" t="s">
        <v>17984</v>
      </c>
      <c r="I8616" s="17"/>
      <c r="J8616" s="17" t="s">
        <v>19986</v>
      </c>
      <c r="K8616" s="17"/>
      <c r="L8616" s="17" t="s">
        <v>19987</v>
      </c>
      <c r="M8616" s="17"/>
      <c r="N8616" s="17" t="s">
        <v>19988</v>
      </c>
      <c r="O8616" s="17"/>
      <c r="P8616" s="17" t="s">
        <v>20070</v>
      </c>
      <c r="Q8616" s="17"/>
      <c r="R8616" s="25" t="str">
        <f>HYPERLINK("https://ictv.global/taxonomy/taxondetails?taxnode_id=202303108","Orthoflavivirus viejaense")</f>
        <v>Orthoflavivirus viejaense</v>
      </c>
      <c r="S8616" s="18" t="s">
        <v>30</v>
      </c>
      <c r="T8616" s="18" t="s">
        <v>20312</v>
      </c>
      <c r="U8616" s="18" t="s">
        <v>20313</v>
      </c>
      <c r="V8616" s="18" t="s">
        <v>20314</v>
      </c>
      <c r="W8616" s="18" t="s">
        <v>20315</v>
      </c>
      <c r="X8616" s="18" t="s">
        <v>154</v>
      </c>
      <c r="Y8616" s="18" t="s">
        <v>17171</v>
      </c>
      <c r="Z8616" s="18" t="s">
        <v>166</v>
      </c>
      <c r="AA8616" s="21" t="str">
        <f>HYPERLINK("https://www.ncbi.nlm.nih.gov/nuccore/AF013401","NCBI Nucleotide")</f>
        <v>NCBI Nucleotide</v>
      </c>
    </row>
    <row r="8617" spans="1:27" x14ac:dyDescent="0.35">
      <c r="A8617">
        <v>1009105</v>
      </c>
      <c r="B8617">
        <v>7978</v>
      </c>
      <c r="C8617">
        <v>1</v>
      </c>
      <c r="D8617" s="17" t="s">
        <v>17166</v>
      </c>
      <c r="E8617" s="17"/>
      <c r="F8617" s="17" t="s">
        <v>17246</v>
      </c>
      <c r="G8617" s="17"/>
      <c r="H8617" s="17" t="s">
        <v>17984</v>
      </c>
      <c r="I8617" s="17"/>
      <c r="J8617" s="17" t="s">
        <v>19986</v>
      </c>
      <c r="K8617" s="17"/>
      <c r="L8617" s="17" t="s">
        <v>19987</v>
      </c>
      <c r="M8617" s="17"/>
      <c r="N8617" s="17" t="s">
        <v>19988</v>
      </c>
      <c r="O8617" s="17"/>
      <c r="P8617" s="17" t="s">
        <v>20070</v>
      </c>
      <c r="Q8617" s="17"/>
      <c r="R8617" s="25" t="str">
        <f>HYPERLINK("https://ictv.global/taxonomy/taxondetails?taxnode_id=202303118","Orthoflavivirus wesselsbronense")</f>
        <v>Orthoflavivirus wesselsbronense</v>
      </c>
      <c r="S8617" s="18" t="s">
        <v>30</v>
      </c>
      <c r="T8617" s="18" t="s">
        <v>20316</v>
      </c>
      <c r="U8617" s="18" t="s">
        <v>20317</v>
      </c>
      <c r="V8617" s="18" t="s">
        <v>20318</v>
      </c>
      <c r="W8617" s="18" t="s">
        <v>20319</v>
      </c>
      <c r="X8617" s="18" t="s">
        <v>42</v>
      </c>
      <c r="Y8617" s="18" t="s">
        <v>17171</v>
      </c>
      <c r="Z8617" s="18" t="s">
        <v>12289</v>
      </c>
      <c r="AA8617" s="21" t="str">
        <f>HYPERLINK("https://www.ncbi.nlm.nih.gov/nuccore/EU707555","NCBI Nucleotide")</f>
        <v>NCBI Nucleotide</v>
      </c>
    </row>
    <row r="8618" spans="1:27" x14ac:dyDescent="0.35">
      <c r="A8618">
        <v>1009106</v>
      </c>
      <c r="B8618">
        <v>7979</v>
      </c>
      <c r="C8618">
        <v>1</v>
      </c>
      <c r="D8618" s="17" t="s">
        <v>17166</v>
      </c>
      <c r="E8618" s="17"/>
      <c r="F8618" s="17" t="s">
        <v>17246</v>
      </c>
      <c r="G8618" s="17"/>
      <c r="H8618" s="17" t="s">
        <v>17984</v>
      </c>
      <c r="I8618" s="17"/>
      <c r="J8618" s="17" t="s">
        <v>19986</v>
      </c>
      <c r="K8618" s="17"/>
      <c r="L8618" s="17" t="s">
        <v>19987</v>
      </c>
      <c r="M8618" s="17"/>
      <c r="N8618" s="17" t="s">
        <v>19988</v>
      </c>
      <c r="O8618" s="17"/>
      <c r="P8618" s="17" t="s">
        <v>20070</v>
      </c>
      <c r="Q8618" s="17"/>
      <c r="R8618" s="25" t="str">
        <f>HYPERLINK("https://ictv.global/taxonomy/taxondetails?taxnode_id=202303120","Orthoflavivirus yaoundeense")</f>
        <v>Orthoflavivirus yaoundeense</v>
      </c>
      <c r="S8618" s="18" t="s">
        <v>30</v>
      </c>
      <c r="T8618" s="18" t="s">
        <v>20320</v>
      </c>
      <c r="U8618" s="18" t="s">
        <v>20321</v>
      </c>
      <c r="V8618" s="18" t="s">
        <v>20322</v>
      </c>
      <c r="W8618" s="18" t="s">
        <v>20323</v>
      </c>
      <c r="X8618" s="18" t="s">
        <v>154</v>
      </c>
      <c r="Y8618" s="18" t="s">
        <v>17171</v>
      </c>
      <c r="Z8618" s="18" t="s">
        <v>12289</v>
      </c>
      <c r="AA8618" s="21" t="str">
        <f>HYPERLINK("https://www.ncbi.nlm.nih.gov/nuccore/AF013413","NCBI Nucleotide")</f>
        <v>NCBI Nucleotide</v>
      </c>
    </row>
    <row r="8619" spans="1:27" x14ac:dyDescent="0.35">
      <c r="A8619">
        <v>1009107</v>
      </c>
      <c r="B8619">
        <v>7980</v>
      </c>
      <c r="C8619">
        <v>1</v>
      </c>
      <c r="D8619" s="17" t="s">
        <v>17166</v>
      </c>
      <c r="E8619" s="17"/>
      <c r="F8619" s="17" t="s">
        <v>17246</v>
      </c>
      <c r="G8619" s="17"/>
      <c r="H8619" s="17" t="s">
        <v>17984</v>
      </c>
      <c r="I8619" s="17"/>
      <c r="J8619" s="17" t="s">
        <v>19986</v>
      </c>
      <c r="K8619" s="17"/>
      <c r="L8619" s="17" t="s">
        <v>19987</v>
      </c>
      <c r="M8619" s="17"/>
      <c r="N8619" s="17" t="s">
        <v>19988</v>
      </c>
      <c r="O8619" s="17"/>
      <c r="P8619" s="17" t="s">
        <v>20070</v>
      </c>
      <c r="Q8619" s="17"/>
      <c r="R8619" s="25" t="str">
        <f>HYPERLINK("https://ictv.global/taxonomy/taxondetails?taxnode_id=202303122","Orthoflavivirus yokoseense")</f>
        <v>Orthoflavivirus yokoseense</v>
      </c>
      <c r="S8619" s="18" t="s">
        <v>30</v>
      </c>
      <c r="T8619" s="18" t="s">
        <v>20324</v>
      </c>
      <c r="U8619" s="18" t="s">
        <v>20325</v>
      </c>
      <c r="V8619" s="18" t="s">
        <v>20326</v>
      </c>
      <c r="W8619" s="18" t="s">
        <v>20327</v>
      </c>
      <c r="X8619" s="18" t="s">
        <v>42</v>
      </c>
      <c r="Y8619" s="18" t="s">
        <v>17171</v>
      </c>
      <c r="Z8619" s="18" t="s">
        <v>166</v>
      </c>
      <c r="AA8619" s="21" t="str">
        <f>HYPERLINK("https://www.ncbi.nlm.nih.gov/nuccore/AB114858","NCBI Nucleotide")</f>
        <v>NCBI Nucleotide</v>
      </c>
    </row>
    <row r="8620" spans="1:27" x14ac:dyDescent="0.35">
      <c r="A8620">
        <v>1009108</v>
      </c>
      <c r="B8620">
        <v>7981</v>
      </c>
      <c r="C8620">
        <v>1</v>
      </c>
      <c r="D8620" s="17" t="s">
        <v>17166</v>
      </c>
      <c r="E8620" s="17"/>
      <c r="F8620" s="17" t="s">
        <v>17246</v>
      </c>
      <c r="G8620" s="17"/>
      <c r="H8620" s="17" t="s">
        <v>17984</v>
      </c>
      <c r="I8620" s="17"/>
      <c r="J8620" s="17" t="s">
        <v>19986</v>
      </c>
      <c r="K8620" s="17"/>
      <c r="L8620" s="17" t="s">
        <v>19987</v>
      </c>
      <c r="M8620" s="17"/>
      <c r="N8620" s="17" t="s">
        <v>19988</v>
      </c>
      <c r="O8620" s="17"/>
      <c r="P8620" s="17" t="s">
        <v>20070</v>
      </c>
      <c r="Q8620" s="17"/>
      <c r="R8620" s="25" t="str">
        <f>HYPERLINK("https://ictv.global/taxonomy/taxondetails?taxnode_id=202303123","Orthoflavivirus zikaense")</f>
        <v>Orthoflavivirus zikaense</v>
      </c>
      <c r="S8620" s="18" t="s">
        <v>30</v>
      </c>
      <c r="T8620" s="18" t="s">
        <v>20328</v>
      </c>
      <c r="U8620" s="18" t="s">
        <v>20329</v>
      </c>
      <c r="V8620" s="18" t="s">
        <v>20330</v>
      </c>
      <c r="W8620" s="18" t="s">
        <v>20331</v>
      </c>
      <c r="X8620" s="18" t="s">
        <v>42</v>
      </c>
      <c r="Y8620" s="18" t="s">
        <v>17171</v>
      </c>
      <c r="Z8620" s="18" t="s">
        <v>12289</v>
      </c>
      <c r="AA8620" s="21" t="str">
        <f>HYPERLINK("https://www.ncbi.nlm.nih.gov/nuccore/AY632535","NCBI Nucleotide")</f>
        <v>NCBI Nucleotide</v>
      </c>
    </row>
    <row r="8621" spans="1:27" x14ac:dyDescent="0.35">
      <c r="A8621">
        <v>1012806</v>
      </c>
      <c r="B8621">
        <v>7981</v>
      </c>
      <c r="C8621">
        <v>2</v>
      </c>
      <c r="D8621" s="17" t="s">
        <v>17166</v>
      </c>
      <c r="E8621" s="17"/>
      <c r="F8621" s="17" t="s">
        <v>17246</v>
      </c>
      <c r="G8621" s="17"/>
      <c r="H8621" s="17" t="s">
        <v>17984</v>
      </c>
      <c r="I8621" s="17"/>
      <c r="J8621" s="17" t="s">
        <v>19986</v>
      </c>
      <c r="K8621" s="17"/>
      <c r="L8621" s="17" t="s">
        <v>19987</v>
      </c>
      <c r="M8621" s="17"/>
      <c r="N8621" s="17" t="s">
        <v>19988</v>
      </c>
      <c r="O8621" s="17"/>
      <c r="P8621" s="17" t="s">
        <v>20070</v>
      </c>
      <c r="Q8621" s="17"/>
      <c r="R8621" s="25" t="str">
        <f>HYPERLINK("https://ictv.global/taxonomy/taxondetails?taxnode_id=202303123","Orthoflavivirus zikaense")</f>
        <v>Orthoflavivirus zikaense</v>
      </c>
      <c r="S8621" s="18" t="s">
        <v>8141</v>
      </c>
      <c r="T8621" s="18" t="s">
        <v>20328</v>
      </c>
      <c r="U8621" s="18" t="s">
        <v>20329</v>
      </c>
      <c r="V8621" s="18" t="s">
        <v>20332</v>
      </c>
      <c r="W8621" s="18" t="s">
        <v>49362</v>
      </c>
      <c r="X8621" s="18" t="s">
        <v>42</v>
      </c>
      <c r="Y8621" s="18" t="s">
        <v>17171</v>
      </c>
      <c r="Z8621" s="18" t="s">
        <v>12289</v>
      </c>
      <c r="AA8621" s="21" t="str">
        <f>HYPERLINK("https://www.ncbi.nlm.nih.gov/nuccore/KY766069","NCBI Nucleotide")</f>
        <v>NCBI Nucleotide</v>
      </c>
    </row>
    <row r="8622" spans="1:27" x14ac:dyDescent="0.35">
      <c r="A8622">
        <v>1012807</v>
      </c>
      <c r="B8622">
        <v>7981</v>
      </c>
      <c r="C8622">
        <v>3</v>
      </c>
      <c r="D8622" s="17" t="s">
        <v>17166</v>
      </c>
      <c r="E8622" s="17"/>
      <c r="F8622" s="17" t="s">
        <v>17246</v>
      </c>
      <c r="G8622" s="17"/>
      <c r="H8622" s="17" t="s">
        <v>17984</v>
      </c>
      <c r="I8622" s="17"/>
      <c r="J8622" s="17" t="s">
        <v>19986</v>
      </c>
      <c r="K8622" s="17"/>
      <c r="L8622" s="17" t="s">
        <v>19987</v>
      </c>
      <c r="M8622" s="17"/>
      <c r="N8622" s="17" t="s">
        <v>19988</v>
      </c>
      <c r="O8622" s="17"/>
      <c r="P8622" s="17" t="s">
        <v>20070</v>
      </c>
      <c r="Q8622" s="17"/>
      <c r="R8622" s="25" t="str">
        <f>HYPERLINK("https://ictv.global/taxonomy/taxondetails?taxnode_id=202303123","Orthoflavivirus zikaense")</f>
        <v>Orthoflavivirus zikaense</v>
      </c>
      <c r="S8622" s="18" t="s">
        <v>8141</v>
      </c>
      <c r="T8622" s="18" t="s">
        <v>20328</v>
      </c>
      <c r="U8622" s="18" t="s">
        <v>20329</v>
      </c>
      <c r="V8622" s="18" t="s">
        <v>20333</v>
      </c>
      <c r="W8622" s="18" t="s">
        <v>49363</v>
      </c>
      <c r="X8622" s="18" t="s">
        <v>42</v>
      </c>
      <c r="Y8622" s="18" t="s">
        <v>17171</v>
      </c>
      <c r="Z8622" s="18" t="s">
        <v>12289</v>
      </c>
      <c r="AA8622" s="21" t="str">
        <f>HYPERLINK("https://www.ncbi.nlm.nih.gov/nuccore/KJ776791","NCBI Nucleotide")</f>
        <v>NCBI Nucleotide</v>
      </c>
    </row>
    <row r="8623" spans="1:27" x14ac:dyDescent="0.35">
      <c r="A8623">
        <v>1012808</v>
      </c>
      <c r="B8623">
        <v>7981</v>
      </c>
      <c r="C8623">
        <v>4</v>
      </c>
      <c r="D8623" s="17" t="s">
        <v>17166</v>
      </c>
      <c r="E8623" s="17"/>
      <c r="F8623" s="17" t="s">
        <v>17246</v>
      </c>
      <c r="G8623" s="17"/>
      <c r="H8623" s="17" t="s">
        <v>17984</v>
      </c>
      <c r="I8623" s="17"/>
      <c r="J8623" s="17" t="s">
        <v>19986</v>
      </c>
      <c r="K8623" s="17"/>
      <c r="L8623" s="17" t="s">
        <v>19987</v>
      </c>
      <c r="M8623" s="17"/>
      <c r="N8623" s="17" t="s">
        <v>19988</v>
      </c>
      <c r="O8623" s="17"/>
      <c r="P8623" s="17" t="s">
        <v>20070</v>
      </c>
      <c r="Q8623" s="17"/>
      <c r="R8623" s="25" t="str">
        <f>HYPERLINK("https://ictv.global/taxonomy/taxondetails?taxnode_id=202303123","Orthoflavivirus zikaense")</f>
        <v>Orthoflavivirus zikaense</v>
      </c>
      <c r="S8623" s="18" t="s">
        <v>8141</v>
      </c>
      <c r="T8623" s="18" t="s">
        <v>20328</v>
      </c>
      <c r="U8623" s="18" t="s">
        <v>20329</v>
      </c>
      <c r="V8623" s="18" t="s">
        <v>20334</v>
      </c>
      <c r="W8623" s="18" t="s">
        <v>49364</v>
      </c>
      <c r="X8623" s="18" t="s">
        <v>42</v>
      </c>
      <c r="Y8623" s="18" t="s">
        <v>17171</v>
      </c>
      <c r="Z8623" s="18" t="s">
        <v>12289</v>
      </c>
      <c r="AA8623" s="21" t="str">
        <f>HYPERLINK("https://www.ncbi.nlm.nih.gov/nuccore/KX377337","NCBI Nucleotide")</f>
        <v>NCBI Nucleotide</v>
      </c>
    </row>
    <row r="8624" spans="1:27" x14ac:dyDescent="0.35">
      <c r="A8624">
        <v>1009109</v>
      </c>
      <c r="B8624">
        <v>7982</v>
      </c>
      <c r="C8624">
        <v>1</v>
      </c>
      <c r="D8624" s="17" t="s">
        <v>17166</v>
      </c>
      <c r="E8624" s="17"/>
      <c r="F8624" s="17" t="s">
        <v>17246</v>
      </c>
      <c r="G8624" s="17"/>
      <c r="H8624" s="17" t="s">
        <v>17984</v>
      </c>
      <c r="I8624" s="17"/>
      <c r="J8624" s="17" t="s">
        <v>19986</v>
      </c>
      <c r="K8624" s="17"/>
      <c r="L8624" s="17" t="s">
        <v>19987</v>
      </c>
      <c r="M8624" s="17"/>
      <c r="N8624" s="17" t="s">
        <v>19988</v>
      </c>
      <c r="O8624" s="17"/>
      <c r="P8624" s="17" t="s">
        <v>20335</v>
      </c>
      <c r="Q8624" s="17"/>
      <c r="R8624" s="25" t="str">
        <f>HYPERLINK("https://ictv.global/taxonomy/taxondetails?taxnode_id=202303144","Pegivirus caballi")</f>
        <v>Pegivirus caballi</v>
      </c>
      <c r="S8624" s="18" t="s">
        <v>30</v>
      </c>
      <c r="T8624" s="18" t="s">
        <v>20336</v>
      </c>
      <c r="U8624" s="18" t="s">
        <v>20337</v>
      </c>
      <c r="V8624" s="18" t="s">
        <v>20338</v>
      </c>
      <c r="W8624" s="18" t="s">
        <v>20339</v>
      </c>
      <c r="X8624" s="18" t="s">
        <v>35</v>
      </c>
      <c r="Y8624" s="18" t="s">
        <v>17171</v>
      </c>
      <c r="Z8624" s="18" t="s">
        <v>166</v>
      </c>
      <c r="AA8624" s="21" t="str">
        <f>HYPERLINK("https://www.ncbi.nlm.nih.gov/nuccore/KC410872","NCBI Nucleotide")</f>
        <v>NCBI Nucleotide</v>
      </c>
    </row>
    <row r="8625" spans="1:27" x14ac:dyDescent="0.35">
      <c r="A8625">
        <v>1009110</v>
      </c>
      <c r="B8625">
        <v>7983</v>
      </c>
      <c r="C8625">
        <v>1</v>
      </c>
      <c r="D8625" s="17" t="s">
        <v>17166</v>
      </c>
      <c r="E8625" s="17"/>
      <c r="F8625" s="17" t="s">
        <v>17246</v>
      </c>
      <c r="G8625" s="17"/>
      <c r="H8625" s="17" t="s">
        <v>17984</v>
      </c>
      <c r="I8625" s="17"/>
      <c r="J8625" s="17" t="s">
        <v>19986</v>
      </c>
      <c r="K8625" s="17"/>
      <c r="L8625" s="17" t="s">
        <v>19987</v>
      </c>
      <c r="M8625" s="17"/>
      <c r="N8625" s="17" t="s">
        <v>19988</v>
      </c>
      <c r="O8625" s="17"/>
      <c r="P8625" s="17" t="s">
        <v>20335</v>
      </c>
      <c r="Q8625" s="17"/>
      <c r="R8625" s="25" t="str">
        <f>HYPERLINK("https://ictv.global/taxonomy/taxondetails?taxnode_id=202303145","Pegivirus carolliae")</f>
        <v>Pegivirus carolliae</v>
      </c>
      <c r="S8625" s="18" t="s">
        <v>30</v>
      </c>
      <c r="T8625" s="18" t="s">
        <v>20340</v>
      </c>
      <c r="U8625" s="18" t="s">
        <v>20341</v>
      </c>
      <c r="V8625" s="18" t="s">
        <v>20342</v>
      </c>
      <c r="W8625" s="18" t="s">
        <v>20343</v>
      </c>
      <c r="X8625" s="18" t="s">
        <v>35</v>
      </c>
      <c r="Y8625" s="18" t="s">
        <v>17171</v>
      </c>
      <c r="Z8625" s="18" t="s">
        <v>166</v>
      </c>
      <c r="AA8625" s="21" t="str">
        <f>HYPERLINK("https://www.ncbi.nlm.nih.gov/nuccore/KC796080","NCBI Nucleotide")</f>
        <v>NCBI Nucleotide</v>
      </c>
    </row>
    <row r="8626" spans="1:27" x14ac:dyDescent="0.35">
      <c r="A8626">
        <v>1009111</v>
      </c>
      <c r="B8626">
        <v>7984</v>
      </c>
      <c r="C8626">
        <v>1</v>
      </c>
      <c r="D8626" s="17" t="s">
        <v>17166</v>
      </c>
      <c r="E8626" s="17"/>
      <c r="F8626" s="17" t="s">
        <v>17246</v>
      </c>
      <c r="G8626" s="17"/>
      <c r="H8626" s="17" t="s">
        <v>17984</v>
      </c>
      <c r="I8626" s="17"/>
      <c r="J8626" s="17" t="s">
        <v>19986</v>
      </c>
      <c r="K8626" s="17"/>
      <c r="L8626" s="17" t="s">
        <v>19987</v>
      </c>
      <c r="M8626" s="17"/>
      <c r="N8626" s="17" t="s">
        <v>19988</v>
      </c>
      <c r="O8626" s="17"/>
      <c r="P8626" s="17" t="s">
        <v>20335</v>
      </c>
      <c r="Q8626" s="17"/>
      <c r="R8626" s="25" t="str">
        <f>HYPERLINK("https://ictv.global/taxonomy/taxondetails?taxnode_id=202303147","Pegivirus columbiaense")</f>
        <v>Pegivirus columbiaense</v>
      </c>
      <c r="S8626" s="18" t="s">
        <v>30</v>
      </c>
      <c r="T8626" s="18" t="s">
        <v>20344</v>
      </c>
      <c r="U8626" s="18" t="s">
        <v>20345</v>
      </c>
      <c r="V8626" s="18" t="s">
        <v>20346</v>
      </c>
      <c r="W8626" s="18" t="s">
        <v>20347</v>
      </c>
      <c r="X8626" s="18" t="s">
        <v>35</v>
      </c>
      <c r="Y8626" s="18" t="s">
        <v>17171</v>
      </c>
      <c r="Z8626" s="18" t="s">
        <v>166</v>
      </c>
      <c r="AA8626" s="21" t="str">
        <f>HYPERLINK("https://www.ncbi.nlm.nih.gov/nuccore/KT439329","NCBI Nucleotide")</f>
        <v>NCBI Nucleotide</v>
      </c>
    </row>
    <row r="8627" spans="1:27" x14ac:dyDescent="0.35">
      <c r="A8627">
        <v>1009112</v>
      </c>
      <c r="B8627">
        <v>7985</v>
      </c>
      <c r="C8627">
        <v>1</v>
      </c>
      <c r="D8627" s="17" t="s">
        <v>17166</v>
      </c>
      <c r="E8627" s="17"/>
      <c r="F8627" s="17" t="s">
        <v>17246</v>
      </c>
      <c r="G8627" s="17"/>
      <c r="H8627" s="17" t="s">
        <v>17984</v>
      </c>
      <c r="I8627" s="17"/>
      <c r="J8627" s="17" t="s">
        <v>19986</v>
      </c>
      <c r="K8627" s="17"/>
      <c r="L8627" s="17" t="s">
        <v>19987</v>
      </c>
      <c r="M8627" s="17"/>
      <c r="N8627" s="17" t="s">
        <v>19988</v>
      </c>
      <c r="O8627" s="17"/>
      <c r="P8627" s="17" t="s">
        <v>20335</v>
      </c>
      <c r="Q8627" s="17"/>
      <c r="R8627" s="25" t="str">
        <f>HYPERLINK("https://ictv.global/taxonomy/taxondetails?taxnode_id=202303143","Pegivirus equi")</f>
        <v>Pegivirus equi</v>
      </c>
      <c r="S8627" s="18" t="s">
        <v>30</v>
      </c>
      <c r="T8627" s="18" t="s">
        <v>20348</v>
      </c>
      <c r="U8627" s="18" t="s">
        <v>20349</v>
      </c>
      <c r="V8627" s="18" t="s">
        <v>20350</v>
      </c>
      <c r="W8627" s="18" t="s">
        <v>20351</v>
      </c>
      <c r="X8627" s="18" t="s">
        <v>35</v>
      </c>
      <c r="Y8627" s="18" t="s">
        <v>17171</v>
      </c>
      <c r="Z8627" s="18" t="s">
        <v>166</v>
      </c>
      <c r="AA8627" s="21" t="str">
        <f>HYPERLINK("https://www.ncbi.nlm.nih.gov/nuccore/KC145265","NCBI Nucleotide")</f>
        <v>NCBI Nucleotide</v>
      </c>
    </row>
    <row r="8628" spans="1:27" x14ac:dyDescent="0.35">
      <c r="A8628">
        <v>1009113</v>
      </c>
      <c r="B8628">
        <v>7986</v>
      </c>
      <c r="C8628">
        <v>1</v>
      </c>
      <c r="D8628" s="17" t="s">
        <v>17166</v>
      </c>
      <c r="E8628" s="17"/>
      <c r="F8628" s="17" t="s">
        <v>17246</v>
      </c>
      <c r="G8628" s="17"/>
      <c r="H8628" s="17" t="s">
        <v>17984</v>
      </c>
      <c r="I8628" s="17"/>
      <c r="J8628" s="17" t="s">
        <v>19986</v>
      </c>
      <c r="K8628" s="17"/>
      <c r="L8628" s="17" t="s">
        <v>19987</v>
      </c>
      <c r="M8628" s="17"/>
      <c r="N8628" s="17" t="s">
        <v>19988</v>
      </c>
      <c r="O8628" s="17"/>
      <c r="P8628" s="17" t="s">
        <v>20335</v>
      </c>
      <c r="Q8628" s="17"/>
      <c r="R8628" s="25" t="str">
        <f t="shared" ref="R8628:R8637" si="33">HYPERLINK("https://ictv.global/taxonomy/taxondetails?taxnode_id=202303142","Pegivirus hominis")</f>
        <v>Pegivirus hominis</v>
      </c>
      <c r="S8628" s="18" t="s">
        <v>30</v>
      </c>
      <c r="T8628" s="18" t="s">
        <v>20352</v>
      </c>
      <c r="U8628" s="18" t="s">
        <v>20353</v>
      </c>
      <c r="V8628" s="18" t="s">
        <v>20354</v>
      </c>
      <c r="W8628" s="18" t="s">
        <v>20355</v>
      </c>
      <c r="X8628" s="18" t="s">
        <v>35</v>
      </c>
      <c r="Y8628" s="18" t="s">
        <v>17171</v>
      </c>
      <c r="Z8628" s="18" t="s">
        <v>166</v>
      </c>
      <c r="AA8628" s="21" t="str">
        <f>HYPERLINK("https://www.ncbi.nlm.nih.gov/nuccore/U44402","NCBI Nucleotide")</f>
        <v>NCBI Nucleotide</v>
      </c>
    </row>
    <row r="8629" spans="1:27" x14ac:dyDescent="0.35">
      <c r="A8629">
        <v>1012809</v>
      </c>
      <c r="B8629">
        <v>7986</v>
      </c>
      <c r="C8629">
        <v>2</v>
      </c>
      <c r="D8629" s="17" t="s">
        <v>17166</v>
      </c>
      <c r="E8629" s="17"/>
      <c r="F8629" s="17" t="s">
        <v>17246</v>
      </c>
      <c r="G8629" s="17"/>
      <c r="H8629" s="17" t="s">
        <v>17984</v>
      </c>
      <c r="I8629" s="17"/>
      <c r="J8629" s="17" t="s">
        <v>19986</v>
      </c>
      <c r="K8629" s="17"/>
      <c r="L8629" s="17" t="s">
        <v>19987</v>
      </c>
      <c r="M8629" s="17"/>
      <c r="N8629" s="17" t="s">
        <v>19988</v>
      </c>
      <c r="O8629" s="17"/>
      <c r="P8629" s="17" t="s">
        <v>20335</v>
      </c>
      <c r="Q8629" s="17"/>
      <c r="R8629" s="25" t="str">
        <f t="shared" si="33"/>
        <v>Pegivirus hominis</v>
      </c>
      <c r="S8629" s="18" t="s">
        <v>8141</v>
      </c>
      <c r="T8629" s="18" t="s">
        <v>20356</v>
      </c>
      <c r="U8629" s="18" t="s">
        <v>20353</v>
      </c>
      <c r="V8629" s="18" t="s">
        <v>18402</v>
      </c>
      <c r="W8629" s="18" t="s">
        <v>49365</v>
      </c>
      <c r="X8629" s="18" t="s">
        <v>35</v>
      </c>
      <c r="Y8629" s="18" t="s">
        <v>17171</v>
      </c>
      <c r="Z8629" s="18" t="s">
        <v>166</v>
      </c>
      <c r="AA8629" s="21" t="str">
        <f>HYPERLINK("https://www.ncbi.nlm.nih.gov/nuccore/U63715","NCBI Nucleotide")</f>
        <v>NCBI Nucleotide</v>
      </c>
    </row>
    <row r="8630" spans="1:27" x14ac:dyDescent="0.35">
      <c r="A8630">
        <v>1012810</v>
      </c>
      <c r="B8630">
        <v>7986</v>
      </c>
      <c r="C8630">
        <v>3</v>
      </c>
      <c r="D8630" s="17" t="s">
        <v>17166</v>
      </c>
      <c r="E8630" s="17"/>
      <c r="F8630" s="17" t="s">
        <v>17246</v>
      </c>
      <c r="G8630" s="17"/>
      <c r="H8630" s="17" t="s">
        <v>17984</v>
      </c>
      <c r="I8630" s="17"/>
      <c r="J8630" s="17" t="s">
        <v>19986</v>
      </c>
      <c r="K8630" s="17"/>
      <c r="L8630" s="17" t="s">
        <v>19987</v>
      </c>
      <c r="M8630" s="17"/>
      <c r="N8630" s="17" t="s">
        <v>19988</v>
      </c>
      <c r="O8630" s="17"/>
      <c r="P8630" s="17" t="s">
        <v>20335</v>
      </c>
      <c r="Q8630" s="17"/>
      <c r="R8630" s="25" t="str">
        <f t="shared" si="33"/>
        <v>Pegivirus hominis</v>
      </c>
      <c r="S8630" s="18" t="s">
        <v>8141</v>
      </c>
      <c r="T8630" s="18" t="s">
        <v>20356</v>
      </c>
      <c r="U8630" s="18" t="s">
        <v>20353</v>
      </c>
      <c r="V8630" s="18" t="s">
        <v>20357</v>
      </c>
      <c r="W8630" s="18" t="s">
        <v>49366</v>
      </c>
      <c r="X8630" s="18" t="s">
        <v>35</v>
      </c>
      <c r="Y8630" s="18" t="s">
        <v>17171</v>
      </c>
      <c r="Z8630" s="18" t="s">
        <v>166</v>
      </c>
      <c r="AA8630" s="21" t="str">
        <f>HYPERLINK("https://www.ncbi.nlm.nih.gov/nuccore/AB003289","NCBI Nucleotide")</f>
        <v>NCBI Nucleotide</v>
      </c>
    </row>
    <row r="8631" spans="1:27" x14ac:dyDescent="0.35">
      <c r="A8631">
        <v>1012811</v>
      </c>
      <c r="B8631">
        <v>7986</v>
      </c>
      <c r="C8631">
        <v>4</v>
      </c>
      <c r="D8631" s="17" t="s">
        <v>17166</v>
      </c>
      <c r="E8631" s="17"/>
      <c r="F8631" s="17" t="s">
        <v>17246</v>
      </c>
      <c r="G8631" s="17"/>
      <c r="H8631" s="17" t="s">
        <v>17984</v>
      </c>
      <c r="I8631" s="17"/>
      <c r="J8631" s="17" t="s">
        <v>19986</v>
      </c>
      <c r="K8631" s="17"/>
      <c r="L8631" s="17" t="s">
        <v>19987</v>
      </c>
      <c r="M8631" s="17"/>
      <c r="N8631" s="17" t="s">
        <v>19988</v>
      </c>
      <c r="O8631" s="17"/>
      <c r="P8631" s="17" t="s">
        <v>20335</v>
      </c>
      <c r="Q8631" s="17"/>
      <c r="R8631" s="25" t="str">
        <f t="shared" si="33"/>
        <v>Pegivirus hominis</v>
      </c>
      <c r="S8631" s="18" t="s">
        <v>8141</v>
      </c>
      <c r="T8631" s="18" t="s">
        <v>20352</v>
      </c>
      <c r="U8631" s="18" t="s">
        <v>20353</v>
      </c>
      <c r="V8631" s="18" t="s">
        <v>20358</v>
      </c>
      <c r="W8631" s="18" t="s">
        <v>49367</v>
      </c>
      <c r="X8631" s="18" t="s">
        <v>42</v>
      </c>
      <c r="Y8631" s="18" t="s">
        <v>17171</v>
      </c>
      <c r="Z8631" s="18" t="s">
        <v>166</v>
      </c>
      <c r="AA8631" s="21" t="str">
        <f>HYPERLINK("https://www.ncbi.nlm.nih.gov/nuccore/U45966","NCBI Nucleotide")</f>
        <v>NCBI Nucleotide</v>
      </c>
    </row>
    <row r="8632" spans="1:27" x14ac:dyDescent="0.35">
      <c r="A8632">
        <v>1012812</v>
      </c>
      <c r="B8632">
        <v>7986</v>
      </c>
      <c r="C8632">
        <v>5</v>
      </c>
      <c r="D8632" s="17" t="s">
        <v>17166</v>
      </c>
      <c r="E8632" s="17"/>
      <c r="F8632" s="17" t="s">
        <v>17246</v>
      </c>
      <c r="G8632" s="17"/>
      <c r="H8632" s="17" t="s">
        <v>17984</v>
      </c>
      <c r="I8632" s="17"/>
      <c r="J8632" s="17" t="s">
        <v>19986</v>
      </c>
      <c r="K8632" s="17"/>
      <c r="L8632" s="17" t="s">
        <v>19987</v>
      </c>
      <c r="M8632" s="17"/>
      <c r="N8632" s="17" t="s">
        <v>19988</v>
      </c>
      <c r="O8632" s="17"/>
      <c r="P8632" s="17" t="s">
        <v>20335</v>
      </c>
      <c r="Q8632" s="17"/>
      <c r="R8632" s="25" t="str">
        <f t="shared" si="33"/>
        <v>Pegivirus hominis</v>
      </c>
      <c r="S8632" s="18" t="s">
        <v>8141</v>
      </c>
      <c r="T8632" s="18" t="s">
        <v>20352</v>
      </c>
      <c r="U8632" s="18" t="s">
        <v>20353</v>
      </c>
      <c r="V8632" s="18">
        <v>765</v>
      </c>
      <c r="W8632" s="18" t="s">
        <v>49368</v>
      </c>
      <c r="X8632" s="18" t="s">
        <v>42</v>
      </c>
      <c r="Y8632" s="18" t="s">
        <v>17171</v>
      </c>
      <c r="Z8632" s="18" t="s">
        <v>166</v>
      </c>
      <c r="AA8632" s="21" t="str">
        <f>HYPERLINK("https://www.ncbi.nlm.nih.gov/nuccore/AY196904","NCBI Nucleotide")</f>
        <v>NCBI Nucleotide</v>
      </c>
    </row>
    <row r="8633" spans="1:27" x14ac:dyDescent="0.35">
      <c r="A8633">
        <v>1012813</v>
      </c>
      <c r="B8633">
        <v>7986</v>
      </c>
      <c r="C8633">
        <v>6</v>
      </c>
      <c r="D8633" s="17" t="s">
        <v>17166</v>
      </c>
      <c r="E8633" s="17"/>
      <c r="F8633" s="17" t="s">
        <v>17246</v>
      </c>
      <c r="G8633" s="17"/>
      <c r="H8633" s="17" t="s">
        <v>17984</v>
      </c>
      <c r="I8633" s="17"/>
      <c r="J8633" s="17" t="s">
        <v>19986</v>
      </c>
      <c r="K8633" s="17"/>
      <c r="L8633" s="17" t="s">
        <v>19987</v>
      </c>
      <c r="M8633" s="17"/>
      <c r="N8633" s="17" t="s">
        <v>19988</v>
      </c>
      <c r="O8633" s="17"/>
      <c r="P8633" s="17" t="s">
        <v>20335</v>
      </c>
      <c r="Q8633" s="17"/>
      <c r="R8633" s="25" t="str">
        <f t="shared" si="33"/>
        <v>Pegivirus hominis</v>
      </c>
      <c r="S8633" s="18" t="s">
        <v>8141</v>
      </c>
      <c r="T8633" s="18" t="s">
        <v>20359</v>
      </c>
      <c r="U8633" s="18" t="s">
        <v>20353</v>
      </c>
      <c r="V8633" s="18" t="s">
        <v>20360</v>
      </c>
      <c r="W8633" s="18" t="s">
        <v>49369</v>
      </c>
      <c r="X8633" s="18" t="s">
        <v>42</v>
      </c>
      <c r="Y8633" s="18" t="s">
        <v>17171</v>
      </c>
      <c r="Z8633" s="18" t="s">
        <v>166</v>
      </c>
      <c r="AA8633" s="21" t="str">
        <f>HYPERLINK("https://www.ncbi.nlm.nih.gov/nuccore/D87713","NCBI Nucleotide")</f>
        <v>NCBI Nucleotide</v>
      </c>
    </row>
    <row r="8634" spans="1:27" x14ac:dyDescent="0.35">
      <c r="A8634">
        <v>1012814</v>
      </c>
      <c r="B8634">
        <v>7986</v>
      </c>
      <c r="C8634">
        <v>7</v>
      </c>
      <c r="D8634" s="17" t="s">
        <v>17166</v>
      </c>
      <c r="E8634" s="17"/>
      <c r="F8634" s="17" t="s">
        <v>17246</v>
      </c>
      <c r="G8634" s="17"/>
      <c r="H8634" s="17" t="s">
        <v>17984</v>
      </c>
      <c r="I8634" s="17"/>
      <c r="J8634" s="17" t="s">
        <v>19986</v>
      </c>
      <c r="K8634" s="17"/>
      <c r="L8634" s="17" t="s">
        <v>19987</v>
      </c>
      <c r="M8634" s="17"/>
      <c r="N8634" s="17" t="s">
        <v>19988</v>
      </c>
      <c r="O8634" s="17"/>
      <c r="P8634" s="17" t="s">
        <v>20335</v>
      </c>
      <c r="Q8634" s="17"/>
      <c r="R8634" s="25" t="str">
        <f t="shared" si="33"/>
        <v>Pegivirus hominis</v>
      </c>
      <c r="S8634" s="18" t="s">
        <v>8141</v>
      </c>
      <c r="T8634" s="18" t="s">
        <v>20361</v>
      </c>
      <c r="U8634" s="18" t="s">
        <v>20353</v>
      </c>
      <c r="V8634" s="18" t="s">
        <v>20362</v>
      </c>
      <c r="W8634" s="18" t="s">
        <v>49370</v>
      </c>
      <c r="X8634" s="18" t="s">
        <v>35</v>
      </c>
      <c r="Y8634" s="18" t="s">
        <v>17171</v>
      </c>
      <c r="Z8634" s="18" t="s">
        <v>166</v>
      </c>
      <c r="AA8634" s="21" t="str">
        <f>HYPERLINK("https://www.ncbi.nlm.nih.gov/nuccore/AB021287","NCBI Nucleotide")</f>
        <v>NCBI Nucleotide</v>
      </c>
    </row>
    <row r="8635" spans="1:27" x14ac:dyDescent="0.35">
      <c r="A8635">
        <v>1012815</v>
      </c>
      <c r="B8635">
        <v>7986</v>
      </c>
      <c r="C8635">
        <v>8</v>
      </c>
      <c r="D8635" s="17" t="s">
        <v>17166</v>
      </c>
      <c r="E8635" s="17"/>
      <c r="F8635" s="17" t="s">
        <v>17246</v>
      </c>
      <c r="G8635" s="17"/>
      <c r="H8635" s="17" t="s">
        <v>17984</v>
      </c>
      <c r="I8635" s="17"/>
      <c r="J8635" s="17" t="s">
        <v>19986</v>
      </c>
      <c r="K8635" s="17"/>
      <c r="L8635" s="17" t="s">
        <v>19987</v>
      </c>
      <c r="M8635" s="17"/>
      <c r="N8635" s="17" t="s">
        <v>19988</v>
      </c>
      <c r="O8635" s="17"/>
      <c r="P8635" s="17" t="s">
        <v>20335</v>
      </c>
      <c r="Q8635" s="17"/>
      <c r="R8635" s="25" t="str">
        <f t="shared" si="33"/>
        <v>Pegivirus hominis</v>
      </c>
      <c r="S8635" s="18" t="s">
        <v>8141</v>
      </c>
      <c r="T8635" s="18" t="s">
        <v>20363</v>
      </c>
      <c r="U8635" s="18" t="s">
        <v>20353</v>
      </c>
      <c r="V8635" s="18" t="s">
        <v>20364</v>
      </c>
      <c r="W8635" s="18" t="s">
        <v>49371</v>
      </c>
      <c r="X8635" s="18" t="s">
        <v>35</v>
      </c>
      <c r="Y8635" s="18" t="s">
        <v>17171</v>
      </c>
      <c r="Z8635" s="18" t="s">
        <v>166</v>
      </c>
      <c r="AA8635" s="21" t="str">
        <f>HYPERLINK("https://www.ncbi.nlm.nih.gov/nuccore/AY949771","NCBI Nucleotide")</f>
        <v>NCBI Nucleotide</v>
      </c>
    </row>
    <row r="8636" spans="1:27" x14ac:dyDescent="0.35">
      <c r="A8636">
        <v>1012816</v>
      </c>
      <c r="B8636">
        <v>7986</v>
      </c>
      <c r="C8636">
        <v>9</v>
      </c>
      <c r="D8636" s="17" t="s">
        <v>17166</v>
      </c>
      <c r="E8636" s="17"/>
      <c r="F8636" s="17" t="s">
        <v>17246</v>
      </c>
      <c r="G8636" s="17"/>
      <c r="H8636" s="17" t="s">
        <v>17984</v>
      </c>
      <c r="I8636" s="17"/>
      <c r="J8636" s="17" t="s">
        <v>19986</v>
      </c>
      <c r="K8636" s="17"/>
      <c r="L8636" s="17" t="s">
        <v>19987</v>
      </c>
      <c r="M8636" s="17"/>
      <c r="N8636" s="17" t="s">
        <v>19988</v>
      </c>
      <c r="O8636" s="17"/>
      <c r="P8636" s="17" t="s">
        <v>20335</v>
      </c>
      <c r="Q8636" s="17"/>
      <c r="R8636" s="25" t="str">
        <f t="shared" si="33"/>
        <v>Pegivirus hominis</v>
      </c>
      <c r="S8636" s="18" t="s">
        <v>8141</v>
      </c>
      <c r="T8636" s="18" t="s">
        <v>20365</v>
      </c>
      <c r="U8636" s="18" t="s">
        <v>20353</v>
      </c>
      <c r="V8636" s="18" t="s">
        <v>20366</v>
      </c>
      <c r="W8636" s="18" t="s">
        <v>49372</v>
      </c>
      <c r="X8636" s="18" t="s">
        <v>35</v>
      </c>
      <c r="Y8636" s="18" t="s">
        <v>17171</v>
      </c>
      <c r="Z8636" s="18" t="s">
        <v>166</v>
      </c>
      <c r="AA8636" s="21" t="str">
        <f>HYPERLINK("https://www.ncbi.nlm.nih.gov/nuccore/AB003292","NCBI Nucleotide")</f>
        <v>NCBI Nucleotide</v>
      </c>
    </row>
    <row r="8637" spans="1:27" x14ac:dyDescent="0.35">
      <c r="A8637">
        <v>1012817</v>
      </c>
      <c r="B8637">
        <v>7986</v>
      </c>
      <c r="C8637">
        <v>10</v>
      </c>
      <c r="D8637" s="17" t="s">
        <v>17166</v>
      </c>
      <c r="E8637" s="17"/>
      <c r="F8637" s="17" t="s">
        <v>17246</v>
      </c>
      <c r="G8637" s="17"/>
      <c r="H8637" s="17" t="s">
        <v>17984</v>
      </c>
      <c r="I8637" s="17"/>
      <c r="J8637" s="17" t="s">
        <v>19986</v>
      </c>
      <c r="K8637" s="17"/>
      <c r="L8637" s="17" t="s">
        <v>19987</v>
      </c>
      <c r="M8637" s="17"/>
      <c r="N8637" s="17" t="s">
        <v>19988</v>
      </c>
      <c r="O8637" s="17"/>
      <c r="P8637" s="17" t="s">
        <v>20335</v>
      </c>
      <c r="Q8637" s="17"/>
      <c r="R8637" s="25" t="str">
        <f t="shared" si="33"/>
        <v>Pegivirus hominis</v>
      </c>
      <c r="S8637" s="18" t="s">
        <v>8141</v>
      </c>
      <c r="T8637" s="18" t="s">
        <v>20367</v>
      </c>
      <c r="U8637" s="18" t="s">
        <v>20368</v>
      </c>
      <c r="V8637" s="18" t="s">
        <v>20369</v>
      </c>
      <c r="W8637" s="18" t="s">
        <v>49373</v>
      </c>
      <c r="X8637" s="18" t="s">
        <v>42</v>
      </c>
      <c r="Y8637" s="18" t="s">
        <v>17171</v>
      </c>
      <c r="Z8637" s="18" t="s">
        <v>166</v>
      </c>
      <c r="AA8637" s="21" t="str">
        <f>HYPERLINK("https://www.ncbi.nlm.nih.gov/nuccore/AF070476","NCBI Nucleotide")</f>
        <v>NCBI Nucleotide</v>
      </c>
    </row>
    <row r="8638" spans="1:27" x14ac:dyDescent="0.35">
      <c r="A8638">
        <v>1009114</v>
      </c>
      <c r="B8638">
        <v>7987</v>
      </c>
      <c r="C8638">
        <v>1</v>
      </c>
      <c r="D8638" s="17" t="s">
        <v>17166</v>
      </c>
      <c r="E8638" s="17"/>
      <c r="F8638" s="17" t="s">
        <v>17246</v>
      </c>
      <c r="G8638" s="17"/>
      <c r="H8638" s="17" t="s">
        <v>17984</v>
      </c>
      <c r="I8638" s="17"/>
      <c r="J8638" s="17" t="s">
        <v>19986</v>
      </c>
      <c r="K8638" s="17"/>
      <c r="L8638" s="17" t="s">
        <v>19987</v>
      </c>
      <c r="M8638" s="17"/>
      <c r="N8638" s="17" t="s">
        <v>19988</v>
      </c>
      <c r="O8638" s="17"/>
      <c r="P8638" s="17" t="s">
        <v>20335</v>
      </c>
      <c r="Q8638" s="17"/>
      <c r="R8638" s="25" t="str">
        <f>HYPERLINK("https://ictv.global/taxonomy/taxondetails?taxnode_id=202303149","Pegivirus neotomae")</f>
        <v>Pegivirus neotomae</v>
      </c>
      <c r="S8638" s="18" t="s">
        <v>30</v>
      </c>
      <c r="T8638" s="18" t="s">
        <v>20370</v>
      </c>
      <c r="U8638" s="18" t="s">
        <v>20371</v>
      </c>
      <c r="V8638" s="18" t="s">
        <v>20372</v>
      </c>
      <c r="W8638" s="18" t="s">
        <v>20373</v>
      </c>
      <c r="X8638" s="18" t="s">
        <v>35</v>
      </c>
      <c r="Y8638" s="18" t="s">
        <v>17171</v>
      </c>
      <c r="Z8638" s="18" t="s">
        <v>166</v>
      </c>
      <c r="AA8638" s="21" t="str">
        <f>HYPERLINK("https://www.ncbi.nlm.nih.gov/nuccore/KC815311","NCBI Nucleotide")</f>
        <v>NCBI Nucleotide</v>
      </c>
    </row>
    <row r="8639" spans="1:27" x14ac:dyDescent="0.35">
      <c r="A8639">
        <v>1009115</v>
      </c>
      <c r="B8639">
        <v>7988</v>
      </c>
      <c r="C8639">
        <v>1</v>
      </c>
      <c r="D8639" s="17" t="s">
        <v>17166</v>
      </c>
      <c r="E8639" s="17"/>
      <c r="F8639" s="17" t="s">
        <v>17246</v>
      </c>
      <c r="G8639" s="17"/>
      <c r="H8639" s="17" t="s">
        <v>17984</v>
      </c>
      <c r="I8639" s="17"/>
      <c r="J8639" s="17" t="s">
        <v>19986</v>
      </c>
      <c r="K8639" s="17"/>
      <c r="L8639" s="17" t="s">
        <v>19987</v>
      </c>
      <c r="M8639" s="17"/>
      <c r="N8639" s="17" t="s">
        <v>19988</v>
      </c>
      <c r="O8639" s="17"/>
      <c r="P8639" s="17" t="s">
        <v>20335</v>
      </c>
      <c r="Q8639" s="17"/>
      <c r="R8639" s="25" t="str">
        <f>HYPERLINK("https://ictv.global/taxonomy/taxondetails?taxnode_id=202303140","Pegivirus platyrrhini")</f>
        <v>Pegivirus platyrrhini</v>
      </c>
      <c r="S8639" s="18" t="s">
        <v>30</v>
      </c>
      <c r="T8639" s="18" t="s">
        <v>20374</v>
      </c>
      <c r="U8639" s="18" t="s">
        <v>20375</v>
      </c>
      <c r="V8639" s="18" t="s">
        <v>20376</v>
      </c>
      <c r="W8639" s="18" t="s">
        <v>20377</v>
      </c>
      <c r="X8639" s="18" t="s">
        <v>35</v>
      </c>
      <c r="Y8639" s="18" t="s">
        <v>17171</v>
      </c>
      <c r="Z8639" s="18" t="s">
        <v>166</v>
      </c>
      <c r="AA8639" s="21" t="str">
        <f>HYPERLINK("https://www.ncbi.nlm.nih.gov/nuccore/U22303","NCBI Nucleotide")</f>
        <v>NCBI Nucleotide</v>
      </c>
    </row>
    <row r="8640" spans="1:27" x14ac:dyDescent="0.35">
      <c r="A8640">
        <v>1012818</v>
      </c>
      <c r="B8640">
        <v>7988</v>
      </c>
      <c r="C8640">
        <v>2</v>
      </c>
      <c r="D8640" s="17" t="s">
        <v>17166</v>
      </c>
      <c r="E8640" s="17"/>
      <c r="F8640" s="17" t="s">
        <v>17246</v>
      </c>
      <c r="G8640" s="17"/>
      <c r="H8640" s="17" t="s">
        <v>17984</v>
      </c>
      <c r="I8640" s="17"/>
      <c r="J8640" s="17" t="s">
        <v>19986</v>
      </c>
      <c r="K8640" s="17"/>
      <c r="L8640" s="17" t="s">
        <v>19987</v>
      </c>
      <c r="M8640" s="17"/>
      <c r="N8640" s="17" t="s">
        <v>19988</v>
      </c>
      <c r="O8640" s="17"/>
      <c r="P8640" s="17" t="s">
        <v>20335</v>
      </c>
      <c r="Q8640" s="17"/>
      <c r="R8640" s="25" t="str">
        <f>HYPERLINK("https://ictv.global/taxonomy/taxondetails?taxnode_id=202303140","Pegivirus platyrrhini")</f>
        <v>Pegivirus platyrrhini</v>
      </c>
      <c r="S8640" s="18" t="s">
        <v>8141</v>
      </c>
      <c r="T8640" s="18" t="s">
        <v>20374</v>
      </c>
      <c r="U8640" s="18" t="s">
        <v>20375</v>
      </c>
      <c r="V8640" s="18" t="s">
        <v>20378</v>
      </c>
      <c r="W8640" s="18" t="s">
        <v>49374</v>
      </c>
      <c r="X8640" s="18" t="s">
        <v>42</v>
      </c>
      <c r="Y8640" s="18" t="s">
        <v>17171</v>
      </c>
      <c r="Z8640" s="18" t="s">
        <v>166</v>
      </c>
      <c r="AA8640" s="21" t="str">
        <f>HYPERLINK("https://www.ncbi.nlm.nih.gov/nuccore/U94421","NCBI Nucleotide")</f>
        <v>NCBI Nucleotide</v>
      </c>
    </row>
    <row r="8641" spans="1:27" x14ac:dyDescent="0.35">
      <c r="A8641">
        <v>1009116</v>
      </c>
      <c r="B8641">
        <v>7989</v>
      </c>
      <c r="C8641">
        <v>1</v>
      </c>
      <c r="D8641" s="17" t="s">
        <v>17166</v>
      </c>
      <c r="E8641" s="17"/>
      <c r="F8641" s="17" t="s">
        <v>17246</v>
      </c>
      <c r="G8641" s="17"/>
      <c r="H8641" s="17" t="s">
        <v>17984</v>
      </c>
      <c r="I8641" s="17"/>
      <c r="J8641" s="17" t="s">
        <v>19986</v>
      </c>
      <c r="K8641" s="17"/>
      <c r="L8641" s="17" t="s">
        <v>19987</v>
      </c>
      <c r="M8641" s="17"/>
      <c r="N8641" s="17" t="s">
        <v>19988</v>
      </c>
      <c r="O8641" s="17"/>
      <c r="P8641" s="17" t="s">
        <v>20335</v>
      </c>
      <c r="Q8641" s="17"/>
      <c r="R8641" s="25" t="str">
        <f>HYPERLINK("https://ictv.global/taxonomy/taxondetails?taxnode_id=202303141","Pegivirus pteropi")</f>
        <v>Pegivirus pteropi</v>
      </c>
      <c r="S8641" s="18" t="s">
        <v>30</v>
      </c>
      <c r="T8641" s="18" t="s">
        <v>20379</v>
      </c>
      <c r="U8641" s="18" t="s">
        <v>20380</v>
      </c>
      <c r="V8641" s="18" t="s">
        <v>20381</v>
      </c>
      <c r="W8641" s="18" t="s">
        <v>20382</v>
      </c>
      <c r="X8641" s="18" t="s">
        <v>42</v>
      </c>
      <c r="Y8641" s="18" t="s">
        <v>17171</v>
      </c>
      <c r="Z8641" s="18" t="s">
        <v>166</v>
      </c>
      <c r="AA8641" s="21" t="str">
        <f>HYPERLINK("https://www.ncbi.nlm.nih.gov/nuccore/GU566734","NCBI Nucleotide")</f>
        <v>NCBI Nucleotide</v>
      </c>
    </row>
    <row r="8642" spans="1:27" x14ac:dyDescent="0.35">
      <c r="A8642">
        <v>1012819</v>
      </c>
      <c r="B8642">
        <v>7989</v>
      </c>
      <c r="C8642">
        <v>2</v>
      </c>
      <c r="D8642" s="17" t="s">
        <v>17166</v>
      </c>
      <c r="E8642" s="17"/>
      <c r="F8642" s="17" t="s">
        <v>17246</v>
      </c>
      <c r="G8642" s="17"/>
      <c r="H8642" s="17" t="s">
        <v>17984</v>
      </c>
      <c r="I8642" s="17"/>
      <c r="J8642" s="17" t="s">
        <v>19986</v>
      </c>
      <c r="K8642" s="17"/>
      <c r="L8642" s="17" t="s">
        <v>19987</v>
      </c>
      <c r="M8642" s="17"/>
      <c r="N8642" s="17" t="s">
        <v>19988</v>
      </c>
      <c r="O8642" s="17"/>
      <c r="P8642" s="17" t="s">
        <v>20335</v>
      </c>
      <c r="Q8642" s="17"/>
      <c r="R8642" s="25" t="str">
        <f>HYPERLINK("https://ictv.global/taxonomy/taxondetails?taxnode_id=202303141","Pegivirus pteropi")</f>
        <v>Pegivirus pteropi</v>
      </c>
      <c r="S8642" s="18" t="s">
        <v>8141</v>
      </c>
      <c r="T8642" s="18" t="s">
        <v>20379</v>
      </c>
      <c r="U8642" s="18" t="s">
        <v>20380</v>
      </c>
      <c r="V8642" s="18" t="s">
        <v>20383</v>
      </c>
      <c r="W8642" s="18" t="s">
        <v>49375</v>
      </c>
      <c r="X8642" s="18" t="s">
        <v>154</v>
      </c>
      <c r="Y8642" s="18" t="s">
        <v>17171</v>
      </c>
      <c r="Z8642" s="18" t="s">
        <v>166</v>
      </c>
      <c r="AA8642" s="21" t="str">
        <f>HYPERLINK("https://www.ncbi.nlm.nih.gov/nuccore/GU566735","NCBI Nucleotide")</f>
        <v>NCBI Nucleotide</v>
      </c>
    </row>
    <row r="8643" spans="1:27" x14ac:dyDescent="0.35">
      <c r="A8643">
        <v>1009117</v>
      </c>
      <c r="B8643">
        <v>7990</v>
      </c>
      <c r="C8643">
        <v>1</v>
      </c>
      <c r="D8643" s="17" t="s">
        <v>17166</v>
      </c>
      <c r="E8643" s="17"/>
      <c r="F8643" s="17" t="s">
        <v>17246</v>
      </c>
      <c r="G8643" s="17"/>
      <c r="H8643" s="17" t="s">
        <v>17984</v>
      </c>
      <c r="I8643" s="17"/>
      <c r="J8643" s="17" t="s">
        <v>19986</v>
      </c>
      <c r="K8643" s="17"/>
      <c r="L8643" s="17" t="s">
        <v>19987</v>
      </c>
      <c r="M8643" s="17"/>
      <c r="N8643" s="17" t="s">
        <v>19988</v>
      </c>
      <c r="O8643" s="17"/>
      <c r="P8643" s="17" t="s">
        <v>20335</v>
      </c>
      <c r="Q8643" s="17"/>
      <c r="R8643" s="25" t="str">
        <f>HYPERLINK("https://ictv.global/taxonomy/taxondetails?taxnode_id=202303146","Pegivirus scotophili")</f>
        <v>Pegivirus scotophili</v>
      </c>
      <c r="S8643" s="18" t="s">
        <v>30</v>
      </c>
      <c r="T8643" s="18" t="s">
        <v>20384</v>
      </c>
      <c r="U8643" s="18" t="s">
        <v>20385</v>
      </c>
      <c r="V8643" s="18" t="s">
        <v>20386</v>
      </c>
      <c r="W8643" s="18" t="s">
        <v>20387</v>
      </c>
      <c r="X8643" s="18" t="s">
        <v>35</v>
      </c>
      <c r="Y8643" s="18" t="s">
        <v>17171</v>
      </c>
      <c r="Z8643" s="18" t="s">
        <v>166</v>
      </c>
      <c r="AA8643" s="21" t="str">
        <f>HYPERLINK("https://www.ncbi.nlm.nih.gov/nuccore/KC796076","NCBI Nucleotide")</f>
        <v>NCBI Nucleotide</v>
      </c>
    </row>
    <row r="8644" spans="1:27" x14ac:dyDescent="0.35">
      <c r="A8644">
        <v>1009118</v>
      </c>
      <c r="B8644">
        <v>7991</v>
      </c>
      <c r="C8644">
        <v>1</v>
      </c>
      <c r="D8644" s="17" t="s">
        <v>17166</v>
      </c>
      <c r="E8644" s="17"/>
      <c r="F8644" s="17" t="s">
        <v>17246</v>
      </c>
      <c r="G8644" s="17"/>
      <c r="H8644" s="17" t="s">
        <v>17984</v>
      </c>
      <c r="I8644" s="17"/>
      <c r="J8644" s="17" t="s">
        <v>19986</v>
      </c>
      <c r="K8644" s="17"/>
      <c r="L8644" s="17" t="s">
        <v>19987</v>
      </c>
      <c r="M8644" s="17"/>
      <c r="N8644" s="17" t="s">
        <v>19988</v>
      </c>
      <c r="O8644" s="17"/>
      <c r="P8644" s="17" t="s">
        <v>20335</v>
      </c>
      <c r="Q8644" s="17"/>
      <c r="R8644" s="25" t="str">
        <f>HYPERLINK("https://ictv.global/taxonomy/taxondetails?taxnode_id=202303148","Pegivirus sturnirae")</f>
        <v>Pegivirus sturnirae</v>
      </c>
      <c r="S8644" s="18" t="s">
        <v>30</v>
      </c>
      <c r="T8644" s="18" t="s">
        <v>20388</v>
      </c>
      <c r="U8644" s="18" t="s">
        <v>20389</v>
      </c>
      <c r="V8644" s="18" t="s">
        <v>20390</v>
      </c>
      <c r="W8644" s="18" t="s">
        <v>20391</v>
      </c>
      <c r="X8644" s="18" t="s">
        <v>35</v>
      </c>
      <c r="Y8644" s="18" t="s">
        <v>17171</v>
      </c>
      <c r="Z8644" s="18" t="s">
        <v>166</v>
      </c>
      <c r="AA8644" s="21" t="str">
        <f>HYPERLINK("https://www.ncbi.nlm.nih.gov/nuccore/KC796088","NCBI Nucleotide")</f>
        <v>NCBI Nucleotide</v>
      </c>
    </row>
    <row r="8645" spans="1:27" x14ac:dyDescent="0.35">
      <c r="A8645">
        <v>1009119</v>
      </c>
      <c r="B8645">
        <v>7992</v>
      </c>
      <c r="C8645">
        <v>1</v>
      </c>
      <c r="D8645" s="17" t="s">
        <v>17166</v>
      </c>
      <c r="E8645" s="17"/>
      <c r="F8645" s="17" t="s">
        <v>17246</v>
      </c>
      <c r="G8645" s="17"/>
      <c r="H8645" s="17" t="s">
        <v>17984</v>
      </c>
      <c r="I8645" s="17"/>
      <c r="J8645" s="17" t="s">
        <v>19986</v>
      </c>
      <c r="K8645" s="17"/>
      <c r="L8645" s="17" t="s">
        <v>19987</v>
      </c>
      <c r="M8645" s="17"/>
      <c r="N8645" s="17" t="s">
        <v>19988</v>
      </c>
      <c r="O8645" s="17"/>
      <c r="P8645" s="17" t="s">
        <v>20335</v>
      </c>
      <c r="Q8645" s="17"/>
      <c r="R8645" s="25" t="str">
        <f>HYPERLINK("https://ictv.global/taxonomy/taxondetails?taxnode_id=202303150","Pegivirus suis")</f>
        <v>Pegivirus suis</v>
      </c>
      <c r="S8645" s="18" t="s">
        <v>30</v>
      </c>
      <c r="T8645" s="18" t="s">
        <v>20392</v>
      </c>
      <c r="U8645" s="18" t="s">
        <v>20393</v>
      </c>
      <c r="V8645" s="18" t="s">
        <v>20394</v>
      </c>
      <c r="W8645" s="18" t="s">
        <v>20395</v>
      </c>
      <c r="X8645" s="18" t="s">
        <v>35</v>
      </c>
      <c r="Y8645" s="18" t="s">
        <v>17171</v>
      </c>
      <c r="Z8645" s="18" t="s">
        <v>166</v>
      </c>
      <c r="AA8645" s="21" t="str">
        <f>HYPERLINK("https://www.ncbi.nlm.nih.gov/nuccore/KU351669","NCBI Nucleotide")</f>
        <v>NCBI Nucleotide</v>
      </c>
    </row>
    <row r="8646" spans="1:27" x14ac:dyDescent="0.35">
      <c r="A8646">
        <v>1009120</v>
      </c>
      <c r="B8646">
        <v>7993</v>
      </c>
      <c r="C8646">
        <v>1</v>
      </c>
      <c r="D8646" s="17" t="s">
        <v>17166</v>
      </c>
      <c r="E8646" s="17"/>
      <c r="F8646" s="17" t="s">
        <v>17246</v>
      </c>
      <c r="G8646" s="17"/>
      <c r="H8646" s="17" t="s">
        <v>17984</v>
      </c>
      <c r="I8646" s="17"/>
      <c r="J8646" s="17" t="s">
        <v>19986</v>
      </c>
      <c r="K8646" s="17"/>
      <c r="L8646" s="17" t="s">
        <v>19987</v>
      </c>
      <c r="M8646" s="17"/>
      <c r="N8646" s="17" t="s">
        <v>19988</v>
      </c>
      <c r="O8646" s="17"/>
      <c r="P8646" s="17" t="s">
        <v>20396</v>
      </c>
      <c r="Q8646" s="17"/>
      <c r="R8646" s="25" t="str">
        <f>HYPERLINK("https://ictv.global/taxonomy/taxondetails?taxnode_id=202305780","Pestivirus antilocaprae")</f>
        <v>Pestivirus antilocaprae</v>
      </c>
      <c r="S8646" s="18" t="s">
        <v>30</v>
      </c>
      <c r="T8646" s="18" t="s">
        <v>20397</v>
      </c>
      <c r="U8646" s="18" t="s">
        <v>20398</v>
      </c>
      <c r="V8646" s="18"/>
      <c r="W8646" s="18" t="s">
        <v>20399</v>
      </c>
      <c r="X8646" s="18" t="s">
        <v>42</v>
      </c>
      <c r="Y8646" s="18" t="s">
        <v>17171</v>
      </c>
      <c r="Z8646" s="18" t="s">
        <v>166</v>
      </c>
      <c r="AA8646" s="21" t="str">
        <f>HYPERLINK("https://www.ncbi.nlm.nih.gov/nuccore/AY781152","NCBI Nucleotide")</f>
        <v>NCBI Nucleotide</v>
      </c>
    </row>
    <row r="8647" spans="1:27" x14ac:dyDescent="0.35">
      <c r="A8647">
        <v>1009121</v>
      </c>
      <c r="B8647">
        <v>7994</v>
      </c>
      <c r="C8647">
        <v>1</v>
      </c>
      <c r="D8647" s="17" t="s">
        <v>17166</v>
      </c>
      <c r="E8647" s="17"/>
      <c r="F8647" s="17" t="s">
        <v>17246</v>
      </c>
      <c r="G8647" s="17"/>
      <c r="H8647" s="17" t="s">
        <v>17984</v>
      </c>
      <c r="I8647" s="17"/>
      <c r="J8647" s="17" t="s">
        <v>19986</v>
      </c>
      <c r="K8647" s="17"/>
      <c r="L8647" s="17" t="s">
        <v>19987</v>
      </c>
      <c r="M8647" s="17"/>
      <c r="N8647" s="17" t="s">
        <v>19988</v>
      </c>
      <c r="O8647" s="17"/>
      <c r="P8647" s="17" t="s">
        <v>20396</v>
      </c>
      <c r="Q8647" s="17"/>
      <c r="R8647" s="25" t="str">
        <f>HYPERLINK("https://ictv.global/taxonomy/taxondetails?taxnode_id=202305781","Pestivirus australiaense")</f>
        <v>Pestivirus australiaense</v>
      </c>
      <c r="S8647" s="18" t="s">
        <v>30</v>
      </c>
      <c r="T8647" s="18" t="s">
        <v>20400</v>
      </c>
      <c r="U8647" s="18" t="s">
        <v>20401</v>
      </c>
      <c r="V8647" s="18" t="s">
        <v>20402</v>
      </c>
      <c r="W8647" s="18" t="s">
        <v>20403</v>
      </c>
      <c r="X8647" s="18" t="s">
        <v>42</v>
      </c>
      <c r="Y8647" s="18" t="s">
        <v>17171</v>
      </c>
      <c r="Z8647" s="18" t="s">
        <v>166</v>
      </c>
      <c r="AA8647" s="21" t="str">
        <f>HYPERLINK("https://www.ncbi.nlm.nih.gov/nuccore/EF100713","NCBI Nucleotide")</f>
        <v>NCBI Nucleotide</v>
      </c>
    </row>
    <row r="8648" spans="1:27" x14ac:dyDescent="0.35">
      <c r="A8648">
        <v>1009122</v>
      </c>
      <c r="B8648">
        <v>7995</v>
      </c>
      <c r="C8648">
        <v>1</v>
      </c>
      <c r="D8648" s="17" t="s">
        <v>17166</v>
      </c>
      <c r="E8648" s="17"/>
      <c r="F8648" s="17" t="s">
        <v>17246</v>
      </c>
      <c r="G8648" s="17"/>
      <c r="H8648" s="17" t="s">
        <v>17984</v>
      </c>
      <c r="I8648" s="17"/>
      <c r="J8648" s="17" t="s">
        <v>19986</v>
      </c>
      <c r="K8648" s="17"/>
      <c r="L8648" s="17" t="s">
        <v>19987</v>
      </c>
      <c r="M8648" s="17"/>
      <c r="N8648" s="17" t="s">
        <v>19988</v>
      </c>
      <c r="O8648" s="17"/>
      <c r="P8648" s="17" t="s">
        <v>20396</v>
      </c>
      <c r="Q8648" s="17"/>
      <c r="R8648" s="25" t="str">
        <f>HYPERLINK("https://ictv.global/taxonomy/taxondetails?taxnode_id=202305784","Pestivirus aydinense")</f>
        <v>Pestivirus aydinense</v>
      </c>
      <c r="S8648" s="18" t="s">
        <v>30</v>
      </c>
      <c r="T8648" s="18" t="s">
        <v>20404</v>
      </c>
      <c r="U8648" s="18" t="s">
        <v>20405</v>
      </c>
      <c r="V8648" s="18" t="s">
        <v>20406</v>
      </c>
      <c r="W8648" s="18" t="s">
        <v>20407</v>
      </c>
      <c r="X8648" s="18" t="s">
        <v>42</v>
      </c>
      <c r="Y8648" s="18" t="s">
        <v>17171</v>
      </c>
      <c r="Z8648" s="18" t="s">
        <v>166</v>
      </c>
      <c r="AA8648" s="21" t="str">
        <f>HYPERLINK("https://www.ncbi.nlm.nih.gov/nuccore/JX428945","NCBI Nucleotide")</f>
        <v>NCBI Nucleotide</v>
      </c>
    </row>
    <row r="8649" spans="1:27" x14ac:dyDescent="0.35">
      <c r="A8649">
        <v>1009123</v>
      </c>
      <c r="B8649">
        <v>7996</v>
      </c>
      <c r="C8649">
        <v>1</v>
      </c>
      <c r="D8649" s="17" t="s">
        <v>17166</v>
      </c>
      <c r="E8649" s="17"/>
      <c r="F8649" s="17" t="s">
        <v>17246</v>
      </c>
      <c r="G8649" s="17"/>
      <c r="H8649" s="17" t="s">
        <v>17984</v>
      </c>
      <c r="I8649" s="17"/>
      <c r="J8649" s="17" t="s">
        <v>19986</v>
      </c>
      <c r="K8649" s="17"/>
      <c r="L8649" s="17" t="s">
        <v>19987</v>
      </c>
      <c r="M8649" s="17"/>
      <c r="N8649" s="17" t="s">
        <v>19988</v>
      </c>
      <c r="O8649" s="17"/>
      <c r="P8649" s="17" t="s">
        <v>20396</v>
      </c>
      <c r="Q8649" s="17"/>
      <c r="R8649" s="25" t="str">
        <f>HYPERLINK("https://ictv.global/taxonomy/taxondetails?taxnode_id=202303153","Pestivirus bovis")</f>
        <v>Pestivirus bovis</v>
      </c>
      <c r="S8649" s="18" t="s">
        <v>30</v>
      </c>
      <c r="T8649" s="18" t="s">
        <v>20408</v>
      </c>
      <c r="U8649" s="18" t="s">
        <v>20409</v>
      </c>
      <c r="V8649" s="18" t="s">
        <v>20410</v>
      </c>
      <c r="W8649" s="18" t="s">
        <v>20411</v>
      </c>
      <c r="X8649" s="18" t="s">
        <v>42</v>
      </c>
      <c r="Y8649" s="18" t="s">
        <v>17171</v>
      </c>
      <c r="Z8649" s="18" t="s">
        <v>166</v>
      </c>
      <c r="AA8649" s="21" t="str">
        <f>HYPERLINK("https://www.ncbi.nlm.nih.gov/nuccore/M96751","NCBI Nucleotide")</f>
        <v>NCBI Nucleotide</v>
      </c>
    </row>
    <row r="8650" spans="1:27" x14ac:dyDescent="0.35">
      <c r="A8650">
        <v>1012820</v>
      </c>
      <c r="B8650">
        <v>7996</v>
      </c>
      <c r="C8650">
        <v>2</v>
      </c>
      <c r="D8650" s="17" t="s">
        <v>17166</v>
      </c>
      <c r="E8650" s="17"/>
      <c r="F8650" s="17" t="s">
        <v>17246</v>
      </c>
      <c r="G8650" s="17"/>
      <c r="H8650" s="17" t="s">
        <v>17984</v>
      </c>
      <c r="I8650" s="17"/>
      <c r="J8650" s="17" t="s">
        <v>19986</v>
      </c>
      <c r="K8650" s="17"/>
      <c r="L8650" s="17" t="s">
        <v>19987</v>
      </c>
      <c r="M8650" s="17"/>
      <c r="N8650" s="17" t="s">
        <v>19988</v>
      </c>
      <c r="O8650" s="17"/>
      <c r="P8650" s="17" t="s">
        <v>20396</v>
      </c>
      <c r="Q8650" s="17"/>
      <c r="R8650" s="25" t="str">
        <f>HYPERLINK("https://ictv.global/taxonomy/taxondetails?taxnode_id=202303153","Pestivirus bovis")</f>
        <v>Pestivirus bovis</v>
      </c>
      <c r="S8650" s="18" t="s">
        <v>8141</v>
      </c>
      <c r="T8650" s="18" t="s">
        <v>20408</v>
      </c>
      <c r="U8650" s="18" t="s">
        <v>20409</v>
      </c>
      <c r="V8650" s="18" t="s">
        <v>20412</v>
      </c>
      <c r="W8650" s="18" t="s">
        <v>49376</v>
      </c>
      <c r="X8650" s="18" t="s">
        <v>42</v>
      </c>
      <c r="Y8650" s="18" t="s">
        <v>17171</v>
      </c>
      <c r="Z8650" s="18" t="s">
        <v>166</v>
      </c>
      <c r="AA8650" s="21" t="str">
        <f>HYPERLINK("https://www.ncbi.nlm.nih.gov/nuccore/M31182","NCBI Nucleotide")</f>
        <v>NCBI Nucleotide</v>
      </c>
    </row>
    <row r="8651" spans="1:27" x14ac:dyDescent="0.35">
      <c r="A8651">
        <v>1009124</v>
      </c>
      <c r="B8651">
        <v>7997</v>
      </c>
      <c r="C8651">
        <v>1</v>
      </c>
      <c r="D8651" s="17" t="s">
        <v>17166</v>
      </c>
      <c r="E8651" s="17"/>
      <c r="F8651" s="17" t="s">
        <v>17246</v>
      </c>
      <c r="G8651" s="17"/>
      <c r="H8651" s="17" t="s">
        <v>17984</v>
      </c>
      <c r="I8651" s="17"/>
      <c r="J8651" s="17" t="s">
        <v>19986</v>
      </c>
      <c r="K8651" s="17"/>
      <c r="L8651" s="17" t="s">
        <v>19987</v>
      </c>
      <c r="M8651" s="17"/>
      <c r="N8651" s="17" t="s">
        <v>19988</v>
      </c>
      <c r="O8651" s="17"/>
      <c r="P8651" s="17" t="s">
        <v>20396</v>
      </c>
      <c r="Q8651" s="17"/>
      <c r="R8651" s="25" t="str">
        <f>HYPERLINK("https://ictv.global/taxonomy/taxondetails?taxnode_id=202305783","Pestivirus brazilense")</f>
        <v>Pestivirus brazilense</v>
      </c>
      <c r="S8651" s="18" t="s">
        <v>30</v>
      </c>
      <c r="T8651" s="18" t="s">
        <v>20413</v>
      </c>
      <c r="U8651" s="18" t="s">
        <v>20414</v>
      </c>
      <c r="V8651" s="18" t="s">
        <v>20415</v>
      </c>
      <c r="W8651" s="18" t="s">
        <v>20416</v>
      </c>
      <c r="X8651" s="18" t="s">
        <v>42</v>
      </c>
      <c r="Y8651" s="18" t="s">
        <v>17171</v>
      </c>
      <c r="Z8651" s="18" t="s">
        <v>166</v>
      </c>
      <c r="AA8651" s="21" t="str">
        <f>HYPERLINK("https://www.ncbi.nlm.nih.gov/nuccore/FJ040215","NCBI Nucleotide")</f>
        <v>NCBI Nucleotide</v>
      </c>
    </row>
    <row r="8652" spans="1:27" x14ac:dyDescent="0.35">
      <c r="A8652">
        <v>1009125</v>
      </c>
      <c r="B8652">
        <v>7998</v>
      </c>
      <c r="C8652">
        <v>1</v>
      </c>
      <c r="D8652" s="17" t="s">
        <v>17166</v>
      </c>
      <c r="E8652" s="17"/>
      <c r="F8652" s="17" t="s">
        <v>17246</v>
      </c>
      <c r="G8652" s="17"/>
      <c r="H8652" s="17" t="s">
        <v>17984</v>
      </c>
      <c r="I8652" s="17"/>
      <c r="J8652" s="17" t="s">
        <v>19986</v>
      </c>
      <c r="K8652" s="17"/>
      <c r="L8652" s="17" t="s">
        <v>19987</v>
      </c>
      <c r="M8652" s="17"/>
      <c r="N8652" s="17" t="s">
        <v>19988</v>
      </c>
      <c r="O8652" s="17"/>
      <c r="P8652" s="17" t="s">
        <v>20396</v>
      </c>
      <c r="Q8652" s="17"/>
      <c r="R8652" s="25" t="str">
        <f>HYPERLINK("https://ictv.global/taxonomy/taxondetails?taxnode_id=202305782","Pestivirus giraffae")</f>
        <v>Pestivirus giraffae</v>
      </c>
      <c r="S8652" s="18" t="s">
        <v>30</v>
      </c>
      <c r="T8652" s="18" t="s">
        <v>20417</v>
      </c>
      <c r="U8652" s="18" t="s">
        <v>20418</v>
      </c>
      <c r="V8652" s="18" t="s">
        <v>20419</v>
      </c>
      <c r="W8652" s="18" t="s">
        <v>20420</v>
      </c>
      <c r="X8652" s="18" t="s">
        <v>42</v>
      </c>
      <c r="Y8652" s="18" t="s">
        <v>17171</v>
      </c>
      <c r="Z8652" s="18" t="s">
        <v>166</v>
      </c>
      <c r="AA8652" s="21" t="str">
        <f>HYPERLINK("https://www.ncbi.nlm.nih.gov/nuccore/AF144617","NCBI Nucleotide")</f>
        <v>NCBI Nucleotide</v>
      </c>
    </row>
    <row r="8653" spans="1:27" x14ac:dyDescent="0.35">
      <c r="A8653">
        <v>1009126</v>
      </c>
      <c r="B8653">
        <v>7999</v>
      </c>
      <c r="C8653">
        <v>1</v>
      </c>
      <c r="D8653" s="17" t="s">
        <v>17166</v>
      </c>
      <c r="E8653" s="17"/>
      <c r="F8653" s="17" t="s">
        <v>17246</v>
      </c>
      <c r="G8653" s="17"/>
      <c r="H8653" s="17" t="s">
        <v>17984</v>
      </c>
      <c r="I8653" s="17"/>
      <c r="J8653" s="17" t="s">
        <v>19986</v>
      </c>
      <c r="K8653" s="17"/>
      <c r="L8653" s="17" t="s">
        <v>19987</v>
      </c>
      <c r="M8653" s="17"/>
      <c r="N8653" s="17" t="s">
        <v>19988</v>
      </c>
      <c r="O8653" s="17"/>
      <c r="P8653" s="17" t="s">
        <v>20396</v>
      </c>
      <c r="Q8653" s="17"/>
      <c r="R8653" s="25" t="str">
        <f>HYPERLINK("https://ictv.global/taxonomy/taxondetails?taxnode_id=202314004","Pestivirus L")</f>
        <v>Pestivirus L</v>
      </c>
      <c r="S8653" s="18" t="s">
        <v>30</v>
      </c>
      <c r="T8653" s="18" t="s">
        <v>20421</v>
      </c>
      <c r="U8653" s="18" t="s">
        <v>20422</v>
      </c>
      <c r="V8653" s="18" t="s">
        <v>20423</v>
      </c>
      <c r="W8653" s="18" t="s">
        <v>20424</v>
      </c>
      <c r="X8653" s="18" t="s">
        <v>42</v>
      </c>
      <c r="Y8653" s="18" t="s">
        <v>17171</v>
      </c>
      <c r="Z8653" s="18" t="s">
        <v>166</v>
      </c>
      <c r="AA8653" s="21" t="str">
        <f>HYPERLINK("https://www.ncbi.nlm.nih.gov/nuccore/KY436034","NCBI Nucleotide")</f>
        <v>NCBI Nucleotide</v>
      </c>
    </row>
    <row r="8654" spans="1:27" x14ac:dyDescent="0.35">
      <c r="A8654">
        <v>1009127</v>
      </c>
      <c r="B8654">
        <v>8000</v>
      </c>
      <c r="C8654">
        <v>1</v>
      </c>
      <c r="D8654" s="17" t="s">
        <v>17166</v>
      </c>
      <c r="E8654" s="17"/>
      <c r="F8654" s="17" t="s">
        <v>17246</v>
      </c>
      <c r="G8654" s="17"/>
      <c r="H8654" s="17" t="s">
        <v>17984</v>
      </c>
      <c r="I8654" s="17"/>
      <c r="J8654" s="17" t="s">
        <v>19986</v>
      </c>
      <c r="K8654" s="17"/>
      <c r="L8654" s="17" t="s">
        <v>19987</v>
      </c>
      <c r="M8654" s="17"/>
      <c r="N8654" s="17" t="s">
        <v>19988</v>
      </c>
      <c r="O8654" s="17"/>
      <c r="P8654" s="17" t="s">
        <v>20396</v>
      </c>
      <c r="Q8654" s="17"/>
      <c r="R8654" s="25" t="str">
        <f>HYPERLINK("https://ictv.global/taxonomy/taxondetails?taxnode_id=202314005","Pestivirus M")</f>
        <v>Pestivirus M</v>
      </c>
      <c r="S8654" s="18" t="s">
        <v>30</v>
      </c>
      <c r="T8654" s="18" t="s">
        <v>20425</v>
      </c>
      <c r="U8654" s="18" t="s">
        <v>20426</v>
      </c>
      <c r="V8654" s="18" t="s">
        <v>20427</v>
      </c>
      <c r="W8654" s="18" t="s">
        <v>20428</v>
      </c>
      <c r="X8654" s="18" t="s">
        <v>42</v>
      </c>
      <c r="Y8654" s="18" t="s">
        <v>17171</v>
      </c>
      <c r="Z8654" s="18" t="s">
        <v>166</v>
      </c>
      <c r="AA8654" s="21" t="str">
        <f>HYPERLINK("https://www.ncbi.nlm.nih.gov/nuccore/MK910227","NCBI Nucleotide")</f>
        <v>NCBI Nucleotide</v>
      </c>
    </row>
    <row r="8655" spans="1:27" x14ac:dyDescent="0.35">
      <c r="A8655">
        <v>1009128</v>
      </c>
      <c r="B8655">
        <v>8001</v>
      </c>
      <c r="C8655">
        <v>1</v>
      </c>
      <c r="D8655" s="17" t="s">
        <v>17166</v>
      </c>
      <c r="E8655" s="17"/>
      <c r="F8655" s="17" t="s">
        <v>17246</v>
      </c>
      <c r="G8655" s="17"/>
      <c r="H8655" s="17" t="s">
        <v>17984</v>
      </c>
      <c r="I8655" s="17"/>
      <c r="J8655" s="17" t="s">
        <v>19986</v>
      </c>
      <c r="K8655" s="17"/>
      <c r="L8655" s="17" t="s">
        <v>19987</v>
      </c>
      <c r="M8655" s="17"/>
      <c r="N8655" s="17" t="s">
        <v>19988</v>
      </c>
      <c r="O8655" s="17"/>
      <c r="P8655" s="17" t="s">
        <v>20396</v>
      </c>
      <c r="Q8655" s="17"/>
      <c r="R8655" s="25" t="str">
        <f>HYPERLINK("https://ictv.global/taxonomy/taxondetails?taxnode_id=202314006","Pestivirus N")</f>
        <v>Pestivirus N</v>
      </c>
      <c r="S8655" s="18" t="s">
        <v>30</v>
      </c>
      <c r="T8655" s="18" t="s">
        <v>20429</v>
      </c>
      <c r="U8655" s="18" t="s">
        <v>18232</v>
      </c>
      <c r="V8655" s="18" t="s">
        <v>20430</v>
      </c>
      <c r="W8655" s="18" t="s">
        <v>20431</v>
      </c>
      <c r="X8655" s="18" t="s">
        <v>42</v>
      </c>
      <c r="Y8655" s="18" t="s">
        <v>17171</v>
      </c>
      <c r="Z8655" s="18" t="s">
        <v>166</v>
      </c>
      <c r="AA8655" s="21" t="str">
        <f>HYPERLINK("https://www.ncbi.nlm.nih.gov/nuccore/MZ664274","NCBI Nucleotide")</f>
        <v>NCBI Nucleotide</v>
      </c>
    </row>
    <row r="8656" spans="1:27" x14ac:dyDescent="0.35">
      <c r="A8656">
        <v>1009129</v>
      </c>
      <c r="B8656">
        <v>8002</v>
      </c>
      <c r="C8656">
        <v>1</v>
      </c>
      <c r="D8656" s="17" t="s">
        <v>17166</v>
      </c>
      <c r="E8656" s="17"/>
      <c r="F8656" s="17" t="s">
        <v>17246</v>
      </c>
      <c r="G8656" s="17"/>
      <c r="H8656" s="17" t="s">
        <v>17984</v>
      </c>
      <c r="I8656" s="17"/>
      <c r="J8656" s="17" t="s">
        <v>19986</v>
      </c>
      <c r="K8656" s="17"/>
      <c r="L8656" s="17" t="s">
        <v>19987</v>
      </c>
      <c r="M8656" s="17"/>
      <c r="N8656" s="17" t="s">
        <v>19988</v>
      </c>
      <c r="O8656" s="17"/>
      <c r="P8656" s="17" t="s">
        <v>20396</v>
      </c>
      <c r="Q8656" s="17"/>
      <c r="R8656" s="25" t="str">
        <f>HYPERLINK("https://ictv.global/taxonomy/taxondetails?taxnode_id=202314007","Pestivirus O")</f>
        <v>Pestivirus O</v>
      </c>
      <c r="S8656" s="18" t="s">
        <v>30</v>
      </c>
      <c r="T8656" s="18" t="s">
        <v>20432</v>
      </c>
      <c r="U8656" s="18" t="s">
        <v>20433</v>
      </c>
      <c r="V8656" s="18" t="s">
        <v>20434</v>
      </c>
      <c r="W8656" s="18" t="s">
        <v>20435</v>
      </c>
      <c r="X8656" s="18" t="s">
        <v>35</v>
      </c>
      <c r="Y8656" s="18" t="s">
        <v>17171</v>
      </c>
      <c r="Z8656" s="18" t="s">
        <v>166</v>
      </c>
      <c r="AA8656" s="21" t="str">
        <f>HYPERLINK("https://www.ncbi.nlm.nih.gov/nuccore/MK618726","NCBI Nucleotide")</f>
        <v>NCBI Nucleotide</v>
      </c>
    </row>
    <row r="8657" spans="1:27" x14ac:dyDescent="0.35">
      <c r="A8657">
        <v>1009130</v>
      </c>
      <c r="B8657">
        <v>8003</v>
      </c>
      <c r="C8657">
        <v>1</v>
      </c>
      <c r="D8657" s="17" t="s">
        <v>17166</v>
      </c>
      <c r="E8657" s="17"/>
      <c r="F8657" s="17" t="s">
        <v>17246</v>
      </c>
      <c r="G8657" s="17"/>
      <c r="H8657" s="17" t="s">
        <v>17984</v>
      </c>
      <c r="I8657" s="17"/>
      <c r="J8657" s="17" t="s">
        <v>19986</v>
      </c>
      <c r="K8657" s="17"/>
      <c r="L8657" s="17" t="s">
        <v>19987</v>
      </c>
      <c r="M8657" s="17"/>
      <c r="N8657" s="17" t="s">
        <v>19988</v>
      </c>
      <c r="O8657" s="17"/>
      <c r="P8657" s="17" t="s">
        <v>20396</v>
      </c>
      <c r="Q8657" s="17"/>
      <c r="R8657" s="25" t="str">
        <f>HYPERLINK("https://ictv.global/taxonomy/taxondetails?taxnode_id=202303152","Pestivirus ovis")</f>
        <v>Pestivirus ovis</v>
      </c>
      <c r="S8657" s="18" t="s">
        <v>30</v>
      </c>
      <c r="T8657" s="18" t="s">
        <v>20436</v>
      </c>
      <c r="U8657" s="18" t="s">
        <v>20437</v>
      </c>
      <c r="V8657" s="18" t="s">
        <v>20438</v>
      </c>
      <c r="W8657" s="18" t="s">
        <v>20439</v>
      </c>
      <c r="X8657" s="18" t="s">
        <v>42</v>
      </c>
      <c r="Y8657" s="18" t="s">
        <v>17171</v>
      </c>
      <c r="Z8657" s="18" t="s">
        <v>166</v>
      </c>
      <c r="AA8657" s="21" t="str">
        <f>HYPERLINK("https://www.ncbi.nlm.nih.gov/nuccore/AF037405","NCBI Nucleotide")</f>
        <v>NCBI Nucleotide</v>
      </c>
    </row>
    <row r="8658" spans="1:27" x14ac:dyDescent="0.35">
      <c r="A8658">
        <v>1009131</v>
      </c>
      <c r="B8658">
        <v>8004</v>
      </c>
      <c r="C8658">
        <v>1</v>
      </c>
      <c r="D8658" s="17" t="s">
        <v>17166</v>
      </c>
      <c r="E8658" s="17"/>
      <c r="F8658" s="17" t="s">
        <v>17246</v>
      </c>
      <c r="G8658" s="17"/>
      <c r="H8658" s="17" t="s">
        <v>17984</v>
      </c>
      <c r="I8658" s="17"/>
      <c r="J8658" s="17" t="s">
        <v>19986</v>
      </c>
      <c r="K8658" s="17"/>
      <c r="L8658" s="17" t="s">
        <v>19987</v>
      </c>
      <c r="M8658" s="17"/>
      <c r="N8658" s="17" t="s">
        <v>19988</v>
      </c>
      <c r="O8658" s="17"/>
      <c r="P8658" s="17" t="s">
        <v>20396</v>
      </c>
      <c r="Q8658" s="17"/>
      <c r="R8658" s="25" t="str">
        <f>HYPERLINK("https://ictv.global/taxonomy/taxondetails?taxnode_id=202314008","Pestivirus P")</f>
        <v>Pestivirus P</v>
      </c>
      <c r="S8658" s="18" t="s">
        <v>30</v>
      </c>
      <c r="T8658" s="18" t="s">
        <v>20440</v>
      </c>
      <c r="U8658" s="18" t="s">
        <v>20441</v>
      </c>
      <c r="V8658" s="18" t="s">
        <v>20442</v>
      </c>
      <c r="W8658" s="18" t="s">
        <v>20443</v>
      </c>
      <c r="X8658" s="18" t="s">
        <v>42</v>
      </c>
      <c r="Y8658" s="18" t="s">
        <v>17171</v>
      </c>
      <c r="Z8658" s="18" t="s">
        <v>166</v>
      </c>
      <c r="AA8658" s="21" t="str">
        <f>HYPERLINK("https://www.ncbi.nlm.nih.gov/nuccore/MK636874","NCBI Nucleotide")</f>
        <v>NCBI Nucleotide</v>
      </c>
    </row>
    <row r="8659" spans="1:27" x14ac:dyDescent="0.35">
      <c r="A8659">
        <v>1009132</v>
      </c>
      <c r="B8659">
        <v>8005</v>
      </c>
      <c r="C8659">
        <v>1</v>
      </c>
      <c r="D8659" s="17" t="s">
        <v>17166</v>
      </c>
      <c r="E8659" s="17"/>
      <c r="F8659" s="17" t="s">
        <v>17246</v>
      </c>
      <c r="G8659" s="17"/>
      <c r="H8659" s="17" t="s">
        <v>17984</v>
      </c>
      <c r="I8659" s="17"/>
      <c r="J8659" s="17" t="s">
        <v>19986</v>
      </c>
      <c r="K8659" s="17"/>
      <c r="L8659" s="17" t="s">
        <v>19987</v>
      </c>
      <c r="M8659" s="17"/>
      <c r="N8659" s="17" t="s">
        <v>19988</v>
      </c>
      <c r="O8659" s="17"/>
      <c r="P8659" s="17" t="s">
        <v>20396</v>
      </c>
      <c r="Q8659" s="17"/>
      <c r="R8659" s="25" t="str">
        <f>HYPERLINK("https://ictv.global/taxonomy/taxondetails?taxnode_id=202314009","Pestivirus Q")</f>
        <v>Pestivirus Q</v>
      </c>
      <c r="S8659" s="18" t="s">
        <v>30</v>
      </c>
      <c r="T8659" s="18" t="s">
        <v>20444</v>
      </c>
      <c r="U8659" s="18" t="s">
        <v>20445</v>
      </c>
      <c r="V8659" s="18" t="s">
        <v>20446</v>
      </c>
      <c r="W8659" s="18" t="s">
        <v>20447</v>
      </c>
      <c r="X8659" s="18" t="s">
        <v>35</v>
      </c>
      <c r="Y8659" s="18" t="s">
        <v>17171</v>
      </c>
      <c r="Z8659" s="18" t="s">
        <v>166</v>
      </c>
      <c r="AA8659" s="21" t="str">
        <f>HYPERLINK("https://www.ncbi.nlm.nih.gov/nuccore/KY370101","NCBI Nucleotide")</f>
        <v>NCBI Nucleotide</v>
      </c>
    </row>
    <row r="8660" spans="1:27" x14ac:dyDescent="0.35">
      <c r="A8660">
        <v>1009133</v>
      </c>
      <c r="B8660">
        <v>8006</v>
      </c>
      <c r="C8660">
        <v>1</v>
      </c>
      <c r="D8660" s="17" t="s">
        <v>17166</v>
      </c>
      <c r="E8660" s="17"/>
      <c r="F8660" s="17" t="s">
        <v>17246</v>
      </c>
      <c r="G8660" s="17"/>
      <c r="H8660" s="17" t="s">
        <v>17984</v>
      </c>
      <c r="I8660" s="17"/>
      <c r="J8660" s="17" t="s">
        <v>19986</v>
      </c>
      <c r="K8660" s="17"/>
      <c r="L8660" s="17" t="s">
        <v>19987</v>
      </c>
      <c r="M8660" s="17"/>
      <c r="N8660" s="17" t="s">
        <v>19988</v>
      </c>
      <c r="O8660" s="17"/>
      <c r="P8660" s="17" t="s">
        <v>20396</v>
      </c>
      <c r="Q8660" s="17"/>
      <c r="R8660" s="25" t="str">
        <f>HYPERLINK("https://ictv.global/taxonomy/taxondetails?taxnode_id=202314010","Pestivirus R")</f>
        <v>Pestivirus R</v>
      </c>
      <c r="S8660" s="18" t="s">
        <v>30</v>
      </c>
      <c r="T8660" s="18" t="s">
        <v>20444</v>
      </c>
      <c r="U8660" s="18" t="s">
        <v>20448</v>
      </c>
      <c r="V8660" s="18" t="s">
        <v>20449</v>
      </c>
      <c r="W8660" s="18" t="s">
        <v>20450</v>
      </c>
      <c r="X8660" s="18" t="s">
        <v>35</v>
      </c>
      <c r="Y8660" s="18" t="s">
        <v>17171</v>
      </c>
      <c r="Z8660" s="18" t="s">
        <v>166</v>
      </c>
      <c r="AA8660" s="21" t="str">
        <f>HYPERLINK("https://www.ncbi.nlm.nih.gov/nuccore/KY370100","NCBI Nucleotide")</f>
        <v>NCBI Nucleotide</v>
      </c>
    </row>
    <row r="8661" spans="1:27" x14ac:dyDescent="0.35">
      <c r="A8661">
        <v>1009134</v>
      </c>
      <c r="B8661">
        <v>8007</v>
      </c>
      <c r="C8661">
        <v>1</v>
      </c>
      <c r="D8661" s="17" t="s">
        <v>17166</v>
      </c>
      <c r="E8661" s="17"/>
      <c r="F8661" s="17" t="s">
        <v>17246</v>
      </c>
      <c r="G8661" s="17"/>
      <c r="H8661" s="17" t="s">
        <v>17984</v>
      </c>
      <c r="I8661" s="17"/>
      <c r="J8661" s="17" t="s">
        <v>19986</v>
      </c>
      <c r="K8661" s="17"/>
      <c r="L8661" s="17" t="s">
        <v>19987</v>
      </c>
      <c r="M8661" s="17"/>
      <c r="N8661" s="17" t="s">
        <v>19988</v>
      </c>
      <c r="O8661" s="17"/>
      <c r="P8661" s="17" t="s">
        <v>20396</v>
      </c>
      <c r="Q8661" s="17"/>
      <c r="R8661" s="25" t="str">
        <f>HYPERLINK("https://ictv.global/taxonomy/taxondetails?taxnode_id=202305785","Pestivirus ratti")</f>
        <v>Pestivirus ratti</v>
      </c>
      <c r="S8661" s="18" t="s">
        <v>30</v>
      </c>
      <c r="T8661" s="18" t="s">
        <v>20451</v>
      </c>
      <c r="U8661" s="18" t="s">
        <v>20452</v>
      </c>
      <c r="V8661" s="18" t="s">
        <v>20453</v>
      </c>
      <c r="W8661" s="18" t="s">
        <v>20454</v>
      </c>
      <c r="X8661" s="18" t="s">
        <v>42</v>
      </c>
      <c r="Y8661" s="18" t="s">
        <v>17171</v>
      </c>
      <c r="Z8661" s="18" t="s">
        <v>166</v>
      </c>
      <c r="AA8661" s="21" t="str">
        <f>HYPERLINK("https://www.ncbi.nlm.nih.gov/nuccore/KJ950914","NCBI Nucleotide")</f>
        <v>NCBI Nucleotide</v>
      </c>
    </row>
    <row r="8662" spans="1:27" x14ac:dyDescent="0.35">
      <c r="A8662">
        <v>1009135</v>
      </c>
      <c r="B8662">
        <v>8008</v>
      </c>
      <c r="C8662">
        <v>1</v>
      </c>
      <c r="D8662" s="17" t="s">
        <v>17166</v>
      </c>
      <c r="E8662" s="17"/>
      <c r="F8662" s="17" t="s">
        <v>17246</v>
      </c>
      <c r="G8662" s="17"/>
      <c r="H8662" s="17" t="s">
        <v>17984</v>
      </c>
      <c r="I8662" s="17"/>
      <c r="J8662" s="17" t="s">
        <v>19986</v>
      </c>
      <c r="K8662" s="17"/>
      <c r="L8662" s="17" t="s">
        <v>19987</v>
      </c>
      <c r="M8662" s="17"/>
      <c r="N8662" s="17" t="s">
        <v>19988</v>
      </c>
      <c r="O8662" s="17"/>
      <c r="P8662" s="17" t="s">
        <v>20396</v>
      </c>
      <c r="Q8662" s="17"/>
      <c r="R8662" s="25" t="str">
        <f>HYPERLINK("https://ictv.global/taxonomy/taxondetails?taxnode_id=202314011","Pestivirus S")</f>
        <v>Pestivirus S</v>
      </c>
      <c r="S8662" s="18" t="s">
        <v>30</v>
      </c>
      <c r="T8662" s="18" t="s">
        <v>20455</v>
      </c>
      <c r="U8662" s="18" t="s">
        <v>20456</v>
      </c>
      <c r="V8662" s="18" t="s">
        <v>20457</v>
      </c>
      <c r="W8662" s="18" t="s">
        <v>20458</v>
      </c>
      <c r="X8662" s="18" t="s">
        <v>35</v>
      </c>
      <c r="Y8662" s="18" t="s">
        <v>17171</v>
      </c>
      <c r="Z8662" s="18" t="s">
        <v>166</v>
      </c>
      <c r="AA8662" s="21" t="str">
        <f>HYPERLINK("https://www.ncbi.nlm.nih.gov/nuccore/MH282908","NCBI Nucleotide")</f>
        <v>NCBI Nucleotide</v>
      </c>
    </row>
    <row r="8663" spans="1:27" x14ac:dyDescent="0.35">
      <c r="A8663">
        <v>1009136</v>
      </c>
      <c r="B8663">
        <v>8009</v>
      </c>
      <c r="C8663">
        <v>1</v>
      </c>
      <c r="D8663" s="17" t="s">
        <v>17166</v>
      </c>
      <c r="E8663" s="17"/>
      <c r="F8663" s="17" t="s">
        <v>17246</v>
      </c>
      <c r="G8663" s="17"/>
      <c r="H8663" s="17" t="s">
        <v>17984</v>
      </c>
      <c r="I8663" s="17"/>
      <c r="J8663" s="17" t="s">
        <v>19986</v>
      </c>
      <c r="K8663" s="17"/>
      <c r="L8663" s="17" t="s">
        <v>19987</v>
      </c>
      <c r="M8663" s="17"/>
      <c r="N8663" s="17" t="s">
        <v>19988</v>
      </c>
      <c r="O8663" s="17"/>
      <c r="P8663" s="17" t="s">
        <v>20396</v>
      </c>
      <c r="Q8663" s="17"/>
      <c r="R8663" s="25" t="str">
        <f>HYPERLINK("https://ictv.global/taxonomy/taxondetails?taxnode_id=202305786","Pestivirus scrofae")</f>
        <v>Pestivirus scrofae</v>
      </c>
      <c r="S8663" s="18" t="s">
        <v>30</v>
      </c>
      <c r="T8663" s="18" t="s">
        <v>20459</v>
      </c>
      <c r="U8663" s="18" t="s">
        <v>20460</v>
      </c>
      <c r="V8663" s="18">
        <v>515</v>
      </c>
      <c r="W8663" s="18" t="s">
        <v>20461</v>
      </c>
      <c r="X8663" s="18" t="s">
        <v>42</v>
      </c>
      <c r="Y8663" s="18" t="s">
        <v>17171</v>
      </c>
      <c r="Z8663" s="18" t="s">
        <v>166</v>
      </c>
      <c r="AA8663" s="21" t="str">
        <f>HYPERLINK("https://www.ncbi.nlm.nih.gov/nuccore/KR011347","NCBI Nucleotide")</f>
        <v>NCBI Nucleotide</v>
      </c>
    </row>
    <row r="8664" spans="1:27" x14ac:dyDescent="0.35">
      <c r="A8664">
        <v>1009137</v>
      </c>
      <c r="B8664">
        <v>8010</v>
      </c>
      <c r="C8664">
        <v>1</v>
      </c>
      <c r="D8664" s="17" t="s">
        <v>17166</v>
      </c>
      <c r="E8664" s="17"/>
      <c r="F8664" s="17" t="s">
        <v>17246</v>
      </c>
      <c r="G8664" s="17"/>
      <c r="H8664" s="17" t="s">
        <v>17984</v>
      </c>
      <c r="I8664" s="17"/>
      <c r="J8664" s="17" t="s">
        <v>19986</v>
      </c>
      <c r="K8664" s="17"/>
      <c r="L8664" s="17" t="s">
        <v>19987</v>
      </c>
      <c r="M8664" s="17"/>
      <c r="N8664" s="17" t="s">
        <v>19988</v>
      </c>
      <c r="O8664" s="17"/>
      <c r="P8664" s="17" t="s">
        <v>20396</v>
      </c>
      <c r="Q8664" s="17"/>
      <c r="R8664" s="25" t="str">
        <f>HYPERLINK("https://ictv.global/taxonomy/taxondetails?taxnode_id=202303155","Pestivirus suis")</f>
        <v>Pestivirus suis</v>
      </c>
      <c r="S8664" s="18" t="s">
        <v>30</v>
      </c>
      <c r="T8664" s="18" t="s">
        <v>20462</v>
      </c>
      <c r="U8664" s="18" t="s">
        <v>20463</v>
      </c>
      <c r="V8664" s="18" t="s">
        <v>20464</v>
      </c>
      <c r="W8664" s="18" t="s">
        <v>20465</v>
      </c>
      <c r="X8664" s="18" t="s">
        <v>42</v>
      </c>
      <c r="Y8664" s="18" t="s">
        <v>17171</v>
      </c>
      <c r="Z8664" s="18" t="s">
        <v>166</v>
      </c>
      <c r="AA8664" s="21" t="str">
        <f>HYPERLINK("https://www.ncbi.nlm.nih.gov/nuccore/X87939","NCBI Nucleotide")</f>
        <v>NCBI Nucleotide</v>
      </c>
    </row>
    <row r="8665" spans="1:27" x14ac:dyDescent="0.35">
      <c r="A8665">
        <v>1009138</v>
      </c>
      <c r="B8665">
        <v>8011</v>
      </c>
      <c r="C8665">
        <v>1</v>
      </c>
      <c r="D8665" s="17" t="s">
        <v>17166</v>
      </c>
      <c r="E8665" s="17"/>
      <c r="F8665" s="17" t="s">
        <v>17246</v>
      </c>
      <c r="G8665" s="17"/>
      <c r="H8665" s="17" t="s">
        <v>17984</v>
      </c>
      <c r="I8665" s="17"/>
      <c r="J8665" s="17" t="s">
        <v>19986</v>
      </c>
      <c r="K8665" s="17"/>
      <c r="L8665" s="17" t="s">
        <v>19987</v>
      </c>
      <c r="M8665" s="17"/>
      <c r="N8665" s="17" t="s">
        <v>19988</v>
      </c>
      <c r="O8665" s="17"/>
      <c r="P8665" s="17" t="s">
        <v>20396</v>
      </c>
      <c r="Q8665" s="17"/>
      <c r="R8665" s="25" t="str">
        <f>HYPERLINK("https://ictv.global/taxonomy/taxondetails?taxnode_id=202303154","Pestivirus tauri")</f>
        <v>Pestivirus tauri</v>
      </c>
      <c r="S8665" s="18" t="s">
        <v>30</v>
      </c>
      <c r="T8665" s="18" t="s">
        <v>20466</v>
      </c>
      <c r="U8665" s="18" t="s">
        <v>20467</v>
      </c>
      <c r="V8665" s="18" t="s">
        <v>20468</v>
      </c>
      <c r="W8665" s="18" t="s">
        <v>20469</v>
      </c>
      <c r="X8665" s="18" t="s">
        <v>42</v>
      </c>
      <c r="Y8665" s="18" t="s">
        <v>17171</v>
      </c>
      <c r="Z8665" s="18" t="s">
        <v>166</v>
      </c>
      <c r="AA8665" s="21" t="str">
        <f>HYPERLINK("https://www.ncbi.nlm.nih.gov/nuccore/FJ527854","NCBI Nucleotide")</f>
        <v>NCBI Nucleotide</v>
      </c>
    </row>
    <row r="8666" spans="1:27" x14ac:dyDescent="0.35">
      <c r="A8666">
        <v>1012821</v>
      </c>
      <c r="B8666">
        <v>8011</v>
      </c>
      <c r="C8666">
        <v>2</v>
      </c>
      <c r="D8666" s="17" t="s">
        <v>17166</v>
      </c>
      <c r="E8666" s="17"/>
      <c r="F8666" s="17" t="s">
        <v>17246</v>
      </c>
      <c r="G8666" s="17"/>
      <c r="H8666" s="17" t="s">
        <v>17984</v>
      </c>
      <c r="I8666" s="17"/>
      <c r="J8666" s="17" t="s">
        <v>19986</v>
      </c>
      <c r="K8666" s="17"/>
      <c r="L8666" s="17" t="s">
        <v>19987</v>
      </c>
      <c r="M8666" s="17"/>
      <c r="N8666" s="17" t="s">
        <v>19988</v>
      </c>
      <c r="O8666" s="17"/>
      <c r="P8666" s="17" t="s">
        <v>20396</v>
      </c>
      <c r="Q8666" s="17"/>
      <c r="R8666" s="25" t="str">
        <f>HYPERLINK("https://ictv.global/taxonomy/taxondetails?taxnode_id=202303154","Pestivirus tauri")</f>
        <v>Pestivirus tauri</v>
      </c>
      <c r="S8666" s="18" t="s">
        <v>8141</v>
      </c>
      <c r="T8666" s="18" t="s">
        <v>20466</v>
      </c>
      <c r="U8666" s="18" t="s">
        <v>20467</v>
      </c>
      <c r="V8666" s="18">
        <v>890</v>
      </c>
      <c r="W8666" s="18" t="s">
        <v>49377</v>
      </c>
      <c r="X8666" s="18" t="s">
        <v>42</v>
      </c>
      <c r="Y8666" s="18" t="s">
        <v>17171</v>
      </c>
      <c r="Z8666" s="18" t="s">
        <v>166</v>
      </c>
      <c r="AA8666" s="21" t="str">
        <f>HYPERLINK("https://www.ncbi.nlm.nih.gov/nuccore/U18059","NCBI Nucleotide")</f>
        <v>NCBI Nucleotide</v>
      </c>
    </row>
    <row r="8667" spans="1:27" x14ac:dyDescent="0.35">
      <c r="A8667">
        <v>1009140</v>
      </c>
      <c r="B8667">
        <v>8012</v>
      </c>
      <c r="C8667">
        <v>1</v>
      </c>
      <c r="D8667" s="17" t="s">
        <v>17166</v>
      </c>
      <c r="E8667" s="17"/>
      <c r="F8667" s="17" t="s">
        <v>17246</v>
      </c>
      <c r="G8667" s="17"/>
      <c r="H8667" s="17" t="s">
        <v>17984</v>
      </c>
      <c r="I8667" s="17"/>
      <c r="J8667" s="17" t="s">
        <v>20470</v>
      </c>
      <c r="K8667" s="17"/>
      <c r="L8667" s="17" t="s">
        <v>20471</v>
      </c>
      <c r="M8667" s="17"/>
      <c r="N8667" s="17" t="s">
        <v>20472</v>
      </c>
      <c r="O8667" s="17"/>
      <c r="P8667" s="17" t="s">
        <v>20473</v>
      </c>
      <c r="Q8667" s="17"/>
      <c r="R8667" s="25" t="str">
        <f>HYPERLINK("https://ictv.global/taxonomy/taxondetails?taxnode_id=202303927","Alphanodavirus boolarraense")</f>
        <v>Alphanodavirus boolarraense</v>
      </c>
      <c r="S8667" s="18" t="s">
        <v>30</v>
      </c>
      <c r="T8667" s="18" t="s">
        <v>20475</v>
      </c>
      <c r="U8667" s="18" t="s">
        <v>20476</v>
      </c>
      <c r="V8667" s="18"/>
      <c r="W8667" s="18" t="s">
        <v>20477</v>
      </c>
      <c r="X8667" s="18" t="s">
        <v>42</v>
      </c>
      <c r="Y8667" s="18" t="s">
        <v>17171</v>
      </c>
      <c r="Z8667" s="18" t="s">
        <v>10790</v>
      </c>
      <c r="AA8667" s="21" t="str">
        <f>HYPERLINK("https://www.ncbi.nlm.nih.gov/nuccore/AF329080,X15960","NCBI Nucleotide")</f>
        <v>NCBI Nucleotide</v>
      </c>
    </row>
    <row r="8668" spans="1:27" x14ac:dyDescent="0.35">
      <c r="A8668">
        <v>1009141</v>
      </c>
      <c r="B8668">
        <v>8013</v>
      </c>
      <c r="C8668">
        <v>1</v>
      </c>
      <c r="D8668" s="17" t="s">
        <v>17166</v>
      </c>
      <c r="E8668" s="17"/>
      <c r="F8668" s="17" t="s">
        <v>17246</v>
      </c>
      <c r="G8668" s="17"/>
      <c r="H8668" s="17" t="s">
        <v>17984</v>
      </c>
      <c r="I8668" s="17"/>
      <c r="J8668" s="17" t="s">
        <v>20470</v>
      </c>
      <c r="K8668" s="17"/>
      <c r="L8668" s="17" t="s">
        <v>20471</v>
      </c>
      <c r="M8668" s="17"/>
      <c r="N8668" s="17" t="s">
        <v>20472</v>
      </c>
      <c r="O8668" s="17"/>
      <c r="P8668" s="17" t="s">
        <v>20473</v>
      </c>
      <c r="Q8668" s="17"/>
      <c r="R8668" s="25" t="str">
        <f>HYPERLINK("https://ictv.global/taxonomy/taxondetails?taxnode_id=202303928","Alphanodavirus flockense")</f>
        <v>Alphanodavirus flockense</v>
      </c>
      <c r="S8668" s="18" t="s">
        <v>30</v>
      </c>
      <c r="T8668" s="18" t="s">
        <v>20478</v>
      </c>
      <c r="U8668" s="18" t="s">
        <v>20479</v>
      </c>
      <c r="V8668" s="18"/>
      <c r="W8668" s="18" t="s">
        <v>50545</v>
      </c>
      <c r="X8668" s="18" t="s">
        <v>42</v>
      </c>
      <c r="Y8668" s="18" t="s">
        <v>17171</v>
      </c>
      <c r="Z8668" s="18" t="s">
        <v>10790</v>
      </c>
      <c r="AA8668" s="21" t="str">
        <f>HYPERLINK("https://www.ncbi.nlm.nih.gov/nuccore/X77156,X15959","NCBI Nucleotide")</f>
        <v>NCBI Nucleotide</v>
      </c>
    </row>
    <row r="8669" spans="1:27" x14ac:dyDescent="0.35">
      <c r="A8669">
        <v>1012824</v>
      </c>
      <c r="B8669">
        <v>8013</v>
      </c>
      <c r="C8669">
        <v>2</v>
      </c>
      <c r="D8669" s="17" t="s">
        <v>17166</v>
      </c>
      <c r="E8669" s="17"/>
      <c r="F8669" s="17" t="s">
        <v>17246</v>
      </c>
      <c r="G8669" s="17"/>
      <c r="H8669" s="17" t="s">
        <v>17984</v>
      </c>
      <c r="I8669" s="17"/>
      <c r="J8669" s="17" t="s">
        <v>20470</v>
      </c>
      <c r="K8669" s="17"/>
      <c r="L8669" s="17" t="s">
        <v>20471</v>
      </c>
      <c r="M8669" s="17"/>
      <c r="N8669" s="17" t="s">
        <v>20472</v>
      </c>
      <c r="O8669" s="17"/>
      <c r="P8669" s="17" t="s">
        <v>20473</v>
      </c>
      <c r="Q8669" s="17"/>
      <c r="R8669" s="25" t="str">
        <f>HYPERLINK("https://ictv.global/taxonomy/taxondetails?taxnode_id=202303928","Alphanodavirus flockense")</f>
        <v>Alphanodavirus flockense</v>
      </c>
      <c r="S8669" s="18" t="s">
        <v>8141</v>
      </c>
      <c r="T8669" s="18" t="s">
        <v>20482</v>
      </c>
      <c r="U8669" s="18" t="s">
        <v>20479</v>
      </c>
      <c r="V8669" s="18" t="s">
        <v>20483</v>
      </c>
      <c r="W8669" s="18" t="s">
        <v>49378</v>
      </c>
      <c r="X8669" s="18" t="s">
        <v>42</v>
      </c>
      <c r="Y8669" s="18" t="s">
        <v>17171</v>
      </c>
      <c r="Z8669" s="18" t="s">
        <v>10790</v>
      </c>
      <c r="AA8669" s="21" t="str">
        <f>HYPERLINK("https://www.ncbi.nlm.nih.gov/nuccore/GQ342965,GQ342966","NCBI Nucleotide")</f>
        <v>NCBI Nucleotide</v>
      </c>
    </row>
    <row r="8670" spans="1:27" x14ac:dyDescent="0.35">
      <c r="A8670">
        <v>1012822</v>
      </c>
      <c r="B8670">
        <v>8013</v>
      </c>
      <c r="C8670">
        <v>3</v>
      </c>
      <c r="D8670" s="17" t="s">
        <v>17166</v>
      </c>
      <c r="E8670" s="17"/>
      <c r="F8670" s="17" t="s">
        <v>17246</v>
      </c>
      <c r="G8670" s="17"/>
      <c r="H8670" s="17" t="s">
        <v>17984</v>
      </c>
      <c r="I8670" s="17"/>
      <c r="J8670" s="17" t="s">
        <v>20470</v>
      </c>
      <c r="K8670" s="17"/>
      <c r="L8670" s="17" t="s">
        <v>20471</v>
      </c>
      <c r="M8670" s="17"/>
      <c r="N8670" s="17" t="s">
        <v>20472</v>
      </c>
      <c r="O8670" s="17"/>
      <c r="P8670" s="17" t="s">
        <v>20473</v>
      </c>
      <c r="Q8670" s="17"/>
      <c r="R8670" s="25" t="str">
        <f>HYPERLINK("https://ictv.global/taxonomy/taxondetails?taxnode_id=202303928","Alphanodavirus flockense")</f>
        <v>Alphanodavirus flockense</v>
      </c>
      <c r="S8670" s="18" t="s">
        <v>8141</v>
      </c>
      <c r="T8670" s="18" t="s">
        <v>20478</v>
      </c>
      <c r="U8670" s="18" t="s">
        <v>20479</v>
      </c>
      <c r="V8670" s="18" t="s">
        <v>20480</v>
      </c>
      <c r="W8670" s="18" t="s">
        <v>49379</v>
      </c>
      <c r="X8670" s="18" t="s">
        <v>42</v>
      </c>
      <c r="Y8670" s="18" t="s">
        <v>17171</v>
      </c>
      <c r="Z8670" s="18" t="s">
        <v>10790</v>
      </c>
      <c r="AA8670" s="21" t="str">
        <f>HYPERLINK("https://www.ncbi.nlm.nih.gov/nuccore/JF461541,JF461542","NCBI Nucleotide")</f>
        <v>NCBI Nucleotide</v>
      </c>
    </row>
    <row r="8671" spans="1:27" x14ac:dyDescent="0.35">
      <c r="A8671">
        <v>1012823</v>
      </c>
      <c r="B8671">
        <v>8013</v>
      </c>
      <c r="C8671">
        <v>4</v>
      </c>
      <c r="D8671" s="17" t="s">
        <v>17166</v>
      </c>
      <c r="E8671" s="17"/>
      <c r="F8671" s="17" t="s">
        <v>17246</v>
      </c>
      <c r="G8671" s="17"/>
      <c r="H8671" s="17" t="s">
        <v>17984</v>
      </c>
      <c r="I8671" s="17"/>
      <c r="J8671" s="17" t="s">
        <v>20470</v>
      </c>
      <c r="K8671" s="17"/>
      <c r="L8671" s="17" t="s">
        <v>20471</v>
      </c>
      <c r="M8671" s="17"/>
      <c r="N8671" s="17" t="s">
        <v>20472</v>
      </c>
      <c r="O8671" s="17"/>
      <c r="P8671" s="17" t="s">
        <v>20473</v>
      </c>
      <c r="Q8671" s="17"/>
      <c r="R8671" s="25" t="str">
        <f>HYPERLINK("https://ictv.global/taxonomy/taxondetails?taxnode_id=202303928","Alphanodavirus flockense")</f>
        <v>Alphanodavirus flockense</v>
      </c>
      <c r="S8671" s="18" t="s">
        <v>8141</v>
      </c>
      <c r="T8671" s="18" t="s">
        <v>20478</v>
      </c>
      <c r="U8671" s="18" t="s">
        <v>20479</v>
      </c>
      <c r="V8671" s="18" t="s">
        <v>20481</v>
      </c>
      <c r="W8671" s="18" t="s">
        <v>49380</v>
      </c>
      <c r="X8671" s="18" t="s">
        <v>42</v>
      </c>
      <c r="Y8671" s="18" t="s">
        <v>17171</v>
      </c>
      <c r="Z8671" s="18" t="s">
        <v>10790</v>
      </c>
      <c r="AA8671" s="21" t="str">
        <f>HYPERLINK("https://www.ncbi.nlm.nih.gov/nuccore/EF690537,EF690538","NCBI Nucleotide")</f>
        <v>NCBI Nucleotide</v>
      </c>
    </row>
    <row r="8672" spans="1:27" x14ac:dyDescent="0.35">
      <c r="A8672">
        <v>1009139</v>
      </c>
      <c r="B8672">
        <v>8014</v>
      </c>
      <c r="C8672">
        <v>1</v>
      </c>
      <c r="D8672" s="17" t="s">
        <v>17166</v>
      </c>
      <c r="E8672" s="17"/>
      <c r="F8672" s="17" t="s">
        <v>17246</v>
      </c>
      <c r="G8672" s="17"/>
      <c r="H8672" s="17" t="s">
        <v>17984</v>
      </c>
      <c r="I8672" s="17"/>
      <c r="J8672" s="17" t="s">
        <v>20470</v>
      </c>
      <c r="K8672" s="17"/>
      <c r="L8672" s="17" t="s">
        <v>20471</v>
      </c>
      <c r="M8672" s="17"/>
      <c r="N8672" s="17" t="s">
        <v>20472</v>
      </c>
      <c r="O8672" s="17"/>
      <c r="P8672" s="17" t="s">
        <v>20473</v>
      </c>
      <c r="Q8672" s="17"/>
      <c r="R8672" s="25" t="str">
        <f>HYPERLINK("https://ictv.global/taxonomy/taxondetails?taxnode_id=202303926","Alphanodavirus heteronychi")</f>
        <v>Alphanodavirus heteronychi</v>
      </c>
      <c r="S8672" s="18" t="s">
        <v>30</v>
      </c>
      <c r="T8672" s="18" t="s">
        <v>20474</v>
      </c>
      <c r="U8672" s="18" t="s">
        <v>20103</v>
      </c>
      <c r="V8672" s="18"/>
      <c r="W8672" s="18" t="s">
        <v>50546</v>
      </c>
      <c r="X8672" s="18" t="s">
        <v>42</v>
      </c>
      <c r="Y8672" s="18" t="s">
        <v>17171</v>
      </c>
      <c r="Z8672" s="18" t="s">
        <v>10790</v>
      </c>
      <c r="AA8672" s="21" t="str">
        <f>HYPERLINK("https://www.ncbi.nlm.nih.gov/nuccore/X02396,X00956","NCBI Nucleotide")</f>
        <v>NCBI Nucleotide</v>
      </c>
    </row>
    <row r="8673" spans="1:27" x14ac:dyDescent="0.35">
      <c r="A8673">
        <v>1009142</v>
      </c>
      <c r="B8673">
        <v>8015</v>
      </c>
      <c r="C8673">
        <v>1</v>
      </c>
      <c r="D8673" s="17" t="s">
        <v>17166</v>
      </c>
      <c r="E8673" s="17"/>
      <c r="F8673" s="17" t="s">
        <v>17246</v>
      </c>
      <c r="G8673" s="17"/>
      <c r="H8673" s="17" t="s">
        <v>17984</v>
      </c>
      <c r="I8673" s="17"/>
      <c r="J8673" s="17" t="s">
        <v>20470</v>
      </c>
      <c r="K8673" s="17"/>
      <c r="L8673" s="17" t="s">
        <v>20471</v>
      </c>
      <c r="M8673" s="17"/>
      <c r="N8673" s="17" t="s">
        <v>20472</v>
      </c>
      <c r="O8673" s="17"/>
      <c r="P8673" s="17" t="s">
        <v>20473</v>
      </c>
      <c r="Q8673" s="17"/>
      <c r="R8673" s="25" t="str">
        <f>HYPERLINK("https://ictv.global/taxonomy/taxondetails?taxnode_id=202303929","Alphanodavirus nodamuraense")</f>
        <v>Alphanodavirus nodamuraense</v>
      </c>
      <c r="S8673" s="18" t="s">
        <v>30</v>
      </c>
      <c r="T8673" s="18" t="s">
        <v>20484</v>
      </c>
      <c r="U8673" s="18" t="s">
        <v>20485</v>
      </c>
      <c r="V8673" s="18"/>
      <c r="W8673" s="18" t="s">
        <v>20486</v>
      </c>
      <c r="X8673" s="18" t="s">
        <v>42</v>
      </c>
      <c r="Y8673" s="18" t="s">
        <v>17171</v>
      </c>
      <c r="Z8673" s="18" t="s">
        <v>10790</v>
      </c>
      <c r="AA8673" s="21" t="str">
        <f>HYPERLINK("https://www.ncbi.nlm.nih.gov/nuccore/AF174533,AF174534","NCBI Nucleotide")</f>
        <v>NCBI Nucleotide</v>
      </c>
    </row>
    <row r="8674" spans="1:27" x14ac:dyDescent="0.35">
      <c r="A8674">
        <v>1012825</v>
      </c>
      <c r="B8674">
        <v>8015</v>
      </c>
      <c r="C8674">
        <v>2</v>
      </c>
      <c r="D8674" s="17" t="s">
        <v>17166</v>
      </c>
      <c r="E8674" s="17"/>
      <c r="F8674" s="17" t="s">
        <v>17246</v>
      </c>
      <c r="G8674" s="17"/>
      <c r="H8674" s="17" t="s">
        <v>17984</v>
      </c>
      <c r="I8674" s="17"/>
      <c r="J8674" s="17" t="s">
        <v>20470</v>
      </c>
      <c r="K8674" s="17"/>
      <c r="L8674" s="17" t="s">
        <v>20471</v>
      </c>
      <c r="M8674" s="17"/>
      <c r="N8674" s="17" t="s">
        <v>20472</v>
      </c>
      <c r="O8674" s="17"/>
      <c r="P8674" s="17" t="s">
        <v>20473</v>
      </c>
      <c r="Q8674" s="17"/>
      <c r="R8674" s="25" t="str">
        <f>HYPERLINK("https://ictv.global/taxonomy/taxondetails?taxnode_id=202303929","Alphanodavirus nodamuraense")</f>
        <v>Alphanodavirus nodamuraense</v>
      </c>
      <c r="S8674" s="18" t="s">
        <v>8141</v>
      </c>
      <c r="T8674" s="18" t="s">
        <v>20484</v>
      </c>
      <c r="U8674" s="18" t="s">
        <v>20485</v>
      </c>
      <c r="V8674" s="18"/>
      <c r="W8674" s="18" t="s">
        <v>49381</v>
      </c>
      <c r="X8674" s="18" t="s">
        <v>154</v>
      </c>
      <c r="Y8674" s="18" t="s">
        <v>17171</v>
      </c>
      <c r="Z8674" s="18" t="s">
        <v>10790</v>
      </c>
      <c r="AA8674" s="21" t="str">
        <f>HYPERLINK("https://www.ncbi.nlm.nih.gov/nuccore/X15961","NCBI Nucleotide")</f>
        <v>NCBI Nucleotide</v>
      </c>
    </row>
    <row r="8675" spans="1:27" x14ac:dyDescent="0.35">
      <c r="A8675">
        <v>1009143</v>
      </c>
      <c r="B8675">
        <v>8016</v>
      </c>
      <c r="C8675">
        <v>1</v>
      </c>
      <c r="D8675" s="17" t="s">
        <v>17166</v>
      </c>
      <c r="E8675" s="17"/>
      <c r="F8675" s="17" t="s">
        <v>17246</v>
      </c>
      <c r="G8675" s="17"/>
      <c r="H8675" s="17" t="s">
        <v>17984</v>
      </c>
      <c r="I8675" s="17"/>
      <c r="J8675" s="17" t="s">
        <v>20470</v>
      </c>
      <c r="K8675" s="17"/>
      <c r="L8675" s="17" t="s">
        <v>20471</v>
      </c>
      <c r="M8675" s="17"/>
      <c r="N8675" s="17" t="s">
        <v>20472</v>
      </c>
      <c r="O8675" s="17"/>
      <c r="P8675" s="17" t="s">
        <v>20473</v>
      </c>
      <c r="Q8675" s="17"/>
      <c r="R8675" s="25" t="str">
        <f>HYPERLINK("https://ictv.global/taxonomy/taxondetails?taxnode_id=202303930","Alphanodavirus pariacotoense")</f>
        <v>Alphanodavirus pariacotoense</v>
      </c>
      <c r="S8675" s="18" t="s">
        <v>30</v>
      </c>
      <c r="T8675" s="18" t="s">
        <v>20487</v>
      </c>
      <c r="U8675" s="18" t="s">
        <v>20488</v>
      </c>
      <c r="V8675" s="18"/>
      <c r="W8675" s="18" t="s">
        <v>20489</v>
      </c>
      <c r="X8675" s="18" t="s">
        <v>42</v>
      </c>
      <c r="Y8675" s="18" t="s">
        <v>17171</v>
      </c>
      <c r="Z8675" s="18" t="s">
        <v>10790</v>
      </c>
      <c r="AA8675" s="21" t="str">
        <f>HYPERLINK("https://www.ncbi.nlm.nih.gov/nuccore/AF171942,AF171943","NCBI Nucleotide")</f>
        <v>NCBI Nucleotide</v>
      </c>
    </row>
    <row r="8676" spans="1:27" x14ac:dyDescent="0.35">
      <c r="A8676">
        <v>1009145</v>
      </c>
      <c r="B8676">
        <v>8017</v>
      </c>
      <c r="C8676">
        <v>1</v>
      </c>
      <c r="D8676" s="17" t="s">
        <v>17166</v>
      </c>
      <c r="E8676" s="17"/>
      <c r="F8676" s="17" t="s">
        <v>17246</v>
      </c>
      <c r="G8676" s="17"/>
      <c r="H8676" s="17" t="s">
        <v>17984</v>
      </c>
      <c r="I8676" s="17"/>
      <c r="J8676" s="17" t="s">
        <v>20470</v>
      </c>
      <c r="K8676" s="17"/>
      <c r="L8676" s="17" t="s">
        <v>20471</v>
      </c>
      <c r="M8676" s="17"/>
      <c r="N8676" s="17" t="s">
        <v>20472</v>
      </c>
      <c r="O8676" s="17"/>
      <c r="P8676" s="17" t="s">
        <v>20490</v>
      </c>
      <c r="Q8676" s="17"/>
      <c r="R8676" s="25" t="str">
        <f t="shared" ref="R8676:R8683" si="34">HYPERLINK("https://ictv.global/taxonomy/taxondetails?taxnode_id=202303933","Betanodavirus epinepheli")</f>
        <v>Betanodavirus epinepheli</v>
      </c>
      <c r="S8676" s="18" t="s">
        <v>30</v>
      </c>
      <c r="T8676" s="18" t="s">
        <v>20502</v>
      </c>
      <c r="U8676" s="18" t="s">
        <v>20503</v>
      </c>
      <c r="V8676" s="18" t="s">
        <v>20504</v>
      </c>
      <c r="W8676" s="18" t="s">
        <v>20505</v>
      </c>
      <c r="X8676" s="18" t="s">
        <v>42</v>
      </c>
      <c r="Y8676" s="18" t="s">
        <v>17171</v>
      </c>
      <c r="Z8676" s="18" t="s">
        <v>166</v>
      </c>
      <c r="AA8676" s="21" t="str">
        <f>HYPERLINK("https://www.ncbi.nlm.nih.gov/nuccore/AY324869,AY324870","NCBI Nucleotide")</f>
        <v>NCBI Nucleotide</v>
      </c>
    </row>
    <row r="8677" spans="1:27" x14ac:dyDescent="0.35">
      <c r="A8677">
        <v>1012829</v>
      </c>
      <c r="B8677">
        <v>8017</v>
      </c>
      <c r="C8677">
        <v>2</v>
      </c>
      <c r="D8677" s="17" t="s">
        <v>17166</v>
      </c>
      <c r="E8677" s="17"/>
      <c r="F8677" s="17" t="s">
        <v>17246</v>
      </c>
      <c r="G8677" s="17"/>
      <c r="H8677" s="17" t="s">
        <v>17984</v>
      </c>
      <c r="I8677" s="17"/>
      <c r="J8677" s="17" t="s">
        <v>20470</v>
      </c>
      <c r="K8677" s="17"/>
      <c r="L8677" s="17" t="s">
        <v>20471</v>
      </c>
      <c r="M8677" s="17"/>
      <c r="N8677" s="17" t="s">
        <v>20472</v>
      </c>
      <c r="O8677" s="17"/>
      <c r="P8677" s="17" t="s">
        <v>20490</v>
      </c>
      <c r="Q8677" s="17"/>
      <c r="R8677" s="25" t="str">
        <f t="shared" si="34"/>
        <v>Betanodavirus epinepheli</v>
      </c>
      <c r="S8677" s="18" t="s">
        <v>8141</v>
      </c>
      <c r="T8677" s="18" t="s">
        <v>20506</v>
      </c>
      <c r="U8677" s="18" t="s">
        <v>20507</v>
      </c>
      <c r="V8677" s="18" t="s">
        <v>17234</v>
      </c>
      <c r="W8677" s="18" t="s">
        <v>49382</v>
      </c>
      <c r="X8677" s="18" t="s">
        <v>42</v>
      </c>
      <c r="Y8677" s="18" t="s">
        <v>17171</v>
      </c>
      <c r="Z8677" s="18" t="s">
        <v>166</v>
      </c>
      <c r="AA8677" s="21" t="str">
        <f>HYPERLINK("https://www.ncbi.nlm.nih.gov/nuccore/AY721616,AY721615","NCBI Nucleotide")</f>
        <v>NCBI Nucleotide</v>
      </c>
    </row>
    <row r="8678" spans="1:27" x14ac:dyDescent="0.35">
      <c r="A8678">
        <v>1012830</v>
      </c>
      <c r="B8678">
        <v>8017</v>
      </c>
      <c r="C8678">
        <v>3</v>
      </c>
      <c r="D8678" s="17" t="s">
        <v>17166</v>
      </c>
      <c r="E8678" s="17"/>
      <c r="F8678" s="17" t="s">
        <v>17246</v>
      </c>
      <c r="G8678" s="17"/>
      <c r="H8678" s="17" t="s">
        <v>17984</v>
      </c>
      <c r="I8678" s="17"/>
      <c r="J8678" s="17" t="s">
        <v>20470</v>
      </c>
      <c r="K8678" s="17"/>
      <c r="L8678" s="17" t="s">
        <v>20471</v>
      </c>
      <c r="M8678" s="17"/>
      <c r="N8678" s="17" t="s">
        <v>20472</v>
      </c>
      <c r="O8678" s="17"/>
      <c r="P8678" s="17" t="s">
        <v>20490</v>
      </c>
      <c r="Q8678" s="17"/>
      <c r="R8678" s="25" t="str">
        <f t="shared" si="34"/>
        <v>Betanodavirus epinepheli</v>
      </c>
      <c r="S8678" s="18" t="s">
        <v>8141</v>
      </c>
      <c r="T8678" s="18" t="s">
        <v>20508</v>
      </c>
      <c r="U8678" s="18" t="s">
        <v>20509</v>
      </c>
      <c r="V8678" s="18" t="s">
        <v>18915</v>
      </c>
      <c r="W8678" s="18" t="s">
        <v>49383</v>
      </c>
      <c r="X8678" s="18" t="s">
        <v>42</v>
      </c>
      <c r="Y8678" s="18" t="s">
        <v>17171</v>
      </c>
      <c r="Z8678" s="18" t="s">
        <v>166</v>
      </c>
      <c r="AA8678" s="21" t="str">
        <f>HYPERLINK("https://www.ncbi.nlm.nih.gov/nuccore/AF319555,AF318942","NCBI Nucleotide")</f>
        <v>NCBI Nucleotide</v>
      </c>
    </row>
    <row r="8679" spans="1:27" x14ac:dyDescent="0.35">
      <c r="A8679">
        <v>1012831</v>
      </c>
      <c r="B8679">
        <v>8017</v>
      </c>
      <c r="C8679">
        <v>4</v>
      </c>
      <c r="D8679" s="17" t="s">
        <v>17166</v>
      </c>
      <c r="E8679" s="17"/>
      <c r="F8679" s="17" t="s">
        <v>17246</v>
      </c>
      <c r="G8679" s="17"/>
      <c r="H8679" s="17" t="s">
        <v>17984</v>
      </c>
      <c r="I8679" s="17"/>
      <c r="J8679" s="17" t="s">
        <v>20470</v>
      </c>
      <c r="K8679" s="17"/>
      <c r="L8679" s="17" t="s">
        <v>20471</v>
      </c>
      <c r="M8679" s="17"/>
      <c r="N8679" s="17" t="s">
        <v>20472</v>
      </c>
      <c r="O8679" s="17"/>
      <c r="P8679" s="17" t="s">
        <v>20490</v>
      </c>
      <c r="Q8679" s="17"/>
      <c r="R8679" s="25" t="str">
        <f t="shared" si="34"/>
        <v>Betanodavirus epinepheli</v>
      </c>
      <c r="S8679" s="18" t="s">
        <v>8141</v>
      </c>
      <c r="T8679" s="18" t="s">
        <v>20510</v>
      </c>
      <c r="U8679" s="18" t="s">
        <v>20511</v>
      </c>
      <c r="V8679" s="18" t="s">
        <v>20512</v>
      </c>
      <c r="W8679" s="18" t="s">
        <v>49384</v>
      </c>
      <c r="X8679" s="18" t="s">
        <v>154</v>
      </c>
      <c r="Y8679" s="18" t="s">
        <v>17171</v>
      </c>
      <c r="Z8679" s="18" t="s">
        <v>166</v>
      </c>
      <c r="AA8679" s="21" t="str">
        <f>HYPERLINK("https://www.ncbi.nlm.nih.gov/nuccore/FJ748760","NCBI Nucleotide")</f>
        <v>NCBI Nucleotide</v>
      </c>
    </row>
    <row r="8680" spans="1:27" x14ac:dyDescent="0.35">
      <c r="A8680">
        <v>1012832</v>
      </c>
      <c r="B8680">
        <v>8017</v>
      </c>
      <c r="C8680">
        <v>5</v>
      </c>
      <c r="D8680" s="17" t="s">
        <v>17166</v>
      </c>
      <c r="E8680" s="17"/>
      <c r="F8680" s="17" t="s">
        <v>17246</v>
      </c>
      <c r="G8680" s="17"/>
      <c r="H8680" s="17" t="s">
        <v>17984</v>
      </c>
      <c r="I8680" s="17"/>
      <c r="J8680" s="17" t="s">
        <v>20470</v>
      </c>
      <c r="K8680" s="17"/>
      <c r="L8680" s="17" t="s">
        <v>20471</v>
      </c>
      <c r="M8680" s="17"/>
      <c r="N8680" s="17" t="s">
        <v>20472</v>
      </c>
      <c r="O8680" s="17"/>
      <c r="P8680" s="17" t="s">
        <v>20490</v>
      </c>
      <c r="Q8680" s="17"/>
      <c r="R8680" s="25" t="str">
        <f t="shared" si="34"/>
        <v>Betanodavirus epinepheli</v>
      </c>
      <c r="S8680" s="18" t="s">
        <v>8141</v>
      </c>
      <c r="T8680" s="18" t="s">
        <v>20510</v>
      </c>
      <c r="U8680" s="18" t="s">
        <v>20511</v>
      </c>
      <c r="V8680" s="18" t="s">
        <v>20513</v>
      </c>
      <c r="W8680" s="18" t="s">
        <v>49385</v>
      </c>
      <c r="X8680" s="18" t="s">
        <v>154</v>
      </c>
      <c r="Y8680" s="18" t="s">
        <v>17171</v>
      </c>
      <c r="Z8680" s="18" t="s">
        <v>166</v>
      </c>
      <c r="AA8680" s="21" t="str">
        <f>HYPERLINK("https://www.ncbi.nlm.nih.gov/nuccore/D38527","NCBI Nucleotide")</f>
        <v>NCBI Nucleotide</v>
      </c>
    </row>
    <row r="8681" spans="1:27" x14ac:dyDescent="0.35">
      <c r="A8681">
        <v>1012835</v>
      </c>
      <c r="B8681">
        <v>8017</v>
      </c>
      <c r="C8681">
        <v>6</v>
      </c>
      <c r="D8681" s="17" t="s">
        <v>17166</v>
      </c>
      <c r="E8681" s="17"/>
      <c r="F8681" s="17" t="s">
        <v>17246</v>
      </c>
      <c r="G8681" s="17"/>
      <c r="H8681" s="17" t="s">
        <v>17984</v>
      </c>
      <c r="I8681" s="17"/>
      <c r="J8681" s="17" t="s">
        <v>20470</v>
      </c>
      <c r="K8681" s="17"/>
      <c r="L8681" s="17" t="s">
        <v>20471</v>
      </c>
      <c r="M8681" s="17"/>
      <c r="N8681" s="17" t="s">
        <v>20472</v>
      </c>
      <c r="O8681" s="17"/>
      <c r="P8681" s="17" t="s">
        <v>20490</v>
      </c>
      <c r="Q8681" s="17"/>
      <c r="R8681" s="25" t="str">
        <f t="shared" si="34"/>
        <v>Betanodavirus epinepheli</v>
      </c>
      <c r="S8681" s="18" t="s">
        <v>8141</v>
      </c>
      <c r="T8681" s="18" t="s">
        <v>20518</v>
      </c>
      <c r="U8681" s="18" t="s">
        <v>20519</v>
      </c>
      <c r="V8681" s="18" t="s">
        <v>20520</v>
      </c>
      <c r="W8681" s="18" t="s">
        <v>49386</v>
      </c>
      <c r="X8681" s="18" t="s">
        <v>154</v>
      </c>
      <c r="Y8681" s="18" t="s">
        <v>17171</v>
      </c>
      <c r="Z8681" s="18" t="s">
        <v>166</v>
      </c>
      <c r="AA8681" s="21" t="str">
        <f>HYPERLINK("https://www.ncbi.nlm.nih.gov/nuccore/EF591371","NCBI Nucleotide")</f>
        <v>NCBI Nucleotide</v>
      </c>
    </row>
    <row r="8682" spans="1:27" x14ac:dyDescent="0.35">
      <c r="A8682">
        <v>1012833</v>
      </c>
      <c r="B8682">
        <v>8017</v>
      </c>
      <c r="C8682">
        <v>7</v>
      </c>
      <c r="D8682" s="17" t="s">
        <v>17166</v>
      </c>
      <c r="E8682" s="17"/>
      <c r="F8682" s="17" t="s">
        <v>17246</v>
      </c>
      <c r="G8682" s="17"/>
      <c r="H8682" s="17" t="s">
        <v>17984</v>
      </c>
      <c r="I8682" s="17"/>
      <c r="J8682" s="17" t="s">
        <v>20470</v>
      </c>
      <c r="K8682" s="17"/>
      <c r="L8682" s="17" t="s">
        <v>20471</v>
      </c>
      <c r="M8682" s="17"/>
      <c r="N8682" s="17" t="s">
        <v>20472</v>
      </c>
      <c r="O8682" s="17"/>
      <c r="P8682" s="17" t="s">
        <v>20490</v>
      </c>
      <c r="Q8682" s="17"/>
      <c r="R8682" s="25" t="str">
        <f t="shared" si="34"/>
        <v>Betanodavirus epinepheli</v>
      </c>
      <c r="S8682" s="18" t="s">
        <v>8141</v>
      </c>
      <c r="T8682" s="18" t="s">
        <v>20514</v>
      </c>
      <c r="U8682" s="18" t="s">
        <v>20515</v>
      </c>
      <c r="V8682" s="18"/>
      <c r="W8682" s="18" t="s">
        <v>49387</v>
      </c>
      <c r="X8682" s="18" t="s">
        <v>154</v>
      </c>
      <c r="Y8682" s="18" t="s">
        <v>17171</v>
      </c>
      <c r="Z8682" s="18" t="s">
        <v>166</v>
      </c>
      <c r="AA8682" s="21" t="str">
        <f>HYPERLINK("https://www.ncbi.nlm.nih.gov/nuccore/AF245003","NCBI Nucleotide")</f>
        <v>NCBI Nucleotide</v>
      </c>
    </row>
    <row r="8683" spans="1:27" x14ac:dyDescent="0.35">
      <c r="A8683">
        <v>1012834</v>
      </c>
      <c r="B8683">
        <v>8017</v>
      </c>
      <c r="C8683">
        <v>8</v>
      </c>
      <c r="D8683" s="17" t="s">
        <v>17166</v>
      </c>
      <c r="E8683" s="17"/>
      <c r="F8683" s="17" t="s">
        <v>17246</v>
      </c>
      <c r="G8683" s="17"/>
      <c r="H8683" s="17" t="s">
        <v>17984</v>
      </c>
      <c r="I8683" s="17"/>
      <c r="J8683" s="17" t="s">
        <v>20470</v>
      </c>
      <c r="K8683" s="17"/>
      <c r="L8683" s="17" t="s">
        <v>20471</v>
      </c>
      <c r="M8683" s="17"/>
      <c r="N8683" s="17" t="s">
        <v>20472</v>
      </c>
      <c r="O8683" s="17"/>
      <c r="P8683" s="17" t="s">
        <v>20490</v>
      </c>
      <c r="Q8683" s="17"/>
      <c r="R8683" s="25" t="str">
        <f t="shared" si="34"/>
        <v>Betanodavirus epinepheli</v>
      </c>
      <c r="S8683" s="18" t="s">
        <v>8141</v>
      </c>
      <c r="T8683" s="18" t="s">
        <v>20516</v>
      </c>
      <c r="U8683" s="18" t="s">
        <v>20517</v>
      </c>
      <c r="V8683" s="18"/>
      <c r="W8683" s="18" t="s">
        <v>49388</v>
      </c>
      <c r="X8683" s="18" t="s">
        <v>154</v>
      </c>
      <c r="Y8683" s="18" t="s">
        <v>17171</v>
      </c>
      <c r="Z8683" s="18" t="s">
        <v>166</v>
      </c>
      <c r="AA8683" s="21" t="str">
        <f>HYPERLINK("https://www.ncbi.nlm.nih.gov/nuccore/Y08700","NCBI Nucleotide")</f>
        <v>NCBI Nucleotide</v>
      </c>
    </row>
    <row r="8684" spans="1:27" x14ac:dyDescent="0.35">
      <c r="A8684">
        <v>1009146</v>
      </c>
      <c r="B8684">
        <v>8018</v>
      </c>
      <c r="C8684">
        <v>1</v>
      </c>
      <c r="D8684" s="17" t="s">
        <v>17166</v>
      </c>
      <c r="E8684" s="17"/>
      <c r="F8684" s="17" t="s">
        <v>17246</v>
      </c>
      <c r="G8684" s="17"/>
      <c r="H8684" s="17" t="s">
        <v>17984</v>
      </c>
      <c r="I8684" s="17"/>
      <c r="J8684" s="17" t="s">
        <v>20470</v>
      </c>
      <c r="K8684" s="17"/>
      <c r="L8684" s="17" t="s">
        <v>20471</v>
      </c>
      <c r="M8684" s="17"/>
      <c r="N8684" s="17" t="s">
        <v>20472</v>
      </c>
      <c r="O8684" s="17"/>
      <c r="P8684" s="17" t="s">
        <v>20490</v>
      </c>
      <c r="Q8684" s="17"/>
      <c r="R8684" s="25" t="str">
        <f>HYPERLINK("https://ictv.global/taxonomy/taxondetails?taxnode_id=202303934","Betanodavirus pseudocarangis")</f>
        <v>Betanodavirus pseudocarangis</v>
      </c>
      <c r="S8684" s="18" t="s">
        <v>30</v>
      </c>
      <c r="T8684" s="18" t="s">
        <v>20521</v>
      </c>
      <c r="U8684" s="18" t="s">
        <v>20522</v>
      </c>
      <c r="V8684" s="18"/>
      <c r="W8684" s="18" t="s">
        <v>20523</v>
      </c>
      <c r="X8684" s="18" t="s">
        <v>42</v>
      </c>
      <c r="Y8684" s="18" t="s">
        <v>17171</v>
      </c>
      <c r="Z8684" s="18" t="s">
        <v>166</v>
      </c>
      <c r="AA8684" s="21" t="str">
        <f>HYPERLINK("https://www.ncbi.nlm.nih.gov/nuccore/AB056571,AB056572","NCBI Nucleotide")</f>
        <v>NCBI Nucleotide</v>
      </c>
    </row>
    <row r="8685" spans="1:27" x14ac:dyDescent="0.35">
      <c r="A8685">
        <v>1012836</v>
      </c>
      <c r="B8685">
        <v>8018</v>
      </c>
      <c r="C8685">
        <v>2</v>
      </c>
      <c r="D8685" s="17" t="s">
        <v>17166</v>
      </c>
      <c r="E8685" s="17"/>
      <c r="F8685" s="17" t="s">
        <v>17246</v>
      </c>
      <c r="G8685" s="17"/>
      <c r="H8685" s="17" t="s">
        <v>17984</v>
      </c>
      <c r="I8685" s="17"/>
      <c r="J8685" s="17" t="s">
        <v>20470</v>
      </c>
      <c r="K8685" s="17"/>
      <c r="L8685" s="17" t="s">
        <v>20471</v>
      </c>
      <c r="M8685" s="17"/>
      <c r="N8685" s="17" t="s">
        <v>20472</v>
      </c>
      <c r="O8685" s="17"/>
      <c r="P8685" s="17" t="s">
        <v>20490</v>
      </c>
      <c r="Q8685" s="17"/>
      <c r="R8685" s="25" t="str">
        <f>HYPERLINK("https://ictv.global/taxonomy/taxondetails?taxnode_id=202303934","Betanodavirus pseudocarangis")</f>
        <v>Betanodavirus pseudocarangis</v>
      </c>
      <c r="S8685" s="18" t="s">
        <v>8141</v>
      </c>
      <c r="T8685" s="18" t="s">
        <v>20524</v>
      </c>
      <c r="U8685" s="18" t="s">
        <v>20525</v>
      </c>
      <c r="V8685" s="18" t="s">
        <v>20526</v>
      </c>
      <c r="W8685" s="18" t="s">
        <v>49389</v>
      </c>
      <c r="X8685" s="18" t="s">
        <v>42</v>
      </c>
      <c r="Y8685" s="18" t="s">
        <v>17171</v>
      </c>
      <c r="Z8685" s="18" t="s">
        <v>166</v>
      </c>
      <c r="AA8685" s="21" t="str">
        <f>HYPERLINK("https://www.ncbi.nlm.nih.gov/nuccore/FJ803911,FJ803923","NCBI Nucleotide")</f>
        <v>NCBI Nucleotide</v>
      </c>
    </row>
    <row r="8686" spans="1:27" x14ac:dyDescent="0.35">
      <c r="A8686">
        <v>1012837</v>
      </c>
      <c r="B8686">
        <v>8018</v>
      </c>
      <c r="C8686">
        <v>3</v>
      </c>
      <c r="D8686" s="17" t="s">
        <v>17166</v>
      </c>
      <c r="E8686" s="17"/>
      <c r="F8686" s="17" t="s">
        <v>17246</v>
      </c>
      <c r="G8686" s="17"/>
      <c r="H8686" s="17" t="s">
        <v>17984</v>
      </c>
      <c r="I8686" s="17"/>
      <c r="J8686" s="17" t="s">
        <v>20470</v>
      </c>
      <c r="K8686" s="17"/>
      <c r="L8686" s="17" t="s">
        <v>20471</v>
      </c>
      <c r="M8686" s="17"/>
      <c r="N8686" s="17" t="s">
        <v>20472</v>
      </c>
      <c r="O8686" s="17"/>
      <c r="P8686" s="17" t="s">
        <v>20490</v>
      </c>
      <c r="Q8686" s="17"/>
      <c r="R8686" s="25" t="str">
        <f>HYPERLINK("https://ictv.global/taxonomy/taxondetails?taxnode_id=202303934","Betanodavirus pseudocarangis")</f>
        <v>Betanodavirus pseudocarangis</v>
      </c>
      <c r="S8686" s="18" t="s">
        <v>8141</v>
      </c>
      <c r="T8686" s="18" t="s">
        <v>20524</v>
      </c>
      <c r="U8686" s="18" t="s">
        <v>20525</v>
      </c>
      <c r="V8686" s="18" t="s">
        <v>20527</v>
      </c>
      <c r="W8686" s="18" t="s">
        <v>49390</v>
      </c>
      <c r="X8686" s="18" t="s">
        <v>154</v>
      </c>
      <c r="Y8686" s="18" t="s">
        <v>17171</v>
      </c>
      <c r="Z8686" s="18" t="s">
        <v>166</v>
      </c>
      <c r="AA8686" s="21" t="str">
        <f>HYPERLINK("https://www.ncbi.nlm.nih.gov/nuccore/AJ698113","NCBI Nucleotide")</f>
        <v>NCBI Nucleotide</v>
      </c>
    </row>
    <row r="8687" spans="1:27" x14ac:dyDescent="0.35">
      <c r="A8687">
        <v>1009147</v>
      </c>
      <c r="B8687">
        <v>8019</v>
      </c>
      <c r="C8687">
        <v>1</v>
      </c>
      <c r="D8687" s="17" t="s">
        <v>17166</v>
      </c>
      <c r="E8687" s="17"/>
      <c r="F8687" s="17" t="s">
        <v>17246</v>
      </c>
      <c r="G8687" s="17"/>
      <c r="H8687" s="17" t="s">
        <v>17984</v>
      </c>
      <c r="I8687" s="17"/>
      <c r="J8687" s="17" t="s">
        <v>20470</v>
      </c>
      <c r="K8687" s="17"/>
      <c r="L8687" s="17" t="s">
        <v>20471</v>
      </c>
      <c r="M8687" s="17"/>
      <c r="N8687" s="17" t="s">
        <v>20472</v>
      </c>
      <c r="O8687" s="17"/>
      <c r="P8687" s="17" t="s">
        <v>20490</v>
      </c>
      <c r="Q8687" s="17"/>
      <c r="R8687" s="25" t="str">
        <f>HYPERLINK("https://ictv.global/taxonomy/taxondetails?taxnode_id=202303935","Betanodavirus takifugui")</f>
        <v>Betanodavirus takifugui</v>
      </c>
      <c r="S8687" s="18" t="s">
        <v>30</v>
      </c>
      <c r="T8687" s="18" t="s">
        <v>20528</v>
      </c>
      <c r="U8687" s="18" t="s">
        <v>20529</v>
      </c>
      <c r="V8687" s="18" t="s">
        <v>20530</v>
      </c>
      <c r="W8687" s="18" t="s">
        <v>20531</v>
      </c>
      <c r="X8687" s="18" t="s">
        <v>42</v>
      </c>
      <c r="Y8687" s="18" t="s">
        <v>17171</v>
      </c>
      <c r="Z8687" s="18" t="s">
        <v>166</v>
      </c>
      <c r="AA8687" s="21" t="str">
        <f>HYPERLINK("https://www.ncbi.nlm.nih.gov/nuccore/EU236148,EU236149","NCBI Nucleotide")</f>
        <v>NCBI Nucleotide</v>
      </c>
    </row>
    <row r="8688" spans="1:27" x14ac:dyDescent="0.35">
      <c r="A8688">
        <v>1009144</v>
      </c>
      <c r="B8688">
        <v>8020</v>
      </c>
      <c r="C8688">
        <v>1</v>
      </c>
      <c r="D8688" s="17" t="s">
        <v>17166</v>
      </c>
      <c r="E8688" s="17"/>
      <c r="F8688" s="17" t="s">
        <v>17246</v>
      </c>
      <c r="G8688" s="17"/>
      <c r="H8688" s="17" t="s">
        <v>17984</v>
      </c>
      <c r="I8688" s="17"/>
      <c r="J8688" s="17" t="s">
        <v>20470</v>
      </c>
      <c r="K8688" s="17"/>
      <c r="L8688" s="17" t="s">
        <v>20471</v>
      </c>
      <c r="M8688" s="17"/>
      <c r="N8688" s="17" t="s">
        <v>20472</v>
      </c>
      <c r="O8688" s="17"/>
      <c r="P8688" s="17" t="s">
        <v>20490</v>
      </c>
      <c r="Q8688" s="17"/>
      <c r="R8688" s="25" t="str">
        <f>HYPERLINK("https://ictv.global/taxonomy/taxondetails?taxnode_id=202303932","Betanodavirus verasperi")</f>
        <v>Betanodavirus verasperi</v>
      </c>
      <c r="S8688" s="18" t="s">
        <v>30</v>
      </c>
      <c r="T8688" s="18" t="s">
        <v>20491</v>
      </c>
      <c r="U8688" s="18" t="s">
        <v>20492</v>
      </c>
      <c r="V8688" s="18" t="s">
        <v>20493</v>
      </c>
      <c r="W8688" s="18" t="s">
        <v>20494</v>
      </c>
      <c r="X8688" s="18" t="s">
        <v>42</v>
      </c>
      <c r="Y8688" s="18" t="s">
        <v>17171</v>
      </c>
      <c r="Z8688" s="18" t="s">
        <v>166</v>
      </c>
      <c r="AA8688" s="21" t="str">
        <f>HYPERLINK("https://www.ncbi.nlm.nih.gov/nuccore/EU826137,EU826138","NCBI Nucleotide")</f>
        <v>NCBI Nucleotide</v>
      </c>
    </row>
    <row r="8689" spans="1:27" x14ac:dyDescent="0.35">
      <c r="A8689">
        <v>1012826</v>
      </c>
      <c r="B8689">
        <v>8020</v>
      </c>
      <c r="C8689">
        <v>2</v>
      </c>
      <c r="D8689" s="17" t="s">
        <v>17166</v>
      </c>
      <c r="E8689" s="17"/>
      <c r="F8689" s="17" t="s">
        <v>17246</v>
      </c>
      <c r="G8689" s="17"/>
      <c r="H8689" s="17" t="s">
        <v>17984</v>
      </c>
      <c r="I8689" s="17"/>
      <c r="J8689" s="17" t="s">
        <v>20470</v>
      </c>
      <c r="K8689" s="17"/>
      <c r="L8689" s="17" t="s">
        <v>20471</v>
      </c>
      <c r="M8689" s="17"/>
      <c r="N8689" s="17" t="s">
        <v>20472</v>
      </c>
      <c r="O8689" s="17"/>
      <c r="P8689" s="17" t="s">
        <v>20490</v>
      </c>
      <c r="Q8689" s="17"/>
      <c r="R8689" s="25" t="str">
        <f>HYPERLINK("https://ictv.global/taxonomy/taxondetails?taxnode_id=202303932","Betanodavirus verasperi")</f>
        <v>Betanodavirus verasperi</v>
      </c>
      <c r="S8689" s="18" t="s">
        <v>8141</v>
      </c>
      <c r="T8689" s="18" t="s">
        <v>20495</v>
      </c>
      <c r="U8689" s="18" t="s">
        <v>20496</v>
      </c>
      <c r="V8689" s="18" t="s">
        <v>20497</v>
      </c>
      <c r="W8689" s="18" t="s">
        <v>49391</v>
      </c>
      <c r="X8689" s="18" t="s">
        <v>42</v>
      </c>
      <c r="Y8689" s="18" t="s">
        <v>17171</v>
      </c>
      <c r="Z8689" s="18" t="s">
        <v>166</v>
      </c>
      <c r="AA8689" s="21" t="str">
        <f>HYPERLINK("https://www.ncbi.nlm.nih.gov/nuccore/EF433472,EF433468","NCBI Nucleotide")</f>
        <v>NCBI Nucleotide</v>
      </c>
    </row>
    <row r="8690" spans="1:27" x14ac:dyDescent="0.35">
      <c r="A8690">
        <v>1012827</v>
      </c>
      <c r="B8690">
        <v>8020</v>
      </c>
      <c r="C8690">
        <v>3</v>
      </c>
      <c r="D8690" s="17" t="s">
        <v>17166</v>
      </c>
      <c r="E8690" s="17"/>
      <c r="F8690" s="17" t="s">
        <v>17246</v>
      </c>
      <c r="G8690" s="17"/>
      <c r="H8690" s="17" t="s">
        <v>17984</v>
      </c>
      <c r="I8690" s="17"/>
      <c r="J8690" s="17" t="s">
        <v>20470</v>
      </c>
      <c r="K8690" s="17"/>
      <c r="L8690" s="17" t="s">
        <v>20471</v>
      </c>
      <c r="M8690" s="17"/>
      <c r="N8690" s="17" t="s">
        <v>20472</v>
      </c>
      <c r="O8690" s="17"/>
      <c r="P8690" s="17" t="s">
        <v>20490</v>
      </c>
      <c r="Q8690" s="17"/>
      <c r="R8690" s="25" t="str">
        <f>HYPERLINK("https://ictv.global/taxonomy/taxondetails?taxnode_id=202303932","Betanodavirus verasperi")</f>
        <v>Betanodavirus verasperi</v>
      </c>
      <c r="S8690" s="18" t="s">
        <v>8141</v>
      </c>
      <c r="T8690" s="18" t="s">
        <v>20498</v>
      </c>
      <c r="U8690" s="18" t="s">
        <v>20499</v>
      </c>
      <c r="V8690" s="18" t="s">
        <v>20500</v>
      </c>
      <c r="W8690" s="18" t="s">
        <v>49392</v>
      </c>
      <c r="X8690" s="18" t="s">
        <v>154</v>
      </c>
      <c r="Y8690" s="18" t="s">
        <v>17171</v>
      </c>
      <c r="Z8690" s="18" t="s">
        <v>166</v>
      </c>
      <c r="AA8690" s="21" t="str">
        <f>HYPERLINK("https://www.ncbi.nlm.nih.gov/nuccore/AJ401165","NCBI Nucleotide")</f>
        <v>NCBI Nucleotide</v>
      </c>
    </row>
    <row r="8691" spans="1:27" x14ac:dyDescent="0.35">
      <c r="A8691">
        <v>1012828</v>
      </c>
      <c r="B8691">
        <v>8020</v>
      </c>
      <c r="C8691">
        <v>4</v>
      </c>
      <c r="D8691" s="17" t="s">
        <v>17166</v>
      </c>
      <c r="E8691" s="17"/>
      <c r="F8691" s="17" t="s">
        <v>17246</v>
      </c>
      <c r="G8691" s="17"/>
      <c r="H8691" s="17" t="s">
        <v>17984</v>
      </c>
      <c r="I8691" s="17"/>
      <c r="J8691" s="17" t="s">
        <v>20470</v>
      </c>
      <c r="K8691" s="17"/>
      <c r="L8691" s="17" t="s">
        <v>20471</v>
      </c>
      <c r="M8691" s="17"/>
      <c r="N8691" s="17" t="s">
        <v>20472</v>
      </c>
      <c r="O8691" s="17"/>
      <c r="P8691" s="17" t="s">
        <v>20490</v>
      </c>
      <c r="Q8691" s="17"/>
      <c r="R8691" s="25" t="str">
        <f>HYPERLINK("https://ictv.global/taxonomy/taxondetails?taxnode_id=202303932","Betanodavirus verasperi")</f>
        <v>Betanodavirus verasperi</v>
      </c>
      <c r="S8691" s="18" t="s">
        <v>8141</v>
      </c>
      <c r="T8691" s="18" t="s">
        <v>20498</v>
      </c>
      <c r="U8691" s="18" t="s">
        <v>20499</v>
      </c>
      <c r="V8691" s="18" t="s">
        <v>20501</v>
      </c>
      <c r="W8691" s="18" t="s">
        <v>49393</v>
      </c>
      <c r="X8691" s="18" t="s">
        <v>154</v>
      </c>
      <c r="Y8691" s="18" t="s">
        <v>17171</v>
      </c>
      <c r="Z8691" s="18" t="s">
        <v>166</v>
      </c>
      <c r="AA8691" s="21" t="str">
        <f>HYPERLINK("https://www.ncbi.nlm.nih.gov/nuccore/AJ245641","NCBI Nucleotide")</f>
        <v>NCBI Nucleotide</v>
      </c>
    </row>
    <row r="8692" spans="1:27" x14ac:dyDescent="0.35">
      <c r="A8692">
        <v>1009148</v>
      </c>
      <c r="B8692">
        <v>8021</v>
      </c>
      <c r="C8692">
        <v>1</v>
      </c>
      <c r="D8692" s="17" t="s">
        <v>17166</v>
      </c>
      <c r="E8692" s="17"/>
      <c r="F8692" s="17" t="s">
        <v>17246</v>
      </c>
      <c r="G8692" s="17"/>
      <c r="H8692" s="17" t="s">
        <v>17984</v>
      </c>
      <c r="I8692" s="17"/>
      <c r="J8692" s="17" t="s">
        <v>20470</v>
      </c>
      <c r="K8692" s="17"/>
      <c r="L8692" s="17" t="s">
        <v>20471</v>
      </c>
      <c r="M8692" s="17"/>
      <c r="N8692" s="17" t="s">
        <v>20532</v>
      </c>
      <c r="O8692" s="17"/>
      <c r="P8692" s="17" t="s">
        <v>20533</v>
      </c>
      <c r="Q8692" s="17"/>
      <c r="R8692" s="25" t="str">
        <f>HYPERLINK("https://ictv.global/taxonomy/taxondetails?taxnode_id=202305368","Lake Sinai virus 1")</f>
        <v>Lake Sinai virus 1</v>
      </c>
      <c r="S8692" s="18" t="s">
        <v>30</v>
      </c>
      <c r="T8692" s="18" t="s">
        <v>20534</v>
      </c>
      <c r="U8692" s="18" t="s">
        <v>20535</v>
      </c>
      <c r="V8692" s="18" t="s">
        <v>20536</v>
      </c>
      <c r="W8692" s="18" t="s">
        <v>20537</v>
      </c>
      <c r="X8692" s="18" t="s">
        <v>42</v>
      </c>
      <c r="Y8692" s="18" t="s">
        <v>17171</v>
      </c>
      <c r="Z8692" s="18" t="s">
        <v>10790</v>
      </c>
      <c r="AA8692" s="21" t="str">
        <f>HYPERLINK("https://www.ncbi.nlm.nih.gov/nuccore/HQ871931","NCBI Nucleotide")</f>
        <v>NCBI Nucleotide</v>
      </c>
    </row>
    <row r="8693" spans="1:27" x14ac:dyDescent="0.35">
      <c r="A8693">
        <v>1009149</v>
      </c>
      <c r="B8693">
        <v>8022</v>
      </c>
      <c r="C8693">
        <v>1</v>
      </c>
      <c r="D8693" s="17" t="s">
        <v>17166</v>
      </c>
      <c r="E8693" s="17"/>
      <c r="F8693" s="17" t="s">
        <v>17246</v>
      </c>
      <c r="G8693" s="17"/>
      <c r="H8693" s="17" t="s">
        <v>17984</v>
      </c>
      <c r="I8693" s="17"/>
      <c r="J8693" s="17" t="s">
        <v>20470</v>
      </c>
      <c r="K8693" s="17"/>
      <c r="L8693" s="17" t="s">
        <v>20471</v>
      </c>
      <c r="M8693" s="17"/>
      <c r="N8693" s="17" t="s">
        <v>20532</v>
      </c>
      <c r="O8693" s="17"/>
      <c r="P8693" s="17" t="s">
        <v>20533</v>
      </c>
      <c r="Q8693" s="17"/>
      <c r="R8693" s="25" t="str">
        <f>HYPERLINK("https://ictv.global/taxonomy/taxondetails?taxnode_id=202305369","Lake Sinai virus 2")</f>
        <v>Lake Sinai virus 2</v>
      </c>
      <c r="S8693" s="18" t="s">
        <v>30</v>
      </c>
      <c r="T8693" s="18" t="s">
        <v>20538</v>
      </c>
      <c r="U8693" s="18" t="s">
        <v>20539</v>
      </c>
      <c r="V8693" s="18" t="s">
        <v>20540</v>
      </c>
      <c r="W8693" s="18" t="s">
        <v>20541</v>
      </c>
      <c r="X8693" s="18" t="s">
        <v>42</v>
      </c>
      <c r="Y8693" s="18" t="s">
        <v>17171</v>
      </c>
      <c r="Z8693" s="18" t="s">
        <v>10790</v>
      </c>
      <c r="AA8693" s="21" t="str">
        <f>HYPERLINK("https://www.ncbi.nlm.nih.gov/nuccore/HQ888865","NCBI Nucleotide")</f>
        <v>NCBI Nucleotide</v>
      </c>
    </row>
    <row r="8694" spans="1:27" x14ac:dyDescent="0.35">
      <c r="A8694">
        <v>1009150</v>
      </c>
      <c r="B8694">
        <v>8023</v>
      </c>
      <c r="C8694">
        <v>1</v>
      </c>
      <c r="D8694" s="17" t="s">
        <v>17166</v>
      </c>
      <c r="E8694" s="17"/>
      <c r="F8694" s="17" t="s">
        <v>17246</v>
      </c>
      <c r="G8694" s="17"/>
      <c r="H8694" s="17" t="s">
        <v>17984</v>
      </c>
      <c r="I8694" s="17"/>
      <c r="J8694" s="17" t="s">
        <v>20542</v>
      </c>
      <c r="K8694" s="17"/>
      <c r="L8694" s="17" t="s">
        <v>20543</v>
      </c>
      <c r="M8694" s="17"/>
      <c r="N8694" s="17" t="s">
        <v>20544</v>
      </c>
      <c r="O8694" s="17"/>
      <c r="P8694" s="17" t="s">
        <v>20545</v>
      </c>
      <c r="Q8694" s="17"/>
      <c r="R8694" s="25" t="str">
        <f>HYPERLINK("https://ictv.global/taxonomy/taxondetails?taxnode_id=202302815","Alphacarmotetravirus providencense")</f>
        <v>Alphacarmotetravirus providencense</v>
      </c>
      <c r="S8694" s="18" t="s">
        <v>30</v>
      </c>
      <c r="T8694" s="18" t="s">
        <v>20546</v>
      </c>
      <c r="U8694" s="18" t="s">
        <v>20547</v>
      </c>
      <c r="V8694" s="18" t="s">
        <v>20548</v>
      </c>
      <c r="W8694" s="18" t="s">
        <v>20549</v>
      </c>
      <c r="X8694" s="18" t="s">
        <v>42</v>
      </c>
      <c r="Y8694" s="18" t="s">
        <v>17171</v>
      </c>
      <c r="Z8694" s="18" t="s">
        <v>10790</v>
      </c>
      <c r="AA8694" s="21" t="str">
        <f>HYPERLINK("https://www.ncbi.nlm.nih.gov/nuccore/GU991616","NCBI Nucleotide")</f>
        <v>NCBI Nucleotide</v>
      </c>
    </row>
    <row r="8695" spans="1:27" x14ac:dyDescent="0.35">
      <c r="A8695">
        <v>1009151</v>
      </c>
      <c r="B8695">
        <v>8024</v>
      </c>
      <c r="C8695">
        <v>1</v>
      </c>
      <c r="D8695" s="17" t="s">
        <v>17166</v>
      </c>
      <c r="E8695" s="17"/>
      <c r="F8695" s="17" t="s">
        <v>17246</v>
      </c>
      <c r="G8695" s="17"/>
      <c r="H8695" s="17" t="s">
        <v>17984</v>
      </c>
      <c r="I8695" s="17"/>
      <c r="J8695" s="17" t="s">
        <v>20542</v>
      </c>
      <c r="K8695" s="17"/>
      <c r="L8695" s="17" t="s">
        <v>20543</v>
      </c>
      <c r="M8695" s="17"/>
      <c r="N8695" s="17" t="s">
        <v>20550</v>
      </c>
      <c r="O8695" s="17" t="s">
        <v>20551</v>
      </c>
      <c r="P8695" s="17" t="s">
        <v>20552</v>
      </c>
      <c r="Q8695" s="17"/>
      <c r="R8695" s="25" t="str">
        <f>HYPERLINK("https://ictv.global/taxonomy/taxondetails?taxnode_id=202305270","Umbravirus arachidis")</f>
        <v>Umbravirus arachidis</v>
      </c>
      <c r="S8695" s="18" t="s">
        <v>30</v>
      </c>
      <c r="T8695" s="18" t="s">
        <v>20553</v>
      </c>
      <c r="U8695" s="18" t="s">
        <v>20554</v>
      </c>
      <c r="V8695" s="18" t="s">
        <v>20555</v>
      </c>
      <c r="W8695" s="18" t="s">
        <v>20556</v>
      </c>
      <c r="X8695" s="18" t="s">
        <v>42</v>
      </c>
      <c r="Y8695" s="18" t="s">
        <v>17171</v>
      </c>
      <c r="Z8695" s="18" t="s">
        <v>13441</v>
      </c>
      <c r="AA8695" s="21" t="str">
        <f>HYPERLINK("https://www.ncbi.nlm.nih.gov/nuccore/Z69910","NCBI Nucleotide")</f>
        <v>NCBI Nucleotide</v>
      </c>
    </row>
    <row r="8696" spans="1:27" x14ac:dyDescent="0.35">
      <c r="A8696">
        <v>1009152</v>
      </c>
      <c r="B8696">
        <v>8025</v>
      </c>
      <c r="C8696">
        <v>1</v>
      </c>
      <c r="D8696" s="17" t="s">
        <v>17166</v>
      </c>
      <c r="E8696" s="17"/>
      <c r="F8696" s="17" t="s">
        <v>17246</v>
      </c>
      <c r="G8696" s="17"/>
      <c r="H8696" s="17" t="s">
        <v>17984</v>
      </c>
      <c r="I8696" s="17"/>
      <c r="J8696" s="17" t="s">
        <v>20542</v>
      </c>
      <c r="K8696" s="17"/>
      <c r="L8696" s="17" t="s">
        <v>20543</v>
      </c>
      <c r="M8696" s="17"/>
      <c r="N8696" s="17" t="s">
        <v>20550</v>
      </c>
      <c r="O8696" s="17" t="s">
        <v>20551</v>
      </c>
      <c r="P8696" s="17" t="s">
        <v>20552</v>
      </c>
      <c r="Q8696" s="17"/>
      <c r="R8696" s="25" t="str">
        <f>HYPERLINK("https://ictv.global/taxonomy/taxondetails?taxnode_id=202305267","Umbravirus carotae")</f>
        <v>Umbravirus carotae</v>
      </c>
      <c r="S8696" s="18" t="s">
        <v>30</v>
      </c>
      <c r="T8696" s="18" t="s">
        <v>20557</v>
      </c>
      <c r="U8696" s="18" t="s">
        <v>20558</v>
      </c>
      <c r="V8696" s="18" t="s">
        <v>13887</v>
      </c>
      <c r="W8696" s="18" t="s">
        <v>20559</v>
      </c>
      <c r="X8696" s="18" t="s">
        <v>42</v>
      </c>
      <c r="Y8696" s="18" t="s">
        <v>17171</v>
      </c>
      <c r="Z8696" s="18" t="s">
        <v>13441</v>
      </c>
      <c r="AA8696" s="21" t="str">
        <f>HYPERLINK("https://www.ncbi.nlm.nih.gov/nuccore/U57305","NCBI Nucleotide")</f>
        <v>NCBI Nucleotide</v>
      </c>
    </row>
    <row r="8697" spans="1:27" x14ac:dyDescent="0.35">
      <c r="A8697">
        <v>1009153</v>
      </c>
      <c r="B8697">
        <v>8026</v>
      </c>
      <c r="C8697">
        <v>1</v>
      </c>
      <c r="D8697" s="17" t="s">
        <v>17166</v>
      </c>
      <c r="E8697" s="17"/>
      <c r="F8697" s="17" t="s">
        <v>17246</v>
      </c>
      <c r="G8697" s="17"/>
      <c r="H8697" s="17" t="s">
        <v>17984</v>
      </c>
      <c r="I8697" s="17"/>
      <c r="J8697" s="17" t="s">
        <v>20542</v>
      </c>
      <c r="K8697" s="17"/>
      <c r="L8697" s="17" t="s">
        <v>20543</v>
      </c>
      <c r="M8697" s="17"/>
      <c r="N8697" s="17" t="s">
        <v>20550</v>
      </c>
      <c r="O8697" s="17" t="s">
        <v>20551</v>
      </c>
      <c r="P8697" s="17" t="s">
        <v>20552</v>
      </c>
      <c r="Q8697" s="17"/>
      <c r="R8697" s="25" t="str">
        <f>HYPERLINK("https://ictv.global/taxonomy/taxondetails?taxnode_id=202305269","Umbravirus ethiopiaense")</f>
        <v>Umbravirus ethiopiaense</v>
      </c>
      <c r="S8697" s="18" t="s">
        <v>30</v>
      </c>
      <c r="T8697" s="18" t="s">
        <v>20560</v>
      </c>
      <c r="U8697" s="18" t="s">
        <v>20561</v>
      </c>
      <c r="V8697" s="18">
        <v>43514</v>
      </c>
      <c r="W8697" s="18" t="s">
        <v>20562</v>
      </c>
      <c r="X8697" s="18" t="s">
        <v>42</v>
      </c>
      <c r="Y8697" s="18" t="s">
        <v>17171</v>
      </c>
      <c r="Z8697" s="18" t="s">
        <v>13441</v>
      </c>
      <c r="AA8697" s="21" t="str">
        <f>HYPERLINK("https://www.ncbi.nlm.nih.gov/nuccore/KJ918748","NCBI Nucleotide")</f>
        <v>NCBI Nucleotide</v>
      </c>
    </row>
    <row r="8698" spans="1:27" x14ac:dyDescent="0.35">
      <c r="A8698">
        <v>1009154</v>
      </c>
      <c r="B8698">
        <v>8027</v>
      </c>
      <c r="C8698">
        <v>1</v>
      </c>
      <c r="D8698" s="17" t="s">
        <v>17166</v>
      </c>
      <c r="E8698" s="17"/>
      <c r="F8698" s="17" t="s">
        <v>17246</v>
      </c>
      <c r="G8698" s="17"/>
      <c r="H8698" s="17" t="s">
        <v>17984</v>
      </c>
      <c r="I8698" s="17"/>
      <c r="J8698" s="17" t="s">
        <v>20542</v>
      </c>
      <c r="K8698" s="17"/>
      <c r="L8698" s="17" t="s">
        <v>20543</v>
      </c>
      <c r="M8698" s="17"/>
      <c r="N8698" s="17" t="s">
        <v>20550</v>
      </c>
      <c r="O8698" s="17" t="s">
        <v>20551</v>
      </c>
      <c r="P8698" s="17" t="s">
        <v>20552</v>
      </c>
      <c r="Q8698" s="17"/>
      <c r="R8698" s="25" t="str">
        <f>HYPERLINK("https://ictv.global/taxonomy/taxondetails?taxnode_id=202309878","Umbravirus ixeridii")</f>
        <v>Umbravirus ixeridii</v>
      </c>
      <c r="S8698" s="18" t="s">
        <v>30</v>
      </c>
      <c r="T8698" s="18" t="s">
        <v>20563</v>
      </c>
      <c r="U8698" s="18" t="s">
        <v>20564</v>
      </c>
      <c r="V8698" s="18" t="s">
        <v>20565</v>
      </c>
      <c r="W8698" s="18" t="s">
        <v>20566</v>
      </c>
      <c r="X8698" s="18" t="s">
        <v>42</v>
      </c>
      <c r="Y8698" s="18" t="s">
        <v>17171</v>
      </c>
      <c r="Z8698" s="18" t="s">
        <v>13441</v>
      </c>
      <c r="AA8698" s="21" t="str">
        <f>HYPERLINK("https://www.ncbi.nlm.nih.gov/nuccore/KT946712","NCBI Nucleotide")</f>
        <v>NCBI Nucleotide</v>
      </c>
    </row>
    <row r="8699" spans="1:27" x14ac:dyDescent="0.35">
      <c r="A8699">
        <v>1009155</v>
      </c>
      <c r="B8699">
        <v>8028</v>
      </c>
      <c r="C8699">
        <v>1</v>
      </c>
      <c r="D8699" s="17" t="s">
        <v>17166</v>
      </c>
      <c r="E8699" s="17"/>
      <c r="F8699" s="17" t="s">
        <v>17246</v>
      </c>
      <c r="G8699" s="17"/>
      <c r="H8699" s="17" t="s">
        <v>17984</v>
      </c>
      <c r="I8699" s="17"/>
      <c r="J8699" s="17" t="s">
        <v>20542</v>
      </c>
      <c r="K8699" s="17"/>
      <c r="L8699" s="17" t="s">
        <v>20543</v>
      </c>
      <c r="M8699" s="17"/>
      <c r="N8699" s="17" t="s">
        <v>20550</v>
      </c>
      <c r="O8699" s="17" t="s">
        <v>20551</v>
      </c>
      <c r="P8699" s="17" t="s">
        <v>20552</v>
      </c>
      <c r="Q8699" s="17"/>
      <c r="R8699" s="25" t="str">
        <f>HYPERLINK("https://ictv.global/taxonomy/taxondetails?taxnode_id=202305271","Umbravirus lactucae")</f>
        <v>Umbravirus lactucae</v>
      </c>
      <c r="S8699" s="18" t="s">
        <v>30</v>
      </c>
      <c r="T8699" s="18" t="s">
        <v>20567</v>
      </c>
      <c r="U8699" s="18" t="s">
        <v>20568</v>
      </c>
      <c r="V8699" s="18"/>
      <c r="W8699" s="18"/>
      <c r="X8699" s="18" t="s">
        <v>3311</v>
      </c>
      <c r="Y8699" s="18" t="s">
        <v>17171</v>
      </c>
      <c r="Z8699" s="18" t="s">
        <v>13441</v>
      </c>
      <c r="AA8699" s="21"/>
    </row>
    <row r="8700" spans="1:27" x14ac:dyDescent="0.35">
      <c r="A8700">
        <v>1009156</v>
      </c>
      <c r="B8700">
        <v>8029</v>
      </c>
      <c r="C8700">
        <v>1</v>
      </c>
      <c r="D8700" s="17" t="s">
        <v>17166</v>
      </c>
      <c r="E8700" s="17"/>
      <c r="F8700" s="17" t="s">
        <v>17246</v>
      </c>
      <c r="G8700" s="17"/>
      <c r="H8700" s="17" t="s">
        <v>17984</v>
      </c>
      <c r="I8700" s="17"/>
      <c r="J8700" s="17" t="s">
        <v>20542</v>
      </c>
      <c r="K8700" s="17"/>
      <c r="L8700" s="17" t="s">
        <v>20543</v>
      </c>
      <c r="M8700" s="17"/>
      <c r="N8700" s="17" t="s">
        <v>20550</v>
      </c>
      <c r="O8700" s="17" t="s">
        <v>20551</v>
      </c>
      <c r="P8700" s="17" t="s">
        <v>20552</v>
      </c>
      <c r="Q8700" s="17"/>
      <c r="R8700" s="25" t="str">
        <f>HYPERLINK("https://ictv.global/taxonomy/taxondetails?taxnode_id=202305268","Umbravirus maculacarotae")</f>
        <v>Umbravirus maculacarotae</v>
      </c>
      <c r="S8700" s="18" t="s">
        <v>30</v>
      </c>
      <c r="T8700" s="18" t="s">
        <v>20569</v>
      </c>
      <c r="U8700" s="18" t="s">
        <v>18902</v>
      </c>
      <c r="V8700" s="18" t="s">
        <v>20570</v>
      </c>
      <c r="W8700" s="18" t="s">
        <v>20571</v>
      </c>
      <c r="X8700" s="18" t="s">
        <v>42</v>
      </c>
      <c r="Y8700" s="18" t="s">
        <v>17171</v>
      </c>
      <c r="Z8700" s="18" t="s">
        <v>13441</v>
      </c>
      <c r="AA8700" s="21" t="str">
        <f>HYPERLINK("https://www.ncbi.nlm.nih.gov/nuccore/FJ188473","NCBI Nucleotide")</f>
        <v>NCBI Nucleotide</v>
      </c>
    </row>
    <row r="8701" spans="1:27" x14ac:dyDescent="0.35">
      <c r="A8701">
        <v>1009157</v>
      </c>
      <c r="B8701">
        <v>8030</v>
      </c>
      <c r="C8701">
        <v>1</v>
      </c>
      <c r="D8701" s="17" t="s">
        <v>17166</v>
      </c>
      <c r="E8701" s="17"/>
      <c r="F8701" s="17" t="s">
        <v>17246</v>
      </c>
      <c r="G8701" s="17"/>
      <c r="H8701" s="17" t="s">
        <v>17984</v>
      </c>
      <c r="I8701" s="17"/>
      <c r="J8701" s="17" t="s">
        <v>20542</v>
      </c>
      <c r="K8701" s="17"/>
      <c r="L8701" s="17" t="s">
        <v>20543</v>
      </c>
      <c r="M8701" s="17"/>
      <c r="N8701" s="17" t="s">
        <v>20550</v>
      </c>
      <c r="O8701" s="17" t="s">
        <v>20551</v>
      </c>
      <c r="P8701" s="17" t="s">
        <v>20552</v>
      </c>
      <c r="Q8701" s="17"/>
      <c r="R8701" s="25" t="str">
        <f>HYPERLINK("https://ictv.global/taxonomy/taxondetails?taxnode_id=202305275","Umbravirus maculae")</f>
        <v>Umbravirus maculae</v>
      </c>
      <c r="S8701" s="18" t="s">
        <v>30</v>
      </c>
      <c r="T8701" s="18" t="s">
        <v>20572</v>
      </c>
      <c r="U8701" s="18" t="s">
        <v>20573</v>
      </c>
      <c r="V8701" s="18" t="s">
        <v>15427</v>
      </c>
      <c r="W8701" s="18" t="s">
        <v>20574</v>
      </c>
      <c r="X8701" s="18" t="s">
        <v>154</v>
      </c>
      <c r="Y8701" s="18" t="s">
        <v>17171</v>
      </c>
      <c r="Z8701" s="18" t="s">
        <v>13441</v>
      </c>
      <c r="AA8701" s="21" t="str">
        <f>HYPERLINK("https://www.ncbi.nlm.nih.gov/nuccore/AY007231","NCBI Nucleotide")</f>
        <v>NCBI Nucleotide</v>
      </c>
    </row>
    <row r="8702" spans="1:27" x14ac:dyDescent="0.35">
      <c r="A8702">
        <v>1009158</v>
      </c>
      <c r="B8702">
        <v>8031</v>
      </c>
      <c r="C8702">
        <v>1</v>
      </c>
      <c r="D8702" s="17" t="s">
        <v>17166</v>
      </c>
      <c r="E8702" s="17"/>
      <c r="F8702" s="17" t="s">
        <v>17246</v>
      </c>
      <c r="G8702" s="17"/>
      <c r="H8702" s="17" t="s">
        <v>17984</v>
      </c>
      <c r="I8702" s="17"/>
      <c r="J8702" s="17" t="s">
        <v>20542</v>
      </c>
      <c r="K8702" s="17"/>
      <c r="L8702" s="17" t="s">
        <v>20543</v>
      </c>
      <c r="M8702" s="17"/>
      <c r="N8702" s="17" t="s">
        <v>20550</v>
      </c>
      <c r="O8702" s="17" t="s">
        <v>20551</v>
      </c>
      <c r="P8702" s="17" t="s">
        <v>20552</v>
      </c>
      <c r="Q8702" s="17"/>
      <c r="R8702" s="25" t="str">
        <f>HYPERLINK("https://ictv.global/taxonomy/taxondetails?taxnode_id=202305274","Umbravirus nicotianae")</f>
        <v>Umbravirus nicotianae</v>
      </c>
      <c r="S8702" s="18" t="s">
        <v>30</v>
      </c>
      <c r="T8702" s="18" t="s">
        <v>20575</v>
      </c>
      <c r="U8702" s="18" t="s">
        <v>20576</v>
      </c>
      <c r="V8702" s="18" t="s">
        <v>17736</v>
      </c>
      <c r="W8702" s="18" t="s">
        <v>20577</v>
      </c>
      <c r="X8702" s="18" t="s">
        <v>42</v>
      </c>
      <c r="Y8702" s="18" t="s">
        <v>17171</v>
      </c>
      <c r="Z8702" s="18" t="s">
        <v>13441</v>
      </c>
      <c r="AA8702" s="21" t="str">
        <f>HYPERLINK("https://www.ncbi.nlm.nih.gov/nuccore/AF402620","NCBI Nucleotide")</f>
        <v>NCBI Nucleotide</v>
      </c>
    </row>
    <row r="8703" spans="1:27" x14ac:dyDescent="0.35">
      <c r="A8703">
        <v>1009159</v>
      </c>
      <c r="B8703">
        <v>8032</v>
      </c>
      <c r="C8703">
        <v>1</v>
      </c>
      <c r="D8703" s="17" t="s">
        <v>17166</v>
      </c>
      <c r="E8703" s="17"/>
      <c r="F8703" s="17" t="s">
        <v>17246</v>
      </c>
      <c r="G8703" s="17"/>
      <c r="H8703" s="17" t="s">
        <v>17984</v>
      </c>
      <c r="I8703" s="17"/>
      <c r="J8703" s="17" t="s">
        <v>20542</v>
      </c>
      <c r="K8703" s="17"/>
      <c r="L8703" s="17" t="s">
        <v>20543</v>
      </c>
      <c r="M8703" s="17"/>
      <c r="N8703" s="17" t="s">
        <v>20550</v>
      </c>
      <c r="O8703" s="17" t="s">
        <v>20551</v>
      </c>
      <c r="P8703" s="17" t="s">
        <v>20552</v>
      </c>
      <c r="Q8703" s="17"/>
      <c r="R8703" s="25" t="str">
        <f>HYPERLINK("https://ictv.global/taxonomy/taxondetails?taxnode_id=202305272","Umbravirus papaveri")</f>
        <v>Umbravirus papaveri</v>
      </c>
      <c r="S8703" s="18" t="s">
        <v>30</v>
      </c>
      <c r="T8703" s="18" t="s">
        <v>20578</v>
      </c>
      <c r="U8703" s="18" t="s">
        <v>20579</v>
      </c>
      <c r="V8703" s="18" t="s">
        <v>20580</v>
      </c>
      <c r="W8703" s="18" t="s">
        <v>20581</v>
      </c>
      <c r="X8703" s="18" t="s">
        <v>42</v>
      </c>
      <c r="Y8703" s="18" t="s">
        <v>17171</v>
      </c>
      <c r="Z8703" s="18" t="s">
        <v>13441</v>
      </c>
      <c r="AA8703" s="21" t="str">
        <f>HYPERLINK("https://www.ncbi.nlm.nih.gov/nuccore/EU151723","NCBI Nucleotide")</f>
        <v>NCBI Nucleotide</v>
      </c>
    </row>
    <row r="8704" spans="1:27" x14ac:dyDescent="0.35">
      <c r="A8704">
        <v>1009160</v>
      </c>
      <c r="B8704">
        <v>8033</v>
      </c>
      <c r="C8704">
        <v>1</v>
      </c>
      <c r="D8704" s="17" t="s">
        <v>17166</v>
      </c>
      <c r="E8704" s="17"/>
      <c r="F8704" s="17" t="s">
        <v>17246</v>
      </c>
      <c r="G8704" s="17"/>
      <c r="H8704" s="17" t="s">
        <v>17984</v>
      </c>
      <c r="I8704" s="17"/>
      <c r="J8704" s="17" t="s">
        <v>20542</v>
      </c>
      <c r="K8704" s="17"/>
      <c r="L8704" s="17" t="s">
        <v>20543</v>
      </c>
      <c r="M8704" s="17"/>
      <c r="N8704" s="17" t="s">
        <v>20550</v>
      </c>
      <c r="O8704" s="17" t="s">
        <v>20551</v>
      </c>
      <c r="P8704" s="17" t="s">
        <v>20552</v>
      </c>
      <c r="Q8704" s="17"/>
      <c r="R8704" s="25" t="str">
        <f>HYPERLINK("https://ictv.global/taxonomy/taxondetails?taxnode_id=202309879","Umbravirus patriniae")</f>
        <v>Umbravirus patriniae</v>
      </c>
      <c r="S8704" s="18" t="s">
        <v>30</v>
      </c>
      <c r="T8704" s="18" t="s">
        <v>20582</v>
      </c>
      <c r="U8704" s="18" t="s">
        <v>20583</v>
      </c>
      <c r="V8704" s="18" t="s">
        <v>20584</v>
      </c>
      <c r="W8704" s="18" t="s">
        <v>20585</v>
      </c>
      <c r="X8704" s="18" t="s">
        <v>42</v>
      </c>
      <c r="Y8704" s="18" t="s">
        <v>17171</v>
      </c>
      <c r="Z8704" s="18" t="s">
        <v>13441</v>
      </c>
      <c r="AA8704" s="21" t="str">
        <f>HYPERLINK("https://www.ncbi.nlm.nih.gov/nuccore/MH922775","NCBI Nucleotide")</f>
        <v>NCBI Nucleotide</v>
      </c>
    </row>
    <row r="8705" spans="1:27" x14ac:dyDescent="0.35">
      <c r="A8705">
        <v>1009161</v>
      </c>
      <c r="B8705">
        <v>8034</v>
      </c>
      <c r="C8705">
        <v>1</v>
      </c>
      <c r="D8705" s="17" t="s">
        <v>17166</v>
      </c>
      <c r="E8705" s="17"/>
      <c r="F8705" s="17" t="s">
        <v>17246</v>
      </c>
      <c r="G8705" s="17"/>
      <c r="H8705" s="17" t="s">
        <v>17984</v>
      </c>
      <c r="I8705" s="17"/>
      <c r="J8705" s="17" t="s">
        <v>20542</v>
      </c>
      <c r="K8705" s="17"/>
      <c r="L8705" s="17" t="s">
        <v>20543</v>
      </c>
      <c r="M8705" s="17"/>
      <c r="N8705" s="17" t="s">
        <v>20550</v>
      </c>
      <c r="O8705" s="17" t="s">
        <v>20551</v>
      </c>
      <c r="P8705" s="17" t="s">
        <v>20552</v>
      </c>
      <c r="Q8705" s="17"/>
      <c r="R8705" s="25" t="str">
        <f>HYPERLINK("https://ictv.global/taxonomy/taxondetails?taxnode_id=202305273","Umbravirus pisi")</f>
        <v>Umbravirus pisi</v>
      </c>
      <c r="S8705" s="18" t="s">
        <v>30</v>
      </c>
      <c r="T8705" s="18" t="s">
        <v>20586</v>
      </c>
      <c r="U8705" s="18" t="s">
        <v>20587</v>
      </c>
      <c r="V8705" s="18" t="s">
        <v>20588</v>
      </c>
      <c r="W8705" s="18" t="s">
        <v>20589</v>
      </c>
      <c r="X8705" s="18" t="s">
        <v>42</v>
      </c>
      <c r="Y8705" s="18" t="s">
        <v>17171</v>
      </c>
      <c r="Z8705" s="18" t="s">
        <v>13441</v>
      </c>
      <c r="AA8705" s="21" t="str">
        <f>HYPERLINK("https://www.ncbi.nlm.nih.gov/nuccore/U03563","NCBI Nucleotide")</f>
        <v>NCBI Nucleotide</v>
      </c>
    </row>
    <row r="8706" spans="1:27" x14ac:dyDescent="0.35">
      <c r="A8706">
        <v>1009162</v>
      </c>
      <c r="B8706">
        <v>8035</v>
      </c>
      <c r="C8706">
        <v>1</v>
      </c>
      <c r="D8706" s="17" t="s">
        <v>17166</v>
      </c>
      <c r="E8706" s="17"/>
      <c r="F8706" s="17" t="s">
        <v>17246</v>
      </c>
      <c r="G8706" s="17"/>
      <c r="H8706" s="17" t="s">
        <v>17984</v>
      </c>
      <c r="I8706" s="17"/>
      <c r="J8706" s="17" t="s">
        <v>20542</v>
      </c>
      <c r="K8706" s="17"/>
      <c r="L8706" s="17" t="s">
        <v>20543</v>
      </c>
      <c r="M8706" s="17"/>
      <c r="N8706" s="17" t="s">
        <v>20550</v>
      </c>
      <c r="O8706" s="17" t="s">
        <v>20590</v>
      </c>
      <c r="P8706" s="17" t="s">
        <v>20601</v>
      </c>
      <c r="Q8706" s="17"/>
      <c r="R8706" s="25" t="str">
        <f>HYPERLINK("https://ictv.global/taxonomy/taxondetails?taxnode_id=202309897","Alphacarmovirus adonis")</f>
        <v>Alphacarmovirus adonis</v>
      </c>
      <c r="S8706" s="18" t="s">
        <v>30</v>
      </c>
      <c r="T8706" s="18" t="s">
        <v>20602</v>
      </c>
      <c r="U8706" s="18" t="s">
        <v>20603</v>
      </c>
      <c r="V8706" s="18" t="s">
        <v>20604</v>
      </c>
      <c r="W8706" s="18" t="s">
        <v>20605</v>
      </c>
      <c r="X8706" s="18" t="s">
        <v>42</v>
      </c>
      <c r="Y8706" s="18" t="s">
        <v>17171</v>
      </c>
      <c r="Z8706" s="18" t="s">
        <v>13441</v>
      </c>
      <c r="AA8706" s="21" t="str">
        <f>HYPERLINK("https://www.ncbi.nlm.nih.gov/nuccore/LC171345","NCBI Nucleotide")</f>
        <v>NCBI Nucleotide</v>
      </c>
    </row>
    <row r="8707" spans="1:27" x14ac:dyDescent="0.35">
      <c r="A8707">
        <v>1009163</v>
      </c>
      <c r="B8707">
        <v>8036</v>
      </c>
      <c r="C8707">
        <v>1</v>
      </c>
      <c r="D8707" s="17" t="s">
        <v>17166</v>
      </c>
      <c r="E8707" s="17"/>
      <c r="F8707" s="17" t="s">
        <v>17246</v>
      </c>
      <c r="G8707" s="17"/>
      <c r="H8707" s="17" t="s">
        <v>17984</v>
      </c>
      <c r="I8707" s="17"/>
      <c r="J8707" s="17" t="s">
        <v>20542</v>
      </c>
      <c r="K8707" s="17"/>
      <c r="L8707" s="17" t="s">
        <v>20543</v>
      </c>
      <c r="M8707" s="17"/>
      <c r="N8707" s="17" t="s">
        <v>20550</v>
      </c>
      <c r="O8707" s="17" t="s">
        <v>20590</v>
      </c>
      <c r="P8707" s="17" t="s">
        <v>20601</v>
      </c>
      <c r="Q8707" s="17"/>
      <c r="R8707" s="25" t="str">
        <f>HYPERLINK("https://ictv.global/taxonomy/taxondetails?taxnode_id=202305195","Alphacarmovirus angeloniae")</f>
        <v>Alphacarmovirus angeloniae</v>
      </c>
      <c r="S8707" s="18" t="s">
        <v>30</v>
      </c>
      <c r="T8707" s="18" t="s">
        <v>20606</v>
      </c>
      <c r="U8707" s="18" t="s">
        <v>20607</v>
      </c>
      <c r="V8707" s="18" t="s">
        <v>18410</v>
      </c>
      <c r="W8707" s="18" t="s">
        <v>20608</v>
      </c>
      <c r="X8707" s="18" t="s">
        <v>42</v>
      </c>
      <c r="Y8707" s="18" t="s">
        <v>17171</v>
      </c>
      <c r="Z8707" s="18" t="s">
        <v>13441</v>
      </c>
      <c r="AA8707" s="21" t="str">
        <f>HYPERLINK("https://www.ncbi.nlm.nih.gov/nuccore/DQ219415","NCBI Nucleotide")</f>
        <v>NCBI Nucleotide</v>
      </c>
    </row>
    <row r="8708" spans="1:27" x14ac:dyDescent="0.35">
      <c r="A8708">
        <v>1009164</v>
      </c>
      <c r="B8708">
        <v>8037</v>
      </c>
      <c r="C8708">
        <v>1</v>
      </c>
      <c r="D8708" s="17" t="s">
        <v>17166</v>
      </c>
      <c r="E8708" s="17"/>
      <c r="F8708" s="17" t="s">
        <v>17246</v>
      </c>
      <c r="G8708" s="17"/>
      <c r="H8708" s="17" t="s">
        <v>17984</v>
      </c>
      <c r="I8708" s="17"/>
      <c r="J8708" s="17" t="s">
        <v>20542</v>
      </c>
      <c r="K8708" s="17"/>
      <c r="L8708" s="17" t="s">
        <v>20543</v>
      </c>
      <c r="M8708" s="17"/>
      <c r="N8708" s="17" t="s">
        <v>20550</v>
      </c>
      <c r="O8708" s="17" t="s">
        <v>20590</v>
      </c>
      <c r="P8708" s="17" t="s">
        <v>20601</v>
      </c>
      <c r="Q8708" s="17"/>
      <c r="R8708" s="25" t="str">
        <f>HYPERLINK("https://ictv.global/taxonomy/taxondetails?taxnode_id=202305201","Alphacarmovirus cacti")</f>
        <v>Alphacarmovirus cacti</v>
      </c>
      <c r="S8708" s="18" t="s">
        <v>30</v>
      </c>
      <c r="T8708" s="18" t="s">
        <v>20609</v>
      </c>
      <c r="U8708" s="18" t="s">
        <v>20610</v>
      </c>
      <c r="V8708" s="18" t="s">
        <v>20611</v>
      </c>
      <c r="W8708" s="18" t="s">
        <v>20612</v>
      </c>
      <c r="X8708" s="18" t="s">
        <v>42</v>
      </c>
      <c r="Y8708" s="18" t="s">
        <v>17171</v>
      </c>
      <c r="Z8708" s="18" t="s">
        <v>13441</v>
      </c>
      <c r="AA8708" s="21" t="str">
        <f>HYPERLINK("https://www.ncbi.nlm.nih.gov/nuccore/U72332","NCBI Nucleotide")</f>
        <v>NCBI Nucleotide</v>
      </c>
    </row>
    <row r="8709" spans="1:27" x14ac:dyDescent="0.35">
      <c r="A8709">
        <v>1009165</v>
      </c>
      <c r="B8709">
        <v>8038</v>
      </c>
      <c r="C8709">
        <v>1</v>
      </c>
      <c r="D8709" s="17" t="s">
        <v>17166</v>
      </c>
      <c r="E8709" s="17"/>
      <c r="F8709" s="17" t="s">
        <v>17246</v>
      </c>
      <c r="G8709" s="17"/>
      <c r="H8709" s="17" t="s">
        <v>17984</v>
      </c>
      <c r="I8709" s="17"/>
      <c r="J8709" s="17" t="s">
        <v>20542</v>
      </c>
      <c r="K8709" s="17"/>
      <c r="L8709" s="17" t="s">
        <v>20543</v>
      </c>
      <c r="M8709" s="17"/>
      <c r="N8709" s="17" t="s">
        <v>20550</v>
      </c>
      <c r="O8709" s="17" t="s">
        <v>20590</v>
      </c>
      <c r="P8709" s="17" t="s">
        <v>20601</v>
      </c>
      <c r="Q8709" s="17"/>
      <c r="R8709" s="25" t="str">
        <f>HYPERLINK("https://ictv.global/taxonomy/taxondetails?taxnode_id=202305196","Alphacarmovirus calibrachoae")</f>
        <v>Alphacarmovirus calibrachoae</v>
      </c>
      <c r="S8709" s="18" t="s">
        <v>30</v>
      </c>
      <c r="T8709" s="18" t="s">
        <v>20613</v>
      </c>
      <c r="U8709" s="18" t="s">
        <v>20614</v>
      </c>
      <c r="V8709" s="18" t="s">
        <v>18388</v>
      </c>
      <c r="W8709" s="18" t="s">
        <v>20615</v>
      </c>
      <c r="X8709" s="18" t="s">
        <v>42</v>
      </c>
      <c r="Y8709" s="18" t="s">
        <v>17171</v>
      </c>
      <c r="Z8709" s="18" t="s">
        <v>13441</v>
      </c>
      <c r="AA8709" s="21" t="str">
        <f>HYPERLINK("https://www.ncbi.nlm.nih.gov/nuccore/GQ244431","NCBI Nucleotide")</f>
        <v>NCBI Nucleotide</v>
      </c>
    </row>
    <row r="8710" spans="1:27" x14ac:dyDescent="0.35">
      <c r="A8710">
        <v>1009166</v>
      </c>
      <c r="B8710">
        <v>8039</v>
      </c>
      <c r="C8710">
        <v>1</v>
      </c>
      <c r="D8710" s="17" t="s">
        <v>17166</v>
      </c>
      <c r="E8710" s="17"/>
      <c r="F8710" s="17" t="s">
        <v>17246</v>
      </c>
      <c r="G8710" s="17"/>
      <c r="H8710" s="17" t="s">
        <v>17984</v>
      </c>
      <c r="I8710" s="17"/>
      <c r="J8710" s="17" t="s">
        <v>20542</v>
      </c>
      <c r="K8710" s="17"/>
      <c r="L8710" s="17" t="s">
        <v>20543</v>
      </c>
      <c r="M8710" s="17"/>
      <c r="N8710" s="17" t="s">
        <v>20550</v>
      </c>
      <c r="O8710" s="17" t="s">
        <v>20590</v>
      </c>
      <c r="P8710" s="17" t="s">
        <v>20601</v>
      </c>
      <c r="Q8710" s="17"/>
      <c r="R8710" s="25" t="str">
        <f>HYPERLINK("https://ictv.global/taxonomy/taxondetails?taxnode_id=202305197","Alphacarmovirus dianthi")</f>
        <v>Alphacarmovirus dianthi</v>
      </c>
      <c r="S8710" s="18" t="s">
        <v>30</v>
      </c>
      <c r="T8710" s="18" t="s">
        <v>20616</v>
      </c>
      <c r="U8710" s="18" t="s">
        <v>20617</v>
      </c>
      <c r="V8710" s="18" t="s">
        <v>20057</v>
      </c>
      <c r="W8710" s="18" t="s">
        <v>20618</v>
      </c>
      <c r="X8710" s="18" t="s">
        <v>42</v>
      </c>
      <c r="Y8710" s="18" t="s">
        <v>17171</v>
      </c>
      <c r="Z8710" s="18" t="s">
        <v>13441</v>
      </c>
      <c r="AA8710" s="21" t="str">
        <f>HYPERLINK("https://www.ncbi.nlm.nih.gov/nuccore/X02986","NCBI Nucleotide")</f>
        <v>NCBI Nucleotide</v>
      </c>
    </row>
    <row r="8711" spans="1:27" x14ac:dyDescent="0.35">
      <c r="A8711">
        <v>1009167</v>
      </c>
      <c r="B8711">
        <v>8040</v>
      </c>
      <c r="C8711">
        <v>1</v>
      </c>
      <c r="D8711" s="17" t="s">
        <v>17166</v>
      </c>
      <c r="E8711" s="17"/>
      <c r="F8711" s="17" t="s">
        <v>17246</v>
      </c>
      <c r="G8711" s="17"/>
      <c r="H8711" s="17" t="s">
        <v>17984</v>
      </c>
      <c r="I8711" s="17"/>
      <c r="J8711" s="17" t="s">
        <v>20542</v>
      </c>
      <c r="K8711" s="17"/>
      <c r="L8711" s="17" t="s">
        <v>20543</v>
      </c>
      <c r="M8711" s="17"/>
      <c r="N8711" s="17" t="s">
        <v>20550</v>
      </c>
      <c r="O8711" s="17" t="s">
        <v>20590</v>
      </c>
      <c r="P8711" s="17" t="s">
        <v>20601</v>
      </c>
      <c r="Q8711" s="17"/>
      <c r="R8711" s="25" t="str">
        <f>HYPERLINK("https://ictv.global/taxonomy/taxondetails?taxnode_id=202305198","Alphacarmovirus lonicerae")</f>
        <v>Alphacarmovirus lonicerae</v>
      </c>
      <c r="S8711" s="18" t="s">
        <v>30</v>
      </c>
      <c r="T8711" s="18" t="s">
        <v>20619</v>
      </c>
      <c r="U8711" s="18" t="s">
        <v>20620</v>
      </c>
      <c r="V8711" s="18" t="s">
        <v>18388</v>
      </c>
      <c r="W8711" s="18" t="s">
        <v>20621</v>
      </c>
      <c r="X8711" s="18" t="s">
        <v>42</v>
      </c>
      <c r="Y8711" s="18" t="s">
        <v>17171</v>
      </c>
      <c r="Z8711" s="18" t="s">
        <v>13441</v>
      </c>
      <c r="AA8711" s="21" t="str">
        <f>HYPERLINK("https://www.ncbi.nlm.nih.gov/nuccore/HQ677625","NCBI Nucleotide")</f>
        <v>NCBI Nucleotide</v>
      </c>
    </row>
    <row r="8712" spans="1:27" x14ac:dyDescent="0.35">
      <c r="A8712">
        <v>1009168</v>
      </c>
      <c r="B8712">
        <v>8041</v>
      </c>
      <c r="C8712">
        <v>1</v>
      </c>
      <c r="D8712" s="17" t="s">
        <v>17166</v>
      </c>
      <c r="E8712" s="17"/>
      <c r="F8712" s="17" t="s">
        <v>17246</v>
      </c>
      <c r="G8712" s="17"/>
      <c r="H8712" s="17" t="s">
        <v>17984</v>
      </c>
      <c r="I8712" s="17"/>
      <c r="J8712" s="17" t="s">
        <v>20542</v>
      </c>
      <c r="K8712" s="17"/>
      <c r="L8712" s="17" t="s">
        <v>20543</v>
      </c>
      <c r="M8712" s="17"/>
      <c r="N8712" s="17" t="s">
        <v>20550</v>
      </c>
      <c r="O8712" s="17" t="s">
        <v>20590</v>
      </c>
      <c r="P8712" s="17" t="s">
        <v>20601</v>
      </c>
      <c r="Q8712" s="17"/>
      <c r="R8712" s="25" t="str">
        <f>HYPERLINK("https://ictv.global/taxonomy/taxondetails?taxnode_id=202305199","Alphacarmovirus lupini")</f>
        <v>Alphacarmovirus lupini</v>
      </c>
      <c r="S8712" s="18" t="s">
        <v>30</v>
      </c>
      <c r="T8712" s="18" t="s">
        <v>20622</v>
      </c>
      <c r="U8712" s="18" t="s">
        <v>20623</v>
      </c>
      <c r="V8712" s="18" t="s">
        <v>20624</v>
      </c>
      <c r="W8712" s="18" t="s">
        <v>20625</v>
      </c>
      <c r="X8712" s="18" t="s">
        <v>42</v>
      </c>
      <c r="Y8712" s="18" t="s">
        <v>17171</v>
      </c>
      <c r="Z8712" s="18" t="s">
        <v>13441</v>
      </c>
      <c r="AA8712" s="21" t="str">
        <f>HYPERLINK("https://www.ncbi.nlm.nih.gov/nuccore/EF207438","NCBI Nucleotide")</f>
        <v>NCBI Nucleotide</v>
      </c>
    </row>
    <row r="8713" spans="1:27" x14ac:dyDescent="0.35">
      <c r="A8713">
        <v>1009169</v>
      </c>
      <c r="B8713">
        <v>8042</v>
      </c>
      <c r="C8713">
        <v>1</v>
      </c>
      <c r="D8713" s="17" t="s">
        <v>17166</v>
      </c>
      <c r="E8713" s="17"/>
      <c r="F8713" s="17" t="s">
        <v>17246</v>
      </c>
      <c r="G8713" s="17"/>
      <c r="H8713" s="17" t="s">
        <v>17984</v>
      </c>
      <c r="I8713" s="17"/>
      <c r="J8713" s="17" t="s">
        <v>20542</v>
      </c>
      <c r="K8713" s="17"/>
      <c r="L8713" s="17" t="s">
        <v>20543</v>
      </c>
      <c r="M8713" s="17"/>
      <c r="N8713" s="17" t="s">
        <v>20550</v>
      </c>
      <c r="O8713" s="17" t="s">
        <v>20590</v>
      </c>
      <c r="P8713" s="17" t="s">
        <v>20601</v>
      </c>
      <c r="Q8713" s="17"/>
      <c r="R8713" s="25" t="str">
        <f>HYPERLINK("https://ictv.global/taxonomy/taxondetails?taxnode_id=202305200","Alphacarmovirus pelargonii")</f>
        <v>Alphacarmovirus pelargonii</v>
      </c>
      <c r="S8713" s="18" t="s">
        <v>30</v>
      </c>
      <c r="T8713" s="18" t="s">
        <v>20626</v>
      </c>
      <c r="U8713" s="18" t="s">
        <v>20627</v>
      </c>
      <c r="V8713" s="18" t="s">
        <v>20628</v>
      </c>
      <c r="W8713" s="18" t="s">
        <v>20629</v>
      </c>
      <c r="X8713" s="18" t="s">
        <v>42</v>
      </c>
      <c r="Y8713" s="18" t="s">
        <v>17171</v>
      </c>
      <c r="Z8713" s="18" t="s">
        <v>13441</v>
      </c>
      <c r="AA8713" s="21" t="str">
        <f>HYPERLINK("https://www.ncbi.nlm.nih.gov/nuccore/AJ514833","NCBI Nucleotide")</f>
        <v>NCBI Nucleotide</v>
      </c>
    </row>
    <row r="8714" spans="1:27" x14ac:dyDescent="0.35">
      <c r="A8714">
        <v>1009170</v>
      </c>
      <c r="B8714">
        <v>8043</v>
      </c>
      <c r="C8714">
        <v>1</v>
      </c>
      <c r="D8714" s="17" t="s">
        <v>17166</v>
      </c>
      <c r="E8714" s="17"/>
      <c r="F8714" s="17" t="s">
        <v>17246</v>
      </c>
      <c r="G8714" s="17"/>
      <c r="H8714" s="17" t="s">
        <v>17984</v>
      </c>
      <c r="I8714" s="17"/>
      <c r="J8714" s="17" t="s">
        <v>20542</v>
      </c>
      <c r="K8714" s="17"/>
      <c r="L8714" s="17" t="s">
        <v>20543</v>
      </c>
      <c r="M8714" s="17"/>
      <c r="N8714" s="17" t="s">
        <v>20550</v>
      </c>
      <c r="O8714" s="17" t="s">
        <v>20590</v>
      </c>
      <c r="P8714" s="17" t="s">
        <v>20630</v>
      </c>
      <c r="Q8714" s="17"/>
      <c r="R8714" s="25" t="str">
        <f>HYPERLINK("https://ictv.global/taxonomy/taxondetails?taxnode_id=202305205","Alphanecrovirus nicotianae")</f>
        <v>Alphanecrovirus nicotianae</v>
      </c>
      <c r="S8714" s="18" t="s">
        <v>30</v>
      </c>
      <c r="T8714" s="18" t="s">
        <v>20631</v>
      </c>
      <c r="U8714" s="18" t="s">
        <v>20632</v>
      </c>
      <c r="V8714" s="18" t="s">
        <v>20633</v>
      </c>
      <c r="W8714" s="18" t="s">
        <v>20634</v>
      </c>
      <c r="X8714" s="18" t="s">
        <v>35</v>
      </c>
      <c r="Y8714" s="18" t="s">
        <v>17171</v>
      </c>
      <c r="Z8714" s="18" t="s">
        <v>13441</v>
      </c>
      <c r="AA8714" s="21" t="str">
        <f>HYPERLINK("https://www.ncbi.nlm.nih.gov/nuccore/M33002","NCBI Nucleotide")</f>
        <v>NCBI Nucleotide</v>
      </c>
    </row>
    <row r="8715" spans="1:27" x14ac:dyDescent="0.35">
      <c r="A8715">
        <v>1009171</v>
      </c>
      <c r="B8715">
        <v>8044</v>
      </c>
      <c r="C8715">
        <v>1</v>
      </c>
      <c r="D8715" s="17" t="s">
        <v>17166</v>
      </c>
      <c r="E8715" s="17"/>
      <c r="F8715" s="17" t="s">
        <v>17246</v>
      </c>
      <c r="G8715" s="17"/>
      <c r="H8715" s="17" t="s">
        <v>17984</v>
      </c>
      <c r="I8715" s="17"/>
      <c r="J8715" s="17" t="s">
        <v>20542</v>
      </c>
      <c r="K8715" s="17"/>
      <c r="L8715" s="17" t="s">
        <v>20543</v>
      </c>
      <c r="M8715" s="17"/>
      <c r="N8715" s="17" t="s">
        <v>20550</v>
      </c>
      <c r="O8715" s="17" t="s">
        <v>20590</v>
      </c>
      <c r="P8715" s="17" t="s">
        <v>20630</v>
      </c>
      <c r="Q8715" s="17"/>
      <c r="R8715" s="25" t="str">
        <f>HYPERLINK("https://ictv.global/taxonomy/taxondetails?taxnode_id=202305203","Alphanecrovirus oleae")</f>
        <v>Alphanecrovirus oleae</v>
      </c>
      <c r="S8715" s="18" t="s">
        <v>30</v>
      </c>
      <c r="T8715" s="18" t="s">
        <v>20635</v>
      </c>
      <c r="U8715" s="18" t="s">
        <v>20636</v>
      </c>
      <c r="V8715" s="18" t="s">
        <v>20637</v>
      </c>
      <c r="W8715" s="18" t="s">
        <v>20638</v>
      </c>
      <c r="X8715" s="18" t="s">
        <v>42</v>
      </c>
      <c r="Y8715" s="18" t="s">
        <v>17171</v>
      </c>
      <c r="Z8715" s="18" t="s">
        <v>13441</v>
      </c>
      <c r="AA8715" s="21" t="str">
        <f>HYPERLINK("https://www.ncbi.nlm.nih.gov/nuccore/X85989","NCBI Nucleotide")</f>
        <v>NCBI Nucleotide</v>
      </c>
    </row>
    <row r="8716" spans="1:27" x14ac:dyDescent="0.35">
      <c r="A8716">
        <v>1009172</v>
      </c>
      <c r="B8716">
        <v>8045</v>
      </c>
      <c r="C8716">
        <v>1</v>
      </c>
      <c r="D8716" s="17" t="s">
        <v>17166</v>
      </c>
      <c r="E8716" s="17"/>
      <c r="F8716" s="17" t="s">
        <v>17246</v>
      </c>
      <c r="G8716" s="17"/>
      <c r="H8716" s="17" t="s">
        <v>17984</v>
      </c>
      <c r="I8716" s="17"/>
      <c r="J8716" s="17" t="s">
        <v>20542</v>
      </c>
      <c r="K8716" s="17"/>
      <c r="L8716" s="17" t="s">
        <v>20543</v>
      </c>
      <c r="M8716" s="17"/>
      <c r="N8716" s="17" t="s">
        <v>20550</v>
      </c>
      <c r="O8716" s="17" t="s">
        <v>20590</v>
      </c>
      <c r="P8716" s="17" t="s">
        <v>20630</v>
      </c>
      <c r="Q8716" s="17"/>
      <c r="R8716" s="25" t="str">
        <f>HYPERLINK("https://ictv.global/taxonomy/taxondetails?taxnode_id=202306636","Alphanecrovirus solani")</f>
        <v>Alphanecrovirus solani</v>
      </c>
      <c r="S8716" s="18" t="s">
        <v>30</v>
      </c>
      <c r="T8716" s="18" t="s">
        <v>20639</v>
      </c>
      <c r="U8716" s="18" t="s">
        <v>20640</v>
      </c>
      <c r="V8716" s="18" t="s">
        <v>20641</v>
      </c>
      <c r="W8716" s="18" t="s">
        <v>20642</v>
      </c>
      <c r="X8716" s="18" t="s">
        <v>42</v>
      </c>
      <c r="Y8716" s="18" t="s">
        <v>17171</v>
      </c>
      <c r="Z8716" s="18" t="s">
        <v>13441</v>
      </c>
      <c r="AA8716" s="21" t="str">
        <f>HYPERLINK("https://www.ncbi.nlm.nih.gov/nuccore/KP901095","NCBI Nucleotide")</f>
        <v>NCBI Nucleotide</v>
      </c>
    </row>
    <row r="8717" spans="1:27" x14ac:dyDescent="0.35">
      <c r="A8717">
        <v>1009173</v>
      </c>
      <c r="B8717">
        <v>8046</v>
      </c>
      <c r="C8717">
        <v>1</v>
      </c>
      <c r="D8717" s="17" t="s">
        <v>17166</v>
      </c>
      <c r="E8717" s="17"/>
      <c r="F8717" s="17" t="s">
        <v>17246</v>
      </c>
      <c r="G8717" s="17"/>
      <c r="H8717" s="17" t="s">
        <v>17984</v>
      </c>
      <c r="I8717" s="17"/>
      <c r="J8717" s="17" t="s">
        <v>20542</v>
      </c>
      <c r="K8717" s="17"/>
      <c r="L8717" s="17" t="s">
        <v>20543</v>
      </c>
      <c r="M8717" s="17"/>
      <c r="N8717" s="17" t="s">
        <v>20550</v>
      </c>
      <c r="O8717" s="17" t="s">
        <v>20590</v>
      </c>
      <c r="P8717" s="17" t="s">
        <v>20630</v>
      </c>
      <c r="Q8717" s="17"/>
      <c r="R8717" s="25" t="str">
        <f>HYPERLINK("https://ictv.global/taxonomy/taxondetails?taxnode_id=202305204","Alphanecrovirus tessellati")</f>
        <v>Alphanecrovirus tessellati</v>
      </c>
      <c r="S8717" s="18" t="s">
        <v>30</v>
      </c>
      <c r="T8717" s="18" t="s">
        <v>20643</v>
      </c>
      <c r="U8717" s="18" t="s">
        <v>20644</v>
      </c>
      <c r="V8717" s="18" t="s">
        <v>20645</v>
      </c>
      <c r="W8717" s="18" t="s">
        <v>20646</v>
      </c>
      <c r="X8717" s="18" t="s">
        <v>42</v>
      </c>
      <c r="Y8717" s="18" t="s">
        <v>17171</v>
      </c>
      <c r="Z8717" s="18" t="s">
        <v>13441</v>
      </c>
      <c r="AA8717" s="21" t="str">
        <f>HYPERLINK("https://www.ncbi.nlm.nih.gov/nuccore/AY616760","NCBI Nucleotide")</f>
        <v>NCBI Nucleotide</v>
      </c>
    </row>
    <row r="8718" spans="1:27" x14ac:dyDescent="0.35">
      <c r="A8718">
        <v>1009174</v>
      </c>
      <c r="B8718">
        <v>8047</v>
      </c>
      <c r="C8718">
        <v>1</v>
      </c>
      <c r="D8718" s="17" t="s">
        <v>17166</v>
      </c>
      <c r="E8718" s="17"/>
      <c r="F8718" s="17" t="s">
        <v>17246</v>
      </c>
      <c r="G8718" s="17"/>
      <c r="H8718" s="17" t="s">
        <v>17984</v>
      </c>
      <c r="I8718" s="17"/>
      <c r="J8718" s="17" t="s">
        <v>20542</v>
      </c>
      <c r="K8718" s="17"/>
      <c r="L8718" s="17" t="s">
        <v>20543</v>
      </c>
      <c r="M8718" s="17"/>
      <c r="N8718" s="17" t="s">
        <v>20550</v>
      </c>
      <c r="O8718" s="17" t="s">
        <v>20590</v>
      </c>
      <c r="P8718" s="17" t="s">
        <v>20647</v>
      </c>
      <c r="Q8718" s="17"/>
      <c r="R8718" s="25" t="str">
        <f>HYPERLINK("https://ictv.global/taxonomy/taxondetails?taxnode_id=202305210","Aureusvirus aurei")</f>
        <v>Aureusvirus aurei</v>
      </c>
      <c r="S8718" s="18" t="s">
        <v>30</v>
      </c>
      <c r="T8718" s="18" t="s">
        <v>20648</v>
      </c>
      <c r="U8718" s="18" t="s">
        <v>20649</v>
      </c>
      <c r="V8718" s="18"/>
      <c r="W8718" s="18" t="s">
        <v>20650</v>
      </c>
      <c r="X8718" s="18" t="s">
        <v>42</v>
      </c>
      <c r="Y8718" s="18" t="s">
        <v>17171</v>
      </c>
      <c r="Z8718" s="18" t="s">
        <v>13441</v>
      </c>
      <c r="AA8718" s="21" t="str">
        <f>HYPERLINK("https://www.ncbi.nlm.nih.gov/nuccore/X87115","NCBI Nucleotide")</f>
        <v>NCBI Nucleotide</v>
      </c>
    </row>
    <row r="8719" spans="1:27" x14ac:dyDescent="0.35">
      <c r="A8719">
        <v>1009175</v>
      </c>
      <c r="B8719">
        <v>8048</v>
      </c>
      <c r="C8719">
        <v>1</v>
      </c>
      <c r="D8719" s="17" t="s">
        <v>17166</v>
      </c>
      <c r="E8719" s="17"/>
      <c r="F8719" s="17" t="s">
        <v>17246</v>
      </c>
      <c r="G8719" s="17"/>
      <c r="H8719" s="17" t="s">
        <v>17984</v>
      </c>
      <c r="I8719" s="17"/>
      <c r="J8719" s="17" t="s">
        <v>20542</v>
      </c>
      <c r="K8719" s="17"/>
      <c r="L8719" s="17" t="s">
        <v>20543</v>
      </c>
      <c r="M8719" s="17"/>
      <c r="N8719" s="17" t="s">
        <v>20550</v>
      </c>
      <c r="O8719" s="17" t="s">
        <v>20590</v>
      </c>
      <c r="P8719" s="17" t="s">
        <v>20647</v>
      </c>
      <c r="Q8719" s="17"/>
      <c r="R8719" s="25" t="str">
        <f>HYPERLINK("https://ictv.global/taxonomy/taxondetails?taxnode_id=202305207","Aureusvirus cucumis")</f>
        <v>Aureusvirus cucumis</v>
      </c>
      <c r="S8719" s="18" t="s">
        <v>30</v>
      </c>
      <c r="T8719" s="18" t="s">
        <v>20651</v>
      </c>
      <c r="U8719" s="18" t="s">
        <v>20652</v>
      </c>
      <c r="V8719" s="18" t="s">
        <v>374</v>
      </c>
      <c r="W8719" s="18" t="s">
        <v>20653</v>
      </c>
      <c r="X8719" s="18" t="s">
        <v>42</v>
      </c>
      <c r="Y8719" s="18" t="s">
        <v>17171</v>
      </c>
      <c r="Z8719" s="18" t="s">
        <v>13441</v>
      </c>
      <c r="AA8719" s="21" t="str">
        <f>HYPERLINK("https://www.ncbi.nlm.nih.gov/nuccore/EU127904","NCBI Nucleotide")</f>
        <v>NCBI Nucleotide</v>
      </c>
    </row>
    <row r="8720" spans="1:27" x14ac:dyDescent="0.35">
      <c r="A8720">
        <v>1009176</v>
      </c>
      <c r="B8720">
        <v>8049</v>
      </c>
      <c r="C8720">
        <v>1</v>
      </c>
      <c r="D8720" s="17" t="s">
        <v>17166</v>
      </c>
      <c r="E8720" s="17"/>
      <c r="F8720" s="17" t="s">
        <v>17246</v>
      </c>
      <c r="G8720" s="17"/>
      <c r="H8720" s="17" t="s">
        <v>17984</v>
      </c>
      <c r="I8720" s="17"/>
      <c r="J8720" s="17" t="s">
        <v>20542</v>
      </c>
      <c r="K8720" s="17"/>
      <c r="L8720" s="17" t="s">
        <v>20543</v>
      </c>
      <c r="M8720" s="17"/>
      <c r="N8720" s="17" t="s">
        <v>20550</v>
      </c>
      <c r="O8720" s="17" t="s">
        <v>20590</v>
      </c>
      <c r="P8720" s="17" t="s">
        <v>20647</v>
      </c>
      <c r="Q8720" s="17"/>
      <c r="R8720" s="25" t="str">
        <f>HYPERLINK("https://ictv.global/taxonomy/taxondetails?taxnode_id=202305211","Aureusvirus dioscoreae")</f>
        <v>Aureusvirus dioscoreae</v>
      </c>
      <c r="S8720" s="18" t="s">
        <v>30</v>
      </c>
      <c r="T8720" s="18" t="s">
        <v>20654</v>
      </c>
      <c r="U8720" s="18" t="s">
        <v>20655</v>
      </c>
      <c r="V8720" s="18" t="s">
        <v>20656</v>
      </c>
      <c r="W8720" s="18" t="s">
        <v>20657</v>
      </c>
      <c r="X8720" s="18" t="s">
        <v>42</v>
      </c>
      <c r="Y8720" s="18" t="s">
        <v>17171</v>
      </c>
      <c r="Z8720" s="18" t="s">
        <v>13441</v>
      </c>
      <c r="AA8720" s="21" t="str">
        <f>HYPERLINK("https://www.ncbi.nlm.nih.gov/nuccore/KF482072","NCBI Nucleotide")</f>
        <v>NCBI Nucleotide</v>
      </c>
    </row>
    <row r="8721" spans="1:27" x14ac:dyDescent="0.35">
      <c r="A8721">
        <v>1009177</v>
      </c>
      <c r="B8721">
        <v>8050</v>
      </c>
      <c r="C8721">
        <v>1</v>
      </c>
      <c r="D8721" s="17" t="s">
        <v>17166</v>
      </c>
      <c r="E8721" s="17"/>
      <c r="F8721" s="17" t="s">
        <v>17246</v>
      </c>
      <c r="G8721" s="17"/>
      <c r="H8721" s="17" t="s">
        <v>17984</v>
      </c>
      <c r="I8721" s="17"/>
      <c r="J8721" s="17" t="s">
        <v>20542</v>
      </c>
      <c r="K8721" s="17"/>
      <c r="L8721" s="17" t="s">
        <v>20543</v>
      </c>
      <c r="M8721" s="17"/>
      <c r="N8721" s="17" t="s">
        <v>20550</v>
      </c>
      <c r="O8721" s="17" t="s">
        <v>20590</v>
      </c>
      <c r="P8721" s="17" t="s">
        <v>20647</v>
      </c>
      <c r="Q8721" s="17"/>
      <c r="R8721" s="25" t="str">
        <f>HYPERLINK("https://ictv.global/taxonomy/taxondetails?taxnode_id=202309900","Aureusvirus sambuci")</f>
        <v>Aureusvirus sambuci</v>
      </c>
      <c r="S8721" s="18" t="s">
        <v>30</v>
      </c>
      <c r="T8721" s="18" t="s">
        <v>20658</v>
      </c>
      <c r="U8721" s="18" t="s">
        <v>20659</v>
      </c>
      <c r="V8721" s="18" t="s">
        <v>18138</v>
      </c>
      <c r="W8721" s="18" t="s">
        <v>20660</v>
      </c>
      <c r="X8721" s="18" t="s">
        <v>35</v>
      </c>
      <c r="Y8721" s="18" t="s">
        <v>17171</v>
      </c>
      <c r="Z8721" s="18" t="s">
        <v>13441</v>
      </c>
      <c r="AA8721" s="21" t="str">
        <f>HYPERLINK("https://www.ncbi.nlm.nih.gov/nuccore/MG967280","NCBI Nucleotide")</f>
        <v>NCBI Nucleotide</v>
      </c>
    </row>
    <row r="8722" spans="1:27" x14ac:dyDescent="0.35">
      <c r="A8722">
        <v>1009178</v>
      </c>
      <c r="B8722">
        <v>8051</v>
      </c>
      <c r="C8722">
        <v>1</v>
      </c>
      <c r="D8722" s="17" t="s">
        <v>17166</v>
      </c>
      <c r="E8722" s="17"/>
      <c r="F8722" s="17" t="s">
        <v>17246</v>
      </c>
      <c r="G8722" s="17"/>
      <c r="H8722" s="17" t="s">
        <v>17984</v>
      </c>
      <c r="I8722" s="17"/>
      <c r="J8722" s="17" t="s">
        <v>20542</v>
      </c>
      <c r="K8722" s="17"/>
      <c r="L8722" s="17" t="s">
        <v>20543</v>
      </c>
      <c r="M8722" s="17"/>
      <c r="N8722" s="17" t="s">
        <v>20550</v>
      </c>
      <c r="O8722" s="17" t="s">
        <v>20590</v>
      </c>
      <c r="P8722" s="17" t="s">
        <v>20647</v>
      </c>
      <c r="Q8722" s="17"/>
      <c r="R8722" s="25" t="str">
        <f>HYPERLINK("https://ictv.global/taxonomy/taxondetails?taxnode_id=202305208","Aureusvirus sorghi")</f>
        <v>Aureusvirus sorghi</v>
      </c>
      <c r="S8722" s="18" t="s">
        <v>30</v>
      </c>
      <c r="T8722" s="18" t="s">
        <v>20661</v>
      </c>
      <c r="U8722" s="18" t="s">
        <v>20662</v>
      </c>
      <c r="V8722" s="18" t="s">
        <v>20663</v>
      </c>
      <c r="W8722" s="18" t="s">
        <v>20664</v>
      </c>
      <c r="X8722" s="18" t="s">
        <v>42</v>
      </c>
      <c r="Y8722" s="18" t="s">
        <v>17171</v>
      </c>
      <c r="Z8722" s="18" t="s">
        <v>13441</v>
      </c>
      <c r="AA8722" s="21" t="str">
        <f>HYPERLINK("https://www.ncbi.nlm.nih.gov/nuccore/AJ557804","NCBI Nucleotide")</f>
        <v>NCBI Nucleotide</v>
      </c>
    </row>
    <row r="8723" spans="1:27" x14ac:dyDescent="0.35">
      <c r="A8723">
        <v>1009179</v>
      </c>
      <c r="B8723">
        <v>8052</v>
      </c>
      <c r="C8723">
        <v>1</v>
      </c>
      <c r="D8723" s="17" t="s">
        <v>17166</v>
      </c>
      <c r="E8723" s="17"/>
      <c r="F8723" s="17" t="s">
        <v>17246</v>
      </c>
      <c r="G8723" s="17"/>
      <c r="H8723" s="17" t="s">
        <v>17984</v>
      </c>
      <c r="I8723" s="17"/>
      <c r="J8723" s="17" t="s">
        <v>20542</v>
      </c>
      <c r="K8723" s="17"/>
      <c r="L8723" s="17" t="s">
        <v>20543</v>
      </c>
      <c r="M8723" s="17"/>
      <c r="N8723" s="17" t="s">
        <v>20550</v>
      </c>
      <c r="O8723" s="17" t="s">
        <v>20590</v>
      </c>
      <c r="P8723" s="17" t="s">
        <v>20647</v>
      </c>
      <c r="Q8723" s="17"/>
      <c r="R8723" s="25" t="str">
        <f>HYPERLINK("https://ictv.global/taxonomy/taxondetails?taxnode_id=202305209","Aureusvirus zeae")</f>
        <v>Aureusvirus zeae</v>
      </c>
      <c r="S8723" s="18" t="s">
        <v>30</v>
      </c>
      <c r="T8723" s="18" t="s">
        <v>20665</v>
      </c>
      <c r="U8723" s="18" t="s">
        <v>20666</v>
      </c>
      <c r="V8723" s="18" t="s">
        <v>20667</v>
      </c>
      <c r="W8723" s="18" t="s">
        <v>20668</v>
      </c>
      <c r="X8723" s="18" t="s">
        <v>42</v>
      </c>
      <c r="Y8723" s="18" t="s">
        <v>17171</v>
      </c>
      <c r="Z8723" s="18" t="s">
        <v>13441</v>
      </c>
      <c r="AA8723" s="21" t="str">
        <f>HYPERLINK("https://www.ncbi.nlm.nih.gov/nuccore/EF589670","NCBI Nucleotide")</f>
        <v>NCBI Nucleotide</v>
      </c>
    </row>
    <row r="8724" spans="1:27" x14ac:dyDescent="0.35">
      <c r="A8724">
        <v>1009180</v>
      </c>
      <c r="B8724">
        <v>8053</v>
      </c>
      <c r="C8724">
        <v>1</v>
      </c>
      <c r="D8724" s="17" t="s">
        <v>17166</v>
      </c>
      <c r="E8724" s="17"/>
      <c r="F8724" s="17" t="s">
        <v>17246</v>
      </c>
      <c r="G8724" s="17"/>
      <c r="H8724" s="17" t="s">
        <v>17984</v>
      </c>
      <c r="I8724" s="17"/>
      <c r="J8724" s="17" t="s">
        <v>20542</v>
      </c>
      <c r="K8724" s="17"/>
      <c r="L8724" s="17" t="s">
        <v>20543</v>
      </c>
      <c r="M8724" s="17"/>
      <c r="N8724" s="17" t="s">
        <v>20550</v>
      </c>
      <c r="O8724" s="17" t="s">
        <v>20590</v>
      </c>
      <c r="P8724" s="17" t="s">
        <v>20669</v>
      </c>
      <c r="Q8724" s="17"/>
      <c r="R8724" s="25" t="str">
        <f>HYPERLINK("https://ictv.global/taxonomy/taxondetails?taxnode_id=202305213","Avenavirus avenae")</f>
        <v>Avenavirus avenae</v>
      </c>
      <c r="S8724" s="18" t="s">
        <v>30</v>
      </c>
      <c r="T8724" s="18" t="s">
        <v>20670</v>
      </c>
      <c r="U8724" s="18" t="s">
        <v>20671</v>
      </c>
      <c r="V8724" s="18" t="s">
        <v>20672</v>
      </c>
      <c r="W8724" s="18" t="s">
        <v>20673</v>
      </c>
      <c r="X8724" s="18" t="s">
        <v>42</v>
      </c>
      <c r="Y8724" s="18" t="s">
        <v>17171</v>
      </c>
      <c r="Z8724" s="18" t="s">
        <v>13441</v>
      </c>
      <c r="AA8724" s="21" t="str">
        <f>HYPERLINK("https://www.ncbi.nlm.nih.gov/nuccore/X83964","NCBI Nucleotide")</f>
        <v>NCBI Nucleotide</v>
      </c>
    </row>
    <row r="8725" spans="1:27" x14ac:dyDescent="0.35">
      <c r="A8725">
        <v>1009181</v>
      </c>
      <c r="B8725">
        <v>8054</v>
      </c>
      <c r="C8725">
        <v>1</v>
      </c>
      <c r="D8725" s="17" t="s">
        <v>17166</v>
      </c>
      <c r="E8725" s="17"/>
      <c r="F8725" s="17" t="s">
        <v>17246</v>
      </c>
      <c r="G8725" s="17"/>
      <c r="H8725" s="17" t="s">
        <v>17984</v>
      </c>
      <c r="I8725" s="17"/>
      <c r="J8725" s="17" t="s">
        <v>20542</v>
      </c>
      <c r="K8725" s="17"/>
      <c r="L8725" s="17" t="s">
        <v>20543</v>
      </c>
      <c r="M8725" s="17"/>
      <c r="N8725" s="17" t="s">
        <v>20550</v>
      </c>
      <c r="O8725" s="17" t="s">
        <v>20590</v>
      </c>
      <c r="P8725" s="17" t="s">
        <v>20675</v>
      </c>
      <c r="Q8725" s="17"/>
      <c r="R8725" s="25" t="str">
        <f>HYPERLINK("https://ictv.global/taxonomy/taxondetails?taxnode_id=202305218","Betacarmovirus brassicae")</f>
        <v>Betacarmovirus brassicae</v>
      </c>
      <c r="S8725" s="18" t="s">
        <v>30</v>
      </c>
      <c r="T8725" s="18" t="s">
        <v>20676</v>
      </c>
      <c r="U8725" s="18" t="s">
        <v>20677</v>
      </c>
      <c r="V8725" s="18" t="s">
        <v>20057</v>
      </c>
      <c r="W8725" s="18" t="s">
        <v>20678</v>
      </c>
      <c r="X8725" s="18" t="s">
        <v>42</v>
      </c>
      <c r="Y8725" s="18" t="s">
        <v>17171</v>
      </c>
      <c r="Z8725" s="18" t="s">
        <v>13441</v>
      </c>
      <c r="AA8725" s="21" t="str">
        <f>HYPERLINK("https://www.ncbi.nlm.nih.gov/nuccore/M22445","NCBI Nucleotide")</f>
        <v>NCBI Nucleotide</v>
      </c>
    </row>
    <row r="8726" spans="1:27" x14ac:dyDescent="0.35">
      <c r="A8726">
        <v>1009182</v>
      </c>
      <c r="B8726">
        <v>8055</v>
      </c>
      <c r="C8726">
        <v>1</v>
      </c>
      <c r="D8726" s="17" t="s">
        <v>17166</v>
      </c>
      <c r="E8726" s="17"/>
      <c r="F8726" s="17" t="s">
        <v>17246</v>
      </c>
      <c r="G8726" s="17"/>
      <c r="H8726" s="17" t="s">
        <v>17984</v>
      </c>
      <c r="I8726" s="17"/>
      <c r="J8726" s="17" t="s">
        <v>20542</v>
      </c>
      <c r="K8726" s="17"/>
      <c r="L8726" s="17" t="s">
        <v>20543</v>
      </c>
      <c r="M8726" s="17"/>
      <c r="N8726" s="17" t="s">
        <v>20550</v>
      </c>
      <c r="O8726" s="17" t="s">
        <v>20590</v>
      </c>
      <c r="P8726" s="17" t="s">
        <v>20675</v>
      </c>
      <c r="Q8726" s="17"/>
      <c r="R8726" s="25" t="str">
        <f>HYPERLINK("https://ictv.global/taxonomy/taxondetails?taxnode_id=202305215","Betacarmovirus cardaminis")</f>
        <v>Betacarmovirus cardaminis</v>
      </c>
      <c r="S8726" s="18" t="s">
        <v>30</v>
      </c>
      <c r="T8726" s="18" t="s">
        <v>20679</v>
      </c>
      <c r="U8726" s="18" t="s">
        <v>20680</v>
      </c>
      <c r="V8726" s="18" t="s">
        <v>20681</v>
      </c>
      <c r="W8726" s="18" t="s">
        <v>20682</v>
      </c>
      <c r="X8726" s="18" t="s">
        <v>42</v>
      </c>
      <c r="Y8726" s="18" t="s">
        <v>17171</v>
      </c>
      <c r="Z8726" s="18" t="s">
        <v>13441</v>
      </c>
      <c r="AA8726" s="21" t="str">
        <f>HYPERLINK("https://www.ncbi.nlm.nih.gov/nuccore/L16015","NCBI Nucleotide")</f>
        <v>NCBI Nucleotide</v>
      </c>
    </row>
    <row r="8727" spans="1:27" x14ac:dyDescent="0.35">
      <c r="A8727">
        <v>1009183</v>
      </c>
      <c r="B8727">
        <v>8056</v>
      </c>
      <c r="C8727">
        <v>1</v>
      </c>
      <c r="D8727" s="17" t="s">
        <v>17166</v>
      </c>
      <c r="E8727" s="17"/>
      <c r="F8727" s="17" t="s">
        <v>17246</v>
      </c>
      <c r="G8727" s="17"/>
      <c r="H8727" s="17" t="s">
        <v>17984</v>
      </c>
      <c r="I8727" s="17"/>
      <c r="J8727" s="17" t="s">
        <v>20542</v>
      </c>
      <c r="K8727" s="17"/>
      <c r="L8727" s="17" t="s">
        <v>20543</v>
      </c>
      <c r="M8727" s="17"/>
      <c r="N8727" s="17" t="s">
        <v>20550</v>
      </c>
      <c r="O8727" s="17" t="s">
        <v>20590</v>
      </c>
      <c r="P8727" s="17" t="s">
        <v>20675</v>
      </c>
      <c r="Q8727" s="17"/>
      <c r="R8727" s="25" t="str">
        <f>HYPERLINK("https://ictv.global/taxonomy/taxondetails?taxnode_id=202305216","Betacarmovirus hibisci")</f>
        <v>Betacarmovirus hibisci</v>
      </c>
      <c r="S8727" s="18" t="s">
        <v>30</v>
      </c>
      <c r="T8727" s="18" t="s">
        <v>20683</v>
      </c>
      <c r="U8727" s="18" t="s">
        <v>20684</v>
      </c>
      <c r="V8727" s="18" t="s">
        <v>18915</v>
      </c>
      <c r="W8727" s="18" t="s">
        <v>20685</v>
      </c>
      <c r="X8727" s="18" t="s">
        <v>42</v>
      </c>
      <c r="Y8727" s="18" t="s">
        <v>17171</v>
      </c>
      <c r="Z8727" s="18" t="s">
        <v>13441</v>
      </c>
      <c r="AA8727" s="21" t="str">
        <f>HYPERLINK("https://www.ncbi.nlm.nih.gov/nuccore/X86448","NCBI Nucleotide")</f>
        <v>NCBI Nucleotide</v>
      </c>
    </row>
    <row r="8728" spans="1:27" x14ac:dyDescent="0.35">
      <c r="A8728">
        <v>1009184</v>
      </c>
      <c r="B8728">
        <v>8057</v>
      </c>
      <c r="C8728">
        <v>1</v>
      </c>
      <c r="D8728" s="17" t="s">
        <v>17166</v>
      </c>
      <c r="E8728" s="17"/>
      <c r="F8728" s="17" t="s">
        <v>17246</v>
      </c>
      <c r="G8728" s="17"/>
      <c r="H8728" s="17" t="s">
        <v>17984</v>
      </c>
      <c r="I8728" s="17"/>
      <c r="J8728" s="17" t="s">
        <v>20542</v>
      </c>
      <c r="K8728" s="17"/>
      <c r="L8728" s="17" t="s">
        <v>20543</v>
      </c>
      <c r="M8728" s="17"/>
      <c r="N8728" s="17" t="s">
        <v>20550</v>
      </c>
      <c r="O8728" s="17" t="s">
        <v>20590</v>
      </c>
      <c r="P8728" s="17" t="s">
        <v>20675</v>
      </c>
      <c r="Q8728" s="17"/>
      <c r="R8728" s="25" t="str">
        <f>HYPERLINK("https://ictv.global/taxonomy/taxondetails?taxnode_id=202305217","Betacarmovirus iridis")</f>
        <v>Betacarmovirus iridis</v>
      </c>
      <c r="S8728" s="18" t="s">
        <v>30</v>
      </c>
      <c r="T8728" s="18" t="s">
        <v>20686</v>
      </c>
      <c r="U8728" s="18" t="s">
        <v>20687</v>
      </c>
      <c r="V8728" s="18"/>
      <c r="W8728" s="18" t="s">
        <v>20688</v>
      </c>
      <c r="X8728" s="18" t="s">
        <v>42</v>
      </c>
      <c r="Y8728" s="18" t="s">
        <v>17171</v>
      </c>
      <c r="Z8728" s="18" t="s">
        <v>13441</v>
      </c>
      <c r="AA8728" s="21" t="str">
        <f>HYPERLINK("https://www.ncbi.nlm.nih.gov/nuccore/D86123","NCBI Nucleotide")</f>
        <v>NCBI Nucleotide</v>
      </c>
    </row>
    <row r="8729" spans="1:27" x14ac:dyDescent="0.35">
      <c r="A8729">
        <v>1009185</v>
      </c>
      <c r="B8729">
        <v>8058</v>
      </c>
      <c r="C8729">
        <v>1</v>
      </c>
      <c r="D8729" s="17" t="s">
        <v>17166</v>
      </c>
      <c r="E8729" s="17"/>
      <c r="F8729" s="17" t="s">
        <v>17246</v>
      </c>
      <c r="G8729" s="17"/>
      <c r="H8729" s="17" t="s">
        <v>17984</v>
      </c>
      <c r="I8729" s="17"/>
      <c r="J8729" s="17" t="s">
        <v>20542</v>
      </c>
      <c r="K8729" s="17"/>
      <c r="L8729" s="17" t="s">
        <v>20543</v>
      </c>
      <c r="M8729" s="17"/>
      <c r="N8729" s="17" t="s">
        <v>20550</v>
      </c>
      <c r="O8729" s="17" t="s">
        <v>20590</v>
      </c>
      <c r="P8729" s="17" t="s">
        <v>20689</v>
      </c>
      <c r="Q8729" s="17"/>
      <c r="R8729" s="25" t="str">
        <f>HYPERLINK("https://ictv.global/taxonomy/taxondetails?taxnode_id=202305220","Betanecrovirus betae")</f>
        <v>Betanecrovirus betae</v>
      </c>
      <c r="S8729" s="18" t="s">
        <v>30</v>
      </c>
      <c r="T8729" s="18" t="s">
        <v>20690</v>
      </c>
      <c r="U8729" s="18" t="s">
        <v>14132</v>
      </c>
      <c r="V8729" s="18" t="s">
        <v>20691</v>
      </c>
      <c r="W8729" s="18" t="s">
        <v>20692</v>
      </c>
      <c r="X8729" s="18" t="s">
        <v>42</v>
      </c>
      <c r="Y8729" s="18" t="s">
        <v>17171</v>
      </c>
      <c r="Z8729" s="18" t="s">
        <v>13441</v>
      </c>
      <c r="AA8729" s="21" t="str">
        <f>HYPERLINK("https://www.ncbi.nlm.nih.gov/nuccore/AF452884","NCBI Nucleotide")</f>
        <v>NCBI Nucleotide</v>
      </c>
    </row>
    <row r="8730" spans="1:27" x14ac:dyDescent="0.35">
      <c r="A8730">
        <v>1009186</v>
      </c>
      <c r="B8730">
        <v>8059</v>
      </c>
      <c r="C8730">
        <v>1</v>
      </c>
      <c r="D8730" s="17" t="s">
        <v>17166</v>
      </c>
      <c r="E8730" s="17"/>
      <c r="F8730" s="17" t="s">
        <v>17246</v>
      </c>
      <c r="G8730" s="17"/>
      <c r="H8730" s="17" t="s">
        <v>17984</v>
      </c>
      <c r="I8730" s="17"/>
      <c r="J8730" s="17" t="s">
        <v>20542</v>
      </c>
      <c r="K8730" s="17"/>
      <c r="L8730" s="17" t="s">
        <v>20543</v>
      </c>
      <c r="M8730" s="17"/>
      <c r="N8730" s="17" t="s">
        <v>20550</v>
      </c>
      <c r="O8730" s="17" t="s">
        <v>20590</v>
      </c>
      <c r="P8730" s="17" t="s">
        <v>20689</v>
      </c>
      <c r="Q8730" s="17"/>
      <c r="R8730" s="25" t="str">
        <f>HYPERLINK("https://ictv.global/taxonomy/taxondetails?taxnode_id=202305222","Betanecrovirus nicotianae")</f>
        <v>Betanecrovirus nicotianae</v>
      </c>
      <c r="S8730" s="18" t="s">
        <v>30</v>
      </c>
      <c r="T8730" s="18" t="s">
        <v>20693</v>
      </c>
      <c r="U8730" s="18" t="s">
        <v>20694</v>
      </c>
      <c r="V8730" s="18" t="s">
        <v>20695</v>
      </c>
      <c r="W8730" s="18" t="s">
        <v>20696</v>
      </c>
      <c r="X8730" s="18" t="s">
        <v>42</v>
      </c>
      <c r="Y8730" s="18" t="s">
        <v>17171</v>
      </c>
      <c r="Z8730" s="18" t="s">
        <v>13441</v>
      </c>
      <c r="AA8730" s="21" t="str">
        <f>HYPERLINK("https://www.ncbi.nlm.nih.gov/nuccore/U62546","NCBI Nucleotide")</f>
        <v>NCBI Nucleotide</v>
      </c>
    </row>
    <row r="8731" spans="1:27" x14ac:dyDescent="0.35">
      <c r="A8731">
        <v>1009187</v>
      </c>
      <c r="B8731">
        <v>8060</v>
      </c>
      <c r="C8731">
        <v>1</v>
      </c>
      <c r="D8731" s="17" t="s">
        <v>17166</v>
      </c>
      <c r="E8731" s="17"/>
      <c r="F8731" s="17" t="s">
        <v>17246</v>
      </c>
      <c r="G8731" s="17"/>
      <c r="H8731" s="17" t="s">
        <v>17984</v>
      </c>
      <c r="I8731" s="17"/>
      <c r="J8731" s="17" t="s">
        <v>20542</v>
      </c>
      <c r="K8731" s="17"/>
      <c r="L8731" s="17" t="s">
        <v>20543</v>
      </c>
      <c r="M8731" s="17"/>
      <c r="N8731" s="17" t="s">
        <v>20550</v>
      </c>
      <c r="O8731" s="17" t="s">
        <v>20590</v>
      </c>
      <c r="P8731" s="17" t="s">
        <v>20689</v>
      </c>
      <c r="Q8731" s="17"/>
      <c r="R8731" s="25" t="str">
        <f>HYPERLINK("https://ictv.global/taxonomy/taxondetails?taxnode_id=202305221","Betanecrovirus porri")</f>
        <v>Betanecrovirus porri</v>
      </c>
      <c r="S8731" s="18" t="s">
        <v>30</v>
      </c>
      <c r="T8731" s="18" t="s">
        <v>20697</v>
      </c>
      <c r="U8731" s="18" t="s">
        <v>20698</v>
      </c>
      <c r="V8731" s="18"/>
      <c r="W8731" s="18" t="s">
        <v>20699</v>
      </c>
      <c r="X8731" s="18" t="s">
        <v>42</v>
      </c>
      <c r="Y8731" s="18" t="s">
        <v>17171</v>
      </c>
      <c r="Z8731" s="18" t="s">
        <v>13441</v>
      </c>
      <c r="AA8731" s="21" t="str">
        <f>HYPERLINK("https://www.ncbi.nlm.nih.gov/nuccore/X94560","NCBI Nucleotide")</f>
        <v>NCBI Nucleotide</v>
      </c>
    </row>
    <row r="8732" spans="1:27" x14ac:dyDescent="0.35">
      <c r="A8732">
        <v>1009188</v>
      </c>
      <c r="B8732">
        <v>8061</v>
      </c>
      <c r="C8732">
        <v>1</v>
      </c>
      <c r="D8732" s="17" t="s">
        <v>17166</v>
      </c>
      <c r="E8732" s="17"/>
      <c r="F8732" s="17" t="s">
        <v>17246</v>
      </c>
      <c r="G8732" s="17"/>
      <c r="H8732" s="17" t="s">
        <v>17984</v>
      </c>
      <c r="I8732" s="17"/>
      <c r="J8732" s="17" t="s">
        <v>20542</v>
      </c>
      <c r="K8732" s="17"/>
      <c r="L8732" s="17" t="s">
        <v>20543</v>
      </c>
      <c r="M8732" s="17"/>
      <c r="N8732" s="17" t="s">
        <v>20550</v>
      </c>
      <c r="O8732" s="17" t="s">
        <v>20590</v>
      </c>
      <c r="P8732" s="17" t="s">
        <v>20700</v>
      </c>
      <c r="Q8732" s="17"/>
      <c r="R8732" s="25" t="str">
        <f>HYPERLINK("https://ictv.global/taxonomy/taxondetails?taxnode_id=202305228","Gallantivirus galinsogae")</f>
        <v>Gallantivirus galinsogae</v>
      </c>
      <c r="S8732" s="18" t="s">
        <v>30</v>
      </c>
      <c r="T8732" s="18" t="s">
        <v>20701</v>
      </c>
      <c r="U8732" s="18" t="s">
        <v>20702</v>
      </c>
      <c r="V8732" s="18"/>
      <c r="W8732" s="18" t="s">
        <v>20703</v>
      </c>
      <c r="X8732" s="18" t="s">
        <v>42</v>
      </c>
      <c r="Y8732" s="18" t="s">
        <v>17171</v>
      </c>
      <c r="Z8732" s="18" t="s">
        <v>13441</v>
      </c>
      <c r="AA8732" s="21" t="str">
        <f>HYPERLINK("https://www.ncbi.nlm.nih.gov/nuccore/Y13463","NCBI Nucleotide")</f>
        <v>NCBI Nucleotide</v>
      </c>
    </row>
    <row r="8733" spans="1:27" x14ac:dyDescent="0.35">
      <c r="A8733">
        <v>1009189</v>
      </c>
      <c r="B8733">
        <v>8062</v>
      </c>
      <c r="C8733">
        <v>1</v>
      </c>
      <c r="D8733" s="17" t="s">
        <v>17166</v>
      </c>
      <c r="E8733" s="17"/>
      <c r="F8733" s="17" t="s">
        <v>17246</v>
      </c>
      <c r="G8733" s="17"/>
      <c r="H8733" s="17" t="s">
        <v>17984</v>
      </c>
      <c r="I8733" s="17"/>
      <c r="J8733" s="17" t="s">
        <v>20542</v>
      </c>
      <c r="K8733" s="17"/>
      <c r="L8733" s="17" t="s">
        <v>20543</v>
      </c>
      <c r="M8733" s="17"/>
      <c r="N8733" s="17" t="s">
        <v>20550</v>
      </c>
      <c r="O8733" s="17" t="s">
        <v>20590</v>
      </c>
      <c r="P8733" s="17" t="s">
        <v>20704</v>
      </c>
      <c r="Q8733" s="17"/>
      <c r="R8733" s="25" t="str">
        <f>HYPERLINK("https://ictv.global/taxonomy/taxondetails?taxnode_id=202305233","Gammacarmovirus glycinis")</f>
        <v>Gammacarmovirus glycinis</v>
      </c>
      <c r="S8733" s="18" t="s">
        <v>30</v>
      </c>
      <c r="T8733" s="18" t="s">
        <v>20705</v>
      </c>
      <c r="U8733" s="18" t="s">
        <v>20706</v>
      </c>
      <c r="V8733" s="18" t="s">
        <v>20707</v>
      </c>
      <c r="W8733" s="18" t="s">
        <v>20708</v>
      </c>
      <c r="X8733" s="18" t="s">
        <v>42</v>
      </c>
      <c r="Y8733" s="18" t="s">
        <v>17171</v>
      </c>
      <c r="Z8733" s="18" t="s">
        <v>13441</v>
      </c>
      <c r="AA8733" s="21" t="str">
        <f>HYPERLINK("https://www.ncbi.nlm.nih.gov/nuccore/FJ457015","NCBI Nucleotide")</f>
        <v>NCBI Nucleotide</v>
      </c>
    </row>
    <row r="8734" spans="1:27" x14ac:dyDescent="0.35">
      <c r="A8734">
        <v>1009190</v>
      </c>
      <c r="B8734">
        <v>8063</v>
      </c>
      <c r="C8734">
        <v>1</v>
      </c>
      <c r="D8734" s="17" t="s">
        <v>17166</v>
      </c>
      <c r="E8734" s="17"/>
      <c r="F8734" s="17" t="s">
        <v>17246</v>
      </c>
      <c r="G8734" s="17"/>
      <c r="H8734" s="17" t="s">
        <v>17984</v>
      </c>
      <c r="I8734" s="17"/>
      <c r="J8734" s="17" t="s">
        <v>20542</v>
      </c>
      <c r="K8734" s="17"/>
      <c r="L8734" s="17" t="s">
        <v>20543</v>
      </c>
      <c r="M8734" s="17"/>
      <c r="N8734" s="17" t="s">
        <v>20550</v>
      </c>
      <c r="O8734" s="17" t="s">
        <v>20590</v>
      </c>
      <c r="P8734" s="17" t="s">
        <v>20704</v>
      </c>
      <c r="Q8734" s="17"/>
      <c r="R8734" s="25" t="str">
        <f>HYPERLINK("https://ictv.global/taxonomy/taxondetails?taxnode_id=202305231","Gammacarmovirus melonis")</f>
        <v>Gammacarmovirus melonis</v>
      </c>
      <c r="S8734" s="18" t="s">
        <v>30</v>
      </c>
      <c r="T8734" s="18" t="s">
        <v>20709</v>
      </c>
      <c r="U8734" s="18" t="s">
        <v>20710</v>
      </c>
      <c r="V8734" s="18" t="s">
        <v>20711</v>
      </c>
      <c r="W8734" s="18" t="s">
        <v>20712</v>
      </c>
      <c r="X8734" s="18" t="s">
        <v>42</v>
      </c>
      <c r="Y8734" s="18" t="s">
        <v>17171</v>
      </c>
      <c r="Z8734" s="18" t="s">
        <v>13441</v>
      </c>
      <c r="AA8734" s="21" t="str">
        <f>HYPERLINK("https://www.ncbi.nlm.nih.gov/nuccore/M29671","NCBI Nucleotide")</f>
        <v>NCBI Nucleotide</v>
      </c>
    </row>
    <row r="8735" spans="1:27" x14ac:dyDescent="0.35">
      <c r="A8735">
        <v>1009191</v>
      </c>
      <c r="B8735">
        <v>8064</v>
      </c>
      <c r="C8735">
        <v>1</v>
      </c>
      <c r="D8735" s="17" t="s">
        <v>17166</v>
      </c>
      <c r="E8735" s="17"/>
      <c r="F8735" s="17" t="s">
        <v>17246</v>
      </c>
      <c r="G8735" s="17"/>
      <c r="H8735" s="17" t="s">
        <v>17984</v>
      </c>
      <c r="I8735" s="17"/>
      <c r="J8735" s="17" t="s">
        <v>20542</v>
      </c>
      <c r="K8735" s="17"/>
      <c r="L8735" s="17" t="s">
        <v>20543</v>
      </c>
      <c r="M8735" s="17"/>
      <c r="N8735" s="17" t="s">
        <v>20550</v>
      </c>
      <c r="O8735" s="17" t="s">
        <v>20590</v>
      </c>
      <c r="P8735" s="17" t="s">
        <v>20704</v>
      </c>
      <c r="Q8735" s="17"/>
      <c r="R8735" s="25" t="str">
        <f>HYPERLINK("https://ictv.global/taxonomy/taxondetails?taxnode_id=202305232","Gammacarmovirus pisi")</f>
        <v>Gammacarmovirus pisi</v>
      </c>
      <c r="S8735" s="18" t="s">
        <v>30</v>
      </c>
      <c r="T8735" s="18" t="s">
        <v>20713</v>
      </c>
      <c r="U8735" s="18" t="s">
        <v>20714</v>
      </c>
      <c r="V8735" s="18" t="s">
        <v>20715</v>
      </c>
      <c r="W8735" s="18" t="s">
        <v>20716</v>
      </c>
      <c r="X8735" s="18" t="s">
        <v>42</v>
      </c>
      <c r="Y8735" s="18" t="s">
        <v>17171</v>
      </c>
      <c r="Z8735" s="18" t="s">
        <v>13441</v>
      </c>
      <c r="AA8735" s="21" t="str">
        <f>HYPERLINK("https://www.ncbi.nlm.nih.gov/nuccore/AB086951","NCBI Nucleotide")</f>
        <v>NCBI Nucleotide</v>
      </c>
    </row>
    <row r="8736" spans="1:27" x14ac:dyDescent="0.35">
      <c r="A8736">
        <v>1009192</v>
      </c>
      <c r="B8736">
        <v>8065</v>
      </c>
      <c r="C8736">
        <v>1</v>
      </c>
      <c r="D8736" s="17" t="s">
        <v>17166</v>
      </c>
      <c r="E8736" s="17"/>
      <c r="F8736" s="17" t="s">
        <v>17246</v>
      </c>
      <c r="G8736" s="17"/>
      <c r="H8736" s="17" t="s">
        <v>17984</v>
      </c>
      <c r="I8736" s="17"/>
      <c r="J8736" s="17" t="s">
        <v>20542</v>
      </c>
      <c r="K8736" s="17"/>
      <c r="L8736" s="17" t="s">
        <v>20543</v>
      </c>
      <c r="M8736" s="17"/>
      <c r="N8736" s="17" t="s">
        <v>20550</v>
      </c>
      <c r="O8736" s="17" t="s">
        <v>20590</v>
      </c>
      <c r="P8736" s="17" t="s">
        <v>20704</v>
      </c>
      <c r="Q8736" s="17"/>
      <c r="R8736" s="25" t="str">
        <f>HYPERLINK("https://ictv.global/taxonomy/taxondetails?taxnode_id=202305230","Gammacarmovirus vignae")</f>
        <v>Gammacarmovirus vignae</v>
      </c>
      <c r="S8736" s="18" t="s">
        <v>30</v>
      </c>
      <c r="T8736" s="18" t="s">
        <v>20717</v>
      </c>
      <c r="U8736" s="18" t="s">
        <v>20718</v>
      </c>
      <c r="V8736" s="18" t="s">
        <v>20719</v>
      </c>
      <c r="W8736" s="18" t="s">
        <v>20720</v>
      </c>
      <c r="X8736" s="18" t="s">
        <v>42</v>
      </c>
      <c r="Y8736" s="18" t="s">
        <v>17171</v>
      </c>
      <c r="Z8736" s="18" t="s">
        <v>13441</v>
      </c>
      <c r="AA8736" s="21" t="str">
        <f>HYPERLINK("https://www.ncbi.nlm.nih.gov/nuccore/U20976","NCBI Nucleotide")</f>
        <v>NCBI Nucleotide</v>
      </c>
    </row>
    <row r="8737" spans="1:27" x14ac:dyDescent="0.35">
      <c r="A8737">
        <v>1009193</v>
      </c>
      <c r="B8737">
        <v>8066</v>
      </c>
      <c r="C8737">
        <v>1</v>
      </c>
      <c r="D8737" s="17" t="s">
        <v>17166</v>
      </c>
      <c r="E8737" s="17"/>
      <c r="F8737" s="17" t="s">
        <v>17246</v>
      </c>
      <c r="G8737" s="17"/>
      <c r="H8737" s="17" t="s">
        <v>17984</v>
      </c>
      <c r="I8737" s="17"/>
      <c r="J8737" s="17" t="s">
        <v>20542</v>
      </c>
      <c r="K8737" s="17"/>
      <c r="L8737" s="17" t="s">
        <v>20543</v>
      </c>
      <c r="M8737" s="17"/>
      <c r="N8737" s="17" t="s">
        <v>20550</v>
      </c>
      <c r="O8737" s="17" t="s">
        <v>20590</v>
      </c>
      <c r="P8737" s="17" t="s">
        <v>20721</v>
      </c>
      <c r="Q8737" s="17"/>
      <c r="R8737" s="25" t="str">
        <f>HYPERLINK("https://ictv.global/taxonomy/taxondetails?taxnode_id=202305235","Macanavirus furcraeae")</f>
        <v>Macanavirus furcraeae</v>
      </c>
      <c r="S8737" s="18" t="s">
        <v>30</v>
      </c>
      <c r="T8737" s="18" t="s">
        <v>20722</v>
      </c>
      <c r="U8737" s="18" t="s">
        <v>20723</v>
      </c>
      <c r="V8737" s="18" t="s">
        <v>20724</v>
      </c>
      <c r="W8737" s="18" t="s">
        <v>20725</v>
      </c>
      <c r="X8737" s="18" t="s">
        <v>42</v>
      </c>
      <c r="Y8737" s="18" t="s">
        <v>17171</v>
      </c>
      <c r="Z8737" s="18" t="s">
        <v>13441</v>
      </c>
      <c r="AA8737" s="21" t="str">
        <f>HYPERLINK("https://www.ncbi.nlm.nih.gov/nuccore/FJ768020","NCBI Nucleotide")</f>
        <v>NCBI Nucleotide</v>
      </c>
    </row>
    <row r="8738" spans="1:27" x14ac:dyDescent="0.35">
      <c r="A8738">
        <v>1009194</v>
      </c>
      <c r="B8738">
        <v>8067</v>
      </c>
      <c r="C8738">
        <v>1</v>
      </c>
      <c r="D8738" s="17" t="s">
        <v>17166</v>
      </c>
      <c r="E8738" s="17"/>
      <c r="F8738" s="17" t="s">
        <v>17246</v>
      </c>
      <c r="G8738" s="17"/>
      <c r="H8738" s="17" t="s">
        <v>17984</v>
      </c>
      <c r="I8738" s="17"/>
      <c r="J8738" s="17" t="s">
        <v>20542</v>
      </c>
      <c r="K8738" s="17"/>
      <c r="L8738" s="17" t="s">
        <v>20543</v>
      </c>
      <c r="M8738" s="17"/>
      <c r="N8738" s="17" t="s">
        <v>20550</v>
      </c>
      <c r="O8738" s="17" t="s">
        <v>20590</v>
      </c>
      <c r="P8738" s="17" t="s">
        <v>20726</v>
      </c>
      <c r="Q8738" s="17"/>
      <c r="R8738" s="25" t="str">
        <f>HYPERLINK("https://ictv.global/taxonomy/taxondetails?taxnode_id=202305237","Machlomovirus zeae")</f>
        <v>Machlomovirus zeae</v>
      </c>
      <c r="S8738" s="18" t="s">
        <v>30</v>
      </c>
      <c r="T8738" s="18" t="s">
        <v>20727</v>
      </c>
      <c r="U8738" s="18" t="s">
        <v>20728</v>
      </c>
      <c r="V8738" s="18" t="s">
        <v>20729</v>
      </c>
      <c r="W8738" s="18" t="s">
        <v>20730</v>
      </c>
      <c r="X8738" s="18" t="s">
        <v>42</v>
      </c>
      <c r="Y8738" s="18" t="s">
        <v>17171</v>
      </c>
      <c r="Z8738" s="18" t="s">
        <v>13441</v>
      </c>
      <c r="AA8738" s="21" t="str">
        <f>HYPERLINK("https://www.ncbi.nlm.nih.gov/nuccore/X14736","NCBI Nucleotide")</f>
        <v>NCBI Nucleotide</v>
      </c>
    </row>
    <row r="8739" spans="1:27" x14ac:dyDescent="0.35">
      <c r="A8739">
        <v>1009195</v>
      </c>
      <c r="B8739">
        <v>8068</v>
      </c>
      <c r="C8739">
        <v>1</v>
      </c>
      <c r="D8739" s="17" t="s">
        <v>17166</v>
      </c>
      <c r="E8739" s="17"/>
      <c r="F8739" s="17" t="s">
        <v>17246</v>
      </c>
      <c r="G8739" s="17"/>
      <c r="H8739" s="17" t="s">
        <v>17984</v>
      </c>
      <c r="I8739" s="17"/>
      <c r="J8739" s="17" t="s">
        <v>20542</v>
      </c>
      <c r="K8739" s="17"/>
      <c r="L8739" s="17" t="s">
        <v>20543</v>
      </c>
      <c r="M8739" s="17"/>
      <c r="N8739" s="17" t="s">
        <v>20550</v>
      </c>
      <c r="O8739" s="17" t="s">
        <v>20590</v>
      </c>
      <c r="P8739" s="17" t="s">
        <v>20731</v>
      </c>
      <c r="Q8739" s="17"/>
      <c r="R8739" s="25" t="str">
        <f>HYPERLINK("https://ictv.global/taxonomy/taxondetails?taxnode_id=202305239","Panicovirus dactylis")</f>
        <v>Panicovirus dactylis</v>
      </c>
      <c r="S8739" s="18" t="s">
        <v>30</v>
      </c>
      <c r="T8739" s="18" t="s">
        <v>20732</v>
      </c>
      <c r="U8739" s="18" t="s">
        <v>20733</v>
      </c>
      <c r="V8739" s="18" t="s">
        <v>20734</v>
      </c>
      <c r="W8739" s="18" t="s">
        <v>20735</v>
      </c>
      <c r="X8739" s="18" t="s">
        <v>42</v>
      </c>
      <c r="Y8739" s="18" t="s">
        <v>17171</v>
      </c>
      <c r="Z8739" s="18" t="s">
        <v>13441</v>
      </c>
      <c r="AA8739" s="21" t="str">
        <f>HYPERLINK("https://www.ncbi.nlm.nih.gov/nuccore/EU081018","NCBI Nucleotide")</f>
        <v>NCBI Nucleotide</v>
      </c>
    </row>
    <row r="8740" spans="1:27" x14ac:dyDescent="0.35">
      <c r="A8740">
        <v>1009196</v>
      </c>
      <c r="B8740">
        <v>8069</v>
      </c>
      <c r="C8740">
        <v>1</v>
      </c>
      <c r="D8740" s="17" t="s">
        <v>17166</v>
      </c>
      <c r="E8740" s="17"/>
      <c r="F8740" s="17" t="s">
        <v>17246</v>
      </c>
      <c r="G8740" s="17"/>
      <c r="H8740" s="17" t="s">
        <v>17984</v>
      </c>
      <c r="I8740" s="17"/>
      <c r="J8740" s="17" t="s">
        <v>20542</v>
      </c>
      <c r="K8740" s="17"/>
      <c r="L8740" s="17" t="s">
        <v>20543</v>
      </c>
      <c r="M8740" s="17"/>
      <c r="N8740" s="17" t="s">
        <v>20550</v>
      </c>
      <c r="O8740" s="17" t="s">
        <v>20590</v>
      </c>
      <c r="P8740" s="17" t="s">
        <v>20731</v>
      </c>
      <c r="Q8740" s="17"/>
      <c r="R8740" s="25" t="str">
        <f>HYPERLINK("https://ictv.global/taxonomy/taxondetails?taxnode_id=202305240","Panicovirus panici")</f>
        <v>Panicovirus panici</v>
      </c>
      <c r="S8740" s="18" t="s">
        <v>30</v>
      </c>
      <c r="T8740" s="18" t="s">
        <v>20736</v>
      </c>
      <c r="U8740" s="18" t="s">
        <v>18211</v>
      </c>
      <c r="V8740" s="18" t="s">
        <v>20737</v>
      </c>
      <c r="W8740" s="18" t="s">
        <v>20738</v>
      </c>
      <c r="X8740" s="18" t="s">
        <v>42</v>
      </c>
      <c r="Y8740" s="18" t="s">
        <v>17171</v>
      </c>
      <c r="Z8740" s="18" t="s">
        <v>13441</v>
      </c>
      <c r="AA8740" s="21" t="str">
        <f>HYPERLINK("https://www.ncbi.nlm.nih.gov/nuccore/U55002","NCBI Nucleotide")</f>
        <v>NCBI Nucleotide</v>
      </c>
    </row>
    <row r="8741" spans="1:27" x14ac:dyDescent="0.35">
      <c r="A8741">
        <v>1009197</v>
      </c>
      <c r="B8741">
        <v>8070</v>
      </c>
      <c r="C8741">
        <v>1</v>
      </c>
      <c r="D8741" s="17" t="s">
        <v>17166</v>
      </c>
      <c r="E8741" s="17"/>
      <c r="F8741" s="17" t="s">
        <v>17246</v>
      </c>
      <c r="G8741" s="17"/>
      <c r="H8741" s="17" t="s">
        <v>17984</v>
      </c>
      <c r="I8741" s="17"/>
      <c r="J8741" s="17" t="s">
        <v>20542</v>
      </c>
      <c r="K8741" s="17"/>
      <c r="L8741" s="17" t="s">
        <v>20543</v>
      </c>
      <c r="M8741" s="17"/>
      <c r="N8741" s="17" t="s">
        <v>20550</v>
      </c>
      <c r="O8741" s="17" t="s">
        <v>20590</v>
      </c>
      <c r="P8741" s="17" t="s">
        <v>20731</v>
      </c>
      <c r="Q8741" s="17"/>
      <c r="R8741" s="25" t="str">
        <f>HYPERLINK("https://ictv.global/taxonomy/taxondetails?taxnode_id=202305241","Panicovirus paspali")</f>
        <v>Panicovirus paspali</v>
      </c>
      <c r="S8741" s="18" t="s">
        <v>30</v>
      </c>
      <c r="T8741" s="18" t="s">
        <v>20739</v>
      </c>
      <c r="U8741" s="18" t="s">
        <v>20740</v>
      </c>
      <c r="V8741" s="18" t="s">
        <v>20741</v>
      </c>
      <c r="W8741" s="18" t="s">
        <v>20742</v>
      </c>
      <c r="X8741" s="18" t="s">
        <v>42</v>
      </c>
      <c r="Y8741" s="18" t="s">
        <v>17171</v>
      </c>
      <c r="Z8741" s="18" t="s">
        <v>13441</v>
      </c>
      <c r="AA8741" s="21" t="str">
        <f>HYPERLINK("https://www.ncbi.nlm.nih.gov/nuccore/JX848617","NCBI Nucleotide")</f>
        <v>NCBI Nucleotide</v>
      </c>
    </row>
    <row r="8742" spans="1:27" x14ac:dyDescent="0.35">
      <c r="A8742">
        <v>1009198</v>
      </c>
      <c r="B8742">
        <v>8071</v>
      </c>
      <c r="C8742">
        <v>1</v>
      </c>
      <c r="D8742" s="17" t="s">
        <v>17166</v>
      </c>
      <c r="E8742" s="17"/>
      <c r="F8742" s="17" t="s">
        <v>17246</v>
      </c>
      <c r="G8742" s="17"/>
      <c r="H8742" s="17" t="s">
        <v>17984</v>
      </c>
      <c r="I8742" s="17"/>
      <c r="J8742" s="17" t="s">
        <v>20542</v>
      </c>
      <c r="K8742" s="17"/>
      <c r="L8742" s="17" t="s">
        <v>20543</v>
      </c>
      <c r="M8742" s="17"/>
      <c r="N8742" s="17" t="s">
        <v>20550</v>
      </c>
      <c r="O8742" s="17" t="s">
        <v>20590</v>
      </c>
      <c r="P8742" s="17" t="s">
        <v>20743</v>
      </c>
      <c r="Q8742" s="17"/>
      <c r="R8742" s="25" t="str">
        <f>HYPERLINK("https://ictv.global/taxonomy/taxondetails?taxnode_id=202305246","Pelarspovirus anulopelargonii")</f>
        <v>Pelarspovirus anulopelargonii</v>
      </c>
      <c r="S8742" s="18" t="s">
        <v>30</v>
      </c>
      <c r="T8742" s="18" t="s">
        <v>20744</v>
      </c>
      <c r="U8742" s="18" t="s">
        <v>20745</v>
      </c>
      <c r="V8742" s="18" t="s">
        <v>20746</v>
      </c>
      <c r="W8742" s="18" t="s">
        <v>20747</v>
      </c>
      <c r="X8742" s="18" t="s">
        <v>42</v>
      </c>
      <c r="Y8742" s="18" t="s">
        <v>17171</v>
      </c>
      <c r="Z8742" s="18" t="s">
        <v>13441</v>
      </c>
      <c r="AA8742" s="21" t="str">
        <f>HYPERLINK("https://www.ncbi.nlm.nih.gov/nuccore/AY038068","NCBI Nucleotide")</f>
        <v>NCBI Nucleotide</v>
      </c>
    </row>
    <row r="8743" spans="1:27" x14ac:dyDescent="0.35">
      <c r="A8743">
        <v>1009199</v>
      </c>
      <c r="B8743">
        <v>8072</v>
      </c>
      <c r="C8743">
        <v>1</v>
      </c>
      <c r="D8743" s="17" t="s">
        <v>17166</v>
      </c>
      <c r="E8743" s="17"/>
      <c r="F8743" s="17" t="s">
        <v>17246</v>
      </c>
      <c r="G8743" s="17"/>
      <c r="H8743" s="17" t="s">
        <v>17984</v>
      </c>
      <c r="I8743" s="17"/>
      <c r="J8743" s="17" t="s">
        <v>20542</v>
      </c>
      <c r="K8743" s="17"/>
      <c r="L8743" s="17" t="s">
        <v>20543</v>
      </c>
      <c r="M8743" s="17"/>
      <c r="N8743" s="17" t="s">
        <v>20550</v>
      </c>
      <c r="O8743" s="17" t="s">
        <v>20590</v>
      </c>
      <c r="P8743" s="17" t="s">
        <v>20743</v>
      </c>
      <c r="Q8743" s="17"/>
      <c r="R8743" s="25" t="str">
        <f>HYPERLINK("https://ictv.global/taxonomy/taxondetails?taxnode_id=202305244","Pelarspovirus chloropelargonii")</f>
        <v>Pelarspovirus chloropelargonii</v>
      </c>
      <c r="S8743" s="18" t="s">
        <v>30</v>
      </c>
      <c r="T8743" s="18" t="s">
        <v>20748</v>
      </c>
      <c r="U8743" s="18" t="s">
        <v>20749</v>
      </c>
      <c r="V8743" s="18" t="s">
        <v>20750</v>
      </c>
      <c r="W8743" s="18" t="s">
        <v>20751</v>
      </c>
      <c r="X8743" s="18" t="s">
        <v>42</v>
      </c>
      <c r="Y8743" s="18" t="s">
        <v>17171</v>
      </c>
      <c r="Z8743" s="18" t="s">
        <v>13441</v>
      </c>
      <c r="AA8743" s="21" t="str">
        <f>HYPERLINK("https://www.ncbi.nlm.nih.gov/nuccore/AY038069","NCBI Nucleotide")</f>
        <v>NCBI Nucleotide</v>
      </c>
    </row>
    <row r="8744" spans="1:27" x14ac:dyDescent="0.35">
      <c r="A8744">
        <v>1009200</v>
      </c>
      <c r="B8744">
        <v>8073</v>
      </c>
      <c r="C8744">
        <v>1</v>
      </c>
      <c r="D8744" s="17" t="s">
        <v>17166</v>
      </c>
      <c r="E8744" s="17"/>
      <c r="F8744" s="17" t="s">
        <v>17246</v>
      </c>
      <c r="G8744" s="17"/>
      <c r="H8744" s="17" t="s">
        <v>17984</v>
      </c>
      <c r="I8744" s="17"/>
      <c r="J8744" s="17" t="s">
        <v>20542</v>
      </c>
      <c r="K8744" s="17"/>
      <c r="L8744" s="17" t="s">
        <v>20543</v>
      </c>
      <c r="M8744" s="17"/>
      <c r="N8744" s="17" t="s">
        <v>20550</v>
      </c>
      <c r="O8744" s="17" t="s">
        <v>20590</v>
      </c>
      <c r="P8744" s="17" t="s">
        <v>20743</v>
      </c>
      <c r="Q8744" s="17"/>
      <c r="R8744" s="25" t="str">
        <f>HYPERLINK("https://ictv.global/taxonomy/taxondetails?taxnode_id=202306290","Pelarspovirus clematis")</f>
        <v>Pelarspovirus clematis</v>
      </c>
      <c r="S8744" s="18" t="s">
        <v>30</v>
      </c>
      <c r="T8744" s="18" t="s">
        <v>20752</v>
      </c>
      <c r="U8744" s="18" t="s">
        <v>20753</v>
      </c>
      <c r="V8744" s="18" t="s">
        <v>20754</v>
      </c>
      <c r="W8744" s="18" t="s">
        <v>20755</v>
      </c>
      <c r="X8744" s="18" t="s">
        <v>42</v>
      </c>
      <c r="Y8744" s="18" t="s">
        <v>17171</v>
      </c>
      <c r="Z8744" s="18" t="s">
        <v>13441</v>
      </c>
      <c r="AA8744" s="21" t="str">
        <f>HYPERLINK("https://www.ncbi.nlm.nih.gov/nuccore/KX712140","NCBI Nucleotide")</f>
        <v>NCBI Nucleotide</v>
      </c>
    </row>
    <row r="8745" spans="1:27" x14ac:dyDescent="0.35">
      <c r="A8745">
        <v>1009201</v>
      </c>
      <c r="B8745">
        <v>8074</v>
      </c>
      <c r="C8745">
        <v>1</v>
      </c>
      <c r="D8745" s="17" t="s">
        <v>17166</v>
      </c>
      <c r="E8745" s="17"/>
      <c r="F8745" s="17" t="s">
        <v>17246</v>
      </c>
      <c r="G8745" s="17"/>
      <c r="H8745" s="17" t="s">
        <v>17984</v>
      </c>
      <c r="I8745" s="17"/>
      <c r="J8745" s="17" t="s">
        <v>20542</v>
      </c>
      <c r="K8745" s="17"/>
      <c r="L8745" s="17" t="s">
        <v>20543</v>
      </c>
      <c r="M8745" s="17"/>
      <c r="N8745" s="17" t="s">
        <v>20550</v>
      </c>
      <c r="O8745" s="17" t="s">
        <v>20590</v>
      </c>
      <c r="P8745" s="17" t="s">
        <v>20743</v>
      </c>
      <c r="Q8745" s="17"/>
      <c r="R8745" s="25" t="str">
        <f>HYPERLINK("https://ictv.global/taxonomy/taxondetails?taxnode_id=202309875","Pelarspovirus jasmini")</f>
        <v>Pelarspovirus jasmini</v>
      </c>
      <c r="S8745" s="18" t="s">
        <v>30</v>
      </c>
      <c r="T8745" s="18" t="s">
        <v>20756</v>
      </c>
      <c r="U8745" s="18" t="s">
        <v>20757</v>
      </c>
      <c r="V8745" s="18" t="s">
        <v>20758</v>
      </c>
      <c r="W8745" s="18" t="s">
        <v>20759</v>
      </c>
      <c r="X8745" s="18" t="s">
        <v>42</v>
      </c>
      <c r="Y8745" s="18" t="s">
        <v>17171</v>
      </c>
      <c r="Z8745" s="18" t="s">
        <v>13441</v>
      </c>
      <c r="AA8745" s="21" t="str">
        <f>HYPERLINK("https://www.ncbi.nlm.nih.gov/nuccore/KX897157","NCBI Nucleotide")</f>
        <v>NCBI Nucleotide</v>
      </c>
    </row>
    <row r="8746" spans="1:27" x14ac:dyDescent="0.35">
      <c r="A8746">
        <v>1009202</v>
      </c>
      <c r="B8746">
        <v>8075</v>
      </c>
      <c r="C8746">
        <v>1</v>
      </c>
      <c r="D8746" s="17" t="s">
        <v>17166</v>
      </c>
      <c r="E8746" s="17"/>
      <c r="F8746" s="17" t="s">
        <v>17246</v>
      </c>
      <c r="G8746" s="17"/>
      <c r="H8746" s="17" t="s">
        <v>17984</v>
      </c>
      <c r="I8746" s="17"/>
      <c r="J8746" s="17" t="s">
        <v>20542</v>
      </c>
      <c r="K8746" s="17"/>
      <c r="L8746" s="17" t="s">
        <v>20543</v>
      </c>
      <c r="M8746" s="17"/>
      <c r="N8746" s="17" t="s">
        <v>20550</v>
      </c>
      <c r="O8746" s="17" t="s">
        <v>20590</v>
      </c>
      <c r="P8746" s="17" t="s">
        <v>20743</v>
      </c>
      <c r="Q8746" s="17"/>
      <c r="R8746" s="25" t="str">
        <f>HYPERLINK("https://ictv.global/taxonomy/taxondetails?taxnode_id=202305245","Pelarspovirus lineapelargonii")</f>
        <v>Pelarspovirus lineapelargonii</v>
      </c>
      <c r="S8746" s="18" t="s">
        <v>30</v>
      </c>
      <c r="T8746" s="18" t="s">
        <v>20760</v>
      </c>
      <c r="U8746" s="18" t="s">
        <v>20761</v>
      </c>
      <c r="V8746" s="18" t="s">
        <v>20762</v>
      </c>
      <c r="W8746" s="18" t="s">
        <v>20763</v>
      </c>
      <c r="X8746" s="18" t="s">
        <v>42</v>
      </c>
      <c r="Y8746" s="18" t="s">
        <v>17171</v>
      </c>
      <c r="Z8746" s="18" t="s">
        <v>13441</v>
      </c>
      <c r="AA8746" s="21" t="str">
        <f>HYPERLINK("https://www.ncbi.nlm.nih.gov/nuccore/AY613852","NCBI Nucleotide")</f>
        <v>NCBI Nucleotide</v>
      </c>
    </row>
    <row r="8747" spans="1:27" x14ac:dyDescent="0.35">
      <c r="A8747">
        <v>1009203</v>
      </c>
      <c r="B8747">
        <v>8076</v>
      </c>
      <c r="C8747">
        <v>1</v>
      </c>
      <c r="D8747" s="17" t="s">
        <v>17166</v>
      </c>
      <c r="E8747" s="17"/>
      <c r="F8747" s="17" t="s">
        <v>17246</v>
      </c>
      <c r="G8747" s="17"/>
      <c r="H8747" s="17" t="s">
        <v>17984</v>
      </c>
      <c r="I8747" s="17"/>
      <c r="J8747" s="17" t="s">
        <v>20542</v>
      </c>
      <c r="K8747" s="17"/>
      <c r="L8747" s="17" t="s">
        <v>20543</v>
      </c>
      <c r="M8747" s="17"/>
      <c r="N8747" s="17" t="s">
        <v>20550</v>
      </c>
      <c r="O8747" s="17" t="s">
        <v>20590</v>
      </c>
      <c r="P8747" s="17" t="s">
        <v>20743</v>
      </c>
      <c r="Q8747" s="17"/>
      <c r="R8747" s="25" t="str">
        <f>HYPERLINK("https://ictv.global/taxonomy/taxondetails?taxnode_id=202305247","Pelarspovirus rosae")</f>
        <v>Pelarspovirus rosae</v>
      </c>
      <c r="S8747" s="18" t="s">
        <v>30</v>
      </c>
      <c r="T8747" s="18" t="s">
        <v>20764</v>
      </c>
      <c r="U8747" s="18" t="s">
        <v>20765</v>
      </c>
      <c r="V8747" s="18" t="s">
        <v>20766</v>
      </c>
      <c r="W8747" s="18" t="s">
        <v>20767</v>
      </c>
      <c r="X8747" s="18" t="s">
        <v>42</v>
      </c>
      <c r="Y8747" s="18" t="s">
        <v>17171</v>
      </c>
      <c r="Z8747" s="18" t="s">
        <v>13441</v>
      </c>
      <c r="AA8747" s="21" t="str">
        <f>HYPERLINK("https://www.ncbi.nlm.nih.gov/nuccore/KC166238","NCBI Nucleotide")</f>
        <v>NCBI Nucleotide</v>
      </c>
    </row>
    <row r="8748" spans="1:27" x14ac:dyDescent="0.35">
      <c r="A8748">
        <v>1009204</v>
      </c>
      <c r="B8748">
        <v>8077</v>
      </c>
      <c r="C8748">
        <v>1</v>
      </c>
      <c r="D8748" s="17" t="s">
        <v>17166</v>
      </c>
      <c r="E8748" s="17"/>
      <c r="F8748" s="17" t="s">
        <v>17246</v>
      </c>
      <c r="G8748" s="17"/>
      <c r="H8748" s="17" t="s">
        <v>17984</v>
      </c>
      <c r="I8748" s="17"/>
      <c r="J8748" s="17" t="s">
        <v>20542</v>
      </c>
      <c r="K8748" s="17"/>
      <c r="L8748" s="17" t="s">
        <v>20543</v>
      </c>
      <c r="M8748" s="17"/>
      <c r="N8748" s="17" t="s">
        <v>20550</v>
      </c>
      <c r="O8748" s="17" t="s">
        <v>20590</v>
      </c>
      <c r="P8748" s="17" t="s">
        <v>20743</v>
      </c>
      <c r="Q8748" s="17"/>
      <c r="R8748" s="25" t="str">
        <f>HYPERLINK("https://ictv.global/taxonomy/taxondetails?taxnode_id=202305243","Pelarspovirus sambuci")</f>
        <v>Pelarspovirus sambuci</v>
      </c>
      <c r="S8748" s="18" t="s">
        <v>30</v>
      </c>
      <c r="T8748" s="18" t="s">
        <v>20768</v>
      </c>
      <c r="U8748" s="18" t="s">
        <v>20769</v>
      </c>
      <c r="V8748" s="18" t="s">
        <v>20770</v>
      </c>
      <c r="W8748" s="18" t="s">
        <v>20771</v>
      </c>
      <c r="X8748" s="18" t="s">
        <v>42</v>
      </c>
      <c r="Y8748" s="18" t="s">
        <v>17171</v>
      </c>
      <c r="Z8748" s="18" t="s">
        <v>13441</v>
      </c>
      <c r="AA8748" s="21" t="str">
        <f>HYPERLINK("https://www.ncbi.nlm.nih.gov/nuccore/AY038066","NCBI Nucleotide")</f>
        <v>NCBI Nucleotide</v>
      </c>
    </row>
    <row r="8749" spans="1:27" x14ac:dyDescent="0.35">
      <c r="A8749">
        <v>1009205</v>
      </c>
      <c r="B8749">
        <v>8078</v>
      </c>
      <c r="C8749">
        <v>1</v>
      </c>
      <c r="D8749" s="17" t="s">
        <v>17166</v>
      </c>
      <c r="E8749" s="17"/>
      <c r="F8749" s="17" t="s">
        <v>17246</v>
      </c>
      <c r="G8749" s="17"/>
      <c r="H8749" s="17" t="s">
        <v>17984</v>
      </c>
      <c r="I8749" s="17"/>
      <c r="J8749" s="17" t="s">
        <v>20542</v>
      </c>
      <c r="K8749" s="17"/>
      <c r="L8749" s="17" t="s">
        <v>20543</v>
      </c>
      <c r="M8749" s="17"/>
      <c r="N8749" s="17" t="s">
        <v>20550</v>
      </c>
      <c r="O8749" s="17" t="s">
        <v>20590</v>
      </c>
      <c r="P8749" s="17" t="s">
        <v>20743</v>
      </c>
      <c r="Q8749" s="17"/>
      <c r="R8749" s="25" t="str">
        <f>HYPERLINK("https://ictv.global/taxonomy/taxondetails?taxnode_id=202309876","Pelarspovirus tessellati")</f>
        <v>Pelarspovirus tessellati</v>
      </c>
      <c r="S8749" s="18" t="s">
        <v>30</v>
      </c>
      <c r="T8749" s="18" t="s">
        <v>20772</v>
      </c>
      <c r="U8749" s="18" t="s">
        <v>20773</v>
      </c>
      <c r="V8749" s="18" t="s">
        <v>20774</v>
      </c>
      <c r="W8749" s="18" t="s">
        <v>20775</v>
      </c>
      <c r="X8749" s="18" t="s">
        <v>42</v>
      </c>
      <c r="Y8749" s="18" t="s">
        <v>17171</v>
      </c>
      <c r="Z8749" s="18" t="s">
        <v>13441</v>
      </c>
      <c r="AA8749" s="21" t="str">
        <f>HYPERLINK("https://www.ncbi.nlm.nih.gov/nuccore/MG958506","NCBI Nucleotide")</f>
        <v>NCBI Nucleotide</v>
      </c>
    </row>
    <row r="8750" spans="1:27" x14ac:dyDescent="0.35">
      <c r="A8750">
        <v>1009206</v>
      </c>
      <c r="B8750">
        <v>8079</v>
      </c>
      <c r="C8750">
        <v>1</v>
      </c>
      <c r="D8750" s="17" t="s">
        <v>17166</v>
      </c>
      <c r="E8750" s="17"/>
      <c r="F8750" s="17" t="s">
        <v>17246</v>
      </c>
      <c r="G8750" s="17"/>
      <c r="H8750" s="17" t="s">
        <v>17984</v>
      </c>
      <c r="I8750" s="17"/>
      <c r="J8750" s="17" t="s">
        <v>20542</v>
      </c>
      <c r="K8750" s="17"/>
      <c r="L8750" s="17" t="s">
        <v>20543</v>
      </c>
      <c r="M8750" s="17"/>
      <c r="N8750" s="17" t="s">
        <v>20550</v>
      </c>
      <c r="O8750" s="17" t="s">
        <v>20590</v>
      </c>
      <c r="P8750" s="17" t="s">
        <v>20776</v>
      </c>
      <c r="Q8750" s="17"/>
      <c r="R8750" s="25" t="str">
        <f>HYPERLINK("https://ictv.global/taxonomy/taxondetails?taxnode_id=202305255","Tombusvirus algeriaense")</f>
        <v>Tombusvirus algeriaense</v>
      </c>
      <c r="S8750" s="18" t="s">
        <v>30</v>
      </c>
      <c r="T8750" s="18" t="s">
        <v>20777</v>
      </c>
      <c r="U8750" s="18" t="s">
        <v>20778</v>
      </c>
      <c r="V8750" s="18" t="s">
        <v>20779</v>
      </c>
      <c r="W8750" s="18" t="s">
        <v>20780</v>
      </c>
      <c r="X8750" s="18" t="s">
        <v>42</v>
      </c>
      <c r="Y8750" s="18" t="s">
        <v>17171</v>
      </c>
      <c r="Z8750" s="18" t="s">
        <v>13441</v>
      </c>
      <c r="AA8750" s="21" t="str">
        <f>HYPERLINK("https://www.ncbi.nlm.nih.gov/nuccore/AY830918","NCBI Nucleotide")</f>
        <v>NCBI Nucleotide</v>
      </c>
    </row>
    <row r="8751" spans="1:27" x14ac:dyDescent="0.35">
      <c r="A8751">
        <v>1009207</v>
      </c>
      <c r="B8751">
        <v>8080</v>
      </c>
      <c r="C8751">
        <v>1</v>
      </c>
      <c r="D8751" s="17" t="s">
        <v>17166</v>
      </c>
      <c r="E8751" s="17"/>
      <c r="F8751" s="17" t="s">
        <v>17246</v>
      </c>
      <c r="G8751" s="17"/>
      <c r="H8751" s="17" t="s">
        <v>17984</v>
      </c>
      <c r="I8751" s="17"/>
      <c r="J8751" s="17" t="s">
        <v>20542</v>
      </c>
      <c r="K8751" s="17"/>
      <c r="L8751" s="17" t="s">
        <v>20543</v>
      </c>
      <c r="M8751" s="17"/>
      <c r="N8751" s="17" t="s">
        <v>20550</v>
      </c>
      <c r="O8751" s="17" t="s">
        <v>20590</v>
      </c>
      <c r="P8751" s="17" t="s">
        <v>20776</v>
      </c>
      <c r="Q8751" s="17"/>
      <c r="R8751" s="25" t="str">
        <f>HYPERLINK("https://ictv.global/taxonomy/taxondetails?taxnode_id=202305251","Tombusvirus bulgariaense")</f>
        <v>Tombusvirus bulgariaense</v>
      </c>
      <c r="S8751" s="18" t="s">
        <v>30</v>
      </c>
      <c r="T8751" s="18" t="s">
        <v>20781</v>
      </c>
      <c r="U8751" s="18" t="s">
        <v>20782</v>
      </c>
      <c r="V8751" s="18" t="s">
        <v>20783</v>
      </c>
      <c r="W8751" s="18" t="s">
        <v>20784</v>
      </c>
      <c r="X8751" s="18" t="s">
        <v>42</v>
      </c>
      <c r="Y8751" s="18" t="s">
        <v>17171</v>
      </c>
      <c r="Z8751" s="18" t="s">
        <v>13441</v>
      </c>
      <c r="AA8751" s="21" t="str">
        <f>HYPERLINK("https://www.ncbi.nlm.nih.gov/nuccore/AY163842","NCBI Nucleotide")</f>
        <v>NCBI Nucleotide</v>
      </c>
    </row>
    <row r="8752" spans="1:27" x14ac:dyDescent="0.35">
      <c r="A8752">
        <v>1009208</v>
      </c>
      <c r="B8752">
        <v>8081</v>
      </c>
      <c r="C8752">
        <v>1</v>
      </c>
      <c r="D8752" s="17" t="s">
        <v>17166</v>
      </c>
      <c r="E8752" s="17"/>
      <c r="F8752" s="17" t="s">
        <v>17246</v>
      </c>
      <c r="G8752" s="17"/>
      <c r="H8752" s="17" t="s">
        <v>17984</v>
      </c>
      <c r="I8752" s="17"/>
      <c r="J8752" s="17" t="s">
        <v>20542</v>
      </c>
      <c r="K8752" s="17"/>
      <c r="L8752" s="17" t="s">
        <v>20543</v>
      </c>
      <c r="M8752" s="17"/>
      <c r="N8752" s="17" t="s">
        <v>20550</v>
      </c>
      <c r="O8752" s="17" t="s">
        <v>20590</v>
      </c>
      <c r="P8752" s="17" t="s">
        <v>20776</v>
      </c>
      <c r="Q8752" s="17"/>
      <c r="R8752" s="25" t="str">
        <f>HYPERLINK("https://ictv.global/taxonomy/taxondetails?taxnode_id=202305252","Tombusvirus cucumis")</f>
        <v>Tombusvirus cucumis</v>
      </c>
      <c r="S8752" s="18" t="s">
        <v>30</v>
      </c>
      <c r="T8752" s="18" t="s">
        <v>20785</v>
      </c>
      <c r="U8752" s="18" t="s">
        <v>20786</v>
      </c>
      <c r="V8752" s="18"/>
      <c r="W8752" s="18" t="s">
        <v>20787</v>
      </c>
      <c r="X8752" s="18" t="s">
        <v>42</v>
      </c>
      <c r="Y8752" s="18" t="s">
        <v>17171</v>
      </c>
      <c r="Z8752" s="18" t="s">
        <v>13441</v>
      </c>
      <c r="AA8752" s="21" t="str">
        <f>HYPERLINK("https://www.ncbi.nlm.nih.gov/nuccore/M25270","NCBI Nucleotide")</f>
        <v>NCBI Nucleotide</v>
      </c>
    </row>
    <row r="8753" spans="1:27" x14ac:dyDescent="0.35">
      <c r="A8753">
        <v>1009209</v>
      </c>
      <c r="B8753">
        <v>8082</v>
      </c>
      <c r="C8753">
        <v>1</v>
      </c>
      <c r="D8753" s="17" t="s">
        <v>17166</v>
      </c>
      <c r="E8753" s="17"/>
      <c r="F8753" s="17" t="s">
        <v>17246</v>
      </c>
      <c r="G8753" s="17"/>
      <c r="H8753" s="17" t="s">
        <v>17984</v>
      </c>
      <c r="I8753" s="17"/>
      <c r="J8753" s="17" t="s">
        <v>20542</v>
      </c>
      <c r="K8753" s="17"/>
      <c r="L8753" s="17" t="s">
        <v>20543</v>
      </c>
      <c r="M8753" s="17"/>
      <c r="N8753" s="17" t="s">
        <v>20550</v>
      </c>
      <c r="O8753" s="17" t="s">
        <v>20590</v>
      </c>
      <c r="P8753" s="17" t="s">
        <v>20776</v>
      </c>
      <c r="Q8753" s="17"/>
      <c r="R8753" s="25" t="str">
        <f>HYPERLINK("https://ictv.global/taxonomy/taxondetails?taxnode_id=202305253","Tombusvirus cymbidii")</f>
        <v>Tombusvirus cymbidii</v>
      </c>
      <c r="S8753" s="18" t="s">
        <v>30</v>
      </c>
      <c r="T8753" s="18" t="s">
        <v>20788</v>
      </c>
      <c r="U8753" s="18" t="s">
        <v>20789</v>
      </c>
      <c r="V8753" s="18"/>
      <c r="W8753" s="18" t="s">
        <v>20790</v>
      </c>
      <c r="X8753" s="18" t="s">
        <v>42</v>
      </c>
      <c r="Y8753" s="18" t="s">
        <v>17171</v>
      </c>
      <c r="Z8753" s="18" t="s">
        <v>13441</v>
      </c>
      <c r="AA8753" s="21" t="str">
        <f>HYPERLINK("https://www.ncbi.nlm.nih.gov/nuccore/X15511","NCBI Nucleotide")</f>
        <v>NCBI Nucleotide</v>
      </c>
    </row>
    <row r="8754" spans="1:27" x14ac:dyDescent="0.35">
      <c r="A8754">
        <v>1009210</v>
      </c>
      <c r="B8754">
        <v>8083</v>
      </c>
      <c r="C8754">
        <v>1</v>
      </c>
      <c r="D8754" s="17" t="s">
        <v>17166</v>
      </c>
      <c r="E8754" s="17"/>
      <c r="F8754" s="17" t="s">
        <v>17246</v>
      </c>
      <c r="G8754" s="17"/>
      <c r="H8754" s="17" t="s">
        <v>17984</v>
      </c>
      <c r="I8754" s="17"/>
      <c r="J8754" s="17" t="s">
        <v>20542</v>
      </c>
      <c r="K8754" s="17"/>
      <c r="L8754" s="17" t="s">
        <v>20543</v>
      </c>
      <c r="M8754" s="17"/>
      <c r="N8754" s="17" t="s">
        <v>20550</v>
      </c>
      <c r="O8754" s="17" t="s">
        <v>20590</v>
      </c>
      <c r="P8754" s="17" t="s">
        <v>20776</v>
      </c>
      <c r="Q8754" s="17"/>
      <c r="R8754" s="25" t="str">
        <f>HYPERLINK("https://ictv.global/taxonomy/taxondetails?taxnode_id=202305249","Tombusvirus cynarae")</f>
        <v>Tombusvirus cynarae</v>
      </c>
      <c r="S8754" s="18" t="s">
        <v>30</v>
      </c>
      <c r="T8754" s="18" t="s">
        <v>20791</v>
      </c>
      <c r="U8754" s="18" t="s">
        <v>20792</v>
      </c>
      <c r="V8754" s="18" t="s">
        <v>20793</v>
      </c>
      <c r="W8754" s="18" t="s">
        <v>20794</v>
      </c>
      <c r="X8754" s="18" t="s">
        <v>42</v>
      </c>
      <c r="Y8754" s="18" t="s">
        <v>17171</v>
      </c>
      <c r="Z8754" s="18" t="s">
        <v>13441</v>
      </c>
      <c r="AA8754" s="21" t="str">
        <f>HYPERLINK("https://www.ncbi.nlm.nih.gov/nuccore/X62493","NCBI Nucleotide")</f>
        <v>NCBI Nucleotide</v>
      </c>
    </row>
    <row r="8755" spans="1:27" x14ac:dyDescent="0.35">
      <c r="A8755">
        <v>1009211</v>
      </c>
      <c r="B8755">
        <v>8084</v>
      </c>
      <c r="C8755">
        <v>1</v>
      </c>
      <c r="D8755" s="17" t="s">
        <v>17166</v>
      </c>
      <c r="E8755" s="17"/>
      <c r="F8755" s="17" t="s">
        <v>17246</v>
      </c>
      <c r="G8755" s="17"/>
      <c r="H8755" s="17" t="s">
        <v>17984</v>
      </c>
      <c r="I8755" s="17"/>
      <c r="J8755" s="17" t="s">
        <v>20542</v>
      </c>
      <c r="K8755" s="17"/>
      <c r="L8755" s="17" t="s">
        <v>20543</v>
      </c>
      <c r="M8755" s="17"/>
      <c r="N8755" s="17" t="s">
        <v>20550</v>
      </c>
      <c r="O8755" s="17" t="s">
        <v>20590</v>
      </c>
      <c r="P8755" s="17" t="s">
        <v>20776</v>
      </c>
      <c r="Q8755" s="17"/>
      <c r="R8755" s="25" t="str">
        <f>HYPERLINK("https://ictv.global/taxonomy/taxondetails?taxnode_id=202305250","Tombusvirus dianthi")</f>
        <v>Tombusvirus dianthi</v>
      </c>
      <c r="S8755" s="18" t="s">
        <v>30</v>
      </c>
      <c r="T8755" s="18" t="s">
        <v>20795</v>
      </c>
      <c r="U8755" s="18" t="s">
        <v>20796</v>
      </c>
      <c r="V8755" s="18"/>
      <c r="W8755" s="18" t="s">
        <v>20797</v>
      </c>
      <c r="X8755" s="18" t="s">
        <v>42</v>
      </c>
      <c r="Y8755" s="18" t="s">
        <v>17171</v>
      </c>
      <c r="Z8755" s="18" t="s">
        <v>13441</v>
      </c>
      <c r="AA8755" s="21" t="str">
        <f>HYPERLINK("https://www.ncbi.nlm.nih.gov/nuccore/X85215","NCBI Nucleotide")</f>
        <v>NCBI Nucleotide</v>
      </c>
    </row>
    <row r="8756" spans="1:27" x14ac:dyDescent="0.35">
      <c r="A8756">
        <v>1009212</v>
      </c>
      <c r="B8756">
        <v>8085</v>
      </c>
      <c r="C8756">
        <v>1</v>
      </c>
      <c r="D8756" s="17" t="s">
        <v>17166</v>
      </c>
      <c r="E8756" s="17"/>
      <c r="F8756" s="17" t="s">
        <v>17246</v>
      </c>
      <c r="G8756" s="17"/>
      <c r="H8756" s="17" t="s">
        <v>17984</v>
      </c>
      <c r="I8756" s="17"/>
      <c r="J8756" s="17" t="s">
        <v>20542</v>
      </c>
      <c r="K8756" s="17"/>
      <c r="L8756" s="17" t="s">
        <v>20543</v>
      </c>
      <c r="M8756" s="17"/>
      <c r="N8756" s="17" t="s">
        <v>20550</v>
      </c>
      <c r="O8756" s="17" t="s">
        <v>20590</v>
      </c>
      <c r="P8756" s="17" t="s">
        <v>20776</v>
      </c>
      <c r="Q8756" s="17"/>
      <c r="R8756" s="25" t="str">
        <f>HYPERLINK("https://ictv.global/taxonomy/taxondetails?taxnode_id=202305256","Tombusvirus havelfluminis")</f>
        <v>Tombusvirus havelfluminis</v>
      </c>
      <c r="S8756" s="18" t="s">
        <v>30</v>
      </c>
      <c r="T8756" s="18" t="s">
        <v>20798</v>
      </c>
      <c r="U8756" s="18" t="s">
        <v>20799</v>
      </c>
      <c r="V8756" s="18" t="s">
        <v>18017</v>
      </c>
      <c r="W8756" s="18" t="s">
        <v>20800</v>
      </c>
      <c r="X8756" s="18" t="s">
        <v>154</v>
      </c>
      <c r="Y8756" s="18" t="s">
        <v>17171</v>
      </c>
      <c r="Z8756" s="18" t="s">
        <v>13441</v>
      </c>
      <c r="AA8756" s="21" t="str">
        <f>HYPERLINK("https://www.ncbi.nlm.nih.gov/nuccore/AY370535","NCBI Nucleotide")</f>
        <v>NCBI Nucleotide</v>
      </c>
    </row>
    <row r="8757" spans="1:27" x14ac:dyDescent="0.35">
      <c r="A8757">
        <v>1009213</v>
      </c>
      <c r="B8757">
        <v>8086</v>
      </c>
      <c r="C8757">
        <v>1</v>
      </c>
      <c r="D8757" s="17" t="s">
        <v>17166</v>
      </c>
      <c r="E8757" s="17"/>
      <c r="F8757" s="17" t="s">
        <v>17246</v>
      </c>
      <c r="G8757" s="17"/>
      <c r="H8757" s="17" t="s">
        <v>17984</v>
      </c>
      <c r="I8757" s="17"/>
      <c r="J8757" s="17" t="s">
        <v>20542</v>
      </c>
      <c r="K8757" s="17"/>
      <c r="L8757" s="17" t="s">
        <v>20543</v>
      </c>
      <c r="M8757" s="17"/>
      <c r="N8757" s="17" t="s">
        <v>20550</v>
      </c>
      <c r="O8757" s="17" t="s">
        <v>20590</v>
      </c>
      <c r="P8757" s="17" t="s">
        <v>20776</v>
      </c>
      <c r="Q8757" s="17"/>
      <c r="R8757" s="25" t="str">
        <f>HYPERLINK("https://ictv.global/taxonomy/taxondetails?taxnode_id=202305257","Tombusvirus latofluminis")</f>
        <v>Tombusvirus latofluminis</v>
      </c>
      <c r="S8757" s="18" t="s">
        <v>30</v>
      </c>
      <c r="T8757" s="18" t="s">
        <v>20801</v>
      </c>
      <c r="U8757" s="18" t="s">
        <v>20802</v>
      </c>
      <c r="V8757" s="18" t="s">
        <v>20803</v>
      </c>
      <c r="W8757" s="18"/>
      <c r="X8757" s="18" t="s">
        <v>3311</v>
      </c>
      <c r="Y8757" s="18" t="s">
        <v>17171</v>
      </c>
      <c r="Z8757" s="18" t="s">
        <v>13441</v>
      </c>
      <c r="AA8757" s="21"/>
    </row>
    <row r="8758" spans="1:27" x14ac:dyDescent="0.35">
      <c r="A8758">
        <v>1009214</v>
      </c>
      <c r="B8758">
        <v>8087</v>
      </c>
      <c r="C8758">
        <v>1</v>
      </c>
      <c r="D8758" s="17" t="s">
        <v>17166</v>
      </c>
      <c r="E8758" s="17"/>
      <c r="F8758" s="17" t="s">
        <v>17246</v>
      </c>
      <c r="G8758" s="17"/>
      <c r="H8758" s="17" t="s">
        <v>17984</v>
      </c>
      <c r="I8758" s="17"/>
      <c r="J8758" s="17" t="s">
        <v>20542</v>
      </c>
      <c r="K8758" s="17"/>
      <c r="L8758" s="17" t="s">
        <v>20543</v>
      </c>
      <c r="M8758" s="17"/>
      <c r="N8758" s="17" t="s">
        <v>20550</v>
      </c>
      <c r="O8758" s="17" t="s">
        <v>20590</v>
      </c>
      <c r="P8758" s="17" t="s">
        <v>20776</v>
      </c>
      <c r="Q8758" s="17"/>
      <c r="R8758" s="25" t="str">
        <f>HYPERLINK("https://ictv.global/taxonomy/taxondetails?taxnode_id=202305258","Tombusvirus limonii")</f>
        <v>Tombusvirus limonii</v>
      </c>
      <c r="S8758" s="18" t="s">
        <v>30</v>
      </c>
      <c r="T8758" s="18" t="s">
        <v>20804</v>
      </c>
      <c r="U8758" s="18" t="s">
        <v>20805</v>
      </c>
      <c r="V8758" s="18" t="s">
        <v>20806</v>
      </c>
      <c r="W8758" s="18" t="s">
        <v>20807</v>
      </c>
      <c r="X8758" s="18" t="s">
        <v>154</v>
      </c>
      <c r="Y8758" s="18" t="s">
        <v>17171</v>
      </c>
      <c r="Z8758" s="18" t="s">
        <v>13441</v>
      </c>
      <c r="AA8758" s="21" t="str">
        <f>HYPERLINK("https://www.ncbi.nlm.nih.gov/nuccore/AY500882","NCBI Nucleotide")</f>
        <v>NCBI Nucleotide</v>
      </c>
    </row>
    <row r="8759" spans="1:27" x14ac:dyDescent="0.35">
      <c r="A8759">
        <v>1009215</v>
      </c>
      <c r="B8759">
        <v>8088</v>
      </c>
      <c r="C8759">
        <v>1</v>
      </c>
      <c r="D8759" s="17" t="s">
        <v>17166</v>
      </c>
      <c r="E8759" s="17"/>
      <c r="F8759" s="17" t="s">
        <v>17246</v>
      </c>
      <c r="G8759" s="17"/>
      <c r="H8759" s="17" t="s">
        <v>17984</v>
      </c>
      <c r="I8759" s="17"/>
      <c r="J8759" s="17" t="s">
        <v>20542</v>
      </c>
      <c r="K8759" s="17"/>
      <c r="L8759" s="17" t="s">
        <v>20543</v>
      </c>
      <c r="M8759" s="17"/>
      <c r="N8759" s="17" t="s">
        <v>20550</v>
      </c>
      <c r="O8759" s="17" t="s">
        <v>20590</v>
      </c>
      <c r="P8759" s="17" t="s">
        <v>20776</v>
      </c>
      <c r="Q8759" s="17"/>
      <c r="R8759" s="25" t="str">
        <f>HYPERLINK("https://ictv.global/taxonomy/taxondetails?taxnode_id=202305265","Tombusvirus lycopersici")</f>
        <v>Tombusvirus lycopersici</v>
      </c>
      <c r="S8759" s="18" t="s">
        <v>30</v>
      </c>
      <c r="T8759" s="18" t="s">
        <v>20808</v>
      </c>
      <c r="U8759" s="18" t="s">
        <v>20809</v>
      </c>
      <c r="V8759" s="18" t="s">
        <v>20810</v>
      </c>
      <c r="W8759" s="18" t="s">
        <v>20811</v>
      </c>
      <c r="X8759" s="18" t="s">
        <v>42</v>
      </c>
      <c r="Y8759" s="18" t="s">
        <v>17171</v>
      </c>
      <c r="Z8759" s="18" t="s">
        <v>13441</v>
      </c>
      <c r="AA8759" s="21" t="str">
        <f>HYPERLINK("https://www.ncbi.nlm.nih.gov/nuccore/M21958","NCBI Nucleotide")</f>
        <v>NCBI Nucleotide</v>
      </c>
    </row>
    <row r="8760" spans="1:27" x14ac:dyDescent="0.35">
      <c r="A8760">
        <v>1009216</v>
      </c>
      <c r="B8760">
        <v>8089</v>
      </c>
      <c r="C8760">
        <v>1</v>
      </c>
      <c r="D8760" s="17" t="s">
        <v>17166</v>
      </c>
      <c r="E8760" s="17"/>
      <c r="F8760" s="17" t="s">
        <v>17246</v>
      </c>
      <c r="G8760" s="17"/>
      <c r="H8760" s="17" t="s">
        <v>17984</v>
      </c>
      <c r="I8760" s="17"/>
      <c r="J8760" s="17" t="s">
        <v>20542</v>
      </c>
      <c r="K8760" s="17"/>
      <c r="L8760" s="17" t="s">
        <v>20543</v>
      </c>
      <c r="M8760" s="17"/>
      <c r="N8760" s="17" t="s">
        <v>20550</v>
      </c>
      <c r="O8760" s="17" t="s">
        <v>20590</v>
      </c>
      <c r="P8760" s="17" t="s">
        <v>20776</v>
      </c>
      <c r="Q8760" s="17"/>
      <c r="R8760" s="25" t="str">
        <f>HYPERLINK("https://ictv.global/taxonomy/taxondetails?taxnode_id=202305254","Tombusvirus melongenae")</f>
        <v>Tombusvirus melongenae</v>
      </c>
      <c r="S8760" s="18" t="s">
        <v>30</v>
      </c>
      <c r="T8760" s="18" t="s">
        <v>20812</v>
      </c>
      <c r="U8760" s="18" t="s">
        <v>20813</v>
      </c>
      <c r="V8760" s="18" t="s">
        <v>20814</v>
      </c>
      <c r="W8760" s="18" t="s">
        <v>20815</v>
      </c>
      <c r="X8760" s="18" t="s">
        <v>42</v>
      </c>
      <c r="Y8760" s="18" t="s">
        <v>17171</v>
      </c>
      <c r="Z8760" s="18" t="s">
        <v>13441</v>
      </c>
      <c r="AA8760" s="21" t="str">
        <f>HYPERLINK("https://www.ncbi.nlm.nih.gov/nuccore/JQ864181","NCBI Nucleotide")</f>
        <v>NCBI Nucleotide</v>
      </c>
    </row>
    <row r="8761" spans="1:27" x14ac:dyDescent="0.35">
      <c r="A8761">
        <v>1012839</v>
      </c>
      <c r="B8761">
        <v>8089</v>
      </c>
      <c r="C8761">
        <v>2</v>
      </c>
      <c r="D8761" s="17" t="s">
        <v>17166</v>
      </c>
      <c r="E8761" s="17"/>
      <c r="F8761" s="17" t="s">
        <v>17246</v>
      </c>
      <c r="G8761" s="17"/>
      <c r="H8761" s="17" t="s">
        <v>17984</v>
      </c>
      <c r="I8761" s="17"/>
      <c r="J8761" s="17" t="s">
        <v>20542</v>
      </c>
      <c r="K8761" s="17"/>
      <c r="L8761" s="17" t="s">
        <v>20543</v>
      </c>
      <c r="M8761" s="17"/>
      <c r="N8761" s="17" t="s">
        <v>20550</v>
      </c>
      <c r="O8761" s="17" t="s">
        <v>20590</v>
      </c>
      <c r="P8761" s="17" t="s">
        <v>20776</v>
      </c>
      <c r="Q8761" s="17"/>
      <c r="R8761" s="25" t="str">
        <f>HYPERLINK("https://ictv.global/taxonomy/taxondetails?taxnode_id=202305254","Tombusvirus melongenae")</f>
        <v>Tombusvirus melongenae</v>
      </c>
      <c r="S8761" s="18" t="s">
        <v>8141</v>
      </c>
      <c r="T8761" s="18" t="s">
        <v>20817</v>
      </c>
      <c r="U8761" s="18" t="s">
        <v>17743</v>
      </c>
      <c r="V8761" s="18" t="s">
        <v>20818</v>
      </c>
      <c r="W8761" s="18" t="s">
        <v>49394</v>
      </c>
      <c r="X8761" s="18" t="s">
        <v>42</v>
      </c>
      <c r="Y8761" s="18" t="s">
        <v>17171</v>
      </c>
      <c r="Z8761" s="18" t="s">
        <v>13441</v>
      </c>
      <c r="AA8761" s="21" t="str">
        <f>HYPERLINK("https://www.ncbi.nlm.nih.gov/nuccore/DQ011234","NCBI Nucleotide")</f>
        <v>NCBI Nucleotide</v>
      </c>
    </row>
    <row r="8762" spans="1:27" x14ac:dyDescent="0.35">
      <c r="A8762">
        <v>1012840</v>
      </c>
      <c r="B8762">
        <v>8089</v>
      </c>
      <c r="C8762">
        <v>3</v>
      </c>
      <c r="D8762" s="17" t="s">
        <v>17166</v>
      </c>
      <c r="E8762" s="17"/>
      <c r="F8762" s="17" t="s">
        <v>17246</v>
      </c>
      <c r="G8762" s="17"/>
      <c r="H8762" s="17" t="s">
        <v>17984</v>
      </c>
      <c r="I8762" s="17"/>
      <c r="J8762" s="17" t="s">
        <v>20542</v>
      </c>
      <c r="K8762" s="17"/>
      <c r="L8762" s="17" t="s">
        <v>20543</v>
      </c>
      <c r="M8762" s="17"/>
      <c r="N8762" s="17" t="s">
        <v>20550</v>
      </c>
      <c r="O8762" s="17" t="s">
        <v>20590</v>
      </c>
      <c r="P8762" s="17" t="s">
        <v>20776</v>
      </c>
      <c r="Q8762" s="17"/>
      <c r="R8762" s="25" t="str">
        <f>HYPERLINK("https://ictv.global/taxonomy/taxondetails?taxnode_id=202305254","Tombusvirus melongenae")</f>
        <v>Tombusvirus melongenae</v>
      </c>
      <c r="S8762" s="18" t="s">
        <v>8141</v>
      </c>
      <c r="T8762" s="18" t="s">
        <v>20817</v>
      </c>
      <c r="U8762" s="18" t="s">
        <v>17743</v>
      </c>
      <c r="V8762" s="18" t="s">
        <v>20819</v>
      </c>
      <c r="W8762" s="18" t="s">
        <v>49395</v>
      </c>
      <c r="X8762" s="18" t="s">
        <v>42</v>
      </c>
      <c r="Y8762" s="18" t="s">
        <v>17171</v>
      </c>
      <c r="Z8762" s="18" t="s">
        <v>13441</v>
      </c>
      <c r="AA8762" s="21" t="str">
        <f>HYPERLINK("https://www.ncbi.nlm.nih.gov/nuccore/AM711119","NCBI Nucleotide")</f>
        <v>NCBI Nucleotide</v>
      </c>
    </row>
    <row r="8763" spans="1:27" x14ac:dyDescent="0.35">
      <c r="A8763">
        <v>1012838</v>
      </c>
      <c r="B8763">
        <v>8089</v>
      </c>
      <c r="C8763">
        <v>4</v>
      </c>
      <c r="D8763" s="17" t="s">
        <v>17166</v>
      </c>
      <c r="E8763" s="17"/>
      <c r="F8763" s="17" t="s">
        <v>17246</v>
      </c>
      <c r="G8763" s="17"/>
      <c r="H8763" s="17" t="s">
        <v>17984</v>
      </c>
      <c r="I8763" s="17"/>
      <c r="J8763" s="17" t="s">
        <v>20542</v>
      </c>
      <c r="K8763" s="17"/>
      <c r="L8763" s="17" t="s">
        <v>20543</v>
      </c>
      <c r="M8763" s="17"/>
      <c r="N8763" s="17" t="s">
        <v>20550</v>
      </c>
      <c r="O8763" s="17" t="s">
        <v>20590</v>
      </c>
      <c r="P8763" s="17" t="s">
        <v>20776</v>
      </c>
      <c r="Q8763" s="17"/>
      <c r="R8763" s="25" t="str">
        <f>HYPERLINK("https://ictv.global/taxonomy/taxondetails?taxnode_id=202305254","Tombusvirus melongenae")</f>
        <v>Tombusvirus melongenae</v>
      </c>
      <c r="S8763" s="18" t="s">
        <v>8141</v>
      </c>
      <c r="T8763" s="18" t="s">
        <v>20816</v>
      </c>
      <c r="U8763" s="18" t="s">
        <v>19443</v>
      </c>
      <c r="V8763" s="18" t="s">
        <v>17349</v>
      </c>
      <c r="W8763" s="18" t="s">
        <v>49396</v>
      </c>
      <c r="X8763" s="18" t="s">
        <v>42</v>
      </c>
      <c r="Y8763" s="18" t="s">
        <v>17171</v>
      </c>
      <c r="Z8763" s="18" t="s">
        <v>13441</v>
      </c>
      <c r="AA8763" s="21" t="str">
        <f>HYPERLINK("https://www.ncbi.nlm.nih.gov/nuccore/AY100482","NCBI Nucleotide")</f>
        <v>NCBI Nucleotide</v>
      </c>
    </row>
    <row r="8764" spans="1:27" x14ac:dyDescent="0.35">
      <c r="A8764">
        <v>1009217</v>
      </c>
      <c r="B8764">
        <v>8090</v>
      </c>
      <c r="C8764">
        <v>1</v>
      </c>
      <c r="D8764" s="17" t="s">
        <v>17166</v>
      </c>
      <c r="E8764" s="17"/>
      <c r="F8764" s="17" t="s">
        <v>17246</v>
      </c>
      <c r="G8764" s="17"/>
      <c r="H8764" s="17" t="s">
        <v>17984</v>
      </c>
      <c r="I8764" s="17"/>
      <c r="J8764" s="17" t="s">
        <v>20542</v>
      </c>
      <c r="K8764" s="17"/>
      <c r="L8764" s="17" t="s">
        <v>20543</v>
      </c>
      <c r="M8764" s="17"/>
      <c r="N8764" s="17" t="s">
        <v>20550</v>
      </c>
      <c r="O8764" s="17" t="s">
        <v>20590</v>
      </c>
      <c r="P8764" s="17" t="s">
        <v>20776</v>
      </c>
      <c r="Q8764" s="17"/>
      <c r="R8764" s="25" t="str">
        <f>HYPERLINK("https://ictv.global/taxonomy/taxondetails?taxnode_id=202305259","Tombusvirus moroccoense")</f>
        <v>Tombusvirus moroccoense</v>
      </c>
      <c r="S8764" s="18" t="s">
        <v>30</v>
      </c>
      <c r="T8764" s="18" t="s">
        <v>20820</v>
      </c>
      <c r="U8764" s="18" t="s">
        <v>20821</v>
      </c>
      <c r="V8764" s="18" t="s">
        <v>20822</v>
      </c>
      <c r="W8764" s="18" t="s">
        <v>20823</v>
      </c>
      <c r="X8764" s="18" t="s">
        <v>42</v>
      </c>
      <c r="Y8764" s="18" t="s">
        <v>17171</v>
      </c>
      <c r="Z8764" s="18" t="s">
        <v>13441</v>
      </c>
      <c r="AA8764" s="21" t="str">
        <f>HYPERLINK("https://www.ncbi.nlm.nih.gov/nuccore/JX197071","NCBI Nucleotide")</f>
        <v>NCBI Nucleotide</v>
      </c>
    </row>
    <row r="8765" spans="1:27" x14ac:dyDescent="0.35">
      <c r="A8765">
        <v>1012841</v>
      </c>
      <c r="B8765">
        <v>8090</v>
      </c>
      <c r="C8765">
        <v>2</v>
      </c>
      <c r="D8765" s="17" t="s">
        <v>17166</v>
      </c>
      <c r="E8765" s="17"/>
      <c r="F8765" s="17" t="s">
        <v>17246</v>
      </c>
      <c r="G8765" s="17"/>
      <c r="H8765" s="17" t="s">
        <v>17984</v>
      </c>
      <c r="I8765" s="17"/>
      <c r="J8765" s="17" t="s">
        <v>20542</v>
      </c>
      <c r="K8765" s="17"/>
      <c r="L8765" s="17" t="s">
        <v>20543</v>
      </c>
      <c r="M8765" s="17"/>
      <c r="N8765" s="17" t="s">
        <v>20550</v>
      </c>
      <c r="O8765" s="17" t="s">
        <v>20590</v>
      </c>
      <c r="P8765" s="17" t="s">
        <v>20776</v>
      </c>
      <c r="Q8765" s="17"/>
      <c r="R8765" s="25" t="str">
        <f>HYPERLINK("https://ictv.global/taxonomy/taxondetails?taxnode_id=202305259","Tombusvirus moroccoense")</f>
        <v>Tombusvirus moroccoense</v>
      </c>
      <c r="S8765" s="18" t="s">
        <v>8141</v>
      </c>
      <c r="T8765" s="18" t="s">
        <v>20824</v>
      </c>
      <c r="U8765" s="18" t="s">
        <v>20825</v>
      </c>
      <c r="V8765" s="18" t="s">
        <v>20826</v>
      </c>
      <c r="W8765" s="18" t="s">
        <v>49397</v>
      </c>
      <c r="X8765" s="18" t="s">
        <v>42</v>
      </c>
      <c r="Y8765" s="18" t="s">
        <v>17171</v>
      </c>
      <c r="Z8765" s="18" t="s">
        <v>13441</v>
      </c>
      <c r="AA8765" s="21" t="str">
        <f>HYPERLINK("https://www.ncbi.nlm.nih.gov/nuccore/JN700748","NCBI Nucleotide")</f>
        <v>NCBI Nucleotide</v>
      </c>
    </row>
    <row r="8766" spans="1:27" x14ac:dyDescent="0.35">
      <c r="A8766">
        <v>1009218</v>
      </c>
      <c r="B8766">
        <v>8091</v>
      </c>
      <c r="C8766">
        <v>1</v>
      </c>
      <c r="D8766" s="17" t="s">
        <v>17166</v>
      </c>
      <c r="E8766" s="17"/>
      <c r="F8766" s="17" t="s">
        <v>17246</v>
      </c>
      <c r="G8766" s="17"/>
      <c r="H8766" s="17" t="s">
        <v>17984</v>
      </c>
      <c r="I8766" s="17"/>
      <c r="J8766" s="17" t="s">
        <v>20542</v>
      </c>
      <c r="K8766" s="17"/>
      <c r="L8766" s="17" t="s">
        <v>20543</v>
      </c>
      <c r="M8766" s="17"/>
      <c r="N8766" s="17" t="s">
        <v>20550</v>
      </c>
      <c r="O8766" s="17" t="s">
        <v>20590</v>
      </c>
      <c r="P8766" s="17" t="s">
        <v>20776</v>
      </c>
      <c r="Q8766" s="17"/>
      <c r="R8766" s="25" t="str">
        <f>HYPERLINK("https://ictv.global/taxonomy/taxondetails?taxnode_id=202305260","Tombusvirus neckarfluminis")</f>
        <v>Tombusvirus neckarfluminis</v>
      </c>
      <c r="S8766" s="18" t="s">
        <v>30</v>
      </c>
      <c r="T8766" s="18" t="s">
        <v>20827</v>
      </c>
      <c r="U8766" s="18" t="s">
        <v>20828</v>
      </c>
      <c r="V8766" s="18"/>
      <c r="W8766" s="18" t="s">
        <v>20829</v>
      </c>
      <c r="X8766" s="18" t="s">
        <v>154</v>
      </c>
      <c r="Y8766" s="18" t="s">
        <v>17171</v>
      </c>
      <c r="Z8766" s="18" t="s">
        <v>13441</v>
      </c>
      <c r="AA8766" s="21" t="str">
        <f>HYPERLINK("https://www.ncbi.nlm.nih.gov/nuccore/AJ607403","NCBI Nucleotide")</f>
        <v>NCBI Nucleotide</v>
      </c>
    </row>
    <row r="8767" spans="1:27" x14ac:dyDescent="0.35">
      <c r="A8767">
        <v>1009219</v>
      </c>
      <c r="B8767">
        <v>8092</v>
      </c>
      <c r="C8767">
        <v>1</v>
      </c>
      <c r="D8767" s="17" t="s">
        <v>17166</v>
      </c>
      <c r="E8767" s="17"/>
      <c r="F8767" s="17" t="s">
        <v>17246</v>
      </c>
      <c r="G8767" s="17"/>
      <c r="H8767" s="17" t="s">
        <v>17984</v>
      </c>
      <c r="I8767" s="17"/>
      <c r="J8767" s="17" t="s">
        <v>20542</v>
      </c>
      <c r="K8767" s="17"/>
      <c r="L8767" s="17" t="s">
        <v>20543</v>
      </c>
      <c r="M8767" s="17"/>
      <c r="N8767" s="17" t="s">
        <v>20550</v>
      </c>
      <c r="O8767" s="17" t="s">
        <v>20590</v>
      </c>
      <c r="P8767" s="17" t="s">
        <v>20776</v>
      </c>
      <c r="Q8767" s="17"/>
      <c r="R8767" s="25" t="str">
        <f>HYPERLINK("https://ictv.global/taxonomy/taxondetails?taxnode_id=202305262","Tombusvirus necropelargonii")</f>
        <v>Tombusvirus necropelargonii</v>
      </c>
      <c r="S8767" s="18" t="s">
        <v>30</v>
      </c>
      <c r="T8767" s="18" t="s">
        <v>20830</v>
      </c>
      <c r="U8767" s="18" t="s">
        <v>20831</v>
      </c>
      <c r="V8767" s="18" t="s">
        <v>20832</v>
      </c>
      <c r="W8767" s="18" t="s">
        <v>20833</v>
      </c>
      <c r="X8767" s="18" t="s">
        <v>42</v>
      </c>
      <c r="Y8767" s="18" t="s">
        <v>17171</v>
      </c>
      <c r="Z8767" s="18" t="s">
        <v>13441</v>
      </c>
      <c r="AA8767" s="21" t="str">
        <f>HYPERLINK("https://www.ncbi.nlm.nih.gov/nuccore/AJ607402","NCBI Nucleotide")</f>
        <v>NCBI Nucleotide</v>
      </c>
    </row>
    <row r="8768" spans="1:27" x14ac:dyDescent="0.35">
      <c r="A8768">
        <v>1009220</v>
      </c>
      <c r="B8768">
        <v>8093</v>
      </c>
      <c r="C8768">
        <v>1</v>
      </c>
      <c r="D8768" s="17" t="s">
        <v>17166</v>
      </c>
      <c r="E8768" s="17"/>
      <c r="F8768" s="17" t="s">
        <v>17246</v>
      </c>
      <c r="G8768" s="17"/>
      <c r="H8768" s="17" t="s">
        <v>17984</v>
      </c>
      <c r="I8768" s="17"/>
      <c r="J8768" s="17" t="s">
        <v>20542</v>
      </c>
      <c r="K8768" s="17"/>
      <c r="L8768" s="17" t="s">
        <v>20543</v>
      </c>
      <c r="M8768" s="17"/>
      <c r="N8768" s="17" t="s">
        <v>20550</v>
      </c>
      <c r="O8768" s="17" t="s">
        <v>20590</v>
      </c>
      <c r="P8768" s="17" t="s">
        <v>20776</v>
      </c>
      <c r="Q8768" s="17"/>
      <c r="R8768" s="25" t="str">
        <f>HYPERLINK("https://ictv.global/taxonomy/taxondetails?taxnode_id=202305261","Tombusvirus pelargonii")</f>
        <v>Tombusvirus pelargonii</v>
      </c>
      <c r="S8768" s="18" t="s">
        <v>30</v>
      </c>
      <c r="T8768" s="18" t="s">
        <v>20834</v>
      </c>
      <c r="U8768" s="18" t="s">
        <v>14938</v>
      </c>
      <c r="V8768" s="18" t="s">
        <v>20835</v>
      </c>
      <c r="W8768" s="18" t="s">
        <v>20836</v>
      </c>
      <c r="X8768" s="18" t="s">
        <v>42</v>
      </c>
      <c r="Y8768" s="18" t="s">
        <v>17171</v>
      </c>
      <c r="Z8768" s="18" t="s">
        <v>13441</v>
      </c>
      <c r="AA8768" s="21" t="str">
        <f>HYPERLINK("https://www.ncbi.nlm.nih.gov/nuccore/KU187189","NCBI Nucleotide")</f>
        <v>NCBI Nucleotide</v>
      </c>
    </row>
    <row r="8769" spans="1:27" x14ac:dyDescent="0.35">
      <c r="A8769">
        <v>1009221</v>
      </c>
      <c r="B8769">
        <v>8094</v>
      </c>
      <c r="C8769">
        <v>1</v>
      </c>
      <c r="D8769" s="17" t="s">
        <v>17166</v>
      </c>
      <c r="E8769" s="17"/>
      <c r="F8769" s="17" t="s">
        <v>17246</v>
      </c>
      <c r="G8769" s="17"/>
      <c r="H8769" s="17" t="s">
        <v>17984</v>
      </c>
      <c r="I8769" s="17"/>
      <c r="J8769" s="17" t="s">
        <v>20542</v>
      </c>
      <c r="K8769" s="17"/>
      <c r="L8769" s="17" t="s">
        <v>20543</v>
      </c>
      <c r="M8769" s="17"/>
      <c r="N8769" s="17" t="s">
        <v>20550</v>
      </c>
      <c r="O8769" s="17" t="s">
        <v>20590</v>
      </c>
      <c r="P8769" s="17" t="s">
        <v>20776</v>
      </c>
      <c r="Q8769" s="17"/>
      <c r="R8769" s="25" t="str">
        <f>HYPERLINK("https://ictv.global/taxonomy/taxondetails?taxnode_id=202305263","Tombusvirus petuniae")</f>
        <v>Tombusvirus petuniae</v>
      </c>
      <c r="S8769" s="18" t="s">
        <v>30</v>
      </c>
      <c r="T8769" s="18" t="s">
        <v>20837</v>
      </c>
      <c r="U8769" s="18" t="s">
        <v>19207</v>
      </c>
      <c r="V8769" s="18" t="s">
        <v>20838</v>
      </c>
      <c r="W8769" s="18" t="s">
        <v>20839</v>
      </c>
      <c r="X8769" s="18" t="s">
        <v>154</v>
      </c>
      <c r="Y8769" s="18" t="s">
        <v>17171</v>
      </c>
      <c r="Z8769" s="18" t="s">
        <v>13441</v>
      </c>
      <c r="AA8769" s="21" t="str">
        <f>HYPERLINK("https://www.ncbi.nlm.nih.gov/nuccore/AY500881","NCBI Nucleotide")</f>
        <v>NCBI Nucleotide</v>
      </c>
    </row>
    <row r="8770" spans="1:27" x14ac:dyDescent="0.35">
      <c r="A8770">
        <v>1009222</v>
      </c>
      <c r="B8770">
        <v>8095</v>
      </c>
      <c r="C8770">
        <v>1</v>
      </c>
      <c r="D8770" s="17" t="s">
        <v>17166</v>
      </c>
      <c r="E8770" s="17"/>
      <c r="F8770" s="17" t="s">
        <v>17246</v>
      </c>
      <c r="G8770" s="17"/>
      <c r="H8770" s="17" t="s">
        <v>17984</v>
      </c>
      <c r="I8770" s="17"/>
      <c r="J8770" s="17" t="s">
        <v>20542</v>
      </c>
      <c r="K8770" s="17"/>
      <c r="L8770" s="17" t="s">
        <v>20543</v>
      </c>
      <c r="M8770" s="17"/>
      <c r="N8770" s="17" t="s">
        <v>20550</v>
      </c>
      <c r="O8770" s="17" t="s">
        <v>20590</v>
      </c>
      <c r="P8770" s="17" t="s">
        <v>20776</v>
      </c>
      <c r="Q8770" s="17"/>
      <c r="R8770" s="25" t="str">
        <f>HYPERLINK("https://ictv.global/taxonomy/taxondetails?taxnode_id=202305264","Tombusvirus siktefluminis")</f>
        <v>Tombusvirus siktefluminis</v>
      </c>
      <c r="S8770" s="18" t="s">
        <v>30</v>
      </c>
      <c r="T8770" s="18" t="s">
        <v>20840</v>
      </c>
      <c r="U8770" s="18" t="s">
        <v>20841</v>
      </c>
      <c r="V8770" s="18" t="s">
        <v>20842</v>
      </c>
      <c r="W8770" s="18" t="s">
        <v>20843</v>
      </c>
      <c r="X8770" s="18" t="s">
        <v>154</v>
      </c>
      <c r="Y8770" s="18" t="s">
        <v>17171</v>
      </c>
      <c r="Z8770" s="18" t="s">
        <v>13441</v>
      </c>
      <c r="AA8770" s="21" t="str">
        <f>HYPERLINK("https://www.ncbi.nlm.nih.gov/nuccore/AY500886","NCBI Nucleotide")</f>
        <v>NCBI Nucleotide</v>
      </c>
    </row>
    <row r="8771" spans="1:27" x14ac:dyDescent="0.35">
      <c r="A8771">
        <v>1009223</v>
      </c>
      <c r="B8771">
        <v>8096</v>
      </c>
      <c r="C8771">
        <v>1</v>
      </c>
      <c r="D8771" s="17" t="s">
        <v>17166</v>
      </c>
      <c r="E8771" s="17"/>
      <c r="F8771" s="17" t="s">
        <v>17246</v>
      </c>
      <c r="G8771" s="17"/>
      <c r="H8771" s="17" t="s">
        <v>17984</v>
      </c>
      <c r="I8771" s="17"/>
      <c r="J8771" s="17" t="s">
        <v>20542</v>
      </c>
      <c r="K8771" s="17"/>
      <c r="L8771" s="17" t="s">
        <v>20543</v>
      </c>
      <c r="M8771" s="17"/>
      <c r="N8771" s="17" t="s">
        <v>20550</v>
      </c>
      <c r="O8771" s="17" t="s">
        <v>20590</v>
      </c>
      <c r="P8771" s="17" t="s">
        <v>20844</v>
      </c>
      <c r="Q8771" s="17"/>
      <c r="R8771" s="25" t="str">
        <f>HYPERLINK("https://ictv.global/taxonomy/taxondetails?taxnode_id=202313879","Tralespevirus gompholobii")</f>
        <v>Tralespevirus gompholobii</v>
      </c>
      <c r="S8771" s="18" t="s">
        <v>30</v>
      </c>
      <c r="T8771" s="18" t="s">
        <v>20845</v>
      </c>
      <c r="U8771" s="18" t="s">
        <v>20846</v>
      </c>
      <c r="V8771" s="18" t="s">
        <v>20847</v>
      </c>
      <c r="W8771" s="18" t="s">
        <v>20848</v>
      </c>
      <c r="X8771" s="18" t="s">
        <v>35</v>
      </c>
      <c r="Y8771" s="18" t="s">
        <v>17171</v>
      </c>
      <c r="Z8771" s="18" t="s">
        <v>13441</v>
      </c>
      <c r="AA8771" s="21" t="str">
        <f>HYPERLINK("https://www.ncbi.nlm.nih.gov/nuccore/KX184304","NCBI Nucleotide")</f>
        <v>NCBI Nucleotide</v>
      </c>
    </row>
    <row r="8772" spans="1:27" x14ac:dyDescent="0.35">
      <c r="A8772">
        <v>1009224</v>
      </c>
      <c r="B8772">
        <v>8097</v>
      </c>
      <c r="C8772">
        <v>1</v>
      </c>
      <c r="D8772" s="17" t="s">
        <v>17166</v>
      </c>
      <c r="E8772" s="17"/>
      <c r="F8772" s="17" t="s">
        <v>17246</v>
      </c>
      <c r="G8772" s="17"/>
      <c r="H8772" s="17" t="s">
        <v>17984</v>
      </c>
      <c r="I8772" s="17"/>
      <c r="J8772" s="17" t="s">
        <v>20542</v>
      </c>
      <c r="K8772" s="17"/>
      <c r="L8772" s="17" t="s">
        <v>20543</v>
      </c>
      <c r="M8772" s="17"/>
      <c r="N8772" s="17" t="s">
        <v>20550</v>
      </c>
      <c r="O8772" s="17" t="s">
        <v>20590</v>
      </c>
      <c r="P8772" s="17" t="s">
        <v>20844</v>
      </c>
      <c r="Q8772" s="17"/>
      <c r="R8772" s="25" t="str">
        <f>HYPERLINK("https://ictv.global/taxonomy/taxondetails?taxnode_id=202305281","Tralespevirus lespedezae")</f>
        <v>Tralespevirus lespedezae</v>
      </c>
      <c r="S8772" s="18" t="s">
        <v>30</v>
      </c>
      <c r="T8772" s="18" t="s">
        <v>20849</v>
      </c>
      <c r="U8772" s="18" t="s">
        <v>18967</v>
      </c>
      <c r="V8772" s="18" t="s">
        <v>20850</v>
      </c>
      <c r="W8772" s="18" t="s">
        <v>20851</v>
      </c>
      <c r="X8772" s="18" t="s">
        <v>42</v>
      </c>
      <c r="Y8772" s="18" t="s">
        <v>17171</v>
      </c>
      <c r="Z8772" s="18" t="s">
        <v>13441</v>
      </c>
      <c r="AA8772" s="21" t="str">
        <f>HYPERLINK("https://www.ncbi.nlm.nih.gov/nuccore/HM640935","NCBI Nucleotide")</f>
        <v>NCBI Nucleotide</v>
      </c>
    </row>
    <row r="8773" spans="1:27" x14ac:dyDescent="0.35">
      <c r="A8773">
        <v>1009225</v>
      </c>
      <c r="B8773">
        <v>8098</v>
      </c>
      <c r="C8773">
        <v>1</v>
      </c>
      <c r="D8773" s="17" t="s">
        <v>17166</v>
      </c>
      <c r="E8773" s="17"/>
      <c r="F8773" s="17" t="s">
        <v>17246</v>
      </c>
      <c r="G8773" s="17"/>
      <c r="H8773" s="17" t="s">
        <v>17984</v>
      </c>
      <c r="I8773" s="17"/>
      <c r="J8773" s="17" t="s">
        <v>20542</v>
      </c>
      <c r="K8773" s="17"/>
      <c r="L8773" s="17" t="s">
        <v>20543</v>
      </c>
      <c r="M8773" s="17"/>
      <c r="N8773" s="17" t="s">
        <v>20550</v>
      </c>
      <c r="O8773" s="17" t="s">
        <v>20590</v>
      </c>
      <c r="P8773" s="17" t="s">
        <v>20852</v>
      </c>
      <c r="Q8773" s="17"/>
      <c r="R8773" s="25" t="str">
        <f>HYPERLINK("https://ictv.global/taxonomy/taxondetails?taxnode_id=202305284","Zeavirus zeae")</f>
        <v>Zeavirus zeae</v>
      </c>
      <c r="S8773" s="18" t="s">
        <v>30</v>
      </c>
      <c r="T8773" s="18" t="s">
        <v>20853</v>
      </c>
      <c r="U8773" s="18" t="s">
        <v>20854</v>
      </c>
      <c r="V8773" s="18" t="s">
        <v>20855</v>
      </c>
      <c r="W8773" s="18" t="s">
        <v>20856</v>
      </c>
      <c r="X8773" s="18" t="s">
        <v>42</v>
      </c>
      <c r="Y8773" s="18" t="s">
        <v>17171</v>
      </c>
      <c r="Z8773" s="18" t="s">
        <v>13441</v>
      </c>
      <c r="AA8773" s="21" t="str">
        <f>HYPERLINK("https://www.ncbi.nlm.nih.gov/nuccore/AF266518","NCBI Nucleotide")</f>
        <v>NCBI Nucleotide</v>
      </c>
    </row>
    <row r="8774" spans="1:27" x14ac:dyDescent="0.35">
      <c r="A8774">
        <v>1009226</v>
      </c>
      <c r="B8774">
        <v>8099</v>
      </c>
      <c r="C8774">
        <v>1</v>
      </c>
      <c r="D8774" s="17" t="s">
        <v>17166</v>
      </c>
      <c r="E8774" s="17"/>
      <c r="F8774" s="17" t="s">
        <v>17246</v>
      </c>
      <c r="G8774" s="17"/>
      <c r="H8774" s="17" t="s">
        <v>17984</v>
      </c>
      <c r="I8774" s="17"/>
      <c r="J8774" s="17" t="s">
        <v>20542</v>
      </c>
      <c r="K8774" s="17"/>
      <c r="L8774" s="17" t="s">
        <v>20543</v>
      </c>
      <c r="M8774" s="17"/>
      <c r="N8774" s="17" t="s">
        <v>20550</v>
      </c>
      <c r="O8774" s="17" t="s">
        <v>20590</v>
      </c>
      <c r="P8774" s="17"/>
      <c r="Q8774" s="17"/>
      <c r="R8774" s="25" t="str">
        <f>HYPERLINK("https://ictv.global/taxonomy/taxondetails?taxnode_id=202305277","Ahlum waterborne virus")</f>
        <v>Ahlum waterborne virus</v>
      </c>
      <c r="S8774" s="18" t="s">
        <v>30</v>
      </c>
      <c r="T8774" s="18" t="s">
        <v>20591</v>
      </c>
      <c r="U8774" s="18" t="s">
        <v>20592</v>
      </c>
      <c r="V8774" s="18"/>
      <c r="W8774" s="18"/>
      <c r="X8774" s="18" t="s">
        <v>3311</v>
      </c>
      <c r="Y8774" s="18" t="s">
        <v>17171</v>
      </c>
      <c r="Z8774" s="18" t="s">
        <v>13441</v>
      </c>
      <c r="AA8774" s="21"/>
    </row>
    <row r="8775" spans="1:27" x14ac:dyDescent="0.35">
      <c r="A8775">
        <v>1009227</v>
      </c>
      <c r="B8775">
        <v>8100</v>
      </c>
      <c r="C8775">
        <v>1</v>
      </c>
      <c r="D8775" s="17" t="s">
        <v>17166</v>
      </c>
      <c r="E8775" s="17"/>
      <c r="F8775" s="17" t="s">
        <v>17246</v>
      </c>
      <c r="G8775" s="17"/>
      <c r="H8775" s="17" t="s">
        <v>17984</v>
      </c>
      <c r="I8775" s="17"/>
      <c r="J8775" s="17" t="s">
        <v>20542</v>
      </c>
      <c r="K8775" s="17"/>
      <c r="L8775" s="17" t="s">
        <v>20543</v>
      </c>
      <c r="M8775" s="17"/>
      <c r="N8775" s="17" t="s">
        <v>20550</v>
      </c>
      <c r="O8775" s="17" t="s">
        <v>20590</v>
      </c>
      <c r="P8775" s="17"/>
      <c r="Q8775" s="17"/>
      <c r="R8775" s="25" t="str">
        <f>HYPERLINK("https://ictv.global/taxonomy/taxondetails?taxnode_id=202305278","Bean mild mosaic virus")</f>
        <v>Bean mild mosaic virus</v>
      </c>
      <c r="S8775" s="18" t="s">
        <v>30</v>
      </c>
      <c r="T8775" s="18" t="s">
        <v>20593</v>
      </c>
      <c r="U8775" s="18" t="s">
        <v>20594</v>
      </c>
      <c r="V8775" s="18"/>
      <c r="W8775" s="18"/>
      <c r="X8775" s="18" t="s">
        <v>3311</v>
      </c>
      <c r="Y8775" s="18" t="s">
        <v>17171</v>
      </c>
      <c r="Z8775" s="18" t="s">
        <v>13441</v>
      </c>
      <c r="AA8775" s="21"/>
    </row>
    <row r="8776" spans="1:27" x14ac:dyDescent="0.35">
      <c r="A8776">
        <v>1009228</v>
      </c>
      <c r="B8776">
        <v>8101</v>
      </c>
      <c r="C8776">
        <v>1</v>
      </c>
      <c r="D8776" s="17" t="s">
        <v>17166</v>
      </c>
      <c r="E8776" s="17"/>
      <c r="F8776" s="17" t="s">
        <v>17246</v>
      </c>
      <c r="G8776" s="17"/>
      <c r="H8776" s="17" t="s">
        <v>17984</v>
      </c>
      <c r="I8776" s="17"/>
      <c r="J8776" s="17" t="s">
        <v>20542</v>
      </c>
      <c r="K8776" s="17"/>
      <c r="L8776" s="17" t="s">
        <v>20543</v>
      </c>
      <c r="M8776" s="17"/>
      <c r="N8776" s="17" t="s">
        <v>20550</v>
      </c>
      <c r="O8776" s="17" t="s">
        <v>20590</v>
      </c>
      <c r="P8776" s="17"/>
      <c r="Q8776" s="17"/>
      <c r="R8776" s="25" t="str">
        <f>HYPERLINK("https://ictv.global/taxonomy/taxondetails?taxnode_id=202305279","Chenopodium necrosis virus")</f>
        <v>Chenopodium necrosis virus</v>
      </c>
      <c r="S8776" s="18" t="s">
        <v>30</v>
      </c>
      <c r="T8776" s="18" t="s">
        <v>20595</v>
      </c>
      <c r="U8776" s="18" t="s">
        <v>20596</v>
      </c>
      <c r="V8776" s="18"/>
      <c r="W8776" s="18"/>
      <c r="X8776" s="18" t="s">
        <v>3311</v>
      </c>
      <c r="Y8776" s="18" t="s">
        <v>17171</v>
      </c>
      <c r="Z8776" s="18" t="s">
        <v>13441</v>
      </c>
      <c r="AA8776" s="21"/>
    </row>
    <row r="8777" spans="1:27" x14ac:dyDescent="0.35">
      <c r="A8777">
        <v>1009229</v>
      </c>
      <c r="B8777">
        <v>8102</v>
      </c>
      <c r="C8777">
        <v>1</v>
      </c>
      <c r="D8777" s="17" t="s">
        <v>17166</v>
      </c>
      <c r="E8777" s="17"/>
      <c r="F8777" s="17" t="s">
        <v>17246</v>
      </c>
      <c r="G8777" s="17"/>
      <c r="H8777" s="17" t="s">
        <v>17984</v>
      </c>
      <c r="I8777" s="17"/>
      <c r="J8777" s="17" t="s">
        <v>20542</v>
      </c>
      <c r="K8777" s="17"/>
      <c r="L8777" s="17" t="s">
        <v>20543</v>
      </c>
      <c r="M8777" s="17"/>
      <c r="N8777" s="17" t="s">
        <v>20550</v>
      </c>
      <c r="O8777" s="17" t="s">
        <v>20590</v>
      </c>
      <c r="P8777" s="17"/>
      <c r="Q8777" s="17"/>
      <c r="R8777" s="25" t="str">
        <f>HYPERLINK("https://ictv.global/taxonomy/taxondetails?taxnode_id=202305280","Cucumber soil-borne virus")</f>
        <v>Cucumber soil-borne virus</v>
      </c>
      <c r="S8777" s="18" t="s">
        <v>30</v>
      </c>
      <c r="T8777" s="18" t="s">
        <v>20597</v>
      </c>
      <c r="U8777" s="18" t="s">
        <v>20598</v>
      </c>
      <c r="V8777" s="18"/>
      <c r="W8777" s="18"/>
      <c r="X8777" s="18" t="s">
        <v>3311</v>
      </c>
      <c r="Y8777" s="18" t="s">
        <v>17171</v>
      </c>
      <c r="Z8777" s="18" t="s">
        <v>13441</v>
      </c>
      <c r="AA8777" s="21"/>
    </row>
    <row r="8778" spans="1:27" x14ac:dyDescent="0.35">
      <c r="A8778">
        <v>1009230</v>
      </c>
      <c r="B8778">
        <v>8103</v>
      </c>
      <c r="C8778">
        <v>1</v>
      </c>
      <c r="D8778" s="17" t="s">
        <v>17166</v>
      </c>
      <c r="E8778" s="17"/>
      <c r="F8778" s="17" t="s">
        <v>17246</v>
      </c>
      <c r="G8778" s="17"/>
      <c r="H8778" s="17" t="s">
        <v>17984</v>
      </c>
      <c r="I8778" s="17"/>
      <c r="J8778" s="17" t="s">
        <v>20542</v>
      </c>
      <c r="K8778" s="17"/>
      <c r="L8778" s="17" t="s">
        <v>20543</v>
      </c>
      <c r="M8778" s="17"/>
      <c r="N8778" s="17" t="s">
        <v>20550</v>
      </c>
      <c r="O8778" s="17" t="s">
        <v>20590</v>
      </c>
      <c r="P8778" s="17"/>
      <c r="Q8778" s="17"/>
      <c r="R8778" s="25" t="str">
        <f>HYPERLINK("https://ictv.global/taxonomy/taxondetails?taxnode_id=202305282","Weddel waterborne virus")</f>
        <v>Weddel waterborne virus</v>
      </c>
      <c r="S8778" s="18" t="s">
        <v>30</v>
      </c>
      <c r="T8778" s="18" t="s">
        <v>20599</v>
      </c>
      <c r="U8778" s="18" t="s">
        <v>20600</v>
      </c>
      <c r="V8778" s="18"/>
      <c r="W8778" s="18"/>
      <c r="X8778" s="18" t="s">
        <v>3311</v>
      </c>
      <c r="Y8778" s="18" t="s">
        <v>17171</v>
      </c>
      <c r="Z8778" s="18" t="s">
        <v>13441</v>
      </c>
      <c r="AA8778" s="21"/>
    </row>
    <row r="8779" spans="1:27" x14ac:dyDescent="0.35">
      <c r="A8779">
        <v>1009231</v>
      </c>
      <c r="B8779">
        <v>8104</v>
      </c>
      <c r="C8779">
        <v>1</v>
      </c>
      <c r="D8779" s="17" t="s">
        <v>17166</v>
      </c>
      <c r="E8779" s="17"/>
      <c r="F8779" s="17" t="s">
        <v>17246</v>
      </c>
      <c r="G8779" s="17"/>
      <c r="H8779" s="17" t="s">
        <v>17984</v>
      </c>
      <c r="I8779" s="17"/>
      <c r="J8779" s="17" t="s">
        <v>20542</v>
      </c>
      <c r="K8779" s="17"/>
      <c r="L8779" s="17" t="s">
        <v>20543</v>
      </c>
      <c r="M8779" s="17"/>
      <c r="N8779" s="17" t="s">
        <v>20550</v>
      </c>
      <c r="O8779" s="17" t="s">
        <v>20857</v>
      </c>
      <c r="P8779" s="17" t="s">
        <v>20858</v>
      </c>
      <c r="Q8779" s="17"/>
      <c r="R8779" s="25" t="str">
        <f>HYPERLINK("https://ictv.global/taxonomy/taxondetails?taxnode_id=202305224","Dianthovirus dianthi")</f>
        <v>Dianthovirus dianthi</v>
      </c>
      <c r="S8779" s="18" t="s">
        <v>30</v>
      </c>
      <c r="T8779" s="18" t="s">
        <v>20859</v>
      </c>
      <c r="U8779" s="18" t="s">
        <v>20860</v>
      </c>
      <c r="V8779" s="18"/>
      <c r="W8779" s="18" t="s">
        <v>20861</v>
      </c>
      <c r="X8779" s="18" t="s">
        <v>42</v>
      </c>
      <c r="Y8779" s="18" t="s">
        <v>17171</v>
      </c>
      <c r="Z8779" s="18" t="s">
        <v>13441</v>
      </c>
      <c r="AA8779" s="21" t="str">
        <f>HYPERLINK("https://www.ncbi.nlm.nih.gov/nuccore/L18870,M88589","NCBI Nucleotide")</f>
        <v>NCBI Nucleotide</v>
      </c>
    </row>
    <row r="8780" spans="1:27" x14ac:dyDescent="0.35">
      <c r="A8780">
        <v>1009232</v>
      </c>
      <c r="B8780">
        <v>8105</v>
      </c>
      <c r="C8780">
        <v>1</v>
      </c>
      <c r="D8780" s="17" t="s">
        <v>17166</v>
      </c>
      <c r="E8780" s="17"/>
      <c r="F8780" s="17" t="s">
        <v>17246</v>
      </c>
      <c r="G8780" s="17"/>
      <c r="H8780" s="17" t="s">
        <v>17984</v>
      </c>
      <c r="I8780" s="17"/>
      <c r="J8780" s="17" t="s">
        <v>20542</v>
      </c>
      <c r="K8780" s="17"/>
      <c r="L8780" s="17" t="s">
        <v>20543</v>
      </c>
      <c r="M8780" s="17"/>
      <c r="N8780" s="17" t="s">
        <v>20550</v>
      </c>
      <c r="O8780" s="17" t="s">
        <v>20857</v>
      </c>
      <c r="P8780" s="17" t="s">
        <v>20858</v>
      </c>
      <c r="Q8780" s="17"/>
      <c r="R8780" s="25" t="str">
        <f>HYPERLINK("https://ictv.global/taxonomy/taxondetails?taxnode_id=202305226","Dianthovirus meliloti")</f>
        <v>Dianthovirus meliloti</v>
      </c>
      <c r="S8780" s="18" t="s">
        <v>30</v>
      </c>
      <c r="T8780" s="18" t="s">
        <v>20862</v>
      </c>
      <c r="U8780" s="18" t="s">
        <v>20863</v>
      </c>
      <c r="V8780" s="18">
        <v>59</v>
      </c>
      <c r="W8780" s="18" t="s">
        <v>20864</v>
      </c>
      <c r="X8780" s="18" t="s">
        <v>42</v>
      </c>
      <c r="Y8780" s="18" t="s">
        <v>17171</v>
      </c>
      <c r="Z8780" s="18" t="s">
        <v>13441</v>
      </c>
      <c r="AA8780" s="21" t="str">
        <f>HYPERLINK("https://www.ncbi.nlm.nih.gov/nuccore/L07884,S46028","NCBI Nucleotide")</f>
        <v>NCBI Nucleotide</v>
      </c>
    </row>
    <row r="8781" spans="1:27" x14ac:dyDescent="0.35">
      <c r="A8781">
        <v>1009233</v>
      </c>
      <c r="B8781">
        <v>8106</v>
      </c>
      <c r="C8781">
        <v>1</v>
      </c>
      <c r="D8781" s="17" t="s">
        <v>17166</v>
      </c>
      <c r="E8781" s="17"/>
      <c r="F8781" s="17" t="s">
        <v>17246</v>
      </c>
      <c r="G8781" s="17"/>
      <c r="H8781" s="17" t="s">
        <v>17984</v>
      </c>
      <c r="I8781" s="17"/>
      <c r="J8781" s="17" t="s">
        <v>20542</v>
      </c>
      <c r="K8781" s="17"/>
      <c r="L8781" s="17" t="s">
        <v>20543</v>
      </c>
      <c r="M8781" s="17"/>
      <c r="N8781" s="17" t="s">
        <v>20550</v>
      </c>
      <c r="O8781" s="17" t="s">
        <v>20857</v>
      </c>
      <c r="P8781" s="17" t="s">
        <v>20858</v>
      </c>
      <c r="Q8781" s="17"/>
      <c r="R8781" s="25" t="str">
        <f>HYPERLINK("https://ictv.global/taxonomy/taxondetails?taxnode_id=202305225","Dianthovirus trifolii")</f>
        <v>Dianthovirus trifolii</v>
      </c>
      <c r="S8781" s="18" t="s">
        <v>30</v>
      </c>
      <c r="T8781" s="18" t="s">
        <v>20865</v>
      </c>
      <c r="U8781" s="18" t="s">
        <v>20866</v>
      </c>
      <c r="V8781" s="18" t="s">
        <v>13887</v>
      </c>
      <c r="W8781" s="18" t="s">
        <v>20867</v>
      </c>
      <c r="X8781" s="18" t="s">
        <v>42</v>
      </c>
      <c r="Y8781" s="18" t="s">
        <v>17171</v>
      </c>
      <c r="Z8781" s="18" t="s">
        <v>13441</v>
      </c>
      <c r="AA8781" s="21" t="str">
        <f>HYPERLINK("https://www.ncbi.nlm.nih.gov/nuccore/J04357,X08021","NCBI Nucleotide")</f>
        <v>NCBI Nucleotide</v>
      </c>
    </row>
    <row r="8782" spans="1:27" x14ac:dyDescent="0.35">
      <c r="A8782">
        <v>1009234</v>
      </c>
      <c r="B8782">
        <v>8107</v>
      </c>
      <c r="C8782">
        <v>1</v>
      </c>
      <c r="D8782" s="17" t="s">
        <v>17166</v>
      </c>
      <c r="E8782" s="17"/>
      <c r="F8782" s="17" t="s">
        <v>17246</v>
      </c>
      <c r="G8782" s="17"/>
      <c r="H8782" s="17" t="s">
        <v>17984</v>
      </c>
      <c r="I8782" s="17"/>
      <c r="J8782" s="17" t="s">
        <v>20542</v>
      </c>
      <c r="K8782" s="17"/>
      <c r="L8782" s="17" t="s">
        <v>20543</v>
      </c>
      <c r="M8782" s="17"/>
      <c r="N8782" s="17" t="s">
        <v>20550</v>
      </c>
      <c r="O8782" s="17" t="s">
        <v>20857</v>
      </c>
      <c r="P8782" s="17" t="s">
        <v>20868</v>
      </c>
      <c r="Q8782" s="17"/>
      <c r="R8782" s="25" t="str">
        <f>HYPERLINK("https://ictv.global/taxonomy/taxondetails?taxnode_id=202306618","Luteovirus avii")</f>
        <v>Luteovirus avii</v>
      </c>
      <c r="S8782" s="18" t="s">
        <v>30</v>
      </c>
      <c r="T8782" s="18" t="s">
        <v>20869</v>
      </c>
      <c r="U8782" s="18" t="s">
        <v>20870</v>
      </c>
      <c r="V8782" s="18" t="s">
        <v>20871</v>
      </c>
      <c r="W8782" s="18" t="s">
        <v>20872</v>
      </c>
      <c r="X8782" s="18" t="s">
        <v>42</v>
      </c>
      <c r="Y8782" s="18" t="s">
        <v>17171</v>
      </c>
      <c r="Z8782" s="18" t="s">
        <v>13441</v>
      </c>
      <c r="AA8782" s="21" t="str">
        <f>HYPERLINK("https://www.ncbi.nlm.nih.gov/nuccore/KX159470","NCBI Nucleotide")</f>
        <v>NCBI Nucleotide</v>
      </c>
    </row>
    <row r="8783" spans="1:27" x14ac:dyDescent="0.35">
      <c r="A8783">
        <v>1009235</v>
      </c>
      <c r="B8783">
        <v>8108</v>
      </c>
      <c r="C8783">
        <v>1</v>
      </c>
      <c r="D8783" s="17" t="s">
        <v>17166</v>
      </c>
      <c r="E8783" s="17"/>
      <c r="F8783" s="17" t="s">
        <v>17246</v>
      </c>
      <c r="G8783" s="17"/>
      <c r="H8783" s="17" t="s">
        <v>17984</v>
      </c>
      <c r="I8783" s="17"/>
      <c r="J8783" s="17" t="s">
        <v>20542</v>
      </c>
      <c r="K8783" s="17"/>
      <c r="L8783" s="17" t="s">
        <v>20543</v>
      </c>
      <c r="M8783" s="17"/>
      <c r="N8783" s="17" t="s">
        <v>20550</v>
      </c>
      <c r="O8783" s="17" t="s">
        <v>20857</v>
      </c>
      <c r="P8783" s="17" t="s">
        <v>20868</v>
      </c>
      <c r="Q8783" s="17"/>
      <c r="R8783" s="25" t="str">
        <f>HYPERLINK("https://ictv.global/taxonomy/taxondetails?taxnode_id=202303772","Luteovirus glycinis")</f>
        <v>Luteovirus glycinis</v>
      </c>
      <c r="S8783" s="18" t="s">
        <v>30</v>
      </c>
      <c r="T8783" s="18" t="s">
        <v>20873</v>
      </c>
      <c r="U8783" s="18" t="s">
        <v>20874</v>
      </c>
      <c r="V8783" s="18" t="s">
        <v>20875</v>
      </c>
      <c r="W8783" s="18" t="s">
        <v>20876</v>
      </c>
      <c r="X8783" s="18" t="s">
        <v>42</v>
      </c>
      <c r="Y8783" s="18" t="s">
        <v>17171</v>
      </c>
      <c r="Z8783" s="18" t="s">
        <v>13441</v>
      </c>
      <c r="AA8783" s="21" t="str">
        <f>HYPERLINK("https://www.ncbi.nlm.nih.gov/nuccore/AB038147","NCBI Nucleotide")</f>
        <v>NCBI Nucleotide</v>
      </c>
    </row>
    <row r="8784" spans="1:27" x14ac:dyDescent="0.35">
      <c r="A8784">
        <v>1009236</v>
      </c>
      <c r="B8784">
        <v>8109</v>
      </c>
      <c r="C8784">
        <v>1</v>
      </c>
      <c r="D8784" s="17" t="s">
        <v>17166</v>
      </c>
      <c r="E8784" s="17"/>
      <c r="F8784" s="17" t="s">
        <v>17246</v>
      </c>
      <c r="G8784" s="17"/>
      <c r="H8784" s="17" t="s">
        <v>17984</v>
      </c>
      <c r="I8784" s="17"/>
      <c r="J8784" s="17" t="s">
        <v>20542</v>
      </c>
      <c r="K8784" s="17"/>
      <c r="L8784" s="17" t="s">
        <v>20543</v>
      </c>
      <c r="M8784" s="17"/>
      <c r="N8784" s="17" t="s">
        <v>20550</v>
      </c>
      <c r="O8784" s="17" t="s">
        <v>20857</v>
      </c>
      <c r="P8784" s="17" t="s">
        <v>20868</v>
      </c>
      <c r="Q8784" s="17"/>
      <c r="R8784" s="25" t="str">
        <f>HYPERLINK("https://ictv.global/taxonomy/taxondetails?taxnode_id=202303765","Luteovirus kerbihordei")</f>
        <v>Luteovirus kerbihordei</v>
      </c>
      <c r="S8784" s="18" t="s">
        <v>30</v>
      </c>
      <c r="T8784" s="18" t="s">
        <v>20877</v>
      </c>
      <c r="U8784" s="18" t="s">
        <v>20878</v>
      </c>
      <c r="V8784" s="18" t="s">
        <v>20879</v>
      </c>
      <c r="W8784" s="18" t="s">
        <v>20880</v>
      </c>
      <c r="X8784" s="18" t="s">
        <v>42</v>
      </c>
      <c r="Y8784" s="18" t="s">
        <v>17171</v>
      </c>
      <c r="Z8784" s="18" t="s">
        <v>13441</v>
      </c>
      <c r="AA8784" s="21" t="str">
        <f>HYPERLINK("https://www.ncbi.nlm.nih.gov/nuccore/KC571999","NCBI Nucleotide")</f>
        <v>NCBI Nucleotide</v>
      </c>
    </row>
    <row r="8785" spans="1:27" x14ac:dyDescent="0.35">
      <c r="A8785">
        <v>1009237</v>
      </c>
      <c r="B8785">
        <v>8110</v>
      </c>
      <c r="C8785">
        <v>1</v>
      </c>
      <c r="D8785" s="17" t="s">
        <v>17166</v>
      </c>
      <c r="E8785" s="17"/>
      <c r="F8785" s="17" t="s">
        <v>17246</v>
      </c>
      <c r="G8785" s="17"/>
      <c r="H8785" s="17" t="s">
        <v>17984</v>
      </c>
      <c r="I8785" s="17"/>
      <c r="J8785" s="17" t="s">
        <v>20542</v>
      </c>
      <c r="K8785" s="17"/>
      <c r="L8785" s="17" t="s">
        <v>20543</v>
      </c>
      <c r="M8785" s="17"/>
      <c r="N8785" s="17" t="s">
        <v>20550</v>
      </c>
      <c r="O8785" s="17" t="s">
        <v>20857</v>
      </c>
      <c r="P8785" s="17" t="s">
        <v>20868</v>
      </c>
      <c r="Q8785" s="17"/>
      <c r="R8785" s="25" t="str">
        <f>HYPERLINK("https://ictv.global/taxonomy/taxondetails?taxnode_id=202303766","Luteovirus kertrihordei")</f>
        <v>Luteovirus kertrihordei</v>
      </c>
      <c r="S8785" s="18" t="s">
        <v>30</v>
      </c>
      <c r="T8785" s="18" t="s">
        <v>20881</v>
      </c>
      <c r="U8785" s="18" t="s">
        <v>20882</v>
      </c>
      <c r="V8785" s="18" t="s">
        <v>20883</v>
      </c>
      <c r="W8785" s="18" t="s">
        <v>20884</v>
      </c>
      <c r="X8785" s="18" t="s">
        <v>154</v>
      </c>
      <c r="Y8785" s="18" t="s">
        <v>17171</v>
      </c>
      <c r="Z8785" s="18" t="s">
        <v>13441</v>
      </c>
      <c r="AA8785" s="21" t="str">
        <f>HYPERLINK("https://www.ncbi.nlm.nih.gov/nuccore/KC559092","NCBI Nucleotide")</f>
        <v>NCBI Nucleotide</v>
      </c>
    </row>
    <row r="8786" spans="1:27" x14ac:dyDescent="0.35">
      <c r="A8786">
        <v>1009238</v>
      </c>
      <c r="B8786">
        <v>8111</v>
      </c>
      <c r="C8786">
        <v>1</v>
      </c>
      <c r="D8786" s="17" t="s">
        <v>17166</v>
      </c>
      <c r="E8786" s="17"/>
      <c r="F8786" s="17" t="s">
        <v>17246</v>
      </c>
      <c r="G8786" s="17"/>
      <c r="H8786" s="17" t="s">
        <v>17984</v>
      </c>
      <c r="I8786" s="17"/>
      <c r="J8786" s="17" t="s">
        <v>20542</v>
      </c>
      <c r="K8786" s="17"/>
      <c r="L8786" s="17" t="s">
        <v>20543</v>
      </c>
      <c r="M8786" s="17"/>
      <c r="N8786" s="17" t="s">
        <v>20550</v>
      </c>
      <c r="O8786" s="17" t="s">
        <v>20857</v>
      </c>
      <c r="P8786" s="17" t="s">
        <v>20868</v>
      </c>
      <c r="Q8786" s="17"/>
      <c r="R8786" s="25" t="str">
        <f>HYPERLINK("https://ictv.global/taxonomy/taxondetails?taxnode_id=202307551","Luteovirus mali")</f>
        <v>Luteovirus mali</v>
      </c>
      <c r="S8786" s="18" t="s">
        <v>30</v>
      </c>
      <c r="T8786" s="18" t="s">
        <v>20885</v>
      </c>
      <c r="U8786" s="18" t="s">
        <v>20886</v>
      </c>
      <c r="V8786" s="18" t="s">
        <v>20887</v>
      </c>
      <c r="W8786" s="18" t="s">
        <v>20888</v>
      </c>
      <c r="X8786" s="18" t="s">
        <v>42</v>
      </c>
      <c r="Y8786" s="18" t="s">
        <v>17171</v>
      </c>
      <c r="Z8786" s="18" t="s">
        <v>13441</v>
      </c>
      <c r="AA8786" s="21" t="str">
        <f>HYPERLINK("https://www.ncbi.nlm.nih.gov/nuccore/MF120198","NCBI Nucleotide")</f>
        <v>NCBI Nucleotide</v>
      </c>
    </row>
    <row r="8787" spans="1:27" x14ac:dyDescent="0.35">
      <c r="A8787">
        <v>1009239</v>
      </c>
      <c r="B8787">
        <v>8112</v>
      </c>
      <c r="C8787">
        <v>1</v>
      </c>
      <c r="D8787" s="17" t="s">
        <v>17166</v>
      </c>
      <c r="E8787" s="17"/>
      <c r="F8787" s="17" t="s">
        <v>17246</v>
      </c>
      <c r="G8787" s="17"/>
      <c r="H8787" s="17" t="s">
        <v>17984</v>
      </c>
      <c r="I8787" s="17"/>
      <c r="J8787" s="17" t="s">
        <v>20542</v>
      </c>
      <c r="K8787" s="17"/>
      <c r="L8787" s="17" t="s">
        <v>20543</v>
      </c>
      <c r="M8787" s="17"/>
      <c r="N8787" s="17" t="s">
        <v>20550</v>
      </c>
      <c r="O8787" s="17" t="s">
        <v>20857</v>
      </c>
      <c r="P8787" s="17" t="s">
        <v>20868</v>
      </c>
      <c r="Q8787" s="17"/>
      <c r="R8787" s="25" t="str">
        <f>HYPERLINK("https://ictv.global/taxonomy/taxondetails?taxnode_id=202303767","Luteovirus mavhordei")</f>
        <v>Luteovirus mavhordei</v>
      </c>
      <c r="S8787" s="18" t="s">
        <v>30</v>
      </c>
      <c r="T8787" s="18" t="s">
        <v>20889</v>
      </c>
      <c r="U8787" s="18" t="s">
        <v>20890</v>
      </c>
      <c r="V8787" s="18" t="s">
        <v>20891</v>
      </c>
      <c r="W8787" s="18" t="s">
        <v>20892</v>
      </c>
      <c r="X8787" s="18" t="s">
        <v>42</v>
      </c>
      <c r="Y8787" s="18" t="s">
        <v>17171</v>
      </c>
      <c r="Z8787" s="18" t="s">
        <v>13441</v>
      </c>
      <c r="AA8787" s="21" t="str">
        <f>HYPERLINK("https://www.ncbi.nlm.nih.gov/nuccore/D11028","NCBI Nucleotide")</f>
        <v>NCBI Nucleotide</v>
      </c>
    </row>
    <row r="8788" spans="1:27" x14ac:dyDescent="0.35">
      <c r="A8788">
        <v>1009240</v>
      </c>
      <c r="B8788">
        <v>8113</v>
      </c>
      <c r="C8788">
        <v>1</v>
      </c>
      <c r="D8788" s="17" t="s">
        <v>17166</v>
      </c>
      <c r="E8788" s="17"/>
      <c r="F8788" s="17" t="s">
        <v>17246</v>
      </c>
      <c r="G8788" s="17"/>
      <c r="H8788" s="17" t="s">
        <v>17984</v>
      </c>
      <c r="I8788" s="17"/>
      <c r="J8788" s="17" t="s">
        <v>20542</v>
      </c>
      <c r="K8788" s="17"/>
      <c r="L8788" s="17" t="s">
        <v>20543</v>
      </c>
      <c r="M8788" s="17"/>
      <c r="N8788" s="17" t="s">
        <v>20550</v>
      </c>
      <c r="O8788" s="17" t="s">
        <v>20857</v>
      </c>
      <c r="P8788" s="17" t="s">
        <v>20868</v>
      </c>
      <c r="Q8788" s="17"/>
      <c r="R8788" s="25" t="str">
        <f>HYPERLINK("https://ictv.global/taxonomy/taxondetails?taxnode_id=202306615","Luteovirus nucipersicae")</f>
        <v>Luteovirus nucipersicae</v>
      </c>
      <c r="S8788" s="18" t="s">
        <v>30</v>
      </c>
      <c r="T8788" s="18" t="s">
        <v>20893</v>
      </c>
      <c r="U8788" s="18" t="s">
        <v>20894</v>
      </c>
      <c r="V8788" s="18" t="s">
        <v>20895</v>
      </c>
      <c r="W8788" s="18" t="s">
        <v>20896</v>
      </c>
      <c r="X8788" s="18" t="s">
        <v>42</v>
      </c>
      <c r="Y8788" s="18" t="s">
        <v>17171</v>
      </c>
      <c r="Z8788" s="18" t="s">
        <v>13441</v>
      </c>
      <c r="AA8788" s="21" t="str">
        <f>HYPERLINK("https://www.ncbi.nlm.nih.gov/nuccore/KT273409","NCBI Nucleotide")</f>
        <v>NCBI Nucleotide</v>
      </c>
    </row>
    <row r="8789" spans="1:27" x14ac:dyDescent="0.35">
      <c r="A8789">
        <v>1009241</v>
      </c>
      <c r="B8789">
        <v>8114</v>
      </c>
      <c r="C8789">
        <v>1</v>
      </c>
      <c r="D8789" s="17" t="s">
        <v>17166</v>
      </c>
      <c r="E8789" s="17"/>
      <c r="F8789" s="17" t="s">
        <v>17246</v>
      </c>
      <c r="G8789" s="17"/>
      <c r="H8789" s="17" t="s">
        <v>17984</v>
      </c>
      <c r="I8789" s="17"/>
      <c r="J8789" s="17" t="s">
        <v>20542</v>
      </c>
      <c r="K8789" s="17"/>
      <c r="L8789" s="17" t="s">
        <v>20543</v>
      </c>
      <c r="M8789" s="17"/>
      <c r="N8789" s="17" t="s">
        <v>20550</v>
      </c>
      <c r="O8789" s="17" t="s">
        <v>20857</v>
      </c>
      <c r="P8789" s="17" t="s">
        <v>20868</v>
      </c>
      <c r="Q8789" s="17"/>
      <c r="R8789" s="25" t="str">
        <f>HYPERLINK("https://ictv.global/taxonomy/taxondetails?taxnode_id=202303768","Luteovirus pashordei")</f>
        <v>Luteovirus pashordei</v>
      </c>
      <c r="S8789" s="18" t="s">
        <v>30</v>
      </c>
      <c r="T8789" s="18" t="s">
        <v>20897</v>
      </c>
      <c r="U8789" s="18" t="s">
        <v>20898</v>
      </c>
      <c r="V8789" s="18" t="s">
        <v>20899</v>
      </c>
      <c r="W8789" s="18" t="s">
        <v>20900</v>
      </c>
      <c r="X8789" s="18" t="s">
        <v>42</v>
      </c>
      <c r="Y8789" s="18" t="s">
        <v>17171</v>
      </c>
      <c r="Z8789" s="18" t="s">
        <v>13441</v>
      </c>
      <c r="AA8789" s="21" t="str">
        <f>HYPERLINK("https://www.ncbi.nlm.nih.gov/nuccore/AF218798","NCBI Nucleotide")</f>
        <v>NCBI Nucleotide</v>
      </c>
    </row>
    <row r="8790" spans="1:27" x14ac:dyDescent="0.35">
      <c r="A8790">
        <v>1009242</v>
      </c>
      <c r="B8790">
        <v>8115</v>
      </c>
      <c r="C8790">
        <v>1</v>
      </c>
      <c r="D8790" s="17" t="s">
        <v>17166</v>
      </c>
      <c r="E8790" s="17"/>
      <c r="F8790" s="17" t="s">
        <v>17246</v>
      </c>
      <c r="G8790" s="17"/>
      <c r="H8790" s="17" t="s">
        <v>17984</v>
      </c>
      <c r="I8790" s="17"/>
      <c r="J8790" s="17" t="s">
        <v>20542</v>
      </c>
      <c r="K8790" s="17"/>
      <c r="L8790" s="17" t="s">
        <v>20543</v>
      </c>
      <c r="M8790" s="17"/>
      <c r="N8790" s="17" t="s">
        <v>20550</v>
      </c>
      <c r="O8790" s="17" t="s">
        <v>20857</v>
      </c>
      <c r="P8790" s="17" t="s">
        <v>20868</v>
      </c>
      <c r="Q8790" s="17"/>
      <c r="R8790" s="25" t="str">
        <f>HYPERLINK("https://ictv.global/taxonomy/taxondetails?taxnode_id=202303769","Luteovirus pavhordei")</f>
        <v>Luteovirus pavhordei</v>
      </c>
      <c r="S8790" s="18" t="s">
        <v>30</v>
      </c>
      <c r="T8790" s="18" t="s">
        <v>20901</v>
      </c>
      <c r="U8790" s="18" t="s">
        <v>20902</v>
      </c>
      <c r="V8790" s="18" t="s">
        <v>13887</v>
      </c>
      <c r="W8790" s="18" t="s">
        <v>20903</v>
      </c>
      <c r="X8790" s="18" t="s">
        <v>42</v>
      </c>
      <c r="Y8790" s="18" t="s">
        <v>17171</v>
      </c>
      <c r="Z8790" s="18" t="s">
        <v>13441</v>
      </c>
      <c r="AA8790" s="21" t="str">
        <f>HYPERLINK("https://www.ncbi.nlm.nih.gov/nuccore/X07653","NCBI Nucleotide")</f>
        <v>NCBI Nucleotide</v>
      </c>
    </row>
    <row r="8791" spans="1:27" x14ac:dyDescent="0.35">
      <c r="A8791">
        <v>1009243</v>
      </c>
      <c r="B8791">
        <v>8116</v>
      </c>
      <c r="C8791">
        <v>1</v>
      </c>
      <c r="D8791" s="17" t="s">
        <v>17166</v>
      </c>
      <c r="E8791" s="17"/>
      <c r="F8791" s="17" t="s">
        <v>17246</v>
      </c>
      <c r="G8791" s="17"/>
      <c r="H8791" s="17" t="s">
        <v>17984</v>
      </c>
      <c r="I8791" s="17"/>
      <c r="J8791" s="17" t="s">
        <v>20542</v>
      </c>
      <c r="K8791" s="17"/>
      <c r="L8791" s="17" t="s">
        <v>20543</v>
      </c>
      <c r="M8791" s="17"/>
      <c r="N8791" s="17" t="s">
        <v>20550</v>
      </c>
      <c r="O8791" s="17" t="s">
        <v>20857</v>
      </c>
      <c r="P8791" s="17" t="s">
        <v>20868</v>
      </c>
      <c r="Q8791" s="17"/>
      <c r="R8791" s="25" t="str">
        <f>HYPERLINK("https://ictv.global/taxonomy/taxondetails?taxnode_id=202303770","Luteovirus phaseoli")</f>
        <v>Luteovirus phaseoli</v>
      </c>
      <c r="S8791" s="18" t="s">
        <v>30</v>
      </c>
      <c r="T8791" s="18" t="s">
        <v>20904</v>
      </c>
      <c r="U8791" s="18" t="s">
        <v>20905</v>
      </c>
      <c r="V8791" s="18" t="s">
        <v>20906</v>
      </c>
      <c r="W8791" s="18" t="s">
        <v>20907</v>
      </c>
      <c r="X8791" s="18" t="s">
        <v>42</v>
      </c>
      <c r="Y8791" s="18" t="s">
        <v>17171</v>
      </c>
      <c r="Z8791" s="18" t="s">
        <v>13441</v>
      </c>
      <c r="AA8791" s="21" t="str">
        <f>HYPERLINK("https://www.ncbi.nlm.nih.gov/nuccore/AF441393","NCBI Nucleotide")</f>
        <v>NCBI Nucleotide</v>
      </c>
    </row>
    <row r="8792" spans="1:27" x14ac:dyDescent="0.35">
      <c r="A8792">
        <v>1009244</v>
      </c>
      <c r="B8792">
        <v>8117</v>
      </c>
      <c r="C8792">
        <v>1</v>
      </c>
      <c r="D8792" s="17" t="s">
        <v>17166</v>
      </c>
      <c r="E8792" s="17"/>
      <c r="F8792" s="17" t="s">
        <v>17246</v>
      </c>
      <c r="G8792" s="17"/>
      <c r="H8792" s="17" t="s">
        <v>17984</v>
      </c>
      <c r="I8792" s="17"/>
      <c r="J8792" s="17" t="s">
        <v>20542</v>
      </c>
      <c r="K8792" s="17"/>
      <c r="L8792" s="17" t="s">
        <v>20543</v>
      </c>
      <c r="M8792" s="17"/>
      <c r="N8792" s="17" t="s">
        <v>20550</v>
      </c>
      <c r="O8792" s="17" t="s">
        <v>20857</v>
      </c>
      <c r="P8792" s="17" t="s">
        <v>20868</v>
      </c>
      <c r="Q8792" s="17"/>
      <c r="R8792" s="25" t="str">
        <f>HYPERLINK("https://ictv.global/taxonomy/taxondetails?taxnode_id=202303771","Luteovirus rosae")</f>
        <v>Luteovirus rosae</v>
      </c>
      <c r="S8792" s="18" t="s">
        <v>30</v>
      </c>
      <c r="T8792" s="18" t="s">
        <v>20908</v>
      </c>
      <c r="U8792" s="18" t="s">
        <v>20909</v>
      </c>
      <c r="V8792" s="18" t="s">
        <v>18388</v>
      </c>
      <c r="W8792" s="18" t="s">
        <v>20910</v>
      </c>
      <c r="X8792" s="18" t="s">
        <v>42</v>
      </c>
      <c r="Y8792" s="18" t="s">
        <v>17171</v>
      </c>
      <c r="Z8792" s="18" t="s">
        <v>13441</v>
      </c>
      <c r="AA8792" s="21" t="str">
        <f>HYPERLINK("https://www.ncbi.nlm.nih.gov/nuccore/EU024678","NCBI Nucleotide")</f>
        <v>NCBI Nucleotide</v>
      </c>
    </row>
    <row r="8793" spans="1:27" x14ac:dyDescent="0.35">
      <c r="A8793">
        <v>1002840</v>
      </c>
      <c r="B8793">
        <v>8118</v>
      </c>
      <c r="C8793">
        <v>1</v>
      </c>
      <c r="D8793" s="17" t="s">
        <v>17166</v>
      </c>
      <c r="E8793" s="17"/>
      <c r="F8793" s="17" t="s">
        <v>17246</v>
      </c>
      <c r="G8793" s="17"/>
      <c r="H8793" s="17" t="s">
        <v>17984</v>
      </c>
      <c r="I8793" s="17"/>
      <c r="J8793" s="17" t="s">
        <v>20542</v>
      </c>
      <c r="K8793" s="17"/>
      <c r="L8793" s="17" t="s">
        <v>20543</v>
      </c>
      <c r="M8793" s="17"/>
      <c r="N8793" s="17" t="s">
        <v>20550</v>
      </c>
      <c r="O8793" s="17" t="s">
        <v>20857</v>
      </c>
      <c r="P8793" s="17" t="s">
        <v>20868</v>
      </c>
      <c r="Q8793" s="17"/>
      <c r="R8793" s="25" t="str">
        <f>HYPERLINK("https://ictv.global/taxonomy/taxondetails?taxnode_id=202303793","Luteovirus sgvhordei")</f>
        <v>Luteovirus sgvhordei</v>
      </c>
      <c r="S8793" s="18" t="s">
        <v>30</v>
      </c>
      <c r="T8793" s="18" t="s">
        <v>33079</v>
      </c>
      <c r="U8793" s="18" t="s">
        <v>33080</v>
      </c>
      <c r="V8793" s="18" t="s">
        <v>18179</v>
      </c>
      <c r="W8793" s="18" t="s">
        <v>33081</v>
      </c>
      <c r="X8793" s="18" t="s">
        <v>154</v>
      </c>
      <c r="Y8793" s="18" t="s">
        <v>17171</v>
      </c>
      <c r="Z8793" s="18" t="s">
        <v>13441</v>
      </c>
      <c r="AA8793" s="21" t="str">
        <f>HYPERLINK("https://www.ncbi.nlm.nih.gov/nuccore/AY541039","NCBI Nucleotide")</f>
        <v>NCBI Nucleotide</v>
      </c>
    </row>
    <row r="8794" spans="1:27" x14ac:dyDescent="0.35">
      <c r="A8794">
        <v>1009245</v>
      </c>
      <c r="B8794">
        <v>8119</v>
      </c>
      <c r="C8794">
        <v>1</v>
      </c>
      <c r="D8794" s="17" t="s">
        <v>17166</v>
      </c>
      <c r="E8794" s="17"/>
      <c r="F8794" s="17" t="s">
        <v>17246</v>
      </c>
      <c r="G8794" s="17"/>
      <c r="H8794" s="17" t="s">
        <v>17984</v>
      </c>
      <c r="I8794" s="17"/>
      <c r="J8794" s="17" t="s">
        <v>20542</v>
      </c>
      <c r="K8794" s="17"/>
      <c r="L8794" s="17" t="s">
        <v>20543</v>
      </c>
      <c r="M8794" s="17"/>
      <c r="N8794" s="17" t="s">
        <v>20550</v>
      </c>
      <c r="O8794" s="17" t="s">
        <v>20857</v>
      </c>
      <c r="P8794" s="17" t="s">
        <v>20868</v>
      </c>
      <c r="Q8794" s="17"/>
      <c r="R8794" s="25" t="str">
        <f>HYPERLINK("https://ictv.global/taxonomy/taxondetails?taxnode_id=202307550","Luteovirus sociomali")</f>
        <v>Luteovirus sociomali</v>
      </c>
      <c r="S8794" s="18" t="s">
        <v>30</v>
      </c>
      <c r="T8794" s="18" t="s">
        <v>20911</v>
      </c>
      <c r="U8794" s="18" t="s">
        <v>20912</v>
      </c>
      <c r="V8794" s="18" t="s">
        <v>20913</v>
      </c>
      <c r="W8794" s="18" t="s">
        <v>20914</v>
      </c>
      <c r="X8794" s="18" t="s">
        <v>42</v>
      </c>
      <c r="Y8794" s="18" t="s">
        <v>17171</v>
      </c>
      <c r="Z8794" s="18" t="s">
        <v>13441</v>
      </c>
      <c r="AA8794" s="21" t="str">
        <f>HYPERLINK("https://www.ncbi.nlm.nih.gov/nuccore/MF580384","NCBI Nucleotide")</f>
        <v>NCBI Nucleotide</v>
      </c>
    </row>
    <row r="8795" spans="1:27" x14ac:dyDescent="0.35">
      <c r="A8795">
        <v>1009246</v>
      </c>
      <c r="B8795">
        <v>8120</v>
      </c>
      <c r="C8795">
        <v>1</v>
      </c>
      <c r="D8795" s="17" t="s">
        <v>17166</v>
      </c>
      <c r="E8795" s="17"/>
      <c r="F8795" s="17" t="s">
        <v>17246</v>
      </c>
      <c r="G8795" s="17"/>
      <c r="H8795" s="17" t="s">
        <v>17984</v>
      </c>
      <c r="I8795" s="17"/>
      <c r="J8795" s="17" t="s">
        <v>20542</v>
      </c>
      <c r="K8795" s="17"/>
      <c r="L8795" s="17" t="s">
        <v>20543</v>
      </c>
      <c r="M8795" s="17"/>
      <c r="N8795" s="17" t="s">
        <v>20550</v>
      </c>
      <c r="O8795" s="17" t="s">
        <v>20857</v>
      </c>
      <c r="P8795" s="17" t="s">
        <v>20868</v>
      </c>
      <c r="Q8795" s="17"/>
      <c r="R8795" s="25" t="str">
        <f>HYPERLINK("https://ictv.global/taxonomy/taxondetails?taxnode_id=202307552","Luteovirus trifolii")</f>
        <v>Luteovirus trifolii</v>
      </c>
      <c r="S8795" s="18" t="s">
        <v>30</v>
      </c>
      <c r="T8795" s="18" t="s">
        <v>20915</v>
      </c>
      <c r="U8795" s="18" t="s">
        <v>20916</v>
      </c>
      <c r="V8795" s="18" t="s">
        <v>20917</v>
      </c>
      <c r="W8795" s="18" t="s">
        <v>20918</v>
      </c>
      <c r="X8795" s="18" t="s">
        <v>42</v>
      </c>
      <c r="Y8795" s="18" t="s">
        <v>17171</v>
      </c>
      <c r="Z8795" s="18" t="s">
        <v>13441</v>
      </c>
      <c r="AA8795" s="21" t="str">
        <f>HYPERLINK("https://www.ncbi.nlm.nih.gov/nuccore/MG597244","NCBI Nucleotide")</f>
        <v>NCBI Nucleotide</v>
      </c>
    </row>
    <row r="8796" spans="1:27" x14ac:dyDescent="0.35">
      <c r="A8796">
        <v>1009248</v>
      </c>
      <c r="B8796">
        <v>8121</v>
      </c>
      <c r="C8796">
        <v>1</v>
      </c>
      <c r="D8796" s="17" t="s">
        <v>17166</v>
      </c>
      <c r="E8796" s="17"/>
      <c r="F8796" s="17" t="s">
        <v>17246</v>
      </c>
      <c r="G8796" s="17"/>
      <c r="H8796" s="17" t="s">
        <v>20919</v>
      </c>
      <c r="I8796" s="17"/>
      <c r="J8796" s="17" t="s">
        <v>20920</v>
      </c>
      <c r="K8796" s="17"/>
      <c r="L8796" s="17" t="s">
        <v>20921</v>
      </c>
      <c r="M8796" s="17"/>
      <c r="N8796" s="17" t="s">
        <v>20922</v>
      </c>
      <c r="O8796" s="17"/>
      <c r="P8796" s="17" t="s">
        <v>20923</v>
      </c>
      <c r="Q8796" s="17"/>
      <c r="R8796" s="25" t="str">
        <f>HYPERLINK("https://ictv.global/taxonomy/taxondetails?taxnode_id=202303918","Narnavirus saccharomaior")</f>
        <v>Narnavirus saccharomaior</v>
      </c>
      <c r="S8796" s="18" t="s">
        <v>30</v>
      </c>
      <c r="T8796" s="18" t="s">
        <v>20928</v>
      </c>
      <c r="U8796" s="18" t="s">
        <v>20929</v>
      </c>
      <c r="V8796" s="18" t="s">
        <v>20926</v>
      </c>
      <c r="W8796" s="18" t="s">
        <v>20930</v>
      </c>
      <c r="X8796" s="18" t="s">
        <v>42</v>
      </c>
      <c r="Y8796" s="18" t="s">
        <v>17171</v>
      </c>
      <c r="Z8796" s="18" t="s">
        <v>16721</v>
      </c>
      <c r="AA8796" s="21" t="str">
        <f>HYPERLINK("https://www.ncbi.nlm.nih.gov/nuccore/U90136","NCBI Nucleotide")</f>
        <v>NCBI Nucleotide</v>
      </c>
    </row>
    <row r="8797" spans="1:27" x14ac:dyDescent="0.35">
      <c r="A8797">
        <v>1009247</v>
      </c>
      <c r="B8797">
        <v>8122</v>
      </c>
      <c r="C8797">
        <v>1</v>
      </c>
      <c r="D8797" s="17" t="s">
        <v>17166</v>
      </c>
      <c r="E8797" s="17"/>
      <c r="F8797" s="17" t="s">
        <v>17246</v>
      </c>
      <c r="G8797" s="17"/>
      <c r="H8797" s="17" t="s">
        <v>20919</v>
      </c>
      <c r="I8797" s="17"/>
      <c r="J8797" s="17" t="s">
        <v>20920</v>
      </c>
      <c r="K8797" s="17"/>
      <c r="L8797" s="17" t="s">
        <v>20921</v>
      </c>
      <c r="M8797" s="17"/>
      <c r="N8797" s="17" t="s">
        <v>20922</v>
      </c>
      <c r="O8797" s="17"/>
      <c r="P8797" s="17" t="s">
        <v>20923</v>
      </c>
      <c r="Q8797" s="17"/>
      <c r="R8797" s="25" t="str">
        <f>HYPERLINK("https://ictv.global/taxonomy/taxondetails?taxnode_id=202303917","Narnavirus saccharominor")</f>
        <v>Narnavirus saccharominor</v>
      </c>
      <c r="S8797" s="18" t="s">
        <v>30</v>
      </c>
      <c r="T8797" s="18" t="s">
        <v>20924</v>
      </c>
      <c r="U8797" s="18" t="s">
        <v>20925</v>
      </c>
      <c r="V8797" s="18" t="s">
        <v>20926</v>
      </c>
      <c r="W8797" s="18" t="s">
        <v>20927</v>
      </c>
      <c r="X8797" s="18" t="s">
        <v>42</v>
      </c>
      <c r="Y8797" s="18" t="s">
        <v>17171</v>
      </c>
      <c r="Z8797" s="18" t="s">
        <v>16721</v>
      </c>
      <c r="AA8797" s="21" t="str">
        <f>HYPERLINK("https://www.ncbi.nlm.nih.gov/nuccore/AF039063","NCBI Nucleotide")</f>
        <v>NCBI Nucleotide</v>
      </c>
    </row>
    <row r="8798" spans="1:27" x14ac:dyDescent="0.35">
      <c r="A8798">
        <v>1009249</v>
      </c>
      <c r="B8798">
        <v>8123</v>
      </c>
      <c r="C8798">
        <v>1</v>
      </c>
      <c r="D8798" s="17" t="s">
        <v>17166</v>
      </c>
      <c r="E8798" s="17"/>
      <c r="F8798" s="17" t="s">
        <v>17246</v>
      </c>
      <c r="G8798" s="17"/>
      <c r="H8798" s="17" t="s">
        <v>20919</v>
      </c>
      <c r="I8798" s="17"/>
      <c r="J8798" s="17" t="s">
        <v>20931</v>
      </c>
      <c r="K8798" s="17"/>
      <c r="L8798" s="17" t="s">
        <v>20932</v>
      </c>
      <c r="M8798" s="17"/>
      <c r="N8798" s="17" t="s">
        <v>20933</v>
      </c>
      <c r="O8798" s="17"/>
      <c r="P8798" s="17" t="s">
        <v>20934</v>
      </c>
      <c r="Q8798" s="17"/>
      <c r="R8798" s="25" t="str">
        <f>HYPERLINK("https://ictv.global/taxonomy/taxondetails?taxnode_id=202313794","Duamitovirus alal1")</f>
        <v>Duamitovirus alal1</v>
      </c>
      <c r="S8798" s="18" t="s">
        <v>30</v>
      </c>
      <c r="T8798" s="18" t="s">
        <v>20935</v>
      </c>
      <c r="U8798" s="18" t="s">
        <v>20936</v>
      </c>
      <c r="V8798" s="18" t="s">
        <v>20937</v>
      </c>
      <c r="W8798" s="18" t="s">
        <v>20938</v>
      </c>
      <c r="X8798" s="18" t="s">
        <v>35</v>
      </c>
      <c r="Y8798" s="18" t="s">
        <v>17171</v>
      </c>
      <c r="Z8798" s="18" t="s">
        <v>16721</v>
      </c>
      <c r="AA8798" s="21" t="str">
        <f>HYPERLINK("https://www.ncbi.nlm.nih.gov/nuccore/MK584829","NCBI Nucleotide")</f>
        <v>NCBI Nucleotide</v>
      </c>
    </row>
    <row r="8799" spans="1:27" x14ac:dyDescent="0.35">
      <c r="A8799">
        <v>1009250</v>
      </c>
      <c r="B8799">
        <v>8124</v>
      </c>
      <c r="C8799">
        <v>1</v>
      </c>
      <c r="D8799" s="17" t="s">
        <v>17166</v>
      </c>
      <c r="E8799" s="17"/>
      <c r="F8799" s="17" t="s">
        <v>17246</v>
      </c>
      <c r="G8799" s="17"/>
      <c r="H8799" s="17" t="s">
        <v>20919</v>
      </c>
      <c r="I8799" s="17"/>
      <c r="J8799" s="17" t="s">
        <v>20931</v>
      </c>
      <c r="K8799" s="17"/>
      <c r="L8799" s="17" t="s">
        <v>20932</v>
      </c>
      <c r="M8799" s="17"/>
      <c r="N8799" s="17" t="s">
        <v>20933</v>
      </c>
      <c r="O8799" s="17"/>
      <c r="P8799" s="17" t="s">
        <v>20934</v>
      </c>
      <c r="Q8799" s="17"/>
      <c r="R8799" s="25" t="str">
        <f>HYPERLINK("https://ictv.global/taxonomy/taxondetails?taxnode_id=202313795","Duamitovirus azfi1")</f>
        <v>Duamitovirus azfi1</v>
      </c>
      <c r="S8799" s="18" t="s">
        <v>30</v>
      </c>
      <c r="T8799" s="18" t="s">
        <v>20939</v>
      </c>
      <c r="U8799" s="18" t="s">
        <v>20940</v>
      </c>
      <c r="V8799" s="18" t="s">
        <v>20941</v>
      </c>
      <c r="W8799" s="18" t="s">
        <v>20942</v>
      </c>
      <c r="X8799" s="18" t="s">
        <v>35</v>
      </c>
      <c r="Y8799" s="18" t="s">
        <v>17171</v>
      </c>
      <c r="Z8799" s="18" t="s">
        <v>13441</v>
      </c>
      <c r="AA8799" s="21" t="str">
        <f>HYPERLINK("https://www.ncbi.nlm.nih.gov/nuccore/BK010423","NCBI Nucleotide")</f>
        <v>NCBI Nucleotide</v>
      </c>
    </row>
    <row r="8800" spans="1:27" x14ac:dyDescent="0.35">
      <c r="A8800">
        <v>1009251</v>
      </c>
      <c r="B8800">
        <v>8125</v>
      </c>
      <c r="C8800">
        <v>1</v>
      </c>
      <c r="D8800" s="17" t="s">
        <v>17166</v>
      </c>
      <c r="E8800" s="17"/>
      <c r="F8800" s="17" t="s">
        <v>17246</v>
      </c>
      <c r="G8800" s="17"/>
      <c r="H8800" s="17" t="s">
        <v>20919</v>
      </c>
      <c r="I8800" s="17"/>
      <c r="J8800" s="17" t="s">
        <v>20931</v>
      </c>
      <c r="K8800" s="17"/>
      <c r="L8800" s="17" t="s">
        <v>20932</v>
      </c>
      <c r="M8800" s="17"/>
      <c r="N8800" s="17" t="s">
        <v>20933</v>
      </c>
      <c r="O8800" s="17"/>
      <c r="P8800" s="17" t="s">
        <v>20934</v>
      </c>
      <c r="Q8800" s="17"/>
      <c r="R8800" s="25" t="str">
        <f>HYPERLINK("https://ictv.global/taxonomy/taxondetails?taxnode_id=202313796","Duamitovirus bevu1")</f>
        <v>Duamitovirus bevu1</v>
      </c>
      <c r="S8800" s="18" t="s">
        <v>30</v>
      </c>
      <c r="T8800" s="18" t="s">
        <v>20943</v>
      </c>
      <c r="U8800" s="18" t="s">
        <v>20944</v>
      </c>
      <c r="V8800" s="18" t="s">
        <v>20945</v>
      </c>
      <c r="W8800" s="18" t="s">
        <v>20946</v>
      </c>
      <c r="X8800" s="18" t="s">
        <v>35</v>
      </c>
      <c r="Y8800" s="18" t="s">
        <v>17171</v>
      </c>
      <c r="Z8800" s="18" t="s">
        <v>13441</v>
      </c>
      <c r="AA8800" s="21" t="str">
        <f>HYPERLINK("https://www.ncbi.nlm.nih.gov/nuccore/MG721540","NCBI Nucleotide")</f>
        <v>NCBI Nucleotide</v>
      </c>
    </row>
    <row r="8801" spans="1:27" x14ac:dyDescent="0.35">
      <c r="A8801">
        <v>1009252</v>
      </c>
      <c r="B8801">
        <v>8126</v>
      </c>
      <c r="C8801">
        <v>1</v>
      </c>
      <c r="D8801" s="17" t="s">
        <v>17166</v>
      </c>
      <c r="E8801" s="17"/>
      <c r="F8801" s="17" t="s">
        <v>17246</v>
      </c>
      <c r="G8801" s="17"/>
      <c r="H8801" s="17" t="s">
        <v>20919</v>
      </c>
      <c r="I8801" s="17"/>
      <c r="J8801" s="17" t="s">
        <v>20931</v>
      </c>
      <c r="K8801" s="17"/>
      <c r="L8801" s="17" t="s">
        <v>20932</v>
      </c>
      <c r="M8801" s="17"/>
      <c r="N8801" s="17" t="s">
        <v>20933</v>
      </c>
      <c r="O8801" s="17"/>
      <c r="P8801" s="17" t="s">
        <v>20934</v>
      </c>
      <c r="Q8801" s="17"/>
      <c r="R8801" s="25" t="str">
        <f>HYPERLINK("https://ictv.global/taxonomy/taxondetails?taxnode_id=202313798","Duamitovirus boci1")</f>
        <v>Duamitovirus boci1</v>
      </c>
      <c r="S8801" s="18" t="s">
        <v>30</v>
      </c>
      <c r="T8801" s="18" t="s">
        <v>20947</v>
      </c>
      <c r="U8801" s="18" t="s">
        <v>20948</v>
      </c>
      <c r="V8801" s="18" t="s">
        <v>20949</v>
      </c>
      <c r="W8801" s="18" t="s">
        <v>20950</v>
      </c>
      <c r="X8801" s="18" t="s">
        <v>42</v>
      </c>
      <c r="Y8801" s="18" t="s">
        <v>17171</v>
      </c>
      <c r="Z8801" s="18" t="s">
        <v>16721</v>
      </c>
      <c r="AA8801" s="21" t="str">
        <f>HYPERLINK("https://www.ncbi.nlm.nih.gov/nuccore/EF580100","NCBI Nucleotide")</f>
        <v>NCBI Nucleotide</v>
      </c>
    </row>
    <row r="8802" spans="1:27" x14ac:dyDescent="0.35">
      <c r="A8802">
        <v>1009253</v>
      </c>
      <c r="B8802">
        <v>8127</v>
      </c>
      <c r="C8802">
        <v>1</v>
      </c>
      <c r="D8802" s="17" t="s">
        <v>17166</v>
      </c>
      <c r="E8802" s="17"/>
      <c r="F8802" s="17" t="s">
        <v>17246</v>
      </c>
      <c r="G8802" s="17"/>
      <c r="H8802" s="17" t="s">
        <v>20919</v>
      </c>
      <c r="I8802" s="17"/>
      <c r="J8802" s="17" t="s">
        <v>20931</v>
      </c>
      <c r="K8802" s="17"/>
      <c r="L8802" s="17" t="s">
        <v>20932</v>
      </c>
      <c r="M8802" s="17"/>
      <c r="N8802" s="17" t="s">
        <v>20933</v>
      </c>
      <c r="O8802" s="17"/>
      <c r="P8802" s="17" t="s">
        <v>20934</v>
      </c>
      <c r="Q8802" s="17"/>
      <c r="R8802" s="25" t="str">
        <f>HYPERLINK("https://ictv.global/taxonomy/taxondetails?taxnode_id=202313799","Duamitovirus boci3")</f>
        <v>Duamitovirus boci3</v>
      </c>
      <c r="S8802" s="18" t="s">
        <v>30</v>
      </c>
      <c r="T8802" s="18" t="s">
        <v>20951</v>
      </c>
      <c r="U8802" s="18" t="s">
        <v>20952</v>
      </c>
      <c r="V8802" s="18" t="s">
        <v>20953</v>
      </c>
      <c r="W8802" s="18" t="s">
        <v>20954</v>
      </c>
      <c r="X8802" s="18" t="s">
        <v>35</v>
      </c>
      <c r="Y8802" s="18" t="s">
        <v>17171</v>
      </c>
      <c r="Z8802" s="18" t="s">
        <v>16721</v>
      </c>
      <c r="AA8802" s="21" t="str">
        <f>HYPERLINK("https://www.ncbi.nlm.nih.gov/nuccore/LN827942","NCBI Nucleotide")</f>
        <v>NCBI Nucleotide</v>
      </c>
    </row>
    <row r="8803" spans="1:27" x14ac:dyDescent="0.35">
      <c r="A8803">
        <v>1009254</v>
      </c>
      <c r="B8803">
        <v>8128</v>
      </c>
      <c r="C8803">
        <v>1</v>
      </c>
      <c r="D8803" s="17" t="s">
        <v>17166</v>
      </c>
      <c r="E8803" s="17"/>
      <c r="F8803" s="17" t="s">
        <v>17246</v>
      </c>
      <c r="G8803" s="17"/>
      <c r="H8803" s="17" t="s">
        <v>20919</v>
      </c>
      <c r="I8803" s="17"/>
      <c r="J8803" s="17" t="s">
        <v>20931</v>
      </c>
      <c r="K8803" s="17"/>
      <c r="L8803" s="17" t="s">
        <v>20932</v>
      </c>
      <c r="M8803" s="17"/>
      <c r="N8803" s="17" t="s">
        <v>20933</v>
      </c>
      <c r="O8803" s="17"/>
      <c r="P8803" s="17" t="s">
        <v>20934</v>
      </c>
      <c r="Q8803" s="17"/>
      <c r="R8803" s="25" t="str">
        <f>HYPERLINK("https://ictv.global/taxonomy/taxondetails?taxnode_id=202313797","Duamitovirus bodo1")</f>
        <v>Duamitovirus bodo1</v>
      </c>
      <c r="S8803" s="18" t="s">
        <v>30</v>
      </c>
      <c r="T8803" s="18" t="s">
        <v>20955</v>
      </c>
      <c r="U8803" s="18" t="s">
        <v>20956</v>
      </c>
      <c r="V8803" s="18" t="s">
        <v>20957</v>
      </c>
      <c r="W8803" s="18" t="s">
        <v>20958</v>
      </c>
      <c r="X8803" s="18" t="s">
        <v>42</v>
      </c>
      <c r="Y8803" s="18" t="s">
        <v>17171</v>
      </c>
      <c r="Z8803" s="18" t="s">
        <v>16721</v>
      </c>
      <c r="AA8803" s="21" t="str">
        <f>HYPERLINK("https://www.ncbi.nlm.nih.gov/nuccore/MT676452","NCBI Nucleotide")</f>
        <v>NCBI Nucleotide</v>
      </c>
    </row>
    <row r="8804" spans="1:27" x14ac:dyDescent="0.35">
      <c r="A8804">
        <v>1009255</v>
      </c>
      <c r="B8804">
        <v>8129</v>
      </c>
      <c r="C8804">
        <v>1</v>
      </c>
      <c r="D8804" s="17" t="s">
        <v>17166</v>
      </c>
      <c r="E8804" s="17"/>
      <c r="F8804" s="17" t="s">
        <v>17246</v>
      </c>
      <c r="G8804" s="17"/>
      <c r="H8804" s="17" t="s">
        <v>20919</v>
      </c>
      <c r="I8804" s="17"/>
      <c r="J8804" s="17" t="s">
        <v>20931</v>
      </c>
      <c r="K8804" s="17"/>
      <c r="L8804" s="17" t="s">
        <v>20932</v>
      </c>
      <c r="M8804" s="17"/>
      <c r="N8804" s="17" t="s">
        <v>20933</v>
      </c>
      <c r="O8804" s="17"/>
      <c r="P8804" s="17" t="s">
        <v>20934</v>
      </c>
      <c r="Q8804" s="17"/>
      <c r="R8804" s="25" t="str">
        <f>HYPERLINK("https://ictv.global/taxonomy/taxondetails?taxnode_id=202313800","Duamitovirus busp1")</f>
        <v>Duamitovirus busp1</v>
      </c>
      <c r="S8804" s="18" t="s">
        <v>30</v>
      </c>
      <c r="T8804" s="18" t="s">
        <v>20959</v>
      </c>
      <c r="U8804" s="18" t="s">
        <v>20960</v>
      </c>
      <c r="V8804" s="18" t="s">
        <v>20961</v>
      </c>
      <c r="W8804" s="18" t="s">
        <v>20962</v>
      </c>
      <c r="X8804" s="18" t="s">
        <v>42</v>
      </c>
      <c r="Y8804" s="18" t="s">
        <v>17171</v>
      </c>
      <c r="Z8804" s="18" t="s">
        <v>16721</v>
      </c>
      <c r="AA8804" s="21" t="str">
        <f>HYPERLINK("https://www.ncbi.nlm.nih.gov/nuccore/KJ485703","NCBI Nucleotide")</f>
        <v>NCBI Nucleotide</v>
      </c>
    </row>
    <row r="8805" spans="1:27" x14ac:dyDescent="0.35">
      <c r="A8805">
        <v>1009256</v>
      </c>
      <c r="B8805">
        <v>8130</v>
      </c>
      <c r="C8805">
        <v>1</v>
      </c>
      <c r="D8805" s="17" t="s">
        <v>17166</v>
      </c>
      <c r="E8805" s="17"/>
      <c r="F8805" s="17" t="s">
        <v>17246</v>
      </c>
      <c r="G8805" s="17"/>
      <c r="H8805" s="17" t="s">
        <v>20919</v>
      </c>
      <c r="I8805" s="17"/>
      <c r="J8805" s="17" t="s">
        <v>20931</v>
      </c>
      <c r="K8805" s="17"/>
      <c r="L8805" s="17" t="s">
        <v>20932</v>
      </c>
      <c r="M8805" s="17"/>
      <c r="N8805" s="17" t="s">
        <v>20933</v>
      </c>
      <c r="O8805" s="17"/>
      <c r="P8805" s="17" t="s">
        <v>20934</v>
      </c>
      <c r="Q8805" s="17"/>
      <c r="R8805" s="25" t="str">
        <f>HYPERLINK("https://ictv.global/taxonomy/taxondetails?taxnode_id=202313801","Duamitovirus casa1")</f>
        <v>Duamitovirus casa1</v>
      </c>
      <c r="S8805" s="18" t="s">
        <v>30</v>
      </c>
      <c r="T8805" s="18" t="s">
        <v>20963</v>
      </c>
      <c r="U8805" s="18" t="s">
        <v>20964</v>
      </c>
      <c r="V8805" s="18" t="s">
        <v>20965</v>
      </c>
      <c r="W8805" s="18" t="s">
        <v>20966</v>
      </c>
      <c r="X8805" s="18" t="s">
        <v>35</v>
      </c>
      <c r="Y8805" s="18" t="s">
        <v>17171</v>
      </c>
      <c r="Z8805" s="18" t="s">
        <v>13441</v>
      </c>
      <c r="AA8805" s="21" t="str">
        <f>HYPERLINK("https://www.ncbi.nlm.nih.gov/nuccore/BK010428","NCBI Nucleotide")</f>
        <v>NCBI Nucleotide</v>
      </c>
    </row>
    <row r="8806" spans="1:27" x14ac:dyDescent="0.35">
      <c r="A8806">
        <v>1009257</v>
      </c>
      <c r="B8806">
        <v>8131</v>
      </c>
      <c r="C8806">
        <v>1</v>
      </c>
      <c r="D8806" s="17" t="s">
        <v>17166</v>
      </c>
      <c r="E8806" s="17"/>
      <c r="F8806" s="17" t="s">
        <v>17246</v>
      </c>
      <c r="G8806" s="17"/>
      <c r="H8806" s="17" t="s">
        <v>20919</v>
      </c>
      <c r="I8806" s="17"/>
      <c r="J8806" s="17" t="s">
        <v>20931</v>
      </c>
      <c r="K8806" s="17"/>
      <c r="L8806" s="17" t="s">
        <v>20932</v>
      </c>
      <c r="M8806" s="17"/>
      <c r="N8806" s="17" t="s">
        <v>20933</v>
      </c>
      <c r="O8806" s="17"/>
      <c r="P8806" s="17" t="s">
        <v>20934</v>
      </c>
      <c r="Q8806" s="17"/>
      <c r="R8806" s="25" t="str">
        <f>HYPERLINK("https://ictv.global/taxonomy/taxondetails?taxnode_id=202313802","Duamitovirus cesp1")</f>
        <v>Duamitovirus cesp1</v>
      </c>
      <c r="S8806" s="18" t="s">
        <v>30</v>
      </c>
      <c r="T8806" s="18" t="s">
        <v>20967</v>
      </c>
      <c r="U8806" s="18" t="s">
        <v>20968</v>
      </c>
      <c r="V8806" s="18" t="s">
        <v>20969</v>
      </c>
      <c r="W8806" s="18" t="s">
        <v>20970</v>
      </c>
      <c r="X8806" s="18" t="s">
        <v>35</v>
      </c>
      <c r="Y8806" s="18" t="s">
        <v>17171</v>
      </c>
      <c r="Z8806" s="18" t="s">
        <v>16721</v>
      </c>
      <c r="AA8806" s="21" t="str">
        <f>HYPERLINK("https://www.ncbi.nlm.nih.gov/nuccore/MN736968","NCBI Nucleotide")</f>
        <v>NCBI Nucleotide</v>
      </c>
    </row>
    <row r="8807" spans="1:27" x14ac:dyDescent="0.35">
      <c r="A8807">
        <v>1009258</v>
      </c>
      <c r="B8807">
        <v>8132</v>
      </c>
      <c r="C8807">
        <v>1</v>
      </c>
      <c r="D8807" s="17" t="s">
        <v>17166</v>
      </c>
      <c r="E8807" s="17"/>
      <c r="F8807" s="17" t="s">
        <v>17246</v>
      </c>
      <c r="G8807" s="17"/>
      <c r="H8807" s="17" t="s">
        <v>20919</v>
      </c>
      <c r="I8807" s="17"/>
      <c r="J8807" s="17" t="s">
        <v>20931</v>
      </c>
      <c r="K8807" s="17"/>
      <c r="L8807" s="17" t="s">
        <v>20932</v>
      </c>
      <c r="M8807" s="17"/>
      <c r="N8807" s="17" t="s">
        <v>20933</v>
      </c>
      <c r="O8807" s="17"/>
      <c r="P8807" s="17" t="s">
        <v>20934</v>
      </c>
      <c r="Q8807" s="17"/>
      <c r="R8807" s="25" t="str">
        <f>HYPERLINK("https://ictv.global/taxonomy/taxondetails?taxnode_id=202313803","Duamitovirus chqu1")</f>
        <v>Duamitovirus chqu1</v>
      </c>
      <c r="S8807" s="18" t="s">
        <v>30</v>
      </c>
      <c r="T8807" s="18" t="s">
        <v>20971</v>
      </c>
      <c r="U8807" s="18" t="s">
        <v>20972</v>
      </c>
      <c r="V8807" s="18" t="s">
        <v>20973</v>
      </c>
      <c r="W8807" s="18" t="s">
        <v>20974</v>
      </c>
      <c r="X8807" s="18" t="s">
        <v>42</v>
      </c>
      <c r="Y8807" s="18" t="s">
        <v>17171</v>
      </c>
      <c r="Z8807" s="18" t="s">
        <v>13441</v>
      </c>
      <c r="AA8807" s="21" t="str">
        <f>HYPERLINK("https://www.ncbi.nlm.nih.gov/nuccore/MF375475","NCBI Nucleotide")</f>
        <v>NCBI Nucleotide</v>
      </c>
    </row>
    <row r="8808" spans="1:27" x14ac:dyDescent="0.35">
      <c r="A8808">
        <v>1009259</v>
      </c>
      <c r="B8808">
        <v>8133</v>
      </c>
      <c r="C8808">
        <v>1</v>
      </c>
      <c r="D8808" s="17" t="s">
        <v>17166</v>
      </c>
      <c r="E8808" s="17"/>
      <c r="F8808" s="17" t="s">
        <v>17246</v>
      </c>
      <c r="G8808" s="17"/>
      <c r="H8808" s="17" t="s">
        <v>20919</v>
      </c>
      <c r="I8808" s="17"/>
      <c r="J8808" s="17" t="s">
        <v>20931</v>
      </c>
      <c r="K8808" s="17"/>
      <c r="L8808" s="17" t="s">
        <v>20932</v>
      </c>
      <c r="M8808" s="17"/>
      <c r="N8808" s="17" t="s">
        <v>20933</v>
      </c>
      <c r="O8808" s="17"/>
      <c r="P8808" s="17" t="s">
        <v>20934</v>
      </c>
      <c r="Q8808" s="17"/>
      <c r="R8808" s="25" t="str">
        <f>HYPERLINK("https://ictv.global/taxonomy/taxondetails?taxnode_id=202313804","Duamitovirus clod1")</f>
        <v>Duamitovirus clod1</v>
      </c>
      <c r="S8808" s="18" t="s">
        <v>30</v>
      </c>
      <c r="T8808" s="18" t="s">
        <v>20975</v>
      </c>
      <c r="U8808" s="18" t="s">
        <v>20976</v>
      </c>
      <c r="V8808" s="18" t="s">
        <v>20977</v>
      </c>
      <c r="W8808" s="18" t="s">
        <v>20978</v>
      </c>
      <c r="X8808" s="18" t="s">
        <v>42</v>
      </c>
      <c r="Y8808" s="18" t="s">
        <v>17171</v>
      </c>
      <c r="Z8808" s="18" t="s">
        <v>16721</v>
      </c>
      <c r="AA8808" s="21" t="str">
        <f>HYPERLINK("https://www.ncbi.nlm.nih.gov/nuccore/HE717021","NCBI Nucleotide")</f>
        <v>NCBI Nucleotide</v>
      </c>
    </row>
    <row r="8809" spans="1:27" x14ac:dyDescent="0.35">
      <c r="A8809">
        <v>1009260</v>
      </c>
      <c r="B8809">
        <v>8134</v>
      </c>
      <c r="C8809">
        <v>1</v>
      </c>
      <c r="D8809" s="17" t="s">
        <v>17166</v>
      </c>
      <c r="E8809" s="17"/>
      <c r="F8809" s="17" t="s">
        <v>17246</v>
      </c>
      <c r="G8809" s="17"/>
      <c r="H8809" s="17" t="s">
        <v>20919</v>
      </c>
      <c r="I8809" s="17"/>
      <c r="J8809" s="17" t="s">
        <v>20931</v>
      </c>
      <c r="K8809" s="17"/>
      <c r="L8809" s="17" t="s">
        <v>20932</v>
      </c>
      <c r="M8809" s="17"/>
      <c r="N8809" s="17" t="s">
        <v>20933</v>
      </c>
      <c r="O8809" s="17"/>
      <c r="P8809" s="17" t="s">
        <v>20934</v>
      </c>
      <c r="Q8809" s="17"/>
      <c r="R8809" s="25" t="str">
        <f>HYPERLINK("https://ictv.global/taxonomy/taxondetails?taxnode_id=202303911","Duamitovirus crpa1")</f>
        <v>Duamitovirus crpa1</v>
      </c>
      <c r="S8809" s="18" t="s">
        <v>30</v>
      </c>
      <c r="T8809" s="18" t="s">
        <v>20979</v>
      </c>
      <c r="U8809" s="18" t="s">
        <v>20980</v>
      </c>
      <c r="V8809" s="18" t="s">
        <v>20981</v>
      </c>
      <c r="W8809" s="18" t="s">
        <v>20982</v>
      </c>
      <c r="X8809" s="18" t="s">
        <v>42</v>
      </c>
      <c r="Y8809" s="18" t="s">
        <v>17171</v>
      </c>
      <c r="Z8809" s="18" t="s">
        <v>16721</v>
      </c>
      <c r="AA8809" s="21" t="str">
        <f>HYPERLINK("https://www.ncbi.nlm.nih.gov/nuccore/L31849","NCBI Nucleotide")</f>
        <v>NCBI Nucleotide</v>
      </c>
    </row>
    <row r="8810" spans="1:27" x14ac:dyDescent="0.35">
      <c r="A8810">
        <v>1009261</v>
      </c>
      <c r="B8810">
        <v>8135</v>
      </c>
      <c r="C8810">
        <v>1</v>
      </c>
      <c r="D8810" s="17" t="s">
        <v>17166</v>
      </c>
      <c r="E8810" s="17"/>
      <c r="F8810" s="17" t="s">
        <v>17246</v>
      </c>
      <c r="G8810" s="17"/>
      <c r="H8810" s="17" t="s">
        <v>20919</v>
      </c>
      <c r="I8810" s="17"/>
      <c r="J8810" s="17" t="s">
        <v>20931</v>
      </c>
      <c r="K8810" s="17"/>
      <c r="L8810" s="17" t="s">
        <v>20932</v>
      </c>
      <c r="M8810" s="17"/>
      <c r="N8810" s="17" t="s">
        <v>20933</v>
      </c>
      <c r="O8810" s="17"/>
      <c r="P8810" s="17" t="s">
        <v>20934</v>
      </c>
      <c r="Q8810" s="17"/>
      <c r="R8810" s="25" t="str">
        <f>HYPERLINK("https://ictv.global/taxonomy/taxondetails?taxnode_id=202313805","Duamitovirus dapi1")</f>
        <v>Duamitovirus dapi1</v>
      </c>
      <c r="S8810" s="18" t="s">
        <v>30</v>
      </c>
      <c r="T8810" s="18" t="s">
        <v>20983</v>
      </c>
      <c r="U8810" s="18" t="s">
        <v>20984</v>
      </c>
      <c r="V8810" s="18" t="s">
        <v>20985</v>
      </c>
      <c r="W8810" s="18" t="s">
        <v>20986</v>
      </c>
      <c r="X8810" s="18" t="s">
        <v>35</v>
      </c>
      <c r="Y8810" s="18" t="s">
        <v>17171</v>
      </c>
      <c r="Z8810" s="18" t="s">
        <v>13441</v>
      </c>
      <c r="AA8810" s="21" t="str">
        <f>HYPERLINK("https://www.ncbi.nlm.nih.gov/nuccore/BK010429","NCBI Nucleotide")</f>
        <v>NCBI Nucleotide</v>
      </c>
    </row>
    <row r="8811" spans="1:27" x14ac:dyDescent="0.35">
      <c r="A8811">
        <v>1009262</v>
      </c>
      <c r="B8811">
        <v>8136</v>
      </c>
      <c r="C8811">
        <v>1</v>
      </c>
      <c r="D8811" s="17" t="s">
        <v>17166</v>
      </c>
      <c r="E8811" s="17"/>
      <c r="F8811" s="17" t="s">
        <v>17246</v>
      </c>
      <c r="G8811" s="17"/>
      <c r="H8811" s="17" t="s">
        <v>20919</v>
      </c>
      <c r="I8811" s="17"/>
      <c r="J8811" s="17" t="s">
        <v>20931</v>
      </c>
      <c r="K8811" s="17"/>
      <c r="L8811" s="17" t="s">
        <v>20932</v>
      </c>
      <c r="M8811" s="17"/>
      <c r="N8811" s="17" t="s">
        <v>20933</v>
      </c>
      <c r="O8811" s="17"/>
      <c r="P8811" s="17" t="s">
        <v>20934</v>
      </c>
      <c r="Q8811" s="17"/>
      <c r="R8811" s="25" t="str">
        <f>HYPERLINK("https://ictv.global/taxonomy/taxondetails?taxnode_id=202313806","Duamitovirus epni1")</f>
        <v>Duamitovirus epni1</v>
      </c>
      <c r="S8811" s="18" t="s">
        <v>30</v>
      </c>
      <c r="T8811" s="18" t="s">
        <v>20987</v>
      </c>
      <c r="U8811" s="18" t="s">
        <v>20988</v>
      </c>
      <c r="V8811" s="18" t="s">
        <v>20989</v>
      </c>
      <c r="W8811" s="18" t="s">
        <v>20990</v>
      </c>
      <c r="X8811" s="18" t="s">
        <v>35</v>
      </c>
      <c r="Y8811" s="18" t="s">
        <v>17171</v>
      </c>
      <c r="Z8811" s="18" t="s">
        <v>16721</v>
      </c>
      <c r="AA8811" s="21" t="str">
        <f>HYPERLINK("https://www.ncbi.nlm.nih.gov/nuccore/MK584828","NCBI Nucleotide")</f>
        <v>NCBI Nucleotide</v>
      </c>
    </row>
    <row r="8812" spans="1:27" x14ac:dyDescent="0.35">
      <c r="A8812">
        <v>1009263</v>
      </c>
      <c r="B8812">
        <v>8137</v>
      </c>
      <c r="C8812">
        <v>1</v>
      </c>
      <c r="D8812" s="17" t="s">
        <v>17166</v>
      </c>
      <c r="E8812" s="17"/>
      <c r="F8812" s="17" t="s">
        <v>17246</v>
      </c>
      <c r="G8812" s="17"/>
      <c r="H8812" s="17" t="s">
        <v>20919</v>
      </c>
      <c r="I8812" s="17"/>
      <c r="J8812" s="17" t="s">
        <v>20931</v>
      </c>
      <c r="K8812" s="17"/>
      <c r="L8812" s="17" t="s">
        <v>20932</v>
      </c>
      <c r="M8812" s="17"/>
      <c r="N8812" s="17" t="s">
        <v>20933</v>
      </c>
      <c r="O8812" s="17"/>
      <c r="P8812" s="17" t="s">
        <v>20934</v>
      </c>
      <c r="Q8812" s="17"/>
      <c r="R8812" s="25" t="str">
        <f>HYPERLINK("https://ictv.global/taxonomy/taxondetails?taxnode_id=202313807","Duamitovirus fubo1")</f>
        <v>Duamitovirus fubo1</v>
      </c>
      <c r="S8812" s="18" t="s">
        <v>30</v>
      </c>
      <c r="T8812" s="18" t="s">
        <v>20991</v>
      </c>
      <c r="U8812" s="18" t="s">
        <v>20992</v>
      </c>
      <c r="V8812" s="18" t="s">
        <v>20993</v>
      </c>
      <c r="W8812" s="18" t="s">
        <v>20994</v>
      </c>
      <c r="X8812" s="18" t="s">
        <v>42</v>
      </c>
      <c r="Y8812" s="18" t="s">
        <v>17171</v>
      </c>
      <c r="Z8812" s="18" t="s">
        <v>16721</v>
      </c>
      <c r="AA8812" s="21" t="str">
        <f>HYPERLINK("https://www.ncbi.nlm.nih.gov/nuccore/LC425112","NCBI Nucleotide")</f>
        <v>NCBI Nucleotide</v>
      </c>
    </row>
    <row r="8813" spans="1:27" x14ac:dyDescent="0.35">
      <c r="A8813">
        <v>1009264</v>
      </c>
      <c r="B8813">
        <v>8138</v>
      </c>
      <c r="C8813">
        <v>1</v>
      </c>
      <c r="D8813" s="17" t="s">
        <v>17166</v>
      </c>
      <c r="E8813" s="17"/>
      <c r="F8813" s="17" t="s">
        <v>17246</v>
      </c>
      <c r="G8813" s="17"/>
      <c r="H8813" s="17" t="s">
        <v>20919</v>
      </c>
      <c r="I8813" s="17"/>
      <c r="J8813" s="17" t="s">
        <v>20931</v>
      </c>
      <c r="K8813" s="17"/>
      <c r="L8813" s="17" t="s">
        <v>20932</v>
      </c>
      <c r="M8813" s="17"/>
      <c r="N8813" s="17" t="s">
        <v>20933</v>
      </c>
      <c r="O8813" s="17"/>
      <c r="P8813" s="17" t="s">
        <v>20934</v>
      </c>
      <c r="Q8813" s="17"/>
      <c r="R8813" s="25" t="str">
        <f>HYPERLINK("https://ictv.global/taxonomy/taxondetails?taxnode_id=202313808","Duamitovirus fupo3")</f>
        <v>Duamitovirus fupo3</v>
      </c>
      <c r="S8813" s="18" t="s">
        <v>30</v>
      </c>
      <c r="T8813" s="18" t="s">
        <v>20995</v>
      </c>
      <c r="U8813" s="18" t="s">
        <v>20996</v>
      </c>
      <c r="V8813" s="18" t="s">
        <v>20997</v>
      </c>
      <c r="W8813" s="18" t="s">
        <v>20998</v>
      </c>
      <c r="X8813" s="18" t="s">
        <v>35</v>
      </c>
      <c r="Y8813" s="18" t="s">
        <v>17171</v>
      </c>
      <c r="Z8813" s="18" t="s">
        <v>16721</v>
      </c>
      <c r="AA8813" s="21" t="str">
        <f>HYPERLINK("https://www.ncbi.nlm.nih.gov/nuccore/LC150566","NCBI Nucleotide")</f>
        <v>NCBI Nucleotide</v>
      </c>
    </row>
    <row r="8814" spans="1:27" x14ac:dyDescent="0.35">
      <c r="A8814">
        <v>1009265</v>
      </c>
      <c r="B8814">
        <v>8139</v>
      </c>
      <c r="C8814">
        <v>1</v>
      </c>
      <c r="D8814" s="17" t="s">
        <v>17166</v>
      </c>
      <c r="E8814" s="17"/>
      <c r="F8814" s="17" t="s">
        <v>17246</v>
      </c>
      <c r="G8814" s="17"/>
      <c r="H8814" s="17" t="s">
        <v>20919</v>
      </c>
      <c r="I8814" s="17"/>
      <c r="J8814" s="17" t="s">
        <v>20931</v>
      </c>
      <c r="K8814" s="17"/>
      <c r="L8814" s="17" t="s">
        <v>20932</v>
      </c>
      <c r="M8814" s="17"/>
      <c r="N8814" s="17" t="s">
        <v>20933</v>
      </c>
      <c r="O8814" s="17"/>
      <c r="P8814" s="17" t="s">
        <v>20934</v>
      </c>
      <c r="Q8814" s="17"/>
      <c r="R8814" s="25" t="str">
        <f>HYPERLINK("https://ictv.global/taxonomy/taxondetails?taxnode_id=202313809","Duamitovirus fupo4")</f>
        <v>Duamitovirus fupo4</v>
      </c>
      <c r="S8814" s="18" t="s">
        <v>30</v>
      </c>
      <c r="T8814" s="18" t="s">
        <v>20999</v>
      </c>
      <c r="U8814" s="18" t="s">
        <v>21000</v>
      </c>
      <c r="V8814" s="18" t="s">
        <v>20997</v>
      </c>
      <c r="W8814" s="18" t="s">
        <v>21001</v>
      </c>
      <c r="X8814" s="18" t="s">
        <v>35</v>
      </c>
      <c r="Y8814" s="18" t="s">
        <v>17171</v>
      </c>
      <c r="Z8814" s="18" t="s">
        <v>16721</v>
      </c>
      <c r="AA8814" s="21" t="str">
        <f>HYPERLINK("https://www.ncbi.nlm.nih.gov/nuccore/LC150567","NCBI Nucleotide")</f>
        <v>NCBI Nucleotide</v>
      </c>
    </row>
    <row r="8815" spans="1:27" x14ac:dyDescent="0.35">
      <c r="A8815">
        <v>1009266</v>
      </c>
      <c r="B8815">
        <v>8140</v>
      </c>
      <c r="C8815">
        <v>1</v>
      </c>
      <c r="D8815" s="17" t="s">
        <v>17166</v>
      </c>
      <c r="E8815" s="17"/>
      <c r="F8815" s="17" t="s">
        <v>17246</v>
      </c>
      <c r="G8815" s="17"/>
      <c r="H8815" s="17" t="s">
        <v>20919</v>
      </c>
      <c r="I8815" s="17"/>
      <c r="J8815" s="17" t="s">
        <v>20931</v>
      </c>
      <c r="K8815" s="17"/>
      <c r="L8815" s="17" t="s">
        <v>20932</v>
      </c>
      <c r="M8815" s="17"/>
      <c r="N8815" s="17" t="s">
        <v>20933</v>
      </c>
      <c r="O8815" s="17"/>
      <c r="P8815" s="17" t="s">
        <v>20934</v>
      </c>
      <c r="Q8815" s="17"/>
      <c r="R8815" s="25" t="str">
        <f>HYPERLINK("https://ictv.global/taxonomy/taxondetails?taxnode_id=202313810","Duamitovirus gima1")</f>
        <v>Duamitovirus gima1</v>
      </c>
      <c r="S8815" s="18" t="s">
        <v>30</v>
      </c>
      <c r="T8815" s="18" t="s">
        <v>21002</v>
      </c>
      <c r="U8815" s="18" t="s">
        <v>21003</v>
      </c>
      <c r="V8815" s="18" t="s">
        <v>21004</v>
      </c>
      <c r="W8815" s="18" t="s">
        <v>21005</v>
      </c>
      <c r="X8815" s="18" t="s">
        <v>35</v>
      </c>
      <c r="Y8815" s="18" t="s">
        <v>17171</v>
      </c>
      <c r="Z8815" s="18" t="s">
        <v>16721</v>
      </c>
      <c r="AA8815" s="21" t="str">
        <f>HYPERLINK("https://www.ncbi.nlm.nih.gov/nuccore/MG256173","NCBI Nucleotide")</f>
        <v>NCBI Nucleotide</v>
      </c>
    </row>
    <row r="8816" spans="1:27" x14ac:dyDescent="0.35">
      <c r="A8816">
        <v>1009267</v>
      </c>
      <c r="B8816">
        <v>8141</v>
      </c>
      <c r="C8816">
        <v>1</v>
      </c>
      <c r="D8816" s="17" t="s">
        <v>17166</v>
      </c>
      <c r="E8816" s="17"/>
      <c r="F8816" s="17" t="s">
        <v>17246</v>
      </c>
      <c r="G8816" s="17"/>
      <c r="H8816" s="17" t="s">
        <v>20919</v>
      </c>
      <c r="I8816" s="17"/>
      <c r="J8816" s="17" t="s">
        <v>20931</v>
      </c>
      <c r="K8816" s="17"/>
      <c r="L8816" s="17" t="s">
        <v>20932</v>
      </c>
      <c r="M8816" s="17"/>
      <c r="N8816" s="17" t="s">
        <v>20933</v>
      </c>
      <c r="O8816" s="17"/>
      <c r="P8816" s="17" t="s">
        <v>20934</v>
      </c>
      <c r="Q8816" s="17"/>
      <c r="R8816" s="25" t="str">
        <f>HYPERLINK("https://ictv.global/taxonomy/taxondetails?taxnode_id=202313811","Duamitovirus gima2")</f>
        <v>Duamitovirus gima2</v>
      </c>
      <c r="S8816" s="18" t="s">
        <v>30</v>
      </c>
      <c r="T8816" s="18" t="s">
        <v>21006</v>
      </c>
      <c r="U8816" s="18" t="s">
        <v>21007</v>
      </c>
      <c r="V8816" s="18" t="s">
        <v>21004</v>
      </c>
      <c r="W8816" s="18" t="s">
        <v>21008</v>
      </c>
      <c r="X8816" s="18" t="s">
        <v>35</v>
      </c>
      <c r="Y8816" s="18" t="s">
        <v>17171</v>
      </c>
      <c r="Z8816" s="18" t="s">
        <v>16721</v>
      </c>
      <c r="AA8816" s="21" t="str">
        <f>HYPERLINK("https://www.ncbi.nlm.nih.gov/nuccore/MG256174","NCBI Nucleotide")</f>
        <v>NCBI Nucleotide</v>
      </c>
    </row>
    <row r="8817" spans="1:27" x14ac:dyDescent="0.35">
      <c r="A8817">
        <v>1009268</v>
      </c>
      <c r="B8817">
        <v>8142</v>
      </c>
      <c r="C8817">
        <v>1</v>
      </c>
      <c r="D8817" s="17" t="s">
        <v>17166</v>
      </c>
      <c r="E8817" s="17"/>
      <c r="F8817" s="17" t="s">
        <v>17246</v>
      </c>
      <c r="G8817" s="17"/>
      <c r="H8817" s="17" t="s">
        <v>20919</v>
      </c>
      <c r="I8817" s="17"/>
      <c r="J8817" s="17" t="s">
        <v>20931</v>
      </c>
      <c r="K8817" s="17"/>
      <c r="L8817" s="17" t="s">
        <v>20932</v>
      </c>
      <c r="M8817" s="17"/>
      <c r="N8817" s="17" t="s">
        <v>20933</v>
      </c>
      <c r="O8817" s="17"/>
      <c r="P8817" s="17" t="s">
        <v>20934</v>
      </c>
      <c r="Q8817" s="17"/>
      <c r="R8817" s="25" t="str">
        <f>HYPERLINK("https://ictv.global/taxonomy/taxondetails?taxnode_id=202313812","Duamitovirus gima3")</f>
        <v>Duamitovirus gima3</v>
      </c>
      <c r="S8817" s="18" t="s">
        <v>30</v>
      </c>
      <c r="T8817" s="18" t="s">
        <v>21009</v>
      </c>
      <c r="U8817" s="18" t="s">
        <v>21010</v>
      </c>
      <c r="V8817" s="18" t="s">
        <v>21004</v>
      </c>
      <c r="W8817" s="18" t="s">
        <v>21011</v>
      </c>
      <c r="X8817" s="18" t="s">
        <v>35</v>
      </c>
      <c r="Y8817" s="18" t="s">
        <v>17171</v>
      </c>
      <c r="Z8817" s="18" t="s">
        <v>16721</v>
      </c>
      <c r="AA8817" s="21" t="str">
        <f>HYPERLINK("https://www.ncbi.nlm.nih.gov/nuccore/MG256175","NCBI Nucleotide")</f>
        <v>NCBI Nucleotide</v>
      </c>
    </row>
    <row r="8818" spans="1:27" x14ac:dyDescent="0.35">
      <c r="A8818">
        <v>1009269</v>
      </c>
      <c r="B8818">
        <v>8143</v>
      </c>
      <c r="C8818">
        <v>1</v>
      </c>
      <c r="D8818" s="17" t="s">
        <v>17166</v>
      </c>
      <c r="E8818" s="17"/>
      <c r="F8818" s="17" t="s">
        <v>17246</v>
      </c>
      <c r="G8818" s="17"/>
      <c r="H8818" s="17" t="s">
        <v>20919</v>
      </c>
      <c r="I8818" s="17"/>
      <c r="J8818" s="17" t="s">
        <v>20931</v>
      </c>
      <c r="K8818" s="17"/>
      <c r="L8818" s="17" t="s">
        <v>20932</v>
      </c>
      <c r="M8818" s="17"/>
      <c r="N8818" s="17" t="s">
        <v>20933</v>
      </c>
      <c r="O8818" s="17"/>
      <c r="P8818" s="17" t="s">
        <v>20934</v>
      </c>
      <c r="Q8818" s="17"/>
      <c r="R8818" s="25" t="str">
        <f>HYPERLINK("https://ictv.global/taxonomy/taxondetails?taxnode_id=202313813","Duamitovirus gima4")</f>
        <v>Duamitovirus gima4</v>
      </c>
      <c r="S8818" s="18" t="s">
        <v>30</v>
      </c>
      <c r="T8818" s="18" t="s">
        <v>21012</v>
      </c>
      <c r="U8818" s="18" t="s">
        <v>21013</v>
      </c>
      <c r="V8818" s="18" t="s">
        <v>21004</v>
      </c>
      <c r="W8818" s="18" t="s">
        <v>21014</v>
      </c>
      <c r="X8818" s="18" t="s">
        <v>35</v>
      </c>
      <c r="Y8818" s="18" t="s">
        <v>17171</v>
      </c>
      <c r="Z8818" s="18" t="s">
        <v>16721</v>
      </c>
      <c r="AA8818" s="21" t="str">
        <f>HYPERLINK("https://www.ncbi.nlm.nih.gov/nuccore/MG256176","NCBI Nucleotide")</f>
        <v>NCBI Nucleotide</v>
      </c>
    </row>
    <row r="8819" spans="1:27" x14ac:dyDescent="0.35">
      <c r="A8819">
        <v>1009270</v>
      </c>
      <c r="B8819">
        <v>8144</v>
      </c>
      <c r="C8819">
        <v>1</v>
      </c>
      <c r="D8819" s="17" t="s">
        <v>17166</v>
      </c>
      <c r="E8819" s="17"/>
      <c r="F8819" s="17" t="s">
        <v>17246</v>
      </c>
      <c r="G8819" s="17"/>
      <c r="H8819" s="17" t="s">
        <v>20919</v>
      </c>
      <c r="I8819" s="17"/>
      <c r="J8819" s="17" t="s">
        <v>20931</v>
      </c>
      <c r="K8819" s="17"/>
      <c r="L8819" s="17" t="s">
        <v>20932</v>
      </c>
      <c r="M8819" s="17"/>
      <c r="N8819" s="17" t="s">
        <v>20933</v>
      </c>
      <c r="O8819" s="17"/>
      <c r="P8819" s="17" t="s">
        <v>20934</v>
      </c>
      <c r="Q8819" s="17"/>
      <c r="R8819" s="25" t="str">
        <f>HYPERLINK("https://ictv.global/taxonomy/taxondetails?taxnode_id=202313814","Duamitovirus hean1")</f>
        <v>Duamitovirus hean1</v>
      </c>
      <c r="S8819" s="18" t="s">
        <v>30</v>
      </c>
      <c r="T8819" s="18" t="s">
        <v>21015</v>
      </c>
      <c r="U8819" s="18" t="s">
        <v>21016</v>
      </c>
      <c r="V8819" s="18">
        <v>94233</v>
      </c>
      <c r="W8819" s="18" t="s">
        <v>21017</v>
      </c>
      <c r="X8819" s="18" t="s">
        <v>42</v>
      </c>
      <c r="Y8819" s="18" t="s">
        <v>17171</v>
      </c>
      <c r="Z8819" s="18" t="s">
        <v>16721</v>
      </c>
      <c r="AA8819" s="21" t="str">
        <f>HYPERLINK("https://www.ncbi.nlm.nih.gov/nuccore/KJ873059","NCBI Nucleotide")</f>
        <v>NCBI Nucleotide</v>
      </c>
    </row>
    <row r="8820" spans="1:27" x14ac:dyDescent="0.35">
      <c r="A8820">
        <v>1009271</v>
      </c>
      <c r="B8820">
        <v>8145</v>
      </c>
      <c r="C8820">
        <v>1</v>
      </c>
      <c r="D8820" s="17" t="s">
        <v>17166</v>
      </c>
      <c r="E8820" s="17"/>
      <c r="F8820" s="17" t="s">
        <v>17246</v>
      </c>
      <c r="G8820" s="17"/>
      <c r="H8820" s="17" t="s">
        <v>20919</v>
      </c>
      <c r="I8820" s="17"/>
      <c r="J8820" s="17" t="s">
        <v>20931</v>
      </c>
      <c r="K8820" s="17"/>
      <c r="L8820" s="17" t="s">
        <v>20932</v>
      </c>
      <c r="M8820" s="17"/>
      <c r="N8820" s="17" t="s">
        <v>20933</v>
      </c>
      <c r="O8820" s="17"/>
      <c r="P8820" s="17" t="s">
        <v>20934</v>
      </c>
      <c r="Q8820" s="17"/>
      <c r="R8820" s="25" t="str">
        <f>HYPERLINK("https://ictv.global/taxonomy/taxondetails?taxnode_id=202313815","Duamitovirus hean3")</f>
        <v>Duamitovirus hean3</v>
      </c>
      <c r="S8820" s="18" t="s">
        <v>30</v>
      </c>
      <c r="T8820" s="18" t="s">
        <v>21018</v>
      </c>
      <c r="U8820" s="18" t="s">
        <v>21019</v>
      </c>
      <c r="V8820" s="18">
        <v>94233</v>
      </c>
      <c r="W8820" s="18" t="s">
        <v>21020</v>
      </c>
      <c r="X8820" s="18" t="s">
        <v>42</v>
      </c>
      <c r="Y8820" s="18" t="s">
        <v>17171</v>
      </c>
      <c r="Z8820" s="18" t="s">
        <v>16721</v>
      </c>
      <c r="AA8820" s="21" t="str">
        <f>HYPERLINK("https://www.ncbi.nlm.nih.gov/nuccore/MN058208","NCBI Nucleotide")</f>
        <v>NCBI Nucleotide</v>
      </c>
    </row>
    <row r="8821" spans="1:27" x14ac:dyDescent="0.35">
      <c r="A8821">
        <v>1009272</v>
      </c>
      <c r="B8821">
        <v>8146</v>
      </c>
      <c r="C8821">
        <v>1</v>
      </c>
      <c r="D8821" s="17" t="s">
        <v>17166</v>
      </c>
      <c r="E8821" s="17"/>
      <c r="F8821" s="17" t="s">
        <v>17246</v>
      </c>
      <c r="G8821" s="17"/>
      <c r="H8821" s="17" t="s">
        <v>20919</v>
      </c>
      <c r="I8821" s="17"/>
      <c r="J8821" s="17" t="s">
        <v>20931</v>
      </c>
      <c r="K8821" s="17"/>
      <c r="L8821" s="17" t="s">
        <v>20932</v>
      </c>
      <c r="M8821" s="17"/>
      <c r="N8821" s="17" t="s">
        <v>20933</v>
      </c>
      <c r="O8821" s="17"/>
      <c r="P8821" s="17" t="s">
        <v>20934</v>
      </c>
      <c r="Q8821" s="17"/>
      <c r="R8821" s="25" t="str">
        <f>HYPERLINK("https://ictv.global/taxonomy/taxondetails?taxnode_id=202312426","Duamitovirus hepa3")</f>
        <v>Duamitovirus hepa3</v>
      </c>
      <c r="S8821" s="18" t="s">
        <v>30</v>
      </c>
      <c r="T8821" s="18" t="s">
        <v>21021</v>
      </c>
      <c r="U8821" s="18" t="s">
        <v>21022</v>
      </c>
      <c r="V8821" s="18">
        <v>95162</v>
      </c>
      <c r="W8821" s="18" t="s">
        <v>21023</v>
      </c>
      <c r="X8821" s="18" t="s">
        <v>35</v>
      </c>
      <c r="Y8821" s="18" t="s">
        <v>17171</v>
      </c>
      <c r="Z8821" s="18" t="s">
        <v>16721</v>
      </c>
      <c r="AA8821" s="21" t="str">
        <f>HYPERLINK("https://www.ncbi.nlm.nih.gov/nuccore/MN058214","NCBI Nucleotide")</f>
        <v>NCBI Nucleotide</v>
      </c>
    </row>
    <row r="8822" spans="1:27" x14ac:dyDescent="0.35">
      <c r="A8822">
        <v>1009273</v>
      </c>
      <c r="B8822">
        <v>8147</v>
      </c>
      <c r="C8822">
        <v>1</v>
      </c>
      <c r="D8822" s="17" t="s">
        <v>17166</v>
      </c>
      <c r="E8822" s="17"/>
      <c r="F8822" s="17" t="s">
        <v>17246</v>
      </c>
      <c r="G8822" s="17"/>
      <c r="H8822" s="17" t="s">
        <v>20919</v>
      </c>
      <c r="I8822" s="17"/>
      <c r="J8822" s="17" t="s">
        <v>20931</v>
      </c>
      <c r="K8822" s="17"/>
      <c r="L8822" s="17" t="s">
        <v>20932</v>
      </c>
      <c r="M8822" s="17"/>
      <c r="N8822" s="17" t="s">
        <v>20933</v>
      </c>
      <c r="O8822" s="17"/>
      <c r="P8822" s="17" t="s">
        <v>20934</v>
      </c>
      <c r="Q8822" s="17"/>
      <c r="R8822" s="25" t="str">
        <f>HYPERLINK("https://ictv.global/taxonomy/taxondetails?taxnode_id=202312427","Duamitovirus hulu1")</f>
        <v>Duamitovirus hulu1</v>
      </c>
      <c r="S8822" s="18" t="s">
        <v>30</v>
      </c>
      <c r="T8822" s="18" t="s">
        <v>21024</v>
      </c>
      <c r="U8822" s="18" t="s">
        <v>21025</v>
      </c>
      <c r="V8822" s="18" t="s">
        <v>21026</v>
      </c>
      <c r="W8822" s="18" t="s">
        <v>21027</v>
      </c>
      <c r="X8822" s="18" t="s">
        <v>35</v>
      </c>
      <c r="Y8822" s="18" t="s">
        <v>17171</v>
      </c>
      <c r="Z8822" s="18" t="s">
        <v>13441</v>
      </c>
      <c r="AA8822" s="21" t="str">
        <f>HYPERLINK("https://www.ncbi.nlm.nih.gov/nuccore/BK010431","NCBI Nucleotide")</f>
        <v>NCBI Nucleotide</v>
      </c>
    </row>
    <row r="8823" spans="1:27" x14ac:dyDescent="0.35">
      <c r="A8823">
        <v>1009274</v>
      </c>
      <c r="B8823">
        <v>8148</v>
      </c>
      <c r="C8823">
        <v>1</v>
      </c>
      <c r="D8823" s="17" t="s">
        <v>17166</v>
      </c>
      <c r="E8823" s="17"/>
      <c r="F8823" s="17" t="s">
        <v>17246</v>
      </c>
      <c r="G8823" s="17"/>
      <c r="H8823" s="17" t="s">
        <v>20919</v>
      </c>
      <c r="I8823" s="17"/>
      <c r="J8823" s="17" t="s">
        <v>20931</v>
      </c>
      <c r="K8823" s="17"/>
      <c r="L8823" s="17" t="s">
        <v>20932</v>
      </c>
      <c r="M8823" s="17"/>
      <c r="N8823" s="17" t="s">
        <v>20933</v>
      </c>
      <c r="O8823" s="17"/>
      <c r="P8823" s="17" t="s">
        <v>20934</v>
      </c>
      <c r="Q8823" s="17"/>
      <c r="R8823" s="25" t="str">
        <f>HYPERLINK("https://ictv.global/taxonomy/taxondetails?taxnode_id=202312428","Duamitovirus nepa1")</f>
        <v>Duamitovirus nepa1</v>
      </c>
      <c r="S8823" s="18" t="s">
        <v>30</v>
      </c>
      <c r="T8823" s="18" t="s">
        <v>21028</v>
      </c>
      <c r="U8823" s="18" t="s">
        <v>21029</v>
      </c>
      <c r="V8823" s="18" t="s">
        <v>21030</v>
      </c>
      <c r="W8823" s="18" t="s">
        <v>21031</v>
      </c>
      <c r="X8823" s="18" t="s">
        <v>35</v>
      </c>
      <c r="Y8823" s="18" t="s">
        <v>17171</v>
      </c>
      <c r="Z8823" s="18" t="s">
        <v>16721</v>
      </c>
      <c r="AA8823" s="21" t="str">
        <f>HYPERLINK("https://www.ncbi.nlm.nih.gov/nuccore/MK584831","NCBI Nucleotide")</f>
        <v>NCBI Nucleotide</v>
      </c>
    </row>
    <row r="8824" spans="1:27" x14ac:dyDescent="0.35">
      <c r="A8824">
        <v>1009275</v>
      </c>
      <c r="B8824">
        <v>8149</v>
      </c>
      <c r="C8824">
        <v>1</v>
      </c>
      <c r="D8824" s="17" t="s">
        <v>17166</v>
      </c>
      <c r="E8824" s="17"/>
      <c r="F8824" s="17" t="s">
        <v>17246</v>
      </c>
      <c r="G8824" s="17"/>
      <c r="H8824" s="17" t="s">
        <v>20919</v>
      </c>
      <c r="I8824" s="17"/>
      <c r="J8824" s="17" t="s">
        <v>20931</v>
      </c>
      <c r="K8824" s="17"/>
      <c r="L8824" s="17" t="s">
        <v>20932</v>
      </c>
      <c r="M8824" s="17"/>
      <c r="N8824" s="17" t="s">
        <v>20933</v>
      </c>
      <c r="O8824" s="17"/>
      <c r="P8824" s="17" t="s">
        <v>20934</v>
      </c>
      <c r="Q8824" s="17"/>
      <c r="R8824" s="25" t="str">
        <f>HYPERLINK("https://ictv.global/taxonomy/taxondetails?taxnode_id=202312429","Duamitovirus nior1")</f>
        <v>Duamitovirus nior1</v>
      </c>
      <c r="S8824" s="18" t="s">
        <v>30</v>
      </c>
      <c r="T8824" s="18" t="s">
        <v>21032</v>
      </c>
      <c r="U8824" s="18" t="s">
        <v>21033</v>
      </c>
      <c r="V8824" s="18" t="s">
        <v>21034</v>
      </c>
      <c r="W8824" s="18" t="s">
        <v>21035</v>
      </c>
      <c r="X8824" s="18" t="s">
        <v>42</v>
      </c>
      <c r="Y8824" s="18" t="s">
        <v>17171</v>
      </c>
      <c r="Z8824" s="18" t="s">
        <v>16721</v>
      </c>
      <c r="AA8824" s="21" t="str">
        <f>HYPERLINK("https://www.ncbi.nlm.nih.gov/nuccore/MH823901","NCBI Nucleotide")</f>
        <v>NCBI Nucleotide</v>
      </c>
    </row>
    <row r="8825" spans="1:27" x14ac:dyDescent="0.35">
      <c r="A8825">
        <v>1009276</v>
      </c>
      <c r="B8825">
        <v>8150</v>
      </c>
      <c r="C8825">
        <v>1</v>
      </c>
      <c r="D8825" s="17" t="s">
        <v>17166</v>
      </c>
      <c r="E8825" s="17"/>
      <c r="F8825" s="17" t="s">
        <v>17246</v>
      </c>
      <c r="G8825" s="17"/>
      <c r="H8825" s="17" t="s">
        <v>20919</v>
      </c>
      <c r="I8825" s="17"/>
      <c r="J8825" s="17" t="s">
        <v>20931</v>
      </c>
      <c r="K8825" s="17"/>
      <c r="L8825" s="17" t="s">
        <v>20932</v>
      </c>
      <c r="M8825" s="17"/>
      <c r="N8825" s="17" t="s">
        <v>20933</v>
      </c>
      <c r="O8825" s="17"/>
      <c r="P8825" s="17" t="s">
        <v>20934</v>
      </c>
      <c r="Q8825" s="17"/>
      <c r="R8825" s="25" t="str">
        <f>HYPERLINK("https://ictv.global/taxonomy/taxondetails?taxnode_id=202312430","Duamitovirus opno1a")</f>
        <v>Duamitovirus opno1a</v>
      </c>
      <c r="S8825" s="18" t="s">
        <v>30</v>
      </c>
      <c r="T8825" s="18" t="s">
        <v>21036</v>
      </c>
      <c r="U8825" s="18" t="s">
        <v>21037</v>
      </c>
      <c r="V8825" s="18" t="s">
        <v>21038</v>
      </c>
      <c r="W8825" s="18" t="s">
        <v>21039</v>
      </c>
      <c r="X8825" s="18" t="s">
        <v>42</v>
      </c>
      <c r="Y8825" s="18" t="s">
        <v>17171</v>
      </c>
      <c r="Z8825" s="18" t="s">
        <v>16721</v>
      </c>
      <c r="AA8825" s="21" t="str">
        <f>HYPERLINK("https://www.ncbi.nlm.nih.gov/nuccore/AM087548","NCBI Nucleotide")</f>
        <v>NCBI Nucleotide</v>
      </c>
    </row>
    <row r="8826" spans="1:27" x14ac:dyDescent="0.35">
      <c r="A8826">
        <v>1009277</v>
      </c>
      <c r="B8826">
        <v>8151</v>
      </c>
      <c r="C8826">
        <v>1</v>
      </c>
      <c r="D8826" s="17" t="s">
        <v>17166</v>
      </c>
      <c r="E8826" s="17"/>
      <c r="F8826" s="17" t="s">
        <v>17246</v>
      </c>
      <c r="G8826" s="17"/>
      <c r="H8826" s="17" t="s">
        <v>20919</v>
      </c>
      <c r="I8826" s="17"/>
      <c r="J8826" s="17" t="s">
        <v>20931</v>
      </c>
      <c r="K8826" s="17"/>
      <c r="L8826" s="17" t="s">
        <v>20932</v>
      </c>
      <c r="M8826" s="17"/>
      <c r="N8826" s="17" t="s">
        <v>20933</v>
      </c>
      <c r="O8826" s="17"/>
      <c r="P8826" s="17" t="s">
        <v>20934</v>
      </c>
      <c r="Q8826" s="17"/>
      <c r="R8826" s="25" t="str">
        <f>HYPERLINK("https://ictv.global/taxonomy/taxondetails?taxnode_id=202312431","Duamitovirus opno1b")</f>
        <v>Duamitovirus opno1b</v>
      </c>
      <c r="S8826" s="18" t="s">
        <v>30</v>
      </c>
      <c r="T8826" s="18" t="s">
        <v>21040</v>
      </c>
      <c r="U8826" s="18" t="s">
        <v>21041</v>
      </c>
      <c r="V8826" s="18" t="s">
        <v>21038</v>
      </c>
      <c r="W8826" s="18" t="s">
        <v>21042</v>
      </c>
      <c r="X8826" s="18" t="s">
        <v>42</v>
      </c>
      <c r="Y8826" s="18" t="s">
        <v>17171</v>
      </c>
      <c r="Z8826" s="18" t="s">
        <v>16721</v>
      </c>
      <c r="AA8826" s="21" t="str">
        <f>HYPERLINK("https://www.ncbi.nlm.nih.gov/nuccore/AM087549","NCBI Nucleotide")</f>
        <v>NCBI Nucleotide</v>
      </c>
    </row>
    <row r="8827" spans="1:27" x14ac:dyDescent="0.35">
      <c r="A8827">
        <v>1009278</v>
      </c>
      <c r="B8827">
        <v>8152</v>
      </c>
      <c r="C8827">
        <v>1</v>
      </c>
      <c r="D8827" s="17" t="s">
        <v>17166</v>
      </c>
      <c r="E8827" s="17"/>
      <c r="F8827" s="17" t="s">
        <v>17246</v>
      </c>
      <c r="G8827" s="17"/>
      <c r="H8827" s="17" t="s">
        <v>20919</v>
      </c>
      <c r="I8827" s="17"/>
      <c r="J8827" s="17" t="s">
        <v>20931</v>
      </c>
      <c r="K8827" s="17"/>
      <c r="L8827" s="17" t="s">
        <v>20932</v>
      </c>
      <c r="M8827" s="17"/>
      <c r="N8827" s="17" t="s">
        <v>20933</v>
      </c>
      <c r="O8827" s="17"/>
      <c r="P8827" s="17" t="s">
        <v>20934</v>
      </c>
      <c r="Q8827" s="17"/>
      <c r="R8827" s="25" t="str">
        <f>HYPERLINK("https://ictv.global/taxonomy/taxondetails?taxnode_id=202312432","Duamitovirus opno1c")</f>
        <v>Duamitovirus opno1c</v>
      </c>
      <c r="S8827" s="18" t="s">
        <v>30</v>
      </c>
      <c r="T8827" s="18" t="s">
        <v>21043</v>
      </c>
      <c r="U8827" s="18" t="s">
        <v>21044</v>
      </c>
      <c r="V8827" s="18" t="s">
        <v>21045</v>
      </c>
      <c r="W8827" s="18" t="s">
        <v>21046</v>
      </c>
      <c r="X8827" s="18" t="s">
        <v>42</v>
      </c>
      <c r="Y8827" s="18" t="s">
        <v>17171</v>
      </c>
      <c r="Z8827" s="18" t="s">
        <v>16721</v>
      </c>
      <c r="AA8827" s="21" t="str">
        <f>HYPERLINK("https://www.ncbi.nlm.nih.gov/nuccore/KF026355","NCBI Nucleotide")</f>
        <v>NCBI Nucleotide</v>
      </c>
    </row>
    <row r="8828" spans="1:27" x14ac:dyDescent="0.35">
      <c r="A8828">
        <v>1009279</v>
      </c>
      <c r="B8828">
        <v>8153</v>
      </c>
      <c r="C8828">
        <v>1</v>
      </c>
      <c r="D8828" s="17" t="s">
        <v>17166</v>
      </c>
      <c r="E8828" s="17"/>
      <c r="F8828" s="17" t="s">
        <v>17246</v>
      </c>
      <c r="G8828" s="17"/>
      <c r="H8828" s="17" t="s">
        <v>20919</v>
      </c>
      <c r="I8828" s="17"/>
      <c r="J8828" s="17" t="s">
        <v>20931</v>
      </c>
      <c r="K8828" s="17"/>
      <c r="L8828" s="17" t="s">
        <v>20932</v>
      </c>
      <c r="M8828" s="17"/>
      <c r="N8828" s="17" t="s">
        <v>20933</v>
      </c>
      <c r="O8828" s="17"/>
      <c r="P8828" s="17" t="s">
        <v>20934</v>
      </c>
      <c r="Q8828" s="17"/>
      <c r="R8828" s="25" t="str">
        <f>HYPERLINK("https://ictv.global/taxonomy/taxondetails?taxnode_id=202303915","Duamitovirus opno3a")</f>
        <v>Duamitovirus opno3a</v>
      </c>
      <c r="S8828" s="18" t="s">
        <v>30</v>
      </c>
      <c r="T8828" s="18" t="s">
        <v>21047</v>
      </c>
      <c r="U8828" s="18" t="s">
        <v>21048</v>
      </c>
      <c r="V8828" s="18" t="s">
        <v>21049</v>
      </c>
      <c r="W8828" s="18" t="s">
        <v>21050</v>
      </c>
      <c r="X8828" s="18" t="s">
        <v>42</v>
      </c>
      <c r="Y8828" s="18" t="s">
        <v>17171</v>
      </c>
      <c r="Z8828" s="18" t="s">
        <v>16721</v>
      </c>
      <c r="AA8828" s="21" t="str">
        <f>HYPERLINK("https://www.ncbi.nlm.nih.gov/nuccore/AJ004930","NCBI Nucleotide")</f>
        <v>NCBI Nucleotide</v>
      </c>
    </row>
    <row r="8829" spans="1:27" x14ac:dyDescent="0.35">
      <c r="A8829">
        <v>1009280</v>
      </c>
      <c r="B8829">
        <v>8154</v>
      </c>
      <c r="C8829">
        <v>1</v>
      </c>
      <c r="D8829" s="17" t="s">
        <v>17166</v>
      </c>
      <c r="E8829" s="17"/>
      <c r="F8829" s="17" t="s">
        <v>17246</v>
      </c>
      <c r="G8829" s="17"/>
      <c r="H8829" s="17" t="s">
        <v>20919</v>
      </c>
      <c r="I8829" s="17"/>
      <c r="J8829" s="17" t="s">
        <v>20931</v>
      </c>
      <c r="K8829" s="17"/>
      <c r="L8829" s="17" t="s">
        <v>20932</v>
      </c>
      <c r="M8829" s="17"/>
      <c r="N8829" s="17" t="s">
        <v>20933</v>
      </c>
      <c r="O8829" s="17"/>
      <c r="P8829" s="17" t="s">
        <v>20934</v>
      </c>
      <c r="Q8829" s="17"/>
      <c r="R8829" s="25" t="str">
        <f>HYPERLINK("https://ictv.global/taxonomy/taxondetails?taxnode_id=202312433","Duamitovirus opno3b")</f>
        <v>Duamitovirus opno3b</v>
      </c>
      <c r="S8829" s="18" t="s">
        <v>30</v>
      </c>
      <c r="T8829" s="18" t="s">
        <v>21051</v>
      </c>
      <c r="U8829" s="18" t="s">
        <v>21052</v>
      </c>
      <c r="V8829" s="18" t="s">
        <v>21038</v>
      </c>
      <c r="W8829" s="18" t="s">
        <v>21053</v>
      </c>
      <c r="X8829" s="18" t="s">
        <v>42</v>
      </c>
      <c r="Y8829" s="18" t="s">
        <v>17171</v>
      </c>
      <c r="Z8829" s="18" t="s">
        <v>16721</v>
      </c>
      <c r="AA8829" s="21" t="str">
        <f>HYPERLINK("https://www.ncbi.nlm.nih.gov/nuccore/AM087550","NCBI Nucleotide")</f>
        <v>NCBI Nucleotide</v>
      </c>
    </row>
    <row r="8830" spans="1:27" x14ac:dyDescent="0.35">
      <c r="A8830">
        <v>1009281</v>
      </c>
      <c r="B8830">
        <v>8155</v>
      </c>
      <c r="C8830">
        <v>1</v>
      </c>
      <c r="D8830" s="17" t="s">
        <v>17166</v>
      </c>
      <c r="E8830" s="17"/>
      <c r="F8830" s="17" t="s">
        <v>17246</v>
      </c>
      <c r="G8830" s="17"/>
      <c r="H8830" s="17" t="s">
        <v>20919</v>
      </c>
      <c r="I8830" s="17"/>
      <c r="J8830" s="17" t="s">
        <v>20931</v>
      </c>
      <c r="K8830" s="17"/>
      <c r="L8830" s="17" t="s">
        <v>20932</v>
      </c>
      <c r="M8830" s="17"/>
      <c r="N8830" s="17" t="s">
        <v>20933</v>
      </c>
      <c r="O8830" s="17"/>
      <c r="P8830" s="17" t="s">
        <v>20934</v>
      </c>
      <c r="Q8830" s="17"/>
      <c r="R8830" s="25" t="str">
        <f>HYPERLINK("https://ictv.global/taxonomy/taxondetails?taxnode_id=202312434","Duamitovirus oxru1")</f>
        <v>Duamitovirus oxru1</v>
      </c>
      <c r="S8830" s="18" t="s">
        <v>30</v>
      </c>
      <c r="T8830" s="18" t="s">
        <v>21054</v>
      </c>
      <c r="U8830" s="18" t="s">
        <v>21055</v>
      </c>
      <c r="V8830" s="18">
        <v>374</v>
      </c>
      <c r="W8830" s="18" t="s">
        <v>21056</v>
      </c>
      <c r="X8830" s="18" t="s">
        <v>35</v>
      </c>
      <c r="Y8830" s="18" t="s">
        <v>17171</v>
      </c>
      <c r="Z8830" s="18" t="s">
        <v>13441</v>
      </c>
      <c r="AA8830" s="21" t="str">
        <f>HYPERLINK("https://www.ncbi.nlm.nih.gov/nuccore/BK010427","NCBI Nucleotide")</f>
        <v>NCBI Nucleotide</v>
      </c>
    </row>
    <row r="8831" spans="1:27" x14ac:dyDescent="0.35">
      <c r="A8831">
        <v>1009282</v>
      </c>
      <c r="B8831">
        <v>8156</v>
      </c>
      <c r="C8831">
        <v>1</v>
      </c>
      <c r="D8831" s="17" t="s">
        <v>17166</v>
      </c>
      <c r="E8831" s="17"/>
      <c r="F8831" s="17" t="s">
        <v>17246</v>
      </c>
      <c r="G8831" s="17"/>
      <c r="H8831" s="17" t="s">
        <v>20919</v>
      </c>
      <c r="I8831" s="17"/>
      <c r="J8831" s="17" t="s">
        <v>20931</v>
      </c>
      <c r="K8831" s="17"/>
      <c r="L8831" s="17" t="s">
        <v>20932</v>
      </c>
      <c r="M8831" s="17"/>
      <c r="N8831" s="17" t="s">
        <v>20933</v>
      </c>
      <c r="O8831" s="17"/>
      <c r="P8831" s="17" t="s">
        <v>20934</v>
      </c>
      <c r="Q8831" s="17"/>
      <c r="R8831" s="25" t="str">
        <f>HYPERLINK("https://ictv.global/taxonomy/taxondetails?taxnode_id=202312435","Duamitovirus peex1")</f>
        <v>Duamitovirus peex1</v>
      </c>
      <c r="S8831" s="18" t="s">
        <v>30</v>
      </c>
      <c r="T8831" s="18" t="s">
        <v>21057</v>
      </c>
      <c r="U8831" s="18" t="s">
        <v>21058</v>
      </c>
      <c r="V8831" s="18" t="s">
        <v>21059</v>
      </c>
      <c r="W8831" s="18" t="s">
        <v>21060</v>
      </c>
      <c r="X8831" s="18" t="s">
        <v>35</v>
      </c>
      <c r="Y8831" s="18" t="s">
        <v>17171</v>
      </c>
      <c r="Z8831" s="18" t="s">
        <v>13441</v>
      </c>
      <c r="AA8831" s="21" t="str">
        <f>HYPERLINK("https://www.ncbi.nlm.nih.gov/nuccore/BK010426","NCBI Nucleotide")</f>
        <v>NCBI Nucleotide</v>
      </c>
    </row>
    <row r="8832" spans="1:27" x14ac:dyDescent="0.35">
      <c r="A8832">
        <v>1009283</v>
      </c>
      <c r="B8832">
        <v>8157</v>
      </c>
      <c r="C8832">
        <v>1</v>
      </c>
      <c r="D8832" s="17" t="s">
        <v>17166</v>
      </c>
      <c r="E8832" s="17"/>
      <c r="F8832" s="17" t="s">
        <v>17246</v>
      </c>
      <c r="G8832" s="17"/>
      <c r="H8832" s="17" t="s">
        <v>20919</v>
      </c>
      <c r="I8832" s="17"/>
      <c r="J8832" s="17" t="s">
        <v>20931</v>
      </c>
      <c r="K8832" s="17"/>
      <c r="L8832" s="17" t="s">
        <v>20932</v>
      </c>
      <c r="M8832" s="17"/>
      <c r="N8832" s="17" t="s">
        <v>20933</v>
      </c>
      <c r="O8832" s="17"/>
      <c r="P8832" s="17" t="s">
        <v>20934</v>
      </c>
      <c r="Q8832" s="17"/>
      <c r="R8832" s="25" t="str">
        <f>HYPERLINK("https://ictv.global/taxonomy/taxondetails?taxnode_id=202312436","Duamitovirus rhce1")</f>
        <v>Duamitovirus rhce1</v>
      </c>
      <c r="S8832" s="18" t="s">
        <v>30</v>
      </c>
      <c r="T8832" s="18" t="s">
        <v>21061</v>
      </c>
      <c r="U8832" s="18" t="s">
        <v>21062</v>
      </c>
      <c r="V8832" s="18" t="s">
        <v>21063</v>
      </c>
      <c r="W8832" s="18" t="s">
        <v>21064</v>
      </c>
      <c r="X8832" s="18" t="s">
        <v>42</v>
      </c>
      <c r="Y8832" s="18" t="s">
        <v>17171</v>
      </c>
      <c r="Z8832" s="18" t="s">
        <v>16721</v>
      </c>
      <c r="AA8832" s="21" t="str">
        <f>HYPERLINK("https://www.ncbi.nlm.nih.gov/nuccore/KM517201","NCBI Nucleotide")</f>
        <v>NCBI Nucleotide</v>
      </c>
    </row>
    <row r="8833" spans="1:27" x14ac:dyDescent="0.35">
      <c r="A8833">
        <v>1009284</v>
      </c>
      <c r="B8833">
        <v>8158</v>
      </c>
      <c r="C8833">
        <v>1</v>
      </c>
      <c r="D8833" s="17" t="s">
        <v>17166</v>
      </c>
      <c r="E8833" s="17"/>
      <c r="F8833" s="17" t="s">
        <v>17246</v>
      </c>
      <c r="G8833" s="17"/>
      <c r="H8833" s="17" t="s">
        <v>20919</v>
      </c>
      <c r="I8833" s="17"/>
      <c r="J8833" s="17" t="s">
        <v>20931</v>
      </c>
      <c r="K8833" s="17"/>
      <c r="L8833" s="17" t="s">
        <v>20932</v>
      </c>
      <c r="M8833" s="17"/>
      <c r="N8833" s="17" t="s">
        <v>20933</v>
      </c>
      <c r="O8833" s="17"/>
      <c r="P8833" s="17" t="s">
        <v>20934</v>
      </c>
      <c r="Q8833" s="17"/>
      <c r="R8833" s="25" t="str">
        <f>HYPERLINK("https://ictv.global/taxonomy/taxondetails?taxnode_id=202312444","Duamitovirus rhir1")</f>
        <v>Duamitovirus rhir1</v>
      </c>
      <c r="S8833" s="18" t="s">
        <v>30</v>
      </c>
      <c r="T8833" s="18" t="s">
        <v>21065</v>
      </c>
      <c r="U8833" s="18" t="s">
        <v>21066</v>
      </c>
      <c r="V8833" s="18">
        <v>9</v>
      </c>
      <c r="W8833" s="18" t="s">
        <v>21067</v>
      </c>
      <c r="X8833" s="18" t="s">
        <v>42</v>
      </c>
      <c r="Y8833" s="18" t="s">
        <v>17171</v>
      </c>
      <c r="Z8833" s="18" t="s">
        <v>16721</v>
      </c>
      <c r="AA8833" s="21" t="str">
        <f>HYPERLINK("https://www.ncbi.nlm.nih.gov/nuccore/MH732933","NCBI Nucleotide")</f>
        <v>NCBI Nucleotide</v>
      </c>
    </row>
    <row r="8834" spans="1:27" x14ac:dyDescent="0.35">
      <c r="A8834">
        <v>1009285</v>
      </c>
      <c r="B8834">
        <v>8159</v>
      </c>
      <c r="C8834">
        <v>1</v>
      </c>
      <c r="D8834" s="17" t="s">
        <v>17166</v>
      </c>
      <c r="E8834" s="17"/>
      <c r="F8834" s="17" t="s">
        <v>17246</v>
      </c>
      <c r="G8834" s="17"/>
      <c r="H8834" s="17" t="s">
        <v>20919</v>
      </c>
      <c r="I8834" s="17"/>
      <c r="J8834" s="17" t="s">
        <v>20931</v>
      </c>
      <c r="K8834" s="17"/>
      <c r="L8834" s="17" t="s">
        <v>20932</v>
      </c>
      <c r="M8834" s="17"/>
      <c r="N8834" s="17" t="s">
        <v>20933</v>
      </c>
      <c r="O8834" s="17"/>
      <c r="P8834" s="17" t="s">
        <v>20934</v>
      </c>
      <c r="Q8834" s="17"/>
      <c r="R8834" s="25" t="str">
        <f>HYPERLINK("https://ictv.global/taxonomy/taxondetails?taxnode_id=202312437","Duamitovirus rhso21")</f>
        <v>Duamitovirus rhso21</v>
      </c>
      <c r="S8834" s="18" t="s">
        <v>30</v>
      </c>
      <c r="T8834" s="18" t="s">
        <v>21068</v>
      </c>
      <c r="U8834" s="18" t="s">
        <v>21069</v>
      </c>
      <c r="V8834" s="18" t="s">
        <v>21070</v>
      </c>
      <c r="W8834" s="18" t="s">
        <v>21071</v>
      </c>
      <c r="X8834" s="18" t="s">
        <v>35</v>
      </c>
      <c r="Y8834" s="18" t="s">
        <v>17171</v>
      </c>
      <c r="Z8834" s="18" t="s">
        <v>16721</v>
      </c>
      <c r="AA8834" s="21" t="str">
        <f>HYPERLINK("https://www.ncbi.nlm.nih.gov/nuccore/MK372892","NCBI Nucleotide")</f>
        <v>NCBI Nucleotide</v>
      </c>
    </row>
    <row r="8835" spans="1:27" x14ac:dyDescent="0.35">
      <c r="A8835">
        <v>1009286</v>
      </c>
      <c r="B8835">
        <v>8160</v>
      </c>
      <c r="C8835">
        <v>1</v>
      </c>
      <c r="D8835" s="17" t="s">
        <v>17166</v>
      </c>
      <c r="E8835" s="17"/>
      <c r="F8835" s="17" t="s">
        <v>17246</v>
      </c>
      <c r="G8835" s="17"/>
      <c r="H8835" s="17" t="s">
        <v>20919</v>
      </c>
      <c r="I8835" s="17"/>
      <c r="J8835" s="17" t="s">
        <v>20931</v>
      </c>
      <c r="K8835" s="17"/>
      <c r="L8835" s="17" t="s">
        <v>20932</v>
      </c>
      <c r="M8835" s="17"/>
      <c r="N8835" s="17" t="s">
        <v>20933</v>
      </c>
      <c r="O8835" s="17"/>
      <c r="P8835" s="17" t="s">
        <v>20934</v>
      </c>
      <c r="Q8835" s="17"/>
      <c r="R8835" s="25" t="str">
        <f>HYPERLINK("https://ictv.global/taxonomy/taxondetails?taxnode_id=202312438","Duamitovirus rhso25")</f>
        <v>Duamitovirus rhso25</v>
      </c>
      <c r="S8835" s="18" t="s">
        <v>30</v>
      </c>
      <c r="T8835" s="18" t="s">
        <v>21072</v>
      </c>
      <c r="U8835" s="18" t="s">
        <v>21073</v>
      </c>
      <c r="V8835" s="18" t="s">
        <v>21074</v>
      </c>
      <c r="W8835" s="18" t="s">
        <v>21075</v>
      </c>
      <c r="X8835" s="18" t="s">
        <v>35</v>
      </c>
      <c r="Y8835" s="18" t="s">
        <v>17171</v>
      </c>
      <c r="Z8835" s="18" t="s">
        <v>16721</v>
      </c>
      <c r="AA8835" s="21" t="str">
        <f>HYPERLINK("https://www.ncbi.nlm.nih.gov/nuccore/MK372894","NCBI Nucleotide")</f>
        <v>NCBI Nucleotide</v>
      </c>
    </row>
    <row r="8836" spans="1:27" x14ac:dyDescent="0.35">
      <c r="A8836">
        <v>1009287</v>
      </c>
      <c r="B8836">
        <v>8161</v>
      </c>
      <c r="C8836">
        <v>1</v>
      </c>
      <c r="D8836" s="17" t="s">
        <v>17166</v>
      </c>
      <c r="E8836" s="17"/>
      <c r="F8836" s="17" t="s">
        <v>17246</v>
      </c>
      <c r="G8836" s="17"/>
      <c r="H8836" s="17" t="s">
        <v>20919</v>
      </c>
      <c r="I8836" s="17"/>
      <c r="J8836" s="17" t="s">
        <v>20931</v>
      </c>
      <c r="K8836" s="17"/>
      <c r="L8836" s="17" t="s">
        <v>20932</v>
      </c>
      <c r="M8836" s="17"/>
      <c r="N8836" s="17" t="s">
        <v>20933</v>
      </c>
      <c r="O8836" s="17"/>
      <c r="P8836" s="17" t="s">
        <v>20934</v>
      </c>
      <c r="Q8836" s="17"/>
      <c r="R8836" s="25" t="str">
        <f>HYPERLINK("https://ictv.global/taxonomy/taxondetails?taxnode_id=202312439","Duamitovirus rhso26")</f>
        <v>Duamitovirus rhso26</v>
      </c>
      <c r="S8836" s="18" t="s">
        <v>30</v>
      </c>
      <c r="T8836" s="18" t="s">
        <v>21076</v>
      </c>
      <c r="U8836" s="18" t="s">
        <v>21077</v>
      </c>
      <c r="V8836" s="18" t="s">
        <v>21074</v>
      </c>
      <c r="W8836" s="18" t="s">
        <v>21078</v>
      </c>
      <c r="X8836" s="18" t="s">
        <v>35</v>
      </c>
      <c r="Y8836" s="18" t="s">
        <v>17171</v>
      </c>
      <c r="Z8836" s="18" t="s">
        <v>16721</v>
      </c>
      <c r="AA8836" s="21" t="str">
        <f>HYPERLINK("https://www.ncbi.nlm.nih.gov/nuccore/MK372895","NCBI Nucleotide")</f>
        <v>NCBI Nucleotide</v>
      </c>
    </row>
    <row r="8837" spans="1:27" x14ac:dyDescent="0.35">
      <c r="A8837">
        <v>1009288</v>
      </c>
      <c r="B8837">
        <v>8162</v>
      </c>
      <c r="C8837">
        <v>1</v>
      </c>
      <c r="D8837" s="17" t="s">
        <v>17166</v>
      </c>
      <c r="E8837" s="17"/>
      <c r="F8837" s="17" t="s">
        <v>17246</v>
      </c>
      <c r="G8837" s="17"/>
      <c r="H8837" s="17" t="s">
        <v>20919</v>
      </c>
      <c r="I8837" s="17"/>
      <c r="J8837" s="17" t="s">
        <v>20931</v>
      </c>
      <c r="K8837" s="17"/>
      <c r="L8837" s="17" t="s">
        <v>20932</v>
      </c>
      <c r="M8837" s="17"/>
      <c r="N8837" s="17" t="s">
        <v>20933</v>
      </c>
      <c r="O8837" s="17"/>
      <c r="P8837" s="17" t="s">
        <v>20934</v>
      </c>
      <c r="Q8837" s="17"/>
      <c r="R8837" s="25" t="str">
        <f>HYPERLINK("https://ictv.global/taxonomy/taxondetails?taxnode_id=202312440","Duamitovirus rhso27")</f>
        <v>Duamitovirus rhso27</v>
      </c>
      <c r="S8837" s="18" t="s">
        <v>30</v>
      </c>
      <c r="T8837" s="18" t="s">
        <v>21079</v>
      </c>
      <c r="U8837" s="18" t="s">
        <v>21080</v>
      </c>
      <c r="V8837" s="18" t="s">
        <v>21074</v>
      </c>
      <c r="W8837" s="18" t="s">
        <v>21081</v>
      </c>
      <c r="X8837" s="18" t="s">
        <v>35</v>
      </c>
      <c r="Y8837" s="18" t="s">
        <v>17171</v>
      </c>
      <c r="Z8837" s="18" t="s">
        <v>16721</v>
      </c>
      <c r="AA8837" s="21" t="str">
        <f>HYPERLINK("https://www.ncbi.nlm.nih.gov/nuccore/MK372896","NCBI Nucleotide")</f>
        <v>NCBI Nucleotide</v>
      </c>
    </row>
    <row r="8838" spans="1:27" x14ac:dyDescent="0.35">
      <c r="A8838">
        <v>1009289</v>
      </c>
      <c r="B8838">
        <v>8163</v>
      </c>
      <c r="C8838">
        <v>1</v>
      </c>
      <c r="D8838" s="17" t="s">
        <v>17166</v>
      </c>
      <c r="E8838" s="17"/>
      <c r="F8838" s="17" t="s">
        <v>17246</v>
      </c>
      <c r="G8838" s="17"/>
      <c r="H8838" s="17" t="s">
        <v>20919</v>
      </c>
      <c r="I8838" s="17"/>
      <c r="J8838" s="17" t="s">
        <v>20931</v>
      </c>
      <c r="K8838" s="17"/>
      <c r="L8838" s="17" t="s">
        <v>20932</v>
      </c>
      <c r="M8838" s="17"/>
      <c r="N8838" s="17" t="s">
        <v>20933</v>
      </c>
      <c r="O8838" s="17"/>
      <c r="P8838" s="17" t="s">
        <v>20934</v>
      </c>
      <c r="Q8838" s="17"/>
      <c r="R8838" s="25" t="str">
        <f>HYPERLINK("https://ictv.global/taxonomy/taxondetails?taxnode_id=202312441","Duamitovirus rhso31")</f>
        <v>Duamitovirus rhso31</v>
      </c>
      <c r="S8838" s="18" t="s">
        <v>30</v>
      </c>
      <c r="T8838" s="18" t="s">
        <v>21082</v>
      </c>
      <c r="U8838" s="18" t="s">
        <v>21083</v>
      </c>
      <c r="V8838" s="18" t="s">
        <v>21084</v>
      </c>
      <c r="W8838" s="18" t="s">
        <v>21085</v>
      </c>
      <c r="X8838" s="18" t="s">
        <v>35</v>
      </c>
      <c r="Y8838" s="18" t="s">
        <v>17171</v>
      </c>
      <c r="Z8838" s="18" t="s">
        <v>16721</v>
      </c>
      <c r="AA8838" s="21" t="str">
        <f>HYPERLINK("https://www.ncbi.nlm.nih.gov/nuccore/MK372900","NCBI Nucleotide")</f>
        <v>NCBI Nucleotide</v>
      </c>
    </row>
    <row r="8839" spans="1:27" x14ac:dyDescent="0.35">
      <c r="A8839">
        <v>1009290</v>
      </c>
      <c r="B8839">
        <v>8164</v>
      </c>
      <c r="C8839">
        <v>1</v>
      </c>
      <c r="D8839" s="17" t="s">
        <v>17166</v>
      </c>
      <c r="E8839" s="17"/>
      <c r="F8839" s="17" t="s">
        <v>17246</v>
      </c>
      <c r="G8839" s="17"/>
      <c r="H8839" s="17" t="s">
        <v>20919</v>
      </c>
      <c r="I8839" s="17"/>
      <c r="J8839" s="17" t="s">
        <v>20931</v>
      </c>
      <c r="K8839" s="17"/>
      <c r="L8839" s="17" t="s">
        <v>20932</v>
      </c>
      <c r="M8839" s="17"/>
      <c r="N8839" s="17" t="s">
        <v>20933</v>
      </c>
      <c r="O8839" s="17"/>
      <c r="P8839" s="17" t="s">
        <v>20934</v>
      </c>
      <c r="Q8839" s="17"/>
      <c r="R8839" s="25" t="str">
        <f>HYPERLINK("https://ictv.global/taxonomy/taxondetails?taxnode_id=202312442","Duamitovirus rhso32")</f>
        <v>Duamitovirus rhso32</v>
      </c>
      <c r="S8839" s="18" t="s">
        <v>30</v>
      </c>
      <c r="T8839" s="18" t="s">
        <v>21086</v>
      </c>
      <c r="U8839" s="18" t="s">
        <v>21087</v>
      </c>
      <c r="V8839" s="18" t="s">
        <v>21070</v>
      </c>
      <c r="W8839" s="18" t="s">
        <v>21088</v>
      </c>
      <c r="X8839" s="18" t="s">
        <v>35</v>
      </c>
      <c r="Y8839" s="18" t="s">
        <v>17171</v>
      </c>
      <c r="Z8839" s="18" t="s">
        <v>16721</v>
      </c>
      <c r="AA8839" s="21" t="str">
        <f>HYPERLINK("https://www.ncbi.nlm.nih.gov/nuccore/MK372901","NCBI Nucleotide")</f>
        <v>NCBI Nucleotide</v>
      </c>
    </row>
    <row r="8840" spans="1:27" x14ac:dyDescent="0.35">
      <c r="A8840">
        <v>1009291</v>
      </c>
      <c r="B8840">
        <v>8165</v>
      </c>
      <c r="C8840">
        <v>1</v>
      </c>
      <c r="D8840" s="17" t="s">
        <v>17166</v>
      </c>
      <c r="E8840" s="17"/>
      <c r="F8840" s="17" t="s">
        <v>17246</v>
      </c>
      <c r="G8840" s="17"/>
      <c r="H8840" s="17" t="s">
        <v>20919</v>
      </c>
      <c r="I8840" s="17"/>
      <c r="J8840" s="17" t="s">
        <v>20931</v>
      </c>
      <c r="K8840" s="17"/>
      <c r="L8840" s="17" t="s">
        <v>20932</v>
      </c>
      <c r="M8840" s="17"/>
      <c r="N8840" s="17" t="s">
        <v>20933</v>
      </c>
      <c r="O8840" s="17"/>
      <c r="P8840" s="17" t="s">
        <v>20934</v>
      </c>
      <c r="Q8840" s="17"/>
      <c r="R8840" s="25" t="str">
        <f>HYPERLINK("https://ictv.global/taxonomy/taxondetails?taxnode_id=202312443","Duamitovirus rhso34")</f>
        <v>Duamitovirus rhso34</v>
      </c>
      <c r="S8840" s="18" t="s">
        <v>30</v>
      </c>
      <c r="T8840" s="18" t="s">
        <v>21089</v>
      </c>
      <c r="U8840" s="18" t="s">
        <v>21090</v>
      </c>
      <c r="V8840" s="18" t="s">
        <v>21074</v>
      </c>
      <c r="W8840" s="18" t="s">
        <v>21091</v>
      </c>
      <c r="X8840" s="18" t="s">
        <v>35</v>
      </c>
      <c r="Y8840" s="18" t="s">
        <v>17171</v>
      </c>
      <c r="Z8840" s="18" t="s">
        <v>16721</v>
      </c>
      <c r="AA8840" s="21" t="str">
        <f>HYPERLINK("https://www.ncbi.nlm.nih.gov/nuccore/MK372903","NCBI Nucleotide")</f>
        <v>NCBI Nucleotide</v>
      </c>
    </row>
    <row r="8841" spans="1:27" x14ac:dyDescent="0.35">
      <c r="A8841">
        <v>1009292</v>
      </c>
      <c r="B8841">
        <v>8166</v>
      </c>
      <c r="C8841">
        <v>1</v>
      </c>
      <c r="D8841" s="17" t="s">
        <v>17166</v>
      </c>
      <c r="E8841" s="17"/>
      <c r="F8841" s="17" t="s">
        <v>17246</v>
      </c>
      <c r="G8841" s="17"/>
      <c r="H8841" s="17" t="s">
        <v>20919</v>
      </c>
      <c r="I8841" s="17"/>
      <c r="J8841" s="17" t="s">
        <v>20931</v>
      </c>
      <c r="K8841" s="17"/>
      <c r="L8841" s="17" t="s">
        <v>20932</v>
      </c>
      <c r="M8841" s="17"/>
      <c r="N8841" s="17" t="s">
        <v>20933</v>
      </c>
      <c r="O8841" s="17"/>
      <c r="P8841" s="17" t="s">
        <v>20934</v>
      </c>
      <c r="Q8841" s="17"/>
      <c r="R8841" s="25" t="str">
        <f>HYPERLINK("https://ictv.global/taxonomy/taxondetails?taxnode_id=202312445","Duamitovirus scho1")</f>
        <v>Duamitovirus scho1</v>
      </c>
      <c r="S8841" s="18" t="s">
        <v>30</v>
      </c>
      <c r="T8841" s="18" t="s">
        <v>21092</v>
      </c>
      <c r="U8841" s="18" t="s">
        <v>21093</v>
      </c>
      <c r="V8841" s="18" t="s">
        <v>21094</v>
      </c>
      <c r="W8841" s="18" t="s">
        <v>21095</v>
      </c>
      <c r="X8841" s="18" t="s">
        <v>42</v>
      </c>
      <c r="Y8841" s="18" t="s">
        <v>17171</v>
      </c>
      <c r="Z8841" s="18" t="s">
        <v>16721</v>
      </c>
      <c r="AA8841" s="21" t="str">
        <f>HYPERLINK("https://www.ncbi.nlm.nih.gov/nuccore/AY172454","NCBI Nucleotide")</f>
        <v>NCBI Nucleotide</v>
      </c>
    </row>
    <row r="8842" spans="1:27" x14ac:dyDescent="0.35">
      <c r="A8842">
        <v>1009293</v>
      </c>
      <c r="B8842">
        <v>8167</v>
      </c>
      <c r="C8842">
        <v>1</v>
      </c>
      <c r="D8842" s="17" t="s">
        <v>17166</v>
      </c>
      <c r="E8842" s="17"/>
      <c r="F8842" s="17" t="s">
        <v>17246</v>
      </c>
      <c r="G8842" s="17"/>
      <c r="H8842" s="17" t="s">
        <v>20919</v>
      </c>
      <c r="I8842" s="17"/>
      <c r="J8842" s="17" t="s">
        <v>20931</v>
      </c>
      <c r="K8842" s="17"/>
      <c r="L8842" s="17" t="s">
        <v>20932</v>
      </c>
      <c r="M8842" s="17"/>
      <c r="N8842" s="17" t="s">
        <v>20933</v>
      </c>
      <c r="O8842" s="17"/>
      <c r="P8842" s="17" t="s">
        <v>20934</v>
      </c>
      <c r="Q8842" s="17"/>
      <c r="R8842" s="25" t="str">
        <f>HYPERLINK("https://ictv.global/taxonomy/taxondetails?taxnode_id=202312446","Duamitovirus scni2")</f>
        <v>Duamitovirus scni2</v>
      </c>
      <c r="S8842" s="18" t="s">
        <v>30</v>
      </c>
      <c r="T8842" s="18" t="s">
        <v>21096</v>
      </c>
      <c r="U8842" s="18" t="s">
        <v>21097</v>
      </c>
      <c r="V8842" s="18" t="s">
        <v>21098</v>
      </c>
      <c r="W8842" s="18" t="s">
        <v>21099</v>
      </c>
      <c r="X8842" s="18" t="s">
        <v>42</v>
      </c>
      <c r="Y8842" s="18" t="s">
        <v>17171</v>
      </c>
      <c r="Z8842" s="18" t="s">
        <v>16721</v>
      </c>
      <c r="AA8842" s="21" t="str">
        <f>HYPERLINK("https://www.ncbi.nlm.nih.gov/nuccore/KT365896","NCBI Nucleotide")</f>
        <v>NCBI Nucleotide</v>
      </c>
    </row>
    <row r="8843" spans="1:27" x14ac:dyDescent="0.35">
      <c r="A8843">
        <v>1009294</v>
      </c>
      <c r="B8843">
        <v>8168</v>
      </c>
      <c r="C8843">
        <v>1</v>
      </c>
      <c r="D8843" s="17" t="s">
        <v>17166</v>
      </c>
      <c r="E8843" s="17"/>
      <c r="F8843" s="17" t="s">
        <v>17246</v>
      </c>
      <c r="G8843" s="17"/>
      <c r="H8843" s="17" t="s">
        <v>20919</v>
      </c>
      <c r="I8843" s="17"/>
      <c r="J8843" s="17" t="s">
        <v>20931</v>
      </c>
      <c r="K8843" s="17"/>
      <c r="L8843" s="17" t="s">
        <v>20932</v>
      </c>
      <c r="M8843" s="17"/>
      <c r="N8843" s="17" t="s">
        <v>20933</v>
      </c>
      <c r="O8843" s="17"/>
      <c r="P8843" s="17" t="s">
        <v>20934</v>
      </c>
      <c r="Q8843" s="17"/>
      <c r="R8843" s="25" t="str">
        <f>HYPERLINK("https://ictv.global/taxonomy/taxondetails?taxnode_id=202312447","Duamitovirus scsc3")</f>
        <v>Duamitovirus scsc3</v>
      </c>
      <c r="S8843" s="18" t="s">
        <v>30</v>
      </c>
      <c r="T8843" s="18" t="s">
        <v>21100</v>
      </c>
      <c r="U8843" s="18" t="s">
        <v>21101</v>
      </c>
      <c r="V8843" s="18" t="s">
        <v>21102</v>
      </c>
      <c r="W8843" s="18" t="s">
        <v>21103</v>
      </c>
      <c r="X8843" s="18" t="s">
        <v>42</v>
      </c>
      <c r="Y8843" s="18" t="s">
        <v>17171</v>
      </c>
      <c r="Z8843" s="18" t="s">
        <v>16721</v>
      </c>
      <c r="AA8843" s="21" t="str">
        <f>HYPERLINK("https://www.ncbi.nlm.nih.gov/nuccore/JX401537","NCBI Nucleotide")</f>
        <v>NCBI Nucleotide</v>
      </c>
    </row>
    <row r="8844" spans="1:27" x14ac:dyDescent="0.35">
      <c r="A8844">
        <v>1009295</v>
      </c>
      <c r="B8844">
        <v>8169</v>
      </c>
      <c r="C8844">
        <v>1</v>
      </c>
      <c r="D8844" s="17" t="s">
        <v>17166</v>
      </c>
      <c r="E8844" s="17"/>
      <c r="F8844" s="17" t="s">
        <v>17246</v>
      </c>
      <c r="G8844" s="17"/>
      <c r="H8844" s="17" t="s">
        <v>20919</v>
      </c>
      <c r="I8844" s="17"/>
      <c r="J8844" s="17" t="s">
        <v>20931</v>
      </c>
      <c r="K8844" s="17"/>
      <c r="L8844" s="17" t="s">
        <v>20932</v>
      </c>
      <c r="M8844" s="17"/>
      <c r="N8844" s="17" t="s">
        <v>20933</v>
      </c>
      <c r="O8844" s="17"/>
      <c r="P8844" s="17" t="s">
        <v>20934</v>
      </c>
      <c r="Q8844" s="17"/>
      <c r="R8844" s="25" t="str">
        <f>HYPERLINK("https://ictv.global/taxonomy/taxondetails?taxnode_id=202312448","Duamitovirus scsc6")</f>
        <v>Duamitovirus scsc6</v>
      </c>
      <c r="S8844" s="18" t="s">
        <v>30</v>
      </c>
      <c r="T8844" s="18" t="s">
        <v>21104</v>
      </c>
      <c r="U8844" s="18" t="s">
        <v>21105</v>
      </c>
      <c r="V8844" s="18">
        <v>14563</v>
      </c>
      <c r="W8844" s="18" t="s">
        <v>21106</v>
      </c>
      <c r="X8844" s="18" t="s">
        <v>42</v>
      </c>
      <c r="Y8844" s="18" t="s">
        <v>17171</v>
      </c>
      <c r="Z8844" s="18" t="s">
        <v>16721</v>
      </c>
      <c r="AA8844" s="21" t="str">
        <f>HYPERLINK("https://www.ncbi.nlm.nih.gov/nuccore/KJ462512","NCBI Nucleotide")</f>
        <v>NCBI Nucleotide</v>
      </c>
    </row>
    <row r="8845" spans="1:27" x14ac:dyDescent="0.35">
      <c r="A8845">
        <v>1009296</v>
      </c>
      <c r="B8845">
        <v>8170</v>
      </c>
      <c r="C8845">
        <v>1</v>
      </c>
      <c r="D8845" s="17" t="s">
        <v>17166</v>
      </c>
      <c r="E8845" s="17"/>
      <c r="F8845" s="17" t="s">
        <v>17246</v>
      </c>
      <c r="G8845" s="17"/>
      <c r="H8845" s="17" t="s">
        <v>20919</v>
      </c>
      <c r="I8845" s="17"/>
      <c r="J8845" s="17" t="s">
        <v>20931</v>
      </c>
      <c r="K8845" s="17"/>
      <c r="L8845" s="17" t="s">
        <v>20932</v>
      </c>
      <c r="M8845" s="17"/>
      <c r="N8845" s="17" t="s">
        <v>20933</v>
      </c>
      <c r="O8845" s="17"/>
      <c r="P8845" s="17" t="s">
        <v>20934</v>
      </c>
      <c r="Q8845" s="17"/>
      <c r="R8845" s="25" t="str">
        <f>HYPERLINK("https://ictv.global/taxonomy/taxondetails?taxnode_id=202312449","Duamitovirus soch1")</f>
        <v>Duamitovirus soch1</v>
      </c>
      <c r="S8845" s="18" t="s">
        <v>30</v>
      </c>
      <c r="T8845" s="18" t="s">
        <v>21107</v>
      </c>
      <c r="U8845" s="18" t="s">
        <v>21108</v>
      </c>
      <c r="V8845" s="18" t="s">
        <v>21109</v>
      </c>
      <c r="W8845" s="18" t="s">
        <v>21110</v>
      </c>
      <c r="X8845" s="18" t="s">
        <v>35</v>
      </c>
      <c r="Y8845" s="18" t="s">
        <v>17171</v>
      </c>
      <c r="Z8845" s="18" t="s">
        <v>13441</v>
      </c>
      <c r="AA8845" s="21" t="str">
        <f>HYPERLINK("https://www.ncbi.nlm.nih.gov/nuccore/BK010425","NCBI Nucleotide")</f>
        <v>NCBI Nucleotide</v>
      </c>
    </row>
    <row r="8846" spans="1:27" x14ac:dyDescent="0.35">
      <c r="A8846">
        <v>1009297</v>
      </c>
      <c r="B8846">
        <v>8171</v>
      </c>
      <c r="C8846">
        <v>1</v>
      </c>
      <c r="D8846" s="17" t="s">
        <v>17166</v>
      </c>
      <c r="E8846" s="17"/>
      <c r="F8846" s="17" t="s">
        <v>17246</v>
      </c>
      <c r="G8846" s="17"/>
      <c r="H8846" s="17" t="s">
        <v>20919</v>
      </c>
      <c r="I8846" s="17"/>
      <c r="J8846" s="17" t="s">
        <v>20931</v>
      </c>
      <c r="K8846" s="17"/>
      <c r="L8846" s="17" t="s">
        <v>20932</v>
      </c>
      <c r="M8846" s="17"/>
      <c r="N8846" s="17" t="s">
        <v>20933</v>
      </c>
      <c r="O8846" s="17"/>
      <c r="P8846" s="17" t="s">
        <v>20934</v>
      </c>
      <c r="Q8846" s="17"/>
      <c r="R8846" s="25" t="str">
        <f>HYPERLINK("https://ictv.global/taxonomy/taxondetails?taxnode_id=202312450","Duamitovirus tuae1")</f>
        <v>Duamitovirus tuae1</v>
      </c>
      <c r="S8846" s="18" t="s">
        <v>30</v>
      </c>
      <c r="T8846" s="18" t="s">
        <v>21111</v>
      </c>
      <c r="U8846" s="18" t="s">
        <v>21112</v>
      </c>
      <c r="V8846" s="18" t="s">
        <v>21113</v>
      </c>
      <c r="W8846" s="18" t="s">
        <v>21114</v>
      </c>
      <c r="X8846" s="18" t="s">
        <v>42</v>
      </c>
      <c r="Y8846" s="18" t="s">
        <v>17171</v>
      </c>
      <c r="Z8846" s="18" t="s">
        <v>16721</v>
      </c>
      <c r="AA8846" s="21" t="str">
        <f>HYPERLINK("https://www.ncbi.nlm.nih.gov/nuccore/HQ992989","NCBI Nucleotide")</f>
        <v>NCBI Nucleotide</v>
      </c>
    </row>
    <row r="8847" spans="1:27" x14ac:dyDescent="0.35">
      <c r="A8847">
        <v>1009298</v>
      </c>
      <c r="B8847">
        <v>8172</v>
      </c>
      <c r="C8847">
        <v>1</v>
      </c>
      <c r="D8847" s="17" t="s">
        <v>17166</v>
      </c>
      <c r="E8847" s="17"/>
      <c r="F8847" s="17" t="s">
        <v>17246</v>
      </c>
      <c r="G8847" s="17"/>
      <c r="H8847" s="17" t="s">
        <v>20919</v>
      </c>
      <c r="I8847" s="17"/>
      <c r="J8847" s="17" t="s">
        <v>20931</v>
      </c>
      <c r="K8847" s="17"/>
      <c r="L8847" s="17" t="s">
        <v>20932</v>
      </c>
      <c r="M8847" s="17"/>
      <c r="N8847" s="17" t="s">
        <v>20933</v>
      </c>
      <c r="O8847" s="17"/>
      <c r="P8847" s="17" t="s">
        <v>21115</v>
      </c>
      <c r="Q8847" s="17"/>
      <c r="R8847" s="25" t="str">
        <f>HYPERLINK("https://ictv.global/taxonomy/taxondetails?taxnode_id=202312462","Kvaramitovirus opno7")</f>
        <v>Kvaramitovirus opno7</v>
      </c>
      <c r="S8847" s="18" t="s">
        <v>30</v>
      </c>
      <c r="T8847" s="18" t="s">
        <v>21116</v>
      </c>
      <c r="U8847" s="18" t="s">
        <v>21117</v>
      </c>
      <c r="V8847" s="18" t="s">
        <v>21045</v>
      </c>
      <c r="W8847" s="18" t="s">
        <v>21118</v>
      </c>
      <c r="X8847" s="18" t="s">
        <v>42</v>
      </c>
      <c r="Y8847" s="18" t="s">
        <v>17171</v>
      </c>
      <c r="Z8847" s="18" t="s">
        <v>16721</v>
      </c>
      <c r="AA8847" s="21" t="str">
        <f>HYPERLINK("https://www.ncbi.nlm.nih.gov/nuccore/KF031943","NCBI Nucleotide")</f>
        <v>NCBI Nucleotide</v>
      </c>
    </row>
    <row r="8848" spans="1:27" x14ac:dyDescent="0.35">
      <c r="A8848">
        <v>1009299</v>
      </c>
      <c r="B8848">
        <v>8173</v>
      </c>
      <c r="C8848">
        <v>1</v>
      </c>
      <c r="D8848" s="17" t="s">
        <v>17166</v>
      </c>
      <c r="E8848" s="17"/>
      <c r="F8848" s="17" t="s">
        <v>17246</v>
      </c>
      <c r="G8848" s="17"/>
      <c r="H8848" s="17" t="s">
        <v>20919</v>
      </c>
      <c r="I8848" s="17"/>
      <c r="J8848" s="17" t="s">
        <v>20931</v>
      </c>
      <c r="K8848" s="17"/>
      <c r="L8848" s="17" t="s">
        <v>20932</v>
      </c>
      <c r="M8848" s="17"/>
      <c r="N8848" s="17" t="s">
        <v>20933</v>
      </c>
      <c r="O8848" s="17"/>
      <c r="P8848" s="17" t="s">
        <v>21119</v>
      </c>
      <c r="Q8848" s="17"/>
      <c r="R8848" s="25" t="str">
        <f>HYPERLINK("https://ictv.global/taxonomy/taxondetails?taxnode_id=202312452","Triamitovirus cespA")</f>
        <v>Triamitovirus cespA</v>
      </c>
      <c r="S8848" s="18" t="s">
        <v>30</v>
      </c>
      <c r="T8848" s="18" t="s">
        <v>21120</v>
      </c>
      <c r="U8848" s="18" t="s">
        <v>20968</v>
      </c>
      <c r="V8848" s="18" t="s">
        <v>21121</v>
      </c>
      <c r="W8848" s="18" t="s">
        <v>21122</v>
      </c>
      <c r="X8848" s="18" t="s">
        <v>35</v>
      </c>
      <c r="Y8848" s="18" t="s">
        <v>17171</v>
      </c>
      <c r="Z8848" s="18" t="s">
        <v>16721</v>
      </c>
      <c r="AA8848" s="21" t="str">
        <f>HYPERLINK("https://www.ncbi.nlm.nih.gov/nuccore/KU291923","NCBI Nucleotide")</f>
        <v>NCBI Nucleotide</v>
      </c>
    </row>
    <row r="8849" spans="1:27" x14ac:dyDescent="0.35">
      <c r="A8849">
        <v>1009300</v>
      </c>
      <c r="B8849">
        <v>8174</v>
      </c>
      <c r="C8849">
        <v>1</v>
      </c>
      <c r="D8849" s="17" t="s">
        <v>17166</v>
      </c>
      <c r="E8849" s="17"/>
      <c r="F8849" s="17" t="s">
        <v>17246</v>
      </c>
      <c r="G8849" s="17"/>
      <c r="H8849" s="17" t="s">
        <v>20919</v>
      </c>
      <c r="I8849" s="17"/>
      <c r="J8849" s="17" t="s">
        <v>20931</v>
      </c>
      <c r="K8849" s="17"/>
      <c r="L8849" s="17" t="s">
        <v>20932</v>
      </c>
      <c r="M8849" s="17"/>
      <c r="N8849" s="17" t="s">
        <v>20933</v>
      </c>
      <c r="O8849" s="17"/>
      <c r="P8849" s="17" t="s">
        <v>21119</v>
      </c>
      <c r="Q8849" s="17"/>
      <c r="R8849" s="25" t="str">
        <f>HYPERLINK("https://ictv.global/taxonomy/taxondetails?taxnode_id=202312453","Triamitovirus gesu1")</f>
        <v>Triamitovirus gesu1</v>
      </c>
      <c r="S8849" s="18" t="s">
        <v>30</v>
      </c>
      <c r="T8849" s="18" t="s">
        <v>21123</v>
      </c>
      <c r="U8849" s="18" t="s">
        <v>21124</v>
      </c>
      <c r="V8849" s="18" t="s">
        <v>21125</v>
      </c>
      <c r="W8849" s="18" t="s">
        <v>21126</v>
      </c>
      <c r="X8849" s="18" t="s">
        <v>42</v>
      </c>
      <c r="Y8849" s="18" t="s">
        <v>17171</v>
      </c>
      <c r="Z8849" s="18" t="s">
        <v>16721</v>
      </c>
      <c r="AA8849" s="21" t="str">
        <f>HYPERLINK("https://www.ncbi.nlm.nih.gov/nuccore/MN043682","NCBI Nucleotide")</f>
        <v>NCBI Nucleotide</v>
      </c>
    </row>
    <row r="8850" spans="1:27" x14ac:dyDescent="0.35">
      <c r="A8850">
        <v>1009301</v>
      </c>
      <c r="B8850">
        <v>8175</v>
      </c>
      <c r="C8850">
        <v>1</v>
      </c>
      <c r="D8850" s="17" t="s">
        <v>17166</v>
      </c>
      <c r="E8850" s="17"/>
      <c r="F8850" s="17" t="s">
        <v>17246</v>
      </c>
      <c r="G8850" s="17"/>
      <c r="H8850" s="17" t="s">
        <v>20919</v>
      </c>
      <c r="I8850" s="17"/>
      <c r="J8850" s="17" t="s">
        <v>20931</v>
      </c>
      <c r="K8850" s="17"/>
      <c r="L8850" s="17" t="s">
        <v>20932</v>
      </c>
      <c r="M8850" s="17"/>
      <c r="N8850" s="17" t="s">
        <v>20933</v>
      </c>
      <c r="O8850" s="17"/>
      <c r="P8850" s="17" t="s">
        <v>21119</v>
      </c>
      <c r="Q8850" s="17"/>
      <c r="R8850" s="25" t="str">
        <f>HYPERLINK("https://ictv.global/taxonomy/taxondetails?taxnode_id=202312459","Triamitovirus rhcl1")</f>
        <v>Triamitovirus rhcl1</v>
      </c>
      <c r="S8850" s="18" t="s">
        <v>30</v>
      </c>
      <c r="T8850" s="18" t="s">
        <v>21127</v>
      </c>
      <c r="U8850" s="18" t="s">
        <v>21062</v>
      </c>
      <c r="V8850" s="18" t="s">
        <v>21128</v>
      </c>
      <c r="W8850" s="18" t="s">
        <v>21129</v>
      </c>
      <c r="X8850" s="18" t="s">
        <v>42</v>
      </c>
      <c r="Y8850" s="18" t="s">
        <v>17171</v>
      </c>
      <c r="Z8850" s="18" t="s">
        <v>16721</v>
      </c>
      <c r="AA8850" s="21" t="str">
        <f>HYPERLINK("https://www.ncbi.nlm.nih.gov/nuccore/AB558120","NCBI Nucleotide")</f>
        <v>NCBI Nucleotide</v>
      </c>
    </row>
    <row r="8851" spans="1:27" x14ac:dyDescent="0.35">
      <c r="A8851">
        <v>1009302</v>
      </c>
      <c r="B8851">
        <v>8176</v>
      </c>
      <c r="C8851">
        <v>1</v>
      </c>
      <c r="D8851" s="17" t="s">
        <v>17166</v>
      </c>
      <c r="E8851" s="17"/>
      <c r="F8851" s="17" t="s">
        <v>17246</v>
      </c>
      <c r="G8851" s="17"/>
      <c r="H8851" s="17" t="s">
        <v>20919</v>
      </c>
      <c r="I8851" s="17"/>
      <c r="J8851" s="17" t="s">
        <v>20931</v>
      </c>
      <c r="K8851" s="17"/>
      <c r="L8851" s="17" t="s">
        <v>20932</v>
      </c>
      <c r="M8851" s="17"/>
      <c r="N8851" s="17" t="s">
        <v>20933</v>
      </c>
      <c r="O8851" s="17"/>
      <c r="P8851" s="17" t="s">
        <v>21119</v>
      </c>
      <c r="Q8851" s="17"/>
      <c r="R8851" s="25" t="str">
        <f>HYPERLINK("https://ictv.global/taxonomy/taxondetails?taxnode_id=202312454","Triamitovirus rhor1")</f>
        <v>Triamitovirus rhor1</v>
      </c>
      <c r="S8851" s="18" t="s">
        <v>30</v>
      </c>
      <c r="T8851" s="18" t="s">
        <v>21130</v>
      </c>
      <c r="U8851" s="18" t="s">
        <v>21131</v>
      </c>
      <c r="V8851" s="18" t="s">
        <v>21132</v>
      </c>
      <c r="W8851" s="18" t="s">
        <v>21133</v>
      </c>
      <c r="X8851" s="18" t="s">
        <v>42</v>
      </c>
      <c r="Y8851" s="18" t="s">
        <v>17171</v>
      </c>
      <c r="Z8851" s="18" t="s">
        <v>16721</v>
      </c>
      <c r="AA8851" s="21" t="str">
        <f>HYPERLINK("https://www.ncbi.nlm.nih.gov/nuccore/KU057949","NCBI Nucleotide")</f>
        <v>NCBI Nucleotide</v>
      </c>
    </row>
    <row r="8852" spans="1:27" x14ac:dyDescent="0.35">
      <c r="A8852">
        <v>1009303</v>
      </c>
      <c r="B8852">
        <v>8177</v>
      </c>
      <c r="C8852">
        <v>1</v>
      </c>
      <c r="D8852" s="17" t="s">
        <v>17166</v>
      </c>
      <c r="E8852" s="17"/>
      <c r="F8852" s="17" t="s">
        <v>17246</v>
      </c>
      <c r="G8852" s="17"/>
      <c r="H8852" s="17" t="s">
        <v>20919</v>
      </c>
      <c r="I8852" s="17"/>
      <c r="J8852" s="17" t="s">
        <v>20931</v>
      </c>
      <c r="K8852" s="17"/>
      <c r="L8852" s="17" t="s">
        <v>20932</v>
      </c>
      <c r="M8852" s="17"/>
      <c r="N8852" s="17" t="s">
        <v>20933</v>
      </c>
      <c r="O8852" s="17"/>
      <c r="P8852" s="17" t="s">
        <v>21119</v>
      </c>
      <c r="Q8852" s="17"/>
      <c r="R8852" s="25" t="str">
        <f>HYPERLINK("https://ictv.global/taxonomy/taxondetails?taxnode_id=202312455","Triamitovirus rhso1")</f>
        <v>Triamitovirus rhso1</v>
      </c>
      <c r="S8852" s="18" t="s">
        <v>30</v>
      </c>
      <c r="T8852" s="18" t="s">
        <v>21134</v>
      </c>
      <c r="U8852" s="18" t="s">
        <v>21135</v>
      </c>
      <c r="V8852" s="18" t="s">
        <v>21136</v>
      </c>
      <c r="W8852" s="18" t="s">
        <v>21137</v>
      </c>
      <c r="X8852" s="18" t="s">
        <v>42</v>
      </c>
      <c r="Y8852" s="18" t="s">
        <v>17171</v>
      </c>
      <c r="Z8852" s="18" t="s">
        <v>16721</v>
      </c>
      <c r="AA8852" s="21" t="str">
        <f>HYPERLINK("https://www.ncbi.nlm.nih.gov/nuccore/KC792591","NCBI Nucleotide")</f>
        <v>NCBI Nucleotide</v>
      </c>
    </row>
    <row r="8853" spans="1:27" x14ac:dyDescent="0.35">
      <c r="A8853">
        <v>1009304</v>
      </c>
      <c r="B8853">
        <v>8178</v>
      </c>
      <c r="C8853">
        <v>1</v>
      </c>
      <c r="D8853" s="17" t="s">
        <v>17166</v>
      </c>
      <c r="E8853" s="17"/>
      <c r="F8853" s="17" t="s">
        <v>17246</v>
      </c>
      <c r="G8853" s="17"/>
      <c r="H8853" s="17" t="s">
        <v>20919</v>
      </c>
      <c r="I8853" s="17"/>
      <c r="J8853" s="17" t="s">
        <v>20931</v>
      </c>
      <c r="K8853" s="17"/>
      <c r="L8853" s="17" t="s">
        <v>20932</v>
      </c>
      <c r="M8853" s="17"/>
      <c r="N8853" s="17" t="s">
        <v>20933</v>
      </c>
      <c r="O8853" s="17"/>
      <c r="P8853" s="17" t="s">
        <v>21119</v>
      </c>
      <c r="Q8853" s="17"/>
      <c r="R8853" s="25" t="str">
        <f>HYPERLINK("https://ictv.global/taxonomy/taxondetails?taxnode_id=202312456","Triamitovirus rhso23")</f>
        <v>Triamitovirus rhso23</v>
      </c>
      <c r="S8853" s="18" t="s">
        <v>30</v>
      </c>
      <c r="T8853" s="18" t="s">
        <v>21138</v>
      </c>
      <c r="U8853" s="18" t="s">
        <v>21139</v>
      </c>
      <c r="V8853" s="18" t="s">
        <v>21140</v>
      </c>
      <c r="W8853" s="18" t="s">
        <v>21141</v>
      </c>
      <c r="X8853" s="18" t="s">
        <v>35</v>
      </c>
      <c r="Y8853" s="18" t="s">
        <v>17171</v>
      </c>
      <c r="Z8853" s="18" t="s">
        <v>16721</v>
      </c>
      <c r="AA8853" s="21" t="str">
        <f>HYPERLINK("https://www.ncbi.nlm.nih.gov/nuccore/MK375261","NCBI Nucleotide")</f>
        <v>NCBI Nucleotide</v>
      </c>
    </row>
    <row r="8854" spans="1:27" x14ac:dyDescent="0.35">
      <c r="A8854">
        <v>1009305</v>
      </c>
      <c r="B8854">
        <v>8179</v>
      </c>
      <c r="C8854">
        <v>1</v>
      </c>
      <c r="D8854" s="17" t="s">
        <v>17166</v>
      </c>
      <c r="E8854" s="17"/>
      <c r="F8854" s="17" t="s">
        <v>17246</v>
      </c>
      <c r="G8854" s="17"/>
      <c r="H8854" s="17" t="s">
        <v>20919</v>
      </c>
      <c r="I8854" s="17"/>
      <c r="J8854" s="17" t="s">
        <v>20931</v>
      </c>
      <c r="K8854" s="17"/>
      <c r="L8854" s="17" t="s">
        <v>20932</v>
      </c>
      <c r="M8854" s="17"/>
      <c r="N8854" s="17" t="s">
        <v>20933</v>
      </c>
      <c r="O8854" s="17"/>
      <c r="P8854" s="17" t="s">
        <v>21119</v>
      </c>
      <c r="Q8854" s="17"/>
      <c r="R8854" s="25" t="str">
        <f>HYPERLINK("https://ictv.global/taxonomy/taxondetails?taxnode_id=202312457","Triamitovirus rhso30")</f>
        <v>Triamitovirus rhso30</v>
      </c>
      <c r="S8854" s="18" t="s">
        <v>30</v>
      </c>
      <c r="T8854" s="18" t="s">
        <v>21142</v>
      </c>
      <c r="U8854" s="18" t="s">
        <v>21143</v>
      </c>
      <c r="V8854" s="18" t="s">
        <v>21144</v>
      </c>
      <c r="W8854" s="18" t="s">
        <v>21145</v>
      </c>
      <c r="X8854" s="18" t="s">
        <v>35</v>
      </c>
      <c r="Y8854" s="18" t="s">
        <v>17171</v>
      </c>
      <c r="Z8854" s="18" t="s">
        <v>16721</v>
      </c>
      <c r="AA8854" s="21" t="str">
        <f>HYPERLINK("https://www.ncbi.nlm.nih.gov/nuccore/MK372899","NCBI Nucleotide")</f>
        <v>NCBI Nucleotide</v>
      </c>
    </row>
    <row r="8855" spans="1:27" x14ac:dyDescent="0.35">
      <c r="A8855">
        <v>1009306</v>
      </c>
      <c r="B8855">
        <v>8180</v>
      </c>
      <c r="C8855">
        <v>1</v>
      </c>
      <c r="D8855" s="17" t="s">
        <v>17166</v>
      </c>
      <c r="E8855" s="17"/>
      <c r="F8855" s="17" t="s">
        <v>17246</v>
      </c>
      <c r="G8855" s="17"/>
      <c r="H8855" s="17" t="s">
        <v>20919</v>
      </c>
      <c r="I8855" s="17"/>
      <c r="J8855" s="17" t="s">
        <v>20931</v>
      </c>
      <c r="K8855" s="17"/>
      <c r="L8855" s="17" t="s">
        <v>20932</v>
      </c>
      <c r="M8855" s="17"/>
      <c r="N8855" s="17" t="s">
        <v>20933</v>
      </c>
      <c r="O8855" s="17"/>
      <c r="P8855" s="17" t="s">
        <v>21119</v>
      </c>
      <c r="Q8855" s="17"/>
      <c r="R8855" s="25" t="str">
        <f>HYPERLINK("https://ictv.global/taxonomy/taxondetails?taxnode_id=202312458","Triamitovirus rhso39")</f>
        <v>Triamitovirus rhso39</v>
      </c>
      <c r="S8855" s="18" t="s">
        <v>30</v>
      </c>
      <c r="T8855" s="18" t="s">
        <v>21146</v>
      </c>
      <c r="U8855" s="18" t="s">
        <v>21147</v>
      </c>
      <c r="V8855" s="18" t="s">
        <v>21148</v>
      </c>
      <c r="W8855" s="18" t="s">
        <v>21149</v>
      </c>
      <c r="X8855" s="18" t="s">
        <v>42</v>
      </c>
      <c r="Y8855" s="18" t="s">
        <v>17171</v>
      </c>
      <c r="Z8855" s="18" t="s">
        <v>16721</v>
      </c>
      <c r="AA8855" s="21" t="str">
        <f>HYPERLINK("https://www.ncbi.nlm.nih.gov/nuccore/MN448505","NCBI Nucleotide")</f>
        <v>NCBI Nucleotide</v>
      </c>
    </row>
    <row r="8856" spans="1:27" x14ac:dyDescent="0.35">
      <c r="A8856">
        <v>1009307</v>
      </c>
      <c r="B8856">
        <v>8181</v>
      </c>
      <c r="C8856">
        <v>1</v>
      </c>
      <c r="D8856" s="17" t="s">
        <v>17166</v>
      </c>
      <c r="E8856" s="17"/>
      <c r="F8856" s="17" t="s">
        <v>17246</v>
      </c>
      <c r="G8856" s="17"/>
      <c r="H8856" s="17" t="s">
        <v>20919</v>
      </c>
      <c r="I8856" s="17"/>
      <c r="J8856" s="17" t="s">
        <v>20931</v>
      </c>
      <c r="K8856" s="17"/>
      <c r="L8856" s="17" t="s">
        <v>20932</v>
      </c>
      <c r="M8856" s="17"/>
      <c r="N8856" s="17" t="s">
        <v>20933</v>
      </c>
      <c r="O8856" s="17"/>
      <c r="P8856" s="17" t="s">
        <v>21119</v>
      </c>
      <c r="Q8856" s="17"/>
      <c r="R8856" s="25" t="str">
        <f>HYPERLINK("https://ictv.global/taxonomy/taxondetails?taxnode_id=202312460","Triamitovirus tuex1")</f>
        <v>Triamitovirus tuex1</v>
      </c>
      <c r="S8856" s="18" t="s">
        <v>30</v>
      </c>
      <c r="T8856" s="18" t="s">
        <v>21150</v>
      </c>
      <c r="U8856" s="18" t="s">
        <v>21151</v>
      </c>
      <c r="V8856" s="18" t="s">
        <v>21152</v>
      </c>
      <c r="W8856" s="18" t="s">
        <v>21153</v>
      </c>
      <c r="X8856" s="18" t="s">
        <v>42</v>
      </c>
      <c r="Y8856" s="18" t="s">
        <v>17171</v>
      </c>
      <c r="Z8856" s="18" t="s">
        <v>16721</v>
      </c>
      <c r="AA8856" s="21" t="str">
        <f>HYPERLINK("https://www.ncbi.nlm.nih.gov/nuccore/JN222389","NCBI Nucleotide")</f>
        <v>NCBI Nucleotide</v>
      </c>
    </row>
    <row r="8857" spans="1:27" x14ac:dyDescent="0.35">
      <c r="A8857">
        <v>1009308</v>
      </c>
      <c r="B8857">
        <v>8182</v>
      </c>
      <c r="C8857">
        <v>1</v>
      </c>
      <c r="D8857" s="17" t="s">
        <v>17166</v>
      </c>
      <c r="E8857" s="17"/>
      <c r="F8857" s="17" t="s">
        <v>17246</v>
      </c>
      <c r="G8857" s="17"/>
      <c r="H8857" s="17" t="s">
        <v>20919</v>
      </c>
      <c r="I8857" s="17"/>
      <c r="J8857" s="17" t="s">
        <v>20931</v>
      </c>
      <c r="K8857" s="17"/>
      <c r="L8857" s="17" t="s">
        <v>20932</v>
      </c>
      <c r="M8857" s="17"/>
      <c r="N8857" s="17" t="s">
        <v>20933</v>
      </c>
      <c r="O8857" s="17"/>
      <c r="P8857" s="17" t="s">
        <v>21154</v>
      </c>
      <c r="Q8857" s="17"/>
      <c r="R8857" s="25" t="str">
        <f>HYPERLINK("https://ictv.global/taxonomy/taxondetails?taxnode_id=202313750","Unuamitovirus agbi1")</f>
        <v>Unuamitovirus agbi1</v>
      </c>
      <c r="S8857" s="18" t="s">
        <v>30</v>
      </c>
      <c r="T8857" s="18" t="s">
        <v>21155</v>
      </c>
      <c r="U8857" s="18" t="s">
        <v>21156</v>
      </c>
      <c r="V8857" s="18" t="s">
        <v>21157</v>
      </c>
      <c r="W8857" s="18" t="s">
        <v>21158</v>
      </c>
      <c r="X8857" s="18" t="s">
        <v>35</v>
      </c>
      <c r="Y8857" s="18" t="s">
        <v>17171</v>
      </c>
      <c r="Z8857" s="18" t="s">
        <v>16721</v>
      </c>
      <c r="AA8857" s="21" t="str">
        <f>HYPERLINK("https://www.ncbi.nlm.nih.gov/nuccore/KY357500","NCBI Nucleotide")</f>
        <v>NCBI Nucleotide</v>
      </c>
    </row>
    <row r="8858" spans="1:27" x14ac:dyDescent="0.35">
      <c r="A8858">
        <v>1009309</v>
      </c>
      <c r="B8858">
        <v>8183</v>
      </c>
      <c r="C8858">
        <v>1</v>
      </c>
      <c r="D8858" s="17" t="s">
        <v>17166</v>
      </c>
      <c r="E8858" s="17"/>
      <c r="F8858" s="17" t="s">
        <v>17246</v>
      </c>
      <c r="G8858" s="17"/>
      <c r="H8858" s="17" t="s">
        <v>20919</v>
      </c>
      <c r="I8858" s="17"/>
      <c r="J8858" s="17" t="s">
        <v>20931</v>
      </c>
      <c r="K8858" s="17"/>
      <c r="L8858" s="17" t="s">
        <v>20932</v>
      </c>
      <c r="M8858" s="17"/>
      <c r="N8858" s="17" t="s">
        <v>20933</v>
      </c>
      <c r="O8858" s="17"/>
      <c r="P8858" s="17" t="s">
        <v>21154</v>
      </c>
      <c r="Q8858" s="17"/>
      <c r="R8858" s="25" t="str">
        <f>HYPERLINK("https://ictv.global/taxonomy/taxondetails?taxnode_id=202313751","Unuamitovirus alar1")</f>
        <v>Unuamitovirus alar1</v>
      </c>
      <c r="S8858" s="18" t="s">
        <v>30</v>
      </c>
      <c r="T8858" s="18" t="s">
        <v>21159</v>
      </c>
      <c r="U8858" s="18" t="s">
        <v>20936</v>
      </c>
      <c r="V8858" s="18" t="s">
        <v>21160</v>
      </c>
      <c r="W8858" s="18" t="s">
        <v>21161</v>
      </c>
      <c r="X8858" s="18" t="s">
        <v>42</v>
      </c>
      <c r="Y8858" s="18" t="s">
        <v>17171</v>
      </c>
      <c r="Z8858" s="18" t="s">
        <v>16721</v>
      </c>
      <c r="AA8858" s="21" t="str">
        <f>HYPERLINK("https://www.ncbi.nlm.nih.gov/nuccore/LC145036","NCBI Nucleotide")</f>
        <v>NCBI Nucleotide</v>
      </c>
    </row>
    <row r="8859" spans="1:27" x14ac:dyDescent="0.35">
      <c r="A8859">
        <v>1009310</v>
      </c>
      <c r="B8859">
        <v>8184</v>
      </c>
      <c r="C8859">
        <v>1</v>
      </c>
      <c r="D8859" s="17" t="s">
        <v>17166</v>
      </c>
      <c r="E8859" s="17"/>
      <c r="F8859" s="17" t="s">
        <v>17246</v>
      </c>
      <c r="G8859" s="17"/>
      <c r="H8859" s="17" t="s">
        <v>20919</v>
      </c>
      <c r="I8859" s="17"/>
      <c r="J8859" s="17" t="s">
        <v>20931</v>
      </c>
      <c r="K8859" s="17"/>
      <c r="L8859" s="17" t="s">
        <v>20932</v>
      </c>
      <c r="M8859" s="17"/>
      <c r="N8859" s="17" t="s">
        <v>20933</v>
      </c>
      <c r="O8859" s="17"/>
      <c r="P8859" s="17" t="s">
        <v>21154</v>
      </c>
      <c r="Q8859" s="17"/>
      <c r="R8859" s="25" t="str">
        <f>HYPERLINK("https://ictv.global/taxonomy/taxondetails?taxnode_id=202313752","Unuamitovirus albr1")</f>
        <v>Unuamitovirus albr1</v>
      </c>
      <c r="S8859" s="18" t="s">
        <v>30</v>
      </c>
      <c r="T8859" s="18" t="s">
        <v>21162</v>
      </c>
      <c r="U8859" s="18" t="s">
        <v>21156</v>
      </c>
      <c r="V8859" s="18" t="s">
        <v>21163</v>
      </c>
      <c r="W8859" s="18" t="s">
        <v>21164</v>
      </c>
      <c r="X8859" s="18" t="s">
        <v>42</v>
      </c>
      <c r="Y8859" s="18" t="s">
        <v>17171</v>
      </c>
      <c r="Z8859" s="18" t="s">
        <v>16721</v>
      </c>
      <c r="AA8859" s="21" t="str">
        <f>HYPERLINK("https://www.ncbi.nlm.nih.gov/nuccore/KP705075","NCBI Nucleotide")</f>
        <v>NCBI Nucleotide</v>
      </c>
    </row>
    <row r="8860" spans="1:27" x14ac:dyDescent="0.35">
      <c r="A8860">
        <v>1009311</v>
      </c>
      <c r="B8860">
        <v>8185</v>
      </c>
      <c r="C8860">
        <v>1</v>
      </c>
      <c r="D8860" s="17" t="s">
        <v>17166</v>
      </c>
      <c r="E8860" s="17"/>
      <c r="F8860" s="17" t="s">
        <v>17246</v>
      </c>
      <c r="G8860" s="17"/>
      <c r="H8860" s="17" t="s">
        <v>20919</v>
      </c>
      <c r="I8860" s="17"/>
      <c r="J8860" s="17" t="s">
        <v>20931</v>
      </c>
      <c r="K8860" s="17"/>
      <c r="L8860" s="17" t="s">
        <v>20932</v>
      </c>
      <c r="M8860" s="17"/>
      <c r="N8860" s="17" t="s">
        <v>20933</v>
      </c>
      <c r="O8860" s="17"/>
      <c r="P8860" s="17" t="s">
        <v>21154</v>
      </c>
      <c r="Q8860" s="17"/>
      <c r="R8860" s="25" t="str">
        <f>HYPERLINK("https://ictv.global/taxonomy/taxondetails?taxnode_id=202313753","Unuamitovirus boci2")</f>
        <v>Unuamitovirus boci2</v>
      </c>
      <c r="S8860" s="18" t="s">
        <v>30</v>
      </c>
      <c r="T8860" s="18" t="s">
        <v>21165</v>
      </c>
      <c r="U8860" s="18" t="s">
        <v>21166</v>
      </c>
      <c r="V8860" s="18" t="s">
        <v>20953</v>
      </c>
      <c r="W8860" s="18" t="s">
        <v>21167</v>
      </c>
      <c r="X8860" s="18" t="s">
        <v>35</v>
      </c>
      <c r="Y8860" s="18" t="s">
        <v>17171</v>
      </c>
      <c r="Z8860" s="18" t="s">
        <v>16721</v>
      </c>
      <c r="AA8860" s="21" t="str">
        <f>HYPERLINK("https://www.ncbi.nlm.nih.gov/nuccore/LN827941","NCBI Nucleotide")</f>
        <v>NCBI Nucleotide</v>
      </c>
    </row>
    <row r="8861" spans="1:27" x14ac:dyDescent="0.35">
      <c r="A8861">
        <v>1009312</v>
      </c>
      <c r="B8861">
        <v>8186</v>
      </c>
      <c r="C8861">
        <v>1</v>
      </c>
      <c r="D8861" s="17" t="s">
        <v>17166</v>
      </c>
      <c r="E8861" s="17"/>
      <c r="F8861" s="17" t="s">
        <v>17246</v>
      </c>
      <c r="G8861" s="17"/>
      <c r="H8861" s="17" t="s">
        <v>20919</v>
      </c>
      <c r="I8861" s="17"/>
      <c r="J8861" s="17" t="s">
        <v>20931</v>
      </c>
      <c r="K8861" s="17"/>
      <c r="L8861" s="17" t="s">
        <v>20932</v>
      </c>
      <c r="M8861" s="17"/>
      <c r="N8861" s="17" t="s">
        <v>20933</v>
      </c>
      <c r="O8861" s="17"/>
      <c r="P8861" s="17" t="s">
        <v>21154</v>
      </c>
      <c r="Q8861" s="17"/>
      <c r="R8861" s="25" t="str">
        <f>HYPERLINK("https://ictv.global/taxonomy/taxondetails?taxnode_id=202313754","Unuamitovirus boci4")</f>
        <v>Unuamitovirus boci4</v>
      </c>
      <c r="S8861" s="18" t="s">
        <v>30</v>
      </c>
      <c r="T8861" s="18" t="s">
        <v>21168</v>
      </c>
      <c r="U8861" s="18" t="s">
        <v>21169</v>
      </c>
      <c r="V8861" s="18" t="s">
        <v>21170</v>
      </c>
      <c r="W8861" s="18" t="s">
        <v>21171</v>
      </c>
      <c r="X8861" s="18" t="s">
        <v>35</v>
      </c>
      <c r="Y8861" s="18" t="s">
        <v>17171</v>
      </c>
      <c r="Z8861" s="18" t="s">
        <v>16721</v>
      </c>
      <c r="AA8861" s="21" t="str">
        <f>HYPERLINK("https://www.ncbi.nlm.nih.gov/nuccore/LN827947","NCBI Nucleotide")</f>
        <v>NCBI Nucleotide</v>
      </c>
    </row>
    <row r="8862" spans="1:27" x14ac:dyDescent="0.35">
      <c r="A8862">
        <v>1009313</v>
      </c>
      <c r="B8862">
        <v>8187</v>
      </c>
      <c r="C8862">
        <v>1</v>
      </c>
      <c r="D8862" s="17" t="s">
        <v>17166</v>
      </c>
      <c r="E8862" s="17"/>
      <c r="F8862" s="17" t="s">
        <v>17246</v>
      </c>
      <c r="G8862" s="17"/>
      <c r="H8862" s="17" t="s">
        <v>20919</v>
      </c>
      <c r="I8862" s="17"/>
      <c r="J8862" s="17" t="s">
        <v>20931</v>
      </c>
      <c r="K8862" s="17"/>
      <c r="L8862" s="17" t="s">
        <v>20932</v>
      </c>
      <c r="M8862" s="17"/>
      <c r="N8862" s="17" t="s">
        <v>20933</v>
      </c>
      <c r="O8862" s="17"/>
      <c r="P8862" s="17" t="s">
        <v>21154</v>
      </c>
      <c r="Q8862" s="17"/>
      <c r="R8862" s="25" t="str">
        <f>HYPERLINK("https://ictv.global/taxonomy/taxondetails?taxnode_id=202313755","Unuamitovirus crri1")</f>
        <v>Unuamitovirus crri1</v>
      </c>
      <c r="S8862" s="18" t="s">
        <v>30</v>
      </c>
      <c r="T8862" s="18" t="s">
        <v>21172</v>
      </c>
      <c r="U8862" s="18" t="s">
        <v>21173</v>
      </c>
      <c r="V8862" s="18" t="s">
        <v>21174</v>
      </c>
      <c r="W8862" s="18" t="s">
        <v>21175</v>
      </c>
      <c r="X8862" s="18" t="s">
        <v>42</v>
      </c>
      <c r="Y8862" s="18" t="s">
        <v>17171</v>
      </c>
      <c r="Z8862" s="18" t="s">
        <v>16721</v>
      </c>
      <c r="AA8862" s="21" t="str">
        <f>HYPERLINK("https://www.ncbi.nlm.nih.gov/nuccore/KT921179","NCBI Nucleotide")</f>
        <v>NCBI Nucleotide</v>
      </c>
    </row>
    <row r="8863" spans="1:27" x14ac:dyDescent="0.35">
      <c r="A8863">
        <v>1009314</v>
      </c>
      <c r="B8863">
        <v>8188</v>
      </c>
      <c r="C8863">
        <v>1</v>
      </c>
      <c r="D8863" s="17" t="s">
        <v>17166</v>
      </c>
      <c r="E8863" s="17"/>
      <c r="F8863" s="17" t="s">
        <v>17246</v>
      </c>
      <c r="G8863" s="17"/>
      <c r="H8863" s="17" t="s">
        <v>20919</v>
      </c>
      <c r="I8863" s="17"/>
      <c r="J8863" s="17" t="s">
        <v>20931</v>
      </c>
      <c r="K8863" s="17"/>
      <c r="L8863" s="17" t="s">
        <v>20932</v>
      </c>
      <c r="M8863" s="17"/>
      <c r="N8863" s="17" t="s">
        <v>20933</v>
      </c>
      <c r="O8863" s="17"/>
      <c r="P8863" s="17" t="s">
        <v>21154</v>
      </c>
      <c r="Q8863" s="17"/>
      <c r="R8863" s="25" t="str">
        <f>HYPERLINK("https://ictv.global/taxonomy/taxondetails?taxnode_id=202313756","Unuamitovirus crri2")</f>
        <v>Unuamitovirus crri2</v>
      </c>
      <c r="S8863" s="18" t="s">
        <v>30</v>
      </c>
      <c r="T8863" s="18" t="s">
        <v>21176</v>
      </c>
      <c r="U8863" s="18" t="s">
        <v>21177</v>
      </c>
      <c r="V8863" s="18" t="s">
        <v>21174</v>
      </c>
      <c r="W8863" s="18" t="s">
        <v>21178</v>
      </c>
      <c r="X8863" s="18" t="s">
        <v>42</v>
      </c>
      <c r="Y8863" s="18" t="s">
        <v>17171</v>
      </c>
      <c r="Z8863" s="18" t="s">
        <v>16721</v>
      </c>
      <c r="AA8863" s="21" t="str">
        <f>HYPERLINK("https://www.ncbi.nlm.nih.gov/nuccore/KT921180","NCBI Nucleotide")</f>
        <v>NCBI Nucleotide</v>
      </c>
    </row>
    <row r="8864" spans="1:27" x14ac:dyDescent="0.35">
      <c r="A8864">
        <v>1009315</v>
      </c>
      <c r="B8864">
        <v>8189</v>
      </c>
      <c r="C8864">
        <v>1</v>
      </c>
      <c r="D8864" s="17" t="s">
        <v>17166</v>
      </c>
      <c r="E8864" s="17"/>
      <c r="F8864" s="17" t="s">
        <v>17246</v>
      </c>
      <c r="G8864" s="17"/>
      <c r="H8864" s="17" t="s">
        <v>20919</v>
      </c>
      <c r="I8864" s="17"/>
      <c r="J8864" s="17" t="s">
        <v>20931</v>
      </c>
      <c r="K8864" s="17"/>
      <c r="L8864" s="17" t="s">
        <v>20932</v>
      </c>
      <c r="M8864" s="17"/>
      <c r="N8864" s="17" t="s">
        <v>20933</v>
      </c>
      <c r="O8864" s="17"/>
      <c r="P8864" s="17" t="s">
        <v>21154</v>
      </c>
      <c r="Q8864" s="17"/>
      <c r="R8864" s="25" t="str">
        <f>HYPERLINK("https://ictv.global/taxonomy/taxondetails?taxnode_id=202313757","Unuamitovirus crri3")</f>
        <v>Unuamitovirus crri3</v>
      </c>
      <c r="S8864" s="18" t="s">
        <v>30</v>
      </c>
      <c r="T8864" s="18" t="s">
        <v>21179</v>
      </c>
      <c r="U8864" s="18" t="s">
        <v>21180</v>
      </c>
      <c r="V8864" s="18" t="s">
        <v>21174</v>
      </c>
      <c r="W8864" s="18" t="s">
        <v>21181</v>
      </c>
      <c r="X8864" s="18" t="s">
        <v>42</v>
      </c>
      <c r="Y8864" s="18" t="s">
        <v>17171</v>
      </c>
      <c r="Z8864" s="18" t="s">
        <v>16721</v>
      </c>
      <c r="AA8864" s="21" t="str">
        <f>HYPERLINK("https://www.ncbi.nlm.nih.gov/nuccore/KT921181","NCBI Nucleotide")</f>
        <v>NCBI Nucleotide</v>
      </c>
    </row>
    <row r="8865" spans="1:27" x14ac:dyDescent="0.35">
      <c r="A8865">
        <v>1009316</v>
      </c>
      <c r="B8865">
        <v>8190</v>
      </c>
      <c r="C8865">
        <v>1</v>
      </c>
      <c r="D8865" s="17" t="s">
        <v>17166</v>
      </c>
      <c r="E8865" s="17"/>
      <c r="F8865" s="17" t="s">
        <v>17246</v>
      </c>
      <c r="G8865" s="17"/>
      <c r="H8865" s="17" t="s">
        <v>20919</v>
      </c>
      <c r="I8865" s="17"/>
      <c r="J8865" s="17" t="s">
        <v>20931</v>
      </c>
      <c r="K8865" s="17"/>
      <c r="L8865" s="17" t="s">
        <v>20932</v>
      </c>
      <c r="M8865" s="17"/>
      <c r="N8865" s="17" t="s">
        <v>20933</v>
      </c>
      <c r="O8865" s="17"/>
      <c r="P8865" s="17" t="s">
        <v>21154</v>
      </c>
      <c r="Q8865" s="17"/>
      <c r="R8865" s="25" t="str">
        <f>HYPERLINK("https://ictv.global/taxonomy/taxondetails?taxnode_id=202313758","Unuamitovirus crri4")</f>
        <v>Unuamitovirus crri4</v>
      </c>
      <c r="S8865" s="18" t="s">
        <v>30</v>
      </c>
      <c r="T8865" s="18" t="s">
        <v>21182</v>
      </c>
      <c r="U8865" s="18" t="s">
        <v>21183</v>
      </c>
      <c r="V8865" s="18" t="s">
        <v>21174</v>
      </c>
      <c r="W8865" s="18" t="s">
        <v>21184</v>
      </c>
      <c r="X8865" s="18" t="s">
        <v>42</v>
      </c>
      <c r="Y8865" s="18" t="s">
        <v>17171</v>
      </c>
      <c r="Z8865" s="18" t="s">
        <v>16721</v>
      </c>
      <c r="AA8865" s="21" t="str">
        <f>HYPERLINK("https://www.ncbi.nlm.nih.gov/nuccore/KT921182","NCBI Nucleotide")</f>
        <v>NCBI Nucleotide</v>
      </c>
    </row>
    <row r="8866" spans="1:27" x14ac:dyDescent="0.35">
      <c r="A8866">
        <v>1009317</v>
      </c>
      <c r="B8866">
        <v>8191</v>
      </c>
      <c r="C8866">
        <v>1</v>
      </c>
      <c r="D8866" s="17" t="s">
        <v>17166</v>
      </c>
      <c r="E8866" s="17"/>
      <c r="F8866" s="17" t="s">
        <v>17246</v>
      </c>
      <c r="G8866" s="17"/>
      <c r="H8866" s="17" t="s">
        <v>20919</v>
      </c>
      <c r="I8866" s="17"/>
      <c r="J8866" s="17" t="s">
        <v>20931</v>
      </c>
      <c r="K8866" s="17"/>
      <c r="L8866" s="17" t="s">
        <v>20932</v>
      </c>
      <c r="M8866" s="17"/>
      <c r="N8866" s="17" t="s">
        <v>20933</v>
      </c>
      <c r="O8866" s="17"/>
      <c r="P8866" s="17" t="s">
        <v>21154</v>
      </c>
      <c r="Q8866" s="17"/>
      <c r="R8866" s="25" t="str">
        <f>HYPERLINK("https://ictv.global/taxonomy/taxondetails?taxnode_id=202313759","Unuamitovirus crri5")</f>
        <v>Unuamitovirus crri5</v>
      </c>
      <c r="S8866" s="18" t="s">
        <v>30</v>
      </c>
      <c r="T8866" s="18" t="s">
        <v>21185</v>
      </c>
      <c r="U8866" s="18" t="s">
        <v>21186</v>
      </c>
      <c r="V8866" s="18" t="s">
        <v>21174</v>
      </c>
      <c r="W8866" s="18" t="s">
        <v>21187</v>
      </c>
      <c r="X8866" s="18" t="s">
        <v>42</v>
      </c>
      <c r="Y8866" s="18" t="s">
        <v>17171</v>
      </c>
      <c r="Z8866" s="18" t="s">
        <v>16721</v>
      </c>
      <c r="AA8866" s="21" t="str">
        <f>HYPERLINK("https://www.ncbi.nlm.nih.gov/nuccore/KT921183","NCBI Nucleotide")</f>
        <v>NCBI Nucleotide</v>
      </c>
    </row>
    <row r="8867" spans="1:27" x14ac:dyDescent="0.35">
      <c r="A8867">
        <v>1009318</v>
      </c>
      <c r="B8867">
        <v>8192</v>
      </c>
      <c r="C8867">
        <v>1</v>
      </c>
      <c r="D8867" s="17" t="s">
        <v>17166</v>
      </c>
      <c r="E8867" s="17"/>
      <c r="F8867" s="17" t="s">
        <v>17246</v>
      </c>
      <c r="G8867" s="17"/>
      <c r="H8867" s="17" t="s">
        <v>20919</v>
      </c>
      <c r="I8867" s="17"/>
      <c r="J8867" s="17" t="s">
        <v>20931</v>
      </c>
      <c r="K8867" s="17"/>
      <c r="L8867" s="17" t="s">
        <v>20932</v>
      </c>
      <c r="M8867" s="17"/>
      <c r="N8867" s="17" t="s">
        <v>20933</v>
      </c>
      <c r="O8867" s="17"/>
      <c r="P8867" s="17" t="s">
        <v>21154</v>
      </c>
      <c r="Q8867" s="17"/>
      <c r="R8867" s="25" t="str">
        <f>HYPERLINK("https://ictv.global/taxonomy/taxondetails?taxnode_id=202313760","Unuamitovirus diru1")</f>
        <v>Unuamitovirus diru1</v>
      </c>
      <c r="S8867" s="18" t="s">
        <v>30</v>
      </c>
      <c r="T8867" s="18" t="s">
        <v>21188</v>
      </c>
      <c r="U8867" s="18" t="s">
        <v>21189</v>
      </c>
      <c r="V8867" s="18" t="s">
        <v>21190</v>
      </c>
      <c r="W8867" s="18" t="s">
        <v>21191</v>
      </c>
      <c r="X8867" s="18" t="s">
        <v>35</v>
      </c>
      <c r="Y8867" s="18" t="s">
        <v>17171</v>
      </c>
      <c r="Z8867" s="18" t="s">
        <v>16721</v>
      </c>
      <c r="AA8867" s="21" t="str">
        <f>HYPERLINK("https://www.ncbi.nlm.nih.gov/nuccore/MT216310","NCBI Nucleotide")</f>
        <v>NCBI Nucleotide</v>
      </c>
    </row>
    <row r="8868" spans="1:27" x14ac:dyDescent="0.35">
      <c r="A8868">
        <v>1009319</v>
      </c>
      <c r="B8868">
        <v>8193</v>
      </c>
      <c r="C8868">
        <v>1</v>
      </c>
      <c r="D8868" s="17" t="s">
        <v>17166</v>
      </c>
      <c r="E8868" s="17"/>
      <c r="F8868" s="17" t="s">
        <v>17246</v>
      </c>
      <c r="G8868" s="17"/>
      <c r="H8868" s="17" t="s">
        <v>20919</v>
      </c>
      <c r="I8868" s="17"/>
      <c r="J8868" s="17" t="s">
        <v>20931</v>
      </c>
      <c r="K8868" s="17"/>
      <c r="L8868" s="17" t="s">
        <v>20932</v>
      </c>
      <c r="M8868" s="17"/>
      <c r="N8868" s="17" t="s">
        <v>20933</v>
      </c>
      <c r="O8868" s="17"/>
      <c r="P8868" s="17" t="s">
        <v>21154</v>
      </c>
      <c r="Q8868" s="17"/>
      <c r="R8868" s="25" t="str">
        <f>HYPERLINK("https://ictv.global/taxonomy/taxondetails?taxnode_id=202313761","Unuamitovirus enmu1")</f>
        <v>Unuamitovirus enmu1</v>
      </c>
      <c r="S8868" s="18" t="s">
        <v>30</v>
      </c>
      <c r="T8868" s="18" t="s">
        <v>21192</v>
      </c>
      <c r="U8868" s="18" t="s">
        <v>21193</v>
      </c>
      <c r="V8868" s="18" t="s">
        <v>21194</v>
      </c>
      <c r="W8868" s="18" t="s">
        <v>21195</v>
      </c>
      <c r="X8868" s="18" t="s">
        <v>35</v>
      </c>
      <c r="Y8868" s="18" t="s">
        <v>17171</v>
      </c>
      <c r="Z8868" s="18" t="s">
        <v>16721</v>
      </c>
      <c r="AA8868" s="21" t="str">
        <f>HYPERLINK("https://www.ncbi.nlm.nih.gov/nuccore/MK682513","NCBI Nucleotide")</f>
        <v>NCBI Nucleotide</v>
      </c>
    </row>
    <row r="8869" spans="1:27" x14ac:dyDescent="0.35">
      <c r="A8869">
        <v>1009320</v>
      </c>
      <c r="B8869">
        <v>8194</v>
      </c>
      <c r="C8869">
        <v>1</v>
      </c>
      <c r="D8869" s="17" t="s">
        <v>17166</v>
      </c>
      <c r="E8869" s="17"/>
      <c r="F8869" s="17" t="s">
        <v>17246</v>
      </c>
      <c r="G8869" s="17"/>
      <c r="H8869" s="17" t="s">
        <v>20919</v>
      </c>
      <c r="I8869" s="17"/>
      <c r="J8869" s="17" t="s">
        <v>20931</v>
      </c>
      <c r="K8869" s="17"/>
      <c r="L8869" s="17" t="s">
        <v>20932</v>
      </c>
      <c r="M8869" s="17"/>
      <c r="N8869" s="17" t="s">
        <v>20933</v>
      </c>
      <c r="O8869" s="17"/>
      <c r="P8869" s="17" t="s">
        <v>21154</v>
      </c>
      <c r="Q8869" s="17"/>
      <c r="R8869" s="25" t="str">
        <f>HYPERLINK("https://ictv.global/taxonomy/taxondetails?taxnode_id=202313762","Unuamitovirus enmu2")</f>
        <v>Unuamitovirus enmu2</v>
      </c>
      <c r="S8869" s="18" t="s">
        <v>30</v>
      </c>
      <c r="T8869" s="18" t="s">
        <v>21196</v>
      </c>
      <c r="U8869" s="18" t="s">
        <v>21197</v>
      </c>
      <c r="V8869" s="18" t="s">
        <v>21194</v>
      </c>
      <c r="W8869" s="18" t="s">
        <v>21198</v>
      </c>
      <c r="X8869" s="18" t="s">
        <v>35</v>
      </c>
      <c r="Y8869" s="18" t="s">
        <v>17171</v>
      </c>
      <c r="Z8869" s="18" t="s">
        <v>16721</v>
      </c>
      <c r="AA8869" s="21" t="str">
        <f>HYPERLINK("https://www.ncbi.nlm.nih.gov/nuccore/MK682514","NCBI Nucleotide")</f>
        <v>NCBI Nucleotide</v>
      </c>
    </row>
    <row r="8870" spans="1:27" x14ac:dyDescent="0.35">
      <c r="A8870">
        <v>1009321</v>
      </c>
      <c r="B8870">
        <v>8195</v>
      </c>
      <c r="C8870">
        <v>1</v>
      </c>
      <c r="D8870" s="17" t="s">
        <v>17166</v>
      </c>
      <c r="E8870" s="17"/>
      <c r="F8870" s="17" t="s">
        <v>17246</v>
      </c>
      <c r="G8870" s="17"/>
      <c r="H8870" s="17" t="s">
        <v>20919</v>
      </c>
      <c r="I8870" s="17"/>
      <c r="J8870" s="17" t="s">
        <v>20931</v>
      </c>
      <c r="K8870" s="17"/>
      <c r="L8870" s="17" t="s">
        <v>20932</v>
      </c>
      <c r="M8870" s="17"/>
      <c r="N8870" s="17" t="s">
        <v>20933</v>
      </c>
      <c r="O8870" s="17"/>
      <c r="P8870" s="17" t="s">
        <v>21154</v>
      </c>
      <c r="Q8870" s="17"/>
      <c r="R8870" s="25" t="str">
        <f>HYPERLINK("https://ictv.global/taxonomy/taxondetails?taxnode_id=202313763","Unuamitovirus enmu3")</f>
        <v>Unuamitovirus enmu3</v>
      </c>
      <c r="S8870" s="18" t="s">
        <v>30</v>
      </c>
      <c r="T8870" s="18" t="s">
        <v>21199</v>
      </c>
      <c r="U8870" s="18" t="s">
        <v>21200</v>
      </c>
      <c r="V8870" s="18" t="s">
        <v>21194</v>
      </c>
      <c r="W8870" s="18" t="s">
        <v>21201</v>
      </c>
      <c r="X8870" s="18" t="s">
        <v>35</v>
      </c>
      <c r="Y8870" s="18" t="s">
        <v>17171</v>
      </c>
      <c r="Z8870" s="18" t="s">
        <v>16721</v>
      </c>
      <c r="AA8870" s="21" t="str">
        <f>HYPERLINK("https://www.ncbi.nlm.nih.gov/nuccore/MK682515","NCBI Nucleotide")</f>
        <v>NCBI Nucleotide</v>
      </c>
    </row>
    <row r="8871" spans="1:27" x14ac:dyDescent="0.35">
      <c r="A8871">
        <v>1009322</v>
      </c>
      <c r="B8871">
        <v>8196</v>
      </c>
      <c r="C8871">
        <v>1</v>
      </c>
      <c r="D8871" s="17" t="s">
        <v>17166</v>
      </c>
      <c r="E8871" s="17"/>
      <c r="F8871" s="17" t="s">
        <v>17246</v>
      </c>
      <c r="G8871" s="17"/>
      <c r="H8871" s="17" t="s">
        <v>20919</v>
      </c>
      <c r="I8871" s="17"/>
      <c r="J8871" s="17" t="s">
        <v>20931</v>
      </c>
      <c r="K8871" s="17"/>
      <c r="L8871" s="17" t="s">
        <v>20932</v>
      </c>
      <c r="M8871" s="17"/>
      <c r="N8871" s="17" t="s">
        <v>20933</v>
      </c>
      <c r="O8871" s="17"/>
      <c r="P8871" s="17" t="s">
        <v>21154</v>
      </c>
      <c r="Q8871" s="17"/>
      <c r="R8871" s="25" t="str">
        <f>HYPERLINK("https://ictv.global/taxonomy/taxondetails?taxnode_id=202313764","Unuamitovirus enmu4")</f>
        <v>Unuamitovirus enmu4</v>
      </c>
      <c r="S8871" s="18" t="s">
        <v>30</v>
      </c>
      <c r="T8871" s="18" t="s">
        <v>21202</v>
      </c>
      <c r="U8871" s="18" t="s">
        <v>21203</v>
      </c>
      <c r="V8871" s="18" t="s">
        <v>21194</v>
      </c>
      <c r="W8871" s="18" t="s">
        <v>21204</v>
      </c>
      <c r="X8871" s="18" t="s">
        <v>35</v>
      </c>
      <c r="Y8871" s="18" t="s">
        <v>17171</v>
      </c>
      <c r="Z8871" s="18" t="s">
        <v>16721</v>
      </c>
      <c r="AA8871" s="21" t="str">
        <f>HYPERLINK("https://www.ncbi.nlm.nih.gov/nuccore/MK682516","NCBI Nucleotide")</f>
        <v>NCBI Nucleotide</v>
      </c>
    </row>
    <row r="8872" spans="1:27" x14ac:dyDescent="0.35">
      <c r="A8872">
        <v>1009323</v>
      </c>
      <c r="B8872">
        <v>8197</v>
      </c>
      <c r="C8872">
        <v>1</v>
      </c>
      <c r="D8872" s="17" t="s">
        <v>17166</v>
      </c>
      <c r="E8872" s="17"/>
      <c r="F8872" s="17" t="s">
        <v>17246</v>
      </c>
      <c r="G8872" s="17"/>
      <c r="H8872" s="17" t="s">
        <v>20919</v>
      </c>
      <c r="I8872" s="17"/>
      <c r="J8872" s="17" t="s">
        <v>20931</v>
      </c>
      <c r="K8872" s="17"/>
      <c r="L8872" s="17" t="s">
        <v>20932</v>
      </c>
      <c r="M8872" s="17"/>
      <c r="N8872" s="17" t="s">
        <v>20933</v>
      </c>
      <c r="O8872" s="17"/>
      <c r="P8872" s="17" t="s">
        <v>21154</v>
      </c>
      <c r="Q8872" s="17"/>
      <c r="R8872" s="25" t="str">
        <f>HYPERLINK("https://ictv.global/taxonomy/taxondetails?taxnode_id=202313765","Unuamitovirus enmu5")</f>
        <v>Unuamitovirus enmu5</v>
      </c>
      <c r="S8872" s="18" t="s">
        <v>30</v>
      </c>
      <c r="T8872" s="18" t="s">
        <v>21205</v>
      </c>
      <c r="U8872" s="18" t="s">
        <v>21206</v>
      </c>
      <c r="V8872" s="18" t="s">
        <v>21194</v>
      </c>
      <c r="W8872" s="18" t="s">
        <v>21207</v>
      </c>
      <c r="X8872" s="18" t="s">
        <v>35</v>
      </c>
      <c r="Y8872" s="18" t="s">
        <v>17171</v>
      </c>
      <c r="Z8872" s="18" t="s">
        <v>16721</v>
      </c>
      <c r="AA8872" s="21" t="str">
        <f>HYPERLINK("https://www.ncbi.nlm.nih.gov/nuccore/MK682517","NCBI Nucleotide")</f>
        <v>NCBI Nucleotide</v>
      </c>
    </row>
    <row r="8873" spans="1:27" x14ac:dyDescent="0.35">
      <c r="A8873">
        <v>1009324</v>
      </c>
      <c r="B8873">
        <v>8198</v>
      </c>
      <c r="C8873">
        <v>1</v>
      </c>
      <c r="D8873" s="17" t="s">
        <v>17166</v>
      </c>
      <c r="E8873" s="17"/>
      <c r="F8873" s="17" t="s">
        <v>17246</v>
      </c>
      <c r="G8873" s="17"/>
      <c r="H8873" s="17" t="s">
        <v>20919</v>
      </c>
      <c r="I8873" s="17"/>
      <c r="J8873" s="17" t="s">
        <v>20931</v>
      </c>
      <c r="K8873" s="17"/>
      <c r="L8873" s="17" t="s">
        <v>20932</v>
      </c>
      <c r="M8873" s="17"/>
      <c r="N8873" s="17" t="s">
        <v>20933</v>
      </c>
      <c r="O8873" s="17"/>
      <c r="P8873" s="17" t="s">
        <v>21154</v>
      </c>
      <c r="Q8873" s="17"/>
      <c r="R8873" s="25" t="str">
        <f>HYPERLINK("https://ictv.global/taxonomy/taxondetails?taxnode_id=202313766","Unuamitovirus enmu6")</f>
        <v>Unuamitovirus enmu6</v>
      </c>
      <c r="S8873" s="18" t="s">
        <v>30</v>
      </c>
      <c r="T8873" s="18" t="s">
        <v>21208</v>
      </c>
      <c r="U8873" s="18" t="s">
        <v>21209</v>
      </c>
      <c r="V8873" s="18" t="s">
        <v>21194</v>
      </c>
      <c r="W8873" s="18" t="s">
        <v>21210</v>
      </c>
      <c r="X8873" s="18" t="s">
        <v>35</v>
      </c>
      <c r="Y8873" s="18" t="s">
        <v>17171</v>
      </c>
      <c r="Z8873" s="18" t="s">
        <v>16721</v>
      </c>
      <c r="AA8873" s="21" t="str">
        <f>HYPERLINK("https://www.ncbi.nlm.nih.gov/nuccore/MK682518","NCBI Nucleotide")</f>
        <v>NCBI Nucleotide</v>
      </c>
    </row>
    <row r="8874" spans="1:27" x14ac:dyDescent="0.35">
      <c r="A8874">
        <v>1009325</v>
      </c>
      <c r="B8874">
        <v>8199</v>
      </c>
      <c r="C8874">
        <v>1</v>
      </c>
      <c r="D8874" s="17" t="s">
        <v>17166</v>
      </c>
      <c r="E8874" s="17"/>
      <c r="F8874" s="17" t="s">
        <v>17246</v>
      </c>
      <c r="G8874" s="17"/>
      <c r="H8874" s="17" t="s">
        <v>20919</v>
      </c>
      <c r="I8874" s="17"/>
      <c r="J8874" s="17" t="s">
        <v>20931</v>
      </c>
      <c r="K8874" s="17"/>
      <c r="L8874" s="17" t="s">
        <v>20932</v>
      </c>
      <c r="M8874" s="17"/>
      <c r="N8874" s="17" t="s">
        <v>20933</v>
      </c>
      <c r="O8874" s="17"/>
      <c r="P8874" s="17" t="s">
        <v>21154</v>
      </c>
      <c r="Q8874" s="17"/>
      <c r="R8874" s="25" t="str">
        <f>HYPERLINK("https://ictv.global/taxonomy/taxondetails?taxnode_id=202313767","Unuamitovirus enmu7")</f>
        <v>Unuamitovirus enmu7</v>
      </c>
      <c r="S8874" s="18" t="s">
        <v>30</v>
      </c>
      <c r="T8874" s="18" t="s">
        <v>21211</v>
      </c>
      <c r="U8874" s="18" t="s">
        <v>21212</v>
      </c>
      <c r="V8874" s="18" t="s">
        <v>21194</v>
      </c>
      <c r="W8874" s="18" t="s">
        <v>21213</v>
      </c>
      <c r="X8874" s="18" t="s">
        <v>35</v>
      </c>
      <c r="Y8874" s="18" t="s">
        <v>17171</v>
      </c>
      <c r="Z8874" s="18" t="s">
        <v>16721</v>
      </c>
      <c r="AA8874" s="21" t="str">
        <f>HYPERLINK("https://www.ncbi.nlm.nih.gov/nuccore/MK682519","NCBI Nucleotide")</f>
        <v>NCBI Nucleotide</v>
      </c>
    </row>
    <row r="8875" spans="1:27" x14ac:dyDescent="0.35">
      <c r="A8875">
        <v>1009326</v>
      </c>
      <c r="B8875">
        <v>8200</v>
      </c>
      <c r="C8875">
        <v>1</v>
      </c>
      <c r="D8875" s="17" t="s">
        <v>17166</v>
      </c>
      <c r="E8875" s="17"/>
      <c r="F8875" s="17" t="s">
        <v>17246</v>
      </c>
      <c r="G8875" s="17"/>
      <c r="H8875" s="17" t="s">
        <v>20919</v>
      </c>
      <c r="I8875" s="17"/>
      <c r="J8875" s="17" t="s">
        <v>20931</v>
      </c>
      <c r="K8875" s="17"/>
      <c r="L8875" s="17" t="s">
        <v>20932</v>
      </c>
      <c r="M8875" s="17"/>
      <c r="N8875" s="17" t="s">
        <v>20933</v>
      </c>
      <c r="O8875" s="17"/>
      <c r="P8875" s="17" t="s">
        <v>21154</v>
      </c>
      <c r="Q8875" s="17"/>
      <c r="R8875" s="25" t="str">
        <f>HYPERLINK("https://ictv.global/taxonomy/taxondetails?taxnode_id=202313768","Unuamitovirus enmu8")</f>
        <v>Unuamitovirus enmu8</v>
      </c>
      <c r="S8875" s="18" t="s">
        <v>30</v>
      </c>
      <c r="T8875" s="18" t="s">
        <v>21214</v>
      </c>
      <c r="U8875" s="18" t="s">
        <v>21215</v>
      </c>
      <c r="V8875" s="18" t="s">
        <v>21216</v>
      </c>
      <c r="W8875" s="18" t="s">
        <v>21217</v>
      </c>
      <c r="X8875" s="18" t="s">
        <v>35</v>
      </c>
      <c r="Y8875" s="18" t="s">
        <v>17171</v>
      </c>
      <c r="Z8875" s="18" t="s">
        <v>16721</v>
      </c>
      <c r="AA8875" s="21" t="str">
        <f>HYPERLINK("https://www.ncbi.nlm.nih.gov/nuccore/BK010736","NCBI Nucleotide")</f>
        <v>NCBI Nucleotide</v>
      </c>
    </row>
    <row r="8876" spans="1:27" x14ac:dyDescent="0.35">
      <c r="A8876">
        <v>1009327</v>
      </c>
      <c r="B8876">
        <v>8201</v>
      </c>
      <c r="C8876">
        <v>1</v>
      </c>
      <c r="D8876" s="17" t="s">
        <v>17166</v>
      </c>
      <c r="E8876" s="17"/>
      <c r="F8876" s="17" t="s">
        <v>17246</v>
      </c>
      <c r="G8876" s="17"/>
      <c r="H8876" s="17" t="s">
        <v>20919</v>
      </c>
      <c r="I8876" s="17"/>
      <c r="J8876" s="17" t="s">
        <v>20931</v>
      </c>
      <c r="K8876" s="17"/>
      <c r="L8876" s="17" t="s">
        <v>20932</v>
      </c>
      <c r="M8876" s="17"/>
      <c r="N8876" s="17" t="s">
        <v>20933</v>
      </c>
      <c r="O8876" s="17"/>
      <c r="P8876" s="17" t="s">
        <v>21154</v>
      </c>
      <c r="Q8876" s="17"/>
      <c r="R8876" s="25" t="str">
        <f>HYPERLINK("https://ictv.global/taxonomy/taxondetails?taxnode_id=202313769","Unuamitovirus fuan1")</f>
        <v>Unuamitovirus fuan1</v>
      </c>
      <c r="S8876" s="18" t="s">
        <v>30</v>
      </c>
      <c r="T8876" s="18" t="s">
        <v>21218</v>
      </c>
      <c r="U8876" s="18" t="s">
        <v>21219</v>
      </c>
      <c r="V8876" s="18" t="s">
        <v>21220</v>
      </c>
      <c r="W8876" s="18" t="s">
        <v>21221</v>
      </c>
      <c r="X8876" s="18" t="s">
        <v>35</v>
      </c>
      <c r="Y8876" s="18" t="s">
        <v>17171</v>
      </c>
      <c r="Z8876" s="18" t="s">
        <v>16721</v>
      </c>
      <c r="AA8876" s="21" t="str">
        <f>HYPERLINK("https://www.ncbi.nlm.nih.gov/nuccore/MT506025","NCBI Nucleotide")</f>
        <v>NCBI Nucleotide</v>
      </c>
    </row>
    <row r="8877" spans="1:27" x14ac:dyDescent="0.35">
      <c r="A8877">
        <v>1009328</v>
      </c>
      <c r="B8877">
        <v>8202</v>
      </c>
      <c r="C8877">
        <v>1</v>
      </c>
      <c r="D8877" s="17" t="s">
        <v>17166</v>
      </c>
      <c r="E8877" s="17"/>
      <c r="F8877" s="17" t="s">
        <v>17246</v>
      </c>
      <c r="G8877" s="17"/>
      <c r="H8877" s="17" t="s">
        <v>20919</v>
      </c>
      <c r="I8877" s="17"/>
      <c r="J8877" s="17" t="s">
        <v>20931</v>
      </c>
      <c r="K8877" s="17"/>
      <c r="L8877" s="17" t="s">
        <v>20932</v>
      </c>
      <c r="M8877" s="17"/>
      <c r="N8877" s="17" t="s">
        <v>20933</v>
      </c>
      <c r="O8877" s="17"/>
      <c r="P8877" s="17" t="s">
        <v>21154</v>
      </c>
      <c r="Q8877" s="17"/>
      <c r="R8877" s="25" t="str">
        <f>HYPERLINK("https://ictv.global/taxonomy/taxondetails?taxnode_id=202313770","Unuamitovirus fuci1")</f>
        <v>Unuamitovirus fuci1</v>
      </c>
      <c r="S8877" s="18" t="s">
        <v>30</v>
      </c>
      <c r="T8877" s="18" t="s">
        <v>21222</v>
      </c>
      <c r="U8877" s="18" t="s">
        <v>21223</v>
      </c>
      <c r="V8877" s="18" t="s">
        <v>21224</v>
      </c>
      <c r="W8877" s="18" t="s">
        <v>21225</v>
      </c>
      <c r="X8877" s="18" t="s">
        <v>42</v>
      </c>
      <c r="Y8877" s="18" t="s">
        <v>17171</v>
      </c>
      <c r="Z8877" s="18" t="s">
        <v>16721</v>
      </c>
      <c r="AA8877" s="21" t="str">
        <f>HYPERLINK("https://www.ncbi.nlm.nih.gov/nuccore/KF803546","NCBI Nucleotide")</f>
        <v>NCBI Nucleotide</v>
      </c>
    </row>
    <row r="8878" spans="1:27" x14ac:dyDescent="0.35">
      <c r="A8878">
        <v>1009329</v>
      </c>
      <c r="B8878">
        <v>8203</v>
      </c>
      <c r="C8878">
        <v>1</v>
      </c>
      <c r="D8878" s="17" t="s">
        <v>17166</v>
      </c>
      <c r="E8878" s="17"/>
      <c r="F8878" s="17" t="s">
        <v>17246</v>
      </c>
      <c r="G8878" s="17"/>
      <c r="H8878" s="17" t="s">
        <v>20919</v>
      </c>
      <c r="I8878" s="17"/>
      <c r="J8878" s="17" t="s">
        <v>20931</v>
      </c>
      <c r="K8878" s="17"/>
      <c r="L8878" s="17" t="s">
        <v>20932</v>
      </c>
      <c r="M8878" s="17"/>
      <c r="N8878" s="17" t="s">
        <v>20933</v>
      </c>
      <c r="O8878" s="17"/>
      <c r="P8878" s="17" t="s">
        <v>21154</v>
      </c>
      <c r="Q8878" s="17"/>
      <c r="R8878" s="25" t="str">
        <f>HYPERLINK("https://ictv.global/taxonomy/taxondetails?taxnode_id=202313771","Unuamitovirus fuci2")</f>
        <v>Unuamitovirus fuci2</v>
      </c>
      <c r="S8878" s="18" t="s">
        <v>30</v>
      </c>
      <c r="T8878" s="18" t="s">
        <v>21226</v>
      </c>
      <c r="U8878" s="18" t="s">
        <v>21227</v>
      </c>
      <c r="V8878" s="18" t="s">
        <v>21224</v>
      </c>
      <c r="W8878" s="18" t="s">
        <v>21228</v>
      </c>
      <c r="X8878" s="18" t="s">
        <v>42</v>
      </c>
      <c r="Y8878" s="18" t="s">
        <v>17171</v>
      </c>
      <c r="Z8878" s="18" t="s">
        <v>16721</v>
      </c>
      <c r="AA8878" s="21" t="str">
        <f>HYPERLINK("https://www.ncbi.nlm.nih.gov/nuccore/KF803547","NCBI Nucleotide")</f>
        <v>NCBI Nucleotide</v>
      </c>
    </row>
    <row r="8879" spans="1:27" x14ac:dyDescent="0.35">
      <c r="A8879">
        <v>1009330</v>
      </c>
      <c r="B8879">
        <v>8204</v>
      </c>
      <c r="C8879">
        <v>1</v>
      </c>
      <c r="D8879" s="17" t="s">
        <v>17166</v>
      </c>
      <c r="E8879" s="17"/>
      <c r="F8879" s="17" t="s">
        <v>17246</v>
      </c>
      <c r="G8879" s="17"/>
      <c r="H8879" s="17" t="s">
        <v>20919</v>
      </c>
      <c r="I8879" s="17"/>
      <c r="J8879" s="17" t="s">
        <v>20931</v>
      </c>
      <c r="K8879" s="17"/>
      <c r="L8879" s="17" t="s">
        <v>20932</v>
      </c>
      <c r="M8879" s="17"/>
      <c r="N8879" s="17" t="s">
        <v>20933</v>
      </c>
      <c r="O8879" s="17"/>
      <c r="P8879" s="17" t="s">
        <v>21154</v>
      </c>
      <c r="Q8879" s="17"/>
      <c r="R8879" s="25" t="str">
        <f>HYPERLINK("https://ictv.global/taxonomy/taxondetails?taxnode_id=202313772","Unuamitovirus fuco1")</f>
        <v>Unuamitovirus fuco1</v>
      </c>
      <c r="S8879" s="18" t="s">
        <v>30</v>
      </c>
      <c r="T8879" s="18" t="s">
        <v>21229</v>
      </c>
      <c r="U8879" s="18" t="s">
        <v>21230</v>
      </c>
      <c r="V8879" s="18" t="s">
        <v>21231</v>
      </c>
      <c r="W8879" s="18" t="s">
        <v>21232</v>
      </c>
      <c r="X8879" s="18" t="s">
        <v>42</v>
      </c>
      <c r="Y8879" s="18" t="s">
        <v>17171</v>
      </c>
      <c r="Z8879" s="18" t="s">
        <v>16721</v>
      </c>
      <c r="AA8879" s="21" t="str">
        <f>HYPERLINK("https://www.ncbi.nlm.nih.gov/nuccore/LC006129","NCBI Nucleotide")</f>
        <v>NCBI Nucleotide</v>
      </c>
    </row>
    <row r="8880" spans="1:27" x14ac:dyDescent="0.35">
      <c r="A8880">
        <v>1009331</v>
      </c>
      <c r="B8880">
        <v>8205</v>
      </c>
      <c r="C8880">
        <v>1</v>
      </c>
      <c r="D8880" s="17" t="s">
        <v>17166</v>
      </c>
      <c r="E8880" s="17"/>
      <c r="F8880" s="17" t="s">
        <v>17246</v>
      </c>
      <c r="G8880" s="17"/>
      <c r="H8880" s="17" t="s">
        <v>20919</v>
      </c>
      <c r="I8880" s="17"/>
      <c r="J8880" s="17" t="s">
        <v>20931</v>
      </c>
      <c r="K8880" s="17"/>
      <c r="L8880" s="17" t="s">
        <v>20932</v>
      </c>
      <c r="M8880" s="17"/>
      <c r="N8880" s="17" t="s">
        <v>20933</v>
      </c>
      <c r="O8880" s="17"/>
      <c r="P8880" s="17" t="s">
        <v>21154</v>
      </c>
      <c r="Q8880" s="17"/>
      <c r="R8880" s="25" t="str">
        <f>HYPERLINK("https://ictv.global/taxonomy/taxondetails?taxnode_id=202313773","Unuamitovirus fugl1")</f>
        <v>Unuamitovirus fugl1</v>
      </c>
      <c r="S8880" s="18" t="s">
        <v>30</v>
      </c>
      <c r="T8880" s="18" t="s">
        <v>21233</v>
      </c>
      <c r="U8880" s="18" t="s">
        <v>21234</v>
      </c>
      <c r="V8880" s="18" t="s">
        <v>21235</v>
      </c>
      <c r="W8880" s="18" t="s">
        <v>21236</v>
      </c>
      <c r="X8880" s="18" t="s">
        <v>42</v>
      </c>
      <c r="Y8880" s="18" t="s">
        <v>17171</v>
      </c>
      <c r="Z8880" s="18" t="s">
        <v>16721</v>
      </c>
      <c r="AA8880" s="21" t="str">
        <f>HYPERLINK("https://www.ncbi.nlm.nih.gov/nuccore/LC006128","NCBI Nucleotide")</f>
        <v>NCBI Nucleotide</v>
      </c>
    </row>
    <row r="8881" spans="1:27" x14ac:dyDescent="0.35">
      <c r="A8881">
        <v>1009332</v>
      </c>
      <c r="B8881">
        <v>8206</v>
      </c>
      <c r="C8881">
        <v>1</v>
      </c>
      <c r="D8881" s="17" t="s">
        <v>17166</v>
      </c>
      <c r="E8881" s="17"/>
      <c r="F8881" s="17" t="s">
        <v>17246</v>
      </c>
      <c r="G8881" s="17"/>
      <c r="H8881" s="17" t="s">
        <v>20919</v>
      </c>
      <c r="I8881" s="17"/>
      <c r="J8881" s="17" t="s">
        <v>20931</v>
      </c>
      <c r="K8881" s="17"/>
      <c r="L8881" s="17" t="s">
        <v>20932</v>
      </c>
      <c r="M8881" s="17"/>
      <c r="N8881" s="17" t="s">
        <v>20933</v>
      </c>
      <c r="O8881" s="17"/>
      <c r="P8881" s="17" t="s">
        <v>21154</v>
      </c>
      <c r="Q8881" s="17"/>
      <c r="R8881" s="25" t="str">
        <f>HYPERLINK("https://ictv.global/taxonomy/taxondetails?taxnode_id=202313774","Unuamitovirus fuox1")</f>
        <v>Unuamitovirus fuox1</v>
      </c>
      <c r="S8881" s="18" t="s">
        <v>30</v>
      </c>
      <c r="T8881" s="18" t="s">
        <v>21237</v>
      </c>
      <c r="U8881" s="18" t="s">
        <v>21238</v>
      </c>
      <c r="V8881" s="18" t="s">
        <v>21239</v>
      </c>
      <c r="W8881" s="18" t="s">
        <v>21240</v>
      </c>
      <c r="X8881" s="18" t="s">
        <v>42</v>
      </c>
      <c r="Y8881" s="18" t="s">
        <v>17171</v>
      </c>
      <c r="Z8881" s="18" t="s">
        <v>16721</v>
      </c>
      <c r="AA8881" s="21" t="str">
        <f>HYPERLINK("https://www.ncbi.nlm.nih.gov/nuccore/MN586595","NCBI Nucleotide")</f>
        <v>NCBI Nucleotide</v>
      </c>
    </row>
    <row r="8882" spans="1:27" x14ac:dyDescent="0.35">
      <c r="A8882">
        <v>1009333</v>
      </c>
      <c r="B8882">
        <v>8207</v>
      </c>
      <c r="C8882">
        <v>1</v>
      </c>
      <c r="D8882" s="17" t="s">
        <v>17166</v>
      </c>
      <c r="E8882" s="17"/>
      <c r="F8882" s="17" t="s">
        <v>17246</v>
      </c>
      <c r="G8882" s="17"/>
      <c r="H8882" s="17" t="s">
        <v>20919</v>
      </c>
      <c r="I8882" s="17"/>
      <c r="J8882" s="17" t="s">
        <v>20931</v>
      </c>
      <c r="K8882" s="17"/>
      <c r="L8882" s="17" t="s">
        <v>20932</v>
      </c>
      <c r="M8882" s="17"/>
      <c r="N8882" s="17" t="s">
        <v>20933</v>
      </c>
      <c r="O8882" s="17"/>
      <c r="P8882" s="17" t="s">
        <v>21154</v>
      </c>
      <c r="Q8882" s="17"/>
      <c r="R8882" s="25" t="str">
        <f>HYPERLINK("https://ictv.global/taxonomy/taxondetails?taxnode_id=202313775","Unuamitovirus fupo1")</f>
        <v>Unuamitovirus fupo1</v>
      </c>
      <c r="S8882" s="18" t="s">
        <v>30</v>
      </c>
      <c r="T8882" s="18" t="s">
        <v>21241</v>
      </c>
      <c r="U8882" s="18" t="s">
        <v>21242</v>
      </c>
      <c r="V8882" s="18" t="s">
        <v>20997</v>
      </c>
      <c r="W8882" s="18" t="s">
        <v>21243</v>
      </c>
      <c r="X8882" s="18" t="s">
        <v>35</v>
      </c>
      <c r="Y8882" s="18" t="s">
        <v>17171</v>
      </c>
      <c r="Z8882" s="18" t="s">
        <v>16721</v>
      </c>
      <c r="AA8882" s="21" t="str">
        <f>HYPERLINK("https://www.ncbi.nlm.nih.gov/nuccore/LC150564","NCBI Nucleotide")</f>
        <v>NCBI Nucleotide</v>
      </c>
    </row>
    <row r="8883" spans="1:27" x14ac:dyDescent="0.35">
      <c r="A8883">
        <v>1009334</v>
      </c>
      <c r="B8883">
        <v>8208</v>
      </c>
      <c r="C8883">
        <v>1</v>
      </c>
      <c r="D8883" s="17" t="s">
        <v>17166</v>
      </c>
      <c r="E8883" s="17"/>
      <c r="F8883" s="17" t="s">
        <v>17246</v>
      </c>
      <c r="G8883" s="17"/>
      <c r="H8883" s="17" t="s">
        <v>20919</v>
      </c>
      <c r="I8883" s="17"/>
      <c r="J8883" s="17" t="s">
        <v>20931</v>
      </c>
      <c r="K8883" s="17"/>
      <c r="L8883" s="17" t="s">
        <v>20932</v>
      </c>
      <c r="M8883" s="17"/>
      <c r="N8883" s="17" t="s">
        <v>20933</v>
      </c>
      <c r="O8883" s="17"/>
      <c r="P8883" s="17" t="s">
        <v>21154</v>
      </c>
      <c r="Q8883" s="17"/>
      <c r="R8883" s="25" t="str">
        <f>HYPERLINK("https://ictv.global/taxonomy/taxondetails?taxnode_id=202313776","Unuamitovirus fupo2")</f>
        <v>Unuamitovirus fupo2</v>
      </c>
      <c r="S8883" s="18" t="s">
        <v>30</v>
      </c>
      <c r="T8883" s="18" t="s">
        <v>21244</v>
      </c>
      <c r="U8883" s="18" t="s">
        <v>21245</v>
      </c>
      <c r="V8883" s="18" t="s">
        <v>20997</v>
      </c>
      <c r="W8883" s="18" t="s">
        <v>21246</v>
      </c>
      <c r="X8883" s="18" t="s">
        <v>35</v>
      </c>
      <c r="Y8883" s="18" t="s">
        <v>17171</v>
      </c>
      <c r="Z8883" s="18" t="s">
        <v>16721</v>
      </c>
      <c r="AA8883" s="21" t="str">
        <f>HYPERLINK("https://www.ncbi.nlm.nih.gov/nuccore/LC150565","NCBI Nucleotide")</f>
        <v>NCBI Nucleotide</v>
      </c>
    </row>
    <row r="8884" spans="1:27" x14ac:dyDescent="0.35">
      <c r="A8884">
        <v>1009335</v>
      </c>
      <c r="B8884">
        <v>8209</v>
      </c>
      <c r="C8884">
        <v>1</v>
      </c>
      <c r="D8884" s="17" t="s">
        <v>17166</v>
      </c>
      <c r="E8884" s="17"/>
      <c r="F8884" s="17" t="s">
        <v>17246</v>
      </c>
      <c r="G8884" s="17"/>
      <c r="H8884" s="17" t="s">
        <v>20919</v>
      </c>
      <c r="I8884" s="17"/>
      <c r="J8884" s="17" t="s">
        <v>20931</v>
      </c>
      <c r="K8884" s="17"/>
      <c r="L8884" s="17" t="s">
        <v>20932</v>
      </c>
      <c r="M8884" s="17"/>
      <c r="N8884" s="17" t="s">
        <v>20933</v>
      </c>
      <c r="O8884" s="17"/>
      <c r="P8884" s="17" t="s">
        <v>21154</v>
      </c>
      <c r="Q8884" s="17"/>
      <c r="R8884" s="25" t="str">
        <f>HYPERLINK("https://ictv.global/taxonomy/taxondetails?taxnode_id=202313777","Unuamitovirus fuve1")</f>
        <v>Unuamitovirus fuve1</v>
      </c>
      <c r="S8884" s="18" t="s">
        <v>30</v>
      </c>
      <c r="T8884" s="18" t="s">
        <v>21247</v>
      </c>
      <c r="U8884" s="18" t="s">
        <v>21248</v>
      </c>
      <c r="V8884" s="18" t="s">
        <v>21249</v>
      </c>
      <c r="W8884" s="18" t="s">
        <v>21250</v>
      </c>
      <c r="X8884" s="18" t="s">
        <v>35</v>
      </c>
      <c r="Y8884" s="18" t="s">
        <v>17171</v>
      </c>
      <c r="Z8884" s="18" t="s">
        <v>16721</v>
      </c>
      <c r="AA8884" s="21" t="str">
        <f>HYPERLINK("https://www.ncbi.nlm.nih.gov/nuccore/MT506024","NCBI Nucleotide")</f>
        <v>NCBI Nucleotide</v>
      </c>
    </row>
    <row r="8885" spans="1:27" x14ac:dyDescent="0.35">
      <c r="A8885">
        <v>1009336</v>
      </c>
      <c r="B8885">
        <v>8210</v>
      </c>
      <c r="C8885">
        <v>1</v>
      </c>
      <c r="D8885" s="17" t="s">
        <v>17166</v>
      </c>
      <c r="E8885" s="17"/>
      <c r="F8885" s="17" t="s">
        <v>17246</v>
      </c>
      <c r="G8885" s="17"/>
      <c r="H8885" s="17" t="s">
        <v>20919</v>
      </c>
      <c r="I8885" s="17"/>
      <c r="J8885" s="17" t="s">
        <v>20931</v>
      </c>
      <c r="K8885" s="17"/>
      <c r="L8885" s="17" t="s">
        <v>20932</v>
      </c>
      <c r="M8885" s="17"/>
      <c r="N8885" s="17" t="s">
        <v>20933</v>
      </c>
      <c r="O8885" s="17"/>
      <c r="P8885" s="17" t="s">
        <v>21154</v>
      </c>
      <c r="Q8885" s="17"/>
      <c r="R8885" s="25" t="str">
        <f>HYPERLINK("https://ictv.global/taxonomy/taxondetails?taxnode_id=202313778","Unuamitovirus grab1")</f>
        <v>Unuamitovirus grab1</v>
      </c>
      <c r="S8885" s="18" t="s">
        <v>30</v>
      </c>
      <c r="T8885" s="18" t="s">
        <v>21251</v>
      </c>
      <c r="U8885" s="18" t="s">
        <v>21252</v>
      </c>
      <c r="V8885" s="18" t="s">
        <v>21253</v>
      </c>
      <c r="W8885" s="18" t="s">
        <v>21254</v>
      </c>
      <c r="X8885" s="18" t="s">
        <v>42</v>
      </c>
      <c r="Y8885" s="18" t="s">
        <v>17171</v>
      </c>
      <c r="Z8885" s="18" t="s">
        <v>16721</v>
      </c>
      <c r="AA8885" s="21" t="str">
        <f>HYPERLINK("https://www.ncbi.nlm.nih.gov/nuccore/AF534641","NCBI Nucleotide")</f>
        <v>NCBI Nucleotide</v>
      </c>
    </row>
    <row r="8886" spans="1:27" x14ac:dyDescent="0.35">
      <c r="A8886">
        <v>1009337</v>
      </c>
      <c r="B8886">
        <v>8211</v>
      </c>
      <c r="C8886">
        <v>1</v>
      </c>
      <c r="D8886" s="17" t="s">
        <v>17166</v>
      </c>
      <c r="E8886" s="17"/>
      <c r="F8886" s="17" t="s">
        <v>17246</v>
      </c>
      <c r="G8886" s="17"/>
      <c r="H8886" s="17" t="s">
        <v>20919</v>
      </c>
      <c r="I8886" s="17"/>
      <c r="J8886" s="17" t="s">
        <v>20931</v>
      </c>
      <c r="K8886" s="17"/>
      <c r="L8886" s="17" t="s">
        <v>20932</v>
      </c>
      <c r="M8886" s="17"/>
      <c r="N8886" s="17" t="s">
        <v>20933</v>
      </c>
      <c r="O8886" s="17"/>
      <c r="P8886" s="17" t="s">
        <v>21154</v>
      </c>
      <c r="Q8886" s="17"/>
      <c r="R8886" s="25" t="str">
        <f>HYPERLINK("https://ictv.global/taxonomy/taxondetails?taxnode_id=202313779","Unuamitovirus grab2")</f>
        <v>Unuamitovirus grab2</v>
      </c>
      <c r="S8886" s="18" t="s">
        <v>30</v>
      </c>
      <c r="T8886" s="18" t="s">
        <v>21255</v>
      </c>
      <c r="U8886" s="18" t="s">
        <v>21256</v>
      </c>
      <c r="V8886" s="18" t="s">
        <v>18563</v>
      </c>
      <c r="W8886" s="18" t="s">
        <v>21257</v>
      </c>
      <c r="X8886" s="18" t="s">
        <v>42</v>
      </c>
      <c r="Y8886" s="18" t="s">
        <v>17171</v>
      </c>
      <c r="Z8886" s="18" t="s">
        <v>16721</v>
      </c>
      <c r="AA8886" s="21" t="str">
        <f>HYPERLINK("https://www.ncbi.nlm.nih.gov/nuccore/JN654496","NCBI Nucleotide")</f>
        <v>NCBI Nucleotide</v>
      </c>
    </row>
    <row r="8887" spans="1:27" x14ac:dyDescent="0.35">
      <c r="A8887">
        <v>1009338</v>
      </c>
      <c r="B8887">
        <v>8212</v>
      </c>
      <c r="C8887">
        <v>1</v>
      </c>
      <c r="D8887" s="17" t="s">
        <v>17166</v>
      </c>
      <c r="E8887" s="17"/>
      <c r="F8887" s="17" t="s">
        <v>17246</v>
      </c>
      <c r="G8887" s="17"/>
      <c r="H8887" s="17" t="s">
        <v>20919</v>
      </c>
      <c r="I8887" s="17"/>
      <c r="J8887" s="17" t="s">
        <v>20931</v>
      </c>
      <c r="K8887" s="17"/>
      <c r="L8887" s="17" t="s">
        <v>20932</v>
      </c>
      <c r="M8887" s="17"/>
      <c r="N8887" s="17" t="s">
        <v>20933</v>
      </c>
      <c r="O8887" s="17"/>
      <c r="P8887" s="17" t="s">
        <v>21154</v>
      </c>
      <c r="Q8887" s="17"/>
      <c r="R8887" s="25" t="str">
        <f>HYPERLINK("https://ictv.global/taxonomy/taxondetails?taxnode_id=202313781","Unuamitovirus hean2")</f>
        <v>Unuamitovirus hean2</v>
      </c>
      <c r="S8887" s="18" t="s">
        <v>30</v>
      </c>
      <c r="T8887" s="18" t="s">
        <v>21258</v>
      </c>
      <c r="U8887" s="18" t="s">
        <v>21259</v>
      </c>
      <c r="V8887" s="18">
        <v>94233</v>
      </c>
      <c r="W8887" s="18" t="s">
        <v>21260</v>
      </c>
      <c r="X8887" s="18" t="s">
        <v>42</v>
      </c>
      <c r="Y8887" s="18" t="s">
        <v>17171</v>
      </c>
      <c r="Z8887" s="18" t="s">
        <v>16721</v>
      </c>
      <c r="AA8887" s="21" t="str">
        <f>HYPERLINK("https://www.ncbi.nlm.nih.gov/nuccore/MN058206","NCBI Nucleotide")</f>
        <v>NCBI Nucleotide</v>
      </c>
    </row>
    <row r="8888" spans="1:27" x14ac:dyDescent="0.35">
      <c r="A8888">
        <v>1009339</v>
      </c>
      <c r="B8888">
        <v>8213</v>
      </c>
      <c r="C8888">
        <v>1</v>
      </c>
      <c r="D8888" s="17" t="s">
        <v>17166</v>
      </c>
      <c r="E8888" s="17"/>
      <c r="F8888" s="17" t="s">
        <v>17246</v>
      </c>
      <c r="G8888" s="17"/>
      <c r="H8888" s="17" t="s">
        <v>20919</v>
      </c>
      <c r="I8888" s="17"/>
      <c r="J8888" s="17" t="s">
        <v>20931</v>
      </c>
      <c r="K8888" s="17"/>
      <c r="L8888" s="17" t="s">
        <v>20932</v>
      </c>
      <c r="M8888" s="17"/>
      <c r="N8888" s="17" t="s">
        <v>20933</v>
      </c>
      <c r="O8888" s="17"/>
      <c r="P8888" s="17" t="s">
        <v>21154</v>
      </c>
      <c r="Q8888" s="17"/>
      <c r="R8888" s="25" t="str">
        <f>HYPERLINK("https://ictv.global/taxonomy/taxondetails?taxnode_id=202313780","Unuamitovirus hemo1")</f>
        <v>Unuamitovirus hemo1</v>
      </c>
      <c r="S8888" s="18" t="s">
        <v>30</v>
      </c>
      <c r="T8888" s="18" t="s">
        <v>21261</v>
      </c>
      <c r="U8888" s="18" t="s">
        <v>21262</v>
      </c>
      <c r="V8888" s="18" t="s">
        <v>21263</v>
      </c>
      <c r="W8888" s="18" t="s">
        <v>21264</v>
      </c>
      <c r="X8888" s="18" t="s">
        <v>42</v>
      </c>
      <c r="Y8888" s="18" t="s">
        <v>17171</v>
      </c>
      <c r="Z8888" s="18" t="s">
        <v>16721</v>
      </c>
      <c r="AA8888" s="21" t="str">
        <f>HYPERLINK("https://www.ncbi.nlm.nih.gov/nuccore/AB110977","NCBI Nucleotide")</f>
        <v>NCBI Nucleotide</v>
      </c>
    </row>
    <row r="8889" spans="1:27" x14ac:dyDescent="0.35">
      <c r="A8889">
        <v>1009340</v>
      </c>
      <c r="B8889">
        <v>8214</v>
      </c>
      <c r="C8889">
        <v>1</v>
      </c>
      <c r="D8889" s="17" t="s">
        <v>17166</v>
      </c>
      <c r="E8889" s="17"/>
      <c r="F8889" s="17" t="s">
        <v>17246</v>
      </c>
      <c r="G8889" s="17"/>
      <c r="H8889" s="17" t="s">
        <v>20919</v>
      </c>
      <c r="I8889" s="17"/>
      <c r="J8889" s="17" t="s">
        <v>20931</v>
      </c>
      <c r="K8889" s="17"/>
      <c r="L8889" s="17" t="s">
        <v>20932</v>
      </c>
      <c r="M8889" s="17"/>
      <c r="N8889" s="17" t="s">
        <v>20933</v>
      </c>
      <c r="O8889" s="17"/>
      <c r="P8889" s="17" t="s">
        <v>21154</v>
      </c>
      <c r="Q8889" s="17"/>
      <c r="R8889" s="25" t="str">
        <f>HYPERLINK("https://ictv.global/taxonomy/taxondetails?taxnode_id=202313782","Unuamitovirus hyal1")</f>
        <v>Unuamitovirus hyal1</v>
      </c>
      <c r="S8889" s="18" t="s">
        <v>30</v>
      </c>
      <c r="T8889" s="18" t="s">
        <v>21265</v>
      </c>
      <c r="U8889" s="18" t="s">
        <v>21266</v>
      </c>
      <c r="V8889" s="18" t="s">
        <v>21267</v>
      </c>
      <c r="W8889" s="18" t="s">
        <v>21268</v>
      </c>
      <c r="X8889" s="18" t="s">
        <v>35</v>
      </c>
      <c r="Y8889" s="18" t="s">
        <v>17171</v>
      </c>
      <c r="Z8889" s="18" t="s">
        <v>16721</v>
      </c>
      <c r="AA8889" s="21" t="str">
        <f>HYPERLINK("https://www.ncbi.nlm.nih.gov/nuccore/MK079847","NCBI Nucleotide")</f>
        <v>NCBI Nucleotide</v>
      </c>
    </row>
    <row r="8890" spans="1:27" x14ac:dyDescent="0.35">
      <c r="A8890">
        <v>1009341</v>
      </c>
      <c r="B8890">
        <v>8215</v>
      </c>
      <c r="C8890">
        <v>1</v>
      </c>
      <c r="D8890" s="17" t="s">
        <v>17166</v>
      </c>
      <c r="E8890" s="17"/>
      <c r="F8890" s="17" t="s">
        <v>17246</v>
      </c>
      <c r="G8890" s="17"/>
      <c r="H8890" s="17" t="s">
        <v>20919</v>
      </c>
      <c r="I8890" s="17"/>
      <c r="J8890" s="17" t="s">
        <v>20931</v>
      </c>
      <c r="K8890" s="17"/>
      <c r="L8890" s="17" t="s">
        <v>20932</v>
      </c>
      <c r="M8890" s="17"/>
      <c r="N8890" s="17" t="s">
        <v>20933</v>
      </c>
      <c r="O8890" s="17"/>
      <c r="P8890" s="17" t="s">
        <v>21154</v>
      </c>
      <c r="Q8890" s="17"/>
      <c r="R8890" s="25" t="str">
        <f>HYPERLINK("https://ictv.global/taxonomy/taxondetails?taxnode_id=202313783","Unuamitovirus hyfr1")</f>
        <v>Unuamitovirus hyfr1</v>
      </c>
      <c r="S8890" s="18" t="s">
        <v>30</v>
      </c>
      <c r="T8890" s="18" t="s">
        <v>21269</v>
      </c>
      <c r="U8890" s="18" t="s">
        <v>21266</v>
      </c>
      <c r="V8890" s="18" t="s">
        <v>21270</v>
      </c>
      <c r="W8890" s="18" t="s">
        <v>21271</v>
      </c>
      <c r="X8890" s="18" t="s">
        <v>35</v>
      </c>
      <c r="Y8890" s="18" t="s">
        <v>17171</v>
      </c>
      <c r="Z8890" s="18" t="s">
        <v>16721</v>
      </c>
      <c r="AA8890" s="21" t="str">
        <f>HYPERLINK("https://www.ncbi.nlm.nih.gov/nuccore/KJ667051","NCBI Nucleotide")</f>
        <v>NCBI Nucleotide</v>
      </c>
    </row>
    <row r="8891" spans="1:27" x14ac:dyDescent="0.35">
      <c r="A8891">
        <v>1009342</v>
      </c>
      <c r="B8891">
        <v>8216</v>
      </c>
      <c r="C8891">
        <v>1</v>
      </c>
      <c r="D8891" s="17" t="s">
        <v>17166</v>
      </c>
      <c r="E8891" s="17"/>
      <c r="F8891" s="17" t="s">
        <v>17246</v>
      </c>
      <c r="G8891" s="17"/>
      <c r="H8891" s="17" t="s">
        <v>20919</v>
      </c>
      <c r="I8891" s="17"/>
      <c r="J8891" s="17" t="s">
        <v>20931</v>
      </c>
      <c r="K8891" s="17"/>
      <c r="L8891" s="17" t="s">
        <v>20932</v>
      </c>
      <c r="M8891" s="17"/>
      <c r="N8891" s="17" t="s">
        <v>20933</v>
      </c>
      <c r="O8891" s="17"/>
      <c r="P8891" s="17" t="s">
        <v>21154</v>
      </c>
      <c r="Q8891" s="17"/>
      <c r="R8891" s="25" t="str">
        <f>HYPERLINK("https://ictv.global/taxonomy/taxondetails?taxnode_id=202313784","Unuamitovirus lebi1")</f>
        <v>Unuamitovirus lebi1</v>
      </c>
      <c r="S8891" s="18" t="s">
        <v>30</v>
      </c>
      <c r="T8891" s="18" t="s">
        <v>21272</v>
      </c>
      <c r="U8891" s="18" t="s">
        <v>21273</v>
      </c>
      <c r="V8891" s="18" t="s">
        <v>21274</v>
      </c>
      <c r="W8891" s="18" t="s">
        <v>21275</v>
      </c>
      <c r="X8891" s="18" t="s">
        <v>42</v>
      </c>
      <c r="Y8891" s="18" t="s">
        <v>17171</v>
      </c>
      <c r="Z8891" s="18" t="s">
        <v>16721</v>
      </c>
      <c r="AA8891" s="21" t="str">
        <f>HYPERLINK("https://www.ncbi.nlm.nih.gov/nuccore/MG659316","NCBI Nucleotide")</f>
        <v>NCBI Nucleotide</v>
      </c>
    </row>
    <row r="8892" spans="1:27" x14ac:dyDescent="0.35">
      <c r="A8892">
        <v>1009343</v>
      </c>
      <c r="B8892">
        <v>8217</v>
      </c>
      <c r="C8892">
        <v>1</v>
      </c>
      <c r="D8892" s="17" t="s">
        <v>17166</v>
      </c>
      <c r="E8892" s="17"/>
      <c r="F8892" s="17" t="s">
        <v>17246</v>
      </c>
      <c r="G8892" s="17"/>
      <c r="H8892" s="17" t="s">
        <v>20919</v>
      </c>
      <c r="I8892" s="17"/>
      <c r="J8892" s="17" t="s">
        <v>20931</v>
      </c>
      <c r="K8892" s="17"/>
      <c r="L8892" s="17" t="s">
        <v>20932</v>
      </c>
      <c r="M8892" s="17"/>
      <c r="N8892" s="17" t="s">
        <v>20933</v>
      </c>
      <c r="O8892" s="17"/>
      <c r="P8892" s="17" t="s">
        <v>21154</v>
      </c>
      <c r="Q8892" s="17"/>
      <c r="R8892" s="25" t="str">
        <f>HYPERLINK("https://ictv.global/taxonomy/taxondetails?taxnode_id=202313785","Unuamitovirus nior2")</f>
        <v>Unuamitovirus nior2</v>
      </c>
      <c r="S8892" s="18" t="s">
        <v>30</v>
      </c>
      <c r="T8892" s="18" t="s">
        <v>21276</v>
      </c>
      <c r="U8892" s="18" t="s">
        <v>21277</v>
      </c>
      <c r="V8892" s="18" t="s">
        <v>21034</v>
      </c>
      <c r="W8892" s="18" t="s">
        <v>21278</v>
      </c>
      <c r="X8892" s="18" t="s">
        <v>42</v>
      </c>
      <c r="Y8892" s="18" t="s">
        <v>17171</v>
      </c>
      <c r="Z8892" s="18" t="s">
        <v>16721</v>
      </c>
      <c r="AA8892" s="21" t="str">
        <f>HYPERLINK("https://www.ncbi.nlm.nih.gov/nuccore/MH823902","NCBI Nucleotide")</f>
        <v>NCBI Nucleotide</v>
      </c>
    </row>
    <row r="8893" spans="1:27" x14ac:dyDescent="0.35">
      <c r="A8893">
        <v>1009344</v>
      </c>
      <c r="B8893">
        <v>8218</v>
      </c>
      <c r="C8893">
        <v>1</v>
      </c>
      <c r="D8893" s="17" t="s">
        <v>17166</v>
      </c>
      <c r="E8893" s="17"/>
      <c r="F8893" s="17" t="s">
        <v>17246</v>
      </c>
      <c r="G8893" s="17"/>
      <c r="H8893" s="17" t="s">
        <v>20919</v>
      </c>
      <c r="I8893" s="17"/>
      <c r="J8893" s="17" t="s">
        <v>20931</v>
      </c>
      <c r="K8893" s="17"/>
      <c r="L8893" s="17" t="s">
        <v>20932</v>
      </c>
      <c r="M8893" s="17"/>
      <c r="N8893" s="17" t="s">
        <v>20933</v>
      </c>
      <c r="O8893" s="17"/>
      <c r="P8893" s="17" t="s">
        <v>21154</v>
      </c>
      <c r="Q8893" s="17"/>
      <c r="R8893" s="25" t="str">
        <f>HYPERLINK("https://ictv.global/taxonomy/taxondetails?taxnode_id=202303912","Unuamitovirus opno4")</f>
        <v>Unuamitovirus opno4</v>
      </c>
      <c r="S8893" s="18" t="s">
        <v>30</v>
      </c>
      <c r="T8893" s="18" t="s">
        <v>21279</v>
      </c>
      <c r="U8893" s="18" t="s">
        <v>21280</v>
      </c>
      <c r="V8893" s="18" t="s">
        <v>21049</v>
      </c>
      <c r="W8893" s="18" t="s">
        <v>21281</v>
      </c>
      <c r="X8893" s="18" t="s">
        <v>42</v>
      </c>
      <c r="Y8893" s="18" t="s">
        <v>17171</v>
      </c>
      <c r="Z8893" s="18" t="s">
        <v>16721</v>
      </c>
      <c r="AA8893" s="21" t="str">
        <f>HYPERLINK("https://www.ncbi.nlm.nih.gov/nuccore/AJ132754","NCBI Nucleotide")</f>
        <v>NCBI Nucleotide</v>
      </c>
    </row>
    <row r="8894" spans="1:27" x14ac:dyDescent="0.35">
      <c r="A8894">
        <v>1009345</v>
      </c>
      <c r="B8894">
        <v>8219</v>
      </c>
      <c r="C8894">
        <v>1</v>
      </c>
      <c r="D8894" s="17" t="s">
        <v>17166</v>
      </c>
      <c r="E8894" s="17"/>
      <c r="F8894" s="17" t="s">
        <v>17246</v>
      </c>
      <c r="G8894" s="17"/>
      <c r="H8894" s="17" t="s">
        <v>20919</v>
      </c>
      <c r="I8894" s="17"/>
      <c r="J8894" s="17" t="s">
        <v>20931</v>
      </c>
      <c r="K8894" s="17"/>
      <c r="L8894" s="17" t="s">
        <v>20932</v>
      </c>
      <c r="M8894" s="17"/>
      <c r="N8894" s="17" t="s">
        <v>20933</v>
      </c>
      <c r="O8894" s="17"/>
      <c r="P8894" s="17" t="s">
        <v>21154</v>
      </c>
      <c r="Q8894" s="17"/>
      <c r="R8894" s="25" t="str">
        <f>HYPERLINK("https://ictv.global/taxonomy/taxondetails?taxnode_id=202303913","Unuamitovirus opno5")</f>
        <v>Unuamitovirus opno5</v>
      </c>
      <c r="S8894" s="18" t="s">
        <v>30</v>
      </c>
      <c r="T8894" s="18" t="s">
        <v>21282</v>
      </c>
      <c r="U8894" s="18" t="s">
        <v>21283</v>
      </c>
      <c r="V8894" s="18" t="s">
        <v>21049</v>
      </c>
      <c r="W8894" s="18" t="s">
        <v>21284</v>
      </c>
      <c r="X8894" s="18" t="s">
        <v>42</v>
      </c>
      <c r="Y8894" s="18" t="s">
        <v>17171</v>
      </c>
      <c r="Z8894" s="18" t="s">
        <v>16721</v>
      </c>
      <c r="AA8894" s="21" t="str">
        <f>HYPERLINK("https://www.ncbi.nlm.nih.gov/nuccore/AJ132755","NCBI Nucleotide")</f>
        <v>NCBI Nucleotide</v>
      </c>
    </row>
    <row r="8895" spans="1:27" x14ac:dyDescent="0.35">
      <c r="A8895">
        <v>1009346</v>
      </c>
      <c r="B8895">
        <v>8220</v>
      </c>
      <c r="C8895">
        <v>1</v>
      </c>
      <c r="D8895" s="17" t="s">
        <v>17166</v>
      </c>
      <c r="E8895" s="17"/>
      <c r="F8895" s="17" t="s">
        <v>17246</v>
      </c>
      <c r="G8895" s="17"/>
      <c r="H8895" s="17" t="s">
        <v>20919</v>
      </c>
      <c r="I8895" s="17"/>
      <c r="J8895" s="17" t="s">
        <v>20931</v>
      </c>
      <c r="K8895" s="17"/>
      <c r="L8895" s="17" t="s">
        <v>20932</v>
      </c>
      <c r="M8895" s="17"/>
      <c r="N8895" s="17" t="s">
        <v>20933</v>
      </c>
      <c r="O8895" s="17"/>
      <c r="P8895" s="17" t="s">
        <v>21154</v>
      </c>
      <c r="Q8895" s="17"/>
      <c r="R8895" s="25" t="str">
        <f>HYPERLINK("https://ictv.global/taxonomy/taxondetails?taxnode_id=202303914","Unuamitovirus opno6")</f>
        <v>Unuamitovirus opno6</v>
      </c>
      <c r="S8895" s="18" t="s">
        <v>30</v>
      </c>
      <c r="T8895" s="18" t="s">
        <v>21285</v>
      </c>
      <c r="U8895" s="18" t="s">
        <v>21286</v>
      </c>
      <c r="V8895" s="18" t="s">
        <v>21049</v>
      </c>
      <c r="W8895" s="18" t="s">
        <v>21287</v>
      </c>
      <c r="X8895" s="18" t="s">
        <v>42</v>
      </c>
      <c r="Y8895" s="18" t="s">
        <v>17171</v>
      </c>
      <c r="Z8895" s="18" t="s">
        <v>16721</v>
      </c>
      <c r="AA8895" s="21" t="str">
        <f>HYPERLINK("https://www.ncbi.nlm.nih.gov/nuccore/AJ132756","NCBI Nucleotide")</f>
        <v>NCBI Nucleotide</v>
      </c>
    </row>
    <row r="8896" spans="1:27" x14ac:dyDescent="0.35">
      <c r="A8896">
        <v>1009347</v>
      </c>
      <c r="B8896">
        <v>8221</v>
      </c>
      <c r="C8896">
        <v>1</v>
      </c>
      <c r="D8896" s="17" t="s">
        <v>17166</v>
      </c>
      <c r="E8896" s="17"/>
      <c r="F8896" s="17" t="s">
        <v>17246</v>
      </c>
      <c r="G8896" s="17"/>
      <c r="H8896" s="17" t="s">
        <v>20919</v>
      </c>
      <c r="I8896" s="17"/>
      <c r="J8896" s="17" t="s">
        <v>20931</v>
      </c>
      <c r="K8896" s="17"/>
      <c r="L8896" s="17" t="s">
        <v>20932</v>
      </c>
      <c r="M8896" s="17"/>
      <c r="N8896" s="17" t="s">
        <v>20933</v>
      </c>
      <c r="O8896" s="17"/>
      <c r="P8896" s="17" t="s">
        <v>21154</v>
      </c>
      <c r="Q8896" s="17"/>
      <c r="R8896" s="25" t="str">
        <f>HYPERLINK("https://ictv.global/taxonomy/taxondetails?taxnode_id=202313786","Unuamitovirus pust1")</f>
        <v>Unuamitovirus pust1</v>
      </c>
      <c r="S8896" s="18" t="s">
        <v>30</v>
      </c>
      <c r="T8896" s="18" t="s">
        <v>21288</v>
      </c>
      <c r="U8896" s="18" t="s">
        <v>21289</v>
      </c>
      <c r="V8896" s="18" t="s">
        <v>21290</v>
      </c>
      <c r="W8896" s="18" t="s">
        <v>21291</v>
      </c>
      <c r="X8896" s="18" t="s">
        <v>42</v>
      </c>
      <c r="Y8896" s="18" t="s">
        <v>17171</v>
      </c>
      <c r="Z8896" s="18" t="s">
        <v>16721</v>
      </c>
      <c r="AA8896" s="21" t="str">
        <f>HYPERLINK("https://www.ncbi.nlm.nih.gov/nuccore/MK033478","NCBI Nucleotide")</f>
        <v>NCBI Nucleotide</v>
      </c>
    </row>
    <row r="8897" spans="1:27" x14ac:dyDescent="0.35">
      <c r="A8897">
        <v>1009348</v>
      </c>
      <c r="B8897">
        <v>8222</v>
      </c>
      <c r="C8897">
        <v>1</v>
      </c>
      <c r="D8897" s="17" t="s">
        <v>17166</v>
      </c>
      <c r="E8897" s="17"/>
      <c r="F8897" s="17" t="s">
        <v>17246</v>
      </c>
      <c r="G8897" s="17"/>
      <c r="H8897" s="17" t="s">
        <v>20919</v>
      </c>
      <c r="I8897" s="17"/>
      <c r="J8897" s="17" t="s">
        <v>20931</v>
      </c>
      <c r="K8897" s="17"/>
      <c r="L8897" s="17" t="s">
        <v>20932</v>
      </c>
      <c r="M8897" s="17"/>
      <c r="N8897" s="17" t="s">
        <v>20933</v>
      </c>
      <c r="O8897" s="17"/>
      <c r="P8897" s="17" t="s">
        <v>21154</v>
      </c>
      <c r="Q8897" s="17"/>
      <c r="R8897" s="25" t="str">
        <f>HYPERLINK("https://ictv.global/taxonomy/taxondetails?taxnode_id=202313787","Unuamitovirus scni1")</f>
        <v>Unuamitovirus scni1</v>
      </c>
      <c r="S8897" s="18" t="s">
        <v>30</v>
      </c>
      <c r="T8897" s="18" t="s">
        <v>21292</v>
      </c>
      <c r="U8897" s="18" t="s">
        <v>21293</v>
      </c>
      <c r="V8897" s="18" t="s">
        <v>21098</v>
      </c>
      <c r="W8897" s="18" t="s">
        <v>21294</v>
      </c>
      <c r="X8897" s="18" t="s">
        <v>42</v>
      </c>
      <c r="Y8897" s="18" t="s">
        <v>17171</v>
      </c>
      <c r="Z8897" s="18" t="s">
        <v>16721</v>
      </c>
      <c r="AA8897" s="21" t="str">
        <f>HYPERLINK("https://www.ncbi.nlm.nih.gov/nuccore/KT365895","NCBI Nucleotide")</f>
        <v>NCBI Nucleotide</v>
      </c>
    </row>
    <row r="8898" spans="1:27" x14ac:dyDescent="0.35">
      <c r="A8898">
        <v>1009349</v>
      </c>
      <c r="B8898">
        <v>8223</v>
      </c>
      <c r="C8898">
        <v>1</v>
      </c>
      <c r="D8898" s="17" t="s">
        <v>17166</v>
      </c>
      <c r="E8898" s="17"/>
      <c r="F8898" s="17" t="s">
        <v>17246</v>
      </c>
      <c r="G8898" s="17"/>
      <c r="H8898" s="17" t="s">
        <v>20919</v>
      </c>
      <c r="I8898" s="17"/>
      <c r="J8898" s="17" t="s">
        <v>20931</v>
      </c>
      <c r="K8898" s="17"/>
      <c r="L8898" s="17" t="s">
        <v>20932</v>
      </c>
      <c r="M8898" s="17"/>
      <c r="N8898" s="17" t="s">
        <v>20933</v>
      </c>
      <c r="O8898" s="17"/>
      <c r="P8898" s="17" t="s">
        <v>21154</v>
      </c>
      <c r="Q8898" s="17"/>
      <c r="R8898" s="25" t="str">
        <f>HYPERLINK("https://ictv.global/taxonomy/taxondetails?taxnode_id=202313788","Unuamitovirus scsc1")</f>
        <v>Unuamitovirus scsc1</v>
      </c>
      <c r="S8898" s="18" t="s">
        <v>30</v>
      </c>
      <c r="T8898" s="18" t="s">
        <v>21295</v>
      </c>
      <c r="U8898" s="18" t="s">
        <v>21296</v>
      </c>
      <c r="V8898" s="18" t="s">
        <v>21297</v>
      </c>
      <c r="W8898" s="18" t="s">
        <v>21298</v>
      </c>
      <c r="X8898" s="18" t="s">
        <v>42</v>
      </c>
      <c r="Y8898" s="18" t="s">
        <v>17171</v>
      </c>
      <c r="Z8898" s="18" t="s">
        <v>16721</v>
      </c>
      <c r="AA8898" s="21" t="str">
        <f>HYPERLINK("https://www.ncbi.nlm.nih.gov/nuccore/JQ013377","NCBI Nucleotide")</f>
        <v>NCBI Nucleotide</v>
      </c>
    </row>
    <row r="8899" spans="1:27" x14ac:dyDescent="0.35">
      <c r="A8899">
        <v>1009350</v>
      </c>
      <c r="B8899">
        <v>8224</v>
      </c>
      <c r="C8899">
        <v>1</v>
      </c>
      <c r="D8899" s="17" t="s">
        <v>17166</v>
      </c>
      <c r="E8899" s="17"/>
      <c r="F8899" s="17" t="s">
        <v>17246</v>
      </c>
      <c r="G8899" s="17"/>
      <c r="H8899" s="17" t="s">
        <v>20919</v>
      </c>
      <c r="I8899" s="17"/>
      <c r="J8899" s="17" t="s">
        <v>20931</v>
      </c>
      <c r="K8899" s="17"/>
      <c r="L8899" s="17" t="s">
        <v>20932</v>
      </c>
      <c r="M8899" s="17"/>
      <c r="N8899" s="17" t="s">
        <v>20933</v>
      </c>
      <c r="O8899" s="17"/>
      <c r="P8899" s="17" t="s">
        <v>21154</v>
      </c>
      <c r="Q8899" s="17"/>
      <c r="R8899" s="25" t="str">
        <f>HYPERLINK("https://ictv.global/taxonomy/taxondetails?taxnode_id=202313789","Unuamitovirus scsc2")</f>
        <v>Unuamitovirus scsc2</v>
      </c>
      <c r="S8899" s="18" t="s">
        <v>30</v>
      </c>
      <c r="T8899" s="18" t="s">
        <v>21299</v>
      </c>
      <c r="U8899" s="18" t="s">
        <v>21300</v>
      </c>
      <c r="V8899" s="18" t="s">
        <v>21297</v>
      </c>
      <c r="W8899" s="18" t="s">
        <v>21301</v>
      </c>
      <c r="X8899" s="18" t="s">
        <v>42</v>
      </c>
      <c r="Y8899" s="18" t="s">
        <v>17171</v>
      </c>
      <c r="Z8899" s="18" t="s">
        <v>16721</v>
      </c>
      <c r="AA8899" s="21" t="str">
        <f>HYPERLINK("https://www.ncbi.nlm.nih.gov/nuccore/JQ013378","NCBI Nucleotide")</f>
        <v>NCBI Nucleotide</v>
      </c>
    </row>
    <row r="8900" spans="1:27" x14ac:dyDescent="0.35">
      <c r="A8900">
        <v>1009351</v>
      </c>
      <c r="B8900">
        <v>8225</v>
      </c>
      <c r="C8900">
        <v>1</v>
      </c>
      <c r="D8900" s="17" t="s">
        <v>17166</v>
      </c>
      <c r="E8900" s="17"/>
      <c r="F8900" s="17" t="s">
        <v>17246</v>
      </c>
      <c r="G8900" s="17"/>
      <c r="H8900" s="17" t="s">
        <v>20919</v>
      </c>
      <c r="I8900" s="17"/>
      <c r="J8900" s="17" t="s">
        <v>20931</v>
      </c>
      <c r="K8900" s="17"/>
      <c r="L8900" s="17" t="s">
        <v>20932</v>
      </c>
      <c r="M8900" s="17"/>
      <c r="N8900" s="17" t="s">
        <v>20933</v>
      </c>
      <c r="O8900" s="17"/>
      <c r="P8900" s="17" t="s">
        <v>21154</v>
      </c>
      <c r="Q8900" s="17"/>
      <c r="R8900" s="25" t="str">
        <f>HYPERLINK("https://ictv.global/taxonomy/taxondetails?taxnode_id=202313790","Unuamitovirus scsc4")</f>
        <v>Unuamitovirus scsc4</v>
      </c>
      <c r="S8900" s="18" t="s">
        <v>30</v>
      </c>
      <c r="T8900" s="18" t="s">
        <v>21302</v>
      </c>
      <c r="U8900" s="18" t="s">
        <v>21303</v>
      </c>
      <c r="V8900" s="18" t="s">
        <v>21102</v>
      </c>
      <c r="W8900" s="18" t="s">
        <v>21304</v>
      </c>
      <c r="X8900" s="18" t="s">
        <v>42</v>
      </c>
      <c r="Y8900" s="18" t="s">
        <v>17171</v>
      </c>
      <c r="Z8900" s="18" t="s">
        <v>16721</v>
      </c>
      <c r="AA8900" s="21" t="str">
        <f>HYPERLINK("https://www.ncbi.nlm.nih.gov/nuccore/JX401538","NCBI Nucleotide")</f>
        <v>NCBI Nucleotide</v>
      </c>
    </row>
    <row r="8901" spans="1:27" x14ac:dyDescent="0.35">
      <c r="A8901">
        <v>1009352</v>
      </c>
      <c r="B8901">
        <v>8226</v>
      </c>
      <c r="C8901">
        <v>1</v>
      </c>
      <c r="D8901" s="17" t="s">
        <v>17166</v>
      </c>
      <c r="E8901" s="17"/>
      <c r="F8901" s="17" t="s">
        <v>17246</v>
      </c>
      <c r="G8901" s="17"/>
      <c r="H8901" s="17" t="s">
        <v>20919</v>
      </c>
      <c r="I8901" s="17"/>
      <c r="J8901" s="17" t="s">
        <v>20931</v>
      </c>
      <c r="K8901" s="17"/>
      <c r="L8901" s="17" t="s">
        <v>20932</v>
      </c>
      <c r="M8901" s="17"/>
      <c r="N8901" s="17" t="s">
        <v>20933</v>
      </c>
      <c r="O8901" s="17"/>
      <c r="P8901" s="17" t="s">
        <v>21154</v>
      </c>
      <c r="Q8901" s="17"/>
      <c r="R8901" s="25" t="str">
        <f>HYPERLINK("https://ictv.global/taxonomy/taxondetails?taxnode_id=202313791","Unuamitovirus scsc7")</f>
        <v>Unuamitovirus scsc7</v>
      </c>
      <c r="S8901" s="18" t="s">
        <v>30</v>
      </c>
      <c r="T8901" s="18" t="s">
        <v>21305</v>
      </c>
      <c r="U8901" s="18" t="s">
        <v>21306</v>
      </c>
      <c r="V8901" s="18" t="s">
        <v>21307</v>
      </c>
      <c r="W8901" s="18" t="s">
        <v>21308</v>
      </c>
      <c r="X8901" s="18" t="s">
        <v>42</v>
      </c>
      <c r="Y8901" s="18" t="s">
        <v>17171</v>
      </c>
      <c r="Z8901" s="18" t="s">
        <v>16721</v>
      </c>
      <c r="AA8901" s="21" t="str">
        <f>HYPERLINK("https://www.ncbi.nlm.nih.gov/nuccore/KJ462514","NCBI Nucleotide")</f>
        <v>NCBI Nucleotide</v>
      </c>
    </row>
    <row r="8902" spans="1:27" x14ac:dyDescent="0.35">
      <c r="A8902">
        <v>1009353</v>
      </c>
      <c r="B8902">
        <v>8227</v>
      </c>
      <c r="C8902">
        <v>1</v>
      </c>
      <c r="D8902" s="17" t="s">
        <v>17166</v>
      </c>
      <c r="E8902" s="17"/>
      <c r="F8902" s="17" t="s">
        <v>17246</v>
      </c>
      <c r="G8902" s="17"/>
      <c r="H8902" s="17" t="s">
        <v>20919</v>
      </c>
      <c r="I8902" s="17"/>
      <c r="J8902" s="17" t="s">
        <v>20931</v>
      </c>
      <c r="K8902" s="17"/>
      <c r="L8902" s="17" t="s">
        <v>20932</v>
      </c>
      <c r="M8902" s="17"/>
      <c r="N8902" s="17" t="s">
        <v>20933</v>
      </c>
      <c r="O8902" s="17"/>
      <c r="P8902" s="17" t="s">
        <v>21154</v>
      </c>
      <c r="Q8902" s="17"/>
      <c r="R8902" s="25" t="str">
        <f>HYPERLINK("https://ictv.global/taxonomy/taxondetails?taxnode_id=202313792","Unuamitovirus thba1")</f>
        <v>Unuamitovirus thba1</v>
      </c>
      <c r="S8902" s="18" t="s">
        <v>30</v>
      </c>
      <c r="T8902" s="18" t="s">
        <v>21309</v>
      </c>
      <c r="U8902" s="18" t="s">
        <v>21310</v>
      </c>
      <c r="V8902" s="18" t="s">
        <v>21311</v>
      </c>
      <c r="W8902" s="18" t="s">
        <v>21312</v>
      </c>
      <c r="X8902" s="18" t="s">
        <v>42</v>
      </c>
      <c r="Y8902" s="18" t="s">
        <v>17171</v>
      </c>
      <c r="Z8902" s="18" t="s">
        <v>16721</v>
      </c>
      <c r="AA8902" s="21" t="str">
        <f>HYPERLINK("https://www.ncbi.nlm.nih.gov/nuccore/AY563138","NCBI Nucleotide")</f>
        <v>NCBI Nucleotide</v>
      </c>
    </row>
    <row r="8903" spans="1:27" x14ac:dyDescent="0.35">
      <c r="A8903">
        <v>1025924</v>
      </c>
      <c r="B8903">
        <v>8228</v>
      </c>
      <c r="C8903">
        <v>1</v>
      </c>
      <c r="D8903" s="17" t="s">
        <v>17166</v>
      </c>
      <c r="E8903" s="17"/>
      <c r="F8903" s="17" t="s">
        <v>17246</v>
      </c>
      <c r="G8903" s="17"/>
      <c r="H8903" s="17" t="s">
        <v>20919</v>
      </c>
      <c r="I8903" s="17"/>
      <c r="J8903" s="17" t="s">
        <v>21313</v>
      </c>
      <c r="K8903" s="17"/>
      <c r="L8903" s="17" t="s">
        <v>21326</v>
      </c>
      <c r="M8903" s="17"/>
      <c r="N8903" s="17" t="s">
        <v>21327</v>
      </c>
      <c r="O8903" s="17"/>
      <c r="P8903" s="17" t="s">
        <v>42452</v>
      </c>
      <c r="Q8903" s="17"/>
      <c r="R8903" s="25" t="str">
        <f>HYPERLINK("https://ictv.global/taxonomy/taxondetails?taxnode_id=202316036","Aastrivirus faecicola")</f>
        <v>Aastrivirus faecicola</v>
      </c>
      <c r="S8903" s="18" t="s">
        <v>30</v>
      </c>
      <c r="T8903" s="18" t="s">
        <v>42453</v>
      </c>
      <c r="U8903" s="18"/>
      <c r="V8903" s="18" t="s">
        <v>42453</v>
      </c>
      <c r="W8903" s="18" t="s">
        <v>42454</v>
      </c>
      <c r="X8903" s="18" t="s">
        <v>35</v>
      </c>
      <c r="Y8903" s="18" t="s">
        <v>17171</v>
      </c>
      <c r="Z8903" s="18" t="s">
        <v>24637</v>
      </c>
      <c r="AA8903" s="21" t="str">
        <f>HYPERLINK("https://www.ncbi.nlm.nih.gov/nuccore/MZ679574","NCBI Nucleotide")</f>
        <v>NCBI Nucleotide</v>
      </c>
    </row>
    <row r="8904" spans="1:27" x14ac:dyDescent="0.35">
      <c r="A8904">
        <v>1009417</v>
      </c>
      <c r="B8904">
        <v>8229</v>
      </c>
      <c r="C8904">
        <v>1</v>
      </c>
      <c r="D8904" s="17" t="s">
        <v>17166</v>
      </c>
      <c r="E8904" s="17"/>
      <c r="F8904" s="17" t="s">
        <v>17246</v>
      </c>
      <c r="G8904" s="17"/>
      <c r="H8904" s="17" t="s">
        <v>20919</v>
      </c>
      <c r="I8904" s="17"/>
      <c r="J8904" s="17" t="s">
        <v>21313</v>
      </c>
      <c r="K8904" s="17"/>
      <c r="L8904" s="17" t="s">
        <v>21326</v>
      </c>
      <c r="M8904" s="17"/>
      <c r="N8904" s="17" t="s">
        <v>21327</v>
      </c>
      <c r="O8904" s="17"/>
      <c r="P8904" s="17" t="s">
        <v>42455</v>
      </c>
      <c r="Q8904" s="17"/>
      <c r="R8904" s="25" t="str">
        <f>HYPERLINK("https://ictv.global/taxonomy/taxondetails?taxnode_id=202310801","Aldormivirus defluviicola")</f>
        <v>Aldormivirus defluviicola</v>
      </c>
      <c r="S8904" s="18" t="s">
        <v>30</v>
      </c>
      <c r="T8904" s="18" t="s">
        <v>21493</v>
      </c>
      <c r="U8904" s="18"/>
      <c r="V8904" s="18"/>
      <c r="W8904" s="18" t="s">
        <v>21494</v>
      </c>
      <c r="X8904" s="18" t="s">
        <v>35</v>
      </c>
      <c r="Y8904" s="18" t="s">
        <v>17171</v>
      </c>
      <c r="Z8904" s="18" t="s">
        <v>697</v>
      </c>
      <c r="AA8904" s="21" t="str">
        <f>HYPERLINK("https://www.ncbi.nlm.nih.gov/nuccore/BK013373","NCBI Nucleotide")</f>
        <v>NCBI Nucleotide</v>
      </c>
    </row>
    <row r="8905" spans="1:27" x14ac:dyDescent="0.35">
      <c r="A8905">
        <v>1009418</v>
      </c>
      <c r="B8905">
        <v>8230</v>
      </c>
      <c r="C8905">
        <v>1</v>
      </c>
      <c r="D8905" s="17" t="s">
        <v>17166</v>
      </c>
      <c r="E8905" s="17"/>
      <c r="F8905" s="17" t="s">
        <v>17246</v>
      </c>
      <c r="G8905" s="17"/>
      <c r="H8905" s="17" t="s">
        <v>20919</v>
      </c>
      <c r="I8905" s="17"/>
      <c r="J8905" s="17" t="s">
        <v>21313</v>
      </c>
      <c r="K8905" s="17"/>
      <c r="L8905" s="17" t="s">
        <v>21326</v>
      </c>
      <c r="M8905" s="17"/>
      <c r="N8905" s="17" t="s">
        <v>21327</v>
      </c>
      <c r="O8905" s="17"/>
      <c r="P8905" s="17" t="s">
        <v>42455</v>
      </c>
      <c r="Q8905" s="17"/>
      <c r="R8905" s="25" t="str">
        <f>HYPERLINK("https://ictv.global/taxonomy/taxondetails?taxnode_id=202310802","Aldormivirus luticola")</f>
        <v>Aldormivirus luticola</v>
      </c>
      <c r="S8905" s="18" t="s">
        <v>30</v>
      </c>
      <c r="T8905" s="18" t="s">
        <v>21495</v>
      </c>
      <c r="U8905" s="18"/>
      <c r="V8905" s="18"/>
      <c r="W8905" s="18" t="s">
        <v>21496</v>
      </c>
      <c r="X8905" s="18" t="s">
        <v>35</v>
      </c>
      <c r="Y8905" s="18" t="s">
        <v>17171</v>
      </c>
      <c r="Z8905" s="18" t="s">
        <v>697</v>
      </c>
      <c r="AA8905" s="21" t="str">
        <f>HYPERLINK("https://www.ncbi.nlm.nih.gov/nuccore/BK013629","NCBI Nucleotide")</f>
        <v>NCBI Nucleotide</v>
      </c>
    </row>
    <row r="8906" spans="1:27" x14ac:dyDescent="0.35">
      <c r="A8906">
        <v>1009419</v>
      </c>
      <c r="B8906">
        <v>8231</v>
      </c>
      <c r="C8906">
        <v>1</v>
      </c>
      <c r="D8906" s="17" t="s">
        <v>17166</v>
      </c>
      <c r="E8906" s="17"/>
      <c r="F8906" s="17" t="s">
        <v>17246</v>
      </c>
      <c r="G8906" s="17"/>
      <c r="H8906" s="17" t="s">
        <v>20919</v>
      </c>
      <c r="I8906" s="17"/>
      <c r="J8906" s="17" t="s">
        <v>21313</v>
      </c>
      <c r="K8906" s="17"/>
      <c r="L8906" s="17" t="s">
        <v>21326</v>
      </c>
      <c r="M8906" s="17"/>
      <c r="N8906" s="17" t="s">
        <v>21327</v>
      </c>
      <c r="O8906" s="17"/>
      <c r="P8906" s="17" t="s">
        <v>42455</v>
      </c>
      <c r="Q8906" s="17"/>
      <c r="R8906" s="25" t="str">
        <f>HYPERLINK("https://ictv.global/taxonomy/taxondetails?taxnode_id=202310803","Aldormivirus lutihabitans")</f>
        <v>Aldormivirus lutihabitans</v>
      </c>
      <c r="S8906" s="18" t="s">
        <v>30</v>
      </c>
      <c r="T8906" s="18" t="s">
        <v>21497</v>
      </c>
      <c r="U8906" s="18"/>
      <c r="V8906" s="18"/>
      <c r="W8906" s="18" t="s">
        <v>21498</v>
      </c>
      <c r="X8906" s="18" t="s">
        <v>35</v>
      </c>
      <c r="Y8906" s="18" t="s">
        <v>17171</v>
      </c>
      <c r="Z8906" s="18" t="s">
        <v>697</v>
      </c>
      <c r="AA8906" s="21" t="str">
        <f>HYPERLINK("https://www.ncbi.nlm.nih.gov/nuccore/BK014151","NCBI Nucleotide")</f>
        <v>NCBI Nucleotide</v>
      </c>
    </row>
    <row r="8907" spans="1:27" x14ac:dyDescent="0.35">
      <c r="A8907">
        <v>1009421</v>
      </c>
      <c r="B8907">
        <v>8232</v>
      </c>
      <c r="C8907">
        <v>1</v>
      </c>
      <c r="D8907" s="17" t="s">
        <v>17166</v>
      </c>
      <c r="E8907" s="17"/>
      <c r="F8907" s="17" t="s">
        <v>17246</v>
      </c>
      <c r="G8907" s="17"/>
      <c r="H8907" s="17" t="s">
        <v>20919</v>
      </c>
      <c r="I8907" s="17"/>
      <c r="J8907" s="17" t="s">
        <v>21313</v>
      </c>
      <c r="K8907" s="17"/>
      <c r="L8907" s="17" t="s">
        <v>21326</v>
      </c>
      <c r="M8907" s="17"/>
      <c r="N8907" s="17" t="s">
        <v>21327</v>
      </c>
      <c r="O8907" s="17"/>
      <c r="P8907" s="17" t="s">
        <v>42455</v>
      </c>
      <c r="Q8907" s="17"/>
      <c r="R8907" s="25" t="str">
        <f>HYPERLINK("https://ictv.global/taxonomy/taxondetails?taxnode_id=202310805","Aldormivirus lutivivens")</f>
        <v>Aldormivirus lutivivens</v>
      </c>
      <c r="S8907" s="18" t="s">
        <v>30</v>
      </c>
      <c r="T8907" s="18" t="s">
        <v>21501</v>
      </c>
      <c r="U8907" s="18"/>
      <c r="V8907" s="18"/>
      <c r="W8907" s="18" t="s">
        <v>21502</v>
      </c>
      <c r="X8907" s="18" t="s">
        <v>35</v>
      </c>
      <c r="Y8907" s="18" t="s">
        <v>17171</v>
      </c>
      <c r="Z8907" s="18" t="s">
        <v>697</v>
      </c>
      <c r="AA8907" s="21" t="str">
        <f>HYPERLINK("https://www.ncbi.nlm.nih.gov/nuccore/BK013764","NCBI Nucleotide")</f>
        <v>NCBI Nucleotide</v>
      </c>
    </row>
    <row r="8908" spans="1:27" x14ac:dyDescent="0.35">
      <c r="A8908">
        <v>1009422</v>
      </c>
      <c r="B8908">
        <v>8233</v>
      </c>
      <c r="C8908">
        <v>1</v>
      </c>
      <c r="D8908" s="17" t="s">
        <v>17166</v>
      </c>
      <c r="E8908" s="17"/>
      <c r="F8908" s="17" t="s">
        <v>17246</v>
      </c>
      <c r="G8908" s="17"/>
      <c r="H8908" s="17" t="s">
        <v>20919</v>
      </c>
      <c r="I8908" s="17"/>
      <c r="J8908" s="17" t="s">
        <v>21313</v>
      </c>
      <c r="K8908" s="17"/>
      <c r="L8908" s="17" t="s">
        <v>21326</v>
      </c>
      <c r="M8908" s="17"/>
      <c r="N8908" s="17" t="s">
        <v>21327</v>
      </c>
      <c r="O8908" s="17"/>
      <c r="P8908" s="17" t="s">
        <v>42455</v>
      </c>
      <c r="Q8908" s="17"/>
      <c r="R8908" s="25" t="str">
        <f>HYPERLINK("https://ictv.global/taxonomy/taxondetails?taxnode_id=202310806","Aldormivirus peladaptatum")</f>
        <v>Aldormivirus peladaptatum</v>
      </c>
      <c r="S8908" s="18" t="s">
        <v>30</v>
      </c>
      <c r="T8908" s="18" t="s">
        <v>21503</v>
      </c>
      <c r="U8908" s="18"/>
      <c r="V8908" s="18"/>
      <c r="W8908" s="18" t="s">
        <v>21504</v>
      </c>
      <c r="X8908" s="18" t="s">
        <v>35</v>
      </c>
      <c r="Y8908" s="18" t="s">
        <v>17171</v>
      </c>
      <c r="Z8908" s="18" t="s">
        <v>697</v>
      </c>
      <c r="AA8908" s="21" t="str">
        <f>HYPERLINK("https://www.ncbi.nlm.nih.gov/nuccore/BK014214","NCBI Nucleotide")</f>
        <v>NCBI Nucleotide</v>
      </c>
    </row>
    <row r="8909" spans="1:27" x14ac:dyDescent="0.35">
      <c r="A8909">
        <v>1009385</v>
      </c>
      <c r="B8909">
        <v>8234</v>
      </c>
      <c r="C8909">
        <v>1</v>
      </c>
      <c r="D8909" s="17" t="s">
        <v>17166</v>
      </c>
      <c r="E8909" s="17"/>
      <c r="F8909" s="17" t="s">
        <v>17246</v>
      </c>
      <c r="G8909" s="17"/>
      <c r="H8909" s="17" t="s">
        <v>20919</v>
      </c>
      <c r="I8909" s="17"/>
      <c r="J8909" s="17" t="s">
        <v>21313</v>
      </c>
      <c r="K8909" s="17"/>
      <c r="L8909" s="17" t="s">
        <v>21326</v>
      </c>
      <c r="M8909" s="17"/>
      <c r="N8909" s="17" t="s">
        <v>21327</v>
      </c>
      <c r="O8909" s="17"/>
      <c r="P8909" s="17" t="s">
        <v>42455</v>
      </c>
      <c r="Q8909" s="17"/>
      <c r="R8909" s="25" t="str">
        <f>HYPERLINK("https://ictv.global/taxonomy/taxondetails?taxnode_id=202310748","Aldormivirus pelenecus")</f>
        <v>Aldormivirus pelenecus</v>
      </c>
      <c r="S8909" s="18" t="s">
        <v>30</v>
      </c>
      <c r="T8909" s="18" t="s">
        <v>21411</v>
      </c>
      <c r="U8909" s="18"/>
      <c r="V8909" s="18"/>
      <c r="W8909" s="18" t="s">
        <v>21412</v>
      </c>
      <c r="X8909" s="18" t="s">
        <v>35</v>
      </c>
      <c r="Y8909" s="18" t="s">
        <v>17171</v>
      </c>
      <c r="Z8909" s="18" t="s">
        <v>697</v>
      </c>
      <c r="AA8909" s="21" t="str">
        <f>HYPERLINK("https://www.ncbi.nlm.nih.gov/nuccore/BK013684","NCBI Nucleotide")</f>
        <v>NCBI Nucleotide</v>
      </c>
    </row>
    <row r="8910" spans="1:27" x14ac:dyDescent="0.35">
      <c r="A8910">
        <v>1025904</v>
      </c>
      <c r="B8910">
        <v>8235</v>
      </c>
      <c r="C8910">
        <v>1</v>
      </c>
      <c r="D8910" s="17" t="s">
        <v>17166</v>
      </c>
      <c r="E8910" s="17"/>
      <c r="F8910" s="17" t="s">
        <v>17246</v>
      </c>
      <c r="G8910" s="17"/>
      <c r="H8910" s="17" t="s">
        <v>20919</v>
      </c>
      <c r="I8910" s="17"/>
      <c r="J8910" s="17" t="s">
        <v>21313</v>
      </c>
      <c r="K8910" s="17"/>
      <c r="L8910" s="17" t="s">
        <v>21326</v>
      </c>
      <c r="M8910" s="17"/>
      <c r="N8910" s="17" t="s">
        <v>21327</v>
      </c>
      <c r="O8910" s="17"/>
      <c r="P8910" s="17" t="s">
        <v>42456</v>
      </c>
      <c r="Q8910" s="17"/>
      <c r="R8910" s="25" t="str">
        <f>HYPERLINK("https://ictv.global/taxonomy/taxondetails?taxnode_id=202316037","Alkesdovirus asienecus")</f>
        <v>Alkesdovirus asienecus</v>
      </c>
      <c r="S8910" s="18" t="s">
        <v>30</v>
      </c>
      <c r="T8910" s="18" t="s">
        <v>42457</v>
      </c>
      <c r="U8910" s="18"/>
      <c r="V8910" s="18"/>
      <c r="W8910" s="18" t="s">
        <v>42458</v>
      </c>
      <c r="X8910" s="18" t="s">
        <v>35</v>
      </c>
      <c r="Y8910" s="18" t="s">
        <v>17171</v>
      </c>
      <c r="Z8910" s="18" t="s">
        <v>24637</v>
      </c>
      <c r="AA8910" s="21" t="str">
        <f>HYPERLINK("https://www.ncbi.nlm.nih.gov/nuccore/CASDWV010003375","NCBI Nucleotide")</f>
        <v>NCBI Nucleotide</v>
      </c>
    </row>
    <row r="8911" spans="1:27" x14ac:dyDescent="0.35">
      <c r="A8911">
        <v>1025905</v>
      </c>
      <c r="B8911">
        <v>8236</v>
      </c>
      <c r="C8911">
        <v>1</v>
      </c>
      <c r="D8911" s="17" t="s">
        <v>17166</v>
      </c>
      <c r="E8911" s="17"/>
      <c r="F8911" s="17" t="s">
        <v>17246</v>
      </c>
      <c r="G8911" s="17"/>
      <c r="H8911" s="17" t="s">
        <v>20919</v>
      </c>
      <c r="I8911" s="17"/>
      <c r="J8911" s="17" t="s">
        <v>21313</v>
      </c>
      <c r="K8911" s="17"/>
      <c r="L8911" s="17" t="s">
        <v>21326</v>
      </c>
      <c r="M8911" s="17"/>
      <c r="N8911" s="17" t="s">
        <v>21327</v>
      </c>
      <c r="O8911" s="17"/>
      <c r="P8911" s="17" t="s">
        <v>42456</v>
      </c>
      <c r="Q8911" s="17"/>
      <c r="R8911" s="25" t="str">
        <f>HYPERLINK("https://ictv.global/taxonomy/taxondetails?taxnode_id=202316038","Alkesdovirus edaphadaptatum")</f>
        <v>Alkesdovirus edaphadaptatum</v>
      </c>
      <c r="S8911" s="18" t="s">
        <v>30</v>
      </c>
      <c r="T8911" s="18" t="s">
        <v>42459</v>
      </c>
      <c r="U8911" s="18"/>
      <c r="V8911" s="18"/>
      <c r="W8911" s="18" t="s">
        <v>42460</v>
      </c>
      <c r="X8911" s="18" t="s">
        <v>35</v>
      </c>
      <c r="Y8911" s="18" t="s">
        <v>17171</v>
      </c>
      <c r="Z8911" s="18" t="s">
        <v>24637</v>
      </c>
      <c r="AA8911" s="21" t="str">
        <f>HYPERLINK("https://www.ncbi.nlm.nih.gov/nuccore/CASDWV010002739","NCBI Nucleotide")</f>
        <v>NCBI Nucleotide</v>
      </c>
    </row>
    <row r="8912" spans="1:27" x14ac:dyDescent="0.35">
      <c r="A8912">
        <v>1025906</v>
      </c>
      <c r="B8912">
        <v>8237</v>
      </c>
      <c r="C8912">
        <v>1</v>
      </c>
      <c r="D8912" s="17" t="s">
        <v>17166</v>
      </c>
      <c r="E8912" s="17"/>
      <c r="F8912" s="17" t="s">
        <v>17246</v>
      </c>
      <c r="G8912" s="17"/>
      <c r="H8912" s="17" t="s">
        <v>20919</v>
      </c>
      <c r="I8912" s="17"/>
      <c r="J8912" s="17" t="s">
        <v>21313</v>
      </c>
      <c r="K8912" s="17"/>
      <c r="L8912" s="17" t="s">
        <v>21326</v>
      </c>
      <c r="M8912" s="17"/>
      <c r="N8912" s="17" t="s">
        <v>21327</v>
      </c>
      <c r="O8912" s="17"/>
      <c r="P8912" s="17" t="s">
        <v>42456</v>
      </c>
      <c r="Q8912" s="17"/>
      <c r="R8912" s="25" t="str">
        <f>HYPERLINK("https://ictv.global/taxonomy/taxondetails?taxnode_id=202316039","Alkesdovirus edaphohabitans")</f>
        <v>Alkesdovirus edaphohabitans</v>
      </c>
      <c r="S8912" s="18" t="s">
        <v>30</v>
      </c>
      <c r="T8912" s="18" t="s">
        <v>42461</v>
      </c>
      <c r="U8912" s="18"/>
      <c r="V8912" s="18"/>
      <c r="W8912" s="18" t="s">
        <v>42462</v>
      </c>
      <c r="X8912" s="18" t="s">
        <v>35</v>
      </c>
      <c r="Y8912" s="18" t="s">
        <v>17171</v>
      </c>
      <c r="Z8912" s="18" t="s">
        <v>24637</v>
      </c>
      <c r="AA8912" s="21" t="str">
        <f>HYPERLINK("https://www.ncbi.nlm.nih.gov/nuccore/CASDWV010003276","NCBI Nucleotide")</f>
        <v>NCBI Nucleotide</v>
      </c>
    </row>
    <row r="8913" spans="1:27" x14ac:dyDescent="0.35">
      <c r="A8913">
        <v>1025907</v>
      </c>
      <c r="B8913">
        <v>8238</v>
      </c>
      <c r="C8913">
        <v>1</v>
      </c>
      <c r="D8913" s="17" t="s">
        <v>17166</v>
      </c>
      <c r="E8913" s="17"/>
      <c r="F8913" s="17" t="s">
        <v>17246</v>
      </c>
      <c r="G8913" s="17"/>
      <c r="H8913" s="17" t="s">
        <v>20919</v>
      </c>
      <c r="I8913" s="17"/>
      <c r="J8913" s="17" t="s">
        <v>21313</v>
      </c>
      <c r="K8913" s="17"/>
      <c r="L8913" s="17" t="s">
        <v>21326</v>
      </c>
      <c r="M8913" s="17"/>
      <c r="N8913" s="17" t="s">
        <v>21327</v>
      </c>
      <c r="O8913" s="17"/>
      <c r="P8913" s="17" t="s">
        <v>42456</v>
      </c>
      <c r="Q8913" s="17"/>
      <c r="R8913" s="25" t="str">
        <f>HYPERLINK("https://ictv.global/taxonomy/taxondetails?taxnode_id=202316040","Alkesdovirus limicola")</f>
        <v>Alkesdovirus limicola</v>
      </c>
      <c r="S8913" s="18" t="s">
        <v>30</v>
      </c>
      <c r="T8913" s="18" t="s">
        <v>42463</v>
      </c>
      <c r="U8913" s="18"/>
      <c r="V8913" s="18"/>
      <c r="W8913" s="18" t="s">
        <v>42464</v>
      </c>
      <c r="X8913" s="18" t="s">
        <v>35</v>
      </c>
      <c r="Y8913" s="18" t="s">
        <v>17171</v>
      </c>
      <c r="Z8913" s="18" t="s">
        <v>24637</v>
      </c>
      <c r="AA8913" s="21" t="str">
        <f>HYPERLINK("https://www.ncbi.nlm.nih.gov/nuccore/CASDWV010004554","NCBI Nucleotide")</f>
        <v>NCBI Nucleotide</v>
      </c>
    </row>
    <row r="8914" spans="1:27" x14ac:dyDescent="0.35">
      <c r="A8914">
        <v>1025908</v>
      </c>
      <c r="B8914">
        <v>8239</v>
      </c>
      <c r="C8914">
        <v>1</v>
      </c>
      <c r="D8914" s="17" t="s">
        <v>17166</v>
      </c>
      <c r="E8914" s="17"/>
      <c r="F8914" s="17" t="s">
        <v>17246</v>
      </c>
      <c r="G8914" s="17"/>
      <c r="H8914" s="17" t="s">
        <v>20919</v>
      </c>
      <c r="I8914" s="17"/>
      <c r="J8914" s="17" t="s">
        <v>21313</v>
      </c>
      <c r="K8914" s="17"/>
      <c r="L8914" s="17" t="s">
        <v>21326</v>
      </c>
      <c r="M8914" s="17"/>
      <c r="N8914" s="17" t="s">
        <v>21327</v>
      </c>
      <c r="O8914" s="17"/>
      <c r="P8914" s="17" t="s">
        <v>42456</v>
      </c>
      <c r="Q8914" s="17"/>
      <c r="R8914" s="25" t="str">
        <f>HYPERLINK("https://ictv.global/taxonomy/taxondetails?taxnode_id=202316041","Alkesdovirus pedocola")</f>
        <v>Alkesdovirus pedocola</v>
      </c>
      <c r="S8914" s="18" t="s">
        <v>30</v>
      </c>
      <c r="T8914" s="18" t="s">
        <v>42465</v>
      </c>
      <c r="U8914" s="18"/>
      <c r="V8914" s="18"/>
      <c r="W8914" s="18" t="s">
        <v>42466</v>
      </c>
      <c r="X8914" s="18" t="s">
        <v>35</v>
      </c>
      <c r="Y8914" s="18" t="s">
        <v>17171</v>
      </c>
      <c r="Z8914" s="18" t="s">
        <v>24637</v>
      </c>
      <c r="AA8914" s="21" t="str">
        <f>HYPERLINK("https://www.ncbi.nlm.nih.gov/nuccore/CASDWV010001053","NCBI Nucleotide")</f>
        <v>NCBI Nucleotide</v>
      </c>
    </row>
    <row r="8915" spans="1:27" x14ac:dyDescent="0.35">
      <c r="A8915">
        <v>1009423</v>
      </c>
      <c r="B8915">
        <v>8240</v>
      </c>
      <c r="C8915">
        <v>1</v>
      </c>
      <c r="D8915" s="17" t="s">
        <v>17166</v>
      </c>
      <c r="E8915" s="17"/>
      <c r="F8915" s="17" t="s">
        <v>17246</v>
      </c>
      <c r="G8915" s="17"/>
      <c r="H8915" s="17" t="s">
        <v>20919</v>
      </c>
      <c r="I8915" s="17"/>
      <c r="J8915" s="17" t="s">
        <v>21313</v>
      </c>
      <c r="K8915" s="17"/>
      <c r="L8915" s="17" t="s">
        <v>21326</v>
      </c>
      <c r="M8915" s="17"/>
      <c r="N8915" s="17" t="s">
        <v>21327</v>
      </c>
      <c r="O8915" s="17"/>
      <c r="P8915" s="17" t="s">
        <v>42456</v>
      </c>
      <c r="Q8915" s="17"/>
      <c r="R8915" s="25" t="str">
        <f>HYPERLINK("https://ictv.global/taxonomy/taxondetails?taxnode_id=202310808","Alkesdovirus pelenecus")</f>
        <v>Alkesdovirus pelenecus</v>
      </c>
      <c r="S8915" s="18" t="s">
        <v>30</v>
      </c>
      <c r="T8915" s="18" t="s">
        <v>21505</v>
      </c>
      <c r="U8915" s="18"/>
      <c r="V8915" s="18"/>
      <c r="W8915" s="18" t="s">
        <v>21506</v>
      </c>
      <c r="X8915" s="18" t="s">
        <v>35</v>
      </c>
      <c r="Y8915" s="18" t="s">
        <v>17171</v>
      </c>
      <c r="Z8915" s="18" t="s">
        <v>697</v>
      </c>
      <c r="AA8915" s="21" t="str">
        <f>HYPERLINK("https://www.ncbi.nlm.nih.gov/nuccore/BK014093","NCBI Nucleotide")</f>
        <v>NCBI Nucleotide</v>
      </c>
    </row>
    <row r="8916" spans="1:27" x14ac:dyDescent="0.35">
      <c r="A8916">
        <v>1009425</v>
      </c>
      <c r="B8916">
        <v>8241</v>
      </c>
      <c r="C8916">
        <v>1</v>
      </c>
      <c r="D8916" s="17" t="s">
        <v>17166</v>
      </c>
      <c r="E8916" s="17"/>
      <c r="F8916" s="17" t="s">
        <v>17246</v>
      </c>
      <c r="G8916" s="17"/>
      <c r="H8916" s="17" t="s">
        <v>20919</v>
      </c>
      <c r="I8916" s="17"/>
      <c r="J8916" s="17" t="s">
        <v>21313</v>
      </c>
      <c r="K8916" s="17"/>
      <c r="L8916" s="17" t="s">
        <v>21326</v>
      </c>
      <c r="M8916" s="17"/>
      <c r="N8916" s="17" t="s">
        <v>21327</v>
      </c>
      <c r="O8916" s="17"/>
      <c r="P8916" s="17" t="s">
        <v>42456</v>
      </c>
      <c r="Q8916" s="17"/>
      <c r="R8916" s="25" t="str">
        <f>HYPERLINK("https://ictv.global/taxonomy/taxondetails?taxnode_id=202310812","Alkesdovirus pelohabitans")</f>
        <v>Alkesdovirus pelohabitans</v>
      </c>
      <c r="S8916" s="18" t="s">
        <v>30</v>
      </c>
      <c r="T8916" s="18" t="s">
        <v>21509</v>
      </c>
      <c r="U8916" s="18"/>
      <c r="V8916" s="18"/>
      <c r="W8916" s="18" t="s">
        <v>21510</v>
      </c>
      <c r="X8916" s="18" t="s">
        <v>35</v>
      </c>
      <c r="Y8916" s="18" t="s">
        <v>17171</v>
      </c>
      <c r="Z8916" s="18" t="s">
        <v>697</v>
      </c>
      <c r="AA8916" s="21" t="str">
        <f>HYPERLINK("https://www.ncbi.nlm.nih.gov/nuccore/BK014156","NCBI Nucleotide")</f>
        <v>NCBI Nucleotide</v>
      </c>
    </row>
    <row r="8917" spans="1:27" x14ac:dyDescent="0.35">
      <c r="A8917">
        <v>1009426</v>
      </c>
      <c r="B8917">
        <v>8242</v>
      </c>
      <c r="C8917">
        <v>1</v>
      </c>
      <c r="D8917" s="17" t="s">
        <v>17166</v>
      </c>
      <c r="E8917" s="17"/>
      <c r="F8917" s="17" t="s">
        <v>17246</v>
      </c>
      <c r="G8917" s="17"/>
      <c r="H8917" s="17" t="s">
        <v>20919</v>
      </c>
      <c r="I8917" s="17"/>
      <c r="J8917" s="17" t="s">
        <v>21313</v>
      </c>
      <c r="K8917" s="17"/>
      <c r="L8917" s="17" t="s">
        <v>21326</v>
      </c>
      <c r="M8917" s="17"/>
      <c r="N8917" s="17" t="s">
        <v>21327</v>
      </c>
      <c r="O8917" s="17"/>
      <c r="P8917" s="17" t="s">
        <v>42456</v>
      </c>
      <c r="Q8917" s="17"/>
      <c r="R8917" s="25" t="str">
        <f>HYPERLINK("https://ictv.global/taxonomy/taxondetails?taxnode_id=202310813","Alkesdovirus pelovicinum")</f>
        <v>Alkesdovirus pelovicinum</v>
      </c>
      <c r="S8917" s="18" t="s">
        <v>30</v>
      </c>
      <c r="T8917" s="18" t="s">
        <v>21511</v>
      </c>
      <c r="U8917" s="18"/>
      <c r="V8917" s="18"/>
      <c r="W8917" s="18" t="s">
        <v>21512</v>
      </c>
      <c r="X8917" s="18" t="s">
        <v>35</v>
      </c>
      <c r="Y8917" s="18" t="s">
        <v>17171</v>
      </c>
      <c r="Z8917" s="18" t="s">
        <v>697</v>
      </c>
      <c r="AA8917" s="21" t="str">
        <f>HYPERLINK("https://www.ncbi.nlm.nih.gov/nuccore/BK014185","NCBI Nucleotide")</f>
        <v>NCBI Nucleotide</v>
      </c>
    </row>
    <row r="8918" spans="1:27" x14ac:dyDescent="0.35">
      <c r="A8918">
        <v>1009427</v>
      </c>
      <c r="B8918">
        <v>8243</v>
      </c>
      <c r="C8918">
        <v>1</v>
      </c>
      <c r="D8918" s="17" t="s">
        <v>17166</v>
      </c>
      <c r="E8918" s="17"/>
      <c r="F8918" s="17" t="s">
        <v>17246</v>
      </c>
      <c r="G8918" s="17"/>
      <c r="H8918" s="17" t="s">
        <v>20919</v>
      </c>
      <c r="I8918" s="17"/>
      <c r="J8918" s="17" t="s">
        <v>21313</v>
      </c>
      <c r="K8918" s="17"/>
      <c r="L8918" s="17" t="s">
        <v>21326</v>
      </c>
      <c r="M8918" s="17"/>
      <c r="N8918" s="17" t="s">
        <v>21327</v>
      </c>
      <c r="O8918" s="17"/>
      <c r="P8918" s="17" t="s">
        <v>42456</v>
      </c>
      <c r="Q8918" s="17"/>
      <c r="R8918" s="25" t="str">
        <f>HYPERLINK("https://ictv.global/taxonomy/taxondetails?taxnode_id=202310809","Alkesdovirus tellurivicinum")</f>
        <v>Alkesdovirus tellurivicinum</v>
      </c>
      <c r="S8918" s="18" t="s">
        <v>30</v>
      </c>
      <c r="T8918" s="18" t="s">
        <v>21513</v>
      </c>
      <c r="U8918" s="18"/>
      <c r="V8918" s="18"/>
      <c r="W8918" s="18" t="s">
        <v>21514</v>
      </c>
      <c r="X8918" s="18" t="s">
        <v>35</v>
      </c>
      <c r="Y8918" s="18" t="s">
        <v>17171</v>
      </c>
      <c r="Z8918" s="18" t="s">
        <v>697</v>
      </c>
      <c r="AA8918" s="21" t="str">
        <f>HYPERLINK("https://www.ncbi.nlm.nih.gov/nuccore/BK014002","NCBI Nucleotide")</f>
        <v>NCBI Nucleotide</v>
      </c>
    </row>
    <row r="8919" spans="1:27" x14ac:dyDescent="0.35">
      <c r="A8919">
        <v>1009428</v>
      </c>
      <c r="B8919">
        <v>8244</v>
      </c>
      <c r="C8919">
        <v>1</v>
      </c>
      <c r="D8919" s="17" t="s">
        <v>17166</v>
      </c>
      <c r="E8919" s="17"/>
      <c r="F8919" s="17" t="s">
        <v>17246</v>
      </c>
      <c r="G8919" s="17"/>
      <c r="H8919" s="17" t="s">
        <v>20919</v>
      </c>
      <c r="I8919" s="17"/>
      <c r="J8919" s="17" t="s">
        <v>21313</v>
      </c>
      <c r="K8919" s="17"/>
      <c r="L8919" s="17" t="s">
        <v>21326</v>
      </c>
      <c r="M8919" s="17"/>
      <c r="N8919" s="17" t="s">
        <v>21327</v>
      </c>
      <c r="O8919" s="17"/>
      <c r="P8919" s="17" t="s">
        <v>42456</v>
      </c>
      <c r="Q8919" s="17"/>
      <c r="R8919" s="25" t="str">
        <f>HYPERLINK("https://ictv.global/taxonomy/taxondetails?taxnode_id=202310810","Alkesdovirus tellurivivens")</f>
        <v>Alkesdovirus tellurivivens</v>
      </c>
      <c r="S8919" s="18" t="s">
        <v>30</v>
      </c>
      <c r="T8919" s="18" t="s">
        <v>21515</v>
      </c>
      <c r="U8919" s="18"/>
      <c r="V8919" s="18"/>
      <c r="W8919" s="18" t="s">
        <v>21516</v>
      </c>
      <c r="X8919" s="18" t="s">
        <v>35</v>
      </c>
      <c r="Y8919" s="18" t="s">
        <v>17171</v>
      </c>
      <c r="Z8919" s="18" t="s">
        <v>697</v>
      </c>
      <c r="AA8919" s="21" t="str">
        <f>HYPERLINK("https://www.ncbi.nlm.nih.gov/nuccore/BK013564","NCBI Nucleotide")</f>
        <v>NCBI Nucleotide</v>
      </c>
    </row>
    <row r="8920" spans="1:27" x14ac:dyDescent="0.35">
      <c r="A8920">
        <v>1009429</v>
      </c>
      <c r="B8920">
        <v>8245</v>
      </c>
      <c r="C8920">
        <v>1</v>
      </c>
      <c r="D8920" s="17" t="s">
        <v>17166</v>
      </c>
      <c r="E8920" s="17"/>
      <c r="F8920" s="17" t="s">
        <v>17246</v>
      </c>
      <c r="G8920" s="17"/>
      <c r="H8920" s="17" t="s">
        <v>20919</v>
      </c>
      <c r="I8920" s="17"/>
      <c r="J8920" s="17" t="s">
        <v>21313</v>
      </c>
      <c r="K8920" s="17"/>
      <c r="L8920" s="17" t="s">
        <v>21326</v>
      </c>
      <c r="M8920" s="17"/>
      <c r="N8920" s="17" t="s">
        <v>21327</v>
      </c>
      <c r="O8920" s="17"/>
      <c r="P8920" s="17" t="s">
        <v>42456</v>
      </c>
      <c r="Q8920" s="17"/>
      <c r="R8920" s="25" t="str">
        <f>HYPERLINK("https://ictv.global/taxonomy/taxondetails?taxnode_id=202310814","Alkesdovirus terradaptatum")</f>
        <v>Alkesdovirus terradaptatum</v>
      </c>
      <c r="S8920" s="18" t="s">
        <v>30</v>
      </c>
      <c r="T8920" s="18" t="s">
        <v>21517</v>
      </c>
      <c r="U8920" s="18"/>
      <c r="V8920" s="18"/>
      <c r="W8920" s="18" t="s">
        <v>21518</v>
      </c>
      <c r="X8920" s="18" t="s">
        <v>35</v>
      </c>
      <c r="Y8920" s="18" t="s">
        <v>17171</v>
      </c>
      <c r="Z8920" s="18" t="s">
        <v>697</v>
      </c>
      <c r="AA8920" s="21" t="str">
        <f>HYPERLINK("https://www.ncbi.nlm.nih.gov/nuccore/BK013514","NCBI Nucleotide")</f>
        <v>NCBI Nucleotide</v>
      </c>
    </row>
    <row r="8921" spans="1:27" x14ac:dyDescent="0.35">
      <c r="A8921">
        <v>1009430</v>
      </c>
      <c r="B8921">
        <v>8246</v>
      </c>
      <c r="C8921">
        <v>1</v>
      </c>
      <c r="D8921" s="17" t="s">
        <v>17166</v>
      </c>
      <c r="E8921" s="17"/>
      <c r="F8921" s="17" t="s">
        <v>17246</v>
      </c>
      <c r="G8921" s="17"/>
      <c r="H8921" s="17" t="s">
        <v>20919</v>
      </c>
      <c r="I8921" s="17"/>
      <c r="J8921" s="17" t="s">
        <v>21313</v>
      </c>
      <c r="K8921" s="17"/>
      <c r="L8921" s="17" t="s">
        <v>21326</v>
      </c>
      <c r="M8921" s="17"/>
      <c r="N8921" s="17" t="s">
        <v>21327</v>
      </c>
      <c r="O8921" s="17"/>
      <c r="P8921" s="17" t="s">
        <v>42456</v>
      </c>
      <c r="Q8921" s="17"/>
      <c r="R8921" s="25" t="str">
        <f>HYPERLINK("https://ictv.global/taxonomy/taxondetails?taxnode_id=202310815","Alkesdovirus terricola")</f>
        <v>Alkesdovirus terricola</v>
      </c>
      <c r="S8921" s="18" t="s">
        <v>30</v>
      </c>
      <c r="T8921" s="18" t="s">
        <v>21519</v>
      </c>
      <c r="U8921" s="18"/>
      <c r="V8921" s="18"/>
      <c r="W8921" s="18" t="s">
        <v>21520</v>
      </c>
      <c r="X8921" s="18" t="s">
        <v>35</v>
      </c>
      <c r="Y8921" s="18" t="s">
        <v>17171</v>
      </c>
      <c r="Z8921" s="18" t="s">
        <v>697</v>
      </c>
      <c r="AA8921" s="21" t="str">
        <f>HYPERLINK("https://www.ncbi.nlm.nih.gov/nuccore/BK013526","NCBI Nucleotide")</f>
        <v>NCBI Nucleotide</v>
      </c>
    </row>
    <row r="8922" spans="1:27" x14ac:dyDescent="0.35">
      <c r="A8922">
        <v>1009420</v>
      </c>
      <c r="B8922">
        <v>8247</v>
      </c>
      <c r="C8922">
        <v>1</v>
      </c>
      <c r="D8922" s="17" t="s">
        <v>17166</v>
      </c>
      <c r="E8922" s="17"/>
      <c r="F8922" s="17" t="s">
        <v>17246</v>
      </c>
      <c r="G8922" s="17"/>
      <c r="H8922" s="17" t="s">
        <v>20919</v>
      </c>
      <c r="I8922" s="17"/>
      <c r="J8922" s="17" t="s">
        <v>21313</v>
      </c>
      <c r="K8922" s="17"/>
      <c r="L8922" s="17" t="s">
        <v>21326</v>
      </c>
      <c r="M8922" s="17"/>
      <c r="N8922" s="17" t="s">
        <v>21327</v>
      </c>
      <c r="O8922" s="17"/>
      <c r="P8922" s="17" t="s">
        <v>42467</v>
      </c>
      <c r="Q8922" s="17"/>
      <c r="R8922" s="25" t="str">
        <f>HYPERLINK("https://ictv.global/taxonomy/taxondetails?taxnode_id=202310804","Alvostovirus lutivicinum")</f>
        <v>Alvostovirus lutivicinum</v>
      </c>
      <c r="S8922" s="18" t="s">
        <v>30</v>
      </c>
      <c r="T8922" s="18" t="s">
        <v>21499</v>
      </c>
      <c r="U8922" s="18"/>
      <c r="V8922" s="18"/>
      <c r="W8922" s="18" t="s">
        <v>21500</v>
      </c>
      <c r="X8922" s="18" t="s">
        <v>35</v>
      </c>
      <c r="Y8922" s="18" t="s">
        <v>17171</v>
      </c>
      <c r="Z8922" s="18" t="s">
        <v>697</v>
      </c>
      <c r="AA8922" s="21" t="str">
        <f>HYPERLINK("https://www.ncbi.nlm.nih.gov/nuccore/BK014203","NCBI Nucleotide")</f>
        <v>NCBI Nucleotide</v>
      </c>
    </row>
    <row r="8923" spans="1:27" x14ac:dyDescent="0.35">
      <c r="A8923">
        <v>1009354</v>
      </c>
      <c r="B8923">
        <v>8248</v>
      </c>
      <c r="C8923">
        <v>1</v>
      </c>
      <c r="D8923" s="17" t="s">
        <v>17166</v>
      </c>
      <c r="E8923" s="17"/>
      <c r="F8923" s="17" t="s">
        <v>17246</v>
      </c>
      <c r="G8923" s="17"/>
      <c r="H8923" s="17" t="s">
        <v>20919</v>
      </c>
      <c r="I8923" s="17"/>
      <c r="J8923" s="17" t="s">
        <v>21313</v>
      </c>
      <c r="K8923" s="17"/>
      <c r="L8923" s="17" t="s">
        <v>21326</v>
      </c>
      <c r="M8923" s="17"/>
      <c r="N8923" s="17" t="s">
        <v>21327</v>
      </c>
      <c r="O8923" s="17"/>
      <c r="P8923" s="17" t="s">
        <v>21328</v>
      </c>
      <c r="Q8923" s="17"/>
      <c r="R8923" s="25" t="str">
        <f>HYPERLINK("https://ictv.global/taxonomy/taxondetails?taxnode_id=202310696","Andhevirus chorohabitans")</f>
        <v>Andhevirus chorohabitans</v>
      </c>
      <c r="S8923" s="18" t="s">
        <v>30</v>
      </c>
      <c r="T8923" s="18" t="s">
        <v>21329</v>
      </c>
      <c r="U8923" s="18"/>
      <c r="V8923" s="18"/>
      <c r="W8923" s="18" t="s">
        <v>21330</v>
      </c>
      <c r="X8923" s="18" t="s">
        <v>35</v>
      </c>
      <c r="Y8923" s="18" t="s">
        <v>17171</v>
      </c>
      <c r="Z8923" s="18" t="s">
        <v>697</v>
      </c>
      <c r="AA8923" s="21" t="str">
        <f>HYPERLINK("https://www.ncbi.nlm.nih.gov/nuccore/BK013421","NCBI Nucleotide")</f>
        <v>NCBI Nucleotide</v>
      </c>
    </row>
    <row r="8924" spans="1:27" x14ac:dyDescent="0.35">
      <c r="A8924">
        <v>1009355</v>
      </c>
      <c r="B8924">
        <v>8249</v>
      </c>
      <c r="C8924">
        <v>1</v>
      </c>
      <c r="D8924" s="17" t="s">
        <v>17166</v>
      </c>
      <c r="E8924" s="17"/>
      <c r="F8924" s="17" t="s">
        <v>17246</v>
      </c>
      <c r="G8924" s="17"/>
      <c r="H8924" s="17" t="s">
        <v>20919</v>
      </c>
      <c r="I8924" s="17"/>
      <c r="J8924" s="17" t="s">
        <v>21313</v>
      </c>
      <c r="K8924" s="17"/>
      <c r="L8924" s="17" t="s">
        <v>21326</v>
      </c>
      <c r="M8924" s="17"/>
      <c r="N8924" s="17" t="s">
        <v>21327</v>
      </c>
      <c r="O8924" s="17"/>
      <c r="P8924" s="17" t="s">
        <v>21331</v>
      </c>
      <c r="Q8924" s="17"/>
      <c r="R8924" s="25" t="str">
        <f>HYPERLINK("https://ictv.global/taxonomy/taxondetails?taxnode_id=202310699","Apihcavirus arvenecus")</f>
        <v>Apihcavirus arvenecus</v>
      </c>
      <c r="S8924" s="18" t="s">
        <v>30</v>
      </c>
      <c r="T8924" s="18" t="s">
        <v>21332</v>
      </c>
      <c r="U8924" s="18"/>
      <c r="V8924" s="18"/>
      <c r="W8924" s="18" t="s">
        <v>21333</v>
      </c>
      <c r="X8924" s="18" t="s">
        <v>35</v>
      </c>
      <c r="Y8924" s="18" t="s">
        <v>17171</v>
      </c>
      <c r="Z8924" s="18" t="s">
        <v>697</v>
      </c>
      <c r="AA8924" s="21" t="str">
        <f>HYPERLINK("https://www.ncbi.nlm.nih.gov/nuccore/BK013498","NCBI Nucleotide")</f>
        <v>NCBI Nucleotide</v>
      </c>
    </row>
    <row r="8925" spans="1:27" x14ac:dyDescent="0.35">
      <c r="A8925">
        <v>1009356</v>
      </c>
      <c r="B8925">
        <v>8250</v>
      </c>
      <c r="C8925">
        <v>1</v>
      </c>
      <c r="D8925" s="17" t="s">
        <v>17166</v>
      </c>
      <c r="E8925" s="17"/>
      <c r="F8925" s="17" t="s">
        <v>17246</v>
      </c>
      <c r="G8925" s="17"/>
      <c r="H8925" s="17" t="s">
        <v>20919</v>
      </c>
      <c r="I8925" s="17"/>
      <c r="J8925" s="17" t="s">
        <v>21313</v>
      </c>
      <c r="K8925" s="17"/>
      <c r="L8925" s="17" t="s">
        <v>21326</v>
      </c>
      <c r="M8925" s="17"/>
      <c r="N8925" s="17" t="s">
        <v>21327</v>
      </c>
      <c r="O8925" s="17"/>
      <c r="P8925" s="17" t="s">
        <v>21331</v>
      </c>
      <c r="Q8925" s="17"/>
      <c r="R8925" s="25" t="str">
        <f>HYPERLINK("https://ictv.global/taxonomy/taxondetails?taxnode_id=202310698","Apihcavirus borborovicinum")</f>
        <v>Apihcavirus borborovicinum</v>
      </c>
      <c r="S8925" s="18" t="s">
        <v>30</v>
      </c>
      <c r="T8925" s="18" t="s">
        <v>21334</v>
      </c>
      <c r="U8925" s="18"/>
      <c r="V8925" s="18"/>
      <c r="W8925" s="18" t="s">
        <v>21335</v>
      </c>
      <c r="X8925" s="18" t="s">
        <v>35</v>
      </c>
      <c r="Y8925" s="18" t="s">
        <v>17171</v>
      </c>
      <c r="Z8925" s="18" t="s">
        <v>697</v>
      </c>
      <c r="AA8925" s="21" t="str">
        <f>HYPERLINK("https://www.ncbi.nlm.nih.gov/nuccore/BK014192","NCBI Nucleotide")</f>
        <v>NCBI Nucleotide</v>
      </c>
    </row>
    <row r="8926" spans="1:27" x14ac:dyDescent="0.35">
      <c r="A8926">
        <v>1025923</v>
      </c>
      <c r="B8926">
        <v>8251</v>
      </c>
      <c r="C8926">
        <v>1</v>
      </c>
      <c r="D8926" s="17" t="s">
        <v>17166</v>
      </c>
      <c r="E8926" s="17"/>
      <c r="F8926" s="17" t="s">
        <v>17246</v>
      </c>
      <c r="G8926" s="17"/>
      <c r="H8926" s="17" t="s">
        <v>20919</v>
      </c>
      <c r="I8926" s="17"/>
      <c r="J8926" s="17" t="s">
        <v>21313</v>
      </c>
      <c r="K8926" s="17"/>
      <c r="L8926" s="17" t="s">
        <v>21326</v>
      </c>
      <c r="M8926" s="17"/>
      <c r="N8926" s="17" t="s">
        <v>21327</v>
      </c>
      <c r="O8926" s="17"/>
      <c r="P8926" s="17" t="s">
        <v>21331</v>
      </c>
      <c r="Q8926" s="17"/>
      <c r="R8926" s="25" t="str">
        <f>HYPERLINK("https://ictv.global/taxonomy/taxondetails?taxnode_id=202316042","Apihcavirus limivivens")</f>
        <v>Apihcavirus limivivens</v>
      </c>
      <c r="S8926" s="18" t="s">
        <v>30</v>
      </c>
      <c r="T8926" s="18" t="s">
        <v>42468</v>
      </c>
      <c r="U8926" s="18"/>
      <c r="V8926" s="18"/>
      <c r="W8926" s="18" t="s">
        <v>42469</v>
      </c>
      <c r="X8926" s="18" t="s">
        <v>35</v>
      </c>
      <c r="Y8926" s="18" t="s">
        <v>17171</v>
      </c>
      <c r="Z8926" s="18" t="s">
        <v>24637</v>
      </c>
      <c r="AA8926" s="21" t="str">
        <f>HYPERLINK("https://www.ncbi.nlm.nih.gov/nuccore/CASDWV010004962","NCBI Nucleotide")</f>
        <v>NCBI Nucleotide</v>
      </c>
    </row>
    <row r="8927" spans="1:27" x14ac:dyDescent="0.35">
      <c r="A8927">
        <v>1009437</v>
      </c>
      <c r="B8927">
        <v>8252</v>
      </c>
      <c r="C8927">
        <v>1</v>
      </c>
      <c r="D8927" s="17" t="s">
        <v>17166</v>
      </c>
      <c r="E8927" s="17"/>
      <c r="F8927" s="17" t="s">
        <v>17246</v>
      </c>
      <c r="G8927" s="17"/>
      <c r="H8927" s="17" t="s">
        <v>20919</v>
      </c>
      <c r="I8927" s="17"/>
      <c r="J8927" s="17" t="s">
        <v>21313</v>
      </c>
      <c r="K8927" s="17"/>
      <c r="L8927" s="17" t="s">
        <v>21326</v>
      </c>
      <c r="M8927" s="17"/>
      <c r="N8927" s="17" t="s">
        <v>21327</v>
      </c>
      <c r="O8927" s="17"/>
      <c r="P8927" s="17" t="s">
        <v>21331</v>
      </c>
      <c r="Q8927" s="17"/>
      <c r="R8927" s="25" t="str">
        <f>HYPERLINK("https://ictv.global/taxonomy/taxondetails?taxnode_id=202310828","Apihcavirus neoborborovicinum")</f>
        <v>Apihcavirus neoborborovicinum</v>
      </c>
      <c r="S8927" s="18" t="s">
        <v>30</v>
      </c>
      <c r="T8927" s="18" t="s">
        <v>21536</v>
      </c>
      <c r="U8927" s="18"/>
      <c r="V8927" s="18"/>
      <c r="W8927" s="18" t="s">
        <v>21537</v>
      </c>
      <c r="X8927" s="18" t="s">
        <v>35</v>
      </c>
      <c r="Y8927" s="18" t="s">
        <v>17171</v>
      </c>
      <c r="Z8927" s="18" t="s">
        <v>697</v>
      </c>
      <c r="AA8927" s="21" t="str">
        <f>HYPERLINK("https://www.ncbi.nlm.nih.gov/nuccore/BK013761","NCBI Nucleotide")</f>
        <v>NCBI Nucleotide</v>
      </c>
    </row>
    <row r="8928" spans="1:27" x14ac:dyDescent="0.35">
      <c r="A8928">
        <v>1009357</v>
      </c>
      <c r="B8928">
        <v>8253</v>
      </c>
      <c r="C8928">
        <v>1</v>
      </c>
      <c r="D8928" s="17" t="s">
        <v>17166</v>
      </c>
      <c r="E8928" s="17"/>
      <c r="F8928" s="17" t="s">
        <v>17246</v>
      </c>
      <c r="G8928" s="17"/>
      <c r="H8928" s="17" t="s">
        <v>20919</v>
      </c>
      <c r="I8928" s="17"/>
      <c r="J8928" s="17" t="s">
        <v>21313</v>
      </c>
      <c r="K8928" s="17"/>
      <c r="L8928" s="17" t="s">
        <v>21326</v>
      </c>
      <c r="M8928" s="17"/>
      <c r="N8928" s="17" t="s">
        <v>21327</v>
      </c>
      <c r="O8928" s="17"/>
      <c r="P8928" s="17" t="s">
        <v>21336</v>
      </c>
      <c r="Q8928" s="17"/>
      <c r="R8928" s="25" t="str">
        <f>HYPERLINK("https://ictv.global/taxonomy/taxondetails?taxnode_id=202310701","Arihsbuvirus caenadaptatum")</f>
        <v>Arihsbuvirus caenadaptatum</v>
      </c>
      <c r="S8928" s="18" t="s">
        <v>30</v>
      </c>
      <c r="T8928" s="18" t="s">
        <v>21337</v>
      </c>
      <c r="U8928" s="18"/>
      <c r="V8928" s="18"/>
      <c r="W8928" s="18" t="s">
        <v>21338</v>
      </c>
      <c r="X8928" s="18" t="s">
        <v>35</v>
      </c>
      <c r="Y8928" s="18" t="s">
        <v>17171</v>
      </c>
      <c r="Z8928" s="18" t="s">
        <v>697</v>
      </c>
      <c r="AA8928" s="21" t="str">
        <f>HYPERLINK("https://www.ncbi.nlm.nih.gov/nuccore/BK013713","NCBI Nucleotide")</f>
        <v>NCBI Nucleotide</v>
      </c>
    </row>
    <row r="8929" spans="1:27" x14ac:dyDescent="0.35">
      <c r="A8929">
        <v>1025766</v>
      </c>
      <c r="B8929">
        <v>8254</v>
      </c>
      <c r="C8929">
        <v>1</v>
      </c>
      <c r="D8929" s="17" t="s">
        <v>17166</v>
      </c>
      <c r="E8929" s="17"/>
      <c r="F8929" s="17" t="s">
        <v>17246</v>
      </c>
      <c r="G8929" s="17"/>
      <c r="H8929" s="17" t="s">
        <v>20919</v>
      </c>
      <c r="I8929" s="17"/>
      <c r="J8929" s="17" t="s">
        <v>21313</v>
      </c>
      <c r="K8929" s="17"/>
      <c r="L8929" s="17" t="s">
        <v>21326</v>
      </c>
      <c r="M8929" s="17"/>
      <c r="N8929" s="17" t="s">
        <v>21327</v>
      </c>
      <c r="O8929" s="17"/>
      <c r="P8929" s="17" t="s">
        <v>42470</v>
      </c>
      <c r="Q8929" s="17"/>
      <c r="R8929" s="25" t="str">
        <f>HYPERLINK("https://ictv.global/taxonomy/taxondetails?taxnode_id=202316043","Ashurnovirus faecivicinum")</f>
        <v>Ashurnovirus faecivicinum</v>
      </c>
      <c r="S8929" s="18" t="s">
        <v>30</v>
      </c>
      <c r="T8929" s="18" t="s">
        <v>42471</v>
      </c>
      <c r="U8929" s="18"/>
      <c r="V8929" s="18" t="s">
        <v>42471</v>
      </c>
      <c r="W8929" s="18" t="s">
        <v>42472</v>
      </c>
      <c r="X8929" s="18" t="s">
        <v>35</v>
      </c>
      <c r="Y8929" s="18" t="s">
        <v>17171</v>
      </c>
      <c r="Z8929" s="18" t="s">
        <v>24637</v>
      </c>
      <c r="AA8929" s="21" t="str">
        <f>HYPERLINK("https://www.ncbi.nlm.nih.gov/nuccore/MZ679638","NCBI Nucleotide")</f>
        <v>NCBI Nucleotide</v>
      </c>
    </row>
    <row r="8930" spans="1:27" x14ac:dyDescent="0.35">
      <c r="A8930">
        <v>1025767</v>
      </c>
      <c r="B8930">
        <v>8255</v>
      </c>
      <c r="C8930">
        <v>1</v>
      </c>
      <c r="D8930" s="17" t="s">
        <v>17166</v>
      </c>
      <c r="E8930" s="17"/>
      <c r="F8930" s="17" t="s">
        <v>17246</v>
      </c>
      <c r="G8930" s="17"/>
      <c r="H8930" s="17" t="s">
        <v>20919</v>
      </c>
      <c r="I8930" s="17"/>
      <c r="J8930" s="17" t="s">
        <v>21313</v>
      </c>
      <c r="K8930" s="17"/>
      <c r="L8930" s="17" t="s">
        <v>21326</v>
      </c>
      <c r="M8930" s="17"/>
      <c r="N8930" s="17" t="s">
        <v>21327</v>
      </c>
      <c r="O8930" s="17"/>
      <c r="P8930" s="17" t="s">
        <v>42470</v>
      </c>
      <c r="Q8930" s="17"/>
      <c r="R8930" s="25" t="str">
        <f>HYPERLINK("https://ictv.global/taxonomy/taxondetails?taxnode_id=202316044","Ashurnovirus montisvicinum")</f>
        <v>Ashurnovirus montisvicinum</v>
      </c>
      <c r="S8930" s="18" t="s">
        <v>30</v>
      </c>
      <c r="T8930" s="18" t="s">
        <v>42473</v>
      </c>
      <c r="U8930" s="18"/>
      <c r="V8930" s="18" t="s">
        <v>42473</v>
      </c>
      <c r="W8930" s="18" t="s">
        <v>42474</v>
      </c>
      <c r="X8930" s="18" t="s">
        <v>35</v>
      </c>
      <c r="Y8930" s="18" t="s">
        <v>17171</v>
      </c>
      <c r="Z8930" s="18" t="s">
        <v>24637</v>
      </c>
      <c r="AA8930" s="21" t="str">
        <f>HYPERLINK("https://www.ncbi.nlm.nih.gov/nuccore/MZ679482","NCBI Nucleotide")</f>
        <v>NCBI Nucleotide</v>
      </c>
    </row>
    <row r="8931" spans="1:27" x14ac:dyDescent="0.35">
      <c r="A8931">
        <v>1025768</v>
      </c>
      <c r="B8931">
        <v>8256</v>
      </c>
      <c r="C8931">
        <v>1</v>
      </c>
      <c r="D8931" s="17" t="s">
        <v>17166</v>
      </c>
      <c r="E8931" s="17"/>
      <c r="F8931" s="17" t="s">
        <v>17246</v>
      </c>
      <c r="G8931" s="17"/>
      <c r="H8931" s="17" t="s">
        <v>20919</v>
      </c>
      <c r="I8931" s="17"/>
      <c r="J8931" s="17" t="s">
        <v>21313</v>
      </c>
      <c r="K8931" s="17"/>
      <c r="L8931" s="17" t="s">
        <v>21326</v>
      </c>
      <c r="M8931" s="17"/>
      <c r="N8931" s="17" t="s">
        <v>21327</v>
      </c>
      <c r="O8931" s="17"/>
      <c r="P8931" s="17" t="s">
        <v>42475</v>
      </c>
      <c r="Q8931" s="17"/>
      <c r="R8931" s="25" t="str">
        <f>HYPERLINK("https://ictv.global/taxonomy/taxondetails?taxnode_id=202316045","Astuncavirus faecenecus")</f>
        <v>Astuncavirus faecenecus</v>
      </c>
      <c r="S8931" s="18" t="s">
        <v>30</v>
      </c>
      <c r="T8931" s="18" t="s">
        <v>42476</v>
      </c>
      <c r="U8931" s="18"/>
      <c r="V8931" s="18" t="s">
        <v>42476</v>
      </c>
      <c r="W8931" s="18" t="s">
        <v>42477</v>
      </c>
      <c r="X8931" s="18" t="s">
        <v>35</v>
      </c>
      <c r="Y8931" s="18" t="s">
        <v>17171</v>
      </c>
      <c r="Z8931" s="18" t="s">
        <v>24637</v>
      </c>
      <c r="AA8931" s="21" t="str">
        <f>HYPERLINK("https://www.ncbi.nlm.nih.gov/nuccore/MZ679532","NCBI Nucleotide")</f>
        <v>NCBI Nucleotide</v>
      </c>
    </row>
    <row r="8932" spans="1:27" x14ac:dyDescent="0.35">
      <c r="A8932">
        <v>1025769</v>
      </c>
      <c r="B8932">
        <v>8257</v>
      </c>
      <c r="C8932">
        <v>1</v>
      </c>
      <c r="D8932" s="17" t="s">
        <v>17166</v>
      </c>
      <c r="E8932" s="17"/>
      <c r="F8932" s="17" t="s">
        <v>17246</v>
      </c>
      <c r="G8932" s="17"/>
      <c r="H8932" s="17" t="s">
        <v>20919</v>
      </c>
      <c r="I8932" s="17"/>
      <c r="J8932" s="17" t="s">
        <v>21313</v>
      </c>
      <c r="K8932" s="17"/>
      <c r="L8932" s="17" t="s">
        <v>21326</v>
      </c>
      <c r="M8932" s="17"/>
      <c r="N8932" s="17" t="s">
        <v>21327</v>
      </c>
      <c r="O8932" s="17"/>
      <c r="P8932" s="17" t="s">
        <v>42478</v>
      </c>
      <c r="Q8932" s="17"/>
      <c r="R8932" s="25" t="str">
        <f>HYPERLINK("https://ictv.global/taxonomy/taxondetails?taxnode_id=202316046","Avantavirus faecihabitans")</f>
        <v>Avantavirus faecihabitans</v>
      </c>
      <c r="S8932" s="18" t="s">
        <v>30</v>
      </c>
      <c r="T8932" s="18" t="s">
        <v>42479</v>
      </c>
      <c r="U8932" s="18"/>
      <c r="V8932" s="18" t="s">
        <v>42479</v>
      </c>
      <c r="W8932" s="18" t="s">
        <v>42480</v>
      </c>
      <c r="X8932" s="18" t="s">
        <v>35</v>
      </c>
      <c r="Y8932" s="18" t="s">
        <v>17171</v>
      </c>
      <c r="Z8932" s="18" t="s">
        <v>24637</v>
      </c>
      <c r="AA8932" s="21" t="str">
        <f>HYPERLINK("https://www.ncbi.nlm.nih.gov/nuccore/MZ679585","NCBI Nucleotide")</f>
        <v>NCBI Nucleotide</v>
      </c>
    </row>
    <row r="8933" spans="1:27" x14ac:dyDescent="0.35">
      <c r="A8933">
        <v>1025781</v>
      </c>
      <c r="B8933">
        <v>8258</v>
      </c>
      <c r="C8933">
        <v>1</v>
      </c>
      <c r="D8933" s="17" t="s">
        <v>17166</v>
      </c>
      <c r="E8933" s="17"/>
      <c r="F8933" s="17" t="s">
        <v>17246</v>
      </c>
      <c r="G8933" s="17"/>
      <c r="H8933" s="17" t="s">
        <v>20919</v>
      </c>
      <c r="I8933" s="17"/>
      <c r="J8933" s="17" t="s">
        <v>21313</v>
      </c>
      <c r="K8933" s="17"/>
      <c r="L8933" s="17" t="s">
        <v>21326</v>
      </c>
      <c r="M8933" s="17"/>
      <c r="N8933" s="17" t="s">
        <v>21327</v>
      </c>
      <c r="O8933" s="17"/>
      <c r="P8933" s="17" t="s">
        <v>42481</v>
      </c>
      <c r="Q8933" s="17"/>
      <c r="R8933" s="25" t="str">
        <f>HYPERLINK("https://ictv.global/taxonomy/taxondetails?taxnode_id=202316047","Bahdevirus faecivicinum")</f>
        <v>Bahdevirus faecivicinum</v>
      </c>
      <c r="S8933" s="18" t="s">
        <v>30</v>
      </c>
      <c r="T8933" s="18" t="s">
        <v>42482</v>
      </c>
      <c r="U8933" s="18"/>
      <c r="V8933" s="18" t="s">
        <v>42482</v>
      </c>
      <c r="W8933" s="18" t="s">
        <v>42483</v>
      </c>
      <c r="X8933" s="18" t="s">
        <v>35</v>
      </c>
      <c r="Y8933" s="18" t="s">
        <v>17171</v>
      </c>
      <c r="Z8933" s="18" t="s">
        <v>24637</v>
      </c>
      <c r="AA8933" s="21" t="str">
        <f>HYPERLINK("https://www.ncbi.nlm.nih.gov/nuccore/MZ679696","NCBI Nucleotide")</f>
        <v>NCBI Nucleotide</v>
      </c>
    </row>
    <row r="8934" spans="1:27" x14ac:dyDescent="0.35">
      <c r="A8934">
        <v>1009358</v>
      </c>
      <c r="B8934">
        <v>8259</v>
      </c>
      <c r="C8934">
        <v>1</v>
      </c>
      <c r="D8934" s="17" t="s">
        <v>17166</v>
      </c>
      <c r="E8934" s="17"/>
      <c r="F8934" s="17" t="s">
        <v>17246</v>
      </c>
      <c r="G8934" s="17"/>
      <c r="H8934" s="17" t="s">
        <v>20919</v>
      </c>
      <c r="I8934" s="17"/>
      <c r="J8934" s="17" t="s">
        <v>21313</v>
      </c>
      <c r="K8934" s="17"/>
      <c r="L8934" s="17" t="s">
        <v>21326</v>
      </c>
      <c r="M8934" s="17"/>
      <c r="N8934" s="17" t="s">
        <v>21327</v>
      </c>
      <c r="O8934" s="17"/>
      <c r="P8934" s="17" t="s">
        <v>21339</v>
      </c>
      <c r="Q8934" s="17"/>
      <c r="R8934" s="25" t="str">
        <f>HYPERLINK("https://ictv.global/taxonomy/taxondetails?taxnode_id=202310703","Bahdevuvirus caenivivens")</f>
        <v>Bahdevuvirus caenivivens</v>
      </c>
      <c r="S8934" s="18" t="s">
        <v>30</v>
      </c>
      <c r="T8934" s="18" t="s">
        <v>21340</v>
      </c>
      <c r="U8934" s="18"/>
      <c r="V8934" s="18"/>
      <c r="W8934" s="18" t="s">
        <v>21341</v>
      </c>
      <c r="X8934" s="18" t="s">
        <v>35</v>
      </c>
      <c r="Y8934" s="18" t="s">
        <v>17171</v>
      </c>
      <c r="Z8934" s="18" t="s">
        <v>697</v>
      </c>
      <c r="AA8934" s="21" t="str">
        <f>HYPERLINK("https://www.ncbi.nlm.nih.gov/nuccore/BK013631","NCBI Nucleotide")</f>
        <v>NCBI Nucleotide</v>
      </c>
    </row>
    <row r="8935" spans="1:27" x14ac:dyDescent="0.35">
      <c r="A8935">
        <v>1009359</v>
      </c>
      <c r="B8935">
        <v>8260</v>
      </c>
      <c r="C8935">
        <v>1</v>
      </c>
      <c r="D8935" s="17" t="s">
        <v>17166</v>
      </c>
      <c r="E8935" s="17"/>
      <c r="F8935" s="17" t="s">
        <v>17246</v>
      </c>
      <c r="G8935" s="17"/>
      <c r="H8935" s="17" t="s">
        <v>20919</v>
      </c>
      <c r="I8935" s="17"/>
      <c r="J8935" s="17" t="s">
        <v>21313</v>
      </c>
      <c r="K8935" s="17"/>
      <c r="L8935" s="17" t="s">
        <v>21326</v>
      </c>
      <c r="M8935" s="17"/>
      <c r="N8935" s="17" t="s">
        <v>21327</v>
      </c>
      <c r="O8935" s="17"/>
      <c r="P8935" s="17" t="s">
        <v>21339</v>
      </c>
      <c r="Q8935" s="17"/>
      <c r="R8935" s="25" t="str">
        <f>HYPERLINK("https://ictv.global/taxonomy/taxondetails?taxnode_id=202310704","Bahdevuvirus limadaptatum")</f>
        <v>Bahdevuvirus limadaptatum</v>
      </c>
      <c r="S8935" s="18" t="s">
        <v>30</v>
      </c>
      <c r="T8935" s="18" t="s">
        <v>21342</v>
      </c>
      <c r="U8935" s="18"/>
      <c r="V8935" s="18"/>
      <c r="W8935" s="18" t="s">
        <v>21343</v>
      </c>
      <c r="X8935" s="18" t="s">
        <v>35</v>
      </c>
      <c r="Y8935" s="18" t="s">
        <v>17171</v>
      </c>
      <c r="Z8935" s="18" t="s">
        <v>697</v>
      </c>
      <c r="AA8935" s="21" t="str">
        <f>HYPERLINK("https://www.ncbi.nlm.nih.gov/nuccore/BK014098","NCBI Nucleotide")</f>
        <v>NCBI Nucleotide</v>
      </c>
    </row>
    <row r="8936" spans="1:27" x14ac:dyDescent="0.35">
      <c r="A8936">
        <v>1025782</v>
      </c>
      <c r="B8936">
        <v>8261</v>
      </c>
      <c r="C8936">
        <v>1</v>
      </c>
      <c r="D8936" s="17" t="s">
        <v>17166</v>
      </c>
      <c r="E8936" s="17"/>
      <c r="F8936" s="17" t="s">
        <v>17246</v>
      </c>
      <c r="G8936" s="17"/>
      <c r="H8936" s="17" t="s">
        <v>20919</v>
      </c>
      <c r="I8936" s="17"/>
      <c r="J8936" s="17" t="s">
        <v>21313</v>
      </c>
      <c r="K8936" s="17"/>
      <c r="L8936" s="17" t="s">
        <v>21326</v>
      </c>
      <c r="M8936" s="17"/>
      <c r="N8936" s="17" t="s">
        <v>21327</v>
      </c>
      <c r="O8936" s="17"/>
      <c r="P8936" s="17" t="s">
        <v>42484</v>
      </c>
      <c r="Q8936" s="17"/>
      <c r="R8936" s="25" t="str">
        <f>HYPERLINK("https://ictv.global/taxonomy/taxondetails?taxnode_id=202316048","Bahguvirus faecadaptatum")</f>
        <v>Bahguvirus faecadaptatum</v>
      </c>
      <c r="S8936" s="18" t="s">
        <v>30</v>
      </c>
      <c r="T8936" s="18" t="s">
        <v>42485</v>
      </c>
      <c r="U8936" s="18"/>
      <c r="V8936" s="18" t="s">
        <v>42485</v>
      </c>
      <c r="W8936" s="18" t="s">
        <v>42486</v>
      </c>
      <c r="X8936" s="18" t="s">
        <v>35</v>
      </c>
      <c r="Y8936" s="18" t="s">
        <v>17171</v>
      </c>
      <c r="Z8936" s="18" t="s">
        <v>24637</v>
      </c>
      <c r="AA8936" s="21" t="str">
        <f>HYPERLINK("https://www.ncbi.nlm.nih.gov/nuccore/MZ680334","NCBI Nucleotide")</f>
        <v>NCBI Nucleotide</v>
      </c>
    </row>
    <row r="8937" spans="1:27" x14ac:dyDescent="0.35">
      <c r="A8937">
        <v>1025783</v>
      </c>
      <c r="B8937">
        <v>8262</v>
      </c>
      <c r="C8937">
        <v>1</v>
      </c>
      <c r="D8937" s="17" t="s">
        <v>17166</v>
      </c>
      <c r="E8937" s="17"/>
      <c r="F8937" s="17" t="s">
        <v>17246</v>
      </c>
      <c r="G8937" s="17"/>
      <c r="H8937" s="17" t="s">
        <v>20919</v>
      </c>
      <c r="I8937" s="17"/>
      <c r="J8937" s="17" t="s">
        <v>21313</v>
      </c>
      <c r="K8937" s="17"/>
      <c r="L8937" s="17" t="s">
        <v>21326</v>
      </c>
      <c r="M8937" s="17"/>
      <c r="N8937" s="17" t="s">
        <v>21327</v>
      </c>
      <c r="O8937" s="17"/>
      <c r="P8937" s="17" t="s">
        <v>42484</v>
      </c>
      <c r="Q8937" s="17"/>
      <c r="R8937" s="25" t="str">
        <f>HYPERLINK("https://ictv.global/taxonomy/taxondetails?taxnode_id=202316049","Bahguvirus montisvivens")</f>
        <v>Bahguvirus montisvivens</v>
      </c>
      <c r="S8937" s="18" t="s">
        <v>30</v>
      </c>
      <c r="T8937" s="18" t="s">
        <v>42487</v>
      </c>
      <c r="U8937" s="18"/>
      <c r="V8937" s="18" t="s">
        <v>42487</v>
      </c>
      <c r="W8937" s="18" t="s">
        <v>42488</v>
      </c>
      <c r="X8937" s="18" t="s">
        <v>35</v>
      </c>
      <c r="Y8937" s="18" t="s">
        <v>17171</v>
      </c>
      <c r="Z8937" s="18" t="s">
        <v>24637</v>
      </c>
      <c r="AA8937" s="21" t="str">
        <f>HYPERLINK("https://www.ncbi.nlm.nih.gov/nuccore/MZ679528","NCBI Nucleotide")</f>
        <v>NCBI Nucleotide</v>
      </c>
    </row>
    <row r="8938" spans="1:27" x14ac:dyDescent="0.35">
      <c r="A8938">
        <v>1025791</v>
      </c>
      <c r="B8938">
        <v>8263</v>
      </c>
      <c r="C8938">
        <v>1</v>
      </c>
      <c r="D8938" s="17" t="s">
        <v>17166</v>
      </c>
      <c r="E8938" s="17"/>
      <c r="F8938" s="17" t="s">
        <v>17246</v>
      </c>
      <c r="G8938" s="17"/>
      <c r="H8938" s="17" t="s">
        <v>20919</v>
      </c>
      <c r="I8938" s="17"/>
      <c r="J8938" s="17" t="s">
        <v>21313</v>
      </c>
      <c r="K8938" s="17"/>
      <c r="L8938" s="17" t="s">
        <v>21326</v>
      </c>
      <c r="M8938" s="17"/>
      <c r="N8938" s="17" t="s">
        <v>21327</v>
      </c>
      <c r="O8938" s="17"/>
      <c r="P8938" s="17" t="s">
        <v>42489</v>
      </c>
      <c r="Q8938" s="17"/>
      <c r="R8938" s="25" t="str">
        <f>HYPERLINK("https://ictv.global/taxonomy/taxondetails?taxnode_id=202316050","Balsavirus faecadaptatum")</f>
        <v>Balsavirus faecadaptatum</v>
      </c>
      <c r="S8938" s="18" t="s">
        <v>30</v>
      </c>
      <c r="T8938" s="18" t="s">
        <v>42490</v>
      </c>
      <c r="U8938" s="18"/>
      <c r="V8938" s="18" t="s">
        <v>42490</v>
      </c>
      <c r="W8938" s="18" t="s">
        <v>42491</v>
      </c>
      <c r="X8938" s="18" t="s">
        <v>35</v>
      </c>
      <c r="Y8938" s="18" t="s">
        <v>17171</v>
      </c>
      <c r="Z8938" s="18" t="s">
        <v>24637</v>
      </c>
      <c r="AA8938" s="21" t="str">
        <f>HYPERLINK("https://www.ncbi.nlm.nih.gov/nuccore/MZ679702","NCBI Nucleotide")</f>
        <v>NCBI Nucleotide</v>
      </c>
    </row>
    <row r="8939" spans="1:27" x14ac:dyDescent="0.35">
      <c r="A8939">
        <v>1025777</v>
      </c>
      <c r="B8939">
        <v>8264</v>
      </c>
      <c r="C8939">
        <v>1</v>
      </c>
      <c r="D8939" s="17" t="s">
        <v>17166</v>
      </c>
      <c r="E8939" s="17"/>
      <c r="F8939" s="17" t="s">
        <v>17246</v>
      </c>
      <c r="G8939" s="17"/>
      <c r="H8939" s="17" t="s">
        <v>20919</v>
      </c>
      <c r="I8939" s="17"/>
      <c r="J8939" s="17" t="s">
        <v>21313</v>
      </c>
      <c r="K8939" s="17"/>
      <c r="L8939" s="17" t="s">
        <v>21326</v>
      </c>
      <c r="M8939" s="17"/>
      <c r="N8939" s="17" t="s">
        <v>21327</v>
      </c>
      <c r="O8939" s="17"/>
      <c r="P8939" s="17" t="s">
        <v>42492</v>
      </c>
      <c r="Q8939" s="17"/>
      <c r="R8939" s="25" t="str">
        <f>HYPERLINK("https://ictv.global/taxonomy/taxondetails?taxnode_id=202316051","Barchevirus humivicinum")</f>
        <v>Barchevirus humivicinum</v>
      </c>
      <c r="S8939" s="18" t="s">
        <v>30</v>
      </c>
      <c r="T8939" s="18" t="s">
        <v>42493</v>
      </c>
      <c r="U8939" s="18"/>
      <c r="V8939" s="18"/>
      <c r="W8939" s="18" t="s">
        <v>42494</v>
      </c>
      <c r="X8939" s="18" t="s">
        <v>35</v>
      </c>
      <c r="Y8939" s="18" t="s">
        <v>17171</v>
      </c>
      <c r="Z8939" s="18" t="s">
        <v>24637</v>
      </c>
      <c r="AA8939" s="21" t="str">
        <f>HYPERLINK("https://www.ncbi.nlm.nih.gov/nuccore/CASDWV010002758","NCBI Nucleotide")</f>
        <v>NCBI Nucleotide</v>
      </c>
    </row>
    <row r="8940" spans="1:27" x14ac:dyDescent="0.35">
      <c r="A8940">
        <v>1025778</v>
      </c>
      <c r="B8940">
        <v>8265</v>
      </c>
      <c r="C8940">
        <v>1</v>
      </c>
      <c r="D8940" s="17" t="s">
        <v>17166</v>
      </c>
      <c r="E8940" s="17"/>
      <c r="F8940" s="17" t="s">
        <v>17246</v>
      </c>
      <c r="G8940" s="17"/>
      <c r="H8940" s="17" t="s">
        <v>20919</v>
      </c>
      <c r="I8940" s="17"/>
      <c r="J8940" s="17" t="s">
        <v>21313</v>
      </c>
      <c r="K8940" s="17"/>
      <c r="L8940" s="17" t="s">
        <v>21326</v>
      </c>
      <c r="M8940" s="17"/>
      <c r="N8940" s="17" t="s">
        <v>21327</v>
      </c>
      <c r="O8940" s="17"/>
      <c r="P8940" s="17" t="s">
        <v>42492</v>
      </c>
      <c r="Q8940" s="17"/>
      <c r="R8940" s="25" t="str">
        <f>HYPERLINK("https://ictv.global/taxonomy/taxondetails?taxnode_id=202316052","Barchevirus pontederiivicinum")</f>
        <v>Barchevirus pontederiivicinum</v>
      </c>
      <c r="S8940" s="18" t="s">
        <v>30</v>
      </c>
      <c r="T8940" s="18" t="s">
        <v>42495</v>
      </c>
      <c r="U8940" s="18"/>
      <c r="V8940" s="18" t="s">
        <v>42496</v>
      </c>
      <c r="W8940" s="18" t="s">
        <v>42497</v>
      </c>
      <c r="X8940" s="18" t="s">
        <v>35</v>
      </c>
      <c r="Y8940" s="18" t="s">
        <v>17171</v>
      </c>
      <c r="Z8940" s="18" t="s">
        <v>17336</v>
      </c>
      <c r="AA8940" s="21" t="str">
        <f>HYPERLINK("https://www.ncbi.nlm.nih.gov/nuccore/OM514449","NCBI Nucleotide")</f>
        <v>NCBI Nucleotide</v>
      </c>
    </row>
    <row r="8941" spans="1:27" x14ac:dyDescent="0.35">
      <c r="A8941">
        <v>1025779</v>
      </c>
      <c r="B8941">
        <v>8266</v>
      </c>
      <c r="C8941">
        <v>1</v>
      </c>
      <c r="D8941" s="17" t="s">
        <v>17166</v>
      </c>
      <c r="E8941" s="17"/>
      <c r="F8941" s="17" t="s">
        <v>17246</v>
      </c>
      <c r="G8941" s="17"/>
      <c r="H8941" s="17" t="s">
        <v>20919</v>
      </c>
      <c r="I8941" s="17"/>
      <c r="J8941" s="17" t="s">
        <v>21313</v>
      </c>
      <c r="K8941" s="17"/>
      <c r="L8941" s="17" t="s">
        <v>21326</v>
      </c>
      <c r="M8941" s="17"/>
      <c r="N8941" s="17" t="s">
        <v>21327</v>
      </c>
      <c r="O8941" s="17"/>
      <c r="P8941" s="17" t="s">
        <v>42498</v>
      </c>
      <c r="Q8941" s="17"/>
      <c r="R8941" s="25" t="str">
        <f>HYPERLINK("https://ictv.global/taxonomy/taxondetails?taxnode_id=202316053","Bardovirus agrivicinum")</f>
        <v>Bardovirus agrivicinum</v>
      </c>
      <c r="S8941" s="18" t="s">
        <v>30</v>
      </c>
      <c r="T8941" s="18" t="s">
        <v>42499</v>
      </c>
      <c r="U8941" s="18"/>
      <c r="V8941" s="18"/>
      <c r="W8941" s="18" t="s">
        <v>42500</v>
      </c>
      <c r="X8941" s="18" t="s">
        <v>35</v>
      </c>
      <c r="Y8941" s="18" t="s">
        <v>17171</v>
      </c>
      <c r="Z8941" s="18" t="s">
        <v>24637</v>
      </c>
      <c r="AA8941" s="21" t="str">
        <f>HYPERLINK("https://www.ncbi.nlm.nih.gov/nuccore/CASDWV010001328","NCBI Nucleotide")</f>
        <v>NCBI Nucleotide</v>
      </c>
    </row>
    <row r="8942" spans="1:27" x14ac:dyDescent="0.35">
      <c r="A8942">
        <v>1025784</v>
      </c>
      <c r="B8942">
        <v>8267</v>
      </c>
      <c r="C8942">
        <v>1</v>
      </c>
      <c r="D8942" s="17" t="s">
        <v>17166</v>
      </c>
      <c r="E8942" s="17"/>
      <c r="F8942" s="17" t="s">
        <v>17246</v>
      </c>
      <c r="G8942" s="17"/>
      <c r="H8942" s="17" t="s">
        <v>20919</v>
      </c>
      <c r="I8942" s="17"/>
      <c r="J8942" s="17" t="s">
        <v>21313</v>
      </c>
      <c r="K8942" s="17"/>
      <c r="L8942" s="17" t="s">
        <v>21326</v>
      </c>
      <c r="M8942" s="17"/>
      <c r="N8942" s="17" t="s">
        <v>21327</v>
      </c>
      <c r="O8942" s="17"/>
      <c r="P8942" s="17" t="s">
        <v>42501</v>
      </c>
      <c r="Q8942" s="17"/>
      <c r="R8942" s="25" t="str">
        <f>HYPERLINK("https://ictv.global/taxonomy/taxondetails?taxnode_id=202316054","Bartovirus arvadaptatum")</f>
        <v>Bartovirus arvadaptatum</v>
      </c>
      <c r="S8942" s="18" t="s">
        <v>30</v>
      </c>
      <c r="T8942" s="18" t="s">
        <v>42502</v>
      </c>
      <c r="U8942" s="18"/>
      <c r="V8942" s="18"/>
      <c r="W8942" s="18" t="s">
        <v>42503</v>
      </c>
      <c r="X8942" s="18" t="s">
        <v>35</v>
      </c>
      <c r="Y8942" s="18" t="s">
        <v>17171</v>
      </c>
      <c r="Z8942" s="18" t="s">
        <v>24637</v>
      </c>
      <c r="AA8942" s="21" t="str">
        <f>HYPERLINK("https://www.ncbi.nlm.nih.gov/nuccore/CASDWV010001267","NCBI Nucleotide")</f>
        <v>NCBI Nucleotide</v>
      </c>
    </row>
    <row r="8943" spans="1:27" x14ac:dyDescent="0.35">
      <c r="A8943">
        <v>1025785</v>
      </c>
      <c r="B8943">
        <v>8268</v>
      </c>
      <c r="C8943">
        <v>1</v>
      </c>
      <c r="D8943" s="17" t="s">
        <v>17166</v>
      </c>
      <c r="E8943" s="17"/>
      <c r="F8943" s="17" t="s">
        <v>17246</v>
      </c>
      <c r="G8943" s="17"/>
      <c r="H8943" s="17" t="s">
        <v>20919</v>
      </c>
      <c r="I8943" s="17"/>
      <c r="J8943" s="17" t="s">
        <v>21313</v>
      </c>
      <c r="K8943" s="17"/>
      <c r="L8943" s="17" t="s">
        <v>21326</v>
      </c>
      <c r="M8943" s="17"/>
      <c r="N8943" s="17" t="s">
        <v>21327</v>
      </c>
      <c r="O8943" s="17"/>
      <c r="P8943" s="17" t="s">
        <v>42501</v>
      </c>
      <c r="Q8943" s="17"/>
      <c r="R8943" s="25" t="str">
        <f>HYPERLINK("https://ictv.global/taxonomy/taxondetails?taxnode_id=202316055","Bartovirus caenihabitans")</f>
        <v>Bartovirus caenihabitans</v>
      </c>
      <c r="S8943" s="18" t="s">
        <v>30</v>
      </c>
      <c r="T8943" s="18" t="s">
        <v>42504</v>
      </c>
      <c r="U8943" s="18"/>
      <c r="V8943" s="18"/>
      <c r="W8943" s="18" t="s">
        <v>42505</v>
      </c>
      <c r="X8943" s="18" t="s">
        <v>35</v>
      </c>
      <c r="Y8943" s="18" t="s">
        <v>17171</v>
      </c>
      <c r="Z8943" s="18" t="s">
        <v>24637</v>
      </c>
      <c r="AA8943" s="21" t="str">
        <f>HYPERLINK("https://www.ncbi.nlm.nih.gov/nuccore/CASDWV010001835","NCBI Nucleotide")</f>
        <v>NCBI Nucleotide</v>
      </c>
    </row>
    <row r="8944" spans="1:27" x14ac:dyDescent="0.35">
      <c r="A8944">
        <v>1025786</v>
      </c>
      <c r="B8944">
        <v>8269</v>
      </c>
      <c r="C8944">
        <v>1</v>
      </c>
      <c r="D8944" s="17" t="s">
        <v>17166</v>
      </c>
      <c r="E8944" s="17"/>
      <c r="F8944" s="17" t="s">
        <v>17246</v>
      </c>
      <c r="G8944" s="17"/>
      <c r="H8944" s="17" t="s">
        <v>20919</v>
      </c>
      <c r="I8944" s="17"/>
      <c r="J8944" s="17" t="s">
        <v>21313</v>
      </c>
      <c r="K8944" s="17"/>
      <c r="L8944" s="17" t="s">
        <v>21326</v>
      </c>
      <c r="M8944" s="17"/>
      <c r="N8944" s="17" t="s">
        <v>21327</v>
      </c>
      <c r="O8944" s="17"/>
      <c r="P8944" s="17" t="s">
        <v>42501</v>
      </c>
      <c r="Q8944" s="17"/>
      <c r="R8944" s="25" t="str">
        <f>HYPERLINK("https://ictv.global/taxonomy/taxondetails?taxnode_id=202316056","Bartovirus terradaptatum")</f>
        <v>Bartovirus terradaptatum</v>
      </c>
      <c r="S8944" s="18" t="s">
        <v>30</v>
      </c>
      <c r="T8944" s="18" t="s">
        <v>42506</v>
      </c>
      <c r="U8944" s="18"/>
      <c r="V8944" s="18"/>
      <c r="W8944" s="18" t="s">
        <v>42507</v>
      </c>
      <c r="X8944" s="18" t="s">
        <v>35</v>
      </c>
      <c r="Y8944" s="18" t="s">
        <v>17171</v>
      </c>
      <c r="Z8944" s="18" t="s">
        <v>24637</v>
      </c>
      <c r="AA8944" s="21" t="str">
        <f>HYPERLINK("https://www.ncbi.nlm.nih.gov/nuccore/CASDWV010002572","NCBI Nucleotide")</f>
        <v>NCBI Nucleotide</v>
      </c>
    </row>
    <row r="8945" spans="1:27" x14ac:dyDescent="0.35">
      <c r="A8945">
        <v>1025789</v>
      </c>
      <c r="B8945">
        <v>8270</v>
      </c>
      <c r="C8945">
        <v>1</v>
      </c>
      <c r="D8945" s="17" t="s">
        <v>17166</v>
      </c>
      <c r="E8945" s="17"/>
      <c r="F8945" s="17" t="s">
        <v>17246</v>
      </c>
      <c r="G8945" s="17"/>
      <c r="H8945" s="17" t="s">
        <v>20919</v>
      </c>
      <c r="I8945" s="17"/>
      <c r="J8945" s="17" t="s">
        <v>21313</v>
      </c>
      <c r="K8945" s="17"/>
      <c r="L8945" s="17" t="s">
        <v>21326</v>
      </c>
      <c r="M8945" s="17"/>
      <c r="N8945" s="17" t="s">
        <v>21327</v>
      </c>
      <c r="O8945" s="17"/>
      <c r="P8945" s="17" t="s">
        <v>42508</v>
      </c>
      <c r="Q8945" s="17"/>
      <c r="R8945" s="25" t="str">
        <f>HYPERLINK("https://ictv.global/taxonomy/taxondetails?taxnode_id=202316057","Bascudevirus pedovicinum")</f>
        <v>Bascudevirus pedovicinum</v>
      </c>
      <c r="S8945" s="18" t="s">
        <v>30</v>
      </c>
      <c r="T8945" s="18" t="s">
        <v>42509</v>
      </c>
      <c r="U8945" s="18"/>
      <c r="V8945" s="18"/>
      <c r="W8945" s="18" t="s">
        <v>42510</v>
      </c>
      <c r="X8945" s="18" t="s">
        <v>35</v>
      </c>
      <c r="Y8945" s="18" t="s">
        <v>17171</v>
      </c>
      <c r="Z8945" s="18" t="s">
        <v>24637</v>
      </c>
      <c r="AA8945" s="21" t="str">
        <f>HYPERLINK("https://www.ncbi.nlm.nih.gov/nuccore/CASDWV010004426","NCBI Nucleotide")</f>
        <v>NCBI Nucleotide</v>
      </c>
    </row>
    <row r="8946" spans="1:27" x14ac:dyDescent="0.35">
      <c r="A8946">
        <v>1025790</v>
      </c>
      <c r="B8946">
        <v>8271</v>
      </c>
      <c r="C8946">
        <v>1</v>
      </c>
      <c r="D8946" s="17" t="s">
        <v>17166</v>
      </c>
      <c r="E8946" s="17"/>
      <c r="F8946" s="17" t="s">
        <v>17246</v>
      </c>
      <c r="G8946" s="17"/>
      <c r="H8946" s="17" t="s">
        <v>20919</v>
      </c>
      <c r="I8946" s="17"/>
      <c r="J8946" s="17" t="s">
        <v>21313</v>
      </c>
      <c r="K8946" s="17"/>
      <c r="L8946" s="17" t="s">
        <v>21326</v>
      </c>
      <c r="M8946" s="17"/>
      <c r="N8946" s="17" t="s">
        <v>21327</v>
      </c>
      <c r="O8946" s="17"/>
      <c r="P8946" s="17" t="s">
        <v>42511</v>
      </c>
      <c r="Q8946" s="17"/>
      <c r="R8946" s="25" t="str">
        <f>HYPERLINK("https://ictv.global/taxonomy/taxondetails?taxnode_id=202316058","Batdovirus faecadaptatum")</f>
        <v>Batdovirus faecadaptatum</v>
      </c>
      <c r="S8946" s="18" t="s">
        <v>30</v>
      </c>
      <c r="T8946" s="18" t="s">
        <v>42512</v>
      </c>
      <c r="U8946" s="18"/>
      <c r="V8946" s="18" t="s">
        <v>42512</v>
      </c>
      <c r="W8946" s="18" t="s">
        <v>42513</v>
      </c>
      <c r="X8946" s="18" t="s">
        <v>35</v>
      </c>
      <c r="Y8946" s="18" t="s">
        <v>17171</v>
      </c>
      <c r="Z8946" s="18" t="s">
        <v>24637</v>
      </c>
      <c r="AA8946" s="21" t="str">
        <f>HYPERLINK("https://www.ncbi.nlm.nih.gov/nuccore/MZ679619","NCBI Nucleotide")</f>
        <v>NCBI Nucleotide</v>
      </c>
    </row>
    <row r="8947" spans="1:27" x14ac:dyDescent="0.35">
      <c r="A8947">
        <v>1025792</v>
      </c>
      <c r="B8947">
        <v>8272</v>
      </c>
      <c r="C8947">
        <v>1</v>
      </c>
      <c r="D8947" s="17" t="s">
        <v>17166</v>
      </c>
      <c r="E8947" s="17"/>
      <c r="F8947" s="17" t="s">
        <v>17246</v>
      </c>
      <c r="G8947" s="17"/>
      <c r="H8947" s="17" t="s">
        <v>20919</v>
      </c>
      <c r="I8947" s="17"/>
      <c r="J8947" s="17" t="s">
        <v>21313</v>
      </c>
      <c r="K8947" s="17"/>
      <c r="L8947" s="17" t="s">
        <v>21326</v>
      </c>
      <c r="M8947" s="17"/>
      <c r="N8947" s="17" t="s">
        <v>21327</v>
      </c>
      <c r="O8947" s="17"/>
      <c r="P8947" s="17" t="s">
        <v>42514</v>
      </c>
      <c r="Q8947" s="17"/>
      <c r="R8947" s="25" t="str">
        <f>HYPERLINK("https://ictv.global/taxonomy/taxondetails?taxnode_id=202316059","Beahrlevirus messadaptatum")</f>
        <v>Beahrlevirus messadaptatum</v>
      </c>
      <c r="S8947" s="18" t="s">
        <v>30</v>
      </c>
      <c r="T8947" s="18" t="s">
        <v>42515</v>
      </c>
      <c r="U8947" s="18"/>
      <c r="V8947" s="18"/>
      <c r="W8947" s="18" t="s">
        <v>42516</v>
      </c>
      <c r="X8947" s="18" t="s">
        <v>35</v>
      </c>
      <c r="Y8947" s="18" t="s">
        <v>17171</v>
      </c>
      <c r="Z8947" s="18" t="s">
        <v>24637</v>
      </c>
      <c r="AA8947" s="21" t="str">
        <f>HYPERLINK("https://www.ncbi.nlm.nih.gov/nuccore/CASDWV010004239","NCBI Nucleotide")</f>
        <v>NCBI Nucleotide</v>
      </c>
    </row>
    <row r="8948" spans="1:27" x14ac:dyDescent="0.35">
      <c r="A8948">
        <v>1025794</v>
      </c>
      <c r="B8948">
        <v>8273</v>
      </c>
      <c r="C8948">
        <v>1</v>
      </c>
      <c r="D8948" s="17" t="s">
        <v>17166</v>
      </c>
      <c r="E8948" s="17"/>
      <c r="F8948" s="17" t="s">
        <v>17246</v>
      </c>
      <c r="G8948" s="17"/>
      <c r="H8948" s="17" t="s">
        <v>20919</v>
      </c>
      <c r="I8948" s="17"/>
      <c r="J8948" s="17" t="s">
        <v>21313</v>
      </c>
      <c r="K8948" s="17"/>
      <c r="L8948" s="17" t="s">
        <v>21326</v>
      </c>
      <c r="M8948" s="17"/>
      <c r="N8948" s="17" t="s">
        <v>21327</v>
      </c>
      <c r="O8948" s="17"/>
      <c r="P8948" s="17" t="s">
        <v>42517</v>
      </c>
      <c r="Q8948" s="17"/>
      <c r="R8948" s="25" t="str">
        <f>HYPERLINK("https://ictv.global/taxonomy/taxondetails?taxnode_id=202316060","Behauvirus agradaptatum")</f>
        <v>Behauvirus agradaptatum</v>
      </c>
      <c r="S8948" s="18" t="s">
        <v>30</v>
      </c>
      <c r="T8948" s="18" t="s">
        <v>42518</v>
      </c>
      <c r="U8948" s="18"/>
      <c r="V8948" s="18"/>
      <c r="W8948" s="18" t="s">
        <v>42519</v>
      </c>
      <c r="X8948" s="18" t="s">
        <v>35</v>
      </c>
      <c r="Y8948" s="18" t="s">
        <v>17171</v>
      </c>
      <c r="Z8948" s="18" t="s">
        <v>24637</v>
      </c>
      <c r="AA8948" s="21" t="str">
        <f>HYPERLINK("https://www.ncbi.nlm.nih.gov/nuccore/CASDWV010004337","NCBI Nucleotide")</f>
        <v>NCBI Nucleotide</v>
      </c>
    </row>
    <row r="8949" spans="1:27" x14ac:dyDescent="0.35">
      <c r="A8949">
        <v>1025795</v>
      </c>
      <c r="B8949">
        <v>8274</v>
      </c>
      <c r="C8949">
        <v>1</v>
      </c>
      <c r="D8949" s="17" t="s">
        <v>17166</v>
      </c>
      <c r="E8949" s="17"/>
      <c r="F8949" s="17" t="s">
        <v>17246</v>
      </c>
      <c r="G8949" s="17"/>
      <c r="H8949" s="17" t="s">
        <v>20919</v>
      </c>
      <c r="I8949" s="17"/>
      <c r="J8949" s="17" t="s">
        <v>21313</v>
      </c>
      <c r="K8949" s="17"/>
      <c r="L8949" s="17" t="s">
        <v>21326</v>
      </c>
      <c r="M8949" s="17"/>
      <c r="N8949" s="17" t="s">
        <v>21327</v>
      </c>
      <c r="O8949" s="17"/>
      <c r="P8949" s="17" t="s">
        <v>42520</v>
      </c>
      <c r="Q8949" s="17"/>
      <c r="R8949" s="25" t="str">
        <f>HYPERLINK("https://ictv.global/taxonomy/taxondetails?taxnode_id=202316061","Beheusavirus caenivicinum")</f>
        <v>Beheusavirus caenivicinum</v>
      </c>
      <c r="S8949" s="18" t="s">
        <v>30</v>
      </c>
      <c r="T8949" s="18" t="s">
        <v>42521</v>
      </c>
      <c r="U8949" s="18"/>
      <c r="V8949" s="18"/>
      <c r="W8949" s="18" t="s">
        <v>42522</v>
      </c>
      <c r="X8949" s="18" t="s">
        <v>35</v>
      </c>
      <c r="Y8949" s="18" t="s">
        <v>17171</v>
      </c>
      <c r="Z8949" s="18" t="s">
        <v>24637</v>
      </c>
      <c r="AA8949" s="21" t="str">
        <f>HYPERLINK("https://www.ncbi.nlm.nih.gov/nuccore/CASDWV010003245","NCBI Nucleotide")</f>
        <v>NCBI Nucleotide</v>
      </c>
    </row>
    <row r="8950" spans="1:27" x14ac:dyDescent="0.35">
      <c r="A8950">
        <v>1025796</v>
      </c>
      <c r="B8950">
        <v>8275</v>
      </c>
      <c r="C8950">
        <v>1</v>
      </c>
      <c r="D8950" s="17" t="s">
        <v>17166</v>
      </c>
      <c r="E8950" s="17"/>
      <c r="F8950" s="17" t="s">
        <v>17246</v>
      </c>
      <c r="G8950" s="17"/>
      <c r="H8950" s="17" t="s">
        <v>20919</v>
      </c>
      <c r="I8950" s="17"/>
      <c r="J8950" s="17" t="s">
        <v>21313</v>
      </c>
      <c r="K8950" s="17"/>
      <c r="L8950" s="17" t="s">
        <v>21326</v>
      </c>
      <c r="M8950" s="17"/>
      <c r="N8950" s="17" t="s">
        <v>21327</v>
      </c>
      <c r="O8950" s="17"/>
      <c r="P8950" s="17" t="s">
        <v>42523</v>
      </c>
      <c r="Q8950" s="17"/>
      <c r="R8950" s="25" t="str">
        <f>HYPERLINK("https://ictv.global/taxonomy/taxondetails?taxnode_id=202316062","Behntlevirus humivicinum")</f>
        <v>Behntlevirus humivicinum</v>
      </c>
      <c r="S8950" s="18" t="s">
        <v>30</v>
      </c>
      <c r="T8950" s="18" t="s">
        <v>42524</v>
      </c>
      <c r="U8950" s="18"/>
      <c r="V8950" s="18"/>
      <c r="W8950" s="18" t="s">
        <v>42525</v>
      </c>
      <c r="X8950" s="18" t="s">
        <v>35</v>
      </c>
      <c r="Y8950" s="18" t="s">
        <v>17171</v>
      </c>
      <c r="Z8950" s="18" t="s">
        <v>24637</v>
      </c>
      <c r="AA8950" s="21" t="str">
        <f>HYPERLINK("https://www.ncbi.nlm.nih.gov/nuccore/CASDWV010000960","NCBI Nucleotide")</f>
        <v>NCBI Nucleotide</v>
      </c>
    </row>
    <row r="8951" spans="1:27" x14ac:dyDescent="0.35">
      <c r="A8951">
        <v>1025799</v>
      </c>
      <c r="B8951">
        <v>8276</v>
      </c>
      <c r="C8951">
        <v>1</v>
      </c>
      <c r="D8951" s="17" t="s">
        <v>17166</v>
      </c>
      <c r="E8951" s="17"/>
      <c r="F8951" s="17" t="s">
        <v>17246</v>
      </c>
      <c r="G8951" s="17"/>
      <c r="H8951" s="17" t="s">
        <v>20919</v>
      </c>
      <c r="I8951" s="17"/>
      <c r="J8951" s="17" t="s">
        <v>21313</v>
      </c>
      <c r="K8951" s="17"/>
      <c r="L8951" s="17" t="s">
        <v>21326</v>
      </c>
      <c r="M8951" s="17"/>
      <c r="N8951" s="17" t="s">
        <v>21327</v>
      </c>
      <c r="O8951" s="17"/>
      <c r="P8951" s="17" t="s">
        <v>42526</v>
      </c>
      <c r="Q8951" s="17"/>
      <c r="R8951" s="25" t="str">
        <f>HYPERLINK("https://ictv.global/taxonomy/taxondetails?taxnode_id=202316063","Behrmuvirus caenadaptatum")</f>
        <v>Behrmuvirus caenadaptatum</v>
      </c>
      <c r="S8951" s="18" t="s">
        <v>30</v>
      </c>
      <c r="T8951" s="18" t="s">
        <v>42527</v>
      </c>
      <c r="U8951" s="18"/>
      <c r="V8951" s="18"/>
      <c r="W8951" s="18" t="s">
        <v>42528</v>
      </c>
      <c r="X8951" s="18" t="s">
        <v>35</v>
      </c>
      <c r="Y8951" s="18" t="s">
        <v>17171</v>
      </c>
      <c r="Z8951" s="18" t="s">
        <v>24637</v>
      </c>
      <c r="AA8951" s="21" t="str">
        <f>HYPERLINK("https://www.ncbi.nlm.nih.gov/nuccore/CASDWV010004694","NCBI Nucleotide")</f>
        <v>NCBI Nucleotide</v>
      </c>
    </row>
    <row r="8952" spans="1:27" x14ac:dyDescent="0.35">
      <c r="A8952">
        <v>1025966</v>
      </c>
      <c r="B8952">
        <v>8277</v>
      </c>
      <c r="C8952">
        <v>1</v>
      </c>
      <c r="D8952" s="17" t="s">
        <v>17166</v>
      </c>
      <c r="E8952" s="17"/>
      <c r="F8952" s="17" t="s">
        <v>17246</v>
      </c>
      <c r="G8952" s="17"/>
      <c r="H8952" s="17" t="s">
        <v>20919</v>
      </c>
      <c r="I8952" s="17"/>
      <c r="J8952" s="17" t="s">
        <v>21313</v>
      </c>
      <c r="K8952" s="17"/>
      <c r="L8952" s="17" t="s">
        <v>21326</v>
      </c>
      <c r="M8952" s="17"/>
      <c r="N8952" s="17" t="s">
        <v>21327</v>
      </c>
      <c r="O8952" s="17"/>
      <c r="P8952" s="17" t="s">
        <v>42529</v>
      </c>
      <c r="Q8952" s="17"/>
      <c r="R8952" s="25" t="str">
        <f>HYPERLINK("https://ictv.global/taxonomy/taxondetails?taxnode_id=202316064","Bercswevirus edaphocola")</f>
        <v>Bercswevirus edaphocola</v>
      </c>
      <c r="S8952" s="18" t="s">
        <v>30</v>
      </c>
      <c r="T8952" s="18" t="s">
        <v>42530</v>
      </c>
      <c r="U8952" s="18"/>
      <c r="V8952" s="18"/>
      <c r="W8952" s="18" t="s">
        <v>42531</v>
      </c>
      <c r="X8952" s="18" t="s">
        <v>35</v>
      </c>
      <c r="Y8952" s="18" t="s">
        <v>17171</v>
      </c>
      <c r="Z8952" s="18" t="s">
        <v>24637</v>
      </c>
      <c r="AA8952" s="21" t="str">
        <f>HYPERLINK("https://www.ncbi.nlm.nih.gov/nuccore/CASDWV010000011","NCBI Nucleotide")</f>
        <v>NCBI Nucleotide</v>
      </c>
    </row>
    <row r="8953" spans="1:27" x14ac:dyDescent="0.35">
      <c r="A8953">
        <v>1025802</v>
      </c>
      <c r="B8953">
        <v>8278</v>
      </c>
      <c r="C8953">
        <v>1</v>
      </c>
      <c r="D8953" s="17" t="s">
        <v>17166</v>
      </c>
      <c r="E8953" s="17"/>
      <c r="F8953" s="17" t="s">
        <v>17246</v>
      </c>
      <c r="G8953" s="17"/>
      <c r="H8953" s="17" t="s">
        <v>20919</v>
      </c>
      <c r="I8953" s="17"/>
      <c r="J8953" s="17" t="s">
        <v>21313</v>
      </c>
      <c r="K8953" s="17"/>
      <c r="L8953" s="17" t="s">
        <v>21326</v>
      </c>
      <c r="M8953" s="17"/>
      <c r="N8953" s="17" t="s">
        <v>21327</v>
      </c>
      <c r="O8953" s="17"/>
      <c r="P8953" s="17" t="s">
        <v>42532</v>
      </c>
      <c r="Q8953" s="17"/>
      <c r="R8953" s="25" t="str">
        <f>HYPERLINK("https://ictv.global/taxonomy/taxondetails?taxnode_id=202316065","Bermivirus solicola")</f>
        <v>Bermivirus solicola</v>
      </c>
      <c r="S8953" s="18" t="s">
        <v>30</v>
      </c>
      <c r="T8953" s="18" t="s">
        <v>42533</v>
      </c>
      <c r="U8953" s="18"/>
      <c r="V8953" s="18"/>
      <c r="W8953" s="18" t="s">
        <v>42534</v>
      </c>
      <c r="X8953" s="18" t="s">
        <v>35</v>
      </c>
      <c r="Y8953" s="18" t="s">
        <v>17171</v>
      </c>
      <c r="Z8953" s="18" t="s">
        <v>24637</v>
      </c>
      <c r="AA8953" s="21" t="str">
        <f>HYPERLINK("https://www.ncbi.nlm.nih.gov/nuccore/CASDWV010001417","NCBI Nucleotide")</f>
        <v>NCBI Nucleotide</v>
      </c>
    </row>
    <row r="8954" spans="1:27" x14ac:dyDescent="0.35">
      <c r="A8954">
        <v>1025806</v>
      </c>
      <c r="B8954">
        <v>8279</v>
      </c>
      <c r="C8954">
        <v>1</v>
      </c>
      <c r="D8954" s="17" t="s">
        <v>17166</v>
      </c>
      <c r="E8954" s="17"/>
      <c r="F8954" s="17" t="s">
        <v>17246</v>
      </c>
      <c r="G8954" s="17"/>
      <c r="H8954" s="17" t="s">
        <v>20919</v>
      </c>
      <c r="I8954" s="17"/>
      <c r="J8954" s="17" t="s">
        <v>21313</v>
      </c>
      <c r="K8954" s="17"/>
      <c r="L8954" s="17" t="s">
        <v>21326</v>
      </c>
      <c r="M8954" s="17"/>
      <c r="N8954" s="17" t="s">
        <v>21327</v>
      </c>
      <c r="O8954" s="17"/>
      <c r="P8954" s="17" t="s">
        <v>42535</v>
      </c>
      <c r="Q8954" s="17"/>
      <c r="R8954" s="25" t="str">
        <f>HYPERLINK("https://ictv.global/taxonomy/taxondetails?taxnode_id=202316066","Bexdevirus caenenecus")</f>
        <v>Bexdevirus caenenecus</v>
      </c>
      <c r="S8954" s="18" t="s">
        <v>30</v>
      </c>
      <c r="T8954" s="18" t="s">
        <v>42536</v>
      </c>
      <c r="U8954" s="18"/>
      <c r="V8954" s="18"/>
      <c r="W8954" s="18" t="s">
        <v>42537</v>
      </c>
      <c r="X8954" s="18" t="s">
        <v>35</v>
      </c>
      <c r="Y8954" s="18" t="s">
        <v>17171</v>
      </c>
      <c r="Z8954" s="18" t="s">
        <v>24637</v>
      </c>
      <c r="AA8954" s="21" t="str">
        <f>HYPERLINK("https://www.ncbi.nlm.nih.gov/nuccore/CASDWV010003847","NCBI Nucleotide")</f>
        <v>NCBI Nucleotide</v>
      </c>
    </row>
    <row r="8955" spans="1:27" x14ac:dyDescent="0.35">
      <c r="A8955">
        <v>1025807</v>
      </c>
      <c r="B8955">
        <v>8280</v>
      </c>
      <c r="C8955">
        <v>1</v>
      </c>
      <c r="D8955" s="17" t="s">
        <v>17166</v>
      </c>
      <c r="E8955" s="17"/>
      <c r="F8955" s="17" t="s">
        <v>17246</v>
      </c>
      <c r="G8955" s="17"/>
      <c r="H8955" s="17" t="s">
        <v>20919</v>
      </c>
      <c r="I8955" s="17"/>
      <c r="J8955" s="17" t="s">
        <v>21313</v>
      </c>
      <c r="K8955" s="17"/>
      <c r="L8955" s="17" t="s">
        <v>21326</v>
      </c>
      <c r="M8955" s="17"/>
      <c r="N8955" s="17" t="s">
        <v>21327</v>
      </c>
      <c r="O8955" s="17"/>
      <c r="P8955" s="17" t="s">
        <v>42535</v>
      </c>
      <c r="Q8955" s="17"/>
      <c r="R8955" s="25" t="str">
        <f>HYPERLINK("https://ictv.global/taxonomy/taxondetails?taxnode_id=202316067","Bexdevirus chorocola")</f>
        <v>Bexdevirus chorocola</v>
      </c>
      <c r="S8955" s="18" t="s">
        <v>30</v>
      </c>
      <c r="T8955" s="18" t="s">
        <v>42538</v>
      </c>
      <c r="U8955" s="18"/>
      <c r="V8955" s="18"/>
      <c r="W8955" s="18" t="s">
        <v>42539</v>
      </c>
      <c r="X8955" s="18" t="s">
        <v>35</v>
      </c>
      <c r="Y8955" s="18" t="s">
        <v>17171</v>
      </c>
      <c r="Z8955" s="18" t="s">
        <v>24637</v>
      </c>
      <c r="AA8955" s="21" t="str">
        <f>HYPERLINK("https://www.ncbi.nlm.nih.gov/nuccore/CASDWV010000257","NCBI Nucleotide")</f>
        <v>NCBI Nucleotide</v>
      </c>
    </row>
    <row r="8956" spans="1:27" x14ac:dyDescent="0.35">
      <c r="A8956">
        <v>1025808</v>
      </c>
      <c r="B8956">
        <v>8281</v>
      </c>
      <c r="C8956">
        <v>1</v>
      </c>
      <c r="D8956" s="17" t="s">
        <v>17166</v>
      </c>
      <c r="E8956" s="17"/>
      <c r="F8956" s="17" t="s">
        <v>17246</v>
      </c>
      <c r="G8956" s="17"/>
      <c r="H8956" s="17" t="s">
        <v>20919</v>
      </c>
      <c r="I8956" s="17"/>
      <c r="J8956" s="17" t="s">
        <v>21313</v>
      </c>
      <c r="K8956" s="17"/>
      <c r="L8956" s="17" t="s">
        <v>21326</v>
      </c>
      <c r="M8956" s="17"/>
      <c r="N8956" s="17" t="s">
        <v>21327</v>
      </c>
      <c r="O8956" s="17"/>
      <c r="P8956" s="17" t="s">
        <v>42535</v>
      </c>
      <c r="Q8956" s="17"/>
      <c r="R8956" s="25" t="str">
        <f>HYPERLINK("https://ictv.global/taxonomy/taxondetails?taxnode_id=202316068","Bexdevirus lutivivens")</f>
        <v>Bexdevirus lutivivens</v>
      </c>
      <c r="S8956" s="18" t="s">
        <v>30</v>
      </c>
      <c r="T8956" s="18" t="s">
        <v>42540</v>
      </c>
      <c r="U8956" s="18"/>
      <c r="V8956" s="18"/>
      <c r="W8956" s="18" t="s">
        <v>42541</v>
      </c>
      <c r="X8956" s="18" t="s">
        <v>35</v>
      </c>
      <c r="Y8956" s="18" t="s">
        <v>17171</v>
      </c>
      <c r="Z8956" s="18" t="s">
        <v>24637</v>
      </c>
      <c r="AA8956" s="21" t="str">
        <f>HYPERLINK("https://www.ncbi.nlm.nih.gov/nuccore/CASDWV010000505","NCBI Nucleotide")</f>
        <v>NCBI Nucleotide</v>
      </c>
    </row>
    <row r="8957" spans="1:27" x14ac:dyDescent="0.35">
      <c r="A8957">
        <v>1025809</v>
      </c>
      <c r="B8957">
        <v>8282</v>
      </c>
      <c r="C8957">
        <v>1</v>
      </c>
      <c r="D8957" s="17" t="s">
        <v>17166</v>
      </c>
      <c r="E8957" s="17"/>
      <c r="F8957" s="17" t="s">
        <v>17246</v>
      </c>
      <c r="G8957" s="17"/>
      <c r="H8957" s="17" t="s">
        <v>20919</v>
      </c>
      <c r="I8957" s="17"/>
      <c r="J8957" s="17" t="s">
        <v>21313</v>
      </c>
      <c r="K8957" s="17"/>
      <c r="L8957" s="17" t="s">
        <v>21326</v>
      </c>
      <c r="M8957" s="17"/>
      <c r="N8957" s="17" t="s">
        <v>21327</v>
      </c>
      <c r="O8957" s="17"/>
      <c r="P8957" s="17" t="s">
        <v>42535</v>
      </c>
      <c r="Q8957" s="17"/>
      <c r="R8957" s="25" t="str">
        <f>HYPERLINK("https://ictv.global/taxonomy/taxondetails?taxnode_id=202316069","Bexdevirus messenecus")</f>
        <v>Bexdevirus messenecus</v>
      </c>
      <c r="S8957" s="18" t="s">
        <v>30</v>
      </c>
      <c r="T8957" s="18" t="s">
        <v>42542</v>
      </c>
      <c r="U8957" s="18"/>
      <c r="V8957" s="18"/>
      <c r="W8957" s="18" t="s">
        <v>42543</v>
      </c>
      <c r="X8957" s="18" t="s">
        <v>35</v>
      </c>
      <c r="Y8957" s="18" t="s">
        <v>17171</v>
      </c>
      <c r="Z8957" s="18" t="s">
        <v>24637</v>
      </c>
      <c r="AA8957" s="21" t="str">
        <f>HYPERLINK("https://www.ncbi.nlm.nih.gov/nuccore/CASDWV010001384","NCBI Nucleotide")</f>
        <v>NCBI Nucleotide</v>
      </c>
    </row>
    <row r="8958" spans="1:27" x14ac:dyDescent="0.35">
      <c r="A8958">
        <v>1025810</v>
      </c>
      <c r="B8958">
        <v>8283</v>
      </c>
      <c r="C8958">
        <v>1</v>
      </c>
      <c r="D8958" s="17" t="s">
        <v>17166</v>
      </c>
      <c r="E8958" s="17"/>
      <c r="F8958" s="17" t="s">
        <v>17246</v>
      </c>
      <c r="G8958" s="17"/>
      <c r="H8958" s="17" t="s">
        <v>20919</v>
      </c>
      <c r="I8958" s="17"/>
      <c r="J8958" s="17" t="s">
        <v>21313</v>
      </c>
      <c r="K8958" s="17"/>
      <c r="L8958" s="17" t="s">
        <v>21326</v>
      </c>
      <c r="M8958" s="17"/>
      <c r="N8958" s="17" t="s">
        <v>21327</v>
      </c>
      <c r="O8958" s="17"/>
      <c r="P8958" s="17" t="s">
        <v>42535</v>
      </c>
      <c r="Q8958" s="17"/>
      <c r="R8958" s="25" t="str">
        <f>HYPERLINK("https://ictv.global/taxonomy/taxondetails?taxnode_id=202316070","Bexdevirus messivivens")</f>
        <v>Bexdevirus messivivens</v>
      </c>
      <c r="S8958" s="18" t="s">
        <v>30</v>
      </c>
      <c r="T8958" s="18" t="s">
        <v>42544</v>
      </c>
      <c r="U8958" s="18"/>
      <c r="V8958" s="18"/>
      <c r="W8958" s="18" t="s">
        <v>42545</v>
      </c>
      <c r="X8958" s="18" t="s">
        <v>35</v>
      </c>
      <c r="Y8958" s="18" t="s">
        <v>17171</v>
      </c>
      <c r="Z8958" s="18" t="s">
        <v>24637</v>
      </c>
      <c r="AA8958" s="21" t="str">
        <f>HYPERLINK("https://www.ncbi.nlm.nih.gov/nuccore/CASDWV010000950","NCBI Nucleotide")</f>
        <v>NCBI Nucleotide</v>
      </c>
    </row>
    <row r="8959" spans="1:27" x14ac:dyDescent="0.35">
      <c r="A8959">
        <v>1025811</v>
      </c>
      <c r="B8959">
        <v>8284</v>
      </c>
      <c r="C8959">
        <v>1</v>
      </c>
      <c r="D8959" s="17" t="s">
        <v>17166</v>
      </c>
      <c r="E8959" s="17"/>
      <c r="F8959" s="17" t="s">
        <v>17246</v>
      </c>
      <c r="G8959" s="17"/>
      <c r="H8959" s="17" t="s">
        <v>20919</v>
      </c>
      <c r="I8959" s="17"/>
      <c r="J8959" s="17" t="s">
        <v>21313</v>
      </c>
      <c r="K8959" s="17"/>
      <c r="L8959" s="17" t="s">
        <v>21326</v>
      </c>
      <c r="M8959" s="17"/>
      <c r="N8959" s="17" t="s">
        <v>21327</v>
      </c>
      <c r="O8959" s="17"/>
      <c r="P8959" s="17" t="s">
        <v>42535</v>
      </c>
      <c r="Q8959" s="17"/>
      <c r="R8959" s="25" t="str">
        <f>HYPERLINK("https://ictv.global/taxonomy/taxondetails?taxnode_id=202316071","Bexdevirus pelohabitans")</f>
        <v>Bexdevirus pelohabitans</v>
      </c>
      <c r="S8959" s="18" t="s">
        <v>30</v>
      </c>
      <c r="T8959" s="18" t="s">
        <v>42546</v>
      </c>
      <c r="U8959" s="18"/>
      <c r="V8959" s="18"/>
      <c r="W8959" s="18" t="s">
        <v>42547</v>
      </c>
      <c r="X8959" s="18" t="s">
        <v>35</v>
      </c>
      <c r="Y8959" s="18" t="s">
        <v>17171</v>
      </c>
      <c r="Z8959" s="18" t="s">
        <v>24637</v>
      </c>
      <c r="AA8959" s="21" t="str">
        <f>HYPERLINK("https://www.ncbi.nlm.nih.gov/nuccore/CASDWV010001454","NCBI Nucleotide")</f>
        <v>NCBI Nucleotide</v>
      </c>
    </row>
    <row r="8960" spans="1:27" x14ac:dyDescent="0.35">
      <c r="A8960">
        <v>1025812</v>
      </c>
      <c r="B8960">
        <v>8285</v>
      </c>
      <c r="C8960">
        <v>1</v>
      </c>
      <c r="D8960" s="17" t="s">
        <v>17166</v>
      </c>
      <c r="E8960" s="17"/>
      <c r="F8960" s="17" t="s">
        <v>17246</v>
      </c>
      <c r="G8960" s="17"/>
      <c r="H8960" s="17" t="s">
        <v>20919</v>
      </c>
      <c r="I8960" s="17"/>
      <c r="J8960" s="17" t="s">
        <v>21313</v>
      </c>
      <c r="K8960" s="17"/>
      <c r="L8960" s="17" t="s">
        <v>21326</v>
      </c>
      <c r="M8960" s="17"/>
      <c r="N8960" s="17" t="s">
        <v>21327</v>
      </c>
      <c r="O8960" s="17"/>
      <c r="P8960" s="17" t="s">
        <v>42535</v>
      </c>
      <c r="Q8960" s="17"/>
      <c r="R8960" s="25" t="str">
        <f>HYPERLINK("https://ictv.global/taxonomy/taxondetails?taxnode_id=202316072","Bexdevirus segetenecus")</f>
        <v>Bexdevirus segetenecus</v>
      </c>
      <c r="S8960" s="18" t="s">
        <v>30</v>
      </c>
      <c r="T8960" s="18" t="s">
        <v>42548</v>
      </c>
      <c r="U8960" s="18"/>
      <c r="V8960" s="18"/>
      <c r="W8960" s="18" t="s">
        <v>42549</v>
      </c>
      <c r="X8960" s="18" t="s">
        <v>35</v>
      </c>
      <c r="Y8960" s="18" t="s">
        <v>17171</v>
      </c>
      <c r="Z8960" s="18" t="s">
        <v>24637</v>
      </c>
      <c r="AA8960" s="21" t="str">
        <f>HYPERLINK("https://www.ncbi.nlm.nih.gov/nuccore/CASDWV010002593","NCBI Nucleotide")</f>
        <v>NCBI Nucleotide</v>
      </c>
    </row>
    <row r="8961" spans="1:27" x14ac:dyDescent="0.35">
      <c r="A8961">
        <v>1025813</v>
      </c>
      <c r="B8961">
        <v>8286</v>
      </c>
      <c r="C8961">
        <v>1</v>
      </c>
      <c r="D8961" s="17" t="s">
        <v>17166</v>
      </c>
      <c r="E8961" s="17"/>
      <c r="F8961" s="17" t="s">
        <v>17246</v>
      </c>
      <c r="G8961" s="17"/>
      <c r="H8961" s="17" t="s">
        <v>20919</v>
      </c>
      <c r="I8961" s="17"/>
      <c r="J8961" s="17" t="s">
        <v>21313</v>
      </c>
      <c r="K8961" s="17"/>
      <c r="L8961" s="17" t="s">
        <v>21326</v>
      </c>
      <c r="M8961" s="17"/>
      <c r="N8961" s="17" t="s">
        <v>21327</v>
      </c>
      <c r="O8961" s="17"/>
      <c r="P8961" s="17" t="s">
        <v>42535</v>
      </c>
      <c r="Q8961" s="17"/>
      <c r="R8961" s="25" t="str">
        <f>HYPERLINK("https://ictv.global/taxonomy/taxondetails?taxnode_id=202316073","Bexdevirus telluricola")</f>
        <v>Bexdevirus telluricola</v>
      </c>
      <c r="S8961" s="18" t="s">
        <v>30</v>
      </c>
      <c r="T8961" s="18" t="s">
        <v>42550</v>
      </c>
      <c r="U8961" s="18"/>
      <c r="V8961" s="18"/>
      <c r="W8961" s="18" t="s">
        <v>42551</v>
      </c>
      <c r="X8961" s="18" t="s">
        <v>35</v>
      </c>
      <c r="Y8961" s="18" t="s">
        <v>17171</v>
      </c>
      <c r="Z8961" s="18" t="s">
        <v>24637</v>
      </c>
      <c r="AA8961" s="21" t="str">
        <f>HYPERLINK("https://www.ncbi.nlm.nih.gov/nuccore/CASDWV010004709","NCBI Nucleotide")</f>
        <v>NCBI Nucleotide</v>
      </c>
    </row>
    <row r="8962" spans="1:27" x14ac:dyDescent="0.35">
      <c r="A8962">
        <v>1025814</v>
      </c>
      <c r="B8962">
        <v>8287</v>
      </c>
      <c r="C8962">
        <v>1</v>
      </c>
      <c r="D8962" s="17" t="s">
        <v>17166</v>
      </c>
      <c r="E8962" s="17"/>
      <c r="F8962" s="17" t="s">
        <v>17246</v>
      </c>
      <c r="G8962" s="17"/>
      <c r="H8962" s="17" t="s">
        <v>20919</v>
      </c>
      <c r="I8962" s="17"/>
      <c r="J8962" s="17" t="s">
        <v>21313</v>
      </c>
      <c r="K8962" s="17"/>
      <c r="L8962" s="17" t="s">
        <v>21326</v>
      </c>
      <c r="M8962" s="17"/>
      <c r="N8962" s="17" t="s">
        <v>21327</v>
      </c>
      <c r="O8962" s="17"/>
      <c r="P8962" s="17" t="s">
        <v>42535</v>
      </c>
      <c r="Q8962" s="17"/>
      <c r="R8962" s="25" t="str">
        <f>HYPERLINK("https://ictv.global/taxonomy/taxondetails?taxnode_id=202316074","Bexdevirus terradaptatum")</f>
        <v>Bexdevirus terradaptatum</v>
      </c>
      <c r="S8962" s="18" t="s">
        <v>30</v>
      </c>
      <c r="T8962" s="18" t="s">
        <v>42552</v>
      </c>
      <c r="U8962" s="18"/>
      <c r="V8962" s="18"/>
      <c r="W8962" s="18" t="s">
        <v>42553</v>
      </c>
      <c r="X8962" s="18" t="s">
        <v>35</v>
      </c>
      <c r="Y8962" s="18" t="s">
        <v>17171</v>
      </c>
      <c r="Z8962" s="18" t="s">
        <v>24637</v>
      </c>
      <c r="AA8962" s="21" t="str">
        <f>HYPERLINK("https://www.ncbi.nlm.nih.gov/nuccore/CASDWV010004043","NCBI Nucleotide")</f>
        <v>NCBI Nucleotide</v>
      </c>
    </row>
    <row r="8963" spans="1:27" x14ac:dyDescent="0.35">
      <c r="A8963">
        <v>1025815</v>
      </c>
      <c r="B8963">
        <v>8288</v>
      </c>
      <c r="C8963">
        <v>1</v>
      </c>
      <c r="D8963" s="17" t="s">
        <v>17166</v>
      </c>
      <c r="E8963" s="17"/>
      <c r="F8963" s="17" t="s">
        <v>17246</v>
      </c>
      <c r="G8963" s="17"/>
      <c r="H8963" s="17" t="s">
        <v>20919</v>
      </c>
      <c r="I8963" s="17"/>
      <c r="J8963" s="17" t="s">
        <v>21313</v>
      </c>
      <c r="K8963" s="17"/>
      <c r="L8963" s="17" t="s">
        <v>21326</v>
      </c>
      <c r="M8963" s="17"/>
      <c r="N8963" s="17" t="s">
        <v>21327</v>
      </c>
      <c r="O8963" s="17"/>
      <c r="P8963" s="17" t="s">
        <v>42535</v>
      </c>
      <c r="Q8963" s="17"/>
      <c r="R8963" s="25" t="str">
        <f>HYPERLINK("https://ictv.global/taxonomy/taxondetails?taxnode_id=202316075","Bexdevirus terrihabitans")</f>
        <v>Bexdevirus terrihabitans</v>
      </c>
      <c r="S8963" s="18" t="s">
        <v>30</v>
      </c>
      <c r="T8963" s="18" t="s">
        <v>42554</v>
      </c>
      <c r="U8963" s="18"/>
      <c r="V8963" s="18"/>
      <c r="W8963" s="18" t="s">
        <v>42555</v>
      </c>
      <c r="X8963" s="18" t="s">
        <v>35</v>
      </c>
      <c r="Y8963" s="18" t="s">
        <v>17171</v>
      </c>
      <c r="Z8963" s="18" t="s">
        <v>24637</v>
      </c>
      <c r="AA8963" s="21" t="str">
        <f>HYPERLINK("https://www.ncbi.nlm.nih.gov/nuccore/CASDWV010000563","NCBI Nucleotide")</f>
        <v>NCBI Nucleotide</v>
      </c>
    </row>
    <row r="8964" spans="1:27" x14ac:dyDescent="0.35">
      <c r="A8964">
        <v>1025853</v>
      </c>
      <c r="B8964">
        <v>8289</v>
      </c>
      <c r="C8964">
        <v>1</v>
      </c>
      <c r="D8964" s="17" t="s">
        <v>17166</v>
      </c>
      <c r="E8964" s="17"/>
      <c r="F8964" s="17" t="s">
        <v>17246</v>
      </c>
      <c r="G8964" s="17"/>
      <c r="H8964" s="17" t="s">
        <v>20919</v>
      </c>
      <c r="I8964" s="17"/>
      <c r="J8964" s="17" t="s">
        <v>21313</v>
      </c>
      <c r="K8964" s="17"/>
      <c r="L8964" s="17" t="s">
        <v>21326</v>
      </c>
      <c r="M8964" s="17"/>
      <c r="N8964" s="17" t="s">
        <v>21327</v>
      </c>
      <c r="O8964" s="17"/>
      <c r="P8964" s="17" t="s">
        <v>42556</v>
      </c>
      <c r="Q8964" s="17"/>
      <c r="R8964" s="25" t="str">
        <f>HYPERLINK("https://ictv.global/taxonomy/taxondetails?taxnode_id=202316076","Bidwuvirus asiohabitans")</f>
        <v>Bidwuvirus asiohabitans</v>
      </c>
      <c r="S8964" s="18" t="s">
        <v>30</v>
      </c>
      <c r="T8964" s="18" t="s">
        <v>42557</v>
      </c>
      <c r="U8964" s="18"/>
      <c r="V8964" s="18"/>
      <c r="W8964" s="18" t="s">
        <v>42558</v>
      </c>
      <c r="X8964" s="18" t="s">
        <v>35</v>
      </c>
      <c r="Y8964" s="18" t="s">
        <v>17171</v>
      </c>
      <c r="Z8964" s="18" t="s">
        <v>24637</v>
      </c>
      <c r="AA8964" s="21" t="str">
        <f>HYPERLINK("https://www.ncbi.nlm.nih.gov/nuccore/CASDWV010004591","NCBI Nucleotide")</f>
        <v>NCBI Nucleotide</v>
      </c>
    </row>
    <row r="8965" spans="1:27" x14ac:dyDescent="0.35">
      <c r="A8965">
        <v>1025823</v>
      </c>
      <c r="B8965">
        <v>8290</v>
      </c>
      <c r="C8965">
        <v>1</v>
      </c>
      <c r="D8965" s="17" t="s">
        <v>17166</v>
      </c>
      <c r="E8965" s="17"/>
      <c r="F8965" s="17" t="s">
        <v>17246</v>
      </c>
      <c r="G8965" s="17"/>
      <c r="H8965" s="17" t="s">
        <v>20919</v>
      </c>
      <c r="I8965" s="17"/>
      <c r="J8965" s="17" t="s">
        <v>21313</v>
      </c>
      <c r="K8965" s="17"/>
      <c r="L8965" s="17" t="s">
        <v>21326</v>
      </c>
      <c r="M8965" s="17"/>
      <c r="N8965" s="17" t="s">
        <v>21327</v>
      </c>
      <c r="O8965" s="17"/>
      <c r="P8965" s="17" t="s">
        <v>42559</v>
      </c>
      <c r="Q8965" s="17"/>
      <c r="R8965" s="25" t="str">
        <f>HYPERLINK("https://ictv.global/taxonomy/taxondetails?taxnode_id=202316077","Bihdfovirus chthonadaptatum")</f>
        <v>Bihdfovirus chthonadaptatum</v>
      </c>
      <c r="S8965" s="18" t="s">
        <v>30</v>
      </c>
      <c r="T8965" s="18" t="s">
        <v>42560</v>
      </c>
      <c r="U8965" s="18"/>
      <c r="V8965" s="18"/>
      <c r="W8965" s="18" t="s">
        <v>42561</v>
      </c>
      <c r="X8965" s="18" t="s">
        <v>35</v>
      </c>
      <c r="Y8965" s="18" t="s">
        <v>17171</v>
      </c>
      <c r="Z8965" s="18" t="s">
        <v>24637</v>
      </c>
      <c r="AA8965" s="21" t="str">
        <f>HYPERLINK("https://www.ncbi.nlm.nih.gov/nuccore/CASDWV010001176","NCBI Nucleotide")</f>
        <v>NCBI Nucleotide</v>
      </c>
    </row>
    <row r="8966" spans="1:27" x14ac:dyDescent="0.35">
      <c r="A8966">
        <v>1025824</v>
      </c>
      <c r="B8966">
        <v>8291</v>
      </c>
      <c r="C8966">
        <v>1</v>
      </c>
      <c r="D8966" s="17" t="s">
        <v>17166</v>
      </c>
      <c r="E8966" s="17"/>
      <c r="F8966" s="17" t="s">
        <v>17246</v>
      </c>
      <c r="G8966" s="17"/>
      <c r="H8966" s="17" t="s">
        <v>20919</v>
      </c>
      <c r="I8966" s="17"/>
      <c r="J8966" s="17" t="s">
        <v>21313</v>
      </c>
      <c r="K8966" s="17"/>
      <c r="L8966" s="17" t="s">
        <v>21326</v>
      </c>
      <c r="M8966" s="17"/>
      <c r="N8966" s="17" t="s">
        <v>21327</v>
      </c>
      <c r="O8966" s="17"/>
      <c r="P8966" s="17" t="s">
        <v>42559</v>
      </c>
      <c r="Q8966" s="17"/>
      <c r="R8966" s="25" t="str">
        <f>HYPERLINK("https://ictv.global/taxonomy/taxondetails?taxnode_id=202316078","Bihdfovirus segetenecus")</f>
        <v>Bihdfovirus segetenecus</v>
      </c>
      <c r="S8966" s="18" t="s">
        <v>30</v>
      </c>
      <c r="T8966" s="18" t="s">
        <v>42562</v>
      </c>
      <c r="U8966" s="18"/>
      <c r="V8966" s="18"/>
      <c r="W8966" s="18" t="s">
        <v>42563</v>
      </c>
      <c r="X8966" s="18" t="s">
        <v>35</v>
      </c>
      <c r="Y8966" s="18" t="s">
        <v>17171</v>
      </c>
      <c r="Z8966" s="18" t="s">
        <v>24637</v>
      </c>
      <c r="AA8966" s="21" t="str">
        <f>HYPERLINK("https://www.ncbi.nlm.nih.gov/nuccore/CASDWV010003399","NCBI Nucleotide")</f>
        <v>NCBI Nucleotide</v>
      </c>
    </row>
    <row r="8967" spans="1:27" x14ac:dyDescent="0.35">
      <c r="A8967">
        <v>1025826</v>
      </c>
      <c r="B8967">
        <v>8292</v>
      </c>
      <c r="C8967">
        <v>1</v>
      </c>
      <c r="D8967" s="17" t="s">
        <v>17166</v>
      </c>
      <c r="E8967" s="17"/>
      <c r="F8967" s="17" t="s">
        <v>17246</v>
      </c>
      <c r="G8967" s="17"/>
      <c r="H8967" s="17" t="s">
        <v>20919</v>
      </c>
      <c r="I8967" s="17"/>
      <c r="J8967" s="17" t="s">
        <v>21313</v>
      </c>
      <c r="K8967" s="17"/>
      <c r="L8967" s="17" t="s">
        <v>21326</v>
      </c>
      <c r="M8967" s="17"/>
      <c r="N8967" s="17" t="s">
        <v>21327</v>
      </c>
      <c r="O8967" s="17"/>
      <c r="P8967" s="17" t="s">
        <v>42564</v>
      </c>
      <c r="Q8967" s="17"/>
      <c r="R8967" s="25" t="str">
        <f>HYPERLINK("https://ictv.global/taxonomy/taxondetails?taxnode_id=202316079","Bihshovirus messivivens")</f>
        <v>Bihshovirus messivivens</v>
      </c>
      <c r="S8967" s="18" t="s">
        <v>30</v>
      </c>
      <c r="T8967" s="18" t="s">
        <v>42565</v>
      </c>
      <c r="U8967" s="18"/>
      <c r="V8967" s="18"/>
      <c r="W8967" s="18" t="s">
        <v>42566</v>
      </c>
      <c r="X8967" s="18" t="s">
        <v>35</v>
      </c>
      <c r="Y8967" s="18" t="s">
        <v>17171</v>
      </c>
      <c r="Z8967" s="18" t="s">
        <v>24637</v>
      </c>
      <c r="AA8967" s="21" t="str">
        <f>HYPERLINK("https://www.ncbi.nlm.nih.gov/nuccore/CASDWV010001840","NCBI Nucleotide")</f>
        <v>NCBI Nucleotide</v>
      </c>
    </row>
    <row r="8968" spans="1:27" x14ac:dyDescent="0.35">
      <c r="A8968">
        <v>1025827</v>
      </c>
      <c r="B8968">
        <v>8293</v>
      </c>
      <c r="C8968">
        <v>1</v>
      </c>
      <c r="D8968" s="17" t="s">
        <v>17166</v>
      </c>
      <c r="E8968" s="17"/>
      <c r="F8968" s="17" t="s">
        <v>17246</v>
      </c>
      <c r="G8968" s="17"/>
      <c r="H8968" s="17" t="s">
        <v>20919</v>
      </c>
      <c r="I8968" s="17"/>
      <c r="J8968" s="17" t="s">
        <v>21313</v>
      </c>
      <c r="K8968" s="17"/>
      <c r="L8968" s="17" t="s">
        <v>21326</v>
      </c>
      <c r="M8968" s="17"/>
      <c r="N8968" s="17" t="s">
        <v>21327</v>
      </c>
      <c r="O8968" s="17"/>
      <c r="P8968" s="17" t="s">
        <v>42564</v>
      </c>
      <c r="Q8968" s="17"/>
      <c r="R8968" s="25" t="str">
        <f>HYPERLINK("https://ictv.global/taxonomy/taxondetails?taxnode_id=202316080","Bihshovirus pelovivens")</f>
        <v>Bihshovirus pelovivens</v>
      </c>
      <c r="S8968" s="18" t="s">
        <v>30</v>
      </c>
      <c r="T8968" s="18" t="s">
        <v>42567</v>
      </c>
      <c r="U8968" s="18"/>
      <c r="V8968" s="18"/>
      <c r="W8968" s="18" t="s">
        <v>42568</v>
      </c>
      <c r="X8968" s="18" t="s">
        <v>35</v>
      </c>
      <c r="Y8968" s="18" t="s">
        <v>17171</v>
      </c>
      <c r="Z8968" s="18" t="s">
        <v>24637</v>
      </c>
      <c r="AA8968" s="21" t="str">
        <f>HYPERLINK("https://www.ncbi.nlm.nih.gov/nuccore/CASDWV010004856","NCBI Nucleotide")</f>
        <v>NCBI Nucleotide</v>
      </c>
    </row>
    <row r="8969" spans="1:27" x14ac:dyDescent="0.35">
      <c r="A8969">
        <v>1009360</v>
      </c>
      <c r="B8969">
        <v>8294</v>
      </c>
      <c r="C8969">
        <v>1</v>
      </c>
      <c r="D8969" s="17" t="s">
        <v>17166</v>
      </c>
      <c r="E8969" s="17"/>
      <c r="F8969" s="17" t="s">
        <v>17246</v>
      </c>
      <c r="G8969" s="17"/>
      <c r="H8969" s="17" t="s">
        <v>20919</v>
      </c>
      <c r="I8969" s="17"/>
      <c r="J8969" s="17" t="s">
        <v>21313</v>
      </c>
      <c r="K8969" s="17"/>
      <c r="L8969" s="17" t="s">
        <v>21326</v>
      </c>
      <c r="M8969" s="17"/>
      <c r="N8969" s="17" t="s">
        <v>21327</v>
      </c>
      <c r="O8969" s="17"/>
      <c r="P8969" s="17" t="s">
        <v>21344</v>
      </c>
      <c r="Q8969" s="17"/>
      <c r="R8969" s="25" t="str">
        <f>HYPERLINK("https://ictv.global/taxonomy/taxondetails?taxnode_id=202310706","Bilifuvirus defluviicola")</f>
        <v>Bilifuvirus defluviicola</v>
      </c>
      <c r="S8969" s="18" t="s">
        <v>30</v>
      </c>
      <c r="T8969" s="18" t="s">
        <v>21345</v>
      </c>
      <c r="U8969" s="18"/>
      <c r="V8969" s="18"/>
      <c r="W8969" s="18" t="s">
        <v>21346</v>
      </c>
      <c r="X8969" s="18" t="s">
        <v>35</v>
      </c>
      <c r="Y8969" s="18" t="s">
        <v>17171</v>
      </c>
      <c r="Z8969" s="18" t="s">
        <v>697</v>
      </c>
      <c r="AA8969" s="21" t="str">
        <f>HYPERLINK("https://www.ncbi.nlm.nih.gov/nuccore/BK013375","NCBI Nucleotide")</f>
        <v>NCBI Nucleotide</v>
      </c>
    </row>
    <row r="8970" spans="1:27" x14ac:dyDescent="0.35">
      <c r="A8970">
        <v>1025828</v>
      </c>
      <c r="B8970">
        <v>8295</v>
      </c>
      <c r="C8970">
        <v>1</v>
      </c>
      <c r="D8970" s="17" t="s">
        <v>17166</v>
      </c>
      <c r="E8970" s="17"/>
      <c r="F8970" s="17" t="s">
        <v>17246</v>
      </c>
      <c r="G8970" s="17"/>
      <c r="H8970" s="17" t="s">
        <v>20919</v>
      </c>
      <c r="I8970" s="17"/>
      <c r="J8970" s="17" t="s">
        <v>21313</v>
      </c>
      <c r="K8970" s="17"/>
      <c r="L8970" s="17" t="s">
        <v>21326</v>
      </c>
      <c r="M8970" s="17"/>
      <c r="N8970" s="17" t="s">
        <v>21327</v>
      </c>
      <c r="O8970" s="17"/>
      <c r="P8970" s="17" t="s">
        <v>42569</v>
      </c>
      <c r="Q8970" s="17"/>
      <c r="R8970" s="25" t="str">
        <f>HYPERLINK("https://ictv.global/taxonomy/taxondetails?taxnode_id=202316081","Bilsavirus allofaecicola")</f>
        <v>Bilsavirus allofaecicola</v>
      </c>
      <c r="S8970" s="18" t="s">
        <v>30</v>
      </c>
      <c r="T8970" s="18" t="s">
        <v>42570</v>
      </c>
      <c r="U8970" s="18"/>
      <c r="V8970" s="18" t="s">
        <v>42570</v>
      </c>
      <c r="W8970" s="18" t="s">
        <v>42571</v>
      </c>
      <c r="X8970" s="18" t="s">
        <v>35</v>
      </c>
      <c r="Y8970" s="18" t="s">
        <v>17171</v>
      </c>
      <c r="Z8970" s="18" t="s">
        <v>24637</v>
      </c>
      <c r="AA8970" s="21" t="str">
        <f>HYPERLINK("https://www.ncbi.nlm.nih.gov/nuccore/MZ679752","NCBI Nucleotide")</f>
        <v>NCBI Nucleotide</v>
      </c>
    </row>
    <row r="8971" spans="1:27" x14ac:dyDescent="0.35">
      <c r="A8971">
        <v>1025829</v>
      </c>
      <c r="B8971">
        <v>8296</v>
      </c>
      <c r="C8971">
        <v>1</v>
      </c>
      <c r="D8971" s="17" t="s">
        <v>17166</v>
      </c>
      <c r="E8971" s="17"/>
      <c r="F8971" s="17" t="s">
        <v>17246</v>
      </c>
      <c r="G8971" s="17"/>
      <c r="H8971" s="17" t="s">
        <v>20919</v>
      </c>
      <c r="I8971" s="17"/>
      <c r="J8971" s="17" t="s">
        <v>21313</v>
      </c>
      <c r="K8971" s="17"/>
      <c r="L8971" s="17" t="s">
        <v>21326</v>
      </c>
      <c r="M8971" s="17"/>
      <c r="N8971" s="17" t="s">
        <v>21327</v>
      </c>
      <c r="O8971" s="17"/>
      <c r="P8971" s="17" t="s">
        <v>42569</v>
      </c>
      <c r="Q8971" s="17"/>
      <c r="R8971" s="25" t="str">
        <f>HYPERLINK("https://ictv.global/taxonomy/taxondetails?taxnode_id=202316082","Bilsavirus faecivicinum")</f>
        <v>Bilsavirus faecivicinum</v>
      </c>
      <c r="S8971" s="18" t="s">
        <v>30</v>
      </c>
      <c r="T8971" s="18" t="s">
        <v>42572</v>
      </c>
      <c r="U8971" s="18"/>
      <c r="V8971" s="18" t="s">
        <v>42572</v>
      </c>
      <c r="W8971" s="18" t="s">
        <v>42573</v>
      </c>
      <c r="X8971" s="18" t="s">
        <v>35</v>
      </c>
      <c r="Y8971" s="18" t="s">
        <v>17171</v>
      </c>
      <c r="Z8971" s="18" t="s">
        <v>24637</v>
      </c>
      <c r="AA8971" s="21" t="str">
        <f>HYPERLINK("https://www.ncbi.nlm.nih.gov/nuccore/MZ679786","NCBI Nucleotide")</f>
        <v>NCBI Nucleotide</v>
      </c>
    </row>
    <row r="8972" spans="1:27" x14ac:dyDescent="0.35">
      <c r="A8972">
        <v>1025817</v>
      </c>
      <c r="B8972">
        <v>8297</v>
      </c>
      <c r="C8972">
        <v>1</v>
      </c>
      <c r="D8972" s="17" t="s">
        <v>17166</v>
      </c>
      <c r="E8972" s="17"/>
      <c r="F8972" s="17" t="s">
        <v>17246</v>
      </c>
      <c r="G8972" s="17"/>
      <c r="H8972" s="17" t="s">
        <v>20919</v>
      </c>
      <c r="I8972" s="17"/>
      <c r="J8972" s="17" t="s">
        <v>21313</v>
      </c>
      <c r="K8972" s="17"/>
      <c r="L8972" s="17" t="s">
        <v>21326</v>
      </c>
      <c r="M8972" s="17"/>
      <c r="N8972" s="17" t="s">
        <v>21327</v>
      </c>
      <c r="O8972" s="17"/>
      <c r="P8972" s="17" t="s">
        <v>42574</v>
      </c>
      <c r="Q8972" s="17"/>
      <c r="R8972" s="25" t="str">
        <f>HYPERLINK("https://ictv.global/taxonomy/taxondetails?taxnode_id=202316083","Birdonovirus segetenecus")</f>
        <v>Birdonovirus segetenecus</v>
      </c>
      <c r="S8972" s="18" t="s">
        <v>30</v>
      </c>
      <c r="T8972" s="18" t="s">
        <v>42575</v>
      </c>
      <c r="U8972" s="18"/>
      <c r="V8972" s="18"/>
      <c r="W8972" s="18" t="s">
        <v>42576</v>
      </c>
      <c r="X8972" s="18" t="s">
        <v>35</v>
      </c>
      <c r="Y8972" s="18" t="s">
        <v>17171</v>
      </c>
      <c r="Z8972" s="18" t="s">
        <v>24637</v>
      </c>
      <c r="AA8972" s="21" t="str">
        <f>HYPERLINK("https://www.ncbi.nlm.nih.gov/nuccore/CASDWV010004928","NCBI Nucleotide")</f>
        <v>NCBI Nucleotide</v>
      </c>
    </row>
    <row r="8973" spans="1:27" x14ac:dyDescent="0.35">
      <c r="A8973">
        <v>1025818</v>
      </c>
      <c r="B8973">
        <v>8298</v>
      </c>
      <c r="C8973">
        <v>1</v>
      </c>
      <c r="D8973" s="17" t="s">
        <v>17166</v>
      </c>
      <c r="E8973" s="17"/>
      <c r="F8973" s="17" t="s">
        <v>17246</v>
      </c>
      <c r="G8973" s="17"/>
      <c r="H8973" s="17" t="s">
        <v>20919</v>
      </c>
      <c r="I8973" s="17"/>
      <c r="J8973" s="17" t="s">
        <v>21313</v>
      </c>
      <c r="K8973" s="17"/>
      <c r="L8973" s="17" t="s">
        <v>21326</v>
      </c>
      <c r="M8973" s="17"/>
      <c r="N8973" s="17" t="s">
        <v>21327</v>
      </c>
      <c r="O8973" s="17"/>
      <c r="P8973" s="17" t="s">
        <v>42577</v>
      </c>
      <c r="Q8973" s="17"/>
      <c r="R8973" s="25" t="str">
        <f>HYPERLINK("https://ictv.global/taxonomy/taxondetails?taxnode_id=202316084","Birfovirus dinebrivivens")</f>
        <v>Birfovirus dinebrivivens</v>
      </c>
      <c r="S8973" s="18" t="s">
        <v>30</v>
      </c>
      <c r="T8973" s="18" t="s">
        <v>42578</v>
      </c>
      <c r="U8973" s="18"/>
      <c r="V8973" s="18" t="s">
        <v>42579</v>
      </c>
      <c r="W8973" s="18" t="s">
        <v>42580</v>
      </c>
      <c r="X8973" s="18" t="s">
        <v>35</v>
      </c>
      <c r="Y8973" s="18" t="s">
        <v>17171</v>
      </c>
      <c r="Z8973" s="18" t="s">
        <v>17336</v>
      </c>
      <c r="AA8973" s="21" t="str">
        <f>HYPERLINK("https://www.ncbi.nlm.nih.gov/nuccore/OM514450","NCBI Nucleotide")</f>
        <v>NCBI Nucleotide</v>
      </c>
    </row>
    <row r="8974" spans="1:27" x14ac:dyDescent="0.35">
      <c r="A8974">
        <v>1025819</v>
      </c>
      <c r="B8974">
        <v>8299</v>
      </c>
      <c r="C8974">
        <v>1</v>
      </c>
      <c r="D8974" s="17" t="s">
        <v>17166</v>
      </c>
      <c r="E8974" s="17"/>
      <c r="F8974" s="17" t="s">
        <v>17246</v>
      </c>
      <c r="G8974" s="17"/>
      <c r="H8974" s="17" t="s">
        <v>20919</v>
      </c>
      <c r="I8974" s="17"/>
      <c r="J8974" s="17" t="s">
        <v>21313</v>
      </c>
      <c r="K8974" s="17"/>
      <c r="L8974" s="17" t="s">
        <v>21326</v>
      </c>
      <c r="M8974" s="17"/>
      <c r="N8974" s="17" t="s">
        <v>21327</v>
      </c>
      <c r="O8974" s="17"/>
      <c r="P8974" s="17" t="s">
        <v>42581</v>
      </c>
      <c r="Q8974" s="17"/>
      <c r="R8974" s="25" t="str">
        <f>HYPERLINK("https://ictv.global/taxonomy/taxondetails?taxnode_id=202316085","Birstovirus limivivens")</f>
        <v>Birstovirus limivivens</v>
      </c>
      <c r="S8974" s="18" t="s">
        <v>30</v>
      </c>
      <c r="T8974" s="18" t="s">
        <v>42582</v>
      </c>
      <c r="U8974" s="18"/>
      <c r="V8974" s="18" t="s">
        <v>42582</v>
      </c>
      <c r="W8974" s="18" t="s">
        <v>42583</v>
      </c>
      <c r="X8974" s="18" t="s">
        <v>35</v>
      </c>
      <c r="Y8974" s="18" t="s">
        <v>17171</v>
      </c>
      <c r="Z8974" s="18" t="s">
        <v>24637</v>
      </c>
      <c r="AA8974" s="21" t="str">
        <f>HYPERLINK("https://www.ncbi.nlm.nih.gov/nuccore/ON164096","NCBI Nucleotide")</f>
        <v>NCBI Nucleotide</v>
      </c>
    </row>
    <row r="8975" spans="1:27" x14ac:dyDescent="0.35">
      <c r="A8975">
        <v>1025968</v>
      </c>
      <c r="B8975">
        <v>8300</v>
      </c>
      <c r="C8975">
        <v>1</v>
      </c>
      <c r="D8975" s="17" t="s">
        <v>17166</v>
      </c>
      <c r="E8975" s="17"/>
      <c r="F8975" s="17" t="s">
        <v>17246</v>
      </c>
      <c r="G8975" s="17"/>
      <c r="H8975" s="17" t="s">
        <v>20919</v>
      </c>
      <c r="I8975" s="17"/>
      <c r="J8975" s="17" t="s">
        <v>21313</v>
      </c>
      <c r="K8975" s="17"/>
      <c r="L8975" s="17" t="s">
        <v>21326</v>
      </c>
      <c r="M8975" s="17"/>
      <c r="N8975" s="17" t="s">
        <v>21327</v>
      </c>
      <c r="O8975" s="17"/>
      <c r="P8975" s="17" t="s">
        <v>42584</v>
      </c>
      <c r="Q8975" s="17"/>
      <c r="R8975" s="25" t="str">
        <f>HYPERLINK("https://ictv.global/taxonomy/taxondetails?taxnode_id=202316086","Blictovirus humenecus")</f>
        <v>Blictovirus humenecus</v>
      </c>
      <c r="S8975" s="18" t="s">
        <v>30</v>
      </c>
      <c r="T8975" s="18" t="s">
        <v>42585</v>
      </c>
      <c r="U8975" s="18"/>
      <c r="V8975" s="18"/>
      <c r="W8975" s="18" t="s">
        <v>42586</v>
      </c>
      <c r="X8975" s="18" t="s">
        <v>35</v>
      </c>
      <c r="Y8975" s="18" t="s">
        <v>17171</v>
      </c>
      <c r="Z8975" s="18" t="s">
        <v>24637</v>
      </c>
      <c r="AA8975" s="21" t="str">
        <f>HYPERLINK("https://www.ncbi.nlm.nih.gov/nuccore/CASDWV010002838","NCBI Nucleotide")</f>
        <v>NCBI Nucleotide</v>
      </c>
    </row>
    <row r="8976" spans="1:27" x14ac:dyDescent="0.35">
      <c r="A8976">
        <v>1009361</v>
      </c>
      <c r="B8976">
        <v>8301</v>
      </c>
      <c r="C8976">
        <v>1</v>
      </c>
      <c r="D8976" s="17" t="s">
        <v>17166</v>
      </c>
      <c r="E8976" s="17"/>
      <c r="F8976" s="17" t="s">
        <v>17246</v>
      </c>
      <c r="G8976" s="17"/>
      <c r="H8976" s="17" t="s">
        <v>20919</v>
      </c>
      <c r="I8976" s="17"/>
      <c r="J8976" s="17" t="s">
        <v>21313</v>
      </c>
      <c r="K8976" s="17"/>
      <c r="L8976" s="17" t="s">
        <v>21326</v>
      </c>
      <c r="M8976" s="17"/>
      <c r="N8976" s="17" t="s">
        <v>21327</v>
      </c>
      <c r="O8976" s="17"/>
      <c r="P8976" s="17" t="s">
        <v>21347</v>
      </c>
      <c r="Q8976" s="17"/>
      <c r="R8976" s="25" t="str">
        <f>HYPERLINK("https://ictv.global/taxonomy/taxondetails?taxnode_id=202310708","Blinduvirus asiadaptatum")</f>
        <v>Blinduvirus asiadaptatum</v>
      </c>
      <c r="S8976" s="18" t="s">
        <v>30</v>
      </c>
      <c r="T8976" s="18" t="s">
        <v>21348</v>
      </c>
      <c r="U8976" s="18"/>
      <c r="V8976" s="18"/>
      <c r="W8976" s="18" t="s">
        <v>21349</v>
      </c>
      <c r="X8976" s="18" t="s">
        <v>35</v>
      </c>
      <c r="Y8976" s="18" t="s">
        <v>17171</v>
      </c>
      <c r="Z8976" s="18" t="s">
        <v>697</v>
      </c>
      <c r="AA8976" s="21" t="str">
        <f>HYPERLINK("https://www.ncbi.nlm.nih.gov/nuccore/BK014110","NCBI Nucleotide")</f>
        <v>NCBI Nucleotide</v>
      </c>
    </row>
    <row r="8977" spans="1:27" x14ac:dyDescent="0.35">
      <c r="A8977">
        <v>1025969</v>
      </c>
      <c r="B8977">
        <v>8302</v>
      </c>
      <c r="C8977">
        <v>1</v>
      </c>
      <c r="D8977" s="17" t="s">
        <v>17166</v>
      </c>
      <c r="E8977" s="17"/>
      <c r="F8977" s="17" t="s">
        <v>17246</v>
      </c>
      <c r="G8977" s="17"/>
      <c r="H8977" s="17" t="s">
        <v>20919</v>
      </c>
      <c r="I8977" s="17"/>
      <c r="J8977" s="17" t="s">
        <v>21313</v>
      </c>
      <c r="K8977" s="17"/>
      <c r="L8977" s="17" t="s">
        <v>21326</v>
      </c>
      <c r="M8977" s="17"/>
      <c r="N8977" s="17" t="s">
        <v>21327</v>
      </c>
      <c r="O8977" s="17"/>
      <c r="P8977" s="17" t="s">
        <v>21347</v>
      </c>
      <c r="Q8977" s="17"/>
      <c r="R8977" s="25" t="str">
        <f>HYPERLINK("https://ictv.global/taxonomy/taxondetails?taxnode_id=202316087","Blinduvirus asiocola")</f>
        <v>Blinduvirus asiocola</v>
      </c>
      <c r="S8977" s="18" t="s">
        <v>30</v>
      </c>
      <c r="T8977" s="18" t="s">
        <v>42587</v>
      </c>
      <c r="U8977" s="18"/>
      <c r="V8977" s="18"/>
      <c r="W8977" s="18" t="s">
        <v>42588</v>
      </c>
      <c r="X8977" s="18" t="s">
        <v>35</v>
      </c>
      <c r="Y8977" s="18" t="s">
        <v>17171</v>
      </c>
      <c r="Z8977" s="18" t="s">
        <v>24637</v>
      </c>
      <c r="AA8977" s="21" t="str">
        <f>HYPERLINK("https://www.ncbi.nlm.nih.gov/nuccore/CASDWV010004615","NCBI Nucleotide")</f>
        <v>NCBI Nucleotide</v>
      </c>
    </row>
    <row r="8978" spans="1:27" x14ac:dyDescent="0.35">
      <c r="A8978">
        <v>1025970</v>
      </c>
      <c r="B8978">
        <v>8303</v>
      </c>
      <c r="C8978">
        <v>1</v>
      </c>
      <c r="D8978" s="17" t="s">
        <v>17166</v>
      </c>
      <c r="E8978" s="17"/>
      <c r="F8978" s="17" t="s">
        <v>17246</v>
      </c>
      <c r="G8978" s="17"/>
      <c r="H8978" s="17" t="s">
        <v>20919</v>
      </c>
      <c r="I8978" s="17"/>
      <c r="J8978" s="17" t="s">
        <v>21313</v>
      </c>
      <c r="K8978" s="17"/>
      <c r="L8978" s="17" t="s">
        <v>21326</v>
      </c>
      <c r="M8978" s="17"/>
      <c r="N8978" s="17" t="s">
        <v>21327</v>
      </c>
      <c r="O8978" s="17"/>
      <c r="P8978" s="17" t="s">
        <v>21347</v>
      </c>
      <c r="Q8978" s="17"/>
      <c r="R8978" s="25" t="str">
        <f>HYPERLINK("https://ictv.global/taxonomy/taxondetails?taxnode_id=202316088","Blinduvirus caenivivens")</f>
        <v>Blinduvirus caenivivens</v>
      </c>
      <c r="S8978" s="18" t="s">
        <v>30</v>
      </c>
      <c r="T8978" s="18" t="s">
        <v>42589</v>
      </c>
      <c r="U8978" s="18"/>
      <c r="V8978" s="18"/>
      <c r="W8978" s="18" t="s">
        <v>42590</v>
      </c>
      <c r="X8978" s="18" t="s">
        <v>35</v>
      </c>
      <c r="Y8978" s="18" t="s">
        <v>17171</v>
      </c>
      <c r="Z8978" s="18" t="s">
        <v>24637</v>
      </c>
      <c r="AA8978" s="21" t="str">
        <f>HYPERLINK("https://www.ncbi.nlm.nih.gov/nuccore/CASDWV010002387","NCBI Nucleotide")</f>
        <v>NCBI Nucleotide</v>
      </c>
    </row>
    <row r="8979" spans="1:27" x14ac:dyDescent="0.35">
      <c r="A8979">
        <v>1025971</v>
      </c>
      <c r="B8979">
        <v>8304</v>
      </c>
      <c r="C8979">
        <v>1</v>
      </c>
      <c r="D8979" s="17" t="s">
        <v>17166</v>
      </c>
      <c r="E8979" s="17"/>
      <c r="F8979" s="17" t="s">
        <v>17246</v>
      </c>
      <c r="G8979" s="17"/>
      <c r="H8979" s="17" t="s">
        <v>20919</v>
      </c>
      <c r="I8979" s="17"/>
      <c r="J8979" s="17" t="s">
        <v>21313</v>
      </c>
      <c r="K8979" s="17"/>
      <c r="L8979" s="17" t="s">
        <v>21326</v>
      </c>
      <c r="M8979" s="17"/>
      <c r="N8979" s="17" t="s">
        <v>21327</v>
      </c>
      <c r="O8979" s="17"/>
      <c r="P8979" s="17" t="s">
        <v>21347</v>
      </c>
      <c r="Q8979" s="17"/>
      <c r="R8979" s="25" t="str">
        <f>HYPERLINK("https://ictv.global/taxonomy/taxondetails?taxnode_id=202316089","Blinduvirus chorocola")</f>
        <v>Blinduvirus chorocola</v>
      </c>
      <c r="S8979" s="18" t="s">
        <v>30</v>
      </c>
      <c r="T8979" s="18" t="s">
        <v>42591</v>
      </c>
      <c r="U8979" s="18"/>
      <c r="V8979" s="18"/>
      <c r="W8979" s="18" t="s">
        <v>42592</v>
      </c>
      <c r="X8979" s="18" t="s">
        <v>35</v>
      </c>
      <c r="Y8979" s="18" t="s">
        <v>17171</v>
      </c>
      <c r="Z8979" s="18" t="s">
        <v>24637</v>
      </c>
      <c r="AA8979" s="21" t="str">
        <f>HYPERLINK("https://www.ncbi.nlm.nih.gov/nuccore/CASDWV010004095","NCBI Nucleotide")</f>
        <v>NCBI Nucleotide</v>
      </c>
    </row>
    <row r="8980" spans="1:27" x14ac:dyDescent="0.35">
      <c r="A8980">
        <v>1025972</v>
      </c>
      <c r="B8980">
        <v>8305</v>
      </c>
      <c r="C8980">
        <v>1</v>
      </c>
      <c r="D8980" s="17" t="s">
        <v>17166</v>
      </c>
      <c r="E8980" s="17"/>
      <c r="F8980" s="17" t="s">
        <v>17246</v>
      </c>
      <c r="G8980" s="17"/>
      <c r="H8980" s="17" t="s">
        <v>20919</v>
      </c>
      <c r="I8980" s="17"/>
      <c r="J8980" s="17" t="s">
        <v>21313</v>
      </c>
      <c r="K8980" s="17"/>
      <c r="L8980" s="17" t="s">
        <v>21326</v>
      </c>
      <c r="M8980" s="17"/>
      <c r="N8980" s="17" t="s">
        <v>21327</v>
      </c>
      <c r="O8980" s="17"/>
      <c r="P8980" s="17" t="s">
        <v>21347</v>
      </c>
      <c r="Q8980" s="17"/>
      <c r="R8980" s="25" t="str">
        <f>HYPERLINK("https://ictv.global/taxonomy/taxondetails?taxnode_id=202316090","Blinduvirus chorohabitans")</f>
        <v>Blinduvirus chorohabitans</v>
      </c>
      <c r="S8980" s="18" t="s">
        <v>30</v>
      </c>
      <c r="T8980" s="18" t="s">
        <v>42593</v>
      </c>
      <c r="U8980" s="18"/>
      <c r="V8980" s="18"/>
      <c r="W8980" s="18" t="s">
        <v>42594</v>
      </c>
      <c r="X8980" s="18" t="s">
        <v>35</v>
      </c>
      <c r="Y8980" s="18" t="s">
        <v>17171</v>
      </c>
      <c r="Z8980" s="18" t="s">
        <v>24637</v>
      </c>
      <c r="AA8980" s="21" t="str">
        <f>HYPERLINK("https://www.ncbi.nlm.nih.gov/nuccore/CASDWV010001833","NCBI Nucleotide")</f>
        <v>NCBI Nucleotide</v>
      </c>
    </row>
    <row r="8981" spans="1:27" x14ac:dyDescent="0.35">
      <c r="A8981">
        <v>1025973</v>
      </c>
      <c r="B8981">
        <v>8306</v>
      </c>
      <c r="C8981">
        <v>1</v>
      </c>
      <c r="D8981" s="17" t="s">
        <v>17166</v>
      </c>
      <c r="E8981" s="17"/>
      <c r="F8981" s="17" t="s">
        <v>17246</v>
      </c>
      <c r="G8981" s="17"/>
      <c r="H8981" s="17" t="s">
        <v>20919</v>
      </c>
      <c r="I8981" s="17"/>
      <c r="J8981" s="17" t="s">
        <v>21313</v>
      </c>
      <c r="K8981" s="17"/>
      <c r="L8981" s="17" t="s">
        <v>21326</v>
      </c>
      <c r="M8981" s="17"/>
      <c r="N8981" s="17" t="s">
        <v>21327</v>
      </c>
      <c r="O8981" s="17"/>
      <c r="P8981" s="17" t="s">
        <v>21347</v>
      </c>
      <c r="Q8981" s="17"/>
      <c r="R8981" s="25" t="str">
        <f>HYPERLINK("https://ictv.global/taxonomy/taxondetails?taxnode_id=202316091","Blinduvirus chorovivens")</f>
        <v>Blinduvirus chorovivens</v>
      </c>
      <c r="S8981" s="18" t="s">
        <v>30</v>
      </c>
      <c r="T8981" s="18" t="s">
        <v>42595</v>
      </c>
      <c r="U8981" s="18"/>
      <c r="V8981" s="18"/>
      <c r="W8981" s="18" t="s">
        <v>42596</v>
      </c>
      <c r="X8981" s="18" t="s">
        <v>35</v>
      </c>
      <c r="Y8981" s="18" t="s">
        <v>17171</v>
      </c>
      <c r="Z8981" s="18" t="s">
        <v>24637</v>
      </c>
      <c r="AA8981" s="21" t="str">
        <f>HYPERLINK("https://www.ncbi.nlm.nih.gov/nuccore/CASDWV010001786","NCBI Nucleotide")</f>
        <v>NCBI Nucleotide</v>
      </c>
    </row>
    <row r="8982" spans="1:27" x14ac:dyDescent="0.35">
      <c r="A8982">
        <v>1025974</v>
      </c>
      <c r="B8982">
        <v>8307</v>
      </c>
      <c r="C8982">
        <v>1</v>
      </c>
      <c r="D8982" s="17" t="s">
        <v>17166</v>
      </c>
      <c r="E8982" s="17"/>
      <c r="F8982" s="17" t="s">
        <v>17246</v>
      </c>
      <c r="G8982" s="17"/>
      <c r="H8982" s="17" t="s">
        <v>20919</v>
      </c>
      <c r="I8982" s="17"/>
      <c r="J8982" s="17" t="s">
        <v>21313</v>
      </c>
      <c r="K8982" s="17"/>
      <c r="L8982" s="17" t="s">
        <v>21326</v>
      </c>
      <c r="M8982" s="17"/>
      <c r="N8982" s="17" t="s">
        <v>21327</v>
      </c>
      <c r="O8982" s="17"/>
      <c r="P8982" s="17" t="s">
        <v>21347</v>
      </c>
      <c r="Q8982" s="17"/>
      <c r="R8982" s="25" t="str">
        <f>HYPERLINK("https://ictv.global/taxonomy/taxondetails?taxnode_id=202316092","Blinduvirus chthonocola")</f>
        <v>Blinduvirus chthonocola</v>
      </c>
      <c r="S8982" s="18" t="s">
        <v>30</v>
      </c>
      <c r="T8982" s="18" t="s">
        <v>42597</v>
      </c>
      <c r="U8982" s="18"/>
      <c r="V8982" s="18"/>
      <c r="W8982" s="18" t="s">
        <v>42598</v>
      </c>
      <c r="X8982" s="18" t="s">
        <v>35</v>
      </c>
      <c r="Y8982" s="18" t="s">
        <v>17171</v>
      </c>
      <c r="Z8982" s="18" t="s">
        <v>24637</v>
      </c>
      <c r="AA8982" s="21" t="str">
        <f>HYPERLINK("https://www.ncbi.nlm.nih.gov/nuccore/CASDWV010000323","NCBI Nucleotide")</f>
        <v>NCBI Nucleotide</v>
      </c>
    </row>
    <row r="8983" spans="1:27" x14ac:dyDescent="0.35">
      <c r="A8983">
        <v>1025975</v>
      </c>
      <c r="B8983">
        <v>8308</v>
      </c>
      <c r="C8983">
        <v>1</v>
      </c>
      <c r="D8983" s="17" t="s">
        <v>17166</v>
      </c>
      <c r="E8983" s="17"/>
      <c r="F8983" s="17" t="s">
        <v>17246</v>
      </c>
      <c r="G8983" s="17"/>
      <c r="H8983" s="17" t="s">
        <v>20919</v>
      </c>
      <c r="I8983" s="17"/>
      <c r="J8983" s="17" t="s">
        <v>21313</v>
      </c>
      <c r="K8983" s="17"/>
      <c r="L8983" s="17" t="s">
        <v>21326</v>
      </c>
      <c r="M8983" s="17"/>
      <c r="N8983" s="17" t="s">
        <v>21327</v>
      </c>
      <c r="O8983" s="17"/>
      <c r="P8983" s="17" t="s">
        <v>21347</v>
      </c>
      <c r="Q8983" s="17"/>
      <c r="R8983" s="25" t="str">
        <f>HYPERLINK("https://ictv.global/taxonomy/taxondetails?taxnode_id=202316093","Blinduvirus chthonovicinum")</f>
        <v>Blinduvirus chthonovicinum</v>
      </c>
      <c r="S8983" s="18" t="s">
        <v>30</v>
      </c>
      <c r="T8983" s="18" t="s">
        <v>42599</v>
      </c>
      <c r="U8983" s="18"/>
      <c r="V8983" s="18"/>
      <c r="W8983" s="18" t="s">
        <v>42600</v>
      </c>
      <c r="X8983" s="18" t="s">
        <v>35</v>
      </c>
      <c r="Y8983" s="18" t="s">
        <v>17171</v>
      </c>
      <c r="Z8983" s="18" t="s">
        <v>24637</v>
      </c>
      <c r="AA8983" s="21" t="str">
        <f>HYPERLINK("https://www.ncbi.nlm.nih.gov/nuccore/CASDWV010000802","NCBI Nucleotide")</f>
        <v>NCBI Nucleotide</v>
      </c>
    </row>
    <row r="8984" spans="1:27" x14ac:dyDescent="0.35">
      <c r="A8984">
        <v>1025976</v>
      </c>
      <c r="B8984">
        <v>8309</v>
      </c>
      <c r="C8984">
        <v>1</v>
      </c>
      <c r="D8984" s="17" t="s">
        <v>17166</v>
      </c>
      <c r="E8984" s="17"/>
      <c r="F8984" s="17" t="s">
        <v>17246</v>
      </c>
      <c r="G8984" s="17"/>
      <c r="H8984" s="17" t="s">
        <v>20919</v>
      </c>
      <c r="I8984" s="17"/>
      <c r="J8984" s="17" t="s">
        <v>21313</v>
      </c>
      <c r="K8984" s="17"/>
      <c r="L8984" s="17" t="s">
        <v>21326</v>
      </c>
      <c r="M8984" s="17"/>
      <c r="N8984" s="17" t="s">
        <v>21327</v>
      </c>
      <c r="O8984" s="17"/>
      <c r="P8984" s="17" t="s">
        <v>21347</v>
      </c>
      <c r="Q8984" s="17"/>
      <c r="R8984" s="25" t="str">
        <f>HYPERLINK("https://ictv.global/taxonomy/taxondetails?taxnode_id=202316094","Blinduvirus geohabitans")</f>
        <v>Blinduvirus geohabitans</v>
      </c>
      <c r="S8984" s="18" t="s">
        <v>30</v>
      </c>
      <c r="T8984" s="18" t="s">
        <v>42601</v>
      </c>
      <c r="U8984" s="18"/>
      <c r="V8984" s="18"/>
      <c r="W8984" s="18" t="s">
        <v>42602</v>
      </c>
      <c r="X8984" s="18" t="s">
        <v>35</v>
      </c>
      <c r="Y8984" s="18" t="s">
        <v>17171</v>
      </c>
      <c r="Z8984" s="18" t="s">
        <v>24637</v>
      </c>
      <c r="AA8984" s="21" t="str">
        <f>HYPERLINK("https://www.ncbi.nlm.nih.gov/nuccore/CASDWV010001531","NCBI Nucleotide")</f>
        <v>NCBI Nucleotide</v>
      </c>
    </row>
    <row r="8985" spans="1:27" x14ac:dyDescent="0.35">
      <c r="A8985">
        <v>1025977</v>
      </c>
      <c r="B8985">
        <v>8310</v>
      </c>
      <c r="C8985">
        <v>1</v>
      </c>
      <c r="D8985" s="17" t="s">
        <v>17166</v>
      </c>
      <c r="E8985" s="17"/>
      <c r="F8985" s="17" t="s">
        <v>17246</v>
      </c>
      <c r="G8985" s="17"/>
      <c r="H8985" s="17" t="s">
        <v>20919</v>
      </c>
      <c r="I8985" s="17"/>
      <c r="J8985" s="17" t="s">
        <v>21313</v>
      </c>
      <c r="K8985" s="17"/>
      <c r="L8985" s="17" t="s">
        <v>21326</v>
      </c>
      <c r="M8985" s="17"/>
      <c r="N8985" s="17" t="s">
        <v>21327</v>
      </c>
      <c r="O8985" s="17"/>
      <c r="P8985" s="17" t="s">
        <v>21347</v>
      </c>
      <c r="Q8985" s="17"/>
      <c r="R8985" s="25" t="str">
        <f>HYPERLINK("https://ictv.global/taxonomy/taxondetails?taxnode_id=202316095","Blinduvirus humicola")</f>
        <v>Blinduvirus humicola</v>
      </c>
      <c r="S8985" s="18" t="s">
        <v>30</v>
      </c>
      <c r="T8985" s="18" t="s">
        <v>42603</v>
      </c>
      <c r="U8985" s="18"/>
      <c r="V8985" s="18"/>
      <c r="W8985" s="18" t="s">
        <v>42604</v>
      </c>
      <c r="X8985" s="18" t="s">
        <v>35</v>
      </c>
      <c r="Y8985" s="18" t="s">
        <v>17171</v>
      </c>
      <c r="Z8985" s="18" t="s">
        <v>24637</v>
      </c>
      <c r="AA8985" s="21" t="str">
        <f>HYPERLINK("https://www.ncbi.nlm.nih.gov/nuccore/CASDWV010000428","NCBI Nucleotide")</f>
        <v>NCBI Nucleotide</v>
      </c>
    </row>
    <row r="8986" spans="1:27" x14ac:dyDescent="0.35">
      <c r="A8986">
        <v>1025978</v>
      </c>
      <c r="B8986">
        <v>8311</v>
      </c>
      <c r="C8986">
        <v>1</v>
      </c>
      <c r="D8986" s="17" t="s">
        <v>17166</v>
      </c>
      <c r="E8986" s="17"/>
      <c r="F8986" s="17" t="s">
        <v>17246</v>
      </c>
      <c r="G8986" s="17"/>
      <c r="H8986" s="17" t="s">
        <v>20919</v>
      </c>
      <c r="I8986" s="17"/>
      <c r="J8986" s="17" t="s">
        <v>21313</v>
      </c>
      <c r="K8986" s="17"/>
      <c r="L8986" s="17" t="s">
        <v>21326</v>
      </c>
      <c r="M8986" s="17"/>
      <c r="N8986" s="17" t="s">
        <v>21327</v>
      </c>
      <c r="O8986" s="17"/>
      <c r="P8986" s="17" t="s">
        <v>21347</v>
      </c>
      <c r="Q8986" s="17"/>
      <c r="R8986" s="25" t="str">
        <f>HYPERLINK("https://ictv.global/taxonomy/taxondetails?taxnode_id=202316096","Blinduvirus lutivivens")</f>
        <v>Blinduvirus lutivivens</v>
      </c>
      <c r="S8986" s="18" t="s">
        <v>30</v>
      </c>
      <c r="T8986" s="18" t="s">
        <v>42605</v>
      </c>
      <c r="U8986" s="18"/>
      <c r="V8986" s="18"/>
      <c r="W8986" s="18" t="s">
        <v>42606</v>
      </c>
      <c r="X8986" s="18" t="s">
        <v>35</v>
      </c>
      <c r="Y8986" s="18" t="s">
        <v>17171</v>
      </c>
      <c r="Z8986" s="18" t="s">
        <v>24637</v>
      </c>
      <c r="AA8986" s="21" t="str">
        <f>HYPERLINK("https://www.ncbi.nlm.nih.gov/nuccore/CASDWV010001462","NCBI Nucleotide")</f>
        <v>NCBI Nucleotide</v>
      </c>
    </row>
    <row r="8987" spans="1:27" x14ac:dyDescent="0.35">
      <c r="A8987">
        <v>1025979</v>
      </c>
      <c r="B8987">
        <v>8312</v>
      </c>
      <c r="C8987">
        <v>1</v>
      </c>
      <c r="D8987" s="17" t="s">
        <v>17166</v>
      </c>
      <c r="E8987" s="17"/>
      <c r="F8987" s="17" t="s">
        <v>17246</v>
      </c>
      <c r="G8987" s="17"/>
      <c r="H8987" s="17" t="s">
        <v>20919</v>
      </c>
      <c r="I8987" s="17"/>
      <c r="J8987" s="17" t="s">
        <v>21313</v>
      </c>
      <c r="K8987" s="17"/>
      <c r="L8987" s="17" t="s">
        <v>21326</v>
      </c>
      <c r="M8987" s="17"/>
      <c r="N8987" s="17" t="s">
        <v>21327</v>
      </c>
      <c r="O8987" s="17"/>
      <c r="P8987" s="17" t="s">
        <v>21347</v>
      </c>
      <c r="Q8987" s="17"/>
      <c r="R8987" s="25" t="str">
        <f>HYPERLINK("https://ictv.global/taxonomy/taxondetails?taxnode_id=202316097","Blinduvirus messivicinum")</f>
        <v>Blinduvirus messivicinum</v>
      </c>
      <c r="S8987" s="18" t="s">
        <v>30</v>
      </c>
      <c r="T8987" s="18" t="s">
        <v>42607</v>
      </c>
      <c r="U8987" s="18"/>
      <c r="V8987" s="18"/>
      <c r="W8987" s="18" t="s">
        <v>42608</v>
      </c>
      <c r="X8987" s="18" t="s">
        <v>35</v>
      </c>
      <c r="Y8987" s="18" t="s">
        <v>17171</v>
      </c>
      <c r="Z8987" s="18" t="s">
        <v>24637</v>
      </c>
      <c r="AA8987" s="21" t="str">
        <f>HYPERLINK("https://www.ncbi.nlm.nih.gov/nuccore/CASDWV010004067","NCBI Nucleotide")</f>
        <v>NCBI Nucleotide</v>
      </c>
    </row>
    <row r="8988" spans="1:27" x14ac:dyDescent="0.35">
      <c r="A8988">
        <v>1025980</v>
      </c>
      <c r="B8988">
        <v>8313</v>
      </c>
      <c r="C8988">
        <v>1</v>
      </c>
      <c r="D8988" s="17" t="s">
        <v>17166</v>
      </c>
      <c r="E8988" s="17"/>
      <c r="F8988" s="17" t="s">
        <v>17246</v>
      </c>
      <c r="G8988" s="17"/>
      <c r="H8988" s="17" t="s">
        <v>20919</v>
      </c>
      <c r="I8988" s="17"/>
      <c r="J8988" s="17" t="s">
        <v>21313</v>
      </c>
      <c r="K8988" s="17"/>
      <c r="L8988" s="17" t="s">
        <v>21326</v>
      </c>
      <c r="M8988" s="17"/>
      <c r="N8988" s="17" t="s">
        <v>21327</v>
      </c>
      <c r="O8988" s="17"/>
      <c r="P8988" s="17" t="s">
        <v>21347</v>
      </c>
      <c r="Q8988" s="17"/>
      <c r="R8988" s="25" t="str">
        <f>HYPERLINK("https://ictv.global/taxonomy/taxondetails?taxnode_id=202316098","Blinduvirus messivivens")</f>
        <v>Blinduvirus messivivens</v>
      </c>
      <c r="S8988" s="18" t="s">
        <v>30</v>
      </c>
      <c r="T8988" s="18" t="s">
        <v>42609</v>
      </c>
      <c r="U8988" s="18"/>
      <c r="V8988" s="18"/>
      <c r="W8988" s="18" t="s">
        <v>42610</v>
      </c>
      <c r="X8988" s="18" t="s">
        <v>35</v>
      </c>
      <c r="Y8988" s="18" t="s">
        <v>17171</v>
      </c>
      <c r="Z8988" s="18" t="s">
        <v>24637</v>
      </c>
      <c r="AA8988" s="21" t="str">
        <f>HYPERLINK("https://www.ncbi.nlm.nih.gov/nuccore/CASDWV010000001","NCBI Nucleotide")</f>
        <v>NCBI Nucleotide</v>
      </c>
    </row>
    <row r="8989" spans="1:27" x14ac:dyDescent="0.35">
      <c r="A8989">
        <v>1025981</v>
      </c>
      <c r="B8989">
        <v>8314</v>
      </c>
      <c r="C8989">
        <v>1</v>
      </c>
      <c r="D8989" s="17" t="s">
        <v>17166</v>
      </c>
      <c r="E8989" s="17"/>
      <c r="F8989" s="17" t="s">
        <v>17246</v>
      </c>
      <c r="G8989" s="17"/>
      <c r="H8989" s="17" t="s">
        <v>20919</v>
      </c>
      <c r="I8989" s="17"/>
      <c r="J8989" s="17" t="s">
        <v>21313</v>
      </c>
      <c r="K8989" s="17"/>
      <c r="L8989" s="17" t="s">
        <v>21326</v>
      </c>
      <c r="M8989" s="17"/>
      <c r="N8989" s="17" t="s">
        <v>21327</v>
      </c>
      <c r="O8989" s="17"/>
      <c r="P8989" s="17" t="s">
        <v>21347</v>
      </c>
      <c r="Q8989" s="17"/>
      <c r="R8989" s="25" t="str">
        <f>HYPERLINK("https://ictv.global/taxonomy/taxondetails?taxnode_id=202316099","Blinduvirus pelenecus")</f>
        <v>Blinduvirus pelenecus</v>
      </c>
      <c r="S8989" s="18" t="s">
        <v>30</v>
      </c>
      <c r="T8989" s="18" t="s">
        <v>42611</v>
      </c>
      <c r="U8989" s="18"/>
      <c r="V8989" s="18"/>
      <c r="W8989" s="18" t="s">
        <v>42612</v>
      </c>
      <c r="X8989" s="18" t="s">
        <v>35</v>
      </c>
      <c r="Y8989" s="18" t="s">
        <v>17171</v>
      </c>
      <c r="Z8989" s="18" t="s">
        <v>24637</v>
      </c>
      <c r="AA8989" s="21" t="str">
        <f>HYPERLINK("https://www.ncbi.nlm.nih.gov/nuccore/CASDWV010003699","NCBI Nucleotide")</f>
        <v>NCBI Nucleotide</v>
      </c>
    </row>
    <row r="8990" spans="1:27" x14ac:dyDescent="0.35">
      <c r="A8990">
        <v>1025982</v>
      </c>
      <c r="B8990">
        <v>8315</v>
      </c>
      <c r="C8990">
        <v>1</v>
      </c>
      <c r="D8990" s="17" t="s">
        <v>17166</v>
      </c>
      <c r="E8990" s="17"/>
      <c r="F8990" s="17" t="s">
        <v>17246</v>
      </c>
      <c r="G8990" s="17"/>
      <c r="H8990" s="17" t="s">
        <v>20919</v>
      </c>
      <c r="I8990" s="17"/>
      <c r="J8990" s="17" t="s">
        <v>21313</v>
      </c>
      <c r="K8990" s="17"/>
      <c r="L8990" s="17" t="s">
        <v>21326</v>
      </c>
      <c r="M8990" s="17"/>
      <c r="N8990" s="17" t="s">
        <v>21327</v>
      </c>
      <c r="O8990" s="17"/>
      <c r="P8990" s="17" t="s">
        <v>21347</v>
      </c>
      <c r="Q8990" s="17"/>
      <c r="R8990" s="25" t="str">
        <f>HYPERLINK("https://ictv.global/taxonomy/taxondetails?taxnode_id=202316100","Blinduvirus pelohabitans")</f>
        <v>Blinduvirus pelohabitans</v>
      </c>
      <c r="S8990" s="18" t="s">
        <v>30</v>
      </c>
      <c r="T8990" s="18" t="s">
        <v>42613</v>
      </c>
      <c r="U8990" s="18"/>
      <c r="V8990" s="18"/>
      <c r="W8990" s="18" t="s">
        <v>42614</v>
      </c>
      <c r="X8990" s="18" t="s">
        <v>35</v>
      </c>
      <c r="Y8990" s="18" t="s">
        <v>17171</v>
      </c>
      <c r="Z8990" s="18" t="s">
        <v>24637</v>
      </c>
      <c r="AA8990" s="21" t="str">
        <f>HYPERLINK("https://www.ncbi.nlm.nih.gov/nuccore/CASDWV010002665","NCBI Nucleotide")</f>
        <v>NCBI Nucleotide</v>
      </c>
    </row>
    <row r="8991" spans="1:27" x14ac:dyDescent="0.35">
      <c r="A8991">
        <v>1025983</v>
      </c>
      <c r="B8991">
        <v>8316</v>
      </c>
      <c r="C8991">
        <v>1</v>
      </c>
      <c r="D8991" s="17" t="s">
        <v>17166</v>
      </c>
      <c r="E8991" s="17"/>
      <c r="F8991" s="17" t="s">
        <v>17246</v>
      </c>
      <c r="G8991" s="17"/>
      <c r="H8991" s="17" t="s">
        <v>20919</v>
      </c>
      <c r="I8991" s="17"/>
      <c r="J8991" s="17" t="s">
        <v>21313</v>
      </c>
      <c r="K8991" s="17"/>
      <c r="L8991" s="17" t="s">
        <v>21326</v>
      </c>
      <c r="M8991" s="17"/>
      <c r="N8991" s="17" t="s">
        <v>21327</v>
      </c>
      <c r="O8991" s="17"/>
      <c r="P8991" s="17" t="s">
        <v>21347</v>
      </c>
      <c r="Q8991" s="17"/>
      <c r="R8991" s="25" t="str">
        <f>HYPERLINK("https://ictv.global/taxonomy/taxondetails?taxnode_id=202316101","Blinduvirus radicivicinum")</f>
        <v>Blinduvirus radicivicinum</v>
      </c>
      <c r="S8991" s="18" t="s">
        <v>30</v>
      </c>
      <c r="T8991" s="18" t="s">
        <v>42615</v>
      </c>
      <c r="U8991" s="18"/>
      <c r="V8991" s="18"/>
      <c r="W8991" s="18" t="s">
        <v>42616</v>
      </c>
      <c r="X8991" s="18" t="s">
        <v>35</v>
      </c>
      <c r="Y8991" s="18" t="s">
        <v>17171</v>
      </c>
      <c r="Z8991" s="18" t="s">
        <v>24637</v>
      </c>
      <c r="AA8991" s="21" t="str">
        <f>HYPERLINK("https://www.ncbi.nlm.nih.gov/nuccore/CASDWV010000493","NCBI Nucleotide")</f>
        <v>NCBI Nucleotide</v>
      </c>
    </row>
    <row r="8992" spans="1:27" x14ac:dyDescent="0.35">
      <c r="A8992">
        <v>1025984</v>
      </c>
      <c r="B8992">
        <v>8317</v>
      </c>
      <c r="C8992">
        <v>1</v>
      </c>
      <c r="D8992" s="17" t="s">
        <v>17166</v>
      </c>
      <c r="E8992" s="17"/>
      <c r="F8992" s="17" t="s">
        <v>17246</v>
      </c>
      <c r="G8992" s="17"/>
      <c r="H8992" s="17" t="s">
        <v>20919</v>
      </c>
      <c r="I8992" s="17"/>
      <c r="J8992" s="17" t="s">
        <v>21313</v>
      </c>
      <c r="K8992" s="17"/>
      <c r="L8992" s="17" t="s">
        <v>21326</v>
      </c>
      <c r="M8992" s="17"/>
      <c r="N8992" s="17" t="s">
        <v>21327</v>
      </c>
      <c r="O8992" s="17"/>
      <c r="P8992" s="17" t="s">
        <v>21347</v>
      </c>
      <c r="Q8992" s="17"/>
      <c r="R8992" s="25" t="str">
        <f>HYPERLINK("https://ictv.global/taxonomy/taxondetails?taxnode_id=202316102","Blinduvirus segetenecus")</f>
        <v>Blinduvirus segetenecus</v>
      </c>
      <c r="S8992" s="18" t="s">
        <v>30</v>
      </c>
      <c r="T8992" s="18" t="s">
        <v>42617</v>
      </c>
      <c r="U8992" s="18"/>
      <c r="V8992" s="18"/>
      <c r="W8992" s="18" t="s">
        <v>42618</v>
      </c>
      <c r="X8992" s="18" t="s">
        <v>35</v>
      </c>
      <c r="Y8992" s="18" t="s">
        <v>17171</v>
      </c>
      <c r="Z8992" s="18" t="s">
        <v>24637</v>
      </c>
      <c r="AA8992" s="21" t="str">
        <f>HYPERLINK("https://www.ncbi.nlm.nih.gov/nuccore/CASDWV010000194","NCBI Nucleotide")</f>
        <v>NCBI Nucleotide</v>
      </c>
    </row>
    <row r="8993" spans="1:27" x14ac:dyDescent="0.35">
      <c r="A8993">
        <v>1025985</v>
      </c>
      <c r="B8993">
        <v>8318</v>
      </c>
      <c r="C8993">
        <v>1</v>
      </c>
      <c r="D8993" s="17" t="s">
        <v>17166</v>
      </c>
      <c r="E8993" s="17"/>
      <c r="F8993" s="17" t="s">
        <v>17246</v>
      </c>
      <c r="G8993" s="17"/>
      <c r="H8993" s="17" t="s">
        <v>20919</v>
      </c>
      <c r="I8993" s="17"/>
      <c r="J8993" s="17" t="s">
        <v>21313</v>
      </c>
      <c r="K8993" s="17"/>
      <c r="L8993" s="17" t="s">
        <v>21326</v>
      </c>
      <c r="M8993" s="17"/>
      <c r="N8993" s="17" t="s">
        <v>21327</v>
      </c>
      <c r="O8993" s="17"/>
      <c r="P8993" s="17" t="s">
        <v>21347</v>
      </c>
      <c r="Q8993" s="17"/>
      <c r="R8993" s="25" t="str">
        <f>HYPERLINK("https://ictv.global/taxonomy/taxondetails?taxnode_id=202316103","Blinduvirus solenecus")</f>
        <v>Blinduvirus solenecus</v>
      </c>
      <c r="S8993" s="18" t="s">
        <v>30</v>
      </c>
      <c r="T8993" s="18" t="s">
        <v>42619</v>
      </c>
      <c r="U8993" s="18"/>
      <c r="V8993" s="18"/>
      <c r="W8993" s="18" t="s">
        <v>42620</v>
      </c>
      <c r="X8993" s="18" t="s">
        <v>35</v>
      </c>
      <c r="Y8993" s="18" t="s">
        <v>17171</v>
      </c>
      <c r="Z8993" s="18" t="s">
        <v>24637</v>
      </c>
      <c r="AA8993" s="21" t="str">
        <f>HYPERLINK("https://www.ncbi.nlm.nih.gov/nuccore/CASDWV010003422","NCBI Nucleotide")</f>
        <v>NCBI Nucleotide</v>
      </c>
    </row>
    <row r="8994" spans="1:27" x14ac:dyDescent="0.35">
      <c r="A8994">
        <v>1025986</v>
      </c>
      <c r="B8994">
        <v>8319</v>
      </c>
      <c r="C8994">
        <v>1</v>
      </c>
      <c r="D8994" s="17" t="s">
        <v>17166</v>
      </c>
      <c r="E8994" s="17"/>
      <c r="F8994" s="17" t="s">
        <v>17246</v>
      </c>
      <c r="G8994" s="17"/>
      <c r="H8994" s="17" t="s">
        <v>20919</v>
      </c>
      <c r="I8994" s="17"/>
      <c r="J8994" s="17" t="s">
        <v>21313</v>
      </c>
      <c r="K8994" s="17"/>
      <c r="L8994" s="17" t="s">
        <v>21326</v>
      </c>
      <c r="M8994" s="17"/>
      <c r="N8994" s="17" t="s">
        <v>21327</v>
      </c>
      <c r="O8994" s="17"/>
      <c r="P8994" s="17" t="s">
        <v>21347</v>
      </c>
      <c r="Q8994" s="17"/>
      <c r="R8994" s="25" t="str">
        <f>HYPERLINK("https://ictv.global/taxonomy/taxondetails?taxnode_id=202316104","Blinduvirus tellurihabitans")</f>
        <v>Blinduvirus tellurihabitans</v>
      </c>
      <c r="S8994" s="18" t="s">
        <v>30</v>
      </c>
      <c r="T8994" s="18" t="s">
        <v>42621</v>
      </c>
      <c r="U8994" s="18"/>
      <c r="V8994" s="18"/>
      <c r="W8994" s="18" t="s">
        <v>42622</v>
      </c>
      <c r="X8994" s="18" t="s">
        <v>35</v>
      </c>
      <c r="Y8994" s="18" t="s">
        <v>17171</v>
      </c>
      <c r="Z8994" s="18" t="s">
        <v>24637</v>
      </c>
      <c r="AA8994" s="21" t="str">
        <f>HYPERLINK("https://www.ncbi.nlm.nih.gov/nuccore/CASDWV010003821","NCBI Nucleotide")</f>
        <v>NCBI Nucleotide</v>
      </c>
    </row>
    <row r="8995" spans="1:27" x14ac:dyDescent="0.35">
      <c r="A8995">
        <v>1025987</v>
      </c>
      <c r="B8995">
        <v>8320</v>
      </c>
      <c r="C8995">
        <v>1</v>
      </c>
      <c r="D8995" s="17" t="s">
        <v>17166</v>
      </c>
      <c r="E8995" s="17"/>
      <c r="F8995" s="17" t="s">
        <v>17246</v>
      </c>
      <c r="G8995" s="17"/>
      <c r="H8995" s="17" t="s">
        <v>20919</v>
      </c>
      <c r="I8995" s="17"/>
      <c r="J8995" s="17" t="s">
        <v>21313</v>
      </c>
      <c r="K8995" s="17"/>
      <c r="L8995" s="17" t="s">
        <v>21326</v>
      </c>
      <c r="M8995" s="17"/>
      <c r="N8995" s="17" t="s">
        <v>21327</v>
      </c>
      <c r="O8995" s="17"/>
      <c r="P8995" s="17" t="s">
        <v>21347</v>
      </c>
      <c r="Q8995" s="17"/>
      <c r="R8995" s="25" t="str">
        <f>HYPERLINK("https://ictv.global/taxonomy/taxondetails?taxnode_id=202316105","Blinduvirus tellurivivens")</f>
        <v>Blinduvirus tellurivivens</v>
      </c>
      <c r="S8995" s="18" t="s">
        <v>30</v>
      </c>
      <c r="T8995" s="18" t="s">
        <v>42623</v>
      </c>
      <c r="U8995" s="18"/>
      <c r="V8995" s="18"/>
      <c r="W8995" s="18" t="s">
        <v>42624</v>
      </c>
      <c r="X8995" s="18" t="s">
        <v>35</v>
      </c>
      <c r="Y8995" s="18" t="s">
        <v>17171</v>
      </c>
      <c r="Z8995" s="18" t="s">
        <v>24637</v>
      </c>
      <c r="AA8995" s="21" t="str">
        <f>HYPERLINK("https://www.ncbi.nlm.nih.gov/nuccore/CASDWV010003971","NCBI Nucleotide")</f>
        <v>NCBI Nucleotide</v>
      </c>
    </row>
    <row r="8996" spans="1:27" x14ac:dyDescent="0.35">
      <c r="A8996">
        <v>1009362</v>
      </c>
      <c r="B8996">
        <v>8321</v>
      </c>
      <c r="C8996">
        <v>1</v>
      </c>
      <c r="D8996" s="17" t="s">
        <v>17166</v>
      </c>
      <c r="E8996" s="17"/>
      <c r="F8996" s="17" t="s">
        <v>17246</v>
      </c>
      <c r="G8996" s="17"/>
      <c r="H8996" s="17" t="s">
        <v>20919</v>
      </c>
      <c r="I8996" s="17"/>
      <c r="J8996" s="17" t="s">
        <v>21313</v>
      </c>
      <c r="K8996" s="17"/>
      <c r="L8996" s="17" t="s">
        <v>21326</v>
      </c>
      <c r="M8996" s="17"/>
      <c r="N8996" s="17" t="s">
        <v>21327</v>
      </c>
      <c r="O8996" s="17"/>
      <c r="P8996" s="17" t="s">
        <v>21347</v>
      </c>
      <c r="Q8996" s="17"/>
      <c r="R8996" s="25" t="str">
        <f>HYPERLINK("https://ictv.global/taxonomy/taxondetails?taxnode_id=202310709","Blinduvirus terrihabitans")</f>
        <v>Blinduvirus terrihabitans</v>
      </c>
      <c r="S8996" s="18" t="s">
        <v>30</v>
      </c>
      <c r="T8996" s="18" t="s">
        <v>21350</v>
      </c>
      <c r="U8996" s="18"/>
      <c r="V8996" s="18"/>
      <c r="W8996" s="18" t="s">
        <v>21351</v>
      </c>
      <c r="X8996" s="18" t="s">
        <v>35</v>
      </c>
      <c r="Y8996" s="18" t="s">
        <v>17171</v>
      </c>
      <c r="Z8996" s="18" t="s">
        <v>697</v>
      </c>
      <c r="AA8996" s="21" t="str">
        <f>HYPERLINK("https://www.ncbi.nlm.nih.gov/nuccore/BK013562","NCBI Nucleotide")</f>
        <v>NCBI Nucleotide</v>
      </c>
    </row>
    <row r="8997" spans="1:27" x14ac:dyDescent="0.35">
      <c r="A8997">
        <v>1025958</v>
      </c>
      <c r="B8997">
        <v>8322</v>
      </c>
      <c r="C8997">
        <v>1</v>
      </c>
      <c r="D8997" s="17" t="s">
        <v>17166</v>
      </c>
      <c r="E8997" s="17"/>
      <c r="F8997" s="17" t="s">
        <v>17246</v>
      </c>
      <c r="G8997" s="17"/>
      <c r="H8997" s="17" t="s">
        <v>20919</v>
      </c>
      <c r="I8997" s="17"/>
      <c r="J8997" s="17" t="s">
        <v>21313</v>
      </c>
      <c r="K8997" s="17"/>
      <c r="L8997" s="17" t="s">
        <v>21326</v>
      </c>
      <c r="M8997" s="17"/>
      <c r="N8997" s="17" t="s">
        <v>21327</v>
      </c>
      <c r="O8997" s="17"/>
      <c r="P8997" s="17" t="s">
        <v>42625</v>
      </c>
      <c r="Q8997" s="17"/>
      <c r="R8997" s="25" t="str">
        <f>HYPERLINK("https://ictv.global/taxonomy/taxondetails?taxnode_id=202316106","Bolihivirus asiadaptatum")</f>
        <v>Bolihivirus asiadaptatum</v>
      </c>
      <c r="S8997" s="18" t="s">
        <v>30</v>
      </c>
      <c r="T8997" s="18" t="s">
        <v>42626</v>
      </c>
      <c r="U8997" s="18"/>
      <c r="V8997" s="18"/>
      <c r="W8997" s="18" t="s">
        <v>42627</v>
      </c>
      <c r="X8997" s="18" t="s">
        <v>35</v>
      </c>
      <c r="Y8997" s="18" t="s">
        <v>17171</v>
      </c>
      <c r="Z8997" s="18" t="s">
        <v>24637</v>
      </c>
      <c r="AA8997" s="21" t="str">
        <f>HYPERLINK("https://www.ncbi.nlm.nih.gov/nuccore/CASDWV010004643","NCBI Nucleotide")</f>
        <v>NCBI Nucleotide</v>
      </c>
    </row>
    <row r="8998" spans="1:27" x14ac:dyDescent="0.35">
      <c r="A8998">
        <v>1025959</v>
      </c>
      <c r="B8998">
        <v>8323</v>
      </c>
      <c r="C8998">
        <v>1</v>
      </c>
      <c r="D8998" s="17" t="s">
        <v>17166</v>
      </c>
      <c r="E8998" s="17"/>
      <c r="F8998" s="17" t="s">
        <v>17246</v>
      </c>
      <c r="G8998" s="17"/>
      <c r="H8998" s="17" t="s">
        <v>20919</v>
      </c>
      <c r="I8998" s="17"/>
      <c r="J8998" s="17" t="s">
        <v>21313</v>
      </c>
      <c r="K8998" s="17"/>
      <c r="L8998" s="17" t="s">
        <v>21326</v>
      </c>
      <c r="M8998" s="17"/>
      <c r="N8998" s="17" t="s">
        <v>21327</v>
      </c>
      <c r="O8998" s="17"/>
      <c r="P8998" s="17" t="s">
        <v>42625</v>
      </c>
      <c r="Q8998" s="17"/>
      <c r="R8998" s="25" t="str">
        <f>HYPERLINK("https://ictv.global/taxonomy/taxondetails?taxnode_id=202316107","Bolihivirus caenicola")</f>
        <v>Bolihivirus caenicola</v>
      </c>
      <c r="S8998" s="18" t="s">
        <v>30</v>
      </c>
      <c r="T8998" s="18" t="s">
        <v>42628</v>
      </c>
      <c r="U8998" s="18"/>
      <c r="V8998" s="18"/>
      <c r="W8998" s="18" t="s">
        <v>42629</v>
      </c>
      <c r="X8998" s="18" t="s">
        <v>35</v>
      </c>
      <c r="Y8998" s="18" t="s">
        <v>17171</v>
      </c>
      <c r="Z8998" s="18" t="s">
        <v>24637</v>
      </c>
      <c r="AA8998" s="21" t="str">
        <f>HYPERLINK("https://www.ncbi.nlm.nih.gov/nuccore/CASDWV010000364","NCBI Nucleotide")</f>
        <v>NCBI Nucleotide</v>
      </c>
    </row>
    <row r="8999" spans="1:27" x14ac:dyDescent="0.35">
      <c r="A8999">
        <v>1025960</v>
      </c>
      <c r="B8999">
        <v>8324</v>
      </c>
      <c r="C8999">
        <v>1</v>
      </c>
      <c r="D8999" s="17" t="s">
        <v>17166</v>
      </c>
      <c r="E8999" s="17"/>
      <c r="F8999" s="17" t="s">
        <v>17246</v>
      </c>
      <c r="G8999" s="17"/>
      <c r="H8999" s="17" t="s">
        <v>20919</v>
      </c>
      <c r="I8999" s="17"/>
      <c r="J8999" s="17" t="s">
        <v>21313</v>
      </c>
      <c r="K8999" s="17"/>
      <c r="L8999" s="17" t="s">
        <v>21326</v>
      </c>
      <c r="M8999" s="17"/>
      <c r="N8999" s="17" t="s">
        <v>21327</v>
      </c>
      <c r="O8999" s="17"/>
      <c r="P8999" s="17" t="s">
        <v>42625</v>
      </c>
      <c r="Q8999" s="17"/>
      <c r="R8999" s="25" t="str">
        <f>HYPERLINK("https://ictv.global/taxonomy/taxondetails?taxnode_id=202316108","Bolihivirus chorovivens")</f>
        <v>Bolihivirus chorovivens</v>
      </c>
      <c r="S8999" s="18" t="s">
        <v>30</v>
      </c>
      <c r="T8999" s="18" t="s">
        <v>42630</v>
      </c>
      <c r="U8999" s="18"/>
      <c r="V8999" s="18"/>
      <c r="W8999" s="18" t="s">
        <v>42631</v>
      </c>
      <c r="X8999" s="18" t="s">
        <v>35</v>
      </c>
      <c r="Y8999" s="18" t="s">
        <v>17171</v>
      </c>
      <c r="Z8999" s="18" t="s">
        <v>24637</v>
      </c>
      <c r="AA8999" s="21" t="str">
        <f>HYPERLINK("https://www.ncbi.nlm.nih.gov/nuccore/CASDWV010004662","NCBI Nucleotide")</f>
        <v>NCBI Nucleotide</v>
      </c>
    </row>
    <row r="9000" spans="1:27" x14ac:dyDescent="0.35">
      <c r="A9000">
        <v>1025961</v>
      </c>
      <c r="B9000">
        <v>8325</v>
      </c>
      <c r="C9000">
        <v>1</v>
      </c>
      <c r="D9000" s="17" t="s">
        <v>17166</v>
      </c>
      <c r="E9000" s="17"/>
      <c r="F9000" s="17" t="s">
        <v>17246</v>
      </c>
      <c r="G9000" s="17"/>
      <c r="H9000" s="17" t="s">
        <v>20919</v>
      </c>
      <c r="I9000" s="17"/>
      <c r="J9000" s="17" t="s">
        <v>21313</v>
      </c>
      <c r="K9000" s="17"/>
      <c r="L9000" s="17" t="s">
        <v>21326</v>
      </c>
      <c r="M9000" s="17"/>
      <c r="N9000" s="17" t="s">
        <v>21327</v>
      </c>
      <c r="O9000" s="17"/>
      <c r="P9000" s="17" t="s">
        <v>42625</v>
      </c>
      <c r="Q9000" s="17"/>
      <c r="R9000" s="25" t="str">
        <f>HYPERLINK("https://ictv.global/taxonomy/taxondetails?taxnode_id=202316109","Bolihivirus geoadaptatum")</f>
        <v>Bolihivirus geoadaptatum</v>
      </c>
      <c r="S9000" s="18" t="s">
        <v>30</v>
      </c>
      <c r="T9000" s="18" t="s">
        <v>42632</v>
      </c>
      <c r="U9000" s="18"/>
      <c r="V9000" s="18"/>
      <c r="W9000" s="18" t="s">
        <v>42633</v>
      </c>
      <c r="X9000" s="18" t="s">
        <v>35</v>
      </c>
      <c r="Y9000" s="18" t="s">
        <v>17171</v>
      </c>
      <c r="Z9000" s="18" t="s">
        <v>24637</v>
      </c>
      <c r="AA9000" s="21" t="str">
        <f>HYPERLINK("https://www.ncbi.nlm.nih.gov/nuccore/CASDWV010001636","NCBI Nucleotide")</f>
        <v>NCBI Nucleotide</v>
      </c>
    </row>
    <row r="9001" spans="1:27" x14ac:dyDescent="0.35">
      <c r="A9001">
        <v>1025962</v>
      </c>
      <c r="B9001">
        <v>8326</v>
      </c>
      <c r="C9001">
        <v>1</v>
      </c>
      <c r="D9001" s="17" t="s">
        <v>17166</v>
      </c>
      <c r="E9001" s="17"/>
      <c r="F9001" s="17" t="s">
        <v>17246</v>
      </c>
      <c r="G9001" s="17"/>
      <c r="H9001" s="17" t="s">
        <v>20919</v>
      </c>
      <c r="I9001" s="17"/>
      <c r="J9001" s="17" t="s">
        <v>21313</v>
      </c>
      <c r="K9001" s="17"/>
      <c r="L9001" s="17" t="s">
        <v>21326</v>
      </c>
      <c r="M9001" s="17"/>
      <c r="N9001" s="17" t="s">
        <v>21327</v>
      </c>
      <c r="O9001" s="17"/>
      <c r="P9001" s="17" t="s">
        <v>42634</v>
      </c>
      <c r="Q9001" s="17"/>
      <c r="R9001" s="25" t="str">
        <f>HYPERLINK("https://ictv.global/taxonomy/taxondetails?taxnode_id=202316110","Bolislovirus solivivens")</f>
        <v>Bolislovirus solivivens</v>
      </c>
      <c r="S9001" s="18" t="s">
        <v>30</v>
      </c>
      <c r="T9001" s="18" t="s">
        <v>42635</v>
      </c>
      <c r="U9001" s="18"/>
      <c r="V9001" s="18"/>
      <c r="W9001" s="18" t="s">
        <v>42636</v>
      </c>
      <c r="X9001" s="18" t="s">
        <v>35</v>
      </c>
      <c r="Y9001" s="18" t="s">
        <v>17171</v>
      </c>
      <c r="Z9001" s="18" t="s">
        <v>24637</v>
      </c>
      <c r="AA9001" s="21" t="str">
        <f>HYPERLINK("https://www.ncbi.nlm.nih.gov/nuccore/CASDWV010004824","NCBI Nucleotide")</f>
        <v>NCBI Nucleotide</v>
      </c>
    </row>
    <row r="9002" spans="1:27" x14ac:dyDescent="0.35">
      <c r="A9002">
        <v>1025963</v>
      </c>
      <c r="B9002">
        <v>8327</v>
      </c>
      <c r="C9002">
        <v>1</v>
      </c>
      <c r="D9002" s="17" t="s">
        <v>17166</v>
      </c>
      <c r="E9002" s="17"/>
      <c r="F9002" s="17" t="s">
        <v>17246</v>
      </c>
      <c r="G9002" s="17"/>
      <c r="H9002" s="17" t="s">
        <v>20919</v>
      </c>
      <c r="I9002" s="17"/>
      <c r="J9002" s="17" t="s">
        <v>21313</v>
      </c>
      <c r="K9002" s="17"/>
      <c r="L9002" s="17" t="s">
        <v>21326</v>
      </c>
      <c r="M9002" s="17"/>
      <c r="N9002" s="17" t="s">
        <v>21327</v>
      </c>
      <c r="O9002" s="17"/>
      <c r="P9002" s="17" t="s">
        <v>42637</v>
      </c>
      <c r="Q9002" s="17"/>
      <c r="R9002" s="25" t="str">
        <f>HYPERLINK("https://ictv.global/taxonomy/taxondetails?taxnode_id=202316111","Boltovirus pedohabitans")</f>
        <v>Boltovirus pedohabitans</v>
      </c>
      <c r="S9002" s="18" t="s">
        <v>30</v>
      </c>
      <c r="T9002" s="18" t="s">
        <v>42638</v>
      </c>
      <c r="U9002" s="18"/>
      <c r="V9002" s="18"/>
      <c r="W9002" s="18" t="s">
        <v>42639</v>
      </c>
      <c r="X9002" s="18" t="s">
        <v>35</v>
      </c>
      <c r="Y9002" s="18" t="s">
        <v>17171</v>
      </c>
      <c r="Z9002" s="18" t="s">
        <v>24637</v>
      </c>
      <c r="AA9002" s="21" t="str">
        <f>HYPERLINK("https://www.ncbi.nlm.nih.gov/nuccore/CASDWV010002634","NCBI Nucleotide")</f>
        <v>NCBI Nucleotide</v>
      </c>
    </row>
    <row r="9003" spans="1:27" x14ac:dyDescent="0.35">
      <c r="A9003">
        <v>1025931</v>
      </c>
      <c r="B9003">
        <v>8328</v>
      </c>
      <c r="C9003">
        <v>1</v>
      </c>
      <c r="D9003" s="17" t="s">
        <v>17166</v>
      </c>
      <c r="E9003" s="17"/>
      <c r="F9003" s="17" t="s">
        <v>17246</v>
      </c>
      <c r="G9003" s="17"/>
      <c r="H9003" s="17" t="s">
        <v>20919</v>
      </c>
      <c r="I9003" s="17"/>
      <c r="J9003" s="17" t="s">
        <v>21313</v>
      </c>
      <c r="K9003" s="17"/>
      <c r="L9003" s="17" t="s">
        <v>21326</v>
      </c>
      <c r="M9003" s="17"/>
      <c r="N9003" s="17" t="s">
        <v>21327</v>
      </c>
      <c r="O9003" s="17"/>
      <c r="P9003" s="17" t="s">
        <v>42640</v>
      </c>
      <c r="Q9003" s="17"/>
      <c r="R9003" s="25" t="str">
        <f>HYPERLINK("https://ictv.global/taxonomy/taxondetails?taxnode_id=202316112","Bouhrtavirus agricola")</f>
        <v>Bouhrtavirus agricola</v>
      </c>
      <c r="S9003" s="18" t="s">
        <v>30</v>
      </c>
      <c r="T9003" s="18" t="s">
        <v>42641</v>
      </c>
      <c r="U9003" s="18"/>
      <c r="V9003" s="18"/>
      <c r="W9003" s="18" t="s">
        <v>42642</v>
      </c>
      <c r="X9003" s="18" t="s">
        <v>35</v>
      </c>
      <c r="Y9003" s="18" t="s">
        <v>17171</v>
      </c>
      <c r="Z9003" s="18" t="s">
        <v>24637</v>
      </c>
      <c r="AA9003" s="21" t="str">
        <f>HYPERLINK("https://www.ncbi.nlm.nih.gov/nuccore/CASDWV010001879","NCBI Nucleotide")</f>
        <v>NCBI Nucleotide</v>
      </c>
    </row>
    <row r="9004" spans="1:27" x14ac:dyDescent="0.35">
      <c r="A9004">
        <v>1025937</v>
      </c>
      <c r="B9004">
        <v>8329</v>
      </c>
      <c r="C9004">
        <v>1</v>
      </c>
      <c r="D9004" s="17" t="s">
        <v>17166</v>
      </c>
      <c r="E9004" s="17"/>
      <c r="F9004" s="17" t="s">
        <v>17246</v>
      </c>
      <c r="G9004" s="17"/>
      <c r="H9004" s="17" t="s">
        <v>20919</v>
      </c>
      <c r="I9004" s="17"/>
      <c r="J9004" s="17" t="s">
        <v>21313</v>
      </c>
      <c r="K9004" s="17"/>
      <c r="L9004" s="17" t="s">
        <v>21326</v>
      </c>
      <c r="M9004" s="17"/>
      <c r="N9004" s="17" t="s">
        <v>21327</v>
      </c>
      <c r="O9004" s="17"/>
      <c r="P9004" s="17" t="s">
        <v>42643</v>
      </c>
      <c r="Q9004" s="17"/>
      <c r="R9004" s="25" t="str">
        <f>HYPERLINK("https://ictv.global/taxonomy/taxondetails?taxnode_id=202316113","Braholevirus asiovicinum")</f>
        <v>Braholevirus asiovicinum</v>
      </c>
      <c r="S9004" s="18" t="s">
        <v>30</v>
      </c>
      <c r="T9004" s="18" t="s">
        <v>42644</v>
      </c>
      <c r="U9004" s="18"/>
      <c r="V9004" s="18"/>
      <c r="W9004" s="18" t="s">
        <v>42645</v>
      </c>
      <c r="X9004" s="18" t="s">
        <v>35</v>
      </c>
      <c r="Y9004" s="18" t="s">
        <v>17171</v>
      </c>
      <c r="Z9004" s="18" t="s">
        <v>24637</v>
      </c>
      <c r="AA9004" s="21" t="str">
        <f>HYPERLINK("https://www.ncbi.nlm.nih.gov/nuccore/CASDWV010000679","NCBI Nucleotide")</f>
        <v>NCBI Nucleotide</v>
      </c>
    </row>
    <row r="9005" spans="1:27" x14ac:dyDescent="0.35">
      <c r="A9005">
        <v>1025938</v>
      </c>
      <c r="B9005">
        <v>8330</v>
      </c>
      <c r="C9005">
        <v>1</v>
      </c>
      <c r="D9005" s="17" t="s">
        <v>17166</v>
      </c>
      <c r="E9005" s="17"/>
      <c r="F9005" s="17" t="s">
        <v>17246</v>
      </c>
      <c r="G9005" s="17"/>
      <c r="H9005" s="17" t="s">
        <v>20919</v>
      </c>
      <c r="I9005" s="17"/>
      <c r="J9005" s="17" t="s">
        <v>21313</v>
      </c>
      <c r="K9005" s="17"/>
      <c r="L9005" s="17" t="s">
        <v>21326</v>
      </c>
      <c r="M9005" s="17"/>
      <c r="N9005" s="17" t="s">
        <v>21327</v>
      </c>
      <c r="O9005" s="17"/>
      <c r="P9005" s="17" t="s">
        <v>42646</v>
      </c>
      <c r="Q9005" s="17"/>
      <c r="R9005" s="25" t="str">
        <f>HYPERLINK("https://ictv.global/taxonomy/taxondetails?taxnode_id=202316114","Bramcovirus asienecus")</f>
        <v>Bramcovirus asienecus</v>
      </c>
      <c r="S9005" s="18" t="s">
        <v>30</v>
      </c>
      <c r="T9005" s="18" t="s">
        <v>42647</v>
      </c>
      <c r="U9005" s="18"/>
      <c r="V9005" s="18"/>
      <c r="W9005" s="18" t="s">
        <v>42648</v>
      </c>
      <c r="X9005" s="18" t="s">
        <v>35</v>
      </c>
      <c r="Y9005" s="18" t="s">
        <v>17171</v>
      </c>
      <c r="Z9005" s="18" t="s">
        <v>24637</v>
      </c>
      <c r="AA9005" s="21" t="str">
        <f>HYPERLINK("https://www.ncbi.nlm.nih.gov/nuccore/CASDWV010001469","NCBI Nucleotide")</f>
        <v>NCBI Nucleotide</v>
      </c>
    </row>
    <row r="9006" spans="1:27" x14ac:dyDescent="0.35">
      <c r="A9006">
        <v>1025939</v>
      </c>
      <c r="B9006">
        <v>8331</v>
      </c>
      <c r="C9006">
        <v>1</v>
      </c>
      <c r="D9006" s="17" t="s">
        <v>17166</v>
      </c>
      <c r="E9006" s="17"/>
      <c r="F9006" s="17" t="s">
        <v>17246</v>
      </c>
      <c r="G9006" s="17"/>
      <c r="H9006" s="17" t="s">
        <v>20919</v>
      </c>
      <c r="I9006" s="17"/>
      <c r="J9006" s="17" t="s">
        <v>21313</v>
      </c>
      <c r="K9006" s="17"/>
      <c r="L9006" s="17" t="s">
        <v>21326</v>
      </c>
      <c r="M9006" s="17"/>
      <c r="N9006" s="17" t="s">
        <v>21327</v>
      </c>
      <c r="O9006" s="17"/>
      <c r="P9006" s="17" t="s">
        <v>42646</v>
      </c>
      <c r="Q9006" s="17"/>
      <c r="R9006" s="25" t="str">
        <f>HYPERLINK("https://ictv.global/taxonomy/taxondetails?taxnode_id=202316115","Bramcovirus caenivivens")</f>
        <v>Bramcovirus caenivivens</v>
      </c>
      <c r="S9006" s="18" t="s">
        <v>30</v>
      </c>
      <c r="T9006" s="18" t="s">
        <v>42649</v>
      </c>
      <c r="U9006" s="18"/>
      <c r="V9006" s="18"/>
      <c r="W9006" s="18" t="s">
        <v>42650</v>
      </c>
      <c r="X9006" s="18" t="s">
        <v>35</v>
      </c>
      <c r="Y9006" s="18" t="s">
        <v>17171</v>
      </c>
      <c r="Z9006" s="18" t="s">
        <v>24637</v>
      </c>
      <c r="AA9006" s="21" t="str">
        <f>HYPERLINK("https://www.ncbi.nlm.nih.gov/nuccore/CASDWV010000839","NCBI Nucleotide")</f>
        <v>NCBI Nucleotide</v>
      </c>
    </row>
    <row r="9007" spans="1:27" x14ac:dyDescent="0.35">
      <c r="A9007">
        <v>1025940</v>
      </c>
      <c r="B9007">
        <v>8332</v>
      </c>
      <c r="C9007">
        <v>1</v>
      </c>
      <c r="D9007" s="17" t="s">
        <v>17166</v>
      </c>
      <c r="E9007" s="17"/>
      <c r="F9007" s="17" t="s">
        <v>17246</v>
      </c>
      <c r="G9007" s="17"/>
      <c r="H9007" s="17" t="s">
        <v>20919</v>
      </c>
      <c r="I9007" s="17"/>
      <c r="J9007" s="17" t="s">
        <v>21313</v>
      </c>
      <c r="K9007" s="17"/>
      <c r="L9007" s="17" t="s">
        <v>21326</v>
      </c>
      <c r="M9007" s="17"/>
      <c r="N9007" s="17" t="s">
        <v>21327</v>
      </c>
      <c r="O9007" s="17"/>
      <c r="P9007" s="17" t="s">
        <v>42651</v>
      </c>
      <c r="Q9007" s="17"/>
      <c r="R9007" s="25" t="str">
        <f>HYPERLINK("https://ictv.global/taxonomy/taxondetails?taxnode_id=202316116","Bramkuvirus solicola")</f>
        <v>Bramkuvirus solicola</v>
      </c>
      <c r="S9007" s="18" t="s">
        <v>30</v>
      </c>
      <c r="T9007" s="18" t="s">
        <v>42652</v>
      </c>
      <c r="U9007" s="18"/>
      <c r="V9007" s="18"/>
      <c r="W9007" s="18" t="s">
        <v>42653</v>
      </c>
      <c r="X9007" s="18" t="s">
        <v>35</v>
      </c>
      <c r="Y9007" s="18" t="s">
        <v>17171</v>
      </c>
      <c r="Z9007" s="18" t="s">
        <v>24637</v>
      </c>
      <c r="AA9007" s="21" t="str">
        <f>HYPERLINK("https://www.ncbi.nlm.nih.gov/nuccore/CASDWV010000776","NCBI Nucleotide")</f>
        <v>NCBI Nucleotide</v>
      </c>
    </row>
    <row r="9008" spans="1:27" x14ac:dyDescent="0.35">
      <c r="A9008">
        <v>1025941</v>
      </c>
      <c r="B9008">
        <v>8333</v>
      </c>
      <c r="C9008">
        <v>1</v>
      </c>
      <c r="D9008" s="17" t="s">
        <v>17166</v>
      </c>
      <c r="E9008" s="17"/>
      <c r="F9008" s="17" t="s">
        <v>17246</v>
      </c>
      <c r="G9008" s="17"/>
      <c r="H9008" s="17" t="s">
        <v>20919</v>
      </c>
      <c r="I9008" s="17"/>
      <c r="J9008" s="17" t="s">
        <v>21313</v>
      </c>
      <c r="K9008" s="17"/>
      <c r="L9008" s="17" t="s">
        <v>21326</v>
      </c>
      <c r="M9008" s="17"/>
      <c r="N9008" s="17" t="s">
        <v>21327</v>
      </c>
      <c r="O9008" s="17"/>
      <c r="P9008" s="17" t="s">
        <v>42654</v>
      </c>
      <c r="Q9008" s="17"/>
      <c r="R9008" s="25" t="str">
        <f>HYPERLINK("https://ictv.global/taxonomy/taxondetails?taxnode_id=202316117","Branavirus faecadaptatum")</f>
        <v>Branavirus faecadaptatum</v>
      </c>
      <c r="S9008" s="18" t="s">
        <v>30</v>
      </c>
      <c r="T9008" s="18" t="s">
        <v>42655</v>
      </c>
      <c r="U9008" s="18"/>
      <c r="V9008" s="18" t="s">
        <v>42655</v>
      </c>
      <c r="W9008" s="18" t="s">
        <v>42656</v>
      </c>
      <c r="X9008" s="18" t="s">
        <v>35</v>
      </c>
      <c r="Y9008" s="18" t="s">
        <v>17171</v>
      </c>
      <c r="Z9008" s="18" t="s">
        <v>24637</v>
      </c>
      <c r="AA9008" s="21" t="str">
        <f>HYPERLINK("https://www.ncbi.nlm.nih.gov/nuccore/ON162890","NCBI Nucleotide")</f>
        <v>NCBI Nucleotide</v>
      </c>
    </row>
    <row r="9009" spans="1:27" x14ac:dyDescent="0.35">
      <c r="A9009">
        <v>1025942</v>
      </c>
      <c r="B9009">
        <v>8334</v>
      </c>
      <c r="C9009">
        <v>1</v>
      </c>
      <c r="D9009" s="17" t="s">
        <v>17166</v>
      </c>
      <c r="E9009" s="17"/>
      <c r="F9009" s="17" t="s">
        <v>17246</v>
      </c>
      <c r="G9009" s="17"/>
      <c r="H9009" s="17" t="s">
        <v>20919</v>
      </c>
      <c r="I9009" s="17"/>
      <c r="J9009" s="17" t="s">
        <v>21313</v>
      </c>
      <c r="K9009" s="17"/>
      <c r="L9009" s="17" t="s">
        <v>21326</v>
      </c>
      <c r="M9009" s="17"/>
      <c r="N9009" s="17" t="s">
        <v>21327</v>
      </c>
      <c r="O9009" s="17"/>
      <c r="P9009" s="17" t="s">
        <v>42657</v>
      </c>
      <c r="Q9009" s="17"/>
      <c r="R9009" s="25" t="str">
        <f>HYPERLINK("https://ictv.global/taxonomy/taxondetails?taxnode_id=202316118","Brandovirus pedocola")</f>
        <v>Brandovirus pedocola</v>
      </c>
      <c r="S9009" s="18" t="s">
        <v>30</v>
      </c>
      <c r="T9009" s="18" t="s">
        <v>42658</v>
      </c>
      <c r="U9009" s="18"/>
      <c r="V9009" s="18"/>
      <c r="W9009" s="18" t="s">
        <v>42659</v>
      </c>
      <c r="X9009" s="18" t="s">
        <v>35</v>
      </c>
      <c r="Y9009" s="18" t="s">
        <v>17171</v>
      </c>
      <c r="Z9009" s="18" t="s">
        <v>24637</v>
      </c>
      <c r="AA9009" s="21" t="str">
        <f>HYPERLINK("https://www.ncbi.nlm.nih.gov/nuccore/CASDWV010001464","NCBI Nucleotide")</f>
        <v>NCBI Nucleotide</v>
      </c>
    </row>
    <row r="9010" spans="1:27" x14ac:dyDescent="0.35">
      <c r="A9010">
        <v>1025943</v>
      </c>
      <c r="B9010">
        <v>8335</v>
      </c>
      <c r="C9010">
        <v>1</v>
      </c>
      <c r="D9010" s="17" t="s">
        <v>17166</v>
      </c>
      <c r="E9010" s="17"/>
      <c r="F9010" s="17" t="s">
        <v>17246</v>
      </c>
      <c r="G9010" s="17"/>
      <c r="H9010" s="17" t="s">
        <v>20919</v>
      </c>
      <c r="I9010" s="17"/>
      <c r="J9010" s="17" t="s">
        <v>21313</v>
      </c>
      <c r="K9010" s="17"/>
      <c r="L9010" s="17" t="s">
        <v>21326</v>
      </c>
      <c r="M9010" s="17"/>
      <c r="N9010" s="17" t="s">
        <v>21327</v>
      </c>
      <c r="O9010" s="17"/>
      <c r="P9010" s="17" t="s">
        <v>42660</v>
      </c>
      <c r="Q9010" s="17"/>
      <c r="R9010" s="25" t="str">
        <f>HYPERLINK("https://ictv.global/taxonomy/taxondetails?taxnode_id=202316119","Brehdfovirus agrihabitans")</f>
        <v>Brehdfovirus agrihabitans</v>
      </c>
      <c r="S9010" s="18" t="s">
        <v>30</v>
      </c>
      <c r="T9010" s="18" t="s">
        <v>42661</v>
      </c>
      <c r="U9010" s="18"/>
      <c r="V9010" s="18"/>
      <c r="W9010" s="18" t="s">
        <v>42662</v>
      </c>
      <c r="X9010" s="18" t="s">
        <v>35</v>
      </c>
      <c r="Y9010" s="18" t="s">
        <v>17171</v>
      </c>
      <c r="Z9010" s="18" t="s">
        <v>24637</v>
      </c>
      <c r="AA9010" s="21" t="str">
        <f>HYPERLINK("https://www.ncbi.nlm.nih.gov/nuccore/CASDWV010000886","NCBI Nucleotide")</f>
        <v>NCBI Nucleotide</v>
      </c>
    </row>
    <row r="9011" spans="1:27" x14ac:dyDescent="0.35">
      <c r="A9011">
        <v>1025954</v>
      </c>
      <c r="B9011">
        <v>8336</v>
      </c>
      <c r="C9011">
        <v>1</v>
      </c>
      <c r="D9011" s="17" t="s">
        <v>17166</v>
      </c>
      <c r="E9011" s="17"/>
      <c r="F9011" s="17" t="s">
        <v>17246</v>
      </c>
      <c r="G9011" s="17"/>
      <c r="H9011" s="17" t="s">
        <v>20919</v>
      </c>
      <c r="I9011" s="17"/>
      <c r="J9011" s="17" t="s">
        <v>21313</v>
      </c>
      <c r="K9011" s="17"/>
      <c r="L9011" s="17" t="s">
        <v>21326</v>
      </c>
      <c r="M9011" s="17"/>
      <c r="N9011" s="17" t="s">
        <v>21327</v>
      </c>
      <c r="O9011" s="17"/>
      <c r="P9011" s="17" t="s">
        <v>42663</v>
      </c>
      <c r="Q9011" s="17"/>
      <c r="R9011" s="25" t="str">
        <f>HYPERLINK("https://ictv.global/taxonomy/taxondetails?taxnode_id=202316120","Broetwevirus geoadaptatum")</f>
        <v>Broetwevirus geoadaptatum</v>
      </c>
      <c r="S9011" s="18" t="s">
        <v>30</v>
      </c>
      <c r="T9011" s="18" t="s">
        <v>42664</v>
      </c>
      <c r="U9011" s="18"/>
      <c r="V9011" s="18"/>
      <c r="W9011" s="18" t="s">
        <v>42665</v>
      </c>
      <c r="X9011" s="18" t="s">
        <v>35</v>
      </c>
      <c r="Y9011" s="18" t="s">
        <v>17171</v>
      </c>
      <c r="Z9011" s="18" t="s">
        <v>24637</v>
      </c>
      <c r="AA9011" s="21" t="str">
        <f>HYPERLINK("https://www.ncbi.nlm.nih.gov/nuccore/CASDWV010000167","NCBI Nucleotide")</f>
        <v>NCBI Nucleotide</v>
      </c>
    </row>
    <row r="9012" spans="1:27" x14ac:dyDescent="0.35">
      <c r="A9012">
        <v>1009397</v>
      </c>
      <c r="B9012">
        <v>8337</v>
      </c>
      <c r="C9012">
        <v>1</v>
      </c>
      <c r="D9012" s="17" t="s">
        <v>17166</v>
      </c>
      <c r="E9012" s="17"/>
      <c r="F9012" s="17" t="s">
        <v>17246</v>
      </c>
      <c r="G9012" s="17"/>
      <c r="H9012" s="17" t="s">
        <v>20919</v>
      </c>
      <c r="I9012" s="17"/>
      <c r="J9012" s="17" t="s">
        <v>21313</v>
      </c>
      <c r="K9012" s="17"/>
      <c r="L9012" s="17" t="s">
        <v>21326</v>
      </c>
      <c r="M9012" s="17"/>
      <c r="N9012" s="17" t="s">
        <v>21327</v>
      </c>
      <c r="O9012" s="17"/>
      <c r="P9012" s="17" t="s">
        <v>42666</v>
      </c>
      <c r="Q9012" s="17"/>
      <c r="R9012" s="25" t="str">
        <f>HYPERLINK("https://ictv.global/taxonomy/taxondetails?taxnode_id=202310764","Bruncluvirus chorohabitans")</f>
        <v>Bruncluvirus chorohabitans</v>
      </c>
      <c r="S9012" s="18" t="s">
        <v>30</v>
      </c>
      <c r="T9012" s="18" t="s">
        <v>21442</v>
      </c>
      <c r="U9012" s="18"/>
      <c r="V9012" s="18"/>
      <c r="W9012" s="18" t="s">
        <v>21443</v>
      </c>
      <c r="X9012" s="18" t="s">
        <v>35</v>
      </c>
      <c r="Y9012" s="18" t="s">
        <v>17171</v>
      </c>
      <c r="Z9012" s="18" t="s">
        <v>697</v>
      </c>
      <c r="AA9012" s="21" t="str">
        <f>HYPERLINK("https://www.ncbi.nlm.nih.gov/nuccore/BK013885","NCBI Nucleotide")</f>
        <v>NCBI Nucleotide</v>
      </c>
    </row>
    <row r="9013" spans="1:27" x14ac:dyDescent="0.35">
      <c r="A9013">
        <v>1026039</v>
      </c>
      <c r="B9013">
        <v>8338</v>
      </c>
      <c r="C9013">
        <v>1</v>
      </c>
      <c r="D9013" s="17" t="s">
        <v>17166</v>
      </c>
      <c r="E9013" s="17"/>
      <c r="F9013" s="17" t="s">
        <v>17246</v>
      </c>
      <c r="G9013" s="17"/>
      <c r="H9013" s="17" t="s">
        <v>20919</v>
      </c>
      <c r="I9013" s="17"/>
      <c r="J9013" s="17" t="s">
        <v>21313</v>
      </c>
      <c r="K9013" s="17"/>
      <c r="L9013" s="17" t="s">
        <v>21326</v>
      </c>
      <c r="M9013" s="17"/>
      <c r="N9013" s="17" t="s">
        <v>21327</v>
      </c>
      <c r="O9013" s="17"/>
      <c r="P9013" s="17" t="s">
        <v>42666</v>
      </c>
      <c r="Q9013" s="17"/>
      <c r="R9013" s="25" t="str">
        <f>HYPERLINK("https://ictv.global/taxonomy/taxondetails?taxnode_id=202316121","Bruncluvirus humenecus")</f>
        <v>Bruncluvirus humenecus</v>
      </c>
      <c r="S9013" s="18" t="s">
        <v>30</v>
      </c>
      <c r="T9013" s="18" t="s">
        <v>42667</v>
      </c>
      <c r="U9013" s="18"/>
      <c r="V9013" s="18"/>
      <c r="W9013" s="18" t="s">
        <v>42668</v>
      </c>
      <c r="X9013" s="18" t="s">
        <v>35</v>
      </c>
      <c r="Y9013" s="18" t="s">
        <v>17171</v>
      </c>
      <c r="Z9013" s="18" t="s">
        <v>24637</v>
      </c>
      <c r="AA9013" s="21" t="str">
        <f>HYPERLINK("https://www.ncbi.nlm.nih.gov/nuccore/CASDWV010000749","NCBI Nucleotide")</f>
        <v>NCBI Nucleotide</v>
      </c>
    </row>
    <row r="9014" spans="1:27" x14ac:dyDescent="0.35">
      <c r="A9014">
        <v>1026040</v>
      </c>
      <c r="B9014">
        <v>8339</v>
      </c>
      <c r="C9014">
        <v>1</v>
      </c>
      <c r="D9014" s="17" t="s">
        <v>17166</v>
      </c>
      <c r="E9014" s="17"/>
      <c r="F9014" s="17" t="s">
        <v>17246</v>
      </c>
      <c r="G9014" s="17"/>
      <c r="H9014" s="17" t="s">
        <v>20919</v>
      </c>
      <c r="I9014" s="17"/>
      <c r="J9014" s="17" t="s">
        <v>21313</v>
      </c>
      <c r="K9014" s="17"/>
      <c r="L9014" s="17" t="s">
        <v>21326</v>
      </c>
      <c r="M9014" s="17"/>
      <c r="N9014" s="17" t="s">
        <v>21327</v>
      </c>
      <c r="O9014" s="17"/>
      <c r="P9014" s="17" t="s">
        <v>42666</v>
      </c>
      <c r="Q9014" s="17"/>
      <c r="R9014" s="25" t="str">
        <f>HYPERLINK("https://ictv.global/taxonomy/taxondetails?taxnode_id=202316122","Bruncluvirus humivivens")</f>
        <v>Bruncluvirus humivivens</v>
      </c>
      <c r="S9014" s="18" t="s">
        <v>30</v>
      </c>
      <c r="T9014" s="18" t="s">
        <v>42669</v>
      </c>
      <c r="U9014" s="18"/>
      <c r="V9014" s="18"/>
      <c r="W9014" s="18" t="s">
        <v>42670</v>
      </c>
      <c r="X9014" s="18" t="s">
        <v>35</v>
      </c>
      <c r="Y9014" s="18" t="s">
        <v>17171</v>
      </c>
      <c r="Z9014" s="18" t="s">
        <v>24637</v>
      </c>
      <c r="AA9014" s="21" t="str">
        <f>HYPERLINK("https://www.ncbi.nlm.nih.gov/nuccore/CASDWV010001996","NCBI Nucleotide")</f>
        <v>NCBI Nucleotide</v>
      </c>
    </row>
    <row r="9015" spans="1:27" x14ac:dyDescent="0.35">
      <c r="A9015">
        <v>1026041</v>
      </c>
      <c r="B9015">
        <v>8340</v>
      </c>
      <c r="C9015">
        <v>1</v>
      </c>
      <c r="D9015" s="17" t="s">
        <v>17166</v>
      </c>
      <c r="E9015" s="17"/>
      <c r="F9015" s="17" t="s">
        <v>17246</v>
      </c>
      <c r="G9015" s="17"/>
      <c r="H9015" s="17" t="s">
        <v>20919</v>
      </c>
      <c r="I9015" s="17"/>
      <c r="J9015" s="17" t="s">
        <v>21313</v>
      </c>
      <c r="K9015" s="17"/>
      <c r="L9015" s="17" t="s">
        <v>21326</v>
      </c>
      <c r="M9015" s="17"/>
      <c r="N9015" s="17" t="s">
        <v>21327</v>
      </c>
      <c r="O9015" s="17"/>
      <c r="P9015" s="17" t="s">
        <v>42666</v>
      </c>
      <c r="Q9015" s="17"/>
      <c r="R9015" s="25" t="str">
        <f>HYPERLINK("https://ictv.global/taxonomy/taxondetails?taxnode_id=202316123","Bruncluvirus messicola")</f>
        <v>Bruncluvirus messicola</v>
      </c>
      <c r="S9015" s="18" t="s">
        <v>30</v>
      </c>
      <c r="T9015" s="18" t="s">
        <v>42671</v>
      </c>
      <c r="U9015" s="18"/>
      <c r="V9015" s="18"/>
      <c r="W9015" s="18" t="s">
        <v>42672</v>
      </c>
      <c r="X9015" s="18" t="s">
        <v>35</v>
      </c>
      <c r="Y9015" s="18" t="s">
        <v>17171</v>
      </c>
      <c r="Z9015" s="18" t="s">
        <v>24637</v>
      </c>
      <c r="AA9015" s="21" t="str">
        <f>HYPERLINK("https://www.ncbi.nlm.nih.gov/nuccore/CASDWV010001309","NCBI Nucleotide")</f>
        <v>NCBI Nucleotide</v>
      </c>
    </row>
    <row r="9016" spans="1:27" x14ac:dyDescent="0.35">
      <c r="A9016">
        <v>1026042</v>
      </c>
      <c r="B9016">
        <v>8341</v>
      </c>
      <c r="C9016">
        <v>1</v>
      </c>
      <c r="D9016" s="17" t="s">
        <v>17166</v>
      </c>
      <c r="E9016" s="17"/>
      <c r="F9016" s="17" t="s">
        <v>17246</v>
      </c>
      <c r="G9016" s="17"/>
      <c r="H9016" s="17" t="s">
        <v>20919</v>
      </c>
      <c r="I9016" s="17"/>
      <c r="J9016" s="17" t="s">
        <v>21313</v>
      </c>
      <c r="K9016" s="17"/>
      <c r="L9016" s="17" t="s">
        <v>21326</v>
      </c>
      <c r="M9016" s="17"/>
      <c r="N9016" s="17" t="s">
        <v>21327</v>
      </c>
      <c r="O9016" s="17"/>
      <c r="P9016" s="17" t="s">
        <v>42666</v>
      </c>
      <c r="Q9016" s="17"/>
      <c r="R9016" s="25" t="str">
        <f>HYPERLINK("https://ictv.global/taxonomy/taxondetails?taxnode_id=202316124","Bruncluvirus messivivens")</f>
        <v>Bruncluvirus messivivens</v>
      </c>
      <c r="S9016" s="18" t="s">
        <v>30</v>
      </c>
      <c r="T9016" s="18" t="s">
        <v>42673</v>
      </c>
      <c r="U9016" s="18"/>
      <c r="V9016" s="18"/>
      <c r="W9016" s="18" t="s">
        <v>42674</v>
      </c>
      <c r="X9016" s="18" t="s">
        <v>35</v>
      </c>
      <c r="Y9016" s="18" t="s">
        <v>17171</v>
      </c>
      <c r="Z9016" s="18" t="s">
        <v>24637</v>
      </c>
      <c r="AA9016" s="21" t="str">
        <f>HYPERLINK("https://www.ncbi.nlm.nih.gov/nuccore/CASDWV010002028","NCBI Nucleotide")</f>
        <v>NCBI Nucleotide</v>
      </c>
    </row>
    <row r="9017" spans="1:27" x14ac:dyDescent="0.35">
      <c r="A9017">
        <v>1026043</v>
      </c>
      <c r="B9017">
        <v>8342</v>
      </c>
      <c r="C9017">
        <v>1</v>
      </c>
      <c r="D9017" s="17" t="s">
        <v>17166</v>
      </c>
      <c r="E9017" s="17"/>
      <c r="F9017" s="17" t="s">
        <v>17246</v>
      </c>
      <c r="G9017" s="17"/>
      <c r="H9017" s="17" t="s">
        <v>20919</v>
      </c>
      <c r="I9017" s="17"/>
      <c r="J9017" s="17" t="s">
        <v>21313</v>
      </c>
      <c r="K9017" s="17"/>
      <c r="L9017" s="17" t="s">
        <v>21326</v>
      </c>
      <c r="M9017" s="17"/>
      <c r="N9017" s="17" t="s">
        <v>21327</v>
      </c>
      <c r="O9017" s="17"/>
      <c r="P9017" s="17" t="s">
        <v>42666</v>
      </c>
      <c r="Q9017" s="17"/>
      <c r="R9017" s="25" t="str">
        <f>HYPERLINK("https://ictv.global/taxonomy/taxondetails?taxnode_id=202316125","Bruncluvirus pedadaptatum")</f>
        <v>Bruncluvirus pedadaptatum</v>
      </c>
      <c r="S9017" s="18" t="s">
        <v>30</v>
      </c>
      <c r="T9017" s="18" t="s">
        <v>42675</v>
      </c>
      <c r="U9017" s="18"/>
      <c r="V9017" s="18"/>
      <c r="W9017" s="18" t="s">
        <v>42676</v>
      </c>
      <c r="X9017" s="18" t="s">
        <v>35</v>
      </c>
      <c r="Y9017" s="18" t="s">
        <v>17171</v>
      </c>
      <c r="Z9017" s="18" t="s">
        <v>24637</v>
      </c>
      <c r="AA9017" s="21" t="str">
        <f>HYPERLINK("https://www.ncbi.nlm.nih.gov/nuccore/CASDWV010000958","NCBI Nucleotide")</f>
        <v>NCBI Nucleotide</v>
      </c>
    </row>
    <row r="9018" spans="1:27" x14ac:dyDescent="0.35">
      <c r="A9018">
        <v>1026044</v>
      </c>
      <c r="B9018">
        <v>8343</v>
      </c>
      <c r="C9018">
        <v>1</v>
      </c>
      <c r="D9018" s="17" t="s">
        <v>17166</v>
      </c>
      <c r="E9018" s="17"/>
      <c r="F9018" s="17" t="s">
        <v>17246</v>
      </c>
      <c r="G9018" s="17"/>
      <c r="H9018" s="17" t="s">
        <v>20919</v>
      </c>
      <c r="I9018" s="17"/>
      <c r="J9018" s="17" t="s">
        <v>21313</v>
      </c>
      <c r="K9018" s="17"/>
      <c r="L9018" s="17" t="s">
        <v>21326</v>
      </c>
      <c r="M9018" s="17"/>
      <c r="N9018" s="17" t="s">
        <v>21327</v>
      </c>
      <c r="O9018" s="17"/>
      <c r="P9018" s="17" t="s">
        <v>42666</v>
      </c>
      <c r="Q9018" s="17"/>
      <c r="R9018" s="25" t="str">
        <f>HYPERLINK("https://ictv.global/taxonomy/taxondetails?taxnode_id=202316126","Bruncluvirus pedovicinum")</f>
        <v>Bruncluvirus pedovicinum</v>
      </c>
      <c r="S9018" s="18" t="s">
        <v>30</v>
      </c>
      <c r="T9018" s="18" t="s">
        <v>42677</v>
      </c>
      <c r="U9018" s="18"/>
      <c r="V9018" s="18"/>
      <c r="W9018" s="18" t="s">
        <v>42678</v>
      </c>
      <c r="X9018" s="18" t="s">
        <v>35</v>
      </c>
      <c r="Y9018" s="18" t="s">
        <v>17171</v>
      </c>
      <c r="Z9018" s="18" t="s">
        <v>24637</v>
      </c>
      <c r="AA9018" s="21" t="str">
        <f>HYPERLINK("https://www.ncbi.nlm.nih.gov/nuccore/CASDWV010000904","NCBI Nucleotide")</f>
        <v>NCBI Nucleotide</v>
      </c>
    </row>
    <row r="9019" spans="1:27" x14ac:dyDescent="0.35">
      <c r="A9019">
        <v>1026045</v>
      </c>
      <c r="B9019">
        <v>8344</v>
      </c>
      <c r="C9019">
        <v>1</v>
      </c>
      <c r="D9019" s="17" t="s">
        <v>17166</v>
      </c>
      <c r="E9019" s="17"/>
      <c r="F9019" s="17" t="s">
        <v>17246</v>
      </c>
      <c r="G9019" s="17"/>
      <c r="H9019" s="17" t="s">
        <v>20919</v>
      </c>
      <c r="I9019" s="17"/>
      <c r="J9019" s="17" t="s">
        <v>21313</v>
      </c>
      <c r="K9019" s="17"/>
      <c r="L9019" s="17" t="s">
        <v>21326</v>
      </c>
      <c r="M9019" s="17"/>
      <c r="N9019" s="17" t="s">
        <v>21327</v>
      </c>
      <c r="O9019" s="17"/>
      <c r="P9019" s="17" t="s">
        <v>42666</v>
      </c>
      <c r="Q9019" s="17"/>
      <c r="R9019" s="25" t="str">
        <f>HYPERLINK("https://ictv.global/taxonomy/taxondetails?taxnode_id=202316127","Bruncluvirus radicihabitans")</f>
        <v>Bruncluvirus radicihabitans</v>
      </c>
      <c r="S9019" s="18" t="s">
        <v>30</v>
      </c>
      <c r="T9019" s="18" t="s">
        <v>42679</v>
      </c>
      <c r="U9019" s="18"/>
      <c r="V9019" s="18"/>
      <c r="W9019" s="18" t="s">
        <v>42680</v>
      </c>
      <c r="X9019" s="18" t="s">
        <v>35</v>
      </c>
      <c r="Y9019" s="18" t="s">
        <v>17171</v>
      </c>
      <c r="Z9019" s="18" t="s">
        <v>24637</v>
      </c>
      <c r="AA9019" s="21" t="str">
        <f>HYPERLINK("https://www.ncbi.nlm.nih.gov/nuccore/CASDWV010001305","NCBI Nucleotide")</f>
        <v>NCBI Nucleotide</v>
      </c>
    </row>
    <row r="9020" spans="1:27" x14ac:dyDescent="0.35">
      <c r="A9020">
        <v>1026046</v>
      </c>
      <c r="B9020">
        <v>8345</v>
      </c>
      <c r="C9020">
        <v>1</v>
      </c>
      <c r="D9020" s="17" t="s">
        <v>17166</v>
      </c>
      <c r="E9020" s="17"/>
      <c r="F9020" s="17" t="s">
        <v>17246</v>
      </c>
      <c r="G9020" s="17"/>
      <c r="H9020" s="17" t="s">
        <v>20919</v>
      </c>
      <c r="I9020" s="17"/>
      <c r="J9020" s="17" t="s">
        <v>21313</v>
      </c>
      <c r="K9020" s="17"/>
      <c r="L9020" s="17" t="s">
        <v>21326</v>
      </c>
      <c r="M9020" s="17"/>
      <c r="N9020" s="17" t="s">
        <v>21327</v>
      </c>
      <c r="O9020" s="17"/>
      <c r="P9020" s="17" t="s">
        <v>42666</v>
      </c>
      <c r="Q9020" s="17"/>
      <c r="R9020" s="25" t="str">
        <f>HYPERLINK("https://ictv.global/taxonomy/taxondetails?taxnode_id=202316128","Bruncluvirus solicola")</f>
        <v>Bruncluvirus solicola</v>
      </c>
      <c r="S9020" s="18" t="s">
        <v>30</v>
      </c>
      <c r="T9020" s="18" t="s">
        <v>42681</v>
      </c>
      <c r="U9020" s="18"/>
      <c r="V9020" s="18"/>
      <c r="W9020" s="18" t="s">
        <v>42682</v>
      </c>
      <c r="X9020" s="18" t="s">
        <v>35</v>
      </c>
      <c r="Y9020" s="18" t="s">
        <v>17171</v>
      </c>
      <c r="Z9020" s="18" t="s">
        <v>24637</v>
      </c>
      <c r="AA9020" s="21" t="str">
        <f>HYPERLINK("https://www.ncbi.nlm.nih.gov/nuccore/CASDWV010001993","NCBI Nucleotide")</f>
        <v>NCBI Nucleotide</v>
      </c>
    </row>
    <row r="9021" spans="1:27" x14ac:dyDescent="0.35">
      <c r="A9021">
        <v>1026047</v>
      </c>
      <c r="B9021">
        <v>8346</v>
      </c>
      <c r="C9021">
        <v>1</v>
      </c>
      <c r="D9021" s="17" t="s">
        <v>17166</v>
      </c>
      <c r="E9021" s="17"/>
      <c r="F9021" s="17" t="s">
        <v>17246</v>
      </c>
      <c r="G9021" s="17"/>
      <c r="H9021" s="17" t="s">
        <v>20919</v>
      </c>
      <c r="I9021" s="17"/>
      <c r="J9021" s="17" t="s">
        <v>21313</v>
      </c>
      <c r="K9021" s="17"/>
      <c r="L9021" s="17" t="s">
        <v>21326</v>
      </c>
      <c r="M9021" s="17"/>
      <c r="N9021" s="17" t="s">
        <v>21327</v>
      </c>
      <c r="O9021" s="17"/>
      <c r="P9021" s="17" t="s">
        <v>42683</v>
      </c>
      <c r="Q9021" s="17"/>
      <c r="R9021" s="25" t="str">
        <f>HYPERLINK("https://ictv.global/taxonomy/taxondetails?taxnode_id=202316129","Buckevirus limicola")</f>
        <v>Buckevirus limicola</v>
      </c>
      <c r="S9021" s="18" t="s">
        <v>30</v>
      </c>
      <c r="T9021" s="18" t="s">
        <v>42684</v>
      </c>
      <c r="U9021" s="18"/>
      <c r="V9021" s="18"/>
      <c r="W9021" s="18" t="s">
        <v>42685</v>
      </c>
      <c r="X9021" s="18" t="s">
        <v>35</v>
      </c>
      <c r="Y9021" s="18" t="s">
        <v>17171</v>
      </c>
      <c r="Z9021" s="18" t="s">
        <v>24637</v>
      </c>
      <c r="AA9021" s="21" t="str">
        <f>HYPERLINK("https://www.ncbi.nlm.nih.gov/nuccore/CASDWV010005013","NCBI Nucleotide")</f>
        <v>NCBI Nucleotide</v>
      </c>
    </row>
    <row r="9022" spans="1:27" x14ac:dyDescent="0.35">
      <c r="A9022">
        <v>1026048</v>
      </c>
      <c r="B9022">
        <v>8347</v>
      </c>
      <c r="C9022">
        <v>1</v>
      </c>
      <c r="D9022" s="17" t="s">
        <v>17166</v>
      </c>
      <c r="E9022" s="17"/>
      <c r="F9022" s="17" t="s">
        <v>17246</v>
      </c>
      <c r="G9022" s="17"/>
      <c r="H9022" s="17" t="s">
        <v>20919</v>
      </c>
      <c r="I9022" s="17"/>
      <c r="J9022" s="17" t="s">
        <v>21313</v>
      </c>
      <c r="K9022" s="17"/>
      <c r="L9022" s="17" t="s">
        <v>21326</v>
      </c>
      <c r="M9022" s="17"/>
      <c r="N9022" s="17" t="s">
        <v>21327</v>
      </c>
      <c r="O9022" s="17"/>
      <c r="P9022" s="17" t="s">
        <v>42683</v>
      </c>
      <c r="Q9022" s="17"/>
      <c r="R9022" s="25" t="str">
        <f>HYPERLINK("https://ictv.global/taxonomy/taxondetails?taxnode_id=202316130","Buckevirus pedocola")</f>
        <v>Buckevirus pedocola</v>
      </c>
      <c r="S9022" s="18" t="s">
        <v>30</v>
      </c>
      <c r="T9022" s="18" t="s">
        <v>42686</v>
      </c>
      <c r="U9022" s="18"/>
      <c r="V9022" s="18"/>
      <c r="W9022" s="18" t="s">
        <v>42687</v>
      </c>
      <c r="X9022" s="18" t="s">
        <v>35</v>
      </c>
      <c r="Y9022" s="18" t="s">
        <v>17171</v>
      </c>
      <c r="Z9022" s="18" t="s">
        <v>24637</v>
      </c>
      <c r="AA9022" s="21" t="str">
        <f>HYPERLINK("https://www.ncbi.nlm.nih.gov/nuccore/CASDWV010001300","NCBI Nucleotide")</f>
        <v>NCBI Nucleotide</v>
      </c>
    </row>
    <row r="9023" spans="1:27" x14ac:dyDescent="0.35">
      <c r="A9023">
        <v>1026049</v>
      </c>
      <c r="B9023">
        <v>8348</v>
      </c>
      <c r="C9023">
        <v>1</v>
      </c>
      <c r="D9023" s="17" t="s">
        <v>17166</v>
      </c>
      <c r="E9023" s="17"/>
      <c r="F9023" s="17" t="s">
        <v>17246</v>
      </c>
      <c r="G9023" s="17"/>
      <c r="H9023" s="17" t="s">
        <v>20919</v>
      </c>
      <c r="I9023" s="17"/>
      <c r="J9023" s="17" t="s">
        <v>21313</v>
      </c>
      <c r="K9023" s="17"/>
      <c r="L9023" s="17" t="s">
        <v>21326</v>
      </c>
      <c r="M9023" s="17"/>
      <c r="N9023" s="17" t="s">
        <v>21327</v>
      </c>
      <c r="O9023" s="17"/>
      <c r="P9023" s="17" t="s">
        <v>42688</v>
      </c>
      <c r="Q9023" s="17"/>
      <c r="R9023" s="25" t="str">
        <f>HYPERLINK("https://ictv.global/taxonomy/taxondetails?taxnode_id=202316131","Budprovirus humihabitans")</f>
        <v>Budprovirus humihabitans</v>
      </c>
      <c r="S9023" s="18" t="s">
        <v>30</v>
      </c>
      <c r="T9023" s="18" t="s">
        <v>42689</v>
      </c>
      <c r="U9023" s="18"/>
      <c r="V9023" s="18"/>
      <c r="W9023" s="18" t="s">
        <v>42690</v>
      </c>
      <c r="X9023" s="18" t="s">
        <v>35</v>
      </c>
      <c r="Y9023" s="18" t="s">
        <v>17171</v>
      </c>
      <c r="Z9023" s="18" t="s">
        <v>24637</v>
      </c>
      <c r="AA9023" s="21" t="str">
        <f>HYPERLINK("https://www.ncbi.nlm.nih.gov/nuccore/CASDWV010001444","NCBI Nucleotide")</f>
        <v>NCBI Nucleotide</v>
      </c>
    </row>
    <row r="9024" spans="1:27" x14ac:dyDescent="0.35">
      <c r="A9024">
        <v>1026031</v>
      </c>
      <c r="B9024">
        <v>8349</v>
      </c>
      <c r="C9024">
        <v>1</v>
      </c>
      <c r="D9024" s="17" t="s">
        <v>17166</v>
      </c>
      <c r="E9024" s="17"/>
      <c r="F9024" s="17" t="s">
        <v>17246</v>
      </c>
      <c r="G9024" s="17"/>
      <c r="H9024" s="17" t="s">
        <v>20919</v>
      </c>
      <c r="I9024" s="17"/>
      <c r="J9024" s="17" t="s">
        <v>21313</v>
      </c>
      <c r="K9024" s="17"/>
      <c r="L9024" s="17" t="s">
        <v>21326</v>
      </c>
      <c r="M9024" s="17"/>
      <c r="N9024" s="17" t="s">
        <v>21327</v>
      </c>
      <c r="O9024" s="17"/>
      <c r="P9024" s="17" t="s">
        <v>42691</v>
      </c>
      <c r="Q9024" s="17"/>
      <c r="R9024" s="25" t="str">
        <f>HYPERLINK("https://ictv.global/taxonomy/taxondetails?taxnode_id=202316132","Buhdlovirus chorovivens")</f>
        <v>Buhdlovirus chorovivens</v>
      </c>
      <c r="S9024" s="18" t="s">
        <v>30</v>
      </c>
      <c r="T9024" s="18" t="s">
        <v>42692</v>
      </c>
      <c r="U9024" s="18"/>
      <c r="V9024" s="18"/>
      <c r="W9024" s="18" t="s">
        <v>42693</v>
      </c>
      <c r="X9024" s="18" t="s">
        <v>35</v>
      </c>
      <c r="Y9024" s="18" t="s">
        <v>17171</v>
      </c>
      <c r="Z9024" s="18" t="s">
        <v>24637</v>
      </c>
      <c r="AA9024" s="21" t="str">
        <f>HYPERLINK("https://www.ncbi.nlm.nih.gov/nuccore/CASDWV010001921","NCBI Nucleotide")</f>
        <v>NCBI Nucleotide</v>
      </c>
    </row>
    <row r="9025" spans="1:27" x14ac:dyDescent="0.35">
      <c r="A9025">
        <v>1026034</v>
      </c>
      <c r="B9025">
        <v>8350</v>
      </c>
      <c r="C9025">
        <v>1</v>
      </c>
      <c r="D9025" s="17" t="s">
        <v>17166</v>
      </c>
      <c r="E9025" s="17"/>
      <c r="F9025" s="17" t="s">
        <v>17246</v>
      </c>
      <c r="G9025" s="17"/>
      <c r="H9025" s="17" t="s">
        <v>20919</v>
      </c>
      <c r="I9025" s="17"/>
      <c r="J9025" s="17" t="s">
        <v>21313</v>
      </c>
      <c r="K9025" s="17"/>
      <c r="L9025" s="17" t="s">
        <v>21326</v>
      </c>
      <c r="M9025" s="17"/>
      <c r="N9025" s="17" t="s">
        <v>21327</v>
      </c>
      <c r="O9025" s="17"/>
      <c r="P9025" s="17" t="s">
        <v>42694</v>
      </c>
      <c r="Q9025" s="17"/>
      <c r="R9025" s="25" t="str">
        <f>HYPERLINK("https://ictv.global/taxonomy/taxondetails?taxnode_id=202316133","Buhpbivirus caenenecus")</f>
        <v>Buhpbivirus caenenecus</v>
      </c>
      <c r="S9025" s="18" t="s">
        <v>30</v>
      </c>
      <c r="T9025" s="18" t="s">
        <v>42695</v>
      </c>
      <c r="U9025" s="18"/>
      <c r="V9025" s="18"/>
      <c r="W9025" s="18" t="s">
        <v>42696</v>
      </c>
      <c r="X9025" s="18" t="s">
        <v>35</v>
      </c>
      <c r="Y9025" s="18" t="s">
        <v>17171</v>
      </c>
      <c r="Z9025" s="18" t="s">
        <v>24637</v>
      </c>
      <c r="AA9025" s="21" t="str">
        <f>HYPERLINK("https://www.ncbi.nlm.nih.gov/nuccore/CASDWV010001256","NCBI Nucleotide")</f>
        <v>NCBI Nucleotide</v>
      </c>
    </row>
    <row r="9026" spans="1:27" x14ac:dyDescent="0.35">
      <c r="A9026">
        <v>1026036</v>
      </c>
      <c r="B9026">
        <v>8351</v>
      </c>
      <c r="C9026">
        <v>1</v>
      </c>
      <c r="D9026" s="17" t="s">
        <v>17166</v>
      </c>
      <c r="E9026" s="17"/>
      <c r="F9026" s="17" t="s">
        <v>17246</v>
      </c>
      <c r="G9026" s="17"/>
      <c r="H9026" s="17" t="s">
        <v>20919</v>
      </c>
      <c r="I9026" s="17"/>
      <c r="J9026" s="17" t="s">
        <v>21313</v>
      </c>
      <c r="K9026" s="17"/>
      <c r="L9026" s="17" t="s">
        <v>21326</v>
      </c>
      <c r="M9026" s="17"/>
      <c r="N9026" s="17" t="s">
        <v>21327</v>
      </c>
      <c r="O9026" s="17"/>
      <c r="P9026" s="17" t="s">
        <v>42697</v>
      </c>
      <c r="Q9026" s="17"/>
      <c r="R9026" s="25" t="str">
        <f>HYPERLINK("https://ictv.global/taxonomy/taxondetails?taxnode_id=202316134","Buhshwavirus geohabitans")</f>
        <v>Buhshwavirus geohabitans</v>
      </c>
      <c r="S9026" s="18" t="s">
        <v>30</v>
      </c>
      <c r="T9026" s="18" t="s">
        <v>42698</v>
      </c>
      <c r="U9026" s="18"/>
      <c r="V9026" s="18"/>
      <c r="W9026" s="18" t="s">
        <v>42699</v>
      </c>
      <c r="X9026" s="18" t="s">
        <v>35</v>
      </c>
      <c r="Y9026" s="18" t="s">
        <v>17171</v>
      </c>
      <c r="Z9026" s="18" t="s">
        <v>24637</v>
      </c>
      <c r="AA9026" s="21" t="str">
        <f>HYPERLINK("https://www.ncbi.nlm.nih.gov/nuccore/CASDWV010001889","NCBI Nucleotide")</f>
        <v>NCBI Nucleotide</v>
      </c>
    </row>
    <row r="9027" spans="1:27" x14ac:dyDescent="0.35">
      <c r="A9027">
        <v>1026037</v>
      </c>
      <c r="B9027">
        <v>8352</v>
      </c>
      <c r="C9027">
        <v>1</v>
      </c>
      <c r="D9027" s="17" t="s">
        <v>17166</v>
      </c>
      <c r="E9027" s="17"/>
      <c r="F9027" s="17" t="s">
        <v>17246</v>
      </c>
      <c r="G9027" s="17"/>
      <c r="H9027" s="17" t="s">
        <v>20919</v>
      </c>
      <c r="I9027" s="17"/>
      <c r="J9027" s="17" t="s">
        <v>21313</v>
      </c>
      <c r="K9027" s="17"/>
      <c r="L9027" s="17" t="s">
        <v>21326</v>
      </c>
      <c r="M9027" s="17"/>
      <c r="N9027" s="17" t="s">
        <v>21327</v>
      </c>
      <c r="O9027" s="17"/>
      <c r="P9027" s="17" t="s">
        <v>42700</v>
      </c>
      <c r="Q9027" s="17"/>
      <c r="R9027" s="25" t="str">
        <f>HYPERLINK("https://ictv.global/taxonomy/taxondetails?taxnode_id=202316135","Bulcivirus geovivens")</f>
        <v>Bulcivirus geovivens</v>
      </c>
      <c r="S9027" s="18" t="s">
        <v>30</v>
      </c>
      <c r="T9027" s="18" t="s">
        <v>42701</v>
      </c>
      <c r="U9027" s="18"/>
      <c r="V9027" s="18"/>
      <c r="W9027" s="18" t="s">
        <v>42702</v>
      </c>
      <c r="X9027" s="18" t="s">
        <v>35</v>
      </c>
      <c r="Y9027" s="18" t="s">
        <v>17171</v>
      </c>
      <c r="Z9027" s="18" t="s">
        <v>24637</v>
      </c>
      <c r="AA9027" s="21" t="str">
        <f>HYPERLINK("https://www.ncbi.nlm.nih.gov/nuccore/CASDWV010001466","NCBI Nucleotide")</f>
        <v>NCBI Nucleotide</v>
      </c>
    </row>
    <row r="9028" spans="1:27" x14ac:dyDescent="0.35">
      <c r="A9028">
        <v>1025995</v>
      </c>
      <c r="B9028">
        <v>8353</v>
      </c>
      <c r="C9028">
        <v>1</v>
      </c>
      <c r="D9028" s="17" t="s">
        <v>17166</v>
      </c>
      <c r="E9028" s="17"/>
      <c r="F9028" s="17" t="s">
        <v>17246</v>
      </c>
      <c r="G9028" s="17"/>
      <c r="H9028" s="17" t="s">
        <v>20919</v>
      </c>
      <c r="I9028" s="17"/>
      <c r="J9028" s="17" t="s">
        <v>21313</v>
      </c>
      <c r="K9028" s="17"/>
      <c r="L9028" s="17" t="s">
        <v>21326</v>
      </c>
      <c r="M9028" s="17"/>
      <c r="N9028" s="17" t="s">
        <v>21327</v>
      </c>
      <c r="O9028" s="17"/>
      <c r="P9028" s="17" t="s">
        <v>42703</v>
      </c>
      <c r="Q9028" s="17"/>
      <c r="R9028" s="25" t="str">
        <f>HYPERLINK("https://ictv.global/taxonomy/taxondetails?taxnode_id=202316136","Bunlevirus asiohabitans")</f>
        <v>Bunlevirus asiohabitans</v>
      </c>
      <c r="S9028" s="18" t="s">
        <v>30</v>
      </c>
      <c r="T9028" s="18" t="s">
        <v>42704</v>
      </c>
      <c r="U9028" s="18"/>
      <c r="V9028" s="18"/>
      <c r="W9028" s="18" t="s">
        <v>42705</v>
      </c>
      <c r="X9028" s="18" t="s">
        <v>35</v>
      </c>
      <c r="Y9028" s="18" t="s">
        <v>17171</v>
      </c>
      <c r="Z9028" s="18" t="s">
        <v>24637</v>
      </c>
      <c r="AA9028" s="21" t="str">
        <f>HYPERLINK("https://www.ncbi.nlm.nih.gov/nuccore/CASDWV010002724","NCBI Nucleotide")</f>
        <v>NCBI Nucleotide</v>
      </c>
    </row>
    <row r="9029" spans="1:27" x14ac:dyDescent="0.35">
      <c r="A9029">
        <v>1025996</v>
      </c>
      <c r="B9029">
        <v>8354</v>
      </c>
      <c r="C9029">
        <v>1</v>
      </c>
      <c r="D9029" s="17" t="s">
        <v>17166</v>
      </c>
      <c r="E9029" s="17"/>
      <c r="F9029" s="17" t="s">
        <v>17246</v>
      </c>
      <c r="G9029" s="17"/>
      <c r="H9029" s="17" t="s">
        <v>20919</v>
      </c>
      <c r="I9029" s="17"/>
      <c r="J9029" s="17" t="s">
        <v>21313</v>
      </c>
      <c r="K9029" s="17"/>
      <c r="L9029" s="17" t="s">
        <v>21326</v>
      </c>
      <c r="M9029" s="17"/>
      <c r="N9029" s="17" t="s">
        <v>21327</v>
      </c>
      <c r="O9029" s="17"/>
      <c r="P9029" s="17" t="s">
        <v>42703</v>
      </c>
      <c r="Q9029" s="17"/>
      <c r="R9029" s="25" t="str">
        <f>HYPERLINK("https://ictv.global/taxonomy/taxondetails?taxnode_id=202316137","Bunlevirus terrivivens")</f>
        <v>Bunlevirus terrivivens</v>
      </c>
      <c r="S9029" s="18" t="s">
        <v>30</v>
      </c>
      <c r="T9029" s="18" t="s">
        <v>42706</v>
      </c>
      <c r="U9029" s="18"/>
      <c r="V9029" s="18"/>
      <c r="W9029" s="18" t="s">
        <v>42707</v>
      </c>
      <c r="X9029" s="18" t="s">
        <v>35</v>
      </c>
      <c r="Y9029" s="18" t="s">
        <v>17171</v>
      </c>
      <c r="Z9029" s="18" t="s">
        <v>24637</v>
      </c>
      <c r="AA9029" s="21" t="str">
        <f>HYPERLINK("https://www.ncbi.nlm.nih.gov/nuccore/CASDWV010003737","NCBI Nucleotide")</f>
        <v>NCBI Nucleotide</v>
      </c>
    </row>
    <row r="9030" spans="1:27" x14ac:dyDescent="0.35">
      <c r="A9030">
        <v>1025997</v>
      </c>
      <c r="B9030">
        <v>8355</v>
      </c>
      <c r="C9030">
        <v>1</v>
      </c>
      <c r="D9030" s="17" t="s">
        <v>17166</v>
      </c>
      <c r="E9030" s="17"/>
      <c r="F9030" s="17" t="s">
        <v>17246</v>
      </c>
      <c r="G9030" s="17"/>
      <c r="H9030" s="17" t="s">
        <v>20919</v>
      </c>
      <c r="I9030" s="17"/>
      <c r="J9030" s="17" t="s">
        <v>21313</v>
      </c>
      <c r="K9030" s="17"/>
      <c r="L9030" s="17" t="s">
        <v>21326</v>
      </c>
      <c r="M9030" s="17"/>
      <c r="N9030" s="17" t="s">
        <v>21327</v>
      </c>
      <c r="O9030" s="17"/>
      <c r="P9030" s="17" t="s">
        <v>42708</v>
      </c>
      <c r="Q9030" s="17"/>
      <c r="R9030" s="25" t="str">
        <f>HYPERLINK("https://ictv.global/taxonomy/taxondetails?taxnode_id=202316138","Buntovirus asiocola")</f>
        <v>Buntovirus asiocola</v>
      </c>
      <c r="S9030" s="18" t="s">
        <v>30</v>
      </c>
      <c r="T9030" s="18" t="s">
        <v>42709</v>
      </c>
      <c r="U9030" s="18"/>
      <c r="V9030" s="18"/>
      <c r="W9030" s="18" t="s">
        <v>42710</v>
      </c>
      <c r="X9030" s="18" t="s">
        <v>35</v>
      </c>
      <c r="Y9030" s="18" t="s">
        <v>17171</v>
      </c>
      <c r="Z9030" s="18" t="s">
        <v>24637</v>
      </c>
      <c r="AA9030" s="21" t="str">
        <f>HYPERLINK("https://www.ncbi.nlm.nih.gov/nuccore/CASDWV010004943","NCBI Nucleotide")</f>
        <v>NCBI Nucleotide</v>
      </c>
    </row>
    <row r="9031" spans="1:27" x14ac:dyDescent="0.35">
      <c r="A9031">
        <v>1025998</v>
      </c>
      <c r="B9031">
        <v>8356</v>
      </c>
      <c r="C9031">
        <v>1</v>
      </c>
      <c r="D9031" s="17" t="s">
        <v>17166</v>
      </c>
      <c r="E9031" s="17"/>
      <c r="F9031" s="17" t="s">
        <v>17246</v>
      </c>
      <c r="G9031" s="17"/>
      <c r="H9031" s="17" t="s">
        <v>20919</v>
      </c>
      <c r="I9031" s="17"/>
      <c r="J9031" s="17" t="s">
        <v>21313</v>
      </c>
      <c r="K9031" s="17"/>
      <c r="L9031" s="17" t="s">
        <v>21326</v>
      </c>
      <c r="M9031" s="17"/>
      <c r="N9031" s="17" t="s">
        <v>21327</v>
      </c>
      <c r="O9031" s="17"/>
      <c r="P9031" s="17" t="s">
        <v>42711</v>
      </c>
      <c r="Q9031" s="17"/>
      <c r="R9031" s="25" t="str">
        <f>HYPERLINK("https://ictv.global/taxonomy/taxondetails?taxnode_id=202316139","Burdivirus caenenecus")</f>
        <v>Burdivirus caenenecus</v>
      </c>
      <c r="S9031" s="18" t="s">
        <v>30</v>
      </c>
      <c r="T9031" s="18" t="s">
        <v>42712</v>
      </c>
      <c r="U9031" s="18"/>
      <c r="V9031" s="18"/>
      <c r="W9031" s="18" t="s">
        <v>42713</v>
      </c>
      <c r="X9031" s="18" t="s">
        <v>35</v>
      </c>
      <c r="Y9031" s="18" t="s">
        <v>17171</v>
      </c>
      <c r="Z9031" s="18" t="s">
        <v>24637</v>
      </c>
      <c r="AA9031" s="21" t="str">
        <f>HYPERLINK("https://www.ncbi.nlm.nih.gov/nuccore/CASDWV010004216","NCBI Nucleotide")</f>
        <v>NCBI Nucleotide</v>
      </c>
    </row>
    <row r="9032" spans="1:27" x14ac:dyDescent="0.35">
      <c r="A9032">
        <v>1025999</v>
      </c>
      <c r="B9032">
        <v>8357</v>
      </c>
      <c r="C9032">
        <v>1</v>
      </c>
      <c r="D9032" s="17" t="s">
        <v>17166</v>
      </c>
      <c r="E9032" s="17"/>
      <c r="F9032" s="17" t="s">
        <v>17246</v>
      </c>
      <c r="G9032" s="17"/>
      <c r="H9032" s="17" t="s">
        <v>20919</v>
      </c>
      <c r="I9032" s="17"/>
      <c r="J9032" s="17" t="s">
        <v>21313</v>
      </c>
      <c r="K9032" s="17"/>
      <c r="L9032" s="17" t="s">
        <v>21326</v>
      </c>
      <c r="M9032" s="17"/>
      <c r="N9032" s="17" t="s">
        <v>21327</v>
      </c>
      <c r="O9032" s="17"/>
      <c r="P9032" s="17" t="s">
        <v>42711</v>
      </c>
      <c r="Q9032" s="17"/>
      <c r="R9032" s="25" t="str">
        <f>HYPERLINK("https://ictv.global/taxonomy/taxondetails?taxnode_id=202316140","Burdivirus radicivivens")</f>
        <v>Burdivirus radicivivens</v>
      </c>
      <c r="S9032" s="18" t="s">
        <v>30</v>
      </c>
      <c r="T9032" s="18" t="s">
        <v>42714</v>
      </c>
      <c r="U9032" s="18"/>
      <c r="V9032" s="18"/>
      <c r="W9032" s="18" t="s">
        <v>42715</v>
      </c>
      <c r="X9032" s="18" t="s">
        <v>35</v>
      </c>
      <c r="Y9032" s="18" t="s">
        <v>17171</v>
      </c>
      <c r="Z9032" s="18" t="s">
        <v>24637</v>
      </c>
      <c r="AA9032" s="21" t="str">
        <f>HYPERLINK("https://www.ncbi.nlm.nih.gov/nuccore/CASDWV010005021","NCBI Nucleotide")</f>
        <v>NCBI Nucleotide</v>
      </c>
    </row>
    <row r="9033" spans="1:27" x14ac:dyDescent="0.35">
      <c r="A9033">
        <v>1026011</v>
      </c>
      <c r="B9033">
        <v>8358</v>
      </c>
      <c r="C9033">
        <v>1</v>
      </c>
      <c r="D9033" s="17" t="s">
        <v>17166</v>
      </c>
      <c r="E9033" s="17"/>
      <c r="F9033" s="17" t="s">
        <v>17246</v>
      </c>
      <c r="G9033" s="17"/>
      <c r="H9033" s="17" t="s">
        <v>20919</v>
      </c>
      <c r="I9033" s="17"/>
      <c r="J9033" s="17" t="s">
        <v>21313</v>
      </c>
      <c r="K9033" s="17"/>
      <c r="L9033" s="17" t="s">
        <v>21326</v>
      </c>
      <c r="M9033" s="17"/>
      <c r="N9033" s="17" t="s">
        <v>21327</v>
      </c>
      <c r="O9033" s="17"/>
      <c r="P9033" s="17" t="s">
        <v>42716</v>
      </c>
      <c r="Q9033" s="17"/>
      <c r="R9033" s="25" t="str">
        <f>HYPERLINK("https://ictv.global/taxonomy/taxondetails?taxnode_id=202316141","Burtuvirus limivicinum")</f>
        <v>Burtuvirus limivicinum</v>
      </c>
      <c r="S9033" s="18" t="s">
        <v>30</v>
      </c>
      <c r="T9033" s="18" t="s">
        <v>42717</v>
      </c>
      <c r="U9033" s="18"/>
      <c r="V9033" s="18"/>
      <c r="W9033" s="18" t="s">
        <v>42718</v>
      </c>
      <c r="X9033" s="18" t="s">
        <v>35</v>
      </c>
      <c r="Y9033" s="18" t="s">
        <v>17171</v>
      </c>
      <c r="Z9033" s="18" t="s">
        <v>24637</v>
      </c>
      <c r="AA9033" s="21" t="str">
        <f>HYPERLINK("https://www.ncbi.nlm.nih.gov/nuccore/CASDWV010001844","NCBI Nucleotide")</f>
        <v>NCBI Nucleotide</v>
      </c>
    </row>
    <row r="9034" spans="1:27" x14ac:dyDescent="0.35">
      <c r="A9034">
        <v>1026012</v>
      </c>
      <c r="B9034">
        <v>8359</v>
      </c>
      <c r="C9034">
        <v>1</v>
      </c>
      <c r="D9034" s="17" t="s">
        <v>17166</v>
      </c>
      <c r="E9034" s="17"/>
      <c r="F9034" s="17" t="s">
        <v>17246</v>
      </c>
      <c r="G9034" s="17"/>
      <c r="H9034" s="17" t="s">
        <v>20919</v>
      </c>
      <c r="I9034" s="17"/>
      <c r="J9034" s="17" t="s">
        <v>21313</v>
      </c>
      <c r="K9034" s="17"/>
      <c r="L9034" s="17" t="s">
        <v>21326</v>
      </c>
      <c r="M9034" s="17"/>
      <c r="N9034" s="17" t="s">
        <v>21327</v>
      </c>
      <c r="O9034" s="17"/>
      <c r="P9034" s="17" t="s">
        <v>42719</v>
      </c>
      <c r="Q9034" s="17"/>
      <c r="R9034" s="25" t="str">
        <f>HYPERLINK("https://ictv.global/taxonomy/taxondetails?taxnode_id=202316142","Bushuvirus choradaptatum")</f>
        <v>Bushuvirus choradaptatum</v>
      </c>
      <c r="S9034" s="18" t="s">
        <v>30</v>
      </c>
      <c r="T9034" s="18" t="s">
        <v>42720</v>
      </c>
      <c r="U9034" s="18"/>
      <c r="V9034" s="18"/>
      <c r="W9034" s="18" t="s">
        <v>42721</v>
      </c>
      <c r="X9034" s="18" t="s">
        <v>35</v>
      </c>
      <c r="Y9034" s="18" t="s">
        <v>17171</v>
      </c>
      <c r="Z9034" s="18" t="s">
        <v>24637</v>
      </c>
      <c r="AA9034" s="21" t="str">
        <f>HYPERLINK("https://www.ncbi.nlm.nih.gov/nuccore/CASDWV010005080","NCBI Nucleotide")</f>
        <v>NCBI Nucleotide</v>
      </c>
    </row>
    <row r="9035" spans="1:27" x14ac:dyDescent="0.35">
      <c r="A9035">
        <v>1026020</v>
      </c>
      <c r="B9035">
        <v>8360</v>
      </c>
      <c r="C9035">
        <v>1</v>
      </c>
      <c r="D9035" s="17" t="s">
        <v>17166</v>
      </c>
      <c r="E9035" s="17"/>
      <c r="F9035" s="17" t="s">
        <v>17246</v>
      </c>
      <c r="G9035" s="17"/>
      <c r="H9035" s="17" t="s">
        <v>20919</v>
      </c>
      <c r="I9035" s="17"/>
      <c r="J9035" s="17" t="s">
        <v>21313</v>
      </c>
      <c r="K9035" s="17"/>
      <c r="L9035" s="17" t="s">
        <v>21326</v>
      </c>
      <c r="M9035" s="17"/>
      <c r="N9035" s="17" t="s">
        <v>21327</v>
      </c>
      <c r="O9035" s="17"/>
      <c r="P9035" s="17" t="s">
        <v>21352</v>
      </c>
      <c r="Q9035" s="17"/>
      <c r="R9035" s="25" t="str">
        <f>HYPERLINK("https://ictv.global/taxonomy/taxondetails?taxnode_id=202316143","Cahtebovirus agrenecus")</f>
        <v>Cahtebovirus agrenecus</v>
      </c>
      <c r="S9035" s="18" t="s">
        <v>30</v>
      </c>
      <c r="T9035" s="18" t="s">
        <v>42722</v>
      </c>
      <c r="U9035" s="18"/>
      <c r="V9035" s="18"/>
      <c r="W9035" s="18" t="s">
        <v>42723</v>
      </c>
      <c r="X9035" s="18" t="s">
        <v>35</v>
      </c>
      <c r="Y9035" s="18" t="s">
        <v>17171</v>
      </c>
      <c r="Z9035" s="18" t="s">
        <v>24637</v>
      </c>
      <c r="AA9035" s="21" t="str">
        <f>HYPERLINK("https://www.ncbi.nlm.nih.gov/nuccore/CASDWV010000964","NCBI Nucleotide")</f>
        <v>NCBI Nucleotide</v>
      </c>
    </row>
    <row r="9036" spans="1:27" x14ac:dyDescent="0.35">
      <c r="A9036">
        <v>1026021</v>
      </c>
      <c r="B9036">
        <v>8361</v>
      </c>
      <c r="C9036">
        <v>1</v>
      </c>
      <c r="D9036" s="17" t="s">
        <v>17166</v>
      </c>
      <c r="E9036" s="17"/>
      <c r="F9036" s="17" t="s">
        <v>17246</v>
      </c>
      <c r="G9036" s="17"/>
      <c r="H9036" s="17" t="s">
        <v>20919</v>
      </c>
      <c r="I9036" s="17"/>
      <c r="J9036" s="17" t="s">
        <v>21313</v>
      </c>
      <c r="K9036" s="17"/>
      <c r="L9036" s="17" t="s">
        <v>21326</v>
      </c>
      <c r="M9036" s="17"/>
      <c r="N9036" s="17" t="s">
        <v>21327</v>
      </c>
      <c r="O9036" s="17"/>
      <c r="P9036" s="17" t="s">
        <v>21352</v>
      </c>
      <c r="Q9036" s="17"/>
      <c r="R9036" s="25" t="str">
        <f>HYPERLINK("https://ictv.global/taxonomy/taxondetails?taxnode_id=202316144","Cahtebovirus agrihabitans")</f>
        <v>Cahtebovirus agrihabitans</v>
      </c>
      <c r="S9036" s="18" t="s">
        <v>30</v>
      </c>
      <c r="T9036" s="18" t="s">
        <v>42724</v>
      </c>
      <c r="U9036" s="18"/>
      <c r="V9036" s="18"/>
      <c r="W9036" s="18" t="s">
        <v>42725</v>
      </c>
      <c r="X9036" s="18" t="s">
        <v>35</v>
      </c>
      <c r="Y9036" s="18" t="s">
        <v>17171</v>
      </c>
      <c r="Z9036" s="18" t="s">
        <v>24637</v>
      </c>
      <c r="AA9036" s="21" t="str">
        <f>HYPERLINK("https://www.ncbi.nlm.nih.gov/nuccore/CASDWV010002261","NCBI Nucleotide")</f>
        <v>NCBI Nucleotide</v>
      </c>
    </row>
    <row r="9037" spans="1:27" x14ac:dyDescent="0.35">
      <c r="A9037">
        <v>1026022</v>
      </c>
      <c r="B9037">
        <v>8362</v>
      </c>
      <c r="C9037">
        <v>1</v>
      </c>
      <c r="D9037" s="17" t="s">
        <v>17166</v>
      </c>
      <c r="E9037" s="17"/>
      <c r="F9037" s="17" t="s">
        <v>17246</v>
      </c>
      <c r="G9037" s="17"/>
      <c r="H9037" s="17" t="s">
        <v>20919</v>
      </c>
      <c r="I9037" s="17"/>
      <c r="J9037" s="17" t="s">
        <v>21313</v>
      </c>
      <c r="K9037" s="17"/>
      <c r="L9037" s="17" t="s">
        <v>21326</v>
      </c>
      <c r="M9037" s="17"/>
      <c r="N9037" s="17" t="s">
        <v>21327</v>
      </c>
      <c r="O9037" s="17"/>
      <c r="P9037" s="17" t="s">
        <v>21352</v>
      </c>
      <c r="Q9037" s="17"/>
      <c r="R9037" s="25" t="str">
        <f>HYPERLINK("https://ictv.global/taxonomy/taxondetails?taxnode_id=202316145","Cahtebovirus agrivicinum")</f>
        <v>Cahtebovirus agrivicinum</v>
      </c>
      <c r="S9037" s="18" t="s">
        <v>30</v>
      </c>
      <c r="T9037" s="18" t="s">
        <v>42726</v>
      </c>
      <c r="U9037" s="18"/>
      <c r="V9037" s="18"/>
      <c r="W9037" s="18" t="s">
        <v>42727</v>
      </c>
      <c r="X9037" s="18" t="s">
        <v>35</v>
      </c>
      <c r="Y9037" s="18" t="s">
        <v>17171</v>
      </c>
      <c r="Z9037" s="18" t="s">
        <v>24637</v>
      </c>
      <c r="AA9037" s="21" t="str">
        <f>HYPERLINK("https://www.ncbi.nlm.nih.gov/nuccore/CASDWV010002336","NCBI Nucleotide")</f>
        <v>NCBI Nucleotide</v>
      </c>
    </row>
    <row r="9038" spans="1:27" x14ac:dyDescent="0.35">
      <c r="A9038">
        <v>1026023</v>
      </c>
      <c r="B9038">
        <v>8363</v>
      </c>
      <c r="C9038">
        <v>1</v>
      </c>
      <c r="D9038" s="17" t="s">
        <v>17166</v>
      </c>
      <c r="E9038" s="17"/>
      <c r="F9038" s="17" t="s">
        <v>17246</v>
      </c>
      <c r="G9038" s="17"/>
      <c r="H9038" s="17" t="s">
        <v>20919</v>
      </c>
      <c r="I9038" s="17"/>
      <c r="J9038" s="17" t="s">
        <v>21313</v>
      </c>
      <c r="K9038" s="17"/>
      <c r="L9038" s="17" t="s">
        <v>21326</v>
      </c>
      <c r="M9038" s="17"/>
      <c r="N9038" s="17" t="s">
        <v>21327</v>
      </c>
      <c r="O9038" s="17"/>
      <c r="P9038" s="17" t="s">
        <v>21352</v>
      </c>
      <c r="Q9038" s="17"/>
      <c r="R9038" s="25" t="str">
        <f>HYPERLINK("https://ictv.global/taxonomy/taxondetails?taxnode_id=202316146","Cahtebovirus chorovicinum")</f>
        <v>Cahtebovirus chorovicinum</v>
      </c>
      <c r="S9038" s="18" t="s">
        <v>30</v>
      </c>
      <c r="T9038" s="18" t="s">
        <v>42728</v>
      </c>
      <c r="U9038" s="18"/>
      <c r="V9038" s="18"/>
      <c r="W9038" s="18" t="s">
        <v>42729</v>
      </c>
      <c r="X9038" s="18" t="s">
        <v>35</v>
      </c>
      <c r="Y9038" s="18" t="s">
        <v>17171</v>
      </c>
      <c r="Z9038" s="18" t="s">
        <v>24637</v>
      </c>
      <c r="AA9038" s="21" t="str">
        <f>HYPERLINK("https://www.ncbi.nlm.nih.gov/nuccore/CASDWV010004848","NCBI Nucleotide")</f>
        <v>NCBI Nucleotide</v>
      </c>
    </row>
    <row r="9039" spans="1:27" x14ac:dyDescent="0.35">
      <c r="A9039">
        <v>1026024</v>
      </c>
      <c r="B9039">
        <v>8364</v>
      </c>
      <c r="C9039">
        <v>1</v>
      </c>
      <c r="D9039" s="17" t="s">
        <v>17166</v>
      </c>
      <c r="E9039" s="17"/>
      <c r="F9039" s="17" t="s">
        <v>17246</v>
      </c>
      <c r="G9039" s="17"/>
      <c r="H9039" s="17" t="s">
        <v>20919</v>
      </c>
      <c r="I9039" s="17"/>
      <c r="J9039" s="17" t="s">
        <v>21313</v>
      </c>
      <c r="K9039" s="17"/>
      <c r="L9039" s="17" t="s">
        <v>21326</v>
      </c>
      <c r="M9039" s="17"/>
      <c r="N9039" s="17" t="s">
        <v>21327</v>
      </c>
      <c r="O9039" s="17"/>
      <c r="P9039" s="17" t="s">
        <v>21352</v>
      </c>
      <c r="Q9039" s="17"/>
      <c r="R9039" s="25" t="str">
        <f>HYPERLINK("https://ictv.global/taxonomy/taxondetails?taxnode_id=202316147","Cahtebovirus edaphovivens")</f>
        <v>Cahtebovirus edaphovivens</v>
      </c>
      <c r="S9039" s="18" t="s">
        <v>30</v>
      </c>
      <c r="T9039" s="18" t="s">
        <v>42730</v>
      </c>
      <c r="U9039" s="18"/>
      <c r="V9039" s="18"/>
      <c r="W9039" s="18" t="s">
        <v>42731</v>
      </c>
      <c r="X9039" s="18" t="s">
        <v>35</v>
      </c>
      <c r="Y9039" s="18" t="s">
        <v>17171</v>
      </c>
      <c r="Z9039" s="18" t="s">
        <v>24637</v>
      </c>
      <c r="AA9039" s="21" t="str">
        <f>HYPERLINK("https://www.ncbi.nlm.nih.gov/nuccore/CASDWV010004197","NCBI Nucleotide")</f>
        <v>NCBI Nucleotide</v>
      </c>
    </row>
    <row r="9040" spans="1:27" x14ac:dyDescent="0.35">
      <c r="A9040">
        <v>1009363</v>
      </c>
      <c r="B9040">
        <v>8365</v>
      </c>
      <c r="C9040">
        <v>1</v>
      </c>
      <c r="D9040" s="17" t="s">
        <v>17166</v>
      </c>
      <c r="E9040" s="17"/>
      <c r="F9040" s="17" t="s">
        <v>17246</v>
      </c>
      <c r="G9040" s="17"/>
      <c r="H9040" s="17" t="s">
        <v>20919</v>
      </c>
      <c r="I9040" s="17"/>
      <c r="J9040" s="17" t="s">
        <v>21313</v>
      </c>
      <c r="K9040" s="17"/>
      <c r="L9040" s="17" t="s">
        <v>21326</v>
      </c>
      <c r="M9040" s="17"/>
      <c r="N9040" s="17" t="s">
        <v>21327</v>
      </c>
      <c r="O9040" s="17"/>
      <c r="P9040" s="17" t="s">
        <v>21352</v>
      </c>
      <c r="Q9040" s="17"/>
      <c r="R9040" s="25" t="str">
        <f>HYPERLINK("https://ictv.global/taxonomy/taxondetails?taxnode_id=202310711","Cahtebovirus humivicinum")</f>
        <v>Cahtebovirus humivicinum</v>
      </c>
      <c r="S9040" s="18" t="s">
        <v>30</v>
      </c>
      <c r="T9040" s="18" t="s">
        <v>21353</v>
      </c>
      <c r="U9040" s="18"/>
      <c r="V9040" s="18"/>
      <c r="W9040" s="18" t="s">
        <v>21354</v>
      </c>
      <c r="X9040" s="18" t="s">
        <v>35</v>
      </c>
      <c r="Y9040" s="18" t="s">
        <v>17171</v>
      </c>
      <c r="Z9040" s="18" t="s">
        <v>697</v>
      </c>
      <c r="AA9040" s="21" t="str">
        <f>HYPERLINK("https://www.ncbi.nlm.nih.gov/nuccore/BK013539","NCBI Nucleotide")</f>
        <v>NCBI Nucleotide</v>
      </c>
    </row>
    <row r="9041" spans="1:27" x14ac:dyDescent="0.35">
      <c r="A9041">
        <v>1026025</v>
      </c>
      <c r="B9041">
        <v>8366</v>
      </c>
      <c r="C9041">
        <v>1</v>
      </c>
      <c r="D9041" s="17" t="s">
        <v>17166</v>
      </c>
      <c r="E9041" s="17"/>
      <c r="F9041" s="17" t="s">
        <v>17246</v>
      </c>
      <c r="G9041" s="17"/>
      <c r="H9041" s="17" t="s">
        <v>20919</v>
      </c>
      <c r="I9041" s="17"/>
      <c r="J9041" s="17" t="s">
        <v>21313</v>
      </c>
      <c r="K9041" s="17"/>
      <c r="L9041" s="17" t="s">
        <v>21326</v>
      </c>
      <c r="M9041" s="17"/>
      <c r="N9041" s="17" t="s">
        <v>21327</v>
      </c>
      <c r="O9041" s="17"/>
      <c r="P9041" s="17" t="s">
        <v>21352</v>
      </c>
      <c r="Q9041" s="17"/>
      <c r="R9041" s="25" t="str">
        <f>HYPERLINK("https://ictv.global/taxonomy/taxondetails?taxnode_id=202316148","Cahtebovirus pelohabitans")</f>
        <v>Cahtebovirus pelohabitans</v>
      </c>
      <c r="S9041" s="18" t="s">
        <v>30</v>
      </c>
      <c r="T9041" s="18" t="s">
        <v>42732</v>
      </c>
      <c r="U9041" s="18"/>
      <c r="V9041" s="18"/>
      <c r="W9041" s="18" t="s">
        <v>42733</v>
      </c>
      <c r="X9041" s="18" t="s">
        <v>35</v>
      </c>
      <c r="Y9041" s="18" t="s">
        <v>17171</v>
      </c>
      <c r="Z9041" s="18" t="s">
        <v>24637</v>
      </c>
      <c r="AA9041" s="21" t="str">
        <f>HYPERLINK("https://www.ncbi.nlm.nih.gov/nuccore/CASDWV010003111","NCBI Nucleotide")</f>
        <v>NCBI Nucleotide</v>
      </c>
    </row>
    <row r="9042" spans="1:27" x14ac:dyDescent="0.35">
      <c r="A9042">
        <v>1026026</v>
      </c>
      <c r="B9042">
        <v>8367</v>
      </c>
      <c r="C9042">
        <v>1</v>
      </c>
      <c r="D9042" s="17" t="s">
        <v>17166</v>
      </c>
      <c r="E9042" s="17"/>
      <c r="F9042" s="17" t="s">
        <v>17246</v>
      </c>
      <c r="G9042" s="17"/>
      <c r="H9042" s="17" t="s">
        <v>20919</v>
      </c>
      <c r="I9042" s="17"/>
      <c r="J9042" s="17" t="s">
        <v>21313</v>
      </c>
      <c r="K9042" s="17"/>
      <c r="L9042" s="17" t="s">
        <v>21326</v>
      </c>
      <c r="M9042" s="17"/>
      <c r="N9042" s="17" t="s">
        <v>21327</v>
      </c>
      <c r="O9042" s="17"/>
      <c r="P9042" s="17" t="s">
        <v>21352</v>
      </c>
      <c r="Q9042" s="17"/>
      <c r="R9042" s="25" t="str">
        <f>HYPERLINK("https://ictv.global/taxonomy/taxondetails?taxnode_id=202316149","Cahtebovirus tellurivivens")</f>
        <v>Cahtebovirus tellurivivens</v>
      </c>
      <c r="S9042" s="18" t="s">
        <v>30</v>
      </c>
      <c r="T9042" s="18" t="s">
        <v>42734</v>
      </c>
      <c r="U9042" s="18"/>
      <c r="V9042" s="18"/>
      <c r="W9042" s="18" t="s">
        <v>42735</v>
      </c>
      <c r="X9042" s="18" t="s">
        <v>35</v>
      </c>
      <c r="Y9042" s="18" t="s">
        <v>17171</v>
      </c>
      <c r="Z9042" s="18" t="s">
        <v>24637</v>
      </c>
      <c r="AA9042" s="21" t="str">
        <f>HYPERLINK("https://www.ncbi.nlm.nih.gov/nuccore/CASDWV010000681","NCBI Nucleotide")</f>
        <v>NCBI Nucleotide</v>
      </c>
    </row>
    <row r="9043" spans="1:27" x14ac:dyDescent="0.35">
      <c r="A9043">
        <v>1026027</v>
      </c>
      <c r="B9043">
        <v>8368</v>
      </c>
      <c r="C9043">
        <v>1</v>
      </c>
      <c r="D9043" s="17" t="s">
        <v>17166</v>
      </c>
      <c r="E9043" s="17"/>
      <c r="F9043" s="17" t="s">
        <v>17246</v>
      </c>
      <c r="G9043" s="17"/>
      <c r="H9043" s="17" t="s">
        <v>20919</v>
      </c>
      <c r="I9043" s="17"/>
      <c r="J9043" s="17" t="s">
        <v>21313</v>
      </c>
      <c r="K9043" s="17"/>
      <c r="L9043" s="17" t="s">
        <v>21326</v>
      </c>
      <c r="M9043" s="17"/>
      <c r="N9043" s="17" t="s">
        <v>21327</v>
      </c>
      <c r="O9043" s="17"/>
      <c r="P9043" s="17" t="s">
        <v>42736</v>
      </c>
      <c r="Q9043" s="17"/>
      <c r="R9043" s="25" t="str">
        <f>HYPERLINK("https://ictv.global/taxonomy/taxondetails?taxnode_id=202316150","Cahwstovirus pedadaptatum")</f>
        <v>Cahwstovirus pedadaptatum</v>
      </c>
      <c r="S9043" s="18" t="s">
        <v>30</v>
      </c>
      <c r="T9043" s="18" t="s">
        <v>42737</v>
      </c>
      <c r="U9043" s="18"/>
      <c r="V9043" s="18"/>
      <c r="W9043" s="18" t="s">
        <v>42738</v>
      </c>
      <c r="X9043" s="18" t="s">
        <v>35</v>
      </c>
      <c r="Y9043" s="18" t="s">
        <v>17171</v>
      </c>
      <c r="Z9043" s="18" t="s">
        <v>24637</v>
      </c>
      <c r="AA9043" s="21" t="str">
        <f>HYPERLINK("https://www.ncbi.nlm.nih.gov/nuccore/CASDWV010004195","NCBI Nucleotide")</f>
        <v>NCBI Nucleotide</v>
      </c>
    </row>
    <row r="9044" spans="1:27" x14ac:dyDescent="0.35">
      <c r="A9044">
        <v>1026028</v>
      </c>
      <c r="B9044">
        <v>8369</v>
      </c>
      <c r="C9044">
        <v>1</v>
      </c>
      <c r="D9044" s="17" t="s">
        <v>17166</v>
      </c>
      <c r="E9044" s="17"/>
      <c r="F9044" s="17" t="s">
        <v>17246</v>
      </c>
      <c r="G9044" s="17"/>
      <c r="H9044" s="17" t="s">
        <v>20919</v>
      </c>
      <c r="I9044" s="17"/>
      <c r="J9044" s="17" t="s">
        <v>21313</v>
      </c>
      <c r="K9044" s="17"/>
      <c r="L9044" s="17" t="s">
        <v>21326</v>
      </c>
      <c r="M9044" s="17"/>
      <c r="N9044" s="17" t="s">
        <v>21327</v>
      </c>
      <c r="O9044" s="17"/>
      <c r="P9044" s="17" t="s">
        <v>42739</v>
      </c>
      <c r="Q9044" s="17"/>
      <c r="R9044" s="25" t="str">
        <f>HYPERLINK("https://ictv.global/taxonomy/taxondetails?taxnode_id=202316151","Caldevirus limivicinum")</f>
        <v>Caldevirus limivicinum</v>
      </c>
      <c r="S9044" s="18" t="s">
        <v>30</v>
      </c>
      <c r="T9044" s="18" t="s">
        <v>42740</v>
      </c>
      <c r="U9044" s="18"/>
      <c r="V9044" s="18"/>
      <c r="W9044" s="18" t="s">
        <v>42741</v>
      </c>
      <c r="X9044" s="18" t="s">
        <v>35</v>
      </c>
      <c r="Y9044" s="18" t="s">
        <v>17171</v>
      </c>
      <c r="Z9044" s="18" t="s">
        <v>24637</v>
      </c>
      <c r="AA9044" s="21" t="str">
        <f>HYPERLINK("https://www.ncbi.nlm.nih.gov/nuccore/CASDWV010001938","NCBI Nucleotide")</f>
        <v>NCBI Nucleotide</v>
      </c>
    </row>
    <row r="9045" spans="1:27" x14ac:dyDescent="0.35">
      <c r="A9045">
        <v>1026030</v>
      </c>
      <c r="B9045">
        <v>8370</v>
      </c>
      <c r="C9045">
        <v>1</v>
      </c>
      <c r="D9045" s="17" t="s">
        <v>17166</v>
      </c>
      <c r="E9045" s="17"/>
      <c r="F9045" s="17" t="s">
        <v>17246</v>
      </c>
      <c r="G9045" s="17"/>
      <c r="H9045" s="17" t="s">
        <v>20919</v>
      </c>
      <c r="I9045" s="17"/>
      <c r="J9045" s="17" t="s">
        <v>21313</v>
      </c>
      <c r="K9045" s="17"/>
      <c r="L9045" s="17" t="s">
        <v>21326</v>
      </c>
      <c r="M9045" s="17"/>
      <c r="N9045" s="17" t="s">
        <v>21327</v>
      </c>
      <c r="O9045" s="17"/>
      <c r="P9045" s="17" t="s">
        <v>42742</v>
      </c>
      <c r="Q9045" s="17"/>
      <c r="R9045" s="25" t="str">
        <f>HYPERLINK("https://ictv.global/taxonomy/taxondetails?taxnode_id=202316152","Cambruovirus arvivivens")</f>
        <v>Cambruovirus arvivivens</v>
      </c>
      <c r="S9045" s="18" t="s">
        <v>30</v>
      </c>
      <c r="T9045" s="18" t="s">
        <v>42743</v>
      </c>
      <c r="U9045" s="18"/>
      <c r="V9045" s="18"/>
      <c r="W9045" s="18" t="s">
        <v>42744</v>
      </c>
      <c r="X9045" s="18" t="s">
        <v>35</v>
      </c>
      <c r="Y9045" s="18" t="s">
        <v>17171</v>
      </c>
      <c r="Z9045" s="18" t="s">
        <v>24637</v>
      </c>
      <c r="AA9045" s="21" t="str">
        <f>HYPERLINK("https://www.ncbi.nlm.nih.gov/nuccore/CASDWV010001995","NCBI Nucleotide")</f>
        <v>NCBI Nucleotide</v>
      </c>
    </row>
    <row r="9046" spans="1:27" x14ac:dyDescent="0.35">
      <c r="A9046">
        <v>1026003</v>
      </c>
      <c r="B9046">
        <v>8371</v>
      </c>
      <c r="C9046">
        <v>1</v>
      </c>
      <c r="D9046" s="17" t="s">
        <v>17166</v>
      </c>
      <c r="E9046" s="17"/>
      <c r="F9046" s="17" t="s">
        <v>17246</v>
      </c>
      <c r="G9046" s="17"/>
      <c r="H9046" s="17" t="s">
        <v>20919</v>
      </c>
      <c r="I9046" s="17"/>
      <c r="J9046" s="17" t="s">
        <v>21313</v>
      </c>
      <c r="K9046" s="17"/>
      <c r="L9046" s="17" t="s">
        <v>21326</v>
      </c>
      <c r="M9046" s="17"/>
      <c r="N9046" s="17" t="s">
        <v>21327</v>
      </c>
      <c r="O9046" s="17"/>
      <c r="P9046" s="17" t="s">
        <v>42745</v>
      </c>
      <c r="Q9046" s="17"/>
      <c r="R9046" s="25" t="str">
        <f>HYPERLINK("https://ictv.global/taxonomy/taxondetails?taxnode_id=202316153","Capsdovirus lutihabitans")</f>
        <v>Capsdovirus lutihabitans</v>
      </c>
      <c r="S9046" s="18" t="s">
        <v>30</v>
      </c>
      <c r="T9046" s="18" t="s">
        <v>42746</v>
      </c>
      <c r="U9046" s="18"/>
      <c r="V9046" s="18"/>
      <c r="W9046" s="18" t="s">
        <v>42747</v>
      </c>
      <c r="X9046" s="18" t="s">
        <v>35</v>
      </c>
      <c r="Y9046" s="18" t="s">
        <v>17171</v>
      </c>
      <c r="Z9046" s="18" t="s">
        <v>24637</v>
      </c>
      <c r="AA9046" s="21" t="str">
        <f>HYPERLINK("https://www.ncbi.nlm.nih.gov/nuccore/CASDWV010003773","NCBI Nucleotide")</f>
        <v>NCBI Nucleotide</v>
      </c>
    </row>
    <row r="9047" spans="1:27" x14ac:dyDescent="0.35">
      <c r="A9047">
        <v>1009424</v>
      </c>
      <c r="B9047">
        <v>8372</v>
      </c>
      <c r="C9047">
        <v>1</v>
      </c>
      <c r="D9047" s="17" t="s">
        <v>17166</v>
      </c>
      <c r="E9047" s="17"/>
      <c r="F9047" s="17" t="s">
        <v>17246</v>
      </c>
      <c r="G9047" s="17"/>
      <c r="H9047" s="17" t="s">
        <v>20919</v>
      </c>
      <c r="I9047" s="17"/>
      <c r="J9047" s="17" t="s">
        <v>21313</v>
      </c>
      <c r="K9047" s="17"/>
      <c r="L9047" s="17" t="s">
        <v>21326</v>
      </c>
      <c r="M9047" s="17"/>
      <c r="N9047" s="17" t="s">
        <v>21327</v>
      </c>
      <c r="O9047" s="17"/>
      <c r="P9047" s="17" t="s">
        <v>42748</v>
      </c>
      <c r="Q9047" s="17"/>
      <c r="R9047" s="25" t="str">
        <f>HYPERLINK("https://ictv.global/taxonomy/taxondetails?taxnode_id=202310811","Casfavirus pelocola")</f>
        <v>Casfavirus pelocola</v>
      </c>
      <c r="S9047" s="18" t="s">
        <v>30</v>
      </c>
      <c r="T9047" s="18" t="s">
        <v>21507</v>
      </c>
      <c r="U9047" s="18"/>
      <c r="V9047" s="18"/>
      <c r="W9047" s="18" t="s">
        <v>21508</v>
      </c>
      <c r="X9047" s="18" t="s">
        <v>35</v>
      </c>
      <c r="Y9047" s="18" t="s">
        <v>17171</v>
      </c>
      <c r="Z9047" s="18" t="s">
        <v>697</v>
      </c>
      <c r="AA9047" s="21" t="str">
        <f>HYPERLINK("https://www.ncbi.nlm.nih.gov/nuccore/BK013661","NCBI Nucleotide")</f>
        <v>NCBI Nucleotide</v>
      </c>
    </row>
    <row r="9048" spans="1:27" x14ac:dyDescent="0.35">
      <c r="A9048">
        <v>1026078</v>
      </c>
      <c r="B9048">
        <v>8373</v>
      </c>
      <c r="C9048">
        <v>1</v>
      </c>
      <c r="D9048" s="17" t="s">
        <v>17166</v>
      </c>
      <c r="E9048" s="17"/>
      <c r="F9048" s="17" t="s">
        <v>17246</v>
      </c>
      <c r="G9048" s="17"/>
      <c r="H9048" s="17" t="s">
        <v>20919</v>
      </c>
      <c r="I9048" s="17"/>
      <c r="J9048" s="17" t="s">
        <v>21313</v>
      </c>
      <c r="K9048" s="17"/>
      <c r="L9048" s="17" t="s">
        <v>21326</v>
      </c>
      <c r="M9048" s="17"/>
      <c r="N9048" s="17" t="s">
        <v>21327</v>
      </c>
      <c r="O9048" s="17"/>
      <c r="P9048" s="17" t="s">
        <v>42749</v>
      </c>
      <c r="Q9048" s="17"/>
      <c r="R9048" s="25" t="str">
        <f>HYPERLINK("https://ictv.global/taxonomy/taxondetails?taxnode_id=202316154","Chadwivirus limadaptatum")</f>
        <v>Chadwivirus limadaptatum</v>
      </c>
      <c r="S9048" s="18" t="s">
        <v>30</v>
      </c>
      <c r="T9048" s="18" t="s">
        <v>42750</v>
      </c>
      <c r="U9048" s="18"/>
      <c r="V9048" s="18"/>
      <c r="W9048" s="18" t="s">
        <v>42751</v>
      </c>
      <c r="X9048" s="18" t="s">
        <v>35</v>
      </c>
      <c r="Y9048" s="18" t="s">
        <v>17171</v>
      </c>
      <c r="Z9048" s="18" t="s">
        <v>24637</v>
      </c>
      <c r="AA9048" s="21" t="str">
        <f>HYPERLINK("https://www.ncbi.nlm.nih.gov/nuccore/CASDWV010002031","NCBI Nucleotide")</f>
        <v>NCBI Nucleotide</v>
      </c>
    </row>
    <row r="9049" spans="1:27" x14ac:dyDescent="0.35">
      <c r="A9049">
        <v>1026079</v>
      </c>
      <c r="B9049">
        <v>8374</v>
      </c>
      <c r="C9049">
        <v>1</v>
      </c>
      <c r="D9049" s="17" t="s">
        <v>17166</v>
      </c>
      <c r="E9049" s="17"/>
      <c r="F9049" s="17" t="s">
        <v>17246</v>
      </c>
      <c r="G9049" s="17"/>
      <c r="H9049" s="17" t="s">
        <v>20919</v>
      </c>
      <c r="I9049" s="17"/>
      <c r="J9049" s="17" t="s">
        <v>21313</v>
      </c>
      <c r="K9049" s="17"/>
      <c r="L9049" s="17" t="s">
        <v>21326</v>
      </c>
      <c r="M9049" s="17"/>
      <c r="N9049" s="17" t="s">
        <v>21327</v>
      </c>
      <c r="O9049" s="17"/>
      <c r="P9049" s="17" t="s">
        <v>42752</v>
      </c>
      <c r="Q9049" s="17"/>
      <c r="R9049" s="25" t="str">
        <f>HYPERLINK("https://ictv.global/taxonomy/taxondetails?taxnode_id=202316155","Chahpevirus humihabitans")</f>
        <v>Chahpevirus humihabitans</v>
      </c>
      <c r="S9049" s="18" t="s">
        <v>30</v>
      </c>
      <c r="T9049" s="18" t="s">
        <v>42753</v>
      </c>
      <c r="U9049" s="18"/>
      <c r="V9049" s="18"/>
      <c r="W9049" s="18" t="s">
        <v>42754</v>
      </c>
      <c r="X9049" s="18" t="s">
        <v>35</v>
      </c>
      <c r="Y9049" s="18" t="s">
        <v>17171</v>
      </c>
      <c r="Z9049" s="18" t="s">
        <v>24637</v>
      </c>
      <c r="AA9049" s="21" t="str">
        <f>HYPERLINK("https://www.ncbi.nlm.nih.gov/nuccore/CASDWV010002214","NCBI Nucleotide")</f>
        <v>NCBI Nucleotide</v>
      </c>
    </row>
    <row r="9050" spans="1:27" x14ac:dyDescent="0.35">
      <c r="A9050">
        <v>1026057</v>
      </c>
      <c r="B9050">
        <v>8375</v>
      </c>
      <c r="C9050">
        <v>1</v>
      </c>
      <c r="D9050" s="17" t="s">
        <v>17166</v>
      </c>
      <c r="E9050" s="17"/>
      <c r="F9050" s="17" t="s">
        <v>17246</v>
      </c>
      <c r="G9050" s="17"/>
      <c r="H9050" s="17" t="s">
        <v>20919</v>
      </c>
      <c r="I9050" s="17"/>
      <c r="J9050" s="17" t="s">
        <v>21313</v>
      </c>
      <c r="K9050" s="17"/>
      <c r="L9050" s="17" t="s">
        <v>21326</v>
      </c>
      <c r="M9050" s="17"/>
      <c r="N9050" s="17" t="s">
        <v>21327</v>
      </c>
      <c r="O9050" s="17"/>
      <c r="P9050" s="17" t="s">
        <v>42755</v>
      </c>
      <c r="Q9050" s="17"/>
      <c r="R9050" s="25" t="str">
        <f>HYPERLINK("https://ictv.global/taxonomy/taxondetails?taxnode_id=202316156","Chatshuvirus limivicinum")</f>
        <v>Chatshuvirus limivicinum</v>
      </c>
      <c r="S9050" s="18" t="s">
        <v>30</v>
      </c>
      <c r="T9050" s="18" t="s">
        <v>42756</v>
      </c>
      <c r="U9050" s="18"/>
      <c r="V9050" s="18"/>
      <c r="W9050" s="18" t="s">
        <v>42757</v>
      </c>
      <c r="X9050" s="18" t="s">
        <v>35</v>
      </c>
      <c r="Y9050" s="18" t="s">
        <v>17171</v>
      </c>
      <c r="Z9050" s="18" t="s">
        <v>24637</v>
      </c>
      <c r="AA9050" s="21" t="str">
        <f>HYPERLINK("https://www.ncbi.nlm.nih.gov/nuccore/CASDWV010002592","NCBI Nucleotide")</f>
        <v>NCBI Nucleotide</v>
      </c>
    </row>
    <row r="9051" spans="1:27" x14ac:dyDescent="0.35">
      <c r="A9051">
        <v>1026059</v>
      </c>
      <c r="B9051">
        <v>8376</v>
      </c>
      <c r="C9051">
        <v>1</v>
      </c>
      <c r="D9051" s="17" t="s">
        <v>17166</v>
      </c>
      <c r="E9051" s="17"/>
      <c r="F9051" s="17" t="s">
        <v>17246</v>
      </c>
      <c r="G9051" s="17"/>
      <c r="H9051" s="17" t="s">
        <v>20919</v>
      </c>
      <c r="I9051" s="17"/>
      <c r="J9051" s="17" t="s">
        <v>21313</v>
      </c>
      <c r="K9051" s="17"/>
      <c r="L9051" s="17" t="s">
        <v>21326</v>
      </c>
      <c r="M9051" s="17"/>
      <c r="N9051" s="17" t="s">
        <v>21327</v>
      </c>
      <c r="O9051" s="17"/>
      <c r="P9051" s="17" t="s">
        <v>42758</v>
      </c>
      <c r="Q9051" s="17"/>
      <c r="R9051" s="25" t="str">
        <f>HYPERLINK("https://ictv.global/taxonomy/taxondetails?taxnode_id=202316157","Chepelevirus messicola")</f>
        <v>Chepelevirus messicola</v>
      </c>
      <c r="S9051" s="18" t="s">
        <v>30</v>
      </c>
      <c r="T9051" s="18" t="s">
        <v>42759</v>
      </c>
      <c r="U9051" s="18"/>
      <c r="V9051" s="18"/>
      <c r="W9051" s="18" t="s">
        <v>42760</v>
      </c>
      <c r="X9051" s="18" t="s">
        <v>35</v>
      </c>
      <c r="Y9051" s="18" t="s">
        <v>17171</v>
      </c>
      <c r="Z9051" s="18" t="s">
        <v>24637</v>
      </c>
      <c r="AA9051" s="21" t="str">
        <f>HYPERLINK("https://www.ncbi.nlm.nih.gov/nuccore/CASDWV010002059","NCBI Nucleotide")</f>
        <v>NCBI Nucleotide</v>
      </c>
    </row>
    <row r="9052" spans="1:27" x14ac:dyDescent="0.35">
      <c r="A9052">
        <v>1026063</v>
      </c>
      <c r="B9052">
        <v>8377</v>
      </c>
      <c r="C9052">
        <v>1</v>
      </c>
      <c r="D9052" s="17" t="s">
        <v>17166</v>
      </c>
      <c r="E9052" s="17"/>
      <c r="F9052" s="17" t="s">
        <v>17246</v>
      </c>
      <c r="G9052" s="17"/>
      <c r="H9052" s="17" t="s">
        <v>20919</v>
      </c>
      <c r="I9052" s="17"/>
      <c r="J9052" s="17" t="s">
        <v>21313</v>
      </c>
      <c r="K9052" s="17"/>
      <c r="L9052" s="17" t="s">
        <v>21326</v>
      </c>
      <c r="M9052" s="17"/>
      <c r="N9052" s="17" t="s">
        <v>21327</v>
      </c>
      <c r="O9052" s="17"/>
      <c r="P9052" s="17" t="s">
        <v>42761</v>
      </c>
      <c r="Q9052" s="17"/>
      <c r="R9052" s="25" t="str">
        <f>HYPERLINK("https://ictv.global/taxonomy/taxondetails?taxnode_id=202316158","Cherlevirus limivivens")</f>
        <v>Cherlevirus limivivens</v>
      </c>
      <c r="S9052" s="18" t="s">
        <v>30</v>
      </c>
      <c r="T9052" s="18" t="s">
        <v>42762</v>
      </c>
      <c r="U9052" s="18"/>
      <c r="V9052" s="18"/>
      <c r="W9052" s="18" t="s">
        <v>42763</v>
      </c>
      <c r="X9052" s="18" t="s">
        <v>35</v>
      </c>
      <c r="Y9052" s="18" t="s">
        <v>17171</v>
      </c>
      <c r="Z9052" s="18" t="s">
        <v>24637</v>
      </c>
      <c r="AA9052" s="21" t="str">
        <f>HYPERLINK("https://www.ncbi.nlm.nih.gov/nuccore/CASDWV010002299","NCBI Nucleotide")</f>
        <v>NCBI Nucleotide</v>
      </c>
    </row>
    <row r="9053" spans="1:27" x14ac:dyDescent="0.35">
      <c r="A9053">
        <v>1026064</v>
      </c>
      <c r="B9053">
        <v>8378</v>
      </c>
      <c r="C9053">
        <v>1</v>
      </c>
      <c r="D9053" s="17" t="s">
        <v>17166</v>
      </c>
      <c r="E9053" s="17"/>
      <c r="F9053" s="17" t="s">
        <v>17246</v>
      </c>
      <c r="G9053" s="17"/>
      <c r="H9053" s="17" t="s">
        <v>20919</v>
      </c>
      <c r="I9053" s="17"/>
      <c r="J9053" s="17" t="s">
        <v>21313</v>
      </c>
      <c r="K9053" s="17"/>
      <c r="L9053" s="17" t="s">
        <v>21326</v>
      </c>
      <c r="M9053" s="17"/>
      <c r="N9053" s="17" t="s">
        <v>21327</v>
      </c>
      <c r="O9053" s="17"/>
      <c r="P9053" s="17" t="s">
        <v>42764</v>
      </c>
      <c r="Q9053" s="17"/>
      <c r="R9053" s="25" t="str">
        <f>HYPERLINK("https://ictv.global/taxonomy/taxondetails?taxnode_id=202316159","Cherovirus lutivicinum")</f>
        <v>Cherovirus lutivicinum</v>
      </c>
      <c r="S9053" s="18" t="s">
        <v>30</v>
      </c>
      <c r="T9053" s="18" t="s">
        <v>42765</v>
      </c>
      <c r="U9053" s="18"/>
      <c r="V9053" s="18"/>
      <c r="W9053" s="18" t="s">
        <v>42766</v>
      </c>
      <c r="X9053" s="18" t="s">
        <v>35</v>
      </c>
      <c r="Y9053" s="18" t="s">
        <v>17171</v>
      </c>
      <c r="Z9053" s="18" t="s">
        <v>24637</v>
      </c>
      <c r="AA9053" s="21" t="str">
        <f>HYPERLINK("https://www.ncbi.nlm.nih.gov/nuccore/CASDWV010002023","NCBI Nucleotide")</f>
        <v>NCBI Nucleotide</v>
      </c>
    </row>
    <row r="9054" spans="1:27" x14ac:dyDescent="0.35">
      <c r="A9054">
        <v>1009364</v>
      </c>
      <c r="B9054">
        <v>8379</v>
      </c>
      <c r="C9054">
        <v>1</v>
      </c>
      <c r="D9054" s="17" t="s">
        <v>17166</v>
      </c>
      <c r="E9054" s="17"/>
      <c r="F9054" s="17" t="s">
        <v>17246</v>
      </c>
      <c r="G9054" s="17"/>
      <c r="H9054" s="17" t="s">
        <v>20919</v>
      </c>
      <c r="I9054" s="17"/>
      <c r="J9054" s="17" t="s">
        <v>21313</v>
      </c>
      <c r="K9054" s="17"/>
      <c r="L9054" s="17" t="s">
        <v>21326</v>
      </c>
      <c r="M9054" s="17"/>
      <c r="N9054" s="17" t="s">
        <v>21327</v>
      </c>
      <c r="O9054" s="17"/>
      <c r="P9054" s="17" t="s">
        <v>21355</v>
      </c>
      <c r="Q9054" s="17"/>
      <c r="R9054" s="25" t="str">
        <f>HYPERLINK("https://ictv.global/taxonomy/taxondetails?taxnode_id=202310713","Chinihovirus lutihabitans")</f>
        <v>Chinihovirus lutihabitans</v>
      </c>
      <c r="S9054" s="18" t="s">
        <v>30</v>
      </c>
      <c r="T9054" s="18" t="s">
        <v>21356</v>
      </c>
      <c r="U9054" s="18"/>
      <c r="V9054" s="18"/>
      <c r="W9054" s="18" t="s">
        <v>21357</v>
      </c>
      <c r="X9054" s="18" t="s">
        <v>35</v>
      </c>
      <c r="Y9054" s="18" t="s">
        <v>17171</v>
      </c>
      <c r="Z9054" s="18" t="s">
        <v>697</v>
      </c>
      <c r="AA9054" s="21" t="str">
        <f>HYPERLINK("https://www.ncbi.nlm.nih.gov/nuccore/BK013727","NCBI Nucleotide")</f>
        <v>NCBI Nucleotide</v>
      </c>
    </row>
    <row r="9055" spans="1:27" x14ac:dyDescent="0.35">
      <c r="A9055">
        <v>1026089</v>
      </c>
      <c r="B9055">
        <v>8380</v>
      </c>
      <c r="C9055">
        <v>1</v>
      </c>
      <c r="D9055" s="17" t="s">
        <v>17166</v>
      </c>
      <c r="E9055" s="17"/>
      <c r="F9055" s="17" t="s">
        <v>17246</v>
      </c>
      <c r="G9055" s="17"/>
      <c r="H9055" s="17" t="s">
        <v>20919</v>
      </c>
      <c r="I9055" s="17"/>
      <c r="J9055" s="17" t="s">
        <v>21313</v>
      </c>
      <c r="K9055" s="17"/>
      <c r="L9055" s="17" t="s">
        <v>21326</v>
      </c>
      <c r="M9055" s="17"/>
      <c r="N9055" s="17" t="s">
        <v>21327</v>
      </c>
      <c r="O9055" s="17"/>
      <c r="P9055" s="17" t="s">
        <v>42767</v>
      </c>
      <c r="Q9055" s="17"/>
      <c r="R9055" s="25" t="str">
        <f>HYPERLINK("https://ictv.global/taxonomy/taxondetails?taxnode_id=202316160","Chostevirus pelovivens")</f>
        <v>Chostevirus pelovivens</v>
      </c>
      <c r="S9055" s="18" t="s">
        <v>30</v>
      </c>
      <c r="T9055" s="18" t="s">
        <v>42768</v>
      </c>
      <c r="U9055" s="18"/>
      <c r="V9055" s="18"/>
      <c r="W9055" s="18" t="s">
        <v>42769</v>
      </c>
      <c r="X9055" s="18" t="s">
        <v>35</v>
      </c>
      <c r="Y9055" s="18" t="s">
        <v>17171</v>
      </c>
      <c r="Z9055" s="18" t="s">
        <v>24637</v>
      </c>
      <c r="AA9055" s="21" t="str">
        <f>HYPERLINK("https://www.ncbi.nlm.nih.gov/nuccore/CASDWV010002355","NCBI Nucleotide")</f>
        <v>NCBI Nucleotide</v>
      </c>
    </row>
    <row r="9056" spans="1:27" x14ac:dyDescent="0.35">
      <c r="A9056">
        <v>1009365</v>
      </c>
      <c r="B9056">
        <v>8381</v>
      </c>
      <c r="C9056">
        <v>1</v>
      </c>
      <c r="D9056" s="17" t="s">
        <v>17166</v>
      </c>
      <c r="E9056" s="17"/>
      <c r="F9056" s="17" t="s">
        <v>17246</v>
      </c>
      <c r="G9056" s="17"/>
      <c r="H9056" s="17" t="s">
        <v>20919</v>
      </c>
      <c r="I9056" s="17"/>
      <c r="J9056" s="17" t="s">
        <v>21313</v>
      </c>
      <c r="K9056" s="17"/>
      <c r="L9056" s="17" t="s">
        <v>21326</v>
      </c>
      <c r="M9056" s="17"/>
      <c r="N9056" s="17" t="s">
        <v>21327</v>
      </c>
      <c r="O9056" s="17"/>
      <c r="P9056" s="17" t="s">
        <v>21358</v>
      </c>
      <c r="Q9056" s="17"/>
      <c r="R9056" s="25" t="str">
        <f>HYPERLINK("https://ictv.global/taxonomy/taxondetails?taxnode_id=202310715","Chounavirus chorenecus")</f>
        <v>Chounavirus chorenecus</v>
      </c>
      <c r="S9056" s="18" t="s">
        <v>30</v>
      </c>
      <c r="T9056" s="18" t="s">
        <v>21359</v>
      </c>
      <c r="U9056" s="18"/>
      <c r="V9056" s="18"/>
      <c r="W9056" s="18" t="s">
        <v>21360</v>
      </c>
      <c r="X9056" s="18" t="s">
        <v>35</v>
      </c>
      <c r="Y9056" s="18" t="s">
        <v>17171</v>
      </c>
      <c r="Z9056" s="18" t="s">
        <v>697</v>
      </c>
      <c r="AA9056" s="21" t="str">
        <f>HYPERLINK("https://www.ncbi.nlm.nih.gov/nuccore/BK013545","NCBI Nucleotide")</f>
        <v>NCBI Nucleotide</v>
      </c>
    </row>
    <row r="9057" spans="1:27" x14ac:dyDescent="0.35">
      <c r="A9057">
        <v>1026090</v>
      </c>
      <c r="B9057">
        <v>8382</v>
      </c>
      <c r="C9057">
        <v>1</v>
      </c>
      <c r="D9057" s="17" t="s">
        <v>17166</v>
      </c>
      <c r="E9057" s="17"/>
      <c r="F9057" s="17" t="s">
        <v>17246</v>
      </c>
      <c r="G9057" s="17"/>
      <c r="H9057" s="17" t="s">
        <v>20919</v>
      </c>
      <c r="I9057" s="17"/>
      <c r="J9057" s="17" t="s">
        <v>21313</v>
      </c>
      <c r="K9057" s="17"/>
      <c r="L9057" s="17" t="s">
        <v>21326</v>
      </c>
      <c r="M9057" s="17"/>
      <c r="N9057" s="17" t="s">
        <v>21327</v>
      </c>
      <c r="O9057" s="17"/>
      <c r="P9057" s="17" t="s">
        <v>42770</v>
      </c>
      <c r="Q9057" s="17"/>
      <c r="R9057" s="25" t="str">
        <f>HYPERLINK("https://ictv.global/taxonomy/taxondetails?taxnode_id=202316161","Churchovirus lutihabitans")</f>
        <v>Churchovirus lutihabitans</v>
      </c>
      <c r="S9057" s="18" t="s">
        <v>30</v>
      </c>
      <c r="T9057" s="18" t="s">
        <v>42771</v>
      </c>
      <c r="U9057" s="18"/>
      <c r="V9057" s="18"/>
      <c r="W9057" s="18" t="s">
        <v>42772</v>
      </c>
      <c r="X9057" s="18" t="s">
        <v>35</v>
      </c>
      <c r="Y9057" s="18" t="s">
        <v>17171</v>
      </c>
      <c r="Z9057" s="18" t="s">
        <v>24637</v>
      </c>
      <c r="AA9057" s="21" t="str">
        <f>HYPERLINK("https://www.ncbi.nlm.nih.gov/nuccore/CASDWV010002412","NCBI Nucleotide")</f>
        <v>NCBI Nucleotide</v>
      </c>
    </row>
    <row r="9058" spans="1:27" x14ac:dyDescent="0.35">
      <c r="A9058">
        <v>1026091</v>
      </c>
      <c r="B9058">
        <v>8383</v>
      </c>
      <c r="C9058">
        <v>1</v>
      </c>
      <c r="D9058" s="17" t="s">
        <v>17166</v>
      </c>
      <c r="E9058" s="17"/>
      <c r="F9058" s="17" t="s">
        <v>17246</v>
      </c>
      <c r="G9058" s="17"/>
      <c r="H9058" s="17" t="s">
        <v>20919</v>
      </c>
      <c r="I9058" s="17"/>
      <c r="J9058" s="17" t="s">
        <v>21313</v>
      </c>
      <c r="K9058" s="17"/>
      <c r="L9058" s="17" t="s">
        <v>21326</v>
      </c>
      <c r="M9058" s="17"/>
      <c r="N9058" s="17" t="s">
        <v>21327</v>
      </c>
      <c r="O9058" s="17"/>
      <c r="P9058" s="17" t="s">
        <v>42770</v>
      </c>
      <c r="Q9058" s="17"/>
      <c r="R9058" s="25" t="str">
        <f>HYPERLINK("https://ictv.global/taxonomy/taxondetails?taxnode_id=202316162","Churchovirus pedocola")</f>
        <v>Churchovirus pedocola</v>
      </c>
      <c r="S9058" s="18" t="s">
        <v>30</v>
      </c>
      <c r="T9058" s="18" t="s">
        <v>42773</v>
      </c>
      <c r="U9058" s="18"/>
      <c r="V9058" s="18"/>
      <c r="W9058" s="18" t="s">
        <v>42774</v>
      </c>
      <c r="X9058" s="18" t="s">
        <v>35</v>
      </c>
      <c r="Y9058" s="18" t="s">
        <v>17171</v>
      </c>
      <c r="Z9058" s="18" t="s">
        <v>24637</v>
      </c>
      <c r="AA9058" s="21" t="str">
        <f>HYPERLINK("https://www.ncbi.nlm.nih.gov/nuccore/CASDWV010004771","NCBI Nucleotide")</f>
        <v>NCBI Nucleotide</v>
      </c>
    </row>
    <row r="9059" spans="1:27" x14ac:dyDescent="0.35">
      <c r="A9059">
        <v>1009366</v>
      </c>
      <c r="B9059">
        <v>8384</v>
      </c>
      <c r="C9059">
        <v>1</v>
      </c>
      <c r="D9059" s="17" t="s">
        <v>17166</v>
      </c>
      <c r="E9059" s="17"/>
      <c r="F9059" s="17" t="s">
        <v>17246</v>
      </c>
      <c r="G9059" s="17"/>
      <c r="H9059" s="17" t="s">
        <v>20919</v>
      </c>
      <c r="I9059" s="17"/>
      <c r="J9059" s="17" t="s">
        <v>21313</v>
      </c>
      <c r="K9059" s="17"/>
      <c r="L9059" s="17" t="s">
        <v>21326</v>
      </c>
      <c r="M9059" s="17"/>
      <c r="N9059" s="17" t="s">
        <v>21327</v>
      </c>
      <c r="O9059" s="17"/>
      <c r="P9059" s="17" t="s">
        <v>21361</v>
      </c>
      <c r="Q9059" s="17"/>
      <c r="R9059" s="25" t="str">
        <f>HYPERLINK("https://ictv.global/taxonomy/taxondetails?taxnode_id=202310717","Cihsnivirus pelenecus")</f>
        <v>Cihsnivirus pelenecus</v>
      </c>
      <c r="S9059" s="18" t="s">
        <v>30</v>
      </c>
      <c r="T9059" s="18" t="s">
        <v>21362</v>
      </c>
      <c r="U9059" s="18"/>
      <c r="V9059" s="18"/>
      <c r="W9059" s="18" t="s">
        <v>21363</v>
      </c>
      <c r="X9059" s="18" t="s">
        <v>35</v>
      </c>
      <c r="Y9059" s="18" t="s">
        <v>17171</v>
      </c>
      <c r="Z9059" s="18" t="s">
        <v>697</v>
      </c>
      <c r="AA9059" s="21" t="str">
        <f>HYPERLINK("https://www.ncbi.nlm.nih.gov/nuccore/BK014136","NCBI Nucleotide")</f>
        <v>NCBI Nucleotide</v>
      </c>
    </row>
    <row r="9060" spans="1:27" x14ac:dyDescent="0.35">
      <c r="A9060">
        <v>1026101</v>
      </c>
      <c r="B9060">
        <v>8385</v>
      </c>
      <c r="C9060">
        <v>1</v>
      </c>
      <c r="D9060" s="17" t="s">
        <v>17166</v>
      </c>
      <c r="E9060" s="17"/>
      <c r="F9060" s="17" t="s">
        <v>17246</v>
      </c>
      <c r="G9060" s="17"/>
      <c r="H9060" s="17" t="s">
        <v>20919</v>
      </c>
      <c r="I9060" s="17"/>
      <c r="J9060" s="17" t="s">
        <v>21313</v>
      </c>
      <c r="K9060" s="17"/>
      <c r="L9060" s="17" t="s">
        <v>21326</v>
      </c>
      <c r="M9060" s="17"/>
      <c r="N9060" s="17" t="s">
        <v>21327</v>
      </c>
      <c r="O9060" s="17"/>
      <c r="P9060" s="17" t="s">
        <v>42775</v>
      </c>
      <c r="Q9060" s="17"/>
      <c r="R9060" s="25" t="str">
        <f>HYPERLINK("https://ictv.global/taxonomy/taxondetails?taxnode_id=202316163","Clavivirus agrivivens")</f>
        <v>Clavivirus agrivivens</v>
      </c>
      <c r="S9060" s="18" t="s">
        <v>30</v>
      </c>
      <c r="T9060" s="18" t="s">
        <v>42776</v>
      </c>
      <c r="U9060" s="18"/>
      <c r="V9060" s="18"/>
      <c r="W9060" s="18" t="s">
        <v>42777</v>
      </c>
      <c r="X9060" s="18" t="s">
        <v>35</v>
      </c>
      <c r="Y9060" s="18" t="s">
        <v>17171</v>
      </c>
      <c r="Z9060" s="18" t="s">
        <v>24637</v>
      </c>
      <c r="AA9060" s="21" t="str">
        <f>HYPERLINK("https://www.ncbi.nlm.nih.gov/nuccore/CASDWV010002813","NCBI Nucleotide")</f>
        <v>NCBI Nucleotide</v>
      </c>
    </row>
    <row r="9061" spans="1:27" x14ac:dyDescent="0.35">
      <c r="A9061">
        <v>1026102</v>
      </c>
      <c r="B9061">
        <v>8386</v>
      </c>
      <c r="C9061">
        <v>1</v>
      </c>
      <c r="D9061" s="17" t="s">
        <v>17166</v>
      </c>
      <c r="E9061" s="17"/>
      <c r="F9061" s="17" t="s">
        <v>17246</v>
      </c>
      <c r="G9061" s="17"/>
      <c r="H9061" s="17" t="s">
        <v>20919</v>
      </c>
      <c r="I9061" s="17"/>
      <c r="J9061" s="17" t="s">
        <v>21313</v>
      </c>
      <c r="K9061" s="17"/>
      <c r="L9061" s="17" t="s">
        <v>21326</v>
      </c>
      <c r="M9061" s="17"/>
      <c r="N9061" s="17" t="s">
        <v>21327</v>
      </c>
      <c r="O9061" s="17"/>
      <c r="P9061" s="17" t="s">
        <v>42778</v>
      </c>
      <c r="Q9061" s="17"/>
      <c r="R9061" s="25" t="str">
        <f>HYPERLINK("https://ictv.global/taxonomy/taxondetails?taxnode_id=202316164","Clifovirus lutadaptatum")</f>
        <v>Clifovirus lutadaptatum</v>
      </c>
      <c r="S9061" s="18" t="s">
        <v>30</v>
      </c>
      <c r="T9061" s="18" t="s">
        <v>42779</v>
      </c>
      <c r="U9061" s="18"/>
      <c r="V9061" s="18"/>
      <c r="W9061" s="18" t="s">
        <v>42780</v>
      </c>
      <c r="X9061" s="18" t="s">
        <v>35</v>
      </c>
      <c r="Y9061" s="18" t="s">
        <v>17171</v>
      </c>
      <c r="Z9061" s="18" t="s">
        <v>24637</v>
      </c>
      <c r="AA9061" s="21" t="str">
        <f>HYPERLINK("https://www.ncbi.nlm.nih.gov/nuccore/CASDWV010002528","NCBI Nucleotide")</f>
        <v>NCBI Nucleotide</v>
      </c>
    </row>
    <row r="9062" spans="1:27" x14ac:dyDescent="0.35">
      <c r="A9062">
        <v>1026104</v>
      </c>
      <c r="B9062">
        <v>8387</v>
      </c>
      <c r="C9062">
        <v>1</v>
      </c>
      <c r="D9062" s="17" t="s">
        <v>17166</v>
      </c>
      <c r="E9062" s="17"/>
      <c r="F9062" s="17" t="s">
        <v>17246</v>
      </c>
      <c r="G9062" s="17"/>
      <c r="H9062" s="17" t="s">
        <v>20919</v>
      </c>
      <c r="I9062" s="17"/>
      <c r="J9062" s="17" t="s">
        <v>21313</v>
      </c>
      <c r="K9062" s="17"/>
      <c r="L9062" s="17" t="s">
        <v>21326</v>
      </c>
      <c r="M9062" s="17"/>
      <c r="N9062" s="17" t="s">
        <v>21327</v>
      </c>
      <c r="O9062" s="17"/>
      <c r="P9062" s="17" t="s">
        <v>42781</v>
      </c>
      <c r="Q9062" s="17"/>
      <c r="R9062" s="25" t="str">
        <f>HYPERLINK("https://ictv.global/taxonomy/taxondetails?taxnode_id=202316165","Clufdovirus tellurivicinum")</f>
        <v>Clufdovirus tellurivicinum</v>
      </c>
      <c r="S9062" s="18" t="s">
        <v>30</v>
      </c>
      <c r="T9062" s="18" t="s">
        <v>42782</v>
      </c>
      <c r="U9062" s="18"/>
      <c r="V9062" s="18"/>
      <c r="W9062" s="18" t="s">
        <v>42783</v>
      </c>
      <c r="X9062" s="18" t="s">
        <v>35</v>
      </c>
      <c r="Y9062" s="18" t="s">
        <v>17171</v>
      </c>
      <c r="Z9062" s="18" t="s">
        <v>24637</v>
      </c>
      <c r="AA9062" s="21" t="str">
        <f>HYPERLINK("https://www.ncbi.nlm.nih.gov/nuccore/CASDWV010002887","NCBI Nucleotide")</f>
        <v>NCBI Nucleotide</v>
      </c>
    </row>
    <row r="9063" spans="1:27" x14ac:dyDescent="0.35">
      <c r="A9063">
        <v>1026108</v>
      </c>
      <c r="B9063">
        <v>8388</v>
      </c>
      <c r="C9063">
        <v>1</v>
      </c>
      <c r="D9063" s="17" t="s">
        <v>17166</v>
      </c>
      <c r="E9063" s="17"/>
      <c r="F9063" s="17" t="s">
        <v>17246</v>
      </c>
      <c r="G9063" s="17"/>
      <c r="H9063" s="17" t="s">
        <v>20919</v>
      </c>
      <c r="I9063" s="17"/>
      <c r="J9063" s="17" t="s">
        <v>21313</v>
      </c>
      <c r="K9063" s="17"/>
      <c r="L9063" s="17" t="s">
        <v>21326</v>
      </c>
      <c r="M9063" s="17"/>
      <c r="N9063" s="17" t="s">
        <v>21327</v>
      </c>
      <c r="O9063" s="17"/>
      <c r="P9063" s="17" t="s">
        <v>42784</v>
      </c>
      <c r="Q9063" s="17"/>
      <c r="R9063" s="25" t="str">
        <f>HYPERLINK("https://ictv.global/taxonomy/taxondetails?taxnode_id=202316166","Cohrlevirus edaphovicinum")</f>
        <v>Cohrlevirus edaphovicinum</v>
      </c>
      <c r="S9063" s="18" t="s">
        <v>30</v>
      </c>
      <c r="T9063" s="18" t="s">
        <v>42785</v>
      </c>
      <c r="U9063" s="18"/>
      <c r="V9063" s="18"/>
      <c r="W9063" s="18" t="s">
        <v>42786</v>
      </c>
      <c r="X9063" s="18" t="s">
        <v>35</v>
      </c>
      <c r="Y9063" s="18" t="s">
        <v>17171</v>
      </c>
      <c r="Z9063" s="18" t="s">
        <v>24637</v>
      </c>
      <c r="AA9063" s="21" t="str">
        <f>HYPERLINK("https://www.ncbi.nlm.nih.gov/nuccore/CASDWV010002174","NCBI Nucleotide")</f>
        <v>NCBI Nucleotide</v>
      </c>
    </row>
    <row r="9064" spans="1:27" x14ac:dyDescent="0.35">
      <c r="A9064">
        <v>1026109</v>
      </c>
      <c r="B9064">
        <v>8389</v>
      </c>
      <c r="C9064">
        <v>1</v>
      </c>
      <c r="D9064" s="17" t="s">
        <v>17166</v>
      </c>
      <c r="E9064" s="17"/>
      <c r="F9064" s="17" t="s">
        <v>17246</v>
      </c>
      <c r="G9064" s="17"/>
      <c r="H9064" s="17" t="s">
        <v>20919</v>
      </c>
      <c r="I9064" s="17"/>
      <c r="J9064" s="17" t="s">
        <v>21313</v>
      </c>
      <c r="K9064" s="17"/>
      <c r="L9064" s="17" t="s">
        <v>21326</v>
      </c>
      <c r="M9064" s="17"/>
      <c r="N9064" s="17" t="s">
        <v>21327</v>
      </c>
      <c r="O9064" s="17"/>
      <c r="P9064" s="17" t="s">
        <v>42787</v>
      </c>
      <c r="Q9064" s="17"/>
      <c r="R9064" s="25" t="str">
        <f>HYPERLINK("https://ictv.global/taxonomy/taxondetails?taxnode_id=202316167","Colishivirus messicola")</f>
        <v>Colishivirus messicola</v>
      </c>
      <c r="S9064" s="18" t="s">
        <v>30</v>
      </c>
      <c r="T9064" s="18" t="s">
        <v>42788</v>
      </c>
      <c r="U9064" s="18"/>
      <c r="V9064" s="18"/>
      <c r="W9064" s="18" t="s">
        <v>42789</v>
      </c>
      <c r="X9064" s="18" t="s">
        <v>35</v>
      </c>
      <c r="Y9064" s="18" t="s">
        <v>17171</v>
      </c>
      <c r="Z9064" s="18" t="s">
        <v>24637</v>
      </c>
      <c r="AA9064" s="21" t="str">
        <f>HYPERLINK("https://www.ncbi.nlm.nih.gov/nuccore/CASDWV010002890","NCBI Nucleotide")</f>
        <v>NCBI Nucleotide</v>
      </c>
    </row>
    <row r="9065" spans="1:27" x14ac:dyDescent="0.35">
      <c r="A9065">
        <v>1026105</v>
      </c>
      <c r="B9065">
        <v>8390</v>
      </c>
      <c r="C9065">
        <v>1</v>
      </c>
      <c r="D9065" s="17" t="s">
        <v>17166</v>
      </c>
      <c r="E9065" s="17"/>
      <c r="F9065" s="17" t="s">
        <v>17246</v>
      </c>
      <c r="G9065" s="17"/>
      <c r="H9065" s="17" t="s">
        <v>20919</v>
      </c>
      <c r="I9065" s="17"/>
      <c r="J9065" s="17" t="s">
        <v>21313</v>
      </c>
      <c r="K9065" s="17"/>
      <c r="L9065" s="17" t="s">
        <v>21326</v>
      </c>
      <c r="M9065" s="17"/>
      <c r="N9065" s="17" t="s">
        <v>21327</v>
      </c>
      <c r="O9065" s="17"/>
      <c r="P9065" s="17" t="s">
        <v>42790</v>
      </c>
      <c r="Q9065" s="17"/>
      <c r="R9065" s="25" t="str">
        <f>HYPERLINK("https://ictv.global/taxonomy/taxondetails?taxnode_id=202316168","Comptovirus solivivens")</f>
        <v>Comptovirus solivivens</v>
      </c>
      <c r="S9065" s="18" t="s">
        <v>30</v>
      </c>
      <c r="T9065" s="18" t="s">
        <v>42791</v>
      </c>
      <c r="U9065" s="18"/>
      <c r="V9065" s="18"/>
      <c r="W9065" s="18" t="s">
        <v>42792</v>
      </c>
      <c r="X9065" s="18" t="s">
        <v>35</v>
      </c>
      <c r="Y9065" s="18" t="s">
        <v>17171</v>
      </c>
      <c r="Z9065" s="18" t="s">
        <v>24637</v>
      </c>
      <c r="AA9065" s="21" t="str">
        <f>HYPERLINK("https://www.ncbi.nlm.nih.gov/nuccore/CASDWV010001599","NCBI Nucleotide")</f>
        <v>NCBI Nucleotide</v>
      </c>
    </row>
    <row r="9066" spans="1:27" x14ac:dyDescent="0.35">
      <c r="A9066">
        <v>1026106</v>
      </c>
      <c r="B9066">
        <v>8391</v>
      </c>
      <c r="C9066">
        <v>1</v>
      </c>
      <c r="D9066" s="17" t="s">
        <v>17166</v>
      </c>
      <c r="E9066" s="17"/>
      <c r="F9066" s="17" t="s">
        <v>17246</v>
      </c>
      <c r="G9066" s="17"/>
      <c r="H9066" s="17" t="s">
        <v>20919</v>
      </c>
      <c r="I9066" s="17"/>
      <c r="J9066" s="17" t="s">
        <v>21313</v>
      </c>
      <c r="K9066" s="17"/>
      <c r="L9066" s="17" t="s">
        <v>21326</v>
      </c>
      <c r="M9066" s="17"/>
      <c r="N9066" s="17" t="s">
        <v>21327</v>
      </c>
      <c r="O9066" s="17"/>
      <c r="P9066" s="17" t="s">
        <v>42793</v>
      </c>
      <c r="Q9066" s="17"/>
      <c r="R9066" s="25" t="str">
        <f>HYPERLINK("https://ictv.global/taxonomy/taxondetails?taxnode_id=202316169","Comptuvirus solenecus")</f>
        <v>Comptuvirus solenecus</v>
      </c>
      <c r="S9066" s="18" t="s">
        <v>30</v>
      </c>
      <c r="T9066" s="18" t="s">
        <v>42794</v>
      </c>
      <c r="U9066" s="18"/>
      <c r="V9066" s="18"/>
      <c r="W9066" s="18" t="s">
        <v>42795</v>
      </c>
      <c r="X9066" s="18" t="s">
        <v>35</v>
      </c>
      <c r="Y9066" s="18" t="s">
        <v>17171</v>
      </c>
      <c r="Z9066" s="18" t="s">
        <v>24637</v>
      </c>
      <c r="AA9066" s="21" t="str">
        <f>HYPERLINK("https://www.ncbi.nlm.nih.gov/nuccore/CASDWV010003609","NCBI Nucleotide")</f>
        <v>NCBI Nucleotide</v>
      </c>
    </row>
    <row r="9067" spans="1:27" x14ac:dyDescent="0.35">
      <c r="A9067">
        <v>1009393</v>
      </c>
      <c r="B9067">
        <v>8392</v>
      </c>
      <c r="C9067">
        <v>1</v>
      </c>
      <c r="D9067" s="17" t="s">
        <v>17166</v>
      </c>
      <c r="E9067" s="17"/>
      <c r="F9067" s="17" t="s">
        <v>17246</v>
      </c>
      <c r="G9067" s="17"/>
      <c r="H9067" s="17" t="s">
        <v>20919</v>
      </c>
      <c r="I9067" s="17"/>
      <c r="J9067" s="17" t="s">
        <v>21313</v>
      </c>
      <c r="K9067" s="17"/>
      <c r="L9067" s="17" t="s">
        <v>21326</v>
      </c>
      <c r="M9067" s="17"/>
      <c r="N9067" s="17" t="s">
        <v>21327</v>
      </c>
      <c r="O9067" s="17"/>
      <c r="P9067" s="17" t="s">
        <v>42796</v>
      </c>
      <c r="Q9067" s="17"/>
      <c r="R9067" s="25" t="str">
        <f>HYPERLINK("https://ictv.global/taxonomy/taxondetails?taxnode_id=202310765","Coughduvirus asiohabitans")</f>
        <v>Coughduvirus asiohabitans</v>
      </c>
      <c r="S9067" s="18" t="s">
        <v>30</v>
      </c>
      <c r="T9067" s="18" t="s">
        <v>21434</v>
      </c>
      <c r="U9067" s="18"/>
      <c r="V9067" s="18"/>
      <c r="W9067" s="18" t="s">
        <v>21435</v>
      </c>
      <c r="X9067" s="18" t="s">
        <v>35</v>
      </c>
      <c r="Y9067" s="18" t="s">
        <v>17171</v>
      </c>
      <c r="Z9067" s="18" t="s">
        <v>697</v>
      </c>
      <c r="AA9067" s="21" t="str">
        <f>HYPERLINK("https://www.ncbi.nlm.nih.gov/nuccore/BK013630","NCBI Nucleotide")</f>
        <v>NCBI Nucleotide</v>
      </c>
    </row>
    <row r="9068" spans="1:27" x14ac:dyDescent="0.35">
      <c r="A9068">
        <v>1009394</v>
      </c>
      <c r="B9068">
        <v>8393</v>
      </c>
      <c r="C9068">
        <v>1</v>
      </c>
      <c r="D9068" s="17" t="s">
        <v>17166</v>
      </c>
      <c r="E9068" s="17"/>
      <c r="F9068" s="17" t="s">
        <v>17246</v>
      </c>
      <c r="G9068" s="17"/>
      <c r="H9068" s="17" t="s">
        <v>20919</v>
      </c>
      <c r="I9068" s="17"/>
      <c r="J9068" s="17" t="s">
        <v>21313</v>
      </c>
      <c r="K9068" s="17"/>
      <c r="L9068" s="17" t="s">
        <v>21326</v>
      </c>
      <c r="M9068" s="17"/>
      <c r="N9068" s="17" t="s">
        <v>21327</v>
      </c>
      <c r="O9068" s="17"/>
      <c r="P9068" s="17" t="s">
        <v>42796</v>
      </c>
      <c r="Q9068" s="17"/>
      <c r="R9068" s="25" t="str">
        <f>HYPERLINK("https://ictv.global/taxonomy/taxondetails?taxnode_id=202310766","Coughduvirus asiovicinum")</f>
        <v>Coughduvirus asiovicinum</v>
      </c>
      <c r="S9068" s="18" t="s">
        <v>30</v>
      </c>
      <c r="T9068" s="18" t="s">
        <v>21436</v>
      </c>
      <c r="U9068" s="18"/>
      <c r="V9068" s="18"/>
      <c r="W9068" s="18" t="s">
        <v>21437</v>
      </c>
      <c r="X9068" s="18" t="s">
        <v>35</v>
      </c>
      <c r="Y9068" s="18" t="s">
        <v>17171</v>
      </c>
      <c r="Z9068" s="18" t="s">
        <v>697</v>
      </c>
      <c r="AA9068" s="21" t="str">
        <f>HYPERLINK("https://www.ncbi.nlm.nih.gov/nuccore/BK013664","NCBI Nucleotide")</f>
        <v>NCBI Nucleotide</v>
      </c>
    </row>
    <row r="9069" spans="1:27" x14ac:dyDescent="0.35">
      <c r="A9069">
        <v>1009395</v>
      </c>
      <c r="B9069">
        <v>8394</v>
      </c>
      <c r="C9069">
        <v>1</v>
      </c>
      <c r="D9069" s="17" t="s">
        <v>17166</v>
      </c>
      <c r="E9069" s="17"/>
      <c r="F9069" s="17" t="s">
        <v>17246</v>
      </c>
      <c r="G9069" s="17"/>
      <c r="H9069" s="17" t="s">
        <v>20919</v>
      </c>
      <c r="I9069" s="17"/>
      <c r="J9069" s="17" t="s">
        <v>21313</v>
      </c>
      <c r="K9069" s="17"/>
      <c r="L9069" s="17" t="s">
        <v>21326</v>
      </c>
      <c r="M9069" s="17"/>
      <c r="N9069" s="17" t="s">
        <v>21327</v>
      </c>
      <c r="O9069" s="17"/>
      <c r="P9069" s="17" t="s">
        <v>42796</v>
      </c>
      <c r="Q9069" s="17"/>
      <c r="R9069" s="25" t="str">
        <f>HYPERLINK("https://ictv.global/taxonomy/taxondetails?taxnode_id=202310767","Coughduvirus asiovivens")</f>
        <v>Coughduvirus asiovivens</v>
      </c>
      <c r="S9069" s="18" t="s">
        <v>30</v>
      </c>
      <c r="T9069" s="18" t="s">
        <v>21438</v>
      </c>
      <c r="U9069" s="18"/>
      <c r="V9069" s="18"/>
      <c r="W9069" s="18" t="s">
        <v>21439</v>
      </c>
      <c r="X9069" s="18" t="s">
        <v>35</v>
      </c>
      <c r="Y9069" s="18" t="s">
        <v>17171</v>
      </c>
      <c r="Z9069" s="18" t="s">
        <v>697</v>
      </c>
      <c r="AA9069" s="21" t="str">
        <f>HYPERLINK("https://www.ncbi.nlm.nih.gov/nuccore/BK013695","NCBI Nucleotide")</f>
        <v>NCBI Nucleotide</v>
      </c>
    </row>
    <row r="9070" spans="1:27" x14ac:dyDescent="0.35">
      <c r="A9070">
        <v>1009396</v>
      </c>
      <c r="B9070">
        <v>8395</v>
      </c>
      <c r="C9070">
        <v>1</v>
      </c>
      <c r="D9070" s="17" t="s">
        <v>17166</v>
      </c>
      <c r="E9070" s="17"/>
      <c r="F9070" s="17" t="s">
        <v>17246</v>
      </c>
      <c r="G9070" s="17"/>
      <c r="H9070" s="17" t="s">
        <v>20919</v>
      </c>
      <c r="I9070" s="17"/>
      <c r="J9070" s="17" t="s">
        <v>21313</v>
      </c>
      <c r="K9070" s="17"/>
      <c r="L9070" s="17" t="s">
        <v>21326</v>
      </c>
      <c r="M9070" s="17"/>
      <c r="N9070" s="17" t="s">
        <v>21327</v>
      </c>
      <c r="O9070" s="17"/>
      <c r="P9070" s="17" t="s">
        <v>42796</v>
      </c>
      <c r="Q9070" s="17"/>
      <c r="R9070" s="25" t="str">
        <f>HYPERLINK("https://ictv.global/taxonomy/taxondetails?taxnode_id=202310768","Coughduvirus borboradaptatum")</f>
        <v>Coughduvirus borboradaptatum</v>
      </c>
      <c r="S9070" s="18" t="s">
        <v>30</v>
      </c>
      <c r="T9070" s="18" t="s">
        <v>21440</v>
      </c>
      <c r="U9070" s="18"/>
      <c r="V9070" s="18"/>
      <c r="W9070" s="18" t="s">
        <v>21441</v>
      </c>
      <c r="X9070" s="18" t="s">
        <v>35</v>
      </c>
      <c r="Y9070" s="18" t="s">
        <v>17171</v>
      </c>
      <c r="Z9070" s="18" t="s">
        <v>697</v>
      </c>
      <c r="AA9070" s="21" t="str">
        <f>HYPERLINK("https://www.ncbi.nlm.nih.gov/nuccore/BK014206","NCBI Nucleotide")</f>
        <v>NCBI Nucleotide</v>
      </c>
    </row>
    <row r="9071" spans="1:27" x14ac:dyDescent="0.35">
      <c r="A9071">
        <v>1009367</v>
      </c>
      <c r="B9071">
        <v>8396</v>
      </c>
      <c r="C9071">
        <v>1</v>
      </c>
      <c r="D9071" s="17" t="s">
        <v>17166</v>
      </c>
      <c r="E9071" s="17"/>
      <c r="F9071" s="17" t="s">
        <v>17246</v>
      </c>
      <c r="G9071" s="17"/>
      <c r="H9071" s="17" t="s">
        <v>20919</v>
      </c>
      <c r="I9071" s="17"/>
      <c r="J9071" s="17" t="s">
        <v>21313</v>
      </c>
      <c r="K9071" s="17"/>
      <c r="L9071" s="17" t="s">
        <v>21326</v>
      </c>
      <c r="M9071" s="17"/>
      <c r="N9071" s="17" t="s">
        <v>21327</v>
      </c>
      <c r="O9071" s="17"/>
      <c r="P9071" s="17" t="s">
        <v>21364</v>
      </c>
      <c r="Q9071" s="17"/>
      <c r="R9071" s="25" t="str">
        <f>HYPERLINK("https://ictv.global/taxonomy/taxondetails?taxnode_id=202310719","Diydovirus borborovicinum")</f>
        <v>Diydovirus borborovicinum</v>
      </c>
      <c r="S9071" s="18" t="s">
        <v>30</v>
      </c>
      <c r="T9071" s="18" t="s">
        <v>21365</v>
      </c>
      <c r="U9071" s="18"/>
      <c r="V9071" s="18"/>
      <c r="W9071" s="18" t="s">
        <v>21366</v>
      </c>
      <c r="X9071" s="18" t="s">
        <v>35</v>
      </c>
      <c r="Y9071" s="18" t="s">
        <v>17171</v>
      </c>
      <c r="Z9071" s="18" t="s">
        <v>697</v>
      </c>
      <c r="AA9071" s="21" t="str">
        <f>HYPERLINK("https://www.ncbi.nlm.nih.gov/nuccore/BK014140","NCBI Nucleotide")</f>
        <v>NCBI Nucleotide</v>
      </c>
    </row>
    <row r="9072" spans="1:27" x14ac:dyDescent="0.35">
      <c r="A9072">
        <v>1009368</v>
      </c>
      <c r="B9072">
        <v>8397</v>
      </c>
      <c r="C9072">
        <v>1</v>
      </c>
      <c r="D9072" s="17" t="s">
        <v>17166</v>
      </c>
      <c r="E9072" s="17"/>
      <c r="F9072" s="17" t="s">
        <v>17246</v>
      </c>
      <c r="G9072" s="17"/>
      <c r="H9072" s="17" t="s">
        <v>20919</v>
      </c>
      <c r="I9072" s="17"/>
      <c r="J9072" s="17" t="s">
        <v>21313</v>
      </c>
      <c r="K9072" s="17"/>
      <c r="L9072" s="17" t="s">
        <v>21326</v>
      </c>
      <c r="M9072" s="17"/>
      <c r="N9072" s="17" t="s">
        <v>21327</v>
      </c>
      <c r="O9072" s="17"/>
      <c r="P9072" s="17" t="s">
        <v>21367</v>
      </c>
      <c r="Q9072" s="17"/>
      <c r="R9072" s="25" t="str">
        <f>HYPERLINK("https://ictv.global/taxonomy/taxondetails?taxnode_id=202310723","Dugnivirus chthonadaptatum")</f>
        <v>Dugnivirus chthonadaptatum</v>
      </c>
      <c r="S9072" s="18" t="s">
        <v>30</v>
      </c>
      <c r="T9072" s="18" t="s">
        <v>21368</v>
      </c>
      <c r="U9072" s="18"/>
      <c r="V9072" s="18"/>
      <c r="W9072" s="18" t="s">
        <v>21369</v>
      </c>
      <c r="X9072" s="18" t="s">
        <v>35</v>
      </c>
      <c r="Y9072" s="18" t="s">
        <v>17171</v>
      </c>
      <c r="Z9072" s="18" t="s">
        <v>697</v>
      </c>
      <c r="AA9072" s="21" t="str">
        <f>HYPERLINK("https://www.ncbi.nlm.nih.gov/nuccore/BK013522","NCBI Nucleotide")</f>
        <v>NCBI Nucleotide</v>
      </c>
    </row>
    <row r="9073" spans="1:27" x14ac:dyDescent="0.35">
      <c r="A9073">
        <v>1009369</v>
      </c>
      <c r="B9073">
        <v>8398</v>
      </c>
      <c r="C9073">
        <v>1</v>
      </c>
      <c r="D9073" s="17" t="s">
        <v>17166</v>
      </c>
      <c r="E9073" s="17"/>
      <c r="F9073" s="17" t="s">
        <v>17246</v>
      </c>
      <c r="G9073" s="17"/>
      <c r="H9073" s="17" t="s">
        <v>20919</v>
      </c>
      <c r="I9073" s="17"/>
      <c r="J9073" s="17" t="s">
        <v>21313</v>
      </c>
      <c r="K9073" s="17"/>
      <c r="L9073" s="17" t="s">
        <v>21326</v>
      </c>
      <c r="M9073" s="17"/>
      <c r="N9073" s="17" t="s">
        <v>21327</v>
      </c>
      <c r="O9073" s="17"/>
      <c r="P9073" s="17" t="s">
        <v>21367</v>
      </c>
      <c r="Q9073" s="17"/>
      <c r="R9073" s="25" t="str">
        <f>HYPERLINK("https://ictv.global/taxonomy/taxondetails?taxnode_id=202310721","Dugnivirus solivicinum")</f>
        <v>Dugnivirus solivicinum</v>
      </c>
      <c r="S9073" s="18" t="s">
        <v>30</v>
      </c>
      <c r="T9073" s="18" t="s">
        <v>21370</v>
      </c>
      <c r="U9073" s="18"/>
      <c r="V9073" s="18"/>
      <c r="W9073" s="18" t="s">
        <v>21371</v>
      </c>
      <c r="X9073" s="18" t="s">
        <v>35</v>
      </c>
      <c r="Y9073" s="18" t="s">
        <v>17171</v>
      </c>
      <c r="Z9073" s="18" t="s">
        <v>697</v>
      </c>
      <c r="AA9073" s="21" t="str">
        <f>HYPERLINK("https://www.ncbi.nlm.nih.gov/nuccore/BK013780","NCBI Nucleotide")</f>
        <v>NCBI Nucleotide</v>
      </c>
    </row>
    <row r="9074" spans="1:27" x14ac:dyDescent="0.35">
      <c r="A9074">
        <v>1009370</v>
      </c>
      <c r="B9074">
        <v>8399</v>
      </c>
      <c r="C9074">
        <v>1</v>
      </c>
      <c r="D9074" s="17" t="s">
        <v>17166</v>
      </c>
      <c r="E9074" s="17"/>
      <c r="F9074" s="17" t="s">
        <v>17246</v>
      </c>
      <c r="G9074" s="17"/>
      <c r="H9074" s="17" t="s">
        <v>20919</v>
      </c>
      <c r="I9074" s="17"/>
      <c r="J9074" s="17" t="s">
        <v>21313</v>
      </c>
      <c r="K9074" s="17"/>
      <c r="L9074" s="17" t="s">
        <v>21326</v>
      </c>
      <c r="M9074" s="17"/>
      <c r="N9074" s="17" t="s">
        <v>21327</v>
      </c>
      <c r="O9074" s="17"/>
      <c r="P9074" s="17" t="s">
        <v>21367</v>
      </c>
      <c r="Q9074" s="17"/>
      <c r="R9074" s="25" t="str">
        <f>HYPERLINK("https://ictv.global/taxonomy/taxondetails?taxnode_id=202310722","Dugnivirus solivivens")</f>
        <v>Dugnivirus solivivens</v>
      </c>
      <c r="S9074" s="18" t="s">
        <v>30</v>
      </c>
      <c r="T9074" s="18" t="s">
        <v>21372</v>
      </c>
      <c r="U9074" s="18"/>
      <c r="V9074" s="18"/>
      <c r="W9074" s="18" t="s">
        <v>21373</v>
      </c>
      <c r="X9074" s="18" t="s">
        <v>35</v>
      </c>
      <c r="Y9074" s="18" t="s">
        <v>17171</v>
      </c>
      <c r="Z9074" s="18" t="s">
        <v>697</v>
      </c>
      <c r="AA9074" s="21" t="str">
        <f>HYPERLINK("https://www.ncbi.nlm.nih.gov/nuccore/BK013469","NCBI Nucleotide")</f>
        <v>NCBI Nucleotide</v>
      </c>
    </row>
    <row r="9075" spans="1:27" x14ac:dyDescent="0.35">
      <c r="A9075">
        <v>1026123</v>
      </c>
      <c r="B9075">
        <v>8400</v>
      </c>
      <c r="C9075">
        <v>1</v>
      </c>
      <c r="D9075" s="17" t="s">
        <v>17166</v>
      </c>
      <c r="E9075" s="17"/>
      <c r="F9075" s="17" t="s">
        <v>17246</v>
      </c>
      <c r="G9075" s="17"/>
      <c r="H9075" s="17" t="s">
        <v>20919</v>
      </c>
      <c r="I9075" s="17"/>
      <c r="J9075" s="17" t="s">
        <v>21313</v>
      </c>
      <c r="K9075" s="17"/>
      <c r="L9075" s="17" t="s">
        <v>21326</v>
      </c>
      <c r="M9075" s="17"/>
      <c r="N9075" s="17" t="s">
        <v>21327</v>
      </c>
      <c r="O9075" s="17"/>
      <c r="P9075" s="17" t="s">
        <v>21374</v>
      </c>
      <c r="Q9075" s="17"/>
      <c r="R9075" s="25" t="str">
        <f>HYPERLINK("https://ictv.global/taxonomy/taxondetails?taxnode_id=202316170","Firunevirus faecicola")</f>
        <v>Firunevirus faecicola</v>
      </c>
      <c r="S9075" s="18" t="s">
        <v>30</v>
      </c>
      <c r="T9075" s="18" t="s">
        <v>42797</v>
      </c>
      <c r="U9075" s="18"/>
      <c r="V9075" s="18" t="s">
        <v>42797</v>
      </c>
      <c r="W9075" s="18" t="s">
        <v>42798</v>
      </c>
      <c r="X9075" s="18" t="s">
        <v>35</v>
      </c>
      <c r="Y9075" s="18" t="s">
        <v>17171</v>
      </c>
      <c r="Z9075" s="18" t="s">
        <v>24637</v>
      </c>
      <c r="AA9075" s="21" t="str">
        <f>HYPERLINK("https://www.ncbi.nlm.nih.gov/nuccore/MZ679687","NCBI Nucleotide")</f>
        <v>NCBI Nucleotide</v>
      </c>
    </row>
    <row r="9076" spans="1:27" x14ac:dyDescent="0.35">
      <c r="A9076">
        <v>1009371</v>
      </c>
      <c r="B9076">
        <v>8401</v>
      </c>
      <c r="C9076">
        <v>1</v>
      </c>
      <c r="D9076" s="17" t="s">
        <v>17166</v>
      </c>
      <c r="E9076" s="17"/>
      <c r="F9076" s="17" t="s">
        <v>17246</v>
      </c>
      <c r="G9076" s="17"/>
      <c r="H9076" s="17" t="s">
        <v>20919</v>
      </c>
      <c r="I9076" s="17"/>
      <c r="J9076" s="17" t="s">
        <v>21313</v>
      </c>
      <c r="K9076" s="17"/>
      <c r="L9076" s="17" t="s">
        <v>21326</v>
      </c>
      <c r="M9076" s="17"/>
      <c r="N9076" s="17" t="s">
        <v>21327</v>
      </c>
      <c r="O9076" s="17"/>
      <c r="P9076" s="17" t="s">
        <v>21374</v>
      </c>
      <c r="Q9076" s="17"/>
      <c r="R9076" s="25" t="str">
        <f>HYPERLINK("https://ictv.global/taxonomy/taxondetails?taxnode_id=202310725","Firunevirus limicola")</f>
        <v>Firunevirus limicola</v>
      </c>
      <c r="S9076" s="18" t="s">
        <v>30</v>
      </c>
      <c r="T9076" s="18" t="s">
        <v>21375</v>
      </c>
      <c r="U9076" s="18"/>
      <c r="V9076" s="18"/>
      <c r="W9076" s="18" t="s">
        <v>21376</v>
      </c>
      <c r="X9076" s="18" t="s">
        <v>35</v>
      </c>
      <c r="Y9076" s="18" t="s">
        <v>17171</v>
      </c>
      <c r="Z9076" s="18" t="s">
        <v>697</v>
      </c>
      <c r="AA9076" s="21" t="str">
        <f>HYPERLINK("https://www.ncbi.nlm.nih.gov/nuccore/BK013653","NCBI Nucleotide")</f>
        <v>NCBI Nucleotide</v>
      </c>
    </row>
    <row r="9077" spans="1:27" x14ac:dyDescent="0.35">
      <c r="A9077">
        <v>1026124</v>
      </c>
      <c r="B9077">
        <v>8402</v>
      </c>
      <c r="C9077">
        <v>1</v>
      </c>
      <c r="D9077" s="17" t="s">
        <v>17166</v>
      </c>
      <c r="E9077" s="17"/>
      <c r="F9077" s="17" t="s">
        <v>17246</v>
      </c>
      <c r="G9077" s="17"/>
      <c r="H9077" s="17" t="s">
        <v>20919</v>
      </c>
      <c r="I9077" s="17"/>
      <c r="J9077" s="17" t="s">
        <v>21313</v>
      </c>
      <c r="K9077" s="17"/>
      <c r="L9077" s="17" t="s">
        <v>21326</v>
      </c>
      <c r="M9077" s="17"/>
      <c r="N9077" s="17" t="s">
        <v>21327</v>
      </c>
      <c r="O9077" s="17"/>
      <c r="P9077" s="17" t="s">
        <v>21374</v>
      </c>
      <c r="Q9077" s="17"/>
      <c r="R9077" s="25" t="str">
        <f>HYPERLINK("https://ictv.global/taxonomy/taxondetails?taxnode_id=202316171","Firunevirus segetihabitans")</f>
        <v>Firunevirus segetihabitans</v>
      </c>
      <c r="S9077" s="18" t="s">
        <v>30</v>
      </c>
      <c r="T9077" s="18" t="s">
        <v>42799</v>
      </c>
      <c r="U9077" s="18"/>
      <c r="V9077" s="18"/>
      <c r="W9077" s="18" t="s">
        <v>42800</v>
      </c>
      <c r="X9077" s="18" t="s">
        <v>35</v>
      </c>
      <c r="Y9077" s="18" t="s">
        <v>17171</v>
      </c>
      <c r="Z9077" s="18" t="s">
        <v>24637</v>
      </c>
      <c r="AA9077" s="21" t="str">
        <f>HYPERLINK("https://www.ncbi.nlm.nih.gov/nuccore/CASDWV010002636","NCBI Nucleotide")</f>
        <v>NCBI Nucleotide</v>
      </c>
    </row>
    <row r="9078" spans="1:27" x14ac:dyDescent="0.35">
      <c r="A9078">
        <v>1026125</v>
      </c>
      <c r="B9078">
        <v>8403</v>
      </c>
      <c r="C9078">
        <v>1</v>
      </c>
      <c r="D9078" s="17" t="s">
        <v>17166</v>
      </c>
      <c r="E9078" s="17"/>
      <c r="F9078" s="17" t="s">
        <v>17246</v>
      </c>
      <c r="G9078" s="17"/>
      <c r="H9078" s="17" t="s">
        <v>20919</v>
      </c>
      <c r="I9078" s="17"/>
      <c r="J9078" s="17" t="s">
        <v>21313</v>
      </c>
      <c r="K9078" s="17"/>
      <c r="L9078" s="17" t="s">
        <v>21326</v>
      </c>
      <c r="M9078" s="17"/>
      <c r="N9078" s="17" t="s">
        <v>21327</v>
      </c>
      <c r="O9078" s="17"/>
      <c r="P9078" s="17" t="s">
        <v>21374</v>
      </c>
      <c r="Q9078" s="17"/>
      <c r="R9078" s="25" t="str">
        <f>HYPERLINK("https://ictv.global/taxonomy/taxondetails?taxnode_id=202316172","Firunevirus solenecus")</f>
        <v>Firunevirus solenecus</v>
      </c>
      <c r="S9078" s="18" t="s">
        <v>30</v>
      </c>
      <c r="T9078" s="18" t="s">
        <v>42801</v>
      </c>
      <c r="U9078" s="18"/>
      <c r="V9078" s="18"/>
      <c r="W9078" s="18" t="s">
        <v>42802</v>
      </c>
      <c r="X9078" s="18" t="s">
        <v>35</v>
      </c>
      <c r="Y9078" s="18" t="s">
        <v>17171</v>
      </c>
      <c r="Z9078" s="18" t="s">
        <v>24637</v>
      </c>
      <c r="AA9078" s="21" t="str">
        <f>HYPERLINK("https://www.ncbi.nlm.nih.gov/nuccore/CASDWV010004378","NCBI Nucleotide")</f>
        <v>NCBI Nucleotide</v>
      </c>
    </row>
    <row r="9079" spans="1:27" x14ac:dyDescent="0.35">
      <c r="A9079">
        <v>1026126</v>
      </c>
      <c r="B9079">
        <v>8404</v>
      </c>
      <c r="C9079">
        <v>1</v>
      </c>
      <c r="D9079" s="17" t="s">
        <v>17166</v>
      </c>
      <c r="E9079" s="17"/>
      <c r="F9079" s="17" t="s">
        <v>17246</v>
      </c>
      <c r="G9079" s="17"/>
      <c r="H9079" s="17" t="s">
        <v>20919</v>
      </c>
      <c r="I9079" s="17"/>
      <c r="J9079" s="17" t="s">
        <v>21313</v>
      </c>
      <c r="K9079" s="17"/>
      <c r="L9079" s="17" t="s">
        <v>21326</v>
      </c>
      <c r="M9079" s="17"/>
      <c r="N9079" s="17" t="s">
        <v>21327</v>
      </c>
      <c r="O9079" s="17"/>
      <c r="P9079" s="17" t="s">
        <v>21374</v>
      </c>
      <c r="Q9079" s="17"/>
      <c r="R9079" s="25" t="str">
        <f>HYPERLINK("https://ictv.global/taxonomy/taxondetails?taxnode_id=202316173","Firunevirus telluricola")</f>
        <v>Firunevirus telluricola</v>
      </c>
      <c r="S9079" s="18" t="s">
        <v>30</v>
      </c>
      <c r="T9079" s="18" t="s">
        <v>42803</v>
      </c>
      <c r="U9079" s="18"/>
      <c r="V9079" s="18"/>
      <c r="W9079" s="18" t="s">
        <v>42804</v>
      </c>
      <c r="X9079" s="18" t="s">
        <v>35</v>
      </c>
      <c r="Y9079" s="18" t="s">
        <v>17171</v>
      </c>
      <c r="Z9079" s="18" t="s">
        <v>24637</v>
      </c>
      <c r="AA9079" s="21" t="str">
        <f>HYPERLINK("https://www.ncbi.nlm.nih.gov/nuccore/CASDWV010003610","NCBI Nucleotide")</f>
        <v>NCBI Nucleotide</v>
      </c>
    </row>
    <row r="9080" spans="1:27" x14ac:dyDescent="0.35">
      <c r="A9080">
        <v>1009372</v>
      </c>
      <c r="B9080">
        <v>8405</v>
      </c>
      <c r="C9080">
        <v>1</v>
      </c>
      <c r="D9080" s="17" t="s">
        <v>17166</v>
      </c>
      <c r="E9080" s="17"/>
      <c r="F9080" s="17" t="s">
        <v>17246</v>
      </c>
      <c r="G9080" s="17"/>
      <c r="H9080" s="17" t="s">
        <v>20919</v>
      </c>
      <c r="I9080" s="17"/>
      <c r="J9080" s="17" t="s">
        <v>21313</v>
      </c>
      <c r="K9080" s="17"/>
      <c r="L9080" s="17" t="s">
        <v>21326</v>
      </c>
      <c r="M9080" s="17"/>
      <c r="N9080" s="17" t="s">
        <v>21327</v>
      </c>
      <c r="O9080" s="17"/>
      <c r="P9080" s="17" t="s">
        <v>21377</v>
      </c>
      <c r="Q9080" s="17"/>
      <c r="R9080" s="25" t="str">
        <f>HYPERLINK("https://ictv.global/taxonomy/taxondetails?taxnode_id=202310727","Gohshovirus asiadaptatum")</f>
        <v>Gohshovirus asiadaptatum</v>
      </c>
      <c r="S9080" s="18" t="s">
        <v>30</v>
      </c>
      <c r="T9080" s="18" t="s">
        <v>21378</v>
      </c>
      <c r="U9080" s="18"/>
      <c r="V9080" s="18"/>
      <c r="W9080" s="18" t="s">
        <v>21379</v>
      </c>
      <c r="X9080" s="18" t="s">
        <v>35</v>
      </c>
      <c r="Y9080" s="18" t="s">
        <v>17171</v>
      </c>
      <c r="Z9080" s="18" t="s">
        <v>697</v>
      </c>
      <c r="AA9080" s="21" t="str">
        <f>HYPERLINK("https://www.ncbi.nlm.nih.gov/nuccore/BK013760","NCBI Nucleotide")</f>
        <v>NCBI Nucleotide</v>
      </c>
    </row>
    <row r="9081" spans="1:27" x14ac:dyDescent="0.35">
      <c r="A9081">
        <v>1009373</v>
      </c>
      <c r="B9081">
        <v>8406</v>
      </c>
      <c r="C9081">
        <v>1</v>
      </c>
      <c r="D9081" s="17" t="s">
        <v>17166</v>
      </c>
      <c r="E9081" s="17"/>
      <c r="F9081" s="17" t="s">
        <v>17246</v>
      </c>
      <c r="G9081" s="17"/>
      <c r="H9081" s="17" t="s">
        <v>20919</v>
      </c>
      <c r="I9081" s="17"/>
      <c r="J9081" s="17" t="s">
        <v>21313</v>
      </c>
      <c r="K9081" s="17"/>
      <c r="L9081" s="17" t="s">
        <v>21326</v>
      </c>
      <c r="M9081" s="17"/>
      <c r="N9081" s="17" t="s">
        <v>21327</v>
      </c>
      <c r="O9081" s="17"/>
      <c r="P9081" s="17" t="s">
        <v>21380</v>
      </c>
      <c r="Q9081" s="17"/>
      <c r="R9081" s="25" t="str">
        <f>HYPERLINK("https://ictv.global/taxonomy/taxondetails?taxnode_id=202310729","Hehspivirus edaphadaptatum")</f>
        <v>Hehspivirus edaphadaptatum</v>
      </c>
      <c r="S9081" s="18" t="s">
        <v>30</v>
      </c>
      <c r="T9081" s="18" t="s">
        <v>21381</v>
      </c>
      <c r="U9081" s="18"/>
      <c r="V9081" s="18"/>
      <c r="W9081" s="18" t="s">
        <v>21382</v>
      </c>
      <c r="X9081" s="18" t="s">
        <v>35</v>
      </c>
      <c r="Y9081" s="18" t="s">
        <v>17171</v>
      </c>
      <c r="Z9081" s="18" t="s">
        <v>697</v>
      </c>
      <c r="AA9081" s="21" t="str">
        <f>HYPERLINK("https://www.ncbi.nlm.nih.gov/nuccore/BK013448","NCBI Nucleotide")</f>
        <v>NCBI Nucleotide</v>
      </c>
    </row>
    <row r="9082" spans="1:27" x14ac:dyDescent="0.35">
      <c r="A9082">
        <v>1026248</v>
      </c>
      <c r="B9082">
        <v>8407</v>
      </c>
      <c r="C9082">
        <v>1</v>
      </c>
      <c r="D9082" s="17" t="s">
        <v>17166</v>
      </c>
      <c r="E9082" s="17"/>
      <c r="F9082" s="17" t="s">
        <v>17246</v>
      </c>
      <c r="G9082" s="17"/>
      <c r="H9082" s="17" t="s">
        <v>20919</v>
      </c>
      <c r="I9082" s="17"/>
      <c r="J9082" s="17" t="s">
        <v>21313</v>
      </c>
      <c r="K9082" s="17"/>
      <c r="L9082" s="17" t="s">
        <v>21326</v>
      </c>
      <c r="M9082" s="17"/>
      <c r="N9082" s="17" t="s">
        <v>21327</v>
      </c>
      <c r="O9082" s="17"/>
      <c r="P9082" s="17" t="s">
        <v>21380</v>
      </c>
      <c r="Q9082" s="17"/>
      <c r="R9082" s="25" t="str">
        <f>HYPERLINK("https://ictv.global/taxonomy/taxondetails?taxnode_id=202316174","Hehspivirus edaphohabitans")</f>
        <v>Hehspivirus edaphohabitans</v>
      </c>
      <c r="S9082" s="18" t="s">
        <v>30</v>
      </c>
      <c r="T9082" s="18" t="s">
        <v>42805</v>
      </c>
      <c r="U9082" s="18"/>
      <c r="V9082" s="18"/>
      <c r="W9082" s="18" t="s">
        <v>42806</v>
      </c>
      <c r="X9082" s="18" t="s">
        <v>35</v>
      </c>
      <c r="Y9082" s="18" t="s">
        <v>17171</v>
      </c>
      <c r="Z9082" s="18" t="s">
        <v>24637</v>
      </c>
      <c r="AA9082" s="21" t="str">
        <f>HYPERLINK("https://www.ncbi.nlm.nih.gov/nuccore/CASDWV010003166","NCBI Nucleotide")</f>
        <v>NCBI Nucleotide</v>
      </c>
    </row>
    <row r="9083" spans="1:27" x14ac:dyDescent="0.35">
      <c r="A9083">
        <v>1009374</v>
      </c>
      <c r="B9083">
        <v>8408</v>
      </c>
      <c r="C9083">
        <v>1</v>
      </c>
      <c r="D9083" s="17" t="s">
        <v>17166</v>
      </c>
      <c r="E9083" s="17"/>
      <c r="F9083" s="17" t="s">
        <v>17246</v>
      </c>
      <c r="G9083" s="17"/>
      <c r="H9083" s="17" t="s">
        <v>20919</v>
      </c>
      <c r="I9083" s="17"/>
      <c r="J9083" s="17" t="s">
        <v>21313</v>
      </c>
      <c r="K9083" s="17"/>
      <c r="L9083" s="17" t="s">
        <v>21326</v>
      </c>
      <c r="M9083" s="17"/>
      <c r="N9083" s="17" t="s">
        <v>21327</v>
      </c>
      <c r="O9083" s="17"/>
      <c r="P9083" s="17" t="s">
        <v>21383</v>
      </c>
      <c r="Q9083" s="17"/>
      <c r="R9083" s="25" t="str">
        <f>HYPERLINK("https://ictv.global/taxonomy/taxondetails?taxnode_id=202310731","Helacdivirus borborovicinum")</f>
        <v>Helacdivirus borborovicinum</v>
      </c>
      <c r="S9083" s="18" t="s">
        <v>30</v>
      </c>
      <c r="T9083" s="18" t="s">
        <v>21384</v>
      </c>
      <c r="U9083" s="18"/>
      <c r="V9083" s="18"/>
      <c r="W9083" s="18" t="s">
        <v>21385</v>
      </c>
      <c r="X9083" s="18" t="s">
        <v>35</v>
      </c>
      <c r="Y9083" s="18" t="s">
        <v>17171</v>
      </c>
      <c r="Z9083" s="18" t="s">
        <v>697</v>
      </c>
      <c r="AA9083" s="21" t="str">
        <f>HYPERLINK("https://www.ncbi.nlm.nih.gov/nuccore/BK013574","NCBI Nucleotide")</f>
        <v>NCBI Nucleotide</v>
      </c>
    </row>
    <row r="9084" spans="1:27" x14ac:dyDescent="0.35">
      <c r="A9084">
        <v>1009375</v>
      </c>
      <c r="B9084">
        <v>8409</v>
      </c>
      <c r="C9084">
        <v>1</v>
      </c>
      <c r="D9084" s="17" t="s">
        <v>17166</v>
      </c>
      <c r="E9084" s="17"/>
      <c r="F9084" s="17" t="s">
        <v>17246</v>
      </c>
      <c r="G9084" s="17"/>
      <c r="H9084" s="17" t="s">
        <v>20919</v>
      </c>
      <c r="I9084" s="17"/>
      <c r="J9084" s="17" t="s">
        <v>21313</v>
      </c>
      <c r="K9084" s="17"/>
      <c r="L9084" s="17" t="s">
        <v>21326</v>
      </c>
      <c r="M9084" s="17"/>
      <c r="N9084" s="17" t="s">
        <v>21327</v>
      </c>
      <c r="O9084" s="17"/>
      <c r="P9084" s="17" t="s">
        <v>21386</v>
      </c>
      <c r="Q9084" s="17"/>
      <c r="R9084" s="25" t="str">
        <f>HYPERLINK("https://ictv.global/taxonomy/taxondetails?taxnode_id=202310733","Hirvovirus caenivicinum")</f>
        <v>Hirvovirus caenivicinum</v>
      </c>
      <c r="S9084" s="18" t="s">
        <v>30</v>
      </c>
      <c r="T9084" s="18" t="s">
        <v>21387</v>
      </c>
      <c r="U9084" s="18"/>
      <c r="V9084" s="18"/>
      <c r="W9084" s="18" t="s">
        <v>21388</v>
      </c>
      <c r="X9084" s="18" t="s">
        <v>35</v>
      </c>
      <c r="Y9084" s="18" t="s">
        <v>17171</v>
      </c>
      <c r="Z9084" s="18" t="s">
        <v>697</v>
      </c>
      <c r="AA9084" s="21" t="str">
        <f>HYPERLINK("https://www.ncbi.nlm.nih.gov/nuccore/BK013728","NCBI Nucleotide")</f>
        <v>NCBI Nucleotide</v>
      </c>
    </row>
    <row r="9085" spans="1:27" x14ac:dyDescent="0.35">
      <c r="A9085">
        <v>1009376</v>
      </c>
      <c r="B9085">
        <v>8410</v>
      </c>
      <c r="C9085">
        <v>1</v>
      </c>
      <c r="D9085" s="17" t="s">
        <v>17166</v>
      </c>
      <c r="E9085" s="17"/>
      <c r="F9085" s="17" t="s">
        <v>17246</v>
      </c>
      <c r="G9085" s="17"/>
      <c r="H9085" s="17" t="s">
        <v>20919</v>
      </c>
      <c r="I9085" s="17"/>
      <c r="J9085" s="17" t="s">
        <v>21313</v>
      </c>
      <c r="K9085" s="17"/>
      <c r="L9085" s="17" t="s">
        <v>21326</v>
      </c>
      <c r="M9085" s="17"/>
      <c r="N9085" s="17" t="s">
        <v>21327</v>
      </c>
      <c r="O9085" s="17"/>
      <c r="P9085" s="17" t="s">
        <v>21389</v>
      </c>
      <c r="Q9085" s="17"/>
      <c r="R9085" s="25" t="str">
        <f>HYPERLINK("https://ictv.global/taxonomy/taxondetails?taxnode_id=202310735","Huhmpluvirus limenecus")</f>
        <v>Huhmpluvirus limenecus</v>
      </c>
      <c r="S9085" s="18" t="s">
        <v>30</v>
      </c>
      <c r="T9085" s="18" t="s">
        <v>21390</v>
      </c>
      <c r="U9085" s="18"/>
      <c r="V9085" s="18"/>
      <c r="W9085" s="18" t="s">
        <v>21391</v>
      </c>
      <c r="X9085" s="18" t="s">
        <v>35</v>
      </c>
      <c r="Y9085" s="18" t="s">
        <v>17171</v>
      </c>
      <c r="Z9085" s="18" t="s">
        <v>697</v>
      </c>
      <c r="AA9085" s="21" t="str">
        <f>HYPERLINK("https://www.ncbi.nlm.nih.gov/nuccore/BK014112","NCBI Nucleotide")</f>
        <v>NCBI Nucleotide</v>
      </c>
    </row>
    <row r="9086" spans="1:27" x14ac:dyDescent="0.35">
      <c r="A9086">
        <v>1026754</v>
      </c>
      <c r="B9086">
        <v>8411</v>
      </c>
      <c r="C9086">
        <v>1</v>
      </c>
      <c r="D9086" s="17" t="s">
        <v>17166</v>
      </c>
      <c r="E9086" s="17"/>
      <c r="F9086" s="17" t="s">
        <v>17246</v>
      </c>
      <c r="G9086" s="17"/>
      <c r="H9086" s="17" t="s">
        <v>20919</v>
      </c>
      <c r="I9086" s="17"/>
      <c r="J9086" s="17" t="s">
        <v>21313</v>
      </c>
      <c r="K9086" s="17"/>
      <c r="L9086" s="17" t="s">
        <v>21326</v>
      </c>
      <c r="M9086" s="17"/>
      <c r="N9086" s="17" t="s">
        <v>21327</v>
      </c>
      <c r="O9086" s="17"/>
      <c r="P9086" s="17" t="s">
        <v>21392</v>
      </c>
      <c r="Q9086" s="17"/>
      <c r="R9086" s="25" t="str">
        <f>HYPERLINK("https://ictv.global/taxonomy/taxondetails?taxnode_id=202316175","Huleruivirus choradaptatum")</f>
        <v>Huleruivirus choradaptatum</v>
      </c>
      <c r="S9086" s="18" t="s">
        <v>30</v>
      </c>
      <c r="T9086" s="18" t="s">
        <v>42807</v>
      </c>
      <c r="U9086" s="18"/>
      <c r="V9086" s="18"/>
      <c r="W9086" s="18" t="s">
        <v>42808</v>
      </c>
      <c r="X9086" s="18" t="s">
        <v>35</v>
      </c>
      <c r="Y9086" s="18" t="s">
        <v>17171</v>
      </c>
      <c r="Z9086" s="18" t="s">
        <v>24637</v>
      </c>
      <c r="AA9086" s="21" t="str">
        <f>HYPERLINK("https://www.ncbi.nlm.nih.gov/nuccore/CASDWV010004436","NCBI Nucleotide")</f>
        <v>NCBI Nucleotide</v>
      </c>
    </row>
    <row r="9087" spans="1:27" x14ac:dyDescent="0.35">
      <c r="A9087">
        <v>1009377</v>
      </c>
      <c r="B9087">
        <v>8412</v>
      </c>
      <c r="C9087">
        <v>1</v>
      </c>
      <c r="D9087" s="17" t="s">
        <v>17166</v>
      </c>
      <c r="E9087" s="17"/>
      <c r="F9087" s="17" t="s">
        <v>17246</v>
      </c>
      <c r="G9087" s="17"/>
      <c r="H9087" s="17" t="s">
        <v>20919</v>
      </c>
      <c r="I9087" s="17"/>
      <c r="J9087" s="17" t="s">
        <v>21313</v>
      </c>
      <c r="K9087" s="17"/>
      <c r="L9087" s="17" t="s">
        <v>21326</v>
      </c>
      <c r="M9087" s="17"/>
      <c r="N9087" s="17" t="s">
        <v>21327</v>
      </c>
      <c r="O9087" s="17"/>
      <c r="P9087" s="17" t="s">
        <v>21392</v>
      </c>
      <c r="Q9087" s="17"/>
      <c r="R9087" s="25" t="str">
        <f>HYPERLINK("https://ictv.global/taxonomy/taxondetails?taxnode_id=202310737","Huleruivirus geocola")</f>
        <v>Huleruivirus geocola</v>
      </c>
      <c r="S9087" s="18" t="s">
        <v>30</v>
      </c>
      <c r="T9087" s="18" t="s">
        <v>21393</v>
      </c>
      <c r="U9087" s="18"/>
      <c r="V9087" s="18"/>
      <c r="W9087" s="18" t="s">
        <v>21394</v>
      </c>
      <c r="X9087" s="18" t="s">
        <v>35</v>
      </c>
      <c r="Y9087" s="18" t="s">
        <v>17171</v>
      </c>
      <c r="Z9087" s="18" t="s">
        <v>697</v>
      </c>
      <c r="AA9087" s="21" t="str">
        <f>HYPERLINK("https://www.ncbi.nlm.nih.gov/nuccore/BK013524","NCBI Nucleotide")</f>
        <v>NCBI Nucleotide</v>
      </c>
    </row>
    <row r="9088" spans="1:27" x14ac:dyDescent="0.35">
      <c r="A9088">
        <v>1026755</v>
      </c>
      <c r="B9088">
        <v>8413</v>
      </c>
      <c r="C9088">
        <v>1</v>
      </c>
      <c r="D9088" s="17" t="s">
        <v>17166</v>
      </c>
      <c r="E9088" s="17"/>
      <c r="F9088" s="17" t="s">
        <v>17246</v>
      </c>
      <c r="G9088" s="17"/>
      <c r="H9088" s="17" t="s">
        <v>20919</v>
      </c>
      <c r="I9088" s="17"/>
      <c r="J9088" s="17" t="s">
        <v>21313</v>
      </c>
      <c r="K9088" s="17"/>
      <c r="L9088" s="17" t="s">
        <v>21326</v>
      </c>
      <c r="M9088" s="17"/>
      <c r="N9088" s="17" t="s">
        <v>21327</v>
      </c>
      <c r="O9088" s="17"/>
      <c r="P9088" s="17" t="s">
        <v>21392</v>
      </c>
      <c r="Q9088" s="17"/>
      <c r="R9088" s="25" t="str">
        <f>HYPERLINK("https://ictv.global/taxonomy/taxondetails?taxnode_id=202316176","Huleruivirus humivivens")</f>
        <v>Huleruivirus humivivens</v>
      </c>
      <c r="S9088" s="18" t="s">
        <v>30</v>
      </c>
      <c r="T9088" s="18" t="s">
        <v>42809</v>
      </c>
      <c r="U9088" s="18"/>
      <c r="V9088" s="18"/>
      <c r="W9088" s="18" t="s">
        <v>42810</v>
      </c>
      <c r="X9088" s="18" t="s">
        <v>35</v>
      </c>
      <c r="Y9088" s="18" t="s">
        <v>17171</v>
      </c>
      <c r="Z9088" s="18" t="s">
        <v>24637</v>
      </c>
      <c r="AA9088" s="21" t="str">
        <f>HYPERLINK("https://www.ncbi.nlm.nih.gov/nuccore/CASDWV010002202","NCBI Nucleotide")</f>
        <v>NCBI Nucleotide</v>
      </c>
    </row>
    <row r="9089" spans="1:27" x14ac:dyDescent="0.35">
      <c r="A9089">
        <v>1026692</v>
      </c>
      <c r="B9089">
        <v>8414</v>
      </c>
      <c r="C9089">
        <v>1</v>
      </c>
      <c r="D9089" s="17" t="s">
        <v>17166</v>
      </c>
      <c r="E9089" s="17"/>
      <c r="F9089" s="17" t="s">
        <v>17246</v>
      </c>
      <c r="G9089" s="17"/>
      <c r="H9089" s="17" t="s">
        <v>20919</v>
      </c>
      <c r="I9089" s="17"/>
      <c r="J9089" s="17" t="s">
        <v>21313</v>
      </c>
      <c r="K9089" s="17"/>
      <c r="L9089" s="17" t="s">
        <v>21326</v>
      </c>
      <c r="M9089" s="17"/>
      <c r="N9089" s="17" t="s">
        <v>21327</v>
      </c>
      <c r="O9089" s="17"/>
      <c r="P9089" s="17" t="s">
        <v>21395</v>
      </c>
      <c r="Q9089" s="17"/>
      <c r="R9089" s="25" t="str">
        <f>HYPERLINK("https://ictv.global/taxonomy/taxondetails?taxnode_id=202316177","Hysdruvirus chthonenecus")</f>
        <v>Hysdruvirus chthonenecus</v>
      </c>
      <c r="S9089" s="18" t="s">
        <v>30</v>
      </c>
      <c r="T9089" s="18" t="s">
        <v>42811</v>
      </c>
      <c r="U9089" s="18"/>
      <c r="V9089" s="18"/>
      <c r="W9089" s="18" t="s">
        <v>42812</v>
      </c>
      <c r="X9089" s="18" t="s">
        <v>35</v>
      </c>
      <c r="Y9089" s="18" t="s">
        <v>17171</v>
      </c>
      <c r="Z9089" s="18" t="s">
        <v>24637</v>
      </c>
      <c r="AA9089" s="21" t="str">
        <f>HYPERLINK("https://www.ncbi.nlm.nih.gov/nuccore/CASDWV010000727","NCBI Nucleotide")</f>
        <v>NCBI Nucleotide</v>
      </c>
    </row>
    <row r="9090" spans="1:27" x14ac:dyDescent="0.35">
      <c r="A9090">
        <v>1009378</v>
      </c>
      <c r="B9090">
        <v>8415</v>
      </c>
      <c r="C9090">
        <v>1</v>
      </c>
      <c r="D9090" s="17" t="s">
        <v>17166</v>
      </c>
      <c r="E9090" s="17"/>
      <c r="F9090" s="17" t="s">
        <v>17246</v>
      </c>
      <c r="G9090" s="17"/>
      <c r="H9090" s="17" t="s">
        <v>20919</v>
      </c>
      <c r="I9090" s="17"/>
      <c r="J9090" s="17" t="s">
        <v>21313</v>
      </c>
      <c r="K9090" s="17"/>
      <c r="L9090" s="17" t="s">
        <v>21326</v>
      </c>
      <c r="M9090" s="17"/>
      <c r="N9090" s="17" t="s">
        <v>21327</v>
      </c>
      <c r="O9090" s="17"/>
      <c r="P9090" s="17" t="s">
        <v>21395</v>
      </c>
      <c r="Q9090" s="17"/>
      <c r="R9090" s="25" t="str">
        <f>HYPERLINK("https://ictv.global/taxonomy/taxondetails?taxnode_id=202310740","Hysdruvirus geovivens")</f>
        <v>Hysdruvirus geovivens</v>
      </c>
      <c r="S9090" s="18" t="s">
        <v>30</v>
      </c>
      <c r="T9090" s="18" t="s">
        <v>21396</v>
      </c>
      <c r="U9090" s="18"/>
      <c r="V9090" s="18"/>
      <c r="W9090" s="18" t="s">
        <v>21397</v>
      </c>
      <c r="X9090" s="18" t="s">
        <v>35</v>
      </c>
      <c r="Y9090" s="18" t="s">
        <v>17171</v>
      </c>
      <c r="Z9090" s="18" t="s">
        <v>697</v>
      </c>
      <c r="AA9090" s="21" t="str">
        <f>HYPERLINK("https://www.ncbi.nlm.nih.gov/nuccore/BK013392","NCBI Nucleotide")</f>
        <v>NCBI Nucleotide</v>
      </c>
    </row>
    <row r="9091" spans="1:27" x14ac:dyDescent="0.35">
      <c r="A9091">
        <v>1009432</v>
      </c>
      <c r="B9091">
        <v>8416</v>
      </c>
      <c r="C9091">
        <v>1</v>
      </c>
      <c r="D9091" s="17" t="s">
        <v>17166</v>
      </c>
      <c r="E9091" s="17"/>
      <c r="F9091" s="17" t="s">
        <v>17246</v>
      </c>
      <c r="G9091" s="17"/>
      <c r="H9091" s="17" t="s">
        <v>20919</v>
      </c>
      <c r="I9091" s="17"/>
      <c r="J9091" s="17" t="s">
        <v>21313</v>
      </c>
      <c r="K9091" s="17"/>
      <c r="L9091" s="17" t="s">
        <v>21326</v>
      </c>
      <c r="M9091" s="17"/>
      <c r="N9091" s="17" t="s">
        <v>21327</v>
      </c>
      <c r="O9091" s="17"/>
      <c r="P9091" s="17" t="s">
        <v>21395</v>
      </c>
      <c r="Q9091" s="17"/>
      <c r="R9091" s="25" t="str">
        <f>HYPERLINK("https://ictv.global/taxonomy/taxondetails?taxnode_id=202310819","Hysdruvirus humihabitans")</f>
        <v>Hysdruvirus humihabitans</v>
      </c>
      <c r="S9091" s="18" t="s">
        <v>30</v>
      </c>
      <c r="T9091" s="18" t="s">
        <v>21524</v>
      </c>
      <c r="U9091" s="18"/>
      <c r="V9091" s="18"/>
      <c r="W9091" s="18" t="s">
        <v>21525</v>
      </c>
      <c r="X9091" s="18" t="s">
        <v>35</v>
      </c>
      <c r="Y9091" s="18" t="s">
        <v>17171</v>
      </c>
      <c r="Z9091" s="18" t="s">
        <v>697</v>
      </c>
      <c r="AA9091" s="21" t="str">
        <f>HYPERLINK("https://www.ncbi.nlm.nih.gov/nuccore/BK013781","NCBI Nucleotide")</f>
        <v>NCBI Nucleotide</v>
      </c>
    </row>
    <row r="9092" spans="1:27" x14ac:dyDescent="0.35">
      <c r="A9092">
        <v>1026693</v>
      </c>
      <c r="B9092">
        <v>8417</v>
      </c>
      <c r="C9092">
        <v>1</v>
      </c>
      <c r="D9092" s="17" t="s">
        <v>17166</v>
      </c>
      <c r="E9092" s="17"/>
      <c r="F9092" s="17" t="s">
        <v>17246</v>
      </c>
      <c r="G9092" s="17"/>
      <c r="H9092" s="17" t="s">
        <v>20919</v>
      </c>
      <c r="I9092" s="17"/>
      <c r="J9092" s="17" t="s">
        <v>21313</v>
      </c>
      <c r="K9092" s="17"/>
      <c r="L9092" s="17" t="s">
        <v>21326</v>
      </c>
      <c r="M9092" s="17"/>
      <c r="N9092" s="17" t="s">
        <v>21327</v>
      </c>
      <c r="O9092" s="17"/>
      <c r="P9092" s="17" t="s">
        <v>21395</v>
      </c>
      <c r="Q9092" s="17"/>
      <c r="R9092" s="25" t="str">
        <f>HYPERLINK("https://ictv.global/taxonomy/taxondetails?taxnode_id=202316178","Hysdruvirus limivicinum")</f>
        <v>Hysdruvirus limivicinum</v>
      </c>
      <c r="S9092" s="18" t="s">
        <v>30</v>
      </c>
      <c r="T9092" s="18" t="s">
        <v>42813</v>
      </c>
      <c r="U9092" s="18"/>
      <c r="V9092" s="18"/>
      <c r="W9092" s="18" t="s">
        <v>42814</v>
      </c>
      <c r="X9092" s="18" t="s">
        <v>35</v>
      </c>
      <c r="Y9092" s="18" t="s">
        <v>17171</v>
      </c>
      <c r="Z9092" s="18" t="s">
        <v>24637</v>
      </c>
      <c r="AA9092" s="21" t="str">
        <f>HYPERLINK("https://www.ncbi.nlm.nih.gov/nuccore/CASDWV010003187","NCBI Nucleotide")</f>
        <v>NCBI Nucleotide</v>
      </c>
    </row>
    <row r="9093" spans="1:27" x14ac:dyDescent="0.35">
      <c r="A9093">
        <v>1026694</v>
      </c>
      <c r="B9093">
        <v>8418</v>
      </c>
      <c r="C9093">
        <v>1</v>
      </c>
      <c r="D9093" s="17" t="s">
        <v>17166</v>
      </c>
      <c r="E9093" s="17"/>
      <c r="F9093" s="17" t="s">
        <v>17246</v>
      </c>
      <c r="G9093" s="17"/>
      <c r="H9093" s="17" t="s">
        <v>20919</v>
      </c>
      <c r="I9093" s="17"/>
      <c r="J9093" s="17" t="s">
        <v>21313</v>
      </c>
      <c r="K9093" s="17"/>
      <c r="L9093" s="17" t="s">
        <v>21326</v>
      </c>
      <c r="M9093" s="17"/>
      <c r="N9093" s="17" t="s">
        <v>21327</v>
      </c>
      <c r="O9093" s="17"/>
      <c r="P9093" s="17" t="s">
        <v>21395</v>
      </c>
      <c r="Q9093" s="17"/>
      <c r="R9093" s="25" t="str">
        <f>HYPERLINK("https://ictv.global/taxonomy/taxondetails?taxnode_id=202316179","Hysdruvirus messadaptatum")</f>
        <v>Hysdruvirus messadaptatum</v>
      </c>
      <c r="S9093" s="18" t="s">
        <v>30</v>
      </c>
      <c r="T9093" s="18" t="s">
        <v>42815</v>
      </c>
      <c r="U9093" s="18"/>
      <c r="V9093" s="18"/>
      <c r="W9093" s="18" t="s">
        <v>42816</v>
      </c>
      <c r="X9093" s="18" t="s">
        <v>35</v>
      </c>
      <c r="Y9093" s="18" t="s">
        <v>17171</v>
      </c>
      <c r="Z9093" s="18" t="s">
        <v>24637</v>
      </c>
      <c r="AA9093" s="21" t="str">
        <f>HYPERLINK("https://www.ncbi.nlm.nih.gov/nuccore/CASDWV010001703","NCBI Nucleotide")</f>
        <v>NCBI Nucleotide</v>
      </c>
    </row>
    <row r="9094" spans="1:27" x14ac:dyDescent="0.35">
      <c r="A9094">
        <v>1026695</v>
      </c>
      <c r="B9094">
        <v>8419</v>
      </c>
      <c r="C9094">
        <v>1</v>
      </c>
      <c r="D9094" s="17" t="s">
        <v>17166</v>
      </c>
      <c r="E9094" s="17"/>
      <c r="F9094" s="17" t="s">
        <v>17246</v>
      </c>
      <c r="G9094" s="17"/>
      <c r="H9094" s="17" t="s">
        <v>20919</v>
      </c>
      <c r="I9094" s="17"/>
      <c r="J9094" s="17" t="s">
        <v>21313</v>
      </c>
      <c r="K9094" s="17"/>
      <c r="L9094" s="17" t="s">
        <v>21326</v>
      </c>
      <c r="M9094" s="17"/>
      <c r="N9094" s="17" t="s">
        <v>21327</v>
      </c>
      <c r="O9094" s="17"/>
      <c r="P9094" s="17" t="s">
        <v>21395</v>
      </c>
      <c r="Q9094" s="17"/>
      <c r="R9094" s="25" t="str">
        <f>HYPERLINK("https://ictv.global/taxonomy/taxondetails?taxnode_id=202316180","Hysdruvirus messihabitans")</f>
        <v>Hysdruvirus messihabitans</v>
      </c>
      <c r="S9094" s="18" t="s">
        <v>30</v>
      </c>
      <c r="T9094" s="18" t="s">
        <v>42817</v>
      </c>
      <c r="U9094" s="18"/>
      <c r="V9094" s="18"/>
      <c r="W9094" s="18" t="s">
        <v>42818</v>
      </c>
      <c r="X9094" s="18" t="s">
        <v>35</v>
      </c>
      <c r="Y9094" s="18" t="s">
        <v>17171</v>
      </c>
      <c r="Z9094" s="18" t="s">
        <v>24637</v>
      </c>
      <c r="AA9094" s="21" t="str">
        <f>HYPERLINK("https://www.ncbi.nlm.nih.gov/nuccore/CASDWV010003611","NCBI Nucleotide")</f>
        <v>NCBI Nucleotide</v>
      </c>
    </row>
    <row r="9095" spans="1:27" x14ac:dyDescent="0.35">
      <c r="A9095">
        <v>1026696</v>
      </c>
      <c r="B9095">
        <v>8420</v>
      </c>
      <c r="C9095">
        <v>1</v>
      </c>
      <c r="D9095" s="17" t="s">
        <v>17166</v>
      </c>
      <c r="E9095" s="17"/>
      <c r="F9095" s="17" t="s">
        <v>17246</v>
      </c>
      <c r="G9095" s="17"/>
      <c r="H9095" s="17" t="s">
        <v>20919</v>
      </c>
      <c r="I9095" s="17"/>
      <c r="J9095" s="17" t="s">
        <v>21313</v>
      </c>
      <c r="K9095" s="17"/>
      <c r="L9095" s="17" t="s">
        <v>21326</v>
      </c>
      <c r="M9095" s="17"/>
      <c r="N9095" s="17" t="s">
        <v>21327</v>
      </c>
      <c r="O9095" s="17"/>
      <c r="P9095" s="17" t="s">
        <v>21395</v>
      </c>
      <c r="Q9095" s="17"/>
      <c r="R9095" s="25" t="str">
        <f>HYPERLINK("https://ictv.global/taxonomy/taxondetails?taxnode_id=202316181","Hysdruvirus neotelluricola")</f>
        <v>Hysdruvirus neotelluricola</v>
      </c>
      <c r="S9095" s="18" t="s">
        <v>30</v>
      </c>
      <c r="T9095" s="18" t="s">
        <v>42819</v>
      </c>
      <c r="U9095" s="18"/>
      <c r="V9095" s="18"/>
      <c r="W9095" s="18" t="s">
        <v>42820</v>
      </c>
      <c r="X9095" s="18" t="s">
        <v>35</v>
      </c>
      <c r="Y9095" s="18" t="s">
        <v>17171</v>
      </c>
      <c r="Z9095" s="18" t="s">
        <v>24637</v>
      </c>
      <c r="AA9095" s="21" t="str">
        <f>HYPERLINK("https://www.ncbi.nlm.nih.gov/nuccore/CASDWV010003132","NCBI Nucleotide")</f>
        <v>NCBI Nucleotide</v>
      </c>
    </row>
    <row r="9096" spans="1:27" x14ac:dyDescent="0.35">
      <c r="A9096">
        <v>1026697</v>
      </c>
      <c r="B9096">
        <v>8421</v>
      </c>
      <c r="C9096">
        <v>1</v>
      </c>
      <c r="D9096" s="17" t="s">
        <v>17166</v>
      </c>
      <c r="E9096" s="17"/>
      <c r="F9096" s="17" t="s">
        <v>17246</v>
      </c>
      <c r="G9096" s="17"/>
      <c r="H9096" s="17" t="s">
        <v>20919</v>
      </c>
      <c r="I9096" s="17"/>
      <c r="J9096" s="17" t="s">
        <v>21313</v>
      </c>
      <c r="K9096" s="17"/>
      <c r="L9096" s="17" t="s">
        <v>21326</v>
      </c>
      <c r="M9096" s="17"/>
      <c r="N9096" s="17" t="s">
        <v>21327</v>
      </c>
      <c r="O9096" s="17"/>
      <c r="P9096" s="17" t="s">
        <v>21395</v>
      </c>
      <c r="Q9096" s="17"/>
      <c r="R9096" s="25" t="str">
        <f>HYPERLINK("https://ictv.global/taxonomy/taxondetails?taxnode_id=202316182","Hysdruvirus pedovicinum")</f>
        <v>Hysdruvirus pedovicinum</v>
      </c>
      <c r="S9096" s="18" t="s">
        <v>30</v>
      </c>
      <c r="T9096" s="18" t="s">
        <v>42821</v>
      </c>
      <c r="U9096" s="18"/>
      <c r="V9096" s="18"/>
      <c r="W9096" s="18" t="s">
        <v>42822</v>
      </c>
      <c r="X9096" s="18" t="s">
        <v>35</v>
      </c>
      <c r="Y9096" s="18" t="s">
        <v>17171</v>
      </c>
      <c r="Z9096" s="18" t="s">
        <v>24637</v>
      </c>
      <c r="AA9096" s="21" t="str">
        <f>HYPERLINK("https://www.ncbi.nlm.nih.gov/nuccore/CASDWV010004470","NCBI Nucleotide")</f>
        <v>NCBI Nucleotide</v>
      </c>
    </row>
    <row r="9097" spans="1:27" x14ac:dyDescent="0.35">
      <c r="A9097">
        <v>1026698</v>
      </c>
      <c r="B9097">
        <v>8422</v>
      </c>
      <c r="C9097">
        <v>1</v>
      </c>
      <c r="D9097" s="17" t="s">
        <v>17166</v>
      </c>
      <c r="E9097" s="17"/>
      <c r="F9097" s="17" t="s">
        <v>17246</v>
      </c>
      <c r="G9097" s="17"/>
      <c r="H9097" s="17" t="s">
        <v>20919</v>
      </c>
      <c r="I9097" s="17"/>
      <c r="J9097" s="17" t="s">
        <v>21313</v>
      </c>
      <c r="K9097" s="17"/>
      <c r="L9097" s="17" t="s">
        <v>21326</v>
      </c>
      <c r="M9097" s="17"/>
      <c r="N9097" s="17" t="s">
        <v>21327</v>
      </c>
      <c r="O9097" s="17"/>
      <c r="P9097" s="17" t="s">
        <v>21395</v>
      </c>
      <c r="Q9097" s="17"/>
      <c r="R9097" s="25" t="str">
        <f>HYPERLINK("https://ictv.global/taxonomy/taxondetails?taxnode_id=202316183","Hysdruvirus segetadaptatum")</f>
        <v>Hysdruvirus segetadaptatum</v>
      </c>
      <c r="S9097" s="18" t="s">
        <v>30</v>
      </c>
      <c r="T9097" s="18" t="s">
        <v>42823</v>
      </c>
      <c r="U9097" s="18"/>
      <c r="V9097" s="18"/>
      <c r="W9097" s="18" t="s">
        <v>42824</v>
      </c>
      <c r="X9097" s="18" t="s">
        <v>35</v>
      </c>
      <c r="Y9097" s="18" t="s">
        <v>17171</v>
      </c>
      <c r="Z9097" s="18" t="s">
        <v>24637</v>
      </c>
      <c r="AA9097" s="21" t="str">
        <f>HYPERLINK("https://www.ncbi.nlm.nih.gov/nuccore/CASDWV010001412","NCBI Nucleotide")</f>
        <v>NCBI Nucleotide</v>
      </c>
    </row>
    <row r="9098" spans="1:27" x14ac:dyDescent="0.35">
      <c r="A9098">
        <v>1026699</v>
      </c>
      <c r="B9098">
        <v>8423</v>
      </c>
      <c r="C9098">
        <v>1</v>
      </c>
      <c r="D9098" s="17" t="s">
        <v>17166</v>
      </c>
      <c r="E9098" s="17"/>
      <c r="F9098" s="17" t="s">
        <v>17246</v>
      </c>
      <c r="G9098" s="17"/>
      <c r="H9098" s="17" t="s">
        <v>20919</v>
      </c>
      <c r="I9098" s="17"/>
      <c r="J9098" s="17" t="s">
        <v>21313</v>
      </c>
      <c r="K9098" s="17"/>
      <c r="L9098" s="17" t="s">
        <v>21326</v>
      </c>
      <c r="M9098" s="17"/>
      <c r="N9098" s="17" t="s">
        <v>21327</v>
      </c>
      <c r="O9098" s="17"/>
      <c r="P9098" s="17" t="s">
        <v>21395</v>
      </c>
      <c r="Q9098" s="17"/>
      <c r="R9098" s="25" t="str">
        <f>HYPERLINK("https://ictv.global/taxonomy/taxondetails?taxnode_id=202316184","Hysdruvirus segetihabitans")</f>
        <v>Hysdruvirus segetihabitans</v>
      </c>
      <c r="S9098" s="18" t="s">
        <v>30</v>
      </c>
      <c r="T9098" s="18" t="s">
        <v>42825</v>
      </c>
      <c r="U9098" s="18"/>
      <c r="V9098" s="18"/>
      <c r="W9098" s="18" t="s">
        <v>42826</v>
      </c>
      <c r="X9098" s="18" t="s">
        <v>35</v>
      </c>
      <c r="Y9098" s="18" t="s">
        <v>17171</v>
      </c>
      <c r="Z9098" s="18" t="s">
        <v>24637</v>
      </c>
      <c r="AA9098" s="21" t="str">
        <f>HYPERLINK("https://www.ncbi.nlm.nih.gov/nuccore/CASDWV010000956","NCBI Nucleotide")</f>
        <v>NCBI Nucleotide</v>
      </c>
    </row>
    <row r="9099" spans="1:27" x14ac:dyDescent="0.35">
      <c r="A9099">
        <v>1009379</v>
      </c>
      <c r="B9099">
        <v>8424</v>
      </c>
      <c r="C9099">
        <v>1</v>
      </c>
      <c r="D9099" s="17" t="s">
        <v>17166</v>
      </c>
      <c r="E9099" s="17"/>
      <c r="F9099" s="17" t="s">
        <v>17246</v>
      </c>
      <c r="G9099" s="17"/>
      <c r="H9099" s="17" t="s">
        <v>20919</v>
      </c>
      <c r="I9099" s="17"/>
      <c r="J9099" s="17" t="s">
        <v>21313</v>
      </c>
      <c r="K9099" s="17"/>
      <c r="L9099" s="17" t="s">
        <v>21326</v>
      </c>
      <c r="M9099" s="17"/>
      <c r="N9099" s="17" t="s">
        <v>21327</v>
      </c>
      <c r="O9099" s="17"/>
      <c r="P9099" s="17" t="s">
        <v>21395</v>
      </c>
      <c r="Q9099" s="17"/>
      <c r="R9099" s="25" t="str">
        <f>HYPERLINK("https://ictv.global/taxonomy/taxondetails?taxnode_id=202310741","Hysdruvirus telluradaptatum")</f>
        <v>Hysdruvirus telluradaptatum</v>
      </c>
      <c r="S9099" s="18" t="s">
        <v>30</v>
      </c>
      <c r="T9099" s="18" t="s">
        <v>21398</v>
      </c>
      <c r="U9099" s="18"/>
      <c r="V9099" s="18"/>
      <c r="W9099" s="18" t="s">
        <v>21399</v>
      </c>
      <c r="X9099" s="18" t="s">
        <v>35</v>
      </c>
      <c r="Y9099" s="18" t="s">
        <v>17171</v>
      </c>
      <c r="Z9099" s="18" t="s">
        <v>697</v>
      </c>
      <c r="AA9099" s="21" t="str">
        <f>HYPERLINK("https://www.ncbi.nlm.nih.gov/nuccore/BK013934","NCBI Nucleotide")</f>
        <v>NCBI Nucleotide</v>
      </c>
    </row>
    <row r="9100" spans="1:27" x14ac:dyDescent="0.35">
      <c r="A9100">
        <v>1009380</v>
      </c>
      <c r="B9100">
        <v>8425</v>
      </c>
      <c r="C9100">
        <v>1</v>
      </c>
      <c r="D9100" s="17" t="s">
        <v>17166</v>
      </c>
      <c r="E9100" s="17"/>
      <c r="F9100" s="17" t="s">
        <v>17246</v>
      </c>
      <c r="G9100" s="17"/>
      <c r="H9100" s="17" t="s">
        <v>20919</v>
      </c>
      <c r="I9100" s="17"/>
      <c r="J9100" s="17" t="s">
        <v>21313</v>
      </c>
      <c r="K9100" s="17"/>
      <c r="L9100" s="17" t="s">
        <v>21326</v>
      </c>
      <c r="M9100" s="17"/>
      <c r="N9100" s="17" t="s">
        <v>21327</v>
      </c>
      <c r="O9100" s="17"/>
      <c r="P9100" s="17" t="s">
        <v>21395</v>
      </c>
      <c r="Q9100" s="17"/>
      <c r="R9100" s="25" t="str">
        <f>HYPERLINK("https://ictv.global/taxonomy/taxondetails?taxnode_id=202310743","Hysdruvirus tellurenecus")</f>
        <v>Hysdruvirus tellurenecus</v>
      </c>
      <c r="S9100" s="18" t="s">
        <v>30</v>
      </c>
      <c r="T9100" s="18" t="s">
        <v>21400</v>
      </c>
      <c r="U9100" s="18"/>
      <c r="V9100" s="18"/>
      <c r="W9100" s="18" t="s">
        <v>21401</v>
      </c>
      <c r="X9100" s="18" t="s">
        <v>35</v>
      </c>
      <c r="Y9100" s="18" t="s">
        <v>17171</v>
      </c>
      <c r="Z9100" s="18" t="s">
        <v>697</v>
      </c>
      <c r="AA9100" s="21" t="str">
        <f>HYPERLINK("https://www.ncbi.nlm.nih.gov/nuccore/BK013875","NCBI Nucleotide")</f>
        <v>NCBI Nucleotide</v>
      </c>
    </row>
    <row r="9101" spans="1:27" x14ac:dyDescent="0.35">
      <c r="A9101">
        <v>1009381</v>
      </c>
      <c r="B9101">
        <v>8426</v>
      </c>
      <c r="C9101">
        <v>1</v>
      </c>
      <c r="D9101" s="17" t="s">
        <v>17166</v>
      </c>
      <c r="E9101" s="17"/>
      <c r="F9101" s="17" t="s">
        <v>17246</v>
      </c>
      <c r="G9101" s="17"/>
      <c r="H9101" s="17" t="s">
        <v>20919</v>
      </c>
      <c r="I9101" s="17"/>
      <c r="J9101" s="17" t="s">
        <v>21313</v>
      </c>
      <c r="K9101" s="17"/>
      <c r="L9101" s="17" t="s">
        <v>21326</v>
      </c>
      <c r="M9101" s="17"/>
      <c r="N9101" s="17" t="s">
        <v>21327</v>
      </c>
      <c r="O9101" s="17"/>
      <c r="P9101" s="17" t="s">
        <v>21395</v>
      </c>
      <c r="Q9101" s="17"/>
      <c r="R9101" s="25" t="str">
        <f>HYPERLINK("https://ictv.global/taxonomy/taxondetails?taxnode_id=202310742","Hysdruvirus telluricola")</f>
        <v>Hysdruvirus telluricola</v>
      </c>
      <c r="S9101" s="18" t="s">
        <v>30</v>
      </c>
      <c r="T9101" s="18" t="s">
        <v>21402</v>
      </c>
      <c r="U9101" s="18"/>
      <c r="V9101" s="18"/>
      <c r="W9101" s="18" t="s">
        <v>21403</v>
      </c>
      <c r="X9101" s="18" t="s">
        <v>35</v>
      </c>
      <c r="Y9101" s="18" t="s">
        <v>17171</v>
      </c>
      <c r="Z9101" s="18" t="s">
        <v>697</v>
      </c>
      <c r="AA9101" s="21" t="str">
        <f>HYPERLINK("https://www.ncbi.nlm.nih.gov/nuccore/BK013502","NCBI Nucleotide")</f>
        <v>NCBI Nucleotide</v>
      </c>
    </row>
    <row r="9102" spans="1:27" x14ac:dyDescent="0.35">
      <c r="A9102">
        <v>1009382</v>
      </c>
      <c r="B9102">
        <v>8427</v>
      </c>
      <c r="C9102">
        <v>1</v>
      </c>
      <c r="D9102" s="17" t="s">
        <v>17166</v>
      </c>
      <c r="E9102" s="17"/>
      <c r="F9102" s="17" t="s">
        <v>17246</v>
      </c>
      <c r="G9102" s="17"/>
      <c r="H9102" s="17" t="s">
        <v>20919</v>
      </c>
      <c r="I9102" s="17"/>
      <c r="J9102" s="17" t="s">
        <v>21313</v>
      </c>
      <c r="K9102" s="17"/>
      <c r="L9102" s="17" t="s">
        <v>21326</v>
      </c>
      <c r="M9102" s="17"/>
      <c r="N9102" s="17" t="s">
        <v>21327</v>
      </c>
      <c r="O9102" s="17"/>
      <c r="P9102" s="17" t="s">
        <v>21395</v>
      </c>
      <c r="Q9102" s="17"/>
      <c r="R9102" s="25" t="str">
        <f>HYPERLINK("https://ictv.global/taxonomy/taxondetails?taxnode_id=202310739","Hysdruvirus tellurihabitans")</f>
        <v>Hysdruvirus tellurihabitans</v>
      </c>
      <c r="S9102" s="18" t="s">
        <v>30</v>
      </c>
      <c r="T9102" s="18" t="s">
        <v>21404</v>
      </c>
      <c r="U9102" s="18"/>
      <c r="V9102" s="18"/>
      <c r="W9102" s="18" t="s">
        <v>21405</v>
      </c>
      <c r="X9102" s="18" t="s">
        <v>35</v>
      </c>
      <c r="Y9102" s="18" t="s">
        <v>17171</v>
      </c>
      <c r="Z9102" s="18" t="s">
        <v>697</v>
      </c>
      <c r="AA9102" s="21" t="str">
        <f>HYPERLINK("https://www.ncbi.nlm.nih.gov/nuccore/BK013888","NCBI Nucleotide")</f>
        <v>NCBI Nucleotide</v>
      </c>
    </row>
    <row r="9103" spans="1:27" x14ac:dyDescent="0.35">
      <c r="A9103">
        <v>1009383</v>
      </c>
      <c r="B9103">
        <v>8428</v>
      </c>
      <c r="C9103">
        <v>1</v>
      </c>
      <c r="D9103" s="17" t="s">
        <v>17166</v>
      </c>
      <c r="E9103" s="17"/>
      <c r="F9103" s="17" t="s">
        <v>17246</v>
      </c>
      <c r="G9103" s="17"/>
      <c r="H9103" s="17" t="s">
        <v>20919</v>
      </c>
      <c r="I9103" s="17"/>
      <c r="J9103" s="17" t="s">
        <v>21313</v>
      </c>
      <c r="K9103" s="17"/>
      <c r="L9103" s="17" t="s">
        <v>21326</v>
      </c>
      <c r="M9103" s="17"/>
      <c r="N9103" s="17" t="s">
        <v>21327</v>
      </c>
      <c r="O9103" s="17"/>
      <c r="P9103" s="17" t="s">
        <v>21395</v>
      </c>
      <c r="Q9103" s="17"/>
      <c r="R9103" s="25" t="str">
        <f>HYPERLINK("https://ictv.global/taxonomy/taxondetails?taxnode_id=202310744","Hysdruvirus tellurivicinum")</f>
        <v>Hysdruvirus tellurivicinum</v>
      </c>
      <c r="S9103" s="18" t="s">
        <v>30</v>
      </c>
      <c r="T9103" s="18" t="s">
        <v>21406</v>
      </c>
      <c r="U9103" s="18"/>
      <c r="V9103" s="18"/>
      <c r="W9103" s="18" t="s">
        <v>21407</v>
      </c>
      <c r="X9103" s="18" t="s">
        <v>35</v>
      </c>
      <c r="Y9103" s="18" t="s">
        <v>17171</v>
      </c>
      <c r="Z9103" s="18" t="s">
        <v>697</v>
      </c>
      <c r="AA9103" s="21" t="str">
        <f>HYPERLINK("https://www.ncbi.nlm.nih.gov/nuccore/BK013981","NCBI Nucleotide")</f>
        <v>NCBI Nucleotide</v>
      </c>
    </row>
    <row r="9104" spans="1:27" x14ac:dyDescent="0.35">
      <c r="A9104">
        <v>1009384</v>
      </c>
      <c r="B9104">
        <v>8429</v>
      </c>
      <c r="C9104">
        <v>1</v>
      </c>
      <c r="D9104" s="17" t="s">
        <v>17166</v>
      </c>
      <c r="E9104" s="17"/>
      <c r="F9104" s="17" t="s">
        <v>17246</v>
      </c>
      <c r="G9104" s="17"/>
      <c r="H9104" s="17" t="s">
        <v>20919</v>
      </c>
      <c r="I9104" s="17"/>
      <c r="J9104" s="17" t="s">
        <v>21313</v>
      </c>
      <c r="K9104" s="17"/>
      <c r="L9104" s="17" t="s">
        <v>21326</v>
      </c>
      <c r="M9104" s="17"/>
      <c r="N9104" s="17" t="s">
        <v>21327</v>
      </c>
      <c r="O9104" s="17"/>
      <c r="P9104" s="17" t="s">
        <v>21408</v>
      </c>
      <c r="Q9104" s="17"/>
      <c r="R9104" s="25" t="str">
        <f>HYPERLINK("https://ictv.global/taxonomy/taxondetails?taxnode_id=202310746","Ichonovirus limivicinum")</f>
        <v>Ichonovirus limivicinum</v>
      </c>
      <c r="S9104" s="18" t="s">
        <v>30</v>
      </c>
      <c r="T9104" s="18" t="s">
        <v>21409</v>
      </c>
      <c r="U9104" s="18"/>
      <c r="V9104" s="18"/>
      <c r="W9104" s="18" t="s">
        <v>21410</v>
      </c>
      <c r="X9104" s="18" t="s">
        <v>35</v>
      </c>
      <c r="Y9104" s="18" t="s">
        <v>17171</v>
      </c>
      <c r="Z9104" s="18" t="s">
        <v>697</v>
      </c>
      <c r="AA9104" s="21" t="str">
        <f>HYPERLINK("https://www.ncbi.nlm.nih.gov/nuccore/BK013768","NCBI Nucleotide")</f>
        <v>NCBI Nucleotide</v>
      </c>
    </row>
    <row r="9105" spans="1:27" x14ac:dyDescent="0.35">
      <c r="A9105">
        <v>1009386</v>
      </c>
      <c r="B9105">
        <v>8430</v>
      </c>
      <c r="C9105">
        <v>1</v>
      </c>
      <c r="D9105" s="17" t="s">
        <v>17166</v>
      </c>
      <c r="E9105" s="17"/>
      <c r="F9105" s="17" t="s">
        <v>17246</v>
      </c>
      <c r="G9105" s="17"/>
      <c r="H9105" s="17" t="s">
        <v>20919</v>
      </c>
      <c r="I9105" s="17"/>
      <c r="J9105" s="17" t="s">
        <v>21313</v>
      </c>
      <c r="K9105" s="17"/>
      <c r="L9105" s="17" t="s">
        <v>21326</v>
      </c>
      <c r="M9105" s="17"/>
      <c r="N9105" s="17" t="s">
        <v>21327</v>
      </c>
      <c r="O9105" s="17"/>
      <c r="P9105" s="17" t="s">
        <v>21413</v>
      </c>
      <c r="Q9105" s="17"/>
      <c r="R9105" s="25" t="str">
        <f>HYPERLINK("https://ictv.global/taxonomy/taxondetails?taxnode_id=202310750","Isoihlovirus terrihabitans")</f>
        <v>Isoihlovirus terrihabitans</v>
      </c>
      <c r="S9105" s="18" t="s">
        <v>30</v>
      </c>
      <c r="T9105" s="18" t="s">
        <v>21414</v>
      </c>
      <c r="U9105" s="18"/>
      <c r="V9105" s="18"/>
      <c r="W9105" s="18" t="s">
        <v>21415</v>
      </c>
      <c r="X9105" s="18" t="s">
        <v>35</v>
      </c>
      <c r="Y9105" s="18" t="s">
        <v>17171</v>
      </c>
      <c r="Z9105" s="18" t="s">
        <v>697</v>
      </c>
      <c r="AA9105" s="21" t="str">
        <f>HYPERLINK("https://www.ncbi.nlm.nih.gov/nuccore/BK013420","NCBI Nucleotide")</f>
        <v>NCBI Nucleotide</v>
      </c>
    </row>
    <row r="9106" spans="1:27" x14ac:dyDescent="0.35">
      <c r="A9106">
        <v>1009387</v>
      </c>
      <c r="B9106">
        <v>8431</v>
      </c>
      <c r="C9106">
        <v>1</v>
      </c>
      <c r="D9106" s="17" t="s">
        <v>17166</v>
      </c>
      <c r="E9106" s="17"/>
      <c r="F9106" s="17" t="s">
        <v>17246</v>
      </c>
      <c r="G9106" s="17"/>
      <c r="H9106" s="17" t="s">
        <v>20919</v>
      </c>
      <c r="I9106" s="17"/>
      <c r="J9106" s="17" t="s">
        <v>21313</v>
      </c>
      <c r="K9106" s="17"/>
      <c r="L9106" s="17" t="s">
        <v>21326</v>
      </c>
      <c r="M9106" s="17"/>
      <c r="N9106" s="17" t="s">
        <v>21327</v>
      </c>
      <c r="O9106" s="17"/>
      <c r="P9106" s="17" t="s">
        <v>21416</v>
      </c>
      <c r="Q9106" s="17"/>
      <c r="R9106" s="25" t="str">
        <f>HYPERLINK("https://ictv.global/taxonomy/taxondetails?taxnode_id=202310752","Kempsvovirus caenivivens")</f>
        <v>Kempsvovirus caenivivens</v>
      </c>
      <c r="S9106" s="18" t="s">
        <v>30</v>
      </c>
      <c r="T9106" s="18" t="s">
        <v>21417</v>
      </c>
      <c r="U9106" s="18"/>
      <c r="V9106" s="18"/>
      <c r="W9106" s="18" t="s">
        <v>21418</v>
      </c>
      <c r="X9106" s="18" t="s">
        <v>35</v>
      </c>
      <c r="Y9106" s="18" t="s">
        <v>17171</v>
      </c>
      <c r="Z9106" s="18" t="s">
        <v>697</v>
      </c>
      <c r="AA9106" s="21" t="str">
        <f>HYPERLINK("https://www.ncbi.nlm.nih.gov/nuccore/BK014081","NCBI Nucleotide")</f>
        <v>NCBI Nucleotide</v>
      </c>
    </row>
    <row r="9107" spans="1:27" x14ac:dyDescent="0.35">
      <c r="A9107">
        <v>1027231</v>
      </c>
      <c r="B9107">
        <v>8432</v>
      </c>
      <c r="C9107">
        <v>1</v>
      </c>
      <c r="D9107" s="17" t="s">
        <v>17166</v>
      </c>
      <c r="E9107" s="17"/>
      <c r="F9107" s="17" t="s">
        <v>17246</v>
      </c>
      <c r="G9107" s="17"/>
      <c r="H9107" s="17" t="s">
        <v>20919</v>
      </c>
      <c r="I9107" s="17"/>
      <c r="J9107" s="17" t="s">
        <v>21313</v>
      </c>
      <c r="K9107" s="17"/>
      <c r="L9107" s="17" t="s">
        <v>21326</v>
      </c>
      <c r="M9107" s="17"/>
      <c r="N9107" s="17" t="s">
        <v>21327</v>
      </c>
      <c r="O9107" s="17"/>
      <c r="P9107" s="17" t="s">
        <v>21416</v>
      </c>
      <c r="Q9107" s="17"/>
      <c r="R9107" s="25" t="str">
        <f>HYPERLINK("https://ictv.global/taxonomy/taxondetails?taxnode_id=202316185","Kempsvovirus chthonocola")</f>
        <v>Kempsvovirus chthonocola</v>
      </c>
      <c r="S9107" s="18" t="s">
        <v>30</v>
      </c>
      <c r="T9107" s="18" t="s">
        <v>42827</v>
      </c>
      <c r="U9107" s="18"/>
      <c r="V9107" s="18"/>
      <c r="W9107" s="18" t="s">
        <v>42828</v>
      </c>
      <c r="X9107" s="18" t="s">
        <v>35</v>
      </c>
      <c r="Y9107" s="18" t="s">
        <v>17171</v>
      </c>
      <c r="Z9107" s="18" t="s">
        <v>24637</v>
      </c>
      <c r="AA9107" s="21" t="str">
        <f>HYPERLINK("https://www.ncbi.nlm.nih.gov/nuccore/CASDWV010001333","NCBI Nucleotide")</f>
        <v>NCBI Nucleotide</v>
      </c>
    </row>
    <row r="9108" spans="1:27" x14ac:dyDescent="0.35">
      <c r="A9108">
        <v>1027232</v>
      </c>
      <c r="B9108">
        <v>8433</v>
      </c>
      <c r="C9108">
        <v>1</v>
      </c>
      <c r="D9108" s="17" t="s">
        <v>17166</v>
      </c>
      <c r="E9108" s="17"/>
      <c r="F9108" s="17" t="s">
        <v>17246</v>
      </c>
      <c r="G9108" s="17"/>
      <c r="H9108" s="17" t="s">
        <v>20919</v>
      </c>
      <c r="I9108" s="17"/>
      <c r="J9108" s="17" t="s">
        <v>21313</v>
      </c>
      <c r="K9108" s="17"/>
      <c r="L9108" s="17" t="s">
        <v>21326</v>
      </c>
      <c r="M9108" s="17"/>
      <c r="N9108" s="17" t="s">
        <v>21327</v>
      </c>
      <c r="O9108" s="17"/>
      <c r="P9108" s="17" t="s">
        <v>21416</v>
      </c>
      <c r="Q9108" s="17"/>
      <c r="R9108" s="25" t="str">
        <f>HYPERLINK("https://ictv.global/taxonomy/taxondetails?taxnode_id=202316186","Kempsvovirus humivivens")</f>
        <v>Kempsvovirus humivivens</v>
      </c>
      <c r="S9108" s="18" t="s">
        <v>30</v>
      </c>
      <c r="T9108" s="18" t="s">
        <v>42829</v>
      </c>
      <c r="U9108" s="18"/>
      <c r="V9108" s="18"/>
      <c r="W9108" s="18" t="s">
        <v>42830</v>
      </c>
      <c r="X9108" s="18" t="s">
        <v>35</v>
      </c>
      <c r="Y9108" s="18" t="s">
        <v>17171</v>
      </c>
      <c r="Z9108" s="18" t="s">
        <v>24637</v>
      </c>
      <c r="AA9108" s="21" t="str">
        <f>HYPERLINK("https://www.ncbi.nlm.nih.gov/nuccore/CASDWV010002666","NCBI Nucleotide")</f>
        <v>NCBI Nucleotide</v>
      </c>
    </row>
    <row r="9109" spans="1:27" x14ac:dyDescent="0.35">
      <c r="A9109">
        <v>1027233</v>
      </c>
      <c r="B9109">
        <v>8434</v>
      </c>
      <c r="C9109">
        <v>1</v>
      </c>
      <c r="D9109" s="17" t="s">
        <v>17166</v>
      </c>
      <c r="E9109" s="17"/>
      <c r="F9109" s="17" t="s">
        <v>17246</v>
      </c>
      <c r="G9109" s="17"/>
      <c r="H9109" s="17" t="s">
        <v>20919</v>
      </c>
      <c r="I9109" s="17"/>
      <c r="J9109" s="17" t="s">
        <v>21313</v>
      </c>
      <c r="K9109" s="17"/>
      <c r="L9109" s="17" t="s">
        <v>21326</v>
      </c>
      <c r="M9109" s="17"/>
      <c r="N9109" s="17" t="s">
        <v>21327</v>
      </c>
      <c r="O9109" s="17"/>
      <c r="P9109" s="17" t="s">
        <v>21416</v>
      </c>
      <c r="Q9109" s="17"/>
      <c r="R9109" s="25" t="str">
        <f>HYPERLINK("https://ictv.global/taxonomy/taxondetails?taxnode_id=202316187","Kempsvovirus segeticola")</f>
        <v>Kempsvovirus segeticola</v>
      </c>
      <c r="S9109" s="18" t="s">
        <v>30</v>
      </c>
      <c r="T9109" s="18" t="s">
        <v>42831</v>
      </c>
      <c r="U9109" s="18"/>
      <c r="V9109" s="18"/>
      <c r="W9109" s="18" t="s">
        <v>42832</v>
      </c>
      <c r="X9109" s="18" t="s">
        <v>35</v>
      </c>
      <c r="Y9109" s="18" t="s">
        <v>17171</v>
      </c>
      <c r="Z9109" s="18" t="s">
        <v>24637</v>
      </c>
      <c r="AA9109" s="21" t="str">
        <f>HYPERLINK("https://www.ncbi.nlm.nih.gov/nuccore/CASDWV010003921","NCBI Nucleotide")</f>
        <v>NCBI Nucleotide</v>
      </c>
    </row>
    <row r="9110" spans="1:27" x14ac:dyDescent="0.35">
      <c r="A9110">
        <v>1009388</v>
      </c>
      <c r="B9110">
        <v>8435</v>
      </c>
      <c r="C9110">
        <v>1</v>
      </c>
      <c r="D9110" s="17" t="s">
        <v>17166</v>
      </c>
      <c r="E9110" s="17"/>
      <c r="F9110" s="17" t="s">
        <v>17246</v>
      </c>
      <c r="G9110" s="17"/>
      <c r="H9110" s="17" t="s">
        <v>20919</v>
      </c>
      <c r="I9110" s="17"/>
      <c r="J9110" s="17" t="s">
        <v>21313</v>
      </c>
      <c r="K9110" s="17"/>
      <c r="L9110" s="17" t="s">
        <v>21326</v>
      </c>
      <c r="M9110" s="17"/>
      <c r="N9110" s="17" t="s">
        <v>21327</v>
      </c>
      <c r="O9110" s="17"/>
      <c r="P9110" s="17" t="s">
        <v>21419</v>
      </c>
      <c r="Q9110" s="17"/>
      <c r="R9110" s="25" t="str">
        <f>HYPERLINK("https://ictv.global/taxonomy/taxondetails?taxnode_id=202310754","Kihrivirus limicola")</f>
        <v>Kihrivirus limicola</v>
      </c>
      <c r="S9110" s="18" t="s">
        <v>30</v>
      </c>
      <c r="T9110" s="18" t="s">
        <v>21420</v>
      </c>
      <c r="U9110" s="18"/>
      <c r="V9110" s="18"/>
      <c r="W9110" s="18" t="s">
        <v>21421</v>
      </c>
      <c r="X9110" s="18" t="s">
        <v>35</v>
      </c>
      <c r="Y9110" s="18" t="s">
        <v>17171</v>
      </c>
      <c r="Z9110" s="18" t="s">
        <v>697</v>
      </c>
      <c r="AA9110" s="21" t="str">
        <f>HYPERLINK("https://www.ncbi.nlm.nih.gov/nuccore/BK013609","NCBI Nucleotide")</f>
        <v>NCBI Nucleotide</v>
      </c>
    </row>
    <row r="9111" spans="1:27" x14ac:dyDescent="0.35">
      <c r="A9111">
        <v>1009389</v>
      </c>
      <c r="B9111">
        <v>8436</v>
      </c>
      <c r="C9111">
        <v>1</v>
      </c>
      <c r="D9111" s="17" t="s">
        <v>17166</v>
      </c>
      <c r="E9111" s="17"/>
      <c r="F9111" s="17" t="s">
        <v>17246</v>
      </c>
      <c r="G9111" s="17"/>
      <c r="H9111" s="17" t="s">
        <v>20919</v>
      </c>
      <c r="I9111" s="17"/>
      <c r="J9111" s="17" t="s">
        <v>21313</v>
      </c>
      <c r="K9111" s="17"/>
      <c r="L9111" s="17" t="s">
        <v>21326</v>
      </c>
      <c r="M9111" s="17"/>
      <c r="N9111" s="17" t="s">
        <v>21327</v>
      </c>
      <c r="O9111" s="17"/>
      <c r="P9111" s="17" t="s">
        <v>21422</v>
      </c>
      <c r="Q9111" s="17"/>
      <c r="R9111" s="25" t="str">
        <f>HYPERLINK("https://ictv.global/taxonomy/taxondetails?taxnode_id=202310756","Kimihcavirus limivivens")</f>
        <v>Kimihcavirus limivivens</v>
      </c>
      <c r="S9111" s="18" t="s">
        <v>30</v>
      </c>
      <c r="T9111" s="18" t="s">
        <v>21423</v>
      </c>
      <c r="U9111" s="18"/>
      <c r="V9111" s="18"/>
      <c r="W9111" s="18" t="s">
        <v>21424</v>
      </c>
      <c r="X9111" s="18" t="s">
        <v>35</v>
      </c>
      <c r="Y9111" s="18" t="s">
        <v>17171</v>
      </c>
      <c r="Z9111" s="18" t="s">
        <v>697</v>
      </c>
      <c r="AA9111" s="21" t="str">
        <f>HYPERLINK("https://www.ncbi.nlm.nih.gov/nuccore/BK014211","NCBI Nucleotide")</f>
        <v>NCBI Nucleotide</v>
      </c>
    </row>
    <row r="9112" spans="1:27" x14ac:dyDescent="0.35">
      <c r="A9112">
        <v>1009390</v>
      </c>
      <c r="B9112">
        <v>8437</v>
      </c>
      <c r="C9112">
        <v>1</v>
      </c>
      <c r="D9112" s="17" t="s">
        <v>17166</v>
      </c>
      <c r="E9112" s="17"/>
      <c r="F9112" s="17" t="s">
        <v>17246</v>
      </c>
      <c r="G9112" s="17"/>
      <c r="H9112" s="17" t="s">
        <v>20919</v>
      </c>
      <c r="I9112" s="17"/>
      <c r="J9112" s="17" t="s">
        <v>21313</v>
      </c>
      <c r="K9112" s="17"/>
      <c r="L9112" s="17" t="s">
        <v>21326</v>
      </c>
      <c r="M9112" s="17"/>
      <c r="N9112" s="17" t="s">
        <v>21327</v>
      </c>
      <c r="O9112" s="17"/>
      <c r="P9112" s="17" t="s">
        <v>21425</v>
      </c>
      <c r="Q9112" s="17"/>
      <c r="R9112" s="25" t="str">
        <f>HYPERLINK("https://ictv.global/taxonomy/taxondetails?taxnode_id=202310758","Kudohovirus pelocola")</f>
        <v>Kudohovirus pelocola</v>
      </c>
      <c r="S9112" s="18" t="s">
        <v>30</v>
      </c>
      <c r="T9112" s="18" t="s">
        <v>21426</v>
      </c>
      <c r="U9112" s="18"/>
      <c r="V9112" s="18"/>
      <c r="W9112" s="18" t="s">
        <v>21427</v>
      </c>
      <c r="X9112" s="18" t="s">
        <v>35</v>
      </c>
      <c r="Y9112" s="18" t="s">
        <v>17171</v>
      </c>
      <c r="Z9112" s="18" t="s">
        <v>697</v>
      </c>
      <c r="AA9112" s="21" t="str">
        <f>HYPERLINK("https://www.ncbi.nlm.nih.gov/nuccore/BK013755","NCBI Nucleotide")</f>
        <v>NCBI Nucleotide</v>
      </c>
    </row>
    <row r="9113" spans="1:27" x14ac:dyDescent="0.35">
      <c r="A9113">
        <v>1009391</v>
      </c>
      <c r="B9113">
        <v>8438</v>
      </c>
      <c r="C9113">
        <v>1</v>
      </c>
      <c r="D9113" s="17" t="s">
        <v>17166</v>
      </c>
      <c r="E9113" s="17"/>
      <c r="F9113" s="17" t="s">
        <v>17246</v>
      </c>
      <c r="G9113" s="17"/>
      <c r="H9113" s="17" t="s">
        <v>20919</v>
      </c>
      <c r="I9113" s="17"/>
      <c r="J9113" s="17" t="s">
        <v>21313</v>
      </c>
      <c r="K9113" s="17"/>
      <c r="L9113" s="17" t="s">
        <v>21326</v>
      </c>
      <c r="M9113" s="17"/>
      <c r="N9113" s="17" t="s">
        <v>21327</v>
      </c>
      <c r="O9113" s="17"/>
      <c r="P9113" s="17" t="s">
        <v>21428</v>
      </c>
      <c r="Q9113" s="17"/>
      <c r="R9113" s="25" t="str">
        <f>HYPERLINK("https://ictv.global/taxonomy/taxondetails?taxnode_id=202310760","Kuhfotivirus pelohabitans")</f>
        <v>Kuhfotivirus pelohabitans</v>
      </c>
      <c r="S9113" s="18" t="s">
        <v>30</v>
      </c>
      <c r="T9113" s="18" t="s">
        <v>21429</v>
      </c>
      <c r="U9113" s="18"/>
      <c r="V9113" s="18"/>
      <c r="W9113" s="18" t="s">
        <v>21430</v>
      </c>
      <c r="X9113" s="18" t="s">
        <v>35</v>
      </c>
      <c r="Y9113" s="18" t="s">
        <v>17171</v>
      </c>
      <c r="Z9113" s="18" t="s">
        <v>697</v>
      </c>
      <c r="AA9113" s="21" t="str">
        <f>HYPERLINK("https://www.ncbi.nlm.nih.gov/nuccore/BK014129","NCBI Nucleotide")</f>
        <v>NCBI Nucleotide</v>
      </c>
    </row>
    <row r="9114" spans="1:27" x14ac:dyDescent="0.35">
      <c r="A9114">
        <v>1009392</v>
      </c>
      <c r="B9114">
        <v>8439</v>
      </c>
      <c r="C9114">
        <v>1</v>
      </c>
      <c r="D9114" s="17" t="s">
        <v>17166</v>
      </c>
      <c r="E9114" s="17"/>
      <c r="F9114" s="17" t="s">
        <v>17246</v>
      </c>
      <c r="G9114" s="17"/>
      <c r="H9114" s="17" t="s">
        <v>20919</v>
      </c>
      <c r="I9114" s="17"/>
      <c r="J9114" s="17" t="s">
        <v>21313</v>
      </c>
      <c r="K9114" s="17"/>
      <c r="L9114" s="17" t="s">
        <v>21326</v>
      </c>
      <c r="M9114" s="17"/>
      <c r="N9114" s="17" t="s">
        <v>21327</v>
      </c>
      <c r="O9114" s="17"/>
      <c r="P9114" s="17" t="s">
        <v>21431</v>
      </c>
      <c r="Q9114" s="17"/>
      <c r="R9114" s="25" t="str">
        <f>HYPERLINK("https://ictv.global/taxonomy/taxondetails?taxnode_id=202310762","Lahcomavirus asienecus")</f>
        <v>Lahcomavirus asienecus</v>
      </c>
      <c r="S9114" s="18" t="s">
        <v>30</v>
      </c>
      <c r="T9114" s="18" t="s">
        <v>21432</v>
      </c>
      <c r="U9114" s="18"/>
      <c r="V9114" s="18"/>
      <c r="W9114" s="18" t="s">
        <v>21433</v>
      </c>
      <c r="X9114" s="18" t="s">
        <v>35</v>
      </c>
      <c r="Y9114" s="18" t="s">
        <v>17171</v>
      </c>
      <c r="Z9114" s="18" t="s">
        <v>697</v>
      </c>
      <c r="AA9114" s="21" t="str">
        <f>HYPERLINK("https://www.ncbi.nlm.nih.gov/nuccore/BK014123","NCBI Nucleotide")</f>
        <v>NCBI Nucleotide</v>
      </c>
    </row>
    <row r="9115" spans="1:27" x14ac:dyDescent="0.35">
      <c r="A9115">
        <v>1027223</v>
      </c>
      <c r="B9115">
        <v>8440</v>
      </c>
      <c r="C9115">
        <v>1</v>
      </c>
      <c r="D9115" s="17" t="s">
        <v>17166</v>
      </c>
      <c r="E9115" s="17"/>
      <c r="F9115" s="17" t="s">
        <v>17246</v>
      </c>
      <c r="G9115" s="17"/>
      <c r="H9115" s="17" t="s">
        <v>20919</v>
      </c>
      <c r="I9115" s="17"/>
      <c r="J9115" s="17" t="s">
        <v>21313</v>
      </c>
      <c r="K9115" s="17"/>
      <c r="L9115" s="17" t="s">
        <v>21326</v>
      </c>
      <c r="M9115" s="17"/>
      <c r="N9115" s="17" t="s">
        <v>21327</v>
      </c>
      <c r="O9115" s="17"/>
      <c r="P9115" s="17" t="s">
        <v>21431</v>
      </c>
      <c r="Q9115" s="17"/>
      <c r="R9115" s="25" t="str">
        <f>HYPERLINK("https://ictv.global/taxonomy/taxondetails?taxnode_id=202316188","Lahcomavirus messivivens")</f>
        <v>Lahcomavirus messivivens</v>
      </c>
      <c r="S9115" s="18" t="s">
        <v>30</v>
      </c>
      <c r="T9115" s="18" t="s">
        <v>42833</v>
      </c>
      <c r="U9115" s="18"/>
      <c r="V9115" s="18"/>
      <c r="W9115" s="18" t="s">
        <v>42834</v>
      </c>
      <c r="X9115" s="18" t="s">
        <v>35</v>
      </c>
      <c r="Y9115" s="18" t="s">
        <v>17171</v>
      </c>
      <c r="Z9115" s="18" t="s">
        <v>24637</v>
      </c>
      <c r="AA9115" s="21" t="str">
        <f>HYPERLINK("https://www.ncbi.nlm.nih.gov/nuccore/CASDWV010003759","NCBI Nucleotide")</f>
        <v>NCBI Nucleotide</v>
      </c>
    </row>
    <row r="9116" spans="1:27" x14ac:dyDescent="0.35">
      <c r="A9116">
        <v>1027224</v>
      </c>
      <c r="B9116">
        <v>8441</v>
      </c>
      <c r="C9116">
        <v>1</v>
      </c>
      <c r="D9116" s="17" t="s">
        <v>17166</v>
      </c>
      <c r="E9116" s="17"/>
      <c r="F9116" s="17" t="s">
        <v>17246</v>
      </c>
      <c r="G9116" s="17"/>
      <c r="H9116" s="17" t="s">
        <v>20919</v>
      </c>
      <c r="I9116" s="17"/>
      <c r="J9116" s="17" t="s">
        <v>21313</v>
      </c>
      <c r="K9116" s="17"/>
      <c r="L9116" s="17" t="s">
        <v>21326</v>
      </c>
      <c r="M9116" s="17"/>
      <c r="N9116" s="17" t="s">
        <v>21327</v>
      </c>
      <c r="O9116" s="17"/>
      <c r="P9116" s="17" t="s">
        <v>21431</v>
      </c>
      <c r="Q9116" s="17"/>
      <c r="R9116" s="25" t="str">
        <f>HYPERLINK("https://ictv.global/taxonomy/taxondetails?taxnode_id=202316189","Lahcomavirus segetadaptatum")</f>
        <v>Lahcomavirus segetadaptatum</v>
      </c>
      <c r="S9116" s="18" t="s">
        <v>30</v>
      </c>
      <c r="T9116" s="18" t="s">
        <v>42835</v>
      </c>
      <c r="U9116" s="18"/>
      <c r="V9116" s="18"/>
      <c r="W9116" s="18" t="s">
        <v>42836</v>
      </c>
      <c r="X9116" s="18" t="s">
        <v>35</v>
      </c>
      <c r="Y9116" s="18" t="s">
        <v>17171</v>
      </c>
      <c r="Z9116" s="18" t="s">
        <v>24637</v>
      </c>
      <c r="AA9116" s="21" t="str">
        <f>HYPERLINK("https://www.ncbi.nlm.nih.gov/nuccore/CASDWV010003420","NCBI Nucleotide")</f>
        <v>NCBI Nucleotide</v>
      </c>
    </row>
    <row r="9117" spans="1:27" x14ac:dyDescent="0.35">
      <c r="A9117">
        <v>1027191</v>
      </c>
      <c r="B9117">
        <v>8442</v>
      </c>
      <c r="C9117">
        <v>1</v>
      </c>
      <c r="D9117" s="17" t="s">
        <v>17166</v>
      </c>
      <c r="E9117" s="17"/>
      <c r="F9117" s="17" t="s">
        <v>17246</v>
      </c>
      <c r="G9117" s="17"/>
      <c r="H9117" s="17" t="s">
        <v>20919</v>
      </c>
      <c r="I9117" s="17"/>
      <c r="J9117" s="17" t="s">
        <v>21313</v>
      </c>
      <c r="K9117" s="17"/>
      <c r="L9117" s="17" t="s">
        <v>21326</v>
      </c>
      <c r="M9117" s="17"/>
      <c r="N9117" s="17" t="s">
        <v>21327</v>
      </c>
      <c r="O9117" s="17"/>
      <c r="P9117" s="17" t="s">
        <v>21444</v>
      </c>
      <c r="Q9117" s="17"/>
      <c r="R9117" s="25" t="str">
        <f>HYPERLINK("https://ictv.global/taxonomy/taxondetails?taxnode_id=202316190","Lobdovirus agrivicinum")</f>
        <v>Lobdovirus agrivicinum</v>
      </c>
      <c r="S9117" s="18" t="s">
        <v>30</v>
      </c>
      <c r="T9117" s="18" t="s">
        <v>42837</v>
      </c>
      <c r="U9117" s="18"/>
      <c r="V9117" s="18"/>
      <c r="W9117" s="18" t="s">
        <v>42838</v>
      </c>
      <c r="X9117" s="18" t="s">
        <v>35</v>
      </c>
      <c r="Y9117" s="18" t="s">
        <v>17171</v>
      </c>
      <c r="Z9117" s="18" t="s">
        <v>24637</v>
      </c>
      <c r="AA9117" s="21" t="str">
        <f>HYPERLINK("https://www.ncbi.nlm.nih.gov/nuccore/CASDWV010003905","NCBI Nucleotide")</f>
        <v>NCBI Nucleotide</v>
      </c>
    </row>
    <row r="9118" spans="1:27" x14ac:dyDescent="0.35">
      <c r="A9118">
        <v>1009398</v>
      </c>
      <c r="B9118">
        <v>8443</v>
      </c>
      <c r="C9118">
        <v>1</v>
      </c>
      <c r="D9118" s="17" t="s">
        <v>17166</v>
      </c>
      <c r="E9118" s="17"/>
      <c r="F9118" s="17" t="s">
        <v>17246</v>
      </c>
      <c r="G9118" s="17"/>
      <c r="H9118" s="17" t="s">
        <v>20919</v>
      </c>
      <c r="I9118" s="17"/>
      <c r="J9118" s="17" t="s">
        <v>21313</v>
      </c>
      <c r="K9118" s="17"/>
      <c r="L9118" s="17" t="s">
        <v>21326</v>
      </c>
      <c r="M9118" s="17"/>
      <c r="N9118" s="17" t="s">
        <v>21327</v>
      </c>
      <c r="O9118" s="17"/>
      <c r="P9118" s="17" t="s">
        <v>21444</v>
      </c>
      <c r="Q9118" s="17"/>
      <c r="R9118" s="25" t="str">
        <f>HYPERLINK("https://ictv.global/taxonomy/taxondetails?taxnode_id=202310773","Lobdovirus arvadaptatum")</f>
        <v>Lobdovirus arvadaptatum</v>
      </c>
      <c r="S9118" s="18" t="s">
        <v>30</v>
      </c>
      <c r="T9118" s="18" t="s">
        <v>21445</v>
      </c>
      <c r="U9118" s="18"/>
      <c r="V9118" s="18"/>
      <c r="W9118" s="18" t="s">
        <v>21446</v>
      </c>
      <c r="X9118" s="18" t="s">
        <v>35</v>
      </c>
      <c r="Y9118" s="18" t="s">
        <v>17171</v>
      </c>
      <c r="Z9118" s="18" t="s">
        <v>697</v>
      </c>
      <c r="AA9118" s="21" t="str">
        <f>HYPERLINK("https://www.ncbi.nlm.nih.gov/nuccore/BK013785","NCBI Nucleotide")</f>
        <v>NCBI Nucleotide</v>
      </c>
    </row>
    <row r="9119" spans="1:27" x14ac:dyDescent="0.35">
      <c r="A9119">
        <v>1009399</v>
      </c>
      <c r="B9119">
        <v>8444</v>
      </c>
      <c r="C9119">
        <v>1</v>
      </c>
      <c r="D9119" s="17" t="s">
        <v>17166</v>
      </c>
      <c r="E9119" s="17"/>
      <c r="F9119" s="17" t="s">
        <v>17246</v>
      </c>
      <c r="G9119" s="17"/>
      <c r="H9119" s="17" t="s">
        <v>20919</v>
      </c>
      <c r="I9119" s="17"/>
      <c r="J9119" s="17" t="s">
        <v>21313</v>
      </c>
      <c r="K9119" s="17"/>
      <c r="L9119" s="17" t="s">
        <v>21326</v>
      </c>
      <c r="M9119" s="17"/>
      <c r="N9119" s="17" t="s">
        <v>21327</v>
      </c>
      <c r="O9119" s="17"/>
      <c r="P9119" s="17" t="s">
        <v>21444</v>
      </c>
      <c r="Q9119" s="17"/>
      <c r="R9119" s="25" t="str">
        <f>HYPERLINK("https://ictv.global/taxonomy/taxondetails?taxnode_id=202310774","Lobdovirus arvenecus")</f>
        <v>Lobdovirus arvenecus</v>
      </c>
      <c r="S9119" s="18" t="s">
        <v>30</v>
      </c>
      <c r="T9119" s="18" t="s">
        <v>21447</v>
      </c>
      <c r="U9119" s="18"/>
      <c r="V9119" s="18"/>
      <c r="W9119" s="18" t="s">
        <v>21448</v>
      </c>
      <c r="X9119" s="18" t="s">
        <v>35</v>
      </c>
      <c r="Y9119" s="18" t="s">
        <v>17171</v>
      </c>
      <c r="Z9119" s="18" t="s">
        <v>697</v>
      </c>
      <c r="AA9119" s="21" t="str">
        <f>HYPERLINK("https://www.ncbi.nlm.nih.gov/nuccore/BK013414","NCBI Nucleotide")</f>
        <v>NCBI Nucleotide</v>
      </c>
    </row>
    <row r="9120" spans="1:27" x14ac:dyDescent="0.35">
      <c r="A9120">
        <v>1009400</v>
      </c>
      <c r="B9120">
        <v>8445</v>
      </c>
      <c r="C9120">
        <v>1</v>
      </c>
      <c r="D9120" s="17" t="s">
        <v>17166</v>
      </c>
      <c r="E9120" s="17"/>
      <c r="F9120" s="17" t="s">
        <v>17246</v>
      </c>
      <c r="G9120" s="17"/>
      <c r="H9120" s="17" t="s">
        <v>20919</v>
      </c>
      <c r="I9120" s="17"/>
      <c r="J9120" s="17" t="s">
        <v>21313</v>
      </c>
      <c r="K9120" s="17"/>
      <c r="L9120" s="17" t="s">
        <v>21326</v>
      </c>
      <c r="M9120" s="17"/>
      <c r="N9120" s="17" t="s">
        <v>21327</v>
      </c>
      <c r="O9120" s="17"/>
      <c r="P9120" s="17" t="s">
        <v>21444</v>
      </c>
      <c r="Q9120" s="17"/>
      <c r="R9120" s="25" t="str">
        <f>HYPERLINK("https://ictv.global/taxonomy/taxondetails?taxnode_id=202310770","Lobdovirus arvicola")</f>
        <v>Lobdovirus arvicola</v>
      </c>
      <c r="S9120" s="18" t="s">
        <v>30</v>
      </c>
      <c r="T9120" s="18" t="s">
        <v>21449</v>
      </c>
      <c r="U9120" s="18"/>
      <c r="V9120" s="18"/>
      <c r="W9120" s="18" t="s">
        <v>21450</v>
      </c>
      <c r="X9120" s="18" t="s">
        <v>35</v>
      </c>
      <c r="Y9120" s="18" t="s">
        <v>17171</v>
      </c>
      <c r="Z9120" s="18" t="s">
        <v>697</v>
      </c>
      <c r="AA9120" s="21" t="str">
        <f>HYPERLINK("https://www.ncbi.nlm.nih.gov/nuccore/BK013915","NCBI Nucleotide")</f>
        <v>NCBI Nucleotide</v>
      </c>
    </row>
    <row r="9121" spans="1:27" x14ac:dyDescent="0.35">
      <c r="A9121">
        <v>1009401</v>
      </c>
      <c r="B9121">
        <v>8446</v>
      </c>
      <c r="C9121">
        <v>1</v>
      </c>
      <c r="D9121" s="17" t="s">
        <v>17166</v>
      </c>
      <c r="E9121" s="17"/>
      <c r="F9121" s="17" t="s">
        <v>17246</v>
      </c>
      <c r="G9121" s="17"/>
      <c r="H9121" s="17" t="s">
        <v>20919</v>
      </c>
      <c r="I9121" s="17"/>
      <c r="J9121" s="17" t="s">
        <v>21313</v>
      </c>
      <c r="K9121" s="17"/>
      <c r="L9121" s="17" t="s">
        <v>21326</v>
      </c>
      <c r="M9121" s="17"/>
      <c r="N9121" s="17" t="s">
        <v>21327</v>
      </c>
      <c r="O9121" s="17"/>
      <c r="P9121" s="17" t="s">
        <v>21444</v>
      </c>
      <c r="Q9121" s="17"/>
      <c r="R9121" s="25" t="str">
        <f>HYPERLINK("https://ictv.global/taxonomy/taxondetails?taxnode_id=202310771","Lobdovirus chorovicinum")</f>
        <v>Lobdovirus chorovicinum</v>
      </c>
      <c r="S9121" s="18" t="s">
        <v>30</v>
      </c>
      <c r="T9121" s="18" t="s">
        <v>21451</v>
      </c>
      <c r="U9121" s="18"/>
      <c r="V9121" s="18"/>
      <c r="W9121" s="18" t="s">
        <v>21452</v>
      </c>
      <c r="X9121" s="18" t="s">
        <v>35</v>
      </c>
      <c r="Y9121" s="18" t="s">
        <v>17171</v>
      </c>
      <c r="Z9121" s="18" t="s">
        <v>697</v>
      </c>
      <c r="AA9121" s="21" t="str">
        <f>HYPERLINK("https://www.ncbi.nlm.nih.gov/nuccore/BK013855","NCBI Nucleotide")</f>
        <v>NCBI Nucleotide</v>
      </c>
    </row>
    <row r="9122" spans="1:27" x14ac:dyDescent="0.35">
      <c r="A9122">
        <v>1009402</v>
      </c>
      <c r="B9122">
        <v>8447</v>
      </c>
      <c r="C9122">
        <v>1</v>
      </c>
      <c r="D9122" s="17" t="s">
        <v>17166</v>
      </c>
      <c r="E9122" s="17"/>
      <c r="F9122" s="17" t="s">
        <v>17246</v>
      </c>
      <c r="G9122" s="17"/>
      <c r="H9122" s="17" t="s">
        <v>20919</v>
      </c>
      <c r="I9122" s="17"/>
      <c r="J9122" s="17" t="s">
        <v>21313</v>
      </c>
      <c r="K9122" s="17"/>
      <c r="L9122" s="17" t="s">
        <v>21326</v>
      </c>
      <c r="M9122" s="17"/>
      <c r="N9122" s="17" t="s">
        <v>21327</v>
      </c>
      <c r="O9122" s="17"/>
      <c r="P9122" s="17" t="s">
        <v>21444</v>
      </c>
      <c r="Q9122" s="17"/>
      <c r="R9122" s="25" t="str">
        <f>HYPERLINK("https://ictv.global/taxonomy/taxondetails?taxnode_id=202310772","Lobdovirus chorovivens")</f>
        <v>Lobdovirus chorovivens</v>
      </c>
      <c r="S9122" s="18" t="s">
        <v>30</v>
      </c>
      <c r="T9122" s="18" t="s">
        <v>21453</v>
      </c>
      <c r="U9122" s="18"/>
      <c r="V9122" s="18"/>
      <c r="W9122" s="18" t="s">
        <v>21454</v>
      </c>
      <c r="X9122" s="18" t="s">
        <v>35</v>
      </c>
      <c r="Y9122" s="18" t="s">
        <v>17171</v>
      </c>
      <c r="Z9122" s="18" t="s">
        <v>697</v>
      </c>
      <c r="AA9122" s="21" t="str">
        <f>HYPERLINK("https://www.ncbi.nlm.nih.gov/nuccore/BK013840","NCBI Nucleotide")</f>
        <v>NCBI Nucleotide</v>
      </c>
    </row>
    <row r="9123" spans="1:27" x14ac:dyDescent="0.35">
      <c r="A9123">
        <v>1027192</v>
      </c>
      <c r="B9123">
        <v>8448</v>
      </c>
      <c r="C9123">
        <v>1</v>
      </c>
      <c r="D9123" s="17" t="s">
        <v>17166</v>
      </c>
      <c r="E9123" s="17"/>
      <c r="F9123" s="17" t="s">
        <v>17246</v>
      </c>
      <c r="G9123" s="17"/>
      <c r="H9123" s="17" t="s">
        <v>20919</v>
      </c>
      <c r="I9123" s="17"/>
      <c r="J9123" s="17" t="s">
        <v>21313</v>
      </c>
      <c r="K9123" s="17"/>
      <c r="L9123" s="17" t="s">
        <v>21326</v>
      </c>
      <c r="M9123" s="17"/>
      <c r="N9123" s="17" t="s">
        <v>21327</v>
      </c>
      <c r="O9123" s="17"/>
      <c r="P9123" s="17" t="s">
        <v>21444</v>
      </c>
      <c r="Q9123" s="17"/>
      <c r="R9123" s="25" t="str">
        <f>HYPERLINK("https://ictv.global/taxonomy/taxondetails?taxnode_id=202316191","Lobdovirus lutivicinum")</f>
        <v>Lobdovirus lutivicinum</v>
      </c>
      <c r="S9123" s="18" t="s">
        <v>30</v>
      </c>
      <c r="T9123" s="18" t="s">
        <v>42839</v>
      </c>
      <c r="U9123" s="18"/>
      <c r="V9123" s="18"/>
      <c r="W9123" s="18" t="s">
        <v>42840</v>
      </c>
      <c r="X9123" s="18" t="s">
        <v>35</v>
      </c>
      <c r="Y9123" s="18" t="s">
        <v>17171</v>
      </c>
      <c r="Z9123" s="18" t="s">
        <v>24637</v>
      </c>
      <c r="AA9123" s="21" t="str">
        <f>HYPERLINK("https://www.ncbi.nlm.nih.gov/nuccore/CASDWV010003421","NCBI Nucleotide")</f>
        <v>NCBI Nucleotide</v>
      </c>
    </row>
    <row r="9124" spans="1:27" x14ac:dyDescent="0.35">
      <c r="A9124">
        <v>1027193</v>
      </c>
      <c r="B9124">
        <v>8449</v>
      </c>
      <c r="C9124">
        <v>1</v>
      </c>
      <c r="D9124" s="17" t="s">
        <v>17166</v>
      </c>
      <c r="E9124" s="17"/>
      <c r="F9124" s="17" t="s">
        <v>17246</v>
      </c>
      <c r="G9124" s="17"/>
      <c r="H9124" s="17" t="s">
        <v>20919</v>
      </c>
      <c r="I9124" s="17"/>
      <c r="J9124" s="17" t="s">
        <v>21313</v>
      </c>
      <c r="K9124" s="17"/>
      <c r="L9124" s="17" t="s">
        <v>21326</v>
      </c>
      <c r="M9124" s="17"/>
      <c r="N9124" s="17" t="s">
        <v>21327</v>
      </c>
      <c r="O9124" s="17"/>
      <c r="P9124" s="17" t="s">
        <v>21444</v>
      </c>
      <c r="Q9124" s="17"/>
      <c r="R9124" s="25" t="str">
        <f>HYPERLINK("https://ictv.global/taxonomy/taxondetails?taxnode_id=202316192","Lobdovirus neoarvadaptatum")</f>
        <v>Lobdovirus neoarvadaptatum</v>
      </c>
      <c r="S9124" s="18" t="s">
        <v>30</v>
      </c>
      <c r="T9124" s="18" t="s">
        <v>42841</v>
      </c>
      <c r="U9124" s="18"/>
      <c r="V9124" s="18"/>
      <c r="W9124" s="18" t="s">
        <v>42842</v>
      </c>
      <c r="X9124" s="18" t="s">
        <v>35</v>
      </c>
      <c r="Y9124" s="18" t="s">
        <v>17171</v>
      </c>
      <c r="Z9124" s="18" t="s">
        <v>24637</v>
      </c>
      <c r="AA9124" s="21" t="str">
        <f>HYPERLINK("https://www.ncbi.nlm.nih.gov/nuccore/CASDWV010000871","NCBI Nucleotide")</f>
        <v>NCBI Nucleotide</v>
      </c>
    </row>
    <row r="9125" spans="1:27" x14ac:dyDescent="0.35">
      <c r="A9125">
        <v>1027194</v>
      </c>
      <c r="B9125">
        <v>8450</v>
      </c>
      <c r="C9125">
        <v>1</v>
      </c>
      <c r="D9125" s="17" t="s">
        <v>17166</v>
      </c>
      <c r="E9125" s="17"/>
      <c r="F9125" s="17" t="s">
        <v>17246</v>
      </c>
      <c r="G9125" s="17"/>
      <c r="H9125" s="17" t="s">
        <v>20919</v>
      </c>
      <c r="I9125" s="17"/>
      <c r="J9125" s="17" t="s">
        <v>21313</v>
      </c>
      <c r="K9125" s="17"/>
      <c r="L9125" s="17" t="s">
        <v>21326</v>
      </c>
      <c r="M9125" s="17"/>
      <c r="N9125" s="17" t="s">
        <v>21327</v>
      </c>
      <c r="O9125" s="17"/>
      <c r="P9125" s="17" t="s">
        <v>21444</v>
      </c>
      <c r="Q9125" s="17"/>
      <c r="R9125" s="25" t="str">
        <f>HYPERLINK("https://ictv.global/taxonomy/taxondetails?taxnode_id=202316193","Lobdovirus neochorovicinum")</f>
        <v>Lobdovirus neochorovicinum</v>
      </c>
      <c r="S9125" s="18" t="s">
        <v>30</v>
      </c>
      <c r="T9125" s="18" t="s">
        <v>42843</v>
      </c>
      <c r="U9125" s="18"/>
      <c r="V9125" s="18"/>
      <c r="W9125" s="18" t="s">
        <v>42844</v>
      </c>
      <c r="X9125" s="18" t="s">
        <v>35</v>
      </c>
      <c r="Y9125" s="18" t="s">
        <v>17171</v>
      </c>
      <c r="Z9125" s="18" t="s">
        <v>24637</v>
      </c>
      <c r="AA9125" s="21" t="str">
        <f>HYPERLINK("https://www.ncbi.nlm.nih.gov/nuccore/CASDWV010001615","NCBI Nucleotide")</f>
        <v>NCBI Nucleotide</v>
      </c>
    </row>
    <row r="9126" spans="1:27" x14ac:dyDescent="0.35">
      <c r="A9126">
        <v>1027195</v>
      </c>
      <c r="B9126">
        <v>8451</v>
      </c>
      <c r="C9126">
        <v>1</v>
      </c>
      <c r="D9126" s="17" t="s">
        <v>17166</v>
      </c>
      <c r="E9126" s="17"/>
      <c r="F9126" s="17" t="s">
        <v>17246</v>
      </c>
      <c r="G9126" s="17"/>
      <c r="H9126" s="17" t="s">
        <v>20919</v>
      </c>
      <c r="I9126" s="17"/>
      <c r="J9126" s="17" t="s">
        <v>21313</v>
      </c>
      <c r="K9126" s="17"/>
      <c r="L9126" s="17" t="s">
        <v>21326</v>
      </c>
      <c r="M9126" s="17"/>
      <c r="N9126" s="17" t="s">
        <v>21327</v>
      </c>
      <c r="O9126" s="17"/>
      <c r="P9126" s="17" t="s">
        <v>21444</v>
      </c>
      <c r="Q9126" s="17"/>
      <c r="R9126" s="25" t="str">
        <f>HYPERLINK("https://ictv.global/taxonomy/taxondetails?taxnode_id=202316194","Lobdovirus pedovivens")</f>
        <v>Lobdovirus pedovivens</v>
      </c>
      <c r="S9126" s="18" t="s">
        <v>30</v>
      </c>
      <c r="T9126" s="18" t="s">
        <v>42845</v>
      </c>
      <c r="U9126" s="18"/>
      <c r="V9126" s="18"/>
      <c r="W9126" s="18" t="s">
        <v>42846</v>
      </c>
      <c r="X9126" s="18" t="s">
        <v>35</v>
      </c>
      <c r="Y9126" s="18" t="s">
        <v>17171</v>
      </c>
      <c r="Z9126" s="18" t="s">
        <v>24637</v>
      </c>
      <c r="AA9126" s="21" t="str">
        <f>HYPERLINK("https://www.ncbi.nlm.nih.gov/nuccore/CASDWV010002328","NCBI Nucleotide")</f>
        <v>NCBI Nucleotide</v>
      </c>
    </row>
    <row r="9127" spans="1:27" x14ac:dyDescent="0.35">
      <c r="A9127">
        <v>1027196</v>
      </c>
      <c r="B9127">
        <v>8452</v>
      </c>
      <c r="C9127">
        <v>1</v>
      </c>
      <c r="D9127" s="17" t="s">
        <v>17166</v>
      </c>
      <c r="E9127" s="17"/>
      <c r="F9127" s="17" t="s">
        <v>17246</v>
      </c>
      <c r="G9127" s="17"/>
      <c r="H9127" s="17" t="s">
        <v>20919</v>
      </c>
      <c r="I9127" s="17"/>
      <c r="J9127" s="17" t="s">
        <v>21313</v>
      </c>
      <c r="K9127" s="17"/>
      <c r="L9127" s="17" t="s">
        <v>21326</v>
      </c>
      <c r="M9127" s="17"/>
      <c r="N9127" s="17" t="s">
        <v>21327</v>
      </c>
      <c r="O9127" s="17"/>
      <c r="P9127" s="17" t="s">
        <v>21444</v>
      </c>
      <c r="Q9127" s="17"/>
      <c r="R9127" s="25" t="str">
        <f>HYPERLINK("https://ictv.global/taxonomy/taxondetails?taxnode_id=202316195","Lobdovirus peladaptatum")</f>
        <v>Lobdovirus peladaptatum</v>
      </c>
      <c r="S9127" s="18" t="s">
        <v>30</v>
      </c>
      <c r="T9127" s="18" t="s">
        <v>42847</v>
      </c>
      <c r="U9127" s="18"/>
      <c r="V9127" s="18"/>
      <c r="W9127" s="18" t="s">
        <v>42848</v>
      </c>
      <c r="X9127" s="18" t="s">
        <v>35</v>
      </c>
      <c r="Y9127" s="18" t="s">
        <v>17171</v>
      </c>
      <c r="Z9127" s="18" t="s">
        <v>24637</v>
      </c>
      <c r="AA9127" s="21" t="str">
        <f>HYPERLINK("https://www.ncbi.nlm.nih.gov/nuccore/CASDWV010003924","NCBI Nucleotide")</f>
        <v>NCBI Nucleotide</v>
      </c>
    </row>
    <row r="9128" spans="1:27" x14ac:dyDescent="0.35">
      <c r="A9128">
        <v>1009403</v>
      </c>
      <c r="B9128">
        <v>8453</v>
      </c>
      <c r="C9128">
        <v>1</v>
      </c>
      <c r="D9128" s="17" t="s">
        <v>17166</v>
      </c>
      <c r="E9128" s="17"/>
      <c r="F9128" s="17" t="s">
        <v>17246</v>
      </c>
      <c r="G9128" s="17"/>
      <c r="H9128" s="17" t="s">
        <v>20919</v>
      </c>
      <c r="I9128" s="17"/>
      <c r="J9128" s="17" t="s">
        <v>21313</v>
      </c>
      <c r="K9128" s="17"/>
      <c r="L9128" s="17" t="s">
        <v>21326</v>
      </c>
      <c r="M9128" s="17"/>
      <c r="N9128" s="17" t="s">
        <v>21327</v>
      </c>
      <c r="O9128" s="17"/>
      <c r="P9128" s="17" t="s">
        <v>21455</v>
      </c>
      <c r="Q9128" s="17"/>
      <c r="R9128" s="25" t="str">
        <f>HYPERLINK("https://ictv.global/taxonomy/taxondetails?taxnode_id=202310776","Madisduvirus caenivivens")</f>
        <v>Madisduvirus caenivivens</v>
      </c>
      <c r="S9128" s="18" t="s">
        <v>30</v>
      </c>
      <c r="T9128" s="18" t="s">
        <v>21456</v>
      </c>
      <c r="U9128" s="18"/>
      <c r="V9128" s="18"/>
      <c r="W9128" s="18" t="s">
        <v>21457</v>
      </c>
      <c r="X9128" s="18" t="s">
        <v>35</v>
      </c>
      <c r="Y9128" s="18" t="s">
        <v>17171</v>
      </c>
      <c r="Z9128" s="18" t="s">
        <v>697</v>
      </c>
      <c r="AA9128" s="21" t="str">
        <f>HYPERLINK("https://www.ncbi.nlm.nih.gov/nuccore/BK013711","NCBI Nucleotide")</f>
        <v>NCBI Nucleotide</v>
      </c>
    </row>
    <row r="9129" spans="1:27" x14ac:dyDescent="0.35">
      <c r="A9129">
        <v>1027342</v>
      </c>
      <c r="B9129">
        <v>8454</v>
      </c>
      <c r="C9129">
        <v>1</v>
      </c>
      <c r="D9129" s="17" t="s">
        <v>17166</v>
      </c>
      <c r="E9129" s="17"/>
      <c r="F9129" s="17" t="s">
        <v>17246</v>
      </c>
      <c r="G9129" s="17"/>
      <c r="H9129" s="17" t="s">
        <v>20919</v>
      </c>
      <c r="I9129" s="17"/>
      <c r="J9129" s="17" t="s">
        <v>21313</v>
      </c>
      <c r="K9129" s="17"/>
      <c r="L9129" s="17" t="s">
        <v>21326</v>
      </c>
      <c r="M9129" s="17"/>
      <c r="N9129" s="17" t="s">
        <v>21327</v>
      </c>
      <c r="O9129" s="17"/>
      <c r="P9129" s="17" t="s">
        <v>21458</v>
      </c>
      <c r="Q9129" s="17"/>
      <c r="R9129" s="25" t="str">
        <f>HYPERLINK("https://ictv.global/taxonomy/taxondetails?taxnode_id=202316196","Mitdiwavirus allofaecicola")</f>
        <v>Mitdiwavirus allofaecicola</v>
      </c>
      <c r="S9129" s="18" t="s">
        <v>30</v>
      </c>
      <c r="T9129" s="18" t="s">
        <v>42849</v>
      </c>
      <c r="U9129" s="18"/>
      <c r="V9129" s="18" t="s">
        <v>42849</v>
      </c>
      <c r="W9129" s="18" t="s">
        <v>42850</v>
      </c>
      <c r="X9129" s="18" t="s">
        <v>35</v>
      </c>
      <c r="Y9129" s="18" t="s">
        <v>17171</v>
      </c>
      <c r="Z9129" s="18" t="s">
        <v>24637</v>
      </c>
      <c r="AA9129" s="21" t="str">
        <f>HYPERLINK("https://www.ncbi.nlm.nih.gov/nuccore/MZ679774","NCBI Nucleotide")</f>
        <v>NCBI Nucleotide</v>
      </c>
    </row>
    <row r="9130" spans="1:27" x14ac:dyDescent="0.35">
      <c r="A9130">
        <v>1027343</v>
      </c>
      <c r="B9130">
        <v>8455</v>
      </c>
      <c r="C9130">
        <v>1</v>
      </c>
      <c r="D9130" s="17" t="s">
        <v>17166</v>
      </c>
      <c r="E9130" s="17"/>
      <c r="F9130" s="17" t="s">
        <v>17246</v>
      </c>
      <c r="G9130" s="17"/>
      <c r="H9130" s="17" t="s">
        <v>20919</v>
      </c>
      <c r="I9130" s="17"/>
      <c r="J9130" s="17" t="s">
        <v>21313</v>
      </c>
      <c r="K9130" s="17"/>
      <c r="L9130" s="17" t="s">
        <v>21326</v>
      </c>
      <c r="M9130" s="17"/>
      <c r="N9130" s="17" t="s">
        <v>21327</v>
      </c>
      <c r="O9130" s="17"/>
      <c r="P9130" s="17" t="s">
        <v>21458</v>
      </c>
      <c r="Q9130" s="17"/>
      <c r="R9130" s="25" t="str">
        <f>HYPERLINK("https://ictv.global/taxonomy/taxondetails?taxnode_id=202316197","Mitdiwavirus allofaecihabitans")</f>
        <v>Mitdiwavirus allofaecihabitans</v>
      </c>
      <c r="S9130" s="18" t="s">
        <v>30</v>
      </c>
      <c r="T9130" s="18" t="s">
        <v>42851</v>
      </c>
      <c r="U9130" s="18"/>
      <c r="V9130" s="18" t="s">
        <v>42851</v>
      </c>
      <c r="W9130" s="18" t="s">
        <v>42852</v>
      </c>
      <c r="X9130" s="18" t="s">
        <v>35</v>
      </c>
      <c r="Y9130" s="18" t="s">
        <v>17171</v>
      </c>
      <c r="Z9130" s="18" t="s">
        <v>24637</v>
      </c>
      <c r="AA9130" s="21" t="str">
        <f>HYPERLINK("https://www.ncbi.nlm.nih.gov/nuccore/MZ679771","NCBI Nucleotide")</f>
        <v>NCBI Nucleotide</v>
      </c>
    </row>
    <row r="9131" spans="1:27" x14ac:dyDescent="0.35">
      <c r="A9131">
        <v>1009404</v>
      </c>
      <c r="B9131">
        <v>8456</v>
      </c>
      <c r="C9131">
        <v>1</v>
      </c>
      <c r="D9131" s="17" t="s">
        <v>17166</v>
      </c>
      <c r="E9131" s="17"/>
      <c r="F9131" s="17" t="s">
        <v>17246</v>
      </c>
      <c r="G9131" s="17"/>
      <c r="H9131" s="17" t="s">
        <v>20919</v>
      </c>
      <c r="I9131" s="17"/>
      <c r="J9131" s="17" t="s">
        <v>21313</v>
      </c>
      <c r="K9131" s="17"/>
      <c r="L9131" s="17" t="s">
        <v>21326</v>
      </c>
      <c r="M9131" s="17"/>
      <c r="N9131" s="17" t="s">
        <v>21327</v>
      </c>
      <c r="O9131" s="17"/>
      <c r="P9131" s="17" t="s">
        <v>21458</v>
      </c>
      <c r="Q9131" s="17"/>
      <c r="R9131" s="25" t="str">
        <f>HYPERLINK("https://ictv.global/taxonomy/taxondetails?taxnode_id=202310778","Mitdiwavirus asiocola")</f>
        <v>Mitdiwavirus asiocola</v>
      </c>
      <c r="S9131" s="18" t="s">
        <v>30</v>
      </c>
      <c r="T9131" s="18" t="s">
        <v>21459</v>
      </c>
      <c r="U9131" s="18"/>
      <c r="V9131" s="18"/>
      <c r="W9131" s="18" t="s">
        <v>21460</v>
      </c>
      <c r="X9131" s="18" t="s">
        <v>35</v>
      </c>
      <c r="Y9131" s="18" t="s">
        <v>17171</v>
      </c>
      <c r="Z9131" s="18" t="s">
        <v>697</v>
      </c>
      <c r="AA9131" s="21" t="str">
        <f>HYPERLINK("https://www.ncbi.nlm.nih.gov/nuccore/BK014171","NCBI Nucleotide")</f>
        <v>NCBI Nucleotide</v>
      </c>
    </row>
    <row r="9132" spans="1:27" x14ac:dyDescent="0.35">
      <c r="A9132">
        <v>1009407</v>
      </c>
      <c r="B9132">
        <v>8457</v>
      </c>
      <c r="C9132">
        <v>1</v>
      </c>
      <c r="D9132" s="17" t="s">
        <v>17166</v>
      </c>
      <c r="E9132" s="17"/>
      <c r="F9132" s="17" t="s">
        <v>17246</v>
      </c>
      <c r="G9132" s="17"/>
      <c r="H9132" s="17" t="s">
        <v>20919</v>
      </c>
      <c r="I9132" s="17"/>
      <c r="J9132" s="17" t="s">
        <v>21313</v>
      </c>
      <c r="K9132" s="17"/>
      <c r="L9132" s="17" t="s">
        <v>21326</v>
      </c>
      <c r="M9132" s="17"/>
      <c r="N9132" s="17" t="s">
        <v>21327</v>
      </c>
      <c r="O9132" s="17"/>
      <c r="P9132" s="17" t="s">
        <v>21458</v>
      </c>
      <c r="Q9132" s="17"/>
      <c r="R9132" s="25" t="str">
        <f>HYPERLINK("https://ictv.global/taxonomy/taxondetails?taxnode_id=202310784","Mitdiwavirus caenicola")</f>
        <v>Mitdiwavirus caenicola</v>
      </c>
      <c r="S9132" s="18" t="s">
        <v>30</v>
      </c>
      <c r="T9132" s="18" t="s">
        <v>21467</v>
      </c>
      <c r="U9132" s="18"/>
      <c r="V9132" s="18"/>
      <c r="W9132" s="18" t="s">
        <v>21468</v>
      </c>
      <c r="X9132" s="18" t="s">
        <v>35</v>
      </c>
      <c r="Y9132" s="18" t="s">
        <v>17171</v>
      </c>
      <c r="Z9132" s="18" t="s">
        <v>697</v>
      </c>
      <c r="AA9132" s="21" t="str">
        <f>HYPERLINK("https://www.ncbi.nlm.nih.gov/nuccore/BK013726","NCBI Nucleotide")</f>
        <v>NCBI Nucleotide</v>
      </c>
    </row>
    <row r="9133" spans="1:27" x14ac:dyDescent="0.35">
      <c r="A9133">
        <v>1027344</v>
      </c>
      <c r="B9133">
        <v>8458</v>
      </c>
      <c r="C9133">
        <v>1</v>
      </c>
      <c r="D9133" s="17" t="s">
        <v>17166</v>
      </c>
      <c r="E9133" s="17"/>
      <c r="F9133" s="17" t="s">
        <v>17246</v>
      </c>
      <c r="G9133" s="17"/>
      <c r="H9133" s="17" t="s">
        <v>20919</v>
      </c>
      <c r="I9133" s="17"/>
      <c r="J9133" s="17" t="s">
        <v>21313</v>
      </c>
      <c r="K9133" s="17"/>
      <c r="L9133" s="17" t="s">
        <v>21326</v>
      </c>
      <c r="M9133" s="17"/>
      <c r="N9133" s="17" t="s">
        <v>21327</v>
      </c>
      <c r="O9133" s="17"/>
      <c r="P9133" s="17" t="s">
        <v>21458</v>
      </c>
      <c r="Q9133" s="17"/>
      <c r="R9133" s="25" t="str">
        <f>HYPERLINK("https://ictv.global/taxonomy/taxondetails?taxnode_id=202316198","Mitdiwavirus faecenecus")</f>
        <v>Mitdiwavirus faecenecus</v>
      </c>
      <c r="S9133" s="18" t="s">
        <v>30</v>
      </c>
      <c r="T9133" s="18" t="s">
        <v>42853</v>
      </c>
      <c r="U9133" s="18"/>
      <c r="V9133" s="18" t="s">
        <v>42853</v>
      </c>
      <c r="W9133" s="18" t="s">
        <v>42854</v>
      </c>
      <c r="X9133" s="18" t="s">
        <v>35</v>
      </c>
      <c r="Y9133" s="18" t="s">
        <v>17171</v>
      </c>
      <c r="Z9133" s="18" t="s">
        <v>24637</v>
      </c>
      <c r="AA9133" s="21" t="str">
        <f>HYPERLINK("https://www.ncbi.nlm.nih.gov/nuccore/MZ679792","NCBI Nucleotide")</f>
        <v>NCBI Nucleotide</v>
      </c>
    </row>
    <row r="9134" spans="1:27" x14ac:dyDescent="0.35">
      <c r="A9134">
        <v>1027345</v>
      </c>
      <c r="B9134">
        <v>8459</v>
      </c>
      <c r="C9134">
        <v>1</v>
      </c>
      <c r="D9134" s="17" t="s">
        <v>17166</v>
      </c>
      <c r="E9134" s="17"/>
      <c r="F9134" s="17" t="s">
        <v>17246</v>
      </c>
      <c r="G9134" s="17"/>
      <c r="H9134" s="17" t="s">
        <v>20919</v>
      </c>
      <c r="I9134" s="17"/>
      <c r="J9134" s="17" t="s">
        <v>21313</v>
      </c>
      <c r="K9134" s="17"/>
      <c r="L9134" s="17" t="s">
        <v>21326</v>
      </c>
      <c r="M9134" s="17"/>
      <c r="N9134" s="17" t="s">
        <v>21327</v>
      </c>
      <c r="O9134" s="17"/>
      <c r="P9134" s="17" t="s">
        <v>21458</v>
      </c>
      <c r="Q9134" s="17"/>
      <c r="R9134" s="25" t="str">
        <f>HYPERLINK("https://ictv.global/taxonomy/taxondetails?taxnode_id=202316199","Mitdiwavirus faecihabitans")</f>
        <v>Mitdiwavirus faecihabitans</v>
      </c>
      <c r="S9134" s="18" t="s">
        <v>30</v>
      </c>
      <c r="T9134" s="18" t="s">
        <v>42855</v>
      </c>
      <c r="U9134" s="18"/>
      <c r="V9134" s="18" t="s">
        <v>42855</v>
      </c>
      <c r="W9134" s="18" t="s">
        <v>42856</v>
      </c>
      <c r="X9134" s="18" t="s">
        <v>35</v>
      </c>
      <c r="Y9134" s="18" t="s">
        <v>17171</v>
      </c>
      <c r="Z9134" s="18" t="s">
        <v>24637</v>
      </c>
      <c r="AA9134" s="21" t="str">
        <f>HYPERLINK("https://www.ncbi.nlm.nih.gov/nuccore/MZ679673","NCBI Nucleotide")</f>
        <v>NCBI Nucleotide</v>
      </c>
    </row>
    <row r="9135" spans="1:27" x14ac:dyDescent="0.35">
      <c r="A9135">
        <v>1027346</v>
      </c>
      <c r="B9135">
        <v>8460</v>
      </c>
      <c r="C9135">
        <v>1</v>
      </c>
      <c r="D9135" s="17" t="s">
        <v>17166</v>
      </c>
      <c r="E9135" s="17"/>
      <c r="F9135" s="17" t="s">
        <v>17246</v>
      </c>
      <c r="G9135" s="17"/>
      <c r="H9135" s="17" t="s">
        <v>20919</v>
      </c>
      <c r="I9135" s="17"/>
      <c r="J9135" s="17" t="s">
        <v>21313</v>
      </c>
      <c r="K9135" s="17"/>
      <c r="L9135" s="17" t="s">
        <v>21326</v>
      </c>
      <c r="M9135" s="17"/>
      <c r="N9135" s="17" t="s">
        <v>21327</v>
      </c>
      <c r="O9135" s="17"/>
      <c r="P9135" s="17" t="s">
        <v>21458</v>
      </c>
      <c r="Q9135" s="17"/>
      <c r="R9135" s="25" t="str">
        <f>HYPERLINK("https://ictv.global/taxonomy/taxondetails?taxnode_id=202316200","Mitdiwavirus montiscola")</f>
        <v>Mitdiwavirus montiscola</v>
      </c>
      <c r="S9135" s="18" t="s">
        <v>30</v>
      </c>
      <c r="T9135" s="18" t="s">
        <v>42857</v>
      </c>
      <c r="U9135" s="18"/>
      <c r="V9135" s="18" t="s">
        <v>42857</v>
      </c>
      <c r="W9135" s="18" t="s">
        <v>42858</v>
      </c>
      <c r="X9135" s="18" t="s">
        <v>35</v>
      </c>
      <c r="Y9135" s="18" t="s">
        <v>17171</v>
      </c>
      <c r="Z9135" s="18" t="s">
        <v>24637</v>
      </c>
      <c r="AA9135" s="21" t="str">
        <f>HYPERLINK("https://www.ncbi.nlm.nih.gov/nuccore/MZ679712","NCBI Nucleotide")</f>
        <v>NCBI Nucleotide</v>
      </c>
    </row>
    <row r="9136" spans="1:27" x14ac:dyDescent="0.35">
      <c r="A9136">
        <v>1009405</v>
      </c>
      <c r="B9136">
        <v>8461</v>
      </c>
      <c r="C9136">
        <v>1</v>
      </c>
      <c r="D9136" s="17" t="s">
        <v>17166</v>
      </c>
      <c r="E9136" s="17"/>
      <c r="F9136" s="17" t="s">
        <v>17246</v>
      </c>
      <c r="G9136" s="17"/>
      <c r="H9136" s="17" t="s">
        <v>20919</v>
      </c>
      <c r="I9136" s="17"/>
      <c r="J9136" s="17" t="s">
        <v>21313</v>
      </c>
      <c r="K9136" s="17"/>
      <c r="L9136" s="17" t="s">
        <v>21326</v>
      </c>
      <c r="M9136" s="17"/>
      <c r="N9136" s="17" t="s">
        <v>21327</v>
      </c>
      <c r="O9136" s="17"/>
      <c r="P9136" s="17" t="s">
        <v>21461</v>
      </c>
      <c r="Q9136" s="17"/>
      <c r="R9136" s="25" t="str">
        <f>HYPERLINK("https://ictv.global/taxonomy/taxondetails?taxnode_id=202310780","Moloevirus chthonenecus")</f>
        <v>Moloevirus chthonenecus</v>
      </c>
      <c r="S9136" s="18" t="s">
        <v>30</v>
      </c>
      <c r="T9136" s="18" t="s">
        <v>21462</v>
      </c>
      <c r="U9136" s="18"/>
      <c r="V9136" s="18"/>
      <c r="W9136" s="18" t="s">
        <v>21463</v>
      </c>
      <c r="X9136" s="18" t="s">
        <v>35</v>
      </c>
      <c r="Y9136" s="18" t="s">
        <v>17171</v>
      </c>
      <c r="Z9136" s="18" t="s">
        <v>697</v>
      </c>
      <c r="AA9136" s="21" t="str">
        <f>HYPERLINK("https://www.ncbi.nlm.nih.gov/nuccore/BK013880","NCBI Nucleotide")</f>
        <v>NCBI Nucleotide</v>
      </c>
    </row>
    <row r="9137" spans="1:27" x14ac:dyDescent="0.35">
      <c r="A9137">
        <v>1009406</v>
      </c>
      <c r="B9137">
        <v>8462</v>
      </c>
      <c r="C9137">
        <v>1</v>
      </c>
      <c r="D9137" s="17" t="s">
        <v>17166</v>
      </c>
      <c r="E9137" s="17"/>
      <c r="F9137" s="17" t="s">
        <v>17246</v>
      </c>
      <c r="G9137" s="17"/>
      <c r="H9137" s="17" t="s">
        <v>20919</v>
      </c>
      <c r="I9137" s="17"/>
      <c r="J9137" s="17" t="s">
        <v>21313</v>
      </c>
      <c r="K9137" s="17"/>
      <c r="L9137" s="17" t="s">
        <v>21326</v>
      </c>
      <c r="M9137" s="17"/>
      <c r="N9137" s="17" t="s">
        <v>21327</v>
      </c>
      <c r="O9137" s="17"/>
      <c r="P9137" s="17" t="s">
        <v>21464</v>
      </c>
      <c r="Q9137" s="17"/>
      <c r="R9137" s="25" t="str">
        <f>HYPERLINK("https://ictv.global/taxonomy/taxondetails?taxnode_id=202310782","Monekavirus asiovivens")</f>
        <v>Monekavirus asiovivens</v>
      </c>
      <c r="S9137" s="18" t="s">
        <v>30</v>
      </c>
      <c r="T9137" s="18" t="s">
        <v>21465</v>
      </c>
      <c r="U9137" s="18"/>
      <c r="V9137" s="18"/>
      <c r="W9137" s="18" t="s">
        <v>21466</v>
      </c>
      <c r="X9137" s="18" t="s">
        <v>35</v>
      </c>
      <c r="Y9137" s="18" t="s">
        <v>17171</v>
      </c>
      <c r="Z9137" s="18" t="s">
        <v>697</v>
      </c>
      <c r="AA9137" s="21" t="str">
        <f>HYPERLINK("https://www.ncbi.nlm.nih.gov/nuccore/BK014072","NCBI Nucleotide")</f>
        <v>NCBI Nucleotide</v>
      </c>
    </row>
    <row r="9138" spans="1:27" x14ac:dyDescent="0.35">
      <c r="A9138">
        <v>1009408</v>
      </c>
      <c r="B9138">
        <v>8463</v>
      </c>
      <c r="C9138">
        <v>1</v>
      </c>
      <c r="D9138" s="17" t="s">
        <v>17166</v>
      </c>
      <c r="E9138" s="17"/>
      <c r="F9138" s="17" t="s">
        <v>17246</v>
      </c>
      <c r="G9138" s="17"/>
      <c r="H9138" s="17" t="s">
        <v>20919</v>
      </c>
      <c r="I9138" s="17"/>
      <c r="J9138" s="17" t="s">
        <v>21313</v>
      </c>
      <c r="K9138" s="17"/>
      <c r="L9138" s="17" t="s">
        <v>21326</v>
      </c>
      <c r="M9138" s="17"/>
      <c r="N9138" s="17" t="s">
        <v>21327</v>
      </c>
      <c r="O9138" s="17"/>
      <c r="P9138" s="17" t="s">
        <v>21469</v>
      </c>
      <c r="Q9138" s="17"/>
      <c r="R9138" s="25" t="str">
        <f>HYPERLINK("https://ictv.global/taxonomy/taxondetails?taxnode_id=202310786","Neratovirus caenihabitans")</f>
        <v>Neratovirus caenihabitans</v>
      </c>
      <c r="S9138" s="18" t="s">
        <v>30</v>
      </c>
      <c r="T9138" s="18" t="s">
        <v>21470</v>
      </c>
      <c r="U9138" s="18"/>
      <c r="V9138" s="18"/>
      <c r="W9138" s="18" t="s">
        <v>21471</v>
      </c>
      <c r="X9138" s="18" t="s">
        <v>35</v>
      </c>
      <c r="Y9138" s="18" t="s">
        <v>17171</v>
      </c>
      <c r="Z9138" s="18" t="s">
        <v>697</v>
      </c>
      <c r="AA9138" s="21" t="str">
        <f>HYPERLINK("https://www.ncbi.nlm.nih.gov/nuccore/BK013765","NCBI Nucleotide")</f>
        <v>NCBI Nucleotide</v>
      </c>
    </row>
    <row r="9139" spans="1:27" x14ac:dyDescent="0.35">
      <c r="A9139">
        <v>1009409</v>
      </c>
      <c r="B9139">
        <v>8464</v>
      </c>
      <c r="C9139">
        <v>1</v>
      </c>
      <c r="D9139" s="17" t="s">
        <v>17166</v>
      </c>
      <c r="E9139" s="17"/>
      <c r="F9139" s="17" t="s">
        <v>17246</v>
      </c>
      <c r="G9139" s="17"/>
      <c r="H9139" s="17" t="s">
        <v>20919</v>
      </c>
      <c r="I9139" s="17"/>
      <c r="J9139" s="17" t="s">
        <v>21313</v>
      </c>
      <c r="K9139" s="17"/>
      <c r="L9139" s="17" t="s">
        <v>21326</v>
      </c>
      <c r="M9139" s="17"/>
      <c r="N9139" s="17" t="s">
        <v>21327</v>
      </c>
      <c r="O9139" s="17"/>
      <c r="P9139" s="17" t="s">
        <v>21472</v>
      </c>
      <c r="Q9139" s="17"/>
      <c r="R9139" s="25" t="str">
        <f>HYPERLINK("https://ictv.global/taxonomy/taxondetails?taxnode_id=202310788","Niginuvirus limadaptatum")</f>
        <v>Niginuvirus limadaptatum</v>
      </c>
      <c r="S9139" s="18" t="s">
        <v>30</v>
      </c>
      <c r="T9139" s="18" t="s">
        <v>21473</v>
      </c>
      <c r="U9139" s="18"/>
      <c r="V9139" s="18"/>
      <c r="W9139" s="18" t="s">
        <v>21474</v>
      </c>
      <c r="X9139" s="18" t="s">
        <v>35</v>
      </c>
      <c r="Y9139" s="18" t="s">
        <v>17171</v>
      </c>
      <c r="Z9139" s="18" t="s">
        <v>697</v>
      </c>
      <c r="AA9139" s="21" t="str">
        <f>HYPERLINK("https://www.ncbi.nlm.nih.gov/nuccore/BK014212","NCBI Nucleotide")</f>
        <v>NCBI Nucleotide</v>
      </c>
    </row>
    <row r="9140" spans="1:27" x14ac:dyDescent="0.35">
      <c r="A9140">
        <v>1009410</v>
      </c>
      <c r="B9140">
        <v>8465</v>
      </c>
      <c r="C9140">
        <v>1</v>
      </c>
      <c r="D9140" s="17" t="s">
        <v>17166</v>
      </c>
      <c r="E9140" s="17"/>
      <c r="F9140" s="17" t="s">
        <v>17246</v>
      </c>
      <c r="G9140" s="17"/>
      <c r="H9140" s="17" t="s">
        <v>20919</v>
      </c>
      <c r="I9140" s="17"/>
      <c r="J9140" s="17" t="s">
        <v>21313</v>
      </c>
      <c r="K9140" s="17"/>
      <c r="L9140" s="17" t="s">
        <v>21326</v>
      </c>
      <c r="M9140" s="17"/>
      <c r="N9140" s="17" t="s">
        <v>21327</v>
      </c>
      <c r="O9140" s="17"/>
      <c r="P9140" s="17" t="s">
        <v>21475</v>
      </c>
      <c r="Q9140" s="17"/>
      <c r="R9140" s="25" t="str">
        <f>HYPERLINK("https://ictv.global/taxonomy/taxondetails?taxnode_id=202310790","Pagohnivirus humenecus")</f>
        <v>Pagohnivirus humenecus</v>
      </c>
      <c r="S9140" s="18" t="s">
        <v>30</v>
      </c>
      <c r="T9140" s="18" t="s">
        <v>21476</v>
      </c>
      <c r="U9140" s="18"/>
      <c r="V9140" s="18"/>
      <c r="W9140" s="18" t="s">
        <v>21477</v>
      </c>
      <c r="X9140" s="18" t="s">
        <v>35</v>
      </c>
      <c r="Y9140" s="18" t="s">
        <v>17171</v>
      </c>
      <c r="Z9140" s="18" t="s">
        <v>697</v>
      </c>
      <c r="AA9140" s="21" t="str">
        <f>HYPERLINK("https://www.ncbi.nlm.nih.gov/nuccore/BK013975","NCBI Nucleotide")</f>
        <v>NCBI Nucleotide</v>
      </c>
    </row>
    <row r="9141" spans="1:27" x14ac:dyDescent="0.35">
      <c r="A9141">
        <v>1009411</v>
      </c>
      <c r="B9141">
        <v>8466</v>
      </c>
      <c r="C9141">
        <v>1</v>
      </c>
      <c r="D9141" s="17" t="s">
        <v>17166</v>
      </c>
      <c r="E9141" s="17"/>
      <c r="F9141" s="17" t="s">
        <v>17246</v>
      </c>
      <c r="G9141" s="17"/>
      <c r="H9141" s="17" t="s">
        <v>20919</v>
      </c>
      <c r="I9141" s="17"/>
      <c r="J9141" s="17" t="s">
        <v>21313</v>
      </c>
      <c r="K9141" s="17"/>
      <c r="L9141" s="17" t="s">
        <v>21326</v>
      </c>
      <c r="M9141" s="17"/>
      <c r="N9141" s="17" t="s">
        <v>21327</v>
      </c>
      <c r="O9141" s="17"/>
      <c r="P9141" s="17" t="s">
        <v>21478</v>
      </c>
      <c r="Q9141" s="17"/>
      <c r="R9141" s="25" t="str">
        <f>HYPERLINK("https://ictv.global/taxonomy/taxondetails?taxnode_id=202310792","Pihngevirus agrivivens")</f>
        <v>Pihngevirus agrivivens</v>
      </c>
      <c r="S9141" s="18" t="s">
        <v>30</v>
      </c>
      <c r="T9141" s="18" t="s">
        <v>21479</v>
      </c>
      <c r="U9141" s="18"/>
      <c r="V9141" s="18"/>
      <c r="W9141" s="18" t="s">
        <v>21480</v>
      </c>
      <c r="X9141" s="18" t="s">
        <v>35</v>
      </c>
      <c r="Y9141" s="18" t="s">
        <v>17171</v>
      </c>
      <c r="Z9141" s="18" t="s">
        <v>697</v>
      </c>
      <c r="AA9141" s="21" t="str">
        <f>HYPERLINK("https://www.ncbi.nlm.nih.gov/nuccore/BK013902","NCBI Nucleotide")</f>
        <v>NCBI Nucleotide</v>
      </c>
    </row>
    <row r="9142" spans="1:27" x14ac:dyDescent="0.35">
      <c r="A9142">
        <v>1026615</v>
      </c>
      <c r="B9142">
        <v>8467</v>
      </c>
      <c r="C9142">
        <v>1</v>
      </c>
      <c r="D9142" s="17" t="s">
        <v>17166</v>
      </c>
      <c r="E9142" s="17"/>
      <c r="F9142" s="17" t="s">
        <v>17246</v>
      </c>
      <c r="G9142" s="17"/>
      <c r="H9142" s="17" t="s">
        <v>20919</v>
      </c>
      <c r="I9142" s="17"/>
      <c r="J9142" s="17" t="s">
        <v>21313</v>
      </c>
      <c r="K9142" s="17"/>
      <c r="L9142" s="17" t="s">
        <v>21326</v>
      </c>
      <c r="M9142" s="17"/>
      <c r="N9142" s="17" t="s">
        <v>21327</v>
      </c>
      <c r="O9142" s="17"/>
      <c r="P9142" s="17" t="s">
        <v>21478</v>
      </c>
      <c r="Q9142" s="17"/>
      <c r="R9142" s="25" t="str">
        <f>HYPERLINK("https://ictv.global/taxonomy/taxondetails?taxnode_id=202316201","Pihngevirus asiovicinum")</f>
        <v>Pihngevirus asiovicinum</v>
      </c>
      <c r="S9142" s="18" t="s">
        <v>30</v>
      </c>
      <c r="T9142" s="18" t="s">
        <v>42859</v>
      </c>
      <c r="U9142" s="18"/>
      <c r="V9142" s="18"/>
      <c r="W9142" s="18" t="s">
        <v>42860</v>
      </c>
      <c r="X9142" s="18" t="s">
        <v>35</v>
      </c>
      <c r="Y9142" s="18" t="s">
        <v>17171</v>
      </c>
      <c r="Z9142" s="18" t="s">
        <v>24637</v>
      </c>
      <c r="AA9142" s="21" t="str">
        <f>HYPERLINK("https://www.ncbi.nlm.nih.gov/nuccore/CASDWV010003578","NCBI Nucleotide")</f>
        <v>NCBI Nucleotide</v>
      </c>
    </row>
    <row r="9143" spans="1:27" x14ac:dyDescent="0.35">
      <c r="A9143">
        <v>1009412</v>
      </c>
      <c r="B9143">
        <v>8468</v>
      </c>
      <c r="C9143">
        <v>1</v>
      </c>
      <c r="D9143" s="17" t="s">
        <v>17166</v>
      </c>
      <c r="E9143" s="17"/>
      <c r="F9143" s="17" t="s">
        <v>17246</v>
      </c>
      <c r="G9143" s="17"/>
      <c r="H9143" s="17" t="s">
        <v>20919</v>
      </c>
      <c r="I9143" s="17"/>
      <c r="J9143" s="17" t="s">
        <v>21313</v>
      </c>
      <c r="K9143" s="17"/>
      <c r="L9143" s="17" t="s">
        <v>21326</v>
      </c>
      <c r="M9143" s="17"/>
      <c r="N9143" s="17" t="s">
        <v>21327</v>
      </c>
      <c r="O9143" s="17"/>
      <c r="P9143" s="17" t="s">
        <v>21478</v>
      </c>
      <c r="Q9143" s="17"/>
      <c r="R9143" s="25" t="str">
        <f>HYPERLINK("https://ictv.global/taxonomy/taxondetails?taxnode_id=202310793","Pihngevirus choradaptatum")</f>
        <v>Pihngevirus choradaptatum</v>
      </c>
      <c r="S9143" s="18" t="s">
        <v>30</v>
      </c>
      <c r="T9143" s="18" t="s">
        <v>21481</v>
      </c>
      <c r="U9143" s="18"/>
      <c r="V9143" s="18"/>
      <c r="W9143" s="18" t="s">
        <v>21482</v>
      </c>
      <c r="X9143" s="18" t="s">
        <v>35</v>
      </c>
      <c r="Y9143" s="18" t="s">
        <v>17171</v>
      </c>
      <c r="Z9143" s="18" t="s">
        <v>697</v>
      </c>
      <c r="AA9143" s="21" t="str">
        <f>HYPERLINK("https://www.ncbi.nlm.nih.gov/nuccore/BK014039","NCBI Nucleotide")</f>
        <v>NCBI Nucleotide</v>
      </c>
    </row>
    <row r="9144" spans="1:27" x14ac:dyDescent="0.35">
      <c r="A9144">
        <v>1009413</v>
      </c>
      <c r="B9144">
        <v>8469</v>
      </c>
      <c r="C9144">
        <v>1</v>
      </c>
      <c r="D9144" s="17" t="s">
        <v>17166</v>
      </c>
      <c r="E9144" s="17"/>
      <c r="F9144" s="17" t="s">
        <v>17246</v>
      </c>
      <c r="G9144" s="17"/>
      <c r="H9144" s="17" t="s">
        <v>20919</v>
      </c>
      <c r="I9144" s="17"/>
      <c r="J9144" s="17" t="s">
        <v>21313</v>
      </c>
      <c r="K9144" s="17"/>
      <c r="L9144" s="17" t="s">
        <v>21326</v>
      </c>
      <c r="M9144" s="17"/>
      <c r="N9144" s="17" t="s">
        <v>21327</v>
      </c>
      <c r="O9144" s="17"/>
      <c r="P9144" s="17" t="s">
        <v>21478</v>
      </c>
      <c r="Q9144" s="17"/>
      <c r="R9144" s="25" t="str">
        <f>HYPERLINK("https://ictv.global/taxonomy/taxondetails?taxnode_id=202310794","Pihngevirus chorocola")</f>
        <v>Pihngevirus chorocola</v>
      </c>
      <c r="S9144" s="18" t="s">
        <v>30</v>
      </c>
      <c r="T9144" s="18" t="s">
        <v>21483</v>
      </c>
      <c r="U9144" s="18"/>
      <c r="V9144" s="18"/>
      <c r="W9144" s="18" t="s">
        <v>21484</v>
      </c>
      <c r="X9144" s="18" t="s">
        <v>35</v>
      </c>
      <c r="Y9144" s="18" t="s">
        <v>17171</v>
      </c>
      <c r="Z9144" s="18" t="s">
        <v>697</v>
      </c>
      <c r="AA9144" s="21" t="str">
        <f>HYPERLINK("https://www.ncbi.nlm.nih.gov/nuccore/BK013948","NCBI Nucleotide")</f>
        <v>NCBI Nucleotide</v>
      </c>
    </row>
    <row r="9145" spans="1:27" x14ac:dyDescent="0.35">
      <c r="A9145">
        <v>1026616</v>
      </c>
      <c r="B9145">
        <v>8470</v>
      </c>
      <c r="C9145">
        <v>1</v>
      </c>
      <c r="D9145" s="17" t="s">
        <v>17166</v>
      </c>
      <c r="E9145" s="17"/>
      <c r="F9145" s="17" t="s">
        <v>17246</v>
      </c>
      <c r="G9145" s="17"/>
      <c r="H9145" s="17" t="s">
        <v>20919</v>
      </c>
      <c r="I9145" s="17"/>
      <c r="J9145" s="17" t="s">
        <v>21313</v>
      </c>
      <c r="K9145" s="17"/>
      <c r="L9145" s="17" t="s">
        <v>21326</v>
      </c>
      <c r="M9145" s="17"/>
      <c r="N9145" s="17" t="s">
        <v>21327</v>
      </c>
      <c r="O9145" s="17"/>
      <c r="P9145" s="17" t="s">
        <v>21478</v>
      </c>
      <c r="Q9145" s="17"/>
      <c r="R9145" s="25" t="str">
        <f>HYPERLINK("https://ictv.global/taxonomy/taxondetails?taxnode_id=202316202","Pihngevirus faecenecus")</f>
        <v>Pihngevirus faecenecus</v>
      </c>
      <c r="S9145" s="18" t="s">
        <v>30</v>
      </c>
      <c r="T9145" s="18" t="s">
        <v>42861</v>
      </c>
      <c r="U9145" s="18"/>
      <c r="V9145" s="18" t="s">
        <v>42861</v>
      </c>
      <c r="W9145" s="18" t="s">
        <v>42862</v>
      </c>
      <c r="X9145" s="18" t="s">
        <v>35</v>
      </c>
      <c r="Y9145" s="18" t="s">
        <v>17171</v>
      </c>
      <c r="Z9145" s="18" t="s">
        <v>24637</v>
      </c>
      <c r="AA9145" s="21" t="str">
        <f>HYPERLINK("https://www.ncbi.nlm.nih.gov/nuccore/ON163867","NCBI Nucleotide")</f>
        <v>NCBI Nucleotide</v>
      </c>
    </row>
    <row r="9146" spans="1:27" x14ac:dyDescent="0.35">
      <c r="A9146">
        <v>1009434</v>
      </c>
      <c r="B9146">
        <v>8471</v>
      </c>
      <c r="C9146">
        <v>1</v>
      </c>
      <c r="D9146" s="17" t="s">
        <v>17166</v>
      </c>
      <c r="E9146" s="17"/>
      <c r="F9146" s="17" t="s">
        <v>17246</v>
      </c>
      <c r="G9146" s="17"/>
      <c r="H9146" s="17" t="s">
        <v>20919</v>
      </c>
      <c r="I9146" s="17"/>
      <c r="J9146" s="17" t="s">
        <v>21313</v>
      </c>
      <c r="K9146" s="17"/>
      <c r="L9146" s="17" t="s">
        <v>21326</v>
      </c>
      <c r="M9146" s="17"/>
      <c r="N9146" s="17" t="s">
        <v>21327</v>
      </c>
      <c r="O9146" s="17"/>
      <c r="P9146" s="17" t="s">
        <v>21478</v>
      </c>
      <c r="Q9146" s="17"/>
      <c r="R9146" s="25" t="str">
        <f>HYPERLINK("https://ictv.global/taxonomy/taxondetails?taxnode_id=202310823","Pihngevirus limenecus")</f>
        <v>Pihngevirus limenecus</v>
      </c>
      <c r="S9146" s="18" t="s">
        <v>30</v>
      </c>
      <c r="T9146" s="18" t="s">
        <v>21529</v>
      </c>
      <c r="U9146" s="18"/>
      <c r="V9146" s="18"/>
      <c r="W9146" s="18" t="s">
        <v>21530</v>
      </c>
      <c r="X9146" s="18" t="s">
        <v>35</v>
      </c>
      <c r="Y9146" s="18" t="s">
        <v>17171</v>
      </c>
      <c r="Z9146" s="18" t="s">
        <v>697</v>
      </c>
      <c r="AA9146" s="21" t="str">
        <f>HYPERLINK("https://www.ncbi.nlm.nih.gov/nuccore/BK013607","NCBI Nucleotide")</f>
        <v>NCBI Nucleotide</v>
      </c>
    </row>
    <row r="9147" spans="1:27" x14ac:dyDescent="0.35">
      <c r="A9147">
        <v>1026617</v>
      </c>
      <c r="B9147">
        <v>8472</v>
      </c>
      <c r="C9147">
        <v>1</v>
      </c>
      <c r="D9147" s="17" t="s">
        <v>17166</v>
      </c>
      <c r="E9147" s="17"/>
      <c r="F9147" s="17" t="s">
        <v>17246</v>
      </c>
      <c r="G9147" s="17"/>
      <c r="H9147" s="17" t="s">
        <v>20919</v>
      </c>
      <c r="I9147" s="17"/>
      <c r="J9147" s="17" t="s">
        <v>21313</v>
      </c>
      <c r="K9147" s="17"/>
      <c r="L9147" s="17" t="s">
        <v>21326</v>
      </c>
      <c r="M9147" s="17"/>
      <c r="N9147" s="17" t="s">
        <v>21327</v>
      </c>
      <c r="O9147" s="17"/>
      <c r="P9147" s="17" t="s">
        <v>21478</v>
      </c>
      <c r="Q9147" s="17"/>
      <c r="R9147" s="25" t="str">
        <f>HYPERLINK("https://ictv.global/taxonomy/taxondetails?taxnode_id=202316203","Pihngevirus radicihabitans")</f>
        <v>Pihngevirus radicihabitans</v>
      </c>
      <c r="S9147" s="18" t="s">
        <v>30</v>
      </c>
      <c r="T9147" s="18" t="s">
        <v>42863</v>
      </c>
      <c r="U9147" s="18"/>
      <c r="V9147" s="18"/>
      <c r="W9147" s="18" t="s">
        <v>42864</v>
      </c>
      <c r="X9147" s="18" t="s">
        <v>35</v>
      </c>
      <c r="Y9147" s="18" t="s">
        <v>17171</v>
      </c>
      <c r="Z9147" s="18" t="s">
        <v>24637</v>
      </c>
      <c r="AA9147" s="21" t="str">
        <f>HYPERLINK("https://www.ncbi.nlm.nih.gov/nuccore/CASDWV010004475","NCBI Nucleotide")</f>
        <v>NCBI Nucleotide</v>
      </c>
    </row>
    <row r="9148" spans="1:27" x14ac:dyDescent="0.35">
      <c r="A9148">
        <v>1009414</v>
      </c>
      <c r="B9148">
        <v>8473</v>
      </c>
      <c r="C9148">
        <v>1</v>
      </c>
      <c r="D9148" s="17" t="s">
        <v>17166</v>
      </c>
      <c r="E9148" s="17"/>
      <c r="F9148" s="17" t="s">
        <v>17246</v>
      </c>
      <c r="G9148" s="17"/>
      <c r="H9148" s="17" t="s">
        <v>20919</v>
      </c>
      <c r="I9148" s="17"/>
      <c r="J9148" s="17" t="s">
        <v>21313</v>
      </c>
      <c r="K9148" s="17"/>
      <c r="L9148" s="17" t="s">
        <v>21326</v>
      </c>
      <c r="M9148" s="17"/>
      <c r="N9148" s="17" t="s">
        <v>21327</v>
      </c>
      <c r="O9148" s="17"/>
      <c r="P9148" s="17" t="s">
        <v>21485</v>
      </c>
      <c r="Q9148" s="17"/>
      <c r="R9148" s="25" t="str">
        <f>HYPERLINK("https://ictv.global/taxonomy/taxondetails?taxnode_id=202310796","Pohlydovirus arvivicinum")</f>
        <v>Pohlydovirus arvivicinum</v>
      </c>
      <c r="S9148" s="18" t="s">
        <v>30</v>
      </c>
      <c r="T9148" s="18" t="s">
        <v>21486</v>
      </c>
      <c r="U9148" s="18"/>
      <c r="V9148" s="18"/>
      <c r="W9148" s="18" t="s">
        <v>21487</v>
      </c>
      <c r="X9148" s="18" t="s">
        <v>35</v>
      </c>
      <c r="Y9148" s="18" t="s">
        <v>17171</v>
      </c>
      <c r="Z9148" s="18" t="s">
        <v>697</v>
      </c>
      <c r="AA9148" s="21" t="str">
        <f>HYPERLINK("https://www.ncbi.nlm.nih.gov/nuccore/BK013935","NCBI Nucleotide")</f>
        <v>NCBI Nucleotide</v>
      </c>
    </row>
    <row r="9149" spans="1:27" x14ac:dyDescent="0.35">
      <c r="A9149">
        <v>1009415</v>
      </c>
      <c r="B9149">
        <v>8474</v>
      </c>
      <c r="C9149">
        <v>1</v>
      </c>
      <c r="D9149" s="17" t="s">
        <v>17166</v>
      </c>
      <c r="E9149" s="17"/>
      <c r="F9149" s="17" t="s">
        <v>17246</v>
      </c>
      <c r="G9149" s="17"/>
      <c r="H9149" s="17" t="s">
        <v>20919</v>
      </c>
      <c r="I9149" s="17"/>
      <c r="J9149" s="17" t="s">
        <v>21313</v>
      </c>
      <c r="K9149" s="17"/>
      <c r="L9149" s="17" t="s">
        <v>21326</v>
      </c>
      <c r="M9149" s="17"/>
      <c r="N9149" s="17" t="s">
        <v>21327</v>
      </c>
      <c r="O9149" s="17"/>
      <c r="P9149" s="17" t="s">
        <v>21485</v>
      </c>
      <c r="Q9149" s="17"/>
      <c r="R9149" s="25" t="str">
        <f>HYPERLINK("https://ictv.global/taxonomy/taxondetails?taxnode_id=202310797","Pohlydovirus arvivivens")</f>
        <v>Pohlydovirus arvivivens</v>
      </c>
      <c r="S9149" s="18" t="s">
        <v>30</v>
      </c>
      <c r="T9149" s="18" t="s">
        <v>21488</v>
      </c>
      <c r="U9149" s="18"/>
      <c r="V9149" s="18"/>
      <c r="W9149" s="18" t="s">
        <v>21489</v>
      </c>
      <c r="X9149" s="18" t="s">
        <v>35</v>
      </c>
      <c r="Y9149" s="18" t="s">
        <v>17171</v>
      </c>
      <c r="Z9149" s="18" t="s">
        <v>697</v>
      </c>
      <c r="AA9149" s="21" t="str">
        <f>HYPERLINK("https://www.ncbi.nlm.nih.gov/nuccore/BK014011","NCBI Nucleotide")</f>
        <v>NCBI Nucleotide</v>
      </c>
    </row>
    <row r="9150" spans="1:27" x14ac:dyDescent="0.35">
      <c r="A9150">
        <v>1009416</v>
      </c>
      <c r="B9150">
        <v>8475</v>
      </c>
      <c r="C9150">
        <v>1</v>
      </c>
      <c r="D9150" s="17" t="s">
        <v>17166</v>
      </c>
      <c r="E9150" s="17"/>
      <c r="F9150" s="17" t="s">
        <v>17246</v>
      </c>
      <c r="G9150" s="17"/>
      <c r="H9150" s="17" t="s">
        <v>20919</v>
      </c>
      <c r="I9150" s="17"/>
      <c r="J9150" s="17" t="s">
        <v>21313</v>
      </c>
      <c r="K9150" s="17"/>
      <c r="L9150" s="17" t="s">
        <v>21326</v>
      </c>
      <c r="M9150" s="17"/>
      <c r="N9150" s="17" t="s">
        <v>21327</v>
      </c>
      <c r="O9150" s="17"/>
      <c r="P9150" s="17" t="s">
        <v>21490</v>
      </c>
      <c r="Q9150" s="17"/>
      <c r="R9150" s="25" t="str">
        <f>HYPERLINK("https://ictv.global/taxonomy/taxondetails?taxnode_id=202310799","Psoetuvirus pedenecus")</f>
        <v>Psoetuvirus pedenecus</v>
      </c>
      <c r="S9150" s="18" t="s">
        <v>30</v>
      </c>
      <c r="T9150" s="18" t="s">
        <v>21491</v>
      </c>
      <c r="U9150" s="18"/>
      <c r="V9150" s="18"/>
      <c r="W9150" s="18" t="s">
        <v>21492</v>
      </c>
      <c r="X9150" s="18" t="s">
        <v>35</v>
      </c>
      <c r="Y9150" s="18" t="s">
        <v>17171</v>
      </c>
      <c r="Z9150" s="18" t="s">
        <v>697</v>
      </c>
      <c r="AA9150" s="21" t="str">
        <f>HYPERLINK("https://www.ncbi.nlm.nih.gov/nuccore/BK013770","NCBI Nucleotide")</f>
        <v>NCBI Nucleotide</v>
      </c>
    </row>
    <row r="9151" spans="1:27" x14ac:dyDescent="0.35">
      <c r="A9151">
        <v>1009431</v>
      </c>
      <c r="B9151">
        <v>8476</v>
      </c>
      <c r="C9151">
        <v>1</v>
      </c>
      <c r="D9151" s="17" t="s">
        <v>17166</v>
      </c>
      <c r="E9151" s="17"/>
      <c r="F9151" s="17" t="s">
        <v>17246</v>
      </c>
      <c r="G9151" s="17"/>
      <c r="H9151" s="17" t="s">
        <v>20919</v>
      </c>
      <c r="I9151" s="17"/>
      <c r="J9151" s="17" t="s">
        <v>21313</v>
      </c>
      <c r="K9151" s="17"/>
      <c r="L9151" s="17" t="s">
        <v>21326</v>
      </c>
      <c r="M9151" s="17"/>
      <c r="N9151" s="17" t="s">
        <v>21327</v>
      </c>
      <c r="O9151" s="17"/>
      <c r="P9151" s="17" t="s">
        <v>21521</v>
      </c>
      <c r="Q9151" s="17"/>
      <c r="R9151" s="25" t="str">
        <f>HYPERLINK("https://ictv.global/taxonomy/taxondetails?taxnode_id=202310817","Scloravirus humicola")</f>
        <v>Scloravirus humicola</v>
      </c>
      <c r="S9151" s="18" t="s">
        <v>30</v>
      </c>
      <c r="T9151" s="18" t="s">
        <v>21522</v>
      </c>
      <c r="U9151" s="18"/>
      <c r="V9151" s="18"/>
      <c r="W9151" s="18" t="s">
        <v>21523</v>
      </c>
      <c r="X9151" s="18" t="s">
        <v>35</v>
      </c>
      <c r="Y9151" s="18" t="s">
        <v>17171</v>
      </c>
      <c r="Z9151" s="18" t="s">
        <v>697</v>
      </c>
      <c r="AA9151" s="21" t="str">
        <f>HYPERLINK("https://www.ncbi.nlm.nih.gov/nuccore/BK013456","NCBI Nucleotide")</f>
        <v>NCBI Nucleotide</v>
      </c>
    </row>
    <row r="9152" spans="1:27" x14ac:dyDescent="0.35">
      <c r="A9152">
        <v>1009433</v>
      </c>
      <c r="B9152">
        <v>8477</v>
      </c>
      <c r="C9152">
        <v>1</v>
      </c>
      <c r="D9152" s="17" t="s">
        <v>17166</v>
      </c>
      <c r="E9152" s="17"/>
      <c r="F9152" s="17" t="s">
        <v>17246</v>
      </c>
      <c r="G9152" s="17"/>
      <c r="H9152" s="17" t="s">
        <v>20919</v>
      </c>
      <c r="I9152" s="17"/>
      <c r="J9152" s="17" t="s">
        <v>21313</v>
      </c>
      <c r="K9152" s="17"/>
      <c r="L9152" s="17" t="s">
        <v>21326</v>
      </c>
      <c r="M9152" s="17"/>
      <c r="N9152" s="17" t="s">
        <v>21327</v>
      </c>
      <c r="O9152" s="17"/>
      <c r="P9152" s="17" t="s">
        <v>21526</v>
      </c>
      <c r="Q9152" s="17"/>
      <c r="R9152" s="25" t="str">
        <f>HYPERLINK("https://ictv.global/taxonomy/taxondetails?taxnode_id=202310821","Sdribtuvirus humivicinum")</f>
        <v>Sdribtuvirus humivicinum</v>
      </c>
      <c r="S9152" s="18" t="s">
        <v>30</v>
      </c>
      <c r="T9152" s="18" t="s">
        <v>21527</v>
      </c>
      <c r="U9152" s="18"/>
      <c r="V9152" s="18"/>
      <c r="W9152" s="18" t="s">
        <v>21528</v>
      </c>
      <c r="X9152" s="18" t="s">
        <v>35</v>
      </c>
      <c r="Y9152" s="18" t="s">
        <v>17171</v>
      </c>
      <c r="Z9152" s="18" t="s">
        <v>697</v>
      </c>
      <c r="AA9152" s="21" t="str">
        <f>HYPERLINK("https://www.ncbi.nlm.nih.gov/nuccore/BK014017","NCBI Nucleotide")</f>
        <v>NCBI Nucleotide</v>
      </c>
    </row>
    <row r="9153" spans="1:27" x14ac:dyDescent="0.35">
      <c r="A9153">
        <v>1009435</v>
      </c>
      <c r="B9153">
        <v>8478</v>
      </c>
      <c r="C9153">
        <v>1</v>
      </c>
      <c r="D9153" s="17" t="s">
        <v>17166</v>
      </c>
      <c r="E9153" s="17"/>
      <c r="F9153" s="17" t="s">
        <v>17246</v>
      </c>
      <c r="G9153" s="17"/>
      <c r="H9153" s="17" t="s">
        <v>20919</v>
      </c>
      <c r="I9153" s="17"/>
      <c r="J9153" s="17" t="s">
        <v>21313</v>
      </c>
      <c r="K9153" s="17"/>
      <c r="L9153" s="17" t="s">
        <v>21326</v>
      </c>
      <c r="M9153" s="17"/>
      <c r="N9153" s="17" t="s">
        <v>21327</v>
      </c>
      <c r="O9153" s="17"/>
      <c r="P9153" s="17" t="s">
        <v>21531</v>
      </c>
      <c r="Q9153" s="17"/>
      <c r="R9153" s="25" t="str">
        <f>HYPERLINK("https://ictv.global/taxonomy/taxondetails?taxnode_id=202310826","Stupavirus arvadaptatum")</f>
        <v>Stupavirus arvadaptatum</v>
      </c>
      <c r="S9153" s="18" t="s">
        <v>30</v>
      </c>
      <c r="T9153" s="18" t="s">
        <v>21532</v>
      </c>
      <c r="U9153" s="18"/>
      <c r="V9153" s="18"/>
      <c r="W9153" s="18" t="s">
        <v>21533</v>
      </c>
      <c r="X9153" s="18" t="s">
        <v>35</v>
      </c>
      <c r="Y9153" s="18" t="s">
        <v>17171</v>
      </c>
      <c r="Z9153" s="18" t="s">
        <v>697</v>
      </c>
      <c r="AA9153" s="21" t="str">
        <f>HYPERLINK("https://www.ncbi.nlm.nih.gov/nuccore/BK013967","NCBI Nucleotide")</f>
        <v>NCBI Nucleotide</v>
      </c>
    </row>
    <row r="9154" spans="1:27" x14ac:dyDescent="0.35">
      <c r="A9154">
        <v>1009436</v>
      </c>
      <c r="B9154">
        <v>8479</v>
      </c>
      <c r="C9154">
        <v>1</v>
      </c>
      <c r="D9154" s="17" t="s">
        <v>17166</v>
      </c>
      <c r="E9154" s="17"/>
      <c r="F9154" s="17" t="s">
        <v>17246</v>
      </c>
      <c r="G9154" s="17"/>
      <c r="H9154" s="17" t="s">
        <v>20919</v>
      </c>
      <c r="I9154" s="17"/>
      <c r="J9154" s="17" t="s">
        <v>21313</v>
      </c>
      <c r="K9154" s="17"/>
      <c r="L9154" s="17" t="s">
        <v>21326</v>
      </c>
      <c r="M9154" s="17"/>
      <c r="N9154" s="17" t="s">
        <v>21327</v>
      </c>
      <c r="O9154" s="17"/>
      <c r="P9154" s="17" t="s">
        <v>21531</v>
      </c>
      <c r="Q9154" s="17"/>
      <c r="R9154" s="25" t="str">
        <f>HYPERLINK("https://ictv.global/taxonomy/taxondetails?taxnode_id=202310825","Stupavirus chorovivens")</f>
        <v>Stupavirus chorovivens</v>
      </c>
      <c r="S9154" s="18" t="s">
        <v>30</v>
      </c>
      <c r="T9154" s="18" t="s">
        <v>21534</v>
      </c>
      <c r="U9154" s="18"/>
      <c r="V9154" s="18"/>
      <c r="W9154" s="18" t="s">
        <v>21535</v>
      </c>
      <c r="X9154" s="18" t="s">
        <v>35</v>
      </c>
      <c r="Y9154" s="18" t="s">
        <v>17171</v>
      </c>
      <c r="Z9154" s="18" t="s">
        <v>697</v>
      </c>
      <c r="AA9154" s="21" t="str">
        <f>HYPERLINK("https://www.ncbi.nlm.nih.gov/nuccore/BK013416","NCBI Nucleotide")</f>
        <v>NCBI Nucleotide</v>
      </c>
    </row>
    <row r="9155" spans="1:27" x14ac:dyDescent="0.35">
      <c r="A9155">
        <v>1027481</v>
      </c>
      <c r="B9155">
        <v>8480</v>
      </c>
      <c r="C9155">
        <v>1</v>
      </c>
      <c r="D9155" s="17" t="s">
        <v>17166</v>
      </c>
      <c r="E9155" s="17"/>
      <c r="F9155" s="17" t="s">
        <v>17246</v>
      </c>
      <c r="G9155" s="17"/>
      <c r="H9155" s="17" t="s">
        <v>20919</v>
      </c>
      <c r="I9155" s="17"/>
      <c r="J9155" s="17" t="s">
        <v>21313</v>
      </c>
      <c r="K9155" s="17"/>
      <c r="L9155" s="17" t="s">
        <v>21326</v>
      </c>
      <c r="M9155" s="17"/>
      <c r="N9155" s="17" t="s">
        <v>21327</v>
      </c>
      <c r="O9155" s="17"/>
      <c r="P9155" s="17" t="s">
        <v>21538</v>
      </c>
      <c r="Q9155" s="17"/>
      <c r="R9155" s="25" t="str">
        <f>HYPERLINK("https://ictv.global/taxonomy/taxondetails?taxnode_id=202316204","Wahbolevirus faecadaptatum")</f>
        <v>Wahbolevirus faecadaptatum</v>
      </c>
      <c r="S9155" s="18" t="s">
        <v>30</v>
      </c>
      <c r="T9155" s="18" t="s">
        <v>42865</v>
      </c>
      <c r="U9155" s="18"/>
      <c r="V9155" s="18" t="s">
        <v>42865</v>
      </c>
      <c r="W9155" s="18" t="s">
        <v>42866</v>
      </c>
      <c r="X9155" s="18" t="s">
        <v>35</v>
      </c>
      <c r="Y9155" s="18" t="s">
        <v>17171</v>
      </c>
      <c r="Z9155" s="18" t="s">
        <v>24637</v>
      </c>
      <c r="AA9155" s="21" t="str">
        <f>HYPERLINK("https://www.ncbi.nlm.nih.gov/nuccore/MZ679714","NCBI Nucleotide")</f>
        <v>NCBI Nucleotide</v>
      </c>
    </row>
    <row r="9156" spans="1:27" x14ac:dyDescent="0.35">
      <c r="A9156">
        <v>1009438</v>
      </c>
      <c r="B9156">
        <v>8481</v>
      </c>
      <c r="C9156">
        <v>1</v>
      </c>
      <c r="D9156" s="17" t="s">
        <v>17166</v>
      </c>
      <c r="E9156" s="17"/>
      <c r="F9156" s="17" t="s">
        <v>17246</v>
      </c>
      <c r="G9156" s="17"/>
      <c r="H9156" s="17" t="s">
        <v>20919</v>
      </c>
      <c r="I9156" s="17"/>
      <c r="J9156" s="17" t="s">
        <v>21313</v>
      </c>
      <c r="K9156" s="17"/>
      <c r="L9156" s="17" t="s">
        <v>21326</v>
      </c>
      <c r="M9156" s="17"/>
      <c r="N9156" s="17" t="s">
        <v>21327</v>
      </c>
      <c r="O9156" s="17"/>
      <c r="P9156" s="17" t="s">
        <v>21538</v>
      </c>
      <c r="Q9156" s="17"/>
      <c r="R9156" s="25" t="str">
        <f>HYPERLINK("https://ictv.global/taxonomy/taxondetails?taxnode_id=202310830","Wahbolevirus lutadaptatum")</f>
        <v>Wahbolevirus lutadaptatum</v>
      </c>
      <c r="S9156" s="18" t="s">
        <v>30</v>
      </c>
      <c r="T9156" s="18" t="s">
        <v>21539</v>
      </c>
      <c r="U9156" s="18"/>
      <c r="V9156" s="18"/>
      <c r="W9156" s="18" t="s">
        <v>21540</v>
      </c>
      <c r="X9156" s="18" t="s">
        <v>35</v>
      </c>
      <c r="Y9156" s="18" t="s">
        <v>17171</v>
      </c>
      <c r="Z9156" s="18" t="s">
        <v>697</v>
      </c>
      <c r="AA9156" s="21" t="str">
        <f>HYPERLINK("https://www.ncbi.nlm.nih.gov/nuccore/BK014094","NCBI Nucleotide")</f>
        <v>NCBI Nucleotide</v>
      </c>
    </row>
    <row r="9157" spans="1:27" x14ac:dyDescent="0.35">
      <c r="A9157">
        <v>1009439</v>
      </c>
      <c r="B9157">
        <v>8482</v>
      </c>
      <c r="C9157">
        <v>1</v>
      </c>
      <c r="D9157" s="17" t="s">
        <v>17166</v>
      </c>
      <c r="E9157" s="17"/>
      <c r="F9157" s="17" t="s">
        <v>17246</v>
      </c>
      <c r="G9157" s="17"/>
      <c r="H9157" s="17" t="s">
        <v>20919</v>
      </c>
      <c r="I9157" s="17"/>
      <c r="J9157" s="17" t="s">
        <v>21313</v>
      </c>
      <c r="K9157" s="17"/>
      <c r="L9157" s="17" t="s">
        <v>21326</v>
      </c>
      <c r="M9157" s="17"/>
      <c r="N9157" s="17" t="s">
        <v>21327</v>
      </c>
      <c r="O9157" s="17"/>
      <c r="P9157" s="17" t="s">
        <v>21541</v>
      </c>
      <c r="Q9157" s="17"/>
      <c r="R9157" s="25" t="str">
        <f>HYPERLINK("https://ictv.global/taxonomy/taxondetails?taxnode_id=202310832","Wecineivirus lutihabitans")</f>
        <v>Wecineivirus lutihabitans</v>
      </c>
      <c r="S9157" s="18" t="s">
        <v>30</v>
      </c>
      <c r="T9157" s="18" t="s">
        <v>21542</v>
      </c>
      <c r="U9157" s="18"/>
      <c r="V9157" s="18"/>
      <c r="W9157" s="18" t="s">
        <v>21543</v>
      </c>
      <c r="X9157" s="18" t="s">
        <v>35</v>
      </c>
      <c r="Y9157" s="18" t="s">
        <v>17171</v>
      </c>
      <c r="Z9157" s="18" t="s">
        <v>697</v>
      </c>
      <c r="AA9157" s="21" t="str">
        <f>HYPERLINK("https://www.ncbi.nlm.nih.gov/nuccore/BK014209","NCBI Nucleotide")</f>
        <v>NCBI Nucleotide</v>
      </c>
    </row>
    <row r="9158" spans="1:27" x14ac:dyDescent="0.35">
      <c r="A9158">
        <v>1009440</v>
      </c>
      <c r="B9158">
        <v>8483</v>
      </c>
      <c r="C9158">
        <v>1</v>
      </c>
      <c r="D9158" s="17" t="s">
        <v>17166</v>
      </c>
      <c r="E9158" s="17"/>
      <c r="F9158" s="17" t="s">
        <v>17246</v>
      </c>
      <c r="G9158" s="17"/>
      <c r="H9158" s="17" t="s">
        <v>20919</v>
      </c>
      <c r="I9158" s="17"/>
      <c r="J9158" s="17" t="s">
        <v>21313</v>
      </c>
      <c r="K9158" s="17"/>
      <c r="L9158" s="17" t="s">
        <v>21326</v>
      </c>
      <c r="M9158" s="17"/>
      <c r="N9158" s="17" t="s">
        <v>21327</v>
      </c>
      <c r="O9158" s="17"/>
      <c r="P9158" s="17" t="s">
        <v>21544</v>
      </c>
      <c r="Q9158" s="17"/>
      <c r="R9158" s="25" t="str">
        <f>HYPERLINK("https://ictv.global/taxonomy/taxondetails?taxnode_id=202310834","Whodehavirus pelovicinum")</f>
        <v>Whodehavirus pelovicinum</v>
      </c>
      <c r="S9158" s="18" t="s">
        <v>30</v>
      </c>
      <c r="T9158" s="18" t="s">
        <v>21545</v>
      </c>
      <c r="U9158" s="18"/>
      <c r="V9158" s="18"/>
      <c r="W9158" s="18" t="s">
        <v>21546</v>
      </c>
      <c r="X9158" s="18" t="s">
        <v>35</v>
      </c>
      <c r="Y9158" s="18" t="s">
        <v>17171</v>
      </c>
      <c r="Z9158" s="18" t="s">
        <v>697</v>
      </c>
      <c r="AA9158" s="21" t="str">
        <f>HYPERLINK("https://www.ncbi.nlm.nih.gov/nuccore/BK014149","NCBI Nucleotide")</f>
        <v>NCBI Nucleotide</v>
      </c>
    </row>
    <row r="9159" spans="1:27" x14ac:dyDescent="0.35">
      <c r="A9159">
        <v>1009441</v>
      </c>
      <c r="B9159">
        <v>8484</v>
      </c>
      <c r="C9159">
        <v>1</v>
      </c>
      <c r="D9159" s="17" t="s">
        <v>17166</v>
      </c>
      <c r="E9159" s="17"/>
      <c r="F9159" s="17" t="s">
        <v>17246</v>
      </c>
      <c r="G9159" s="17"/>
      <c r="H9159" s="17" t="s">
        <v>20919</v>
      </c>
      <c r="I9159" s="17"/>
      <c r="J9159" s="17" t="s">
        <v>21313</v>
      </c>
      <c r="K9159" s="17"/>
      <c r="L9159" s="17" t="s">
        <v>21326</v>
      </c>
      <c r="M9159" s="17"/>
      <c r="N9159" s="17" t="s">
        <v>21327</v>
      </c>
      <c r="O9159" s="17"/>
      <c r="P9159" s="17" t="s">
        <v>21547</v>
      </c>
      <c r="Q9159" s="17"/>
      <c r="R9159" s="25" t="str">
        <f>HYPERLINK("https://ictv.global/taxonomy/taxondetails?taxnode_id=202310836","Wulosvivirus asiocola")</f>
        <v>Wulosvivirus asiocola</v>
      </c>
      <c r="S9159" s="18" t="s">
        <v>30</v>
      </c>
      <c r="T9159" s="18" t="s">
        <v>21548</v>
      </c>
      <c r="U9159" s="18"/>
      <c r="V9159" s="18"/>
      <c r="W9159" s="18" t="s">
        <v>21549</v>
      </c>
      <c r="X9159" s="18" t="s">
        <v>35</v>
      </c>
      <c r="Y9159" s="18" t="s">
        <v>17171</v>
      </c>
      <c r="Z9159" s="18" t="s">
        <v>697</v>
      </c>
      <c r="AA9159" s="21" t="str">
        <f>HYPERLINK("https://www.ncbi.nlm.nih.gov/nuccore/BK014104","NCBI Nucleotide")</f>
        <v>NCBI Nucleotide</v>
      </c>
    </row>
    <row r="9160" spans="1:27" x14ac:dyDescent="0.35">
      <c r="A9160">
        <v>1027417</v>
      </c>
      <c r="B9160">
        <v>8485</v>
      </c>
      <c r="C9160">
        <v>1</v>
      </c>
      <c r="D9160" s="17" t="s">
        <v>17166</v>
      </c>
      <c r="E9160" s="17"/>
      <c r="F9160" s="17" t="s">
        <v>17246</v>
      </c>
      <c r="G9160" s="17"/>
      <c r="H9160" s="17" t="s">
        <v>20919</v>
      </c>
      <c r="I9160" s="17"/>
      <c r="J9160" s="17" t="s">
        <v>21313</v>
      </c>
      <c r="K9160" s="17"/>
      <c r="L9160" s="17" t="s">
        <v>21326</v>
      </c>
      <c r="M9160" s="17"/>
      <c r="N9160" s="17" t="s">
        <v>21327</v>
      </c>
      <c r="O9160" s="17"/>
      <c r="P9160" s="17" t="s">
        <v>21550</v>
      </c>
      <c r="Q9160" s="17"/>
      <c r="R9160" s="25" t="str">
        <f>HYPERLINK("https://ictv.global/taxonomy/taxondetails?taxnode_id=202316205","Yekorevirus choradaptatum")</f>
        <v>Yekorevirus choradaptatum</v>
      </c>
      <c r="S9160" s="18" t="s">
        <v>30</v>
      </c>
      <c r="T9160" s="18" t="s">
        <v>42867</v>
      </c>
      <c r="U9160" s="18"/>
      <c r="V9160" s="18"/>
      <c r="W9160" s="18" t="s">
        <v>42868</v>
      </c>
      <c r="X9160" s="18" t="s">
        <v>35</v>
      </c>
      <c r="Y9160" s="18" t="s">
        <v>17171</v>
      </c>
      <c r="Z9160" s="18" t="s">
        <v>24637</v>
      </c>
      <c r="AA9160" s="21" t="str">
        <f>HYPERLINK("https://www.ncbi.nlm.nih.gov/nuccore/CASDWV010002158","NCBI Nucleotide")</f>
        <v>NCBI Nucleotide</v>
      </c>
    </row>
    <row r="9161" spans="1:27" x14ac:dyDescent="0.35">
      <c r="A9161">
        <v>1009442</v>
      </c>
      <c r="B9161">
        <v>8486</v>
      </c>
      <c r="C9161">
        <v>1</v>
      </c>
      <c r="D9161" s="17" t="s">
        <v>17166</v>
      </c>
      <c r="E9161" s="17"/>
      <c r="F9161" s="17" t="s">
        <v>17246</v>
      </c>
      <c r="G9161" s="17"/>
      <c r="H9161" s="17" t="s">
        <v>20919</v>
      </c>
      <c r="I9161" s="17"/>
      <c r="J9161" s="17" t="s">
        <v>21313</v>
      </c>
      <c r="K9161" s="17"/>
      <c r="L9161" s="17" t="s">
        <v>21326</v>
      </c>
      <c r="M9161" s="17"/>
      <c r="N9161" s="17" t="s">
        <v>21327</v>
      </c>
      <c r="O9161" s="17"/>
      <c r="P9161" s="17" t="s">
        <v>21550</v>
      </c>
      <c r="Q9161" s="17"/>
      <c r="R9161" s="25" t="str">
        <f>HYPERLINK("https://ictv.global/taxonomy/taxondetails?taxnode_id=202310838","Yekorevirus terrivivens")</f>
        <v>Yekorevirus terrivivens</v>
      </c>
      <c r="S9161" s="18" t="s">
        <v>30</v>
      </c>
      <c r="T9161" s="18" t="s">
        <v>21551</v>
      </c>
      <c r="U9161" s="18"/>
      <c r="V9161" s="18"/>
      <c r="W9161" s="18" t="s">
        <v>21552</v>
      </c>
      <c r="X9161" s="18" t="s">
        <v>35</v>
      </c>
      <c r="Y9161" s="18" t="s">
        <v>17171</v>
      </c>
      <c r="Z9161" s="18" t="s">
        <v>697</v>
      </c>
      <c r="AA9161" s="21" t="str">
        <f>HYPERLINK("https://www.ncbi.nlm.nih.gov/nuccore/BK013403","NCBI Nucleotide")</f>
        <v>NCBI Nucleotide</v>
      </c>
    </row>
    <row r="9162" spans="1:27" x14ac:dyDescent="0.35">
      <c r="A9162">
        <v>1027418</v>
      </c>
      <c r="B9162">
        <v>8487</v>
      </c>
      <c r="C9162">
        <v>1</v>
      </c>
      <c r="D9162" s="17" t="s">
        <v>17166</v>
      </c>
      <c r="E9162" s="17"/>
      <c r="F9162" s="17" t="s">
        <v>17246</v>
      </c>
      <c r="G9162" s="17"/>
      <c r="H9162" s="17" t="s">
        <v>20919</v>
      </c>
      <c r="I9162" s="17"/>
      <c r="J9162" s="17" t="s">
        <v>21313</v>
      </c>
      <c r="K9162" s="17"/>
      <c r="L9162" s="17" t="s">
        <v>21326</v>
      </c>
      <c r="M9162" s="17"/>
      <c r="N9162" s="17" t="s">
        <v>21327</v>
      </c>
      <c r="O9162" s="17"/>
      <c r="P9162" s="17" t="s">
        <v>21553</v>
      </c>
      <c r="Q9162" s="17"/>
      <c r="R9162" s="25" t="str">
        <f>HYPERLINK("https://ictv.global/taxonomy/taxondetails?taxnode_id=202316206","Yeshinuvirus geovicinum")</f>
        <v>Yeshinuvirus geovicinum</v>
      </c>
      <c r="S9162" s="18" t="s">
        <v>30</v>
      </c>
      <c r="T9162" s="18" t="s">
        <v>42869</v>
      </c>
      <c r="U9162" s="18"/>
      <c r="V9162" s="18"/>
      <c r="W9162" s="18" t="s">
        <v>42870</v>
      </c>
      <c r="X9162" s="18" t="s">
        <v>35</v>
      </c>
      <c r="Y9162" s="18" t="s">
        <v>17171</v>
      </c>
      <c r="Z9162" s="18" t="s">
        <v>24637</v>
      </c>
      <c r="AA9162" s="21" t="str">
        <f>HYPERLINK("https://www.ncbi.nlm.nih.gov/nuccore/CASDWV010004429","NCBI Nucleotide")</f>
        <v>NCBI Nucleotide</v>
      </c>
    </row>
    <row r="9163" spans="1:27" x14ac:dyDescent="0.35">
      <c r="A9163">
        <v>1009443</v>
      </c>
      <c r="B9163">
        <v>8488</v>
      </c>
      <c r="C9163">
        <v>1</v>
      </c>
      <c r="D9163" s="17" t="s">
        <v>17166</v>
      </c>
      <c r="E9163" s="17"/>
      <c r="F9163" s="17" t="s">
        <v>17246</v>
      </c>
      <c r="G9163" s="17"/>
      <c r="H9163" s="17" t="s">
        <v>20919</v>
      </c>
      <c r="I9163" s="17"/>
      <c r="J9163" s="17" t="s">
        <v>21313</v>
      </c>
      <c r="K9163" s="17"/>
      <c r="L9163" s="17" t="s">
        <v>21326</v>
      </c>
      <c r="M9163" s="17"/>
      <c r="N9163" s="17" t="s">
        <v>21327</v>
      </c>
      <c r="O9163" s="17"/>
      <c r="P9163" s="17" t="s">
        <v>21553</v>
      </c>
      <c r="Q9163" s="17"/>
      <c r="R9163" s="25" t="str">
        <f>HYPERLINK("https://ictv.global/taxonomy/taxondetails?taxnode_id=202310840","Yeshinuvirus humadaptatum")</f>
        <v>Yeshinuvirus humadaptatum</v>
      </c>
      <c r="S9163" s="18" t="s">
        <v>30</v>
      </c>
      <c r="T9163" s="18" t="s">
        <v>21554</v>
      </c>
      <c r="U9163" s="18"/>
      <c r="V9163" s="18"/>
      <c r="W9163" s="18" t="s">
        <v>21555</v>
      </c>
      <c r="X9163" s="18" t="s">
        <v>35</v>
      </c>
      <c r="Y9163" s="18" t="s">
        <v>17171</v>
      </c>
      <c r="Z9163" s="18" t="s">
        <v>697</v>
      </c>
      <c r="AA9163" s="21" t="str">
        <f>HYPERLINK("https://www.ncbi.nlm.nih.gov/nuccore/BK013492","NCBI Nucleotide")</f>
        <v>NCBI Nucleotide</v>
      </c>
    </row>
    <row r="9164" spans="1:27" x14ac:dyDescent="0.35">
      <c r="A9164">
        <v>1009444</v>
      </c>
      <c r="B9164">
        <v>8489</v>
      </c>
      <c r="C9164">
        <v>1</v>
      </c>
      <c r="D9164" s="17" t="s">
        <v>17166</v>
      </c>
      <c r="E9164" s="17"/>
      <c r="F9164" s="17" t="s">
        <v>17246</v>
      </c>
      <c r="G9164" s="17"/>
      <c r="H9164" s="17" t="s">
        <v>20919</v>
      </c>
      <c r="I9164" s="17"/>
      <c r="J9164" s="17" t="s">
        <v>21313</v>
      </c>
      <c r="K9164" s="17"/>
      <c r="L9164" s="17" t="s">
        <v>21326</v>
      </c>
      <c r="M9164" s="17"/>
      <c r="N9164" s="17" t="s">
        <v>21327</v>
      </c>
      <c r="O9164" s="17"/>
      <c r="P9164" s="17" t="s">
        <v>21553</v>
      </c>
      <c r="Q9164" s="17"/>
      <c r="R9164" s="25" t="str">
        <f>HYPERLINK("https://ictv.global/taxonomy/taxondetails?taxnode_id=202310841","Yeshinuvirus humicola")</f>
        <v>Yeshinuvirus humicola</v>
      </c>
      <c r="S9164" s="18" t="s">
        <v>30</v>
      </c>
      <c r="T9164" s="18" t="s">
        <v>21556</v>
      </c>
      <c r="U9164" s="18"/>
      <c r="V9164" s="18"/>
      <c r="W9164" s="18" t="s">
        <v>21557</v>
      </c>
      <c r="X9164" s="18" t="s">
        <v>35</v>
      </c>
      <c r="Y9164" s="18" t="s">
        <v>17171</v>
      </c>
      <c r="Z9164" s="18" t="s">
        <v>697</v>
      </c>
      <c r="AA9164" s="21" t="str">
        <f>HYPERLINK("https://www.ncbi.nlm.nih.gov/nuccore/BK013949","NCBI Nucleotide")</f>
        <v>NCBI Nucleotide</v>
      </c>
    </row>
    <row r="9165" spans="1:27" x14ac:dyDescent="0.35">
      <c r="A9165">
        <v>1025922</v>
      </c>
      <c r="B9165">
        <v>8490</v>
      </c>
      <c r="C9165">
        <v>1</v>
      </c>
      <c r="D9165" s="17" t="s">
        <v>17166</v>
      </c>
      <c r="E9165" s="17"/>
      <c r="F9165" s="17" t="s">
        <v>17246</v>
      </c>
      <c r="G9165" s="17"/>
      <c r="H9165" s="17" t="s">
        <v>20919</v>
      </c>
      <c r="I9165" s="17"/>
      <c r="J9165" s="17" t="s">
        <v>21313</v>
      </c>
      <c r="K9165" s="17"/>
      <c r="L9165" s="17" t="s">
        <v>21326</v>
      </c>
      <c r="M9165" s="17"/>
      <c r="N9165" s="17" t="s">
        <v>21558</v>
      </c>
      <c r="O9165" s="17"/>
      <c r="P9165" s="17" t="s">
        <v>21559</v>
      </c>
      <c r="Q9165" s="17"/>
      <c r="R9165" s="25" t="str">
        <f>HYPERLINK("https://ictv.global/taxonomy/taxondetails?taxnode_id=202316207","Apeevirus fundihabitans")</f>
        <v>Apeevirus fundihabitans</v>
      </c>
      <c r="S9165" s="18" t="s">
        <v>30</v>
      </c>
      <c r="T9165" s="18" t="s">
        <v>42871</v>
      </c>
      <c r="U9165" s="18"/>
      <c r="V9165" s="18" t="s">
        <v>42871</v>
      </c>
      <c r="W9165" s="18" t="s">
        <v>42872</v>
      </c>
      <c r="X9165" s="18" t="s">
        <v>35</v>
      </c>
      <c r="Y9165" s="18" t="s">
        <v>17171</v>
      </c>
      <c r="Z9165" s="18" t="s">
        <v>24637</v>
      </c>
      <c r="AA9165" s="21" t="str">
        <f>HYPERLINK("https://www.ncbi.nlm.nih.gov/nuccore/MZ679824","NCBI Nucleotide")</f>
        <v>NCBI Nucleotide</v>
      </c>
    </row>
    <row r="9166" spans="1:27" x14ac:dyDescent="0.35">
      <c r="A9166">
        <v>1009445</v>
      </c>
      <c r="B9166">
        <v>8491</v>
      </c>
      <c r="C9166">
        <v>1</v>
      </c>
      <c r="D9166" s="17" t="s">
        <v>17166</v>
      </c>
      <c r="E9166" s="17"/>
      <c r="F9166" s="17" t="s">
        <v>17246</v>
      </c>
      <c r="G9166" s="17"/>
      <c r="H9166" s="17" t="s">
        <v>20919</v>
      </c>
      <c r="I9166" s="17"/>
      <c r="J9166" s="17" t="s">
        <v>21313</v>
      </c>
      <c r="K9166" s="17"/>
      <c r="L9166" s="17" t="s">
        <v>21326</v>
      </c>
      <c r="M9166" s="17"/>
      <c r="N9166" s="17" t="s">
        <v>21558</v>
      </c>
      <c r="O9166" s="17"/>
      <c r="P9166" s="17" t="s">
        <v>21559</v>
      </c>
      <c r="Q9166" s="17"/>
      <c r="R9166" s="25" t="str">
        <f>HYPERLINK("https://ictv.global/taxonomy/taxondetails?taxnode_id=202310844","Apeevirus quebecense")</f>
        <v>Apeevirus quebecense</v>
      </c>
      <c r="S9166" s="18" t="s">
        <v>30</v>
      </c>
      <c r="T9166" s="18" t="s">
        <v>21560</v>
      </c>
      <c r="U9166" s="18"/>
      <c r="V9166" s="18"/>
      <c r="W9166" s="18" t="s">
        <v>21561</v>
      </c>
      <c r="X9166" s="18" t="s">
        <v>42</v>
      </c>
      <c r="Y9166" s="18" t="s">
        <v>17171</v>
      </c>
      <c r="Z9166" s="18" t="s">
        <v>697</v>
      </c>
      <c r="AA9166" s="21" t="str">
        <f>HYPERLINK("https://www.ncbi.nlm.nih.gov/nuccore/AF334111","NCBI Nucleotide")</f>
        <v>NCBI Nucleotide</v>
      </c>
    </row>
    <row r="9167" spans="1:27" x14ac:dyDescent="0.35">
      <c r="A9167">
        <v>1009446</v>
      </c>
      <c r="B9167">
        <v>8492</v>
      </c>
      <c r="C9167">
        <v>1</v>
      </c>
      <c r="D9167" s="17" t="s">
        <v>17166</v>
      </c>
      <c r="E9167" s="17"/>
      <c r="F9167" s="17" t="s">
        <v>17246</v>
      </c>
      <c r="G9167" s="17"/>
      <c r="H9167" s="17" t="s">
        <v>20919</v>
      </c>
      <c r="I9167" s="17"/>
      <c r="J9167" s="17" t="s">
        <v>21313</v>
      </c>
      <c r="K9167" s="17"/>
      <c r="L9167" s="17" t="s">
        <v>21326</v>
      </c>
      <c r="M9167" s="17"/>
      <c r="N9167" s="17" t="s">
        <v>21558</v>
      </c>
      <c r="O9167" s="17"/>
      <c r="P9167" s="17" t="s">
        <v>21562</v>
      </c>
      <c r="Q9167" s="17"/>
      <c r="R9167" s="25" t="str">
        <f>HYPERLINK("https://ictv.global/taxonomy/taxondetails?taxnode_id=202310846","Beshanovirus aquicola")</f>
        <v>Beshanovirus aquicola</v>
      </c>
      <c r="S9167" s="18" t="s">
        <v>30</v>
      </c>
      <c r="T9167" s="18" t="s">
        <v>21563</v>
      </c>
      <c r="U9167" s="18"/>
      <c r="V9167" s="18"/>
      <c r="W9167" s="18" t="s">
        <v>21564</v>
      </c>
      <c r="X9167" s="18" t="s">
        <v>35</v>
      </c>
      <c r="Y9167" s="18" t="s">
        <v>17171</v>
      </c>
      <c r="Z9167" s="18" t="s">
        <v>697</v>
      </c>
      <c r="AA9167" s="21" t="str">
        <f>HYPERLINK("https://www.ncbi.nlm.nih.gov/nuccore/BK014219","NCBI Nucleotide")</f>
        <v>NCBI Nucleotide</v>
      </c>
    </row>
    <row r="9168" spans="1:27" x14ac:dyDescent="0.35">
      <c r="A9168">
        <v>1026065</v>
      </c>
      <c r="B9168">
        <v>8493</v>
      </c>
      <c r="C9168">
        <v>1</v>
      </c>
      <c r="D9168" s="17" t="s">
        <v>17166</v>
      </c>
      <c r="E9168" s="17"/>
      <c r="F9168" s="17" t="s">
        <v>17246</v>
      </c>
      <c r="G9168" s="17"/>
      <c r="H9168" s="17" t="s">
        <v>20919</v>
      </c>
      <c r="I9168" s="17"/>
      <c r="J9168" s="17" t="s">
        <v>21313</v>
      </c>
      <c r="K9168" s="17"/>
      <c r="L9168" s="17" t="s">
        <v>21326</v>
      </c>
      <c r="M9168" s="17"/>
      <c r="N9168" s="17" t="s">
        <v>21558</v>
      </c>
      <c r="O9168" s="17"/>
      <c r="P9168" s="17" t="s">
        <v>42873</v>
      </c>
      <c r="Q9168" s="17"/>
      <c r="R9168" s="25" t="str">
        <f>HYPERLINK("https://ictv.global/taxonomy/taxondetails?taxnode_id=202316208","Cartwavirus ischnurivivens")</f>
        <v>Cartwavirus ischnurivivens</v>
      </c>
      <c r="S9168" s="18" t="s">
        <v>30</v>
      </c>
      <c r="T9168" s="18" t="s">
        <v>42874</v>
      </c>
      <c r="U9168" s="18"/>
      <c r="V9168" s="18" t="s">
        <v>42875</v>
      </c>
      <c r="W9168" s="18" t="s">
        <v>42876</v>
      </c>
      <c r="X9168" s="18" t="s">
        <v>35</v>
      </c>
      <c r="Y9168" s="18" t="s">
        <v>17171</v>
      </c>
      <c r="Z9168" s="18" t="s">
        <v>17413</v>
      </c>
      <c r="AA9168" s="21" t="str">
        <f>HYPERLINK("https://www.ncbi.nlm.nih.gov/nuccore/MZ209931","NCBI Nucleotide")</f>
        <v>NCBI Nucleotide</v>
      </c>
    </row>
    <row r="9169" spans="1:27" x14ac:dyDescent="0.35">
      <c r="A9169">
        <v>1026194</v>
      </c>
      <c r="B9169">
        <v>8494</v>
      </c>
      <c r="C9169">
        <v>1</v>
      </c>
      <c r="D9169" s="17" t="s">
        <v>17166</v>
      </c>
      <c r="E9169" s="17"/>
      <c r="F9169" s="17" t="s">
        <v>17246</v>
      </c>
      <c r="G9169" s="17"/>
      <c r="H9169" s="17" t="s">
        <v>20919</v>
      </c>
      <c r="I9169" s="17"/>
      <c r="J9169" s="17" t="s">
        <v>21313</v>
      </c>
      <c r="K9169" s="17"/>
      <c r="L9169" s="17" t="s">
        <v>21326</v>
      </c>
      <c r="M9169" s="17"/>
      <c r="N9169" s="17" t="s">
        <v>21558</v>
      </c>
      <c r="O9169" s="17"/>
      <c r="P9169" s="17" t="s">
        <v>42877</v>
      </c>
      <c r="Q9169" s="17"/>
      <c r="R9169" s="25" t="str">
        <f>HYPERLINK("https://ictv.global/taxonomy/taxondetails?taxnode_id=202316209","Cubpivirus chilonishabitans")</f>
        <v>Cubpivirus chilonishabitans</v>
      </c>
      <c r="S9169" s="18" t="s">
        <v>30</v>
      </c>
      <c r="T9169" s="18" t="s">
        <v>42878</v>
      </c>
      <c r="U9169" s="18"/>
      <c r="V9169" s="18" t="s">
        <v>42879</v>
      </c>
      <c r="W9169" s="18" t="s">
        <v>42880</v>
      </c>
      <c r="X9169" s="18" t="s">
        <v>35</v>
      </c>
      <c r="Y9169" s="18" t="s">
        <v>17171</v>
      </c>
      <c r="Z9169" s="18" t="s">
        <v>17413</v>
      </c>
      <c r="AA9169" s="21" t="str">
        <f>HYPERLINK("https://www.ncbi.nlm.nih.gov/nuccore/MZ210001","NCBI Nucleotide")</f>
        <v>NCBI Nucleotide</v>
      </c>
    </row>
    <row r="9170" spans="1:27" x14ac:dyDescent="0.35">
      <c r="A9170">
        <v>1026195</v>
      </c>
      <c r="B9170">
        <v>8495</v>
      </c>
      <c r="C9170">
        <v>1</v>
      </c>
      <c r="D9170" s="17" t="s">
        <v>17166</v>
      </c>
      <c r="E9170" s="17"/>
      <c r="F9170" s="17" t="s">
        <v>17246</v>
      </c>
      <c r="G9170" s="17"/>
      <c r="H9170" s="17" t="s">
        <v>20919</v>
      </c>
      <c r="I9170" s="17"/>
      <c r="J9170" s="17" t="s">
        <v>21313</v>
      </c>
      <c r="K9170" s="17"/>
      <c r="L9170" s="17" t="s">
        <v>21326</v>
      </c>
      <c r="M9170" s="17"/>
      <c r="N9170" s="17" t="s">
        <v>21558</v>
      </c>
      <c r="O9170" s="17"/>
      <c r="P9170" s="17" t="s">
        <v>42877</v>
      </c>
      <c r="Q9170" s="17"/>
      <c r="R9170" s="25" t="str">
        <f>HYPERLINK("https://ictv.global/taxonomy/taxondetails?taxnode_id=202316210","Cubpivirus ischnurenecus")</f>
        <v>Cubpivirus ischnurenecus</v>
      </c>
      <c r="S9170" s="18" t="s">
        <v>30</v>
      </c>
      <c r="T9170" s="18" t="s">
        <v>42881</v>
      </c>
      <c r="U9170" s="18"/>
      <c r="V9170" s="18" t="s">
        <v>42882</v>
      </c>
      <c r="W9170" s="18" t="s">
        <v>42883</v>
      </c>
      <c r="X9170" s="18" t="s">
        <v>35</v>
      </c>
      <c r="Y9170" s="18" t="s">
        <v>17171</v>
      </c>
      <c r="Z9170" s="18" t="s">
        <v>17413</v>
      </c>
      <c r="AA9170" s="21" t="str">
        <f>HYPERLINK("https://www.ncbi.nlm.nih.gov/nuccore/MZ209930","NCBI Nucleotide")</f>
        <v>NCBI Nucleotide</v>
      </c>
    </row>
    <row r="9171" spans="1:27" x14ac:dyDescent="0.35">
      <c r="A9171">
        <v>1026183</v>
      </c>
      <c r="B9171">
        <v>8496</v>
      </c>
      <c r="C9171">
        <v>1</v>
      </c>
      <c r="D9171" s="17" t="s">
        <v>17166</v>
      </c>
      <c r="E9171" s="17"/>
      <c r="F9171" s="17" t="s">
        <v>17246</v>
      </c>
      <c r="G9171" s="17"/>
      <c r="H9171" s="17" t="s">
        <v>20919</v>
      </c>
      <c r="I9171" s="17"/>
      <c r="J9171" s="17" t="s">
        <v>21313</v>
      </c>
      <c r="K9171" s="17"/>
      <c r="L9171" s="17" t="s">
        <v>21326</v>
      </c>
      <c r="M9171" s="17"/>
      <c r="N9171" s="17" t="s">
        <v>21558</v>
      </c>
      <c r="O9171" s="17"/>
      <c r="P9171" s="17" t="s">
        <v>42884</v>
      </c>
      <c r="Q9171" s="17"/>
      <c r="R9171" s="25" t="str">
        <f>HYPERLINK("https://ictv.global/taxonomy/taxondetails?taxnode_id=202316211","Derlivirus dinebricola")</f>
        <v>Derlivirus dinebricola</v>
      </c>
      <c r="S9171" s="18" t="s">
        <v>30</v>
      </c>
      <c r="T9171" s="18" t="s">
        <v>42885</v>
      </c>
      <c r="U9171" s="18"/>
      <c r="V9171" s="18" t="s">
        <v>42886</v>
      </c>
      <c r="W9171" s="18" t="s">
        <v>42887</v>
      </c>
      <c r="X9171" s="18" t="s">
        <v>35</v>
      </c>
      <c r="Y9171" s="18" t="s">
        <v>17171</v>
      </c>
      <c r="Z9171" s="18" t="s">
        <v>17336</v>
      </c>
      <c r="AA9171" s="21" t="str">
        <f>HYPERLINK("https://www.ncbi.nlm.nih.gov/nuccore/OM514452","NCBI Nucleotide")</f>
        <v>NCBI Nucleotide</v>
      </c>
    </row>
    <row r="9172" spans="1:27" x14ac:dyDescent="0.35">
      <c r="A9172">
        <v>1026184</v>
      </c>
      <c r="B9172">
        <v>8497</v>
      </c>
      <c r="C9172">
        <v>1</v>
      </c>
      <c r="D9172" s="17" t="s">
        <v>17166</v>
      </c>
      <c r="E9172" s="17"/>
      <c r="F9172" s="17" t="s">
        <v>17246</v>
      </c>
      <c r="G9172" s="17"/>
      <c r="H9172" s="17" t="s">
        <v>20919</v>
      </c>
      <c r="I9172" s="17"/>
      <c r="J9172" s="17" t="s">
        <v>21313</v>
      </c>
      <c r="K9172" s="17"/>
      <c r="L9172" s="17" t="s">
        <v>21326</v>
      </c>
      <c r="M9172" s="17"/>
      <c r="N9172" s="17" t="s">
        <v>21558</v>
      </c>
      <c r="O9172" s="17"/>
      <c r="P9172" s="17" t="s">
        <v>42888</v>
      </c>
      <c r="Q9172" s="17"/>
      <c r="R9172" s="25" t="str">
        <f>HYPERLINK("https://ictv.global/taxonomy/taxondetails?taxnode_id=202316212","Dirlevirus faecenecus")</f>
        <v>Dirlevirus faecenecus</v>
      </c>
      <c r="S9172" s="18" t="s">
        <v>30</v>
      </c>
      <c r="T9172" s="18" t="s">
        <v>42889</v>
      </c>
      <c r="U9172" s="18"/>
      <c r="V9172" s="18" t="s">
        <v>42889</v>
      </c>
      <c r="W9172" s="18" t="s">
        <v>42890</v>
      </c>
      <c r="X9172" s="18" t="s">
        <v>35</v>
      </c>
      <c r="Y9172" s="18" t="s">
        <v>17171</v>
      </c>
      <c r="Z9172" s="18" t="s">
        <v>17413</v>
      </c>
      <c r="AA9172" s="21" t="str">
        <f>HYPERLINK("https://www.ncbi.nlm.nih.gov/nuccore/MZ680335","NCBI Nucleotide")</f>
        <v>NCBI Nucleotide</v>
      </c>
    </row>
    <row r="9173" spans="1:27" x14ac:dyDescent="0.35">
      <c r="A9173">
        <v>1009447</v>
      </c>
      <c r="B9173">
        <v>8498</v>
      </c>
      <c r="C9173">
        <v>1</v>
      </c>
      <c r="D9173" s="17" t="s">
        <v>17166</v>
      </c>
      <c r="E9173" s="17"/>
      <c r="F9173" s="17" t="s">
        <v>17246</v>
      </c>
      <c r="G9173" s="17"/>
      <c r="H9173" s="17" t="s">
        <v>20919</v>
      </c>
      <c r="I9173" s="17"/>
      <c r="J9173" s="17" t="s">
        <v>21313</v>
      </c>
      <c r="K9173" s="17"/>
      <c r="L9173" s="17" t="s">
        <v>21326</v>
      </c>
      <c r="M9173" s="17"/>
      <c r="N9173" s="17" t="s">
        <v>21558</v>
      </c>
      <c r="O9173" s="17"/>
      <c r="P9173" s="17" t="s">
        <v>21565</v>
      </c>
      <c r="Q9173" s="17"/>
      <c r="R9173" s="25" t="str">
        <f>HYPERLINK("https://ictv.global/taxonomy/taxondetails?taxnode_id=202310848","Kahshuvirus borborenecus")</f>
        <v>Kahshuvirus borborenecus</v>
      </c>
      <c r="S9173" s="18" t="s">
        <v>30</v>
      </c>
      <c r="T9173" s="18" t="s">
        <v>21566</v>
      </c>
      <c r="U9173" s="18"/>
      <c r="V9173" s="18"/>
      <c r="W9173" s="18" t="s">
        <v>21567</v>
      </c>
      <c r="X9173" s="18" t="s">
        <v>35</v>
      </c>
      <c r="Y9173" s="18" t="s">
        <v>17171</v>
      </c>
      <c r="Z9173" s="18" t="s">
        <v>697</v>
      </c>
      <c r="AA9173" s="21" t="str">
        <f>HYPERLINK("https://www.ncbi.nlm.nih.gov/nuccore/BK013751","NCBI Nucleotide")</f>
        <v>NCBI Nucleotide</v>
      </c>
    </row>
    <row r="9174" spans="1:27" x14ac:dyDescent="0.35">
      <c r="A9174">
        <v>1009448</v>
      </c>
      <c r="B9174">
        <v>8499</v>
      </c>
      <c r="C9174">
        <v>1</v>
      </c>
      <c r="D9174" s="17" t="s">
        <v>17166</v>
      </c>
      <c r="E9174" s="17"/>
      <c r="F9174" s="17" t="s">
        <v>17246</v>
      </c>
      <c r="G9174" s="17"/>
      <c r="H9174" s="17" t="s">
        <v>20919</v>
      </c>
      <c r="I9174" s="17"/>
      <c r="J9174" s="17" t="s">
        <v>21313</v>
      </c>
      <c r="K9174" s="17"/>
      <c r="L9174" s="17" t="s">
        <v>21326</v>
      </c>
      <c r="M9174" s="17"/>
      <c r="N9174" s="17" t="s">
        <v>21558</v>
      </c>
      <c r="O9174" s="17"/>
      <c r="P9174" s="17" t="s">
        <v>21568</v>
      </c>
      <c r="Q9174" s="17"/>
      <c r="R9174" s="25" t="str">
        <f>HYPERLINK("https://ictv.global/taxonomy/taxondetails?taxnode_id=202310850","Kohmavirus luticola")</f>
        <v>Kohmavirus luticola</v>
      </c>
      <c r="S9174" s="18" t="s">
        <v>30</v>
      </c>
      <c r="T9174" s="18" t="s">
        <v>21569</v>
      </c>
      <c r="U9174" s="18"/>
      <c r="V9174" s="18"/>
      <c r="W9174" s="18" t="s">
        <v>21570</v>
      </c>
      <c r="X9174" s="18" t="s">
        <v>35</v>
      </c>
      <c r="Y9174" s="18" t="s">
        <v>17171</v>
      </c>
      <c r="Z9174" s="18" t="s">
        <v>697</v>
      </c>
      <c r="AA9174" s="21" t="str">
        <f>HYPERLINK("https://www.ncbi.nlm.nih.gov/nuccore/BK013611","NCBI Nucleotide")</f>
        <v>NCBI Nucleotide</v>
      </c>
    </row>
    <row r="9175" spans="1:27" x14ac:dyDescent="0.35">
      <c r="A9175">
        <v>1009449</v>
      </c>
      <c r="B9175">
        <v>8500</v>
      </c>
      <c r="C9175">
        <v>1</v>
      </c>
      <c r="D9175" s="17" t="s">
        <v>17166</v>
      </c>
      <c r="E9175" s="17"/>
      <c r="F9175" s="17" t="s">
        <v>17246</v>
      </c>
      <c r="G9175" s="17"/>
      <c r="H9175" s="17" t="s">
        <v>20919</v>
      </c>
      <c r="I9175" s="17"/>
      <c r="J9175" s="17" t="s">
        <v>21313</v>
      </c>
      <c r="K9175" s="17"/>
      <c r="L9175" s="17" t="s">
        <v>21326</v>
      </c>
      <c r="M9175" s="17"/>
      <c r="N9175" s="17" t="s">
        <v>21558</v>
      </c>
      <c r="O9175" s="17"/>
      <c r="P9175" s="17" t="s">
        <v>21571</v>
      </c>
      <c r="Q9175" s="17"/>
      <c r="R9175" s="25" t="str">
        <f>HYPERLINK("https://ictv.global/taxonomy/taxondetails?taxnode_id=202310852","Samuneavirus asiocola")</f>
        <v>Samuneavirus asiocola</v>
      </c>
      <c r="S9175" s="18" t="s">
        <v>30</v>
      </c>
      <c r="T9175" s="18" t="s">
        <v>21572</v>
      </c>
      <c r="U9175" s="18"/>
      <c r="V9175" s="18"/>
      <c r="W9175" s="18" t="s">
        <v>21573</v>
      </c>
      <c r="X9175" s="18" t="s">
        <v>35</v>
      </c>
      <c r="Y9175" s="18" t="s">
        <v>17171</v>
      </c>
      <c r="Z9175" s="18" t="s">
        <v>697</v>
      </c>
      <c r="AA9175" s="21" t="str">
        <f>HYPERLINK("https://www.ncbi.nlm.nih.gov/nuccore/BK013685","NCBI Nucleotide")</f>
        <v>NCBI Nucleotide</v>
      </c>
    </row>
    <row r="9176" spans="1:27" x14ac:dyDescent="0.35">
      <c r="A9176">
        <v>1009450</v>
      </c>
      <c r="B9176">
        <v>8501</v>
      </c>
      <c r="C9176">
        <v>1</v>
      </c>
      <c r="D9176" s="17" t="s">
        <v>17166</v>
      </c>
      <c r="E9176" s="17"/>
      <c r="F9176" s="17" t="s">
        <v>17246</v>
      </c>
      <c r="G9176" s="17"/>
      <c r="H9176" s="17" t="s">
        <v>20919</v>
      </c>
      <c r="I9176" s="17"/>
      <c r="J9176" s="17" t="s">
        <v>21313</v>
      </c>
      <c r="K9176" s="17"/>
      <c r="L9176" s="17" t="s">
        <v>21326</v>
      </c>
      <c r="M9176" s="17"/>
      <c r="N9176" s="17" t="s">
        <v>21558</v>
      </c>
      <c r="O9176" s="17"/>
      <c r="P9176" s="17" t="s">
        <v>21574</v>
      </c>
      <c r="Q9176" s="17"/>
      <c r="R9176" s="25" t="str">
        <f>HYPERLINK("https://ictv.global/taxonomy/taxondetails?taxnode_id=202310854","Tehuhdavirus pelovivens")</f>
        <v>Tehuhdavirus pelovivens</v>
      </c>
      <c r="S9176" s="18" t="s">
        <v>30</v>
      </c>
      <c r="T9176" s="18" t="s">
        <v>21575</v>
      </c>
      <c r="U9176" s="18"/>
      <c r="V9176" s="18"/>
      <c r="W9176" s="18" t="s">
        <v>21576</v>
      </c>
      <c r="X9176" s="18" t="s">
        <v>35</v>
      </c>
      <c r="Y9176" s="18" t="s">
        <v>17171</v>
      </c>
      <c r="Z9176" s="18" t="s">
        <v>697</v>
      </c>
      <c r="AA9176" s="21" t="str">
        <f>HYPERLINK("https://www.ncbi.nlm.nih.gov/nuccore/BK014092","NCBI Nucleotide")</f>
        <v>NCBI Nucleotide</v>
      </c>
    </row>
    <row r="9177" spans="1:27" x14ac:dyDescent="0.35">
      <c r="A9177">
        <v>1009453</v>
      </c>
      <c r="B9177">
        <v>8502</v>
      </c>
      <c r="C9177">
        <v>1</v>
      </c>
      <c r="D9177" s="17" t="s">
        <v>17166</v>
      </c>
      <c r="E9177" s="17"/>
      <c r="F9177" s="17" t="s">
        <v>17246</v>
      </c>
      <c r="G9177" s="17"/>
      <c r="H9177" s="17" t="s">
        <v>20919</v>
      </c>
      <c r="I9177" s="17"/>
      <c r="J9177" s="17" t="s">
        <v>21313</v>
      </c>
      <c r="K9177" s="17"/>
      <c r="L9177" s="17" t="s">
        <v>21326</v>
      </c>
      <c r="M9177" s="17"/>
      <c r="N9177" s="17" t="s">
        <v>21577</v>
      </c>
      <c r="O9177" s="17"/>
      <c r="P9177" s="17" t="s">
        <v>21582</v>
      </c>
      <c r="Q9177" s="17"/>
      <c r="R9177" s="25" t="str">
        <f>HYPERLINK("https://ictv.global/taxonomy/taxondetails?taxnode_id=202310223","Amubhivirus agrivicinum")</f>
        <v>Amubhivirus agrivicinum</v>
      </c>
      <c r="S9177" s="18" t="s">
        <v>30</v>
      </c>
      <c r="T9177" s="18" t="s">
        <v>21583</v>
      </c>
      <c r="U9177" s="18"/>
      <c r="V9177" s="18"/>
      <c r="W9177" s="18" t="s">
        <v>21584</v>
      </c>
      <c r="X9177" s="18" t="s">
        <v>35</v>
      </c>
      <c r="Y9177" s="18" t="s">
        <v>17171</v>
      </c>
      <c r="Z9177" s="18" t="s">
        <v>697</v>
      </c>
      <c r="AA9177" s="21" t="str">
        <f>HYPERLINK("https://www.ncbi.nlm.nih.gov/nuccore/BK013471","NCBI Nucleotide")</f>
        <v>NCBI Nucleotide</v>
      </c>
    </row>
    <row r="9178" spans="1:27" x14ac:dyDescent="0.35">
      <c r="A9178">
        <v>1025926</v>
      </c>
      <c r="B9178">
        <v>8503</v>
      </c>
      <c r="C9178">
        <v>1</v>
      </c>
      <c r="D9178" s="17" t="s">
        <v>17166</v>
      </c>
      <c r="E9178" s="17"/>
      <c r="F9178" s="17" t="s">
        <v>17246</v>
      </c>
      <c r="G9178" s="17"/>
      <c r="H9178" s="17" t="s">
        <v>20919</v>
      </c>
      <c r="I9178" s="17"/>
      <c r="J9178" s="17" t="s">
        <v>21313</v>
      </c>
      <c r="K9178" s="17"/>
      <c r="L9178" s="17" t="s">
        <v>21326</v>
      </c>
      <c r="M9178" s="17"/>
      <c r="N9178" s="17" t="s">
        <v>21577</v>
      </c>
      <c r="O9178" s="17"/>
      <c r="P9178" s="17" t="s">
        <v>21582</v>
      </c>
      <c r="Q9178" s="17"/>
      <c r="R9178" s="25" t="str">
        <f>HYPERLINK("https://ictv.global/taxonomy/taxondetails?taxnode_id=202316213","Amubhivirus agrivivens")</f>
        <v>Amubhivirus agrivivens</v>
      </c>
      <c r="S9178" s="18" t="s">
        <v>30</v>
      </c>
      <c r="T9178" s="18" t="s">
        <v>42891</v>
      </c>
      <c r="U9178" s="18"/>
      <c r="V9178" s="18"/>
      <c r="W9178" s="18" t="s">
        <v>42892</v>
      </c>
      <c r="X9178" s="18" t="s">
        <v>35</v>
      </c>
      <c r="Y9178" s="18" t="s">
        <v>17171</v>
      </c>
      <c r="Z9178" s="18" t="s">
        <v>24637</v>
      </c>
      <c r="AA9178" s="21" t="str">
        <f>HYPERLINK("https://www.ncbi.nlm.nih.gov/nuccore/CASDWV010003030","NCBI Nucleotide")</f>
        <v>NCBI Nucleotide</v>
      </c>
    </row>
    <row r="9179" spans="1:27" x14ac:dyDescent="0.35">
      <c r="A9179">
        <v>1025927</v>
      </c>
      <c r="B9179">
        <v>8504</v>
      </c>
      <c r="C9179">
        <v>1</v>
      </c>
      <c r="D9179" s="17" t="s">
        <v>17166</v>
      </c>
      <c r="E9179" s="17"/>
      <c r="F9179" s="17" t="s">
        <v>17246</v>
      </c>
      <c r="G9179" s="17"/>
      <c r="H9179" s="17" t="s">
        <v>20919</v>
      </c>
      <c r="I9179" s="17"/>
      <c r="J9179" s="17" t="s">
        <v>21313</v>
      </c>
      <c r="K9179" s="17"/>
      <c r="L9179" s="17" t="s">
        <v>21326</v>
      </c>
      <c r="M9179" s="17"/>
      <c r="N9179" s="17" t="s">
        <v>21577</v>
      </c>
      <c r="O9179" s="17"/>
      <c r="P9179" s="17" t="s">
        <v>21582</v>
      </c>
      <c r="Q9179" s="17"/>
      <c r="R9179" s="25" t="str">
        <f>HYPERLINK("https://ictv.global/taxonomy/taxondetails?taxnode_id=202316214","Amubhivirus humicola")</f>
        <v>Amubhivirus humicola</v>
      </c>
      <c r="S9179" s="18" t="s">
        <v>30</v>
      </c>
      <c r="T9179" s="18" t="s">
        <v>42893</v>
      </c>
      <c r="U9179" s="18"/>
      <c r="V9179" s="18"/>
      <c r="W9179" s="18" t="s">
        <v>42894</v>
      </c>
      <c r="X9179" s="18" t="s">
        <v>35</v>
      </c>
      <c r="Y9179" s="18" t="s">
        <v>17171</v>
      </c>
      <c r="Z9179" s="18" t="s">
        <v>24637</v>
      </c>
      <c r="AA9179" s="21" t="str">
        <f>HYPERLINK("https://www.ncbi.nlm.nih.gov/nuccore/CASDWV010003035","NCBI Nucleotide")</f>
        <v>NCBI Nucleotide</v>
      </c>
    </row>
    <row r="9180" spans="1:27" x14ac:dyDescent="0.35">
      <c r="A9180">
        <v>1025928</v>
      </c>
      <c r="B9180">
        <v>8505</v>
      </c>
      <c r="C9180">
        <v>1</v>
      </c>
      <c r="D9180" s="17" t="s">
        <v>17166</v>
      </c>
      <c r="E9180" s="17"/>
      <c r="F9180" s="17" t="s">
        <v>17246</v>
      </c>
      <c r="G9180" s="17"/>
      <c r="H9180" s="17" t="s">
        <v>20919</v>
      </c>
      <c r="I9180" s="17"/>
      <c r="J9180" s="17" t="s">
        <v>21313</v>
      </c>
      <c r="K9180" s="17"/>
      <c r="L9180" s="17" t="s">
        <v>21326</v>
      </c>
      <c r="M9180" s="17"/>
      <c r="N9180" s="17" t="s">
        <v>21577</v>
      </c>
      <c r="O9180" s="17"/>
      <c r="P9180" s="17" t="s">
        <v>21582</v>
      </c>
      <c r="Q9180" s="17"/>
      <c r="R9180" s="25" t="str">
        <f>HYPERLINK("https://ictv.global/taxonomy/taxondetails?taxnode_id=202316215","Amubhivirus lutenecus")</f>
        <v>Amubhivirus lutenecus</v>
      </c>
      <c r="S9180" s="18" t="s">
        <v>30</v>
      </c>
      <c r="T9180" s="18" t="s">
        <v>42895</v>
      </c>
      <c r="U9180" s="18"/>
      <c r="V9180" s="18"/>
      <c r="W9180" s="18" t="s">
        <v>42896</v>
      </c>
      <c r="X9180" s="18" t="s">
        <v>35</v>
      </c>
      <c r="Y9180" s="18" t="s">
        <v>17171</v>
      </c>
      <c r="Z9180" s="18" t="s">
        <v>24637</v>
      </c>
      <c r="AA9180" s="21" t="str">
        <f>HYPERLINK("https://www.ncbi.nlm.nih.gov/nuccore/CASDWV010001315","NCBI Nucleotide")</f>
        <v>NCBI Nucleotide</v>
      </c>
    </row>
    <row r="9181" spans="1:27" x14ac:dyDescent="0.35">
      <c r="A9181">
        <v>1025929</v>
      </c>
      <c r="B9181">
        <v>8506</v>
      </c>
      <c r="C9181">
        <v>1</v>
      </c>
      <c r="D9181" s="17" t="s">
        <v>17166</v>
      </c>
      <c r="E9181" s="17"/>
      <c r="F9181" s="17" t="s">
        <v>17246</v>
      </c>
      <c r="G9181" s="17"/>
      <c r="H9181" s="17" t="s">
        <v>20919</v>
      </c>
      <c r="I9181" s="17"/>
      <c r="J9181" s="17" t="s">
        <v>21313</v>
      </c>
      <c r="K9181" s="17"/>
      <c r="L9181" s="17" t="s">
        <v>21326</v>
      </c>
      <c r="M9181" s="17"/>
      <c r="N9181" s="17" t="s">
        <v>21577</v>
      </c>
      <c r="O9181" s="17"/>
      <c r="P9181" s="17" t="s">
        <v>21582</v>
      </c>
      <c r="Q9181" s="17"/>
      <c r="R9181" s="25" t="str">
        <f>HYPERLINK("https://ictv.global/taxonomy/taxondetails?taxnode_id=202316216","Amubhivirus messadaptatum")</f>
        <v>Amubhivirus messadaptatum</v>
      </c>
      <c r="S9181" s="18" t="s">
        <v>30</v>
      </c>
      <c r="T9181" s="18" t="s">
        <v>42897</v>
      </c>
      <c r="U9181" s="18"/>
      <c r="V9181" s="18"/>
      <c r="W9181" s="18" t="s">
        <v>42898</v>
      </c>
      <c r="X9181" s="18" t="s">
        <v>35</v>
      </c>
      <c r="Y9181" s="18" t="s">
        <v>17171</v>
      </c>
      <c r="Z9181" s="18" t="s">
        <v>24637</v>
      </c>
      <c r="AA9181" s="21" t="str">
        <f>HYPERLINK("https://www.ncbi.nlm.nih.gov/nuccore/CASDWV010003570","NCBI Nucleotide")</f>
        <v>NCBI Nucleotide</v>
      </c>
    </row>
    <row r="9182" spans="1:27" x14ac:dyDescent="0.35">
      <c r="A9182">
        <v>1025930</v>
      </c>
      <c r="B9182">
        <v>8507</v>
      </c>
      <c r="C9182">
        <v>1</v>
      </c>
      <c r="D9182" s="17" t="s">
        <v>17166</v>
      </c>
      <c r="E9182" s="17"/>
      <c r="F9182" s="17" t="s">
        <v>17246</v>
      </c>
      <c r="G9182" s="17"/>
      <c r="H9182" s="17" t="s">
        <v>20919</v>
      </c>
      <c r="I9182" s="17"/>
      <c r="J9182" s="17" t="s">
        <v>21313</v>
      </c>
      <c r="K9182" s="17"/>
      <c r="L9182" s="17" t="s">
        <v>21326</v>
      </c>
      <c r="M9182" s="17"/>
      <c r="N9182" s="17" t="s">
        <v>21577</v>
      </c>
      <c r="O9182" s="17"/>
      <c r="P9182" s="17" t="s">
        <v>21582</v>
      </c>
      <c r="Q9182" s="17"/>
      <c r="R9182" s="25" t="str">
        <f>HYPERLINK("https://ictv.global/taxonomy/taxondetails?taxnode_id=202316217","Amubhivirus soladaptatum")</f>
        <v>Amubhivirus soladaptatum</v>
      </c>
      <c r="S9182" s="18" t="s">
        <v>30</v>
      </c>
      <c r="T9182" s="18" t="s">
        <v>42899</v>
      </c>
      <c r="U9182" s="18"/>
      <c r="V9182" s="18"/>
      <c r="W9182" s="18" t="s">
        <v>42900</v>
      </c>
      <c r="X9182" s="18" t="s">
        <v>35</v>
      </c>
      <c r="Y9182" s="18" t="s">
        <v>17171</v>
      </c>
      <c r="Z9182" s="18" t="s">
        <v>24637</v>
      </c>
      <c r="AA9182" s="21" t="str">
        <f>HYPERLINK("https://www.ncbi.nlm.nih.gov/nuccore/CASDWV010004403","NCBI Nucleotide")</f>
        <v>NCBI Nucleotide</v>
      </c>
    </row>
    <row r="9183" spans="1:27" x14ac:dyDescent="0.35">
      <c r="A9183">
        <v>1009454</v>
      </c>
      <c r="B9183">
        <v>8508</v>
      </c>
      <c r="C9183">
        <v>1</v>
      </c>
      <c r="D9183" s="17" t="s">
        <v>17166</v>
      </c>
      <c r="E9183" s="17"/>
      <c r="F9183" s="17" t="s">
        <v>17246</v>
      </c>
      <c r="G9183" s="17"/>
      <c r="H9183" s="17" t="s">
        <v>20919</v>
      </c>
      <c r="I9183" s="17"/>
      <c r="J9183" s="17" t="s">
        <v>21313</v>
      </c>
      <c r="K9183" s="17"/>
      <c r="L9183" s="17" t="s">
        <v>21326</v>
      </c>
      <c r="M9183" s="17"/>
      <c r="N9183" s="17" t="s">
        <v>21577</v>
      </c>
      <c r="O9183" s="17"/>
      <c r="P9183" s="17" t="s">
        <v>21585</v>
      </c>
      <c r="Q9183" s="17"/>
      <c r="R9183" s="25" t="str">
        <f>HYPERLINK("https://ictv.global/taxonomy/taxondetails?taxnode_id=202310225","Andhasavirus agrivivens")</f>
        <v>Andhasavirus agrivivens</v>
      </c>
      <c r="S9183" s="18" t="s">
        <v>30</v>
      </c>
      <c r="T9183" s="18" t="s">
        <v>21586</v>
      </c>
      <c r="U9183" s="18"/>
      <c r="V9183" s="18"/>
      <c r="W9183" s="18" t="s">
        <v>21587</v>
      </c>
      <c r="X9183" s="18" t="s">
        <v>35</v>
      </c>
      <c r="Y9183" s="18" t="s">
        <v>17171</v>
      </c>
      <c r="Z9183" s="18" t="s">
        <v>697</v>
      </c>
      <c r="AA9183" s="21" t="str">
        <f>HYPERLINK("https://www.ncbi.nlm.nih.gov/nuccore/BK013862","NCBI Nucleotide")</f>
        <v>NCBI Nucleotide</v>
      </c>
    </row>
    <row r="9184" spans="1:27" x14ac:dyDescent="0.35">
      <c r="A9184">
        <v>1009455</v>
      </c>
      <c r="B9184">
        <v>8509</v>
      </c>
      <c r="C9184">
        <v>1</v>
      </c>
      <c r="D9184" s="17" t="s">
        <v>17166</v>
      </c>
      <c r="E9184" s="17"/>
      <c r="F9184" s="17" t="s">
        <v>17246</v>
      </c>
      <c r="G9184" s="17"/>
      <c r="H9184" s="17" t="s">
        <v>20919</v>
      </c>
      <c r="I9184" s="17"/>
      <c r="J9184" s="17" t="s">
        <v>21313</v>
      </c>
      <c r="K9184" s="17"/>
      <c r="L9184" s="17" t="s">
        <v>21326</v>
      </c>
      <c r="M9184" s="17"/>
      <c r="N9184" s="17" t="s">
        <v>21577</v>
      </c>
      <c r="O9184" s="17"/>
      <c r="P9184" s="17" t="s">
        <v>21585</v>
      </c>
      <c r="Q9184" s="17"/>
      <c r="R9184" s="25" t="str">
        <f>HYPERLINK("https://ictv.global/taxonomy/taxondetails?taxnode_id=202310226","Andhasavirus borborocola")</f>
        <v>Andhasavirus borborocola</v>
      </c>
      <c r="S9184" s="18" t="s">
        <v>30</v>
      </c>
      <c r="T9184" s="18" t="s">
        <v>21588</v>
      </c>
      <c r="U9184" s="18"/>
      <c r="V9184" s="18"/>
      <c r="W9184" s="18" t="s">
        <v>21589</v>
      </c>
      <c r="X9184" s="18" t="s">
        <v>35</v>
      </c>
      <c r="Y9184" s="18" t="s">
        <v>17171</v>
      </c>
      <c r="Z9184" s="18" t="s">
        <v>697</v>
      </c>
      <c r="AA9184" s="21" t="str">
        <f>HYPERLINK("https://www.ncbi.nlm.nih.gov/nuccore/BK013749","NCBI Nucleotide")</f>
        <v>NCBI Nucleotide</v>
      </c>
    </row>
    <row r="9185" spans="1:27" x14ac:dyDescent="0.35">
      <c r="A9185">
        <v>1025909</v>
      </c>
      <c r="B9185">
        <v>8510</v>
      </c>
      <c r="C9185">
        <v>1</v>
      </c>
      <c r="D9185" s="17" t="s">
        <v>17166</v>
      </c>
      <c r="E9185" s="17"/>
      <c r="F9185" s="17" t="s">
        <v>17246</v>
      </c>
      <c r="G9185" s="17"/>
      <c r="H9185" s="17" t="s">
        <v>20919</v>
      </c>
      <c r="I9185" s="17"/>
      <c r="J9185" s="17" t="s">
        <v>21313</v>
      </c>
      <c r="K9185" s="17"/>
      <c r="L9185" s="17" t="s">
        <v>21326</v>
      </c>
      <c r="M9185" s="17"/>
      <c r="N9185" s="17" t="s">
        <v>21577</v>
      </c>
      <c r="O9185" s="17"/>
      <c r="P9185" s="17" t="s">
        <v>21585</v>
      </c>
      <c r="Q9185" s="17"/>
      <c r="R9185" s="25" t="str">
        <f>HYPERLINK("https://ictv.global/taxonomy/taxondetails?taxnode_id=202316218","Andhasavirus caenivivens")</f>
        <v>Andhasavirus caenivivens</v>
      </c>
      <c r="S9185" s="18" t="s">
        <v>30</v>
      </c>
      <c r="T9185" s="18" t="s">
        <v>42901</v>
      </c>
      <c r="U9185" s="18"/>
      <c r="V9185" s="18"/>
      <c r="W9185" s="18" t="s">
        <v>42902</v>
      </c>
      <c r="X9185" s="18" t="s">
        <v>35</v>
      </c>
      <c r="Y9185" s="18" t="s">
        <v>17171</v>
      </c>
      <c r="Z9185" s="18" t="s">
        <v>24637</v>
      </c>
      <c r="AA9185" s="21" t="str">
        <f>HYPERLINK("https://www.ncbi.nlm.nih.gov/nuccore/CASDWV010000936","NCBI Nucleotide")</f>
        <v>NCBI Nucleotide</v>
      </c>
    </row>
    <row r="9186" spans="1:27" x14ac:dyDescent="0.35">
      <c r="A9186">
        <v>1025910</v>
      </c>
      <c r="B9186">
        <v>8511</v>
      </c>
      <c r="C9186">
        <v>1</v>
      </c>
      <c r="D9186" s="17" t="s">
        <v>17166</v>
      </c>
      <c r="E9186" s="17"/>
      <c r="F9186" s="17" t="s">
        <v>17246</v>
      </c>
      <c r="G9186" s="17"/>
      <c r="H9186" s="17" t="s">
        <v>20919</v>
      </c>
      <c r="I9186" s="17"/>
      <c r="J9186" s="17" t="s">
        <v>21313</v>
      </c>
      <c r="K9186" s="17"/>
      <c r="L9186" s="17" t="s">
        <v>21326</v>
      </c>
      <c r="M9186" s="17"/>
      <c r="N9186" s="17" t="s">
        <v>21577</v>
      </c>
      <c r="O9186" s="17"/>
      <c r="P9186" s="17" t="s">
        <v>21585</v>
      </c>
      <c r="Q9186" s="17"/>
      <c r="R9186" s="25" t="str">
        <f>HYPERLINK("https://ictv.global/taxonomy/taxondetails?taxnode_id=202316219","Andhasavirus limicola")</f>
        <v>Andhasavirus limicola</v>
      </c>
      <c r="S9186" s="18" t="s">
        <v>30</v>
      </c>
      <c r="T9186" s="18" t="s">
        <v>42903</v>
      </c>
      <c r="U9186" s="18"/>
      <c r="V9186" s="18"/>
      <c r="W9186" s="18" t="s">
        <v>42904</v>
      </c>
      <c r="X9186" s="18" t="s">
        <v>35</v>
      </c>
      <c r="Y9186" s="18" t="s">
        <v>17171</v>
      </c>
      <c r="Z9186" s="18" t="s">
        <v>24637</v>
      </c>
      <c r="AA9186" s="21" t="str">
        <f>HYPERLINK("https://www.ncbi.nlm.nih.gov/nuccore/CASDWV010000810","NCBI Nucleotide")</f>
        <v>NCBI Nucleotide</v>
      </c>
    </row>
    <row r="9187" spans="1:27" x14ac:dyDescent="0.35">
      <c r="A9187">
        <v>1025911</v>
      </c>
      <c r="B9187">
        <v>8512</v>
      </c>
      <c r="C9187">
        <v>1</v>
      </c>
      <c r="D9187" s="17" t="s">
        <v>17166</v>
      </c>
      <c r="E9187" s="17"/>
      <c r="F9187" s="17" t="s">
        <v>17246</v>
      </c>
      <c r="G9187" s="17"/>
      <c r="H9187" s="17" t="s">
        <v>20919</v>
      </c>
      <c r="I9187" s="17"/>
      <c r="J9187" s="17" t="s">
        <v>21313</v>
      </c>
      <c r="K9187" s="17"/>
      <c r="L9187" s="17" t="s">
        <v>21326</v>
      </c>
      <c r="M9187" s="17"/>
      <c r="N9187" s="17" t="s">
        <v>21577</v>
      </c>
      <c r="O9187" s="17"/>
      <c r="P9187" s="17" t="s">
        <v>21585</v>
      </c>
      <c r="Q9187" s="17"/>
      <c r="R9187" s="25" t="str">
        <f>HYPERLINK("https://ictv.global/taxonomy/taxondetails?taxnode_id=202316220","Andhasavirus neoagrivivens")</f>
        <v>Andhasavirus neoagrivivens</v>
      </c>
      <c r="S9187" s="18" t="s">
        <v>30</v>
      </c>
      <c r="T9187" s="18" t="s">
        <v>42905</v>
      </c>
      <c r="U9187" s="18"/>
      <c r="V9187" s="18"/>
      <c r="W9187" s="18" t="s">
        <v>42906</v>
      </c>
      <c r="X9187" s="18" t="s">
        <v>35</v>
      </c>
      <c r="Y9187" s="18" t="s">
        <v>17171</v>
      </c>
      <c r="Z9187" s="18" t="s">
        <v>24637</v>
      </c>
      <c r="AA9187" s="21" t="str">
        <f>HYPERLINK("https://www.ncbi.nlm.nih.gov/nuccore/CASDWV010001234","NCBI Nucleotide")</f>
        <v>NCBI Nucleotide</v>
      </c>
    </row>
    <row r="9188" spans="1:27" x14ac:dyDescent="0.35">
      <c r="A9188">
        <v>1009456</v>
      </c>
      <c r="B9188">
        <v>8513</v>
      </c>
      <c r="C9188">
        <v>1</v>
      </c>
      <c r="D9188" s="17" t="s">
        <v>17166</v>
      </c>
      <c r="E9188" s="17"/>
      <c r="F9188" s="17" t="s">
        <v>17246</v>
      </c>
      <c r="G9188" s="17"/>
      <c r="H9188" s="17" t="s">
        <v>20919</v>
      </c>
      <c r="I9188" s="17"/>
      <c r="J9188" s="17" t="s">
        <v>21313</v>
      </c>
      <c r="K9188" s="17"/>
      <c r="L9188" s="17" t="s">
        <v>21326</v>
      </c>
      <c r="M9188" s="17"/>
      <c r="N9188" s="17" t="s">
        <v>21577</v>
      </c>
      <c r="O9188" s="17"/>
      <c r="P9188" s="17" t="s">
        <v>21590</v>
      </c>
      <c r="Q9188" s="17"/>
      <c r="R9188" s="25" t="str">
        <f>HYPERLINK("https://ictv.global/taxonomy/taxondetails?taxnode_id=202310229","Andhaxevirus choradaptatum")</f>
        <v>Andhaxevirus choradaptatum</v>
      </c>
      <c r="S9188" s="18" t="s">
        <v>30</v>
      </c>
      <c r="T9188" s="18" t="s">
        <v>21591</v>
      </c>
      <c r="U9188" s="18"/>
      <c r="V9188" s="18"/>
      <c r="W9188" s="18" t="s">
        <v>21592</v>
      </c>
      <c r="X9188" s="18" t="s">
        <v>35</v>
      </c>
      <c r="Y9188" s="18" t="s">
        <v>17171</v>
      </c>
      <c r="Z9188" s="18" t="s">
        <v>697</v>
      </c>
      <c r="AA9188" s="21" t="str">
        <f>HYPERLINK("https://www.ncbi.nlm.nih.gov/nuccore/BK013773","NCBI Nucleotide")</f>
        <v>NCBI Nucleotide</v>
      </c>
    </row>
    <row r="9189" spans="1:27" x14ac:dyDescent="0.35">
      <c r="A9189">
        <v>1009457</v>
      </c>
      <c r="B9189">
        <v>8514</v>
      </c>
      <c r="C9189">
        <v>1</v>
      </c>
      <c r="D9189" s="17" t="s">
        <v>17166</v>
      </c>
      <c r="E9189" s="17"/>
      <c r="F9189" s="17" t="s">
        <v>17246</v>
      </c>
      <c r="G9189" s="17"/>
      <c r="H9189" s="17" t="s">
        <v>20919</v>
      </c>
      <c r="I9189" s="17"/>
      <c r="J9189" s="17" t="s">
        <v>21313</v>
      </c>
      <c r="K9189" s="17"/>
      <c r="L9189" s="17" t="s">
        <v>21326</v>
      </c>
      <c r="M9189" s="17"/>
      <c r="N9189" s="17" t="s">
        <v>21577</v>
      </c>
      <c r="O9189" s="17"/>
      <c r="P9189" s="17" t="s">
        <v>21590</v>
      </c>
      <c r="Q9189" s="17"/>
      <c r="R9189" s="25" t="str">
        <f>HYPERLINK("https://ictv.global/taxonomy/taxondetails?taxnode_id=202310228","Andhaxevirus chorenecus")</f>
        <v>Andhaxevirus chorenecus</v>
      </c>
      <c r="S9189" s="18" t="s">
        <v>30</v>
      </c>
      <c r="T9189" s="18" t="s">
        <v>21593</v>
      </c>
      <c r="U9189" s="18"/>
      <c r="V9189" s="18"/>
      <c r="W9189" s="18" t="s">
        <v>21594</v>
      </c>
      <c r="X9189" s="18" t="s">
        <v>35</v>
      </c>
      <c r="Y9189" s="18" t="s">
        <v>17171</v>
      </c>
      <c r="Z9189" s="18" t="s">
        <v>697</v>
      </c>
      <c r="AA9189" s="21" t="str">
        <f>HYPERLINK("https://www.ncbi.nlm.nih.gov/nuccore/BK013918","NCBI Nucleotide")</f>
        <v>NCBI Nucleotide</v>
      </c>
    </row>
    <row r="9190" spans="1:27" x14ac:dyDescent="0.35">
      <c r="A9190">
        <v>1009458</v>
      </c>
      <c r="B9190">
        <v>8515</v>
      </c>
      <c r="C9190">
        <v>1</v>
      </c>
      <c r="D9190" s="17" t="s">
        <v>17166</v>
      </c>
      <c r="E9190" s="17"/>
      <c r="F9190" s="17" t="s">
        <v>17246</v>
      </c>
      <c r="G9190" s="17"/>
      <c r="H9190" s="17" t="s">
        <v>20919</v>
      </c>
      <c r="I9190" s="17"/>
      <c r="J9190" s="17" t="s">
        <v>21313</v>
      </c>
      <c r="K9190" s="17"/>
      <c r="L9190" s="17" t="s">
        <v>21326</v>
      </c>
      <c r="M9190" s="17"/>
      <c r="N9190" s="17" t="s">
        <v>21577</v>
      </c>
      <c r="O9190" s="17"/>
      <c r="P9190" s="17" t="s">
        <v>21590</v>
      </c>
      <c r="Q9190" s="17"/>
      <c r="R9190" s="25" t="str">
        <f>HYPERLINK("https://ictv.global/taxonomy/taxondetails?taxnode_id=202310230","Andhaxevirus chorocola")</f>
        <v>Andhaxevirus chorocola</v>
      </c>
      <c r="S9190" s="18" t="s">
        <v>30</v>
      </c>
      <c r="T9190" s="18" t="s">
        <v>21595</v>
      </c>
      <c r="U9190" s="18"/>
      <c r="V9190" s="18"/>
      <c r="W9190" s="18" t="s">
        <v>21596</v>
      </c>
      <c r="X9190" s="18" t="s">
        <v>35</v>
      </c>
      <c r="Y9190" s="18" t="s">
        <v>17171</v>
      </c>
      <c r="Z9190" s="18" t="s">
        <v>697</v>
      </c>
      <c r="AA9190" s="21" t="str">
        <f>HYPERLINK("https://www.ncbi.nlm.nih.gov/nuccore/BK013549","NCBI Nucleotide")</f>
        <v>NCBI Nucleotide</v>
      </c>
    </row>
    <row r="9191" spans="1:27" x14ac:dyDescent="0.35">
      <c r="A9191">
        <v>1009459</v>
      </c>
      <c r="B9191">
        <v>8516</v>
      </c>
      <c r="C9191">
        <v>1</v>
      </c>
      <c r="D9191" s="17" t="s">
        <v>17166</v>
      </c>
      <c r="E9191" s="17"/>
      <c r="F9191" s="17" t="s">
        <v>17246</v>
      </c>
      <c r="G9191" s="17"/>
      <c r="H9191" s="17" t="s">
        <v>20919</v>
      </c>
      <c r="I9191" s="17"/>
      <c r="J9191" s="17" t="s">
        <v>21313</v>
      </c>
      <c r="K9191" s="17"/>
      <c r="L9191" s="17" t="s">
        <v>21326</v>
      </c>
      <c r="M9191" s="17"/>
      <c r="N9191" s="17" t="s">
        <v>21577</v>
      </c>
      <c r="O9191" s="17"/>
      <c r="P9191" s="17" t="s">
        <v>21590</v>
      </c>
      <c r="Q9191" s="17"/>
      <c r="R9191" s="25" t="str">
        <f>HYPERLINK("https://ictv.global/taxonomy/taxondetails?taxnode_id=202310232","Andhaxevirus chorovicinum")</f>
        <v>Andhaxevirus chorovicinum</v>
      </c>
      <c r="S9191" s="18" t="s">
        <v>30</v>
      </c>
      <c r="T9191" s="18" t="s">
        <v>21597</v>
      </c>
      <c r="U9191" s="18"/>
      <c r="V9191" s="18"/>
      <c r="W9191" s="18" t="s">
        <v>21598</v>
      </c>
      <c r="X9191" s="18" t="s">
        <v>35</v>
      </c>
      <c r="Y9191" s="18" t="s">
        <v>17171</v>
      </c>
      <c r="Z9191" s="18" t="s">
        <v>697</v>
      </c>
      <c r="AA9191" s="21" t="str">
        <f>HYPERLINK("https://www.ncbi.nlm.nih.gov/nuccore/BK013483","NCBI Nucleotide")</f>
        <v>NCBI Nucleotide</v>
      </c>
    </row>
    <row r="9192" spans="1:27" x14ac:dyDescent="0.35">
      <c r="A9192">
        <v>1025912</v>
      </c>
      <c r="B9192">
        <v>8517</v>
      </c>
      <c r="C9192">
        <v>1</v>
      </c>
      <c r="D9192" s="17" t="s">
        <v>17166</v>
      </c>
      <c r="E9192" s="17"/>
      <c r="F9192" s="17" t="s">
        <v>17246</v>
      </c>
      <c r="G9192" s="17"/>
      <c r="H9192" s="17" t="s">
        <v>20919</v>
      </c>
      <c r="I9192" s="17"/>
      <c r="J9192" s="17" t="s">
        <v>21313</v>
      </c>
      <c r="K9192" s="17"/>
      <c r="L9192" s="17" t="s">
        <v>21326</v>
      </c>
      <c r="M9192" s="17"/>
      <c r="N9192" s="17" t="s">
        <v>21577</v>
      </c>
      <c r="O9192" s="17"/>
      <c r="P9192" s="17" t="s">
        <v>21590</v>
      </c>
      <c r="Q9192" s="17"/>
      <c r="R9192" s="25" t="str">
        <f>HYPERLINK("https://ictv.global/taxonomy/taxondetails?taxnode_id=202316221","Andhaxevirus faecihabitans")</f>
        <v>Andhaxevirus faecihabitans</v>
      </c>
      <c r="S9192" s="18" t="s">
        <v>30</v>
      </c>
      <c r="T9192" s="18" t="s">
        <v>42907</v>
      </c>
      <c r="U9192" s="18"/>
      <c r="V9192" s="18" t="s">
        <v>42907</v>
      </c>
      <c r="W9192" s="18" t="s">
        <v>42908</v>
      </c>
      <c r="X9192" s="18" t="s">
        <v>35</v>
      </c>
      <c r="Y9192" s="18" t="s">
        <v>17171</v>
      </c>
      <c r="Z9192" s="18" t="s">
        <v>24637</v>
      </c>
      <c r="AA9192" s="21" t="str">
        <f>HYPERLINK("https://www.ncbi.nlm.nih.gov/nuccore/ON163346","NCBI Nucleotide")</f>
        <v>NCBI Nucleotide</v>
      </c>
    </row>
    <row r="9193" spans="1:27" x14ac:dyDescent="0.35">
      <c r="A9193">
        <v>1025913</v>
      </c>
      <c r="B9193">
        <v>8518</v>
      </c>
      <c r="C9193">
        <v>1</v>
      </c>
      <c r="D9193" s="17" t="s">
        <v>17166</v>
      </c>
      <c r="E9193" s="17"/>
      <c r="F9193" s="17" t="s">
        <v>17246</v>
      </c>
      <c r="G9193" s="17"/>
      <c r="H9193" s="17" t="s">
        <v>20919</v>
      </c>
      <c r="I9193" s="17"/>
      <c r="J9193" s="17" t="s">
        <v>21313</v>
      </c>
      <c r="K9193" s="17"/>
      <c r="L9193" s="17" t="s">
        <v>21326</v>
      </c>
      <c r="M9193" s="17"/>
      <c r="N9193" s="17" t="s">
        <v>21577</v>
      </c>
      <c r="O9193" s="17"/>
      <c r="P9193" s="17" t="s">
        <v>21590</v>
      </c>
      <c r="Q9193" s="17"/>
      <c r="R9193" s="25" t="str">
        <f>HYPERLINK("https://ictv.global/taxonomy/taxondetails?taxnode_id=202316222","Andhaxevirus geoadaptatum")</f>
        <v>Andhaxevirus geoadaptatum</v>
      </c>
      <c r="S9193" s="18" t="s">
        <v>30</v>
      </c>
      <c r="T9193" s="18" t="s">
        <v>42909</v>
      </c>
      <c r="U9193" s="18"/>
      <c r="V9193" s="18"/>
      <c r="W9193" s="18" t="s">
        <v>42910</v>
      </c>
      <c r="X9193" s="18" t="s">
        <v>35</v>
      </c>
      <c r="Y9193" s="18" t="s">
        <v>17171</v>
      </c>
      <c r="Z9193" s="18" t="s">
        <v>24637</v>
      </c>
      <c r="AA9193" s="21" t="str">
        <f>HYPERLINK("https://www.ncbi.nlm.nih.gov/nuccore/CASDWV010003539","NCBI Nucleotide")</f>
        <v>NCBI Nucleotide</v>
      </c>
    </row>
    <row r="9194" spans="1:27" x14ac:dyDescent="0.35">
      <c r="A9194">
        <v>1025914</v>
      </c>
      <c r="B9194">
        <v>8519</v>
      </c>
      <c r="C9194">
        <v>1</v>
      </c>
      <c r="D9194" s="17" t="s">
        <v>17166</v>
      </c>
      <c r="E9194" s="17"/>
      <c r="F9194" s="17" t="s">
        <v>17246</v>
      </c>
      <c r="G9194" s="17"/>
      <c r="H9194" s="17" t="s">
        <v>20919</v>
      </c>
      <c r="I9194" s="17"/>
      <c r="J9194" s="17" t="s">
        <v>21313</v>
      </c>
      <c r="K9194" s="17"/>
      <c r="L9194" s="17" t="s">
        <v>21326</v>
      </c>
      <c r="M9194" s="17"/>
      <c r="N9194" s="17" t="s">
        <v>21577</v>
      </c>
      <c r="O9194" s="17"/>
      <c r="P9194" s="17" t="s">
        <v>21590</v>
      </c>
      <c r="Q9194" s="17"/>
      <c r="R9194" s="25" t="str">
        <f>HYPERLINK("https://ictv.global/taxonomy/taxondetails?taxnode_id=202316223","Andhaxevirus geovicinum")</f>
        <v>Andhaxevirus geovicinum</v>
      </c>
      <c r="S9194" s="18" t="s">
        <v>30</v>
      </c>
      <c r="T9194" s="18" t="s">
        <v>42911</v>
      </c>
      <c r="U9194" s="18"/>
      <c r="V9194" s="18"/>
      <c r="W9194" s="18" t="s">
        <v>42912</v>
      </c>
      <c r="X9194" s="18" t="s">
        <v>35</v>
      </c>
      <c r="Y9194" s="18" t="s">
        <v>17171</v>
      </c>
      <c r="Z9194" s="18" t="s">
        <v>24637</v>
      </c>
      <c r="AA9194" s="21" t="str">
        <f>HYPERLINK("https://www.ncbi.nlm.nih.gov/nuccore/CASDWV010001635","NCBI Nucleotide")</f>
        <v>NCBI Nucleotide</v>
      </c>
    </row>
    <row r="9195" spans="1:27" x14ac:dyDescent="0.35">
      <c r="A9195">
        <v>1025915</v>
      </c>
      <c r="B9195">
        <v>8520</v>
      </c>
      <c r="C9195">
        <v>1</v>
      </c>
      <c r="D9195" s="17" t="s">
        <v>17166</v>
      </c>
      <c r="E9195" s="17"/>
      <c r="F9195" s="17" t="s">
        <v>17246</v>
      </c>
      <c r="G9195" s="17"/>
      <c r="H9195" s="17" t="s">
        <v>20919</v>
      </c>
      <c r="I9195" s="17"/>
      <c r="J9195" s="17" t="s">
        <v>21313</v>
      </c>
      <c r="K9195" s="17"/>
      <c r="L9195" s="17" t="s">
        <v>21326</v>
      </c>
      <c r="M9195" s="17"/>
      <c r="N9195" s="17" t="s">
        <v>21577</v>
      </c>
      <c r="O9195" s="17"/>
      <c r="P9195" s="17" t="s">
        <v>21590</v>
      </c>
      <c r="Q9195" s="17"/>
      <c r="R9195" s="25" t="str">
        <f>HYPERLINK("https://ictv.global/taxonomy/taxondetails?taxnode_id=202316224","Andhaxevirus limicola")</f>
        <v>Andhaxevirus limicola</v>
      </c>
      <c r="S9195" s="18" t="s">
        <v>30</v>
      </c>
      <c r="T9195" s="18" t="s">
        <v>42913</v>
      </c>
      <c r="U9195" s="18"/>
      <c r="V9195" s="18"/>
      <c r="W9195" s="18" t="s">
        <v>42914</v>
      </c>
      <c r="X9195" s="18" t="s">
        <v>35</v>
      </c>
      <c r="Y9195" s="18" t="s">
        <v>17171</v>
      </c>
      <c r="Z9195" s="18" t="s">
        <v>24637</v>
      </c>
      <c r="AA9195" s="21" t="str">
        <f>HYPERLINK("https://www.ncbi.nlm.nih.gov/nuccore/CASDWV010001904","NCBI Nucleotide")</f>
        <v>NCBI Nucleotide</v>
      </c>
    </row>
    <row r="9196" spans="1:27" x14ac:dyDescent="0.35">
      <c r="A9196">
        <v>1025916</v>
      </c>
      <c r="B9196">
        <v>8521</v>
      </c>
      <c r="C9196">
        <v>1</v>
      </c>
      <c r="D9196" s="17" t="s">
        <v>17166</v>
      </c>
      <c r="E9196" s="17"/>
      <c r="F9196" s="17" t="s">
        <v>17246</v>
      </c>
      <c r="G9196" s="17"/>
      <c r="H9196" s="17" t="s">
        <v>20919</v>
      </c>
      <c r="I9196" s="17"/>
      <c r="J9196" s="17" t="s">
        <v>21313</v>
      </c>
      <c r="K9196" s="17"/>
      <c r="L9196" s="17" t="s">
        <v>21326</v>
      </c>
      <c r="M9196" s="17"/>
      <c r="N9196" s="17" t="s">
        <v>21577</v>
      </c>
      <c r="O9196" s="17"/>
      <c r="P9196" s="17" t="s">
        <v>21590</v>
      </c>
      <c r="Q9196" s="17"/>
      <c r="R9196" s="25" t="str">
        <f>HYPERLINK("https://ictv.global/taxonomy/taxondetails?taxnode_id=202316225","Andhaxevirus lutadaptatum")</f>
        <v>Andhaxevirus lutadaptatum</v>
      </c>
      <c r="S9196" s="18" t="s">
        <v>30</v>
      </c>
      <c r="T9196" s="18" t="s">
        <v>42915</v>
      </c>
      <c r="U9196" s="18"/>
      <c r="V9196" s="18"/>
      <c r="W9196" s="18" t="s">
        <v>42916</v>
      </c>
      <c r="X9196" s="18" t="s">
        <v>35</v>
      </c>
      <c r="Y9196" s="18" t="s">
        <v>17171</v>
      </c>
      <c r="Z9196" s="18" t="s">
        <v>24637</v>
      </c>
      <c r="AA9196" s="21" t="str">
        <f>HYPERLINK("https://www.ncbi.nlm.nih.gov/nuccore/CASDWV010004161","NCBI Nucleotide")</f>
        <v>NCBI Nucleotide</v>
      </c>
    </row>
    <row r="9197" spans="1:27" x14ac:dyDescent="0.35">
      <c r="A9197">
        <v>1025917</v>
      </c>
      <c r="B9197">
        <v>8522</v>
      </c>
      <c r="C9197">
        <v>1</v>
      </c>
      <c r="D9197" s="17" t="s">
        <v>17166</v>
      </c>
      <c r="E9197" s="17"/>
      <c r="F9197" s="17" t="s">
        <v>17246</v>
      </c>
      <c r="G9197" s="17"/>
      <c r="H9197" s="17" t="s">
        <v>20919</v>
      </c>
      <c r="I9197" s="17"/>
      <c r="J9197" s="17" t="s">
        <v>21313</v>
      </c>
      <c r="K9197" s="17"/>
      <c r="L9197" s="17" t="s">
        <v>21326</v>
      </c>
      <c r="M9197" s="17"/>
      <c r="N9197" s="17" t="s">
        <v>21577</v>
      </c>
      <c r="O9197" s="17"/>
      <c r="P9197" s="17" t="s">
        <v>21590</v>
      </c>
      <c r="Q9197" s="17"/>
      <c r="R9197" s="25" t="str">
        <f>HYPERLINK("https://ictv.global/taxonomy/taxondetails?taxnode_id=202316226","Andhaxevirus messicola")</f>
        <v>Andhaxevirus messicola</v>
      </c>
      <c r="S9197" s="18" t="s">
        <v>30</v>
      </c>
      <c r="T9197" s="18" t="s">
        <v>42917</v>
      </c>
      <c r="U9197" s="18"/>
      <c r="V9197" s="18"/>
      <c r="W9197" s="18" t="s">
        <v>42918</v>
      </c>
      <c r="X9197" s="18" t="s">
        <v>35</v>
      </c>
      <c r="Y9197" s="18" t="s">
        <v>17171</v>
      </c>
      <c r="Z9197" s="18" t="s">
        <v>24637</v>
      </c>
      <c r="AA9197" s="21" t="str">
        <f>HYPERLINK("https://www.ncbi.nlm.nih.gov/nuccore/CASDWV010003028","NCBI Nucleotide")</f>
        <v>NCBI Nucleotide</v>
      </c>
    </row>
    <row r="9198" spans="1:27" x14ac:dyDescent="0.35">
      <c r="A9198">
        <v>1009593</v>
      </c>
      <c r="B9198">
        <v>8523</v>
      </c>
      <c r="C9198">
        <v>1</v>
      </c>
      <c r="D9198" s="17" t="s">
        <v>17166</v>
      </c>
      <c r="E9198" s="17"/>
      <c r="F9198" s="17" t="s">
        <v>17246</v>
      </c>
      <c r="G9198" s="17"/>
      <c r="H9198" s="17" t="s">
        <v>20919</v>
      </c>
      <c r="I9198" s="17"/>
      <c r="J9198" s="17" t="s">
        <v>21313</v>
      </c>
      <c r="K9198" s="17"/>
      <c r="L9198" s="17" t="s">
        <v>21326</v>
      </c>
      <c r="M9198" s="17"/>
      <c r="N9198" s="17" t="s">
        <v>21577</v>
      </c>
      <c r="O9198" s="17"/>
      <c r="P9198" s="17" t="s">
        <v>21590</v>
      </c>
      <c r="Q9198" s="17"/>
      <c r="R9198" s="25" t="str">
        <f>HYPERLINK("https://ictv.global/taxonomy/taxondetails?taxnode_id=202310450","Andhaxevirus pedenecus")</f>
        <v>Andhaxevirus pedenecus</v>
      </c>
      <c r="S9198" s="18" t="s">
        <v>30</v>
      </c>
      <c r="T9198" s="18" t="s">
        <v>21935</v>
      </c>
      <c r="U9198" s="18"/>
      <c r="V9198" s="18"/>
      <c r="W9198" s="18" t="s">
        <v>21936</v>
      </c>
      <c r="X9198" s="18" t="s">
        <v>35</v>
      </c>
      <c r="Y9198" s="18" t="s">
        <v>17171</v>
      </c>
      <c r="Z9198" s="18" t="s">
        <v>697</v>
      </c>
      <c r="AA9198" s="21" t="str">
        <f>HYPERLINK("https://www.ncbi.nlm.nih.gov/nuccore/BK013784","NCBI Nucleotide")</f>
        <v>NCBI Nucleotide</v>
      </c>
    </row>
    <row r="9199" spans="1:27" x14ac:dyDescent="0.35">
      <c r="A9199">
        <v>1025918</v>
      </c>
      <c r="B9199">
        <v>8524</v>
      </c>
      <c r="C9199">
        <v>1</v>
      </c>
      <c r="D9199" s="17" t="s">
        <v>17166</v>
      </c>
      <c r="E9199" s="17"/>
      <c r="F9199" s="17" t="s">
        <v>17246</v>
      </c>
      <c r="G9199" s="17"/>
      <c r="H9199" s="17" t="s">
        <v>20919</v>
      </c>
      <c r="I9199" s="17"/>
      <c r="J9199" s="17" t="s">
        <v>21313</v>
      </c>
      <c r="K9199" s="17"/>
      <c r="L9199" s="17" t="s">
        <v>21326</v>
      </c>
      <c r="M9199" s="17"/>
      <c r="N9199" s="17" t="s">
        <v>21577</v>
      </c>
      <c r="O9199" s="17"/>
      <c r="P9199" s="17" t="s">
        <v>21590</v>
      </c>
      <c r="Q9199" s="17"/>
      <c r="R9199" s="25" t="str">
        <f>HYPERLINK("https://ictv.global/taxonomy/taxondetails?taxnode_id=202316227","Andhaxevirus radicihabitans")</f>
        <v>Andhaxevirus radicihabitans</v>
      </c>
      <c r="S9199" s="18" t="s">
        <v>30</v>
      </c>
      <c r="T9199" s="18" t="s">
        <v>42919</v>
      </c>
      <c r="U9199" s="18"/>
      <c r="V9199" s="18"/>
      <c r="W9199" s="18" t="s">
        <v>42920</v>
      </c>
      <c r="X9199" s="18" t="s">
        <v>35</v>
      </c>
      <c r="Y9199" s="18" t="s">
        <v>17171</v>
      </c>
      <c r="Z9199" s="18" t="s">
        <v>24637</v>
      </c>
      <c r="AA9199" s="21" t="str">
        <f>HYPERLINK("https://www.ncbi.nlm.nih.gov/nuccore/CASDWV010002673","NCBI Nucleotide")</f>
        <v>NCBI Nucleotide</v>
      </c>
    </row>
    <row r="9200" spans="1:27" x14ac:dyDescent="0.35">
      <c r="A9200">
        <v>1025919</v>
      </c>
      <c r="B9200">
        <v>8525</v>
      </c>
      <c r="C9200">
        <v>1</v>
      </c>
      <c r="D9200" s="17" t="s">
        <v>17166</v>
      </c>
      <c r="E9200" s="17"/>
      <c r="F9200" s="17" t="s">
        <v>17246</v>
      </c>
      <c r="G9200" s="17"/>
      <c r="H9200" s="17" t="s">
        <v>20919</v>
      </c>
      <c r="I9200" s="17"/>
      <c r="J9200" s="17" t="s">
        <v>21313</v>
      </c>
      <c r="K9200" s="17"/>
      <c r="L9200" s="17" t="s">
        <v>21326</v>
      </c>
      <c r="M9200" s="17"/>
      <c r="N9200" s="17" t="s">
        <v>21577</v>
      </c>
      <c r="O9200" s="17"/>
      <c r="P9200" s="17" t="s">
        <v>21590</v>
      </c>
      <c r="Q9200" s="17"/>
      <c r="R9200" s="25" t="str">
        <f>HYPERLINK("https://ictv.global/taxonomy/taxondetails?taxnode_id=202316228","Andhaxevirus segetadaptatum")</f>
        <v>Andhaxevirus segetadaptatum</v>
      </c>
      <c r="S9200" s="18" t="s">
        <v>30</v>
      </c>
      <c r="T9200" s="18" t="s">
        <v>42921</v>
      </c>
      <c r="U9200" s="18"/>
      <c r="V9200" s="18"/>
      <c r="W9200" s="18" t="s">
        <v>42922</v>
      </c>
      <c r="X9200" s="18" t="s">
        <v>35</v>
      </c>
      <c r="Y9200" s="18" t="s">
        <v>17171</v>
      </c>
      <c r="Z9200" s="18" t="s">
        <v>24637</v>
      </c>
      <c r="AA9200" s="21" t="str">
        <f>HYPERLINK("https://www.ncbi.nlm.nih.gov/nuccore/CASDWV010003671","NCBI Nucleotide")</f>
        <v>NCBI Nucleotide</v>
      </c>
    </row>
    <row r="9201" spans="1:27" x14ac:dyDescent="0.35">
      <c r="A9201">
        <v>1025920</v>
      </c>
      <c r="B9201">
        <v>8526</v>
      </c>
      <c r="C9201">
        <v>1</v>
      </c>
      <c r="D9201" s="17" t="s">
        <v>17166</v>
      </c>
      <c r="E9201" s="17"/>
      <c r="F9201" s="17" t="s">
        <v>17246</v>
      </c>
      <c r="G9201" s="17"/>
      <c r="H9201" s="17" t="s">
        <v>20919</v>
      </c>
      <c r="I9201" s="17"/>
      <c r="J9201" s="17" t="s">
        <v>21313</v>
      </c>
      <c r="K9201" s="17"/>
      <c r="L9201" s="17" t="s">
        <v>21326</v>
      </c>
      <c r="M9201" s="17"/>
      <c r="N9201" s="17" t="s">
        <v>21577</v>
      </c>
      <c r="O9201" s="17"/>
      <c r="P9201" s="17" t="s">
        <v>21590</v>
      </c>
      <c r="Q9201" s="17"/>
      <c r="R9201" s="25" t="str">
        <f>HYPERLINK("https://ictv.global/taxonomy/taxondetails?taxnode_id=202316229","Andhaxevirus tellurivicinum")</f>
        <v>Andhaxevirus tellurivicinum</v>
      </c>
      <c r="S9201" s="18" t="s">
        <v>30</v>
      </c>
      <c r="T9201" s="18" t="s">
        <v>42923</v>
      </c>
      <c r="U9201" s="18"/>
      <c r="V9201" s="18"/>
      <c r="W9201" s="18" t="s">
        <v>42924</v>
      </c>
      <c r="X9201" s="18" t="s">
        <v>35</v>
      </c>
      <c r="Y9201" s="18" t="s">
        <v>17171</v>
      </c>
      <c r="Z9201" s="18" t="s">
        <v>24637</v>
      </c>
      <c r="AA9201" s="21" t="str">
        <f>HYPERLINK("https://www.ncbi.nlm.nih.gov/nuccore/CASDWV010003726","NCBI Nucleotide")</f>
        <v>NCBI Nucleotide</v>
      </c>
    </row>
    <row r="9202" spans="1:27" x14ac:dyDescent="0.35">
      <c r="A9202">
        <v>1025921</v>
      </c>
      <c r="B9202">
        <v>8527</v>
      </c>
      <c r="C9202">
        <v>1</v>
      </c>
      <c r="D9202" s="17" t="s">
        <v>17166</v>
      </c>
      <c r="E9202" s="17"/>
      <c r="F9202" s="17" t="s">
        <v>17246</v>
      </c>
      <c r="G9202" s="17"/>
      <c r="H9202" s="17" t="s">
        <v>20919</v>
      </c>
      <c r="I9202" s="17"/>
      <c r="J9202" s="17" t="s">
        <v>21313</v>
      </c>
      <c r="K9202" s="17"/>
      <c r="L9202" s="17" t="s">
        <v>21326</v>
      </c>
      <c r="M9202" s="17"/>
      <c r="N9202" s="17" t="s">
        <v>21577</v>
      </c>
      <c r="O9202" s="17"/>
      <c r="P9202" s="17" t="s">
        <v>21590</v>
      </c>
      <c r="Q9202" s="17"/>
      <c r="R9202" s="25" t="str">
        <f>HYPERLINK("https://ictv.global/taxonomy/taxondetails?taxnode_id=202316230","Andhaxevirus terrivicinum")</f>
        <v>Andhaxevirus terrivicinum</v>
      </c>
      <c r="S9202" s="18" t="s">
        <v>30</v>
      </c>
      <c r="T9202" s="18" t="s">
        <v>42925</v>
      </c>
      <c r="U9202" s="18"/>
      <c r="V9202" s="18"/>
      <c r="W9202" s="18" t="s">
        <v>42926</v>
      </c>
      <c r="X9202" s="18" t="s">
        <v>35</v>
      </c>
      <c r="Y9202" s="18" t="s">
        <v>17171</v>
      </c>
      <c r="Z9202" s="18" t="s">
        <v>24637</v>
      </c>
      <c r="AA9202" s="21" t="str">
        <f>HYPERLINK("https://www.ncbi.nlm.nih.gov/nuccore/CASDWV010002265","NCBI Nucleotide")</f>
        <v>NCBI Nucleotide</v>
      </c>
    </row>
    <row r="9203" spans="1:27" x14ac:dyDescent="0.35">
      <c r="A9203">
        <v>1025763</v>
      </c>
      <c r="B9203">
        <v>8528</v>
      </c>
      <c r="C9203">
        <v>1</v>
      </c>
      <c r="D9203" s="17" t="s">
        <v>17166</v>
      </c>
      <c r="E9203" s="17"/>
      <c r="F9203" s="17" t="s">
        <v>17246</v>
      </c>
      <c r="G9203" s="17"/>
      <c r="H9203" s="17" t="s">
        <v>20919</v>
      </c>
      <c r="I9203" s="17"/>
      <c r="J9203" s="17" t="s">
        <v>21313</v>
      </c>
      <c r="K9203" s="17"/>
      <c r="L9203" s="17" t="s">
        <v>21326</v>
      </c>
      <c r="M9203" s="17"/>
      <c r="N9203" s="17" t="s">
        <v>21577</v>
      </c>
      <c r="O9203" s="17"/>
      <c r="P9203" s="17" t="s">
        <v>21601</v>
      </c>
      <c r="Q9203" s="17"/>
      <c r="R9203" s="25" t="str">
        <f>HYPERLINK("https://ictv.global/taxonomy/taxondetails?taxnode_id=202316231","Ashucavirus asiadaptatum")</f>
        <v>Ashucavirus asiadaptatum</v>
      </c>
      <c r="S9203" s="18" t="s">
        <v>30</v>
      </c>
      <c r="T9203" s="18" t="s">
        <v>42927</v>
      </c>
      <c r="U9203" s="18"/>
      <c r="V9203" s="18"/>
      <c r="W9203" s="18" t="s">
        <v>42928</v>
      </c>
      <c r="X9203" s="18" t="s">
        <v>35</v>
      </c>
      <c r="Y9203" s="18" t="s">
        <v>17171</v>
      </c>
      <c r="Z9203" s="18" t="s">
        <v>24637</v>
      </c>
      <c r="AA9203" s="21" t="str">
        <f>HYPERLINK("https://www.ncbi.nlm.nih.gov/nuccore/CASDWV010002580","NCBI Nucleotide")</f>
        <v>NCBI Nucleotide</v>
      </c>
    </row>
    <row r="9204" spans="1:27" x14ac:dyDescent="0.35">
      <c r="A9204">
        <v>1025764</v>
      </c>
      <c r="B9204">
        <v>8529</v>
      </c>
      <c r="C9204">
        <v>1</v>
      </c>
      <c r="D9204" s="17" t="s">
        <v>17166</v>
      </c>
      <c r="E9204" s="17"/>
      <c r="F9204" s="17" t="s">
        <v>17246</v>
      </c>
      <c r="G9204" s="17"/>
      <c r="H9204" s="17" t="s">
        <v>20919</v>
      </c>
      <c r="I9204" s="17"/>
      <c r="J9204" s="17" t="s">
        <v>21313</v>
      </c>
      <c r="K9204" s="17"/>
      <c r="L9204" s="17" t="s">
        <v>21326</v>
      </c>
      <c r="M9204" s="17"/>
      <c r="N9204" s="17" t="s">
        <v>21577</v>
      </c>
      <c r="O9204" s="17"/>
      <c r="P9204" s="17" t="s">
        <v>21601</v>
      </c>
      <c r="Q9204" s="17"/>
      <c r="R9204" s="25" t="str">
        <f>HYPERLINK("https://ictv.global/taxonomy/taxondetails?taxnode_id=202316232","Ashucavirus asiocola")</f>
        <v>Ashucavirus asiocola</v>
      </c>
      <c r="S9204" s="18" t="s">
        <v>30</v>
      </c>
      <c r="T9204" s="18" t="s">
        <v>42929</v>
      </c>
      <c r="U9204" s="18"/>
      <c r="V9204" s="18"/>
      <c r="W9204" s="18" t="s">
        <v>42930</v>
      </c>
      <c r="X9204" s="18" t="s">
        <v>35</v>
      </c>
      <c r="Y9204" s="18" t="s">
        <v>17171</v>
      </c>
      <c r="Z9204" s="18" t="s">
        <v>24637</v>
      </c>
      <c r="AA9204" s="21" t="str">
        <f>HYPERLINK("https://www.ncbi.nlm.nih.gov/nuccore/CASDWV010002514","NCBI Nucleotide")</f>
        <v>NCBI Nucleotide</v>
      </c>
    </row>
    <row r="9205" spans="1:27" x14ac:dyDescent="0.35">
      <c r="A9205">
        <v>1009461</v>
      </c>
      <c r="B9205">
        <v>8530</v>
      </c>
      <c r="C9205">
        <v>1</v>
      </c>
      <c r="D9205" s="17" t="s">
        <v>17166</v>
      </c>
      <c r="E9205" s="17"/>
      <c r="F9205" s="17" t="s">
        <v>17246</v>
      </c>
      <c r="G9205" s="17"/>
      <c r="H9205" s="17" t="s">
        <v>20919</v>
      </c>
      <c r="I9205" s="17"/>
      <c r="J9205" s="17" t="s">
        <v>21313</v>
      </c>
      <c r="K9205" s="17"/>
      <c r="L9205" s="17" t="s">
        <v>21326</v>
      </c>
      <c r="M9205" s="17"/>
      <c r="N9205" s="17" t="s">
        <v>21577</v>
      </c>
      <c r="O9205" s="17"/>
      <c r="P9205" s="17" t="s">
        <v>21601</v>
      </c>
      <c r="Q9205" s="17"/>
      <c r="R9205" s="25" t="str">
        <f>HYPERLINK("https://ictv.global/taxonomy/taxondetails?taxnode_id=202310237","Ashucavirus caenicola")</f>
        <v>Ashucavirus caenicola</v>
      </c>
      <c r="S9205" s="18" t="s">
        <v>30</v>
      </c>
      <c r="T9205" s="18" t="s">
        <v>21602</v>
      </c>
      <c r="U9205" s="18"/>
      <c r="V9205" s="18"/>
      <c r="W9205" s="18" t="s">
        <v>21603</v>
      </c>
      <c r="X9205" s="18" t="s">
        <v>35</v>
      </c>
      <c r="Y9205" s="18" t="s">
        <v>17171</v>
      </c>
      <c r="Z9205" s="18" t="s">
        <v>697</v>
      </c>
      <c r="AA9205" s="21" t="str">
        <f>HYPERLINK("https://www.ncbi.nlm.nih.gov/nuccore/BK014127","NCBI Nucleotide")</f>
        <v>NCBI Nucleotide</v>
      </c>
    </row>
    <row r="9206" spans="1:27" x14ac:dyDescent="0.35">
      <c r="A9206">
        <v>1009462</v>
      </c>
      <c r="B9206">
        <v>8531</v>
      </c>
      <c r="C9206">
        <v>1</v>
      </c>
      <c r="D9206" s="17" t="s">
        <v>17166</v>
      </c>
      <c r="E9206" s="17"/>
      <c r="F9206" s="17" t="s">
        <v>17246</v>
      </c>
      <c r="G9206" s="17"/>
      <c r="H9206" s="17" t="s">
        <v>20919</v>
      </c>
      <c r="I9206" s="17"/>
      <c r="J9206" s="17" t="s">
        <v>21313</v>
      </c>
      <c r="K9206" s="17"/>
      <c r="L9206" s="17" t="s">
        <v>21326</v>
      </c>
      <c r="M9206" s="17"/>
      <c r="N9206" s="17" t="s">
        <v>21577</v>
      </c>
      <c r="O9206" s="17"/>
      <c r="P9206" s="17" t="s">
        <v>21601</v>
      </c>
      <c r="Q9206" s="17"/>
      <c r="R9206" s="25" t="str">
        <f>HYPERLINK("https://ictv.global/taxonomy/taxondetails?taxnode_id=202310238","Ashucavirus caenihabitans")</f>
        <v>Ashucavirus caenihabitans</v>
      </c>
      <c r="S9206" s="18" t="s">
        <v>30</v>
      </c>
      <c r="T9206" s="18" t="s">
        <v>21604</v>
      </c>
      <c r="U9206" s="18"/>
      <c r="V9206" s="18"/>
      <c r="W9206" s="18" t="s">
        <v>21605</v>
      </c>
      <c r="X9206" s="18" t="s">
        <v>35</v>
      </c>
      <c r="Y9206" s="18" t="s">
        <v>17171</v>
      </c>
      <c r="Z9206" s="18" t="s">
        <v>697</v>
      </c>
      <c r="AA9206" s="21" t="str">
        <f>HYPERLINK("https://www.ncbi.nlm.nih.gov/nuccore/BK013688","NCBI Nucleotide")</f>
        <v>NCBI Nucleotide</v>
      </c>
    </row>
    <row r="9207" spans="1:27" x14ac:dyDescent="0.35">
      <c r="A9207">
        <v>1009463</v>
      </c>
      <c r="B9207">
        <v>8532</v>
      </c>
      <c r="C9207">
        <v>1</v>
      </c>
      <c r="D9207" s="17" t="s">
        <v>17166</v>
      </c>
      <c r="E9207" s="17"/>
      <c r="F9207" s="17" t="s">
        <v>17246</v>
      </c>
      <c r="G9207" s="17"/>
      <c r="H9207" s="17" t="s">
        <v>20919</v>
      </c>
      <c r="I9207" s="17"/>
      <c r="J9207" s="17" t="s">
        <v>21313</v>
      </c>
      <c r="K9207" s="17"/>
      <c r="L9207" s="17" t="s">
        <v>21326</v>
      </c>
      <c r="M9207" s="17"/>
      <c r="N9207" s="17" t="s">
        <v>21577</v>
      </c>
      <c r="O9207" s="17"/>
      <c r="P9207" s="17" t="s">
        <v>21601</v>
      </c>
      <c r="Q9207" s="17"/>
      <c r="R9207" s="25" t="str">
        <f>HYPERLINK("https://ictv.global/taxonomy/taxondetails?taxnode_id=202310236","Ashucavirus caenivicinum")</f>
        <v>Ashucavirus caenivicinum</v>
      </c>
      <c r="S9207" s="18" t="s">
        <v>30</v>
      </c>
      <c r="T9207" s="18" t="s">
        <v>21606</v>
      </c>
      <c r="U9207" s="18"/>
      <c r="V9207" s="18"/>
      <c r="W9207" s="18" t="s">
        <v>21607</v>
      </c>
      <c r="X9207" s="18" t="s">
        <v>35</v>
      </c>
      <c r="Y9207" s="18" t="s">
        <v>17171</v>
      </c>
      <c r="Z9207" s="18" t="s">
        <v>697</v>
      </c>
      <c r="AA9207" s="21" t="str">
        <f>HYPERLINK("https://www.ncbi.nlm.nih.gov/nuccore/BK013766","NCBI Nucleotide")</f>
        <v>NCBI Nucleotide</v>
      </c>
    </row>
    <row r="9208" spans="1:27" x14ac:dyDescent="0.35">
      <c r="A9208">
        <v>1025765</v>
      </c>
      <c r="B9208">
        <v>8533</v>
      </c>
      <c r="C9208">
        <v>1</v>
      </c>
      <c r="D9208" s="17" t="s">
        <v>17166</v>
      </c>
      <c r="E9208" s="17"/>
      <c r="F9208" s="17" t="s">
        <v>17246</v>
      </c>
      <c r="G9208" s="17"/>
      <c r="H9208" s="17" t="s">
        <v>20919</v>
      </c>
      <c r="I9208" s="17"/>
      <c r="J9208" s="17" t="s">
        <v>21313</v>
      </c>
      <c r="K9208" s="17"/>
      <c r="L9208" s="17" t="s">
        <v>21326</v>
      </c>
      <c r="M9208" s="17"/>
      <c r="N9208" s="17" t="s">
        <v>21577</v>
      </c>
      <c r="O9208" s="17"/>
      <c r="P9208" s="17" t="s">
        <v>21601</v>
      </c>
      <c r="Q9208" s="17"/>
      <c r="R9208" s="25" t="str">
        <f>HYPERLINK("https://ictv.global/taxonomy/taxondetails?taxnode_id=202316233","Ashucavirus chthonovicinum")</f>
        <v>Ashucavirus chthonovicinum</v>
      </c>
      <c r="S9208" s="18" t="s">
        <v>30</v>
      </c>
      <c r="T9208" s="18" t="s">
        <v>42931</v>
      </c>
      <c r="U9208" s="18"/>
      <c r="V9208" s="18"/>
      <c r="W9208" s="18" t="s">
        <v>42932</v>
      </c>
      <c r="X9208" s="18" t="s">
        <v>35</v>
      </c>
      <c r="Y9208" s="18" t="s">
        <v>17171</v>
      </c>
      <c r="Z9208" s="18" t="s">
        <v>24637</v>
      </c>
      <c r="AA9208" s="21" t="str">
        <f>HYPERLINK("https://www.ncbi.nlm.nih.gov/nuccore/CASDWV010003859","NCBI Nucleotide")</f>
        <v>NCBI Nucleotide</v>
      </c>
    </row>
    <row r="9209" spans="1:27" x14ac:dyDescent="0.35">
      <c r="A9209">
        <v>1009464</v>
      </c>
      <c r="B9209">
        <v>8534</v>
      </c>
      <c r="C9209">
        <v>1</v>
      </c>
      <c r="D9209" s="17" t="s">
        <v>17166</v>
      </c>
      <c r="E9209" s="17"/>
      <c r="F9209" s="17" t="s">
        <v>17246</v>
      </c>
      <c r="G9209" s="17"/>
      <c r="H9209" s="17" t="s">
        <v>20919</v>
      </c>
      <c r="I9209" s="17"/>
      <c r="J9209" s="17" t="s">
        <v>21313</v>
      </c>
      <c r="K9209" s="17"/>
      <c r="L9209" s="17" t="s">
        <v>21326</v>
      </c>
      <c r="M9209" s="17"/>
      <c r="N9209" s="17" t="s">
        <v>21577</v>
      </c>
      <c r="O9209" s="17"/>
      <c r="P9209" s="17" t="s">
        <v>21608</v>
      </c>
      <c r="Q9209" s="17"/>
      <c r="R9209" s="25" t="str">
        <f>HYPERLINK("https://ictv.global/taxonomy/taxondetails?taxnode_id=202310240","Bahscuvirus limivicinum")</f>
        <v>Bahscuvirus limivicinum</v>
      </c>
      <c r="S9209" s="18" t="s">
        <v>30</v>
      </c>
      <c r="T9209" s="18" t="s">
        <v>21609</v>
      </c>
      <c r="U9209" s="18"/>
      <c r="V9209" s="18"/>
      <c r="W9209" s="18" t="s">
        <v>21610</v>
      </c>
      <c r="X9209" s="18" t="s">
        <v>35</v>
      </c>
      <c r="Y9209" s="18" t="s">
        <v>17171</v>
      </c>
      <c r="Z9209" s="18" t="s">
        <v>697</v>
      </c>
      <c r="AA9209" s="21" t="str">
        <f>HYPERLINK("https://www.ncbi.nlm.nih.gov/nuccore/BK014100","NCBI Nucleotide")</f>
        <v>NCBI Nucleotide</v>
      </c>
    </row>
    <row r="9210" spans="1:27" x14ac:dyDescent="0.35">
      <c r="A9210">
        <v>1009466</v>
      </c>
      <c r="B9210">
        <v>8535</v>
      </c>
      <c r="C9210">
        <v>1</v>
      </c>
      <c r="D9210" s="17" t="s">
        <v>17166</v>
      </c>
      <c r="E9210" s="17"/>
      <c r="F9210" s="17" t="s">
        <v>17246</v>
      </c>
      <c r="G9210" s="17"/>
      <c r="H9210" s="17" t="s">
        <v>20919</v>
      </c>
      <c r="I9210" s="17"/>
      <c r="J9210" s="17" t="s">
        <v>21313</v>
      </c>
      <c r="K9210" s="17"/>
      <c r="L9210" s="17" t="s">
        <v>21326</v>
      </c>
      <c r="M9210" s="17"/>
      <c r="N9210" s="17" t="s">
        <v>21577</v>
      </c>
      <c r="O9210" s="17"/>
      <c r="P9210" s="17" t="s">
        <v>21613</v>
      </c>
      <c r="Q9210" s="17"/>
      <c r="R9210" s="25" t="str">
        <f>HYPERLINK("https://ictv.global/taxonomy/taxondetails?taxnode_id=202310244","Behevivirus limivivens")</f>
        <v>Behevivirus limivivens</v>
      </c>
      <c r="S9210" s="18" t="s">
        <v>30</v>
      </c>
      <c r="T9210" s="18" t="s">
        <v>21614</v>
      </c>
      <c r="U9210" s="18"/>
      <c r="V9210" s="18"/>
      <c r="W9210" s="18" t="s">
        <v>21615</v>
      </c>
      <c r="X9210" s="18" t="s">
        <v>35</v>
      </c>
      <c r="Y9210" s="18" t="s">
        <v>17171</v>
      </c>
      <c r="Z9210" s="18" t="s">
        <v>697</v>
      </c>
      <c r="AA9210" s="21" t="str">
        <f>HYPERLINK("https://www.ncbi.nlm.nih.gov/nuccore/BK014157","NCBI Nucleotide")</f>
        <v>NCBI Nucleotide</v>
      </c>
    </row>
    <row r="9211" spans="1:27" x14ac:dyDescent="0.35">
      <c r="A9211">
        <v>1009467</v>
      </c>
      <c r="B9211">
        <v>8536</v>
      </c>
      <c r="C9211">
        <v>1</v>
      </c>
      <c r="D9211" s="17" t="s">
        <v>17166</v>
      </c>
      <c r="E9211" s="17"/>
      <c r="F9211" s="17" t="s">
        <v>17246</v>
      </c>
      <c r="G9211" s="17"/>
      <c r="H9211" s="17" t="s">
        <v>20919</v>
      </c>
      <c r="I9211" s="17"/>
      <c r="J9211" s="17" t="s">
        <v>21313</v>
      </c>
      <c r="K9211" s="17"/>
      <c r="L9211" s="17" t="s">
        <v>21326</v>
      </c>
      <c r="M9211" s="17"/>
      <c r="N9211" s="17" t="s">
        <v>21577</v>
      </c>
      <c r="O9211" s="17"/>
      <c r="P9211" s="17" t="s">
        <v>21616</v>
      </c>
      <c r="Q9211" s="17"/>
      <c r="R9211" s="25" t="str">
        <f>HYPERLINK("https://ictv.global/taxonomy/taxondetails?taxnode_id=202310246","Behlfluvirus lutadaptatum")</f>
        <v>Behlfluvirus lutadaptatum</v>
      </c>
      <c r="S9211" s="18" t="s">
        <v>30</v>
      </c>
      <c r="T9211" s="18" t="s">
        <v>21617</v>
      </c>
      <c r="U9211" s="18"/>
      <c r="V9211" s="18"/>
      <c r="W9211" s="18" t="s">
        <v>21618</v>
      </c>
      <c r="X9211" s="18" t="s">
        <v>35</v>
      </c>
      <c r="Y9211" s="18" t="s">
        <v>17171</v>
      </c>
      <c r="Z9211" s="18" t="s">
        <v>697</v>
      </c>
      <c r="AA9211" s="21" t="str">
        <f>HYPERLINK("https://www.ncbi.nlm.nih.gov/nuccore/BK014175","NCBI Nucleotide")</f>
        <v>NCBI Nucleotide</v>
      </c>
    </row>
    <row r="9212" spans="1:27" x14ac:dyDescent="0.35">
      <c r="A9212">
        <v>1009469</v>
      </c>
      <c r="B9212">
        <v>8537</v>
      </c>
      <c r="C9212">
        <v>1</v>
      </c>
      <c r="D9212" s="17" t="s">
        <v>17166</v>
      </c>
      <c r="E9212" s="17"/>
      <c r="F9212" s="17" t="s">
        <v>17246</v>
      </c>
      <c r="G9212" s="17"/>
      <c r="H9212" s="17" t="s">
        <v>20919</v>
      </c>
      <c r="I9212" s="17"/>
      <c r="J9212" s="17" t="s">
        <v>21313</v>
      </c>
      <c r="K9212" s="17"/>
      <c r="L9212" s="17" t="s">
        <v>21326</v>
      </c>
      <c r="M9212" s="17"/>
      <c r="N9212" s="17" t="s">
        <v>21577</v>
      </c>
      <c r="O9212" s="17"/>
      <c r="P9212" s="17" t="s">
        <v>21621</v>
      </c>
      <c r="Q9212" s="17"/>
      <c r="R9212" s="25" t="str">
        <f>HYPERLINK("https://ictv.global/taxonomy/taxondetails?taxnode_id=202310250","Bihdovirus pelohabitans")</f>
        <v>Bihdovirus pelohabitans</v>
      </c>
      <c r="S9212" s="18" t="s">
        <v>30</v>
      </c>
      <c r="T9212" s="18" t="s">
        <v>21622</v>
      </c>
      <c r="U9212" s="18"/>
      <c r="V9212" s="18"/>
      <c r="W9212" s="18" t="s">
        <v>21623</v>
      </c>
      <c r="X9212" s="18" t="s">
        <v>35</v>
      </c>
      <c r="Y9212" s="18" t="s">
        <v>17171</v>
      </c>
      <c r="Z9212" s="18" t="s">
        <v>697</v>
      </c>
      <c r="AA9212" s="21" t="str">
        <f>HYPERLINK("https://www.ncbi.nlm.nih.gov/nuccore/BK014047","NCBI Nucleotide")</f>
        <v>NCBI Nucleotide</v>
      </c>
    </row>
    <row r="9213" spans="1:27" x14ac:dyDescent="0.35">
      <c r="A9213">
        <v>1009470</v>
      </c>
      <c r="B9213">
        <v>8538</v>
      </c>
      <c r="C9213">
        <v>1</v>
      </c>
      <c r="D9213" s="17" t="s">
        <v>17166</v>
      </c>
      <c r="E9213" s="17"/>
      <c r="F9213" s="17" t="s">
        <v>17246</v>
      </c>
      <c r="G9213" s="17"/>
      <c r="H9213" s="17" t="s">
        <v>20919</v>
      </c>
      <c r="I9213" s="17"/>
      <c r="J9213" s="17" t="s">
        <v>21313</v>
      </c>
      <c r="K9213" s="17"/>
      <c r="L9213" s="17" t="s">
        <v>21326</v>
      </c>
      <c r="M9213" s="17"/>
      <c r="N9213" s="17" t="s">
        <v>21577</v>
      </c>
      <c r="O9213" s="17"/>
      <c r="P9213" s="17" t="s">
        <v>21624</v>
      </c>
      <c r="Q9213" s="17"/>
      <c r="R9213" s="25" t="str">
        <f>HYPERLINK("https://ictv.global/taxonomy/taxondetails?taxnode_id=202310252","Bisdanovirus hydrocola")</f>
        <v>Bisdanovirus hydrocola</v>
      </c>
      <c r="S9213" s="18" t="s">
        <v>30</v>
      </c>
      <c r="T9213" s="18" t="s">
        <v>21625</v>
      </c>
      <c r="U9213" s="18"/>
      <c r="V9213" s="18"/>
      <c r="W9213" s="18" t="s">
        <v>21626</v>
      </c>
      <c r="X9213" s="18" t="s">
        <v>35</v>
      </c>
      <c r="Y9213" s="18" t="s">
        <v>17171</v>
      </c>
      <c r="Z9213" s="18" t="s">
        <v>697</v>
      </c>
      <c r="AA9213" s="21" t="str">
        <f>HYPERLINK("https://www.ncbi.nlm.nih.gov/nuccore/BK014220","NCBI Nucleotide")</f>
        <v>NCBI Nucleotide</v>
      </c>
    </row>
    <row r="9214" spans="1:27" x14ac:dyDescent="0.35">
      <c r="A9214">
        <v>1009471</v>
      </c>
      <c r="B9214">
        <v>8539</v>
      </c>
      <c r="C9214">
        <v>1</v>
      </c>
      <c r="D9214" s="17" t="s">
        <v>17166</v>
      </c>
      <c r="E9214" s="17"/>
      <c r="F9214" s="17" t="s">
        <v>17246</v>
      </c>
      <c r="G9214" s="17"/>
      <c r="H9214" s="17" t="s">
        <v>20919</v>
      </c>
      <c r="I9214" s="17"/>
      <c r="J9214" s="17" t="s">
        <v>21313</v>
      </c>
      <c r="K9214" s="17"/>
      <c r="L9214" s="17" t="s">
        <v>21326</v>
      </c>
      <c r="M9214" s="17"/>
      <c r="N9214" s="17" t="s">
        <v>21577</v>
      </c>
      <c r="O9214" s="17"/>
      <c r="P9214" s="17" t="s">
        <v>21627</v>
      </c>
      <c r="Q9214" s="17"/>
      <c r="R9214" s="25" t="str">
        <f>HYPERLINK("https://ictv.global/taxonomy/taxondetails?taxnode_id=202310254","Blafavirus pelovivens")</f>
        <v>Blafavirus pelovivens</v>
      </c>
      <c r="S9214" s="18" t="s">
        <v>30</v>
      </c>
      <c r="T9214" s="18" t="s">
        <v>21628</v>
      </c>
      <c r="U9214" s="18"/>
      <c r="V9214" s="18"/>
      <c r="W9214" s="18" t="s">
        <v>21629</v>
      </c>
      <c r="X9214" s="18" t="s">
        <v>35</v>
      </c>
      <c r="Y9214" s="18" t="s">
        <v>17171</v>
      </c>
      <c r="Z9214" s="18" t="s">
        <v>697</v>
      </c>
      <c r="AA9214" s="21" t="str">
        <f>HYPERLINK("https://www.ncbi.nlm.nih.gov/nuccore/BK014182","NCBI Nucleotide")</f>
        <v>NCBI Nucleotide</v>
      </c>
    </row>
    <row r="9215" spans="1:27" x14ac:dyDescent="0.35">
      <c r="A9215">
        <v>1009472</v>
      </c>
      <c r="B9215">
        <v>8540</v>
      </c>
      <c r="C9215">
        <v>1</v>
      </c>
      <c r="D9215" s="17" t="s">
        <v>17166</v>
      </c>
      <c r="E9215" s="17"/>
      <c r="F9215" s="17" t="s">
        <v>17246</v>
      </c>
      <c r="G9215" s="17"/>
      <c r="H9215" s="17" t="s">
        <v>20919</v>
      </c>
      <c r="I9215" s="17"/>
      <c r="J9215" s="17" t="s">
        <v>21313</v>
      </c>
      <c r="K9215" s="17"/>
      <c r="L9215" s="17" t="s">
        <v>21326</v>
      </c>
      <c r="M9215" s="17"/>
      <c r="N9215" s="17" t="s">
        <v>21577</v>
      </c>
      <c r="O9215" s="17"/>
      <c r="P9215" s="17" t="s">
        <v>21630</v>
      </c>
      <c r="Q9215" s="17"/>
      <c r="R9215" s="25" t="str">
        <f>HYPERLINK("https://ictv.global/taxonomy/taxondetails?taxnode_id=202310256","Bohnovirus asienecus")</f>
        <v>Bohnovirus asienecus</v>
      </c>
      <c r="S9215" s="18" t="s">
        <v>30</v>
      </c>
      <c r="T9215" s="18" t="s">
        <v>21631</v>
      </c>
      <c r="U9215" s="18"/>
      <c r="V9215" s="18"/>
      <c r="W9215" s="18" t="s">
        <v>21632</v>
      </c>
      <c r="X9215" s="18" t="s">
        <v>35</v>
      </c>
      <c r="Y9215" s="18" t="s">
        <v>17171</v>
      </c>
      <c r="Z9215" s="18" t="s">
        <v>697</v>
      </c>
      <c r="AA9215" s="21" t="str">
        <f>HYPERLINK("https://www.ncbi.nlm.nih.gov/nuccore/BK014186","NCBI Nucleotide")</f>
        <v>NCBI Nucleotide</v>
      </c>
    </row>
    <row r="9216" spans="1:27" x14ac:dyDescent="0.35">
      <c r="A9216">
        <v>1009473</v>
      </c>
      <c r="B9216">
        <v>8541</v>
      </c>
      <c r="C9216">
        <v>1</v>
      </c>
      <c r="D9216" s="17" t="s">
        <v>17166</v>
      </c>
      <c r="E9216" s="17"/>
      <c r="F9216" s="17" t="s">
        <v>17246</v>
      </c>
      <c r="G9216" s="17"/>
      <c r="H9216" s="17" t="s">
        <v>20919</v>
      </c>
      <c r="I9216" s="17"/>
      <c r="J9216" s="17" t="s">
        <v>21313</v>
      </c>
      <c r="K9216" s="17"/>
      <c r="L9216" s="17" t="s">
        <v>21326</v>
      </c>
      <c r="M9216" s="17"/>
      <c r="N9216" s="17" t="s">
        <v>21577</v>
      </c>
      <c r="O9216" s="17"/>
      <c r="P9216" s="17" t="s">
        <v>21633</v>
      </c>
      <c r="Q9216" s="17"/>
      <c r="R9216" s="25" t="str">
        <f>HYPERLINK("https://ictv.global/taxonomy/taxondetails?taxnode_id=202310258","Bohwovirus asiocola")</f>
        <v>Bohwovirus asiocola</v>
      </c>
      <c r="S9216" s="18" t="s">
        <v>30</v>
      </c>
      <c r="T9216" s="18" t="s">
        <v>21634</v>
      </c>
      <c r="U9216" s="18"/>
      <c r="V9216" s="18"/>
      <c r="W9216" s="18" t="s">
        <v>21635</v>
      </c>
      <c r="X9216" s="18" t="s">
        <v>35</v>
      </c>
      <c r="Y9216" s="18" t="s">
        <v>17171</v>
      </c>
      <c r="Z9216" s="18" t="s">
        <v>697</v>
      </c>
      <c r="AA9216" s="21" t="str">
        <f>HYPERLINK("https://www.ncbi.nlm.nih.gov/nuccore/BK014153","NCBI Nucleotide")</f>
        <v>NCBI Nucleotide</v>
      </c>
    </row>
    <row r="9217" spans="1:27" x14ac:dyDescent="0.35">
      <c r="A9217">
        <v>1009478</v>
      </c>
      <c r="B9217">
        <v>8542</v>
      </c>
      <c r="C9217">
        <v>1</v>
      </c>
      <c r="D9217" s="17" t="s">
        <v>17166</v>
      </c>
      <c r="E9217" s="17"/>
      <c r="F9217" s="17" t="s">
        <v>17246</v>
      </c>
      <c r="G9217" s="17"/>
      <c r="H9217" s="17" t="s">
        <v>20919</v>
      </c>
      <c r="I9217" s="17"/>
      <c r="J9217" s="17" t="s">
        <v>21313</v>
      </c>
      <c r="K9217" s="17"/>
      <c r="L9217" s="17" t="s">
        <v>21326</v>
      </c>
      <c r="M9217" s="17"/>
      <c r="N9217" s="17" t="s">
        <v>21577</v>
      </c>
      <c r="O9217" s="17"/>
      <c r="P9217" s="17" t="s">
        <v>21644</v>
      </c>
      <c r="Q9217" s="17"/>
      <c r="R9217" s="25" t="str">
        <f>HYPERLINK("https://ictv.global/taxonomy/taxondetails?taxnode_id=202310265","Boschuvirus borborocola")</f>
        <v>Boschuvirus borborocola</v>
      </c>
      <c r="S9217" s="18" t="s">
        <v>30</v>
      </c>
      <c r="T9217" s="18" t="s">
        <v>21645</v>
      </c>
      <c r="U9217" s="18"/>
      <c r="V9217" s="18"/>
      <c r="W9217" s="18" t="s">
        <v>21646</v>
      </c>
      <c r="X9217" s="18" t="s">
        <v>35</v>
      </c>
      <c r="Y9217" s="18" t="s">
        <v>17171</v>
      </c>
      <c r="Z9217" s="18" t="s">
        <v>697</v>
      </c>
      <c r="AA9217" s="21" t="str">
        <f>HYPERLINK("https://www.ncbi.nlm.nih.gov/nuccore/BK013624","NCBI Nucleotide")</f>
        <v>NCBI Nucleotide</v>
      </c>
    </row>
    <row r="9218" spans="1:27" x14ac:dyDescent="0.35">
      <c r="A9218">
        <v>1009479</v>
      </c>
      <c r="B9218">
        <v>8543</v>
      </c>
      <c r="C9218">
        <v>1</v>
      </c>
      <c r="D9218" s="17" t="s">
        <v>17166</v>
      </c>
      <c r="E9218" s="17"/>
      <c r="F9218" s="17" t="s">
        <v>17246</v>
      </c>
      <c r="G9218" s="17"/>
      <c r="H9218" s="17" t="s">
        <v>20919</v>
      </c>
      <c r="I9218" s="17"/>
      <c r="J9218" s="17" t="s">
        <v>21313</v>
      </c>
      <c r="K9218" s="17"/>
      <c r="L9218" s="17" t="s">
        <v>21326</v>
      </c>
      <c r="M9218" s="17"/>
      <c r="N9218" s="17" t="s">
        <v>21577</v>
      </c>
      <c r="O9218" s="17"/>
      <c r="P9218" s="17" t="s">
        <v>21647</v>
      </c>
      <c r="Q9218" s="17"/>
      <c r="R9218" s="25" t="str">
        <f>HYPERLINK("https://ictv.global/taxonomy/taxondetails?taxnode_id=202310267","Breudwovirus borborohabitans")</f>
        <v>Breudwovirus borborohabitans</v>
      </c>
      <c r="S9218" s="18" t="s">
        <v>30</v>
      </c>
      <c r="T9218" s="18" t="s">
        <v>21648</v>
      </c>
      <c r="U9218" s="18"/>
      <c r="V9218" s="18"/>
      <c r="W9218" s="18" t="s">
        <v>21649</v>
      </c>
      <c r="X9218" s="18" t="s">
        <v>35</v>
      </c>
      <c r="Y9218" s="18" t="s">
        <v>17171</v>
      </c>
      <c r="Z9218" s="18" t="s">
        <v>697</v>
      </c>
      <c r="AA9218" s="21" t="str">
        <f>HYPERLINK("https://www.ncbi.nlm.nih.gov/nuccore/BK014134","NCBI Nucleotide")</f>
        <v>NCBI Nucleotide</v>
      </c>
    </row>
    <row r="9219" spans="1:27" x14ac:dyDescent="0.35">
      <c r="A9219">
        <v>1009488</v>
      </c>
      <c r="B9219">
        <v>8544</v>
      </c>
      <c r="C9219">
        <v>1</v>
      </c>
      <c r="D9219" s="17" t="s">
        <v>17166</v>
      </c>
      <c r="E9219" s="17"/>
      <c r="F9219" s="17" t="s">
        <v>17246</v>
      </c>
      <c r="G9219" s="17"/>
      <c r="H9219" s="17" t="s">
        <v>20919</v>
      </c>
      <c r="I9219" s="17"/>
      <c r="J9219" s="17" t="s">
        <v>21313</v>
      </c>
      <c r="K9219" s="17"/>
      <c r="L9219" s="17" t="s">
        <v>21326</v>
      </c>
      <c r="M9219" s="17"/>
      <c r="N9219" s="17" t="s">
        <v>21577</v>
      </c>
      <c r="O9219" s="17"/>
      <c r="P9219" s="17" t="s">
        <v>21666</v>
      </c>
      <c r="Q9219" s="17"/>
      <c r="R9219" s="25" t="str">
        <f>HYPERLINK("https://ictv.global/taxonomy/taxondetails?taxnode_id=202310278","Buhdavirus caenihabitans")</f>
        <v>Buhdavirus caenihabitans</v>
      </c>
      <c r="S9219" s="18" t="s">
        <v>30</v>
      </c>
      <c r="T9219" s="18" t="s">
        <v>21667</v>
      </c>
      <c r="U9219" s="18"/>
      <c r="V9219" s="18"/>
      <c r="W9219" s="18" t="s">
        <v>21668</v>
      </c>
      <c r="X9219" s="18" t="s">
        <v>35</v>
      </c>
      <c r="Y9219" s="18" t="s">
        <v>17171</v>
      </c>
      <c r="Z9219" s="18" t="s">
        <v>697</v>
      </c>
      <c r="AA9219" s="21" t="str">
        <f>HYPERLINK("https://www.ncbi.nlm.nih.gov/nuccore/BK013697","NCBI Nucleotide")</f>
        <v>NCBI Nucleotide</v>
      </c>
    </row>
    <row r="9220" spans="1:27" x14ac:dyDescent="0.35">
      <c r="A9220">
        <v>1026014</v>
      </c>
      <c r="B9220">
        <v>8545</v>
      </c>
      <c r="C9220">
        <v>1</v>
      </c>
      <c r="D9220" s="17" t="s">
        <v>17166</v>
      </c>
      <c r="E9220" s="17"/>
      <c r="F9220" s="17" t="s">
        <v>17246</v>
      </c>
      <c r="G9220" s="17"/>
      <c r="H9220" s="17" t="s">
        <v>20919</v>
      </c>
      <c r="I9220" s="17"/>
      <c r="J9220" s="17" t="s">
        <v>21313</v>
      </c>
      <c r="K9220" s="17"/>
      <c r="L9220" s="17" t="s">
        <v>21326</v>
      </c>
      <c r="M9220" s="17"/>
      <c r="N9220" s="17" t="s">
        <v>21577</v>
      </c>
      <c r="O9220" s="17"/>
      <c r="P9220" s="17" t="s">
        <v>21669</v>
      </c>
      <c r="Q9220" s="17"/>
      <c r="R9220" s="25" t="str">
        <f>HYPERLINK("https://ictv.global/taxonomy/taxondetails?taxnode_id=202316234","Cahdavirus asiohabitans")</f>
        <v>Cahdavirus asiohabitans</v>
      </c>
      <c r="S9220" s="18" t="s">
        <v>30</v>
      </c>
      <c r="T9220" s="18" t="s">
        <v>42933</v>
      </c>
      <c r="U9220" s="18"/>
      <c r="V9220" s="18"/>
      <c r="W9220" s="18" t="s">
        <v>42934</v>
      </c>
      <c r="X9220" s="18" t="s">
        <v>35</v>
      </c>
      <c r="Y9220" s="18" t="s">
        <v>17171</v>
      </c>
      <c r="Z9220" s="18" t="s">
        <v>24637</v>
      </c>
      <c r="AA9220" s="21" t="str">
        <f>HYPERLINK("https://www.ncbi.nlm.nih.gov/nuccore/CASDWV010001409","NCBI Nucleotide")</f>
        <v>NCBI Nucleotide</v>
      </c>
    </row>
    <row r="9221" spans="1:27" x14ac:dyDescent="0.35">
      <c r="A9221">
        <v>1026015</v>
      </c>
      <c r="B9221">
        <v>8546</v>
      </c>
      <c r="C9221">
        <v>1</v>
      </c>
      <c r="D9221" s="17" t="s">
        <v>17166</v>
      </c>
      <c r="E9221" s="17"/>
      <c r="F9221" s="17" t="s">
        <v>17246</v>
      </c>
      <c r="G9221" s="17"/>
      <c r="H9221" s="17" t="s">
        <v>20919</v>
      </c>
      <c r="I9221" s="17"/>
      <c r="J9221" s="17" t="s">
        <v>21313</v>
      </c>
      <c r="K9221" s="17"/>
      <c r="L9221" s="17" t="s">
        <v>21326</v>
      </c>
      <c r="M9221" s="17"/>
      <c r="N9221" s="17" t="s">
        <v>21577</v>
      </c>
      <c r="O9221" s="17"/>
      <c r="P9221" s="17" t="s">
        <v>21669</v>
      </c>
      <c r="Q9221" s="17"/>
      <c r="R9221" s="25" t="str">
        <f>HYPERLINK("https://ictv.global/taxonomy/taxondetails?taxnode_id=202316235","Cahdavirus chorovivens")</f>
        <v>Cahdavirus chorovivens</v>
      </c>
      <c r="S9221" s="18" t="s">
        <v>30</v>
      </c>
      <c r="T9221" s="18" t="s">
        <v>42935</v>
      </c>
      <c r="U9221" s="18"/>
      <c r="V9221" s="18"/>
      <c r="W9221" s="18" t="s">
        <v>42936</v>
      </c>
      <c r="X9221" s="18" t="s">
        <v>35</v>
      </c>
      <c r="Y9221" s="18" t="s">
        <v>17171</v>
      </c>
      <c r="Z9221" s="18" t="s">
        <v>24637</v>
      </c>
      <c r="AA9221" s="21" t="str">
        <f>HYPERLINK("https://www.ncbi.nlm.nih.gov/nuccore/CASDWV010000359","NCBI Nucleotide")</f>
        <v>NCBI Nucleotide</v>
      </c>
    </row>
    <row r="9222" spans="1:27" x14ac:dyDescent="0.35">
      <c r="A9222">
        <v>1026016</v>
      </c>
      <c r="B9222">
        <v>8547</v>
      </c>
      <c r="C9222">
        <v>1</v>
      </c>
      <c r="D9222" s="17" t="s">
        <v>17166</v>
      </c>
      <c r="E9222" s="17"/>
      <c r="F9222" s="17" t="s">
        <v>17246</v>
      </c>
      <c r="G9222" s="17"/>
      <c r="H9222" s="17" t="s">
        <v>20919</v>
      </c>
      <c r="I9222" s="17"/>
      <c r="J9222" s="17" t="s">
        <v>21313</v>
      </c>
      <c r="K9222" s="17"/>
      <c r="L9222" s="17" t="s">
        <v>21326</v>
      </c>
      <c r="M9222" s="17"/>
      <c r="N9222" s="17" t="s">
        <v>21577</v>
      </c>
      <c r="O9222" s="17"/>
      <c r="P9222" s="17" t="s">
        <v>21669</v>
      </c>
      <c r="Q9222" s="17"/>
      <c r="R9222" s="25" t="str">
        <f>HYPERLINK("https://ictv.global/taxonomy/taxondetails?taxnode_id=202316236","Cahdavirus chthonadaptatum")</f>
        <v>Cahdavirus chthonadaptatum</v>
      </c>
      <c r="S9222" s="18" t="s">
        <v>30</v>
      </c>
      <c r="T9222" s="18" t="s">
        <v>42937</v>
      </c>
      <c r="U9222" s="18"/>
      <c r="V9222" s="18"/>
      <c r="W9222" s="18" t="s">
        <v>42938</v>
      </c>
      <c r="X9222" s="18" t="s">
        <v>35</v>
      </c>
      <c r="Y9222" s="18" t="s">
        <v>17171</v>
      </c>
      <c r="Z9222" s="18" t="s">
        <v>24637</v>
      </c>
      <c r="AA9222" s="21" t="str">
        <f>HYPERLINK("https://www.ncbi.nlm.nih.gov/nuccore/CASDWV010001264","NCBI Nucleotide")</f>
        <v>NCBI Nucleotide</v>
      </c>
    </row>
    <row r="9223" spans="1:27" x14ac:dyDescent="0.35">
      <c r="A9223">
        <v>1009489</v>
      </c>
      <c r="B9223">
        <v>8548</v>
      </c>
      <c r="C9223">
        <v>1</v>
      </c>
      <c r="D9223" s="17" t="s">
        <v>17166</v>
      </c>
      <c r="E9223" s="17"/>
      <c r="F9223" s="17" t="s">
        <v>17246</v>
      </c>
      <c r="G9223" s="17"/>
      <c r="H9223" s="17" t="s">
        <v>20919</v>
      </c>
      <c r="I9223" s="17"/>
      <c r="J9223" s="17" t="s">
        <v>21313</v>
      </c>
      <c r="K9223" s="17"/>
      <c r="L9223" s="17" t="s">
        <v>21326</v>
      </c>
      <c r="M9223" s="17"/>
      <c r="N9223" s="17" t="s">
        <v>21577</v>
      </c>
      <c r="O9223" s="17"/>
      <c r="P9223" s="17" t="s">
        <v>21669</v>
      </c>
      <c r="Q9223" s="17"/>
      <c r="R9223" s="25" t="str">
        <f>HYPERLINK("https://ictv.global/taxonomy/taxondetails?taxnode_id=202310280","Cahdavirus humicola")</f>
        <v>Cahdavirus humicola</v>
      </c>
      <c r="S9223" s="18" t="s">
        <v>30</v>
      </c>
      <c r="T9223" s="18" t="s">
        <v>21670</v>
      </c>
      <c r="U9223" s="18"/>
      <c r="V9223" s="18"/>
      <c r="W9223" s="18" t="s">
        <v>21671</v>
      </c>
      <c r="X9223" s="18" t="s">
        <v>35</v>
      </c>
      <c r="Y9223" s="18" t="s">
        <v>17171</v>
      </c>
      <c r="Z9223" s="18" t="s">
        <v>697</v>
      </c>
      <c r="AA9223" s="21" t="str">
        <f>HYPERLINK("https://www.ncbi.nlm.nih.gov/nuccore/BK013936","NCBI Nucleotide")</f>
        <v>NCBI Nucleotide</v>
      </c>
    </row>
    <row r="9224" spans="1:27" x14ac:dyDescent="0.35">
      <c r="A9224">
        <v>1026017</v>
      </c>
      <c r="B9224">
        <v>8549</v>
      </c>
      <c r="C9224">
        <v>1</v>
      </c>
      <c r="D9224" s="17" t="s">
        <v>17166</v>
      </c>
      <c r="E9224" s="17"/>
      <c r="F9224" s="17" t="s">
        <v>17246</v>
      </c>
      <c r="G9224" s="17"/>
      <c r="H9224" s="17" t="s">
        <v>20919</v>
      </c>
      <c r="I9224" s="17"/>
      <c r="J9224" s="17" t="s">
        <v>21313</v>
      </c>
      <c r="K9224" s="17"/>
      <c r="L9224" s="17" t="s">
        <v>21326</v>
      </c>
      <c r="M9224" s="17"/>
      <c r="N9224" s="17" t="s">
        <v>21577</v>
      </c>
      <c r="O9224" s="17"/>
      <c r="P9224" s="17" t="s">
        <v>21669</v>
      </c>
      <c r="Q9224" s="17"/>
      <c r="R9224" s="25" t="str">
        <f>HYPERLINK("https://ictv.global/taxonomy/taxondetails?taxnode_id=202316237","Cahdavirus limadaptatum")</f>
        <v>Cahdavirus limadaptatum</v>
      </c>
      <c r="S9224" s="18" t="s">
        <v>30</v>
      </c>
      <c r="T9224" s="18" t="s">
        <v>42939</v>
      </c>
      <c r="U9224" s="18"/>
      <c r="V9224" s="18"/>
      <c r="W9224" s="18" t="s">
        <v>42940</v>
      </c>
      <c r="X9224" s="18" t="s">
        <v>35</v>
      </c>
      <c r="Y9224" s="18" t="s">
        <v>17171</v>
      </c>
      <c r="Z9224" s="18" t="s">
        <v>24637</v>
      </c>
      <c r="AA9224" s="21" t="str">
        <f>HYPERLINK("https://www.ncbi.nlm.nih.gov/nuccore/CASDWV010000238","NCBI Nucleotide")</f>
        <v>NCBI Nucleotide</v>
      </c>
    </row>
    <row r="9225" spans="1:27" x14ac:dyDescent="0.35">
      <c r="A9225">
        <v>1026018</v>
      </c>
      <c r="B9225">
        <v>8550</v>
      </c>
      <c r="C9225">
        <v>1</v>
      </c>
      <c r="D9225" s="17" t="s">
        <v>17166</v>
      </c>
      <c r="E9225" s="17"/>
      <c r="F9225" s="17" t="s">
        <v>17246</v>
      </c>
      <c r="G9225" s="17"/>
      <c r="H9225" s="17" t="s">
        <v>20919</v>
      </c>
      <c r="I9225" s="17"/>
      <c r="J9225" s="17" t="s">
        <v>21313</v>
      </c>
      <c r="K9225" s="17"/>
      <c r="L9225" s="17" t="s">
        <v>21326</v>
      </c>
      <c r="M9225" s="17"/>
      <c r="N9225" s="17" t="s">
        <v>21577</v>
      </c>
      <c r="O9225" s="17"/>
      <c r="P9225" s="17" t="s">
        <v>21669</v>
      </c>
      <c r="Q9225" s="17"/>
      <c r="R9225" s="25" t="str">
        <f>HYPERLINK("https://ictv.global/taxonomy/taxondetails?taxnode_id=202316238","Cahdavirus limivicinum")</f>
        <v>Cahdavirus limivicinum</v>
      </c>
      <c r="S9225" s="18" t="s">
        <v>30</v>
      </c>
      <c r="T9225" s="18" t="s">
        <v>42941</v>
      </c>
      <c r="U9225" s="18"/>
      <c r="V9225" s="18"/>
      <c r="W9225" s="18" t="s">
        <v>42942</v>
      </c>
      <c r="X9225" s="18" t="s">
        <v>35</v>
      </c>
      <c r="Y9225" s="18" t="s">
        <v>17171</v>
      </c>
      <c r="Z9225" s="18" t="s">
        <v>24637</v>
      </c>
      <c r="AA9225" s="21" t="str">
        <f>HYPERLINK("https://www.ncbi.nlm.nih.gov/nuccore/CASDWV010001861","NCBI Nucleotide")</f>
        <v>NCBI Nucleotide</v>
      </c>
    </row>
    <row r="9226" spans="1:27" x14ac:dyDescent="0.35">
      <c r="A9226">
        <v>1026019</v>
      </c>
      <c r="B9226">
        <v>8551</v>
      </c>
      <c r="C9226">
        <v>1</v>
      </c>
      <c r="D9226" s="17" t="s">
        <v>17166</v>
      </c>
      <c r="E9226" s="17"/>
      <c r="F9226" s="17" t="s">
        <v>17246</v>
      </c>
      <c r="G9226" s="17"/>
      <c r="H9226" s="17" t="s">
        <v>20919</v>
      </c>
      <c r="I9226" s="17"/>
      <c r="J9226" s="17" t="s">
        <v>21313</v>
      </c>
      <c r="K9226" s="17"/>
      <c r="L9226" s="17" t="s">
        <v>21326</v>
      </c>
      <c r="M9226" s="17"/>
      <c r="N9226" s="17" t="s">
        <v>21577</v>
      </c>
      <c r="O9226" s="17"/>
      <c r="P9226" s="17" t="s">
        <v>21669</v>
      </c>
      <c r="Q9226" s="17"/>
      <c r="R9226" s="25" t="str">
        <f>HYPERLINK("https://ictv.global/taxonomy/taxondetails?taxnode_id=202316239","Cahdavirus lutadaptatum")</f>
        <v>Cahdavirus lutadaptatum</v>
      </c>
      <c r="S9226" s="18" t="s">
        <v>30</v>
      </c>
      <c r="T9226" s="18" t="s">
        <v>42943</v>
      </c>
      <c r="U9226" s="18"/>
      <c r="V9226" s="18"/>
      <c r="W9226" s="18" t="s">
        <v>42944</v>
      </c>
      <c r="X9226" s="18" t="s">
        <v>35</v>
      </c>
      <c r="Y9226" s="18" t="s">
        <v>17171</v>
      </c>
      <c r="Z9226" s="18" t="s">
        <v>24637</v>
      </c>
      <c r="AA9226" s="21" t="str">
        <f>HYPERLINK("https://www.ncbi.nlm.nih.gov/nuccore/CASDWV010000744","NCBI Nucleotide")</f>
        <v>NCBI Nucleotide</v>
      </c>
    </row>
    <row r="9227" spans="1:27" x14ac:dyDescent="0.35">
      <c r="A9227">
        <v>1009490</v>
      </c>
      <c r="B9227">
        <v>8552</v>
      </c>
      <c r="C9227">
        <v>1</v>
      </c>
      <c r="D9227" s="17" t="s">
        <v>17166</v>
      </c>
      <c r="E9227" s="17"/>
      <c r="F9227" s="17" t="s">
        <v>17246</v>
      </c>
      <c r="G9227" s="17"/>
      <c r="H9227" s="17" t="s">
        <v>20919</v>
      </c>
      <c r="I9227" s="17"/>
      <c r="J9227" s="17" t="s">
        <v>21313</v>
      </c>
      <c r="K9227" s="17"/>
      <c r="L9227" s="17" t="s">
        <v>21326</v>
      </c>
      <c r="M9227" s="17"/>
      <c r="N9227" s="17" t="s">
        <v>21577</v>
      </c>
      <c r="O9227" s="17"/>
      <c r="P9227" s="17" t="s">
        <v>21672</v>
      </c>
      <c r="Q9227" s="17"/>
      <c r="R9227" s="25" t="str">
        <f>HYPERLINK("https://ictv.global/taxonomy/taxondetails?taxnode_id=202310282","Cahrpivirus caenivivens")</f>
        <v>Cahrpivirus caenivivens</v>
      </c>
      <c r="S9227" s="18" t="s">
        <v>30</v>
      </c>
      <c r="T9227" s="18" t="s">
        <v>21673</v>
      </c>
      <c r="U9227" s="18"/>
      <c r="V9227" s="18"/>
      <c r="W9227" s="18" t="s">
        <v>21674</v>
      </c>
      <c r="X9227" s="18" t="s">
        <v>35</v>
      </c>
      <c r="Y9227" s="18" t="s">
        <v>17171</v>
      </c>
      <c r="Z9227" s="18" t="s">
        <v>697</v>
      </c>
      <c r="AA9227" s="21" t="str">
        <f>HYPERLINK("https://www.ncbi.nlm.nih.gov/nuccore/BK014111","NCBI Nucleotide")</f>
        <v>NCBI Nucleotide</v>
      </c>
    </row>
    <row r="9228" spans="1:27" x14ac:dyDescent="0.35">
      <c r="A9228">
        <v>1009491</v>
      </c>
      <c r="B9228">
        <v>8553</v>
      </c>
      <c r="C9228">
        <v>1</v>
      </c>
      <c r="D9228" s="17" t="s">
        <v>17166</v>
      </c>
      <c r="E9228" s="17"/>
      <c r="F9228" s="17" t="s">
        <v>17246</v>
      </c>
      <c r="G9228" s="17"/>
      <c r="H9228" s="17" t="s">
        <v>20919</v>
      </c>
      <c r="I9228" s="17"/>
      <c r="J9228" s="17" t="s">
        <v>21313</v>
      </c>
      <c r="K9228" s="17"/>
      <c r="L9228" s="17" t="s">
        <v>21326</v>
      </c>
      <c r="M9228" s="17"/>
      <c r="N9228" s="17" t="s">
        <v>21577</v>
      </c>
      <c r="O9228" s="17"/>
      <c r="P9228" s="17" t="s">
        <v>21672</v>
      </c>
      <c r="Q9228" s="17"/>
      <c r="R9228" s="25" t="str">
        <f>HYPERLINK("https://ictv.global/taxonomy/taxondetails?taxnode_id=202310283","Cahrpivirus humenecus")</f>
        <v>Cahrpivirus humenecus</v>
      </c>
      <c r="S9228" s="18" t="s">
        <v>30</v>
      </c>
      <c r="T9228" s="18" t="s">
        <v>21675</v>
      </c>
      <c r="U9228" s="18"/>
      <c r="V9228" s="18"/>
      <c r="W9228" s="18" t="s">
        <v>21676</v>
      </c>
      <c r="X9228" s="18" t="s">
        <v>35</v>
      </c>
      <c r="Y9228" s="18" t="s">
        <v>17171</v>
      </c>
      <c r="Z9228" s="18" t="s">
        <v>697</v>
      </c>
      <c r="AA9228" s="21" t="str">
        <f>HYPERLINK("https://www.ncbi.nlm.nih.gov/nuccore/BK014040","NCBI Nucleotide")</f>
        <v>NCBI Nucleotide</v>
      </c>
    </row>
    <row r="9229" spans="1:27" x14ac:dyDescent="0.35">
      <c r="A9229">
        <v>1009492</v>
      </c>
      <c r="B9229">
        <v>8554</v>
      </c>
      <c r="C9229">
        <v>1</v>
      </c>
      <c r="D9229" s="17" t="s">
        <v>17166</v>
      </c>
      <c r="E9229" s="17"/>
      <c r="F9229" s="17" t="s">
        <v>17246</v>
      </c>
      <c r="G9229" s="17"/>
      <c r="H9229" s="17" t="s">
        <v>20919</v>
      </c>
      <c r="I9229" s="17"/>
      <c r="J9229" s="17" t="s">
        <v>21313</v>
      </c>
      <c r="K9229" s="17"/>
      <c r="L9229" s="17" t="s">
        <v>21326</v>
      </c>
      <c r="M9229" s="17"/>
      <c r="N9229" s="17" t="s">
        <v>21577</v>
      </c>
      <c r="O9229" s="17"/>
      <c r="P9229" s="17" t="s">
        <v>21677</v>
      </c>
      <c r="Q9229" s="17"/>
      <c r="R9229" s="25" t="str">
        <f>HYPERLINK("https://ictv.global/taxonomy/taxondetails?taxnode_id=202310286","Caloevirus agradaptatum")</f>
        <v>Caloevirus agradaptatum</v>
      </c>
      <c r="S9229" s="18" t="s">
        <v>30</v>
      </c>
      <c r="T9229" s="18" t="s">
        <v>21678</v>
      </c>
      <c r="U9229" s="18"/>
      <c r="V9229" s="18"/>
      <c r="W9229" s="18" t="s">
        <v>21679</v>
      </c>
      <c r="X9229" s="18" t="s">
        <v>35</v>
      </c>
      <c r="Y9229" s="18" t="s">
        <v>17171</v>
      </c>
      <c r="Z9229" s="18" t="s">
        <v>697</v>
      </c>
      <c r="AA9229" s="21" t="str">
        <f>HYPERLINK("https://www.ncbi.nlm.nih.gov/nuccore/BK013437","NCBI Nucleotide")</f>
        <v>NCBI Nucleotide</v>
      </c>
    </row>
    <row r="9230" spans="1:27" x14ac:dyDescent="0.35">
      <c r="A9230">
        <v>1026029</v>
      </c>
      <c r="B9230">
        <v>8555</v>
      </c>
      <c r="C9230">
        <v>1</v>
      </c>
      <c r="D9230" s="17" t="s">
        <v>17166</v>
      </c>
      <c r="E9230" s="17"/>
      <c r="F9230" s="17" t="s">
        <v>17246</v>
      </c>
      <c r="G9230" s="17"/>
      <c r="H9230" s="17" t="s">
        <v>20919</v>
      </c>
      <c r="I9230" s="17"/>
      <c r="J9230" s="17" t="s">
        <v>21313</v>
      </c>
      <c r="K9230" s="17"/>
      <c r="L9230" s="17" t="s">
        <v>21326</v>
      </c>
      <c r="M9230" s="17"/>
      <c r="N9230" s="17" t="s">
        <v>21577</v>
      </c>
      <c r="O9230" s="17"/>
      <c r="P9230" s="17" t="s">
        <v>21677</v>
      </c>
      <c r="Q9230" s="17"/>
      <c r="R9230" s="25" t="str">
        <f>HYPERLINK("https://ictv.global/taxonomy/taxondetails?taxnode_id=202316240","Caloevirus caenicola")</f>
        <v>Caloevirus caenicola</v>
      </c>
      <c r="S9230" s="18" t="s">
        <v>30</v>
      </c>
      <c r="T9230" s="18" t="s">
        <v>42945</v>
      </c>
      <c r="U9230" s="18"/>
      <c r="V9230" s="18"/>
      <c r="W9230" s="18" t="s">
        <v>42946</v>
      </c>
      <c r="X9230" s="18" t="s">
        <v>35</v>
      </c>
      <c r="Y9230" s="18" t="s">
        <v>17171</v>
      </c>
      <c r="Z9230" s="18" t="s">
        <v>24637</v>
      </c>
      <c r="AA9230" s="21" t="str">
        <f>HYPERLINK("https://www.ncbi.nlm.nih.gov/nuccore/CASDWV010000110","NCBI Nucleotide")</f>
        <v>NCBI Nucleotide</v>
      </c>
    </row>
    <row r="9231" spans="1:27" x14ac:dyDescent="0.35">
      <c r="A9231">
        <v>1009493</v>
      </c>
      <c r="B9231">
        <v>8556</v>
      </c>
      <c r="C9231">
        <v>1</v>
      </c>
      <c r="D9231" s="17" t="s">
        <v>17166</v>
      </c>
      <c r="E9231" s="17"/>
      <c r="F9231" s="17" t="s">
        <v>17246</v>
      </c>
      <c r="G9231" s="17"/>
      <c r="H9231" s="17" t="s">
        <v>20919</v>
      </c>
      <c r="I9231" s="17"/>
      <c r="J9231" s="17" t="s">
        <v>21313</v>
      </c>
      <c r="K9231" s="17"/>
      <c r="L9231" s="17" t="s">
        <v>21326</v>
      </c>
      <c r="M9231" s="17"/>
      <c r="N9231" s="17" t="s">
        <v>21577</v>
      </c>
      <c r="O9231" s="17"/>
      <c r="P9231" s="17" t="s">
        <v>21677</v>
      </c>
      <c r="Q9231" s="17"/>
      <c r="R9231" s="25" t="str">
        <f>HYPERLINK("https://ictv.global/taxonomy/taxondetails?taxnode_id=202310285","Caloevirus humivivens")</f>
        <v>Caloevirus humivivens</v>
      </c>
      <c r="S9231" s="18" t="s">
        <v>30</v>
      </c>
      <c r="T9231" s="18" t="s">
        <v>21680</v>
      </c>
      <c r="U9231" s="18"/>
      <c r="V9231" s="18"/>
      <c r="W9231" s="18" t="s">
        <v>21681</v>
      </c>
      <c r="X9231" s="18" t="s">
        <v>35</v>
      </c>
      <c r="Y9231" s="18" t="s">
        <v>17171</v>
      </c>
      <c r="Z9231" s="18" t="s">
        <v>697</v>
      </c>
      <c r="AA9231" s="21" t="str">
        <f>HYPERLINK("https://www.ncbi.nlm.nih.gov/nuccore/BK013995","NCBI Nucleotide")</f>
        <v>NCBI Nucleotide</v>
      </c>
    </row>
    <row r="9232" spans="1:27" x14ac:dyDescent="0.35">
      <c r="A9232">
        <v>1026070</v>
      </c>
      <c r="B9232">
        <v>8557</v>
      </c>
      <c r="C9232">
        <v>1</v>
      </c>
      <c r="D9232" s="17" t="s">
        <v>17166</v>
      </c>
      <c r="E9232" s="17"/>
      <c r="F9232" s="17" t="s">
        <v>17246</v>
      </c>
      <c r="G9232" s="17"/>
      <c r="H9232" s="17" t="s">
        <v>20919</v>
      </c>
      <c r="I9232" s="17"/>
      <c r="J9232" s="17" t="s">
        <v>21313</v>
      </c>
      <c r="K9232" s="17"/>
      <c r="L9232" s="17" t="s">
        <v>21326</v>
      </c>
      <c r="M9232" s="17"/>
      <c r="N9232" s="17" t="s">
        <v>21577</v>
      </c>
      <c r="O9232" s="17"/>
      <c r="P9232" s="17" t="s">
        <v>21682</v>
      </c>
      <c r="Q9232" s="17"/>
      <c r="R9232" s="25" t="str">
        <f>HYPERLINK("https://ictv.global/taxonomy/taxondetails?taxnode_id=202316241","Cauhldivirus chthonocola")</f>
        <v>Cauhldivirus chthonocola</v>
      </c>
      <c r="S9232" s="18" t="s">
        <v>30</v>
      </c>
      <c r="T9232" s="18" t="s">
        <v>42947</v>
      </c>
      <c r="U9232" s="18"/>
      <c r="V9232" s="18"/>
      <c r="W9232" s="18" t="s">
        <v>42948</v>
      </c>
      <c r="X9232" s="18" t="s">
        <v>35</v>
      </c>
      <c r="Y9232" s="18" t="s">
        <v>17171</v>
      </c>
      <c r="Z9232" s="18" t="s">
        <v>24637</v>
      </c>
      <c r="AA9232" s="21" t="str">
        <f>HYPERLINK("https://www.ncbi.nlm.nih.gov/nuccore/CASDWV010003464","NCBI Nucleotide")</f>
        <v>NCBI Nucleotide</v>
      </c>
    </row>
    <row r="9233" spans="1:27" x14ac:dyDescent="0.35">
      <c r="A9233">
        <v>1026071</v>
      </c>
      <c r="B9233">
        <v>8558</v>
      </c>
      <c r="C9233">
        <v>1</v>
      </c>
      <c r="D9233" s="17" t="s">
        <v>17166</v>
      </c>
      <c r="E9233" s="17"/>
      <c r="F9233" s="17" t="s">
        <v>17246</v>
      </c>
      <c r="G9233" s="17"/>
      <c r="H9233" s="17" t="s">
        <v>20919</v>
      </c>
      <c r="I9233" s="17"/>
      <c r="J9233" s="17" t="s">
        <v>21313</v>
      </c>
      <c r="K9233" s="17"/>
      <c r="L9233" s="17" t="s">
        <v>21326</v>
      </c>
      <c r="M9233" s="17"/>
      <c r="N9233" s="17" t="s">
        <v>21577</v>
      </c>
      <c r="O9233" s="17"/>
      <c r="P9233" s="17" t="s">
        <v>21682</v>
      </c>
      <c r="Q9233" s="17"/>
      <c r="R9233" s="25" t="str">
        <f>HYPERLINK("https://ictv.global/taxonomy/taxondetails?taxnode_id=202316242","Cauhldivirus chthonovivens")</f>
        <v>Cauhldivirus chthonovivens</v>
      </c>
      <c r="S9233" s="18" t="s">
        <v>30</v>
      </c>
      <c r="T9233" s="18" t="s">
        <v>42949</v>
      </c>
      <c r="U9233" s="18"/>
      <c r="V9233" s="18"/>
      <c r="W9233" s="18" t="s">
        <v>42950</v>
      </c>
      <c r="X9233" s="18" t="s">
        <v>35</v>
      </c>
      <c r="Y9233" s="18" t="s">
        <v>17171</v>
      </c>
      <c r="Z9233" s="18" t="s">
        <v>24637</v>
      </c>
      <c r="AA9233" s="21" t="str">
        <f>HYPERLINK("https://www.ncbi.nlm.nih.gov/nuccore/CASDWV010004464","NCBI Nucleotide")</f>
        <v>NCBI Nucleotide</v>
      </c>
    </row>
    <row r="9234" spans="1:27" x14ac:dyDescent="0.35">
      <c r="A9234">
        <v>1026072</v>
      </c>
      <c r="B9234">
        <v>8559</v>
      </c>
      <c r="C9234">
        <v>1</v>
      </c>
      <c r="D9234" s="17" t="s">
        <v>17166</v>
      </c>
      <c r="E9234" s="17"/>
      <c r="F9234" s="17" t="s">
        <v>17246</v>
      </c>
      <c r="G9234" s="17"/>
      <c r="H9234" s="17" t="s">
        <v>20919</v>
      </c>
      <c r="I9234" s="17"/>
      <c r="J9234" s="17" t="s">
        <v>21313</v>
      </c>
      <c r="K9234" s="17"/>
      <c r="L9234" s="17" t="s">
        <v>21326</v>
      </c>
      <c r="M9234" s="17"/>
      <c r="N9234" s="17" t="s">
        <v>21577</v>
      </c>
      <c r="O9234" s="17"/>
      <c r="P9234" s="17" t="s">
        <v>21682</v>
      </c>
      <c r="Q9234" s="17"/>
      <c r="R9234" s="25" t="str">
        <f>HYPERLINK("https://ictv.global/taxonomy/taxondetails?taxnode_id=202316243","Cauhldivirus faecicola")</f>
        <v>Cauhldivirus faecicola</v>
      </c>
      <c r="S9234" s="18" t="s">
        <v>30</v>
      </c>
      <c r="T9234" s="18" t="s">
        <v>42951</v>
      </c>
      <c r="U9234" s="18"/>
      <c r="V9234" s="18" t="s">
        <v>42951</v>
      </c>
      <c r="W9234" s="18" t="s">
        <v>42952</v>
      </c>
      <c r="X9234" s="18" t="s">
        <v>35</v>
      </c>
      <c r="Y9234" s="18" t="s">
        <v>17171</v>
      </c>
      <c r="Z9234" s="18" t="s">
        <v>24637</v>
      </c>
      <c r="AA9234" s="21" t="str">
        <f>HYPERLINK("https://www.ncbi.nlm.nih.gov/nuccore/MZ679785","NCBI Nucleotide")</f>
        <v>NCBI Nucleotide</v>
      </c>
    </row>
    <row r="9235" spans="1:27" x14ac:dyDescent="0.35">
      <c r="A9235">
        <v>1009494</v>
      </c>
      <c r="B9235">
        <v>8560</v>
      </c>
      <c r="C9235">
        <v>1</v>
      </c>
      <c r="D9235" s="17" t="s">
        <v>17166</v>
      </c>
      <c r="E9235" s="17"/>
      <c r="F9235" s="17" t="s">
        <v>17246</v>
      </c>
      <c r="G9235" s="17"/>
      <c r="H9235" s="17" t="s">
        <v>20919</v>
      </c>
      <c r="I9235" s="17"/>
      <c r="J9235" s="17" t="s">
        <v>21313</v>
      </c>
      <c r="K9235" s="17"/>
      <c r="L9235" s="17" t="s">
        <v>21326</v>
      </c>
      <c r="M9235" s="17"/>
      <c r="N9235" s="17" t="s">
        <v>21577</v>
      </c>
      <c r="O9235" s="17"/>
      <c r="P9235" s="17" t="s">
        <v>21682</v>
      </c>
      <c r="Q9235" s="17"/>
      <c r="R9235" s="25" t="str">
        <f>HYPERLINK("https://ictv.global/taxonomy/taxondetails?taxnode_id=202310289","Cauhldivirus limadaptatum")</f>
        <v>Cauhldivirus limadaptatum</v>
      </c>
      <c r="S9235" s="18" t="s">
        <v>30</v>
      </c>
      <c r="T9235" s="18" t="s">
        <v>21683</v>
      </c>
      <c r="U9235" s="18"/>
      <c r="V9235" s="18"/>
      <c r="W9235" s="18" t="s">
        <v>21684</v>
      </c>
      <c r="X9235" s="18" t="s">
        <v>35</v>
      </c>
      <c r="Y9235" s="18" t="s">
        <v>17171</v>
      </c>
      <c r="Z9235" s="18" t="s">
        <v>697</v>
      </c>
      <c r="AA9235" s="21" t="str">
        <f>HYPERLINK("https://www.ncbi.nlm.nih.gov/nuccore/BK013636","NCBI Nucleotide")</f>
        <v>NCBI Nucleotide</v>
      </c>
    </row>
    <row r="9236" spans="1:27" x14ac:dyDescent="0.35">
      <c r="A9236">
        <v>1009495</v>
      </c>
      <c r="B9236">
        <v>8561</v>
      </c>
      <c r="C9236">
        <v>1</v>
      </c>
      <c r="D9236" s="17" t="s">
        <v>17166</v>
      </c>
      <c r="E9236" s="17"/>
      <c r="F9236" s="17" t="s">
        <v>17246</v>
      </c>
      <c r="G9236" s="17"/>
      <c r="H9236" s="17" t="s">
        <v>20919</v>
      </c>
      <c r="I9236" s="17"/>
      <c r="J9236" s="17" t="s">
        <v>21313</v>
      </c>
      <c r="K9236" s="17"/>
      <c r="L9236" s="17" t="s">
        <v>21326</v>
      </c>
      <c r="M9236" s="17"/>
      <c r="N9236" s="17" t="s">
        <v>21577</v>
      </c>
      <c r="O9236" s="17"/>
      <c r="P9236" s="17" t="s">
        <v>21682</v>
      </c>
      <c r="Q9236" s="17"/>
      <c r="R9236" s="25" t="str">
        <f>HYPERLINK("https://ictv.global/taxonomy/taxondetails?taxnode_id=202310288","Cauhldivirus limenecus")</f>
        <v>Cauhldivirus limenecus</v>
      </c>
      <c r="S9236" s="18" t="s">
        <v>30</v>
      </c>
      <c r="T9236" s="18" t="s">
        <v>21685</v>
      </c>
      <c r="U9236" s="18"/>
      <c r="V9236" s="18"/>
      <c r="W9236" s="18" t="s">
        <v>21686</v>
      </c>
      <c r="X9236" s="18" t="s">
        <v>35</v>
      </c>
      <c r="Y9236" s="18" t="s">
        <v>17171</v>
      </c>
      <c r="Z9236" s="18" t="s">
        <v>697</v>
      </c>
      <c r="AA9236" s="21" t="str">
        <f>HYPERLINK("https://www.ncbi.nlm.nih.gov/nuccore/BK013707","NCBI Nucleotide")</f>
        <v>NCBI Nucleotide</v>
      </c>
    </row>
    <row r="9237" spans="1:27" x14ac:dyDescent="0.35">
      <c r="A9237">
        <v>1009496</v>
      </c>
      <c r="B9237">
        <v>8562</v>
      </c>
      <c r="C9237">
        <v>1</v>
      </c>
      <c r="D9237" s="17" t="s">
        <v>17166</v>
      </c>
      <c r="E9237" s="17"/>
      <c r="F9237" s="17" t="s">
        <v>17246</v>
      </c>
      <c r="G9237" s="17"/>
      <c r="H9237" s="17" t="s">
        <v>20919</v>
      </c>
      <c r="I9237" s="17"/>
      <c r="J9237" s="17" t="s">
        <v>21313</v>
      </c>
      <c r="K9237" s="17"/>
      <c r="L9237" s="17" t="s">
        <v>21326</v>
      </c>
      <c r="M9237" s="17"/>
      <c r="N9237" s="17" t="s">
        <v>21577</v>
      </c>
      <c r="O9237" s="17"/>
      <c r="P9237" s="17" t="s">
        <v>21682</v>
      </c>
      <c r="Q9237" s="17"/>
      <c r="R9237" s="25" t="str">
        <f>HYPERLINK("https://ictv.global/taxonomy/taxondetails?taxnode_id=202310290","Cauhldivirus limicola")</f>
        <v>Cauhldivirus limicola</v>
      </c>
      <c r="S9237" s="18" t="s">
        <v>30</v>
      </c>
      <c r="T9237" s="18" t="s">
        <v>21687</v>
      </c>
      <c r="U9237" s="18"/>
      <c r="V9237" s="18"/>
      <c r="W9237" s="18" t="s">
        <v>21688</v>
      </c>
      <c r="X9237" s="18" t="s">
        <v>35</v>
      </c>
      <c r="Y9237" s="18" t="s">
        <v>17171</v>
      </c>
      <c r="Z9237" s="18" t="s">
        <v>697</v>
      </c>
      <c r="AA9237" s="21" t="str">
        <f>HYPERLINK("https://www.ncbi.nlm.nih.gov/nuccore/BK013708","NCBI Nucleotide")</f>
        <v>NCBI Nucleotide</v>
      </c>
    </row>
    <row r="9238" spans="1:27" x14ac:dyDescent="0.35">
      <c r="A9238">
        <v>1026073</v>
      </c>
      <c r="B9238">
        <v>8563</v>
      </c>
      <c r="C9238">
        <v>1</v>
      </c>
      <c r="D9238" s="17" t="s">
        <v>17166</v>
      </c>
      <c r="E9238" s="17"/>
      <c r="F9238" s="17" t="s">
        <v>17246</v>
      </c>
      <c r="G9238" s="17"/>
      <c r="H9238" s="17" t="s">
        <v>20919</v>
      </c>
      <c r="I9238" s="17"/>
      <c r="J9238" s="17" t="s">
        <v>21313</v>
      </c>
      <c r="K9238" s="17"/>
      <c r="L9238" s="17" t="s">
        <v>21326</v>
      </c>
      <c r="M9238" s="17"/>
      <c r="N9238" s="17" t="s">
        <v>21577</v>
      </c>
      <c r="O9238" s="17"/>
      <c r="P9238" s="17" t="s">
        <v>21682</v>
      </c>
      <c r="Q9238" s="17"/>
      <c r="R9238" s="25" t="str">
        <f>HYPERLINK("https://ictv.global/taxonomy/taxondetails?taxnode_id=202316244","Cauhldivirus messivivens")</f>
        <v>Cauhldivirus messivivens</v>
      </c>
      <c r="S9238" s="18" t="s">
        <v>30</v>
      </c>
      <c r="T9238" s="18" t="s">
        <v>42953</v>
      </c>
      <c r="U9238" s="18"/>
      <c r="V9238" s="18"/>
      <c r="W9238" s="18" t="s">
        <v>42954</v>
      </c>
      <c r="X9238" s="18" t="s">
        <v>35</v>
      </c>
      <c r="Y9238" s="18" t="s">
        <v>17171</v>
      </c>
      <c r="Z9238" s="18" t="s">
        <v>24637</v>
      </c>
      <c r="AA9238" s="21" t="str">
        <f>HYPERLINK("https://www.ncbi.nlm.nih.gov/nuccore/CASDWV010004596","NCBI Nucleotide")</f>
        <v>NCBI Nucleotide</v>
      </c>
    </row>
    <row r="9239" spans="1:27" x14ac:dyDescent="0.35">
      <c r="A9239">
        <v>1026074</v>
      </c>
      <c r="B9239">
        <v>8564</v>
      </c>
      <c r="C9239">
        <v>1</v>
      </c>
      <c r="D9239" s="17" t="s">
        <v>17166</v>
      </c>
      <c r="E9239" s="17"/>
      <c r="F9239" s="17" t="s">
        <v>17246</v>
      </c>
      <c r="G9239" s="17"/>
      <c r="H9239" s="17" t="s">
        <v>20919</v>
      </c>
      <c r="I9239" s="17"/>
      <c r="J9239" s="17" t="s">
        <v>21313</v>
      </c>
      <c r="K9239" s="17"/>
      <c r="L9239" s="17" t="s">
        <v>21326</v>
      </c>
      <c r="M9239" s="17"/>
      <c r="N9239" s="17" t="s">
        <v>21577</v>
      </c>
      <c r="O9239" s="17"/>
      <c r="P9239" s="17" t="s">
        <v>21682</v>
      </c>
      <c r="Q9239" s="17"/>
      <c r="R9239" s="25" t="str">
        <f>HYPERLINK("https://ictv.global/taxonomy/taxondetails?taxnode_id=202316245","Cauhldivirus neolimadaptatum")</f>
        <v>Cauhldivirus neolimadaptatum</v>
      </c>
      <c r="S9239" s="18" t="s">
        <v>30</v>
      </c>
      <c r="T9239" s="18" t="s">
        <v>42955</v>
      </c>
      <c r="U9239" s="18"/>
      <c r="V9239" s="18"/>
      <c r="W9239" s="18" t="s">
        <v>42956</v>
      </c>
      <c r="X9239" s="18" t="s">
        <v>35</v>
      </c>
      <c r="Y9239" s="18" t="s">
        <v>17171</v>
      </c>
      <c r="Z9239" s="18" t="s">
        <v>24637</v>
      </c>
      <c r="AA9239" s="21" t="str">
        <f>HYPERLINK("https://www.ncbi.nlm.nih.gov/nuccore/CASDWV010000758","NCBI Nucleotide")</f>
        <v>NCBI Nucleotide</v>
      </c>
    </row>
    <row r="9240" spans="1:27" x14ac:dyDescent="0.35">
      <c r="A9240">
        <v>1026075</v>
      </c>
      <c r="B9240">
        <v>8565</v>
      </c>
      <c r="C9240">
        <v>1</v>
      </c>
      <c r="D9240" s="17" t="s">
        <v>17166</v>
      </c>
      <c r="E9240" s="17"/>
      <c r="F9240" s="17" t="s">
        <v>17246</v>
      </c>
      <c r="G9240" s="17"/>
      <c r="H9240" s="17" t="s">
        <v>20919</v>
      </c>
      <c r="I9240" s="17"/>
      <c r="J9240" s="17" t="s">
        <v>21313</v>
      </c>
      <c r="K9240" s="17"/>
      <c r="L9240" s="17" t="s">
        <v>21326</v>
      </c>
      <c r="M9240" s="17"/>
      <c r="N9240" s="17" t="s">
        <v>21577</v>
      </c>
      <c r="O9240" s="17"/>
      <c r="P9240" s="17" t="s">
        <v>21682</v>
      </c>
      <c r="Q9240" s="17"/>
      <c r="R9240" s="25" t="str">
        <f>HYPERLINK("https://ictv.global/taxonomy/taxondetails?taxnode_id=202316246","Cauhldivirus pelenecus")</f>
        <v>Cauhldivirus pelenecus</v>
      </c>
      <c r="S9240" s="18" t="s">
        <v>30</v>
      </c>
      <c r="T9240" s="18" t="s">
        <v>42957</v>
      </c>
      <c r="U9240" s="18"/>
      <c r="V9240" s="18"/>
      <c r="W9240" s="18" t="s">
        <v>42958</v>
      </c>
      <c r="X9240" s="18" t="s">
        <v>35</v>
      </c>
      <c r="Y9240" s="18" t="s">
        <v>17171</v>
      </c>
      <c r="Z9240" s="18" t="s">
        <v>24637</v>
      </c>
      <c r="AA9240" s="21" t="str">
        <f>HYPERLINK("https://www.ncbi.nlm.nih.gov/nuccore/CASDWV010001612","NCBI Nucleotide")</f>
        <v>NCBI Nucleotide</v>
      </c>
    </row>
    <row r="9241" spans="1:27" x14ac:dyDescent="0.35">
      <c r="A9241">
        <v>1026076</v>
      </c>
      <c r="B9241">
        <v>8566</v>
      </c>
      <c r="C9241">
        <v>1</v>
      </c>
      <c r="D9241" s="17" t="s">
        <v>17166</v>
      </c>
      <c r="E9241" s="17"/>
      <c r="F9241" s="17" t="s">
        <v>17246</v>
      </c>
      <c r="G9241" s="17"/>
      <c r="H9241" s="17" t="s">
        <v>20919</v>
      </c>
      <c r="I9241" s="17"/>
      <c r="J9241" s="17" t="s">
        <v>21313</v>
      </c>
      <c r="K9241" s="17"/>
      <c r="L9241" s="17" t="s">
        <v>21326</v>
      </c>
      <c r="M9241" s="17"/>
      <c r="N9241" s="17" t="s">
        <v>21577</v>
      </c>
      <c r="O9241" s="17"/>
      <c r="P9241" s="17" t="s">
        <v>21682</v>
      </c>
      <c r="Q9241" s="17"/>
      <c r="R9241" s="25" t="str">
        <f>HYPERLINK("https://ictv.global/taxonomy/taxondetails?taxnode_id=202316247","Cauhldivirus segetivicinum")</f>
        <v>Cauhldivirus segetivicinum</v>
      </c>
      <c r="S9241" s="18" t="s">
        <v>30</v>
      </c>
      <c r="T9241" s="18" t="s">
        <v>42959</v>
      </c>
      <c r="U9241" s="18"/>
      <c r="V9241" s="18"/>
      <c r="W9241" s="18" t="s">
        <v>42960</v>
      </c>
      <c r="X9241" s="18" t="s">
        <v>35</v>
      </c>
      <c r="Y9241" s="18" t="s">
        <v>17171</v>
      </c>
      <c r="Z9241" s="18" t="s">
        <v>24637</v>
      </c>
      <c r="AA9241" s="21" t="str">
        <f>HYPERLINK("https://www.ncbi.nlm.nih.gov/nuccore/CASDWV010003048","NCBI Nucleotide")</f>
        <v>NCBI Nucleotide</v>
      </c>
    </row>
    <row r="9242" spans="1:27" x14ac:dyDescent="0.35">
      <c r="A9242">
        <v>1026077</v>
      </c>
      <c r="B9242">
        <v>8567</v>
      </c>
      <c r="C9242">
        <v>1</v>
      </c>
      <c r="D9242" s="17" t="s">
        <v>17166</v>
      </c>
      <c r="E9242" s="17"/>
      <c r="F9242" s="17" t="s">
        <v>17246</v>
      </c>
      <c r="G9242" s="17"/>
      <c r="H9242" s="17" t="s">
        <v>20919</v>
      </c>
      <c r="I9242" s="17"/>
      <c r="J9242" s="17" t="s">
        <v>21313</v>
      </c>
      <c r="K9242" s="17"/>
      <c r="L9242" s="17" t="s">
        <v>21326</v>
      </c>
      <c r="M9242" s="17"/>
      <c r="N9242" s="17" t="s">
        <v>21577</v>
      </c>
      <c r="O9242" s="17"/>
      <c r="P9242" s="17" t="s">
        <v>21682</v>
      </c>
      <c r="Q9242" s="17"/>
      <c r="R9242" s="25" t="str">
        <f>HYPERLINK("https://ictv.global/taxonomy/taxondetails?taxnode_id=202316248","Cauhldivirus terrenecus")</f>
        <v>Cauhldivirus terrenecus</v>
      </c>
      <c r="S9242" s="18" t="s">
        <v>30</v>
      </c>
      <c r="T9242" s="18" t="s">
        <v>42961</v>
      </c>
      <c r="U9242" s="18"/>
      <c r="V9242" s="18"/>
      <c r="W9242" s="18" t="s">
        <v>42962</v>
      </c>
      <c r="X9242" s="18" t="s">
        <v>35</v>
      </c>
      <c r="Y9242" s="18" t="s">
        <v>17171</v>
      </c>
      <c r="Z9242" s="18" t="s">
        <v>24637</v>
      </c>
      <c r="AA9242" s="21" t="str">
        <f>HYPERLINK("https://www.ncbi.nlm.nih.gov/nuccore/CASDWV010003225","NCBI Nucleotide")</f>
        <v>NCBI Nucleotide</v>
      </c>
    </row>
    <row r="9243" spans="1:27" x14ac:dyDescent="0.35">
      <c r="A9243">
        <v>1009497</v>
      </c>
      <c r="B9243">
        <v>8568</v>
      </c>
      <c r="C9243">
        <v>1</v>
      </c>
      <c r="D9243" s="17" t="s">
        <v>17166</v>
      </c>
      <c r="E9243" s="17"/>
      <c r="F9243" s="17" t="s">
        <v>17246</v>
      </c>
      <c r="G9243" s="17"/>
      <c r="H9243" s="17" t="s">
        <v>20919</v>
      </c>
      <c r="I9243" s="17"/>
      <c r="J9243" s="17" t="s">
        <v>21313</v>
      </c>
      <c r="K9243" s="17"/>
      <c r="L9243" s="17" t="s">
        <v>21326</v>
      </c>
      <c r="M9243" s="17"/>
      <c r="N9243" s="17" t="s">
        <v>21577</v>
      </c>
      <c r="O9243" s="17"/>
      <c r="P9243" s="17" t="s">
        <v>21689</v>
      </c>
      <c r="Q9243" s="17"/>
      <c r="R9243" s="25" t="str">
        <f>HYPERLINK("https://ictv.global/taxonomy/taxondetails?taxnode_id=202310292","Cehakivirus limihabitans")</f>
        <v>Cehakivirus limihabitans</v>
      </c>
      <c r="S9243" s="18" t="s">
        <v>30</v>
      </c>
      <c r="T9243" s="18" t="s">
        <v>21690</v>
      </c>
      <c r="U9243" s="18"/>
      <c r="V9243" s="18"/>
      <c r="W9243" s="18" t="s">
        <v>21691</v>
      </c>
      <c r="X9243" s="18" t="s">
        <v>35</v>
      </c>
      <c r="Y9243" s="18" t="s">
        <v>17171</v>
      </c>
      <c r="Z9243" s="18" t="s">
        <v>697</v>
      </c>
      <c r="AA9243" s="21" t="str">
        <f>HYPERLINK("https://www.ncbi.nlm.nih.gov/nuccore/BK013580","NCBI Nucleotide")</f>
        <v>NCBI Nucleotide</v>
      </c>
    </row>
    <row r="9244" spans="1:27" x14ac:dyDescent="0.35">
      <c r="A9244">
        <v>1009498</v>
      </c>
      <c r="B9244">
        <v>8569</v>
      </c>
      <c r="C9244">
        <v>1</v>
      </c>
      <c r="D9244" s="17" t="s">
        <v>17166</v>
      </c>
      <c r="E9244" s="17"/>
      <c r="F9244" s="17" t="s">
        <v>17246</v>
      </c>
      <c r="G9244" s="17"/>
      <c r="H9244" s="17" t="s">
        <v>20919</v>
      </c>
      <c r="I9244" s="17"/>
      <c r="J9244" s="17" t="s">
        <v>21313</v>
      </c>
      <c r="K9244" s="17"/>
      <c r="L9244" s="17" t="s">
        <v>21326</v>
      </c>
      <c r="M9244" s="17"/>
      <c r="N9244" s="17" t="s">
        <v>21577</v>
      </c>
      <c r="O9244" s="17"/>
      <c r="P9244" s="17" t="s">
        <v>21692</v>
      </c>
      <c r="Q9244" s="17"/>
      <c r="R9244" s="25" t="str">
        <f>HYPERLINK("https://ictv.global/taxonomy/taxondetails?taxnode_id=202310294","Chaedoavirus insecticola")</f>
        <v>Chaedoavirus insecticola</v>
      </c>
      <c r="S9244" s="18" t="s">
        <v>30</v>
      </c>
      <c r="T9244" s="18" t="s">
        <v>21693</v>
      </c>
      <c r="U9244" s="18"/>
      <c r="V9244" s="18"/>
      <c r="W9244" s="18" t="s">
        <v>21694</v>
      </c>
      <c r="X9244" s="18" t="s">
        <v>35</v>
      </c>
      <c r="Y9244" s="18" t="s">
        <v>17171</v>
      </c>
      <c r="Z9244" s="18" t="s">
        <v>697</v>
      </c>
      <c r="AA9244" s="21" t="str">
        <f>HYPERLINK("https://www.ncbi.nlm.nih.gov/nuccore/BK013357","NCBI Nucleotide")</f>
        <v>NCBI Nucleotide</v>
      </c>
    </row>
    <row r="9245" spans="1:27" x14ac:dyDescent="0.35">
      <c r="A9245">
        <v>1009499</v>
      </c>
      <c r="B9245">
        <v>8570</v>
      </c>
      <c r="C9245">
        <v>1</v>
      </c>
      <c r="D9245" s="17" t="s">
        <v>17166</v>
      </c>
      <c r="E9245" s="17"/>
      <c r="F9245" s="17" t="s">
        <v>17246</v>
      </c>
      <c r="G9245" s="17"/>
      <c r="H9245" s="17" t="s">
        <v>20919</v>
      </c>
      <c r="I9245" s="17"/>
      <c r="J9245" s="17" t="s">
        <v>21313</v>
      </c>
      <c r="K9245" s="17"/>
      <c r="L9245" s="17" t="s">
        <v>21326</v>
      </c>
      <c r="M9245" s="17"/>
      <c r="N9245" s="17" t="s">
        <v>21577</v>
      </c>
      <c r="O9245" s="17"/>
      <c r="P9245" s="17" t="s">
        <v>21695</v>
      </c>
      <c r="Q9245" s="17"/>
      <c r="R9245" s="25" t="str">
        <f>HYPERLINK("https://ictv.global/taxonomy/taxondetails?taxnode_id=202310296","Chahsmivirus agrivicinum")</f>
        <v>Chahsmivirus agrivicinum</v>
      </c>
      <c r="S9245" s="18" t="s">
        <v>30</v>
      </c>
      <c r="T9245" s="18" t="s">
        <v>21696</v>
      </c>
      <c r="U9245" s="18"/>
      <c r="V9245" s="18"/>
      <c r="W9245" s="18" t="s">
        <v>21697</v>
      </c>
      <c r="X9245" s="18" t="s">
        <v>35</v>
      </c>
      <c r="Y9245" s="18" t="s">
        <v>17171</v>
      </c>
      <c r="Z9245" s="18" t="s">
        <v>697</v>
      </c>
      <c r="AA9245" s="21" t="str">
        <f>HYPERLINK("https://www.ncbi.nlm.nih.gov/nuccore/BK013547","NCBI Nucleotide")</f>
        <v>NCBI Nucleotide</v>
      </c>
    </row>
    <row r="9246" spans="1:27" x14ac:dyDescent="0.35">
      <c r="A9246">
        <v>1009500</v>
      </c>
      <c r="B9246">
        <v>8571</v>
      </c>
      <c r="C9246">
        <v>1</v>
      </c>
      <c r="D9246" s="17" t="s">
        <v>17166</v>
      </c>
      <c r="E9246" s="17"/>
      <c r="F9246" s="17" t="s">
        <v>17246</v>
      </c>
      <c r="G9246" s="17"/>
      <c r="H9246" s="17" t="s">
        <v>20919</v>
      </c>
      <c r="I9246" s="17"/>
      <c r="J9246" s="17" t="s">
        <v>21313</v>
      </c>
      <c r="K9246" s="17"/>
      <c r="L9246" s="17" t="s">
        <v>21326</v>
      </c>
      <c r="M9246" s="17"/>
      <c r="N9246" s="17" t="s">
        <v>21577</v>
      </c>
      <c r="O9246" s="17"/>
      <c r="P9246" s="17" t="s">
        <v>21695</v>
      </c>
      <c r="Q9246" s="17"/>
      <c r="R9246" s="25" t="str">
        <f>HYPERLINK("https://ictv.global/taxonomy/taxondetails?taxnode_id=202310297","Chahsmivirus agrivivens")</f>
        <v>Chahsmivirus agrivivens</v>
      </c>
      <c r="S9246" s="18" t="s">
        <v>30</v>
      </c>
      <c r="T9246" s="18" t="s">
        <v>21698</v>
      </c>
      <c r="U9246" s="18"/>
      <c r="V9246" s="18"/>
      <c r="W9246" s="18" t="s">
        <v>21699</v>
      </c>
      <c r="X9246" s="18" t="s">
        <v>35</v>
      </c>
      <c r="Y9246" s="18" t="s">
        <v>17171</v>
      </c>
      <c r="Z9246" s="18" t="s">
        <v>697</v>
      </c>
      <c r="AA9246" s="21" t="str">
        <f>HYPERLINK("https://www.ncbi.nlm.nih.gov/nuccore/BK013442","NCBI Nucleotide")</f>
        <v>NCBI Nucleotide</v>
      </c>
    </row>
    <row r="9247" spans="1:27" x14ac:dyDescent="0.35">
      <c r="A9247">
        <v>1026080</v>
      </c>
      <c r="B9247">
        <v>8572</v>
      </c>
      <c r="C9247">
        <v>1</v>
      </c>
      <c r="D9247" s="17" t="s">
        <v>17166</v>
      </c>
      <c r="E9247" s="17"/>
      <c r="F9247" s="17" t="s">
        <v>17246</v>
      </c>
      <c r="G9247" s="17"/>
      <c r="H9247" s="17" t="s">
        <v>20919</v>
      </c>
      <c r="I9247" s="17"/>
      <c r="J9247" s="17" t="s">
        <v>21313</v>
      </c>
      <c r="K9247" s="17"/>
      <c r="L9247" s="17" t="s">
        <v>21326</v>
      </c>
      <c r="M9247" s="17"/>
      <c r="N9247" s="17" t="s">
        <v>21577</v>
      </c>
      <c r="O9247" s="17"/>
      <c r="P9247" s="17" t="s">
        <v>21695</v>
      </c>
      <c r="Q9247" s="17"/>
      <c r="R9247" s="25" t="str">
        <f>HYPERLINK("https://ictv.global/taxonomy/taxondetails?taxnode_id=202316249","Chahsmivirus caenivicinum")</f>
        <v>Chahsmivirus caenivicinum</v>
      </c>
      <c r="S9247" s="18" t="s">
        <v>30</v>
      </c>
      <c r="T9247" s="18" t="s">
        <v>42963</v>
      </c>
      <c r="U9247" s="18"/>
      <c r="V9247" s="18"/>
      <c r="W9247" s="18" t="s">
        <v>42964</v>
      </c>
      <c r="X9247" s="18" t="s">
        <v>35</v>
      </c>
      <c r="Y9247" s="18" t="s">
        <v>17171</v>
      </c>
      <c r="Z9247" s="18" t="s">
        <v>24637</v>
      </c>
      <c r="AA9247" s="21" t="str">
        <f>HYPERLINK("https://www.ncbi.nlm.nih.gov/nuccore/CASDWV010004599","NCBI Nucleotide")</f>
        <v>NCBI Nucleotide</v>
      </c>
    </row>
    <row r="9248" spans="1:27" x14ac:dyDescent="0.35">
      <c r="A9248">
        <v>1009501</v>
      </c>
      <c r="B9248">
        <v>8573</v>
      </c>
      <c r="C9248">
        <v>1</v>
      </c>
      <c r="D9248" s="17" t="s">
        <v>17166</v>
      </c>
      <c r="E9248" s="17"/>
      <c r="F9248" s="17" t="s">
        <v>17246</v>
      </c>
      <c r="G9248" s="17"/>
      <c r="H9248" s="17" t="s">
        <v>20919</v>
      </c>
      <c r="I9248" s="17"/>
      <c r="J9248" s="17" t="s">
        <v>21313</v>
      </c>
      <c r="K9248" s="17"/>
      <c r="L9248" s="17" t="s">
        <v>21326</v>
      </c>
      <c r="M9248" s="17"/>
      <c r="N9248" s="17" t="s">
        <v>21577</v>
      </c>
      <c r="O9248" s="17"/>
      <c r="P9248" s="17" t="s">
        <v>21695</v>
      </c>
      <c r="Q9248" s="17"/>
      <c r="R9248" s="25" t="str">
        <f>HYPERLINK("https://ictv.global/taxonomy/taxondetails?taxnode_id=202310298","Chahsmivirus choradaptatum")</f>
        <v>Chahsmivirus choradaptatum</v>
      </c>
      <c r="S9248" s="18" t="s">
        <v>30</v>
      </c>
      <c r="T9248" s="18" t="s">
        <v>21700</v>
      </c>
      <c r="U9248" s="18"/>
      <c r="V9248" s="18"/>
      <c r="W9248" s="18" t="s">
        <v>21701</v>
      </c>
      <c r="X9248" s="18" t="s">
        <v>35</v>
      </c>
      <c r="Y9248" s="18" t="s">
        <v>17171</v>
      </c>
      <c r="Z9248" s="18" t="s">
        <v>697</v>
      </c>
      <c r="AA9248" s="21" t="str">
        <f>HYPERLINK("https://www.ncbi.nlm.nih.gov/nuccore/BK013929","NCBI Nucleotide")</f>
        <v>NCBI Nucleotide</v>
      </c>
    </row>
    <row r="9249" spans="1:27" x14ac:dyDescent="0.35">
      <c r="A9249">
        <v>1026081</v>
      </c>
      <c r="B9249">
        <v>8574</v>
      </c>
      <c r="C9249">
        <v>1</v>
      </c>
      <c r="D9249" s="17" t="s">
        <v>17166</v>
      </c>
      <c r="E9249" s="17"/>
      <c r="F9249" s="17" t="s">
        <v>17246</v>
      </c>
      <c r="G9249" s="17"/>
      <c r="H9249" s="17" t="s">
        <v>20919</v>
      </c>
      <c r="I9249" s="17"/>
      <c r="J9249" s="17" t="s">
        <v>21313</v>
      </c>
      <c r="K9249" s="17"/>
      <c r="L9249" s="17" t="s">
        <v>21326</v>
      </c>
      <c r="M9249" s="17"/>
      <c r="N9249" s="17" t="s">
        <v>21577</v>
      </c>
      <c r="O9249" s="17"/>
      <c r="P9249" s="17" t="s">
        <v>21695</v>
      </c>
      <c r="Q9249" s="17"/>
      <c r="R9249" s="25" t="str">
        <f>HYPERLINK("https://ictv.global/taxonomy/taxondetails?taxnode_id=202316250","Chahsmivirus dinebrihabitans")</f>
        <v>Chahsmivirus dinebrihabitans</v>
      </c>
      <c r="S9249" s="18" t="s">
        <v>30</v>
      </c>
      <c r="T9249" s="18" t="s">
        <v>42965</v>
      </c>
      <c r="U9249" s="18"/>
      <c r="V9249" s="18" t="s">
        <v>42966</v>
      </c>
      <c r="W9249" s="18" t="s">
        <v>42967</v>
      </c>
      <c r="X9249" s="18" t="s">
        <v>35</v>
      </c>
      <c r="Y9249" s="18" t="s">
        <v>17171</v>
      </c>
      <c r="Z9249" s="18" t="s">
        <v>17336</v>
      </c>
      <c r="AA9249" s="21" t="str">
        <f>HYPERLINK("https://www.ncbi.nlm.nih.gov/nuccore/OM514480","NCBI Nucleotide")</f>
        <v>NCBI Nucleotide</v>
      </c>
    </row>
    <row r="9250" spans="1:27" x14ac:dyDescent="0.35">
      <c r="A9250">
        <v>1026082</v>
      </c>
      <c r="B9250">
        <v>8575</v>
      </c>
      <c r="C9250">
        <v>1</v>
      </c>
      <c r="D9250" s="17" t="s">
        <v>17166</v>
      </c>
      <c r="E9250" s="17"/>
      <c r="F9250" s="17" t="s">
        <v>17246</v>
      </c>
      <c r="G9250" s="17"/>
      <c r="H9250" s="17" t="s">
        <v>20919</v>
      </c>
      <c r="I9250" s="17"/>
      <c r="J9250" s="17" t="s">
        <v>21313</v>
      </c>
      <c r="K9250" s="17"/>
      <c r="L9250" s="17" t="s">
        <v>21326</v>
      </c>
      <c r="M9250" s="17"/>
      <c r="N9250" s="17" t="s">
        <v>21577</v>
      </c>
      <c r="O9250" s="17"/>
      <c r="P9250" s="17" t="s">
        <v>21695</v>
      </c>
      <c r="Q9250" s="17"/>
      <c r="R9250" s="25" t="str">
        <f>HYPERLINK("https://ictv.global/taxonomy/taxondetails?taxnode_id=202316251","Chahsmivirus edaphenecus")</f>
        <v>Chahsmivirus edaphenecus</v>
      </c>
      <c r="S9250" s="18" t="s">
        <v>30</v>
      </c>
      <c r="T9250" s="18" t="s">
        <v>42968</v>
      </c>
      <c r="U9250" s="18"/>
      <c r="V9250" s="18"/>
      <c r="W9250" s="18" t="s">
        <v>42969</v>
      </c>
      <c r="X9250" s="18" t="s">
        <v>35</v>
      </c>
      <c r="Y9250" s="18" t="s">
        <v>17171</v>
      </c>
      <c r="Z9250" s="18" t="s">
        <v>24637</v>
      </c>
      <c r="AA9250" s="21" t="str">
        <f>HYPERLINK("https://www.ncbi.nlm.nih.gov/nuccore/CASDWV010003695","NCBI Nucleotide")</f>
        <v>NCBI Nucleotide</v>
      </c>
    </row>
    <row r="9251" spans="1:27" x14ac:dyDescent="0.35">
      <c r="A9251">
        <v>1026083</v>
      </c>
      <c r="B9251">
        <v>8576</v>
      </c>
      <c r="C9251">
        <v>1</v>
      </c>
      <c r="D9251" s="17" t="s">
        <v>17166</v>
      </c>
      <c r="E9251" s="17"/>
      <c r="F9251" s="17" t="s">
        <v>17246</v>
      </c>
      <c r="G9251" s="17"/>
      <c r="H9251" s="17" t="s">
        <v>20919</v>
      </c>
      <c r="I9251" s="17"/>
      <c r="J9251" s="17" t="s">
        <v>21313</v>
      </c>
      <c r="K9251" s="17"/>
      <c r="L9251" s="17" t="s">
        <v>21326</v>
      </c>
      <c r="M9251" s="17"/>
      <c r="N9251" s="17" t="s">
        <v>21577</v>
      </c>
      <c r="O9251" s="17"/>
      <c r="P9251" s="17" t="s">
        <v>21695</v>
      </c>
      <c r="Q9251" s="17"/>
      <c r="R9251" s="25" t="str">
        <f>HYPERLINK("https://ictv.global/taxonomy/taxondetails?taxnode_id=202316252","Chahsmivirus geoenecus")</f>
        <v>Chahsmivirus geoenecus</v>
      </c>
      <c r="S9251" s="18" t="s">
        <v>30</v>
      </c>
      <c r="T9251" s="18" t="s">
        <v>42970</v>
      </c>
      <c r="U9251" s="18"/>
      <c r="V9251" s="18"/>
      <c r="W9251" s="18" t="s">
        <v>42971</v>
      </c>
      <c r="X9251" s="18" t="s">
        <v>35</v>
      </c>
      <c r="Y9251" s="18" t="s">
        <v>17171</v>
      </c>
      <c r="Z9251" s="18" t="s">
        <v>24637</v>
      </c>
      <c r="AA9251" s="21" t="str">
        <f>HYPERLINK("https://www.ncbi.nlm.nih.gov/nuccore/CASDWV010002276","NCBI Nucleotide")</f>
        <v>NCBI Nucleotide</v>
      </c>
    </row>
    <row r="9252" spans="1:27" x14ac:dyDescent="0.35">
      <c r="A9252">
        <v>1026084</v>
      </c>
      <c r="B9252">
        <v>8577</v>
      </c>
      <c r="C9252">
        <v>1</v>
      </c>
      <c r="D9252" s="17" t="s">
        <v>17166</v>
      </c>
      <c r="E9252" s="17"/>
      <c r="F9252" s="17" t="s">
        <v>17246</v>
      </c>
      <c r="G9252" s="17"/>
      <c r="H9252" s="17" t="s">
        <v>20919</v>
      </c>
      <c r="I9252" s="17"/>
      <c r="J9252" s="17" t="s">
        <v>21313</v>
      </c>
      <c r="K9252" s="17"/>
      <c r="L9252" s="17" t="s">
        <v>21326</v>
      </c>
      <c r="M9252" s="17"/>
      <c r="N9252" s="17" t="s">
        <v>21577</v>
      </c>
      <c r="O9252" s="17"/>
      <c r="P9252" s="17" t="s">
        <v>21695</v>
      </c>
      <c r="Q9252" s="17"/>
      <c r="R9252" s="25" t="str">
        <f>HYPERLINK("https://ictv.global/taxonomy/taxondetails?taxnode_id=202316253","Chahsmivirus humivicinum")</f>
        <v>Chahsmivirus humivicinum</v>
      </c>
      <c r="S9252" s="18" t="s">
        <v>30</v>
      </c>
      <c r="T9252" s="18" t="s">
        <v>42972</v>
      </c>
      <c r="U9252" s="18"/>
      <c r="V9252" s="18"/>
      <c r="W9252" s="18" t="s">
        <v>42973</v>
      </c>
      <c r="X9252" s="18" t="s">
        <v>35</v>
      </c>
      <c r="Y9252" s="18" t="s">
        <v>17171</v>
      </c>
      <c r="Z9252" s="18" t="s">
        <v>24637</v>
      </c>
      <c r="AA9252" s="21" t="str">
        <f>HYPERLINK("https://www.ncbi.nlm.nih.gov/nuccore/CASDWV010001720","NCBI Nucleotide")</f>
        <v>NCBI Nucleotide</v>
      </c>
    </row>
    <row r="9253" spans="1:27" x14ac:dyDescent="0.35">
      <c r="A9253">
        <v>1009502</v>
      </c>
      <c r="B9253">
        <v>8578</v>
      </c>
      <c r="C9253">
        <v>1</v>
      </c>
      <c r="D9253" s="17" t="s">
        <v>17166</v>
      </c>
      <c r="E9253" s="17"/>
      <c r="F9253" s="17" t="s">
        <v>17246</v>
      </c>
      <c r="G9253" s="17"/>
      <c r="H9253" s="17" t="s">
        <v>20919</v>
      </c>
      <c r="I9253" s="17"/>
      <c r="J9253" s="17" t="s">
        <v>21313</v>
      </c>
      <c r="K9253" s="17"/>
      <c r="L9253" s="17" t="s">
        <v>21326</v>
      </c>
      <c r="M9253" s="17"/>
      <c r="N9253" s="17" t="s">
        <v>21577</v>
      </c>
      <c r="O9253" s="17"/>
      <c r="P9253" s="17" t="s">
        <v>21695</v>
      </c>
      <c r="Q9253" s="17"/>
      <c r="R9253" s="25" t="str">
        <f>HYPERLINK("https://ictv.global/taxonomy/taxondetails?taxnode_id=202310299","Chahsmivirus limivicinum")</f>
        <v>Chahsmivirus limivicinum</v>
      </c>
      <c r="S9253" s="18" t="s">
        <v>30</v>
      </c>
      <c r="T9253" s="18" t="s">
        <v>21702</v>
      </c>
      <c r="U9253" s="18"/>
      <c r="V9253" s="18"/>
      <c r="W9253" s="18" t="s">
        <v>21703</v>
      </c>
      <c r="X9253" s="18" t="s">
        <v>35</v>
      </c>
      <c r="Y9253" s="18" t="s">
        <v>17171</v>
      </c>
      <c r="Z9253" s="18" t="s">
        <v>697</v>
      </c>
      <c r="AA9253" s="21" t="str">
        <f>HYPERLINK("https://www.ncbi.nlm.nih.gov/nuccore/BK013620","NCBI Nucleotide")</f>
        <v>NCBI Nucleotide</v>
      </c>
    </row>
    <row r="9254" spans="1:27" x14ac:dyDescent="0.35">
      <c r="A9254">
        <v>1009503</v>
      </c>
      <c r="B9254">
        <v>8579</v>
      </c>
      <c r="C9254">
        <v>1</v>
      </c>
      <c r="D9254" s="17" t="s">
        <v>17166</v>
      </c>
      <c r="E9254" s="17"/>
      <c r="F9254" s="17" t="s">
        <v>17246</v>
      </c>
      <c r="G9254" s="17"/>
      <c r="H9254" s="17" t="s">
        <v>20919</v>
      </c>
      <c r="I9254" s="17"/>
      <c r="J9254" s="17" t="s">
        <v>21313</v>
      </c>
      <c r="K9254" s="17"/>
      <c r="L9254" s="17" t="s">
        <v>21326</v>
      </c>
      <c r="M9254" s="17"/>
      <c r="N9254" s="17" t="s">
        <v>21577</v>
      </c>
      <c r="O9254" s="17"/>
      <c r="P9254" s="17" t="s">
        <v>21695</v>
      </c>
      <c r="Q9254" s="17"/>
      <c r="R9254" s="25" t="str">
        <f>HYPERLINK("https://ictv.global/taxonomy/taxondetails?taxnode_id=202310300","Chahsmivirus limivivens")</f>
        <v>Chahsmivirus limivivens</v>
      </c>
      <c r="S9254" s="18" t="s">
        <v>30</v>
      </c>
      <c r="T9254" s="18" t="s">
        <v>21704</v>
      </c>
      <c r="U9254" s="18"/>
      <c r="V9254" s="18"/>
      <c r="W9254" s="18" t="s">
        <v>21705</v>
      </c>
      <c r="X9254" s="18" t="s">
        <v>35</v>
      </c>
      <c r="Y9254" s="18" t="s">
        <v>17171</v>
      </c>
      <c r="Z9254" s="18" t="s">
        <v>697</v>
      </c>
      <c r="AA9254" s="21" t="str">
        <f>HYPERLINK("https://www.ncbi.nlm.nih.gov/nuccore/BK014106","NCBI Nucleotide")</f>
        <v>NCBI Nucleotide</v>
      </c>
    </row>
    <row r="9255" spans="1:27" x14ac:dyDescent="0.35">
      <c r="A9255">
        <v>1009504</v>
      </c>
      <c r="B9255">
        <v>8580</v>
      </c>
      <c r="C9255">
        <v>1</v>
      </c>
      <c r="D9255" s="17" t="s">
        <v>17166</v>
      </c>
      <c r="E9255" s="17"/>
      <c r="F9255" s="17" t="s">
        <v>17246</v>
      </c>
      <c r="G9255" s="17"/>
      <c r="H9255" s="17" t="s">
        <v>20919</v>
      </c>
      <c r="I9255" s="17"/>
      <c r="J9255" s="17" t="s">
        <v>21313</v>
      </c>
      <c r="K9255" s="17"/>
      <c r="L9255" s="17" t="s">
        <v>21326</v>
      </c>
      <c r="M9255" s="17"/>
      <c r="N9255" s="17" t="s">
        <v>21577</v>
      </c>
      <c r="O9255" s="17"/>
      <c r="P9255" s="17" t="s">
        <v>21695</v>
      </c>
      <c r="Q9255" s="17"/>
      <c r="R9255" s="25" t="str">
        <f>HYPERLINK("https://ictv.global/taxonomy/taxondetails?taxnode_id=202310301","Chahsmivirus lutadaptatum")</f>
        <v>Chahsmivirus lutadaptatum</v>
      </c>
      <c r="S9255" s="18" t="s">
        <v>30</v>
      </c>
      <c r="T9255" s="18" t="s">
        <v>21706</v>
      </c>
      <c r="U9255" s="18"/>
      <c r="V9255" s="18"/>
      <c r="W9255" s="18" t="s">
        <v>21707</v>
      </c>
      <c r="X9255" s="18" t="s">
        <v>35</v>
      </c>
      <c r="Y9255" s="18" t="s">
        <v>17171</v>
      </c>
      <c r="Z9255" s="18" t="s">
        <v>697</v>
      </c>
      <c r="AA9255" s="21" t="str">
        <f>HYPERLINK("https://www.ncbi.nlm.nih.gov/nuccore/BK014174","NCBI Nucleotide")</f>
        <v>NCBI Nucleotide</v>
      </c>
    </row>
    <row r="9256" spans="1:27" x14ac:dyDescent="0.35">
      <c r="A9256">
        <v>1026085</v>
      </c>
      <c r="B9256">
        <v>8581</v>
      </c>
      <c r="C9256">
        <v>1</v>
      </c>
      <c r="D9256" s="17" t="s">
        <v>17166</v>
      </c>
      <c r="E9256" s="17"/>
      <c r="F9256" s="17" t="s">
        <v>17246</v>
      </c>
      <c r="G9256" s="17"/>
      <c r="H9256" s="17" t="s">
        <v>20919</v>
      </c>
      <c r="I9256" s="17"/>
      <c r="J9256" s="17" t="s">
        <v>21313</v>
      </c>
      <c r="K9256" s="17"/>
      <c r="L9256" s="17" t="s">
        <v>21326</v>
      </c>
      <c r="M9256" s="17"/>
      <c r="N9256" s="17" t="s">
        <v>21577</v>
      </c>
      <c r="O9256" s="17"/>
      <c r="P9256" s="17" t="s">
        <v>21695</v>
      </c>
      <c r="Q9256" s="17"/>
      <c r="R9256" s="25" t="str">
        <f>HYPERLINK("https://ictv.global/taxonomy/taxondetails?taxnode_id=202316254","Chahsmivirus neochoradaptatum")</f>
        <v>Chahsmivirus neochoradaptatum</v>
      </c>
      <c r="S9256" s="18" t="s">
        <v>30</v>
      </c>
      <c r="T9256" s="18" t="s">
        <v>42974</v>
      </c>
      <c r="U9256" s="18"/>
      <c r="V9256" s="18"/>
      <c r="W9256" s="18" t="s">
        <v>42975</v>
      </c>
      <c r="X9256" s="18" t="s">
        <v>35</v>
      </c>
      <c r="Y9256" s="18" t="s">
        <v>17171</v>
      </c>
      <c r="Z9256" s="18" t="s">
        <v>24637</v>
      </c>
      <c r="AA9256" s="21" t="str">
        <f>HYPERLINK("https://www.ncbi.nlm.nih.gov/nuccore/CASDWV010003525","NCBI Nucleotide")</f>
        <v>NCBI Nucleotide</v>
      </c>
    </row>
    <row r="9257" spans="1:27" x14ac:dyDescent="0.35">
      <c r="A9257">
        <v>1026086</v>
      </c>
      <c r="B9257">
        <v>8582</v>
      </c>
      <c r="C9257">
        <v>1</v>
      </c>
      <c r="D9257" s="17" t="s">
        <v>17166</v>
      </c>
      <c r="E9257" s="17"/>
      <c r="F9257" s="17" t="s">
        <v>17246</v>
      </c>
      <c r="G9257" s="17"/>
      <c r="H9257" s="17" t="s">
        <v>20919</v>
      </c>
      <c r="I9257" s="17"/>
      <c r="J9257" s="17" t="s">
        <v>21313</v>
      </c>
      <c r="K9257" s="17"/>
      <c r="L9257" s="17" t="s">
        <v>21326</v>
      </c>
      <c r="M9257" s="17"/>
      <c r="N9257" s="17" t="s">
        <v>21577</v>
      </c>
      <c r="O9257" s="17"/>
      <c r="P9257" s="17" t="s">
        <v>21695</v>
      </c>
      <c r="Q9257" s="17"/>
      <c r="R9257" s="25" t="str">
        <f>HYPERLINK("https://ictv.global/taxonomy/taxondetails?taxnode_id=202316255","Chahsmivirus neolimivicinum")</f>
        <v>Chahsmivirus neolimivicinum</v>
      </c>
      <c r="S9257" s="18" t="s">
        <v>30</v>
      </c>
      <c r="T9257" s="18" t="s">
        <v>42976</v>
      </c>
      <c r="U9257" s="18"/>
      <c r="V9257" s="18"/>
      <c r="W9257" s="18" t="s">
        <v>42977</v>
      </c>
      <c r="X9257" s="18" t="s">
        <v>35</v>
      </c>
      <c r="Y9257" s="18" t="s">
        <v>17171</v>
      </c>
      <c r="Z9257" s="18" t="s">
        <v>24637</v>
      </c>
      <c r="AA9257" s="21" t="str">
        <f>HYPERLINK("https://www.ncbi.nlm.nih.gov/nuccore/CASDWV010002318","NCBI Nucleotide")</f>
        <v>NCBI Nucleotide</v>
      </c>
    </row>
    <row r="9258" spans="1:27" x14ac:dyDescent="0.35">
      <c r="A9258">
        <v>1026087</v>
      </c>
      <c r="B9258">
        <v>8583</v>
      </c>
      <c r="C9258">
        <v>1</v>
      </c>
      <c r="D9258" s="17" t="s">
        <v>17166</v>
      </c>
      <c r="E9258" s="17"/>
      <c r="F9258" s="17" t="s">
        <v>17246</v>
      </c>
      <c r="G9258" s="17"/>
      <c r="H9258" s="17" t="s">
        <v>20919</v>
      </c>
      <c r="I9258" s="17"/>
      <c r="J9258" s="17" t="s">
        <v>21313</v>
      </c>
      <c r="K9258" s="17"/>
      <c r="L9258" s="17" t="s">
        <v>21326</v>
      </c>
      <c r="M9258" s="17"/>
      <c r="N9258" s="17" t="s">
        <v>21577</v>
      </c>
      <c r="O9258" s="17"/>
      <c r="P9258" s="17" t="s">
        <v>21695</v>
      </c>
      <c r="Q9258" s="17"/>
      <c r="R9258" s="25" t="str">
        <f>HYPERLINK("https://ictv.global/taxonomy/taxondetails?taxnode_id=202316256","Chahsmivirus pedenecus")</f>
        <v>Chahsmivirus pedenecus</v>
      </c>
      <c r="S9258" s="18" t="s">
        <v>30</v>
      </c>
      <c r="T9258" s="18" t="s">
        <v>42978</v>
      </c>
      <c r="U9258" s="18"/>
      <c r="V9258" s="18"/>
      <c r="W9258" s="18" t="s">
        <v>42979</v>
      </c>
      <c r="X9258" s="18" t="s">
        <v>35</v>
      </c>
      <c r="Y9258" s="18" t="s">
        <v>17171</v>
      </c>
      <c r="Z9258" s="18" t="s">
        <v>24637</v>
      </c>
      <c r="AA9258" s="21" t="str">
        <f>HYPERLINK("https://www.ncbi.nlm.nih.gov/nuccore/CASDWV010003917","NCBI Nucleotide")</f>
        <v>NCBI Nucleotide</v>
      </c>
    </row>
    <row r="9259" spans="1:27" x14ac:dyDescent="0.35">
      <c r="A9259">
        <v>1026088</v>
      </c>
      <c r="B9259">
        <v>8584</v>
      </c>
      <c r="C9259">
        <v>1</v>
      </c>
      <c r="D9259" s="17" t="s">
        <v>17166</v>
      </c>
      <c r="E9259" s="17"/>
      <c r="F9259" s="17" t="s">
        <v>17246</v>
      </c>
      <c r="G9259" s="17"/>
      <c r="H9259" s="17" t="s">
        <v>20919</v>
      </c>
      <c r="I9259" s="17"/>
      <c r="J9259" s="17" t="s">
        <v>21313</v>
      </c>
      <c r="K9259" s="17"/>
      <c r="L9259" s="17" t="s">
        <v>21326</v>
      </c>
      <c r="M9259" s="17"/>
      <c r="N9259" s="17" t="s">
        <v>21577</v>
      </c>
      <c r="O9259" s="17"/>
      <c r="P9259" s="17" t="s">
        <v>21695</v>
      </c>
      <c r="Q9259" s="17"/>
      <c r="R9259" s="25" t="str">
        <f>HYPERLINK("https://ictv.global/taxonomy/taxondetails?taxnode_id=202316257","Chahsmivirus terricola")</f>
        <v>Chahsmivirus terricola</v>
      </c>
      <c r="S9259" s="18" t="s">
        <v>30</v>
      </c>
      <c r="T9259" s="18" t="s">
        <v>42980</v>
      </c>
      <c r="U9259" s="18"/>
      <c r="V9259" s="18"/>
      <c r="W9259" s="18" t="s">
        <v>42981</v>
      </c>
      <c r="X9259" s="18" t="s">
        <v>35</v>
      </c>
      <c r="Y9259" s="18" t="s">
        <v>17171</v>
      </c>
      <c r="Z9259" s="18" t="s">
        <v>24637</v>
      </c>
      <c r="AA9259" s="21" t="str">
        <f>HYPERLINK("https://www.ncbi.nlm.nih.gov/nuccore/CASDWV010003165","NCBI Nucleotide")</f>
        <v>NCBI Nucleotide</v>
      </c>
    </row>
    <row r="9260" spans="1:27" x14ac:dyDescent="0.35">
      <c r="A9260">
        <v>1009505</v>
      </c>
      <c r="B9260">
        <v>8585</v>
      </c>
      <c r="C9260">
        <v>1</v>
      </c>
      <c r="D9260" s="17" t="s">
        <v>17166</v>
      </c>
      <c r="E9260" s="17"/>
      <c r="F9260" s="17" t="s">
        <v>17246</v>
      </c>
      <c r="G9260" s="17"/>
      <c r="H9260" s="17" t="s">
        <v>20919</v>
      </c>
      <c r="I9260" s="17"/>
      <c r="J9260" s="17" t="s">
        <v>21313</v>
      </c>
      <c r="K9260" s="17"/>
      <c r="L9260" s="17" t="s">
        <v>21326</v>
      </c>
      <c r="M9260" s="17"/>
      <c r="N9260" s="17" t="s">
        <v>21577</v>
      </c>
      <c r="O9260" s="17"/>
      <c r="P9260" s="17" t="s">
        <v>21708</v>
      </c>
      <c r="Q9260" s="17"/>
      <c r="R9260" s="25" t="str">
        <f>HYPERLINK("https://ictv.global/taxonomy/taxondetails?taxnode_id=202310303","Chihyovirus lutenecus")</f>
        <v>Chihyovirus lutenecus</v>
      </c>
      <c r="S9260" s="18" t="s">
        <v>30</v>
      </c>
      <c r="T9260" s="18" t="s">
        <v>21709</v>
      </c>
      <c r="U9260" s="18"/>
      <c r="V9260" s="18"/>
      <c r="W9260" s="18" t="s">
        <v>21710</v>
      </c>
      <c r="X9260" s="18" t="s">
        <v>35</v>
      </c>
      <c r="Y9260" s="18" t="s">
        <v>17171</v>
      </c>
      <c r="Z9260" s="18" t="s">
        <v>697</v>
      </c>
      <c r="AA9260" s="21" t="str">
        <f>HYPERLINK("https://www.ncbi.nlm.nih.gov/nuccore/BK013594","NCBI Nucleotide")</f>
        <v>NCBI Nucleotide</v>
      </c>
    </row>
    <row r="9261" spans="1:27" x14ac:dyDescent="0.35">
      <c r="A9261">
        <v>1009506</v>
      </c>
      <c r="B9261">
        <v>8586</v>
      </c>
      <c r="C9261">
        <v>1</v>
      </c>
      <c r="D9261" s="17" t="s">
        <v>17166</v>
      </c>
      <c r="E9261" s="17"/>
      <c r="F9261" s="17" t="s">
        <v>17246</v>
      </c>
      <c r="G9261" s="17"/>
      <c r="H9261" s="17" t="s">
        <v>20919</v>
      </c>
      <c r="I9261" s="17"/>
      <c r="J9261" s="17" t="s">
        <v>21313</v>
      </c>
      <c r="K9261" s="17"/>
      <c r="L9261" s="17" t="s">
        <v>21326</v>
      </c>
      <c r="M9261" s="17"/>
      <c r="N9261" s="17" t="s">
        <v>21577</v>
      </c>
      <c r="O9261" s="17"/>
      <c r="P9261" s="17" t="s">
        <v>21711</v>
      </c>
      <c r="Q9261" s="17"/>
      <c r="R9261" s="25" t="str">
        <f>HYPERLINK("https://ictv.global/taxonomy/taxondetails?taxnode_id=202310305","Chobevirus lutivicinum")</f>
        <v>Chobevirus lutivicinum</v>
      </c>
      <c r="S9261" s="18" t="s">
        <v>30</v>
      </c>
      <c r="T9261" s="18" t="s">
        <v>21712</v>
      </c>
      <c r="U9261" s="18"/>
      <c r="V9261" s="18"/>
      <c r="W9261" s="18" t="s">
        <v>21713</v>
      </c>
      <c r="X9261" s="18" t="s">
        <v>35</v>
      </c>
      <c r="Y9261" s="18" t="s">
        <v>17171</v>
      </c>
      <c r="Z9261" s="18" t="s">
        <v>697</v>
      </c>
      <c r="AA9261" s="21" t="str">
        <f>HYPERLINK("https://www.ncbi.nlm.nih.gov/nuccore/BK013722","NCBI Nucleotide")</f>
        <v>NCBI Nucleotide</v>
      </c>
    </row>
    <row r="9262" spans="1:27" x14ac:dyDescent="0.35">
      <c r="A9262">
        <v>1009507</v>
      </c>
      <c r="B9262">
        <v>8587</v>
      </c>
      <c r="C9262">
        <v>1</v>
      </c>
      <c r="D9262" s="17" t="s">
        <v>17166</v>
      </c>
      <c r="E9262" s="17"/>
      <c r="F9262" s="17" t="s">
        <v>17246</v>
      </c>
      <c r="G9262" s="17"/>
      <c r="H9262" s="17" t="s">
        <v>20919</v>
      </c>
      <c r="I9262" s="17"/>
      <c r="J9262" s="17" t="s">
        <v>21313</v>
      </c>
      <c r="K9262" s="17"/>
      <c r="L9262" s="17" t="s">
        <v>21326</v>
      </c>
      <c r="M9262" s="17"/>
      <c r="N9262" s="17" t="s">
        <v>21577</v>
      </c>
      <c r="O9262" s="17"/>
      <c r="P9262" s="17" t="s">
        <v>21714</v>
      </c>
      <c r="Q9262" s="17"/>
      <c r="R9262" s="25" t="str">
        <f>HYPERLINK("https://ictv.global/taxonomy/taxondetails?taxnode_id=202310307","Choctavirus fulminicola")</f>
        <v>Choctavirus fulminicola</v>
      </c>
      <c r="S9262" s="18" t="s">
        <v>30</v>
      </c>
      <c r="T9262" s="18" t="s">
        <v>21715</v>
      </c>
      <c r="U9262" s="18"/>
      <c r="V9262" s="18"/>
      <c r="W9262" s="18" t="s">
        <v>21716</v>
      </c>
      <c r="X9262" s="18" t="s">
        <v>35</v>
      </c>
      <c r="Y9262" s="18" t="s">
        <v>17171</v>
      </c>
      <c r="Z9262" s="18" t="s">
        <v>697</v>
      </c>
      <c r="AA9262" s="21" t="str">
        <f>HYPERLINK("https://www.ncbi.nlm.nih.gov/nuccore/BK014221","NCBI Nucleotide")</f>
        <v>NCBI Nucleotide</v>
      </c>
    </row>
    <row r="9263" spans="1:27" x14ac:dyDescent="0.35">
      <c r="A9263">
        <v>1009508</v>
      </c>
      <c r="B9263">
        <v>8588</v>
      </c>
      <c r="C9263">
        <v>1</v>
      </c>
      <c r="D9263" s="17" t="s">
        <v>17166</v>
      </c>
      <c r="E9263" s="17"/>
      <c r="F9263" s="17" t="s">
        <v>17246</v>
      </c>
      <c r="G9263" s="17"/>
      <c r="H9263" s="17" t="s">
        <v>20919</v>
      </c>
      <c r="I9263" s="17"/>
      <c r="J9263" s="17" t="s">
        <v>21313</v>
      </c>
      <c r="K9263" s="17"/>
      <c r="L9263" s="17" t="s">
        <v>21326</v>
      </c>
      <c r="M9263" s="17"/>
      <c r="N9263" s="17" t="s">
        <v>21577</v>
      </c>
      <c r="O9263" s="17"/>
      <c r="P9263" s="17" t="s">
        <v>21717</v>
      </c>
      <c r="Q9263" s="17"/>
      <c r="R9263" s="25" t="str">
        <f>HYPERLINK("https://ictv.global/taxonomy/taxondetails?taxnode_id=202310309","Cintrevirus pelocola")</f>
        <v>Cintrevirus pelocola</v>
      </c>
      <c r="S9263" s="18" t="s">
        <v>30</v>
      </c>
      <c r="T9263" s="18" t="s">
        <v>21718</v>
      </c>
      <c r="U9263" s="18"/>
      <c r="V9263" s="18"/>
      <c r="W9263" s="18" t="s">
        <v>21719</v>
      </c>
      <c r="X9263" s="18" t="s">
        <v>35</v>
      </c>
      <c r="Y9263" s="18" t="s">
        <v>17171</v>
      </c>
      <c r="Z9263" s="18" t="s">
        <v>697</v>
      </c>
      <c r="AA9263" s="21" t="str">
        <f>HYPERLINK("https://www.ncbi.nlm.nih.gov/nuccore/BK013650","NCBI Nucleotide")</f>
        <v>NCBI Nucleotide</v>
      </c>
    </row>
    <row r="9264" spans="1:27" x14ac:dyDescent="0.35">
      <c r="A9264">
        <v>1026092</v>
      </c>
      <c r="B9264">
        <v>8589</v>
      </c>
      <c r="C9264">
        <v>1</v>
      </c>
      <c r="D9264" s="17" t="s">
        <v>17166</v>
      </c>
      <c r="E9264" s="17"/>
      <c r="F9264" s="17" t="s">
        <v>17246</v>
      </c>
      <c r="G9264" s="17"/>
      <c r="H9264" s="17" t="s">
        <v>20919</v>
      </c>
      <c r="I9264" s="17"/>
      <c r="J9264" s="17" t="s">
        <v>21313</v>
      </c>
      <c r="K9264" s="17"/>
      <c r="L9264" s="17" t="s">
        <v>21326</v>
      </c>
      <c r="M9264" s="17"/>
      <c r="N9264" s="17" t="s">
        <v>21577</v>
      </c>
      <c r="O9264" s="17"/>
      <c r="P9264" s="17" t="s">
        <v>21717</v>
      </c>
      <c r="Q9264" s="17"/>
      <c r="R9264" s="25" t="str">
        <f>HYPERLINK("https://ictv.global/taxonomy/taxondetails?taxnode_id=202316258","Cintrevirus radicivicinum")</f>
        <v>Cintrevirus radicivicinum</v>
      </c>
      <c r="S9264" s="18" t="s">
        <v>30</v>
      </c>
      <c r="T9264" s="18" t="s">
        <v>42982</v>
      </c>
      <c r="U9264" s="18"/>
      <c r="V9264" s="18"/>
      <c r="W9264" s="18" t="s">
        <v>42983</v>
      </c>
      <c r="X9264" s="18" t="s">
        <v>35</v>
      </c>
      <c r="Y9264" s="18" t="s">
        <v>17171</v>
      </c>
      <c r="Z9264" s="18" t="s">
        <v>24637</v>
      </c>
      <c r="AA9264" s="21" t="str">
        <f>HYPERLINK("https://www.ncbi.nlm.nih.gov/nuccore/CASDWV010002243","NCBI Nucleotide")</f>
        <v>NCBI Nucleotide</v>
      </c>
    </row>
    <row r="9265" spans="1:27" x14ac:dyDescent="0.35">
      <c r="A9265">
        <v>1026198</v>
      </c>
      <c r="B9265">
        <v>8590</v>
      </c>
      <c r="C9265">
        <v>1</v>
      </c>
      <c r="D9265" s="17" t="s">
        <v>17166</v>
      </c>
      <c r="E9265" s="17"/>
      <c r="F9265" s="17" t="s">
        <v>17246</v>
      </c>
      <c r="G9265" s="17"/>
      <c r="H9265" s="17" t="s">
        <v>20919</v>
      </c>
      <c r="I9265" s="17"/>
      <c r="J9265" s="17" t="s">
        <v>21313</v>
      </c>
      <c r="K9265" s="17"/>
      <c r="L9265" s="17" t="s">
        <v>21326</v>
      </c>
      <c r="M9265" s="17"/>
      <c r="N9265" s="17" t="s">
        <v>21577</v>
      </c>
      <c r="O9265" s="17"/>
      <c r="P9265" s="17" t="s">
        <v>21742</v>
      </c>
      <c r="Q9265" s="17"/>
      <c r="R9265" s="25" t="str">
        <f>HYPERLINK("https://ictv.global/taxonomy/taxondetails?taxnode_id=202316259","Cunavirus faecicola")</f>
        <v>Cunavirus faecicola</v>
      </c>
      <c r="S9265" s="18" t="s">
        <v>30</v>
      </c>
      <c r="T9265" s="18" t="s">
        <v>42984</v>
      </c>
      <c r="U9265" s="18"/>
      <c r="V9265" s="18" t="s">
        <v>42984</v>
      </c>
      <c r="W9265" s="18" t="s">
        <v>42985</v>
      </c>
      <c r="X9265" s="18" t="s">
        <v>35</v>
      </c>
      <c r="Y9265" s="18" t="s">
        <v>17171</v>
      </c>
      <c r="Z9265" s="18" t="s">
        <v>17413</v>
      </c>
      <c r="AA9265" s="21" t="str">
        <f>HYPERLINK("https://www.ncbi.nlm.nih.gov/nuccore/MZ679821","NCBI Nucleotide")</f>
        <v>NCBI Nucleotide</v>
      </c>
    </row>
    <row r="9266" spans="1:27" x14ac:dyDescent="0.35">
      <c r="A9266">
        <v>1026199</v>
      </c>
      <c r="B9266">
        <v>8591</v>
      </c>
      <c r="C9266">
        <v>1</v>
      </c>
      <c r="D9266" s="17" t="s">
        <v>17166</v>
      </c>
      <c r="E9266" s="17"/>
      <c r="F9266" s="17" t="s">
        <v>17246</v>
      </c>
      <c r="G9266" s="17"/>
      <c r="H9266" s="17" t="s">
        <v>20919</v>
      </c>
      <c r="I9266" s="17"/>
      <c r="J9266" s="17" t="s">
        <v>21313</v>
      </c>
      <c r="K9266" s="17"/>
      <c r="L9266" s="17" t="s">
        <v>21326</v>
      </c>
      <c r="M9266" s="17"/>
      <c r="N9266" s="17" t="s">
        <v>21577</v>
      </c>
      <c r="O9266" s="17"/>
      <c r="P9266" s="17" t="s">
        <v>21742</v>
      </c>
      <c r="Q9266" s="17"/>
      <c r="R9266" s="25" t="str">
        <f>HYPERLINK("https://ictv.global/taxonomy/taxondetails?taxnode_id=202316260","Cunavirus faecihabitans")</f>
        <v>Cunavirus faecihabitans</v>
      </c>
      <c r="S9266" s="18" t="s">
        <v>30</v>
      </c>
      <c r="T9266" s="18" t="s">
        <v>42986</v>
      </c>
      <c r="U9266" s="18"/>
      <c r="V9266" s="18" t="s">
        <v>42986</v>
      </c>
      <c r="W9266" s="18" t="s">
        <v>42987</v>
      </c>
      <c r="X9266" s="18" t="s">
        <v>35</v>
      </c>
      <c r="Y9266" s="18" t="s">
        <v>17171</v>
      </c>
      <c r="Z9266" s="18" t="s">
        <v>17413</v>
      </c>
      <c r="AA9266" s="21" t="str">
        <f>HYPERLINK("https://www.ncbi.nlm.nih.gov/nuccore/MZ679665","NCBI Nucleotide")</f>
        <v>NCBI Nucleotide</v>
      </c>
    </row>
    <row r="9267" spans="1:27" x14ac:dyDescent="0.35">
      <c r="A9267">
        <v>1026200</v>
      </c>
      <c r="B9267">
        <v>8592</v>
      </c>
      <c r="C9267">
        <v>1</v>
      </c>
      <c r="D9267" s="17" t="s">
        <v>17166</v>
      </c>
      <c r="E9267" s="17"/>
      <c r="F9267" s="17" t="s">
        <v>17246</v>
      </c>
      <c r="G9267" s="17"/>
      <c r="H9267" s="17" t="s">
        <v>20919</v>
      </c>
      <c r="I9267" s="17"/>
      <c r="J9267" s="17" t="s">
        <v>21313</v>
      </c>
      <c r="K9267" s="17"/>
      <c r="L9267" s="17" t="s">
        <v>21326</v>
      </c>
      <c r="M9267" s="17"/>
      <c r="N9267" s="17" t="s">
        <v>21577</v>
      </c>
      <c r="O9267" s="17"/>
      <c r="P9267" s="17" t="s">
        <v>21742</v>
      </c>
      <c r="Q9267" s="17"/>
      <c r="R9267" s="25" t="str">
        <f>HYPERLINK("https://ictv.global/taxonomy/taxondetails?taxnode_id=202316261","Cunavirus faecivicinum")</f>
        <v>Cunavirus faecivicinum</v>
      </c>
      <c r="S9267" s="18" t="s">
        <v>30</v>
      </c>
      <c r="T9267" s="18" t="s">
        <v>42988</v>
      </c>
      <c r="U9267" s="18"/>
      <c r="V9267" s="18" t="s">
        <v>42988</v>
      </c>
      <c r="W9267" s="18" t="s">
        <v>42989</v>
      </c>
      <c r="X9267" s="18" t="s">
        <v>35</v>
      </c>
      <c r="Y9267" s="18" t="s">
        <v>17171</v>
      </c>
      <c r="Z9267" s="18" t="s">
        <v>17413</v>
      </c>
      <c r="AA9267" s="21" t="str">
        <f>HYPERLINK("https://www.ncbi.nlm.nih.gov/nuccore/MZ679486","NCBI Nucleotide")</f>
        <v>NCBI Nucleotide</v>
      </c>
    </row>
    <row r="9268" spans="1:27" x14ac:dyDescent="0.35">
      <c r="A9268">
        <v>1009521</v>
      </c>
      <c r="B9268">
        <v>8593</v>
      </c>
      <c r="C9268">
        <v>1</v>
      </c>
      <c r="D9268" s="17" t="s">
        <v>17166</v>
      </c>
      <c r="E9268" s="17"/>
      <c r="F9268" s="17" t="s">
        <v>17246</v>
      </c>
      <c r="G9268" s="17"/>
      <c r="H9268" s="17" t="s">
        <v>20919</v>
      </c>
      <c r="I9268" s="17"/>
      <c r="J9268" s="17" t="s">
        <v>21313</v>
      </c>
      <c r="K9268" s="17"/>
      <c r="L9268" s="17" t="s">
        <v>21326</v>
      </c>
      <c r="M9268" s="17"/>
      <c r="N9268" s="17" t="s">
        <v>21577</v>
      </c>
      <c r="O9268" s="17"/>
      <c r="P9268" s="17" t="s">
        <v>21742</v>
      </c>
      <c r="Q9268" s="17"/>
      <c r="R9268" s="25" t="str">
        <f>HYPERLINK("https://ictv.global/taxonomy/taxondetails?taxnode_id=202310325","Cunavirus pretoriense")</f>
        <v>Cunavirus pretoriense</v>
      </c>
      <c r="S9268" s="18" t="s">
        <v>30</v>
      </c>
      <c r="T9268" s="18" t="s">
        <v>21743</v>
      </c>
      <c r="U9268" s="18"/>
      <c r="V9268" s="18"/>
      <c r="W9268" s="18" t="s">
        <v>21744</v>
      </c>
      <c r="X9268" s="18" t="s">
        <v>42</v>
      </c>
      <c r="Y9268" s="18" t="s">
        <v>17171</v>
      </c>
      <c r="Z9268" s="18" t="s">
        <v>697</v>
      </c>
      <c r="AA9268" s="21" t="str">
        <f>HYPERLINK("https://www.ncbi.nlm.nih.gov/nuccore/JX045649","NCBI Nucleotide")</f>
        <v>NCBI Nucleotide</v>
      </c>
    </row>
    <row r="9269" spans="1:27" x14ac:dyDescent="0.35">
      <c r="A9269">
        <v>1009522</v>
      </c>
      <c r="B9269">
        <v>8594</v>
      </c>
      <c r="C9269">
        <v>1</v>
      </c>
      <c r="D9269" s="17" t="s">
        <v>17166</v>
      </c>
      <c r="E9269" s="17"/>
      <c r="F9269" s="17" t="s">
        <v>17246</v>
      </c>
      <c r="G9269" s="17"/>
      <c r="H9269" s="17" t="s">
        <v>20919</v>
      </c>
      <c r="I9269" s="17"/>
      <c r="J9269" s="17" t="s">
        <v>21313</v>
      </c>
      <c r="K9269" s="17"/>
      <c r="L9269" s="17" t="s">
        <v>21326</v>
      </c>
      <c r="M9269" s="17"/>
      <c r="N9269" s="17" t="s">
        <v>21577</v>
      </c>
      <c r="O9269" s="17"/>
      <c r="P9269" s="17" t="s">
        <v>21745</v>
      </c>
      <c r="Q9269" s="17"/>
      <c r="R9269" s="25" t="str">
        <f>HYPERLINK("https://ictv.global/taxonomy/taxondetails?taxnode_id=202310327","Dahmuvirus insecticola")</f>
        <v>Dahmuvirus insecticola</v>
      </c>
      <c r="S9269" s="18" t="s">
        <v>30</v>
      </c>
      <c r="T9269" s="18" t="s">
        <v>21746</v>
      </c>
      <c r="U9269" s="18"/>
      <c r="V9269" s="18"/>
      <c r="W9269" s="18" t="s">
        <v>21747</v>
      </c>
      <c r="X9269" s="18" t="s">
        <v>35</v>
      </c>
      <c r="Y9269" s="18" t="s">
        <v>17171</v>
      </c>
      <c r="Z9269" s="18" t="s">
        <v>697</v>
      </c>
      <c r="AA9269" s="21" t="str">
        <f>HYPERLINK("https://www.ncbi.nlm.nih.gov/nuccore/BK013358","NCBI Nucleotide")</f>
        <v>NCBI Nucleotide</v>
      </c>
    </row>
    <row r="9270" spans="1:27" x14ac:dyDescent="0.35">
      <c r="A9270">
        <v>1009523</v>
      </c>
      <c r="B9270">
        <v>8595</v>
      </c>
      <c r="C9270">
        <v>1</v>
      </c>
      <c r="D9270" s="17" t="s">
        <v>17166</v>
      </c>
      <c r="E9270" s="17"/>
      <c r="F9270" s="17" t="s">
        <v>17246</v>
      </c>
      <c r="G9270" s="17"/>
      <c r="H9270" s="17" t="s">
        <v>20919</v>
      </c>
      <c r="I9270" s="17"/>
      <c r="J9270" s="17" t="s">
        <v>21313</v>
      </c>
      <c r="K9270" s="17"/>
      <c r="L9270" s="17" t="s">
        <v>21326</v>
      </c>
      <c r="M9270" s="17"/>
      <c r="N9270" s="17" t="s">
        <v>21577</v>
      </c>
      <c r="O9270" s="17"/>
      <c r="P9270" s="17" t="s">
        <v>21748</v>
      </c>
      <c r="Q9270" s="17"/>
      <c r="R9270" s="25" t="str">
        <f>HYPERLINK("https://ictv.global/taxonomy/taxondetails?taxnode_id=202310329","Darnbovirus asiadaptatum")</f>
        <v>Darnbovirus asiadaptatum</v>
      </c>
      <c r="S9270" s="18" t="s">
        <v>30</v>
      </c>
      <c r="T9270" s="18" t="s">
        <v>21749</v>
      </c>
      <c r="U9270" s="18"/>
      <c r="V9270" s="18"/>
      <c r="W9270" s="18" t="s">
        <v>21750</v>
      </c>
      <c r="X9270" s="18" t="s">
        <v>35</v>
      </c>
      <c r="Y9270" s="18" t="s">
        <v>17171</v>
      </c>
      <c r="Z9270" s="18" t="s">
        <v>697</v>
      </c>
      <c r="AA9270" s="21" t="str">
        <f>HYPERLINK("https://www.ncbi.nlm.nih.gov/nuccore/BK013618","NCBI Nucleotide")</f>
        <v>NCBI Nucleotide</v>
      </c>
    </row>
    <row r="9271" spans="1:27" x14ac:dyDescent="0.35">
      <c r="A9271">
        <v>1009524</v>
      </c>
      <c r="B9271">
        <v>8596</v>
      </c>
      <c r="C9271">
        <v>1</v>
      </c>
      <c r="D9271" s="17" t="s">
        <v>17166</v>
      </c>
      <c r="E9271" s="17"/>
      <c r="F9271" s="17" t="s">
        <v>17246</v>
      </c>
      <c r="G9271" s="17"/>
      <c r="H9271" s="17" t="s">
        <v>20919</v>
      </c>
      <c r="I9271" s="17"/>
      <c r="J9271" s="17" t="s">
        <v>21313</v>
      </c>
      <c r="K9271" s="17"/>
      <c r="L9271" s="17" t="s">
        <v>21326</v>
      </c>
      <c r="M9271" s="17"/>
      <c r="N9271" s="17" t="s">
        <v>21577</v>
      </c>
      <c r="O9271" s="17"/>
      <c r="P9271" s="17" t="s">
        <v>21751</v>
      </c>
      <c r="Q9271" s="17"/>
      <c r="R9271" s="25" t="str">
        <f>HYPERLINK("https://ictv.global/taxonomy/taxondetails?taxnode_id=202310331","Decadevirus asienecus")</f>
        <v>Decadevirus asienecus</v>
      </c>
      <c r="S9271" s="18" t="s">
        <v>30</v>
      </c>
      <c r="T9271" s="18" t="s">
        <v>21752</v>
      </c>
      <c r="U9271" s="18"/>
      <c r="V9271" s="18"/>
      <c r="W9271" s="18" t="s">
        <v>21753</v>
      </c>
      <c r="X9271" s="18" t="s">
        <v>35</v>
      </c>
      <c r="Y9271" s="18" t="s">
        <v>17171</v>
      </c>
      <c r="Z9271" s="18" t="s">
        <v>697</v>
      </c>
      <c r="AA9271" s="21" t="str">
        <f>HYPERLINK("https://www.ncbi.nlm.nih.gov/nuccore/BK013625","NCBI Nucleotide")</f>
        <v>NCBI Nucleotide</v>
      </c>
    </row>
    <row r="9272" spans="1:27" x14ac:dyDescent="0.35">
      <c r="A9272">
        <v>1009525</v>
      </c>
      <c r="B9272">
        <v>8597</v>
      </c>
      <c r="C9272">
        <v>1</v>
      </c>
      <c r="D9272" s="17" t="s">
        <v>17166</v>
      </c>
      <c r="E9272" s="17"/>
      <c r="F9272" s="17" t="s">
        <v>17246</v>
      </c>
      <c r="G9272" s="17"/>
      <c r="H9272" s="17" t="s">
        <v>20919</v>
      </c>
      <c r="I9272" s="17"/>
      <c r="J9272" s="17" t="s">
        <v>21313</v>
      </c>
      <c r="K9272" s="17"/>
      <c r="L9272" s="17" t="s">
        <v>21326</v>
      </c>
      <c r="M9272" s="17"/>
      <c r="N9272" s="17" t="s">
        <v>21577</v>
      </c>
      <c r="O9272" s="17"/>
      <c r="P9272" s="17" t="s">
        <v>21751</v>
      </c>
      <c r="Q9272" s="17"/>
      <c r="R9272" s="25" t="str">
        <f>HYPERLINK("https://ictv.global/taxonomy/taxondetails?taxnode_id=202310332","Decadevirus asiocola")</f>
        <v>Decadevirus asiocola</v>
      </c>
      <c r="S9272" s="18" t="s">
        <v>30</v>
      </c>
      <c r="T9272" s="18" t="s">
        <v>21754</v>
      </c>
      <c r="U9272" s="18"/>
      <c r="V9272" s="18"/>
      <c r="W9272" s="18" t="s">
        <v>21755</v>
      </c>
      <c r="X9272" s="18" t="s">
        <v>35</v>
      </c>
      <c r="Y9272" s="18" t="s">
        <v>17171</v>
      </c>
      <c r="Z9272" s="18" t="s">
        <v>697</v>
      </c>
      <c r="AA9272" s="21" t="str">
        <f>HYPERLINK("https://www.ncbi.nlm.nih.gov/nuccore/BK013643","NCBI Nucleotide")</f>
        <v>NCBI Nucleotide</v>
      </c>
    </row>
    <row r="9273" spans="1:27" x14ac:dyDescent="0.35">
      <c r="A9273">
        <v>1026193</v>
      </c>
      <c r="B9273">
        <v>8598</v>
      </c>
      <c r="C9273">
        <v>1</v>
      </c>
      <c r="D9273" s="17" t="s">
        <v>17166</v>
      </c>
      <c r="E9273" s="17"/>
      <c r="F9273" s="17" t="s">
        <v>17246</v>
      </c>
      <c r="G9273" s="17"/>
      <c r="H9273" s="17" t="s">
        <v>20919</v>
      </c>
      <c r="I9273" s="17"/>
      <c r="J9273" s="17" t="s">
        <v>21313</v>
      </c>
      <c r="K9273" s="17"/>
      <c r="L9273" s="17" t="s">
        <v>21326</v>
      </c>
      <c r="M9273" s="17"/>
      <c r="N9273" s="17" t="s">
        <v>21577</v>
      </c>
      <c r="O9273" s="17"/>
      <c r="P9273" s="17" t="s">
        <v>21751</v>
      </c>
      <c r="Q9273" s="17"/>
      <c r="R9273" s="25" t="str">
        <f>HYPERLINK("https://ictv.global/taxonomy/taxondetails?taxnode_id=202316262","Decadevirus dinebrihabitans")</f>
        <v>Decadevirus dinebrihabitans</v>
      </c>
      <c r="S9273" s="18" t="s">
        <v>30</v>
      </c>
      <c r="T9273" s="18" t="s">
        <v>42990</v>
      </c>
      <c r="U9273" s="18"/>
      <c r="V9273" s="18" t="s">
        <v>42991</v>
      </c>
      <c r="W9273" s="18" t="s">
        <v>42992</v>
      </c>
      <c r="X9273" s="18" t="s">
        <v>35</v>
      </c>
      <c r="Y9273" s="18" t="s">
        <v>17171</v>
      </c>
      <c r="Z9273" s="18" t="s">
        <v>17336</v>
      </c>
      <c r="AA9273" s="21" t="str">
        <f>HYPERLINK("https://www.ncbi.nlm.nih.gov/nuccore/OM514523","NCBI Nucleotide")</f>
        <v>NCBI Nucleotide</v>
      </c>
    </row>
    <row r="9274" spans="1:27" x14ac:dyDescent="0.35">
      <c r="A9274">
        <v>1009529</v>
      </c>
      <c r="B9274">
        <v>8599</v>
      </c>
      <c r="C9274">
        <v>1</v>
      </c>
      <c r="D9274" s="17" t="s">
        <v>17166</v>
      </c>
      <c r="E9274" s="17"/>
      <c r="F9274" s="17" t="s">
        <v>17246</v>
      </c>
      <c r="G9274" s="17"/>
      <c r="H9274" s="17" t="s">
        <v>20919</v>
      </c>
      <c r="I9274" s="17"/>
      <c r="J9274" s="17" t="s">
        <v>21313</v>
      </c>
      <c r="K9274" s="17"/>
      <c r="L9274" s="17" t="s">
        <v>21326</v>
      </c>
      <c r="M9274" s="17"/>
      <c r="N9274" s="17" t="s">
        <v>21577</v>
      </c>
      <c r="O9274" s="17"/>
      <c r="P9274" s="17" t="s">
        <v>21762</v>
      </c>
      <c r="Q9274" s="17"/>
      <c r="R9274" s="25" t="str">
        <f>HYPERLINK("https://ictv.global/taxonomy/taxondetails?taxnode_id=202310338","Denfovirus borborenecus")</f>
        <v>Denfovirus borborenecus</v>
      </c>
      <c r="S9274" s="18" t="s">
        <v>30</v>
      </c>
      <c r="T9274" s="18" t="s">
        <v>21763</v>
      </c>
      <c r="U9274" s="18"/>
      <c r="V9274" s="18"/>
      <c r="W9274" s="18" t="s">
        <v>21764</v>
      </c>
      <c r="X9274" s="18" t="s">
        <v>35</v>
      </c>
      <c r="Y9274" s="18" t="s">
        <v>17171</v>
      </c>
      <c r="Z9274" s="18" t="s">
        <v>697</v>
      </c>
      <c r="AA9274" s="21" t="str">
        <f>HYPERLINK("https://www.ncbi.nlm.nih.gov/nuccore/BK014155","NCBI Nucleotide")</f>
        <v>NCBI Nucleotide</v>
      </c>
    </row>
    <row r="9275" spans="1:27" x14ac:dyDescent="0.35">
      <c r="A9275">
        <v>1009530</v>
      </c>
      <c r="B9275">
        <v>8600</v>
      </c>
      <c r="C9275">
        <v>1</v>
      </c>
      <c r="D9275" s="17" t="s">
        <v>17166</v>
      </c>
      <c r="E9275" s="17"/>
      <c r="F9275" s="17" t="s">
        <v>17246</v>
      </c>
      <c r="G9275" s="17"/>
      <c r="H9275" s="17" t="s">
        <v>20919</v>
      </c>
      <c r="I9275" s="17"/>
      <c r="J9275" s="17" t="s">
        <v>21313</v>
      </c>
      <c r="K9275" s="17"/>
      <c r="L9275" s="17" t="s">
        <v>21326</v>
      </c>
      <c r="M9275" s="17"/>
      <c r="N9275" s="17" t="s">
        <v>21577</v>
      </c>
      <c r="O9275" s="17"/>
      <c r="P9275" s="17" t="s">
        <v>21765</v>
      </c>
      <c r="Q9275" s="17"/>
      <c r="R9275" s="25" t="str">
        <f>HYPERLINK("https://ictv.global/taxonomy/taxondetails?taxnode_id=202310340","Depandovirus solicola")</f>
        <v>Depandovirus solicola</v>
      </c>
      <c r="S9275" s="18" t="s">
        <v>30</v>
      </c>
      <c r="T9275" s="18" t="s">
        <v>21766</v>
      </c>
      <c r="U9275" s="18"/>
      <c r="V9275" s="18"/>
      <c r="W9275" s="18" t="s">
        <v>21767</v>
      </c>
      <c r="X9275" s="18" t="s">
        <v>35</v>
      </c>
      <c r="Y9275" s="18" t="s">
        <v>17171</v>
      </c>
      <c r="Z9275" s="18" t="s">
        <v>697</v>
      </c>
      <c r="AA9275" s="21" t="str">
        <f>HYPERLINK("https://www.ncbi.nlm.nih.gov/nuccore/BK013921","NCBI Nucleotide")</f>
        <v>NCBI Nucleotide</v>
      </c>
    </row>
    <row r="9276" spans="1:27" x14ac:dyDescent="0.35">
      <c r="A9276">
        <v>1009531</v>
      </c>
      <c r="B9276">
        <v>8601</v>
      </c>
      <c r="C9276">
        <v>1</v>
      </c>
      <c r="D9276" s="17" t="s">
        <v>17166</v>
      </c>
      <c r="E9276" s="17"/>
      <c r="F9276" s="17" t="s">
        <v>17246</v>
      </c>
      <c r="G9276" s="17"/>
      <c r="H9276" s="17" t="s">
        <v>20919</v>
      </c>
      <c r="I9276" s="17"/>
      <c r="J9276" s="17" t="s">
        <v>21313</v>
      </c>
      <c r="K9276" s="17"/>
      <c r="L9276" s="17" t="s">
        <v>21326</v>
      </c>
      <c r="M9276" s="17"/>
      <c r="N9276" s="17" t="s">
        <v>21577</v>
      </c>
      <c r="O9276" s="17"/>
      <c r="P9276" s="17" t="s">
        <v>21768</v>
      </c>
      <c r="Q9276" s="17"/>
      <c r="R9276" s="25" t="str">
        <f>HYPERLINK("https://ictv.global/taxonomy/taxondetails?taxnode_id=202310342","Dihsdivirus solenecus")</f>
        <v>Dihsdivirus solenecus</v>
      </c>
      <c r="S9276" s="18" t="s">
        <v>30</v>
      </c>
      <c r="T9276" s="18" t="s">
        <v>21769</v>
      </c>
      <c r="U9276" s="18"/>
      <c r="V9276" s="18"/>
      <c r="W9276" s="18" t="s">
        <v>21770</v>
      </c>
      <c r="X9276" s="18" t="s">
        <v>35</v>
      </c>
      <c r="Y9276" s="18" t="s">
        <v>17171</v>
      </c>
      <c r="Z9276" s="18" t="s">
        <v>697</v>
      </c>
      <c r="AA9276" s="21" t="str">
        <f>HYPERLINK("https://www.ncbi.nlm.nih.gov/nuccore/BK013849","NCBI Nucleotide")</f>
        <v>NCBI Nucleotide</v>
      </c>
    </row>
    <row r="9277" spans="1:27" x14ac:dyDescent="0.35">
      <c r="A9277">
        <v>1009532</v>
      </c>
      <c r="B9277">
        <v>8602</v>
      </c>
      <c r="C9277">
        <v>1</v>
      </c>
      <c r="D9277" s="17" t="s">
        <v>17166</v>
      </c>
      <c r="E9277" s="17"/>
      <c r="F9277" s="17" t="s">
        <v>17246</v>
      </c>
      <c r="G9277" s="17"/>
      <c r="H9277" s="17" t="s">
        <v>20919</v>
      </c>
      <c r="I9277" s="17"/>
      <c r="J9277" s="17" t="s">
        <v>21313</v>
      </c>
      <c r="K9277" s="17"/>
      <c r="L9277" s="17" t="s">
        <v>21326</v>
      </c>
      <c r="M9277" s="17"/>
      <c r="N9277" s="17" t="s">
        <v>21577</v>
      </c>
      <c r="O9277" s="17"/>
      <c r="P9277" s="17" t="s">
        <v>21771</v>
      </c>
      <c r="Q9277" s="17"/>
      <c r="R9277" s="25" t="str">
        <f>HYPERLINK("https://ictv.global/taxonomy/taxondetails?taxnode_id=202310344","Dohlivirus borborovivens")</f>
        <v>Dohlivirus borborovivens</v>
      </c>
      <c r="S9277" s="18" t="s">
        <v>30</v>
      </c>
      <c r="T9277" s="18" t="s">
        <v>21772</v>
      </c>
      <c r="U9277" s="18"/>
      <c r="V9277" s="18"/>
      <c r="W9277" s="18" t="s">
        <v>21773</v>
      </c>
      <c r="X9277" s="18" t="s">
        <v>35</v>
      </c>
      <c r="Y9277" s="18" t="s">
        <v>17171</v>
      </c>
      <c r="Z9277" s="18" t="s">
        <v>697</v>
      </c>
      <c r="AA9277" s="21" t="str">
        <f>HYPERLINK("https://www.ncbi.nlm.nih.gov/nuccore/BK013622","NCBI Nucleotide")</f>
        <v>NCBI Nucleotide</v>
      </c>
    </row>
    <row r="9278" spans="1:27" x14ac:dyDescent="0.35">
      <c r="A9278">
        <v>1009519</v>
      </c>
      <c r="B9278">
        <v>8603</v>
      </c>
      <c r="C9278">
        <v>1</v>
      </c>
      <c r="D9278" s="17" t="s">
        <v>17166</v>
      </c>
      <c r="E9278" s="17"/>
      <c r="F9278" s="17" t="s">
        <v>17246</v>
      </c>
      <c r="G9278" s="17"/>
      <c r="H9278" s="17" t="s">
        <v>20919</v>
      </c>
      <c r="I9278" s="17"/>
      <c r="J9278" s="17" t="s">
        <v>21313</v>
      </c>
      <c r="K9278" s="17"/>
      <c r="L9278" s="17" t="s">
        <v>21326</v>
      </c>
      <c r="M9278" s="17"/>
      <c r="N9278" s="17" t="s">
        <v>21577</v>
      </c>
      <c r="O9278" s="17"/>
      <c r="P9278" s="17" t="s">
        <v>42993</v>
      </c>
      <c r="Q9278" s="17"/>
      <c r="R9278" s="25" t="str">
        <f>HYPERLINK("https://ictv.global/taxonomy/taxondetails?taxnode_id=202310322","Dortuvirus fonticola")</f>
        <v>Dortuvirus fonticola</v>
      </c>
      <c r="S9278" s="18" t="s">
        <v>30</v>
      </c>
      <c r="T9278" s="18" t="s">
        <v>21738</v>
      </c>
      <c r="U9278" s="18"/>
      <c r="V9278" s="18"/>
      <c r="W9278" s="18" t="s">
        <v>21739</v>
      </c>
      <c r="X9278" s="18" t="s">
        <v>35</v>
      </c>
      <c r="Y9278" s="18" t="s">
        <v>17171</v>
      </c>
      <c r="Z9278" s="18" t="s">
        <v>697</v>
      </c>
      <c r="AA9278" s="21" t="str">
        <f>HYPERLINK("https://www.ncbi.nlm.nih.gov/nuccore/BK013365","NCBI Nucleotide")</f>
        <v>NCBI Nucleotide</v>
      </c>
    </row>
    <row r="9279" spans="1:27" x14ac:dyDescent="0.35">
      <c r="A9279">
        <v>1009666</v>
      </c>
      <c r="B9279">
        <v>8604</v>
      </c>
      <c r="C9279">
        <v>1</v>
      </c>
      <c r="D9279" s="17" t="s">
        <v>17166</v>
      </c>
      <c r="E9279" s="17"/>
      <c r="F9279" s="17" t="s">
        <v>17246</v>
      </c>
      <c r="G9279" s="17"/>
      <c r="H9279" s="17" t="s">
        <v>20919</v>
      </c>
      <c r="I9279" s="17"/>
      <c r="J9279" s="17" t="s">
        <v>21313</v>
      </c>
      <c r="K9279" s="17"/>
      <c r="L9279" s="17" t="s">
        <v>21326</v>
      </c>
      <c r="M9279" s="17"/>
      <c r="N9279" s="17" t="s">
        <v>21577</v>
      </c>
      <c r="O9279" s="17"/>
      <c r="P9279" s="17" t="s">
        <v>42994</v>
      </c>
      <c r="Q9279" s="17"/>
      <c r="R9279" s="25" t="str">
        <f>HYPERLINK("https://ictv.global/taxonomy/taxondetails?taxnode_id=202310562","Dorudgevirus caenadaptatum")</f>
        <v>Dorudgevirus caenadaptatum</v>
      </c>
      <c r="S9279" s="18" t="s">
        <v>30</v>
      </c>
      <c r="T9279" s="18" t="s">
        <v>22103</v>
      </c>
      <c r="U9279" s="18"/>
      <c r="V9279" s="18"/>
      <c r="W9279" s="18" t="s">
        <v>22104</v>
      </c>
      <c r="X9279" s="18" t="s">
        <v>35</v>
      </c>
      <c r="Y9279" s="18" t="s">
        <v>17171</v>
      </c>
      <c r="Z9279" s="18" t="s">
        <v>697</v>
      </c>
      <c r="AA9279" s="21" t="str">
        <f>HYPERLINK("https://www.ncbi.nlm.nih.gov/nuccore/BK013759","NCBI Nucleotide")</f>
        <v>NCBI Nucleotide</v>
      </c>
    </row>
    <row r="9280" spans="1:27" x14ac:dyDescent="0.35">
      <c r="A9280">
        <v>1026209</v>
      </c>
      <c r="B9280">
        <v>8605</v>
      </c>
      <c r="C9280">
        <v>1</v>
      </c>
      <c r="D9280" s="17" t="s">
        <v>17166</v>
      </c>
      <c r="E9280" s="17"/>
      <c r="F9280" s="17" t="s">
        <v>17246</v>
      </c>
      <c r="G9280" s="17"/>
      <c r="H9280" s="17" t="s">
        <v>20919</v>
      </c>
      <c r="I9280" s="17"/>
      <c r="J9280" s="17" t="s">
        <v>21313</v>
      </c>
      <c r="K9280" s="17"/>
      <c r="L9280" s="17" t="s">
        <v>21326</v>
      </c>
      <c r="M9280" s="17"/>
      <c r="N9280" s="17" t="s">
        <v>21577</v>
      </c>
      <c r="O9280" s="17"/>
      <c r="P9280" s="17" t="s">
        <v>21774</v>
      </c>
      <c r="Q9280" s="17"/>
      <c r="R9280" s="25" t="str">
        <f>HYPERLINK("https://ictv.global/taxonomy/taxondetails?taxnode_id=202316263","Dosmizivirus edaphenecus")</f>
        <v>Dosmizivirus edaphenecus</v>
      </c>
      <c r="S9280" s="18" t="s">
        <v>30</v>
      </c>
      <c r="T9280" s="18" t="s">
        <v>42995</v>
      </c>
      <c r="U9280" s="18"/>
      <c r="V9280" s="18"/>
      <c r="W9280" s="18" t="s">
        <v>42996</v>
      </c>
      <c r="X9280" s="18" t="s">
        <v>35</v>
      </c>
      <c r="Y9280" s="18" t="s">
        <v>17171</v>
      </c>
      <c r="Z9280" s="18" t="s">
        <v>24637</v>
      </c>
      <c r="AA9280" s="21" t="str">
        <f>HYPERLINK("https://www.ncbi.nlm.nih.gov/nuccore/CASDWV010001381","NCBI Nucleotide")</f>
        <v>NCBI Nucleotide</v>
      </c>
    </row>
    <row r="9281" spans="1:27" x14ac:dyDescent="0.35">
      <c r="A9281">
        <v>1009533</v>
      </c>
      <c r="B9281">
        <v>8606</v>
      </c>
      <c r="C9281">
        <v>1</v>
      </c>
      <c r="D9281" s="17" t="s">
        <v>17166</v>
      </c>
      <c r="E9281" s="17"/>
      <c r="F9281" s="17" t="s">
        <v>17246</v>
      </c>
      <c r="G9281" s="17"/>
      <c r="H9281" s="17" t="s">
        <v>20919</v>
      </c>
      <c r="I9281" s="17"/>
      <c r="J9281" s="17" t="s">
        <v>21313</v>
      </c>
      <c r="K9281" s="17"/>
      <c r="L9281" s="17" t="s">
        <v>21326</v>
      </c>
      <c r="M9281" s="17"/>
      <c r="N9281" s="17" t="s">
        <v>21577</v>
      </c>
      <c r="O9281" s="17"/>
      <c r="P9281" s="17" t="s">
        <v>21774</v>
      </c>
      <c r="Q9281" s="17"/>
      <c r="R9281" s="25" t="str">
        <f>HYPERLINK("https://ictv.global/taxonomy/taxondetails?taxnode_id=202310346","Dosmizivirus solihabitans")</f>
        <v>Dosmizivirus solihabitans</v>
      </c>
      <c r="S9281" s="18" t="s">
        <v>30</v>
      </c>
      <c r="T9281" s="18" t="s">
        <v>21775</v>
      </c>
      <c r="U9281" s="18"/>
      <c r="V9281" s="18"/>
      <c r="W9281" s="18" t="s">
        <v>21776</v>
      </c>
      <c r="X9281" s="18" t="s">
        <v>35</v>
      </c>
      <c r="Y9281" s="18" t="s">
        <v>17171</v>
      </c>
      <c r="Z9281" s="18" t="s">
        <v>697</v>
      </c>
      <c r="AA9281" s="21" t="str">
        <f>HYPERLINK("https://www.ncbi.nlm.nih.gov/nuccore/BK013802","NCBI Nucleotide")</f>
        <v>NCBI Nucleotide</v>
      </c>
    </row>
    <row r="9282" spans="1:27" x14ac:dyDescent="0.35">
      <c r="A9282">
        <v>1026210</v>
      </c>
      <c r="B9282">
        <v>8607</v>
      </c>
      <c r="C9282">
        <v>1</v>
      </c>
      <c r="D9282" s="17" t="s">
        <v>17166</v>
      </c>
      <c r="E9282" s="17"/>
      <c r="F9282" s="17" t="s">
        <v>17246</v>
      </c>
      <c r="G9282" s="17"/>
      <c r="H9282" s="17" t="s">
        <v>20919</v>
      </c>
      <c r="I9282" s="17"/>
      <c r="J9282" s="17" t="s">
        <v>21313</v>
      </c>
      <c r="K9282" s="17"/>
      <c r="L9282" s="17" t="s">
        <v>21326</v>
      </c>
      <c r="M9282" s="17"/>
      <c r="N9282" s="17" t="s">
        <v>21577</v>
      </c>
      <c r="O9282" s="17"/>
      <c r="P9282" s="17" t="s">
        <v>21774</v>
      </c>
      <c r="Q9282" s="17"/>
      <c r="R9282" s="25" t="str">
        <f>HYPERLINK("https://ictv.global/taxonomy/taxondetails?taxnode_id=202316264","Dosmizivirus terrenecus")</f>
        <v>Dosmizivirus terrenecus</v>
      </c>
      <c r="S9282" s="18" t="s">
        <v>30</v>
      </c>
      <c r="T9282" s="18" t="s">
        <v>42997</v>
      </c>
      <c r="U9282" s="18"/>
      <c r="V9282" s="18"/>
      <c r="W9282" s="18" t="s">
        <v>42998</v>
      </c>
      <c r="X9282" s="18" t="s">
        <v>35</v>
      </c>
      <c r="Y9282" s="18" t="s">
        <v>17171</v>
      </c>
      <c r="Z9282" s="18" t="s">
        <v>24637</v>
      </c>
      <c r="AA9282" s="21" t="str">
        <f>HYPERLINK("https://www.ncbi.nlm.nih.gov/nuccore/CASDWV010002447","NCBI Nucleotide")</f>
        <v>NCBI Nucleotide</v>
      </c>
    </row>
    <row r="9283" spans="1:27" x14ac:dyDescent="0.35">
      <c r="A9283">
        <v>1009694</v>
      </c>
      <c r="B9283">
        <v>8608</v>
      </c>
      <c r="C9283">
        <v>1</v>
      </c>
      <c r="D9283" s="17" t="s">
        <v>17166</v>
      </c>
      <c r="E9283" s="17"/>
      <c r="F9283" s="17" t="s">
        <v>17246</v>
      </c>
      <c r="G9283" s="17"/>
      <c r="H9283" s="17" t="s">
        <v>20919</v>
      </c>
      <c r="I9283" s="17"/>
      <c r="J9283" s="17" t="s">
        <v>21313</v>
      </c>
      <c r="K9283" s="17"/>
      <c r="L9283" s="17" t="s">
        <v>21326</v>
      </c>
      <c r="M9283" s="17"/>
      <c r="N9283" s="17" t="s">
        <v>21577</v>
      </c>
      <c r="O9283" s="17"/>
      <c r="P9283" s="17" t="s">
        <v>42999</v>
      </c>
      <c r="Q9283" s="17"/>
      <c r="R9283" s="25" t="str">
        <f>HYPERLINK("https://ictv.global/taxonomy/taxondetails?taxnode_id=202310600","Draycavirus humivivens")</f>
        <v>Draycavirus humivivens</v>
      </c>
      <c r="S9283" s="18" t="s">
        <v>30</v>
      </c>
      <c r="T9283" s="18" t="s">
        <v>22169</v>
      </c>
      <c r="U9283" s="18"/>
      <c r="V9283" s="18"/>
      <c r="W9283" s="18" t="s">
        <v>22170</v>
      </c>
      <c r="X9283" s="18" t="s">
        <v>35</v>
      </c>
      <c r="Y9283" s="18" t="s">
        <v>17171</v>
      </c>
      <c r="Z9283" s="18" t="s">
        <v>697</v>
      </c>
      <c r="AA9283" s="21" t="str">
        <f>HYPERLINK("https://www.ncbi.nlm.nih.gov/nuccore/BK013807","NCBI Nucleotide")</f>
        <v>NCBI Nucleotide</v>
      </c>
    </row>
    <row r="9284" spans="1:27" x14ac:dyDescent="0.35">
      <c r="A9284">
        <v>1009625</v>
      </c>
      <c r="B9284">
        <v>8609</v>
      </c>
      <c r="C9284">
        <v>1</v>
      </c>
      <c r="D9284" s="17" t="s">
        <v>17166</v>
      </c>
      <c r="E9284" s="17"/>
      <c r="F9284" s="17" t="s">
        <v>17246</v>
      </c>
      <c r="G9284" s="17"/>
      <c r="H9284" s="17" t="s">
        <v>20919</v>
      </c>
      <c r="I9284" s="17"/>
      <c r="J9284" s="17" t="s">
        <v>21313</v>
      </c>
      <c r="K9284" s="17"/>
      <c r="L9284" s="17" t="s">
        <v>21326</v>
      </c>
      <c r="M9284" s="17"/>
      <c r="N9284" s="17" t="s">
        <v>21577</v>
      </c>
      <c r="O9284" s="17"/>
      <c r="P9284" s="17" t="s">
        <v>43000</v>
      </c>
      <c r="Q9284" s="17"/>
      <c r="R9284" s="25" t="str">
        <f>HYPERLINK("https://ictv.global/taxonomy/taxondetails?taxnode_id=202310497","Dreytovirus telluradaptatum")</f>
        <v>Dreytovirus telluradaptatum</v>
      </c>
      <c r="S9284" s="18" t="s">
        <v>30</v>
      </c>
      <c r="T9284" s="18" t="s">
        <v>22007</v>
      </c>
      <c r="U9284" s="18"/>
      <c r="V9284" s="18"/>
      <c r="W9284" s="18" t="s">
        <v>22008</v>
      </c>
      <c r="X9284" s="18" t="s">
        <v>35</v>
      </c>
      <c r="Y9284" s="18" t="s">
        <v>17171</v>
      </c>
      <c r="Z9284" s="18" t="s">
        <v>697</v>
      </c>
      <c r="AA9284" s="21" t="str">
        <f>HYPERLINK("https://www.ncbi.nlm.nih.gov/nuccore/BK013799","NCBI Nucleotide")</f>
        <v>NCBI Nucleotide</v>
      </c>
    </row>
    <row r="9285" spans="1:27" x14ac:dyDescent="0.35">
      <c r="A9285">
        <v>1009626</v>
      </c>
      <c r="B9285">
        <v>8610</v>
      </c>
      <c r="C9285">
        <v>1</v>
      </c>
      <c r="D9285" s="17" t="s">
        <v>17166</v>
      </c>
      <c r="E9285" s="17"/>
      <c r="F9285" s="17" t="s">
        <v>17246</v>
      </c>
      <c r="G9285" s="17"/>
      <c r="H9285" s="17" t="s">
        <v>20919</v>
      </c>
      <c r="I9285" s="17"/>
      <c r="J9285" s="17" t="s">
        <v>21313</v>
      </c>
      <c r="K9285" s="17"/>
      <c r="L9285" s="17" t="s">
        <v>21326</v>
      </c>
      <c r="M9285" s="17"/>
      <c r="N9285" s="17" t="s">
        <v>21577</v>
      </c>
      <c r="O9285" s="17"/>
      <c r="P9285" s="17" t="s">
        <v>43000</v>
      </c>
      <c r="Q9285" s="17"/>
      <c r="R9285" s="25" t="str">
        <f>HYPERLINK("https://ictv.global/taxonomy/taxondetails?taxnode_id=202310498","Dreytovirus telluricola")</f>
        <v>Dreytovirus telluricola</v>
      </c>
      <c r="S9285" s="18" t="s">
        <v>30</v>
      </c>
      <c r="T9285" s="18" t="s">
        <v>22009</v>
      </c>
      <c r="U9285" s="18"/>
      <c r="V9285" s="18"/>
      <c r="W9285" s="18" t="s">
        <v>22010</v>
      </c>
      <c r="X9285" s="18" t="s">
        <v>35</v>
      </c>
      <c r="Y9285" s="18" t="s">
        <v>17171</v>
      </c>
      <c r="Z9285" s="18" t="s">
        <v>697</v>
      </c>
      <c r="AA9285" s="21" t="str">
        <f>HYPERLINK("https://www.ncbi.nlm.nih.gov/nuccore/BK013812","NCBI Nucleotide")</f>
        <v>NCBI Nucleotide</v>
      </c>
    </row>
    <row r="9286" spans="1:27" x14ac:dyDescent="0.35">
      <c r="A9286">
        <v>1026205</v>
      </c>
      <c r="B9286">
        <v>8611</v>
      </c>
      <c r="C9286">
        <v>1</v>
      </c>
      <c r="D9286" s="17" t="s">
        <v>17166</v>
      </c>
      <c r="E9286" s="17"/>
      <c r="F9286" s="17" t="s">
        <v>17246</v>
      </c>
      <c r="G9286" s="17"/>
      <c r="H9286" s="17" t="s">
        <v>20919</v>
      </c>
      <c r="I9286" s="17"/>
      <c r="J9286" s="17" t="s">
        <v>21313</v>
      </c>
      <c r="K9286" s="17"/>
      <c r="L9286" s="17" t="s">
        <v>21326</v>
      </c>
      <c r="M9286" s="17"/>
      <c r="N9286" s="17" t="s">
        <v>21577</v>
      </c>
      <c r="O9286" s="17"/>
      <c r="P9286" s="17" t="s">
        <v>21777</v>
      </c>
      <c r="Q9286" s="17"/>
      <c r="R9286" s="25" t="str">
        <f>HYPERLINK("https://ictv.global/taxonomy/taxondetails?taxnode_id=202316265","Duhcivirus agradaptatum")</f>
        <v>Duhcivirus agradaptatum</v>
      </c>
      <c r="S9286" s="18" t="s">
        <v>30</v>
      </c>
      <c r="T9286" s="18" t="s">
        <v>43001</v>
      </c>
      <c r="U9286" s="18"/>
      <c r="V9286" s="18"/>
      <c r="W9286" s="18" t="s">
        <v>43002</v>
      </c>
      <c r="X9286" s="18" t="s">
        <v>35</v>
      </c>
      <c r="Y9286" s="18" t="s">
        <v>17171</v>
      </c>
      <c r="Z9286" s="18" t="s">
        <v>24637</v>
      </c>
      <c r="AA9286" s="21" t="str">
        <f>HYPERLINK("https://www.ncbi.nlm.nih.gov/nuccore/CASDWV010004692","NCBI Nucleotide")</f>
        <v>NCBI Nucleotide</v>
      </c>
    </row>
    <row r="9287" spans="1:27" x14ac:dyDescent="0.35">
      <c r="A9287">
        <v>1009534</v>
      </c>
      <c r="B9287">
        <v>8612</v>
      </c>
      <c r="C9287">
        <v>1</v>
      </c>
      <c r="D9287" s="17" t="s">
        <v>17166</v>
      </c>
      <c r="E9287" s="17"/>
      <c r="F9287" s="17" t="s">
        <v>17246</v>
      </c>
      <c r="G9287" s="17"/>
      <c r="H9287" s="17" t="s">
        <v>20919</v>
      </c>
      <c r="I9287" s="17"/>
      <c r="J9287" s="17" t="s">
        <v>21313</v>
      </c>
      <c r="K9287" s="17"/>
      <c r="L9287" s="17" t="s">
        <v>21326</v>
      </c>
      <c r="M9287" s="17"/>
      <c r="N9287" s="17" t="s">
        <v>21577</v>
      </c>
      <c r="O9287" s="17"/>
      <c r="P9287" s="17" t="s">
        <v>21777</v>
      </c>
      <c r="Q9287" s="17"/>
      <c r="R9287" s="25" t="str">
        <f>HYPERLINK("https://ictv.global/taxonomy/taxondetails?taxnode_id=202310348","Duhcivirus defluviicola")</f>
        <v>Duhcivirus defluviicola</v>
      </c>
      <c r="S9287" s="18" t="s">
        <v>30</v>
      </c>
      <c r="T9287" s="18" t="s">
        <v>21778</v>
      </c>
      <c r="U9287" s="18"/>
      <c r="V9287" s="18"/>
      <c r="W9287" s="18" t="s">
        <v>21779</v>
      </c>
      <c r="X9287" s="18" t="s">
        <v>35</v>
      </c>
      <c r="Y9287" s="18" t="s">
        <v>17171</v>
      </c>
      <c r="Z9287" s="18" t="s">
        <v>697</v>
      </c>
      <c r="AA9287" s="21" t="str">
        <f>HYPERLINK("https://www.ncbi.nlm.nih.gov/nuccore/BK013369","NCBI Nucleotide")</f>
        <v>NCBI Nucleotide</v>
      </c>
    </row>
    <row r="9288" spans="1:27" x14ac:dyDescent="0.35">
      <c r="A9288">
        <v>1009704</v>
      </c>
      <c r="B9288">
        <v>8613</v>
      </c>
      <c r="C9288">
        <v>1</v>
      </c>
      <c r="D9288" s="17" t="s">
        <v>17166</v>
      </c>
      <c r="E9288" s="17"/>
      <c r="F9288" s="17" t="s">
        <v>17246</v>
      </c>
      <c r="G9288" s="17"/>
      <c r="H9288" s="17" t="s">
        <v>20919</v>
      </c>
      <c r="I9288" s="17"/>
      <c r="J9288" s="17" t="s">
        <v>21313</v>
      </c>
      <c r="K9288" s="17"/>
      <c r="L9288" s="17" t="s">
        <v>21326</v>
      </c>
      <c r="M9288" s="17"/>
      <c r="N9288" s="17" t="s">
        <v>21577</v>
      </c>
      <c r="O9288" s="17"/>
      <c r="P9288" s="17" t="s">
        <v>43003</v>
      </c>
      <c r="Q9288" s="17"/>
      <c r="R9288" s="25" t="str">
        <f>HYPERLINK("https://ictv.global/taxonomy/taxondetails?taxnode_id=202310617","Dunchevirus limicola")</f>
        <v>Dunchevirus limicola</v>
      </c>
      <c r="S9288" s="18" t="s">
        <v>30</v>
      </c>
      <c r="T9288" s="18" t="s">
        <v>22189</v>
      </c>
      <c r="U9288" s="18"/>
      <c r="V9288" s="18"/>
      <c r="W9288" s="18" t="s">
        <v>22190</v>
      </c>
      <c r="X9288" s="18" t="s">
        <v>35</v>
      </c>
      <c r="Y9288" s="18" t="s">
        <v>17171</v>
      </c>
      <c r="Z9288" s="18" t="s">
        <v>697</v>
      </c>
      <c r="AA9288" s="21" t="str">
        <f>HYPERLINK("https://www.ncbi.nlm.nih.gov/nuccore/BK014068","NCBI Nucleotide")</f>
        <v>NCBI Nucleotide</v>
      </c>
    </row>
    <row r="9289" spans="1:27" x14ac:dyDescent="0.35">
      <c r="A9289">
        <v>1009460</v>
      </c>
      <c r="B9289">
        <v>8614</v>
      </c>
      <c r="C9289">
        <v>1</v>
      </c>
      <c r="D9289" s="17" t="s">
        <v>17166</v>
      </c>
      <c r="E9289" s="17"/>
      <c r="F9289" s="17" t="s">
        <v>17246</v>
      </c>
      <c r="G9289" s="17"/>
      <c r="H9289" s="17" t="s">
        <v>20919</v>
      </c>
      <c r="I9289" s="17"/>
      <c r="J9289" s="17" t="s">
        <v>21313</v>
      </c>
      <c r="K9289" s="17"/>
      <c r="L9289" s="17" t="s">
        <v>21326</v>
      </c>
      <c r="M9289" s="17"/>
      <c r="N9289" s="17" t="s">
        <v>21577</v>
      </c>
      <c r="O9289" s="17"/>
      <c r="P9289" s="17" t="s">
        <v>43004</v>
      </c>
      <c r="Q9289" s="17"/>
      <c r="R9289" s="25" t="str">
        <f>HYPERLINK("https://ictv.global/taxonomy/taxondetails?taxnode_id=202310234","Dursuvirus arvihabitans")</f>
        <v>Dursuvirus arvihabitans</v>
      </c>
      <c r="S9289" s="18" t="s">
        <v>30</v>
      </c>
      <c r="T9289" s="18" t="s">
        <v>21599</v>
      </c>
      <c r="U9289" s="18"/>
      <c r="V9289" s="18"/>
      <c r="W9289" s="18" t="s">
        <v>21600</v>
      </c>
      <c r="X9289" s="18" t="s">
        <v>35</v>
      </c>
      <c r="Y9289" s="18" t="s">
        <v>17171</v>
      </c>
      <c r="Z9289" s="18" t="s">
        <v>697</v>
      </c>
      <c r="AA9289" s="21" t="str">
        <f>HYPERLINK("https://www.ncbi.nlm.nih.gov/nuccore/BK014037","NCBI Nucleotide")</f>
        <v>NCBI Nucleotide</v>
      </c>
    </row>
    <row r="9290" spans="1:27" x14ac:dyDescent="0.35">
      <c r="A9290">
        <v>1009711</v>
      </c>
      <c r="B9290">
        <v>8615</v>
      </c>
      <c r="C9290">
        <v>1</v>
      </c>
      <c r="D9290" s="17" t="s">
        <v>17166</v>
      </c>
      <c r="E9290" s="17"/>
      <c r="F9290" s="17" t="s">
        <v>17246</v>
      </c>
      <c r="G9290" s="17"/>
      <c r="H9290" s="17" t="s">
        <v>20919</v>
      </c>
      <c r="I9290" s="17"/>
      <c r="J9290" s="17" t="s">
        <v>21313</v>
      </c>
      <c r="K9290" s="17"/>
      <c r="L9290" s="17" t="s">
        <v>21326</v>
      </c>
      <c r="M9290" s="17"/>
      <c r="N9290" s="17" t="s">
        <v>21577</v>
      </c>
      <c r="O9290" s="17"/>
      <c r="P9290" s="17" t="s">
        <v>43004</v>
      </c>
      <c r="Q9290" s="17"/>
      <c r="R9290" s="25" t="str">
        <f>HYPERLINK("https://ictv.global/taxonomy/taxondetails?taxnode_id=202310630","Dursuvirus choradaptatum")</f>
        <v>Dursuvirus choradaptatum</v>
      </c>
      <c r="S9290" s="18" t="s">
        <v>30</v>
      </c>
      <c r="T9290" s="18" t="s">
        <v>22207</v>
      </c>
      <c r="U9290" s="18"/>
      <c r="V9290" s="18"/>
      <c r="W9290" s="18" t="s">
        <v>22208</v>
      </c>
      <c r="X9290" s="18" t="s">
        <v>35</v>
      </c>
      <c r="Y9290" s="18" t="s">
        <v>17171</v>
      </c>
      <c r="Z9290" s="18" t="s">
        <v>697</v>
      </c>
      <c r="AA9290" s="21" t="str">
        <f>HYPERLINK("https://www.ncbi.nlm.nih.gov/nuccore/BK013791","NCBI Nucleotide")</f>
        <v>NCBI Nucleotide</v>
      </c>
    </row>
    <row r="9291" spans="1:27" x14ac:dyDescent="0.35">
      <c r="A9291">
        <v>1026208</v>
      </c>
      <c r="B9291">
        <v>8616</v>
      </c>
      <c r="C9291">
        <v>1</v>
      </c>
      <c r="D9291" s="17" t="s">
        <v>17166</v>
      </c>
      <c r="E9291" s="17"/>
      <c r="F9291" s="17" t="s">
        <v>17246</v>
      </c>
      <c r="G9291" s="17"/>
      <c r="H9291" s="17" t="s">
        <v>20919</v>
      </c>
      <c r="I9291" s="17"/>
      <c r="J9291" s="17" t="s">
        <v>21313</v>
      </c>
      <c r="K9291" s="17"/>
      <c r="L9291" s="17" t="s">
        <v>21326</v>
      </c>
      <c r="M9291" s="17"/>
      <c r="N9291" s="17" t="s">
        <v>21577</v>
      </c>
      <c r="O9291" s="17"/>
      <c r="P9291" s="17" t="s">
        <v>43004</v>
      </c>
      <c r="Q9291" s="17"/>
      <c r="R9291" s="25" t="str">
        <f>HYPERLINK("https://ictv.global/taxonomy/taxondetails?taxnode_id=202316266","Dursuvirus geohabitans")</f>
        <v>Dursuvirus geohabitans</v>
      </c>
      <c r="S9291" s="18" t="s">
        <v>30</v>
      </c>
      <c r="T9291" s="18" t="s">
        <v>43005</v>
      </c>
      <c r="U9291" s="18"/>
      <c r="V9291" s="18"/>
      <c r="W9291" s="18" t="s">
        <v>43006</v>
      </c>
      <c r="X9291" s="18" t="s">
        <v>35</v>
      </c>
      <c r="Y9291" s="18" t="s">
        <v>17171</v>
      </c>
      <c r="Z9291" s="18" t="s">
        <v>24637</v>
      </c>
      <c r="AA9291" s="21" t="str">
        <f>HYPERLINK("https://www.ncbi.nlm.nih.gov/nuccore/CASDWV010002098","NCBI Nucleotide")</f>
        <v>NCBI Nucleotide</v>
      </c>
    </row>
    <row r="9292" spans="1:27" x14ac:dyDescent="0.35">
      <c r="A9292">
        <v>1009730</v>
      </c>
      <c r="B9292">
        <v>8617</v>
      </c>
      <c r="C9292">
        <v>1</v>
      </c>
      <c r="D9292" s="17" t="s">
        <v>17166</v>
      </c>
      <c r="E9292" s="17"/>
      <c r="F9292" s="17" t="s">
        <v>17246</v>
      </c>
      <c r="G9292" s="17"/>
      <c r="H9292" s="17" t="s">
        <v>20919</v>
      </c>
      <c r="I9292" s="17"/>
      <c r="J9292" s="17" t="s">
        <v>21313</v>
      </c>
      <c r="K9292" s="17"/>
      <c r="L9292" s="17" t="s">
        <v>21326</v>
      </c>
      <c r="M9292" s="17"/>
      <c r="N9292" s="17" t="s">
        <v>21577</v>
      </c>
      <c r="O9292" s="17"/>
      <c r="P9292" s="17" t="s">
        <v>43007</v>
      </c>
      <c r="Q9292" s="17"/>
      <c r="R9292" s="25" t="str">
        <f>HYPERLINK("https://ictv.global/taxonomy/taxondetails?taxnode_id=202310665","Eahsevirus limicola")</f>
        <v>Eahsevirus limicola</v>
      </c>
      <c r="S9292" s="18" t="s">
        <v>30</v>
      </c>
      <c r="T9292" s="18" t="s">
        <v>22257</v>
      </c>
      <c r="U9292" s="18"/>
      <c r="V9292" s="18"/>
      <c r="W9292" s="18" t="s">
        <v>22258</v>
      </c>
      <c r="X9292" s="18" t="s">
        <v>35</v>
      </c>
      <c r="Y9292" s="18" t="s">
        <v>17171</v>
      </c>
      <c r="Z9292" s="18" t="s">
        <v>697</v>
      </c>
      <c r="AA9292" s="21" t="str">
        <f>HYPERLINK("https://www.ncbi.nlm.nih.gov/nuccore/BK013687","NCBI Nucleotide")</f>
        <v>NCBI Nucleotide</v>
      </c>
    </row>
    <row r="9293" spans="1:27" x14ac:dyDescent="0.35">
      <c r="A9293">
        <v>1009628</v>
      </c>
      <c r="B9293">
        <v>8618</v>
      </c>
      <c r="C9293">
        <v>1</v>
      </c>
      <c r="D9293" s="17" t="s">
        <v>17166</v>
      </c>
      <c r="E9293" s="17"/>
      <c r="F9293" s="17" t="s">
        <v>17246</v>
      </c>
      <c r="G9293" s="17"/>
      <c r="H9293" s="17" t="s">
        <v>20919</v>
      </c>
      <c r="I9293" s="17"/>
      <c r="J9293" s="17" t="s">
        <v>21313</v>
      </c>
      <c r="K9293" s="17"/>
      <c r="L9293" s="17" t="s">
        <v>21326</v>
      </c>
      <c r="M9293" s="17"/>
      <c r="N9293" s="17" t="s">
        <v>21577</v>
      </c>
      <c r="O9293" s="17"/>
      <c r="P9293" s="17" t="s">
        <v>43007</v>
      </c>
      <c r="Q9293" s="17"/>
      <c r="R9293" s="25" t="str">
        <f>HYPERLINK("https://ictv.global/taxonomy/taxondetails?taxnode_id=202310502","Eahsevirus limihabitans")</f>
        <v>Eahsevirus limihabitans</v>
      </c>
      <c r="S9293" s="18" t="s">
        <v>30</v>
      </c>
      <c r="T9293" s="18" t="s">
        <v>22014</v>
      </c>
      <c r="U9293" s="18"/>
      <c r="V9293" s="18"/>
      <c r="W9293" s="18" t="s">
        <v>22015</v>
      </c>
      <c r="X9293" s="18" t="s">
        <v>35</v>
      </c>
      <c r="Y9293" s="18" t="s">
        <v>17171</v>
      </c>
      <c r="Z9293" s="18" t="s">
        <v>697</v>
      </c>
      <c r="AA9293" s="21" t="str">
        <f>HYPERLINK("https://www.ncbi.nlm.nih.gov/nuccore/BK014190","NCBI Nucleotide")</f>
        <v>NCBI Nucleotide</v>
      </c>
    </row>
    <row r="9294" spans="1:27" x14ac:dyDescent="0.35">
      <c r="A9294">
        <v>1026202</v>
      </c>
      <c r="B9294">
        <v>8619</v>
      </c>
      <c r="C9294">
        <v>1</v>
      </c>
      <c r="D9294" s="17" t="s">
        <v>17166</v>
      </c>
      <c r="E9294" s="17"/>
      <c r="F9294" s="17" t="s">
        <v>17246</v>
      </c>
      <c r="G9294" s="17"/>
      <c r="H9294" s="17" t="s">
        <v>20919</v>
      </c>
      <c r="I9294" s="17"/>
      <c r="J9294" s="17" t="s">
        <v>21313</v>
      </c>
      <c r="K9294" s="17"/>
      <c r="L9294" s="17" t="s">
        <v>21326</v>
      </c>
      <c r="M9294" s="17"/>
      <c r="N9294" s="17" t="s">
        <v>21577</v>
      </c>
      <c r="O9294" s="17"/>
      <c r="P9294" s="17" t="s">
        <v>43007</v>
      </c>
      <c r="Q9294" s="17"/>
      <c r="R9294" s="25" t="str">
        <f>HYPERLINK("https://ictv.global/taxonomy/taxondetails?taxnode_id=202316267","Eahsevirus solicola")</f>
        <v>Eahsevirus solicola</v>
      </c>
      <c r="S9294" s="18" t="s">
        <v>30</v>
      </c>
      <c r="T9294" s="18" t="s">
        <v>43008</v>
      </c>
      <c r="U9294" s="18"/>
      <c r="V9294" s="18"/>
      <c r="W9294" s="18" t="s">
        <v>43009</v>
      </c>
      <c r="X9294" s="18" t="s">
        <v>35</v>
      </c>
      <c r="Y9294" s="18" t="s">
        <v>17171</v>
      </c>
      <c r="Z9294" s="18" t="s">
        <v>24637</v>
      </c>
      <c r="AA9294" s="21" t="str">
        <f>HYPERLINK("https://www.ncbi.nlm.nih.gov/nuccore/CASDWV010003978","NCBI Nucleotide")</f>
        <v>NCBI Nucleotide</v>
      </c>
    </row>
    <row r="9295" spans="1:27" x14ac:dyDescent="0.35">
      <c r="A9295">
        <v>1026203</v>
      </c>
      <c r="B9295">
        <v>8620</v>
      </c>
      <c r="C9295">
        <v>1</v>
      </c>
      <c r="D9295" s="17" t="s">
        <v>17166</v>
      </c>
      <c r="E9295" s="17"/>
      <c r="F9295" s="17" t="s">
        <v>17246</v>
      </c>
      <c r="G9295" s="17"/>
      <c r="H9295" s="17" t="s">
        <v>20919</v>
      </c>
      <c r="I9295" s="17"/>
      <c r="J9295" s="17" t="s">
        <v>21313</v>
      </c>
      <c r="K9295" s="17"/>
      <c r="L9295" s="17" t="s">
        <v>21326</v>
      </c>
      <c r="M9295" s="17"/>
      <c r="N9295" s="17" t="s">
        <v>21577</v>
      </c>
      <c r="O9295" s="17"/>
      <c r="P9295" s="17" t="s">
        <v>43010</v>
      </c>
      <c r="Q9295" s="17"/>
      <c r="R9295" s="25" t="str">
        <f>HYPERLINK("https://ictv.global/taxonomy/taxondetails?taxnode_id=202316268","Eahvevirus faecenecus")</f>
        <v>Eahvevirus faecenecus</v>
      </c>
      <c r="S9295" s="18" t="s">
        <v>30</v>
      </c>
      <c r="T9295" s="18" t="s">
        <v>43011</v>
      </c>
      <c r="U9295" s="18"/>
      <c r="V9295" s="18" t="s">
        <v>43011</v>
      </c>
      <c r="W9295" s="18" t="s">
        <v>43012</v>
      </c>
      <c r="X9295" s="18" t="s">
        <v>35</v>
      </c>
      <c r="Y9295" s="18" t="s">
        <v>17171</v>
      </c>
      <c r="Z9295" s="18" t="s">
        <v>24637</v>
      </c>
      <c r="AA9295" s="21" t="str">
        <f>HYPERLINK("https://www.ncbi.nlm.nih.gov/nuccore/MZ679524","NCBI Nucleotide")</f>
        <v>NCBI Nucleotide</v>
      </c>
    </row>
    <row r="9296" spans="1:27" x14ac:dyDescent="0.35">
      <c r="A9296">
        <v>1026121</v>
      </c>
      <c r="B9296">
        <v>8621</v>
      </c>
      <c r="C9296">
        <v>1</v>
      </c>
      <c r="D9296" s="17" t="s">
        <v>17166</v>
      </c>
      <c r="E9296" s="17"/>
      <c r="F9296" s="17" t="s">
        <v>17246</v>
      </c>
      <c r="G9296" s="17"/>
      <c r="H9296" s="17" t="s">
        <v>20919</v>
      </c>
      <c r="I9296" s="17"/>
      <c r="J9296" s="17" t="s">
        <v>21313</v>
      </c>
      <c r="K9296" s="17"/>
      <c r="L9296" s="17" t="s">
        <v>21326</v>
      </c>
      <c r="M9296" s="17"/>
      <c r="N9296" s="17" t="s">
        <v>21577</v>
      </c>
      <c r="O9296" s="17"/>
      <c r="P9296" s="17" t="s">
        <v>43013</v>
      </c>
      <c r="Q9296" s="17"/>
      <c r="R9296" s="25" t="str">
        <f>HYPERLINK("https://ictv.global/taxonomy/taxondetails?taxnode_id=202316269","Eedhovirus chilonisadaptatum")</f>
        <v>Eedhovirus chilonisadaptatum</v>
      </c>
      <c r="S9296" s="18" t="s">
        <v>30</v>
      </c>
      <c r="T9296" s="18" t="s">
        <v>43014</v>
      </c>
      <c r="U9296" s="18"/>
      <c r="V9296" s="18" t="s">
        <v>43015</v>
      </c>
      <c r="W9296" s="18" t="s">
        <v>43016</v>
      </c>
      <c r="X9296" s="18" t="s">
        <v>35</v>
      </c>
      <c r="Y9296" s="18" t="s">
        <v>17171</v>
      </c>
      <c r="Z9296" s="18" t="s">
        <v>17413</v>
      </c>
      <c r="AA9296" s="21" t="str">
        <f>HYPERLINK("https://www.ncbi.nlm.nih.gov/nuccore/MZ210007","NCBI Nucleotide")</f>
        <v>NCBI Nucleotide</v>
      </c>
    </row>
    <row r="9297" spans="1:27" x14ac:dyDescent="0.35">
      <c r="A9297">
        <v>1009611</v>
      </c>
      <c r="B9297">
        <v>8622</v>
      </c>
      <c r="C9297">
        <v>1</v>
      </c>
      <c r="D9297" s="17" t="s">
        <v>17166</v>
      </c>
      <c r="E9297" s="17"/>
      <c r="F9297" s="17" t="s">
        <v>17246</v>
      </c>
      <c r="G9297" s="17"/>
      <c r="H9297" s="17" t="s">
        <v>20919</v>
      </c>
      <c r="I9297" s="17"/>
      <c r="J9297" s="17" t="s">
        <v>21313</v>
      </c>
      <c r="K9297" s="17"/>
      <c r="L9297" s="17" t="s">
        <v>21326</v>
      </c>
      <c r="M9297" s="17"/>
      <c r="N9297" s="17" t="s">
        <v>21577</v>
      </c>
      <c r="O9297" s="17"/>
      <c r="P9297" s="17" t="s">
        <v>43017</v>
      </c>
      <c r="Q9297" s="17"/>
      <c r="R9297" s="25" t="str">
        <f>HYPERLINK("https://ictv.global/taxonomy/taxondetails?taxnode_id=202310477","Eerlswovirus asiohabitans")</f>
        <v>Eerlswovirus asiohabitans</v>
      </c>
      <c r="S9297" s="18" t="s">
        <v>30</v>
      </c>
      <c r="T9297" s="18" t="s">
        <v>21979</v>
      </c>
      <c r="U9297" s="18"/>
      <c r="V9297" s="18"/>
      <c r="W9297" s="18" t="s">
        <v>21980</v>
      </c>
      <c r="X9297" s="18" t="s">
        <v>35</v>
      </c>
      <c r="Y9297" s="18" t="s">
        <v>17171</v>
      </c>
      <c r="Z9297" s="18" t="s">
        <v>697</v>
      </c>
      <c r="AA9297" s="21" t="str">
        <f>HYPERLINK("https://www.ncbi.nlm.nih.gov/nuccore/BK014164","NCBI Nucleotide")</f>
        <v>NCBI Nucleotide</v>
      </c>
    </row>
    <row r="9298" spans="1:27" x14ac:dyDescent="0.35">
      <c r="A9298">
        <v>1026119</v>
      </c>
      <c r="B9298">
        <v>8623</v>
      </c>
      <c r="C9298">
        <v>1</v>
      </c>
      <c r="D9298" s="17" t="s">
        <v>17166</v>
      </c>
      <c r="E9298" s="17"/>
      <c r="F9298" s="17" t="s">
        <v>17246</v>
      </c>
      <c r="G9298" s="17"/>
      <c r="H9298" s="17" t="s">
        <v>20919</v>
      </c>
      <c r="I9298" s="17"/>
      <c r="J9298" s="17" t="s">
        <v>21313</v>
      </c>
      <c r="K9298" s="17"/>
      <c r="L9298" s="17" t="s">
        <v>21326</v>
      </c>
      <c r="M9298" s="17"/>
      <c r="N9298" s="17" t="s">
        <v>21577</v>
      </c>
      <c r="O9298" s="17"/>
      <c r="P9298" s="17" t="s">
        <v>43018</v>
      </c>
      <c r="Q9298" s="17"/>
      <c r="R9298" s="25" t="str">
        <f>HYPERLINK("https://ictv.global/taxonomy/taxondetails?taxnode_id=202316270","Eistcuvirus conocephalivivens")</f>
        <v>Eistcuvirus conocephalivivens</v>
      </c>
      <c r="S9298" s="18" t="s">
        <v>30</v>
      </c>
      <c r="T9298" s="18" t="s">
        <v>43019</v>
      </c>
      <c r="U9298" s="18"/>
      <c r="V9298" s="18" t="s">
        <v>43020</v>
      </c>
      <c r="W9298" s="18" t="s">
        <v>43021</v>
      </c>
      <c r="X9298" s="18" t="s">
        <v>35</v>
      </c>
      <c r="Y9298" s="18" t="s">
        <v>17171</v>
      </c>
      <c r="Z9298" s="18" t="s">
        <v>17413</v>
      </c>
      <c r="AA9298" s="21" t="str">
        <f>HYPERLINK("https://www.ncbi.nlm.nih.gov/nuccore/MZ209891","NCBI Nucleotide")</f>
        <v>NCBI Nucleotide</v>
      </c>
    </row>
    <row r="9299" spans="1:27" x14ac:dyDescent="0.35">
      <c r="A9299">
        <v>1009535</v>
      </c>
      <c r="B9299">
        <v>8624</v>
      </c>
      <c r="C9299">
        <v>1</v>
      </c>
      <c r="D9299" s="17" t="s">
        <v>17166</v>
      </c>
      <c r="E9299" s="17"/>
      <c r="F9299" s="17" t="s">
        <v>17246</v>
      </c>
      <c r="G9299" s="17"/>
      <c r="H9299" s="17" t="s">
        <v>20919</v>
      </c>
      <c r="I9299" s="17"/>
      <c r="J9299" s="17" t="s">
        <v>21313</v>
      </c>
      <c r="K9299" s="17"/>
      <c r="L9299" s="17" t="s">
        <v>21326</v>
      </c>
      <c r="M9299" s="17"/>
      <c r="N9299" s="17" t="s">
        <v>21577</v>
      </c>
      <c r="O9299" s="17"/>
      <c r="P9299" s="17" t="s">
        <v>21780</v>
      </c>
      <c r="Q9299" s="17"/>
      <c r="R9299" s="25" t="str">
        <f>HYPERLINK("https://ictv.global/taxonomy/taxondetails?taxnode_id=202303757","Emesvirus japonicum")</f>
        <v>Emesvirus japonicum</v>
      </c>
      <c r="S9299" s="18" t="s">
        <v>30</v>
      </c>
      <c r="T9299" s="18" t="s">
        <v>21781</v>
      </c>
      <c r="U9299" s="18"/>
      <c r="V9299" s="18"/>
      <c r="W9299" s="18" t="s">
        <v>21782</v>
      </c>
      <c r="X9299" s="18" t="s">
        <v>42</v>
      </c>
      <c r="Y9299" s="18" t="s">
        <v>17171</v>
      </c>
      <c r="Z9299" s="18" t="s">
        <v>697</v>
      </c>
      <c r="AA9299" s="21" t="str">
        <f>HYPERLINK("https://www.ncbi.nlm.nih.gov/nuccore/X03869","NCBI Nucleotide")</f>
        <v>NCBI Nucleotide</v>
      </c>
    </row>
    <row r="9300" spans="1:27" x14ac:dyDescent="0.35">
      <c r="A9300">
        <v>1009536</v>
      </c>
      <c r="B9300">
        <v>8625</v>
      </c>
      <c r="C9300">
        <v>1</v>
      </c>
      <c r="D9300" s="17" t="s">
        <v>17166</v>
      </c>
      <c r="E9300" s="17"/>
      <c r="F9300" s="17" t="s">
        <v>17246</v>
      </c>
      <c r="G9300" s="17"/>
      <c r="H9300" s="17" t="s">
        <v>20919</v>
      </c>
      <c r="I9300" s="17"/>
      <c r="J9300" s="17" t="s">
        <v>21313</v>
      </c>
      <c r="K9300" s="17"/>
      <c r="L9300" s="17" t="s">
        <v>21326</v>
      </c>
      <c r="M9300" s="17"/>
      <c r="N9300" s="17" t="s">
        <v>21577</v>
      </c>
      <c r="O9300" s="17"/>
      <c r="P9300" s="17" t="s">
        <v>21780</v>
      </c>
      <c r="Q9300" s="17"/>
      <c r="R9300" s="25" t="str">
        <f>HYPERLINK("https://ictv.global/taxonomy/taxondetails?taxnode_id=202310217","Emesvirus piscicola")</f>
        <v>Emesvirus piscicola</v>
      </c>
      <c r="S9300" s="18" t="s">
        <v>30</v>
      </c>
      <c r="T9300" s="18" t="s">
        <v>21783</v>
      </c>
      <c r="U9300" s="18"/>
      <c r="V9300" s="18"/>
      <c r="W9300" s="18" t="s">
        <v>21784</v>
      </c>
      <c r="X9300" s="18" t="s">
        <v>35</v>
      </c>
      <c r="Y9300" s="18" t="s">
        <v>17171</v>
      </c>
      <c r="Z9300" s="18" t="s">
        <v>697</v>
      </c>
      <c r="AA9300" s="21" t="str">
        <f>HYPERLINK("https://www.ncbi.nlm.nih.gov/nuccore/BK013361","NCBI Nucleotide")</f>
        <v>NCBI Nucleotide</v>
      </c>
    </row>
    <row r="9301" spans="1:27" x14ac:dyDescent="0.35">
      <c r="A9301">
        <v>1009537</v>
      </c>
      <c r="B9301">
        <v>8626</v>
      </c>
      <c r="C9301">
        <v>1</v>
      </c>
      <c r="D9301" s="17" t="s">
        <v>17166</v>
      </c>
      <c r="E9301" s="17"/>
      <c r="F9301" s="17" t="s">
        <v>17246</v>
      </c>
      <c r="G9301" s="17"/>
      <c r="H9301" s="17" t="s">
        <v>20919</v>
      </c>
      <c r="I9301" s="17"/>
      <c r="J9301" s="17" t="s">
        <v>21313</v>
      </c>
      <c r="K9301" s="17"/>
      <c r="L9301" s="17" t="s">
        <v>21326</v>
      </c>
      <c r="M9301" s="17"/>
      <c r="N9301" s="17" t="s">
        <v>21577</v>
      </c>
      <c r="O9301" s="17"/>
      <c r="P9301" s="17" t="s">
        <v>21780</v>
      </c>
      <c r="Q9301" s="17"/>
      <c r="R9301" s="25" t="str">
        <f>HYPERLINK("https://ictv.global/taxonomy/taxondetails?taxnode_id=202303758","Emesvirus zinderi")</f>
        <v>Emesvirus zinderi</v>
      </c>
      <c r="S9301" s="18" t="s">
        <v>30</v>
      </c>
      <c r="T9301" s="18" t="s">
        <v>21785</v>
      </c>
      <c r="U9301" s="18"/>
      <c r="V9301" s="18"/>
      <c r="W9301" s="18" t="s">
        <v>21786</v>
      </c>
      <c r="X9301" s="18" t="s">
        <v>42</v>
      </c>
      <c r="Y9301" s="18" t="s">
        <v>17171</v>
      </c>
      <c r="Z9301" s="18" t="s">
        <v>697</v>
      </c>
      <c r="AA9301" s="21" t="str">
        <f>HYPERLINK("https://www.ncbi.nlm.nih.gov/nuccore/V00642","NCBI Nucleotide")</f>
        <v>NCBI Nucleotide</v>
      </c>
    </row>
    <row r="9302" spans="1:27" x14ac:dyDescent="0.35">
      <c r="A9302">
        <v>1009538</v>
      </c>
      <c r="B9302">
        <v>8627</v>
      </c>
      <c r="C9302">
        <v>1</v>
      </c>
      <c r="D9302" s="17" t="s">
        <v>17166</v>
      </c>
      <c r="E9302" s="17"/>
      <c r="F9302" s="17" t="s">
        <v>17246</v>
      </c>
      <c r="G9302" s="17"/>
      <c r="H9302" s="17" t="s">
        <v>20919</v>
      </c>
      <c r="I9302" s="17"/>
      <c r="J9302" s="17" t="s">
        <v>21313</v>
      </c>
      <c r="K9302" s="17"/>
      <c r="L9302" s="17" t="s">
        <v>21326</v>
      </c>
      <c r="M9302" s="17"/>
      <c r="N9302" s="17" t="s">
        <v>21577</v>
      </c>
      <c r="O9302" s="17"/>
      <c r="P9302" s="17" t="s">
        <v>21787</v>
      </c>
      <c r="Q9302" s="17"/>
      <c r="R9302" s="25" t="str">
        <f>HYPERLINK("https://ictv.global/taxonomy/taxondetails?taxnode_id=202310350","Empivirus allolyticum")</f>
        <v>Empivirus allolyticum</v>
      </c>
      <c r="S9302" s="18" t="s">
        <v>30</v>
      </c>
      <c r="T9302" s="18" t="s">
        <v>21788</v>
      </c>
      <c r="U9302" s="18"/>
      <c r="V9302" s="18"/>
      <c r="W9302" s="18" t="s">
        <v>21789</v>
      </c>
      <c r="X9302" s="18" t="s">
        <v>42</v>
      </c>
      <c r="Y9302" s="18" t="s">
        <v>17171</v>
      </c>
      <c r="Z9302" s="18" t="s">
        <v>697</v>
      </c>
      <c r="AA9302" s="21" t="str">
        <f>HYPERLINK("https://www.ncbi.nlm.nih.gov/nuccore/JX625144","NCBI Nucleotide")</f>
        <v>NCBI Nucleotide</v>
      </c>
    </row>
    <row r="9303" spans="1:27" x14ac:dyDescent="0.35">
      <c r="A9303">
        <v>1026245</v>
      </c>
      <c r="B9303">
        <v>8628</v>
      </c>
      <c r="C9303">
        <v>1</v>
      </c>
      <c r="D9303" s="17" t="s">
        <v>17166</v>
      </c>
      <c r="E9303" s="17"/>
      <c r="F9303" s="17" t="s">
        <v>17246</v>
      </c>
      <c r="G9303" s="17"/>
      <c r="H9303" s="17" t="s">
        <v>20919</v>
      </c>
      <c r="I9303" s="17"/>
      <c r="J9303" s="17" t="s">
        <v>21313</v>
      </c>
      <c r="K9303" s="17"/>
      <c r="L9303" s="17" t="s">
        <v>21326</v>
      </c>
      <c r="M9303" s="17"/>
      <c r="N9303" s="17" t="s">
        <v>21577</v>
      </c>
      <c r="O9303" s="17"/>
      <c r="P9303" s="17" t="s">
        <v>43022</v>
      </c>
      <c r="Q9303" s="17"/>
      <c r="R9303" s="25" t="str">
        <f>HYPERLINK("https://ictv.global/taxonomy/taxondetails?taxnode_id=202316271","Etongtovirus faecivicinum")</f>
        <v>Etongtovirus faecivicinum</v>
      </c>
      <c r="S9303" s="18" t="s">
        <v>30</v>
      </c>
      <c r="T9303" s="18" t="s">
        <v>43023</v>
      </c>
      <c r="U9303" s="18"/>
      <c r="V9303" s="18" t="s">
        <v>43023</v>
      </c>
      <c r="W9303" s="18" t="s">
        <v>43024</v>
      </c>
      <c r="X9303" s="18" t="s">
        <v>35</v>
      </c>
      <c r="Y9303" s="18" t="s">
        <v>17171</v>
      </c>
      <c r="Z9303" s="18" t="s">
        <v>17413</v>
      </c>
      <c r="AA9303" s="21" t="str">
        <f>HYPERLINK("https://www.ncbi.nlm.nih.gov/nuccore/MZ679545","NCBI Nucleotide")</f>
        <v>NCBI Nucleotide</v>
      </c>
    </row>
    <row r="9304" spans="1:27" x14ac:dyDescent="0.35">
      <c r="A9304">
        <v>1026237</v>
      </c>
      <c r="B9304">
        <v>8629</v>
      </c>
      <c r="C9304">
        <v>1</v>
      </c>
      <c r="D9304" s="17" t="s">
        <v>17166</v>
      </c>
      <c r="E9304" s="17"/>
      <c r="F9304" s="17" t="s">
        <v>17246</v>
      </c>
      <c r="G9304" s="17"/>
      <c r="H9304" s="17" t="s">
        <v>20919</v>
      </c>
      <c r="I9304" s="17"/>
      <c r="J9304" s="17" t="s">
        <v>21313</v>
      </c>
      <c r="K9304" s="17"/>
      <c r="L9304" s="17" t="s">
        <v>21326</v>
      </c>
      <c r="M9304" s="17"/>
      <c r="N9304" s="17" t="s">
        <v>21577</v>
      </c>
      <c r="O9304" s="17"/>
      <c r="P9304" s="17" t="s">
        <v>21790</v>
      </c>
      <c r="Q9304" s="17"/>
      <c r="R9304" s="25" t="str">
        <f>HYPERLINK("https://ictv.global/taxonomy/taxondetails?taxnode_id=202316272","Fagihyuvirus agricola")</f>
        <v>Fagihyuvirus agricola</v>
      </c>
      <c r="S9304" s="18" t="s">
        <v>30</v>
      </c>
      <c r="T9304" s="18" t="s">
        <v>43025</v>
      </c>
      <c r="U9304" s="18"/>
      <c r="V9304" s="18"/>
      <c r="W9304" s="18" t="s">
        <v>43026</v>
      </c>
      <c r="X9304" s="18" t="s">
        <v>35</v>
      </c>
      <c r="Y9304" s="18" t="s">
        <v>17171</v>
      </c>
      <c r="Z9304" s="18" t="s">
        <v>24637</v>
      </c>
      <c r="AA9304" s="21" t="str">
        <f>HYPERLINK("https://www.ncbi.nlm.nih.gov/nuccore/CASDWV010001434","NCBI Nucleotide")</f>
        <v>NCBI Nucleotide</v>
      </c>
    </row>
    <row r="9305" spans="1:27" x14ac:dyDescent="0.35">
      <c r="A9305">
        <v>1009658</v>
      </c>
      <c r="B9305">
        <v>8630</v>
      </c>
      <c r="C9305">
        <v>1</v>
      </c>
      <c r="D9305" s="17" t="s">
        <v>17166</v>
      </c>
      <c r="E9305" s="17"/>
      <c r="F9305" s="17" t="s">
        <v>17246</v>
      </c>
      <c r="G9305" s="17"/>
      <c r="H9305" s="17" t="s">
        <v>20919</v>
      </c>
      <c r="I9305" s="17"/>
      <c r="J9305" s="17" t="s">
        <v>21313</v>
      </c>
      <c r="K9305" s="17"/>
      <c r="L9305" s="17" t="s">
        <v>21326</v>
      </c>
      <c r="M9305" s="17"/>
      <c r="N9305" s="17" t="s">
        <v>21577</v>
      </c>
      <c r="O9305" s="17"/>
      <c r="P9305" s="17" t="s">
        <v>21790</v>
      </c>
      <c r="Q9305" s="17"/>
      <c r="R9305" s="25" t="str">
        <f>HYPERLINK("https://ictv.global/taxonomy/taxondetails?taxnode_id=202310553","Fagihyuvirus agrihabitans")</f>
        <v>Fagihyuvirus agrihabitans</v>
      </c>
      <c r="S9305" s="18" t="s">
        <v>30</v>
      </c>
      <c r="T9305" s="18" t="s">
        <v>22086</v>
      </c>
      <c r="U9305" s="18"/>
      <c r="V9305" s="18"/>
      <c r="W9305" s="18" t="s">
        <v>22087</v>
      </c>
      <c r="X9305" s="18" t="s">
        <v>35</v>
      </c>
      <c r="Y9305" s="18" t="s">
        <v>17171</v>
      </c>
      <c r="Z9305" s="18" t="s">
        <v>697</v>
      </c>
      <c r="AA9305" s="21" t="str">
        <f>HYPERLINK("https://www.ncbi.nlm.nih.gov/nuccore/BK013464","NCBI Nucleotide")</f>
        <v>NCBI Nucleotide</v>
      </c>
    </row>
    <row r="9306" spans="1:27" x14ac:dyDescent="0.35">
      <c r="A9306">
        <v>1009659</v>
      </c>
      <c r="B9306">
        <v>8631</v>
      </c>
      <c r="C9306">
        <v>1</v>
      </c>
      <c r="D9306" s="17" t="s">
        <v>17166</v>
      </c>
      <c r="E9306" s="17"/>
      <c r="F9306" s="17" t="s">
        <v>17246</v>
      </c>
      <c r="G9306" s="17"/>
      <c r="H9306" s="17" t="s">
        <v>20919</v>
      </c>
      <c r="I9306" s="17"/>
      <c r="J9306" s="17" t="s">
        <v>21313</v>
      </c>
      <c r="K9306" s="17"/>
      <c r="L9306" s="17" t="s">
        <v>21326</v>
      </c>
      <c r="M9306" s="17"/>
      <c r="N9306" s="17" t="s">
        <v>21577</v>
      </c>
      <c r="O9306" s="17"/>
      <c r="P9306" s="17" t="s">
        <v>21790</v>
      </c>
      <c r="Q9306" s="17"/>
      <c r="R9306" s="25" t="str">
        <f>HYPERLINK("https://ictv.global/taxonomy/taxondetails?taxnode_id=202310554","Fagihyuvirus agrivicinum")</f>
        <v>Fagihyuvirus agrivicinum</v>
      </c>
      <c r="S9306" s="18" t="s">
        <v>30</v>
      </c>
      <c r="T9306" s="18" t="s">
        <v>22088</v>
      </c>
      <c r="U9306" s="18"/>
      <c r="V9306" s="18"/>
      <c r="W9306" s="18" t="s">
        <v>22089</v>
      </c>
      <c r="X9306" s="18" t="s">
        <v>35</v>
      </c>
      <c r="Y9306" s="18" t="s">
        <v>17171</v>
      </c>
      <c r="Z9306" s="18" t="s">
        <v>697</v>
      </c>
      <c r="AA9306" s="21" t="str">
        <f>HYPERLINK("https://www.ncbi.nlm.nih.gov/nuccore/BK013487","NCBI Nucleotide")</f>
        <v>NCBI Nucleotide</v>
      </c>
    </row>
    <row r="9307" spans="1:27" x14ac:dyDescent="0.35">
      <c r="A9307">
        <v>1009539</v>
      </c>
      <c r="B9307">
        <v>8632</v>
      </c>
      <c r="C9307">
        <v>1</v>
      </c>
      <c r="D9307" s="17" t="s">
        <v>17166</v>
      </c>
      <c r="E9307" s="17"/>
      <c r="F9307" s="17" t="s">
        <v>17246</v>
      </c>
      <c r="G9307" s="17"/>
      <c r="H9307" s="17" t="s">
        <v>20919</v>
      </c>
      <c r="I9307" s="17"/>
      <c r="J9307" s="17" t="s">
        <v>21313</v>
      </c>
      <c r="K9307" s="17"/>
      <c r="L9307" s="17" t="s">
        <v>21326</v>
      </c>
      <c r="M9307" s="17"/>
      <c r="N9307" s="17" t="s">
        <v>21577</v>
      </c>
      <c r="O9307" s="17"/>
      <c r="P9307" s="17" t="s">
        <v>21790</v>
      </c>
      <c r="Q9307" s="17"/>
      <c r="R9307" s="25" t="str">
        <f>HYPERLINK("https://ictv.global/taxonomy/taxondetails?taxnode_id=202310352","Fagihyuvirus caenivicinum")</f>
        <v>Fagihyuvirus caenivicinum</v>
      </c>
      <c r="S9307" s="18" t="s">
        <v>30</v>
      </c>
      <c r="T9307" s="18" t="s">
        <v>21791</v>
      </c>
      <c r="U9307" s="18"/>
      <c r="V9307" s="18"/>
      <c r="W9307" s="18" t="s">
        <v>21792</v>
      </c>
      <c r="X9307" s="18" t="s">
        <v>35</v>
      </c>
      <c r="Y9307" s="18" t="s">
        <v>17171</v>
      </c>
      <c r="Z9307" s="18" t="s">
        <v>697</v>
      </c>
      <c r="AA9307" s="21" t="str">
        <f>HYPERLINK("https://www.ncbi.nlm.nih.gov/nuccore/BK013752","NCBI Nucleotide")</f>
        <v>NCBI Nucleotide</v>
      </c>
    </row>
    <row r="9308" spans="1:27" x14ac:dyDescent="0.35">
      <c r="A9308">
        <v>1026238</v>
      </c>
      <c r="B9308">
        <v>8633</v>
      </c>
      <c r="C9308">
        <v>1</v>
      </c>
      <c r="D9308" s="17" t="s">
        <v>17166</v>
      </c>
      <c r="E9308" s="17"/>
      <c r="F9308" s="17" t="s">
        <v>17246</v>
      </c>
      <c r="G9308" s="17"/>
      <c r="H9308" s="17" t="s">
        <v>20919</v>
      </c>
      <c r="I9308" s="17"/>
      <c r="J9308" s="17" t="s">
        <v>21313</v>
      </c>
      <c r="K9308" s="17"/>
      <c r="L9308" s="17" t="s">
        <v>21326</v>
      </c>
      <c r="M9308" s="17"/>
      <c r="N9308" s="17" t="s">
        <v>21577</v>
      </c>
      <c r="O9308" s="17"/>
      <c r="P9308" s="17" t="s">
        <v>21790</v>
      </c>
      <c r="Q9308" s="17"/>
      <c r="R9308" s="25" t="str">
        <f>HYPERLINK("https://ictv.global/taxonomy/taxondetails?taxnode_id=202316273","Fagihyuvirus chorovicinum")</f>
        <v>Fagihyuvirus chorovicinum</v>
      </c>
      <c r="S9308" s="18" t="s">
        <v>30</v>
      </c>
      <c r="T9308" s="18" t="s">
        <v>43027</v>
      </c>
      <c r="U9308" s="18"/>
      <c r="V9308" s="18"/>
      <c r="W9308" s="18" t="s">
        <v>43028</v>
      </c>
      <c r="X9308" s="18" t="s">
        <v>35</v>
      </c>
      <c r="Y9308" s="18" t="s">
        <v>17171</v>
      </c>
      <c r="Z9308" s="18" t="s">
        <v>24637</v>
      </c>
      <c r="AA9308" s="21" t="str">
        <f>HYPERLINK("https://www.ncbi.nlm.nih.gov/nuccore/CASDWV010002759","NCBI Nucleotide")</f>
        <v>NCBI Nucleotide</v>
      </c>
    </row>
    <row r="9309" spans="1:27" x14ac:dyDescent="0.35">
      <c r="A9309">
        <v>1026239</v>
      </c>
      <c r="B9309">
        <v>8634</v>
      </c>
      <c r="C9309">
        <v>1</v>
      </c>
      <c r="D9309" s="17" t="s">
        <v>17166</v>
      </c>
      <c r="E9309" s="17"/>
      <c r="F9309" s="17" t="s">
        <v>17246</v>
      </c>
      <c r="G9309" s="17"/>
      <c r="H9309" s="17" t="s">
        <v>20919</v>
      </c>
      <c r="I9309" s="17"/>
      <c r="J9309" s="17" t="s">
        <v>21313</v>
      </c>
      <c r="K9309" s="17"/>
      <c r="L9309" s="17" t="s">
        <v>21326</v>
      </c>
      <c r="M9309" s="17"/>
      <c r="N9309" s="17" t="s">
        <v>21577</v>
      </c>
      <c r="O9309" s="17"/>
      <c r="P9309" s="17" t="s">
        <v>21790</v>
      </c>
      <c r="Q9309" s="17"/>
      <c r="R9309" s="25" t="str">
        <f>HYPERLINK("https://ictv.global/taxonomy/taxondetails?taxnode_id=202316274","Fagihyuvirus humenecus")</f>
        <v>Fagihyuvirus humenecus</v>
      </c>
      <c r="S9309" s="18" t="s">
        <v>30</v>
      </c>
      <c r="T9309" s="18" t="s">
        <v>43029</v>
      </c>
      <c r="U9309" s="18"/>
      <c r="V9309" s="18"/>
      <c r="W9309" s="18" t="s">
        <v>43030</v>
      </c>
      <c r="X9309" s="18" t="s">
        <v>35</v>
      </c>
      <c r="Y9309" s="18" t="s">
        <v>17171</v>
      </c>
      <c r="Z9309" s="18" t="s">
        <v>24637</v>
      </c>
      <c r="AA9309" s="21" t="str">
        <f>HYPERLINK("https://www.ncbi.nlm.nih.gov/nuccore/CASDWV010002712","NCBI Nucleotide")</f>
        <v>NCBI Nucleotide</v>
      </c>
    </row>
    <row r="9310" spans="1:27" x14ac:dyDescent="0.35">
      <c r="A9310">
        <v>1026240</v>
      </c>
      <c r="B9310">
        <v>8635</v>
      </c>
      <c r="C9310">
        <v>1</v>
      </c>
      <c r="D9310" s="17" t="s">
        <v>17166</v>
      </c>
      <c r="E9310" s="17"/>
      <c r="F9310" s="17" t="s">
        <v>17246</v>
      </c>
      <c r="G9310" s="17"/>
      <c r="H9310" s="17" t="s">
        <v>20919</v>
      </c>
      <c r="I9310" s="17"/>
      <c r="J9310" s="17" t="s">
        <v>21313</v>
      </c>
      <c r="K9310" s="17"/>
      <c r="L9310" s="17" t="s">
        <v>21326</v>
      </c>
      <c r="M9310" s="17"/>
      <c r="N9310" s="17" t="s">
        <v>21577</v>
      </c>
      <c r="O9310" s="17"/>
      <c r="P9310" s="17" t="s">
        <v>21790</v>
      </c>
      <c r="Q9310" s="17"/>
      <c r="R9310" s="25" t="str">
        <f>HYPERLINK("https://ictv.global/taxonomy/taxondetails?taxnode_id=202316275","Fagihyuvirus messihabitans")</f>
        <v>Fagihyuvirus messihabitans</v>
      </c>
      <c r="S9310" s="18" t="s">
        <v>30</v>
      </c>
      <c r="T9310" s="18" t="s">
        <v>43031</v>
      </c>
      <c r="U9310" s="18"/>
      <c r="V9310" s="18"/>
      <c r="W9310" s="18" t="s">
        <v>43032</v>
      </c>
      <c r="X9310" s="18" t="s">
        <v>35</v>
      </c>
      <c r="Y9310" s="18" t="s">
        <v>17171</v>
      </c>
      <c r="Z9310" s="18" t="s">
        <v>24637</v>
      </c>
      <c r="AA9310" s="21" t="str">
        <f>HYPERLINK("https://www.ncbi.nlm.nih.gov/nuccore/CASDWV010003314","NCBI Nucleotide")</f>
        <v>NCBI Nucleotide</v>
      </c>
    </row>
    <row r="9311" spans="1:27" x14ac:dyDescent="0.35">
      <c r="A9311">
        <v>1026241</v>
      </c>
      <c r="B9311">
        <v>8636</v>
      </c>
      <c r="C9311">
        <v>1</v>
      </c>
      <c r="D9311" s="17" t="s">
        <v>17166</v>
      </c>
      <c r="E9311" s="17"/>
      <c r="F9311" s="17" t="s">
        <v>17246</v>
      </c>
      <c r="G9311" s="17"/>
      <c r="H9311" s="17" t="s">
        <v>20919</v>
      </c>
      <c r="I9311" s="17"/>
      <c r="J9311" s="17" t="s">
        <v>21313</v>
      </c>
      <c r="K9311" s="17"/>
      <c r="L9311" s="17" t="s">
        <v>21326</v>
      </c>
      <c r="M9311" s="17"/>
      <c r="N9311" s="17" t="s">
        <v>21577</v>
      </c>
      <c r="O9311" s="17"/>
      <c r="P9311" s="17" t="s">
        <v>21790</v>
      </c>
      <c r="Q9311" s="17"/>
      <c r="R9311" s="25" t="str">
        <f>HYPERLINK("https://ictv.global/taxonomy/taxondetails?taxnode_id=202316276","Fagihyuvirus pelenecus")</f>
        <v>Fagihyuvirus pelenecus</v>
      </c>
      <c r="S9311" s="18" t="s">
        <v>30</v>
      </c>
      <c r="T9311" s="18" t="s">
        <v>43033</v>
      </c>
      <c r="U9311" s="18"/>
      <c r="V9311" s="18"/>
      <c r="W9311" s="18" t="s">
        <v>43034</v>
      </c>
      <c r="X9311" s="18" t="s">
        <v>35</v>
      </c>
      <c r="Y9311" s="18" t="s">
        <v>17171</v>
      </c>
      <c r="Z9311" s="18" t="s">
        <v>24637</v>
      </c>
      <c r="AA9311" s="21" t="str">
        <f>HYPERLINK("https://www.ncbi.nlm.nih.gov/nuccore/CASDWV010004484","NCBI Nucleotide")</f>
        <v>NCBI Nucleotide</v>
      </c>
    </row>
    <row r="9312" spans="1:27" x14ac:dyDescent="0.35">
      <c r="A9312">
        <v>1009660</v>
      </c>
      <c r="B9312">
        <v>8637</v>
      </c>
      <c r="C9312">
        <v>1</v>
      </c>
      <c r="D9312" s="17" t="s">
        <v>17166</v>
      </c>
      <c r="E9312" s="17"/>
      <c r="F9312" s="17" t="s">
        <v>17246</v>
      </c>
      <c r="G9312" s="17"/>
      <c r="H9312" s="17" t="s">
        <v>20919</v>
      </c>
      <c r="I9312" s="17"/>
      <c r="J9312" s="17" t="s">
        <v>21313</v>
      </c>
      <c r="K9312" s="17"/>
      <c r="L9312" s="17" t="s">
        <v>21326</v>
      </c>
      <c r="M9312" s="17"/>
      <c r="N9312" s="17" t="s">
        <v>21577</v>
      </c>
      <c r="O9312" s="17"/>
      <c r="P9312" s="17" t="s">
        <v>21790</v>
      </c>
      <c r="Q9312" s="17"/>
      <c r="R9312" s="25" t="str">
        <f>HYPERLINK("https://ictv.global/taxonomy/taxondetails?taxnode_id=202310552","Fagihyuvirus tegeticola")</f>
        <v>Fagihyuvirus tegeticola</v>
      </c>
      <c r="S9312" s="18" t="s">
        <v>30</v>
      </c>
      <c r="T9312" s="18" t="s">
        <v>22090</v>
      </c>
      <c r="U9312" s="18"/>
      <c r="V9312" s="18"/>
      <c r="W9312" s="18" t="s">
        <v>22091</v>
      </c>
      <c r="X9312" s="18" t="s">
        <v>35</v>
      </c>
      <c r="Y9312" s="18" t="s">
        <v>17171</v>
      </c>
      <c r="Z9312" s="18" t="s">
        <v>697</v>
      </c>
      <c r="AA9312" s="21" t="str">
        <f>HYPERLINK("https://www.ncbi.nlm.nih.gov/nuccore/BK013366","NCBI Nucleotide")</f>
        <v>NCBI Nucleotide</v>
      </c>
    </row>
    <row r="9313" spans="1:27" x14ac:dyDescent="0.35">
      <c r="A9313">
        <v>1026273</v>
      </c>
      <c r="B9313">
        <v>8638</v>
      </c>
      <c r="C9313">
        <v>1</v>
      </c>
      <c r="D9313" s="17" t="s">
        <v>17166</v>
      </c>
      <c r="E9313" s="17"/>
      <c r="F9313" s="17" t="s">
        <v>17246</v>
      </c>
      <c r="G9313" s="17"/>
      <c r="H9313" s="17" t="s">
        <v>20919</v>
      </c>
      <c r="I9313" s="17"/>
      <c r="J9313" s="17" t="s">
        <v>21313</v>
      </c>
      <c r="K9313" s="17"/>
      <c r="L9313" s="17" t="s">
        <v>21326</v>
      </c>
      <c r="M9313" s="17"/>
      <c r="N9313" s="17" t="s">
        <v>21577</v>
      </c>
      <c r="O9313" s="17"/>
      <c r="P9313" s="17" t="s">
        <v>43035</v>
      </c>
      <c r="Q9313" s="17"/>
      <c r="R9313" s="25" t="str">
        <f>HYPERLINK("https://ictv.global/taxonomy/taxondetails?taxnode_id=202316277","Fenycovirus faecenecus")</f>
        <v>Fenycovirus faecenecus</v>
      </c>
      <c r="S9313" s="18" t="s">
        <v>30</v>
      </c>
      <c r="T9313" s="18" t="s">
        <v>43036</v>
      </c>
      <c r="U9313" s="18"/>
      <c r="V9313" s="18" t="s">
        <v>43036</v>
      </c>
      <c r="W9313" s="18" t="s">
        <v>43037</v>
      </c>
      <c r="X9313" s="18" t="s">
        <v>35</v>
      </c>
      <c r="Y9313" s="18" t="s">
        <v>17171</v>
      </c>
      <c r="Z9313" s="18" t="s">
        <v>24637</v>
      </c>
      <c r="AA9313" s="21" t="str">
        <f>HYPERLINK("https://www.ncbi.nlm.nih.gov/nuccore/MZ679633","NCBI Nucleotide")</f>
        <v>NCBI Nucleotide</v>
      </c>
    </row>
    <row r="9314" spans="1:27" x14ac:dyDescent="0.35">
      <c r="A9314">
        <v>1026111</v>
      </c>
      <c r="B9314">
        <v>8639</v>
      </c>
      <c r="C9314">
        <v>1</v>
      </c>
      <c r="D9314" s="17" t="s">
        <v>17166</v>
      </c>
      <c r="E9314" s="17"/>
      <c r="F9314" s="17" t="s">
        <v>17246</v>
      </c>
      <c r="G9314" s="17"/>
      <c r="H9314" s="17" t="s">
        <v>20919</v>
      </c>
      <c r="I9314" s="17"/>
      <c r="J9314" s="17" t="s">
        <v>21313</v>
      </c>
      <c r="K9314" s="17"/>
      <c r="L9314" s="17" t="s">
        <v>21326</v>
      </c>
      <c r="M9314" s="17"/>
      <c r="N9314" s="17" t="s">
        <v>21577</v>
      </c>
      <c r="O9314" s="17"/>
      <c r="P9314" s="17" t="s">
        <v>43038</v>
      </c>
      <c r="Q9314" s="17"/>
      <c r="R9314" s="25" t="str">
        <f>HYPERLINK("https://ictv.global/taxonomy/taxondetails?taxnode_id=202316278","Fihluvirus faecicola")</f>
        <v>Fihluvirus faecicola</v>
      </c>
      <c r="S9314" s="18" t="s">
        <v>30</v>
      </c>
      <c r="T9314" s="18" t="s">
        <v>43039</v>
      </c>
      <c r="U9314" s="18"/>
      <c r="V9314" s="18" t="s">
        <v>43039</v>
      </c>
      <c r="W9314" s="18" t="s">
        <v>43040</v>
      </c>
      <c r="X9314" s="18" t="s">
        <v>35</v>
      </c>
      <c r="Y9314" s="18" t="s">
        <v>17171</v>
      </c>
      <c r="Z9314" s="18" t="s">
        <v>24637</v>
      </c>
      <c r="AA9314" s="21" t="str">
        <f>HYPERLINK("https://www.ncbi.nlm.nih.gov/nuccore/MZ679766","NCBI Nucleotide")</f>
        <v>NCBI Nucleotide</v>
      </c>
    </row>
    <row r="9315" spans="1:27" x14ac:dyDescent="0.35">
      <c r="A9315">
        <v>1026112</v>
      </c>
      <c r="B9315">
        <v>8640</v>
      </c>
      <c r="C9315">
        <v>1</v>
      </c>
      <c r="D9315" s="17" t="s">
        <v>17166</v>
      </c>
      <c r="E9315" s="17"/>
      <c r="F9315" s="17" t="s">
        <v>17246</v>
      </c>
      <c r="G9315" s="17"/>
      <c r="H9315" s="17" t="s">
        <v>20919</v>
      </c>
      <c r="I9315" s="17"/>
      <c r="J9315" s="17" t="s">
        <v>21313</v>
      </c>
      <c r="K9315" s="17"/>
      <c r="L9315" s="17" t="s">
        <v>21326</v>
      </c>
      <c r="M9315" s="17"/>
      <c r="N9315" s="17" t="s">
        <v>21577</v>
      </c>
      <c r="O9315" s="17"/>
      <c r="P9315" s="17" t="s">
        <v>43038</v>
      </c>
      <c r="Q9315" s="17"/>
      <c r="R9315" s="25" t="str">
        <f>HYPERLINK("https://ictv.global/taxonomy/taxondetails?taxnode_id=202316279","Fihluvirus faecihabitans")</f>
        <v>Fihluvirus faecihabitans</v>
      </c>
      <c r="S9315" s="18" t="s">
        <v>30</v>
      </c>
      <c r="T9315" s="18" t="s">
        <v>43041</v>
      </c>
      <c r="U9315" s="18"/>
      <c r="V9315" s="18" t="s">
        <v>43041</v>
      </c>
      <c r="W9315" s="18" t="s">
        <v>43042</v>
      </c>
      <c r="X9315" s="18" t="s">
        <v>35</v>
      </c>
      <c r="Y9315" s="18" t="s">
        <v>17171</v>
      </c>
      <c r="Z9315" s="18" t="s">
        <v>24637</v>
      </c>
      <c r="AA9315" s="21" t="str">
        <f>HYPERLINK("https://www.ncbi.nlm.nih.gov/nuccore/MZ679779","NCBI Nucleotide")</f>
        <v>NCBI Nucleotide</v>
      </c>
    </row>
    <row r="9316" spans="1:27" x14ac:dyDescent="0.35">
      <c r="A9316">
        <v>1026122</v>
      </c>
      <c r="B9316">
        <v>8641</v>
      </c>
      <c r="C9316">
        <v>1</v>
      </c>
      <c r="D9316" s="17" t="s">
        <v>17166</v>
      </c>
      <c r="E9316" s="17"/>
      <c r="F9316" s="17" t="s">
        <v>17246</v>
      </c>
      <c r="G9316" s="17"/>
      <c r="H9316" s="17" t="s">
        <v>20919</v>
      </c>
      <c r="I9316" s="17"/>
      <c r="J9316" s="17" t="s">
        <v>21313</v>
      </c>
      <c r="K9316" s="17"/>
      <c r="L9316" s="17" t="s">
        <v>21326</v>
      </c>
      <c r="M9316" s="17"/>
      <c r="N9316" s="17" t="s">
        <v>21577</v>
      </c>
      <c r="O9316" s="17"/>
      <c r="P9316" s="17" t="s">
        <v>43043</v>
      </c>
      <c r="Q9316" s="17"/>
      <c r="R9316" s="25" t="str">
        <f>HYPERLINK("https://ictv.global/taxonomy/taxondetails?taxnode_id=202316280","Firnpuvirus faecenecus")</f>
        <v>Firnpuvirus faecenecus</v>
      </c>
      <c r="S9316" s="18" t="s">
        <v>30</v>
      </c>
      <c r="T9316" s="18" t="s">
        <v>43044</v>
      </c>
      <c r="U9316" s="18"/>
      <c r="V9316" s="18" t="s">
        <v>43044</v>
      </c>
      <c r="W9316" s="18" t="s">
        <v>43045</v>
      </c>
      <c r="X9316" s="18" t="s">
        <v>35</v>
      </c>
      <c r="Y9316" s="18" t="s">
        <v>17171</v>
      </c>
      <c r="Z9316" s="18" t="s">
        <v>24637</v>
      </c>
      <c r="AA9316" s="21" t="str">
        <f>HYPERLINK("https://www.ncbi.nlm.nih.gov/nuccore/MZ679589","NCBI Nucleotide")</f>
        <v>NCBI Nucleotide</v>
      </c>
    </row>
    <row r="9317" spans="1:27" x14ac:dyDescent="0.35">
      <c r="A9317">
        <v>1009541</v>
      </c>
      <c r="B9317">
        <v>8642</v>
      </c>
      <c r="C9317">
        <v>1</v>
      </c>
      <c r="D9317" s="17" t="s">
        <v>17166</v>
      </c>
      <c r="E9317" s="17"/>
      <c r="F9317" s="17" t="s">
        <v>17246</v>
      </c>
      <c r="G9317" s="17"/>
      <c r="H9317" s="17" t="s">
        <v>20919</v>
      </c>
      <c r="I9317" s="17"/>
      <c r="J9317" s="17" t="s">
        <v>21313</v>
      </c>
      <c r="K9317" s="17"/>
      <c r="L9317" s="17" t="s">
        <v>21326</v>
      </c>
      <c r="M9317" s="17"/>
      <c r="N9317" s="17" t="s">
        <v>21577</v>
      </c>
      <c r="O9317" s="17"/>
      <c r="P9317" s="17" t="s">
        <v>21793</v>
      </c>
      <c r="Q9317" s="17"/>
      <c r="R9317" s="25" t="str">
        <f>HYPERLINK("https://ictv.global/taxonomy/taxondetails?taxnode_id=202310356","Fiyodovirus limihabitans")</f>
        <v>Fiyodovirus limihabitans</v>
      </c>
      <c r="S9317" s="18" t="s">
        <v>30</v>
      </c>
      <c r="T9317" s="18" t="s">
        <v>21794</v>
      </c>
      <c r="U9317" s="18"/>
      <c r="V9317" s="18"/>
      <c r="W9317" s="18" t="s">
        <v>21795</v>
      </c>
      <c r="X9317" s="18" t="s">
        <v>35</v>
      </c>
      <c r="Y9317" s="18" t="s">
        <v>17171</v>
      </c>
      <c r="Z9317" s="18" t="s">
        <v>697</v>
      </c>
      <c r="AA9317" s="21" t="str">
        <f>HYPERLINK("https://www.ncbi.nlm.nih.gov/nuccore/BK014050","NCBI Nucleotide")</f>
        <v>NCBI Nucleotide</v>
      </c>
    </row>
    <row r="9318" spans="1:27" x14ac:dyDescent="0.35">
      <c r="A9318">
        <v>1026127</v>
      </c>
      <c r="B9318">
        <v>8643</v>
      </c>
      <c r="C9318">
        <v>1</v>
      </c>
      <c r="D9318" s="17" t="s">
        <v>17166</v>
      </c>
      <c r="E9318" s="17"/>
      <c r="F9318" s="17" t="s">
        <v>17246</v>
      </c>
      <c r="G9318" s="17"/>
      <c r="H9318" s="17" t="s">
        <v>20919</v>
      </c>
      <c r="I9318" s="17"/>
      <c r="J9318" s="17" t="s">
        <v>21313</v>
      </c>
      <c r="K9318" s="17"/>
      <c r="L9318" s="17" t="s">
        <v>21326</v>
      </c>
      <c r="M9318" s="17"/>
      <c r="N9318" s="17" t="s">
        <v>21577</v>
      </c>
      <c r="O9318" s="17"/>
      <c r="P9318" s="17" t="s">
        <v>43046</v>
      </c>
      <c r="Q9318" s="17"/>
      <c r="R9318" s="25" t="str">
        <f>HYPERLINK("https://ictv.global/taxonomy/taxondetails?taxnode_id=202316281","Flehknovirus faecenecus")</f>
        <v>Flehknovirus faecenecus</v>
      </c>
      <c r="S9318" s="18" t="s">
        <v>30</v>
      </c>
      <c r="T9318" s="18" t="s">
        <v>43047</v>
      </c>
      <c r="U9318" s="18"/>
      <c r="V9318" s="18" t="s">
        <v>43048</v>
      </c>
      <c r="W9318" s="18" t="s">
        <v>43049</v>
      </c>
      <c r="X9318" s="18" t="s">
        <v>35</v>
      </c>
      <c r="Y9318" s="18" t="s">
        <v>17171</v>
      </c>
      <c r="Z9318" s="18" t="s">
        <v>17413</v>
      </c>
      <c r="AA9318" s="21" t="str">
        <f>HYPERLINK("https://www.ncbi.nlm.nih.gov/nuccore/MZ679801","NCBI Nucleotide")</f>
        <v>NCBI Nucleotide</v>
      </c>
    </row>
    <row r="9319" spans="1:27" x14ac:dyDescent="0.35">
      <c r="A9319">
        <v>1026114</v>
      </c>
      <c r="B9319">
        <v>8644</v>
      </c>
      <c r="C9319">
        <v>1</v>
      </c>
      <c r="D9319" s="17" t="s">
        <v>17166</v>
      </c>
      <c r="E9319" s="17"/>
      <c r="F9319" s="17" t="s">
        <v>17246</v>
      </c>
      <c r="G9319" s="17"/>
      <c r="H9319" s="17" t="s">
        <v>20919</v>
      </c>
      <c r="I9319" s="17"/>
      <c r="J9319" s="17" t="s">
        <v>21313</v>
      </c>
      <c r="K9319" s="17"/>
      <c r="L9319" s="17" t="s">
        <v>21326</v>
      </c>
      <c r="M9319" s="17"/>
      <c r="N9319" s="17" t="s">
        <v>21577</v>
      </c>
      <c r="O9319" s="17"/>
      <c r="P9319" s="17" t="s">
        <v>43050</v>
      </c>
      <c r="Q9319" s="17"/>
      <c r="R9319" s="25" t="str">
        <f>HYPERLINK("https://ictv.global/taxonomy/taxondetails?taxnode_id=202316282","Frinctavirus faecadaptatum")</f>
        <v>Frinctavirus faecadaptatum</v>
      </c>
      <c r="S9319" s="18" t="s">
        <v>30</v>
      </c>
      <c r="T9319" s="18" t="s">
        <v>43051</v>
      </c>
      <c r="U9319" s="18"/>
      <c r="V9319" s="18" t="s">
        <v>43051</v>
      </c>
      <c r="W9319" s="18" t="s">
        <v>43052</v>
      </c>
      <c r="X9319" s="18" t="s">
        <v>35</v>
      </c>
      <c r="Y9319" s="18" t="s">
        <v>17171</v>
      </c>
      <c r="Z9319" s="18" t="s">
        <v>17413</v>
      </c>
      <c r="AA9319" s="21" t="str">
        <f>HYPERLINK("https://www.ncbi.nlm.nih.gov/nuccore/MZ679828","NCBI Nucleotide")</f>
        <v>NCBI Nucleotide</v>
      </c>
    </row>
    <row r="9320" spans="1:27" x14ac:dyDescent="0.35">
      <c r="A9320">
        <v>1026118</v>
      </c>
      <c r="B9320">
        <v>8645</v>
      </c>
      <c r="C9320">
        <v>1</v>
      </c>
      <c r="D9320" s="17" t="s">
        <v>17166</v>
      </c>
      <c r="E9320" s="17"/>
      <c r="F9320" s="17" t="s">
        <v>17246</v>
      </c>
      <c r="G9320" s="17"/>
      <c r="H9320" s="17" t="s">
        <v>20919</v>
      </c>
      <c r="I9320" s="17"/>
      <c r="J9320" s="17" t="s">
        <v>21313</v>
      </c>
      <c r="K9320" s="17"/>
      <c r="L9320" s="17" t="s">
        <v>21326</v>
      </c>
      <c r="M9320" s="17"/>
      <c r="N9320" s="17" t="s">
        <v>21577</v>
      </c>
      <c r="O9320" s="17"/>
      <c r="P9320" s="17" t="s">
        <v>43053</v>
      </c>
      <c r="Q9320" s="17"/>
      <c r="R9320" s="25" t="str">
        <f>HYPERLINK("https://ictv.global/taxonomy/taxondetails?taxnode_id=202316283","Fulbrouvirus dinebrivivens")</f>
        <v>Fulbrouvirus dinebrivivens</v>
      </c>
      <c r="S9320" s="18" t="s">
        <v>30</v>
      </c>
      <c r="T9320" s="18" t="s">
        <v>43054</v>
      </c>
      <c r="U9320" s="18"/>
      <c r="V9320" s="18" t="s">
        <v>43055</v>
      </c>
      <c r="W9320" s="18" t="s">
        <v>43056</v>
      </c>
      <c r="X9320" s="18" t="s">
        <v>35</v>
      </c>
      <c r="Y9320" s="18" t="s">
        <v>17171</v>
      </c>
      <c r="Z9320" s="18" t="s">
        <v>17336</v>
      </c>
      <c r="AA9320" s="21" t="str">
        <f>HYPERLINK("https://www.ncbi.nlm.nih.gov/nuccore/OM514455","NCBI Nucleotide")</f>
        <v>NCBI Nucleotide</v>
      </c>
    </row>
    <row r="9321" spans="1:27" x14ac:dyDescent="0.35">
      <c r="A9321">
        <v>1009543</v>
      </c>
      <c r="B9321">
        <v>8646</v>
      </c>
      <c r="C9321">
        <v>1</v>
      </c>
      <c r="D9321" s="17" t="s">
        <v>17166</v>
      </c>
      <c r="E9321" s="17"/>
      <c r="F9321" s="17" t="s">
        <v>17246</v>
      </c>
      <c r="G9321" s="17"/>
      <c r="H9321" s="17" t="s">
        <v>20919</v>
      </c>
      <c r="I9321" s="17"/>
      <c r="J9321" s="17" t="s">
        <v>21313</v>
      </c>
      <c r="K9321" s="17"/>
      <c r="L9321" s="17" t="s">
        <v>21326</v>
      </c>
      <c r="M9321" s="17"/>
      <c r="N9321" s="17" t="s">
        <v>21577</v>
      </c>
      <c r="O9321" s="17"/>
      <c r="P9321" s="17" t="s">
        <v>21798</v>
      </c>
      <c r="Q9321" s="17"/>
      <c r="R9321" s="25" t="str">
        <f>HYPERLINK("https://ictv.global/taxonomy/taxondetails?taxnode_id=202310360","Gahlovirus lutihabitans")</f>
        <v>Gahlovirus lutihabitans</v>
      </c>
      <c r="S9321" s="18" t="s">
        <v>30</v>
      </c>
      <c r="T9321" s="18" t="s">
        <v>21799</v>
      </c>
      <c r="U9321" s="18"/>
      <c r="V9321" s="18"/>
      <c r="W9321" s="18" t="s">
        <v>21800</v>
      </c>
      <c r="X9321" s="18" t="s">
        <v>35</v>
      </c>
      <c r="Y9321" s="18" t="s">
        <v>17171</v>
      </c>
      <c r="Z9321" s="18" t="s">
        <v>697</v>
      </c>
      <c r="AA9321" s="21" t="str">
        <f>HYPERLINK("https://www.ncbi.nlm.nih.gov/nuccore/BK013692","NCBI Nucleotide")</f>
        <v>NCBI Nucleotide</v>
      </c>
    </row>
    <row r="9322" spans="1:27" x14ac:dyDescent="0.35">
      <c r="A9322">
        <v>1026110</v>
      </c>
      <c r="B9322">
        <v>8647</v>
      </c>
      <c r="C9322">
        <v>1</v>
      </c>
      <c r="D9322" s="17" t="s">
        <v>17166</v>
      </c>
      <c r="E9322" s="17"/>
      <c r="F9322" s="17" t="s">
        <v>17246</v>
      </c>
      <c r="G9322" s="17"/>
      <c r="H9322" s="17" t="s">
        <v>20919</v>
      </c>
      <c r="I9322" s="17"/>
      <c r="J9322" s="17" t="s">
        <v>21313</v>
      </c>
      <c r="K9322" s="17"/>
      <c r="L9322" s="17" t="s">
        <v>21326</v>
      </c>
      <c r="M9322" s="17"/>
      <c r="N9322" s="17" t="s">
        <v>21577</v>
      </c>
      <c r="O9322" s="17"/>
      <c r="P9322" s="17" t="s">
        <v>43057</v>
      </c>
      <c r="Q9322" s="17"/>
      <c r="R9322" s="25" t="str">
        <f>HYPERLINK("https://ictv.global/taxonomy/taxondetails?taxnode_id=202316284","Galoycavirus dinebrenecus")</f>
        <v>Galoycavirus dinebrenecus</v>
      </c>
      <c r="S9322" s="18" t="s">
        <v>30</v>
      </c>
      <c r="T9322" s="18" t="s">
        <v>43058</v>
      </c>
      <c r="U9322" s="18"/>
      <c r="V9322" s="18" t="s">
        <v>43059</v>
      </c>
      <c r="W9322" s="18" t="s">
        <v>43060</v>
      </c>
      <c r="X9322" s="18" t="s">
        <v>35</v>
      </c>
      <c r="Y9322" s="18" t="s">
        <v>17171</v>
      </c>
      <c r="Z9322" s="18" t="s">
        <v>17336</v>
      </c>
      <c r="AA9322" s="21" t="str">
        <f>HYPERLINK("https://www.ncbi.nlm.nih.gov/nuccore/OM514518","NCBI Nucleotide")</f>
        <v>NCBI Nucleotide</v>
      </c>
    </row>
    <row r="9323" spans="1:27" x14ac:dyDescent="0.35">
      <c r="A9323">
        <v>1009544</v>
      </c>
      <c r="B9323">
        <v>8648</v>
      </c>
      <c r="C9323">
        <v>1</v>
      </c>
      <c r="D9323" s="17" t="s">
        <v>17166</v>
      </c>
      <c r="E9323" s="17"/>
      <c r="F9323" s="17" t="s">
        <v>17246</v>
      </c>
      <c r="G9323" s="17"/>
      <c r="H9323" s="17" t="s">
        <v>20919</v>
      </c>
      <c r="I9323" s="17"/>
      <c r="J9323" s="17" t="s">
        <v>21313</v>
      </c>
      <c r="K9323" s="17"/>
      <c r="L9323" s="17" t="s">
        <v>21326</v>
      </c>
      <c r="M9323" s="17"/>
      <c r="N9323" s="17" t="s">
        <v>21577</v>
      </c>
      <c r="O9323" s="17"/>
      <c r="P9323" s="17" t="s">
        <v>21801</v>
      </c>
      <c r="Q9323" s="17"/>
      <c r="R9323" s="25" t="str">
        <f>HYPERLINK("https://ictv.global/taxonomy/taxondetails?taxnode_id=202310362","Garovuvirus peladaptatum")</f>
        <v>Garovuvirus peladaptatum</v>
      </c>
      <c r="S9323" s="18" t="s">
        <v>30</v>
      </c>
      <c r="T9323" s="18" t="s">
        <v>21802</v>
      </c>
      <c r="U9323" s="18"/>
      <c r="V9323" s="18"/>
      <c r="W9323" s="18" t="s">
        <v>21803</v>
      </c>
      <c r="X9323" s="18" t="s">
        <v>35</v>
      </c>
      <c r="Y9323" s="18" t="s">
        <v>17171</v>
      </c>
      <c r="Z9323" s="18" t="s">
        <v>697</v>
      </c>
      <c r="AA9323" s="21" t="str">
        <f>HYPERLINK("https://www.ncbi.nlm.nih.gov/nuccore/BK013702","NCBI Nucleotide")</f>
        <v>NCBI Nucleotide</v>
      </c>
    </row>
    <row r="9324" spans="1:27" x14ac:dyDescent="0.35">
      <c r="A9324">
        <v>1009545</v>
      </c>
      <c r="B9324">
        <v>8649</v>
      </c>
      <c r="C9324">
        <v>1</v>
      </c>
      <c r="D9324" s="17" t="s">
        <v>17166</v>
      </c>
      <c r="E9324" s="17"/>
      <c r="F9324" s="17" t="s">
        <v>17246</v>
      </c>
      <c r="G9324" s="17"/>
      <c r="H9324" s="17" t="s">
        <v>20919</v>
      </c>
      <c r="I9324" s="17"/>
      <c r="J9324" s="17" t="s">
        <v>21313</v>
      </c>
      <c r="K9324" s="17"/>
      <c r="L9324" s="17" t="s">
        <v>21326</v>
      </c>
      <c r="M9324" s="17"/>
      <c r="N9324" s="17" t="s">
        <v>21577</v>
      </c>
      <c r="O9324" s="17"/>
      <c r="P9324" s="17" t="s">
        <v>21804</v>
      </c>
      <c r="Q9324" s="17"/>
      <c r="R9324" s="25" t="str">
        <f>HYPERLINK("https://ictv.global/taxonomy/taxondetails?taxnode_id=202310364","Gehnevirus pelenecus")</f>
        <v>Gehnevirus pelenecus</v>
      </c>
      <c r="S9324" s="18" t="s">
        <v>30</v>
      </c>
      <c r="T9324" s="18" t="s">
        <v>21805</v>
      </c>
      <c r="U9324" s="18"/>
      <c r="V9324" s="18"/>
      <c r="W9324" s="18" t="s">
        <v>21806</v>
      </c>
      <c r="X9324" s="18" t="s">
        <v>35</v>
      </c>
      <c r="Y9324" s="18" t="s">
        <v>17171</v>
      </c>
      <c r="Z9324" s="18" t="s">
        <v>697</v>
      </c>
      <c r="AA9324" s="21" t="str">
        <f>HYPERLINK("https://www.ncbi.nlm.nih.gov/nuccore/BK014088","NCBI Nucleotide")</f>
        <v>NCBI Nucleotide</v>
      </c>
    </row>
    <row r="9325" spans="1:27" x14ac:dyDescent="0.35">
      <c r="A9325">
        <v>1026146</v>
      </c>
      <c r="B9325">
        <v>8650</v>
      </c>
      <c r="C9325">
        <v>1</v>
      </c>
      <c r="D9325" s="17" t="s">
        <v>17166</v>
      </c>
      <c r="E9325" s="17"/>
      <c r="F9325" s="17" t="s">
        <v>17246</v>
      </c>
      <c r="G9325" s="17"/>
      <c r="H9325" s="17" t="s">
        <v>20919</v>
      </c>
      <c r="I9325" s="17"/>
      <c r="J9325" s="17" t="s">
        <v>21313</v>
      </c>
      <c r="K9325" s="17"/>
      <c r="L9325" s="17" t="s">
        <v>21326</v>
      </c>
      <c r="M9325" s="17"/>
      <c r="N9325" s="17" t="s">
        <v>21577</v>
      </c>
      <c r="O9325" s="17"/>
      <c r="P9325" s="17" t="s">
        <v>43061</v>
      </c>
      <c r="Q9325" s="17"/>
      <c r="R9325" s="25" t="str">
        <f>HYPERLINK("https://ictv.global/taxonomy/taxondetails?taxnode_id=202316285","Giydovirus dinebrivivens")</f>
        <v>Giydovirus dinebrivivens</v>
      </c>
      <c r="S9325" s="18" t="s">
        <v>30</v>
      </c>
      <c r="T9325" s="18" t="s">
        <v>43062</v>
      </c>
      <c r="U9325" s="18"/>
      <c r="V9325" s="18" t="s">
        <v>43063</v>
      </c>
      <c r="W9325" s="18" t="s">
        <v>43064</v>
      </c>
      <c r="X9325" s="18" t="s">
        <v>35</v>
      </c>
      <c r="Y9325" s="18" t="s">
        <v>17171</v>
      </c>
      <c r="Z9325" s="18" t="s">
        <v>17336</v>
      </c>
      <c r="AA9325" s="21" t="str">
        <f>HYPERLINK("https://www.ncbi.nlm.nih.gov/nuccore/OM514478","NCBI Nucleotide")</f>
        <v>NCBI Nucleotide</v>
      </c>
    </row>
    <row r="9326" spans="1:27" x14ac:dyDescent="0.35">
      <c r="A9326">
        <v>1009547</v>
      </c>
      <c r="B9326">
        <v>8651</v>
      </c>
      <c r="C9326">
        <v>1</v>
      </c>
      <c r="D9326" s="17" t="s">
        <v>17166</v>
      </c>
      <c r="E9326" s="17"/>
      <c r="F9326" s="17" t="s">
        <v>17246</v>
      </c>
      <c r="G9326" s="17"/>
      <c r="H9326" s="17" t="s">
        <v>20919</v>
      </c>
      <c r="I9326" s="17"/>
      <c r="J9326" s="17" t="s">
        <v>21313</v>
      </c>
      <c r="K9326" s="17"/>
      <c r="L9326" s="17" t="s">
        <v>21326</v>
      </c>
      <c r="M9326" s="17"/>
      <c r="N9326" s="17" t="s">
        <v>21577</v>
      </c>
      <c r="O9326" s="17"/>
      <c r="P9326" s="17" t="s">
        <v>21809</v>
      </c>
      <c r="Q9326" s="17"/>
      <c r="R9326" s="25" t="str">
        <f>HYPERLINK("https://ictv.global/taxonomy/taxondetails?taxnode_id=202310369","Glyciruvirus geovicinum")</f>
        <v>Glyciruvirus geovicinum</v>
      </c>
      <c r="S9326" s="18" t="s">
        <v>30</v>
      </c>
      <c r="T9326" s="18" t="s">
        <v>21810</v>
      </c>
      <c r="U9326" s="18"/>
      <c r="V9326" s="18"/>
      <c r="W9326" s="18" t="s">
        <v>21811</v>
      </c>
      <c r="X9326" s="18" t="s">
        <v>35</v>
      </c>
      <c r="Y9326" s="18" t="s">
        <v>17171</v>
      </c>
      <c r="Z9326" s="18" t="s">
        <v>697</v>
      </c>
      <c r="AA9326" s="21" t="str">
        <f>HYPERLINK("https://www.ncbi.nlm.nih.gov/nuccore/BK013847","NCBI Nucleotide")</f>
        <v>NCBI Nucleotide</v>
      </c>
    </row>
    <row r="9327" spans="1:27" x14ac:dyDescent="0.35">
      <c r="A9327">
        <v>1009548</v>
      </c>
      <c r="B9327">
        <v>8652</v>
      </c>
      <c r="C9327">
        <v>1</v>
      </c>
      <c r="D9327" s="17" t="s">
        <v>17166</v>
      </c>
      <c r="E9327" s="17"/>
      <c r="F9327" s="17" t="s">
        <v>17246</v>
      </c>
      <c r="G9327" s="17"/>
      <c r="H9327" s="17" t="s">
        <v>20919</v>
      </c>
      <c r="I9327" s="17"/>
      <c r="J9327" s="17" t="s">
        <v>21313</v>
      </c>
      <c r="K9327" s="17"/>
      <c r="L9327" s="17" t="s">
        <v>21326</v>
      </c>
      <c r="M9327" s="17"/>
      <c r="N9327" s="17" t="s">
        <v>21577</v>
      </c>
      <c r="O9327" s="17"/>
      <c r="P9327" s="17" t="s">
        <v>21809</v>
      </c>
      <c r="Q9327" s="17"/>
      <c r="R9327" s="25" t="str">
        <f>HYPERLINK("https://ictv.global/taxonomy/taxondetails?taxnode_id=202310368","Glyciruvirus geovivens")</f>
        <v>Glyciruvirus geovivens</v>
      </c>
      <c r="S9327" s="18" t="s">
        <v>30</v>
      </c>
      <c r="T9327" s="18" t="s">
        <v>21812</v>
      </c>
      <c r="U9327" s="18"/>
      <c r="V9327" s="18"/>
      <c r="W9327" s="18" t="s">
        <v>21813</v>
      </c>
      <c r="X9327" s="18" t="s">
        <v>35</v>
      </c>
      <c r="Y9327" s="18" t="s">
        <v>17171</v>
      </c>
      <c r="Z9327" s="18" t="s">
        <v>697</v>
      </c>
      <c r="AA9327" s="21" t="str">
        <f>HYPERLINK("https://www.ncbi.nlm.nih.gov/nuccore/BK013877","NCBI Nucleotide")</f>
        <v>NCBI Nucleotide</v>
      </c>
    </row>
    <row r="9328" spans="1:27" x14ac:dyDescent="0.35">
      <c r="A9328">
        <v>1009549</v>
      </c>
      <c r="B9328">
        <v>8653</v>
      </c>
      <c r="C9328">
        <v>1</v>
      </c>
      <c r="D9328" s="17" t="s">
        <v>17166</v>
      </c>
      <c r="E9328" s="17"/>
      <c r="F9328" s="17" t="s">
        <v>17246</v>
      </c>
      <c r="G9328" s="17"/>
      <c r="H9328" s="17" t="s">
        <v>20919</v>
      </c>
      <c r="I9328" s="17"/>
      <c r="J9328" s="17" t="s">
        <v>21313</v>
      </c>
      <c r="K9328" s="17"/>
      <c r="L9328" s="17" t="s">
        <v>21326</v>
      </c>
      <c r="M9328" s="17"/>
      <c r="N9328" s="17" t="s">
        <v>21577</v>
      </c>
      <c r="O9328" s="17"/>
      <c r="P9328" s="17" t="s">
        <v>21814</v>
      </c>
      <c r="Q9328" s="17"/>
      <c r="R9328" s="25" t="str">
        <f>HYPERLINK("https://ictv.global/taxonomy/taxondetails?taxnode_id=202310371","Gmuhndevirus pelovivens")</f>
        <v>Gmuhndevirus pelovivens</v>
      </c>
      <c r="S9328" s="18" t="s">
        <v>30</v>
      </c>
      <c r="T9328" s="18" t="s">
        <v>21815</v>
      </c>
      <c r="U9328" s="18"/>
      <c r="V9328" s="18"/>
      <c r="W9328" s="18" t="s">
        <v>21816</v>
      </c>
      <c r="X9328" s="18" t="s">
        <v>35</v>
      </c>
      <c r="Y9328" s="18" t="s">
        <v>17171</v>
      </c>
      <c r="Z9328" s="18" t="s">
        <v>697</v>
      </c>
      <c r="AA9328" s="21" t="str">
        <f>HYPERLINK("https://www.ncbi.nlm.nih.gov/nuccore/BK014079","NCBI Nucleotide")</f>
        <v>NCBI Nucleotide</v>
      </c>
    </row>
    <row r="9329" spans="1:27" x14ac:dyDescent="0.35">
      <c r="A9329">
        <v>1009550</v>
      </c>
      <c r="B9329">
        <v>8654</v>
      </c>
      <c r="C9329">
        <v>1</v>
      </c>
      <c r="D9329" s="17" t="s">
        <v>17166</v>
      </c>
      <c r="E9329" s="17"/>
      <c r="F9329" s="17" t="s">
        <v>17246</v>
      </c>
      <c r="G9329" s="17"/>
      <c r="H9329" s="17" t="s">
        <v>20919</v>
      </c>
      <c r="I9329" s="17"/>
      <c r="J9329" s="17" t="s">
        <v>21313</v>
      </c>
      <c r="K9329" s="17"/>
      <c r="L9329" s="17" t="s">
        <v>21326</v>
      </c>
      <c r="M9329" s="17"/>
      <c r="N9329" s="17" t="s">
        <v>21577</v>
      </c>
      <c r="O9329" s="17"/>
      <c r="P9329" s="17" t="s">
        <v>21817</v>
      </c>
      <c r="Q9329" s="17"/>
      <c r="R9329" s="25" t="str">
        <f>HYPERLINK("https://ictv.global/taxonomy/taxondetails?taxnode_id=202310373","Gorodievirus telluradaptatum")</f>
        <v>Gorodievirus telluradaptatum</v>
      </c>
      <c r="S9329" s="18" t="s">
        <v>30</v>
      </c>
      <c r="T9329" s="18" t="s">
        <v>21818</v>
      </c>
      <c r="U9329" s="18"/>
      <c r="V9329" s="18"/>
      <c r="W9329" s="18" t="s">
        <v>21819</v>
      </c>
      <c r="X9329" s="18" t="s">
        <v>35</v>
      </c>
      <c r="Y9329" s="18" t="s">
        <v>17171</v>
      </c>
      <c r="Z9329" s="18" t="s">
        <v>697</v>
      </c>
      <c r="AA9329" s="21" t="str">
        <f>HYPERLINK("https://www.ncbi.nlm.nih.gov/nuccore/BK013405","NCBI Nucleotide")</f>
        <v>NCBI Nucleotide</v>
      </c>
    </row>
    <row r="9330" spans="1:27" x14ac:dyDescent="0.35">
      <c r="A9330">
        <v>1026166</v>
      </c>
      <c r="B9330">
        <v>8655</v>
      </c>
      <c r="C9330">
        <v>1</v>
      </c>
      <c r="D9330" s="17" t="s">
        <v>17166</v>
      </c>
      <c r="E9330" s="17"/>
      <c r="F9330" s="17" t="s">
        <v>17246</v>
      </c>
      <c r="G9330" s="17"/>
      <c r="H9330" s="17" t="s">
        <v>20919</v>
      </c>
      <c r="I9330" s="17"/>
      <c r="J9330" s="17" t="s">
        <v>21313</v>
      </c>
      <c r="K9330" s="17"/>
      <c r="L9330" s="17" t="s">
        <v>21326</v>
      </c>
      <c r="M9330" s="17"/>
      <c r="N9330" s="17" t="s">
        <v>21577</v>
      </c>
      <c r="O9330" s="17"/>
      <c r="P9330" s="17" t="s">
        <v>43065</v>
      </c>
      <c r="Q9330" s="17"/>
      <c r="R9330" s="25" t="str">
        <f>HYPERLINK("https://ictv.global/taxonomy/taxondetails?taxnode_id=202316286","Grandpovirus leersiivivens")</f>
        <v>Grandpovirus leersiivivens</v>
      </c>
      <c r="S9330" s="18" t="s">
        <v>30</v>
      </c>
      <c r="T9330" s="18" t="s">
        <v>43066</v>
      </c>
      <c r="U9330" s="18"/>
      <c r="V9330" s="18" t="s">
        <v>43067</v>
      </c>
      <c r="W9330" s="18" t="s">
        <v>43068</v>
      </c>
      <c r="X9330" s="18" t="s">
        <v>35</v>
      </c>
      <c r="Y9330" s="18" t="s">
        <v>17171</v>
      </c>
      <c r="Z9330" s="18" t="s">
        <v>17336</v>
      </c>
      <c r="AA9330" s="21" t="str">
        <f>HYPERLINK("https://www.ncbi.nlm.nih.gov/nuccore/OM514486","NCBI Nucleotide")</f>
        <v>NCBI Nucleotide</v>
      </c>
    </row>
    <row r="9331" spans="1:27" x14ac:dyDescent="0.35">
      <c r="A9331">
        <v>1026168</v>
      </c>
      <c r="B9331">
        <v>8656</v>
      </c>
      <c r="C9331">
        <v>1</v>
      </c>
      <c r="D9331" s="17" t="s">
        <v>17166</v>
      </c>
      <c r="E9331" s="17"/>
      <c r="F9331" s="17" t="s">
        <v>17246</v>
      </c>
      <c r="G9331" s="17"/>
      <c r="H9331" s="17" t="s">
        <v>20919</v>
      </c>
      <c r="I9331" s="17"/>
      <c r="J9331" s="17" t="s">
        <v>21313</v>
      </c>
      <c r="K9331" s="17"/>
      <c r="L9331" s="17" t="s">
        <v>21326</v>
      </c>
      <c r="M9331" s="17"/>
      <c r="N9331" s="17" t="s">
        <v>21577</v>
      </c>
      <c r="O9331" s="17"/>
      <c r="P9331" s="17" t="s">
        <v>43069</v>
      </c>
      <c r="Q9331" s="17"/>
      <c r="R9331" s="25" t="str">
        <f>HYPERLINK("https://ictv.global/taxonomy/taxondetails?taxnode_id=202316287","Greatevirus pontederiicola")</f>
        <v>Greatevirus pontederiicola</v>
      </c>
      <c r="S9331" s="18" t="s">
        <v>30</v>
      </c>
      <c r="T9331" s="18" t="s">
        <v>43070</v>
      </c>
      <c r="U9331" s="18"/>
      <c r="V9331" s="18" t="s">
        <v>43071</v>
      </c>
      <c r="W9331" s="18" t="s">
        <v>43072</v>
      </c>
      <c r="X9331" s="18" t="s">
        <v>35</v>
      </c>
      <c r="Y9331" s="18" t="s">
        <v>17171</v>
      </c>
      <c r="Z9331" s="18" t="s">
        <v>17336</v>
      </c>
      <c r="AA9331" s="21" t="str">
        <f>HYPERLINK("https://www.ncbi.nlm.nih.gov/nuccore/OM514493","NCBI Nucleotide")</f>
        <v>NCBI Nucleotide</v>
      </c>
    </row>
    <row r="9332" spans="1:27" x14ac:dyDescent="0.35">
      <c r="A9332">
        <v>1026169</v>
      </c>
      <c r="B9332">
        <v>8657</v>
      </c>
      <c r="C9332">
        <v>1</v>
      </c>
      <c r="D9332" s="17" t="s">
        <v>17166</v>
      </c>
      <c r="E9332" s="17"/>
      <c r="F9332" s="17" t="s">
        <v>17246</v>
      </c>
      <c r="G9332" s="17"/>
      <c r="H9332" s="17" t="s">
        <v>20919</v>
      </c>
      <c r="I9332" s="17"/>
      <c r="J9332" s="17" t="s">
        <v>21313</v>
      </c>
      <c r="K9332" s="17"/>
      <c r="L9332" s="17" t="s">
        <v>21326</v>
      </c>
      <c r="M9332" s="17"/>
      <c r="N9332" s="17" t="s">
        <v>21577</v>
      </c>
      <c r="O9332" s="17"/>
      <c r="P9332" s="17" t="s">
        <v>43073</v>
      </c>
      <c r="Q9332" s="17"/>
      <c r="R9332" s="25" t="str">
        <f>HYPERLINK("https://ictv.global/taxonomy/taxondetails?taxnode_id=202316288","Greatpavirus dinebrihabitans")</f>
        <v>Greatpavirus dinebrihabitans</v>
      </c>
      <c r="S9332" s="18" t="s">
        <v>30</v>
      </c>
      <c r="T9332" s="18" t="s">
        <v>43074</v>
      </c>
      <c r="U9332" s="18"/>
      <c r="V9332" s="18" t="s">
        <v>43075</v>
      </c>
      <c r="W9332" s="18" t="s">
        <v>43076</v>
      </c>
      <c r="X9332" s="18" t="s">
        <v>35</v>
      </c>
      <c r="Y9332" s="18" t="s">
        <v>17171</v>
      </c>
      <c r="Z9332" s="18" t="s">
        <v>17336</v>
      </c>
      <c r="AA9332" s="21" t="str">
        <f>HYPERLINK("https://www.ncbi.nlm.nih.gov/nuccore/OM514504","NCBI Nucleotide")</f>
        <v>NCBI Nucleotide</v>
      </c>
    </row>
    <row r="9333" spans="1:27" x14ac:dyDescent="0.35">
      <c r="A9333">
        <v>1026176</v>
      </c>
      <c r="B9333">
        <v>8658</v>
      </c>
      <c r="C9333">
        <v>1</v>
      </c>
      <c r="D9333" s="17" t="s">
        <v>17166</v>
      </c>
      <c r="E9333" s="17"/>
      <c r="F9333" s="17" t="s">
        <v>17246</v>
      </c>
      <c r="G9333" s="17"/>
      <c r="H9333" s="17" t="s">
        <v>20919</v>
      </c>
      <c r="I9333" s="17"/>
      <c r="J9333" s="17" t="s">
        <v>21313</v>
      </c>
      <c r="K9333" s="17"/>
      <c r="L9333" s="17" t="s">
        <v>21326</v>
      </c>
      <c r="M9333" s="17"/>
      <c r="N9333" s="17" t="s">
        <v>21577</v>
      </c>
      <c r="O9333" s="17"/>
      <c r="P9333" s="17" t="s">
        <v>43077</v>
      </c>
      <c r="Q9333" s="17"/>
      <c r="R9333" s="25" t="str">
        <f>HYPERLINK("https://ictv.global/taxonomy/taxondetails?taxnode_id=202316289","Grehavirus dinebrivicinum")</f>
        <v>Grehavirus dinebrivicinum</v>
      </c>
      <c r="S9333" s="18" t="s">
        <v>30</v>
      </c>
      <c r="T9333" s="18" t="s">
        <v>43078</v>
      </c>
      <c r="U9333" s="18"/>
      <c r="V9333" s="18" t="s">
        <v>43079</v>
      </c>
      <c r="W9333" s="18" t="s">
        <v>43080</v>
      </c>
      <c r="X9333" s="18" t="s">
        <v>35</v>
      </c>
      <c r="Y9333" s="18" t="s">
        <v>17171</v>
      </c>
      <c r="Z9333" s="18" t="s">
        <v>17336</v>
      </c>
      <c r="AA9333" s="21" t="str">
        <f>HYPERLINK("https://www.ncbi.nlm.nih.gov/nuccore/OM514514","NCBI Nucleotide")</f>
        <v>NCBI Nucleotide</v>
      </c>
    </row>
    <row r="9334" spans="1:27" x14ac:dyDescent="0.35">
      <c r="A9334">
        <v>1026179</v>
      </c>
      <c r="B9334">
        <v>8659</v>
      </c>
      <c r="C9334">
        <v>1</v>
      </c>
      <c r="D9334" s="17" t="s">
        <v>17166</v>
      </c>
      <c r="E9334" s="17"/>
      <c r="F9334" s="17" t="s">
        <v>17246</v>
      </c>
      <c r="G9334" s="17"/>
      <c r="H9334" s="17" t="s">
        <v>20919</v>
      </c>
      <c r="I9334" s="17"/>
      <c r="J9334" s="17" t="s">
        <v>21313</v>
      </c>
      <c r="K9334" s="17"/>
      <c r="L9334" s="17" t="s">
        <v>21326</v>
      </c>
      <c r="M9334" s="17"/>
      <c r="N9334" s="17" t="s">
        <v>21577</v>
      </c>
      <c r="O9334" s="17"/>
      <c r="P9334" s="17" t="s">
        <v>43081</v>
      </c>
      <c r="Q9334" s="17"/>
      <c r="R9334" s="25" t="str">
        <f>HYPERLINK("https://ictv.global/taxonomy/taxondetails?taxnode_id=202316290","Grendovirus dinebricola")</f>
        <v>Grendovirus dinebricola</v>
      </c>
      <c r="S9334" s="18" t="s">
        <v>30</v>
      </c>
      <c r="T9334" s="18" t="s">
        <v>43082</v>
      </c>
      <c r="U9334" s="18"/>
      <c r="V9334" s="18" t="s">
        <v>43083</v>
      </c>
      <c r="W9334" s="18" t="s">
        <v>43084</v>
      </c>
      <c r="X9334" s="18" t="s">
        <v>35</v>
      </c>
      <c r="Y9334" s="18" t="s">
        <v>17171</v>
      </c>
      <c r="Z9334" s="18" t="s">
        <v>17336</v>
      </c>
      <c r="AA9334" s="21" t="str">
        <f>HYPERLINK("https://www.ncbi.nlm.nih.gov/nuccore/OM514517","NCBI Nucleotide")</f>
        <v>NCBI Nucleotide</v>
      </c>
    </row>
    <row r="9335" spans="1:27" x14ac:dyDescent="0.35">
      <c r="A9335">
        <v>1009551</v>
      </c>
      <c r="B9335">
        <v>8660</v>
      </c>
      <c r="C9335">
        <v>1</v>
      </c>
      <c r="D9335" s="17" t="s">
        <v>17166</v>
      </c>
      <c r="E9335" s="17"/>
      <c r="F9335" s="17" t="s">
        <v>17246</v>
      </c>
      <c r="G9335" s="17"/>
      <c r="H9335" s="17" t="s">
        <v>20919</v>
      </c>
      <c r="I9335" s="17"/>
      <c r="J9335" s="17" t="s">
        <v>21313</v>
      </c>
      <c r="K9335" s="17"/>
      <c r="L9335" s="17" t="s">
        <v>21326</v>
      </c>
      <c r="M9335" s="17"/>
      <c r="N9335" s="17" t="s">
        <v>21577</v>
      </c>
      <c r="O9335" s="17"/>
      <c r="P9335" s="17" t="s">
        <v>21820</v>
      </c>
      <c r="Q9335" s="17"/>
      <c r="R9335" s="25" t="str">
        <f>HYPERLINK("https://ictv.global/taxonomy/taxondetails?taxnode_id=202310375","Grendvuvirus asiocola")</f>
        <v>Grendvuvirus asiocola</v>
      </c>
      <c r="S9335" s="18" t="s">
        <v>30</v>
      </c>
      <c r="T9335" s="18" t="s">
        <v>21821</v>
      </c>
      <c r="U9335" s="18"/>
      <c r="V9335" s="18"/>
      <c r="W9335" s="18" t="s">
        <v>21822</v>
      </c>
      <c r="X9335" s="18" t="s">
        <v>35</v>
      </c>
      <c r="Y9335" s="18" t="s">
        <v>17171</v>
      </c>
      <c r="Z9335" s="18" t="s">
        <v>697</v>
      </c>
      <c r="AA9335" s="21" t="str">
        <f>HYPERLINK("https://www.ncbi.nlm.nih.gov/nuccore/BK014096","NCBI Nucleotide")</f>
        <v>NCBI Nucleotide</v>
      </c>
    </row>
    <row r="9336" spans="1:27" x14ac:dyDescent="0.35">
      <c r="A9336">
        <v>1009552</v>
      </c>
      <c r="B9336">
        <v>8661</v>
      </c>
      <c r="C9336">
        <v>1</v>
      </c>
      <c r="D9336" s="17" t="s">
        <v>17166</v>
      </c>
      <c r="E9336" s="17"/>
      <c r="F9336" s="17" t="s">
        <v>17246</v>
      </c>
      <c r="G9336" s="17"/>
      <c r="H9336" s="17" t="s">
        <v>20919</v>
      </c>
      <c r="I9336" s="17"/>
      <c r="J9336" s="17" t="s">
        <v>21313</v>
      </c>
      <c r="K9336" s="17"/>
      <c r="L9336" s="17" t="s">
        <v>21326</v>
      </c>
      <c r="M9336" s="17"/>
      <c r="N9336" s="17" t="s">
        <v>21577</v>
      </c>
      <c r="O9336" s="17"/>
      <c r="P9336" s="17" t="s">
        <v>21823</v>
      </c>
      <c r="Q9336" s="17"/>
      <c r="R9336" s="25" t="str">
        <f>HYPERLINK("https://ictv.global/taxonomy/taxondetails?taxnode_id=202310377","Gunawavirus borboradaptatum")</f>
        <v>Gunawavirus borboradaptatum</v>
      </c>
      <c r="S9336" s="18" t="s">
        <v>30</v>
      </c>
      <c r="T9336" s="18" t="s">
        <v>21824</v>
      </c>
      <c r="U9336" s="18"/>
      <c r="V9336" s="18"/>
      <c r="W9336" s="18" t="s">
        <v>21825</v>
      </c>
      <c r="X9336" s="18" t="s">
        <v>35</v>
      </c>
      <c r="Y9336" s="18" t="s">
        <v>17171</v>
      </c>
      <c r="Z9336" s="18" t="s">
        <v>697</v>
      </c>
      <c r="AA9336" s="21" t="str">
        <f>HYPERLINK("https://www.ncbi.nlm.nih.gov/nuccore/BK013739","NCBI Nucleotide")</f>
        <v>NCBI Nucleotide</v>
      </c>
    </row>
    <row r="9337" spans="1:27" x14ac:dyDescent="0.35">
      <c r="A9337">
        <v>1009474</v>
      </c>
      <c r="B9337">
        <v>8662</v>
      </c>
      <c r="C9337">
        <v>1</v>
      </c>
      <c r="D9337" s="17" t="s">
        <v>17166</v>
      </c>
      <c r="E9337" s="17"/>
      <c r="F9337" s="17" t="s">
        <v>17246</v>
      </c>
      <c r="G9337" s="17"/>
      <c r="H9337" s="17" t="s">
        <v>20919</v>
      </c>
      <c r="I9337" s="17"/>
      <c r="J9337" s="17" t="s">
        <v>21313</v>
      </c>
      <c r="K9337" s="17"/>
      <c r="L9337" s="17" t="s">
        <v>21326</v>
      </c>
      <c r="M9337" s="17"/>
      <c r="N9337" s="17" t="s">
        <v>21577</v>
      </c>
      <c r="O9337" s="17"/>
      <c r="P9337" s="17" t="s">
        <v>43085</v>
      </c>
      <c r="Q9337" s="17"/>
      <c r="R9337" s="25" t="str">
        <f>HYPERLINK("https://ictv.global/taxonomy/taxondetails?taxnode_id=202310261","Haeldovirus asiohabitans")</f>
        <v>Haeldovirus asiohabitans</v>
      </c>
      <c r="S9337" s="18" t="s">
        <v>30</v>
      </c>
      <c r="T9337" s="18" t="s">
        <v>21636</v>
      </c>
      <c r="U9337" s="18"/>
      <c r="V9337" s="18"/>
      <c r="W9337" s="18" t="s">
        <v>21637</v>
      </c>
      <c r="X9337" s="18" t="s">
        <v>35</v>
      </c>
      <c r="Y9337" s="18" t="s">
        <v>17171</v>
      </c>
      <c r="Z9337" s="18" t="s">
        <v>697</v>
      </c>
      <c r="AA9337" s="21" t="str">
        <f>HYPERLINK("https://www.ncbi.nlm.nih.gov/nuccore/BK013583","NCBI Nucleotide")</f>
        <v>NCBI Nucleotide</v>
      </c>
    </row>
    <row r="9338" spans="1:27" x14ac:dyDescent="0.35">
      <c r="A9338">
        <v>1009477</v>
      </c>
      <c r="B9338">
        <v>8663</v>
      </c>
      <c r="C9338">
        <v>1</v>
      </c>
      <c r="D9338" s="17" t="s">
        <v>17166</v>
      </c>
      <c r="E9338" s="17"/>
      <c r="F9338" s="17" t="s">
        <v>17246</v>
      </c>
      <c r="G9338" s="17"/>
      <c r="H9338" s="17" t="s">
        <v>20919</v>
      </c>
      <c r="I9338" s="17"/>
      <c r="J9338" s="17" t="s">
        <v>21313</v>
      </c>
      <c r="K9338" s="17"/>
      <c r="L9338" s="17" t="s">
        <v>21326</v>
      </c>
      <c r="M9338" s="17"/>
      <c r="N9338" s="17" t="s">
        <v>21577</v>
      </c>
      <c r="O9338" s="17"/>
      <c r="P9338" s="17" t="s">
        <v>43085</v>
      </c>
      <c r="Q9338" s="17"/>
      <c r="R9338" s="25" t="str">
        <f>HYPERLINK("https://ictv.global/taxonomy/taxondetails?taxnode_id=202310263","Haeldovirus borboradaptatum")</f>
        <v>Haeldovirus borboradaptatum</v>
      </c>
      <c r="S9338" s="18" t="s">
        <v>30</v>
      </c>
      <c r="T9338" s="18" t="s">
        <v>21642</v>
      </c>
      <c r="U9338" s="18"/>
      <c r="V9338" s="18"/>
      <c r="W9338" s="18" t="s">
        <v>21643</v>
      </c>
      <c r="X9338" s="18" t="s">
        <v>35</v>
      </c>
      <c r="Y9338" s="18" t="s">
        <v>17171</v>
      </c>
      <c r="Z9338" s="18" t="s">
        <v>697</v>
      </c>
      <c r="AA9338" s="21" t="str">
        <f>HYPERLINK("https://www.ncbi.nlm.nih.gov/nuccore/BK013602","NCBI Nucleotide")</f>
        <v>NCBI Nucleotide</v>
      </c>
    </row>
    <row r="9339" spans="1:27" x14ac:dyDescent="0.35">
      <c r="A9339">
        <v>1026274</v>
      </c>
      <c r="B9339">
        <v>8664</v>
      </c>
      <c r="C9339">
        <v>1</v>
      </c>
      <c r="D9339" s="17" t="s">
        <v>17166</v>
      </c>
      <c r="E9339" s="17"/>
      <c r="F9339" s="17" t="s">
        <v>17246</v>
      </c>
      <c r="G9339" s="17"/>
      <c r="H9339" s="17" t="s">
        <v>20919</v>
      </c>
      <c r="I9339" s="17"/>
      <c r="J9339" s="17" t="s">
        <v>21313</v>
      </c>
      <c r="K9339" s="17"/>
      <c r="L9339" s="17" t="s">
        <v>21326</v>
      </c>
      <c r="M9339" s="17"/>
      <c r="N9339" s="17" t="s">
        <v>21577</v>
      </c>
      <c r="O9339" s="17"/>
      <c r="P9339" s="17" t="s">
        <v>43085</v>
      </c>
      <c r="Q9339" s="17"/>
      <c r="R9339" s="25" t="str">
        <f>HYPERLINK("https://ictv.global/taxonomy/taxondetails?taxnode_id=202316291","Haeldovirus dinebrenecus")</f>
        <v>Haeldovirus dinebrenecus</v>
      </c>
      <c r="S9339" s="18" t="s">
        <v>30</v>
      </c>
      <c r="T9339" s="18" t="s">
        <v>43086</v>
      </c>
      <c r="U9339" s="18"/>
      <c r="V9339" s="18" t="s">
        <v>43087</v>
      </c>
      <c r="W9339" s="18" t="s">
        <v>43088</v>
      </c>
      <c r="X9339" s="18" t="s">
        <v>35</v>
      </c>
      <c r="Y9339" s="18" t="s">
        <v>17171</v>
      </c>
      <c r="Z9339" s="18" t="s">
        <v>17336</v>
      </c>
      <c r="AA9339" s="21" t="str">
        <f>HYPERLINK("https://www.ncbi.nlm.nih.gov/nuccore/OM514476","NCBI Nucleotide")</f>
        <v>NCBI Nucleotide</v>
      </c>
    </row>
    <row r="9340" spans="1:27" x14ac:dyDescent="0.35">
      <c r="A9340">
        <v>1009553</v>
      </c>
      <c r="B9340">
        <v>8665</v>
      </c>
      <c r="C9340">
        <v>1</v>
      </c>
      <c r="D9340" s="17" t="s">
        <v>17166</v>
      </c>
      <c r="E9340" s="17"/>
      <c r="F9340" s="17" t="s">
        <v>17246</v>
      </c>
      <c r="G9340" s="17"/>
      <c r="H9340" s="17" t="s">
        <v>20919</v>
      </c>
      <c r="I9340" s="17"/>
      <c r="J9340" s="17" t="s">
        <v>21313</v>
      </c>
      <c r="K9340" s="17"/>
      <c r="L9340" s="17" t="s">
        <v>21326</v>
      </c>
      <c r="M9340" s="17"/>
      <c r="N9340" s="17" t="s">
        <v>21577</v>
      </c>
      <c r="O9340" s="17"/>
      <c r="P9340" s="17" t="s">
        <v>21826</v>
      </c>
      <c r="Q9340" s="17"/>
      <c r="R9340" s="25" t="str">
        <f>HYPERLINK("https://ictv.global/taxonomy/taxondetails?taxnode_id=202310379","Hagavirus psychrophilum")</f>
        <v>Hagavirus psychrophilum</v>
      </c>
      <c r="S9340" s="18" t="s">
        <v>30</v>
      </c>
      <c r="T9340" s="18" t="s">
        <v>21827</v>
      </c>
      <c r="U9340" s="18"/>
      <c r="V9340" s="18"/>
      <c r="W9340" s="18" t="s">
        <v>21828</v>
      </c>
      <c r="X9340" s="18" t="s">
        <v>42</v>
      </c>
      <c r="Y9340" s="18" t="s">
        <v>17171</v>
      </c>
      <c r="Z9340" s="18" t="s">
        <v>697</v>
      </c>
      <c r="AA9340" s="21" t="str">
        <f>HYPERLINK("https://www.ncbi.nlm.nih.gov/nuccore/JX045650","NCBI Nucleotide")</f>
        <v>NCBI Nucleotide</v>
      </c>
    </row>
    <row r="9341" spans="1:27" x14ac:dyDescent="0.35">
      <c r="A9341">
        <v>1009554</v>
      </c>
      <c r="B9341">
        <v>8666</v>
      </c>
      <c r="C9341">
        <v>1</v>
      </c>
      <c r="D9341" s="17" t="s">
        <v>17166</v>
      </c>
      <c r="E9341" s="17"/>
      <c r="F9341" s="17" t="s">
        <v>17246</v>
      </c>
      <c r="G9341" s="17"/>
      <c r="H9341" s="17" t="s">
        <v>20919</v>
      </c>
      <c r="I9341" s="17"/>
      <c r="J9341" s="17" t="s">
        <v>21313</v>
      </c>
      <c r="K9341" s="17"/>
      <c r="L9341" s="17" t="s">
        <v>21326</v>
      </c>
      <c r="M9341" s="17"/>
      <c r="N9341" s="17" t="s">
        <v>21577</v>
      </c>
      <c r="O9341" s="17"/>
      <c r="P9341" s="17" t="s">
        <v>21829</v>
      </c>
      <c r="Q9341" s="17"/>
      <c r="R9341" s="25" t="str">
        <f>HYPERLINK("https://ictv.global/taxonomy/taxondetails?taxnode_id=202310381","Hahdsevirus borborenecus")</f>
        <v>Hahdsevirus borborenecus</v>
      </c>
      <c r="S9341" s="18" t="s">
        <v>30</v>
      </c>
      <c r="T9341" s="18" t="s">
        <v>21830</v>
      </c>
      <c r="U9341" s="18"/>
      <c r="V9341" s="18"/>
      <c r="W9341" s="18" t="s">
        <v>21831</v>
      </c>
      <c r="X9341" s="18" t="s">
        <v>35</v>
      </c>
      <c r="Y9341" s="18" t="s">
        <v>17171</v>
      </c>
      <c r="Z9341" s="18" t="s">
        <v>697</v>
      </c>
      <c r="AA9341" s="21" t="str">
        <f>HYPERLINK("https://www.ncbi.nlm.nih.gov/nuccore/BK013616","NCBI Nucleotide")</f>
        <v>NCBI Nucleotide</v>
      </c>
    </row>
    <row r="9342" spans="1:27" x14ac:dyDescent="0.35">
      <c r="A9342">
        <v>1026267</v>
      </c>
      <c r="B9342">
        <v>8667</v>
      </c>
      <c r="C9342">
        <v>1</v>
      </c>
      <c r="D9342" s="17" t="s">
        <v>17166</v>
      </c>
      <c r="E9342" s="17"/>
      <c r="F9342" s="17" t="s">
        <v>17246</v>
      </c>
      <c r="G9342" s="17"/>
      <c r="H9342" s="17" t="s">
        <v>20919</v>
      </c>
      <c r="I9342" s="17"/>
      <c r="J9342" s="17" t="s">
        <v>21313</v>
      </c>
      <c r="K9342" s="17"/>
      <c r="L9342" s="17" t="s">
        <v>21326</v>
      </c>
      <c r="M9342" s="17"/>
      <c r="N9342" s="17" t="s">
        <v>21577</v>
      </c>
      <c r="O9342" s="17"/>
      <c r="P9342" s="17" t="s">
        <v>43089</v>
      </c>
      <c r="Q9342" s="17"/>
      <c r="R9342" s="25" t="str">
        <f>HYPERLINK("https://ictv.global/taxonomy/taxondetails?taxnode_id=202316292","Hahmbtovirus cyperivicinum")</f>
        <v>Hahmbtovirus cyperivicinum</v>
      </c>
      <c r="S9342" s="18" t="s">
        <v>30</v>
      </c>
      <c r="T9342" s="18" t="s">
        <v>43090</v>
      </c>
      <c r="U9342" s="18"/>
      <c r="V9342" s="18" t="s">
        <v>43091</v>
      </c>
      <c r="W9342" s="18" t="s">
        <v>43092</v>
      </c>
      <c r="X9342" s="18" t="s">
        <v>35</v>
      </c>
      <c r="Y9342" s="18" t="s">
        <v>17171</v>
      </c>
      <c r="Z9342" s="18" t="s">
        <v>17336</v>
      </c>
      <c r="AA9342" s="21" t="str">
        <f>HYPERLINK("https://www.ncbi.nlm.nih.gov/nuccore/OM514538","NCBI Nucleotide")</f>
        <v>NCBI Nucleotide</v>
      </c>
    </row>
    <row r="9343" spans="1:27" x14ac:dyDescent="0.35">
      <c r="A9343">
        <v>1026269</v>
      </c>
      <c r="B9343">
        <v>8668</v>
      </c>
      <c r="C9343">
        <v>1</v>
      </c>
      <c r="D9343" s="17" t="s">
        <v>17166</v>
      </c>
      <c r="E9343" s="17"/>
      <c r="F9343" s="17" t="s">
        <v>17246</v>
      </c>
      <c r="G9343" s="17"/>
      <c r="H9343" s="17" t="s">
        <v>20919</v>
      </c>
      <c r="I9343" s="17"/>
      <c r="J9343" s="17" t="s">
        <v>21313</v>
      </c>
      <c r="K9343" s="17"/>
      <c r="L9343" s="17" t="s">
        <v>21326</v>
      </c>
      <c r="M9343" s="17"/>
      <c r="N9343" s="17" t="s">
        <v>21577</v>
      </c>
      <c r="O9343" s="17"/>
      <c r="P9343" s="17" t="s">
        <v>43093</v>
      </c>
      <c r="Q9343" s="17"/>
      <c r="R9343" s="25" t="str">
        <f>HYPERLINK("https://ictv.global/taxonomy/taxondetails?taxnode_id=202316293","Hahsevirus agrivicinum")</f>
        <v>Hahsevirus agrivicinum</v>
      </c>
      <c r="S9343" s="18" t="s">
        <v>30</v>
      </c>
      <c r="T9343" s="18" t="s">
        <v>43094</v>
      </c>
      <c r="U9343" s="18"/>
      <c r="V9343" s="18"/>
      <c r="W9343" s="18" t="s">
        <v>43095</v>
      </c>
      <c r="X9343" s="18" t="s">
        <v>35</v>
      </c>
      <c r="Y9343" s="18" t="s">
        <v>17171</v>
      </c>
      <c r="Z9343" s="18" t="s">
        <v>24637</v>
      </c>
      <c r="AA9343" s="21" t="str">
        <f>HYPERLINK("https://www.ncbi.nlm.nih.gov/nuccore/CASDWV010000391","NCBI Nucleotide")</f>
        <v>NCBI Nucleotide</v>
      </c>
    </row>
    <row r="9344" spans="1:27" x14ac:dyDescent="0.35">
      <c r="A9344">
        <v>1009613</v>
      </c>
      <c r="B9344">
        <v>8669</v>
      </c>
      <c r="C9344">
        <v>1</v>
      </c>
      <c r="D9344" s="17" t="s">
        <v>17166</v>
      </c>
      <c r="E9344" s="17"/>
      <c r="F9344" s="17" t="s">
        <v>17246</v>
      </c>
      <c r="G9344" s="17"/>
      <c r="H9344" s="17" t="s">
        <v>20919</v>
      </c>
      <c r="I9344" s="17"/>
      <c r="J9344" s="17" t="s">
        <v>21313</v>
      </c>
      <c r="K9344" s="17"/>
      <c r="L9344" s="17" t="s">
        <v>21326</v>
      </c>
      <c r="M9344" s="17"/>
      <c r="N9344" s="17" t="s">
        <v>21577</v>
      </c>
      <c r="O9344" s="17"/>
      <c r="P9344" s="17" t="s">
        <v>43093</v>
      </c>
      <c r="Q9344" s="17"/>
      <c r="R9344" s="25" t="str">
        <f>HYPERLINK("https://ictv.global/taxonomy/taxondetails?taxnode_id=202310483","Hahsevirus borboradaptatum")</f>
        <v>Hahsevirus borboradaptatum</v>
      </c>
      <c r="S9344" s="18" t="s">
        <v>30</v>
      </c>
      <c r="T9344" s="18" t="s">
        <v>21983</v>
      </c>
      <c r="U9344" s="18"/>
      <c r="V9344" s="18"/>
      <c r="W9344" s="18" t="s">
        <v>21984</v>
      </c>
      <c r="X9344" s="18" t="s">
        <v>35</v>
      </c>
      <c r="Y9344" s="18" t="s">
        <v>17171</v>
      </c>
      <c r="Z9344" s="18" t="s">
        <v>697</v>
      </c>
      <c r="AA9344" s="21" t="str">
        <f>HYPERLINK("https://www.ncbi.nlm.nih.gov/nuccore/BK013606","NCBI Nucleotide")</f>
        <v>NCBI Nucleotide</v>
      </c>
    </row>
    <row r="9345" spans="1:27" x14ac:dyDescent="0.35">
      <c r="A9345">
        <v>1009624</v>
      </c>
      <c r="B9345">
        <v>8670</v>
      </c>
      <c r="C9345">
        <v>1</v>
      </c>
      <c r="D9345" s="17" t="s">
        <v>17166</v>
      </c>
      <c r="E9345" s="17"/>
      <c r="F9345" s="17" t="s">
        <v>17246</v>
      </c>
      <c r="G9345" s="17"/>
      <c r="H9345" s="17" t="s">
        <v>20919</v>
      </c>
      <c r="I9345" s="17"/>
      <c r="J9345" s="17" t="s">
        <v>21313</v>
      </c>
      <c r="K9345" s="17"/>
      <c r="L9345" s="17" t="s">
        <v>21326</v>
      </c>
      <c r="M9345" s="17"/>
      <c r="N9345" s="17" t="s">
        <v>21577</v>
      </c>
      <c r="O9345" s="17"/>
      <c r="P9345" s="17" t="s">
        <v>43093</v>
      </c>
      <c r="Q9345" s="17"/>
      <c r="R9345" s="25" t="str">
        <f>HYPERLINK("https://ictv.global/taxonomy/taxondetails?taxnode_id=202310496","Hahsevirus caenadaptatum")</f>
        <v>Hahsevirus caenadaptatum</v>
      </c>
      <c r="S9345" s="18" t="s">
        <v>30</v>
      </c>
      <c r="T9345" s="18" t="s">
        <v>22005</v>
      </c>
      <c r="U9345" s="18"/>
      <c r="V9345" s="18"/>
      <c r="W9345" s="18" t="s">
        <v>22006</v>
      </c>
      <c r="X9345" s="18" t="s">
        <v>35</v>
      </c>
      <c r="Y9345" s="18" t="s">
        <v>17171</v>
      </c>
      <c r="Z9345" s="18" t="s">
        <v>697</v>
      </c>
      <c r="AA9345" s="21" t="str">
        <f>HYPERLINK("https://www.ncbi.nlm.nih.gov/nuccore/BK013612","NCBI Nucleotide")</f>
        <v>NCBI Nucleotide</v>
      </c>
    </row>
    <row r="9346" spans="1:27" x14ac:dyDescent="0.35">
      <c r="A9346">
        <v>1026270</v>
      </c>
      <c r="B9346">
        <v>8671</v>
      </c>
      <c r="C9346">
        <v>1</v>
      </c>
      <c r="D9346" s="17" t="s">
        <v>17166</v>
      </c>
      <c r="E9346" s="17"/>
      <c r="F9346" s="17" t="s">
        <v>17246</v>
      </c>
      <c r="G9346" s="17"/>
      <c r="H9346" s="17" t="s">
        <v>20919</v>
      </c>
      <c r="I9346" s="17"/>
      <c r="J9346" s="17" t="s">
        <v>21313</v>
      </c>
      <c r="K9346" s="17"/>
      <c r="L9346" s="17" t="s">
        <v>21326</v>
      </c>
      <c r="M9346" s="17"/>
      <c r="N9346" s="17" t="s">
        <v>21577</v>
      </c>
      <c r="O9346" s="17"/>
      <c r="P9346" s="17" t="s">
        <v>43093</v>
      </c>
      <c r="Q9346" s="17"/>
      <c r="R9346" s="25" t="str">
        <f>HYPERLINK("https://ictv.global/taxonomy/taxondetails?taxnode_id=202316294","Hahsevirus edaphovivens")</f>
        <v>Hahsevirus edaphovivens</v>
      </c>
      <c r="S9346" s="18" t="s">
        <v>30</v>
      </c>
      <c r="T9346" s="18" t="s">
        <v>43096</v>
      </c>
      <c r="U9346" s="18"/>
      <c r="V9346" s="18"/>
      <c r="W9346" s="18" t="s">
        <v>43097</v>
      </c>
      <c r="X9346" s="18" t="s">
        <v>35</v>
      </c>
      <c r="Y9346" s="18" t="s">
        <v>17171</v>
      </c>
      <c r="Z9346" s="18" t="s">
        <v>24637</v>
      </c>
      <c r="AA9346" s="21" t="str">
        <f>HYPERLINK("https://www.ncbi.nlm.nih.gov/nuccore/CASDWV010001847","NCBI Nucleotide")</f>
        <v>NCBI Nucleotide</v>
      </c>
    </row>
    <row r="9347" spans="1:27" x14ac:dyDescent="0.35">
      <c r="A9347">
        <v>1026271</v>
      </c>
      <c r="B9347">
        <v>8672</v>
      </c>
      <c r="C9347">
        <v>1</v>
      </c>
      <c r="D9347" s="17" t="s">
        <v>17166</v>
      </c>
      <c r="E9347" s="17"/>
      <c r="F9347" s="17" t="s">
        <v>17246</v>
      </c>
      <c r="G9347" s="17"/>
      <c r="H9347" s="17" t="s">
        <v>20919</v>
      </c>
      <c r="I9347" s="17"/>
      <c r="J9347" s="17" t="s">
        <v>21313</v>
      </c>
      <c r="K9347" s="17"/>
      <c r="L9347" s="17" t="s">
        <v>21326</v>
      </c>
      <c r="M9347" s="17"/>
      <c r="N9347" s="17" t="s">
        <v>21577</v>
      </c>
      <c r="O9347" s="17"/>
      <c r="P9347" s="17" t="s">
        <v>43093</v>
      </c>
      <c r="Q9347" s="17"/>
      <c r="R9347" s="25" t="str">
        <f>HYPERLINK("https://ictv.global/taxonomy/taxondetails?taxnode_id=202316295","Hahsevirus faecivivens")</f>
        <v>Hahsevirus faecivivens</v>
      </c>
      <c r="S9347" s="18" t="s">
        <v>30</v>
      </c>
      <c r="T9347" s="18" t="s">
        <v>43098</v>
      </c>
      <c r="U9347" s="18"/>
      <c r="V9347" s="18" t="s">
        <v>43098</v>
      </c>
      <c r="W9347" s="18" t="s">
        <v>43099</v>
      </c>
      <c r="X9347" s="18" t="s">
        <v>35</v>
      </c>
      <c r="Y9347" s="18" t="s">
        <v>17171</v>
      </c>
      <c r="Z9347" s="18" t="s">
        <v>24637</v>
      </c>
      <c r="AA9347" s="21" t="str">
        <f>HYPERLINK("https://www.ncbi.nlm.nih.gov/nuccore/ON163828","NCBI Nucleotide")</f>
        <v>NCBI Nucleotide</v>
      </c>
    </row>
    <row r="9348" spans="1:27" x14ac:dyDescent="0.35">
      <c r="A9348">
        <v>1009615</v>
      </c>
      <c r="B9348">
        <v>8673</v>
      </c>
      <c r="C9348">
        <v>1</v>
      </c>
      <c r="D9348" s="17" t="s">
        <v>17166</v>
      </c>
      <c r="E9348" s="17"/>
      <c r="F9348" s="17" t="s">
        <v>17246</v>
      </c>
      <c r="G9348" s="17"/>
      <c r="H9348" s="17" t="s">
        <v>20919</v>
      </c>
      <c r="I9348" s="17"/>
      <c r="J9348" s="17" t="s">
        <v>21313</v>
      </c>
      <c r="K9348" s="17"/>
      <c r="L9348" s="17" t="s">
        <v>21326</v>
      </c>
      <c r="M9348" s="17"/>
      <c r="N9348" s="17" t="s">
        <v>21577</v>
      </c>
      <c r="O9348" s="17"/>
      <c r="P9348" s="17" t="s">
        <v>43093</v>
      </c>
      <c r="Q9348" s="17"/>
      <c r="R9348" s="25" t="str">
        <f>HYPERLINK("https://ictv.global/taxonomy/taxondetails?taxnode_id=202310482","Hahsevirus geoenecus")</f>
        <v>Hahsevirus geoenecus</v>
      </c>
      <c r="S9348" s="18" t="s">
        <v>30</v>
      </c>
      <c r="T9348" s="18" t="s">
        <v>21987</v>
      </c>
      <c r="U9348" s="18"/>
      <c r="V9348" s="18"/>
      <c r="W9348" s="18" t="s">
        <v>21988</v>
      </c>
      <c r="X9348" s="18" t="s">
        <v>35</v>
      </c>
      <c r="Y9348" s="18" t="s">
        <v>17171</v>
      </c>
      <c r="Z9348" s="18" t="s">
        <v>697</v>
      </c>
      <c r="AA9348" s="21" t="str">
        <f>HYPERLINK("https://www.ncbi.nlm.nih.gov/nuccore/BK013838","NCBI Nucleotide")</f>
        <v>NCBI Nucleotide</v>
      </c>
    </row>
    <row r="9349" spans="1:27" x14ac:dyDescent="0.35">
      <c r="A9349">
        <v>1026272</v>
      </c>
      <c r="B9349">
        <v>8674</v>
      </c>
      <c r="C9349">
        <v>1</v>
      </c>
      <c r="D9349" s="17" t="s">
        <v>17166</v>
      </c>
      <c r="E9349" s="17"/>
      <c r="F9349" s="17" t="s">
        <v>17246</v>
      </c>
      <c r="G9349" s="17"/>
      <c r="H9349" s="17" t="s">
        <v>20919</v>
      </c>
      <c r="I9349" s="17"/>
      <c r="J9349" s="17" t="s">
        <v>21313</v>
      </c>
      <c r="K9349" s="17"/>
      <c r="L9349" s="17" t="s">
        <v>21326</v>
      </c>
      <c r="M9349" s="17"/>
      <c r="N9349" s="17" t="s">
        <v>21577</v>
      </c>
      <c r="O9349" s="17"/>
      <c r="P9349" s="17" t="s">
        <v>43093</v>
      </c>
      <c r="Q9349" s="17"/>
      <c r="R9349" s="25" t="str">
        <f>HYPERLINK("https://ictv.global/taxonomy/taxondetails?taxnode_id=202316296","Hahsevirus limivicinum")</f>
        <v>Hahsevirus limivicinum</v>
      </c>
      <c r="S9349" s="18" t="s">
        <v>30</v>
      </c>
      <c r="T9349" s="18" t="s">
        <v>43100</v>
      </c>
      <c r="U9349" s="18"/>
      <c r="V9349" s="18"/>
      <c r="W9349" s="18" t="s">
        <v>43101</v>
      </c>
      <c r="X9349" s="18" t="s">
        <v>35</v>
      </c>
      <c r="Y9349" s="18" t="s">
        <v>17171</v>
      </c>
      <c r="Z9349" s="18" t="s">
        <v>24637</v>
      </c>
      <c r="AA9349" s="21" t="str">
        <f>HYPERLINK("https://www.ncbi.nlm.nih.gov/nuccore/CASDWV010001184","NCBI Nucleotide")</f>
        <v>NCBI Nucleotide</v>
      </c>
    </row>
    <row r="9350" spans="1:27" x14ac:dyDescent="0.35">
      <c r="A9350">
        <v>1009555</v>
      </c>
      <c r="B9350">
        <v>8675</v>
      </c>
      <c r="C9350">
        <v>1</v>
      </c>
      <c r="D9350" s="17" t="s">
        <v>17166</v>
      </c>
      <c r="E9350" s="17"/>
      <c r="F9350" s="17" t="s">
        <v>17246</v>
      </c>
      <c r="G9350" s="17"/>
      <c r="H9350" s="17" t="s">
        <v>20919</v>
      </c>
      <c r="I9350" s="17"/>
      <c r="J9350" s="17" t="s">
        <v>21313</v>
      </c>
      <c r="K9350" s="17"/>
      <c r="L9350" s="17" t="s">
        <v>21326</v>
      </c>
      <c r="M9350" s="17"/>
      <c r="N9350" s="17" t="s">
        <v>21577</v>
      </c>
      <c r="O9350" s="17"/>
      <c r="P9350" s="17" t="s">
        <v>21832</v>
      </c>
      <c r="Q9350" s="17"/>
      <c r="R9350" s="25" t="str">
        <f>HYPERLINK("https://ictv.global/taxonomy/taxondetails?taxnode_id=202310383","Halcalevirus arvivivens")</f>
        <v>Halcalevirus arvivivens</v>
      </c>
      <c r="S9350" s="18" t="s">
        <v>30</v>
      </c>
      <c r="T9350" s="18" t="s">
        <v>21833</v>
      </c>
      <c r="U9350" s="18"/>
      <c r="V9350" s="18"/>
      <c r="W9350" s="18" t="s">
        <v>21834</v>
      </c>
      <c r="X9350" s="18" t="s">
        <v>35</v>
      </c>
      <c r="Y9350" s="18" t="s">
        <v>17171</v>
      </c>
      <c r="Z9350" s="18" t="s">
        <v>697</v>
      </c>
      <c r="AA9350" s="21" t="str">
        <f>HYPERLINK("https://www.ncbi.nlm.nih.gov/nuccore/BK013429","NCBI Nucleotide")</f>
        <v>NCBI Nucleotide</v>
      </c>
    </row>
    <row r="9351" spans="1:27" x14ac:dyDescent="0.35">
      <c r="A9351">
        <v>1026257</v>
      </c>
      <c r="B9351">
        <v>8676</v>
      </c>
      <c r="C9351">
        <v>1</v>
      </c>
      <c r="D9351" s="17" t="s">
        <v>17166</v>
      </c>
      <c r="E9351" s="17"/>
      <c r="F9351" s="17" t="s">
        <v>17246</v>
      </c>
      <c r="G9351" s="17"/>
      <c r="H9351" s="17" t="s">
        <v>20919</v>
      </c>
      <c r="I9351" s="17"/>
      <c r="J9351" s="17" t="s">
        <v>21313</v>
      </c>
      <c r="K9351" s="17"/>
      <c r="L9351" s="17" t="s">
        <v>21326</v>
      </c>
      <c r="M9351" s="17"/>
      <c r="N9351" s="17" t="s">
        <v>21577</v>
      </c>
      <c r="O9351" s="17"/>
      <c r="P9351" s="17" t="s">
        <v>43102</v>
      </c>
      <c r="Q9351" s="17"/>
      <c r="R9351" s="25" t="str">
        <f>HYPERLINK("https://ictv.global/taxonomy/taxondetails?taxnode_id=202316297","Hampdavirus dinebradaptatum")</f>
        <v>Hampdavirus dinebradaptatum</v>
      </c>
      <c r="S9351" s="18" t="s">
        <v>30</v>
      </c>
      <c r="T9351" s="18" t="s">
        <v>43103</v>
      </c>
      <c r="U9351" s="18"/>
      <c r="V9351" s="18" t="s">
        <v>43104</v>
      </c>
      <c r="W9351" s="18" t="s">
        <v>43105</v>
      </c>
      <c r="X9351" s="18" t="s">
        <v>35</v>
      </c>
      <c r="Y9351" s="18" t="s">
        <v>17171</v>
      </c>
      <c r="Z9351" s="18" t="s">
        <v>17336</v>
      </c>
      <c r="AA9351" s="21" t="str">
        <f>HYPERLINK("https://www.ncbi.nlm.nih.gov/nuccore/OM514532","NCBI Nucleotide")</f>
        <v>NCBI Nucleotide</v>
      </c>
    </row>
    <row r="9352" spans="1:27" x14ac:dyDescent="0.35">
      <c r="A9352">
        <v>1026265</v>
      </c>
      <c r="B9352">
        <v>8677</v>
      </c>
      <c r="C9352">
        <v>1</v>
      </c>
      <c r="D9352" s="17" t="s">
        <v>17166</v>
      </c>
      <c r="E9352" s="17"/>
      <c r="F9352" s="17" t="s">
        <v>17246</v>
      </c>
      <c r="G9352" s="17"/>
      <c r="H9352" s="17" t="s">
        <v>20919</v>
      </c>
      <c r="I9352" s="17"/>
      <c r="J9352" s="17" t="s">
        <v>21313</v>
      </c>
      <c r="K9352" s="17"/>
      <c r="L9352" s="17" t="s">
        <v>21326</v>
      </c>
      <c r="M9352" s="17"/>
      <c r="N9352" s="17" t="s">
        <v>21577</v>
      </c>
      <c r="O9352" s="17"/>
      <c r="P9352" s="17" t="s">
        <v>43106</v>
      </c>
      <c r="Q9352" s="17"/>
      <c r="R9352" s="25" t="str">
        <f>HYPERLINK("https://ictv.global/taxonomy/taxondetails?taxnode_id=202316298","Hamptovirus dinebrivicinum")</f>
        <v>Hamptovirus dinebrivicinum</v>
      </c>
      <c r="S9352" s="18" t="s">
        <v>30</v>
      </c>
      <c r="T9352" s="18" t="s">
        <v>43107</v>
      </c>
      <c r="U9352" s="18"/>
      <c r="V9352" s="18" t="s">
        <v>43108</v>
      </c>
      <c r="W9352" s="18" t="s">
        <v>43109</v>
      </c>
      <c r="X9352" s="18" t="s">
        <v>35</v>
      </c>
      <c r="Y9352" s="18" t="s">
        <v>17171</v>
      </c>
      <c r="Z9352" s="18" t="s">
        <v>17336</v>
      </c>
      <c r="AA9352" s="21" t="str">
        <f>HYPERLINK("https://www.ncbi.nlm.nih.gov/nuccore/OM514530","NCBI Nucleotide")</f>
        <v>NCBI Nucleotide</v>
      </c>
    </row>
    <row r="9353" spans="1:27" x14ac:dyDescent="0.35">
      <c r="A9353">
        <v>1026249</v>
      </c>
      <c r="B9353">
        <v>8678</v>
      </c>
      <c r="C9353">
        <v>1</v>
      </c>
      <c r="D9353" s="17" t="s">
        <v>17166</v>
      </c>
      <c r="E9353" s="17"/>
      <c r="F9353" s="17" t="s">
        <v>17246</v>
      </c>
      <c r="G9353" s="17"/>
      <c r="H9353" s="17" t="s">
        <v>20919</v>
      </c>
      <c r="I9353" s="17"/>
      <c r="J9353" s="17" t="s">
        <v>21313</v>
      </c>
      <c r="K9353" s="17"/>
      <c r="L9353" s="17" t="s">
        <v>21326</v>
      </c>
      <c r="M9353" s="17"/>
      <c r="N9353" s="17" t="s">
        <v>21577</v>
      </c>
      <c r="O9353" s="17"/>
      <c r="P9353" s="17" t="s">
        <v>43110</v>
      </c>
      <c r="Q9353" s="17"/>
      <c r="R9353" s="25" t="str">
        <f>HYPERLINK("https://ictv.global/taxonomy/taxondetails?taxnode_id=202316299","Helfovirus dinebrivicinum")</f>
        <v>Helfovirus dinebrivicinum</v>
      </c>
      <c r="S9353" s="18" t="s">
        <v>30</v>
      </c>
      <c r="T9353" s="18" t="s">
        <v>43111</v>
      </c>
      <c r="U9353" s="18"/>
      <c r="V9353" s="18" t="s">
        <v>43112</v>
      </c>
      <c r="W9353" s="18" t="s">
        <v>43113</v>
      </c>
      <c r="X9353" s="18" t="s">
        <v>35</v>
      </c>
      <c r="Y9353" s="18" t="s">
        <v>17171</v>
      </c>
      <c r="Z9353" s="18" t="s">
        <v>17336</v>
      </c>
      <c r="AA9353" s="21" t="str">
        <f>HYPERLINK("https://www.ncbi.nlm.nih.gov/nuccore/OM514520","NCBI Nucleotide")</f>
        <v>NCBI Nucleotide</v>
      </c>
    </row>
    <row r="9354" spans="1:27" x14ac:dyDescent="0.35">
      <c r="A9354">
        <v>1026246</v>
      </c>
      <c r="B9354">
        <v>8679</v>
      </c>
      <c r="C9354">
        <v>1</v>
      </c>
      <c r="D9354" s="17" t="s">
        <v>17166</v>
      </c>
      <c r="E9354" s="17"/>
      <c r="F9354" s="17" t="s">
        <v>17246</v>
      </c>
      <c r="G9354" s="17"/>
      <c r="H9354" s="17" t="s">
        <v>20919</v>
      </c>
      <c r="I9354" s="17"/>
      <c r="J9354" s="17" t="s">
        <v>21313</v>
      </c>
      <c r="K9354" s="17"/>
      <c r="L9354" s="17" t="s">
        <v>21326</v>
      </c>
      <c r="M9354" s="17"/>
      <c r="N9354" s="17" t="s">
        <v>21577</v>
      </c>
      <c r="O9354" s="17"/>
      <c r="P9354" s="17" t="s">
        <v>43114</v>
      </c>
      <c r="Q9354" s="17"/>
      <c r="R9354" s="25" t="str">
        <f>HYPERLINK("https://ictv.global/taxonomy/taxondetails?taxnode_id=202316300","Herbuvirus faecivicinum")</f>
        <v>Herbuvirus faecivicinum</v>
      </c>
      <c r="S9354" s="18" t="s">
        <v>30</v>
      </c>
      <c r="T9354" s="18" t="s">
        <v>43115</v>
      </c>
      <c r="U9354" s="18"/>
      <c r="V9354" s="18" t="s">
        <v>43115</v>
      </c>
      <c r="W9354" s="18" t="s">
        <v>43116</v>
      </c>
      <c r="X9354" s="18" t="s">
        <v>35</v>
      </c>
      <c r="Y9354" s="18" t="s">
        <v>17171</v>
      </c>
      <c r="Z9354" s="18" t="s">
        <v>17413</v>
      </c>
      <c r="AA9354" s="21" t="str">
        <f>HYPERLINK("https://www.ncbi.nlm.nih.gov/nuccore/ON162760","NCBI Nucleotide")</f>
        <v>NCBI Nucleotide</v>
      </c>
    </row>
    <row r="9355" spans="1:27" x14ac:dyDescent="0.35">
      <c r="A9355">
        <v>1026247</v>
      </c>
      <c r="B9355">
        <v>8680</v>
      </c>
      <c r="C9355">
        <v>1</v>
      </c>
      <c r="D9355" s="17" t="s">
        <v>17166</v>
      </c>
      <c r="E9355" s="17"/>
      <c r="F9355" s="17" t="s">
        <v>17246</v>
      </c>
      <c r="G9355" s="17"/>
      <c r="H9355" s="17" t="s">
        <v>20919</v>
      </c>
      <c r="I9355" s="17"/>
      <c r="J9355" s="17" t="s">
        <v>21313</v>
      </c>
      <c r="K9355" s="17"/>
      <c r="L9355" s="17" t="s">
        <v>21326</v>
      </c>
      <c r="M9355" s="17"/>
      <c r="N9355" s="17" t="s">
        <v>21577</v>
      </c>
      <c r="O9355" s="17"/>
      <c r="P9355" s="17" t="s">
        <v>43114</v>
      </c>
      <c r="Q9355" s="17"/>
      <c r="R9355" s="25" t="str">
        <f>HYPERLINK("https://ictv.global/taxonomy/taxondetails?taxnode_id=202316301","Herbuvirus faecivivens")</f>
        <v>Herbuvirus faecivivens</v>
      </c>
      <c r="S9355" s="18" t="s">
        <v>30</v>
      </c>
      <c r="T9355" s="18" t="s">
        <v>43117</v>
      </c>
      <c r="U9355" s="18"/>
      <c r="V9355" s="18" t="s">
        <v>43117</v>
      </c>
      <c r="W9355" s="18" t="s">
        <v>43118</v>
      </c>
      <c r="X9355" s="18" t="s">
        <v>35</v>
      </c>
      <c r="Y9355" s="18" t="s">
        <v>17171</v>
      </c>
      <c r="Z9355" s="18" t="s">
        <v>17413</v>
      </c>
      <c r="AA9355" s="21" t="str">
        <f>HYPERLINK("https://www.ncbi.nlm.nih.gov/nuccore/MZ679641","NCBI Nucleotide")</f>
        <v>NCBI Nucleotide</v>
      </c>
    </row>
    <row r="9356" spans="1:27" x14ac:dyDescent="0.35">
      <c r="A9356">
        <v>1009556</v>
      </c>
      <c r="B9356">
        <v>8681</v>
      </c>
      <c r="C9356">
        <v>1</v>
      </c>
      <c r="D9356" s="17" t="s">
        <v>17166</v>
      </c>
      <c r="E9356" s="17"/>
      <c r="F9356" s="17" t="s">
        <v>17246</v>
      </c>
      <c r="G9356" s="17"/>
      <c r="H9356" s="17" t="s">
        <v>20919</v>
      </c>
      <c r="I9356" s="17"/>
      <c r="J9356" s="17" t="s">
        <v>21313</v>
      </c>
      <c r="K9356" s="17"/>
      <c r="L9356" s="17" t="s">
        <v>21326</v>
      </c>
      <c r="M9356" s="17"/>
      <c r="N9356" s="17" t="s">
        <v>21577</v>
      </c>
      <c r="O9356" s="17"/>
      <c r="P9356" s="17" t="s">
        <v>21835</v>
      </c>
      <c r="Q9356" s="17"/>
      <c r="R9356" s="25" t="str">
        <f>HYPERLINK("https://ictv.global/taxonomy/taxondetails?taxnode_id=202310386","Hihdivirus caenenecus")</f>
        <v>Hihdivirus caenenecus</v>
      </c>
      <c r="S9356" s="18" t="s">
        <v>30</v>
      </c>
      <c r="T9356" s="18" t="s">
        <v>21836</v>
      </c>
      <c r="U9356" s="18"/>
      <c r="V9356" s="18"/>
      <c r="W9356" s="18" t="s">
        <v>21837</v>
      </c>
      <c r="X9356" s="18" t="s">
        <v>35</v>
      </c>
      <c r="Y9356" s="18" t="s">
        <v>17171</v>
      </c>
      <c r="Z9356" s="18" t="s">
        <v>697</v>
      </c>
      <c r="AA9356" s="21" t="str">
        <f>HYPERLINK("https://www.ncbi.nlm.nih.gov/nuccore/BK014056","NCBI Nucleotide")</f>
        <v>NCBI Nucleotide</v>
      </c>
    </row>
    <row r="9357" spans="1:27" x14ac:dyDescent="0.35">
      <c r="A9357">
        <v>1009557</v>
      </c>
      <c r="B9357">
        <v>8682</v>
      </c>
      <c r="C9357">
        <v>1</v>
      </c>
      <c r="D9357" s="17" t="s">
        <v>17166</v>
      </c>
      <c r="E9357" s="17"/>
      <c r="F9357" s="17" t="s">
        <v>17246</v>
      </c>
      <c r="G9357" s="17"/>
      <c r="H9357" s="17" t="s">
        <v>20919</v>
      </c>
      <c r="I9357" s="17"/>
      <c r="J9357" s="17" t="s">
        <v>21313</v>
      </c>
      <c r="K9357" s="17"/>
      <c r="L9357" s="17" t="s">
        <v>21326</v>
      </c>
      <c r="M9357" s="17"/>
      <c r="N9357" s="17" t="s">
        <v>21577</v>
      </c>
      <c r="O9357" s="17"/>
      <c r="P9357" s="17" t="s">
        <v>21835</v>
      </c>
      <c r="Q9357" s="17"/>
      <c r="R9357" s="25" t="str">
        <f>HYPERLINK("https://ictv.global/taxonomy/taxondetails?taxnode_id=202310385","Hihdivirus caenicola")</f>
        <v>Hihdivirus caenicola</v>
      </c>
      <c r="S9357" s="18" t="s">
        <v>30</v>
      </c>
      <c r="T9357" s="18" t="s">
        <v>21838</v>
      </c>
      <c r="U9357" s="18"/>
      <c r="V9357" s="18"/>
      <c r="W9357" s="18" t="s">
        <v>21839</v>
      </c>
      <c r="X9357" s="18" t="s">
        <v>35</v>
      </c>
      <c r="Y9357" s="18" t="s">
        <v>17171</v>
      </c>
      <c r="Z9357" s="18" t="s">
        <v>697</v>
      </c>
      <c r="AA9357" s="21" t="str">
        <f>HYPERLINK("https://www.ncbi.nlm.nih.gov/nuccore/BK013585","NCBI Nucleotide")</f>
        <v>NCBI Nucleotide</v>
      </c>
    </row>
    <row r="9358" spans="1:27" x14ac:dyDescent="0.35">
      <c r="A9358">
        <v>1026759</v>
      </c>
      <c r="B9358">
        <v>8683</v>
      </c>
      <c r="C9358">
        <v>1</v>
      </c>
      <c r="D9358" s="17" t="s">
        <v>17166</v>
      </c>
      <c r="E9358" s="17"/>
      <c r="F9358" s="17" t="s">
        <v>17246</v>
      </c>
      <c r="G9358" s="17"/>
      <c r="H9358" s="17" t="s">
        <v>20919</v>
      </c>
      <c r="I9358" s="17"/>
      <c r="J9358" s="17" t="s">
        <v>21313</v>
      </c>
      <c r="K9358" s="17"/>
      <c r="L9358" s="17" t="s">
        <v>21326</v>
      </c>
      <c r="M9358" s="17"/>
      <c r="N9358" s="17" t="s">
        <v>21577</v>
      </c>
      <c r="O9358" s="17"/>
      <c r="P9358" s="17" t="s">
        <v>43119</v>
      </c>
      <c r="Q9358" s="17"/>
      <c r="R9358" s="25" t="str">
        <f>HYPERLINK("https://ictv.global/taxonomy/taxondetails?taxnode_id=202316302","Hihlwaovirus faecicola")</f>
        <v>Hihlwaovirus faecicola</v>
      </c>
      <c r="S9358" s="18" t="s">
        <v>30</v>
      </c>
      <c r="T9358" s="18" t="s">
        <v>43120</v>
      </c>
      <c r="U9358" s="18"/>
      <c r="V9358" s="18" t="s">
        <v>43120</v>
      </c>
      <c r="W9358" s="18" t="s">
        <v>43121</v>
      </c>
      <c r="X9358" s="18" t="s">
        <v>35</v>
      </c>
      <c r="Y9358" s="18" t="s">
        <v>17171</v>
      </c>
      <c r="Z9358" s="18" t="s">
        <v>24637</v>
      </c>
      <c r="AA9358" s="21" t="str">
        <f>HYPERLINK("https://www.ncbi.nlm.nih.gov/nuccore/ON164208","NCBI Nucleotide")</f>
        <v>NCBI Nucleotide</v>
      </c>
    </row>
    <row r="9359" spans="1:27" x14ac:dyDescent="0.35">
      <c r="A9359">
        <v>1026840</v>
      </c>
      <c r="B9359">
        <v>8684</v>
      </c>
      <c r="C9359">
        <v>1</v>
      </c>
      <c r="D9359" s="17" t="s">
        <v>17166</v>
      </c>
      <c r="E9359" s="17"/>
      <c r="F9359" s="17" t="s">
        <v>17246</v>
      </c>
      <c r="G9359" s="17"/>
      <c r="H9359" s="17" t="s">
        <v>20919</v>
      </c>
      <c r="I9359" s="17"/>
      <c r="J9359" s="17" t="s">
        <v>21313</v>
      </c>
      <c r="K9359" s="17"/>
      <c r="L9359" s="17" t="s">
        <v>21326</v>
      </c>
      <c r="M9359" s="17"/>
      <c r="N9359" s="17" t="s">
        <v>21577</v>
      </c>
      <c r="O9359" s="17"/>
      <c r="P9359" s="17" t="s">
        <v>43122</v>
      </c>
      <c r="Q9359" s="17"/>
      <c r="R9359" s="25" t="str">
        <f>HYPERLINK("https://ictv.global/taxonomy/taxondetails?taxnode_id=202316303","Hirbarovirus cyperenecus")</f>
        <v>Hirbarovirus cyperenecus</v>
      </c>
      <c r="S9359" s="18" t="s">
        <v>30</v>
      </c>
      <c r="T9359" s="18" t="s">
        <v>43123</v>
      </c>
      <c r="U9359" s="18"/>
      <c r="V9359" s="18" t="s">
        <v>43124</v>
      </c>
      <c r="W9359" s="18" t="s">
        <v>43125</v>
      </c>
      <c r="X9359" s="18" t="s">
        <v>35</v>
      </c>
      <c r="Y9359" s="18" t="s">
        <v>17171</v>
      </c>
      <c r="Z9359" s="18" t="s">
        <v>17336</v>
      </c>
      <c r="AA9359" s="21" t="str">
        <f>HYPERLINK("https://www.ncbi.nlm.nih.gov/nuccore/OM514539","NCBI Nucleotide")</f>
        <v>NCBI Nucleotide</v>
      </c>
    </row>
    <row r="9360" spans="1:27" x14ac:dyDescent="0.35">
      <c r="A9360">
        <v>1026844</v>
      </c>
      <c r="B9360">
        <v>8685</v>
      </c>
      <c r="C9360">
        <v>1</v>
      </c>
      <c r="D9360" s="17" t="s">
        <v>17166</v>
      </c>
      <c r="E9360" s="17"/>
      <c r="F9360" s="17" t="s">
        <v>17246</v>
      </c>
      <c r="G9360" s="17"/>
      <c r="H9360" s="17" t="s">
        <v>20919</v>
      </c>
      <c r="I9360" s="17"/>
      <c r="J9360" s="17" t="s">
        <v>21313</v>
      </c>
      <c r="K9360" s="17"/>
      <c r="L9360" s="17" t="s">
        <v>21326</v>
      </c>
      <c r="M9360" s="17"/>
      <c r="N9360" s="17" t="s">
        <v>21577</v>
      </c>
      <c r="O9360" s="17"/>
      <c r="P9360" s="17" t="s">
        <v>43126</v>
      </c>
      <c r="Q9360" s="17"/>
      <c r="R9360" s="25" t="str">
        <f>HYPERLINK("https://ictv.global/taxonomy/taxondetails?taxnode_id=202316304","Hirtshivirus faecivicinum")</f>
        <v>Hirtshivirus faecivicinum</v>
      </c>
      <c r="S9360" s="18" t="s">
        <v>30</v>
      </c>
      <c r="T9360" s="18" t="s">
        <v>43127</v>
      </c>
      <c r="U9360" s="18"/>
      <c r="V9360" s="18" t="s">
        <v>43127</v>
      </c>
      <c r="W9360" s="18" t="s">
        <v>43128</v>
      </c>
      <c r="X9360" s="18" t="s">
        <v>35</v>
      </c>
      <c r="Y9360" s="18" t="s">
        <v>17171</v>
      </c>
      <c r="Z9360" s="18" t="s">
        <v>17413</v>
      </c>
      <c r="AA9360" s="21" t="str">
        <f>HYPERLINK("https://www.ncbi.nlm.nih.gov/nuccore/ON163172","NCBI Nucleotide")</f>
        <v>NCBI Nucleotide</v>
      </c>
    </row>
    <row r="9361" spans="1:27" x14ac:dyDescent="0.35">
      <c r="A9361">
        <v>1026846</v>
      </c>
      <c r="B9361">
        <v>8686</v>
      </c>
      <c r="C9361">
        <v>1</v>
      </c>
      <c r="D9361" s="17" t="s">
        <v>17166</v>
      </c>
      <c r="E9361" s="17"/>
      <c r="F9361" s="17" t="s">
        <v>17246</v>
      </c>
      <c r="G9361" s="17"/>
      <c r="H9361" s="17" t="s">
        <v>20919</v>
      </c>
      <c r="I9361" s="17"/>
      <c r="J9361" s="17" t="s">
        <v>21313</v>
      </c>
      <c r="K9361" s="17"/>
      <c r="L9361" s="17" t="s">
        <v>21326</v>
      </c>
      <c r="M9361" s="17"/>
      <c r="N9361" s="17" t="s">
        <v>21577</v>
      </c>
      <c r="O9361" s="17"/>
      <c r="P9361" s="17" t="s">
        <v>43129</v>
      </c>
      <c r="Q9361" s="17"/>
      <c r="R9361" s="25" t="str">
        <f>HYPERLINK("https://ictv.global/taxonomy/taxondetails?taxnode_id=202316305","Hisilivirus faecenecus")</f>
        <v>Hisilivirus faecenecus</v>
      </c>
      <c r="S9361" s="18" t="s">
        <v>30</v>
      </c>
      <c r="T9361" s="18" t="s">
        <v>43130</v>
      </c>
      <c r="U9361" s="18"/>
      <c r="V9361" s="18" t="s">
        <v>43130</v>
      </c>
      <c r="W9361" s="18" t="s">
        <v>43131</v>
      </c>
      <c r="X9361" s="18" t="s">
        <v>35</v>
      </c>
      <c r="Y9361" s="18" t="s">
        <v>17171</v>
      </c>
      <c r="Z9361" s="18" t="s">
        <v>17413</v>
      </c>
      <c r="AA9361" s="21" t="str">
        <f>HYPERLINK("https://www.ncbi.nlm.nih.gov/nuccore/ON163206","NCBI Nucleotide")</f>
        <v>NCBI Nucleotide</v>
      </c>
    </row>
    <row r="9362" spans="1:27" x14ac:dyDescent="0.35">
      <c r="A9362">
        <v>1026847</v>
      </c>
      <c r="B9362">
        <v>8687</v>
      </c>
      <c r="C9362">
        <v>1</v>
      </c>
      <c r="D9362" s="17" t="s">
        <v>17166</v>
      </c>
      <c r="E9362" s="17"/>
      <c r="F9362" s="17" t="s">
        <v>17246</v>
      </c>
      <c r="G9362" s="17"/>
      <c r="H9362" s="17" t="s">
        <v>20919</v>
      </c>
      <c r="I9362" s="17"/>
      <c r="J9362" s="17" t="s">
        <v>21313</v>
      </c>
      <c r="K9362" s="17"/>
      <c r="L9362" s="17" t="s">
        <v>21326</v>
      </c>
      <c r="M9362" s="17"/>
      <c r="N9362" s="17" t="s">
        <v>21577</v>
      </c>
      <c r="O9362" s="17"/>
      <c r="P9362" s="17" t="s">
        <v>43132</v>
      </c>
      <c r="Q9362" s="17"/>
      <c r="R9362" s="25" t="str">
        <f>HYPERLINK("https://ictv.global/taxonomy/taxondetails?taxnode_id=202316306","Hisilovirus faecicola")</f>
        <v>Hisilovirus faecicola</v>
      </c>
      <c r="S9362" s="18" t="s">
        <v>30</v>
      </c>
      <c r="T9362" s="18" t="s">
        <v>43133</v>
      </c>
      <c r="U9362" s="18"/>
      <c r="V9362" s="18" t="s">
        <v>43133</v>
      </c>
      <c r="W9362" s="18" t="s">
        <v>43134</v>
      </c>
      <c r="X9362" s="18" t="s">
        <v>35</v>
      </c>
      <c r="Y9362" s="18" t="s">
        <v>17171</v>
      </c>
      <c r="Z9362" s="18" t="s">
        <v>17413</v>
      </c>
      <c r="AA9362" s="21" t="str">
        <f>HYPERLINK("https://www.ncbi.nlm.nih.gov/nuccore/ON163786","NCBI Nucleotide")</f>
        <v>NCBI Nucleotide</v>
      </c>
    </row>
    <row r="9363" spans="1:27" x14ac:dyDescent="0.35">
      <c r="A9363">
        <v>1026849</v>
      </c>
      <c r="B9363">
        <v>8688</v>
      </c>
      <c r="C9363">
        <v>1</v>
      </c>
      <c r="D9363" s="17" t="s">
        <v>17166</v>
      </c>
      <c r="E9363" s="17"/>
      <c r="F9363" s="17" t="s">
        <v>17246</v>
      </c>
      <c r="G9363" s="17"/>
      <c r="H9363" s="17" t="s">
        <v>20919</v>
      </c>
      <c r="I9363" s="17"/>
      <c r="J9363" s="17" t="s">
        <v>21313</v>
      </c>
      <c r="K9363" s="17"/>
      <c r="L9363" s="17" t="s">
        <v>21326</v>
      </c>
      <c r="M9363" s="17"/>
      <c r="N9363" s="17" t="s">
        <v>21577</v>
      </c>
      <c r="O9363" s="17"/>
      <c r="P9363" s="17" t="s">
        <v>43135</v>
      </c>
      <c r="Q9363" s="17"/>
      <c r="R9363" s="25" t="str">
        <f>HYPERLINK("https://ictv.global/taxonomy/taxondetails?taxnode_id=202316307","Hitdovirus faecivivens")</f>
        <v>Hitdovirus faecivivens</v>
      </c>
      <c r="S9363" s="18" t="s">
        <v>30</v>
      </c>
      <c r="T9363" s="18" t="s">
        <v>43136</v>
      </c>
      <c r="U9363" s="18"/>
      <c r="V9363" s="18" t="s">
        <v>43136</v>
      </c>
      <c r="W9363" s="18" t="s">
        <v>43137</v>
      </c>
      <c r="X9363" s="18" t="s">
        <v>35</v>
      </c>
      <c r="Y9363" s="18" t="s">
        <v>17171</v>
      </c>
      <c r="Z9363" s="18" t="s">
        <v>17413</v>
      </c>
      <c r="AA9363" s="21" t="str">
        <f>HYPERLINK("https://www.ncbi.nlm.nih.gov/nuccore/ON163884","NCBI Nucleotide")</f>
        <v>NCBI Nucleotide</v>
      </c>
    </row>
    <row r="9364" spans="1:27" x14ac:dyDescent="0.35">
      <c r="A9364">
        <v>1027149</v>
      </c>
      <c r="B9364">
        <v>8689</v>
      </c>
      <c r="C9364">
        <v>1</v>
      </c>
      <c r="D9364" s="17" t="s">
        <v>17166</v>
      </c>
      <c r="E9364" s="17"/>
      <c r="F9364" s="17" t="s">
        <v>17246</v>
      </c>
      <c r="G9364" s="17"/>
      <c r="H9364" s="17" t="s">
        <v>20919</v>
      </c>
      <c r="I9364" s="17"/>
      <c r="J9364" s="17" t="s">
        <v>21313</v>
      </c>
      <c r="K9364" s="17"/>
      <c r="L9364" s="17" t="s">
        <v>21326</v>
      </c>
      <c r="M9364" s="17"/>
      <c r="N9364" s="17" t="s">
        <v>21577</v>
      </c>
      <c r="O9364" s="17"/>
      <c r="P9364" s="17" t="s">
        <v>43138</v>
      </c>
      <c r="Q9364" s="17"/>
      <c r="R9364" s="25" t="str">
        <f>HYPERLINK("https://ictv.global/taxonomy/taxondetails?taxnode_id=202316308","Hohnivirus chthonovivens")</f>
        <v>Hohnivirus chthonovivens</v>
      </c>
      <c r="S9364" s="18" t="s">
        <v>30</v>
      </c>
      <c r="T9364" s="18" t="s">
        <v>43139</v>
      </c>
      <c r="U9364" s="18"/>
      <c r="V9364" s="18"/>
      <c r="W9364" s="18" t="s">
        <v>43140</v>
      </c>
      <c r="X9364" s="18" t="s">
        <v>35</v>
      </c>
      <c r="Y9364" s="18" t="s">
        <v>17171</v>
      </c>
      <c r="Z9364" s="18" t="s">
        <v>24637</v>
      </c>
      <c r="AA9364" s="21" t="str">
        <f>HYPERLINK("https://www.ncbi.nlm.nih.gov/nuccore/CASDWV010000511","NCBI Nucleotide")</f>
        <v>NCBI Nucleotide</v>
      </c>
    </row>
    <row r="9365" spans="1:27" x14ac:dyDescent="0.35">
      <c r="A9365">
        <v>1027150</v>
      </c>
      <c r="B9365">
        <v>8690</v>
      </c>
      <c r="C9365">
        <v>1</v>
      </c>
      <c r="D9365" s="17" t="s">
        <v>17166</v>
      </c>
      <c r="E9365" s="17"/>
      <c r="F9365" s="17" t="s">
        <v>17246</v>
      </c>
      <c r="G9365" s="17"/>
      <c r="H9365" s="17" t="s">
        <v>20919</v>
      </c>
      <c r="I9365" s="17"/>
      <c r="J9365" s="17" t="s">
        <v>21313</v>
      </c>
      <c r="K9365" s="17"/>
      <c r="L9365" s="17" t="s">
        <v>21326</v>
      </c>
      <c r="M9365" s="17"/>
      <c r="N9365" s="17" t="s">
        <v>21577</v>
      </c>
      <c r="O9365" s="17"/>
      <c r="P9365" s="17" t="s">
        <v>43138</v>
      </c>
      <c r="Q9365" s="17"/>
      <c r="R9365" s="25" t="str">
        <f>HYPERLINK("https://ictv.global/taxonomy/taxondetails?taxnode_id=202316309","Hohnivirus luticola")</f>
        <v>Hohnivirus luticola</v>
      </c>
      <c r="S9365" s="18" t="s">
        <v>30</v>
      </c>
      <c r="T9365" s="18" t="s">
        <v>43141</v>
      </c>
      <c r="U9365" s="18"/>
      <c r="V9365" s="18"/>
      <c r="W9365" s="18" t="s">
        <v>43142</v>
      </c>
      <c r="X9365" s="18" t="s">
        <v>35</v>
      </c>
      <c r="Y9365" s="18" t="s">
        <v>17171</v>
      </c>
      <c r="Z9365" s="18" t="s">
        <v>24637</v>
      </c>
      <c r="AA9365" s="21" t="str">
        <f>HYPERLINK("https://www.ncbi.nlm.nih.gov/nuccore/CASDWV010004862","NCBI Nucleotide")</f>
        <v>NCBI Nucleotide</v>
      </c>
    </row>
    <row r="9366" spans="1:27" x14ac:dyDescent="0.35">
      <c r="A9366">
        <v>1027151</v>
      </c>
      <c r="B9366">
        <v>8691</v>
      </c>
      <c r="C9366">
        <v>1</v>
      </c>
      <c r="D9366" s="17" t="s">
        <v>17166</v>
      </c>
      <c r="E9366" s="17"/>
      <c r="F9366" s="17" t="s">
        <v>17246</v>
      </c>
      <c r="G9366" s="17"/>
      <c r="H9366" s="17" t="s">
        <v>20919</v>
      </c>
      <c r="I9366" s="17"/>
      <c r="J9366" s="17" t="s">
        <v>21313</v>
      </c>
      <c r="K9366" s="17"/>
      <c r="L9366" s="17" t="s">
        <v>21326</v>
      </c>
      <c r="M9366" s="17"/>
      <c r="N9366" s="17" t="s">
        <v>21577</v>
      </c>
      <c r="O9366" s="17"/>
      <c r="P9366" s="17" t="s">
        <v>43138</v>
      </c>
      <c r="Q9366" s="17"/>
      <c r="R9366" s="25" t="str">
        <f>HYPERLINK("https://ictv.global/taxonomy/taxondetails?taxnode_id=202316310","Hohnivirus pelovicinum")</f>
        <v>Hohnivirus pelovicinum</v>
      </c>
      <c r="S9366" s="18" t="s">
        <v>30</v>
      </c>
      <c r="T9366" s="18" t="s">
        <v>43143</v>
      </c>
      <c r="U9366" s="18"/>
      <c r="V9366" s="18"/>
      <c r="W9366" s="18" t="s">
        <v>43144</v>
      </c>
      <c r="X9366" s="18" t="s">
        <v>35</v>
      </c>
      <c r="Y9366" s="18" t="s">
        <v>17171</v>
      </c>
      <c r="Z9366" s="18" t="s">
        <v>24637</v>
      </c>
      <c r="AA9366" s="21" t="str">
        <f>HYPERLINK("https://www.ncbi.nlm.nih.gov/nuccore/CASDWV010002293","NCBI Nucleotide")</f>
        <v>NCBI Nucleotide</v>
      </c>
    </row>
    <row r="9367" spans="1:27" x14ac:dyDescent="0.35">
      <c r="A9367">
        <v>1027152</v>
      </c>
      <c r="B9367">
        <v>8692</v>
      </c>
      <c r="C9367">
        <v>1</v>
      </c>
      <c r="D9367" s="17" t="s">
        <v>17166</v>
      </c>
      <c r="E9367" s="17"/>
      <c r="F9367" s="17" t="s">
        <v>17246</v>
      </c>
      <c r="G9367" s="17"/>
      <c r="H9367" s="17" t="s">
        <v>20919</v>
      </c>
      <c r="I9367" s="17"/>
      <c r="J9367" s="17" t="s">
        <v>21313</v>
      </c>
      <c r="K9367" s="17"/>
      <c r="L9367" s="17" t="s">
        <v>21326</v>
      </c>
      <c r="M9367" s="17"/>
      <c r="N9367" s="17" t="s">
        <v>21577</v>
      </c>
      <c r="O9367" s="17"/>
      <c r="P9367" s="17" t="s">
        <v>43138</v>
      </c>
      <c r="Q9367" s="17"/>
      <c r="R9367" s="25" t="str">
        <f>HYPERLINK("https://ictv.global/taxonomy/taxondetails?taxnode_id=202316311","Hohnivirus tellurivicinum")</f>
        <v>Hohnivirus tellurivicinum</v>
      </c>
      <c r="S9367" s="18" t="s">
        <v>30</v>
      </c>
      <c r="T9367" s="18" t="s">
        <v>43145</v>
      </c>
      <c r="U9367" s="18"/>
      <c r="V9367" s="18"/>
      <c r="W9367" s="18" t="s">
        <v>43146</v>
      </c>
      <c r="X9367" s="18" t="s">
        <v>35</v>
      </c>
      <c r="Y9367" s="18" t="s">
        <v>17171</v>
      </c>
      <c r="Z9367" s="18" t="s">
        <v>24637</v>
      </c>
      <c r="AA9367" s="21" t="str">
        <f>HYPERLINK("https://www.ncbi.nlm.nih.gov/nuccore/CASDWV010003373","NCBI Nucleotide")</f>
        <v>NCBI Nucleotide</v>
      </c>
    </row>
    <row r="9368" spans="1:27" x14ac:dyDescent="0.35">
      <c r="A9368">
        <v>1026756</v>
      </c>
      <c r="B9368">
        <v>8693</v>
      </c>
      <c r="C9368">
        <v>1</v>
      </c>
      <c r="D9368" s="17" t="s">
        <v>17166</v>
      </c>
      <c r="E9368" s="17"/>
      <c r="F9368" s="17" t="s">
        <v>17246</v>
      </c>
      <c r="G9368" s="17"/>
      <c r="H9368" s="17" t="s">
        <v>20919</v>
      </c>
      <c r="I9368" s="17"/>
      <c r="J9368" s="17" t="s">
        <v>21313</v>
      </c>
      <c r="K9368" s="17"/>
      <c r="L9368" s="17" t="s">
        <v>21326</v>
      </c>
      <c r="M9368" s="17"/>
      <c r="N9368" s="17" t="s">
        <v>21577</v>
      </c>
      <c r="O9368" s="17"/>
      <c r="P9368" s="17" t="s">
        <v>43147</v>
      </c>
      <c r="Q9368" s="17"/>
      <c r="R9368" s="25" t="str">
        <f>HYPERLINK("https://ictv.global/taxonomy/taxondetails?taxnode_id=202316312","Honleyivirus edaphohabitans")</f>
        <v>Honleyivirus edaphohabitans</v>
      </c>
      <c r="S9368" s="18" t="s">
        <v>30</v>
      </c>
      <c r="T9368" s="18" t="s">
        <v>43148</v>
      </c>
      <c r="U9368" s="18"/>
      <c r="V9368" s="18"/>
      <c r="W9368" s="18" t="s">
        <v>43149</v>
      </c>
      <c r="X9368" s="18" t="s">
        <v>35</v>
      </c>
      <c r="Y9368" s="18" t="s">
        <v>17171</v>
      </c>
      <c r="Z9368" s="18" t="s">
        <v>24637</v>
      </c>
      <c r="AA9368" s="21" t="str">
        <f>HYPERLINK("https://www.ncbi.nlm.nih.gov/nuccore/CASDWV010004318","NCBI Nucleotide")</f>
        <v>NCBI Nucleotide</v>
      </c>
    </row>
    <row r="9369" spans="1:27" x14ac:dyDescent="0.35">
      <c r="A9369">
        <v>1026757</v>
      </c>
      <c r="B9369">
        <v>8694</v>
      </c>
      <c r="C9369">
        <v>1</v>
      </c>
      <c r="D9369" s="17" t="s">
        <v>17166</v>
      </c>
      <c r="E9369" s="17"/>
      <c r="F9369" s="17" t="s">
        <v>17246</v>
      </c>
      <c r="G9369" s="17"/>
      <c r="H9369" s="17" t="s">
        <v>20919</v>
      </c>
      <c r="I9369" s="17"/>
      <c r="J9369" s="17" t="s">
        <v>21313</v>
      </c>
      <c r="K9369" s="17"/>
      <c r="L9369" s="17" t="s">
        <v>21326</v>
      </c>
      <c r="M9369" s="17"/>
      <c r="N9369" s="17" t="s">
        <v>21577</v>
      </c>
      <c r="O9369" s="17"/>
      <c r="P9369" s="17" t="s">
        <v>43147</v>
      </c>
      <c r="Q9369" s="17"/>
      <c r="R9369" s="25" t="str">
        <f>HYPERLINK("https://ictv.global/taxonomy/taxondetails?taxnode_id=202316313","Honleyivirus faecihabitans")</f>
        <v>Honleyivirus faecihabitans</v>
      </c>
      <c r="S9369" s="18" t="s">
        <v>30</v>
      </c>
      <c r="T9369" s="18" t="s">
        <v>43150</v>
      </c>
      <c r="U9369" s="18"/>
      <c r="V9369" s="18" t="s">
        <v>43150</v>
      </c>
      <c r="W9369" s="18" t="s">
        <v>43151</v>
      </c>
      <c r="X9369" s="18" t="s">
        <v>35</v>
      </c>
      <c r="Y9369" s="18" t="s">
        <v>17171</v>
      </c>
      <c r="Z9369" s="18" t="s">
        <v>24637</v>
      </c>
      <c r="AA9369" s="21" t="str">
        <f>HYPERLINK("https://www.ncbi.nlm.nih.gov/nuccore/ON163914","NCBI Nucleotide")</f>
        <v>NCBI Nucleotide</v>
      </c>
    </row>
    <row r="9370" spans="1:27" x14ac:dyDescent="0.35">
      <c r="A9370">
        <v>1026758</v>
      </c>
      <c r="B9370">
        <v>8695</v>
      </c>
      <c r="C9370">
        <v>1</v>
      </c>
      <c r="D9370" s="17" t="s">
        <v>17166</v>
      </c>
      <c r="E9370" s="17"/>
      <c r="F9370" s="17" t="s">
        <v>17246</v>
      </c>
      <c r="G9370" s="17"/>
      <c r="H9370" s="17" t="s">
        <v>20919</v>
      </c>
      <c r="I9370" s="17"/>
      <c r="J9370" s="17" t="s">
        <v>21313</v>
      </c>
      <c r="K9370" s="17"/>
      <c r="L9370" s="17" t="s">
        <v>21326</v>
      </c>
      <c r="M9370" s="17"/>
      <c r="N9370" s="17" t="s">
        <v>21577</v>
      </c>
      <c r="O9370" s="17"/>
      <c r="P9370" s="17" t="s">
        <v>43152</v>
      </c>
      <c r="Q9370" s="17"/>
      <c r="R9370" s="25" t="str">
        <f>HYPERLINK("https://ictv.global/taxonomy/taxondetails?taxnode_id=202316314","Honolovirus asiocola")</f>
        <v>Honolovirus asiocola</v>
      </c>
      <c r="S9370" s="18" t="s">
        <v>30</v>
      </c>
      <c r="T9370" s="18" t="s">
        <v>43153</v>
      </c>
      <c r="U9370" s="18"/>
      <c r="V9370" s="18"/>
      <c r="W9370" s="18" t="s">
        <v>43154</v>
      </c>
      <c r="X9370" s="18" t="s">
        <v>35</v>
      </c>
      <c r="Y9370" s="18" t="s">
        <v>17171</v>
      </c>
      <c r="Z9370" s="18" t="s">
        <v>24637</v>
      </c>
      <c r="AA9370" s="21" t="str">
        <f>HYPERLINK("https://www.ncbi.nlm.nih.gov/nuccore/CASDWV010003439","NCBI Nucleotide")</f>
        <v>NCBI Nucleotide</v>
      </c>
    </row>
    <row r="9371" spans="1:27" x14ac:dyDescent="0.35">
      <c r="A9371">
        <v>1026700</v>
      </c>
      <c r="B9371">
        <v>8696</v>
      </c>
      <c r="C9371">
        <v>1</v>
      </c>
      <c r="D9371" s="17" t="s">
        <v>17166</v>
      </c>
      <c r="E9371" s="17"/>
      <c r="F9371" s="17" t="s">
        <v>17246</v>
      </c>
      <c r="G9371" s="17"/>
      <c r="H9371" s="17" t="s">
        <v>20919</v>
      </c>
      <c r="I9371" s="17"/>
      <c r="J9371" s="17" t="s">
        <v>21313</v>
      </c>
      <c r="K9371" s="17"/>
      <c r="L9371" s="17" t="s">
        <v>21326</v>
      </c>
      <c r="M9371" s="17"/>
      <c r="N9371" s="17" t="s">
        <v>21577</v>
      </c>
      <c r="O9371" s="17"/>
      <c r="P9371" s="17" t="s">
        <v>43155</v>
      </c>
      <c r="Q9371" s="17"/>
      <c r="R9371" s="25" t="str">
        <f>HYPERLINK("https://ictv.global/taxonomy/taxondetails?taxnode_id=202316315","Hudnivirus fundenecus")</f>
        <v>Hudnivirus fundenecus</v>
      </c>
      <c r="S9371" s="18" t="s">
        <v>30</v>
      </c>
      <c r="T9371" s="18" t="s">
        <v>43156</v>
      </c>
      <c r="U9371" s="18"/>
      <c r="V9371" s="18" t="s">
        <v>43156</v>
      </c>
      <c r="W9371" s="18" t="s">
        <v>43157</v>
      </c>
      <c r="X9371" s="18" t="s">
        <v>35</v>
      </c>
      <c r="Y9371" s="18" t="s">
        <v>17171</v>
      </c>
      <c r="Z9371" s="18" t="s">
        <v>24637</v>
      </c>
      <c r="AA9371" s="21" t="str">
        <f>HYPERLINK("https://www.ncbi.nlm.nih.gov/nuccore/ON164284","NCBI Nucleotide")</f>
        <v>NCBI Nucleotide</v>
      </c>
    </row>
    <row r="9372" spans="1:27" x14ac:dyDescent="0.35">
      <c r="A9372">
        <v>1026752</v>
      </c>
      <c r="B9372">
        <v>8697</v>
      </c>
      <c r="C9372">
        <v>1</v>
      </c>
      <c r="D9372" s="17" t="s">
        <v>17166</v>
      </c>
      <c r="E9372" s="17"/>
      <c r="F9372" s="17" t="s">
        <v>17246</v>
      </c>
      <c r="G9372" s="17"/>
      <c r="H9372" s="17" t="s">
        <v>20919</v>
      </c>
      <c r="I9372" s="17"/>
      <c r="J9372" s="17" t="s">
        <v>21313</v>
      </c>
      <c r="K9372" s="17"/>
      <c r="L9372" s="17" t="s">
        <v>21326</v>
      </c>
      <c r="M9372" s="17"/>
      <c r="N9372" s="17" t="s">
        <v>21577</v>
      </c>
      <c r="O9372" s="17"/>
      <c r="P9372" s="17" t="s">
        <v>43158</v>
      </c>
      <c r="Q9372" s="17"/>
      <c r="R9372" s="25" t="str">
        <f>HYPERLINK("https://ictv.global/taxonomy/taxondetails?taxnode_id=202316316","Huhnivirus chthonovicinum")</f>
        <v>Huhnivirus chthonovicinum</v>
      </c>
      <c r="S9372" s="18" t="s">
        <v>30</v>
      </c>
      <c r="T9372" s="18" t="s">
        <v>43159</v>
      </c>
      <c r="U9372" s="18"/>
      <c r="V9372" s="18"/>
      <c r="W9372" s="18" t="s">
        <v>43160</v>
      </c>
      <c r="X9372" s="18" t="s">
        <v>35</v>
      </c>
      <c r="Y9372" s="18" t="s">
        <v>17171</v>
      </c>
      <c r="Z9372" s="18" t="s">
        <v>24637</v>
      </c>
      <c r="AA9372" s="21" t="str">
        <f>HYPERLINK("https://www.ncbi.nlm.nih.gov/nuccore/CASDWV010001307","NCBI Nucleotide")</f>
        <v>NCBI Nucleotide</v>
      </c>
    </row>
    <row r="9373" spans="1:27" x14ac:dyDescent="0.35">
      <c r="A9373">
        <v>1026753</v>
      </c>
      <c r="B9373">
        <v>8698</v>
      </c>
      <c r="C9373">
        <v>1</v>
      </c>
      <c r="D9373" s="17" t="s">
        <v>17166</v>
      </c>
      <c r="E9373" s="17"/>
      <c r="F9373" s="17" t="s">
        <v>17246</v>
      </c>
      <c r="G9373" s="17"/>
      <c r="H9373" s="17" t="s">
        <v>20919</v>
      </c>
      <c r="I9373" s="17"/>
      <c r="J9373" s="17" t="s">
        <v>21313</v>
      </c>
      <c r="K9373" s="17"/>
      <c r="L9373" s="17" t="s">
        <v>21326</v>
      </c>
      <c r="M9373" s="17"/>
      <c r="N9373" s="17" t="s">
        <v>21577</v>
      </c>
      <c r="O9373" s="17"/>
      <c r="P9373" s="17" t="s">
        <v>43161</v>
      </c>
      <c r="Q9373" s="17"/>
      <c r="R9373" s="25" t="str">
        <f>HYPERLINK("https://ictv.global/taxonomy/taxondetails?taxnode_id=202316317","Huhnuvirus solihabitans")</f>
        <v>Huhnuvirus solihabitans</v>
      </c>
      <c r="S9373" s="18" t="s">
        <v>30</v>
      </c>
      <c r="T9373" s="18" t="s">
        <v>43162</v>
      </c>
      <c r="U9373" s="18"/>
      <c r="V9373" s="18"/>
      <c r="W9373" s="18" t="s">
        <v>43163</v>
      </c>
      <c r="X9373" s="18" t="s">
        <v>35</v>
      </c>
      <c r="Y9373" s="18" t="s">
        <v>17171</v>
      </c>
      <c r="Z9373" s="18" t="s">
        <v>24637</v>
      </c>
      <c r="AA9373" s="21" t="str">
        <f>HYPERLINK("https://www.ncbi.nlm.nih.gov/nuccore/CASDWV010002396","NCBI Nucleotide")</f>
        <v>NCBI Nucleotide</v>
      </c>
    </row>
    <row r="9374" spans="1:27" x14ac:dyDescent="0.35">
      <c r="A9374">
        <v>1009558</v>
      </c>
      <c r="B9374">
        <v>8699</v>
      </c>
      <c r="C9374">
        <v>1</v>
      </c>
      <c r="D9374" s="17" t="s">
        <v>17166</v>
      </c>
      <c r="E9374" s="17"/>
      <c r="F9374" s="17" t="s">
        <v>17246</v>
      </c>
      <c r="G9374" s="17"/>
      <c r="H9374" s="17" t="s">
        <v>20919</v>
      </c>
      <c r="I9374" s="17"/>
      <c r="J9374" s="17" t="s">
        <v>21313</v>
      </c>
      <c r="K9374" s="17"/>
      <c r="L9374" s="17" t="s">
        <v>21326</v>
      </c>
      <c r="M9374" s="17"/>
      <c r="N9374" s="17" t="s">
        <v>21577</v>
      </c>
      <c r="O9374" s="17"/>
      <c r="P9374" s="17" t="s">
        <v>21840</v>
      </c>
      <c r="Q9374" s="17"/>
      <c r="R9374" s="25" t="str">
        <f>HYPERLINK("https://ictv.global/taxonomy/taxondetails?taxnode_id=202310388","Hukohnovirus limicola")</f>
        <v>Hukohnovirus limicola</v>
      </c>
      <c r="S9374" s="18" t="s">
        <v>30</v>
      </c>
      <c r="T9374" s="18" t="s">
        <v>21841</v>
      </c>
      <c r="U9374" s="18"/>
      <c r="V9374" s="18"/>
      <c r="W9374" s="18" t="s">
        <v>21842</v>
      </c>
      <c r="X9374" s="18" t="s">
        <v>35</v>
      </c>
      <c r="Y9374" s="18" t="s">
        <v>17171</v>
      </c>
      <c r="Z9374" s="18" t="s">
        <v>697</v>
      </c>
      <c r="AA9374" s="21" t="str">
        <f>HYPERLINK("https://www.ncbi.nlm.nih.gov/nuccore/BK014205","NCBI Nucleotide")</f>
        <v>NCBI Nucleotide</v>
      </c>
    </row>
    <row r="9375" spans="1:27" x14ac:dyDescent="0.35">
      <c r="A9375">
        <v>1026683</v>
      </c>
      <c r="B9375">
        <v>8700</v>
      </c>
      <c r="C9375">
        <v>1</v>
      </c>
      <c r="D9375" s="17" t="s">
        <v>17166</v>
      </c>
      <c r="E9375" s="17"/>
      <c r="F9375" s="17" t="s">
        <v>17246</v>
      </c>
      <c r="G9375" s="17"/>
      <c r="H9375" s="17" t="s">
        <v>20919</v>
      </c>
      <c r="I9375" s="17"/>
      <c r="J9375" s="17" t="s">
        <v>21313</v>
      </c>
      <c r="K9375" s="17"/>
      <c r="L9375" s="17" t="s">
        <v>21326</v>
      </c>
      <c r="M9375" s="17"/>
      <c r="N9375" s="17" t="s">
        <v>21577</v>
      </c>
      <c r="O9375" s="17"/>
      <c r="P9375" s="17" t="s">
        <v>43164</v>
      </c>
      <c r="Q9375" s="17"/>
      <c r="R9375" s="25" t="str">
        <f>HYPERLINK("https://ictv.global/taxonomy/taxondetails?taxnode_id=202316318","Hurlivirus arvihabitans")</f>
        <v>Hurlivirus arvihabitans</v>
      </c>
      <c r="S9375" s="18" t="s">
        <v>30</v>
      </c>
      <c r="T9375" s="18" t="s">
        <v>43165</v>
      </c>
      <c r="U9375" s="18"/>
      <c r="V9375" s="18"/>
      <c r="W9375" s="18" t="s">
        <v>43166</v>
      </c>
      <c r="X9375" s="18" t="s">
        <v>35</v>
      </c>
      <c r="Y9375" s="18" t="s">
        <v>17171</v>
      </c>
      <c r="Z9375" s="18" t="s">
        <v>24637</v>
      </c>
      <c r="AA9375" s="21" t="str">
        <f>HYPERLINK("https://www.ncbi.nlm.nih.gov/nuccore/CASDWV010004425","NCBI Nucleotide")</f>
        <v>NCBI Nucleotide</v>
      </c>
    </row>
    <row r="9376" spans="1:27" x14ac:dyDescent="0.35">
      <c r="A9376">
        <v>1026684</v>
      </c>
      <c r="B9376">
        <v>8701</v>
      </c>
      <c r="C9376">
        <v>1</v>
      </c>
      <c r="D9376" s="17" t="s">
        <v>17166</v>
      </c>
      <c r="E9376" s="17"/>
      <c r="F9376" s="17" t="s">
        <v>17246</v>
      </c>
      <c r="G9376" s="17"/>
      <c r="H9376" s="17" t="s">
        <v>20919</v>
      </c>
      <c r="I9376" s="17"/>
      <c r="J9376" s="17" t="s">
        <v>21313</v>
      </c>
      <c r="K9376" s="17"/>
      <c r="L9376" s="17" t="s">
        <v>21326</v>
      </c>
      <c r="M9376" s="17"/>
      <c r="N9376" s="17" t="s">
        <v>21577</v>
      </c>
      <c r="O9376" s="17"/>
      <c r="P9376" s="17" t="s">
        <v>43164</v>
      </c>
      <c r="Q9376" s="17"/>
      <c r="R9376" s="25" t="str">
        <f>HYPERLINK("https://ictv.global/taxonomy/taxondetails?taxnode_id=202316319","Hurlivirus geovivens")</f>
        <v>Hurlivirus geovivens</v>
      </c>
      <c r="S9376" s="18" t="s">
        <v>30</v>
      </c>
      <c r="T9376" s="18" t="s">
        <v>43167</v>
      </c>
      <c r="U9376" s="18"/>
      <c r="V9376" s="18"/>
      <c r="W9376" s="18" t="s">
        <v>43168</v>
      </c>
      <c r="X9376" s="18" t="s">
        <v>35</v>
      </c>
      <c r="Y9376" s="18" t="s">
        <v>17171</v>
      </c>
      <c r="Z9376" s="18" t="s">
        <v>24637</v>
      </c>
      <c r="AA9376" s="21" t="str">
        <f>HYPERLINK("https://www.ncbi.nlm.nih.gov/nuccore/CASDWV010004312","NCBI Nucleotide")</f>
        <v>NCBI Nucleotide</v>
      </c>
    </row>
    <row r="9377" spans="1:27" x14ac:dyDescent="0.35">
      <c r="A9377">
        <v>1026685</v>
      </c>
      <c r="B9377">
        <v>8702</v>
      </c>
      <c r="C9377">
        <v>1</v>
      </c>
      <c r="D9377" s="17" t="s">
        <v>17166</v>
      </c>
      <c r="E9377" s="17"/>
      <c r="F9377" s="17" t="s">
        <v>17246</v>
      </c>
      <c r="G9377" s="17"/>
      <c r="H9377" s="17" t="s">
        <v>20919</v>
      </c>
      <c r="I9377" s="17"/>
      <c r="J9377" s="17" t="s">
        <v>21313</v>
      </c>
      <c r="K9377" s="17"/>
      <c r="L9377" s="17" t="s">
        <v>21326</v>
      </c>
      <c r="M9377" s="17"/>
      <c r="N9377" s="17" t="s">
        <v>21577</v>
      </c>
      <c r="O9377" s="17"/>
      <c r="P9377" s="17" t="s">
        <v>43164</v>
      </c>
      <c r="Q9377" s="17"/>
      <c r="R9377" s="25" t="str">
        <f>HYPERLINK("https://ictv.global/taxonomy/taxondetails?taxnode_id=202316320","Hurlivirus radicivicinum")</f>
        <v>Hurlivirus radicivicinum</v>
      </c>
      <c r="S9377" s="18" t="s">
        <v>30</v>
      </c>
      <c r="T9377" s="18" t="s">
        <v>43169</v>
      </c>
      <c r="U9377" s="18"/>
      <c r="V9377" s="18"/>
      <c r="W9377" s="18" t="s">
        <v>43170</v>
      </c>
      <c r="X9377" s="18" t="s">
        <v>35</v>
      </c>
      <c r="Y9377" s="18" t="s">
        <v>17171</v>
      </c>
      <c r="Z9377" s="18" t="s">
        <v>24637</v>
      </c>
      <c r="AA9377" s="21" t="str">
        <f>HYPERLINK("https://www.ncbi.nlm.nih.gov/nuccore/CASDWV010000603","NCBI Nucleotide")</f>
        <v>NCBI Nucleotide</v>
      </c>
    </row>
    <row r="9378" spans="1:27" x14ac:dyDescent="0.35">
      <c r="A9378">
        <v>1026686</v>
      </c>
      <c r="B9378">
        <v>8703</v>
      </c>
      <c r="C9378">
        <v>1</v>
      </c>
      <c r="D9378" s="17" t="s">
        <v>17166</v>
      </c>
      <c r="E9378" s="17"/>
      <c r="F9378" s="17" t="s">
        <v>17246</v>
      </c>
      <c r="G9378" s="17"/>
      <c r="H9378" s="17" t="s">
        <v>20919</v>
      </c>
      <c r="I9378" s="17"/>
      <c r="J9378" s="17" t="s">
        <v>21313</v>
      </c>
      <c r="K9378" s="17"/>
      <c r="L9378" s="17" t="s">
        <v>21326</v>
      </c>
      <c r="M9378" s="17"/>
      <c r="N9378" s="17" t="s">
        <v>21577</v>
      </c>
      <c r="O9378" s="17"/>
      <c r="P9378" s="17" t="s">
        <v>43164</v>
      </c>
      <c r="Q9378" s="17"/>
      <c r="R9378" s="25" t="str">
        <f>HYPERLINK("https://ictv.global/taxonomy/taxondetails?taxnode_id=202316321","Hurlivirus segetivivens")</f>
        <v>Hurlivirus segetivivens</v>
      </c>
      <c r="S9378" s="18" t="s">
        <v>30</v>
      </c>
      <c r="T9378" s="18" t="s">
        <v>43171</v>
      </c>
      <c r="U9378" s="18"/>
      <c r="V9378" s="18"/>
      <c r="W9378" s="18" t="s">
        <v>43172</v>
      </c>
      <c r="X9378" s="18" t="s">
        <v>35</v>
      </c>
      <c r="Y9378" s="18" t="s">
        <v>17171</v>
      </c>
      <c r="Z9378" s="18" t="s">
        <v>24637</v>
      </c>
      <c r="AA9378" s="21" t="str">
        <f>HYPERLINK("https://www.ncbi.nlm.nih.gov/nuccore/CASDWV010004230","NCBI Nucleotide")</f>
        <v>NCBI Nucleotide</v>
      </c>
    </row>
    <row r="9379" spans="1:27" x14ac:dyDescent="0.35">
      <c r="A9379">
        <v>1026668</v>
      </c>
      <c r="B9379">
        <v>8704</v>
      </c>
      <c r="C9379">
        <v>1</v>
      </c>
      <c r="D9379" s="17" t="s">
        <v>17166</v>
      </c>
      <c r="E9379" s="17"/>
      <c r="F9379" s="17" t="s">
        <v>17246</v>
      </c>
      <c r="G9379" s="17"/>
      <c r="H9379" s="17" t="s">
        <v>20919</v>
      </c>
      <c r="I9379" s="17"/>
      <c r="J9379" s="17" t="s">
        <v>21313</v>
      </c>
      <c r="K9379" s="17"/>
      <c r="L9379" s="17" t="s">
        <v>21326</v>
      </c>
      <c r="M9379" s="17"/>
      <c r="N9379" s="17" t="s">
        <v>21577</v>
      </c>
      <c r="O9379" s="17"/>
      <c r="P9379" s="17" t="s">
        <v>21843</v>
      </c>
      <c r="Q9379" s="17"/>
      <c r="R9379" s="25" t="str">
        <f>HYPERLINK("https://ictv.global/taxonomy/taxondetails?taxnode_id=202316322","Icumivirus arvadaptatum")</f>
        <v>Icumivirus arvadaptatum</v>
      </c>
      <c r="S9379" s="18" t="s">
        <v>30</v>
      </c>
      <c r="T9379" s="18" t="s">
        <v>43173</v>
      </c>
      <c r="U9379" s="18"/>
      <c r="V9379" s="18"/>
      <c r="W9379" s="18" t="s">
        <v>43174</v>
      </c>
      <c r="X9379" s="18" t="s">
        <v>35</v>
      </c>
      <c r="Y9379" s="18" t="s">
        <v>17171</v>
      </c>
      <c r="Z9379" s="18" t="s">
        <v>24637</v>
      </c>
      <c r="AA9379" s="21" t="str">
        <f>HYPERLINK("https://www.ncbi.nlm.nih.gov/nuccore/CASDWV010002403","NCBI Nucleotide")</f>
        <v>NCBI Nucleotide</v>
      </c>
    </row>
    <row r="9380" spans="1:27" x14ac:dyDescent="0.35">
      <c r="A9380">
        <v>1026669</v>
      </c>
      <c r="B9380">
        <v>8705</v>
      </c>
      <c r="C9380">
        <v>1</v>
      </c>
      <c r="D9380" s="17" t="s">
        <v>17166</v>
      </c>
      <c r="E9380" s="17"/>
      <c r="F9380" s="17" t="s">
        <v>17246</v>
      </c>
      <c r="G9380" s="17"/>
      <c r="H9380" s="17" t="s">
        <v>20919</v>
      </c>
      <c r="I9380" s="17"/>
      <c r="J9380" s="17" t="s">
        <v>21313</v>
      </c>
      <c r="K9380" s="17"/>
      <c r="L9380" s="17" t="s">
        <v>21326</v>
      </c>
      <c r="M9380" s="17"/>
      <c r="N9380" s="17" t="s">
        <v>21577</v>
      </c>
      <c r="O9380" s="17"/>
      <c r="P9380" s="17" t="s">
        <v>21843</v>
      </c>
      <c r="Q9380" s="17"/>
      <c r="R9380" s="25" t="str">
        <f>HYPERLINK("https://ictv.global/taxonomy/taxondetails?taxnode_id=202316323","Icumivirus chorocola")</f>
        <v>Icumivirus chorocola</v>
      </c>
      <c r="S9380" s="18" t="s">
        <v>30</v>
      </c>
      <c r="T9380" s="18" t="s">
        <v>43175</v>
      </c>
      <c r="U9380" s="18"/>
      <c r="V9380" s="18"/>
      <c r="W9380" s="18" t="s">
        <v>43176</v>
      </c>
      <c r="X9380" s="18" t="s">
        <v>35</v>
      </c>
      <c r="Y9380" s="18" t="s">
        <v>17171</v>
      </c>
      <c r="Z9380" s="18" t="s">
        <v>24637</v>
      </c>
      <c r="AA9380" s="21" t="str">
        <f>HYPERLINK("https://www.ncbi.nlm.nih.gov/nuccore/CASDWV010000475","NCBI Nucleotide")</f>
        <v>NCBI Nucleotide</v>
      </c>
    </row>
    <row r="9381" spans="1:27" x14ac:dyDescent="0.35">
      <c r="A9381">
        <v>1026670</v>
      </c>
      <c r="B9381">
        <v>8706</v>
      </c>
      <c r="C9381">
        <v>1</v>
      </c>
      <c r="D9381" s="17" t="s">
        <v>17166</v>
      </c>
      <c r="E9381" s="17"/>
      <c r="F9381" s="17" t="s">
        <v>17246</v>
      </c>
      <c r="G9381" s="17"/>
      <c r="H9381" s="17" t="s">
        <v>20919</v>
      </c>
      <c r="I9381" s="17"/>
      <c r="J9381" s="17" t="s">
        <v>21313</v>
      </c>
      <c r="K9381" s="17"/>
      <c r="L9381" s="17" t="s">
        <v>21326</v>
      </c>
      <c r="M9381" s="17"/>
      <c r="N9381" s="17" t="s">
        <v>21577</v>
      </c>
      <c r="O9381" s="17"/>
      <c r="P9381" s="17" t="s">
        <v>21843</v>
      </c>
      <c r="Q9381" s="17"/>
      <c r="R9381" s="25" t="str">
        <f>HYPERLINK("https://ictv.global/taxonomy/taxondetails?taxnode_id=202316324","Icumivirus edaphohabitans")</f>
        <v>Icumivirus edaphohabitans</v>
      </c>
      <c r="S9381" s="18" t="s">
        <v>30</v>
      </c>
      <c r="T9381" s="18" t="s">
        <v>43177</v>
      </c>
      <c r="U9381" s="18"/>
      <c r="V9381" s="19"/>
      <c r="W9381" s="18" t="s">
        <v>43178</v>
      </c>
      <c r="X9381" s="18" t="s">
        <v>35</v>
      </c>
      <c r="Y9381" s="18" t="s">
        <v>17171</v>
      </c>
      <c r="Z9381" s="18" t="s">
        <v>24637</v>
      </c>
      <c r="AA9381" s="21" t="str">
        <f>HYPERLINK("https://www.ncbi.nlm.nih.gov/nuccore/CASDWV010002663","NCBI Nucleotide")</f>
        <v>NCBI Nucleotide</v>
      </c>
    </row>
    <row r="9382" spans="1:27" x14ac:dyDescent="0.35">
      <c r="A9382">
        <v>1009559</v>
      </c>
      <c r="B9382">
        <v>8707</v>
      </c>
      <c r="C9382">
        <v>1</v>
      </c>
      <c r="D9382" s="17" t="s">
        <v>17166</v>
      </c>
      <c r="E9382" s="17"/>
      <c r="F9382" s="17" t="s">
        <v>17246</v>
      </c>
      <c r="G9382" s="17"/>
      <c r="H9382" s="17" t="s">
        <v>20919</v>
      </c>
      <c r="I9382" s="17"/>
      <c r="J9382" s="17" t="s">
        <v>21313</v>
      </c>
      <c r="K9382" s="17"/>
      <c r="L9382" s="17" t="s">
        <v>21326</v>
      </c>
      <c r="M9382" s="17"/>
      <c r="N9382" s="17" t="s">
        <v>21577</v>
      </c>
      <c r="O9382" s="17"/>
      <c r="P9382" s="17" t="s">
        <v>21843</v>
      </c>
      <c r="Q9382" s="17"/>
      <c r="R9382" s="25" t="str">
        <f>HYPERLINK("https://ictv.global/taxonomy/taxondetails?taxnode_id=202310390","Icumivirus limivivens")</f>
        <v>Icumivirus limivivens</v>
      </c>
      <c r="S9382" s="18" t="s">
        <v>30</v>
      </c>
      <c r="T9382" s="18" t="s">
        <v>21844</v>
      </c>
      <c r="U9382" s="18"/>
      <c r="V9382" s="18"/>
      <c r="W9382" s="18" t="s">
        <v>21845</v>
      </c>
      <c r="X9382" s="18" t="s">
        <v>35</v>
      </c>
      <c r="Y9382" s="18" t="s">
        <v>17171</v>
      </c>
      <c r="Z9382" s="18" t="s">
        <v>697</v>
      </c>
      <c r="AA9382" s="21" t="str">
        <f>HYPERLINK("https://www.ncbi.nlm.nih.gov/nuccore/BK013767","NCBI Nucleotide")</f>
        <v>NCBI Nucleotide</v>
      </c>
    </row>
    <row r="9383" spans="1:27" x14ac:dyDescent="0.35">
      <c r="A9383">
        <v>1009560</v>
      </c>
      <c r="B9383">
        <v>8708</v>
      </c>
      <c r="C9383">
        <v>1</v>
      </c>
      <c r="D9383" s="17" t="s">
        <v>17166</v>
      </c>
      <c r="E9383" s="17"/>
      <c r="F9383" s="17" t="s">
        <v>17246</v>
      </c>
      <c r="G9383" s="17"/>
      <c r="H9383" s="17" t="s">
        <v>20919</v>
      </c>
      <c r="I9383" s="17"/>
      <c r="J9383" s="17" t="s">
        <v>21313</v>
      </c>
      <c r="K9383" s="17"/>
      <c r="L9383" s="17" t="s">
        <v>21326</v>
      </c>
      <c r="M9383" s="17"/>
      <c r="N9383" s="17" t="s">
        <v>21577</v>
      </c>
      <c r="O9383" s="17"/>
      <c r="P9383" s="17" t="s">
        <v>21846</v>
      </c>
      <c r="Q9383" s="17"/>
      <c r="R9383" s="25" t="str">
        <f>HYPERLINK("https://ictv.global/taxonomy/taxondetails?taxnode_id=202310392","Ideskevirus lutadaptatum")</f>
        <v>Ideskevirus lutadaptatum</v>
      </c>
      <c r="S9383" s="18" t="s">
        <v>30</v>
      </c>
      <c r="T9383" s="18" t="s">
        <v>21847</v>
      </c>
      <c r="U9383" s="18"/>
      <c r="V9383" s="18"/>
      <c r="W9383" s="18" t="s">
        <v>21848</v>
      </c>
      <c r="X9383" s="18" t="s">
        <v>35</v>
      </c>
      <c r="Y9383" s="18" t="s">
        <v>17171</v>
      </c>
      <c r="Z9383" s="18" t="s">
        <v>697</v>
      </c>
      <c r="AA9383" s="21" t="str">
        <f>HYPERLINK("https://www.ncbi.nlm.nih.gov/nuccore/BK013721","NCBI Nucleotide")</f>
        <v>NCBI Nucleotide</v>
      </c>
    </row>
    <row r="9384" spans="1:27" x14ac:dyDescent="0.35">
      <c r="A9384">
        <v>1026671</v>
      </c>
      <c r="B9384">
        <v>8709</v>
      </c>
      <c r="C9384">
        <v>1</v>
      </c>
      <c r="D9384" s="17" t="s">
        <v>17166</v>
      </c>
      <c r="E9384" s="17"/>
      <c r="F9384" s="17" t="s">
        <v>17246</v>
      </c>
      <c r="G9384" s="17"/>
      <c r="H9384" s="17" t="s">
        <v>20919</v>
      </c>
      <c r="I9384" s="17"/>
      <c r="J9384" s="17" t="s">
        <v>21313</v>
      </c>
      <c r="K9384" s="17"/>
      <c r="L9384" s="17" t="s">
        <v>21326</v>
      </c>
      <c r="M9384" s="17"/>
      <c r="N9384" s="17" t="s">
        <v>21577</v>
      </c>
      <c r="O9384" s="17"/>
      <c r="P9384" s="17" t="s">
        <v>43179</v>
      </c>
      <c r="Q9384" s="17"/>
      <c r="R9384" s="25" t="str">
        <f>HYPERLINK("https://ictv.global/taxonomy/taxondetails?taxnode_id=202316325","Idlucavirus luticola")</f>
        <v>Idlucavirus luticola</v>
      </c>
      <c r="S9384" s="18" t="s">
        <v>30</v>
      </c>
      <c r="T9384" s="18" t="s">
        <v>43180</v>
      </c>
      <c r="U9384" s="18"/>
      <c r="V9384" s="18"/>
      <c r="W9384" s="18" t="s">
        <v>43181</v>
      </c>
      <c r="X9384" s="18" t="s">
        <v>35</v>
      </c>
      <c r="Y9384" s="18" t="s">
        <v>17171</v>
      </c>
      <c r="Z9384" s="18" t="s">
        <v>24637</v>
      </c>
      <c r="AA9384" s="21" t="str">
        <f>HYPERLINK("https://www.ncbi.nlm.nih.gov/nuccore/CASDWV010000896","NCBI Nucleotide")</f>
        <v>NCBI Nucleotide</v>
      </c>
    </row>
    <row r="9385" spans="1:27" x14ac:dyDescent="0.35">
      <c r="A9385">
        <v>1009561</v>
      </c>
      <c r="B9385">
        <v>8710</v>
      </c>
      <c r="C9385">
        <v>1</v>
      </c>
      <c r="D9385" s="17" t="s">
        <v>17166</v>
      </c>
      <c r="E9385" s="17"/>
      <c r="F9385" s="17" t="s">
        <v>17246</v>
      </c>
      <c r="G9385" s="17"/>
      <c r="H9385" s="17" t="s">
        <v>20919</v>
      </c>
      <c r="I9385" s="17"/>
      <c r="J9385" s="17" t="s">
        <v>21313</v>
      </c>
      <c r="K9385" s="17"/>
      <c r="L9385" s="17" t="s">
        <v>21326</v>
      </c>
      <c r="M9385" s="17"/>
      <c r="N9385" s="17" t="s">
        <v>21577</v>
      </c>
      <c r="O9385" s="17"/>
      <c r="P9385" s="17" t="s">
        <v>21849</v>
      </c>
      <c r="Q9385" s="17"/>
      <c r="R9385" s="25" t="str">
        <f>HYPERLINK("https://ictv.global/taxonomy/taxondetails?taxnode_id=202310395","Imeberivirus lutenecus")</f>
        <v>Imeberivirus lutenecus</v>
      </c>
      <c r="S9385" s="18" t="s">
        <v>30</v>
      </c>
      <c r="T9385" s="18" t="s">
        <v>21850</v>
      </c>
      <c r="U9385" s="18"/>
      <c r="V9385" s="18"/>
      <c r="W9385" s="18" t="s">
        <v>21851</v>
      </c>
      <c r="X9385" s="18" t="s">
        <v>35</v>
      </c>
      <c r="Y9385" s="18" t="s">
        <v>17171</v>
      </c>
      <c r="Z9385" s="18" t="s">
        <v>697</v>
      </c>
      <c r="AA9385" s="21" t="str">
        <f>HYPERLINK("https://www.ncbi.nlm.nih.gov/nuccore/BK013615","NCBI Nucleotide")</f>
        <v>NCBI Nucleotide</v>
      </c>
    </row>
    <row r="9386" spans="1:27" x14ac:dyDescent="0.35">
      <c r="A9386">
        <v>1009562</v>
      </c>
      <c r="B9386">
        <v>8711</v>
      </c>
      <c r="C9386">
        <v>1</v>
      </c>
      <c r="D9386" s="17" t="s">
        <v>17166</v>
      </c>
      <c r="E9386" s="17"/>
      <c r="F9386" s="17" t="s">
        <v>17246</v>
      </c>
      <c r="G9386" s="17"/>
      <c r="H9386" s="17" t="s">
        <v>20919</v>
      </c>
      <c r="I9386" s="17"/>
      <c r="J9386" s="17" t="s">
        <v>21313</v>
      </c>
      <c r="K9386" s="17"/>
      <c r="L9386" s="17" t="s">
        <v>21326</v>
      </c>
      <c r="M9386" s="17"/>
      <c r="N9386" s="17" t="s">
        <v>21577</v>
      </c>
      <c r="O9386" s="17"/>
      <c r="P9386" s="17" t="s">
        <v>21849</v>
      </c>
      <c r="Q9386" s="17"/>
      <c r="R9386" s="25" t="str">
        <f>HYPERLINK("https://ictv.global/taxonomy/taxondetails?taxnode_id=202310394","Imeberivirus luticola")</f>
        <v>Imeberivirus luticola</v>
      </c>
      <c r="S9386" s="18" t="s">
        <v>30</v>
      </c>
      <c r="T9386" s="18" t="s">
        <v>21852</v>
      </c>
      <c r="U9386" s="18"/>
      <c r="V9386" s="18"/>
      <c r="W9386" s="18" t="s">
        <v>21853</v>
      </c>
      <c r="X9386" s="18" t="s">
        <v>35</v>
      </c>
      <c r="Y9386" s="18" t="s">
        <v>17171</v>
      </c>
      <c r="Z9386" s="18" t="s">
        <v>697</v>
      </c>
      <c r="AA9386" s="21" t="str">
        <f>HYPERLINK("https://www.ncbi.nlm.nih.gov/nuccore/BK014207","NCBI Nucleotide")</f>
        <v>NCBI Nucleotide</v>
      </c>
    </row>
    <row r="9387" spans="1:27" x14ac:dyDescent="0.35">
      <c r="A9387">
        <v>1009563</v>
      </c>
      <c r="B9387">
        <v>8712</v>
      </c>
      <c r="C9387">
        <v>1</v>
      </c>
      <c r="D9387" s="17" t="s">
        <v>17166</v>
      </c>
      <c r="E9387" s="17"/>
      <c r="F9387" s="17" t="s">
        <v>17246</v>
      </c>
      <c r="G9387" s="17"/>
      <c r="H9387" s="17" t="s">
        <v>20919</v>
      </c>
      <c r="I9387" s="17"/>
      <c r="J9387" s="17" t="s">
        <v>21313</v>
      </c>
      <c r="K9387" s="17"/>
      <c r="L9387" s="17" t="s">
        <v>21326</v>
      </c>
      <c r="M9387" s="17"/>
      <c r="N9387" s="17" t="s">
        <v>21577</v>
      </c>
      <c r="O9387" s="17"/>
      <c r="P9387" s="17" t="s">
        <v>21854</v>
      </c>
      <c r="Q9387" s="17"/>
      <c r="R9387" s="25" t="str">
        <f>HYPERLINK("https://ictv.global/taxonomy/taxondetails?taxnode_id=202310398","Ineyimevirus lutihabitans")</f>
        <v>Ineyimevirus lutihabitans</v>
      </c>
      <c r="S9387" s="18" t="s">
        <v>30</v>
      </c>
      <c r="T9387" s="18" t="s">
        <v>21855</v>
      </c>
      <c r="U9387" s="18"/>
      <c r="V9387" s="18"/>
      <c r="W9387" s="18" t="s">
        <v>21856</v>
      </c>
      <c r="X9387" s="18" t="s">
        <v>35</v>
      </c>
      <c r="Y9387" s="18" t="s">
        <v>17171</v>
      </c>
      <c r="Z9387" s="18" t="s">
        <v>697</v>
      </c>
      <c r="AA9387" s="21" t="str">
        <f>HYPERLINK("https://www.ncbi.nlm.nih.gov/nuccore/BK013758","NCBI Nucleotide")</f>
        <v>NCBI Nucleotide</v>
      </c>
    </row>
    <row r="9388" spans="1:27" x14ac:dyDescent="0.35">
      <c r="A9388">
        <v>1009564</v>
      </c>
      <c r="B9388">
        <v>8713</v>
      </c>
      <c r="C9388">
        <v>1</v>
      </c>
      <c r="D9388" s="17" t="s">
        <v>17166</v>
      </c>
      <c r="E9388" s="17"/>
      <c r="F9388" s="17" t="s">
        <v>17246</v>
      </c>
      <c r="G9388" s="17"/>
      <c r="H9388" s="17" t="s">
        <v>20919</v>
      </c>
      <c r="I9388" s="17"/>
      <c r="J9388" s="17" t="s">
        <v>21313</v>
      </c>
      <c r="K9388" s="17"/>
      <c r="L9388" s="17" t="s">
        <v>21326</v>
      </c>
      <c r="M9388" s="17"/>
      <c r="N9388" s="17" t="s">
        <v>21577</v>
      </c>
      <c r="O9388" s="17"/>
      <c r="P9388" s="17" t="s">
        <v>21854</v>
      </c>
      <c r="Q9388" s="17"/>
      <c r="R9388" s="25" t="str">
        <f>HYPERLINK("https://ictv.global/taxonomy/taxondetails?taxnode_id=202310397","Ineyimevirus lutivicinum")</f>
        <v>Ineyimevirus lutivicinum</v>
      </c>
      <c r="S9388" s="18" t="s">
        <v>30</v>
      </c>
      <c r="T9388" s="18" t="s">
        <v>21857</v>
      </c>
      <c r="U9388" s="18"/>
      <c r="V9388" s="18"/>
      <c r="W9388" s="18" t="s">
        <v>21858</v>
      </c>
      <c r="X9388" s="18" t="s">
        <v>35</v>
      </c>
      <c r="Y9388" s="18" t="s">
        <v>17171</v>
      </c>
      <c r="Z9388" s="18" t="s">
        <v>697</v>
      </c>
      <c r="AA9388" s="21" t="str">
        <f>HYPERLINK("https://www.ncbi.nlm.nih.gov/nuccore/BK014215","NCBI Nucleotide")</f>
        <v>NCBI Nucleotide</v>
      </c>
    </row>
    <row r="9389" spans="1:27" x14ac:dyDescent="0.35">
      <c r="A9389">
        <v>1009565</v>
      </c>
      <c r="B9389">
        <v>8714</v>
      </c>
      <c r="C9389">
        <v>1</v>
      </c>
      <c r="D9389" s="17" t="s">
        <v>17166</v>
      </c>
      <c r="E9389" s="17"/>
      <c r="F9389" s="17" t="s">
        <v>17246</v>
      </c>
      <c r="G9389" s="17"/>
      <c r="H9389" s="17" t="s">
        <v>20919</v>
      </c>
      <c r="I9389" s="17"/>
      <c r="J9389" s="17" t="s">
        <v>21313</v>
      </c>
      <c r="K9389" s="17"/>
      <c r="L9389" s="17" t="s">
        <v>21326</v>
      </c>
      <c r="M9389" s="17"/>
      <c r="N9389" s="17" t="s">
        <v>21577</v>
      </c>
      <c r="O9389" s="17"/>
      <c r="P9389" s="17" t="s">
        <v>21859</v>
      </c>
      <c r="Q9389" s="17"/>
      <c r="R9389" s="25" t="str">
        <f>HYPERLINK("https://ictv.global/taxonomy/taxondetails?taxnode_id=202310400","Iruqauvirus pelocola")</f>
        <v>Iruqauvirus pelocola</v>
      </c>
      <c r="S9389" s="18" t="s">
        <v>30</v>
      </c>
      <c r="T9389" s="18" t="s">
        <v>21860</v>
      </c>
      <c r="U9389" s="18"/>
      <c r="V9389" s="18"/>
      <c r="W9389" s="18" t="s">
        <v>21861</v>
      </c>
      <c r="X9389" s="18" t="s">
        <v>35</v>
      </c>
      <c r="Y9389" s="18" t="s">
        <v>17171</v>
      </c>
      <c r="Z9389" s="18" t="s">
        <v>697</v>
      </c>
      <c r="AA9389" s="21" t="str">
        <f>HYPERLINK("https://www.ncbi.nlm.nih.gov/nuccore/BK013669","NCBI Nucleotide")</f>
        <v>NCBI Nucleotide</v>
      </c>
    </row>
    <row r="9390" spans="1:27" x14ac:dyDescent="0.35">
      <c r="A9390">
        <v>1009566</v>
      </c>
      <c r="B9390">
        <v>8715</v>
      </c>
      <c r="C9390">
        <v>1</v>
      </c>
      <c r="D9390" s="17" t="s">
        <v>17166</v>
      </c>
      <c r="E9390" s="17"/>
      <c r="F9390" s="17" t="s">
        <v>17246</v>
      </c>
      <c r="G9390" s="17"/>
      <c r="H9390" s="17" t="s">
        <v>20919</v>
      </c>
      <c r="I9390" s="17"/>
      <c r="J9390" s="17" t="s">
        <v>21313</v>
      </c>
      <c r="K9390" s="17"/>
      <c r="L9390" s="17" t="s">
        <v>21326</v>
      </c>
      <c r="M9390" s="17"/>
      <c r="N9390" s="17" t="s">
        <v>21577</v>
      </c>
      <c r="O9390" s="17"/>
      <c r="P9390" s="17" t="s">
        <v>21862</v>
      </c>
      <c r="Q9390" s="17"/>
      <c r="R9390" s="25" t="str">
        <f>HYPERLINK("https://ictv.global/taxonomy/taxondetails?taxnode_id=202310402","Ishugivirus pelohabitans")</f>
        <v>Ishugivirus pelohabitans</v>
      </c>
      <c r="S9390" s="18" t="s">
        <v>30</v>
      </c>
      <c r="T9390" s="18" t="s">
        <v>21863</v>
      </c>
      <c r="U9390" s="18"/>
      <c r="V9390" s="18"/>
      <c r="W9390" s="18" t="s">
        <v>21864</v>
      </c>
      <c r="X9390" s="18" t="s">
        <v>35</v>
      </c>
      <c r="Y9390" s="18" t="s">
        <v>17171</v>
      </c>
      <c r="Z9390" s="18" t="s">
        <v>697</v>
      </c>
      <c r="AA9390" s="21" t="str">
        <f>HYPERLINK("https://www.ncbi.nlm.nih.gov/nuccore/BK014198","NCBI Nucleotide")</f>
        <v>NCBI Nucleotide</v>
      </c>
    </row>
    <row r="9391" spans="1:27" x14ac:dyDescent="0.35">
      <c r="A9391">
        <v>1009567</v>
      </c>
      <c r="B9391">
        <v>8716</v>
      </c>
      <c r="C9391">
        <v>1</v>
      </c>
      <c r="D9391" s="17" t="s">
        <v>17166</v>
      </c>
      <c r="E9391" s="17"/>
      <c r="F9391" s="17" t="s">
        <v>17246</v>
      </c>
      <c r="G9391" s="17"/>
      <c r="H9391" s="17" t="s">
        <v>20919</v>
      </c>
      <c r="I9391" s="17"/>
      <c r="J9391" s="17" t="s">
        <v>21313</v>
      </c>
      <c r="K9391" s="17"/>
      <c r="L9391" s="17" t="s">
        <v>21326</v>
      </c>
      <c r="M9391" s="17"/>
      <c r="N9391" s="17" t="s">
        <v>21577</v>
      </c>
      <c r="O9391" s="17"/>
      <c r="P9391" s="17" t="s">
        <v>21865</v>
      </c>
      <c r="Q9391" s="17"/>
      <c r="R9391" s="25" t="str">
        <f>HYPERLINK("https://ictv.global/taxonomy/taxondetails?taxnode_id=202310404","Jiesduavirus defluviicola")</f>
        <v>Jiesduavirus defluviicola</v>
      </c>
      <c r="S9391" s="18" t="s">
        <v>30</v>
      </c>
      <c r="T9391" s="18" t="s">
        <v>21866</v>
      </c>
      <c r="U9391" s="18"/>
      <c r="V9391" s="18"/>
      <c r="W9391" s="18" t="s">
        <v>21867</v>
      </c>
      <c r="X9391" s="18" t="s">
        <v>35</v>
      </c>
      <c r="Y9391" s="18" t="s">
        <v>17171</v>
      </c>
      <c r="Z9391" s="18" t="s">
        <v>697</v>
      </c>
      <c r="AA9391" s="21" t="str">
        <f>HYPERLINK("https://www.ncbi.nlm.nih.gov/nuccore/BK013378","NCBI Nucleotide")</f>
        <v>NCBI Nucleotide</v>
      </c>
    </row>
    <row r="9392" spans="1:27" x14ac:dyDescent="0.35">
      <c r="A9392">
        <v>1026785</v>
      </c>
      <c r="B9392">
        <v>8717</v>
      </c>
      <c r="C9392">
        <v>1</v>
      </c>
      <c r="D9392" s="17" t="s">
        <v>17166</v>
      </c>
      <c r="E9392" s="17"/>
      <c r="F9392" s="17" t="s">
        <v>17246</v>
      </c>
      <c r="G9392" s="17"/>
      <c r="H9392" s="17" t="s">
        <v>20919</v>
      </c>
      <c r="I9392" s="17"/>
      <c r="J9392" s="17" t="s">
        <v>21313</v>
      </c>
      <c r="K9392" s="17"/>
      <c r="L9392" s="17" t="s">
        <v>21326</v>
      </c>
      <c r="M9392" s="17"/>
      <c r="N9392" s="17" t="s">
        <v>21577</v>
      </c>
      <c r="O9392" s="17"/>
      <c r="P9392" s="17" t="s">
        <v>21865</v>
      </c>
      <c r="Q9392" s="17"/>
      <c r="R9392" s="25" t="str">
        <f>HYPERLINK("https://ictv.global/taxonomy/taxondetails?taxnode_id=202316326","Jiesduavirus dinebricola")</f>
        <v>Jiesduavirus dinebricola</v>
      </c>
      <c r="S9392" s="18" t="s">
        <v>30</v>
      </c>
      <c r="T9392" s="18" t="s">
        <v>43182</v>
      </c>
      <c r="U9392" s="18"/>
      <c r="V9392" s="18" t="s">
        <v>43183</v>
      </c>
      <c r="W9392" s="18" t="s">
        <v>43184</v>
      </c>
      <c r="X9392" s="18" t="s">
        <v>35</v>
      </c>
      <c r="Y9392" s="18" t="s">
        <v>17171</v>
      </c>
      <c r="Z9392" s="18" t="s">
        <v>17336</v>
      </c>
      <c r="AA9392" s="21" t="str">
        <f>HYPERLINK("https://www.ncbi.nlm.nih.gov/nuccore/OM514471","NCBI Nucleotide")</f>
        <v>NCBI Nucleotide</v>
      </c>
    </row>
    <row r="9393" spans="1:27" x14ac:dyDescent="0.35">
      <c r="A9393">
        <v>1009568</v>
      </c>
      <c r="B9393">
        <v>8718</v>
      </c>
      <c r="C9393">
        <v>1</v>
      </c>
      <c r="D9393" s="17" t="s">
        <v>17166</v>
      </c>
      <c r="E9393" s="17"/>
      <c r="F9393" s="17" t="s">
        <v>17246</v>
      </c>
      <c r="G9393" s="17"/>
      <c r="H9393" s="17" t="s">
        <v>20919</v>
      </c>
      <c r="I9393" s="17"/>
      <c r="J9393" s="17" t="s">
        <v>21313</v>
      </c>
      <c r="K9393" s="17"/>
      <c r="L9393" s="17" t="s">
        <v>21326</v>
      </c>
      <c r="M9393" s="17"/>
      <c r="N9393" s="17" t="s">
        <v>21577</v>
      </c>
      <c r="O9393" s="17"/>
      <c r="P9393" s="17" t="s">
        <v>21868</v>
      </c>
      <c r="Q9393" s="17"/>
      <c r="R9393" s="25" t="str">
        <f>HYPERLINK("https://ictv.global/taxonomy/taxondetails?taxnode_id=202310406","Johnovirus asienecus")</f>
        <v>Johnovirus asienecus</v>
      </c>
      <c r="S9393" s="18" t="s">
        <v>30</v>
      </c>
      <c r="T9393" s="18" t="s">
        <v>21869</v>
      </c>
      <c r="U9393" s="18"/>
      <c r="V9393" s="18"/>
      <c r="W9393" s="18" t="s">
        <v>21870</v>
      </c>
      <c r="X9393" s="18" t="s">
        <v>35</v>
      </c>
      <c r="Y9393" s="18" t="s">
        <v>17171</v>
      </c>
      <c r="Z9393" s="18" t="s">
        <v>697</v>
      </c>
      <c r="AA9393" s="21" t="str">
        <f>HYPERLINK("https://www.ncbi.nlm.nih.gov/nuccore/BK013700","NCBI Nucleotide")</f>
        <v>NCBI Nucleotide</v>
      </c>
    </row>
    <row r="9394" spans="1:27" x14ac:dyDescent="0.35">
      <c r="A9394">
        <v>1009569</v>
      </c>
      <c r="B9394">
        <v>8719</v>
      </c>
      <c r="C9394">
        <v>1</v>
      </c>
      <c r="D9394" s="17" t="s">
        <v>17166</v>
      </c>
      <c r="E9394" s="17"/>
      <c r="F9394" s="17" t="s">
        <v>17246</v>
      </c>
      <c r="G9394" s="17"/>
      <c r="H9394" s="17" t="s">
        <v>20919</v>
      </c>
      <c r="I9394" s="17"/>
      <c r="J9394" s="17" t="s">
        <v>21313</v>
      </c>
      <c r="K9394" s="17"/>
      <c r="L9394" s="17" t="s">
        <v>21326</v>
      </c>
      <c r="M9394" s="17"/>
      <c r="N9394" s="17" t="s">
        <v>21577</v>
      </c>
      <c r="O9394" s="17"/>
      <c r="P9394" s="17" t="s">
        <v>21871</v>
      </c>
      <c r="Q9394" s="17"/>
      <c r="R9394" s="25" t="str">
        <f>HYPERLINK("https://ictv.global/taxonomy/taxondetails?taxnode_id=202310408","Jupbevirus asiocola")</f>
        <v>Jupbevirus asiocola</v>
      </c>
      <c r="S9394" s="18" t="s">
        <v>30</v>
      </c>
      <c r="T9394" s="18" t="s">
        <v>21872</v>
      </c>
      <c r="U9394" s="18"/>
      <c r="V9394" s="18"/>
      <c r="W9394" s="18" t="s">
        <v>21873</v>
      </c>
      <c r="X9394" s="18" t="s">
        <v>35</v>
      </c>
      <c r="Y9394" s="18" t="s">
        <v>17171</v>
      </c>
      <c r="Z9394" s="18" t="s">
        <v>697</v>
      </c>
      <c r="AA9394" s="21" t="str">
        <f>HYPERLINK("https://www.ncbi.nlm.nih.gov/nuccore/BK014095","NCBI Nucleotide")</f>
        <v>NCBI Nucleotide</v>
      </c>
    </row>
    <row r="9395" spans="1:27" x14ac:dyDescent="0.35">
      <c r="A9395">
        <v>1009570</v>
      </c>
      <c r="B9395">
        <v>8720</v>
      </c>
      <c r="C9395">
        <v>1</v>
      </c>
      <c r="D9395" s="17" t="s">
        <v>17166</v>
      </c>
      <c r="E9395" s="17"/>
      <c r="F9395" s="17" t="s">
        <v>17246</v>
      </c>
      <c r="G9395" s="17"/>
      <c r="H9395" s="17" t="s">
        <v>20919</v>
      </c>
      <c r="I9395" s="17"/>
      <c r="J9395" s="17" t="s">
        <v>21313</v>
      </c>
      <c r="K9395" s="17"/>
      <c r="L9395" s="17" t="s">
        <v>21326</v>
      </c>
      <c r="M9395" s="17"/>
      <c r="N9395" s="17" t="s">
        <v>21577</v>
      </c>
      <c r="O9395" s="17"/>
      <c r="P9395" s="17" t="s">
        <v>21871</v>
      </c>
      <c r="Q9395" s="17"/>
      <c r="R9395" s="25" t="str">
        <f>HYPERLINK("https://ictv.global/taxonomy/taxondetails?taxnode_id=202310409","Jupbevirus asiohabitans")</f>
        <v>Jupbevirus asiohabitans</v>
      </c>
      <c r="S9395" s="18" t="s">
        <v>30</v>
      </c>
      <c r="T9395" s="18" t="s">
        <v>21874</v>
      </c>
      <c r="U9395" s="18"/>
      <c r="V9395" s="18"/>
      <c r="W9395" s="18" t="s">
        <v>21875</v>
      </c>
      <c r="X9395" s="18" t="s">
        <v>35</v>
      </c>
      <c r="Y9395" s="18" t="s">
        <v>17171</v>
      </c>
      <c r="Z9395" s="18" t="s">
        <v>697</v>
      </c>
      <c r="AA9395" s="21" t="str">
        <f>HYPERLINK("https://www.ncbi.nlm.nih.gov/nuccore/BK014060","NCBI Nucleotide")</f>
        <v>NCBI Nucleotide</v>
      </c>
    </row>
    <row r="9396" spans="1:27" x14ac:dyDescent="0.35">
      <c r="A9396">
        <v>1026783</v>
      </c>
      <c r="B9396">
        <v>8721</v>
      </c>
      <c r="C9396">
        <v>1</v>
      </c>
      <c r="D9396" s="17" t="s">
        <v>17166</v>
      </c>
      <c r="E9396" s="17"/>
      <c r="F9396" s="17" t="s">
        <v>17246</v>
      </c>
      <c r="G9396" s="17"/>
      <c r="H9396" s="17" t="s">
        <v>20919</v>
      </c>
      <c r="I9396" s="17"/>
      <c r="J9396" s="17" t="s">
        <v>21313</v>
      </c>
      <c r="K9396" s="17"/>
      <c r="L9396" s="17" t="s">
        <v>21326</v>
      </c>
      <c r="M9396" s="17"/>
      <c r="N9396" s="17" t="s">
        <v>21577</v>
      </c>
      <c r="O9396" s="17"/>
      <c r="P9396" s="17" t="s">
        <v>21871</v>
      </c>
      <c r="Q9396" s="17"/>
      <c r="R9396" s="25" t="str">
        <f>HYPERLINK("https://ictv.global/taxonomy/taxondetails?taxnode_id=202316327","Jupbevirus lutivivens")</f>
        <v>Jupbevirus lutivivens</v>
      </c>
      <c r="S9396" s="18" t="s">
        <v>30</v>
      </c>
      <c r="T9396" s="18" t="s">
        <v>43185</v>
      </c>
      <c r="U9396" s="18"/>
      <c r="V9396" s="18"/>
      <c r="W9396" s="18" t="s">
        <v>43186</v>
      </c>
      <c r="X9396" s="18" t="s">
        <v>35</v>
      </c>
      <c r="Y9396" s="18" t="s">
        <v>17171</v>
      </c>
      <c r="Z9396" s="18" t="s">
        <v>24637</v>
      </c>
      <c r="AA9396" s="21" t="str">
        <f>HYPERLINK("https://www.ncbi.nlm.nih.gov/nuccore/CASDWV010003302","NCBI Nucleotide")</f>
        <v>NCBI Nucleotide</v>
      </c>
    </row>
    <row r="9397" spans="1:27" x14ac:dyDescent="0.35">
      <c r="A9397">
        <v>1026784</v>
      </c>
      <c r="B9397">
        <v>8722</v>
      </c>
      <c r="C9397">
        <v>1</v>
      </c>
      <c r="D9397" s="17" t="s">
        <v>17166</v>
      </c>
      <c r="E9397" s="17"/>
      <c r="F9397" s="17" t="s">
        <v>17246</v>
      </c>
      <c r="G9397" s="17"/>
      <c r="H9397" s="17" t="s">
        <v>20919</v>
      </c>
      <c r="I9397" s="17"/>
      <c r="J9397" s="17" t="s">
        <v>21313</v>
      </c>
      <c r="K9397" s="17"/>
      <c r="L9397" s="17" t="s">
        <v>21326</v>
      </c>
      <c r="M9397" s="17"/>
      <c r="N9397" s="17" t="s">
        <v>21577</v>
      </c>
      <c r="O9397" s="17"/>
      <c r="P9397" s="17" t="s">
        <v>21871</v>
      </c>
      <c r="Q9397" s="17"/>
      <c r="R9397" s="25" t="str">
        <f>HYPERLINK("https://ictv.global/taxonomy/taxondetails?taxnode_id=202316328","Jupbevirus terricola")</f>
        <v>Jupbevirus terricola</v>
      </c>
      <c r="S9397" s="18" t="s">
        <v>30</v>
      </c>
      <c r="T9397" s="18" t="s">
        <v>43187</v>
      </c>
      <c r="U9397" s="18"/>
      <c r="V9397" s="18"/>
      <c r="W9397" s="18" t="s">
        <v>43188</v>
      </c>
      <c r="X9397" s="18" t="s">
        <v>35</v>
      </c>
      <c r="Y9397" s="18" t="s">
        <v>17171</v>
      </c>
      <c r="Z9397" s="18" t="s">
        <v>24637</v>
      </c>
      <c r="AA9397" s="21" t="str">
        <f>HYPERLINK("https://www.ncbi.nlm.nih.gov/nuccore/CASDWV010001737","NCBI Nucleotide")</f>
        <v>NCBI Nucleotide</v>
      </c>
    </row>
    <row r="9398" spans="1:27" x14ac:dyDescent="0.35">
      <c r="A9398">
        <v>1009571</v>
      </c>
      <c r="B9398">
        <v>8723</v>
      </c>
      <c r="C9398">
        <v>1</v>
      </c>
      <c r="D9398" s="17" t="s">
        <v>17166</v>
      </c>
      <c r="E9398" s="17"/>
      <c r="F9398" s="17" t="s">
        <v>17246</v>
      </c>
      <c r="G9398" s="17"/>
      <c r="H9398" s="17" t="s">
        <v>20919</v>
      </c>
      <c r="I9398" s="17"/>
      <c r="J9398" s="17" t="s">
        <v>21313</v>
      </c>
      <c r="K9398" s="17"/>
      <c r="L9398" s="17" t="s">
        <v>21326</v>
      </c>
      <c r="M9398" s="17"/>
      <c r="N9398" s="17" t="s">
        <v>21577</v>
      </c>
      <c r="O9398" s="17"/>
      <c r="P9398" s="17" t="s">
        <v>21876</v>
      </c>
      <c r="Q9398" s="17"/>
      <c r="R9398" s="25" t="str">
        <f>HYPERLINK("https://ictv.global/taxonomy/taxondetails?taxnode_id=202310411","Kahfsdivirus asiovicinum")</f>
        <v>Kahfsdivirus asiovicinum</v>
      </c>
      <c r="S9398" s="18" t="s">
        <v>30</v>
      </c>
      <c r="T9398" s="18" t="s">
        <v>21877</v>
      </c>
      <c r="U9398" s="18"/>
      <c r="V9398" s="18"/>
      <c r="W9398" s="18" t="s">
        <v>21878</v>
      </c>
      <c r="X9398" s="18" t="s">
        <v>35</v>
      </c>
      <c r="Y9398" s="18" t="s">
        <v>17171</v>
      </c>
      <c r="Z9398" s="18" t="s">
        <v>697</v>
      </c>
      <c r="AA9398" s="21" t="str">
        <f>HYPERLINK("https://www.ncbi.nlm.nih.gov/nuccore/BK014046","NCBI Nucleotide")</f>
        <v>NCBI Nucleotide</v>
      </c>
    </row>
    <row r="9399" spans="1:27" x14ac:dyDescent="0.35">
      <c r="A9399">
        <v>1009572</v>
      </c>
      <c r="B9399">
        <v>8724</v>
      </c>
      <c r="C9399">
        <v>1</v>
      </c>
      <c r="D9399" s="17" t="s">
        <v>17166</v>
      </c>
      <c r="E9399" s="17"/>
      <c r="F9399" s="17" t="s">
        <v>17246</v>
      </c>
      <c r="G9399" s="17"/>
      <c r="H9399" s="17" t="s">
        <v>20919</v>
      </c>
      <c r="I9399" s="17"/>
      <c r="J9399" s="17" t="s">
        <v>21313</v>
      </c>
      <c r="K9399" s="17"/>
      <c r="L9399" s="17" t="s">
        <v>21326</v>
      </c>
      <c r="M9399" s="17"/>
      <c r="N9399" s="17" t="s">
        <v>21577</v>
      </c>
      <c r="O9399" s="17"/>
      <c r="P9399" s="17" t="s">
        <v>21879</v>
      </c>
      <c r="Q9399" s="17"/>
      <c r="R9399" s="25" t="str">
        <f>HYPERLINK("https://ictv.global/taxonomy/taxondetails?taxnode_id=202310413","Keghovirus borborovivens")</f>
        <v>Keghovirus borborovivens</v>
      </c>
      <c r="S9399" s="18" t="s">
        <v>30</v>
      </c>
      <c r="T9399" s="18" t="s">
        <v>21880</v>
      </c>
      <c r="U9399" s="18"/>
      <c r="V9399" s="18"/>
      <c r="W9399" s="18" t="s">
        <v>21881</v>
      </c>
      <c r="X9399" s="18" t="s">
        <v>35</v>
      </c>
      <c r="Y9399" s="18" t="s">
        <v>17171</v>
      </c>
      <c r="Z9399" s="18" t="s">
        <v>697</v>
      </c>
      <c r="AA9399" s="21" t="str">
        <f>HYPERLINK("https://www.ncbi.nlm.nih.gov/nuccore/BK014054","NCBI Nucleotide")</f>
        <v>NCBI Nucleotide</v>
      </c>
    </row>
    <row r="9400" spans="1:27" x14ac:dyDescent="0.35">
      <c r="A9400">
        <v>1009573</v>
      </c>
      <c r="B9400">
        <v>8725</v>
      </c>
      <c r="C9400">
        <v>1</v>
      </c>
      <c r="D9400" s="17" t="s">
        <v>17166</v>
      </c>
      <c r="E9400" s="17"/>
      <c r="F9400" s="17" t="s">
        <v>17246</v>
      </c>
      <c r="G9400" s="17"/>
      <c r="H9400" s="17" t="s">
        <v>20919</v>
      </c>
      <c r="I9400" s="17"/>
      <c r="J9400" s="17" t="s">
        <v>21313</v>
      </c>
      <c r="K9400" s="17"/>
      <c r="L9400" s="17" t="s">
        <v>21326</v>
      </c>
      <c r="M9400" s="17"/>
      <c r="N9400" s="17" t="s">
        <v>21577</v>
      </c>
      <c r="O9400" s="17"/>
      <c r="P9400" s="17" t="s">
        <v>21879</v>
      </c>
      <c r="Q9400" s="17"/>
      <c r="R9400" s="25" t="str">
        <f>HYPERLINK("https://ictv.global/taxonomy/taxondetails?taxnode_id=202310414","Keghovirus caenadaptatum")</f>
        <v>Keghovirus caenadaptatum</v>
      </c>
      <c r="S9400" s="18" t="s">
        <v>30</v>
      </c>
      <c r="T9400" s="18" t="s">
        <v>21882</v>
      </c>
      <c r="U9400" s="18"/>
      <c r="V9400" s="18"/>
      <c r="W9400" s="18" t="s">
        <v>21883</v>
      </c>
      <c r="X9400" s="18" t="s">
        <v>35</v>
      </c>
      <c r="Y9400" s="18" t="s">
        <v>17171</v>
      </c>
      <c r="Z9400" s="18" t="s">
        <v>697</v>
      </c>
      <c r="AA9400" s="21" t="str">
        <f>HYPERLINK("https://www.ncbi.nlm.nih.gov/nuccore/BK014195","NCBI Nucleotide")</f>
        <v>NCBI Nucleotide</v>
      </c>
    </row>
    <row r="9401" spans="1:27" x14ac:dyDescent="0.35">
      <c r="A9401">
        <v>1026835</v>
      </c>
      <c r="B9401">
        <v>8726</v>
      </c>
      <c r="C9401">
        <v>1</v>
      </c>
      <c r="D9401" s="17" t="s">
        <v>17166</v>
      </c>
      <c r="E9401" s="17"/>
      <c r="F9401" s="17" t="s">
        <v>17246</v>
      </c>
      <c r="G9401" s="17"/>
      <c r="H9401" s="17" t="s">
        <v>20919</v>
      </c>
      <c r="I9401" s="17"/>
      <c r="J9401" s="17" t="s">
        <v>21313</v>
      </c>
      <c r="K9401" s="17"/>
      <c r="L9401" s="17" t="s">
        <v>21326</v>
      </c>
      <c r="M9401" s="17"/>
      <c r="N9401" s="17" t="s">
        <v>21577</v>
      </c>
      <c r="O9401" s="17"/>
      <c r="P9401" s="17" t="s">
        <v>21879</v>
      </c>
      <c r="Q9401" s="17"/>
      <c r="R9401" s="25" t="str">
        <f>HYPERLINK("https://ictv.global/taxonomy/taxondetails?taxnode_id=202316329","Keghovirus dinebrihabitans")</f>
        <v>Keghovirus dinebrihabitans</v>
      </c>
      <c r="S9401" s="18" t="s">
        <v>30</v>
      </c>
      <c r="T9401" s="18" t="s">
        <v>43189</v>
      </c>
      <c r="U9401" s="18"/>
      <c r="V9401" s="18" t="s">
        <v>43190</v>
      </c>
      <c r="W9401" s="18" t="s">
        <v>43191</v>
      </c>
      <c r="X9401" s="18" t="s">
        <v>35</v>
      </c>
      <c r="Y9401" s="18" t="s">
        <v>17171</v>
      </c>
      <c r="Z9401" s="18" t="s">
        <v>17336</v>
      </c>
      <c r="AA9401" s="21" t="str">
        <f>HYPERLINK("https://www.ncbi.nlm.nih.gov/nuccore/OM514529","NCBI Nucleotide")</f>
        <v>NCBI Nucleotide</v>
      </c>
    </row>
    <row r="9402" spans="1:27" x14ac:dyDescent="0.35">
      <c r="A9402">
        <v>1026836</v>
      </c>
      <c r="B9402">
        <v>8727</v>
      </c>
      <c r="C9402">
        <v>1</v>
      </c>
      <c r="D9402" s="17" t="s">
        <v>17166</v>
      </c>
      <c r="E9402" s="17"/>
      <c r="F9402" s="17" t="s">
        <v>17246</v>
      </c>
      <c r="G9402" s="17"/>
      <c r="H9402" s="17" t="s">
        <v>20919</v>
      </c>
      <c r="I9402" s="17"/>
      <c r="J9402" s="17" t="s">
        <v>21313</v>
      </c>
      <c r="K9402" s="17"/>
      <c r="L9402" s="17" t="s">
        <v>21326</v>
      </c>
      <c r="M9402" s="17"/>
      <c r="N9402" s="17" t="s">
        <v>21577</v>
      </c>
      <c r="O9402" s="17"/>
      <c r="P9402" s="17" t="s">
        <v>21879</v>
      </c>
      <c r="Q9402" s="17"/>
      <c r="R9402" s="25" t="str">
        <f>HYPERLINK("https://ictv.global/taxonomy/taxondetails?taxnode_id=202316330","Keghovirus lutadaptatum")</f>
        <v>Keghovirus lutadaptatum</v>
      </c>
      <c r="S9402" s="18" t="s">
        <v>30</v>
      </c>
      <c r="T9402" s="18" t="s">
        <v>43192</v>
      </c>
      <c r="U9402" s="18"/>
      <c r="V9402" s="18"/>
      <c r="W9402" s="18" t="s">
        <v>43193</v>
      </c>
      <c r="X9402" s="18" t="s">
        <v>35</v>
      </c>
      <c r="Y9402" s="18" t="s">
        <v>17171</v>
      </c>
      <c r="Z9402" s="18" t="s">
        <v>24637</v>
      </c>
      <c r="AA9402" s="21" t="str">
        <f>HYPERLINK("https://www.ncbi.nlm.nih.gov/nuccore/CASDWV010003079","NCBI Nucleotide")</f>
        <v>NCBI Nucleotide</v>
      </c>
    </row>
    <row r="9403" spans="1:27" x14ac:dyDescent="0.35">
      <c r="A9403">
        <v>1026837</v>
      </c>
      <c r="B9403">
        <v>8728</v>
      </c>
      <c r="C9403">
        <v>1</v>
      </c>
      <c r="D9403" s="17" t="s">
        <v>17166</v>
      </c>
      <c r="E9403" s="17"/>
      <c r="F9403" s="17" t="s">
        <v>17246</v>
      </c>
      <c r="G9403" s="17"/>
      <c r="H9403" s="17" t="s">
        <v>20919</v>
      </c>
      <c r="I9403" s="17"/>
      <c r="J9403" s="17" t="s">
        <v>21313</v>
      </c>
      <c r="K9403" s="17"/>
      <c r="L9403" s="17" t="s">
        <v>21326</v>
      </c>
      <c r="M9403" s="17"/>
      <c r="N9403" s="17" t="s">
        <v>21577</v>
      </c>
      <c r="O9403" s="17"/>
      <c r="P9403" s="17" t="s">
        <v>21879</v>
      </c>
      <c r="Q9403" s="17"/>
      <c r="R9403" s="25" t="str">
        <f>HYPERLINK("https://ictv.global/taxonomy/taxondetails?taxnode_id=202316331","Keghovirus lutivicinum")</f>
        <v>Keghovirus lutivicinum</v>
      </c>
      <c r="S9403" s="18" t="s">
        <v>30</v>
      </c>
      <c r="T9403" s="18" t="s">
        <v>43194</v>
      </c>
      <c r="U9403" s="18"/>
      <c r="V9403" s="18"/>
      <c r="W9403" s="18" t="s">
        <v>43195</v>
      </c>
      <c r="X9403" s="18" t="s">
        <v>35</v>
      </c>
      <c r="Y9403" s="18" t="s">
        <v>17171</v>
      </c>
      <c r="Z9403" s="18" t="s">
        <v>24637</v>
      </c>
      <c r="AA9403" s="21" t="str">
        <f>HYPERLINK("https://www.ncbi.nlm.nih.gov/nuccore/CASDWV010001221","NCBI Nucleotide")</f>
        <v>NCBI Nucleotide</v>
      </c>
    </row>
    <row r="9404" spans="1:27" x14ac:dyDescent="0.35">
      <c r="A9404">
        <v>1026838</v>
      </c>
      <c r="B9404">
        <v>8729</v>
      </c>
      <c r="C9404">
        <v>1</v>
      </c>
      <c r="D9404" s="17" t="s">
        <v>17166</v>
      </c>
      <c r="E9404" s="17"/>
      <c r="F9404" s="17" t="s">
        <v>17246</v>
      </c>
      <c r="G9404" s="17"/>
      <c r="H9404" s="17" t="s">
        <v>20919</v>
      </c>
      <c r="I9404" s="17"/>
      <c r="J9404" s="17" t="s">
        <v>21313</v>
      </c>
      <c r="K9404" s="17"/>
      <c r="L9404" s="17" t="s">
        <v>21326</v>
      </c>
      <c r="M9404" s="17"/>
      <c r="N9404" s="17" t="s">
        <v>21577</v>
      </c>
      <c r="O9404" s="17"/>
      <c r="P9404" s="17" t="s">
        <v>21879</v>
      </c>
      <c r="Q9404" s="17"/>
      <c r="R9404" s="25" t="str">
        <f>HYPERLINK("https://ictv.global/taxonomy/taxondetails?taxnode_id=202316332","Keghovirus pedenecus")</f>
        <v>Keghovirus pedenecus</v>
      </c>
      <c r="S9404" s="18" t="s">
        <v>30</v>
      </c>
      <c r="T9404" s="18" t="s">
        <v>43196</v>
      </c>
      <c r="U9404" s="18"/>
      <c r="V9404" s="18"/>
      <c r="W9404" s="18" t="s">
        <v>43197</v>
      </c>
      <c r="X9404" s="18" t="s">
        <v>35</v>
      </c>
      <c r="Y9404" s="18" t="s">
        <v>17171</v>
      </c>
      <c r="Z9404" s="18" t="s">
        <v>24637</v>
      </c>
      <c r="AA9404" s="21" t="str">
        <f>HYPERLINK("https://www.ncbi.nlm.nih.gov/nuccore/CASDWV010003229","NCBI Nucleotide")</f>
        <v>NCBI Nucleotide</v>
      </c>
    </row>
    <row r="9405" spans="1:27" x14ac:dyDescent="0.35">
      <c r="A9405">
        <v>1026839</v>
      </c>
      <c r="B9405">
        <v>8730</v>
      </c>
      <c r="C9405">
        <v>1</v>
      </c>
      <c r="D9405" s="17" t="s">
        <v>17166</v>
      </c>
      <c r="E9405" s="17"/>
      <c r="F9405" s="17" t="s">
        <v>17246</v>
      </c>
      <c r="G9405" s="17"/>
      <c r="H9405" s="17" t="s">
        <v>20919</v>
      </c>
      <c r="I9405" s="17"/>
      <c r="J9405" s="17" t="s">
        <v>21313</v>
      </c>
      <c r="K9405" s="17"/>
      <c r="L9405" s="17" t="s">
        <v>21326</v>
      </c>
      <c r="M9405" s="17"/>
      <c r="N9405" s="17" t="s">
        <v>21577</v>
      </c>
      <c r="O9405" s="17"/>
      <c r="P9405" s="17" t="s">
        <v>21879</v>
      </c>
      <c r="Q9405" s="17"/>
      <c r="R9405" s="25" t="str">
        <f>HYPERLINK("https://ictv.global/taxonomy/taxondetails?taxnode_id=202316333","Keghovirus terrenecus")</f>
        <v>Keghovirus terrenecus</v>
      </c>
      <c r="S9405" s="18" t="s">
        <v>30</v>
      </c>
      <c r="T9405" s="18" t="s">
        <v>43198</v>
      </c>
      <c r="U9405" s="18"/>
      <c r="V9405" s="18"/>
      <c r="W9405" s="18" t="s">
        <v>43199</v>
      </c>
      <c r="X9405" s="18" t="s">
        <v>35</v>
      </c>
      <c r="Y9405" s="18" t="s">
        <v>17171</v>
      </c>
      <c r="Z9405" s="18" t="s">
        <v>24637</v>
      </c>
      <c r="AA9405" s="21" t="str">
        <f>HYPERLINK("https://www.ncbi.nlm.nih.gov/nuccore/CASDWV010000452","NCBI Nucleotide")</f>
        <v>NCBI Nucleotide</v>
      </c>
    </row>
    <row r="9406" spans="1:27" x14ac:dyDescent="0.35">
      <c r="A9406">
        <v>1009574</v>
      </c>
      <c r="B9406">
        <v>8731</v>
      </c>
      <c r="C9406">
        <v>1</v>
      </c>
      <c r="D9406" s="17" t="s">
        <v>17166</v>
      </c>
      <c r="E9406" s="17"/>
      <c r="F9406" s="17" t="s">
        <v>17246</v>
      </c>
      <c r="G9406" s="17"/>
      <c r="H9406" s="17" t="s">
        <v>20919</v>
      </c>
      <c r="I9406" s="17"/>
      <c r="J9406" s="17" t="s">
        <v>21313</v>
      </c>
      <c r="K9406" s="17"/>
      <c r="L9406" s="17" t="s">
        <v>21326</v>
      </c>
      <c r="M9406" s="17"/>
      <c r="N9406" s="17" t="s">
        <v>21577</v>
      </c>
      <c r="O9406" s="17"/>
      <c r="P9406" s="17" t="s">
        <v>21884</v>
      </c>
      <c r="Q9406" s="17"/>
      <c r="R9406" s="25" t="str">
        <f>HYPERLINK("https://ictv.global/taxonomy/taxondetails?taxnode_id=202310416","Kehmevirus caenenecus")</f>
        <v>Kehmevirus caenenecus</v>
      </c>
      <c r="S9406" s="18" t="s">
        <v>30</v>
      </c>
      <c r="T9406" s="18" t="s">
        <v>21885</v>
      </c>
      <c r="U9406" s="18"/>
      <c r="V9406" s="18"/>
      <c r="W9406" s="18" t="s">
        <v>21886</v>
      </c>
      <c r="X9406" s="18" t="s">
        <v>35</v>
      </c>
      <c r="Y9406" s="18" t="s">
        <v>17171</v>
      </c>
      <c r="Z9406" s="18" t="s">
        <v>697</v>
      </c>
      <c r="AA9406" s="21" t="str">
        <f>HYPERLINK("https://www.ncbi.nlm.nih.gov/nuccore/BK013619","NCBI Nucleotide")</f>
        <v>NCBI Nucleotide</v>
      </c>
    </row>
    <row r="9407" spans="1:27" x14ac:dyDescent="0.35">
      <c r="A9407">
        <v>1009452</v>
      </c>
      <c r="B9407">
        <v>8732</v>
      </c>
      <c r="C9407">
        <v>1</v>
      </c>
      <c r="D9407" s="17" t="s">
        <v>17166</v>
      </c>
      <c r="E9407" s="17"/>
      <c r="F9407" s="17" t="s">
        <v>17246</v>
      </c>
      <c r="G9407" s="17"/>
      <c r="H9407" s="17" t="s">
        <v>20919</v>
      </c>
      <c r="I9407" s="17"/>
      <c r="J9407" s="17" t="s">
        <v>21313</v>
      </c>
      <c r="K9407" s="17"/>
      <c r="L9407" s="17" t="s">
        <v>21326</v>
      </c>
      <c r="M9407" s="17"/>
      <c r="N9407" s="17" t="s">
        <v>21577</v>
      </c>
      <c r="O9407" s="17"/>
      <c r="P9407" s="17" t="s">
        <v>21884</v>
      </c>
      <c r="Q9407" s="17"/>
      <c r="R9407" s="25" t="str">
        <f>HYPERLINK("https://ictv.global/taxonomy/taxondetails?taxnode_id=202310221","Kehmevirus defluviicola")</f>
        <v>Kehmevirus defluviicola</v>
      </c>
      <c r="S9407" s="18" t="s">
        <v>30</v>
      </c>
      <c r="T9407" s="18" t="s">
        <v>21580</v>
      </c>
      <c r="U9407" s="18"/>
      <c r="V9407" s="18"/>
      <c r="W9407" s="18" t="s">
        <v>21581</v>
      </c>
      <c r="X9407" s="18" t="s">
        <v>35</v>
      </c>
      <c r="Y9407" s="18" t="s">
        <v>17171</v>
      </c>
      <c r="Z9407" s="18" t="s">
        <v>697</v>
      </c>
      <c r="AA9407" s="21" t="str">
        <f>HYPERLINK("https://www.ncbi.nlm.nih.gov/nuccore/BK013368","NCBI Nucleotide")</f>
        <v>NCBI Nucleotide</v>
      </c>
    </row>
    <row r="9408" spans="1:27" x14ac:dyDescent="0.35">
      <c r="A9408">
        <v>1027230</v>
      </c>
      <c r="B9408">
        <v>8733</v>
      </c>
      <c r="C9408">
        <v>1</v>
      </c>
      <c r="D9408" s="17" t="s">
        <v>17166</v>
      </c>
      <c r="E9408" s="17"/>
      <c r="F9408" s="17" t="s">
        <v>17246</v>
      </c>
      <c r="G9408" s="17"/>
      <c r="H9408" s="17" t="s">
        <v>20919</v>
      </c>
      <c r="I9408" s="17"/>
      <c r="J9408" s="17" t="s">
        <v>21313</v>
      </c>
      <c r="K9408" s="17"/>
      <c r="L9408" s="17" t="s">
        <v>21326</v>
      </c>
      <c r="M9408" s="17"/>
      <c r="N9408" s="17" t="s">
        <v>21577</v>
      </c>
      <c r="O9408" s="17"/>
      <c r="P9408" s="17" t="s">
        <v>43200</v>
      </c>
      <c r="Q9408" s="17"/>
      <c r="R9408" s="25" t="str">
        <f>HYPERLINK("https://ictv.global/taxonomy/taxondetails?taxnode_id=202316334","Kehrevirus terricola")</f>
        <v>Kehrevirus terricola</v>
      </c>
      <c r="S9408" s="18" t="s">
        <v>30</v>
      </c>
      <c r="T9408" s="18" t="s">
        <v>43201</v>
      </c>
      <c r="U9408" s="18"/>
      <c r="V9408" s="18"/>
      <c r="W9408" s="18" t="s">
        <v>43202</v>
      </c>
      <c r="X9408" s="18" t="s">
        <v>35</v>
      </c>
      <c r="Y9408" s="18" t="s">
        <v>17171</v>
      </c>
      <c r="Z9408" s="18" t="s">
        <v>24637</v>
      </c>
      <c r="AA9408" s="21" t="str">
        <f>HYPERLINK("https://www.ncbi.nlm.nih.gov/nuccore/CASDWV010004182","NCBI Nucleotide")</f>
        <v>NCBI Nucleotide</v>
      </c>
    </row>
    <row r="9409" spans="1:27" x14ac:dyDescent="0.35">
      <c r="A9409">
        <v>1009575</v>
      </c>
      <c r="B9409">
        <v>8734</v>
      </c>
      <c r="C9409">
        <v>1</v>
      </c>
      <c r="D9409" s="17" t="s">
        <v>17166</v>
      </c>
      <c r="E9409" s="17"/>
      <c r="F9409" s="17" t="s">
        <v>17246</v>
      </c>
      <c r="G9409" s="17"/>
      <c r="H9409" s="17" t="s">
        <v>20919</v>
      </c>
      <c r="I9409" s="17"/>
      <c r="J9409" s="17" t="s">
        <v>21313</v>
      </c>
      <c r="K9409" s="17"/>
      <c r="L9409" s="17" t="s">
        <v>21326</v>
      </c>
      <c r="M9409" s="17"/>
      <c r="N9409" s="17" t="s">
        <v>21577</v>
      </c>
      <c r="O9409" s="17"/>
      <c r="P9409" s="17" t="s">
        <v>21887</v>
      </c>
      <c r="Q9409" s="17"/>
      <c r="R9409" s="25" t="str">
        <f>HYPERLINK("https://ictv.global/taxonomy/taxondetails?taxnode_id=202310419","Kemicevirus caenicola")</f>
        <v>Kemicevirus caenicola</v>
      </c>
      <c r="S9409" s="18" t="s">
        <v>30</v>
      </c>
      <c r="T9409" s="18" t="s">
        <v>21888</v>
      </c>
      <c r="U9409" s="18"/>
      <c r="V9409" s="18"/>
      <c r="W9409" s="18" t="s">
        <v>21889</v>
      </c>
      <c r="X9409" s="18" t="s">
        <v>35</v>
      </c>
      <c r="Y9409" s="18" t="s">
        <v>17171</v>
      </c>
      <c r="Z9409" s="18" t="s">
        <v>697</v>
      </c>
      <c r="AA9409" s="21" t="str">
        <f>HYPERLINK("https://www.ncbi.nlm.nih.gov/nuccore/BK013581","NCBI Nucleotide")</f>
        <v>NCBI Nucleotide</v>
      </c>
    </row>
    <row r="9410" spans="1:27" x14ac:dyDescent="0.35">
      <c r="A9410">
        <v>1009576</v>
      </c>
      <c r="B9410">
        <v>8735</v>
      </c>
      <c r="C9410">
        <v>1</v>
      </c>
      <c r="D9410" s="17" t="s">
        <v>17166</v>
      </c>
      <c r="E9410" s="17"/>
      <c r="F9410" s="17" t="s">
        <v>17246</v>
      </c>
      <c r="G9410" s="17"/>
      <c r="H9410" s="17" t="s">
        <v>20919</v>
      </c>
      <c r="I9410" s="17"/>
      <c r="J9410" s="17" t="s">
        <v>21313</v>
      </c>
      <c r="K9410" s="17"/>
      <c r="L9410" s="17" t="s">
        <v>21326</v>
      </c>
      <c r="M9410" s="17"/>
      <c r="N9410" s="17" t="s">
        <v>21577</v>
      </c>
      <c r="O9410" s="17"/>
      <c r="P9410" s="17" t="s">
        <v>21887</v>
      </c>
      <c r="Q9410" s="17"/>
      <c r="R9410" s="25" t="str">
        <f>HYPERLINK("https://ictv.global/taxonomy/taxondetails?taxnode_id=202310418","Kemicevirus caenihabitans")</f>
        <v>Kemicevirus caenihabitans</v>
      </c>
      <c r="S9410" s="18" t="s">
        <v>30</v>
      </c>
      <c r="T9410" s="18" t="s">
        <v>21890</v>
      </c>
      <c r="U9410" s="18"/>
      <c r="V9410" s="18"/>
      <c r="W9410" s="18" t="s">
        <v>21891</v>
      </c>
      <c r="X9410" s="18" t="s">
        <v>35</v>
      </c>
      <c r="Y9410" s="18" t="s">
        <v>17171</v>
      </c>
      <c r="Z9410" s="18" t="s">
        <v>697</v>
      </c>
      <c r="AA9410" s="21" t="str">
        <f>HYPERLINK("https://www.ncbi.nlm.nih.gov/nuccore/BK013598","NCBI Nucleotide")</f>
        <v>NCBI Nucleotide</v>
      </c>
    </row>
    <row r="9411" spans="1:27" x14ac:dyDescent="0.35">
      <c r="A9411">
        <v>1009578</v>
      </c>
      <c r="B9411">
        <v>8736</v>
      </c>
      <c r="C9411">
        <v>1</v>
      </c>
      <c r="D9411" s="17" t="s">
        <v>17166</v>
      </c>
      <c r="E9411" s="17"/>
      <c r="F9411" s="17" t="s">
        <v>17246</v>
      </c>
      <c r="G9411" s="17"/>
      <c r="H9411" s="17" t="s">
        <v>20919</v>
      </c>
      <c r="I9411" s="17"/>
      <c r="J9411" s="17" t="s">
        <v>21313</v>
      </c>
      <c r="K9411" s="17"/>
      <c r="L9411" s="17" t="s">
        <v>21326</v>
      </c>
      <c r="M9411" s="17"/>
      <c r="N9411" s="17" t="s">
        <v>21577</v>
      </c>
      <c r="O9411" s="17"/>
      <c r="P9411" s="17" t="s">
        <v>21894</v>
      </c>
      <c r="Q9411" s="17"/>
      <c r="R9411" s="25" t="str">
        <f>HYPERLINK("https://ictv.global/taxonomy/taxondetails?taxnode_id=202310423","Kihryuvirus limihabitans")</f>
        <v>Kihryuvirus limihabitans</v>
      </c>
      <c r="S9411" s="18" t="s">
        <v>30</v>
      </c>
      <c r="T9411" s="18" t="s">
        <v>21895</v>
      </c>
      <c r="U9411" s="18"/>
      <c r="V9411" s="18"/>
      <c r="W9411" s="18" t="s">
        <v>21896</v>
      </c>
      <c r="X9411" s="18" t="s">
        <v>35</v>
      </c>
      <c r="Y9411" s="18" t="s">
        <v>17171</v>
      </c>
      <c r="Z9411" s="18" t="s">
        <v>697</v>
      </c>
      <c r="AA9411" s="21" t="str">
        <f>HYPERLINK("https://www.ncbi.nlm.nih.gov/nuccore/BK014061","NCBI Nucleotide")</f>
        <v>NCBI Nucleotide</v>
      </c>
    </row>
    <row r="9412" spans="1:27" x14ac:dyDescent="0.35">
      <c r="A9412">
        <v>1027227</v>
      </c>
      <c r="B9412">
        <v>8737</v>
      </c>
      <c r="C9412">
        <v>1</v>
      </c>
      <c r="D9412" s="17" t="s">
        <v>17166</v>
      </c>
      <c r="E9412" s="17"/>
      <c r="F9412" s="17" t="s">
        <v>17246</v>
      </c>
      <c r="G9412" s="17"/>
      <c r="H9412" s="17" t="s">
        <v>20919</v>
      </c>
      <c r="I9412" s="17"/>
      <c r="J9412" s="17" t="s">
        <v>21313</v>
      </c>
      <c r="K9412" s="17"/>
      <c r="L9412" s="17" t="s">
        <v>21326</v>
      </c>
      <c r="M9412" s="17"/>
      <c r="N9412" s="17" t="s">
        <v>21577</v>
      </c>
      <c r="O9412" s="17"/>
      <c r="P9412" s="17" t="s">
        <v>43203</v>
      </c>
      <c r="Q9412" s="17"/>
      <c r="R9412" s="25" t="str">
        <f>HYPERLINK("https://ictv.global/taxonomy/taxondetails?taxnode_id=202316335","Kinehtovirus humivivens")</f>
        <v>Kinehtovirus humivivens</v>
      </c>
      <c r="S9412" s="18" t="s">
        <v>30</v>
      </c>
      <c r="T9412" s="18" t="s">
        <v>43204</v>
      </c>
      <c r="U9412" s="18"/>
      <c r="V9412" s="18"/>
      <c r="W9412" s="18" t="s">
        <v>43205</v>
      </c>
      <c r="X9412" s="18" t="s">
        <v>35</v>
      </c>
      <c r="Y9412" s="18" t="s">
        <v>17171</v>
      </c>
      <c r="Z9412" s="18" t="s">
        <v>24637</v>
      </c>
      <c r="AA9412" s="21" t="str">
        <f>HYPERLINK("https://www.ncbi.nlm.nih.gov/nuccore/CASDWV010000212","NCBI Nucleotide")</f>
        <v>NCBI Nucleotide</v>
      </c>
    </row>
    <row r="9413" spans="1:27" x14ac:dyDescent="0.35">
      <c r="A9413">
        <v>1027229</v>
      </c>
      <c r="B9413">
        <v>8738</v>
      </c>
      <c r="C9413">
        <v>1</v>
      </c>
      <c r="D9413" s="17" t="s">
        <v>17166</v>
      </c>
      <c r="E9413" s="17"/>
      <c r="F9413" s="17" t="s">
        <v>17246</v>
      </c>
      <c r="G9413" s="17"/>
      <c r="H9413" s="17" t="s">
        <v>20919</v>
      </c>
      <c r="I9413" s="17"/>
      <c r="J9413" s="17" t="s">
        <v>21313</v>
      </c>
      <c r="K9413" s="17"/>
      <c r="L9413" s="17" t="s">
        <v>21326</v>
      </c>
      <c r="M9413" s="17"/>
      <c r="N9413" s="17" t="s">
        <v>21577</v>
      </c>
      <c r="O9413" s="17"/>
      <c r="P9413" s="17" t="s">
        <v>43206</v>
      </c>
      <c r="Q9413" s="17"/>
      <c r="R9413" s="25" t="str">
        <f>HYPERLINK("https://ictv.global/taxonomy/taxondetails?taxnode_id=202316336","Kinolwovirus messenecus")</f>
        <v>Kinolwovirus messenecus</v>
      </c>
      <c r="S9413" s="18" t="s">
        <v>30</v>
      </c>
      <c r="T9413" s="18" t="s">
        <v>43207</v>
      </c>
      <c r="U9413" s="18"/>
      <c r="V9413" s="18"/>
      <c r="W9413" s="18" t="s">
        <v>43208</v>
      </c>
      <c r="X9413" s="18" t="s">
        <v>35</v>
      </c>
      <c r="Y9413" s="18" t="s">
        <v>17171</v>
      </c>
      <c r="Z9413" s="18" t="s">
        <v>24637</v>
      </c>
      <c r="AA9413" s="21" t="str">
        <f>HYPERLINK("https://www.ncbi.nlm.nih.gov/nuccore/CASDWV010000566","NCBI Nucleotide")</f>
        <v>NCBI Nucleotide</v>
      </c>
    </row>
    <row r="9414" spans="1:27" x14ac:dyDescent="0.35">
      <c r="A9414">
        <v>1009579</v>
      </c>
      <c r="B9414">
        <v>8739</v>
      </c>
      <c r="C9414">
        <v>1</v>
      </c>
      <c r="D9414" s="17" t="s">
        <v>17166</v>
      </c>
      <c r="E9414" s="17"/>
      <c r="F9414" s="17" t="s">
        <v>17246</v>
      </c>
      <c r="G9414" s="17"/>
      <c r="H9414" s="17" t="s">
        <v>20919</v>
      </c>
      <c r="I9414" s="17"/>
      <c r="J9414" s="17" t="s">
        <v>21313</v>
      </c>
      <c r="K9414" s="17"/>
      <c r="L9414" s="17" t="s">
        <v>21326</v>
      </c>
      <c r="M9414" s="17"/>
      <c r="N9414" s="17" t="s">
        <v>21577</v>
      </c>
      <c r="O9414" s="17"/>
      <c r="P9414" s="17" t="s">
        <v>21897</v>
      </c>
      <c r="Q9414" s="17"/>
      <c r="R9414" s="25" t="str">
        <f>HYPERLINK("https://ictv.global/taxonomy/taxondetails?taxnode_id=202310425","Kirnavirus lutenecus")</f>
        <v>Kirnavirus lutenecus</v>
      </c>
      <c r="S9414" s="18" t="s">
        <v>30</v>
      </c>
      <c r="T9414" s="18" t="s">
        <v>21898</v>
      </c>
      <c r="U9414" s="18"/>
      <c r="V9414" s="18"/>
      <c r="W9414" s="18" t="s">
        <v>21899</v>
      </c>
      <c r="X9414" s="18" t="s">
        <v>35</v>
      </c>
      <c r="Y9414" s="18" t="s">
        <v>17171</v>
      </c>
      <c r="Z9414" s="18" t="s">
        <v>697</v>
      </c>
      <c r="AA9414" s="21" t="str">
        <f>HYPERLINK("https://www.ncbi.nlm.nih.gov/nuccore/BK014116","NCBI Nucleotide")</f>
        <v>NCBI Nucleotide</v>
      </c>
    </row>
    <row r="9415" spans="1:27" x14ac:dyDescent="0.35">
      <c r="A9415">
        <v>1009580</v>
      </c>
      <c r="B9415">
        <v>8740</v>
      </c>
      <c r="C9415">
        <v>1</v>
      </c>
      <c r="D9415" s="17" t="s">
        <v>17166</v>
      </c>
      <c r="E9415" s="17"/>
      <c r="F9415" s="17" t="s">
        <v>17246</v>
      </c>
      <c r="G9415" s="17"/>
      <c r="H9415" s="17" t="s">
        <v>20919</v>
      </c>
      <c r="I9415" s="17"/>
      <c r="J9415" s="17" t="s">
        <v>21313</v>
      </c>
      <c r="K9415" s="17"/>
      <c r="L9415" s="17" t="s">
        <v>21326</v>
      </c>
      <c r="M9415" s="17"/>
      <c r="N9415" s="17" t="s">
        <v>21577</v>
      </c>
      <c r="O9415" s="17"/>
      <c r="P9415" s="17" t="s">
        <v>21900</v>
      </c>
      <c r="Q9415" s="17"/>
      <c r="R9415" s="25" t="str">
        <f>HYPERLINK("https://ictv.global/taxonomy/taxondetails?taxnode_id=202310427","Kiwsmaevirus defluviicola")</f>
        <v>Kiwsmaevirus defluviicola</v>
      </c>
      <c r="S9415" s="18" t="s">
        <v>30</v>
      </c>
      <c r="T9415" s="18" t="s">
        <v>21901</v>
      </c>
      <c r="U9415" s="18"/>
      <c r="V9415" s="18"/>
      <c r="W9415" s="18" t="s">
        <v>21902</v>
      </c>
      <c r="X9415" s="18" t="s">
        <v>35</v>
      </c>
      <c r="Y9415" s="18" t="s">
        <v>17171</v>
      </c>
      <c r="Z9415" s="18" t="s">
        <v>697</v>
      </c>
      <c r="AA9415" s="21" t="str">
        <f>HYPERLINK("https://www.ncbi.nlm.nih.gov/nuccore/BK013376","NCBI Nucleotide")</f>
        <v>NCBI Nucleotide</v>
      </c>
    </row>
    <row r="9416" spans="1:27" x14ac:dyDescent="0.35">
      <c r="A9416">
        <v>1026822</v>
      </c>
      <c r="B9416">
        <v>8741</v>
      </c>
      <c r="C9416">
        <v>1</v>
      </c>
      <c r="D9416" s="17" t="s">
        <v>17166</v>
      </c>
      <c r="E9416" s="17"/>
      <c r="F9416" s="17" t="s">
        <v>17246</v>
      </c>
      <c r="G9416" s="17"/>
      <c r="H9416" s="17" t="s">
        <v>20919</v>
      </c>
      <c r="I9416" s="17"/>
      <c r="J9416" s="17" t="s">
        <v>21313</v>
      </c>
      <c r="K9416" s="17"/>
      <c r="L9416" s="17" t="s">
        <v>21326</v>
      </c>
      <c r="M9416" s="17"/>
      <c r="N9416" s="17" t="s">
        <v>21577</v>
      </c>
      <c r="O9416" s="17"/>
      <c r="P9416" s="17" t="s">
        <v>43209</v>
      </c>
      <c r="Q9416" s="17"/>
      <c r="R9416" s="25" t="str">
        <f>HYPERLINK("https://ictv.global/taxonomy/taxondetails?taxnode_id=202316337","Kongskuvirus limicola")</f>
        <v>Kongskuvirus limicola</v>
      </c>
      <c r="S9416" s="18" t="s">
        <v>30</v>
      </c>
      <c r="T9416" s="18" t="s">
        <v>43210</v>
      </c>
      <c r="U9416" s="18"/>
      <c r="V9416" s="18"/>
      <c r="W9416" s="18" t="s">
        <v>43211</v>
      </c>
      <c r="X9416" s="18" t="s">
        <v>35</v>
      </c>
      <c r="Y9416" s="18" t="s">
        <v>17171</v>
      </c>
      <c r="Z9416" s="18" t="s">
        <v>24637</v>
      </c>
      <c r="AA9416" s="21" t="str">
        <f>HYPERLINK("https://www.ncbi.nlm.nih.gov/nuccore/CASDWV010004353","NCBI Nucleotide")</f>
        <v>NCBI Nucleotide</v>
      </c>
    </row>
    <row r="9417" spans="1:27" x14ac:dyDescent="0.35">
      <c r="A9417">
        <v>1026823</v>
      </c>
      <c r="B9417">
        <v>8742</v>
      </c>
      <c r="C9417">
        <v>1</v>
      </c>
      <c r="D9417" s="17" t="s">
        <v>17166</v>
      </c>
      <c r="E9417" s="17"/>
      <c r="F9417" s="17" t="s">
        <v>17246</v>
      </c>
      <c r="G9417" s="17"/>
      <c r="H9417" s="17" t="s">
        <v>20919</v>
      </c>
      <c r="I9417" s="17"/>
      <c r="J9417" s="17" t="s">
        <v>21313</v>
      </c>
      <c r="K9417" s="17"/>
      <c r="L9417" s="17" t="s">
        <v>21326</v>
      </c>
      <c r="M9417" s="17"/>
      <c r="N9417" s="17" t="s">
        <v>21577</v>
      </c>
      <c r="O9417" s="17"/>
      <c r="P9417" s="17" t="s">
        <v>43209</v>
      </c>
      <c r="Q9417" s="17"/>
      <c r="R9417" s="25" t="str">
        <f>HYPERLINK("https://ictv.global/taxonomy/taxondetails?taxnode_id=202316338","Kongskuvirus solivivens")</f>
        <v>Kongskuvirus solivivens</v>
      </c>
      <c r="S9417" s="18" t="s">
        <v>30</v>
      </c>
      <c r="T9417" s="18" t="s">
        <v>43212</v>
      </c>
      <c r="U9417" s="18"/>
      <c r="V9417" s="18"/>
      <c r="W9417" s="18" t="s">
        <v>43213</v>
      </c>
      <c r="X9417" s="18" t="s">
        <v>35</v>
      </c>
      <c r="Y9417" s="18" t="s">
        <v>17171</v>
      </c>
      <c r="Z9417" s="18" t="s">
        <v>24637</v>
      </c>
      <c r="AA9417" s="21" t="str">
        <f>HYPERLINK("https://www.ncbi.nlm.nih.gov/nuccore/CASDWV010001499","NCBI Nucleotide")</f>
        <v>NCBI Nucleotide</v>
      </c>
    </row>
    <row r="9418" spans="1:27" x14ac:dyDescent="0.35">
      <c r="A9418">
        <v>1009581</v>
      </c>
      <c r="B9418">
        <v>8743</v>
      </c>
      <c r="C9418">
        <v>1</v>
      </c>
      <c r="D9418" s="17" t="s">
        <v>17166</v>
      </c>
      <c r="E9418" s="17"/>
      <c r="F9418" s="17" t="s">
        <v>17246</v>
      </c>
      <c r="G9418" s="17"/>
      <c r="H9418" s="17" t="s">
        <v>20919</v>
      </c>
      <c r="I9418" s="17"/>
      <c r="J9418" s="17" t="s">
        <v>21313</v>
      </c>
      <c r="K9418" s="17"/>
      <c r="L9418" s="17" t="s">
        <v>21326</v>
      </c>
      <c r="M9418" s="17"/>
      <c r="N9418" s="17" t="s">
        <v>21577</v>
      </c>
      <c r="O9418" s="17"/>
      <c r="P9418" s="17" t="s">
        <v>21903</v>
      </c>
      <c r="Q9418" s="17"/>
      <c r="R9418" s="25" t="str">
        <f>HYPERLINK("https://ictv.global/taxonomy/taxondetails?taxnode_id=202310429","Konkivirus lutihabitans")</f>
        <v>Konkivirus lutihabitans</v>
      </c>
      <c r="S9418" s="18" t="s">
        <v>30</v>
      </c>
      <c r="T9418" s="18" t="s">
        <v>21904</v>
      </c>
      <c r="U9418" s="18"/>
      <c r="V9418" s="18"/>
      <c r="W9418" s="18" t="s">
        <v>21905</v>
      </c>
      <c r="X9418" s="18" t="s">
        <v>35</v>
      </c>
      <c r="Y9418" s="18" t="s">
        <v>17171</v>
      </c>
      <c r="Z9418" s="18" t="s">
        <v>697</v>
      </c>
      <c r="AA9418" s="21" t="str">
        <f>HYPERLINK("https://www.ncbi.nlm.nih.gov/nuccore/BK014146","NCBI Nucleotide")</f>
        <v>NCBI Nucleotide</v>
      </c>
    </row>
    <row r="9419" spans="1:27" x14ac:dyDescent="0.35">
      <c r="A9419">
        <v>1026824</v>
      </c>
      <c r="B9419">
        <v>8744</v>
      </c>
      <c r="C9419">
        <v>1</v>
      </c>
      <c r="D9419" s="17" t="s">
        <v>17166</v>
      </c>
      <c r="E9419" s="17"/>
      <c r="F9419" s="17" t="s">
        <v>17246</v>
      </c>
      <c r="G9419" s="17"/>
      <c r="H9419" s="17" t="s">
        <v>20919</v>
      </c>
      <c r="I9419" s="17"/>
      <c r="J9419" s="17" t="s">
        <v>21313</v>
      </c>
      <c r="K9419" s="17"/>
      <c r="L9419" s="17" t="s">
        <v>21326</v>
      </c>
      <c r="M9419" s="17"/>
      <c r="N9419" s="17" t="s">
        <v>21577</v>
      </c>
      <c r="O9419" s="17"/>
      <c r="P9419" s="17" t="s">
        <v>43214</v>
      </c>
      <c r="Q9419" s="17"/>
      <c r="R9419" s="25" t="str">
        <f>HYPERLINK("https://ictv.global/taxonomy/taxondetails?taxnode_id=202316339","Konwavirus geoadaptatum")</f>
        <v>Konwavirus geoadaptatum</v>
      </c>
      <c r="S9419" s="18" t="s">
        <v>30</v>
      </c>
      <c r="T9419" s="18" t="s">
        <v>43215</v>
      </c>
      <c r="U9419" s="18"/>
      <c r="V9419" s="18"/>
      <c r="W9419" s="18" t="s">
        <v>43216</v>
      </c>
      <c r="X9419" s="18" t="s">
        <v>35</v>
      </c>
      <c r="Y9419" s="18" t="s">
        <v>17171</v>
      </c>
      <c r="Z9419" s="18" t="s">
        <v>24637</v>
      </c>
      <c r="AA9419" s="21" t="str">
        <f>HYPERLINK("https://www.ncbi.nlm.nih.gov/nuccore/CASDWV010000532","NCBI Nucleotide")</f>
        <v>NCBI Nucleotide</v>
      </c>
    </row>
    <row r="9420" spans="1:27" x14ac:dyDescent="0.35">
      <c r="A9420">
        <v>1026791</v>
      </c>
      <c r="B9420">
        <v>8745</v>
      </c>
      <c r="C9420">
        <v>1</v>
      </c>
      <c r="D9420" s="17" t="s">
        <v>17166</v>
      </c>
      <c r="E9420" s="17"/>
      <c r="F9420" s="17" t="s">
        <v>17246</v>
      </c>
      <c r="G9420" s="17"/>
      <c r="H9420" s="17" t="s">
        <v>20919</v>
      </c>
      <c r="I9420" s="17"/>
      <c r="J9420" s="17" t="s">
        <v>21313</v>
      </c>
      <c r="K9420" s="17"/>
      <c r="L9420" s="17" t="s">
        <v>21326</v>
      </c>
      <c r="M9420" s="17"/>
      <c r="N9420" s="17" t="s">
        <v>21577</v>
      </c>
      <c r="O9420" s="17"/>
      <c r="P9420" s="17" t="s">
        <v>43217</v>
      </c>
      <c r="Q9420" s="17"/>
      <c r="R9420" s="25" t="str">
        <f>HYPERLINK("https://ictv.global/taxonomy/taxondetails?taxnode_id=202316340","Koteshevirus agrivicinum")</f>
        <v>Koteshevirus agrivicinum</v>
      </c>
      <c r="S9420" s="18" t="s">
        <v>30</v>
      </c>
      <c r="T9420" s="18" t="s">
        <v>43218</v>
      </c>
      <c r="U9420" s="18"/>
      <c r="V9420" s="18"/>
      <c r="W9420" s="18" t="s">
        <v>43219</v>
      </c>
      <c r="X9420" s="18" t="s">
        <v>35</v>
      </c>
      <c r="Y9420" s="18" t="s">
        <v>17171</v>
      </c>
      <c r="Z9420" s="18" t="s">
        <v>24637</v>
      </c>
      <c r="AA9420" s="21" t="str">
        <f>HYPERLINK("https://www.ncbi.nlm.nih.gov/nuccore/CASDWV010000849","NCBI Nucleotide")</f>
        <v>NCBI Nucleotide</v>
      </c>
    </row>
    <row r="9421" spans="1:27" x14ac:dyDescent="0.35">
      <c r="A9421">
        <v>1026792</v>
      </c>
      <c r="B9421">
        <v>8746</v>
      </c>
      <c r="C9421">
        <v>1</v>
      </c>
      <c r="D9421" s="17" t="s">
        <v>17166</v>
      </c>
      <c r="E9421" s="17"/>
      <c r="F9421" s="17" t="s">
        <v>17246</v>
      </c>
      <c r="G9421" s="17"/>
      <c r="H9421" s="17" t="s">
        <v>20919</v>
      </c>
      <c r="I9421" s="17"/>
      <c r="J9421" s="17" t="s">
        <v>21313</v>
      </c>
      <c r="K9421" s="17"/>
      <c r="L9421" s="17" t="s">
        <v>21326</v>
      </c>
      <c r="M9421" s="17"/>
      <c r="N9421" s="17" t="s">
        <v>21577</v>
      </c>
      <c r="O9421" s="17"/>
      <c r="P9421" s="17" t="s">
        <v>43217</v>
      </c>
      <c r="Q9421" s="17"/>
      <c r="R9421" s="25" t="str">
        <f>HYPERLINK("https://ictv.global/taxonomy/taxondetails?taxnode_id=202316341","Koteshevirus allodinebrenecus")</f>
        <v>Koteshevirus allodinebrenecus</v>
      </c>
      <c r="S9421" s="18" t="s">
        <v>30</v>
      </c>
      <c r="T9421" s="18" t="s">
        <v>43220</v>
      </c>
      <c r="U9421" s="18"/>
      <c r="V9421" s="18" t="s">
        <v>43221</v>
      </c>
      <c r="W9421" s="18" t="s">
        <v>43222</v>
      </c>
      <c r="X9421" s="18" t="s">
        <v>35</v>
      </c>
      <c r="Y9421" s="18" t="s">
        <v>17171</v>
      </c>
      <c r="Z9421" s="18" t="s">
        <v>17336</v>
      </c>
      <c r="AA9421" s="21" t="str">
        <f>HYPERLINK("https://www.ncbi.nlm.nih.gov/nuccore/OM514459","NCBI Nucleotide")</f>
        <v>NCBI Nucleotide</v>
      </c>
    </row>
    <row r="9422" spans="1:27" x14ac:dyDescent="0.35">
      <c r="A9422">
        <v>1026793</v>
      </c>
      <c r="B9422">
        <v>8747</v>
      </c>
      <c r="C9422">
        <v>1</v>
      </c>
      <c r="D9422" s="17" t="s">
        <v>17166</v>
      </c>
      <c r="E9422" s="17"/>
      <c r="F9422" s="17" t="s">
        <v>17246</v>
      </c>
      <c r="G9422" s="17"/>
      <c r="H9422" s="17" t="s">
        <v>20919</v>
      </c>
      <c r="I9422" s="17"/>
      <c r="J9422" s="17" t="s">
        <v>21313</v>
      </c>
      <c r="K9422" s="17"/>
      <c r="L9422" s="17" t="s">
        <v>21326</v>
      </c>
      <c r="M9422" s="17"/>
      <c r="N9422" s="17" t="s">
        <v>21577</v>
      </c>
      <c r="O9422" s="17"/>
      <c r="P9422" s="17" t="s">
        <v>43217</v>
      </c>
      <c r="Q9422" s="17"/>
      <c r="R9422" s="25" t="str">
        <f>HYPERLINK("https://ictv.global/taxonomy/taxondetails?taxnode_id=202316342","Koteshevirus allodinebricola")</f>
        <v>Koteshevirus allodinebricola</v>
      </c>
      <c r="S9422" s="18" t="s">
        <v>30</v>
      </c>
      <c r="T9422" s="18" t="s">
        <v>43223</v>
      </c>
      <c r="U9422" s="18"/>
      <c r="V9422" s="18" t="s">
        <v>43224</v>
      </c>
      <c r="W9422" s="18" t="s">
        <v>43225</v>
      </c>
      <c r="X9422" s="18" t="s">
        <v>35</v>
      </c>
      <c r="Y9422" s="18" t="s">
        <v>17171</v>
      </c>
      <c r="Z9422" s="18" t="s">
        <v>17336</v>
      </c>
      <c r="AA9422" s="21" t="str">
        <f>HYPERLINK("https://www.ncbi.nlm.nih.gov/nuccore/OM514500","NCBI Nucleotide")</f>
        <v>NCBI Nucleotide</v>
      </c>
    </row>
    <row r="9423" spans="1:27" x14ac:dyDescent="0.35">
      <c r="A9423">
        <v>1009509</v>
      </c>
      <c r="B9423">
        <v>8748</v>
      </c>
      <c r="C9423">
        <v>1</v>
      </c>
      <c r="D9423" s="17" t="s">
        <v>17166</v>
      </c>
      <c r="E9423" s="17"/>
      <c r="F9423" s="17" t="s">
        <v>17246</v>
      </c>
      <c r="G9423" s="17"/>
      <c r="H9423" s="17" t="s">
        <v>20919</v>
      </c>
      <c r="I9423" s="17"/>
      <c r="J9423" s="17" t="s">
        <v>21313</v>
      </c>
      <c r="K9423" s="17"/>
      <c r="L9423" s="17" t="s">
        <v>21326</v>
      </c>
      <c r="M9423" s="17"/>
      <c r="N9423" s="17" t="s">
        <v>21577</v>
      </c>
      <c r="O9423" s="17"/>
      <c r="P9423" s="17" t="s">
        <v>43217</v>
      </c>
      <c r="Q9423" s="17"/>
      <c r="R9423" s="25" t="str">
        <f>HYPERLINK("https://ictv.global/taxonomy/taxondetails?taxnode_id=202310313","Koteshevirus arvenecus")</f>
        <v>Koteshevirus arvenecus</v>
      </c>
      <c r="S9423" s="18" t="s">
        <v>30</v>
      </c>
      <c r="T9423" s="18" t="s">
        <v>21720</v>
      </c>
      <c r="U9423" s="18"/>
      <c r="V9423" s="18"/>
      <c r="W9423" s="18" t="s">
        <v>21721</v>
      </c>
      <c r="X9423" s="18" t="s">
        <v>35</v>
      </c>
      <c r="Y9423" s="18" t="s">
        <v>17171</v>
      </c>
      <c r="Z9423" s="18" t="s">
        <v>697</v>
      </c>
      <c r="AA9423" s="21" t="str">
        <f>HYPERLINK("https://www.ncbi.nlm.nih.gov/nuccore/BK014016","NCBI Nucleotide")</f>
        <v>NCBI Nucleotide</v>
      </c>
    </row>
    <row r="9424" spans="1:27" x14ac:dyDescent="0.35">
      <c r="A9424">
        <v>1009510</v>
      </c>
      <c r="B9424">
        <v>8749</v>
      </c>
      <c r="C9424">
        <v>1</v>
      </c>
      <c r="D9424" s="17" t="s">
        <v>17166</v>
      </c>
      <c r="E9424" s="17"/>
      <c r="F9424" s="17" t="s">
        <v>17246</v>
      </c>
      <c r="G9424" s="17"/>
      <c r="H9424" s="17" t="s">
        <v>20919</v>
      </c>
      <c r="I9424" s="17"/>
      <c r="J9424" s="17" t="s">
        <v>21313</v>
      </c>
      <c r="K9424" s="17"/>
      <c r="L9424" s="17" t="s">
        <v>21326</v>
      </c>
      <c r="M9424" s="17"/>
      <c r="N9424" s="17" t="s">
        <v>21577</v>
      </c>
      <c r="O9424" s="17"/>
      <c r="P9424" s="17" t="s">
        <v>43217</v>
      </c>
      <c r="Q9424" s="17"/>
      <c r="R9424" s="25" t="str">
        <f>HYPERLINK("https://ictv.global/taxonomy/taxondetails?taxnode_id=202310312","Koteshevirus arvicola")</f>
        <v>Koteshevirus arvicola</v>
      </c>
      <c r="S9424" s="18" t="s">
        <v>30</v>
      </c>
      <c r="T9424" s="18" t="s">
        <v>21722</v>
      </c>
      <c r="U9424" s="18"/>
      <c r="V9424" s="18"/>
      <c r="W9424" s="18" t="s">
        <v>21723</v>
      </c>
      <c r="X9424" s="18" t="s">
        <v>35</v>
      </c>
      <c r="Y9424" s="18" t="s">
        <v>17171</v>
      </c>
      <c r="Z9424" s="18" t="s">
        <v>697</v>
      </c>
      <c r="AA9424" s="21" t="str">
        <f>HYPERLINK("https://www.ncbi.nlm.nih.gov/nuccore/BK013856","NCBI Nucleotide")</f>
        <v>NCBI Nucleotide</v>
      </c>
    </row>
    <row r="9425" spans="1:27" x14ac:dyDescent="0.35">
      <c r="A9425">
        <v>1009512</v>
      </c>
      <c r="B9425">
        <v>8750</v>
      </c>
      <c r="C9425">
        <v>1</v>
      </c>
      <c r="D9425" s="17" t="s">
        <v>17166</v>
      </c>
      <c r="E9425" s="17"/>
      <c r="F9425" s="17" t="s">
        <v>17246</v>
      </c>
      <c r="G9425" s="17"/>
      <c r="H9425" s="17" t="s">
        <v>20919</v>
      </c>
      <c r="I9425" s="17"/>
      <c r="J9425" s="17" t="s">
        <v>21313</v>
      </c>
      <c r="K9425" s="17"/>
      <c r="L9425" s="17" t="s">
        <v>21326</v>
      </c>
      <c r="M9425" s="17"/>
      <c r="N9425" s="17" t="s">
        <v>21577</v>
      </c>
      <c r="O9425" s="17"/>
      <c r="P9425" s="17" t="s">
        <v>43217</v>
      </c>
      <c r="Q9425" s="17"/>
      <c r="R9425" s="25" t="str">
        <f>HYPERLINK("https://ictv.global/taxonomy/taxondetails?taxnode_id=202310315","Koteshevirus arvivicinum")</f>
        <v>Koteshevirus arvivicinum</v>
      </c>
      <c r="S9425" s="18" t="s">
        <v>30</v>
      </c>
      <c r="T9425" s="18" t="s">
        <v>21724</v>
      </c>
      <c r="U9425" s="18"/>
      <c r="V9425" s="18"/>
      <c r="W9425" s="18" t="s">
        <v>21725</v>
      </c>
      <c r="X9425" s="18" t="s">
        <v>35</v>
      </c>
      <c r="Y9425" s="18" t="s">
        <v>17171</v>
      </c>
      <c r="Z9425" s="18" t="s">
        <v>697</v>
      </c>
      <c r="AA9425" s="21" t="str">
        <f>HYPERLINK("https://www.ncbi.nlm.nih.gov/nuccore/BK013778","NCBI Nucleotide")</f>
        <v>NCBI Nucleotide</v>
      </c>
    </row>
    <row r="9426" spans="1:27" x14ac:dyDescent="0.35">
      <c r="A9426">
        <v>1009513</v>
      </c>
      <c r="B9426">
        <v>8751</v>
      </c>
      <c r="C9426">
        <v>1</v>
      </c>
      <c r="D9426" s="17" t="s">
        <v>17166</v>
      </c>
      <c r="E9426" s="17"/>
      <c r="F9426" s="17" t="s">
        <v>17246</v>
      </c>
      <c r="G9426" s="17"/>
      <c r="H9426" s="17" t="s">
        <v>20919</v>
      </c>
      <c r="I9426" s="17"/>
      <c r="J9426" s="17" t="s">
        <v>21313</v>
      </c>
      <c r="K9426" s="17"/>
      <c r="L9426" s="17" t="s">
        <v>21326</v>
      </c>
      <c r="M9426" s="17"/>
      <c r="N9426" s="17" t="s">
        <v>21577</v>
      </c>
      <c r="O9426" s="17"/>
      <c r="P9426" s="17" t="s">
        <v>43217</v>
      </c>
      <c r="Q9426" s="17"/>
      <c r="R9426" s="25" t="str">
        <f>HYPERLINK("https://ictv.global/taxonomy/taxondetails?taxnode_id=202310316","Koteshevirus arvivivens")</f>
        <v>Koteshevirus arvivivens</v>
      </c>
      <c r="S9426" s="18" t="s">
        <v>30</v>
      </c>
      <c r="T9426" s="18" t="s">
        <v>21726</v>
      </c>
      <c r="U9426" s="18"/>
      <c r="V9426" s="18"/>
      <c r="W9426" s="18" t="s">
        <v>21727</v>
      </c>
      <c r="X9426" s="18" t="s">
        <v>35</v>
      </c>
      <c r="Y9426" s="18" t="s">
        <v>17171</v>
      </c>
      <c r="Z9426" s="18" t="s">
        <v>697</v>
      </c>
      <c r="AA9426" s="21" t="str">
        <f>HYPERLINK("https://www.ncbi.nlm.nih.gov/nuccore/BK013859","NCBI Nucleotide")</f>
        <v>NCBI Nucleotide</v>
      </c>
    </row>
    <row r="9427" spans="1:27" x14ac:dyDescent="0.35">
      <c r="A9427">
        <v>1026794</v>
      </c>
      <c r="B9427">
        <v>8752</v>
      </c>
      <c r="C9427">
        <v>1</v>
      </c>
      <c r="D9427" s="17" t="s">
        <v>17166</v>
      </c>
      <c r="E9427" s="17"/>
      <c r="F9427" s="17" t="s">
        <v>17246</v>
      </c>
      <c r="G9427" s="17"/>
      <c r="H9427" s="17" t="s">
        <v>20919</v>
      </c>
      <c r="I9427" s="17"/>
      <c r="J9427" s="17" t="s">
        <v>21313</v>
      </c>
      <c r="K9427" s="17"/>
      <c r="L9427" s="17" t="s">
        <v>21326</v>
      </c>
      <c r="M9427" s="17"/>
      <c r="N9427" s="17" t="s">
        <v>21577</v>
      </c>
      <c r="O9427" s="17"/>
      <c r="P9427" s="17" t="s">
        <v>43217</v>
      </c>
      <c r="Q9427" s="17"/>
      <c r="R9427" s="25" t="str">
        <f>HYPERLINK("https://ictv.global/taxonomy/taxondetails?taxnode_id=202316343","Koteshevirus asiadaptatum")</f>
        <v>Koteshevirus asiadaptatum</v>
      </c>
      <c r="S9427" s="18" t="s">
        <v>30</v>
      </c>
      <c r="T9427" s="18" t="s">
        <v>43226</v>
      </c>
      <c r="U9427" s="18"/>
      <c r="V9427" s="18"/>
      <c r="W9427" s="18" t="s">
        <v>43227</v>
      </c>
      <c r="X9427" s="18" t="s">
        <v>35</v>
      </c>
      <c r="Y9427" s="18" t="s">
        <v>17171</v>
      </c>
      <c r="Z9427" s="18" t="s">
        <v>24637</v>
      </c>
      <c r="AA9427" s="21" t="str">
        <f>HYPERLINK("https://www.ncbi.nlm.nih.gov/nuccore/CASDWV010003769","NCBI Nucleotide")</f>
        <v>NCBI Nucleotide</v>
      </c>
    </row>
    <row r="9428" spans="1:27" x14ac:dyDescent="0.35">
      <c r="A9428">
        <v>1026795</v>
      </c>
      <c r="B9428">
        <v>8753</v>
      </c>
      <c r="C9428">
        <v>1</v>
      </c>
      <c r="D9428" s="17" t="s">
        <v>17166</v>
      </c>
      <c r="E9428" s="17"/>
      <c r="F9428" s="17" t="s">
        <v>17246</v>
      </c>
      <c r="G9428" s="17"/>
      <c r="H9428" s="17" t="s">
        <v>20919</v>
      </c>
      <c r="I9428" s="17"/>
      <c r="J9428" s="17" t="s">
        <v>21313</v>
      </c>
      <c r="K9428" s="17"/>
      <c r="L9428" s="17" t="s">
        <v>21326</v>
      </c>
      <c r="M9428" s="17"/>
      <c r="N9428" s="17" t="s">
        <v>21577</v>
      </c>
      <c r="O9428" s="17"/>
      <c r="P9428" s="17" t="s">
        <v>43217</v>
      </c>
      <c r="Q9428" s="17"/>
      <c r="R9428" s="25" t="str">
        <f>HYPERLINK("https://ictv.global/taxonomy/taxondetails?taxnode_id=202316344","Koteshevirus asienecus")</f>
        <v>Koteshevirus asienecus</v>
      </c>
      <c r="S9428" s="18" t="s">
        <v>30</v>
      </c>
      <c r="T9428" s="18" t="s">
        <v>43228</v>
      </c>
      <c r="U9428" s="18"/>
      <c r="V9428" s="18"/>
      <c r="W9428" s="18" t="s">
        <v>43229</v>
      </c>
      <c r="X9428" s="18" t="s">
        <v>35</v>
      </c>
      <c r="Y9428" s="18" t="s">
        <v>17171</v>
      </c>
      <c r="Z9428" s="18" t="s">
        <v>24637</v>
      </c>
      <c r="AA9428" s="21" t="str">
        <f>HYPERLINK("https://www.ncbi.nlm.nih.gov/nuccore/CASDWV010002326","NCBI Nucleotide")</f>
        <v>NCBI Nucleotide</v>
      </c>
    </row>
    <row r="9429" spans="1:27" x14ac:dyDescent="0.35">
      <c r="A9429">
        <v>1009693</v>
      </c>
      <c r="B9429">
        <v>8754</v>
      </c>
      <c r="C9429">
        <v>1</v>
      </c>
      <c r="D9429" s="17" t="s">
        <v>17166</v>
      </c>
      <c r="E9429" s="17"/>
      <c r="F9429" s="17" t="s">
        <v>17246</v>
      </c>
      <c r="G9429" s="17"/>
      <c r="H9429" s="17" t="s">
        <v>20919</v>
      </c>
      <c r="I9429" s="17"/>
      <c r="J9429" s="17" t="s">
        <v>21313</v>
      </c>
      <c r="K9429" s="17"/>
      <c r="L9429" s="17" t="s">
        <v>21326</v>
      </c>
      <c r="M9429" s="17"/>
      <c r="N9429" s="17" t="s">
        <v>21577</v>
      </c>
      <c r="O9429" s="17"/>
      <c r="P9429" s="17" t="s">
        <v>43217</v>
      </c>
      <c r="Q9429" s="17"/>
      <c r="R9429" s="25" t="str">
        <f>HYPERLINK("https://ictv.global/taxonomy/taxondetails?taxnode_id=202310599","Koteshevirus asiovivens")</f>
        <v>Koteshevirus asiovivens</v>
      </c>
      <c r="S9429" s="18" t="s">
        <v>30</v>
      </c>
      <c r="T9429" s="18" t="s">
        <v>22167</v>
      </c>
      <c r="U9429" s="18"/>
      <c r="V9429" s="18"/>
      <c r="W9429" s="18" t="s">
        <v>22168</v>
      </c>
      <c r="X9429" s="18" t="s">
        <v>35</v>
      </c>
      <c r="Y9429" s="18" t="s">
        <v>17171</v>
      </c>
      <c r="Z9429" s="18" t="s">
        <v>697</v>
      </c>
      <c r="AA9429" s="21" t="str">
        <f>HYPERLINK("https://www.ncbi.nlm.nih.gov/nuccore/BK013719","NCBI Nucleotide")</f>
        <v>NCBI Nucleotide</v>
      </c>
    </row>
    <row r="9430" spans="1:27" x14ac:dyDescent="0.35">
      <c r="A9430">
        <v>1009672</v>
      </c>
      <c r="B9430">
        <v>8755</v>
      </c>
      <c r="C9430">
        <v>1</v>
      </c>
      <c r="D9430" s="17" t="s">
        <v>17166</v>
      </c>
      <c r="E9430" s="17"/>
      <c r="F9430" s="17" t="s">
        <v>17246</v>
      </c>
      <c r="G9430" s="17"/>
      <c r="H9430" s="17" t="s">
        <v>20919</v>
      </c>
      <c r="I9430" s="17"/>
      <c r="J9430" s="17" t="s">
        <v>21313</v>
      </c>
      <c r="K9430" s="17"/>
      <c r="L9430" s="17" t="s">
        <v>21326</v>
      </c>
      <c r="M9430" s="17"/>
      <c r="N9430" s="17" t="s">
        <v>21577</v>
      </c>
      <c r="O9430" s="17"/>
      <c r="P9430" s="17" t="s">
        <v>43217</v>
      </c>
      <c r="Q9430" s="17"/>
      <c r="R9430" s="25" t="str">
        <f>HYPERLINK("https://ictv.global/taxonomy/taxondetails?taxnode_id=202310570","Koteshevirus caenihabitans")</f>
        <v>Koteshevirus caenihabitans</v>
      </c>
      <c r="S9430" s="18" t="s">
        <v>30</v>
      </c>
      <c r="T9430" s="18" t="s">
        <v>22116</v>
      </c>
      <c r="U9430" s="18"/>
      <c r="V9430" s="18"/>
      <c r="W9430" s="18" t="s">
        <v>22117</v>
      </c>
      <c r="X9430" s="18" t="s">
        <v>35</v>
      </c>
      <c r="Y9430" s="18" t="s">
        <v>17171</v>
      </c>
      <c r="Z9430" s="18" t="s">
        <v>697</v>
      </c>
      <c r="AA9430" s="21" t="str">
        <f>HYPERLINK("https://www.ncbi.nlm.nih.gov/nuccore/BK013672","NCBI Nucleotide")</f>
        <v>NCBI Nucleotide</v>
      </c>
    </row>
    <row r="9431" spans="1:27" x14ac:dyDescent="0.35">
      <c r="A9431">
        <v>1026796</v>
      </c>
      <c r="B9431">
        <v>8756</v>
      </c>
      <c r="C9431">
        <v>1</v>
      </c>
      <c r="D9431" s="17" t="s">
        <v>17166</v>
      </c>
      <c r="E9431" s="17"/>
      <c r="F9431" s="17" t="s">
        <v>17246</v>
      </c>
      <c r="G9431" s="17"/>
      <c r="H9431" s="17" t="s">
        <v>20919</v>
      </c>
      <c r="I9431" s="17"/>
      <c r="J9431" s="17" t="s">
        <v>21313</v>
      </c>
      <c r="K9431" s="17"/>
      <c r="L9431" s="17" t="s">
        <v>21326</v>
      </c>
      <c r="M9431" s="17"/>
      <c r="N9431" s="17" t="s">
        <v>21577</v>
      </c>
      <c r="O9431" s="17"/>
      <c r="P9431" s="17" t="s">
        <v>43217</v>
      </c>
      <c r="Q9431" s="17"/>
      <c r="R9431" s="25" t="str">
        <f>HYPERLINK("https://ictv.global/taxonomy/taxondetails?taxnode_id=202316345","Koteshevirus chorovicinum")</f>
        <v>Koteshevirus chorovicinum</v>
      </c>
      <c r="S9431" s="18" t="s">
        <v>30</v>
      </c>
      <c r="T9431" s="18" t="s">
        <v>43230</v>
      </c>
      <c r="U9431" s="18"/>
      <c r="V9431" s="18"/>
      <c r="W9431" s="18" t="s">
        <v>43231</v>
      </c>
      <c r="X9431" s="18" t="s">
        <v>35</v>
      </c>
      <c r="Y9431" s="18" t="s">
        <v>17171</v>
      </c>
      <c r="Z9431" s="18" t="s">
        <v>24637</v>
      </c>
      <c r="AA9431" s="21" t="str">
        <f>HYPERLINK("https://www.ncbi.nlm.nih.gov/nuccore/CASDWV010004002","NCBI Nucleotide")</f>
        <v>NCBI Nucleotide</v>
      </c>
    </row>
    <row r="9432" spans="1:27" x14ac:dyDescent="0.35">
      <c r="A9432">
        <v>1026797</v>
      </c>
      <c r="B9432">
        <v>8757</v>
      </c>
      <c r="C9432">
        <v>1</v>
      </c>
      <c r="D9432" s="17" t="s">
        <v>17166</v>
      </c>
      <c r="E9432" s="17"/>
      <c r="F9432" s="17" t="s">
        <v>17246</v>
      </c>
      <c r="G9432" s="17"/>
      <c r="H9432" s="17" t="s">
        <v>20919</v>
      </c>
      <c r="I9432" s="17"/>
      <c r="J9432" s="17" t="s">
        <v>21313</v>
      </c>
      <c r="K9432" s="17"/>
      <c r="L9432" s="17" t="s">
        <v>21326</v>
      </c>
      <c r="M9432" s="17"/>
      <c r="N9432" s="17" t="s">
        <v>21577</v>
      </c>
      <c r="O9432" s="17"/>
      <c r="P9432" s="17" t="s">
        <v>43217</v>
      </c>
      <c r="Q9432" s="17"/>
      <c r="R9432" s="25" t="str">
        <f>HYPERLINK("https://ictv.global/taxonomy/taxondetails?taxnode_id=202316346","Koteshevirus chorovivens")</f>
        <v>Koteshevirus chorovivens</v>
      </c>
      <c r="S9432" s="18" t="s">
        <v>30</v>
      </c>
      <c r="T9432" s="18" t="s">
        <v>43232</v>
      </c>
      <c r="U9432" s="18"/>
      <c r="V9432" s="18"/>
      <c r="W9432" s="18" t="s">
        <v>43233</v>
      </c>
      <c r="X9432" s="18" t="s">
        <v>35</v>
      </c>
      <c r="Y9432" s="18" t="s">
        <v>17171</v>
      </c>
      <c r="Z9432" s="18" t="s">
        <v>24637</v>
      </c>
      <c r="AA9432" s="21" t="str">
        <f>HYPERLINK("https://www.ncbi.nlm.nih.gov/nuccore/CASDWV010004767","NCBI Nucleotide")</f>
        <v>NCBI Nucleotide</v>
      </c>
    </row>
    <row r="9433" spans="1:27" x14ac:dyDescent="0.35">
      <c r="A9433">
        <v>1026798</v>
      </c>
      <c r="B9433">
        <v>8758</v>
      </c>
      <c r="C9433">
        <v>1</v>
      </c>
      <c r="D9433" s="17" t="s">
        <v>17166</v>
      </c>
      <c r="E9433" s="17"/>
      <c r="F9433" s="17" t="s">
        <v>17246</v>
      </c>
      <c r="G9433" s="17"/>
      <c r="H9433" s="17" t="s">
        <v>20919</v>
      </c>
      <c r="I9433" s="17"/>
      <c r="J9433" s="17" t="s">
        <v>21313</v>
      </c>
      <c r="K9433" s="17"/>
      <c r="L9433" s="17" t="s">
        <v>21326</v>
      </c>
      <c r="M9433" s="17"/>
      <c r="N9433" s="17" t="s">
        <v>21577</v>
      </c>
      <c r="O9433" s="17"/>
      <c r="P9433" s="17" t="s">
        <v>43217</v>
      </c>
      <c r="Q9433" s="17"/>
      <c r="R9433" s="25" t="str">
        <f>HYPERLINK("https://ictv.global/taxonomy/taxondetails?taxnode_id=202316347","Koteshevirus chthonovivens")</f>
        <v>Koteshevirus chthonovivens</v>
      </c>
      <c r="S9433" s="18" t="s">
        <v>30</v>
      </c>
      <c r="T9433" s="18" t="s">
        <v>43234</v>
      </c>
      <c r="U9433" s="18"/>
      <c r="V9433" s="18"/>
      <c r="W9433" s="18" t="s">
        <v>43235</v>
      </c>
      <c r="X9433" s="18" t="s">
        <v>35</v>
      </c>
      <c r="Y9433" s="18" t="s">
        <v>17171</v>
      </c>
      <c r="Z9433" s="18" t="s">
        <v>24637</v>
      </c>
      <c r="AA9433" s="21" t="str">
        <f>HYPERLINK("https://www.ncbi.nlm.nih.gov/nuccore/CASDWV010003881","NCBI Nucleotide")</f>
        <v>NCBI Nucleotide</v>
      </c>
    </row>
    <row r="9434" spans="1:27" x14ac:dyDescent="0.35">
      <c r="A9434">
        <v>1026799</v>
      </c>
      <c r="B9434">
        <v>8759</v>
      </c>
      <c r="C9434">
        <v>1</v>
      </c>
      <c r="D9434" s="17" t="s">
        <v>17166</v>
      </c>
      <c r="E9434" s="17"/>
      <c r="F9434" s="17" t="s">
        <v>17246</v>
      </c>
      <c r="G9434" s="17"/>
      <c r="H9434" s="17" t="s">
        <v>20919</v>
      </c>
      <c r="I9434" s="17"/>
      <c r="J9434" s="17" t="s">
        <v>21313</v>
      </c>
      <c r="K9434" s="17"/>
      <c r="L9434" s="17" t="s">
        <v>21326</v>
      </c>
      <c r="M9434" s="17"/>
      <c r="N9434" s="17" t="s">
        <v>21577</v>
      </c>
      <c r="O9434" s="17"/>
      <c r="P9434" s="17" t="s">
        <v>43217</v>
      </c>
      <c r="Q9434" s="17"/>
      <c r="R9434" s="25" t="str">
        <f>HYPERLINK("https://ictv.global/taxonomy/taxondetails?taxnode_id=202316348","Koteshevirus dinebrenecus")</f>
        <v>Koteshevirus dinebrenecus</v>
      </c>
      <c r="S9434" s="18" t="s">
        <v>30</v>
      </c>
      <c r="T9434" s="18" t="s">
        <v>43236</v>
      </c>
      <c r="U9434" s="18"/>
      <c r="V9434" s="18" t="s">
        <v>43237</v>
      </c>
      <c r="W9434" s="18" t="s">
        <v>43238</v>
      </c>
      <c r="X9434" s="18" t="s">
        <v>35</v>
      </c>
      <c r="Y9434" s="18" t="s">
        <v>17171</v>
      </c>
      <c r="Z9434" s="18" t="s">
        <v>17336</v>
      </c>
      <c r="AA9434" s="21" t="str">
        <f>HYPERLINK("https://www.ncbi.nlm.nih.gov/nuccore/OM514507","NCBI Nucleotide")</f>
        <v>NCBI Nucleotide</v>
      </c>
    </row>
    <row r="9435" spans="1:27" x14ac:dyDescent="0.35">
      <c r="A9435">
        <v>1026800</v>
      </c>
      <c r="B9435">
        <v>8760</v>
      </c>
      <c r="C9435">
        <v>1</v>
      </c>
      <c r="D9435" s="17" t="s">
        <v>17166</v>
      </c>
      <c r="E9435" s="17"/>
      <c r="F9435" s="17" t="s">
        <v>17246</v>
      </c>
      <c r="G9435" s="17"/>
      <c r="H9435" s="17" t="s">
        <v>20919</v>
      </c>
      <c r="I9435" s="17"/>
      <c r="J9435" s="17" t="s">
        <v>21313</v>
      </c>
      <c r="K9435" s="17"/>
      <c r="L9435" s="17" t="s">
        <v>21326</v>
      </c>
      <c r="M9435" s="17"/>
      <c r="N9435" s="17" t="s">
        <v>21577</v>
      </c>
      <c r="O9435" s="17"/>
      <c r="P9435" s="17" t="s">
        <v>43217</v>
      </c>
      <c r="Q9435" s="17"/>
      <c r="R9435" s="25" t="str">
        <f>HYPERLINK("https://ictv.global/taxonomy/taxondetails?taxnode_id=202316349","Koteshevirus dinebricola")</f>
        <v>Koteshevirus dinebricola</v>
      </c>
      <c r="S9435" s="18" t="s">
        <v>30</v>
      </c>
      <c r="T9435" s="18" t="s">
        <v>43239</v>
      </c>
      <c r="U9435" s="18"/>
      <c r="V9435" s="18" t="s">
        <v>43240</v>
      </c>
      <c r="W9435" s="18" t="s">
        <v>43241</v>
      </c>
      <c r="X9435" s="18" t="s">
        <v>35</v>
      </c>
      <c r="Y9435" s="18" t="s">
        <v>17171</v>
      </c>
      <c r="Z9435" s="18" t="s">
        <v>17336</v>
      </c>
      <c r="AA9435" s="21" t="str">
        <f>HYPERLINK("https://www.ncbi.nlm.nih.gov/nuccore/OM514515","NCBI Nucleotide")</f>
        <v>NCBI Nucleotide</v>
      </c>
    </row>
    <row r="9436" spans="1:27" x14ac:dyDescent="0.35">
      <c r="A9436">
        <v>1026801</v>
      </c>
      <c r="B9436">
        <v>8761</v>
      </c>
      <c r="C9436">
        <v>1</v>
      </c>
      <c r="D9436" s="17" t="s">
        <v>17166</v>
      </c>
      <c r="E9436" s="17"/>
      <c r="F9436" s="17" t="s">
        <v>17246</v>
      </c>
      <c r="G9436" s="17"/>
      <c r="H9436" s="17" t="s">
        <v>20919</v>
      </c>
      <c r="I9436" s="17"/>
      <c r="J9436" s="17" t="s">
        <v>21313</v>
      </c>
      <c r="K9436" s="17"/>
      <c r="L9436" s="17" t="s">
        <v>21326</v>
      </c>
      <c r="M9436" s="17"/>
      <c r="N9436" s="17" t="s">
        <v>21577</v>
      </c>
      <c r="O9436" s="17"/>
      <c r="P9436" s="17" t="s">
        <v>43217</v>
      </c>
      <c r="Q9436" s="17"/>
      <c r="R9436" s="25" t="str">
        <f>HYPERLINK("https://ictv.global/taxonomy/taxondetails?taxnode_id=202316350","Koteshevirus dinebrivicinum")</f>
        <v>Koteshevirus dinebrivicinum</v>
      </c>
      <c r="S9436" s="18" t="s">
        <v>30</v>
      </c>
      <c r="T9436" s="18" t="s">
        <v>43242</v>
      </c>
      <c r="U9436" s="18"/>
      <c r="V9436" s="18" t="s">
        <v>43243</v>
      </c>
      <c r="W9436" s="18" t="s">
        <v>43244</v>
      </c>
      <c r="X9436" s="18" t="s">
        <v>35</v>
      </c>
      <c r="Y9436" s="18" t="s">
        <v>17171</v>
      </c>
      <c r="Z9436" s="18" t="s">
        <v>17336</v>
      </c>
      <c r="AA9436" s="21" t="str">
        <f>HYPERLINK("https://www.ncbi.nlm.nih.gov/nuccore/OM514526","NCBI Nucleotide")</f>
        <v>NCBI Nucleotide</v>
      </c>
    </row>
    <row r="9437" spans="1:27" x14ac:dyDescent="0.35">
      <c r="A9437">
        <v>1009514</v>
      </c>
      <c r="B9437">
        <v>8762</v>
      </c>
      <c r="C9437">
        <v>1</v>
      </c>
      <c r="D9437" s="17" t="s">
        <v>17166</v>
      </c>
      <c r="E9437" s="17"/>
      <c r="F9437" s="17" t="s">
        <v>17246</v>
      </c>
      <c r="G9437" s="17"/>
      <c r="H9437" s="17" t="s">
        <v>20919</v>
      </c>
      <c r="I9437" s="17"/>
      <c r="J9437" s="17" t="s">
        <v>21313</v>
      </c>
      <c r="K9437" s="17"/>
      <c r="L9437" s="17" t="s">
        <v>21326</v>
      </c>
      <c r="M9437" s="17"/>
      <c r="N9437" s="17" t="s">
        <v>21577</v>
      </c>
      <c r="O9437" s="17"/>
      <c r="P9437" s="17" t="s">
        <v>43217</v>
      </c>
      <c r="Q9437" s="17"/>
      <c r="R9437" s="25" t="str">
        <f>HYPERLINK("https://ictv.global/taxonomy/taxondetails?taxnode_id=202310311","Koteshevirus edaphadaptatum")</f>
        <v>Koteshevirus edaphadaptatum</v>
      </c>
      <c r="S9437" s="18" t="s">
        <v>30</v>
      </c>
      <c r="T9437" s="18" t="s">
        <v>21728</v>
      </c>
      <c r="U9437" s="18"/>
      <c r="V9437" s="18"/>
      <c r="W9437" s="18" t="s">
        <v>21729</v>
      </c>
      <c r="X9437" s="18" t="s">
        <v>35</v>
      </c>
      <c r="Y9437" s="18" t="s">
        <v>17171</v>
      </c>
      <c r="Z9437" s="18" t="s">
        <v>697</v>
      </c>
      <c r="AA9437" s="21" t="str">
        <f>HYPERLINK("https://www.ncbi.nlm.nih.gov/nuccore/BK014036","NCBI Nucleotide")</f>
        <v>NCBI Nucleotide</v>
      </c>
    </row>
    <row r="9438" spans="1:27" x14ac:dyDescent="0.35">
      <c r="A9438">
        <v>1026802</v>
      </c>
      <c r="B9438">
        <v>8763</v>
      </c>
      <c r="C9438">
        <v>1</v>
      </c>
      <c r="D9438" s="17" t="s">
        <v>17166</v>
      </c>
      <c r="E9438" s="17"/>
      <c r="F9438" s="17" t="s">
        <v>17246</v>
      </c>
      <c r="G9438" s="17"/>
      <c r="H9438" s="17" t="s">
        <v>20919</v>
      </c>
      <c r="I9438" s="17"/>
      <c r="J9438" s="17" t="s">
        <v>21313</v>
      </c>
      <c r="K9438" s="17"/>
      <c r="L9438" s="17" t="s">
        <v>21326</v>
      </c>
      <c r="M9438" s="17"/>
      <c r="N9438" s="17" t="s">
        <v>21577</v>
      </c>
      <c r="O9438" s="17"/>
      <c r="P9438" s="17" t="s">
        <v>43217</v>
      </c>
      <c r="Q9438" s="17"/>
      <c r="R9438" s="25" t="str">
        <f>HYPERLINK("https://ictv.global/taxonomy/taxondetails?taxnode_id=202316351","Koteshevirus edaphenecus")</f>
        <v>Koteshevirus edaphenecus</v>
      </c>
      <c r="S9438" s="18" t="s">
        <v>30</v>
      </c>
      <c r="T9438" s="18" t="s">
        <v>43245</v>
      </c>
      <c r="U9438" s="18"/>
      <c r="V9438" s="18"/>
      <c r="W9438" s="18" t="s">
        <v>43246</v>
      </c>
      <c r="X9438" s="18" t="s">
        <v>35</v>
      </c>
      <c r="Y9438" s="18" t="s">
        <v>17171</v>
      </c>
      <c r="Z9438" s="18" t="s">
        <v>24637</v>
      </c>
      <c r="AA9438" s="21" t="str">
        <f>HYPERLINK("https://www.ncbi.nlm.nih.gov/nuccore/CASDWV010002135","NCBI Nucleotide")</f>
        <v>NCBI Nucleotide</v>
      </c>
    </row>
    <row r="9439" spans="1:27" x14ac:dyDescent="0.35">
      <c r="A9439">
        <v>1009516</v>
      </c>
      <c r="B9439">
        <v>8764</v>
      </c>
      <c r="C9439">
        <v>1</v>
      </c>
      <c r="D9439" s="17" t="s">
        <v>17166</v>
      </c>
      <c r="E9439" s="17"/>
      <c r="F9439" s="17" t="s">
        <v>17246</v>
      </c>
      <c r="G9439" s="17"/>
      <c r="H9439" s="17" t="s">
        <v>20919</v>
      </c>
      <c r="I9439" s="17"/>
      <c r="J9439" s="17" t="s">
        <v>21313</v>
      </c>
      <c r="K9439" s="17"/>
      <c r="L9439" s="17" t="s">
        <v>21326</v>
      </c>
      <c r="M9439" s="17"/>
      <c r="N9439" s="17" t="s">
        <v>21577</v>
      </c>
      <c r="O9439" s="17"/>
      <c r="P9439" s="17" t="s">
        <v>43217</v>
      </c>
      <c r="Q9439" s="17"/>
      <c r="R9439" s="25" t="str">
        <f>HYPERLINK("https://ictv.global/taxonomy/taxondetails?taxnode_id=202310317","Koteshevirus edaphocola")</f>
        <v>Koteshevirus edaphocola</v>
      </c>
      <c r="S9439" s="18" t="s">
        <v>30</v>
      </c>
      <c r="T9439" s="18" t="s">
        <v>21732</v>
      </c>
      <c r="U9439" s="18"/>
      <c r="V9439" s="18"/>
      <c r="W9439" s="18" t="s">
        <v>21733</v>
      </c>
      <c r="X9439" s="18" t="s">
        <v>35</v>
      </c>
      <c r="Y9439" s="18" t="s">
        <v>17171</v>
      </c>
      <c r="Z9439" s="18" t="s">
        <v>697</v>
      </c>
      <c r="AA9439" s="21" t="str">
        <f>HYPERLINK("https://www.ncbi.nlm.nih.gov/nuccore/BK013528","NCBI Nucleotide")</f>
        <v>NCBI Nucleotide</v>
      </c>
    </row>
    <row r="9440" spans="1:27" x14ac:dyDescent="0.35">
      <c r="A9440">
        <v>1009517</v>
      </c>
      <c r="B9440">
        <v>8765</v>
      </c>
      <c r="C9440">
        <v>1</v>
      </c>
      <c r="D9440" s="17" t="s">
        <v>17166</v>
      </c>
      <c r="E9440" s="17"/>
      <c r="F9440" s="17" t="s">
        <v>17246</v>
      </c>
      <c r="G9440" s="17"/>
      <c r="H9440" s="17" t="s">
        <v>20919</v>
      </c>
      <c r="I9440" s="17"/>
      <c r="J9440" s="17" t="s">
        <v>21313</v>
      </c>
      <c r="K9440" s="17"/>
      <c r="L9440" s="17" t="s">
        <v>21326</v>
      </c>
      <c r="M9440" s="17"/>
      <c r="N9440" s="17" t="s">
        <v>21577</v>
      </c>
      <c r="O9440" s="17"/>
      <c r="P9440" s="17" t="s">
        <v>43217</v>
      </c>
      <c r="Q9440" s="17"/>
      <c r="R9440" s="25" t="str">
        <f>HYPERLINK("https://ictv.global/taxonomy/taxondetails?taxnode_id=202310319","Koteshevirus edaphohabitans")</f>
        <v>Koteshevirus edaphohabitans</v>
      </c>
      <c r="S9440" s="18" t="s">
        <v>30</v>
      </c>
      <c r="T9440" s="18" t="s">
        <v>21734</v>
      </c>
      <c r="U9440" s="18"/>
      <c r="V9440" s="18"/>
      <c r="W9440" s="18" t="s">
        <v>21735</v>
      </c>
      <c r="X9440" s="18" t="s">
        <v>35</v>
      </c>
      <c r="Y9440" s="18" t="s">
        <v>17171</v>
      </c>
      <c r="Z9440" s="18" t="s">
        <v>697</v>
      </c>
      <c r="AA9440" s="21" t="str">
        <f>HYPERLINK("https://www.ncbi.nlm.nih.gov/nuccore/BK013433","NCBI Nucleotide")</f>
        <v>NCBI Nucleotide</v>
      </c>
    </row>
    <row r="9441" spans="1:27" x14ac:dyDescent="0.35">
      <c r="A9441">
        <v>1009518</v>
      </c>
      <c r="B9441">
        <v>8766</v>
      </c>
      <c r="C9441">
        <v>1</v>
      </c>
      <c r="D9441" s="17" t="s">
        <v>17166</v>
      </c>
      <c r="E9441" s="17"/>
      <c r="F9441" s="17" t="s">
        <v>17246</v>
      </c>
      <c r="G9441" s="17"/>
      <c r="H9441" s="17" t="s">
        <v>20919</v>
      </c>
      <c r="I9441" s="17"/>
      <c r="J9441" s="17" t="s">
        <v>21313</v>
      </c>
      <c r="K9441" s="17"/>
      <c r="L9441" s="17" t="s">
        <v>21326</v>
      </c>
      <c r="M9441" s="17"/>
      <c r="N9441" s="17" t="s">
        <v>21577</v>
      </c>
      <c r="O9441" s="17"/>
      <c r="P9441" s="17" t="s">
        <v>43217</v>
      </c>
      <c r="Q9441" s="17"/>
      <c r="R9441" s="25" t="str">
        <f>HYPERLINK("https://ictv.global/taxonomy/taxondetails?taxnode_id=202310320","Koteshevirus edaphovicinum")</f>
        <v>Koteshevirus edaphovicinum</v>
      </c>
      <c r="S9441" s="18" t="s">
        <v>30</v>
      </c>
      <c r="T9441" s="18" t="s">
        <v>21736</v>
      </c>
      <c r="U9441" s="18"/>
      <c r="V9441" s="18"/>
      <c r="W9441" s="18" t="s">
        <v>21737</v>
      </c>
      <c r="X9441" s="18" t="s">
        <v>35</v>
      </c>
      <c r="Y9441" s="18" t="s">
        <v>17171</v>
      </c>
      <c r="Z9441" s="18" t="s">
        <v>697</v>
      </c>
      <c r="AA9441" s="21" t="str">
        <f>HYPERLINK("https://www.ncbi.nlm.nih.gov/nuccore/BK013901","NCBI Nucleotide")</f>
        <v>NCBI Nucleotide</v>
      </c>
    </row>
    <row r="9442" spans="1:27" x14ac:dyDescent="0.35">
      <c r="A9442">
        <v>1026803</v>
      </c>
      <c r="B9442">
        <v>8767</v>
      </c>
      <c r="C9442">
        <v>1</v>
      </c>
      <c r="D9442" s="17" t="s">
        <v>17166</v>
      </c>
      <c r="E9442" s="17"/>
      <c r="F9442" s="17" t="s">
        <v>17246</v>
      </c>
      <c r="G9442" s="17"/>
      <c r="H9442" s="17" t="s">
        <v>20919</v>
      </c>
      <c r="I9442" s="17"/>
      <c r="J9442" s="17" t="s">
        <v>21313</v>
      </c>
      <c r="K9442" s="17"/>
      <c r="L9442" s="17" t="s">
        <v>21326</v>
      </c>
      <c r="M9442" s="17"/>
      <c r="N9442" s="17" t="s">
        <v>21577</v>
      </c>
      <c r="O9442" s="17"/>
      <c r="P9442" s="17" t="s">
        <v>43217</v>
      </c>
      <c r="Q9442" s="17"/>
      <c r="R9442" s="25" t="str">
        <f>HYPERLINK("https://ictv.global/taxonomy/taxondetails?taxnode_id=202316352","Koteshevirus faecivivens")</f>
        <v>Koteshevirus faecivivens</v>
      </c>
      <c r="S9442" s="18" t="s">
        <v>30</v>
      </c>
      <c r="T9442" s="18" t="s">
        <v>43247</v>
      </c>
      <c r="U9442" s="18"/>
      <c r="V9442" s="18" t="s">
        <v>43247</v>
      </c>
      <c r="W9442" s="18" t="s">
        <v>43248</v>
      </c>
      <c r="X9442" s="18" t="s">
        <v>35</v>
      </c>
      <c r="Y9442" s="18" t="s">
        <v>17171</v>
      </c>
      <c r="Z9442" s="18" t="s">
        <v>24637</v>
      </c>
      <c r="AA9442" s="21" t="str">
        <f>HYPERLINK("https://www.ncbi.nlm.nih.gov/nuccore/ON163913","NCBI Nucleotide")</f>
        <v>NCBI Nucleotide</v>
      </c>
    </row>
    <row r="9443" spans="1:27" x14ac:dyDescent="0.35">
      <c r="A9443">
        <v>1026804</v>
      </c>
      <c r="B9443">
        <v>8768</v>
      </c>
      <c r="C9443">
        <v>1</v>
      </c>
      <c r="D9443" s="17" t="s">
        <v>17166</v>
      </c>
      <c r="E9443" s="17"/>
      <c r="F9443" s="17" t="s">
        <v>17246</v>
      </c>
      <c r="G9443" s="17"/>
      <c r="H9443" s="17" t="s">
        <v>20919</v>
      </c>
      <c r="I9443" s="17"/>
      <c r="J9443" s="17" t="s">
        <v>21313</v>
      </c>
      <c r="K9443" s="17"/>
      <c r="L9443" s="17" t="s">
        <v>21326</v>
      </c>
      <c r="M9443" s="17"/>
      <c r="N9443" s="17" t="s">
        <v>21577</v>
      </c>
      <c r="O9443" s="17"/>
      <c r="P9443" s="17" t="s">
        <v>43217</v>
      </c>
      <c r="Q9443" s="17"/>
      <c r="R9443" s="25" t="str">
        <f>HYPERLINK("https://ictv.global/taxonomy/taxondetails?taxnode_id=202316353","Koteshevirus geoadaptatum")</f>
        <v>Koteshevirus geoadaptatum</v>
      </c>
      <c r="S9443" s="18" t="s">
        <v>30</v>
      </c>
      <c r="T9443" s="18" t="s">
        <v>43249</v>
      </c>
      <c r="U9443" s="18"/>
      <c r="V9443" s="18"/>
      <c r="W9443" s="18" t="s">
        <v>43250</v>
      </c>
      <c r="X9443" s="18" t="s">
        <v>35</v>
      </c>
      <c r="Y9443" s="18" t="s">
        <v>17171</v>
      </c>
      <c r="Z9443" s="18" t="s">
        <v>24637</v>
      </c>
      <c r="AA9443" s="21" t="str">
        <f>HYPERLINK("https://www.ncbi.nlm.nih.gov/nuccore/CASDWV010002069","NCBI Nucleotide")</f>
        <v>NCBI Nucleotide</v>
      </c>
    </row>
    <row r="9444" spans="1:27" x14ac:dyDescent="0.35">
      <c r="A9444">
        <v>1026805</v>
      </c>
      <c r="B9444">
        <v>8769</v>
      </c>
      <c r="C9444">
        <v>1</v>
      </c>
      <c r="D9444" s="17" t="s">
        <v>17166</v>
      </c>
      <c r="E9444" s="17"/>
      <c r="F9444" s="17" t="s">
        <v>17246</v>
      </c>
      <c r="G9444" s="17"/>
      <c r="H9444" s="17" t="s">
        <v>20919</v>
      </c>
      <c r="I9444" s="17"/>
      <c r="J9444" s="17" t="s">
        <v>21313</v>
      </c>
      <c r="K9444" s="17"/>
      <c r="L9444" s="17" t="s">
        <v>21326</v>
      </c>
      <c r="M9444" s="17"/>
      <c r="N9444" s="17" t="s">
        <v>21577</v>
      </c>
      <c r="O9444" s="17"/>
      <c r="P9444" s="17" t="s">
        <v>43217</v>
      </c>
      <c r="Q9444" s="17"/>
      <c r="R9444" s="25" t="str">
        <f>HYPERLINK("https://ictv.global/taxonomy/taxondetails?taxnode_id=202316354","Koteshevirus graminiscola")</f>
        <v>Koteshevirus graminiscola</v>
      </c>
      <c r="S9444" s="18" t="s">
        <v>30</v>
      </c>
      <c r="T9444" s="18" t="s">
        <v>43251</v>
      </c>
      <c r="U9444" s="18"/>
      <c r="V9444" s="18" t="s">
        <v>43251</v>
      </c>
      <c r="W9444" s="18" t="s">
        <v>43252</v>
      </c>
      <c r="X9444" s="18" t="s">
        <v>35</v>
      </c>
      <c r="Y9444" s="18" t="s">
        <v>17171</v>
      </c>
      <c r="Z9444" s="18" t="s">
        <v>24637</v>
      </c>
      <c r="AA9444" s="21" t="str">
        <f>HYPERLINK("https://www.ncbi.nlm.nih.gov/nuccore/MN033375","NCBI Nucleotide")</f>
        <v>NCBI Nucleotide</v>
      </c>
    </row>
    <row r="9445" spans="1:27" x14ac:dyDescent="0.35">
      <c r="A9445">
        <v>1026806</v>
      </c>
      <c r="B9445">
        <v>8770</v>
      </c>
      <c r="C9445">
        <v>1</v>
      </c>
      <c r="D9445" s="17" t="s">
        <v>17166</v>
      </c>
      <c r="E9445" s="17"/>
      <c r="F9445" s="17" t="s">
        <v>17246</v>
      </c>
      <c r="G9445" s="17"/>
      <c r="H9445" s="17" t="s">
        <v>20919</v>
      </c>
      <c r="I9445" s="17"/>
      <c r="J9445" s="17" t="s">
        <v>21313</v>
      </c>
      <c r="K9445" s="17"/>
      <c r="L9445" s="17" t="s">
        <v>21326</v>
      </c>
      <c r="M9445" s="17"/>
      <c r="N9445" s="17" t="s">
        <v>21577</v>
      </c>
      <c r="O9445" s="17"/>
      <c r="P9445" s="17" t="s">
        <v>43217</v>
      </c>
      <c r="Q9445" s="17"/>
      <c r="R9445" s="25" t="str">
        <f>HYPERLINK("https://ictv.global/taxonomy/taxondetails?taxnode_id=202316355","Koteshevirus leersiihabitans")</f>
        <v>Koteshevirus leersiihabitans</v>
      </c>
      <c r="S9445" s="18" t="s">
        <v>30</v>
      </c>
      <c r="T9445" s="18" t="s">
        <v>43253</v>
      </c>
      <c r="U9445" s="18"/>
      <c r="V9445" s="18" t="s">
        <v>43254</v>
      </c>
      <c r="W9445" s="18" t="s">
        <v>43255</v>
      </c>
      <c r="X9445" s="18" t="s">
        <v>35</v>
      </c>
      <c r="Y9445" s="18" t="s">
        <v>17171</v>
      </c>
      <c r="Z9445" s="18" t="s">
        <v>17336</v>
      </c>
      <c r="AA9445" s="21" t="str">
        <f>HYPERLINK("https://www.ncbi.nlm.nih.gov/nuccore/OM514453","NCBI Nucleotide")</f>
        <v>NCBI Nucleotide</v>
      </c>
    </row>
    <row r="9446" spans="1:27" x14ac:dyDescent="0.35">
      <c r="A9446">
        <v>1026807</v>
      </c>
      <c r="B9446">
        <v>8771</v>
      </c>
      <c r="C9446">
        <v>1</v>
      </c>
      <c r="D9446" s="17" t="s">
        <v>17166</v>
      </c>
      <c r="E9446" s="17"/>
      <c r="F9446" s="17" t="s">
        <v>17246</v>
      </c>
      <c r="G9446" s="17"/>
      <c r="H9446" s="17" t="s">
        <v>20919</v>
      </c>
      <c r="I9446" s="17"/>
      <c r="J9446" s="17" t="s">
        <v>21313</v>
      </c>
      <c r="K9446" s="17"/>
      <c r="L9446" s="17" t="s">
        <v>21326</v>
      </c>
      <c r="M9446" s="17"/>
      <c r="N9446" s="17" t="s">
        <v>21577</v>
      </c>
      <c r="O9446" s="17"/>
      <c r="P9446" s="17" t="s">
        <v>43217</v>
      </c>
      <c r="Q9446" s="17"/>
      <c r="R9446" s="25" t="str">
        <f>HYPERLINK("https://ictv.global/taxonomy/taxondetails?taxnode_id=202316356","Koteshevirus limicola")</f>
        <v>Koteshevirus limicola</v>
      </c>
      <c r="S9446" s="18" t="s">
        <v>30</v>
      </c>
      <c r="T9446" s="18" t="s">
        <v>43256</v>
      </c>
      <c r="U9446" s="18"/>
      <c r="V9446" s="18"/>
      <c r="W9446" s="18" t="s">
        <v>43257</v>
      </c>
      <c r="X9446" s="18" t="s">
        <v>35</v>
      </c>
      <c r="Y9446" s="18" t="s">
        <v>17171</v>
      </c>
      <c r="Z9446" s="18" t="s">
        <v>24637</v>
      </c>
      <c r="AA9446" s="21" t="str">
        <f>HYPERLINK("https://www.ncbi.nlm.nih.gov/nuccore/CASDWV010004540","NCBI Nucleotide")</f>
        <v>NCBI Nucleotide</v>
      </c>
    </row>
    <row r="9447" spans="1:27" x14ac:dyDescent="0.35">
      <c r="A9447">
        <v>1026808</v>
      </c>
      <c r="B9447">
        <v>8772</v>
      </c>
      <c r="C9447">
        <v>1</v>
      </c>
      <c r="D9447" s="17" t="s">
        <v>17166</v>
      </c>
      <c r="E9447" s="17"/>
      <c r="F9447" s="17" t="s">
        <v>17246</v>
      </c>
      <c r="G9447" s="17"/>
      <c r="H9447" s="17" t="s">
        <v>20919</v>
      </c>
      <c r="I9447" s="17"/>
      <c r="J9447" s="17" t="s">
        <v>21313</v>
      </c>
      <c r="K9447" s="17"/>
      <c r="L9447" s="17" t="s">
        <v>21326</v>
      </c>
      <c r="M9447" s="17"/>
      <c r="N9447" s="17" t="s">
        <v>21577</v>
      </c>
      <c r="O9447" s="17"/>
      <c r="P9447" s="17" t="s">
        <v>43217</v>
      </c>
      <c r="Q9447" s="17"/>
      <c r="R9447" s="25" t="str">
        <f>HYPERLINK("https://ictv.global/taxonomy/taxondetails?taxnode_id=202316357","Koteshevirus limivivens")</f>
        <v>Koteshevirus limivivens</v>
      </c>
      <c r="S9447" s="18" t="s">
        <v>30</v>
      </c>
      <c r="T9447" s="18" t="s">
        <v>43258</v>
      </c>
      <c r="U9447" s="18"/>
      <c r="V9447" s="18"/>
      <c r="W9447" s="18" t="s">
        <v>43259</v>
      </c>
      <c r="X9447" s="18" t="s">
        <v>35</v>
      </c>
      <c r="Y9447" s="18" t="s">
        <v>17171</v>
      </c>
      <c r="Z9447" s="18" t="s">
        <v>24637</v>
      </c>
      <c r="AA9447" s="21" t="str">
        <f>HYPERLINK("https://www.ncbi.nlm.nih.gov/nuccore/CASDWV010002269","NCBI Nucleotide")</f>
        <v>NCBI Nucleotide</v>
      </c>
    </row>
    <row r="9448" spans="1:27" x14ac:dyDescent="0.35">
      <c r="A9448">
        <v>1009633</v>
      </c>
      <c r="B9448">
        <v>8773</v>
      </c>
      <c r="C9448">
        <v>1</v>
      </c>
      <c r="D9448" s="17" t="s">
        <v>17166</v>
      </c>
      <c r="E9448" s="17"/>
      <c r="F9448" s="17" t="s">
        <v>17246</v>
      </c>
      <c r="G9448" s="17"/>
      <c r="H9448" s="17" t="s">
        <v>20919</v>
      </c>
      <c r="I9448" s="17"/>
      <c r="J9448" s="17" t="s">
        <v>21313</v>
      </c>
      <c r="K9448" s="17"/>
      <c r="L9448" s="17" t="s">
        <v>21326</v>
      </c>
      <c r="M9448" s="17"/>
      <c r="N9448" s="17" t="s">
        <v>21577</v>
      </c>
      <c r="O9448" s="17"/>
      <c r="P9448" s="17" t="s">
        <v>43217</v>
      </c>
      <c r="Q9448" s="17"/>
      <c r="R9448" s="25" t="str">
        <f>HYPERLINK("https://ictv.global/taxonomy/taxondetails?taxnode_id=202310510","Koteshevirus lutadaptatum")</f>
        <v>Koteshevirus lutadaptatum</v>
      </c>
      <c r="S9448" s="18" t="s">
        <v>30</v>
      </c>
      <c r="T9448" s="18" t="s">
        <v>22025</v>
      </c>
      <c r="U9448" s="18"/>
      <c r="V9448" s="18"/>
      <c r="W9448" s="18" t="s">
        <v>22026</v>
      </c>
      <c r="X9448" s="18" t="s">
        <v>35</v>
      </c>
      <c r="Y9448" s="18" t="s">
        <v>17171</v>
      </c>
      <c r="Z9448" s="18" t="s">
        <v>697</v>
      </c>
      <c r="AA9448" s="21" t="str">
        <f>HYPERLINK("https://www.ncbi.nlm.nih.gov/nuccore/BK013605","NCBI Nucleotide")</f>
        <v>NCBI Nucleotide</v>
      </c>
    </row>
    <row r="9449" spans="1:27" x14ac:dyDescent="0.35">
      <c r="A9449">
        <v>1009542</v>
      </c>
      <c r="B9449">
        <v>8774</v>
      </c>
      <c r="C9449">
        <v>1</v>
      </c>
      <c r="D9449" s="17" t="s">
        <v>17166</v>
      </c>
      <c r="E9449" s="17"/>
      <c r="F9449" s="17" t="s">
        <v>17246</v>
      </c>
      <c r="G9449" s="17"/>
      <c r="H9449" s="17" t="s">
        <v>20919</v>
      </c>
      <c r="I9449" s="17"/>
      <c r="J9449" s="17" t="s">
        <v>21313</v>
      </c>
      <c r="K9449" s="17"/>
      <c r="L9449" s="17" t="s">
        <v>21326</v>
      </c>
      <c r="M9449" s="17"/>
      <c r="N9449" s="17" t="s">
        <v>21577</v>
      </c>
      <c r="O9449" s="17"/>
      <c r="P9449" s="17" t="s">
        <v>43217</v>
      </c>
      <c r="Q9449" s="17"/>
      <c r="R9449" s="25" t="str">
        <f>HYPERLINK("https://ictv.global/taxonomy/taxondetails?taxnode_id=202310358","Koteshevirus luticola")</f>
        <v>Koteshevirus luticola</v>
      </c>
      <c r="S9449" s="18" t="s">
        <v>30</v>
      </c>
      <c r="T9449" s="18" t="s">
        <v>21796</v>
      </c>
      <c r="U9449" s="18"/>
      <c r="V9449" s="18"/>
      <c r="W9449" s="18" t="s">
        <v>21797</v>
      </c>
      <c r="X9449" s="18" t="s">
        <v>35</v>
      </c>
      <c r="Y9449" s="18" t="s">
        <v>17171</v>
      </c>
      <c r="Z9449" s="18" t="s">
        <v>697</v>
      </c>
      <c r="AA9449" s="21" t="str">
        <f>HYPERLINK("https://www.ncbi.nlm.nih.gov/nuccore/BK013640","NCBI Nucleotide")</f>
        <v>NCBI Nucleotide</v>
      </c>
    </row>
    <row r="9450" spans="1:27" x14ac:dyDescent="0.35">
      <c r="A9450">
        <v>1026809</v>
      </c>
      <c r="B9450">
        <v>8775</v>
      </c>
      <c r="C9450">
        <v>1</v>
      </c>
      <c r="D9450" s="17" t="s">
        <v>17166</v>
      </c>
      <c r="E9450" s="17"/>
      <c r="F9450" s="17" t="s">
        <v>17246</v>
      </c>
      <c r="G9450" s="17"/>
      <c r="H9450" s="17" t="s">
        <v>20919</v>
      </c>
      <c r="I9450" s="17"/>
      <c r="J9450" s="17" t="s">
        <v>21313</v>
      </c>
      <c r="K9450" s="17"/>
      <c r="L9450" s="17" t="s">
        <v>21326</v>
      </c>
      <c r="M9450" s="17"/>
      <c r="N9450" s="17" t="s">
        <v>21577</v>
      </c>
      <c r="O9450" s="17"/>
      <c r="P9450" s="17" t="s">
        <v>43217</v>
      </c>
      <c r="Q9450" s="17"/>
      <c r="R9450" s="25" t="str">
        <f>HYPERLINK("https://ictv.global/taxonomy/taxondetails?taxnode_id=202316358","Koteshevirus messicola")</f>
        <v>Koteshevirus messicola</v>
      </c>
      <c r="S9450" s="18" t="s">
        <v>30</v>
      </c>
      <c r="T9450" s="18" t="s">
        <v>43260</v>
      </c>
      <c r="U9450" s="18"/>
      <c r="V9450" s="18"/>
      <c r="W9450" s="18" t="s">
        <v>43261</v>
      </c>
      <c r="X9450" s="18" t="s">
        <v>35</v>
      </c>
      <c r="Y9450" s="18" t="s">
        <v>17171</v>
      </c>
      <c r="Z9450" s="18" t="s">
        <v>24637</v>
      </c>
      <c r="AA9450" s="21" t="str">
        <f>HYPERLINK("https://www.ncbi.nlm.nih.gov/nuccore/CASDWV010001308","NCBI Nucleotide")</f>
        <v>NCBI Nucleotide</v>
      </c>
    </row>
    <row r="9451" spans="1:27" x14ac:dyDescent="0.35">
      <c r="A9451">
        <v>1026810</v>
      </c>
      <c r="B9451">
        <v>8776</v>
      </c>
      <c r="C9451">
        <v>1</v>
      </c>
      <c r="D9451" s="17" t="s">
        <v>17166</v>
      </c>
      <c r="E9451" s="17"/>
      <c r="F9451" s="17" t="s">
        <v>17246</v>
      </c>
      <c r="G9451" s="17"/>
      <c r="H9451" s="17" t="s">
        <v>20919</v>
      </c>
      <c r="I9451" s="17"/>
      <c r="J9451" s="17" t="s">
        <v>21313</v>
      </c>
      <c r="K9451" s="17"/>
      <c r="L9451" s="17" t="s">
        <v>21326</v>
      </c>
      <c r="M9451" s="17"/>
      <c r="N9451" s="17" t="s">
        <v>21577</v>
      </c>
      <c r="O9451" s="17"/>
      <c r="P9451" s="17" t="s">
        <v>43217</v>
      </c>
      <c r="Q9451" s="17"/>
      <c r="R9451" s="25" t="str">
        <f>HYPERLINK("https://ictv.global/taxonomy/taxondetails?taxnode_id=202316359","Koteshevirus neoarvicola")</f>
        <v>Koteshevirus neoarvicola</v>
      </c>
      <c r="S9451" s="18" t="s">
        <v>30</v>
      </c>
      <c r="T9451" s="18" t="s">
        <v>43262</v>
      </c>
      <c r="U9451" s="18"/>
      <c r="V9451" s="18"/>
      <c r="W9451" s="18" t="s">
        <v>43263</v>
      </c>
      <c r="X9451" s="18" t="s">
        <v>35</v>
      </c>
      <c r="Y9451" s="18" t="s">
        <v>17171</v>
      </c>
      <c r="Z9451" s="18" t="s">
        <v>24637</v>
      </c>
      <c r="AA9451" s="21" t="str">
        <f>HYPERLINK("https://www.ncbi.nlm.nih.gov/nuccore/CASDWV010000210","NCBI Nucleotide")</f>
        <v>NCBI Nucleotide</v>
      </c>
    </row>
    <row r="9452" spans="1:27" x14ac:dyDescent="0.35">
      <c r="A9452">
        <v>1026811</v>
      </c>
      <c r="B9452">
        <v>8777</v>
      </c>
      <c r="C9452">
        <v>1</v>
      </c>
      <c r="D9452" s="17" t="s">
        <v>17166</v>
      </c>
      <c r="E9452" s="17"/>
      <c r="F9452" s="17" t="s">
        <v>17246</v>
      </c>
      <c r="G9452" s="17"/>
      <c r="H9452" s="17" t="s">
        <v>20919</v>
      </c>
      <c r="I9452" s="17"/>
      <c r="J9452" s="17" t="s">
        <v>21313</v>
      </c>
      <c r="K9452" s="17"/>
      <c r="L9452" s="17" t="s">
        <v>21326</v>
      </c>
      <c r="M9452" s="17"/>
      <c r="N9452" s="17" t="s">
        <v>21577</v>
      </c>
      <c r="O9452" s="17"/>
      <c r="P9452" s="17" t="s">
        <v>43217</v>
      </c>
      <c r="Q9452" s="17"/>
      <c r="R9452" s="25" t="str">
        <f>HYPERLINK("https://ictv.global/taxonomy/taxondetails?taxnode_id=202316360","Koteshevirus neoarvivicinum")</f>
        <v>Koteshevirus neoarvivicinum</v>
      </c>
      <c r="S9452" s="18" t="s">
        <v>30</v>
      </c>
      <c r="T9452" s="18" t="s">
        <v>43264</v>
      </c>
      <c r="U9452" s="18"/>
      <c r="V9452" s="18"/>
      <c r="W9452" s="18" t="s">
        <v>43265</v>
      </c>
      <c r="X9452" s="18" t="s">
        <v>35</v>
      </c>
      <c r="Y9452" s="18" t="s">
        <v>17171</v>
      </c>
      <c r="Z9452" s="18" t="s">
        <v>24637</v>
      </c>
      <c r="AA9452" s="21" t="str">
        <f>HYPERLINK("https://www.ncbi.nlm.nih.gov/nuccore/CASDWV010001377","NCBI Nucleotide")</f>
        <v>NCBI Nucleotide</v>
      </c>
    </row>
    <row r="9453" spans="1:27" x14ac:dyDescent="0.35">
      <c r="A9453">
        <v>1026812</v>
      </c>
      <c r="B9453">
        <v>8778</v>
      </c>
      <c r="C9453">
        <v>1</v>
      </c>
      <c r="D9453" s="17" t="s">
        <v>17166</v>
      </c>
      <c r="E9453" s="17"/>
      <c r="F9453" s="17" t="s">
        <v>17246</v>
      </c>
      <c r="G9453" s="17"/>
      <c r="H9453" s="17" t="s">
        <v>20919</v>
      </c>
      <c r="I9453" s="17"/>
      <c r="J9453" s="17" t="s">
        <v>21313</v>
      </c>
      <c r="K9453" s="17"/>
      <c r="L9453" s="17" t="s">
        <v>21326</v>
      </c>
      <c r="M9453" s="17"/>
      <c r="N9453" s="17" t="s">
        <v>21577</v>
      </c>
      <c r="O9453" s="17"/>
      <c r="P9453" s="17" t="s">
        <v>43217</v>
      </c>
      <c r="Q9453" s="17"/>
      <c r="R9453" s="25" t="str">
        <f>HYPERLINK("https://ictv.global/taxonomy/taxondetails?taxnode_id=202316361","Koteshevirus neoasiovivens")</f>
        <v>Koteshevirus neoasiovivens</v>
      </c>
      <c r="S9453" s="18" t="s">
        <v>30</v>
      </c>
      <c r="T9453" s="18" t="s">
        <v>43266</v>
      </c>
      <c r="U9453" s="18"/>
      <c r="V9453" s="18"/>
      <c r="W9453" s="18" t="s">
        <v>43267</v>
      </c>
      <c r="X9453" s="18" t="s">
        <v>35</v>
      </c>
      <c r="Y9453" s="18" t="s">
        <v>17171</v>
      </c>
      <c r="Z9453" s="18" t="s">
        <v>24637</v>
      </c>
      <c r="AA9453" s="21" t="str">
        <f>HYPERLINK("https://www.ncbi.nlm.nih.gov/nuccore/CASDWV010003811","NCBI Nucleotide")</f>
        <v>NCBI Nucleotide</v>
      </c>
    </row>
    <row r="9454" spans="1:27" x14ac:dyDescent="0.35">
      <c r="A9454">
        <v>1026813</v>
      </c>
      <c r="B9454">
        <v>8779</v>
      </c>
      <c r="C9454">
        <v>1</v>
      </c>
      <c r="D9454" s="17" t="s">
        <v>17166</v>
      </c>
      <c r="E9454" s="17"/>
      <c r="F9454" s="17" t="s">
        <v>17246</v>
      </c>
      <c r="G9454" s="17"/>
      <c r="H9454" s="17" t="s">
        <v>20919</v>
      </c>
      <c r="I9454" s="17"/>
      <c r="J9454" s="17" t="s">
        <v>21313</v>
      </c>
      <c r="K9454" s="17"/>
      <c r="L9454" s="17" t="s">
        <v>21326</v>
      </c>
      <c r="M9454" s="17"/>
      <c r="N9454" s="17" t="s">
        <v>21577</v>
      </c>
      <c r="O9454" s="17"/>
      <c r="P9454" s="17" t="s">
        <v>43217</v>
      </c>
      <c r="Q9454" s="17"/>
      <c r="R9454" s="25" t="str">
        <f>HYPERLINK("https://ictv.global/taxonomy/taxondetails?taxnode_id=202316362","Koteshevirus neoedaphocola")</f>
        <v>Koteshevirus neoedaphocola</v>
      </c>
      <c r="S9454" s="18" t="s">
        <v>30</v>
      </c>
      <c r="T9454" s="18" t="s">
        <v>43268</v>
      </c>
      <c r="U9454" s="18"/>
      <c r="V9454" s="18"/>
      <c r="W9454" s="18" t="s">
        <v>43269</v>
      </c>
      <c r="X9454" s="18" t="s">
        <v>35</v>
      </c>
      <c r="Y9454" s="18" t="s">
        <v>17171</v>
      </c>
      <c r="Z9454" s="18" t="s">
        <v>24637</v>
      </c>
      <c r="AA9454" s="21" t="str">
        <f>HYPERLINK("https://www.ncbi.nlm.nih.gov/nuccore/CASDWV010000676","NCBI Nucleotide")</f>
        <v>NCBI Nucleotide</v>
      </c>
    </row>
    <row r="9455" spans="1:27" x14ac:dyDescent="0.35">
      <c r="A9455">
        <v>1026814</v>
      </c>
      <c r="B9455">
        <v>8780</v>
      </c>
      <c r="C9455">
        <v>1</v>
      </c>
      <c r="D9455" s="17" t="s">
        <v>17166</v>
      </c>
      <c r="E9455" s="17"/>
      <c r="F9455" s="17" t="s">
        <v>17246</v>
      </c>
      <c r="G9455" s="17"/>
      <c r="H9455" s="17" t="s">
        <v>20919</v>
      </c>
      <c r="I9455" s="17"/>
      <c r="J9455" s="17" t="s">
        <v>21313</v>
      </c>
      <c r="K9455" s="17"/>
      <c r="L9455" s="17" t="s">
        <v>21326</v>
      </c>
      <c r="M9455" s="17"/>
      <c r="N9455" s="17" t="s">
        <v>21577</v>
      </c>
      <c r="O9455" s="17"/>
      <c r="P9455" s="17" t="s">
        <v>43217</v>
      </c>
      <c r="Q9455" s="17"/>
      <c r="R9455" s="25" t="str">
        <f>HYPERLINK("https://ictv.global/taxonomy/taxondetails?taxnode_id=202316363","Koteshevirus pelovivens")</f>
        <v>Koteshevirus pelovivens</v>
      </c>
      <c r="S9455" s="18" t="s">
        <v>30</v>
      </c>
      <c r="T9455" s="18" t="s">
        <v>43270</v>
      </c>
      <c r="U9455" s="18"/>
      <c r="V9455" s="18"/>
      <c r="W9455" s="18" t="s">
        <v>43271</v>
      </c>
      <c r="X9455" s="18" t="s">
        <v>35</v>
      </c>
      <c r="Y9455" s="18" t="s">
        <v>17171</v>
      </c>
      <c r="Z9455" s="18" t="s">
        <v>24637</v>
      </c>
      <c r="AA9455" s="21" t="str">
        <f>HYPERLINK("https://www.ncbi.nlm.nih.gov/nuccore/CASDWV010002270","NCBI Nucleotide")</f>
        <v>NCBI Nucleotide</v>
      </c>
    </row>
    <row r="9456" spans="1:27" x14ac:dyDescent="0.35">
      <c r="A9456">
        <v>1026815</v>
      </c>
      <c r="B9456">
        <v>8781</v>
      </c>
      <c r="C9456">
        <v>1</v>
      </c>
      <c r="D9456" s="17" t="s">
        <v>17166</v>
      </c>
      <c r="E9456" s="17"/>
      <c r="F9456" s="17" t="s">
        <v>17246</v>
      </c>
      <c r="G9456" s="17"/>
      <c r="H9456" s="17" t="s">
        <v>20919</v>
      </c>
      <c r="I9456" s="17"/>
      <c r="J9456" s="17" t="s">
        <v>21313</v>
      </c>
      <c r="K9456" s="17"/>
      <c r="L9456" s="17" t="s">
        <v>21326</v>
      </c>
      <c r="M9456" s="17"/>
      <c r="N9456" s="17" t="s">
        <v>21577</v>
      </c>
      <c r="O9456" s="17"/>
      <c r="P9456" s="17" t="s">
        <v>43217</v>
      </c>
      <c r="Q9456" s="17"/>
      <c r="R9456" s="25" t="str">
        <f>HYPERLINK("https://ictv.global/taxonomy/taxondetails?taxnode_id=202316364","Koteshevirus radicihabitans")</f>
        <v>Koteshevirus radicihabitans</v>
      </c>
      <c r="S9456" s="18" t="s">
        <v>30</v>
      </c>
      <c r="T9456" s="18" t="s">
        <v>43272</v>
      </c>
      <c r="U9456" s="18"/>
      <c r="V9456" s="18"/>
      <c r="W9456" s="18" t="s">
        <v>43273</v>
      </c>
      <c r="X9456" s="18" t="s">
        <v>35</v>
      </c>
      <c r="Y9456" s="18" t="s">
        <v>17171</v>
      </c>
      <c r="Z9456" s="18" t="s">
        <v>24637</v>
      </c>
      <c r="AA9456" s="21" t="str">
        <f>HYPERLINK("https://www.ncbi.nlm.nih.gov/nuccore/CASDWV010001128","NCBI Nucleotide")</f>
        <v>NCBI Nucleotide</v>
      </c>
    </row>
    <row r="9457" spans="1:27" x14ac:dyDescent="0.35">
      <c r="A9457">
        <v>1026816</v>
      </c>
      <c r="B9457">
        <v>8782</v>
      </c>
      <c r="C9457">
        <v>1</v>
      </c>
      <c r="D9457" s="17" t="s">
        <v>17166</v>
      </c>
      <c r="E9457" s="17"/>
      <c r="F9457" s="17" t="s">
        <v>17246</v>
      </c>
      <c r="G9457" s="17"/>
      <c r="H9457" s="17" t="s">
        <v>20919</v>
      </c>
      <c r="I9457" s="17"/>
      <c r="J9457" s="17" t="s">
        <v>21313</v>
      </c>
      <c r="K9457" s="17"/>
      <c r="L9457" s="17" t="s">
        <v>21326</v>
      </c>
      <c r="M9457" s="17"/>
      <c r="N9457" s="17" t="s">
        <v>21577</v>
      </c>
      <c r="O9457" s="17"/>
      <c r="P9457" s="17" t="s">
        <v>43217</v>
      </c>
      <c r="Q9457" s="17"/>
      <c r="R9457" s="25" t="str">
        <f>HYPERLINK("https://ictv.global/taxonomy/taxondetails?taxnode_id=202316365","Koteshevirus radicivicinum")</f>
        <v>Koteshevirus radicivicinum</v>
      </c>
      <c r="S9457" s="18" t="s">
        <v>30</v>
      </c>
      <c r="T9457" s="18" t="s">
        <v>43274</v>
      </c>
      <c r="U9457" s="18"/>
      <c r="V9457" s="18"/>
      <c r="W9457" s="18" t="s">
        <v>43275</v>
      </c>
      <c r="X9457" s="18" t="s">
        <v>35</v>
      </c>
      <c r="Y9457" s="18" t="s">
        <v>17171</v>
      </c>
      <c r="Z9457" s="18" t="s">
        <v>24637</v>
      </c>
      <c r="AA9457" s="21" t="str">
        <f>HYPERLINK("https://www.ncbi.nlm.nih.gov/nuccore/CASDWV010002882","NCBI Nucleotide")</f>
        <v>NCBI Nucleotide</v>
      </c>
    </row>
    <row r="9458" spans="1:27" x14ac:dyDescent="0.35">
      <c r="A9458">
        <v>1026817</v>
      </c>
      <c r="B9458">
        <v>8783</v>
      </c>
      <c r="C9458">
        <v>1</v>
      </c>
      <c r="D9458" s="17" t="s">
        <v>17166</v>
      </c>
      <c r="E9458" s="17"/>
      <c r="F9458" s="17" t="s">
        <v>17246</v>
      </c>
      <c r="G9458" s="17"/>
      <c r="H9458" s="17" t="s">
        <v>20919</v>
      </c>
      <c r="I9458" s="17"/>
      <c r="J9458" s="17" t="s">
        <v>21313</v>
      </c>
      <c r="K9458" s="17"/>
      <c r="L9458" s="17" t="s">
        <v>21326</v>
      </c>
      <c r="M9458" s="17"/>
      <c r="N9458" s="17" t="s">
        <v>21577</v>
      </c>
      <c r="O9458" s="17"/>
      <c r="P9458" s="17" t="s">
        <v>43217</v>
      </c>
      <c r="Q9458" s="17"/>
      <c r="R9458" s="25" t="str">
        <f>HYPERLINK("https://ictv.global/taxonomy/taxondetails?taxnode_id=202316366","Koteshevirus segeticola")</f>
        <v>Koteshevirus segeticola</v>
      </c>
      <c r="S9458" s="18" t="s">
        <v>30</v>
      </c>
      <c r="T9458" s="18" t="s">
        <v>43276</v>
      </c>
      <c r="U9458" s="18"/>
      <c r="V9458" s="18"/>
      <c r="W9458" s="18" t="s">
        <v>43277</v>
      </c>
      <c r="X9458" s="18" t="s">
        <v>35</v>
      </c>
      <c r="Y9458" s="18" t="s">
        <v>17171</v>
      </c>
      <c r="Z9458" s="18" t="s">
        <v>24637</v>
      </c>
      <c r="AA9458" s="21" t="str">
        <f>HYPERLINK("https://www.ncbi.nlm.nih.gov/nuccore/CASDWV010000019","NCBI Nucleotide")</f>
        <v>NCBI Nucleotide</v>
      </c>
    </row>
    <row r="9459" spans="1:27" x14ac:dyDescent="0.35">
      <c r="A9459">
        <v>1026818</v>
      </c>
      <c r="B9459">
        <v>8784</v>
      </c>
      <c r="C9459">
        <v>1</v>
      </c>
      <c r="D9459" s="17" t="s">
        <v>17166</v>
      </c>
      <c r="E9459" s="17"/>
      <c r="F9459" s="17" t="s">
        <v>17246</v>
      </c>
      <c r="G9459" s="17"/>
      <c r="H9459" s="17" t="s">
        <v>20919</v>
      </c>
      <c r="I9459" s="17"/>
      <c r="J9459" s="17" t="s">
        <v>21313</v>
      </c>
      <c r="K9459" s="17"/>
      <c r="L9459" s="17" t="s">
        <v>21326</v>
      </c>
      <c r="M9459" s="17"/>
      <c r="N9459" s="17" t="s">
        <v>21577</v>
      </c>
      <c r="O9459" s="17"/>
      <c r="P9459" s="17" t="s">
        <v>43217</v>
      </c>
      <c r="Q9459" s="17"/>
      <c r="R9459" s="25" t="str">
        <f>HYPERLINK("https://ictv.global/taxonomy/taxondetails?taxnode_id=202316367","Koteshevirus segetivicinum")</f>
        <v>Koteshevirus segetivicinum</v>
      </c>
      <c r="S9459" s="18" t="s">
        <v>30</v>
      </c>
      <c r="T9459" s="18" t="s">
        <v>43278</v>
      </c>
      <c r="U9459" s="18"/>
      <c r="V9459" s="18"/>
      <c r="W9459" s="18" t="s">
        <v>43279</v>
      </c>
      <c r="X9459" s="18" t="s">
        <v>35</v>
      </c>
      <c r="Y9459" s="18" t="s">
        <v>17171</v>
      </c>
      <c r="Z9459" s="18" t="s">
        <v>24637</v>
      </c>
      <c r="AA9459" s="21" t="str">
        <f>HYPERLINK("https://www.ncbi.nlm.nih.gov/nuccore/CASDWV010001674","NCBI Nucleotide")</f>
        <v>NCBI Nucleotide</v>
      </c>
    </row>
    <row r="9460" spans="1:27" x14ac:dyDescent="0.35">
      <c r="A9460">
        <v>1026819</v>
      </c>
      <c r="B9460">
        <v>8785</v>
      </c>
      <c r="C9460">
        <v>1</v>
      </c>
      <c r="D9460" s="17" t="s">
        <v>17166</v>
      </c>
      <c r="E9460" s="17"/>
      <c r="F9460" s="17" t="s">
        <v>17246</v>
      </c>
      <c r="G9460" s="17"/>
      <c r="H9460" s="17" t="s">
        <v>20919</v>
      </c>
      <c r="I9460" s="17"/>
      <c r="J9460" s="17" t="s">
        <v>21313</v>
      </c>
      <c r="K9460" s="17"/>
      <c r="L9460" s="17" t="s">
        <v>21326</v>
      </c>
      <c r="M9460" s="17"/>
      <c r="N9460" s="17" t="s">
        <v>21577</v>
      </c>
      <c r="O9460" s="17"/>
      <c r="P9460" s="17" t="s">
        <v>43217</v>
      </c>
      <c r="Q9460" s="17"/>
      <c r="R9460" s="25" t="str">
        <f>HYPERLINK("https://ictv.global/taxonomy/taxondetails?taxnode_id=202316368","Koteshevirus solicola")</f>
        <v>Koteshevirus solicola</v>
      </c>
      <c r="S9460" s="18" t="s">
        <v>30</v>
      </c>
      <c r="T9460" s="18" t="s">
        <v>43280</v>
      </c>
      <c r="U9460" s="18"/>
      <c r="V9460" s="18"/>
      <c r="W9460" s="18" t="s">
        <v>43281</v>
      </c>
      <c r="X9460" s="18" t="s">
        <v>35</v>
      </c>
      <c r="Y9460" s="18" t="s">
        <v>17171</v>
      </c>
      <c r="Z9460" s="18" t="s">
        <v>24637</v>
      </c>
      <c r="AA9460" s="21" t="str">
        <f>HYPERLINK("https://www.ncbi.nlm.nih.gov/nuccore/CASDWV010003974","NCBI Nucleotide")</f>
        <v>NCBI Nucleotide</v>
      </c>
    </row>
    <row r="9461" spans="1:27" x14ac:dyDescent="0.35">
      <c r="A9461">
        <v>1026820</v>
      </c>
      <c r="B9461">
        <v>8786</v>
      </c>
      <c r="C9461">
        <v>1</v>
      </c>
      <c r="D9461" s="17" t="s">
        <v>17166</v>
      </c>
      <c r="E9461" s="17"/>
      <c r="F9461" s="17" t="s">
        <v>17246</v>
      </c>
      <c r="G9461" s="17"/>
      <c r="H9461" s="17" t="s">
        <v>20919</v>
      </c>
      <c r="I9461" s="17"/>
      <c r="J9461" s="17" t="s">
        <v>21313</v>
      </c>
      <c r="K9461" s="17"/>
      <c r="L9461" s="17" t="s">
        <v>21326</v>
      </c>
      <c r="M9461" s="17"/>
      <c r="N9461" s="17" t="s">
        <v>21577</v>
      </c>
      <c r="O9461" s="17"/>
      <c r="P9461" s="17" t="s">
        <v>43217</v>
      </c>
      <c r="Q9461" s="17"/>
      <c r="R9461" s="25" t="str">
        <f>HYPERLINK("https://ictv.global/taxonomy/taxondetails?taxnode_id=202316369","Koteshevirus solivivens")</f>
        <v>Koteshevirus solivivens</v>
      </c>
      <c r="S9461" s="18" t="s">
        <v>30</v>
      </c>
      <c r="T9461" s="18" t="s">
        <v>43282</v>
      </c>
      <c r="U9461" s="18"/>
      <c r="V9461" s="18"/>
      <c r="W9461" s="18" t="s">
        <v>43283</v>
      </c>
      <c r="X9461" s="18" t="s">
        <v>35</v>
      </c>
      <c r="Y9461" s="18" t="s">
        <v>17171</v>
      </c>
      <c r="Z9461" s="18" t="s">
        <v>24637</v>
      </c>
      <c r="AA9461" s="21" t="str">
        <f>HYPERLINK("https://www.ncbi.nlm.nih.gov/nuccore/CASDWV010003595","NCBI Nucleotide")</f>
        <v>NCBI Nucleotide</v>
      </c>
    </row>
    <row r="9462" spans="1:27" x14ac:dyDescent="0.35">
      <c r="A9462">
        <v>1026821</v>
      </c>
      <c r="B9462">
        <v>8787</v>
      </c>
      <c r="C9462">
        <v>1</v>
      </c>
      <c r="D9462" s="17" t="s">
        <v>17166</v>
      </c>
      <c r="E9462" s="17"/>
      <c r="F9462" s="17" t="s">
        <v>17246</v>
      </c>
      <c r="G9462" s="17"/>
      <c r="H9462" s="17" t="s">
        <v>20919</v>
      </c>
      <c r="I9462" s="17"/>
      <c r="J9462" s="17" t="s">
        <v>21313</v>
      </c>
      <c r="K9462" s="17"/>
      <c r="L9462" s="17" t="s">
        <v>21326</v>
      </c>
      <c r="M9462" s="17"/>
      <c r="N9462" s="17" t="s">
        <v>21577</v>
      </c>
      <c r="O9462" s="17"/>
      <c r="P9462" s="17" t="s">
        <v>43217</v>
      </c>
      <c r="Q9462" s="17"/>
      <c r="R9462" s="25" t="str">
        <f>HYPERLINK("https://ictv.global/taxonomy/taxondetails?taxnode_id=202316370","Koteshevirus terradaptatum")</f>
        <v>Koteshevirus terradaptatum</v>
      </c>
      <c r="S9462" s="18" t="s">
        <v>30</v>
      </c>
      <c r="T9462" s="18" t="s">
        <v>43284</v>
      </c>
      <c r="U9462" s="18"/>
      <c r="V9462" s="18"/>
      <c r="W9462" s="18" t="s">
        <v>43285</v>
      </c>
      <c r="X9462" s="18" t="s">
        <v>35</v>
      </c>
      <c r="Y9462" s="18" t="s">
        <v>17171</v>
      </c>
      <c r="Z9462" s="18" t="s">
        <v>24637</v>
      </c>
      <c r="AA9462" s="21" t="str">
        <f>HYPERLINK("https://www.ncbi.nlm.nih.gov/nuccore/CASDWV010001115","NCBI Nucleotide")</f>
        <v>NCBI Nucleotide</v>
      </c>
    </row>
    <row r="9463" spans="1:27" x14ac:dyDescent="0.35">
      <c r="A9463">
        <v>1009487</v>
      </c>
      <c r="B9463">
        <v>8788</v>
      </c>
      <c r="C9463">
        <v>1</v>
      </c>
      <c r="D9463" s="17" t="s">
        <v>17166</v>
      </c>
      <c r="E9463" s="17"/>
      <c r="F9463" s="17" t="s">
        <v>17246</v>
      </c>
      <c r="G9463" s="17"/>
      <c r="H9463" s="17" t="s">
        <v>20919</v>
      </c>
      <c r="I9463" s="17"/>
      <c r="J9463" s="17" t="s">
        <v>21313</v>
      </c>
      <c r="K9463" s="17"/>
      <c r="L9463" s="17" t="s">
        <v>21326</v>
      </c>
      <c r="M9463" s="17"/>
      <c r="N9463" s="17" t="s">
        <v>21577</v>
      </c>
      <c r="O9463" s="17"/>
      <c r="P9463" s="17" t="s">
        <v>43217</v>
      </c>
      <c r="Q9463" s="17"/>
      <c r="R9463" s="25" t="str">
        <f>HYPERLINK("https://ictv.global/taxonomy/taxondetails?taxnode_id=202310270","Koteshevirus terrivivens")</f>
        <v>Koteshevirus terrivivens</v>
      </c>
      <c r="S9463" s="18" t="s">
        <v>30</v>
      </c>
      <c r="T9463" s="18" t="s">
        <v>21664</v>
      </c>
      <c r="U9463" s="18"/>
      <c r="V9463" s="18"/>
      <c r="W9463" s="18" t="s">
        <v>21665</v>
      </c>
      <c r="X9463" s="18" t="s">
        <v>35</v>
      </c>
      <c r="Y9463" s="18" t="s">
        <v>17171</v>
      </c>
      <c r="Z9463" s="18" t="s">
        <v>697</v>
      </c>
      <c r="AA9463" s="21" t="str">
        <f>HYPERLINK("https://www.ncbi.nlm.nih.gov/nuccore/BK013453","NCBI Nucleotide")</f>
        <v>NCBI Nucleotide</v>
      </c>
    </row>
    <row r="9464" spans="1:27" x14ac:dyDescent="0.35">
      <c r="A9464">
        <v>1009582</v>
      </c>
      <c r="B9464">
        <v>8789</v>
      </c>
      <c r="C9464">
        <v>1</v>
      </c>
      <c r="D9464" s="17" t="s">
        <v>17166</v>
      </c>
      <c r="E9464" s="17"/>
      <c r="F9464" s="17" t="s">
        <v>17246</v>
      </c>
      <c r="G9464" s="17"/>
      <c r="H9464" s="17" t="s">
        <v>20919</v>
      </c>
      <c r="I9464" s="17"/>
      <c r="J9464" s="17" t="s">
        <v>21313</v>
      </c>
      <c r="K9464" s="17"/>
      <c r="L9464" s="17" t="s">
        <v>21326</v>
      </c>
      <c r="M9464" s="17"/>
      <c r="N9464" s="17" t="s">
        <v>21577</v>
      </c>
      <c r="O9464" s="17"/>
      <c r="P9464" s="17" t="s">
        <v>21906</v>
      </c>
      <c r="Q9464" s="17"/>
      <c r="R9464" s="25" t="str">
        <f>HYPERLINK("https://ictv.global/taxonomy/taxondetails?taxnode_id=202310431","Kowinovirus pelenecus")</f>
        <v>Kowinovirus pelenecus</v>
      </c>
      <c r="S9464" s="18" t="s">
        <v>30</v>
      </c>
      <c r="T9464" s="18" t="s">
        <v>21907</v>
      </c>
      <c r="U9464" s="18"/>
      <c r="V9464" s="18"/>
      <c r="W9464" s="18" t="s">
        <v>21908</v>
      </c>
      <c r="X9464" s="18" t="s">
        <v>35</v>
      </c>
      <c r="Y9464" s="18" t="s">
        <v>17171</v>
      </c>
      <c r="Z9464" s="18" t="s">
        <v>697</v>
      </c>
      <c r="AA9464" s="21" t="str">
        <f>HYPERLINK("https://www.ncbi.nlm.nih.gov/nuccore/BK013646","NCBI Nucleotide")</f>
        <v>NCBI Nucleotide</v>
      </c>
    </row>
    <row r="9465" spans="1:27" x14ac:dyDescent="0.35">
      <c r="A9465">
        <v>1009583</v>
      </c>
      <c r="B9465">
        <v>8790</v>
      </c>
      <c r="C9465">
        <v>1</v>
      </c>
      <c r="D9465" s="17" t="s">
        <v>17166</v>
      </c>
      <c r="E9465" s="17"/>
      <c r="F9465" s="17" t="s">
        <v>17246</v>
      </c>
      <c r="G9465" s="17"/>
      <c r="H9465" s="17" t="s">
        <v>20919</v>
      </c>
      <c r="I9465" s="17"/>
      <c r="J9465" s="17" t="s">
        <v>21313</v>
      </c>
      <c r="K9465" s="17"/>
      <c r="L9465" s="17" t="s">
        <v>21326</v>
      </c>
      <c r="M9465" s="17"/>
      <c r="N9465" s="17" t="s">
        <v>21577</v>
      </c>
      <c r="O9465" s="17"/>
      <c r="P9465" s="17" t="s">
        <v>21909</v>
      </c>
      <c r="Q9465" s="17"/>
      <c r="R9465" s="25" t="str">
        <f>HYPERLINK("https://ictv.global/taxonomy/taxondetails?taxnode_id=202310433","Kuhshuvirus pelovicinum")</f>
        <v>Kuhshuvirus pelovicinum</v>
      </c>
      <c r="S9465" s="18" t="s">
        <v>30</v>
      </c>
      <c r="T9465" s="18" t="s">
        <v>21910</v>
      </c>
      <c r="U9465" s="18"/>
      <c r="V9465" s="18"/>
      <c r="W9465" s="18" t="s">
        <v>21911</v>
      </c>
      <c r="X9465" s="18" t="s">
        <v>35</v>
      </c>
      <c r="Y9465" s="18" t="s">
        <v>17171</v>
      </c>
      <c r="Z9465" s="18" t="s">
        <v>697</v>
      </c>
      <c r="AA9465" s="21" t="str">
        <f>HYPERLINK("https://www.ncbi.nlm.nih.gov/nuccore/BK014063","NCBI Nucleotide")</f>
        <v>NCBI Nucleotide</v>
      </c>
    </row>
    <row r="9466" spans="1:27" x14ac:dyDescent="0.35">
      <c r="A9466">
        <v>1027208</v>
      </c>
      <c r="B9466">
        <v>8791</v>
      </c>
      <c r="C9466">
        <v>1</v>
      </c>
      <c r="D9466" s="17" t="s">
        <v>17166</v>
      </c>
      <c r="E9466" s="17"/>
      <c r="F9466" s="17" t="s">
        <v>17246</v>
      </c>
      <c r="G9466" s="17"/>
      <c r="H9466" s="17" t="s">
        <v>20919</v>
      </c>
      <c r="I9466" s="17"/>
      <c r="J9466" s="17" t="s">
        <v>21313</v>
      </c>
      <c r="K9466" s="17"/>
      <c r="L9466" s="17" t="s">
        <v>21326</v>
      </c>
      <c r="M9466" s="17"/>
      <c r="N9466" s="17" t="s">
        <v>21577</v>
      </c>
      <c r="O9466" s="17"/>
      <c r="P9466" s="17" t="s">
        <v>43286</v>
      </c>
      <c r="Q9466" s="17"/>
      <c r="R9466" s="25" t="str">
        <f>HYPERLINK("https://ictv.global/taxonomy/taxondetails?taxnode_id=202316371","Kungsnevirus arvadaptatum")</f>
        <v>Kungsnevirus arvadaptatum</v>
      </c>
      <c r="S9466" s="18" t="s">
        <v>30</v>
      </c>
      <c r="T9466" s="18" t="s">
        <v>43287</v>
      </c>
      <c r="U9466" s="18"/>
      <c r="V9466" s="18"/>
      <c r="W9466" s="18" t="s">
        <v>43288</v>
      </c>
      <c r="X9466" s="18" t="s">
        <v>35</v>
      </c>
      <c r="Y9466" s="18" t="s">
        <v>17171</v>
      </c>
      <c r="Z9466" s="18" t="s">
        <v>24637</v>
      </c>
      <c r="AA9466" s="21" t="str">
        <f>HYPERLINK("https://www.ncbi.nlm.nih.gov/nuccore/CASDWV010000697","NCBI Nucleotide")</f>
        <v>NCBI Nucleotide</v>
      </c>
    </row>
    <row r="9467" spans="1:27" x14ac:dyDescent="0.35">
      <c r="A9467">
        <v>1027209</v>
      </c>
      <c r="B9467">
        <v>8792</v>
      </c>
      <c r="C9467">
        <v>1</v>
      </c>
      <c r="D9467" s="17" t="s">
        <v>17166</v>
      </c>
      <c r="E9467" s="17"/>
      <c r="F9467" s="17" t="s">
        <v>17246</v>
      </c>
      <c r="G9467" s="17"/>
      <c r="H9467" s="17" t="s">
        <v>20919</v>
      </c>
      <c r="I9467" s="17"/>
      <c r="J9467" s="17" t="s">
        <v>21313</v>
      </c>
      <c r="K9467" s="17"/>
      <c r="L9467" s="17" t="s">
        <v>21326</v>
      </c>
      <c r="M9467" s="17"/>
      <c r="N9467" s="17" t="s">
        <v>21577</v>
      </c>
      <c r="O9467" s="17"/>
      <c r="P9467" s="17" t="s">
        <v>43286</v>
      </c>
      <c r="Q9467" s="17"/>
      <c r="R9467" s="25" t="str">
        <f>HYPERLINK("https://ictv.global/taxonomy/taxondetails?taxnode_id=202316372","Kungsnevirus arvivivens")</f>
        <v>Kungsnevirus arvivivens</v>
      </c>
      <c r="S9467" s="18" t="s">
        <v>30</v>
      </c>
      <c r="T9467" s="18" t="s">
        <v>43289</v>
      </c>
      <c r="U9467" s="18"/>
      <c r="V9467" s="18"/>
      <c r="W9467" s="18" t="s">
        <v>43290</v>
      </c>
      <c r="X9467" s="18" t="s">
        <v>35</v>
      </c>
      <c r="Y9467" s="18" t="s">
        <v>17171</v>
      </c>
      <c r="Z9467" s="18" t="s">
        <v>24637</v>
      </c>
      <c r="AA9467" s="21" t="str">
        <f>HYPERLINK("https://www.ncbi.nlm.nih.gov/nuccore/CASDWV010001432","NCBI Nucleotide")</f>
        <v>NCBI Nucleotide</v>
      </c>
    </row>
    <row r="9468" spans="1:27" x14ac:dyDescent="0.35">
      <c r="A9468">
        <v>1027210</v>
      </c>
      <c r="B9468">
        <v>8793</v>
      </c>
      <c r="C9468">
        <v>1</v>
      </c>
      <c r="D9468" s="17" t="s">
        <v>17166</v>
      </c>
      <c r="E9468" s="17"/>
      <c r="F9468" s="17" t="s">
        <v>17246</v>
      </c>
      <c r="G9468" s="17"/>
      <c r="H9468" s="17" t="s">
        <v>20919</v>
      </c>
      <c r="I9468" s="17"/>
      <c r="J9468" s="17" t="s">
        <v>21313</v>
      </c>
      <c r="K9468" s="17"/>
      <c r="L9468" s="17" t="s">
        <v>21326</v>
      </c>
      <c r="M9468" s="17"/>
      <c r="N9468" s="17" t="s">
        <v>21577</v>
      </c>
      <c r="O9468" s="17"/>
      <c r="P9468" s="17" t="s">
        <v>43286</v>
      </c>
      <c r="Q9468" s="17"/>
      <c r="R9468" s="25" t="str">
        <f>HYPERLINK("https://ictv.global/taxonomy/taxondetails?taxnode_id=202316373","Kungsnevirus caenihabitans")</f>
        <v>Kungsnevirus caenihabitans</v>
      </c>
      <c r="S9468" s="18" t="s">
        <v>30</v>
      </c>
      <c r="T9468" s="18" t="s">
        <v>43291</v>
      </c>
      <c r="U9468" s="18"/>
      <c r="V9468" s="18"/>
      <c r="W9468" s="18" t="s">
        <v>43292</v>
      </c>
      <c r="X9468" s="18" t="s">
        <v>35</v>
      </c>
      <c r="Y9468" s="18" t="s">
        <v>17171</v>
      </c>
      <c r="Z9468" s="18" t="s">
        <v>24637</v>
      </c>
      <c r="AA9468" s="21" t="str">
        <f>HYPERLINK("https://www.ncbi.nlm.nih.gov/nuccore/CASDWV010001478","NCBI Nucleotide")</f>
        <v>NCBI Nucleotide</v>
      </c>
    </row>
    <row r="9469" spans="1:27" x14ac:dyDescent="0.35">
      <c r="A9469">
        <v>1027211</v>
      </c>
      <c r="B9469">
        <v>8794</v>
      </c>
      <c r="C9469">
        <v>1</v>
      </c>
      <c r="D9469" s="17" t="s">
        <v>17166</v>
      </c>
      <c r="E9469" s="17"/>
      <c r="F9469" s="17" t="s">
        <v>17246</v>
      </c>
      <c r="G9469" s="17"/>
      <c r="H9469" s="17" t="s">
        <v>20919</v>
      </c>
      <c r="I9469" s="17"/>
      <c r="J9469" s="17" t="s">
        <v>21313</v>
      </c>
      <c r="K9469" s="17"/>
      <c r="L9469" s="17" t="s">
        <v>21326</v>
      </c>
      <c r="M9469" s="17"/>
      <c r="N9469" s="17" t="s">
        <v>21577</v>
      </c>
      <c r="O9469" s="17"/>
      <c r="P9469" s="17" t="s">
        <v>43286</v>
      </c>
      <c r="Q9469" s="17"/>
      <c r="R9469" s="25" t="str">
        <f>HYPERLINK("https://ictv.global/taxonomy/taxondetails?taxnode_id=202316374","Kungsnevirus choradaptatum")</f>
        <v>Kungsnevirus choradaptatum</v>
      </c>
      <c r="S9469" s="18" t="s">
        <v>30</v>
      </c>
      <c r="T9469" s="18" t="s">
        <v>43293</v>
      </c>
      <c r="U9469" s="18"/>
      <c r="V9469" s="18"/>
      <c r="W9469" s="18" t="s">
        <v>43294</v>
      </c>
      <c r="X9469" s="18" t="s">
        <v>35</v>
      </c>
      <c r="Y9469" s="18" t="s">
        <v>17171</v>
      </c>
      <c r="Z9469" s="18" t="s">
        <v>24637</v>
      </c>
      <c r="AA9469" s="21" t="str">
        <f>HYPERLINK("https://www.ncbi.nlm.nih.gov/nuccore/CASDWV010000366","NCBI Nucleotide")</f>
        <v>NCBI Nucleotide</v>
      </c>
    </row>
    <row r="9470" spans="1:27" x14ac:dyDescent="0.35">
      <c r="A9470">
        <v>1027212</v>
      </c>
      <c r="B9470">
        <v>8795</v>
      </c>
      <c r="C9470">
        <v>1</v>
      </c>
      <c r="D9470" s="17" t="s">
        <v>17166</v>
      </c>
      <c r="E9470" s="17"/>
      <c r="F9470" s="17" t="s">
        <v>17246</v>
      </c>
      <c r="G9470" s="17"/>
      <c r="H9470" s="17" t="s">
        <v>20919</v>
      </c>
      <c r="I9470" s="17"/>
      <c r="J9470" s="17" t="s">
        <v>21313</v>
      </c>
      <c r="K9470" s="17"/>
      <c r="L9470" s="17" t="s">
        <v>21326</v>
      </c>
      <c r="M9470" s="17"/>
      <c r="N9470" s="17" t="s">
        <v>21577</v>
      </c>
      <c r="O9470" s="17"/>
      <c r="P9470" s="17" t="s">
        <v>43286</v>
      </c>
      <c r="Q9470" s="17"/>
      <c r="R9470" s="25" t="str">
        <f>HYPERLINK("https://ictv.global/taxonomy/taxondetails?taxnode_id=202316375","Kungsnevirus chthonadaptatum")</f>
        <v>Kungsnevirus chthonadaptatum</v>
      </c>
      <c r="S9470" s="18" t="s">
        <v>30</v>
      </c>
      <c r="T9470" s="18" t="s">
        <v>43295</v>
      </c>
      <c r="U9470" s="18"/>
      <c r="V9470" s="18"/>
      <c r="W9470" s="18" t="s">
        <v>43296</v>
      </c>
      <c r="X9470" s="18" t="s">
        <v>35</v>
      </c>
      <c r="Y9470" s="18" t="s">
        <v>17171</v>
      </c>
      <c r="Z9470" s="18" t="s">
        <v>24637</v>
      </c>
      <c r="AA9470" s="21" t="str">
        <f>HYPERLINK("https://www.ncbi.nlm.nih.gov/nuccore/CASDWV010002045","NCBI Nucleotide")</f>
        <v>NCBI Nucleotide</v>
      </c>
    </row>
    <row r="9471" spans="1:27" x14ac:dyDescent="0.35">
      <c r="A9471">
        <v>1027213</v>
      </c>
      <c r="B9471">
        <v>8796</v>
      </c>
      <c r="C9471">
        <v>1</v>
      </c>
      <c r="D9471" s="17" t="s">
        <v>17166</v>
      </c>
      <c r="E9471" s="17"/>
      <c r="F9471" s="17" t="s">
        <v>17246</v>
      </c>
      <c r="G9471" s="17"/>
      <c r="H9471" s="17" t="s">
        <v>20919</v>
      </c>
      <c r="I9471" s="17"/>
      <c r="J9471" s="17" t="s">
        <v>21313</v>
      </c>
      <c r="K9471" s="17"/>
      <c r="L9471" s="17" t="s">
        <v>21326</v>
      </c>
      <c r="M9471" s="17"/>
      <c r="N9471" s="17" t="s">
        <v>21577</v>
      </c>
      <c r="O9471" s="17"/>
      <c r="P9471" s="17" t="s">
        <v>43286</v>
      </c>
      <c r="Q9471" s="17"/>
      <c r="R9471" s="25" t="str">
        <f>HYPERLINK("https://ictv.global/taxonomy/taxondetails?taxnode_id=202316376","Kungsnevirus dinebrihabitans")</f>
        <v>Kungsnevirus dinebrihabitans</v>
      </c>
      <c r="S9471" s="18" t="s">
        <v>30</v>
      </c>
      <c r="T9471" s="18" t="s">
        <v>43297</v>
      </c>
      <c r="U9471" s="18"/>
      <c r="V9471" s="18" t="s">
        <v>43298</v>
      </c>
      <c r="W9471" s="18" t="s">
        <v>43299</v>
      </c>
      <c r="X9471" s="18" t="s">
        <v>35</v>
      </c>
      <c r="Y9471" s="18" t="s">
        <v>17171</v>
      </c>
      <c r="Z9471" s="18" t="s">
        <v>17336</v>
      </c>
      <c r="AA9471" s="21" t="str">
        <f>HYPERLINK("https://www.ncbi.nlm.nih.gov/nuccore/OM514524","NCBI Nucleotide")</f>
        <v>NCBI Nucleotide</v>
      </c>
    </row>
    <row r="9472" spans="1:27" x14ac:dyDescent="0.35">
      <c r="A9472">
        <v>1027214</v>
      </c>
      <c r="B9472">
        <v>8797</v>
      </c>
      <c r="C9472">
        <v>1</v>
      </c>
      <c r="D9472" s="17" t="s">
        <v>17166</v>
      </c>
      <c r="E9472" s="17"/>
      <c r="F9472" s="17" t="s">
        <v>17246</v>
      </c>
      <c r="G9472" s="17"/>
      <c r="H9472" s="17" t="s">
        <v>20919</v>
      </c>
      <c r="I9472" s="17"/>
      <c r="J9472" s="17" t="s">
        <v>21313</v>
      </c>
      <c r="K9472" s="17"/>
      <c r="L9472" s="17" t="s">
        <v>21326</v>
      </c>
      <c r="M9472" s="17"/>
      <c r="N9472" s="17" t="s">
        <v>21577</v>
      </c>
      <c r="O9472" s="17"/>
      <c r="P9472" s="17" t="s">
        <v>43286</v>
      </c>
      <c r="Q9472" s="17"/>
      <c r="R9472" s="25" t="str">
        <f>HYPERLINK("https://ictv.global/taxonomy/taxondetails?taxnode_id=202316377","Kungsnevirus edaphohabitans")</f>
        <v>Kungsnevirus edaphohabitans</v>
      </c>
      <c r="S9472" s="18" t="s">
        <v>30</v>
      </c>
      <c r="T9472" s="18" t="s">
        <v>43300</v>
      </c>
      <c r="U9472" s="18"/>
      <c r="V9472" s="18"/>
      <c r="W9472" s="18" t="s">
        <v>43301</v>
      </c>
      <c r="X9472" s="18" t="s">
        <v>35</v>
      </c>
      <c r="Y9472" s="18" t="s">
        <v>17171</v>
      </c>
      <c r="Z9472" s="18" t="s">
        <v>24637</v>
      </c>
      <c r="AA9472" s="21" t="str">
        <f>HYPERLINK("https://www.ncbi.nlm.nih.gov/nuccore/CASDWV010003556","NCBI Nucleotide")</f>
        <v>NCBI Nucleotide</v>
      </c>
    </row>
    <row r="9473" spans="1:27" x14ac:dyDescent="0.35">
      <c r="A9473">
        <v>1027215</v>
      </c>
      <c r="B9473">
        <v>8798</v>
      </c>
      <c r="C9473">
        <v>1</v>
      </c>
      <c r="D9473" s="17" t="s">
        <v>17166</v>
      </c>
      <c r="E9473" s="17"/>
      <c r="F9473" s="17" t="s">
        <v>17246</v>
      </c>
      <c r="G9473" s="17"/>
      <c r="H9473" s="17" t="s">
        <v>20919</v>
      </c>
      <c r="I9473" s="17"/>
      <c r="J9473" s="17" t="s">
        <v>21313</v>
      </c>
      <c r="K9473" s="17"/>
      <c r="L9473" s="17" t="s">
        <v>21326</v>
      </c>
      <c r="M9473" s="17"/>
      <c r="N9473" s="17" t="s">
        <v>21577</v>
      </c>
      <c r="O9473" s="17"/>
      <c r="P9473" s="17" t="s">
        <v>43286</v>
      </c>
      <c r="Q9473" s="17"/>
      <c r="R9473" s="25" t="str">
        <f>HYPERLINK("https://ictv.global/taxonomy/taxondetails?taxnode_id=202316378","Kungsnevirus limihabitans")</f>
        <v>Kungsnevirus limihabitans</v>
      </c>
      <c r="S9473" s="18" t="s">
        <v>30</v>
      </c>
      <c r="T9473" s="18" t="s">
        <v>43302</v>
      </c>
      <c r="U9473" s="18"/>
      <c r="V9473" s="18"/>
      <c r="W9473" s="18" t="s">
        <v>43303</v>
      </c>
      <c r="X9473" s="18" t="s">
        <v>35</v>
      </c>
      <c r="Y9473" s="18" t="s">
        <v>17171</v>
      </c>
      <c r="Z9473" s="18" t="s">
        <v>24637</v>
      </c>
      <c r="AA9473" s="21" t="str">
        <f>HYPERLINK("https://www.ncbi.nlm.nih.gov/nuccore/CASDWV010002385","NCBI Nucleotide")</f>
        <v>NCBI Nucleotide</v>
      </c>
    </row>
    <row r="9474" spans="1:27" x14ac:dyDescent="0.35">
      <c r="A9474">
        <v>1027216</v>
      </c>
      <c r="B9474">
        <v>8799</v>
      </c>
      <c r="C9474">
        <v>1</v>
      </c>
      <c r="D9474" s="17" t="s">
        <v>17166</v>
      </c>
      <c r="E9474" s="17"/>
      <c r="F9474" s="17" t="s">
        <v>17246</v>
      </c>
      <c r="G9474" s="17"/>
      <c r="H9474" s="17" t="s">
        <v>20919</v>
      </c>
      <c r="I9474" s="17"/>
      <c r="J9474" s="17" t="s">
        <v>21313</v>
      </c>
      <c r="K9474" s="17"/>
      <c r="L9474" s="17" t="s">
        <v>21326</v>
      </c>
      <c r="M9474" s="17"/>
      <c r="N9474" s="17" t="s">
        <v>21577</v>
      </c>
      <c r="O9474" s="17"/>
      <c r="P9474" s="17" t="s">
        <v>43286</v>
      </c>
      <c r="Q9474" s="17"/>
      <c r="R9474" s="25" t="str">
        <f>HYPERLINK("https://ictv.global/taxonomy/taxondetails?taxnode_id=202316379","Kungsnevirus limivivens")</f>
        <v>Kungsnevirus limivivens</v>
      </c>
      <c r="S9474" s="18" t="s">
        <v>30</v>
      </c>
      <c r="T9474" s="18" t="s">
        <v>43304</v>
      </c>
      <c r="U9474" s="18"/>
      <c r="V9474" s="18"/>
      <c r="W9474" s="18" t="s">
        <v>43305</v>
      </c>
      <c r="X9474" s="18" t="s">
        <v>35</v>
      </c>
      <c r="Y9474" s="18" t="s">
        <v>17171</v>
      </c>
      <c r="Z9474" s="18" t="s">
        <v>24637</v>
      </c>
      <c r="AA9474" s="21" t="str">
        <f>HYPERLINK("https://www.ncbi.nlm.nih.gov/nuccore/CASDWV010000162","NCBI Nucleotide")</f>
        <v>NCBI Nucleotide</v>
      </c>
    </row>
    <row r="9475" spans="1:27" x14ac:dyDescent="0.35">
      <c r="A9475">
        <v>1027217</v>
      </c>
      <c r="B9475">
        <v>8800</v>
      </c>
      <c r="C9475">
        <v>1</v>
      </c>
      <c r="D9475" s="17" t="s">
        <v>17166</v>
      </c>
      <c r="E9475" s="17"/>
      <c r="F9475" s="17" t="s">
        <v>17246</v>
      </c>
      <c r="G9475" s="17"/>
      <c r="H9475" s="17" t="s">
        <v>20919</v>
      </c>
      <c r="I9475" s="17"/>
      <c r="J9475" s="17" t="s">
        <v>21313</v>
      </c>
      <c r="K9475" s="17"/>
      <c r="L9475" s="17" t="s">
        <v>21326</v>
      </c>
      <c r="M9475" s="17"/>
      <c r="N9475" s="17" t="s">
        <v>21577</v>
      </c>
      <c r="O9475" s="17"/>
      <c r="P9475" s="17" t="s">
        <v>43286</v>
      </c>
      <c r="Q9475" s="17"/>
      <c r="R9475" s="25" t="str">
        <f>HYPERLINK("https://ictv.global/taxonomy/taxondetails?taxnode_id=202316380","Kungsnevirus peladaptatum")</f>
        <v>Kungsnevirus peladaptatum</v>
      </c>
      <c r="S9475" s="18" t="s">
        <v>30</v>
      </c>
      <c r="T9475" s="18" t="s">
        <v>43306</v>
      </c>
      <c r="U9475" s="18"/>
      <c r="V9475" s="18"/>
      <c r="W9475" s="18" t="s">
        <v>43307</v>
      </c>
      <c r="X9475" s="18" t="s">
        <v>35</v>
      </c>
      <c r="Y9475" s="18" t="s">
        <v>17171</v>
      </c>
      <c r="Z9475" s="18" t="s">
        <v>24637</v>
      </c>
      <c r="AA9475" s="21" t="str">
        <f>HYPERLINK("https://www.ncbi.nlm.nih.gov/nuccore/CASDWV010002308","NCBI Nucleotide")</f>
        <v>NCBI Nucleotide</v>
      </c>
    </row>
    <row r="9476" spans="1:27" x14ac:dyDescent="0.35">
      <c r="A9476">
        <v>1027218</v>
      </c>
      <c r="B9476">
        <v>8801</v>
      </c>
      <c r="C9476">
        <v>1</v>
      </c>
      <c r="D9476" s="17" t="s">
        <v>17166</v>
      </c>
      <c r="E9476" s="17"/>
      <c r="F9476" s="17" t="s">
        <v>17246</v>
      </c>
      <c r="G9476" s="17"/>
      <c r="H9476" s="17" t="s">
        <v>20919</v>
      </c>
      <c r="I9476" s="17"/>
      <c r="J9476" s="17" t="s">
        <v>21313</v>
      </c>
      <c r="K9476" s="17"/>
      <c r="L9476" s="17" t="s">
        <v>21326</v>
      </c>
      <c r="M9476" s="17"/>
      <c r="N9476" s="17" t="s">
        <v>21577</v>
      </c>
      <c r="O9476" s="17"/>
      <c r="P9476" s="17" t="s">
        <v>43286</v>
      </c>
      <c r="Q9476" s="17"/>
      <c r="R9476" s="25" t="str">
        <f>HYPERLINK("https://ictv.global/taxonomy/taxondetails?taxnode_id=202316381","Kungsnevirus segetenecus")</f>
        <v>Kungsnevirus segetenecus</v>
      </c>
      <c r="S9476" s="18" t="s">
        <v>30</v>
      </c>
      <c r="T9476" s="18" t="s">
        <v>43308</v>
      </c>
      <c r="U9476" s="18"/>
      <c r="V9476" s="18"/>
      <c r="W9476" s="18" t="s">
        <v>43309</v>
      </c>
      <c r="X9476" s="18" t="s">
        <v>35</v>
      </c>
      <c r="Y9476" s="18" t="s">
        <v>17171</v>
      </c>
      <c r="Z9476" s="18" t="s">
        <v>24637</v>
      </c>
      <c r="AA9476" s="21" t="str">
        <f>HYPERLINK("https://www.ncbi.nlm.nih.gov/nuccore/CASDWV010004235","NCBI Nucleotide")</f>
        <v>NCBI Nucleotide</v>
      </c>
    </row>
    <row r="9477" spans="1:27" x14ac:dyDescent="0.35">
      <c r="A9477">
        <v>1027219</v>
      </c>
      <c r="B9477">
        <v>8802</v>
      </c>
      <c r="C9477">
        <v>1</v>
      </c>
      <c r="D9477" s="17" t="s">
        <v>17166</v>
      </c>
      <c r="E9477" s="17"/>
      <c r="F9477" s="17" t="s">
        <v>17246</v>
      </c>
      <c r="G9477" s="17"/>
      <c r="H9477" s="17" t="s">
        <v>20919</v>
      </c>
      <c r="I9477" s="17"/>
      <c r="J9477" s="17" t="s">
        <v>21313</v>
      </c>
      <c r="K9477" s="17"/>
      <c r="L9477" s="17" t="s">
        <v>21326</v>
      </c>
      <c r="M9477" s="17"/>
      <c r="N9477" s="17" t="s">
        <v>21577</v>
      </c>
      <c r="O9477" s="17"/>
      <c r="P9477" s="17" t="s">
        <v>43286</v>
      </c>
      <c r="Q9477" s="17"/>
      <c r="R9477" s="25" t="str">
        <f>HYPERLINK("https://ictv.global/taxonomy/taxondetails?taxnode_id=202316382","Kungsnevirus segeticola")</f>
        <v>Kungsnevirus segeticola</v>
      </c>
      <c r="S9477" s="18" t="s">
        <v>30</v>
      </c>
      <c r="T9477" s="18" t="s">
        <v>43310</v>
      </c>
      <c r="U9477" s="18"/>
      <c r="V9477" s="18"/>
      <c r="W9477" s="18" t="s">
        <v>43311</v>
      </c>
      <c r="X9477" s="18" t="s">
        <v>35</v>
      </c>
      <c r="Y9477" s="18" t="s">
        <v>17171</v>
      </c>
      <c r="Z9477" s="18" t="s">
        <v>24637</v>
      </c>
      <c r="AA9477" s="21" t="str">
        <f>HYPERLINK("https://www.ncbi.nlm.nih.gov/nuccore/CASDWV010000024","NCBI Nucleotide")</f>
        <v>NCBI Nucleotide</v>
      </c>
    </row>
    <row r="9478" spans="1:27" x14ac:dyDescent="0.35">
      <c r="A9478">
        <v>1027220</v>
      </c>
      <c r="B9478">
        <v>8803</v>
      </c>
      <c r="C9478">
        <v>1</v>
      </c>
      <c r="D9478" s="17" t="s">
        <v>17166</v>
      </c>
      <c r="E9478" s="17"/>
      <c r="F9478" s="17" t="s">
        <v>17246</v>
      </c>
      <c r="G9478" s="17"/>
      <c r="H9478" s="17" t="s">
        <v>20919</v>
      </c>
      <c r="I9478" s="17"/>
      <c r="J9478" s="17" t="s">
        <v>21313</v>
      </c>
      <c r="K9478" s="17"/>
      <c r="L9478" s="17" t="s">
        <v>21326</v>
      </c>
      <c r="M9478" s="17"/>
      <c r="N9478" s="17" t="s">
        <v>21577</v>
      </c>
      <c r="O9478" s="17"/>
      <c r="P9478" s="17" t="s">
        <v>43286</v>
      </c>
      <c r="Q9478" s="17"/>
      <c r="R9478" s="25" t="str">
        <f>HYPERLINK("https://ictv.global/taxonomy/taxondetails?taxnode_id=202316383","Kungsnevirus solenecus")</f>
        <v>Kungsnevirus solenecus</v>
      </c>
      <c r="S9478" s="18" t="s">
        <v>30</v>
      </c>
      <c r="T9478" s="18" t="s">
        <v>43312</v>
      </c>
      <c r="U9478" s="18"/>
      <c r="V9478" s="18"/>
      <c r="W9478" s="18" t="s">
        <v>43313</v>
      </c>
      <c r="X9478" s="18" t="s">
        <v>35</v>
      </c>
      <c r="Y9478" s="18" t="s">
        <v>17171</v>
      </c>
      <c r="Z9478" s="18" t="s">
        <v>24637</v>
      </c>
      <c r="AA9478" s="21" t="str">
        <f>HYPERLINK("https://www.ncbi.nlm.nih.gov/nuccore/CASDWV010002333","NCBI Nucleotide")</f>
        <v>NCBI Nucleotide</v>
      </c>
    </row>
    <row r="9479" spans="1:27" x14ac:dyDescent="0.35">
      <c r="A9479">
        <v>1027221</v>
      </c>
      <c r="B9479">
        <v>8804</v>
      </c>
      <c r="C9479">
        <v>1</v>
      </c>
      <c r="D9479" s="17" t="s">
        <v>17166</v>
      </c>
      <c r="E9479" s="17"/>
      <c r="F9479" s="17" t="s">
        <v>17246</v>
      </c>
      <c r="G9479" s="17"/>
      <c r="H9479" s="17" t="s">
        <v>20919</v>
      </c>
      <c r="I9479" s="17"/>
      <c r="J9479" s="17" t="s">
        <v>21313</v>
      </c>
      <c r="K9479" s="17"/>
      <c r="L9479" s="17" t="s">
        <v>21326</v>
      </c>
      <c r="M9479" s="17"/>
      <c r="N9479" s="17" t="s">
        <v>21577</v>
      </c>
      <c r="O9479" s="17"/>
      <c r="P9479" s="17" t="s">
        <v>43314</v>
      </c>
      <c r="Q9479" s="17"/>
      <c r="R9479" s="25" t="str">
        <f>HYPERLINK("https://ictv.global/taxonomy/taxondetails?taxnode_id=202316384","Kungspuvirus chthonovicinum")</f>
        <v>Kungspuvirus chthonovicinum</v>
      </c>
      <c r="S9479" s="18" t="s">
        <v>30</v>
      </c>
      <c r="T9479" s="18" t="s">
        <v>43315</v>
      </c>
      <c r="U9479" s="18"/>
      <c r="V9479" s="18"/>
      <c r="W9479" s="18" t="s">
        <v>43316</v>
      </c>
      <c r="X9479" s="18" t="s">
        <v>35</v>
      </c>
      <c r="Y9479" s="18" t="s">
        <v>17171</v>
      </c>
      <c r="Z9479" s="18" t="s">
        <v>24637</v>
      </c>
      <c r="AA9479" s="21" t="str">
        <f>HYPERLINK("https://www.ncbi.nlm.nih.gov/nuccore/CASDWV010004192","NCBI Nucleotide")</f>
        <v>NCBI Nucleotide</v>
      </c>
    </row>
    <row r="9480" spans="1:27" x14ac:dyDescent="0.35">
      <c r="A9480">
        <v>1027222</v>
      </c>
      <c r="B9480">
        <v>8805</v>
      </c>
      <c r="C9480">
        <v>1</v>
      </c>
      <c r="D9480" s="17" t="s">
        <v>17166</v>
      </c>
      <c r="E9480" s="17"/>
      <c r="F9480" s="17" t="s">
        <v>17246</v>
      </c>
      <c r="G9480" s="17"/>
      <c r="H9480" s="17" t="s">
        <v>20919</v>
      </c>
      <c r="I9480" s="17"/>
      <c r="J9480" s="17" t="s">
        <v>21313</v>
      </c>
      <c r="K9480" s="17"/>
      <c r="L9480" s="17" t="s">
        <v>21326</v>
      </c>
      <c r="M9480" s="17"/>
      <c r="N9480" s="17" t="s">
        <v>21577</v>
      </c>
      <c r="O9480" s="17"/>
      <c r="P9480" s="17" t="s">
        <v>43317</v>
      </c>
      <c r="Q9480" s="17"/>
      <c r="R9480" s="25" t="str">
        <f>HYPERLINK("https://ictv.global/taxonomy/taxondetails?taxnode_id=202316385","Lahbwuvirus telluricola")</f>
        <v>Lahbwuvirus telluricola</v>
      </c>
      <c r="S9480" s="18" t="s">
        <v>30</v>
      </c>
      <c r="T9480" s="18" t="s">
        <v>43318</v>
      </c>
      <c r="U9480" s="18"/>
      <c r="V9480" s="18"/>
      <c r="W9480" s="18" t="s">
        <v>43319</v>
      </c>
      <c r="X9480" s="18" t="s">
        <v>35</v>
      </c>
      <c r="Y9480" s="18" t="s">
        <v>17171</v>
      </c>
      <c r="Z9480" s="18" t="s">
        <v>24637</v>
      </c>
      <c r="AA9480" s="21" t="str">
        <f>HYPERLINK("https://www.ncbi.nlm.nih.gov/nuccore/CASDWV010004310","NCBI Nucleotide")</f>
        <v>NCBI Nucleotide</v>
      </c>
    </row>
    <row r="9481" spans="1:27" x14ac:dyDescent="0.35">
      <c r="A9481">
        <v>1027225</v>
      </c>
      <c r="B9481">
        <v>8806</v>
      </c>
      <c r="C9481">
        <v>1</v>
      </c>
      <c r="D9481" s="17" t="s">
        <v>17166</v>
      </c>
      <c r="E9481" s="17"/>
      <c r="F9481" s="17" t="s">
        <v>17246</v>
      </c>
      <c r="G9481" s="17"/>
      <c r="H9481" s="17" t="s">
        <v>20919</v>
      </c>
      <c r="I9481" s="17"/>
      <c r="J9481" s="17" t="s">
        <v>21313</v>
      </c>
      <c r="K9481" s="17"/>
      <c r="L9481" s="17" t="s">
        <v>21326</v>
      </c>
      <c r="M9481" s="17"/>
      <c r="N9481" s="17" t="s">
        <v>21577</v>
      </c>
      <c r="O9481" s="17"/>
      <c r="P9481" s="17" t="s">
        <v>43320</v>
      </c>
      <c r="Q9481" s="17"/>
      <c r="R9481" s="25" t="str">
        <f>HYPERLINK("https://ictv.global/taxonomy/taxondetails?taxnode_id=202316386","Lahdbrovirus caenivivens")</f>
        <v>Lahdbrovirus caenivivens</v>
      </c>
      <c r="S9481" s="18" t="s">
        <v>30</v>
      </c>
      <c r="T9481" s="18" t="s">
        <v>43321</v>
      </c>
      <c r="U9481" s="18"/>
      <c r="V9481" s="18"/>
      <c r="W9481" s="18" t="s">
        <v>43322</v>
      </c>
      <c r="X9481" s="18" t="s">
        <v>35</v>
      </c>
      <c r="Y9481" s="18" t="s">
        <v>17171</v>
      </c>
      <c r="Z9481" s="18" t="s">
        <v>24637</v>
      </c>
      <c r="AA9481" s="21" t="str">
        <f>HYPERLINK("https://www.ncbi.nlm.nih.gov/nuccore/CASDWV010003216","NCBI Nucleotide")</f>
        <v>NCBI Nucleotide</v>
      </c>
    </row>
    <row r="9482" spans="1:27" x14ac:dyDescent="0.35">
      <c r="A9482">
        <v>1027226</v>
      </c>
      <c r="B9482">
        <v>8807</v>
      </c>
      <c r="C9482">
        <v>1</v>
      </c>
      <c r="D9482" s="17" t="s">
        <v>17166</v>
      </c>
      <c r="E9482" s="17"/>
      <c r="F9482" s="17" t="s">
        <v>17246</v>
      </c>
      <c r="G9482" s="17"/>
      <c r="H9482" s="17" t="s">
        <v>20919</v>
      </c>
      <c r="I9482" s="17"/>
      <c r="J9482" s="17" t="s">
        <v>21313</v>
      </c>
      <c r="K9482" s="17"/>
      <c r="L9482" s="17" t="s">
        <v>21326</v>
      </c>
      <c r="M9482" s="17"/>
      <c r="N9482" s="17" t="s">
        <v>21577</v>
      </c>
      <c r="O9482" s="17"/>
      <c r="P9482" s="17" t="s">
        <v>43323</v>
      </c>
      <c r="Q9482" s="17"/>
      <c r="R9482" s="25" t="str">
        <f>HYPERLINK("https://ictv.global/taxonomy/taxondetails?taxnode_id=202316387","Langlevirus chthonohabitans")</f>
        <v>Langlevirus chthonohabitans</v>
      </c>
      <c r="S9482" s="18" t="s">
        <v>30</v>
      </c>
      <c r="T9482" s="18" t="s">
        <v>43324</v>
      </c>
      <c r="U9482" s="18"/>
      <c r="V9482" s="18"/>
      <c r="W9482" s="18" t="s">
        <v>43325</v>
      </c>
      <c r="X9482" s="18" t="s">
        <v>35</v>
      </c>
      <c r="Y9482" s="18" t="s">
        <v>17171</v>
      </c>
      <c r="Z9482" s="18" t="s">
        <v>24637</v>
      </c>
      <c r="AA9482" s="21" t="str">
        <f>HYPERLINK("https://www.ncbi.nlm.nih.gov/nuccore/CASDWV010004241","NCBI Nucleotide")</f>
        <v>NCBI Nucleotide</v>
      </c>
    </row>
    <row r="9483" spans="1:27" x14ac:dyDescent="0.35">
      <c r="A9483">
        <v>1027184</v>
      </c>
      <c r="B9483">
        <v>8808</v>
      </c>
      <c r="C9483">
        <v>1</v>
      </c>
      <c r="D9483" s="17" t="s">
        <v>17166</v>
      </c>
      <c r="E9483" s="17"/>
      <c r="F9483" s="17" t="s">
        <v>17246</v>
      </c>
      <c r="G9483" s="17"/>
      <c r="H9483" s="17" t="s">
        <v>20919</v>
      </c>
      <c r="I9483" s="17"/>
      <c r="J9483" s="17" t="s">
        <v>21313</v>
      </c>
      <c r="K9483" s="17"/>
      <c r="L9483" s="17" t="s">
        <v>21326</v>
      </c>
      <c r="M9483" s="17"/>
      <c r="N9483" s="17" t="s">
        <v>21577</v>
      </c>
      <c r="O9483" s="17"/>
      <c r="P9483" s="17" t="s">
        <v>43326</v>
      </c>
      <c r="Q9483" s="17"/>
      <c r="R9483" s="25" t="str">
        <f>HYPERLINK("https://ictv.global/taxonomy/taxondetails?taxnode_id=202316388","Leahmovirus terrivicinum")</f>
        <v>Leahmovirus terrivicinum</v>
      </c>
      <c r="S9483" s="18" t="s">
        <v>30</v>
      </c>
      <c r="T9483" s="18" t="s">
        <v>43327</v>
      </c>
      <c r="U9483" s="18"/>
      <c r="V9483" s="18"/>
      <c r="W9483" s="18" t="s">
        <v>43328</v>
      </c>
      <c r="X9483" s="18" t="s">
        <v>35</v>
      </c>
      <c r="Y9483" s="18" t="s">
        <v>17171</v>
      </c>
      <c r="Z9483" s="18" t="s">
        <v>24637</v>
      </c>
      <c r="AA9483" s="21" t="str">
        <f>HYPERLINK("https://www.ncbi.nlm.nih.gov/nuccore/CASDWV010004376","NCBI Nucleotide")</f>
        <v>NCBI Nucleotide</v>
      </c>
    </row>
    <row r="9484" spans="1:27" x14ac:dyDescent="0.35">
      <c r="A9484">
        <v>1027178</v>
      </c>
      <c r="B9484">
        <v>8809</v>
      </c>
      <c r="C9484">
        <v>1</v>
      </c>
      <c r="D9484" s="17" t="s">
        <v>17166</v>
      </c>
      <c r="E9484" s="17"/>
      <c r="F9484" s="17" t="s">
        <v>17246</v>
      </c>
      <c r="G9484" s="17"/>
      <c r="H9484" s="17" t="s">
        <v>20919</v>
      </c>
      <c r="I9484" s="17"/>
      <c r="J9484" s="17" t="s">
        <v>21313</v>
      </c>
      <c r="K9484" s="17"/>
      <c r="L9484" s="17" t="s">
        <v>21326</v>
      </c>
      <c r="M9484" s="17"/>
      <c r="N9484" s="17" t="s">
        <v>21577</v>
      </c>
      <c r="O9484" s="17"/>
      <c r="P9484" s="17" t="s">
        <v>43329</v>
      </c>
      <c r="Q9484" s="17"/>
      <c r="R9484" s="25" t="str">
        <f>HYPERLINK("https://ictv.global/taxonomy/taxondetails?taxnode_id=202316389","Lecwavirus telluradaptatum")</f>
        <v>Lecwavirus telluradaptatum</v>
      </c>
      <c r="S9484" s="18" t="s">
        <v>30</v>
      </c>
      <c r="T9484" s="18" t="s">
        <v>43330</v>
      </c>
      <c r="U9484" s="18"/>
      <c r="V9484" s="18"/>
      <c r="W9484" s="18" t="s">
        <v>43331</v>
      </c>
      <c r="X9484" s="18" t="s">
        <v>35</v>
      </c>
      <c r="Y9484" s="18" t="s">
        <v>17171</v>
      </c>
      <c r="Z9484" s="18" t="s">
        <v>24637</v>
      </c>
      <c r="AA9484" s="21" t="str">
        <f>HYPERLINK("https://www.ncbi.nlm.nih.gov/nuccore/CASDWV010004548","NCBI Nucleotide")</f>
        <v>NCBI Nucleotide</v>
      </c>
    </row>
    <row r="9485" spans="1:27" x14ac:dyDescent="0.35">
      <c r="A9485">
        <v>1027179</v>
      </c>
      <c r="B9485">
        <v>8810</v>
      </c>
      <c r="C9485">
        <v>1</v>
      </c>
      <c r="D9485" s="17" t="s">
        <v>17166</v>
      </c>
      <c r="E9485" s="17"/>
      <c r="F9485" s="17" t="s">
        <v>17246</v>
      </c>
      <c r="G9485" s="17"/>
      <c r="H9485" s="17" t="s">
        <v>20919</v>
      </c>
      <c r="I9485" s="17"/>
      <c r="J9485" s="17" t="s">
        <v>21313</v>
      </c>
      <c r="K9485" s="17"/>
      <c r="L9485" s="17" t="s">
        <v>21326</v>
      </c>
      <c r="M9485" s="17"/>
      <c r="N9485" s="17" t="s">
        <v>21577</v>
      </c>
      <c r="O9485" s="17"/>
      <c r="P9485" s="17" t="s">
        <v>43332</v>
      </c>
      <c r="Q9485" s="17"/>
      <c r="R9485" s="25" t="str">
        <f>HYPERLINK("https://ictv.global/taxonomy/taxondetails?taxnode_id=202316390","Lehamuvirus humadaptatum")</f>
        <v>Lehamuvirus humadaptatum</v>
      </c>
      <c r="S9485" s="18" t="s">
        <v>30</v>
      </c>
      <c r="T9485" s="18" t="s">
        <v>43333</v>
      </c>
      <c r="U9485" s="18"/>
      <c r="V9485" s="18"/>
      <c r="W9485" s="18" t="s">
        <v>43334</v>
      </c>
      <c r="X9485" s="18" t="s">
        <v>35</v>
      </c>
      <c r="Y9485" s="18" t="s">
        <v>17171</v>
      </c>
      <c r="Z9485" s="18" t="s">
        <v>24637</v>
      </c>
      <c r="AA9485" s="21" t="str">
        <f>HYPERLINK("https://www.ncbi.nlm.nih.gov/nuccore/CASDWV010001969","NCBI Nucleotide")</f>
        <v>NCBI Nucleotide</v>
      </c>
    </row>
    <row r="9486" spans="1:27" x14ac:dyDescent="0.35">
      <c r="A9486">
        <v>1027202</v>
      </c>
      <c r="B9486">
        <v>8811</v>
      </c>
      <c r="C9486">
        <v>1</v>
      </c>
      <c r="D9486" s="17" t="s">
        <v>17166</v>
      </c>
      <c r="E9486" s="17"/>
      <c r="F9486" s="17" t="s">
        <v>17246</v>
      </c>
      <c r="G9486" s="17"/>
      <c r="H9486" s="17" t="s">
        <v>20919</v>
      </c>
      <c r="I9486" s="17"/>
      <c r="J9486" s="17" t="s">
        <v>21313</v>
      </c>
      <c r="K9486" s="17"/>
      <c r="L9486" s="17" t="s">
        <v>21326</v>
      </c>
      <c r="M9486" s="17"/>
      <c r="N9486" s="17" t="s">
        <v>21577</v>
      </c>
      <c r="O9486" s="17"/>
      <c r="P9486" s="17" t="s">
        <v>43335</v>
      </c>
      <c r="Q9486" s="17"/>
      <c r="R9486" s="25" t="str">
        <f>HYPERLINK("https://ictv.global/taxonomy/taxondetails?taxnode_id=202316391","Lighthovirus solihabitans")</f>
        <v>Lighthovirus solihabitans</v>
      </c>
      <c r="S9486" s="18" t="s">
        <v>30</v>
      </c>
      <c r="T9486" s="18" t="s">
        <v>43336</v>
      </c>
      <c r="U9486" s="18"/>
      <c r="V9486" s="18"/>
      <c r="W9486" s="18" t="s">
        <v>43337</v>
      </c>
      <c r="X9486" s="18" t="s">
        <v>35</v>
      </c>
      <c r="Y9486" s="18" t="s">
        <v>17171</v>
      </c>
      <c r="Z9486" s="18" t="s">
        <v>24637</v>
      </c>
      <c r="AA9486" s="21" t="str">
        <f>HYPERLINK("https://www.ncbi.nlm.nih.gov/nuccore/CASDWV010004418","NCBI Nucleotide")</f>
        <v>NCBI Nucleotide</v>
      </c>
    </row>
    <row r="9487" spans="1:27" x14ac:dyDescent="0.35">
      <c r="A9487">
        <v>1027203</v>
      </c>
      <c r="B9487">
        <v>8812</v>
      </c>
      <c r="C9487">
        <v>1</v>
      </c>
      <c r="D9487" s="17" t="s">
        <v>17166</v>
      </c>
      <c r="E9487" s="17"/>
      <c r="F9487" s="17" t="s">
        <v>17246</v>
      </c>
      <c r="G9487" s="17"/>
      <c r="H9487" s="17" t="s">
        <v>20919</v>
      </c>
      <c r="I9487" s="17"/>
      <c r="J9487" s="17" t="s">
        <v>21313</v>
      </c>
      <c r="K9487" s="17"/>
      <c r="L9487" s="17" t="s">
        <v>21326</v>
      </c>
      <c r="M9487" s="17"/>
      <c r="N9487" s="17" t="s">
        <v>21577</v>
      </c>
      <c r="O9487" s="17"/>
      <c r="P9487" s="17" t="s">
        <v>43335</v>
      </c>
      <c r="Q9487" s="17"/>
      <c r="R9487" s="25" t="str">
        <f>HYPERLINK("https://ictv.global/taxonomy/taxondetails?taxnode_id=202316392","Lighthovirus tellurivicinum")</f>
        <v>Lighthovirus tellurivicinum</v>
      </c>
      <c r="S9487" s="18" t="s">
        <v>30</v>
      </c>
      <c r="T9487" s="18" t="s">
        <v>43338</v>
      </c>
      <c r="U9487" s="18"/>
      <c r="V9487" s="18"/>
      <c r="W9487" s="18" t="s">
        <v>43339</v>
      </c>
      <c r="X9487" s="18" t="s">
        <v>35</v>
      </c>
      <c r="Y9487" s="18" t="s">
        <v>17171</v>
      </c>
      <c r="Z9487" s="18" t="s">
        <v>24637</v>
      </c>
      <c r="AA9487" s="21" t="str">
        <f>HYPERLINK("https://www.ncbi.nlm.nih.gov/nuccore/CASDWV010002575","NCBI Nucleotide")</f>
        <v>NCBI Nucleotide</v>
      </c>
    </row>
    <row r="9488" spans="1:27" x14ac:dyDescent="0.35">
      <c r="A9488">
        <v>1027204</v>
      </c>
      <c r="B9488">
        <v>8813</v>
      </c>
      <c r="C9488">
        <v>1</v>
      </c>
      <c r="D9488" s="17" t="s">
        <v>17166</v>
      </c>
      <c r="E9488" s="17"/>
      <c r="F9488" s="17" t="s">
        <v>17246</v>
      </c>
      <c r="G9488" s="17"/>
      <c r="H9488" s="17" t="s">
        <v>20919</v>
      </c>
      <c r="I9488" s="17"/>
      <c r="J9488" s="17" t="s">
        <v>21313</v>
      </c>
      <c r="K9488" s="17"/>
      <c r="L9488" s="17" t="s">
        <v>21326</v>
      </c>
      <c r="M9488" s="17"/>
      <c r="N9488" s="17" t="s">
        <v>21577</v>
      </c>
      <c r="O9488" s="17"/>
      <c r="P9488" s="17" t="s">
        <v>43340</v>
      </c>
      <c r="Q9488" s="17"/>
      <c r="R9488" s="25" t="str">
        <f>HYPERLINK("https://ictv.global/taxonomy/taxondetails?taxnode_id=202316393","Lihdtlovirus solihabitans")</f>
        <v>Lihdtlovirus solihabitans</v>
      </c>
      <c r="S9488" s="18" t="s">
        <v>30</v>
      </c>
      <c r="T9488" s="18" t="s">
        <v>43341</v>
      </c>
      <c r="U9488" s="18"/>
      <c r="V9488" s="18"/>
      <c r="W9488" s="18" t="s">
        <v>43342</v>
      </c>
      <c r="X9488" s="18" t="s">
        <v>35</v>
      </c>
      <c r="Y9488" s="18" t="s">
        <v>17171</v>
      </c>
      <c r="Z9488" s="18" t="s">
        <v>24637</v>
      </c>
      <c r="AA9488" s="21" t="str">
        <f>HYPERLINK("https://www.ncbi.nlm.nih.gov/nuccore/CASDWV010003534","NCBI Nucleotide")</f>
        <v>NCBI Nucleotide</v>
      </c>
    </row>
    <row r="9489" spans="1:27" x14ac:dyDescent="0.35">
      <c r="A9489">
        <v>1027205</v>
      </c>
      <c r="B9489">
        <v>8814</v>
      </c>
      <c r="C9489">
        <v>1</v>
      </c>
      <c r="D9489" s="17" t="s">
        <v>17166</v>
      </c>
      <c r="E9489" s="17"/>
      <c r="F9489" s="17" t="s">
        <v>17246</v>
      </c>
      <c r="G9489" s="17"/>
      <c r="H9489" s="17" t="s">
        <v>20919</v>
      </c>
      <c r="I9489" s="17"/>
      <c r="J9489" s="17" t="s">
        <v>21313</v>
      </c>
      <c r="K9489" s="17"/>
      <c r="L9489" s="17" t="s">
        <v>21326</v>
      </c>
      <c r="M9489" s="17"/>
      <c r="N9489" s="17" t="s">
        <v>21577</v>
      </c>
      <c r="O9489" s="17"/>
      <c r="P9489" s="17" t="s">
        <v>43343</v>
      </c>
      <c r="Q9489" s="17"/>
      <c r="R9489" s="25" t="str">
        <f>HYPERLINK("https://ictv.global/taxonomy/taxondetails?taxnode_id=202316394","Lihtdlivirus caenihabitans")</f>
        <v>Lihtdlivirus caenihabitans</v>
      </c>
      <c r="S9489" s="18" t="s">
        <v>30</v>
      </c>
      <c r="T9489" s="18" t="s">
        <v>43344</v>
      </c>
      <c r="U9489" s="18"/>
      <c r="V9489" s="18"/>
      <c r="W9489" s="18" t="s">
        <v>43345</v>
      </c>
      <c r="X9489" s="18" t="s">
        <v>35</v>
      </c>
      <c r="Y9489" s="18" t="s">
        <v>17171</v>
      </c>
      <c r="Z9489" s="18" t="s">
        <v>24637</v>
      </c>
      <c r="AA9489" s="21" t="str">
        <f>HYPERLINK("https://www.ncbi.nlm.nih.gov/nuccore/CASDWV010002348","NCBI Nucleotide")</f>
        <v>NCBI Nucleotide</v>
      </c>
    </row>
    <row r="9490" spans="1:27" x14ac:dyDescent="0.35">
      <c r="A9490">
        <v>1009515</v>
      </c>
      <c r="B9490">
        <v>8815</v>
      </c>
      <c r="C9490">
        <v>1</v>
      </c>
      <c r="D9490" s="17" t="s">
        <v>17166</v>
      </c>
      <c r="E9490" s="17"/>
      <c r="F9490" s="17" t="s">
        <v>17246</v>
      </c>
      <c r="G9490" s="17"/>
      <c r="H9490" s="17" t="s">
        <v>20919</v>
      </c>
      <c r="I9490" s="17"/>
      <c r="J9490" s="17" t="s">
        <v>21313</v>
      </c>
      <c r="K9490" s="17"/>
      <c r="L9490" s="17" t="s">
        <v>21326</v>
      </c>
      <c r="M9490" s="17"/>
      <c r="N9490" s="17" t="s">
        <v>21577</v>
      </c>
      <c r="O9490" s="17"/>
      <c r="P9490" s="17" t="s">
        <v>43343</v>
      </c>
      <c r="Q9490" s="17"/>
      <c r="R9490" s="25" t="str">
        <f>HYPERLINK("https://ictv.global/taxonomy/taxondetails?taxnode_id=202310318","Lihtdlivirus edaphenecus")</f>
        <v>Lihtdlivirus edaphenecus</v>
      </c>
      <c r="S9490" s="18" t="s">
        <v>30</v>
      </c>
      <c r="T9490" s="18" t="s">
        <v>21730</v>
      </c>
      <c r="U9490" s="18"/>
      <c r="V9490" s="18"/>
      <c r="W9490" s="18" t="s">
        <v>21731</v>
      </c>
      <c r="X9490" s="18" t="s">
        <v>35</v>
      </c>
      <c r="Y9490" s="18" t="s">
        <v>17171</v>
      </c>
      <c r="Z9490" s="18" t="s">
        <v>697</v>
      </c>
      <c r="AA9490" s="21" t="str">
        <f>HYPERLINK("https://www.ncbi.nlm.nih.gov/nuccore/BK013823","NCBI Nucleotide")</f>
        <v>NCBI Nucleotide</v>
      </c>
    </row>
    <row r="9491" spans="1:27" x14ac:dyDescent="0.35">
      <c r="A9491">
        <v>1027206</v>
      </c>
      <c r="B9491">
        <v>8816</v>
      </c>
      <c r="C9491">
        <v>1</v>
      </c>
      <c r="D9491" s="17" t="s">
        <v>17166</v>
      </c>
      <c r="E9491" s="17"/>
      <c r="F9491" s="17" t="s">
        <v>17246</v>
      </c>
      <c r="G9491" s="17"/>
      <c r="H9491" s="17" t="s">
        <v>20919</v>
      </c>
      <c r="I9491" s="17"/>
      <c r="J9491" s="17" t="s">
        <v>21313</v>
      </c>
      <c r="K9491" s="17"/>
      <c r="L9491" s="17" t="s">
        <v>21326</v>
      </c>
      <c r="M9491" s="17"/>
      <c r="N9491" s="17" t="s">
        <v>21577</v>
      </c>
      <c r="O9491" s="17"/>
      <c r="P9491" s="17" t="s">
        <v>43343</v>
      </c>
      <c r="Q9491" s="17"/>
      <c r="R9491" s="25" t="str">
        <f>HYPERLINK("https://ictv.global/taxonomy/taxondetails?taxnode_id=202316395","Lihtdlivirus edaphovicinum")</f>
        <v>Lihtdlivirus edaphovicinum</v>
      </c>
      <c r="S9491" s="18" t="s">
        <v>30</v>
      </c>
      <c r="T9491" s="18" t="s">
        <v>43346</v>
      </c>
      <c r="U9491" s="18"/>
      <c r="V9491" s="18"/>
      <c r="W9491" s="18" t="s">
        <v>43347</v>
      </c>
      <c r="X9491" s="18" t="s">
        <v>35</v>
      </c>
      <c r="Y9491" s="18" t="s">
        <v>17171</v>
      </c>
      <c r="Z9491" s="18" t="s">
        <v>24637</v>
      </c>
      <c r="AA9491" s="21" t="str">
        <f>HYPERLINK("https://www.ncbi.nlm.nih.gov/nuccore/CASDWV010000586","NCBI Nucleotide")</f>
        <v>NCBI Nucleotide</v>
      </c>
    </row>
    <row r="9492" spans="1:27" x14ac:dyDescent="0.35">
      <c r="A9492">
        <v>1027207</v>
      </c>
      <c r="B9492">
        <v>8817</v>
      </c>
      <c r="C9492">
        <v>1</v>
      </c>
      <c r="D9492" s="17" t="s">
        <v>17166</v>
      </c>
      <c r="E9492" s="17"/>
      <c r="F9492" s="17" t="s">
        <v>17246</v>
      </c>
      <c r="G9492" s="17"/>
      <c r="H9492" s="17" t="s">
        <v>20919</v>
      </c>
      <c r="I9492" s="17"/>
      <c r="J9492" s="17" t="s">
        <v>21313</v>
      </c>
      <c r="K9492" s="17"/>
      <c r="L9492" s="17" t="s">
        <v>21326</v>
      </c>
      <c r="M9492" s="17"/>
      <c r="N9492" s="17" t="s">
        <v>21577</v>
      </c>
      <c r="O9492" s="17"/>
      <c r="P9492" s="17" t="s">
        <v>43343</v>
      </c>
      <c r="Q9492" s="17"/>
      <c r="R9492" s="25" t="str">
        <f>HYPERLINK("https://ictv.global/taxonomy/taxondetails?taxnode_id=202316396","Lihtdlivirus geovicinum")</f>
        <v>Lihtdlivirus geovicinum</v>
      </c>
      <c r="S9492" s="18" t="s">
        <v>30</v>
      </c>
      <c r="T9492" s="18" t="s">
        <v>43348</v>
      </c>
      <c r="U9492" s="18"/>
      <c r="V9492" s="18"/>
      <c r="W9492" s="18" t="s">
        <v>43349</v>
      </c>
      <c r="X9492" s="18" t="s">
        <v>35</v>
      </c>
      <c r="Y9492" s="18" t="s">
        <v>17171</v>
      </c>
      <c r="Z9492" s="18" t="s">
        <v>24637</v>
      </c>
      <c r="AA9492" s="21" t="str">
        <f>HYPERLINK("https://www.ncbi.nlm.nih.gov/nuccore/CASDWV010004460","NCBI Nucleotide")</f>
        <v>NCBI Nucleotide</v>
      </c>
    </row>
    <row r="9493" spans="1:27" x14ac:dyDescent="0.35">
      <c r="A9493">
        <v>1027185</v>
      </c>
      <c r="B9493">
        <v>8818</v>
      </c>
      <c r="C9493">
        <v>1</v>
      </c>
      <c r="D9493" s="17" t="s">
        <v>17166</v>
      </c>
      <c r="E9493" s="17"/>
      <c r="F9493" s="17" t="s">
        <v>17246</v>
      </c>
      <c r="G9493" s="17"/>
      <c r="H9493" s="17" t="s">
        <v>20919</v>
      </c>
      <c r="I9493" s="17"/>
      <c r="J9493" s="17" t="s">
        <v>21313</v>
      </c>
      <c r="K9493" s="17"/>
      <c r="L9493" s="17" t="s">
        <v>21326</v>
      </c>
      <c r="M9493" s="17"/>
      <c r="N9493" s="17" t="s">
        <v>21577</v>
      </c>
      <c r="O9493" s="17"/>
      <c r="P9493" s="17" t="s">
        <v>43350</v>
      </c>
      <c r="Q9493" s="17"/>
      <c r="R9493" s="25" t="str">
        <f>HYPERLINK("https://ictv.global/taxonomy/taxondetails?taxnode_id=202316397","Litdlevirus arvicola")</f>
        <v>Litdlevirus arvicola</v>
      </c>
      <c r="S9493" s="18" t="s">
        <v>30</v>
      </c>
      <c r="T9493" s="18" t="s">
        <v>43351</v>
      </c>
      <c r="U9493" s="18"/>
      <c r="V9493" s="18"/>
      <c r="W9493" s="18" t="s">
        <v>43352</v>
      </c>
      <c r="X9493" s="18" t="s">
        <v>35</v>
      </c>
      <c r="Y9493" s="18" t="s">
        <v>17171</v>
      </c>
      <c r="Z9493" s="18" t="s">
        <v>24637</v>
      </c>
      <c r="AA9493" s="21" t="str">
        <f>HYPERLINK("https://www.ncbi.nlm.nih.gov/nuccore/CASDWV010000573","NCBI Nucleotide")</f>
        <v>NCBI Nucleotide</v>
      </c>
    </row>
    <row r="9494" spans="1:27" x14ac:dyDescent="0.35">
      <c r="A9494">
        <v>1027186</v>
      </c>
      <c r="B9494">
        <v>8819</v>
      </c>
      <c r="C9494">
        <v>1</v>
      </c>
      <c r="D9494" s="17" t="s">
        <v>17166</v>
      </c>
      <c r="E9494" s="17"/>
      <c r="F9494" s="17" t="s">
        <v>17246</v>
      </c>
      <c r="G9494" s="17"/>
      <c r="H9494" s="17" t="s">
        <v>20919</v>
      </c>
      <c r="I9494" s="17"/>
      <c r="J9494" s="17" t="s">
        <v>21313</v>
      </c>
      <c r="K9494" s="17"/>
      <c r="L9494" s="17" t="s">
        <v>21326</v>
      </c>
      <c r="M9494" s="17"/>
      <c r="N9494" s="17" t="s">
        <v>21577</v>
      </c>
      <c r="O9494" s="17"/>
      <c r="P9494" s="17" t="s">
        <v>43350</v>
      </c>
      <c r="Q9494" s="17"/>
      <c r="R9494" s="25" t="str">
        <f>HYPERLINK("https://ictv.global/taxonomy/taxondetails?taxnode_id=202316398","Litdlevirus humivivens")</f>
        <v>Litdlevirus humivivens</v>
      </c>
      <c r="S9494" s="18" t="s">
        <v>30</v>
      </c>
      <c r="T9494" s="18" t="s">
        <v>43353</v>
      </c>
      <c r="U9494" s="18"/>
      <c r="V9494" s="18"/>
      <c r="W9494" s="18" t="s">
        <v>43354</v>
      </c>
      <c r="X9494" s="18" t="s">
        <v>35</v>
      </c>
      <c r="Y9494" s="18" t="s">
        <v>17171</v>
      </c>
      <c r="Z9494" s="18" t="s">
        <v>24637</v>
      </c>
      <c r="AA9494" s="21" t="str">
        <f>HYPERLINK("https://www.ncbi.nlm.nih.gov/nuccore/CASDWV010004629","NCBI Nucleotide")</f>
        <v>NCBI Nucleotide</v>
      </c>
    </row>
    <row r="9495" spans="1:27" x14ac:dyDescent="0.35">
      <c r="A9495">
        <v>1027190</v>
      </c>
      <c r="B9495">
        <v>8820</v>
      </c>
      <c r="C9495">
        <v>1</v>
      </c>
      <c r="D9495" s="17" t="s">
        <v>17166</v>
      </c>
      <c r="E9495" s="17"/>
      <c r="F9495" s="17" t="s">
        <v>17246</v>
      </c>
      <c r="G9495" s="17"/>
      <c r="H9495" s="17" t="s">
        <v>20919</v>
      </c>
      <c r="I9495" s="17"/>
      <c r="J9495" s="17" t="s">
        <v>21313</v>
      </c>
      <c r="K9495" s="17"/>
      <c r="L9495" s="17" t="s">
        <v>21326</v>
      </c>
      <c r="M9495" s="17"/>
      <c r="N9495" s="17" t="s">
        <v>21577</v>
      </c>
      <c r="O9495" s="17"/>
      <c r="P9495" s="17" t="s">
        <v>43355</v>
      </c>
      <c r="Q9495" s="17"/>
      <c r="R9495" s="25" t="str">
        <f>HYPERLINK("https://ictv.global/taxonomy/taxondetails?taxnode_id=202316399","Loamavirus messadaptatum")</f>
        <v>Loamavirus messadaptatum</v>
      </c>
      <c r="S9495" s="18" t="s">
        <v>30</v>
      </c>
      <c r="T9495" s="18" t="s">
        <v>43356</v>
      </c>
      <c r="U9495" s="18"/>
      <c r="V9495" s="18"/>
      <c r="W9495" s="18" t="s">
        <v>43357</v>
      </c>
      <c r="X9495" s="18" t="s">
        <v>35</v>
      </c>
      <c r="Y9495" s="18" t="s">
        <v>17171</v>
      </c>
      <c r="Z9495" s="18" t="s">
        <v>24637</v>
      </c>
      <c r="AA9495" s="21" t="str">
        <f>HYPERLINK("https://www.ncbi.nlm.nih.gov/nuccore/CASDWV010001159","NCBI Nucleotide")</f>
        <v>NCBI Nucleotide</v>
      </c>
    </row>
    <row r="9496" spans="1:27" x14ac:dyDescent="0.35">
      <c r="A9496">
        <v>1009622</v>
      </c>
      <c r="B9496">
        <v>8821</v>
      </c>
      <c r="C9496">
        <v>1</v>
      </c>
      <c r="D9496" s="17" t="s">
        <v>17166</v>
      </c>
      <c r="E9496" s="17"/>
      <c r="F9496" s="17" t="s">
        <v>17246</v>
      </c>
      <c r="G9496" s="17"/>
      <c r="H9496" s="17" t="s">
        <v>20919</v>
      </c>
      <c r="I9496" s="17"/>
      <c r="J9496" s="17" t="s">
        <v>21313</v>
      </c>
      <c r="K9496" s="17"/>
      <c r="L9496" s="17" t="s">
        <v>21326</v>
      </c>
      <c r="M9496" s="17"/>
      <c r="N9496" s="17" t="s">
        <v>21577</v>
      </c>
      <c r="O9496" s="17"/>
      <c r="P9496" s="17" t="s">
        <v>43358</v>
      </c>
      <c r="Q9496" s="17"/>
      <c r="R9496" s="25" t="str">
        <f>HYPERLINK("https://ictv.global/taxonomy/taxondetails?taxnode_id=202310491","Loghdhuvirus borborovicinum")</f>
        <v>Loghdhuvirus borborovicinum</v>
      </c>
      <c r="S9496" s="18" t="s">
        <v>30</v>
      </c>
      <c r="T9496" s="18" t="s">
        <v>22001</v>
      </c>
      <c r="U9496" s="18"/>
      <c r="V9496" s="18"/>
      <c r="W9496" s="18" t="s">
        <v>22002</v>
      </c>
      <c r="X9496" s="18" t="s">
        <v>35</v>
      </c>
      <c r="Y9496" s="18" t="s">
        <v>17171</v>
      </c>
      <c r="Z9496" s="18" t="s">
        <v>697</v>
      </c>
      <c r="AA9496" s="21" t="str">
        <f>HYPERLINK("https://www.ncbi.nlm.nih.gov/nuccore/BK013593","NCBI Nucleotide")</f>
        <v>NCBI Nucleotide</v>
      </c>
    </row>
    <row r="9497" spans="1:27" x14ac:dyDescent="0.35">
      <c r="A9497">
        <v>1009584</v>
      </c>
      <c r="B9497">
        <v>8822</v>
      </c>
      <c r="C9497">
        <v>1</v>
      </c>
      <c r="D9497" s="17" t="s">
        <v>17166</v>
      </c>
      <c r="E9497" s="17"/>
      <c r="F9497" s="17" t="s">
        <v>17246</v>
      </c>
      <c r="G9497" s="17"/>
      <c r="H9497" s="17" t="s">
        <v>20919</v>
      </c>
      <c r="I9497" s="17"/>
      <c r="J9497" s="17" t="s">
        <v>21313</v>
      </c>
      <c r="K9497" s="17"/>
      <c r="L9497" s="17" t="s">
        <v>21326</v>
      </c>
      <c r="M9497" s="17"/>
      <c r="N9497" s="17" t="s">
        <v>21577</v>
      </c>
      <c r="O9497" s="17"/>
      <c r="P9497" s="17" t="s">
        <v>21912</v>
      </c>
      <c r="Q9497" s="17"/>
      <c r="R9497" s="25" t="str">
        <f>HYPERLINK("https://ictv.global/taxonomy/taxondetails?taxnode_id=202310435","Lohmavirus borborovivens")</f>
        <v>Lohmavirus borborovivens</v>
      </c>
      <c r="S9497" s="18" t="s">
        <v>30</v>
      </c>
      <c r="T9497" s="18" t="s">
        <v>21913</v>
      </c>
      <c r="U9497" s="18"/>
      <c r="V9497" s="18"/>
      <c r="W9497" s="18" t="s">
        <v>21914</v>
      </c>
      <c r="X9497" s="18" t="s">
        <v>35</v>
      </c>
      <c r="Y9497" s="18" t="s">
        <v>17171</v>
      </c>
      <c r="Z9497" s="18" t="s">
        <v>697</v>
      </c>
      <c r="AA9497" s="21" t="str">
        <f>HYPERLINK("https://www.ncbi.nlm.nih.gov/nuccore/BK014101","NCBI Nucleotide")</f>
        <v>NCBI Nucleotide</v>
      </c>
    </row>
    <row r="9498" spans="1:27" x14ac:dyDescent="0.35">
      <c r="A9498">
        <v>1027271</v>
      </c>
      <c r="B9498">
        <v>8823</v>
      </c>
      <c r="C9498">
        <v>1</v>
      </c>
      <c r="D9498" s="17" t="s">
        <v>17166</v>
      </c>
      <c r="E9498" s="17"/>
      <c r="F9498" s="17" t="s">
        <v>17246</v>
      </c>
      <c r="G9498" s="17"/>
      <c r="H9498" s="17" t="s">
        <v>20919</v>
      </c>
      <c r="I9498" s="17"/>
      <c r="J9498" s="17" t="s">
        <v>21313</v>
      </c>
      <c r="K9498" s="17"/>
      <c r="L9498" s="17" t="s">
        <v>21326</v>
      </c>
      <c r="M9498" s="17"/>
      <c r="N9498" s="17" t="s">
        <v>21577</v>
      </c>
      <c r="O9498" s="17"/>
      <c r="P9498" s="17" t="s">
        <v>43359</v>
      </c>
      <c r="Q9498" s="17"/>
      <c r="R9498" s="25" t="str">
        <f>HYPERLINK("https://ictv.global/taxonomy/taxondetails?taxnode_id=202316400","Lohngkovirus allodinebrihabitans")</f>
        <v>Lohngkovirus allodinebrihabitans</v>
      </c>
      <c r="S9498" s="18" t="s">
        <v>30</v>
      </c>
      <c r="T9498" s="18" t="s">
        <v>43360</v>
      </c>
      <c r="U9498" s="18"/>
      <c r="V9498" s="18" t="s">
        <v>43361</v>
      </c>
      <c r="W9498" s="18" t="s">
        <v>43362</v>
      </c>
      <c r="X9498" s="18" t="s">
        <v>35</v>
      </c>
      <c r="Y9498" s="18" t="s">
        <v>17171</v>
      </c>
      <c r="Z9498" s="18" t="s">
        <v>17336</v>
      </c>
      <c r="AA9498" s="21" t="str">
        <f>HYPERLINK("https://www.ncbi.nlm.nih.gov/nuccore/OM514501","NCBI Nucleotide")</f>
        <v>NCBI Nucleotide</v>
      </c>
    </row>
    <row r="9499" spans="1:27" x14ac:dyDescent="0.35">
      <c r="A9499">
        <v>1009480</v>
      </c>
      <c r="B9499">
        <v>8824</v>
      </c>
      <c r="C9499">
        <v>1</v>
      </c>
      <c r="D9499" s="17" t="s">
        <v>17166</v>
      </c>
      <c r="E9499" s="17"/>
      <c r="F9499" s="17" t="s">
        <v>17246</v>
      </c>
      <c r="G9499" s="17"/>
      <c r="H9499" s="17" t="s">
        <v>20919</v>
      </c>
      <c r="I9499" s="17"/>
      <c r="J9499" s="17" t="s">
        <v>21313</v>
      </c>
      <c r="K9499" s="17"/>
      <c r="L9499" s="17" t="s">
        <v>21326</v>
      </c>
      <c r="M9499" s="17"/>
      <c r="N9499" s="17" t="s">
        <v>21577</v>
      </c>
      <c r="O9499" s="17"/>
      <c r="P9499" s="17" t="s">
        <v>43359</v>
      </c>
      <c r="Q9499" s="17"/>
      <c r="R9499" s="25" t="str">
        <f>HYPERLINK("https://ictv.global/taxonomy/taxondetails?taxnode_id=202310271","Lohngkovirus borborovicinum")</f>
        <v>Lohngkovirus borborovicinum</v>
      </c>
      <c r="S9499" s="18" t="s">
        <v>30</v>
      </c>
      <c r="T9499" s="18" t="s">
        <v>21650</v>
      </c>
      <c r="U9499" s="18"/>
      <c r="V9499" s="18"/>
      <c r="W9499" s="18" t="s">
        <v>21651</v>
      </c>
      <c r="X9499" s="18" t="s">
        <v>35</v>
      </c>
      <c r="Y9499" s="18" t="s">
        <v>17171</v>
      </c>
      <c r="Z9499" s="18" t="s">
        <v>697</v>
      </c>
      <c r="AA9499" s="21" t="str">
        <f>HYPERLINK("https://www.ncbi.nlm.nih.gov/nuccore/BK013667","NCBI Nucleotide")</f>
        <v>NCBI Nucleotide</v>
      </c>
    </row>
    <row r="9500" spans="1:27" x14ac:dyDescent="0.35">
      <c r="A9500">
        <v>1009481</v>
      </c>
      <c r="B9500">
        <v>8825</v>
      </c>
      <c r="C9500">
        <v>1</v>
      </c>
      <c r="D9500" s="17" t="s">
        <v>17166</v>
      </c>
      <c r="E9500" s="17"/>
      <c r="F9500" s="17" t="s">
        <v>17246</v>
      </c>
      <c r="G9500" s="17"/>
      <c r="H9500" s="17" t="s">
        <v>20919</v>
      </c>
      <c r="I9500" s="17"/>
      <c r="J9500" s="17" t="s">
        <v>21313</v>
      </c>
      <c r="K9500" s="17"/>
      <c r="L9500" s="17" t="s">
        <v>21326</v>
      </c>
      <c r="M9500" s="17"/>
      <c r="N9500" s="17" t="s">
        <v>21577</v>
      </c>
      <c r="O9500" s="17"/>
      <c r="P9500" s="17" t="s">
        <v>43359</v>
      </c>
      <c r="Q9500" s="17"/>
      <c r="R9500" s="25" t="str">
        <f>HYPERLINK("https://ictv.global/taxonomy/taxondetails?taxnode_id=202310272","Lohngkovirus borborovivens")</f>
        <v>Lohngkovirus borborovivens</v>
      </c>
      <c r="S9500" s="18" t="s">
        <v>30</v>
      </c>
      <c r="T9500" s="18" t="s">
        <v>21652</v>
      </c>
      <c r="U9500" s="18"/>
      <c r="V9500" s="18"/>
      <c r="W9500" s="18" t="s">
        <v>21653</v>
      </c>
      <c r="X9500" s="18" t="s">
        <v>35</v>
      </c>
      <c r="Y9500" s="18" t="s">
        <v>17171</v>
      </c>
      <c r="Z9500" s="18" t="s">
        <v>697</v>
      </c>
      <c r="AA9500" s="21" t="str">
        <f>HYPERLINK("https://www.ncbi.nlm.nih.gov/nuccore/BK013597","NCBI Nucleotide")</f>
        <v>NCBI Nucleotide</v>
      </c>
    </row>
    <row r="9501" spans="1:27" x14ac:dyDescent="0.35">
      <c r="A9501">
        <v>1009482</v>
      </c>
      <c r="B9501">
        <v>8826</v>
      </c>
      <c r="C9501">
        <v>1</v>
      </c>
      <c r="D9501" s="17" t="s">
        <v>17166</v>
      </c>
      <c r="E9501" s="17"/>
      <c r="F9501" s="17" t="s">
        <v>17246</v>
      </c>
      <c r="G9501" s="17"/>
      <c r="H9501" s="17" t="s">
        <v>20919</v>
      </c>
      <c r="I9501" s="17"/>
      <c r="J9501" s="17" t="s">
        <v>21313</v>
      </c>
      <c r="K9501" s="17"/>
      <c r="L9501" s="17" t="s">
        <v>21326</v>
      </c>
      <c r="M9501" s="17"/>
      <c r="N9501" s="17" t="s">
        <v>21577</v>
      </c>
      <c r="O9501" s="17"/>
      <c r="P9501" s="17" t="s">
        <v>43359</v>
      </c>
      <c r="Q9501" s="17"/>
      <c r="R9501" s="25" t="str">
        <f>HYPERLINK("https://ictv.global/taxonomy/taxondetails?taxnode_id=202310273","Lohngkovirus caenadaptatum")</f>
        <v>Lohngkovirus caenadaptatum</v>
      </c>
      <c r="S9501" s="18" t="s">
        <v>30</v>
      </c>
      <c r="T9501" s="18" t="s">
        <v>21654</v>
      </c>
      <c r="U9501" s="18"/>
      <c r="V9501" s="18"/>
      <c r="W9501" s="18" t="s">
        <v>21655</v>
      </c>
      <c r="X9501" s="18" t="s">
        <v>35</v>
      </c>
      <c r="Y9501" s="18" t="s">
        <v>17171</v>
      </c>
      <c r="Z9501" s="18" t="s">
        <v>697</v>
      </c>
      <c r="AA9501" s="21" t="str">
        <f>HYPERLINK("https://www.ncbi.nlm.nih.gov/nuccore/BK014062","NCBI Nucleotide")</f>
        <v>NCBI Nucleotide</v>
      </c>
    </row>
    <row r="9502" spans="1:27" x14ac:dyDescent="0.35">
      <c r="A9502">
        <v>1009483</v>
      </c>
      <c r="B9502">
        <v>8827</v>
      </c>
      <c r="C9502">
        <v>1</v>
      </c>
      <c r="D9502" s="17" t="s">
        <v>17166</v>
      </c>
      <c r="E9502" s="17"/>
      <c r="F9502" s="17" t="s">
        <v>17246</v>
      </c>
      <c r="G9502" s="17"/>
      <c r="H9502" s="17" t="s">
        <v>20919</v>
      </c>
      <c r="I9502" s="17"/>
      <c r="J9502" s="17" t="s">
        <v>21313</v>
      </c>
      <c r="K9502" s="17"/>
      <c r="L9502" s="17" t="s">
        <v>21326</v>
      </c>
      <c r="M9502" s="17"/>
      <c r="N9502" s="17" t="s">
        <v>21577</v>
      </c>
      <c r="O9502" s="17"/>
      <c r="P9502" s="17" t="s">
        <v>43359</v>
      </c>
      <c r="Q9502" s="17"/>
      <c r="R9502" s="25" t="str">
        <f>HYPERLINK("https://ictv.global/taxonomy/taxondetails?taxnode_id=202310274","Lohngkovirus caenenecus")</f>
        <v>Lohngkovirus caenenecus</v>
      </c>
      <c r="S9502" s="18" t="s">
        <v>30</v>
      </c>
      <c r="T9502" s="18" t="s">
        <v>21656</v>
      </c>
      <c r="U9502" s="18"/>
      <c r="V9502" s="18"/>
      <c r="W9502" s="18" t="s">
        <v>21657</v>
      </c>
      <c r="X9502" s="18" t="s">
        <v>35</v>
      </c>
      <c r="Y9502" s="18" t="s">
        <v>17171</v>
      </c>
      <c r="Z9502" s="18" t="s">
        <v>697</v>
      </c>
      <c r="AA9502" s="21" t="str">
        <f>HYPERLINK("https://www.ncbi.nlm.nih.gov/nuccore/BK014069","NCBI Nucleotide")</f>
        <v>NCBI Nucleotide</v>
      </c>
    </row>
    <row r="9503" spans="1:27" x14ac:dyDescent="0.35">
      <c r="A9503">
        <v>1009484</v>
      </c>
      <c r="B9503">
        <v>8828</v>
      </c>
      <c r="C9503">
        <v>1</v>
      </c>
      <c r="D9503" s="17" t="s">
        <v>17166</v>
      </c>
      <c r="E9503" s="17"/>
      <c r="F9503" s="17" t="s">
        <v>17246</v>
      </c>
      <c r="G9503" s="17"/>
      <c r="H9503" s="17" t="s">
        <v>20919</v>
      </c>
      <c r="I9503" s="17"/>
      <c r="J9503" s="17" t="s">
        <v>21313</v>
      </c>
      <c r="K9503" s="17"/>
      <c r="L9503" s="17" t="s">
        <v>21326</v>
      </c>
      <c r="M9503" s="17"/>
      <c r="N9503" s="17" t="s">
        <v>21577</v>
      </c>
      <c r="O9503" s="17"/>
      <c r="P9503" s="17" t="s">
        <v>43359</v>
      </c>
      <c r="Q9503" s="17"/>
      <c r="R9503" s="25" t="str">
        <f>HYPERLINK("https://ictv.global/taxonomy/taxondetails?taxnode_id=202310275","Lohngkovirus caenicola")</f>
        <v>Lohngkovirus caenicola</v>
      </c>
      <c r="S9503" s="18" t="s">
        <v>30</v>
      </c>
      <c r="T9503" s="18" t="s">
        <v>21658</v>
      </c>
      <c r="U9503" s="18"/>
      <c r="V9503" s="18"/>
      <c r="W9503" s="18" t="s">
        <v>21659</v>
      </c>
      <c r="X9503" s="18" t="s">
        <v>35</v>
      </c>
      <c r="Y9503" s="18" t="s">
        <v>17171</v>
      </c>
      <c r="Z9503" s="18" t="s">
        <v>697</v>
      </c>
      <c r="AA9503" s="21" t="str">
        <f>HYPERLINK("https://www.ncbi.nlm.nih.gov/nuccore/BK013714","NCBI Nucleotide")</f>
        <v>NCBI Nucleotide</v>
      </c>
    </row>
    <row r="9504" spans="1:27" x14ac:dyDescent="0.35">
      <c r="A9504">
        <v>1027272</v>
      </c>
      <c r="B9504">
        <v>8829</v>
      </c>
      <c r="C9504">
        <v>1</v>
      </c>
      <c r="D9504" s="17" t="s">
        <v>17166</v>
      </c>
      <c r="E9504" s="17"/>
      <c r="F9504" s="17" t="s">
        <v>17246</v>
      </c>
      <c r="G9504" s="17"/>
      <c r="H9504" s="17" t="s">
        <v>20919</v>
      </c>
      <c r="I9504" s="17"/>
      <c r="J9504" s="17" t="s">
        <v>21313</v>
      </c>
      <c r="K9504" s="17"/>
      <c r="L9504" s="17" t="s">
        <v>21326</v>
      </c>
      <c r="M9504" s="17"/>
      <c r="N9504" s="17" t="s">
        <v>21577</v>
      </c>
      <c r="O9504" s="17"/>
      <c r="P9504" s="17" t="s">
        <v>43359</v>
      </c>
      <c r="Q9504" s="17"/>
      <c r="R9504" s="25" t="str">
        <f>HYPERLINK("https://ictv.global/taxonomy/taxondetails?taxnode_id=202316401","Lohngkovirus chthonocola")</f>
        <v>Lohngkovirus chthonocola</v>
      </c>
      <c r="S9504" s="18" t="s">
        <v>30</v>
      </c>
      <c r="T9504" s="18" t="s">
        <v>43363</v>
      </c>
      <c r="U9504" s="18"/>
      <c r="V9504" s="18"/>
      <c r="W9504" s="18" t="s">
        <v>43364</v>
      </c>
      <c r="X9504" s="18" t="s">
        <v>35</v>
      </c>
      <c r="Y9504" s="18" t="s">
        <v>17171</v>
      </c>
      <c r="Z9504" s="18" t="s">
        <v>24637</v>
      </c>
      <c r="AA9504" s="21" t="str">
        <f>HYPERLINK("https://www.ncbi.nlm.nih.gov/nuccore/CASDWV010003149","NCBI Nucleotide")</f>
        <v>NCBI Nucleotide</v>
      </c>
    </row>
    <row r="9505" spans="1:27" x14ac:dyDescent="0.35">
      <c r="A9505">
        <v>1009485</v>
      </c>
      <c r="B9505">
        <v>8830</v>
      </c>
      <c r="C9505">
        <v>1</v>
      </c>
      <c r="D9505" s="17" t="s">
        <v>17166</v>
      </c>
      <c r="E9505" s="17"/>
      <c r="F9505" s="17" t="s">
        <v>17246</v>
      </c>
      <c r="G9505" s="17"/>
      <c r="H9505" s="17" t="s">
        <v>20919</v>
      </c>
      <c r="I9505" s="17"/>
      <c r="J9505" s="17" t="s">
        <v>21313</v>
      </c>
      <c r="K9505" s="17"/>
      <c r="L9505" s="17" t="s">
        <v>21326</v>
      </c>
      <c r="M9505" s="17"/>
      <c r="N9505" s="17" t="s">
        <v>21577</v>
      </c>
      <c r="O9505" s="17"/>
      <c r="P9505" s="17" t="s">
        <v>43359</v>
      </c>
      <c r="Q9505" s="17"/>
      <c r="R9505" s="25" t="str">
        <f>HYPERLINK("https://ictv.global/taxonomy/taxondetails?taxnode_id=202310269","Lohngkovirus defluviicola")</f>
        <v>Lohngkovirus defluviicola</v>
      </c>
      <c r="S9505" s="18" t="s">
        <v>30</v>
      </c>
      <c r="T9505" s="18" t="s">
        <v>21660</v>
      </c>
      <c r="U9505" s="18"/>
      <c r="V9505" s="18"/>
      <c r="W9505" s="18" t="s">
        <v>21661</v>
      </c>
      <c r="X9505" s="18" t="s">
        <v>35</v>
      </c>
      <c r="Y9505" s="18" t="s">
        <v>17171</v>
      </c>
      <c r="Z9505" s="18" t="s">
        <v>697</v>
      </c>
      <c r="AA9505" s="21" t="str">
        <f>HYPERLINK("https://www.ncbi.nlm.nih.gov/nuccore/BK013377","NCBI Nucleotide")</f>
        <v>NCBI Nucleotide</v>
      </c>
    </row>
    <row r="9506" spans="1:27" x14ac:dyDescent="0.35">
      <c r="A9506">
        <v>1027273</v>
      </c>
      <c r="B9506">
        <v>8831</v>
      </c>
      <c r="C9506">
        <v>1</v>
      </c>
      <c r="D9506" s="17" t="s">
        <v>17166</v>
      </c>
      <c r="E9506" s="17"/>
      <c r="F9506" s="17" t="s">
        <v>17246</v>
      </c>
      <c r="G9506" s="17"/>
      <c r="H9506" s="17" t="s">
        <v>20919</v>
      </c>
      <c r="I9506" s="17"/>
      <c r="J9506" s="17" t="s">
        <v>21313</v>
      </c>
      <c r="K9506" s="17"/>
      <c r="L9506" s="17" t="s">
        <v>21326</v>
      </c>
      <c r="M9506" s="17"/>
      <c r="N9506" s="17" t="s">
        <v>21577</v>
      </c>
      <c r="O9506" s="17"/>
      <c r="P9506" s="17" t="s">
        <v>43359</v>
      </c>
      <c r="Q9506" s="17"/>
      <c r="R9506" s="25" t="str">
        <f>HYPERLINK("https://ictv.global/taxonomy/taxondetails?taxnode_id=202316402","Lohngkovirus dinebrihabitans")</f>
        <v>Lohngkovirus dinebrihabitans</v>
      </c>
      <c r="S9506" s="18" t="s">
        <v>30</v>
      </c>
      <c r="T9506" s="18" t="s">
        <v>43365</v>
      </c>
      <c r="U9506" s="18"/>
      <c r="V9506" s="18" t="s">
        <v>43366</v>
      </c>
      <c r="W9506" s="18" t="s">
        <v>43367</v>
      </c>
      <c r="X9506" s="18" t="s">
        <v>35</v>
      </c>
      <c r="Y9506" s="18" t="s">
        <v>17171</v>
      </c>
      <c r="Z9506" s="18" t="s">
        <v>17336</v>
      </c>
      <c r="AA9506" s="21" t="str">
        <f>HYPERLINK("https://www.ncbi.nlm.nih.gov/nuccore/OM514521","NCBI Nucleotide")</f>
        <v>NCBI Nucleotide</v>
      </c>
    </row>
    <row r="9507" spans="1:27" x14ac:dyDescent="0.35">
      <c r="A9507">
        <v>1027274</v>
      </c>
      <c r="B9507">
        <v>8832</v>
      </c>
      <c r="C9507">
        <v>1</v>
      </c>
      <c r="D9507" s="17" t="s">
        <v>17166</v>
      </c>
      <c r="E9507" s="17"/>
      <c r="F9507" s="17" t="s">
        <v>17246</v>
      </c>
      <c r="G9507" s="17"/>
      <c r="H9507" s="17" t="s">
        <v>20919</v>
      </c>
      <c r="I9507" s="17"/>
      <c r="J9507" s="17" t="s">
        <v>21313</v>
      </c>
      <c r="K9507" s="17"/>
      <c r="L9507" s="17" t="s">
        <v>21326</v>
      </c>
      <c r="M9507" s="17"/>
      <c r="N9507" s="17" t="s">
        <v>21577</v>
      </c>
      <c r="O9507" s="17"/>
      <c r="P9507" s="17" t="s">
        <v>43359</v>
      </c>
      <c r="Q9507" s="17"/>
      <c r="R9507" s="25" t="str">
        <f>HYPERLINK("https://ictv.global/taxonomy/taxondetails?taxnode_id=202316403","Lohngkovirus dinebrivivens")</f>
        <v>Lohngkovirus dinebrivivens</v>
      </c>
      <c r="S9507" s="18" t="s">
        <v>30</v>
      </c>
      <c r="T9507" s="18" t="s">
        <v>43368</v>
      </c>
      <c r="U9507" s="18"/>
      <c r="V9507" s="18" t="s">
        <v>43369</v>
      </c>
      <c r="W9507" s="18" t="s">
        <v>43370</v>
      </c>
      <c r="X9507" s="18" t="s">
        <v>35</v>
      </c>
      <c r="Y9507" s="18" t="s">
        <v>17171</v>
      </c>
      <c r="Z9507" s="18" t="s">
        <v>17336</v>
      </c>
      <c r="AA9507" s="21" t="str">
        <f>HYPERLINK("https://www.ncbi.nlm.nih.gov/nuccore/OM514519","NCBI Nucleotide")</f>
        <v>NCBI Nucleotide</v>
      </c>
    </row>
    <row r="9508" spans="1:27" x14ac:dyDescent="0.35">
      <c r="A9508">
        <v>1027275</v>
      </c>
      <c r="B9508">
        <v>8833</v>
      </c>
      <c r="C9508">
        <v>1</v>
      </c>
      <c r="D9508" s="17" t="s">
        <v>17166</v>
      </c>
      <c r="E9508" s="17"/>
      <c r="F9508" s="17" t="s">
        <v>17246</v>
      </c>
      <c r="G9508" s="17"/>
      <c r="H9508" s="17" t="s">
        <v>20919</v>
      </c>
      <c r="I9508" s="17"/>
      <c r="J9508" s="17" t="s">
        <v>21313</v>
      </c>
      <c r="K9508" s="17"/>
      <c r="L9508" s="17" t="s">
        <v>21326</v>
      </c>
      <c r="M9508" s="17"/>
      <c r="N9508" s="17" t="s">
        <v>21577</v>
      </c>
      <c r="O9508" s="17"/>
      <c r="P9508" s="17" t="s">
        <v>43359</v>
      </c>
      <c r="Q9508" s="17"/>
      <c r="R9508" s="25" t="str">
        <f>HYPERLINK("https://ictv.global/taxonomy/taxondetails?taxnode_id=202316404","Lohngkovirus faecihabitans")</f>
        <v>Lohngkovirus faecihabitans</v>
      </c>
      <c r="S9508" s="18" t="s">
        <v>30</v>
      </c>
      <c r="T9508" s="18" t="s">
        <v>43371</v>
      </c>
      <c r="U9508" s="18"/>
      <c r="V9508" s="18" t="s">
        <v>43371</v>
      </c>
      <c r="W9508" s="18" t="s">
        <v>43372</v>
      </c>
      <c r="X9508" s="18" t="s">
        <v>35</v>
      </c>
      <c r="Y9508" s="18" t="s">
        <v>17171</v>
      </c>
      <c r="Z9508" s="18" t="s">
        <v>24637</v>
      </c>
      <c r="AA9508" s="21" t="str">
        <f>HYPERLINK("https://www.ncbi.nlm.nih.gov/nuccore/ON162661","NCBI Nucleotide")</f>
        <v>NCBI Nucleotide</v>
      </c>
    </row>
    <row r="9509" spans="1:27" x14ac:dyDescent="0.35">
      <c r="A9509">
        <v>1027276</v>
      </c>
      <c r="B9509">
        <v>8834</v>
      </c>
      <c r="C9509">
        <v>1</v>
      </c>
      <c r="D9509" s="17" t="s">
        <v>17166</v>
      </c>
      <c r="E9509" s="17"/>
      <c r="F9509" s="17" t="s">
        <v>17246</v>
      </c>
      <c r="G9509" s="17"/>
      <c r="H9509" s="17" t="s">
        <v>20919</v>
      </c>
      <c r="I9509" s="17"/>
      <c r="J9509" s="17" t="s">
        <v>21313</v>
      </c>
      <c r="K9509" s="17"/>
      <c r="L9509" s="17" t="s">
        <v>21326</v>
      </c>
      <c r="M9509" s="17"/>
      <c r="N9509" s="17" t="s">
        <v>21577</v>
      </c>
      <c r="O9509" s="17"/>
      <c r="P9509" s="17" t="s">
        <v>43359</v>
      </c>
      <c r="Q9509" s="17"/>
      <c r="R9509" s="25" t="str">
        <f>HYPERLINK("https://ictv.global/taxonomy/taxondetails?taxnode_id=202316405","Lohngkovirus fundivivens")</f>
        <v>Lohngkovirus fundivivens</v>
      </c>
      <c r="S9509" s="18" t="s">
        <v>30</v>
      </c>
      <c r="T9509" s="18" t="s">
        <v>43373</v>
      </c>
      <c r="U9509" s="18"/>
      <c r="V9509" s="18" t="s">
        <v>43373</v>
      </c>
      <c r="W9509" s="18" t="s">
        <v>43374</v>
      </c>
      <c r="X9509" s="18" t="s">
        <v>35</v>
      </c>
      <c r="Y9509" s="18" t="s">
        <v>17171</v>
      </c>
      <c r="Z9509" s="18" t="s">
        <v>24637</v>
      </c>
      <c r="AA9509" s="21" t="str">
        <f>HYPERLINK("https://www.ncbi.nlm.nih.gov/nuccore/ON163065","NCBI Nucleotide")</f>
        <v>NCBI Nucleotide</v>
      </c>
    </row>
    <row r="9510" spans="1:27" x14ac:dyDescent="0.35">
      <c r="A9510">
        <v>1009486</v>
      </c>
      <c r="B9510">
        <v>8835</v>
      </c>
      <c r="C9510">
        <v>1</v>
      </c>
      <c r="D9510" s="17" t="s">
        <v>17166</v>
      </c>
      <c r="E9510" s="17"/>
      <c r="F9510" s="17" t="s">
        <v>17246</v>
      </c>
      <c r="G9510" s="17"/>
      <c r="H9510" s="17" t="s">
        <v>20919</v>
      </c>
      <c r="I9510" s="17"/>
      <c r="J9510" s="17" t="s">
        <v>21313</v>
      </c>
      <c r="K9510" s="17"/>
      <c r="L9510" s="17" t="s">
        <v>21326</v>
      </c>
      <c r="M9510" s="17"/>
      <c r="N9510" s="17" t="s">
        <v>21577</v>
      </c>
      <c r="O9510" s="17"/>
      <c r="P9510" s="17" t="s">
        <v>43359</v>
      </c>
      <c r="Q9510" s="17"/>
      <c r="R9510" s="25" t="str">
        <f>HYPERLINK("https://ictv.global/taxonomy/taxondetails?taxnode_id=202310276","Lohngkovirus humadaptatum")</f>
        <v>Lohngkovirus humadaptatum</v>
      </c>
      <c r="S9510" s="18" t="s">
        <v>30</v>
      </c>
      <c r="T9510" s="18" t="s">
        <v>21662</v>
      </c>
      <c r="U9510" s="18"/>
      <c r="V9510" s="18"/>
      <c r="W9510" s="18" t="s">
        <v>21663</v>
      </c>
      <c r="X9510" s="18" t="s">
        <v>35</v>
      </c>
      <c r="Y9510" s="18" t="s">
        <v>17171</v>
      </c>
      <c r="Z9510" s="18" t="s">
        <v>697</v>
      </c>
      <c r="AA9510" s="21" t="str">
        <f>HYPERLINK("https://www.ncbi.nlm.nih.gov/nuccore/BK013440","NCBI Nucleotide")</f>
        <v>NCBI Nucleotide</v>
      </c>
    </row>
    <row r="9511" spans="1:27" x14ac:dyDescent="0.35">
      <c r="A9511">
        <v>1027277</v>
      </c>
      <c r="B9511">
        <v>8836</v>
      </c>
      <c r="C9511">
        <v>1</v>
      </c>
      <c r="D9511" s="17" t="s">
        <v>17166</v>
      </c>
      <c r="E9511" s="17"/>
      <c r="F9511" s="17" t="s">
        <v>17246</v>
      </c>
      <c r="G9511" s="17"/>
      <c r="H9511" s="17" t="s">
        <v>20919</v>
      </c>
      <c r="I9511" s="17"/>
      <c r="J9511" s="17" t="s">
        <v>21313</v>
      </c>
      <c r="K9511" s="17"/>
      <c r="L9511" s="17" t="s">
        <v>21326</v>
      </c>
      <c r="M9511" s="17"/>
      <c r="N9511" s="17" t="s">
        <v>21577</v>
      </c>
      <c r="O9511" s="17"/>
      <c r="P9511" s="17" t="s">
        <v>43359</v>
      </c>
      <c r="Q9511" s="17"/>
      <c r="R9511" s="25" t="str">
        <f>HYPERLINK("https://ictv.global/taxonomy/taxondetails?taxnode_id=202316406","Lohngkovirus limenecus")</f>
        <v>Lohngkovirus limenecus</v>
      </c>
      <c r="S9511" s="18" t="s">
        <v>30</v>
      </c>
      <c r="T9511" s="18" t="s">
        <v>43375</v>
      </c>
      <c r="U9511" s="18"/>
      <c r="V9511" s="18"/>
      <c r="W9511" s="18" t="s">
        <v>43376</v>
      </c>
      <c r="X9511" s="18" t="s">
        <v>35</v>
      </c>
      <c r="Y9511" s="18" t="s">
        <v>17171</v>
      </c>
      <c r="Z9511" s="18" t="s">
        <v>24637</v>
      </c>
      <c r="AA9511" s="21" t="str">
        <f>HYPERLINK("https://www.ncbi.nlm.nih.gov/nuccore/CASDWV010002307","NCBI Nucleotide")</f>
        <v>NCBI Nucleotide</v>
      </c>
    </row>
    <row r="9512" spans="1:27" x14ac:dyDescent="0.35">
      <c r="A9512">
        <v>1027278</v>
      </c>
      <c r="B9512">
        <v>8837</v>
      </c>
      <c r="C9512">
        <v>1</v>
      </c>
      <c r="D9512" s="17" t="s">
        <v>17166</v>
      </c>
      <c r="E9512" s="17"/>
      <c r="F9512" s="17" t="s">
        <v>17246</v>
      </c>
      <c r="G9512" s="17"/>
      <c r="H9512" s="17" t="s">
        <v>20919</v>
      </c>
      <c r="I9512" s="17"/>
      <c r="J9512" s="17" t="s">
        <v>21313</v>
      </c>
      <c r="K9512" s="17"/>
      <c r="L9512" s="17" t="s">
        <v>21326</v>
      </c>
      <c r="M9512" s="17"/>
      <c r="N9512" s="17" t="s">
        <v>21577</v>
      </c>
      <c r="O9512" s="17"/>
      <c r="P9512" s="17" t="s">
        <v>43359</v>
      </c>
      <c r="Q9512" s="17"/>
      <c r="R9512" s="25" t="str">
        <f>HYPERLINK("https://ictv.global/taxonomy/taxondetails?taxnode_id=202316407","Lohngkovirus lutivicinum")</f>
        <v>Lohngkovirus lutivicinum</v>
      </c>
      <c r="S9512" s="18" t="s">
        <v>30</v>
      </c>
      <c r="T9512" s="18" t="s">
        <v>43377</v>
      </c>
      <c r="U9512" s="18"/>
      <c r="V9512" s="18"/>
      <c r="W9512" s="18" t="s">
        <v>43378</v>
      </c>
      <c r="X9512" s="18" t="s">
        <v>35</v>
      </c>
      <c r="Y9512" s="18" t="s">
        <v>17171</v>
      </c>
      <c r="Z9512" s="18" t="s">
        <v>24637</v>
      </c>
      <c r="AA9512" s="21" t="str">
        <f>HYPERLINK("https://www.ncbi.nlm.nih.gov/nuccore/CASDWV010000211","NCBI Nucleotide")</f>
        <v>NCBI Nucleotide</v>
      </c>
    </row>
    <row r="9513" spans="1:27" x14ac:dyDescent="0.35">
      <c r="A9513">
        <v>1027279</v>
      </c>
      <c r="B9513">
        <v>8838</v>
      </c>
      <c r="C9513">
        <v>1</v>
      </c>
      <c r="D9513" s="17" t="s">
        <v>17166</v>
      </c>
      <c r="E9513" s="17"/>
      <c r="F9513" s="17" t="s">
        <v>17246</v>
      </c>
      <c r="G9513" s="17"/>
      <c r="H9513" s="17" t="s">
        <v>20919</v>
      </c>
      <c r="I9513" s="17"/>
      <c r="J9513" s="17" t="s">
        <v>21313</v>
      </c>
      <c r="K9513" s="17"/>
      <c r="L9513" s="17" t="s">
        <v>21326</v>
      </c>
      <c r="M9513" s="17"/>
      <c r="N9513" s="17" t="s">
        <v>21577</v>
      </c>
      <c r="O9513" s="17"/>
      <c r="P9513" s="17" t="s">
        <v>43359</v>
      </c>
      <c r="Q9513" s="17"/>
      <c r="R9513" s="25" t="str">
        <f>HYPERLINK("https://ictv.global/taxonomy/taxondetails?taxnode_id=202316408","Lohngkovirus lutivivens")</f>
        <v>Lohngkovirus lutivivens</v>
      </c>
      <c r="S9513" s="18" t="s">
        <v>30</v>
      </c>
      <c r="T9513" s="18" t="s">
        <v>43379</v>
      </c>
      <c r="U9513" s="18"/>
      <c r="V9513" s="18"/>
      <c r="W9513" s="18" t="s">
        <v>43380</v>
      </c>
      <c r="X9513" s="18" t="s">
        <v>35</v>
      </c>
      <c r="Y9513" s="18" t="s">
        <v>17171</v>
      </c>
      <c r="Z9513" s="18" t="s">
        <v>24637</v>
      </c>
      <c r="AA9513" s="21" t="str">
        <f>HYPERLINK("https://www.ncbi.nlm.nih.gov/nuccore/CASDWV010004097","NCBI Nucleotide")</f>
        <v>NCBI Nucleotide</v>
      </c>
    </row>
    <row r="9514" spans="1:27" x14ac:dyDescent="0.35">
      <c r="A9514">
        <v>1027280</v>
      </c>
      <c r="B9514">
        <v>8839</v>
      </c>
      <c r="C9514">
        <v>1</v>
      </c>
      <c r="D9514" s="17" t="s">
        <v>17166</v>
      </c>
      <c r="E9514" s="17"/>
      <c r="F9514" s="17" t="s">
        <v>17246</v>
      </c>
      <c r="G9514" s="17"/>
      <c r="H9514" s="17" t="s">
        <v>20919</v>
      </c>
      <c r="I9514" s="17"/>
      <c r="J9514" s="17" t="s">
        <v>21313</v>
      </c>
      <c r="K9514" s="17"/>
      <c r="L9514" s="17" t="s">
        <v>21326</v>
      </c>
      <c r="M9514" s="17"/>
      <c r="N9514" s="17" t="s">
        <v>21577</v>
      </c>
      <c r="O9514" s="17"/>
      <c r="P9514" s="17" t="s">
        <v>43359</v>
      </c>
      <c r="Q9514" s="17"/>
      <c r="R9514" s="25" t="str">
        <f>HYPERLINK("https://ictv.global/taxonomy/taxondetails?taxnode_id=202316409","Lohngkovirus segetenecus")</f>
        <v>Lohngkovirus segetenecus</v>
      </c>
      <c r="S9514" s="18" t="s">
        <v>30</v>
      </c>
      <c r="T9514" s="18" t="s">
        <v>43381</v>
      </c>
      <c r="U9514" s="18"/>
      <c r="V9514" s="18"/>
      <c r="W9514" s="18" t="s">
        <v>43382</v>
      </c>
      <c r="X9514" s="18" t="s">
        <v>35</v>
      </c>
      <c r="Y9514" s="18" t="s">
        <v>17171</v>
      </c>
      <c r="Z9514" s="18" t="s">
        <v>24637</v>
      </c>
      <c r="AA9514" s="21" t="str">
        <f>HYPERLINK("https://www.ncbi.nlm.nih.gov/nuccore/CASDWV010004780","NCBI Nucleotide")</f>
        <v>NCBI Nucleotide</v>
      </c>
    </row>
    <row r="9515" spans="1:27" x14ac:dyDescent="0.35">
      <c r="A9515">
        <v>1027281</v>
      </c>
      <c r="B9515">
        <v>8840</v>
      </c>
      <c r="C9515">
        <v>1</v>
      </c>
      <c r="D9515" s="17" t="s">
        <v>17166</v>
      </c>
      <c r="E9515" s="17"/>
      <c r="F9515" s="17" t="s">
        <v>17246</v>
      </c>
      <c r="G9515" s="17"/>
      <c r="H9515" s="17" t="s">
        <v>20919</v>
      </c>
      <c r="I9515" s="17"/>
      <c r="J9515" s="17" t="s">
        <v>21313</v>
      </c>
      <c r="K9515" s="17"/>
      <c r="L9515" s="17" t="s">
        <v>21326</v>
      </c>
      <c r="M9515" s="17"/>
      <c r="N9515" s="17" t="s">
        <v>21577</v>
      </c>
      <c r="O9515" s="17"/>
      <c r="P9515" s="17" t="s">
        <v>43359</v>
      </c>
      <c r="Q9515" s="17"/>
      <c r="R9515" s="25" t="str">
        <f>HYPERLINK("https://ictv.global/taxonomy/taxondetails?taxnode_id=202316410","Lohngkovirus tellurivicinum")</f>
        <v>Lohngkovirus tellurivicinum</v>
      </c>
      <c r="S9515" s="18" t="s">
        <v>30</v>
      </c>
      <c r="T9515" s="18" t="s">
        <v>43383</v>
      </c>
      <c r="U9515" s="18"/>
      <c r="V9515" s="18"/>
      <c r="W9515" s="18" t="s">
        <v>43384</v>
      </c>
      <c r="X9515" s="18" t="s">
        <v>35</v>
      </c>
      <c r="Y9515" s="18" t="s">
        <v>17171</v>
      </c>
      <c r="Z9515" s="18" t="s">
        <v>24637</v>
      </c>
      <c r="AA9515" s="21" t="str">
        <f>HYPERLINK("https://www.ncbi.nlm.nih.gov/nuccore/CASDWV010002380","NCBI Nucleotide")</f>
        <v>NCBI Nucleotide</v>
      </c>
    </row>
    <row r="9516" spans="1:27" x14ac:dyDescent="0.35">
      <c r="A9516">
        <v>1027282</v>
      </c>
      <c r="B9516">
        <v>8841</v>
      </c>
      <c r="C9516">
        <v>1</v>
      </c>
      <c r="D9516" s="17" t="s">
        <v>17166</v>
      </c>
      <c r="E9516" s="17"/>
      <c r="F9516" s="17" t="s">
        <v>17246</v>
      </c>
      <c r="G9516" s="17"/>
      <c r="H9516" s="17" t="s">
        <v>20919</v>
      </c>
      <c r="I9516" s="17"/>
      <c r="J9516" s="17" t="s">
        <v>21313</v>
      </c>
      <c r="K9516" s="17"/>
      <c r="L9516" s="17" t="s">
        <v>21326</v>
      </c>
      <c r="M9516" s="17"/>
      <c r="N9516" s="17" t="s">
        <v>21577</v>
      </c>
      <c r="O9516" s="17"/>
      <c r="P9516" s="17" t="s">
        <v>43385</v>
      </c>
      <c r="Q9516" s="17"/>
      <c r="R9516" s="25" t="str">
        <f>HYPERLINK("https://ictv.global/taxonomy/taxondetails?taxnode_id=202316411","Lohwevirus arvivicinum")</f>
        <v>Lohwevirus arvivicinum</v>
      </c>
      <c r="S9516" s="18" t="s">
        <v>30</v>
      </c>
      <c r="T9516" s="18" t="s">
        <v>43386</v>
      </c>
      <c r="U9516" s="18"/>
      <c r="V9516" s="18"/>
      <c r="W9516" s="18" t="s">
        <v>43387</v>
      </c>
      <c r="X9516" s="18" t="s">
        <v>35</v>
      </c>
      <c r="Y9516" s="18" t="s">
        <v>17171</v>
      </c>
      <c r="Z9516" s="18" t="s">
        <v>24637</v>
      </c>
      <c r="AA9516" s="21" t="str">
        <f>HYPERLINK("https://www.ncbi.nlm.nih.gov/nuccore/CASDWV010002710","NCBI Nucleotide")</f>
        <v>NCBI Nucleotide</v>
      </c>
    </row>
    <row r="9517" spans="1:27" x14ac:dyDescent="0.35">
      <c r="A9517">
        <v>1027298</v>
      </c>
      <c r="B9517">
        <v>8842</v>
      </c>
      <c r="C9517">
        <v>1</v>
      </c>
      <c r="D9517" s="17" t="s">
        <v>17166</v>
      </c>
      <c r="E9517" s="17"/>
      <c r="F9517" s="17" t="s">
        <v>17246</v>
      </c>
      <c r="G9517" s="17"/>
      <c r="H9517" s="17" t="s">
        <v>20919</v>
      </c>
      <c r="I9517" s="17"/>
      <c r="J9517" s="17" t="s">
        <v>21313</v>
      </c>
      <c r="K9517" s="17"/>
      <c r="L9517" s="17" t="s">
        <v>21326</v>
      </c>
      <c r="M9517" s="17"/>
      <c r="N9517" s="17" t="s">
        <v>21577</v>
      </c>
      <c r="O9517" s="17"/>
      <c r="P9517" s="17" t="s">
        <v>43388</v>
      </c>
      <c r="Q9517" s="17"/>
      <c r="R9517" s="25" t="str">
        <f>HYPERLINK("https://ictv.global/taxonomy/taxondetails?taxnode_id=202316412","Lohwovirus chorohabitans")</f>
        <v>Lohwovirus chorohabitans</v>
      </c>
      <c r="S9517" s="18" t="s">
        <v>30</v>
      </c>
      <c r="T9517" s="18" t="s">
        <v>43389</v>
      </c>
      <c r="U9517" s="18"/>
      <c r="V9517" s="18"/>
      <c r="W9517" s="18" t="s">
        <v>43390</v>
      </c>
      <c r="X9517" s="18" t="s">
        <v>35</v>
      </c>
      <c r="Y9517" s="18" t="s">
        <v>17171</v>
      </c>
      <c r="Z9517" s="18" t="s">
        <v>24637</v>
      </c>
      <c r="AA9517" s="21" t="str">
        <f>HYPERLINK("https://www.ncbi.nlm.nih.gov/nuccore/CASDWV010004769","NCBI Nucleotide")</f>
        <v>NCBI Nucleotide</v>
      </c>
    </row>
    <row r="9518" spans="1:27" x14ac:dyDescent="0.35">
      <c r="A9518">
        <v>1027300</v>
      </c>
      <c r="B9518">
        <v>8843</v>
      </c>
      <c r="C9518">
        <v>1</v>
      </c>
      <c r="D9518" s="17" t="s">
        <v>17166</v>
      </c>
      <c r="E9518" s="17"/>
      <c r="F9518" s="17" t="s">
        <v>17246</v>
      </c>
      <c r="G9518" s="17"/>
      <c r="H9518" s="17" t="s">
        <v>20919</v>
      </c>
      <c r="I9518" s="17"/>
      <c r="J9518" s="17" t="s">
        <v>21313</v>
      </c>
      <c r="K9518" s="17"/>
      <c r="L9518" s="17" t="s">
        <v>21326</v>
      </c>
      <c r="M9518" s="17"/>
      <c r="N9518" s="17" t="s">
        <v>21577</v>
      </c>
      <c r="O9518" s="17"/>
      <c r="P9518" s="17" t="s">
        <v>43391</v>
      </c>
      <c r="Q9518" s="17"/>
      <c r="R9518" s="25" t="str">
        <f>HYPERLINK("https://ictv.global/taxonomy/taxondetails?taxnode_id=202316413","Longmavirus caenihabitans")</f>
        <v>Longmavirus caenihabitans</v>
      </c>
      <c r="S9518" s="18" t="s">
        <v>30</v>
      </c>
      <c r="T9518" s="18" t="s">
        <v>43392</v>
      </c>
      <c r="U9518" s="18"/>
      <c r="V9518" s="18"/>
      <c r="W9518" s="18" t="s">
        <v>43393</v>
      </c>
      <c r="X9518" s="18" t="s">
        <v>35</v>
      </c>
      <c r="Y9518" s="18" t="s">
        <v>17171</v>
      </c>
      <c r="Z9518" s="18" t="s">
        <v>24637</v>
      </c>
      <c r="AA9518" s="21" t="str">
        <f>HYPERLINK("https://www.ncbi.nlm.nih.gov/nuccore/CASDWV010000864","NCBI Nucleotide")</f>
        <v>NCBI Nucleotide</v>
      </c>
    </row>
    <row r="9519" spans="1:27" x14ac:dyDescent="0.35">
      <c r="A9519">
        <v>1027301</v>
      </c>
      <c r="B9519">
        <v>8844</v>
      </c>
      <c r="C9519">
        <v>1</v>
      </c>
      <c r="D9519" s="17" t="s">
        <v>17166</v>
      </c>
      <c r="E9519" s="17"/>
      <c r="F9519" s="17" t="s">
        <v>17246</v>
      </c>
      <c r="G9519" s="17"/>
      <c r="H9519" s="17" t="s">
        <v>20919</v>
      </c>
      <c r="I9519" s="17"/>
      <c r="J9519" s="17" t="s">
        <v>21313</v>
      </c>
      <c r="K9519" s="17"/>
      <c r="L9519" s="17" t="s">
        <v>21326</v>
      </c>
      <c r="M9519" s="17"/>
      <c r="N9519" s="17" t="s">
        <v>21577</v>
      </c>
      <c r="O9519" s="17"/>
      <c r="P9519" s="17" t="s">
        <v>43391</v>
      </c>
      <c r="Q9519" s="17"/>
      <c r="R9519" s="25" t="str">
        <f>HYPERLINK("https://ictv.global/taxonomy/taxondetails?taxnode_id=202316414","Longmavirus cypericola")</f>
        <v>Longmavirus cypericola</v>
      </c>
      <c r="S9519" s="18" t="s">
        <v>30</v>
      </c>
      <c r="T9519" s="18" t="s">
        <v>43394</v>
      </c>
      <c r="U9519" s="18"/>
      <c r="V9519" s="18" t="s">
        <v>43395</v>
      </c>
      <c r="W9519" s="18" t="s">
        <v>43396</v>
      </c>
      <c r="X9519" s="18" t="s">
        <v>35</v>
      </c>
      <c r="Y9519" s="18" t="s">
        <v>17171</v>
      </c>
      <c r="Z9519" s="18" t="s">
        <v>17336</v>
      </c>
      <c r="AA9519" s="21" t="str">
        <f>HYPERLINK("https://www.ncbi.nlm.nih.gov/nuccore/OM514540","NCBI Nucleotide")</f>
        <v>NCBI Nucleotide</v>
      </c>
    </row>
    <row r="9520" spans="1:27" x14ac:dyDescent="0.35">
      <c r="A9520">
        <v>1027302</v>
      </c>
      <c r="B9520">
        <v>8845</v>
      </c>
      <c r="C9520">
        <v>1</v>
      </c>
      <c r="D9520" s="17" t="s">
        <v>17166</v>
      </c>
      <c r="E9520" s="17"/>
      <c r="F9520" s="17" t="s">
        <v>17246</v>
      </c>
      <c r="G9520" s="17"/>
      <c r="H9520" s="17" t="s">
        <v>20919</v>
      </c>
      <c r="I9520" s="17"/>
      <c r="J9520" s="17" t="s">
        <v>21313</v>
      </c>
      <c r="K9520" s="17"/>
      <c r="L9520" s="17" t="s">
        <v>21326</v>
      </c>
      <c r="M9520" s="17"/>
      <c r="N9520" s="17" t="s">
        <v>21577</v>
      </c>
      <c r="O9520" s="17"/>
      <c r="P9520" s="17" t="s">
        <v>43391</v>
      </c>
      <c r="Q9520" s="17"/>
      <c r="R9520" s="25" t="str">
        <f>HYPERLINK("https://ictv.global/taxonomy/taxondetails?taxnode_id=202316415","Longmavirus dinebrenecus")</f>
        <v>Longmavirus dinebrenecus</v>
      </c>
      <c r="S9520" s="18" t="s">
        <v>30</v>
      </c>
      <c r="T9520" s="18" t="s">
        <v>43397</v>
      </c>
      <c r="U9520" s="18"/>
      <c r="V9520" s="18" t="s">
        <v>43398</v>
      </c>
      <c r="W9520" s="18" t="s">
        <v>43399</v>
      </c>
      <c r="X9520" s="18" t="s">
        <v>35</v>
      </c>
      <c r="Y9520" s="18" t="s">
        <v>17171</v>
      </c>
      <c r="Z9520" s="18" t="s">
        <v>17336</v>
      </c>
      <c r="AA9520" s="21" t="str">
        <f>HYPERLINK("https://www.ncbi.nlm.nih.gov/nuccore/OM514525","NCBI Nucleotide")</f>
        <v>NCBI Nucleotide</v>
      </c>
    </row>
    <row r="9521" spans="1:27" x14ac:dyDescent="0.35">
      <c r="A9521">
        <v>1027303</v>
      </c>
      <c r="B9521">
        <v>8846</v>
      </c>
      <c r="C9521">
        <v>1</v>
      </c>
      <c r="D9521" s="17" t="s">
        <v>17166</v>
      </c>
      <c r="E9521" s="17"/>
      <c r="F9521" s="17" t="s">
        <v>17246</v>
      </c>
      <c r="G9521" s="17"/>
      <c r="H9521" s="17" t="s">
        <v>20919</v>
      </c>
      <c r="I9521" s="17"/>
      <c r="J9521" s="17" t="s">
        <v>21313</v>
      </c>
      <c r="K9521" s="17"/>
      <c r="L9521" s="17" t="s">
        <v>21326</v>
      </c>
      <c r="M9521" s="17"/>
      <c r="N9521" s="17" t="s">
        <v>21577</v>
      </c>
      <c r="O9521" s="17"/>
      <c r="P9521" s="17" t="s">
        <v>43391</v>
      </c>
      <c r="Q9521" s="17"/>
      <c r="R9521" s="25" t="str">
        <f>HYPERLINK("https://ictv.global/taxonomy/taxondetails?taxnode_id=202316416","Longmavirus humivicinum")</f>
        <v>Longmavirus humivicinum</v>
      </c>
      <c r="S9521" s="18" t="s">
        <v>30</v>
      </c>
      <c r="T9521" s="18" t="s">
        <v>43400</v>
      </c>
      <c r="U9521" s="18"/>
      <c r="V9521" s="18"/>
      <c r="W9521" s="18" t="s">
        <v>43401</v>
      </c>
      <c r="X9521" s="18" t="s">
        <v>35</v>
      </c>
      <c r="Y9521" s="18" t="s">
        <v>17171</v>
      </c>
      <c r="Z9521" s="18" t="s">
        <v>24637</v>
      </c>
      <c r="AA9521" s="21" t="str">
        <f>HYPERLINK("https://www.ncbi.nlm.nih.gov/nuccore/CASDWV010004712","NCBI Nucleotide")</f>
        <v>NCBI Nucleotide</v>
      </c>
    </row>
    <row r="9522" spans="1:27" x14ac:dyDescent="0.35">
      <c r="A9522">
        <v>1027304</v>
      </c>
      <c r="B9522">
        <v>8847</v>
      </c>
      <c r="C9522">
        <v>1</v>
      </c>
      <c r="D9522" s="17" t="s">
        <v>17166</v>
      </c>
      <c r="E9522" s="17"/>
      <c r="F9522" s="17" t="s">
        <v>17246</v>
      </c>
      <c r="G9522" s="17"/>
      <c r="H9522" s="17" t="s">
        <v>20919</v>
      </c>
      <c r="I9522" s="17"/>
      <c r="J9522" s="17" t="s">
        <v>21313</v>
      </c>
      <c r="K9522" s="17"/>
      <c r="L9522" s="17" t="s">
        <v>21326</v>
      </c>
      <c r="M9522" s="17"/>
      <c r="N9522" s="17" t="s">
        <v>21577</v>
      </c>
      <c r="O9522" s="17"/>
      <c r="P9522" s="17" t="s">
        <v>43391</v>
      </c>
      <c r="Q9522" s="17"/>
      <c r="R9522" s="25" t="str">
        <f>HYPERLINK("https://ictv.global/taxonomy/taxondetails?taxnode_id=202316417","Longmavirus luticola")</f>
        <v>Longmavirus luticola</v>
      </c>
      <c r="S9522" s="18" t="s">
        <v>30</v>
      </c>
      <c r="T9522" s="18" t="s">
        <v>43402</v>
      </c>
      <c r="U9522" s="18"/>
      <c r="V9522" s="18"/>
      <c r="W9522" s="18" t="s">
        <v>43403</v>
      </c>
      <c r="X9522" s="18" t="s">
        <v>35</v>
      </c>
      <c r="Y9522" s="18" t="s">
        <v>17171</v>
      </c>
      <c r="Z9522" s="18" t="s">
        <v>24637</v>
      </c>
      <c r="AA9522" s="21" t="str">
        <f>HYPERLINK("https://www.ncbi.nlm.nih.gov/nuccore/CASDWV010002619","NCBI Nucleotide")</f>
        <v>NCBI Nucleotide</v>
      </c>
    </row>
    <row r="9523" spans="1:27" x14ac:dyDescent="0.35">
      <c r="A9523">
        <v>1027305</v>
      </c>
      <c r="B9523">
        <v>8848</v>
      </c>
      <c r="C9523">
        <v>1</v>
      </c>
      <c r="D9523" s="17" t="s">
        <v>17166</v>
      </c>
      <c r="E9523" s="17"/>
      <c r="F9523" s="17" t="s">
        <v>17246</v>
      </c>
      <c r="G9523" s="17"/>
      <c r="H9523" s="17" t="s">
        <v>20919</v>
      </c>
      <c r="I9523" s="17"/>
      <c r="J9523" s="17" t="s">
        <v>21313</v>
      </c>
      <c r="K9523" s="17"/>
      <c r="L9523" s="17" t="s">
        <v>21326</v>
      </c>
      <c r="M9523" s="17"/>
      <c r="N9523" s="17" t="s">
        <v>21577</v>
      </c>
      <c r="O9523" s="17"/>
      <c r="P9523" s="17" t="s">
        <v>43391</v>
      </c>
      <c r="Q9523" s="17"/>
      <c r="R9523" s="25" t="str">
        <f>HYPERLINK("https://ictv.global/taxonomy/taxondetails?taxnode_id=202316418","Longmavirus messihabitans")</f>
        <v>Longmavirus messihabitans</v>
      </c>
      <c r="S9523" s="18" t="s">
        <v>30</v>
      </c>
      <c r="T9523" s="18" t="s">
        <v>43404</v>
      </c>
      <c r="U9523" s="18"/>
      <c r="V9523" s="18"/>
      <c r="W9523" s="18" t="s">
        <v>43405</v>
      </c>
      <c r="X9523" s="18" t="s">
        <v>35</v>
      </c>
      <c r="Y9523" s="18" t="s">
        <v>17171</v>
      </c>
      <c r="Z9523" s="18" t="s">
        <v>24637</v>
      </c>
      <c r="AA9523" s="21" t="str">
        <f>HYPERLINK("https://www.ncbi.nlm.nih.gov/nuccore/CASDWV010003753","NCBI Nucleotide")</f>
        <v>NCBI Nucleotide</v>
      </c>
    </row>
    <row r="9524" spans="1:27" x14ac:dyDescent="0.35">
      <c r="A9524">
        <v>1027306</v>
      </c>
      <c r="B9524">
        <v>8849</v>
      </c>
      <c r="C9524">
        <v>1</v>
      </c>
      <c r="D9524" s="17" t="s">
        <v>17166</v>
      </c>
      <c r="E9524" s="17"/>
      <c r="F9524" s="17" t="s">
        <v>17246</v>
      </c>
      <c r="G9524" s="17"/>
      <c r="H9524" s="17" t="s">
        <v>20919</v>
      </c>
      <c r="I9524" s="17"/>
      <c r="J9524" s="17" t="s">
        <v>21313</v>
      </c>
      <c r="K9524" s="17"/>
      <c r="L9524" s="17" t="s">
        <v>21326</v>
      </c>
      <c r="M9524" s="17"/>
      <c r="N9524" s="17" t="s">
        <v>21577</v>
      </c>
      <c r="O9524" s="17"/>
      <c r="P9524" s="17" t="s">
        <v>43406</v>
      </c>
      <c r="Q9524" s="17"/>
      <c r="R9524" s="25" t="str">
        <f>HYPERLINK("https://ictv.global/taxonomy/taxondetails?taxnode_id=202316419","Longovirus asiadaptatum")</f>
        <v>Longovirus asiadaptatum</v>
      </c>
      <c r="S9524" s="18" t="s">
        <v>30</v>
      </c>
      <c r="T9524" s="18" t="s">
        <v>43407</v>
      </c>
      <c r="U9524" s="18"/>
      <c r="V9524" s="18"/>
      <c r="W9524" s="18" t="s">
        <v>43408</v>
      </c>
      <c r="X9524" s="18" t="s">
        <v>35</v>
      </c>
      <c r="Y9524" s="18" t="s">
        <v>17171</v>
      </c>
      <c r="Z9524" s="18" t="s">
        <v>24637</v>
      </c>
      <c r="AA9524" s="21" t="str">
        <f>HYPERLINK("https://www.ncbi.nlm.nih.gov/nuccore/CASDWV010002212","NCBI Nucleotide")</f>
        <v>NCBI Nucleotide</v>
      </c>
    </row>
    <row r="9525" spans="1:27" x14ac:dyDescent="0.35">
      <c r="A9525">
        <v>1027307</v>
      </c>
      <c r="B9525">
        <v>8850</v>
      </c>
      <c r="C9525">
        <v>1</v>
      </c>
      <c r="D9525" s="17" t="s">
        <v>17166</v>
      </c>
      <c r="E9525" s="17"/>
      <c r="F9525" s="17" t="s">
        <v>17246</v>
      </c>
      <c r="G9525" s="17"/>
      <c r="H9525" s="17" t="s">
        <v>20919</v>
      </c>
      <c r="I9525" s="17"/>
      <c r="J9525" s="17" t="s">
        <v>21313</v>
      </c>
      <c r="K9525" s="17"/>
      <c r="L9525" s="17" t="s">
        <v>21326</v>
      </c>
      <c r="M9525" s="17"/>
      <c r="N9525" s="17" t="s">
        <v>21577</v>
      </c>
      <c r="O9525" s="17"/>
      <c r="P9525" s="17" t="s">
        <v>43406</v>
      </c>
      <c r="Q9525" s="17"/>
      <c r="R9525" s="25" t="str">
        <f>HYPERLINK("https://ictv.global/taxonomy/taxondetails?taxnode_id=202316420","Longovirus caenihabitans")</f>
        <v>Longovirus caenihabitans</v>
      </c>
      <c r="S9525" s="18" t="s">
        <v>30</v>
      </c>
      <c r="T9525" s="18" t="s">
        <v>43409</v>
      </c>
      <c r="U9525" s="18"/>
      <c r="V9525" s="18"/>
      <c r="W9525" s="18" t="s">
        <v>43410</v>
      </c>
      <c r="X9525" s="18" t="s">
        <v>35</v>
      </c>
      <c r="Y9525" s="18" t="s">
        <v>17171</v>
      </c>
      <c r="Z9525" s="18" t="s">
        <v>24637</v>
      </c>
      <c r="AA9525" s="21" t="str">
        <f>HYPERLINK("https://www.ncbi.nlm.nih.gov/nuccore/CASDWV010004220","NCBI Nucleotide")</f>
        <v>NCBI Nucleotide</v>
      </c>
    </row>
    <row r="9526" spans="1:27" x14ac:dyDescent="0.35">
      <c r="A9526">
        <v>1027308</v>
      </c>
      <c r="B9526">
        <v>8851</v>
      </c>
      <c r="C9526">
        <v>1</v>
      </c>
      <c r="D9526" s="17" t="s">
        <v>17166</v>
      </c>
      <c r="E9526" s="17"/>
      <c r="F9526" s="17" t="s">
        <v>17246</v>
      </c>
      <c r="G9526" s="17"/>
      <c r="H9526" s="17" t="s">
        <v>20919</v>
      </c>
      <c r="I9526" s="17"/>
      <c r="J9526" s="17" t="s">
        <v>21313</v>
      </c>
      <c r="K9526" s="17"/>
      <c r="L9526" s="17" t="s">
        <v>21326</v>
      </c>
      <c r="M9526" s="17"/>
      <c r="N9526" s="17" t="s">
        <v>21577</v>
      </c>
      <c r="O9526" s="17"/>
      <c r="P9526" s="17" t="s">
        <v>43406</v>
      </c>
      <c r="Q9526" s="17"/>
      <c r="R9526" s="25" t="str">
        <f>HYPERLINK("https://ictv.global/taxonomy/taxondetails?taxnode_id=202316421","Longovirus dinebrenecus")</f>
        <v>Longovirus dinebrenecus</v>
      </c>
      <c r="S9526" s="18" t="s">
        <v>30</v>
      </c>
      <c r="T9526" s="18" t="s">
        <v>43411</v>
      </c>
      <c r="U9526" s="18"/>
      <c r="V9526" s="18" t="s">
        <v>43412</v>
      </c>
      <c r="W9526" s="18" t="s">
        <v>43413</v>
      </c>
      <c r="X9526" s="18" t="s">
        <v>35</v>
      </c>
      <c r="Y9526" s="18" t="s">
        <v>17171</v>
      </c>
      <c r="Z9526" s="18" t="s">
        <v>17336</v>
      </c>
      <c r="AA9526" s="21" t="str">
        <f>HYPERLINK("https://www.ncbi.nlm.nih.gov/nuccore/OM514467","NCBI Nucleotide")</f>
        <v>NCBI Nucleotide</v>
      </c>
    </row>
    <row r="9527" spans="1:27" x14ac:dyDescent="0.35">
      <c r="A9527">
        <v>1027309</v>
      </c>
      <c r="B9527">
        <v>8852</v>
      </c>
      <c r="C9527">
        <v>1</v>
      </c>
      <c r="D9527" s="17" t="s">
        <v>17166</v>
      </c>
      <c r="E9527" s="17"/>
      <c r="F9527" s="17" t="s">
        <v>17246</v>
      </c>
      <c r="G9527" s="17"/>
      <c r="H9527" s="17" t="s">
        <v>20919</v>
      </c>
      <c r="I9527" s="17"/>
      <c r="J9527" s="17" t="s">
        <v>21313</v>
      </c>
      <c r="K9527" s="17"/>
      <c r="L9527" s="17" t="s">
        <v>21326</v>
      </c>
      <c r="M9527" s="17"/>
      <c r="N9527" s="17" t="s">
        <v>21577</v>
      </c>
      <c r="O9527" s="17"/>
      <c r="P9527" s="17" t="s">
        <v>43406</v>
      </c>
      <c r="Q9527" s="17"/>
      <c r="R9527" s="25" t="str">
        <f>HYPERLINK("https://ictv.global/taxonomy/taxondetails?taxnode_id=202316422","Longovirus edaphocola")</f>
        <v>Longovirus edaphocola</v>
      </c>
      <c r="S9527" s="18" t="s">
        <v>30</v>
      </c>
      <c r="T9527" s="18" t="s">
        <v>43414</v>
      </c>
      <c r="U9527" s="18"/>
      <c r="V9527" s="18"/>
      <c r="W9527" s="18" t="s">
        <v>43415</v>
      </c>
      <c r="X9527" s="18" t="s">
        <v>35</v>
      </c>
      <c r="Y9527" s="18" t="s">
        <v>17171</v>
      </c>
      <c r="Z9527" s="18" t="s">
        <v>24637</v>
      </c>
      <c r="AA9527" s="21" t="str">
        <f>HYPERLINK("https://www.ncbi.nlm.nih.gov/nuccore/CASDWV010002454","NCBI Nucleotide")</f>
        <v>NCBI Nucleotide</v>
      </c>
    </row>
    <row r="9528" spans="1:27" x14ac:dyDescent="0.35">
      <c r="A9528">
        <v>1027310</v>
      </c>
      <c r="B9528">
        <v>8853</v>
      </c>
      <c r="C9528">
        <v>1</v>
      </c>
      <c r="D9528" s="17" t="s">
        <v>17166</v>
      </c>
      <c r="E9528" s="17"/>
      <c r="F9528" s="17" t="s">
        <v>17246</v>
      </c>
      <c r="G9528" s="17"/>
      <c r="H9528" s="17" t="s">
        <v>20919</v>
      </c>
      <c r="I9528" s="17"/>
      <c r="J9528" s="17" t="s">
        <v>21313</v>
      </c>
      <c r="K9528" s="17"/>
      <c r="L9528" s="17" t="s">
        <v>21326</v>
      </c>
      <c r="M9528" s="17"/>
      <c r="N9528" s="17" t="s">
        <v>21577</v>
      </c>
      <c r="O9528" s="17"/>
      <c r="P9528" s="17" t="s">
        <v>43406</v>
      </c>
      <c r="Q9528" s="17"/>
      <c r="R9528" s="25" t="str">
        <f>HYPERLINK("https://ictv.global/taxonomy/taxondetails?taxnode_id=202316423","Longovirus humicola")</f>
        <v>Longovirus humicola</v>
      </c>
      <c r="S9528" s="18" t="s">
        <v>30</v>
      </c>
      <c r="T9528" s="18" t="s">
        <v>43416</v>
      </c>
      <c r="U9528" s="18"/>
      <c r="V9528" s="18"/>
      <c r="W9528" s="18" t="s">
        <v>43417</v>
      </c>
      <c r="X9528" s="18" t="s">
        <v>35</v>
      </c>
      <c r="Y9528" s="18" t="s">
        <v>17171</v>
      </c>
      <c r="Z9528" s="18" t="s">
        <v>24637</v>
      </c>
      <c r="AA9528" s="21" t="str">
        <f>HYPERLINK("https://www.ncbi.nlm.nih.gov/nuccore/CASDWV010004668","NCBI Nucleotide")</f>
        <v>NCBI Nucleotide</v>
      </c>
    </row>
    <row r="9529" spans="1:27" x14ac:dyDescent="0.35">
      <c r="A9529">
        <v>1027311</v>
      </c>
      <c r="B9529">
        <v>8854</v>
      </c>
      <c r="C9529">
        <v>1</v>
      </c>
      <c r="D9529" s="17" t="s">
        <v>17166</v>
      </c>
      <c r="E9529" s="17"/>
      <c r="F9529" s="17" t="s">
        <v>17246</v>
      </c>
      <c r="G9529" s="17"/>
      <c r="H9529" s="17" t="s">
        <v>20919</v>
      </c>
      <c r="I9529" s="17"/>
      <c r="J9529" s="17" t="s">
        <v>21313</v>
      </c>
      <c r="K9529" s="17"/>
      <c r="L9529" s="17" t="s">
        <v>21326</v>
      </c>
      <c r="M9529" s="17"/>
      <c r="N9529" s="17" t="s">
        <v>21577</v>
      </c>
      <c r="O9529" s="17"/>
      <c r="P9529" s="17" t="s">
        <v>43406</v>
      </c>
      <c r="Q9529" s="17"/>
      <c r="R9529" s="25" t="str">
        <f>HYPERLINK("https://ictv.global/taxonomy/taxondetails?taxnode_id=202316424","Longovirus limenecus")</f>
        <v>Longovirus limenecus</v>
      </c>
      <c r="S9529" s="18" t="s">
        <v>30</v>
      </c>
      <c r="T9529" s="18" t="s">
        <v>43418</v>
      </c>
      <c r="U9529" s="18"/>
      <c r="V9529" s="18"/>
      <c r="W9529" s="18" t="s">
        <v>43419</v>
      </c>
      <c r="X9529" s="18" t="s">
        <v>35</v>
      </c>
      <c r="Y9529" s="18" t="s">
        <v>17171</v>
      </c>
      <c r="Z9529" s="18" t="s">
        <v>24637</v>
      </c>
      <c r="AA9529" s="21" t="str">
        <f>HYPERLINK("https://www.ncbi.nlm.nih.gov/nuccore/CASDWV010002651","NCBI Nucleotide")</f>
        <v>NCBI Nucleotide</v>
      </c>
    </row>
    <row r="9530" spans="1:27" x14ac:dyDescent="0.35">
      <c r="A9530">
        <v>1027312</v>
      </c>
      <c r="B9530">
        <v>8855</v>
      </c>
      <c r="C9530">
        <v>1</v>
      </c>
      <c r="D9530" s="17" t="s">
        <v>17166</v>
      </c>
      <c r="E9530" s="17"/>
      <c r="F9530" s="17" t="s">
        <v>17246</v>
      </c>
      <c r="G9530" s="17"/>
      <c r="H9530" s="17" t="s">
        <v>20919</v>
      </c>
      <c r="I9530" s="17"/>
      <c r="J9530" s="17" t="s">
        <v>21313</v>
      </c>
      <c r="K9530" s="17"/>
      <c r="L9530" s="17" t="s">
        <v>21326</v>
      </c>
      <c r="M9530" s="17"/>
      <c r="N9530" s="17" t="s">
        <v>21577</v>
      </c>
      <c r="O9530" s="17"/>
      <c r="P9530" s="17" t="s">
        <v>43406</v>
      </c>
      <c r="Q9530" s="17"/>
      <c r="R9530" s="25" t="str">
        <f>HYPERLINK("https://ictv.global/taxonomy/taxondetails?taxnode_id=202316425","Longovirus messicola")</f>
        <v>Longovirus messicola</v>
      </c>
      <c r="S9530" s="18" t="s">
        <v>30</v>
      </c>
      <c r="T9530" s="18" t="s">
        <v>43420</v>
      </c>
      <c r="U9530" s="18"/>
      <c r="V9530" s="18"/>
      <c r="W9530" s="18" t="s">
        <v>43421</v>
      </c>
      <c r="X9530" s="18" t="s">
        <v>35</v>
      </c>
      <c r="Y9530" s="18" t="s">
        <v>17171</v>
      </c>
      <c r="Z9530" s="18" t="s">
        <v>24637</v>
      </c>
      <c r="AA9530" s="21" t="str">
        <f>HYPERLINK("https://www.ncbi.nlm.nih.gov/nuccore/CASDWV010003474","NCBI Nucleotide")</f>
        <v>NCBI Nucleotide</v>
      </c>
    </row>
    <row r="9531" spans="1:27" x14ac:dyDescent="0.35">
      <c r="A9531">
        <v>1027313</v>
      </c>
      <c r="B9531">
        <v>8856</v>
      </c>
      <c r="C9531">
        <v>1</v>
      </c>
      <c r="D9531" s="17" t="s">
        <v>17166</v>
      </c>
      <c r="E9531" s="17"/>
      <c r="F9531" s="17" t="s">
        <v>17246</v>
      </c>
      <c r="G9531" s="17"/>
      <c r="H9531" s="17" t="s">
        <v>20919</v>
      </c>
      <c r="I9531" s="17"/>
      <c r="J9531" s="17" t="s">
        <v>21313</v>
      </c>
      <c r="K9531" s="17"/>
      <c r="L9531" s="17" t="s">
        <v>21326</v>
      </c>
      <c r="M9531" s="17"/>
      <c r="N9531" s="17" t="s">
        <v>21577</v>
      </c>
      <c r="O9531" s="17"/>
      <c r="P9531" s="17" t="s">
        <v>43406</v>
      </c>
      <c r="Q9531" s="17"/>
      <c r="R9531" s="25" t="str">
        <f>HYPERLINK("https://ictv.global/taxonomy/taxondetails?taxnode_id=202316426","Longovirus pedenecus")</f>
        <v>Longovirus pedenecus</v>
      </c>
      <c r="S9531" s="18" t="s">
        <v>30</v>
      </c>
      <c r="T9531" s="18" t="s">
        <v>43422</v>
      </c>
      <c r="U9531" s="18"/>
      <c r="V9531" s="18"/>
      <c r="W9531" s="18" t="s">
        <v>43423</v>
      </c>
      <c r="X9531" s="18" t="s">
        <v>35</v>
      </c>
      <c r="Y9531" s="18" t="s">
        <v>17171</v>
      </c>
      <c r="Z9531" s="18" t="s">
        <v>24637</v>
      </c>
      <c r="AA9531" s="21" t="str">
        <f>HYPERLINK("https://www.ncbi.nlm.nih.gov/nuccore/CASDWV010000974","NCBI Nucleotide")</f>
        <v>NCBI Nucleotide</v>
      </c>
    </row>
    <row r="9532" spans="1:27" x14ac:dyDescent="0.35">
      <c r="A9532">
        <v>1027314</v>
      </c>
      <c r="B9532">
        <v>8857</v>
      </c>
      <c r="C9532">
        <v>1</v>
      </c>
      <c r="D9532" s="17" t="s">
        <v>17166</v>
      </c>
      <c r="E9532" s="17"/>
      <c r="F9532" s="17" t="s">
        <v>17246</v>
      </c>
      <c r="G9532" s="17"/>
      <c r="H9532" s="17" t="s">
        <v>20919</v>
      </c>
      <c r="I9532" s="17"/>
      <c r="J9532" s="17" t="s">
        <v>21313</v>
      </c>
      <c r="K9532" s="17"/>
      <c r="L9532" s="17" t="s">
        <v>21326</v>
      </c>
      <c r="M9532" s="17"/>
      <c r="N9532" s="17" t="s">
        <v>21577</v>
      </c>
      <c r="O9532" s="17"/>
      <c r="P9532" s="17" t="s">
        <v>43406</v>
      </c>
      <c r="Q9532" s="17"/>
      <c r="R9532" s="25" t="str">
        <f>HYPERLINK("https://ictv.global/taxonomy/taxondetails?taxnode_id=202316427","Longovirus pelovicinum")</f>
        <v>Longovirus pelovicinum</v>
      </c>
      <c r="S9532" s="18" t="s">
        <v>30</v>
      </c>
      <c r="T9532" s="18" t="s">
        <v>43424</v>
      </c>
      <c r="U9532" s="18"/>
      <c r="V9532" s="18"/>
      <c r="W9532" s="18" t="s">
        <v>43425</v>
      </c>
      <c r="X9532" s="18" t="s">
        <v>35</v>
      </c>
      <c r="Y9532" s="18" t="s">
        <v>17171</v>
      </c>
      <c r="Z9532" s="18" t="s">
        <v>24637</v>
      </c>
      <c r="AA9532" s="21" t="str">
        <f>HYPERLINK("https://www.ncbi.nlm.nih.gov/nuccore/CASDWV010001977","NCBI Nucleotide")</f>
        <v>NCBI Nucleotide</v>
      </c>
    </row>
    <row r="9533" spans="1:27" x14ac:dyDescent="0.35">
      <c r="A9533">
        <v>1027315</v>
      </c>
      <c r="B9533">
        <v>8858</v>
      </c>
      <c r="C9533">
        <v>1</v>
      </c>
      <c r="D9533" s="17" t="s">
        <v>17166</v>
      </c>
      <c r="E9533" s="17"/>
      <c r="F9533" s="17" t="s">
        <v>17246</v>
      </c>
      <c r="G9533" s="17"/>
      <c r="H9533" s="17" t="s">
        <v>20919</v>
      </c>
      <c r="I9533" s="17"/>
      <c r="J9533" s="17" t="s">
        <v>21313</v>
      </c>
      <c r="K9533" s="17"/>
      <c r="L9533" s="17" t="s">
        <v>21326</v>
      </c>
      <c r="M9533" s="17"/>
      <c r="N9533" s="17" t="s">
        <v>21577</v>
      </c>
      <c r="O9533" s="17"/>
      <c r="P9533" s="17" t="s">
        <v>43406</v>
      </c>
      <c r="Q9533" s="17"/>
      <c r="R9533" s="25" t="str">
        <f>HYPERLINK("https://ictv.global/taxonomy/taxondetails?taxnode_id=202316428","Longovirus pelovivens")</f>
        <v>Longovirus pelovivens</v>
      </c>
      <c r="S9533" s="18" t="s">
        <v>30</v>
      </c>
      <c r="T9533" s="18" t="s">
        <v>43426</v>
      </c>
      <c r="U9533" s="18"/>
      <c r="V9533" s="18"/>
      <c r="W9533" s="18" t="s">
        <v>43427</v>
      </c>
      <c r="X9533" s="18" t="s">
        <v>35</v>
      </c>
      <c r="Y9533" s="18" t="s">
        <v>17171</v>
      </c>
      <c r="Z9533" s="18" t="s">
        <v>24637</v>
      </c>
      <c r="AA9533" s="21" t="str">
        <f>HYPERLINK("https://www.ncbi.nlm.nih.gov/nuccore/CASDWV010003930","NCBI Nucleotide")</f>
        <v>NCBI Nucleotide</v>
      </c>
    </row>
    <row r="9534" spans="1:27" x14ac:dyDescent="0.35">
      <c r="A9534">
        <v>1027316</v>
      </c>
      <c r="B9534">
        <v>8859</v>
      </c>
      <c r="C9534">
        <v>1</v>
      </c>
      <c r="D9534" s="17" t="s">
        <v>17166</v>
      </c>
      <c r="E9534" s="17"/>
      <c r="F9534" s="17" t="s">
        <v>17246</v>
      </c>
      <c r="G9534" s="17"/>
      <c r="H9534" s="17" t="s">
        <v>20919</v>
      </c>
      <c r="I9534" s="17"/>
      <c r="J9534" s="17" t="s">
        <v>21313</v>
      </c>
      <c r="K9534" s="17"/>
      <c r="L9534" s="17" t="s">
        <v>21326</v>
      </c>
      <c r="M9534" s="17"/>
      <c r="N9534" s="17" t="s">
        <v>21577</v>
      </c>
      <c r="O9534" s="17"/>
      <c r="P9534" s="17" t="s">
        <v>43406</v>
      </c>
      <c r="Q9534" s="17"/>
      <c r="R9534" s="25" t="str">
        <f>HYPERLINK("https://ictv.global/taxonomy/taxondetails?taxnode_id=202316429","Longovirus solihabitans")</f>
        <v>Longovirus solihabitans</v>
      </c>
      <c r="S9534" s="18" t="s">
        <v>30</v>
      </c>
      <c r="T9534" s="18" t="s">
        <v>43428</v>
      </c>
      <c r="U9534" s="18"/>
      <c r="V9534" s="18"/>
      <c r="W9534" s="18" t="s">
        <v>43429</v>
      </c>
      <c r="X9534" s="18" t="s">
        <v>35</v>
      </c>
      <c r="Y9534" s="18" t="s">
        <v>17171</v>
      </c>
      <c r="Z9534" s="18" t="s">
        <v>24637</v>
      </c>
      <c r="AA9534" s="21" t="str">
        <f>HYPERLINK("https://www.ncbi.nlm.nih.gov/nuccore/CASDWV010004308","NCBI Nucleotide")</f>
        <v>NCBI Nucleotide</v>
      </c>
    </row>
    <row r="9535" spans="1:27" x14ac:dyDescent="0.35">
      <c r="A9535">
        <v>1027317</v>
      </c>
      <c r="B9535">
        <v>8860</v>
      </c>
      <c r="C9535">
        <v>1</v>
      </c>
      <c r="D9535" s="17" t="s">
        <v>17166</v>
      </c>
      <c r="E9535" s="17"/>
      <c r="F9535" s="17" t="s">
        <v>17246</v>
      </c>
      <c r="G9535" s="17"/>
      <c r="H9535" s="17" t="s">
        <v>20919</v>
      </c>
      <c r="I9535" s="17"/>
      <c r="J9535" s="17" t="s">
        <v>21313</v>
      </c>
      <c r="K9535" s="17"/>
      <c r="L9535" s="17" t="s">
        <v>21326</v>
      </c>
      <c r="M9535" s="17"/>
      <c r="N9535" s="17" t="s">
        <v>21577</v>
      </c>
      <c r="O9535" s="17"/>
      <c r="P9535" s="17" t="s">
        <v>43406</v>
      </c>
      <c r="Q9535" s="17"/>
      <c r="R9535" s="25" t="str">
        <f>HYPERLINK("https://ictv.global/taxonomy/taxondetails?taxnode_id=202316430","Longovirus tellurivivens")</f>
        <v>Longovirus tellurivivens</v>
      </c>
      <c r="S9535" s="18" t="s">
        <v>30</v>
      </c>
      <c r="T9535" s="18" t="s">
        <v>43430</v>
      </c>
      <c r="U9535" s="18"/>
      <c r="V9535" s="18"/>
      <c r="W9535" s="18" t="s">
        <v>43431</v>
      </c>
      <c r="X9535" s="18" t="s">
        <v>35</v>
      </c>
      <c r="Y9535" s="18" t="s">
        <v>17171</v>
      </c>
      <c r="Z9535" s="18" t="s">
        <v>24637</v>
      </c>
      <c r="AA9535" s="21" t="str">
        <f>HYPERLINK("https://www.ncbi.nlm.nih.gov/nuccore/CASDWV010002238","NCBI Nucleotide")</f>
        <v>NCBI Nucleotide</v>
      </c>
    </row>
    <row r="9536" spans="1:27" x14ac:dyDescent="0.35">
      <c r="A9536">
        <v>1009585</v>
      </c>
      <c r="B9536">
        <v>8861</v>
      </c>
      <c r="C9536">
        <v>1</v>
      </c>
      <c r="D9536" s="17" t="s">
        <v>17166</v>
      </c>
      <c r="E9536" s="17"/>
      <c r="F9536" s="17" t="s">
        <v>17246</v>
      </c>
      <c r="G9536" s="17"/>
      <c r="H9536" s="17" t="s">
        <v>20919</v>
      </c>
      <c r="I9536" s="17"/>
      <c r="J9536" s="17" t="s">
        <v>21313</v>
      </c>
      <c r="K9536" s="17"/>
      <c r="L9536" s="17" t="s">
        <v>21326</v>
      </c>
      <c r="M9536" s="17"/>
      <c r="N9536" s="17" t="s">
        <v>21577</v>
      </c>
      <c r="O9536" s="17"/>
      <c r="P9536" s="17" t="s">
        <v>21915</v>
      </c>
      <c r="Q9536" s="17"/>
      <c r="R9536" s="25" t="str">
        <f>HYPERLINK("https://ictv.global/taxonomy/taxondetails?taxnode_id=202310437","Loslovirus caenicola")</f>
        <v>Loslovirus caenicola</v>
      </c>
      <c r="S9536" s="18" t="s">
        <v>30</v>
      </c>
      <c r="T9536" s="18" t="s">
        <v>21916</v>
      </c>
      <c r="U9536" s="18"/>
      <c r="V9536" s="18"/>
      <c r="W9536" s="18" t="s">
        <v>21917</v>
      </c>
      <c r="X9536" s="18" t="s">
        <v>35</v>
      </c>
      <c r="Y9536" s="18" t="s">
        <v>17171</v>
      </c>
      <c r="Z9536" s="18" t="s">
        <v>697</v>
      </c>
      <c r="AA9536" s="21" t="str">
        <f>HYPERLINK("https://www.ncbi.nlm.nih.gov/nuccore/BK014158","NCBI Nucleotide")</f>
        <v>NCBI Nucleotide</v>
      </c>
    </row>
    <row r="9537" spans="1:27" x14ac:dyDescent="0.35">
      <c r="A9537">
        <v>1027252</v>
      </c>
      <c r="B9537">
        <v>8862</v>
      </c>
      <c r="C9537">
        <v>1</v>
      </c>
      <c r="D9537" s="17" t="s">
        <v>17166</v>
      </c>
      <c r="E9537" s="17"/>
      <c r="F9537" s="17" t="s">
        <v>17246</v>
      </c>
      <c r="G9537" s="17"/>
      <c r="H9537" s="17" t="s">
        <v>20919</v>
      </c>
      <c r="I9537" s="17"/>
      <c r="J9537" s="17" t="s">
        <v>21313</v>
      </c>
      <c r="K9537" s="17"/>
      <c r="L9537" s="17" t="s">
        <v>21326</v>
      </c>
      <c r="M9537" s="17"/>
      <c r="N9537" s="17" t="s">
        <v>21577</v>
      </c>
      <c r="O9537" s="17"/>
      <c r="P9537" s="17" t="s">
        <v>43432</v>
      </c>
      <c r="Q9537" s="17"/>
      <c r="R9537" s="25" t="str">
        <f>HYPERLINK("https://ictv.global/taxonomy/taxondetails?taxnode_id=202316431","Lowerquvirus solicola")</f>
        <v>Lowerquvirus solicola</v>
      </c>
      <c r="S9537" s="18" t="s">
        <v>30</v>
      </c>
      <c r="T9537" s="18" t="s">
        <v>43433</v>
      </c>
      <c r="U9537" s="18"/>
      <c r="V9537" s="18"/>
      <c r="W9537" s="18" t="s">
        <v>43434</v>
      </c>
      <c r="X9537" s="18" t="s">
        <v>35</v>
      </c>
      <c r="Y9537" s="18" t="s">
        <v>17171</v>
      </c>
      <c r="Z9537" s="18" t="s">
        <v>24637</v>
      </c>
      <c r="AA9537" s="21" t="str">
        <f>HYPERLINK("https://www.ncbi.nlm.nih.gov/nuccore/CASDWV010004724","NCBI Nucleotide")</f>
        <v>NCBI Nucleotide</v>
      </c>
    </row>
    <row r="9538" spans="1:27" x14ac:dyDescent="0.35">
      <c r="A9538">
        <v>1027253</v>
      </c>
      <c r="B9538">
        <v>8863</v>
      </c>
      <c r="C9538">
        <v>1</v>
      </c>
      <c r="D9538" s="17" t="s">
        <v>17166</v>
      </c>
      <c r="E9538" s="17"/>
      <c r="F9538" s="17" t="s">
        <v>17246</v>
      </c>
      <c r="G9538" s="17"/>
      <c r="H9538" s="17" t="s">
        <v>20919</v>
      </c>
      <c r="I9538" s="17"/>
      <c r="J9538" s="17" t="s">
        <v>21313</v>
      </c>
      <c r="K9538" s="17"/>
      <c r="L9538" s="17" t="s">
        <v>21326</v>
      </c>
      <c r="M9538" s="17"/>
      <c r="N9538" s="17" t="s">
        <v>21577</v>
      </c>
      <c r="O9538" s="17"/>
      <c r="P9538" s="17" t="s">
        <v>43435</v>
      </c>
      <c r="Q9538" s="17"/>
      <c r="R9538" s="25" t="str">
        <f>HYPERLINK("https://ictv.global/taxonomy/taxondetails?taxnode_id=202316432","Lowsuvirus agradaptatum")</f>
        <v>Lowsuvirus agradaptatum</v>
      </c>
      <c r="S9538" s="18" t="s">
        <v>30</v>
      </c>
      <c r="T9538" s="18" t="s">
        <v>43436</v>
      </c>
      <c r="U9538" s="18"/>
      <c r="V9538" s="18"/>
      <c r="W9538" s="18" t="s">
        <v>43437</v>
      </c>
      <c r="X9538" s="18" t="s">
        <v>35</v>
      </c>
      <c r="Y9538" s="18" t="s">
        <v>17171</v>
      </c>
      <c r="Z9538" s="18" t="s">
        <v>24637</v>
      </c>
      <c r="AA9538" s="21" t="str">
        <f>HYPERLINK("https://www.ncbi.nlm.nih.gov/nuccore/CASDWV010000817","NCBI Nucleotide")</f>
        <v>NCBI Nucleotide</v>
      </c>
    </row>
    <row r="9539" spans="1:27" x14ac:dyDescent="0.35">
      <c r="A9539">
        <v>1009614</v>
      </c>
      <c r="B9539">
        <v>8864</v>
      </c>
      <c r="C9539">
        <v>1</v>
      </c>
      <c r="D9539" s="17" t="s">
        <v>17166</v>
      </c>
      <c r="E9539" s="17"/>
      <c r="F9539" s="17" t="s">
        <v>17246</v>
      </c>
      <c r="G9539" s="17"/>
      <c r="H9539" s="17" t="s">
        <v>20919</v>
      </c>
      <c r="I9539" s="17"/>
      <c r="J9539" s="17" t="s">
        <v>21313</v>
      </c>
      <c r="K9539" s="17"/>
      <c r="L9539" s="17" t="s">
        <v>21326</v>
      </c>
      <c r="M9539" s="17"/>
      <c r="N9539" s="17" t="s">
        <v>21577</v>
      </c>
      <c r="O9539" s="17"/>
      <c r="P9539" s="17" t="s">
        <v>43435</v>
      </c>
      <c r="Q9539" s="17"/>
      <c r="R9539" s="25" t="str">
        <f>HYPERLINK("https://ictv.global/taxonomy/taxondetails?taxnode_id=202310481","Lowsuvirus geocola")</f>
        <v>Lowsuvirus geocola</v>
      </c>
      <c r="S9539" s="18" t="s">
        <v>30</v>
      </c>
      <c r="T9539" s="18" t="s">
        <v>21985</v>
      </c>
      <c r="U9539" s="18"/>
      <c r="V9539" s="18"/>
      <c r="W9539" s="18" t="s">
        <v>21986</v>
      </c>
      <c r="X9539" s="18" t="s">
        <v>35</v>
      </c>
      <c r="Y9539" s="18" t="s">
        <v>17171</v>
      </c>
      <c r="Z9539" s="18" t="s">
        <v>697</v>
      </c>
      <c r="AA9539" s="21" t="str">
        <f>HYPERLINK("https://www.ncbi.nlm.nih.gov/nuccore/BK013893","NCBI Nucleotide")</f>
        <v>NCBI Nucleotide</v>
      </c>
    </row>
    <row r="9540" spans="1:27" x14ac:dyDescent="0.35">
      <c r="A9540">
        <v>1009617</v>
      </c>
      <c r="B9540">
        <v>8865</v>
      </c>
      <c r="C9540">
        <v>1</v>
      </c>
      <c r="D9540" s="17" t="s">
        <v>17166</v>
      </c>
      <c r="E9540" s="17"/>
      <c r="F9540" s="17" t="s">
        <v>17246</v>
      </c>
      <c r="G9540" s="17"/>
      <c r="H9540" s="17" t="s">
        <v>20919</v>
      </c>
      <c r="I9540" s="17"/>
      <c r="J9540" s="17" t="s">
        <v>21313</v>
      </c>
      <c r="K9540" s="17"/>
      <c r="L9540" s="17" t="s">
        <v>21326</v>
      </c>
      <c r="M9540" s="17"/>
      <c r="N9540" s="17" t="s">
        <v>21577</v>
      </c>
      <c r="O9540" s="17"/>
      <c r="P9540" s="17" t="s">
        <v>43435</v>
      </c>
      <c r="Q9540" s="17"/>
      <c r="R9540" s="25" t="str">
        <f>HYPERLINK("https://ictv.global/taxonomy/taxondetails?taxnode_id=202310484","Lowsuvirus geovicinum")</f>
        <v>Lowsuvirus geovicinum</v>
      </c>
      <c r="S9540" s="18" t="s">
        <v>30</v>
      </c>
      <c r="T9540" s="18" t="s">
        <v>21989</v>
      </c>
      <c r="U9540" s="18"/>
      <c r="V9540" s="18"/>
      <c r="W9540" s="18" t="s">
        <v>21990</v>
      </c>
      <c r="X9540" s="18" t="s">
        <v>35</v>
      </c>
      <c r="Y9540" s="18" t="s">
        <v>17171</v>
      </c>
      <c r="Z9540" s="18" t="s">
        <v>697</v>
      </c>
      <c r="AA9540" s="21" t="str">
        <f>HYPERLINK("https://www.ncbi.nlm.nih.gov/nuccore/BK013899","NCBI Nucleotide")</f>
        <v>NCBI Nucleotide</v>
      </c>
    </row>
    <row r="9541" spans="1:27" x14ac:dyDescent="0.35">
      <c r="A9541">
        <v>1009618</v>
      </c>
      <c r="B9541">
        <v>8866</v>
      </c>
      <c r="C9541">
        <v>1</v>
      </c>
      <c r="D9541" s="17" t="s">
        <v>17166</v>
      </c>
      <c r="E9541" s="17"/>
      <c r="F9541" s="17" t="s">
        <v>17246</v>
      </c>
      <c r="G9541" s="17"/>
      <c r="H9541" s="17" t="s">
        <v>20919</v>
      </c>
      <c r="I9541" s="17"/>
      <c r="J9541" s="17" t="s">
        <v>21313</v>
      </c>
      <c r="K9541" s="17"/>
      <c r="L9541" s="17" t="s">
        <v>21326</v>
      </c>
      <c r="M9541" s="17"/>
      <c r="N9541" s="17" t="s">
        <v>21577</v>
      </c>
      <c r="O9541" s="17"/>
      <c r="P9541" s="17" t="s">
        <v>43435</v>
      </c>
      <c r="Q9541" s="17"/>
      <c r="R9541" s="25" t="str">
        <f>HYPERLINK("https://ictv.global/taxonomy/taxondetails?taxnode_id=202310485","Lowsuvirus geovivens")</f>
        <v>Lowsuvirus geovivens</v>
      </c>
      <c r="S9541" s="18" t="s">
        <v>30</v>
      </c>
      <c r="T9541" s="18" t="s">
        <v>21991</v>
      </c>
      <c r="U9541" s="18"/>
      <c r="V9541" s="18"/>
      <c r="W9541" s="18" t="s">
        <v>21992</v>
      </c>
      <c r="X9541" s="18" t="s">
        <v>35</v>
      </c>
      <c r="Y9541" s="18" t="s">
        <v>17171</v>
      </c>
      <c r="Z9541" s="18" t="s">
        <v>697</v>
      </c>
      <c r="AA9541" s="21" t="str">
        <f>HYPERLINK("https://www.ncbi.nlm.nih.gov/nuccore/BK013521","NCBI Nucleotide")</f>
        <v>NCBI Nucleotide</v>
      </c>
    </row>
    <row r="9542" spans="1:27" x14ac:dyDescent="0.35">
      <c r="A9542">
        <v>1027254</v>
      </c>
      <c r="B9542">
        <v>8867</v>
      </c>
      <c r="C9542">
        <v>1</v>
      </c>
      <c r="D9542" s="17" t="s">
        <v>17166</v>
      </c>
      <c r="E9542" s="17"/>
      <c r="F9542" s="17" t="s">
        <v>17246</v>
      </c>
      <c r="G9542" s="17"/>
      <c r="H9542" s="17" t="s">
        <v>20919</v>
      </c>
      <c r="I9542" s="17"/>
      <c r="J9542" s="17" t="s">
        <v>21313</v>
      </c>
      <c r="K9542" s="17"/>
      <c r="L9542" s="17" t="s">
        <v>21326</v>
      </c>
      <c r="M9542" s="17"/>
      <c r="N9542" s="17" t="s">
        <v>21577</v>
      </c>
      <c r="O9542" s="17"/>
      <c r="P9542" s="17" t="s">
        <v>43435</v>
      </c>
      <c r="Q9542" s="17"/>
      <c r="R9542" s="25" t="str">
        <f>HYPERLINK("https://ictv.global/taxonomy/taxondetails?taxnode_id=202316433","Lowsuvirus humivivens")</f>
        <v>Lowsuvirus humivivens</v>
      </c>
      <c r="S9542" s="18" t="s">
        <v>30</v>
      </c>
      <c r="T9542" s="18" t="s">
        <v>43438</v>
      </c>
      <c r="U9542" s="18"/>
      <c r="V9542" s="18"/>
      <c r="W9542" s="18" t="s">
        <v>43439</v>
      </c>
      <c r="X9542" s="18" t="s">
        <v>35</v>
      </c>
      <c r="Y9542" s="18" t="s">
        <v>17171</v>
      </c>
      <c r="Z9542" s="18" t="s">
        <v>24637</v>
      </c>
      <c r="AA9542" s="21" t="str">
        <f>HYPERLINK("https://www.ncbi.nlm.nih.gov/nuccore/CASDWV010004779","NCBI Nucleotide")</f>
        <v>NCBI Nucleotide</v>
      </c>
    </row>
    <row r="9543" spans="1:27" x14ac:dyDescent="0.35">
      <c r="A9543">
        <v>1027255</v>
      </c>
      <c r="B9543">
        <v>8868</v>
      </c>
      <c r="C9543">
        <v>1</v>
      </c>
      <c r="D9543" s="17" t="s">
        <v>17166</v>
      </c>
      <c r="E9543" s="17"/>
      <c r="F9543" s="17" t="s">
        <v>17246</v>
      </c>
      <c r="G9543" s="17"/>
      <c r="H9543" s="17" t="s">
        <v>20919</v>
      </c>
      <c r="I9543" s="17"/>
      <c r="J9543" s="17" t="s">
        <v>21313</v>
      </c>
      <c r="K9543" s="17"/>
      <c r="L9543" s="17" t="s">
        <v>21326</v>
      </c>
      <c r="M9543" s="17"/>
      <c r="N9543" s="17" t="s">
        <v>21577</v>
      </c>
      <c r="O9543" s="17"/>
      <c r="P9543" s="17" t="s">
        <v>43435</v>
      </c>
      <c r="Q9543" s="17"/>
      <c r="R9543" s="25" t="str">
        <f>HYPERLINK("https://ictv.global/taxonomy/taxondetails?taxnode_id=202316434","Lowsuvirus segetadaptatum")</f>
        <v>Lowsuvirus segetadaptatum</v>
      </c>
      <c r="S9543" s="18" t="s">
        <v>30</v>
      </c>
      <c r="T9543" s="18" t="s">
        <v>43440</v>
      </c>
      <c r="U9543" s="18"/>
      <c r="V9543" s="18"/>
      <c r="W9543" s="18" t="s">
        <v>43441</v>
      </c>
      <c r="X9543" s="18" t="s">
        <v>35</v>
      </c>
      <c r="Y9543" s="18" t="s">
        <v>17171</v>
      </c>
      <c r="Z9543" s="18" t="s">
        <v>24637</v>
      </c>
      <c r="AA9543" s="21" t="str">
        <f>HYPERLINK("https://www.ncbi.nlm.nih.gov/nuccore/CASDWV010004223","NCBI Nucleotide")</f>
        <v>NCBI Nucleotide</v>
      </c>
    </row>
    <row r="9544" spans="1:27" x14ac:dyDescent="0.35">
      <c r="A9544">
        <v>1027256</v>
      </c>
      <c r="B9544">
        <v>8869</v>
      </c>
      <c r="C9544">
        <v>1</v>
      </c>
      <c r="D9544" s="17" t="s">
        <v>17166</v>
      </c>
      <c r="E9544" s="17"/>
      <c r="F9544" s="17" t="s">
        <v>17246</v>
      </c>
      <c r="G9544" s="17"/>
      <c r="H9544" s="17" t="s">
        <v>20919</v>
      </c>
      <c r="I9544" s="17"/>
      <c r="J9544" s="17" t="s">
        <v>21313</v>
      </c>
      <c r="K9544" s="17"/>
      <c r="L9544" s="17" t="s">
        <v>21326</v>
      </c>
      <c r="M9544" s="17"/>
      <c r="N9544" s="17" t="s">
        <v>21577</v>
      </c>
      <c r="O9544" s="17"/>
      <c r="P9544" s="17" t="s">
        <v>43435</v>
      </c>
      <c r="Q9544" s="17"/>
      <c r="R9544" s="25" t="str">
        <f>HYPERLINK("https://ictv.global/taxonomy/taxondetails?taxnode_id=202316435","Lowsuvirus solivivens")</f>
        <v>Lowsuvirus solivivens</v>
      </c>
      <c r="S9544" s="18" t="s">
        <v>30</v>
      </c>
      <c r="T9544" s="18" t="s">
        <v>43442</v>
      </c>
      <c r="U9544" s="18"/>
      <c r="V9544" s="18"/>
      <c r="W9544" s="18" t="s">
        <v>43443</v>
      </c>
      <c r="X9544" s="18" t="s">
        <v>35</v>
      </c>
      <c r="Y9544" s="18" t="s">
        <v>17171</v>
      </c>
      <c r="Z9544" s="18" t="s">
        <v>24637</v>
      </c>
      <c r="AA9544" s="21" t="str">
        <f>HYPERLINK("https://www.ncbi.nlm.nih.gov/nuccore/CASDWV010004316","NCBI Nucleotide")</f>
        <v>NCBI Nucleotide</v>
      </c>
    </row>
    <row r="9545" spans="1:27" x14ac:dyDescent="0.35">
      <c r="A9545">
        <v>1027257</v>
      </c>
      <c r="B9545">
        <v>8870</v>
      </c>
      <c r="C9545">
        <v>1</v>
      </c>
      <c r="D9545" s="17" t="s">
        <v>17166</v>
      </c>
      <c r="E9545" s="17"/>
      <c r="F9545" s="17" t="s">
        <v>17246</v>
      </c>
      <c r="G9545" s="17"/>
      <c r="H9545" s="17" t="s">
        <v>20919</v>
      </c>
      <c r="I9545" s="17"/>
      <c r="J9545" s="17" t="s">
        <v>21313</v>
      </c>
      <c r="K9545" s="17"/>
      <c r="L9545" s="17" t="s">
        <v>21326</v>
      </c>
      <c r="M9545" s="17"/>
      <c r="N9545" s="17" t="s">
        <v>21577</v>
      </c>
      <c r="O9545" s="17"/>
      <c r="P9545" s="17" t="s">
        <v>43435</v>
      </c>
      <c r="Q9545" s="17"/>
      <c r="R9545" s="25" t="str">
        <f>HYPERLINK("https://ictv.global/taxonomy/taxondetails?taxnode_id=202316436","Lowsuvirus telluricola")</f>
        <v>Lowsuvirus telluricola</v>
      </c>
      <c r="S9545" s="18" t="s">
        <v>30</v>
      </c>
      <c r="T9545" s="18" t="s">
        <v>43444</v>
      </c>
      <c r="U9545" s="18"/>
      <c r="V9545" s="18"/>
      <c r="W9545" s="18" t="s">
        <v>43445</v>
      </c>
      <c r="X9545" s="18" t="s">
        <v>35</v>
      </c>
      <c r="Y9545" s="18" t="s">
        <v>17171</v>
      </c>
      <c r="Z9545" s="18" t="s">
        <v>24637</v>
      </c>
      <c r="AA9545" s="21" t="str">
        <f>HYPERLINK("https://www.ncbi.nlm.nih.gov/nuccore/CASDWV010001219","NCBI Nucleotide")</f>
        <v>NCBI Nucleotide</v>
      </c>
    </row>
    <row r="9546" spans="1:27" x14ac:dyDescent="0.35">
      <c r="A9546">
        <v>1027258</v>
      </c>
      <c r="B9546">
        <v>8871</v>
      </c>
      <c r="C9546">
        <v>1</v>
      </c>
      <c r="D9546" s="17" t="s">
        <v>17166</v>
      </c>
      <c r="E9546" s="17"/>
      <c r="F9546" s="17" t="s">
        <v>17246</v>
      </c>
      <c r="G9546" s="17"/>
      <c r="H9546" s="17" t="s">
        <v>20919</v>
      </c>
      <c r="I9546" s="17"/>
      <c r="J9546" s="17" t="s">
        <v>21313</v>
      </c>
      <c r="K9546" s="17"/>
      <c r="L9546" s="17" t="s">
        <v>21326</v>
      </c>
      <c r="M9546" s="17"/>
      <c r="N9546" s="17" t="s">
        <v>21577</v>
      </c>
      <c r="O9546" s="17"/>
      <c r="P9546" s="17" t="s">
        <v>43446</v>
      </c>
      <c r="Q9546" s="17"/>
      <c r="R9546" s="25" t="str">
        <f>HYPERLINK("https://ictv.global/taxonomy/taxondetails?taxnode_id=202316437","Loxlovirus humihabitans")</f>
        <v>Loxlovirus humihabitans</v>
      </c>
      <c r="S9546" s="18" t="s">
        <v>30</v>
      </c>
      <c r="T9546" s="18" t="s">
        <v>43447</v>
      </c>
      <c r="U9546" s="18"/>
      <c r="V9546" s="18"/>
      <c r="W9546" s="18" t="s">
        <v>43448</v>
      </c>
      <c r="X9546" s="18" t="s">
        <v>35</v>
      </c>
      <c r="Y9546" s="18" t="s">
        <v>17171</v>
      </c>
      <c r="Z9546" s="18" t="s">
        <v>24637</v>
      </c>
      <c r="AA9546" s="21" t="str">
        <f>HYPERLINK("https://www.ncbi.nlm.nih.gov/nuccore/CASDWV010002760","NCBI Nucleotide")</f>
        <v>NCBI Nucleotide</v>
      </c>
    </row>
    <row r="9547" spans="1:27" x14ac:dyDescent="0.35">
      <c r="A9547">
        <v>1027259</v>
      </c>
      <c r="B9547">
        <v>8872</v>
      </c>
      <c r="C9547">
        <v>1</v>
      </c>
      <c r="D9547" s="17" t="s">
        <v>17166</v>
      </c>
      <c r="E9547" s="17"/>
      <c r="F9547" s="17" t="s">
        <v>17246</v>
      </c>
      <c r="G9547" s="17"/>
      <c r="H9547" s="17" t="s">
        <v>20919</v>
      </c>
      <c r="I9547" s="17"/>
      <c r="J9547" s="17" t="s">
        <v>21313</v>
      </c>
      <c r="K9547" s="17"/>
      <c r="L9547" s="17" t="s">
        <v>21326</v>
      </c>
      <c r="M9547" s="17"/>
      <c r="N9547" s="17" t="s">
        <v>21577</v>
      </c>
      <c r="O9547" s="17"/>
      <c r="P9547" s="17" t="s">
        <v>43449</v>
      </c>
      <c r="Q9547" s="17"/>
      <c r="R9547" s="25" t="str">
        <f>HYPERLINK("https://ictv.global/taxonomy/taxondetails?taxnode_id=202316438","Ludtlevirus pelovicinum")</f>
        <v>Ludtlevirus pelovicinum</v>
      </c>
      <c r="S9547" s="18" t="s">
        <v>30</v>
      </c>
      <c r="T9547" s="18" t="s">
        <v>43450</v>
      </c>
      <c r="U9547" s="18"/>
      <c r="V9547" s="18"/>
      <c r="W9547" s="18" t="s">
        <v>43451</v>
      </c>
      <c r="X9547" s="18" t="s">
        <v>35</v>
      </c>
      <c r="Y9547" s="18" t="s">
        <v>17171</v>
      </c>
      <c r="Z9547" s="18" t="s">
        <v>24637</v>
      </c>
      <c r="AA9547" s="21" t="str">
        <f>HYPERLINK("https://www.ncbi.nlm.nih.gov/nuccore/CASDWV010000643","NCBI Nucleotide")</f>
        <v>NCBI Nucleotide</v>
      </c>
    </row>
    <row r="9548" spans="1:27" x14ac:dyDescent="0.35">
      <c r="A9548">
        <v>1027260</v>
      </c>
      <c r="B9548">
        <v>8873</v>
      </c>
      <c r="C9548">
        <v>1</v>
      </c>
      <c r="D9548" s="17" t="s">
        <v>17166</v>
      </c>
      <c r="E9548" s="17"/>
      <c r="F9548" s="17" t="s">
        <v>17246</v>
      </c>
      <c r="G9548" s="17"/>
      <c r="H9548" s="17" t="s">
        <v>20919</v>
      </c>
      <c r="I9548" s="17"/>
      <c r="J9548" s="17" t="s">
        <v>21313</v>
      </c>
      <c r="K9548" s="17"/>
      <c r="L9548" s="17" t="s">
        <v>21326</v>
      </c>
      <c r="M9548" s="17"/>
      <c r="N9548" s="17" t="s">
        <v>21577</v>
      </c>
      <c r="O9548" s="17"/>
      <c r="P9548" s="17" t="s">
        <v>43452</v>
      </c>
      <c r="Q9548" s="17"/>
      <c r="R9548" s="25" t="str">
        <f>HYPERLINK("https://ictv.global/taxonomy/taxondetails?taxnode_id=202316439","Ludtlovirus messadaptatum")</f>
        <v>Ludtlovirus messadaptatum</v>
      </c>
      <c r="S9548" s="18" t="s">
        <v>30</v>
      </c>
      <c r="T9548" s="18" t="s">
        <v>43453</v>
      </c>
      <c r="U9548" s="18"/>
      <c r="V9548" s="18"/>
      <c r="W9548" s="18" t="s">
        <v>43454</v>
      </c>
      <c r="X9548" s="18" t="s">
        <v>35</v>
      </c>
      <c r="Y9548" s="18" t="s">
        <v>17171</v>
      </c>
      <c r="Z9548" s="18" t="s">
        <v>24637</v>
      </c>
      <c r="AA9548" s="21" t="str">
        <f>HYPERLINK("https://www.ncbi.nlm.nih.gov/nuccore/CASDWV010004634","NCBI Nucleotide")</f>
        <v>NCBI Nucleotide</v>
      </c>
    </row>
    <row r="9549" spans="1:27" x14ac:dyDescent="0.35">
      <c r="A9549">
        <v>1009710</v>
      </c>
      <c r="B9549">
        <v>8874</v>
      </c>
      <c r="C9549">
        <v>1</v>
      </c>
      <c r="D9549" s="17" t="s">
        <v>17166</v>
      </c>
      <c r="E9549" s="17"/>
      <c r="F9549" s="17" t="s">
        <v>17246</v>
      </c>
      <c r="G9549" s="17"/>
      <c r="H9549" s="17" t="s">
        <v>20919</v>
      </c>
      <c r="I9549" s="17"/>
      <c r="J9549" s="17" t="s">
        <v>21313</v>
      </c>
      <c r="K9549" s="17"/>
      <c r="L9549" s="17" t="s">
        <v>21326</v>
      </c>
      <c r="M9549" s="17"/>
      <c r="N9549" s="17" t="s">
        <v>21577</v>
      </c>
      <c r="O9549" s="17"/>
      <c r="P9549" s="17" t="s">
        <v>43455</v>
      </c>
      <c r="Q9549" s="17"/>
      <c r="R9549" s="25" t="str">
        <f>HYPERLINK("https://ictv.global/taxonomy/taxondetails?taxnode_id=202310629","Ludtovirus agrivivens")</f>
        <v>Ludtovirus agrivivens</v>
      </c>
      <c r="S9549" s="18" t="s">
        <v>30</v>
      </c>
      <c r="T9549" s="18" t="s">
        <v>22205</v>
      </c>
      <c r="U9549" s="18"/>
      <c r="V9549" s="18"/>
      <c r="W9549" s="18" t="s">
        <v>22206</v>
      </c>
      <c r="X9549" s="18" t="s">
        <v>35</v>
      </c>
      <c r="Y9549" s="18" t="s">
        <v>17171</v>
      </c>
      <c r="Z9549" s="18" t="s">
        <v>697</v>
      </c>
      <c r="AA9549" s="21" t="str">
        <f>HYPERLINK("https://www.ncbi.nlm.nih.gov/nuccore/BK013933","NCBI Nucleotide")</f>
        <v>NCBI Nucleotide</v>
      </c>
    </row>
    <row r="9550" spans="1:27" x14ac:dyDescent="0.35">
      <c r="A9550">
        <v>1009712</v>
      </c>
      <c r="B9550">
        <v>8875</v>
      </c>
      <c r="C9550">
        <v>1</v>
      </c>
      <c r="D9550" s="17" t="s">
        <v>17166</v>
      </c>
      <c r="E9550" s="17"/>
      <c r="F9550" s="17" t="s">
        <v>17246</v>
      </c>
      <c r="G9550" s="17"/>
      <c r="H9550" s="17" t="s">
        <v>20919</v>
      </c>
      <c r="I9550" s="17"/>
      <c r="J9550" s="17" t="s">
        <v>21313</v>
      </c>
      <c r="K9550" s="17"/>
      <c r="L9550" s="17" t="s">
        <v>21326</v>
      </c>
      <c r="M9550" s="17"/>
      <c r="N9550" s="17" t="s">
        <v>21577</v>
      </c>
      <c r="O9550" s="17"/>
      <c r="P9550" s="17" t="s">
        <v>43455</v>
      </c>
      <c r="Q9550" s="17"/>
      <c r="R9550" s="25" t="str">
        <f>HYPERLINK("https://ictv.global/taxonomy/taxondetails?taxnode_id=202310628","Ludtovirus chorocola")</f>
        <v>Ludtovirus chorocola</v>
      </c>
      <c r="S9550" s="18" t="s">
        <v>30</v>
      </c>
      <c r="T9550" s="18" t="s">
        <v>22209</v>
      </c>
      <c r="U9550" s="18"/>
      <c r="V9550" s="18"/>
      <c r="W9550" s="18" t="s">
        <v>22210</v>
      </c>
      <c r="X9550" s="18" t="s">
        <v>35</v>
      </c>
      <c r="Y9550" s="18" t="s">
        <v>17171</v>
      </c>
      <c r="Z9550" s="18" t="s">
        <v>697</v>
      </c>
      <c r="AA9550" s="21" t="str">
        <f>HYPERLINK("https://www.ncbi.nlm.nih.gov/nuccore/BK013913","NCBI Nucleotide")</f>
        <v>NCBI Nucleotide</v>
      </c>
    </row>
    <row r="9551" spans="1:27" x14ac:dyDescent="0.35">
      <c r="A9551">
        <v>1027261</v>
      </c>
      <c r="B9551">
        <v>8876</v>
      </c>
      <c r="C9551">
        <v>1</v>
      </c>
      <c r="D9551" s="17" t="s">
        <v>17166</v>
      </c>
      <c r="E9551" s="17"/>
      <c r="F9551" s="17" t="s">
        <v>17246</v>
      </c>
      <c r="G9551" s="17"/>
      <c r="H9551" s="17" t="s">
        <v>20919</v>
      </c>
      <c r="I9551" s="17"/>
      <c r="J9551" s="17" t="s">
        <v>21313</v>
      </c>
      <c r="K9551" s="17"/>
      <c r="L9551" s="17" t="s">
        <v>21326</v>
      </c>
      <c r="M9551" s="17"/>
      <c r="N9551" s="17" t="s">
        <v>21577</v>
      </c>
      <c r="O9551" s="17"/>
      <c r="P9551" s="17" t="s">
        <v>43455</v>
      </c>
      <c r="Q9551" s="17"/>
      <c r="R9551" s="25" t="str">
        <f>HYPERLINK("https://ictv.global/taxonomy/taxondetails?taxnode_id=202316440","Ludtovirus graminiscola")</f>
        <v>Ludtovirus graminiscola</v>
      </c>
      <c r="S9551" s="18" t="s">
        <v>30</v>
      </c>
      <c r="T9551" s="18" t="s">
        <v>43456</v>
      </c>
      <c r="U9551" s="18"/>
      <c r="V9551" s="18" t="s">
        <v>43456</v>
      </c>
      <c r="W9551" s="18" t="s">
        <v>43457</v>
      </c>
      <c r="X9551" s="18" t="s">
        <v>35</v>
      </c>
      <c r="Y9551" s="18" t="s">
        <v>17171</v>
      </c>
      <c r="Z9551" s="18" t="s">
        <v>24637</v>
      </c>
      <c r="AA9551" s="21" t="str">
        <f>HYPERLINK("https://www.ncbi.nlm.nih.gov/nuccore/MN033100","NCBI Nucleotide")</f>
        <v>NCBI Nucleotide</v>
      </c>
    </row>
    <row r="9552" spans="1:27" x14ac:dyDescent="0.35">
      <c r="A9552">
        <v>1027262</v>
      </c>
      <c r="B9552">
        <v>8877</v>
      </c>
      <c r="C9552">
        <v>1</v>
      </c>
      <c r="D9552" s="17" t="s">
        <v>17166</v>
      </c>
      <c r="E9552" s="17"/>
      <c r="F9552" s="17" t="s">
        <v>17246</v>
      </c>
      <c r="G9552" s="17"/>
      <c r="H9552" s="17" t="s">
        <v>20919</v>
      </c>
      <c r="I9552" s="17"/>
      <c r="J9552" s="17" t="s">
        <v>21313</v>
      </c>
      <c r="K9552" s="17"/>
      <c r="L9552" s="17" t="s">
        <v>21326</v>
      </c>
      <c r="M9552" s="17"/>
      <c r="N9552" s="17" t="s">
        <v>21577</v>
      </c>
      <c r="O9552" s="17"/>
      <c r="P9552" s="17" t="s">
        <v>43455</v>
      </c>
      <c r="Q9552" s="17"/>
      <c r="R9552" s="25" t="str">
        <f>HYPERLINK("https://ictv.global/taxonomy/taxondetails?taxnode_id=202316441","Ludtovirus humicola")</f>
        <v>Ludtovirus humicola</v>
      </c>
      <c r="S9552" s="18" t="s">
        <v>30</v>
      </c>
      <c r="T9552" s="18" t="s">
        <v>43458</v>
      </c>
      <c r="U9552" s="18"/>
      <c r="V9552" s="18"/>
      <c r="W9552" s="18" t="s">
        <v>43459</v>
      </c>
      <c r="X9552" s="18" t="s">
        <v>35</v>
      </c>
      <c r="Y9552" s="18" t="s">
        <v>17171</v>
      </c>
      <c r="Z9552" s="18" t="s">
        <v>24637</v>
      </c>
      <c r="AA9552" s="21" t="str">
        <f>HYPERLINK("https://www.ncbi.nlm.nih.gov/nuccore/CASDWV010003134","NCBI Nucleotide")</f>
        <v>NCBI Nucleotide</v>
      </c>
    </row>
    <row r="9553" spans="1:27" x14ac:dyDescent="0.35">
      <c r="A9553">
        <v>1027263</v>
      </c>
      <c r="B9553">
        <v>8878</v>
      </c>
      <c r="C9553">
        <v>1</v>
      </c>
      <c r="D9553" s="17" t="s">
        <v>17166</v>
      </c>
      <c r="E9553" s="17"/>
      <c r="F9553" s="17" t="s">
        <v>17246</v>
      </c>
      <c r="G9553" s="17"/>
      <c r="H9553" s="17" t="s">
        <v>20919</v>
      </c>
      <c r="I9553" s="17"/>
      <c r="J9553" s="17" t="s">
        <v>21313</v>
      </c>
      <c r="K9553" s="17"/>
      <c r="L9553" s="17" t="s">
        <v>21326</v>
      </c>
      <c r="M9553" s="17"/>
      <c r="N9553" s="17" t="s">
        <v>21577</v>
      </c>
      <c r="O9553" s="17"/>
      <c r="P9553" s="17" t="s">
        <v>43455</v>
      </c>
      <c r="Q9553" s="17"/>
      <c r="R9553" s="25" t="str">
        <f>HYPERLINK("https://ictv.global/taxonomy/taxondetails?taxnode_id=202316442","Ludtovirus pedovicinum")</f>
        <v>Ludtovirus pedovicinum</v>
      </c>
      <c r="S9553" s="18" t="s">
        <v>30</v>
      </c>
      <c r="T9553" s="18" t="s">
        <v>43460</v>
      </c>
      <c r="U9553" s="18"/>
      <c r="V9553" s="18"/>
      <c r="W9553" s="18" t="s">
        <v>43461</v>
      </c>
      <c r="X9553" s="18" t="s">
        <v>35</v>
      </c>
      <c r="Y9553" s="18" t="s">
        <v>17171</v>
      </c>
      <c r="Z9553" s="18" t="s">
        <v>24637</v>
      </c>
      <c r="AA9553" s="21" t="str">
        <f>HYPERLINK("https://www.ncbi.nlm.nih.gov/nuccore/CASDWV010001331","NCBI Nucleotide")</f>
        <v>NCBI Nucleotide</v>
      </c>
    </row>
    <row r="9554" spans="1:27" x14ac:dyDescent="0.35">
      <c r="A9554">
        <v>1027264</v>
      </c>
      <c r="B9554">
        <v>8879</v>
      </c>
      <c r="C9554">
        <v>1</v>
      </c>
      <c r="D9554" s="17" t="s">
        <v>17166</v>
      </c>
      <c r="E9554" s="17"/>
      <c r="F9554" s="17" t="s">
        <v>17246</v>
      </c>
      <c r="G9554" s="17"/>
      <c r="H9554" s="17" t="s">
        <v>20919</v>
      </c>
      <c r="I9554" s="17"/>
      <c r="J9554" s="17" t="s">
        <v>21313</v>
      </c>
      <c r="K9554" s="17"/>
      <c r="L9554" s="17" t="s">
        <v>21326</v>
      </c>
      <c r="M9554" s="17"/>
      <c r="N9554" s="17" t="s">
        <v>21577</v>
      </c>
      <c r="O9554" s="17"/>
      <c r="P9554" s="17" t="s">
        <v>43455</v>
      </c>
      <c r="Q9554" s="17"/>
      <c r="R9554" s="25" t="str">
        <f>HYPERLINK("https://ictv.global/taxonomy/taxondetails?taxnode_id=202316443","Ludtovirus terrivicinum")</f>
        <v>Ludtovirus terrivicinum</v>
      </c>
      <c r="S9554" s="18" t="s">
        <v>30</v>
      </c>
      <c r="T9554" s="18" t="s">
        <v>43462</v>
      </c>
      <c r="U9554" s="18"/>
      <c r="V9554" s="18"/>
      <c r="W9554" s="18" t="s">
        <v>43463</v>
      </c>
      <c r="X9554" s="18" t="s">
        <v>35</v>
      </c>
      <c r="Y9554" s="18" t="s">
        <v>17171</v>
      </c>
      <c r="Z9554" s="18" t="s">
        <v>24637</v>
      </c>
      <c r="AA9554" s="21" t="str">
        <f>HYPERLINK("https://www.ncbi.nlm.nih.gov/nuccore/CASDWV010001225","NCBI Nucleotide")</f>
        <v>NCBI Nucleotide</v>
      </c>
    </row>
    <row r="9555" spans="1:27" x14ac:dyDescent="0.35">
      <c r="A9555">
        <v>1027234</v>
      </c>
      <c r="B9555">
        <v>8880</v>
      </c>
      <c r="C9555">
        <v>1</v>
      </c>
      <c r="D9555" s="17" t="s">
        <v>17166</v>
      </c>
      <c r="E9555" s="17"/>
      <c r="F9555" s="17" t="s">
        <v>17246</v>
      </c>
      <c r="G9555" s="17"/>
      <c r="H9555" s="17" t="s">
        <v>20919</v>
      </c>
      <c r="I9555" s="17"/>
      <c r="J9555" s="17" t="s">
        <v>21313</v>
      </c>
      <c r="K9555" s="17"/>
      <c r="L9555" s="17" t="s">
        <v>21326</v>
      </c>
      <c r="M9555" s="17"/>
      <c r="N9555" s="17" t="s">
        <v>21577</v>
      </c>
      <c r="O9555" s="17"/>
      <c r="P9555" s="17" t="s">
        <v>43464</v>
      </c>
      <c r="Q9555" s="17"/>
      <c r="R9555" s="25" t="str">
        <f>HYPERLINK("https://ictv.global/taxonomy/taxondetails?taxnode_id=202316444","Lunjlavirus humenecus")</f>
        <v>Lunjlavirus humenecus</v>
      </c>
      <c r="S9555" s="18" t="s">
        <v>30</v>
      </c>
      <c r="T9555" s="18" t="s">
        <v>43465</v>
      </c>
      <c r="U9555" s="18"/>
      <c r="V9555" s="18"/>
      <c r="W9555" s="18" t="s">
        <v>43466</v>
      </c>
      <c r="X9555" s="18" t="s">
        <v>35</v>
      </c>
      <c r="Y9555" s="18" t="s">
        <v>17171</v>
      </c>
      <c r="Z9555" s="18" t="s">
        <v>24637</v>
      </c>
      <c r="AA9555" s="21" t="str">
        <f>HYPERLINK("https://www.ncbi.nlm.nih.gov/nuccore/CASDWV010003889","NCBI Nucleotide")</f>
        <v>NCBI Nucleotide</v>
      </c>
    </row>
    <row r="9556" spans="1:27" x14ac:dyDescent="0.35">
      <c r="A9556">
        <v>1027236</v>
      </c>
      <c r="B9556">
        <v>8881</v>
      </c>
      <c r="C9556">
        <v>1</v>
      </c>
      <c r="D9556" s="17" t="s">
        <v>17166</v>
      </c>
      <c r="E9556" s="17"/>
      <c r="F9556" s="17" t="s">
        <v>17246</v>
      </c>
      <c r="G9556" s="17"/>
      <c r="H9556" s="17" t="s">
        <v>20919</v>
      </c>
      <c r="I9556" s="17"/>
      <c r="J9556" s="17" t="s">
        <v>21313</v>
      </c>
      <c r="K9556" s="17"/>
      <c r="L9556" s="17" t="s">
        <v>21326</v>
      </c>
      <c r="M9556" s="17"/>
      <c r="N9556" s="17" t="s">
        <v>21577</v>
      </c>
      <c r="O9556" s="17"/>
      <c r="P9556" s="17" t="s">
        <v>21920</v>
      </c>
      <c r="Q9556" s="17"/>
      <c r="R9556" s="25" t="str">
        <f>HYPERLINK("https://ictv.global/taxonomy/taxondetails?taxnode_id=202316445","Luthavirus agrivicinum")</f>
        <v>Luthavirus agrivicinum</v>
      </c>
      <c r="S9556" s="18" t="s">
        <v>30</v>
      </c>
      <c r="T9556" s="18" t="s">
        <v>43467</v>
      </c>
      <c r="U9556" s="18"/>
      <c r="V9556" s="18"/>
      <c r="W9556" s="18" t="s">
        <v>43468</v>
      </c>
      <c r="X9556" s="18" t="s">
        <v>35</v>
      </c>
      <c r="Y9556" s="18" t="s">
        <v>17171</v>
      </c>
      <c r="Z9556" s="18" t="s">
        <v>24637</v>
      </c>
      <c r="AA9556" s="21" t="str">
        <f>HYPERLINK("https://www.ncbi.nlm.nih.gov/nuccore/CASDWV010004116","NCBI Nucleotide")</f>
        <v>NCBI Nucleotide</v>
      </c>
    </row>
    <row r="9557" spans="1:27" x14ac:dyDescent="0.35">
      <c r="A9557">
        <v>1027237</v>
      </c>
      <c r="B9557">
        <v>8882</v>
      </c>
      <c r="C9557">
        <v>1</v>
      </c>
      <c r="D9557" s="17" t="s">
        <v>17166</v>
      </c>
      <c r="E9557" s="17"/>
      <c r="F9557" s="17" t="s">
        <v>17246</v>
      </c>
      <c r="G9557" s="17"/>
      <c r="H9557" s="17" t="s">
        <v>20919</v>
      </c>
      <c r="I9557" s="17"/>
      <c r="J9557" s="17" t="s">
        <v>21313</v>
      </c>
      <c r="K9557" s="17"/>
      <c r="L9557" s="17" t="s">
        <v>21326</v>
      </c>
      <c r="M9557" s="17"/>
      <c r="N9557" s="17" t="s">
        <v>21577</v>
      </c>
      <c r="O9557" s="17"/>
      <c r="P9557" s="17" t="s">
        <v>21920</v>
      </c>
      <c r="Q9557" s="17"/>
      <c r="R9557" s="25" t="str">
        <f>HYPERLINK("https://ictv.global/taxonomy/taxondetails?taxnode_id=202316446","Luthavirus arvivivens")</f>
        <v>Luthavirus arvivivens</v>
      </c>
      <c r="S9557" s="18" t="s">
        <v>30</v>
      </c>
      <c r="T9557" s="18" t="s">
        <v>43469</v>
      </c>
      <c r="U9557" s="18"/>
      <c r="V9557" s="18"/>
      <c r="W9557" s="18" t="s">
        <v>43470</v>
      </c>
      <c r="X9557" s="18" t="s">
        <v>35</v>
      </c>
      <c r="Y9557" s="18" t="s">
        <v>17171</v>
      </c>
      <c r="Z9557" s="18" t="s">
        <v>24637</v>
      </c>
      <c r="AA9557" s="21" t="str">
        <f>HYPERLINK("https://www.ncbi.nlm.nih.gov/nuccore/CASDWV010001611","NCBI Nucleotide")</f>
        <v>NCBI Nucleotide</v>
      </c>
    </row>
    <row r="9558" spans="1:27" x14ac:dyDescent="0.35">
      <c r="A9558">
        <v>1027238</v>
      </c>
      <c r="B9558">
        <v>8883</v>
      </c>
      <c r="C9558">
        <v>1</v>
      </c>
      <c r="D9558" s="17" t="s">
        <v>17166</v>
      </c>
      <c r="E9558" s="17"/>
      <c r="F9558" s="17" t="s">
        <v>17246</v>
      </c>
      <c r="G9558" s="17"/>
      <c r="H9558" s="17" t="s">
        <v>20919</v>
      </c>
      <c r="I9558" s="17"/>
      <c r="J9558" s="17" t="s">
        <v>21313</v>
      </c>
      <c r="K9558" s="17"/>
      <c r="L9558" s="17" t="s">
        <v>21326</v>
      </c>
      <c r="M9558" s="17"/>
      <c r="N9558" s="17" t="s">
        <v>21577</v>
      </c>
      <c r="O9558" s="17"/>
      <c r="P9558" s="17" t="s">
        <v>21920</v>
      </c>
      <c r="Q9558" s="17"/>
      <c r="R9558" s="25" t="str">
        <f>HYPERLINK("https://ictv.global/taxonomy/taxondetails?taxnode_id=202316447","Luthavirus asiovivens")</f>
        <v>Luthavirus asiovivens</v>
      </c>
      <c r="S9558" s="18" t="s">
        <v>30</v>
      </c>
      <c r="T9558" s="18" t="s">
        <v>43471</v>
      </c>
      <c r="U9558" s="18"/>
      <c r="V9558" s="18"/>
      <c r="W9558" s="18" t="s">
        <v>43472</v>
      </c>
      <c r="X9558" s="18" t="s">
        <v>35</v>
      </c>
      <c r="Y9558" s="18" t="s">
        <v>17171</v>
      </c>
      <c r="Z9558" s="18" t="s">
        <v>24637</v>
      </c>
      <c r="AA9558" s="21" t="str">
        <f>HYPERLINK("https://www.ncbi.nlm.nih.gov/nuccore/CASDWV010003365","NCBI Nucleotide")</f>
        <v>NCBI Nucleotide</v>
      </c>
    </row>
    <row r="9559" spans="1:27" x14ac:dyDescent="0.35">
      <c r="A9559">
        <v>1027239</v>
      </c>
      <c r="B9559">
        <v>8884</v>
      </c>
      <c r="C9559">
        <v>1</v>
      </c>
      <c r="D9559" s="17" t="s">
        <v>17166</v>
      </c>
      <c r="E9559" s="17"/>
      <c r="F9559" s="17" t="s">
        <v>17246</v>
      </c>
      <c r="G9559" s="17"/>
      <c r="H9559" s="17" t="s">
        <v>20919</v>
      </c>
      <c r="I9559" s="17"/>
      <c r="J9559" s="17" t="s">
        <v>21313</v>
      </c>
      <c r="K9559" s="17"/>
      <c r="L9559" s="17" t="s">
        <v>21326</v>
      </c>
      <c r="M9559" s="17"/>
      <c r="N9559" s="17" t="s">
        <v>21577</v>
      </c>
      <c r="O9559" s="17"/>
      <c r="P9559" s="17" t="s">
        <v>21920</v>
      </c>
      <c r="Q9559" s="17"/>
      <c r="R9559" s="25" t="str">
        <f>HYPERLINK("https://ictv.global/taxonomy/taxondetails?taxnode_id=202316448","Luthavirus dinebrihabitans")</f>
        <v>Luthavirus dinebrihabitans</v>
      </c>
      <c r="S9559" s="18" t="s">
        <v>30</v>
      </c>
      <c r="T9559" s="18" t="s">
        <v>43473</v>
      </c>
      <c r="U9559" s="18"/>
      <c r="V9559" s="18" t="s">
        <v>43474</v>
      </c>
      <c r="W9559" s="18" t="s">
        <v>43475</v>
      </c>
      <c r="X9559" s="18" t="s">
        <v>35</v>
      </c>
      <c r="Y9559" s="18" t="s">
        <v>17171</v>
      </c>
      <c r="Z9559" s="18" t="s">
        <v>17336</v>
      </c>
      <c r="AA9559" s="21" t="str">
        <f>HYPERLINK("https://www.ncbi.nlm.nih.gov/nuccore/OM514474","NCBI Nucleotide")</f>
        <v>NCBI Nucleotide</v>
      </c>
    </row>
    <row r="9560" spans="1:27" x14ac:dyDescent="0.35">
      <c r="A9560">
        <v>1027240</v>
      </c>
      <c r="B9560">
        <v>8885</v>
      </c>
      <c r="C9560">
        <v>1</v>
      </c>
      <c r="D9560" s="17" t="s">
        <v>17166</v>
      </c>
      <c r="E9560" s="17"/>
      <c r="F9560" s="17" t="s">
        <v>17246</v>
      </c>
      <c r="G9560" s="17"/>
      <c r="H9560" s="17" t="s">
        <v>20919</v>
      </c>
      <c r="I9560" s="17"/>
      <c r="J9560" s="17" t="s">
        <v>21313</v>
      </c>
      <c r="K9560" s="17"/>
      <c r="L9560" s="17" t="s">
        <v>21326</v>
      </c>
      <c r="M9560" s="17"/>
      <c r="N9560" s="17" t="s">
        <v>21577</v>
      </c>
      <c r="O9560" s="17"/>
      <c r="P9560" s="17" t="s">
        <v>21920</v>
      </c>
      <c r="Q9560" s="17"/>
      <c r="R9560" s="25" t="str">
        <f>HYPERLINK("https://ictv.global/taxonomy/taxondetails?taxnode_id=202316449","Luthavirus edaphohabitans")</f>
        <v>Luthavirus edaphohabitans</v>
      </c>
      <c r="S9560" s="18" t="s">
        <v>30</v>
      </c>
      <c r="T9560" s="18" t="s">
        <v>43476</v>
      </c>
      <c r="U9560" s="18"/>
      <c r="V9560" s="18"/>
      <c r="W9560" s="18" t="s">
        <v>43477</v>
      </c>
      <c r="X9560" s="18" t="s">
        <v>35</v>
      </c>
      <c r="Y9560" s="18" t="s">
        <v>17171</v>
      </c>
      <c r="Z9560" s="18" t="s">
        <v>24637</v>
      </c>
      <c r="AA9560" s="21" t="str">
        <f>HYPERLINK("https://www.ncbi.nlm.nih.gov/nuccore/CASDWV010001223","NCBI Nucleotide")</f>
        <v>NCBI Nucleotide</v>
      </c>
    </row>
    <row r="9561" spans="1:27" x14ac:dyDescent="0.35">
      <c r="A9561">
        <v>1009587</v>
      </c>
      <c r="B9561">
        <v>8886</v>
      </c>
      <c r="C9561">
        <v>1</v>
      </c>
      <c r="D9561" s="17" t="s">
        <v>17166</v>
      </c>
      <c r="E9561" s="17"/>
      <c r="F9561" s="17" t="s">
        <v>17246</v>
      </c>
      <c r="G9561" s="17"/>
      <c r="H9561" s="17" t="s">
        <v>20919</v>
      </c>
      <c r="I9561" s="17"/>
      <c r="J9561" s="17" t="s">
        <v>21313</v>
      </c>
      <c r="K9561" s="17"/>
      <c r="L9561" s="17" t="s">
        <v>21326</v>
      </c>
      <c r="M9561" s="17"/>
      <c r="N9561" s="17" t="s">
        <v>21577</v>
      </c>
      <c r="O9561" s="17"/>
      <c r="P9561" s="17" t="s">
        <v>21920</v>
      </c>
      <c r="Q9561" s="17"/>
      <c r="R9561" s="25" t="str">
        <f>HYPERLINK("https://ictv.global/taxonomy/taxondetails?taxnode_id=202310441","Luthavirus edaphovicinum")</f>
        <v>Luthavirus edaphovicinum</v>
      </c>
      <c r="S9561" s="18" t="s">
        <v>30</v>
      </c>
      <c r="T9561" s="18" t="s">
        <v>21921</v>
      </c>
      <c r="U9561" s="18"/>
      <c r="V9561" s="18"/>
      <c r="W9561" s="18" t="s">
        <v>21922</v>
      </c>
      <c r="X9561" s="18" t="s">
        <v>35</v>
      </c>
      <c r="Y9561" s="18" t="s">
        <v>17171</v>
      </c>
      <c r="Z9561" s="18" t="s">
        <v>697</v>
      </c>
      <c r="AA9561" s="21" t="str">
        <f>HYPERLINK("https://www.ncbi.nlm.nih.gov/nuccore/BK013819","NCBI Nucleotide")</f>
        <v>NCBI Nucleotide</v>
      </c>
    </row>
    <row r="9562" spans="1:27" x14ac:dyDescent="0.35">
      <c r="A9562">
        <v>1009588</v>
      </c>
      <c r="B9562">
        <v>8887</v>
      </c>
      <c r="C9562">
        <v>1</v>
      </c>
      <c r="D9562" s="17" t="s">
        <v>17166</v>
      </c>
      <c r="E9562" s="17"/>
      <c r="F9562" s="17" t="s">
        <v>17246</v>
      </c>
      <c r="G9562" s="17"/>
      <c r="H9562" s="17" t="s">
        <v>20919</v>
      </c>
      <c r="I9562" s="17"/>
      <c r="J9562" s="17" t="s">
        <v>21313</v>
      </c>
      <c r="K9562" s="17"/>
      <c r="L9562" s="17" t="s">
        <v>21326</v>
      </c>
      <c r="M9562" s="17"/>
      <c r="N9562" s="17" t="s">
        <v>21577</v>
      </c>
      <c r="O9562" s="17"/>
      <c r="P9562" s="17" t="s">
        <v>21920</v>
      </c>
      <c r="Q9562" s="17"/>
      <c r="R9562" s="25" t="str">
        <f>HYPERLINK("https://ictv.global/taxonomy/taxondetails?taxnode_id=202310442","Luthavirus edaphovivens")</f>
        <v>Luthavirus edaphovivens</v>
      </c>
      <c r="S9562" s="18" t="s">
        <v>30</v>
      </c>
      <c r="T9562" s="18" t="s">
        <v>21923</v>
      </c>
      <c r="U9562" s="18"/>
      <c r="V9562" s="18"/>
      <c r="W9562" s="18" t="s">
        <v>21924</v>
      </c>
      <c r="X9562" s="18" t="s">
        <v>35</v>
      </c>
      <c r="Y9562" s="18" t="s">
        <v>17171</v>
      </c>
      <c r="Z9562" s="18" t="s">
        <v>697</v>
      </c>
      <c r="AA9562" s="21" t="str">
        <f>HYPERLINK("https://www.ncbi.nlm.nih.gov/nuccore/BK013427","NCBI Nucleotide")</f>
        <v>NCBI Nucleotide</v>
      </c>
    </row>
    <row r="9563" spans="1:27" x14ac:dyDescent="0.35">
      <c r="A9563">
        <v>1027241</v>
      </c>
      <c r="B9563">
        <v>8888</v>
      </c>
      <c r="C9563">
        <v>1</v>
      </c>
      <c r="D9563" s="17" t="s">
        <v>17166</v>
      </c>
      <c r="E9563" s="17"/>
      <c r="F9563" s="17" t="s">
        <v>17246</v>
      </c>
      <c r="G9563" s="17"/>
      <c r="H9563" s="17" t="s">
        <v>20919</v>
      </c>
      <c r="I9563" s="17"/>
      <c r="J9563" s="17" t="s">
        <v>21313</v>
      </c>
      <c r="K9563" s="17"/>
      <c r="L9563" s="17" t="s">
        <v>21326</v>
      </c>
      <c r="M9563" s="17"/>
      <c r="N9563" s="17" t="s">
        <v>21577</v>
      </c>
      <c r="O9563" s="17"/>
      <c r="P9563" s="17" t="s">
        <v>21920</v>
      </c>
      <c r="Q9563" s="17"/>
      <c r="R9563" s="25" t="str">
        <f>HYPERLINK("https://ictv.global/taxonomy/taxondetails?taxnode_id=202316450","Luthavirus messenecus")</f>
        <v>Luthavirus messenecus</v>
      </c>
      <c r="S9563" s="18" t="s">
        <v>30</v>
      </c>
      <c r="T9563" s="18" t="s">
        <v>43478</v>
      </c>
      <c r="U9563" s="18"/>
      <c r="V9563" s="18"/>
      <c r="W9563" s="18" t="s">
        <v>43479</v>
      </c>
      <c r="X9563" s="18" t="s">
        <v>35</v>
      </c>
      <c r="Y9563" s="18" t="s">
        <v>17171</v>
      </c>
      <c r="Z9563" s="18" t="s">
        <v>24637</v>
      </c>
      <c r="AA9563" s="21" t="str">
        <f>HYPERLINK("https://www.ncbi.nlm.nih.gov/nuccore/CASDWV010004185","NCBI Nucleotide")</f>
        <v>NCBI Nucleotide</v>
      </c>
    </row>
    <row r="9564" spans="1:27" x14ac:dyDescent="0.35">
      <c r="A9564">
        <v>1009589</v>
      </c>
      <c r="B9564">
        <v>8889</v>
      </c>
      <c r="C9564">
        <v>1</v>
      </c>
      <c r="D9564" s="17" t="s">
        <v>17166</v>
      </c>
      <c r="E9564" s="17"/>
      <c r="F9564" s="17" t="s">
        <v>17246</v>
      </c>
      <c r="G9564" s="17"/>
      <c r="H9564" s="17" t="s">
        <v>20919</v>
      </c>
      <c r="I9564" s="17"/>
      <c r="J9564" s="17" t="s">
        <v>21313</v>
      </c>
      <c r="K9564" s="17"/>
      <c r="L9564" s="17" t="s">
        <v>21326</v>
      </c>
      <c r="M9564" s="17"/>
      <c r="N9564" s="17" t="s">
        <v>21577</v>
      </c>
      <c r="O9564" s="17"/>
      <c r="P9564" s="17" t="s">
        <v>21920</v>
      </c>
      <c r="Q9564" s="17"/>
      <c r="R9564" s="25" t="str">
        <f>HYPERLINK("https://ictv.global/taxonomy/taxondetails?taxnode_id=202310443","Luthavirus pedadaptatum")</f>
        <v>Luthavirus pedadaptatum</v>
      </c>
      <c r="S9564" s="18" t="s">
        <v>30</v>
      </c>
      <c r="T9564" s="18" t="s">
        <v>21925</v>
      </c>
      <c r="U9564" s="18"/>
      <c r="V9564" s="18"/>
      <c r="W9564" s="18" t="s">
        <v>21926</v>
      </c>
      <c r="X9564" s="18" t="s">
        <v>35</v>
      </c>
      <c r="Y9564" s="18" t="s">
        <v>17171</v>
      </c>
      <c r="Z9564" s="18" t="s">
        <v>697</v>
      </c>
      <c r="AA9564" s="21" t="str">
        <f>HYPERLINK("https://www.ncbi.nlm.nih.gov/nuccore/BK013846","NCBI Nucleotide")</f>
        <v>NCBI Nucleotide</v>
      </c>
    </row>
    <row r="9565" spans="1:27" x14ac:dyDescent="0.35">
      <c r="A9565">
        <v>1027242</v>
      </c>
      <c r="B9565">
        <v>8890</v>
      </c>
      <c r="C9565">
        <v>1</v>
      </c>
      <c r="D9565" s="17" t="s">
        <v>17166</v>
      </c>
      <c r="E9565" s="17"/>
      <c r="F9565" s="17" t="s">
        <v>17246</v>
      </c>
      <c r="G9565" s="17"/>
      <c r="H9565" s="17" t="s">
        <v>20919</v>
      </c>
      <c r="I9565" s="17"/>
      <c r="J9565" s="17" t="s">
        <v>21313</v>
      </c>
      <c r="K9565" s="17"/>
      <c r="L9565" s="17" t="s">
        <v>21326</v>
      </c>
      <c r="M9565" s="17"/>
      <c r="N9565" s="17" t="s">
        <v>21577</v>
      </c>
      <c r="O9565" s="17"/>
      <c r="P9565" s="17" t="s">
        <v>21920</v>
      </c>
      <c r="Q9565" s="17"/>
      <c r="R9565" s="25" t="str">
        <f>HYPERLINK("https://ictv.global/taxonomy/taxondetails?taxnode_id=202316451","Luthavirus pelohabitans")</f>
        <v>Luthavirus pelohabitans</v>
      </c>
      <c r="S9565" s="18" t="s">
        <v>30</v>
      </c>
      <c r="T9565" s="18" t="s">
        <v>43480</v>
      </c>
      <c r="U9565" s="18"/>
      <c r="V9565" s="18"/>
      <c r="W9565" s="18" t="s">
        <v>43481</v>
      </c>
      <c r="X9565" s="18" t="s">
        <v>35</v>
      </c>
      <c r="Y9565" s="18" t="s">
        <v>17171</v>
      </c>
      <c r="Z9565" s="18" t="s">
        <v>24637</v>
      </c>
      <c r="AA9565" s="21" t="str">
        <f>HYPERLINK("https://www.ncbi.nlm.nih.gov/nuccore/CASDWV010000560","NCBI Nucleotide")</f>
        <v>NCBI Nucleotide</v>
      </c>
    </row>
    <row r="9566" spans="1:27" x14ac:dyDescent="0.35">
      <c r="A9566">
        <v>1009465</v>
      </c>
      <c r="B9566">
        <v>8891</v>
      </c>
      <c r="C9566">
        <v>1</v>
      </c>
      <c r="D9566" s="17" t="s">
        <v>17166</v>
      </c>
      <c r="E9566" s="17"/>
      <c r="F9566" s="17" t="s">
        <v>17246</v>
      </c>
      <c r="G9566" s="17"/>
      <c r="H9566" s="17" t="s">
        <v>20919</v>
      </c>
      <c r="I9566" s="17"/>
      <c r="J9566" s="17" t="s">
        <v>21313</v>
      </c>
      <c r="K9566" s="17"/>
      <c r="L9566" s="17" t="s">
        <v>21326</v>
      </c>
      <c r="M9566" s="17"/>
      <c r="N9566" s="17" t="s">
        <v>21577</v>
      </c>
      <c r="O9566" s="17"/>
      <c r="P9566" s="17" t="s">
        <v>21920</v>
      </c>
      <c r="Q9566" s="17"/>
      <c r="R9566" s="25" t="str">
        <f>HYPERLINK("https://ictv.global/taxonomy/taxondetails?taxnode_id=202310242","Luthavirus terrenecus")</f>
        <v>Luthavirus terrenecus</v>
      </c>
      <c r="S9566" s="18" t="s">
        <v>30</v>
      </c>
      <c r="T9566" s="18" t="s">
        <v>21611</v>
      </c>
      <c r="U9566" s="18"/>
      <c r="V9566" s="18"/>
      <c r="W9566" s="18" t="s">
        <v>21612</v>
      </c>
      <c r="X9566" s="18" t="s">
        <v>35</v>
      </c>
      <c r="Y9566" s="18" t="s">
        <v>17171</v>
      </c>
      <c r="Z9566" s="18" t="s">
        <v>697</v>
      </c>
      <c r="AA9566" s="21" t="str">
        <f>HYPERLINK("https://www.ncbi.nlm.nih.gov/nuccore/BK013548","NCBI Nucleotide")</f>
        <v>NCBI Nucleotide</v>
      </c>
    </row>
    <row r="9567" spans="1:27" x14ac:dyDescent="0.35">
      <c r="A9567">
        <v>1027244</v>
      </c>
      <c r="B9567">
        <v>8892</v>
      </c>
      <c r="C9567">
        <v>1</v>
      </c>
      <c r="D9567" s="17" t="s">
        <v>17166</v>
      </c>
      <c r="E9567" s="17"/>
      <c r="F9567" s="17" t="s">
        <v>17246</v>
      </c>
      <c r="G9567" s="17"/>
      <c r="H9567" s="17" t="s">
        <v>20919</v>
      </c>
      <c r="I9567" s="17"/>
      <c r="J9567" s="17" t="s">
        <v>21313</v>
      </c>
      <c r="K9567" s="17"/>
      <c r="L9567" s="17" t="s">
        <v>21326</v>
      </c>
      <c r="M9567" s="17"/>
      <c r="N9567" s="17" t="s">
        <v>21577</v>
      </c>
      <c r="O9567" s="17"/>
      <c r="P9567" s="17" t="s">
        <v>43482</v>
      </c>
      <c r="Q9567" s="17"/>
      <c r="R9567" s="25" t="str">
        <f>HYPERLINK("https://ictv.global/taxonomy/taxondetails?taxnode_id=202316452","Lyejrivirus arvenecus")</f>
        <v>Lyejrivirus arvenecus</v>
      </c>
      <c r="S9567" s="18" t="s">
        <v>30</v>
      </c>
      <c r="T9567" s="18" t="s">
        <v>43483</v>
      </c>
      <c r="U9567" s="18"/>
      <c r="V9567" s="18"/>
      <c r="W9567" s="18" t="s">
        <v>43484</v>
      </c>
      <c r="X9567" s="18" t="s">
        <v>35</v>
      </c>
      <c r="Y9567" s="18" t="s">
        <v>17171</v>
      </c>
      <c r="Z9567" s="18" t="s">
        <v>24637</v>
      </c>
      <c r="AA9567" s="21" t="str">
        <f>HYPERLINK("https://www.ncbi.nlm.nih.gov/nuccore/CASDWV010003625","NCBI Nucleotide")</f>
        <v>NCBI Nucleotide</v>
      </c>
    </row>
    <row r="9568" spans="1:27" x14ac:dyDescent="0.35">
      <c r="A9568">
        <v>1027245</v>
      </c>
      <c r="B9568">
        <v>8893</v>
      </c>
      <c r="C9568">
        <v>1</v>
      </c>
      <c r="D9568" s="17" t="s">
        <v>17166</v>
      </c>
      <c r="E9568" s="17"/>
      <c r="F9568" s="17" t="s">
        <v>17246</v>
      </c>
      <c r="G9568" s="17"/>
      <c r="H9568" s="17" t="s">
        <v>20919</v>
      </c>
      <c r="I9568" s="17"/>
      <c r="J9568" s="17" t="s">
        <v>21313</v>
      </c>
      <c r="K9568" s="17"/>
      <c r="L9568" s="17" t="s">
        <v>21326</v>
      </c>
      <c r="M9568" s="17"/>
      <c r="N9568" s="17" t="s">
        <v>21577</v>
      </c>
      <c r="O9568" s="17"/>
      <c r="P9568" s="17" t="s">
        <v>43482</v>
      </c>
      <c r="Q9568" s="17"/>
      <c r="R9568" s="25" t="str">
        <f>HYPERLINK("https://ictv.global/taxonomy/taxondetails?taxnode_id=202316453","Lyejrivirus asienecus")</f>
        <v>Lyejrivirus asienecus</v>
      </c>
      <c r="S9568" s="18" t="s">
        <v>30</v>
      </c>
      <c r="T9568" s="18" t="s">
        <v>43485</v>
      </c>
      <c r="U9568" s="18"/>
      <c r="V9568" s="18"/>
      <c r="W9568" s="18" t="s">
        <v>43486</v>
      </c>
      <c r="X9568" s="18" t="s">
        <v>35</v>
      </c>
      <c r="Y9568" s="18" t="s">
        <v>17171</v>
      </c>
      <c r="Z9568" s="18" t="s">
        <v>24637</v>
      </c>
      <c r="AA9568" s="21" t="str">
        <f>HYPERLINK("https://www.ncbi.nlm.nih.gov/nuccore/CASDWV010004190","NCBI Nucleotide")</f>
        <v>NCBI Nucleotide</v>
      </c>
    </row>
    <row r="9569" spans="1:27" x14ac:dyDescent="0.35">
      <c r="A9569">
        <v>1027246</v>
      </c>
      <c r="B9569">
        <v>8894</v>
      </c>
      <c r="C9569">
        <v>1</v>
      </c>
      <c r="D9569" s="17" t="s">
        <v>17166</v>
      </c>
      <c r="E9569" s="17"/>
      <c r="F9569" s="17" t="s">
        <v>17246</v>
      </c>
      <c r="G9569" s="17"/>
      <c r="H9569" s="17" t="s">
        <v>20919</v>
      </c>
      <c r="I9569" s="17"/>
      <c r="J9569" s="17" t="s">
        <v>21313</v>
      </c>
      <c r="K9569" s="17"/>
      <c r="L9569" s="17" t="s">
        <v>21326</v>
      </c>
      <c r="M9569" s="17"/>
      <c r="N9569" s="17" t="s">
        <v>21577</v>
      </c>
      <c r="O9569" s="17"/>
      <c r="P9569" s="17" t="s">
        <v>43482</v>
      </c>
      <c r="Q9569" s="17"/>
      <c r="R9569" s="25" t="str">
        <f>HYPERLINK("https://ictv.global/taxonomy/taxondetails?taxnode_id=202316454","Lyejrivirus chorovicinum")</f>
        <v>Lyejrivirus chorovicinum</v>
      </c>
      <c r="S9569" s="18" t="s">
        <v>30</v>
      </c>
      <c r="T9569" s="18" t="s">
        <v>43487</v>
      </c>
      <c r="U9569" s="18"/>
      <c r="V9569" s="18"/>
      <c r="W9569" s="18" t="s">
        <v>43488</v>
      </c>
      <c r="X9569" s="18" t="s">
        <v>35</v>
      </c>
      <c r="Y9569" s="18" t="s">
        <v>17171</v>
      </c>
      <c r="Z9569" s="18" t="s">
        <v>24637</v>
      </c>
      <c r="AA9569" s="21" t="str">
        <f>HYPERLINK("https://www.ncbi.nlm.nih.gov/nuccore/CASDWV010001626","NCBI Nucleotide")</f>
        <v>NCBI Nucleotide</v>
      </c>
    </row>
    <row r="9570" spans="1:27" x14ac:dyDescent="0.35">
      <c r="A9570">
        <v>1027247</v>
      </c>
      <c r="B9570">
        <v>8895</v>
      </c>
      <c r="C9570">
        <v>1</v>
      </c>
      <c r="D9570" s="17" t="s">
        <v>17166</v>
      </c>
      <c r="E9570" s="17"/>
      <c r="F9570" s="17" t="s">
        <v>17246</v>
      </c>
      <c r="G9570" s="17"/>
      <c r="H9570" s="17" t="s">
        <v>20919</v>
      </c>
      <c r="I9570" s="17"/>
      <c r="J9570" s="17" t="s">
        <v>21313</v>
      </c>
      <c r="K9570" s="17"/>
      <c r="L9570" s="17" t="s">
        <v>21326</v>
      </c>
      <c r="M9570" s="17"/>
      <c r="N9570" s="17" t="s">
        <v>21577</v>
      </c>
      <c r="O9570" s="17"/>
      <c r="P9570" s="17" t="s">
        <v>43482</v>
      </c>
      <c r="Q9570" s="17"/>
      <c r="R9570" s="25" t="str">
        <f>HYPERLINK("https://ictv.global/taxonomy/taxondetails?taxnode_id=202316455","Lyejrivirus edaphadaptatum")</f>
        <v>Lyejrivirus edaphadaptatum</v>
      </c>
      <c r="S9570" s="18" t="s">
        <v>30</v>
      </c>
      <c r="T9570" s="18" t="s">
        <v>43489</v>
      </c>
      <c r="U9570" s="18"/>
      <c r="V9570" s="18"/>
      <c r="W9570" s="18" t="s">
        <v>43490</v>
      </c>
      <c r="X9570" s="18" t="s">
        <v>35</v>
      </c>
      <c r="Y9570" s="18" t="s">
        <v>17171</v>
      </c>
      <c r="Z9570" s="18" t="s">
        <v>24637</v>
      </c>
      <c r="AA9570" s="21" t="str">
        <f>HYPERLINK("https://www.ncbi.nlm.nih.gov/nuccore/CASDWV010000970","NCBI Nucleotide")</f>
        <v>NCBI Nucleotide</v>
      </c>
    </row>
    <row r="9571" spans="1:27" x14ac:dyDescent="0.35">
      <c r="A9571">
        <v>1027248</v>
      </c>
      <c r="B9571">
        <v>8896</v>
      </c>
      <c r="C9571">
        <v>1</v>
      </c>
      <c r="D9571" s="17" t="s">
        <v>17166</v>
      </c>
      <c r="E9571" s="17"/>
      <c r="F9571" s="17" t="s">
        <v>17246</v>
      </c>
      <c r="G9571" s="17"/>
      <c r="H9571" s="17" t="s">
        <v>20919</v>
      </c>
      <c r="I9571" s="17"/>
      <c r="J9571" s="17" t="s">
        <v>21313</v>
      </c>
      <c r="K9571" s="17"/>
      <c r="L9571" s="17" t="s">
        <v>21326</v>
      </c>
      <c r="M9571" s="17"/>
      <c r="N9571" s="17" t="s">
        <v>21577</v>
      </c>
      <c r="O9571" s="17"/>
      <c r="P9571" s="17" t="s">
        <v>43482</v>
      </c>
      <c r="Q9571" s="17"/>
      <c r="R9571" s="25" t="str">
        <f>HYPERLINK("https://ictv.global/taxonomy/taxondetails?taxnode_id=202316456","Lyejrivirus pedadaptatum")</f>
        <v>Lyejrivirus pedadaptatum</v>
      </c>
      <c r="S9571" s="18" t="s">
        <v>30</v>
      </c>
      <c r="T9571" s="18" t="s">
        <v>43491</v>
      </c>
      <c r="U9571" s="18"/>
      <c r="V9571" s="18"/>
      <c r="W9571" s="18" t="s">
        <v>43492</v>
      </c>
      <c r="X9571" s="18" t="s">
        <v>35</v>
      </c>
      <c r="Y9571" s="18" t="s">
        <v>17171</v>
      </c>
      <c r="Z9571" s="18" t="s">
        <v>24637</v>
      </c>
      <c r="AA9571" s="21" t="str">
        <f>HYPERLINK("https://www.ncbi.nlm.nih.gov/nuccore/CASDWV010001175","NCBI Nucleotide")</f>
        <v>NCBI Nucleotide</v>
      </c>
    </row>
    <row r="9572" spans="1:27" x14ac:dyDescent="0.35">
      <c r="A9572">
        <v>1027249</v>
      </c>
      <c r="B9572">
        <v>8897</v>
      </c>
      <c r="C9572">
        <v>1</v>
      </c>
      <c r="D9572" s="17" t="s">
        <v>17166</v>
      </c>
      <c r="E9572" s="17"/>
      <c r="F9572" s="17" t="s">
        <v>17246</v>
      </c>
      <c r="G9572" s="17"/>
      <c r="H9572" s="17" t="s">
        <v>20919</v>
      </c>
      <c r="I9572" s="17"/>
      <c r="J9572" s="17" t="s">
        <v>21313</v>
      </c>
      <c r="K9572" s="17"/>
      <c r="L9572" s="17" t="s">
        <v>21326</v>
      </c>
      <c r="M9572" s="17"/>
      <c r="N9572" s="17" t="s">
        <v>21577</v>
      </c>
      <c r="O9572" s="17"/>
      <c r="P9572" s="17" t="s">
        <v>43482</v>
      </c>
      <c r="Q9572" s="17"/>
      <c r="R9572" s="25" t="str">
        <f>HYPERLINK("https://ictv.global/taxonomy/taxondetails?taxnode_id=202316457","Lyejrivirus pedohabitans")</f>
        <v>Lyejrivirus pedohabitans</v>
      </c>
      <c r="S9572" s="18" t="s">
        <v>30</v>
      </c>
      <c r="T9572" s="18" t="s">
        <v>43493</v>
      </c>
      <c r="U9572" s="18"/>
      <c r="V9572" s="18"/>
      <c r="W9572" s="18" t="s">
        <v>43494</v>
      </c>
      <c r="X9572" s="18" t="s">
        <v>35</v>
      </c>
      <c r="Y9572" s="18" t="s">
        <v>17171</v>
      </c>
      <c r="Z9572" s="18" t="s">
        <v>24637</v>
      </c>
      <c r="AA9572" s="21" t="str">
        <f>HYPERLINK("https://www.ncbi.nlm.nih.gov/nuccore/CASDWV010001567","NCBI Nucleotide")</f>
        <v>NCBI Nucleotide</v>
      </c>
    </row>
    <row r="9573" spans="1:27" x14ac:dyDescent="0.35">
      <c r="A9573">
        <v>1027250</v>
      </c>
      <c r="B9573">
        <v>8898</v>
      </c>
      <c r="C9573">
        <v>1</v>
      </c>
      <c r="D9573" s="17" t="s">
        <v>17166</v>
      </c>
      <c r="E9573" s="17"/>
      <c r="F9573" s="17" t="s">
        <v>17246</v>
      </c>
      <c r="G9573" s="17"/>
      <c r="H9573" s="17" t="s">
        <v>20919</v>
      </c>
      <c r="I9573" s="17"/>
      <c r="J9573" s="17" t="s">
        <v>21313</v>
      </c>
      <c r="K9573" s="17"/>
      <c r="L9573" s="17" t="s">
        <v>21326</v>
      </c>
      <c r="M9573" s="17"/>
      <c r="N9573" s="17" t="s">
        <v>21577</v>
      </c>
      <c r="O9573" s="17"/>
      <c r="P9573" s="17" t="s">
        <v>43482</v>
      </c>
      <c r="Q9573" s="17"/>
      <c r="R9573" s="25" t="str">
        <f>HYPERLINK("https://ictv.global/taxonomy/taxondetails?taxnode_id=202316458","Lyejrivirus peladaptatum")</f>
        <v>Lyejrivirus peladaptatum</v>
      </c>
      <c r="S9573" s="18" t="s">
        <v>30</v>
      </c>
      <c r="T9573" s="18" t="s">
        <v>43495</v>
      </c>
      <c r="U9573" s="18"/>
      <c r="V9573" s="18"/>
      <c r="W9573" s="18" t="s">
        <v>43496</v>
      </c>
      <c r="X9573" s="18" t="s">
        <v>35</v>
      </c>
      <c r="Y9573" s="18" t="s">
        <v>17171</v>
      </c>
      <c r="Z9573" s="18" t="s">
        <v>24637</v>
      </c>
      <c r="AA9573" s="21" t="str">
        <f>HYPERLINK("https://www.ncbi.nlm.nih.gov/nuccore/CASDWV010004850","NCBI Nucleotide")</f>
        <v>NCBI Nucleotide</v>
      </c>
    </row>
    <row r="9574" spans="1:27" x14ac:dyDescent="0.35">
      <c r="A9574">
        <v>1027251</v>
      </c>
      <c r="B9574">
        <v>8899</v>
      </c>
      <c r="C9574">
        <v>1</v>
      </c>
      <c r="D9574" s="17" t="s">
        <v>17166</v>
      </c>
      <c r="E9574" s="17"/>
      <c r="F9574" s="17" t="s">
        <v>17246</v>
      </c>
      <c r="G9574" s="17"/>
      <c r="H9574" s="17" t="s">
        <v>20919</v>
      </c>
      <c r="I9574" s="17"/>
      <c r="J9574" s="17" t="s">
        <v>21313</v>
      </c>
      <c r="K9574" s="17"/>
      <c r="L9574" s="17" t="s">
        <v>21326</v>
      </c>
      <c r="M9574" s="17"/>
      <c r="N9574" s="17" t="s">
        <v>21577</v>
      </c>
      <c r="O9574" s="17"/>
      <c r="P9574" s="17" t="s">
        <v>43482</v>
      </c>
      <c r="Q9574" s="17"/>
      <c r="R9574" s="25" t="str">
        <f>HYPERLINK("https://ictv.global/taxonomy/taxondetails?taxnode_id=202316459","Lyejrivirus terradaptatum")</f>
        <v>Lyejrivirus terradaptatum</v>
      </c>
      <c r="S9574" s="18" t="s">
        <v>30</v>
      </c>
      <c r="T9574" s="18" t="s">
        <v>43497</v>
      </c>
      <c r="U9574" s="18"/>
      <c r="V9574" s="18"/>
      <c r="W9574" s="18" t="s">
        <v>43498</v>
      </c>
      <c r="X9574" s="18" t="s">
        <v>35</v>
      </c>
      <c r="Y9574" s="18" t="s">
        <v>17171</v>
      </c>
      <c r="Z9574" s="18" t="s">
        <v>24637</v>
      </c>
      <c r="AA9574" s="21" t="str">
        <f>HYPERLINK("https://www.ncbi.nlm.nih.gov/nuccore/CASDWV010001355","NCBI Nucleotide")</f>
        <v>NCBI Nucleotide</v>
      </c>
    </row>
    <row r="9575" spans="1:27" x14ac:dyDescent="0.35">
      <c r="A9575">
        <v>1027318</v>
      </c>
      <c r="B9575">
        <v>8900</v>
      </c>
      <c r="C9575">
        <v>1</v>
      </c>
      <c r="D9575" s="17" t="s">
        <v>17166</v>
      </c>
      <c r="E9575" s="17"/>
      <c r="F9575" s="17" t="s">
        <v>17246</v>
      </c>
      <c r="G9575" s="17"/>
      <c r="H9575" s="17" t="s">
        <v>20919</v>
      </c>
      <c r="I9575" s="17"/>
      <c r="J9575" s="17" t="s">
        <v>21313</v>
      </c>
      <c r="K9575" s="17"/>
      <c r="L9575" s="17" t="s">
        <v>21326</v>
      </c>
      <c r="M9575" s="17"/>
      <c r="N9575" s="17" t="s">
        <v>21577</v>
      </c>
      <c r="O9575" s="17"/>
      <c r="P9575" s="17" t="s">
        <v>21927</v>
      </c>
      <c r="Q9575" s="17"/>
      <c r="R9575" s="25" t="str">
        <f>HYPERLINK("https://ictv.global/taxonomy/taxondetails?taxnode_id=202316460","Mahqeavirus dinebradaptatum")</f>
        <v>Mahqeavirus dinebradaptatum</v>
      </c>
      <c r="S9575" s="18" t="s">
        <v>30</v>
      </c>
      <c r="T9575" s="18" t="s">
        <v>43499</v>
      </c>
      <c r="U9575" s="18"/>
      <c r="V9575" s="18" t="s">
        <v>43500</v>
      </c>
      <c r="W9575" s="18" t="s">
        <v>43501</v>
      </c>
      <c r="X9575" s="18" t="s">
        <v>35</v>
      </c>
      <c r="Y9575" s="18" t="s">
        <v>17171</v>
      </c>
      <c r="Z9575" s="18" t="s">
        <v>17336</v>
      </c>
      <c r="AA9575" s="21" t="str">
        <f>HYPERLINK("https://www.ncbi.nlm.nih.gov/nuccore/OM514534","NCBI Nucleotide")</f>
        <v>NCBI Nucleotide</v>
      </c>
    </row>
    <row r="9576" spans="1:27" x14ac:dyDescent="0.35">
      <c r="A9576">
        <v>1027319</v>
      </c>
      <c r="B9576">
        <v>8901</v>
      </c>
      <c r="C9576">
        <v>1</v>
      </c>
      <c r="D9576" s="17" t="s">
        <v>17166</v>
      </c>
      <c r="E9576" s="17"/>
      <c r="F9576" s="17" t="s">
        <v>17246</v>
      </c>
      <c r="G9576" s="17"/>
      <c r="H9576" s="17" t="s">
        <v>20919</v>
      </c>
      <c r="I9576" s="17"/>
      <c r="J9576" s="17" t="s">
        <v>21313</v>
      </c>
      <c r="K9576" s="17"/>
      <c r="L9576" s="17" t="s">
        <v>21326</v>
      </c>
      <c r="M9576" s="17"/>
      <c r="N9576" s="17" t="s">
        <v>21577</v>
      </c>
      <c r="O9576" s="17"/>
      <c r="P9576" s="17" t="s">
        <v>21927</v>
      </c>
      <c r="Q9576" s="17"/>
      <c r="R9576" s="25" t="str">
        <f>HYPERLINK("https://ictv.global/taxonomy/taxondetails?taxnode_id=202316461","Mahqeavirus dinebrenecus")</f>
        <v>Mahqeavirus dinebrenecus</v>
      </c>
      <c r="S9576" s="18" t="s">
        <v>30</v>
      </c>
      <c r="T9576" s="18" t="s">
        <v>43502</v>
      </c>
      <c r="U9576" s="18"/>
      <c r="V9576" s="18" t="s">
        <v>43503</v>
      </c>
      <c r="W9576" s="18" t="s">
        <v>43504</v>
      </c>
      <c r="X9576" s="18" t="s">
        <v>35</v>
      </c>
      <c r="Y9576" s="18" t="s">
        <v>17171</v>
      </c>
      <c r="Z9576" s="18" t="s">
        <v>17336</v>
      </c>
      <c r="AA9576" s="21" t="str">
        <f>HYPERLINK("https://www.ncbi.nlm.nih.gov/nuccore/OM514508","NCBI Nucleotide")</f>
        <v>NCBI Nucleotide</v>
      </c>
    </row>
    <row r="9577" spans="1:27" x14ac:dyDescent="0.35">
      <c r="A9577">
        <v>1027320</v>
      </c>
      <c r="B9577">
        <v>8902</v>
      </c>
      <c r="C9577">
        <v>1</v>
      </c>
      <c r="D9577" s="17" t="s">
        <v>17166</v>
      </c>
      <c r="E9577" s="17"/>
      <c r="F9577" s="17" t="s">
        <v>17246</v>
      </c>
      <c r="G9577" s="17"/>
      <c r="H9577" s="17" t="s">
        <v>20919</v>
      </c>
      <c r="I9577" s="17"/>
      <c r="J9577" s="17" t="s">
        <v>21313</v>
      </c>
      <c r="K9577" s="17"/>
      <c r="L9577" s="17" t="s">
        <v>21326</v>
      </c>
      <c r="M9577" s="17"/>
      <c r="N9577" s="17" t="s">
        <v>21577</v>
      </c>
      <c r="O9577" s="17"/>
      <c r="P9577" s="17" t="s">
        <v>21927</v>
      </c>
      <c r="Q9577" s="17"/>
      <c r="R9577" s="25" t="str">
        <f>HYPERLINK("https://ictv.global/taxonomy/taxondetails?taxnode_id=202316462","Mahqeavirus dinebrivivens")</f>
        <v>Mahqeavirus dinebrivivens</v>
      </c>
      <c r="S9577" s="18" t="s">
        <v>30</v>
      </c>
      <c r="T9577" s="18" t="s">
        <v>43505</v>
      </c>
      <c r="U9577" s="18"/>
      <c r="V9577" s="18" t="s">
        <v>43506</v>
      </c>
      <c r="W9577" s="18" t="s">
        <v>43507</v>
      </c>
      <c r="X9577" s="18" t="s">
        <v>35</v>
      </c>
      <c r="Y9577" s="18" t="s">
        <v>17171</v>
      </c>
      <c r="Z9577" s="18" t="s">
        <v>17336</v>
      </c>
      <c r="AA9577" s="21" t="str">
        <f>HYPERLINK("https://www.ncbi.nlm.nih.gov/nuccore/OM514509","NCBI Nucleotide")</f>
        <v>NCBI Nucleotide</v>
      </c>
    </row>
    <row r="9578" spans="1:27" x14ac:dyDescent="0.35">
      <c r="A9578">
        <v>1027321</v>
      </c>
      <c r="B9578">
        <v>8903</v>
      </c>
      <c r="C9578">
        <v>1</v>
      </c>
      <c r="D9578" s="17" t="s">
        <v>17166</v>
      </c>
      <c r="E9578" s="17"/>
      <c r="F9578" s="17" t="s">
        <v>17246</v>
      </c>
      <c r="G9578" s="17"/>
      <c r="H9578" s="17" t="s">
        <v>20919</v>
      </c>
      <c r="I9578" s="17"/>
      <c r="J9578" s="17" t="s">
        <v>21313</v>
      </c>
      <c r="K9578" s="17"/>
      <c r="L9578" s="17" t="s">
        <v>21326</v>
      </c>
      <c r="M9578" s="17"/>
      <c r="N9578" s="17" t="s">
        <v>21577</v>
      </c>
      <c r="O9578" s="17"/>
      <c r="P9578" s="17" t="s">
        <v>21927</v>
      </c>
      <c r="Q9578" s="17"/>
      <c r="R9578" s="25" t="str">
        <f>HYPERLINK("https://ictv.global/taxonomy/taxondetails?taxnode_id=202316463","Mahqeavirus humadaptatum")</f>
        <v>Mahqeavirus humadaptatum</v>
      </c>
      <c r="S9578" s="18" t="s">
        <v>30</v>
      </c>
      <c r="T9578" s="18" t="s">
        <v>43508</v>
      </c>
      <c r="U9578" s="18"/>
      <c r="V9578" s="18"/>
      <c r="W9578" s="18" t="s">
        <v>43509</v>
      </c>
      <c r="X9578" s="18" t="s">
        <v>35</v>
      </c>
      <c r="Y9578" s="18" t="s">
        <v>17171</v>
      </c>
      <c r="Z9578" s="18" t="s">
        <v>24637</v>
      </c>
      <c r="AA9578" s="21" t="str">
        <f>HYPERLINK("https://www.ncbi.nlm.nih.gov/nuccore/CASDWV010002209","NCBI Nucleotide")</f>
        <v>NCBI Nucleotide</v>
      </c>
    </row>
    <row r="9579" spans="1:27" x14ac:dyDescent="0.35">
      <c r="A9579">
        <v>1009590</v>
      </c>
      <c r="B9579">
        <v>8904</v>
      </c>
      <c r="C9579">
        <v>1</v>
      </c>
      <c r="D9579" s="17" t="s">
        <v>17166</v>
      </c>
      <c r="E9579" s="17"/>
      <c r="F9579" s="17" t="s">
        <v>17246</v>
      </c>
      <c r="G9579" s="17"/>
      <c r="H9579" s="17" t="s">
        <v>20919</v>
      </c>
      <c r="I9579" s="17"/>
      <c r="J9579" s="17" t="s">
        <v>21313</v>
      </c>
      <c r="K9579" s="17"/>
      <c r="L9579" s="17" t="s">
        <v>21326</v>
      </c>
      <c r="M9579" s="17"/>
      <c r="N9579" s="17" t="s">
        <v>21577</v>
      </c>
      <c r="O9579" s="17"/>
      <c r="P9579" s="17" t="s">
        <v>21927</v>
      </c>
      <c r="Q9579" s="17"/>
      <c r="R9579" s="25" t="str">
        <f>HYPERLINK("https://ictv.global/taxonomy/taxondetails?taxnode_id=202310445","Mahqeavirus limicola")</f>
        <v>Mahqeavirus limicola</v>
      </c>
      <c r="S9579" s="18" t="s">
        <v>30</v>
      </c>
      <c r="T9579" s="18" t="s">
        <v>21928</v>
      </c>
      <c r="U9579" s="18"/>
      <c r="V9579" s="18"/>
      <c r="W9579" s="18" t="s">
        <v>21929</v>
      </c>
      <c r="X9579" s="18" t="s">
        <v>35</v>
      </c>
      <c r="Y9579" s="18" t="s">
        <v>17171</v>
      </c>
      <c r="Z9579" s="18" t="s">
        <v>697</v>
      </c>
      <c r="AA9579" s="21" t="str">
        <f>HYPERLINK("https://www.ncbi.nlm.nih.gov/nuccore/BK013682","NCBI Nucleotide")</f>
        <v>NCBI Nucleotide</v>
      </c>
    </row>
    <row r="9580" spans="1:27" x14ac:dyDescent="0.35">
      <c r="A9580">
        <v>1009591</v>
      </c>
      <c r="B9580">
        <v>8905</v>
      </c>
      <c r="C9580">
        <v>1</v>
      </c>
      <c r="D9580" s="17" t="s">
        <v>17166</v>
      </c>
      <c r="E9580" s="17"/>
      <c r="F9580" s="17" t="s">
        <v>17246</v>
      </c>
      <c r="G9580" s="17"/>
      <c r="H9580" s="17" t="s">
        <v>20919</v>
      </c>
      <c r="I9580" s="17"/>
      <c r="J9580" s="17" t="s">
        <v>21313</v>
      </c>
      <c r="K9580" s="17"/>
      <c r="L9580" s="17" t="s">
        <v>21326</v>
      </c>
      <c r="M9580" s="17"/>
      <c r="N9580" s="17" t="s">
        <v>21577</v>
      </c>
      <c r="O9580" s="17"/>
      <c r="P9580" s="17" t="s">
        <v>21927</v>
      </c>
      <c r="Q9580" s="17"/>
      <c r="R9580" s="25" t="str">
        <f>HYPERLINK("https://ictv.global/taxonomy/taxondetails?taxnode_id=202310446","Mahqeavirus limihabitans")</f>
        <v>Mahqeavirus limihabitans</v>
      </c>
      <c r="S9580" s="18" t="s">
        <v>30</v>
      </c>
      <c r="T9580" s="18" t="s">
        <v>21930</v>
      </c>
      <c r="U9580" s="18"/>
      <c r="V9580" s="18"/>
      <c r="W9580" s="18" t="s">
        <v>21931</v>
      </c>
      <c r="X9580" s="18" t="s">
        <v>35</v>
      </c>
      <c r="Y9580" s="18" t="s">
        <v>17171</v>
      </c>
      <c r="Z9580" s="18" t="s">
        <v>697</v>
      </c>
      <c r="AA9580" s="21" t="str">
        <f>HYPERLINK("https://www.ncbi.nlm.nih.gov/nuccore/BK013753","NCBI Nucleotide")</f>
        <v>NCBI Nucleotide</v>
      </c>
    </row>
    <row r="9581" spans="1:27" x14ac:dyDescent="0.35">
      <c r="A9581">
        <v>1009592</v>
      </c>
      <c r="B9581">
        <v>8906</v>
      </c>
      <c r="C9581">
        <v>1</v>
      </c>
      <c r="D9581" s="17" t="s">
        <v>17166</v>
      </c>
      <c r="E9581" s="17"/>
      <c r="F9581" s="17" t="s">
        <v>17246</v>
      </c>
      <c r="G9581" s="17"/>
      <c r="H9581" s="17" t="s">
        <v>20919</v>
      </c>
      <c r="I9581" s="17"/>
      <c r="J9581" s="17" t="s">
        <v>21313</v>
      </c>
      <c r="K9581" s="17"/>
      <c r="L9581" s="17" t="s">
        <v>21326</v>
      </c>
      <c r="M9581" s="17"/>
      <c r="N9581" s="17" t="s">
        <v>21577</v>
      </c>
      <c r="O9581" s="17"/>
      <c r="P9581" s="17" t="s">
        <v>21932</v>
      </c>
      <c r="Q9581" s="17"/>
      <c r="R9581" s="25" t="str">
        <f>HYPERLINK("https://ictv.global/taxonomy/taxondetails?taxnode_id=202310448","Mahraivirus limivicinum")</f>
        <v>Mahraivirus limivicinum</v>
      </c>
      <c r="S9581" s="18" t="s">
        <v>30</v>
      </c>
      <c r="T9581" s="18" t="s">
        <v>21933</v>
      </c>
      <c r="U9581" s="18"/>
      <c r="V9581" s="18"/>
      <c r="W9581" s="18" t="s">
        <v>21934</v>
      </c>
      <c r="X9581" s="18" t="s">
        <v>35</v>
      </c>
      <c r="Y9581" s="18" t="s">
        <v>17171</v>
      </c>
      <c r="Z9581" s="18" t="s">
        <v>697</v>
      </c>
      <c r="AA9581" s="21" t="str">
        <f>HYPERLINK("https://www.ncbi.nlm.nih.gov/nuccore/BK014105","NCBI Nucleotide")</f>
        <v>NCBI Nucleotide</v>
      </c>
    </row>
    <row r="9582" spans="1:27" x14ac:dyDescent="0.35">
      <c r="A9582">
        <v>1027323</v>
      </c>
      <c r="B9582">
        <v>8907</v>
      </c>
      <c r="C9582">
        <v>1</v>
      </c>
      <c r="D9582" s="17" t="s">
        <v>17166</v>
      </c>
      <c r="E9582" s="17"/>
      <c r="F9582" s="17" t="s">
        <v>17246</v>
      </c>
      <c r="G9582" s="17"/>
      <c r="H9582" s="17" t="s">
        <v>20919</v>
      </c>
      <c r="I9582" s="17"/>
      <c r="J9582" s="17" t="s">
        <v>21313</v>
      </c>
      <c r="K9582" s="17"/>
      <c r="L9582" s="17" t="s">
        <v>21326</v>
      </c>
      <c r="M9582" s="17"/>
      <c r="N9582" s="17" t="s">
        <v>21577</v>
      </c>
      <c r="O9582" s="17"/>
      <c r="P9582" s="17" t="s">
        <v>43510</v>
      </c>
      <c r="Q9582" s="17"/>
      <c r="R9582" s="25" t="str">
        <f>HYPERLINK("https://ictv.global/taxonomy/taxondetails?taxnode_id=202316464","Mahrtovirus chthonohabitans")</f>
        <v>Mahrtovirus chthonohabitans</v>
      </c>
      <c r="S9582" s="18" t="s">
        <v>30</v>
      </c>
      <c r="T9582" s="18" t="s">
        <v>43511</v>
      </c>
      <c r="U9582" s="18"/>
      <c r="V9582" s="18"/>
      <c r="W9582" s="18" t="s">
        <v>43512</v>
      </c>
      <c r="X9582" s="18" t="s">
        <v>35</v>
      </c>
      <c r="Y9582" s="18" t="s">
        <v>17171</v>
      </c>
      <c r="Z9582" s="18" t="s">
        <v>24637</v>
      </c>
      <c r="AA9582" s="21" t="str">
        <f>HYPERLINK("https://www.ncbi.nlm.nih.gov/nuccore/CASDWV010000608","NCBI Nucleotide")</f>
        <v>NCBI Nucleotide</v>
      </c>
    </row>
    <row r="9583" spans="1:27" x14ac:dyDescent="0.35">
      <c r="A9583">
        <v>1027324</v>
      </c>
      <c r="B9583">
        <v>8908</v>
      </c>
      <c r="C9583">
        <v>1</v>
      </c>
      <c r="D9583" s="17" t="s">
        <v>17166</v>
      </c>
      <c r="E9583" s="17"/>
      <c r="F9583" s="17" t="s">
        <v>17246</v>
      </c>
      <c r="G9583" s="17"/>
      <c r="H9583" s="17" t="s">
        <v>20919</v>
      </c>
      <c r="I9583" s="17"/>
      <c r="J9583" s="17" t="s">
        <v>21313</v>
      </c>
      <c r="K9583" s="17"/>
      <c r="L9583" s="17" t="s">
        <v>21326</v>
      </c>
      <c r="M9583" s="17"/>
      <c r="N9583" s="17" t="s">
        <v>21577</v>
      </c>
      <c r="O9583" s="17"/>
      <c r="P9583" s="17" t="s">
        <v>43510</v>
      </c>
      <c r="Q9583" s="17"/>
      <c r="R9583" s="25" t="str">
        <f>HYPERLINK("https://ictv.global/taxonomy/taxondetails?taxnode_id=202316465","Mahrtovirus limivicinum")</f>
        <v>Mahrtovirus limivicinum</v>
      </c>
      <c r="S9583" s="18" t="s">
        <v>30</v>
      </c>
      <c r="T9583" s="18" t="s">
        <v>43513</v>
      </c>
      <c r="U9583" s="18"/>
      <c r="V9583" s="18"/>
      <c r="W9583" s="18" t="s">
        <v>43514</v>
      </c>
      <c r="X9583" s="18" t="s">
        <v>35</v>
      </c>
      <c r="Y9583" s="18" t="s">
        <v>17171</v>
      </c>
      <c r="Z9583" s="18" t="s">
        <v>24637</v>
      </c>
      <c r="AA9583" s="21" t="str">
        <f>HYPERLINK("https://www.ncbi.nlm.nih.gov/nuccore/CASDWV010000494","NCBI Nucleotide")</f>
        <v>NCBI Nucleotide</v>
      </c>
    </row>
    <row r="9584" spans="1:27" x14ac:dyDescent="0.35">
      <c r="A9584">
        <v>1027325</v>
      </c>
      <c r="B9584">
        <v>8909</v>
      </c>
      <c r="C9584">
        <v>1</v>
      </c>
      <c r="D9584" s="17" t="s">
        <v>17166</v>
      </c>
      <c r="E9584" s="17"/>
      <c r="F9584" s="17" t="s">
        <v>17246</v>
      </c>
      <c r="G9584" s="17"/>
      <c r="H9584" s="17" t="s">
        <v>20919</v>
      </c>
      <c r="I9584" s="17"/>
      <c r="J9584" s="17" t="s">
        <v>21313</v>
      </c>
      <c r="K9584" s="17"/>
      <c r="L9584" s="17" t="s">
        <v>21326</v>
      </c>
      <c r="M9584" s="17"/>
      <c r="N9584" s="17" t="s">
        <v>21577</v>
      </c>
      <c r="O9584" s="17"/>
      <c r="P9584" s="17" t="s">
        <v>43510</v>
      </c>
      <c r="Q9584" s="17"/>
      <c r="R9584" s="25" t="str">
        <f>HYPERLINK("https://ictv.global/taxonomy/taxondetails?taxnode_id=202316466","Mahrtovirus pelocola")</f>
        <v>Mahrtovirus pelocola</v>
      </c>
      <c r="S9584" s="18" t="s">
        <v>30</v>
      </c>
      <c r="T9584" s="18" t="s">
        <v>43515</v>
      </c>
      <c r="U9584" s="18"/>
      <c r="V9584" s="18"/>
      <c r="W9584" s="18" t="s">
        <v>43516</v>
      </c>
      <c r="X9584" s="18" t="s">
        <v>35</v>
      </c>
      <c r="Y9584" s="18" t="s">
        <v>17171</v>
      </c>
      <c r="Z9584" s="18" t="s">
        <v>24637</v>
      </c>
      <c r="AA9584" s="21" t="str">
        <f>HYPERLINK("https://www.ncbi.nlm.nih.gov/nuccore/CASDWV010000017","NCBI Nucleotide")</f>
        <v>NCBI Nucleotide</v>
      </c>
    </row>
    <row r="9585" spans="1:27" x14ac:dyDescent="0.35">
      <c r="A9585">
        <v>1009594</v>
      </c>
      <c r="B9585">
        <v>8910</v>
      </c>
      <c r="C9585">
        <v>1</v>
      </c>
      <c r="D9585" s="17" t="s">
        <v>17166</v>
      </c>
      <c r="E9585" s="17"/>
      <c r="F9585" s="17" t="s">
        <v>17246</v>
      </c>
      <c r="G9585" s="17"/>
      <c r="H9585" s="17" t="s">
        <v>20919</v>
      </c>
      <c r="I9585" s="17"/>
      <c r="J9585" s="17" t="s">
        <v>21313</v>
      </c>
      <c r="K9585" s="17"/>
      <c r="L9585" s="17" t="s">
        <v>21326</v>
      </c>
      <c r="M9585" s="17"/>
      <c r="N9585" s="17" t="s">
        <v>21577</v>
      </c>
      <c r="O9585" s="17"/>
      <c r="P9585" s="17" t="s">
        <v>21937</v>
      </c>
      <c r="Q9585" s="17"/>
      <c r="R9585" s="25" t="str">
        <f>HYPERLINK("https://ictv.global/taxonomy/taxondetails?taxnode_id=202310452","Manrohovirus lutadaptatum")</f>
        <v>Manrohovirus lutadaptatum</v>
      </c>
      <c r="S9585" s="18" t="s">
        <v>30</v>
      </c>
      <c r="T9585" s="18" t="s">
        <v>21938</v>
      </c>
      <c r="U9585" s="18"/>
      <c r="V9585" s="18"/>
      <c r="W9585" s="18" t="s">
        <v>21939</v>
      </c>
      <c r="X9585" s="18" t="s">
        <v>35</v>
      </c>
      <c r="Y9585" s="18" t="s">
        <v>17171</v>
      </c>
      <c r="Z9585" s="18" t="s">
        <v>697</v>
      </c>
      <c r="AA9585" s="21" t="str">
        <f>HYPERLINK("https://www.ncbi.nlm.nih.gov/nuccore/BK013699","NCBI Nucleotide")</f>
        <v>NCBI Nucleotide</v>
      </c>
    </row>
    <row r="9586" spans="1:27" x14ac:dyDescent="0.35">
      <c r="A9586">
        <v>1009595</v>
      </c>
      <c r="B9586">
        <v>8911</v>
      </c>
      <c r="C9586">
        <v>1</v>
      </c>
      <c r="D9586" s="17" t="s">
        <v>17166</v>
      </c>
      <c r="E9586" s="17"/>
      <c r="F9586" s="17" t="s">
        <v>17246</v>
      </c>
      <c r="G9586" s="17"/>
      <c r="H9586" s="17" t="s">
        <v>20919</v>
      </c>
      <c r="I9586" s="17"/>
      <c r="J9586" s="17" t="s">
        <v>21313</v>
      </c>
      <c r="K9586" s="17"/>
      <c r="L9586" s="17" t="s">
        <v>21326</v>
      </c>
      <c r="M9586" s="17"/>
      <c r="N9586" s="17" t="s">
        <v>21577</v>
      </c>
      <c r="O9586" s="17"/>
      <c r="P9586" s="17" t="s">
        <v>21940</v>
      </c>
      <c r="Q9586" s="17"/>
      <c r="R9586" s="25" t="str">
        <f>HYPERLINK("https://ictv.global/taxonomy/taxondetails?taxnode_id=202310454","Martavirus lutenecus")</f>
        <v>Martavirus lutenecus</v>
      </c>
      <c r="S9586" s="18" t="s">
        <v>30</v>
      </c>
      <c r="T9586" s="18" t="s">
        <v>21941</v>
      </c>
      <c r="U9586" s="18"/>
      <c r="V9586" s="18"/>
      <c r="W9586" s="18" t="s">
        <v>21942</v>
      </c>
      <c r="X9586" s="18" t="s">
        <v>35</v>
      </c>
      <c r="Y9586" s="18" t="s">
        <v>17171</v>
      </c>
      <c r="Z9586" s="18" t="s">
        <v>697</v>
      </c>
      <c r="AA9586" s="21" t="str">
        <f>HYPERLINK("https://www.ncbi.nlm.nih.gov/nuccore/BK013637","NCBI Nucleotide")</f>
        <v>NCBI Nucleotide</v>
      </c>
    </row>
    <row r="9587" spans="1:27" x14ac:dyDescent="0.35">
      <c r="A9587">
        <v>1027341</v>
      </c>
      <c r="B9587">
        <v>8912</v>
      </c>
      <c r="C9587">
        <v>1</v>
      </c>
      <c r="D9587" s="17" t="s">
        <v>17166</v>
      </c>
      <c r="E9587" s="17"/>
      <c r="F9587" s="17" t="s">
        <v>17246</v>
      </c>
      <c r="G9587" s="17"/>
      <c r="H9587" s="17" t="s">
        <v>20919</v>
      </c>
      <c r="I9587" s="17"/>
      <c r="J9587" s="17" t="s">
        <v>21313</v>
      </c>
      <c r="K9587" s="17"/>
      <c r="L9587" s="17" t="s">
        <v>21326</v>
      </c>
      <c r="M9587" s="17"/>
      <c r="N9587" s="17" t="s">
        <v>21577</v>
      </c>
      <c r="O9587" s="17"/>
      <c r="P9587" s="17" t="s">
        <v>43517</v>
      </c>
      <c r="Q9587" s="17"/>
      <c r="R9587" s="25" t="str">
        <f>HYPERLINK("https://ictv.global/taxonomy/taxondetails?taxnode_id=202316467","Martovirus solicola")</f>
        <v>Martovirus solicola</v>
      </c>
      <c r="S9587" s="18" t="s">
        <v>30</v>
      </c>
      <c r="T9587" s="18" t="s">
        <v>43518</v>
      </c>
      <c r="U9587" s="18"/>
      <c r="V9587" s="18"/>
      <c r="W9587" s="18" t="s">
        <v>43519</v>
      </c>
      <c r="X9587" s="18" t="s">
        <v>35</v>
      </c>
      <c r="Y9587" s="18" t="s">
        <v>17171</v>
      </c>
      <c r="Z9587" s="18" t="s">
        <v>24637</v>
      </c>
      <c r="AA9587" s="21" t="str">
        <f>HYPERLINK("https://www.ncbi.nlm.nih.gov/nuccore/CASDWV010000783","NCBI Nucleotide")</f>
        <v>NCBI Nucleotide</v>
      </c>
    </row>
    <row r="9588" spans="1:27" x14ac:dyDescent="0.35">
      <c r="A9588">
        <v>1027332</v>
      </c>
      <c r="B9588">
        <v>8913</v>
      </c>
      <c r="C9588">
        <v>1</v>
      </c>
      <c r="D9588" s="17" t="s">
        <v>17166</v>
      </c>
      <c r="E9588" s="17"/>
      <c r="F9588" s="17" t="s">
        <v>17246</v>
      </c>
      <c r="G9588" s="17"/>
      <c r="H9588" s="17" t="s">
        <v>20919</v>
      </c>
      <c r="I9588" s="17"/>
      <c r="J9588" s="17" t="s">
        <v>21313</v>
      </c>
      <c r="K9588" s="17"/>
      <c r="L9588" s="17" t="s">
        <v>21326</v>
      </c>
      <c r="M9588" s="17"/>
      <c r="N9588" s="17" t="s">
        <v>21577</v>
      </c>
      <c r="O9588" s="17"/>
      <c r="P9588" s="17" t="s">
        <v>43520</v>
      </c>
      <c r="Q9588" s="17"/>
      <c r="R9588" s="25" t="str">
        <f>HYPERLINK("https://ictv.global/taxonomy/taxondetails?taxnode_id=202316468","Maxstovirus chorenecus")</f>
        <v>Maxstovirus chorenecus</v>
      </c>
      <c r="S9588" s="18" t="s">
        <v>30</v>
      </c>
      <c r="T9588" s="18" t="s">
        <v>43521</v>
      </c>
      <c r="U9588" s="18"/>
      <c r="V9588" s="18"/>
      <c r="W9588" s="18" t="s">
        <v>43522</v>
      </c>
      <c r="X9588" s="18" t="s">
        <v>35</v>
      </c>
      <c r="Y9588" s="18" t="s">
        <v>17171</v>
      </c>
      <c r="Z9588" s="18" t="s">
        <v>24637</v>
      </c>
      <c r="AA9588" s="21" t="str">
        <f>HYPERLINK("https://www.ncbi.nlm.nih.gov/nuccore/CASDWV010000556","NCBI Nucleotide")</f>
        <v>NCBI Nucleotide</v>
      </c>
    </row>
    <row r="9589" spans="1:27" x14ac:dyDescent="0.35">
      <c r="A9589">
        <v>1027333</v>
      </c>
      <c r="B9589">
        <v>8914</v>
      </c>
      <c r="C9589">
        <v>1</v>
      </c>
      <c r="D9589" s="17" t="s">
        <v>17166</v>
      </c>
      <c r="E9589" s="17"/>
      <c r="F9589" s="17" t="s">
        <v>17246</v>
      </c>
      <c r="G9589" s="17"/>
      <c r="H9589" s="17" t="s">
        <v>20919</v>
      </c>
      <c r="I9589" s="17"/>
      <c r="J9589" s="17" t="s">
        <v>21313</v>
      </c>
      <c r="K9589" s="17"/>
      <c r="L9589" s="17" t="s">
        <v>21326</v>
      </c>
      <c r="M9589" s="17"/>
      <c r="N9589" s="17" t="s">
        <v>21577</v>
      </c>
      <c r="O9589" s="17"/>
      <c r="P9589" s="17" t="s">
        <v>43520</v>
      </c>
      <c r="Q9589" s="17"/>
      <c r="R9589" s="25" t="str">
        <f>HYPERLINK("https://ictv.global/taxonomy/taxondetails?taxnode_id=202316469","Maxstovirus chthonocola")</f>
        <v>Maxstovirus chthonocola</v>
      </c>
      <c r="S9589" s="18" t="s">
        <v>30</v>
      </c>
      <c r="T9589" s="18" t="s">
        <v>43523</v>
      </c>
      <c r="U9589" s="18"/>
      <c r="V9589" s="18"/>
      <c r="W9589" s="18" t="s">
        <v>43524</v>
      </c>
      <c r="X9589" s="18" t="s">
        <v>35</v>
      </c>
      <c r="Y9589" s="18" t="s">
        <v>17171</v>
      </c>
      <c r="Z9589" s="18" t="s">
        <v>24637</v>
      </c>
      <c r="AA9589" s="21" t="str">
        <f>HYPERLINK("https://www.ncbi.nlm.nih.gov/nuccore/CASDWV010001226","NCBI Nucleotide")</f>
        <v>NCBI Nucleotide</v>
      </c>
    </row>
    <row r="9590" spans="1:27" x14ac:dyDescent="0.35">
      <c r="A9590">
        <v>1027334</v>
      </c>
      <c r="B9590">
        <v>8915</v>
      </c>
      <c r="C9590">
        <v>1</v>
      </c>
      <c r="D9590" s="17" t="s">
        <v>17166</v>
      </c>
      <c r="E9590" s="17"/>
      <c r="F9590" s="17" t="s">
        <v>17246</v>
      </c>
      <c r="G9590" s="17"/>
      <c r="H9590" s="17" t="s">
        <v>20919</v>
      </c>
      <c r="I9590" s="17"/>
      <c r="J9590" s="17" t="s">
        <v>21313</v>
      </c>
      <c r="K9590" s="17"/>
      <c r="L9590" s="17" t="s">
        <v>21326</v>
      </c>
      <c r="M9590" s="17"/>
      <c r="N9590" s="17" t="s">
        <v>21577</v>
      </c>
      <c r="O9590" s="17"/>
      <c r="P9590" s="17" t="s">
        <v>43520</v>
      </c>
      <c r="Q9590" s="17"/>
      <c r="R9590" s="25" t="str">
        <f>HYPERLINK("https://ictv.global/taxonomy/taxondetails?taxnode_id=202316470","Maxstovirus geoadaptatum")</f>
        <v>Maxstovirus geoadaptatum</v>
      </c>
      <c r="S9590" s="18" t="s">
        <v>30</v>
      </c>
      <c r="T9590" s="18" t="s">
        <v>43525</v>
      </c>
      <c r="U9590" s="18"/>
      <c r="V9590" s="18"/>
      <c r="W9590" s="18" t="s">
        <v>43526</v>
      </c>
      <c r="X9590" s="18" t="s">
        <v>35</v>
      </c>
      <c r="Y9590" s="18" t="s">
        <v>17171</v>
      </c>
      <c r="Z9590" s="18" t="s">
        <v>24637</v>
      </c>
      <c r="AA9590" s="21" t="str">
        <f>HYPERLINK("https://www.ncbi.nlm.nih.gov/nuccore/CASDWV010001209","NCBI Nucleotide")</f>
        <v>NCBI Nucleotide</v>
      </c>
    </row>
    <row r="9591" spans="1:27" x14ac:dyDescent="0.35">
      <c r="A9591">
        <v>1009596</v>
      </c>
      <c r="B9591">
        <v>8916</v>
      </c>
      <c r="C9591">
        <v>1</v>
      </c>
      <c r="D9591" s="17" t="s">
        <v>17166</v>
      </c>
      <c r="E9591" s="17"/>
      <c r="F9591" s="17" t="s">
        <v>17246</v>
      </c>
      <c r="G9591" s="17"/>
      <c r="H9591" s="17" t="s">
        <v>20919</v>
      </c>
      <c r="I9591" s="17"/>
      <c r="J9591" s="17" t="s">
        <v>21313</v>
      </c>
      <c r="K9591" s="17"/>
      <c r="L9591" s="17" t="s">
        <v>21326</v>
      </c>
      <c r="M9591" s="17"/>
      <c r="N9591" s="17" t="s">
        <v>21577</v>
      </c>
      <c r="O9591" s="17"/>
      <c r="P9591" s="17" t="s">
        <v>21943</v>
      </c>
      <c r="Q9591" s="17"/>
      <c r="R9591" s="25" t="str">
        <f>HYPERLINK("https://ictv.global/taxonomy/taxondetails?taxnode_id=202310456","Meblowovirus defluviicola")</f>
        <v>Meblowovirus defluviicola</v>
      </c>
      <c r="S9591" s="18" t="s">
        <v>30</v>
      </c>
      <c r="T9591" s="18" t="s">
        <v>21944</v>
      </c>
      <c r="U9591" s="18"/>
      <c r="V9591" s="18"/>
      <c r="W9591" s="18" t="s">
        <v>21945</v>
      </c>
      <c r="X9591" s="18" t="s">
        <v>35</v>
      </c>
      <c r="Y9591" s="18" t="s">
        <v>17171</v>
      </c>
      <c r="Z9591" s="18" t="s">
        <v>697</v>
      </c>
      <c r="AA9591" s="21" t="str">
        <f>HYPERLINK("https://www.ncbi.nlm.nih.gov/nuccore/BK013374","NCBI Nucleotide")</f>
        <v>NCBI Nucleotide</v>
      </c>
    </row>
    <row r="9592" spans="1:27" x14ac:dyDescent="0.35">
      <c r="A9592">
        <v>1027335</v>
      </c>
      <c r="B9592">
        <v>8917</v>
      </c>
      <c r="C9592">
        <v>1</v>
      </c>
      <c r="D9592" s="17" t="s">
        <v>17166</v>
      </c>
      <c r="E9592" s="17"/>
      <c r="F9592" s="17" t="s">
        <v>17246</v>
      </c>
      <c r="G9592" s="17"/>
      <c r="H9592" s="17" t="s">
        <v>20919</v>
      </c>
      <c r="I9592" s="17"/>
      <c r="J9592" s="17" t="s">
        <v>21313</v>
      </c>
      <c r="K9592" s="17"/>
      <c r="L9592" s="17" t="s">
        <v>21326</v>
      </c>
      <c r="M9592" s="17"/>
      <c r="N9592" s="17" t="s">
        <v>21577</v>
      </c>
      <c r="O9592" s="17"/>
      <c r="P9592" s="17" t="s">
        <v>21946</v>
      </c>
      <c r="Q9592" s="17"/>
      <c r="R9592" s="25" t="str">
        <f>HYPERLINK("https://ictv.global/taxonomy/taxondetails?taxnode_id=202316471","Mehraxmevirus arvadaptatum")</f>
        <v>Mehraxmevirus arvadaptatum</v>
      </c>
      <c r="S9592" s="18" t="s">
        <v>30</v>
      </c>
      <c r="T9592" s="18" t="s">
        <v>43527</v>
      </c>
      <c r="U9592" s="18"/>
      <c r="V9592" s="18"/>
      <c r="W9592" s="18" t="s">
        <v>43528</v>
      </c>
      <c r="X9592" s="18" t="s">
        <v>35</v>
      </c>
      <c r="Y9592" s="18" t="s">
        <v>17171</v>
      </c>
      <c r="Z9592" s="18" t="s">
        <v>24637</v>
      </c>
      <c r="AA9592" s="21" t="str">
        <f>HYPERLINK("https://www.ncbi.nlm.nih.gov/nuccore/CASDWV010001619","NCBI Nucleotide")</f>
        <v>NCBI Nucleotide</v>
      </c>
    </row>
    <row r="9593" spans="1:27" x14ac:dyDescent="0.35">
      <c r="A9593">
        <v>1009718</v>
      </c>
      <c r="B9593">
        <v>8918</v>
      </c>
      <c r="C9593">
        <v>1</v>
      </c>
      <c r="D9593" s="17" t="s">
        <v>17166</v>
      </c>
      <c r="E9593" s="17"/>
      <c r="F9593" s="17" t="s">
        <v>17246</v>
      </c>
      <c r="G9593" s="17"/>
      <c r="H9593" s="17" t="s">
        <v>20919</v>
      </c>
      <c r="I9593" s="17"/>
      <c r="J9593" s="17" t="s">
        <v>21313</v>
      </c>
      <c r="K9593" s="17"/>
      <c r="L9593" s="17" t="s">
        <v>21326</v>
      </c>
      <c r="M9593" s="17"/>
      <c r="N9593" s="17" t="s">
        <v>21577</v>
      </c>
      <c r="O9593" s="17"/>
      <c r="P9593" s="17" t="s">
        <v>21946</v>
      </c>
      <c r="Q9593" s="17"/>
      <c r="R9593" s="25" t="str">
        <f>HYPERLINK("https://ictv.global/taxonomy/taxondetails?taxnode_id=202310642","Mehraxmevirus arvivicinum")</f>
        <v>Mehraxmevirus arvivicinum</v>
      </c>
      <c r="S9593" s="18" t="s">
        <v>30</v>
      </c>
      <c r="T9593" s="18" t="s">
        <v>22226</v>
      </c>
      <c r="U9593" s="18"/>
      <c r="V9593" s="18"/>
      <c r="W9593" s="18" t="s">
        <v>22227</v>
      </c>
      <c r="X9593" s="18" t="s">
        <v>35</v>
      </c>
      <c r="Y9593" s="18" t="s">
        <v>17171</v>
      </c>
      <c r="Z9593" s="18" t="s">
        <v>697</v>
      </c>
      <c r="AA9593" s="21" t="str">
        <f>HYPERLINK("https://www.ncbi.nlm.nih.gov/nuccore/BK013892","NCBI Nucleotide")</f>
        <v>NCBI Nucleotide</v>
      </c>
    </row>
    <row r="9594" spans="1:27" x14ac:dyDescent="0.35">
      <c r="A9594">
        <v>1027336</v>
      </c>
      <c r="B9594">
        <v>8919</v>
      </c>
      <c r="C9594">
        <v>1</v>
      </c>
      <c r="D9594" s="17" t="s">
        <v>17166</v>
      </c>
      <c r="E9594" s="17"/>
      <c r="F9594" s="17" t="s">
        <v>17246</v>
      </c>
      <c r="G9594" s="17"/>
      <c r="H9594" s="17" t="s">
        <v>20919</v>
      </c>
      <c r="I9594" s="17"/>
      <c r="J9594" s="17" t="s">
        <v>21313</v>
      </c>
      <c r="K9594" s="17"/>
      <c r="L9594" s="17" t="s">
        <v>21326</v>
      </c>
      <c r="M9594" s="17"/>
      <c r="N9594" s="17" t="s">
        <v>21577</v>
      </c>
      <c r="O9594" s="17"/>
      <c r="P9594" s="17" t="s">
        <v>21946</v>
      </c>
      <c r="Q9594" s="17"/>
      <c r="R9594" s="25" t="str">
        <f>HYPERLINK("https://ictv.global/taxonomy/taxondetails?taxnode_id=202316472","Mehraxmevirus caenivivens")</f>
        <v>Mehraxmevirus caenivivens</v>
      </c>
      <c r="S9594" s="18" t="s">
        <v>30</v>
      </c>
      <c r="T9594" s="18" t="s">
        <v>43529</v>
      </c>
      <c r="U9594" s="18"/>
      <c r="V9594" s="18"/>
      <c r="W9594" s="18" t="s">
        <v>43530</v>
      </c>
      <c r="X9594" s="18" t="s">
        <v>35</v>
      </c>
      <c r="Y9594" s="18" t="s">
        <v>17171</v>
      </c>
      <c r="Z9594" s="18" t="s">
        <v>24637</v>
      </c>
      <c r="AA9594" s="21" t="str">
        <f>HYPERLINK("https://www.ncbi.nlm.nih.gov/nuccore/CASDWV010002768","NCBI Nucleotide")</f>
        <v>NCBI Nucleotide</v>
      </c>
    </row>
    <row r="9595" spans="1:27" x14ac:dyDescent="0.35">
      <c r="A9595">
        <v>1027337</v>
      </c>
      <c r="B9595">
        <v>8920</v>
      </c>
      <c r="C9595">
        <v>1</v>
      </c>
      <c r="D9595" s="17" t="s">
        <v>17166</v>
      </c>
      <c r="E9595" s="17"/>
      <c r="F9595" s="17" t="s">
        <v>17246</v>
      </c>
      <c r="G9595" s="17"/>
      <c r="H9595" s="17" t="s">
        <v>20919</v>
      </c>
      <c r="I9595" s="17"/>
      <c r="J9595" s="17" t="s">
        <v>21313</v>
      </c>
      <c r="K9595" s="17"/>
      <c r="L9595" s="17" t="s">
        <v>21326</v>
      </c>
      <c r="M9595" s="17"/>
      <c r="N9595" s="17" t="s">
        <v>21577</v>
      </c>
      <c r="O9595" s="17"/>
      <c r="P9595" s="17" t="s">
        <v>21946</v>
      </c>
      <c r="Q9595" s="17"/>
      <c r="R9595" s="25" t="str">
        <f>HYPERLINK("https://ictv.global/taxonomy/taxondetails?taxnode_id=202316473","Mehraxmevirus messicola")</f>
        <v>Mehraxmevirus messicola</v>
      </c>
      <c r="S9595" s="18" t="s">
        <v>30</v>
      </c>
      <c r="T9595" s="18" t="s">
        <v>43531</v>
      </c>
      <c r="U9595" s="18"/>
      <c r="V9595" s="18"/>
      <c r="W9595" s="18" t="s">
        <v>43532</v>
      </c>
      <c r="X9595" s="18" t="s">
        <v>35</v>
      </c>
      <c r="Y9595" s="18" t="s">
        <v>17171</v>
      </c>
      <c r="Z9595" s="18" t="s">
        <v>24637</v>
      </c>
      <c r="AA9595" s="21" t="str">
        <f>HYPERLINK("https://www.ncbi.nlm.nih.gov/nuccore/CASDWV010001884","NCBI Nucleotide")</f>
        <v>NCBI Nucleotide</v>
      </c>
    </row>
    <row r="9596" spans="1:27" x14ac:dyDescent="0.35">
      <c r="A9596">
        <v>1027338</v>
      </c>
      <c r="B9596">
        <v>8921</v>
      </c>
      <c r="C9596">
        <v>1</v>
      </c>
      <c r="D9596" s="17" t="s">
        <v>17166</v>
      </c>
      <c r="E9596" s="17"/>
      <c r="F9596" s="17" t="s">
        <v>17246</v>
      </c>
      <c r="G9596" s="17"/>
      <c r="H9596" s="17" t="s">
        <v>20919</v>
      </c>
      <c r="I9596" s="17"/>
      <c r="J9596" s="17" t="s">
        <v>21313</v>
      </c>
      <c r="K9596" s="17"/>
      <c r="L9596" s="17" t="s">
        <v>21326</v>
      </c>
      <c r="M9596" s="17"/>
      <c r="N9596" s="17" t="s">
        <v>21577</v>
      </c>
      <c r="O9596" s="17"/>
      <c r="P9596" s="17" t="s">
        <v>21946</v>
      </c>
      <c r="Q9596" s="17"/>
      <c r="R9596" s="25" t="str">
        <f>HYPERLINK("https://ictv.global/taxonomy/taxondetails?taxnode_id=202316474","Mehraxmevirus neopedohabitans")</f>
        <v>Mehraxmevirus neopedohabitans</v>
      </c>
      <c r="S9596" s="18" t="s">
        <v>30</v>
      </c>
      <c r="T9596" s="18" t="s">
        <v>43533</v>
      </c>
      <c r="U9596" s="18"/>
      <c r="V9596" s="18"/>
      <c r="W9596" s="18" t="s">
        <v>43534</v>
      </c>
      <c r="X9596" s="18" t="s">
        <v>35</v>
      </c>
      <c r="Y9596" s="18" t="s">
        <v>17171</v>
      </c>
      <c r="Z9596" s="18" t="s">
        <v>24637</v>
      </c>
      <c r="AA9596" s="21" t="str">
        <f>HYPERLINK("https://www.ncbi.nlm.nih.gov/nuccore/CASDWV010004684","NCBI Nucleotide")</f>
        <v>NCBI Nucleotide</v>
      </c>
    </row>
    <row r="9597" spans="1:27" x14ac:dyDescent="0.35">
      <c r="A9597">
        <v>1009597</v>
      </c>
      <c r="B9597">
        <v>8922</v>
      </c>
      <c r="C9597">
        <v>1</v>
      </c>
      <c r="D9597" s="17" t="s">
        <v>17166</v>
      </c>
      <c r="E9597" s="17"/>
      <c r="F9597" s="17" t="s">
        <v>17246</v>
      </c>
      <c r="G9597" s="17"/>
      <c r="H9597" s="17" t="s">
        <v>20919</v>
      </c>
      <c r="I9597" s="17"/>
      <c r="J9597" s="17" t="s">
        <v>21313</v>
      </c>
      <c r="K9597" s="17"/>
      <c r="L9597" s="17" t="s">
        <v>21326</v>
      </c>
      <c r="M9597" s="17"/>
      <c r="N9597" s="17" t="s">
        <v>21577</v>
      </c>
      <c r="O9597" s="17"/>
      <c r="P9597" s="17" t="s">
        <v>21946</v>
      </c>
      <c r="Q9597" s="17"/>
      <c r="R9597" s="25" t="str">
        <f>HYPERLINK("https://ictv.global/taxonomy/taxondetails?taxnode_id=202310458","Mehraxmevirus pedohabitans")</f>
        <v>Mehraxmevirus pedohabitans</v>
      </c>
      <c r="S9597" s="18" t="s">
        <v>30</v>
      </c>
      <c r="T9597" s="18" t="s">
        <v>21947</v>
      </c>
      <c r="U9597" s="18"/>
      <c r="V9597" s="18"/>
      <c r="W9597" s="18" t="s">
        <v>21948</v>
      </c>
      <c r="X9597" s="18" t="s">
        <v>35</v>
      </c>
      <c r="Y9597" s="18" t="s">
        <v>17171</v>
      </c>
      <c r="Z9597" s="18" t="s">
        <v>697</v>
      </c>
      <c r="AA9597" s="21" t="str">
        <f>HYPERLINK("https://www.ncbi.nlm.nih.gov/nuccore/BK013957","NCBI Nucleotide")</f>
        <v>NCBI Nucleotide</v>
      </c>
    </row>
    <row r="9598" spans="1:27" x14ac:dyDescent="0.35">
      <c r="A9598">
        <v>1027339</v>
      </c>
      <c r="B9598">
        <v>8923</v>
      </c>
      <c r="C9598">
        <v>1</v>
      </c>
      <c r="D9598" s="17" t="s">
        <v>17166</v>
      </c>
      <c r="E9598" s="17"/>
      <c r="F9598" s="17" t="s">
        <v>17246</v>
      </c>
      <c r="G9598" s="17"/>
      <c r="H9598" s="17" t="s">
        <v>20919</v>
      </c>
      <c r="I9598" s="17"/>
      <c r="J9598" s="17" t="s">
        <v>21313</v>
      </c>
      <c r="K9598" s="17"/>
      <c r="L9598" s="17" t="s">
        <v>21326</v>
      </c>
      <c r="M9598" s="17"/>
      <c r="N9598" s="17" t="s">
        <v>21577</v>
      </c>
      <c r="O9598" s="17"/>
      <c r="P9598" s="17" t="s">
        <v>43535</v>
      </c>
      <c r="Q9598" s="17"/>
      <c r="R9598" s="25" t="str">
        <f>HYPERLINK("https://ictv.global/taxonomy/taxondetails?taxnode_id=202316475","Mehrevirus radicivivens")</f>
        <v>Mehrevirus radicivivens</v>
      </c>
      <c r="S9598" s="18" t="s">
        <v>30</v>
      </c>
      <c r="T9598" s="18" t="s">
        <v>43536</v>
      </c>
      <c r="U9598" s="18"/>
      <c r="V9598" s="18"/>
      <c r="W9598" s="18" t="s">
        <v>43537</v>
      </c>
      <c r="X9598" s="18" t="s">
        <v>35</v>
      </c>
      <c r="Y9598" s="18" t="s">
        <v>17171</v>
      </c>
      <c r="Z9598" s="18" t="s">
        <v>24637</v>
      </c>
      <c r="AA9598" s="21" t="str">
        <f>HYPERLINK("https://www.ncbi.nlm.nih.gov/nuccore/CASDWV010000574","NCBI Nucleotide")</f>
        <v>NCBI Nucleotide</v>
      </c>
    </row>
    <row r="9599" spans="1:27" x14ac:dyDescent="0.35">
      <c r="A9599">
        <v>1009598</v>
      </c>
      <c r="B9599">
        <v>8924</v>
      </c>
      <c r="C9599">
        <v>1</v>
      </c>
      <c r="D9599" s="17" t="s">
        <v>17166</v>
      </c>
      <c r="E9599" s="17"/>
      <c r="F9599" s="17" t="s">
        <v>17246</v>
      </c>
      <c r="G9599" s="17"/>
      <c r="H9599" s="17" t="s">
        <v>20919</v>
      </c>
      <c r="I9599" s="17"/>
      <c r="J9599" s="17" t="s">
        <v>21313</v>
      </c>
      <c r="K9599" s="17"/>
      <c r="L9599" s="17" t="s">
        <v>21326</v>
      </c>
      <c r="M9599" s="17"/>
      <c r="N9599" s="17" t="s">
        <v>21577</v>
      </c>
      <c r="O9599" s="17"/>
      <c r="P9599" s="17" t="s">
        <v>21949</v>
      </c>
      <c r="Q9599" s="17"/>
      <c r="R9599" s="25" t="str">
        <f>HYPERLINK("https://ictv.global/taxonomy/taxondetails?taxnode_id=202310460","Mekintivirus lutihabitans")</f>
        <v>Mekintivirus lutihabitans</v>
      </c>
      <c r="S9599" s="18" t="s">
        <v>30</v>
      </c>
      <c r="T9599" s="18" t="s">
        <v>21950</v>
      </c>
      <c r="U9599" s="18"/>
      <c r="V9599" s="18"/>
      <c r="W9599" s="18" t="s">
        <v>21951</v>
      </c>
      <c r="X9599" s="18" t="s">
        <v>35</v>
      </c>
      <c r="Y9599" s="18" t="s">
        <v>17171</v>
      </c>
      <c r="Z9599" s="18" t="s">
        <v>697</v>
      </c>
      <c r="AA9599" s="21" t="str">
        <f>HYPERLINK("https://www.ncbi.nlm.nih.gov/nuccore/BK014049","NCBI Nucleotide")</f>
        <v>NCBI Nucleotide</v>
      </c>
    </row>
    <row r="9600" spans="1:27" x14ac:dyDescent="0.35">
      <c r="A9600">
        <v>1027351</v>
      </c>
      <c r="B9600">
        <v>8925</v>
      </c>
      <c r="C9600">
        <v>1</v>
      </c>
      <c r="D9600" s="17" t="s">
        <v>17166</v>
      </c>
      <c r="E9600" s="17"/>
      <c r="F9600" s="17" t="s">
        <v>17246</v>
      </c>
      <c r="G9600" s="17"/>
      <c r="H9600" s="17" t="s">
        <v>20919</v>
      </c>
      <c r="I9600" s="17"/>
      <c r="J9600" s="17" t="s">
        <v>21313</v>
      </c>
      <c r="K9600" s="17"/>
      <c r="L9600" s="17" t="s">
        <v>21326</v>
      </c>
      <c r="M9600" s="17"/>
      <c r="N9600" s="17" t="s">
        <v>21577</v>
      </c>
      <c r="O9600" s="17"/>
      <c r="P9600" s="17" t="s">
        <v>43538</v>
      </c>
      <c r="Q9600" s="17"/>
      <c r="R9600" s="25" t="str">
        <f>HYPERLINK("https://ictv.global/taxonomy/taxondetails?taxnode_id=202316476","Merlkluvirus pelovicinum")</f>
        <v>Merlkluvirus pelovicinum</v>
      </c>
      <c r="S9600" s="18" t="s">
        <v>30</v>
      </c>
      <c r="T9600" s="18" t="s">
        <v>43539</v>
      </c>
      <c r="U9600" s="18"/>
      <c r="V9600" s="18"/>
      <c r="W9600" s="18" t="s">
        <v>43540</v>
      </c>
      <c r="X9600" s="18" t="s">
        <v>35</v>
      </c>
      <c r="Y9600" s="18" t="s">
        <v>17171</v>
      </c>
      <c r="Z9600" s="18" t="s">
        <v>24637</v>
      </c>
      <c r="AA9600" s="21" t="str">
        <f>HYPERLINK("https://www.ncbi.nlm.nih.gov/nuccore/CASDWV010003051","NCBI Nucleotide")</f>
        <v>NCBI Nucleotide</v>
      </c>
    </row>
    <row r="9601" spans="1:27" x14ac:dyDescent="0.35">
      <c r="A9601">
        <v>1027352</v>
      </c>
      <c r="B9601">
        <v>8926</v>
      </c>
      <c r="C9601">
        <v>1</v>
      </c>
      <c r="D9601" s="17" t="s">
        <v>17166</v>
      </c>
      <c r="E9601" s="17"/>
      <c r="F9601" s="17" t="s">
        <v>17246</v>
      </c>
      <c r="G9601" s="17"/>
      <c r="H9601" s="17" t="s">
        <v>20919</v>
      </c>
      <c r="I9601" s="17"/>
      <c r="J9601" s="17" t="s">
        <v>21313</v>
      </c>
      <c r="K9601" s="17"/>
      <c r="L9601" s="17" t="s">
        <v>21326</v>
      </c>
      <c r="M9601" s="17"/>
      <c r="N9601" s="17" t="s">
        <v>21577</v>
      </c>
      <c r="O9601" s="17"/>
      <c r="P9601" s="17" t="s">
        <v>43538</v>
      </c>
      <c r="Q9601" s="17"/>
      <c r="R9601" s="25" t="str">
        <f>HYPERLINK("https://ictv.global/taxonomy/taxondetails?taxnode_id=202316477","Merlkluvirus terricola")</f>
        <v>Merlkluvirus terricola</v>
      </c>
      <c r="S9601" s="18" t="s">
        <v>30</v>
      </c>
      <c r="T9601" s="18" t="s">
        <v>43541</v>
      </c>
      <c r="U9601" s="18"/>
      <c r="V9601" s="18"/>
      <c r="W9601" s="18" t="s">
        <v>43542</v>
      </c>
      <c r="X9601" s="18" t="s">
        <v>35</v>
      </c>
      <c r="Y9601" s="18" t="s">
        <v>17171</v>
      </c>
      <c r="Z9601" s="18" t="s">
        <v>24637</v>
      </c>
      <c r="AA9601" s="21" t="str">
        <f>HYPERLINK("https://www.ncbi.nlm.nih.gov/nuccore/CASDWV010000448","NCBI Nucleotide")</f>
        <v>NCBI Nucleotide</v>
      </c>
    </row>
    <row r="9602" spans="1:27" x14ac:dyDescent="0.35">
      <c r="A9602">
        <v>1009599</v>
      </c>
      <c r="B9602">
        <v>8927</v>
      </c>
      <c r="C9602">
        <v>1</v>
      </c>
      <c r="D9602" s="17" t="s">
        <v>17166</v>
      </c>
      <c r="E9602" s="17"/>
      <c r="F9602" s="17" t="s">
        <v>17246</v>
      </c>
      <c r="G9602" s="17"/>
      <c r="H9602" s="17" t="s">
        <v>20919</v>
      </c>
      <c r="I9602" s="17"/>
      <c r="J9602" s="17" t="s">
        <v>21313</v>
      </c>
      <c r="K9602" s="17"/>
      <c r="L9602" s="17" t="s">
        <v>21326</v>
      </c>
      <c r="M9602" s="17"/>
      <c r="N9602" s="17" t="s">
        <v>21577</v>
      </c>
      <c r="O9602" s="17"/>
      <c r="P9602" s="17" t="s">
        <v>21952</v>
      </c>
      <c r="Q9602" s="17"/>
      <c r="R9602" s="25" t="str">
        <f>HYPERLINK("https://ictv.global/taxonomy/taxondetails?taxnode_id=202310462","Methovirus lutivicinum")</f>
        <v>Methovirus lutivicinum</v>
      </c>
      <c r="S9602" s="18" t="s">
        <v>30</v>
      </c>
      <c r="T9602" s="18" t="s">
        <v>21953</v>
      </c>
      <c r="U9602" s="18"/>
      <c r="V9602" s="18"/>
      <c r="W9602" s="18" t="s">
        <v>21954</v>
      </c>
      <c r="X9602" s="18" t="s">
        <v>35</v>
      </c>
      <c r="Y9602" s="18" t="s">
        <v>17171</v>
      </c>
      <c r="Z9602" s="18" t="s">
        <v>697</v>
      </c>
      <c r="AA9602" s="21" t="str">
        <f>HYPERLINK("https://www.ncbi.nlm.nih.gov/nuccore/BK013676","NCBI Nucleotide")</f>
        <v>NCBI Nucleotide</v>
      </c>
    </row>
    <row r="9603" spans="1:27" x14ac:dyDescent="0.35">
      <c r="A9603">
        <v>1027365</v>
      </c>
      <c r="B9603">
        <v>8928</v>
      </c>
      <c r="C9603">
        <v>1</v>
      </c>
      <c r="D9603" s="17" t="s">
        <v>17166</v>
      </c>
      <c r="E9603" s="17"/>
      <c r="F9603" s="17" t="s">
        <v>17246</v>
      </c>
      <c r="G9603" s="17"/>
      <c r="H9603" s="17" t="s">
        <v>20919</v>
      </c>
      <c r="I9603" s="17"/>
      <c r="J9603" s="17" t="s">
        <v>21313</v>
      </c>
      <c r="K9603" s="17"/>
      <c r="L9603" s="17" t="s">
        <v>21326</v>
      </c>
      <c r="M9603" s="17"/>
      <c r="N9603" s="17" t="s">
        <v>21577</v>
      </c>
      <c r="O9603" s="17"/>
      <c r="P9603" s="17" t="s">
        <v>21955</v>
      </c>
      <c r="Q9603" s="17"/>
      <c r="R9603" s="25" t="str">
        <f>HYPERLINK("https://ictv.global/taxonomy/taxondetails?taxnode_id=202316478","Mihkrovirus agradaptatum")</f>
        <v>Mihkrovirus agradaptatum</v>
      </c>
      <c r="S9603" s="18" t="s">
        <v>30</v>
      </c>
      <c r="T9603" s="18" t="s">
        <v>43543</v>
      </c>
      <c r="U9603" s="18"/>
      <c r="V9603" s="18"/>
      <c r="W9603" s="18" t="s">
        <v>43544</v>
      </c>
      <c r="X9603" s="18" t="s">
        <v>35</v>
      </c>
      <c r="Y9603" s="18" t="s">
        <v>17171</v>
      </c>
      <c r="Z9603" s="18" t="s">
        <v>24637</v>
      </c>
      <c r="AA9603" s="21" t="str">
        <f>HYPERLINK("https://www.ncbi.nlm.nih.gov/nuccore/CASDWV010000973","NCBI Nucleotide")</f>
        <v>NCBI Nucleotide</v>
      </c>
    </row>
    <row r="9604" spans="1:27" x14ac:dyDescent="0.35">
      <c r="A9604">
        <v>1027366</v>
      </c>
      <c r="B9604">
        <v>8929</v>
      </c>
      <c r="C9604">
        <v>1</v>
      </c>
      <c r="D9604" s="17" t="s">
        <v>17166</v>
      </c>
      <c r="E9604" s="17"/>
      <c r="F9604" s="17" t="s">
        <v>17246</v>
      </c>
      <c r="G9604" s="17"/>
      <c r="H9604" s="17" t="s">
        <v>20919</v>
      </c>
      <c r="I9604" s="17"/>
      <c r="J9604" s="17" t="s">
        <v>21313</v>
      </c>
      <c r="K9604" s="17"/>
      <c r="L9604" s="17" t="s">
        <v>21326</v>
      </c>
      <c r="M9604" s="17"/>
      <c r="N9604" s="17" t="s">
        <v>21577</v>
      </c>
      <c r="O9604" s="17"/>
      <c r="P9604" s="17" t="s">
        <v>21955</v>
      </c>
      <c r="Q9604" s="17"/>
      <c r="R9604" s="25" t="str">
        <f>HYPERLINK("https://ictv.global/taxonomy/taxondetails?taxnode_id=202316479","Mihkrovirus agrenecus")</f>
        <v>Mihkrovirus agrenecus</v>
      </c>
      <c r="S9604" s="18" t="s">
        <v>30</v>
      </c>
      <c r="T9604" s="18" t="s">
        <v>43545</v>
      </c>
      <c r="U9604" s="18"/>
      <c r="V9604" s="18"/>
      <c r="W9604" s="18" t="s">
        <v>43546</v>
      </c>
      <c r="X9604" s="18" t="s">
        <v>35</v>
      </c>
      <c r="Y9604" s="18" t="s">
        <v>17171</v>
      </c>
      <c r="Z9604" s="18" t="s">
        <v>24637</v>
      </c>
      <c r="AA9604" s="21" t="str">
        <f>HYPERLINK("https://www.ncbi.nlm.nih.gov/nuccore/CASDWV010001978","NCBI Nucleotide")</f>
        <v>NCBI Nucleotide</v>
      </c>
    </row>
    <row r="9605" spans="1:27" x14ac:dyDescent="0.35">
      <c r="A9605">
        <v>1027367</v>
      </c>
      <c r="B9605">
        <v>8930</v>
      </c>
      <c r="C9605">
        <v>1</v>
      </c>
      <c r="D9605" s="17" t="s">
        <v>17166</v>
      </c>
      <c r="E9605" s="17"/>
      <c r="F9605" s="17" t="s">
        <v>17246</v>
      </c>
      <c r="G9605" s="17"/>
      <c r="H9605" s="17" t="s">
        <v>20919</v>
      </c>
      <c r="I9605" s="17"/>
      <c r="J9605" s="17" t="s">
        <v>21313</v>
      </c>
      <c r="K9605" s="17"/>
      <c r="L9605" s="17" t="s">
        <v>21326</v>
      </c>
      <c r="M9605" s="17"/>
      <c r="N9605" s="17" t="s">
        <v>21577</v>
      </c>
      <c r="O9605" s="17"/>
      <c r="P9605" s="17" t="s">
        <v>21955</v>
      </c>
      <c r="Q9605" s="17"/>
      <c r="R9605" s="25" t="str">
        <f>HYPERLINK("https://ictv.global/taxonomy/taxondetails?taxnode_id=202316480","Mihkrovirus agrivivens")</f>
        <v>Mihkrovirus agrivivens</v>
      </c>
      <c r="S9605" s="18" t="s">
        <v>30</v>
      </c>
      <c r="T9605" s="18" t="s">
        <v>43547</v>
      </c>
      <c r="U9605" s="18"/>
      <c r="V9605" s="18"/>
      <c r="W9605" s="18" t="s">
        <v>43548</v>
      </c>
      <c r="X9605" s="18" t="s">
        <v>35</v>
      </c>
      <c r="Y9605" s="18" t="s">
        <v>17171</v>
      </c>
      <c r="Z9605" s="18" t="s">
        <v>24637</v>
      </c>
      <c r="AA9605" s="21" t="str">
        <f>HYPERLINK("https://www.ncbi.nlm.nih.gov/nuccore/CASDWV010000677","NCBI Nucleotide")</f>
        <v>NCBI Nucleotide</v>
      </c>
    </row>
    <row r="9606" spans="1:27" x14ac:dyDescent="0.35">
      <c r="A9606">
        <v>1027368</v>
      </c>
      <c r="B9606">
        <v>8931</v>
      </c>
      <c r="C9606">
        <v>1</v>
      </c>
      <c r="D9606" s="17" t="s">
        <v>17166</v>
      </c>
      <c r="E9606" s="17"/>
      <c r="F9606" s="17" t="s">
        <v>17246</v>
      </c>
      <c r="G9606" s="17"/>
      <c r="H9606" s="17" t="s">
        <v>20919</v>
      </c>
      <c r="I9606" s="17"/>
      <c r="J9606" s="17" t="s">
        <v>21313</v>
      </c>
      <c r="K9606" s="17"/>
      <c r="L9606" s="17" t="s">
        <v>21326</v>
      </c>
      <c r="M9606" s="17"/>
      <c r="N9606" s="17" t="s">
        <v>21577</v>
      </c>
      <c r="O9606" s="17"/>
      <c r="P9606" s="17" t="s">
        <v>21955</v>
      </c>
      <c r="Q9606" s="17"/>
      <c r="R9606" s="25" t="str">
        <f>HYPERLINK("https://ictv.global/taxonomy/taxondetails?taxnode_id=202316481","Mihkrovirus arvenecus")</f>
        <v>Mihkrovirus arvenecus</v>
      </c>
      <c r="S9606" s="18" t="s">
        <v>30</v>
      </c>
      <c r="T9606" s="18" t="s">
        <v>43549</v>
      </c>
      <c r="U9606" s="18"/>
      <c r="V9606" s="18"/>
      <c r="W9606" s="18" t="s">
        <v>43550</v>
      </c>
      <c r="X9606" s="18" t="s">
        <v>35</v>
      </c>
      <c r="Y9606" s="18" t="s">
        <v>17171</v>
      </c>
      <c r="Z9606" s="18" t="s">
        <v>24637</v>
      </c>
      <c r="AA9606" s="21" t="str">
        <f>HYPERLINK("https://www.ncbi.nlm.nih.gov/nuccore/CASDWV010002516","NCBI Nucleotide")</f>
        <v>NCBI Nucleotide</v>
      </c>
    </row>
    <row r="9607" spans="1:27" x14ac:dyDescent="0.35">
      <c r="A9607">
        <v>1027369</v>
      </c>
      <c r="B9607">
        <v>8932</v>
      </c>
      <c r="C9607">
        <v>1</v>
      </c>
      <c r="D9607" s="17" t="s">
        <v>17166</v>
      </c>
      <c r="E9607" s="17"/>
      <c r="F9607" s="17" t="s">
        <v>17246</v>
      </c>
      <c r="G9607" s="17"/>
      <c r="H9607" s="17" t="s">
        <v>20919</v>
      </c>
      <c r="I9607" s="17"/>
      <c r="J9607" s="17" t="s">
        <v>21313</v>
      </c>
      <c r="K9607" s="17"/>
      <c r="L9607" s="17" t="s">
        <v>21326</v>
      </c>
      <c r="M9607" s="17"/>
      <c r="N9607" s="17" t="s">
        <v>21577</v>
      </c>
      <c r="O9607" s="17"/>
      <c r="P9607" s="17" t="s">
        <v>21955</v>
      </c>
      <c r="Q9607" s="17"/>
      <c r="R9607" s="25" t="str">
        <f>HYPERLINK("https://ictv.global/taxonomy/taxondetails?taxnode_id=202316482","Mihkrovirus caenicola")</f>
        <v>Mihkrovirus caenicola</v>
      </c>
      <c r="S9607" s="18" t="s">
        <v>30</v>
      </c>
      <c r="T9607" s="18" t="s">
        <v>43551</v>
      </c>
      <c r="U9607" s="18"/>
      <c r="V9607" s="18"/>
      <c r="W9607" s="18" t="s">
        <v>43552</v>
      </c>
      <c r="X9607" s="18" t="s">
        <v>35</v>
      </c>
      <c r="Y9607" s="18" t="s">
        <v>17171</v>
      </c>
      <c r="Z9607" s="18" t="s">
        <v>24637</v>
      </c>
      <c r="AA9607" s="21" t="str">
        <f>HYPERLINK("https://www.ncbi.nlm.nih.gov/nuccore/CASDWV010001811","NCBI Nucleotide")</f>
        <v>NCBI Nucleotide</v>
      </c>
    </row>
    <row r="9608" spans="1:27" x14ac:dyDescent="0.35">
      <c r="A9608">
        <v>1027370</v>
      </c>
      <c r="B9608">
        <v>8933</v>
      </c>
      <c r="C9608">
        <v>1</v>
      </c>
      <c r="D9608" s="17" t="s">
        <v>17166</v>
      </c>
      <c r="E9608" s="17"/>
      <c r="F9608" s="17" t="s">
        <v>17246</v>
      </c>
      <c r="G9608" s="17"/>
      <c r="H9608" s="17" t="s">
        <v>20919</v>
      </c>
      <c r="I9608" s="17"/>
      <c r="J9608" s="17" t="s">
        <v>21313</v>
      </c>
      <c r="K9608" s="17"/>
      <c r="L9608" s="17" t="s">
        <v>21326</v>
      </c>
      <c r="M9608" s="17"/>
      <c r="N9608" s="17" t="s">
        <v>21577</v>
      </c>
      <c r="O9608" s="17"/>
      <c r="P9608" s="17" t="s">
        <v>21955</v>
      </c>
      <c r="Q9608" s="17"/>
      <c r="R9608" s="25" t="str">
        <f>HYPERLINK("https://ictv.global/taxonomy/taxondetails?taxnode_id=202316483","Mihkrovirus choradaptatum")</f>
        <v>Mihkrovirus choradaptatum</v>
      </c>
      <c r="S9608" s="18" t="s">
        <v>30</v>
      </c>
      <c r="T9608" s="18" t="s">
        <v>43553</v>
      </c>
      <c r="U9608" s="18"/>
      <c r="V9608" s="18"/>
      <c r="W9608" s="18" t="s">
        <v>43554</v>
      </c>
      <c r="X9608" s="18" t="s">
        <v>35</v>
      </c>
      <c r="Y9608" s="18" t="s">
        <v>17171</v>
      </c>
      <c r="Z9608" s="18" t="s">
        <v>24637</v>
      </c>
      <c r="AA9608" s="21" t="str">
        <f>HYPERLINK("https://www.ncbi.nlm.nih.gov/nuccore/CASDWV010003626","NCBI Nucleotide")</f>
        <v>NCBI Nucleotide</v>
      </c>
    </row>
    <row r="9609" spans="1:27" x14ac:dyDescent="0.35">
      <c r="A9609">
        <v>1027371</v>
      </c>
      <c r="B9609">
        <v>8934</v>
      </c>
      <c r="C9609">
        <v>1</v>
      </c>
      <c r="D9609" s="17" t="s">
        <v>17166</v>
      </c>
      <c r="E9609" s="17"/>
      <c r="F9609" s="17" t="s">
        <v>17246</v>
      </c>
      <c r="G9609" s="17"/>
      <c r="H9609" s="17" t="s">
        <v>20919</v>
      </c>
      <c r="I9609" s="17"/>
      <c r="J9609" s="17" t="s">
        <v>21313</v>
      </c>
      <c r="K9609" s="17"/>
      <c r="L9609" s="17" t="s">
        <v>21326</v>
      </c>
      <c r="M9609" s="17"/>
      <c r="N9609" s="17" t="s">
        <v>21577</v>
      </c>
      <c r="O9609" s="17"/>
      <c r="P9609" s="17" t="s">
        <v>21955</v>
      </c>
      <c r="Q9609" s="17"/>
      <c r="R9609" s="25" t="str">
        <f>HYPERLINK("https://ictv.global/taxonomy/taxondetails?taxnode_id=202316484","Mihkrovirus chthonadaptatum")</f>
        <v>Mihkrovirus chthonadaptatum</v>
      </c>
      <c r="S9609" s="18" t="s">
        <v>30</v>
      </c>
      <c r="T9609" s="18" t="s">
        <v>43555</v>
      </c>
      <c r="U9609" s="18"/>
      <c r="V9609" s="18"/>
      <c r="W9609" s="18" t="s">
        <v>43556</v>
      </c>
      <c r="X9609" s="18" t="s">
        <v>35</v>
      </c>
      <c r="Y9609" s="18" t="s">
        <v>17171</v>
      </c>
      <c r="Z9609" s="18" t="s">
        <v>24637</v>
      </c>
      <c r="AA9609" s="21" t="str">
        <f>HYPERLINK("https://www.ncbi.nlm.nih.gov/nuccore/CASDWV010002496","NCBI Nucleotide")</f>
        <v>NCBI Nucleotide</v>
      </c>
    </row>
    <row r="9610" spans="1:27" x14ac:dyDescent="0.35">
      <c r="A9610">
        <v>1027372</v>
      </c>
      <c r="B9610">
        <v>8935</v>
      </c>
      <c r="C9610">
        <v>1</v>
      </c>
      <c r="D9610" s="17" t="s">
        <v>17166</v>
      </c>
      <c r="E9610" s="17"/>
      <c r="F9610" s="17" t="s">
        <v>17246</v>
      </c>
      <c r="G9610" s="17"/>
      <c r="H9610" s="17" t="s">
        <v>20919</v>
      </c>
      <c r="I9610" s="17"/>
      <c r="J9610" s="17" t="s">
        <v>21313</v>
      </c>
      <c r="K9610" s="17"/>
      <c r="L9610" s="17" t="s">
        <v>21326</v>
      </c>
      <c r="M9610" s="17"/>
      <c r="N9610" s="17" t="s">
        <v>21577</v>
      </c>
      <c r="O9610" s="17"/>
      <c r="P9610" s="17" t="s">
        <v>21955</v>
      </c>
      <c r="Q9610" s="17"/>
      <c r="R9610" s="25" t="str">
        <f>HYPERLINK("https://ictv.global/taxonomy/taxondetails?taxnode_id=202316485","Mihkrovirus chthonenecus")</f>
        <v>Mihkrovirus chthonenecus</v>
      </c>
      <c r="S9610" s="18" t="s">
        <v>30</v>
      </c>
      <c r="T9610" s="18" t="s">
        <v>43557</v>
      </c>
      <c r="U9610" s="18"/>
      <c r="V9610" s="18"/>
      <c r="W9610" s="18" t="s">
        <v>43558</v>
      </c>
      <c r="X9610" s="18" t="s">
        <v>35</v>
      </c>
      <c r="Y9610" s="18" t="s">
        <v>17171</v>
      </c>
      <c r="Z9610" s="18" t="s">
        <v>24637</v>
      </c>
      <c r="AA9610" s="21" t="str">
        <f>HYPERLINK("https://www.ncbi.nlm.nih.gov/nuccore/CASDWV010003494","NCBI Nucleotide")</f>
        <v>NCBI Nucleotide</v>
      </c>
    </row>
    <row r="9611" spans="1:27" x14ac:dyDescent="0.35">
      <c r="A9611">
        <v>1027373</v>
      </c>
      <c r="B9611">
        <v>8936</v>
      </c>
      <c r="C9611">
        <v>1</v>
      </c>
      <c r="D9611" s="17" t="s">
        <v>17166</v>
      </c>
      <c r="E9611" s="17"/>
      <c r="F9611" s="17" t="s">
        <v>17246</v>
      </c>
      <c r="G9611" s="17"/>
      <c r="H9611" s="17" t="s">
        <v>20919</v>
      </c>
      <c r="I9611" s="17"/>
      <c r="J9611" s="17" t="s">
        <v>21313</v>
      </c>
      <c r="K9611" s="17"/>
      <c r="L9611" s="17" t="s">
        <v>21326</v>
      </c>
      <c r="M9611" s="17"/>
      <c r="N9611" s="17" t="s">
        <v>21577</v>
      </c>
      <c r="O9611" s="17"/>
      <c r="P9611" s="17" t="s">
        <v>21955</v>
      </c>
      <c r="Q9611" s="17"/>
      <c r="R9611" s="25" t="str">
        <f>HYPERLINK("https://ictv.global/taxonomy/taxondetails?taxnode_id=202316486","Mihkrovirus chthonovivens")</f>
        <v>Mihkrovirus chthonovivens</v>
      </c>
      <c r="S9611" s="18" t="s">
        <v>30</v>
      </c>
      <c r="T9611" s="18" t="s">
        <v>43559</v>
      </c>
      <c r="U9611" s="18"/>
      <c r="V9611" s="18"/>
      <c r="W9611" s="18" t="s">
        <v>43560</v>
      </c>
      <c r="X9611" s="18" t="s">
        <v>35</v>
      </c>
      <c r="Y9611" s="18" t="s">
        <v>17171</v>
      </c>
      <c r="Z9611" s="18" t="s">
        <v>24637</v>
      </c>
      <c r="AA9611" s="21" t="str">
        <f>HYPERLINK("https://www.ncbi.nlm.nih.gov/nuccore/CASDWV010001438","NCBI Nucleotide")</f>
        <v>NCBI Nucleotide</v>
      </c>
    </row>
    <row r="9612" spans="1:27" x14ac:dyDescent="0.35">
      <c r="A9612">
        <v>1027374</v>
      </c>
      <c r="B9612">
        <v>8937</v>
      </c>
      <c r="C9612">
        <v>1</v>
      </c>
      <c r="D9612" s="17" t="s">
        <v>17166</v>
      </c>
      <c r="E9612" s="17"/>
      <c r="F9612" s="17" t="s">
        <v>17246</v>
      </c>
      <c r="G9612" s="17"/>
      <c r="H9612" s="17" t="s">
        <v>20919</v>
      </c>
      <c r="I9612" s="17"/>
      <c r="J9612" s="17" t="s">
        <v>21313</v>
      </c>
      <c r="K9612" s="17"/>
      <c r="L9612" s="17" t="s">
        <v>21326</v>
      </c>
      <c r="M9612" s="17"/>
      <c r="N9612" s="17" t="s">
        <v>21577</v>
      </c>
      <c r="O9612" s="17"/>
      <c r="P9612" s="17" t="s">
        <v>21955</v>
      </c>
      <c r="Q9612" s="17"/>
      <c r="R9612" s="25" t="str">
        <f>HYPERLINK("https://ictv.global/taxonomy/taxondetails?taxnode_id=202316487","Mihkrovirus edaphenecus")</f>
        <v>Mihkrovirus edaphenecus</v>
      </c>
      <c r="S9612" s="18" t="s">
        <v>30</v>
      </c>
      <c r="T9612" s="18" t="s">
        <v>43561</v>
      </c>
      <c r="U9612" s="18"/>
      <c r="V9612" s="18"/>
      <c r="W9612" s="18" t="s">
        <v>43562</v>
      </c>
      <c r="X9612" s="18" t="s">
        <v>35</v>
      </c>
      <c r="Y9612" s="18" t="s">
        <v>17171</v>
      </c>
      <c r="Z9612" s="18" t="s">
        <v>24637</v>
      </c>
      <c r="AA9612" s="21" t="str">
        <f>HYPERLINK("https://www.ncbi.nlm.nih.gov/nuccore/CASDWV010003307","NCBI Nucleotide")</f>
        <v>NCBI Nucleotide</v>
      </c>
    </row>
    <row r="9613" spans="1:27" x14ac:dyDescent="0.35">
      <c r="A9613">
        <v>1027375</v>
      </c>
      <c r="B9613">
        <v>8938</v>
      </c>
      <c r="C9613">
        <v>1</v>
      </c>
      <c r="D9613" s="17" t="s">
        <v>17166</v>
      </c>
      <c r="E9613" s="17"/>
      <c r="F9613" s="17" t="s">
        <v>17246</v>
      </c>
      <c r="G9613" s="17"/>
      <c r="H9613" s="17" t="s">
        <v>20919</v>
      </c>
      <c r="I9613" s="17"/>
      <c r="J9613" s="17" t="s">
        <v>21313</v>
      </c>
      <c r="K9613" s="17"/>
      <c r="L9613" s="17" t="s">
        <v>21326</v>
      </c>
      <c r="M9613" s="17"/>
      <c r="N9613" s="17" t="s">
        <v>21577</v>
      </c>
      <c r="O9613" s="17"/>
      <c r="P9613" s="17" t="s">
        <v>21955</v>
      </c>
      <c r="Q9613" s="17"/>
      <c r="R9613" s="25" t="str">
        <f>HYPERLINK("https://ictv.global/taxonomy/taxondetails?taxnode_id=202316488","Mihkrovirus humicola")</f>
        <v>Mihkrovirus humicola</v>
      </c>
      <c r="S9613" s="18" t="s">
        <v>30</v>
      </c>
      <c r="T9613" s="18" t="s">
        <v>43563</v>
      </c>
      <c r="U9613" s="18"/>
      <c r="V9613" s="18"/>
      <c r="W9613" s="18" t="s">
        <v>43564</v>
      </c>
      <c r="X9613" s="18" t="s">
        <v>35</v>
      </c>
      <c r="Y9613" s="18" t="s">
        <v>17171</v>
      </c>
      <c r="Z9613" s="18" t="s">
        <v>24637</v>
      </c>
      <c r="AA9613" s="21" t="str">
        <f>HYPERLINK("https://www.ncbi.nlm.nih.gov/nuccore/CASDWV010001100","NCBI Nucleotide")</f>
        <v>NCBI Nucleotide</v>
      </c>
    </row>
    <row r="9614" spans="1:27" x14ac:dyDescent="0.35">
      <c r="A9614">
        <v>1027376</v>
      </c>
      <c r="B9614">
        <v>8939</v>
      </c>
      <c r="C9614">
        <v>1</v>
      </c>
      <c r="D9614" s="17" t="s">
        <v>17166</v>
      </c>
      <c r="E9614" s="17"/>
      <c r="F9614" s="17" t="s">
        <v>17246</v>
      </c>
      <c r="G9614" s="17"/>
      <c r="H9614" s="17" t="s">
        <v>20919</v>
      </c>
      <c r="I9614" s="17"/>
      <c r="J9614" s="17" t="s">
        <v>21313</v>
      </c>
      <c r="K9614" s="17"/>
      <c r="L9614" s="17" t="s">
        <v>21326</v>
      </c>
      <c r="M9614" s="17"/>
      <c r="N9614" s="17" t="s">
        <v>21577</v>
      </c>
      <c r="O9614" s="17"/>
      <c r="P9614" s="17" t="s">
        <v>21955</v>
      </c>
      <c r="Q9614" s="17"/>
      <c r="R9614" s="25" t="str">
        <f>HYPERLINK("https://ictv.global/taxonomy/taxondetails?taxnode_id=202316489","Mihkrovirus limicola")</f>
        <v>Mihkrovirus limicola</v>
      </c>
      <c r="S9614" s="18" t="s">
        <v>30</v>
      </c>
      <c r="T9614" s="18" t="s">
        <v>43565</v>
      </c>
      <c r="U9614" s="18"/>
      <c r="V9614" s="18"/>
      <c r="W9614" s="18" t="s">
        <v>43566</v>
      </c>
      <c r="X9614" s="18" t="s">
        <v>35</v>
      </c>
      <c r="Y9614" s="18" t="s">
        <v>17171</v>
      </c>
      <c r="Z9614" s="18" t="s">
        <v>24637</v>
      </c>
      <c r="AA9614" s="21" t="str">
        <f>HYPERLINK("https://www.ncbi.nlm.nih.gov/nuccore/CASDWV010001792","NCBI Nucleotide")</f>
        <v>NCBI Nucleotide</v>
      </c>
    </row>
    <row r="9615" spans="1:27" x14ac:dyDescent="0.35">
      <c r="A9615">
        <v>1027377</v>
      </c>
      <c r="B9615">
        <v>8940</v>
      </c>
      <c r="C9615">
        <v>1</v>
      </c>
      <c r="D9615" s="17" t="s">
        <v>17166</v>
      </c>
      <c r="E9615" s="17"/>
      <c r="F9615" s="17" t="s">
        <v>17246</v>
      </c>
      <c r="G9615" s="17"/>
      <c r="H9615" s="17" t="s">
        <v>20919</v>
      </c>
      <c r="I9615" s="17"/>
      <c r="J9615" s="17" t="s">
        <v>21313</v>
      </c>
      <c r="K9615" s="17"/>
      <c r="L9615" s="17" t="s">
        <v>21326</v>
      </c>
      <c r="M9615" s="17"/>
      <c r="N9615" s="17" t="s">
        <v>21577</v>
      </c>
      <c r="O9615" s="17"/>
      <c r="P9615" s="17" t="s">
        <v>21955</v>
      </c>
      <c r="Q9615" s="17"/>
      <c r="R9615" s="25" t="str">
        <f>HYPERLINK("https://ictv.global/taxonomy/taxondetails?taxnode_id=202316490","Mihkrovirus luticola")</f>
        <v>Mihkrovirus luticola</v>
      </c>
      <c r="S9615" s="18" t="s">
        <v>30</v>
      </c>
      <c r="T9615" s="18" t="s">
        <v>43567</v>
      </c>
      <c r="U9615" s="18"/>
      <c r="V9615" s="18"/>
      <c r="W9615" s="18" t="s">
        <v>43568</v>
      </c>
      <c r="X9615" s="18" t="s">
        <v>35</v>
      </c>
      <c r="Y9615" s="18" t="s">
        <v>17171</v>
      </c>
      <c r="Z9615" s="18" t="s">
        <v>24637</v>
      </c>
      <c r="AA9615" s="21" t="str">
        <f>HYPERLINK("https://www.ncbi.nlm.nih.gov/nuccore/CASDWV010002550","NCBI Nucleotide")</f>
        <v>NCBI Nucleotide</v>
      </c>
    </row>
    <row r="9616" spans="1:27" x14ac:dyDescent="0.35">
      <c r="A9616">
        <v>1009468</v>
      </c>
      <c r="B9616">
        <v>8941</v>
      </c>
      <c r="C9616">
        <v>1</v>
      </c>
      <c r="D9616" s="17" t="s">
        <v>17166</v>
      </c>
      <c r="E9616" s="17"/>
      <c r="F9616" s="17" t="s">
        <v>17246</v>
      </c>
      <c r="G9616" s="17"/>
      <c r="H9616" s="17" t="s">
        <v>20919</v>
      </c>
      <c r="I9616" s="17"/>
      <c r="J9616" s="17" t="s">
        <v>21313</v>
      </c>
      <c r="K9616" s="17"/>
      <c r="L9616" s="17" t="s">
        <v>21326</v>
      </c>
      <c r="M9616" s="17"/>
      <c r="N9616" s="17" t="s">
        <v>21577</v>
      </c>
      <c r="O9616" s="17"/>
      <c r="P9616" s="17" t="s">
        <v>21955</v>
      </c>
      <c r="Q9616" s="17"/>
      <c r="R9616" s="25" t="str">
        <f>HYPERLINK("https://ictv.global/taxonomy/taxondetails?taxnode_id=202310248","Mihkrovirus lutihabitans")</f>
        <v>Mihkrovirus lutihabitans</v>
      </c>
      <c r="S9616" s="18" t="s">
        <v>30</v>
      </c>
      <c r="T9616" s="18" t="s">
        <v>21619</v>
      </c>
      <c r="U9616" s="18"/>
      <c r="V9616" s="18"/>
      <c r="W9616" s="18" t="s">
        <v>21620</v>
      </c>
      <c r="X9616" s="18" t="s">
        <v>35</v>
      </c>
      <c r="Y9616" s="18" t="s">
        <v>17171</v>
      </c>
      <c r="Z9616" s="18" t="s">
        <v>697</v>
      </c>
      <c r="AA9616" s="21" t="str">
        <f>HYPERLINK("https://www.ncbi.nlm.nih.gov/nuccore/BK013720","NCBI Nucleotide")</f>
        <v>NCBI Nucleotide</v>
      </c>
    </row>
    <row r="9617" spans="1:27" x14ac:dyDescent="0.35">
      <c r="A9617">
        <v>1027378</v>
      </c>
      <c r="B9617">
        <v>8942</v>
      </c>
      <c r="C9617">
        <v>1</v>
      </c>
      <c r="D9617" s="17" t="s">
        <v>17166</v>
      </c>
      <c r="E9617" s="17"/>
      <c r="F9617" s="17" t="s">
        <v>17246</v>
      </c>
      <c r="G9617" s="17"/>
      <c r="H9617" s="17" t="s">
        <v>20919</v>
      </c>
      <c r="I9617" s="17"/>
      <c r="J9617" s="17" t="s">
        <v>21313</v>
      </c>
      <c r="K9617" s="17"/>
      <c r="L9617" s="17" t="s">
        <v>21326</v>
      </c>
      <c r="M9617" s="17"/>
      <c r="N9617" s="17" t="s">
        <v>21577</v>
      </c>
      <c r="O9617" s="17"/>
      <c r="P9617" s="17" t="s">
        <v>21955</v>
      </c>
      <c r="Q9617" s="17"/>
      <c r="R9617" s="25" t="str">
        <f>HYPERLINK("https://ictv.global/taxonomy/taxondetails?taxnode_id=202316491","Mihkrovirus lutivicinum")</f>
        <v>Mihkrovirus lutivicinum</v>
      </c>
      <c r="S9617" s="18" t="s">
        <v>30</v>
      </c>
      <c r="T9617" s="18" t="s">
        <v>43569</v>
      </c>
      <c r="U9617" s="18"/>
      <c r="V9617" s="18"/>
      <c r="W9617" s="18" t="s">
        <v>43570</v>
      </c>
      <c r="X9617" s="18" t="s">
        <v>35</v>
      </c>
      <c r="Y9617" s="18" t="s">
        <v>17171</v>
      </c>
      <c r="Z9617" s="18" t="s">
        <v>24637</v>
      </c>
      <c r="AA9617" s="21" t="str">
        <f>HYPERLINK("https://www.ncbi.nlm.nih.gov/nuccore/CASDWV010004828","NCBI Nucleotide")</f>
        <v>NCBI Nucleotide</v>
      </c>
    </row>
    <row r="9618" spans="1:27" x14ac:dyDescent="0.35">
      <c r="A9618">
        <v>1027379</v>
      </c>
      <c r="B9618">
        <v>8943</v>
      </c>
      <c r="C9618">
        <v>1</v>
      </c>
      <c r="D9618" s="17" t="s">
        <v>17166</v>
      </c>
      <c r="E9618" s="17"/>
      <c r="F9618" s="17" t="s">
        <v>17246</v>
      </c>
      <c r="G9618" s="17"/>
      <c r="H9618" s="17" t="s">
        <v>20919</v>
      </c>
      <c r="I9618" s="17"/>
      <c r="J9618" s="17" t="s">
        <v>21313</v>
      </c>
      <c r="K9618" s="17"/>
      <c r="L9618" s="17" t="s">
        <v>21326</v>
      </c>
      <c r="M9618" s="17"/>
      <c r="N9618" s="17" t="s">
        <v>21577</v>
      </c>
      <c r="O9618" s="17"/>
      <c r="P9618" s="17" t="s">
        <v>21955</v>
      </c>
      <c r="Q9618" s="17"/>
      <c r="R9618" s="25" t="str">
        <f>HYPERLINK("https://ictv.global/taxonomy/taxondetails?taxnode_id=202316492","Mihkrovirus lutivivens")</f>
        <v>Mihkrovirus lutivivens</v>
      </c>
      <c r="S9618" s="18" t="s">
        <v>30</v>
      </c>
      <c r="T9618" s="18" t="s">
        <v>43571</v>
      </c>
      <c r="U9618" s="18"/>
      <c r="V9618" s="18"/>
      <c r="W9618" s="18" t="s">
        <v>43572</v>
      </c>
      <c r="X9618" s="18" t="s">
        <v>35</v>
      </c>
      <c r="Y9618" s="18" t="s">
        <v>17171</v>
      </c>
      <c r="Z9618" s="18" t="s">
        <v>24637</v>
      </c>
      <c r="AA9618" s="21" t="str">
        <f>HYPERLINK("https://www.ncbi.nlm.nih.gov/nuccore/CASDWV010001521","NCBI Nucleotide")</f>
        <v>NCBI Nucleotide</v>
      </c>
    </row>
    <row r="9619" spans="1:27" x14ac:dyDescent="0.35">
      <c r="A9619">
        <v>1027380</v>
      </c>
      <c r="B9619">
        <v>8944</v>
      </c>
      <c r="C9619">
        <v>1</v>
      </c>
      <c r="D9619" s="17" t="s">
        <v>17166</v>
      </c>
      <c r="E9619" s="17"/>
      <c r="F9619" s="17" t="s">
        <v>17246</v>
      </c>
      <c r="G9619" s="17"/>
      <c r="H9619" s="17" t="s">
        <v>20919</v>
      </c>
      <c r="I9619" s="17"/>
      <c r="J9619" s="17" t="s">
        <v>21313</v>
      </c>
      <c r="K9619" s="17"/>
      <c r="L9619" s="17" t="s">
        <v>21326</v>
      </c>
      <c r="M9619" s="17"/>
      <c r="N9619" s="17" t="s">
        <v>21577</v>
      </c>
      <c r="O9619" s="17"/>
      <c r="P9619" s="17" t="s">
        <v>21955</v>
      </c>
      <c r="Q9619" s="17"/>
      <c r="R9619" s="25" t="str">
        <f>HYPERLINK("https://ictv.global/taxonomy/taxondetails?taxnode_id=202316493","Mihkrovirus messihabitans")</f>
        <v>Mihkrovirus messihabitans</v>
      </c>
      <c r="S9619" s="18" t="s">
        <v>30</v>
      </c>
      <c r="T9619" s="18" t="s">
        <v>43573</v>
      </c>
      <c r="U9619" s="18"/>
      <c r="V9619" s="18"/>
      <c r="W9619" s="18" t="s">
        <v>43574</v>
      </c>
      <c r="X9619" s="18" t="s">
        <v>35</v>
      </c>
      <c r="Y9619" s="18" t="s">
        <v>17171</v>
      </c>
      <c r="Z9619" s="18" t="s">
        <v>24637</v>
      </c>
      <c r="AA9619" s="21" t="str">
        <f>HYPERLINK("https://www.ncbi.nlm.nih.gov/nuccore/CASDWV010003869","NCBI Nucleotide")</f>
        <v>NCBI Nucleotide</v>
      </c>
    </row>
    <row r="9620" spans="1:27" x14ac:dyDescent="0.35">
      <c r="A9620">
        <v>1027381</v>
      </c>
      <c r="B9620">
        <v>8945</v>
      </c>
      <c r="C9620">
        <v>1</v>
      </c>
      <c r="D9620" s="17" t="s">
        <v>17166</v>
      </c>
      <c r="E9620" s="17"/>
      <c r="F9620" s="17" t="s">
        <v>17246</v>
      </c>
      <c r="G9620" s="17"/>
      <c r="H9620" s="17" t="s">
        <v>20919</v>
      </c>
      <c r="I9620" s="17"/>
      <c r="J9620" s="17" t="s">
        <v>21313</v>
      </c>
      <c r="K9620" s="17"/>
      <c r="L9620" s="17" t="s">
        <v>21326</v>
      </c>
      <c r="M9620" s="17"/>
      <c r="N9620" s="17" t="s">
        <v>21577</v>
      </c>
      <c r="O9620" s="17"/>
      <c r="P9620" s="17" t="s">
        <v>21955</v>
      </c>
      <c r="Q9620" s="17"/>
      <c r="R9620" s="25" t="str">
        <f>HYPERLINK("https://ictv.global/taxonomy/taxondetails?taxnode_id=202316494","Mihkrovirus neopelenecus")</f>
        <v>Mihkrovirus neopelenecus</v>
      </c>
      <c r="S9620" s="18" t="s">
        <v>30</v>
      </c>
      <c r="T9620" s="18" t="s">
        <v>43575</v>
      </c>
      <c r="U9620" s="18"/>
      <c r="V9620" s="18"/>
      <c r="W9620" s="18" t="s">
        <v>43576</v>
      </c>
      <c r="X9620" s="18" t="s">
        <v>35</v>
      </c>
      <c r="Y9620" s="18" t="s">
        <v>17171</v>
      </c>
      <c r="Z9620" s="18" t="s">
        <v>24637</v>
      </c>
      <c r="AA9620" s="21" t="str">
        <f>HYPERLINK("https://www.ncbi.nlm.nih.gov/nuccore/CASDWV010001593","NCBI Nucleotide")</f>
        <v>NCBI Nucleotide</v>
      </c>
    </row>
    <row r="9621" spans="1:27" x14ac:dyDescent="0.35">
      <c r="A9621">
        <v>1027382</v>
      </c>
      <c r="B9621">
        <v>8946</v>
      </c>
      <c r="C9621">
        <v>1</v>
      </c>
      <c r="D9621" s="17" t="s">
        <v>17166</v>
      </c>
      <c r="E9621" s="17"/>
      <c r="F9621" s="17" t="s">
        <v>17246</v>
      </c>
      <c r="G9621" s="17"/>
      <c r="H9621" s="17" t="s">
        <v>20919</v>
      </c>
      <c r="I9621" s="17"/>
      <c r="J9621" s="17" t="s">
        <v>21313</v>
      </c>
      <c r="K9621" s="17"/>
      <c r="L9621" s="17" t="s">
        <v>21326</v>
      </c>
      <c r="M9621" s="17"/>
      <c r="N9621" s="17" t="s">
        <v>21577</v>
      </c>
      <c r="O9621" s="17"/>
      <c r="P9621" s="17" t="s">
        <v>21955</v>
      </c>
      <c r="Q9621" s="17"/>
      <c r="R9621" s="25" t="str">
        <f>HYPERLINK("https://ictv.global/taxonomy/taxondetails?taxnode_id=202316495","Mihkrovirus neosoladaptatum")</f>
        <v>Mihkrovirus neosoladaptatum</v>
      </c>
      <c r="S9621" s="18" t="s">
        <v>30</v>
      </c>
      <c r="T9621" s="18" t="s">
        <v>43577</v>
      </c>
      <c r="U9621" s="18"/>
      <c r="V9621" s="18"/>
      <c r="W9621" s="18" t="s">
        <v>43578</v>
      </c>
      <c r="X9621" s="18" t="s">
        <v>35</v>
      </c>
      <c r="Y9621" s="18" t="s">
        <v>17171</v>
      </c>
      <c r="Z9621" s="18" t="s">
        <v>24637</v>
      </c>
      <c r="AA9621" s="21" t="str">
        <f>HYPERLINK("https://www.ncbi.nlm.nih.gov/nuccore/CASDWV010000463","NCBI Nucleotide")</f>
        <v>NCBI Nucleotide</v>
      </c>
    </row>
    <row r="9622" spans="1:27" x14ac:dyDescent="0.35">
      <c r="A9622">
        <v>1027383</v>
      </c>
      <c r="B9622">
        <v>8947</v>
      </c>
      <c r="C9622">
        <v>1</v>
      </c>
      <c r="D9622" s="17" t="s">
        <v>17166</v>
      </c>
      <c r="E9622" s="17"/>
      <c r="F9622" s="17" t="s">
        <v>17246</v>
      </c>
      <c r="G9622" s="17"/>
      <c r="H9622" s="17" t="s">
        <v>20919</v>
      </c>
      <c r="I9622" s="17"/>
      <c r="J9622" s="17" t="s">
        <v>21313</v>
      </c>
      <c r="K9622" s="17"/>
      <c r="L9622" s="17" t="s">
        <v>21326</v>
      </c>
      <c r="M9622" s="17"/>
      <c r="N9622" s="17" t="s">
        <v>21577</v>
      </c>
      <c r="O9622" s="17"/>
      <c r="P9622" s="17" t="s">
        <v>21955</v>
      </c>
      <c r="Q9622" s="17"/>
      <c r="R9622" s="25" t="str">
        <f>HYPERLINK("https://ictv.global/taxonomy/taxondetails?taxnode_id=202316496","Mihkrovirus paspalivicinum")</f>
        <v>Mihkrovirus paspalivicinum</v>
      </c>
      <c r="S9622" s="18" t="s">
        <v>30</v>
      </c>
      <c r="T9622" s="18" t="s">
        <v>43579</v>
      </c>
      <c r="U9622" s="18"/>
      <c r="V9622" s="18" t="s">
        <v>43580</v>
      </c>
      <c r="W9622" s="18" t="s">
        <v>43581</v>
      </c>
      <c r="X9622" s="18" t="s">
        <v>35</v>
      </c>
      <c r="Y9622" s="18" t="s">
        <v>17171</v>
      </c>
      <c r="Z9622" s="18" t="s">
        <v>17336</v>
      </c>
      <c r="AA9622" s="21" t="str">
        <f>HYPERLINK("https://www.ncbi.nlm.nih.gov/nuccore/OM514499","NCBI Nucleotide")</f>
        <v>NCBI Nucleotide</v>
      </c>
    </row>
    <row r="9623" spans="1:27" x14ac:dyDescent="0.35">
      <c r="A9623">
        <v>1009600</v>
      </c>
      <c r="B9623">
        <v>8948</v>
      </c>
      <c r="C9623">
        <v>1</v>
      </c>
      <c r="D9623" s="17" t="s">
        <v>17166</v>
      </c>
      <c r="E9623" s="17"/>
      <c r="F9623" s="17" t="s">
        <v>17246</v>
      </c>
      <c r="G9623" s="17"/>
      <c r="H9623" s="17" t="s">
        <v>20919</v>
      </c>
      <c r="I9623" s="17"/>
      <c r="J9623" s="17" t="s">
        <v>21313</v>
      </c>
      <c r="K9623" s="17"/>
      <c r="L9623" s="17" t="s">
        <v>21326</v>
      </c>
      <c r="M9623" s="17"/>
      <c r="N9623" s="17" t="s">
        <v>21577</v>
      </c>
      <c r="O9623" s="17"/>
      <c r="P9623" s="17" t="s">
        <v>21955</v>
      </c>
      <c r="Q9623" s="17"/>
      <c r="R9623" s="25" t="str">
        <f>HYPERLINK("https://ictv.global/taxonomy/taxondetails?taxnode_id=202310465","Mihkrovirus pedovicinum")</f>
        <v>Mihkrovirus pedovicinum</v>
      </c>
      <c r="S9623" s="18" t="s">
        <v>30</v>
      </c>
      <c r="T9623" s="18" t="s">
        <v>21956</v>
      </c>
      <c r="U9623" s="18"/>
      <c r="V9623" s="18"/>
      <c r="W9623" s="18" t="s">
        <v>21957</v>
      </c>
      <c r="X9623" s="18" t="s">
        <v>35</v>
      </c>
      <c r="Y9623" s="18" t="s">
        <v>17171</v>
      </c>
      <c r="Z9623" s="18" t="s">
        <v>697</v>
      </c>
      <c r="AA9623" s="21" t="str">
        <f>HYPERLINK("https://www.ncbi.nlm.nih.gov/nuccore/BK013900","NCBI Nucleotide")</f>
        <v>NCBI Nucleotide</v>
      </c>
    </row>
    <row r="9624" spans="1:27" x14ac:dyDescent="0.35">
      <c r="A9624">
        <v>1009601</v>
      </c>
      <c r="B9624">
        <v>8949</v>
      </c>
      <c r="C9624">
        <v>1</v>
      </c>
      <c r="D9624" s="17" t="s">
        <v>17166</v>
      </c>
      <c r="E9624" s="17"/>
      <c r="F9624" s="17" t="s">
        <v>17246</v>
      </c>
      <c r="G9624" s="17"/>
      <c r="H9624" s="17" t="s">
        <v>20919</v>
      </c>
      <c r="I9624" s="17"/>
      <c r="J9624" s="17" t="s">
        <v>21313</v>
      </c>
      <c r="K9624" s="17"/>
      <c r="L9624" s="17" t="s">
        <v>21326</v>
      </c>
      <c r="M9624" s="17"/>
      <c r="N9624" s="17" t="s">
        <v>21577</v>
      </c>
      <c r="O9624" s="17"/>
      <c r="P9624" s="17" t="s">
        <v>21955</v>
      </c>
      <c r="Q9624" s="17"/>
      <c r="R9624" s="25" t="str">
        <f>HYPERLINK("https://ictv.global/taxonomy/taxondetails?taxnode_id=202310466","Mihkrovirus pedovivens")</f>
        <v>Mihkrovirus pedovivens</v>
      </c>
      <c r="S9624" s="18" t="s">
        <v>30</v>
      </c>
      <c r="T9624" s="18" t="s">
        <v>21958</v>
      </c>
      <c r="U9624" s="18"/>
      <c r="V9624" s="18"/>
      <c r="W9624" s="18" t="s">
        <v>21959</v>
      </c>
      <c r="X9624" s="18" t="s">
        <v>35</v>
      </c>
      <c r="Y9624" s="18" t="s">
        <v>17171</v>
      </c>
      <c r="Z9624" s="18" t="s">
        <v>697</v>
      </c>
      <c r="AA9624" s="21" t="str">
        <f>HYPERLINK("https://www.ncbi.nlm.nih.gov/nuccore/BK013854","NCBI Nucleotide")</f>
        <v>NCBI Nucleotide</v>
      </c>
    </row>
    <row r="9625" spans="1:27" x14ac:dyDescent="0.35">
      <c r="A9625">
        <v>1009602</v>
      </c>
      <c r="B9625">
        <v>8950</v>
      </c>
      <c r="C9625">
        <v>1</v>
      </c>
      <c r="D9625" s="17" t="s">
        <v>17166</v>
      </c>
      <c r="E9625" s="17"/>
      <c r="F9625" s="17" t="s">
        <v>17246</v>
      </c>
      <c r="G9625" s="17"/>
      <c r="H9625" s="17" t="s">
        <v>20919</v>
      </c>
      <c r="I9625" s="17"/>
      <c r="J9625" s="17" t="s">
        <v>21313</v>
      </c>
      <c r="K9625" s="17"/>
      <c r="L9625" s="17" t="s">
        <v>21326</v>
      </c>
      <c r="M9625" s="17"/>
      <c r="N9625" s="17" t="s">
        <v>21577</v>
      </c>
      <c r="O9625" s="17"/>
      <c r="P9625" s="17" t="s">
        <v>21955</v>
      </c>
      <c r="Q9625" s="17"/>
      <c r="R9625" s="25" t="str">
        <f>HYPERLINK("https://ictv.global/taxonomy/taxondetails?taxnode_id=202310468","Mihkrovirus peladaptatum")</f>
        <v>Mihkrovirus peladaptatum</v>
      </c>
      <c r="S9625" s="18" t="s">
        <v>30</v>
      </c>
      <c r="T9625" s="18" t="s">
        <v>21960</v>
      </c>
      <c r="U9625" s="18"/>
      <c r="V9625" s="18"/>
      <c r="W9625" s="18" t="s">
        <v>21961</v>
      </c>
      <c r="X9625" s="18" t="s">
        <v>35</v>
      </c>
      <c r="Y9625" s="18" t="s">
        <v>17171</v>
      </c>
      <c r="Z9625" s="18" t="s">
        <v>697</v>
      </c>
      <c r="AA9625" s="21" t="str">
        <f>HYPERLINK("https://www.ncbi.nlm.nih.gov/nuccore/BK013674","NCBI Nucleotide")</f>
        <v>NCBI Nucleotide</v>
      </c>
    </row>
    <row r="9626" spans="1:27" x14ac:dyDescent="0.35">
      <c r="A9626">
        <v>1009603</v>
      </c>
      <c r="B9626">
        <v>8951</v>
      </c>
      <c r="C9626">
        <v>1</v>
      </c>
      <c r="D9626" s="17" t="s">
        <v>17166</v>
      </c>
      <c r="E9626" s="17"/>
      <c r="F9626" s="17" t="s">
        <v>17246</v>
      </c>
      <c r="G9626" s="17"/>
      <c r="H9626" s="17" t="s">
        <v>20919</v>
      </c>
      <c r="I9626" s="17"/>
      <c r="J9626" s="17" t="s">
        <v>21313</v>
      </c>
      <c r="K9626" s="17"/>
      <c r="L9626" s="17" t="s">
        <v>21326</v>
      </c>
      <c r="M9626" s="17"/>
      <c r="N9626" s="17" t="s">
        <v>21577</v>
      </c>
      <c r="O9626" s="17"/>
      <c r="P9626" s="17" t="s">
        <v>21955</v>
      </c>
      <c r="Q9626" s="17"/>
      <c r="R9626" s="25" t="str">
        <f>HYPERLINK("https://ictv.global/taxonomy/taxondetails?taxnode_id=202310469","Mihkrovirus pelenecus")</f>
        <v>Mihkrovirus pelenecus</v>
      </c>
      <c r="S9626" s="18" t="s">
        <v>30</v>
      </c>
      <c r="T9626" s="18" t="s">
        <v>21962</v>
      </c>
      <c r="U9626" s="18"/>
      <c r="V9626" s="18"/>
      <c r="W9626" s="18" t="s">
        <v>21963</v>
      </c>
      <c r="X9626" s="18" t="s">
        <v>35</v>
      </c>
      <c r="Y9626" s="18" t="s">
        <v>17171</v>
      </c>
      <c r="Z9626" s="18" t="s">
        <v>697</v>
      </c>
      <c r="AA9626" s="21" t="str">
        <f>HYPERLINK("https://www.ncbi.nlm.nih.gov/nuccore/BK013706","NCBI Nucleotide")</f>
        <v>NCBI Nucleotide</v>
      </c>
    </row>
    <row r="9627" spans="1:27" x14ac:dyDescent="0.35">
      <c r="A9627">
        <v>1009604</v>
      </c>
      <c r="B9627">
        <v>8952</v>
      </c>
      <c r="C9627">
        <v>1</v>
      </c>
      <c r="D9627" s="17" t="s">
        <v>17166</v>
      </c>
      <c r="E9627" s="17"/>
      <c r="F9627" s="17" t="s">
        <v>17246</v>
      </c>
      <c r="G9627" s="17"/>
      <c r="H9627" s="17" t="s">
        <v>20919</v>
      </c>
      <c r="I9627" s="17"/>
      <c r="J9627" s="17" t="s">
        <v>21313</v>
      </c>
      <c r="K9627" s="17"/>
      <c r="L9627" s="17" t="s">
        <v>21326</v>
      </c>
      <c r="M9627" s="17"/>
      <c r="N9627" s="17" t="s">
        <v>21577</v>
      </c>
      <c r="O9627" s="17"/>
      <c r="P9627" s="17" t="s">
        <v>21955</v>
      </c>
      <c r="Q9627" s="17"/>
      <c r="R9627" s="25" t="str">
        <f>HYPERLINK("https://ictv.global/taxonomy/taxondetails?taxnode_id=202310470","Mihkrovirus pelocola")</f>
        <v>Mihkrovirus pelocola</v>
      </c>
      <c r="S9627" s="18" t="s">
        <v>30</v>
      </c>
      <c r="T9627" s="18" t="s">
        <v>21964</v>
      </c>
      <c r="U9627" s="18"/>
      <c r="V9627" s="18"/>
      <c r="W9627" s="18" t="s">
        <v>21965</v>
      </c>
      <c r="X9627" s="18" t="s">
        <v>35</v>
      </c>
      <c r="Y9627" s="18" t="s">
        <v>17171</v>
      </c>
      <c r="Z9627" s="18" t="s">
        <v>697</v>
      </c>
      <c r="AA9627" s="21" t="str">
        <f>HYPERLINK("https://www.ncbi.nlm.nih.gov/nuccore/BK014180","NCBI Nucleotide")</f>
        <v>NCBI Nucleotide</v>
      </c>
    </row>
    <row r="9628" spans="1:27" x14ac:dyDescent="0.35">
      <c r="A9628">
        <v>1027384</v>
      </c>
      <c r="B9628">
        <v>8953</v>
      </c>
      <c r="C9628">
        <v>1</v>
      </c>
      <c r="D9628" s="17" t="s">
        <v>17166</v>
      </c>
      <c r="E9628" s="17"/>
      <c r="F9628" s="17" t="s">
        <v>17246</v>
      </c>
      <c r="G9628" s="17"/>
      <c r="H9628" s="17" t="s">
        <v>20919</v>
      </c>
      <c r="I9628" s="17"/>
      <c r="J9628" s="17" t="s">
        <v>21313</v>
      </c>
      <c r="K9628" s="17"/>
      <c r="L9628" s="17" t="s">
        <v>21326</v>
      </c>
      <c r="M9628" s="17"/>
      <c r="N9628" s="17" t="s">
        <v>21577</v>
      </c>
      <c r="O9628" s="17"/>
      <c r="P9628" s="17" t="s">
        <v>21955</v>
      </c>
      <c r="Q9628" s="17"/>
      <c r="R9628" s="25" t="str">
        <f>HYPERLINK("https://ictv.global/taxonomy/taxondetails?taxnode_id=202316497","Mihkrovirus plasmoparicola")</f>
        <v>Mihkrovirus plasmoparicola</v>
      </c>
      <c r="S9628" s="18" t="s">
        <v>30</v>
      </c>
      <c r="T9628" s="18" t="s">
        <v>43582</v>
      </c>
      <c r="U9628" s="18"/>
      <c r="V9628" s="18" t="s">
        <v>43583</v>
      </c>
      <c r="W9628" s="18" t="s">
        <v>43584</v>
      </c>
      <c r="X9628" s="18" t="s">
        <v>42</v>
      </c>
      <c r="Y9628" s="18" t="s">
        <v>17171</v>
      </c>
      <c r="Z9628" s="18" t="s">
        <v>17336</v>
      </c>
      <c r="AA9628" s="21" t="str">
        <f>HYPERLINK("https://www.ncbi.nlm.nih.gov/nuccore/MN539861","NCBI Nucleotide")</f>
        <v>NCBI Nucleotide</v>
      </c>
    </row>
    <row r="9629" spans="1:27" x14ac:dyDescent="0.35">
      <c r="A9629">
        <v>1027385</v>
      </c>
      <c r="B9629">
        <v>8954</v>
      </c>
      <c r="C9629">
        <v>1</v>
      </c>
      <c r="D9629" s="17" t="s">
        <v>17166</v>
      </c>
      <c r="E9629" s="17"/>
      <c r="F9629" s="17" t="s">
        <v>17246</v>
      </c>
      <c r="G9629" s="17"/>
      <c r="H9629" s="17" t="s">
        <v>20919</v>
      </c>
      <c r="I9629" s="17"/>
      <c r="J9629" s="17" t="s">
        <v>21313</v>
      </c>
      <c r="K9629" s="17"/>
      <c r="L9629" s="17" t="s">
        <v>21326</v>
      </c>
      <c r="M9629" s="17"/>
      <c r="N9629" s="17" t="s">
        <v>21577</v>
      </c>
      <c r="O9629" s="17"/>
      <c r="P9629" s="17" t="s">
        <v>21955</v>
      </c>
      <c r="Q9629" s="17"/>
      <c r="R9629" s="25" t="str">
        <f>HYPERLINK("https://ictv.global/taxonomy/taxondetails?taxnode_id=202316498","Mihkrovirus radicihabitans")</f>
        <v>Mihkrovirus radicihabitans</v>
      </c>
      <c r="S9629" s="18" t="s">
        <v>30</v>
      </c>
      <c r="T9629" s="18" t="s">
        <v>43585</v>
      </c>
      <c r="U9629" s="18"/>
      <c r="V9629" s="18"/>
      <c r="W9629" s="18" t="s">
        <v>43586</v>
      </c>
      <c r="X9629" s="18" t="s">
        <v>35</v>
      </c>
      <c r="Y9629" s="18" t="s">
        <v>17171</v>
      </c>
      <c r="Z9629" s="18" t="s">
        <v>24637</v>
      </c>
      <c r="AA9629" s="21" t="str">
        <f>HYPERLINK("https://www.ncbi.nlm.nih.gov/nuccore/CASDWV010004260","NCBI Nucleotide")</f>
        <v>NCBI Nucleotide</v>
      </c>
    </row>
    <row r="9630" spans="1:27" x14ac:dyDescent="0.35">
      <c r="A9630">
        <v>1027386</v>
      </c>
      <c r="B9630">
        <v>8955</v>
      </c>
      <c r="C9630">
        <v>1</v>
      </c>
      <c r="D9630" s="17" t="s">
        <v>17166</v>
      </c>
      <c r="E9630" s="17"/>
      <c r="F9630" s="17" t="s">
        <v>17246</v>
      </c>
      <c r="G9630" s="17"/>
      <c r="H9630" s="17" t="s">
        <v>20919</v>
      </c>
      <c r="I9630" s="17"/>
      <c r="J9630" s="17" t="s">
        <v>21313</v>
      </c>
      <c r="K9630" s="17"/>
      <c r="L9630" s="17" t="s">
        <v>21326</v>
      </c>
      <c r="M9630" s="17"/>
      <c r="N9630" s="17" t="s">
        <v>21577</v>
      </c>
      <c r="O9630" s="17"/>
      <c r="P9630" s="17" t="s">
        <v>21955</v>
      </c>
      <c r="Q9630" s="17"/>
      <c r="R9630" s="25" t="str">
        <f>HYPERLINK("https://ictv.global/taxonomy/taxondetails?taxnode_id=202316499","Mihkrovirus radicivivens")</f>
        <v>Mihkrovirus radicivivens</v>
      </c>
      <c r="S9630" s="18" t="s">
        <v>30</v>
      </c>
      <c r="T9630" s="18" t="s">
        <v>43587</v>
      </c>
      <c r="U9630" s="18"/>
      <c r="V9630" s="18"/>
      <c r="W9630" s="18" t="s">
        <v>43588</v>
      </c>
      <c r="X9630" s="18" t="s">
        <v>35</v>
      </c>
      <c r="Y9630" s="18" t="s">
        <v>17171</v>
      </c>
      <c r="Z9630" s="18" t="s">
        <v>24637</v>
      </c>
      <c r="AA9630" s="21" t="str">
        <f>HYPERLINK("https://www.ncbi.nlm.nih.gov/nuccore/CASDWV010002196","NCBI Nucleotide")</f>
        <v>NCBI Nucleotide</v>
      </c>
    </row>
    <row r="9631" spans="1:27" x14ac:dyDescent="0.35">
      <c r="A9631">
        <v>1027387</v>
      </c>
      <c r="B9631">
        <v>8956</v>
      </c>
      <c r="C9631">
        <v>1</v>
      </c>
      <c r="D9631" s="17" t="s">
        <v>17166</v>
      </c>
      <c r="E9631" s="17"/>
      <c r="F9631" s="17" t="s">
        <v>17246</v>
      </c>
      <c r="G9631" s="17"/>
      <c r="H9631" s="17" t="s">
        <v>20919</v>
      </c>
      <c r="I9631" s="17"/>
      <c r="J9631" s="17" t="s">
        <v>21313</v>
      </c>
      <c r="K9631" s="17"/>
      <c r="L9631" s="17" t="s">
        <v>21326</v>
      </c>
      <c r="M9631" s="17"/>
      <c r="N9631" s="17" t="s">
        <v>21577</v>
      </c>
      <c r="O9631" s="17"/>
      <c r="P9631" s="17" t="s">
        <v>21955</v>
      </c>
      <c r="Q9631" s="17"/>
      <c r="R9631" s="25" t="str">
        <f>HYPERLINK("https://ictv.global/taxonomy/taxondetails?taxnode_id=202316500","Mihkrovirus segetadaptatum")</f>
        <v>Mihkrovirus segetadaptatum</v>
      </c>
      <c r="S9631" s="18" t="s">
        <v>30</v>
      </c>
      <c r="T9631" s="18" t="s">
        <v>43589</v>
      </c>
      <c r="U9631" s="18"/>
      <c r="V9631" s="18"/>
      <c r="W9631" s="18" t="s">
        <v>43590</v>
      </c>
      <c r="X9631" s="18" t="s">
        <v>35</v>
      </c>
      <c r="Y9631" s="18" t="s">
        <v>17171</v>
      </c>
      <c r="Z9631" s="18" t="s">
        <v>24637</v>
      </c>
      <c r="AA9631" s="21" t="str">
        <f>HYPERLINK("https://www.ncbi.nlm.nih.gov/nuccore/CASDWV010004290","NCBI Nucleotide")</f>
        <v>NCBI Nucleotide</v>
      </c>
    </row>
    <row r="9632" spans="1:27" x14ac:dyDescent="0.35">
      <c r="A9632">
        <v>1027388</v>
      </c>
      <c r="B9632">
        <v>8957</v>
      </c>
      <c r="C9632">
        <v>1</v>
      </c>
      <c r="D9632" s="17" t="s">
        <v>17166</v>
      </c>
      <c r="E9632" s="17"/>
      <c r="F9632" s="17" t="s">
        <v>17246</v>
      </c>
      <c r="G9632" s="17"/>
      <c r="H9632" s="17" t="s">
        <v>20919</v>
      </c>
      <c r="I9632" s="17"/>
      <c r="J9632" s="17" t="s">
        <v>21313</v>
      </c>
      <c r="K9632" s="17"/>
      <c r="L9632" s="17" t="s">
        <v>21326</v>
      </c>
      <c r="M9632" s="17"/>
      <c r="N9632" s="17" t="s">
        <v>21577</v>
      </c>
      <c r="O9632" s="17"/>
      <c r="P9632" s="17" t="s">
        <v>21955</v>
      </c>
      <c r="Q9632" s="17"/>
      <c r="R9632" s="25" t="str">
        <f>HYPERLINK("https://ictv.global/taxonomy/taxondetails?taxnode_id=202316501","Mihkrovirus segetihabitans")</f>
        <v>Mihkrovirus segetihabitans</v>
      </c>
      <c r="S9632" s="18" t="s">
        <v>30</v>
      </c>
      <c r="T9632" s="18" t="s">
        <v>43591</v>
      </c>
      <c r="U9632" s="18"/>
      <c r="V9632" s="18"/>
      <c r="W9632" s="18" t="s">
        <v>43592</v>
      </c>
      <c r="X9632" s="18" t="s">
        <v>35</v>
      </c>
      <c r="Y9632" s="18" t="s">
        <v>17171</v>
      </c>
      <c r="Z9632" s="18" t="s">
        <v>24637</v>
      </c>
      <c r="AA9632" s="21" t="str">
        <f>HYPERLINK("https://www.ncbi.nlm.nih.gov/nuccore/CASDWV010002548","NCBI Nucleotide")</f>
        <v>NCBI Nucleotide</v>
      </c>
    </row>
    <row r="9633" spans="1:27" x14ac:dyDescent="0.35">
      <c r="A9633">
        <v>1009605</v>
      </c>
      <c r="B9633">
        <v>8958</v>
      </c>
      <c r="C9633">
        <v>1</v>
      </c>
      <c r="D9633" s="17" t="s">
        <v>17166</v>
      </c>
      <c r="E9633" s="17"/>
      <c r="F9633" s="17" t="s">
        <v>17246</v>
      </c>
      <c r="G9633" s="17"/>
      <c r="H9633" s="17" t="s">
        <v>20919</v>
      </c>
      <c r="I9633" s="17"/>
      <c r="J9633" s="17" t="s">
        <v>21313</v>
      </c>
      <c r="K9633" s="17"/>
      <c r="L9633" s="17" t="s">
        <v>21326</v>
      </c>
      <c r="M9633" s="17"/>
      <c r="N9633" s="17" t="s">
        <v>21577</v>
      </c>
      <c r="O9633" s="17"/>
      <c r="P9633" s="17" t="s">
        <v>21955</v>
      </c>
      <c r="Q9633" s="17"/>
      <c r="R9633" s="25" t="str">
        <f>HYPERLINK("https://ictv.global/taxonomy/taxondetails?taxnode_id=202310464","Mihkrovirus soladaptatum")</f>
        <v>Mihkrovirus soladaptatum</v>
      </c>
      <c r="S9633" s="18" t="s">
        <v>30</v>
      </c>
      <c r="T9633" s="18" t="s">
        <v>21966</v>
      </c>
      <c r="U9633" s="18"/>
      <c r="V9633" s="18"/>
      <c r="W9633" s="18" t="s">
        <v>21967</v>
      </c>
      <c r="X9633" s="18" t="s">
        <v>35</v>
      </c>
      <c r="Y9633" s="18" t="s">
        <v>17171</v>
      </c>
      <c r="Z9633" s="18" t="s">
        <v>697</v>
      </c>
      <c r="AA9633" s="21" t="str">
        <f>HYPERLINK("https://www.ncbi.nlm.nih.gov/nuccore/BK013434","NCBI Nucleotide")</f>
        <v>NCBI Nucleotide</v>
      </c>
    </row>
    <row r="9634" spans="1:27" x14ac:dyDescent="0.35">
      <c r="A9634">
        <v>1009606</v>
      </c>
      <c r="B9634">
        <v>8959</v>
      </c>
      <c r="C9634">
        <v>1</v>
      </c>
      <c r="D9634" s="17" t="s">
        <v>17166</v>
      </c>
      <c r="E9634" s="17"/>
      <c r="F9634" s="17" t="s">
        <v>17246</v>
      </c>
      <c r="G9634" s="17"/>
      <c r="H9634" s="17" t="s">
        <v>20919</v>
      </c>
      <c r="I9634" s="17"/>
      <c r="J9634" s="17" t="s">
        <v>21313</v>
      </c>
      <c r="K9634" s="17"/>
      <c r="L9634" s="17" t="s">
        <v>21326</v>
      </c>
      <c r="M9634" s="17"/>
      <c r="N9634" s="17" t="s">
        <v>21577</v>
      </c>
      <c r="O9634" s="17"/>
      <c r="P9634" s="17" t="s">
        <v>21955</v>
      </c>
      <c r="Q9634" s="17"/>
      <c r="R9634" s="25" t="str">
        <f>HYPERLINK("https://ictv.global/taxonomy/taxondetails?taxnode_id=202310471","Mihkrovirus solenecus")</f>
        <v>Mihkrovirus solenecus</v>
      </c>
      <c r="S9634" s="18" t="s">
        <v>30</v>
      </c>
      <c r="T9634" s="18" t="s">
        <v>21968</v>
      </c>
      <c r="U9634" s="18"/>
      <c r="V9634" s="18"/>
      <c r="W9634" s="18" t="s">
        <v>21969</v>
      </c>
      <c r="X9634" s="18" t="s">
        <v>35</v>
      </c>
      <c r="Y9634" s="18" t="s">
        <v>17171</v>
      </c>
      <c r="Z9634" s="18" t="s">
        <v>697</v>
      </c>
      <c r="AA9634" s="21" t="str">
        <f>HYPERLINK("https://www.ncbi.nlm.nih.gov/nuccore/BK013986","NCBI Nucleotide")</f>
        <v>NCBI Nucleotide</v>
      </c>
    </row>
    <row r="9635" spans="1:27" x14ac:dyDescent="0.35">
      <c r="A9635">
        <v>1009607</v>
      </c>
      <c r="B9635">
        <v>8960</v>
      </c>
      <c r="C9635">
        <v>1</v>
      </c>
      <c r="D9635" s="17" t="s">
        <v>17166</v>
      </c>
      <c r="E9635" s="17"/>
      <c r="F9635" s="17" t="s">
        <v>17246</v>
      </c>
      <c r="G9635" s="17"/>
      <c r="H9635" s="17" t="s">
        <v>20919</v>
      </c>
      <c r="I9635" s="17"/>
      <c r="J9635" s="17" t="s">
        <v>21313</v>
      </c>
      <c r="K9635" s="17"/>
      <c r="L9635" s="17" t="s">
        <v>21326</v>
      </c>
      <c r="M9635" s="17"/>
      <c r="N9635" s="17" t="s">
        <v>21577</v>
      </c>
      <c r="O9635" s="17"/>
      <c r="P9635" s="17" t="s">
        <v>21955</v>
      </c>
      <c r="Q9635" s="17"/>
      <c r="R9635" s="25" t="str">
        <f>HYPERLINK("https://ictv.global/taxonomy/taxondetails?taxnode_id=202310467","Mihkrovirus solicola")</f>
        <v>Mihkrovirus solicola</v>
      </c>
      <c r="S9635" s="18" t="s">
        <v>30</v>
      </c>
      <c r="T9635" s="18" t="s">
        <v>21970</v>
      </c>
      <c r="U9635" s="18"/>
      <c r="V9635" s="18"/>
      <c r="W9635" s="18" t="s">
        <v>21971</v>
      </c>
      <c r="X9635" s="18" t="s">
        <v>35</v>
      </c>
      <c r="Y9635" s="18" t="s">
        <v>17171</v>
      </c>
      <c r="Z9635" s="18" t="s">
        <v>697</v>
      </c>
      <c r="AA9635" s="21" t="str">
        <f>HYPERLINK("https://www.ncbi.nlm.nih.gov/nuccore/BK013531","NCBI Nucleotide")</f>
        <v>NCBI Nucleotide</v>
      </c>
    </row>
    <row r="9636" spans="1:27" x14ac:dyDescent="0.35">
      <c r="A9636">
        <v>1027389</v>
      </c>
      <c r="B9636">
        <v>8961</v>
      </c>
      <c r="C9636">
        <v>1</v>
      </c>
      <c r="D9636" s="17" t="s">
        <v>17166</v>
      </c>
      <c r="E9636" s="17"/>
      <c r="F9636" s="17" t="s">
        <v>17246</v>
      </c>
      <c r="G9636" s="17"/>
      <c r="H9636" s="17" t="s">
        <v>20919</v>
      </c>
      <c r="I9636" s="17"/>
      <c r="J9636" s="17" t="s">
        <v>21313</v>
      </c>
      <c r="K9636" s="17"/>
      <c r="L9636" s="17" t="s">
        <v>21326</v>
      </c>
      <c r="M9636" s="17"/>
      <c r="N9636" s="17" t="s">
        <v>21577</v>
      </c>
      <c r="O9636" s="17"/>
      <c r="P9636" s="17" t="s">
        <v>21955</v>
      </c>
      <c r="Q9636" s="17"/>
      <c r="R9636" s="25" t="str">
        <f>HYPERLINK("https://ictv.global/taxonomy/taxondetails?taxnode_id=202316502","Mihkrovirus tellurivivens")</f>
        <v>Mihkrovirus tellurivivens</v>
      </c>
      <c r="S9636" s="18" t="s">
        <v>30</v>
      </c>
      <c r="T9636" s="18" t="s">
        <v>43593</v>
      </c>
      <c r="U9636" s="18"/>
      <c r="V9636" s="18"/>
      <c r="W9636" s="18" t="s">
        <v>43594</v>
      </c>
      <c r="X9636" s="18" t="s">
        <v>35</v>
      </c>
      <c r="Y9636" s="18" t="s">
        <v>17171</v>
      </c>
      <c r="Z9636" s="18" t="s">
        <v>24637</v>
      </c>
      <c r="AA9636" s="21" t="str">
        <f>HYPERLINK("https://www.ncbi.nlm.nih.gov/nuccore/CASDWV010003887","NCBI Nucleotide")</f>
        <v>NCBI Nucleotide</v>
      </c>
    </row>
    <row r="9637" spans="1:27" x14ac:dyDescent="0.35">
      <c r="A9637">
        <v>1027390</v>
      </c>
      <c r="B9637">
        <v>8962</v>
      </c>
      <c r="C9637">
        <v>1</v>
      </c>
      <c r="D9637" s="17" t="s">
        <v>17166</v>
      </c>
      <c r="E9637" s="17"/>
      <c r="F9637" s="17" t="s">
        <v>17246</v>
      </c>
      <c r="G9637" s="17"/>
      <c r="H9637" s="17" t="s">
        <v>20919</v>
      </c>
      <c r="I9637" s="17"/>
      <c r="J9637" s="17" t="s">
        <v>21313</v>
      </c>
      <c r="K9637" s="17"/>
      <c r="L9637" s="17" t="s">
        <v>21326</v>
      </c>
      <c r="M9637" s="17"/>
      <c r="N9637" s="17" t="s">
        <v>21577</v>
      </c>
      <c r="O9637" s="17"/>
      <c r="P9637" s="17" t="s">
        <v>21955</v>
      </c>
      <c r="Q9637" s="17"/>
      <c r="R9637" s="25" t="str">
        <f>HYPERLINK("https://ictv.global/taxonomy/taxondetails?taxnode_id=202316503","Mihkrovirus terrenecus")</f>
        <v>Mihkrovirus terrenecus</v>
      </c>
      <c r="S9637" s="18" t="s">
        <v>30</v>
      </c>
      <c r="T9637" s="18" t="s">
        <v>43595</v>
      </c>
      <c r="U9637" s="18"/>
      <c r="V9637" s="18"/>
      <c r="W9637" s="18" t="s">
        <v>43596</v>
      </c>
      <c r="X9637" s="18" t="s">
        <v>35</v>
      </c>
      <c r="Y9637" s="18" t="s">
        <v>17171</v>
      </c>
      <c r="Z9637" s="18" t="s">
        <v>24637</v>
      </c>
      <c r="AA9637" s="21" t="str">
        <f>HYPERLINK("https://www.ncbi.nlm.nih.gov/nuccore/CASDWV010001810","NCBI Nucleotide")</f>
        <v>NCBI Nucleotide</v>
      </c>
    </row>
    <row r="9638" spans="1:27" x14ac:dyDescent="0.35">
      <c r="A9638">
        <v>1027391</v>
      </c>
      <c r="B9638">
        <v>8963</v>
      </c>
      <c r="C9638">
        <v>1</v>
      </c>
      <c r="D9638" s="17" t="s">
        <v>17166</v>
      </c>
      <c r="E9638" s="17"/>
      <c r="F9638" s="17" t="s">
        <v>17246</v>
      </c>
      <c r="G9638" s="17"/>
      <c r="H9638" s="17" t="s">
        <v>20919</v>
      </c>
      <c r="I9638" s="17"/>
      <c r="J9638" s="17" t="s">
        <v>21313</v>
      </c>
      <c r="K9638" s="17"/>
      <c r="L9638" s="17" t="s">
        <v>21326</v>
      </c>
      <c r="M9638" s="17"/>
      <c r="N9638" s="17" t="s">
        <v>21577</v>
      </c>
      <c r="O9638" s="17"/>
      <c r="P9638" s="17" t="s">
        <v>21955</v>
      </c>
      <c r="Q9638" s="17"/>
      <c r="R9638" s="25" t="str">
        <f>HYPERLINK("https://ictv.global/taxonomy/taxondetails?taxnode_id=202316504","Mihkrovirus terricola")</f>
        <v>Mihkrovirus terricola</v>
      </c>
      <c r="S9638" s="18" t="s">
        <v>30</v>
      </c>
      <c r="T9638" s="18" t="s">
        <v>43597</v>
      </c>
      <c r="U9638" s="18"/>
      <c r="V9638" s="18"/>
      <c r="W9638" s="18" t="s">
        <v>43598</v>
      </c>
      <c r="X9638" s="18" t="s">
        <v>35</v>
      </c>
      <c r="Y9638" s="18" t="s">
        <v>17171</v>
      </c>
      <c r="Z9638" s="18" t="s">
        <v>24637</v>
      </c>
      <c r="AA9638" s="21" t="str">
        <f>HYPERLINK("https://www.ncbi.nlm.nih.gov/nuccore/CASDWV010004523","NCBI Nucleotide")</f>
        <v>NCBI Nucleotide</v>
      </c>
    </row>
    <row r="9639" spans="1:27" x14ac:dyDescent="0.35">
      <c r="A9639">
        <v>1027392</v>
      </c>
      <c r="B9639">
        <v>8964</v>
      </c>
      <c r="C9639">
        <v>1</v>
      </c>
      <c r="D9639" s="17" t="s">
        <v>17166</v>
      </c>
      <c r="E9639" s="17"/>
      <c r="F9639" s="17" t="s">
        <v>17246</v>
      </c>
      <c r="G9639" s="17"/>
      <c r="H9639" s="17" t="s">
        <v>20919</v>
      </c>
      <c r="I9639" s="17"/>
      <c r="J9639" s="17" t="s">
        <v>21313</v>
      </c>
      <c r="K9639" s="17"/>
      <c r="L9639" s="17" t="s">
        <v>21326</v>
      </c>
      <c r="M9639" s="17"/>
      <c r="N9639" s="17" t="s">
        <v>21577</v>
      </c>
      <c r="O9639" s="17"/>
      <c r="P9639" s="17" t="s">
        <v>21955</v>
      </c>
      <c r="Q9639" s="17"/>
      <c r="R9639" s="25" t="str">
        <f>HYPERLINK("https://ictv.global/taxonomy/taxondetails?taxnode_id=202316505","Mihkrovirus terrivicinum")</f>
        <v>Mihkrovirus terrivicinum</v>
      </c>
      <c r="S9639" s="18" t="s">
        <v>30</v>
      </c>
      <c r="T9639" s="18" t="s">
        <v>43599</v>
      </c>
      <c r="U9639" s="18"/>
      <c r="V9639" s="18"/>
      <c r="W9639" s="18" t="s">
        <v>43600</v>
      </c>
      <c r="X9639" s="18" t="s">
        <v>35</v>
      </c>
      <c r="Y9639" s="18" t="s">
        <v>17171</v>
      </c>
      <c r="Z9639" s="18" t="s">
        <v>24637</v>
      </c>
      <c r="AA9639" s="21" t="str">
        <f>HYPERLINK("https://www.ncbi.nlm.nih.gov/nuccore/CASDWV010002012","NCBI Nucleotide")</f>
        <v>NCBI Nucleotide</v>
      </c>
    </row>
    <row r="9640" spans="1:27" x14ac:dyDescent="0.35">
      <c r="A9640">
        <v>1027393</v>
      </c>
      <c r="B9640">
        <v>8965</v>
      </c>
      <c r="C9640">
        <v>1</v>
      </c>
      <c r="D9640" s="17" t="s">
        <v>17166</v>
      </c>
      <c r="E9640" s="17"/>
      <c r="F9640" s="17" t="s">
        <v>17246</v>
      </c>
      <c r="G9640" s="17"/>
      <c r="H9640" s="17" t="s">
        <v>20919</v>
      </c>
      <c r="I9640" s="17"/>
      <c r="J9640" s="17" t="s">
        <v>21313</v>
      </c>
      <c r="K9640" s="17"/>
      <c r="L9640" s="17" t="s">
        <v>21326</v>
      </c>
      <c r="M9640" s="17"/>
      <c r="N9640" s="17" t="s">
        <v>21577</v>
      </c>
      <c r="O9640" s="17"/>
      <c r="P9640" s="17" t="s">
        <v>21955</v>
      </c>
      <c r="Q9640" s="17"/>
      <c r="R9640" s="25" t="str">
        <f>HYPERLINK("https://ictv.global/taxonomy/taxondetails?taxnode_id=202316506","Mihkrovirus titanodulivivens")</f>
        <v>Mihkrovirus titanodulivivens</v>
      </c>
      <c r="S9640" s="18" t="s">
        <v>30</v>
      </c>
      <c r="T9640" s="18" t="s">
        <v>43601</v>
      </c>
      <c r="U9640" s="18"/>
      <c r="V9640" s="18" t="s">
        <v>43602</v>
      </c>
      <c r="W9640" s="18" t="s">
        <v>43603</v>
      </c>
      <c r="X9640" s="18" t="s">
        <v>35</v>
      </c>
      <c r="Y9640" s="18" t="s">
        <v>17171</v>
      </c>
      <c r="Z9640" s="18" t="s">
        <v>17413</v>
      </c>
      <c r="AA9640" s="21" t="str">
        <f>HYPERLINK("https://www.ncbi.nlm.nih.gov/nuccore/MZ210020","NCBI Nucleotide")</f>
        <v>NCBI Nucleotide</v>
      </c>
    </row>
    <row r="9641" spans="1:27" x14ac:dyDescent="0.35">
      <c r="A9641">
        <v>1027394</v>
      </c>
      <c r="B9641">
        <v>8966</v>
      </c>
      <c r="C9641">
        <v>1</v>
      </c>
      <c r="D9641" s="17" t="s">
        <v>17166</v>
      </c>
      <c r="E9641" s="17"/>
      <c r="F9641" s="17" t="s">
        <v>17246</v>
      </c>
      <c r="G9641" s="17"/>
      <c r="H9641" s="17" t="s">
        <v>20919</v>
      </c>
      <c r="I9641" s="17"/>
      <c r="J9641" s="17" t="s">
        <v>21313</v>
      </c>
      <c r="K9641" s="17"/>
      <c r="L9641" s="17" t="s">
        <v>21326</v>
      </c>
      <c r="M9641" s="17"/>
      <c r="N9641" s="17" t="s">
        <v>21577</v>
      </c>
      <c r="O9641" s="17"/>
      <c r="P9641" s="17" t="s">
        <v>21955</v>
      </c>
      <c r="Q9641" s="17"/>
      <c r="R9641" s="25" t="str">
        <f>HYPERLINK("https://ictv.global/taxonomy/taxondetails?taxnode_id=202316507","Mihkrovirus vitisadaptatum")</f>
        <v>Mihkrovirus vitisadaptatum</v>
      </c>
      <c r="S9641" s="18" t="s">
        <v>30</v>
      </c>
      <c r="T9641" s="18" t="s">
        <v>43604</v>
      </c>
      <c r="U9641" s="18"/>
      <c r="V9641" s="18" t="s">
        <v>43605</v>
      </c>
      <c r="W9641" s="18" t="s">
        <v>43606</v>
      </c>
      <c r="X9641" s="18" t="s">
        <v>35</v>
      </c>
      <c r="Y9641" s="18" t="s">
        <v>17171</v>
      </c>
      <c r="Z9641" s="18" t="s">
        <v>17336</v>
      </c>
      <c r="AA9641" s="21" t="str">
        <f>HYPERLINK("https://www.ncbi.nlm.nih.gov/nuccore/MW648446","NCBI Nucleotide")</f>
        <v>NCBI Nucleotide</v>
      </c>
    </row>
    <row r="9642" spans="1:27" x14ac:dyDescent="0.35">
      <c r="A9642">
        <v>1027395</v>
      </c>
      <c r="B9642">
        <v>8967</v>
      </c>
      <c r="C9642">
        <v>1</v>
      </c>
      <c r="D9642" s="17" t="s">
        <v>17166</v>
      </c>
      <c r="E9642" s="17"/>
      <c r="F9642" s="17" t="s">
        <v>17246</v>
      </c>
      <c r="G9642" s="17"/>
      <c r="H9642" s="17" t="s">
        <v>20919</v>
      </c>
      <c r="I9642" s="17"/>
      <c r="J9642" s="17" t="s">
        <v>21313</v>
      </c>
      <c r="K9642" s="17"/>
      <c r="L9642" s="17" t="s">
        <v>21326</v>
      </c>
      <c r="M9642" s="17"/>
      <c r="N9642" s="17" t="s">
        <v>21577</v>
      </c>
      <c r="O9642" s="17"/>
      <c r="P9642" s="17" t="s">
        <v>43607</v>
      </c>
      <c r="Q9642" s="17"/>
      <c r="R9642" s="25" t="str">
        <f>HYPERLINK("https://ictv.global/taxonomy/taxondetails?taxnode_id=202316508","Mincetevirus arvadaptatum")</f>
        <v>Mincetevirus arvadaptatum</v>
      </c>
      <c r="S9642" s="18" t="s">
        <v>30</v>
      </c>
      <c r="T9642" s="18" t="s">
        <v>43608</v>
      </c>
      <c r="U9642" s="18"/>
      <c r="V9642" s="18"/>
      <c r="W9642" s="18" t="s">
        <v>43609</v>
      </c>
      <c r="X9642" s="18" t="s">
        <v>35</v>
      </c>
      <c r="Y9642" s="18" t="s">
        <v>17171</v>
      </c>
      <c r="Z9642" s="18" t="s">
        <v>24637</v>
      </c>
      <c r="AA9642" s="21" t="str">
        <f>HYPERLINK("https://www.ncbi.nlm.nih.gov/nuccore/CASDWV010001637","NCBI Nucleotide")</f>
        <v>NCBI Nucleotide</v>
      </c>
    </row>
    <row r="9643" spans="1:27" x14ac:dyDescent="0.35">
      <c r="A9643">
        <v>1027396</v>
      </c>
      <c r="B9643">
        <v>8968</v>
      </c>
      <c r="C9643">
        <v>1</v>
      </c>
      <c r="D9643" s="17" t="s">
        <v>17166</v>
      </c>
      <c r="E9643" s="17"/>
      <c r="F9643" s="17" t="s">
        <v>17246</v>
      </c>
      <c r="G9643" s="17"/>
      <c r="H9643" s="17" t="s">
        <v>20919</v>
      </c>
      <c r="I9643" s="17"/>
      <c r="J9643" s="17" t="s">
        <v>21313</v>
      </c>
      <c r="K9643" s="17"/>
      <c r="L9643" s="17" t="s">
        <v>21326</v>
      </c>
      <c r="M9643" s="17"/>
      <c r="N9643" s="17" t="s">
        <v>21577</v>
      </c>
      <c r="O9643" s="17"/>
      <c r="P9643" s="17" t="s">
        <v>43607</v>
      </c>
      <c r="Q9643" s="17"/>
      <c r="R9643" s="25" t="str">
        <f>HYPERLINK("https://ictv.global/taxonomy/taxondetails?taxnode_id=202316509","Mincetevirus pelocola")</f>
        <v>Mincetevirus pelocola</v>
      </c>
      <c r="S9643" s="18" t="s">
        <v>30</v>
      </c>
      <c r="T9643" s="18" t="s">
        <v>43610</v>
      </c>
      <c r="U9643" s="18"/>
      <c r="V9643" s="18"/>
      <c r="W9643" s="18" t="s">
        <v>43611</v>
      </c>
      <c r="X9643" s="18" t="s">
        <v>35</v>
      </c>
      <c r="Y9643" s="18" t="s">
        <v>17171</v>
      </c>
      <c r="Z9643" s="18" t="s">
        <v>24637</v>
      </c>
      <c r="AA9643" s="21" t="str">
        <f>HYPERLINK("https://www.ncbi.nlm.nih.gov/nuccore/CASDWV010002861","NCBI Nucleotide")</f>
        <v>NCBI Nucleotide</v>
      </c>
    </row>
    <row r="9644" spans="1:27" x14ac:dyDescent="0.35">
      <c r="A9644">
        <v>1009608</v>
      </c>
      <c r="B9644">
        <v>8969</v>
      </c>
      <c r="C9644">
        <v>1</v>
      </c>
      <c r="D9644" s="17" t="s">
        <v>17166</v>
      </c>
      <c r="E9644" s="17"/>
      <c r="F9644" s="17" t="s">
        <v>17246</v>
      </c>
      <c r="G9644" s="17"/>
      <c r="H9644" s="17" t="s">
        <v>20919</v>
      </c>
      <c r="I9644" s="17"/>
      <c r="J9644" s="17" t="s">
        <v>21313</v>
      </c>
      <c r="K9644" s="17"/>
      <c r="L9644" s="17" t="s">
        <v>21326</v>
      </c>
      <c r="M9644" s="17"/>
      <c r="N9644" s="17" t="s">
        <v>21577</v>
      </c>
      <c r="O9644" s="17"/>
      <c r="P9644" s="17" t="s">
        <v>21972</v>
      </c>
      <c r="Q9644" s="17"/>
      <c r="R9644" s="25" t="str">
        <f>HYPERLINK("https://ictv.global/taxonomy/taxondetails?taxnode_id=202310473","Mintuvirus asiadaptatum")</f>
        <v>Mintuvirus asiadaptatum</v>
      </c>
      <c r="S9644" s="18" t="s">
        <v>30</v>
      </c>
      <c r="T9644" s="18" t="s">
        <v>21973</v>
      </c>
      <c r="U9644" s="18"/>
      <c r="V9644" s="18"/>
      <c r="W9644" s="18" t="s">
        <v>21974</v>
      </c>
      <c r="X9644" s="18" t="s">
        <v>35</v>
      </c>
      <c r="Y9644" s="18" t="s">
        <v>17171</v>
      </c>
      <c r="Z9644" s="18" t="s">
        <v>697</v>
      </c>
      <c r="AA9644" s="21" t="str">
        <f>HYPERLINK("https://www.ncbi.nlm.nih.gov/nuccore/BK014177","NCBI Nucleotide")</f>
        <v>NCBI Nucleotide</v>
      </c>
    </row>
    <row r="9645" spans="1:27" x14ac:dyDescent="0.35">
      <c r="A9645">
        <v>1009609</v>
      </c>
      <c r="B9645">
        <v>8970</v>
      </c>
      <c r="C9645">
        <v>1</v>
      </c>
      <c r="D9645" s="17" t="s">
        <v>17166</v>
      </c>
      <c r="E9645" s="17"/>
      <c r="F9645" s="17" t="s">
        <v>17246</v>
      </c>
      <c r="G9645" s="17"/>
      <c r="H9645" s="17" t="s">
        <v>20919</v>
      </c>
      <c r="I9645" s="17"/>
      <c r="J9645" s="17" t="s">
        <v>21313</v>
      </c>
      <c r="K9645" s="17"/>
      <c r="L9645" s="17" t="s">
        <v>21326</v>
      </c>
      <c r="M9645" s="17"/>
      <c r="N9645" s="17" t="s">
        <v>21577</v>
      </c>
      <c r="O9645" s="17"/>
      <c r="P9645" s="17" t="s">
        <v>21972</v>
      </c>
      <c r="Q9645" s="17"/>
      <c r="R9645" s="25" t="str">
        <f>HYPERLINK("https://ictv.global/taxonomy/taxondetails?taxnode_id=202310475","Mintuvirus asienecus")</f>
        <v>Mintuvirus asienecus</v>
      </c>
      <c r="S9645" s="18" t="s">
        <v>30</v>
      </c>
      <c r="T9645" s="18" t="s">
        <v>21975</v>
      </c>
      <c r="U9645" s="18"/>
      <c r="V9645" s="18"/>
      <c r="W9645" s="18" t="s">
        <v>21976</v>
      </c>
      <c r="X9645" s="18" t="s">
        <v>35</v>
      </c>
      <c r="Y9645" s="18" t="s">
        <v>17171</v>
      </c>
      <c r="Z9645" s="18" t="s">
        <v>697</v>
      </c>
      <c r="AA9645" s="21" t="str">
        <f>HYPERLINK("https://www.ncbi.nlm.nih.gov/nuccore/BK013745","NCBI Nucleotide")</f>
        <v>NCBI Nucleotide</v>
      </c>
    </row>
    <row r="9646" spans="1:27" x14ac:dyDescent="0.35">
      <c r="A9646">
        <v>1009623</v>
      </c>
      <c r="B9646">
        <v>8971</v>
      </c>
      <c r="C9646">
        <v>1</v>
      </c>
      <c r="D9646" s="17" t="s">
        <v>17166</v>
      </c>
      <c r="E9646" s="17"/>
      <c r="F9646" s="17" t="s">
        <v>17246</v>
      </c>
      <c r="G9646" s="17"/>
      <c r="H9646" s="17" t="s">
        <v>20919</v>
      </c>
      <c r="I9646" s="17"/>
      <c r="J9646" s="17" t="s">
        <v>21313</v>
      </c>
      <c r="K9646" s="17"/>
      <c r="L9646" s="17" t="s">
        <v>21326</v>
      </c>
      <c r="M9646" s="17"/>
      <c r="N9646" s="17" t="s">
        <v>21577</v>
      </c>
      <c r="O9646" s="17"/>
      <c r="P9646" s="17" t="s">
        <v>21972</v>
      </c>
      <c r="Q9646" s="17"/>
      <c r="R9646" s="25" t="str">
        <f>HYPERLINK("https://ictv.global/taxonomy/taxondetails?taxnode_id=202310494","Mintuvirus borborovivens")</f>
        <v>Mintuvirus borborovivens</v>
      </c>
      <c r="S9646" s="18" t="s">
        <v>30</v>
      </c>
      <c r="T9646" s="18" t="s">
        <v>22003</v>
      </c>
      <c r="U9646" s="18"/>
      <c r="V9646" s="18"/>
      <c r="W9646" s="18" t="s">
        <v>22004</v>
      </c>
      <c r="X9646" s="18" t="s">
        <v>35</v>
      </c>
      <c r="Y9646" s="18" t="s">
        <v>17171</v>
      </c>
      <c r="Z9646" s="18" t="s">
        <v>697</v>
      </c>
      <c r="AA9646" s="21" t="str">
        <f>HYPERLINK("https://www.ncbi.nlm.nih.gov/nuccore/BK014160","NCBI Nucleotide")</f>
        <v>NCBI Nucleotide</v>
      </c>
    </row>
    <row r="9647" spans="1:27" x14ac:dyDescent="0.35">
      <c r="A9647">
        <v>1027397</v>
      </c>
      <c r="B9647">
        <v>8972</v>
      </c>
      <c r="C9647">
        <v>1</v>
      </c>
      <c r="D9647" s="17" t="s">
        <v>17166</v>
      </c>
      <c r="E9647" s="17"/>
      <c r="F9647" s="17" t="s">
        <v>17246</v>
      </c>
      <c r="G9647" s="17"/>
      <c r="H9647" s="17" t="s">
        <v>20919</v>
      </c>
      <c r="I9647" s="17"/>
      <c r="J9647" s="17" t="s">
        <v>21313</v>
      </c>
      <c r="K9647" s="17"/>
      <c r="L9647" s="17" t="s">
        <v>21326</v>
      </c>
      <c r="M9647" s="17"/>
      <c r="N9647" s="17" t="s">
        <v>21577</v>
      </c>
      <c r="O9647" s="17"/>
      <c r="P9647" s="17" t="s">
        <v>21972</v>
      </c>
      <c r="Q9647" s="17"/>
      <c r="R9647" s="25" t="str">
        <f>HYPERLINK("https://ictv.global/taxonomy/taxondetails?taxnode_id=202316510","Mintuvirus limivicinum")</f>
        <v>Mintuvirus limivicinum</v>
      </c>
      <c r="S9647" s="18" t="s">
        <v>30</v>
      </c>
      <c r="T9647" s="18" t="s">
        <v>43612</v>
      </c>
      <c r="U9647" s="18"/>
      <c r="V9647" s="18"/>
      <c r="W9647" s="18" t="s">
        <v>43613</v>
      </c>
      <c r="X9647" s="18" t="s">
        <v>35</v>
      </c>
      <c r="Y9647" s="18" t="s">
        <v>17171</v>
      </c>
      <c r="Z9647" s="18" t="s">
        <v>24637</v>
      </c>
      <c r="AA9647" s="21" t="str">
        <f>HYPERLINK("https://www.ncbi.nlm.nih.gov/nuccore/CASDWV010001040","NCBI Nucleotide")</f>
        <v>NCBI Nucleotide</v>
      </c>
    </row>
    <row r="9648" spans="1:27" x14ac:dyDescent="0.35">
      <c r="A9648">
        <v>1009546</v>
      </c>
      <c r="B9648">
        <v>8973</v>
      </c>
      <c r="C9648">
        <v>1</v>
      </c>
      <c r="D9648" s="17" t="s">
        <v>17166</v>
      </c>
      <c r="E9648" s="17"/>
      <c r="F9648" s="17" t="s">
        <v>17246</v>
      </c>
      <c r="G9648" s="17"/>
      <c r="H9648" s="17" t="s">
        <v>20919</v>
      </c>
      <c r="I9648" s="17"/>
      <c r="J9648" s="17" t="s">
        <v>21313</v>
      </c>
      <c r="K9648" s="17"/>
      <c r="L9648" s="17" t="s">
        <v>21326</v>
      </c>
      <c r="M9648" s="17"/>
      <c r="N9648" s="17" t="s">
        <v>21577</v>
      </c>
      <c r="O9648" s="17"/>
      <c r="P9648" s="17" t="s">
        <v>21972</v>
      </c>
      <c r="Q9648" s="17"/>
      <c r="R9648" s="25" t="str">
        <f>HYPERLINK("https://ictv.global/taxonomy/taxondetails?taxnode_id=202310366","Mintuvirus pelovicinum")</f>
        <v>Mintuvirus pelovicinum</v>
      </c>
      <c r="S9648" s="18" t="s">
        <v>30</v>
      </c>
      <c r="T9648" s="18" t="s">
        <v>21807</v>
      </c>
      <c r="U9648" s="18"/>
      <c r="V9648" s="18"/>
      <c r="W9648" s="18" t="s">
        <v>21808</v>
      </c>
      <c r="X9648" s="18" t="s">
        <v>35</v>
      </c>
      <c r="Y9648" s="18" t="s">
        <v>17171</v>
      </c>
      <c r="Z9648" s="18" t="s">
        <v>697</v>
      </c>
      <c r="AA9648" s="21" t="str">
        <f>HYPERLINK("https://www.ncbi.nlm.nih.gov/nuccore/BK013677","NCBI Nucleotide")</f>
        <v>NCBI Nucleotide</v>
      </c>
    </row>
    <row r="9649" spans="1:27" x14ac:dyDescent="0.35">
      <c r="A9649">
        <v>1009610</v>
      </c>
      <c r="B9649">
        <v>8974</v>
      </c>
      <c r="C9649">
        <v>1</v>
      </c>
      <c r="D9649" s="17" t="s">
        <v>17166</v>
      </c>
      <c r="E9649" s="17"/>
      <c r="F9649" s="17" t="s">
        <v>17246</v>
      </c>
      <c r="G9649" s="17"/>
      <c r="H9649" s="17" t="s">
        <v>20919</v>
      </c>
      <c r="I9649" s="17"/>
      <c r="J9649" s="17" t="s">
        <v>21313</v>
      </c>
      <c r="K9649" s="17"/>
      <c r="L9649" s="17" t="s">
        <v>21326</v>
      </c>
      <c r="M9649" s="17"/>
      <c r="N9649" s="17" t="s">
        <v>21577</v>
      </c>
      <c r="O9649" s="17"/>
      <c r="P9649" s="17" t="s">
        <v>21972</v>
      </c>
      <c r="Q9649" s="17"/>
      <c r="R9649" s="25" t="str">
        <f>HYPERLINK("https://ictv.global/taxonomy/taxondetails?taxnode_id=202310474","Mintuvirus pelovivens")</f>
        <v>Mintuvirus pelovivens</v>
      </c>
      <c r="S9649" s="18" t="s">
        <v>30</v>
      </c>
      <c r="T9649" s="18" t="s">
        <v>21977</v>
      </c>
      <c r="U9649" s="18"/>
      <c r="V9649" s="18"/>
      <c r="W9649" s="18" t="s">
        <v>21978</v>
      </c>
      <c r="X9649" s="18" t="s">
        <v>35</v>
      </c>
      <c r="Y9649" s="18" t="s">
        <v>17171</v>
      </c>
      <c r="Z9649" s="18" t="s">
        <v>697</v>
      </c>
      <c r="AA9649" s="21" t="str">
        <f>HYPERLINK("https://www.ncbi.nlm.nih.gov/nuccore/BK014099","NCBI Nucleotide")</f>
        <v>NCBI Nucleotide</v>
      </c>
    </row>
    <row r="9650" spans="1:27" x14ac:dyDescent="0.35">
      <c r="A9650">
        <v>1027354</v>
      </c>
      <c r="B9650">
        <v>8975</v>
      </c>
      <c r="C9650">
        <v>1</v>
      </c>
      <c r="D9650" s="17" t="s">
        <v>17166</v>
      </c>
      <c r="E9650" s="17"/>
      <c r="F9650" s="17" t="s">
        <v>17246</v>
      </c>
      <c r="G9650" s="17"/>
      <c r="H9650" s="17" t="s">
        <v>20919</v>
      </c>
      <c r="I9650" s="17"/>
      <c r="J9650" s="17" t="s">
        <v>21313</v>
      </c>
      <c r="K9650" s="17"/>
      <c r="L9650" s="17" t="s">
        <v>21326</v>
      </c>
      <c r="M9650" s="17"/>
      <c r="N9650" s="17" t="s">
        <v>21577</v>
      </c>
      <c r="O9650" s="17"/>
      <c r="P9650" s="17" t="s">
        <v>43614</v>
      </c>
      <c r="Q9650" s="17"/>
      <c r="R9650" s="25" t="str">
        <f>HYPERLINK("https://ictv.global/taxonomy/taxondetails?taxnode_id=202316511","Mohredovirus limivivens")</f>
        <v>Mohredovirus limivivens</v>
      </c>
      <c r="S9650" s="18" t="s">
        <v>30</v>
      </c>
      <c r="T9650" s="18" t="s">
        <v>43615</v>
      </c>
      <c r="U9650" s="18"/>
      <c r="V9650" s="18"/>
      <c r="W9650" s="18" t="s">
        <v>43616</v>
      </c>
      <c r="X9650" s="18" t="s">
        <v>35</v>
      </c>
      <c r="Y9650" s="18" t="s">
        <v>17171</v>
      </c>
      <c r="Z9650" s="18" t="s">
        <v>24637</v>
      </c>
      <c r="AA9650" s="21" t="str">
        <f>HYPERLINK("https://www.ncbi.nlm.nih.gov/nuccore/CASDWV010000790","NCBI Nucleotide")</f>
        <v>NCBI Nucleotide</v>
      </c>
    </row>
    <row r="9651" spans="1:27" x14ac:dyDescent="0.35">
      <c r="A9651">
        <v>1027356</v>
      </c>
      <c r="B9651">
        <v>8976</v>
      </c>
      <c r="C9651">
        <v>1</v>
      </c>
      <c r="D9651" s="17" t="s">
        <v>17166</v>
      </c>
      <c r="E9651" s="17"/>
      <c r="F9651" s="17" t="s">
        <v>17246</v>
      </c>
      <c r="G9651" s="17"/>
      <c r="H9651" s="17" t="s">
        <v>20919</v>
      </c>
      <c r="I9651" s="17"/>
      <c r="J9651" s="17" t="s">
        <v>21313</v>
      </c>
      <c r="K9651" s="17"/>
      <c r="L9651" s="17" t="s">
        <v>21326</v>
      </c>
      <c r="M9651" s="17"/>
      <c r="N9651" s="17" t="s">
        <v>21577</v>
      </c>
      <c r="O9651" s="17"/>
      <c r="P9651" s="17" t="s">
        <v>43617</v>
      </c>
      <c r="Q9651" s="17"/>
      <c r="R9651" s="25" t="str">
        <f>HYPERLINK("https://ictv.global/taxonomy/taxondetails?taxnode_id=202316512","Molcatevirus pedocola")</f>
        <v>Molcatevirus pedocola</v>
      </c>
      <c r="S9651" s="18" t="s">
        <v>30</v>
      </c>
      <c r="T9651" s="18" t="s">
        <v>43618</v>
      </c>
      <c r="U9651" s="18"/>
      <c r="V9651" s="18"/>
      <c r="W9651" s="18" t="s">
        <v>43619</v>
      </c>
      <c r="X9651" s="18" t="s">
        <v>35</v>
      </c>
      <c r="Y9651" s="18" t="s">
        <v>17171</v>
      </c>
      <c r="Z9651" s="18" t="s">
        <v>24637</v>
      </c>
      <c r="AA9651" s="21" t="str">
        <f>HYPERLINK("https://www.ncbi.nlm.nih.gov/nuccore/CASDWV010000599","NCBI Nucleotide")</f>
        <v>NCBI Nucleotide</v>
      </c>
    </row>
    <row r="9652" spans="1:27" x14ac:dyDescent="0.35">
      <c r="A9652">
        <v>1027357</v>
      </c>
      <c r="B9652">
        <v>8977</v>
      </c>
      <c r="C9652">
        <v>1</v>
      </c>
      <c r="D9652" s="17" t="s">
        <v>17166</v>
      </c>
      <c r="E9652" s="17"/>
      <c r="F9652" s="17" t="s">
        <v>17246</v>
      </c>
      <c r="G9652" s="17"/>
      <c r="H9652" s="17" t="s">
        <v>20919</v>
      </c>
      <c r="I9652" s="17"/>
      <c r="J9652" s="17" t="s">
        <v>21313</v>
      </c>
      <c r="K9652" s="17"/>
      <c r="L9652" s="17" t="s">
        <v>21326</v>
      </c>
      <c r="M9652" s="17"/>
      <c r="N9652" s="17" t="s">
        <v>21577</v>
      </c>
      <c r="O9652" s="17"/>
      <c r="P9652" s="17" t="s">
        <v>43617</v>
      </c>
      <c r="Q9652" s="17"/>
      <c r="R9652" s="25" t="str">
        <f>HYPERLINK("https://ictv.global/taxonomy/taxondetails?taxnode_id=202316513","Molcatevirus pelocola")</f>
        <v>Molcatevirus pelocola</v>
      </c>
      <c r="S9652" s="18" t="s">
        <v>30</v>
      </c>
      <c r="T9652" s="18" t="s">
        <v>43620</v>
      </c>
      <c r="U9652" s="18"/>
      <c r="V9652" s="18"/>
      <c r="W9652" s="18" t="s">
        <v>43621</v>
      </c>
      <c r="X9652" s="18" t="s">
        <v>35</v>
      </c>
      <c r="Y9652" s="18" t="s">
        <v>17171</v>
      </c>
      <c r="Z9652" s="18" t="s">
        <v>24637</v>
      </c>
      <c r="AA9652" s="21" t="str">
        <f>HYPERLINK("https://www.ncbi.nlm.nih.gov/nuccore/CASDWV010004138","NCBI Nucleotide")</f>
        <v>NCBI Nucleotide</v>
      </c>
    </row>
    <row r="9653" spans="1:27" x14ac:dyDescent="0.35">
      <c r="A9653">
        <v>1027362</v>
      </c>
      <c r="B9653">
        <v>8978</v>
      </c>
      <c r="C9653">
        <v>1</v>
      </c>
      <c r="D9653" s="17" t="s">
        <v>17166</v>
      </c>
      <c r="E9653" s="17"/>
      <c r="F9653" s="17" t="s">
        <v>17246</v>
      </c>
      <c r="G9653" s="17"/>
      <c r="H9653" s="17" t="s">
        <v>20919</v>
      </c>
      <c r="I9653" s="17"/>
      <c r="J9653" s="17" t="s">
        <v>21313</v>
      </c>
      <c r="K9653" s="17"/>
      <c r="L9653" s="17" t="s">
        <v>21326</v>
      </c>
      <c r="M9653" s="17"/>
      <c r="N9653" s="17" t="s">
        <v>21577</v>
      </c>
      <c r="O9653" s="17"/>
      <c r="P9653" s="17" t="s">
        <v>43622</v>
      </c>
      <c r="Q9653" s="17"/>
      <c r="R9653" s="25" t="str">
        <f>HYPERLINK("https://ictv.global/taxonomy/taxondetails?taxnode_id=202316514","Molvevirus pelenecus")</f>
        <v>Molvevirus pelenecus</v>
      </c>
      <c r="S9653" s="18" t="s">
        <v>30</v>
      </c>
      <c r="T9653" s="18" t="s">
        <v>43623</v>
      </c>
      <c r="U9653" s="18"/>
      <c r="V9653" s="18"/>
      <c r="W9653" s="18" t="s">
        <v>43624</v>
      </c>
      <c r="X9653" s="18" t="s">
        <v>35</v>
      </c>
      <c r="Y9653" s="18" t="s">
        <v>17171</v>
      </c>
      <c r="Z9653" s="18" t="s">
        <v>24637</v>
      </c>
      <c r="AA9653" s="21" t="str">
        <f>HYPERLINK("https://www.ncbi.nlm.nih.gov/nuccore/CASDWV010000616","NCBI Nucleotide")</f>
        <v>NCBI Nucleotide</v>
      </c>
    </row>
    <row r="9654" spans="1:27" x14ac:dyDescent="0.35">
      <c r="A9654">
        <v>1027363</v>
      </c>
      <c r="B9654">
        <v>8979</v>
      </c>
      <c r="C9654">
        <v>1</v>
      </c>
      <c r="D9654" s="17" t="s">
        <v>17166</v>
      </c>
      <c r="E9654" s="17"/>
      <c r="F9654" s="17" t="s">
        <v>17246</v>
      </c>
      <c r="G9654" s="17"/>
      <c r="H9654" s="17" t="s">
        <v>20919</v>
      </c>
      <c r="I9654" s="17"/>
      <c r="J9654" s="17" t="s">
        <v>21313</v>
      </c>
      <c r="K9654" s="17"/>
      <c r="L9654" s="17" t="s">
        <v>21326</v>
      </c>
      <c r="M9654" s="17"/>
      <c r="N9654" s="17" t="s">
        <v>21577</v>
      </c>
      <c r="O9654" s="17"/>
      <c r="P9654" s="17" t="s">
        <v>43625</v>
      </c>
      <c r="Q9654" s="17"/>
      <c r="R9654" s="25" t="str">
        <f>HYPERLINK("https://ictv.global/taxonomy/taxondetails?taxnode_id=202316515","Monkskivirus chthonovivens")</f>
        <v>Monkskivirus chthonovivens</v>
      </c>
      <c r="S9654" s="18" t="s">
        <v>30</v>
      </c>
      <c r="T9654" s="18" t="s">
        <v>43626</v>
      </c>
      <c r="U9654" s="18"/>
      <c r="V9654" s="18"/>
      <c r="W9654" s="18" t="s">
        <v>43627</v>
      </c>
      <c r="X9654" s="18" t="s">
        <v>35</v>
      </c>
      <c r="Y9654" s="18" t="s">
        <v>17171</v>
      </c>
      <c r="Z9654" s="18" t="s">
        <v>24637</v>
      </c>
      <c r="AA9654" s="21" t="str">
        <f>HYPERLINK("https://www.ncbi.nlm.nih.gov/nuccore/CASDWV010000729","NCBI Nucleotide")</f>
        <v>NCBI Nucleotide</v>
      </c>
    </row>
    <row r="9655" spans="1:27" x14ac:dyDescent="0.35">
      <c r="A9655">
        <v>1027364</v>
      </c>
      <c r="B9655">
        <v>8980</v>
      </c>
      <c r="C9655">
        <v>1</v>
      </c>
      <c r="D9655" s="17" t="s">
        <v>17166</v>
      </c>
      <c r="E9655" s="17"/>
      <c r="F9655" s="17" t="s">
        <v>17246</v>
      </c>
      <c r="G9655" s="17"/>
      <c r="H9655" s="17" t="s">
        <v>20919</v>
      </c>
      <c r="I9655" s="17"/>
      <c r="J9655" s="17" t="s">
        <v>21313</v>
      </c>
      <c r="K9655" s="17"/>
      <c r="L9655" s="17" t="s">
        <v>21326</v>
      </c>
      <c r="M9655" s="17"/>
      <c r="N9655" s="17" t="s">
        <v>21577</v>
      </c>
      <c r="O9655" s="17"/>
      <c r="P9655" s="17" t="s">
        <v>43625</v>
      </c>
      <c r="Q9655" s="17"/>
      <c r="R9655" s="25" t="str">
        <f>HYPERLINK("https://ictv.global/taxonomy/taxondetails?taxnode_id=202316516","Monkskivirus pedovicinum")</f>
        <v>Monkskivirus pedovicinum</v>
      </c>
      <c r="S9655" s="18" t="s">
        <v>30</v>
      </c>
      <c r="T9655" s="18" t="s">
        <v>43628</v>
      </c>
      <c r="U9655" s="18"/>
      <c r="V9655" s="18"/>
      <c r="W9655" s="18" t="s">
        <v>43629</v>
      </c>
      <c r="X9655" s="18" t="s">
        <v>35</v>
      </c>
      <c r="Y9655" s="18" t="s">
        <v>17171</v>
      </c>
      <c r="Z9655" s="18" t="s">
        <v>24637</v>
      </c>
      <c r="AA9655" s="21" t="str">
        <f>HYPERLINK("https://www.ncbi.nlm.nih.gov/nuccore/CASDWV010003828","NCBI Nucleotide")</f>
        <v>NCBI Nucleotide</v>
      </c>
    </row>
    <row r="9656" spans="1:27" x14ac:dyDescent="0.35">
      <c r="A9656">
        <v>1027400</v>
      </c>
      <c r="B9656">
        <v>8981</v>
      </c>
      <c r="C9656">
        <v>1</v>
      </c>
      <c r="D9656" s="17" t="s">
        <v>17166</v>
      </c>
      <c r="E9656" s="17"/>
      <c r="F9656" s="17" t="s">
        <v>17246</v>
      </c>
      <c r="G9656" s="17"/>
      <c r="H9656" s="17" t="s">
        <v>20919</v>
      </c>
      <c r="I9656" s="17"/>
      <c r="J9656" s="17" t="s">
        <v>21313</v>
      </c>
      <c r="K9656" s="17"/>
      <c r="L9656" s="17" t="s">
        <v>21326</v>
      </c>
      <c r="M9656" s="17"/>
      <c r="N9656" s="17" t="s">
        <v>21577</v>
      </c>
      <c r="O9656" s="17"/>
      <c r="P9656" s="17" t="s">
        <v>43630</v>
      </c>
      <c r="Q9656" s="17"/>
      <c r="R9656" s="25" t="str">
        <f>HYPERLINK("https://ictv.global/taxonomy/taxondetails?taxnode_id=202316517","Moxhuvirus edaphenecus")</f>
        <v>Moxhuvirus edaphenecus</v>
      </c>
      <c r="S9656" s="18" t="s">
        <v>30</v>
      </c>
      <c r="T9656" s="18" t="s">
        <v>43631</v>
      </c>
      <c r="U9656" s="18"/>
      <c r="V9656" s="18"/>
      <c r="W9656" s="18" t="s">
        <v>43632</v>
      </c>
      <c r="X9656" s="18" t="s">
        <v>35</v>
      </c>
      <c r="Y9656" s="18" t="s">
        <v>17171</v>
      </c>
      <c r="Z9656" s="18" t="s">
        <v>24637</v>
      </c>
      <c r="AA9656" s="21" t="str">
        <f>HYPERLINK("https://www.ncbi.nlm.nih.gov/nuccore/CASDWV010001550","NCBI Nucleotide")</f>
        <v>NCBI Nucleotide</v>
      </c>
    </row>
    <row r="9657" spans="1:27" x14ac:dyDescent="0.35">
      <c r="A9657">
        <v>1027401</v>
      </c>
      <c r="B9657">
        <v>8982</v>
      </c>
      <c r="C9657">
        <v>1</v>
      </c>
      <c r="D9657" s="17" t="s">
        <v>17166</v>
      </c>
      <c r="E9657" s="17"/>
      <c r="F9657" s="17" t="s">
        <v>17246</v>
      </c>
      <c r="G9657" s="17"/>
      <c r="H9657" s="17" t="s">
        <v>20919</v>
      </c>
      <c r="I9657" s="17"/>
      <c r="J9657" s="17" t="s">
        <v>21313</v>
      </c>
      <c r="K9657" s="17"/>
      <c r="L9657" s="17" t="s">
        <v>21326</v>
      </c>
      <c r="M9657" s="17"/>
      <c r="N9657" s="17" t="s">
        <v>21577</v>
      </c>
      <c r="O9657" s="17"/>
      <c r="P9657" s="17" t="s">
        <v>43633</v>
      </c>
      <c r="Q9657" s="17"/>
      <c r="R9657" s="25" t="str">
        <f>HYPERLINK("https://ictv.global/taxonomy/taxondetails?taxnode_id=202316518","Mutledovirus asiovicinum")</f>
        <v>Mutledovirus asiovicinum</v>
      </c>
      <c r="S9657" s="18" t="s">
        <v>30</v>
      </c>
      <c r="T9657" s="18" t="s">
        <v>43634</v>
      </c>
      <c r="U9657" s="18"/>
      <c r="V9657" s="18"/>
      <c r="W9657" s="18" t="s">
        <v>43635</v>
      </c>
      <c r="X9657" s="18" t="s">
        <v>35</v>
      </c>
      <c r="Y9657" s="18" t="s">
        <v>17171</v>
      </c>
      <c r="Z9657" s="18" t="s">
        <v>24637</v>
      </c>
      <c r="AA9657" s="21" t="str">
        <f>HYPERLINK("https://www.ncbi.nlm.nih.gov/nuccore/CASDWV010000645","NCBI Nucleotide")</f>
        <v>NCBI Nucleotide</v>
      </c>
    </row>
    <row r="9658" spans="1:27" x14ac:dyDescent="0.35">
      <c r="A9658">
        <v>1027402</v>
      </c>
      <c r="B9658">
        <v>8983</v>
      </c>
      <c r="C9658">
        <v>1</v>
      </c>
      <c r="D9658" s="17" t="s">
        <v>17166</v>
      </c>
      <c r="E9658" s="17"/>
      <c r="F9658" s="17" t="s">
        <v>17246</v>
      </c>
      <c r="G9658" s="17"/>
      <c r="H9658" s="17" t="s">
        <v>20919</v>
      </c>
      <c r="I9658" s="17"/>
      <c r="J9658" s="17" t="s">
        <v>21313</v>
      </c>
      <c r="K9658" s="17"/>
      <c r="L9658" s="17" t="s">
        <v>21326</v>
      </c>
      <c r="M9658" s="17"/>
      <c r="N9658" s="17" t="s">
        <v>21577</v>
      </c>
      <c r="O9658" s="17"/>
      <c r="P9658" s="17" t="s">
        <v>43633</v>
      </c>
      <c r="Q9658" s="17"/>
      <c r="R9658" s="25" t="str">
        <f>HYPERLINK("https://ictv.global/taxonomy/taxondetails?taxnode_id=202316519","Mutledovirus caenadaptatum")</f>
        <v>Mutledovirus caenadaptatum</v>
      </c>
      <c r="S9658" s="18" t="s">
        <v>30</v>
      </c>
      <c r="T9658" s="18" t="s">
        <v>43636</v>
      </c>
      <c r="U9658" s="18"/>
      <c r="V9658" s="18"/>
      <c r="W9658" s="18" t="s">
        <v>43637</v>
      </c>
      <c r="X9658" s="18" t="s">
        <v>35</v>
      </c>
      <c r="Y9658" s="18" t="s">
        <v>17171</v>
      </c>
      <c r="Z9658" s="18" t="s">
        <v>24637</v>
      </c>
      <c r="AA9658" s="21" t="str">
        <f>HYPERLINK("https://www.ncbi.nlm.nih.gov/nuccore/CASDWV010001955","NCBI Nucleotide")</f>
        <v>NCBI Nucleotide</v>
      </c>
    </row>
    <row r="9659" spans="1:27" x14ac:dyDescent="0.35">
      <c r="A9659">
        <v>1027403</v>
      </c>
      <c r="B9659">
        <v>8984</v>
      </c>
      <c r="C9659">
        <v>1</v>
      </c>
      <c r="D9659" s="17" t="s">
        <v>17166</v>
      </c>
      <c r="E9659" s="17"/>
      <c r="F9659" s="17" t="s">
        <v>17246</v>
      </c>
      <c r="G9659" s="17"/>
      <c r="H9659" s="17" t="s">
        <v>20919</v>
      </c>
      <c r="I9659" s="17"/>
      <c r="J9659" s="17" t="s">
        <v>21313</v>
      </c>
      <c r="K9659" s="17"/>
      <c r="L9659" s="17" t="s">
        <v>21326</v>
      </c>
      <c r="M9659" s="17"/>
      <c r="N9659" s="17" t="s">
        <v>21577</v>
      </c>
      <c r="O9659" s="17"/>
      <c r="P9659" s="17" t="s">
        <v>43633</v>
      </c>
      <c r="Q9659" s="17"/>
      <c r="R9659" s="25" t="str">
        <f>HYPERLINK("https://ictv.global/taxonomy/taxondetails?taxnode_id=202316520","Mutledovirus chorenecus")</f>
        <v>Mutledovirus chorenecus</v>
      </c>
      <c r="S9659" s="18" t="s">
        <v>30</v>
      </c>
      <c r="T9659" s="18" t="s">
        <v>43638</v>
      </c>
      <c r="U9659" s="18"/>
      <c r="V9659" s="18"/>
      <c r="W9659" s="18" t="s">
        <v>43639</v>
      </c>
      <c r="X9659" s="18" t="s">
        <v>35</v>
      </c>
      <c r="Y9659" s="18" t="s">
        <v>17171</v>
      </c>
      <c r="Z9659" s="18" t="s">
        <v>24637</v>
      </c>
      <c r="AA9659" s="21" t="str">
        <f>HYPERLINK("https://www.ncbi.nlm.nih.gov/nuccore/CASDWV010003489","NCBI Nucleotide")</f>
        <v>NCBI Nucleotide</v>
      </c>
    </row>
    <row r="9660" spans="1:27" x14ac:dyDescent="0.35">
      <c r="A9660">
        <v>1027404</v>
      </c>
      <c r="B9660">
        <v>8985</v>
      </c>
      <c r="C9660">
        <v>1</v>
      </c>
      <c r="D9660" s="17" t="s">
        <v>17166</v>
      </c>
      <c r="E9660" s="17"/>
      <c r="F9660" s="17" t="s">
        <v>17246</v>
      </c>
      <c r="G9660" s="17"/>
      <c r="H9660" s="17" t="s">
        <v>20919</v>
      </c>
      <c r="I9660" s="17"/>
      <c r="J9660" s="17" t="s">
        <v>21313</v>
      </c>
      <c r="K9660" s="17"/>
      <c r="L9660" s="17" t="s">
        <v>21326</v>
      </c>
      <c r="M9660" s="17"/>
      <c r="N9660" s="17" t="s">
        <v>21577</v>
      </c>
      <c r="O9660" s="17"/>
      <c r="P9660" s="17" t="s">
        <v>43633</v>
      </c>
      <c r="Q9660" s="17"/>
      <c r="R9660" s="25" t="str">
        <f>HYPERLINK("https://ictv.global/taxonomy/taxondetails?taxnode_id=202316521","Mutledovirus telluradaptatum")</f>
        <v>Mutledovirus telluradaptatum</v>
      </c>
      <c r="S9660" s="18" t="s">
        <v>30</v>
      </c>
      <c r="T9660" s="18" t="s">
        <v>43640</v>
      </c>
      <c r="U9660" s="18"/>
      <c r="V9660" s="18"/>
      <c r="W9660" s="18" t="s">
        <v>43641</v>
      </c>
      <c r="X9660" s="18" t="s">
        <v>35</v>
      </c>
      <c r="Y9660" s="18" t="s">
        <v>17171</v>
      </c>
      <c r="Z9660" s="18" t="s">
        <v>24637</v>
      </c>
      <c r="AA9660" s="21" t="str">
        <f>HYPERLINK("https://www.ncbi.nlm.nih.gov/nuccore/CASDWV010004638","NCBI Nucleotide")</f>
        <v>NCBI Nucleotide</v>
      </c>
    </row>
    <row r="9661" spans="1:27" x14ac:dyDescent="0.35">
      <c r="A9661">
        <v>1009619</v>
      </c>
      <c r="B9661">
        <v>8986</v>
      </c>
      <c r="C9661">
        <v>1</v>
      </c>
      <c r="D9661" s="17" t="s">
        <v>17166</v>
      </c>
      <c r="E9661" s="17"/>
      <c r="F9661" s="17" t="s">
        <v>17246</v>
      </c>
      <c r="G9661" s="17"/>
      <c r="H9661" s="17" t="s">
        <v>20919</v>
      </c>
      <c r="I9661" s="17"/>
      <c r="J9661" s="17" t="s">
        <v>21313</v>
      </c>
      <c r="K9661" s="17"/>
      <c r="L9661" s="17" t="s">
        <v>21326</v>
      </c>
      <c r="M9661" s="17"/>
      <c r="N9661" s="17" t="s">
        <v>21577</v>
      </c>
      <c r="O9661" s="17"/>
      <c r="P9661" s="17" t="s">
        <v>21993</v>
      </c>
      <c r="Q9661" s="17"/>
      <c r="R9661" s="25" t="str">
        <f>HYPERLINK("https://ictv.global/taxonomy/taxondetails?taxnode_id=202310487","Muyegivirus borborenecus")</f>
        <v>Muyegivirus borborenecus</v>
      </c>
      <c r="S9661" s="18" t="s">
        <v>30</v>
      </c>
      <c r="T9661" s="18" t="s">
        <v>21994</v>
      </c>
      <c r="U9661" s="18"/>
      <c r="V9661" s="18"/>
      <c r="W9661" s="18" t="s">
        <v>21995</v>
      </c>
      <c r="X9661" s="18" t="s">
        <v>35</v>
      </c>
      <c r="Y9661" s="18" t="s">
        <v>17171</v>
      </c>
      <c r="Z9661" s="18" t="s">
        <v>697</v>
      </c>
      <c r="AA9661" s="21" t="str">
        <f>HYPERLINK("https://www.ncbi.nlm.nih.gov/nuccore/BK014066","NCBI Nucleotide")</f>
        <v>NCBI Nucleotide</v>
      </c>
    </row>
    <row r="9662" spans="1:27" x14ac:dyDescent="0.35">
      <c r="A9662">
        <v>1009620</v>
      </c>
      <c r="B9662">
        <v>8987</v>
      </c>
      <c r="C9662">
        <v>1</v>
      </c>
      <c r="D9662" s="17" t="s">
        <v>17166</v>
      </c>
      <c r="E9662" s="17"/>
      <c r="F9662" s="17" t="s">
        <v>17246</v>
      </c>
      <c r="G9662" s="17"/>
      <c r="H9662" s="17" t="s">
        <v>20919</v>
      </c>
      <c r="I9662" s="17"/>
      <c r="J9662" s="17" t="s">
        <v>21313</v>
      </c>
      <c r="K9662" s="17"/>
      <c r="L9662" s="17" t="s">
        <v>21326</v>
      </c>
      <c r="M9662" s="17"/>
      <c r="N9662" s="17" t="s">
        <v>21577</v>
      </c>
      <c r="O9662" s="17"/>
      <c r="P9662" s="17" t="s">
        <v>21996</v>
      </c>
      <c r="Q9662" s="17"/>
      <c r="R9662" s="25" t="str">
        <f>HYPERLINK("https://ictv.global/taxonomy/taxondetails?taxnode_id=202310489","Nadsecevirus borborocola")</f>
        <v>Nadsecevirus borborocola</v>
      </c>
      <c r="S9662" s="18" t="s">
        <v>30</v>
      </c>
      <c r="T9662" s="18" t="s">
        <v>21997</v>
      </c>
      <c r="U9662" s="18"/>
      <c r="V9662" s="18"/>
      <c r="W9662" s="18" t="s">
        <v>21998</v>
      </c>
      <c r="X9662" s="18" t="s">
        <v>35</v>
      </c>
      <c r="Y9662" s="18" t="s">
        <v>17171</v>
      </c>
      <c r="Z9662" s="18" t="s">
        <v>697</v>
      </c>
      <c r="AA9662" s="21" t="str">
        <f>HYPERLINK("https://www.ncbi.nlm.nih.gov/nuccore/BK014070","NCBI Nucleotide")</f>
        <v>NCBI Nucleotide</v>
      </c>
    </row>
    <row r="9663" spans="1:27" x14ac:dyDescent="0.35">
      <c r="A9663">
        <v>1026574</v>
      </c>
      <c r="B9663">
        <v>8988</v>
      </c>
      <c r="C9663">
        <v>1</v>
      </c>
      <c r="D9663" s="17" t="s">
        <v>17166</v>
      </c>
      <c r="E9663" s="17"/>
      <c r="F9663" s="17" t="s">
        <v>17246</v>
      </c>
      <c r="G9663" s="17"/>
      <c r="H9663" s="17" t="s">
        <v>20919</v>
      </c>
      <c r="I9663" s="17"/>
      <c r="J9663" s="17" t="s">
        <v>21313</v>
      </c>
      <c r="K9663" s="17"/>
      <c r="L9663" s="17" t="s">
        <v>21326</v>
      </c>
      <c r="M9663" s="17"/>
      <c r="N9663" s="17" t="s">
        <v>21577</v>
      </c>
      <c r="O9663" s="17"/>
      <c r="P9663" s="17" t="s">
        <v>43642</v>
      </c>
      <c r="Q9663" s="17"/>
      <c r="R9663" s="25" t="str">
        <f>HYPERLINK("https://ictv.global/taxonomy/taxondetails?taxnode_id=202316522","Naneatavirus segetadaptatum")</f>
        <v>Naneatavirus segetadaptatum</v>
      </c>
      <c r="S9663" s="18" t="s">
        <v>30</v>
      </c>
      <c r="T9663" s="18" t="s">
        <v>43643</v>
      </c>
      <c r="U9663" s="18"/>
      <c r="V9663" s="18"/>
      <c r="W9663" s="18" t="s">
        <v>43644</v>
      </c>
      <c r="X9663" s="18" t="s">
        <v>35</v>
      </c>
      <c r="Y9663" s="18" t="s">
        <v>17171</v>
      </c>
      <c r="Z9663" s="18" t="s">
        <v>24637</v>
      </c>
      <c r="AA9663" s="21" t="str">
        <f>HYPERLINK("https://www.ncbi.nlm.nih.gov/nuccore/CASDWV010004244","NCBI Nucleotide")</f>
        <v>NCBI Nucleotide</v>
      </c>
    </row>
    <row r="9664" spans="1:27" x14ac:dyDescent="0.35">
      <c r="A9664">
        <v>1026569</v>
      </c>
      <c r="B9664">
        <v>8989</v>
      </c>
      <c r="C9664">
        <v>1</v>
      </c>
      <c r="D9664" s="17" t="s">
        <v>17166</v>
      </c>
      <c r="E9664" s="17"/>
      <c r="F9664" s="17" t="s">
        <v>17246</v>
      </c>
      <c r="G9664" s="17"/>
      <c r="H9664" s="17" t="s">
        <v>20919</v>
      </c>
      <c r="I9664" s="17"/>
      <c r="J9664" s="17" t="s">
        <v>21313</v>
      </c>
      <c r="K9664" s="17"/>
      <c r="L9664" s="17" t="s">
        <v>21326</v>
      </c>
      <c r="M9664" s="17"/>
      <c r="N9664" s="17" t="s">
        <v>21577</v>
      </c>
      <c r="O9664" s="17"/>
      <c r="P9664" s="17" t="s">
        <v>43645</v>
      </c>
      <c r="Q9664" s="17"/>
      <c r="R9664" s="25" t="str">
        <f>HYPERLINK("https://ictv.global/taxonomy/taxondetails?taxnode_id=202316523","Napdanuvirus chthonocola")</f>
        <v>Napdanuvirus chthonocola</v>
      </c>
      <c r="S9664" s="18" t="s">
        <v>30</v>
      </c>
      <c r="T9664" s="18" t="s">
        <v>43646</v>
      </c>
      <c r="U9664" s="18"/>
      <c r="V9664" s="18"/>
      <c r="W9664" s="18" t="s">
        <v>43647</v>
      </c>
      <c r="X9664" s="18" t="s">
        <v>35</v>
      </c>
      <c r="Y9664" s="18" t="s">
        <v>17171</v>
      </c>
      <c r="Z9664" s="18" t="s">
        <v>24637</v>
      </c>
      <c r="AA9664" s="21" t="str">
        <f>HYPERLINK("https://www.ncbi.nlm.nih.gov/nuccore/CASDWV010000152","NCBI Nucleotide")</f>
        <v>NCBI Nucleotide</v>
      </c>
    </row>
    <row r="9665" spans="1:27" x14ac:dyDescent="0.35">
      <c r="A9665">
        <v>1026575</v>
      </c>
      <c r="B9665">
        <v>8990</v>
      </c>
      <c r="C9665">
        <v>1</v>
      </c>
      <c r="D9665" s="17" t="s">
        <v>17166</v>
      </c>
      <c r="E9665" s="17"/>
      <c r="F9665" s="17" t="s">
        <v>17246</v>
      </c>
      <c r="G9665" s="17"/>
      <c r="H9665" s="17" t="s">
        <v>20919</v>
      </c>
      <c r="I9665" s="17"/>
      <c r="J9665" s="17" t="s">
        <v>21313</v>
      </c>
      <c r="K9665" s="17"/>
      <c r="L9665" s="17" t="s">
        <v>21326</v>
      </c>
      <c r="M9665" s="17"/>
      <c r="N9665" s="17" t="s">
        <v>21577</v>
      </c>
      <c r="O9665" s="17"/>
      <c r="P9665" s="17" t="s">
        <v>43648</v>
      </c>
      <c r="Q9665" s="17"/>
      <c r="R9665" s="25" t="str">
        <f>HYPERLINK("https://ictv.global/taxonomy/taxondetails?taxnode_id=202316524","Nedhivirus arvenecus")</f>
        <v>Nedhivirus arvenecus</v>
      </c>
      <c r="S9665" s="18" t="s">
        <v>30</v>
      </c>
      <c r="T9665" s="18" t="s">
        <v>43649</v>
      </c>
      <c r="U9665" s="18"/>
      <c r="V9665" s="18"/>
      <c r="W9665" s="18" t="s">
        <v>43650</v>
      </c>
      <c r="X9665" s="18" t="s">
        <v>35</v>
      </c>
      <c r="Y9665" s="18" t="s">
        <v>17171</v>
      </c>
      <c r="Z9665" s="18" t="s">
        <v>24637</v>
      </c>
      <c r="AA9665" s="21" t="str">
        <f>HYPERLINK("https://www.ncbi.nlm.nih.gov/nuccore/CASDWV010000890","NCBI Nucleotide")</f>
        <v>NCBI Nucleotide</v>
      </c>
    </row>
    <row r="9666" spans="1:27" x14ac:dyDescent="0.35">
      <c r="A9666">
        <v>1009621</v>
      </c>
      <c r="B9666">
        <v>8991</v>
      </c>
      <c r="C9666">
        <v>1</v>
      </c>
      <c r="D9666" s="17" t="s">
        <v>17166</v>
      </c>
      <c r="E9666" s="17"/>
      <c r="F9666" s="17" t="s">
        <v>17246</v>
      </c>
      <c r="G9666" s="17"/>
      <c r="H9666" s="17" t="s">
        <v>20919</v>
      </c>
      <c r="I9666" s="17"/>
      <c r="J9666" s="17" t="s">
        <v>21313</v>
      </c>
      <c r="K9666" s="17"/>
      <c r="L9666" s="17" t="s">
        <v>21326</v>
      </c>
      <c r="M9666" s="17"/>
      <c r="N9666" s="17" t="s">
        <v>21577</v>
      </c>
      <c r="O9666" s="17"/>
      <c r="P9666" s="17" t="s">
        <v>43651</v>
      </c>
      <c r="Q9666" s="17"/>
      <c r="R9666" s="25" t="str">
        <f>HYPERLINK("https://ictv.global/taxonomy/taxondetails?taxnode_id=202310492","Nehwtovirus borborohabitans")</f>
        <v>Nehwtovirus borborohabitans</v>
      </c>
      <c r="S9666" s="18" t="s">
        <v>30</v>
      </c>
      <c r="T9666" s="18" t="s">
        <v>21999</v>
      </c>
      <c r="U9666" s="18"/>
      <c r="V9666" s="18"/>
      <c r="W9666" s="18" t="s">
        <v>22000</v>
      </c>
      <c r="X9666" s="18" t="s">
        <v>35</v>
      </c>
      <c r="Y9666" s="18" t="s">
        <v>17171</v>
      </c>
      <c r="Z9666" s="18" t="s">
        <v>697</v>
      </c>
      <c r="AA9666" s="21" t="str">
        <f>HYPERLINK("https://www.ncbi.nlm.nih.gov/nuccore/BK013655","NCBI Nucleotide")</f>
        <v>NCBI Nucleotide</v>
      </c>
    </row>
    <row r="9667" spans="1:27" x14ac:dyDescent="0.35">
      <c r="A9667">
        <v>1026582</v>
      </c>
      <c r="B9667">
        <v>8992</v>
      </c>
      <c r="C9667">
        <v>1</v>
      </c>
      <c r="D9667" s="17" t="s">
        <v>17166</v>
      </c>
      <c r="E9667" s="17"/>
      <c r="F9667" s="17" t="s">
        <v>17246</v>
      </c>
      <c r="G9667" s="17"/>
      <c r="H9667" s="17" t="s">
        <v>20919</v>
      </c>
      <c r="I9667" s="17"/>
      <c r="J9667" s="17" t="s">
        <v>21313</v>
      </c>
      <c r="K9667" s="17"/>
      <c r="L9667" s="17" t="s">
        <v>21326</v>
      </c>
      <c r="M9667" s="17"/>
      <c r="N9667" s="17" t="s">
        <v>21577</v>
      </c>
      <c r="O9667" s="17"/>
      <c r="P9667" s="17" t="s">
        <v>43651</v>
      </c>
      <c r="Q9667" s="17"/>
      <c r="R9667" s="25" t="str">
        <f>HYPERLINK("https://ictv.global/taxonomy/taxondetails?taxnode_id=202316525","Nehwtovirus caenivivens")</f>
        <v>Nehwtovirus caenivivens</v>
      </c>
      <c r="S9667" s="18" t="s">
        <v>30</v>
      </c>
      <c r="T9667" s="18" t="s">
        <v>43652</v>
      </c>
      <c r="U9667" s="18"/>
      <c r="V9667" s="18"/>
      <c r="W9667" s="18" t="s">
        <v>43653</v>
      </c>
      <c r="X9667" s="18" t="s">
        <v>35</v>
      </c>
      <c r="Y9667" s="18" t="s">
        <v>17171</v>
      </c>
      <c r="Z9667" s="18" t="s">
        <v>24637</v>
      </c>
      <c r="AA9667" s="21" t="str">
        <f>HYPERLINK("https://www.ncbi.nlm.nih.gov/nuccore/CASDWV010004006","NCBI Nucleotide")</f>
        <v>NCBI Nucleotide</v>
      </c>
    </row>
    <row r="9668" spans="1:27" x14ac:dyDescent="0.35">
      <c r="A9668">
        <v>1026583</v>
      </c>
      <c r="B9668">
        <v>8993</v>
      </c>
      <c r="C9668">
        <v>1</v>
      </c>
      <c r="D9668" s="17" t="s">
        <v>17166</v>
      </c>
      <c r="E9668" s="17"/>
      <c r="F9668" s="17" t="s">
        <v>17246</v>
      </c>
      <c r="G9668" s="17"/>
      <c r="H9668" s="17" t="s">
        <v>20919</v>
      </c>
      <c r="I9668" s="17"/>
      <c r="J9668" s="17" t="s">
        <v>21313</v>
      </c>
      <c r="K9668" s="17"/>
      <c r="L9668" s="17" t="s">
        <v>21326</v>
      </c>
      <c r="M9668" s="17"/>
      <c r="N9668" s="17" t="s">
        <v>21577</v>
      </c>
      <c r="O9668" s="17"/>
      <c r="P9668" s="17" t="s">
        <v>43651</v>
      </c>
      <c r="Q9668" s="17"/>
      <c r="R9668" s="25" t="str">
        <f>HYPERLINK("https://ictv.global/taxonomy/taxondetails?taxnode_id=202316526","Nehwtovirus chorovicinum")</f>
        <v>Nehwtovirus chorovicinum</v>
      </c>
      <c r="S9668" s="18" t="s">
        <v>30</v>
      </c>
      <c r="T9668" s="18" t="s">
        <v>43654</v>
      </c>
      <c r="U9668" s="18"/>
      <c r="V9668" s="18"/>
      <c r="W9668" s="18" t="s">
        <v>43655</v>
      </c>
      <c r="X9668" s="18" t="s">
        <v>35</v>
      </c>
      <c r="Y9668" s="18" t="s">
        <v>17171</v>
      </c>
      <c r="Z9668" s="18" t="s">
        <v>24637</v>
      </c>
      <c r="AA9668" s="21" t="str">
        <f>HYPERLINK("https://www.ncbi.nlm.nih.gov/nuccore/CASDWV010001255","NCBI Nucleotide")</f>
        <v>NCBI Nucleotide</v>
      </c>
    </row>
    <row r="9669" spans="1:27" x14ac:dyDescent="0.35">
      <c r="A9669">
        <v>1009577</v>
      </c>
      <c r="B9669">
        <v>8994</v>
      </c>
      <c r="C9669">
        <v>1</v>
      </c>
      <c r="D9669" s="17" t="s">
        <v>17166</v>
      </c>
      <c r="E9669" s="17"/>
      <c r="F9669" s="17" t="s">
        <v>17246</v>
      </c>
      <c r="G9669" s="17"/>
      <c r="H9669" s="17" t="s">
        <v>20919</v>
      </c>
      <c r="I9669" s="17"/>
      <c r="J9669" s="17" t="s">
        <v>21313</v>
      </c>
      <c r="K9669" s="17"/>
      <c r="L9669" s="17" t="s">
        <v>21326</v>
      </c>
      <c r="M9669" s="17"/>
      <c r="N9669" s="17" t="s">
        <v>21577</v>
      </c>
      <c r="O9669" s="17"/>
      <c r="P9669" s="17" t="s">
        <v>43651</v>
      </c>
      <c r="Q9669" s="17"/>
      <c r="R9669" s="25" t="str">
        <f>HYPERLINK("https://ictv.global/taxonomy/taxondetails?taxnode_id=202310421","Nehwtovirus limadaptatum")</f>
        <v>Nehwtovirus limadaptatum</v>
      </c>
      <c r="S9669" s="18" t="s">
        <v>30</v>
      </c>
      <c r="T9669" s="18" t="s">
        <v>21892</v>
      </c>
      <c r="U9669" s="18"/>
      <c r="V9669" s="18"/>
      <c r="W9669" s="18" t="s">
        <v>21893</v>
      </c>
      <c r="X9669" s="18" t="s">
        <v>35</v>
      </c>
      <c r="Y9669" s="18" t="s">
        <v>17171</v>
      </c>
      <c r="Z9669" s="18" t="s">
        <v>697</v>
      </c>
      <c r="AA9669" s="21" t="str">
        <f>HYPERLINK("https://www.ncbi.nlm.nih.gov/nuccore/BK013617","NCBI Nucleotide")</f>
        <v>NCBI Nucleotide</v>
      </c>
    </row>
    <row r="9670" spans="1:27" x14ac:dyDescent="0.35">
      <c r="A9670">
        <v>1026584</v>
      </c>
      <c r="B9670">
        <v>8995</v>
      </c>
      <c r="C9670">
        <v>1</v>
      </c>
      <c r="D9670" s="17" t="s">
        <v>17166</v>
      </c>
      <c r="E9670" s="17"/>
      <c r="F9670" s="17" t="s">
        <v>17246</v>
      </c>
      <c r="G9670" s="17"/>
      <c r="H9670" s="17" t="s">
        <v>20919</v>
      </c>
      <c r="I9670" s="17"/>
      <c r="J9670" s="17" t="s">
        <v>21313</v>
      </c>
      <c r="K9670" s="17"/>
      <c r="L9670" s="17" t="s">
        <v>21326</v>
      </c>
      <c r="M9670" s="17"/>
      <c r="N9670" s="17" t="s">
        <v>21577</v>
      </c>
      <c r="O9670" s="17"/>
      <c r="P9670" s="17" t="s">
        <v>43651</v>
      </c>
      <c r="Q9670" s="17"/>
      <c r="R9670" s="25" t="str">
        <f>HYPERLINK("https://ictv.global/taxonomy/taxondetails?taxnode_id=202316527","Nehwtovirus solenecus")</f>
        <v>Nehwtovirus solenecus</v>
      </c>
      <c r="S9670" s="18" t="s">
        <v>30</v>
      </c>
      <c r="T9670" s="18" t="s">
        <v>43656</v>
      </c>
      <c r="U9670" s="18"/>
      <c r="V9670" s="18"/>
      <c r="W9670" s="18" t="s">
        <v>43657</v>
      </c>
      <c r="X9670" s="18" t="s">
        <v>35</v>
      </c>
      <c r="Y9670" s="18" t="s">
        <v>17171</v>
      </c>
      <c r="Z9670" s="18" t="s">
        <v>24637</v>
      </c>
      <c r="AA9670" s="21" t="str">
        <f>HYPERLINK("https://www.ncbi.nlm.nih.gov/nuccore/CASDWV010002783","NCBI Nucleotide")</f>
        <v>NCBI Nucleotide</v>
      </c>
    </row>
    <row r="9671" spans="1:27" x14ac:dyDescent="0.35">
      <c r="A9671">
        <v>1026585</v>
      </c>
      <c r="B9671">
        <v>8996</v>
      </c>
      <c r="C9671">
        <v>1</v>
      </c>
      <c r="D9671" s="17" t="s">
        <v>17166</v>
      </c>
      <c r="E9671" s="17"/>
      <c r="F9671" s="17" t="s">
        <v>17246</v>
      </c>
      <c r="G9671" s="17"/>
      <c r="H9671" s="17" t="s">
        <v>20919</v>
      </c>
      <c r="I9671" s="17"/>
      <c r="J9671" s="17" t="s">
        <v>21313</v>
      </c>
      <c r="K9671" s="17"/>
      <c r="L9671" s="17" t="s">
        <v>21326</v>
      </c>
      <c r="M9671" s="17"/>
      <c r="N9671" s="17" t="s">
        <v>21577</v>
      </c>
      <c r="O9671" s="17"/>
      <c r="P9671" s="17" t="s">
        <v>43651</v>
      </c>
      <c r="Q9671" s="17"/>
      <c r="R9671" s="25" t="str">
        <f>HYPERLINK("https://ictv.global/taxonomy/taxondetails?taxnode_id=202316528","Nehwtovirus terricola")</f>
        <v>Nehwtovirus terricola</v>
      </c>
      <c r="S9671" s="18" t="s">
        <v>30</v>
      </c>
      <c r="T9671" s="18" t="s">
        <v>43658</v>
      </c>
      <c r="U9671" s="18"/>
      <c r="V9671" s="18"/>
      <c r="W9671" s="18" t="s">
        <v>43659</v>
      </c>
      <c r="X9671" s="18" t="s">
        <v>35</v>
      </c>
      <c r="Y9671" s="18" t="s">
        <v>17171</v>
      </c>
      <c r="Z9671" s="18" t="s">
        <v>24637</v>
      </c>
      <c r="AA9671" s="21" t="str">
        <f>HYPERLINK("https://www.ncbi.nlm.nih.gov/nuccore/CASDWV010002070","NCBI Nucleotide")</f>
        <v>NCBI Nucleotide</v>
      </c>
    </row>
    <row r="9672" spans="1:27" x14ac:dyDescent="0.35">
      <c r="A9672">
        <v>1026571</v>
      </c>
      <c r="B9672">
        <v>8997</v>
      </c>
      <c r="C9672">
        <v>1</v>
      </c>
      <c r="D9672" s="17" t="s">
        <v>17166</v>
      </c>
      <c r="E9672" s="17"/>
      <c r="F9672" s="17" t="s">
        <v>17246</v>
      </c>
      <c r="G9672" s="17"/>
      <c r="H9672" s="17" t="s">
        <v>20919</v>
      </c>
      <c r="I9672" s="17"/>
      <c r="J9672" s="17" t="s">
        <v>21313</v>
      </c>
      <c r="K9672" s="17"/>
      <c r="L9672" s="17" t="s">
        <v>21326</v>
      </c>
      <c r="M9672" s="17"/>
      <c r="N9672" s="17" t="s">
        <v>21577</v>
      </c>
      <c r="O9672" s="17"/>
      <c r="P9672" s="17" t="s">
        <v>43660</v>
      </c>
      <c r="Q9672" s="17"/>
      <c r="R9672" s="25" t="str">
        <f>HYPERLINK("https://ictv.global/taxonomy/taxondetails?taxnode_id=202316529","Newbovirus messivivens")</f>
        <v>Newbovirus messivivens</v>
      </c>
      <c r="S9672" s="18" t="s">
        <v>30</v>
      </c>
      <c r="T9672" s="18" t="s">
        <v>43661</v>
      </c>
      <c r="U9672" s="18"/>
      <c r="V9672" s="18"/>
      <c r="W9672" s="18" t="s">
        <v>43662</v>
      </c>
      <c r="X9672" s="18" t="s">
        <v>35</v>
      </c>
      <c r="Y9672" s="18" t="s">
        <v>17171</v>
      </c>
      <c r="Z9672" s="18" t="s">
        <v>24637</v>
      </c>
      <c r="AA9672" s="21" t="str">
        <f>HYPERLINK("https://www.ncbi.nlm.nih.gov/nuccore/CASDWV010004927","NCBI Nucleotide")</f>
        <v>NCBI Nucleotide</v>
      </c>
    </row>
    <row r="9673" spans="1:27" x14ac:dyDescent="0.35">
      <c r="A9673">
        <v>1026572</v>
      </c>
      <c r="B9673">
        <v>8998</v>
      </c>
      <c r="C9673">
        <v>1</v>
      </c>
      <c r="D9673" s="17" t="s">
        <v>17166</v>
      </c>
      <c r="E9673" s="17"/>
      <c r="F9673" s="17" t="s">
        <v>17246</v>
      </c>
      <c r="G9673" s="17"/>
      <c r="H9673" s="17" t="s">
        <v>20919</v>
      </c>
      <c r="I9673" s="17"/>
      <c r="J9673" s="17" t="s">
        <v>21313</v>
      </c>
      <c r="K9673" s="17"/>
      <c r="L9673" s="17" t="s">
        <v>21326</v>
      </c>
      <c r="M9673" s="17"/>
      <c r="N9673" s="17" t="s">
        <v>21577</v>
      </c>
      <c r="O9673" s="17"/>
      <c r="P9673" s="17" t="s">
        <v>43660</v>
      </c>
      <c r="Q9673" s="17"/>
      <c r="R9673" s="25" t="str">
        <f>HYPERLINK("https://ictv.global/taxonomy/taxondetails?taxnode_id=202316530","Newbovirus pelocola")</f>
        <v>Newbovirus pelocola</v>
      </c>
      <c r="S9673" s="18" t="s">
        <v>30</v>
      </c>
      <c r="T9673" s="18" t="s">
        <v>43663</v>
      </c>
      <c r="U9673" s="18"/>
      <c r="V9673" s="18"/>
      <c r="W9673" s="18" t="s">
        <v>43664</v>
      </c>
      <c r="X9673" s="18" t="s">
        <v>35</v>
      </c>
      <c r="Y9673" s="18" t="s">
        <v>17171</v>
      </c>
      <c r="Z9673" s="18" t="s">
        <v>24637</v>
      </c>
      <c r="AA9673" s="21" t="str">
        <f>HYPERLINK("https://www.ncbi.nlm.nih.gov/nuccore/CASDWV010002880","NCBI Nucleotide")</f>
        <v>NCBI Nucleotide</v>
      </c>
    </row>
    <row r="9674" spans="1:27" x14ac:dyDescent="0.35">
      <c r="A9674">
        <v>1026573</v>
      </c>
      <c r="B9674">
        <v>8999</v>
      </c>
      <c r="C9674">
        <v>1</v>
      </c>
      <c r="D9674" s="17" t="s">
        <v>17166</v>
      </c>
      <c r="E9674" s="17"/>
      <c r="F9674" s="17" t="s">
        <v>17246</v>
      </c>
      <c r="G9674" s="17"/>
      <c r="H9674" s="17" t="s">
        <v>20919</v>
      </c>
      <c r="I9674" s="17"/>
      <c r="J9674" s="17" t="s">
        <v>21313</v>
      </c>
      <c r="K9674" s="17"/>
      <c r="L9674" s="17" t="s">
        <v>21326</v>
      </c>
      <c r="M9674" s="17"/>
      <c r="N9674" s="17" t="s">
        <v>21577</v>
      </c>
      <c r="O9674" s="17"/>
      <c r="P9674" s="17" t="s">
        <v>43665</v>
      </c>
      <c r="Q9674" s="17"/>
      <c r="R9674" s="25" t="str">
        <f>HYPERLINK("https://ictv.global/taxonomy/taxondetails?taxnode_id=202316531","Newpuvirus terrivicinum")</f>
        <v>Newpuvirus terrivicinum</v>
      </c>
      <c r="S9674" s="18" t="s">
        <v>30</v>
      </c>
      <c r="T9674" s="18" t="s">
        <v>43666</v>
      </c>
      <c r="U9674" s="18"/>
      <c r="V9674" s="18"/>
      <c r="W9674" s="18" t="s">
        <v>43667</v>
      </c>
      <c r="X9674" s="18" t="s">
        <v>35</v>
      </c>
      <c r="Y9674" s="18" t="s">
        <v>17171</v>
      </c>
      <c r="Z9674" s="18" t="s">
        <v>24637</v>
      </c>
      <c r="AA9674" s="21" t="str">
        <f>HYPERLINK("https://www.ncbi.nlm.nih.gov/nuccore/CASDWV010000158","NCBI Nucleotide")</f>
        <v>NCBI Nucleotide</v>
      </c>
    </row>
    <row r="9675" spans="1:27" x14ac:dyDescent="0.35">
      <c r="A9675">
        <v>1009627</v>
      </c>
      <c r="B9675">
        <v>9000</v>
      </c>
      <c r="C9675">
        <v>1</v>
      </c>
      <c r="D9675" s="17" t="s">
        <v>17166</v>
      </c>
      <c r="E9675" s="17"/>
      <c r="F9675" s="17" t="s">
        <v>17246</v>
      </c>
      <c r="G9675" s="17"/>
      <c r="H9675" s="17" t="s">
        <v>20919</v>
      </c>
      <c r="I9675" s="17"/>
      <c r="J9675" s="17" t="s">
        <v>21313</v>
      </c>
      <c r="K9675" s="17"/>
      <c r="L9675" s="17" t="s">
        <v>21326</v>
      </c>
      <c r="M9675" s="17"/>
      <c r="N9675" s="17" t="s">
        <v>21577</v>
      </c>
      <c r="O9675" s="17"/>
      <c r="P9675" s="17" t="s">
        <v>22011</v>
      </c>
      <c r="Q9675" s="17"/>
      <c r="R9675" s="25" t="str">
        <f>HYPERLINK("https://ictv.global/taxonomy/taxondetails?taxnode_id=202310500","Niankuvirus caenivicinum")</f>
        <v>Niankuvirus caenivicinum</v>
      </c>
      <c r="S9675" s="18" t="s">
        <v>30</v>
      </c>
      <c r="T9675" s="18" t="s">
        <v>22012</v>
      </c>
      <c r="U9675" s="18"/>
      <c r="V9675" s="18"/>
      <c r="W9675" s="18" t="s">
        <v>22013</v>
      </c>
      <c r="X9675" s="18" t="s">
        <v>35</v>
      </c>
      <c r="Y9675" s="18" t="s">
        <v>17171</v>
      </c>
      <c r="Z9675" s="18" t="s">
        <v>697</v>
      </c>
      <c r="AA9675" s="21" t="str">
        <f>HYPERLINK("https://www.ncbi.nlm.nih.gov/nuccore/BK013665","NCBI Nucleotide")</f>
        <v>NCBI Nucleotide</v>
      </c>
    </row>
    <row r="9676" spans="1:27" x14ac:dyDescent="0.35">
      <c r="A9676">
        <v>1009629</v>
      </c>
      <c r="B9676">
        <v>9001</v>
      </c>
      <c r="C9676">
        <v>1</v>
      </c>
      <c r="D9676" s="17" t="s">
        <v>17166</v>
      </c>
      <c r="E9676" s="17"/>
      <c r="F9676" s="17" t="s">
        <v>17246</v>
      </c>
      <c r="G9676" s="17"/>
      <c r="H9676" s="17" t="s">
        <v>20919</v>
      </c>
      <c r="I9676" s="17"/>
      <c r="J9676" s="17" t="s">
        <v>21313</v>
      </c>
      <c r="K9676" s="17"/>
      <c r="L9676" s="17" t="s">
        <v>21326</v>
      </c>
      <c r="M9676" s="17"/>
      <c r="N9676" s="17" t="s">
        <v>21577</v>
      </c>
      <c r="O9676" s="17"/>
      <c r="P9676" s="17" t="s">
        <v>22016</v>
      </c>
      <c r="Q9676" s="17"/>
      <c r="R9676" s="25" t="str">
        <f>HYPERLINK("https://ictv.global/taxonomy/taxondetails?taxnode_id=202310504","Niuhvovirus limivicinum")</f>
        <v>Niuhvovirus limivicinum</v>
      </c>
      <c r="S9676" s="18" t="s">
        <v>30</v>
      </c>
      <c r="T9676" s="18" t="s">
        <v>22017</v>
      </c>
      <c r="U9676" s="18"/>
      <c r="V9676" s="18"/>
      <c r="W9676" s="18" t="s">
        <v>22018</v>
      </c>
      <c r="X9676" s="18" t="s">
        <v>35</v>
      </c>
      <c r="Y9676" s="18" t="s">
        <v>17171</v>
      </c>
      <c r="Z9676" s="18" t="s">
        <v>697</v>
      </c>
      <c r="AA9676" s="21" t="str">
        <f>HYPERLINK("https://www.ncbi.nlm.nih.gov/nuccore/BK014085","NCBI Nucleotide")</f>
        <v>NCBI Nucleotide</v>
      </c>
    </row>
    <row r="9677" spans="1:27" x14ac:dyDescent="0.35">
      <c r="A9677">
        <v>1009630</v>
      </c>
      <c r="B9677">
        <v>9002</v>
      </c>
      <c r="C9677">
        <v>1</v>
      </c>
      <c r="D9677" s="17" t="s">
        <v>17166</v>
      </c>
      <c r="E9677" s="17"/>
      <c r="F9677" s="17" t="s">
        <v>17246</v>
      </c>
      <c r="G9677" s="17"/>
      <c r="H9677" s="17" t="s">
        <v>20919</v>
      </c>
      <c r="I9677" s="17"/>
      <c r="J9677" s="17" t="s">
        <v>21313</v>
      </c>
      <c r="K9677" s="17"/>
      <c r="L9677" s="17" t="s">
        <v>21326</v>
      </c>
      <c r="M9677" s="17"/>
      <c r="N9677" s="17" t="s">
        <v>21577</v>
      </c>
      <c r="O9677" s="17"/>
      <c r="P9677" s="17" t="s">
        <v>22016</v>
      </c>
      <c r="Q9677" s="17"/>
      <c r="R9677" s="25" t="str">
        <f>HYPERLINK("https://ictv.global/taxonomy/taxondetails?taxnode_id=202310505","Niuhvovirus limivivens")</f>
        <v>Niuhvovirus limivivens</v>
      </c>
      <c r="S9677" s="18" t="s">
        <v>30</v>
      </c>
      <c r="T9677" s="18" t="s">
        <v>22019</v>
      </c>
      <c r="U9677" s="18"/>
      <c r="V9677" s="18"/>
      <c r="W9677" s="18" t="s">
        <v>22020</v>
      </c>
      <c r="X9677" s="18" t="s">
        <v>35</v>
      </c>
      <c r="Y9677" s="18" t="s">
        <v>17171</v>
      </c>
      <c r="Z9677" s="18" t="s">
        <v>697</v>
      </c>
      <c r="AA9677" s="21" t="str">
        <f>HYPERLINK("https://www.ncbi.nlm.nih.gov/nuccore/BK014089","NCBI Nucleotide")</f>
        <v>NCBI Nucleotide</v>
      </c>
    </row>
    <row r="9678" spans="1:27" x14ac:dyDescent="0.35">
      <c r="A9678">
        <v>1026563</v>
      </c>
      <c r="B9678">
        <v>9003</v>
      </c>
      <c r="C9678">
        <v>1</v>
      </c>
      <c r="D9678" s="17" t="s">
        <v>17166</v>
      </c>
      <c r="E9678" s="17"/>
      <c r="F9678" s="17" t="s">
        <v>17246</v>
      </c>
      <c r="G9678" s="17"/>
      <c r="H9678" s="17" t="s">
        <v>20919</v>
      </c>
      <c r="I9678" s="17"/>
      <c r="J9678" s="17" t="s">
        <v>21313</v>
      </c>
      <c r="K9678" s="17"/>
      <c r="L9678" s="17" t="s">
        <v>21326</v>
      </c>
      <c r="M9678" s="17"/>
      <c r="N9678" s="17" t="s">
        <v>21577</v>
      </c>
      <c r="O9678" s="17"/>
      <c r="P9678" s="17" t="s">
        <v>43668</v>
      </c>
      <c r="Q9678" s="17"/>
      <c r="R9678" s="25" t="str">
        <f>HYPERLINK("https://ictv.global/taxonomy/taxondetails?taxnode_id=202316532","Niwnhavirus messivicinum")</f>
        <v>Niwnhavirus messivicinum</v>
      </c>
      <c r="S9678" s="18" t="s">
        <v>30</v>
      </c>
      <c r="T9678" s="18" t="s">
        <v>43669</v>
      </c>
      <c r="U9678" s="18"/>
      <c r="V9678" s="18"/>
      <c r="W9678" s="18" t="s">
        <v>43670</v>
      </c>
      <c r="X9678" s="18" t="s">
        <v>35</v>
      </c>
      <c r="Y9678" s="18" t="s">
        <v>17171</v>
      </c>
      <c r="Z9678" s="18" t="s">
        <v>24637</v>
      </c>
      <c r="AA9678" s="21" t="str">
        <f>HYPERLINK("https://www.ncbi.nlm.nih.gov/nuccore/CASDWV010000800","NCBI Nucleotide")</f>
        <v>NCBI Nucleotide</v>
      </c>
    </row>
    <row r="9679" spans="1:27" x14ac:dyDescent="0.35">
      <c r="A9679">
        <v>1026564</v>
      </c>
      <c r="B9679">
        <v>9004</v>
      </c>
      <c r="C9679">
        <v>1</v>
      </c>
      <c r="D9679" s="17" t="s">
        <v>17166</v>
      </c>
      <c r="E9679" s="17"/>
      <c r="F9679" s="17" t="s">
        <v>17246</v>
      </c>
      <c r="G9679" s="17"/>
      <c r="H9679" s="17" t="s">
        <v>20919</v>
      </c>
      <c r="I9679" s="17"/>
      <c r="J9679" s="17" t="s">
        <v>21313</v>
      </c>
      <c r="K9679" s="17"/>
      <c r="L9679" s="17" t="s">
        <v>21326</v>
      </c>
      <c r="M9679" s="17"/>
      <c r="N9679" s="17" t="s">
        <v>21577</v>
      </c>
      <c r="O9679" s="17"/>
      <c r="P9679" s="17" t="s">
        <v>43671</v>
      </c>
      <c r="Q9679" s="17"/>
      <c r="R9679" s="25" t="str">
        <f>HYPERLINK("https://ictv.global/taxonomy/taxondetails?taxnode_id=202316533","Niwtovirus choradaptatum")</f>
        <v>Niwtovirus choradaptatum</v>
      </c>
      <c r="S9679" s="18" t="s">
        <v>30</v>
      </c>
      <c r="T9679" s="18" t="s">
        <v>43672</v>
      </c>
      <c r="U9679" s="18"/>
      <c r="V9679" s="18"/>
      <c r="W9679" s="18" t="s">
        <v>43673</v>
      </c>
      <c r="X9679" s="18" t="s">
        <v>35</v>
      </c>
      <c r="Y9679" s="18" t="s">
        <v>17171</v>
      </c>
      <c r="Z9679" s="18" t="s">
        <v>24637</v>
      </c>
      <c r="AA9679" s="21" t="str">
        <f>HYPERLINK("https://www.ncbi.nlm.nih.gov/nuccore/CASDWV010001154","NCBI Nucleotide")</f>
        <v>NCBI Nucleotide</v>
      </c>
    </row>
    <row r="9680" spans="1:27" x14ac:dyDescent="0.35">
      <c r="A9680">
        <v>1026591</v>
      </c>
      <c r="B9680">
        <v>9005</v>
      </c>
      <c r="C9680">
        <v>1</v>
      </c>
      <c r="D9680" s="17" t="s">
        <v>17166</v>
      </c>
      <c r="E9680" s="17"/>
      <c r="F9680" s="17" t="s">
        <v>17246</v>
      </c>
      <c r="G9680" s="17"/>
      <c r="H9680" s="17" t="s">
        <v>20919</v>
      </c>
      <c r="I9680" s="17"/>
      <c r="J9680" s="17" t="s">
        <v>21313</v>
      </c>
      <c r="K9680" s="17"/>
      <c r="L9680" s="17" t="s">
        <v>21326</v>
      </c>
      <c r="M9680" s="17"/>
      <c r="N9680" s="17" t="s">
        <v>21577</v>
      </c>
      <c r="O9680" s="17"/>
      <c r="P9680" s="17" t="s">
        <v>43674</v>
      </c>
      <c r="Q9680" s="17"/>
      <c r="R9680" s="25" t="str">
        <f>HYPERLINK("https://ictv.global/taxonomy/taxondetails?taxnode_id=202316534","Nohmivirus arvicola")</f>
        <v>Nohmivirus arvicola</v>
      </c>
      <c r="S9680" s="18" t="s">
        <v>30</v>
      </c>
      <c r="T9680" s="18" t="s">
        <v>43675</v>
      </c>
      <c r="U9680" s="18"/>
      <c r="V9680" s="18"/>
      <c r="W9680" s="18" t="s">
        <v>43676</v>
      </c>
      <c r="X9680" s="18" t="s">
        <v>35</v>
      </c>
      <c r="Y9680" s="18" t="s">
        <v>17171</v>
      </c>
      <c r="Z9680" s="18" t="s">
        <v>24637</v>
      </c>
      <c r="AA9680" s="21" t="str">
        <f>HYPERLINK("https://www.ncbi.nlm.nih.gov/nuccore/CASDWV010001280","NCBI Nucleotide")</f>
        <v>NCBI Nucleotide</v>
      </c>
    </row>
    <row r="9681" spans="1:27" x14ac:dyDescent="0.35">
      <c r="A9681">
        <v>1026592</v>
      </c>
      <c r="B9681">
        <v>9006</v>
      </c>
      <c r="C9681">
        <v>1</v>
      </c>
      <c r="D9681" s="17" t="s">
        <v>17166</v>
      </c>
      <c r="E9681" s="17"/>
      <c r="F9681" s="17" t="s">
        <v>17246</v>
      </c>
      <c r="G9681" s="17"/>
      <c r="H9681" s="17" t="s">
        <v>20919</v>
      </c>
      <c r="I9681" s="17"/>
      <c r="J9681" s="17" t="s">
        <v>21313</v>
      </c>
      <c r="K9681" s="17"/>
      <c r="L9681" s="17" t="s">
        <v>21326</v>
      </c>
      <c r="M9681" s="17"/>
      <c r="N9681" s="17" t="s">
        <v>21577</v>
      </c>
      <c r="O9681" s="17"/>
      <c r="P9681" s="17" t="s">
        <v>43674</v>
      </c>
      <c r="Q9681" s="17"/>
      <c r="R9681" s="25" t="str">
        <f>HYPERLINK("https://ictv.global/taxonomy/taxondetails?taxnode_id=202316535","Nohmivirus arvihabitans")</f>
        <v>Nohmivirus arvihabitans</v>
      </c>
      <c r="S9681" s="18" t="s">
        <v>30</v>
      </c>
      <c r="T9681" s="18" t="s">
        <v>43677</v>
      </c>
      <c r="U9681" s="18"/>
      <c r="V9681" s="18"/>
      <c r="W9681" s="18" t="s">
        <v>43678</v>
      </c>
      <c r="X9681" s="18" t="s">
        <v>35</v>
      </c>
      <c r="Y9681" s="18" t="s">
        <v>17171</v>
      </c>
      <c r="Z9681" s="18" t="s">
        <v>24637</v>
      </c>
      <c r="AA9681" s="21" t="str">
        <f>HYPERLINK("https://www.ncbi.nlm.nih.gov/nuccore/CASDWV010001488","NCBI Nucleotide")</f>
        <v>NCBI Nucleotide</v>
      </c>
    </row>
    <row r="9682" spans="1:27" x14ac:dyDescent="0.35">
      <c r="A9682">
        <v>1026593</v>
      </c>
      <c r="B9682">
        <v>9007</v>
      </c>
      <c r="C9682">
        <v>1</v>
      </c>
      <c r="D9682" s="17" t="s">
        <v>17166</v>
      </c>
      <c r="E9682" s="17"/>
      <c r="F9682" s="17" t="s">
        <v>17246</v>
      </c>
      <c r="G9682" s="17"/>
      <c r="H9682" s="17" t="s">
        <v>20919</v>
      </c>
      <c r="I9682" s="17"/>
      <c r="J9682" s="17" t="s">
        <v>21313</v>
      </c>
      <c r="K9682" s="17"/>
      <c r="L9682" s="17" t="s">
        <v>21326</v>
      </c>
      <c r="M9682" s="17"/>
      <c r="N9682" s="17" t="s">
        <v>21577</v>
      </c>
      <c r="O9682" s="17"/>
      <c r="P9682" s="17" t="s">
        <v>43674</v>
      </c>
      <c r="Q9682" s="17"/>
      <c r="R9682" s="25" t="str">
        <f>HYPERLINK("https://ictv.global/taxonomy/taxondetails?taxnode_id=202316536","Nohmivirus messenecus")</f>
        <v>Nohmivirus messenecus</v>
      </c>
      <c r="S9682" s="18" t="s">
        <v>30</v>
      </c>
      <c r="T9682" s="18" t="s">
        <v>43679</v>
      </c>
      <c r="U9682" s="18"/>
      <c r="V9682" s="18"/>
      <c r="W9682" s="18" t="s">
        <v>43680</v>
      </c>
      <c r="X9682" s="18" t="s">
        <v>35</v>
      </c>
      <c r="Y9682" s="18" t="s">
        <v>17171</v>
      </c>
      <c r="Z9682" s="18" t="s">
        <v>24637</v>
      </c>
      <c r="AA9682" s="21" t="str">
        <f>HYPERLINK("https://www.ncbi.nlm.nih.gov/nuccore/CASDWV010001198","NCBI Nucleotide")</f>
        <v>NCBI Nucleotide</v>
      </c>
    </row>
    <row r="9683" spans="1:27" x14ac:dyDescent="0.35">
      <c r="A9683">
        <v>1026594</v>
      </c>
      <c r="B9683">
        <v>9008</v>
      </c>
      <c r="C9683">
        <v>1</v>
      </c>
      <c r="D9683" s="17" t="s">
        <v>17166</v>
      </c>
      <c r="E9683" s="17"/>
      <c r="F9683" s="17" t="s">
        <v>17246</v>
      </c>
      <c r="G9683" s="17"/>
      <c r="H9683" s="17" t="s">
        <v>20919</v>
      </c>
      <c r="I9683" s="17"/>
      <c r="J9683" s="17" t="s">
        <v>21313</v>
      </c>
      <c r="K9683" s="17"/>
      <c r="L9683" s="17" t="s">
        <v>21326</v>
      </c>
      <c r="M9683" s="17"/>
      <c r="N9683" s="17" t="s">
        <v>21577</v>
      </c>
      <c r="O9683" s="17"/>
      <c r="P9683" s="17" t="s">
        <v>43674</v>
      </c>
      <c r="Q9683" s="17"/>
      <c r="R9683" s="25" t="str">
        <f>HYPERLINK("https://ictv.global/taxonomy/taxondetails?taxnode_id=202316537","Nohmivirus radicivivens")</f>
        <v>Nohmivirus radicivivens</v>
      </c>
      <c r="S9683" s="18" t="s">
        <v>30</v>
      </c>
      <c r="T9683" s="18" t="s">
        <v>43681</v>
      </c>
      <c r="U9683" s="18"/>
      <c r="V9683" s="18"/>
      <c r="W9683" s="18" t="s">
        <v>43682</v>
      </c>
      <c r="X9683" s="18" t="s">
        <v>35</v>
      </c>
      <c r="Y9683" s="18" t="s">
        <v>17171</v>
      </c>
      <c r="Z9683" s="18" t="s">
        <v>24637</v>
      </c>
      <c r="AA9683" s="21" t="str">
        <f>HYPERLINK("https://www.ncbi.nlm.nih.gov/nuccore/CASDWV010004364","NCBI Nucleotide")</f>
        <v>NCBI Nucleotide</v>
      </c>
    </row>
    <row r="9684" spans="1:27" x14ac:dyDescent="0.35">
      <c r="A9684">
        <v>1026595</v>
      </c>
      <c r="B9684">
        <v>9009</v>
      </c>
      <c r="C9684">
        <v>1</v>
      </c>
      <c r="D9684" s="17" t="s">
        <v>17166</v>
      </c>
      <c r="E9684" s="17"/>
      <c r="F9684" s="17" t="s">
        <v>17246</v>
      </c>
      <c r="G9684" s="17"/>
      <c r="H9684" s="17" t="s">
        <v>20919</v>
      </c>
      <c r="I9684" s="17"/>
      <c r="J9684" s="17" t="s">
        <v>21313</v>
      </c>
      <c r="K9684" s="17"/>
      <c r="L9684" s="17" t="s">
        <v>21326</v>
      </c>
      <c r="M9684" s="17"/>
      <c r="N9684" s="17" t="s">
        <v>21577</v>
      </c>
      <c r="O9684" s="17"/>
      <c r="P9684" s="17" t="s">
        <v>43683</v>
      </c>
      <c r="Q9684" s="17"/>
      <c r="R9684" s="25" t="str">
        <f>HYPERLINK("https://ictv.global/taxonomy/taxondetails?taxnode_id=202316538","Nohrdovirus chorenecus")</f>
        <v>Nohrdovirus chorenecus</v>
      </c>
      <c r="S9684" s="18" t="s">
        <v>30</v>
      </c>
      <c r="T9684" s="18" t="s">
        <v>43684</v>
      </c>
      <c r="U9684" s="18"/>
      <c r="V9684" s="18"/>
      <c r="W9684" s="18" t="s">
        <v>43685</v>
      </c>
      <c r="X9684" s="18" t="s">
        <v>35</v>
      </c>
      <c r="Y9684" s="18" t="s">
        <v>17171</v>
      </c>
      <c r="Z9684" s="18" t="s">
        <v>24637</v>
      </c>
      <c r="AA9684" s="21" t="str">
        <f>HYPERLINK("https://www.ncbi.nlm.nih.gov/nuccore/CASDWV010001318","NCBI Nucleotide")</f>
        <v>NCBI Nucleotide</v>
      </c>
    </row>
    <row r="9685" spans="1:27" x14ac:dyDescent="0.35">
      <c r="A9685">
        <v>1026596</v>
      </c>
      <c r="B9685">
        <v>9010</v>
      </c>
      <c r="C9685">
        <v>1</v>
      </c>
      <c r="D9685" s="17" t="s">
        <v>17166</v>
      </c>
      <c r="E9685" s="17"/>
      <c r="F9685" s="17" t="s">
        <v>17246</v>
      </c>
      <c r="G9685" s="17"/>
      <c r="H9685" s="17" t="s">
        <v>20919</v>
      </c>
      <c r="I9685" s="17"/>
      <c r="J9685" s="17" t="s">
        <v>21313</v>
      </c>
      <c r="K9685" s="17"/>
      <c r="L9685" s="17" t="s">
        <v>21326</v>
      </c>
      <c r="M9685" s="17"/>
      <c r="N9685" s="17" t="s">
        <v>21577</v>
      </c>
      <c r="O9685" s="17"/>
      <c r="P9685" s="17" t="s">
        <v>43683</v>
      </c>
      <c r="Q9685" s="17"/>
      <c r="R9685" s="25" t="str">
        <f>HYPERLINK("https://ictv.global/taxonomy/taxondetails?taxnode_id=202316539","Nohrdovirus chthonocola")</f>
        <v>Nohrdovirus chthonocola</v>
      </c>
      <c r="S9685" s="18" t="s">
        <v>30</v>
      </c>
      <c r="T9685" s="18" t="s">
        <v>43686</v>
      </c>
      <c r="U9685" s="18"/>
      <c r="V9685" s="18"/>
      <c r="W9685" s="18" t="s">
        <v>43687</v>
      </c>
      <c r="X9685" s="18" t="s">
        <v>35</v>
      </c>
      <c r="Y9685" s="18" t="s">
        <v>17171</v>
      </c>
      <c r="Z9685" s="18" t="s">
        <v>24637</v>
      </c>
      <c r="AA9685" s="21" t="str">
        <f>HYPERLINK("https://www.ncbi.nlm.nih.gov/nuccore/CASDWV010002541","NCBI Nucleotide")</f>
        <v>NCBI Nucleotide</v>
      </c>
    </row>
    <row r="9686" spans="1:27" x14ac:dyDescent="0.35">
      <c r="A9686">
        <v>1009705</v>
      </c>
      <c r="B9686">
        <v>9011</v>
      </c>
      <c r="C9686">
        <v>1</v>
      </c>
      <c r="D9686" s="17" t="s">
        <v>17166</v>
      </c>
      <c r="E9686" s="17"/>
      <c r="F9686" s="17" t="s">
        <v>17246</v>
      </c>
      <c r="G9686" s="17"/>
      <c r="H9686" s="17" t="s">
        <v>20919</v>
      </c>
      <c r="I9686" s="17"/>
      <c r="J9686" s="17" t="s">
        <v>21313</v>
      </c>
      <c r="K9686" s="17"/>
      <c r="L9686" s="17" t="s">
        <v>21326</v>
      </c>
      <c r="M9686" s="17"/>
      <c r="N9686" s="17" t="s">
        <v>21577</v>
      </c>
      <c r="O9686" s="17"/>
      <c r="P9686" s="17" t="s">
        <v>43683</v>
      </c>
      <c r="Q9686" s="17"/>
      <c r="R9686" s="25" t="str">
        <f>HYPERLINK("https://ictv.global/taxonomy/taxondetails?taxnode_id=202310618","Nohrdovirus limihabitans")</f>
        <v>Nohrdovirus limihabitans</v>
      </c>
      <c r="S9686" s="18" t="s">
        <v>30</v>
      </c>
      <c r="T9686" s="18" t="s">
        <v>22191</v>
      </c>
      <c r="U9686" s="18"/>
      <c r="V9686" s="18"/>
      <c r="W9686" s="18" t="s">
        <v>22192</v>
      </c>
      <c r="X9686" s="18" t="s">
        <v>35</v>
      </c>
      <c r="Y9686" s="18" t="s">
        <v>17171</v>
      </c>
      <c r="Z9686" s="18" t="s">
        <v>697</v>
      </c>
      <c r="AA9686" s="21" t="str">
        <f>HYPERLINK("https://www.ncbi.nlm.nih.gov/nuccore/BK014073","NCBI Nucleotide")</f>
        <v>NCBI Nucleotide</v>
      </c>
    </row>
    <row r="9687" spans="1:27" x14ac:dyDescent="0.35">
      <c r="A9687">
        <v>1026597</v>
      </c>
      <c r="B9687">
        <v>9012</v>
      </c>
      <c r="C9687">
        <v>1</v>
      </c>
      <c r="D9687" s="17" t="s">
        <v>17166</v>
      </c>
      <c r="E9687" s="17"/>
      <c r="F9687" s="17" t="s">
        <v>17246</v>
      </c>
      <c r="G9687" s="17"/>
      <c r="H9687" s="17" t="s">
        <v>20919</v>
      </c>
      <c r="I9687" s="17"/>
      <c r="J9687" s="17" t="s">
        <v>21313</v>
      </c>
      <c r="K9687" s="17"/>
      <c r="L9687" s="17" t="s">
        <v>21326</v>
      </c>
      <c r="M9687" s="17"/>
      <c r="N9687" s="17" t="s">
        <v>21577</v>
      </c>
      <c r="O9687" s="17"/>
      <c r="P9687" s="17" t="s">
        <v>43683</v>
      </c>
      <c r="Q9687" s="17"/>
      <c r="R9687" s="25" t="str">
        <f>HYPERLINK("https://ictv.global/taxonomy/taxondetails?taxnode_id=202316540","Nohrdovirus segetenecus")</f>
        <v>Nohrdovirus segetenecus</v>
      </c>
      <c r="S9687" s="18" t="s">
        <v>30</v>
      </c>
      <c r="T9687" s="18" t="s">
        <v>43688</v>
      </c>
      <c r="U9687" s="18"/>
      <c r="V9687" s="18"/>
      <c r="W9687" s="18" t="s">
        <v>43689</v>
      </c>
      <c r="X9687" s="18" t="s">
        <v>35</v>
      </c>
      <c r="Y9687" s="18" t="s">
        <v>17171</v>
      </c>
      <c r="Z9687" s="18" t="s">
        <v>24637</v>
      </c>
      <c r="AA9687" s="21" t="str">
        <f>HYPERLINK("https://www.ncbi.nlm.nih.gov/nuccore/CASDWV010002775","NCBI Nucleotide")</f>
        <v>NCBI Nucleotide</v>
      </c>
    </row>
    <row r="9688" spans="1:27" x14ac:dyDescent="0.35">
      <c r="A9688">
        <v>1026598</v>
      </c>
      <c r="B9688">
        <v>9013</v>
      </c>
      <c r="C9688">
        <v>1</v>
      </c>
      <c r="D9688" s="17" t="s">
        <v>17166</v>
      </c>
      <c r="E9688" s="17"/>
      <c r="F9688" s="17" t="s">
        <v>17246</v>
      </c>
      <c r="G9688" s="17"/>
      <c r="H9688" s="17" t="s">
        <v>20919</v>
      </c>
      <c r="I9688" s="17"/>
      <c r="J9688" s="17" t="s">
        <v>21313</v>
      </c>
      <c r="K9688" s="17"/>
      <c r="L9688" s="17" t="s">
        <v>21326</v>
      </c>
      <c r="M9688" s="17"/>
      <c r="N9688" s="17" t="s">
        <v>21577</v>
      </c>
      <c r="O9688" s="17"/>
      <c r="P9688" s="17" t="s">
        <v>43683</v>
      </c>
      <c r="Q9688" s="17"/>
      <c r="R9688" s="25" t="str">
        <f>HYPERLINK("https://ictv.global/taxonomy/taxondetails?taxnode_id=202316541","Nohrdovirus soladaptatum")</f>
        <v>Nohrdovirus soladaptatum</v>
      </c>
      <c r="S9688" s="18" t="s">
        <v>30</v>
      </c>
      <c r="T9688" s="18" t="s">
        <v>43690</v>
      </c>
      <c r="U9688" s="18"/>
      <c r="V9688" s="18"/>
      <c r="W9688" s="18" t="s">
        <v>43691</v>
      </c>
      <c r="X9688" s="18" t="s">
        <v>35</v>
      </c>
      <c r="Y9688" s="18" t="s">
        <v>17171</v>
      </c>
      <c r="Z9688" s="18" t="s">
        <v>24637</v>
      </c>
      <c r="AA9688" s="21" t="str">
        <f>HYPERLINK("https://www.ncbi.nlm.nih.gov/nuccore/CASDWV010002381","NCBI Nucleotide")</f>
        <v>NCBI Nucleotide</v>
      </c>
    </row>
    <row r="9689" spans="1:27" x14ac:dyDescent="0.35">
      <c r="A9689">
        <v>1026601</v>
      </c>
      <c r="B9689">
        <v>9014</v>
      </c>
      <c r="C9689">
        <v>1</v>
      </c>
      <c r="D9689" s="17" t="s">
        <v>17166</v>
      </c>
      <c r="E9689" s="17"/>
      <c r="F9689" s="17" t="s">
        <v>17246</v>
      </c>
      <c r="G9689" s="17"/>
      <c r="H9689" s="17" t="s">
        <v>20919</v>
      </c>
      <c r="I9689" s="17"/>
      <c r="J9689" s="17" t="s">
        <v>21313</v>
      </c>
      <c r="K9689" s="17"/>
      <c r="L9689" s="17" t="s">
        <v>21326</v>
      </c>
      <c r="M9689" s="17"/>
      <c r="N9689" s="17" t="s">
        <v>21577</v>
      </c>
      <c r="O9689" s="17"/>
      <c r="P9689" s="17" t="s">
        <v>43692</v>
      </c>
      <c r="Q9689" s="17"/>
      <c r="R9689" s="25" t="str">
        <f>HYPERLINK("https://ictv.global/taxonomy/taxondetails?taxnode_id=202316542","Northevirus chthonadaptatum")</f>
        <v>Northevirus chthonadaptatum</v>
      </c>
      <c r="S9689" s="18" t="s">
        <v>30</v>
      </c>
      <c r="T9689" s="18" t="s">
        <v>43693</v>
      </c>
      <c r="U9689" s="18"/>
      <c r="V9689" s="18"/>
      <c r="W9689" s="18" t="s">
        <v>43694</v>
      </c>
      <c r="X9689" s="18" t="s">
        <v>35</v>
      </c>
      <c r="Y9689" s="18" t="s">
        <v>17171</v>
      </c>
      <c r="Z9689" s="18" t="s">
        <v>24637</v>
      </c>
      <c r="AA9689" s="21" t="str">
        <f>HYPERLINK("https://www.ncbi.nlm.nih.gov/nuccore/CASDWV010001312","NCBI Nucleotide")</f>
        <v>NCBI Nucleotide</v>
      </c>
    </row>
    <row r="9690" spans="1:27" x14ac:dyDescent="0.35">
      <c r="A9690">
        <v>1026602</v>
      </c>
      <c r="B9690">
        <v>9015</v>
      </c>
      <c r="C9690">
        <v>1</v>
      </c>
      <c r="D9690" s="17" t="s">
        <v>17166</v>
      </c>
      <c r="E9690" s="17"/>
      <c r="F9690" s="17" t="s">
        <v>17246</v>
      </c>
      <c r="G9690" s="17"/>
      <c r="H9690" s="17" t="s">
        <v>20919</v>
      </c>
      <c r="I9690" s="17"/>
      <c r="J9690" s="17" t="s">
        <v>21313</v>
      </c>
      <c r="K9690" s="17"/>
      <c r="L9690" s="17" t="s">
        <v>21326</v>
      </c>
      <c r="M9690" s="17"/>
      <c r="N9690" s="17" t="s">
        <v>21577</v>
      </c>
      <c r="O9690" s="17"/>
      <c r="P9690" s="17" t="s">
        <v>43692</v>
      </c>
      <c r="Q9690" s="17"/>
      <c r="R9690" s="25" t="str">
        <f>HYPERLINK("https://ictv.global/taxonomy/taxondetails?taxnode_id=202316543","Northevirus limihabitans")</f>
        <v>Northevirus limihabitans</v>
      </c>
      <c r="S9690" s="18" t="s">
        <v>30</v>
      </c>
      <c r="T9690" s="18" t="s">
        <v>43695</v>
      </c>
      <c r="U9690" s="18"/>
      <c r="V9690" s="18"/>
      <c r="W9690" s="18" t="s">
        <v>43696</v>
      </c>
      <c r="X9690" s="18" t="s">
        <v>35</v>
      </c>
      <c r="Y9690" s="18" t="s">
        <v>17171</v>
      </c>
      <c r="Z9690" s="18" t="s">
        <v>24637</v>
      </c>
      <c r="AA9690" s="21" t="str">
        <f>HYPERLINK("https://www.ncbi.nlm.nih.gov/nuccore/CASDWV010002227","NCBI Nucleotide")</f>
        <v>NCBI Nucleotide</v>
      </c>
    </row>
    <row r="9691" spans="1:27" x14ac:dyDescent="0.35">
      <c r="A9691">
        <v>1026603</v>
      </c>
      <c r="B9691">
        <v>9016</v>
      </c>
      <c r="C9691">
        <v>1</v>
      </c>
      <c r="D9691" s="17" t="s">
        <v>17166</v>
      </c>
      <c r="E9691" s="17"/>
      <c r="F9691" s="17" t="s">
        <v>17246</v>
      </c>
      <c r="G9691" s="17"/>
      <c r="H9691" s="17" t="s">
        <v>20919</v>
      </c>
      <c r="I9691" s="17"/>
      <c r="J9691" s="17" t="s">
        <v>21313</v>
      </c>
      <c r="K9691" s="17"/>
      <c r="L9691" s="17" t="s">
        <v>21326</v>
      </c>
      <c r="M9691" s="17"/>
      <c r="N9691" s="17" t="s">
        <v>21577</v>
      </c>
      <c r="O9691" s="17"/>
      <c r="P9691" s="17" t="s">
        <v>43692</v>
      </c>
      <c r="Q9691" s="17"/>
      <c r="R9691" s="25" t="str">
        <f>HYPERLINK("https://ictv.global/taxonomy/taxondetails?taxnode_id=202316544","Northevirus limivivens")</f>
        <v>Northevirus limivivens</v>
      </c>
      <c r="S9691" s="18" t="s">
        <v>30</v>
      </c>
      <c r="T9691" s="18" t="s">
        <v>43697</v>
      </c>
      <c r="U9691" s="18"/>
      <c r="V9691" s="18"/>
      <c r="W9691" s="18" t="s">
        <v>43698</v>
      </c>
      <c r="X9691" s="18" t="s">
        <v>35</v>
      </c>
      <c r="Y9691" s="18" t="s">
        <v>17171</v>
      </c>
      <c r="Z9691" s="18" t="s">
        <v>24637</v>
      </c>
      <c r="AA9691" s="21" t="str">
        <f>HYPERLINK("https://www.ncbi.nlm.nih.gov/nuccore/CASDWV010004005","NCBI Nucleotide")</f>
        <v>NCBI Nucleotide</v>
      </c>
    </row>
    <row r="9692" spans="1:27" x14ac:dyDescent="0.35">
      <c r="A9692">
        <v>1009634</v>
      </c>
      <c r="B9692">
        <v>9017</v>
      </c>
      <c r="C9692">
        <v>1</v>
      </c>
      <c r="D9692" s="17" t="s">
        <v>17166</v>
      </c>
      <c r="E9692" s="17"/>
      <c r="F9692" s="17" t="s">
        <v>17246</v>
      </c>
      <c r="G9692" s="17"/>
      <c r="H9692" s="17" t="s">
        <v>20919</v>
      </c>
      <c r="I9692" s="17"/>
      <c r="J9692" s="17" t="s">
        <v>21313</v>
      </c>
      <c r="K9692" s="17"/>
      <c r="L9692" s="17" t="s">
        <v>21326</v>
      </c>
      <c r="M9692" s="17"/>
      <c r="N9692" s="17" t="s">
        <v>21577</v>
      </c>
      <c r="O9692" s="17"/>
      <c r="P9692" s="17" t="s">
        <v>22027</v>
      </c>
      <c r="Q9692" s="17"/>
      <c r="R9692" s="25" t="str">
        <f>HYPERLINK("https://ictv.global/taxonomy/taxondetails?taxnode_id=202310512","Oceshuvirus lutenecus")</f>
        <v>Oceshuvirus lutenecus</v>
      </c>
      <c r="S9692" s="18" t="s">
        <v>30</v>
      </c>
      <c r="T9692" s="18" t="s">
        <v>22028</v>
      </c>
      <c r="U9692" s="18"/>
      <c r="V9692" s="18"/>
      <c r="W9692" s="18" t="s">
        <v>22029</v>
      </c>
      <c r="X9692" s="18" t="s">
        <v>35</v>
      </c>
      <c r="Y9692" s="18" t="s">
        <v>17171</v>
      </c>
      <c r="Z9692" s="18" t="s">
        <v>697</v>
      </c>
      <c r="AA9692" s="21" t="str">
        <f>HYPERLINK("https://www.ncbi.nlm.nih.gov/nuccore/BK014191","NCBI Nucleotide")</f>
        <v>NCBI Nucleotide</v>
      </c>
    </row>
    <row r="9693" spans="1:27" x14ac:dyDescent="0.35">
      <c r="A9693">
        <v>1026562</v>
      </c>
      <c r="B9693">
        <v>9018</v>
      </c>
      <c r="C9693">
        <v>1</v>
      </c>
      <c r="D9693" s="17" t="s">
        <v>17166</v>
      </c>
      <c r="E9693" s="17"/>
      <c r="F9693" s="17" t="s">
        <v>17246</v>
      </c>
      <c r="G9693" s="17"/>
      <c r="H9693" s="17" t="s">
        <v>20919</v>
      </c>
      <c r="I9693" s="17"/>
      <c r="J9693" s="17" t="s">
        <v>21313</v>
      </c>
      <c r="K9693" s="17"/>
      <c r="L9693" s="17" t="s">
        <v>21326</v>
      </c>
      <c r="M9693" s="17"/>
      <c r="N9693" s="17" t="s">
        <v>21577</v>
      </c>
      <c r="O9693" s="17"/>
      <c r="P9693" s="17" t="s">
        <v>43699</v>
      </c>
      <c r="Q9693" s="17"/>
      <c r="R9693" s="25" t="str">
        <f>HYPERLINK("https://ictv.global/taxonomy/taxondetails?taxnode_id=202316545","Oldperovirus radicihabitans")</f>
        <v>Oldperovirus radicihabitans</v>
      </c>
      <c r="S9693" s="18" t="s">
        <v>30</v>
      </c>
      <c r="T9693" s="18" t="s">
        <v>43700</v>
      </c>
      <c r="U9693" s="18"/>
      <c r="V9693" s="18"/>
      <c r="W9693" s="18" t="s">
        <v>43701</v>
      </c>
      <c r="X9693" s="18" t="s">
        <v>35</v>
      </c>
      <c r="Y9693" s="18" t="s">
        <v>17171</v>
      </c>
      <c r="Z9693" s="18" t="s">
        <v>24637</v>
      </c>
      <c r="AA9693" s="21" t="str">
        <f>HYPERLINK("https://www.ncbi.nlm.nih.gov/nuccore/CASDWV010003931","NCBI Nucleotide")</f>
        <v>NCBI Nucleotide</v>
      </c>
    </row>
    <row r="9694" spans="1:27" x14ac:dyDescent="0.35">
      <c r="A9694">
        <v>1009635</v>
      </c>
      <c r="B9694">
        <v>9019</v>
      </c>
      <c r="C9694">
        <v>1</v>
      </c>
      <c r="D9694" s="17" t="s">
        <v>17166</v>
      </c>
      <c r="E9694" s="17"/>
      <c r="F9694" s="17" t="s">
        <v>17246</v>
      </c>
      <c r="G9694" s="17"/>
      <c r="H9694" s="17" t="s">
        <v>20919</v>
      </c>
      <c r="I9694" s="17"/>
      <c r="J9694" s="17" t="s">
        <v>21313</v>
      </c>
      <c r="K9694" s="17"/>
      <c r="L9694" s="17" t="s">
        <v>21326</v>
      </c>
      <c r="M9694" s="17"/>
      <c r="N9694" s="17" t="s">
        <v>21577</v>
      </c>
      <c r="O9694" s="17"/>
      <c r="P9694" s="17" t="s">
        <v>22030</v>
      </c>
      <c r="Q9694" s="17"/>
      <c r="R9694" s="25" t="str">
        <f>HYPERLINK("https://ictv.global/taxonomy/taxondetails?taxnode_id=202310514","Olmsdivirus lutivivens")</f>
        <v>Olmsdivirus lutivivens</v>
      </c>
      <c r="S9694" s="18" t="s">
        <v>30</v>
      </c>
      <c r="T9694" s="18" t="s">
        <v>22031</v>
      </c>
      <c r="U9694" s="18"/>
      <c r="V9694" s="18"/>
      <c r="W9694" s="18" t="s">
        <v>22032</v>
      </c>
      <c r="X9694" s="18" t="s">
        <v>35</v>
      </c>
      <c r="Y9694" s="18" t="s">
        <v>17171</v>
      </c>
      <c r="Z9694" s="18" t="s">
        <v>697</v>
      </c>
      <c r="AA9694" s="21" t="str">
        <f>HYPERLINK("https://www.ncbi.nlm.nih.gov/nuccore/BK013626","NCBI Nucleotide")</f>
        <v>NCBI Nucleotide</v>
      </c>
    </row>
    <row r="9695" spans="1:27" x14ac:dyDescent="0.35">
      <c r="A9695">
        <v>1009636</v>
      </c>
      <c r="B9695">
        <v>9020</v>
      </c>
      <c r="C9695">
        <v>1</v>
      </c>
      <c r="D9695" s="17" t="s">
        <v>17166</v>
      </c>
      <c r="E9695" s="17"/>
      <c r="F9695" s="17" t="s">
        <v>17246</v>
      </c>
      <c r="G9695" s="17"/>
      <c r="H9695" s="17" t="s">
        <v>20919</v>
      </c>
      <c r="I9695" s="17"/>
      <c r="J9695" s="17" t="s">
        <v>21313</v>
      </c>
      <c r="K9695" s="17"/>
      <c r="L9695" s="17" t="s">
        <v>21326</v>
      </c>
      <c r="M9695" s="17"/>
      <c r="N9695" s="17" t="s">
        <v>21577</v>
      </c>
      <c r="O9695" s="17"/>
      <c r="P9695" s="17" t="s">
        <v>22033</v>
      </c>
      <c r="Q9695" s="17"/>
      <c r="R9695" s="25" t="str">
        <f>HYPERLINK("https://ictv.global/taxonomy/taxondetails?taxnode_id=202310516","Omohevirus peladaptatum")</f>
        <v>Omohevirus peladaptatum</v>
      </c>
      <c r="S9695" s="18" t="s">
        <v>30</v>
      </c>
      <c r="T9695" s="18" t="s">
        <v>22034</v>
      </c>
      <c r="U9695" s="18"/>
      <c r="V9695" s="18"/>
      <c r="W9695" s="18" t="s">
        <v>22035</v>
      </c>
      <c r="X9695" s="18" t="s">
        <v>35</v>
      </c>
      <c r="Y9695" s="18" t="s">
        <v>17171</v>
      </c>
      <c r="Z9695" s="18" t="s">
        <v>697</v>
      </c>
      <c r="AA9695" s="21" t="str">
        <f>HYPERLINK("https://www.ncbi.nlm.nih.gov/nuccore/BK013614","NCBI Nucleotide")</f>
        <v>NCBI Nucleotide</v>
      </c>
    </row>
    <row r="9696" spans="1:27" x14ac:dyDescent="0.35">
      <c r="A9696">
        <v>1009637</v>
      </c>
      <c r="B9696">
        <v>9021</v>
      </c>
      <c r="C9696">
        <v>1</v>
      </c>
      <c r="D9696" s="17" t="s">
        <v>17166</v>
      </c>
      <c r="E9696" s="17"/>
      <c r="F9696" s="17" t="s">
        <v>17246</v>
      </c>
      <c r="G9696" s="17"/>
      <c r="H9696" s="17" t="s">
        <v>20919</v>
      </c>
      <c r="I9696" s="17"/>
      <c r="J9696" s="17" t="s">
        <v>21313</v>
      </c>
      <c r="K9696" s="17"/>
      <c r="L9696" s="17" t="s">
        <v>21326</v>
      </c>
      <c r="M9696" s="17"/>
      <c r="N9696" s="17" t="s">
        <v>21577</v>
      </c>
      <c r="O9696" s="17"/>
      <c r="P9696" s="17" t="s">
        <v>22036</v>
      </c>
      <c r="Q9696" s="17"/>
      <c r="R9696" s="25" t="str">
        <f>HYPERLINK("https://ictv.global/taxonomy/taxondetails?taxnode_id=202310518","Onohmuvirus pelenecus")</f>
        <v>Onohmuvirus pelenecus</v>
      </c>
      <c r="S9696" s="18" t="s">
        <v>30</v>
      </c>
      <c r="T9696" s="18" t="s">
        <v>22037</v>
      </c>
      <c r="U9696" s="18"/>
      <c r="V9696" s="18"/>
      <c r="W9696" s="18" t="s">
        <v>22038</v>
      </c>
      <c r="X9696" s="18" t="s">
        <v>35</v>
      </c>
      <c r="Y9696" s="18" t="s">
        <v>17171</v>
      </c>
      <c r="Z9696" s="18" t="s">
        <v>697</v>
      </c>
      <c r="AA9696" s="21" t="str">
        <f>HYPERLINK("https://www.ncbi.nlm.nih.gov/nuccore/BK014197","NCBI Nucleotide")</f>
        <v>NCBI Nucleotide</v>
      </c>
    </row>
    <row r="9697" spans="1:27" x14ac:dyDescent="0.35">
      <c r="A9697">
        <v>1009638</v>
      </c>
      <c r="B9697">
        <v>9022</v>
      </c>
      <c r="C9697">
        <v>1</v>
      </c>
      <c r="D9697" s="17" t="s">
        <v>17166</v>
      </c>
      <c r="E9697" s="17"/>
      <c r="F9697" s="17" t="s">
        <v>17246</v>
      </c>
      <c r="G9697" s="17"/>
      <c r="H9697" s="17" t="s">
        <v>20919</v>
      </c>
      <c r="I9697" s="17"/>
      <c r="J9697" s="17" t="s">
        <v>21313</v>
      </c>
      <c r="K9697" s="17"/>
      <c r="L9697" s="17" t="s">
        <v>21326</v>
      </c>
      <c r="M9697" s="17"/>
      <c r="N9697" s="17" t="s">
        <v>21577</v>
      </c>
      <c r="O9697" s="17"/>
      <c r="P9697" s="17" t="s">
        <v>22039</v>
      </c>
      <c r="Q9697" s="17"/>
      <c r="R9697" s="25" t="str">
        <f>HYPERLINK("https://ictv.global/taxonomy/taxondetails?taxnode_id=202310520","Opdykovirus pelocola")</f>
        <v>Opdykovirus pelocola</v>
      </c>
      <c r="S9697" s="18" t="s">
        <v>30</v>
      </c>
      <c r="T9697" s="18" t="s">
        <v>22040</v>
      </c>
      <c r="U9697" s="18"/>
      <c r="V9697" s="18"/>
      <c r="W9697" s="18" t="s">
        <v>22041</v>
      </c>
      <c r="X9697" s="18" t="s">
        <v>35</v>
      </c>
      <c r="Y9697" s="18" t="s">
        <v>17171</v>
      </c>
      <c r="Z9697" s="18" t="s">
        <v>697</v>
      </c>
      <c r="AA9697" s="21" t="str">
        <f>HYPERLINK("https://www.ncbi.nlm.nih.gov/nuccore/BK014172","NCBI Nucleotide")</f>
        <v>NCBI Nucleotide</v>
      </c>
    </row>
    <row r="9698" spans="1:27" x14ac:dyDescent="0.35">
      <c r="A9698">
        <v>1026637</v>
      </c>
      <c r="B9698">
        <v>9023</v>
      </c>
      <c r="C9698">
        <v>1</v>
      </c>
      <c r="D9698" s="17" t="s">
        <v>17166</v>
      </c>
      <c r="E9698" s="17"/>
      <c r="F9698" s="17" t="s">
        <v>17246</v>
      </c>
      <c r="G9698" s="17"/>
      <c r="H9698" s="17" t="s">
        <v>20919</v>
      </c>
      <c r="I9698" s="17"/>
      <c r="J9698" s="17" t="s">
        <v>21313</v>
      </c>
      <c r="K9698" s="17"/>
      <c r="L9698" s="17" t="s">
        <v>21326</v>
      </c>
      <c r="M9698" s="17"/>
      <c r="N9698" s="17" t="s">
        <v>21577</v>
      </c>
      <c r="O9698" s="17"/>
      <c r="P9698" s="17" t="s">
        <v>43702</v>
      </c>
      <c r="Q9698" s="17"/>
      <c r="R9698" s="25" t="str">
        <f>HYPERLINK("https://ictv.global/taxonomy/taxondetails?taxnode_id=202316546","Overwhuvirus caenihabitans")</f>
        <v>Overwhuvirus caenihabitans</v>
      </c>
      <c r="S9698" s="18" t="s">
        <v>30</v>
      </c>
      <c r="T9698" s="18" t="s">
        <v>43703</v>
      </c>
      <c r="U9698" s="18"/>
      <c r="V9698" s="18"/>
      <c r="W9698" s="18" t="s">
        <v>43704</v>
      </c>
      <c r="X9698" s="18" t="s">
        <v>35</v>
      </c>
      <c r="Y9698" s="18" t="s">
        <v>17171</v>
      </c>
      <c r="Z9698" s="18" t="s">
        <v>24637</v>
      </c>
      <c r="AA9698" s="21" t="str">
        <f>HYPERLINK("https://www.ncbi.nlm.nih.gov/nuccore/CASDWV010000002","NCBI Nucleotide")</f>
        <v>NCBI Nucleotide</v>
      </c>
    </row>
    <row r="9699" spans="1:27" x14ac:dyDescent="0.35">
      <c r="A9699">
        <v>1026646</v>
      </c>
      <c r="B9699">
        <v>9024</v>
      </c>
      <c r="C9699">
        <v>1</v>
      </c>
      <c r="D9699" s="17" t="s">
        <v>17166</v>
      </c>
      <c r="E9699" s="17"/>
      <c r="F9699" s="17" t="s">
        <v>17246</v>
      </c>
      <c r="G9699" s="17"/>
      <c r="H9699" s="17" t="s">
        <v>20919</v>
      </c>
      <c r="I9699" s="17"/>
      <c r="J9699" s="17" t="s">
        <v>21313</v>
      </c>
      <c r="K9699" s="17"/>
      <c r="L9699" s="17" t="s">
        <v>21326</v>
      </c>
      <c r="M9699" s="17"/>
      <c r="N9699" s="17" t="s">
        <v>21577</v>
      </c>
      <c r="O9699" s="17"/>
      <c r="P9699" s="17" t="s">
        <v>22042</v>
      </c>
      <c r="Q9699" s="17"/>
      <c r="R9699" s="25" t="str">
        <f>HYPERLINK("https://ictv.global/taxonomy/taxondetails?taxnode_id=202316547","Owenocuvirus choradaptatum")</f>
        <v>Owenocuvirus choradaptatum</v>
      </c>
      <c r="S9699" s="18" t="s">
        <v>30</v>
      </c>
      <c r="T9699" s="18" t="s">
        <v>43705</v>
      </c>
      <c r="U9699" s="18"/>
      <c r="V9699" s="18"/>
      <c r="W9699" s="18" t="s">
        <v>43706</v>
      </c>
      <c r="X9699" s="18" t="s">
        <v>35</v>
      </c>
      <c r="Y9699" s="18" t="s">
        <v>17171</v>
      </c>
      <c r="Z9699" s="18" t="s">
        <v>24637</v>
      </c>
      <c r="AA9699" s="21" t="str">
        <f>HYPERLINK("https://www.ncbi.nlm.nih.gov/nuccore/CASDWV010001141","NCBI Nucleotide")</f>
        <v>NCBI Nucleotide</v>
      </c>
    </row>
    <row r="9700" spans="1:27" x14ac:dyDescent="0.35">
      <c r="A9700">
        <v>1026647</v>
      </c>
      <c r="B9700">
        <v>9025</v>
      </c>
      <c r="C9700">
        <v>1</v>
      </c>
      <c r="D9700" s="17" t="s">
        <v>17166</v>
      </c>
      <c r="E9700" s="17"/>
      <c r="F9700" s="17" t="s">
        <v>17246</v>
      </c>
      <c r="G9700" s="17"/>
      <c r="H9700" s="17" t="s">
        <v>20919</v>
      </c>
      <c r="I9700" s="17"/>
      <c r="J9700" s="17" t="s">
        <v>21313</v>
      </c>
      <c r="K9700" s="17"/>
      <c r="L9700" s="17" t="s">
        <v>21326</v>
      </c>
      <c r="M9700" s="17"/>
      <c r="N9700" s="17" t="s">
        <v>21577</v>
      </c>
      <c r="O9700" s="17"/>
      <c r="P9700" s="17" t="s">
        <v>22042</v>
      </c>
      <c r="Q9700" s="17"/>
      <c r="R9700" s="25" t="str">
        <f>HYPERLINK("https://ictv.global/taxonomy/taxondetails?taxnode_id=202316548","Owenocuvirus chthonocola")</f>
        <v>Owenocuvirus chthonocola</v>
      </c>
      <c r="S9700" s="18" t="s">
        <v>30</v>
      </c>
      <c r="T9700" s="18" t="s">
        <v>43707</v>
      </c>
      <c r="U9700" s="18"/>
      <c r="V9700" s="18"/>
      <c r="W9700" s="18" t="s">
        <v>43708</v>
      </c>
      <c r="X9700" s="18" t="s">
        <v>35</v>
      </c>
      <c r="Y9700" s="18" t="s">
        <v>17171</v>
      </c>
      <c r="Z9700" s="18" t="s">
        <v>24637</v>
      </c>
      <c r="AA9700" s="21" t="str">
        <f>HYPERLINK("https://www.ncbi.nlm.nih.gov/nuccore/CASDWV010001557","NCBI Nucleotide")</f>
        <v>NCBI Nucleotide</v>
      </c>
    </row>
    <row r="9701" spans="1:27" x14ac:dyDescent="0.35">
      <c r="A9701">
        <v>1009640</v>
      </c>
      <c r="B9701">
        <v>9026</v>
      </c>
      <c r="C9701">
        <v>1</v>
      </c>
      <c r="D9701" s="17" t="s">
        <v>17166</v>
      </c>
      <c r="E9701" s="17"/>
      <c r="F9701" s="17" t="s">
        <v>17246</v>
      </c>
      <c r="G9701" s="17"/>
      <c r="H9701" s="17" t="s">
        <v>20919</v>
      </c>
      <c r="I9701" s="17"/>
      <c r="J9701" s="17" t="s">
        <v>21313</v>
      </c>
      <c r="K9701" s="17"/>
      <c r="L9701" s="17" t="s">
        <v>21326</v>
      </c>
      <c r="M9701" s="17"/>
      <c r="N9701" s="17" t="s">
        <v>21577</v>
      </c>
      <c r="O9701" s="17"/>
      <c r="P9701" s="17" t="s">
        <v>22042</v>
      </c>
      <c r="Q9701" s="17"/>
      <c r="R9701" s="25" t="str">
        <f>HYPERLINK("https://ictv.global/taxonomy/taxondetails?taxnode_id=202310524","Owenocuvirus pelohabitans")</f>
        <v>Owenocuvirus pelohabitans</v>
      </c>
      <c r="S9701" s="18" t="s">
        <v>30</v>
      </c>
      <c r="T9701" s="18" t="s">
        <v>22043</v>
      </c>
      <c r="U9701" s="18"/>
      <c r="V9701" s="18"/>
      <c r="W9701" s="18" t="s">
        <v>22044</v>
      </c>
      <c r="X9701" s="18" t="s">
        <v>35</v>
      </c>
      <c r="Y9701" s="18" t="s">
        <v>17171</v>
      </c>
      <c r="Z9701" s="18" t="s">
        <v>697</v>
      </c>
      <c r="AA9701" s="21" t="str">
        <f>HYPERLINK("https://www.ncbi.nlm.nih.gov/nuccore/BK014170","NCBI Nucleotide")</f>
        <v>NCBI Nucleotide</v>
      </c>
    </row>
    <row r="9702" spans="1:27" x14ac:dyDescent="0.35">
      <c r="A9702">
        <v>1026648</v>
      </c>
      <c r="B9702">
        <v>9027</v>
      </c>
      <c r="C9702">
        <v>1</v>
      </c>
      <c r="D9702" s="17" t="s">
        <v>17166</v>
      </c>
      <c r="E9702" s="17"/>
      <c r="F9702" s="17" t="s">
        <v>17246</v>
      </c>
      <c r="G9702" s="17"/>
      <c r="H9702" s="17" t="s">
        <v>20919</v>
      </c>
      <c r="I9702" s="17"/>
      <c r="J9702" s="17" t="s">
        <v>21313</v>
      </c>
      <c r="K9702" s="17"/>
      <c r="L9702" s="17" t="s">
        <v>21326</v>
      </c>
      <c r="M9702" s="17"/>
      <c r="N9702" s="17" t="s">
        <v>21577</v>
      </c>
      <c r="O9702" s="17"/>
      <c r="P9702" s="17" t="s">
        <v>22045</v>
      </c>
      <c r="Q9702" s="17"/>
      <c r="R9702" s="25" t="str">
        <f>HYPERLINK("https://ictv.global/taxonomy/taxondetails?taxnode_id=202316549","Oxychlovirus arvenecus")</f>
        <v>Oxychlovirus arvenecus</v>
      </c>
      <c r="S9702" s="18" t="s">
        <v>30</v>
      </c>
      <c r="T9702" s="18" t="s">
        <v>43709</v>
      </c>
      <c r="U9702" s="18"/>
      <c r="V9702" s="18"/>
      <c r="W9702" s="18" t="s">
        <v>43710</v>
      </c>
      <c r="X9702" s="18" t="s">
        <v>35</v>
      </c>
      <c r="Y9702" s="18" t="s">
        <v>17171</v>
      </c>
      <c r="Z9702" s="18" t="s">
        <v>24637</v>
      </c>
      <c r="AA9702" s="21" t="str">
        <f>HYPERLINK("https://www.ncbi.nlm.nih.gov/nuccore/CASDWV010001954","NCBI Nucleotide")</f>
        <v>NCBI Nucleotide</v>
      </c>
    </row>
    <row r="9703" spans="1:27" x14ac:dyDescent="0.35">
      <c r="A9703">
        <v>1026649</v>
      </c>
      <c r="B9703">
        <v>9028</v>
      </c>
      <c r="C9703">
        <v>1</v>
      </c>
      <c r="D9703" s="17" t="s">
        <v>17166</v>
      </c>
      <c r="E9703" s="17"/>
      <c r="F9703" s="17" t="s">
        <v>17246</v>
      </c>
      <c r="G9703" s="17"/>
      <c r="H9703" s="17" t="s">
        <v>20919</v>
      </c>
      <c r="I9703" s="17"/>
      <c r="J9703" s="17" t="s">
        <v>21313</v>
      </c>
      <c r="K9703" s="17"/>
      <c r="L9703" s="17" t="s">
        <v>21326</v>
      </c>
      <c r="M9703" s="17"/>
      <c r="N9703" s="17" t="s">
        <v>21577</v>
      </c>
      <c r="O9703" s="17"/>
      <c r="P9703" s="17" t="s">
        <v>22045</v>
      </c>
      <c r="Q9703" s="17"/>
      <c r="R9703" s="25" t="str">
        <f>HYPERLINK("https://ictv.global/taxonomy/taxondetails?taxnode_id=202316550","Oxychlovirus edaphenecus")</f>
        <v>Oxychlovirus edaphenecus</v>
      </c>
      <c r="S9703" s="18" t="s">
        <v>30</v>
      </c>
      <c r="T9703" s="18" t="s">
        <v>43711</v>
      </c>
      <c r="U9703" s="18"/>
      <c r="V9703" s="18"/>
      <c r="W9703" s="18" t="s">
        <v>43712</v>
      </c>
      <c r="X9703" s="18" t="s">
        <v>35</v>
      </c>
      <c r="Y9703" s="18" t="s">
        <v>17171</v>
      </c>
      <c r="Z9703" s="18" t="s">
        <v>24637</v>
      </c>
      <c r="AA9703" s="21" t="str">
        <f>HYPERLINK("https://www.ncbi.nlm.nih.gov/nuccore/CASDWV010003034","NCBI Nucleotide")</f>
        <v>NCBI Nucleotide</v>
      </c>
    </row>
    <row r="9704" spans="1:27" x14ac:dyDescent="0.35">
      <c r="A9704">
        <v>1026650</v>
      </c>
      <c r="B9704">
        <v>9029</v>
      </c>
      <c r="C9704">
        <v>1</v>
      </c>
      <c r="D9704" s="17" t="s">
        <v>17166</v>
      </c>
      <c r="E9704" s="17"/>
      <c r="F9704" s="17" t="s">
        <v>17246</v>
      </c>
      <c r="G9704" s="17"/>
      <c r="H9704" s="17" t="s">
        <v>20919</v>
      </c>
      <c r="I9704" s="17"/>
      <c r="J9704" s="17" t="s">
        <v>21313</v>
      </c>
      <c r="K9704" s="17"/>
      <c r="L9704" s="17" t="s">
        <v>21326</v>
      </c>
      <c r="M9704" s="17"/>
      <c r="N9704" s="17" t="s">
        <v>21577</v>
      </c>
      <c r="O9704" s="17"/>
      <c r="P9704" s="17" t="s">
        <v>22045</v>
      </c>
      <c r="Q9704" s="17"/>
      <c r="R9704" s="25" t="str">
        <f>HYPERLINK("https://ictv.global/taxonomy/taxondetails?taxnode_id=202316551","Oxychlovirus geoenecus")</f>
        <v>Oxychlovirus geoenecus</v>
      </c>
      <c r="S9704" s="18" t="s">
        <v>30</v>
      </c>
      <c r="T9704" s="18" t="s">
        <v>43713</v>
      </c>
      <c r="U9704" s="18"/>
      <c r="V9704" s="18"/>
      <c r="W9704" s="18" t="s">
        <v>43714</v>
      </c>
      <c r="X9704" s="18" t="s">
        <v>35</v>
      </c>
      <c r="Y9704" s="18" t="s">
        <v>17171</v>
      </c>
      <c r="Z9704" s="18" t="s">
        <v>24637</v>
      </c>
      <c r="AA9704" s="21" t="str">
        <f>HYPERLINK("https://www.ncbi.nlm.nih.gov/nuccore/CASDWV010004422","NCBI Nucleotide")</f>
        <v>NCBI Nucleotide</v>
      </c>
    </row>
    <row r="9705" spans="1:27" x14ac:dyDescent="0.35">
      <c r="A9705">
        <v>1009641</v>
      </c>
      <c r="B9705">
        <v>9030</v>
      </c>
      <c r="C9705">
        <v>1</v>
      </c>
      <c r="D9705" s="17" t="s">
        <v>17166</v>
      </c>
      <c r="E9705" s="17"/>
      <c r="F9705" s="17" t="s">
        <v>17246</v>
      </c>
      <c r="G9705" s="17"/>
      <c r="H9705" s="17" t="s">
        <v>20919</v>
      </c>
      <c r="I9705" s="17"/>
      <c r="J9705" s="17" t="s">
        <v>21313</v>
      </c>
      <c r="K9705" s="17"/>
      <c r="L9705" s="17" t="s">
        <v>21326</v>
      </c>
      <c r="M9705" s="17"/>
      <c r="N9705" s="17" t="s">
        <v>21577</v>
      </c>
      <c r="O9705" s="17"/>
      <c r="P9705" s="17" t="s">
        <v>22045</v>
      </c>
      <c r="Q9705" s="17"/>
      <c r="R9705" s="25" t="str">
        <f>HYPERLINK("https://ictv.global/taxonomy/taxondetails?taxnode_id=202310531","Oxychlovirus humadaptatum")</f>
        <v>Oxychlovirus humadaptatum</v>
      </c>
      <c r="S9705" s="18" t="s">
        <v>30</v>
      </c>
      <c r="T9705" s="18" t="s">
        <v>22046</v>
      </c>
      <c r="U9705" s="18"/>
      <c r="V9705" s="18"/>
      <c r="W9705" s="18" t="s">
        <v>22047</v>
      </c>
      <c r="X9705" s="18" t="s">
        <v>35</v>
      </c>
      <c r="Y9705" s="18" t="s">
        <v>17171</v>
      </c>
      <c r="Z9705" s="18" t="s">
        <v>697</v>
      </c>
      <c r="AA9705" s="21" t="str">
        <f>HYPERLINK("https://www.ncbi.nlm.nih.gov/nuccore/BK013491","NCBI Nucleotide")</f>
        <v>NCBI Nucleotide</v>
      </c>
    </row>
    <row r="9706" spans="1:27" x14ac:dyDescent="0.35">
      <c r="A9706">
        <v>1026651</v>
      </c>
      <c r="B9706">
        <v>9031</v>
      </c>
      <c r="C9706">
        <v>1</v>
      </c>
      <c r="D9706" s="17" t="s">
        <v>17166</v>
      </c>
      <c r="E9706" s="17"/>
      <c r="F9706" s="17" t="s">
        <v>17246</v>
      </c>
      <c r="G9706" s="17"/>
      <c r="H9706" s="17" t="s">
        <v>20919</v>
      </c>
      <c r="I9706" s="17"/>
      <c r="J9706" s="17" t="s">
        <v>21313</v>
      </c>
      <c r="K9706" s="17"/>
      <c r="L9706" s="17" t="s">
        <v>21326</v>
      </c>
      <c r="M9706" s="17"/>
      <c r="N9706" s="17" t="s">
        <v>21577</v>
      </c>
      <c r="O9706" s="17"/>
      <c r="P9706" s="17" t="s">
        <v>22045</v>
      </c>
      <c r="Q9706" s="17"/>
      <c r="R9706" s="25" t="str">
        <f>HYPERLINK("https://ictv.global/taxonomy/taxondetails?taxnode_id=202316552","Oxychlovirus humenecus")</f>
        <v>Oxychlovirus humenecus</v>
      </c>
      <c r="S9706" s="18" t="s">
        <v>30</v>
      </c>
      <c r="T9706" s="18" t="s">
        <v>43715</v>
      </c>
      <c r="U9706" s="18"/>
      <c r="V9706" s="18"/>
      <c r="W9706" s="18" t="s">
        <v>43716</v>
      </c>
      <c r="X9706" s="18" t="s">
        <v>35</v>
      </c>
      <c r="Y9706" s="18" t="s">
        <v>17171</v>
      </c>
      <c r="Z9706" s="18" t="s">
        <v>24637</v>
      </c>
      <c r="AA9706" s="21" t="str">
        <f>HYPERLINK("https://www.ncbi.nlm.nih.gov/nuccore/CASDWV010002058","NCBI Nucleotide")</f>
        <v>NCBI Nucleotide</v>
      </c>
    </row>
    <row r="9707" spans="1:27" x14ac:dyDescent="0.35">
      <c r="A9707">
        <v>1026652</v>
      </c>
      <c r="B9707">
        <v>9032</v>
      </c>
      <c r="C9707">
        <v>1</v>
      </c>
      <c r="D9707" s="17" t="s">
        <v>17166</v>
      </c>
      <c r="E9707" s="17"/>
      <c r="F9707" s="17" t="s">
        <v>17246</v>
      </c>
      <c r="G9707" s="17"/>
      <c r="H9707" s="17" t="s">
        <v>20919</v>
      </c>
      <c r="I9707" s="17"/>
      <c r="J9707" s="17" t="s">
        <v>21313</v>
      </c>
      <c r="K9707" s="17"/>
      <c r="L9707" s="17" t="s">
        <v>21326</v>
      </c>
      <c r="M9707" s="17"/>
      <c r="N9707" s="17" t="s">
        <v>21577</v>
      </c>
      <c r="O9707" s="17"/>
      <c r="P9707" s="17" t="s">
        <v>22045</v>
      </c>
      <c r="Q9707" s="17"/>
      <c r="R9707" s="25" t="str">
        <f>HYPERLINK("https://ictv.global/taxonomy/taxondetails?taxnode_id=202316553","Oxychlovirus humihabitans")</f>
        <v>Oxychlovirus humihabitans</v>
      </c>
      <c r="S9707" s="18" t="s">
        <v>30</v>
      </c>
      <c r="T9707" s="18" t="s">
        <v>43717</v>
      </c>
      <c r="U9707" s="18"/>
      <c r="V9707" s="18"/>
      <c r="W9707" s="18" t="s">
        <v>43718</v>
      </c>
      <c r="X9707" s="18" t="s">
        <v>35</v>
      </c>
      <c r="Y9707" s="18" t="s">
        <v>17171</v>
      </c>
      <c r="Z9707" s="18" t="s">
        <v>24637</v>
      </c>
      <c r="AA9707" s="21" t="str">
        <f>HYPERLINK("https://www.ncbi.nlm.nih.gov/nuccore/CASDWV010001227","NCBI Nucleotide")</f>
        <v>NCBI Nucleotide</v>
      </c>
    </row>
    <row r="9708" spans="1:27" x14ac:dyDescent="0.35">
      <c r="A9708">
        <v>1026653</v>
      </c>
      <c r="B9708">
        <v>9033</v>
      </c>
      <c r="C9708">
        <v>1</v>
      </c>
      <c r="D9708" s="17" t="s">
        <v>17166</v>
      </c>
      <c r="E9708" s="17"/>
      <c r="F9708" s="17" t="s">
        <v>17246</v>
      </c>
      <c r="G9708" s="17"/>
      <c r="H9708" s="17" t="s">
        <v>20919</v>
      </c>
      <c r="I9708" s="17"/>
      <c r="J9708" s="17" t="s">
        <v>21313</v>
      </c>
      <c r="K9708" s="17"/>
      <c r="L9708" s="17" t="s">
        <v>21326</v>
      </c>
      <c r="M9708" s="17"/>
      <c r="N9708" s="17" t="s">
        <v>21577</v>
      </c>
      <c r="O9708" s="17"/>
      <c r="P9708" s="17" t="s">
        <v>22045</v>
      </c>
      <c r="Q9708" s="17"/>
      <c r="R9708" s="25" t="str">
        <f>HYPERLINK("https://ictv.global/taxonomy/taxondetails?taxnode_id=202316554","Oxychlovirus limadaptatum")</f>
        <v>Oxychlovirus limadaptatum</v>
      </c>
      <c r="S9708" s="18" t="s">
        <v>30</v>
      </c>
      <c r="T9708" s="18" t="s">
        <v>43719</v>
      </c>
      <c r="U9708" s="18"/>
      <c r="V9708" s="18"/>
      <c r="W9708" s="18" t="s">
        <v>43720</v>
      </c>
      <c r="X9708" s="18" t="s">
        <v>35</v>
      </c>
      <c r="Y9708" s="18" t="s">
        <v>17171</v>
      </c>
      <c r="Z9708" s="18" t="s">
        <v>24637</v>
      </c>
      <c r="AA9708" s="21" t="str">
        <f>HYPERLINK("https://www.ncbi.nlm.nih.gov/nuccore/CASDWV010003848","NCBI Nucleotide")</f>
        <v>NCBI Nucleotide</v>
      </c>
    </row>
    <row r="9709" spans="1:27" x14ac:dyDescent="0.35">
      <c r="A9709">
        <v>1026654</v>
      </c>
      <c r="B9709">
        <v>9034</v>
      </c>
      <c r="C9709">
        <v>1</v>
      </c>
      <c r="D9709" s="17" t="s">
        <v>17166</v>
      </c>
      <c r="E9709" s="17"/>
      <c r="F9709" s="17" t="s">
        <v>17246</v>
      </c>
      <c r="G9709" s="17"/>
      <c r="H9709" s="17" t="s">
        <v>20919</v>
      </c>
      <c r="I9709" s="17"/>
      <c r="J9709" s="17" t="s">
        <v>21313</v>
      </c>
      <c r="K9709" s="17"/>
      <c r="L9709" s="17" t="s">
        <v>21326</v>
      </c>
      <c r="M9709" s="17"/>
      <c r="N9709" s="17" t="s">
        <v>21577</v>
      </c>
      <c r="O9709" s="17"/>
      <c r="P9709" s="17" t="s">
        <v>22045</v>
      </c>
      <c r="Q9709" s="17"/>
      <c r="R9709" s="25" t="str">
        <f>HYPERLINK("https://ictv.global/taxonomy/taxondetails?taxnode_id=202316555","Oxychlovirus montisadaptatum")</f>
        <v>Oxychlovirus montisadaptatum</v>
      </c>
      <c r="S9709" s="18" t="s">
        <v>30</v>
      </c>
      <c r="T9709" s="18" t="s">
        <v>43721</v>
      </c>
      <c r="U9709" s="18"/>
      <c r="V9709" s="18" t="s">
        <v>43721</v>
      </c>
      <c r="W9709" s="18" t="s">
        <v>43722</v>
      </c>
      <c r="X9709" s="18" t="s">
        <v>35</v>
      </c>
      <c r="Y9709" s="18" t="s">
        <v>17171</v>
      </c>
      <c r="Z9709" s="18" t="s">
        <v>24637</v>
      </c>
      <c r="AA9709" s="21" t="str">
        <f>HYPERLINK("https://www.ncbi.nlm.nih.gov/nuccore/MZ679756","NCBI Nucleotide")</f>
        <v>NCBI Nucleotide</v>
      </c>
    </row>
    <row r="9710" spans="1:27" x14ac:dyDescent="0.35">
      <c r="A9710">
        <v>1026655</v>
      </c>
      <c r="B9710">
        <v>9035</v>
      </c>
      <c r="C9710">
        <v>1</v>
      </c>
      <c r="D9710" s="17" t="s">
        <v>17166</v>
      </c>
      <c r="E9710" s="17"/>
      <c r="F9710" s="17" t="s">
        <v>17246</v>
      </c>
      <c r="G9710" s="17"/>
      <c r="H9710" s="17" t="s">
        <v>20919</v>
      </c>
      <c r="I9710" s="17"/>
      <c r="J9710" s="17" t="s">
        <v>21313</v>
      </c>
      <c r="K9710" s="17"/>
      <c r="L9710" s="17" t="s">
        <v>21326</v>
      </c>
      <c r="M9710" s="17"/>
      <c r="N9710" s="17" t="s">
        <v>21577</v>
      </c>
      <c r="O9710" s="17"/>
      <c r="P9710" s="17" t="s">
        <v>22045</v>
      </c>
      <c r="Q9710" s="17"/>
      <c r="R9710" s="25" t="str">
        <f>HYPERLINK("https://ictv.global/taxonomy/taxondetails?taxnode_id=202316556","Oxychlovirus pedocola")</f>
        <v>Oxychlovirus pedocola</v>
      </c>
      <c r="S9710" s="18" t="s">
        <v>30</v>
      </c>
      <c r="T9710" s="18" t="s">
        <v>43723</v>
      </c>
      <c r="U9710" s="18"/>
      <c r="V9710" s="18"/>
      <c r="W9710" s="18" t="s">
        <v>43724</v>
      </c>
      <c r="X9710" s="18" t="s">
        <v>35</v>
      </c>
      <c r="Y9710" s="18" t="s">
        <v>17171</v>
      </c>
      <c r="Z9710" s="18" t="s">
        <v>24637</v>
      </c>
      <c r="AA9710" s="21" t="str">
        <f>HYPERLINK("https://www.ncbi.nlm.nih.gov/nuccore/CASDWV010000089","NCBI Nucleotide")</f>
        <v>NCBI Nucleotide</v>
      </c>
    </row>
    <row r="9711" spans="1:27" x14ac:dyDescent="0.35">
      <c r="A9711">
        <v>1026656</v>
      </c>
      <c r="B9711">
        <v>9036</v>
      </c>
      <c r="C9711">
        <v>1</v>
      </c>
      <c r="D9711" s="17" t="s">
        <v>17166</v>
      </c>
      <c r="E9711" s="17"/>
      <c r="F9711" s="17" t="s">
        <v>17246</v>
      </c>
      <c r="G9711" s="17"/>
      <c r="H9711" s="17" t="s">
        <v>20919</v>
      </c>
      <c r="I9711" s="17"/>
      <c r="J9711" s="17" t="s">
        <v>21313</v>
      </c>
      <c r="K9711" s="17"/>
      <c r="L9711" s="17" t="s">
        <v>21326</v>
      </c>
      <c r="M9711" s="17"/>
      <c r="N9711" s="17" t="s">
        <v>21577</v>
      </c>
      <c r="O9711" s="17"/>
      <c r="P9711" s="17" t="s">
        <v>22045</v>
      </c>
      <c r="Q9711" s="17"/>
      <c r="R9711" s="25" t="str">
        <f>HYPERLINK("https://ictv.global/taxonomy/taxondetails?taxnode_id=202316557","Oxychlovirus pelocola")</f>
        <v>Oxychlovirus pelocola</v>
      </c>
      <c r="S9711" s="18" t="s">
        <v>30</v>
      </c>
      <c r="T9711" s="18" t="s">
        <v>43725</v>
      </c>
      <c r="U9711" s="18"/>
      <c r="V9711" s="18"/>
      <c r="W9711" s="18" t="s">
        <v>43726</v>
      </c>
      <c r="X9711" s="18" t="s">
        <v>35</v>
      </c>
      <c r="Y9711" s="18" t="s">
        <v>17171</v>
      </c>
      <c r="Z9711" s="18" t="s">
        <v>24637</v>
      </c>
      <c r="AA9711" s="21" t="str">
        <f>HYPERLINK("https://www.ncbi.nlm.nih.gov/nuccore/CASDWV010000125","NCBI Nucleotide")</f>
        <v>NCBI Nucleotide</v>
      </c>
    </row>
    <row r="9712" spans="1:27" x14ac:dyDescent="0.35">
      <c r="A9712">
        <v>1009631</v>
      </c>
      <c r="B9712">
        <v>9037</v>
      </c>
      <c r="C9712">
        <v>1</v>
      </c>
      <c r="D9712" s="17" t="s">
        <v>17166</v>
      </c>
      <c r="E9712" s="17"/>
      <c r="F9712" s="17" t="s">
        <v>17246</v>
      </c>
      <c r="G9712" s="17"/>
      <c r="H9712" s="17" t="s">
        <v>20919</v>
      </c>
      <c r="I9712" s="17"/>
      <c r="J9712" s="17" t="s">
        <v>21313</v>
      </c>
      <c r="K9712" s="17"/>
      <c r="L9712" s="17" t="s">
        <v>21326</v>
      </c>
      <c r="M9712" s="17"/>
      <c r="N9712" s="17" t="s">
        <v>21577</v>
      </c>
      <c r="O9712" s="17"/>
      <c r="P9712" s="17" t="s">
        <v>22045</v>
      </c>
      <c r="Q9712" s="17"/>
      <c r="R9712" s="25" t="str">
        <f>HYPERLINK("https://ictv.global/taxonomy/taxondetails?taxnode_id=202310508","Oxychlovirus tellurivicinum")</f>
        <v>Oxychlovirus tellurivicinum</v>
      </c>
      <c r="S9712" s="18" t="s">
        <v>30</v>
      </c>
      <c r="T9712" s="18" t="s">
        <v>22021</v>
      </c>
      <c r="U9712" s="18"/>
      <c r="V9712" s="18"/>
      <c r="W9712" s="18" t="s">
        <v>22022</v>
      </c>
      <c r="X9712" s="18" t="s">
        <v>35</v>
      </c>
      <c r="Y9712" s="18" t="s">
        <v>17171</v>
      </c>
      <c r="Z9712" s="18" t="s">
        <v>697</v>
      </c>
      <c r="AA9712" s="21" t="str">
        <f>HYPERLINK("https://www.ncbi.nlm.nih.gov/nuccore/BK013863","NCBI Nucleotide")</f>
        <v>NCBI Nucleotide</v>
      </c>
    </row>
    <row r="9713" spans="1:27" x14ac:dyDescent="0.35">
      <c r="A9713">
        <v>1009632</v>
      </c>
      <c r="B9713">
        <v>9038</v>
      </c>
      <c r="C9713">
        <v>1</v>
      </c>
      <c r="D9713" s="17" t="s">
        <v>17166</v>
      </c>
      <c r="E9713" s="17"/>
      <c r="F9713" s="17" t="s">
        <v>17246</v>
      </c>
      <c r="G9713" s="17"/>
      <c r="H9713" s="17" t="s">
        <v>20919</v>
      </c>
      <c r="I9713" s="17"/>
      <c r="J9713" s="17" t="s">
        <v>21313</v>
      </c>
      <c r="K9713" s="17"/>
      <c r="L9713" s="17" t="s">
        <v>21326</v>
      </c>
      <c r="M9713" s="17"/>
      <c r="N9713" s="17" t="s">
        <v>21577</v>
      </c>
      <c r="O9713" s="17"/>
      <c r="P9713" s="17" t="s">
        <v>22045</v>
      </c>
      <c r="Q9713" s="17"/>
      <c r="R9713" s="25" t="str">
        <f>HYPERLINK("https://ictv.global/taxonomy/taxondetails?taxnode_id=202310507","Oxychlovirus tellurivivens")</f>
        <v>Oxychlovirus tellurivivens</v>
      </c>
      <c r="S9713" s="18" t="s">
        <v>30</v>
      </c>
      <c r="T9713" s="18" t="s">
        <v>22023</v>
      </c>
      <c r="U9713" s="18"/>
      <c r="V9713" s="18"/>
      <c r="W9713" s="18" t="s">
        <v>22024</v>
      </c>
      <c r="X9713" s="18" t="s">
        <v>35</v>
      </c>
      <c r="Y9713" s="18" t="s">
        <v>17171</v>
      </c>
      <c r="Z9713" s="18" t="s">
        <v>697</v>
      </c>
      <c r="AA9713" s="21" t="str">
        <f>HYPERLINK("https://www.ncbi.nlm.nih.gov/nuccore/BK013395","NCBI Nucleotide")</f>
        <v>NCBI Nucleotide</v>
      </c>
    </row>
    <row r="9714" spans="1:27" x14ac:dyDescent="0.35">
      <c r="A9714">
        <v>1009642</v>
      </c>
      <c r="B9714">
        <v>9039</v>
      </c>
      <c r="C9714">
        <v>1</v>
      </c>
      <c r="D9714" s="17" t="s">
        <v>17166</v>
      </c>
      <c r="E9714" s="17"/>
      <c r="F9714" s="17" t="s">
        <v>17246</v>
      </c>
      <c r="G9714" s="17"/>
      <c r="H9714" s="17" t="s">
        <v>20919</v>
      </c>
      <c r="I9714" s="17"/>
      <c r="J9714" s="17" t="s">
        <v>21313</v>
      </c>
      <c r="K9714" s="17"/>
      <c r="L9714" s="17" t="s">
        <v>21326</v>
      </c>
      <c r="M9714" s="17"/>
      <c r="N9714" s="17" t="s">
        <v>21577</v>
      </c>
      <c r="O9714" s="17"/>
      <c r="P9714" s="17" t="s">
        <v>22045</v>
      </c>
      <c r="Q9714" s="17"/>
      <c r="R9714" s="25" t="str">
        <f>HYPERLINK("https://ictv.global/taxonomy/taxondetails?taxnode_id=202310528","Oxychlovirus terrenecus")</f>
        <v>Oxychlovirus terrenecus</v>
      </c>
      <c r="S9714" s="18" t="s">
        <v>30</v>
      </c>
      <c r="T9714" s="18" t="s">
        <v>22048</v>
      </c>
      <c r="U9714" s="18"/>
      <c r="V9714" s="18"/>
      <c r="W9714" s="18" t="s">
        <v>22049</v>
      </c>
      <c r="X9714" s="18" t="s">
        <v>35</v>
      </c>
      <c r="Y9714" s="18" t="s">
        <v>17171</v>
      </c>
      <c r="Z9714" s="18" t="s">
        <v>697</v>
      </c>
      <c r="AA9714" s="21" t="str">
        <f>HYPERLINK("https://www.ncbi.nlm.nih.gov/nuccore/BK013824","NCBI Nucleotide")</f>
        <v>NCBI Nucleotide</v>
      </c>
    </row>
    <row r="9715" spans="1:27" x14ac:dyDescent="0.35">
      <c r="A9715">
        <v>1009643</v>
      </c>
      <c r="B9715">
        <v>9040</v>
      </c>
      <c r="C9715">
        <v>1</v>
      </c>
      <c r="D9715" s="17" t="s">
        <v>17166</v>
      </c>
      <c r="E9715" s="17"/>
      <c r="F9715" s="17" t="s">
        <v>17246</v>
      </c>
      <c r="G9715" s="17"/>
      <c r="H9715" s="17" t="s">
        <v>20919</v>
      </c>
      <c r="I9715" s="17"/>
      <c r="J9715" s="17" t="s">
        <v>21313</v>
      </c>
      <c r="K9715" s="17"/>
      <c r="L9715" s="17" t="s">
        <v>21326</v>
      </c>
      <c r="M9715" s="17"/>
      <c r="N9715" s="17" t="s">
        <v>21577</v>
      </c>
      <c r="O9715" s="17"/>
      <c r="P9715" s="17" t="s">
        <v>22045</v>
      </c>
      <c r="Q9715" s="17"/>
      <c r="R9715" s="25" t="str">
        <f>HYPERLINK("https://ictv.global/taxonomy/taxondetails?taxnode_id=202310527","Oxychlovirus terricola")</f>
        <v>Oxychlovirus terricola</v>
      </c>
      <c r="S9715" s="18" t="s">
        <v>30</v>
      </c>
      <c r="T9715" s="18" t="s">
        <v>22050</v>
      </c>
      <c r="U9715" s="18"/>
      <c r="V9715" s="18"/>
      <c r="W9715" s="18" t="s">
        <v>22051</v>
      </c>
      <c r="X9715" s="18" t="s">
        <v>35</v>
      </c>
      <c r="Y9715" s="18" t="s">
        <v>17171</v>
      </c>
      <c r="Z9715" s="18" t="s">
        <v>697</v>
      </c>
      <c r="AA9715" s="21" t="str">
        <f>HYPERLINK("https://www.ncbi.nlm.nih.gov/nuccore/BK013983","NCBI Nucleotide")</f>
        <v>NCBI Nucleotide</v>
      </c>
    </row>
    <row r="9716" spans="1:27" x14ac:dyDescent="0.35">
      <c r="A9716">
        <v>1009644</v>
      </c>
      <c r="B9716">
        <v>9041</v>
      </c>
      <c r="C9716">
        <v>1</v>
      </c>
      <c r="D9716" s="17" t="s">
        <v>17166</v>
      </c>
      <c r="E9716" s="17"/>
      <c r="F9716" s="17" t="s">
        <v>17246</v>
      </c>
      <c r="G9716" s="17"/>
      <c r="H9716" s="17" t="s">
        <v>20919</v>
      </c>
      <c r="I9716" s="17"/>
      <c r="J9716" s="17" t="s">
        <v>21313</v>
      </c>
      <c r="K9716" s="17"/>
      <c r="L9716" s="17" t="s">
        <v>21326</v>
      </c>
      <c r="M9716" s="17"/>
      <c r="N9716" s="17" t="s">
        <v>21577</v>
      </c>
      <c r="O9716" s="17"/>
      <c r="P9716" s="17" t="s">
        <v>22045</v>
      </c>
      <c r="Q9716" s="17"/>
      <c r="R9716" s="25" t="str">
        <f>HYPERLINK("https://ictv.global/taxonomy/taxondetails?taxnode_id=202310529","Oxychlovirus terrihabitans")</f>
        <v>Oxychlovirus terrihabitans</v>
      </c>
      <c r="S9716" s="18" t="s">
        <v>30</v>
      </c>
      <c r="T9716" s="18" t="s">
        <v>22052</v>
      </c>
      <c r="U9716" s="18"/>
      <c r="V9716" s="18"/>
      <c r="W9716" s="18" t="s">
        <v>22053</v>
      </c>
      <c r="X9716" s="18" t="s">
        <v>35</v>
      </c>
      <c r="Y9716" s="18" t="s">
        <v>17171</v>
      </c>
      <c r="Z9716" s="18" t="s">
        <v>697</v>
      </c>
      <c r="AA9716" s="21" t="str">
        <f>HYPERLINK("https://www.ncbi.nlm.nih.gov/nuccore/BK013489","NCBI Nucleotide")</f>
        <v>NCBI Nucleotide</v>
      </c>
    </row>
    <row r="9717" spans="1:27" x14ac:dyDescent="0.35">
      <c r="A9717">
        <v>1009645</v>
      </c>
      <c r="B9717">
        <v>9042</v>
      </c>
      <c r="C9717">
        <v>1</v>
      </c>
      <c r="D9717" s="17" t="s">
        <v>17166</v>
      </c>
      <c r="E9717" s="17"/>
      <c r="F9717" s="17" t="s">
        <v>17246</v>
      </c>
      <c r="G9717" s="17"/>
      <c r="H9717" s="17" t="s">
        <v>20919</v>
      </c>
      <c r="I9717" s="17"/>
      <c r="J9717" s="17" t="s">
        <v>21313</v>
      </c>
      <c r="K9717" s="17"/>
      <c r="L9717" s="17" t="s">
        <v>21326</v>
      </c>
      <c r="M9717" s="17"/>
      <c r="N9717" s="17" t="s">
        <v>21577</v>
      </c>
      <c r="O9717" s="17"/>
      <c r="P9717" s="17" t="s">
        <v>22045</v>
      </c>
      <c r="Q9717" s="17"/>
      <c r="R9717" s="25" t="str">
        <f>HYPERLINK("https://ictv.global/taxonomy/taxondetails?taxnode_id=202310530","Oxychlovirus terrivicinum")</f>
        <v>Oxychlovirus terrivicinum</v>
      </c>
      <c r="S9717" s="18" t="s">
        <v>30</v>
      </c>
      <c r="T9717" s="18" t="s">
        <v>22054</v>
      </c>
      <c r="U9717" s="18"/>
      <c r="V9717" s="18"/>
      <c r="W9717" s="18" t="s">
        <v>22055</v>
      </c>
      <c r="X9717" s="18" t="s">
        <v>35</v>
      </c>
      <c r="Y9717" s="18" t="s">
        <v>17171</v>
      </c>
      <c r="Z9717" s="18" t="s">
        <v>697</v>
      </c>
      <c r="AA9717" s="21" t="str">
        <f>HYPERLINK("https://www.ncbi.nlm.nih.gov/nuccore/BK013569","NCBI Nucleotide")</f>
        <v>NCBI Nucleotide</v>
      </c>
    </row>
    <row r="9718" spans="1:27" x14ac:dyDescent="0.35">
      <c r="A9718">
        <v>1009646</v>
      </c>
      <c r="B9718">
        <v>9043</v>
      </c>
      <c r="C9718">
        <v>1</v>
      </c>
      <c r="D9718" s="17" t="s">
        <v>17166</v>
      </c>
      <c r="E9718" s="17"/>
      <c r="F9718" s="17" t="s">
        <v>17246</v>
      </c>
      <c r="G9718" s="17"/>
      <c r="H9718" s="17" t="s">
        <v>20919</v>
      </c>
      <c r="I9718" s="17"/>
      <c r="J9718" s="17" t="s">
        <v>21313</v>
      </c>
      <c r="K9718" s="17"/>
      <c r="L9718" s="17" t="s">
        <v>21326</v>
      </c>
      <c r="M9718" s="17"/>
      <c r="N9718" s="17" t="s">
        <v>21577</v>
      </c>
      <c r="O9718" s="17"/>
      <c r="P9718" s="17" t="s">
        <v>22045</v>
      </c>
      <c r="Q9718" s="17"/>
      <c r="R9718" s="25" t="str">
        <f>HYPERLINK("https://ictv.global/taxonomy/taxondetails?taxnode_id=202310526","Oxychlovirus terrivivens")</f>
        <v>Oxychlovirus terrivivens</v>
      </c>
      <c r="S9718" s="18" t="s">
        <v>30</v>
      </c>
      <c r="T9718" s="18" t="s">
        <v>22056</v>
      </c>
      <c r="U9718" s="18"/>
      <c r="V9718" s="18"/>
      <c r="W9718" s="18" t="s">
        <v>22057</v>
      </c>
      <c r="X9718" s="18" t="s">
        <v>35</v>
      </c>
      <c r="Y9718" s="18" t="s">
        <v>17171</v>
      </c>
      <c r="Z9718" s="18" t="s">
        <v>697</v>
      </c>
      <c r="AA9718" s="21" t="str">
        <f>HYPERLINK("https://www.ncbi.nlm.nih.gov/nuccore/BK013996","NCBI Nucleotide")</f>
        <v>NCBI Nucleotide</v>
      </c>
    </row>
    <row r="9719" spans="1:27" x14ac:dyDescent="0.35">
      <c r="A9719">
        <v>1026666</v>
      </c>
      <c r="B9719">
        <v>9044</v>
      </c>
      <c r="C9719">
        <v>1</v>
      </c>
      <c r="D9719" s="17" t="s">
        <v>17166</v>
      </c>
      <c r="E9719" s="17"/>
      <c r="F9719" s="17" t="s">
        <v>17246</v>
      </c>
      <c r="G9719" s="17"/>
      <c r="H9719" s="17" t="s">
        <v>20919</v>
      </c>
      <c r="I9719" s="17"/>
      <c r="J9719" s="17" t="s">
        <v>21313</v>
      </c>
      <c r="K9719" s="17"/>
      <c r="L9719" s="17" t="s">
        <v>21326</v>
      </c>
      <c r="M9719" s="17"/>
      <c r="N9719" s="17" t="s">
        <v>21577</v>
      </c>
      <c r="O9719" s="17"/>
      <c r="P9719" s="17" t="s">
        <v>43727</v>
      </c>
      <c r="Q9719" s="17"/>
      <c r="R9719" s="25" t="str">
        <f>HYPERLINK("https://ictv.global/taxonomy/taxondetails?taxnode_id=202316558","Pailtovirus arvivivens")</f>
        <v>Pailtovirus arvivivens</v>
      </c>
      <c r="S9719" s="18" t="s">
        <v>30</v>
      </c>
      <c r="T9719" s="18" t="s">
        <v>43728</v>
      </c>
      <c r="U9719" s="18"/>
      <c r="V9719" s="18"/>
      <c r="W9719" s="18" t="s">
        <v>43729</v>
      </c>
      <c r="X9719" s="18" t="s">
        <v>35</v>
      </c>
      <c r="Y9719" s="18" t="s">
        <v>17171</v>
      </c>
      <c r="Z9719" s="18" t="s">
        <v>24637</v>
      </c>
      <c r="AA9719" s="21" t="str">
        <f>HYPERLINK("https://www.ncbi.nlm.nih.gov/nuccore/CASDWV010001461","NCBI Nucleotide")</f>
        <v>NCBI Nucleotide</v>
      </c>
    </row>
    <row r="9720" spans="1:27" x14ac:dyDescent="0.35">
      <c r="A9720">
        <v>1026643</v>
      </c>
      <c r="B9720">
        <v>9045</v>
      </c>
      <c r="C9720">
        <v>1</v>
      </c>
      <c r="D9720" s="17" t="s">
        <v>17166</v>
      </c>
      <c r="E9720" s="17"/>
      <c r="F9720" s="17" t="s">
        <v>17246</v>
      </c>
      <c r="G9720" s="17"/>
      <c r="H9720" s="17" t="s">
        <v>20919</v>
      </c>
      <c r="I9720" s="17"/>
      <c r="J9720" s="17" t="s">
        <v>21313</v>
      </c>
      <c r="K9720" s="17"/>
      <c r="L9720" s="17" t="s">
        <v>21326</v>
      </c>
      <c r="M9720" s="17"/>
      <c r="N9720" s="17" t="s">
        <v>21577</v>
      </c>
      <c r="O9720" s="17"/>
      <c r="P9720" s="17" t="s">
        <v>43730</v>
      </c>
      <c r="Q9720" s="17"/>
      <c r="R9720" s="25" t="str">
        <f>HYPERLINK("https://ictv.global/taxonomy/taxondetails?taxnode_id=202316559","Paloswovirus lutivivens")</f>
        <v>Paloswovirus lutivivens</v>
      </c>
      <c r="S9720" s="18" t="s">
        <v>30</v>
      </c>
      <c r="T9720" s="18" t="s">
        <v>43731</v>
      </c>
      <c r="U9720" s="18"/>
      <c r="V9720" s="18"/>
      <c r="W9720" s="18" t="s">
        <v>43732</v>
      </c>
      <c r="X9720" s="18" t="s">
        <v>35</v>
      </c>
      <c r="Y9720" s="18" t="s">
        <v>17171</v>
      </c>
      <c r="Z9720" s="18" t="s">
        <v>24637</v>
      </c>
      <c r="AA9720" s="21" t="str">
        <f>HYPERLINK("https://www.ncbi.nlm.nih.gov/nuccore/CASDWV010001793","NCBI Nucleotide")</f>
        <v>NCBI Nucleotide</v>
      </c>
    </row>
    <row r="9721" spans="1:27" x14ac:dyDescent="0.35">
      <c r="A9721">
        <v>1009647</v>
      </c>
      <c r="B9721">
        <v>9046</v>
      </c>
      <c r="C9721">
        <v>1</v>
      </c>
      <c r="D9721" s="17" t="s">
        <v>17166</v>
      </c>
      <c r="E9721" s="17"/>
      <c r="F9721" s="17" t="s">
        <v>17246</v>
      </c>
      <c r="G9721" s="17"/>
      <c r="H9721" s="17" t="s">
        <v>20919</v>
      </c>
      <c r="I9721" s="17"/>
      <c r="J9721" s="17" t="s">
        <v>21313</v>
      </c>
      <c r="K9721" s="17"/>
      <c r="L9721" s="17" t="s">
        <v>21326</v>
      </c>
      <c r="M9721" s="17"/>
      <c r="N9721" s="17" t="s">
        <v>21577</v>
      </c>
      <c r="O9721" s="17"/>
      <c r="P9721" s="17" t="s">
        <v>22058</v>
      </c>
      <c r="Q9721" s="17"/>
      <c r="R9721" s="25" t="str">
        <f>HYPERLINK("https://ictv.global/taxonomy/taxondetails?taxnode_id=202310533","Palsdevirus asienecus")</f>
        <v>Palsdevirus asienecus</v>
      </c>
      <c r="S9721" s="18" t="s">
        <v>30</v>
      </c>
      <c r="T9721" s="18" t="s">
        <v>22059</v>
      </c>
      <c r="U9721" s="18"/>
      <c r="V9721" s="18"/>
      <c r="W9721" s="18" t="s">
        <v>22060</v>
      </c>
      <c r="X9721" s="18" t="s">
        <v>35</v>
      </c>
      <c r="Y9721" s="18" t="s">
        <v>17171</v>
      </c>
      <c r="Z9721" s="18" t="s">
        <v>697</v>
      </c>
      <c r="AA9721" s="21" t="str">
        <f>HYPERLINK("https://www.ncbi.nlm.nih.gov/nuccore/BK013623","NCBI Nucleotide")</f>
        <v>NCBI Nucleotide</v>
      </c>
    </row>
    <row r="9722" spans="1:27" x14ac:dyDescent="0.35">
      <c r="A9722">
        <v>1009648</v>
      </c>
      <c r="B9722">
        <v>9047</v>
      </c>
      <c r="C9722">
        <v>1</v>
      </c>
      <c r="D9722" s="17" t="s">
        <v>17166</v>
      </c>
      <c r="E9722" s="17"/>
      <c r="F9722" s="17" t="s">
        <v>17246</v>
      </c>
      <c r="G9722" s="17"/>
      <c r="H9722" s="17" t="s">
        <v>20919</v>
      </c>
      <c r="I9722" s="17"/>
      <c r="J9722" s="17" t="s">
        <v>21313</v>
      </c>
      <c r="K9722" s="17"/>
      <c r="L9722" s="17" t="s">
        <v>21326</v>
      </c>
      <c r="M9722" s="17"/>
      <c r="N9722" s="17" t="s">
        <v>21577</v>
      </c>
      <c r="O9722" s="17"/>
      <c r="P9722" s="17" t="s">
        <v>22061</v>
      </c>
      <c r="Q9722" s="17"/>
      <c r="R9722" s="25" t="str">
        <f>HYPERLINK("https://ictv.global/taxonomy/taxondetails?taxnode_id=202310535","Paysduvirus asiocola")</f>
        <v>Paysduvirus asiocola</v>
      </c>
      <c r="S9722" s="18" t="s">
        <v>30</v>
      </c>
      <c r="T9722" s="18" t="s">
        <v>22062</v>
      </c>
      <c r="U9722" s="18"/>
      <c r="V9722" s="18"/>
      <c r="W9722" s="18" t="s">
        <v>22063</v>
      </c>
      <c r="X9722" s="18" t="s">
        <v>35</v>
      </c>
      <c r="Y9722" s="18" t="s">
        <v>17171</v>
      </c>
      <c r="Z9722" s="18" t="s">
        <v>697</v>
      </c>
      <c r="AA9722" s="21" t="str">
        <f>HYPERLINK("https://www.ncbi.nlm.nih.gov/nuccore/BK014128","NCBI Nucleotide")</f>
        <v>NCBI Nucleotide</v>
      </c>
    </row>
    <row r="9723" spans="1:27" x14ac:dyDescent="0.35">
      <c r="A9723">
        <v>1026636</v>
      </c>
      <c r="B9723">
        <v>9048</v>
      </c>
      <c r="C9723">
        <v>1</v>
      </c>
      <c r="D9723" s="17" t="s">
        <v>17166</v>
      </c>
      <c r="E9723" s="17"/>
      <c r="F9723" s="17" t="s">
        <v>17246</v>
      </c>
      <c r="G9723" s="17"/>
      <c r="H9723" s="17" t="s">
        <v>20919</v>
      </c>
      <c r="I9723" s="17"/>
      <c r="J9723" s="17" t="s">
        <v>21313</v>
      </c>
      <c r="K9723" s="17"/>
      <c r="L9723" s="17" t="s">
        <v>21326</v>
      </c>
      <c r="M9723" s="17"/>
      <c r="N9723" s="17" t="s">
        <v>21577</v>
      </c>
      <c r="O9723" s="17"/>
      <c r="P9723" s="17" t="s">
        <v>43733</v>
      </c>
      <c r="Q9723" s="17"/>
      <c r="R9723" s="25" t="str">
        <f>HYPERLINK("https://ictv.global/taxonomy/taxondetails?taxnode_id=202316560","Pedhlovirus caenenecus")</f>
        <v>Pedhlovirus caenenecus</v>
      </c>
      <c r="S9723" s="18" t="s">
        <v>30</v>
      </c>
      <c r="T9723" s="18" t="s">
        <v>43734</v>
      </c>
      <c r="U9723" s="18"/>
      <c r="V9723" s="18"/>
      <c r="W9723" s="18" t="s">
        <v>43735</v>
      </c>
      <c r="X9723" s="18" t="s">
        <v>35</v>
      </c>
      <c r="Y9723" s="18" t="s">
        <v>17171</v>
      </c>
      <c r="Z9723" s="18" t="s">
        <v>24637</v>
      </c>
      <c r="AA9723" s="21" t="str">
        <f>HYPERLINK("https://www.ncbi.nlm.nih.gov/nuccore/CASDWV010004978","NCBI Nucleotide")</f>
        <v>NCBI Nucleotide</v>
      </c>
    </row>
    <row r="9724" spans="1:27" x14ac:dyDescent="0.35">
      <c r="A9724">
        <v>1009649</v>
      </c>
      <c r="B9724">
        <v>9049</v>
      </c>
      <c r="C9724">
        <v>1</v>
      </c>
      <c r="D9724" s="17" t="s">
        <v>17166</v>
      </c>
      <c r="E9724" s="17"/>
      <c r="F9724" s="17" t="s">
        <v>17246</v>
      </c>
      <c r="G9724" s="17"/>
      <c r="H9724" s="17" t="s">
        <v>20919</v>
      </c>
      <c r="I9724" s="17"/>
      <c r="J9724" s="17" t="s">
        <v>21313</v>
      </c>
      <c r="K9724" s="17"/>
      <c r="L9724" s="17" t="s">
        <v>21326</v>
      </c>
      <c r="M9724" s="17"/>
      <c r="N9724" s="17" t="s">
        <v>21577</v>
      </c>
      <c r="O9724" s="17"/>
      <c r="P9724" s="17" t="s">
        <v>22064</v>
      </c>
      <c r="Q9724" s="17"/>
      <c r="R9724" s="25" t="str">
        <f>HYPERLINK("https://ictv.global/taxonomy/taxondetails?taxnode_id=202310538","Pehohrivirus asiohabitans")</f>
        <v>Pehohrivirus asiohabitans</v>
      </c>
      <c r="S9724" s="18" t="s">
        <v>30</v>
      </c>
      <c r="T9724" s="18" t="s">
        <v>22065</v>
      </c>
      <c r="U9724" s="18"/>
      <c r="V9724" s="18"/>
      <c r="W9724" s="18" t="s">
        <v>22066</v>
      </c>
      <c r="X9724" s="18" t="s">
        <v>35</v>
      </c>
      <c r="Y9724" s="18" t="s">
        <v>17171</v>
      </c>
      <c r="Z9724" s="18" t="s">
        <v>697</v>
      </c>
      <c r="AA9724" s="21" t="str">
        <f>HYPERLINK("https://www.ncbi.nlm.nih.gov/nuccore/BK013628","NCBI Nucleotide")</f>
        <v>NCBI Nucleotide</v>
      </c>
    </row>
    <row r="9725" spans="1:27" x14ac:dyDescent="0.35">
      <c r="A9725">
        <v>1009650</v>
      </c>
      <c r="B9725">
        <v>9050</v>
      </c>
      <c r="C9725">
        <v>1</v>
      </c>
      <c r="D9725" s="17" t="s">
        <v>17166</v>
      </c>
      <c r="E9725" s="17"/>
      <c r="F9725" s="17" t="s">
        <v>17246</v>
      </c>
      <c r="G9725" s="17"/>
      <c r="H9725" s="17" t="s">
        <v>20919</v>
      </c>
      <c r="I9725" s="17"/>
      <c r="J9725" s="17" t="s">
        <v>21313</v>
      </c>
      <c r="K9725" s="17"/>
      <c r="L9725" s="17" t="s">
        <v>21326</v>
      </c>
      <c r="M9725" s="17"/>
      <c r="N9725" s="17" t="s">
        <v>21577</v>
      </c>
      <c r="O9725" s="17"/>
      <c r="P9725" s="17" t="s">
        <v>22064</v>
      </c>
      <c r="Q9725" s="17"/>
      <c r="R9725" s="25" t="str">
        <f>HYPERLINK("https://ictv.global/taxonomy/taxondetails?taxnode_id=202310537","Pehohrivirus asiovicinum")</f>
        <v>Pehohrivirus asiovicinum</v>
      </c>
      <c r="S9725" s="18" t="s">
        <v>30</v>
      </c>
      <c r="T9725" s="18" t="s">
        <v>22067</v>
      </c>
      <c r="U9725" s="18"/>
      <c r="V9725" s="18"/>
      <c r="W9725" s="18" t="s">
        <v>22068</v>
      </c>
      <c r="X9725" s="18" t="s">
        <v>35</v>
      </c>
      <c r="Y9725" s="18" t="s">
        <v>17171</v>
      </c>
      <c r="Z9725" s="18" t="s">
        <v>697</v>
      </c>
      <c r="AA9725" s="21" t="str">
        <f>HYPERLINK("https://www.ncbi.nlm.nih.gov/nuccore/BK013651","NCBI Nucleotide")</f>
        <v>NCBI Nucleotide</v>
      </c>
    </row>
    <row r="9726" spans="1:27" x14ac:dyDescent="0.35">
      <c r="A9726">
        <v>1009651</v>
      </c>
      <c r="B9726">
        <v>9051</v>
      </c>
      <c r="C9726">
        <v>1</v>
      </c>
      <c r="D9726" s="17" t="s">
        <v>17166</v>
      </c>
      <c r="E9726" s="17"/>
      <c r="F9726" s="17" t="s">
        <v>17246</v>
      </c>
      <c r="G9726" s="17"/>
      <c r="H9726" s="17" t="s">
        <v>20919</v>
      </c>
      <c r="I9726" s="17"/>
      <c r="J9726" s="17" t="s">
        <v>21313</v>
      </c>
      <c r="K9726" s="17"/>
      <c r="L9726" s="17" t="s">
        <v>21326</v>
      </c>
      <c r="M9726" s="17"/>
      <c r="N9726" s="17" t="s">
        <v>21577</v>
      </c>
      <c r="O9726" s="17"/>
      <c r="P9726" s="17" t="s">
        <v>22069</v>
      </c>
      <c r="Q9726" s="17"/>
      <c r="R9726" s="25" t="str">
        <f>HYPERLINK("https://ictv.global/taxonomy/taxondetails?taxnode_id=202310540","Pehsaduvirus asiovivens")</f>
        <v>Pehsaduvirus asiovivens</v>
      </c>
      <c r="S9726" s="18" t="s">
        <v>30</v>
      </c>
      <c r="T9726" s="18" t="s">
        <v>22070</v>
      </c>
      <c r="U9726" s="18"/>
      <c r="V9726" s="18"/>
      <c r="W9726" s="18" t="s">
        <v>22071</v>
      </c>
      <c r="X9726" s="18" t="s">
        <v>35</v>
      </c>
      <c r="Y9726" s="18" t="s">
        <v>17171</v>
      </c>
      <c r="Z9726" s="18" t="s">
        <v>697</v>
      </c>
      <c r="AA9726" s="21" t="str">
        <f>HYPERLINK("https://www.ncbi.nlm.nih.gov/nuccore/BK013679","NCBI Nucleotide")</f>
        <v>NCBI Nucleotide</v>
      </c>
    </row>
    <row r="9727" spans="1:27" x14ac:dyDescent="0.35">
      <c r="A9727">
        <v>1026638</v>
      </c>
      <c r="B9727">
        <v>9052</v>
      </c>
      <c r="C9727">
        <v>1</v>
      </c>
      <c r="D9727" s="17" t="s">
        <v>17166</v>
      </c>
      <c r="E9727" s="17"/>
      <c r="F9727" s="17" t="s">
        <v>17246</v>
      </c>
      <c r="G9727" s="17"/>
      <c r="H9727" s="17" t="s">
        <v>20919</v>
      </c>
      <c r="I9727" s="17"/>
      <c r="J9727" s="17" t="s">
        <v>21313</v>
      </c>
      <c r="K9727" s="17"/>
      <c r="L9727" s="17" t="s">
        <v>21326</v>
      </c>
      <c r="M9727" s="17"/>
      <c r="N9727" s="17" t="s">
        <v>21577</v>
      </c>
      <c r="O9727" s="17"/>
      <c r="P9727" s="17" t="s">
        <v>22072</v>
      </c>
      <c r="Q9727" s="17"/>
      <c r="R9727" s="25" t="str">
        <f>HYPERLINK("https://ictv.global/taxonomy/taxondetails?taxnode_id=202316561","Pepevirus faecenecus")</f>
        <v>Pepevirus faecenecus</v>
      </c>
      <c r="S9727" s="18" t="s">
        <v>30</v>
      </c>
      <c r="T9727" s="18" t="s">
        <v>43736</v>
      </c>
      <c r="U9727" s="18"/>
      <c r="V9727" s="18" t="s">
        <v>43736</v>
      </c>
      <c r="W9727" s="18" t="s">
        <v>43737</v>
      </c>
      <c r="X9727" s="18" t="s">
        <v>35</v>
      </c>
      <c r="Y9727" s="18" t="s">
        <v>17171</v>
      </c>
      <c r="Z9727" s="18" t="s">
        <v>24637</v>
      </c>
      <c r="AA9727" s="21" t="str">
        <f>HYPERLINK("https://www.ncbi.nlm.nih.gov/nuccore/MZ679749","NCBI Nucleotide")</f>
        <v>NCBI Nucleotide</v>
      </c>
    </row>
    <row r="9728" spans="1:27" x14ac:dyDescent="0.35">
      <c r="A9728">
        <v>1026639</v>
      </c>
      <c r="B9728">
        <v>9053</v>
      </c>
      <c r="C9728">
        <v>1</v>
      </c>
      <c r="D9728" s="17" t="s">
        <v>17166</v>
      </c>
      <c r="E9728" s="17"/>
      <c r="F9728" s="17" t="s">
        <v>17246</v>
      </c>
      <c r="G9728" s="17"/>
      <c r="H9728" s="17" t="s">
        <v>20919</v>
      </c>
      <c r="I9728" s="17"/>
      <c r="J9728" s="17" t="s">
        <v>21313</v>
      </c>
      <c r="K9728" s="17"/>
      <c r="L9728" s="17" t="s">
        <v>21326</v>
      </c>
      <c r="M9728" s="17"/>
      <c r="N9728" s="17" t="s">
        <v>21577</v>
      </c>
      <c r="O9728" s="17"/>
      <c r="P9728" s="17" t="s">
        <v>22072</v>
      </c>
      <c r="Q9728" s="17"/>
      <c r="R9728" s="25" t="str">
        <f>HYPERLINK("https://ictv.global/taxonomy/taxondetails?taxnode_id=202316562","Pepevirus faecicola")</f>
        <v>Pepevirus faecicola</v>
      </c>
      <c r="S9728" s="18" t="s">
        <v>30</v>
      </c>
      <c r="T9728" s="18" t="s">
        <v>43738</v>
      </c>
      <c r="U9728" s="18"/>
      <c r="V9728" s="18" t="s">
        <v>43738</v>
      </c>
      <c r="W9728" s="18" t="s">
        <v>43739</v>
      </c>
      <c r="X9728" s="18" t="s">
        <v>35</v>
      </c>
      <c r="Y9728" s="18" t="s">
        <v>17171</v>
      </c>
      <c r="Z9728" s="18" t="s">
        <v>24637</v>
      </c>
      <c r="AA9728" s="21" t="str">
        <f>HYPERLINK("https://www.ncbi.nlm.nih.gov/nuccore/MZ679793","NCBI Nucleotide")</f>
        <v>NCBI Nucleotide</v>
      </c>
    </row>
    <row r="9729" spans="1:27" x14ac:dyDescent="0.35">
      <c r="A9729">
        <v>1026640</v>
      </c>
      <c r="B9729">
        <v>9054</v>
      </c>
      <c r="C9729">
        <v>1</v>
      </c>
      <c r="D9729" s="17" t="s">
        <v>17166</v>
      </c>
      <c r="E9729" s="17"/>
      <c r="F9729" s="17" t="s">
        <v>17246</v>
      </c>
      <c r="G9729" s="17"/>
      <c r="H9729" s="17" t="s">
        <v>20919</v>
      </c>
      <c r="I9729" s="17"/>
      <c r="J9729" s="17" t="s">
        <v>21313</v>
      </c>
      <c r="K9729" s="17"/>
      <c r="L9729" s="17" t="s">
        <v>21326</v>
      </c>
      <c r="M9729" s="17"/>
      <c r="N9729" s="17" t="s">
        <v>21577</v>
      </c>
      <c r="O9729" s="17"/>
      <c r="P9729" s="17" t="s">
        <v>22072</v>
      </c>
      <c r="Q9729" s="17"/>
      <c r="R9729" s="25" t="str">
        <f>HYPERLINK("https://ictv.global/taxonomy/taxondetails?taxnode_id=202316563","Pepevirus faecihabitans")</f>
        <v>Pepevirus faecihabitans</v>
      </c>
      <c r="S9729" s="18" t="s">
        <v>30</v>
      </c>
      <c r="T9729" s="18" t="s">
        <v>43740</v>
      </c>
      <c r="U9729" s="18"/>
      <c r="V9729" s="18" t="s">
        <v>43740</v>
      </c>
      <c r="W9729" s="18" t="s">
        <v>43741</v>
      </c>
      <c r="X9729" s="18" t="s">
        <v>35</v>
      </c>
      <c r="Y9729" s="18" t="s">
        <v>17171</v>
      </c>
      <c r="Z9729" s="18" t="s">
        <v>24637</v>
      </c>
      <c r="AA9729" s="21" t="str">
        <f>HYPERLINK("https://www.ncbi.nlm.nih.gov/nuccore/MZ679799","NCBI Nucleotide")</f>
        <v>NCBI Nucleotide</v>
      </c>
    </row>
    <row r="9730" spans="1:27" x14ac:dyDescent="0.35">
      <c r="A9730">
        <v>1026641</v>
      </c>
      <c r="B9730">
        <v>9055</v>
      </c>
      <c r="C9730">
        <v>1</v>
      </c>
      <c r="D9730" s="17" t="s">
        <v>17166</v>
      </c>
      <c r="E9730" s="17"/>
      <c r="F9730" s="17" t="s">
        <v>17246</v>
      </c>
      <c r="G9730" s="17"/>
      <c r="H9730" s="17" t="s">
        <v>20919</v>
      </c>
      <c r="I9730" s="17"/>
      <c r="J9730" s="17" t="s">
        <v>21313</v>
      </c>
      <c r="K9730" s="17"/>
      <c r="L9730" s="17" t="s">
        <v>21326</v>
      </c>
      <c r="M9730" s="17"/>
      <c r="N9730" s="17" t="s">
        <v>21577</v>
      </c>
      <c r="O9730" s="17"/>
      <c r="P9730" s="17" t="s">
        <v>22072</v>
      </c>
      <c r="Q9730" s="17"/>
      <c r="R9730" s="25" t="str">
        <f>HYPERLINK("https://ictv.global/taxonomy/taxondetails?taxnode_id=202316564","Pepevirus faecivicinum")</f>
        <v>Pepevirus faecivicinum</v>
      </c>
      <c r="S9730" s="18" t="s">
        <v>30</v>
      </c>
      <c r="T9730" s="18" t="s">
        <v>43742</v>
      </c>
      <c r="U9730" s="18"/>
      <c r="V9730" s="18" t="s">
        <v>43742</v>
      </c>
      <c r="W9730" s="18" t="s">
        <v>43743</v>
      </c>
      <c r="X9730" s="18" t="s">
        <v>35</v>
      </c>
      <c r="Y9730" s="18" t="s">
        <v>17171</v>
      </c>
      <c r="Z9730" s="18" t="s">
        <v>17413</v>
      </c>
      <c r="AA9730" s="21" t="str">
        <f>HYPERLINK("https://www.ncbi.nlm.nih.gov/nuccore/MZ679706","NCBI Nucleotide")</f>
        <v>NCBI Nucleotide</v>
      </c>
    </row>
    <row r="9731" spans="1:27" x14ac:dyDescent="0.35">
      <c r="A9731">
        <v>1026642</v>
      </c>
      <c r="B9731">
        <v>9056</v>
      </c>
      <c r="C9731">
        <v>1</v>
      </c>
      <c r="D9731" s="17" t="s">
        <v>17166</v>
      </c>
      <c r="E9731" s="17"/>
      <c r="F9731" s="17" t="s">
        <v>17246</v>
      </c>
      <c r="G9731" s="17"/>
      <c r="H9731" s="17" t="s">
        <v>20919</v>
      </c>
      <c r="I9731" s="17"/>
      <c r="J9731" s="17" t="s">
        <v>21313</v>
      </c>
      <c r="K9731" s="17"/>
      <c r="L9731" s="17" t="s">
        <v>21326</v>
      </c>
      <c r="M9731" s="17"/>
      <c r="N9731" s="17" t="s">
        <v>21577</v>
      </c>
      <c r="O9731" s="17"/>
      <c r="P9731" s="17" t="s">
        <v>22072</v>
      </c>
      <c r="Q9731" s="17"/>
      <c r="R9731" s="25" t="str">
        <f>HYPERLINK("https://ictv.global/taxonomy/taxondetails?taxnode_id=202316565","Pepevirus faecivivens")</f>
        <v>Pepevirus faecivivens</v>
      </c>
      <c r="S9731" s="18" t="s">
        <v>30</v>
      </c>
      <c r="T9731" s="18" t="s">
        <v>43744</v>
      </c>
      <c r="U9731" s="18"/>
      <c r="V9731" s="18" t="s">
        <v>43744</v>
      </c>
      <c r="W9731" s="18" t="s">
        <v>43745</v>
      </c>
      <c r="X9731" s="18" t="s">
        <v>35</v>
      </c>
      <c r="Y9731" s="18" t="s">
        <v>17171</v>
      </c>
      <c r="Z9731" s="18" t="s">
        <v>17413</v>
      </c>
      <c r="AA9731" s="21" t="str">
        <f>HYPERLINK("https://www.ncbi.nlm.nih.gov/nuccore/MZ679731","NCBI Nucleotide")</f>
        <v>NCBI Nucleotide</v>
      </c>
    </row>
    <row r="9732" spans="1:27" x14ac:dyDescent="0.35">
      <c r="A9732">
        <v>1009652</v>
      </c>
      <c r="B9732">
        <v>9057</v>
      </c>
      <c r="C9732">
        <v>1</v>
      </c>
      <c r="D9732" s="17" t="s">
        <v>17166</v>
      </c>
      <c r="E9732" s="17"/>
      <c r="F9732" s="17" t="s">
        <v>17246</v>
      </c>
      <c r="G9732" s="17"/>
      <c r="H9732" s="17" t="s">
        <v>20919</v>
      </c>
      <c r="I9732" s="17"/>
      <c r="J9732" s="17" t="s">
        <v>21313</v>
      </c>
      <c r="K9732" s="17"/>
      <c r="L9732" s="17" t="s">
        <v>21326</v>
      </c>
      <c r="M9732" s="17"/>
      <c r="N9732" s="17" t="s">
        <v>21577</v>
      </c>
      <c r="O9732" s="17"/>
      <c r="P9732" s="17" t="s">
        <v>22072</v>
      </c>
      <c r="Q9732" s="17"/>
      <c r="R9732" s="25" t="str">
        <f>HYPERLINK("https://ictv.global/taxonomy/taxondetails?taxnode_id=202310542","Pepevirus rubrum")</f>
        <v>Pepevirus rubrum</v>
      </c>
      <c r="S9732" s="18" t="s">
        <v>30</v>
      </c>
      <c r="T9732" s="18" t="s">
        <v>22073</v>
      </c>
      <c r="U9732" s="18"/>
      <c r="V9732" s="18"/>
      <c r="W9732" s="18" t="s">
        <v>22074</v>
      </c>
      <c r="X9732" s="18" t="s">
        <v>42</v>
      </c>
      <c r="Y9732" s="18" t="s">
        <v>17171</v>
      </c>
      <c r="Z9732" s="18" t="s">
        <v>697</v>
      </c>
      <c r="AA9732" s="21" t="str">
        <f>HYPERLINK("https://www.ncbi.nlm.nih.gov/nuccore/X80191","NCBI Nucleotide")</f>
        <v>NCBI Nucleotide</v>
      </c>
    </row>
    <row r="9733" spans="1:27" x14ac:dyDescent="0.35">
      <c r="A9733">
        <v>1026436</v>
      </c>
      <c r="B9733">
        <v>9058</v>
      </c>
      <c r="C9733">
        <v>1</v>
      </c>
      <c r="D9733" s="17" t="s">
        <v>17166</v>
      </c>
      <c r="E9733" s="17"/>
      <c r="F9733" s="17" t="s">
        <v>17246</v>
      </c>
      <c r="G9733" s="17"/>
      <c r="H9733" s="17" t="s">
        <v>20919</v>
      </c>
      <c r="I9733" s="17"/>
      <c r="J9733" s="17" t="s">
        <v>21313</v>
      </c>
      <c r="K9733" s="17"/>
      <c r="L9733" s="17" t="s">
        <v>21326</v>
      </c>
      <c r="M9733" s="17"/>
      <c r="N9733" s="17" t="s">
        <v>21577</v>
      </c>
      <c r="O9733" s="17"/>
      <c r="P9733" s="17" t="s">
        <v>22075</v>
      </c>
      <c r="Q9733" s="17"/>
      <c r="R9733" s="25" t="str">
        <f>HYPERLINK("https://ictv.global/taxonomy/taxondetails?taxnode_id=202316566","Perrunavirus faecadaptatum")</f>
        <v>Perrunavirus faecadaptatum</v>
      </c>
      <c r="S9733" s="18" t="s">
        <v>30</v>
      </c>
      <c r="T9733" s="18" t="s">
        <v>43746</v>
      </c>
      <c r="U9733" s="18"/>
      <c r="V9733" s="18" t="s">
        <v>43746</v>
      </c>
      <c r="W9733" s="18" t="s">
        <v>43747</v>
      </c>
      <c r="X9733" s="18" t="s">
        <v>35</v>
      </c>
      <c r="Y9733" s="18" t="s">
        <v>17171</v>
      </c>
      <c r="Z9733" s="18" t="s">
        <v>17413</v>
      </c>
      <c r="AA9733" s="21" t="str">
        <f>HYPERLINK("https://www.ncbi.nlm.nih.gov/nuccore/MZ679594","NCBI Nucleotide")</f>
        <v>NCBI Nucleotide</v>
      </c>
    </row>
    <row r="9734" spans="1:27" x14ac:dyDescent="0.35">
      <c r="A9734">
        <v>1026437</v>
      </c>
      <c r="B9734">
        <v>9059</v>
      </c>
      <c r="C9734">
        <v>1</v>
      </c>
      <c r="D9734" s="17" t="s">
        <v>17166</v>
      </c>
      <c r="E9734" s="17"/>
      <c r="F9734" s="17" t="s">
        <v>17246</v>
      </c>
      <c r="G9734" s="17"/>
      <c r="H9734" s="17" t="s">
        <v>20919</v>
      </c>
      <c r="I9734" s="17"/>
      <c r="J9734" s="17" t="s">
        <v>21313</v>
      </c>
      <c r="K9734" s="17"/>
      <c r="L9734" s="17" t="s">
        <v>21326</v>
      </c>
      <c r="M9734" s="17"/>
      <c r="N9734" s="17" t="s">
        <v>21577</v>
      </c>
      <c r="O9734" s="17"/>
      <c r="P9734" s="17" t="s">
        <v>22075</v>
      </c>
      <c r="Q9734" s="17"/>
      <c r="R9734" s="25" t="str">
        <f>HYPERLINK("https://ictv.global/taxonomy/taxondetails?taxnode_id=202316567","Perrunavirus faecihabitans")</f>
        <v>Perrunavirus faecihabitans</v>
      </c>
      <c r="S9734" s="18" t="s">
        <v>30</v>
      </c>
      <c r="T9734" s="18" t="s">
        <v>43748</v>
      </c>
      <c r="U9734" s="18"/>
      <c r="V9734" s="18" t="s">
        <v>43748</v>
      </c>
      <c r="W9734" s="18" t="s">
        <v>43749</v>
      </c>
      <c r="X9734" s="18" t="s">
        <v>35</v>
      </c>
      <c r="Y9734" s="18" t="s">
        <v>17171</v>
      </c>
      <c r="Z9734" s="18" t="s">
        <v>17413</v>
      </c>
      <c r="AA9734" s="21" t="str">
        <f>HYPERLINK("https://www.ncbi.nlm.nih.gov/nuccore/MZ679782","NCBI Nucleotide")</f>
        <v>NCBI Nucleotide</v>
      </c>
    </row>
    <row r="9735" spans="1:27" x14ac:dyDescent="0.35">
      <c r="A9735">
        <v>1026438</v>
      </c>
      <c r="B9735">
        <v>9060</v>
      </c>
      <c r="C9735">
        <v>1</v>
      </c>
      <c r="D9735" s="17" t="s">
        <v>17166</v>
      </c>
      <c r="E9735" s="17"/>
      <c r="F9735" s="17" t="s">
        <v>17246</v>
      </c>
      <c r="G9735" s="17"/>
      <c r="H9735" s="17" t="s">
        <v>20919</v>
      </c>
      <c r="I9735" s="17"/>
      <c r="J9735" s="17" t="s">
        <v>21313</v>
      </c>
      <c r="K9735" s="17"/>
      <c r="L9735" s="17" t="s">
        <v>21326</v>
      </c>
      <c r="M9735" s="17"/>
      <c r="N9735" s="17" t="s">
        <v>21577</v>
      </c>
      <c r="O9735" s="17"/>
      <c r="P9735" s="17" t="s">
        <v>22075</v>
      </c>
      <c r="Q9735" s="17"/>
      <c r="R9735" s="25" t="str">
        <f>HYPERLINK("https://ictv.global/taxonomy/taxondetails?taxnode_id=202316568","Perrunavirus faecivivens")</f>
        <v>Perrunavirus faecivivens</v>
      </c>
      <c r="S9735" s="18" t="s">
        <v>30</v>
      </c>
      <c r="T9735" s="18" t="s">
        <v>43750</v>
      </c>
      <c r="U9735" s="18"/>
      <c r="V9735" s="18" t="s">
        <v>43750</v>
      </c>
      <c r="W9735" s="18" t="s">
        <v>43751</v>
      </c>
      <c r="X9735" s="18" t="s">
        <v>35</v>
      </c>
      <c r="Y9735" s="18" t="s">
        <v>17171</v>
      </c>
      <c r="Z9735" s="18" t="s">
        <v>17413</v>
      </c>
      <c r="AA9735" s="21" t="str">
        <f>HYPERLINK("https://www.ncbi.nlm.nih.gov/nuccore/MZ679590","NCBI Nucleotide")</f>
        <v>NCBI Nucleotide</v>
      </c>
    </row>
    <row r="9736" spans="1:27" x14ac:dyDescent="0.35">
      <c r="A9736">
        <v>1009654</v>
      </c>
      <c r="B9736">
        <v>9061</v>
      </c>
      <c r="C9736">
        <v>1</v>
      </c>
      <c r="D9736" s="17" t="s">
        <v>17166</v>
      </c>
      <c r="E9736" s="17"/>
      <c r="F9736" s="17" t="s">
        <v>17246</v>
      </c>
      <c r="G9736" s="17"/>
      <c r="H9736" s="17" t="s">
        <v>20919</v>
      </c>
      <c r="I9736" s="17"/>
      <c r="J9736" s="17" t="s">
        <v>21313</v>
      </c>
      <c r="K9736" s="17"/>
      <c r="L9736" s="17" t="s">
        <v>21326</v>
      </c>
      <c r="M9736" s="17"/>
      <c r="N9736" s="17" t="s">
        <v>21577</v>
      </c>
      <c r="O9736" s="17"/>
      <c r="P9736" s="17" t="s">
        <v>22075</v>
      </c>
      <c r="Q9736" s="17"/>
      <c r="R9736" s="25" t="str">
        <f>HYPERLINK("https://ictv.global/taxonomy/taxondetails?taxnode_id=202310545","Perrunavirus olsenii")</f>
        <v>Perrunavirus olsenii</v>
      </c>
      <c r="S9736" s="18" t="s">
        <v>30</v>
      </c>
      <c r="T9736" s="18" t="s">
        <v>22076</v>
      </c>
      <c r="U9736" s="18"/>
      <c r="V9736" s="18"/>
      <c r="W9736" s="18" t="s">
        <v>22077</v>
      </c>
      <c r="X9736" s="18" t="s">
        <v>42</v>
      </c>
      <c r="Y9736" s="18" t="s">
        <v>17171</v>
      </c>
      <c r="Z9736" s="18" t="s">
        <v>697</v>
      </c>
      <c r="AA9736" s="21" t="str">
        <f>HYPERLINK("https://www.ncbi.nlm.nih.gov/nuccore/DQ836063","NCBI Nucleotide")</f>
        <v>NCBI Nucleotide</v>
      </c>
    </row>
    <row r="9737" spans="1:27" x14ac:dyDescent="0.35">
      <c r="A9737">
        <v>1026439</v>
      </c>
      <c r="B9737">
        <v>9062</v>
      </c>
      <c r="C9737">
        <v>1</v>
      </c>
      <c r="D9737" s="17" t="s">
        <v>17166</v>
      </c>
      <c r="E9737" s="17"/>
      <c r="F9737" s="17" t="s">
        <v>17246</v>
      </c>
      <c r="G9737" s="17"/>
      <c r="H9737" s="17" t="s">
        <v>20919</v>
      </c>
      <c r="I9737" s="17"/>
      <c r="J9737" s="17" t="s">
        <v>21313</v>
      </c>
      <c r="K9737" s="17"/>
      <c r="L9737" s="17" t="s">
        <v>21326</v>
      </c>
      <c r="M9737" s="17"/>
      <c r="N9737" s="17" t="s">
        <v>21577</v>
      </c>
      <c r="O9737" s="17"/>
      <c r="P9737" s="17" t="s">
        <v>22075</v>
      </c>
      <c r="Q9737" s="17"/>
      <c r="R9737" s="25" t="str">
        <f>HYPERLINK("https://ictv.global/taxonomy/taxondetails?taxnode_id=202316569","Perrunavirus radicicola")</f>
        <v>Perrunavirus radicicola</v>
      </c>
      <c r="S9737" s="18" t="s">
        <v>30</v>
      </c>
      <c r="T9737" s="18" t="s">
        <v>43752</v>
      </c>
      <c r="U9737" s="18"/>
      <c r="V9737" s="18"/>
      <c r="W9737" s="18" t="s">
        <v>43753</v>
      </c>
      <c r="X9737" s="18" t="s">
        <v>35</v>
      </c>
      <c r="Y9737" s="18" t="s">
        <v>17171</v>
      </c>
      <c r="Z9737" s="18" t="s">
        <v>24637</v>
      </c>
      <c r="AA9737" s="21" t="str">
        <f>HYPERLINK("https://www.ncbi.nlm.nih.gov/nuccore/CASDWV010002915","NCBI Nucleotide")</f>
        <v>NCBI Nucleotide</v>
      </c>
    </row>
    <row r="9738" spans="1:27" x14ac:dyDescent="0.35">
      <c r="A9738">
        <v>1009655</v>
      </c>
      <c r="B9738">
        <v>9063</v>
      </c>
      <c r="C9738">
        <v>1</v>
      </c>
      <c r="D9738" s="17" t="s">
        <v>17166</v>
      </c>
      <c r="E9738" s="17"/>
      <c r="F9738" s="17" t="s">
        <v>17246</v>
      </c>
      <c r="G9738" s="17"/>
      <c r="H9738" s="17" t="s">
        <v>20919</v>
      </c>
      <c r="I9738" s="17"/>
      <c r="J9738" s="17" t="s">
        <v>21313</v>
      </c>
      <c r="K9738" s="17"/>
      <c r="L9738" s="17" t="s">
        <v>21326</v>
      </c>
      <c r="M9738" s="17"/>
      <c r="N9738" s="17" t="s">
        <v>21577</v>
      </c>
      <c r="O9738" s="17"/>
      <c r="P9738" s="17" t="s">
        <v>22078</v>
      </c>
      <c r="Q9738" s="17"/>
      <c r="R9738" s="25" t="str">
        <f>HYPERLINK("https://ictv.global/taxonomy/taxondetails?taxnode_id=202310547","Philtcovirus borboradaptatum")</f>
        <v>Philtcovirus borboradaptatum</v>
      </c>
      <c r="S9738" s="18" t="s">
        <v>30</v>
      </c>
      <c r="T9738" s="18" t="s">
        <v>22079</v>
      </c>
      <c r="U9738" s="18"/>
      <c r="V9738" s="18"/>
      <c r="W9738" s="18" t="s">
        <v>22080</v>
      </c>
      <c r="X9738" s="18" t="s">
        <v>35</v>
      </c>
      <c r="Y9738" s="18" t="s">
        <v>17171</v>
      </c>
      <c r="Z9738" s="18" t="s">
        <v>697</v>
      </c>
      <c r="AA9738" s="21" t="str">
        <f>HYPERLINK("https://www.ncbi.nlm.nih.gov/nuccore/BK014077","NCBI Nucleotide")</f>
        <v>NCBI Nucleotide</v>
      </c>
    </row>
    <row r="9739" spans="1:27" x14ac:dyDescent="0.35">
      <c r="A9739">
        <v>1009656</v>
      </c>
      <c r="B9739">
        <v>9064</v>
      </c>
      <c r="C9739">
        <v>1</v>
      </c>
      <c r="D9739" s="17" t="s">
        <v>17166</v>
      </c>
      <c r="E9739" s="17"/>
      <c r="F9739" s="17" t="s">
        <v>17246</v>
      </c>
      <c r="G9739" s="17"/>
      <c r="H9739" s="17" t="s">
        <v>20919</v>
      </c>
      <c r="I9739" s="17"/>
      <c r="J9739" s="17" t="s">
        <v>21313</v>
      </c>
      <c r="K9739" s="17"/>
      <c r="L9739" s="17" t="s">
        <v>21326</v>
      </c>
      <c r="M9739" s="17"/>
      <c r="N9739" s="17" t="s">
        <v>21577</v>
      </c>
      <c r="O9739" s="17"/>
      <c r="P9739" s="17" t="s">
        <v>22081</v>
      </c>
      <c r="Q9739" s="17"/>
      <c r="R9739" s="25" t="str">
        <f>HYPERLINK("https://ictv.global/taxonomy/taxondetails?taxnode_id=202310550","Phobpsivirus agradaptatum")</f>
        <v>Phobpsivirus agradaptatum</v>
      </c>
      <c r="S9739" s="18" t="s">
        <v>30</v>
      </c>
      <c r="T9739" s="18" t="s">
        <v>22082</v>
      </c>
      <c r="U9739" s="18"/>
      <c r="V9739" s="18"/>
      <c r="W9739" s="18" t="s">
        <v>22083</v>
      </c>
      <c r="X9739" s="18" t="s">
        <v>35</v>
      </c>
      <c r="Y9739" s="18" t="s">
        <v>17171</v>
      </c>
      <c r="Z9739" s="18" t="s">
        <v>697</v>
      </c>
      <c r="AA9739" s="21" t="str">
        <f>HYPERLINK("https://www.ncbi.nlm.nih.gov/nuccore/BK013961","NCBI Nucleotide")</f>
        <v>NCBI Nucleotide</v>
      </c>
    </row>
    <row r="9740" spans="1:27" x14ac:dyDescent="0.35">
      <c r="A9740">
        <v>1009657</v>
      </c>
      <c r="B9740">
        <v>9065</v>
      </c>
      <c r="C9740">
        <v>1</v>
      </c>
      <c r="D9740" s="17" t="s">
        <v>17166</v>
      </c>
      <c r="E9740" s="17"/>
      <c r="F9740" s="17" t="s">
        <v>17246</v>
      </c>
      <c r="G9740" s="17"/>
      <c r="H9740" s="17" t="s">
        <v>20919</v>
      </c>
      <c r="I9740" s="17"/>
      <c r="J9740" s="17" t="s">
        <v>21313</v>
      </c>
      <c r="K9740" s="17"/>
      <c r="L9740" s="17" t="s">
        <v>21326</v>
      </c>
      <c r="M9740" s="17"/>
      <c r="N9740" s="17" t="s">
        <v>21577</v>
      </c>
      <c r="O9740" s="17"/>
      <c r="P9740" s="17" t="s">
        <v>22081</v>
      </c>
      <c r="Q9740" s="17"/>
      <c r="R9740" s="25" t="str">
        <f>HYPERLINK("https://ictv.global/taxonomy/taxondetails?taxnode_id=202310549","Phobpsivirus agricola")</f>
        <v>Phobpsivirus agricola</v>
      </c>
      <c r="S9740" s="18" t="s">
        <v>30</v>
      </c>
      <c r="T9740" s="18" t="s">
        <v>22084</v>
      </c>
      <c r="U9740" s="18"/>
      <c r="V9740" s="18"/>
      <c r="W9740" s="18" t="s">
        <v>22085</v>
      </c>
      <c r="X9740" s="18" t="s">
        <v>35</v>
      </c>
      <c r="Y9740" s="18" t="s">
        <v>17171</v>
      </c>
      <c r="Z9740" s="18" t="s">
        <v>697</v>
      </c>
      <c r="AA9740" s="21" t="str">
        <f>HYPERLINK("https://www.ncbi.nlm.nih.gov/nuccore/BK013436","NCBI Nucleotide")</f>
        <v>NCBI Nucleotide</v>
      </c>
    </row>
    <row r="9741" spans="1:27" x14ac:dyDescent="0.35">
      <c r="A9741">
        <v>1026606</v>
      </c>
      <c r="B9741">
        <v>9066</v>
      </c>
      <c r="C9741">
        <v>1</v>
      </c>
      <c r="D9741" s="17" t="s">
        <v>17166</v>
      </c>
      <c r="E9741" s="17"/>
      <c r="F9741" s="17" t="s">
        <v>17246</v>
      </c>
      <c r="G9741" s="17"/>
      <c r="H9741" s="17" t="s">
        <v>20919</v>
      </c>
      <c r="I9741" s="17"/>
      <c r="J9741" s="17" t="s">
        <v>21313</v>
      </c>
      <c r="K9741" s="17"/>
      <c r="L9741" s="17" t="s">
        <v>21326</v>
      </c>
      <c r="M9741" s="17"/>
      <c r="N9741" s="17" t="s">
        <v>21577</v>
      </c>
      <c r="O9741" s="17"/>
      <c r="P9741" s="17" t="s">
        <v>22081</v>
      </c>
      <c r="Q9741" s="17"/>
      <c r="R9741" s="25" t="str">
        <f>HYPERLINK("https://ictv.global/taxonomy/taxondetails?taxnode_id=202316570","Phobpsivirus neoagradaptatum")</f>
        <v>Phobpsivirus neoagradaptatum</v>
      </c>
      <c r="S9741" s="18" t="s">
        <v>30</v>
      </c>
      <c r="T9741" s="18" t="s">
        <v>43754</v>
      </c>
      <c r="U9741" s="18"/>
      <c r="V9741" s="18"/>
      <c r="W9741" s="18" t="s">
        <v>43755</v>
      </c>
      <c r="X9741" s="18" t="s">
        <v>35</v>
      </c>
      <c r="Y9741" s="18" t="s">
        <v>17171</v>
      </c>
      <c r="Z9741" s="18" t="s">
        <v>24637</v>
      </c>
      <c r="AA9741" s="21" t="str">
        <f>HYPERLINK("https://www.ncbi.nlm.nih.gov/nuccore/CASDWV010001350","NCBI Nucleotide")</f>
        <v>NCBI Nucleotide</v>
      </c>
    </row>
    <row r="9742" spans="1:27" x14ac:dyDescent="0.35">
      <c r="A9742">
        <v>1026607</v>
      </c>
      <c r="B9742">
        <v>9067</v>
      </c>
      <c r="C9742">
        <v>1</v>
      </c>
      <c r="D9742" s="17" t="s">
        <v>17166</v>
      </c>
      <c r="E9742" s="17"/>
      <c r="F9742" s="17" t="s">
        <v>17246</v>
      </c>
      <c r="G9742" s="17"/>
      <c r="H9742" s="17" t="s">
        <v>20919</v>
      </c>
      <c r="I9742" s="17"/>
      <c r="J9742" s="17" t="s">
        <v>21313</v>
      </c>
      <c r="K9742" s="17"/>
      <c r="L9742" s="17" t="s">
        <v>21326</v>
      </c>
      <c r="M9742" s="17"/>
      <c r="N9742" s="17" t="s">
        <v>21577</v>
      </c>
      <c r="O9742" s="17"/>
      <c r="P9742" s="17" t="s">
        <v>22081</v>
      </c>
      <c r="Q9742" s="17"/>
      <c r="R9742" s="25" t="str">
        <f>HYPERLINK("https://ictv.global/taxonomy/taxondetails?taxnode_id=202316571","Phobpsivirus pedadaptatum")</f>
        <v>Phobpsivirus pedadaptatum</v>
      </c>
      <c r="S9742" s="18" t="s">
        <v>30</v>
      </c>
      <c r="T9742" s="18" t="s">
        <v>43756</v>
      </c>
      <c r="U9742" s="18"/>
      <c r="V9742" s="18"/>
      <c r="W9742" s="18" t="s">
        <v>43757</v>
      </c>
      <c r="X9742" s="18" t="s">
        <v>35</v>
      </c>
      <c r="Y9742" s="18" t="s">
        <v>17171</v>
      </c>
      <c r="Z9742" s="18" t="s">
        <v>24637</v>
      </c>
      <c r="AA9742" s="21" t="str">
        <f>HYPERLINK("https://www.ncbi.nlm.nih.gov/nuccore/CASDWV010002785","NCBI Nucleotide")</f>
        <v>NCBI Nucleotide</v>
      </c>
    </row>
    <row r="9743" spans="1:27" x14ac:dyDescent="0.35">
      <c r="A9743">
        <v>1026608</v>
      </c>
      <c r="B9743">
        <v>9068</v>
      </c>
      <c r="C9743">
        <v>1</v>
      </c>
      <c r="D9743" s="17" t="s">
        <v>17166</v>
      </c>
      <c r="E9743" s="17"/>
      <c r="F9743" s="17" t="s">
        <v>17246</v>
      </c>
      <c r="G9743" s="17"/>
      <c r="H9743" s="17" t="s">
        <v>20919</v>
      </c>
      <c r="I9743" s="17"/>
      <c r="J9743" s="17" t="s">
        <v>21313</v>
      </c>
      <c r="K9743" s="17"/>
      <c r="L9743" s="17" t="s">
        <v>21326</v>
      </c>
      <c r="M9743" s="17"/>
      <c r="N9743" s="17" t="s">
        <v>21577</v>
      </c>
      <c r="O9743" s="17"/>
      <c r="P9743" s="17" t="s">
        <v>22081</v>
      </c>
      <c r="Q9743" s="17"/>
      <c r="R9743" s="25" t="str">
        <f>HYPERLINK("https://ictv.global/taxonomy/taxondetails?taxnode_id=202316572","Phobpsivirus pedovicinum")</f>
        <v>Phobpsivirus pedovicinum</v>
      </c>
      <c r="S9743" s="18" t="s">
        <v>30</v>
      </c>
      <c r="T9743" s="18" t="s">
        <v>43758</v>
      </c>
      <c r="U9743" s="18"/>
      <c r="V9743" s="18"/>
      <c r="W9743" s="18" t="s">
        <v>43759</v>
      </c>
      <c r="X9743" s="18" t="s">
        <v>35</v>
      </c>
      <c r="Y9743" s="18" t="s">
        <v>17171</v>
      </c>
      <c r="Z9743" s="18" t="s">
        <v>24637</v>
      </c>
      <c r="AA9743" s="21" t="str">
        <f>HYPERLINK("https://www.ncbi.nlm.nih.gov/nuccore/CASDWV010003635","NCBI Nucleotide")</f>
        <v>NCBI Nucleotide</v>
      </c>
    </row>
    <row r="9744" spans="1:27" x14ac:dyDescent="0.35">
      <c r="A9744">
        <v>1026609</v>
      </c>
      <c r="B9744">
        <v>9069</v>
      </c>
      <c r="C9744">
        <v>1</v>
      </c>
      <c r="D9744" s="17" t="s">
        <v>17166</v>
      </c>
      <c r="E9744" s="17"/>
      <c r="F9744" s="17" t="s">
        <v>17246</v>
      </c>
      <c r="G9744" s="17"/>
      <c r="H9744" s="17" t="s">
        <v>20919</v>
      </c>
      <c r="I9744" s="17"/>
      <c r="J9744" s="17" t="s">
        <v>21313</v>
      </c>
      <c r="K9744" s="17"/>
      <c r="L9744" s="17" t="s">
        <v>21326</v>
      </c>
      <c r="M9744" s="17"/>
      <c r="N9744" s="17" t="s">
        <v>21577</v>
      </c>
      <c r="O9744" s="17"/>
      <c r="P9744" s="17" t="s">
        <v>22081</v>
      </c>
      <c r="Q9744" s="17"/>
      <c r="R9744" s="25" t="str">
        <f>HYPERLINK("https://ictv.global/taxonomy/taxondetails?taxnode_id=202316573","Phobpsivirus pedovivens")</f>
        <v>Phobpsivirus pedovivens</v>
      </c>
      <c r="S9744" s="18" t="s">
        <v>30</v>
      </c>
      <c r="T9744" s="18" t="s">
        <v>43760</v>
      </c>
      <c r="U9744" s="18"/>
      <c r="V9744" s="18"/>
      <c r="W9744" s="18" t="s">
        <v>43761</v>
      </c>
      <c r="X9744" s="18" t="s">
        <v>35</v>
      </c>
      <c r="Y9744" s="18" t="s">
        <v>17171</v>
      </c>
      <c r="Z9744" s="18" t="s">
        <v>24637</v>
      </c>
      <c r="AA9744" s="21" t="str">
        <f>HYPERLINK("https://www.ncbi.nlm.nih.gov/nuccore/CASDWV010002894","NCBI Nucleotide")</f>
        <v>NCBI Nucleotide</v>
      </c>
    </row>
    <row r="9745" spans="1:27" x14ac:dyDescent="0.35">
      <c r="A9745">
        <v>1026610</v>
      </c>
      <c r="B9745">
        <v>9070</v>
      </c>
      <c r="C9745">
        <v>1</v>
      </c>
      <c r="D9745" s="17" t="s">
        <v>17166</v>
      </c>
      <c r="E9745" s="17"/>
      <c r="F9745" s="17" t="s">
        <v>17246</v>
      </c>
      <c r="G9745" s="17"/>
      <c r="H9745" s="17" t="s">
        <v>20919</v>
      </c>
      <c r="I9745" s="17"/>
      <c r="J9745" s="17" t="s">
        <v>21313</v>
      </c>
      <c r="K9745" s="17"/>
      <c r="L9745" s="17" t="s">
        <v>21326</v>
      </c>
      <c r="M9745" s="17"/>
      <c r="N9745" s="17" t="s">
        <v>21577</v>
      </c>
      <c r="O9745" s="17"/>
      <c r="P9745" s="17" t="s">
        <v>22081</v>
      </c>
      <c r="Q9745" s="17"/>
      <c r="R9745" s="25" t="str">
        <f>HYPERLINK("https://ictv.global/taxonomy/taxondetails?taxnode_id=202316574","Phobpsivirus segeticola")</f>
        <v>Phobpsivirus segeticola</v>
      </c>
      <c r="S9745" s="18" t="s">
        <v>30</v>
      </c>
      <c r="T9745" s="18" t="s">
        <v>43762</v>
      </c>
      <c r="U9745" s="18"/>
      <c r="V9745" s="18"/>
      <c r="W9745" s="18" t="s">
        <v>43763</v>
      </c>
      <c r="X9745" s="18" t="s">
        <v>35</v>
      </c>
      <c r="Y9745" s="18" t="s">
        <v>17171</v>
      </c>
      <c r="Z9745" s="18" t="s">
        <v>24637</v>
      </c>
      <c r="AA9745" s="21" t="str">
        <f>HYPERLINK("https://www.ncbi.nlm.nih.gov/nuccore/CASDWV010002068","NCBI Nucleotide")</f>
        <v>NCBI Nucleotide</v>
      </c>
    </row>
    <row r="9746" spans="1:27" x14ac:dyDescent="0.35">
      <c r="A9746">
        <v>1026611</v>
      </c>
      <c r="B9746">
        <v>9071</v>
      </c>
      <c r="C9746">
        <v>1</v>
      </c>
      <c r="D9746" s="17" t="s">
        <v>17166</v>
      </c>
      <c r="E9746" s="17"/>
      <c r="F9746" s="17" t="s">
        <v>17246</v>
      </c>
      <c r="G9746" s="17"/>
      <c r="H9746" s="17" t="s">
        <v>20919</v>
      </c>
      <c r="I9746" s="17"/>
      <c r="J9746" s="17" t="s">
        <v>21313</v>
      </c>
      <c r="K9746" s="17"/>
      <c r="L9746" s="17" t="s">
        <v>21326</v>
      </c>
      <c r="M9746" s="17"/>
      <c r="N9746" s="17" t="s">
        <v>21577</v>
      </c>
      <c r="O9746" s="17"/>
      <c r="P9746" s="17" t="s">
        <v>43764</v>
      </c>
      <c r="Q9746" s="17"/>
      <c r="R9746" s="25" t="str">
        <f>HYPERLINK("https://ictv.global/taxonomy/taxondetails?taxnode_id=202316575","Piceduvirus segetivivens")</f>
        <v>Piceduvirus segetivivens</v>
      </c>
      <c r="S9746" s="18" t="s">
        <v>30</v>
      </c>
      <c r="T9746" s="18" t="s">
        <v>43765</v>
      </c>
      <c r="U9746" s="18"/>
      <c r="V9746" s="18"/>
      <c r="W9746" s="18" t="s">
        <v>43766</v>
      </c>
      <c r="X9746" s="18" t="s">
        <v>35</v>
      </c>
      <c r="Y9746" s="18" t="s">
        <v>17171</v>
      </c>
      <c r="Z9746" s="18" t="s">
        <v>24637</v>
      </c>
      <c r="AA9746" s="21" t="str">
        <f>HYPERLINK("https://www.ncbi.nlm.nih.gov/nuccore/CASDWV010001634","NCBI Nucleotide")</f>
        <v>NCBI Nucleotide</v>
      </c>
    </row>
    <row r="9747" spans="1:27" x14ac:dyDescent="0.35">
      <c r="A9747">
        <v>1026614</v>
      </c>
      <c r="B9747">
        <v>9072</v>
      </c>
      <c r="C9747">
        <v>1</v>
      </c>
      <c r="D9747" s="17" t="s">
        <v>17166</v>
      </c>
      <c r="E9747" s="17"/>
      <c r="F9747" s="17" t="s">
        <v>17246</v>
      </c>
      <c r="G9747" s="17"/>
      <c r="H9747" s="17" t="s">
        <v>20919</v>
      </c>
      <c r="I9747" s="17"/>
      <c r="J9747" s="17" t="s">
        <v>21313</v>
      </c>
      <c r="K9747" s="17"/>
      <c r="L9747" s="17" t="s">
        <v>21326</v>
      </c>
      <c r="M9747" s="17"/>
      <c r="N9747" s="17" t="s">
        <v>21577</v>
      </c>
      <c r="O9747" s="17"/>
      <c r="P9747" s="17" t="s">
        <v>43767</v>
      </c>
      <c r="Q9747" s="17"/>
      <c r="R9747" s="25" t="str">
        <f>HYPERLINK("https://ictv.global/taxonomy/taxondetails?taxnode_id=202316576","Pihlevirus pelenecus")</f>
        <v>Pihlevirus pelenecus</v>
      </c>
      <c r="S9747" s="18" t="s">
        <v>30</v>
      </c>
      <c r="T9747" s="18" t="s">
        <v>43768</v>
      </c>
      <c r="U9747" s="18"/>
      <c r="V9747" s="18"/>
      <c r="W9747" s="18" t="s">
        <v>43769</v>
      </c>
      <c r="X9747" s="18" t="s">
        <v>35</v>
      </c>
      <c r="Y9747" s="18" t="s">
        <v>17171</v>
      </c>
      <c r="Z9747" s="18" t="s">
        <v>24637</v>
      </c>
      <c r="AA9747" s="21" t="str">
        <f>HYPERLINK("https://www.ncbi.nlm.nih.gov/nuccore/CASDWV010001738","NCBI Nucleotide")</f>
        <v>NCBI Nucleotide</v>
      </c>
    </row>
    <row r="9748" spans="1:27" x14ac:dyDescent="0.35">
      <c r="A9748">
        <v>1026618</v>
      </c>
      <c r="B9748">
        <v>9073</v>
      </c>
      <c r="C9748">
        <v>1</v>
      </c>
      <c r="D9748" s="17" t="s">
        <v>17166</v>
      </c>
      <c r="E9748" s="17"/>
      <c r="F9748" s="17" t="s">
        <v>17246</v>
      </c>
      <c r="G9748" s="17"/>
      <c r="H9748" s="17" t="s">
        <v>20919</v>
      </c>
      <c r="I9748" s="17"/>
      <c r="J9748" s="17" t="s">
        <v>21313</v>
      </c>
      <c r="K9748" s="17"/>
      <c r="L9748" s="17" t="s">
        <v>21326</v>
      </c>
      <c r="M9748" s="17"/>
      <c r="N9748" s="17" t="s">
        <v>21577</v>
      </c>
      <c r="O9748" s="17"/>
      <c r="P9748" s="17" t="s">
        <v>43770</v>
      </c>
      <c r="Q9748" s="17"/>
      <c r="R9748" s="25" t="str">
        <f>HYPERLINK("https://ictv.global/taxonomy/taxondetails?taxnode_id=202316577","Pilordavirus caenivivens")</f>
        <v>Pilordavirus caenivivens</v>
      </c>
      <c r="S9748" s="18" t="s">
        <v>30</v>
      </c>
      <c r="T9748" s="18" t="s">
        <v>43771</v>
      </c>
      <c r="U9748" s="18"/>
      <c r="V9748" s="18"/>
      <c r="W9748" s="18" t="s">
        <v>43772</v>
      </c>
      <c r="X9748" s="18" t="s">
        <v>35</v>
      </c>
      <c r="Y9748" s="18" t="s">
        <v>17171</v>
      </c>
      <c r="Z9748" s="18" t="s">
        <v>24637</v>
      </c>
      <c r="AA9748" s="21" t="str">
        <f>HYPERLINK("https://www.ncbi.nlm.nih.gov/nuccore/CASDWV010001681","NCBI Nucleotide")</f>
        <v>NCBI Nucleotide</v>
      </c>
    </row>
    <row r="9749" spans="1:27" x14ac:dyDescent="0.35">
      <c r="A9749">
        <v>1026625</v>
      </c>
      <c r="B9749">
        <v>9074</v>
      </c>
      <c r="C9749">
        <v>1</v>
      </c>
      <c r="D9749" s="17" t="s">
        <v>17166</v>
      </c>
      <c r="E9749" s="17"/>
      <c r="F9749" s="17" t="s">
        <v>17246</v>
      </c>
      <c r="G9749" s="17"/>
      <c r="H9749" s="17" t="s">
        <v>20919</v>
      </c>
      <c r="I9749" s="17"/>
      <c r="J9749" s="17" t="s">
        <v>21313</v>
      </c>
      <c r="K9749" s="17"/>
      <c r="L9749" s="17" t="s">
        <v>21326</v>
      </c>
      <c r="M9749" s="17"/>
      <c r="N9749" s="17" t="s">
        <v>21577</v>
      </c>
      <c r="O9749" s="17"/>
      <c r="P9749" s="17" t="s">
        <v>22092</v>
      </c>
      <c r="Q9749" s="17"/>
      <c r="R9749" s="25" t="str">
        <f>HYPERLINK("https://ictv.global/taxonomy/taxondetails?taxnode_id=202316578","Piponevirus agradaptatum")</f>
        <v>Piponevirus agradaptatum</v>
      </c>
      <c r="S9749" s="18" t="s">
        <v>30</v>
      </c>
      <c r="T9749" s="18" t="s">
        <v>43773</v>
      </c>
      <c r="U9749" s="18"/>
      <c r="V9749" s="18"/>
      <c r="W9749" s="18" t="s">
        <v>43774</v>
      </c>
      <c r="X9749" s="18" t="s">
        <v>35</v>
      </c>
      <c r="Y9749" s="18" t="s">
        <v>17171</v>
      </c>
      <c r="Z9749" s="18" t="s">
        <v>24637</v>
      </c>
      <c r="AA9749" s="21" t="str">
        <f>HYPERLINK("https://www.ncbi.nlm.nih.gov/nuccore/CASDWV010002639","NCBI Nucleotide")</f>
        <v>NCBI Nucleotide</v>
      </c>
    </row>
    <row r="9750" spans="1:27" x14ac:dyDescent="0.35">
      <c r="A9750">
        <v>1009661</v>
      </c>
      <c r="B9750">
        <v>9075</v>
      </c>
      <c r="C9750">
        <v>1</v>
      </c>
      <c r="D9750" s="17" t="s">
        <v>17166</v>
      </c>
      <c r="E9750" s="17"/>
      <c r="F9750" s="17" t="s">
        <v>17246</v>
      </c>
      <c r="G9750" s="17"/>
      <c r="H9750" s="17" t="s">
        <v>20919</v>
      </c>
      <c r="I9750" s="17"/>
      <c r="J9750" s="17" t="s">
        <v>21313</v>
      </c>
      <c r="K9750" s="17"/>
      <c r="L9750" s="17" t="s">
        <v>21326</v>
      </c>
      <c r="M9750" s="17"/>
      <c r="N9750" s="17" t="s">
        <v>21577</v>
      </c>
      <c r="O9750" s="17"/>
      <c r="P9750" s="17" t="s">
        <v>22092</v>
      </c>
      <c r="Q9750" s="17"/>
      <c r="R9750" s="25" t="str">
        <f>HYPERLINK("https://ictv.global/taxonomy/taxondetails?taxnode_id=202310556","Piponevirus borborenecus")</f>
        <v>Piponevirus borborenecus</v>
      </c>
      <c r="S9750" s="18" t="s">
        <v>30</v>
      </c>
      <c r="T9750" s="18" t="s">
        <v>22093</v>
      </c>
      <c r="U9750" s="18"/>
      <c r="V9750" s="18"/>
      <c r="W9750" s="18" t="s">
        <v>22094</v>
      </c>
      <c r="X9750" s="18" t="s">
        <v>35</v>
      </c>
      <c r="Y9750" s="18" t="s">
        <v>17171</v>
      </c>
      <c r="Z9750" s="18" t="s">
        <v>697</v>
      </c>
      <c r="AA9750" s="21" t="str">
        <f>HYPERLINK("https://www.ncbi.nlm.nih.gov/nuccore/BK014113","NCBI Nucleotide")</f>
        <v>NCBI Nucleotide</v>
      </c>
    </row>
    <row r="9751" spans="1:27" x14ac:dyDescent="0.35">
      <c r="A9751">
        <v>1009662</v>
      </c>
      <c r="B9751">
        <v>9076</v>
      </c>
      <c r="C9751">
        <v>1</v>
      </c>
      <c r="D9751" s="17" t="s">
        <v>17166</v>
      </c>
      <c r="E9751" s="17"/>
      <c r="F9751" s="17" t="s">
        <v>17246</v>
      </c>
      <c r="G9751" s="17"/>
      <c r="H9751" s="17" t="s">
        <v>20919</v>
      </c>
      <c r="I9751" s="17"/>
      <c r="J9751" s="17" t="s">
        <v>21313</v>
      </c>
      <c r="K9751" s="17"/>
      <c r="L9751" s="17" t="s">
        <v>21326</v>
      </c>
      <c r="M9751" s="17"/>
      <c r="N9751" s="17" t="s">
        <v>21577</v>
      </c>
      <c r="O9751" s="17"/>
      <c r="P9751" s="17" t="s">
        <v>22092</v>
      </c>
      <c r="Q9751" s="17"/>
      <c r="R9751" s="25" t="str">
        <f>HYPERLINK("https://ictv.global/taxonomy/taxondetails?taxnode_id=202310557","Piponevirus borborocola")</f>
        <v>Piponevirus borborocola</v>
      </c>
      <c r="S9751" s="18" t="s">
        <v>30</v>
      </c>
      <c r="T9751" s="18" t="s">
        <v>22095</v>
      </c>
      <c r="U9751" s="18"/>
      <c r="V9751" s="18"/>
      <c r="W9751" s="18" t="s">
        <v>22096</v>
      </c>
      <c r="X9751" s="18" t="s">
        <v>35</v>
      </c>
      <c r="Y9751" s="18" t="s">
        <v>17171</v>
      </c>
      <c r="Z9751" s="18" t="s">
        <v>697</v>
      </c>
      <c r="AA9751" s="21" t="str">
        <f>HYPERLINK("https://www.ncbi.nlm.nih.gov/nuccore/BK013592","NCBI Nucleotide")</f>
        <v>NCBI Nucleotide</v>
      </c>
    </row>
    <row r="9752" spans="1:27" x14ac:dyDescent="0.35">
      <c r="A9752">
        <v>1026626</v>
      </c>
      <c r="B9752">
        <v>9077</v>
      </c>
      <c r="C9752">
        <v>1</v>
      </c>
      <c r="D9752" s="17" t="s">
        <v>17166</v>
      </c>
      <c r="E9752" s="17"/>
      <c r="F9752" s="17" t="s">
        <v>17246</v>
      </c>
      <c r="G9752" s="17"/>
      <c r="H9752" s="17" t="s">
        <v>20919</v>
      </c>
      <c r="I9752" s="17"/>
      <c r="J9752" s="17" t="s">
        <v>21313</v>
      </c>
      <c r="K9752" s="17"/>
      <c r="L9752" s="17" t="s">
        <v>21326</v>
      </c>
      <c r="M9752" s="17"/>
      <c r="N9752" s="17" t="s">
        <v>21577</v>
      </c>
      <c r="O9752" s="17"/>
      <c r="P9752" s="17" t="s">
        <v>22092</v>
      </c>
      <c r="Q9752" s="17"/>
      <c r="R9752" s="25" t="str">
        <f>HYPERLINK("https://ictv.global/taxonomy/taxondetails?taxnode_id=202316579","Piponevirus soladaptatum")</f>
        <v>Piponevirus soladaptatum</v>
      </c>
      <c r="S9752" s="18" t="s">
        <v>30</v>
      </c>
      <c r="T9752" s="18" t="s">
        <v>43775</v>
      </c>
      <c r="U9752" s="18"/>
      <c r="V9752" s="18"/>
      <c r="W9752" s="18" t="s">
        <v>43776</v>
      </c>
      <c r="X9752" s="18" t="s">
        <v>35</v>
      </c>
      <c r="Y9752" s="18" t="s">
        <v>17171</v>
      </c>
      <c r="Z9752" s="18" t="s">
        <v>24637</v>
      </c>
      <c r="AA9752" s="21" t="str">
        <f>HYPERLINK("https://www.ncbi.nlm.nih.gov/nuccore/CASDWV010002156","NCBI Nucleotide")</f>
        <v>NCBI Nucleotide</v>
      </c>
    </row>
    <row r="9753" spans="1:27" x14ac:dyDescent="0.35">
      <c r="A9753">
        <v>1009667</v>
      </c>
      <c r="B9753">
        <v>9078</v>
      </c>
      <c r="C9753">
        <v>1</v>
      </c>
      <c r="D9753" s="17" t="s">
        <v>17166</v>
      </c>
      <c r="E9753" s="17"/>
      <c r="F9753" s="17" t="s">
        <v>17246</v>
      </c>
      <c r="G9753" s="17"/>
      <c r="H9753" s="17" t="s">
        <v>20919</v>
      </c>
      <c r="I9753" s="17"/>
      <c r="J9753" s="17" t="s">
        <v>21313</v>
      </c>
      <c r="K9753" s="17"/>
      <c r="L9753" s="17" t="s">
        <v>21326</v>
      </c>
      <c r="M9753" s="17"/>
      <c r="N9753" s="17" t="s">
        <v>21577</v>
      </c>
      <c r="O9753" s="17"/>
      <c r="P9753" s="17" t="s">
        <v>22105</v>
      </c>
      <c r="Q9753" s="17"/>
      <c r="R9753" s="25" t="str">
        <f>HYPERLINK("https://ictv.global/taxonomy/taxondetails?taxnode_id=202310566","Pohlevirus arvadaptatum")</f>
        <v>Pohlevirus arvadaptatum</v>
      </c>
      <c r="S9753" s="18" t="s">
        <v>30</v>
      </c>
      <c r="T9753" s="18" t="s">
        <v>22106</v>
      </c>
      <c r="U9753" s="18"/>
      <c r="V9753" s="18"/>
      <c r="W9753" s="18" t="s">
        <v>22107</v>
      </c>
      <c r="X9753" s="18" t="s">
        <v>35</v>
      </c>
      <c r="Y9753" s="18" t="s">
        <v>17171</v>
      </c>
      <c r="Z9753" s="18" t="s">
        <v>697</v>
      </c>
      <c r="AA9753" s="21" t="str">
        <f>HYPERLINK("https://www.ncbi.nlm.nih.gov/nuccore/BK013503","NCBI Nucleotide")</f>
        <v>NCBI Nucleotide</v>
      </c>
    </row>
    <row r="9754" spans="1:27" x14ac:dyDescent="0.35">
      <c r="A9754">
        <v>1009668</v>
      </c>
      <c r="B9754">
        <v>9079</v>
      </c>
      <c r="C9754">
        <v>1</v>
      </c>
      <c r="D9754" s="17" t="s">
        <v>17166</v>
      </c>
      <c r="E9754" s="17"/>
      <c r="F9754" s="17" t="s">
        <v>17246</v>
      </c>
      <c r="G9754" s="17"/>
      <c r="H9754" s="17" t="s">
        <v>20919</v>
      </c>
      <c r="I9754" s="17"/>
      <c r="J9754" s="17" t="s">
        <v>21313</v>
      </c>
      <c r="K9754" s="17"/>
      <c r="L9754" s="17" t="s">
        <v>21326</v>
      </c>
      <c r="M9754" s="17"/>
      <c r="N9754" s="17" t="s">
        <v>21577</v>
      </c>
      <c r="O9754" s="17"/>
      <c r="P9754" s="17" t="s">
        <v>22105</v>
      </c>
      <c r="Q9754" s="17"/>
      <c r="R9754" s="25" t="str">
        <f>HYPERLINK("https://ictv.global/taxonomy/taxondetails?taxnode_id=202310568","Pohlevirus arvenecus")</f>
        <v>Pohlevirus arvenecus</v>
      </c>
      <c r="S9754" s="18" t="s">
        <v>30</v>
      </c>
      <c r="T9754" s="18" t="s">
        <v>22108</v>
      </c>
      <c r="U9754" s="18"/>
      <c r="V9754" s="18"/>
      <c r="W9754" s="18" t="s">
        <v>22109</v>
      </c>
      <c r="X9754" s="18" t="s">
        <v>35</v>
      </c>
      <c r="Y9754" s="18" t="s">
        <v>17171</v>
      </c>
      <c r="Z9754" s="18" t="s">
        <v>697</v>
      </c>
      <c r="AA9754" s="21" t="str">
        <f>HYPERLINK("https://www.ncbi.nlm.nih.gov/nuccore/BK013990","NCBI Nucleotide")</f>
        <v>NCBI Nucleotide</v>
      </c>
    </row>
    <row r="9755" spans="1:27" x14ac:dyDescent="0.35">
      <c r="A9755">
        <v>1009669</v>
      </c>
      <c r="B9755">
        <v>9080</v>
      </c>
      <c r="C9755">
        <v>1</v>
      </c>
      <c r="D9755" s="17" t="s">
        <v>17166</v>
      </c>
      <c r="E9755" s="17"/>
      <c r="F9755" s="17" t="s">
        <v>17246</v>
      </c>
      <c r="G9755" s="17"/>
      <c r="H9755" s="17" t="s">
        <v>20919</v>
      </c>
      <c r="I9755" s="17"/>
      <c r="J9755" s="17" t="s">
        <v>21313</v>
      </c>
      <c r="K9755" s="17"/>
      <c r="L9755" s="17" t="s">
        <v>21326</v>
      </c>
      <c r="M9755" s="17"/>
      <c r="N9755" s="17" t="s">
        <v>21577</v>
      </c>
      <c r="O9755" s="17"/>
      <c r="P9755" s="17" t="s">
        <v>22105</v>
      </c>
      <c r="Q9755" s="17"/>
      <c r="R9755" s="25" t="str">
        <f>HYPERLINK("https://ictv.global/taxonomy/taxondetails?taxnode_id=202310564","Pohlevirus arvicola")</f>
        <v>Pohlevirus arvicola</v>
      </c>
      <c r="S9755" s="18" t="s">
        <v>30</v>
      </c>
      <c r="T9755" s="18" t="s">
        <v>22110</v>
      </c>
      <c r="U9755" s="18"/>
      <c r="V9755" s="18"/>
      <c r="W9755" s="18" t="s">
        <v>22111</v>
      </c>
      <c r="X9755" s="18" t="s">
        <v>35</v>
      </c>
      <c r="Y9755" s="18" t="s">
        <v>17171</v>
      </c>
      <c r="Z9755" s="18" t="s">
        <v>697</v>
      </c>
      <c r="AA9755" s="21" t="str">
        <f>HYPERLINK("https://www.ncbi.nlm.nih.gov/nuccore/BK013822","NCBI Nucleotide")</f>
        <v>NCBI Nucleotide</v>
      </c>
    </row>
    <row r="9756" spans="1:27" x14ac:dyDescent="0.35">
      <c r="A9756">
        <v>1009670</v>
      </c>
      <c r="B9756">
        <v>9081</v>
      </c>
      <c r="C9756">
        <v>1</v>
      </c>
      <c r="D9756" s="17" t="s">
        <v>17166</v>
      </c>
      <c r="E9756" s="17"/>
      <c r="F9756" s="17" t="s">
        <v>17246</v>
      </c>
      <c r="G9756" s="17"/>
      <c r="H9756" s="17" t="s">
        <v>20919</v>
      </c>
      <c r="I9756" s="17"/>
      <c r="J9756" s="17" t="s">
        <v>21313</v>
      </c>
      <c r="K9756" s="17"/>
      <c r="L9756" s="17" t="s">
        <v>21326</v>
      </c>
      <c r="M9756" s="17"/>
      <c r="N9756" s="17" t="s">
        <v>21577</v>
      </c>
      <c r="O9756" s="17"/>
      <c r="P9756" s="17" t="s">
        <v>22105</v>
      </c>
      <c r="Q9756" s="17"/>
      <c r="R9756" s="25" t="str">
        <f>HYPERLINK("https://ictv.global/taxonomy/taxondetails?taxnode_id=202310567","Pohlevirus caenicola")</f>
        <v>Pohlevirus caenicola</v>
      </c>
      <c r="S9756" s="18" t="s">
        <v>30</v>
      </c>
      <c r="T9756" s="18" t="s">
        <v>22112</v>
      </c>
      <c r="U9756" s="18"/>
      <c r="V9756" s="18"/>
      <c r="W9756" s="18" t="s">
        <v>22113</v>
      </c>
      <c r="X9756" s="18" t="s">
        <v>35</v>
      </c>
      <c r="Y9756" s="18" t="s">
        <v>17171</v>
      </c>
      <c r="Z9756" s="18" t="s">
        <v>697</v>
      </c>
      <c r="AA9756" s="21" t="str">
        <f>HYPERLINK("https://www.ncbi.nlm.nih.gov/nuccore/BK014051","NCBI Nucleotide")</f>
        <v>NCBI Nucleotide</v>
      </c>
    </row>
    <row r="9757" spans="1:27" x14ac:dyDescent="0.35">
      <c r="A9757">
        <v>1009671</v>
      </c>
      <c r="B9757">
        <v>9082</v>
      </c>
      <c r="C9757">
        <v>1</v>
      </c>
      <c r="D9757" s="17" t="s">
        <v>17166</v>
      </c>
      <c r="E9757" s="17"/>
      <c r="F9757" s="17" t="s">
        <v>17246</v>
      </c>
      <c r="G9757" s="17"/>
      <c r="H9757" s="17" t="s">
        <v>20919</v>
      </c>
      <c r="I9757" s="17"/>
      <c r="J9757" s="17" t="s">
        <v>21313</v>
      </c>
      <c r="K9757" s="17"/>
      <c r="L9757" s="17" t="s">
        <v>21326</v>
      </c>
      <c r="M9757" s="17"/>
      <c r="N9757" s="17" t="s">
        <v>21577</v>
      </c>
      <c r="O9757" s="17"/>
      <c r="P9757" s="17" t="s">
        <v>22105</v>
      </c>
      <c r="Q9757" s="17"/>
      <c r="R9757" s="25" t="str">
        <f>HYPERLINK("https://ictv.global/taxonomy/taxondetails?taxnode_id=202310565","Pohlevirus chorovivens")</f>
        <v>Pohlevirus chorovivens</v>
      </c>
      <c r="S9757" s="18" t="s">
        <v>30</v>
      </c>
      <c r="T9757" s="18" t="s">
        <v>22114</v>
      </c>
      <c r="U9757" s="18"/>
      <c r="V9757" s="18"/>
      <c r="W9757" s="18" t="s">
        <v>22115</v>
      </c>
      <c r="X9757" s="18" t="s">
        <v>35</v>
      </c>
      <c r="Y9757" s="18" t="s">
        <v>17171</v>
      </c>
      <c r="Z9757" s="18" t="s">
        <v>697</v>
      </c>
      <c r="AA9757" s="21" t="str">
        <f>HYPERLINK("https://www.ncbi.nlm.nih.gov/nuccore/BK013916","NCBI Nucleotide")</f>
        <v>NCBI Nucleotide</v>
      </c>
    </row>
    <row r="9758" spans="1:27" x14ac:dyDescent="0.35">
      <c r="A9758">
        <v>1026509</v>
      </c>
      <c r="B9758">
        <v>9083</v>
      </c>
      <c r="C9758">
        <v>1</v>
      </c>
      <c r="D9758" s="17" t="s">
        <v>17166</v>
      </c>
      <c r="E9758" s="17"/>
      <c r="F9758" s="17" t="s">
        <v>17246</v>
      </c>
      <c r="G9758" s="17"/>
      <c r="H9758" s="17" t="s">
        <v>20919</v>
      </c>
      <c r="I9758" s="17"/>
      <c r="J9758" s="17" t="s">
        <v>21313</v>
      </c>
      <c r="K9758" s="17"/>
      <c r="L9758" s="17" t="s">
        <v>21326</v>
      </c>
      <c r="M9758" s="17"/>
      <c r="N9758" s="17" t="s">
        <v>21577</v>
      </c>
      <c r="O9758" s="17"/>
      <c r="P9758" s="17" t="s">
        <v>22105</v>
      </c>
      <c r="Q9758" s="17"/>
      <c r="R9758" s="25" t="str">
        <f>HYPERLINK("https://ictv.global/taxonomy/taxondetails?taxnode_id=202316580","Pohlevirus edaphenecus")</f>
        <v>Pohlevirus edaphenecus</v>
      </c>
      <c r="S9758" s="18" t="s">
        <v>30</v>
      </c>
      <c r="T9758" s="18" t="s">
        <v>43777</v>
      </c>
      <c r="U9758" s="18"/>
      <c r="V9758" s="18"/>
      <c r="W9758" s="18" t="s">
        <v>43778</v>
      </c>
      <c r="X9758" s="18" t="s">
        <v>35</v>
      </c>
      <c r="Y9758" s="18" t="s">
        <v>17171</v>
      </c>
      <c r="Z9758" s="18" t="s">
        <v>24637</v>
      </c>
      <c r="AA9758" s="21" t="str">
        <f>HYPERLINK("https://www.ncbi.nlm.nih.gov/nuccore/CASDWV010004379","NCBI Nucleotide")</f>
        <v>NCBI Nucleotide</v>
      </c>
    </row>
    <row r="9759" spans="1:27" x14ac:dyDescent="0.35">
      <c r="A9759">
        <v>1026510</v>
      </c>
      <c r="B9759">
        <v>9084</v>
      </c>
      <c r="C9759">
        <v>1</v>
      </c>
      <c r="D9759" s="17" t="s">
        <v>17166</v>
      </c>
      <c r="E9759" s="17"/>
      <c r="F9759" s="17" t="s">
        <v>17246</v>
      </c>
      <c r="G9759" s="17"/>
      <c r="H9759" s="17" t="s">
        <v>20919</v>
      </c>
      <c r="I9759" s="17"/>
      <c r="J9759" s="17" t="s">
        <v>21313</v>
      </c>
      <c r="K9759" s="17"/>
      <c r="L9759" s="17" t="s">
        <v>21326</v>
      </c>
      <c r="M9759" s="17"/>
      <c r="N9759" s="17" t="s">
        <v>21577</v>
      </c>
      <c r="O9759" s="17"/>
      <c r="P9759" s="17" t="s">
        <v>22105</v>
      </c>
      <c r="Q9759" s="17"/>
      <c r="R9759" s="25" t="str">
        <f>HYPERLINK("https://ictv.global/taxonomy/taxondetails?taxnode_id=202316581","Pohlevirus limihabitans")</f>
        <v>Pohlevirus limihabitans</v>
      </c>
      <c r="S9759" s="18" t="s">
        <v>30</v>
      </c>
      <c r="T9759" s="18" t="s">
        <v>43779</v>
      </c>
      <c r="U9759" s="18"/>
      <c r="V9759" s="18"/>
      <c r="W9759" s="18" t="s">
        <v>43780</v>
      </c>
      <c r="X9759" s="18" t="s">
        <v>35</v>
      </c>
      <c r="Y9759" s="18" t="s">
        <v>17171</v>
      </c>
      <c r="Z9759" s="18" t="s">
        <v>24637</v>
      </c>
      <c r="AA9759" s="21" t="str">
        <f>HYPERLINK("https://www.ncbi.nlm.nih.gov/nuccore/CASDWV010000806","NCBI Nucleotide")</f>
        <v>NCBI Nucleotide</v>
      </c>
    </row>
    <row r="9760" spans="1:27" x14ac:dyDescent="0.35">
      <c r="A9760">
        <v>1026511</v>
      </c>
      <c r="B9760">
        <v>9085</v>
      </c>
      <c r="C9760">
        <v>1</v>
      </c>
      <c r="D9760" s="17" t="s">
        <v>17166</v>
      </c>
      <c r="E9760" s="17"/>
      <c r="F9760" s="17" t="s">
        <v>17246</v>
      </c>
      <c r="G9760" s="17"/>
      <c r="H9760" s="17" t="s">
        <v>20919</v>
      </c>
      <c r="I9760" s="17"/>
      <c r="J9760" s="17" t="s">
        <v>21313</v>
      </c>
      <c r="K9760" s="17"/>
      <c r="L9760" s="17" t="s">
        <v>21326</v>
      </c>
      <c r="M9760" s="17"/>
      <c r="N9760" s="17" t="s">
        <v>21577</v>
      </c>
      <c r="O9760" s="17"/>
      <c r="P9760" s="17" t="s">
        <v>22105</v>
      </c>
      <c r="Q9760" s="17"/>
      <c r="R9760" s="25" t="str">
        <f>HYPERLINK("https://ictv.global/taxonomy/taxondetails?taxnode_id=202316582","Pohlevirus messivivens")</f>
        <v>Pohlevirus messivivens</v>
      </c>
      <c r="S9760" s="18" t="s">
        <v>30</v>
      </c>
      <c r="T9760" s="18" t="s">
        <v>43781</v>
      </c>
      <c r="U9760" s="18"/>
      <c r="V9760" s="18"/>
      <c r="W9760" s="18" t="s">
        <v>43782</v>
      </c>
      <c r="X9760" s="18" t="s">
        <v>35</v>
      </c>
      <c r="Y9760" s="18" t="s">
        <v>17171</v>
      </c>
      <c r="Z9760" s="18" t="s">
        <v>24637</v>
      </c>
      <c r="AA9760" s="21" t="str">
        <f>HYPERLINK("https://www.ncbi.nlm.nih.gov/nuccore/CASDWV010002159","NCBI Nucleotide")</f>
        <v>NCBI Nucleotide</v>
      </c>
    </row>
    <row r="9761" spans="1:27" x14ac:dyDescent="0.35">
      <c r="A9761">
        <v>1026512</v>
      </c>
      <c r="B9761">
        <v>9086</v>
      </c>
      <c r="C9761">
        <v>1</v>
      </c>
      <c r="D9761" s="17" t="s">
        <v>17166</v>
      </c>
      <c r="E9761" s="17"/>
      <c r="F9761" s="17" t="s">
        <v>17246</v>
      </c>
      <c r="G9761" s="17"/>
      <c r="H9761" s="17" t="s">
        <v>20919</v>
      </c>
      <c r="I9761" s="17"/>
      <c r="J9761" s="17" t="s">
        <v>21313</v>
      </c>
      <c r="K9761" s="17"/>
      <c r="L9761" s="17" t="s">
        <v>21326</v>
      </c>
      <c r="M9761" s="17"/>
      <c r="N9761" s="17" t="s">
        <v>21577</v>
      </c>
      <c r="O9761" s="17"/>
      <c r="P9761" s="17" t="s">
        <v>22105</v>
      </c>
      <c r="Q9761" s="17"/>
      <c r="R9761" s="25" t="str">
        <f>HYPERLINK("https://ictv.global/taxonomy/taxondetails?taxnode_id=202316583","Pohlevirus neoarvadaptatum")</f>
        <v>Pohlevirus neoarvadaptatum</v>
      </c>
      <c r="S9761" s="18" t="s">
        <v>30</v>
      </c>
      <c r="T9761" s="18" t="s">
        <v>43783</v>
      </c>
      <c r="U9761" s="18"/>
      <c r="V9761" s="18"/>
      <c r="W9761" s="18" t="s">
        <v>43784</v>
      </c>
      <c r="X9761" s="18" t="s">
        <v>35</v>
      </c>
      <c r="Y9761" s="18" t="s">
        <v>17171</v>
      </c>
      <c r="Z9761" s="18" t="s">
        <v>24637</v>
      </c>
      <c r="AA9761" s="21" t="str">
        <f>HYPERLINK("https://www.ncbi.nlm.nih.gov/nuccore/CASDWV010002295","NCBI Nucleotide")</f>
        <v>NCBI Nucleotide</v>
      </c>
    </row>
    <row r="9762" spans="1:27" x14ac:dyDescent="0.35">
      <c r="A9762">
        <v>1026513</v>
      </c>
      <c r="B9762">
        <v>9087</v>
      </c>
      <c r="C9762">
        <v>1</v>
      </c>
      <c r="D9762" s="17" t="s">
        <v>17166</v>
      </c>
      <c r="E9762" s="17"/>
      <c r="F9762" s="17" t="s">
        <v>17246</v>
      </c>
      <c r="G9762" s="17"/>
      <c r="H9762" s="17" t="s">
        <v>20919</v>
      </c>
      <c r="I9762" s="17"/>
      <c r="J9762" s="17" t="s">
        <v>21313</v>
      </c>
      <c r="K9762" s="17"/>
      <c r="L9762" s="17" t="s">
        <v>21326</v>
      </c>
      <c r="M9762" s="17"/>
      <c r="N9762" s="17" t="s">
        <v>21577</v>
      </c>
      <c r="O9762" s="17"/>
      <c r="P9762" s="17" t="s">
        <v>22105</v>
      </c>
      <c r="Q9762" s="17"/>
      <c r="R9762" s="25" t="str">
        <f>HYPERLINK("https://ictv.global/taxonomy/taxondetails?taxnode_id=202316584","Pohlevirus pedovivens")</f>
        <v>Pohlevirus pedovivens</v>
      </c>
      <c r="S9762" s="18" t="s">
        <v>30</v>
      </c>
      <c r="T9762" s="18" t="s">
        <v>43785</v>
      </c>
      <c r="U9762" s="18"/>
      <c r="V9762" s="18"/>
      <c r="W9762" s="18" t="s">
        <v>43786</v>
      </c>
      <c r="X9762" s="18" t="s">
        <v>35</v>
      </c>
      <c r="Y9762" s="18" t="s">
        <v>17171</v>
      </c>
      <c r="Z9762" s="18" t="s">
        <v>24637</v>
      </c>
      <c r="AA9762" s="21" t="str">
        <f>HYPERLINK("https://www.ncbi.nlm.nih.gov/nuccore/CASDWV010000075","NCBI Nucleotide")</f>
        <v>NCBI Nucleotide</v>
      </c>
    </row>
    <row r="9763" spans="1:27" x14ac:dyDescent="0.35">
      <c r="A9763">
        <v>1026494</v>
      </c>
      <c r="B9763">
        <v>9088</v>
      </c>
      <c r="C9763">
        <v>1</v>
      </c>
      <c r="D9763" s="17" t="s">
        <v>17166</v>
      </c>
      <c r="E9763" s="17"/>
      <c r="F9763" s="17" t="s">
        <v>17246</v>
      </c>
      <c r="G9763" s="17"/>
      <c r="H9763" s="17" t="s">
        <v>20919</v>
      </c>
      <c r="I9763" s="17"/>
      <c r="J9763" s="17" t="s">
        <v>21313</v>
      </c>
      <c r="K9763" s="17"/>
      <c r="L9763" s="17" t="s">
        <v>21326</v>
      </c>
      <c r="M9763" s="17"/>
      <c r="N9763" s="17" t="s">
        <v>21577</v>
      </c>
      <c r="O9763" s="17"/>
      <c r="P9763" s="17" t="s">
        <v>22118</v>
      </c>
      <c r="Q9763" s="17"/>
      <c r="R9763" s="25" t="str">
        <f>HYPERLINK("https://ictv.global/taxonomy/taxondetails?taxnode_id=202316585","Poncivirus caenihabitans")</f>
        <v>Poncivirus caenihabitans</v>
      </c>
      <c r="S9763" s="18" t="s">
        <v>30</v>
      </c>
      <c r="T9763" s="18" t="s">
        <v>43787</v>
      </c>
      <c r="U9763" s="18"/>
      <c r="V9763" s="18"/>
      <c r="W9763" s="18" t="s">
        <v>43788</v>
      </c>
      <c r="X9763" s="18" t="s">
        <v>35</v>
      </c>
      <c r="Y9763" s="18" t="s">
        <v>17171</v>
      </c>
      <c r="Z9763" s="18" t="s">
        <v>24637</v>
      </c>
      <c r="AA9763" s="21" t="str">
        <f>HYPERLINK("https://www.ncbi.nlm.nih.gov/nuccore/CASDWV010001476","NCBI Nucleotide")</f>
        <v>NCBI Nucleotide</v>
      </c>
    </row>
    <row r="9764" spans="1:27" x14ac:dyDescent="0.35">
      <c r="A9764">
        <v>1009673</v>
      </c>
      <c r="B9764">
        <v>9089</v>
      </c>
      <c r="C9764">
        <v>1</v>
      </c>
      <c r="D9764" s="17" t="s">
        <v>17166</v>
      </c>
      <c r="E9764" s="17"/>
      <c r="F9764" s="17" t="s">
        <v>17246</v>
      </c>
      <c r="G9764" s="17"/>
      <c r="H9764" s="17" t="s">
        <v>20919</v>
      </c>
      <c r="I9764" s="17"/>
      <c r="J9764" s="17" t="s">
        <v>21313</v>
      </c>
      <c r="K9764" s="17"/>
      <c r="L9764" s="17" t="s">
        <v>21326</v>
      </c>
      <c r="M9764" s="17"/>
      <c r="N9764" s="17" t="s">
        <v>21577</v>
      </c>
      <c r="O9764" s="17"/>
      <c r="P9764" s="17" t="s">
        <v>22118</v>
      </c>
      <c r="Q9764" s="17"/>
      <c r="R9764" s="25" t="str">
        <f>HYPERLINK("https://ictv.global/taxonomy/taxondetails?taxnode_id=202310572","Poncivirus insecticola")</f>
        <v>Poncivirus insecticola</v>
      </c>
      <c r="S9764" s="18" t="s">
        <v>30</v>
      </c>
      <c r="T9764" s="18" t="s">
        <v>22119</v>
      </c>
      <c r="U9764" s="18"/>
      <c r="V9764" s="18"/>
      <c r="W9764" s="18" t="s">
        <v>22120</v>
      </c>
      <c r="X9764" s="18" t="s">
        <v>35</v>
      </c>
      <c r="Y9764" s="18" t="s">
        <v>17171</v>
      </c>
      <c r="Z9764" s="18" t="s">
        <v>697</v>
      </c>
      <c r="AA9764" s="21" t="str">
        <f>HYPERLINK("https://www.ncbi.nlm.nih.gov/nuccore/BK013355","NCBI Nucleotide")</f>
        <v>NCBI Nucleotide</v>
      </c>
    </row>
    <row r="9765" spans="1:27" x14ac:dyDescent="0.35">
      <c r="A9765">
        <v>1026495</v>
      </c>
      <c r="B9765">
        <v>9090</v>
      </c>
      <c r="C9765">
        <v>1</v>
      </c>
      <c r="D9765" s="17" t="s">
        <v>17166</v>
      </c>
      <c r="E9765" s="17"/>
      <c r="F9765" s="17" t="s">
        <v>17246</v>
      </c>
      <c r="G9765" s="17"/>
      <c r="H9765" s="17" t="s">
        <v>20919</v>
      </c>
      <c r="I9765" s="17"/>
      <c r="J9765" s="17" t="s">
        <v>21313</v>
      </c>
      <c r="K9765" s="17"/>
      <c r="L9765" s="17" t="s">
        <v>21326</v>
      </c>
      <c r="M9765" s="17"/>
      <c r="N9765" s="17" t="s">
        <v>21577</v>
      </c>
      <c r="O9765" s="17"/>
      <c r="P9765" s="17" t="s">
        <v>22118</v>
      </c>
      <c r="Q9765" s="17"/>
      <c r="R9765" s="25" t="str">
        <f>HYPERLINK("https://ictv.global/taxonomy/taxondetails?taxnode_id=202316586","Poncivirus pelenecus")</f>
        <v>Poncivirus pelenecus</v>
      </c>
      <c r="S9765" s="18" t="s">
        <v>30</v>
      </c>
      <c r="T9765" s="18" t="s">
        <v>43789</v>
      </c>
      <c r="U9765" s="18"/>
      <c r="V9765" s="18"/>
      <c r="W9765" s="18" t="s">
        <v>43790</v>
      </c>
      <c r="X9765" s="18" t="s">
        <v>35</v>
      </c>
      <c r="Y9765" s="18" t="s">
        <v>17171</v>
      </c>
      <c r="Z9765" s="18" t="s">
        <v>24637</v>
      </c>
      <c r="AA9765" s="21" t="str">
        <f>HYPERLINK("https://www.ncbi.nlm.nih.gov/nuccore/CASDWV010000821","NCBI Nucleotide")</f>
        <v>NCBI Nucleotide</v>
      </c>
    </row>
    <row r="9766" spans="1:27" x14ac:dyDescent="0.35">
      <c r="A9766">
        <v>1026496</v>
      </c>
      <c r="B9766">
        <v>9091</v>
      </c>
      <c r="C9766">
        <v>1</v>
      </c>
      <c r="D9766" s="17" t="s">
        <v>17166</v>
      </c>
      <c r="E9766" s="17"/>
      <c r="F9766" s="17" t="s">
        <v>17246</v>
      </c>
      <c r="G9766" s="17"/>
      <c r="H9766" s="17" t="s">
        <v>20919</v>
      </c>
      <c r="I9766" s="17"/>
      <c r="J9766" s="17" t="s">
        <v>21313</v>
      </c>
      <c r="K9766" s="17"/>
      <c r="L9766" s="17" t="s">
        <v>21326</v>
      </c>
      <c r="M9766" s="17"/>
      <c r="N9766" s="17" t="s">
        <v>21577</v>
      </c>
      <c r="O9766" s="17"/>
      <c r="P9766" s="17" t="s">
        <v>22118</v>
      </c>
      <c r="Q9766" s="17"/>
      <c r="R9766" s="25" t="str">
        <f>HYPERLINK("https://ictv.global/taxonomy/taxondetails?taxnode_id=202316587","Poncivirus terricola")</f>
        <v>Poncivirus terricola</v>
      </c>
      <c r="S9766" s="18" t="s">
        <v>30</v>
      </c>
      <c r="T9766" s="18" t="s">
        <v>43791</v>
      </c>
      <c r="U9766" s="18"/>
      <c r="V9766" s="18"/>
      <c r="W9766" s="18" t="s">
        <v>43792</v>
      </c>
      <c r="X9766" s="18" t="s">
        <v>35</v>
      </c>
      <c r="Y9766" s="18" t="s">
        <v>17171</v>
      </c>
      <c r="Z9766" s="18" t="s">
        <v>24637</v>
      </c>
      <c r="AA9766" s="21" t="str">
        <f>HYPERLINK("https://www.ncbi.nlm.nih.gov/nuccore/CASDWV010000122","NCBI Nucleotide")</f>
        <v>NCBI Nucleotide</v>
      </c>
    </row>
    <row r="9767" spans="1:27" x14ac:dyDescent="0.35">
      <c r="A9767">
        <v>1026502</v>
      </c>
      <c r="B9767">
        <v>9092</v>
      </c>
      <c r="C9767">
        <v>1</v>
      </c>
      <c r="D9767" s="17" t="s">
        <v>17166</v>
      </c>
      <c r="E9767" s="17"/>
      <c r="F9767" s="17" t="s">
        <v>17246</v>
      </c>
      <c r="G9767" s="17"/>
      <c r="H9767" s="17" t="s">
        <v>20919</v>
      </c>
      <c r="I9767" s="17"/>
      <c r="J9767" s="17" t="s">
        <v>21313</v>
      </c>
      <c r="K9767" s="17"/>
      <c r="L9767" s="17" t="s">
        <v>21326</v>
      </c>
      <c r="M9767" s="17"/>
      <c r="N9767" s="17" t="s">
        <v>21577</v>
      </c>
      <c r="O9767" s="17"/>
      <c r="P9767" s="17" t="s">
        <v>43793</v>
      </c>
      <c r="Q9767" s="17"/>
      <c r="R9767" s="25" t="str">
        <f>HYPERLINK("https://ictv.global/taxonomy/taxondetails?taxnode_id=202316588","Prihavirus agrivicinum")</f>
        <v>Prihavirus agrivicinum</v>
      </c>
      <c r="S9767" s="18" t="s">
        <v>30</v>
      </c>
      <c r="T9767" s="18" t="s">
        <v>43794</v>
      </c>
      <c r="U9767" s="18"/>
      <c r="V9767" s="18"/>
      <c r="W9767" s="18" t="s">
        <v>43795</v>
      </c>
      <c r="X9767" s="18" t="s">
        <v>35</v>
      </c>
      <c r="Y9767" s="18" t="s">
        <v>17171</v>
      </c>
      <c r="Z9767" s="18" t="s">
        <v>24637</v>
      </c>
      <c r="AA9767" s="21" t="str">
        <f>HYPERLINK("https://www.ncbi.nlm.nih.gov/nuccore/CASDWV010005055","NCBI Nucleotide")</f>
        <v>NCBI Nucleotide</v>
      </c>
    </row>
    <row r="9768" spans="1:27" x14ac:dyDescent="0.35">
      <c r="A9768">
        <v>1026503</v>
      </c>
      <c r="B9768">
        <v>9093</v>
      </c>
      <c r="C9768">
        <v>1</v>
      </c>
      <c r="D9768" s="17" t="s">
        <v>17166</v>
      </c>
      <c r="E9768" s="17"/>
      <c r="F9768" s="17" t="s">
        <v>17246</v>
      </c>
      <c r="G9768" s="17"/>
      <c r="H9768" s="17" t="s">
        <v>20919</v>
      </c>
      <c r="I9768" s="17"/>
      <c r="J9768" s="17" t="s">
        <v>21313</v>
      </c>
      <c r="K9768" s="17"/>
      <c r="L9768" s="17" t="s">
        <v>21326</v>
      </c>
      <c r="M9768" s="17"/>
      <c r="N9768" s="17" t="s">
        <v>21577</v>
      </c>
      <c r="O9768" s="17"/>
      <c r="P9768" s="17" t="s">
        <v>43793</v>
      </c>
      <c r="Q9768" s="17"/>
      <c r="R9768" s="25" t="str">
        <f>HYPERLINK("https://ictv.global/taxonomy/taxondetails?taxnode_id=202316589","Prihavirus asiadaptatum")</f>
        <v>Prihavirus asiadaptatum</v>
      </c>
      <c r="S9768" s="18" t="s">
        <v>30</v>
      </c>
      <c r="T9768" s="18" t="s">
        <v>43796</v>
      </c>
      <c r="U9768" s="18"/>
      <c r="V9768" s="18"/>
      <c r="W9768" s="18" t="s">
        <v>43797</v>
      </c>
      <c r="X9768" s="18" t="s">
        <v>35</v>
      </c>
      <c r="Y9768" s="18" t="s">
        <v>17171</v>
      </c>
      <c r="Z9768" s="18" t="s">
        <v>24637</v>
      </c>
      <c r="AA9768" s="21" t="str">
        <f>HYPERLINK("https://www.ncbi.nlm.nih.gov/nuccore/CASDWV010001045","NCBI Nucleotide")</f>
        <v>NCBI Nucleotide</v>
      </c>
    </row>
    <row r="9769" spans="1:27" x14ac:dyDescent="0.35">
      <c r="A9769">
        <v>1026504</v>
      </c>
      <c r="B9769">
        <v>9094</v>
      </c>
      <c r="C9769">
        <v>1</v>
      </c>
      <c r="D9769" s="17" t="s">
        <v>17166</v>
      </c>
      <c r="E9769" s="17"/>
      <c r="F9769" s="17" t="s">
        <v>17246</v>
      </c>
      <c r="G9769" s="17"/>
      <c r="H9769" s="17" t="s">
        <v>20919</v>
      </c>
      <c r="I9769" s="17"/>
      <c r="J9769" s="17" t="s">
        <v>21313</v>
      </c>
      <c r="K9769" s="17"/>
      <c r="L9769" s="17" t="s">
        <v>21326</v>
      </c>
      <c r="M9769" s="17"/>
      <c r="N9769" s="17" t="s">
        <v>21577</v>
      </c>
      <c r="O9769" s="17"/>
      <c r="P9769" s="17" t="s">
        <v>43793</v>
      </c>
      <c r="Q9769" s="17"/>
      <c r="R9769" s="25" t="str">
        <f>HYPERLINK("https://ictv.global/taxonomy/taxondetails?taxnode_id=202316590","Prihavirus edaphocola")</f>
        <v>Prihavirus edaphocola</v>
      </c>
      <c r="S9769" s="18" t="s">
        <v>30</v>
      </c>
      <c r="T9769" s="18" t="s">
        <v>43798</v>
      </c>
      <c r="U9769" s="18"/>
      <c r="V9769" s="18"/>
      <c r="W9769" s="18" t="s">
        <v>43799</v>
      </c>
      <c r="X9769" s="18" t="s">
        <v>35</v>
      </c>
      <c r="Y9769" s="18" t="s">
        <v>17171</v>
      </c>
      <c r="Z9769" s="18" t="s">
        <v>24637</v>
      </c>
      <c r="AA9769" s="21" t="str">
        <f>HYPERLINK("https://www.ncbi.nlm.nih.gov/nuccore/CASDWV010002566","NCBI Nucleotide")</f>
        <v>NCBI Nucleotide</v>
      </c>
    </row>
    <row r="9770" spans="1:27" x14ac:dyDescent="0.35">
      <c r="A9770">
        <v>1026505</v>
      </c>
      <c r="B9770">
        <v>9095</v>
      </c>
      <c r="C9770">
        <v>1</v>
      </c>
      <c r="D9770" s="17" t="s">
        <v>17166</v>
      </c>
      <c r="E9770" s="17"/>
      <c r="F9770" s="17" t="s">
        <v>17246</v>
      </c>
      <c r="G9770" s="17"/>
      <c r="H9770" s="17" t="s">
        <v>20919</v>
      </c>
      <c r="I9770" s="17"/>
      <c r="J9770" s="17" t="s">
        <v>21313</v>
      </c>
      <c r="K9770" s="17"/>
      <c r="L9770" s="17" t="s">
        <v>21326</v>
      </c>
      <c r="M9770" s="17"/>
      <c r="N9770" s="17" t="s">
        <v>21577</v>
      </c>
      <c r="O9770" s="17"/>
      <c r="P9770" s="17" t="s">
        <v>43793</v>
      </c>
      <c r="Q9770" s="17"/>
      <c r="R9770" s="25" t="str">
        <f>HYPERLINK("https://ictv.global/taxonomy/taxondetails?taxnode_id=202316591","Prihavirus edaphovivens")</f>
        <v>Prihavirus edaphovivens</v>
      </c>
      <c r="S9770" s="18" t="s">
        <v>30</v>
      </c>
      <c r="T9770" s="18" t="s">
        <v>43800</v>
      </c>
      <c r="U9770" s="18"/>
      <c r="V9770" s="18"/>
      <c r="W9770" s="18" t="s">
        <v>43801</v>
      </c>
      <c r="X9770" s="18" t="s">
        <v>35</v>
      </c>
      <c r="Y9770" s="18" t="s">
        <v>17171</v>
      </c>
      <c r="Z9770" s="18" t="s">
        <v>24637</v>
      </c>
      <c r="AA9770" s="21" t="str">
        <f>HYPERLINK("https://www.ncbi.nlm.nih.gov/nuccore/CASDWV010002168","NCBI Nucleotide")</f>
        <v>NCBI Nucleotide</v>
      </c>
    </row>
    <row r="9771" spans="1:27" x14ac:dyDescent="0.35">
      <c r="A9771">
        <v>1026506</v>
      </c>
      <c r="B9771">
        <v>9096</v>
      </c>
      <c r="C9771">
        <v>1</v>
      </c>
      <c r="D9771" s="17" t="s">
        <v>17166</v>
      </c>
      <c r="E9771" s="17"/>
      <c r="F9771" s="17" t="s">
        <v>17246</v>
      </c>
      <c r="G9771" s="17"/>
      <c r="H9771" s="17" t="s">
        <v>20919</v>
      </c>
      <c r="I9771" s="17"/>
      <c r="J9771" s="17" t="s">
        <v>21313</v>
      </c>
      <c r="K9771" s="17"/>
      <c r="L9771" s="17" t="s">
        <v>21326</v>
      </c>
      <c r="M9771" s="17"/>
      <c r="N9771" s="17" t="s">
        <v>21577</v>
      </c>
      <c r="O9771" s="17"/>
      <c r="P9771" s="17" t="s">
        <v>43793</v>
      </c>
      <c r="Q9771" s="17"/>
      <c r="R9771" s="25" t="str">
        <f>HYPERLINK("https://ictv.global/taxonomy/taxondetails?taxnode_id=202316592","Prihavirus segeticola")</f>
        <v>Prihavirus segeticola</v>
      </c>
      <c r="S9771" s="18" t="s">
        <v>30</v>
      </c>
      <c r="T9771" s="18" t="s">
        <v>43802</v>
      </c>
      <c r="U9771" s="18"/>
      <c r="V9771" s="18"/>
      <c r="W9771" s="18" t="s">
        <v>43803</v>
      </c>
      <c r="X9771" s="18" t="s">
        <v>35</v>
      </c>
      <c r="Y9771" s="18" t="s">
        <v>17171</v>
      </c>
      <c r="Z9771" s="18" t="s">
        <v>24637</v>
      </c>
      <c r="AA9771" s="21" t="str">
        <f>HYPERLINK("https://www.ncbi.nlm.nih.gov/nuccore/CASDWV010000830","NCBI Nucleotide")</f>
        <v>NCBI Nucleotide</v>
      </c>
    </row>
    <row r="9772" spans="1:27" x14ac:dyDescent="0.35">
      <c r="A9772">
        <v>1026507</v>
      </c>
      <c r="B9772">
        <v>9097</v>
      </c>
      <c r="C9772">
        <v>1</v>
      </c>
      <c r="D9772" s="17" t="s">
        <v>17166</v>
      </c>
      <c r="E9772" s="17"/>
      <c r="F9772" s="17" t="s">
        <v>17246</v>
      </c>
      <c r="G9772" s="17"/>
      <c r="H9772" s="17" t="s">
        <v>20919</v>
      </c>
      <c r="I9772" s="17"/>
      <c r="J9772" s="17" t="s">
        <v>21313</v>
      </c>
      <c r="K9772" s="17"/>
      <c r="L9772" s="17" t="s">
        <v>21326</v>
      </c>
      <c r="M9772" s="17"/>
      <c r="N9772" s="17" t="s">
        <v>21577</v>
      </c>
      <c r="O9772" s="17"/>
      <c r="P9772" s="17" t="s">
        <v>43804</v>
      </c>
      <c r="Q9772" s="17"/>
      <c r="R9772" s="25" t="str">
        <f>HYPERLINK("https://ictv.global/taxonomy/taxondetails?taxnode_id=202316593","Prihovirus limivicinum")</f>
        <v>Prihovirus limivicinum</v>
      </c>
      <c r="S9772" s="18" t="s">
        <v>30</v>
      </c>
      <c r="T9772" s="18" t="s">
        <v>43805</v>
      </c>
      <c r="U9772" s="18"/>
      <c r="V9772" s="18"/>
      <c r="W9772" s="18" t="s">
        <v>43806</v>
      </c>
      <c r="X9772" s="18" t="s">
        <v>35</v>
      </c>
      <c r="Y9772" s="18" t="s">
        <v>17171</v>
      </c>
      <c r="Z9772" s="18" t="s">
        <v>24637</v>
      </c>
      <c r="AA9772" s="21" t="str">
        <f>HYPERLINK("https://www.ncbi.nlm.nih.gov/nuccore/CASDWV010000782","NCBI Nucleotide")</f>
        <v>NCBI Nucleotide</v>
      </c>
    </row>
    <row r="9773" spans="1:27" x14ac:dyDescent="0.35">
      <c r="A9773">
        <v>1026398</v>
      </c>
      <c r="B9773">
        <v>9098</v>
      </c>
      <c r="C9773">
        <v>1</v>
      </c>
      <c r="D9773" s="17" t="s">
        <v>17166</v>
      </c>
      <c r="E9773" s="17"/>
      <c r="F9773" s="17" t="s">
        <v>17246</v>
      </c>
      <c r="G9773" s="17"/>
      <c r="H9773" s="17" t="s">
        <v>20919</v>
      </c>
      <c r="I9773" s="17"/>
      <c r="J9773" s="17" t="s">
        <v>21313</v>
      </c>
      <c r="K9773" s="17"/>
      <c r="L9773" s="17" t="s">
        <v>21326</v>
      </c>
      <c r="M9773" s="17"/>
      <c r="N9773" s="17" t="s">
        <v>21577</v>
      </c>
      <c r="O9773" s="17"/>
      <c r="P9773" s="17" t="s">
        <v>43807</v>
      </c>
      <c r="Q9773" s="17"/>
      <c r="R9773" s="25" t="str">
        <f>HYPERLINK("https://ictv.global/taxonomy/taxondetails?taxnode_id=202316594","Prisdovirus caenihabitans")</f>
        <v>Prisdovirus caenihabitans</v>
      </c>
      <c r="S9773" s="18" t="s">
        <v>30</v>
      </c>
      <c r="T9773" s="18" t="s">
        <v>43808</v>
      </c>
      <c r="U9773" s="18"/>
      <c r="V9773" s="18"/>
      <c r="W9773" s="18" t="s">
        <v>43809</v>
      </c>
      <c r="X9773" s="18" t="s">
        <v>35</v>
      </c>
      <c r="Y9773" s="18" t="s">
        <v>17171</v>
      </c>
      <c r="Z9773" s="18" t="s">
        <v>24637</v>
      </c>
      <c r="AA9773" s="21" t="str">
        <f>HYPERLINK("https://www.ncbi.nlm.nih.gov/nuccore/CASDWV010002499","NCBI Nucleotide")</f>
        <v>NCBI Nucleotide</v>
      </c>
    </row>
    <row r="9774" spans="1:27" x14ac:dyDescent="0.35">
      <c r="A9774">
        <v>1026435</v>
      </c>
      <c r="B9774">
        <v>9099</v>
      </c>
      <c r="C9774">
        <v>1</v>
      </c>
      <c r="D9774" s="17" t="s">
        <v>17166</v>
      </c>
      <c r="E9774" s="17"/>
      <c r="F9774" s="17" t="s">
        <v>17246</v>
      </c>
      <c r="G9774" s="17"/>
      <c r="H9774" s="17" t="s">
        <v>20919</v>
      </c>
      <c r="I9774" s="17"/>
      <c r="J9774" s="17" t="s">
        <v>21313</v>
      </c>
      <c r="K9774" s="17"/>
      <c r="L9774" s="17" t="s">
        <v>21326</v>
      </c>
      <c r="M9774" s="17"/>
      <c r="N9774" s="17" t="s">
        <v>21577</v>
      </c>
      <c r="O9774" s="17"/>
      <c r="P9774" s="17" t="s">
        <v>43810</v>
      </c>
      <c r="Q9774" s="17"/>
      <c r="R9774" s="25" t="str">
        <f>HYPERLINK("https://ictv.global/taxonomy/taxondetails?taxnode_id=202316595","Prosdovirus pedohabitans")</f>
        <v>Prosdovirus pedohabitans</v>
      </c>
      <c r="S9774" s="18" t="s">
        <v>30</v>
      </c>
      <c r="T9774" s="18" t="s">
        <v>43811</v>
      </c>
      <c r="U9774" s="18"/>
      <c r="V9774" s="18"/>
      <c r="W9774" s="18" t="s">
        <v>43812</v>
      </c>
      <c r="X9774" s="18" t="s">
        <v>35</v>
      </c>
      <c r="Y9774" s="18" t="s">
        <v>17171</v>
      </c>
      <c r="Z9774" s="18" t="s">
        <v>24637</v>
      </c>
      <c r="AA9774" s="21" t="str">
        <f>HYPERLINK("https://www.ncbi.nlm.nih.gov/nuccore/CASDWV010000716","NCBI Nucleotide")</f>
        <v>NCBI Nucleotide</v>
      </c>
    </row>
    <row r="9775" spans="1:27" x14ac:dyDescent="0.35">
      <c r="A9775">
        <v>1026442</v>
      </c>
      <c r="B9775">
        <v>9100</v>
      </c>
      <c r="C9775">
        <v>1</v>
      </c>
      <c r="D9775" s="17" t="s">
        <v>17166</v>
      </c>
      <c r="E9775" s="17"/>
      <c r="F9775" s="17" t="s">
        <v>17246</v>
      </c>
      <c r="G9775" s="17"/>
      <c r="H9775" s="17" t="s">
        <v>20919</v>
      </c>
      <c r="I9775" s="17"/>
      <c r="J9775" s="17" t="s">
        <v>21313</v>
      </c>
      <c r="K9775" s="17"/>
      <c r="L9775" s="17" t="s">
        <v>21326</v>
      </c>
      <c r="M9775" s="17"/>
      <c r="N9775" s="17" t="s">
        <v>21577</v>
      </c>
      <c r="O9775" s="17"/>
      <c r="P9775" s="17" t="s">
        <v>43813</v>
      </c>
      <c r="Q9775" s="17"/>
      <c r="R9775" s="25" t="str">
        <f>HYPERLINK("https://ictv.global/taxonomy/taxondetails?taxnode_id=202316596","Pruncivirus chthonohabitans")</f>
        <v>Pruncivirus chthonohabitans</v>
      </c>
      <c r="S9775" s="18" t="s">
        <v>30</v>
      </c>
      <c r="T9775" s="18" t="s">
        <v>43814</v>
      </c>
      <c r="U9775" s="18"/>
      <c r="V9775" s="18"/>
      <c r="W9775" s="18" t="s">
        <v>43815</v>
      </c>
      <c r="X9775" s="18" t="s">
        <v>35</v>
      </c>
      <c r="Y9775" s="18" t="s">
        <v>17171</v>
      </c>
      <c r="Z9775" s="18" t="s">
        <v>24637</v>
      </c>
      <c r="AA9775" s="21" t="str">
        <f>HYPERLINK("https://www.ncbi.nlm.nih.gov/nuccore/CASDWV010004593","NCBI Nucleotide")</f>
        <v>NCBI Nucleotide</v>
      </c>
    </row>
    <row r="9776" spans="1:27" x14ac:dyDescent="0.35">
      <c r="A9776">
        <v>1009680</v>
      </c>
      <c r="B9776">
        <v>9101</v>
      </c>
      <c r="C9776">
        <v>1</v>
      </c>
      <c r="D9776" s="17" t="s">
        <v>17166</v>
      </c>
      <c r="E9776" s="17"/>
      <c r="F9776" s="17" t="s">
        <v>17246</v>
      </c>
      <c r="G9776" s="17"/>
      <c r="H9776" s="17" t="s">
        <v>20919</v>
      </c>
      <c r="I9776" s="17"/>
      <c r="J9776" s="17" t="s">
        <v>21313</v>
      </c>
      <c r="K9776" s="17"/>
      <c r="L9776" s="17" t="s">
        <v>21326</v>
      </c>
      <c r="M9776" s="17"/>
      <c r="N9776" s="17" t="s">
        <v>21577</v>
      </c>
      <c r="O9776" s="17"/>
      <c r="P9776" s="17" t="s">
        <v>22133</v>
      </c>
      <c r="Q9776" s="17"/>
      <c r="R9776" s="25" t="str">
        <f>HYPERLINK("https://ictv.global/taxonomy/taxondetails?taxnode_id=202310582","Psimevirus caenivicinum")</f>
        <v>Psimevirus caenivicinum</v>
      </c>
      <c r="S9776" s="18" t="s">
        <v>30</v>
      </c>
      <c r="T9776" s="18" t="s">
        <v>22134</v>
      </c>
      <c r="U9776" s="18"/>
      <c r="V9776" s="18"/>
      <c r="W9776" s="18" t="s">
        <v>22135</v>
      </c>
      <c r="X9776" s="18" t="s">
        <v>35</v>
      </c>
      <c r="Y9776" s="18" t="s">
        <v>17171</v>
      </c>
      <c r="Z9776" s="18" t="s">
        <v>697</v>
      </c>
      <c r="AA9776" s="21" t="str">
        <f>HYPERLINK("https://www.ncbi.nlm.nih.gov/nuccore/BK014217","NCBI Nucleotide")</f>
        <v>NCBI Nucleotide</v>
      </c>
    </row>
    <row r="9777" spans="1:27" x14ac:dyDescent="0.35">
      <c r="A9777">
        <v>1026446</v>
      </c>
      <c r="B9777">
        <v>9102</v>
      </c>
      <c r="C9777">
        <v>1</v>
      </c>
      <c r="D9777" s="17" t="s">
        <v>17166</v>
      </c>
      <c r="E9777" s="17"/>
      <c r="F9777" s="17" t="s">
        <v>17246</v>
      </c>
      <c r="G9777" s="17"/>
      <c r="H9777" s="17" t="s">
        <v>20919</v>
      </c>
      <c r="I9777" s="17"/>
      <c r="J9777" s="17" t="s">
        <v>21313</v>
      </c>
      <c r="K9777" s="17"/>
      <c r="L9777" s="17" t="s">
        <v>21326</v>
      </c>
      <c r="M9777" s="17"/>
      <c r="N9777" s="17" t="s">
        <v>21577</v>
      </c>
      <c r="O9777" s="17"/>
      <c r="P9777" s="17" t="s">
        <v>22133</v>
      </c>
      <c r="Q9777" s="17"/>
      <c r="R9777" s="25" t="str">
        <f>HYPERLINK("https://ictv.global/taxonomy/taxondetails?taxnode_id=202316597","Psimevirus choradaptatum")</f>
        <v>Psimevirus choradaptatum</v>
      </c>
      <c r="S9777" s="18" t="s">
        <v>30</v>
      </c>
      <c r="T9777" s="18" t="s">
        <v>43816</v>
      </c>
      <c r="U9777" s="18"/>
      <c r="V9777" s="18"/>
      <c r="W9777" s="18" t="s">
        <v>43817</v>
      </c>
      <c r="X9777" s="18" t="s">
        <v>35</v>
      </c>
      <c r="Y9777" s="18" t="s">
        <v>17171</v>
      </c>
      <c r="Z9777" s="18" t="s">
        <v>24637</v>
      </c>
      <c r="AA9777" s="21" t="str">
        <f>HYPERLINK("https://www.ncbi.nlm.nih.gov/nuccore/CASDWV010001484","NCBI Nucleotide")</f>
        <v>NCBI Nucleotide</v>
      </c>
    </row>
    <row r="9778" spans="1:27" x14ac:dyDescent="0.35">
      <c r="A9778">
        <v>1009681</v>
      </c>
      <c r="B9778">
        <v>9103</v>
      </c>
      <c r="C9778">
        <v>1</v>
      </c>
      <c r="D9778" s="17" t="s">
        <v>17166</v>
      </c>
      <c r="E9778" s="17"/>
      <c r="F9778" s="17" t="s">
        <v>17246</v>
      </c>
      <c r="G9778" s="17"/>
      <c r="H9778" s="17" t="s">
        <v>20919</v>
      </c>
      <c r="I9778" s="17"/>
      <c r="J9778" s="17" t="s">
        <v>21313</v>
      </c>
      <c r="K9778" s="17"/>
      <c r="L9778" s="17" t="s">
        <v>21326</v>
      </c>
      <c r="M9778" s="17"/>
      <c r="N9778" s="17" t="s">
        <v>21577</v>
      </c>
      <c r="O9778" s="17"/>
      <c r="P9778" s="17" t="s">
        <v>22133</v>
      </c>
      <c r="Q9778" s="17"/>
      <c r="R9778" s="25" t="str">
        <f>HYPERLINK("https://ictv.global/taxonomy/taxondetails?taxnode_id=202310581","Psimevirus pedocola")</f>
        <v>Psimevirus pedocola</v>
      </c>
      <c r="S9778" s="18" t="s">
        <v>30</v>
      </c>
      <c r="T9778" s="18" t="s">
        <v>22136</v>
      </c>
      <c r="U9778" s="18"/>
      <c r="V9778" s="18"/>
      <c r="W9778" s="18" t="s">
        <v>22137</v>
      </c>
      <c r="X9778" s="18" t="s">
        <v>35</v>
      </c>
      <c r="Y9778" s="18" t="s">
        <v>17171</v>
      </c>
      <c r="Z9778" s="18" t="s">
        <v>697</v>
      </c>
      <c r="AA9778" s="21" t="str">
        <f>HYPERLINK("https://www.ncbi.nlm.nih.gov/nuccore/BK013800","NCBI Nucleotide")</f>
        <v>NCBI Nucleotide</v>
      </c>
    </row>
    <row r="9779" spans="1:27" x14ac:dyDescent="0.35">
      <c r="A9779">
        <v>1026447</v>
      </c>
      <c r="B9779">
        <v>9104</v>
      </c>
      <c r="C9779">
        <v>1</v>
      </c>
      <c r="D9779" s="17" t="s">
        <v>17166</v>
      </c>
      <c r="E9779" s="17"/>
      <c r="F9779" s="17" t="s">
        <v>17246</v>
      </c>
      <c r="G9779" s="17"/>
      <c r="H9779" s="17" t="s">
        <v>20919</v>
      </c>
      <c r="I9779" s="17"/>
      <c r="J9779" s="17" t="s">
        <v>21313</v>
      </c>
      <c r="K9779" s="17"/>
      <c r="L9779" s="17" t="s">
        <v>21326</v>
      </c>
      <c r="M9779" s="17"/>
      <c r="N9779" s="17" t="s">
        <v>21577</v>
      </c>
      <c r="O9779" s="17"/>
      <c r="P9779" s="17" t="s">
        <v>22133</v>
      </c>
      <c r="Q9779" s="17"/>
      <c r="R9779" s="25" t="str">
        <f>HYPERLINK("https://ictv.global/taxonomy/taxondetails?taxnode_id=202316598","Psimevirus segetivivens")</f>
        <v>Psimevirus segetivivens</v>
      </c>
      <c r="S9779" s="18" t="s">
        <v>30</v>
      </c>
      <c r="T9779" s="18" t="s">
        <v>43818</v>
      </c>
      <c r="U9779" s="18"/>
      <c r="V9779" s="18"/>
      <c r="W9779" s="18" t="s">
        <v>43819</v>
      </c>
      <c r="X9779" s="18" t="s">
        <v>35</v>
      </c>
      <c r="Y9779" s="18" t="s">
        <v>17171</v>
      </c>
      <c r="Z9779" s="18" t="s">
        <v>24637</v>
      </c>
      <c r="AA9779" s="21" t="str">
        <f>HYPERLINK("https://www.ncbi.nlm.nih.gov/nuccore/CASDWV010003152","NCBI Nucleotide")</f>
        <v>NCBI Nucleotide</v>
      </c>
    </row>
    <row r="9780" spans="1:27" x14ac:dyDescent="0.35">
      <c r="A9780">
        <v>1009682</v>
      </c>
      <c r="B9780">
        <v>9105</v>
      </c>
      <c r="C9780">
        <v>1</v>
      </c>
      <c r="D9780" s="17" t="s">
        <v>17166</v>
      </c>
      <c r="E9780" s="17"/>
      <c r="F9780" s="17" t="s">
        <v>17246</v>
      </c>
      <c r="G9780" s="17"/>
      <c r="H9780" s="17" t="s">
        <v>20919</v>
      </c>
      <c r="I9780" s="17"/>
      <c r="J9780" s="17" t="s">
        <v>21313</v>
      </c>
      <c r="K9780" s="17"/>
      <c r="L9780" s="17" t="s">
        <v>21326</v>
      </c>
      <c r="M9780" s="17"/>
      <c r="N9780" s="17" t="s">
        <v>21577</v>
      </c>
      <c r="O9780" s="17"/>
      <c r="P9780" s="17" t="s">
        <v>22138</v>
      </c>
      <c r="Q9780" s="17"/>
      <c r="R9780" s="25" t="str">
        <f>HYPERLINK("https://ictv.global/taxonomy/taxondetails?taxnode_id=202310584","Pudlivirus limivicinum")</f>
        <v>Pudlivirus limivicinum</v>
      </c>
      <c r="S9780" s="18" t="s">
        <v>30</v>
      </c>
      <c r="T9780" s="18" t="s">
        <v>22139</v>
      </c>
      <c r="U9780" s="18"/>
      <c r="V9780" s="18"/>
      <c r="W9780" s="18" t="s">
        <v>22140</v>
      </c>
      <c r="X9780" s="18" t="s">
        <v>35</v>
      </c>
      <c r="Y9780" s="18" t="s">
        <v>17171</v>
      </c>
      <c r="Z9780" s="18" t="s">
        <v>697</v>
      </c>
      <c r="AA9780" s="21" t="str">
        <f>HYPERLINK("https://www.ncbi.nlm.nih.gov/nuccore/BK014075","NCBI Nucleotide")</f>
        <v>NCBI Nucleotide</v>
      </c>
    </row>
    <row r="9781" spans="1:27" x14ac:dyDescent="0.35">
      <c r="A9781">
        <v>1026393</v>
      </c>
      <c r="B9781">
        <v>9106</v>
      </c>
      <c r="C9781">
        <v>1</v>
      </c>
      <c r="D9781" s="17" t="s">
        <v>17166</v>
      </c>
      <c r="E9781" s="17"/>
      <c r="F9781" s="17" t="s">
        <v>17246</v>
      </c>
      <c r="G9781" s="17"/>
      <c r="H9781" s="17" t="s">
        <v>20919</v>
      </c>
      <c r="I9781" s="17"/>
      <c r="J9781" s="17" t="s">
        <v>21313</v>
      </c>
      <c r="K9781" s="17"/>
      <c r="L9781" s="17" t="s">
        <v>21326</v>
      </c>
      <c r="M9781" s="17"/>
      <c r="N9781" s="17" t="s">
        <v>21577</v>
      </c>
      <c r="O9781" s="17"/>
      <c r="P9781" s="17" t="s">
        <v>43820</v>
      </c>
      <c r="Q9781" s="17"/>
      <c r="R9781" s="25" t="str">
        <f>HYPERLINK("https://ictv.global/taxonomy/taxondetails?taxnode_id=202316599","Punlevirus solihabitans")</f>
        <v>Punlevirus solihabitans</v>
      </c>
      <c r="S9781" s="18" t="s">
        <v>30</v>
      </c>
      <c r="T9781" s="18" t="s">
        <v>43821</v>
      </c>
      <c r="U9781" s="18"/>
      <c r="V9781" s="18"/>
      <c r="W9781" s="18" t="s">
        <v>43822</v>
      </c>
      <c r="X9781" s="18" t="s">
        <v>35</v>
      </c>
      <c r="Y9781" s="18" t="s">
        <v>17171</v>
      </c>
      <c r="Z9781" s="18" t="s">
        <v>24637</v>
      </c>
      <c r="AA9781" s="21" t="str">
        <f>HYPERLINK("https://www.ncbi.nlm.nih.gov/nuccore/CASDWV010001741","NCBI Nucleotide")</f>
        <v>NCBI Nucleotide</v>
      </c>
    </row>
    <row r="9782" spans="1:27" x14ac:dyDescent="0.35">
      <c r="A9782">
        <v>1009683</v>
      </c>
      <c r="B9782">
        <v>9107</v>
      </c>
      <c r="C9782">
        <v>1</v>
      </c>
      <c r="D9782" s="17" t="s">
        <v>17166</v>
      </c>
      <c r="E9782" s="17"/>
      <c r="F9782" s="17" t="s">
        <v>17246</v>
      </c>
      <c r="G9782" s="17"/>
      <c r="H9782" s="17" t="s">
        <v>20919</v>
      </c>
      <c r="I9782" s="17"/>
      <c r="J9782" s="17" t="s">
        <v>21313</v>
      </c>
      <c r="K9782" s="17"/>
      <c r="L9782" s="17" t="s">
        <v>21326</v>
      </c>
      <c r="M9782" s="17"/>
      <c r="N9782" s="17" t="s">
        <v>21577</v>
      </c>
      <c r="O9782" s="17"/>
      <c r="P9782" s="17" t="s">
        <v>22141</v>
      </c>
      <c r="Q9782" s="17"/>
      <c r="R9782" s="25" t="str">
        <f>HYPERLINK("https://ictv.global/taxonomy/taxondetails?taxnode_id=202303755","Qubevirus durum")</f>
        <v>Qubevirus durum</v>
      </c>
      <c r="S9782" s="18" t="s">
        <v>30</v>
      </c>
      <c r="T9782" s="18" t="s">
        <v>22142</v>
      </c>
      <c r="U9782" s="18"/>
      <c r="V9782" s="18"/>
      <c r="W9782" s="18" t="s">
        <v>22143</v>
      </c>
      <c r="X9782" s="18" t="s">
        <v>42</v>
      </c>
      <c r="Y9782" s="18" t="s">
        <v>17171</v>
      </c>
      <c r="Z9782" s="18" t="s">
        <v>697</v>
      </c>
      <c r="AA9782" s="21" t="str">
        <f>HYPERLINK("https://www.ncbi.nlm.nih.gov/nuccore/AF059242","NCBI Nucleotide")</f>
        <v>NCBI Nucleotide</v>
      </c>
    </row>
    <row r="9783" spans="1:27" x14ac:dyDescent="0.35">
      <c r="A9783">
        <v>1026391</v>
      </c>
      <c r="B9783">
        <v>9108</v>
      </c>
      <c r="C9783">
        <v>1</v>
      </c>
      <c r="D9783" s="17" t="s">
        <v>17166</v>
      </c>
      <c r="E9783" s="17"/>
      <c r="F9783" s="17" t="s">
        <v>17246</v>
      </c>
      <c r="G9783" s="17"/>
      <c r="H9783" s="17" t="s">
        <v>20919</v>
      </c>
      <c r="I9783" s="17"/>
      <c r="J9783" s="17" t="s">
        <v>21313</v>
      </c>
      <c r="K9783" s="17"/>
      <c r="L9783" s="17" t="s">
        <v>21326</v>
      </c>
      <c r="M9783" s="17"/>
      <c r="N9783" s="17" t="s">
        <v>21577</v>
      </c>
      <c r="O9783" s="17"/>
      <c r="P9783" s="17" t="s">
        <v>22141</v>
      </c>
      <c r="Q9783" s="17"/>
      <c r="R9783" s="25" t="str">
        <f>HYPERLINK("https://ictv.global/taxonomy/taxondetails?taxnode_id=202316600","Qubevirus escherichienecus")</f>
        <v>Qubevirus escherichienecus</v>
      </c>
      <c r="S9783" s="18" t="s">
        <v>30</v>
      </c>
      <c r="T9783" s="18" t="s">
        <v>43823</v>
      </c>
      <c r="U9783" s="18"/>
      <c r="V9783" s="18" t="s">
        <v>43824</v>
      </c>
      <c r="W9783" s="18" t="s">
        <v>43825</v>
      </c>
      <c r="X9783" s="18" t="s">
        <v>42</v>
      </c>
      <c r="Y9783" s="18" t="s">
        <v>17171</v>
      </c>
      <c r="Z9783" s="18" t="s">
        <v>697</v>
      </c>
      <c r="AA9783" s="21" t="str">
        <f>HYPERLINK("https://www.ncbi.nlm.nih.gov/nuccore/FJ483841","NCBI Nucleotide")</f>
        <v>NCBI Nucleotide</v>
      </c>
    </row>
    <row r="9784" spans="1:27" x14ac:dyDescent="0.35">
      <c r="A9784">
        <v>1009684</v>
      </c>
      <c r="B9784">
        <v>9109</v>
      </c>
      <c r="C9784">
        <v>1</v>
      </c>
      <c r="D9784" s="17" t="s">
        <v>17166</v>
      </c>
      <c r="E9784" s="17"/>
      <c r="F9784" s="17" t="s">
        <v>17246</v>
      </c>
      <c r="G9784" s="17"/>
      <c r="H9784" s="17" t="s">
        <v>20919</v>
      </c>
      <c r="I9784" s="17"/>
      <c r="J9784" s="17" t="s">
        <v>21313</v>
      </c>
      <c r="K9784" s="17"/>
      <c r="L9784" s="17" t="s">
        <v>21326</v>
      </c>
      <c r="M9784" s="17"/>
      <c r="N9784" s="17" t="s">
        <v>21577</v>
      </c>
      <c r="O9784" s="17"/>
      <c r="P9784" s="17" t="s">
        <v>22141</v>
      </c>
      <c r="Q9784" s="17"/>
      <c r="R9784" s="25" t="str">
        <f>HYPERLINK("https://ictv.global/taxonomy/taxondetails?taxnode_id=202303754","Qubevirus faecium")</f>
        <v>Qubevirus faecium</v>
      </c>
      <c r="S9784" s="18" t="s">
        <v>30</v>
      </c>
      <c r="T9784" s="18" t="s">
        <v>22144</v>
      </c>
      <c r="U9784" s="18"/>
      <c r="V9784" s="18"/>
      <c r="W9784" s="18" t="s">
        <v>22145</v>
      </c>
      <c r="X9784" s="18" t="s">
        <v>42</v>
      </c>
      <c r="Y9784" s="18" t="s">
        <v>17171</v>
      </c>
      <c r="Z9784" s="18" t="s">
        <v>697</v>
      </c>
      <c r="AA9784" s="21" t="str">
        <f>HYPERLINK("https://www.ncbi.nlm.nih.gov/nuccore/EF068134","NCBI Nucleotide")</f>
        <v>NCBI Nucleotide</v>
      </c>
    </row>
    <row r="9785" spans="1:27" x14ac:dyDescent="0.35">
      <c r="A9785">
        <v>1026475</v>
      </c>
      <c r="B9785">
        <v>9110</v>
      </c>
      <c r="C9785">
        <v>1</v>
      </c>
      <c r="D9785" s="17" t="s">
        <v>17166</v>
      </c>
      <c r="E9785" s="17"/>
      <c r="F9785" s="17" t="s">
        <v>17246</v>
      </c>
      <c r="G9785" s="17"/>
      <c r="H9785" s="17" t="s">
        <v>20919</v>
      </c>
      <c r="I9785" s="17"/>
      <c r="J9785" s="17" t="s">
        <v>21313</v>
      </c>
      <c r="K9785" s="17"/>
      <c r="L9785" s="17" t="s">
        <v>21326</v>
      </c>
      <c r="M9785" s="17"/>
      <c r="N9785" s="17" t="s">
        <v>21577</v>
      </c>
      <c r="O9785" s="17"/>
      <c r="P9785" s="17" t="s">
        <v>43826</v>
      </c>
      <c r="Q9785" s="17"/>
      <c r="R9785" s="25" t="str">
        <f>HYPERLINK("https://ictv.global/taxonomy/taxondetails?taxnode_id=202316601","Quihndavirus agradaptatum")</f>
        <v>Quihndavirus agradaptatum</v>
      </c>
      <c r="S9785" s="18" t="s">
        <v>30</v>
      </c>
      <c r="T9785" s="18" t="s">
        <v>43827</v>
      </c>
      <c r="U9785" s="18"/>
      <c r="V9785" s="18"/>
      <c r="W9785" s="18" t="s">
        <v>43828</v>
      </c>
      <c r="X9785" s="18" t="s">
        <v>35</v>
      </c>
      <c r="Y9785" s="18" t="s">
        <v>17171</v>
      </c>
      <c r="Z9785" s="18" t="s">
        <v>24637</v>
      </c>
      <c r="AA9785" s="21" t="str">
        <f>HYPERLINK("https://www.ncbi.nlm.nih.gov/nuccore/CASDWV010000738","NCBI Nucleotide")</f>
        <v>NCBI Nucleotide</v>
      </c>
    </row>
    <row r="9786" spans="1:27" x14ac:dyDescent="0.35">
      <c r="A9786">
        <v>1026476</v>
      </c>
      <c r="B9786">
        <v>9111</v>
      </c>
      <c r="C9786">
        <v>1</v>
      </c>
      <c r="D9786" s="17" t="s">
        <v>17166</v>
      </c>
      <c r="E9786" s="17"/>
      <c r="F9786" s="17" t="s">
        <v>17246</v>
      </c>
      <c r="G9786" s="17"/>
      <c r="H9786" s="17" t="s">
        <v>20919</v>
      </c>
      <c r="I9786" s="17"/>
      <c r="J9786" s="17" t="s">
        <v>21313</v>
      </c>
      <c r="K9786" s="17"/>
      <c r="L9786" s="17" t="s">
        <v>21326</v>
      </c>
      <c r="M9786" s="17"/>
      <c r="N9786" s="17" t="s">
        <v>21577</v>
      </c>
      <c r="O9786" s="17"/>
      <c r="P9786" s="17" t="s">
        <v>43826</v>
      </c>
      <c r="Q9786" s="17"/>
      <c r="R9786" s="25" t="str">
        <f>HYPERLINK("https://ictv.global/taxonomy/taxondetails?taxnode_id=202316602","Quihndavirus edaphocola")</f>
        <v>Quihndavirus edaphocola</v>
      </c>
      <c r="S9786" s="18" t="s">
        <v>30</v>
      </c>
      <c r="T9786" s="18" t="s">
        <v>43829</v>
      </c>
      <c r="U9786" s="18"/>
      <c r="V9786" s="18"/>
      <c r="W9786" s="18" t="s">
        <v>43830</v>
      </c>
      <c r="X9786" s="18" t="s">
        <v>35</v>
      </c>
      <c r="Y9786" s="18" t="s">
        <v>17171</v>
      </c>
      <c r="Z9786" s="18" t="s">
        <v>24637</v>
      </c>
      <c r="AA9786" s="21" t="str">
        <f>HYPERLINK("https://www.ncbi.nlm.nih.gov/nuccore/CASDWV010003656","NCBI Nucleotide")</f>
        <v>NCBI Nucleotide</v>
      </c>
    </row>
    <row r="9787" spans="1:27" x14ac:dyDescent="0.35">
      <c r="A9787">
        <v>1026477</v>
      </c>
      <c r="B9787">
        <v>9112</v>
      </c>
      <c r="C9787">
        <v>1</v>
      </c>
      <c r="D9787" s="17" t="s">
        <v>17166</v>
      </c>
      <c r="E9787" s="17"/>
      <c r="F9787" s="17" t="s">
        <v>17246</v>
      </c>
      <c r="G9787" s="17"/>
      <c r="H9787" s="17" t="s">
        <v>20919</v>
      </c>
      <c r="I9787" s="17"/>
      <c r="J9787" s="17" t="s">
        <v>21313</v>
      </c>
      <c r="K9787" s="17"/>
      <c r="L9787" s="17" t="s">
        <v>21326</v>
      </c>
      <c r="M9787" s="17"/>
      <c r="N9787" s="17" t="s">
        <v>21577</v>
      </c>
      <c r="O9787" s="17"/>
      <c r="P9787" s="17" t="s">
        <v>43826</v>
      </c>
      <c r="Q9787" s="17"/>
      <c r="R9787" s="25" t="str">
        <f>HYPERLINK("https://ictv.global/taxonomy/taxondetails?taxnode_id=202316603","Quihndavirus edaphohabitans")</f>
        <v>Quihndavirus edaphohabitans</v>
      </c>
      <c r="S9787" s="18" t="s">
        <v>30</v>
      </c>
      <c r="T9787" s="18" t="s">
        <v>43831</v>
      </c>
      <c r="U9787" s="18"/>
      <c r="V9787" s="18"/>
      <c r="W9787" s="18" t="s">
        <v>43832</v>
      </c>
      <c r="X9787" s="18" t="s">
        <v>35</v>
      </c>
      <c r="Y9787" s="18" t="s">
        <v>17171</v>
      </c>
      <c r="Z9787" s="18" t="s">
        <v>24637</v>
      </c>
      <c r="AA9787" s="21" t="str">
        <f>HYPERLINK("https://www.ncbi.nlm.nih.gov/nuccore/CASDWV010000284","NCBI Nucleotide")</f>
        <v>NCBI Nucleotide</v>
      </c>
    </row>
    <row r="9788" spans="1:27" x14ac:dyDescent="0.35">
      <c r="A9788">
        <v>1026478</v>
      </c>
      <c r="B9788">
        <v>9113</v>
      </c>
      <c r="C9788">
        <v>1</v>
      </c>
      <c r="D9788" s="17" t="s">
        <v>17166</v>
      </c>
      <c r="E9788" s="17"/>
      <c r="F9788" s="17" t="s">
        <v>17246</v>
      </c>
      <c r="G9788" s="17"/>
      <c r="H9788" s="17" t="s">
        <v>20919</v>
      </c>
      <c r="I9788" s="17"/>
      <c r="J9788" s="17" t="s">
        <v>21313</v>
      </c>
      <c r="K9788" s="17"/>
      <c r="L9788" s="17" t="s">
        <v>21326</v>
      </c>
      <c r="M9788" s="17"/>
      <c r="N9788" s="17" t="s">
        <v>21577</v>
      </c>
      <c r="O9788" s="17"/>
      <c r="P9788" s="17" t="s">
        <v>43826</v>
      </c>
      <c r="Q9788" s="17"/>
      <c r="R9788" s="25" t="str">
        <f>HYPERLINK("https://ictv.global/taxonomy/taxondetails?taxnode_id=202316604","Quihndavirus radicivivens")</f>
        <v>Quihndavirus radicivivens</v>
      </c>
      <c r="S9788" s="18" t="s">
        <v>30</v>
      </c>
      <c r="T9788" s="18" t="s">
        <v>43833</v>
      </c>
      <c r="U9788" s="18"/>
      <c r="V9788" s="18"/>
      <c r="W9788" s="18" t="s">
        <v>43834</v>
      </c>
      <c r="X9788" s="18" t="s">
        <v>35</v>
      </c>
      <c r="Y9788" s="18" t="s">
        <v>17171</v>
      </c>
      <c r="Z9788" s="18" t="s">
        <v>24637</v>
      </c>
      <c r="AA9788" s="21" t="str">
        <f>HYPERLINK("https://www.ncbi.nlm.nih.gov/nuccore/CASDWV010002188","NCBI Nucleotide")</f>
        <v>NCBI Nucleotide</v>
      </c>
    </row>
    <row r="9789" spans="1:27" x14ac:dyDescent="0.35">
      <c r="A9789">
        <v>1026479</v>
      </c>
      <c r="B9789">
        <v>9114</v>
      </c>
      <c r="C9789">
        <v>1</v>
      </c>
      <c r="D9789" s="17" t="s">
        <v>17166</v>
      </c>
      <c r="E9789" s="17"/>
      <c r="F9789" s="17" t="s">
        <v>17246</v>
      </c>
      <c r="G9789" s="17"/>
      <c r="H9789" s="17" t="s">
        <v>20919</v>
      </c>
      <c r="I9789" s="17"/>
      <c r="J9789" s="17" t="s">
        <v>21313</v>
      </c>
      <c r="K9789" s="17"/>
      <c r="L9789" s="17" t="s">
        <v>21326</v>
      </c>
      <c r="M9789" s="17"/>
      <c r="N9789" s="17" t="s">
        <v>21577</v>
      </c>
      <c r="O9789" s="17"/>
      <c r="P9789" s="17" t="s">
        <v>43826</v>
      </c>
      <c r="Q9789" s="17"/>
      <c r="R9789" s="25" t="str">
        <f>HYPERLINK("https://ictv.global/taxonomy/taxondetails?taxnode_id=202316605","Quihndavirus solicola")</f>
        <v>Quihndavirus solicola</v>
      </c>
      <c r="S9789" s="18" t="s">
        <v>30</v>
      </c>
      <c r="T9789" s="18" t="s">
        <v>43835</v>
      </c>
      <c r="U9789" s="18"/>
      <c r="V9789" s="18"/>
      <c r="W9789" s="18" t="s">
        <v>43836</v>
      </c>
      <c r="X9789" s="18" t="s">
        <v>35</v>
      </c>
      <c r="Y9789" s="18" t="s">
        <v>17171</v>
      </c>
      <c r="Z9789" s="18" t="s">
        <v>24637</v>
      </c>
      <c r="AA9789" s="21" t="str">
        <f>HYPERLINK("https://www.ncbi.nlm.nih.gov/nuccore/CASDWV010004984","NCBI Nucleotide")</f>
        <v>NCBI Nucleotide</v>
      </c>
    </row>
    <row r="9790" spans="1:27" x14ac:dyDescent="0.35">
      <c r="A9790">
        <v>1026480</v>
      </c>
      <c r="B9790">
        <v>9115</v>
      </c>
      <c r="C9790">
        <v>1</v>
      </c>
      <c r="D9790" s="17" t="s">
        <v>17166</v>
      </c>
      <c r="E9790" s="17"/>
      <c r="F9790" s="17" t="s">
        <v>17246</v>
      </c>
      <c r="G9790" s="17"/>
      <c r="H9790" s="17" t="s">
        <v>20919</v>
      </c>
      <c r="I9790" s="17"/>
      <c r="J9790" s="17" t="s">
        <v>21313</v>
      </c>
      <c r="K9790" s="17"/>
      <c r="L9790" s="17" t="s">
        <v>21326</v>
      </c>
      <c r="M9790" s="17"/>
      <c r="N9790" s="17" t="s">
        <v>21577</v>
      </c>
      <c r="O9790" s="17"/>
      <c r="P9790" s="17" t="s">
        <v>43826</v>
      </c>
      <c r="Q9790" s="17"/>
      <c r="R9790" s="25" t="str">
        <f>HYPERLINK("https://ictv.global/taxonomy/taxondetails?taxnode_id=202316606","Quihndavirus telluricola")</f>
        <v>Quihndavirus telluricola</v>
      </c>
      <c r="S9790" s="18" t="s">
        <v>30</v>
      </c>
      <c r="T9790" s="18" t="s">
        <v>43837</v>
      </c>
      <c r="U9790" s="18"/>
      <c r="V9790" s="18"/>
      <c r="W9790" s="18" t="s">
        <v>43838</v>
      </c>
      <c r="X9790" s="18" t="s">
        <v>35</v>
      </c>
      <c r="Y9790" s="18" t="s">
        <v>17171</v>
      </c>
      <c r="Z9790" s="18" t="s">
        <v>24637</v>
      </c>
      <c r="AA9790" s="21" t="str">
        <f>HYPERLINK("https://www.ncbi.nlm.nih.gov/nuccore/CASDWV010004686","NCBI Nucleotide")</f>
        <v>NCBI Nucleotide</v>
      </c>
    </row>
    <row r="9791" spans="1:27" x14ac:dyDescent="0.35">
      <c r="A9791">
        <v>1026448</v>
      </c>
      <c r="B9791">
        <v>9116</v>
      </c>
      <c r="C9791">
        <v>1</v>
      </c>
      <c r="D9791" s="17" t="s">
        <v>17166</v>
      </c>
      <c r="E9791" s="17"/>
      <c r="F9791" s="17" t="s">
        <v>17246</v>
      </c>
      <c r="G9791" s="17"/>
      <c r="H9791" s="17" t="s">
        <v>20919</v>
      </c>
      <c r="I9791" s="17"/>
      <c r="J9791" s="17" t="s">
        <v>21313</v>
      </c>
      <c r="K9791" s="17"/>
      <c r="L9791" s="17" t="s">
        <v>21326</v>
      </c>
      <c r="M9791" s="17"/>
      <c r="N9791" s="17" t="s">
        <v>21577</v>
      </c>
      <c r="O9791" s="17"/>
      <c r="P9791" s="17" t="s">
        <v>22146</v>
      </c>
      <c r="Q9791" s="17"/>
      <c r="R9791" s="25" t="str">
        <f>HYPERLINK("https://ictv.global/taxonomy/taxondetails?taxnode_id=202316607","Radbaivirus agricola")</f>
        <v>Radbaivirus agricola</v>
      </c>
      <c r="S9791" s="18" t="s">
        <v>30</v>
      </c>
      <c r="T9791" s="18" t="s">
        <v>43839</v>
      </c>
      <c r="U9791" s="18"/>
      <c r="V9791" s="18"/>
      <c r="W9791" s="18" t="s">
        <v>43840</v>
      </c>
      <c r="X9791" s="18" t="s">
        <v>35</v>
      </c>
      <c r="Y9791" s="18" t="s">
        <v>17171</v>
      </c>
      <c r="Z9791" s="18" t="s">
        <v>24637</v>
      </c>
      <c r="AA9791" s="21" t="str">
        <f>HYPERLINK("https://www.ncbi.nlm.nih.gov/nuccore/CASDWV010003932","NCBI Nucleotide")</f>
        <v>NCBI Nucleotide</v>
      </c>
    </row>
    <row r="9792" spans="1:27" x14ac:dyDescent="0.35">
      <c r="A9792">
        <v>1026449</v>
      </c>
      <c r="B9792">
        <v>9117</v>
      </c>
      <c r="C9792">
        <v>1</v>
      </c>
      <c r="D9792" s="17" t="s">
        <v>17166</v>
      </c>
      <c r="E9792" s="17"/>
      <c r="F9792" s="17" t="s">
        <v>17246</v>
      </c>
      <c r="G9792" s="17"/>
      <c r="H9792" s="17" t="s">
        <v>20919</v>
      </c>
      <c r="I9792" s="17"/>
      <c r="J9792" s="17" t="s">
        <v>21313</v>
      </c>
      <c r="K9792" s="17"/>
      <c r="L9792" s="17" t="s">
        <v>21326</v>
      </c>
      <c r="M9792" s="17"/>
      <c r="N9792" s="17" t="s">
        <v>21577</v>
      </c>
      <c r="O9792" s="17"/>
      <c r="P9792" s="17" t="s">
        <v>22146</v>
      </c>
      <c r="Q9792" s="17"/>
      <c r="R9792" s="25" t="str">
        <f>HYPERLINK("https://ictv.global/taxonomy/taxondetails?taxnode_id=202316608","Radbaivirus agrivicinum")</f>
        <v>Radbaivirus agrivicinum</v>
      </c>
      <c r="S9792" s="18" t="s">
        <v>30</v>
      </c>
      <c r="T9792" s="18" t="s">
        <v>43841</v>
      </c>
      <c r="U9792" s="18"/>
      <c r="V9792" s="18"/>
      <c r="W9792" s="18" t="s">
        <v>43842</v>
      </c>
      <c r="X9792" s="18" t="s">
        <v>35</v>
      </c>
      <c r="Y9792" s="18" t="s">
        <v>17171</v>
      </c>
      <c r="Z9792" s="18" t="s">
        <v>24637</v>
      </c>
      <c r="AA9792" s="21" t="str">
        <f>HYPERLINK("https://www.ncbi.nlm.nih.gov/nuccore/CASDWV010002250","NCBI Nucleotide")</f>
        <v>NCBI Nucleotide</v>
      </c>
    </row>
    <row r="9793" spans="1:27" x14ac:dyDescent="0.35">
      <c r="A9793">
        <v>1026450</v>
      </c>
      <c r="B9793">
        <v>9118</v>
      </c>
      <c r="C9793">
        <v>1</v>
      </c>
      <c r="D9793" s="17" t="s">
        <v>17166</v>
      </c>
      <c r="E9793" s="17"/>
      <c r="F9793" s="17" t="s">
        <v>17246</v>
      </c>
      <c r="G9793" s="17"/>
      <c r="H9793" s="17" t="s">
        <v>20919</v>
      </c>
      <c r="I9793" s="17"/>
      <c r="J9793" s="17" t="s">
        <v>21313</v>
      </c>
      <c r="K9793" s="17"/>
      <c r="L9793" s="17" t="s">
        <v>21326</v>
      </c>
      <c r="M9793" s="17"/>
      <c r="N9793" s="17" t="s">
        <v>21577</v>
      </c>
      <c r="O9793" s="17"/>
      <c r="P9793" s="17" t="s">
        <v>22146</v>
      </c>
      <c r="Q9793" s="17"/>
      <c r="R9793" s="25" t="str">
        <f>HYPERLINK("https://ictv.global/taxonomy/taxondetails?taxnode_id=202316609","Radbaivirus agrivivens")</f>
        <v>Radbaivirus agrivivens</v>
      </c>
      <c r="S9793" s="18" t="s">
        <v>30</v>
      </c>
      <c r="T9793" s="18" t="s">
        <v>43843</v>
      </c>
      <c r="U9793" s="18"/>
      <c r="V9793" s="18"/>
      <c r="W9793" s="18" t="s">
        <v>43844</v>
      </c>
      <c r="X9793" s="18" t="s">
        <v>35</v>
      </c>
      <c r="Y9793" s="18" t="s">
        <v>17171</v>
      </c>
      <c r="Z9793" s="18" t="s">
        <v>24637</v>
      </c>
      <c r="AA9793" s="21" t="str">
        <f>HYPERLINK("https://www.ncbi.nlm.nih.gov/nuccore/CASDWV010003918","NCBI Nucleotide")</f>
        <v>NCBI Nucleotide</v>
      </c>
    </row>
    <row r="9794" spans="1:27" x14ac:dyDescent="0.35">
      <c r="A9794">
        <v>1026451</v>
      </c>
      <c r="B9794">
        <v>9119</v>
      </c>
      <c r="C9794">
        <v>1</v>
      </c>
      <c r="D9794" s="17" t="s">
        <v>17166</v>
      </c>
      <c r="E9794" s="17"/>
      <c r="F9794" s="17" t="s">
        <v>17246</v>
      </c>
      <c r="G9794" s="17"/>
      <c r="H9794" s="17" t="s">
        <v>20919</v>
      </c>
      <c r="I9794" s="17"/>
      <c r="J9794" s="17" t="s">
        <v>21313</v>
      </c>
      <c r="K9794" s="17"/>
      <c r="L9794" s="17" t="s">
        <v>21326</v>
      </c>
      <c r="M9794" s="17"/>
      <c r="N9794" s="17" t="s">
        <v>21577</v>
      </c>
      <c r="O9794" s="17"/>
      <c r="P9794" s="17" t="s">
        <v>22146</v>
      </c>
      <c r="Q9794" s="17"/>
      <c r="R9794" s="25" t="str">
        <f>HYPERLINK("https://ictv.global/taxonomy/taxondetails?taxnode_id=202316610","Radbaivirus arvadaptatum")</f>
        <v>Radbaivirus arvadaptatum</v>
      </c>
      <c r="S9794" s="18" t="s">
        <v>30</v>
      </c>
      <c r="T9794" s="18" t="s">
        <v>43845</v>
      </c>
      <c r="U9794" s="18"/>
      <c r="V9794" s="18"/>
      <c r="W9794" s="18" t="s">
        <v>43846</v>
      </c>
      <c r="X9794" s="18" t="s">
        <v>35</v>
      </c>
      <c r="Y9794" s="18" t="s">
        <v>17171</v>
      </c>
      <c r="Z9794" s="18" t="s">
        <v>24637</v>
      </c>
      <c r="AA9794" s="21" t="str">
        <f>HYPERLINK("https://www.ncbi.nlm.nih.gov/nuccore/CASDWV010004011","NCBI Nucleotide")</f>
        <v>NCBI Nucleotide</v>
      </c>
    </row>
    <row r="9795" spans="1:27" x14ac:dyDescent="0.35">
      <c r="A9795">
        <v>1026452</v>
      </c>
      <c r="B9795">
        <v>9120</v>
      </c>
      <c r="C9795">
        <v>1</v>
      </c>
      <c r="D9795" s="17" t="s">
        <v>17166</v>
      </c>
      <c r="E9795" s="17"/>
      <c r="F9795" s="17" t="s">
        <v>17246</v>
      </c>
      <c r="G9795" s="17"/>
      <c r="H9795" s="17" t="s">
        <v>20919</v>
      </c>
      <c r="I9795" s="17"/>
      <c r="J9795" s="17" t="s">
        <v>21313</v>
      </c>
      <c r="K9795" s="17"/>
      <c r="L9795" s="17" t="s">
        <v>21326</v>
      </c>
      <c r="M9795" s="17"/>
      <c r="N9795" s="17" t="s">
        <v>21577</v>
      </c>
      <c r="O9795" s="17"/>
      <c r="P9795" s="17" t="s">
        <v>22146</v>
      </c>
      <c r="Q9795" s="17"/>
      <c r="R9795" s="25" t="str">
        <f>HYPERLINK("https://ictv.global/taxonomy/taxondetails?taxnode_id=202316611","Radbaivirus arvenecus")</f>
        <v>Radbaivirus arvenecus</v>
      </c>
      <c r="S9795" s="18" t="s">
        <v>30</v>
      </c>
      <c r="T9795" s="18" t="s">
        <v>43847</v>
      </c>
      <c r="U9795" s="18"/>
      <c r="V9795" s="18"/>
      <c r="W9795" s="18" t="s">
        <v>43848</v>
      </c>
      <c r="X9795" s="18" t="s">
        <v>35</v>
      </c>
      <c r="Y9795" s="18" t="s">
        <v>17171</v>
      </c>
      <c r="Z9795" s="18" t="s">
        <v>24637</v>
      </c>
      <c r="AA9795" s="21" t="str">
        <f>HYPERLINK("https://www.ncbi.nlm.nih.gov/nuccore/CASDWV010000787","NCBI Nucleotide")</f>
        <v>NCBI Nucleotide</v>
      </c>
    </row>
    <row r="9796" spans="1:27" x14ac:dyDescent="0.35">
      <c r="A9796">
        <v>1026453</v>
      </c>
      <c r="B9796">
        <v>9121</v>
      </c>
      <c r="C9796">
        <v>1</v>
      </c>
      <c r="D9796" s="17" t="s">
        <v>17166</v>
      </c>
      <c r="E9796" s="17"/>
      <c r="F9796" s="17" t="s">
        <v>17246</v>
      </c>
      <c r="G9796" s="17"/>
      <c r="H9796" s="17" t="s">
        <v>20919</v>
      </c>
      <c r="I9796" s="17"/>
      <c r="J9796" s="17" t="s">
        <v>21313</v>
      </c>
      <c r="K9796" s="17"/>
      <c r="L9796" s="17" t="s">
        <v>21326</v>
      </c>
      <c r="M9796" s="17"/>
      <c r="N9796" s="17" t="s">
        <v>21577</v>
      </c>
      <c r="O9796" s="17"/>
      <c r="P9796" s="17" t="s">
        <v>22146</v>
      </c>
      <c r="Q9796" s="17"/>
      <c r="R9796" s="25" t="str">
        <f>HYPERLINK("https://ictv.global/taxonomy/taxondetails?taxnode_id=202316612","Radbaivirus arvicola")</f>
        <v>Radbaivirus arvicola</v>
      </c>
      <c r="S9796" s="18" t="s">
        <v>30</v>
      </c>
      <c r="T9796" s="18" t="s">
        <v>43849</v>
      </c>
      <c r="U9796" s="18"/>
      <c r="V9796" s="18"/>
      <c r="W9796" s="18" t="s">
        <v>43850</v>
      </c>
      <c r="X9796" s="18" t="s">
        <v>35</v>
      </c>
      <c r="Y9796" s="18" t="s">
        <v>17171</v>
      </c>
      <c r="Z9796" s="18" t="s">
        <v>24637</v>
      </c>
      <c r="AA9796" s="21" t="str">
        <f>HYPERLINK("https://www.ncbi.nlm.nih.gov/nuccore/CASDWV010003791","NCBI Nucleotide")</f>
        <v>NCBI Nucleotide</v>
      </c>
    </row>
    <row r="9797" spans="1:27" x14ac:dyDescent="0.35">
      <c r="A9797">
        <v>1026454</v>
      </c>
      <c r="B9797">
        <v>9122</v>
      </c>
      <c r="C9797">
        <v>1</v>
      </c>
      <c r="D9797" s="17" t="s">
        <v>17166</v>
      </c>
      <c r="E9797" s="17"/>
      <c r="F9797" s="17" t="s">
        <v>17246</v>
      </c>
      <c r="G9797" s="17"/>
      <c r="H9797" s="17" t="s">
        <v>20919</v>
      </c>
      <c r="I9797" s="17"/>
      <c r="J9797" s="17" t="s">
        <v>21313</v>
      </c>
      <c r="K9797" s="17"/>
      <c r="L9797" s="17" t="s">
        <v>21326</v>
      </c>
      <c r="M9797" s="17"/>
      <c r="N9797" s="17" t="s">
        <v>21577</v>
      </c>
      <c r="O9797" s="17"/>
      <c r="P9797" s="17" t="s">
        <v>22146</v>
      </c>
      <c r="Q9797" s="17"/>
      <c r="R9797" s="25" t="str">
        <f>HYPERLINK("https://ictv.global/taxonomy/taxondetails?taxnode_id=202316613","Radbaivirus asiadaptatum")</f>
        <v>Radbaivirus asiadaptatum</v>
      </c>
      <c r="S9797" s="18" t="s">
        <v>30</v>
      </c>
      <c r="T9797" s="18" t="s">
        <v>43851</v>
      </c>
      <c r="U9797" s="18"/>
      <c r="V9797" s="18"/>
      <c r="W9797" s="18" t="s">
        <v>43852</v>
      </c>
      <c r="X9797" s="18" t="s">
        <v>35</v>
      </c>
      <c r="Y9797" s="18" t="s">
        <v>17171</v>
      </c>
      <c r="Z9797" s="18" t="s">
        <v>24637</v>
      </c>
      <c r="AA9797" s="21" t="str">
        <f>HYPERLINK("https://www.ncbi.nlm.nih.gov/nuccore/CASDWV010004347","NCBI Nucleotide")</f>
        <v>NCBI Nucleotide</v>
      </c>
    </row>
    <row r="9798" spans="1:27" x14ac:dyDescent="0.35">
      <c r="A9798">
        <v>1026455</v>
      </c>
      <c r="B9798">
        <v>9123</v>
      </c>
      <c r="C9798">
        <v>1</v>
      </c>
      <c r="D9798" s="17" t="s">
        <v>17166</v>
      </c>
      <c r="E9798" s="17"/>
      <c r="F9798" s="17" t="s">
        <v>17246</v>
      </c>
      <c r="G9798" s="17"/>
      <c r="H9798" s="17" t="s">
        <v>20919</v>
      </c>
      <c r="I9798" s="17"/>
      <c r="J9798" s="17" t="s">
        <v>21313</v>
      </c>
      <c r="K9798" s="17"/>
      <c r="L9798" s="17" t="s">
        <v>21326</v>
      </c>
      <c r="M9798" s="17"/>
      <c r="N9798" s="17" t="s">
        <v>21577</v>
      </c>
      <c r="O9798" s="17"/>
      <c r="P9798" s="17" t="s">
        <v>22146</v>
      </c>
      <c r="Q9798" s="17"/>
      <c r="R9798" s="25" t="str">
        <f>HYPERLINK("https://ictv.global/taxonomy/taxondetails?taxnode_id=202316614","Radbaivirus asiocola")</f>
        <v>Radbaivirus asiocola</v>
      </c>
      <c r="S9798" s="18" t="s">
        <v>30</v>
      </c>
      <c r="T9798" s="18" t="s">
        <v>43853</v>
      </c>
      <c r="U9798" s="18"/>
      <c r="V9798" s="18"/>
      <c r="W9798" s="18" t="s">
        <v>43854</v>
      </c>
      <c r="X9798" s="18" t="s">
        <v>35</v>
      </c>
      <c r="Y9798" s="18" t="s">
        <v>17171</v>
      </c>
      <c r="Z9798" s="18" t="s">
        <v>24637</v>
      </c>
      <c r="AA9798" s="21" t="str">
        <f>HYPERLINK("https://www.ncbi.nlm.nih.gov/nuccore/CASDWV010003068","NCBI Nucleotide")</f>
        <v>NCBI Nucleotide</v>
      </c>
    </row>
    <row r="9799" spans="1:27" x14ac:dyDescent="0.35">
      <c r="A9799">
        <v>1026456</v>
      </c>
      <c r="B9799">
        <v>9124</v>
      </c>
      <c r="C9799">
        <v>1</v>
      </c>
      <c r="D9799" s="17" t="s">
        <v>17166</v>
      </c>
      <c r="E9799" s="17"/>
      <c r="F9799" s="17" t="s">
        <v>17246</v>
      </c>
      <c r="G9799" s="17"/>
      <c r="H9799" s="17" t="s">
        <v>20919</v>
      </c>
      <c r="I9799" s="17"/>
      <c r="J9799" s="17" t="s">
        <v>21313</v>
      </c>
      <c r="K9799" s="17"/>
      <c r="L9799" s="17" t="s">
        <v>21326</v>
      </c>
      <c r="M9799" s="17"/>
      <c r="N9799" s="17" t="s">
        <v>21577</v>
      </c>
      <c r="O9799" s="17"/>
      <c r="P9799" s="17" t="s">
        <v>22146</v>
      </c>
      <c r="Q9799" s="17"/>
      <c r="R9799" s="25" t="str">
        <f>HYPERLINK("https://ictv.global/taxonomy/taxondetails?taxnode_id=202316615","Radbaivirus asiovicinum")</f>
        <v>Radbaivirus asiovicinum</v>
      </c>
      <c r="S9799" s="18" t="s">
        <v>30</v>
      </c>
      <c r="T9799" s="18" t="s">
        <v>43855</v>
      </c>
      <c r="U9799" s="18"/>
      <c r="V9799" s="18"/>
      <c r="W9799" s="18" t="s">
        <v>43856</v>
      </c>
      <c r="X9799" s="18" t="s">
        <v>35</v>
      </c>
      <c r="Y9799" s="18" t="s">
        <v>17171</v>
      </c>
      <c r="Z9799" s="18" t="s">
        <v>24637</v>
      </c>
      <c r="AA9799" s="21" t="str">
        <f>HYPERLINK("https://www.ncbi.nlm.nih.gov/nuccore/CASDWV010002949","NCBI Nucleotide")</f>
        <v>NCBI Nucleotide</v>
      </c>
    </row>
    <row r="9800" spans="1:27" x14ac:dyDescent="0.35">
      <c r="A9800">
        <v>1026457</v>
      </c>
      <c r="B9800">
        <v>9125</v>
      </c>
      <c r="C9800">
        <v>1</v>
      </c>
      <c r="D9800" s="17" t="s">
        <v>17166</v>
      </c>
      <c r="E9800" s="17"/>
      <c r="F9800" s="17" t="s">
        <v>17246</v>
      </c>
      <c r="G9800" s="17"/>
      <c r="H9800" s="17" t="s">
        <v>20919</v>
      </c>
      <c r="I9800" s="17"/>
      <c r="J9800" s="17" t="s">
        <v>21313</v>
      </c>
      <c r="K9800" s="17"/>
      <c r="L9800" s="17" t="s">
        <v>21326</v>
      </c>
      <c r="M9800" s="17"/>
      <c r="N9800" s="17" t="s">
        <v>21577</v>
      </c>
      <c r="O9800" s="17"/>
      <c r="P9800" s="17" t="s">
        <v>22146</v>
      </c>
      <c r="Q9800" s="17"/>
      <c r="R9800" s="25" t="str">
        <f>HYPERLINK("https://ictv.global/taxonomy/taxondetails?taxnode_id=202316616","Radbaivirus asiovivens")</f>
        <v>Radbaivirus asiovivens</v>
      </c>
      <c r="S9800" s="18" t="s">
        <v>30</v>
      </c>
      <c r="T9800" s="18" t="s">
        <v>43857</v>
      </c>
      <c r="U9800" s="18"/>
      <c r="V9800" s="18"/>
      <c r="W9800" s="18" t="s">
        <v>43858</v>
      </c>
      <c r="X9800" s="18" t="s">
        <v>35</v>
      </c>
      <c r="Y9800" s="18" t="s">
        <v>17171</v>
      </c>
      <c r="Z9800" s="18" t="s">
        <v>24637</v>
      </c>
      <c r="AA9800" s="21" t="str">
        <f>HYPERLINK("https://www.ncbi.nlm.nih.gov/nuccore/CASDWV010004441","NCBI Nucleotide")</f>
        <v>NCBI Nucleotide</v>
      </c>
    </row>
    <row r="9801" spans="1:27" x14ac:dyDescent="0.35">
      <c r="A9801">
        <v>1026458</v>
      </c>
      <c r="B9801">
        <v>9126</v>
      </c>
      <c r="C9801">
        <v>1</v>
      </c>
      <c r="D9801" s="17" t="s">
        <v>17166</v>
      </c>
      <c r="E9801" s="17"/>
      <c r="F9801" s="17" t="s">
        <v>17246</v>
      </c>
      <c r="G9801" s="17"/>
      <c r="H9801" s="17" t="s">
        <v>20919</v>
      </c>
      <c r="I9801" s="17"/>
      <c r="J9801" s="17" t="s">
        <v>21313</v>
      </c>
      <c r="K9801" s="17"/>
      <c r="L9801" s="17" t="s">
        <v>21326</v>
      </c>
      <c r="M9801" s="17"/>
      <c r="N9801" s="17" t="s">
        <v>21577</v>
      </c>
      <c r="O9801" s="17"/>
      <c r="P9801" s="17" t="s">
        <v>22146</v>
      </c>
      <c r="Q9801" s="17"/>
      <c r="R9801" s="25" t="str">
        <f>HYPERLINK("https://ictv.global/taxonomy/taxondetails?taxnode_id=202316617","Radbaivirus chorocola")</f>
        <v>Radbaivirus chorocola</v>
      </c>
      <c r="S9801" s="18" t="s">
        <v>30</v>
      </c>
      <c r="T9801" s="18" t="s">
        <v>43859</v>
      </c>
      <c r="U9801" s="18"/>
      <c r="V9801" s="18"/>
      <c r="W9801" s="18" t="s">
        <v>43860</v>
      </c>
      <c r="X9801" s="18" t="s">
        <v>35</v>
      </c>
      <c r="Y9801" s="18" t="s">
        <v>17171</v>
      </c>
      <c r="Z9801" s="18" t="s">
        <v>24637</v>
      </c>
      <c r="AA9801" s="21" t="str">
        <f>HYPERLINK("https://www.ncbi.nlm.nih.gov/nuccore/CASDWV010001707","NCBI Nucleotide")</f>
        <v>NCBI Nucleotide</v>
      </c>
    </row>
    <row r="9802" spans="1:27" x14ac:dyDescent="0.35">
      <c r="A9802">
        <v>1009674</v>
      </c>
      <c r="B9802">
        <v>9127</v>
      </c>
      <c r="C9802">
        <v>1</v>
      </c>
      <c r="D9802" s="17" t="s">
        <v>17166</v>
      </c>
      <c r="E9802" s="17"/>
      <c r="F9802" s="17" t="s">
        <v>17246</v>
      </c>
      <c r="G9802" s="17"/>
      <c r="H9802" s="17" t="s">
        <v>20919</v>
      </c>
      <c r="I9802" s="17"/>
      <c r="J9802" s="17" t="s">
        <v>21313</v>
      </c>
      <c r="K9802" s="17"/>
      <c r="L9802" s="17" t="s">
        <v>21326</v>
      </c>
      <c r="M9802" s="17"/>
      <c r="N9802" s="17" t="s">
        <v>21577</v>
      </c>
      <c r="O9802" s="17"/>
      <c r="P9802" s="17" t="s">
        <v>22146</v>
      </c>
      <c r="Q9802" s="17"/>
      <c r="R9802" s="25" t="str">
        <f>HYPERLINK("https://ictv.global/taxonomy/taxondetails?taxnode_id=202310575","Radbaivirus edaphadaptatum")</f>
        <v>Radbaivirus edaphadaptatum</v>
      </c>
      <c r="S9802" s="18" t="s">
        <v>30</v>
      </c>
      <c r="T9802" s="18" t="s">
        <v>22121</v>
      </c>
      <c r="U9802" s="18"/>
      <c r="V9802" s="18"/>
      <c r="W9802" s="18" t="s">
        <v>22122</v>
      </c>
      <c r="X9802" s="18" t="s">
        <v>35</v>
      </c>
      <c r="Y9802" s="18" t="s">
        <v>17171</v>
      </c>
      <c r="Z9802" s="18" t="s">
        <v>697</v>
      </c>
      <c r="AA9802" s="21" t="str">
        <f>HYPERLINK("https://www.ncbi.nlm.nih.gov/nuccore/BK013883","NCBI Nucleotide")</f>
        <v>NCBI Nucleotide</v>
      </c>
    </row>
    <row r="9803" spans="1:27" x14ac:dyDescent="0.35">
      <c r="A9803">
        <v>1009675</v>
      </c>
      <c r="B9803">
        <v>9128</v>
      </c>
      <c r="C9803">
        <v>1</v>
      </c>
      <c r="D9803" s="17" t="s">
        <v>17166</v>
      </c>
      <c r="E9803" s="17"/>
      <c r="F9803" s="17" t="s">
        <v>17246</v>
      </c>
      <c r="G9803" s="17"/>
      <c r="H9803" s="17" t="s">
        <v>20919</v>
      </c>
      <c r="I9803" s="17"/>
      <c r="J9803" s="17" t="s">
        <v>21313</v>
      </c>
      <c r="K9803" s="17"/>
      <c r="L9803" s="17" t="s">
        <v>21326</v>
      </c>
      <c r="M9803" s="17"/>
      <c r="N9803" s="17" t="s">
        <v>21577</v>
      </c>
      <c r="O9803" s="17"/>
      <c r="P9803" s="17" t="s">
        <v>22146</v>
      </c>
      <c r="Q9803" s="17"/>
      <c r="R9803" s="25" t="str">
        <f>HYPERLINK("https://ictv.global/taxonomy/taxondetails?taxnode_id=202310577","Radbaivirus edaphenecus")</f>
        <v>Radbaivirus edaphenecus</v>
      </c>
      <c r="S9803" s="18" t="s">
        <v>30</v>
      </c>
      <c r="T9803" s="18" t="s">
        <v>22123</v>
      </c>
      <c r="U9803" s="18"/>
      <c r="V9803" s="18"/>
      <c r="W9803" s="18" t="s">
        <v>22124</v>
      </c>
      <c r="X9803" s="18" t="s">
        <v>35</v>
      </c>
      <c r="Y9803" s="18" t="s">
        <v>17171</v>
      </c>
      <c r="Z9803" s="18" t="s">
        <v>697</v>
      </c>
      <c r="AA9803" s="21" t="str">
        <f>HYPERLINK("https://www.ncbi.nlm.nih.gov/nuccore/BK013513","NCBI Nucleotide")</f>
        <v>NCBI Nucleotide</v>
      </c>
    </row>
    <row r="9804" spans="1:27" x14ac:dyDescent="0.35">
      <c r="A9804">
        <v>1009676</v>
      </c>
      <c r="B9804">
        <v>9129</v>
      </c>
      <c r="C9804">
        <v>1</v>
      </c>
      <c r="D9804" s="17" t="s">
        <v>17166</v>
      </c>
      <c r="E9804" s="17"/>
      <c r="F9804" s="17" t="s">
        <v>17246</v>
      </c>
      <c r="G9804" s="17"/>
      <c r="H9804" s="17" t="s">
        <v>20919</v>
      </c>
      <c r="I9804" s="17"/>
      <c r="J9804" s="17" t="s">
        <v>21313</v>
      </c>
      <c r="K9804" s="17"/>
      <c r="L9804" s="17" t="s">
        <v>21326</v>
      </c>
      <c r="M9804" s="17"/>
      <c r="N9804" s="17" t="s">
        <v>21577</v>
      </c>
      <c r="O9804" s="17"/>
      <c r="P9804" s="17" t="s">
        <v>22146</v>
      </c>
      <c r="Q9804" s="17"/>
      <c r="R9804" s="25" t="str">
        <f>HYPERLINK("https://ictv.global/taxonomy/taxondetails?taxnode_id=202310576","Radbaivirus edaphocola")</f>
        <v>Radbaivirus edaphocola</v>
      </c>
      <c r="S9804" s="18" t="s">
        <v>30</v>
      </c>
      <c r="T9804" s="18" t="s">
        <v>22125</v>
      </c>
      <c r="U9804" s="18"/>
      <c r="V9804" s="18"/>
      <c r="W9804" s="18" t="s">
        <v>22126</v>
      </c>
      <c r="X9804" s="18" t="s">
        <v>35</v>
      </c>
      <c r="Y9804" s="18" t="s">
        <v>17171</v>
      </c>
      <c r="Z9804" s="18" t="s">
        <v>697</v>
      </c>
      <c r="AA9804" s="21" t="str">
        <f>HYPERLINK("https://www.ncbi.nlm.nih.gov/nuccore/BK013946","NCBI Nucleotide")</f>
        <v>NCBI Nucleotide</v>
      </c>
    </row>
    <row r="9805" spans="1:27" x14ac:dyDescent="0.35">
      <c r="A9805">
        <v>1009677</v>
      </c>
      <c r="B9805">
        <v>9130</v>
      </c>
      <c r="C9805">
        <v>1</v>
      </c>
      <c r="D9805" s="17" t="s">
        <v>17166</v>
      </c>
      <c r="E9805" s="17"/>
      <c r="F9805" s="17" t="s">
        <v>17246</v>
      </c>
      <c r="G9805" s="17"/>
      <c r="H9805" s="17" t="s">
        <v>20919</v>
      </c>
      <c r="I9805" s="17"/>
      <c r="J9805" s="17" t="s">
        <v>21313</v>
      </c>
      <c r="K9805" s="17"/>
      <c r="L9805" s="17" t="s">
        <v>21326</v>
      </c>
      <c r="M9805" s="17"/>
      <c r="N9805" s="17" t="s">
        <v>21577</v>
      </c>
      <c r="O9805" s="17"/>
      <c r="P9805" s="17" t="s">
        <v>22146</v>
      </c>
      <c r="Q9805" s="17"/>
      <c r="R9805" s="25" t="str">
        <f>HYPERLINK("https://ictv.global/taxonomy/taxondetails?taxnode_id=202310574","Radbaivirus edaphohabitans")</f>
        <v>Radbaivirus edaphohabitans</v>
      </c>
      <c r="S9805" s="18" t="s">
        <v>30</v>
      </c>
      <c r="T9805" s="18" t="s">
        <v>22127</v>
      </c>
      <c r="U9805" s="18"/>
      <c r="V9805" s="18"/>
      <c r="W9805" s="18" t="s">
        <v>22128</v>
      </c>
      <c r="X9805" s="18" t="s">
        <v>35</v>
      </c>
      <c r="Y9805" s="18" t="s">
        <v>17171</v>
      </c>
      <c r="Z9805" s="18" t="s">
        <v>697</v>
      </c>
      <c r="AA9805" s="21" t="str">
        <f>HYPERLINK("https://www.ncbi.nlm.nih.gov/nuccore/BK013519","NCBI Nucleotide")</f>
        <v>NCBI Nucleotide</v>
      </c>
    </row>
    <row r="9806" spans="1:27" x14ac:dyDescent="0.35">
      <c r="A9806">
        <v>1009678</v>
      </c>
      <c r="B9806">
        <v>9131</v>
      </c>
      <c r="C9806">
        <v>1</v>
      </c>
      <c r="D9806" s="17" t="s">
        <v>17166</v>
      </c>
      <c r="E9806" s="17"/>
      <c r="F9806" s="17" t="s">
        <v>17246</v>
      </c>
      <c r="G9806" s="17"/>
      <c r="H9806" s="17" t="s">
        <v>20919</v>
      </c>
      <c r="I9806" s="17"/>
      <c r="J9806" s="17" t="s">
        <v>21313</v>
      </c>
      <c r="K9806" s="17"/>
      <c r="L9806" s="17" t="s">
        <v>21326</v>
      </c>
      <c r="M9806" s="17"/>
      <c r="N9806" s="17" t="s">
        <v>21577</v>
      </c>
      <c r="O9806" s="17"/>
      <c r="P9806" s="17" t="s">
        <v>22146</v>
      </c>
      <c r="Q9806" s="17"/>
      <c r="R9806" s="25" t="str">
        <f>HYPERLINK("https://ictv.global/taxonomy/taxondetails?taxnode_id=202310578","Radbaivirus edaphovicinum")</f>
        <v>Radbaivirus edaphovicinum</v>
      </c>
      <c r="S9806" s="18" t="s">
        <v>30</v>
      </c>
      <c r="T9806" s="18" t="s">
        <v>22129</v>
      </c>
      <c r="U9806" s="18"/>
      <c r="V9806" s="18"/>
      <c r="W9806" s="18" t="s">
        <v>22130</v>
      </c>
      <c r="X9806" s="18" t="s">
        <v>35</v>
      </c>
      <c r="Y9806" s="18" t="s">
        <v>17171</v>
      </c>
      <c r="Z9806" s="18" t="s">
        <v>697</v>
      </c>
      <c r="AA9806" s="21" t="str">
        <f>HYPERLINK("https://www.ncbi.nlm.nih.gov/nuccore/BK013505","NCBI Nucleotide")</f>
        <v>NCBI Nucleotide</v>
      </c>
    </row>
    <row r="9807" spans="1:27" x14ac:dyDescent="0.35">
      <c r="A9807">
        <v>1009679</v>
      </c>
      <c r="B9807">
        <v>9132</v>
      </c>
      <c r="C9807">
        <v>1</v>
      </c>
      <c r="D9807" s="17" t="s">
        <v>17166</v>
      </c>
      <c r="E9807" s="17"/>
      <c r="F9807" s="17" t="s">
        <v>17246</v>
      </c>
      <c r="G9807" s="17"/>
      <c r="H9807" s="17" t="s">
        <v>20919</v>
      </c>
      <c r="I9807" s="17"/>
      <c r="J9807" s="17" t="s">
        <v>21313</v>
      </c>
      <c r="K9807" s="17"/>
      <c r="L9807" s="17" t="s">
        <v>21326</v>
      </c>
      <c r="M9807" s="17"/>
      <c r="N9807" s="17" t="s">
        <v>21577</v>
      </c>
      <c r="O9807" s="17"/>
      <c r="P9807" s="17" t="s">
        <v>22146</v>
      </c>
      <c r="Q9807" s="17"/>
      <c r="R9807" s="25" t="str">
        <f>HYPERLINK("https://ictv.global/taxonomy/taxondetails?taxnode_id=202310579","Radbaivirus edaphovivens")</f>
        <v>Radbaivirus edaphovivens</v>
      </c>
      <c r="S9807" s="18" t="s">
        <v>30</v>
      </c>
      <c r="T9807" s="18" t="s">
        <v>22131</v>
      </c>
      <c r="U9807" s="18"/>
      <c r="V9807" s="18"/>
      <c r="W9807" s="18" t="s">
        <v>22132</v>
      </c>
      <c r="X9807" s="18" t="s">
        <v>35</v>
      </c>
      <c r="Y9807" s="18" t="s">
        <v>17171</v>
      </c>
      <c r="Z9807" s="18" t="s">
        <v>697</v>
      </c>
      <c r="AA9807" s="21" t="str">
        <f>HYPERLINK("https://www.ncbi.nlm.nih.gov/nuccore/BK013551","NCBI Nucleotide")</f>
        <v>NCBI Nucleotide</v>
      </c>
    </row>
    <row r="9808" spans="1:27" x14ac:dyDescent="0.35">
      <c r="A9808">
        <v>1026459</v>
      </c>
      <c r="B9808">
        <v>9133</v>
      </c>
      <c r="C9808">
        <v>1</v>
      </c>
      <c r="D9808" s="17" t="s">
        <v>17166</v>
      </c>
      <c r="E9808" s="17"/>
      <c r="F9808" s="17" t="s">
        <v>17246</v>
      </c>
      <c r="G9808" s="17"/>
      <c r="H9808" s="17" t="s">
        <v>20919</v>
      </c>
      <c r="I9808" s="17"/>
      <c r="J9808" s="17" t="s">
        <v>21313</v>
      </c>
      <c r="K9808" s="17"/>
      <c r="L9808" s="17" t="s">
        <v>21326</v>
      </c>
      <c r="M9808" s="17"/>
      <c r="N9808" s="17" t="s">
        <v>21577</v>
      </c>
      <c r="O9808" s="17"/>
      <c r="P9808" s="17" t="s">
        <v>22146</v>
      </c>
      <c r="Q9808" s="17"/>
      <c r="R9808" s="25" t="str">
        <f>HYPERLINK("https://ictv.global/taxonomy/taxondetails?taxnode_id=202316618","Radbaivirus graminiscola")</f>
        <v>Radbaivirus graminiscola</v>
      </c>
      <c r="S9808" s="18" t="s">
        <v>30</v>
      </c>
      <c r="T9808" s="18" t="s">
        <v>43861</v>
      </c>
      <c r="U9808" s="18"/>
      <c r="V9808" s="18" t="s">
        <v>43861</v>
      </c>
      <c r="W9808" s="18" t="s">
        <v>43862</v>
      </c>
      <c r="X9808" s="18" t="s">
        <v>35</v>
      </c>
      <c r="Y9808" s="18" t="s">
        <v>17171</v>
      </c>
      <c r="Z9808" s="18" t="s">
        <v>24637</v>
      </c>
      <c r="AA9808" s="21" t="str">
        <f>HYPERLINK("https://www.ncbi.nlm.nih.gov/nuccore/MN033156","NCBI Nucleotide")</f>
        <v>NCBI Nucleotide</v>
      </c>
    </row>
    <row r="9809" spans="1:27" x14ac:dyDescent="0.35">
      <c r="A9809">
        <v>1026460</v>
      </c>
      <c r="B9809">
        <v>9134</v>
      </c>
      <c r="C9809">
        <v>1</v>
      </c>
      <c r="D9809" s="17" t="s">
        <v>17166</v>
      </c>
      <c r="E9809" s="17"/>
      <c r="F9809" s="17" t="s">
        <v>17246</v>
      </c>
      <c r="G9809" s="17"/>
      <c r="H9809" s="17" t="s">
        <v>20919</v>
      </c>
      <c r="I9809" s="17"/>
      <c r="J9809" s="17" t="s">
        <v>21313</v>
      </c>
      <c r="K9809" s="17"/>
      <c r="L9809" s="17" t="s">
        <v>21326</v>
      </c>
      <c r="M9809" s="17"/>
      <c r="N9809" s="17" t="s">
        <v>21577</v>
      </c>
      <c r="O9809" s="17"/>
      <c r="P9809" s="17" t="s">
        <v>22146</v>
      </c>
      <c r="Q9809" s="17"/>
      <c r="R9809" s="25" t="str">
        <f>HYPERLINK("https://ictv.global/taxonomy/taxondetails?taxnode_id=202316619","Radbaivirus humenecus")</f>
        <v>Radbaivirus humenecus</v>
      </c>
      <c r="S9809" s="18" t="s">
        <v>30</v>
      </c>
      <c r="T9809" s="18" t="s">
        <v>43863</v>
      </c>
      <c r="U9809" s="18"/>
      <c r="V9809" s="18"/>
      <c r="W9809" s="18" t="s">
        <v>43864</v>
      </c>
      <c r="X9809" s="18" t="s">
        <v>35</v>
      </c>
      <c r="Y9809" s="18" t="s">
        <v>17171</v>
      </c>
      <c r="Z9809" s="18" t="s">
        <v>24637</v>
      </c>
      <c r="AA9809" s="21" t="str">
        <f>HYPERLINK("https://www.ncbi.nlm.nih.gov/nuccore/CASDWV010000305","NCBI Nucleotide")</f>
        <v>NCBI Nucleotide</v>
      </c>
    </row>
    <row r="9810" spans="1:27" x14ac:dyDescent="0.35">
      <c r="A9810">
        <v>1026461</v>
      </c>
      <c r="B9810">
        <v>9135</v>
      </c>
      <c r="C9810">
        <v>1</v>
      </c>
      <c r="D9810" s="17" t="s">
        <v>17166</v>
      </c>
      <c r="E9810" s="17"/>
      <c r="F9810" s="17" t="s">
        <v>17246</v>
      </c>
      <c r="G9810" s="17"/>
      <c r="H9810" s="17" t="s">
        <v>20919</v>
      </c>
      <c r="I9810" s="17"/>
      <c r="J9810" s="17" t="s">
        <v>21313</v>
      </c>
      <c r="K9810" s="17"/>
      <c r="L9810" s="17" t="s">
        <v>21326</v>
      </c>
      <c r="M9810" s="17"/>
      <c r="N9810" s="17" t="s">
        <v>21577</v>
      </c>
      <c r="O9810" s="17"/>
      <c r="P9810" s="17" t="s">
        <v>22146</v>
      </c>
      <c r="Q9810" s="17"/>
      <c r="R9810" s="25" t="str">
        <f>HYPERLINK("https://ictv.global/taxonomy/taxondetails?taxnode_id=202316620","Radbaivirus humivivens")</f>
        <v>Radbaivirus humivivens</v>
      </c>
      <c r="S9810" s="18" t="s">
        <v>30</v>
      </c>
      <c r="T9810" s="18" t="s">
        <v>43865</v>
      </c>
      <c r="U9810" s="18"/>
      <c r="V9810" s="18"/>
      <c r="W9810" s="18" t="s">
        <v>43866</v>
      </c>
      <c r="X9810" s="18" t="s">
        <v>35</v>
      </c>
      <c r="Y9810" s="18" t="s">
        <v>17171</v>
      </c>
      <c r="Z9810" s="18" t="s">
        <v>24637</v>
      </c>
      <c r="AA9810" s="21" t="str">
        <f>HYPERLINK("https://www.ncbi.nlm.nih.gov/nuccore/CASDWV010002830","NCBI Nucleotide")</f>
        <v>NCBI Nucleotide</v>
      </c>
    </row>
    <row r="9811" spans="1:27" x14ac:dyDescent="0.35">
      <c r="A9811">
        <v>1026462</v>
      </c>
      <c r="B9811">
        <v>9136</v>
      </c>
      <c r="C9811">
        <v>1</v>
      </c>
      <c r="D9811" s="17" t="s">
        <v>17166</v>
      </c>
      <c r="E9811" s="17"/>
      <c r="F9811" s="17" t="s">
        <v>17246</v>
      </c>
      <c r="G9811" s="17"/>
      <c r="H9811" s="17" t="s">
        <v>20919</v>
      </c>
      <c r="I9811" s="17"/>
      <c r="J9811" s="17" t="s">
        <v>21313</v>
      </c>
      <c r="K9811" s="17"/>
      <c r="L9811" s="17" t="s">
        <v>21326</v>
      </c>
      <c r="M9811" s="17"/>
      <c r="N9811" s="17" t="s">
        <v>21577</v>
      </c>
      <c r="O9811" s="17"/>
      <c r="P9811" s="17" t="s">
        <v>22146</v>
      </c>
      <c r="Q9811" s="17"/>
      <c r="R9811" s="25" t="str">
        <f>HYPERLINK("https://ictv.global/taxonomy/taxondetails?taxnode_id=202316621","Radbaivirus limivicinum")</f>
        <v>Radbaivirus limivicinum</v>
      </c>
      <c r="S9811" s="18" t="s">
        <v>30</v>
      </c>
      <c r="T9811" s="18" t="s">
        <v>43867</v>
      </c>
      <c r="U9811" s="18"/>
      <c r="V9811" s="18"/>
      <c r="W9811" s="18" t="s">
        <v>43868</v>
      </c>
      <c r="X9811" s="18" t="s">
        <v>35</v>
      </c>
      <c r="Y9811" s="18" t="s">
        <v>17171</v>
      </c>
      <c r="Z9811" s="18" t="s">
        <v>24637</v>
      </c>
      <c r="AA9811" s="21" t="str">
        <f>HYPERLINK("https://www.ncbi.nlm.nih.gov/nuccore/CASDWV010003989","NCBI Nucleotide")</f>
        <v>NCBI Nucleotide</v>
      </c>
    </row>
    <row r="9812" spans="1:27" x14ac:dyDescent="0.35">
      <c r="A9812">
        <v>1026463</v>
      </c>
      <c r="B9812">
        <v>9137</v>
      </c>
      <c r="C9812">
        <v>1</v>
      </c>
      <c r="D9812" s="17" t="s">
        <v>17166</v>
      </c>
      <c r="E9812" s="17"/>
      <c r="F9812" s="17" t="s">
        <v>17246</v>
      </c>
      <c r="G9812" s="17"/>
      <c r="H9812" s="17" t="s">
        <v>20919</v>
      </c>
      <c r="I9812" s="17"/>
      <c r="J9812" s="17" t="s">
        <v>21313</v>
      </c>
      <c r="K9812" s="17"/>
      <c r="L9812" s="17" t="s">
        <v>21326</v>
      </c>
      <c r="M9812" s="17"/>
      <c r="N9812" s="17" t="s">
        <v>21577</v>
      </c>
      <c r="O9812" s="17"/>
      <c r="P9812" s="17" t="s">
        <v>22146</v>
      </c>
      <c r="Q9812" s="17"/>
      <c r="R9812" s="25" t="str">
        <f>HYPERLINK("https://ictv.global/taxonomy/taxondetails?taxnode_id=202316622","Radbaivirus lutadaptatum")</f>
        <v>Radbaivirus lutadaptatum</v>
      </c>
      <c r="S9812" s="18" t="s">
        <v>30</v>
      </c>
      <c r="T9812" s="18" t="s">
        <v>43869</v>
      </c>
      <c r="U9812" s="18"/>
      <c r="V9812" s="18"/>
      <c r="W9812" s="18" t="s">
        <v>43870</v>
      </c>
      <c r="X9812" s="18" t="s">
        <v>35</v>
      </c>
      <c r="Y9812" s="18" t="s">
        <v>17171</v>
      </c>
      <c r="Z9812" s="18" t="s">
        <v>24637</v>
      </c>
      <c r="AA9812" s="21" t="str">
        <f>HYPERLINK("https://www.ncbi.nlm.nih.gov/nuccore/CASDWV010005035","NCBI Nucleotide")</f>
        <v>NCBI Nucleotide</v>
      </c>
    </row>
    <row r="9813" spans="1:27" x14ac:dyDescent="0.35">
      <c r="A9813">
        <v>1026464</v>
      </c>
      <c r="B9813">
        <v>9138</v>
      </c>
      <c r="C9813">
        <v>1</v>
      </c>
      <c r="D9813" s="17" t="s">
        <v>17166</v>
      </c>
      <c r="E9813" s="17"/>
      <c r="F9813" s="17" t="s">
        <v>17246</v>
      </c>
      <c r="G9813" s="17"/>
      <c r="H9813" s="17" t="s">
        <v>20919</v>
      </c>
      <c r="I9813" s="17"/>
      <c r="J9813" s="17" t="s">
        <v>21313</v>
      </c>
      <c r="K9813" s="17"/>
      <c r="L9813" s="17" t="s">
        <v>21326</v>
      </c>
      <c r="M9813" s="17"/>
      <c r="N9813" s="17" t="s">
        <v>21577</v>
      </c>
      <c r="O9813" s="17"/>
      <c r="P9813" s="17" t="s">
        <v>22146</v>
      </c>
      <c r="Q9813" s="17"/>
      <c r="R9813" s="25" t="str">
        <f>HYPERLINK("https://ictv.global/taxonomy/taxondetails?taxnode_id=202316623","Radbaivirus messadaptatum")</f>
        <v>Radbaivirus messadaptatum</v>
      </c>
      <c r="S9813" s="18" t="s">
        <v>30</v>
      </c>
      <c r="T9813" s="18" t="s">
        <v>43871</v>
      </c>
      <c r="U9813" s="18"/>
      <c r="V9813" s="18"/>
      <c r="W9813" s="18" t="s">
        <v>43872</v>
      </c>
      <c r="X9813" s="18" t="s">
        <v>35</v>
      </c>
      <c r="Y9813" s="18" t="s">
        <v>17171</v>
      </c>
      <c r="Z9813" s="18" t="s">
        <v>24637</v>
      </c>
      <c r="AA9813" s="21" t="str">
        <f>HYPERLINK("https://www.ncbi.nlm.nih.gov/nuccore/CASDWV010002557","NCBI Nucleotide")</f>
        <v>NCBI Nucleotide</v>
      </c>
    </row>
    <row r="9814" spans="1:27" x14ac:dyDescent="0.35">
      <c r="A9814">
        <v>1026465</v>
      </c>
      <c r="B9814">
        <v>9139</v>
      </c>
      <c r="C9814">
        <v>1</v>
      </c>
      <c r="D9814" s="17" t="s">
        <v>17166</v>
      </c>
      <c r="E9814" s="17"/>
      <c r="F9814" s="17" t="s">
        <v>17246</v>
      </c>
      <c r="G9814" s="17"/>
      <c r="H9814" s="17" t="s">
        <v>20919</v>
      </c>
      <c r="I9814" s="17"/>
      <c r="J9814" s="17" t="s">
        <v>21313</v>
      </c>
      <c r="K9814" s="17"/>
      <c r="L9814" s="17" t="s">
        <v>21326</v>
      </c>
      <c r="M9814" s="17"/>
      <c r="N9814" s="17" t="s">
        <v>21577</v>
      </c>
      <c r="O9814" s="17"/>
      <c r="P9814" s="17" t="s">
        <v>22146</v>
      </c>
      <c r="Q9814" s="17"/>
      <c r="R9814" s="25" t="str">
        <f>HYPERLINK("https://ictv.global/taxonomy/taxondetails?taxnode_id=202316624","Radbaivirus messihabitans")</f>
        <v>Radbaivirus messihabitans</v>
      </c>
      <c r="S9814" s="18" t="s">
        <v>30</v>
      </c>
      <c r="T9814" s="18" t="s">
        <v>43873</v>
      </c>
      <c r="U9814" s="18"/>
      <c r="V9814" s="18"/>
      <c r="W9814" s="18" t="s">
        <v>43874</v>
      </c>
      <c r="X9814" s="18" t="s">
        <v>35</v>
      </c>
      <c r="Y9814" s="18" t="s">
        <v>17171</v>
      </c>
      <c r="Z9814" s="18" t="s">
        <v>24637</v>
      </c>
      <c r="AA9814" s="21" t="str">
        <f>HYPERLINK("https://www.ncbi.nlm.nih.gov/nuccore/CASDWV010001806","NCBI Nucleotide")</f>
        <v>NCBI Nucleotide</v>
      </c>
    </row>
    <row r="9815" spans="1:27" x14ac:dyDescent="0.35">
      <c r="A9815">
        <v>1026466</v>
      </c>
      <c r="B9815">
        <v>9140</v>
      </c>
      <c r="C9815">
        <v>1</v>
      </c>
      <c r="D9815" s="17" t="s">
        <v>17166</v>
      </c>
      <c r="E9815" s="17"/>
      <c r="F9815" s="17" t="s">
        <v>17246</v>
      </c>
      <c r="G9815" s="17"/>
      <c r="H9815" s="17" t="s">
        <v>20919</v>
      </c>
      <c r="I9815" s="17"/>
      <c r="J9815" s="17" t="s">
        <v>21313</v>
      </c>
      <c r="K9815" s="17"/>
      <c r="L9815" s="17" t="s">
        <v>21326</v>
      </c>
      <c r="M9815" s="17"/>
      <c r="N9815" s="17" t="s">
        <v>21577</v>
      </c>
      <c r="O9815" s="17"/>
      <c r="P9815" s="17" t="s">
        <v>22146</v>
      </c>
      <c r="Q9815" s="17"/>
      <c r="R9815" s="25" t="str">
        <f>HYPERLINK("https://ictv.global/taxonomy/taxondetails?taxnode_id=202316625","Radbaivirus neoedaphocola")</f>
        <v>Radbaivirus neoedaphocola</v>
      </c>
      <c r="S9815" s="18" t="s">
        <v>30</v>
      </c>
      <c r="T9815" s="18" t="s">
        <v>43875</v>
      </c>
      <c r="U9815" s="18"/>
      <c r="V9815" s="18"/>
      <c r="W9815" s="18" t="s">
        <v>43876</v>
      </c>
      <c r="X9815" s="18" t="s">
        <v>35</v>
      </c>
      <c r="Y9815" s="18" t="s">
        <v>17171</v>
      </c>
      <c r="Z9815" s="18" t="s">
        <v>24637</v>
      </c>
      <c r="AA9815" s="21" t="str">
        <f>HYPERLINK("https://www.ncbi.nlm.nih.gov/nuccore/CASDWV010001060","NCBI Nucleotide")</f>
        <v>NCBI Nucleotide</v>
      </c>
    </row>
    <row r="9816" spans="1:27" x14ac:dyDescent="0.35">
      <c r="A9816">
        <v>1026467</v>
      </c>
      <c r="B9816">
        <v>9141</v>
      </c>
      <c r="C9816">
        <v>1</v>
      </c>
      <c r="D9816" s="17" t="s">
        <v>17166</v>
      </c>
      <c r="E9816" s="17"/>
      <c r="F9816" s="17" t="s">
        <v>17246</v>
      </c>
      <c r="G9816" s="17"/>
      <c r="H9816" s="17" t="s">
        <v>20919</v>
      </c>
      <c r="I9816" s="17"/>
      <c r="J9816" s="17" t="s">
        <v>21313</v>
      </c>
      <c r="K9816" s="17"/>
      <c r="L9816" s="17" t="s">
        <v>21326</v>
      </c>
      <c r="M9816" s="17"/>
      <c r="N9816" s="17" t="s">
        <v>21577</v>
      </c>
      <c r="O9816" s="17"/>
      <c r="P9816" s="17" t="s">
        <v>22146</v>
      </c>
      <c r="Q9816" s="17"/>
      <c r="R9816" s="25" t="str">
        <f>HYPERLINK("https://ictv.global/taxonomy/taxondetails?taxnode_id=202316626","Radbaivirus pedohabitans")</f>
        <v>Radbaivirus pedohabitans</v>
      </c>
      <c r="S9816" s="18" t="s">
        <v>30</v>
      </c>
      <c r="T9816" s="18" t="s">
        <v>43877</v>
      </c>
      <c r="U9816" s="18"/>
      <c r="V9816" s="18"/>
      <c r="W9816" s="18" t="s">
        <v>43878</v>
      </c>
      <c r="X9816" s="18" t="s">
        <v>35</v>
      </c>
      <c r="Y9816" s="18" t="s">
        <v>17171</v>
      </c>
      <c r="Z9816" s="18" t="s">
        <v>24637</v>
      </c>
      <c r="AA9816" s="21" t="str">
        <f>HYPERLINK("https://www.ncbi.nlm.nih.gov/nuccore/CASDWV010001107","NCBI Nucleotide")</f>
        <v>NCBI Nucleotide</v>
      </c>
    </row>
    <row r="9817" spans="1:27" x14ac:dyDescent="0.35">
      <c r="A9817">
        <v>1026468</v>
      </c>
      <c r="B9817">
        <v>9142</v>
      </c>
      <c r="C9817">
        <v>1</v>
      </c>
      <c r="D9817" s="17" t="s">
        <v>17166</v>
      </c>
      <c r="E9817" s="17"/>
      <c r="F9817" s="17" t="s">
        <v>17246</v>
      </c>
      <c r="G9817" s="17"/>
      <c r="H9817" s="17" t="s">
        <v>20919</v>
      </c>
      <c r="I9817" s="17"/>
      <c r="J9817" s="17" t="s">
        <v>21313</v>
      </c>
      <c r="K9817" s="17"/>
      <c r="L9817" s="17" t="s">
        <v>21326</v>
      </c>
      <c r="M9817" s="17"/>
      <c r="N9817" s="17" t="s">
        <v>21577</v>
      </c>
      <c r="O9817" s="17"/>
      <c r="P9817" s="17" t="s">
        <v>22146</v>
      </c>
      <c r="Q9817" s="17"/>
      <c r="R9817" s="25" t="str">
        <f>HYPERLINK("https://ictv.global/taxonomy/taxondetails?taxnode_id=202316627","Radbaivirus pedovicinum")</f>
        <v>Radbaivirus pedovicinum</v>
      </c>
      <c r="S9817" s="18" t="s">
        <v>30</v>
      </c>
      <c r="T9817" s="18" t="s">
        <v>43879</v>
      </c>
      <c r="U9817" s="18"/>
      <c r="V9817" s="18"/>
      <c r="W9817" s="18" t="s">
        <v>43880</v>
      </c>
      <c r="X9817" s="18" t="s">
        <v>35</v>
      </c>
      <c r="Y9817" s="18" t="s">
        <v>17171</v>
      </c>
      <c r="Z9817" s="18" t="s">
        <v>24637</v>
      </c>
      <c r="AA9817" s="21" t="str">
        <f>HYPERLINK("https://www.ncbi.nlm.nih.gov/nuccore/CASDWV010003066","NCBI Nucleotide")</f>
        <v>NCBI Nucleotide</v>
      </c>
    </row>
    <row r="9818" spans="1:27" x14ac:dyDescent="0.35">
      <c r="A9818">
        <v>1026469</v>
      </c>
      <c r="B9818">
        <v>9143</v>
      </c>
      <c r="C9818">
        <v>1</v>
      </c>
      <c r="D9818" s="17" t="s">
        <v>17166</v>
      </c>
      <c r="E9818" s="17"/>
      <c r="F9818" s="17" t="s">
        <v>17246</v>
      </c>
      <c r="G9818" s="17"/>
      <c r="H9818" s="17" t="s">
        <v>20919</v>
      </c>
      <c r="I9818" s="17"/>
      <c r="J9818" s="17" t="s">
        <v>21313</v>
      </c>
      <c r="K9818" s="17"/>
      <c r="L9818" s="17" t="s">
        <v>21326</v>
      </c>
      <c r="M9818" s="17"/>
      <c r="N9818" s="17" t="s">
        <v>21577</v>
      </c>
      <c r="O9818" s="17"/>
      <c r="P9818" s="17" t="s">
        <v>22146</v>
      </c>
      <c r="Q9818" s="17"/>
      <c r="R9818" s="25" t="str">
        <f>HYPERLINK("https://ictv.global/taxonomy/taxondetails?taxnode_id=202316628","Radbaivirus pedovivens")</f>
        <v>Radbaivirus pedovivens</v>
      </c>
      <c r="S9818" s="18" t="s">
        <v>30</v>
      </c>
      <c r="T9818" s="18" t="s">
        <v>43881</v>
      </c>
      <c r="U9818" s="18"/>
      <c r="V9818" s="18"/>
      <c r="W9818" s="18" t="s">
        <v>43882</v>
      </c>
      <c r="X9818" s="18" t="s">
        <v>35</v>
      </c>
      <c r="Y9818" s="18" t="s">
        <v>17171</v>
      </c>
      <c r="Z9818" s="18" t="s">
        <v>24637</v>
      </c>
      <c r="AA9818" s="21" t="str">
        <f>HYPERLINK("https://www.ncbi.nlm.nih.gov/nuccore/CASDWV010000931","NCBI Nucleotide")</f>
        <v>NCBI Nucleotide</v>
      </c>
    </row>
    <row r="9819" spans="1:27" x14ac:dyDescent="0.35">
      <c r="A9819">
        <v>1026470</v>
      </c>
      <c r="B9819">
        <v>9144</v>
      </c>
      <c r="C9819">
        <v>1</v>
      </c>
      <c r="D9819" s="17" t="s">
        <v>17166</v>
      </c>
      <c r="E9819" s="17"/>
      <c r="F9819" s="17" t="s">
        <v>17246</v>
      </c>
      <c r="G9819" s="17"/>
      <c r="H9819" s="17" t="s">
        <v>20919</v>
      </c>
      <c r="I9819" s="17"/>
      <c r="J9819" s="17" t="s">
        <v>21313</v>
      </c>
      <c r="K9819" s="17"/>
      <c r="L9819" s="17" t="s">
        <v>21326</v>
      </c>
      <c r="M9819" s="17"/>
      <c r="N9819" s="17" t="s">
        <v>21577</v>
      </c>
      <c r="O9819" s="17"/>
      <c r="P9819" s="17" t="s">
        <v>22146</v>
      </c>
      <c r="Q9819" s="17"/>
      <c r="R9819" s="25" t="str">
        <f>HYPERLINK("https://ictv.global/taxonomy/taxondetails?taxnode_id=202316629","Radbaivirus segetadaptatum")</f>
        <v>Radbaivirus segetadaptatum</v>
      </c>
      <c r="S9819" s="18" t="s">
        <v>30</v>
      </c>
      <c r="T9819" s="18" t="s">
        <v>43883</v>
      </c>
      <c r="U9819" s="18"/>
      <c r="V9819" s="18"/>
      <c r="W9819" s="18" t="s">
        <v>43884</v>
      </c>
      <c r="X9819" s="18" t="s">
        <v>35</v>
      </c>
      <c r="Y9819" s="18" t="s">
        <v>17171</v>
      </c>
      <c r="Z9819" s="18" t="s">
        <v>24637</v>
      </c>
      <c r="AA9819" s="21" t="str">
        <f>HYPERLINK("https://www.ncbi.nlm.nih.gov/nuccore/CASDWV010004242","NCBI Nucleotide")</f>
        <v>NCBI Nucleotide</v>
      </c>
    </row>
    <row r="9820" spans="1:27" x14ac:dyDescent="0.35">
      <c r="A9820">
        <v>1026471</v>
      </c>
      <c r="B9820">
        <v>9145</v>
      </c>
      <c r="C9820">
        <v>1</v>
      </c>
      <c r="D9820" s="17" t="s">
        <v>17166</v>
      </c>
      <c r="E9820" s="17"/>
      <c r="F9820" s="17" t="s">
        <v>17246</v>
      </c>
      <c r="G9820" s="17"/>
      <c r="H9820" s="17" t="s">
        <v>20919</v>
      </c>
      <c r="I9820" s="17"/>
      <c r="J9820" s="17" t="s">
        <v>21313</v>
      </c>
      <c r="K9820" s="17"/>
      <c r="L9820" s="17" t="s">
        <v>21326</v>
      </c>
      <c r="M9820" s="17"/>
      <c r="N9820" s="17" t="s">
        <v>21577</v>
      </c>
      <c r="O9820" s="17"/>
      <c r="P9820" s="17" t="s">
        <v>22146</v>
      </c>
      <c r="Q9820" s="17"/>
      <c r="R9820" s="25" t="str">
        <f>HYPERLINK("https://ictv.global/taxonomy/taxondetails?taxnode_id=202316630","Radbaivirus segetivicinum")</f>
        <v>Radbaivirus segetivicinum</v>
      </c>
      <c r="S9820" s="18" t="s">
        <v>30</v>
      </c>
      <c r="T9820" s="18" t="s">
        <v>43885</v>
      </c>
      <c r="U9820" s="18"/>
      <c r="V9820" s="18"/>
      <c r="W9820" s="18" t="s">
        <v>43886</v>
      </c>
      <c r="X9820" s="18" t="s">
        <v>35</v>
      </c>
      <c r="Y9820" s="18" t="s">
        <v>17171</v>
      </c>
      <c r="Z9820" s="18" t="s">
        <v>24637</v>
      </c>
      <c r="AA9820" s="21" t="str">
        <f>HYPERLINK("https://www.ncbi.nlm.nih.gov/nuccore/CASDWV010003351","NCBI Nucleotide")</f>
        <v>NCBI Nucleotide</v>
      </c>
    </row>
    <row r="9821" spans="1:27" x14ac:dyDescent="0.35">
      <c r="A9821">
        <v>1026472</v>
      </c>
      <c r="B9821">
        <v>9146</v>
      </c>
      <c r="C9821">
        <v>1</v>
      </c>
      <c r="D9821" s="17" t="s">
        <v>17166</v>
      </c>
      <c r="E9821" s="17"/>
      <c r="F9821" s="17" t="s">
        <v>17246</v>
      </c>
      <c r="G9821" s="17"/>
      <c r="H9821" s="17" t="s">
        <v>20919</v>
      </c>
      <c r="I9821" s="17"/>
      <c r="J9821" s="17" t="s">
        <v>21313</v>
      </c>
      <c r="K9821" s="17"/>
      <c r="L9821" s="17" t="s">
        <v>21326</v>
      </c>
      <c r="M9821" s="17"/>
      <c r="N9821" s="17" t="s">
        <v>21577</v>
      </c>
      <c r="O9821" s="17"/>
      <c r="P9821" s="17" t="s">
        <v>22146</v>
      </c>
      <c r="Q9821" s="17"/>
      <c r="R9821" s="25" t="str">
        <f>HYPERLINK("https://ictv.global/taxonomy/taxondetails?taxnode_id=202316631","Radbaivirus soladaptatum")</f>
        <v>Radbaivirus soladaptatum</v>
      </c>
      <c r="S9821" s="18" t="s">
        <v>30</v>
      </c>
      <c r="T9821" s="18" t="s">
        <v>43887</v>
      </c>
      <c r="U9821" s="18"/>
      <c r="V9821" s="18"/>
      <c r="W9821" s="18" t="s">
        <v>43888</v>
      </c>
      <c r="X9821" s="18" t="s">
        <v>35</v>
      </c>
      <c r="Y9821" s="18" t="s">
        <v>17171</v>
      </c>
      <c r="Z9821" s="18" t="s">
        <v>24637</v>
      </c>
      <c r="AA9821" s="21" t="str">
        <f>HYPERLINK("https://www.ncbi.nlm.nih.gov/nuccore/CASDWV010002173","NCBI Nucleotide")</f>
        <v>NCBI Nucleotide</v>
      </c>
    </row>
    <row r="9822" spans="1:27" x14ac:dyDescent="0.35">
      <c r="A9822">
        <v>1026473</v>
      </c>
      <c r="B9822">
        <v>9147</v>
      </c>
      <c r="C9822">
        <v>1</v>
      </c>
      <c r="D9822" s="17" t="s">
        <v>17166</v>
      </c>
      <c r="E9822" s="17"/>
      <c r="F9822" s="17" t="s">
        <v>17246</v>
      </c>
      <c r="G9822" s="17"/>
      <c r="H9822" s="17" t="s">
        <v>20919</v>
      </c>
      <c r="I9822" s="17"/>
      <c r="J9822" s="17" t="s">
        <v>21313</v>
      </c>
      <c r="K9822" s="17"/>
      <c r="L9822" s="17" t="s">
        <v>21326</v>
      </c>
      <c r="M9822" s="17"/>
      <c r="N9822" s="17" t="s">
        <v>21577</v>
      </c>
      <c r="O9822" s="17"/>
      <c r="P9822" s="17" t="s">
        <v>22146</v>
      </c>
      <c r="Q9822" s="17"/>
      <c r="R9822" s="25" t="str">
        <f>HYPERLINK("https://ictv.global/taxonomy/taxondetails?taxnode_id=202316632","Radbaivirus solivivens")</f>
        <v>Radbaivirus solivivens</v>
      </c>
      <c r="S9822" s="18" t="s">
        <v>30</v>
      </c>
      <c r="T9822" s="18" t="s">
        <v>43889</v>
      </c>
      <c r="U9822" s="18"/>
      <c r="V9822" s="18"/>
      <c r="W9822" s="18" t="s">
        <v>43890</v>
      </c>
      <c r="X9822" s="18" t="s">
        <v>35</v>
      </c>
      <c r="Y9822" s="18" t="s">
        <v>17171</v>
      </c>
      <c r="Z9822" s="18" t="s">
        <v>24637</v>
      </c>
      <c r="AA9822" s="21" t="str">
        <f>HYPERLINK("https://www.ncbi.nlm.nih.gov/nuccore/CASDWV010000947","NCBI Nucleotide")</f>
        <v>NCBI Nucleotide</v>
      </c>
    </row>
    <row r="9823" spans="1:27" x14ac:dyDescent="0.35">
      <c r="A9823">
        <v>1009685</v>
      </c>
      <c r="B9823">
        <v>9148</v>
      </c>
      <c r="C9823">
        <v>1</v>
      </c>
      <c r="D9823" s="17" t="s">
        <v>17166</v>
      </c>
      <c r="E9823" s="17"/>
      <c r="F9823" s="17" t="s">
        <v>17246</v>
      </c>
      <c r="G9823" s="17"/>
      <c r="H9823" s="17" t="s">
        <v>20919</v>
      </c>
      <c r="I9823" s="17"/>
      <c r="J9823" s="17" t="s">
        <v>21313</v>
      </c>
      <c r="K9823" s="17"/>
      <c r="L9823" s="17" t="s">
        <v>21326</v>
      </c>
      <c r="M9823" s="17"/>
      <c r="N9823" s="17" t="s">
        <v>21577</v>
      </c>
      <c r="O9823" s="17"/>
      <c r="P9823" s="17" t="s">
        <v>22146</v>
      </c>
      <c r="Q9823" s="17"/>
      <c r="R9823" s="25" t="str">
        <f>HYPERLINK("https://ictv.global/taxonomy/taxondetails?taxnode_id=202310586","Radbaivirus tellurenecus")</f>
        <v>Radbaivirus tellurenecus</v>
      </c>
      <c r="S9823" s="18" t="s">
        <v>30</v>
      </c>
      <c r="T9823" s="18" t="s">
        <v>22147</v>
      </c>
      <c r="U9823" s="18"/>
      <c r="V9823" s="18"/>
      <c r="W9823" s="18" t="s">
        <v>22148</v>
      </c>
      <c r="X9823" s="18" t="s">
        <v>35</v>
      </c>
      <c r="Y9823" s="18" t="s">
        <v>17171</v>
      </c>
      <c r="Z9823" s="18" t="s">
        <v>697</v>
      </c>
      <c r="AA9823" s="21" t="str">
        <f>HYPERLINK("https://www.ncbi.nlm.nih.gov/nuccore/BK013959","NCBI Nucleotide")</f>
        <v>NCBI Nucleotide</v>
      </c>
    </row>
    <row r="9824" spans="1:27" x14ac:dyDescent="0.35">
      <c r="A9824">
        <v>1009686</v>
      </c>
      <c r="B9824">
        <v>9149</v>
      </c>
      <c r="C9824">
        <v>1</v>
      </c>
      <c r="D9824" s="17" t="s">
        <v>17166</v>
      </c>
      <c r="E9824" s="17"/>
      <c r="F9824" s="17" t="s">
        <v>17246</v>
      </c>
      <c r="G9824" s="17"/>
      <c r="H9824" s="17" t="s">
        <v>20919</v>
      </c>
      <c r="I9824" s="17"/>
      <c r="J9824" s="17" t="s">
        <v>21313</v>
      </c>
      <c r="K9824" s="17"/>
      <c r="L9824" s="17" t="s">
        <v>21326</v>
      </c>
      <c r="M9824" s="17"/>
      <c r="N9824" s="17" t="s">
        <v>21577</v>
      </c>
      <c r="O9824" s="17"/>
      <c r="P9824" s="17" t="s">
        <v>22146</v>
      </c>
      <c r="Q9824" s="17"/>
      <c r="R9824" s="25" t="str">
        <f>HYPERLINK("https://ictv.global/taxonomy/taxondetails?taxnode_id=202310587","Radbaivirus telluricola")</f>
        <v>Radbaivirus telluricola</v>
      </c>
      <c r="S9824" s="18" t="s">
        <v>30</v>
      </c>
      <c r="T9824" s="18" t="s">
        <v>22149</v>
      </c>
      <c r="U9824" s="18"/>
      <c r="V9824" s="18"/>
      <c r="W9824" s="18" t="s">
        <v>22150</v>
      </c>
      <c r="X9824" s="18" t="s">
        <v>35</v>
      </c>
      <c r="Y9824" s="18" t="s">
        <v>17171</v>
      </c>
      <c r="Z9824" s="18" t="s">
        <v>697</v>
      </c>
      <c r="AA9824" s="21" t="str">
        <f>HYPERLINK("https://www.ncbi.nlm.nih.gov/nuccore/BK013833","NCBI Nucleotide")</f>
        <v>NCBI Nucleotide</v>
      </c>
    </row>
    <row r="9825" spans="1:27" x14ac:dyDescent="0.35">
      <c r="A9825">
        <v>1009687</v>
      </c>
      <c r="B9825">
        <v>9150</v>
      </c>
      <c r="C9825">
        <v>1</v>
      </c>
      <c r="D9825" s="17" t="s">
        <v>17166</v>
      </c>
      <c r="E9825" s="17"/>
      <c r="F9825" s="17" t="s">
        <v>17246</v>
      </c>
      <c r="G9825" s="17"/>
      <c r="H9825" s="17" t="s">
        <v>20919</v>
      </c>
      <c r="I9825" s="17"/>
      <c r="J9825" s="17" t="s">
        <v>21313</v>
      </c>
      <c r="K9825" s="17"/>
      <c r="L9825" s="17" t="s">
        <v>21326</v>
      </c>
      <c r="M9825" s="17"/>
      <c r="N9825" s="17" t="s">
        <v>21577</v>
      </c>
      <c r="O9825" s="17"/>
      <c r="P9825" s="17" t="s">
        <v>22146</v>
      </c>
      <c r="Q9825" s="17"/>
      <c r="R9825" s="25" t="str">
        <f>HYPERLINK("https://ictv.global/taxonomy/taxondetails?taxnode_id=202310588","Radbaivirus tellurihabitans")</f>
        <v>Radbaivirus tellurihabitans</v>
      </c>
      <c r="S9825" s="18" t="s">
        <v>30</v>
      </c>
      <c r="T9825" s="18" t="s">
        <v>22151</v>
      </c>
      <c r="U9825" s="18"/>
      <c r="V9825" s="18"/>
      <c r="W9825" s="18" t="s">
        <v>22152</v>
      </c>
      <c r="X9825" s="18" t="s">
        <v>35</v>
      </c>
      <c r="Y9825" s="18" t="s">
        <v>17171</v>
      </c>
      <c r="Z9825" s="18" t="s">
        <v>697</v>
      </c>
      <c r="AA9825" s="21" t="str">
        <f>HYPERLINK("https://www.ncbi.nlm.nih.gov/nuccore/BK013406","NCBI Nucleotide")</f>
        <v>NCBI Nucleotide</v>
      </c>
    </row>
    <row r="9826" spans="1:27" x14ac:dyDescent="0.35">
      <c r="A9826">
        <v>1026474</v>
      </c>
      <c r="B9826">
        <v>9151</v>
      </c>
      <c r="C9826">
        <v>1</v>
      </c>
      <c r="D9826" s="17" t="s">
        <v>17166</v>
      </c>
      <c r="E9826" s="17"/>
      <c r="F9826" s="17" t="s">
        <v>17246</v>
      </c>
      <c r="G9826" s="17"/>
      <c r="H9826" s="17" t="s">
        <v>20919</v>
      </c>
      <c r="I9826" s="17"/>
      <c r="J9826" s="17" t="s">
        <v>21313</v>
      </c>
      <c r="K9826" s="17"/>
      <c r="L9826" s="17" t="s">
        <v>21326</v>
      </c>
      <c r="M9826" s="17"/>
      <c r="N9826" s="17" t="s">
        <v>21577</v>
      </c>
      <c r="O9826" s="17"/>
      <c r="P9826" s="17" t="s">
        <v>43891</v>
      </c>
      <c r="Q9826" s="17"/>
      <c r="R9826" s="25" t="str">
        <f>HYPERLINK("https://ictv.global/taxonomy/taxondetails?taxnode_id=202316633","Rahdfavirus chthonovivens")</f>
        <v>Rahdfavirus chthonovivens</v>
      </c>
      <c r="S9826" s="18" t="s">
        <v>30</v>
      </c>
      <c r="T9826" s="18" t="s">
        <v>43892</v>
      </c>
      <c r="U9826" s="18"/>
      <c r="V9826" s="18"/>
      <c r="W9826" s="18" t="s">
        <v>43893</v>
      </c>
      <c r="X9826" s="18" t="s">
        <v>35</v>
      </c>
      <c r="Y9826" s="18" t="s">
        <v>17171</v>
      </c>
      <c r="Z9826" s="18" t="s">
        <v>24637</v>
      </c>
      <c r="AA9826" s="21" t="str">
        <f>HYPERLINK("https://www.ncbi.nlm.nih.gov/nuccore/CASDWV010002331","NCBI Nucleotide")</f>
        <v>NCBI Nucleotide</v>
      </c>
    </row>
    <row r="9827" spans="1:27" x14ac:dyDescent="0.35">
      <c r="A9827">
        <v>1026392</v>
      </c>
      <c r="B9827">
        <v>9152</v>
      </c>
      <c r="C9827">
        <v>1</v>
      </c>
      <c r="D9827" s="17" t="s">
        <v>17166</v>
      </c>
      <c r="E9827" s="17"/>
      <c r="F9827" s="17" t="s">
        <v>17246</v>
      </c>
      <c r="G9827" s="17"/>
      <c r="H9827" s="17" t="s">
        <v>20919</v>
      </c>
      <c r="I9827" s="17"/>
      <c r="J9827" s="17" t="s">
        <v>21313</v>
      </c>
      <c r="K9827" s="17"/>
      <c r="L9827" s="17" t="s">
        <v>21326</v>
      </c>
      <c r="M9827" s="17"/>
      <c r="N9827" s="17" t="s">
        <v>21577</v>
      </c>
      <c r="O9827" s="17"/>
      <c r="P9827" s="17" t="s">
        <v>43894</v>
      </c>
      <c r="Q9827" s="17"/>
      <c r="R9827" s="25" t="str">
        <f>HYPERLINK("https://ictv.global/taxonomy/taxondetails?taxnode_id=202316634","Ratlevirus chthonenecus")</f>
        <v>Ratlevirus chthonenecus</v>
      </c>
      <c r="S9827" s="18" t="s">
        <v>30</v>
      </c>
      <c r="T9827" s="18" t="s">
        <v>43895</v>
      </c>
      <c r="U9827" s="18"/>
      <c r="V9827" s="18"/>
      <c r="W9827" s="18" t="s">
        <v>43896</v>
      </c>
      <c r="X9827" s="18" t="s">
        <v>35</v>
      </c>
      <c r="Y9827" s="18" t="s">
        <v>17171</v>
      </c>
      <c r="Z9827" s="18" t="s">
        <v>24637</v>
      </c>
      <c r="AA9827" s="21" t="str">
        <f>HYPERLINK("https://www.ncbi.nlm.nih.gov/nuccore/CASDWV010001999","NCBI Nucleotide")</f>
        <v>NCBI Nucleotide</v>
      </c>
    </row>
    <row r="9828" spans="1:27" x14ac:dyDescent="0.35">
      <c r="A9828">
        <v>1026395</v>
      </c>
      <c r="B9828">
        <v>9153</v>
      </c>
      <c r="C9828">
        <v>1</v>
      </c>
      <c r="D9828" s="17" t="s">
        <v>17166</v>
      </c>
      <c r="E9828" s="17"/>
      <c r="F9828" s="17" t="s">
        <v>17246</v>
      </c>
      <c r="G9828" s="17"/>
      <c r="H9828" s="17" t="s">
        <v>20919</v>
      </c>
      <c r="I9828" s="17"/>
      <c r="J9828" s="17" t="s">
        <v>21313</v>
      </c>
      <c r="K9828" s="17"/>
      <c r="L9828" s="17" t="s">
        <v>21326</v>
      </c>
      <c r="M9828" s="17"/>
      <c r="N9828" s="17" t="s">
        <v>21577</v>
      </c>
      <c r="O9828" s="17"/>
      <c r="P9828" s="17" t="s">
        <v>43897</v>
      </c>
      <c r="Q9828" s="17"/>
      <c r="R9828" s="25" t="str">
        <f>HYPERLINK("https://ictv.global/taxonomy/taxondetails?taxnode_id=202316635","Redbauvirus asiadaptatum")</f>
        <v>Redbauvirus asiadaptatum</v>
      </c>
      <c r="S9828" s="18" t="s">
        <v>30</v>
      </c>
      <c r="T9828" s="18" t="s">
        <v>43898</v>
      </c>
      <c r="U9828" s="18"/>
      <c r="V9828" s="18"/>
      <c r="W9828" s="18" t="s">
        <v>43899</v>
      </c>
      <c r="X9828" s="18" t="s">
        <v>35</v>
      </c>
      <c r="Y9828" s="18" t="s">
        <v>17171</v>
      </c>
      <c r="Z9828" s="18" t="s">
        <v>24637</v>
      </c>
      <c r="AA9828" s="21" t="str">
        <f>HYPERLINK("https://www.ncbi.nlm.nih.gov/nuccore/CASDWV010004946","NCBI Nucleotide")</f>
        <v>NCBI Nucleotide</v>
      </c>
    </row>
    <row r="9829" spans="1:27" x14ac:dyDescent="0.35">
      <c r="A9829">
        <v>1026396</v>
      </c>
      <c r="B9829">
        <v>9154</v>
      </c>
      <c r="C9829">
        <v>1</v>
      </c>
      <c r="D9829" s="17" t="s">
        <v>17166</v>
      </c>
      <c r="E9829" s="17"/>
      <c r="F9829" s="17" t="s">
        <v>17246</v>
      </c>
      <c r="G9829" s="17"/>
      <c r="H9829" s="17" t="s">
        <v>20919</v>
      </c>
      <c r="I9829" s="17"/>
      <c r="J9829" s="17" t="s">
        <v>21313</v>
      </c>
      <c r="K9829" s="17"/>
      <c r="L9829" s="17" t="s">
        <v>21326</v>
      </c>
      <c r="M9829" s="17"/>
      <c r="N9829" s="17" t="s">
        <v>21577</v>
      </c>
      <c r="O9829" s="17"/>
      <c r="P9829" s="17" t="s">
        <v>43897</v>
      </c>
      <c r="Q9829" s="17"/>
      <c r="R9829" s="25" t="str">
        <f>HYPERLINK("https://ictv.global/taxonomy/taxondetails?taxnode_id=202316636","Redbauvirus radicihabitans")</f>
        <v>Redbauvirus radicihabitans</v>
      </c>
      <c r="S9829" s="18" t="s">
        <v>30</v>
      </c>
      <c r="T9829" s="18" t="s">
        <v>43900</v>
      </c>
      <c r="U9829" s="18"/>
      <c r="V9829" s="18"/>
      <c r="W9829" s="18" t="s">
        <v>43901</v>
      </c>
      <c r="X9829" s="18" t="s">
        <v>35</v>
      </c>
      <c r="Y9829" s="18" t="s">
        <v>17171</v>
      </c>
      <c r="Z9829" s="18" t="s">
        <v>24637</v>
      </c>
      <c r="AA9829" s="21" t="str">
        <f>HYPERLINK("https://www.ncbi.nlm.nih.gov/nuccore/CASDWV010002303","NCBI Nucleotide")</f>
        <v>NCBI Nucleotide</v>
      </c>
    </row>
    <row r="9830" spans="1:27" x14ac:dyDescent="0.35">
      <c r="A9830">
        <v>1009688</v>
      </c>
      <c r="B9830">
        <v>9155</v>
      </c>
      <c r="C9830">
        <v>1</v>
      </c>
      <c r="D9830" s="17" t="s">
        <v>17166</v>
      </c>
      <c r="E9830" s="17"/>
      <c r="F9830" s="17" t="s">
        <v>17246</v>
      </c>
      <c r="G9830" s="17"/>
      <c r="H9830" s="17" t="s">
        <v>20919</v>
      </c>
      <c r="I9830" s="17"/>
      <c r="J9830" s="17" t="s">
        <v>21313</v>
      </c>
      <c r="K9830" s="17"/>
      <c r="L9830" s="17" t="s">
        <v>21326</v>
      </c>
      <c r="M9830" s="17"/>
      <c r="N9830" s="17" t="s">
        <v>21577</v>
      </c>
      <c r="O9830" s="17"/>
      <c r="P9830" s="17" t="s">
        <v>22153</v>
      </c>
      <c r="Q9830" s="17"/>
      <c r="R9830" s="25" t="str">
        <f>HYPERLINK("https://ictv.global/taxonomy/taxondetails?taxnode_id=202310590","Rehihmevirus terrenecus")</f>
        <v>Rehihmevirus terrenecus</v>
      </c>
      <c r="S9830" s="18" t="s">
        <v>30</v>
      </c>
      <c r="T9830" s="18" t="s">
        <v>22154</v>
      </c>
      <c r="U9830" s="18"/>
      <c r="V9830" s="18"/>
      <c r="W9830" s="18" t="s">
        <v>22155</v>
      </c>
      <c r="X9830" s="18" t="s">
        <v>35</v>
      </c>
      <c r="Y9830" s="18" t="s">
        <v>17171</v>
      </c>
      <c r="Z9830" s="18" t="s">
        <v>697</v>
      </c>
      <c r="AA9830" s="21" t="str">
        <f>HYPERLINK("https://www.ncbi.nlm.nih.gov/nuccore/BK013497","NCBI Nucleotide")</f>
        <v>NCBI Nucleotide</v>
      </c>
    </row>
    <row r="9831" spans="1:27" x14ac:dyDescent="0.35">
      <c r="A9831">
        <v>1009689</v>
      </c>
      <c r="B9831">
        <v>9156</v>
      </c>
      <c r="C9831">
        <v>1</v>
      </c>
      <c r="D9831" s="17" t="s">
        <v>17166</v>
      </c>
      <c r="E9831" s="17"/>
      <c r="F9831" s="17" t="s">
        <v>17246</v>
      </c>
      <c r="G9831" s="17"/>
      <c r="H9831" s="17" t="s">
        <v>20919</v>
      </c>
      <c r="I9831" s="17"/>
      <c r="J9831" s="17" t="s">
        <v>21313</v>
      </c>
      <c r="K9831" s="17"/>
      <c r="L9831" s="17" t="s">
        <v>21326</v>
      </c>
      <c r="M9831" s="17"/>
      <c r="N9831" s="17" t="s">
        <v>21577</v>
      </c>
      <c r="O9831" s="17"/>
      <c r="P9831" s="17" t="s">
        <v>22156</v>
      </c>
      <c r="Q9831" s="17"/>
      <c r="R9831" s="25" t="str">
        <f>HYPERLINK("https://ictv.global/taxonomy/taxondetails?taxnode_id=202310592","Rehudzovirus terrihabitans")</f>
        <v>Rehudzovirus terrihabitans</v>
      </c>
      <c r="S9831" s="18" t="s">
        <v>30</v>
      </c>
      <c r="T9831" s="18" t="s">
        <v>22157</v>
      </c>
      <c r="U9831" s="18"/>
      <c r="V9831" s="18"/>
      <c r="W9831" s="18" t="s">
        <v>22158</v>
      </c>
      <c r="X9831" s="18" t="s">
        <v>35</v>
      </c>
      <c r="Y9831" s="18" t="s">
        <v>17171</v>
      </c>
      <c r="Z9831" s="18" t="s">
        <v>697</v>
      </c>
      <c r="AA9831" s="21" t="str">
        <f>HYPERLINK("https://www.ncbi.nlm.nih.gov/nuccore/BK013415","NCBI Nucleotide")</f>
        <v>NCBI Nucleotide</v>
      </c>
    </row>
    <row r="9832" spans="1:27" x14ac:dyDescent="0.35">
      <c r="A9832">
        <v>1026394</v>
      </c>
      <c r="B9832">
        <v>9157</v>
      </c>
      <c r="C9832">
        <v>1</v>
      </c>
      <c r="D9832" s="17" t="s">
        <v>17166</v>
      </c>
      <c r="E9832" s="17"/>
      <c r="F9832" s="17" t="s">
        <v>17246</v>
      </c>
      <c r="G9832" s="17"/>
      <c r="H9832" s="17" t="s">
        <v>20919</v>
      </c>
      <c r="I9832" s="17"/>
      <c r="J9832" s="17" t="s">
        <v>21313</v>
      </c>
      <c r="K9832" s="17"/>
      <c r="L9832" s="17" t="s">
        <v>21326</v>
      </c>
      <c r="M9832" s="17"/>
      <c r="N9832" s="17" t="s">
        <v>21577</v>
      </c>
      <c r="O9832" s="17"/>
      <c r="P9832" s="17" t="s">
        <v>43902</v>
      </c>
      <c r="Q9832" s="17"/>
      <c r="R9832" s="25" t="str">
        <f>HYPERLINK("https://ictv.global/taxonomy/taxondetails?taxnode_id=202316637","Ridwavirus caenihabitans")</f>
        <v>Ridwavirus caenihabitans</v>
      </c>
      <c r="S9832" s="18" t="s">
        <v>30</v>
      </c>
      <c r="T9832" s="18" t="s">
        <v>43903</v>
      </c>
      <c r="U9832" s="18"/>
      <c r="V9832" s="18"/>
      <c r="W9832" s="18" t="s">
        <v>43904</v>
      </c>
      <c r="X9832" s="18" t="s">
        <v>35</v>
      </c>
      <c r="Y9832" s="18" t="s">
        <v>17171</v>
      </c>
      <c r="Z9832" s="18" t="s">
        <v>24637</v>
      </c>
      <c r="AA9832" s="21" t="str">
        <f>HYPERLINK("https://www.ncbi.nlm.nih.gov/nuccore/CASDWV010002375","NCBI Nucleotide")</f>
        <v>NCBI Nucleotide</v>
      </c>
    </row>
    <row r="9833" spans="1:27" x14ac:dyDescent="0.35">
      <c r="A9833">
        <v>1009690</v>
      </c>
      <c r="B9833">
        <v>9158</v>
      </c>
      <c r="C9833">
        <v>1</v>
      </c>
      <c r="D9833" s="17" t="s">
        <v>17166</v>
      </c>
      <c r="E9833" s="17"/>
      <c r="F9833" s="17" t="s">
        <v>17246</v>
      </c>
      <c r="G9833" s="17"/>
      <c r="H9833" s="17" t="s">
        <v>20919</v>
      </c>
      <c r="I9833" s="17"/>
      <c r="J9833" s="17" t="s">
        <v>21313</v>
      </c>
      <c r="K9833" s="17"/>
      <c r="L9833" s="17" t="s">
        <v>21326</v>
      </c>
      <c r="M9833" s="17"/>
      <c r="N9833" s="17" t="s">
        <v>21577</v>
      </c>
      <c r="O9833" s="17"/>
      <c r="P9833" s="17" t="s">
        <v>22159</v>
      </c>
      <c r="Q9833" s="17"/>
      <c r="R9833" s="25" t="str">
        <f>HYPERLINK("https://ictv.global/taxonomy/taxondetails?taxnode_id=202310594","Rusvolovirus asiadaptatum")</f>
        <v>Rusvolovirus asiadaptatum</v>
      </c>
      <c r="S9833" s="18" t="s">
        <v>30</v>
      </c>
      <c r="T9833" s="18" t="s">
        <v>22160</v>
      </c>
      <c r="U9833" s="18"/>
      <c r="V9833" s="18"/>
      <c r="W9833" s="18" t="s">
        <v>22161</v>
      </c>
      <c r="X9833" s="18" t="s">
        <v>35</v>
      </c>
      <c r="Y9833" s="18" t="s">
        <v>17171</v>
      </c>
      <c r="Z9833" s="18" t="s">
        <v>697</v>
      </c>
      <c r="AA9833" s="21" t="str">
        <f>HYPERLINK("https://www.ncbi.nlm.nih.gov/nuccore/BK014082","NCBI Nucleotide")</f>
        <v>NCBI Nucleotide</v>
      </c>
    </row>
    <row r="9834" spans="1:27" x14ac:dyDescent="0.35">
      <c r="A9834">
        <v>1009691</v>
      </c>
      <c r="B9834">
        <v>9159</v>
      </c>
      <c r="C9834">
        <v>1</v>
      </c>
      <c r="D9834" s="17" t="s">
        <v>17166</v>
      </c>
      <c r="E9834" s="17"/>
      <c r="F9834" s="17" t="s">
        <v>17246</v>
      </c>
      <c r="G9834" s="17"/>
      <c r="H9834" s="17" t="s">
        <v>20919</v>
      </c>
      <c r="I9834" s="17"/>
      <c r="J9834" s="17" t="s">
        <v>21313</v>
      </c>
      <c r="K9834" s="17"/>
      <c r="L9834" s="17" t="s">
        <v>21326</v>
      </c>
      <c r="M9834" s="17"/>
      <c r="N9834" s="17" t="s">
        <v>21577</v>
      </c>
      <c r="O9834" s="17"/>
      <c r="P9834" s="17" t="s">
        <v>22159</v>
      </c>
      <c r="Q9834" s="17"/>
      <c r="R9834" s="25" t="str">
        <f>HYPERLINK("https://ictv.global/taxonomy/taxondetails?taxnode_id=202310595","Rusvolovirus asienecus")</f>
        <v>Rusvolovirus asienecus</v>
      </c>
      <c r="S9834" s="18" t="s">
        <v>30</v>
      </c>
      <c r="T9834" s="18" t="s">
        <v>22162</v>
      </c>
      <c r="U9834" s="18"/>
      <c r="V9834" s="18"/>
      <c r="W9834" s="18" t="s">
        <v>22163</v>
      </c>
      <c r="X9834" s="18" t="s">
        <v>35</v>
      </c>
      <c r="Y9834" s="18" t="s">
        <v>17171</v>
      </c>
      <c r="Z9834" s="18" t="s">
        <v>697</v>
      </c>
      <c r="AA9834" s="21" t="str">
        <f>HYPERLINK("https://www.ncbi.nlm.nih.gov/nuccore/BK014132","NCBI Nucleotide")</f>
        <v>NCBI Nucleotide</v>
      </c>
    </row>
    <row r="9835" spans="1:27" x14ac:dyDescent="0.35">
      <c r="A9835">
        <v>1026407</v>
      </c>
      <c r="B9835">
        <v>9160</v>
      </c>
      <c r="C9835">
        <v>1</v>
      </c>
      <c r="D9835" s="17" t="s">
        <v>17166</v>
      </c>
      <c r="E9835" s="17"/>
      <c r="F9835" s="17" t="s">
        <v>17246</v>
      </c>
      <c r="G9835" s="17"/>
      <c r="H9835" s="17" t="s">
        <v>20919</v>
      </c>
      <c r="I9835" s="17"/>
      <c r="J9835" s="17" t="s">
        <v>21313</v>
      </c>
      <c r="K9835" s="17"/>
      <c r="L9835" s="17" t="s">
        <v>21326</v>
      </c>
      <c r="M9835" s="17"/>
      <c r="N9835" s="17" t="s">
        <v>21577</v>
      </c>
      <c r="O9835" s="17"/>
      <c r="P9835" s="17" t="s">
        <v>43905</v>
      </c>
      <c r="Q9835" s="17"/>
      <c r="R9835" s="25" t="str">
        <f>HYPERLINK("https://ictv.global/taxonomy/taxondetails?taxnode_id=202316638","Rytunovirus limihabitans")</f>
        <v>Rytunovirus limihabitans</v>
      </c>
      <c r="S9835" s="18" t="s">
        <v>30</v>
      </c>
      <c r="T9835" s="18" t="s">
        <v>43906</v>
      </c>
      <c r="U9835" s="18"/>
      <c r="V9835" s="18"/>
      <c r="W9835" s="18" t="s">
        <v>43907</v>
      </c>
      <c r="X9835" s="18" t="s">
        <v>35</v>
      </c>
      <c r="Y9835" s="18" t="s">
        <v>17171</v>
      </c>
      <c r="Z9835" s="18" t="s">
        <v>24637</v>
      </c>
      <c r="AA9835" s="21" t="str">
        <f>HYPERLINK("https://www.ncbi.nlm.nih.gov/nuccore/CASDWV010004276","NCBI Nucleotide")</f>
        <v>NCBI Nucleotide</v>
      </c>
    </row>
    <row r="9836" spans="1:27" x14ac:dyDescent="0.35">
      <c r="A9836">
        <v>1026409</v>
      </c>
      <c r="B9836">
        <v>9161</v>
      </c>
      <c r="C9836">
        <v>1</v>
      </c>
      <c r="D9836" s="17" t="s">
        <v>17166</v>
      </c>
      <c r="E9836" s="17"/>
      <c r="F9836" s="17" t="s">
        <v>17246</v>
      </c>
      <c r="G9836" s="17"/>
      <c r="H9836" s="17" t="s">
        <v>20919</v>
      </c>
      <c r="I9836" s="17"/>
      <c r="J9836" s="17" t="s">
        <v>21313</v>
      </c>
      <c r="K9836" s="17"/>
      <c r="L9836" s="17" t="s">
        <v>21326</v>
      </c>
      <c r="M9836" s="17"/>
      <c r="N9836" s="17" t="s">
        <v>21577</v>
      </c>
      <c r="O9836" s="17"/>
      <c r="P9836" s="17" t="s">
        <v>43908</v>
      </c>
      <c r="Q9836" s="17"/>
      <c r="R9836" s="25" t="str">
        <f>HYPERLINK("https://ictv.global/taxonomy/taxondetails?taxnode_id=202316639","Sahwbrivirus humenecus")</f>
        <v>Sahwbrivirus humenecus</v>
      </c>
      <c r="S9836" s="18" t="s">
        <v>30</v>
      </c>
      <c r="T9836" s="18" t="s">
        <v>43909</v>
      </c>
      <c r="U9836" s="18"/>
      <c r="V9836" s="18"/>
      <c r="W9836" s="18" t="s">
        <v>43910</v>
      </c>
      <c r="X9836" s="18" t="s">
        <v>35</v>
      </c>
      <c r="Y9836" s="18" t="s">
        <v>17171</v>
      </c>
      <c r="Z9836" s="18" t="s">
        <v>24637</v>
      </c>
      <c r="AA9836" s="21" t="str">
        <f>HYPERLINK("https://www.ncbi.nlm.nih.gov/nuccore/CASDWV010002501","NCBI Nucleotide")</f>
        <v>NCBI Nucleotide</v>
      </c>
    </row>
    <row r="9837" spans="1:27" x14ac:dyDescent="0.35">
      <c r="A9837">
        <v>1026411</v>
      </c>
      <c r="B9837">
        <v>9162</v>
      </c>
      <c r="C9837">
        <v>1</v>
      </c>
      <c r="D9837" s="17" t="s">
        <v>17166</v>
      </c>
      <c r="E9837" s="17"/>
      <c r="F9837" s="17" t="s">
        <v>17246</v>
      </c>
      <c r="G9837" s="17"/>
      <c r="H9837" s="17" t="s">
        <v>20919</v>
      </c>
      <c r="I9837" s="17"/>
      <c r="J9837" s="17" t="s">
        <v>21313</v>
      </c>
      <c r="K9837" s="17"/>
      <c r="L9837" s="17" t="s">
        <v>21326</v>
      </c>
      <c r="M9837" s="17"/>
      <c r="N9837" s="17" t="s">
        <v>21577</v>
      </c>
      <c r="O9837" s="17"/>
      <c r="P9837" s="17" t="s">
        <v>43911</v>
      </c>
      <c r="Q9837" s="17"/>
      <c r="R9837" s="25" t="str">
        <f>HYPERLINK("https://ictv.global/taxonomy/taxondetails?taxnode_id=202316640","Sambuevirus dinebrivicinum")</f>
        <v>Sambuevirus dinebrivicinum</v>
      </c>
      <c r="S9837" s="18" t="s">
        <v>30</v>
      </c>
      <c r="T9837" s="18" t="s">
        <v>43912</v>
      </c>
      <c r="U9837" s="18"/>
      <c r="V9837" s="18" t="s">
        <v>43913</v>
      </c>
      <c r="W9837" s="18" t="s">
        <v>43914</v>
      </c>
      <c r="X9837" s="18" t="s">
        <v>35</v>
      </c>
      <c r="Y9837" s="18" t="s">
        <v>17171</v>
      </c>
      <c r="Z9837" s="18" t="s">
        <v>17336</v>
      </c>
      <c r="AA9837" s="21" t="str">
        <f>HYPERLINK("https://www.ncbi.nlm.nih.gov/nuccore/OM514533","NCBI Nucleotide")</f>
        <v>NCBI Nucleotide</v>
      </c>
    </row>
    <row r="9838" spans="1:27" x14ac:dyDescent="0.35">
      <c r="A9838">
        <v>1026412</v>
      </c>
      <c r="B9838">
        <v>9163</v>
      </c>
      <c r="C9838">
        <v>1</v>
      </c>
      <c r="D9838" s="17" t="s">
        <v>17166</v>
      </c>
      <c r="E9838" s="17"/>
      <c r="F9838" s="17" t="s">
        <v>17246</v>
      </c>
      <c r="G9838" s="17"/>
      <c r="H9838" s="17" t="s">
        <v>20919</v>
      </c>
      <c r="I9838" s="17"/>
      <c r="J9838" s="17" t="s">
        <v>21313</v>
      </c>
      <c r="K9838" s="17"/>
      <c r="L9838" s="17" t="s">
        <v>21326</v>
      </c>
      <c r="M9838" s="17"/>
      <c r="N9838" s="17" t="s">
        <v>21577</v>
      </c>
      <c r="O9838" s="17"/>
      <c r="P9838" s="17" t="s">
        <v>43911</v>
      </c>
      <c r="Q9838" s="17"/>
      <c r="R9838" s="25" t="str">
        <f>HYPERLINK("https://ictv.global/taxonomy/taxondetails?taxnode_id=202316641","Sambuevirus lutenecus")</f>
        <v>Sambuevirus lutenecus</v>
      </c>
      <c r="S9838" s="18" t="s">
        <v>30</v>
      </c>
      <c r="T9838" s="18" t="s">
        <v>43915</v>
      </c>
      <c r="U9838" s="18"/>
      <c r="V9838" s="18"/>
      <c r="W9838" s="18" t="s">
        <v>43916</v>
      </c>
      <c r="X9838" s="18" t="s">
        <v>35</v>
      </c>
      <c r="Y9838" s="18" t="s">
        <v>17171</v>
      </c>
      <c r="Z9838" s="18" t="s">
        <v>24637</v>
      </c>
      <c r="AA9838" s="21" t="str">
        <f>HYPERLINK("https://www.ncbi.nlm.nih.gov/nuccore/CASDWV010002493","NCBI Nucleotide")</f>
        <v>NCBI Nucleotide</v>
      </c>
    </row>
    <row r="9839" spans="1:27" x14ac:dyDescent="0.35">
      <c r="A9839">
        <v>1009526</v>
      </c>
      <c r="B9839">
        <v>9164</v>
      </c>
      <c r="C9839">
        <v>1</v>
      </c>
      <c r="D9839" s="17" t="s">
        <v>17166</v>
      </c>
      <c r="E9839" s="17"/>
      <c r="F9839" s="17" t="s">
        <v>17246</v>
      </c>
      <c r="G9839" s="17"/>
      <c r="H9839" s="17" t="s">
        <v>20919</v>
      </c>
      <c r="I9839" s="17"/>
      <c r="J9839" s="17" t="s">
        <v>21313</v>
      </c>
      <c r="K9839" s="17"/>
      <c r="L9839" s="17" t="s">
        <v>21326</v>
      </c>
      <c r="M9839" s="17"/>
      <c r="N9839" s="17" t="s">
        <v>21577</v>
      </c>
      <c r="O9839" s="17"/>
      <c r="P9839" s="17" t="s">
        <v>43917</v>
      </c>
      <c r="Q9839" s="17"/>
      <c r="R9839" s="25" t="str">
        <f>HYPERLINK("https://ictv.global/taxonomy/taxondetails?taxnode_id=202310334","Saudhavirus asiohabitans")</f>
        <v>Saudhavirus asiohabitans</v>
      </c>
      <c r="S9839" s="18" t="s">
        <v>30</v>
      </c>
      <c r="T9839" s="18" t="s">
        <v>21756</v>
      </c>
      <c r="U9839" s="18"/>
      <c r="V9839" s="18"/>
      <c r="W9839" s="18" t="s">
        <v>21757</v>
      </c>
      <c r="X9839" s="18" t="s">
        <v>35</v>
      </c>
      <c r="Y9839" s="18" t="s">
        <v>17171</v>
      </c>
      <c r="Z9839" s="18" t="s">
        <v>697</v>
      </c>
      <c r="AA9839" s="21" t="str">
        <f>HYPERLINK("https://www.ncbi.nlm.nih.gov/nuccore/BK013635","NCBI Nucleotide")</f>
        <v>NCBI Nucleotide</v>
      </c>
    </row>
    <row r="9840" spans="1:27" x14ac:dyDescent="0.35">
      <c r="A9840">
        <v>1026431</v>
      </c>
      <c r="B9840">
        <v>9165</v>
      </c>
      <c r="C9840">
        <v>1</v>
      </c>
      <c r="D9840" s="17" t="s">
        <v>17166</v>
      </c>
      <c r="E9840" s="17"/>
      <c r="F9840" s="17" t="s">
        <v>17246</v>
      </c>
      <c r="G9840" s="17"/>
      <c r="H9840" s="17" t="s">
        <v>20919</v>
      </c>
      <c r="I9840" s="17"/>
      <c r="J9840" s="17" t="s">
        <v>21313</v>
      </c>
      <c r="K9840" s="17"/>
      <c r="L9840" s="17" t="s">
        <v>21326</v>
      </c>
      <c r="M9840" s="17"/>
      <c r="N9840" s="17" t="s">
        <v>21577</v>
      </c>
      <c r="O9840" s="17"/>
      <c r="P9840" s="17" t="s">
        <v>43918</v>
      </c>
      <c r="Q9840" s="17"/>
      <c r="R9840" s="25" t="str">
        <f>HYPERLINK("https://ictv.global/taxonomy/taxondetails?taxnode_id=202316642","Sbehrnivirus humicola")</f>
        <v>Sbehrnivirus humicola</v>
      </c>
      <c r="S9840" s="18" t="s">
        <v>30</v>
      </c>
      <c r="T9840" s="18" t="s">
        <v>43919</v>
      </c>
      <c r="U9840" s="18"/>
      <c r="V9840" s="18"/>
      <c r="W9840" s="18" t="s">
        <v>43920</v>
      </c>
      <c r="X9840" s="18" t="s">
        <v>35</v>
      </c>
      <c r="Y9840" s="18" t="s">
        <v>17171</v>
      </c>
      <c r="Z9840" s="18" t="s">
        <v>24637</v>
      </c>
      <c r="AA9840" s="21" t="str">
        <f>HYPERLINK("https://www.ncbi.nlm.nih.gov/nuccore/CASDWV010002967","NCBI Nucleotide")</f>
        <v>NCBI Nucleotide</v>
      </c>
    </row>
    <row r="9841" spans="1:27" x14ac:dyDescent="0.35">
      <c r="A9841">
        <v>1009692</v>
      </c>
      <c r="B9841">
        <v>9166</v>
      </c>
      <c r="C9841">
        <v>1</v>
      </c>
      <c r="D9841" s="17" t="s">
        <v>17166</v>
      </c>
      <c r="E9841" s="17"/>
      <c r="F9841" s="17" t="s">
        <v>17246</v>
      </c>
      <c r="G9841" s="17"/>
      <c r="H9841" s="17" t="s">
        <v>20919</v>
      </c>
      <c r="I9841" s="17"/>
      <c r="J9841" s="17" t="s">
        <v>21313</v>
      </c>
      <c r="K9841" s="17"/>
      <c r="L9841" s="17" t="s">
        <v>21326</v>
      </c>
      <c r="M9841" s="17"/>
      <c r="N9841" s="17" t="s">
        <v>21577</v>
      </c>
      <c r="O9841" s="17"/>
      <c r="P9841" s="17" t="s">
        <v>22164</v>
      </c>
      <c r="Q9841" s="17"/>
      <c r="R9841" s="25" t="str">
        <f>HYPERLINK("https://ictv.global/taxonomy/taxondetails?taxnode_id=202310597","Scuadavirus asiohabitans")</f>
        <v>Scuadavirus asiohabitans</v>
      </c>
      <c r="S9841" s="18" t="s">
        <v>30</v>
      </c>
      <c r="T9841" s="18" t="s">
        <v>22165</v>
      </c>
      <c r="U9841" s="18"/>
      <c r="V9841" s="18"/>
      <c r="W9841" s="18" t="s">
        <v>22166</v>
      </c>
      <c r="X9841" s="18" t="s">
        <v>35</v>
      </c>
      <c r="Y9841" s="18" t="s">
        <v>17171</v>
      </c>
      <c r="Z9841" s="18" t="s">
        <v>697</v>
      </c>
      <c r="AA9841" s="21" t="str">
        <f>HYPERLINK("https://www.ncbi.nlm.nih.gov/nuccore/BK014147","NCBI Nucleotide")</f>
        <v>NCBI Nucleotide</v>
      </c>
    </row>
    <row r="9842" spans="1:27" x14ac:dyDescent="0.35">
      <c r="A9842">
        <v>1026413</v>
      </c>
      <c r="B9842">
        <v>9167</v>
      </c>
      <c r="C9842">
        <v>1</v>
      </c>
      <c r="D9842" s="17" t="s">
        <v>17166</v>
      </c>
      <c r="E9842" s="17"/>
      <c r="F9842" s="17" t="s">
        <v>17246</v>
      </c>
      <c r="G9842" s="17"/>
      <c r="H9842" s="17" t="s">
        <v>20919</v>
      </c>
      <c r="I9842" s="17"/>
      <c r="J9842" s="17" t="s">
        <v>21313</v>
      </c>
      <c r="K9842" s="17"/>
      <c r="L9842" s="17" t="s">
        <v>21326</v>
      </c>
      <c r="M9842" s="17"/>
      <c r="N9842" s="17" t="s">
        <v>21577</v>
      </c>
      <c r="O9842" s="17"/>
      <c r="P9842" s="17" t="s">
        <v>43921</v>
      </c>
      <c r="Q9842" s="17"/>
      <c r="R9842" s="25" t="str">
        <f>HYPERLINK("https://ictv.global/taxonomy/taxondetails?taxnode_id=202316643","Sdadlevirus messihabitans")</f>
        <v>Sdadlevirus messihabitans</v>
      </c>
      <c r="S9842" s="18" t="s">
        <v>30</v>
      </c>
      <c r="T9842" s="18" t="s">
        <v>43922</v>
      </c>
      <c r="U9842" s="18"/>
      <c r="V9842" s="18"/>
      <c r="W9842" s="18" t="s">
        <v>43923</v>
      </c>
      <c r="X9842" s="18" t="s">
        <v>35</v>
      </c>
      <c r="Y9842" s="18" t="s">
        <v>17171</v>
      </c>
      <c r="Z9842" s="18" t="s">
        <v>24637</v>
      </c>
      <c r="AA9842" s="21" t="str">
        <f>HYPERLINK("https://www.ncbi.nlm.nih.gov/nuccore/CASDWV010003572","NCBI Nucleotide")</f>
        <v>NCBI Nucleotide</v>
      </c>
    </row>
    <row r="9843" spans="1:27" x14ac:dyDescent="0.35">
      <c r="A9843">
        <v>1026417</v>
      </c>
      <c r="B9843">
        <v>9168</v>
      </c>
      <c r="C9843">
        <v>1</v>
      </c>
      <c r="D9843" s="17" t="s">
        <v>17166</v>
      </c>
      <c r="E9843" s="17"/>
      <c r="F9843" s="17" t="s">
        <v>17246</v>
      </c>
      <c r="G9843" s="17"/>
      <c r="H9843" s="17" t="s">
        <v>20919</v>
      </c>
      <c r="I9843" s="17"/>
      <c r="J9843" s="17" t="s">
        <v>21313</v>
      </c>
      <c r="K9843" s="17"/>
      <c r="L9843" s="17" t="s">
        <v>21326</v>
      </c>
      <c r="M9843" s="17"/>
      <c r="N9843" s="17" t="s">
        <v>21577</v>
      </c>
      <c r="O9843" s="17"/>
      <c r="P9843" s="17" t="s">
        <v>43924</v>
      </c>
      <c r="Q9843" s="17"/>
      <c r="R9843" s="25" t="str">
        <f>HYPERLINK("https://ictv.global/taxonomy/taxondetails?taxnode_id=202316644","Sdoctuvirus caenenecus")</f>
        <v>Sdoctuvirus caenenecus</v>
      </c>
      <c r="S9843" s="18" t="s">
        <v>30</v>
      </c>
      <c r="T9843" s="18" t="s">
        <v>43925</v>
      </c>
      <c r="U9843" s="18"/>
      <c r="V9843" s="18"/>
      <c r="W9843" s="18" t="s">
        <v>43926</v>
      </c>
      <c r="X9843" s="18" t="s">
        <v>35</v>
      </c>
      <c r="Y9843" s="18" t="s">
        <v>17171</v>
      </c>
      <c r="Z9843" s="18" t="s">
        <v>24637</v>
      </c>
      <c r="AA9843" s="21" t="str">
        <f>HYPERLINK("https://www.ncbi.nlm.nih.gov/nuccore/CASDWV010003203","NCBI Nucleotide")</f>
        <v>NCBI Nucleotide</v>
      </c>
    </row>
    <row r="9844" spans="1:27" x14ac:dyDescent="0.35">
      <c r="A9844">
        <v>1026418</v>
      </c>
      <c r="B9844">
        <v>9169</v>
      </c>
      <c r="C9844">
        <v>1</v>
      </c>
      <c r="D9844" s="17" t="s">
        <v>17166</v>
      </c>
      <c r="E9844" s="17"/>
      <c r="F9844" s="17" t="s">
        <v>17246</v>
      </c>
      <c r="G9844" s="17"/>
      <c r="H9844" s="17" t="s">
        <v>20919</v>
      </c>
      <c r="I9844" s="17"/>
      <c r="J9844" s="17" t="s">
        <v>21313</v>
      </c>
      <c r="K9844" s="17"/>
      <c r="L9844" s="17" t="s">
        <v>21326</v>
      </c>
      <c r="M9844" s="17"/>
      <c r="N9844" s="17" t="s">
        <v>21577</v>
      </c>
      <c r="O9844" s="17"/>
      <c r="P9844" s="17" t="s">
        <v>43927</v>
      </c>
      <c r="Q9844" s="17"/>
      <c r="R9844" s="25" t="str">
        <f>HYPERLINK("https://ictv.global/taxonomy/taxondetails?taxnode_id=202316645","Sdohnivirus edaphovicinum")</f>
        <v>Sdohnivirus edaphovicinum</v>
      </c>
      <c r="S9844" s="18" t="s">
        <v>30</v>
      </c>
      <c r="T9844" s="18" t="s">
        <v>43928</v>
      </c>
      <c r="U9844" s="18"/>
      <c r="V9844" s="18"/>
      <c r="W9844" s="18" t="s">
        <v>43929</v>
      </c>
      <c r="X9844" s="18" t="s">
        <v>35</v>
      </c>
      <c r="Y9844" s="18" t="s">
        <v>17171</v>
      </c>
      <c r="Z9844" s="18" t="s">
        <v>24637</v>
      </c>
      <c r="AA9844" s="21" t="str">
        <f>HYPERLINK("https://www.ncbi.nlm.nih.gov/nuccore/CASDWV010003354","NCBI Nucleotide")</f>
        <v>NCBI Nucleotide</v>
      </c>
    </row>
    <row r="9845" spans="1:27" x14ac:dyDescent="0.35">
      <c r="A9845">
        <v>1026419</v>
      </c>
      <c r="B9845">
        <v>9170</v>
      </c>
      <c r="C9845">
        <v>1</v>
      </c>
      <c r="D9845" s="17" t="s">
        <v>17166</v>
      </c>
      <c r="E9845" s="17"/>
      <c r="F9845" s="17" t="s">
        <v>17246</v>
      </c>
      <c r="G9845" s="17"/>
      <c r="H9845" s="17" t="s">
        <v>20919</v>
      </c>
      <c r="I9845" s="17"/>
      <c r="J9845" s="17" t="s">
        <v>21313</v>
      </c>
      <c r="K9845" s="17"/>
      <c r="L9845" s="17" t="s">
        <v>21326</v>
      </c>
      <c r="M9845" s="17"/>
      <c r="N9845" s="17" t="s">
        <v>21577</v>
      </c>
      <c r="O9845" s="17"/>
      <c r="P9845" s="17" t="s">
        <v>43930</v>
      </c>
      <c r="Q9845" s="17"/>
      <c r="R9845" s="25" t="str">
        <f>HYPERLINK("https://ictv.global/taxonomy/taxondetails?taxnode_id=202316646","Sdredfovirus chorenecus")</f>
        <v>Sdredfovirus chorenecus</v>
      </c>
      <c r="S9845" s="18" t="s">
        <v>30</v>
      </c>
      <c r="T9845" s="18" t="s">
        <v>43931</v>
      </c>
      <c r="U9845" s="18"/>
      <c r="V9845" s="18"/>
      <c r="W9845" s="18" t="s">
        <v>43932</v>
      </c>
      <c r="X9845" s="18" t="s">
        <v>35</v>
      </c>
      <c r="Y9845" s="18" t="s">
        <v>17171</v>
      </c>
      <c r="Z9845" s="18" t="s">
        <v>24637</v>
      </c>
      <c r="AA9845" s="21" t="str">
        <f>HYPERLINK("https://www.ncbi.nlm.nih.gov/nuccore/CASDWV010002081","NCBI Nucleotide")</f>
        <v>NCBI Nucleotide</v>
      </c>
    </row>
    <row r="9846" spans="1:27" x14ac:dyDescent="0.35">
      <c r="A9846">
        <v>1026420</v>
      </c>
      <c r="B9846">
        <v>9171</v>
      </c>
      <c r="C9846">
        <v>1</v>
      </c>
      <c r="D9846" s="17" t="s">
        <v>17166</v>
      </c>
      <c r="E9846" s="17"/>
      <c r="F9846" s="17" t="s">
        <v>17246</v>
      </c>
      <c r="G9846" s="17"/>
      <c r="H9846" s="17" t="s">
        <v>20919</v>
      </c>
      <c r="I9846" s="17"/>
      <c r="J9846" s="17" t="s">
        <v>21313</v>
      </c>
      <c r="K9846" s="17"/>
      <c r="L9846" s="17" t="s">
        <v>21326</v>
      </c>
      <c r="M9846" s="17"/>
      <c r="N9846" s="17" t="s">
        <v>21577</v>
      </c>
      <c r="O9846" s="17"/>
      <c r="P9846" s="17" t="s">
        <v>43930</v>
      </c>
      <c r="Q9846" s="17"/>
      <c r="R9846" s="25" t="str">
        <f>HYPERLINK("https://ictv.global/taxonomy/taxondetails?taxnode_id=202316647","Sdredfovirus limihabitans")</f>
        <v>Sdredfovirus limihabitans</v>
      </c>
      <c r="S9846" s="18" t="s">
        <v>30</v>
      </c>
      <c r="T9846" s="18" t="s">
        <v>43933</v>
      </c>
      <c r="U9846" s="18"/>
      <c r="V9846" s="18"/>
      <c r="W9846" s="18" t="s">
        <v>43934</v>
      </c>
      <c r="X9846" s="18" t="s">
        <v>35</v>
      </c>
      <c r="Y9846" s="18" t="s">
        <v>17171</v>
      </c>
      <c r="Z9846" s="18" t="s">
        <v>24637</v>
      </c>
      <c r="AA9846" s="21" t="str">
        <f>HYPERLINK("https://www.ncbi.nlm.nih.gov/nuccore/CASDWV010003875","NCBI Nucleotide")</f>
        <v>NCBI Nucleotide</v>
      </c>
    </row>
    <row r="9847" spans="1:27" x14ac:dyDescent="0.35">
      <c r="A9847">
        <v>1026421</v>
      </c>
      <c r="B9847">
        <v>9172</v>
      </c>
      <c r="C9847">
        <v>1</v>
      </c>
      <c r="D9847" s="17" t="s">
        <v>17166</v>
      </c>
      <c r="E9847" s="17"/>
      <c r="F9847" s="17" t="s">
        <v>17246</v>
      </c>
      <c r="G9847" s="17"/>
      <c r="H9847" s="17" t="s">
        <v>20919</v>
      </c>
      <c r="I9847" s="17"/>
      <c r="J9847" s="17" t="s">
        <v>21313</v>
      </c>
      <c r="K9847" s="17"/>
      <c r="L9847" s="17" t="s">
        <v>21326</v>
      </c>
      <c r="M9847" s="17"/>
      <c r="N9847" s="17" t="s">
        <v>21577</v>
      </c>
      <c r="O9847" s="17"/>
      <c r="P9847" s="17" t="s">
        <v>43930</v>
      </c>
      <c r="Q9847" s="17"/>
      <c r="R9847" s="25" t="str">
        <f>HYPERLINK("https://ictv.global/taxonomy/taxondetails?taxnode_id=202316648","Sdredfovirus limivivens")</f>
        <v>Sdredfovirus limivivens</v>
      </c>
      <c r="S9847" s="18" t="s">
        <v>30</v>
      </c>
      <c r="T9847" s="18" t="s">
        <v>43935</v>
      </c>
      <c r="U9847" s="18"/>
      <c r="V9847" s="18"/>
      <c r="W9847" s="18" t="s">
        <v>43936</v>
      </c>
      <c r="X9847" s="18" t="s">
        <v>35</v>
      </c>
      <c r="Y9847" s="18" t="s">
        <v>17171</v>
      </c>
      <c r="Z9847" s="18" t="s">
        <v>24637</v>
      </c>
      <c r="AA9847" s="21" t="str">
        <f>HYPERLINK("https://www.ncbi.nlm.nih.gov/nuccore/CASDWV010003466","NCBI Nucleotide")</f>
        <v>NCBI Nucleotide</v>
      </c>
    </row>
    <row r="9848" spans="1:27" x14ac:dyDescent="0.35">
      <c r="A9848">
        <v>1026422</v>
      </c>
      <c r="B9848">
        <v>9173</v>
      </c>
      <c r="C9848">
        <v>1</v>
      </c>
      <c r="D9848" s="17" t="s">
        <v>17166</v>
      </c>
      <c r="E9848" s="17"/>
      <c r="F9848" s="17" t="s">
        <v>17246</v>
      </c>
      <c r="G9848" s="17"/>
      <c r="H9848" s="17" t="s">
        <v>20919</v>
      </c>
      <c r="I9848" s="17"/>
      <c r="J9848" s="17" t="s">
        <v>21313</v>
      </c>
      <c r="K9848" s="17"/>
      <c r="L9848" s="17" t="s">
        <v>21326</v>
      </c>
      <c r="M9848" s="17"/>
      <c r="N9848" s="17" t="s">
        <v>21577</v>
      </c>
      <c r="O9848" s="17"/>
      <c r="P9848" s="17" t="s">
        <v>43937</v>
      </c>
      <c r="Q9848" s="17"/>
      <c r="R9848" s="25" t="str">
        <f>HYPERLINK("https://ictv.global/taxonomy/taxondetails?taxnode_id=202316649","Sdredtuvirus pelovivens")</f>
        <v>Sdredtuvirus pelovivens</v>
      </c>
      <c r="S9848" s="18" t="s">
        <v>30</v>
      </c>
      <c r="T9848" s="18" t="s">
        <v>43938</v>
      </c>
      <c r="U9848" s="18"/>
      <c r="V9848" s="18"/>
      <c r="W9848" s="18" t="s">
        <v>43939</v>
      </c>
      <c r="X9848" s="18" t="s">
        <v>35</v>
      </c>
      <c r="Y9848" s="18" t="s">
        <v>17171</v>
      </c>
      <c r="Z9848" s="18" t="s">
        <v>24637</v>
      </c>
      <c r="AA9848" s="21" t="str">
        <f>HYPERLINK("https://www.ncbi.nlm.nih.gov/nuccore/CASDWV010000394","NCBI Nucleotide")</f>
        <v>NCBI Nucleotide</v>
      </c>
    </row>
    <row r="9849" spans="1:27" x14ac:dyDescent="0.35">
      <c r="A9849">
        <v>1026423</v>
      </c>
      <c r="B9849">
        <v>9174</v>
      </c>
      <c r="C9849">
        <v>1</v>
      </c>
      <c r="D9849" s="17" t="s">
        <v>17166</v>
      </c>
      <c r="E9849" s="17"/>
      <c r="F9849" s="17" t="s">
        <v>17246</v>
      </c>
      <c r="G9849" s="17"/>
      <c r="H9849" s="17" t="s">
        <v>20919</v>
      </c>
      <c r="I9849" s="17"/>
      <c r="J9849" s="17" t="s">
        <v>21313</v>
      </c>
      <c r="K9849" s="17"/>
      <c r="L9849" s="17" t="s">
        <v>21326</v>
      </c>
      <c r="M9849" s="17"/>
      <c r="N9849" s="17" t="s">
        <v>21577</v>
      </c>
      <c r="O9849" s="17"/>
      <c r="P9849" s="17" t="s">
        <v>43940</v>
      </c>
      <c r="Q9849" s="17"/>
      <c r="R9849" s="25" t="str">
        <f>HYPERLINK("https://ictv.global/taxonomy/taxondetails?taxnode_id=202316650","Sdretovirus segetadaptatum")</f>
        <v>Sdretovirus segetadaptatum</v>
      </c>
      <c r="S9849" s="18" t="s">
        <v>30</v>
      </c>
      <c r="T9849" s="18" t="s">
        <v>43941</v>
      </c>
      <c r="U9849" s="18"/>
      <c r="V9849" s="18"/>
      <c r="W9849" s="18" t="s">
        <v>43942</v>
      </c>
      <c r="X9849" s="18" t="s">
        <v>35</v>
      </c>
      <c r="Y9849" s="18" t="s">
        <v>17171</v>
      </c>
      <c r="Z9849" s="18" t="s">
        <v>24637</v>
      </c>
      <c r="AA9849" s="21" t="str">
        <f>HYPERLINK("https://www.ncbi.nlm.nih.gov/nuccore/CASDWV010003503","NCBI Nucleotide")</f>
        <v>NCBI Nucleotide</v>
      </c>
    </row>
    <row r="9850" spans="1:27" x14ac:dyDescent="0.35">
      <c r="A9850">
        <v>1026425</v>
      </c>
      <c r="B9850">
        <v>9175</v>
      </c>
      <c r="C9850">
        <v>1</v>
      </c>
      <c r="D9850" s="17" t="s">
        <v>17166</v>
      </c>
      <c r="E9850" s="17"/>
      <c r="F9850" s="17" t="s">
        <v>17246</v>
      </c>
      <c r="G9850" s="17"/>
      <c r="H9850" s="17" t="s">
        <v>20919</v>
      </c>
      <c r="I9850" s="17"/>
      <c r="J9850" s="17" t="s">
        <v>21313</v>
      </c>
      <c r="K9850" s="17"/>
      <c r="L9850" s="17" t="s">
        <v>21326</v>
      </c>
      <c r="M9850" s="17"/>
      <c r="N9850" s="17" t="s">
        <v>21577</v>
      </c>
      <c r="O9850" s="17"/>
      <c r="P9850" s="17" t="s">
        <v>43943</v>
      </c>
      <c r="Q9850" s="17"/>
      <c r="R9850" s="25" t="str">
        <f>HYPERLINK("https://ictv.global/taxonomy/taxondetails?taxnode_id=202316651","Seckivirus asiadaptatum")</f>
        <v>Seckivirus asiadaptatum</v>
      </c>
      <c r="S9850" s="18" t="s">
        <v>30</v>
      </c>
      <c r="T9850" s="18" t="s">
        <v>43944</v>
      </c>
      <c r="U9850" s="18"/>
      <c r="V9850" s="18"/>
      <c r="W9850" s="18" t="s">
        <v>43945</v>
      </c>
      <c r="X9850" s="18" t="s">
        <v>35</v>
      </c>
      <c r="Y9850" s="18" t="s">
        <v>17171</v>
      </c>
      <c r="Z9850" s="18" t="s">
        <v>24637</v>
      </c>
      <c r="AA9850" s="21" t="str">
        <f>HYPERLINK("https://www.ncbi.nlm.nih.gov/nuccore/CASDWV010002502","NCBI Nucleotide")</f>
        <v>NCBI Nucleotide</v>
      </c>
    </row>
    <row r="9851" spans="1:27" x14ac:dyDescent="0.35">
      <c r="A9851">
        <v>1009695</v>
      </c>
      <c r="B9851">
        <v>9176</v>
      </c>
      <c r="C9851">
        <v>1</v>
      </c>
      <c r="D9851" s="17" t="s">
        <v>17166</v>
      </c>
      <c r="E9851" s="17"/>
      <c r="F9851" s="17" t="s">
        <v>17246</v>
      </c>
      <c r="G9851" s="17"/>
      <c r="H9851" s="17" t="s">
        <v>20919</v>
      </c>
      <c r="I9851" s="17"/>
      <c r="J9851" s="17" t="s">
        <v>21313</v>
      </c>
      <c r="K9851" s="17"/>
      <c r="L9851" s="17" t="s">
        <v>21326</v>
      </c>
      <c r="M9851" s="17"/>
      <c r="N9851" s="17" t="s">
        <v>21577</v>
      </c>
      <c r="O9851" s="17"/>
      <c r="P9851" s="17" t="s">
        <v>22171</v>
      </c>
      <c r="Q9851" s="17"/>
      <c r="R9851" s="25" t="str">
        <f>HYPERLINK("https://ictv.global/taxonomy/taxondetails?taxnode_id=202310602","Sehpovirus borboradaptatum")</f>
        <v>Sehpovirus borboradaptatum</v>
      </c>
      <c r="S9851" s="18" t="s">
        <v>30</v>
      </c>
      <c r="T9851" s="18" t="s">
        <v>22172</v>
      </c>
      <c r="U9851" s="18"/>
      <c r="V9851" s="18"/>
      <c r="W9851" s="18" t="s">
        <v>22173</v>
      </c>
      <c r="X9851" s="18" t="s">
        <v>35</v>
      </c>
      <c r="Y9851" s="18" t="s">
        <v>17171</v>
      </c>
      <c r="Z9851" s="18" t="s">
        <v>697</v>
      </c>
      <c r="AA9851" s="21" t="str">
        <f>HYPERLINK("https://www.ncbi.nlm.nih.gov/nuccore/BK013577","NCBI Nucleotide")</f>
        <v>NCBI Nucleotide</v>
      </c>
    </row>
    <row r="9852" spans="1:27" x14ac:dyDescent="0.35">
      <c r="A9852">
        <v>1026427</v>
      </c>
      <c r="B9852">
        <v>9177</v>
      </c>
      <c r="C9852">
        <v>1</v>
      </c>
      <c r="D9852" s="17" t="s">
        <v>17166</v>
      </c>
      <c r="E9852" s="17"/>
      <c r="F9852" s="17" t="s">
        <v>17246</v>
      </c>
      <c r="G9852" s="17"/>
      <c r="H9852" s="17" t="s">
        <v>20919</v>
      </c>
      <c r="I9852" s="17"/>
      <c r="J9852" s="17" t="s">
        <v>21313</v>
      </c>
      <c r="K9852" s="17"/>
      <c r="L9852" s="17" t="s">
        <v>21326</v>
      </c>
      <c r="M9852" s="17"/>
      <c r="N9852" s="17" t="s">
        <v>21577</v>
      </c>
      <c r="O9852" s="17"/>
      <c r="P9852" s="17" t="s">
        <v>43946</v>
      </c>
      <c r="Q9852" s="17"/>
      <c r="R9852" s="25" t="str">
        <f>HYPERLINK("https://ictv.global/taxonomy/taxondetails?taxnode_id=202316652","Selfuvirus asienecus")</f>
        <v>Selfuvirus asienecus</v>
      </c>
      <c r="S9852" s="18" t="s">
        <v>30</v>
      </c>
      <c r="T9852" s="18" t="s">
        <v>43947</v>
      </c>
      <c r="U9852" s="18"/>
      <c r="V9852" s="18"/>
      <c r="W9852" s="18" t="s">
        <v>43948</v>
      </c>
      <c r="X9852" s="18" t="s">
        <v>35</v>
      </c>
      <c r="Y9852" s="18" t="s">
        <v>17171</v>
      </c>
      <c r="Z9852" s="18" t="s">
        <v>24637</v>
      </c>
      <c r="AA9852" s="21" t="str">
        <f>HYPERLINK("https://www.ncbi.nlm.nih.gov/nuccore/CASDWV010001220","NCBI Nucleotide")</f>
        <v>NCBI Nucleotide</v>
      </c>
    </row>
    <row r="9853" spans="1:27" x14ac:dyDescent="0.35">
      <c r="A9853">
        <v>1026428</v>
      </c>
      <c r="B9853">
        <v>9178</v>
      </c>
      <c r="C9853">
        <v>1</v>
      </c>
      <c r="D9853" s="17" t="s">
        <v>17166</v>
      </c>
      <c r="E9853" s="17"/>
      <c r="F9853" s="17" t="s">
        <v>17246</v>
      </c>
      <c r="G9853" s="17"/>
      <c r="H9853" s="17" t="s">
        <v>20919</v>
      </c>
      <c r="I9853" s="17"/>
      <c r="J9853" s="17" t="s">
        <v>21313</v>
      </c>
      <c r="K9853" s="17"/>
      <c r="L9853" s="17" t="s">
        <v>21326</v>
      </c>
      <c r="M9853" s="17"/>
      <c r="N9853" s="17" t="s">
        <v>21577</v>
      </c>
      <c r="O9853" s="17"/>
      <c r="P9853" s="17" t="s">
        <v>43946</v>
      </c>
      <c r="Q9853" s="17"/>
      <c r="R9853" s="25" t="str">
        <f>HYPERLINK("https://ictv.global/taxonomy/taxondetails?taxnode_id=202316653","Selfuvirus asiohabitans")</f>
        <v>Selfuvirus asiohabitans</v>
      </c>
      <c r="S9853" s="18" t="s">
        <v>30</v>
      </c>
      <c r="T9853" s="18" t="s">
        <v>43949</v>
      </c>
      <c r="U9853" s="18"/>
      <c r="V9853" s="18"/>
      <c r="W9853" s="18" t="s">
        <v>43950</v>
      </c>
      <c r="X9853" s="18" t="s">
        <v>35</v>
      </c>
      <c r="Y9853" s="18" t="s">
        <v>17171</v>
      </c>
      <c r="Z9853" s="18" t="s">
        <v>24637</v>
      </c>
      <c r="AA9853" s="21" t="str">
        <f>HYPERLINK("https://www.ncbi.nlm.nih.gov/nuccore/CASDWV010002488","NCBI Nucleotide")</f>
        <v>NCBI Nucleotide</v>
      </c>
    </row>
    <row r="9854" spans="1:27" x14ac:dyDescent="0.35">
      <c r="A9854">
        <v>1009696</v>
      </c>
      <c r="B9854">
        <v>9179</v>
      </c>
      <c r="C9854">
        <v>1</v>
      </c>
      <c r="D9854" s="17" t="s">
        <v>17166</v>
      </c>
      <c r="E9854" s="17"/>
      <c r="F9854" s="17" t="s">
        <v>17246</v>
      </c>
      <c r="G9854" s="17"/>
      <c r="H9854" s="17" t="s">
        <v>20919</v>
      </c>
      <c r="I9854" s="17"/>
      <c r="J9854" s="17" t="s">
        <v>21313</v>
      </c>
      <c r="K9854" s="17"/>
      <c r="L9854" s="17" t="s">
        <v>21326</v>
      </c>
      <c r="M9854" s="17"/>
      <c r="N9854" s="17" t="s">
        <v>21577</v>
      </c>
      <c r="O9854" s="17"/>
      <c r="P9854" s="17" t="s">
        <v>22174</v>
      </c>
      <c r="Q9854" s="17"/>
      <c r="R9854" s="25" t="str">
        <f>HYPERLINK("https://ictv.global/taxonomy/taxondetails?taxnode_id=202310604","Seybrovirus borborohabitans")</f>
        <v>Seybrovirus borborohabitans</v>
      </c>
      <c r="S9854" s="18" t="s">
        <v>30</v>
      </c>
      <c r="T9854" s="18" t="s">
        <v>22175</v>
      </c>
      <c r="U9854" s="18"/>
      <c r="V9854" s="18"/>
      <c r="W9854" s="18" t="s">
        <v>22176</v>
      </c>
      <c r="X9854" s="18" t="s">
        <v>35</v>
      </c>
      <c r="Y9854" s="18" t="s">
        <v>17171</v>
      </c>
      <c r="Z9854" s="18" t="s">
        <v>697</v>
      </c>
      <c r="AA9854" s="21" t="str">
        <f>HYPERLINK("https://www.ncbi.nlm.nih.gov/nuccore/BK013725","NCBI Nucleotide")</f>
        <v>NCBI Nucleotide</v>
      </c>
    </row>
    <row r="9855" spans="1:27" x14ac:dyDescent="0.35">
      <c r="A9855">
        <v>1009697</v>
      </c>
      <c r="B9855">
        <v>9180</v>
      </c>
      <c r="C9855">
        <v>1</v>
      </c>
      <c r="D9855" s="17" t="s">
        <v>17166</v>
      </c>
      <c r="E9855" s="17"/>
      <c r="F9855" s="17" t="s">
        <v>17246</v>
      </c>
      <c r="G9855" s="17"/>
      <c r="H9855" s="17" t="s">
        <v>20919</v>
      </c>
      <c r="I9855" s="17"/>
      <c r="J9855" s="17" t="s">
        <v>21313</v>
      </c>
      <c r="K9855" s="17"/>
      <c r="L9855" s="17" t="s">
        <v>21326</v>
      </c>
      <c r="M9855" s="17"/>
      <c r="N9855" s="17" t="s">
        <v>21577</v>
      </c>
      <c r="O9855" s="17"/>
      <c r="P9855" s="17" t="s">
        <v>22177</v>
      </c>
      <c r="Q9855" s="17"/>
      <c r="R9855" s="25" t="str">
        <f>HYPERLINK("https://ictv.global/taxonomy/taxondetails?taxnode_id=202310606","Shebanavirus borborovicinum")</f>
        <v>Shebanavirus borborovicinum</v>
      </c>
      <c r="S9855" s="18" t="s">
        <v>30</v>
      </c>
      <c r="T9855" s="18" t="s">
        <v>22178</v>
      </c>
      <c r="U9855" s="18"/>
      <c r="V9855" s="18"/>
      <c r="W9855" s="18" t="s">
        <v>22179</v>
      </c>
      <c r="X9855" s="18" t="s">
        <v>35</v>
      </c>
      <c r="Y9855" s="18" t="s">
        <v>17171</v>
      </c>
      <c r="Z9855" s="18" t="s">
        <v>697</v>
      </c>
      <c r="AA9855" s="21" t="str">
        <f>HYPERLINK("https://www.ncbi.nlm.nih.gov/nuccore/BK013660","NCBI Nucleotide")</f>
        <v>NCBI Nucleotide</v>
      </c>
    </row>
    <row r="9856" spans="1:27" x14ac:dyDescent="0.35">
      <c r="A9856">
        <v>1026432</v>
      </c>
      <c r="B9856">
        <v>9181</v>
      </c>
      <c r="C9856">
        <v>1</v>
      </c>
      <c r="D9856" s="17" t="s">
        <v>17166</v>
      </c>
      <c r="E9856" s="17"/>
      <c r="F9856" s="17" t="s">
        <v>17246</v>
      </c>
      <c r="G9856" s="17"/>
      <c r="H9856" s="17" t="s">
        <v>20919</v>
      </c>
      <c r="I9856" s="17"/>
      <c r="J9856" s="17" t="s">
        <v>21313</v>
      </c>
      <c r="K9856" s="17"/>
      <c r="L9856" s="17" t="s">
        <v>21326</v>
      </c>
      <c r="M9856" s="17"/>
      <c r="N9856" s="17" t="s">
        <v>21577</v>
      </c>
      <c r="O9856" s="17"/>
      <c r="P9856" s="17" t="s">
        <v>43951</v>
      </c>
      <c r="Q9856" s="17"/>
      <c r="R9856" s="25" t="str">
        <f>HYPERLINK("https://ictv.global/taxonomy/taxondetails?taxnode_id=202316654","Shehrpovirus terrivicinum")</f>
        <v>Shehrpovirus terrivicinum</v>
      </c>
      <c r="S9856" s="18" t="s">
        <v>30</v>
      </c>
      <c r="T9856" s="18" t="s">
        <v>43952</v>
      </c>
      <c r="U9856" s="18"/>
      <c r="V9856" s="18"/>
      <c r="W9856" s="18" t="s">
        <v>43953</v>
      </c>
      <c r="X9856" s="18" t="s">
        <v>35</v>
      </c>
      <c r="Y9856" s="18" t="s">
        <v>17171</v>
      </c>
      <c r="Z9856" s="18" t="s">
        <v>24637</v>
      </c>
      <c r="AA9856" s="21" t="str">
        <f>HYPERLINK("https://www.ncbi.nlm.nih.gov/nuccore/CASDWV010002512","NCBI Nucleotide")</f>
        <v>NCBI Nucleotide</v>
      </c>
    </row>
    <row r="9857" spans="1:27" x14ac:dyDescent="0.35">
      <c r="A9857">
        <v>1026344</v>
      </c>
      <c r="B9857">
        <v>9182</v>
      </c>
      <c r="C9857">
        <v>1</v>
      </c>
      <c r="D9857" s="17" t="s">
        <v>17166</v>
      </c>
      <c r="E9857" s="17"/>
      <c r="F9857" s="17" t="s">
        <v>17246</v>
      </c>
      <c r="G9857" s="17"/>
      <c r="H9857" s="17" t="s">
        <v>20919</v>
      </c>
      <c r="I9857" s="17"/>
      <c r="J9857" s="17" t="s">
        <v>21313</v>
      </c>
      <c r="K9857" s="17"/>
      <c r="L9857" s="17" t="s">
        <v>21326</v>
      </c>
      <c r="M9857" s="17"/>
      <c r="N9857" s="17" t="s">
        <v>21577</v>
      </c>
      <c r="O9857" s="17"/>
      <c r="P9857" s="17" t="s">
        <v>43954</v>
      </c>
      <c r="Q9857" s="17"/>
      <c r="R9857" s="25" t="str">
        <f>HYPERLINK("https://ictv.global/taxonomy/taxondetails?taxnode_id=202316655","Shestuvirus messenecus")</f>
        <v>Shestuvirus messenecus</v>
      </c>
      <c r="S9857" s="18" t="s">
        <v>30</v>
      </c>
      <c r="T9857" s="18" t="s">
        <v>43955</v>
      </c>
      <c r="U9857" s="18"/>
      <c r="V9857" s="18"/>
      <c r="W9857" s="18" t="s">
        <v>43956</v>
      </c>
      <c r="X9857" s="18" t="s">
        <v>35</v>
      </c>
      <c r="Y9857" s="18" t="s">
        <v>17171</v>
      </c>
      <c r="Z9857" s="18" t="s">
        <v>24637</v>
      </c>
      <c r="AA9857" s="21" t="str">
        <f>HYPERLINK("https://www.ncbi.nlm.nih.gov/nuccore/CASDWV010001494","NCBI Nucleotide")</f>
        <v>NCBI Nucleotide</v>
      </c>
    </row>
    <row r="9858" spans="1:27" x14ac:dyDescent="0.35">
      <c r="A9858">
        <v>1026345</v>
      </c>
      <c r="B9858">
        <v>9183</v>
      </c>
      <c r="C9858">
        <v>1</v>
      </c>
      <c r="D9858" s="17" t="s">
        <v>17166</v>
      </c>
      <c r="E9858" s="17"/>
      <c r="F9858" s="17" t="s">
        <v>17246</v>
      </c>
      <c r="G9858" s="17"/>
      <c r="H9858" s="17" t="s">
        <v>20919</v>
      </c>
      <c r="I9858" s="17"/>
      <c r="J9858" s="17" t="s">
        <v>21313</v>
      </c>
      <c r="K9858" s="17"/>
      <c r="L9858" s="17" t="s">
        <v>21326</v>
      </c>
      <c r="M9858" s="17"/>
      <c r="N9858" s="17" t="s">
        <v>21577</v>
      </c>
      <c r="O9858" s="17"/>
      <c r="P9858" s="17" t="s">
        <v>43954</v>
      </c>
      <c r="Q9858" s="17"/>
      <c r="R9858" s="25" t="str">
        <f>HYPERLINK("https://ictv.global/taxonomy/taxondetails?taxnode_id=202316656","Shestuvirus radicicola")</f>
        <v>Shestuvirus radicicola</v>
      </c>
      <c r="S9858" s="18" t="s">
        <v>30</v>
      </c>
      <c r="T9858" s="18" t="s">
        <v>43957</v>
      </c>
      <c r="U9858" s="18"/>
      <c r="V9858" s="18"/>
      <c r="W9858" s="18" t="s">
        <v>43958</v>
      </c>
      <c r="X9858" s="18" t="s">
        <v>35</v>
      </c>
      <c r="Y9858" s="18" t="s">
        <v>17171</v>
      </c>
      <c r="Z9858" s="18" t="s">
        <v>24637</v>
      </c>
      <c r="AA9858" s="21" t="str">
        <f>HYPERLINK("https://www.ncbi.nlm.nih.gov/nuccore/CASDWV010002711","NCBI Nucleotide")</f>
        <v>NCBI Nucleotide</v>
      </c>
    </row>
    <row r="9859" spans="1:27" x14ac:dyDescent="0.35">
      <c r="A9859">
        <v>1026369</v>
      </c>
      <c r="B9859">
        <v>9184</v>
      </c>
      <c r="C9859">
        <v>1</v>
      </c>
      <c r="D9859" s="17" t="s">
        <v>17166</v>
      </c>
      <c r="E9859" s="17"/>
      <c r="F9859" s="17" t="s">
        <v>17246</v>
      </c>
      <c r="G9859" s="17"/>
      <c r="H9859" s="17" t="s">
        <v>20919</v>
      </c>
      <c r="I9859" s="17"/>
      <c r="J9859" s="17" t="s">
        <v>21313</v>
      </c>
      <c r="K9859" s="17"/>
      <c r="L9859" s="17" t="s">
        <v>21326</v>
      </c>
      <c r="M9859" s="17"/>
      <c r="N9859" s="17" t="s">
        <v>21577</v>
      </c>
      <c r="O9859" s="17"/>
      <c r="P9859" s="17" t="s">
        <v>22180</v>
      </c>
      <c r="Q9859" s="17"/>
      <c r="R9859" s="25" t="str">
        <f>HYPERLINK("https://ictv.global/taxonomy/taxondetails?taxnode_id=202316657","Shihovirus arvihabitans")</f>
        <v>Shihovirus arvihabitans</v>
      </c>
      <c r="S9859" s="18" t="s">
        <v>30</v>
      </c>
      <c r="T9859" s="18" t="s">
        <v>43959</v>
      </c>
      <c r="U9859" s="18"/>
      <c r="V9859" s="18"/>
      <c r="W9859" s="18" t="s">
        <v>43960</v>
      </c>
      <c r="X9859" s="18" t="s">
        <v>35</v>
      </c>
      <c r="Y9859" s="18" t="s">
        <v>17171</v>
      </c>
      <c r="Z9859" s="18" t="s">
        <v>24637</v>
      </c>
      <c r="AA9859" s="21" t="str">
        <f>HYPERLINK("https://www.ncbi.nlm.nih.gov/nuccore/CASDWV010004942","NCBI Nucleotide")</f>
        <v>NCBI Nucleotide</v>
      </c>
    </row>
    <row r="9860" spans="1:27" x14ac:dyDescent="0.35">
      <c r="A9860">
        <v>1009698</v>
      </c>
      <c r="B9860">
        <v>9185</v>
      </c>
      <c r="C9860">
        <v>1</v>
      </c>
      <c r="D9860" s="17" t="s">
        <v>17166</v>
      </c>
      <c r="E9860" s="17"/>
      <c r="F9860" s="17" t="s">
        <v>17246</v>
      </c>
      <c r="G9860" s="17"/>
      <c r="H9860" s="17" t="s">
        <v>20919</v>
      </c>
      <c r="I9860" s="17"/>
      <c r="J9860" s="17" t="s">
        <v>21313</v>
      </c>
      <c r="K9860" s="17"/>
      <c r="L9860" s="17" t="s">
        <v>21326</v>
      </c>
      <c r="M9860" s="17"/>
      <c r="N9860" s="17" t="s">
        <v>21577</v>
      </c>
      <c r="O9860" s="17"/>
      <c r="P9860" s="17" t="s">
        <v>22180</v>
      </c>
      <c r="Q9860" s="17"/>
      <c r="R9860" s="25" t="str">
        <f>HYPERLINK("https://ictv.global/taxonomy/taxondetails?taxnode_id=202310608","Shihovirus caenadaptatum")</f>
        <v>Shihovirus caenadaptatum</v>
      </c>
      <c r="S9860" s="18" t="s">
        <v>30</v>
      </c>
      <c r="T9860" s="18" t="s">
        <v>22181</v>
      </c>
      <c r="U9860" s="18"/>
      <c r="V9860" s="18"/>
      <c r="W9860" s="18" t="s">
        <v>22182</v>
      </c>
      <c r="X9860" s="18" t="s">
        <v>35</v>
      </c>
      <c r="Y9860" s="18" t="s">
        <v>17171</v>
      </c>
      <c r="Z9860" s="18" t="s">
        <v>697</v>
      </c>
      <c r="AA9860" s="21" t="str">
        <f>HYPERLINK("https://www.ncbi.nlm.nih.gov/nuccore/BK014202","NCBI Nucleotide")</f>
        <v>NCBI Nucleotide</v>
      </c>
    </row>
    <row r="9861" spans="1:27" x14ac:dyDescent="0.35">
      <c r="A9861">
        <v>1009586</v>
      </c>
      <c r="B9861">
        <v>9186</v>
      </c>
      <c r="C9861">
        <v>1</v>
      </c>
      <c r="D9861" s="17" t="s">
        <v>17166</v>
      </c>
      <c r="E9861" s="17"/>
      <c r="F9861" s="17" t="s">
        <v>17246</v>
      </c>
      <c r="G9861" s="17"/>
      <c r="H9861" s="17" t="s">
        <v>20919</v>
      </c>
      <c r="I9861" s="17"/>
      <c r="J9861" s="17" t="s">
        <v>21313</v>
      </c>
      <c r="K9861" s="17"/>
      <c r="L9861" s="17" t="s">
        <v>21326</v>
      </c>
      <c r="M9861" s="17"/>
      <c r="N9861" s="17" t="s">
        <v>21577</v>
      </c>
      <c r="O9861" s="17"/>
      <c r="P9861" s="17" t="s">
        <v>22180</v>
      </c>
      <c r="Q9861" s="17"/>
      <c r="R9861" s="25" t="str">
        <f>HYPERLINK("https://ictv.global/taxonomy/taxondetails?taxnode_id=202310439","Shihovirus edaphohabitans")</f>
        <v>Shihovirus edaphohabitans</v>
      </c>
      <c r="S9861" s="18" t="s">
        <v>30</v>
      </c>
      <c r="T9861" s="18" t="s">
        <v>21918</v>
      </c>
      <c r="U9861" s="18"/>
      <c r="V9861" s="18"/>
      <c r="W9861" s="18" t="s">
        <v>21919</v>
      </c>
      <c r="X9861" s="18" t="s">
        <v>35</v>
      </c>
      <c r="Y9861" s="18" t="s">
        <v>17171</v>
      </c>
      <c r="Z9861" s="18" t="s">
        <v>697</v>
      </c>
      <c r="AA9861" s="21" t="str">
        <f>HYPERLINK("https://www.ncbi.nlm.nih.gov/nuccore/BK013783","NCBI Nucleotide")</f>
        <v>NCBI Nucleotide</v>
      </c>
    </row>
    <row r="9862" spans="1:27" x14ac:dyDescent="0.35">
      <c r="A9862">
        <v>1026370</v>
      </c>
      <c r="B9862">
        <v>9187</v>
      </c>
      <c r="C9862">
        <v>1</v>
      </c>
      <c r="D9862" s="17" t="s">
        <v>17166</v>
      </c>
      <c r="E9862" s="17"/>
      <c r="F9862" s="17" t="s">
        <v>17246</v>
      </c>
      <c r="G9862" s="17"/>
      <c r="H9862" s="17" t="s">
        <v>20919</v>
      </c>
      <c r="I9862" s="17"/>
      <c r="J9862" s="17" t="s">
        <v>21313</v>
      </c>
      <c r="K9862" s="17"/>
      <c r="L9862" s="17" t="s">
        <v>21326</v>
      </c>
      <c r="M9862" s="17"/>
      <c r="N9862" s="17" t="s">
        <v>21577</v>
      </c>
      <c r="O9862" s="17"/>
      <c r="P9862" s="17" t="s">
        <v>22180</v>
      </c>
      <c r="Q9862" s="17"/>
      <c r="R9862" s="25" t="str">
        <f>HYPERLINK("https://ictv.global/taxonomy/taxondetails?taxnode_id=202316658","Shihovirus edaphovivens")</f>
        <v>Shihovirus edaphovivens</v>
      </c>
      <c r="S9862" s="18" t="s">
        <v>30</v>
      </c>
      <c r="T9862" s="18" t="s">
        <v>43961</v>
      </c>
      <c r="U9862" s="18"/>
      <c r="V9862" s="18"/>
      <c r="W9862" s="18" t="s">
        <v>43962</v>
      </c>
      <c r="X9862" s="18" t="s">
        <v>35</v>
      </c>
      <c r="Y9862" s="18" t="s">
        <v>17171</v>
      </c>
      <c r="Z9862" s="18" t="s">
        <v>24637</v>
      </c>
      <c r="AA9862" s="21" t="str">
        <f>HYPERLINK("https://www.ncbi.nlm.nih.gov/nuccore/CASDWV010001439","NCBI Nucleotide")</f>
        <v>NCBI Nucleotide</v>
      </c>
    </row>
    <row r="9863" spans="1:27" x14ac:dyDescent="0.35">
      <c r="A9863">
        <v>1026371</v>
      </c>
      <c r="B9863">
        <v>9188</v>
      </c>
      <c r="C9863">
        <v>1</v>
      </c>
      <c r="D9863" s="17" t="s">
        <v>17166</v>
      </c>
      <c r="E9863" s="17"/>
      <c r="F9863" s="17" t="s">
        <v>17246</v>
      </c>
      <c r="G9863" s="17"/>
      <c r="H9863" s="17" t="s">
        <v>20919</v>
      </c>
      <c r="I9863" s="17"/>
      <c r="J9863" s="17" t="s">
        <v>21313</v>
      </c>
      <c r="K9863" s="17"/>
      <c r="L9863" s="17" t="s">
        <v>21326</v>
      </c>
      <c r="M9863" s="17"/>
      <c r="N9863" s="17" t="s">
        <v>21577</v>
      </c>
      <c r="O9863" s="17"/>
      <c r="P9863" s="17" t="s">
        <v>22180</v>
      </c>
      <c r="Q9863" s="17"/>
      <c r="R9863" s="25" t="str">
        <f>HYPERLINK("https://ictv.global/taxonomy/taxondetails?taxnode_id=202316659","Shihovirus humihabitans")</f>
        <v>Shihovirus humihabitans</v>
      </c>
      <c r="S9863" s="18" t="s">
        <v>30</v>
      </c>
      <c r="T9863" s="18" t="s">
        <v>43963</v>
      </c>
      <c r="U9863" s="18"/>
      <c r="V9863" s="18"/>
      <c r="W9863" s="18" t="s">
        <v>43964</v>
      </c>
      <c r="X9863" s="18" t="s">
        <v>35</v>
      </c>
      <c r="Y9863" s="18" t="s">
        <v>17171</v>
      </c>
      <c r="Z9863" s="18" t="s">
        <v>24637</v>
      </c>
      <c r="AA9863" s="21" t="str">
        <f>HYPERLINK("https://www.ncbi.nlm.nih.gov/nuccore/CASDWV010000567","NCBI Nucleotide")</f>
        <v>NCBI Nucleotide</v>
      </c>
    </row>
    <row r="9864" spans="1:27" x14ac:dyDescent="0.35">
      <c r="A9864">
        <v>1026372</v>
      </c>
      <c r="B9864">
        <v>9189</v>
      </c>
      <c r="C9864">
        <v>1</v>
      </c>
      <c r="D9864" s="17" t="s">
        <v>17166</v>
      </c>
      <c r="E9864" s="17"/>
      <c r="F9864" s="17" t="s">
        <v>17246</v>
      </c>
      <c r="G9864" s="17"/>
      <c r="H9864" s="17" t="s">
        <v>20919</v>
      </c>
      <c r="I9864" s="17"/>
      <c r="J9864" s="17" t="s">
        <v>21313</v>
      </c>
      <c r="K9864" s="17"/>
      <c r="L9864" s="17" t="s">
        <v>21326</v>
      </c>
      <c r="M9864" s="17"/>
      <c r="N9864" s="17" t="s">
        <v>21577</v>
      </c>
      <c r="O9864" s="17"/>
      <c r="P9864" s="17" t="s">
        <v>22180</v>
      </c>
      <c r="Q9864" s="17"/>
      <c r="R9864" s="25" t="str">
        <f>HYPERLINK("https://ictv.global/taxonomy/taxondetails?taxnode_id=202316660","Shihovirus paspalenecus")</f>
        <v>Shihovirus paspalenecus</v>
      </c>
      <c r="S9864" s="18" t="s">
        <v>30</v>
      </c>
      <c r="T9864" s="18" t="s">
        <v>43965</v>
      </c>
      <c r="U9864" s="18"/>
      <c r="V9864" s="18" t="s">
        <v>43966</v>
      </c>
      <c r="W9864" s="18" t="s">
        <v>43967</v>
      </c>
      <c r="X9864" s="18" t="s">
        <v>35</v>
      </c>
      <c r="Y9864" s="18" t="s">
        <v>17171</v>
      </c>
      <c r="Z9864" s="18" t="s">
        <v>17336</v>
      </c>
      <c r="AA9864" s="21" t="str">
        <f>HYPERLINK("https://www.ncbi.nlm.nih.gov/nuccore/OM514496","NCBI Nucleotide")</f>
        <v>NCBI Nucleotide</v>
      </c>
    </row>
    <row r="9865" spans="1:27" x14ac:dyDescent="0.35">
      <c r="A9865">
        <v>1026373</v>
      </c>
      <c r="B9865">
        <v>9190</v>
      </c>
      <c r="C9865">
        <v>1</v>
      </c>
      <c r="D9865" s="17" t="s">
        <v>17166</v>
      </c>
      <c r="E9865" s="17"/>
      <c r="F9865" s="17" t="s">
        <v>17246</v>
      </c>
      <c r="G9865" s="17"/>
      <c r="H9865" s="17" t="s">
        <v>20919</v>
      </c>
      <c r="I9865" s="17"/>
      <c r="J9865" s="17" t="s">
        <v>21313</v>
      </c>
      <c r="K9865" s="17"/>
      <c r="L9865" s="17" t="s">
        <v>21326</v>
      </c>
      <c r="M9865" s="17"/>
      <c r="N9865" s="17" t="s">
        <v>21577</v>
      </c>
      <c r="O9865" s="17"/>
      <c r="P9865" s="17" t="s">
        <v>22180</v>
      </c>
      <c r="Q9865" s="17"/>
      <c r="R9865" s="25" t="str">
        <f>HYPERLINK("https://ictv.global/taxonomy/taxondetails?taxnode_id=202316661","Shihovirus segetivivens")</f>
        <v>Shihovirus segetivivens</v>
      </c>
      <c r="S9865" s="18" t="s">
        <v>30</v>
      </c>
      <c r="T9865" s="18" t="s">
        <v>43968</v>
      </c>
      <c r="U9865" s="18"/>
      <c r="V9865" s="18"/>
      <c r="W9865" s="18" t="s">
        <v>43969</v>
      </c>
      <c r="X9865" s="18" t="s">
        <v>35</v>
      </c>
      <c r="Y9865" s="18" t="s">
        <v>17171</v>
      </c>
      <c r="Z9865" s="18" t="s">
        <v>24637</v>
      </c>
      <c r="AA9865" s="21" t="str">
        <f>HYPERLINK("https://www.ncbi.nlm.nih.gov/nuccore/CASDWV010002497","NCBI Nucleotide")</f>
        <v>NCBI Nucleotide</v>
      </c>
    </row>
    <row r="9866" spans="1:27" x14ac:dyDescent="0.35">
      <c r="A9866">
        <v>1026375</v>
      </c>
      <c r="B9866">
        <v>9191</v>
      </c>
      <c r="C9866">
        <v>1</v>
      </c>
      <c r="D9866" s="17" t="s">
        <v>17166</v>
      </c>
      <c r="E9866" s="17"/>
      <c r="F9866" s="17" t="s">
        <v>17246</v>
      </c>
      <c r="G9866" s="17"/>
      <c r="H9866" s="17" t="s">
        <v>20919</v>
      </c>
      <c r="I9866" s="17"/>
      <c r="J9866" s="17" t="s">
        <v>21313</v>
      </c>
      <c r="K9866" s="17"/>
      <c r="L9866" s="17" t="s">
        <v>21326</v>
      </c>
      <c r="M9866" s="17"/>
      <c r="N9866" s="17" t="s">
        <v>21577</v>
      </c>
      <c r="O9866" s="17"/>
      <c r="P9866" s="17" t="s">
        <v>43970</v>
      </c>
      <c r="Q9866" s="17"/>
      <c r="R9866" s="25" t="str">
        <f>HYPERLINK("https://ictv.global/taxonomy/taxondetails?taxnode_id=202316662","Shipsduvirus humihabitans")</f>
        <v>Shipsduvirus humihabitans</v>
      </c>
      <c r="S9866" s="18" t="s">
        <v>30</v>
      </c>
      <c r="T9866" s="18" t="s">
        <v>43971</v>
      </c>
      <c r="U9866" s="18"/>
      <c r="V9866" s="18"/>
      <c r="W9866" s="18" t="s">
        <v>43972</v>
      </c>
      <c r="X9866" s="18" t="s">
        <v>35</v>
      </c>
      <c r="Y9866" s="18" t="s">
        <v>17171</v>
      </c>
      <c r="Z9866" s="18" t="s">
        <v>24637</v>
      </c>
      <c r="AA9866" s="21" t="str">
        <f>HYPERLINK("https://www.ncbi.nlm.nih.gov/nuccore/CASDWV010002544","NCBI Nucleotide")</f>
        <v>NCBI Nucleotide</v>
      </c>
    </row>
    <row r="9867" spans="1:27" x14ac:dyDescent="0.35">
      <c r="A9867">
        <v>1026359</v>
      </c>
      <c r="B9867">
        <v>9192</v>
      </c>
      <c r="C9867">
        <v>1</v>
      </c>
      <c r="D9867" s="17" t="s">
        <v>17166</v>
      </c>
      <c r="E9867" s="17"/>
      <c r="F9867" s="17" t="s">
        <v>17246</v>
      </c>
      <c r="G9867" s="17"/>
      <c r="H9867" s="17" t="s">
        <v>20919</v>
      </c>
      <c r="I9867" s="17"/>
      <c r="J9867" s="17" t="s">
        <v>21313</v>
      </c>
      <c r="K9867" s="17"/>
      <c r="L9867" s="17" t="s">
        <v>21326</v>
      </c>
      <c r="M9867" s="17"/>
      <c r="N9867" s="17" t="s">
        <v>21577</v>
      </c>
      <c r="O9867" s="17"/>
      <c r="P9867" s="17" t="s">
        <v>43973</v>
      </c>
      <c r="Q9867" s="17"/>
      <c r="R9867" s="25" t="str">
        <f>HYPERLINK("https://ictv.global/taxonomy/taxondetails?taxnode_id=202316663","Shodtevirus pelocola")</f>
        <v>Shodtevirus pelocola</v>
      </c>
      <c r="S9867" s="18" t="s">
        <v>30</v>
      </c>
      <c r="T9867" s="18" t="s">
        <v>43974</v>
      </c>
      <c r="U9867" s="18"/>
      <c r="V9867" s="18"/>
      <c r="W9867" s="18" t="s">
        <v>43975</v>
      </c>
      <c r="X9867" s="18" t="s">
        <v>35</v>
      </c>
      <c r="Y9867" s="18" t="s">
        <v>17171</v>
      </c>
      <c r="Z9867" s="18" t="s">
        <v>24637</v>
      </c>
      <c r="AA9867" s="21" t="str">
        <f>HYPERLINK("https://www.ncbi.nlm.nih.gov/nuccore/CASDWV010002553","NCBI Nucleotide")</f>
        <v>NCBI Nucleotide</v>
      </c>
    </row>
    <row r="9868" spans="1:27" x14ac:dyDescent="0.35">
      <c r="A9868">
        <v>1009702</v>
      </c>
      <c r="B9868">
        <v>9193</v>
      </c>
      <c r="C9868">
        <v>1</v>
      </c>
      <c r="D9868" s="17" t="s">
        <v>17166</v>
      </c>
      <c r="E9868" s="17"/>
      <c r="F9868" s="17" t="s">
        <v>17246</v>
      </c>
      <c r="G9868" s="17"/>
      <c r="H9868" s="17" t="s">
        <v>20919</v>
      </c>
      <c r="I9868" s="17"/>
      <c r="J9868" s="17" t="s">
        <v>21313</v>
      </c>
      <c r="K9868" s="17"/>
      <c r="L9868" s="17" t="s">
        <v>21326</v>
      </c>
      <c r="M9868" s="17"/>
      <c r="N9868" s="17" t="s">
        <v>21577</v>
      </c>
      <c r="O9868" s="17"/>
      <c r="P9868" s="17" t="s">
        <v>22183</v>
      </c>
      <c r="Q9868" s="17"/>
      <c r="R9868" s="25" t="str">
        <f>HYPERLINK("https://ictv.global/taxonomy/taxondetails?taxnode_id=202310613","Sholavirus caenivivens")</f>
        <v>Sholavirus caenivivens</v>
      </c>
      <c r="S9868" s="18" t="s">
        <v>30</v>
      </c>
      <c r="T9868" s="18" t="s">
        <v>22184</v>
      </c>
      <c r="U9868" s="18"/>
      <c r="V9868" s="18"/>
      <c r="W9868" s="18" t="s">
        <v>22185</v>
      </c>
      <c r="X9868" s="18" t="s">
        <v>35</v>
      </c>
      <c r="Y9868" s="18" t="s">
        <v>17171</v>
      </c>
      <c r="Z9868" s="18" t="s">
        <v>697</v>
      </c>
      <c r="AA9868" s="21" t="str">
        <f>HYPERLINK("https://www.ncbi.nlm.nih.gov/nuccore/BK014183","NCBI Nucleotide")</f>
        <v>NCBI Nucleotide</v>
      </c>
    </row>
    <row r="9869" spans="1:27" x14ac:dyDescent="0.35">
      <c r="A9869">
        <v>1009703</v>
      </c>
      <c r="B9869">
        <v>9194</v>
      </c>
      <c r="C9869">
        <v>1</v>
      </c>
      <c r="D9869" s="17" t="s">
        <v>17166</v>
      </c>
      <c r="E9869" s="17"/>
      <c r="F9869" s="17" t="s">
        <v>17246</v>
      </c>
      <c r="G9869" s="17"/>
      <c r="H9869" s="17" t="s">
        <v>20919</v>
      </c>
      <c r="I9869" s="17"/>
      <c r="J9869" s="17" t="s">
        <v>21313</v>
      </c>
      <c r="K9869" s="17"/>
      <c r="L9869" s="17" t="s">
        <v>21326</v>
      </c>
      <c r="M9869" s="17"/>
      <c r="N9869" s="17" t="s">
        <v>21577</v>
      </c>
      <c r="O9869" s="17"/>
      <c r="P9869" s="17" t="s">
        <v>22186</v>
      </c>
      <c r="Q9869" s="17"/>
      <c r="R9869" s="25" t="str">
        <f>HYPERLINK("https://ictv.global/taxonomy/taxondetails?taxnode_id=202310615","Shomudavirus limadaptatum")</f>
        <v>Shomudavirus limadaptatum</v>
      </c>
      <c r="S9869" s="18" t="s">
        <v>30</v>
      </c>
      <c r="T9869" s="18" t="s">
        <v>22187</v>
      </c>
      <c r="U9869" s="18"/>
      <c r="V9869" s="18"/>
      <c r="W9869" s="18" t="s">
        <v>22188</v>
      </c>
      <c r="X9869" s="18" t="s">
        <v>35</v>
      </c>
      <c r="Y9869" s="18" t="s">
        <v>17171</v>
      </c>
      <c r="Z9869" s="18" t="s">
        <v>697</v>
      </c>
      <c r="AA9869" s="21" t="str">
        <f>HYPERLINK("https://www.ncbi.nlm.nih.gov/nuccore/BK014058","NCBI Nucleotide")</f>
        <v>NCBI Nucleotide</v>
      </c>
    </row>
    <row r="9870" spans="1:27" x14ac:dyDescent="0.35">
      <c r="A9870">
        <v>1026361</v>
      </c>
      <c r="B9870">
        <v>9195</v>
      </c>
      <c r="C9870">
        <v>1</v>
      </c>
      <c r="D9870" s="17" t="s">
        <v>17166</v>
      </c>
      <c r="E9870" s="17"/>
      <c r="F9870" s="17" t="s">
        <v>17246</v>
      </c>
      <c r="G9870" s="17"/>
      <c r="H9870" s="17" t="s">
        <v>20919</v>
      </c>
      <c r="I9870" s="17"/>
      <c r="J9870" s="17" t="s">
        <v>21313</v>
      </c>
      <c r="K9870" s="17"/>
      <c r="L9870" s="17" t="s">
        <v>21326</v>
      </c>
      <c r="M9870" s="17"/>
      <c r="N9870" s="17" t="s">
        <v>21577</v>
      </c>
      <c r="O9870" s="17"/>
      <c r="P9870" s="17" t="s">
        <v>43976</v>
      </c>
      <c r="Q9870" s="17"/>
      <c r="R9870" s="25" t="str">
        <f>HYPERLINK("https://ictv.global/taxonomy/taxondetails?taxnode_id=202316664","Shrewlivirus pedocola")</f>
        <v>Shrewlivirus pedocola</v>
      </c>
      <c r="S9870" s="18" t="s">
        <v>30</v>
      </c>
      <c r="T9870" s="18" t="s">
        <v>43977</v>
      </c>
      <c r="U9870" s="18"/>
      <c r="V9870" s="18"/>
      <c r="W9870" s="18" t="s">
        <v>43978</v>
      </c>
      <c r="X9870" s="18" t="s">
        <v>35</v>
      </c>
      <c r="Y9870" s="18" t="s">
        <v>17171</v>
      </c>
      <c r="Z9870" s="18" t="s">
        <v>24637</v>
      </c>
      <c r="AA9870" s="21" t="str">
        <f>HYPERLINK("https://www.ncbi.nlm.nih.gov/nuccore/CASDWV010002554","NCBI Nucleotide")</f>
        <v>NCBI Nucleotide</v>
      </c>
    </row>
    <row r="9871" spans="1:27" x14ac:dyDescent="0.35">
      <c r="A9871">
        <v>1026362</v>
      </c>
      <c r="B9871">
        <v>9196</v>
      </c>
      <c r="C9871">
        <v>1</v>
      </c>
      <c r="D9871" s="17" t="s">
        <v>17166</v>
      </c>
      <c r="E9871" s="17"/>
      <c r="F9871" s="17" t="s">
        <v>17246</v>
      </c>
      <c r="G9871" s="17"/>
      <c r="H9871" s="17" t="s">
        <v>20919</v>
      </c>
      <c r="I9871" s="17"/>
      <c r="J9871" s="17" t="s">
        <v>21313</v>
      </c>
      <c r="K9871" s="17"/>
      <c r="L9871" s="17" t="s">
        <v>21326</v>
      </c>
      <c r="M9871" s="17"/>
      <c r="N9871" s="17" t="s">
        <v>21577</v>
      </c>
      <c r="O9871" s="17"/>
      <c r="P9871" s="17" t="s">
        <v>43979</v>
      </c>
      <c r="Q9871" s="17"/>
      <c r="R9871" s="25" t="str">
        <f>HYPERLINK("https://ictv.global/taxonomy/taxondetails?taxnode_id=202316665","Shuldovirus pedovivens")</f>
        <v>Shuldovirus pedovivens</v>
      </c>
      <c r="S9871" s="18" t="s">
        <v>30</v>
      </c>
      <c r="T9871" s="18" t="s">
        <v>43980</v>
      </c>
      <c r="U9871" s="18"/>
      <c r="V9871" s="18"/>
      <c r="W9871" s="18" t="s">
        <v>43981</v>
      </c>
      <c r="X9871" s="18" t="s">
        <v>35</v>
      </c>
      <c r="Y9871" s="18" t="s">
        <v>17171</v>
      </c>
      <c r="Z9871" s="18" t="s">
        <v>24637</v>
      </c>
      <c r="AA9871" s="21" t="str">
        <f>HYPERLINK("https://www.ncbi.nlm.nih.gov/nuccore/CASDWV010003888","NCBI Nucleotide")</f>
        <v>NCBI Nucleotide</v>
      </c>
    </row>
    <row r="9872" spans="1:27" x14ac:dyDescent="0.35">
      <c r="A9872">
        <v>1026363</v>
      </c>
      <c r="B9872">
        <v>9197</v>
      </c>
      <c r="C9872">
        <v>1</v>
      </c>
      <c r="D9872" s="17" t="s">
        <v>17166</v>
      </c>
      <c r="E9872" s="17"/>
      <c r="F9872" s="17" t="s">
        <v>17246</v>
      </c>
      <c r="G9872" s="17"/>
      <c r="H9872" s="17" t="s">
        <v>20919</v>
      </c>
      <c r="I9872" s="17"/>
      <c r="J9872" s="17" t="s">
        <v>21313</v>
      </c>
      <c r="K9872" s="17"/>
      <c r="L9872" s="17" t="s">
        <v>21326</v>
      </c>
      <c r="M9872" s="17"/>
      <c r="N9872" s="17" t="s">
        <v>21577</v>
      </c>
      <c r="O9872" s="17"/>
      <c r="P9872" s="17" t="s">
        <v>43982</v>
      </c>
      <c r="Q9872" s="17"/>
      <c r="R9872" s="25" t="str">
        <f>HYPERLINK("https://ictv.global/taxonomy/taxondetails?taxnode_id=202316666","Shutevirus asiohabitans")</f>
        <v>Shutevirus asiohabitans</v>
      </c>
      <c r="S9872" s="18" t="s">
        <v>30</v>
      </c>
      <c r="T9872" s="18" t="s">
        <v>43983</v>
      </c>
      <c r="U9872" s="18"/>
      <c r="V9872" s="18"/>
      <c r="W9872" s="18" t="s">
        <v>43984</v>
      </c>
      <c r="X9872" s="18" t="s">
        <v>35</v>
      </c>
      <c r="Y9872" s="18" t="s">
        <v>17171</v>
      </c>
      <c r="Z9872" s="18" t="s">
        <v>24637</v>
      </c>
      <c r="AA9872" s="21" t="str">
        <f>HYPERLINK("https://www.ncbi.nlm.nih.gov/nuccore/CASDWV010002552","NCBI Nucleotide")</f>
        <v>NCBI Nucleotide</v>
      </c>
    </row>
    <row r="9873" spans="1:27" x14ac:dyDescent="0.35">
      <c r="A9873">
        <v>1026364</v>
      </c>
      <c r="B9873">
        <v>9198</v>
      </c>
      <c r="C9873">
        <v>1</v>
      </c>
      <c r="D9873" s="17" t="s">
        <v>17166</v>
      </c>
      <c r="E9873" s="17"/>
      <c r="F9873" s="17" t="s">
        <v>17246</v>
      </c>
      <c r="G9873" s="17"/>
      <c r="H9873" s="17" t="s">
        <v>20919</v>
      </c>
      <c r="I9873" s="17"/>
      <c r="J9873" s="17" t="s">
        <v>21313</v>
      </c>
      <c r="K9873" s="17"/>
      <c r="L9873" s="17" t="s">
        <v>21326</v>
      </c>
      <c r="M9873" s="17"/>
      <c r="N9873" s="17" t="s">
        <v>21577</v>
      </c>
      <c r="O9873" s="17"/>
      <c r="P9873" s="17" t="s">
        <v>43985</v>
      </c>
      <c r="Q9873" s="17"/>
      <c r="R9873" s="25" t="str">
        <f>HYPERLINK("https://ictv.global/taxonomy/taxondetails?taxnode_id=202316667","Shutovirus agrenecus")</f>
        <v>Shutovirus agrenecus</v>
      </c>
      <c r="S9873" s="18" t="s">
        <v>30</v>
      </c>
      <c r="T9873" s="18" t="s">
        <v>43986</v>
      </c>
      <c r="U9873" s="18"/>
      <c r="V9873" s="18"/>
      <c r="W9873" s="18" t="s">
        <v>43987</v>
      </c>
      <c r="X9873" s="18" t="s">
        <v>35</v>
      </c>
      <c r="Y9873" s="18" t="s">
        <v>17171</v>
      </c>
      <c r="Z9873" s="18" t="s">
        <v>24637</v>
      </c>
      <c r="AA9873" s="21" t="str">
        <f>HYPERLINK("https://www.ncbi.nlm.nih.gov/nuccore/CASDWV010001878","NCBI Nucleotide")</f>
        <v>NCBI Nucleotide</v>
      </c>
    </row>
    <row r="9874" spans="1:27" x14ac:dyDescent="0.35">
      <c r="A9874">
        <v>1026365</v>
      </c>
      <c r="B9874">
        <v>9199</v>
      </c>
      <c r="C9874">
        <v>1</v>
      </c>
      <c r="D9874" s="17" t="s">
        <v>17166</v>
      </c>
      <c r="E9874" s="17"/>
      <c r="F9874" s="17" t="s">
        <v>17246</v>
      </c>
      <c r="G9874" s="17"/>
      <c r="H9874" s="17" t="s">
        <v>20919</v>
      </c>
      <c r="I9874" s="17"/>
      <c r="J9874" s="17" t="s">
        <v>21313</v>
      </c>
      <c r="K9874" s="17"/>
      <c r="L9874" s="17" t="s">
        <v>21326</v>
      </c>
      <c r="M9874" s="17"/>
      <c r="N9874" s="17" t="s">
        <v>21577</v>
      </c>
      <c r="O9874" s="17"/>
      <c r="P9874" s="17" t="s">
        <v>43985</v>
      </c>
      <c r="Q9874" s="17"/>
      <c r="R9874" s="25" t="str">
        <f>HYPERLINK("https://ictv.global/taxonomy/taxondetails?taxnode_id=202316668","Shutovirus agrihabitans")</f>
        <v>Shutovirus agrihabitans</v>
      </c>
      <c r="S9874" s="18" t="s">
        <v>30</v>
      </c>
      <c r="T9874" s="18" t="s">
        <v>43988</v>
      </c>
      <c r="U9874" s="18"/>
      <c r="V9874" s="18"/>
      <c r="W9874" s="18" t="s">
        <v>43989</v>
      </c>
      <c r="X9874" s="18" t="s">
        <v>35</v>
      </c>
      <c r="Y9874" s="18" t="s">
        <v>17171</v>
      </c>
      <c r="Z9874" s="18" t="s">
        <v>24637</v>
      </c>
      <c r="AA9874" s="21" t="str">
        <f>HYPERLINK("https://www.ncbi.nlm.nih.gov/nuccore/CASDWV010003854","NCBI Nucleotide")</f>
        <v>NCBI Nucleotide</v>
      </c>
    </row>
    <row r="9875" spans="1:27" x14ac:dyDescent="0.35">
      <c r="A9875">
        <v>1026366</v>
      </c>
      <c r="B9875">
        <v>9200</v>
      </c>
      <c r="C9875">
        <v>1</v>
      </c>
      <c r="D9875" s="17" t="s">
        <v>17166</v>
      </c>
      <c r="E9875" s="17"/>
      <c r="F9875" s="17" t="s">
        <v>17246</v>
      </c>
      <c r="G9875" s="17"/>
      <c r="H9875" s="17" t="s">
        <v>20919</v>
      </c>
      <c r="I9875" s="17"/>
      <c r="J9875" s="17" t="s">
        <v>21313</v>
      </c>
      <c r="K9875" s="17"/>
      <c r="L9875" s="17" t="s">
        <v>21326</v>
      </c>
      <c r="M9875" s="17"/>
      <c r="N9875" s="17" t="s">
        <v>21577</v>
      </c>
      <c r="O9875" s="17"/>
      <c r="P9875" s="17" t="s">
        <v>43985</v>
      </c>
      <c r="Q9875" s="17"/>
      <c r="R9875" s="25" t="str">
        <f>HYPERLINK("https://ictv.global/taxonomy/taxondetails?taxnode_id=202316669","Shutovirus arvicola")</f>
        <v>Shutovirus arvicola</v>
      </c>
      <c r="S9875" s="18" t="s">
        <v>30</v>
      </c>
      <c r="T9875" s="18" t="s">
        <v>43990</v>
      </c>
      <c r="U9875" s="18"/>
      <c r="V9875" s="18"/>
      <c r="W9875" s="18" t="s">
        <v>43991</v>
      </c>
      <c r="X9875" s="18" t="s">
        <v>35</v>
      </c>
      <c r="Y9875" s="18" t="s">
        <v>17171</v>
      </c>
      <c r="Z9875" s="18" t="s">
        <v>24637</v>
      </c>
      <c r="AA9875" s="21" t="str">
        <f>HYPERLINK("https://www.ncbi.nlm.nih.gov/nuccore/CASDWV010002398","NCBI Nucleotide")</f>
        <v>NCBI Nucleotide</v>
      </c>
    </row>
    <row r="9876" spans="1:27" x14ac:dyDescent="0.35">
      <c r="A9876">
        <v>1026367</v>
      </c>
      <c r="B9876">
        <v>9201</v>
      </c>
      <c r="C9876">
        <v>1</v>
      </c>
      <c r="D9876" s="17" t="s">
        <v>17166</v>
      </c>
      <c r="E9876" s="17"/>
      <c r="F9876" s="17" t="s">
        <v>17246</v>
      </c>
      <c r="G9876" s="17"/>
      <c r="H9876" s="17" t="s">
        <v>20919</v>
      </c>
      <c r="I9876" s="17"/>
      <c r="J9876" s="17" t="s">
        <v>21313</v>
      </c>
      <c r="K9876" s="17"/>
      <c r="L9876" s="17" t="s">
        <v>21326</v>
      </c>
      <c r="M9876" s="17"/>
      <c r="N9876" s="17" t="s">
        <v>21577</v>
      </c>
      <c r="O9876" s="17"/>
      <c r="P9876" s="17" t="s">
        <v>43985</v>
      </c>
      <c r="Q9876" s="17"/>
      <c r="R9876" s="25" t="str">
        <f>HYPERLINK("https://ictv.global/taxonomy/taxondetails?taxnode_id=202316670","Shutovirus asiovicinum")</f>
        <v>Shutovirus asiovicinum</v>
      </c>
      <c r="S9876" s="18" t="s">
        <v>30</v>
      </c>
      <c r="T9876" s="18" t="s">
        <v>43992</v>
      </c>
      <c r="U9876" s="18"/>
      <c r="V9876" s="18"/>
      <c r="W9876" s="18" t="s">
        <v>43993</v>
      </c>
      <c r="X9876" s="18" t="s">
        <v>35</v>
      </c>
      <c r="Y9876" s="18" t="s">
        <v>17171</v>
      </c>
      <c r="Z9876" s="18" t="s">
        <v>24637</v>
      </c>
      <c r="AA9876" s="21" t="str">
        <f>HYPERLINK("https://www.ncbi.nlm.nih.gov/nuccore/CASDWV010002740","NCBI Nucleotide")</f>
        <v>NCBI Nucleotide</v>
      </c>
    </row>
    <row r="9877" spans="1:27" x14ac:dyDescent="0.35">
      <c r="A9877">
        <v>1026368</v>
      </c>
      <c r="B9877">
        <v>9202</v>
      </c>
      <c r="C9877">
        <v>1</v>
      </c>
      <c r="D9877" s="17" t="s">
        <v>17166</v>
      </c>
      <c r="E9877" s="17"/>
      <c r="F9877" s="17" t="s">
        <v>17246</v>
      </c>
      <c r="G9877" s="17"/>
      <c r="H9877" s="17" t="s">
        <v>20919</v>
      </c>
      <c r="I9877" s="17"/>
      <c r="J9877" s="17" t="s">
        <v>21313</v>
      </c>
      <c r="K9877" s="17"/>
      <c r="L9877" s="17" t="s">
        <v>21326</v>
      </c>
      <c r="M9877" s="17"/>
      <c r="N9877" s="17" t="s">
        <v>21577</v>
      </c>
      <c r="O9877" s="17"/>
      <c r="P9877" s="17" t="s">
        <v>43985</v>
      </c>
      <c r="Q9877" s="17"/>
      <c r="R9877" s="25" t="str">
        <f>HYPERLINK("https://ictv.global/taxonomy/taxondetails?taxnode_id=202316671","Shutovirus geocola")</f>
        <v>Shutovirus geocola</v>
      </c>
      <c r="S9877" s="18" t="s">
        <v>30</v>
      </c>
      <c r="T9877" s="18" t="s">
        <v>43994</v>
      </c>
      <c r="U9877" s="18"/>
      <c r="V9877" s="18"/>
      <c r="W9877" s="18" t="s">
        <v>43995</v>
      </c>
      <c r="X9877" s="18" t="s">
        <v>35</v>
      </c>
      <c r="Y9877" s="18" t="s">
        <v>17171</v>
      </c>
      <c r="Z9877" s="18" t="s">
        <v>24637</v>
      </c>
      <c r="AA9877" s="21" t="str">
        <f>HYPERLINK("https://www.ncbi.nlm.nih.gov/nuccore/CASDWV010003780","NCBI Nucleotide")</f>
        <v>NCBI Nucleotide</v>
      </c>
    </row>
    <row r="9878" spans="1:27" x14ac:dyDescent="0.35">
      <c r="A9878">
        <v>1026343</v>
      </c>
      <c r="B9878">
        <v>9203</v>
      </c>
      <c r="C9878">
        <v>1</v>
      </c>
      <c r="D9878" s="17" t="s">
        <v>17166</v>
      </c>
      <c r="E9878" s="17"/>
      <c r="F9878" s="17" t="s">
        <v>17246</v>
      </c>
      <c r="G9878" s="17"/>
      <c r="H9878" s="17" t="s">
        <v>20919</v>
      </c>
      <c r="I9878" s="17"/>
      <c r="J9878" s="17" t="s">
        <v>21313</v>
      </c>
      <c r="K9878" s="17"/>
      <c r="L9878" s="17" t="s">
        <v>21326</v>
      </c>
      <c r="M9878" s="17"/>
      <c r="N9878" s="17" t="s">
        <v>21577</v>
      </c>
      <c r="O9878" s="17"/>
      <c r="P9878" s="17" t="s">
        <v>22193</v>
      </c>
      <c r="Q9878" s="17"/>
      <c r="R9878" s="25" t="str">
        <f>HYPERLINK("https://ictv.global/taxonomy/taxondetails?taxnode_id=202316672","Sincthavirus geoenecus")</f>
        <v>Sincthavirus geoenecus</v>
      </c>
      <c r="S9878" s="18" t="s">
        <v>30</v>
      </c>
      <c r="T9878" s="18" t="s">
        <v>43996</v>
      </c>
      <c r="U9878" s="18"/>
      <c r="V9878" s="18"/>
      <c r="W9878" s="18" t="s">
        <v>43997</v>
      </c>
      <c r="X9878" s="18" t="s">
        <v>35</v>
      </c>
      <c r="Y9878" s="18" t="s">
        <v>17171</v>
      </c>
      <c r="Z9878" s="18" t="s">
        <v>24637</v>
      </c>
      <c r="AA9878" s="21" t="str">
        <f>HYPERLINK("https://www.ncbi.nlm.nih.gov/nuccore/CASDWV010001468","NCBI Nucleotide")</f>
        <v>NCBI Nucleotide</v>
      </c>
    </row>
    <row r="9879" spans="1:27" x14ac:dyDescent="0.35">
      <c r="A9879">
        <v>1009706</v>
      </c>
      <c r="B9879">
        <v>9204</v>
      </c>
      <c r="C9879">
        <v>1</v>
      </c>
      <c r="D9879" s="17" t="s">
        <v>17166</v>
      </c>
      <c r="E9879" s="17"/>
      <c r="F9879" s="17" t="s">
        <v>17246</v>
      </c>
      <c r="G9879" s="17"/>
      <c r="H9879" s="17" t="s">
        <v>20919</v>
      </c>
      <c r="I9879" s="17"/>
      <c r="J9879" s="17" t="s">
        <v>21313</v>
      </c>
      <c r="K9879" s="17"/>
      <c r="L9879" s="17" t="s">
        <v>21326</v>
      </c>
      <c r="M9879" s="17"/>
      <c r="N9879" s="17" t="s">
        <v>21577</v>
      </c>
      <c r="O9879" s="17"/>
      <c r="P9879" s="17" t="s">
        <v>22193</v>
      </c>
      <c r="Q9879" s="17"/>
      <c r="R9879" s="25" t="str">
        <f>HYPERLINK("https://ictv.global/taxonomy/taxondetails?taxnode_id=202310620","Sincthavirus limivicinum")</f>
        <v>Sincthavirus limivicinum</v>
      </c>
      <c r="S9879" s="18" t="s">
        <v>30</v>
      </c>
      <c r="T9879" s="18" t="s">
        <v>22194</v>
      </c>
      <c r="U9879" s="18"/>
      <c r="V9879" s="18"/>
      <c r="W9879" s="18" t="s">
        <v>22195</v>
      </c>
      <c r="X9879" s="18" t="s">
        <v>35</v>
      </c>
      <c r="Y9879" s="18" t="s">
        <v>17171</v>
      </c>
      <c r="Z9879" s="18" t="s">
        <v>697</v>
      </c>
      <c r="AA9879" s="21" t="str">
        <f>HYPERLINK("https://www.ncbi.nlm.nih.gov/nuccore/BK013573","NCBI Nucleotide")</f>
        <v>NCBI Nucleotide</v>
      </c>
    </row>
    <row r="9880" spans="1:27" x14ac:dyDescent="0.35">
      <c r="A9880">
        <v>1009707</v>
      </c>
      <c r="B9880">
        <v>9205</v>
      </c>
      <c r="C9880">
        <v>1</v>
      </c>
      <c r="D9880" s="17" t="s">
        <v>17166</v>
      </c>
      <c r="E9880" s="17"/>
      <c r="F9880" s="17" t="s">
        <v>17246</v>
      </c>
      <c r="G9880" s="17"/>
      <c r="H9880" s="17" t="s">
        <v>20919</v>
      </c>
      <c r="I9880" s="17"/>
      <c r="J9880" s="17" t="s">
        <v>21313</v>
      </c>
      <c r="K9880" s="17"/>
      <c r="L9880" s="17" t="s">
        <v>21326</v>
      </c>
      <c r="M9880" s="17"/>
      <c r="N9880" s="17" t="s">
        <v>21577</v>
      </c>
      <c r="O9880" s="17"/>
      <c r="P9880" s="17" t="s">
        <v>22196</v>
      </c>
      <c r="Q9880" s="17"/>
      <c r="R9880" s="25" t="str">
        <f>HYPERLINK("https://ictv.global/taxonomy/taxondetails?taxnode_id=202310622","Skhembuvirus limivivens")</f>
        <v>Skhembuvirus limivivens</v>
      </c>
      <c r="S9880" s="18" t="s">
        <v>30</v>
      </c>
      <c r="T9880" s="18" t="s">
        <v>22197</v>
      </c>
      <c r="U9880" s="18"/>
      <c r="V9880" s="18"/>
      <c r="W9880" s="18" t="s">
        <v>22198</v>
      </c>
      <c r="X9880" s="18" t="s">
        <v>35</v>
      </c>
      <c r="Y9880" s="18" t="s">
        <v>17171</v>
      </c>
      <c r="Z9880" s="18" t="s">
        <v>697</v>
      </c>
      <c r="AA9880" s="21" t="str">
        <f>HYPERLINK("https://www.ncbi.nlm.nih.gov/nuccore/BK013698","NCBI Nucleotide")</f>
        <v>NCBI Nucleotide</v>
      </c>
    </row>
    <row r="9881" spans="1:27" x14ac:dyDescent="0.35">
      <c r="A9881">
        <v>1009708</v>
      </c>
      <c r="B9881">
        <v>9206</v>
      </c>
      <c r="C9881">
        <v>1</v>
      </c>
      <c r="D9881" s="17" t="s">
        <v>17166</v>
      </c>
      <c r="E9881" s="17"/>
      <c r="F9881" s="17" t="s">
        <v>17246</v>
      </c>
      <c r="G9881" s="17"/>
      <c r="H9881" s="17" t="s">
        <v>20919</v>
      </c>
      <c r="I9881" s="17"/>
      <c r="J9881" s="17" t="s">
        <v>21313</v>
      </c>
      <c r="K9881" s="17"/>
      <c r="L9881" s="17" t="s">
        <v>21326</v>
      </c>
      <c r="M9881" s="17"/>
      <c r="N9881" s="17" t="s">
        <v>21577</v>
      </c>
      <c r="O9881" s="17"/>
      <c r="P9881" s="17" t="s">
        <v>22199</v>
      </c>
      <c r="Q9881" s="17"/>
      <c r="R9881" s="25" t="str">
        <f>HYPERLINK("https://ictv.global/taxonomy/taxondetails?taxnode_id=202310624","Smudhfivirus lutadaptatum")</f>
        <v>Smudhfivirus lutadaptatum</v>
      </c>
      <c r="S9881" s="18" t="s">
        <v>30</v>
      </c>
      <c r="T9881" s="18" t="s">
        <v>22200</v>
      </c>
      <c r="U9881" s="18"/>
      <c r="V9881" s="18"/>
      <c r="W9881" s="18" t="s">
        <v>22201</v>
      </c>
      <c r="X9881" s="18" t="s">
        <v>35</v>
      </c>
      <c r="Y9881" s="18" t="s">
        <v>17171</v>
      </c>
      <c r="Z9881" s="18" t="s">
        <v>697</v>
      </c>
      <c r="AA9881" s="21" t="str">
        <f>HYPERLINK("https://www.ncbi.nlm.nih.gov/nuccore/BK013724","NCBI Nucleotide")</f>
        <v>NCBI Nucleotide</v>
      </c>
    </row>
    <row r="9882" spans="1:27" x14ac:dyDescent="0.35">
      <c r="A9882">
        <v>1026350</v>
      </c>
      <c r="B9882">
        <v>9207</v>
      </c>
      <c r="C9882">
        <v>1</v>
      </c>
      <c r="D9882" s="17" t="s">
        <v>17166</v>
      </c>
      <c r="E9882" s="17"/>
      <c r="F9882" s="17" t="s">
        <v>17246</v>
      </c>
      <c r="G9882" s="17"/>
      <c r="H9882" s="17" t="s">
        <v>20919</v>
      </c>
      <c r="I9882" s="17"/>
      <c r="J9882" s="17" t="s">
        <v>21313</v>
      </c>
      <c r="K9882" s="17"/>
      <c r="L9882" s="17" t="s">
        <v>21326</v>
      </c>
      <c r="M9882" s="17"/>
      <c r="N9882" s="17" t="s">
        <v>21577</v>
      </c>
      <c r="O9882" s="17"/>
      <c r="P9882" s="17" t="s">
        <v>43998</v>
      </c>
      <c r="Q9882" s="17"/>
      <c r="R9882" s="25" t="str">
        <f>HYPERLINK("https://ictv.global/taxonomy/taxondetails?taxnode_id=202316673","Snitdevirus edaphenecus")</f>
        <v>Snitdevirus edaphenecus</v>
      </c>
      <c r="S9882" s="18" t="s">
        <v>30</v>
      </c>
      <c r="T9882" s="18" t="s">
        <v>43999</v>
      </c>
      <c r="U9882" s="18"/>
      <c r="V9882" s="18"/>
      <c r="W9882" s="18" t="s">
        <v>44000</v>
      </c>
      <c r="X9882" s="18" t="s">
        <v>35</v>
      </c>
      <c r="Y9882" s="18" t="s">
        <v>17171</v>
      </c>
      <c r="Z9882" s="18" t="s">
        <v>24637</v>
      </c>
      <c r="AA9882" s="21" t="str">
        <f>HYPERLINK("https://www.ncbi.nlm.nih.gov/nuccore/CASDWV010001577","NCBI Nucleotide")</f>
        <v>NCBI Nucleotide</v>
      </c>
    </row>
    <row r="9883" spans="1:27" x14ac:dyDescent="0.35">
      <c r="A9883">
        <v>1026351</v>
      </c>
      <c r="B9883">
        <v>9208</v>
      </c>
      <c r="C9883">
        <v>1</v>
      </c>
      <c r="D9883" s="17" t="s">
        <v>17166</v>
      </c>
      <c r="E9883" s="17"/>
      <c r="F9883" s="17" t="s">
        <v>17246</v>
      </c>
      <c r="G9883" s="17"/>
      <c r="H9883" s="17" t="s">
        <v>20919</v>
      </c>
      <c r="I9883" s="17"/>
      <c r="J9883" s="17" t="s">
        <v>21313</v>
      </c>
      <c r="K9883" s="17"/>
      <c r="L9883" s="17" t="s">
        <v>21326</v>
      </c>
      <c r="M9883" s="17"/>
      <c r="N9883" s="17" t="s">
        <v>21577</v>
      </c>
      <c r="O9883" s="17"/>
      <c r="P9883" s="17" t="s">
        <v>43998</v>
      </c>
      <c r="Q9883" s="17"/>
      <c r="R9883" s="25" t="str">
        <f>HYPERLINK("https://ictv.global/taxonomy/taxondetails?taxnode_id=202316674","Snitdevirus edaphocola")</f>
        <v>Snitdevirus edaphocola</v>
      </c>
      <c r="S9883" s="18" t="s">
        <v>30</v>
      </c>
      <c r="T9883" s="18" t="s">
        <v>44001</v>
      </c>
      <c r="U9883" s="18"/>
      <c r="V9883" s="18"/>
      <c r="W9883" s="18" t="s">
        <v>44002</v>
      </c>
      <c r="X9883" s="18" t="s">
        <v>35</v>
      </c>
      <c r="Y9883" s="18" t="s">
        <v>17171</v>
      </c>
      <c r="Z9883" s="18" t="s">
        <v>24637</v>
      </c>
      <c r="AA9883" s="21" t="str">
        <f>HYPERLINK("https://www.ncbi.nlm.nih.gov/nuccore/CASDWV010002795","NCBI Nucleotide")</f>
        <v>NCBI Nucleotide</v>
      </c>
    </row>
    <row r="9884" spans="1:27" x14ac:dyDescent="0.35">
      <c r="A9884">
        <v>1026352</v>
      </c>
      <c r="B9884">
        <v>9209</v>
      </c>
      <c r="C9884">
        <v>1</v>
      </c>
      <c r="D9884" s="17" t="s">
        <v>17166</v>
      </c>
      <c r="E9884" s="17"/>
      <c r="F9884" s="17" t="s">
        <v>17246</v>
      </c>
      <c r="G9884" s="17"/>
      <c r="H9884" s="17" t="s">
        <v>20919</v>
      </c>
      <c r="I9884" s="17"/>
      <c r="J9884" s="17" t="s">
        <v>21313</v>
      </c>
      <c r="K9884" s="17"/>
      <c r="L9884" s="17" t="s">
        <v>21326</v>
      </c>
      <c r="M9884" s="17"/>
      <c r="N9884" s="17" t="s">
        <v>21577</v>
      </c>
      <c r="O9884" s="17"/>
      <c r="P9884" s="17" t="s">
        <v>43998</v>
      </c>
      <c r="Q9884" s="17"/>
      <c r="R9884" s="25" t="str">
        <f>HYPERLINK("https://ictv.global/taxonomy/taxondetails?taxnode_id=202316675","Snitdevirus montisenecus")</f>
        <v>Snitdevirus montisenecus</v>
      </c>
      <c r="S9884" s="18" t="s">
        <v>30</v>
      </c>
      <c r="T9884" s="18" t="s">
        <v>44003</v>
      </c>
      <c r="U9884" s="18"/>
      <c r="V9884" s="18" t="s">
        <v>44003</v>
      </c>
      <c r="W9884" s="18" t="s">
        <v>44004</v>
      </c>
      <c r="X9884" s="18" t="s">
        <v>35</v>
      </c>
      <c r="Y9884" s="18" t="s">
        <v>17171</v>
      </c>
      <c r="Z9884" s="18" t="s">
        <v>24637</v>
      </c>
      <c r="AA9884" s="21" t="str">
        <f>HYPERLINK("https://www.ncbi.nlm.nih.gov/nuccore/ON164474","NCBI Nucleotide")</f>
        <v>NCBI Nucleotide</v>
      </c>
    </row>
    <row r="9885" spans="1:27" x14ac:dyDescent="0.35">
      <c r="A9885">
        <v>1026353</v>
      </c>
      <c r="B9885">
        <v>9210</v>
      </c>
      <c r="C9885">
        <v>1</v>
      </c>
      <c r="D9885" s="17" t="s">
        <v>17166</v>
      </c>
      <c r="E9885" s="17"/>
      <c r="F9885" s="17" t="s">
        <v>17246</v>
      </c>
      <c r="G9885" s="17"/>
      <c r="H9885" s="17" t="s">
        <v>20919</v>
      </c>
      <c r="I9885" s="17"/>
      <c r="J9885" s="17" t="s">
        <v>21313</v>
      </c>
      <c r="K9885" s="17"/>
      <c r="L9885" s="17" t="s">
        <v>21326</v>
      </c>
      <c r="M9885" s="17"/>
      <c r="N9885" s="17" t="s">
        <v>21577</v>
      </c>
      <c r="O9885" s="17"/>
      <c r="P9885" s="17" t="s">
        <v>43998</v>
      </c>
      <c r="Q9885" s="17"/>
      <c r="R9885" s="25" t="str">
        <f>HYPERLINK("https://ictv.global/taxonomy/taxondetails?taxnode_id=202316676","Snitdevirus pelenecus")</f>
        <v>Snitdevirus pelenecus</v>
      </c>
      <c r="S9885" s="18" t="s">
        <v>30</v>
      </c>
      <c r="T9885" s="18" t="s">
        <v>44005</v>
      </c>
      <c r="U9885" s="18"/>
      <c r="V9885" s="18"/>
      <c r="W9885" s="18" t="s">
        <v>44006</v>
      </c>
      <c r="X9885" s="18" t="s">
        <v>35</v>
      </c>
      <c r="Y9885" s="18" t="s">
        <v>17171</v>
      </c>
      <c r="Z9885" s="18" t="s">
        <v>24637</v>
      </c>
      <c r="AA9885" s="21" t="str">
        <f>HYPERLINK("https://www.ncbi.nlm.nih.gov/nuccore/CASDWV010001781","NCBI Nucleotide")</f>
        <v>NCBI Nucleotide</v>
      </c>
    </row>
    <row r="9886" spans="1:27" x14ac:dyDescent="0.35">
      <c r="A9886">
        <v>1009709</v>
      </c>
      <c r="B9886">
        <v>9211</v>
      </c>
      <c r="C9886">
        <v>1</v>
      </c>
      <c r="D9886" s="17" t="s">
        <v>17166</v>
      </c>
      <c r="E9886" s="17"/>
      <c r="F9886" s="17" t="s">
        <v>17246</v>
      </c>
      <c r="G9886" s="17"/>
      <c r="H9886" s="17" t="s">
        <v>20919</v>
      </c>
      <c r="I9886" s="17"/>
      <c r="J9886" s="17" t="s">
        <v>21313</v>
      </c>
      <c r="K9886" s="17"/>
      <c r="L9886" s="17" t="s">
        <v>21326</v>
      </c>
      <c r="M9886" s="17"/>
      <c r="N9886" s="17" t="s">
        <v>21577</v>
      </c>
      <c r="O9886" s="17"/>
      <c r="P9886" s="17" t="s">
        <v>22202</v>
      </c>
      <c r="Q9886" s="17"/>
      <c r="R9886" s="25" t="str">
        <f>HYPERLINK("https://ictv.global/taxonomy/taxondetails?taxnode_id=202310626","Soetuvirus lutenecus")</f>
        <v>Soetuvirus lutenecus</v>
      </c>
      <c r="S9886" s="18" t="s">
        <v>30</v>
      </c>
      <c r="T9886" s="18" t="s">
        <v>22203</v>
      </c>
      <c r="U9886" s="18"/>
      <c r="V9886" s="18"/>
      <c r="W9886" s="18" t="s">
        <v>22204</v>
      </c>
      <c r="X9886" s="18" t="s">
        <v>35</v>
      </c>
      <c r="Y9886" s="18" t="s">
        <v>17171</v>
      </c>
      <c r="Z9886" s="18" t="s">
        <v>697</v>
      </c>
      <c r="AA9886" s="21" t="str">
        <f>HYPERLINK("https://www.ncbi.nlm.nih.gov/nuccore/BK013732","NCBI Nucleotide")</f>
        <v>NCBI Nucleotide</v>
      </c>
    </row>
    <row r="9887" spans="1:27" x14ac:dyDescent="0.35">
      <c r="A9887">
        <v>1026338</v>
      </c>
      <c r="B9887">
        <v>9212</v>
      </c>
      <c r="C9887">
        <v>1</v>
      </c>
      <c r="D9887" s="17" t="s">
        <v>17166</v>
      </c>
      <c r="E9887" s="17"/>
      <c r="F9887" s="17" t="s">
        <v>17246</v>
      </c>
      <c r="G9887" s="17"/>
      <c r="H9887" s="17" t="s">
        <v>20919</v>
      </c>
      <c r="I9887" s="17"/>
      <c r="J9887" s="17" t="s">
        <v>21313</v>
      </c>
      <c r="K9887" s="17"/>
      <c r="L9887" s="17" t="s">
        <v>21326</v>
      </c>
      <c r="M9887" s="17"/>
      <c r="N9887" s="17" t="s">
        <v>21577</v>
      </c>
      <c r="O9887" s="17"/>
      <c r="P9887" s="17" t="s">
        <v>44007</v>
      </c>
      <c r="Q9887" s="17"/>
      <c r="R9887" s="25" t="str">
        <f>HYPERLINK("https://ictv.global/taxonomy/taxondetails?taxnode_id=202316677","Stanolovirus arvicola")</f>
        <v>Stanolovirus arvicola</v>
      </c>
      <c r="S9887" s="18" t="s">
        <v>30</v>
      </c>
      <c r="T9887" s="18" t="s">
        <v>44008</v>
      </c>
      <c r="U9887" s="18"/>
      <c r="V9887" s="18"/>
      <c r="W9887" s="18" t="s">
        <v>44009</v>
      </c>
      <c r="X9887" s="18" t="s">
        <v>35</v>
      </c>
      <c r="Y9887" s="18" t="s">
        <v>17171</v>
      </c>
      <c r="Z9887" s="18" t="s">
        <v>24637</v>
      </c>
      <c r="AA9887" s="21" t="str">
        <f>HYPERLINK("https://www.ncbi.nlm.nih.gov/nuccore/CASDWV010004770","NCBI Nucleotide")</f>
        <v>NCBI Nucleotide</v>
      </c>
    </row>
    <row r="9888" spans="1:27" x14ac:dyDescent="0.35">
      <c r="A9888">
        <v>1026339</v>
      </c>
      <c r="B9888">
        <v>9213</v>
      </c>
      <c r="C9888">
        <v>1</v>
      </c>
      <c r="D9888" s="17" t="s">
        <v>17166</v>
      </c>
      <c r="E9888" s="17"/>
      <c r="F9888" s="17" t="s">
        <v>17246</v>
      </c>
      <c r="G9888" s="17"/>
      <c r="H9888" s="17" t="s">
        <v>20919</v>
      </c>
      <c r="I9888" s="17"/>
      <c r="J9888" s="17" t="s">
        <v>21313</v>
      </c>
      <c r="K9888" s="17"/>
      <c r="L9888" s="17" t="s">
        <v>21326</v>
      </c>
      <c r="M9888" s="17"/>
      <c r="N9888" s="17" t="s">
        <v>21577</v>
      </c>
      <c r="O9888" s="17"/>
      <c r="P9888" s="17" t="s">
        <v>44007</v>
      </c>
      <c r="Q9888" s="17"/>
      <c r="R9888" s="25" t="str">
        <f>HYPERLINK("https://ictv.global/taxonomy/taxondetails?taxnode_id=202316678","Stanolovirus chorenecus")</f>
        <v>Stanolovirus chorenecus</v>
      </c>
      <c r="S9888" s="18" t="s">
        <v>30</v>
      </c>
      <c r="T9888" s="18" t="s">
        <v>44010</v>
      </c>
      <c r="U9888" s="18"/>
      <c r="V9888" s="18"/>
      <c r="W9888" s="18" t="s">
        <v>44011</v>
      </c>
      <c r="X9888" s="18" t="s">
        <v>35</v>
      </c>
      <c r="Y9888" s="18" t="s">
        <v>17171</v>
      </c>
      <c r="Z9888" s="18" t="s">
        <v>24637</v>
      </c>
      <c r="AA9888" s="21" t="str">
        <f>HYPERLINK("https://www.ncbi.nlm.nih.gov/nuccore/CASDWV010003352","NCBI Nucleotide")</f>
        <v>NCBI Nucleotide</v>
      </c>
    </row>
    <row r="9889" spans="1:27" x14ac:dyDescent="0.35">
      <c r="A9889">
        <v>1026340</v>
      </c>
      <c r="B9889">
        <v>9214</v>
      </c>
      <c r="C9889">
        <v>1</v>
      </c>
      <c r="D9889" s="17" t="s">
        <v>17166</v>
      </c>
      <c r="E9889" s="17"/>
      <c r="F9889" s="17" t="s">
        <v>17246</v>
      </c>
      <c r="G9889" s="17"/>
      <c r="H9889" s="17" t="s">
        <v>20919</v>
      </c>
      <c r="I9889" s="17"/>
      <c r="J9889" s="17" t="s">
        <v>21313</v>
      </c>
      <c r="K9889" s="17"/>
      <c r="L9889" s="17" t="s">
        <v>21326</v>
      </c>
      <c r="M9889" s="17"/>
      <c r="N9889" s="17" t="s">
        <v>21577</v>
      </c>
      <c r="O9889" s="17"/>
      <c r="P9889" s="17" t="s">
        <v>44007</v>
      </c>
      <c r="Q9889" s="17"/>
      <c r="R9889" s="25" t="str">
        <f>HYPERLINK("https://ictv.global/taxonomy/taxondetails?taxnode_id=202316679","Stanolovirus chorovicinum")</f>
        <v>Stanolovirus chorovicinum</v>
      </c>
      <c r="S9889" s="18" t="s">
        <v>30</v>
      </c>
      <c r="T9889" s="18" t="s">
        <v>44012</v>
      </c>
      <c r="U9889" s="18"/>
      <c r="V9889" s="18"/>
      <c r="W9889" s="18" t="s">
        <v>44013</v>
      </c>
      <c r="X9889" s="18" t="s">
        <v>35</v>
      </c>
      <c r="Y9889" s="18" t="s">
        <v>17171</v>
      </c>
      <c r="Z9889" s="18" t="s">
        <v>24637</v>
      </c>
      <c r="AA9889" s="21" t="str">
        <f>HYPERLINK("https://www.ncbi.nlm.nih.gov/nuccore/CASDWV010002988","NCBI Nucleotide")</f>
        <v>NCBI Nucleotide</v>
      </c>
    </row>
    <row r="9890" spans="1:27" x14ac:dyDescent="0.35">
      <c r="A9890">
        <v>1009713</v>
      </c>
      <c r="B9890">
        <v>9215</v>
      </c>
      <c r="C9890">
        <v>1</v>
      </c>
      <c r="D9890" s="17" t="s">
        <v>17166</v>
      </c>
      <c r="E9890" s="17"/>
      <c r="F9890" s="17" t="s">
        <v>17246</v>
      </c>
      <c r="G9890" s="17"/>
      <c r="H9890" s="17" t="s">
        <v>20919</v>
      </c>
      <c r="I9890" s="17"/>
      <c r="J9890" s="17" t="s">
        <v>21313</v>
      </c>
      <c r="K9890" s="17"/>
      <c r="L9890" s="17" t="s">
        <v>21326</v>
      </c>
      <c r="M9890" s="17"/>
      <c r="N9890" s="17" t="s">
        <v>21577</v>
      </c>
      <c r="O9890" s="17"/>
      <c r="P9890" s="17" t="s">
        <v>22211</v>
      </c>
      <c r="Q9890" s="17"/>
      <c r="R9890" s="25" t="str">
        <f>HYPERLINK("https://ictv.global/taxonomy/taxondetails?taxnode_id=202310632","Stehlmavirus lutihabitans")</f>
        <v>Stehlmavirus lutihabitans</v>
      </c>
      <c r="S9890" s="18" t="s">
        <v>30</v>
      </c>
      <c r="T9890" s="18" t="s">
        <v>22212</v>
      </c>
      <c r="U9890" s="18"/>
      <c r="V9890" s="18"/>
      <c r="W9890" s="18" t="s">
        <v>22213</v>
      </c>
      <c r="X9890" s="18" t="s">
        <v>35</v>
      </c>
      <c r="Y9890" s="18" t="s">
        <v>17171</v>
      </c>
      <c r="Z9890" s="18" t="s">
        <v>697</v>
      </c>
      <c r="AA9890" s="21" t="str">
        <f>HYPERLINK("https://www.ncbi.nlm.nih.gov/nuccore/BK013718","NCBI Nucleotide")</f>
        <v>NCBI Nucleotide</v>
      </c>
    </row>
    <row r="9891" spans="1:27" x14ac:dyDescent="0.35">
      <c r="A9891">
        <v>1026341</v>
      </c>
      <c r="B9891">
        <v>9216</v>
      </c>
      <c r="C9891">
        <v>1</v>
      </c>
      <c r="D9891" s="17" t="s">
        <v>17166</v>
      </c>
      <c r="E9891" s="17"/>
      <c r="F9891" s="17" t="s">
        <v>17246</v>
      </c>
      <c r="G9891" s="17"/>
      <c r="H9891" s="17" t="s">
        <v>20919</v>
      </c>
      <c r="I9891" s="17"/>
      <c r="J9891" s="17" t="s">
        <v>21313</v>
      </c>
      <c r="K9891" s="17"/>
      <c r="L9891" s="17" t="s">
        <v>21326</v>
      </c>
      <c r="M9891" s="17"/>
      <c r="N9891" s="17" t="s">
        <v>21577</v>
      </c>
      <c r="O9891" s="17"/>
      <c r="P9891" s="17" t="s">
        <v>22211</v>
      </c>
      <c r="Q9891" s="17"/>
      <c r="R9891" s="25" t="str">
        <f>HYPERLINK("https://ictv.global/taxonomy/taxondetails?taxnode_id=202316680","Stehlmavirus terrenecus")</f>
        <v>Stehlmavirus terrenecus</v>
      </c>
      <c r="S9891" s="18" t="s">
        <v>30</v>
      </c>
      <c r="T9891" s="18" t="s">
        <v>44014</v>
      </c>
      <c r="U9891" s="18"/>
      <c r="V9891" s="18"/>
      <c r="W9891" s="18" t="s">
        <v>44015</v>
      </c>
      <c r="X9891" s="18" t="s">
        <v>35</v>
      </c>
      <c r="Y9891" s="18" t="s">
        <v>17171</v>
      </c>
      <c r="Z9891" s="18" t="s">
        <v>24637</v>
      </c>
      <c r="AA9891" s="21" t="str">
        <f>HYPERLINK("https://www.ncbi.nlm.nih.gov/nuccore/CASDWV010003634","NCBI Nucleotide")</f>
        <v>NCBI Nucleotide</v>
      </c>
    </row>
    <row r="9892" spans="1:27" x14ac:dyDescent="0.35">
      <c r="A9892">
        <v>1026291</v>
      </c>
      <c r="B9892">
        <v>9217</v>
      </c>
      <c r="C9892">
        <v>1</v>
      </c>
      <c r="D9892" s="17" t="s">
        <v>17166</v>
      </c>
      <c r="E9892" s="17"/>
      <c r="F9892" s="17" t="s">
        <v>17246</v>
      </c>
      <c r="G9892" s="17"/>
      <c r="H9892" s="17" t="s">
        <v>20919</v>
      </c>
      <c r="I9892" s="17"/>
      <c r="J9892" s="17" t="s">
        <v>21313</v>
      </c>
      <c r="K9892" s="17"/>
      <c r="L9892" s="17" t="s">
        <v>21326</v>
      </c>
      <c r="M9892" s="17"/>
      <c r="N9892" s="17" t="s">
        <v>21577</v>
      </c>
      <c r="O9892" s="17"/>
      <c r="P9892" s="17" t="s">
        <v>44016</v>
      </c>
      <c r="Q9892" s="17"/>
      <c r="R9892" s="25" t="str">
        <f>HYPERLINK("https://ictv.global/taxonomy/taxondetails?taxnode_id=202316681","Sterodovirus geoadaptatum")</f>
        <v>Sterodovirus geoadaptatum</v>
      </c>
      <c r="S9892" s="18" t="s">
        <v>30</v>
      </c>
      <c r="T9892" s="18" t="s">
        <v>44017</v>
      </c>
      <c r="U9892" s="18"/>
      <c r="V9892" s="18"/>
      <c r="W9892" s="18" t="s">
        <v>44018</v>
      </c>
      <c r="X9892" s="18" t="s">
        <v>35</v>
      </c>
      <c r="Y9892" s="18" t="s">
        <v>17171</v>
      </c>
      <c r="Z9892" s="18" t="s">
        <v>24637</v>
      </c>
      <c r="AA9892" s="21" t="str">
        <f>HYPERLINK("https://www.ncbi.nlm.nih.gov/nuccore/CASDWV010004581","NCBI Nucleotide")</f>
        <v>NCBI Nucleotide</v>
      </c>
    </row>
    <row r="9893" spans="1:27" x14ac:dyDescent="0.35">
      <c r="A9893">
        <v>1026335</v>
      </c>
      <c r="B9893">
        <v>9218</v>
      </c>
      <c r="C9893">
        <v>1</v>
      </c>
      <c r="D9893" s="17" t="s">
        <v>17166</v>
      </c>
      <c r="E9893" s="17"/>
      <c r="F9893" s="17" t="s">
        <v>17246</v>
      </c>
      <c r="G9893" s="17"/>
      <c r="H9893" s="17" t="s">
        <v>20919</v>
      </c>
      <c r="I9893" s="17"/>
      <c r="J9893" s="17" t="s">
        <v>21313</v>
      </c>
      <c r="K9893" s="17"/>
      <c r="L9893" s="17" t="s">
        <v>21326</v>
      </c>
      <c r="M9893" s="17"/>
      <c r="N9893" s="17" t="s">
        <v>21577</v>
      </c>
      <c r="O9893" s="17"/>
      <c r="P9893" s="17" t="s">
        <v>44019</v>
      </c>
      <c r="Q9893" s="17"/>
      <c r="R9893" s="25" t="str">
        <f>HYPERLINK("https://ictv.global/taxonomy/taxondetails?taxnode_id=202316682","Stoartovirus segetadaptatum")</f>
        <v>Stoartovirus segetadaptatum</v>
      </c>
      <c r="S9893" s="18" t="s">
        <v>30</v>
      </c>
      <c r="T9893" s="18" t="s">
        <v>44020</v>
      </c>
      <c r="U9893" s="18"/>
      <c r="V9893" s="18"/>
      <c r="W9893" s="18" t="s">
        <v>44021</v>
      </c>
      <c r="X9893" s="18" t="s">
        <v>35</v>
      </c>
      <c r="Y9893" s="18" t="s">
        <v>17171</v>
      </c>
      <c r="Z9893" s="18" t="s">
        <v>24637</v>
      </c>
      <c r="AA9893" s="21" t="str">
        <f>HYPERLINK("https://www.ncbi.nlm.nih.gov/nuccore/CASDWV010003429","NCBI Nucleotide")</f>
        <v>NCBI Nucleotide</v>
      </c>
    </row>
    <row r="9894" spans="1:27" x14ac:dyDescent="0.35">
      <c r="A9894">
        <v>1026376</v>
      </c>
      <c r="B9894">
        <v>9219</v>
      </c>
      <c r="C9894">
        <v>1</v>
      </c>
      <c r="D9894" s="17" t="s">
        <v>17166</v>
      </c>
      <c r="E9894" s="17"/>
      <c r="F9894" s="17" t="s">
        <v>17246</v>
      </c>
      <c r="G9894" s="17"/>
      <c r="H9894" s="17" t="s">
        <v>20919</v>
      </c>
      <c r="I9894" s="17"/>
      <c r="J9894" s="17" t="s">
        <v>21313</v>
      </c>
      <c r="K9894" s="17"/>
      <c r="L9894" s="17" t="s">
        <v>21326</v>
      </c>
      <c r="M9894" s="17"/>
      <c r="N9894" s="17" t="s">
        <v>21577</v>
      </c>
      <c r="O9894" s="17"/>
      <c r="P9894" s="17" t="s">
        <v>44022</v>
      </c>
      <c r="Q9894" s="17"/>
      <c r="R9894" s="25" t="str">
        <f>HYPERLINK("https://ictv.global/taxonomy/taxondetails?taxnode_id=202316683","Stretavirus messadaptatum")</f>
        <v>Stretavirus messadaptatum</v>
      </c>
      <c r="S9894" s="18" t="s">
        <v>30</v>
      </c>
      <c r="T9894" s="18" t="s">
        <v>44023</v>
      </c>
      <c r="U9894" s="18"/>
      <c r="V9894" s="18"/>
      <c r="W9894" s="18" t="s">
        <v>44024</v>
      </c>
      <c r="X9894" s="18" t="s">
        <v>35</v>
      </c>
      <c r="Y9894" s="18" t="s">
        <v>17171</v>
      </c>
      <c r="Z9894" s="18" t="s">
        <v>24637</v>
      </c>
      <c r="AA9894" s="21" t="str">
        <f>HYPERLINK("https://www.ncbi.nlm.nih.gov/nuccore/CASDWV010003504","NCBI Nucleotide")</f>
        <v>NCBI Nucleotide</v>
      </c>
    </row>
    <row r="9895" spans="1:27" x14ac:dyDescent="0.35">
      <c r="A9895">
        <v>1026377</v>
      </c>
      <c r="B9895">
        <v>9220</v>
      </c>
      <c r="C9895">
        <v>1</v>
      </c>
      <c r="D9895" s="17" t="s">
        <v>17166</v>
      </c>
      <c r="E9895" s="17"/>
      <c r="F9895" s="17" t="s">
        <v>17246</v>
      </c>
      <c r="G9895" s="17"/>
      <c r="H9895" s="17" t="s">
        <v>20919</v>
      </c>
      <c r="I9895" s="17"/>
      <c r="J9895" s="17" t="s">
        <v>21313</v>
      </c>
      <c r="K9895" s="17"/>
      <c r="L9895" s="17" t="s">
        <v>21326</v>
      </c>
      <c r="M9895" s="17"/>
      <c r="N9895" s="17" t="s">
        <v>21577</v>
      </c>
      <c r="O9895" s="17"/>
      <c r="P9895" s="17" t="s">
        <v>44025</v>
      </c>
      <c r="Q9895" s="17"/>
      <c r="R9895" s="25" t="str">
        <f>HYPERLINK("https://ictv.global/taxonomy/taxondetails?taxnode_id=202316684","Stritovirus caenicola")</f>
        <v>Stritovirus caenicola</v>
      </c>
      <c r="S9895" s="18" t="s">
        <v>30</v>
      </c>
      <c r="T9895" s="18" t="s">
        <v>44026</v>
      </c>
      <c r="U9895" s="18"/>
      <c r="V9895" s="18"/>
      <c r="W9895" s="18" t="s">
        <v>44027</v>
      </c>
      <c r="X9895" s="18" t="s">
        <v>35</v>
      </c>
      <c r="Y9895" s="18" t="s">
        <v>17171</v>
      </c>
      <c r="Z9895" s="18" t="s">
        <v>24637</v>
      </c>
      <c r="AA9895" s="21" t="str">
        <f>HYPERLINK("https://www.ncbi.nlm.nih.gov/nuccore/CASDWV010001518","NCBI Nucleotide")</f>
        <v>NCBI Nucleotide</v>
      </c>
    </row>
    <row r="9896" spans="1:27" x14ac:dyDescent="0.35">
      <c r="A9896">
        <v>1026378</v>
      </c>
      <c r="B9896">
        <v>9221</v>
      </c>
      <c r="C9896">
        <v>1</v>
      </c>
      <c r="D9896" s="17" t="s">
        <v>17166</v>
      </c>
      <c r="E9896" s="17"/>
      <c r="F9896" s="17" t="s">
        <v>17246</v>
      </c>
      <c r="G9896" s="17"/>
      <c r="H9896" s="17" t="s">
        <v>20919</v>
      </c>
      <c r="I9896" s="17"/>
      <c r="J9896" s="17" t="s">
        <v>21313</v>
      </c>
      <c r="K9896" s="17"/>
      <c r="L9896" s="17" t="s">
        <v>21326</v>
      </c>
      <c r="M9896" s="17"/>
      <c r="N9896" s="17" t="s">
        <v>21577</v>
      </c>
      <c r="O9896" s="17"/>
      <c r="P9896" s="17" t="s">
        <v>44025</v>
      </c>
      <c r="Q9896" s="17"/>
      <c r="R9896" s="25" t="str">
        <f>HYPERLINK("https://ictv.global/taxonomy/taxondetails?taxnode_id=202316685","Stritovirus faecihabitans")</f>
        <v>Stritovirus faecihabitans</v>
      </c>
      <c r="S9896" s="18" t="s">
        <v>30</v>
      </c>
      <c r="T9896" s="18" t="s">
        <v>44028</v>
      </c>
      <c r="U9896" s="18"/>
      <c r="V9896" s="18" t="s">
        <v>44028</v>
      </c>
      <c r="W9896" s="18" t="s">
        <v>44029</v>
      </c>
      <c r="X9896" s="18" t="s">
        <v>35</v>
      </c>
      <c r="Y9896" s="18" t="s">
        <v>17171</v>
      </c>
      <c r="Z9896" s="18" t="s">
        <v>24637</v>
      </c>
      <c r="AA9896" s="21" t="str">
        <f>HYPERLINK("https://www.ncbi.nlm.nih.gov/nuccore/MZ679628","NCBI Nucleotide")</f>
        <v>NCBI Nucleotide</v>
      </c>
    </row>
    <row r="9897" spans="1:27" x14ac:dyDescent="0.35">
      <c r="A9897">
        <v>1026379</v>
      </c>
      <c r="B9897">
        <v>9222</v>
      </c>
      <c r="C9897">
        <v>1</v>
      </c>
      <c r="D9897" s="17" t="s">
        <v>17166</v>
      </c>
      <c r="E9897" s="17"/>
      <c r="F9897" s="17" t="s">
        <v>17246</v>
      </c>
      <c r="G9897" s="17"/>
      <c r="H9897" s="17" t="s">
        <v>20919</v>
      </c>
      <c r="I9897" s="17"/>
      <c r="J9897" s="17" t="s">
        <v>21313</v>
      </c>
      <c r="K9897" s="17"/>
      <c r="L9897" s="17" t="s">
        <v>21326</v>
      </c>
      <c r="M9897" s="17"/>
      <c r="N9897" s="17" t="s">
        <v>21577</v>
      </c>
      <c r="O9897" s="17"/>
      <c r="P9897" s="17" t="s">
        <v>44025</v>
      </c>
      <c r="Q9897" s="17"/>
      <c r="R9897" s="25" t="str">
        <f>HYPERLINK("https://ictv.global/taxonomy/taxondetails?taxnode_id=202316686","Stritovirus fundicola")</f>
        <v>Stritovirus fundicola</v>
      </c>
      <c r="S9897" s="18" t="s">
        <v>30</v>
      </c>
      <c r="T9897" s="18" t="s">
        <v>44030</v>
      </c>
      <c r="U9897" s="18"/>
      <c r="V9897" s="18" t="s">
        <v>43048</v>
      </c>
      <c r="W9897" s="18" t="s">
        <v>44031</v>
      </c>
      <c r="X9897" s="18" t="s">
        <v>35</v>
      </c>
      <c r="Y9897" s="18" t="s">
        <v>17171</v>
      </c>
      <c r="Z9897" s="18" t="s">
        <v>24637</v>
      </c>
      <c r="AA9897" s="21" t="str">
        <f>HYPERLINK("https://www.ncbi.nlm.nih.gov/nuccore/MZ679505","NCBI Nucleotide")</f>
        <v>NCBI Nucleotide</v>
      </c>
    </row>
    <row r="9898" spans="1:27" x14ac:dyDescent="0.35">
      <c r="A9898">
        <v>1026380</v>
      </c>
      <c r="B9898">
        <v>9223</v>
      </c>
      <c r="C9898">
        <v>1</v>
      </c>
      <c r="D9898" s="17" t="s">
        <v>17166</v>
      </c>
      <c r="E9898" s="17"/>
      <c r="F9898" s="17" t="s">
        <v>17246</v>
      </c>
      <c r="G9898" s="17"/>
      <c r="H9898" s="17" t="s">
        <v>20919</v>
      </c>
      <c r="I9898" s="17"/>
      <c r="J9898" s="17" t="s">
        <v>21313</v>
      </c>
      <c r="K9898" s="17"/>
      <c r="L9898" s="17" t="s">
        <v>21326</v>
      </c>
      <c r="M9898" s="17"/>
      <c r="N9898" s="17" t="s">
        <v>21577</v>
      </c>
      <c r="O9898" s="17"/>
      <c r="P9898" s="17" t="s">
        <v>44025</v>
      </c>
      <c r="Q9898" s="17"/>
      <c r="R9898" s="25" t="str">
        <f>HYPERLINK("https://ictv.global/taxonomy/taxondetails?taxnode_id=202316687","Stritovirus humivicinum")</f>
        <v>Stritovirus humivicinum</v>
      </c>
      <c r="S9898" s="18" t="s">
        <v>30</v>
      </c>
      <c r="T9898" s="18" t="s">
        <v>44032</v>
      </c>
      <c r="U9898" s="18"/>
      <c r="V9898" s="18"/>
      <c r="W9898" s="18" t="s">
        <v>44033</v>
      </c>
      <c r="X9898" s="18" t="s">
        <v>35</v>
      </c>
      <c r="Y9898" s="18" t="s">
        <v>17171</v>
      </c>
      <c r="Z9898" s="18" t="s">
        <v>24637</v>
      </c>
      <c r="AA9898" s="21" t="str">
        <f>HYPERLINK("https://www.ncbi.nlm.nih.gov/nuccore/CASDWV010002892","NCBI Nucleotide")</f>
        <v>NCBI Nucleotide</v>
      </c>
    </row>
    <row r="9899" spans="1:27" x14ac:dyDescent="0.35">
      <c r="A9899">
        <v>1026381</v>
      </c>
      <c r="B9899">
        <v>9224</v>
      </c>
      <c r="C9899">
        <v>1</v>
      </c>
      <c r="D9899" s="17" t="s">
        <v>17166</v>
      </c>
      <c r="E9899" s="17"/>
      <c r="F9899" s="17" t="s">
        <v>17246</v>
      </c>
      <c r="G9899" s="17"/>
      <c r="H9899" s="17" t="s">
        <v>20919</v>
      </c>
      <c r="I9899" s="17"/>
      <c r="J9899" s="17" t="s">
        <v>21313</v>
      </c>
      <c r="K9899" s="17"/>
      <c r="L9899" s="17" t="s">
        <v>21326</v>
      </c>
      <c r="M9899" s="17"/>
      <c r="N9899" s="17" t="s">
        <v>21577</v>
      </c>
      <c r="O9899" s="17"/>
      <c r="P9899" s="17" t="s">
        <v>44025</v>
      </c>
      <c r="Q9899" s="17"/>
      <c r="R9899" s="25" t="str">
        <f>HYPERLINK("https://ictv.global/taxonomy/taxondetails?taxnode_id=202316688","Stritovirus radicicola")</f>
        <v>Stritovirus radicicola</v>
      </c>
      <c r="S9899" s="18" t="s">
        <v>30</v>
      </c>
      <c r="T9899" s="18" t="s">
        <v>44034</v>
      </c>
      <c r="U9899" s="18"/>
      <c r="V9899" s="18"/>
      <c r="W9899" s="18" t="s">
        <v>44035</v>
      </c>
      <c r="X9899" s="18" t="s">
        <v>35</v>
      </c>
      <c r="Y9899" s="18" t="s">
        <v>17171</v>
      </c>
      <c r="Z9899" s="18" t="s">
        <v>24637</v>
      </c>
      <c r="AA9899" s="21" t="str">
        <f>HYPERLINK("https://www.ncbi.nlm.nih.gov/nuccore/CASDWV010000576","NCBI Nucleotide")</f>
        <v>NCBI Nucleotide</v>
      </c>
    </row>
    <row r="9900" spans="1:27" x14ac:dyDescent="0.35">
      <c r="A9900">
        <v>1026382</v>
      </c>
      <c r="B9900">
        <v>9225</v>
      </c>
      <c r="C9900">
        <v>1</v>
      </c>
      <c r="D9900" s="17" t="s">
        <v>17166</v>
      </c>
      <c r="E9900" s="17"/>
      <c r="F9900" s="17" t="s">
        <v>17246</v>
      </c>
      <c r="G9900" s="17"/>
      <c r="H9900" s="17" t="s">
        <v>20919</v>
      </c>
      <c r="I9900" s="17"/>
      <c r="J9900" s="17" t="s">
        <v>21313</v>
      </c>
      <c r="K9900" s="17"/>
      <c r="L9900" s="17" t="s">
        <v>21326</v>
      </c>
      <c r="M9900" s="17"/>
      <c r="N9900" s="17" t="s">
        <v>21577</v>
      </c>
      <c r="O9900" s="17"/>
      <c r="P9900" s="17" t="s">
        <v>44025</v>
      </c>
      <c r="Q9900" s="17"/>
      <c r="R9900" s="25" t="str">
        <f>HYPERLINK("https://ictv.global/taxonomy/taxondetails?taxnode_id=202316689","Stritovirus telluradaptatum")</f>
        <v>Stritovirus telluradaptatum</v>
      </c>
      <c r="S9900" s="18" t="s">
        <v>30</v>
      </c>
      <c r="T9900" s="18" t="s">
        <v>44036</v>
      </c>
      <c r="U9900" s="18"/>
      <c r="V9900" s="18"/>
      <c r="W9900" s="18" t="s">
        <v>44037</v>
      </c>
      <c r="X9900" s="18" t="s">
        <v>35</v>
      </c>
      <c r="Y9900" s="18" t="s">
        <v>17171</v>
      </c>
      <c r="Z9900" s="18" t="s">
        <v>24637</v>
      </c>
      <c r="AA9900" s="21" t="str">
        <f>HYPERLINK("https://www.ncbi.nlm.nih.gov/nuccore/CASDWV010002205","NCBI Nucleotide")</f>
        <v>NCBI Nucleotide</v>
      </c>
    </row>
    <row r="9901" spans="1:27" x14ac:dyDescent="0.35">
      <c r="A9901">
        <v>1026390</v>
      </c>
      <c r="B9901">
        <v>9226</v>
      </c>
      <c r="C9901">
        <v>1</v>
      </c>
      <c r="D9901" s="17" t="s">
        <v>17166</v>
      </c>
      <c r="E9901" s="17"/>
      <c r="F9901" s="17" t="s">
        <v>17246</v>
      </c>
      <c r="G9901" s="17"/>
      <c r="H9901" s="17" t="s">
        <v>20919</v>
      </c>
      <c r="I9901" s="17"/>
      <c r="J9901" s="17" t="s">
        <v>21313</v>
      </c>
      <c r="K9901" s="17"/>
      <c r="L9901" s="17" t="s">
        <v>21326</v>
      </c>
      <c r="M9901" s="17"/>
      <c r="N9901" s="17" t="s">
        <v>21577</v>
      </c>
      <c r="O9901" s="17"/>
      <c r="P9901" s="17" t="s">
        <v>44038</v>
      </c>
      <c r="Q9901" s="17"/>
      <c r="R9901" s="25" t="str">
        <f>HYPERLINK("https://ictv.global/taxonomy/taxondetails?taxnode_id=202316690","Suhtovirus chorovivens")</f>
        <v>Suhtovirus chorovivens</v>
      </c>
      <c r="S9901" s="18" t="s">
        <v>30</v>
      </c>
      <c r="T9901" s="18" t="s">
        <v>44039</v>
      </c>
      <c r="U9901" s="18"/>
      <c r="V9901" s="18"/>
      <c r="W9901" s="18" t="s">
        <v>44040</v>
      </c>
      <c r="X9901" s="18" t="s">
        <v>35</v>
      </c>
      <c r="Y9901" s="18" t="s">
        <v>17171</v>
      </c>
      <c r="Z9901" s="18" t="s">
        <v>24637</v>
      </c>
      <c r="AA9901" s="21" t="str">
        <f>HYPERLINK("https://www.ncbi.nlm.nih.gov/nuccore/CASDWV010003173","NCBI Nucleotide")</f>
        <v>NCBI Nucleotide</v>
      </c>
    </row>
    <row r="9902" spans="1:27" x14ac:dyDescent="0.35">
      <c r="A9902">
        <v>1009714</v>
      </c>
      <c r="B9902">
        <v>9227</v>
      </c>
      <c r="C9902">
        <v>1</v>
      </c>
      <c r="D9902" s="17" t="s">
        <v>17166</v>
      </c>
      <c r="E9902" s="17"/>
      <c r="F9902" s="17" t="s">
        <v>17246</v>
      </c>
      <c r="G9902" s="17"/>
      <c r="H9902" s="17" t="s">
        <v>20919</v>
      </c>
      <c r="I9902" s="17"/>
      <c r="J9902" s="17" t="s">
        <v>21313</v>
      </c>
      <c r="K9902" s="17"/>
      <c r="L9902" s="17" t="s">
        <v>21326</v>
      </c>
      <c r="M9902" s="17"/>
      <c r="N9902" s="17" t="s">
        <v>21577</v>
      </c>
      <c r="O9902" s="17"/>
      <c r="P9902" s="17" t="s">
        <v>22214</v>
      </c>
      <c r="Q9902" s="17"/>
      <c r="R9902" s="25" t="str">
        <f>HYPERLINK("https://ictv.global/taxonomy/taxondetails?taxnode_id=202310634","Swihdzovirus paludicola")</f>
        <v>Swihdzovirus paludicola</v>
      </c>
      <c r="S9902" s="18" t="s">
        <v>30</v>
      </c>
      <c r="T9902" s="18" t="s">
        <v>22215</v>
      </c>
      <c r="U9902" s="18"/>
      <c r="V9902" s="18"/>
      <c r="W9902" s="18" t="s">
        <v>22216</v>
      </c>
      <c r="X9902" s="18" t="s">
        <v>35</v>
      </c>
      <c r="Y9902" s="18" t="s">
        <v>17171</v>
      </c>
      <c r="Z9902" s="18" t="s">
        <v>697</v>
      </c>
      <c r="AA9902" s="21" t="str">
        <f>HYPERLINK("https://www.ncbi.nlm.nih.gov/nuccore/BK013382","NCBI Nucleotide")</f>
        <v>NCBI Nucleotide</v>
      </c>
    </row>
    <row r="9903" spans="1:27" x14ac:dyDescent="0.35">
      <c r="A9903">
        <v>1009715</v>
      </c>
      <c r="B9903">
        <v>9228</v>
      </c>
      <c r="C9903">
        <v>1</v>
      </c>
      <c r="D9903" s="17" t="s">
        <v>17166</v>
      </c>
      <c r="E9903" s="17"/>
      <c r="F9903" s="17" t="s">
        <v>17246</v>
      </c>
      <c r="G9903" s="17"/>
      <c r="H9903" s="17" t="s">
        <v>20919</v>
      </c>
      <c r="I9903" s="17"/>
      <c r="J9903" s="17" t="s">
        <v>21313</v>
      </c>
      <c r="K9903" s="17"/>
      <c r="L9903" s="17" t="s">
        <v>21326</v>
      </c>
      <c r="M9903" s="17"/>
      <c r="N9903" s="17" t="s">
        <v>21577</v>
      </c>
      <c r="O9903" s="17"/>
      <c r="P9903" s="17" t="s">
        <v>22217</v>
      </c>
      <c r="Q9903" s="17"/>
      <c r="R9903" s="25" t="str">
        <f>HYPERLINK("https://ictv.global/taxonomy/taxondetails?taxnode_id=202310636","Tahluvirus peladaptatum")</f>
        <v>Tahluvirus peladaptatum</v>
      </c>
      <c r="S9903" s="18" t="s">
        <v>30</v>
      </c>
      <c r="T9903" s="18" t="s">
        <v>22218</v>
      </c>
      <c r="U9903" s="18"/>
      <c r="V9903" s="18"/>
      <c r="W9903" s="18" t="s">
        <v>22219</v>
      </c>
      <c r="X9903" s="18" t="s">
        <v>35</v>
      </c>
      <c r="Y9903" s="18" t="s">
        <v>17171</v>
      </c>
      <c r="Z9903" s="18" t="s">
        <v>697</v>
      </c>
      <c r="AA9903" s="21" t="str">
        <f>HYPERLINK("https://www.ncbi.nlm.nih.gov/nuccore/BK013729","NCBI Nucleotide")</f>
        <v>NCBI Nucleotide</v>
      </c>
    </row>
    <row r="9904" spans="1:27" x14ac:dyDescent="0.35">
      <c r="A9904">
        <v>1009716</v>
      </c>
      <c r="B9904">
        <v>9229</v>
      </c>
      <c r="C9904">
        <v>1</v>
      </c>
      <c r="D9904" s="17" t="s">
        <v>17166</v>
      </c>
      <c r="E9904" s="17"/>
      <c r="F9904" s="17" t="s">
        <v>17246</v>
      </c>
      <c r="G9904" s="17"/>
      <c r="H9904" s="17" t="s">
        <v>20919</v>
      </c>
      <c r="I9904" s="17"/>
      <c r="J9904" s="17" t="s">
        <v>21313</v>
      </c>
      <c r="K9904" s="17"/>
      <c r="L9904" s="17" t="s">
        <v>21326</v>
      </c>
      <c r="M9904" s="17"/>
      <c r="N9904" s="17" t="s">
        <v>21577</v>
      </c>
      <c r="O9904" s="17"/>
      <c r="P9904" s="17" t="s">
        <v>22220</v>
      </c>
      <c r="Q9904" s="17"/>
      <c r="R9904" s="25" t="str">
        <f>HYPERLINK("https://ictv.global/taxonomy/taxondetails?taxnode_id=202310638","Tapikevirus pelocola")</f>
        <v>Tapikevirus pelocola</v>
      </c>
      <c r="S9904" s="18" t="s">
        <v>30</v>
      </c>
      <c r="T9904" s="18" t="s">
        <v>22221</v>
      </c>
      <c r="U9904" s="18"/>
      <c r="V9904" s="18"/>
      <c r="W9904" s="18" t="s">
        <v>22222</v>
      </c>
      <c r="X9904" s="18" t="s">
        <v>35</v>
      </c>
      <c r="Y9904" s="18" t="s">
        <v>17171</v>
      </c>
      <c r="Z9904" s="18" t="s">
        <v>697</v>
      </c>
      <c r="AA9904" s="21" t="str">
        <f>HYPERLINK("https://www.ncbi.nlm.nih.gov/nuccore/BK014103","NCBI Nucleotide")</f>
        <v>NCBI Nucleotide</v>
      </c>
    </row>
    <row r="9905" spans="1:27" x14ac:dyDescent="0.35">
      <c r="A9905">
        <v>1026386</v>
      </c>
      <c r="B9905">
        <v>9230</v>
      </c>
      <c r="C9905">
        <v>1</v>
      </c>
      <c r="D9905" s="17" t="s">
        <v>17166</v>
      </c>
      <c r="E9905" s="17"/>
      <c r="F9905" s="17" t="s">
        <v>17246</v>
      </c>
      <c r="G9905" s="17"/>
      <c r="H9905" s="17" t="s">
        <v>20919</v>
      </c>
      <c r="I9905" s="17"/>
      <c r="J9905" s="17" t="s">
        <v>21313</v>
      </c>
      <c r="K9905" s="17"/>
      <c r="L9905" s="17" t="s">
        <v>21326</v>
      </c>
      <c r="M9905" s="17"/>
      <c r="N9905" s="17" t="s">
        <v>21577</v>
      </c>
      <c r="O9905" s="17"/>
      <c r="P9905" s="17" t="s">
        <v>22220</v>
      </c>
      <c r="Q9905" s="17"/>
      <c r="R9905" s="25" t="str">
        <f>HYPERLINK("https://ictv.global/taxonomy/taxondetails?taxnode_id=202316691","Tapikevirus solicola")</f>
        <v>Tapikevirus solicola</v>
      </c>
      <c r="S9905" s="18" t="s">
        <v>30</v>
      </c>
      <c r="T9905" s="18" t="s">
        <v>44041</v>
      </c>
      <c r="U9905" s="18"/>
      <c r="V9905" s="18"/>
      <c r="W9905" s="18" t="s">
        <v>44042</v>
      </c>
      <c r="X9905" s="18" t="s">
        <v>35</v>
      </c>
      <c r="Y9905" s="18" t="s">
        <v>17171</v>
      </c>
      <c r="Z9905" s="18" t="s">
        <v>24637</v>
      </c>
      <c r="AA9905" s="21" t="str">
        <f>HYPERLINK("https://www.ncbi.nlm.nih.gov/nuccore/CASDWV010003801","NCBI Nucleotide")</f>
        <v>NCBI Nucleotide</v>
      </c>
    </row>
    <row r="9906" spans="1:27" x14ac:dyDescent="0.35">
      <c r="A9906">
        <v>1026387</v>
      </c>
      <c r="B9906">
        <v>9231</v>
      </c>
      <c r="C9906">
        <v>1</v>
      </c>
      <c r="D9906" s="17" t="s">
        <v>17166</v>
      </c>
      <c r="E9906" s="17"/>
      <c r="F9906" s="17" t="s">
        <v>17246</v>
      </c>
      <c r="G9906" s="17"/>
      <c r="H9906" s="17" t="s">
        <v>20919</v>
      </c>
      <c r="I9906" s="17"/>
      <c r="J9906" s="17" t="s">
        <v>21313</v>
      </c>
      <c r="K9906" s="17"/>
      <c r="L9906" s="17" t="s">
        <v>21326</v>
      </c>
      <c r="M9906" s="17"/>
      <c r="N9906" s="17" t="s">
        <v>21577</v>
      </c>
      <c r="O9906" s="17"/>
      <c r="P9906" s="17" t="s">
        <v>22220</v>
      </c>
      <c r="Q9906" s="17"/>
      <c r="R9906" s="25" t="str">
        <f>HYPERLINK("https://ictv.global/taxonomy/taxondetails?taxnode_id=202316692","Tapikevirus terrivivens")</f>
        <v>Tapikevirus terrivivens</v>
      </c>
      <c r="S9906" s="18" t="s">
        <v>30</v>
      </c>
      <c r="T9906" s="18" t="s">
        <v>44043</v>
      </c>
      <c r="U9906" s="18"/>
      <c r="V9906" s="18"/>
      <c r="W9906" s="18" t="s">
        <v>44044</v>
      </c>
      <c r="X9906" s="18" t="s">
        <v>35</v>
      </c>
      <c r="Y9906" s="18" t="s">
        <v>17171</v>
      </c>
      <c r="Z9906" s="18" t="s">
        <v>24637</v>
      </c>
      <c r="AA9906" s="21" t="str">
        <f>HYPERLINK("https://www.ncbi.nlm.nih.gov/nuccore/CASDWV010004181","NCBI Nucleotide")</f>
        <v>NCBI Nucleotide</v>
      </c>
    </row>
    <row r="9907" spans="1:27" x14ac:dyDescent="0.35">
      <c r="A9907">
        <v>1009717</v>
      </c>
      <c r="B9907">
        <v>9232</v>
      </c>
      <c r="C9907">
        <v>1</v>
      </c>
      <c r="D9907" s="17" t="s">
        <v>17166</v>
      </c>
      <c r="E9907" s="17"/>
      <c r="F9907" s="17" t="s">
        <v>17246</v>
      </c>
      <c r="G9907" s="17"/>
      <c r="H9907" s="17" t="s">
        <v>20919</v>
      </c>
      <c r="I9907" s="17"/>
      <c r="J9907" s="17" t="s">
        <v>21313</v>
      </c>
      <c r="K9907" s="17"/>
      <c r="L9907" s="17" t="s">
        <v>21326</v>
      </c>
      <c r="M9907" s="17"/>
      <c r="N9907" s="17" t="s">
        <v>21577</v>
      </c>
      <c r="O9907" s="17"/>
      <c r="P9907" s="17" t="s">
        <v>22223</v>
      </c>
      <c r="Q9907" s="17"/>
      <c r="R9907" s="25" t="str">
        <f>HYPERLINK("https://ictv.global/taxonomy/taxondetails?taxnode_id=202310640","Teciucevirus pelohabitans")</f>
        <v>Teciucevirus pelohabitans</v>
      </c>
      <c r="S9907" s="18" t="s">
        <v>30</v>
      </c>
      <c r="T9907" s="18" t="s">
        <v>22224</v>
      </c>
      <c r="U9907" s="18"/>
      <c r="V9907" s="18"/>
      <c r="W9907" s="18" t="s">
        <v>22225</v>
      </c>
      <c r="X9907" s="18" t="s">
        <v>35</v>
      </c>
      <c r="Y9907" s="18" t="s">
        <v>17171</v>
      </c>
      <c r="Z9907" s="18" t="s">
        <v>697</v>
      </c>
      <c r="AA9907" s="21" t="str">
        <f>HYPERLINK("https://www.ncbi.nlm.nih.gov/nuccore/BK013610","NCBI Nucleotide")</f>
        <v>NCBI Nucleotide</v>
      </c>
    </row>
    <row r="9908" spans="1:27" x14ac:dyDescent="0.35">
      <c r="A9908">
        <v>1026292</v>
      </c>
      <c r="B9908">
        <v>9233</v>
      </c>
      <c r="C9908">
        <v>1</v>
      </c>
      <c r="D9908" s="17" t="s">
        <v>17166</v>
      </c>
      <c r="E9908" s="17"/>
      <c r="F9908" s="17" t="s">
        <v>17246</v>
      </c>
      <c r="G9908" s="17"/>
      <c r="H9908" s="17" t="s">
        <v>20919</v>
      </c>
      <c r="I9908" s="17"/>
      <c r="J9908" s="17" t="s">
        <v>21313</v>
      </c>
      <c r="K9908" s="17"/>
      <c r="L9908" s="17" t="s">
        <v>21326</v>
      </c>
      <c r="M9908" s="17"/>
      <c r="N9908" s="17" t="s">
        <v>21577</v>
      </c>
      <c r="O9908" s="17"/>
      <c r="P9908" s="17" t="s">
        <v>22228</v>
      </c>
      <c r="Q9908" s="17"/>
      <c r="R9908" s="25" t="str">
        <f>HYPERLINK("https://ictv.global/taxonomy/taxondetails?taxnode_id=202316693","Tehnexuvirus chorovicinum")</f>
        <v>Tehnexuvirus chorovicinum</v>
      </c>
      <c r="S9908" s="18" t="s">
        <v>30</v>
      </c>
      <c r="T9908" s="18" t="s">
        <v>44045</v>
      </c>
      <c r="U9908" s="18"/>
      <c r="V9908" s="18"/>
      <c r="W9908" s="18" t="s">
        <v>44046</v>
      </c>
      <c r="X9908" s="18" t="s">
        <v>35</v>
      </c>
      <c r="Y9908" s="18" t="s">
        <v>17171</v>
      </c>
      <c r="Z9908" s="18" t="s">
        <v>24637</v>
      </c>
      <c r="AA9908" s="21" t="str">
        <f>HYPERLINK("https://www.ncbi.nlm.nih.gov/nuccore/CASDWV010003348","NCBI Nucleotide")</f>
        <v>NCBI Nucleotide</v>
      </c>
    </row>
    <row r="9909" spans="1:27" x14ac:dyDescent="0.35">
      <c r="A9909">
        <v>1026293</v>
      </c>
      <c r="B9909">
        <v>9234</v>
      </c>
      <c r="C9909">
        <v>1</v>
      </c>
      <c r="D9909" s="17" t="s">
        <v>17166</v>
      </c>
      <c r="E9909" s="17"/>
      <c r="F9909" s="17" t="s">
        <v>17246</v>
      </c>
      <c r="G9909" s="17"/>
      <c r="H9909" s="17" t="s">
        <v>20919</v>
      </c>
      <c r="I9909" s="17"/>
      <c r="J9909" s="17" t="s">
        <v>21313</v>
      </c>
      <c r="K9909" s="17"/>
      <c r="L9909" s="17" t="s">
        <v>21326</v>
      </c>
      <c r="M9909" s="17"/>
      <c r="N9909" s="17" t="s">
        <v>21577</v>
      </c>
      <c r="O9909" s="17"/>
      <c r="P9909" s="17" t="s">
        <v>22228</v>
      </c>
      <c r="Q9909" s="17"/>
      <c r="R9909" s="25" t="str">
        <f>HYPERLINK("https://ictv.global/taxonomy/taxondetails?taxnode_id=202316694","Tehnexuvirus chthonohabitans")</f>
        <v>Tehnexuvirus chthonohabitans</v>
      </c>
      <c r="S9909" s="18" t="s">
        <v>30</v>
      </c>
      <c r="T9909" s="18" t="s">
        <v>44047</v>
      </c>
      <c r="U9909" s="18"/>
      <c r="V9909" s="18"/>
      <c r="W9909" s="18" t="s">
        <v>44048</v>
      </c>
      <c r="X9909" s="18" t="s">
        <v>35</v>
      </c>
      <c r="Y9909" s="18" t="s">
        <v>17171</v>
      </c>
      <c r="Z9909" s="18" t="s">
        <v>24637</v>
      </c>
      <c r="AA9909" s="21" t="str">
        <f>HYPERLINK("https://www.ncbi.nlm.nih.gov/nuccore/CASDWV010004292","NCBI Nucleotide")</f>
        <v>NCBI Nucleotide</v>
      </c>
    </row>
    <row r="9910" spans="1:27" x14ac:dyDescent="0.35">
      <c r="A9910">
        <v>1009719</v>
      </c>
      <c r="B9910">
        <v>9235</v>
      </c>
      <c r="C9910">
        <v>1</v>
      </c>
      <c r="D9910" s="17" t="s">
        <v>17166</v>
      </c>
      <c r="E9910" s="17"/>
      <c r="F9910" s="17" t="s">
        <v>17246</v>
      </c>
      <c r="G9910" s="17"/>
      <c r="H9910" s="17" t="s">
        <v>20919</v>
      </c>
      <c r="I9910" s="17"/>
      <c r="J9910" s="17" t="s">
        <v>21313</v>
      </c>
      <c r="K9910" s="17"/>
      <c r="L9910" s="17" t="s">
        <v>21326</v>
      </c>
      <c r="M9910" s="17"/>
      <c r="N9910" s="17" t="s">
        <v>21577</v>
      </c>
      <c r="O9910" s="17"/>
      <c r="P9910" s="17" t="s">
        <v>22228</v>
      </c>
      <c r="Q9910" s="17"/>
      <c r="R9910" s="25" t="str">
        <f>HYPERLINK("https://ictv.global/taxonomy/taxondetails?taxnode_id=202310644","Tehnexuvirus edaphadaptatum")</f>
        <v>Tehnexuvirus edaphadaptatum</v>
      </c>
      <c r="S9910" s="18" t="s">
        <v>30</v>
      </c>
      <c r="T9910" s="18" t="s">
        <v>22229</v>
      </c>
      <c r="U9910" s="18"/>
      <c r="V9910" s="18"/>
      <c r="W9910" s="18" t="s">
        <v>22230</v>
      </c>
      <c r="X9910" s="18" t="s">
        <v>35</v>
      </c>
      <c r="Y9910" s="18" t="s">
        <v>17171</v>
      </c>
      <c r="Z9910" s="18" t="s">
        <v>697</v>
      </c>
      <c r="AA9910" s="21" t="str">
        <f>HYPERLINK("https://www.ncbi.nlm.nih.gov/nuccore/BK013390","NCBI Nucleotide")</f>
        <v>NCBI Nucleotide</v>
      </c>
    </row>
    <row r="9911" spans="1:27" x14ac:dyDescent="0.35">
      <c r="A9911">
        <v>1026294</v>
      </c>
      <c r="B9911">
        <v>9236</v>
      </c>
      <c r="C9911">
        <v>1</v>
      </c>
      <c r="D9911" s="17" t="s">
        <v>17166</v>
      </c>
      <c r="E9911" s="17"/>
      <c r="F9911" s="17" t="s">
        <v>17246</v>
      </c>
      <c r="G9911" s="17"/>
      <c r="H9911" s="17" t="s">
        <v>20919</v>
      </c>
      <c r="I9911" s="17"/>
      <c r="J9911" s="17" t="s">
        <v>21313</v>
      </c>
      <c r="K9911" s="17"/>
      <c r="L9911" s="17" t="s">
        <v>21326</v>
      </c>
      <c r="M9911" s="17"/>
      <c r="N9911" s="17" t="s">
        <v>21577</v>
      </c>
      <c r="O9911" s="17"/>
      <c r="P9911" s="17" t="s">
        <v>22228</v>
      </c>
      <c r="Q9911" s="17"/>
      <c r="R9911" s="25" t="str">
        <f>HYPERLINK("https://ictv.global/taxonomy/taxondetails?taxnode_id=202316695","Tehnexuvirus segetivivens")</f>
        <v>Tehnexuvirus segetivivens</v>
      </c>
      <c r="S9911" s="18" t="s">
        <v>30</v>
      </c>
      <c r="T9911" s="18" t="s">
        <v>44049</v>
      </c>
      <c r="U9911" s="18"/>
      <c r="V9911" s="18"/>
      <c r="W9911" s="18" t="s">
        <v>44050</v>
      </c>
      <c r="X9911" s="18" t="s">
        <v>35</v>
      </c>
      <c r="Y9911" s="18" t="s">
        <v>17171</v>
      </c>
      <c r="Z9911" s="18" t="s">
        <v>24637</v>
      </c>
      <c r="AA9911" s="21" t="str">
        <f>HYPERLINK("https://www.ncbi.nlm.nih.gov/nuccore/CASDWV010002816","NCBI Nucleotide")</f>
        <v>NCBI Nucleotide</v>
      </c>
    </row>
    <row r="9912" spans="1:27" x14ac:dyDescent="0.35">
      <c r="A9912">
        <v>1026295</v>
      </c>
      <c r="B9912">
        <v>9237</v>
      </c>
      <c r="C9912">
        <v>1</v>
      </c>
      <c r="D9912" s="17" t="s">
        <v>17166</v>
      </c>
      <c r="E9912" s="17"/>
      <c r="F9912" s="17" t="s">
        <v>17246</v>
      </c>
      <c r="G9912" s="17"/>
      <c r="H9912" s="17" t="s">
        <v>20919</v>
      </c>
      <c r="I9912" s="17"/>
      <c r="J9912" s="17" t="s">
        <v>21313</v>
      </c>
      <c r="K9912" s="17"/>
      <c r="L9912" s="17" t="s">
        <v>21326</v>
      </c>
      <c r="M9912" s="17"/>
      <c r="N9912" s="17" t="s">
        <v>21577</v>
      </c>
      <c r="O9912" s="17"/>
      <c r="P9912" s="17" t="s">
        <v>22228</v>
      </c>
      <c r="Q9912" s="17"/>
      <c r="R9912" s="25" t="str">
        <f>HYPERLINK("https://ictv.global/taxonomy/taxondetails?taxnode_id=202316696","Tehnexuvirus solenecus")</f>
        <v>Tehnexuvirus solenecus</v>
      </c>
      <c r="S9912" s="18" t="s">
        <v>30</v>
      </c>
      <c r="T9912" s="18" t="s">
        <v>44051</v>
      </c>
      <c r="U9912" s="18"/>
      <c r="V9912" s="18"/>
      <c r="W9912" s="18" t="s">
        <v>44052</v>
      </c>
      <c r="X9912" s="18" t="s">
        <v>35</v>
      </c>
      <c r="Y9912" s="18" t="s">
        <v>17171</v>
      </c>
      <c r="Z9912" s="18" t="s">
        <v>24637</v>
      </c>
      <c r="AA9912" s="21" t="str">
        <f>HYPERLINK("https://www.ncbi.nlm.nih.gov/nuccore/CASDWV010001165","NCBI Nucleotide")</f>
        <v>NCBI Nucleotide</v>
      </c>
    </row>
    <row r="9913" spans="1:27" x14ac:dyDescent="0.35">
      <c r="A9913">
        <v>1026306</v>
      </c>
      <c r="B9913">
        <v>9238</v>
      </c>
      <c r="C9913">
        <v>1</v>
      </c>
      <c r="D9913" s="17" t="s">
        <v>17166</v>
      </c>
      <c r="E9913" s="17"/>
      <c r="F9913" s="17" t="s">
        <v>17246</v>
      </c>
      <c r="G9913" s="17"/>
      <c r="H9913" s="17" t="s">
        <v>20919</v>
      </c>
      <c r="I9913" s="17"/>
      <c r="J9913" s="17" t="s">
        <v>21313</v>
      </c>
      <c r="K9913" s="17"/>
      <c r="L9913" s="17" t="s">
        <v>21326</v>
      </c>
      <c r="M9913" s="17"/>
      <c r="N9913" s="17" t="s">
        <v>21577</v>
      </c>
      <c r="O9913" s="17"/>
      <c r="P9913" s="17" t="s">
        <v>44053</v>
      </c>
      <c r="Q9913" s="17"/>
      <c r="R9913" s="25" t="str">
        <f>HYPERLINK("https://ictv.global/taxonomy/taxondetails?taxnode_id=202316697","Temblevirus agrivivens")</f>
        <v>Temblevirus agrivivens</v>
      </c>
      <c r="S9913" s="18" t="s">
        <v>30</v>
      </c>
      <c r="T9913" s="18" t="s">
        <v>44054</v>
      </c>
      <c r="U9913" s="18"/>
      <c r="V9913" s="18"/>
      <c r="W9913" s="18" t="s">
        <v>44055</v>
      </c>
      <c r="X9913" s="18" t="s">
        <v>35</v>
      </c>
      <c r="Y9913" s="18" t="s">
        <v>17171</v>
      </c>
      <c r="Z9913" s="18" t="s">
        <v>24637</v>
      </c>
      <c r="AA9913" s="21" t="str">
        <f>HYPERLINK("https://www.ncbi.nlm.nih.gov/nuccore/CASDWV010000425","NCBI Nucleotide")</f>
        <v>NCBI Nucleotide</v>
      </c>
    </row>
    <row r="9914" spans="1:27" x14ac:dyDescent="0.35">
      <c r="A9914">
        <v>1026307</v>
      </c>
      <c r="B9914">
        <v>9239</v>
      </c>
      <c r="C9914">
        <v>1</v>
      </c>
      <c r="D9914" s="17" t="s">
        <v>17166</v>
      </c>
      <c r="E9914" s="17"/>
      <c r="F9914" s="17" t="s">
        <v>17246</v>
      </c>
      <c r="G9914" s="17"/>
      <c r="H9914" s="17" t="s">
        <v>20919</v>
      </c>
      <c r="I9914" s="17"/>
      <c r="J9914" s="17" t="s">
        <v>21313</v>
      </c>
      <c r="K9914" s="17"/>
      <c r="L9914" s="17" t="s">
        <v>21326</v>
      </c>
      <c r="M9914" s="17"/>
      <c r="N9914" s="17" t="s">
        <v>21577</v>
      </c>
      <c r="O9914" s="17"/>
      <c r="P9914" s="17" t="s">
        <v>44053</v>
      </c>
      <c r="Q9914" s="17"/>
      <c r="R9914" s="25" t="str">
        <f>HYPERLINK("https://ictv.global/taxonomy/taxondetails?taxnode_id=202316698","Temblevirus asiadaptatum")</f>
        <v>Temblevirus asiadaptatum</v>
      </c>
      <c r="S9914" s="18" t="s">
        <v>30</v>
      </c>
      <c r="T9914" s="18" t="s">
        <v>44056</v>
      </c>
      <c r="U9914" s="18"/>
      <c r="V9914" s="18"/>
      <c r="W9914" s="18" t="s">
        <v>44057</v>
      </c>
      <c r="X9914" s="18" t="s">
        <v>35</v>
      </c>
      <c r="Y9914" s="18" t="s">
        <v>17171</v>
      </c>
      <c r="Z9914" s="18" t="s">
        <v>24637</v>
      </c>
      <c r="AA9914" s="21" t="str">
        <f>HYPERLINK("https://www.ncbi.nlm.nih.gov/nuccore/CASDWV010003442","NCBI Nucleotide")</f>
        <v>NCBI Nucleotide</v>
      </c>
    </row>
    <row r="9915" spans="1:27" x14ac:dyDescent="0.35">
      <c r="A9915">
        <v>1026308</v>
      </c>
      <c r="B9915">
        <v>9240</v>
      </c>
      <c r="C9915">
        <v>1</v>
      </c>
      <c r="D9915" s="17" t="s">
        <v>17166</v>
      </c>
      <c r="E9915" s="17"/>
      <c r="F9915" s="17" t="s">
        <v>17246</v>
      </c>
      <c r="G9915" s="17"/>
      <c r="H9915" s="17" t="s">
        <v>20919</v>
      </c>
      <c r="I9915" s="17"/>
      <c r="J9915" s="17" t="s">
        <v>21313</v>
      </c>
      <c r="K9915" s="17"/>
      <c r="L9915" s="17" t="s">
        <v>21326</v>
      </c>
      <c r="M9915" s="17"/>
      <c r="N9915" s="17" t="s">
        <v>21577</v>
      </c>
      <c r="O9915" s="17"/>
      <c r="P9915" s="17" t="s">
        <v>44053</v>
      </c>
      <c r="Q9915" s="17"/>
      <c r="R9915" s="25" t="str">
        <f>HYPERLINK("https://ictv.global/taxonomy/taxondetails?taxnode_id=202316699","Temblevirus edaphohabitans")</f>
        <v>Temblevirus edaphohabitans</v>
      </c>
      <c r="S9915" s="18" t="s">
        <v>30</v>
      </c>
      <c r="T9915" s="18" t="s">
        <v>44058</v>
      </c>
      <c r="U9915" s="18"/>
      <c r="V9915" s="18"/>
      <c r="W9915" s="18" t="s">
        <v>44059</v>
      </c>
      <c r="X9915" s="18" t="s">
        <v>35</v>
      </c>
      <c r="Y9915" s="18" t="s">
        <v>17171</v>
      </c>
      <c r="Z9915" s="18" t="s">
        <v>24637</v>
      </c>
      <c r="AA9915" s="21" t="str">
        <f>HYPERLINK("https://www.ncbi.nlm.nih.gov/nuccore/CASDWV010003554","NCBI Nucleotide")</f>
        <v>NCBI Nucleotide</v>
      </c>
    </row>
    <row r="9916" spans="1:27" x14ac:dyDescent="0.35">
      <c r="A9916">
        <v>1026309</v>
      </c>
      <c r="B9916">
        <v>9241</v>
      </c>
      <c r="C9916">
        <v>1</v>
      </c>
      <c r="D9916" s="17" t="s">
        <v>17166</v>
      </c>
      <c r="E9916" s="17"/>
      <c r="F9916" s="17" t="s">
        <v>17246</v>
      </c>
      <c r="G9916" s="17"/>
      <c r="H9916" s="17" t="s">
        <v>20919</v>
      </c>
      <c r="I9916" s="17"/>
      <c r="J9916" s="17" t="s">
        <v>21313</v>
      </c>
      <c r="K9916" s="17"/>
      <c r="L9916" s="17" t="s">
        <v>21326</v>
      </c>
      <c r="M9916" s="17"/>
      <c r="N9916" s="17" t="s">
        <v>21577</v>
      </c>
      <c r="O9916" s="17"/>
      <c r="P9916" s="17" t="s">
        <v>44053</v>
      </c>
      <c r="Q9916" s="17"/>
      <c r="R9916" s="25" t="str">
        <f>HYPERLINK("https://ictv.global/taxonomy/taxondetails?taxnode_id=202316700","Temblevirus lutadaptatum")</f>
        <v>Temblevirus lutadaptatum</v>
      </c>
      <c r="S9916" s="18" t="s">
        <v>30</v>
      </c>
      <c r="T9916" s="18" t="s">
        <v>44060</v>
      </c>
      <c r="U9916" s="18"/>
      <c r="V9916" s="18"/>
      <c r="W9916" s="18" t="s">
        <v>44061</v>
      </c>
      <c r="X9916" s="18" t="s">
        <v>35</v>
      </c>
      <c r="Y9916" s="18" t="s">
        <v>17171</v>
      </c>
      <c r="Z9916" s="18" t="s">
        <v>24637</v>
      </c>
      <c r="AA9916" s="21" t="str">
        <f>HYPERLINK("https://www.ncbi.nlm.nih.gov/nuccore/CASDWV010005015","NCBI Nucleotide")</f>
        <v>NCBI Nucleotide</v>
      </c>
    </row>
    <row r="9917" spans="1:27" x14ac:dyDescent="0.35">
      <c r="A9917">
        <v>1026310</v>
      </c>
      <c r="B9917">
        <v>9242</v>
      </c>
      <c r="C9917">
        <v>1</v>
      </c>
      <c r="D9917" s="17" t="s">
        <v>17166</v>
      </c>
      <c r="E9917" s="17"/>
      <c r="F9917" s="17" t="s">
        <v>17246</v>
      </c>
      <c r="G9917" s="17"/>
      <c r="H9917" s="17" t="s">
        <v>20919</v>
      </c>
      <c r="I9917" s="17"/>
      <c r="J9917" s="17" t="s">
        <v>21313</v>
      </c>
      <c r="K9917" s="17"/>
      <c r="L9917" s="17" t="s">
        <v>21326</v>
      </c>
      <c r="M9917" s="17"/>
      <c r="N9917" s="17" t="s">
        <v>21577</v>
      </c>
      <c r="O9917" s="17"/>
      <c r="P9917" s="17" t="s">
        <v>44062</v>
      </c>
      <c r="Q9917" s="17"/>
      <c r="R9917" s="25" t="str">
        <f>HYPERLINK("https://ictv.global/taxonomy/taxondetails?taxnode_id=202316701","Templevirus tellurivivens")</f>
        <v>Templevirus tellurivivens</v>
      </c>
      <c r="S9917" s="18" t="s">
        <v>30</v>
      </c>
      <c r="T9917" s="18" t="s">
        <v>44063</v>
      </c>
      <c r="U9917" s="18"/>
      <c r="V9917" s="18"/>
      <c r="W9917" s="18" t="s">
        <v>44064</v>
      </c>
      <c r="X9917" s="18" t="s">
        <v>35</v>
      </c>
      <c r="Y9917" s="18" t="s">
        <v>17171</v>
      </c>
      <c r="Z9917" s="18" t="s">
        <v>24637</v>
      </c>
      <c r="AA9917" s="21" t="str">
        <f>HYPERLINK("https://www.ncbi.nlm.nih.gov/nuccore/CASDWV010003844","NCBI Nucleotide")</f>
        <v>NCBI Nucleotide</v>
      </c>
    </row>
    <row r="9918" spans="1:27" x14ac:dyDescent="0.35">
      <c r="A9918">
        <v>1026311</v>
      </c>
      <c r="B9918">
        <v>9243</v>
      </c>
      <c r="C9918">
        <v>1</v>
      </c>
      <c r="D9918" s="17" t="s">
        <v>17166</v>
      </c>
      <c r="E9918" s="17"/>
      <c r="F9918" s="17" t="s">
        <v>17246</v>
      </c>
      <c r="G9918" s="17"/>
      <c r="H9918" s="17" t="s">
        <v>20919</v>
      </c>
      <c r="I9918" s="17"/>
      <c r="J9918" s="17" t="s">
        <v>21313</v>
      </c>
      <c r="K9918" s="17"/>
      <c r="L9918" s="17" t="s">
        <v>21326</v>
      </c>
      <c r="M9918" s="17"/>
      <c r="N9918" s="17" t="s">
        <v>21577</v>
      </c>
      <c r="O9918" s="17"/>
      <c r="P9918" s="17" t="s">
        <v>44065</v>
      </c>
      <c r="Q9918" s="17"/>
      <c r="R9918" s="25" t="str">
        <f>HYPERLINK("https://ictv.global/taxonomy/taxondetails?taxnode_id=202316702","Templovirus agradaptatum")</f>
        <v>Templovirus agradaptatum</v>
      </c>
      <c r="S9918" s="18" t="s">
        <v>30</v>
      </c>
      <c r="T9918" s="18" t="s">
        <v>44066</v>
      </c>
      <c r="U9918" s="18"/>
      <c r="V9918" s="18"/>
      <c r="W9918" s="18" t="s">
        <v>44067</v>
      </c>
      <c r="X9918" s="18" t="s">
        <v>35</v>
      </c>
      <c r="Y9918" s="18" t="s">
        <v>17171</v>
      </c>
      <c r="Z9918" s="18" t="s">
        <v>24637</v>
      </c>
      <c r="AA9918" s="21" t="str">
        <f>HYPERLINK("https://www.ncbi.nlm.nih.gov/nuccore/CASDWV010001768","NCBI Nucleotide")</f>
        <v>NCBI Nucleotide</v>
      </c>
    </row>
    <row r="9919" spans="1:27" x14ac:dyDescent="0.35">
      <c r="A9919">
        <v>1009737</v>
      </c>
      <c r="B9919">
        <v>9244</v>
      </c>
      <c r="C9919">
        <v>1</v>
      </c>
      <c r="D9919" s="17" t="s">
        <v>17166</v>
      </c>
      <c r="E9919" s="17"/>
      <c r="F9919" s="17" t="s">
        <v>17246</v>
      </c>
      <c r="G9919" s="17"/>
      <c r="H9919" s="17" t="s">
        <v>20919</v>
      </c>
      <c r="I9919" s="17"/>
      <c r="J9919" s="17" t="s">
        <v>21313</v>
      </c>
      <c r="K9919" s="17"/>
      <c r="L9919" s="17" t="s">
        <v>21326</v>
      </c>
      <c r="M9919" s="17"/>
      <c r="N9919" s="17" t="s">
        <v>21577</v>
      </c>
      <c r="O9919" s="17"/>
      <c r="P9919" s="17" t="s">
        <v>44068</v>
      </c>
      <c r="Q9919" s="17"/>
      <c r="R9919" s="25" t="str">
        <f>HYPERLINK("https://ictv.global/taxonomy/taxondetails?taxnode_id=202310674","Tenwovirus luticola")</f>
        <v>Tenwovirus luticola</v>
      </c>
      <c r="S9919" s="18" t="s">
        <v>30</v>
      </c>
      <c r="T9919" s="18" t="s">
        <v>22272</v>
      </c>
      <c r="U9919" s="18"/>
      <c r="V9919" s="18"/>
      <c r="W9919" s="18" t="s">
        <v>22273</v>
      </c>
      <c r="X9919" s="18" t="s">
        <v>35</v>
      </c>
      <c r="Y9919" s="18" t="s">
        <v>17171</v>
      </c>
      <c r="Z9919" s="18" t="s">
        <v>697</v>
      </c>
      <c r="AA9919" s="21" t="str">
        <f>HYPERLINK("https://www.ncbi.nlm.nih.gov/nuccore/BK013645","NCBI Nucleotide")</f>
        <v>NCBI Nucleotide</v>
      </c>
    </row>
    <row r="9920" spans="1:27" x14ac:dyDescent="0.35">
      <c r="A9920">
        <v>1009520</v>
      </c>
      <c r="B9920">
        <v>9245</v>
      </c>
      <c r="C9920">
        <v>1</v>
      </c>
      <c r="D9920" s="17" t="s">
        <v>17166</v>
      </c>
      <c r="E9920" s="17"/>
      <c r="F9920" s="17" t="s">
        <v>17246</v>
      </c>
      <c r="G9920" s="17"/>
      <c r="H9920" s="17" t="s">
        <v>20919</v>
      </c>
      <c r="I9920" s="17"/>
      <c r="J9920" s="17" t="s">
        <v>21313</v>
      </c>
      <c r="K9920" s="17"/>
      <c r="L9920" s="17" t="s">
        <v>21326</v>
      </c>
      <c r="M9920" s="17"/>
      <c r="N9920" s="17" t="s">
        <v>21577</v>
      </c>
      <c r="O9920" s="17"/>
      <c r="P9920" s="17" t="s">
        <v>44068</v>
      </c>
      <c r="Q9920" s="17"/>
      <c r="R9920" s="25" t="str">
        <f>HYPERLINK("https://ictv.global/taxonomy/taxondetails?taxnode_id=202310323","Tenwovirus pelohabitans")</f>
        <v>Tenwovirus pelohabitans</v>
      </c>
      <c r="S9920" s="18" t="s">
        <v>30</v>
      </c>
      <c r="T9920" s="18" t="s">
        <v>21740</v>
      </c>
      <c r="U9920" s="18"/>
      <c r="V9920" s="18"/>
      <c r="W9920" s="18" t="s">
        <v>21741</v>
      </c>
      <c r="X9920" s="18" t="s">
        <v>35</v>
      </c>
      <c r="Y9920" s="18" t="s">
        <v>17171</v>
      </c>
      <c r="Z9920" s="18" t="s">
        <v>697</v>
      </c>
      <c r="AA9920" s="21" t="str">
        <f>HYPERLINK("https://www.ncbi.nlm.nih.gov/nuccore/BK014067","NCBI Nucleotide")</f>
        <v>NCBI Nucleotide</v>
      </c>
    </row>
    <row r="9921" spans="1:27" x14ac:dyDescent="0.35">
      <c r="A9921">
        <v>1009721</v>
      </c>
      <c r="B9921">
        <v>9246</v>
      </c>
      <c r="C9921">
        <v>1</v>
      </c>
      <c r="D9921" s="17" t="s">
        <v>17166</v>
      </c>
      <c r="E9921" s="17"/>
      <c r="F9921" s="17" t="s">
        <v>17246</v>
      </c>
      <c r="G9921" s="17"/>
      <c r="H9921" s="17" t="s">
        <v>20919</v>
      </c>
      <c r="I9921" s="17"/>
      <c r="J9921" s="17" t="s">
        <v>21313</v>
      </c>
      <c r="K9921" s="17"/>
      <c r="L9921" s="17" t="s">
        <v>21326</v>
      </c>
      <c r="M9921" s="17"/>
      <c r="N9921" s="17" t="s">
        <v>21577</v>
      </c>
      <c r="O9921" s="17"/>
      <c r="P9921" s="17" t="s">
        <v>22231</v>
      </c>
      <c r="Q9921" s="17"/>
      <c r="R9921" s="25" t="str">
        <f>HYPERLINK("https://ictv.global/taxonomy/taxondetails?taxnode_id=202310648","Thiwvovirus asienecus")</f>
        <v>Thiwvovirus asienecus</v>
      </c>
      <c r="S9921" s="18" t="s">
        <v>30</v>
      </c>
      <c r="T9921" s="18" t="s">
        <v>22232</v>
      </c>
      <c r="U9921" s="18"/>
      <c r="V9921" s="18"/>
      <c r="W9921" s="18" t="s">
        <v>22233</v>
      </c>
      <c r="X9921" s="18" t="s">
        <v>35</v>
      </c>
      <c r="Y9921" s="18" t="s">
        <v>17171</v>
      </c>
      <c r="Z9921" s="18" t="s">
        <v>697</v>
      </c>
      <c r="AA9921" s="21" t="str">
        <f>HYPERLINK("https://www.ncbi.nlm.nih.gov/nuccore/BK013649","NCBI Nucleotide")</f>
        <v>NCBI Nucleotide</v>
      </c>
    </row>
    <row r="9922" spans="1:27" x14ac:dyDescent="0.35">
      <c r="A9922">
        <v>1009722</v>
      </c>
      <c r="B9922">
        <v>9247</v>
      </c>
      <c r="C9922">
        <v>1</v>
      </c>
      <c r="D9922" s="17" t="s">
        <v>17166</v>
      </c>
      <c r="E9922" s="17"/>
      <c r="F9922" s="17" t="s">
        <v>17246</v>
      </c>
      <c r="G9922" s="17"/>
      <c r="H9922" s="17" t="s">
        <v>20919</v>
      </c>
      <c r="I9922" s="17"/>
      <c r="J9922" s="17" t="s">
        <v>21313</v>
      </c>
      <c r="K9922" s="17"/>
      <c r="L9922" s="17" t="s">
        <v>21326</v>
      </c>
      <c r="M9922" s="17"/>
      <c r="N9922" s="17" t="s">
        <v>21577</v>
      </c>
      <c r="O9922" s="17"/>
      <c r="P9922" s="17" t="s">
        <v>22234</v>
      </c>
      <c r="Q9922" s="17"/>
      <c r="R9922" s="25" t="str">
        <f>HYPERLINK("https://ictv.global/taxonomy/taxondetails?taxnode_id=202310650","Thiyevirus asiocola")</f>
        <v>Thiyevirus asiocola</v>
      </c>
      <c r="S9922" s="18" t="s">
        <v>30</v>
      </c>
      <c r="T9922" s="18" t="s">
        <v>22235</v>
      </c>
      <c r="U9922" s="18"/>
      <c r="V9922" s="18"/>
      <c r="W9922" s="18" t="s">
        <v>22236</v>
      </c>
      <c r="X9922" s="18" t="s">
        <v>35</v>
      </c>
      <c r="Y9922" s="18" t="s">
        <v>17171</v>
      </c>
      <c r="Z9922" s="18" t="s">
        <v>697</v>
      </c>
      <c r="AA9922" s="21" t="str">
        <f>HYPERLINK("https://www.ncbi.nlm.nih.gov/nuccore/BK013683","NCBI Nucleotide")</f>
        <v>NCBI Nucleotide</v>
      </c>
    </row>
    <row r="9923" spans="1:27" x14ac:dyDescent="0.35">
      <c r="A9923">
        <v>1009723</v>
      </c>
      <c r="B9923">
        <v>9248</v>
      </c>
      <c r="C9923">
        <v>1</v>
      </c>
      <c r="D9923" s="17" t="s">
        <v>17166</v>
      </c>
      <c r="E9923" s="17"/>
      <c r="F9923" s="17" t="s">
        <v>17246</v>
      </c>
      <c r="G9923" s="17"/>
      <c r="H9923" s="17" t="s">
        <v>20919</v>
      </c>
      <c r="I9923" s="17"/>
      <c r="J9923" s="17" t="s">
        <v>21313</v>
      </c>
      <c r="K9923" s="17"/>
      <c r="L9923" s="17" t="s">
        <v>21326</v>
      </c>
      <c r="M9923" s="17"/>
      <c r="N9923" s="17" t="s">
        <v>21577</v>
      </c>
      <c r="O9923" s="17"/>
      <c r="P9923" s="17" t="s">
        <v>22237</v>
      </c>
      <c r="Q9923" s="17"/>
      <c r="R9923" s="25" t="str">
        <f>HYPERLINK("https://ictv.global/taxonomy/taxondetails?taxnode_id=202310652","Thobivirus asiohabitans")</f>
        <v>Thobivirus asiohabitans</v>
      </c>
      <c r="S9923" s="18" t="s">
        <v>30</v>
      </c>
      <c r="T9923" s="18" t="s">
        <v>22238</v>
      </c>
      <c r="U9923" s="18"/>
      <c r="V9923" s="18"/>
      <c r="W9923" s="18" t="s">
        <v>22239</v>
      </c>
      <c r="X9923" s="18" t="s">
        <v>35</v>
      </c>
      <c r="Y9923" s="18" t="s">
        <v>17171</v>
      </c>
      <c r="Z9923" s="18" t="s">
        <v>697</v>
      </c>
      <c r="AA9923" s="21" t="str">
        <f>HYPERLINK("https://www.ncbi.nlm.nih.gov/nuccore/BK014087","NCBI Nucleotide")</f>
        <v>NCBI Nucleotide</v>
      </c>
    </row>
    <row r="9924" spans="1:27" x14ac:dyDescent="0.35">
      <c r="A9924">
        <v>1026302</v>
      </c>
      <c r="B9924">
        <v>9249</v>
      </c>
      <c r="C9924">
        <v>1</v>
      </c>
      <c r="D9924" s="17" t="s">
        <v>17166</v>
      </c>
      <c r="E9924" s="17"/>
      <c r="F9924" s="17" t="s">
        <v>17246</v>
      </c>
      <c r="G9924" s="17"/>
      <c r="H9924" s="17" t="s">
        <v>20919</v>
      </c>
      <c r="I9924" s="17"/>
      <c r="J9924" s="17" t="s">
        <v>21313</v>
      </c>
      <c r="K9924" s="17"/>
      <c r="L9924" s="17" t="s">
        <v>21326</v>
      </c>
      <c r="M9924" s="17"/>
      <c r="N9924" s="17" t="s">
        <v>21577</v>
      </c>
      <c r="O9924" s="17"/>
      <c r="P9924" s="17" t="s">
        <v>44069</v>
      </c>
      <c r="Q9924" s="17"/>
      <c r="R9924" s="25" t="str">
        <f>HYPERLINK("https://ictv.global/taxonomy/taxondetails?taxnode_id=202316703","Thurlavirus asiovicinum")</f>
        <v>Thurlavirus asiovicinum</v>
      </c>
      <c r="S9924" s="18" t="s">
        <v>30</v>
      </c>
      <c r="T9924" s="18" t="s">
        <v>44070</v>
      </c>
      <c r="U9924" s="18"/>
      <c r="V9924" s="18"/>
      <c r="W9924" s="18" t="s">
        <v>44071</v>
      </c>
      <c r="X9924" s="18" t="s">
        <v>35</v>
      </c>
      <c r="Y9924" s="18" t="s">
        <v>17171</v>
      </c>
      <c r="Z9924" s="18" t="s">
        <v>24637</v>
      </c>
      <c r="AA9924" s="21" t="str">
        <f>HYPERLINK("https://www.ncbi.nlm.nih.gov/nuccore/CASDWV010001826","NCBI Nucleotide")</f>
        <v>NCBI Nucleotide</v>
      </c>
    </row>
    <row r="9925" spans="1:27" x14ac:dyDescent="0.35">
      <c r="A9925">
        <v>1026303</v>
      </c>
      <c r="B9925">
        <v>9250</v>
      </c>
      <c r="C9925">
        <v>1</v>
      </c>
      <c r="D9925" s="17" t="s">
        <v>17166</v>
      </c>
      <c r="E9925" s="17"/>
      <c r="F9925" s="17" t="s">
        <v>17246</v>
      </c>
      <c r="G9925" s="17"/>
      <c r="H9925" s="17" t="s">
        <v>20919</v>
      </c>
      <c r="I9925" s="17"/>
      <c r="J9925" s="17" t="s">
        <v>21313</v>
      </c>
      <c r="K9925" s="17"/>
      <c r="L9925" s="17" t="s">
        <v>21326</v>
      </c>
      <c r="M9925" s="17"/>
      <c r="N9925" s="17" t="s">
        <v>21577</v>
      </c>
      <c r="O9925" s="17"/>
      <c r="P9925" s="17" t="s">
        <v>44069</v>
      </c>
      <c r="Q9925" s="17"/>
      <c r="R9925" s="25" t="str">
        <f>HYPERLINK("https://ictv.global/taxonomy/taxondetails?taxnode_id=202316704","Thurlavirus geocola")</f>
        <v>Thurlavirus geocola</v>
      </c>
      <c r="S9925" s="18" t="s">
        <v>30</v>
      </c>
      <c r="T9925" s="18" t="s">
        <v>44072</v>
      </c>
      <c r="U9925" s="18"/>
      <c r="V9925" s="18"/>
      <c r="W9925" s="18" t="s">
        <v>44073</v>
      </c>
      <c r="X9925" s="18" t="s">
        <v>35</v>
      </c>
      <c r="Y9925" s="18" t="s">
        <v>17171</v>
      </c>
      <c r="Z9925" s="18" t="s">
        <v>24637</v>
      </c>
      <c r="AA9925" s="21" t="str">
        <f>HYPERLINK("https://www.ncbi.nlm.nih.gov/nuccore/CASDWV010000447","NCBI Nucleotide")</f>
        <v>NCBI Nucleotide</v>
      </c>
    </row>
    <row r="9926" spans="1:27" x14ac:dyDescent="0.35">
      <c r="A9926">
        <v>1026304</v>
      </c>
      <c r="B9926">
        <v>9251</v>
      </c>
      <c r="C9926">
        <v>1</v>
      </c>
      <c r="D9926" s="17" t="s">
        <v>17166</v>
      </c>
      <c r="E9926" s="17"/>
      <c r="F9926" s="17" t="s">
        <v>17246</v>
      </c>
      <c r="G9926" s="17"/>
      <c r="H9926" s="17" t="s">
        <v>20919</v>
      </c>
      <c r="I9926" s="17"/>
      <c r="J9926" s="17" t="s">
        <v>21313</v>
      </c>
      <c r="K9926" s="17"/>
      <c r="L9926" s="17" t="s">
        <v>21326</v>
      </c>
      <c r="M9926" s="17"/>
      <c r="N9926" s="17" t="s">
        <v>21577</v>
      </c>
      <c r="O9926" s="17"/>
      <c r="P9926" s="17" t="s">
        <v>44069</v>
      </c>
      <c r="Q9926" s="17"/>
      <c r="R9926" s="25" t="str">
        <f>HYPERLINK("https://ictv.global/taxonomy/taxondetails?taxnode_id=202316705","Thurlavirus lutenecus")</f>
        <v>Thurlavirus lutenecus</v>
      </c>
      <c r="S9926" s="18" t="s">
        <v>30</v>
      </c>
      <c r="T9926" s="18" t="s">
        <v>44074</v>
      </c>
      <c r="U9926" s="18"/>
      <c r="V9926" s="18"/>
      <c r="W9926" s="18" t="s">
        <v>44075</v>
      </c>
      <c r="X9926" s="18" t="s">
        <v>35</v>
      </c>
      <c r="Y9926" s="18" t="s">
        <v>17171</v>
      </c>
      <c r="Z9926" s="18" t="s">
        <v>24637</v>
      </c>
      <c r="AA9926" s="21" t="str">
        <f>HYPERLINK("https://www.ncbi.nlm.nih.gov/nuccore/CASDWV010005008","NCBI Nucleotide")</f>
        <v>NCBI Nucleotide</v>
      </c>
    </row>
    <row r="9927" spans="1:27" x14ac:dyDescent="0.35">
      <c r="A9927">
        <v>1009724</v>
      </c>
      <c r="B9927">
        <v>9252</v>
      </c>
      <c r="C9927">
        <v>1</v>
      </c>
      <c r="D9927" s="17" t="s">
        <v>17166</v>
      </c>
      <c r="E9927" s="17"/>
      <c r="F9927" s="17" t="s">
        <v>17246</v>
      </c>
      <c r="G9927" s="17"/>
      <c r="H9927" s="17" t="s">
        <v>20919</v>
      </c>
      <c r="I9927" s="17"/>
      <c r="J9927" s="17" t="s">
        <v>21313</v>
      </c>
      <c r="K9927" s="17"/>
      <c r="L9927" s="17" t="s">
        <v>21326</v>
      </c>
      <c r="M9927" s="17"/>
      <c r="N9927" s="17" t="s">
        <v>21577</v>
      </c>
      <c r="O9927" s="17"/>
      <c r="P9927" s="17" t="s">
        <v>22240</v>
      </c>
      <c r="Q9927" s="17"/>
      <c r="R9927" s="25" t="str">
        <f>HYPERLINK("https://ictv.global/taxonomy/taxondetails?taxnode_id=202310654","Ticahravirus asiovicinum")</f>
        <v>Ticahravirus asiovicinum</v>
      </c>
      <c r="S9927" s="18" t="s">
        <v>30</v>
      </c>
      <c r="T9927" s="18" t="s">
        <v>22241</v>
      </c>
      <c r="U9927" s="18"/>
      <c r="V9927" s="18"/>
      <c r="W9927" s="18" t="s">
        <v>22242</v>
      </c>
      <c r="X9927" s="18" t="s">
        <v>35</v>
      </c>
      <c r="Y9927" s="18" t="s">
        <v>17171</v>
      </c>
      <c r="Z9927" s="18" t="s">
        <v>697</v>
      </c>
      <c r="AA9927" s="21" t="str">
        <f>HYPERLINK("https://www.ncbi.nlm.nih.gov/nuccore/BK013757","NCBI Nucleotide")</f>
        <v>NCBI Nucleotide</v>
      </c>
    </row>
    <row r="9928" spans="1:27" x14ac:dyDescent="0.35">
      <c r="A9928">
        <v>1026330</v>
      </c>
      <c r="B9928">
        <v>9253</v>
      </c>
      <c r="C9928">
        <v>1</v>
      </c>
      <c r="D9928" s="17" t="s">
        <v>17166</v>
      </c>
      <c r="E9928" s="17"/>
      <c r="F9928" s="17" t="s">
        <v>17246</v>
      </c>
      <c r="G9928" s="17"/>
      <c r="H9928" s="17" t="s">
        <v>20919</v>
      </c>
      <c r="I9928" s="17"/>
      <c r="J9928" s="17" t="s">
        <v>21313</v>
      </c>
      <c r="K9928" s="17"/>
      <c r="L9928" s="17" t="s">
        <v>21326</v>
      </c>
      <c r="M9928" s="17"/>
      <c r="N9928" s="17" t="s">
        <v>21577</v>
      </c>
      <c r="O9928" s="17"/>
      <c r="P9928" s="17" t="s">
        <v>44076</v>
      </c>
      <c r="Q9928" s="17"/>
      <c r="R9928" s="25" t="str">
        <f>HYPERLINK("https://ictv.global/taxonomy/taxondetails?taxnode_id=202316706","Todtivirus segetivicinum")</f>
        <v>Todtivirus segetivicinum</v>
      </c>
      <c r="S9928" s="18" t="s">
        <v>30</v>
      </c>
      <c r="T9928" s="18" t="s">
        <v>44077</v>
      </c>
      <c r="U9928" s="18"/>
      <c r="V9928" s="18"/>
      <c r="W9928" s="18" t="s">
        <v>44078</v>
      </c>
      <c r="X9928" s="18" t="s">
        <v>35</v>
      </c>
      <c r="Y9928" s="18" t="s">
        <v>17171</v>
      </c>
      <c r="Z9928" s="18" t="s">
        <v>24637</v>
      </c>
      <c r="AA9928" s="21" t="str">
        <f>HYPERLINK("https://www.ncbi.nlm.nih.gov/nuccore/CASDWV010003946","NCBI Nucleotide")</f>
        <v>NCBI Nucleotide</v>
      </c>
    </row>
    <row r="9929" spans="1:27" x14ac:dyDescent="0.35">
      <c r="A9929">
        <v>1009725</v>
      </c>
      <c r="B9929">
        <v>9254</v>
      </c>
      <c r="C9929">
        <v>1</v>
      </c>
      <c r="D9929" s="17" t="s">
        <v>17166</v>
      </c>
      <c r="E9929" s="17"/>
      <c r="F9929" s="17" t="s">
        <v>17246</v>
      </c>
      <c r="G9929" s="17"/>
      <c r="H9929" s="17" t="s">
        <v>20919</v>
      </c>
      <c r="I9929" s="17"/>
      <c r="J9929" s="17" t="s">
        <v>21313</v>
      </c>
      <c r="K9929" s="17"/>
      <c r="L9929" s="17" t="s">
        <v>21326</v>
      </c>
      <c r="M9929" s="17"/>
      <c r="N9929" s="17" t="s">
        <v>21577</v>
      </c>
      <c r="O9929" s="17"/>
      <c r="P9929" s="17" t="s">
        <v>22243</v>
      </c>
      <c r="Q9929" s="17"/>
      <c r="R9929" s="25" t="str">
        <f>HYPERLINK("https://ictv.global/taxonomy/taxondetails?taxnode_id=202310656","Tohvovirus borborohabitans")</f>
        <v>Tohvovirus borborohabitans</v>
      </c>
      <c r="S9929" s="18" t="s">
        <v>30</v>
      </c>
      <c r="T9929" s="18" t="s">
        <v>22244</v>
      </c>
      <c r="U9929" s="18"/>
      <c r="V9929" s="18"/>
      <c r="W9929" s="18" t="s">
        <v>22245</v>
      </c>
      <c r="X9929" s="18" t="s">
        <v>35</v>
      </c>
      <c r="Y9929" s="18" t="s">
        <v>17171</v>
      </c>
      <c r="Z9929" s="18" t="s">
        <v>697</v>
      </c>
      <c r="AA9929" s="21" t="str">
        <f>HYPERLINK("https://www.ncbi.nlm.nih.gov/nuccore/BK013736","NCBI Nucleotide")</f>
        <v>NCBI Nucleotide</v>
      </c>
    </row>
    <row r="9930" spans="1:27" x14ac:dyDescent="0.35">
      <c r="A9930">
        <v>1026331</v>
      </c>
      <c r="B9930">
        <v>9255</v>
      </c>
      <c r="C9930">
        <v>1</v>
      </c>
      <c r="D9930" s="17" t="s">
        <v>17166</v>
      </c>
      <c r="E9930" s="17"/>
      <c r="F9930" s="17" t="s">
        <v>17246</v>
      </c>
      <c r="G9930" s="17"/>
      <c r="H9930" s="17" t="s">
        <v>20919</v>
      </c>
      <c r="I9930" s="17"/>
      <c r="J9930" s="17" t="s">
        <v>21313</v>
      </c>
      <c r="K9930" s="17"/>
      <c r="L9930" s="17" t="s">
        <v>21326</v>
      </c>
      <c r="M9930" s="17"/>
      <c r="N9930" s="17" t="s">
        <v>21577</v>
      </c>
      <c r="O9930" s="17"/>
      <c r="P9930" s="17" t="s">
        <v>22243</v>
      </c>
      <c r="Q9930" s="17"/>
      <c r="R9930" s="25" t="str">
        <f>HYPERLINK("https://ictv.global/taxonomy/taxondetails?taxnode_id=202316707","Tohvovirus humihabitans")</f>
        <v>Tohvovirus humihabitans</v>
      </c>
      <c r="S9930" s="18" t="s">
        <v>30</v>
      </c>
      <c r="T9930" s="18" t="s">
        <v>44079</v>
      </c>
      <c r="U9930" s="18"/>
      <c r="V9930" s="18"/>
      <c r="W9930" s="18" t="s">
        <v>44080</v>
      </c>
      <c r="X9930" s="18" t="s">
        <v>35</v>
      </c>
      <c r="Y9930" s="18" t="s">
        <v>17171</v>
      </c>
      <c r="Z9930" s="18" t="s">
        <v>24637</v>
      </c>
      <c r="AA9930" s="21" t="str">
        <f>HYPERLINK("https://www.ncbi.nlm.nih.gov/nuccore/CASDWV010003374","NCBI Nucleotide")</f>
        <v>NCBI Nucleotide</v>
      </c>
    </row>
    <row r="9931" spans="1:27" x14ac:dyDescent="0.35">
      <c r="A9931">
        <v>1026332</v>
      </c>
      <c r="B9931">
        <v>9256</v>
      </c>
      <c r="C9931">
        <v>1</v>
      </c>
      <c r="D9931" s="17" t="s">
        <v>17166</v>
      </c>
      <c r="E9931" s="17"/>
      <c r="F9931" s="17" t="s">
        <v>17246</v>
      </c>
      <c r="G9931" s="17"/>
      <c r="H9931" s="17" t="s">
        <v>20919</v>
      </c>
      <c r="I9931" s="17"/>
      <c r="J9931" s="17" t="s">
        <v>21313</v>
      </c>
      <c r="K9931" s="17"/>
      <c r="L9931" s="17" t="s">
        <v>21326</v>
      </c>
      <c r="M9931" s="17"/>
      <c r="N9931" s="17" t="s">
        <v>21577</v>
      </c>
      <c r="O9931" s="17"/>
      <c r="P9931" s="17" t="s">
        <v>22243</v>
      </c>
      <c r="Q9931" s="17"/>
      <c r="R9931" s="25" t="str">
        <f>HYPERLINK("https://ictv.global/taxonomy/taxondetails?taxnode_id=202316708","Tohvovirus radicivivens")</f>
        <v>Tohvovirus radicivivens</v>
      </c>
      <c r="S9931" s="18" t="s">
        <v>30</v>
      </c>
      <c r="T9931" s="18" t="s">
        <v>44081</v>
      </c>
      <c r="U9931" s="18"/>
      <c r="V9931" s="18"/>
      <c r="W9931" s="18" t="s">
        <v>44082</v>
      </c>
      <c r="X9931" s="18" t="s">
        <v>35</v>
      </c>
      <c r="Y9931" s="18" t="s">
        <v>17171</v>
      </c>
      <c r="Z9931" s="18" t="s">
        <v>24637</v>
      </c>
      <c r="AA9931" s="21" t="str">
        <f>HYPERLINK("https://www.ncbi.nlm.nih.gov/nuccore/CASDWV010003691","NCBI Nucleotide")</f>
        <v>NCBI Nucleotide</v>
      </c>
    </row>
    <row r="9932" spans="1:27" x14ac:dyDescent="0.35">
      <c r="A9932">
        <v>1026333</v>
      </c>
      <c r="B9932">
        <v>9257</v>
      </c>
      <c r="C9932">
        <v>1</v>
      </c>
      <c r="D9932" s="17" t="s">
        <v>17166</v>
      </c>
      <c r="E9932" s="17"/>
      <c r="F9932" s="17" t="s">
        <v>17246</v>
      </c>
      <c r="G9932" s="17"/>
      <c r="H9932" s="17" t="s">
        <v>20919</v>
      </c>
      <c r="I9932" s="17"/>
      <c r="J9932" s="17" t="s">
        <v>21313</v>
      </c>
      <c r="K9932" s="17"/>
      <c r="L9932" s="17" t="s">
        <v>21326</v>
      </c>
      <c r="M9932" s="17"/>
      <c r="N9932" s="17" t="s">
        <v>21577</v>
      </c>
      <c r="O9932" s="17"/>
      <c r="P9932" s="17" t="s">
        <v>22243</v>
      </c>
      <c r="Q9932" s="17"/>
      <c r="R9932" s="25" t="str">
        <f>HYPERLINK("https://ictv.global/taxonomy/taxondetails?taxnode_id=202316709","Tohvovirus segetadaptatum")</f>
        <v>Tohvovirus segetadaptatum</v>
      </c>
      <c r="S9932" s="18" t="s">
        <v>30</v>
      </c>
      <c r="T9932" s="18" t="s">
        <v>44083</v>
      </c>
      <c r="U9932" s="18"/>
      <c r="V9932" s="18"/>
      <c r="W9932" s="18" t="s">
        <v>44084</v>
      </c>
      <c r="X9932" s="18" t="s">
        <v>35</v>
      </c>
      <c r="Y9932" s="18" t="s">
        <v>17171</v>
      </c>
      <c r="Z9932" s="18" t="s">
        <v>24637</v>
      </c>
      <c r="AA9932" s="21" t="str">
        <f>HYPERLINK("https://www.ncbi.nlm.nih.gov/nuccore/CASDWV010004180","NCBI Nucleotide")</f>
        <v>NCBI Nucleotide</v>
      </c>
    </row>
    <row r="9933" spans="1:27" x14ac:dyDescent="0.35">
      <c r="A9933">
        <v>1026334</v>
      </c>
      <c r="B9933">
        <v>9258</v>
      </c>
      <c r="C9933">
        <v>1</v>
      </c>
      <c r="D9933" s="17" t="s">
        <v>17166</v>
      </c>
      <c r="E9933" s="17"/>
      <c r="F9933" s="17" t="s">
        <v>17246</v>
      </c>
      <c r="G9933" s="17"/>
      <c r="H9933" s="17" t="s">
        <v>20919</v>
      </c>
      <c r="I9933" s="17"/>
      <c r="J9933" s="17" t="s">
        <v>21313</v>
      </c>
      <c r="K9933" s="17"/>
      <c r="L9933" s="17" t="s">
        <v>21326</v>
      </c>
      <c r="M9933" s="17"/>
      <c r="N9933" s="17" t="s">
        <v>21577</v>
      </c>
      <c r="O9933" s="17"/>
      <c r="P9933" s="17" t="s">
        <v>22243</v>
      </c>
      <c r="Q9933" s="17"/>
      <c r="R9933" s="25" t="str">
        <f>HYPERLINK("https://ictv.global/taxonomy/taxondetails?taxnode_id=202316710","Tohvovirus segetenecus")</f>
        <v>Tohvovirus segetenecus</v>
      </c>
      <c r="S9933" s="18" t="s">
        <v>30</v>
      </c>
      <c r="T9933" s="18" t="s">
        <v>44085</v>
      </c>
      <c r="U9933" s="18"/>
      <c r="V9933" s="18"/>
      <c r="W9933" s="18" t="s">
        <v>44086</v>
      </c>
      <c r="X9933" s="18" t="s">
        <v>35</v>
      </c>
      <c r="Y9933" s="18" t="s">
        <v>17171</v>
      </c>
      <c r="Z9933" s="18" t="s">
        <v>24637</v>
      </c>
      <c r="AA9933" s="21" t="str">
        <f>HYPERLINK("https://www.ncbi.nlm.nih.gov/nuccore/CASDWV010003670","NCBI Nucleotide")</f>
        <v>NCBI Nucleotide</v>
      </c>
    </row>
    <row r="9934" spans="1:27" x14ac:dyDescent="0.35">
      <c r="A9934">
        <v>1009527</v>
      </c>
      <c r="B9934">
        <v>9259</v>
      </c>
      <c r="C9934">
        <v>1</v>
      </c>
      <c r="D9934" s="17" t="s">
        <v>17166</v>
      </c>
      <c r="E9934" s="17"/>
      <c r="F9934" s="17" t="s">
        <v>17246</v>
      </c>
      <c r="G9934" s="17"/>
      <c r="H9934" s="17" t="s">
        <v>20919</v>
      </c>
      <c r="I9934" s="17"/>
      <c r="J9934" s="17" t="s">
        <v>21313</v>
      </c>
      <c r="K9934" s="17"/>
      <c r="L9934" s="17" t="s">
        <v>21326</v>
      </c>
      <c r="M9934" s="17"/>
      <c r="N9934" s="17" t="s">
        <v>21577</v>
      </c>
      <c r="O9934" s="17"/>
      <c r="P9934" s="17" t="s">
        <v>44087</v>
      </c>
      <c r="Q9934" s="17"/>
      <c r="R9934" s="25" t="str">
        <f>HYPERLINK("https://ictv.global/taxonomy/taxondetails?taxnode_id=202310336","Trotivirus asiovicinum")</f>
        <v>Trotivirus asiovicinum</v>
      </c>
      <c r="S9934" s="18" t="s">
        <v>30</v>
      </c>
      <c r="T9934" s="18" t="s">
        <v>21758</v>
      </c>
      <c r="U9934" s="18"/>
      <c r="V9934" s="18"/>
      <c r="W9934" s="18" t="s">
        <v>21759</v>
      </c>
      <c r="X9934" s="18" t="s">
        <v>35</v>
      </c>
      <c r="Y9934" s="18" t="s">
        <v>17171</v>
      </c>
      <c r="Z9934" s="18" t="s">
        <v>697</v>
      </c>
      <c r="AA9934" s="21" t="str">
        <f>HYPERLINK("https://www.ncbi.nlm.nih.gov/nuccore/BK013743","NCBI Nucleotide")</f>
        <v>NCBI Nucleotide</v>
      </c>
    </row>
    <row r="9935" spans="1:27" x14ac:dyDescent="0.35">
      <c r="A9935">
        <v>1026276</v>
      </c>
      <c r="B9935">
        <v>9260</v>
      </c>
      <c r="C9935">
        <v>1</v>
      </c>
      <c r="D9935" s="17" t="s">
        <v>17166</v>
      </c>
      <c r="E9935" s="17"/>
      <c r="F9935" s="17" t="s">
        <v>17246</v>
      </c>
      <c r="G9935" s="17"/>
      <c r="H9935" s="17" t="s">
        <v>20919</v>
      </c>
      <c r="I9935" s="17"/>
      <c r="J9935" s="17" t="s">
        <v>21313</v>
      </c>
      <c r="K9935" s="17"/>
      <c r="L9935" s="17" t="s">
        <v>21326</v>
      </c>
      <c r="M9935" s="17"/>
      <c r="N9935" s="17" t="s">
        <v>21577</v>
      </c>
      <c r="O9935" s="17"/>
      <c r="P9935" s="17" t="s">
        <v>44087</v>
      </c>
      <c r="Q9935" s="17"/>
      <c r="R9935" s="25" t="str">
        <f>HYPERLINK("https://ictv.global/taxonomy/taxondetails?taxnode_id=202316711","Trotivirus dinebrihabitans")</f>
        <v>Trotivirus dinebrihabitans</v>
      </c>
      <c r="S9935" s="18" t="s">
        <v>30</v>
      </c>
      <c r="T9935" s="18" t="s">
        <v>44088</v>
      </c>
      <c r="U9935" s="18"/>
      <c r="V9935" s="18" t="s">
        <v>44089</v>
      </c>
      <c r="W9935" s="18" t="s">
        <v>44090</v>
      </c>
      <c r="X9935" s="18" t="s">
        <v>35</v>
      </c>
      <c r="Y9935" s="18" t="s">
        <v>17171</v>
      </c>
      <c r="Z9935" s="18" t="s">
        <v>17336</v>
      </c>
      <c r="AA9935" s="21" t="str">
        <f>HYPERLINK("https://www.ncbi.nlm.nih.gov/nuccore/OM514506","NCBI Nucleotide")</f>
        <v>NCBI Nucleotide</v>
      </c>
    </row>
    <row r="9936" spans="1:27" x14ac:dyDescent="0.35">
      <c r="A9936">
        <v>1026277</v>
      </c>
      <c r="B9936">
        <v>9261</v>
      </c>
      <c r="C9936">
        <v>1</v>
      </c>
      <c r="D9936" s="17" t="s">
        <v>17166</v>
      </c>
      <c r="E9936" s="17"/>
      <c r="F9936" s="17" t="s">
        <v>17246</v>
      </c>
      <c r="G9936" s="17"/>
      <c r="H9936" s="17" t="s">
        <v>20919</v>
      </c>
      <c r="I9936" s="17"/>
      <c r="J9936" s="17" t="s">
        <v>21313</v>
      </c>
      <c r="K9936" s="17"/>
      <c r="L9936" s="17" t="s">
        <v>21326</v>
      </c>
      <c r="M9936" s="17"/>
      <c r="N9936" s="17" t="s">
        <v>21577</v>
      </c>
      <c r="O9936" s="17"/>
      <c r="P9936" s="17" t="s">
        <v>44087</v>
      </c>
      <c r="Q9936" s="17"/>
      <c r="R9936" s="25" t="str">
        <f>HYPERLINK("https://ictv.global/taxonomy/taxondetails?taxnode_id=202316712","Trotivirus fundivicinum")</f>
        <v>Trotivirus fundivicinum</v>
      </c>
      <c r="S9936" s="18" t="s">
        <v>30</v>
      </c>
      <c r="T9936" s="18" t="s">
        <v>44091</v>
      </c>
      <c r="U9936" s="18"/>
      <c r="V9936" s="18" t="s">
        <v>44091</v>
      </c>
      <c r="W9936" s="18" t="s">
        <v>44092</v>
      </c>
      <c r="X9936" s="18" t="s">
        <v>35</v>
      </c>
      <c r="Y9936" s="18" t="s">
        <v>17171</v>
      </c>
      <c r="Z9936" s="18" t="s">
        <v>24637</v>
      </c>
      <c r="AA9936" s="21" t="str">
        <f>HYPERLINK("https://www.ncbi.nlm.nih.gov/nuccore/MZ679813","NCBI Nucleotide")</f>
        <v>NCBI Nucleotide</v>
      </c>
    </row>
    <row r="9937" spans="1:27" x14ac:dyDescent="0.35">
      <c r="A9937">
        <v>1026278</v>
      </c>
      <c r="B9937">
        <v>9262</v>
      </c>
      <c r="C9937">
        <v>1</v>
      </c>
      <c r="D9937" s="17" t="s">
        <v>17166</v>
      </c>
      <c r="E9937" s="17"/>
      <c r="F9937" s="17" t="s">
        <v>17246</v>
      </c>
      <c r="G9937" s="17"/>
      <c r="H9937" s="17" t="s">
        <v>20919</v>
      </c>
      <c r="I9937" s="17"/>
      <c r="J9937" s="17" t="s">
        <v>21313</v>
      </c>
      <c r="K9937" s="17"/>
      <c r="L9937" s="17" t="s">
        <v>21326</v>
      </c>
      <c r="M9937" s="17"/>
      <c r="N9937" s="17" t="s">
        <v>21577</v>
      </c>
      <c r="O9937" s="17"/>
      <c r="P9937" s="17" t="s">
        <v>44087</v>
      </c>
      <c r="Q9937" s="17"/>
      <c r="R9937" s="25" t="str">
        <f>HYPERLINK("https://ictv.global/taxonomy/taxondetails?taxnode_id=202316713","Trotivirus humadaptatum")</f>
        <v>Trotivirus humadaptatum</v>
      </c>
      <c r="S9937" s="18" t="s">
        <v>30</v>
      </c>
      <c r="T9937" s="18" t="s">
        <v>44093</v>
      </c>
      <c r="U9937" s="18"/>
      <c r="V9937" s="18"/>
      <c r="W9937" s="18" t="s">
        <v>44094</v>
      </c>
      <c r="X9937" s="18" t="s">
        <v>35</v>
      </c>
      <c r="Y9937" s="18" t="s">
        <v>17171</v>
      </c>
      <c r="Z9937" s="18" t="s">
        <v>24637</v>
      </c>
      <c r="AA9937" s="21" t="str">
        <f>HYPERLINK("https://www.ncbi.nlm.nih.gov/nuccore/CASDWV010004033","NCBI Nucleotide")</f>
        <v>NCBI Nucleotide</v>
      </c>
    </row>
    <row r="9938" spans="1:27" x14ac:dyDescent="0.35">
      <c r="A9938">
        <v>1026279</v>
      </c>
      <c r="B9938">
        <v>9263</v>
      </c>
      <c r="C9938">
        <v>1</v>
      </c>
      <c r="D9938" s="17" t="s">
        <v>17166</v>
      </c>
      <c r="E9938" s="17"/>
      <c r="F9938" s="17" t="s">
        <v>17246</v>
      </c>
      <c r="G9938" s="17"/>
      <c r="H9938" s="17" t="s">
        <v>20919</v>
      </c>
      <c r="I9938" s="17"/>
      <c r="J9938" s="17" t="s">
        <v>21313</v>
      </c>
      <c r="K9938" s="17"/>
      <c r="L9938" s="17" t="s">
        <v>21326</v>
      </c>
      <c r="M9938" s="17"/>
      <c r="N9938" s="17" t="s">
        <v>21577</v>
      </c>
      <c r="O9938" s="17"/>
      <c r="P9938" s="17" t="s">
        <v>44087</v>
      </c>
      <c r="Q9938" s="17"/>
      <c r="R9938" s="25" t="str">
        <f>HYPERLINK("https://ictv.global/taxonomy/taxondetails?taxnode_id=202316714","Trotivirus isoasiovicinum")</f>
        <v>Trotivirus isoasiovicinum</v>
      </c>
      <c r="S9938" s="18" t="s">
        <v>30</v>
      </c>
      <c r="T9938" s="18" t="s">
        <v>44095</v>
      </c>
      <c r="U9938" s="18"/>
      <c r="V9938" s="18"/>
      <c r="W9938" s="18" t="s">
        <v>44096</v>
      </c>
      <c r="X9938" s="18" t="s">
        <v>35</v>
      </c>
      <c r="Y9938" s="18" t="s">
        <v>17171</v>
      </c>
      <c r="Z9938" s="18" t="s">
        <v>24637</v>
      </c>
      <c r="AA9938" s="21" t="str">
        <f>HYPERLINK("https://www.ncbi.nlm.nih.gov/nuccore/CASDWV010003820","NCBI Nucleotide")</f>
        <v>NCBI Nucleotide</v>
      </c>
    </row>
    <row r="9939" spans="1:27" x14ac:dyDescent="0.35">
      <c r="A9939">
        <v>1009612</v>
      </c>
      <c r="B9939">
        <v>9264</v>
      </c>
      <c r="C9939">
        <v>1</v>
      </c>
      <c r="D9939" s="17" t="s">
        <v>17166</v>
      </c>
      <c r="E9939" s="17"/>
      <c r="F9939" s="17" t="s">
        <v>17246</v>
      </c>
      <c r="G9939" s="17"/>
      <c r="H9939" s="17" t="s">
        <v>20919</v>
      </c>
      <c r="I9939" s="17"/>
      <c r="J9939" s="17" t="s">
        <v>21313</v>
      </c>
      <c r="K9939" s="17"/>
      <c r="L9939" s="17" t="s">
        <v>21326</v>
      </c>
      <c r="M9939" s="17"/>
      <c r="N9939" s="17" t="s">
        <v>21577</v>
      </c>
      <c r="O9939" s="17"/>
      <c r="P9939" s="17" t="s">
        <v>44087</v>
      </c>
      <c r="Q9939" s="17"/>
      <c r="R9939" s="25" t="str">
        <f>HYPERLINK("https://ictv.global/taxonomy/taxondetails?taxnode_id=202310478","Trotivirus neoasiovicinum")</f>
        <v>Trotivirus neoasiovicinum</v>
      </c>
      <c r="S9939" s="18" t="s">
        <v>30</v>
      </c>
      <c r="T9939" s="18" t="s">
        <v>21981</v>
      </c>
      <c r="U9939" s="18"/>
      <c r="V9939" s="18"/>
      <c r="W9939" s="18" t="s">
        <v>21982</v>
      </c>
      <c r="X9939" s="18" t="s">
        <v>35</v>
      </c>
      <c r="Y9939" s="18" t="s">
        <v>17171</v>
      </c>
      <c r="Z9939" s="18" t="s">
        <v>697</v>
      </c>
      <c r="AA9939" s="21" t="str">
        <f>HYPERLINK("https://www.ncbi.nlm.nih.gov/nuccore/BK014208","NCBI Nucleotide")</f>
        <v>NCBI Nucleotide</v>
      </c>
    </row>
    <row r="9940" spans="1:27" x14ac:dyDescent="0.35">
      <c r="A9940">
        <v>1026280</v>
      </c>
      <c r="B9940">
        <v>9265</v>
      </c>
      <c r="C9940">
        <v>1</v>
      </c>
      <c r="D9940" s="17" t="s">
        <v>17166</v>
      </c>
      <c r="E9940" s="17"/>
      <c r="F9940" s="17" t="s">
        <v>17246</v>
      </c>
      <c r="G9940" s="17"/>
      <c r="H9940" s="17" t="s">
        <v>20919</v>
      </c>
      <c r="I9940" s="17"/>
      <c r="J9940" s="17" t="s">
        <v>21313</v>
      </c>
      <c r="K9940" s="17"/>
      <c r="L9940" s="17" t="s">
        <v>21326</v>
      </c>
      <c r="M9940" s="17"/>
      <c r="N9940" s="17" t="s">
        <v>21577</v>
      </c>
      <c r="O9940" s="17"/>
      <c r="P9940" s="17" t="s">
        <v>44087</v>
      </c>
      <c r="Q9940" s="17"/>
      <c r="R9940" s="25" t="str">
        <f>HYPERLINK("https://ictv.global/taxonomy/taxondetails?taxnode_id=202316715","Trotivirus neosoladaptatum")</f>
        <v>Trotivirus neosoladaptatum</v>
      </c>
      <c r="S9940" s="18" t="s">
        <v>30</v>
      </c>
      <c r="T9940" s="18" t="s">
        <v>44097</v>
      </c>
      <c r="U9940" s="18"/>
      <c r="V9940" s="18"/>
      <c r="W9940" s="18" t="s">
        <v>44098</v>
      </c>
      <c r="X9940" s="18" t="s">
        <v>35</v>
      </c>
      <c r="Y9940" s="18" t="s">
        <v>17171</v>
      </c>
      <c r="Z9940" s="18" t="s">
        <v>24637</v>
      </c>
      <c r="AA9940" s="21" t="str">
        <f>HYPERLINK("https://www.ncbi.nlm.nih.gov/nuccore/CASDWV010000627","NCBI Nucleotide")</f>
        <v>NCBI Nucleotide</v>
      </c>
    </row>
    <row r="9941" spans="1:27" x14ac:dyDescent="0.35">
      <c r="A9941">
        <v>1026281</v>
      </c>
      <c r="B9941">
        <v>9266</v>
      </c>
      <c r="C9941">
        <v>1</v>
      </c>
      <c r="D9941" s="17" t="s">
        <v>17166</v>
      </c>
      <c r="E9941" s="17"/>
      <c r="F9941" s="17" t="s">
        <v>17246</v>
      </c>
      <c r="G9941" s="17"/>
      <c r="H9941" s="17" t="s">
        <v>20919</v>
      </c>
      <c r="I9941" s="17"/>
      <c r="J9941" s="17" t="s">
        <v>21313</v>
      </c>
      <c r="K9941" s="17"/>
      <c r="L9941" s="17" t="s">
        <v>21326</v>
      </c>
      <c r="M9941" s="17"/>
      <c r="N9941" s="17" t="s">
        <v>21577</v>
      </c>
      <c r="O9941" s="17"/>
      <c r="P9941" s="17" t="s">
        <v>44087</v>
      </c>
      <c r="Q9941" s="17"/>
      <c r="R9941" s="25" t="str">
        <f>HYPERLINK("https://ictv.global/taxonomy/taxondetails?taxnode_id=202316716","Trotivirus pedenecus")</f>
        <v>Trotivirus pedenecus</v>
      </c>
      <c r="S9941" s="18" t="s">
        <v>30</v>
      </c>
      <c r="T9941" s="18" t="s">
        <v>44099</v>
      </c>
      <c r="U9941" s="18"/>
      <c r="V9941" s="18"/>
      <c r="W9941" s="18" t="s">
        <v>44100</v>
      </c>
      <c r="X9941" s="18" t="s">
        <v>35</v>
      </c>
      <c r="Y9941" s="18" t="s">
        <v>17171</v>
      </c>
      <c r="Z9941" s="18" t="s">
        <v>24637</v>
      </c>
      <c r="AA9941" s="21" t="str">
        <f>HYPERLINK("https://www.ncbi.nlm.nih.gov/nuccore/CASDWV010001907","NCBI Nucleotide")</f>
        <v>NCBI Nucleotide</v>
      </c>
    </row>
    <row r="9942" spans="1:27" x14ac:dyDescent="0.35">
      <c r="A9942">
        <v>1026282</v>
      </c>
      <c r="B9942">
        <v>9267</v>
      </c>
      <c r="C9942">
        <v>1</v>
      </c>
      <c r="D9942" s="17" t="s">
        <v>17166</v>
      </c>
      <c r="E9942" s="17"/>
      <c r="F9942" s="17" t="s">
        <v>17246</v>
      </c>
      <c r="G9942" s="17"/>
      <c r="H9942" s="17" t="s">
        <v>20919</v>
      </c>
      <c r="I9942" s="17"/>
      <c r="J9942" s="17" t="s">
        <v>21313</v>
      </c>
      <c r="K9942" s="17"/>
      <c r="L9942" s="17" t="s">
        <v>21326</v>
      </c>
      <c r="M9942" s="17"/>
      <c r="N9942" s="17" t="s">
        <v>21577</v>
      </c>
      <c r="O9942" s="17"/>
      <c r="P9942" s="17" t="s">
        <v>44087</v>
      </c>
      <c r="Q9942" s="17"/>
      <c r="R9942" s="25" t="str">
        <f>HYPERLINK("https://ictv.global/taxonomy/taxondetails?taxnode_id=202316717","Trotivirus pelocola")</f>
        <v>Trotivirus pelocola</v>
      </c>
      <c r="S9942" s="18" t="s">
        <v>30</v>
      </c>
      <c r="T9942" s="18" t="s">
        <v>44101</v>
      </c>
      <c r="U9942" s="18"/>
      <c r="V9942" s="18"/>
      <c r="W9942" s="18" t="s">
        <v>44102</v>
      </c>
      <c r="X9942" s="18" t="s">
        <v>35</v>
      </c>
      <c r="Y9942" s="18" t="s">
        <v>17171</v>
      </c>
      <c r="Z9942" s="18" t="s">
        <v>24637</v>
      </c>
      <c r="AA9942" s="21" t="str">
        <f>HYPERLINK("https://www.ncbi.nlm.nih.gov/nuccore/CASDWV010004050","NCBI Nucleotide")</f>
        <v>NCBI Nucleotide</v>
      </c>
    </row>
    <row r="9943" spans="1:27" x14ac:dyDescent="0.35">
      <c r="A9943">
        <v>1009528</v>
      </c>
      <c r="B9943">
        <v>9268</v>
      </c>
      <c r="C9943">
        <v>1</v>
      </c>
      <c r="D9943" s="17" t="s">
        <v>17166</v>
      </c>
      <c r="E9943" s="17"/>
      <c r="F9943" s="17" t="s">
        <v>17246</v>
      </c>
      <c r="G9943" s="17"/>
      <c r="H9943" s="17" t="s">
        <v>20919</v>
      </c>
      <c r="I9943" s="17"/>
      <c r="J9943" s="17" t="s">
        <v>21313</v>
      </c>
      <c r="K9943" s="17"/>
      <c r="L9943" s="17" t="s">
        <v>21326</v>
      </c>
      <c r="M9943" s="17"/>
      <c r="N9943" s="17" t="s">
        <v>21577</v>
      </c>
      <c r="O9943" s="17"/>
      <c r="P9943" s="17" t="s">
        <v>44087</v>
      </c>
      <c r="Q9943" s="17"/>
      <c r="R9943" s="25" t="str">
        <f>HYPERLINK("https://ictv.global/taxonomy/taxondetails?taxnode_id=202310335","Trotivirus soladaptatum")</f>
        <v>Trotivirus soladaptatum</v>
      </c>
      <c r="S9943" s="18" t="s">
        <v>30</v>
      </c>
      <c r="T9943" s="18" t="s">
        <v>21760</v>
      </c>
      <c r="U9943" s="18"/>
      <c r="V9943" s="18"/>
      <c r="W9943" s="18" t="s">
        <v>21761</v>
      </c>
      <c r="X9943" s="18" t="s">
        <v>35</v>
      </c>
      <c r="Y9943" s="18" t="s">
        <v>17171</v>
      </c>
      <c r="Z9943" s="18" t="s">
        <v>697</v>
      </c>
      <c r="AA9943" s="21" t="str">
        <f>HYPERLINK("https://www.ncbi.nlm.nih.gov/nuccore/BK013554","NCBI Nucleotide")</f>
        <v>NCBI Nucleotide</v>
      </c>
    </row>
    <row r="9944" spans="1:27" x14ac:dyDescent="0.35">
      <c r="A9944">
        <v>1026283</v>
      </c>
      <c r="B9944">
        <v>9269</v>
      </c>
      <c r="C9944">
        <v>1</v>
      </c>
      <c r="D9944" s="17" t="s">
        <v>17166</v>
      </c>
      <c r="E9944" s="17"/>
      <c r="F9944" s="17" t="s">
        <v>17246</v>
      </c>
      <c r="G9944" s="17"/>
      <c r="H9944" s="17" t="s">
        <v>20919</v>
      </c>
      <c r="I9944" s="17"/>
      <c r="J9944" s="17" t="s">
        <v>21313</v>
      </c>
      <c r="K9944" s="17"/>
      <c r="L9944" s="17" t="s">
        <v>21326</v>
      </c>
      <c r="M9944" s="17"/>
      <c r="N9944" s="17" t="s">
        <v>21577</v>
      </c>
      <c r="O9944" s="17"/>
      <c r="P9944" s="17" t="s">
        <v>22246</v>
      </c>
      <c r="Q9944" s="17"/>
      <c r="R9944" s="25" t="str">
        <f>HYPERLINK("https://ictv.global/taxonomy/taxondetails?taxnode_id=202316718","Trucevirus choradaptatum")</f>
        <v>Trucevirus choradaptatum</v>
      </c>
      <c r="S9944" s="18" t="s">
        <v>30</v>
      </c>
      <c r="T9944" s="18" t="s">
        <v>44103</v>
      </c>
      <c r="U9944" s="18"/>
      <c r="V9944" s="18"/>
      <c r="W9944" s="18" t="s">
        <v>44104</v>
      </c>
      <c r="X9944" s="18" t="s">
        <v>35</v>
      </c>
      <c r="Y9944" s="18" t="s">
        <v>17171</v>
      </c>
      <c r="Z9944" s="18" t="s">
        <v>24637</v>
      </c>
      <c r="AA9944" s="21" t="str">
        <f>HYPERLINK("https://www.ncbi.nlm.nih.gov/nuccore/CASDWV010003308","NCBI Nucleotide")</f>
        <v>NCBI Nucleotide</v>
      </c>
    </row>
    <row r="9945" spans="1:27" x14ac:dyDescent="0.35">
      <c r="A9945">
        <v>1009726</v>
      </c>
      <c r="B9945">
        <v>9270</v>
      </c>
      <c r="C9945">
        <v>1</v>
      </c>
      <c r="D9945" s="17" t="s">
        <v>17166</v>
      </c>
      <c r="E9945" s="17"/>
      <c r="F9945" s="17" t="s">
        <v>17246</v>
      </c>
      <c r="G9945" s="17"/>
      <c r="H9945" s="17" t="s">
        <v>20919</v>
      </c>
      <c r="I9945" s="17"/>
      <c r="J9945" s="17" t="s">
        <v>21313</v>
      </c>
      <c r="K9945" s="17"/>
      <c r="L9945" s="17" t="s">
        <v>21326</v>
      </c>
      <c r="M9945" s="17"/>
      <c r="N9945" s="17" t="s">
        <v>21577</v>
      </c>
      <c r="O9945" s="17"/>
      <c r="P9945" s="17" t="s">
        <v>22246</v>
      </c>
      <c r="Q9945" s="17"/>
      <c r="R9945" s="25" t="str">
        <f>HYPERLINK("https://ictv.global/taxonomy/taxondetails?taxnode_id=202310658","Trucevirus pedenecus")</f>
        <v>Trucevirus pedenecus</v>
      </c>
      <c r="S9945" s="18" t="s">
        <v>30</v>
      </c>
      <c r="T9945" s="18" t="s">
        <v>22247</v>
      </c>
      <c r="U9945" s="18"/>
      <c r="V9945" s="18"/>
      <c r="W9945" s="18" t="s">
        <v>22248</v>
      </c>
      <c r="X9945" s="18" t="s">
        <v>35</v>
      </c>
      <c r="Y9945" s="18" t="s">
        <v>17171</v>
      </c>
      <c r="Z9945" s="18" t="s">
        <v>697</v>
      </c>
      <c r="AA9945" s="21" t="str">
        <f>HYPERLINK("https://www.ncbi.nlm.nih.gov/nuccore/BK013852","NCBI Nucleotide")</f>
        <v>NCBI Nucleotide</v>
      </c>
    </row>
    <row r="9946" spans="1:27" x14ac:dyDescent="0.35">
      <c r="A9946">
        <v>1026284</v>
      </c>
      <c r="B9946">
        <v>9271</v>
      </c>
      <c r="C9946">
        <v>1</v>
      </c>
      <c r="D9946" s="17" t="s">
        <v>17166</v>
      </c>
      <c r="E9946" s="17"/>
      <c r="F9946" s="17" t="s">
        <v>17246</v>
      </c>
      <c r="G9946" s="17"/>
      <c r="H9946" s="17" t="s">
        <v>20919</v>
      </c>
      <c r="I9946" s="17"/>
      <c r="J9946" s="17" t="s">
        <v>21313</v>
      </c>
      <c r="K9946" s="17"/>
      <c r="L9946" s="17" t="s">
        <v>21326</v>
      </c>
      <c r="M9946" s="17"/>
      <c r="N9946" s="17" t="s">
        <v>21577</v>
      </c>
      <c r="O9946" s="17"/>
      <c r="P9946" s="17" t="s">
        <v>22246</v>
      </c>
      <c r="Q9946" s="17"/>
      <c r="R9946" s="25" t="str">
        <f>HYPERLINK("https://ictv.global/taxonomy/taxondetails?taxnode_id=202316719","Trucevirus pedovivens")</f>
        <v>Trucevirus pedovivens</v>
      </c>
      <c r="S9946" s="18" t="s">
        <v>30</v>
      </c>
      <c r="T9946" s="18" t="s">
        <v>44105</v>
      </c>
      <c r="U9946" s="18"/>
      <c r="V9946" s="18"/>
      <c r="W9946" s="18" t="s">
        <v>44106</v>
      </c>
      <c r="X9946" s="18" t="s">
        <v>35</v>
      </c>
      <c r="Y9946" s="18" t="s">
        <v>17171</v>
      </c>
      <c r="Z9946" s="18" t="s">
        <v>24637</v>
      </c>
      <c r="AA9946" s="21" t="str">
        <f>HYPERLINK("https://www.ncbi.nlm.nih.gov/nuccore/CASDWV010002416","NCBI Nucleotide")</f>
        <v>NCBI Nucleotide</v>
      </c>
    </row>
    <row r="9947" spans="1:27" x14ac:dyDescent="0.35">
      <c r="A9947">
        <v>1026285</v>
      </c>
      <c r="B9947">
        <v>9272</v>
      </c>
      <c r="C9947">
        <v>1</v>
      </c>
      <c r="D9947" s="17" t="s">
        <v>17166</v>
      </c>
      <c r="E9947" s="17"/>
      <c r="F9947" s="17" t="s">
        <v>17246</v>
      </c>
      <c r="G9947" s="17"/>
      <c r="H9947" s="17" t="s">
        <v>20919</v>
      </c>
      <c r="I9947" s="17"/>
      <c r="J9947" s="17" t="s">
        <v>21313</v>
      </c>
      <c r="K9947" s="17"/>
      <c r="L9947" s="17" t="s">
        <v>21326</v>
      </c>
      <c r="M9947" s="17"/>
      <c r="N9947" s="17" t="s">
        <v>21577</v>
      </c>
      <c r="O9947" s="17"/>
      <c r="P9947" s="17" t="s">
        <v>44107</v>
      </c>
      <c r="Q9947" s="17"/>
      <c r="R9947" s="25" t="str">
        <f>HYPERLINK("https://ictv.global/taxonomy/taxondetails?taxnode_id=202316720","Tudmivirus arvihabitans")</f>
        <v>Tudmivirus arvihabitans</v>
      </c>
      <c r="S9947" s="18" t="s">
        <v>30</v>
      </c>
      <c r="T9947" s="18" t="s">
        <v>44108</v>
      </c>
      <c r="U9947" s="18"/>
      <c r="V9947" s="18"/>
      <c r="W9947" s="18" t="s">
        <v>44109</v>
      </c>
      <c r="X9947" s="18" t="s">
        <v>35</v>
      </c>
      <c r="Y9947" s="18" t="s">
        <v>17171</v>
      </c>
      <c r="Z9947" s="18" t="s">
        <v>24637</v>
      </c>
      <c r="AA9947" s="21" t="str">
        <f>HYPERLINK("https://www.ncbi.nlm.nih.gov/nuccore/CASDWV010000484","NCBI Nucleotide")</f>
        <v>NCBI Nucleotide</v>
      </c>
    </row>
    <row r="9948" spans="1:27" x14ac:dyDescent="0.35">
      <c r="A9948">
        <v>1009729</v>
      </c>
      <c r="B9948">
        <v>9273</v>
      </c>
      <c r="C9948">
        <v>1</v>
      </c>
      <c r="D9948" s="17" t="s">
        <v>17166</v>
      </c>
      <c r="E9948" s="17"/>
      <c r="F9948" s="17" t="s">
        <v>17246</v>
      </c>
      <c r="G9948" s="17"/>
      <c r="H9948" s="17" t="s">
        <v>20919</v>
      </c>
      <c r="I9948" s="17"/>
      <c r="J9948" s="17" t="s">
        <v>21313</v>
      </c>
      <c r="K9948" s="17"/>
      <c r="L9948" s="17" t="s">
        <v>21326</v>
      </c>
      <c r="M9948" s="17"/>
      <c r="N9948" s="17" t="s">
        <v>21577</v>
      </c>
      <c r="O9948" s="17"/>
      <c r="P9948" s="17" t="s">
        <v>44110</v>
      </c>
      <c r="Q9948" s="17"/>
      <c r="R9948" s="25" t="str">
        <f>HYPERLINK("https://ictv.global/taxonomy/taxondetails?taxnode_id=202310664","Tysohivirus limenecus")</f>
        <v>Tysohivirus limenecus</v>
      </c>
      <c r="S9948" s="18" t="s">
        <v>30</v>
      </c>
      <c r="T9948" s="18" t="s">
        <v>22255</v>
      </c>
      <c r="U9948" s="18"/>
      <c r="V9948" s="18"/>
      <c r="W9948" s="18" t="s">
        <v>22256</v>
      </c>
      <c r="X9948" s="18" t="s">
        <v>35</v>
      </c>
      <c r="Y9948" s="18" t="s">
        <v>17171</v>
      </c>
      <c r="Z9948" s="18" t="s">
        <v>697</v>
      </c>
      <c r="AA9948" s="21" t="str">
        <f>HYPERLINK("https://www.ncbi.nlm.nih.gov/nuccore/BK013656","NCBI Nucleotide")</f>
        <v>NCBI Nucleotide</v>
      </c>
    </row>
    <row r="9949" spans="1:27" x14ac:dyDescent="0.35">
      <c r="A9949">
        <v>1009663</v>
      </c>
      <c r="B9949">
        <v>9274</v>
      </c>
      <c r="C9949">
        <v>1</v>
      </c>
      <c r="D9949" s="17" t="s">
        <v>17166</v>
      </c>
      <c r="E9949" s="17"/>
      <c r="F9949" s="17" t="s">
        <v>17246</v>
      </c>
      <c r="G9949" s="17"/>
      <c r="H9949" s="17" t="s">
        <v>20919</v>
      </c>
      <c r="I9949" s="17"/>
      <c r="J9949" s="17" t="s">
        <v>21313</v>
      </c>
      <c r="K9949" s="17"/>
      <c r="L9949" s="17" t="s">
        <v>21326</v>
      </c>
      <c r="M9949" s="17"/>
      <c r="N9949" s="17" t="s">
        <v>21577</v>
      </c>
      <c r="O9949" s="17"/>
      <c r="P9949" s="17" t="s">
        <v>44111</v>
      </c>
      <c r="Q9949" s="17"/>
      <c r="R9949" s="25" t="str">
        <f>HYPERLINK("https://ictv.global/taxonomy/taxondetails?taxnode_id=202310559","Ulinhavirus borborohabitans")</f>
        <v>Ulinhavirus borborohabitans</v>
      </c>
      <c r="S9949" s="18" t="s">
        <v>30</v>
      </c>
      <c r="T9949" s="18" t="s">
        <v>22097</v>
      </c>
      <c r="U9949" s="18"/>
      <c r="V9949" s="18"/>
      <c r="W9949" s="18" t="s">
        <v>22098</v>
      </c>
      <c r="X9949" s="18" t="s">
        <v>35</v>
      </c>
      <c r="Y9949" s="18" t="s">
        <v>17171</v>
      </c>
      <c r="Z9949" s="18" t="s">
        <v>697</v>
      </c>
      <c r="AA9949" s="21" t="str">
        <f>HYPERLINK("https://www.ncbi.nlm.nih.gov/nuccore/BK014115","NCBI Nucleotide")</f>
        <v>NCBI Nucleotide</v>
      </c>
    </row>
    <row r="9950" spans="1:27" x14ac:dyDescent="0.35">
      <c r="A9950">
        <v>1009664</v>
      </c>
      <c r="B9950">
        <v>9275</v>
      </c>
      <c r="C9950">
        <v>1</v>
      </c>
      <c r="D9950" s="17" t="s">
        <v>17166</v>
      </c>
      <c r="E9950" s="17"/>
      <c r="F9950" s="17" t="s">
        <v>17246</v>
      </c>
      <c r="G9950" s="17"/>
      <c r="H9950" s="17" t="s">
        <v>20919</v>
      </c>
      <c r="I9950" s="17"/>
      <c r="J9950" s="17" t="s">
        <v>21313</v>
      </c>
      <c r="K9950" s="17"/>
      <c r="L9950" s="17" t="s">
        <v>21326</v>
      </c>
      <c r="M9950" s="17"/>
      <c r="N9950" s="17" t="s">
        <v>21577</v>
      </c>
      <c r="O9950" s="17"/>
      <c r="P9950" s="17" t="s">
        <v>44111</v>
      </c>
      <c r="Q9950" s="17"/>
      <c r="R9950" s="25" t="str">
        <f>HYPERLINK("https://ictv.global/taxonomy/taxondetails?taxnode_id=202310560","Ulinhavirus borborovicinum")</f>
        <v>Ulinhavirus borborovicinum</v>
      </c>
      <c r="S9950" s="18" t="s">
        <v>30</v>
      </c>
      <c r="T9950" s="18" t="s">
        <v>22099</v>
      </c>
      <c r="U9950" s="18"/>
      <c r="V9950" s="18"/>
      <c r="W9950" s="18" t="s">
        <v>22100</v>
      </c>
      <c r="X9950" s="18" t="s">
        <v>35</v>
      </c>
      <c r="Y9950" s="18" t="s">
        <v>17171</v>
      </c>
      <c r="Z9950" s="18" t="s">
        <v>697</v>
      </c>
      <c r="AA9950" s="21" t="str">
        <f>HYPERLINK("https://www.ncbi.nlm.nih.gov/nuccore/BK013662","NCBI Nucleotide")</f>
        <v>NCBI Nucleotide</v>
      </c>
    </row>
    <row r="9951" spans="1:27" x14ac:dyDescent="0.35">
      <c r="A9951">
        <v>1009665</v>
      </c>
      <c r="B9951">
        <v>9276</v>
      </c>
      <c r="C9951">
        <v>1</v>
      </c>
      <c r="D9951" s="17" t="s">
        <v>17166</v>
      </c>
      <c r="E9951" s="17"/>
      <c r="F9951" s="17" t="s">
        <v>17246</v>
      </c>
      <c r="G9951" s="17"/>
      <c r="H9951" s="17" t="s">
        <v>20919</v>
      </c>
      <c r="I9951" s="17"/>
      <c r="J9951" s="17" t="s">
        <v>21313</v>
      </c>
      <c r="K9951" s="17"/>
      <c r="L9951" s="17" t="s">
        <v>21326</v>
      </c>
      <c r="M9951" s="17"/>
      <c r="N9951" s="17" t="s">
        <v>21577</v>
      </c>
      <c r="O9951" s="17"/>
      <c r="P9951" s="17" t="s">
        <v>44111</v>
      </c>
      <c r="Q9951" s="17"/>
      <c r="R9951" s="25" t="str">
        <f>HYPERLINK("https://ictv.global/taxonomy/taxondetails?taxnode_id=202310561","Ulinhavirus borborovivens")</f>
        <v>Ulinhavirus borborovivens</v>
      </c>
      <c r="S9951" s="18" t="s">
        <v>30</v>
      </c>
      <c r="T9951" s="18" t="s">
        <v>22101</v>
      </c>
      <c r="U9951" s="18"/>
      <c r="V9951" s="18"/>
      <c r="W9951" s="18" t="s">
        <v>22102</v>
      </c>
      <c r="X9951" s="18" t="s">
        <v>35</v>
      </c>
      <c r="Y9951" s="18" t="s">
        <v>17171</v>
      </c>
      <c r="Z9951" s="18" t="s">
        <v>697</v>
      </c>
      <c r="AA9951" s="21" t="str">
        <f>HYPERLINK("https://www.ncbi.nlm.nih.gov/nuccore/BK013608","NCBI Nucleotide")</f>
        <v>NCBI Nucleotide</v>
      </c>
    </row>
    <row r="9952" spans="1:27" x14ac:dyDescent="0.35">
      <c r="A9952">
        <v>1009475</v>
      </c>
      <c r="B9952">
        <v>9277</v>
      </c>
      <c r="C9952">
        <v>1</v>
      </c>
      <c r="D9952" s="17" t="s">
        <v>17166</v>
      </c>
      <c r="E9952" s="17"/>
      <c r="F9952" s="17" t="s">
        <v>17246</v>
      </c>
      <c r="G9952" s="17"/>
      <c r="H9952" s="17" t="s">
        <v>20919</v>
      </c>
      <c r="I9952" s="17"/>
      <c r="J9952" s="17" t="s">
        <v>21313</v>
      </c>
      <c r="K9952" s="17"/>
      <c r="L9952" s="17" t="s">
        <v>21326</v>
      </c>
      <c r="M9952" s="17"/>
      <c r="N9952" s="17" t="s">
        <v>21577</v>
      </c>
      <c r="O9952" s="17"/>
      <c r="P9952" s="17" t="s">
        <v>44112</v>
      </c>
      <c r="Q9952" s="17"/>
      <c r="R9952" s="25" t="str">
        <f>HYPERLINK("https://ictv.global/taxonomy/taxondetails?taxnode_id=202310262","Upborqevirus asiovicinum")</f>
        <v>Upborqevirus asiovicinum</v>
      </c>
      <c r="S9952" s="18" t="s">
        <v>30</v>
      </c>
      <c r="T9952" s="18" t="s">
        <v>21638</v>
      </c>
      <c r="U9952" s="18"/>
      <c r="V9952" s="18"/>
      <c r="W9952" s="18" t="s">
        <v>21639</v>
      </c>
      <c r="X9952" s="18" t="s">
        <v>35</v>
      </c>
      <c r="Y9952" s="18" t="s">
        <v>17171</v>
      </c>
      <c r="Z9952" s="18" t="s">
        <v>697</v>
      </c>
      <c r="AA9952" s="21" t="str">
        <f>HYPERLINK("https://www.ncbi.nlm.nih.gov/nuccore/BK013696","NCBI Nucleotide")</f>
        <v>NCBI Nucleotide</v>
      </c>
    </row>
    <row r="9953" spans="1:27" x14ac:dyDescent="0.35">
      <c r="A9953">
        <v>1009476</v>
      </c>
      <c r="B9953">
        <v>9278</v>
      </c>
      <c r="C9953">
        <v>1</v>
      </c>
      <c r="D9953" s="17" t="s">
        <v>17166</v>
      </c>
      <c r="E9953" s="17"/>
      <c r="F9953" s="17" t="s">
        <v>17246</v>
      </c>
      <c r="G9953" s="17"/>
      <c r="H9953" s="17" t="s">
        <v>20919</v>
      </c>
      <c r="I9953" s="17"/>
      <c r="J9953" s="17" t="s">
        <v>21313</v>
      </c>
      <c r="K9953" s="17"/>
      <c r="L9953" s="17" t="s">
        <v>21326</v>
      </c>
      <c r="M9953" s="17"/>
      <c r="N9953" s="17" t="s">
        <v>21577</v>
      </c>
      <c r="O9953" s="17"/>
      <c r="P9953" s="17" t="s">
        <v>44112</v>
      </c>
      <c r="Q9953" s="17"/>
      <c r="R9953" s="25" t="str">
        <f>HYPERLINK("https://ictv.global/taxonomy/taxondetails?taxnode_id=202310260","Upborqevirus asiovivens")</f>
        <v>Upborqevirus asiovivens</v>
      </c>
      <c r="S9953" s="18" t="s">
        <v>30</v>
      </c>
      <c r="T9953" s="18" t="s">
        <v>21640</v>
      </c>
      <c r="U9953" s="18"/>
      <c r="V9953" s="18"/>
      <c r="W9953" s="18" t="s">
        <v>21641</v>
      </c>
      <c r="X9953" s="18" t="s">
        <v>35</v>
      </c>
      <c r="Y9953" s="18" t="s">
        <v>17171</v>
      </c>
      <c r="Z9953" s="18" t="s">
        <v>697</v>
      </c>
      <c r="AA9953" s="21" t="str">
        <f>HYPERLINK("https://www.ncbi.nlm.nih.gov/nuccore/BK013701","NCBI Nucleotide")</f>
        <v>NCBI Nucleotide</v>
      </c>
    </row>
    <row r="9954" spans="1:27" x14ac:dyDescent="0.35">
      <c r="A9954">
        <v>1009727</v>
      </c>
      <c r="B9954">
        <v>9279</v>
      </c>
      <c r="C9954">
        <v>1</v>
      </c>
      <c r="D9954" s="17" t="s">
        <v>17166</v>
      </c>
      <c r="E9954" s="17"/>
      <c r="F9954" s="17" t="s">
        <v>17246</v>
      </c>
      <c r="G9954" s="17"/>
      <c r="H9954" s="17" t="s">
        <v>20919</v>
      </c>
      <c r="I9954" s="17"/>
      <c r="J9954" s="17" t="s">
        <v>21313</v>
      </c>
      <c r="K9954" s="17"/>
      <c r="L9954" s="17" t="s">
        <v>21326</v>
      </c>
      <c r="M9954" s="17"/>
      <c r="N9954" s="17" t="s">
        <v>21577</v>
      </c>
      <c r="O9954" s="17"/>
      <c r="P9954" s="17" t="s">
        <v>22249</v>
      </c>
      <c r="Q9954" s="17"/>
      <c r="R9954" s="25" t="str">
        <f>HYPERLINK("https://ictv.global/taxonomy/taxondetails?taxnode_id=202310660","Ureyisuvirus caenihabitans")</f>
        <v>Ureyisuvirus caenihabitans</v>
      </c>
      <c r="S9954" s="18" t="s">
        <v>30</v>
      </c>
      <c r="T9954" s="18" t="s">
        <v>22250</v>
      </c>
      <c r="U9954" s="18"/>
      <c r="V9954" s="18"/>
      <c r="W9954" s="18" t="s">
        <v>22251</v>
      </c>
      <c r="X9954" s="18" t="s">
        <v>35</v>
      </c>
      <c r="Y9954" s="18" t="s">
        <v>17171</v>
      </c>
      <c r="Z9954" s="18" t="s">
        <v>697</v>
      </c>
      <c r="AA9954" s="21" t="str">
        <f>HYPERLINK("https://www.ncbi.nlm.nih.gov/nuccore/BK014201","NCBI Nucleotide")</f>
        <v>NCBI Nucleotide</v>
      </c>
    </row>
    <row r="9955" spans="1:27" x14ac:dyDescent="0.35">
      <c r="A9955">
        <v>1009728</v>
      </c>
      <c r="B9955">
        <v>9280</v>
      </c>
      <c r="C9955">
        <v>1</v>
      </c>
      <c r="D9955" s="17" t="s">
        <v>17166</v>
      </c>
      <c r="E9955" s="17"/>
      <c r="F9955" s="17" t="s">
        <v>17246</v>
      </c>
      <c r="G9955" s="17"/>
      <c r="H9955" s="17" t="s">
        <v>20919</v>
      </c>
      <c r="I9955" s="17"/>
      <c r="J9955" s="17" t="s">
        <v>21313</v>
      </c>
      <c r="K9955" s="17"/>
      <c r="L9955" s="17" t="s">
        <v>21326</v>
      </c>
      <c r="M9955" s="17"/>
      <c r="N9955" s="17" t="s">
        <v>21577</v>
      </c>
      <c r="O9955" s="17"/>
      <c r="P9955" s="17" t="s">
        <v>22252</v>
      </c>
      <c r="Q9955" s="17"/>
      <c r="R9955" s="25" t="str">
        <f>HYPERLINK("https://ictv.global/taxonomy/taxondetails?taxnode_id=202310662","Ushumevirus caenivicinum")</f>
        <v>Ushumevirus caenivicinum</v>
      </c>
      <c r="S9955" s="18" t="s">
        <v>30</v>
      </c>
      <c r="T9955" s="18" t="s">
        <v>22253</v>
      </c>
      <c r="U9955" s="18"/>
      <c r="V9955" s="18"/>
      <c r="W9955" s="18" t="s">
        <v>22254</v>
      </c>
      <c r="X9955" s="18" t="s">
        <v>35</v>
      </c>
      <c r="Y9955" s="18" t="s">
        <v>17171</v>
      </c>
      <c r="Z9955" s="18" t="s">
        <v>697</v>
      </c>
      <c r="AA9955" s="21" t="str">
        <f>HYPERLINK("https://www.ncbi.nlm.nih.gov/nuccore/BK014218","NCBI Nucleotide")</f>
        <v>NCBI Nucleotide</v>
      </c>
    </row>
    <row r="9956" spans="1:27" x14ac:dyDescent="0.35">
      <c r="A9956">
        <v>1027464</v>
      </c>
      <c r="B9956">
        <v>9281</v>
      </c>
      <c r="C9956">
        <v>1</v>
      </c>
      <c r="D9956" s="17" t="s">
        <v>17166</v>
      </c>
      <c r="E9956" s="17"/>
      <c r="F9956" s="17" t="s">
        <v>17246</v>
      </c>
      <c r="G9956" s="17"/>
      <c r="H9956" s="17" t="s">
        <v>20919</v>
      </c>
      <c r="I9956" s="17"/>
      <c r="J9956" s="17" t="s">
        <v>21313</v>
      </c>
      <c r="K9956" s="17"/>
      <c r="L9956" s="17" t="s">
        <v>21326</v>
      </c>
      <c r="M9956" s="17"/>
      <c r="N9956" s="17" t="s">
        <v>21577</v>
      </c>
      <c r="O9956" s="17"/>
      <c r="P9956" s="17" t="s">
        <v>22259</v>
      </c>
      <c r="Q9956" s="17"/>
      <c r="R9956" s="25" t="str">
        <f>HYPERLINK("https://ictv.global/taxonomy/taxondetails?taxnode_id=202316721","Vohsuavirus agrenecus")</f>
        <v>Vohsuavirus agrenecus</v>
      </c>
      <c r="S9956" s="18" t="s">
        <v>30</v>
      </c>
      <c r="T9956" s="18" t="s">
        <v>44113</v>
      </c>
      <c r="U9956" s="18"/>
      <c r="V9956" s="18"/>
      <c r="W9956" s="18" t="s">
        <v>44114</v>
      </c>
      <c r="X9956" s="18" t="s">
        <v>35</v>
      </c>
      <c r="Y9956" s="18" t="s">
        <v>17171</v>
      </c>
      <c r="Z9956" s="18" t="s">
        <v>24637</v>
      </c>
      <c r="AA9956" s="21" t="str">
        <f>HYPERLINK("https://www.ncbi.nlm.nih.gov/nuccore/CASDWV010001407","NCBI Nucleotide")</f>
        <v>NCBI Nucleotide</v>
      </c>
    </row>
    <row r="9957" spans="1:27" x14ac:dyDescent="0.35">
      <c r="A9957">
        <v>1027465</v>
      </c>
      <c r="B9957">
        <v>9282</v>
      </c>
      <c r="C9957">
        <v>1</v>
      </c>
      <c r="D9957" s="17" t="s">
        <v>17166</v>
      </c>
      <c r="E9957" s="17"/>
      <c r="F9957" s="17" t="s">
        <v>17246</v>
      </c>
      <c r="G9957" s="17"/>
      <c r="H9957" s="17" t="s">
        <v>20919</v>
      </c>
      <c r="I9957" s="17"/>
      <c r="J9957" s="17" t="s">
        <v>21313</v>
      </c>
      <c r="K9957" s="17"/>
      <c r="L9957" s="17" t="s">
        <v>21326</v>
      </c>
      <c r="M9957" s="17"/>
      <c r="N9957" s="17" t="s">
        <v>21577</v>
      </c>
      <c r="O9957" s="17"/>
      <c r="P9957" s="17" t="s">
        <v>22259</v>
      </c>
      <c r="Q9957" s="17"/>
      <c r="R9957" s="25" t="str">
        <f>HYPERLINK("https://ictv.global/taxonomy/taxondetails?taxnode_id=202316722","Vohsuavirus asiocola")</f>
        <v>Vohsuavirus asiocola</v>
      </c>
      <c r="S9957" s="18" t="s">
        <v>30</v>
      </c>
      <c r="T9957" s="18" t="s">
        <v>44115</v>
      </c>
      <c r="U9957" s="18"/>
      <c r="V9957" s="18"/>
      <c r="W9957" s="18" t="s">
        <v>44116</v>
      </c>
      <c r="X9957" s="18" t="s">
        <v>35</v>
      </c>
      <c r="Y9957" s="18" t="s">
        <v>17171</v>
      </c>
      <c r="Z9957" s="18" t="s">
        <v>24637</v>
      </c>
      <c r="AA9957" s="21" t="str">
        <f>HYPERLINK("https://www.ncbi.nlm.nih.gov/nuccore/CASDWV010001189","NCBI Nucleotide")</f>
        <v>NCBI Nucleotide</v>
      </c>
    </row>
    <row r="9958" spans="1:27" x14ac:dyDescent="0.35">
      <c r="A9958">
        <v>1027466</v>
      </c>
      <c r="B9958">
        <v>9283</v>
      </c>
      <c r="C9958">
        <v>1</v>
      </c>
      <c r="D9958" s="17" t="s">
        <v>17166</v>
      </c>
      <c r="E9958" s="17"/>
      <c r="F9958" s="17" t="s">
        <v>17246</v>
      </c>
      <c r="G9958" s="17"/>
      <c r="H9958" s="17" t="s">
        <v>20919</v>
      </c>
      <c r="I9958" s="17"/>
      <c r="J9958" s="17" t="s">
        <v>21313</v>
      </c>
      <c r="K9958" s="17"/>
      <c r="L9958" s="17" t="s">
        <v>21326</v>
      </c>
      <c r="M9958" s="17"/>
      <c r="N9958" s="17" t="s">
        <v>21577</v>
      </c>
      <c r="O9958" s="17"/>
      <c r="P9958" s="17" t="s">
        <v>22259</v>
      </c>
      <c r="Q9958" s="17"/>
      <c r="R9958" s="25" t="str">
        <f>HYPERLINK("https://ictv.global/taxonomy/taxondetails?taxnode_id=202316723","Vohsuavirus caenihabitans")</f>
        <v>Vohsuavirus caenihabitans</v>
      </c>
      <c r="S9958" s="18" t="s">
        <v>30</v>
      </c>
      <c r="T9958" s="18" t="s">
        <v>44117</v>
      </c>
      <c r="U9958" s="18"/>
      <c r="V9958" s="18"/>
      <c r="W9958" s="18" t="s">
        <v>44118</v>
      </c>
      <c r="X9958" s="18" t="s">
        <v>35</v>
      </c>
      <c r="Y9958" s="18" t="s">
        <v>17171</v>
      </c>
      <c r="Z9958" s="18" t="s">
        <v>24637</v>
      </c>
      <c r="AA9958" s="21" t="str">
        <f>HYPERLINK("https://www.ncbi.nlm.nih.gov/nuccore/CASDWV010003956","NCBI Nucleotide")</f>
        <v>NCBI Nucleotide</v>
      </c>
    </row>
    <row r="9959" spans="1:27" x14ac:dyDescent="0.35">
      <c r="A9959">
        <v>1027467</v>
      </c>
      <c r="B9959">
        <v>9284</v>
      </c>
      <c r="C9959">
        <v>1</v>
      </c>
      <c r="D9959" s="17" t="s">
        <v>17166</v>
      </c>
      <c r="E9959" s="17"/>
      <c r="F9959" s="17" t="s">
        <v>17246</v>
      </c>
      <c r="G9959" s="17"/>
      <c r="H9959" s="17" t="s">
        <v>20919</v>
      </c>
      <c r="I9959" s="17"/>
      <c r="J9959" s="17" t="s">
        <v>21313</v>
      </c>
      <c r="K9959" s="17"/>
      <c r="L9959" s="17" t="s">
        <v>21326</v>
      </c>
      <c r="M9959" s="17"/>
      <c r="N9959" s="17" t="s">
        <v>21577</v>
      </c>
      <c r="O9959" s="17"/>
      <c r="P9959" s="17" t="s">
        <v>22259</v>
      </c>
      <c r="Q9959" s="17"/>
      <c r="R9959" s="25" t="str">
        <f>HYPERLINK("https://ictv.global/taxonomy/taxondetails?taxnode_id=202316724","Vohsuavirus dinebradaptatum")</f>
        <v>Vohsuavirus dinebradaptatum</v>
      </c>
      <c r="S9959" s="18" t="s">
        <v>30</v>
      </c>
      <c r="T9959" s="18" t="s">
        <v>44119</v>
      </c>
      <c r="U9959" s="18"/>
      <c r="V9959" s="18" t="s">
        <v>44120</v>
      </c>
      <c r="W9959" s="18" t="s">
        <v>44121</v>
      </c>
      <c r="X9959" s="18" t="s">
        <v>35</v>
      </c>
      <c r="Y9959" s="18" t="s">
        <v>17171</v>
      </c>
      <c r="Z9959" s="18" t="s">
        <v>17336</v>
      </c>
      <c r="AA9959" s="21" t="str">
        <f>HYPERLINK("https://www.ncbi.nlm.nih.gov/nuccore/OM514462","NCBI Nucleotide")</f>
        <v>NCBI Nucleotide</v>
      </c>
    </row>
    <row r="9960" spans="1:27" x14ac:dyDescent="0.35">
      <c r="A9960">
        <v>1027468</v>
      </c>
      <c r="B9960">
        <v>9285</v>
      </c>
      <c r="C9960">
        <v>1</v>
      </c>
      <c r="D9960" s="17" t="s">
        <v>17166</v>
      </c>
      <c r="E9960" s="17"/>
      <c r="F9960" s="17" t="s">
        <v>17246</v>
      </c>
      <c r="G9960" s="17"/>
      <c r="H9960" s="17" t="s">
        <v>20919</v>
      </c>
      <c r="I9960" s="17"/>
      <c r="J9960" s="17" t="s">
        <v>21313</v>
      </c>
      <c r="K9960" s="17"/>
      <c r="L9960" s="17" t="s">
        <v>21326</v>
      </c>
      <c r="M9960" s="17"/>
      <c r="N9960" s="17" t="s">
        <v>21577</v>
      </c>
      <c r="O9960" s="17"/>
      <c r="P9960" s="17" t="s">
        <v>22259</v>
      </c>
      <c r="Q9960" s="17"/>
      <c r="R9960" s="25" t="str">
        <f>HYPERLINK("https://ictv.global/taxonomy/taxondetails?taxnode_id=202316725","Vohsuavirus dinebrivivens")</f>
        <v>Vohsuavirus dinebrivivens</v>
      </c>
      <c r="S9960" s="18" t="s">
        <v>30</v>
      </c>
      <c r="T9960" s="18" t="s">
        <v>44122</v>
      </c>
      <c r="U9960" s="18"/>
      <c r="V9960" s="18" t="s">
        <v>44123</v>
      </c>
      <c r="W9960" s="18" t="s">
        <v>44124</v>
      </c>
      <c r="X9960" s="18" t="s">
        <v>35</v>
      </c>
      <c r="Y9960" s="18" t="s">
        <v>17171</v>
      </c>
      <c r="Z9960" s="18" t="s">
        <v>17336</v>
      </c>
      <c r="AA9960" s="21" t="str">
        <f>HYPERLINK("https://www.ncbi.nlm.nih.gov/nuccore/OM514464","NCBI Nucleotide")</f>
        <v>NCBI Nucleotide</v>
      </c>
    </row>
    <row r="9961" spans="1:27" x14ac:dyDescent="0.35">
      <c r="A9961">
        <v>1027469</v>
      </c>
      <c r="B9961">
        <v>9286</v>
      </c>
      <c r="C9961">
        <v>1</v>
      </c>
      <c r="D9961" s="17" t="s">
        <v>17166</v>
      </c>
      <c r="E9961" s="17"/>
      <c r="F9961" s="17" t="s">
        <v>17246</v>
      </c>
      <c r="G9961" s="17"/>
      <c r="H9961" s="17" t="s">
        <v>20919</v>
      </c>
      <c r="I9961" s="17"/>
      <c r="J9961" s="17" t="s">
        <v>21313</v>
      </c>
      <c r="K9961" s="17"/>
      <c r="L9961" s="17" t="s">
        <v>21326</v>
      </c>
      <c r="M9961" s="17"/>
      <c r="N9961" s="17" t="s">
        <v>21577</v>
      </c>
      <c r="O9961" s="17"/>
      <c r="P9961" s="17" t="s">
        <v>22259</v>
      </c>
      <c r="Q9961" s="17"/>
      <c r="R9961" s="25" t="str">
        <f>HYPERLINK("https://ictv.global/taxonomy/taxondetails?taxnode_id=202316726","Vohsuavirus edaphocola")</f>
        <v>Vohsuavirus edaphocola</v>
      </c>
      <c r="S9961" s="18" t="s">
        <v>30</v>
      </c>
      <c r="T9961" s="18" t="s">
        <v>44125</v>
      </c>
      <c r="U9961" s="18"/>
      <c r="V9961" s="18"/>
      <c r="W9961" s="18" t="s">
        <v>44126</v>
      </c>
      <c r="X9961" s="18" t="s">
        <v>35</v>
      </c>
      <c r="Y9961" s="18" t="s">
        <v>17171</v>
      </c>
      <c r="Z9961" s="18" t="s">
        <v>24637</v>
      </c>
      <c r="AA9961" s="21" t="str">
        <f>HYPERLINK("https://www.ncbi.nlm.nih.gov/nuccore/CASDWV010000016","NCBI Nucleotide")</f>
        <v>NCBI Nucleotide</v>
      </c>
    </row>
    <row r="9962" spans="1:27" x14ac:dyDescent="0.35">
      <c r="A9962">
        <v>1027470</v>
      </c>
      <c r="B9962">
        <v>9287</v>
      </c>
      <c r="C9962">
        <v>1</v>
      </c>
      <c r="D9962" s="17" t="s">
        <v>17166</v>
      </c>
      <c r="E9962" s="17"/>
      <c r="F9962" s="17" t="s">
        <v>17246</v>
      </c>
      <c r="G9962" s="17"/>
      <c r="H9962" s="17" t="s">
        <v>20919</v>
      </c>
      <c r="I9962" s="17"/>
      <c r="J9962" s="17" t="s">
        <v>21313</v>
      </c>
      <c r="K9962" s="17"/>
      <c r="L9962" s="17" t="s">
        <v>21326</v>
      </c>
      <c r="M9962" s="17"/>
      <c r="N9962" s="17" t="s">
        <v>21577</v>
      </c>
      <c r="O9962" s="17"/>
      <c r="P9962" s="17" t="s">
        <v>22259</v>
      </c>
      <c r="Q9962" s="17"/>
      <c r="R9962" s="25" t="str">
        <f>HYPERLINK("https://ictv.global/taxonomy/taxondetails?taxnode_id=202316727","Vohsuavirus geovicinum")</f>
        <v>Vohsuavirus geovicinum</v>
      </c>
      <c r="S9962" s="18" t="s">
        <v>30</v>
      </c>
      <c r="T9962" s="18" t="s">
        <v>44127</v>
      </c>
      <c r="U9962" s="18"/>
      <c r="V9962" s="18"/>
      <c r="W9962" s="18" t="s">
        <v>44128</v>
      </c>
      <c r="X9962" s="18" t="s">
        <v>35</v>
      </c>
      <c r="Y9962" s="18" t="s">
        <v>17171</v>
      </c>
      <c r="Z9962" s="18" t="s">
        <v>24637</v>
      </c>
      <c r="AA9962" s="21" t="str">
        <f>HYPERLINK("https://www.ncbi.nlm.nih.gov/nuccore/CASDWV010002013","NCBI Nucleotide")</f>
        <v>NCBI Nucleotide</v>
      </c>
    </row>
    <row r="9963" spans="1:27" x14ac:dyDescent="0.35">
      <c r="A9963">
        <v>1027471</v>
      </c>
      <c r="B9963">
        <v>9288</v>
      </c>
      <c r="C9963">
        <v>1</v>
      </c>
      <c r="D9963" s="17" t="s">
        <v>17166</v>
      </c>
      <c r="E9963" s="17"/>
      <c r="F9963" s="17" t="s">
        <v>17246</v>
      </c>
      <c r="G9963" s="17"/>
      <c r="H9963" s="17" t="s">
        <v>20919</v>
      </c>
      <c r="I9963" s="17"/>
      <c r="J9963" s="17" t="s">
        <v>21313</v>
      </c>
      <c r="K9963" s="17"/>
      <c r="L9963" s="17" t="s">
        <v>21326</v>
      </c>
      <c r="M9963" s="17"/>
      <c r="N9963" s="17" t="s">
        <v>21577</v>
      </c>
      <c r="O9963" s="17"/>
      <c r="P9963" s="17" t="s">
        <v>22259</v>
      </c>
      <c r="Q9963" s="17"/>
      <c r="R9963" s="25" t="str">
        <f>HYPERLINK("https://ictv.global/taxonomy/taxondetails?taxnode_id=202316728","Vohsuavirus geovivens")</f>
        <v>Vohsuavirus geovivens</v>
      </c>
      <c r="S9963" s="18" t="s">
        <v>30</v>
      </c>
      <c r="T9963" s="18" t="s">
        <v>44129</v>
      </c>
      <c r="U9963" s="18"/>
      <c r="V9963" s="18"/>
      <c r="W9963" s="18" t="s">
        <v>44130</v>
      </c>
      <c r="X9963" s="18" t="s">
        <v>35</v>
      </c>
      <c r="Y9963" s="18" t="s">
        <v>17171</v>
      </c>
      <c r="Z9963" s="18" t="s">
        <v>24637</v>
      </c>
      <c r="AA9963" s="21" t="str">
        <f>HYPERLINK("https://www.ncbi.nlm.nih.gov/nuccore/CASDWV010000899","NCBI Nucleotide")</f>
        <v>NCBI Nucleotide</v>
      </c>
    </row>
    <row r="9964" spans="1:27" x14ac:dyDescent="0.35">
      <c r="A9964">
        <v>1027472</v>
      </c>
      <c r="B9964">
        <v>9289</v>
      </c>
      <c r="C9964">
        <v>1</v>
      </c>
      <c r="D9964" s="17" t="s">
        <v>17166</v>
      </c>
      <c r="E9964" s="17"/>
      <c r="F9964" s="17" t="s">
        <v>17246</v>
      </c>
      <c r="G9964" s="17"/>
      <c r="H9964" s="17" t="s">
        <v>20919</v>
      </c>
      <c r="I9964" s="17"/>
      <c r="J9964" s="17" t="s">
        <v>21313</v>
      </c>
      <c r="K9964" s="17"/>
      <c r="L9964" s="17" t="s">
        <v>21326</v>
      </c>
      <c r="M9964" s="17"/>
      <c r="N9964" s="17" t="s">
        <v>21577</v>
      </c>
      <c r="O9964" s="17"/>
      <c r="P9964" s="17" t="s">
        <v>22259</v>
      </c>
      <c r="Q9964" s="17"/>
      <c r="R9964" s="25" t="str">
        <f>HYPERLINK("https://ictv.global/taxonomy/taxondetails?taxnode_id=202316729","Vohsuavirus humihabitans")</f>
        <v>Vohsuavirus humihabitans</v>
      </c>
      <c r="S9964" s="18" t="s">
        <v>30</v>
      </c>
      <c r="T9964" s="18" t="s">
        <v>44131</v>
      </c>
      <c r="U9964" s="18"/>
      <c r="V9964" s="18"/>
      <c r="W9964" s="18" t="s">
        <v>44132</v>
      </c>
      <c r="X9964" s="18" t="s">
        <v>35</v>
      </c>
      <c r="Y9964" s="18" t="s">
        <v>17171</v>
      </c>
      <c r="Z9964" s="18" t="s">
        <v>24637</v>
      </c>
      <c r="AA9964" s="21" t="str">
        <f>HYPERLINK("https://www.ncbi.nlm.nih.gov/nuccore/CASDWV010002559","NCBI Nucleotide")</f>
        <v>NCBI Nucleotide</v>
      </c>
    </row>
    <row r="9965" spans="1:27" x14ac:dyDescent="0.35">
      <c r="A9965">
        <v>1009731</v>
      </c>
      <c r="B9965">
        <v>9290</v>
      </c>
      <c r="C9965">
        <v>1</v>
      </c>
      <c r="D9965" s="17" t="s">
        <v>17166</v>
      </c>
      <c r="E9965" s="17"/>
      <c r="F9965" s="17" t="s">
        <v>17246</v>
      </c>
      <c r="G9965" s="17"/>
      <c r="H9965" s="17" t="s">
        <v>20919</v>
      </c>
      <c r="I9965" s="17"/>
      <c r="J9965" s="17" t="s">
        <v>21313</v>
      </c>
      <c r="K9965" s="17"/>
      <c r="L9965" s="17" t="s">
        <v>21326</v>
      </c>
      <c r="M9965" s="17"/>
      <c r="N9965" s="17" t="s">
        <v>21577</v>
      </c>
      <c r="O9965" s="17"/>
      <c r="P9965" s="17" t="s">
        <v>22259</v>
      </c>
      <c r="Q9965" s="17"/>
      <c r="R9965" s="25" t="str">
        <f>HYPERLINK("https://ictv.global/taxonomy/taxondetails?taxnode_id=202310671","Vohsuavirus limihabitans")</f>
        <v>Vohsuavirus limihabitans</v>
      </c>
      <c r="S9965" s="18" t="s">
        <v>30</v>
      </c>
      <c r="T9965" s="18" t="s">
        <v>22260</v>
      </c>
      <c r="U9965" s="18"/>
      <c r="V9965" s="18"/>
      <c r="W9965" s="18" t="s">
        <v>22261</v>
      </c>
      <c r="X9965" s="18" t="s">
        <v>35</v>
      </c>
      <c r="Y9965" s="18" t="s">
        <v>17171</v>
      </c>
      <c r="Z9965" s="18" t="s">
        <v>697</v>
      </c>
      <c r="AA9965" s="21" t="str">
        <f>HYPERLINK("https://www.ncbi.nlm.nih.gov/nuccore/BK013582","NCBI Nucleotide")</f>
        <v>NCBI Nucleotide</v>
      </c>
    </row>
    <row r="9966" spans="1:27" x14ac:dyDescent="0.35">
      <c r="A9966">
        <v>1009732</v>
      </c>
      <c r="B9966">
        <v>9291</v>
      </c>
      <c r="C9966">
        <v>1</v>
      </c>
      <c r="D9966" s="17" t="s">
        <v>17166</v>
      </c>
      <c r="E9966" s="17"/>
      <c r="F9966" s="17" t="s">
        <v>17246</v>
      </c>
      <c r="G9966" s="17"/>
      <c r="H9966" s="17" t="s">
        <v>20919</v>
      </c>
      <c r="I9966" s="17"/>
      <c r="J9966" s="17" t="s">
        <v>21313</v>
      </c>
      <c r="K9966" s="17"/>
      <c r="L9966" s="17" t="s">
        <v>21326</v>
      </c>
      <c r="M9966" s="17"/>
      <c r="N9966" s="17" t="s">
        <v>21577</v>
      </c>
      <c r="O9966" s="17"/>
      <c r="P9966" s="17" t="s">
        <v>22259</v>
      </c>
      <c r="Q9966" s="17"/>
      <c r="R9966" s="25" t="str">
        <f>HYPERLINK("https://ictv.global/taxonomy/taxondetails?taxnode_id=202310672","Vohsuavirus limivicinum")</f>
        <v>Vohsuavirus limivicinum</v>
      </c>
      <c r="S9966" s="18" t="s">
        <v>30</v>
      </c>
      <c r="T9966" s="18" t="s">
        <v>22262</v>
      </c>
      <c r="U9966" s="18"/>
      <c r="V9966" s="18"/>
      <c r="W9966" s="18" t="s">
        <v>22263</v>
      </c>
      <c r="X9966" s="18" t="s">
        <v>35</v>
      </c>
      <c r="Y9966" s="18" t="s">
        <v>17171</v>
      </c>
      <c r="Z9966" s="18" t="s">
        <v>697</v>
      </c>
      <c r="AA9966" s="21" t="str">
        <f>HYPERLINK("https://www.ncbi.nlm.nih.gov/nuccore/BK013735","NCBI Nucleotide")</f>
        <v>NCBI Nucleotide</v>
      </c>
    </row>
    <row r="9967" spans="1:27" x14ac:dyDescent="0.35">
      <c r="A9967">
        <v>1027473</v>
      </c>
      <c r="B9967">
        <v>9292</v>
      </c>
      <c r="C9967">
        <v>1</v>
      </c>
      <c r="D9967" s="17" t="s">
        <v>17166</v>
      </c>
      <c r="E9967" s="17"/>
      <c r="F9967" s="17" t="s">
        <v>17246</v>
      </c>
      <c r="G9967" s="17"/>
      <c r="H9967" s="17" t="s">
        <v>20919</v>
      </c>
      <c r="I9967" s="17"/>
      <c r="J9967" s="17" t="s">
        <v>21313</v>
      </c>
      <c r="K9967" s="17"/>
      <c r="L9967" s="17" t="s">
        <v>21326</v>
      </c>
      <c r="M9967" s="17"/>
      <c r="N9967" s="17" t="s">
        <v>21577</v>
      </c>
      <c r="O9967" s="17"/>
      <c r="P9967" s="17" t="s">
        <v>22259</v>
      </c>
      <c r="Q9967" s="17"/>
      <c r="R9967" s="25" t="str">
        <f>HYPERLINK("https://ictv.global/taxonomy/taxondetails?taxnode_id=202316730","Vohsuavirus limivivens")</f>
        <v>Vohsuavirus limivivens</v>
      </c>
      <c r="S9967" s="18" t="s">
        <v>30</v>
      </c>
      <c r="T9967" s="18" t="s">
        <v>44133</v>
      </c>
      <c r="U9967" s="18"/>
      <c r="V9967" s="18"/>
      <c r="W9967" s="18" t="s">
        <v>44134</v>
      </c>
      <c r="X9967" s="18" t="s">
        <v>35</v>
      </c>
      <c r="Y9967" s="18" t="s">
        <v>17171</v>
      </c>
      <c r="Z9967" s="18" t="s">
        <v>24637</v>
      </c>
      <c r="AA9967" s="21" t="str">
        <f>HYPERLINK("https://www.ncbi.nlm.nih.gov/nuccore/CASDWV010002287","NCBI Nucleotide")</f>
        <v>NCBI Nucleotide</v>
      </c>
    </row>
    <row r="9968" spans="1:27" x14ac:dyDescent="0.35">
      <c r="A9968">
        <v>1027474</v>
      </c>
      <c r="B9968">
        <v>9293</v>
      </c>
      <c r="C9968">
        <v>1</v>
      </c>
      <c r="D9968" s="17" t="s">
        <v>17166</v>
      </c>
      <c r="E9968" s="17"/>
      <c r="F9968" s="17" t="s">
        <v>17246</v>
      </c>
      <c r="G9968" s="17"/>
      <c r="H9968" s="17" t="s">
        <v>20919</v>
      </c>
      <c r="I9968" s="17"/>
      <c r="J9968" s="17" t="s">
        <v>21313</v>
      </c>
      <c r="K9968" s="17"/>
      <c r="L9968" s="17" t="s">
        <v>21326</v>
      </c>
      <c r="M9968" s="17"/>
      <c r="N9968" s="17" t="s">
        <v>21577</v>
      </c>
      <c r="O9968" s="17"/>
      <c r="P9968" s="17" t="s">
        <v>22259</v>
      </c>
      <c r="Q9968" s="17"/>
      <c r="R9968" s="25" t="str">
        <f>HYPERLINK("https://ictv.global/taxonomy/taxondetails?taxnode_id=202316731","Vohsuavirus messivivens")</f>
        <v>Vohsuavirus messivivens</v>
      </c>
      <c r="S9968" s="18" t="s">
        <v>30</v>
      </c>
      <c r="T9968" s="18" t="s">
        <v>44135</v>
      </c>
      <c r="U9968" s="18"/>
      <c r="V9968" s="18"/>
      <c r="W9968" s="18" t="s">
        <v>44136</v>
      </c>
      <c r="X9968" s="18" t="s">
        <v>35</v>
      </c>
      <c r="Y9968" s="18" t="s">
        <v>17171</v>
      </c>
      <c r="Z9968" s="18" t="s">
        <v>24637</v>
      </c>
      <c r="AA9968" s="21" t="str">
        <f>HYPERLINK("https://www.ncbi.nlm.nih.gov/nuccore/CASDWV010001686","NCBI Nucleotide")</f>
        <v>NCBI Nucleotide</v>
      </c>
    </row>
    <row r="9969" spans="1:27" x14ac:dyDescent="0.35">
      <c r="A9969">
        <v>1027475</v>
      </c>
      <c r="B9969">
        <v>9294</v>
      </c>
      <c r="C9969">
        <v>1</v>
      </c>
      <c r="D9969" s="17" t="s">
        <v>17166</v>
      </c>
      <c r="E9969" s="17"/>
      <c r="F9969" s="17" t="s">
        <v>17246</v>
      </c>
      <c r="G9969" s="17"/>
      <c r="H9969" s="17" t="s">
        <v>20919</v>
      </c>
      <c r="I9969" s="17"/>
      <c r="J9969" s="17" t="s">
        <v>21313</v>
      </c>
      <c r="K9969" s="17"/>
      <c r="L9969" s="17" t="s">
        <v>21326</v>
      </c>
      <c r="M9969" s="17"/>
      <c r="N9969" s="17" t="s">
        <v>21577</v>
      </c>
      <c r="O9969" s="17"/>
      <c r="P9969" s="17" t="s">
        <v>22259</v>
      </c>
      <c r="Q9969" s="17"/>
      <c r="R9969" s="25" t="str">
        <f>HYPERLINK("https://ictv.global/taxonomy/taxondetails?taxnode_id=202316732","Vohsuavirus pedocola")</f>
        <v>Vohsuavirus pedocola</v>
      </c>
      <c r="S9969" s="18" t="s">
        <v>30</v>
      </c>
      <c r="T9969" s="18" t="s">
        <v>44137</v>
      </c>
      <c r="U9969" s="18"/>
      <c r="V9969" s="18"/>
      <c r="W9969" s="18" t="s">
        <v>44138</v>
      </c>
      <c r="X9969" s="18" t="s">
        <v>35</v>
      </c>
      <c r="Y9969" s="18" t="s">
        <v>17171</v>
      </c>
      <c r="Z9969" s="18" t="s">
        <v>24637</v>
      </c>
      <c r="AA9969" s="21" t="str">
        <f>HYPERLINK("https://www.ncbi.nlm.nih.gov/nuccore/CASDWV010003772","NCBI Nucleotide")</f>
        <v>NCBI Nucleotide</v>
      </c>
    </row>
    <row r="9970" spans="1:27" x14ac:dyDescent="0.35">
      <c r="A9970">
        <v>1009733</v>
      </c>
      <c r="B9970">
        <v>9295</v>
      </c>
      <c r="C9970">
        <v>1</v>
      </c>
      <c r="D9970" s="17" t="s">
        <v>17166</v>
      </c>
      <c r="E9970" s="17"/>
      <c r="F9970" s="17" t="s">
        <v>17246</v>
      </c>
      <c r="G9970" s="17"/>
      <c r="H9970" s="17" t="s">
        <v>20919</v>
      </c>
      <c r="I9970" s="17"/>
      <c r="J9970" s="17" t="s">
        <v>21313</v>
      </c>
      <c r="K9970" s="17"/>
      <c r="L9970" s="17" t="s">
        <v>21326</v>
      </c>
      <c r="M9970" s="17"/>
      <c r="N9970" s="17" t="s">
        <v>21577</v>
      </c>
      <c r="O9970" s="17"/>
      <c r="P9970" s="17" t="s">
        <v>22259</v>
      </c>
      <c r="Q9970" s="17"/>
      <c r="R9970" s="25" t="str">
        <f>HYPERLINK("https://ictv.global/taxonomy/taxondetails?taxnode_id=202310668","Vohsuavirus pedovivens")</f>
        <v>Vohsuavirus pedovivens</v>
      </c>
      <c r="S9970" s="18" t="s">
        <v>30</v>
      </c>
      <c r="T9970" s="18" t="s">
        <v>22264</v>
      </c>
      <c r="U9970" s="18"/>
      <c r="V9970" s="18"/>
      <c r="W9970" s="18" t="s">
        <v>22265</v>
      </c>
      <c r="X9970" s="18" t="s">
        <v>35</v>
      </c>
      <c r="Y9970" s="18" t="s">
        <v>17171</v>
      </c>
      <c r="Z9970" s="18" t="s">
        <v>697</v>
      </c>
      <c r="AA9970" s="21" t="str">
        <f>HYPERLINK("https://www.ncbi.nlm.nih.gov/nuccore/BK014006","NCBI Nucleotide")</f>
        <v>NCBI Nucleotide</v>
      </c>
    </row>
    <row r="9971" spans="1:27" x14ac:dyDescent="0.35">
      <c r="A9971">
        <v>1027476</v>
      </c>
      <c r="B9971">
        <v>9296</v>
      </c>
      <c r="C9971">
        <v>1</v>
      </c>
      <c r="D9971" s="17" t="s">
        <v>17166</v>
      </c>
      <c r="E9971" s="17"/>
      <c r="F9971" s="17" t="s">
        <v>17246</v>
      </c>
      <c r="G9971" s="17"/>
      <c r="H9971" s="17" t="s">
        <v>20919</v>
      </c>
      <c r="I9971" s="17"/>
      <c r="J9971" s="17" t="s">
        <v>21313</v>
      </c>
      <c r="K9971" s="17"/>
      <c r="L9971" s="17" t="s">
        <v>21326</v>
      </c>
      <c r="M9971" s="17"/>
      <c r="N9971" s="17" t="s">
        <v>21577</v>
      </c>
      <c r="O9971" s="17"/>
      <c r="P9971" s="17" t="s">
        <v>22259</v>
      </c>
      <c r="Q9971" s="17"/>
      <c r="R9971" s="25" t="str">
        <f>HYPERLINK("https://ictv.global/taxonomy/taxondetails?taxnode_id=202316733","Vohsuavirus radicivicinum")</f>
        <v>Vohsuavirus radicivicinum</v>
      </c>
      <c r="S9971" s="18" t="s">
        <v>30</v>
      </c>
      <c r="T9971" s="18" t="s">
        <v>44139</v>
      </c>
      <c r="U9971" s="18"/>
      <c r="V9971" s="18"/>
      <c r="W9971" s="18" t="s">
        <v>44140</v>
      </c>
      <c r="X9971" s="18" t="s">
        <v>35</v>
      </c>
      <c r="Y9971" s="18" t="s">
        <v>17171</v>
      </c>
      <c r="Z9971" s="18" t="s">
        <v>24637</v>
      </c>
      <c r="AA9971" s="21" t="str">
        <f>HYPERLINK("https://www.ncbi.nlm.nih.gov/nuccore/CASDWV010001284","NCBI Nucleotide")</f>
        <v>NCBI Nucleotide</v>
      </c>
    </row>
    <row r="9972" spans="1:27" x14ac:dyDescent="0.35">
      <c r="A9972">
        <v>1027477</v>
      </c>
      <c r="B9972">
        <v>9297</v>
      </c>
      <c r="C9972">
        <v>1</v>
      </c>
      <c r="D9972" s="17" t="s">
        <v>17166</v>
      </c>
      <c r="E9972" s="17"/>
      <c r="F9972" s="17" t="s">
        <v>17246</v>
      </c>
      <c r="G9972" s="17"/>
      <c r="H9972" s="17" t="s">
        <v>20919</v>
      </c>
      <c r="I9972" s="17"/>
      <c r="J9972" s="17" t="s">
        <v>21313</v>
      </c>
      <c r="K9972" s="17"/>
      <c r="L9972" s="17" t="s">
        <v>21326</v>
      </c>
      <c r="M9972" s="17"/>
      <c r="N9972" s="17" t="s">
        <v>21577</v>
      </c>
      <c r="O9972" s="17"/>
      <c r="P9972" s="17" t="s">
        <v>22259</v>
      </c>
      <c r="Q9972" s="17"/>
      <c r="R9972" s="25" t="str">
        <f>HYPERLINK("https://ictv.global/taxonomy/taxondetails?taxnode_id=202316734","Vohsuavirus segeticola")</f>
        <v>Vohsuavirus segeticola</v>
      </c>
      <c r="S9972" s="18" t="s">
        <v>30</v>
      </c>
      <c r="T9972" s="18" t="s">
        <v>44141</v>
      </c>
      <c r="U9972" s="18"/>
      <c r="V9972" s="18"/>
      <c r="W9972" s="18" t="s">
        <v>44142</v>
      </c>
      <c r="X9972" s="18" t="s">
        <v>35</v>
      </c>
      <c r="Y9972" s="18" t="s">
        <v>17171</v>
      </c>
      <c r="Z9972" s="18" t="s">
        <v>24637</v>
      </c>
      <c r="AA9972" s="21" t="str">
        <f>HYPERLINK("https://www.ncbi.nlm.nih.gov/nuccore/CASDWV010004833","NCBI Nucleotide")</f>
        <v>NCBI Nucleotide</v>
      </c>
    </row>
    <row r="9973" spans="1:27" x14ac:dyDescent="0.35">
      <c r="A9973">
        <v>1009734</v>
      </c>
      <c r="B9973">
        <v>9298</v>
      </c>
      <c r="C9973">
        <v>1</v>
      </c>
      <c r="D9973" s="17" t="s">
        <v>17166</v>
      </c>
      <c r="E9973" s="17"/>
      <c r="F9973" s="17" t="s">
        <v>17246</v>
      </c>
      <c r="G9973" s="17"/>
      <c r="H9973" s="17" t="s">
        <v>20919</v>
      </c>
      <c r="I9973" s="17"/>
      <c r="J9973" s="17" t="s">
        <v>21313</v>
      </c>
      <c r="K9973" s="17"/>
      <c r="L9973" s="17" t="s">
        <v>21326</v>
      </c>
      <c r="M9973" s="17"/>
      <c r="N9973" s="17" t="s">
        <v>21577</v>
      </c>
      <c r="O9973" s="17"/>
      <c r="P9973" s="17" t="s">
        <v>22259</v>
      </c>
      <c r="Q9973" s="17"/>
      <c r="R9973" s="25" t="str">
        <f>HYPERLINK("https://ictv.global/taxonomy/taxondetails?taxnode_id=202310669","Vohsuavirus soladaptatum")</f>
        <v>Vohsuavirus soladaptatum</v>
      </c>
      <c r="S9973" s="18" t="s">
        <v>30</v>
      </c>
      <c r="T9973" s="18" t="s">
        <v>22266</v>
      </c>
      <c r="U9973" s="18"/>
      <c r="V9973" s="18"/>
      <c r="W9973" s="18" t="s">
        <v>22267</v>
      </c>
      <c r="X9973" s="18" t="s">
        <v>35</v>
      </c>
      <c r="Y9973" s="18" t="s">
        <v>17171</v>
      </c>
      <c r="Z9973" s="18" t="s">
        <v>697</v>
      </c>
      <c r="AA9973" s="21" t="str">
        <f>HYPERLINK("https://www.ncbi.nlm.nih.gov/nuccore/BK013472","NCBI Nucleotide")</f>
        <v>NCBI Nucleotide</v>
      </c>
    </row>
    <row r="9974" spans="1:27" x14ac:dyDescent="0.35">
      <c r="A9974">
        <v>1009735</v>
      </c>
      <c r="B9974">
        <v>9299</v>
      </c>
      <c r="C9974">
        <v>1</v>
      </c>
      <c r="D9974" s="17" t="s">
        <v>17166</v>
      </c>
      <c r="E9974" s="17"/>
      <c r="F9974" s="17" t="s">
        <v>17246</v>
      </c>
      <c r="G9974" s="17"/>
      <c r="H9974" s="17" t="s">
        <v>20919</v>
      </c>
      <c r="I9974" s="17"/>
      <c r="J9974" s="17" t="s">
        <v>21313</v>
      </c>
      <c r="K9974" s="17"/>
      <c r="L9974" s="17" t="s">
        <v>21326</v>
      </c>
      <c r="M9974" s="17"/>
      <c r="N9974" s="17" t="s">
        <v>21577</v>
      </c>
      <c r="O9974" s="17"/>
      <c r="P9974" s="17" t="s">
        <v>22259</v>
      </c>
      <c r="Q9974" s="17"/>
      <c r="R9974" s="25" t="str">
        <f>HYPERLINK("https://ictv.global/taxonomy/taxondetails?taxnode_id=202310670","Vohsuavirus solenecus")</f>
        <v>Vohsuavirus solenecus</v>
      </c>
      <c r="S9974" s="18" t="s">
        <v>30</v>
      </c>
      <c r="T9974" s="18" t="s">
        <v>22268</v>
      </c>
      <c r="U9974" s="18"/>
      <c r="V9974" s="18"/>
      <c r="W9974" s="18" t="s">
        <v>22269</v>
      </c>
      <c r="X9974" s="18" t="s">
        <v>35</v>
      </c>
      <c r="Y9974" s="18" t="s">
        <v>17171</v>
      </c>
      <c r="Z9974" s="18" t="s">
        <v>697</v>
      </c>
      <c r="AA9974" s="21" t="str">
        <f>HYPERLINK("https://www.ncbi.nlm.nih.gov/nuccore/BK014021","NCBI Nucleotide")</f>
        <v>NCBI Nucleotide</v>
      </c>
    </row>
    <row r="9975" spans="1:27" x14ac:dyDescent="0.35">
      <c r="A9975">
        <v>1009736</v>
      </c>
      <c r="B9975">
        <v>9300</v>
      </c>
      <c r="C9975">
        <v>1</v>
      </c>
      <c r="D9975" s="17" t="s">
        <v>17166</v>
      </c>
      <c r="E9975" s="17"/>
      <c r="F9975" s="17" t="s">
        <v>17246</v>
      </c>
      <c r="G9975" s="17"/>
      <c r="H9975" s="17" t="s">
        <v>20919</v>
      </c>
      <c r="I9975" s="17"/>
      <c r="J9975" s="17" t="s">
        <v>21313</v>
      </c>
      <c r="K9975" s="17"/>
      <c r="L9975" s="17" t="s">
        <v>21326</v>
      </c>
      <c r="M9975" s="17"/>
      <c r="N9975" s="17" t="s">
        <v>21577</v>
      </c>
      <c r="O9975" s="17"/>
      <c r="P9975" s="17" t="s">
        <v>22259</v>
      </c>
      <c r="Q9975" s="17"/>
      <c r="R9975" s="25" t="str">
        <f>HYPERLINK("https://ictv.global/taxonomy/taxondetails?taxnode_id=202310667","Vohsuavirus solicola")</f>
        <v>Vohsuavirus solicola</v>
      </c>
      <c r="S9975" s="18" t="s">
        <v>30</v>
      </c>
      <c r="T9975" s="18" t="s">
        <v>22270</v>
      </c>
      <c r="U9975" s="18"/>
      <c r="V9975" s="18"/>
      <c r="W9975" s="18" t="s">
        <v>22271</v>
      </c>
      <c r="X9975" s="18" t="s">
        <v>35</v>
      </c>
      <c r="Y9975" s="18" t="s">
        <v>17171</v>
      </c>
      <c r="Z9975" s="18" t="s">
        <v>697</v>
      </c>
      <c r="AA9975" s="21" t="str">
        <f>HYPERLINK("https://www.ncbi.nlm.nih.gov/nuccore/BK013777","NCBI Nucleotide")</f>
        <v>NCBI Nucleotide</v>
      </c>
    </row>
    <row r="9976" spans="1:27" x14ac:dyDescent="0.35">
      <c r="A9976">
        <v>1027478</v>
      </c>
      <c r="B9976">
        <v>9301</v>
      </c>
      <c r="C9976">
        <v>1</v>
      </c>
      <c r="D9976" s="17" t="s">
        <v>17166</v>
      </c>
      <c r="E9976" s="17"/>
      <c r="F9976" s="17" t="s">
        <v>17246</v>
      </c>
      <c r="G9976" s="17"/>
      <c r="H9976" s="17" t="s">
        <v>20919</v>
      </c>
      <c r="I9976" s="17"/>
      <c r="J9976" s="17" t="s">
        <v>21313</v>
      </c>
      <c r="K9976" s="17"/>
      <c r="L9976" s="17" t="s">
        <v>21326</v>
      </c>
      <c r="M9976" s="17"/>
      <c r="N9976" s="17" t="s">
        <v>21577</v>
      </c>
      <c r="O9976" s="17"/>
      <c r="P9976" s="17" t="s">
        <v>22259</v>
      </c>
      <c r="Q9976" s="17"/>
      <c r="R9976" s="25" t="str">
        <f>HYPERLINK("https://ictv.global/taxonomy/taxondetails?taxnode_id=202316735","Vohsuavirus solihabitans")</f>
        <v>Vohsuavirus solihabitans</v>
      </c>
      <c r="S9976" s="18" t="s">
        <v>30</v>
      </c>
      <c r="T9976" s="18" t="s">
        <v>44143</v>
      </c>
      <c r="U9976" s="18"/>
      <c r="V9976" s="18"/>
      <c r="W9976" s="18" t="s">
        <v>44144</v>
      </c>
      <c r="X9976" s="18" t="s">
        <v>35</v>
      </c>
      <c r="Y9976" s="18" t="s">
        <v>17171</v>
      </c>
      <c r="Z9976" s="18" t="s">
        <v>24637</v>
      </c>
      <c r="AA9976" s="21" t="str">
        <f>HYPERLINK("https://www.ncbi.nlm.nih.gov/nuccore/CASDWV010001406","NCBI Nucleotide")</f>
        <v>NCBI Nucleotide</v>
      </c>
    </row>
    <row r="9977" spans="1:27" x14ac:dyDescent="0.35">
      <c r="A9977">
        <v>1027479</v>
      </c>
      <c r="B9977">
        <v>9302</v>
      </c>
      <c r="C9977">
        <v>1</v>
      </c>
      <c r="D9977" s="17" t="s">
        <v>17166</v>
      </c>
      <c r="E9977" s="17"/>
      <c r="F9977" s="17" t="s">
        <v>17246</v>
      </c>
      <c r="G9977" s="17"/>
      <c r="H9977" s="17" t="s">
        <v>20919</v>
      </c>
      <c r="I9977" s="17"/>
      <c r="J9977" s="17" t="s">
        <v>21313</v>
      </c>
      <c r="K9977" s="17"/>
      <c r="L9977" s="17" t="s">
        <v>21326</v>
      </c>
      <c r="M9977" s="17"/>
      <c r="N9977" s="17" t="s">
        <v>21577</v>
      </c>
      <c r="O9977" s="17"/>
      <c r="P9977" s="17" t="s">
        <v>22259</v>
      </c>
      <c r="Q9977" s="17"/>
      <c r="R9977" s="25" t="str">
        <f>HYPERLINK("https://ictv.global/taxonomy/taxondetails?taxnode_id=202316736","Vohsuavirus telluradaptatum")</f>
        <v>Vohsuavirus telluradaptatum</v>
      </c>
      <c r="S9977" s="18" t="s">
        <v>30</v>
      </c>
      <c r="T9977" s="18" t="s">
        <v>44145</v>
      </c>
      <c r="U9977" s="18"/>
      <c r="V9977" s="18"/>
      <c r="W9977" s="18" t="s">
        <v>44146</v>
      </c>
      <c r="X9977" s="18" t="s">
        <v>35</v>
      </c>
      <c r="Y9977" s="18" t="s">
        <v>17171</v>
      </c>
      <c r="Z9977" s="18" t="s">
        <v>24637</v>
      </c>
      <c r="AA9977" s="21" t="str">
        <f>HYPERLINK("https://www.ncbi.nlm.nih.gov/nuccore/CASDWV010002800","NCBI Nucleotide")</f>
        <v>NCBI Nucleotide</v>
      </c>
    </row>
    <row r="9978" spans="1:27" x14ac:dyDescent="0.35">
      <c r="A9978">
        <v>1027480</v>
      </c>
      <c r="B9978">
        <v>9303</v>
      </c>
      <c r="C9978">
        <v>1</v>
      </c>
      <c r="D9978" s="17" t="s">
        <v>17166</v>
      </c>
      <c r="E9978" s="17"/>
      <c r="F9978" s="17" t="s">
        <v>17246</v>
      </c>
      <c r="G9978" s="17"/>
      <c r="H9978" s="17" t="s">
        <v>20919</v>
      </c>
      <c r="I9978" s="17"/>
      <c r="J9978" s="17" t="s">
        <v>21313</v>
      </c>
      <c r="K9978" s="17"/>
      <c r="L9978" s="17" t="s">
        <v>21326</v>
      </c>
      <c r="M9978" s="17"/>
      <c r="N9978" s="17" t="s">
        <v>21577</v>
      </c>
      <c r="O9978" s="17"/>
      <c r="P9978" s="17" t="s">
        <v>22259</v>
      </c>
      <c r="Q9978" s="17"/>
      <c r="R9978" s="25" t="str">
        <f>HYPERLINK("https://ictv.global/taxonomy/taxondetails?taxnode_id=202316737","Vohsuavirus tellurivicinum")</f>
        <v>Vohsuavirus tellurivicinum</v>
      </c>
      <c r="S9978" s="18" t="s">
        <v>30</v>
      </c>
      <c r="T9978" s="18" t="s">
        <v>44147</v>
      </c>
      <c r="U9978" s="18"/>
      <c r="V9978" s="18"/>
      <c r="W9978" s="18" t="s">
        <v>44148</v>
      </c>
      <c r="X9978" s="18" t="s">
        <v>35</v>
      </c>
      <c r="Y9978" s="18" t="s">
        <v>17171</v>
      </c>
      <c r="Z9978" s="18" t="s">
        <v>24637</v>
      </c>
      <c r="AA9978" s="21" t="str">
        <f>HYPERLINK("https://www.ncbi.nlm.nih.gov/nuccore/CASDWV010000422","NCBI Nucleotide")</f>
        <v>NCBI Nucleotide</v>
      </c>
    </row>
    <row r="9979" spans="1:27" x14ac:dyDescent="0.35">
      <c r="A9979">
        <v>1009738</v>
      </c>
      <c r="B9979">
        <v>9304</v>
      </c>
      <c r="C9979">
        <v>1</v>
      </c>
      <c r="D9979" s="17" t="s">
        <v>17166</v>
      </c>
      <c r="E9979" s="17"/>
      <c r="F9979" s="17" t="s">
        <v>17246</v>
      </c>
      <c r="G9979" s="17"/>
      <c r="H9979" s="17" t="s">
        <v>20919</v>
      </c>
      <c r="I9979" s="17"/>
      <c r="J9979" s="17" t="s">
        <v>21313</v>
      </c>
      <c r="K9979" s="17"/>
      <c r="L9979" s="17" t="s">
        <v>21326</v>
      </c>
      <c r="M9979" s="17"/>
      <c r="N9979" s="17" t="s">
        <v>21577</v>
      </c>
      <c r="O9979" s="17"/>
      <c r="P9979" s="17" t="s">
        <v>22274</v>
      </c>
      <c r="Q9979" s="17"/>
      <c r="R9979" s="25" t="str">
        <f>HYPERLINK("https://ictv.global/taxonomy/taxondetails?taxnode_id=202310676","Whietlevirus defluviicola")</f>
        <v>Whietlevirus defluviicola</v>
      </c>
      <c r="S9979" s="18" t="s">
        <v>30</v>
      </c>
      <c r="T9979" s="18" t="s">
        <v>22275</v>
      </c>
      <c r="U9979" s="18"/>
      <c r="V9979" s="18"/>
      <c r="W9979" s="18" t="s">
        <v>22276</v>
      </c>
      <c r="X9979" s="18" t="s">
        <v>35</v>
      </c>
      <c r="Y9979" s="18" t="s">
        <v>17171</v>
      </c>
      <c r="Z9979" s="18" t="s">
        <v>697</v>
      </c>
      <c r="AA9979" s="21" t="str">
        <f>HYPERLINK("https://www.ncbi.nlm.nih.gov/nuccore/BK013367","NCBI Nucleotide")</f>
        <v>NCBI Nucleotide</v>
      </c>
    </row>
    <row r="9980" spans="1:27" x14ac:dyDescent="0.35">
      <c r="A9980">
        <v>1027456</v>
      </c>
      <c r="B9980">
        <v>9305</v>
      </c>
      <c r="C9980">
        <v>1</v>
      </c>
      <c r="D9980" s="17" t="s">
        <v>17166</v>
      </c>
      <c r="E9980" s="17"/>
      <c r="F9980" s="17" t="s">
        <v>17246</v>
      </c>
      <c r="G9980" s="17"/>
      <c r="H9980" s="17" t="s">
        <v>20919</v>
      </c>
      <c r="I9980" s="17"/>
      <c r="J9980" s="17" t="s">
        <v>21313</v>
      </c>
      <c r="K9980" s="17"/>
      <c r="L9980" s="17" t="s">
        <v>21326</v>
      </c>
      <c r="M9980" s="17"/>
      <c r="N9980" s="17" t="s">
        <v>21577</v>
      </c>
      <c r="O9980" s="17"/>
      <c r="P9980" s="17" t="s">
        <v>22274</v>
      </c>
      <c r="Q9980" s="17"/>
      <c r="R9980" s="25" t="str">
        <f>HYPERLINK("https://ictv.global/taxonomy/taxondetails?taxnode_id=202316738","Whietlevirus solenecus")</f>
        <v>Whietlevirus solenecus</v>
      </c>
      <c r="S9980" s="18" t="s">
        <v>30</v>
      </c>
      <c r="T9980" s="18" t="s">
        <v>44149</v>
      </c>
      <c r="U9980" s="18"/>
      <c r="V9980" s="18"/>
      <c r="W9980" s="18" t="s">
        <v>44150</v>
      </c>
      <c r="X9980" s="18" t="s">
        <v>35</v>
      </c>
      <c r="Y9980" s="18" t="s">
        <v>17171</v>
      </c>
      <c r="Z9980" s="18" t="s">
        <v>24637</v>
      </c>
      <c r="AA9980" s="21" t="str">
        <f>HYPERLINK("https://www.ncbi.nlm.nih.gov/nuccore/CASDWV010003199","NCBI Nucleotide")</f>
        <v>NCBI Nucleotide</v>
      </c>
    </row>
    <row r="9981" spans="1:27" x14ac:dyDescent="0.35">
      <c r="A9981">
        <v>1009739</v>
      </c>
      <c r="B9981">
        <v>9306</v>
      </c>
      <c r="C9981">
        <v>1</v>
      </c>
      <c r="D9981" s="17" t="s">
        <v>17166</v>
      </c>
      <c r="E9981" s="17"/>
      <c r="F9981" s="17" t="s">
        <v>17246</v>
      </c>
      <c r="G9981" s="17"/>
      <c r="H9981" s="17" t="s">
        <v>20919</v>
      </c>
      <c r="I9981" s="17"/>
      <c r="J9981" s="17" t="s">
        <v>21313</v>
      </c>
      <c r="K9981" s="17"/>
      <c r="L9981" s="17" t="s">
        <v>21326</v>
      </c>
      <c r="M9981" s="17"/>
      <c r="N9981" s="17" t="s">
        <v>21577</v>
      </c>
      <c r="O9981" s="17"/>
      <c r="P9981" s="17" t="s">
        <v>22277</v>
      </c>
      <c r="Q9981" s="17"/>
      <c r="R9981" s="25" t="str">
        <f>HYPERLINK("https://ictv.global/taxonomy/taxondetails?taxnode_id=202310678","Whilavirus pelohabitans")</f>
        <v>Whilavirus pelohabitans</v>
      </c>
      <c r="S9981" s="18" t="s">
        <v>30</v>
      </c>
      <c r="T9981" s="18" t="s">
        <v>22278</v>
      </c>
      <c r="U9981" s="18"/>
      <c r="V9981" s="18"/>
      <c r="W9981" s="18" t="s">
        <v>22279</v>
      </c>
      <c r="X9981" s="18" t="s">
        <v>35</v>
      </c>
      <c r="Y9981" s="18" t="s">
        <v>17171</v>
      </c>
      <c r="Z9981" s="18" t="s">
        <v>697</v>
      </c>
      <c r="AA9981" s="21" t="str">
        <f>HYPERLINK("https://www.ncbi.nlm.nih.gov/nuccore/BK014150","NCBI Nucleotide")</f>
        <v>NCBI Nucleotide</v>
      </c>
    </row>
    <row r="9982" spans="1:27" x14ac:dyDescent="0.35">
      <c r="A9982">
        <v>1009740</v>
      </c>
      <c r="B9982">
        <v>9307</v>
      </c>
      <c r="C9982">
        <v>1</v>
      </c>
      <c r="D9982" s="17" t="s">
        <v>17166</v>
      </c>
      <c r="E9982" s="17"/>
      <c r="F9982" s="17" t="s">
        <v>17246</v>
      </c>
      <c r="G9982" s="17"/>
      <c r="H9982" s="17" t="s">
        <v>20919</v>
      </c>
      <c r="I9982" s="17"/>
      <c r="J9982" s="17" t="s">
        <v>21313</v>
      </c>
      <c r="K9982" s="17"/>
      <c r="L9982" s="17" t="s">
        <v>21326</v>
      </c>
      <c r="M9982" s="17"/>
      <c r="N9982" s="17" t="s">
        <v>21577</v>
      </c>
      <c r="O9982" s="17"/>
      <c r="P9982" s="17" t="s">
        <v>22280</v>
      </c>
      <c r="Q9982" s="17"/>
      <c r="R9982" s="25" t="str">
        <f>HYPERLINK("https://ictv.global/taxonomy/taxondetails?taxnode_id=202310680","Wohudhevirus asienecus")</f>
        <v>Wohudhevirus asienecus</v>
      </c>
      <c r="S9982" s="18" t="s">
        <v>30</v>
      </c>
      <c r="T9982" s="18" t="s">
        <v>22281</v>
      </c>
      <c r="U9982" s="18"/>
      <c r="V9982" s="18"/>
      <c r="W9982" s="18" t="s">
        <v>22282</v>
      </c>
      <c r="X9982" s="18" t="s">
        <v>35</v>
      </c>
      <c r="Y9982" s="18" t="s">
        <v>17171</v>
      </c>
      <c r="Z9982" s="18" t="s">
        <v>697</v>
      </c>
      <c r="AA9982" s="21" t="str">
        <f>HYPERLINK("https://www.ncbi.nlm.nih.gov/nuccore/BK014145","NCBI Nucleotide")</f>
        <v>NCBI Nucleotide</v>
      </c>
    </row>
    <row r="9983" spans="1:27" x14ac:dyDescent="0.35">
      <c r="A9983">
        <v>1009741</v>
      </c>
      <c r="B9983">
        <v>9308</v>
      </c>
      <c r="C9983">
        <v>1</v>
      </c>
      <c r="D9983" s="17" t="s">
        <v>17166</v>
      </c>
      <c r="E9983" s="17"/>
      <c r="F9983" s="17" t="s">
        <v>17246</v>
      </c>
      <c r="G9983" s="17"/>
      <c r="H9983" s="17" t="s">
        <v>20919</v>
      </c>
      <c r="I9983" s="17"/>
      <c r="J9983" s="17" t="s">
        <v>21313</v>
      </c>
      <c r="K9983" s="17"/>
      <c r="L9983" s="17" t="s">
        <v>21326</v>
      </c>
      <c r="M9983" s="17"/>
      <c r="N9983" s="17" t="s">
        <v>21577</v>
      </c>
      <c r="O9983" s="17"/>
      <c r="P9983" s="17" t="s">
        <v>22283</v>
      </c>
      <c r="Q9983" s="17"/>
      <c r="R9983" s="25" t="str">
        <f>HYPERLINK("https://ictv.global/taxonomy/taxondetails?taxnode_id=202310682","Wyahnevirus asiohabitans")</f>
        <v>Wyahnevirus asiohabitans</v>
      </c>
      <c r="S9983" s="18" t="s">
        <v>30</v>
      </c>
      <c r="T9983" s="18" t="s">
        <v>22284</v>
      </c>
      <c r="U9983" s="18"/>
      <c r="V9983" s="18"/>
      <c r="W9983" s="18" t="s">
        <v>22285</v>
      </c>
      <c r="X9983" s="18" t="s">
        <v>35</v>
      </c>
      <c r="Y9983" s="18" t="s">
        <v>17171</v>
      </c>
      <c r="Z9983" s="18" t="s">
        <v>697</v>
      </c>
      <c r="AA9983" s="21" t="str">
        <f>HYPERLINK("https://www.ncbi.nlm.nih.gov/nuccore/BK013627","NCBI Nucleotide")</f>
        <v>NCBI Nucleotide</v>
      </c>
    </row>
    <row r="9984" spans="1:27" x14ac:dyDescent="0.35">
      <c r="A9984">
        <v>1009451</v>
      </c>
      <c r="B9984">
        <v>9309</v>
      </c>
      <c r="C9984">
        <v>1</v>
      </c>
      <c r="D9984" s="17" t="s">
        <v>17166</v>
      </c>
      <c r="E9984" s="17"/>
      <c r="F9984" s="17" t="s">
        <v>17246</v>
      </c>
      <c r="G9984" s="17"/>
      <c r="H9984" s="17" t="s">
        <v>20919</v>
      </c>
      <c r="I9984" s="17"/>
      <c r="J9984" s="17" t="s">
        <v>21313</v>
      </c>
      <c r="K9984" s="17"/>
      <c r="L9984" s="17" t="s">
        <v>21326</v>
      </c>
      <c r="M9984" s="17"/>
      <c r="N9984" s="17" t="s">
        <v>21577</v>
      </c>
      <c r="O9984" s="17"/>
      <c r="P9984" s="17" t="s">
        <v>22286</v>
      </c>
      <c r="Q9984" s="17"/>
      <c r="R9984" s="25" t="str">
        <f>HYPERLINK("https://ictv.global/taxonomy/taxondetails?taxnode_id=202310219","Yahnavirus asienecus")</f>
        <v>Yahnavirus asienecus</v>
      </c>
      <c r="S9984" s="18" t="s">
        <v>30</v>
      </c>
      <c r="T9984" s="18" t="s">
        <v>21578</v>
      </c>
      <c r="U9984" s="18"/>
      <c r="V9984" s="18"/>
      <c r="W9984" s="18" t="s">
        <v>21579</v>
      </c>
      <c r="X9984" s="18" t="s">
        <v>35</v>
      </c>
      <c r="Y9984" s="18" t="s">
        <v>17171</v>
      </c>
      <c r="Z9984" s="18" t="s">
        <v>697</v>
      </c>
      <c r="AA9984" s="21" t="str">
        <f>HYPERLINK("https://www.ncbi.nlm.nih.gov/nuccore/BK014173","NCBI Nucleotide")</f>
        <v>NCBI Nucleotide</v>
      </c>
    </row>
    <row r="9985" spans="1:27" x14ac:dyDescent="0.35">
      <c r="A9985">
        <v>1009742</v>
      </c>
      <c r="B9985">
        <v>9310</v>
      </c>
      <c r="C9985">
        <v>1</v>
      </c>
      <c r="D9985" s="17" t="s">
        <v>17166</v>
      </c>
      <c r="E9985" s="17"/>
      <c r="F9985" s="17" t="s">
        <v>17246</v>
      </c>
      <c r="G9985" s="17"/>
      <c r="H9985" s="17" t="s">
        <v>20919</v>
      </c>
      <c r="I9985" s="17"/>
      <c r="J9985" s="17" t="s">
        <v>21313</v>
      </c>
      <c r="K9985" s="17"/>
      <c r="L9985" s="17" t="s">
        <v>21326</v>
      </c>
      <c r="M9985" s="17"/>
      <c r="N9985" s="17" t="s">
        <v>21577</v>
      </c>
      <c r="O9985" s="17"/>
      <c r="P9985" s="17" t="s">
        <v>22286</v>
      </c>
      <c r="Q9985" s="17"/>
      <c r="R9985" s="25" t="str">
        <f>HYPERLINK("https://ictv.global/taxonomy/taxondetails?taxnode_id=202310684","Yahnavirus asiovicinum")</f>
        <v>Yahnavirus asiovicinum</v>
      </c>
      <c r="S9985" s="18" t="s">
        <v>30</v>
      </c>
      <c r="T9985" s="18" t="s">
        <v>22287</v>
      </c>
      <c r="U9985" s="18"/>
      <c r="V9985" s="18"/>
      <c r="W9985" s="18" t="s">
        <v>22288</v>
      </c>
      <c r="X9985" s="18" t="s">
        <v>35</v>
      </c>
      <c r="Y9985" s="18" t="s">
        <v>17171</v>
      </c>
      <c r="Z9985" s="18" t="s">
        <v>697</v>
      </c>
      <c r="AA9985" s="21" t="str">
        <f>HYPERLINK("https://www.ncbi.nlm.nih.gov/nuccore/BK014204","NCBI Nucleotide")</f>
        <v>NCBI Nucleotide</v>
      </c>
    </row>
    <row r="9986" spans="1:27" x14ac:dyDescent="0.35">
      <c r="A9986">
        <v>1027405</v>
      </c>
      <c r="B9986">
        <v>9311</v>
      </c>
      <c r="C9986">
        <v>1</v>
      </c>
      <c r="D9986" s="17" t="s">
        <v>17166</v>
      </c>
      <c r="E9986" s="17"/>
      <c r="F9986" s="17" t="s">
        <v>17246</v>
      </c>
      <c r="G9986" s="17"/>
      <c r="H9986" s="17" t="s">
        <v>20919</v>
      </c>
      <c r="I9986" s="17"/>
      <c r="J9986" s="17" t="s">
        <v>21313</v>
      </c>
      <c r="K9986" s="17"/>
      <c r="L9986" s="17" t="s">
        <v>21326</v>
      </c>
      <c r="M9986" s="17"/>
      <c r="N9986" s="17" t="s">
        <v>21577</v>
      </c>
      <c r="O9986" s="17"/>
      <c r="P9986" s="17" t="s">
        <v>22286</v>
      </c>
      <c r="Q9986" s="17"/>
      <c r="R9986" s="25" t="str">
        <f>HYPERLINK("https://ictv.global/taxonomy/taxondetails?taxnode_id=202316739","Yahnavirus messicola")</f>
        <v>Yahnavirus messicola</v>
      </c>
      <c r="S9986" s="18" t="s">
        <v>30</v>
      </c>
      <c r="T9986" s="18" t="s">
        <v>44151</v>
      </c>
      <c r="U9986" s="18"/>
      <c r="V9986" s="18"/>
      <c r="W9986" s="18" t="s">
        <v>44152</v>
      </c>
      <c r="X9986" s="18" t="s">
        <v>35</v>
      </c>
      <c r="Y9986" s="18" t="s">
        <v>17171</v>
      </c>
      <c r="Z9986" s="18" t="s">
        <v>24637</v>
      </c>
      <c r="AA9986" s="21" t="str">
        <f>HYPERLINK("https://www.ncbi.nlm.nih.gov/nuccore/CASDWV010001340","NCBI Nucleotide")</f>
        <v>NCBI Nucleotide</v>
      </c>
    </row>
    <row r="9987" spans="1:27" x14ac:dyDescent="0.35">
      <c r="A9987">
        <v>1009743</v>
      </c>
      <c r="B9987">
        <v>9312</v>
      </c>
      <c r="C9987">
        <v>1</v>
      </c>
      <c r="D9987" s="17" t="s">
        <v>17166</v>
      </c>
      <c r="E9987" s="17"/>
      <c r="F9987" s="17" t="s">
        <v>17246</v>
      </c>
      <c r="G9987" s="17"/>
      <c r="H9987" s="17" t="s">
        <v>20919</v>
      </c>
      <c r="I9987" s="17"/>
      <c r="J9987" s="17" t="s">
        <v>21313</v>
      </c>
      <c r="K9987" s="17"/>
      <c r="L9987" s="17" t="s">
        <v>21326</v>
      </c>
      <c r="M9987" s="17"/>
      <c r="N9987" s="17" t="s">
        <v>21577</v>
      </c>
      <c r="O9987" s="17"/>
      <c r="P9987" s="17" t="s">
        <v>22289</v>
      </c>
      <c r="Q9987" s="17"/>
      <c r="R9987" s="25" t="str">
        <f>HYPERLINK("https://ictv.global/taxonomy/taxondetails?taxnode_id=202310686","Yemegivirus asiovivens")</f>
        <v>Yemegivirus asiovivens</v>
      </c>
      <c r="S9987" s="18" t="s">
        <v>30</v>
      </c>
      <c r="T9987" s="18" t="s">
        <v>22290</v>
      </c>
      <c r="U9987" s="18"/>
      <c r="V9987" s="18"/>
      <c r="W9987" s="18" t="s">
        <v>22291</v>
      </c>
      <c r="X9987" s="18" t="s">
        <v>35</v>
      </c>
      <c r="Y9987" s="18" t="s">
        <v>17171</v>
      </c>
      <c r="Z9987" s="18" t="s">
        <v>697</v>
      </c>
      <c r="AA9987" s="21" t="str">
        <f>HYPERLINK("https://www.ncbi.nlm.nih.gov/nuccore/BK013762","NCBI Nucleotide")</f>
        <v>NCBI Nucleotide</v>
      </c>
    </row>
    <row r="9988" spans="1:27" x14ac:dyDescent="0.35">
      <c r="A9988">
        <v>1009744</v>
      </c>
      <c r="B9988">
        <v>9313</v>
      </c>
      <c r="C9988">
        <v>1</v>
      </c>
      <c r="D9988" s="17" t="s">
        <v>17166</v>
      </c>
      <c r="E9988" s="17"/>
      <c r="F9988" s="17" t="s">
        <v>17246</v>
      </c>
      <c r="G9988" s="17"/>
      <c r="H9988" s="17" t="s">
        <v>20919</v>
      </c>
      <c r="I9988" s="17"/>
      <c r="J9988" s="17" t="s">
        <v>21313</v>
      </c>
      <c r="K9988" s="17"/>
      <c r="L9988" s="17" t="s">
        <v>21326</v>
      </c>
      <c r="M9988" s="17"/>
      <c r="N9988" s="17" t="s">
        <v>21577</v>
      </c>
      <c r="O9988" s="17"/>
      <c r="P9988" s="17" t="s">
        <v>22292</v>
      </c>
      <c r="Q9988" s="17"/>
      <c r="R9988" s="25" t="str">
        <f>HYPERLINK("https://ictv.global/taxonomy/taxondetails?taxnode_id=202310688","Yohcadevirus borborocola")</f>
        <v>Yohcadevirus borborocola</v>
      </c>
      <c r="S9988" s="18" t="s">
        <v>30</v>
      </c>
      <c r="T9988" s="18" t="s">
        <v>22293</v>
      </c>
      <c r="U9988" s="18"/>
      <c r="V9988" s="18"/>
      <c r="W9988" s="18" t="s">
        <v>22294</v>
      </c>
      <c r="X9988" s="18" t="s">
        <v>35</v>
      </c>
      <c r="Y9988" s="18" t="s">
        <v>17171</v>
      </c>
      <c r="Z9988" s="18" t="s">
        <v>697</v>
      </c>
      <c r="AA9988" s="21" t="str">
        <f>HYPERLINK("https://www.ncbi.nlm.nih.gov/nuccore/BK013750","NCBI Nucleotide")</f>
        <v>NCBI Nucleotide</v>
      </c>
    </row>
    <row r="9989" spans="1:27" x14ac:dyDescent="0.35">
      <c r="A9989">
        <v>1027406</v>
      </c>
      <c r="B9989">
        <v>9314</v>
      </c>
      <c r="C9989">
        <v>1</v>
      </c>
      <c r="D9989" s="17" t="s">
        <v>17166</v>
      </c>
      <c r="E9989" s="17"/>
      <c r="F9989" s="17" t="s">
        <v>17246</v>
      </c>
      <c r="G9989" s="17"/>
      <c r="H9989" s="17" t="s">
        <v>20919</v>
      </c>
      <c r="I9989" s="17"/>
      <c r="J9989" s="17" t="s">
        <v>21313</v>
      </c>
      <c r="K9989" s="17"/>
      <c r="L9989" s="17" t="s">
        <v>21326</v>
      </c>
      <c r="M9989" s="17"/>
      <c r="N9989" s="17" t="s">
        <v>21577</v>
      </c>
      <c r="O9989" s="17"/>
      <c r="P9989" s="17" t="s">
        <v>22295</v>
      </c>
      <c r="Q9989" s="17"/>
      <c r="R9989" s="25" t="str">
        <f>HYPERLINK("https://ictv.global/taxonomy/taxondetails?taxnode_id=202316740","Yuhrihovirus asiocola")</f>
        <v>Yuhrihovirus asiocola</v>
      </c>
      <c r="S9989" s="18" t="s">
        <v>30</v>
      </c>
      <c r="T9989" s="18" t="s">
        <v>44153</v>
      </c>
      <c r="U9989" s="18"/>
      <c r="V9989" s="18"/>
      <c r="W9989" s="18" t="s">
        <v>44154</v>
      </c>
      <c r="X9989" s="18" t="s">
        <v>35</v>
      </c>
      <c r="Y9989" s="18" t="s">
        <v>17171</v>
      </c>
      <c r="Z9989" s="18" t="s">
        <v>24637</v>
      </c>
      <c r="AA9989" s="21" t="str">
        <f>HYPERLINK("https://www.ncbi.nlm.nih.gov/nuccore/CASDWV010000551","NCBI Nucleotide")</f>
        <v>NCBI Nucleotide</v>
      </c>
    </row>
    <row r="9990" spans="1:27" x14ac:dyDescent="0.35">
      <c r="A9990">
        <v>1009745</v>
      </c>
      <c r="B9990">
        <v>9315</v>
      </c>
      <c r="C9990">
        <v>1</v>
      </c>
      <c r="D9990" s="17" t="s">
        <v>17166</v>
      </c>
      <c r="E9990" s="17"/>
      <c r="F9990" s="17" t="s">
        <v>17246</v>
      </c>
      <c r="G9990" s="17"/>
      <c r="H9990" s="17" t="s">
        <v>20919</v>
      </c>
      <c r="I9990" s="17"/>
      <c r="J9990" s="17" t="s">
        <v>21313</v>
      </c>
      <c r="K9990" s="17"/>
      <c r="L9990" s="17" t="s">
        <v>21326</v>
      </c>
      <c r="M9990" s="17"/>
      <c r="N9990" s="17" t="s">
        <v>21577</v>
      </c>
      <c r="O9990" s="17"/>
      <c r="P9990" s="17" t="s">
        <v>22295</v>
      </c>
      <c r="Q9990" s="17"/>
      <c r="R9990" s="25" t="str">
        <f>HYPERLINK("https://ictv.global/taxonomy/taxondetails?taxnode_id=202310692","Yuhrihovirus borborohabitans")</f>
        <v>Yuhrihovirus borborohabitans</v>
      </c>
      <c r="S9990" s="18" t="s">
        <v>30</v>
      </c>
      <c r="T9990" s="18" t="s">
        <v>22296</v>
      </c>
      <c r="U9990" s="18"/>
      <c r="V9990" s="18"/>
      <c r="W9990" s="18" t="s">
        <v>22297</v>
      </c>
      <c r="X9990" s="18" t="s">
        <v>35</v>
      </c>
      <c r="Y9990" s="18" t="s">
        <v>17171</v>
      </c>
      <c r="Z9990" s="18" t="s">
        <v>697</v>
      </c>
      <c r="AA9990" s="21" t="str">
        <f>HYPERLINK("https://www.ncbi.nlm.nih.gov/nuccore/BK014125","NCBI Nucleotide")</f>
        <v>NCBI Nucleotide</v>
      </c>
    </row>
    <row r="9991" spans="1:27" x14ac:dyDescent="0.35">
      <c r="A9991">
        <v>1009746</v>
      </c>
      <c r="B9991">
        <v>9316</v>
      </c>
      <c r="C9991">
        <v>1</v>
      </c>
      <c r="D9991" s="17" t="s">
        <v>17166</v>
      </c>
      <c r="E9991" s="17"/>
      <c r="F9991" s="17" t="s">
        <v>17246</v>
      </c>
      <c r="G9991" s="17"/>
      <c r="H9991" s="17" t="s">
        <v>20919</v>
      </c>
      <c r="I9991" s="17"/>
      <c r="J9991" s="17" t="s">
        <v>21313</v>
      </c>
      <c r="K9991" s="17"/>
      <c r="L9991" s="17" t="s">
        <v>21326</v>
      </c>
      <c r="M9991" s="17"/>
      <c r="N9991" s="17" t="s">
        <v>21577</v>
      </c>
      <c r="O9991" s="17"/>
      <c r="P9991" s="17" t="s">
        <v>22295</v>
      </c>
      <c r="Q9991" s="17"/>
      <c r="R9991" s="25" t="str">
        <f>HYPERLINK("https://ictv.global/taxonomy/taxondetails?taxnode_id=202310693","Yuhrihovirus borborovicinum")</f>
        <v>Yuhrihovirus borborovicinum</v>
      </c>
      <c r="S9991" s="18" t="s">
        <v>30</v>
      </c>
      <c r="T9991" s="18" t="s">
        <v>22298</v>
      </c>
      <c r="U9991" s="18"/>
      <c r="V9991" s="18"/>
      <c r="W9991" s="18" t="s">
        <v>22299</v>
      </c>
      <c r="X9991" s="18" t="s">
        <v>35</v>
      </c>
      <c r="Y9991" s="18" t="s">
        <v>17171</v>
      </c>
      <c r="Z9991" s="18" t="s">
        <v>697</v>
      </c>
      <c r="AA9991" s="21" t="str">
        <f>HYPERLINK("https://www.ncbi.nlm.nih.gov/nuccore/BK013738","NCBI Nucleotide")</f>
        <v>NCBI Nucleotide</v>
      </c>
    </row>
    <row r="9992" spans="1:27" x14ac:dyDescent="0.35">
      <c r="A9992">
        <v>1009747</v>
      </c>
      <c r="B9992">
        <v>9317</v>
      </c>
      <c r="C9992">
        <v>1</v>
      </c>
      <c r="D9992" s="17" t="s">
        <v>17166</v>
      </c>
      <c r="E9992" s="17"/>
      <c r="F9992" s="17" t="s">
        <v>17246</v>
      </c>
      <c r="G9992" s="17"/>
      <c r="H9992" s="17" t="s">
        <v>20919</v>
      </c>
      <c r="I9992" s="17"/>
      <c r="J9992" s="17" t="s">
        <v>21313</v>
      </c>
      <c r="K9992" s="17"/>
      <c r="L9992" s="17" t="s">
        <v>21326</v>
      </c>
      <c r="M9992" s="17"/>
      <c r="N9992" s="17" t="s">
        <v>21577</v>
      </c>
      <c r="O9992" s="17"/>
      <c r="P9992" s="17" t="s">
        <v>22295</v>
      </c>
      <c r="Q9992" s="17"/>
      <c r="R9992" s="25" t="str">
        <f>HYPERLINK("https://ictv.global/taxonomy/taxondetails?taxnode_id=202310690","Yuhrihovirus borborovivens")</f>
        <v>Yuhrihovirus borborovivens</v>
      </c>
      <c r="S9992" s="18" t="s">
        <v>30</v>
      </c>
      <c r="T9992" s="18" t="s">
        <v>22300</v>
      </c>
      <c r="U9992" s="18"/>
      <c r="V9992" s="18"/>
      <c r="W9992" s="18" t="s">
        <v>22301</v>
      </c>
      <c r="X9992" s="18" t="s">
        <v>35</v>
      </c>
      <c r="Y9992" s="18" t="s">
        <v>17171</v>
      </c>
      <c r="Z9992" s="18" t="s">
        <v>697</v>
      </c>
      <c r="AA9992" s="21" t="str">
        <f>HYPERLINK("https://www.ncbi.nlm.nih.gov/nuccore/BK013746","NCBI Nucleotide")</f>
        <v>NCBI Nucleotide</v>
      </c>
    </row>
    <row r="9993" spans="1:27" x14ac:dyDescent="0.35">
      <c r="A9993">
        <v>1027407</v>
      </c>
      <c r="B9993">
        <v>9318</v>
      </c>
      <c r="C9993">
        <v>1</v>
      </c>
      <c r="D9993" s="17" t="s">
        <v>17166</v>
      </c>
      <c r="E9993" s="17"/>
      <c r="F9993" s="17" t="s">
        <v>17246</v>
      </c>
      <c r="G9993" s="17"/>
      <c r="H9993" s="17" t="s">
        <v>20919</v>
      </c>
      <c r="I9993" s="17"/>
      <c r="J9993" s="17" t="s">
        <v>21313</v>
      </c>
      <c r="K9993" s="17"/>
      <c r="L9993" s="17" t="s">
        <v>21326</v>
      </c>
      <c r="M9993" s="17"/>
      <c r="N9993" s="17" t="s">
        <v>21577</v>
      </c>
      <c r="O9993" s="17"/>
      <c r="P9993" s="17" t="s">
        <v>22295</v>
      </c>
      <c r="Q9993" s="17"/>
      <c r="R9993" s="25" t="str">
        <f>HYPERLINK("https://ictv.global/taxonomy/taxondetails?taxnode_id=202316741","Yuhrihovirus chorenecus")</f>
        <v>Yuhrihovirus chorenecus</v>
      </c>
      <c r="S9993" s="18" t="s">
        <v>30</v>
      </c>
      <c r="T9993" s="18" t="s">
        <v>44155</v>
      </c>
      <c r="U9993" s="18"/>
      <c r="V9993" s="18"/>
      <c r="W9993" s="18" t="s">
        <v>44156</v>
      </c>
      <c r="X9993" s="18" t="s">
        <v>35</v>
      </c>
      <c r="Y9993" s="18" t="s">
        <v>17171</v>
      </c>
      <c r="Z9993" s="18" t="s">
        <v>24637</v>
      </c>
      <c r="AA9993" s="21" t="str">
        <f>HYPERLINK("https://www.ncbi.nlm.nih.gov/nuccore/CASDWV010004716","NCBI Nucleotide")</f>
        <v>NCBI Nucleotide</v>
      </c>
    </row>
    <row r="9994" spans="1:27" x14ac:dyDescent="0.35">
      <c r="A9994">
        <v>1027408</v>
      </c>
      <c r="B9994">
        <v>9319</v>
      </c>
      <c r="C9994">
        <v>1</v>
      </c>
      <c r="D9994" s="17" t="s">
        <v>17166</v>
      </c>
      <c r="E9994" s="17"/>
      <c r="F9994" s="17" t="s">
        <v>17246</v>
      </c>
      <c r="G9994" s="17"/>
      <c r="H9994" s="17" t="s">
        <v>20919</v>
      </c>
      <c r="I9994" s="17"/>
      <c r="J9994" s="17" t="s">
        <v>21313</v>
      </c>
      <c r="K9994" s="17"/>
      <c r="L9994" s="17" t="s">
        <v>21326</v>
      </c>
      <c r="M9994" s="17"/>
      <c r="N9994" s="17" t="s">
        <v>21577</v>
      </c>
      <c r="O9994" s="17"/>
      <c r="P9994" s="17" t="s">
        <v>22295</v>
      </c>
      <c r="Q9994" s="17"/>
      <c r="R9994" s="25" t="str">
        <f>HYPERLINK("https://ictv.global/taxonomy/taxondetails?taxnode_id=202316742","Yuhrihovirus chorovivens")</f>
        <v>Yuhrihovirus chorovivens</v>
      </c>
      <c r="S9994" s="18" t="s">
        <v>30</v>
      </c>
      <c r="T9994" s="18" t="s">
        <v>44157</v>
      </c>
      <c r="U9994" s="18"/>
      <c r="V9994" s="18"/>
      <c r="W9994" s="18" t="s">
        <v>44158</v>
      </c>
      <c r="X9994" s="18" t="s">
        <v>35</v>
      </c>
      <c r="Y9994" s="18" t="s">
        <v>17171</v>
      </c>
      <c r="Z9994" s="18" t="s">
        <v>24637</v>
      </c>
      <c r="AA9994" s="21" t="str">
        <f>HYPERLINK("https://www.ncbi.nlm.nih.gov/nuccore/CASDWV010003673","NCBI Nucleotide")</f>
        <v>NCBI Nucleotide</v>
      </c>
    </row>
    <row r="9995" spans="1:27" x14ac:dyDescent="0.35">
      <c r="A9995">
        <v>1027409</v>
      </c>
      <c r="B9995">
        <v>9320</v>
      </c>
      <c r="C9995">
        <v>1</v>
      </c>
      <c r="D9995" s="17" t="s">
        <v>17166</v>
      </c>
      <c r="E9995" s="17"/>
      <c r="F9995" s="17" t="s">
        <v>17246</v>
      </c>
      <c r="G9995" s="17"/>
      <c r="H9995" s="17" t="s">
        <v>20919</v>
      </c>
      <c r="I9995" s="17"/>
      <c r="J9995" s="17" t="s">
        <v>21313</v>
      </c>
      <c r="K9995" s="17"/>
      <c r="L9995" s="17" t="s">
        <v>21326</v>
      </c>
      <c r="M9995" s="17"/>
      <c r="N9995" s="17" t="s">
        <v>21577</v>
      </c>
      <c r="O9995" s="17"/>
      <c r="P9995" s="17" t="s">
        <v>22295</v>
      </c>
      <c r="Q9995" s="17"/>
      <c r="R9995" s="25" t="str">
        <f>HYPERLINK("https://ictv.global/taxonomy/taxondetails?taxnode_id=202316743","Yuhrihovirus edaphadaptatum")</f>
        <v>Yuhrihovirus edaphadaptatum</v>
      </c>
      <c r="S9995" s="18" t="s">
        <v>30</v>
      </c>
      <c r="T9995" s="18" t="s">
        <v>44159</v>
      </c>
      <c r="U9995" s="18"/>
      <c r="V9995" s="18"/>
      <c r="W9995" s="18" t="s">
        <v>44160</v>
      </c>
      <c r="X9995" s="18" t="s">
        <v>35</v>
      </c>
      <c r="Y9995" s="18" t="s">
        <v>17171</v>
      </c>
      <c r="Z9995" s="18" t="s">
        <v>24637</v>
      </c>
      <c r="AA9995" s="21" t="str">
        <f>HYPERLINK("https://www.ncbi.nlm.nih.gov/nuccore/CASDWV010000345","NCBI Nucleotide")</f>
        <v>NCBI Nucleotide</v>
      </c>
    </row>
    <row r="9996" spans="1:27" x14ac:dyDescent="0.35">
      <c r="A9996">
        <v>1027410</v>
      </c>
      <c r="B9996">
        <v>9321</v>
      </c>
      <c r="C9996">
        <v>1</v>
      </c>
      <c r="D9996" s="17" t="s">
        <v>17166</v>
      </c>
      <c r="E9996" s="17"/>
      <c r="F9996" s="17" t="s">
        <v>17246</v>
      </c>
      <c r="G9996" s="17"/>
      <c r="H9996" s="17" t="s">
        <v>20919</v>
      </c>
      <c r="I9996" s="17"/>
      <c r="J9996" s="17" t="s">
        <v>21313</v>
      </c>
      <c r="K9996" s="17"/>
      <c r="L9996" s="17" t="s">
        <v>21326</v>
      </c>
      <c r="M9996" s="17"/>
      <c r="N9996" s="17" t="s">
        <v>21577</v>
      </c>
      <c r="O9996" s="17"/>
      <c r="P9996" s="17" t="s">
        <v>22295</v>
      </c>
      <c r="Q9996" s="17"/>
      <c r="R9996" s="25" t="str">
        <f>HYPERLINK("https://ictv.global/taxonomy/taxondetails?taxnode_id=202316744","Yuhrihovirus faecadaptatum")</f>
        <v>Yuhrihovirus faecadaptatum</v>
      </c>
      <c r="S9996" s="18" t="s">
        <v>30</v>
      </c>
      <c r="T9996" s="18" t="s">
        <v>44161</v>
      </c>
      <c r="U9996" s="18"/>
      <c r="V9996" s="18" t="s">
        <v>44161</v>
      </c>
      <c r="W9996" s="18" t="s">
        <v>44162</v>
      </c>
      <c r="X9996" s="18" t="s">
        <v>35</v>
      </c>
      <c r="Y9996" s="18" t="s">
        <v>17171</v>
      </c>
      <c r="Z9996" s="18" t="s">
        <v>24637</v>
      </c>
      <c r="AA9996" s="21" t="str">
        <f>HYPERLINK("https://www.ncbi.nlm.nih.gov/nuccore/MZ679616","NCBI Nucleotide")</f>
        <v>NCBI Nucleotide</v>
      </c>
    </row>
    <row r="9997" spans="1:27" x14ac:dyDescent="0.35">
      <c r="A9997">
        <v>1027411</v>
      </c>
      <c r="B9997">
        <v>9322</v>
      </c>
      <c r="C9997">
        <v>1</v>
      </c>
      <c r="D9997" s="17" t="s">
        <v>17166</v>
      </c>
      <c r="E9997" s="17"/>
      <c r="F9997" s="17" t="s">
        <v>17246</v>
      </c>
      <c r="G9997" s="17"/>
      <c r="H9997" s="17" t="s">
        <v>20919</v>
      </c>
      <c r="I9997" s="17"/>
      <c r="J9997" s="17" t="s">
        <v>21313</v>
      </c>
      <c r="K9997" s="17"/>
      <c r="L9997" s="17" t="s">
        <v>21326</v>
      </c>
      <c r="M9997" s="17"/>
      <c r="N9997" s="17" t="s">
        <v>21577</v>
      </c>
      <c r="O9997" s="17"/>
      <c r="P9997" s="17" t="s">
        <v>22295</v>
      </c>
      <c r="Q9997" s="17"/>
      <c r="R9997" s="25" t="str">
        <f>HYPERLINK("https://ictv.global/taxonomy/taxondetails?taxnode_id=202316745","Yuhrihovirus faecenecus")</f>
        <v>Yuhrihovirus faecenecus</v>
      </c>
      <c r="S9997" s="18" t="s">
        <v>30</v>
      </c>
      <c r="T9997" s="18" t="s">
        <v>44163</v>
      </c>
      <c r="U9997" s="18"/>
      <c r="V9997" s="18" t="s">
        <v>44163</v>
      </c>
      <c r="W9997" s="18" t="s">
        <v>44164</v>
      </c>
      <c r="X9997" s="18" t="s">
        <v>35</v>
      </c>
      <c r="Y9997" s="18" t="s">
        <v>17171</v>
      </c>
      <c r="Z9997" s="18" t="s">
        <v>24637</v>
      </c>
      <c r="AA9997" s="21" t="str">
        <f>HYPERLINK("https://www.ncbi.nlm.nih.gov/nuccore/MZ679708","NCBI Nucleotide")</f>
        <v>NCBI Nucleotide</v>
      </c>
    </row>
    <row r="9998" spans="1:27" x14ac:dyDescent="0.35">
      <c r="A9998">
        <v>1009748</v>
      </c>
      <c r="B9998">
        <v>9323</v>
      </c>
      <c r="C9998">
        <v>1</v>
      </c>
      <c r="D9998" s="17" t="s">
        <v>17166</v>
      </c>
      <c r="E9998" s="17"/>
      <c r="F9998" s="17" t="s">
        <v>17246</v>
      </c>
      <c r="G9998" s="17"/>
      <c r="H9998" s="17" t="s">
        <v>20919</v>
      </c>
      <c r="I9998" s="17"/>
      <c r="J9998" s="17" t="s">
        <v>21313</v>
      </c>
      <c r="K9998" s="17"/>
      <c r="L9998" s="17" t="s">
        <v>21326</v>
      </c>
      <c r="M9998" s="17"/>
      <c r="N9998" s="17" t="s">
        <v>21577</v>
      </c>
      <c r="O9998" s="17"/>
      <c r="P9998" s="17" t="s">
        <v>22295</v>
      </c>
      <c r="Q9998" s="17"/>
      <c r="R9998" s="25" t="str">
        <f>HYPERLINK("https://ictv.global/taxonomy/taxondetails?taxnode_id=202310691","Yuhrihovirus humenecus")</f>
        <v>Yuhrihovirus humenecus</v>
      </c>
      <c r="S9998" s="18" t="s">
        <v>30</v>
      </c>
      <c r="T9998" s="18" t="s">
        <v>22302</v>
      </c>
      <c r="U9998" s="18"/>
      <c r="V9998" s="18"/>
      <c r="W9998" s="18" t="s">
        <v>22303</v>
      </c>
      <c r="X9998" s="18" t="s">
        <v>35</v>
      </c>
      <c r="Y9998" s="18" t="s">
        <v>17171</v>
      </c>
      <c r="Z9998" s="18" t="s">
        <v>697</v>
      </c>
      <c r="AA9998" s="21" t="str">
        <f>HYPERLINK("https://www.ncbi.nlm.nih.gov/nuccore/BK014003","NCBI Nucleotide")</f>
        <v>NCBI Nucleotide</v>
      </c>
    </row>
    <row r="9999" spans="1:27" x14ac:dyDescent="0.35">
      <c r="A9999">
        <v>1027412</v>
      </c>
      <c r="B9999">
        <v>9324</v>
      </c>
      <c r="C9999">
        <v>1</v>
      </c>
      <c r="D9999" s="17" t="s">
        <v>17166</v>
      </c>
      <c r="E9999" s="17"/>
      <c r="F9999" s="17" t="s">
        <v>17246</v>
      </c>
      <c r="G9999" s="17"/>
      <c r="H9999" s="17" t="s">
        <v>20919</v>
      </c>
      <c r="I9999" s="17"/>
      <c r="J9999" s="17" t="s">
        <v>21313</v>
      </c>
      <c r="K9999" s="17"/>
      <c r="L9999" s="17" t="s">
        <v>21326</v>
      </c>
      <c r="M9999" s="17"/>
      <c r="N9999" s="17" t="s">
        <v>21577</v>
      </c>
      <c r="O9999" s="17"/>
      <c r="P9999" s="17" t="s">
        <v>22295</v>
      </c>
      <c r="Q9999" s="17"/>
      <c r="R9999" s="25" t="str">
        <f>HYPERLINK("https://ictv.global/taxonomy/taxondetails?taxnode_id=202316746","Yuhrihovirus humivicinum")</f>
        <v>Yuhrihovirus humivicinum</v>
      </c>
      <c r="S9999" s="18" t="s">
        <v>30</v>
      </c>
      <c r="T9999" s="18" t="s">
        <v>44165</v>
      </c>
      <c r="U9999" s="18"/>
      <c r="V9999" s="18"/>
      <c r="W9999" s="18" t="s">
        <v>44166</v>
      </c>
      <c r="X9999" s="18" t="s">
        <v>35</v>
      </c>
      <c r="Y9999" s="18" t="s">
        <v>17171</v>
      </c>
      <c r="Z9999" s="18" t="s">
        <v>24637</v>
      </c>
      <c r="AA9999" s="21" t="str">
        <f>HYPERLINK("https://www.ncbi.nlm.nih.gov/nuccore/CASDWV010004412","NCBI Nucleotide")</f>
        <v>NCBI Nucleotide</v>
      </c>
    </row>
    <row r="10000" spans="1:27" x14ac:dyDescent="0.35">
      <c r="A10000">
        <v>1027413</v>
      </c>
      <c r="B10000">
        <v>9325</v>
      </c>
      <c r="C10000">
        <v>1</v>
      </c>
      <c r="D10000" s="17" t="s">
        <v>17166</v>
      </c>
      <c r="E10000" s="17"/>
      <c r="F10000" s="17" t="s">
        <v>17246</v>
      </c>
      <c r="G10000" s="17"/>
      <c r="H10000" s="17" t="s">
        <v>20919</v>
      </c>
      <c r="I10000" s="17"/>
      <c r="J10000" s="17" t="s">
        <v>21313</v>
      </c>
      <c r="K10000" s="17"/>
      <c r="L10000" s="17" t="s">
        <v>21326</v>
      </c>
      <c r="M10000" s="17"/>
      <c r="N10000" s="17" t="s">
        <v>21577</v>
      </c>
      <c r="O10000" s="17"/>
      <c r="P10000" s="17" t="s">
        <v>22295</v>
      </c>
      <c r="Q10000" s="17"/>
      <c r="R10000" s="25" t="str">
        <f>HYPERLINK("https://ictv.global/taxonomy/taxondetails?taxnode_id=202316747","Yuhrihovirus lutivicinum")</f>
        <v>Yuhrihovirus lutivicinum</v>
      </c>
      <c r="S10000" s="18" t="s">
        <v>30</v>
      </c>
      <c r="T10000" s="18" t="s">
        <v>44167</v>
      </c>
      <c r="U10000" s="18"/>
      <c r="V10000" s="18"/>
      <c r="W10000" s="18" t="s">
        <v>44168</v>
      </c>
      <c r="X10000" s="18" t="s">
        <v>35</v>
      </c>
      <c r="Y10000" s="18" t="s">
        <v>17171</v>
      </c>
      <c r="Z10000" s="18" t="s">
        <v>24637</v>
      </c>
      <c r="AA10000" s="21" t="str">
        <f>HYPERLINK("https://www.ncbi.nlm.nih.gov/nuccore/CASDWV010004416","NCBI Nucleotide")</f>
        <v>NCBI Nucleotide</v>
      </c>
    </row>
    <row r="10001" spans="1:27" x14ac:dyDescent="0.35">
      <c r="A10001">
        <v>1027414</v>
      </c>
      <c r="B10001">
        <v>9326</v>
      </c>
      <c r="C10001">
        <v>1</v>
      </c>
      <c r="D10001" s="17" t="s">
        <v>17166</v>
      </c>
      <c r="E10001" s="17"/>
      <c r="F10001" s="17" t="s">
        <v>17246</v>
      </c>
      <c r="G10001" s="17"/>
      <c r="H10001" s="17" t="s">
        <v>20919</v>
      </c>
      <c r="I10001" s="17"/>
      <c r="J10001" s="17" t="s">
        <v>21313</v>
      </c>
      <c r="K10001" s="17"/>
      <c r="L10001" s="17" t="s">
        <v>21326</v>
      </c>
      <c r="M10001" s="17"/>
      <c r="N10001" s="17" t="s">
        <v>21577</v>
      </c>
      <c r="O10001" s="17"/>
      <c r="P10001" s="17" t="s">
        <v>22295</v>
      </c>
      <c r="Q10001" s="17"/>
      <c r="R10001" s="25" t="str">
        <f>HYPERLINK("https://ictv.global/taxonomy/taxondetails?taxnode_id=202316748","Yuhrihovirus nemorisvicinum")</f>
        <v>Yuhrihovirus nemorisvicinum</v>
      </c>
      <c r="S10001" s="18" t="s">
        <v>30</v>
      </c>
      <c r="T10001" s="18" t="s">
        <v>44169</v>
      </c>
      <c r="U10001" s="18"/>
      <c r="V10001" s="18" t="s">
        <v>44169</v>
      </c>
      <c r="W10001" s="18" t="s">
        <v>44170</v>
      </c>
      <c r="X10001" s="18" t="s">
        <v>35</v>
      </c>
      <c r="Y10001" s="18" t="s">
        <v>17171</v>
      </c>
      <c r="Z10001" s="18" t="s">
        <v>24637</v>
      </c>
      <c r="AA10001" s="21" t="str">
        <f>HYPERLINK("https://www.ncbi.nlm.nih.gov/nuccore/MZ679655","NCBI Nucleotide")</f>
        <v>NCBI Nucleotide</v>
      </c>
    </row>
    <row r="10002" spans="1:27" x14ac:dyDescent="0.35">
      <c r="A10002">
        <v>1027415</v>
      </c>
      <c r="B10002">
        <v>9327</v>
      </c>
      <c r="C10002">
        <v>1</v>
      </c>
      <c r="D10002" s="17" t="s">
        <v>17166</v>
      </c>
      <c r="E10002" s="17"/>
      <c r="F10002" s="17" t="s">
        <v>17246</v>
      </c>
      <c r="G10002" s="17"/>
      <c r="H10002" s="17" t="s">
        <v>20919</v>
      </c>
      <c r="I10002" s="17"/>
      <c r="J10002" s="17" t="s">
        <v>21313</v>
      </c>
      <c r="K10002" s="17"/>
      <c r="L10002" s="17" t="s">
        <v>21326</v>
      </c>
      <c r="M10002" s="17"/>
      <c r="N10002" s="17" t="s">
        <v>21577</v>
      </c>
      <c r="O10002" s="17"/>
      <c r="P10002" s="17" t="s">
        <v>22295</v>
      </c>
      <c r="Q10002" s="17"/>
      <c r="R10002" s="25" t="str">
        <f>HYPERLINK("https://ictv.global/taxonomy/taxondetails?taxnode_id=202316749","Yuhrihovirus tellurenecus")</f>
        <v>Yuhrihovirus tellurenecus</v>
      </c>
      <c r="S10002" s="18" t="s">
        <v>30</v>
      </c>
      <c r="T10002" s="18" t="s">
        <v>44171</v>
      </c>
      <c r="U10002" s="18"/>
      <c r="V10002" s="18"/>
      <c r="W10002" s="18" t="s">
        <v>44172</v>
      </c>
      <c r="X10002" s="18" t="s">
        <v>35</v>
      </c>
      <c r="Y10002" s="18" t="s">
        <v>17171</v>
      </c>
      <c r="Z10002" s="18" t="s">
        <v>24637</v>
      </c>
      <c r="AA10002" s="21" t="str">
        <f>HYPERLINK("https://www.ncbi.nlm.nih.gov/nuccore/CASDWV010002738","NCBI Nucleotide")</f>
        <v>NCBI Nucleotide</v>
      </c>
    </row>
    <row r="10003" spans="1:27" x14ac:dyDescent="0.35">
      <c r="A10003">
        <v>1027416</v>
      </c>
      <c r="B10003">
        <v>9328</v>
      </c>
      <c r="C10003">
        <v>1</v>
      </c>
      <c r="D10003" s="17" t="s">
        <v>17166</v>
      </c>
      <c r="E10003" s="17"/>
      <c r="F10003" s="17" t="s">
        <v>17246</v>
      </c>
      <c r="G10003" s="17"/>
      <c r="H10003" s="17" t="s">
        <v>20919</v>
      </c>
      <c r="I10003" s="17"/>
      <c r="J10003" s="17" t="s">
        <v>21313</v>
      </c>
      <c r="K10003" s="17"/>
      <c r="L10003" s="17" t="s">
        <v>21326</v>
      </c>
      <c r="M10003" s="17"/>
      <c r="N10003" s="17" t="s">
        <v>21577</v>
      </c>
      <c r="O10003" s="17"/>
      <c r="P10003" s="17" t="s">
        <v>22295</v>
      </c>
      <c r="Q10003" s="17"/>
      <c r="R10003" s="25" t="str">
        <f>HYPERLINK("https://ictv.global/taxonomy/taxondetails?taxnode_id=202316750","Yuhrihovirus terrivivens")</f>
        <v>Yuhrihovirus terrivivens</v>
      </c>
      <c r="S10003" s="18" t="s">
        <v>30</v>
      </c>
      <c r="T10003" s="18" t="s">
        <v>44173</v>
      </c>
      <c r="U10003" s="18"/>
      <c r="V10003" s="18"/>
      <c r="W10003" s="18" t="s">
        <v>44174</v>
      </c>
      <c r="X10003" s="18" t="s">
        <v>35</v>
      </c>
      <c r="Y10003" s="18" t="s">
        <v>17171</v>
      </c>
      <c r="Z10003" s="18" t="s">
        <v>24637</v>
      </c>
      <c r="AA10003" s="21" t="str">
        <f>HYPERLINK("https://www.ncbi.nlm.nih.gov/nuccore/CASDWV010001261","NCBI Nucleotide")</f>
        <v>NCBI Nucleotide</v>
      </c>
    </row>
    <row r="10004" spans="1:27" x14ac:dyDescent="0.35">
      <c r="A10004">
        <v>1009750</v>
      </c>
      <c r="B10004">
        <v>9329</v>
      </c>
      <c r="C10004">
        <v>1</v>
      </c>
      <c r="D10004" s="17" t="s">
        <v>17166</v>
      </c>
      <c r="E10004" s="17"/>
      <c r="F10004" s="17" t="s">
        <v>17246</v>
      </c>
      <c r="G10004" s="17"/>
      <c r="H10004" s="17" t="s">
        <v>20919</v>
      </c>
      <c r="I10004" s="17"/>
      <c r="J10004" s="17" t="s">
        <v>21313</v>
      </c>
      <c r="K10004" s="17"/>
      <c r="L10004" s="17" t="s">
        <v>21326</v>
      </c>
      <c r="M10004" s="17"/>
      <c r="N10004" s="17" t="s">
        <v>22304</v>
      </c>
      <c r="O10004" s="17"/>
      <c r="P10004" s="17" t="s">
        <v>22307</v>
      </c>
      <c r="Q10004" s="17"/>
      <c r="R10004" s="25" t="str">
        <f>HYPERLINK("https://ictv.global/taxonomy/taxondetails?taxnode_id=202310859","Andihavirus borborohabitans")</f>
        <v>Andihavirus borborohabitans</v>
      </c>
      <c r="S10004" s="18" t="s">
        <v>30</v>
      </c>
      <c r="T10004" s="18" t="s">
        <v>22308</v>
      </c>
      <c r="U10004" s="18"/>
      <c r="V10004" s="18"/>
      <c r="W10004" s="18" t="s">
        <v>22309</v>
      </c>
      <c r="X10004" s="18" t="s">
        <v>35</v>
      </c>
      <c r="Y10004" s="18" t="s">
        <v>17171</v>
      </c>
      <c r="Z10004" s="18" t="s">
        <v>697</v>
      </c>
      <c r="AA10004" s="21" t="str">
        <f>HYPERLINK("https://www.ncbi.nlm.nih.gov/nuccore/BK013716","NCBI Nucleotide")</f>
        <v>NCBI Nucleotide</v>
      </c>
    </row>
    <row r="10005" spans="1:27" x14ac:dyDescent="0.35">
      <c r="A10005">
        <v>1025793</v>
      </c>
      <c r="B10005">
        <v>9330</v>
      </c>
      <c r="C10005">
        <v>1</v>
      </c>
      <c r="D10005" s="17" t="s">
        <v>17166</v>
      </c>
      <c r="E10005" s="17"/>
      <c r="F10005" s="17" t="s">
        <v>17246</v>
      </c>
      <c r="G10005" s="17"/>
      <c r="H10005" s="17" t="s">
        <v>20919</v>
      </c>
      <c r="I10005" s="17"/>
      <c r="J10005" s="17" t="s">
        <v>21313</v>
      </c>
      <c r="K10005" s="17"/>
      <c r="L10005" s="17" t="s">
        <v>21326</v>
      </c>
      <c r="M10005" s="17"/>
      <c r="N10005" s="17" t="s">
        <v>22304</v>
      </c>
      <c r="O10005" s="17"/>
      <c r="P10005" s="17" t="s">
        <v>44175</v>
      </c>
      <c r="Q10005" s="17"/>
      <c r="R10005" s="25" t="str">
        <f>HYPERLINK("https://ictv.global/taxonomy/taxondetails?taxnode_id=202316751","Begindovirus asiovicinum")</f>
        <v>Begindovirus asiovicinum</v>
      </c>
      <c r="S10005" s="18" t="s">
        <v>30</v>
      </c>
      <c r="T10005" s="18" t="s">
        <v>44176</v>
      </c>
      <c r="U10005" s="18"/>
      <c r="V10005" s="18"/>
      <c r="W10005" s="18" t="s">
        <v>44177</v>
      </c>
      <c r="X10005" s="18" t="s">
        <v>35</v>
      </c>
      <c r="Y10005" s="18" t="s">
        <v>17171</v>
      </c>
      <c r="Z10005" s="18" t="s">
        <v>24637</v>
      </c>
      <c r="AA10005" s="21" t="str">
        <f>HYPERLINK("https://www.ncbi.nlm.nih.gov/nuccore/CASDWV010002844","NCBI Nucleotide")</f>
        <v>NCBI Nucleotide</v>
      </c>
    </row>
    <row r="10006" spans="1:27" x14ac:dyDescent="0.35">
      <c r="A10006">
        <v>1009751</v>
      </c>
      <c r="B10006">
        <v>9331</v>
      </c>
      <c r="C10006">
        <v>1</v>
      </c>
      <c r="D10006" s="17" t="s">
        <v>17166</v>
      </c>
      <c r="E10006" s="17"/>
      <c r="F10006" s="17" t="s">
        <v>17246</v>
      </c>
      <c r="G10006" s="17"/>
      <c r="H10006" s="17" t="s">
        <v>20919</v>
      </c>
      <c r="I10006" s="17"/>
      <c r="J10006" s="17" t="s">
        <v>21313</v>
      </c>
      <c r="K10006" s="17"/>
      <c r="L10006" s="17" t="s">
        <v>21326</v>
      </c>
      <c r="M10006" s="17"/>
      <c r="N10006" s="17" t="s">
        <v>22304</v>
      </c>
      <c r="O10006" s="17"/>
      <c r="P10006" s="17" t="s">
        <v>22310</v>
      </c>
      <c r="Q10006" s="17"/>
      <c r="R10006" s="25" t="str">
        <f>HYPERLINK("https://ictv.global/taxonomy/taxondetails?taxnode_id=202310861","Dibaevirus borborocola")</f>
        <v>Dibaevirus borborocola</v>
      </c>
      <c r="S10006" s="18" t="s">
        <v>30</v>
      </c>
      <c r="T10006" s="18" t="s">
        <v>22311</v>
      </c>
      <c r="U10006" s="18"/>
      <c r="V10006" s="18"/>
      <c r="W10006" s="18" t="s">
        <v>22312</v>
      </c>
      <c r="X10006" s="18" t="s">
        <v>35</v>
      </c>
      <c r="Y10006" s="18" t="s">
        <v>17171</v>
      </c>
      <c r="Z10006" s="18" t="s">
        <v>697</v>
      </c>
      <c r="AA10006" s="21" t="str">
        <f>HYPERLINK("https://www.ncbi.nlm.nih.gov/nuccore/BK014166","NCBI Nucleotide")</f>
        <v>NCBI Nucleotide</v>
      </c>
    </row>
    <row r="10007" spans="1:27" x14ac:dyDescent="0.35">
      <c r="A10007">
        <v>1009752</v>
      </c>
      <c r="B10007">
        <v>9332</v>
      </c>
      <c r="C10007">
        <v>1</v>
      </c>
      <c r="D10007" s="17" t="s">
        <v>17166</v>
      </c>
      <c r="E10007" s="17"/>
      <c r="F10007" s="17" t="s">
        <v>17246</v>
      </c>
      <c r="G10007" s="17"/>
      <c r="H10007" s="17" t="s">
        <v>20919</v>
      </c>
      <c r="I10007" s="17"/>
      <c r="J10007" s="17" t="s">
        <v>21313</v>
      </c>
      <c r="K10007" s="17"/>
      <c r="L10007" s="17" t="s">
        <v>21326</v>
      </c>
      <c r="M10007" s="17"/>
      <c r="N10007" s="17" t="s">
        <v>22304</v>
      </c>
      <c r="O10007" s="17"/>
      <c r="P10007" s="17" t="s">
        <v>22313</v>
      </c>
      <c r="Q10007" s="17"/>
      <c r="R10007" s="25" t="str">
        <f>HYPERLINK("https://ictv.global/taxonomy/taxondetails?taxnode_id=202310863","Dilzevirus borborohabitans")</f>
        <v>Dilzevirus borborohabitans</v>
      </c>
      <c r="S10007" s="18" t="s">
        <v>30</v>
      </c>
      <c r="T10007" s="18" t="s">
        <v>22314</v>
      </c>
      <c r="U10007" s="18"/>
      <c r="V10007" s="18"/>
      <c r="W10007" s="18" t="s">
        <v>22315</v>
      </c>
      <c r="X10007" s="18" t="s">
        <v>35</v>
      </c>
      <c r="Y10007" s="18" t="s">
        <v>17171</v>
      </c>
      <c r="Z10007" s="18" t="s">
        <v>697</v>
      </c>
      <c r="AA10007" s="21" t="str">
        <f>HYPERLINK("https://www.ncbi.nlm.nih.gov/nuccore/BK013709","NCBI Nucleotide")</f>
        <v>NCBI Nucleotide</v>
      </c>
    </row>
    <row r="10008" spans="1:27" x14ac:dyDescent="0.35">
      <c r="A10008">
        <v>1026206</v>
      </c>
      <c r="B10008">
        <v>9333</v>
      </c>
      <c r="C10008">
        <v>1</v>
      </c>
      <c r="D10008" s="17" t="s">
        <v>17166</v>
      </c>
      <c r="E10008" s="17"/>
      <c r="F10008" s="17" t="s">
        <v>17246</v>
      </c>
      <c r="G10008" s="17"/>
      <c r="H10008" s="17" t="s">
        <v>20919</v>
      </c>
      <c r="I10008" s="17"/>
      <c r="J10008" s="17" t="s">
        <v>21313</v>
      </c>
      <c r="K10008" s="17"/>
      <c r="L10008" s="17" t="s">
        <v>21326</v>
      </c>
      <c r="M10008" s="17"/>
      <c r="N10008" s="17" t="s">
        <v>22304</v>
      </c>
      <c r="O10008" s="17"/>
      <c r="P10008" s="17" t="s">
        <v>44178</v>
      </c>
      <c r="Q10008" s="17"/>
      <c r="R10008" s="25" t="str">
        <f>HYPERLINK("https://ictv.global/taxonomy/taxondetails?taxnode_id=202316752","Duridgovirus humadaptatum")</f>
        <v>Duridgovirus humadaptatum</v>
      </c>
      <c r="S10008" s="18" t="s">
        <v>30</v>
      </c>
      <c r="T10008" s="18" t="s">
        <v>44179</v>
      </c>
      <c r="U10008" s="18"/>
      <c r="V10008" s="18"/>
      <c r="W10008" s="18" t="s">
        <v>44180</v>
      </c>
      <c r="X10008" s="18" t="s">
        <v>35</v>
      </c>
      <c r="Y10008" s="18" t="s">
        <v>17171</v>
      </c>
      <c r="Z10008" s="18" t="s">
        <v>24637</v>
      </c>
      <c r="AA10008" s="21" t="str">
        <f>HYPERLINK("https://www.ncbi.nlm.nih.gov/nuccore/CASDWV010000405","NCBI Nucleotide")</f>
        <v>NCBI Nucleotide</v>
      </c>
    </row>
    <row r="10009" spans="1:27" x14ac:dyDescent="0.35">
      <c r="A10009">
        <v>1026207</v>
      </c>
      <c r="B10009">
        <v>9334</v>
      </c>
      <c r="C10009">
        <v>1</v>
      </c>
      <c r="D10009" s="17" t="s">
        <v>17166</v>
      </c>
      <c r="E10009" s="17"/>
      <c r="F10009" s="17" t="s">
        <v>17246</v>
      </c>
      <c r="G10009" s="17"/>
      <c r="H10009" s="17" t="s">
        <v>20919</v>
      </c>
      <c r="I10009" s="17"/>
      <c r="J10009" s="17" t="s">
        <v>21313</v>
      </c>
      <c r="K10009" s="17"/>
      <c r="L10009" s="17" t="s">
        <v>21326</v>
      </c>
      <c r="M10009" s="17"/>
      <c r="N10009" s="17" t="s">
        <v>22304</v>
      </c>
      <c r="O10009" s="17"/>
      <c r="P10009" s="17" t="s">
        <v>44178</v>
      </c>
      <c r="Q10009" s="17"/>
      <c r="R10009" s="25" t="str">
        <f>HYPERLINK("https://ictv.global/taxonomy/taxondetails?taxnode_id=202316753","Duridgovirus messenecus")</f>
        <v>Duridgovirus messenecus</v>
      </c>
      <c r="S10009" s="18" t="s">
        <v>30</v>
      </c>
      <c r="T10009" s="18" t="s">
        <v>44181</v>
      </c>
      <c r="U10009" s="18"/>
      <c r="V10009" s="18"/>
      <c r="W10009" s="18" t="s">
        <v>44182</v>
      </c>
      <c r="X10009" s="18" t="s">
        <v>35</v>
      </c>
      <c r="Y10009" s="18" t="s">
        <v>17171</v>
      </c>
      <c r="Z10009" s="18" t="s">
        <v>24637</v>
      </c>
      <c r="AA10009" s="21" t="str">
        <f>HYPERLINK("https://www.ncbi.nlm.nih.gov/nuccore/CASDWV010002083","NCBI Nucleotide")</f>
        <v>NCBI Nucleotide</v>
      </c>
    </row>
    <row r="10010" spans="1:27" x14ac:dyDescent="0.35">
      <c r="A10010">
        <v>1009753</v>
      </c>
      <c r="B10010">
        <v>9335</v>
      </c>
      <c r="C10010">
        <v>1</v>
      </c>
      <c r="D10010" s="17" t="s">
        <v>17166</v>
      </c>
      <c r="E10010" s="17"/>
      <c r="F10010" s="17" t="s">
        <v>17246</v>
      </c>
      <c r="G10010" s="17"/>
      <c r="H10010" s="17" t="s">
        <v>20919</v>
      </c>
      <c r="I10010" s="17"/>
      <c r="J10010" s="17" t="s">
        <v>21313</v>
      </c>
      <c r="K10010" s="17"/>
      <c r="L10010" s="17" t="s">
        <v>21326</v>
      </c>
      <c r="M10010" s="17"/>
      <c r="N10010" s="17" t="s">
        <v>22304</v>
      </c>
      <c r="O10010" s="17"/>
      <c r="P10010" s="17" t="s">
        <v>22316</v>
      </c>
      <c r="Q10010" s="17"/>
      <c r="R10010" s="25" t="str">
        <f>HYPERLINK("https://ictv.global/taxonomy/taxondetails?taxnode_id=202310865","Eosonovirus caenenecus")</f>
        <v>Eosonovirus caenenecus</v>
      </c>
      <c r="S10010" s="18" t="s">
        <v>30</v>
      </c>
      <c r="T10010" s="18" t="s">
        <v>22317</v>
      </c>
      <c r="U10010" s="18"/>
      <c r="V10010" s="18"/>
      <c r="W10010" s="18" t="s">
        <v>22318</v>
      </c>
      <c r="X10010" s="18" t="s">
        <v>35</v>
      </c>
      <c r="Y10010" s="18" t="s">
        <v>17171</v>
      </c>
      <c r="Z10010" s="18" t="s">
        <v>697</v>
      </c>
      <c r="AA10010" s="21" t="str">
        <f>HYPERLINK("https://www.ncbi.nlm.nih.gov/nuccore/BK014130","NCBI Nucleotide")</f>
        <v>NCBI Nucleotide</v>
      </c>
    </row>
    <row r="10011" spans="1:27" x14ac:dyDescent="0.35">
      <c r="A10011">
        <v>1009754</v>
      </c>
      <c r="B10011">
        <v>9336</v>
      </c>
      <c r="C10011">
        <v>1</v>
      </c>
      <c r="D10011" s="17" t="s">
        <v>17166</v>
      </c>
      <c r="E10011" s="17"/>
      <c r="F10011" s="17" t="s">
        <v>17246</v>
      </c>
      <c r="G10011" s="17"/>
      <c r="H10011" s="17" t="s">
        <v>20919</v>
      </c>
      <c r="I10011" s="17"/>
      <c r="J10011" s="17" t="s">
        <v>21313</v>
      </c>
      <c r="K10011" s="17"/>
      <c r="L10011" s="17" t="s">
        <v>21326</v>
      </c>
      <c r="M10011" s="17"/>
      <c r="N10011" s="17" t="s">
        <v>22304</v>
      </c>
      <c r="O10011" s="17"/>
      <c r="P10011" s="17" t="s">
        <v>22319</v>
      </c>
      <c r="Q10011" s="17"/>
      <c r="R10011" s="25" t="str">
        <f>HYPERLINK("https://ictv.global/taxonomy/taxondetails?taxnode_id=202310867","Etdyvivirus caenicola")</f>
        <v>Etdyvivirus caenicola</v>
      </c>
      <c r="S10011" s="18" t="s">
        <v>30</v>
      </c>
      <c r="T10011" s="18" t="s">
        <v>22320</v>
      </c>
      <c r="U10011" s="18"/>
      <c r="V10011" s="18"/>
      <c r="W10011" s="18" t="s">
        <v>22321</v>
      </c>
      <c r="X10011" s="18" t="s">
        <v>35</v>
      </c>
      <c r="Y10011" s="18" t="s">
        <v>17171</v>
      </c>
      <c r="Z10011" s="18" t="s">
        <v>697</v>
      </c>
      <c r="AA10011" s="21" t="str">
        <f>HYPERLINK("https://www.ncbi.nlm.nih.gov/nuccore/BK014167","NCBI Nucleotide")</f>
        <v>NCBI Nucleotide</v>
      </c>
    </row>
    <row r="10012" spans="1:27" x14ac:dyDescent="0.35">
      <c r="A10012">
        <v>1009755</v>
      </c>
      <c r="B10012">
        <v>9337</v>
      </c>
      <c r="C10012">
        <v>1</v>
      </c>
      <c r="D10012" s="17" t="s">
        <v>17166</v>
      </c>
      <c r="E10012" s="17"/>
      <c r="F10012" s="17" t="s">
        <v>17246</v>
      </c>
      <c r="G10012" s="17"/>
      <c r="H10012" s="17" t="s">
        <v>20919</v>
      </c>
      <c r="I10012" s="17"/>
      <c r="J10012" s="17" t="s">
        <v>21313</v>
      </c>
      <c r="K10012" s="17"/>
      <c r="L10012" s="17" t="s">
        <v>21326</v>
      </c>
      <c r="M10012" s="17"/>
      <c r="N10012" s="17" t="s">
        <v>22304</v>
      </c>
      <c r="O10012" s="17"/>
      <c r="P10012" s="17" t="s">
        <v>22322</v>
      </c>
      <c r="Q10012" s="17"/>
      <c r="R10012" s="25" t="str">
        <f>HYPERLINK("https://ictv.global/taxonomy/taxondetails?taxnode_id=202310869","Fahrmivirus caenivivens")</f>
        <v>Fahrmivirus caenivivens</v>
      </c>
      <c r="S10012" s="18" t="s">
        <v>30</v>
      </c>
      <c r="T10012" s="18" t="s">
        <v>22323</v>
      </c>
      <c r="U10012" s="18"/>
      <c r="V10012" s="18"/>
      <c r="W10012" s="18" t="s">
        <v>22324</v>
      </c>
      <c r="X10012" s="18" t="s">
        <v>35</v>
      </c>
      <c r="Y10012" s="18" t="s">
        <v>17171</v>
      </c>
      <c r="Z10012" s="18" t="s">
        <v>697</v>
      </c>
      <c r="AA10012" s="21" t="str">
        <f>HYPERLINK("https://www.ncbi.nlm.nih.gov/nuccore/BK014141","NCBI Nucleotide")</f>
        <v>NCBI Nucleotide</v>
      </c>
    </row>
    <row r="10013" spans="1:27" x14ac:dyDescent="0.35">
      <c r="A10013">
        <v>1026242</v>
      </c>
      <c r="B10013">
        <v>9338</v>
      </c>
      <c r="C10013">
        <v>1</v>
      </c>
      <c r="D10013" s="17" t="s">
        <v>17166</v>
      </c>
      <c r="E10013" s="17"/>
      <c r="F10013" s="17" t="s">
        <v>17246</v>
      </c>
      <c r="G10013" s="17"/>
      <c r="H10013" s="17" t="s">
        <v>20919</v>
      </c>
      <c r="I10013" s="17"/>
      <c r="J10013" s="17" t="s">
        <v>21313</v>
      </c>
      <c r="K10013" s="17"/>
      <c r="L10013" s="17" t="s">
        <v>21326</v>
      </c>
      <c r="M10013" s="17"/>
      <c r="N10013" s="17" t="s">
        <v>22304</v>
      </c>
      <c r="O10013" s="17"/>
      <c r="P10013" s="17" t="s">
        <v>22322</v>
      </c>
      <c r="Q10013" s="17"/>
      <c r="R10013" s="25" t="str">
        <f>HYPERLINK("https://ictv.global/taxonomy/taxondetails?taxnode_id=202316754","Fahrmivirus faecivicinum")</f>
        <v>Fahrmivirus faecivicinum</v>
      </c>
      <c r="S10013" s="18" t="s">
        <v>30</v>
      </c>
      <c r="T10013" s="18" t="s">
        <v>44183</v>
      </c>
      <c r="U10013" s="18"/>
      <c r="V10013" s="18" t="s">
        <v>44183</v>
      </c>
      <c r="W10013" s="18" t="s">
        <v>44184</v>
      </c>
      <c r="X10013" s="18" t="s">
        <v>35</v>
      </c>
      <c r="Y10013" s="18" t="s">
        <v>17171</v>
      </c>
      <c r="Z10013" s="18" t="s">
        <v>24637</v>
      </c>
      <c r="AA10013" s="21" t="str">
        <f>HYPERLINK("https://www.ncbi.nlm.nih.gov/nuccore/ON162961","NCBI Nucleotide")</f>
        <v>NCBI Nucleotide</v>
      </c>
    </row>
    <row r="10014" spans="1:27" x14ac:dyDescent="0.35">
      <c r="A10014">
        <v>1009756</v>
      </c>
      <c r="B10014">
        <v>9339</v>
      </c>
      <c r="C10014">
        <v>1</v>
      </c>
      <c r="D10014" s="17" t="s">
        <v>17166</v>
      </c>
      <c r="E10014" s="17"/>
      <c r="F10014" s="17" t="s">
        <v>17246</v>
      </c>
      <c r="G10014" s="17"/>
      <c r="H10014" s="17" t="s">
        <v>20919</v>
      </c>
      <c r="I10014" s="17"/>
      <c r="J10014" s="17" t="s">
        <v>21313</v>
      </c>
      <c r="K10014" s="17"/>
      <c r="L10014" s="17" t="s">
        <v>21326</v>
      </c>
      <c r="M10014" s="17"/>
      <c r="N10014" s="17" t="s">
        <v>22304</v>
      </c>
      <c r="O10014" s="17"/>
      <c r="P10014" s="17" t="s">
        <v>22322</v>
      </c>
      <c r="Q10014" s="17"/>
      <c r="R10014" s="25" t="str">
        <f>HYPERLINK("https://ictv.global/taxonomy/taxondetails?taxnode_id=202310870","Fahrmivirus limadaptatum")</f>
        <v>Fahrmivirus limadaptatum</v>
      </c>
      <c r="S10014" s="18" t="s">
        <v>30</v>
      </c>
      <c r="T10014" s="18" t="s">
        <v>22325</v>
      </c>
      <c r="U10014" s="18"/>
      <c r="V10014" s="18"/>
      <c r="W10014" s="18" t="s">
        <v>22326</v>
      </c>
      <c r="X10014" s="18" t="s">
        <v>35</v>
      </c>
      <c r="Y10014" s="18" t="s">
        <v>17171</v>
      </c>
      <c r="Z10014" s="18" t="s">
        <v>697</v>
      </c>
      <c r="AA10014" s="21" t="str">
        <f>HYPERLINK("https://www.ncbi.nlm.nih.gov/nuccore/BK013710","NCBI Nucleotide")</f>
        <v>NCBI Nucleotide</v>
      </c>
    </row>
    <row r="10015" spans="1:27" x14ac:dyDescent="0.35">
      <c r="A10015">
        <v>1009757</v>
      </c>
      <c r="B10015">
        <v>9340</v>
      </c>
      <c r="C10015">
        <v>1</v>
      </c>
      <c r="D10015" s="17" t="s">
        <v>17166</v>
      </c>
      <c r="E10015" s="17"/>
      <c r="F10015" s="17" t="s">
        <v>17246</v>
      </c>
      <c r="G10015" s="17"/>
      <c r="H10015" s="17" t="s">
        <v>20919</v>
      </c>
      <c r="I10015" s="17"/>
      <c r="J10015" s="17" t="s">
        <v>21313</v>
      </c>
      <c r="K10015" s="17"/>
      <c r="L10015" s="17" t="s">
        <v>21326</v>
      </c>
      <c r="M10015" s="17"/>
      <c r="N10015" s="17" t="s">
        <v>22304</v>
      </c>
      <c r="O10015" s="17"/>
      <c r="P10015" s="17" t="s">
        <v>22327</v>
      </c>
      <c r="Q10015" s="17"/>
      <c r="R10015" s="25" t="str">
        <f>HYPERLINK("https://ictv.global/taxonomy/taxondetails?taxnode_id=202310872","Hinehbovirus caenihabitans")</f>
        <v>Hinehbovirus caenihabitans</v>
      </c>
      <c r="S10015" s="18" t="s">
        <v>30</v>
      </c>
      <c r="T10015" s="18" t="s">
        <v>22328</v>
      </c>
      <c r="U10015" s="18"/>
      <c r="V10015" s="18"/>
      <c r="W10015" s="18" t="s">
        <v>22329</v>
      </c>
      <c r="X10015" s="18" t="s">
        <v>35</v>
      </c>
      <c r="Y10015" s="18" t="s">
        <v>17171</v>
      </c>
      <c r="Z10015" s="18" t="s">
        <v>697</v>
      </c>
      <c r="AA10015" s="21" t="str">
        <f>HYPERLINK("https://www.ncbi.nlm.nih.gov/nuccore/BK013673","NCBI Nucleotide")</f>
        <v>NCBI Nucleotide</v>
      </c>
    </row>
    <row r="10016" spans="1:27" x14ac:dyDescent="0.35">
      <c r="A10016">
        <v>1009758</v>
      </c>
      <c r="B10016">
        <v>9341</v>
      </c>
      <c r="C10016">
        <v>1</v>
      </c>
      <c r="D10016" s="17" t="s">
        <v>17166</v>
      </c>
      <c r="E10016" s="17"/>
      <c r="F10016" s="17" t="s">
        <v>17246</v>
      </c>
      <c r="G10016" s="17"/>
      <c r="H10016" s="17" t="s">
        <v>20919</v>
      </c>
      <c r="I10016" s="17"/>
      <c r="J10016" s="17" t="s">
        <v>21313</v>
      </c>
      <c r="K10016" s="17"/>
      <c r="L10016" s="17" t="s">
        <v>21326</v>
      </c>
      <c r="M10016" s="17"/>
      <c r="N10016" s="17" t="s">
        <v>22304</v>
      </c>
      <c r="O10016" s="17"/>
      <c r="P10016" s="17" t="s">
        <v>22330</v>
      </c>
      <c r="Q10016" s="17"/>
      <c r="R10016" s="25" t="str">
        <f>HYPERLINK("https://ictv.global/taxonomy/taxondetails?taxnode_id=202310874","Insbruvirus lutivivens")</f>
        <v>Insbruvirus lutivivens</v>
      </c>
      <c r="S10016" s="18" t="s">
        <v>30</v>
      </c>
      <c r="T10016" s="18" t="s">
        <v>22331</v>
      </c>
      <c r="U10016" s="18"/>
      <c r="V10016" s="18"/>
      <c r="W10016" s="18" t="s">
        <v>22332</v>
      </c>
      <c r="X10016" s="18" t="s">
        <v>35</v>
      </c>
      <c r="Y10016" s="18" t="s">
        <v>17171</v>
      </c>
      <c r="Z10016" s="18" t="s">
        <v>697</v>
      </c>
      <c r="AA10016" s="21" t="str">
        <f>HYPERLINK("https://www.ncbi.nlm.nih.gov/nuccore/BK013621","NCBI Nucleotide")</f>
        <v>NCBI Nucleotide</v>
      </c>
    </row>
    <row r="10017" spans="1:27" x14ac:dyDescent="0.35">
      <c r="A10017">
        <v>1009764</v>
      </c>
      <c r="B10017">
        <v>9342</v>
      </c>
      <c r="C10017">
        <v>1</v>
      </c>
      <c r="D10017" s="17" t="s">
        <v>17166</v>
      </c>
      <c r="E10017" s="17"/>
      <c r="F10017" s="17" t="s">
        <v>17246</v>
      </c>
      <c r="G10017" s="17"/>
      <c r="H10017" s="17" t="s">
        <v>20919</v>
      </c>
      <c r="I10017" s="17"/>
      <c r="J10017" s="17" t="s">
        <v>21313</v>
      </c>
      <c r="K10017" s="17"/>
      <c r="L10017" s="17" t="s">
        <v>21326</v>
      </c>
      <c r="M10017" s="17"/>
      <c r="N10017" s="17" t="s">
        <v>22304</v>
      </c>
      <c r="O10017" s="17"/>
      <c r="P10017" s="17" t="s">
        <v>22343</v>
      </c>
      <c r="Q10017" s="17"/>
      <c r="R10017" s="25" t="str">
        <f>HYPERLINK("https://ictv.global/taxonomy/taxondetails?taxnode_id=202310882","Jargovirus pelovivens")</f>
        <v>Jargovirus pelovivens</v>
      </c>
      <c r="S10017" s="18" t="s">
        <v>30</v>
      </c>
      <c r="T10017" s="18" t="s">
        <v>22344</v>
      </c>
      <c r="U10017" s="18"/>
      <c r="V10017" s="18"/>
      <c r="W10017" s="18" t="s">
        <v>22345</v>
      </c>
      <c r="X10017" s="18" t="s">
        <v>35</v>
      </c>
      <c r="Y10017" s="18" t="s">
        <v>17171</v>
      </c>
      <c r="Z10017" s="18" t="s">
        <v>697</v>
      </c>
      <c r="AA10017" s="21" t="str">
        <f>HYPERLINK("https://www.ncbi.nlm.nih.gov/nuccore/BK014078","NCBI Nucleotide")</f>
        <v>NCBI Nucleotide</v>
      </c>
    </row>
    <row r="10018" spans="1:27" x14ac:dyDescent="0.35">
      <c r="A10018">
        <v>1027235</v>
      </c>
      <c r="B10018">
        <v>9343</v>
      </c>
      <c r="C10018">
        <v>1</v>
      </c>
      <c r="D10018" s="17" t="s">
        <v>17166</v>
      </c>
      <c r="E10018" s="17"/>
      <c r="F10018" s="17" t="s">
        <v>17246</v>
      </c>
      <c r="G10018" s="17"/>
      <c r="H10018" s="17" t="s">
        <v>20919</v>
      </c>
      <c r="I10018" s="17"/>
      <c r="J10018" s="17" t="s">
        <v>21313</v>
      </c>
      <c r="K10018" s="17"/>
      <c r="L10018" s="17" t="s">
        <v>21326</v>
      </c>
      <c r="M10018" s="17"/>
      <c r="N10018" s="17" t="s">
        <v>22304</v>
      </c>
      <c r="O10018" s="17"/>
      <c r="P10018" s="17" t="s">
        <v>44185</v>
      </c>
      <c r="Q10018" s="17"/>
      <c r="R10018" s="25" t="str">
        <f>HYPERLINK("https://ictv.global/taxonomy/taxondetails?taxnode_id=202316755","Lunjuvirus agrivicinum")</f>
        <v>Lunjuvirus agrivicinum</v>
      </c>
      <c r="S10018" s="18" t="s">
        <v>30</v>
      </c>
      <c r="T10018" s="18" t="s">
        <v>44186</v>
      </c>
      <c r="U10018" s="18"/>
      <c r="V10018" s="18"/>
      <c r="W10018" s="18" t="s">
        <v>44187</v>
      </c>
      <c r="X10018" s="18" t="s">
        <v>35</v>
      </c>
      <c r="Y10018" s="18" t="s">
        <v>17171</v>
      </c>
      <c r="Z10018" s="18" t="s">
        <v>24637</v>
      </c>
      <c r="AA10018" s="21" t="str">
        <f>HYPERLINK("https://www.ncbi.nlm.nih.gov/nuccore/CASDWV010002340","NCBI Nucleotide")</f>
        <v>NCBI Nucleotide</v>
      </c>
    </row>
    <row r="10019" spans="1:27" x14ac:dyDescent="0.35">
      <c r="A10019">
        <v>1009765</v>
      </c>
      <c r="B10019">
        <v>9344</v>
      </c>
      <c r="C10019">
        <v>1</v>
      </c>
      <c r="D10019" s="17" t="s">
        <v>17166</v>
      </c>
      <c r="E10019" s="17"/>
      <c r="F10019" s="17" t="s">
        <v>17246</v>
      </c>
      <c r="G10019" s="17"/>
      <c r="H10019" s="17" t="s">
        <v>20919</v>
      </c>
      <c r="I10019" s="17"/>
      <c r="J10019" s="17" t="s">
        <v>21313</v>
      </c>
      <c r="K10019" s="17"/>
      <c r="L10019" s="17" t="s">
        <v>21326</v>
      </c>
      <c r="M10019" s="17"/>
      <c r="N10019" s="17" t="s">
        <v>22304</v>
      </c>
      <c r="O10019" s="17"/>
      <c r="P10019" s="17" t="s">
        <v>22346</v>
      </c>
      <c r="Q10019" s="17"/>
      <c r="R10019" s="25" t="str">
        <f>HYPERLINK("https://ictv.global/taxonomy/taxondetails?taxnode_id=202310884","Mahshuvirus limivivens")</f>
        <v>Mahshuvirus limivivens</v>
      </c>
      <c r="S10019" s="18" t="s">
        <v>30</v>
      </c>
      <c r="T10019" s="18" t="s">
        <v>22347</v>
      </c>
      <c r="U10019" s="18"/>
      <c r="V10019" s="18"/>
      <c r="W10019" s="18" t="s">
        <v>22348</v>
      </c>
      <c r="X10019" s="18" t="s">
        <v>35</v>
      </c>
      <c r="Y10019" s="18" t="s">
        <v>17171</v>
      </c>
      <c r="Z10019" s="18" t="s">
        <v>697</v>
      </c>
      <c r="AA10019" s="21" t="str">
        <f>HYPERLINK("https://www.ncbi.nlm.nih.gov/nuccore/BK013604","NCBI Nucleotide")</f>
        <v>NCBI Nucleotide</v>
      </c>
    </row>
    <row r="10020" spans="1:27" x14ac:dyDescent="0.35">
      <c r="A10020">
        <v>1009766</v>
      </c>
      <c r="B10020">
        <v>9345</v>
      </c>
      <c r="C10020">
        <v>1</v>
      </c>
      <c r="D10020" s="17" t="s">
        <v>17166</v>
      </c>
      <c r="E10020" s="17"/>
      <c r="F10020" s="17" t="s">
        <v>17246</v>
      </c>
      <c r="G10020" s="17"/>
      <c r="H10020" s="17" t="s">
        <v>20919</v>
      </c>
      <c r="I10020" s="17"/>
      <c r="J10020" s="17" t="s">
        <v>21313</v>
      </c>
      <c r="K10020" s="17"/>
      <c r="L10020" s="17" t="s">
        <v>21326</v>
      </c>
      <c r="M10020" s="17"/>
      <c r="N10020" s="17" t="s">
        <v>22304</v>
      </c>
      <c r="O10020" s="17"/>
      <c r="P10020" s="17" t="s">
        <v>22349</v>
      </c>
      <c r="Q10020" s="17"/>
      <c r="R10020" s="25" t="str">
        <f>HYPERLINK("https://ictv.global/taxonomy/taxondetails?taxnode_id=202310886","Mintinovirus pelohabitans")</f>
        <v>Mintinovirus pelohabitans</v>
      </c>
      <c r="S10020" s="18" t="s">
        <v>30</v>
      </c>
      <c r="T10020" s="18" t="s">
        <v>22350</v>
      </c>
      <c r="U10020" s="18"/>
      <c r="V10020" s="18"/>
      <c r="W10020" s="18" t="s">
        <v>22351</v>
      </c>
      <c r="X10020" s="18" t="s">
        <v>35</v>
      </c>
      <c r="Y10020" s="18" t="s">
        <v>17171</v>
      </c>
      <c r="Z10020" s="18" t="s">
        <v>697</v>
      </c>
      <c r="AA10020" s="21" t="str">
        <f>HYPERLINK("https://www.ncbi.nlm.nih.gov/nuccore/BK014154","NCBI Nucleotide")</f>
        <v>NCBI Nucleotide</v>
      </c>
    </row>
    <row r="10021" spans="1:27" x14ac:dyDescent="0.35">
      <c r="A10021">
        <v>1009767</v>
      </c>
      <c r="B10021">
        <v>9346</v>
      </c>
      <c r="C10021">
        <v>1</v>
      </c>
      <c r="D10021" s="17" t="s">
        <v>17166</v>
      </c>
      <c r="E10021" s="17"/>
      <c r="F10021" s="17" t="s">
        <v>17246</v>
      </c>
      <c r="G10021" s="17"/>
      <c r="H10021" s="17" t="s">
        <v>20919</v>
      </c>
      <c r="I10021" s="17"/>
      <c r="J10021" s="17" t="s">
        <v>21313</v>
      </c>
      <c r="K10021" s="17"/>
      <c r="L10021" s="17" t="s">
        <v>21326</v>
      </c>
      <c r="M10021" s="17"/>
      <c r="N10021" s="17" t="s">
        <v>22304</v>
      </c>
      <c r="O10021" s="17"/>
      <c r="P10021" s="17" t="s">
        <v>22349</v>
      </c>
      <c r="Q10021" s="17"/>
      <c r="R10021" s="25" t="str">
        <f>HYPERLINK("https://ictv.global/taxonomy/taxondetails?taxnode_id=202310887","Mintinovirus pelovicinum")</f>
        <v>Mintinovirus pelovicinum</v>
      </c>
      <c r="S10021" s="18" t="s">
        <v>30</v>
      </c>
      <c r="T10021" s="18" t="s">
        <v>22352</v>
      </c>
      <c r="U10021" s="18"/>
      <c r="V10021" s="18"/>
      <c r="W10021" s="18" t="s">
        <v>22353</v>
      </c>
      <c r="X10021" s="18" t="s">
        <v>35</v>
      </c>
      <c r="Y10021" s="18" t="s">
        <v>17171</v>
      </c>
      <c r="Z10021" s="18" t="s">
        <v>697</v>
      </c>
      <c r="AA10021" s="21" t="str">
        <f>HYPERLINK("https://www.ncbi.nlm.nih.gov/nuccore/BK014159","NCBI Nucleotide")</f>
        <v>NCBI Nucleotide</v>
      </c>
    </row>
    <row r="10022" spans="1:27" x14ac:dyDescent="0.35">
      <c r="A10022">
        <v>1009770</v>
      </c>
      <c r="B10022">
        <v>9347</v>
      </c>
      <c r="C10022">
        <v>1</v>
      </c>
      <c r="D10022" s="17" t="s">
        <v>17166</v>
      </c>
      <c r="E10022" s="17"/>
      <c r="F10022" s="17" t="s">
        <v>17246</v>
      </c>
      <c r="G10022" s="17"/>
      <c r="H10022" s="17" t="s">
        <v>20919</v>
      </c>
      <c r="I10022" s="17"/>
      <c r="J10022" s="17" t="s">
        <v>21313</v>
      </c>
      <c r="K10022" s="17"/>
      <c r="L10022" s="17" t="s">
        <v>21326</v>
      </c>
      <c r="M10022" s="17"/>
      <c r="N10022" s="17" t="s">
        <v>22304</v>
      </c>
      <c r="O10022" s="17"/>
      <c r="P10022" s="17" t="s">
        <v>22354</v>
      </c>
      <c r="Q10022" s="17"/>
      <c r="R10022" s="25" t="str">
        <f>HYPERLINK("https://ictv.global/taxonomy/taxondetails?taxnode_id=202310893","Puhrivirus limivivens")</f>
        <v>Puhrivirus limivivens</v>
      </c>
      <c r="S10022" s="18" t="s">
        <v>30</v>
      </c>
      <c r="T10022" s="18" t="s">
        <v>22355</v>
      </c>
      <c r="U10022" s="18"/>
      <c r="V10022" s="18"/>
      <c r="W10022" s="18" t="s">
        <v>22356</v>
      </c>
      <c r="X10022" s="18" t="s">
        <v>35</v>
      </c>
      <c r="Y10022" s="18" t="s">
        <v>17171</v>
      </c>
      <c r="Z10022" s="18" t="s">
        <v>697</v>
      </c>
      <c r="AA10022" s="21" t="str">
        <f>HYPERLINK("https://www.ncbi.nlm.nih.gov/nuccore/BK014074","NCBI Nucleotide")</f>
        <v>NCBI Nucleotide</v>
      </c>
    </row>
    <row r="10023" spans="1:27" x14ac:dyDescent="0.35">
      <c r="A10023">
        <v>1009771</v>
      </c>
      <c r="B10023">
        <v>9348</v>
      </c>
      <c r="C10023">
        <v>1</v>
      </c>
      <c r="D10023" s="17" t="s">
        <v>17166</v>
      </c>
      <c r="E10023" s="17"/>
      <c r="F10023" s="17" t="s">
        <v>17246</v>
      </c>
      <c r="G10023" s="17"/>
      <c r="H10023" s="17" t="s">
        <v>20919</v>
      </c>
      <c r="I10023" s="17"/>
      <c r="J10023" s="17" t="s">
        <v>21313</v>
      </c>
      <c r="K10023" s="17"/>
      <c r="L10023" s="17" t="s">
        <v>21326</v>
      </c>
      <c r="M10023" s="17"/>
      <c r="N10023" s="17" t="s">
        <v>22304</v>
      </c>
      <c r="O10023" s="17"/>
      <c r="P10023" s="17" t="s">
        <v>22357</v>
      </c>
      <c r="Q10023" s="17"/>
      <c r="R10023" s="25" t="str">
        <f>HYPERLINK("https://ictv.global/taxonomy/taxondetails?taxnode_id=202310895","Puirovirus lutadaptatum")</f>
        <v>Puirovirus lutadaptatum</v>
      </c>
      <c r="S10023" s="18" t="s">
        <v>30</v>
      </c>
      <c r="T10023" s="18" t="s">
        <v>22358</v>
      </c>
      <c r="U10023" s="18"/>
      <c r="V10023" s="18"/>
      <c r="W10023" s="18" t="s">
        <v>22359</v>
      </c>
      <c r="X10023" s="18" t="s">
        <v>35</v>
      </c>
      <c r="Y10023" s="18" t="s">
        <v>17171</v>
      </c>
      <c r="Z10023" s="18" t="s">
        <v>697</v>
      </c>
      <c r="AA10023" s="21" t="str">
        <f>HYPERLINK("https://www.ncbi.nlm.nih.gov/nuccore/BK014109","NCBI Nucleotide")</f>
        <v>NCBI Nucleotide</v>
      </c>
    </row>
    <row r="10024" spans="1:27" x14ac:dyDescent="0.35">
      <c r="A10024">
        <v>1009773</v>
      </c>
      <c r="B10024">
        <v>9349</v>
      </c>
      <c r="C10024">
        <v>1</v>
      </c>
      <c r="D10024" s="17" t="s">
        <v>17166</v>
      </c>
      <c r="E10024" s="17"/>
      <c r="F10024" s="17" t="s">
        <v>17246</v>
      </c>
      <c r="G10024" s="17"/>
      <c r="H10024" s="17" t="s">
        <v>20919</v>
      </c>
      <c r="I10024" s="17"/>
      <c r="J10024" s="17" t="s">
        <v>21313</v>
      </c>
      <c r="K10024" s="17"/>
      <c r="L10024" s="17" t="s">
        <v>21326</v>
      </c>
      <c r="M10024" s="17"/>
      <c r="N10024" s="17" t="s">
        <v>22304</v>
      </c>
      <c r="O10024" s="17"/>
      <c r="P10024" s="17" t="s">
        <v>22360</v>
      </c>
      <c r="Q10024" s="17"/>
      <c r="R10024" s="25" t="str">
        <f>HYPERLINK("https://ictv.global/taxonomy/taxondetails?taxnode_id=202310898","Sexopuavirus agricola")</f>
        <v>Sexopuavirus agricola</v>
      </c>
      <c r="S10024" s="18" t="s">
        <v>30</v>
      </c>
      <c r="T10024" s="18" t="s">
        <v>22361</v>
      </c>
      <c r="U10024" s="18"/>
      <c r="V10024" s="18"/>
      <c r="W10024" s="18" t="s">
        <v>22362</v>
      </c>
      <c r="X10024" s="18" t="s">
        <v>35</v>
      </c>
      <c r="Y10024" s="18" t="s">
        <v>17171</v>
      </c>
      <c r="Z10024" s="18" t="s">
        <v>697</v>
      </c>
      <c r="AA10024" s="21" t="str">
        <f>HYPERLINK("https://www.ncbi.nlm.nih.gov/nuccore/BK013966","NCBI Nucleotide")</f>
        <v>NCBI Nucleotide</v>
      </c>
    </row>
    <row r="10025" spans="1:27" x14ac:dyDescent="0.35">
      <c r="A10025">
        <v>1009774</v>
      </c>
      <c r="B10025">
        <v>9350</v>
      </c>
      <c r="C10025">
        <v>1</v>
      </c>
      <c r="D10025" s="17" t="s">
        <v>17166</v>
      </c>
      <c r="E10025" s="17"/>
      <c r="F10025" s="17" t="s">
        <v>17246</v>
      </c>
      <c r="G10025" s="17"/>
      <c r="H10025" s="17" t="s">
        <v>20919</v>
      </c>
      <c r="I10025" s="17"/>
      <c r="J10025" s="17" t="s">
        <v>21313</v>
      </c>
      <c r="K10025" s="17"/>
      <c r="L10025" s="17" t="s">
        <v>21326</v>
      </c>
      <c r="M10025" s="17"/>
      <c r="N10025" s="17" t="s">
        <v>22304</v>
      </c>
      <c r="O10025" s="17"/>
      <c r="P10025" s="17" t="s">
        <v>22363</v>
      </c>
      <c r="Q10025" s="17"/>
      <c r="R10025" s="25" t="str">
        <f>HYPERLINK("https://ictv.global/taxonomy/taxondetails?taxnode_id=202310900","Thiuhmevirus pedadaptatum")</f>
        <v>Thiuhmevirus pedadaptatum</v>
      </c>
      <c r="S10025" s="18" t="s">
        <v>30</v>
      </c>
      <c r="T10025" s="18" t="s">
        <v>22364</v>
      </c>
      <c r="U10025" s="18"/>
      <c r="V10025" s="18"/>
      <c r="W10025" s="18" t="s">
        <v>22365</v>
      </c>
      <c r="X10025" s="18" t="s">
        <v>35</v>
      </c>
      <c r="Y10025" s="18" t="s">
        <v>17171</v>
      </c>
      <c r="Z10025" s="18" t="s">
        <v>697</v>
      </c>
      <c r="AA10025" s="21" t="str">
        <f>HYPERLINK("https://www.ncbi.nlm.nih.gov/nuccore/BK013478","NCBI Nucleotide")</f>
        <v>NCBI Nucleotide</v>
      </c>
    </row>
    <row r="10026" spans="1:27" x14ac:dyDescent="0.35">
      <c r="A10026">
        <v>1009775</v>
      </c>
      <c r="B10026">
        <v>9351</v>
      </c>
      <c r="C10026">
        <v>1</v>
      </c>
      <c r="D10026" s="17" t="s">
        <v>17166</v>
      </c>
      <c r="E10026" s="17"/>
      <c r="F10026" s="17" t="s">
        <v>17246</v>
      </c>
      <c r="G10026" s="17"/>
      <c r="H10026" s="17" t="s">
        <v>20919</v>
      </c>
      <c r="I10026" s="17"/>
      <c r="J10026" s="17" t="s">
        <v>21313</v>
      </c>
      <c r="K10026" s="17"/>
      <c r="L10026" s="17" t="s">
        <v>21326</v>
      </c>
      <c r="M10026" s="17"/>
      <c r="N10026" s="17" t="s">
        <v>22304</v>
      </c>
      <c r="O10026" s="17"/>
      <c r="P10026" s="17" t="s">
        <v>22366</v>
      </c>
      <c r="Q10026" s="17"/>
      <c r="R10026" s="25" t="str">
        <f>HYPERLINK("https://ictv.global/taxonomy/taxondetails?taxnode_id=202310902","Tohkunevirus borborocola")</f>
        <v>Tohkunevirus borborocola</v>
      </c>
      <c r="S10026" s="18" t="s">
        <v>30</v>
      </c>
      <c r="T10026" s="18" t="s">
        <v>22367</v>
      </c>
      <c r="U10026" s="18"/>
      <c r="V10026" s="18"/>
      <c r="W10026" s="18" t="s">
        <v>22368</v>
      </c>
      <c r="X10026" s="18" t="s">
        <v>35</v>
      </c>
      <c r="Y10026" s="18" t="s">
        <v>17171</v>
      </c>
      <c r="Z10026" s="18" t="s">
        <v>697</v>
      </c>
      <c r="AA10026" s="21" t="str">
        <f>HYPERLINK("https://www.ncbi.nlm.nih.gov/nuccore/BK014057","NCBI Nucleotide")</f>
        <v>NCBI Nucleotide</v>
      </c>
    </row>
    <row r="10027" spans="1:27" x14ac:dyDescent="0.35">
      <c r="A10027">
        <v>1009776</v>
      </c>
      <c r="B10027">
        <v>9352</v>
      </c>
      <c r="C10027">
        <v>1</v>
      </c>
      <c r="D10027" s="17" t="s">
        <v>17166</v>
      </c>
      <c r="E10027" s="17"/>
      <c r="F10027" s="17" t="s">
        <v>17246</v>
      </c>
      <c r="G10027" s="17"/>
      <c r="H10027" s="17" t="s">
        <v>20919</v>
      </c>
      <c r="I10027" s="17"/>
      <c r="J10027" s="17" t="s">
        <v>21313</v>
      </c>
      <c r="K10027" s="17"/>
      <c r="L10027" s="17" t="s">
        <v>21326</v>
      </c>
      <c r="M10027" s="17"/>
      <c r="N10027" s="17" t="s">
        <v>22304</v>
      </c>
      <c r="O10027" s="17"/>
      <c r="P10027" s="17" t="s">
        <v>22369</v>
      </c>
      <c r="Q10027" s="17"/>
      <c r="R10027" s="25" t="str">
        <f>HYPERLINK("https://ictv.global/taxonomy/taxondetails?taxnode_id=202310904","Tyrahlevirus caenicola")</f>
        <v>Tyrahlevirus caenicola</v>
      </c>
      <c r="S10027" s="18" t="s">
        <v>30</v>
      </c>
      <c r="T10027" s="18" t="s">
        <v>22370</v>
      </c>
      <c r="U10027" s="18"/>
      <c r="V10027" s="18"/>
      <c r="W10027" s="18" t="s">
        <v>22371</v>
      </c>
      <c r="X10027" s="18" t="s">
        <v>35</v>
      </c>
      <c r="Y10027" s="18" t="s">
        <v>17171</v>
      </c>
      <c r="Z10027" s="18" t="s">
        <v>697</v>
      </c>
      <c r="AA10027" s="21" t="str">
        <f>HYPERLINK("https://www.ncbi.nlm.nih.gov/nuccore/BK014076","NCBI Nucleotide")</f>
        <v>NCBI Nucleotide</v>
      </c>
    </row>
    <row r="10028" spans="1:27" x14ac:dyDescent="0.35">
      <c r="A10028">
        <v>1009760</v>
      </c>
      <c r="B10028">
        <v>9353</v>
      </c>
      <c r="C10028">
        <v>1</v>
      </c>
      <c r="D10028" s="17" t="s">
        <v>17166</v>
      </c>
      <c r="E10028" s="17"/>
      <c r="F10028" s="17" t="s">
        <v>17246</v>
      </c>
      <c r="G10028" s="17"/>
      <c r="H10028" s="17" t="s">
        <v>20919</v>
      </c>
      <c r="I10028" s="17"/>
      <c r="J10028" s="17" t="s">
        <v>21313</v>
      </c>
      <c r="K10028" s="17"/>
      <c r="L10028" s="17" t="s">
        <v>21326</v>
      </c>
      <c r="M10028" s="17"/>
      <c r="N10028" s="17" t="s">
        <v>22304</v>
      </c>
      <c r="O10028" s="17"/>
      <c r="P10028" s="17" t="s">
        <v>44188</v>
      </c>
      <c r="Q10028" s="17"/>
      <c r="R10028" s="25" t="str">
        <f>HYPERLINK("https://ictv.global/taxonomy/taxondetails?taxnode_id=202310877","Upirshuvirus tellurivivens")</f>
        <v>Upirshuvirus tellurivivens</v>
      </c>
      <c r="S10028" s="18" t="s">
        <v>30</v>
      </c>
      <c r="T10028" s="18" t="s">
        <v>22335</v>
      </c>
      <c r="U10028" s="18"/>
      <c r="V10028" s="18"/>
      <c r="W10028" s="18" t="s">
        <v>22336</v>
      </c>
      <c r="X10028" s="18" t="s">
        <v>35</v>
      </c>
      <c r="Y10028" s="18" t="s">
        <v>17171</v>
      </c>
      <c r="Z10028" s="18" t="s">
        <v>697</v>
      </c>
      <c r="AA10028" s="21" t="str">
        <f>HYPERLINK("https://www.ncbi.nlm.nih.gov/nuccore/BK013462","NCBI Nucleotide")</f>
        <v>NCBI Nucleotide</v>
      </c>
    </row>
    <row r="10029" spans="1:27" x14ac:dyDescent="0.35">
      <c r="A10029">
        <v>1009761</v>
      </c>
      <c r="B10029">
        <v>9354</v>
      </c>
      <c r="C10029">
        <v>1</v>
      </c>
      <c r="D10029" s="17" t="s">
        <v>17166</v>
      </c>
      <c r="E10029" s="17"/>
      <c r="F10029" s="17" t="s">
        <v>17246</v>
      </c>
      <c r="G10029" s="17"/>
      <c r="H10029" s="17" t="s">
        <v>20919</v>
      </c>
      <c r="I10029" s="17"/>
      <c r="J10029" s="17" t="s">
        <v>21313</v>
      </c>
      <c r="K10029" s="17"/>
      <c r="L10029" s="17" t="s">
        <v>21326</v>
      </c>
      <c r="M10029" s="17"/>
      <c r="N10029" s="17" t="s">
        <v>22304</v>
      </c>
      <c r="O10029" s="17"/>
      <c r="P10029" s="17" t="s">
        <v>44188</v>
      </c>
      <c r="Q10029" s="17"/>
      <c r="R10029" s="25" t="str">
        <f>HYPERLINK("https://ictv.global/taxonomy/taxondetails?taxnode_id=202310878","Upirshuvirus terradaptatum")</f>
        <v>Upirshuvirus terradaptatum</v>
      </c>
      <c r="S10029" s="18" t="s">
        <v>30</v>
      </c>
      <c r="T10029" s="18" t="s">
        <v>22337</v>
      </c>
      <c r="U10029" s="18"/>
      <c r="V10029" s="18"/>
      <c r="W10029" s="18" t="s">
        <v>22338</v>
      </c>
      <c r="X10029" s="18" t="s">
        <v>35</v>
      </c>
      <c r="Y10029" s="18" t="s">
        <v>17171</v>
      </c>
      <c r="Z10029" s="18" t="s">
        <v>697</v>
      </c>
      <c r="AA10029" s="21" t="str">
        <f>HYPERLINK("https://www.ncbi.nlm.nih.gov/nuccore/BK013793","NCBI Nucleotide")</f>
        <v>NCBI Nucleotide</v>
      </c>
    </row>
    <row r="10030" spans="1:27" x14ac:dyDescent="0.35">
      <c r="A10030">
        <v>1009763</v>
      </c>
      <c r="B10030">
        <v>9355</v>
      </c>
      <c r="C10030">
        <v>1</v>
      </c>
      <c r="D10030" s="17" t="s">
        <v>17166</v>
      </c>
      <c r="E10030" s="17"/>
      <c r="F10030" s="17" t="s">
        <v>17246</v>
      </c>
      <c r="G10030" s="17"/>
      <c r="H10030" s="17" t="s">
        <v>20919</v>
      </c>
      <c r="I10030" s="17"/>
      <c r="J10030" s="17" t="s">
        <v>21313</v>
      </c>
      <c r="K10030" s="17"/>
      <c r="L10030" s="17" t="s">
        <v>21326</v>
      </c>
      <c r="M10030" s="17"/>
      <c r="N10030" s="17" t="s">
        <v>22304</v>
      </c>
      <c r="O10030" s="17"/>
      <c r="P10030" s="17" t="s">
        <v>44188</v>
      </c>
      <c r="Q10030" s="17"/>
      <c r="R10030" s="25" t="str">
        <f>HYPERLINK("https://ictv.global/taxonomy/taxondetails?taxnode_id=202310879","Upirshuvirus terricola")</f>
        <v>Upirshuvirus terricola</v>
      </c>
      <c r="S10030" s="18" t="s">
        <v>30</v>
      </c>
      <c r="T10030" s="18" t="s">
        <v>22341</v>
      </c>
      <c r="U10030" s="18"/>
      <c r="V10030" s="18"/>
      <c r="W10030" s="18" t="s">
        <v>22342</v>
      </c>
      <c r="X10030" s="18" t="s">
        <v>35</v>
      </c>
      <c r="Y10030" s="18" t="s">
        <v>17171</v>
      </c>
      <c r="Z10030" s="18" t="s">
        <v>697</v>
      </c>
      <c r="AA10030" s="21" t="str">
        <f>HYPERLINK("https://www.ncbi.nlm.nih.gov/nuccore/BK013795","NCBI Nucleotide")</f>
        <v>NCBI Nucleotide</v>
      </c>
    </row>
    <row r="10031" spans="1:27" x14ac:dyDescent="0.35">
      <c r="A10031">
        <v>1009777</v>
      </c>
      <c r="B10031">
        <v>9356</v>
      </c>
      <c r="C10031">
        <v>1</v>
      </c>
      <c r="D10031" s="17" t="s">
        <v>17166</v>
      </c>
      <c r="E10031" s="17"/>
      <c r="F10031" s="17" t="s">
        <v>17246</v>
      </c>
      <c r="G10031" s="17"/>
      <c r="H10031" s="17" t="s">
        <v>20919</v>
      </c>
      <c r="I10031" s="17"/>
      <c r="J10031" s="17" t="s">
        <v>21313</v>
      </c>
      <c r="K10031" s="17"/>
      <c r="L10031" s="17" t="s">
        <v>21326</v>
      </c>
      <c r="M10031" s="17"/>
      <c r="N10031" s="17" t="s">
        <v>22304</v>
      </c>
      <c r="O10031" s="17"/>
      <c r="P10031" s="17" t="s">
        <v>22372</v>
      </c>
      <c r="Q10031" s="17"/>
      <c r="R10031" s="25" t="str">
        <f>HYPERLINK("https://ictv.global/taxonomy/taxondetails?taxnode_id=202310906","Vendavirus caenivivens")</f>
        <v>Vendavirus caenivivens</v>
      </c>
      <c r="S10031" s="18" t="s">
        <v>30</v>
      </c>
      <c r="T10031" s="18" t="s">
        <v>22373</v>
      </c>
      <c r="U10031" s="18"/>
      <c r="V10031" s="18"/>
      <c r="W10031" s="18" t="s">
        <v>22374</v>
      </c>
      <c r="X10031" s="18" t="s">
        <v>35</v>
      </c>
      <c r="Y10031" s="18" t="s">
        <v>17171</v>
      </c>
      <c r="Z10031" s="18" t="s">
        <v>697</v>
      </c>
      <c r="AA10031" s="21" t="str">
        <f>HYPERLINK("https://www.ncbi.nlm.nih.gov/nuccore/BK013680","NCBI Nucleotide")</f>
        <v>NCBI Nucleotide</v>
      </c>
    </row>
    <row r="10032" spans="1:27" x14ac:dyDescent="0.35">
      <c r="A10032">
        <v>1027440</v>
      </c>
      <c r="B10032">
        <v>9357</v>
      </c>
      <c r="C10032">
        <v>1</v>
      </c>
      <c r="D10032" s="17" t="s">
        <v>17166</v>
      </c>
      <c r="E10032" s="17"/>
      <c r="F10032" s="17" t="s">
        <v>17246</v>
      </c>
      <c r="G10032" s="17"/>
      <c r="H10032" s="17" t="s">
        <v>20919</v>
      </c>
      <c r="I10032" s="17"/>
      <c r="J10032" s="17" t="s">
        <v>21313</v>
      </c>
      <c r="K10032" s="17"/>
      <c r="L10032" s="17" t="s">
        <v>21326</v>
      </c>
      <c r="M10032" s="17"/>
      <c r="N10032" s="17" t="s">
        <v>22304</v>
      </c>
      <c r="O10032" s="17"/>
      <c r="P10032" s="17" t="s">
        <v>22375</v>
      </c>
      <c r="Q10032" s="17"/>
      <c r="R10032" s="25" t="str">
        <f>HYPERLINK("https://ictv.global/taxonomy/taxondetails?taxnode_id=202316756","Voulevirus faecivicinum")</f>
        <v>Voulevirus faecivicinum</v>
      </c>
      <c r="S10032" s="18" t="s">
        <v>30</v>
      </c>
      <c r="T10032" s="18" t="s">
        <v>44189</v>
      </c>
      <c r="U10032" s="18"/>
      <c r="V10032" s="18" t="s">
        <v>44189</v>
      </c>
      <c r="W10032" s="18" t="s">
        <v>44190</v>
      </c>
      <c r="X10032" s="18" t="s">
        <v>35</v>
      </c>
      <c r="Y10032" s="18" t="s">
        <v>17171</v>
      </c>
      <c r="Z10032" s="18" t="s">
        <v>24637</v>
      </c>
      <c r="AA10032" s="21" t="str">
        <f>HYPERLINK("https://www.ncbi.nlm.nih.gov/nuccore/ON163393","NCBI Nucleotide")</f>
        <v>NCBI Nucleotide</v>
      </c>
    </row>
    <row r="10033" spans="1:27" x14ac:dyDescent="0.35">
      <c r="A10033">
        <v>1009778</v>
      </c>
      <c r="B10033">
        <v>9358</v>
      </c>
      <c r="C10033">
        <v>1</v>
      </c>
      <c r="D10033" s="17" t="s">
        <v>17166</v>
      </c>
      <c r="E10033" s="17"/>
      <c r="F10033" s="17" t="s">
        <v>17246</v>
      </c>
      <c r="G10033" s="17"/>
      <c r="H10033" s="17" t="s">
        <v>20919</v>
      </c>
      <c r="I10033" s="17"/>
      <c r="J10033" s="17" t="s">
        <v>21313</v>
      </c>
      <c r="K10033" s="17"/>
      <c r="L10033" s="17" t="s">
        <v>21326</v>
      </c>
      <c r="M10033" s="17"/>
      <c r="N10033" s="17" t="s">
        <v>22304</v>
      </c>
      <c r="O10033" s="17"/>
      <c r="P10033" s="17" t="s">
        <v>22375</v>
      </c>
      <c r="Q10033" s="17"/>
      <c r="R10033" s="25" t="str">
        <f>HYPERLINK("https://ictv.global/taxonomy/taxondetails?taxnode_id=202310908","Voulevirus limivivens")</f>
        <v>Voulevirus limivivens</v>
      </c>
      <c r="S10033" s="18" t="s">
        <v>30</v>
      </c>
      <c r="T10033" s="18" t="s">
        <v>22376</v>
      </c>
      <c r="U10033" s="18"/>
      <c r="V10033" s="18"/>
      <c r="W10033" s="18" t="s">
        <v>22377</v>
      </c>
      <c r="X10033" s="18" t="s">
        <v>35</v>
      </c>
      <c r="Y10033" s="18" t="s">
        <v>17171</v>
      </c>
      <c r="Z10033" s="18" t="s">
        <v>697</v>
      </c>
      <c r="AA10033" s="21" t="str">
        <f>HYPERLINK("https://www.ncbi.nlm.nih.gov/nuccore/BK013693","NCBI Nucleotide")</f>
        <v>NCBI Nucleotide</v>
      </c>
    </row>
    <row r="10034" spans="1:27" x14ac:dyDescent="0.35">
      <c r="A10034">
        <v>1027484</v>
      </c>
      <c r="B10034">
        <v>9359</v>
      </c>
      <c r="C10034">
        <v>1</v>
      </c>
      <c r="D10034" s="17" t="s">
        <v>17166</v>
      </c>
      <c r="E10034" s="17"/>
      <c r="F10034" s="17" t="s">
        <v>17246</v>
      </c>
      <c r="G10034" s="17"/>
      <c r="H10034" s="17" t="s">
        <v>20919</v>
      </c>
      <c r="I10034" s="17"/>
      <c r="J10034" s="17" t="s">
        <v>21313</v>
      </c>
      <c r="K10034" s="17"/>
      <c r="L10034" s="17" t="s">
        <v>21326</v>
      </c>
      <c r="M10034" s="17"/>
      <c r="N10034" s="17" t="s">
        <v>22304</v>
      </c>
      <c r="O10034" s="17"/>
      <c r="P10034" s="17" t="s">
        <v>44191</v>
      </c>
      <c r="Q10034" s="17"/>
      <c r="R10034" s="25" t="str">
        <f>HYPERLINK("https://ictv.global/taxonomy/taxondetails?taxnode_id=202316757","Wahlkovirus arvadaptatum")</f>
        <v>Wahlkovirus arvadaptatum</v>
      </c>
      <c r="S10034" s="18" t="s">
        <v>30</v>
      </c>
      <c r="T10034" s="18" t="s">
        <v>44192</v>
      </c>
      <c r="U10034" s="18"/>
      <c r="V10034" s="18"/>
      <c r="W10034" s="18" t="s">
        <v>44193</v>
      </c>
      <c r="X10034" s="18" t="s">
        <v>35</v>
      </c>
      <c r="Y10034" s="18" t="s">
        <v>17171</v>
      </c>
      <c r="Z10034" s="18" t="s">
        <v>24637</v>
      </c>
      <c r="AA10034" s="21" t="str">
        <f>HYPERLINK("https://www.ncbi.nlm.nih.gov/nuccore/CASDWV010003056","NCBI Nucleotide")</f>
        <v>NCBI Nucleotide</v>
      </c>
    </row>
    <row r="10035" spans="1:27" x14ac:dyDescent="0.35">
      <c r="A10035">
        <v>1027485</v>
      </c>
      <c r="B10035">
        <v>9360</v>
      </c>
      <c r="C10035">
        <v>1</v>
      </c>
      <c r="D10035" s="17" t="s">
        <v>17166</v>
      </c>
      <c r="E10035" s="17"/>
      <c r="F10035" s="17" t="s">
        <v>17246</v>
      </c>
      <c r="G10035" s="17"/>
      <c r="H10035" s="17" t="s">
        <v>20919</v>
      </c>
      <c r="I10035" s="17"/>
      <c r="J10035" s="17" t="s">
        <v>21313</v>
      </c>
      <c r="K10035" s="17"/>
      <c r="L10035" s="17" t="s">
        <v>21326</v>
      </c>
      <c r="M10035" s="17"/>
      <c r="N10035" s="17" t="s">
        <v>22304</v>
      </c>
      <c r="O10035" s="17"/>
      <c r="P10035" s="17" t="s">
        <v>44191</v>
      </c>
      <c r="Q10035" s="17"/>
      <c r="R10035" s="25" t="str">
        <f>HYPERLINK("https://ictv.global/taxonomy/taxondetails?taxnode_id=202316758","Wahlkovirus arvihabitans")</f>
        <v>Wahlkovirus arvihabitans</v>
      </c>
      <c r="S10035" s="18" t="s">
        <v>30</v>
      </c>
      <c r="T10035" s="18" t="s">
        <v>44194</v>
      </c>
      <c r="U10035" s="18"/>
      <c r="V10035" s="18"/>
      <c r="W10035" s="18" t="s">
        <v>44195</v>
      </c>
      <c r="X10035" s="18" t="s">
        <v>35</v>
      </c>
      <c r="Y10035" s="18" t="s">
        <v>17171</v>
      </c>
      <c r="Z10035" s="18" t="s">
        <v>24637</v>
      </c>
      <c r="AA10035" s="21" t="str">
        <f>HYPERLINK("https://www.ncbi.nlm.nih.gov/nuccore/CASDWV010003535","NCBI Nucleotide")</f>
        <v>NCBI Nucleotide</v>
      </c>
    </row>
    <row r="10036" spans="1:27" x14ac:dyDescent="0.35">
      <c r="A10036">
        <v>1009749</v>
      </c>
      <c r="B10036">
        <v>9361</v>
      </c>
      <c r="C10036">
        <v>1</v>
      </c>
      <c r="D10036" s="17" t="s">
        <v>17166</v>
      </c>
      <c r="E10036" s="17"/>
      <c r="F10036" s="17" t="s">
        <v>17246</v>
      </c>
      <c r="G10036" s="17"/>
      <c r="H10036" s="17" t="s">
        <v>20919</v>
      </c>
      <c r="I10036" s="17"/>
      <c r="J10036" s="17" t="s">
        <v>21313</v>
      </c>
      <c r="K10036" s="17"/>
      <c r="L10036" s="17" t="s">
        <v>21326</v>
      </c>
      <c r="M10036" s="17"/>
      <c r="N10036" s="17" t="s">
        <v>22304</v>
      </c>
      <c r="O10036" s="17"/>
      <c r="P10036" s="17" t="s">
        <v>44191</v>
      </c>
      <c r="Q10036" s="17"/>
      <c r="R10036" s="25" t="str">
        <f>HYPERLINK("https://ictv.global/taxonomy/taxondetails?taxnode_id=202310857","Wahlkovirus borborenecus")</f>
        <v>Wahlkovirus borborenecus</v>
      </c>
      <c r="S10036" s="18" t="s">
        <v>30</v>
      </c>
      <c r="T10036" s="18" t="s">
        <v>22305</v>
      </c>
      <c r="U10036" s="18"/>
      <c r="V10036" s="18"/>
      <c r="W10036" s="18" t="s">
        <v>22306</v>
      </c>
      <c r="X10036" s="18" t="s">
        <v>35</v>
      </c>
      <c r="Y10036" s="18" t="s">
        <v>17171</v>
      </c>
      <c r="Z10036" s="18" t="s">
        <v>697</v>
      </c>
      <c r="AA10036" s="21" t="str">
        <f>HYPERLINK("https://www.ncbi.nlm.nih.gov/nuccore/BK013644","NCBI Nucleotide")</f>
        <v>NCBI Nucleotide</v>
      </c>
    </row>
    <row r="10037" spans="1:27" x14ac:dyDescent="0.35">
      <c r="A10037">
        <v>1027486</v>
      </c>
      <c r="B10037">
        <v>9362</v>
      </c>
      <c r="C10037">
        <v>1</v>
      </c>
      <c r="D10037" s="17" t="s">
        <v>17166</v>
      </c>
      <c r="E10037" s="17"/>
      <c r="F10037" s="17" t="s">
        <v>17246</v>
      </c>
      <c r="G10037" s="17"/>
      <c r="H10037" s="17" t="s">
        <v>20919</v>
      </c>
      <c r="I10037" s="17"/>
      <c r="J10037" s="17" t="s">
        <v>21313</v>
      </c>
      <c r="K10037" s="17"/>
      <c r="L10037" s="17" t="s">
        <v>21326</v>
      </c>
      <c r="M10037" s="17"/>
      <c r="N10037" s="17" t="s">
        <v>22304</v>
      </c>
      <c r="O10037" s="17"/>
      <c r="P10037" s="17" t="s">
        <v>44191</v>
      </c>
      <c r="Q10037" s="17"/>
      <c r="R10037" s="25" t="str">
        <f>HYPERLINK("https://ictv.global/taxonomy/taxondetails?taxnode_id=202316759","Wahlkovirus edaphadaptatum")</f>
        <v>Wahlkovirus edaphadaptatum</v>
      </c>
      <c r="S10037" s="18" t="s">
        <v>30</v>
      </c>
      <c r="T10037" s="18" t="s">
        <v>44196</v>
      </c>
      <c r="U10037" s="18"/>
      <c r="V10037" s="18"/>
      <c r="W10037" s="18" t="s">
        <v>44197</v>
      </c>
      <c r="X10037" s="18" t="s">
        <v>35</v>
      </c>
      <c r="Y10037" s="18" t="s">
        <v>17171</v>
      </c>
      <c r="Z10037" s="18" t="s">
        <v>24637</v>
      </c>
      <c r="AA10037" s="21" t="str">
        <f>HYPERLINK("https://www.ncbi.nlm.nih.gov/nuccore/CASDWV010004255","NCBI Nucleotide")</f>
        <v>NCBI Nucleotide</v>
      </c>
    </row>
    <row r="10038" spans="1:27" x14ac:dyDescent="0.35">
      <c r="A10038">
        <v>1027487</v>
      </c>
      <c r="B10038">
        <v>9363</v>
      </c>
      <c r="C10038">
        <v>1</v>
      </c>
      <c r="D10038" s="17" t="s">
        <v>17166</v>
      </c>
      <c r="E10038" s="17"/>
      <c r="F10038" s="17" t="s">
        <v>17246</v>
      </c>
      <c r="G10038" s="17"/>
      <c r="H10038" s="17" t="s">
        <v>20919</v>
      </c>
      <c r="I10038" s="17"/>
      <c r="J10038" s="17" t="s">
        <v>21313</v>
      </c>
      <c r="K10038" s="17"/>
      <c r="L10038" s="17" t="s">
        <v>21326</v>
      </c>
      <c r="M10038" s="17"/>
      <c r="N10038" s="17" t="s">
        <v>22304</v>
      </c>
      <c r="O10038" s="17"/>
      <c r="P10038" s="17" t="s">
        <v>44191</v>
      </c>
      <c r="Q10038" s="17"/>
      <c r="R10038" s="25" t="str">
        <f>HYPERLINK("https://ictv.global/taxonomy/taxondetails?taxnode_id=202316760","Wahlkovirus edaphohabitans")</f>
        <v>Wahlkovirus edaphohabitans</v>
      </c>
      <c r="S10038" s="18" t="s">
        <v>30</v>
      </c>
      <c r="T10038" s="18" t="s">
        <v>44198</v>
      </c>
      <c r="U10038" s="18"/>
      <c r="V10038" s="18"/>
      <c r="W10038" s="18" t="s">
        <v>44199</v>
      </c>
      <c r="X10038" s="18" t="s">
        <v>35</v>
      </c>
      <c r="Y10038" s="18" t="s">
        <v>17171</v>
      </c>
      <c r="Z10038" s="18" t="s">
        <v>24637</v>
      </c>
      <c r="AA10038" s="21" t="str">
        <f>HYPERLINK("https://www.ncbi.nlm.nih.gov/nuccore/CASDWV010005069","NCBI Nucleotide")</f>
        <v>NCBI Nucleotide</v>
      </c>
    </row>
    <row r="10039" spans="1:27" x14ac:dyDescent="0.35">
      <c r="A10039">
        <v>1027488</v>
      </c>
      <c r="B10039">
        <v>9364</v>
      </c>
      <c r="C10039">
        <v>1</v>
      </c>
      <c r="D10039" s="17" t="s">
        <v>17166</v>
      </c>
      <c r="E10039" s="17"/>
      <c r="F10039" s="17" t="s">
        <v>17246</v>
      </c>
      <c r="G10039" s="17"/>
      <c r="H10039" s="17" t="s">
        <v>20919</v>
      </c>
      <c r="I10039" s="17"/>
      <c r="J10039" s="17" t="s">
        <v>21313</v>
      </c>
      <c r="K10039" s="17"/>
      <c r="L10039" s="17" t="s">
        <v>21326</v>
      </c>
      <c r="M10039" s="17"/>
      <c r="N10039" s="17" t="s">
        <v>22304</v>
      </c>
      <c r="O10039" s="17"/>
      <c r="P10039" s="17" t="s">
        <v>44191</v>
      </c>
      <c r="Q10039" s="17"/>
      <c r="R10039" s="25" t="str">
        <f>HYPERLINK("https://ictv.global/taxonomy/taxondetails?taxnode_id=202316761","Wahlkovirus messenecus")</f>
        <v>Wahlkovirus messenecus</v>
      </c>
      <c r="S10039" s="18" t="s">
        <v>30</v>
      </c>
      <c r="T10039" s="18" t="s">
        <v>44200</v>
      </c>
      <c r="U10039" s="18"/>
      <c r="V10039" s="18"/>
      <c r="W10039" s="18" t="s">
        <v>44201</v>
      </c>
      <c r="X10039" s="18" t="s">
        <v>35</v>
      </c>
      <c r="Y10039" s="18" t="s">
        <v>17171</v>
      </c>
      <c r="Z10039" s="18" t="s">
        <v>24637</v>
      </c>
      <c r="AA10039" s="21" t="str">
        <f>HYPERLINK("https://www.ncbi.nlm.nih.gov/nuccore/CASDWV010000065","NCBI Nucleotide")</f>
        <v>NCBI Nucleotide</v>
      </c>
    </row>
    <row r="10040" spans="1:27" x14ac:dyDescent="0.35">
      <c r="A10040">
        <v>1027489</v>
      </c>
      <c r="B10040">
        <v>9365</v>
      </c>
      <c r="C10040">
        <v>1</v>
      </c>
      <c r="D10040" s="17" t="s">
        <v>17166</v>
      </c>
      <c r="E10040" s="17"/>
      <c r="F10040" s="17" t="s">
        <v>17246</v>
      </c>
      <c r="G10040" s="17"/>
      <c r="H10040" s="17" t="s">
        <v>20919</v>
      </c>
      <c r="I10040" s="17"/>
      <c r="J10040" s="17" t="s">
        <v>21313</v>
      </c>
      <c r="K10040" s="17"/>
      <c r="L10040" s="17" t="s">
        <v>21326</v>
      </c>
      <c r="M10040" s="17"/>
      <c r="N10040" s="17" t="s">
        <v>22304</v>
      </c>
      <c r="O10040" s="17"/>
      <c r="P10040" s="17" t="s">
        <v>44191</v>
      </c>
      <c r="Q10040" s="17"/>
      <c r="R10040" s="25" t="str">
        <f>HYPERLINK("https://ictv.global/taxonomy/taxondetails?taxnode_id=202316762","Wahlkovirus pedenecus")</f>
        <v>Wahlkovirus pedenecus</v>
      </c>
      <c r="S10040" s="18" t="s">
        <v>30</v>
      </c>
      <c r="T10040" s="18" t="s">
        <v>44202</v>
      </c>
      <c r="U10040" s="18"/>
      <c r="V10040" s="18"/>
      <c r="W10040" s="18" t="s">
        <v>44203</v>
      </c>
      <c r="X10040" s="18" t="s">
        <v>35</v>
      </c>
      <c r="Y10040" s="18" t="s">
        <v>17171</v>
      </c>
      <c r="Z10040" s="18" t="s">
        <v>24637</v>
      </c>
      <c r="AA10040" s="21" t="str">
        <f>HYPERLINK("https://www.ncbi.nlm.nih.gov/nuccore/CASDWV010000067","NCBI Nucleotide")</f>
        <v>NCBI Nucleotide</v>
      </c>
    </row>
    <row r="10041" spans="1:27" x14ac:dyDescent="0.35">
      <c r="A10041">
        <v>1027490</v>
      </c>
      <c r="B10041">
        <v>9366</v>
      </c>
      <c r="C10041">
        <v>1</v>
      </c>
      <c r="D10041" s="17" t="s">
        <v>17166</v>
      </c>
      <c r="E10041" s="17"/>
      <c r="F10041" s="17" t="s">
        <v>17246</v>
      </c>
      <c r="G10041" s="17"/>
      <c r="H10041" s="17" t="s">
        <v>20919</v>
      </c>
      <c r="I10041" s="17"/>
      <c r="J10041" s="17" t="s">
        <v>21313</v>
      </c>
      <c r="K10041" s="17"/>
      <c r="L10041" s="17" t="s">
        <v>21326</v>
      </c>
      <c r="M10041" s="17"/>
      <c r="N10041" s="17" t="s">
        <v>22304</v>
      </c>
      <c r="O10041" s="17"/>
      <c r="P10041" s="17" t="s">
        <v>44191</v>
      </c>
      <c r="Q10041" s="17"/>
      <c r="R10041" s="25" t="str">
        <f>HYPERLINK("https://ictv.global/taxonomy/taxondetails?taxnode_id=202316763","Wahlkovirus tellurihabitans")</f>
        <v>Wahlkovirus tellurihabitans</v>
      </c>
      <c r="S10041" s="18" t="s">
        <v>30</v>
      </c>
      <c r="T10041" s="18" t="s">
        <v>44204</v>
      </c>
      <c r="U10041" s="18"/>
      <c r="V10041" s="18"/>
      <c r="W10041" s="18" t="s">
        <v>44205</v>
      </c>
      <c r="X10041" s="18" t="s">
        <v>35</v>
      </c>
      <c r="Y10041" s="18" t="s">
        <v>17171</v>
      </c>
      <c r="Z10041" s="18" t="s">
        <v>24637</v>
      </c>
      <c r="AA10041" s="21" t="str">
        <f>HYPERLINK("https://www.ncbi.nlm.nih.gov/nuccore/CASDWV010000174","NCBI Nucleotide")</f>
        <v>NCBI Nucleotide</v>
      </c>
    </row>
    <row r="10042" spans="1:27" x14ac:dyDescent="0.35">
      <c r="A10042">
        <v>1009762</v>
      </c>
      <c r="B10042">
        <v>9367</v>
      </c>
      <c r="C10042">
        <v>1</v>
      </c>
      <c r="D10042" s="17" t="s">
        <v>17166</v>
      </c>
      <c r="E10042" s="17"/>
      <c r="F10042" s="17" t="s">
        <v>17246</v>
      </c>
      <c r="G10042" s="17"/>
      <c r="H10042" s="17" t="s">
        <v>20919</v>
      </c>
      <c r="I10042" s="17"/>
      <c r="J10042" s="17" t="s">
        <v>21313</v>
      </c>
      <c r="K10042" s="17"/>
      <c r="L10042" s="17" t="s">
        <v>21326</v>
      </c>
      <c r="M10042" s="17"/>
      <c r="N10042" s="17" t="s">
        <v>22304</v>
      </c>
      <c r="O10042" s="17"/>
      <c r="P10042" s="17" t="s">
        <v>44191</v>
      </c>
      <c r="Q10042" s="17"/>
      <c r="R10042" s="25" t="str">
        <f>HYPERLINK("https://ictv.global/taxonomy/taxondetails?taxnode_id=202310876","Wahlkovirus terrenecus")</f>
        <v>Wahlkovirus terrenecus</v>
      </c>
      <c r="S10042" s="18" t="s">
        <v>30</v>
      </c>
      <c r="T10042" s="18" t="s">
        <v>22339</v>
      </c>
      <c r="U10042" s="18"/>
      <c r="V10042" s="18"/>
      <c r="W10042" s="18" t="s">
        <v>22340</v>
      </c>
      <c r="X10042" s="18" t="s">
        <v>35</v>
      </c>
      <c r="Y10042" s="18" t="s">
        <v>17171</v>
      </c>
      <c r="Z10042" s="18" t="s">
        <v>697</v>
      </c>
      <c r="AA10042" s="21" t="str">
        <f>HYPERLINK("https://www.ncbi.nlm.nih.gov/nuccore/BK013444","NCBI Nucleotide")</f>
        <v>NCBI Nucleotide</v>
      </c>
    </row>
    <row r="10043" spans="1:27" x14ac:dyDescent="0.35">
      <c r="A10043">
        <v>1027491</v>
      </c>
      <c r="B10043">
        <v>9368</v>
      </c>
      <c r="C10043">
        <v>1</v>
      </c>
      <c r="D10043" s="17" t="s">
        <v>17166</v>
      </c>
      <c r="E10043" s="17"/>
      <c r="F10043" s="17" t="s">
        <v>17246</v>
      </c>
      <c r="G10043" s="17"/>
      <c r="H10043" s="17" t="s">
        <v>20919</v>
      </c>
      <c r="I10043" s="17"/>
      <c r="J10043" s="17" t="s">
        <v>21313</v>
      </c>
      <c r="K10043" s="17"/>
      <c r="L10043" s="17" t="s">
        <v>21326</v>
      </c>
      <c r="M10043" s="17"/>
      <c r="N10043" s="17" t="s">
        <v>22304</v>
      </c>
      <c r="O10043" s="17"/>
      <c r="P10043" s="17" t="s">
        <v>44206</v>
      </c>
      <c r="Q10043" s="17"/>
      <c r="R10043" s="25" t="str">
        <f>HYPERLINK("https://ictv.global/taxonomy/taxondetails?taxnode_id=202316764","Wahpevirus allofaecivivens")</f>
        <v>Wahpevirus allofaecivivens</v>
      </c>
      <c r="S10043" s="18" t="s">
        <v>30</v>
      </c>
      <c r="T10043" s="18" t="s">
        <v>44207</v>
      </c>
      <c r="U10043" s="18"/>
      <c r="V10043" s="18" t="s">
        <v>44207</v>
      </c>
      <c r="W10043" s="18" t="s">
        <v>44208</v>
      </c>
      <c r="X10043" s="18" t="s">
        <v>35</v>
      </c>
      <c r="Y10043" s="18" t="s">
        <v>17171</v>
      </c>
      <c r="Z10043" s="18" t="s">
        <v>24637</v>
      </c>
      <c r="AA10043" s="21" t="str">
        <f>HYPERLINK("https://www.ncbi.nlm.nih.gov/nuccore/MZ679788","NCBI Nucleotide")</f>
        <v>NCBI Nucleotide</v>
      </c>
    </row>
    <row r="10044" spans="1:27" x14ac:dyDescent="0.35">
      <c r="A10044">
        <v>1027492</v>
      </c>
      <c r="B10044">
        <v>9369</v>
      </c>
      <c r="C10044">
        <v>1</v>
      </c>
      <c r="D10044" s="17" t="s">
        <v>17166</v>
      </c>
      <c r="E10044" s="17"/>
      <c r="F10044" s="17" t="s">
        <v>17246</v>
      </c>
      <c r="G10044" s="17"/>
      <c r="H10044" s="17" t="s">
        <v>20919</v>
      </c>
      <c r="I10044" s="17"/>
      <c r="J10044" s="17" t="s">
        <v>21313</v>
      </c>
      <c r="K10044" s="17"/>
      <c r="L10044" s="17" t="s">
        <v>21326</v>
      </c>
      <c r="M10044" s="17"/>
      <c r="N10044" s="17" t="s">
        <v>22304</v>
      </c>
      <c r="O10044" s="17"/>
      <c r="P10044" s="17" t="s">
        <v>44206</v>
      </c>
      <c r="Q10044" s="17"/>
      <c r="R10044" s="25" t="str">
        <f>HYPERLINK("https://ictv.global/taxonomy/taxondetails?taxnode_id=202316765","Wahpevirus faecenecus")</f>
        <v>Wahpevirus faecenecus</v>
      </c>
      <c r="S10044" s="18" t="s">
        <v>30</v>
      </c>
      <c r="T10044" s="18" t="s">
        <v>44209</v>
      </c>
      <c r="U10044" s="18"/>
      <c r="V10044" s="18" t="s">
        <v>44209</v>
      </c>
      <c r="W10044" s="18" t="s">
        <v>44210</v>
      </c>
      <c r="X10044" s="18" t="s">
        <v>35</v>
      </c>
      <c r="Y10044" s="18" t="s">
        <v>17171</v>
      </c>
      <c r="Z10044" s="18" t="s">
        <v>24637</v>
      </c>
      <c r="AA10044" s="21" t="str">
        <f>HYPERLINK("https://www.ncbi.nlm.nih.gov/nuccore/MZ679549","NCBI Nucleotide")</f>
        <v>NCBI Nucleotide</v>
      </c>
    </row>
    <row r="10045" spans="1:27" x14ac:dyDescent="0.35">
      <c r="A10045">
        <v>1027493</v>
      </c>
      <c r="B10045">
        <v>9370</v>
      </c>
      <c r="C10045">
        <v>1</v>
      </c>
      <c r="D10045" s="17" t="s">
        <v>17166</v>
      </c>
      <c r="E10045" s="17"/>
      <c r="F10045" s="17" t="s">
        <v>17246</v>
      </c>
      <c r="G10045" s="17"/>
      <c r="H10045" s="17" t="s">
        <v>20919</v>
      </c>
      <c r="I10045" s="17"/>
      <c r="J10045" s="17" t="s">
        <v>21313</v>
      </c>
      <c r="K10045" s="17"/>
      <c r="L10045" s="17" t="s">
        <v>21326</v>
      </c>
      <c r="M10045" s="17"/>
      <c r="N10045" s="17" t="s">
        <v>22304</v>
      </c>
      <c r="O10045" s="17"/>
      <c r="P10045" s="17" t="s">
        <v>44211</v>
      </c>
      <c r="Q10045" s="17"/>
      <c r="R10045" s="25" t="str">
        <f>HYPERLINK("https://ictv.global/taxonomy/taxondetails?taxnode_id=202316766","Wahrwivirus allofaecenecus")</f>
        <v>Wahrwivirus allofaecenecus</v>
      </c>
      <c r="S10045" s="18" t="s">
        <v>30</v>
      </c>
      <c r="T10045" s="18" t="s">
        <v>44212</v>
      </c>
      <c r="U10045" s="18"/>
      <c r="V10045" s="18" t="s">
        <v>44212</v>
      </c>
      <c r="W10045" s="18" t="s">
        <v>44213</v>
      </c>
      <c r="X10045" s="18" t="s">
        <v>35</v>
      </c>
      <c r="Y10045" s="18" t="s">
        <v>17171</v>
      </c>
      <c r="Z10045" s="18" t="s">
        <v>24637</v>
      </c>
      <c r="AA10045" s="21" t="str">
        <f>HYPERLINK("https://www.ncbi.nlm.nih.gov/nuccore/MZ679750","NCBI Nucleotide")</f>
        <v>NCBI Nucleotide</v>
      </c>
    </row>
    <row r="10046" spans="1:27" x14ac:dyDescent="0.35">
      <c r="A10046">
        <v>1027494</v>
      </c>
      <c r="B10046">
        <v>9371</v>
      </c>
      <c r="C10046">
        <v>1</v>
      </c>
      <c r="D10046" s="17" t="s">
        <v>17166</v>
      </c>
      <c r="E10046" s="17"/>
      <c r="F10046" s="17" t="s">
        <v>17246</v>
      </c>
      <c r="G10046" s="17"/>
      <c r="H10046" s="17" t="s">
        <v>20919</v>
      </c>
      <c r="I10046" s="17"/>
      <c r="J10046" s="17" t="s">
        <v>21313</v>
      </c>
      <c r="K10046" s="17"/>
      <c r="L10046" s="17" t="s">
        <v>21326</v>
      </c>
      <c r="M10046" s="17"/>
      <c r="N10046" s="17" t="s">
        <v>22304</v>
      </c>
      <c r="O10046" s="17"/>
      <c r="P10046" s="17" t="s">
        <v>44211</v>
      </c>
      <c r="Q10046" s="17"/>
      <c r="R10046" s="25" t="str">
        <f>HYPERLINK("https://ictv.global/taxonomy/taxondetails?taxnode_id=202316767","Wahrwivirus allofaecicola")</f>
        <v>Wahrwivirus allofaecicola</v>
      </c>
      <c r="S10046" s="18" t="s">
        <v>30</v>
      </c>
      <c r="T10046" s="18" t="s">
        <v>44214</v>
      </c>
      <c r="U10046" s="18"/>
      <c r="V10046" s="18" t="s">
        <v>44214</v>
      </c>
      <c r="W10046" s="18" t="s">
        <v>44215</v>
      </c>
      <c r="X10046" s="18" t="s">
        <v>35</v>
      </c>
      <c r="Y10046" s="18" t="s">
        <v>17171</v>
      </c>
      <c r="Z10046" s="18" t="s">
        <v>24637</v>
      </c>
      <c r="AA10046" s="21" t="str">
        <f>HYPERLINK("https://www.ncbi.nlm.nih.gov/nuccore/MZ679467","NCBI Nucleotide")</f>
        <v>NCBI Nucleotide</v>
      </c>
    </row>
    <row r="10047" spans="1:27" x14ac:dyDescent="0.35">
      <c r="A10047">
        <v>1027495</v>
      </c>
      <c r="B10047">
        <v>9372</v>
      </c>
      <c r="C10047">
        <v>1</v>
      </c>
      <c r="D10047" s="17" t="s">
        <v>17166</v>
      </c>
      <c r="E10047" s="17"/>
      <c r="F10047" s="17" t="s">
        <v>17246</v>
      </c>
      <c r="G10047" s="17"/>
      <c r="H10047" s="17" t="s">
        <v>20919</v>
      </c>
      <c r="I10047" s="17"/>
      <c r="J10047" s="17" t="s">
        <v>21313</v>
      </c>
      <c r="K10047" s="17"/>
      <c r="L10047" s="17" t="s">
        <v>21326</v>
      </c>
      <c r="M10047" s="17"/>
      <c r="N10047" s="17" t="s">
        <v>22304</v>
      </c>
      <c r="O10047" s="17"/>
      <c r="P10047" s="17" t="s">
        <v>44211</v>
      </c>
      <c r="Q10047" s="17"/>
      <c r="R10047" s="25" t="str">
        <f>HYPERLINK("https://ictv.global/taxonomy/taxondetails?taxnode_id=202316768","Wahrwivirus allofaecihabitans")</f>
        <v>Wahrwivirus allofaecihabitans</v>
      </c>
      <c r="S10047" s="18" t="s">
        <v>30</v>
      </c>
      <c r="T10047" s="18" t="s">
        <v>44216</v>
      </c>
      <c r="U10047" s="18"/>
      <c r="V10047" s="18" t="s">
        <v>44216</v>
      </c>
      <c r="W10047" s="18" t="s">
        <v>44217</v>
      </c>
      <c r="X10047" s="18" t="s">
        <v>35</v>
      </c>
      <c r="Y10047" s="18" t="s">
        <v>17171</v>
      </c>
      <c r="Z10047" s="18" t="s">
        <v>24637</v>
      </c>
      <c r="AA10047" s="21" t="str">
        <f>HYPERLINK("https://www.ncbi.nlm.nih.gov/nuccore/MZ679829","NCBI Nucleotide")</f>
        <v>NCBI Nucleotide</v>
      </c>
    </row>
    <row r="10048" spans="1:27" x14ac:dyDescent="0.35">
      <c r="A10048">
        <v>1027496</v>
      </c>
      <c r="B10048">
        <v>9373</v>
      </c>
      <c r="C10048">
        <v>1</v>
      </c>
      <c r="D10048" s="17" t="s">
        <v>17166</v>
      </c>
      <c r="E10048" s="17"/>
      <c r="F10048" s="17" t="s">
        <v>17246</v>
      </c>
      <c r="G10048" s="17"/>
      <c r="H10048" s="17" t="s">
        <v>20919</v>
      </c>
      <c r="I10048" s="17"/>
      <c r="J10048" s="17" t="s">
        <v>21313</v>
      </c>
      <c r="K10048" s="17"/>
      <c r="L10048" s="17" t="s">
        <v>21326</v>
      </c>
      <c r="M10048" s="17"/>
      <c r="N10048" s="17" t="s">
        <v>22304</v>
      </c>
      <c r="O10048" s="17"/>
      <c r="P10048" s="17" t="s">
        <v>44211</v>
      </c>
      <c r="Q10048" s="17"/>
      <c r="R10048" s="25" t="str">
        <f>HYPERLINK("https://ictv.global/taxonomy/taxondetails?taxnode_id=202316769","Wahrwivirus allofaecivicinum")</f>
        <v>Wahrwivirus allofaecivicinum</v>
      </c>
      <c r="S10048" s="18" t="s">
        <v>30</v>
      </c>
      <c r="T10048" s="18" t="s">
        <v>44218</v>
      </c>
      <c r="U10048" s="18"/>
      <c r="V10048" s="18" t="s">
        <v>44218</v>
      </c>
      <c r="W10048" s="18" t="s">
        <v>44219</v>
      </c>
      <c r="X10048" s="18" t="s">
        <v>35</v>
      </c>
      <c r="Y10048" s="18" t="s">
        <v>17171</v>
      </c>
      <c r="Z10048" s="18" t="s">
        <v>24637</v>
      </c>
      <c r="AA10048" s="21" t="str">
        <f>HYPERLINK("https://www.ncbi.nlm.nih.gov/nuccore/MZ679768","NCBI Nucleotide")</f>
        <v>NCBI Nucleotide</v>
      </c>
    </row>
    <row r="10049" spans="1:27" x14ac:dyDescent="0.35">
      <c r="A10049">
        <v>1027497</v>
      </c>
      <c r="B10049">
        <v>9374</v>
      </c>
      <c r="C10049">
        <v>1</v>
      </c>
      <c r="D10049" s="17" t="s">
        <v>17166</v>
      </c>
      <c r="E10049" s="17"/>
      <c r="F10049" s="17" t="s">
        <v>17246</v>
      </c>
      <c r="G10049" s="17"/>
      <c r="H10049" s="17" t="s">
        <v>20919</v>
      </c>
      <c r="I10049" s="17"/>
      <c r="J10049" s="17" t="s">
        <v>21313</v>
      </c>
      <c r="K10049" s="17"/>
      <c r="L10049" s="17" t="s">
        <v>21326</v>
      </c>
      <c r="M10049" s="17"/>
      <c r="N10049" s="17" t="s">
        <v>22304</v>
      </c>
      <c r="O10049" s="17"/>
      <c r="P10049" s="17" t="s">
        <v>44211</v>
      </c>
      <c r="Q10049" s="17"/>
      <c r="R10049" s="25" t="str">
        <f>HYPERLINK("https://ictv.global/taxonomy/taxondetails?taxnode_id=202316770","Wahrwivirus faecadaptatum")</f>
        <v>Wahrwivirus faecadaptatum</v>
      </c>
      <c r="S10049" s="18" t="s">
        <v>30</v>
      </c>
      <c r="T10049" s="18" t="s">
        <v>44220</v>
      </c>
      <c r="U10049" s="18"/>
      <c r="V10049" s="18" t="s">
        <v>44220</v>
      </c>
      <c r="W10049" s="18" t="s">
        <v>44221</v>
      </c>
      <c r="X10049" s="18" t="s">
        <v>35</v>
      </c>
      <c r="Y10049" s="18" t="s">
        <v>17171</v>
      </c>
      <c r="Z10049" s="18" t="s">
        <v>24637</v>
      </c>
      <c r="AA10049" s="21" t="str">
        <f>HYPERLINK("https://www.ncbi.nlm.nih.gov/nuccore/MZ679474","NCBI Nucleotide")</f>
        <v>NCBI Nucleotide</v>
      </c>
    </row>
    <row r="10050" spans="1:27" x14ac:dyDescent="0.35">
      <c r="A10050">
        <v>1027498</v>
      </c>
      <c r="B10050">
        <v>9375</v>
      </c>
      <c r="C10050">
        <v>1</v>
      </c>
      <c r="D10050" s="17" t="s">
        <v>17166</v>
      </c>
      <c r="E10050" s="17"/>
      <c r="F10050" s="17" t="s">
        <v>17246</v>
      </c>
      <c r="G10050" s="17"/>
      <c r="H10050" s="17" t="s">
        <v>20919</v>
      </c>
      <c r="I10050" s="17"/>
      <c r="J10050" s="17" t="s">
        <v>21313</v>
      </c>
      <c r="K10050" s="17"/>
      <c r="L10050" s="17" t="s">
        <v>21326</v>
      </c>
      <c r="M10050" s="17"/>
      <c r="N10050" s="17" t="s">
        <v>22304</v>
      </c>
      <c r="O10050" s="17"/>
      <c r="P10050" s="17" t="s">
        <v>44211</v>
      </c>
      <c r="Q10050" s="17"/>
      <c r="R10050" s="25" t="str">
        <f>HYPERLINK("https://ictv.global/taxonomy/taxondetails?taxnode_id=202316771","Wahrwivirus faecenecus")</f>
        <v>Wahrwivirus faecenecus</v>
      </c>
      <c r="S10050" s="18" t="s">
        <v>30</v>
      </c>
      <c r="T10050" s="18" t="s">
        <v>44222</v>
      </c>
      <c r="U10050" s="18"/>
      <c r="V10050" s="18" t="s">
        <v>44222</v>
      </c>
      <c r="W10050" s="18" t="s">
        <v>44223</v>
      </c>
      <c r="X10050" s="18" t="s">
        <v>35</v>
      </c>
      <c r="Y10050" s="18" t="s">
        <v>17171</v>
      </c>
      <c r="Z10050" s="18" t="s">
        <v>17413</v>
      </c>
      <c r="AA10050" s="21" t="str">
        <f>HYPERLINK("https://www.ncbi.nlm.nih.gov/nuccore/MZ679527","NCBI Nucleotide")</f>
        <v>NCBI Nucleotide</v>
      </c>
    </row>
    <row r="10051" spans="1:27" x14ac:dyDescent="0.35">
      <c r="A10051">
        <v>1027499</v>
      </c>
      <c r="B10051">
        <v>9376</v>
      </c>
      <c r="C10051">
        <v>1</v>
      </c>
      <c r="D10051" s="17" t="s">
        <v>17166</v>
      </c>
      <c r="E10051" s="17"/>
      <c r="F10051" s="17" t="s">
        <v>17246</v>
      </c>
      <c r="G10051" s="17"/>
      <c r="H10051" s="17" t="s">
        <v>20919</v>
      </c>
      <c r="I10051" s="17"/>
      <c r="J10051" s="17" t="s">
        <v>21313</v>
      </c>
      <c r="K10051" s="17"/>
      <c r="L10051" s="17" t="s">
        <v>21326</v>
      </c>
      <c r="M10051" s="17"/>
      <c r="N10051" s="17" t="s">
        <v>22304</v>
      </c>
      <c r="O10051" s="17"/>
      <c r="P10051" s="17" t="s">
        <v>44211</v>
      </c>
      <c r="Q10051" s="17"/>
      <c r="R10051" s="25" t="str">
        <f>HYPERLINK("https://ictv.global/taxonomy/taxondetails?taxnode_id=202316772","Wahrwivirus faecicola")</f>
        <v>Wahrwivirus faecicola</v>
      </c>
      <c r="S10051" s="18" t="s">
        <v>30</v>
      </c>
      <c r="T10051" s="18" t="s">
        <v>44224</v>
      </c>
      <c r="U10051" s="18"/>
      <c r="V10051" s="18" t="s">
        <v>44224</v>
      </c>
      <c r="W10051" s="18" t="s">
        <v>44225</v>
      </c>
      <c r="X10051" s="18" t="s">
        <v>35</v>
      </c>
      <c r="Y10051" s="18" t="s">
        <v>17171</v>
      </c>
      <c r="Z10051" s="18" t="s">
        <v>24637</v>
      </c>
      <c r="AA10051" s="21" t="str">
        <f>HYPERLINK("https://www.ncbi.nlm.nih.gov/nuccore/MZ679509","NCBI Nucleotide")</f>
        <v>NCBI Nucleotide</v>
      </c>
    </row>
    <row r="10052" spans="1:27" x14ac:dyDescent="0.35">
      <c r="A10052">
        <v>1027500</v>
      </c>
      <c r="B10052">
        <v>9377</v>
      </c>
      <c r="C10052">
        <v>1</v>
      </c>
      <c r="D10052" s="17" t="s">
        <v>17166</v>
      </c>
      <c r="E10052" s="17"/>
      <c r="F10052" s="17" t="s">
        <v>17246</v>
      </c>
      <c r="G10052" s="17"/>
      <c r="H10052" s="17" t="s">
        <v>20919</v>
      </c>
      <c r="I10052" s="17"/>
      <c r="J10052" s="17" t="s">
        <v>21313</v>
      </c>
      <c r="K10052" s="17"/>
      <c r="L10052" s="17" t="s">
        <v>21326</v>
      </c>
      <c r="M10052" s="17"/>
      <c r="N10052" s="17" t="s">
        <v>22304</v>
      </c>
      <c r="O10052" s="17"/>
      <c r="P10052" s="17" t="s">
        <v>44211</v>
      </c>
      <c r="Q10052" s="17"/>
      <c r="R10052" s="25" t="str">
        <f>HYPERLINK("https://ictv.global/taxonomy/taxondetails?taxnode_id=202316773","Wahrwivirus faecihabitans")</f>
        <v>Wahrwivirus faecihabitans</v>
      </c>
      <c r="S10052" s="18" t="s">
        <v>30</v>
      </c>
      <c r="T10052" s="18" t="s">
        <v>44226</v>
      </c>
      <c r="U10052" s="18"/>
      <c r="V10052" s="18" t="s">
        <v>44226</v>
      </c>
      <c r="W10052" s="18" t="s">
        <v>44227</v>
      </c>
      <c r="X10052" s="18" t="s">
        <v>35</v>
      </c>
      <c r="Y10052" s="18" t="s">
        <v>17171</v>
      </c>
      <c r="Z10052" s="18" t="s">
        <v>24637</v>
      </c>
      <c r="AA10052" s="21" t="str">
        <f>HYPERLINK("https://www.ncbi.nlm.nih.gov/nuccore/MZ679529","NCBI Nucleotide")</f>
        <v>NCBI Nucleotide</v>
      </c>
    </row>
    <row r="10053" spans="1:27" x14ac:dyDescent="0.35">
      <c r="A10053">
        <v>1027501</v>
      </c>
      <c r="B10053">
        <v>9378</v>
      </c>
      <c r="C10053">
        <v>1</v>
      </c>
      <c r="D10053" s="17" t="s">
        <v>17166</v>
      </c>
      <c r="E10053" s="17"/>
      <c r="F10053" s="17" t="s">
        <v>17246</v>
      </c>
      <c r="G10053" s="17"/>
      <c r="H10053" s="17" t="s">
        <v>20919</v>
      </c>
      <c r="I10053" s="17"/>
      <c r="J10053" s="17" t="s">
        <v>21313</v>
      </c>
      <c r="K10053" s="17"/>
      <c r="L10053" s="17" t="s">
        <v>21326</v>
      </c>
      <c r="M10053" s="17"/>
      <c r="N10053" s="17" t="s">
        <v>22304</v>
      </c>
      <c r="O10053" s="17"/>
      <c r="P10053" s="17" t="s">
        <v>44211</v>
      </c>
      <c r="Q10053" s="17"/>
      <c r="R10053" s="25" t="str">
        <f>HYPERLINK("https://ictv.global/taxonomy/taxondetails?taxnode_id=202316774","Wahrwivirus faecivivens")</f>
        <v>Wahrwivirus faecivivens</v>
      </c>
      <c r="S10053" s="18" t="s">
        <v>30</v>
      </c>
      <c r="T10053" s="18" t="s">
        <v>44228</v>
      </c>
      <c r="U10053" s="18"/>
      <c r="V10053" s="18" t="s">
        <v>44228</v>
      </c>
      <c r="W10053" s="18" t="s">
        <v>44229</v>
      </c>
      <c r="X10053" s="18" t="s">
        <v>35</v>
      </c>
      <c r="Y10053" s="18" t="s">
        <v>17171</v>
      </c>
      <c r="Z10053" s="18" t="s">
        <v>24637</v>
      </c>
      <c r="AA10053" s="21" t="str">
        <f>HYPERLINK("https://www.ncbi.nlm.nih.gov/nuccore/MZ679511","NCBI Nucleotide")</f>
        <v>NCBI Nucleotide</v>
      </c>
    </row>
    <row r="10054" spans="1:27" x14ac:dyDescent="0.35">
      <c r="A10054">
        <v>1027502</v>
      </c>
      <c r="B10054">
        <v>9379</v>
      </c>
      <c r="C10054">
        <v>1</v>
      </c>
      <c r="D10054" s="17" t="s">
        <v>17166</v>
      </c>
      <c r="E10054" s="17"/>
      <c r="F10054" s="17" t="s">
        <v>17246</v>
      </c>
      <c r="G10054" s="17"/>
      <c r="H10054" s="17" t="s">
        <v>20919</v>
      </c>
      <c r="I10054" s="17"/>
      <c r="J10054" s="17" t="s">
        <v>21313</v>
      </c>
      <c r="K10054" s="17"/>
      <c r="L10054" s="17" t="s">
        <v>21326</v>
      </c>
      <c r="M10054" s="17"/>
      <c r="N10054" s="17" t="s">
        <v>22304</v>
      </c>
      <c r="O10054" s="17"/>
      <c r="P10054" s="17" t="s">
        <v>44211</v>
      </c>
      <c r="Q10054" s="17"/>
      <c r="R10054" s="25" t="str">
        <f>HYPERLINK("https://ictv.global/taxonomy/taxondetails?taxnode_id=202316775","Wahrwivirus nemorisadaptatum")</f>
        <v>Wahrwivirus nemorisadaptatum</v>
      </c>
      <c r="S10054" s="18" t="s">
        <v>30</v>
      </c>
      <c r="T10054" s="18" t="s">
        <v>44230</v>
      </c>
      <c r="U10054" s="18"/>
      <c r="V10054" s="18" t="s">
        <v>44230</v>
      </c>
      <c r="W10054" s="18" t="s">
        <v>44231</v>
      </c>
      <c r="X10054" s="18" t="s">
        <v>35</v>
      </c>
      <c r="Y10054" s="18" t="s">
        <v>17171</v>
      </c>
      <c r="Z10054" s="18" t="s">
        <v>24637</v>
      </c>
      <c r="AA10054" s="21" t="str">
        <f>HYPERLINK("https://www.ncbi.nlm.nih.gov/nuccore/MZ679707","NCBI Nucleotide")</f>
        <v>NCBI Nucleotide</v>
      </c>
    </row>
    <row r="10055" spans="1:27" x14ac:dyDescent="0.35">
      <c r="A10055">
        <v>1027503</v>
      </c>
      <c r="B10055">
        <v>9380</v>
      </c>
      <c r="C10055">
        <v>1</v>
      </c>
      <c r="D10055" s="17" t="s">
        <v>17166</v>
      </c>
      <c r="E10055" s="17"/>
      <c r="F10055" s="17" t="s">
        <v>17246</v>
      </c>
      <c r="G10055" s="17"/>
      <c r="H10055" s="17" t="s">
        <v>20919</v>
      </c>
      <c r="I10055" s="17"/>
      <c r="J10055" s="17" t="s">
        <v>21313</v>
      </c>
      <c r="K10055" s="17"/>
      <c r="L10055" s="17" t="s">
        <v>21326</v>
      </c>
      <c r="M10055" s="17"/>
      <c r="N10055" s="17" t="s">
        <v>22304</v>
      </c>
      <c r="O10055" s="17"/>
      <c r="P10055" s="17" t="s">
        <v>44211</v>
      </c>
      <c r="Q10055" s="17"/>
      <c r="R10055" s="25" t="str">
        <f>HYPERLINK("https://ictv.global/taxonomy/taxondetails?taxnode_id=202316776","Wahrwivirus nemoriscola")</f>
        <v>Wahrwivirus nemoriscola</v>
      </c>
      <c r="S10055" s="18" t="s">
        <v>30</v>
      </c>
      <c r="T10055" s="18" t="s">
        <v>44232</v>
      </c>
      <c r="U10055" s="18"/>
      <c r="V10055" s="18" t="s">
        <v>44232</v>
      </c>
      <c r="W10055" s="18" t="s">
        <v>44233</v>
      </c>
      <c r="X10055" s="18" t="s">
        <v>35</v>
      </c>
      <c r="Y10055" s="18" t="s">
        <v>17171</v>
      </c>
      <c r="Z10055" s="18" t="s">
        <v>24637</v>
      </c>
      <c r="AA10055" s="21" t="str">
        <f>HYPERLINK("https://www.ncbi.nlm.nih.gov/nuccore/MZ679562","NCBI Nucleotide")</f>
        <v>NCBI Nucleotide</v>
      </c>
    </row>
    <row r="10056" spans="1:27" x14ac:dyDescent="0.35">
      <c r="A10056">
        <v>1027504</v>
      </c>
      <c r="B10056">
        <v>9381</v>
      </c>
      <c r="C10056">
        <v>1</v>
      </c>
      <c r="D10056" s="17" t="s">
        <v>17166</v>
      </c>
      <c r="E10056" s="17"/>
      <c r="F10056" s="17" t="s">
        <v>17246</v>
      </c>
      <c r="G10056" s="17"/>
      <c r="H10056" s="17" t="s">
        <v>20919</v>
      </c>
      <c r="I10056" s="17"/>
      <c r="J10056" s="17" t="s">
        <v>21313</v>
      </c>
      <c r="K10056" s="17"/>
      <c r="L10056" s="17" t="s">
        <v>21326</v>
      </c>
      <c r="M10056" s="17"/>
      <c r="N10056" s="17" t="s">
        <v>22304</v>
      </c>
      <c r="O10056" s="17"/>
      <c r="P10056" s="17" t="s">
        <v>44211</v>
      </c>
      <c r="Q10056" s="17"/>
      <c r="R10056" s="25" t="str">
        <f>HYPERLINK("https://ictv.global/taxonomy/taxondetails?taxnode_id=202316777","Wahrwivirus pseudofaecadaptatum")</f>
        <v>Wahrwivirus pseudofaecadaptatum</v>
      </c>
      <c r="S10056" s="18" t="s">
        <v>30</v>
      </c>
      <c r="T10056" s="18" t="s">
        <v>44234</v>
      </c>
      <c r="U10056" s="18"/>
      <c r="V10056" s="18" t="s">
        <v>44234</v>
      </c>
      <c r="W10056" s="18" t="s">
        <v>44235</v>
      </c>
      <c r="X10056" s="18" t="s">
        <v>35</v>
      </c>
      <c r="Y10056" s="18" t="s">
        <v>17171</v>
      </c>
      <c r="Z10056" s="18" t="s">
        <v>24637</v>
      </c>
      <c r="AA10056" s="21" t="str">
        <f>HYPERLINK("https://www.ncbi.nlm.nih.gov/nuccore/MZ679693","NCBI Nucleotide")</f>
        <v>NCBI Nucleotide</v>
      </c>
    </row>
    <row r="10057" spans="1:27" x14ac:dyDescent="0.35">
      <c r="A10057">
        <v>1027505</v>
      </c>
      <c r="B10057">
        <v>9382</v>
      </c>
      <c r="C10057">
        <v>1</v>
      </c>
      <c r="D10057" s="17" t="s">
        <v>17166</v>
      </c>
      <c r="E10057" s="17"/>
      <c r="F10057" s="17" t="s">
        <v>17246</v>
      </c>
      <c r="G10057" s="17"/>
      <c r="H10057" s="17" t="s">
        <v>20919</v>
      </c>
      <c r="I10057" s="17"/>
      <c r="J10057" s="17" t="s">
        <v>21313</v>
      </c>
      <c r="K10057" s="17"/>
      <c r="L10057" s="17" t="s">
        <v>21326</v>
      </c>
      <c r="M10057" s="17"/>
      <c r="N10057" s="17" t="s">
        <v>22304</v>
      </c>
      <c r="O10057" s="17"/>
      <c r="P10057" s="17" t="s">
        <v>44211</v>
      </c>
      <c r="Q10057" s="17"/>
      <c r="R10057" s="25" t="str">
        <f>HYPERLINK("https://ictv.global/taxonomy/taxondetails?taxnode_id=202316778","Wahrwivirus pseudofaecihabitans")</f>
        <v>Wahrwivirus pseudofaecihabitans</v>
      </c>
      <c r="S10057" s="18" t="s">
        <v>30</v>
      </c>
      <c r="T10057" s="18" t="s">
        <v>44236</v>
      </c>
      <c r="U10057" s="18"/>
      <c r="V10057" s="18" t="s">
        <v>44236</v>
      </c>
      <c r="W10057" s="18" t="s">
        <v>44237</v>
      </c>
      <c r="X10057" s="18" t="s">
        <v>35</v>
      </c>
      <c r="Y10057" s="18" t="s">
        <v>17171</v>
      </c>
      <c r="Z10057" s="18" t="s">
        <v>24637</v>
      </c>
      <c r="AA10057" s="21" t="str">
        <f>HYPERLINK("https://www.ncbi.nlm.nih.gov/nuccore/MZ679646","NCBI Nucleotide")</f>
        <v>NCBI Nucleotide</v>
      </c>
    </row>
    <row r="10058" spans="1:27" x14ac:dyDescent="0.35">
      <c r="A10058">
        <v>1027510</v>
      </c>
      <c r="B10058">
        <v>9383</v>
      </c>
      <c r="C10058">
        <v>1</v>
      </c>
      <c r="D10058" s="17" t="s">
        <v>17166</v>
      </c>
      <c r="E10058" s="17"/>
      <c r="F10058" s="17" t="s">
        <v>17246</v>
      </c>
      <c r="G10058" s="17"/>
      <c r="H10058" s="17" t="s">
        <v>20919</v>
      </c>
      <c r="I10058" s="17"/>
      <c r="J10058" s="17" t="s">
        <v>21313</v>
      </c>
      <c r="K10058" s="17"/>
      <c r="L10058" s="17" t="s">
        <v>21326</v>
      </c>
      <c r="M10058" s="17"/>
      <c r="N10058" s="17" t="s">
        <v>22304</v>
      </c>
      <c r="O10058" s="17"/>
      <c r="P10058" s="17" t="s">
        <v>44238</v>
      </c>
      <c r="Q10058" s="17"/>
      <c r="R10058" s="25" t="str">
        <f>HYPERLINK("https://ictv.global/taxonomy/taxondetails?taxnode_id=202316779","Wahtivirus allofaecenecus")</f>
        <v>Wahtivirus allofaecenecus</v>
      </c>
      <c r="S10058" s="18" t="s">
        <v>30</v>
      </c>
      <c r="T10058" s="18" t="s">
        <v>44239</v>
      </c>
      <c r="U10058" s="18"/>
      <c r="V10058" s="18" t="s">
        <v>44239</v>
      </c>
      <c r="W10058" s="18" t="s">
        <v>44240</v>
      </c>
      <c r="X10058" s="18" t="s">
        <v>35</v>
      </c>
      <c r="Y10058" s="18" t="s">
        <v>17171</v>
      </c>
      <c r="Z10058" s="18" t="s">
        <v>24637</v>
      </c>
      <c r="AA10058" s="21" t="str">
        <f>HYPERLINK("https://www.ncbi.nlm.nih.gov/nuccore/MZ680333","NCBI Nucleotide")</f>
        <v>NCBI Nucleotide</v>
      </c>
    </row>
    <row r="10059" spans="1:27" x14ac:dyDescent="0.35">
      <c r="A10059">
        <v>1027511</v>
      </c>
      <c r="B10059">
        <v>9384</v>
      </c>
      <c r="C10059">
        <v>1</v>
      </c>
      <c r="D10059" s="17" t="s">
        <v>17166</v>
      </c>
      <c r="E10059" s="17"/>
      <c r="F10059" s="17" t="s">
        <v>17246</v>
      </c>
      <c r="G10059" s="17"/>
      <c r="H10059" s="17" t="s">
        <v>20919</v>
      </c>
      <c r="I10059" s="17"/>
      <c r="J10059" s="17" t="s">
        <v>21313</v>
      </c>
      <c r="K10059" s="17"/>
      <c r="L10059" s="17" t="s">
        <v>21326</v>
      </c>
      <c r="M10059" s="17"/>
      <c r="N10059" s="17" t="s">
        <v>22304</v>
      </c>
      <c r="O10059" s="17"/>
      <c r="P10059" s="17" t="s">
        <v>44238</v>
      </c>
      <c r="Q10059" s="17"/>
      <c r="R10059" s="25" t="str">
        <f>HYPERLINK("https://ictv.global/taxonomy/taxondetails?taxnode_id=202316780","Wahtivirus pseudofaecenecus")</f>
        <v>Wahtivirus pseudofaecenecus</v>
      </c>
      <c r="S10059" s="18" t="s">
        <v>30</v>
      </c>
      <c r="T10059" s="18" t="s">
        <v>44241</v>
      </c>
      <c r="U10059" s="18"/>
      <c r="V10059" s="18" t="s">
        <v>44241</v>
      </c>
      <c r="W10059" s="18" t="s">
        <v>44242</v>
      </c>
      <c r="X10059" s="18" t="s">
        <v>35</v>
      </c>
      <c r="Y10059" s="18" t="s">
        <v>17171</v>
      </c>
      <c r="Z10059" s="18" t="s">
        <v>24637</v>
      </c>
      <c r="AA10059" s="21" t="str">
        <f>HYPERLINK("https://www.ncbi.nlm.nih.gov/nuccore/MZ679559","NCBI Nucleotide")</f>
        <v>NCBI Nucleotide</v>
      </c>
    </row>
    <row r="10060" spans="1:27" x14ac:dyDescent="0.35">
      <c r="A10060">
        <v>1027514</v>
      </c>
      <c r="B10060">
        <v>9385</v>
      </c>
      <c r="C10060">
        <v>1</v>
      </c>
      <c r="D10060" s="17" t="s">
        <v>17166</v>
      </c>
      <c r="E10060" s="17"/>
      <c r="F10060" s="17" t="s">
        <v>17246</v>
      </c>
      <c r="G10060" s="17"/>
      <c r="H10060" s="17" t="s">
        <v>20919</v>
      </c>
      <c r="I10060" s="17"/>
      <c r="J10060" s="17" t="s">
        <v>21313</v>
      </c>
      <c r="K10060" s="17"/>
      <c r="L10060" s="17" t="s">
        <v>21326</v>
      </c>
      <c r="M10060" s="17"/>
      <c r="N10060" s="17" t="s">
        <v>22304</v>
      </c>
      <c r="O10060" s="17"/>
      <c r="P10060" s="17" t="s">
        <v>44243</v>
      </c>
      <c r="Q10060" s="17"/>
      <c r="R10060" s="25" t="str">
        <f>HYPERLINK("https://ictv.global/taxonomy/taxondetails?taxnode_id=202316781","Warmivirus faecihabitans")</f>
        <v>Warmivirus faecihabitans</v>
      </c>
      <c r="S10060" s="18" t="s">
        <v>30</v>
      </c>
      <c r="T10060" s="18" t="s">
        <v>44244</v>
      </c>
      <c r="U10060" s="18"/>
      <c r="V10060" s="18" t="s">
        <v>44244</v>
      </c>
      <c r="W10060" s="18" t="s">
        <v>44245</v>
      </c>
      <c r="X10060" s="18" t="s">
        <v>35</v>
      </c>
      <c r="Y10060" s="18" t="s">
        <v>17171</v>
      </c>
      <c r="Z10060" s="18" t="s">
        <v>24637</v>
      </c>
      <c r="AA10060" s="21" t="str">
        <f>HYPERLINK("https://www.ncbi.nlm.nih.gov/nuccore/MZ679715","NCBI Nucleotide")</f>
        <v>NCBI Nucleotide</v>
      </c>
    </row>
    <row r="10061" spans="1:27" x14ac:dyDescent="0.35">
      <c r="A10061">
        <v>1027552</v>
      </c>
      <c r="B10061">
        <v>9386</v>
      </c>
      <c r="C10061">
        <v>1</v>
      </c>
      <c r="D10061" s="17" t="s">
        <v>17166</v>
      </c>
      <c r="E10061" s="17"/>
      <c r="F10061" s="17" t="s">
        <v>17246</v>
      </c>
      <c r="G10061" s="17"/>
      <c r="H10061" s="17" t="s">
        <v>20919</v>
      </c>
      <c r="I10061" s="17"/>
      <c r="J10061" s="17" t="s">
        <v>21313</v>
      </c>
      <c r="K10061" s="17"/>
      <c r="L10061" s="17" t="s">
        <v>21326</v>
      </c>
      <c r="M10061" s="17"/>
      <c r="N10061" s="17" t="s">
        <v>22304</v>
      </c>
      <c r="O10061" s="17"/>
      <c r="P10061" s="17" t="s">
        <v>44246</v>
      </c>
      <c r="Q10061" s="17"/>
      <c r="R10061" s="25" t="str">
        <f>HYPERLINK("https://ictv.global/taxonomy/taxondetails?taxnode_id=202316782","Waspevirus faecivivens")</f>
        <v>Waspevirus faecivivens</v>
      </c>
      <c r="S10061" s="18" t="s">
        <v>30</v>
      </c>
      <c r="T10061" s="18" t="s">
        <v>44247</v>
      </c>
      <c r="U10061" s="18"/>
      <c r="V10061" s="18" t="s">
        <v>44247</v>
      </c>
      <c r="W10061" s="18" t="s">
        <v>44248</v>
      </c>
      <c r="X10061" s="18" t="s">
        <v>35</v>
      </c>
      <c r="Y10061" s="18" t="s">
        <v>17171</v>
      </c>
      <c r="Z10061" s="18" t="s">
        <v>24637</v>
      </c>
      <c r="AA10061" s="21" t="str">
        <f>HYPERLINK("https://www.ncbi.nlm.nih.gov/nuccore/MZ679833","NCBI Nucleotide")</f>
        <v>NCBI Nucleotide</v>
      </c>
    </row>
    <row r="10062" spans="1:27" x14ac:dyDescent="0.35">
      <c r="A10062">
        <v>1027441</v>
      </c>
      <c r="B10062">
        <v>9387</v>
      </c>
      <c r="C10062">
        <v>1</v>
      </c>
      <c r="D10062" s="17" t="s">
        <v>17166</v>
      </c>
      <c r="E10062" s="17"/>
      <c r="F10062" s="17" t="s">
        <v>17246</v>
      </c>
      <c r="G10062" s="17"/>
      <c r="H10062" s="17" t="s">
        <v>20919</v>
      </c>
      <c r="I10062" s="17"/>
      <c r="J10062" s="17" t="s">
        <v>21313</v>
      </c>
      <c r="K10062" s="17"/>
      <c r="L10062" s="17" t="s">
        <v>21326</v>
      </c>
      <c r="M10062" s="17"/>
      <c r="N10062" s="17" t="s">
        <v>22304</v>
      </c>
      <c r="O10062" s="17"/>
      <c r="P10062" s="17" t="s">
        <v>44249</v>
      </c>
      <c r="Q10062" s="17"/>
      <c r="R10062" s="25" t="str">
        <f>HYPERLINK("https://ictv.global/taxonomy/taxondetails?taxnode_id=202316783","Wedhlevirus edaphenecus")</f>
        <v>Wedhlevirus edaphenecus</v>
      </c>
      <c r="S10062" s="18" t="s">
        <v>30</v>
      </c>
      <c r="T10062" s="18" t="s">
        <v>44250</v>
      </c>
      <c r="U10062" s="18"/>
      <c r="V10062" s="18"/>
      <c r="W10062" s="18" t="s">
        <v>44251</v>
      </c>
      <c r="X10062" s="18" t="s">
        <v>35</v>
      </c>
      <c r="Y10062" s="18" t="s">
        <v>17171</v>
      </c>
      <c r="Z10062" s="18" t="s">
        <v>24637</v>
      </c>
      <c r="AA10062" s="21" t="str">
        <f>HYPERLINK("https://www.ncbi.nlm.nih.gov/nuccore/CASDWV010003350","NCBI Nucleotide")</f>
        <v>NCBI Nucleotide</v>
      </c>
    </row>
    <row r="10063" spans="1:27" x14ac:dyDescent="0.35">
      <c r="A10063">
        <v>1027443</v>
      </c>
      <c r="B10063">
        <v>9388</v>
      </c>
      <c r="C10063">
        <v>1</v>
      </c>
      <c r="D10063" s="17" t="s">
        <v>17166</v>
      </c>
      <c r="E10063" s="17"/>
      <c r="F10063" s="17" t="s">
        <v>17246</v>
      </c>
      <c r="G10063" s="17"/>
      <c r="H10063" s="17" t="s">
        <v>20919</v>
      </c>
      <c r="I10063" s="17"/>
      <c r="J10063" s="17" t="s">
        <v>21313</v>
      </c>
      <c r="K10063" s="17"/>
      <c r="L10063" s="17" t="s">
        <v>21326</v>
      </c>
      <c r="M10063" s="17"/>
      <c r="N10063" s="17" t="s">
        <v>22304</v>
      </c>
      <c r="O10063" s="17"/>
      <c r="P10063" s="17" t="s">
        <v>44252</v>
      </c>
      <c r="Q10063" s="17"/>
      <c r="R10063" s="25" t="str">
        <f>HYPERLINK("https://ictv.global/taxonomy/taxondetails?taxnode_id=202316784","Wehlfuvirus dinebrihabitans")</f>
        <v>Wehlfuvirus dinebrihabitans</v>
      </c>
      <c r="S10063" s="18" t="s">
        <v>30</v>
      </c>
      <c r="T10063" s="18" t="s">
        <v>44253</v>
      </c>
      <c r="U10063" s="18"/>
      <c r="V10063" s="18" t="s">
        <v>44254</v>
      </c>
      <c r="W10063" s="18" t="s">
        <v>44255</v>
      </c>
      <c r="X10063" s="18" t="s">
        <v>35</v>
      </c>
      <c r="Y10063" s="18" t="s">
        <v>17171</v>
      </c>
      <c r="Z10063" s="18" t="s">
        <v>17336</v>
      </c>
      <c r="AA10063" s="21" t="str">
        <f>HYPERLINK("https://www.ncbi.nlm.nih.gov/nuccore/OM514546","NCBI Nucleotide")</f>
        <v>NCBI Nucleotide</v>
      </c>
    </row>
    <row r="10064" spans="1:27" x14ac:dyDescent="0.35">
      <c r="A10064">
        <v>1027444</v>
      </c>
      <c r="B10064">
        <v>9389</v>
      </c>
      <c r="C10064">
        <v>1</v>
      </c>
      <c r="D10064" s="17" t="s">
        <v>17166</v>
      </c>
      <c r="E10064" s="17"/>
      <c r="F10064" s="17" t="s">
        <v>17246</v>
      </c>
      <c r="G10064" s="17"/>
      <c r="H10064" s="17" t="s">
        <v>20919</v>
      </c>
      <c r="I10064" s="17"/>
      <c r="J10064" s="17" t="s">
        <v>21313</v>
      </c>
      <c r="K10064" s="17"/>
      <c r="L10064" s="17" t="s">
        <v>21326</v>
      </c>
      <c r="M10064" s="17"/>
      <c r="N10064" s="17" t="s">
        <v>22304</v>
      </c>
      <c r="O10064" s="17"/>
      <c r="P10064" s="17" t="s">
        <v>44252</v>
      </c>
      <c r="Q10064" s="17"/>
      <c r="R10064" s="25" t="str">
        <f>HYPERLINK("https://ictv.global/taxonomy/taxondetails?taxnode_id=202316785","Wehlfuvirus terricola")</f>
        <v>Wehlfuvirus terricola</v>
      </c>
      <c r="S10064" s="18" t="s">
        <v>30</v>
      </c>
      <c r="T10064" s="18" t="s">
        <v>44256</v>
      </c>
      <c r="U10064" s="18"/>
      <c r="V10064" s="18"/>
      <c r="W10064" s="18" t="s">
        <v>44257</v>
      </c>
      <c r="X10064" s="18" t="s">
        <v>35</v>
      </c>
      <c r="Y10064" s="18" t="s">
        <v>17171</v>
      </c>
      <c r="Z10064" s="18" t="s">
        <v>24637</v>
      </c>
      <c r="AA10064" s="21" t="str">
        <f>HYPERLINK("https://www.ncbi.nlm.nih.gov/nuccore/CASDWV010004642","NCBI Nucleotide")</f>
        <v>NCBI Nucleotide</v>
      </c>
    </row>
    <row r="10065" spans="1:27" x14ac:dyDescent="0.35">
      <c r="A10065">
        <v>1027445</v>
      </c>
      <c r="B10065">
        <v>9390</v>
      </c>
      <c r="C10065">
        <v>1</v>
      </c>
      <c r="D10065" s="17" t="s">
        <v>17166</v>
      </c>
      <c r="E10065" s="17"/>
      <c r="F10065" s="17" t="s">
        <v>17246</v>
      </c>
      <c r="G10065" s="17"/>
      <c r="H10065" s="17" t="s">
        <v>20919</v>
      </c>
      <c r="I10065" s="17"/>
      <c r="J10065" s="17" t="s">
        <v>21313</v>
      </c>
      <c r="K10065" s="17"/>
      <c r="L10065" s="17" t="s">
        <v>21326</v>
      </c>
      <c r="M10065" s="17"/>
      <c r="N10065" s="17" t="s">
        <v>22304</v>
      </c>
      <c r="O10065" s="17"/>
      <c r="P10065" s="17" t="s">
        <v>44258</v>
      </c>
      <c r="Q10065" s="17"/>
      <c r="R10065" s="25" t="str">
        <f>HYPERLINK("https://ictv.global/taxonomy/taxondetails?taxnode_id=202316786","Wehsdovirus faecivivens")</f>
        <v>Wehsdovirus faecivivens</v>
      </c>
      <c r="S10065" s="18" t="s">
        <v>30</v>
      </c>
      <c r="T10065" s="18" t="s">
        <v>44259</v>
      </c>
      <c r="U10065" s="18"/>
      <c r="V10065" s="18" t="s">
        <v>44259</v>
      </c>
      <c r="W10065" s="18" t="s">
        <v>44260</v>
      </c>
      <c r="X10065" s="18" t="s">
        <v>35</v>
      </c>
      <c r="Y10065" s="18" t="s">
        <v>17171</v>
      </c>
      <c r="Z10065" s="18" t="s">
        <v>24637</v>
      </c>
      <c r="AA10065" s="21" t="str">
        <f>HYPERLINK("https://www.ncbi.nlm.nih.gov/nuccore/ON162659","NCBI Nucleotide")</f>
        <v>NCBI Nucleotide</v>
      </c>
    </row>
    <row r="10066" spans="1:27" x14ac:dyDescent="0.35">
      <c r="A10066">
        <v>1027446</v>
      </c>
      <c r="B10066">
        <v>9391</v>
      </c>
      <c r="C10066">
        <v>1</v>
      </c>
      <c r="D10066" s="17" t="s">
        <v>17166</v>
      </c>
      <c r="E10066" s="17"/>
      <c r="F10066" s="17" t="s">
        <v>17246</v>
      </c>
      <c r="G10066" s="17"/>
      <c r="H10066" s="17" t="s">
        <v>20919</v>
      </c>
      <c r="I10066" s="17"/>
      <c r="J10066" s="17" t="s">
        <v>21313</v>
      </c>
      <c r="K10066" s="17"/>
      <c r="L10066" s="17" t="s">
        <v>21326</v>
      </c>
      <c r="M10066" s="17"/>
      <c r="N10066" s="17" t="s">
        <v>22304</v>
      </c>
      <c r="O10066" s="17"/>
      <c r="P10066" s="17" t="s">
        <v>44261</v>
      </c>
      <c r="Q10066" s="17"/>
      <c r="R10066" s="25" t="str">
        <f>HYPERLINK("https://ictv.global/taxonomy/taxondetails?taxnode_id=202316787","Welesbovirus faecivivens")</f>
        <v>Welesbovirus faecivivens</v>
      </c>
      <c r="S10066" s="18" t="s">
        <v>30</v>
      </c>
      <c r="T10066" s="18" t="s">
        <v>44262</v>
      </c>
      <c r="U10066" s="18"/>
      <c r="V10066" s="18" t="s">
        <v>44262</v>
      </c>
      <c r="W10066" s="18" t="s">
        <v>44263</v>
      </c>
      <c r="X10066" s="18" t="s">
        <v>35</v>
      </c>
      <c r="Y10066" s="18" t="s">
        <v>17171</v>
      </c>
      <c r="Z10066" s="18" t="s">
        <v>24637</v>
      </c>
      <c r="AA10066" s="21" t="str">
        <f>HYPERLINK("https://www.ncbi.nlm.nih.gov/nuccore/ON162634","NCBI Nucleotide")</f>
        <v>NCBI Nucleotide</v>
      </c>
    </row>
    <row r="10067" spans="1:27" x14ac:dyDescent="0.35">
      <c r="A10067">
        <v>1027447</v>
      </c>
      <c r="B10067">
        <v>9392</v>
      </c>
      <c r="C10067">
        <v>1</v>
      </c>
      <c r="D10067" s="17" t="s">
        <v>17166</v>
      </c>
      <c r="E10067" s="17"/>
      <c r="F10067" s="17" t="s">
        <v>17246</v>
      </c>
      <c r="G10067" s="17"/>
      <c r="H10067" s="17" t="s">
        <v>20919</v>
      </c>
      <c r="I10067" s="17"/>
      <c r="J10067" s="17" t="s">
        <v>21313</v>
      </c>
      <c r="K10067" s="17"/>
      <c r="L10067" s="17" t="s">
        <v>21326</v>
      </c>
      <c r="M10067" s="17"/>
      <c r="N10067" s="17" t="s">
        <v>22304</v>
      </c>
      <c r="O10067" s="17"/>
      <c r="P10067" s="17" t="s">
        <v>44264</v>
      </c>
      <c r="Q10067" s="17"/>
      <c r="R10067" s="25" t="str">
        <f>HYPERLINK("https://ictv.global/taxonomy/taxondetails?taxnode_id=202316788","Weothlivirus dinebrivivens")</f>
        <v>Weothlivirus dinebrivivens</v>
      </c>
      <c r="S10067" s="18" t="s">
        <v>30</v>
      </c>
      <c r="T10067" s="18" t="s">
        <v>44265</v>
      </c>
      <c r="U10067" s="18"/>
      <c r="V10067" s="18" t="s">
        <v>44266</v>
      </c>
      <c r="W10067" s="18" t="s">
        <v>44267</v>
      </c>
      <c r="X10067" s="18" t="s">
        <v>35</v>
      </c>
      <c r="Y10067" s="18" t="s">
        <v>17171</v>
      </c>
      <c r="Z10067" s="18" t="s">
        <v>17336</v>
      </c>
      <c r="AA10067" s="21" t="str">
        <f>HYPERLINK("https://www.ncbi.nlm.nih.gov/nuccore/OM514542","NCBI Nucleotide")</f>
        <v>NCBI Nucleotide</v>
      </c>
    </row>
    <row r="10068" spans="1:27" x14ac:dyDescent="0.35">
      <c r="A10068">
        <v>1027451</v>
      </c>
      <c r="B10068">
        <v>9393</v>
      </c>
      <c r="C10068">
        <v>1</v>
      </c>
      <c r="D10068" s="17" t="s">
        <v>17166</v>
      </c>
      <c r="E10068" s="17"/>
      <c r="F10068" s="17" t="s">
        <v>17246</v>
      </c>
      <c r="G10068" s="17"/>
      <c r="H10068" s="17" t="s">
        <v>20919</v>
      </c>
      <c r="I10068" s="17"/>
      <c r="J10068" s="17" t="s">
        <v>21313</v>
      </c>
      <c r="K10068" s="17"/>
      <c r="L10068" s="17" t="s">
        <v>21326</v>
      </c>
      <c r="M10068" s="17"/>
      <c r="N10068" s="17" t="s">
        <v>22304</v>
      </c>
      <c r="O10068" s="17"/>
      <c r="P10068" s="17" t="s">
        <v>44268</v>
      </c>
      <c r="Q10068" s="17"/>
      <c r="R10068" s="25" t="str">
        <f>HYPERLINK("https://ictv.global/taxonomy/taxondetails?taxnode_id=202316789","Whahdcavirus caenihabitans")</f>
        <v>Whahdcavirus caenihabitans</v>
      </c>
      <c r="S10068" s="18" t="s">
        <v>30</v>
      </c>
      <c r="T10068" s="18" t="s">
        <v>44269</v>
      </c>
      <c r="U10068" s="18"/>
      <c r="V10068" s="18"/>
      <c r="W10068" s="18" t="s">
        <v>44270</v>
      </c>
      <c r="X10068" s="18" t="s">
        <v>35</v>
      </c>
      <c r="Y10068" s="18" t="s">
        <v>17171</v>
      </c>
      <c r="Z10068" s="18" t="s">
        <v>24637</v>
      </c>
      <c r="AA10068" s="21" t="str">
        <f>HYPERLINK("https://www.ncbi.nlm.nih.gov/nuccore/CASDWV010000057","NCBI Nucleotide")</f>
        <v>NCBI Nucleotide</v>
      </c>
    </row>
    <row r="10069" spans="1:27" x14ac:dyDescent="0.35">
      <c r="A10069">
        <v>1027452</v>
      </c>
      <c r="B10069">
        <v>9394</v>
      </c>
      <c r="C10069">
        <v>1</v>
      </c>
      <c r="D10069" s="17" t="s">
        <v>17166</v>
      </c>
      <c r="E10069" s="17"/>
      <c r="F10069" s="17" t="s">
        <v>17246</v>
      </c>
      <c r="G10069" s="17"/>
      <c r="H10069" s="17" t="s">
        <v>20919</v>
      </c>
      <c r="I10069" s="17"/>
      <c r="J10069" s="17" t="s">
        <v>21313</v>
      </c>
      <c r="K10069" s="17"/>
      <c r="L10069" s="17" t="s">
        <v>21326</v>
      </c>
      <c r="M10069" s="17"/>
      <c r="N10069" s="17" t="s">
        <v>22304</v>
      </c>
      <c r="O10069" s="17"/>
      <c r="P10069" s="17" t="s">
        <v>44268</v>
      </c>
      <c r="Q10069" s="17"/>
      <c r="R10069" s="25" t="str">
        <f>HYPERLINK("https://ictv.global/taxonomy/taxondetails?taxnode_id=202316790","Whahdcavirus dinebricola")</f>
        <v>Whahdcavirus dinebricola</v>
      </c>
      <c r="S10069" s="18" t="s">
        <v>30</v>
      </c>
      <c r="T10069" s="18" t="s">
        <v>44271</v>
      </c>
      <c r="U10069" s="18"/>
      <c r="V10069" s="18" t="s">
        <v>44272</v>
      </c>
      <c r="W10069" s="18" t="s">
        <v>44273</v>
      </c>
      <c r="X10069" s="18" t="s">
        <v>35</v>
      </c>
      <c r="Y10069" s="18" t="s">
        <v>17171</v>
      </c>
      <c r="Z10069" s="18" t="s">
        <v>17336</v>
      </c>
      <c r="AA10069" s="21" t="str">
        <f>HYPERLINK("https://www.ncbi.nlm.nih.gov/nuccore/OM514545","NCBI Nucleotide")</f>
        <v>NCBI Nucleotide</v>
      </c>
    </row>
    <row r="10070" spans="1:27" x14ac:dyDescent="0.35">
      <c r="A10070">
        <v>1027453</v>
      </c>
      <c r="B10070">
        <v>9395</v>
      </c>
      <c r="C10070">
        <v>1</v>
      </c>
      <c r="D10070" s="17" t="s">
        <v>17166</v>
      </c>
      <c r="E10070" s="17"/>
      <c r="F10070" s="17" t="s">
        <v>17246</v>
      </c>
      <c r="G10070" s="17"/>
      <c r="H10070" s="17" t="s">
        <v>20919</v>
      </c>
      <c r="I10070" s="17"/>
      <c r="J10070" s="17" t="s">
        <v>21313</v>
      </c>
      <c r="K10070" s="17"/>
      <c r="L10070" s="17" t="s">
        <v>21326</v>
      </c>
      <c r="M10070" s="17"/>
      <c r="N10070" s="17" t="s">
        <v>22304</v>
      </c>
      <c r="O10070" s="17"/>
      <c r="P10070" s="17" t="s">
        <v>44268</v>
      </c>
      <c r="Q10070" s="17"/>
      <c r="R10070" s="25" t="str">
        <f>HYPERLINK("https://ictv.global/taxonomy/taxondetails?taxnode_id=202316791","Whahdcavirus nemorisvivens")</f>
        <v>Whahdcavirus nemorisvivens</v>
      </c>
      <c r="S10070" s="18" t="s">
        <v>30</v>
      </c>
      <c r="T10070" s="18" t="s">
        <v>44274</v>
      </c>
      <c r="U10070" s="18"/>
      <c r="V10070" s="18" t="s">
        <v>44274</v>
      </c>
      <c r="W10070" s="18" t="s">
        <v>44275</v>
      </c>
      <c r="X10070" s="18" t="s">
        <v>35</v>
      </c>
      <c r="Y10070" s="18" t="s">
        <v>17171</v>
      </c>
      <c r="Z10070" s="18" t="s">
        <v>24637</v>
      </c>
      <c r="AA10070" s="21" t="str">
        <f>HYPERLINK("https://www.ncbi.nlm.nih.gov/nuccore/ON163019","NCBI Nucleotide")</f>
        <v>NCBI Nucleotide</v>
      </c>
    </row>
    <row r="10071" spans="1:27" x14ac:dyDescent="0.35">
      <c r="A10071">
        <v>1009759</v>
      </c>
      <c r="B10071">
        <v>9396</v>
      </c>
      <c r="C10071">
        <v>1</v>
      </c>
      <c r="D10071" s="17" t="s">
        <v>17166</v>
      </c>
      <c r="E10071" s="17"/>
      <c r="F10071" s="17" t="s">
        <v>17246</v>
      </c>
      <c r="G10071" s="17"/>
      <c r="H10071" s="17" t="s">
        <v>20919</v>
      </c>
      <c r="I10071" s="17"/>
      <c r="J10071" s="17" t="s">
        <v>21313</v>
      </c>
      <c r="K10071" s="17"/>
      <c r="L10071" s="17" t="s">
        <v>21326</v>
      </c>
      <c r="M10071" s="17"/>
      <c r="N10071" s="17" t="s">
        <v>22304</v>
      </c>
      <c r="O10071" s="17"/>
      <c r="P10071" s="17" t="s">
        <v>44268</v>
      </c>
      <c r="Q10071" s="17"/>
      <c r="R10071" s="25" t="str">
        <f>HYPERLINK("https://ictv.global/taxonomy/taxondetails?taxnode_id=202310880","Whahdcavirus peladaptatum")</f>
        <v>Whahdcavirus peladaptatum</v>
      </c>
      <c r="S10071" s="18" t="s">
        <v>30</v>
      </c>
      <c r="T10071" s="18" t="s">
        <v>22333</v>
      </c>
      <c r="U10071" s="18"/>
      <c r="V10071" s="18"/>
      <c r="W10071" s="18" t="s">
        <v>22334</v>
      </c>
      <c r="X10071" s="18" t="s">
        <v>35</v>
      </c>
      <c r="Y10071" s="18" t="s">
        <v>17171</v>
      </c>
      <c r="Z10071" s="18" t="s">
        <v>697</v>
      </c>
      <c r="AA10071" s="21" t="str">
        <f>HYPERLINK("https://www.ncbi.nlm.nih.gov/nuccore/BK014169","NCBI Nucleotide")</f>
        <v>NCBI Nucleotide</v>
      </c>
    </row>
    <row r="10072" spans="1:27" x14ac:dyDescent="0.35">
      <c r="A10072">
        <v>1027454</v>
      </c>
      <c r="B10072">
        <v>9397</v>
      </c>
      <c r="C10072">
        <v>1</v>
      </c>
      <c r="D10072" s="17" t="s">
        <v>17166</v>
      </c>
      <c r="E10072" s="17"/>
      <c r="F10072" s="17" t="s">
        <v>17246</v>
      </c>
      <c r="G10072" s="17"/>
      <c r="H10072" s="17" t="s">
        <v>20919</v>
      </c>
      <c r="I10072" s="17"/>
      <c r="J10072" s="17" t="s">
        <v>21313</v>
      </c>
      <c r="K10072" s="17"/>
      <c r="L10072" s="17" t="s">
        <v>21326</v>
      </c>
      <c r="M10072" s="17"/>
      <c r="N10072" s="17" t="s">
        <v>22304</v>
      </c>
      <c r="O10072" s="17"/>
      <c r="P10072" s="17" t="s">
        <v>44268</v>
      </c>
      <c r="Q10072" s="17"/>
      <c r="R10072" s="25" t="str">
        <f>HYPERLINK("https://ictv.global/taxonomy/taxondetails?taxnode_id=202316792","Whahdcavirus segetadaptatum")</f>
        <v>Whahdcavirus segetadaptatum</v>
      </c>
      <c r="S10072" s="18" t="s">
        <v>30</v>
      </c>
      <c r="T10072" s="18" t="s">
        <v>44276</v>
      </c>
      <c r="U10072" s="18"/>
      <c r="V10072" s="18"/>
      <c r="W10072" s="18" t="s">
        <v>44277</v>
      </c>
      <c r="X10072" s="18" t="s">
        <v>35</v>
      </c>
      <c r="Y10072" s="18" t="s">
        <v>17171</v>
      </c>
      <c r="Z10072" s="18" t="s">
        <v>24637</v>
      </c>
      <c r="AA10072" s="21" t="str">
        <f>HYPERLINK("https://www.ncbi.nlm.nih.gov/nuccore/CASDWV010003475","NCBI Nucleotide")</f>
        <v>NCBI Nucleotide</v>
      </c>
    </row>
    <row r="10073" spans="1:27" x14ac:dyDescent="0.35">
      <c r="A10073">
        <v>1027457</v>
      </c>
      <c r="B10073">
        <v>9398</v>
      </c>
      <c r="C10073">
        <v>1</v>
      </c>
      <c r="D10073" s="17" t="s">
        <v>17166</v>
      </c>
      <c r="E10073" s="17"/>
      <c r="F10073" s="17" t="s">
        <v>17246</v>
      </c>
      <c r="G10073" s="17"/>
      <c r="H10073" s="17" t="s">
        <v>20919</v>
      </c>
      <c r="I10073" s="17"/>
      <c r="J10073" s="17" t="s">
        <v>21313</v>
      </c>
      <c r="K10073" s="17"/>
      <c r="L10073" s="17" t="s">
        <v>21326</v>
      </c>
      <c r="M10073" s="17"/>
      <c r="N10073" s="17" t="s">
        <v>22304</v>
      </c>
      <c r="O10073" s="17"/>
      <c r="P10073" s="17" t="s">
        <v>44278</v>
      </c>
      <c r="Q10073" s="17"/>
      <c r="R10073" s="25" t="str">
        <f>HYPERLINK("https://ictv.global/taxonomy/taxondetails?taxnode_id=202316793","Whochfovirus faecenecus")</f>
        <v>Whochfovirus faecenecus</v>
      </c>
      <c r="S10073" s="18" t="s">
        <v>30</v>
      </c>
      <c r="T10073" s="18" t="s">
        <v>44279</v>
      </c>
      <c r="U10073" s="18"/>
      <c r="V10073" s="18" t="s">
        <v>44279</v>
      </c>
      <c r="W10073" s="18" t="s">
        <v>44280</v>
      </c>
      <c r="X10073" s="18" t="s">
        <v>35</v>
      </c>
      <c r="Y10073" s="18" t="s">
        <v>17171</v>
      </c>
      <c r="Z10073" s="18" t="s">
        <v>24637</v>
      </c>
      <c r="AA10073" s="21" t="str">
        <f>HYPERLINK("https://www.ncbi.nlm.nih.gov/nuccore/ON163473","NCBI Nucleotide")</f>
        <v>NCBI Nucleotide</v>
      </c>
    </row>
    <row r="10074" spans="1:27" x14ac:dyDescent="0.35">
      <c r="A10074">
        <v>1027458</v>
      </c>
      <c r="B10074">
        <v>9399</v>
      </c>
      <c r="C10074">
        <v>1</v>
      </c>
      <c r="D10074" s="17" t="s">
        <v>17166</v>
      </c>
      <c r="E10074" s="17"/>
      <c r="F10074" s="17" t="s">
        <v>17246</v>
      </c>
      <c r="G10074" s="17"/>
      <c r="H10074" s="17" t="s">
        <v>20919</v>
      </c>
      <c r="I10074" s="17"/>
      <c r="J10074" s="17" t="s">
        <v>21313</v>
      </c>
      <c r="K10074" s="17"/>
      <c r="L10074" s="17" t="s">
        <v>21326</v>
      </c>
      <c r="M10074" s="17"/>
      <c r="N10074" s="17" t="s">
        <v>22304</v>
      </c>
      <c r="O10074" s="17"/>
      <c r="P10074" s="17" t="s">
        <v>44278</v>
      </c>
      <c r="Q10074" s="17"/>
      <c r="R10074" s="25" t="str">
        <f>HYPERLINK("https://ictv.global/taxonomy/taxondetails?taxnode_id=202316794","Whochfovirus radicivivens")</f>
        <v>Whochfovirus radicivivens</v>
      </c>
      <c r="S10074" s="18" t="s">
        <v>30</v>
      </c>
      <c r="T10074" s="18" t="s">
        <v>44281</v>
      </c>
      <c r="U10074" s="18"/>
      <c r="V10074" s="18"/>
      <c r="W10074" s="18" t="s">
        <v>44282</v>
      </c>
      <c r="X10074" s="18" t="s">
        <v>35</v>
      </c>
      <c r="Y10074" s="18" t="s">
        <v>17171</v>
      </c>
      <c r="Z10074" s="18" t="s">
        <v>24637</v>
      </c>
      <c r="AA10074" s="21" t="str">
        <f>HYPERLINK("https://www.ncbi.nlm.nih.gov/nuccore/CASDWV010000365","NCBI Nucleotide")</f>
        <v>NCBI Nucleotide</v>
      </c>
    </row>
    <row r="10075" spans="1:27" x14ac:dyDescent="0.35">
      <c r="A10075">
        <v>1027459</v>
      </c>
      <c r="B10075">
        <v>9400</v>
      </c>
      <c r="C10075">
        <v>1</v>
      </c>
      <c r="D10075" s="17" t="s">
        <v>17166</v>
      </c>
      <c r="E10075" s="17"/>
      <c r="F10075" s="17" t="s">
        <v>17246</v>
      </c>
      <c r="G10075" s="17"/>
      <c r="H10075" s="17" t="s">
        <v>20919</v>
      </c>
      <c r="I10075" s="17"/>
      <c r="J10075" s="17" t="s">
        <v>21313</v>
      </c>
      <c r="K10075" s="17"/>
      <c r="L10075" s="17" t="s">
        <v>21326</v>
      </c>
      <c r="M10075" s="17"/>
      <c r="N10075" s="17" t="s">
        <v>22304</v>
      </c>
      <c r="O10075" s="17"/>
      <c r="P10075" s="17" t="s">
        <v>44283</v>
      </c>
      <c r="Q10075" s="17"/>
      <c r="R10075" s="25" t="str">
        <f>HYPERLINK("https://ictv.global/taxonomy/taxondetails?taxnode_id=202316795","Whotchuvirus faecenecus")</f>
        <v>Whotchuvirus faecenecus</v>
      </c>
      <c r="S10075" s="18" t="s">
        <v>30</v>
      </c>
      <c r="T10075" s="18" t="s">
        <v>44284</v>
      </c>
      <c r="U10075" s="18"/>
      <c r="V10075" s="18" t="s">
        <v>44284</v>
      </c>
      <c r="W10075" s="18" t="s">
        <v>44285</v>
      </c>
      <c r="X10075" s="18" t="s">
        <v>35</v>
      </c>
      <c r="Y10075" s="18" t="s">
        <v>17171</v>
      </c>
      <c r="Z10075" s="18" t="s">
        <v>24637</v>
      </c>
      <c r="AA10075" s="21" t="str">
        <f>HYPERLINK("https://www.ncbi.nlm.nih.gov/nuccore/ON163649","NCBI Nucleotide")</f>
        <v>NCBI Nucleotide</v>
      </c>
    </row>
    <row r="10076" spans="1:27" x14ac:dyDescent="0.35">
      <c r="A10076">
        <v>1027460</v>
      </c>
      <c r="B10076">
        <v>9401</v>
      </c>
      <c r="C10076">
        <v>1</v>
      </c>
      <c r="D10076" s="17" t="s">
        <v>17166</v>
      </c>
      <c r="E10076" s="17"/>
      <c r="F10076" s="17" t="s">
        <v>17246</v>
      </c>
      <c r="G10076" s="17"/>
      <c r="H10076" s="17" t="s">
        <v>20919</v>
      </c>
      <c r="I10076" s="17"/>
      <c r="J10076" s="17" t="s">
        <v>21313</v>
      </c>
      <c r="K10076" s="17"/>
      <c r="L10076" s="17" t="s">
        <v>21326</v>
      </c>
      <c r="M10076" s="17"/>
      <c r="N10076" s="17" t="s">
        <v>22304</v>
      </c>
      <c r="O10076" s="17"/>
      <c r="P10076" s="17" t="s">
        <v>44286</v>
      </c>
      <c r="Q10076" s="17"/>
      <c r="R10076" s="25" t="str">
        <f>HYPERLINK("https://ictv.global/taxonomy/taxondetails?taxnode_id=202316796","Whotnavirus limenecus")</f>
        <v>Whotnavirus limenecus</v>
      </c>
      <c r="S10076" s="18" t="s">
        <v>30</v>
      </c>
      <c r="T10076" s="18" t="s">
        <v>44287</v>
      </c>
      <c r="U10076" s="18"/>
      <c r="V10076" s="18" t="s">
        <v>44287</v>
      </c>
      <c r="W10076" s="18" t="s">
        <v>44288</v>
      </c>
      <c r="X10076" s="18" t="s">
        <v>35</v>
      </c>
      <c r="Y10076" s="18" t="s">
        <v>17171</v>
      </c>
      <c r="Z10076" s="18" t="s">
        <v>24637</v>
      </c>
      <c r="AA10076" s="21" t="str">
        <f>HYPERLINK("https://www.ncbi.nlm.nih.gov/nuccore/ON163761","NCBI Nucleotide")</f>
        <v>NCBI Nucleotide</v>
      </c>
    </row>
    <row r="10077" spans="1:27" x14ac:dyDescent="0.35">
      <c r="A10077">
        <v>1027569</v>
      </c>
      <c r="B10077">
        <v>9402</v>
      </c>
      <c r="C10077">
        <v>1</v>
      </c>
      <c r="D10077" s="17" t="s">
        <v>17166</v>
      </c>
      <c r="E10077" s="17"/>
      <c r="F10077" s="17" t="s">
        <v>17246</v>
      </c>
      <c r="G10077" s="17"/>
      <c r="H10077" s="17" t="s">
        <v>20919</v>
      </c>
      <c r="I10077" s="17"/>
      <c r="J10077" s="17" t="s">
        <v>21313</v>
      </c>
      <c r="K10077" s="17"/>
      <c r="L10077" s="17" t="s">
        <v>21326</v>
      </c>
      <c r="M10077" s="17"/>
      <c r="N10077" s="17" t="s">
        <v>22304</v>
      </c>
      <c r="O10077" s="17"/>
      <c r="P10077" s="17" t="s">
        <v>44289</v>
      </c>
      <c r="Q10077" s="17"/>
      <c r="R10077" s="25" t="str">
        <f>HYPERLINK("https://ictv.global/taxonomy/taxondetails?taxnode_id=202316797","Wihbtavirus faecadaptatum")</f>
        <v>Wihbtavirus faecadaptatum</v>
      </c>
      <c r="S10077" s="18" t="s">
        <v>30</v>
      </c>
      <c r="T10077" s="18" t="s">
        <v>44290</v>
      </c>
      <c r="U10077" s="18"/>
      <c r="V10077" s="18" t="s">
        <v>44290</v>
      </c>
      <c r="W10077" s="18" t="s">
        <v>44291</v>
      </c>
      <c r="X10077" s="18" t="s">
        <v>35</v>
      </c>
      <c r="Y10077" s="18" t="s">
        <v>17171</v>
      </c>
      <c r="Z10077" s="18" t="s">
        <v>24637</v>
      </c>
      <c r="AA10077" s="21" t="str">
        <f>HYPERLINK("https://www.ncbi.nlm.nih.gov/nuccore/ON163871","NCBI Nucleotide")</f>
        <v>NCBI Nucleotide</v>
      </c>
    </row>
    <row r="10078" spans="1:27" x14ac:dyDescent="0.35">
      <c r="A10078">
        <v>1027570</v>
      </c>
      <c r="B10078">
        <v>9403</v>
      </c>
      <c r="C10078">
        <v>1</v>
      </c>
      <c r="D10078" s="17" t="s">
        <v>17166</v>
      </c>
      <c r="E10078" s="17"/>
      <c r="F10078" s="17" t="s">
        <v>17246</v>
      </c>
      <c r="G10078" s="17"/>
      <c r="H10078" s="17" t="s">
        <v>20919</v>
      </c>
      <c r="I10078" s="17"/>
      <c r="J10078" s="17" t="s">
        <v>21313</v>
      </c>
      <c r="K10078" s="17"/>
      <c r="L10078" s="17" t="s">
        <v>21326</v>
      </c>
      <c r="M10078" s="17"/>
      <c r="N10078" s="17" t="s">
        <v>22304</v>
      </c>
      <c r="O10078" s="17"/>
      <c r="P10078" s="17" t="s">
        <v>44292</v>
      </c>
      <c r="Q10078" s="17"/>
      <c r="R10078" s="25" t="str">
        <f>HYPERLINK("https://ictv.global/taxonomy/taxondetails?taxnode_id=202316798","Wihlevirus faecadaptatum")</f>
        <v>Wihlevirus faecadaptatum</v>
      </c>
      <c r="S10078" s="18" t="s">
        <v>30</v>
      </c>
      <c r="T10078" s="18" t="s">
        <v>44293</v>
      </c>
      <c r="U10078" s="18"/>
      <c r="V10078" s="18" t="s">
        <v>44293</v>
      </c>
      <c r="W10078" s="18" t="s">
        <v>44294</v>
      </c>
      <c r="X10078" s="18" t="s">
        <v>35</v>
      </c>
      <c r="Y10078" s="18" t="s">
        <v>17171</v>
      </c>
      <c r="Z10078" s="18" t="s">
        <v>24637</v>
      </c>
      <c r="AA10078" s="21" t="str">
        <f>HYPERLINK("https://www.ncbi.nlm.nih.gov/nuccore/ON164134","NCBI Nucleotide")</f>
        <v>NCBI Nucleotide</v>
      </c>
    </row>
    <row r="10079" spans="1:27" x14ac:dyDescent="0.35">
      <c r="A10079">
        <v>1027572</v>
      </c>
      <c r="B10079">
        <v>9404</v>
      </c>
      <c r="C10079">
        <v>1</v>
      </c>
      <c r="D10079" s="17" t="s">
        <v>17166</v>
      </c>
      <c r="E10079" s="17"/>
      <c r="F10079" s="17" t="s">
        <v>17246</v>
      </c>
      <c r="G10079" s="17"/>
      <c r="H10079" s="17" t="s">
        <v>20919</v>
      </c>
      <c r="I10079" s="17"/>
      <c r="J10079" s="17" t="s">
        <v>21313</v>
      </c>
      <c r="K10079" s="17"/>
      <c r="L10079" s="17" t="s">
        <v>21326</v>
      </c>
      <c r="M10079" s="17"/>
      <c r="N10079" s="17" t="s">
        <v>22304</v>
      </c>
      <c r="O10079" s="17"/>
      <c r="P10079" s="17" t="s">
        <v>44295</v>
      </c>
      <c r="Q10079" s="17"/>
      <c r="R10079" s="25" t="str">
        <f>HYPERLINK("https://ictv.global/taxonomy/taxondetails?taxnode_id=202316799","Windevirus asiovicinum")</f>
        <v>Windevirus asiovicinum</v>
      </c>
      <c r="S10079" s="18" t="s">
        <v>30</v>
      </c>
      <c r="T10079" s="18" t="s">
        <v>44296</v>
      </c>
      <c r="U10079" s="18"/>
      <c r="V10079" s="18"/>
      <c r="W10079" s="18" t="s">
        <v>44297</v>
      </c>
      <c r="X10079" s="18" t="s">
        <v>35</v>
      </c>
      <c r="Y10079" s="18" t="s">
        <v>17171</v>
      </c>
      <c r="Z10079" s="18" t="s">
        <v>24637</v>
      </c>
      <c r="AA10079" s="21" t="str">
        <f>HYPERLINK("https://www.ncbi.nlm.nih.gov/nuccore/CASDWV010004652","NCBI Nucleotide")</f>
        <v>NCBI Nucleotide</v>
      </c>
    </row>
    <row r="10080" spans="1:27" x14ac:dyDescent="0.35">
      <c r="A10080">
        <v>1027516</v>
      </c>
      <c r="B10080">
        <v>9405</v>
      </c>
      <c r="C10080">
        <v>1</v>
      </c>
      <c r="D10080" s="17" t="s">
        <v>17166</v>
      </c>
      <c r="E10080" s="17"/>
      <c r="F10080" s="17" t="s">
        <v>17246</v>
      </c>
      <c r="G10080" s="17"/>
      <c r="H10080" s="17" t="s">
        <v>20919</v>
      </c>
      <c r="I10080" s="17"/>
      <c r="J10080" s="17" t="s">
        <v>21313</v>
      </c>
      <c r="K10080" s="17"/>
      <c r="L10080" s="17" t="s">
        <v>21326</v>
      </c>
      <c r="M10080" s="17"/>
      <c r="N10080" s="17" t="s">
        <v>22304</v>
      </c>
      <c r="O10080" s="17"/>
      <c r="P10080" s="17" t="s">
        <v>44298</v>
      </c>
      <c r="Q10080" s="17"/>
      <c r="R10080" s="25" t="str">
        <f>HYPERLINK("https://ictv.global/taxonomy/taxondetails?taxnode_id=202316800","Witirovirus dinebrihabitans")</f>
        <v>Witirovirus dinebrihabitans</v>
      </c>
      <c r="S10080" s="18" t="s">
        <v>30</v>
      </c>
      <c r="T10080" s="18" t="s">
        <v>44299</v>
      </c>
      <c r="U10080" s="18"/>
      <c r="V10080" s="18" t="s">
        <v>44300</v>
      </c>
      <c r="W10080" s="18" t="s">
        <v>44301</v>
      </c>
      <c r="X10080" s="18" t="s">
        <v>35</v>
      </c>
      <c r="Y10080" s="18" t="s">
        <v>17171</v>
      </c>
      <c r="Z10080" s="18" t="s">
        <v>17336</v>
      </c>
      <c r="AA10080" s="21" t="str">
        <f>HYPERLINK("https://www.ncbi.nlm.nih.gov/nuccore/OM514482","NCBI Nucleotide")</f>
        <v>NCBI Nucleotide</v>
      </c>
    </row>
    <row r="10081" spans="1:27" x14ac:dyDescent="0.35">
      <c r="A10081">
        <v>1027517</v>
      </c>
      <c r="B10081">
        <v>9406</v>
      </c>
      <c r="C10081">
        <v>1</v>
      </c>
      <c r="D10081" s="17" t="s">
        <v>17166</v>
      </c>
      <c r="E10081" s="17"/>
      <c r="F10081" s="17" t="s">
        <v>17246</v>
      </c>
      <c r="G10081" s="17"/>
      <c r="H10081" s="17" t="s">
        <v>20919</v>
      </c>
      <c r="I10081" s="17"/>
      <c r="J10081" s="17" t="s">
        <v>21313</v>
      </c>
      <c r="K10081" s="17"/>
      <c r="L10081" s="17" t="s">
        <v>21326</v>
      </c>
      <c r="M10081" s="17"/>
      <c r="N10081" s="17" t="s">
        <v>22304</v>
      </c>
      <c r="O10081" s="17"/>
      <c r="P10081" s="17" t="s">
        <v>44298</v>
      </c>
      <c r="Q10081" s="17"/>
      <c r="R10081" s="25" t="str">
        <f>HYPERLINK("https://ictv.global/taxonomy/taxondetails?taxnode_id=202316801","Witirovirus humadaptatum")</f>
        <v>Witirovirus humadaptatum</v>
      </c>
      <c r="S10081" s="18" t="s">
        <v>30</v>
      </c>
      <c r="T10081" s="18" t="s">
        <v>44302</v>
      </c>
      <c r="U10081" s="18"/>
      <c r="V10081" s="18"/>
      <c r="W10081" s="18" t="s">
        <v>44303</v>
      </c>
      <c r="X10081" s="18" t="s">
        <v>35</v>
      </c>
      <c r="Y10081" s="18" t="s">
        <v>17171</v>
      </c>
      <c r="Z10081" s="18" t="s">
        <v>24637</v>
      </c>
      <c r="AA10081" s="21" t="str">
        <f>HYPERLINK("https://www.ncbi.nlm.nih.gov/nuccore/CASDWV010004746","NCBI Nucleotide")</f>
        <v>NCBI Nucleotide</v>
      </c>
    </row>
    <row r="10082" spans="1:27" x14ac:dyDescent="0.35">
      <c r="A10082">
        <v>1027519</v>
      </c>
      <c r="B10082">
        <v>9407</v>
      </c>
      <c r="C10082">
        <v>1</v>
      </c>
      <c r="D10082" s="17" t="s">
        <v>17166</v>
      </c>
      <c r="E10082" s="17"/>
      <c r="F10082" s="17" t="s">
        <v>17246</v>
      </c>
      <c r="G10082" s="17"/>
      <c r="H10082" s="17" t="s">
        <v>20919</v>
      </c>
      <c r="I10082" s="17"/>
      <c r="J10082" s="17" t="s">
        <v>21313</v>
      </c>
      <c r="K10082" s="17"/>
      <c r="L10082" s="17" t="s">
        <v>21326</v>
      </c>
      <c r="M10082" s="17"/>
      <c r="N10082" s="17" t="s">
        <v>22304</v>
      </c>
      <c r="O10082" s="17"/>
      <c r="P10082" s="17" t="s">
        <v>44304</v>
      </c>
      <c r="Q10082" s="17"/>
      <c r="R10082" s="25" t="str">
        <f>HYPERLINK("https://ictv.global/taxonomy/taxondetails?taxnode_id=202316802","Wixfuvirus edaphenecus")</f>
        <v>Wixfuvirus edaphenecus</v>
      </c>
      <c r="S10082" s="18" t="s">
        <v>30</v>
      </c>
      <c r="T10082" s="18" t="s">
        <v>44305</v>
      </c>
      <c r="U10082" s="18"/>
      <c r="V10082" s="18"/>
      <c r="W10082" s="18" t="s">
        <v>44306</v>
      </c>
      <c r="X10082" s="18" t="s">
        <v>35</v>
      </c>
      <c r="Y10082" s="18" t="s">
        <v>17171</v>
      </c>
      <c r="Z10082" s="18" t="s">
        <v>24637</v>
      </c>
      <c r="AA10082" s="21" t="str">
        <f>HYPERLINK("https://www.ncbi.nlm.nih.gov/nuccore/CASDWV010004837","NCBI Nucleotide")</f>
        <v>NCBI Nucleotide</v>
      </c>
    </row>
    <row r="10083" spans="1:27" x14ac:dyDescent="0.35">
      <c r="A10083">
        <v>1027520</v>
      </c>
      <c r="B10083">
        <v>9408</v>
      </c>
      <c r="C10083">
        <v>1</v>
      </c>
      <c r="D10083" s="17" t="s">
        <v>17166</v>
      </c>
      <c r="E10083" s="17"/>
      <c r="F10083" s="17" t="s">
        <v>17246</v>
      </c>
      <c r="G10083" s="17"/>
      <c r="H10083" s="17" t="s">
        <v>20919</v>
      </c>
      <c r="I10083" s="17"/>
      <c r="J10083" s="17" t="s">
        <v>21313</v>
      </c>
      <c r="K10083" s="17"/>
      <c r="L10083" s="17" t="s">
        <v>21326</v>
      </c>
      <c r="M10083" s="17"/>
      <c r="N10083" s="17" t="s">
        <v>22304</v>
      </c>
      <c r="O10083" s="17"/>
      <c r="P10083" s="17" t="s">
        <v>44307</v>
      </c>
      <c r="Q10083" s="17"/>
      <c r="R10083" s="25" t="str">
        <f>HYPERLINK("https://ictv.global/taxonomy/taxondetails?taxnode_id=202316803","Woatevirus caenihabitans")</f>
        <v>Woatevirus caenihabitans</v>
      </c>
      <c r="S10083" s="18" t="s">
        <v>30</v>
      </c>
      <c r="T10083" s="18" t="s">
        <v>44308</v>
      </c>
      <c r="U10083" s="18"/>
      <c r="V10083" s="18"/>
      <c r="W10083" s="18" t="s">
        <v>44309</v>
      </c>
      <c r="X10083" s="18" t="s">
        <v>35</v>
      </c>
      <c r="Y10083" s="18" t="s">
        <v>17171</v>
      </c>
      <c r="Z10083" s="18" t="s">
        <v>24637</v>
      </c>
      <c r="AA10083" s="21" t="str">
        <f>HYPERLINK("https://www.ncbi.nlm.nih.gov/nuccore/CASDWV010001552","NCBI Nucleotide")</f>
        <v>NCBI Nucleotide</v>
      </c>
    </row>
    <row r="10084" spans="1:27" x14ac:dyDescent="0.35">
      <c r="A10084">
        <v>1027521</v>
      </c>
      <c r="B10084">
        <v>9409</v>
      </c>
      <c r="C10084">
        <v>1</v>
      </c>
      <c r="D10084" s="17" t="s">
        <v>17166</v>
      </c>
      <c r="E10084" s="17"/>
      <c r="F10084" s="17" t="s">
        <v>17246</v>
      </c>
      <c r="G10084" s="17"/>
      <c r="H10084" s="17" t="s">
        <v>20919</v>
      </c>
      <c r="I10084" s="17"/>
      <c r="J10084" s="17" t="s">
        <v>21313</v>
      </c>
      <c r="K10084" s="17"/>
      <c r="L10084" s="17" t="s">
        <v>21326</v>
      </c>
      <c r="M10084" s="17"/>
      <c r="N10084" s="17" t="s">
        <v>22304</v>
      </c>
      <c r="O10084" s="17"/>
      <c r="P10084" s="17" t="s">
        <v>44310</v>
      </c>
      <c r="Q10084" s="17"/>
      <c r="R10084" s="25" t="str">
        <f>HYPERLINK("https://ictv.global/taxonomy/taxondetails?taxnode_id=202316804","Wohlvevirus radicihabitans")</f>
        <v>Wohlvevirus radicihabitans</v>
      </c>
      <c r="S10084" s="18" t="s">
        <v>30</v>
      </c>
      <c r="T10084" s="18" t="s">
        <v>44311</v>
      </c>
      <c r="U10084" s="18"/>
      <c r="V10084" s="18"/>
      <c r="W10084" s="18" t="s">
        <v>44312</v>
      </c>
      <c r="X10084" s="18" t="s">
        <v>35</v>
      </c>
      <c r="Y10084" s="18" t="s">
        <v>17171</v>
      </c>
      <c r="Z10084" s="18" t="s">
        <v>24637</v>
      </c>
      <c r="AA10084" s="21" t="str">
        <f>HYPERLINK("https://www.ncbi.nlm.nih.gov/nuccore/CASDWV010001504","NCBI Nucleotide")</f>
        <v>NCBI Nucleotide</v>
      </c>
    </row>
    <row r="10085" spans="1:27" x14ac:dyDescent="0.35">
      <c r="A10085">
        <v>1027525</v>
      </c>
      <c r="B10085">
        <v>9410</v>
      </c>
      <c r="C10085">
        <v>1</v>
      </c>
      <c r="D10085" s="17" t="s">
        <v>17166</v>
      </c>
      <c r="E10085" s="17"/>
      <c r="F10085" s="17" t="s">
        <v>17246</v>
      </c>
      <c r="G10085" s="17"/>
      <c r="H10085" s="17" t="s">
        <v>20919</v>
      </c>
      <c r="I10085" s="17"/>
      <c r="J10085" s="17" t="s">
        <v>21313</v>
      </c>
      <c r="K10085" s="17"/>
      <c r="L10085" s="17" t="s">
        <v>21326</v>
      </c>
      <c r="M10085" s="17"/>
      <c r="N10085" s="17" t="s">
        <v>22304</v>
      </c>
      <c r="O10085" s="17"/>
      <c r="P10085" s="17" t="s">
        <v>44313</v>
      </c>
      <c r="Q10085" s="17"/>
      <c r="R10085" s="25" t="str">
        <f>HYPERLINK("https://ictv.global/taxonomy/taxondetails?taxnode_id=202316805","Wohtovirus chorenecus")</f>
        <v>Wohtovirus chorenecus</v>
      </c>
      <c r="S10085" s="18" t="s">
        <v>30</v>
      </c>
      <c r="T10085" s="18" t="s">
        <v>44314</v>
      </c>
      <c r="U10085" s="18"/>
      <c r="V10085" s="18"/>
      <c r="W10085" s="18" t="s">
        <v>44315</v>
      </c>
      <c r="X10085" s="18" t="s">
        <v>35</v>
      </c>
      <c r="Y10085" s="18" t="s">
        <v>17171</v>
      </c>
      <c r="Z10085" s="18" t="s">
        <v>24637</v>
      </c>
      <c r="AA10085" s="21" t="str">
        <f>HYPERLINK("https://www.ncbi.nlm.nih.gov/nuccore/CASDWV010000485","NCBI Nucleotide")</f>
        <v>NCBI Nucleotide</v>
      </c>
    </row>
    <row r="10086" spans="1:27" x14ac:dyDescent="0.35">
      <c r="A10086">
        <v>1027526</v>
      </c>
      <c r="B10086">
        <v>9411</v>
      </c>
      <c r="C10086">
        <v>1</v>
      </c>
      <c r="D10086" s="17" t="s">
        <v>17166</v>
      </c>
      <c r="E10086" s="17"/>
      <c r="F10086" s="17" t="s">
        <v>17246</v>
      </c>
      <c r="G10086" s="17"/>
      <c r="H10086" s="17" t="s">
        <v>20919</v>
      </c>
      <c r="I10086" s="17"/>
      <c r="J10086" s="17" t="s">
        <v>21313</v>
      </c>
      <c r="K10086" s="17"/>
      <c r="L10086" s="17" t="s">
        <v>21326</v>
      </c>
      <c r="M10086" s="17"/>
      <c r="N10086" s="17" t="s">
        <v>22304</v>
      </c>
      <c r="O10086" s="17"/>
      <c r="P10086" s="17" t="s">
        <v>44313</v>
      </c>
      <c r="Q10086" s="17"/>
      <c r="R10086" s="25" t="str">
        <f>HYPERLINK("https://ictv.global/taxonomy/taxondetails?taxnode_id=202316806","Wohtovirus chthonohabitans")</f>
        <v>Wohtovirus chthonohabitans</v>
      </c>
      <c r="S10086" s="18" t="s">
        <v>30</v>
      </c>
      <c r="T10086" s="18" t="s">
        <v>44316</v>
      </c>
      <c r="U10086" s="18"/>
      <c r="V10086" s="18"/>
      <c r="W10086" s="18" t="s">
        <v>44317</v>
      </c>
      <c r="X10086" s="18" t="s">
        <v>35</v>
      </c>
      <c r="Y10086" s="18" t="s">
        <v>17171</v>
      </c>
      <c r="Z10086" s="18" t="s">
        <v>24637</v>
      </c>
      <c r="AA10086" s="21" t="str">
        <f>HYPERLINK("https://www.ncbi.nlm.nih.gov/nuccore/CASDWV010000054","NCBI Nucleotide")</f>
        <v>NCBI Nucleotide</v>
      </c>
    </row>
    <row r="10087" spans="1:27" x14ac:dyDescent="0.35">
      <c r="A10087">
        <v>1027527</v>
      </c>
      <c r="B10087">
        <v>9412</v>
      </c>
      <c r="C10087">
        <v>1</v>
      </c>
      <c r="D10087" s="17" t="s">
        <v>17166</v>
      </c>
      <c r="E10087" s="17"/>
      <c r="F10087" s="17" t="s">
        <v>17246</v>
      </c>
      <c r="G10087" s="17"/>
      <c r="H10087" s="17" t="s">
        <v>20919</v>
      </c>
      <c r="I10087" s="17"/>
      <c r="J10087" s="17" t="s">
        <v>21313</v>
      </c>
      <c r="K10087" s="17"/>
      <c r="L10087" s="17" t="s">
        <v>21326</v>
      </c>
      <c r="M10087" s="17"/>
      <c r="N10087" s="17" t="s">
        <v>22304</v>
      </c>
      <c r="O10087" s="17"/>
      <c r="P10087" s="17" t="s">
        <v>44313</v>
      </c>
      <c r="Q10087" s="17"/>
      <c r="R10087" s="25" t="str">
        <f>HYPERLINK("https://ictv.global/taxonomy/taxondetails?taxnode_id=202316807","Wohtovirus humenecus")</f>
        <v>Wohtovirus humenecus</v>
      </c>
      <c r="S10087" s="18" t="s">
        <v>30</v>
      </c>
      <c r="T10087" s="18" t="s">
        <v>44318</v>
      </c>
      <c r="U10087" s="18"/>
      <c r="V10087" s="18"/>
      <c r="W10087" s="18" t="s">
        <v>44319</v>
      </c>
      <c r="X10087" s="18" t="s">
        <v>35</v>
      </c>
      <c r="Y10087" s="18" t="s">
        <v>17171</v>
      </c>
      <c r="Z10087" s="18" t="s">
        <v>24637</v>
      </c>
      <c r="AA10087" s="21" t="str">
        <f>HYPERLINK("https://www.ncbi.nlm.nih.gov/nuccore/CASDWV010001303","NCBI Nucleotide")</f>
        <v>NCBI Nucleotide</v>
      </c>
    </row>
    <row r="10088" spans="1:27" x14ac:dyDescent="0.35">
      <c r="A10088">
        <v>1027528</v>
      </c>
      <c r="B10088">
        <v>9413</v>
      </c>
      <c r="C10088">
        <v>1</v>
      </c>
      <c r="D10088" s="17" t="s">
        <v>17166</v>
      </c>
      <c r="E10088" s="17"/>
      <c r="F10088" s="17" t="s">
        <v>17246</v>
      </c>
      <c r="G10088" s="17"/>
      <c r="H10088" s="17" t="s">
        <v>20919</v>
      </c>
      <c r="I10088" s="17"/>
      <c r="J10088" s="17" t="s">
        <v>21313</v>
      </c>
      <c r="K10088" s="17"/>
      <c r="L10088" s="17" t="s">
        <v>21326</v>
      </c>
      <c r="M10088" s="17"/>
      <c r="N10088" s="17" t="s">
        <v>22304</v>
      </c>
      <c r="O10088" s="17"/>
      <c r="P10088" s="17" t="s">
        <v>44313</v>
      </c>
      <c r="Q10088" s="17"/>
      <c r="R10088" s="25" t="str">
        <f>HYPERLINK("https://ictv.global/taxonomy/taxondetails?taxnode_id=202316808","Wohtovirus humihabitans")</f>
        <v>Wohtovirus humihabitans</v>
      </c>
      <c r="S10088" s="18" t="s">
        <v>30</v>
      </c>
      <c r="T10088" s="18" t="s">
        <v>44320</v>
      </c>
      <c r="U10088" s="18"/>
      <c r="V10088" s="18"/>
      <c r="W10088" s="18" t="s">
        <v>44321</v>
      </c>
      <c r="X10088" s="18" t="s">
        <v>35</v>
      </c>
      <c r="Y10088" s="18" t="s">
        <v>17171</v>
      </c>
      <c r="Z10088" s="18" t="s">
        <v>24637</v>
      </c>
      <c r="AA10088" s="21" t="str">
        <f>HYPERLINK("https://www.ncbi.nlm.nih.gov/nuccore/CASDWV010003371","NCBI Nucleotide")</f>
        <v>NCBI Nucleotide</v>
      </c>
    </row>
    <row r="10089" spans="1:27" x14ac:dyDescent="0.35">
      <c r="A10089">
        <v>1027529</v>
      </c>
      <c r="B10089">
        <v>9414</v>
      </c>
      <c r="C10089">
        <v>1</v>
      </c>
      <c r="D10089" s="17" t="s">
        <v>17166</v>
      </c>
      <c r="E10089" s="17"/>
      <c r="F10089" s="17" t="s">
        <v>17246</v>
      </c>
      <c r="G10089" s="17"/>
      <c r="H10089" s="17" t="s">
        <v>20919</v>
      </c>
      <c r="I10089" s="17"/>
      <c r="J10089" s="17" t="s">
        <v>21313</v>
      </c>
      <c r="K10089" s="17"/>
      <c r="L10089" s="17" t="s">
        <v>21326</v>
      </c>
      <c r="M10089" s="17"/>
      <c r="N10089" s="17" t="s">
        <v>22304</v>
      </c>
      <c r="O10089" s="17"/>
      <c r="P10089" s="17" t="s">
        <v>44313</v>
      </c>
      <c r="Q10089" s="17"/>
      <c r="R10089" s="25" t="str">
        <f>HYPERLINK("https://ictv.global/taxonomy/taxondetails?taxnode_id=202316809","Wohtovirus limihabitans")</f>
        <v>Wohtovirus limihabitans</v>
      </c>
      <c r="S10089" s="18" t="s">
        <v>30</v>
      </c>
      <c r="T10089" s="18" t="s">
        <v>44322</v>
      </c>
      <c r="U10089" s="18"/>
      <c r="V10089" s="18"/>
      <c r="W10089" s="18" t="s">
        <v>44323</v>
      </c>
      <c r="X10089" s="18" t="s">
        <v>35</v>
      </c>
      <c r="Y10089" s="18" t="s">
        <v>17171</v>
      </c>
      <c r="Z10089" s="18" t="s">
        <v>24637</v>
      </c>
      <c r="AA10089" s="21" t="str">
        <f>HYPERLINK("https://www.ncbi.nlm.nih.gov/nuccore/CASDWV010000628","NCBI Nucleotide")</f>
        <v>NCBI Nucleotide</v>
      </c>
    </row>
    <row r="10090" spans="1:27" x14ac:dyDescent="0.35">
      <c r="A10090">
        <v>1027530</v>
      </c>
      <c r="B10090">
        <v>9415</v>
      </c>
      <c r="C10090">
        <v>1</v>
      </c>
      <c r="D10090" s="17" t="s">
        <v>17166</v>
      </c>
      <c r="E10090" s="17"/>
      <c r="F10090" s="17" t="s">
        <v>17246</v>
      </c>
      <c r="G10090" s="17"/>
      <c r="H10090" s="17" t="s">
        <v>20919</v>
      </c>
      <c r="I10090" s="17"/>
      <c r="J10090" s="17" t="s">
        <v>21313</v>
      </c>
      <c r="K10090" s="17"/>
      <c r="L10090" s="17" t="s">
        <v>21326</v>
      </c>
      <c r="M10090" s="17"/>
      <c r="N10090" s="17" t="s">
        <v>22304</v>
      </c>
      <c r="O10090" s="17"/>
      <c r="P10090" s="17" t="s">
        <v>44313</v>
      </c>
      <c r="Q10090" s="17"/>
      <c r="R10090" s="25" t="str">
        <f>HYPERLINK("https://ictv.global/taxonomy/taxondetails?taxnode_id=202316810","Wohtovirus messicola")</f>
        <v>Wohtovirus messicola</v>
      </c>
      <c r="S10090" s="18" t="s">
        <v>30</v>
      </c>
      <c r="T10090" s="18" t="s">
        <v>44324</v>
      </c>
      <c r="U10090" s="18"/>
      <c r="V10090" s="18"/>
      <c r="W10090" s="18" t="s">
        <v>44325</v>
      </c>
      <c r="X10090" s="18" t="s">
        <v>35</v>
      </c>
      <c r="Y10090" s="18" t="s">
        <v>17171</v>
      </c>
      <c r="Z10090" s="18" t="s">
        <v>24637</v>
      </c>
      <c r="AA10090" s="21" t="str">
        <f>HYPERLINK("https://www.ncbi.nlm.nih.gov/nuccore/CASDWV010000261","NCBI Nucleotide")</f>
        <v>NCBI Nucleotide</v>
      </c>
    </row>
    <row r="10091" spans="1:27" x14ac:dyDescent="0.35">
      <c r="A10091">
        <v>1027531</v>
      </c>
      <c r="B10091">
        <v>9416</v>
      </c>
      <c r="C10091">
        <v>1</v>
      </c>
      <c r="D10091" s="17" t="s">
        <v>17166</v>
      </c>
      <c r="E10091" s="17"/>
      <c r="F10091" s="17" t="s">
        <v>17246</v>
      </c>
      <c r="G10091" s="17"/>
      <c r="H10091" s="17" t="s">
        <v>20919</v>
      </c>
      <c r="I10091" s="17"/>
      <c r="J10091" s="17" t="s">
        <v>21313</v>
      </c>
      <c r="K10091" s="17"/>
      <c r="L10091" s="17" t="s">
        <v>21326</v>
      </c>
      <c r="M10091" s="17"/>
      <c r="N10091" s="17" t="s">
        <v>22304</v>
      </c>
      <c r="O10091" s="17"/>
      <c r="P10091" s="17" t="s">
        <v>44313</v>
      </c>
      <c r="Q10091" s="17"/>
      <c r="R10091" s="25" t="str">
        <f>HYPERLINK("https://ictv.global/taxonomy/taxondetails?taxnode_id=202316811","Wohtovirus pedovicinum")</f>
        <v>Wohtovirus pedovicinum</v>
      </c>
      <c r="S10091" s="18" t="s">
        <v>30</v>
      </c>
      <c r="T10091" s="18" t="s">
        <v>44326</v>
      </c>
      <c r="U10091" s="18"/>
      <c r="V10091" s="18"/>
      <c r="W10091" s="18" t="s">
        <v>44327</v>
      </c>
      <c r="X10091" s="18" t="s">
        <v>35</v>
      </c>
      <c r="Y10091" s="18" t="s">
        <v>17171</v>
      </c>
      <c r="Z10091" s="18" t="s">
        <v>24637</v>
      </c>
      <c r="AA10091" s="21" t="str">
        <f>HYPERLINK("https://www.ncbi.nlm.nih.gov/nuccore/CASDWV010004100","NCBI Nucleotide")</f>
        <v>NCBI Nucleotide</v>
      </c>
    </row>
    <row r="10092" spans="1:27" x14ac:dyDescent="0.35">
      <c r="A10092">
        <v>1027532</v>
      </c>
      <c r="B10092">
        <v>9417</v>
      </c>
      <c r="C10092">
        <v>1</v>
      </c>
      <c r="D10092" s="17" t="s">
        <v>17166</v>
      </c>
      <c r="E10092" s="17"/>
      <c r="F10092" s="17" t="s">
        <v>17246</v>
      </c>
      <c r="G10092" s="17"/>
      <c r="H10092" s="17" t="s">
        <v>20919</v>
      </c>
      <c r="I10092" s="17"/>
      <c r="J10092" s="17" t="s">
        <v>21313</v>
      </c>
      <c r="K10092" s="17"/>
      <c r="L10092" s="17" t="s">
        <v>21326</v>
      </c>
      <c r="M10092" s="17"/>
      <c r="N10092" s="17" t="s">
        <v>22304</v>
      </c>
      <c r="O10092" s="17"/>
      <c r="P10092" s="17" t="s">
        <v>44313</v>
      </c>
      <c r="Q10092" s="17"/>
      <c r="R10092" s="25" t="str">
        <f>HYPERLINK("https://ictv.global/taxonomy/taxondetails?taxnode_id=202316812","Wohtovirus pelovivens")</f>
        <v>Wohtovirus pelovivens</v>
      </c>
      <c r="S10092" s="18" t="s">
        <v>30</v>
      </c>
      <c r="T10092" s="18" t="s">
        <v>44328</v>
      </c>
      <c r="U10092" s="18"/>
      <c r="V10092" s="18"/>
      <c r="W10092" s="18" t="s">
        <v>44329</v>
      </c>
      <c r="X10092" s="18" t="s">
        <v>35</v>
      </c>
      <c r="Y10092" s="18" t="s">
        <v>17171</v>
      </c>
      <c r="Z10092" s="18" t="s">
        <v>24637</v>
      </c>
      <c r="AA10092" s="21" t="str">
        <f>HYPERLINK("https://www.ncbi.nlm.nih.gov/nuccore/CASDWV010001322","NCBI Nucleotide")</f>
        <v>NCBI Nucleotide</v>
      </c>
    </row>
    <row r="10093" spans="1:27" x14ac:dyDescent="0.35">
      <c r="A10093">
        <v>1027533</v>
      </c>
      <c r="B10093">
        <v>9418</v>
      </c>
      <c r="C10093">
        <v>1</v>
      </c>
      <c r="D10093" s="17" t="s">
        <v>17166</v>
      </c>
      <c r="E10093" s="17"/>
      <c r="F10093" s="17" t="s">
        <v>17246</v>
      </c>
      <c r="G10093" s="17"/>
      <c r="H10093" s="17" t="s">
        <v>20919</v>
      </c>
      <c r="I10093" s="17"/>
      <c r="J10093" s="17" t="s">
        <v>21313</v>
      </c>
      <c r="K10093" s="17"/>
      <c r="L10093" s="17" t="s">
        <v>21326</v>
      </c>
      <c r="M10093" s="17"/>
      <c r="N10093" s="17" t="s">
        <v>22304</v>
      </c>
      <c r="O10093" s="17"/>
      <c r="P10093" s="17" t="s">
        <v>44313</v>
      </c>
      <c r="Q10093" s="17"/>
      <c r="R10093" s="25" t="str">
        <f>HYPERLINK("https://ictv.global/taxonomy/taxondetails?taxnode_id=202316813","Wohtovirus tellurihabitans")</f>
        <v>Wohtovirus tellurihabitans</v>
      </c>
      <c r="S10093" s="18" t="s">
        <v>30</v>
      </c>
      <c r="T10093" s="18" t="s">
        <v>44330</v>
      </c>
      <c r="U10093" s="18"/>
      <c r="V10093" s="18"/>
      <c r="W10093" s="18" t="s">
        <v>44331</v>
      </c>
      <c r="X10093" s="18" t="s">
        <v>35</v>
      </c>
      <c r="Y10093" s="18" t="s">
        <v>17171</v>
      </c>
      <c r="Z10093" s="18" t="s">
        <v>24637</v>
      </c>
      <c r="AA10093" s="21" t="str">
        <f>HYPERLINK("https://www.ncbi.nlm.nih.gov/nuccore/CASDWV010003576","NCBI Nucleotide")</f>
        <v>NCBI Nucleotide</v>
      </c>
    </row>
    <row r="10094" spans="1:27" x14ac:dyDescent="0.35">
      <c r="A10094">
        <v>1027534</v>
      </c>
      <c r="B10094">
        <v>9419</v>
      </c>
      <c r="C10094">
        <v>1</v>
      </c>
      <c r="D10094" s="17" t="s">
        <v>17166</v>
      </c>
      <c r="E10094" s="17"/>
      <c r="F10094" s="17" t="s">
        <v>17246</v>
      </c>
      <c r="G10094" s="17"/>
      <c r="H10094" s="17" t="s">
        <v>20919</v>
      </c>
      <c r="I10094" s="17"/>
      <c r="J10094" s="17" t="s">
        <v>21313</v>
      </c>
      <c r="K10094" s="17"/>
      <c r="L10094" s="17" t="s">
        <v>21326</v>
      </c>
      <c r="M10094" s="17"/>
      <c r="N10094" s="17" t="s">
        <v>22304</v>
      </c>
      <c r="O10094" s="17"/>
      <c r="P10094" s="17" t="s">
        <v>44313</v>
      </c>
      <c r="Q10094" s="17"/>
      <c r="R10094" s="25" t="str">
        <f>HYPERLINK("https://ictv.global/taxonomy/taxondetails?taxnode_id=202316814","Wohtovirus terrivicinum")</f>
        <v>Wohtovirus terrivicinum</v>
      </c>
      <c r="S10094" s="18" t="s">
        <v>30</v>
      </c>
      <c r="T10094" s="18" t="s">
        <v>44332</v>
      </c>
      <c r="U10094" s="18"/>
      <c r="V10094" s="18"/>
      <c r="W10094" s="18" t="s">
        <v>44333</v>
      </c>
      <c r="X10094" s="18" t="s">
        <v>35</v>
      </c>
      <c r="Y10094" s="18" t="s">
        <v>17171</v>
      </c>
      <c r="Z10094" s="18" t="s">
        <v>24637</v>
      </c>
      <c r="AA10094" s="21" t="str">
        <f>HYPERLINK("https://www.ncbi.nlm.nih.gov/nuccore/CASDWV010001680","NCBI Nucleotide")</f>
        <v>NCBI Nucleotide</v>
      </c>
    </row>
    <row r="10095" spans="1:27" x14ac:dyDescent="0.35">
      <c r="A10095">
        <v>1027535</v>
      </c>
      <c r="B10095">
        <v>9420</v>
      </c>
      <c r="C10095">
        <v>1</v>
      </c>
      <c r="D10095" s="17" t="s">
        <v>17166</v>
      </c>
      <c r="E10095" s="17"/>
      <c r="F10095" s="17" t="s">
        <v>17246</v>
      </c>
      <c r="G10095" s="17"/>
      <c r="H10095" s="17" t="s">
        <v>20919</v>
      </c>
      <c r="I10095" s="17"/>
      <c r="J10095" s="17" t="s">
        <v>21313</v>
      </c>
      <c r="K10095" s="17"/>
      <c r="L10095" s="17" t="s">
        <v>21326</v>
      </c>
      <c r="M10095" s="17"/>
      <c r="N10095" s="17" t="s">
        <v>22304</v>
      </c>
      <c r="O10095" s="17"/>
      <c r="P10095" s="17" t="s">
        <v>44334</v>
      </c>
      <c r="Q10095" s="17"/>
      <c r="R10095" s="25" t="str">
        <f>HYPERLINK("https://ictv.global/taxonomy/taxondetails?taxnode_id=202316815","Wolstavirus terrivivens")</f>
        <v>Wolstavirus terrivivens</v>
      </c>
      <c r="S10095" s="18" t="s">
        <v>30</v>
      </c>
      <c r="T10095" s="18" t="s">
        <v>44335</v>
      </c>
      <c r="U10095" s="18"/>
      <c r="V10095" s="18"/>
      <c r="W10095" s="18" t="s">
        <v>44336</v>
      </c>
      <c r="X10095" s="18" t="s">
        <v>35</v>
      </c>
      <c r="Y10095" s="18" t="s">
        <v>17171</v>
      </c>
      <c r="Z10095" s="18" t="s">
        <v>24637</v>
      </c>
      <c r="AA10095" s="21" t="str">
        <f>HYPERLINK("https://www.ncbi.nlm.nih.gov/nuccore/CASDWV010001258","NCBI Nucleotide")</f>
        <v>NCBI Nucleotide</v>
      </c>
    </row>
    <row r="10096" spans="1:27" x14ac:dyDescent="0.35">
      <c r="A10096">
        <v>1027537</v>
      </c>
      <c r="B10096">
        <v>9421</v>
      </c>
      <c r="C10096">
        <v>1</v>
      </c>
      <c r="D10096" s="17" t="s">
        <v>17166</v>
      </c>
      <c r="E10096" s="17"/>
      <c r="F10096" s="17" t="s">
        <v>17246</v>
      </c>
      <c r="G10096" s="17"/>
      <c r="H10096" s="17" t="s">
        <v>20919</v>
      </c>
      <c r="I10096" s="17"/>
      <c r="J10096" s="17" t="s">
        <v>21313</v>
      </c>
      <c r="K10096" s="17"/>
      <c r="L10096" s="17" t="s">
        <v>21326</v>
      </c>
      <c r="M10096" s="17"/>
      <c r="N10096" s="17" t="s">
        <v>22304</v>
      </c>
      <c r="O10096" s="17"/>
      <c r="P10096" s="17" t="s">
        <v>44337</v>
      </c>
      <c r="Q10096" s="17"/>
      <c r="R10096" s="25" t="str">
        <f>HYPERLINK("https://ictv.global/taxonomy/taxondetails?taxnode_id=202316816","Woshavirus limihabitans")</f>
        <v>Woshavirus limihabitans</v>
      </c>
      <c r="S10096" s="18" t="s">
        <v>30</v>
      </c>
      <c r="T10096" s="18" t="s">
        <v>44338</v>
      </c>
      <c r="U10096" s="18"/>
      <c r="V10096" s="18"/>
      <c r="W10096" s="18" t="s">
        <v>44339</v>
      </c>
      <c r="X10096" s="18" t="s">
        <v>35</v>
      </c>
      <c r="Y10096" s="18" t="s">
        <v>17171</v>
      </c>
      <c r="Z10096" s="18" t="s">
        <v>24637</v>
      </c>
      <c r="AA10096" s="21" t="str">
        <f>HYPERLINK("https://www.ncbi.nlm.nih.gov/nuccore/CASDWV010004789","NCBI Nucleotide")</f>
        <v>NCBI Nucleotide</v>
      </c>
    </row>
    <row r="10097" spans="1:27" x14ac:dyDescent="0.35">
      <c r="A10097">
        <v>1027538</v>
      </c>
      <c r="B10097">
        <v>9422</v>
      </c>
      <c r="C10097">
        <v>1</v>
      </c>
      <c r="D10097" s="17" t="s">
        <v>17166</v>
      </c>
      <c r="E10097" s="17"/>
      <c r="F10097" s="17" t="s">
        <v>17246</v>
      </c>
      <c r="G10097" s="17"/>
      <c r="H10097" s="17" t="s">
        <v>20919</v>
      </c>
      <c r="I10097" s="17"/>
      <c r="J10097" s="17" t="s">
        <v>21313</v>
      </c>
      <c r="K10097" s="17"/>
      <c r="L10097" s="17" t="s">
        <v>21326</v>
      </c>
      <c r="M10097" s="17"/>
      <c r="N10097" s="17" t="s">
        <v>22304</v>
      </c>
      <c r="O10097" s="17"/>
      <c r="P10097" s="17" t="s">
        <v>44340</v>
      </c>
      <c r="Q10097" s="17"/>
      <c r="R10097" s="25" t="str">
        <f>HYPERLINK("https://ictv.global/taxonomy/taxondetails?taxnode_id=202316817","Wostovirus faecivivens")</f>
        <v>Wostovirus faecivivens</v>
      </c>
      <c r="S10097" s="18" t="s">
        <v>30</v>
      </c>
      <c r="T10097" s="18" t="s">
        <v>44341</v>
      </c>
      <c r="U10097" s="18"/>
      <c r="V10097" s="18" t="s">
        <v>44341</v>
      </c>
      <c r="W10097" s="18" t="s">
        <v>44342</v>
      </c>
      <c r="X10097" s="18" t="s">
        <v>35</v>
      </c>
      <c r="Y10097" s="18" t="s">
        <v>17171</v>
      </c>
      <c r="Z10097" s="18" t="s">
        <v>24637</v>
      </c>
      <c r="AA10097" s="21" t="str">
        <f>HYPERLINK("https://www.ncbi.nlm.nih.gov/nuccore/ON162662","NCBI Nucleotide")</f>
        <v>NCBI Nucleotide</v>
      </c>
    </row>
    <row r="10098" spans="1:27" x14ac:dyDescent="0.35">
      <c r="A10098">
        <v>1027542</v>
      </c>
      <c r="B10098">
        <v>9423</v>
      </c>
      <c r="C10098">
        <v>1</v>
      </c>
      <c r="D10098" s="17" t="s">
        <v>17166</v>
      </c>
      <c r="E10098" s="17"/>
      <c r="F10098" s="17" t="s">
        <v>17246</v>
      </c>
      <c r="G10098" s="17"/>
      <c r="H10098" s="17" t="s">
        <v>20919</v>
      </c>
      <c r="I10098" s="17"/>
      <c r="J10098" s="17" t="s">
        <v>21313</v>
      </c>
      <c r="K10098" s="17"/>
      <c r="L10098" s="17" t="s">
        <v>21326</v>
      </c>
      <c r="M10098" s="17"/>
      <c r="N10098" s="17" t="s">
        <v>22304</v>
      </c>
      <c r="O10098" s="17"/>
      <c r="P10098" s="17" t="s">
        <v>44343</v>
      </c>
      <c r="Q10098" s="17"/>
      <c r="R10098" s="25" t="str">
        <f>HYPERLINK("https://ictv.global/taxonomy/taxondetails?taxnode_id=202316818","Wruxevirus agrivicinum")</f>
        <v>Wruxevirus agrivicinum</v>
      </c>
      <c r="S10098" s="18" t="s">
        <v>30</v>
      </c>
      <c r="T10098" s="18" t="s">
        <v>44344</v>
      </c>
      <c r="U10098" s="18"/>
      <c r="V10098" s="18"/>
      <c r="W10098" s="18" t="s">
        <v>44345</v>
      </c>
      <c r="X10098" s="18" t="s">
        <v>35</v>
      </c>
      <c r="Y10098" s="18" t="s">
        <v>17171</v>
      </c>
      <c r="Z10098" s="18" t="s">
        <v>24637</v>
      </c>
      <c r="AA10098" s="21" t="str">
        <f>HYPERLINK("https://www.ncbi.nlm.nih.gov/nuccore/CASDWV010003580","NCBI Nucleotide")</f>
        <v>NCBI Nucleotide</v>
      </c>
    </row>
    <row r="10099" spans="1:27" x14ac:dyDescent="0.35">
      <c r="A10099">
        <v>1027543</v>
      </c>
      <c r="B10099">
        <v>9424</v>
      </c>
      <c r="C10099">
        <v>1</v>
      </c>
      <c r="D10099" s="17" t="s">
        <v>17166</v>
      </c>
      <c r="E10099" s="17"/>
      <c r="F10099" s="17" t="s">
        <v>17246</v>
      </c>
      <c r="G10099" s="17"/>
      <c r="H10099" s="17" t="s">
        <v>20919</v>
      </c>
      <c r="I10099" s="17"/>
      <c r="J10099" s="17" t="s">
        <v>21313</v>
      </c>
      <c r="K10099" s="17"/>
      <c r="L10099" s="17" t="s">
        <v>21326</v>
      </c>
      <c r="M10099" s="17"/>
      <c r="N10099" s="17" t="s">
        <v>22304</v>
      </c>
      <c r="O10099" s="17"/>
      <c r="P10099" s="17" t="s">
        <v>44343</v>
      </c>
      <c r="Q10099" s="17"/>
      <c r="R10099" s="25" t="str">
        <f>HYPERLINK("https://ictv.global/taxonomy/taxondetails?taxnode_id=202316819","Wruxevirus terrenecus")</f>
        <v>Wruxevirus terrenecus</v>
      </c>
      <c r="S10099" s="18" t="s">
        <v>30</v>
      </c>
      <c r="T10099" s="18" t="s">
        <v>44346</v>
      </c>
      <c r="U10099" s="18"/>
      <c r="V10099" s="18"/>
      <c r="W10099" s="18" t="s">
        <v>44347</v>
      </c>
      <c r="X10099" s="18" t="s">
        <v>35</v>
      </c>
      <c r="Y10099" s="18" t="s">
        <v>17171</v>
      </c>
      <c r="Z10099" s="18" t="s">
        <v>24637</v>
      </c>
      <c r="AA10099" s="21" t="str">
        <f>HYPERLINK("https://www.ncbi.nlm.nih.gov/nuccore/CASDWV010001783","NCBI Nucleotide")</f>
        <v>NCBI Nucleotide</v>
      </c>
    </row>
    <row r="10100" spans="1:27" x14ac:dyDescent="0.35">
      <c r="A10100">
        <v>1027544</v>
      </c>
      <c r="B10100">
        <v>9425</v>
      </c>
      <c r="C10100">
        <v>1</v>
      </c>
      <c r="D10100" s="17" t="s">
        <v>17166</v>
      </c>
      <c r="E10100" s="17"/>
      <c r="F10100" s="17" t="s">
        <v>17246</v>
      </c>
      <c r="G10100" s="17"/>
      <c r="H10100" s="17" t="s">
        <v>20919</v>
      </c>
      <c r="I10100" s="17"/>
      <c r="J10100" s="17" t="s">
        <v>21313</v>
      </c>
      <c r="K10100" s="17"/>
      <c r="L10100" s="17" t="s">
        <v>21326</v>
      </c>
      <c r="M10100" s="17"/>
      <c r="N10100" s="17" t="s">
        <v>22304</v>
      </c>
      <c r="O10100" s="17"/>
      <c r="P10100" s="17" t="s">
        <v>44348</v>
      </c>
      <c r="Q10100" s="17"/>
      <c r="R10100" s="25" t="str">
        <f>HYPERLINK("https://ictv.global/taxonomy/taxondetails?taxnode_id=202316820","Wulfhavirus telluricola")</f>
        <v>Wulfhavirus telluricola</v>
      </c>
      <c r="S10100" s="18" t="s">
        <v>30</v>
      </c>
      <c r="T10100" s="18" t="s">
        <v>44349</v>
      </c>
      <c r="U10100" s="18"/>
      <c r="V10100" s="18"/>
      <c r="W10100" s="18" t="s">
        <v>44350</v>
      </c>
      <c r="X10100" s="18" t="s">
        <v>35</v>
      </c>
      <c r="Y10100" s="18" t="s">
        <v>17171</v>
      </c>
      <c r="Z10100" s="18" t="s">
        <v>24637</v>
      </c>
      <c r="AA10100" s="21" t="str">
        <f>HYPERLINK("https://www.ncbi.nlm.nih.gov/nuccore/CASDWV010001012","NCBI Nucleotide")</f>
        <v>NCBI Nucleotide</v>
      </c>
    </row>
    <row r="10101" spans="1:27" x14ac:dyDescent="0.35">
      <c r="A10101">
        <v>1027545</v>
      </c>
      <c r="B10101">
        <v>9426</v>
      </c>
      <c r="C10101">
        <v>1</v>
      </c>
      <c r="D10101" s="17" t="s">
        <v>17166</v>
      </c>
      <c r="E10101" s="17"/>
      <c r="F10101" s="17" t="s">
        <v>17246</v>
      </c>
      <c r="G10101" s="17"/>
      <c r="H10101" s="17" t="s">
        <v>20919</v>
      </c>
      <c r="I10101" s="17"/>
      <c r="J10101" s="17" t="s">
        <v>21313</v>
      </c>
      <c r="K10101" s="17"/>
      <c r="L10101" s="17" t="s">
        <v>21326</v>
      </c>
      <c r="M10101" s="17"/>
      <c r="N10101" s="17" t="s">
        <v>22304</v>
      </c>
      <c r="O10101" s="17"/>
      <c r="P10101" s="17" t="s">
        <v>44351</v>
      </c>
      <c r="Q10101" s="17"/>
      <c r="R10101" s="25" t="str">
        <f>HYPERLINK("https://ictv.global/taxonomy/taxondetails?taxnode_id=202316821","Wulmkuvirus faecivivens")</f>
        <v>Wulmkuvirus faecivivens</v>
      </c>
      <c r="S10101" s="18" t="s">
        <v>30</v>
      </c>
      <c r="T10101" s="18" t="s">
        <v>44352</v>
      </c>
      <c r="U10101" s="18"/>
      <c r="V10101" s="18" t="s">
        <v>44352</v>
      </c>
      <c r="W10101" s="18" t="s">
        <v>44353</v>
      </c>
      <c r="X10101" s="18" t="s">
        <v>35</v>
      </c>
      <c r="Y10101" s="18" t="s">
        <v>17171</v>
      </c>
      <c r="Z10101" s="18" t="s">
        <v>24637</v>
      </c>
      <c r="AA10101" s="21" t="str">
        <f>HYPERLINK("https://www.ncbi.nlm.nih.gov/nuccore/ON164405","NCBI Nucleotide")</f>
        <v>NCBI Nucleotide</v>
      </c>
    </row>
    <row r="10102" spans="1:27" x14ac:dyDescent="0.35">
      <c r="A10102">
        <v>1027546</v>
      </c>
      <c r="B10102">
        <v>9427</v>
      </c>
      <c r="C10102">
        <v>1</v>
      </c>
      <c r="D10102" s="17" t="s">
        <v>17166</v>
      </c>
      <c r="E10102" s="17"/>
      <c r="F10102" s="17" t="s">
        <v>17246</v>
      </c>
      <c r="G10102" s="17"/>
      <c r="H10102" s="17" t="s">
        <v>20919</v>
      </c>
      <c r="I10102" s="17"/>
      <c r="J10102" s="17" t="s">
        <v>21313</v>
      </c>
      <c r="K10102" s="17"/>
      <c r="L10102" s="17" t="s">
        <v>21326</v>
      </c>
      <c r="M10102" s="17"/>
      <c r="N10102" s="17" t="s">
        <v>22304</v>
      </c>
      <c r="O10102" s="17"/>
      <c r="P10102" s="17" t="s">
        <v>44354</v>
      </c>
      <c r="Q10102" s="17"/>
      <c r="R10102" s="25" t="str">
        <f>HYPERLINK("https://ictv.global/taxonomy/taxondetails?taxnode_id=202316822","Wulouvirus faecenecus")</f>
        <v>Wulouvirus faecenecus</v>
      </c>
      <c r="S10102" s="18" t="s">
        <v>30</v>
      </c>
      <c r="T10102" s="18" t="s">
        <v>44355</v>
      </c>
      <c r="U10102" s="18"/>
      <c r="V10102" s="18" t="s">
        <v>44355</v>
      </c>
      <c r="W10102" s="18" t="s">
        <v>44356</v>
      </c>
      <c r="X10102" s="18" t="s">
        <v>35</v>
      </c>
      <c r="Y10102" s="18" t="s">
        <v>17171</v>
      </c>
      <c r="Z10102" s="18" t="s">
        <v>24637</v>
      </c>
      <c r="AA10102" s="21" t="str">
        <f>HYPERLINK("https://www.ncbi.nlm.nih.gov/nuccore/ON164374","NCBI Nucleotide")</f>
        <v>NCBI Nucleotide</v>
      </c>
    </row>
    <row r="10103" spans="1:27" x14ac:dyDescent="0.35">
      <c r="A10103">
        <v>1027547</v>
      </c>
      <c r="B10103">
        <v>9428</v>
      </c>
      <c r="C10103">
        <v>1</v>
      </c>
      <c r="D10103" s="17" t="s">
        <v>17166</v>
      </c>
      <c r="E10103" s="17"/>
      <c r="F10103" s="17" t="s">
        <v>17246</v>
      </c>
      <c r="G10103" s="17"/>
      <c r="H10103" s="17" t="s">
        <v>20919</v>
      </c>
      <c r="I10103" s="17"/>
      <c r="J10103" s="17" t="s">
        <v>21313</v>
      </c>
      <c r="K10103" s="17"/>
      <c r="L10103" s="17" t="s">
        <v>21326</v>
      </c>
      <c r="M10103" s="17"/>
      <c r="N10103" s="17" t="s">
        <v>22304</v>
      </c>
      <c r="O10103" s="17"/>
      <c r="P10103" s="17" t="s">
        <v>44357</v>
      </c>
      <c r="Q10103" s="17"/>
      <c r="R10103" s="25" t="str">
        <f>HYPERLINK("https://ictv.global/taxonomy/taxondetails?taxnode_id=202316823","Wulvevirus geoadaptatum")</f>
        <v>Wulvevirus geoadaptatum</v>
      </c>
      <c r="S10103" s="18" t="s">
        <v>30</v>
      </c>
      <c r="T10103" s="18" t="s">
        <v>44358</v>
      </c>
      <c r="U10103" s="18"/>
      <c r="V10103" s="18"/>
      <c r="W10103" s="18" t="s">
        <v>44359</v>
      </c>
      <c r="X10103" s="18" t="s">
        <v>35</v>
      </c>
      <c r="Y10103" s="18" t="s">
        <v>17171</v>
      </c>
      <c r="Z10103" s="18" t="s">
        <v>24637</v>
      </c>
      <c r="AA10103" s="21" t="str">
        <f>HYPERLINK("https://www.ncbi.nlm.nih.gov/nuccore/CASDWV010000512","NCBI Nucleotide")</f>
        <v>NCBI Nucleotide</v>
      </c>
    </row>
    <row r="10104" spans="1:27" x14ac:dyDescent="0.35">
      <c r="A10104">
        <v>1027549</v>
      </c>
      <c r="B10104">
        <v>9429</v>
      </c>
      <c r="C10104">
        <v>1</v>
      </c>
      <c r="D10104" s="17" t="s">
        <v>17166</v>
      </c>
      <c r="E10104" s="17"/>
      <c r="F10104" s="17" t="s">
        <v>17246</v>
      </c>
      <c r="G10104" s="17"/>
      <c r="H10104" s="17" t="s">
        <v>20919</v>
      </c>
      <c r="I10104" s="17"/>
      <c r="J10104" s="17" t="s">
        <v>21313</v>
      </c>
      <c r="K10104" s="17"/>
      <c r="L10104" s="17" t="s">
        <v>21326</v>
      </c>
      <c r="M10104" s="17"/>
      <c r="N10104" s="17" t="s">
        <v>22304</v>
      </c>
      <c r="O10104" s="17"/>
      <c r="P10104" s="17" t="s">
        <v>44360</v>
      </c>
      <c r="Q10104" s="17"/>
      <c r="R10104" s="25" t="str">
        <f>HYPERLINK("https://ictv.global/taxonomy/taxondetails?taxnode_id=202316824","Wurmloivirus humicola")</f>
        <v>Wurmloivirus humicola</v>
      </c>
      <c r="S10104" s="18" t="s">
        <v>30</v>
      </c>
      <c r="T10104" s="18" t="s">
        <v>44361</v>
      </c>
      <c r="U10104" s="18"/>
      <c r="V10104" s="18"/>
      <c r="W10104" s="18" t="s">
        <v>44362</v>
      </c>
      <c r="X10104" s="18" t="s">
        <v>35</v>
      </c>
      <c r="Y10104" s="18" t="s">
        <v>17171</v>
      </c>
      <c r="Z10104" s="18" t="s">
        <v>24637</v>
      </c>
      <c r="AA10104" s="21" t="str">
        <f>HYPERLINK("https://www.ncbi.nlm.nih.gov/nuccore/CASDWV010001762","NCBI Nucleotide")</f>
        <v>NCBI Nucleotide</v>
      </c>
    </row>
    <row r="10105" spans="1:27" x14ac:dyDescent="0.35">
      <c r="A10105">
        <v>1009780</v>
      </c>
      <c r="B10105">
        <v>9430</v>
      </c>
      <c r="C10105">
        <v>1</v>
      </c>
      <c r="D10105" s="17" t="s">
        <v>17166</v>
      </c>
      <c r="E10105" s="17"/>
      <c r="F10105" s="17" t="s">
        <v>17246</v>
      </c>
      <c r="G10105" s="17"/>
      <c r="H10105" s="17" t="s">
        <v>20919</v>
      </c>
      <c r="I10105" s="17"/>
      <c r="J10105" s="17" t="s">
        <v>21313</v>
      </c>
      <c r="K10105" s="17"/>
      <c r="L10105" s="17" t="s">
        <v>22378</v>
      </c>
      <c r="M10105" s="17"/>
      <c r="N10105" s="17" t="s">
        <v>22379</v>
      </c>
      <c r="O10105" s="17"/>
      <c r="P10105" s="17" t="s">
        <v>22380</v>
      </c>
      <c r="Q10105" s="17"/>
      <c r="R10105" s="25" t="str">
        <f>HYPERLINK("https://ictv.global/taxonomy/taxondetails?taxnode_id=202310914","Alehndavirus ruminicola")</f>
        <v>Alehndavirus ruminicola</v>
      </c>
      <c r="S10105" s="18" t="s">
        <v>30</v>
      </c>
      <c r="T10105" s="18" t="s">
        <v>22381</v>
      </c>
      <c r="U10105" s="18"/>
      <c r="V10105" s="18"/>
      <c r="W10105" s="18" t="s">
        <v>22382</v>
      </c>
      <c r="X10105" s="18" t="s">
        <v>35</v>
      </c>
      <c r="Y10105" s="18" t="s">
        <v>17171</v>
      </c>
      <c r="Z10105" s="18" t="s">
        <v>697</v>
      </c>
      <c r="AA10105" s="21" t="str">
        <f>HYPERLINK("https://www.ncbi.nlm.nih.gov/nuccore/BK013364","NCBI Nucleotide")</f>
        <v>NCBI Nucleotide</v>
      </c>
    </row>
    <row r="10106" spans="1:27" x14ac:dyDescent="0.35">
      <c r="A10106">
        <v>1009781</v>
      </c>
      <c r="B10106">
        <v>9431</v>
      </c>
      <c r="C10106">
        <v>1</v>
      </c>
      <c r="D10106" s="17" t="s">
        <v>17166</v>
      </c>
      <c r="E10106" s="17"/>
      <c r="F10106" s="17" t="s">
        <v>17246</v>
      </c>
      <c r="G10106" s="17"/>
      <c r="H10106" s="17" t="s">
        <v>20919</v>
      </c>
      <c r="I10106" s="17"/>
      <c r="J10106" s="17" t="s">
        <v>21313</v>
      </c>
      <c r="K10106" s="17"/>
      <c r="L10106" s="17" t="s">
        <v>22378</v>
      </c>
      <c r="M10106" s="17"/>
      <c r="N10106" s="17" t="s">
        <v>22379</v>
      </c>
      <c r="O10106" s="17"/>
      <c r="P10106" s="17" t="s">
        <v>22383</v>
      </c>
      <c r="Q10106" s="17"/>
      <c r="R10106" s="25" t="str">
        <f>HYPERLINK("https://ictv.global/taxonomy/taxondetails?taxnode_id=202310916","Bonghivirus borborenecus")</f>
        <v>Bonghivirus borborenecus</v>
      </c>
      <c r="S10106" s="18" t="s">
        <v>30</v>
      </c>
      <c r="T10106" s="18" t="s">
        <v>22384</v>
      </c>
      <c r="U10106" s="18"/>
      <c r="V10106" s="18"/>
      <c r="W10106" s="18" t="s">
        <v>22385</v>
      </c>
      <c r="X10106" s="18" t="s">
        <v>35</v>
      </c>
      <c r="Y10106" s="18" t="s">
        <v>17171</v>
      </c>
      <c r="Z10106" s="18" t="s">
        <v>697</v>
      </c>
      <c r="AA10106" s="21" t="str">
        <f>HYPERLINK("https://www.ncbi.nlm.nih.gov/nuccore/BK014097","NCBI Nucleotide")</f>
        <v>NCBI Nucleotide</v>
      </c>
    </row>
    <row r="10107" spans="1:27" x14ac:dyDescent="0.35">
      <c r="A10107">
        <v>1025936</v>
      </c>
      <c r="B10107">
        <v>9432</v>
      </c>
      <c r="C10107">
        <v>1</v>
      </c>
      <c r="D10107" s="17" t="s">
        <v>17166</v>
      </c>
      <c r="E10107" s="17"/>
      <c r="F10107" s="17" t="s">
        <v>17246</v>
      </c>
      <c r="G10107" s="17"/>
      <c r="H10107" s="17" t="s">
        <v>20919</v>
      </c>
      <c r="I10107" s="17"/>
      <c r="J10107" s="17" t="s">
        <v>21313</v>
      </c>
      <c r="K10107" s="17"/>
      <c r="L10107" s="17" t="s">
        <v>22378</v>
      </c>
      <c r="M10107" s="17"/>
      <c r="N10107" s="17" t="s">
        <v>22379</v>
      </c>
      <c r="O10107" s="17"/>
      <c r="P10107" s="17" t="s">
        <v>44363</v>
      </c>
      <c r="Q10107" s="17"/>
      <c r="R10107" s="25" t="str">
        <f>HYPERLINK("https://ictv.global/taxonomy/taxondetails?taxnode_id=202316825","Brahivirus faecivicinum")</f>
        <v>Brahivirus faecivicinum</v>
      </c>
      <c r="S10107" s="18" t="s">
        <v>30</v>
      </c>
      <c r="T10107" s="18" t="s">
        <v>44364</v>
      </c>
      <c r="U10107" s="18"/>
      <c r="V10107" s="18" t="s">
        <v>44364</v>
      </c>
      <c r="W10107" s="18" t="s">
        <v>44365</v>
      </c>
      <c r="X10107" s="18" t="s">
        <v>35</v>
      </c>
      <c r="Y10107" s="18" t="s">
        <v>17171</v>
      </c>
      <c r="Z10107" s="18" t="s">
        <v>17413</v>
      </c>
      <c r="AA10107" s="21" t="str">
        <f>HYPERLINK("https://www.ncbi.nlm.nih.gov/nuccore/MW826429","NCBI Nucleotide")</f>
        <v>NCBI Nucleotide</v>
      </c>
    </row>
    <row r="10108" spans="1:27" x14ac:dyDescent="0.35">
      <c r="A10108">
        <v>1010227</v>
      </c>
      <c r="B10108">
        <v>9433</v>
      </c>
      <c r="C10108">
        <v>1</v>
      </c>
      <c r="D10108" s="17" t="s">
        <v>17166</v>
      </c>
      <c r="E10108" s="17"/>
      <c r="F10108" s="17" t="s">
        <v>17246</v>
      </c>
      <c r="G10108" s="17"/>
      <c r="H10108" s="17" t="s">
        <v>20919</v>
      </c>
      <c r="I10108" s="17"/>
      <c r="J10108" s="17" t="s">
        <v>21313</v>
      </c>
      <c r="K10108" s="17"/>
      <c r="L10108" s="17" t="s">
        <v>22378</v>
      </c>
      <c r="M10108" s="17"/>
      <c r="N10108" s="17" t="s">
        <v>22379</v>
      </c>
      <c r="O10108" s="17"/>
      <c r="P10108" s="17" t="s">
        <v>21314</v>
      </c>
      <c r="Q10108" s="17"/>
      <c r="R10108" s="25" t="str">
        <f>HYPERLINK("https://ictv.global/taxonomy/taxondetails?taxnode_id=202311510","Chimpavirus luticola")</f>
        <v>Chimpavirus luticola</v>
      </c>
      <c r="S10108" s="18" t="s">
        <v>30</v>
      </c>
      <c r="T10108" s="18" t="s">
        <v>21315</v>
      </c>
      <c r="U10108" s="18"/>
      <c r="V10108" s="18"/>
      <c r="W10108" s="18" t="s">
        <v>21316</v>
      </c>
      <c r="X10108" s="18" t="s">
        <v>35</v>
      </c>
      <c r="Y10108" s="18" t="s">
        <v>17171</v>
      </c>
      <c r="Z10108" s="18" t="s">
        <v>697</v>
      </c>
      <c r="AA10108" s="21" t="str">
        <f>HYPERLINK("https://www.ncbi.nlm.nih.gov/nuccore/BK013715","NCBI Nucleotide")</f>
        <v>NCBI Nucleotide</v>
      </c>
    </row>
    <row r="10109" spans="1:27" x14ac:dyDescent="0.35">
      <c r="A10109">
        <v>1009783</v>
      </c>
      <c r="B10109">
        <v>9434</v>
      </c>
      <c r="C10109">
        <v>1</v>
      </c>
      <c r="D10109" s="17" t="s">
        <v>17166</v>
      </c>
      <c r="E10109" s="17"/>
      <c r="F10109" s="17" t="s">
        <v>17246</v>
      </c>
      <c r="G10109" s="17"/>
      <c r="H10109" s="17" t="s">
        <v>20919</v>
      </c>
      <c r="I10109" s="17"/>
      <c r="J10109" s="17" t="s">
        <v>21313</v>
      </c>
      <c r="K10109" s="17"/>
      <c r="L10109" s="17" t="s">
        <v>22378</v>
      </c>
      <c r="M10109" s="17"/>
      <c r="N10109" s="17" t="s">
        <v>22379</v>
      </c>
      <c r="O10109" s="17"/>
      <c r="P10109" s="17" t="s">
        <v>22386</v>
      </c>
      <c r="Q10109" s="17"/>
      <c r="R10109" s="25" t="str">
        <f>HYPERLINK("https://ictv.global/taxonomy/taxondetails?taxnode_id=202310920","Dahmuivirus pelovivens")</f>
        <v>Dahmuivirus pelovivens</v>
      </c>
      <c r="S10109" s="18" t="s">
        <v>30</v>
      </c>
      <c r="T10109" s="18" t="s">
        <v>22387</v>
      </c>
      <c r="U10109" s="18"/>
      <c r="V10109" s="18"/>
      <c r="W10109" s="18" t="s">
        <v>22388</v>
      </c>
      <c r="X10109" s="18" t="s">
        <v>35</v>
      </c>
      <c r="Y10109" s="18" t="s">
        <v>17171</v>
      </c>
      <c r="Z10109" s="18" t="s">
        <v>697</v>
      </c>
      <c r="AA10109" s="21" t="str">
        <f>HYPERLINK("https://www.ncbi.nlm.nih.gov/nuccore/BK013717","NCBI Nucleotide")</f>
        <v>NCBI Nucleotide</v>
      </c>
    </row>
    <row r="10110" spans="1:27" x14ac:dyDescent="0.35">
      <c r="A10110">
        <v>1009784</v>
      </c>
      <c r="B10110">
        <v>9435</v>
      </c>
      <c r="C10110">
        <v>1</v>
      </c>
      <c r="D10110" s="17" t="s">
        <v>17166</v>
      </c>
      <c r="E10110" s="17"/>
      <c r="F10110" s="17" t="s">
        <v>17246</v>
      </c>
      <c r="G10110" s="17"/>
      <c r="H10110" s="17" t="s">
        <v>20919</v>
      </c>
      <c r="I10110" s="17"/>
      <c r="J10110" s="17" t="s">
        <v>21313</v>
      </c>
      <c r="K10110" s="17"/>
      <c r="L10110" s="17" t="s">
        <v>22378</v>
      </c>
      <c r="M10110" s="17"/>
      <c r="N10110" s="17" t="s">
        <v>22379</v>
      </c>
      <c r="O10110" s="17"/>
      <c r="P10110" s="17" t="s">
        <v>22389</v>
      </c>
      <c r="Q10110" s="17"/>
      <c r="R10110" s="25" t="str">
        <f>HYPERLINK("https://ictv.global/taxonomy/taxondetails?taxnode_id=202310922","Dehgumevirus asiovivens")</f>
        <v>Dehgumevirus asiovivens</v>
      </c>
      <c r="S10110" s="18" t="s">
        <v>30</v>
      </c>
      <c r="T10110" s="18" t="s">
        <v>22390</v>
      </c>
      <c r="U10110" s="18"/>
      <c r="V10110" s="18"/>
      <c r="W10110" s="18" t="s">
        <v>22391</v>
      </c>
      <c r="X10110" s="18" t="s">
        <v>35</v>
      </c>
      <c r="Y10110" s="18" t="s">
        <v>17171</v>
      </c>
      <c r="Z10110" s="18" t="s">
        <v>697</v>
      </c>
      <c r="AA10110" s="21" t="str">
        <f>HYPERLINK("https://www.ncbi.nlm.nih.gov/nuccore/BK014052","NCBI Nucleotide")</f>
        <v>NCBI Nucleotide</v>
      </c>
    </row>
    <row r="10111" spans="1:27" x14ac:dyDescent="0.35">
      <c r="A10111">
        <v>1009785</v>
      </c>
      <c r="B10111">
        <v>9436</v>
      </c>
      <c r="C10111">
        <v>1</v>
      </c>
      <c r="D10111" s="17" t="s">
        <v>17166</v>
      </c>
      <c r="E10111" s="17"/>
      <c r="F10111" s="17" t="s">
        <v>17246</v>
      </c>
      <c r="G10111" s="17"/>
      <c r="H10111" s="17" t="s">
        <v>20919</v>
      </c>
      <c r="I10111" s="17"/>
      <c r="J10111" s="17" t="s">
        <v>21313</v>
      </c>
      <c r="K10111" s="17"/>
      <c r="L10111" s="17" t="s">
        <v>22378</v>
      </c>
      <c r="M10111" s="17"/>
      <c r="N10111" s="17" t="s">
        <v>22379</v>
      </c>
      <c r="O10111" s="17"/>
      <c r="P10111" s="17" t="s">
        <v>22392</v>
      </c>
      <c r="Q10111" s="17"/>
      <c r="R10111" s="25" t="str">
        <f>HYPERLINK("https://ictv.global/taxonomy/taxondetails?taxnode_id=202310924","Dehkhevirus borboradaptatum")</f>
        <v>Dehkhevirus borboradaptatum</v>
      </c>
      <c r="S10111" s="18" t="s">
        <v>30</v>
      </c>
      <c r="T10111" s="18" t="s">
        <v>22393</v>
      </c>
      <c r="U10111" s="18"/>
      <c r="V10111" s="18"/>
      <c r="W10111" s="18" t="s">
        <v>22394</v>
      </c>
      <c r="X10111" s="18" t="s">
        <v>35</v>
      </c>
      <c r="Y10111" s="18" t="s">
        <v>17171</v>
      </c>
      <c r="Z10111" s="18" t="s">
        <v>697</v>
      </c>
      <c r="AA10111" s="21" t="str">
        <f>HYPERLINK("https://www.ncbi.nlm.nih.gov/nuccore/BK013638","NCBI Nucleotide")</f>
        <v>NCBI Nucleotide</v>
      </c>
    </row>
    <row r="10112" spans="1:27" x14ac:dyDescent="0.35">
      <c r="A10112">
        <v>1009786</v>
      </c>
      <c r="B10112">
        <v>9437</v>
      </c>
      <c r="C10112">
        <v>1</v>
      </c>
      <c r="D10112" s="17" t="s">
        <v>17166</v>
      </c>
      <c r="E10112" s="17"/>
      <c r="F10112" s="17" t="s">
        <v>17246</v>
      </c>
      <c r="G10112" s="17"/>
      <c r="H10112" s="17" t="s">
        <v>20919</v>
      </c>
      <c r="I10112" s="17"/>
      <c r="J10112" s="17" t="s">
        <v>21313</v>
      </c>
      <c r="K10112" s="17"/>
      <c r="L10112" s="17" t="s">
        <v>22378</v>
      </c>
      <c r="M10112" s="17"/>
      <c r="N10112" s="17" t="s">
        <v>22379</v>
      </c>
      <c r="O10112" s="17"/>
      <c r="P10112" s="17" t="s">
        <v>22395</v>
      </c>
      <c r="Q10112" s="17"/>
      <c r="R10112" s="25" t="str">
        <f>HYPERLINK("https://ictv.global/taxonomy/taxondetails?taxnode_id=202310926","Espurtavirus simiicola")</f>
        <v>Espurtavirus simiicola</v>
      </c>
      <c r="S10112" s="18" t="s">
        <v>30</v>
      </c>
      <c r="T10112" s="18" t="s">
        <v>22396</v>
      </c>
      <c r="U10112" s="18"/>
      <c r="V10112" s="18"/>
      <c r="W10112" s="18" t="s">
        <v>22397</v>
      </c>
      <c r="X10112" s="18" t="s">
        <v>35</v>
      </c>
      <c r="Y10112" s="18" t="s">
        <v>17171</v>
      </c>
      <c r="Z10112" s="18" t="s">
        <v>697</v>
      </c>
      <c r="AA10112" s="21" t="str">
        <f>HYPERLINK("https://www.ncbi.nlm.nih.gov/nuccore/KT462698","NCBI Nucleotide")</f>
        <v>NCBI Nucleotide</v>
      </c>
    </row>
    <row r="10113" spans="1:27" x14ac:dyDescent="0.35">
      <c r="A10113">
        <v>1009787</v>
      </c>
      <c r="B10113">
        <v>9438</v>
      </c>
      <c r="C10113">
        <v>1</v>
      </c>
      <c r="D10113" s="17" t="s">
        <v>17166</v>
      </c>
      <c r="E10113" s="17"/>
      <c r="F10113" s="17" t="s">
        <v>17246</v>
      </c>
      <c r="G10113" s="17"/>
      <c r="H10113" s="17" t="s">
        <v>20919</v>
      </c>
      <c r="I10113" s="17"/>
      <c r="J10113" s="17" t="s">
        <v>21313</v>
      </c>
      <c r="K10113" s="17"/>
      <c r="L10113" s="17" t="s">
        <v>22378</v>
      </c>
      <c r="M10113" s="17"/>
      <c r="N10113" s="17" t="s">
        <v>22379</v>
      </c>
      <c r="O10113" s="17"/>
      <c r="P10113" s="17" t="s">
        <v>22398</v>
      </c>
      <c r="Q10113" s="17"/>
      <c r="R10113" s="25" t="str">
        <f>HYPERLINK("https://ictv.global/taxonomy/taxondetails?taxnode_id=202310928","Gifriavirus ruminicola")</f>
        <v>Gifriavirus ruminicola</v>
      </c>
      <c r="S10113" s="18" t="s">
        <v>30</v>
      </c>
      <c r="T10113" s="18" t="s">
        <v>22399</v>
      </c>
      <c r="U10113" s="18"/>
      <c r="V10113" s="18"/>
      <c r="W10113" s="18" t="s">
        <v>22400</v>
      </c>
      <c r="X10113" s="18" t="s">
        <v>35</v>
      </c>
      <c r="Y10113" s="18" t="s">
        <v>17171</v>
      </c>
      <c r="Z10113" s="18" t="s">
        <v>697</v>
      </c>
      <c r="AA10113" s="21" t="str">
        <f>HYPERLINK("https://www.ncbi.nlm.nih.gov/nuccore/BK013362","NCBI Nucleotide")</f>
        <v>NCBI Nucleotide</v>
      </c>
    </row>
    <row r="10114" spans="1:27" x14ac:dyDescent="0.35">
      <c r="A10114">
        <v>1009788</v>
      </c>
      <c r="B10114">
        <v>9439</v>
      </c>
      <c r="C10114">
        <v>1</v>
      </c>
      <c r="D10114" s="17" t="s">
        <v>17166</v>
      </c>
      <c r="E10114" s="17"/>
      <c r="F10114" s="17" t="s">
        <v>17246</v>
      </c>
      <c r="G10114" s="17"/>
      <c r="H10114" s="17" t="s">
        <v>20919</v>
      </c>
      <c r="I10114" s="17"/>
      <c r="J10114" s="17" t="s">
        <v>21313</v>
      </c>
      <c r="K10114" s="17"/>
      <c r="L10114" s="17" t="s">
        <v>22378</v>
      </c>
      <c r="M10114" s="17"/>
      <c r="N10114" s="17" t="s">
        <v>22379</v>
      </c>
      <c r="O10114" s="17"/>
      <c r="P10114" s="17" t="s">
        <v>22401</v>
      </c>
      <c r="Q10114" s="17"/>
      <c r="R10114" s="25" t="str">
        <f>HYPERLINK("https://ictv.global/taxonomy/taxondetails?taxnode_id=202310930","Hehrovirus borborohabitans")</f>
        <v>Hehrovirus borborohabitans</v>
      </c>
      <c r="S10114" s="18" t="s">
        <v>30</v>
      </c>
      <c r="T10114" s="18" t="s">
        <v>22402</v>
      </c>
      <c r="U10114" s="18"/>
      <c r="V10114" s="18"/>
      <c r="W10114" s="18" t="s">
        <v>22403</v>
      </c>
      <c r="X10114" s="18" t="s">
        <v>35</v>
      </c>
      <c r="Y10114" s="18" t="s">
        <v>17171</v>
      </c>
      <c r="Z10114" s="18" t="s">
        <v>697</v>
      </c>
      <c r="AA10114" s="21" t="str">
        <f>HYPERLINK("https://www.ncbi.nlm.nih.gov/nuccore/BK013575","NCBI Nucleotide")</f>
        <v>NCBI Nucleotide</v>
      </c>
    </row>
    <row r="10115" spans="1:27" x14ac:dyDescent="0.35">
      <c r="A10115">
        <v>1026845</v>
      </c>
      <c r="B10115">
        <v>9440</v>
      </c>
      <c r="C10115">
        <v>1</v>
      </c>
      <c r="D10115" s="17" t="s">
        <v>17166</v>
      </c>
      <c r="E10115" s="17"/>
      <c r="F10115" s="17" t="s">
        <v>17246</v>
      </c>
      <c r="G10115" s="17"/>
      <c r="H10115" s="17" t="s">
        <v>20919</v>
      </c>
      <c r="I10115" s="17"/>
      <c r="J10115" s="17" t="s">
        <v>21313</v>
      </c>
      <c r="K10115" s="17"/>
      <c r="L10115" s="17" t="s">
        <v>22378</v>
      </c>
      <c r="M10115" s="17"/>
      <c r="N10115" s="17" t="s">
        <v>22379</v>
      </c>
      <c r="O10115" s="17"/>
      <c r="P10115" s="17" t="s">
        <v>44366</v>
      </c>
      <c r="Q10115" s="17"/>
      <c r="R10115" s="25" t="str">
        <f>HYPERLINK("https://ictv.global/taxonomy/taxondetails?taxnode_id=202316826","Hisehlovirus faecicola")</f>
        <v>Hisehlovirus faecicola</v>
      </c>
      <c r="S10115" s="18" t="s">
        <v>30</v>
      </c>
      <c r="T10115" s="18" t="s">
        <v>44367</v>
      </c>
      <c r="U10115" s="18"/>
      <c r="V10115" s="18" t="s">
        <v>44367</v>
      </c>
      <c r="W10115" s="18" t="s">
        <v>44368</v>
      </c>
      <c r="X10115" s="18" t="s">
        <v>35</v>
      </c>
      <c r="Y10115" s="18" t="s">
        <v>17171</v>
      </c>
      <c r="Z10115" s="18" t="s">
        <v>17413</v>
      </c>
      <c r="AA10115" s="21" t="str">
        <f>HYPERLINK("https://www.ncbi.nlm.nih.gov/nuccore/MZ679550","NCBI Nucleotide")</f>
        <v>NCBI Nucleotide</v>
      </c>
    </row>
    <row r="10116" spans="1:27" x14ac:dyDescent="0.35">
      <c r="A10116">
        <v>1009789</v>
      </c>
      <c r="B10116">
        <v>9441</v>
      </c>
      <c r="C10116">
        <v>1</v>
      </c>
      <c r="D10116" s="17" t="s">
        <v>17166</v>
      </c>
      <c r="E10116" s="17"/>
      <c r="F10116" s="17" t="s">
        <v>17246</v>
      </c>
      <c r="G10116" s="17"/>
      <c r="H10116" s="17" t="s">
        <v>20919</v>
      </c>
      <c r="I10116" s="17"/>
      <c r="J10116" s="17" t="s">
        <v>21313</v>
      </c>
      <c r="K10116" s="17"/>
      <c r="L10116" s="17" t="s">
        <v>22378</v>
      </c>
      <c r="M10116" s="17"/>
      <c r="N10116" s="17" t="s">
        <v>22379</v>
      </c>
      <c r="O10116" s="17"/>
      <c r="P10116" s="17" t="s">
        <v>22404</v>
      </c>
      <c r="Q10116" s="17"/>
      <c r="R10116" s="25" t="str">
        <f>HYPERLINK("https://ictv.global/taxonomy/taxondetails?taxnode_id=202310932","Ivolevirus faecicola")</f>
        <v>Ivolevirus faecicola</v>
      </c>
      <c r="S10116" s="18" t="s">
        <v>30</v>
      </c>
      <c r="T10116" s="18" t="s">
        <v>22405</v>
      </c>
      <c r="U10116" s="18"/>
      <c r="V10116" s="18"/>
      <c r="W10116" s="18" t="s">
        <v>22406</v>
      </c>
      <c r="X10116" s="18" t="s">
        <v>35</v>
      </c>
      <c r="Y10116" s="18" t="s">
        <v>17171</v>
      </c>
      <c r="Z10116" s="18" t="s">
        <v>697</v>
      </c>
      <c r="AA10116" s="21" t="str">
        <f>HYPERLINK("https://www.ncbi.nlm.nih.gov/nuccore/BK013360","NCBI Nucleotide")</f>
        <v>NCBI Nucleotide</v>
      </c>
    </row>
    <row r="10117" spans="1:27" x14ac:dyDescent="0.35">
      <c r="A10117">
        <v>1009790</v>
      </c>
      <c r="B10117">
        <v>9442</v>
      </c>
      <c r="C10117">
        <v>1</v>
      </c>
      <c r="D10117" s="17" t="s">
        <v>17166</v>
      </c>
      <c r="E10117" s="17"/>
      <c r="F10117" s="17" t="s">
        <v>17246</v>
      </c>
      <c r="G10117" s="17"/>
      <c r="H10117" s="17" t="s">
        <v>20919</v>
      </c>
      <c r="I10117" s="17"/>
      <c r="J10117" s="17" t="s">
        <v>21313</v>
      </c>
      <c r="K10117" s="17"/>
      <c r="L10117" s="17" t="s">
        <v>22378</v>
      </c>
      <c r="M10117" s="17"/>
      <c r="N10117" s="17" t="s">
        <v>22379</v>
      </c>
      <c r="O10117" s="17"/>
      <c r="P10117" s="17" t="s">
        <v>22407</v>
      </c>
      <c r="Q10117" s="17"/>
      <c r="R10117" s="25" t="str">
        <f>HYPERLINK("https://ictv.global/taxonomy/taxondetails?taxnode_id=202310934","Kahnayevirus asiovivens")</f>
        <v>Kahnayevirus asiovivens</v>
      </c>
      <c r="S10117" s="18" t="s">
        <v>30</v>
      </c>
      <c r="T10117" s="18" t="s">
        <v>22408</v>
      </c>
      <c r="U10117" s="18"/>
      <c r="V10117" s="18"/>
      <c r="W10117" s="18" t="s">
        <v>22409</v>
      </c>
      <c r="X10117" s="18" t="s">
        <v>35</v>
      </c>
      <c r="Y10117" s="18" t="s">
        <v>17171</v>
      </c>
      <c r="Z10117" s="18" t="s">
        <v>697</v>
      </c>
      <c r="AA10117" s="21" t="str">
        <f>HYPERLINK("https://www.ncbi.nlm.nih.gov/nuccore/BK013741","NCBI Nucleotide")</f>
        <v>NCBI Nucleotide</v>
      </c>
    </row>
    <row r="10118" spans="1:27" x14ac:dyDescent="0.35">
      <c r="A10118">
        <v>1009791</v>
      </c>
      <c r="B10118">
        <v>9443</v>
      </c>
      <c r="C10118">
        <v>1</v>
      </c>
      <c r="D10118" s="17" t="s">
        <v>17166</v>
      </c>
      <c r="E10118" s="17"/>
      <c r="F10118" s="17" t="s">
        <v>17246</v>
      </c>
      <c r="G10118" s="17"/>
      <c r="H10118" s="17" t="s">
        <v>20919</v>
      </c>
      <c r="I10118" s="17"/>
      <c r="J10118" s="17" t="s">
        <v>21313</v>
      </c>
      <c r="K10118" s="17"/>
      <c r="L10118" s="17" t="s">
        <v>22378</v>
      </c>
      <c r="M10118" s="17"/>
      <c r="N10118" s="17" t="s">
        <v>22379</v>
      </c>
      <c r="O10118" s="17"/>
      <c r="P10118" s="17" t="s">
        <v>22410</v>
      </c>
      <c r="Q10118" s="17"/>
      <c r="R10118" s="25" t="str">
        <f>HYPERLINK("https://ictv.global/taxonomy/taxondetails?taxnode_id=202310936","Kahraivirus borboradaptatum")</f>
        <v>Kahraivirus borboradaptatum</v>
      </c>
      <c r="S10118" s="18" t="s">
        <v>30</v>
      </c>
      <c r="T10118" s="18" t="s">
        <v>22411</v>
      </c>
      <c r="U10118" s="18"/>
      <c r="V10118" s="18"/>
      <c r="W10118" s="18" t="s">
        <v>22412</v>
      </c>
      <c r="X10118" s="18" t="s">
        <v>35</v>
      </c>
      <c r="Y10118" s="18" t="s">
        <v>17171</v>
      </c>
      <c r="Z10118" s="18" t="s">
        <v>697</v>
      </c>
      <c r="AA10118" s="21" t="str">
        <f>HYPERLINK("https://www.ncbi.nlm.nih.gov/nuccore/BK014053","NCBI Nucleotide")</f>
        <v>NCBI Nucleotide</v>
      </c>
    </row>
    <row r="10119" spans="1:27" x14ac:dyDescent="0.35">
      <c r="A10119">
        <v>1009792</v>
      </c>
      <c r="B10119">
        <v>9444</v>
      </c>
      <c r="C10119">
        <v>1</v>
      </c>
      <c r="D10119" s="17" t="s">
        <v>17166</v>
      </c>
      <c r="E10119" s="17"/>
      <c r="F10119" s="17" t="s">
        <v>17246</v>
      </c>
      <c r="G10119" s="17"/>
      <c r="H10119" s="17" t="s">
        <v>20919</v>
      </c>
      <c r="I10119" s="17"/>
      <c r="J10119" s="17" t="s">
        <v>21313</v>
      </c>
      <c r="K10119" s="17"/>
      <c r="L10119" s="17" t="s">
        <v>22378</v>
      </c>
      <c r="M10119" s="17"/>
      <c r="N10119" s="17" t="s">
        <v>22379</v>
      </c>
      <c r="O10119" s="17"/>
      <c r="P10119" s="17" t="s">
        <v>22413</v>
      </c>
      <c r="Q10119" s="17"/>
      <c r="R10119" s="25" t="str">
        <f>HYPERLINK("https://ictv.global/taxonomy/taxondetails?taxnode_id=202310938","Kemiovirus caenivicinum")</f>
        <v>Kemiovirus caenivicinum</v>
      </c>
      <c r="S10119" s="18" t="s">
        <v>30</v>
      </c>
      <c r="T10119" s="18" t="s">
        <v>22414</v>
      </c>
      <c r="U10119" s="18"/>
      <c r="V10119" s="18"/>
      <c r="W10119" s="18" t="s">
        <v>22415</v>
      </c>
      <c r="X10119" s="18" t="s">
        <v>35</v>
      </c>
      <c r="Y10119" s="18" t="s">
        <v>17171</v>
      </c>
      <c r="Z10119" s="18" t="s">
        <v>697</v>
      </c>
      <c r="AA10119" s="21" t="str">
        <f>HYPERLINK("https://www.ncbi.nlm.nih.gov/nuccore/BK014059","NCBI Nucleotide")</f>
        <v>NCBI Nucleotide</v>
      </c>
    </row>
    <row r="10120" spans="1:27" x14ac:dyDescent="0.35">
      <c r="A10120">
        <v>1009793</v>
      </c>
      <c r="B10120">
        <v>9445</v>
      </c>
      <c r="C10120">
        <v>1</v>
      </c>
      <c r="D10120" s="17" t="s">
        <v>17166</v>
      </c>
      <c r="E10120" s="17"/>
      <c r="F10120" s="17" t="s">
        <v>17246</v>
      </c>
      <c r="G10120" s="17"/>
      <c r="H10120" s="17" t="s">
        <v>20919</v>
      </c>
      <c r="I10120" s="17"/>
      <c r="J10120" s="17" t="s">
        <v>21313</v>
      </c>
      <c r="K10120" s="17"/>
      <c r="L10120" s="17" t="s">
        <v>22378</v>
      </c>
      <c r="M10120" s="17"/>
      <c r="N10120" s="17" t="s">
        <v>22379</v>
      </c>
      <c r="O10120" s="17"/>
      <c r="P10120" s="17" t="s">
        <v>22416</v>
      </c>
      <c r="Q10120" s="17"/>
      <c r="R10120" s="25" t="str">
        <f>HYPERLINK("https://ictv.global/taxonomy/taxondetails?taxnode_id=202310940","Kerishovirus limenecus")</f>
        <v>Kerishovirus limenecus</v>
      </c>
      <c r="S10120" s="18" t="s">
        <v>30</v>
      </c>
      <c r="T10120" s="18" t="s">
        <v>22417</v>
      </c>
      <c r="U10120" s="18"/>
      <c r="V10120" s="18"/>
      <c r="W10120" s="18" t="s">
        <v>22418</v>
      </c>
      <c r="X10120" s="18" t="s">
        <v>35</v>
      </c>
      <c r="Y10120" s="18" t="s">
        <v>17171</v>
      </c>
      <c r="Z10120" s="18" t="s">
        <v>697</v>
      </c>
      <c r="AA10120" s="21" t="str">
        <f>HYPERLINK("https://www.ncbi.nlm.nih.gov/nuccore/BK013742","NCBI Nucleotide")</f>
        <v>NCBI Nucleotide</v>
      </c>
    </row>
    <row r="10121" spans="1:27" x14ac:dyDescent="0.35">
      <c r="A10121">
        <v>1009794</v>
      </c>
      <c r="B10121">
        <v>9446</v>
      </c>
      <c r="C10121">
        <v>1</v>
      </c>
      <c r="D10121" s="17" t="s">
        <v>17166</v>
      </c>
      <c r="E10121" s="17"/>
      <c r="F10121" s="17" t="s">
        <v>17246</v>
      </c>
      <c r="G10121" s="17"/>
      <c r="H10121" s="17" t="s">
        <v>20919</v>
      </c>
      <c r="I10121" s="17"/>
      <c r="J10121" s="17" t="s">
        <v>21313</v>
      </c>
      <c r="K10121" s="17"/>
      <c r="L10121" s="17" t="s">
        <v>22378</v>
      </c>
      <c r="M10121" s="17"/>
      <c r="N10121" s="17" t="s">
        <v>22379</v>
      </c>
      <c r="O10121" s="17"/>
      <c r="P10121" s="17" t="s">
        <v>22419</v>
      </c>
      <c r="Q10121" s="17"/>
      <c r="R10121" s="25" t="str">
        <f>HYPERLINK("https://ictv.global/taxonomy/taxondetails?taxnode_id=202310942","Konmavirus lutivicinum")</f>
        <v>Konmavirus lutivicinum</v>
      </c>
      <c r="S10121" s="18" t="s">
        <v>30</v>
      </c>
      <c r="T10121" s="18" t="s">
        <v>22420</v>
      </c>
      <c r="U10121" s="18"/>
      <c r="V10121" s="18"/>
      <c r="W10121" s="18" t="s">
        <v>22421</v>
      </c>
      <c r="X10121" s="18" t="s">
        <v>35</v>
      </c>
      <c r="Y10121" s="18" t="s">
        <v>17171</v>
      </c>
      <c r="Z10121" s="18" t="s">
        <v>697</v>
      </c>
      <c r="AA10121" s="21" t="str">
        <f>HYPERLINK("https://www.ncbi.nlm.nih.gov/nuccore/BK013657","NCBI Nucleotide")</f>
        <v>NCBI Nucleotide</v>
      </c>
    </row>
    <row r="10122" spans="1:27" x14ac:dyDescent="0.35">
      <c r="A10122">
        <v>1009795</v>
      </c>
      <c r="B10122">
        <v>9447</v>
      </c>
      <c r="C10122">
        <v>1</v>
      </c>
      <c r="D10122" s="17" t="s">
        <v>17166</v>
      </c>
      <c r="E10122" s="17"/>
      <c r="F10122" s="17" t="s">
        <v>17246</v>
      </c>
      <c r="G10122" s="17"/>
      <c r="H10122" s="17" t="s">
        <v>20919</v>
      </c>
      <c r="I10122" s="17"/>
      <c r="J10122" s="17" t="s">
        <v>21313</v>
      </c>
      <c r="K10122" s="17"/>
      <c r="L10122" s="17" t="s">
        <v>22378</v>
      </c>
      <c r="M10122" s="17"/>
      <c r="N10122" s="17" t="s">
        <v>22379</v>
      </c>
      <c r="O10122" s="17"/>
      <c r="P10122" s="17" t="s">
        <v>22419</v>
      </c>
      <c r="Q10122" s="17"/>
      <c r="R10122" s="25" t="str">
        <f>HYPERLINK("https://ictv.global/taxonomy/taxondetails?taxnode_id=202310943","Konmavirus lutivivens")</f>
        <v>Konmavirus lutivivens</v>
      </c>
      <c r="S10122" s="18" t="s">
        <v>30</v>
      </c>
      <c r="T10122" s="18" t="s">
        <v>22422</v>
      </c>
      <c r="U10122" s="18"/>
      <c r="V10122" s="18"/>
      <c r="W10122" s="18" t="s">
        <v>22423</v>
      </c>
      <c r="X10122" s="18" t="s">
        <v>35</v>
      </c>
      <c r="Y10122" s="18" t="s">
        <v>17171</v>
      </c>
      <c r="Z10122" s="18" t="s">
        <v>697</v>
      </c>
      <c r="AA10122" s="21" t="str">
        <f>HYPERLINK("https://www.ncbi.nlm.nih.gov/nuccore/BK013675","NCBI Nucleotide")</f>
        <v>NCBI Nucleotide</v>
      </c>
    </row>
    <row r="10123" spans="1:27" x14ac:dyDescent="0.35">
      <c r="A10123">
        <v>1009796</v>
      </c>
      <c r="B10123">
        <v>9448</v>
      </c>
      <c r="C10123">
        <v>1</v>
      </c>
      <c r="D10123" s="17" t="s">
        <v>17166</v>
      </c>
      <c r="E10123" s="17"/>
      <c r="F10123" s="17" t="s">
        <v>17246</v>
      </c>
      <c r="G10123" s="17"/>
      <c r="H10123" s="17" t="s">
        <v>20919</v>
      </c>
      <c r="I10123" s="17"/>
      <c r="J10123" s="17" t="s">
        <v>21313</v>
      </c>
      <c r="K10123" s="17"/>
      <c r="L10123" s="17" t="s">
        <v>22378</v>
      </c>
      <c r="M10123" s="17"/>
      <c r="N10123" s="17" t="s">
        <v>22379</v>
      </c>
      <c r="O10123" s="17"/>
      <c r="P10123" s="17" t="s">
        <v>22419</v>
      </c>
      <c r="Q10123" s="17"/>
      <c r="R10123" s="25" t="str">
        <f>HYPERLINK("https://ictv.global/taxonomy/taxondetails?taxnode_id=202310944","Konmavirus peladaptatum")</f>
        <v>Konmavirus peladaptatum</v>
      </c>
      <c r="S10123" s="18" t="s">
        <v>30</v>
      </c>
      <c r="T10123" s="18" t="s">
        <v>22424</v>
      </c>
      <c r="U10123" s="18"/>
      <c r="V10123" s="18"/>
      <c r="W10123" s="18" t="s">
        <v>22425</v>
      </c>
      <c r="X10123" s="18" t="s">
        <v>35</v>
      </c>
      <c r="Y10123" s="18" t="s">
        <v>17171</v>
      </c>
      <c r="Z10123" s="18" t="s">
        <v>697</v>
      </c>
      <c r="AA10123" s="21" t="str">
        <f>HYPERLINK("https://www.ncbi.nlm.nih.gov/nuccore/BK013730","NCBI Nucleotide")</f>
        <v>NCBI Nucleotide</v>
      </c>
    </row>
    <row r="10124" spans="1:27" x14ac:dyDescent="0.35">
      <c r="A10124">
        <v>1009797</v>
      </c>
      <c r="B10124">
        <v>9449</v>
      </c>
      <c r="C10124">
        <v>1</v>
      </c>
      <c r="D10124" s="17" t="s">
        <v>17166</v>
      </c>
      <c r="E10124" s="17"/>
      <c r="F10124" s="17" t="s">
        <v>17246</v>
      </c>
      <c r="G10124" s="17"/>
      <c r="H10124" s="17" t="s">
        <v>20919</v>
      </c>
      <c r="I10124" s="17"/>
      <c r="J10124" s="17" t="s">
        <v>21313</v>
      </c>
      <c r="K10124" s="17"/>
      <c r="L10124" s="17" t="s">
        <v>22378</v>
      </c>
      <c r="M10124" s="17"/>
      <c r="N10124" s="17" t="s">
        <v>22379</v>
      </c>
      <c r="O10124" s="17"/>
      <c r="P10124" s="17" t="s">
        <v>22426</v>
      </c>
      <c r="Q10124" s="17"/>
      <c r="R10124" s="25" t="str">
        <f>HYPERLINK("https://ictv.global/taxonomy/taxondetails?taxnode_id=202310946","Lirnavirus borborovicinum")</f>
        <v>Lirnavirus borborovicinum</v>
      </c>
      <c r="S10124" s="18" t="s">
        <v>30</v>
      </c>
      <c r="T10124" s="18" t="s">
        <v>22427</v>
      </c>
      <c r="U10124" s="18"/>
      <c r="V10124" s="18"/>
      <c r="W10124" s="18" t="s">
        <v>22428</v>
      </c>
      <c r="X10124" s="18" t="s">
        <v>35</v>
      </c>
      <c r="Y10124" s="18" t="s">
        <v>17171</v>
      </c>
      <c r="Z10124" s="18" t="s">
        <v>697</v>
      </c>
      <c r="AA10124" s="21" t="str">
        <f>HYPERLINK("https://www.ncbi.nlm.nih.gov/nuccore/BK014162","NCBI Nucleotide")</f>
        <v>NCBI Nucleotide</v>
      </c>
    </row>
    <row r="10125" spans="1:27" x14ac:dyDescent="0.35">
      <c r="A10125">
        <v>1009799</v>
      </c>
      <c r="B10125">
        <v>9450</v>
      </c>
      <c r="C10125">
        <v>1</v>
      </c>
      <c r="D10125" s="17" t="s">
        <v>17166</v>
      </c>
      <c r="E10125" s="17"/>
      <c r="F10125" s="17" t="s">
        <v>17246</v>
      </c>
      <c r="G10125" s="17"/>
      <c r="H10125" s="17" t="s">
        <v>20919</v>
      </c>
      <c r="I10125" s="17"/>
      <c r="J10125" s="17" t="s">
        <v>21313</v>
      </c>
      <c r="K10125" s="17"/>
      <c r="L10125" s="17" t="s">
        <v>22378</v>
      </c>
      <c r="M10125" s="17"/>
      <c r="N10125" s="17" t="s">
        <v>22379</v>
      </c>
      <c r="O10125" s="17"/>
      <c r="P10125" s="17" t="s">
        <v>22429</v>
      </c>
      <c r="Q10125" s="17"/>
      <c r="R10125" s="25" t="str">
        <f>HYPERLINK("https://ictv.global/taxonomy/taxondetails?taxnode_id=202310950","Marskhivirus piscicola")</f>
        <v>Marskhivirus piscicola</v>
      </c>
      <c r="S10125" s="18" t="s">
        <v>30</v>
      </c>
      <c r="T10125" s="18" t="s">
        <v>22430</v>
      </c>
      <c r="U10125" s="18"/>
      <c r="V10125" s="18"/>
      <c r="W10125" s="18" t="s">
        <v>22431</v>
      </c>
      <c r="X10125" s="18" t="s">
        <v>35</v>
      </c>
      <c r="Y10125" s="18" t="s">
        <v>17171</v>
      </c>
      <c r="Z10125" s="18" t="s">
        <v>697</v>
      </c>
      <c r="AA10125" s="21" t="str">
        <f>HYPERLINK("https://www.ncbi.nlm.nih.gov/nuccore/BK013359","NCBI Nucleotide")</f>
        <v>NCBI Nucleotide</v>
      </c>
    </row>
    <row r="10126" spans="1:27" x14ac:dyDescent="0.35">
      <c r="A10126">
        <v>1009801</v>
      </c>
      <c r="B10126">
        <v>9451</v>
      </c>
      <c r="C10126">
        <v>1</v>
      </c>
      <c r="D10126" s="17" t="s">
        <v>17166</v>
      </c>
      <c r="E10126" s="17"/>
      <c r="F10126" s="17" t="s">
        <v>17246</v>
      </c>
      <c r="G10126" s="17"/>
      <c r="H10126" s="17" t="s">
        <v>20919</v>
      </c>
      <c r="I10126" s="17"/>
      <c r="J10126" s="17" t="s">
        <v>21313</v>
      </c>
      <c r="K10126" s="17"/>
      <c r="L10126" s="17" t="s">
        <v>22378</v>
      </c>
      <c r="M10126" s="17"/>
      <c r="N10126" s="17" t="s">
        <v>22379</v>
      </c>
      <c r="O10126" s="17"/>
      <c r="P10126" s="17" t="s">
        <v>22432</v>
      </c>
      <c r="Q10126" s="17"/>
      <c r="R10126" s="25" t="str">
        <f>HYPERLINK("https://ictv.global/taxonomy/taxondetails?taxnode_id=202310954","Nehpavirus caenenecus")</f>
        <v>Nehpavirus caenenecus</v>
      </c>
      <c r="S10126" s="18" t="s">
        <v>30</v>
      </c>
      <c r="T10126" s="18" t="s">
        <v>22433</v>
      </c>
      <c r="U10126" s="18"/>
      <c r="V10126" s="18"/>
      <c r="W10126" s="18" t="s">
        <v>22434</v>
      </c>
      <c r="X10126" s="18" t="s">
        <v>35</v>
      </c>
      <c r="Y10126" s="18" t="s">
        <v>17171</v>
      </c>
      <c r="Z10126" s="18" t="s">
        <v>697</v>
      </c>
      <c r="AA10126" s="21" t="str">
        <f>HYPERLINK("https://www.ncbi.nlm.nih.gov/nuccore/BK013633","NCBI Nucleotide")</f>
        <v>NCBI Nucleotide</v>
      </c>
    </row>
    <row r="10127" spans="1:27" x14ac:dyDescent="0.35">
      <c r="A10127">
        <v>1026565</v>
      </c>
      <c r="B10127">
        <v>9452</v>
      </c>
      <c r="C10127">
        <v>1</v>
      </c>
      <c r="D10127" s="17" t="s">
        <v>17166</v>
      </c>
      <c r="E10127" s="17"/>
      <c r="F10127" s="17" t="s">
        <v>17246</v>
      </c>
      <c r="G10127" s="17"/>
      <c r="H10127" s="17" t="s">
        <v>20919</v>
      </c>
      <c r="I10127" s="17"/>
      <c r="J10127" s="17" t="s">
        <v>21313</v>
      </c>
      <c r="K10127" s="17"/>
      <c r="L10127" s="17" t="s">
        <v>22378</v>
      </c>
      <c r="M10127" s="17"/>
      <c r="N10127" s="17" t="s">
        <v>22379</v>
      </c>
      <c r="O10127" s="17"/>
      <c r="P10127" s="17" t="s">
        <v>44369</v>
      </c>
      <c r="Q10127" s="17"/>
      <c r="R10127" s="25" t="str">
        <f>HYPERLINK("https://ictv.global/taxonomy/taxondetails?taxnode_id=202316827","Niwtuvirus agrihabitans")</f>
        <v>Niwtuvirus agrihabitans</v>
      </c>
      <c r="S10127" s="18" t="s">
        <v>30</v>
      </c>
      <c r="T10127" s="18" t="s">
        <v>44370</v>
      </c>
      <c r="U10127" s="18"/>
      <c r="V10127" s="18"/>
      <c r="W10127" s="18" t="s">
        <v>44371</v>
      </c>
      <c r="X10127" s="18" t="s">
        <v>35</v>
      </c>
      <c r="Y10127" s="18" t="s">
        <v>17171</v>
      </c>
      <c r="Z10127" s="18" t="s">
        <v>24637</v>
      </c>
      <c r="AA10127" s="21" t="str">
        <f>HYPERLINK("https://www.ncbi.nlm.nih.gov/nuccore/CASDWV010001130","NCBI Nucleotide")</f>
        <v>NCBI Nucleotide</v>
      </c>
    </row>
    <row r="10128" spans="1:27" x14ac:dyDescent="0.35">
      <c r="A10128">
        <v>1026566</v>
      </c>
      <c r="B10128">
        <v>9453</v>
      </c>
      <c r="C10128">
        <v>1</v>
      </c>
      <c r="D10128" s="17" t="s">
        <v>17166</v>
      </c>
      <c r="E10128" s="17"/>
      <c r="F10128" s="17" t="s">
        <v>17246</v>
      </c>
      <c r="G10128" s="17"/>
      <c r="H10128" s="17" t="s">
        <v>20919</v>
      </c>
      <c r="I10128" s="17"/>
      <c r="J10128" s="17" t="s">
        <v>21313</v>
      </c>
      <c r="K10128" s="17"/>
      <c r="L10128" s="17" t="s">
        <v>22378</v>
      </c>
      <c r="M10128" s="17"/>
      <c r="N10128" s="17" t="s">
        <v>22379</v>
      </c>
      <c r="O10128" s="17"/>
      <c r="P10128" s="17" t="s">
        <v>44369</v>
      </c>
      <c r="Q10128" s="17"/>
      <c r="R10128" s="25" t="str">
        <f>HYPERLINK("https://ictv.global/taxonomy/taxondetails?taxnode_id=202316828","Niwtuvirus humihabitans")</f>
        <v>Niwtuvirus humihabitans</v>
      </c>
      <c r="S10128" s="18" t="s">
        <v>30</v>
      </c>
      <c r="T10128" s="18" t="s">
        <v>44372</v>
      </c>
      <c r="U10128" s="18"/>
      <c r="V10128" s="18"/>
      <c r="W10128" s="18" t="s">
        <v>44373</v>
      </c>
      <c r="X10128" s="18" t="s">
        <v>35</v>
      </c>
      <c r="Y10128" s="18" t="s">
        <v>17171</v>
      </c>
      <c r="Z10128" s="18" t="s">
        <v>24637</v>
      </c>
      <c r="AA10128" s="21" t="str">
        <f>HYPERLINK("https://www.ncbi.nlm.nih.gov/nuccore/CASDWV010003161","NCBI Nucleotide")</f>
        <v>NCBI Nucleotide</v>
      </c>
    </row>
    <row r="10129" spans="1:27" x14ac:dyDescent="0.35">
      <c r="A10129">
        <v>1026567</v>
      </c>
      <c r="B10129">
        <v>9454</v>
      </c>
      <c r="C10129">
        <v>1</v>
      </c>
      <c r="D10129" s="17" t="s">
        <v>17166</v>
      </c>
      <c r="E10129" s="17"/>
      <c r="F10129" s="17" t="s">
        <v>17246</v>
      </c>
      <c r="G10129" s="17"/>
      <c r="H10129" s="17" t="s">
        <v>20919</v>
      </c>
      <c r="I10129" s="17"/>
      <c r="J10129" s="17" t="s">
        <v>21313</v>
      </c>
      <c r="K10129" s="17"/>
      <c r="L10129" s="17" t="s">
        <v>22378</v>
      </c>
      <c r="M10129" s="17"/>
      <c r="N10129" s="17" t="s">
        <v>22379</v>
      </c>
      <c r="O10129" s="17"/>
      <c r="P10129" s="17" t="s">
        <v>44369</v>
      </c>
      <c r="Q10129" s="17"/>
      <c r="R10129" s="25" t="str">
        <f>HYPERLINK("https://ictv.global/taxonomy/taxondetails?taxnode_id=202316829","Niwtuvirus lutenecus")</f>
        <v>Niwtuvirus lutenecus</v>
      </c>
      <c r="S10129" s="18" t="s">
        <v>30</v>
      </c>
      <c r="T10129" s="18" t="s">
        <v>44374</v>
      </c>
      <c r="U10129" s="18"/>
      <c r="V10129" s="18"/>
      <c r="W10129" s="18" t="s">
        <v>44375</v>
      </c>
      <c r="X10129" s="18" t="s">
        <v>35</v>
      </c>
      <c r="Y10129" s="18" t="s">
        <v>17171</v>
      </c>
      <c r="Z10129" s="18" t="s">
        <v>24637</v>
      </c>
      <c r="AA10129" s="21" t="str">
        <f>HYPERLINK("https://www.ncbi.nlm.nih.gov/nuccore/CASDWV010004515","NCBI Nucleotide")</f>
        <v>NCBI Nucleotide</v>
      </c>
    </row>
    <row r="10130" spans="1:27" x14ac:dyDescent="0.35">
      <c r="A10130">
        <v>1026568</v>
      </c>
      <c r="B10130">
        <v>9455</v>
      </c>
      <c r="C10130">
        <v>1</v>
      </c>
      <c r="D10130" s="17" t="s">
        <v>17166</v>
      </c>
      <c r="E10130" s="17"/>
      <c r="F10130" s="17" t="s">
        <v>17246</v>
      </c>
      <c r="G10130" s="17"/>
      <c r="H10130" s="17" t="s">
        <v>20919</v>
      </c>
      <c r="I10130" s="17"/>
      <c r="J10130" s="17" t="s">
        <v>21313</v>
      </c>
      <c r="K10130" s="17"/>
      <c r="L10130" s="17" t="s">
        <v>22378</v>
      </c>
      <c r="M10130" s="17"/>
      <c r="N10130" s="17" t="s">
        <v>22379</v>
      </c>
      <c r="O10130" s="17"/>
      <c r="P10130" s="17" t="s">
        <v>44369</v>
      </c>
      <c r="Q10130" s="17"/>
      <c r="R10130" s="25" t="str">
        <f>HYPERLINK("https://ictv.global/taxonomy/taxondetails?taxnode_id=202316830","Niwtuvirus pedovicinum")</f>
        <v>Niwtuvirus pedovicinum</v>
      </c>
      <c r="S10130" s="18" t="s">
        <v>30</v>
      </c>
      <c r="T10130" s="18" t="s">
        <v>44376</v>
      </c>
      <c r="U10130" s="18"/>
      <c r="V10130" s="18"/>
      <c r="W10130" s="18" t="s">
        <v>44377</v>
      </c>
      <c r="X10130" s="18" t="s">
        <v>35</v>
      </c>
      <c r="Y10130" s="18" t="s">
        <v>17171</v>
      </c>
      <c r="Z10130" s="18" t="s">
        <v>24637</v>
      </c>
      <c r="AA10130" s="21" t="str">
        <f>HYPERLINK("https://www.ncbi.nlm.nih.gov/nuccore/CASDWV010003162","NCBI Nucleotide")</f>
        <v>NCBI Nucleotide</v>
      </c>
    </row>
    <row r="10131" spans="1:27" x14ac:dyDescent="0.35">
      <c r="A10131">
        <v>1009812</v>
      </c>
      <c r="B10131">
        <v>9456</v>
      </c>
      <c r="C10131">
        <v>1</v>
      </c>
      <c r="D10131" s="17" t="s">
        <v>17166</v>
      </c>
      <c r="E10131" s="17"/>
      <c r="F10131" s="17" t="s">
        <v>17246</v>
      </c>
      <c r="G10131" s="17"/>
      <c r="H10131" s="17" t="s">
        <v>20919</v>
      </c>
      <c r="I10131" s="17"/>
      <c r="J10131" s="17" t="s">
        <v>21313</v>
      </c>
      <c r="K10131" s="17"/>
      <c r="L10131" s="17" t="s">
        <v>22378</v>
      </c>
      <c r="M10131" s="17"/>
      <c r="N10131" s="17" t="s">
        <v>22379</v>
      </c>
      <c r="O10131" s="17"/>
      <c r="P10131" s="17" t="s">
        <v>22435</v>
      </c>
      <c r="Q10131" s="17"/>
      <c r="R10131" s="25" t="str">
        <f>HYPERLINK("https://ictv.global/taxonomy/taxondetails?taxnode_id=202310974","Pacehavirus borborenecus")</f>
        <v>Pacehavirus borborenecus</v>
      </c>
      <c r="S10131" s="18" t="s">
        <v>30</v>
      </c>
      <c r="T10131" s="18" t="s">
        <v>22451</v>
      </c>
      <c r="U10131" s="18"/>
      <c r="V10131" s="18"/>
      <c r="W10131" s="18" t="s">
        <v>22452</v>
      </c>
      <c r="X10131" s="18" t="s">
        <v>35</v>
      </c>
      <c r="Y10131" s="18" t="s">
        <v>17171</v>
      </c>
      <c r="Z10131" s="18" t="s">
        <v>697</v>
      </c>
      <c r="AA10131" s="21" t="str">
        <f>HYPERLINK("https://www.ncbi.nlm.nih.gov/nuccore/BK013586","NCBI Nucleotide")</f>
        <v>NCBI Nucleotide</v>
      </c>
    </row>
    <row r="10132" spans="1:27" x14ac:dyDescent="0.35">
      <c r="A10132">
        <v>1009803</v>
      </c>
      <c r="B10132">
        <v>9457</v>
      </c>
      <c r="C10132">
        <v>1</v>
      </c>
      <c r="D10132" s="17" t="s">
        <v>17166</v>
      </c>
      <c r="E10132" s="17"/>
      <c r="F10132" s="17" t="s">
        <v>17246</v>
      </c>
      <c r="G10132" s="17"/>
      <c r="H10132" s="17" t="s">
        <v>20919</v>
      </c>
      <c r="I10132" s="17"/>
      <c r="J10132" s="17" t="s">
        <v>21313</v>
      </c>
      <c r="K10132" s="17"/>
      <c r="L10132" s="17" t="s">
        <v>22378</v>
      </c>
      <c r="M10132" s="17"/>
      <c r="N10132" s="17" t="s">
        <v>22379</v>
      </c>
      <c r="O10132" s="17"/>
      <c r="P10132" s="17" t="s">
        <v>22435</v>
      </c>
      <c r="Q10132" s="17"/>
      <c r="R10132" s="25" t="str">
        <f>HYPERLINK("https://ictv.global/taxonomy/taxondetails?taxnode_id=202310959","Pacehavirus humicola")</f>
        <v>Pacehavirus humicola</v>
      </c>
      <c r="S10132" s="18" t="s">
        <v>30</v>
      </c>
      <c r="T10132" s="18" t="s">
        <v>22436</v>
      </c>
      <c r="U10132" s="18"/>
      <c r="V10132" s="18"/>
      <c r="W10132" s="18" t="s">
        <v>22437</v>
      </c>
      <c r="X10132" s="18" t="s">
        <v>35</v>
      </c>
      <c r="Y10132" s="18" t="s">
        <v>17171</v>
      </c>
      <c r="Z10132" s="18" t="s">
        <v>697</v>
      </c>
      <c r="AA10132" s="21" t="str">
        <f>HYPERLINK("https://www.ncbi.nlm.nih.gov/nuccore/BK013460","NCBI Nucleotide")</f>
        <v>NCBI Nucleotide</v>
      </c>
    </row>
    <row r="10133" spans="1:27" x14ac:dyDescent="0.35">
      <c r="A10133">
        <v>1026657</v>
      </c>
      <c r="B10133">
        <v>9458</v>
      </c>
      <c r="C10133">
        <v>1</v>
      </c>
      <c r="D10133" s="17" t="s">
        <v>17166</v>
      </c>
      <c r="E10133" s="17"/>
      <c r="F10133" s="17" t="s">
        <v>17246</v>
      </c>
      <c r="G10133" s="17"/>
      <c r="H10133" s="17" t="s">
        <v>20919</v>
      </c>
      <c r="I10133" s="17"/>
      <c r="J10133" s="17" t="s">
        <v>21313</v>
      </c>
      <c r="K10133" s="17"/>
      <c r="L10133" s="17" t="s">
        <v>22378</v>
      </c>
      <c r="M10133" s="17"/>
      <c r="N10133" s="17" t="s">
        <v>22379</v>
      </c>
      <c r="O10133" s="17"/>
      <c r="P10133" s="17" t="s">
        <v>22435</v>
      </c>
      <c r="Q10133" s="17"/>
      <c r="R10133" s="25" t="str">
        <f>HYPERLINK("https://ictv.global/taxonomy/taxondetails?taxnode_id=202316831","Pacehavirus pedocola")</f>
        <v>Pacehavirus pedocola</v>
      </c>
      <c r="S10133" s="18" t="s">
        <v>30</v>
      </c>
      <c r="T10133" s="18" t="s">
        <v>44378</v>
      </c>
      <c r="U10133" s="18"/>
      <c r="V10133" s="18"/>
      <c r="W10133" s="18" t="s">
        <v>44379</v>
      </c>
      <c r="X10133" s="18" t="s">
        <v>35</v>
      </c>
      <c r="Y10133" s="18" t="s">
        <v>17171</v>
      </c>
      <c r="Z10133" s="18" t="s">
        <v>24637</v>
      </c>
      <c r="AA10133" s="21" t="str">
        <f>HYPERLINK("https://www.ncbi.nlm.nih.gov/nuccore/CASDWV010000349","NCBI Nucleotide")</f>
        <v>NCBI Nucleotide</v>
      </c>
    </row>
    <row r="10134" spans="1:27" x14ac:dyDescent="0.35">
      <c r="A10134">
        <v>1009804</v>
      </c>
      <c r="B10134">
        <v>9459</v>
      </c>
      <c r="C10134">
        <v>1</v>
      </c>
      <c r="D10134" s="17" t="s">
        <v>17166</v>
      </c>
      <c r="E10134" s="17"/>
      <c r="F10134" s="17" t="s">
        <v>17246</v>
      </c>
      <c r="G10134" s="17"/>
      <c r="H10134" s="17" t="s">
        <v>20919</v>
      </c>
      <c r="I10134" s="17"/>
      <c r="J10134" s="17" t="s">
        <v>21313</v>
      </c>
      <c r="K10134" s="17"/>
      <c r="L10134" s="17" t="s">
        <v>22378</v>
      </c>
      <c r="M10134" s="17"/>
      <c r="N10134" s="17" t="s">
        <v>22379</v>
      </c>
      <c r="O10134" s="17"/>
      <c r="P10134" s="17" t="s">
        <v>22435</v>
      </c>
      <c r="Q10134" s="17"/>
      <c r="R10134" s="25" t="str">
        <f>HYPERLINK("https://ictv.global/taxonomy/taxondetails?taxnode_id=202310960","Pacehavirus pelovicinum")</f>
        <v>Pacehavirus pelovicinum</v>
      </c>
      <c r="S10134" s="18" t="s">
        <v>30</v>
      </c>
      <c r="T10134" s="18" t="s">
        <v>22438</v>
      </c>
      <c r="U10134" s="18"/>
      <c r="V10134" s="18"/>
      <c r="W10134" s="18" t="s">
        <v>22439</v>
      </c>
      <c r="X10134" s="18" t="s">
        <v>35</v>
      </c>
      <c r="Y10134" s="18" t="s">
        <v>17171</v>
      </c>
      <c r="Z10134" s="18" t="s">
        <v>697</v>
      </c>
      <c r="AA10134" s="21" t="str">
        <f>HYPERLINK("https://www.ncbi.nlm.nih.gov/nuccore/BK013634","NCBI Nucleotide")</f>
        <v>NCBI Nucleotide</v>
      </c>
    </row>
    <row r="10135" spans="1:27" x14ac:dyDescent="0.35">
      <c r="A10135">
        <v>1009805</v>
      </c>
      <c r="B10135">
        <v>9460</v>
      </c>
      <c r="C10135">
        <v>1</v>
      </c>
      <c r="D10135" s="17" t="s">
        <v>17166</v>
      </c>
      <c r="E10135" s="17"/>
      <c r="F10135" s="17" t="s">
        <v>17246</v>
      </c>
      <c r="G10135" s="17"/>
      <c r="H10135" s="17" t="s">
        <v>20919</v>
      </c>
      <c r="I10135" s="17"/>
      <c r="J10135" s="17" t="s">
        <v>21313</v>
      </c>
      <c r="K10135" s="17"/>
      <c r="L10135" s="17" t="s">
        <v>22378</v>
      </c>
      <c r="M10135" s="17"/>
      <c r="N10135" s="17" t="s">
        <v>22379</v>
      </c>
      <c r="O10135" s="17"/>
      <c r="P10135" s="17" t="s">
        <v>22435</v>
      </c>
      <c r="Q10135" s="17"/>
      <c r="R10135" s="25" t="str">
        <f>HYPERLINK("https://ictv.global/taxonomy/taxondetails?taxnode_id=202310958","Pacehavirus pelovivens")</f>
        <v>Pacehavirus pelovivens</v>
      </c>
      <c r="S10135" s="18" t="s">
        <v>30</v>
      </c>
      <c r="T10135" s="18" t="s">
        <v>22440</v>
      </c>
      <c r="U10135" s="18"/>
      <c r="V10135" s="18"/>
      <c r="W10135" s="18" t="s">
        <v>22441</v>
      </c>
      <c r="X10135" s="18" t="s">
        <v>35</v>
      </c>
      <c r="Y10135" s="18" t="s">
        <v>17171</v>
      </c>
      <c r="Z10135" s="18" t="s">
        <v>697</v>
      </c>
      <c r="AA10135" s="21" t="str">
        <f>HYPERLINK("https://www.ncbi.nlm.nih.gov/nuccore/BK014181","NCBI Nucleotide")</f>
        <v>NCBI Nucleotide</v>
      </c>
    </row>
    <row r="10136" spans="1:27" x14ac:dyDescent="0.35">
      <c r="A10136">
        <v>1009806</v>
      </c>
      <c r="B10136">
        <v>9461</v>
      </c>
      <c r="C10136">
        <v>1</v>
      </c>
      <c r="D10136" s="17" t="s">
        <v>17166</v>
      </c>
      <c r="E10136" s="17"/>
      <c r="F10136" s="17" t="s">
        <v>17246</v>
      </c>
      <c r="G10136" s="17"/>
      <c r="H10136" s="17" t="s">
        <v>20919</v>
      </c>
      <c r="I10136" s="17"/>
      <c r="J10136" s="17" t="s">
        <v>21313</v>
      </c>
      <c r="K10136" s="17"/>
      <c r="L10136" s="17" t="s">
        <v>22378</v>
      </c>
      <c r="M10136" s="17"/>
      <c r="N10136" s="17" t="s">
        <v>22379</v>
      </c>
      <c r="O10136" s="17"/>
      <c r="P10136" s="17" t="s">
        <v>22442</v>
      </c>
      <c r="Q10136" s="17"/>
      <c r="R10136" s="25" t="str">
        <f>HYPERLINK("https://ictv.global/taxonomy/taxondetails?taxnode_id=202310962","Pahdacivirus asiadaptatum")</f>
        <v>Pahdacivirus asiadaptatum</v>
      </c>
      <c r="S10136" s="18" t="s">
        <v>30</v>
      </c>
      <c r="T10136" s="18" t="s">
        <v>22443</v>
      </c>
      <c r="U10136" s="18"/>
      <c r="V10136" s="18"/>
      <c r="W10136" s="18" t="s">
        <v>22444</v>
      </c>
      <c r="X10136" s="18" t="s">
        <v>35</v>
      </c>
      <c r="Y10136" s="18" t="s">
        <v>17171</v>
      </c>
      <c r="Z10136" s="18" t="s">
        <v>697</v>
      </c>
      <c r="AA10136" s="21" t="str">
        <f>HYPERLINK("https://www.ncbi.nlm.nih.gov/nuccore/BK013681","NCBI Nucleotide")</f>
        <v>NCBI Nucleotide</v>
      </c>
    </row>
    <row r="10137" spans="1:27" x14ac:dyDescent="0.35">
      <c r="A10137">
        <v>1026434</v>
      </c>
      <c r="B10137">
        <v>9462</v>
      </c>
      <c r="C10137">
        <v>1</v>
      </c>
      <c r="D10137" s="17" t="s">
        <v>17166</v>
      </c>
      <c r="E10137" s="17"/>
      <c r="F10137" s="17" t="s">
        <v>17246</v>
      </c>
      <c r="G10137" s="17"/>
      <c r="H10137" s="17" t="s">
        <v>20919</v>
      </c>
      <c r="I10137" s="17"/>
      <c r="J10137" s="17" t="s">
        <v>21313</v>
      </c>
      <c r="K10137" s="17"/>
      <c r="L10137" s="17" t="s">
        <v>22378</v>
      </c>
      <c r="M10137" s="17"/>
      <c r="N10137" s="17" t="s">
        <v>22379</v>
      </c>
      <c r="O10137" s="17"/>
      <c r="P10137" s="17" t="s">
        <v>44380</v>
      </c>
      <c r="Q10137" s="17"/>
      <c r="R10137" s="25" t="str">
        <f>HYPERLINK("https://ictv.global/taxonomy/taxondetails?taxnode_id=202316832","Prorsmavirus faecicola")</f>
        <v>Prorsmavirus faecicola</v>
      </c>
      <c r="S10137" s="18" t="s">
        <v>30</v>
      </c>
      <c r="T10137" s="18" t="s">
        <v>44381</v>
      </c>
      <c r="U10137" s="18"/>
      <c r="V10137" s="18" t="s">
        <v>44381</v>
      </c>
      <c r="W10137" s="18" t="s">
        <v>44382</v>
      </c>
      <c r="X10137" s="18" t="s">
        <v>35</v>
      </c>
      <c r="Y10137" s="18" t="s">
        <v>17171</v>
      </c>
      <c r="Z10137" s="18" t="s">
        <v>17413</v>
      </c>
      <c r="AA10137" s="21" t="str">
        <f>HYPERLINK("https://www.ncbi.nlm.nih.gov/nuccore/ON163534","NCBI Nucleotide")</f>
        <v>NCBI Nucleotide</v>
      </c>
    </row>
    <row r="10138" spans="1:27" x14ac:dyDescent="0.35">
      <c r="A10138">
        <v>1009808</v>
      </c>
      <c r="B10138">
        <v>9463</v>
      </c>
      <c r="C10138">
        <v>1</v>
      </c>
      <c r="D10138" s="17" t="s">
        <v>17166</v>
      </c>
      <c r="E10138" s="17"/>
      <c r="F10138" s="17" t="s">
        <v>17246</v>
      </c>
      <c r="G10138" s="17"/>
      <c r="H10138" s="17" t="s">
        <v>20919</v>
      </c>
      <c r="I10138" s="17"/>
      <c r="J10138" s="17" t="s">
        <v>21313</v>
      </c>
      <c r="K10138" s="17"/>
      <c r="L10138" s="17" t="s">
        <v>22378</v>
      </c>
      <c r="M10138" s="17"/>
      <c r="N10138" s="17" t="s">
        <v>22379</v>
      </c>
      <c r="O10138" s="17"/>
      <c r="P10138" s="17" t="s">
        <v>22445</v>
      </c>
      <c r="Q10138" s="17"/>
      <c r="R10138" s="25" t="str">
        <f>HYPERLINK("https://ictv.global/taxonomy/taxondetails?taxnode_id=202310966","Semodevirus borborenecus")</f>
        <v>Semodevirus borborenecus</v>
      </c>
      <c r="S10138" s="18" t="s">
        <v>30</v>
      </c>
      <c r="T10138" s="18" t="s">
        <v>22446</v>
      </c>
      <c r="U10138" s="18"/>
      <c r="V10138" s="18"/>
      <c r="W10138" s="18" t="s">
        <v>22447</v>
      </c>
      <c r="X10138" s="18" t="s">
        <v>35</v>
      </c>
      <c r="Y10138" s="18" t="s">
        <v>17171</v>
      </c>
      <c r="Z10138" s="18" t="s">
        <v>697</v>
      </c>
      <c r="AA10138" s="21" t="str">
        <f>HYPERLINK("https://www.ncbi.nlm.nih.gov/nuccore/BK013584","NCBI Nucleotide")</f>
        <v>NCBI Nucleotide</v>
      </c>
    </row>
    <row r="10139" spans="1:27" x14ac:dyDescent="0.35">
      <c r="A10139">
        <v>1009810</v>
      </c>
      <c r="B10139">
        <v>9464</v>
      </c>
      <c r="C10139">
        <v>1</v>
      </c>
      <c r="D10139" s="17" t="s">
        <v>17166</v>
      </c>
      <c r="E10139" s="17"/>
      <c r="F10139" s="17" t="s">
        <v>17246</v>
      </c>
      <c r="G10139" s="17"/>
      <c r="H10139" s="17" t="s">
        <v>20919</v>
      </c>
      <c r="I10139" s="17"/>
      <c r="J10139" s="17" t="s">
        <v>21313</v>
      </c>
      <c r="K10139" s="17"/>
      <c r="L10139" s="17" t="s">
        <v>22378</v>
      </c>
      <c r="M10139" s="17"/>
      <c r="N10139" s="17" t="s">
        <v>22379</v>
      </c>
      <c r="O10139" s="17"/>
      <c r="P10139" s="17" t="s">
        <v>22448</v>
      </c>
      <c r="Q10139" s="17"/>
      <c r="R10139" s="25" t="str">
        <f>HYPERLINK("https://ictv.global/taxonomy/taxondetails?taxnode_id=202310970","Shihwivirus caenenecus")</f>
        <v>Shihwivirus caenenecus</v>
      </c>
      <c r="S10139" s="18" t="s">
        <v>30</v>
      </c>
      <c r="T10139" s="18" t="s">
        <v>22449</v>
      </c>
      <c r="U10139" s="18"/>
      <c r="V10139" s="18"/>
      <c r="W10139" s="18" t="s">
        <v>22450</v>
      </c>
      <c r="X10139" s="18" t="s">
        <v>35</v>
      </c>
      <c r="Y10139" s="18" t="s">
        <v>17171</v>
      </c>
      <c r="Z10139" s="18" t="s">
        <v>697</v>
      </c>
      <c r="AA10139" s="21" t="str">
        <f>HYPERLINK("https://www.ncbi.nlm.nih.gov/nuccore/BK013740","NCBI Nucleotide")</f>
        <v>NCBI Nucleotide</v>
      </c>
    </row>
    <row r="10140" spans="1:27" x14ac:dyDescent="0.35">
      <c r="A10140">
        <v>1026383</v>
      </c>
      <c r="B10140">
        <v>9465</v>
      </c>
      <c r="C10140">
        <v>1</v>
      </c>
      <c r="D10140" s="17" t="s">
        <v>17166</v>
      </c>
      <c r="E10140" s="17"/>
      <c r="F10140" s="17" t="s">
        <v>17246</v>
      </c>
      <c r="G10140" s="17"/>
      <c r="H10140" s="17" t="s">
        <v>20919</v>
      </c>
      <c r="I10140" s="17"/>
      <c r="J10140" s="17" t="s">
        <v>21313</v>
      </c>
      <c r="K10140" s="17"/>
      <c r="L10140" s="17" t="s">
        <v>22378</v>
      </c>
      <c r="M10140" s="17"/>
      <c r="N10140" s="17" t="s">
        <v>22379</v>
      </c>
      <c r="O10140" s="17"/>
      <c r="P10140" s="17" t="s">
        <v>44383</v>
      </c>
      <c r="Q10140" s="17"/>
      <c r="R10140" s="25" t="str">
        <f>HYPERLINK("https://ictv.global/taxonomy/taxondetails?taxnode_id=202316833","Strotovirus faecivicinum")</f>
        <v>Strotovirus faecivicinum</v>
      </c>
      <c r="S10140" s="18" t="s">
        <v>30</v>
      </c>
      <c r="T10140" s="18" t="s">
        <v>44384</v>
      </c>
      <c r="U10140" s="18"/>
      <c r="V10140" s="18" t="s">
        <v>44384</v>
      </c>
      <c r="W10140" s="18" t="s">
        <v>44385</v>
      </c>
      <c r="X10140" s="18" t="s">
        <v>35</v>
      </c>
      <c r="Y10140" s="18" t="s">
        <v>17171</v>
      </c>
      <c r="Z10140" s="18" t="s">
        <v>17413</v>
      </c>
      <c r="AA10140" s="21" t="str">
        <f>HYPERLINK("https://www.ncbi.nlm.nih.gov/nuccore/MZ679635","NCBI Nucleotide")</f>
        <v>NCBI Nucleotide</v>
      </c>
    </row>
    <row r="10141" spans="1:27" x14ac:dyDescent="0.35">
      <c r="A10141">
        <v>1009813</v>
      </c>
      <c r="B10141">
        <v>9466</v>
      </c>
      <c r="C10141">
        <v>1</v>
      </c>
      <c r="D10141" s="17" t="s">
        <v>17166</v>
      </c>
      <c r="E10141" s="17"/>
      <c r="F10141" s="17" t="s">
        <v>17246</v>
      </c>
      <c r="G10141" s="17"/>
      <c r="H10141" s="17" t="s">
        <v>20919</v>
      </c>
      <c r="I10141" s="17"/>
      <c r="J10141" s="17" t="s">
        <v>21313</v>
      </c>
      <c r="K10141" s="17"/>
      <c r="L10141" s="17" t="s">
        <v>22378</v>
      </c>
      <c r="M10141" s="17"/>
      <c r="N10141" s="17" t="s">
        <v>22379</v>
      </c>
      <c r="O10141" s="17"/>
      <c r="P10141" s="17" t="s">
        <v>22453</v>
      </c>
      <c r="Q10141" s="17"/>
      <c r="R10141" s="25" t="str">
        <f>HYPERLINK("https://ictv.global/taxonomy/taxondetails?taxnode_id=202310976","Wahdswovirus lutenecus")</f>
        <v>Wahdswovirus lutenecus</v>
      </c>
      <c r="S10141" s="18" t="s">
        <v>30</v>
      </c>
      <c r="T10141" s="18" t="s">
        <v>22454</v>
      </c>
      <c r="U10141" s="18"/>
      <c r="V10141" s="18"/>
      <c r="W10141" s="18" t="s">
        <v>22455</v>
      </c>
      <c r="X10141" s="18" t="s">
        <v>35</v>
      </c>
      <c r="Y10141" s="18" t="s">
        <v>17171</v>
      </c>
      <c r="Z10141" s="18" t="s">
        <v>697</v>
      </c>
      <c r="AA10141" s="21" t="str">
        <f>HYPERLINK("https://www.ncbi.nlm.nih.gov/nuccore/BK014163","NCBI Nucleotide")</f>
        <v>NCBI Nucleotide</v>
      </c>
    </row>
    <row r="10142" spans="1:27" x14ac:dyDescent="0.35">
      <c r="A10142">
        <v>1009814</v>
      </c>
      <c r="B10142">
        <v>9467</v>
      </c>
      <c r="C10142">
        <v>1</v>
      </c>
      <c r="D10142" s="17" t="s">
        <v>17166</v>
      </c>
      <c r="E10142" s="17"/>
      <c r="F10142" s="17" t="s">
        <v>17246</v>
      </c>
      <c r="G10142" s="17"/>
      <c r="H10142" s="17" t="s">
        <v>20919</v>
      </c>
      <c r="I10142" s="17"/>
      <c r="J10142" s="17" t="s">
        <v>21313</v>
      </c>
      <c r="K10142" s="17"/>
      <c r="L10142" s="17" t="s">
        <v>22378</v>
      </c>
      <c r="M10142" s="17"/>
      <c r="N10142" s="17" t="s">
        <v>22379</v>
      </c>
      <c r="O10142" s="17"/>
      <c r="P10142" s="17" t="s">
        <v>22456</v>
      </c>
      <c r="Q10142" s="17"/>
      <c r="R10142" s="25" t="str">
        <f>HYPERLINK("https://ictv.global/taxonomy/taxondetails?taxnode_id=202310978","Yenihzavirus borboradaptatum")</f>
        <v>Yenihzavirus borboradaptatum</v>
      </c>
      <c r="S10142" s="18" t="s">
        <v>30</v>
      </c>
      <c r="T10142" s="18" t="s">
        <v>22457</v>
      </c>
      <c r="U10142" s="18"/>
      <c r="V10142" s="18"/>
      <c r="W10142" s="18" t="s">
        <v>22458</v>
      </c>
      <c r="X10142" s="18" t="s">
        <v>35</v>
      </c>
      <c r="Y10142" s="18" t="s">
        <v>17171</v>
      </c>
      <c r="Z10142" s="18" t="s">
        <v>697</v>
      </c>
      <c r="AA10142" s="21" t="str">
        <f>HYPERLINK("https://www.ncbi.nlm.nih.gov/nuccore/BK013587","NCBI Nucleotide")</f>
        <v>NCBI Nucleotide</v>
      </c>
    </row>
    <row r="10143" spans="1:27" x14ac:dyDescent="0.35">
      <c r="A10143">
        <v>1009820</v>
      </c>
      <c r="B10143">
        <v>9468</v>
      </c>
      <c r="C10143">
        <v>1</v>
      </c>
      <c r="D10143" s="17" t="s">
        <v>17166</v>
      </c>
      <c r="E10143" s="17"/>
      <c r="F10143" s="17" t="s">
        <v>17246</v>
      </c>
      <c r="G10143" s="17"/>
      <c r="H10143" s="17" t="s">
        <v>20919</v>
      </c>
      <c r="I10143" s="17"/>
      <c r="J10143" s="17" t="s">
        <v>21313</v>
      </c>
      <c r="K10143" s="17"/>
      <c r="L10143" s="17" t="s">
        <v>22378</v>
      </c>
      <c r="M10143" s="17"/>
      <c r="N10143" s="17" t="s">
        <v>22459</v>
      </c>
      <c r="O10143" s="17"/>
      <c r="P10143" s="17" t="s">
        <v>22468</v>
      </c>
      <c r="Q10143" s="17"/>
      <c r="R10143" s="25" t="str">
        <f>HYPERLINK("https://ictv.global/taxonomy/taxondetails?taxnode_id=202310988","Adahmuvirus asiocola")</f>
        <v>Adahmuvirus asiocola</v>
      </c>
      <c r="S10143" s="18" t="s">
        <v>30</v>
      </c>
      <c r="T10143" s="18" t="s">
        <v>22469</v>
      </c>
      <c r="U10143" s="18"/>
      <c r="V10143" s="18"/>
      <c r="W10143" s="18" t="s">
        <v>22470</v>
      </c>
      <c r="X10143" s="18" t="s">
        <v>35</v>
      </c>
      <c r="Y10143" s="18" t="s">
        <v>17171</v>
      </c>
      <c r="Z10143" s="18" t="s">
        <v>697</v>
      </c>
      <c r="AA10143" s="21" t="str">
        <f>HYPERLINK("https://www.ncbi.nlm.nih.gov/nuccore/BK014065","NCBI Nucleotide")</f>
        <v>NCBI Nucleotide</v>
      </c>
    </row>
    <row r="10144" spans="1:27" x14ac:dyDescent="0.35">
      <c r="A10144">
        <v>1025854</v>
      </c>
      <c r="B10144">
        <v>9469</v>
      </c>
      <c r="C10144">
        <v>1</v>
      </c>
      <c r="D10144" s="17" t="s">
        <v>17166</v>
      </c>
      <c r="E10144" s="17"/>
      <c r="F10144" s="17" t="s">
        <v>17246</v>
      </c>
      <c r="G10144" s="17"/>
      <c r="H10144" s="17" t="s">
        <v>20919</v>
      </c>
      <c r="I10144" s="17"/>
      <c r="J10144" s="17" t="s">
        <v>21313</v>
      </c>
      <c r="K10144" s="17"/>
      <c r="L10144" s="17" t="s">
        <v>22378</v>
      </c>
      <c r="M10144" s="17"/>
      <c r="N10144" s="17" t="s">
        <v>22459</v>
      </c>
      <c r="O10144" s="17"/>
      <c r="P10144" s="17" t="s">
        <v>44386</v>
      </c>
      <c r="Q10144" s="17"/>
      <c r="R10144" s="25" t="str">
        <f>HYPERLINK("https://ictv.global/taxonomy/taxondetails?taxnode_id=202316834","Alcestovirus geovivens")</f>
        <v>Alcestovirus geovivens</v>
      </c>
      <c r="S10144" s="18" t="s">
        <v>30</v>
      </c>
      <c r="T10144" s="18" t="s">
        <v>44387</v>
      </c>
      <c r="U10144" s="18"/>
      <c r="V10144" s="18"/>
      <c r="W10144" s="18" t="s">
        <v>44388</v>
      </c>
      <c r="X10144" s="18" t="s">
        <v>35</v>
      </c>
      <c r="Y10144" s="18" t="s">
        <v>17171</v>
      </c>
      <c r="Z10144" s="18" t="s">
        <v>24637</v>
      </c>
      <c r="AA10144" s="21" t="str">
        <f>HYPERLINK("https://www.ncbi.nlm.nih.gov/nuccore/CASDWV010000980","NCBI Nucleotide")</f>
        <v>NCBI Nucleotide</v>
      </c>
    </row>
    <row r="10145" spans="1:27" x14ac:dyDescent="0.35">
      <c r="A10145">
        <v>1009821</v>
      </c>
      <c r="B10145">
        <v>9470</v>
      </c>
      <c r="C10145">
        <v>1</v>
      </c>
      <c r="D10145" s="17" t="s">
        <v>17166</v>
      </c>
      <c r="E10145" s="17"/>
      <c r="F10145" s="17" t="s">
        <v>17246</v>
      </c>
      <c r="G10145" s="17"/>
      <c r="H10145" s="17" t="s">
        <v>20919</v>
      </c>
      <c r="I10145" s="17"/>
      <c r="J10145" s="17" t="s">
        <v>21313</v>
      </c>
      <c r="K10145" s="17"/>
      <c r="L10145" s="17" t="s">
        <v>22378</v>
      </c>
      <c r="M10145" s="17"/>
      <c r="N10145" s="17" t="s">
        <v>22459</v>
      </c>
      <c r="O10145" s="17"/>
      <c r="P10145" s="17" t="s">
        <v>22471</v>
      </c>
      <c r="Q10145" s="17"/>
      <c r="R10145" s="25" t="str">
        <f>HYPERLINK("https://ictv.global/taxonomy/taxondetails?taxnode_id=202310993","Alehxovirus agradaptatum")</f>
        <v>Alehxovirus agradaptatum</v>
      </c>
      <c r="S10145" s="18" t="s">
        <v>30</v>
      </c>
      <c r="T10145" s="18" t="s">
        <v>22472</v>
      </c>
      <c r="U10145" s="18"/>
      <c r="V10145" s="18"/>
      <c r="W10145" s="18" t="s">
        <v>22473</v>
      </c>
      <c r="X10145" s="18" t="s">
        <v>35</v>
      </c>
      <c r="Y10145" s="18" t="s">
        <v>17171</v>
      </c>
      <c r="Z10145" s="18" t="s">
        <v>697</v>
      </c>
      <c r="AA10145" s="21" t="str">
        <f>HYPERLINK("https://www.ncbi.nlm.nih.gov/nuccore/BK014025","NCBI Nucleotide")</f>
        <v>NCBI Nucleotide</v>
      </c>
    </row>
    <row r="10146" spans="1:27" x14ac:dyDescent="0.35">
      <c r="A10146">
        <v>1009822</v>
      </c>
      <c r="B10146">
        <v>9471</v>
      </c>
      <c r="C10146">
        <v>1</v>
      </c>
      <c r="D10146" s="17" t="s">
        <v>17166</v>
      </c>
      <c r="E10146" s="17"/>
      <c r="F10146" s="17" t="s">
        <v>17246</v>
      </c>
      <c r="G10146" s="17"/>
      <c r="H10146" s="17" t="s">
        <v>20919</v>
      </c>
      <c r="I10146" s="17"/>
      <c r="J10146" s="17" t="s">
        <v>21313</v>
      </c>
      <c r="K10146" s="17"/>
      <c r="L10146" s="17" t="s">
        <v>22378</v>
      </c>
      <c r="M10146" s="17"/>
      <c r="N10146" s="17" t="s">
        <v>22459</v>
      </c>
      <c r="O10146" s="17"/>
      <c r="P10146" s="17" t="s">
        <v>22471</v>
      </c>
      <c r="Q10146" s="17"/>
      <c r="R10146" s="25" t="str">
        <f>HYPERLINK("https://ictv.global/taxonomy/taxondetails?taxnode_id=202310998","Alehxovirus agrenecus")</f>
        <v>Alehxovirus agrenecus</v>
      </c>
      <c r="S10146" s="18" t="s">
        <v>30</v>
      </c>
      <c r="T10146" s="18" t="s">
        <v>22474</v>
      </c>
      <c r="U10146" s="18"/>
      <c r="V10146" s="18"/>
      <c r="W10146" s="18" t="s">
        <v>22475</v>
      </c>
      <c r="X10146" s="18" t="s">
        <v>35</v>
      </c>
      <c r="Y10146" s="18" t="s">
        <v>17171</v>
      </c>
      <c r="Z10146" s="18" t="s">
        <v>697</v>
      </c>
      <c r="AA10146" s="21" t="str">
        <f>HYPERLINK("https://www.ncbi.nlm.nih.gov/nuccore/BK013537","NCBI Nucleotide")</f>
        <v>NCBI Nucleotide</v>
      </c>
    </row>
    <row r="10147" spans="1:27" x14ac:dyDescent="0.35">
      <c r="A10147">
        <v>1009823</v>
      </c>
      <c r="B10147">
        <v>9472</v>
      </c>
      <c r="C10147">
        <v>1</v>
      </c>
      <c r="D10147" s="17" t="s">
        <v>17166</v>
      </c>
      <c r="E10147" s="17"/>
      <c r="F10147" s="17" t="s">
        <v>17246</v>
      </c>
      <c r="G10147" s="17"/>
      <c r="H10147" s="17" t="s">
        <v>20919</v>
      </c>
      <c r="I10147" s="17"/>
      <c r="J10147" s="17" t="s">
        <v>21313</v>
      </c>
      <c r="K10147" s="17"/>
      <c r="L10147" s="17" t="s">
        <v>22378</v>
      </c>
      <c r="M10147" s="17"/>
      <c r="N10147" s="17" t="s">
        <v>22459</v>
      </c>
      <c r="O10147" s="17"/>
      <c r="P10147" s="17" t="s">
        <v>22471</v>
      </c>
      <c r="Q10147" s="17"/>
      <c r="R10147" s="25" t="str">
        <f>HYPERLINK("https://ictv.global/taxonomy/taxondetails?taxnode_id=202310997","Alehxovirus agricola")</f>
        <v>Alehxovirus agricola</v>
      </c>
      <c r="S10147" s="18" t="s">
        <v>30</v>
      </c>
      <c r="T10147" s="18" t="s">
        <v>22476</v>
      </c>
      <c r="U10147" s="18"/>
      <c r="V10147" s="18"/>
      <c r="W10147" s="18" t="s">
        <v>22477</v>
      </c>
      <c r="X10147" s="18" t="s">
        <v>35</v>
      </c>
      <c r="Y10147" s="18" t="s">
        <v>17171</v>
      </c>
      <c r="Z10147" s="18" t="s">
        <v>697</v>
      </c>
      <c r="AA10147" s="21" t="str">
        <f>HYPERLINK("https://www.ncbi.nlm.nih.gov/nuccore/BK013555","NCBI Nucleotide")</f>
        <v>NCBI Nucleotide</v>
      </c>
    </row>
    <row r="10148" spans="1:27" x14ac:dyDescent="0.35">
      <c r="A10148">
        <v>1009824</v>
      </c>
      <c r="B10148">
        <v>9473</v>
      </c>
      <c r="C10148">
        <v>1</v>
      </c>
      <c r="D10148" s="17" t="s">
        <v>17166</v>
      </c>
      <c r="E10148" s="17"/>
      <c r="F10148" s="17" t="s">
        <v>17246</v>
      </c>
      <c r="G10148" s="17"/>
      <c r="H10148" s="17" t="s">
        <v>20919</v>
      </c>
      <c r="I10148" s="17"/>
      <c r="J10148" s="17" t="s">
        <v>21313</v>
      </c>
      <c r="K10148" s="17"/>
      <c r="L10148" s="17" t="s">
        <v>22378</v>
      </c>
      <c r="M10148" s="17"/>
      <c r="N10148" s="17" t="s">
        <v>22459</v>
      </c>
      <c r="O10148" s="17"/>
      <c r="P10148" s="17" t="s">
        <v>22471</v>
      </c>
      <c r="Q10148" s="17"/>
      <c r="R10148" s="25" t="str">
        <f>HYPERLINK("https://ictv.global/taxonomy/taxondetails?taxnode_id=202310999","Alehxovirus agrihabitans")</f>
        <v>Alehxovirus agrihabitans</v>
      </c>
      <c r="S10148" s="18" t="s">
        <v>30</v>
      </c>
      <c r="T10148" s="18" t="s">
        <v>22478</v>
      </c>
      <c r="U10148" s="18"/>
      <c r="V10148" s="18"/>
      <c r="W10148" s="18" t="s">
        <v>22479</v>
      </c>
      <c r="X10148" s="18" t="s">
        <v>35</v>
      </c>
      <c r="Y10148" s="18" t="s">
        <v>17171</v>
      </c>
      <c r="Z10148" s="18" t="s">
        <v>697</v>
      </c>
      <c r="AA10148" s="21" t="str">
        <f>HYPERLINK("https://www.ncbi.nlm.nih.gov/nuccore/BK013861","NCBI Nucleotide")</f>
        <v>NCBI Nucleotide</v>
      </c>
    </row>
    <row r="10149" spans="1:27" x14ac:dyDescent="0.35">
      <c r="A10149">
        <v>1025855</v>
      </c>
      <c r="B10149">
        <v>9474</v>
      </c>
      <c r="C10149">
        <v>1</v>
      </c>
      <c r="D10149" s="17" t="s">
        <v>17166</v>
      </c>
      <c r="E10149" s="17"/>
      <c r="F10149" s="17" t="s">
        <v>17246</v>
      </c>
      <c r="G10149" s="17"/>
      <c r="H10149" s="17" t="s">
        <v>20919</v>
      </c>
      <c r="I10149" s="17"/>
      <c r="J10149" s="17" t="s">
        <v>21313</v>
      </c>
      <c r="K10149" s="17"/>
      <c r="L10149" s="17" t="s">
        <v>22378</v>
      </c>
      <c r="M10149" s="17"/>
      <c r="N10149" s="17" t="s">
        <v>22459</v>
      </c>
      <c r="O10149" s="17"/>
      <c r="P10149" s="17" t="s">
        <v>22471</v>
      </c>
      <c r="Q10149" s="17"/>
      <c r="R10149" s="25" t="str">
        <f>HYPERLINK("https://ictv.global/taxonomy/taxondetails?taxnode_id=202316835","Alehxovirus allofaecadaptatum")</f>
        <v>Alehxovirus allofaecadaptatum</v>
      </c>
      <c r="S10149" s="18" t="s">
        <v>30</v>
      </c>
      <c r="T10149" s="18" t="s">
        <v>44389</v>
      </c>
      <c r="U10149" s="18"/>
      <c r="V10149" s="18" t="s">
        <v>44389</v>
      </c>
      <c r="W10149" s="18" t="s">
        <v>44390</v>
      </c>
      <c r="X10149" s="18" t="s">
        <v>35</v>
      </c>
      <c r="Y10149" s="18" t="s">
        <v>17171</v>
      </c>
      <c r="Z10149" s="18" t="s">
        <v>24637</v>
      </c>
      <c r="AA10149" s="21" t="str">
        <f>HYPERLINK("https://www.ncbi.nlm.nih.gov/nuccore/MZ679753","NCBI Nucleotide")</f>
        <v>NCBI Nucleotide</v>
      </c>
    </row>
    <row r="10150" spans="1:27" x14ac:dyDescent="0.35">
      <c r="A10150">
        <v>1025856</v>
      </c>
      <c r="B10150">
        <v>9475</v>
      </c>
      <c r="C10150">
        <v>1</v>
      </c>
      <c r="D10150" s="17" t="s">
        <v>17166</v>
      </c>
      <c r="E10150" s="17"/>
      <c r="F10150" s="17" t="s">
        <v>17246</v>
      </c>
      <c r="G10150" s="17"/>
      <c r="H10150" s="17" t="s">
        <v>20919</v>
      </c>
      <c r="I10150" s="17"/>
      <c r="J10150" s="17" t="s">
        <v>21313</v>
      </c>
      <c r="K10150" s="17"/>
      <c r="L10150" s="17" t="s">
        <v>22378</v>
      </c>
      <c r="M10150" s="17"/>
      <c r="N10150" s="17" t="s">
        <v>22459</v>
      </c>
      <c r="O10150" s="17"/>
      <c r="P10150" s="17" t="s">
        <v>22471</v>
      </c>
      <c r="Q10150" s="17"/>
      <c r="R10150" s="25" t="str">
        <f>HYPERLINK("https://ictv.global/taxonomy/taxondetails?taxnode_id=202316836","Alehxovirus allofaecicola")</f>
        <v>Alehxovirus allofaecicola</v>
      </c>
      <c r="S10150" s="18" t="s">
        <v>30</v>
      </c>
      <c r="T10150" s="18" t="s">
        <v>44391</v>
      </c>
      <c r="U10150" s="18"/>
      <c r="V10150" s="18" t="s">
        <v>44391</v>
      </c>
      <c r="W10150" s="18" t="s">
        <v>44392</v>
      </c>
      <c r="X10150" s="18" t="s">
        <v>35</v>
      </c>
      <c r="Y10150" s="18" t="s">
        <v>17171</v>
      </c>
      <c r="Z10150" s="18" t="s">
        <v>24637</v>
      </c>
      <c r="AA10150" s="21" t="str">
        <f>HYPERLINK("https://www.ncbi.nlm.nih.gov/nuccore/MZ679721","NCBI Nucleotide")</f>
        <v>NCBI Nucleotide</v>
      </c>
    </row>
    <row r="10151" spans="1:27" x14ac:dyDescent="0.35">
      <c r="A10151">
        <v>1025857</v>
      </c>
      <c r="B10151">
        <v>9476</v>
      </c>
      <c r="C10151">
        <v>1</v>
      </c>
      <c r="D10151" s="17" t="s">
        <v>17166</v>
      </c>
      <c r="E10151" s="17"/>
      <c r="F10151" s="17" t="s">
        <v>17246</v>
      </c>
      <c r="G10151" s="17"/>
      <c r="H10151" s="17" t="s">
        <v>20919</v>
      </c>
      <c r="I10151" s="17"/>
      <c r="J10151" s="17" t="s">
        <v>21313</v>
      </c>
      <c r="K10151" s="17"/>
      <c r="L10151" s="17" t="s">
        <v>22378</v>
      </c>
      <c r="M10151" s="17"/>
      <c r="N10151" s="17" t="s">
        <v>22459</v>
      </c>
      <c r="O10151" s="17"/>
      <c r="P10151" s="17" t="s">
        <v>22471</v>
      </c>
      <c r="Q10151" s="17"/>
      <c r="R10151" s="25" t="str">
        <f>HYPERLINK("https://ictv.global/taxonomy/taxondetails?taxnode_id=202316837","Alehxovirus allofaecivicinum")</f>
        <v>Alehxovirus allofaecivicinum</v>
      </c>
      <c r="S10151" s="18" t="s">
        <v>30</v>
      </c>
      <c r="T10151" s="18" t="s">
        <v>44393</v>
      </c>
      <c r="U10151" s="18"/>
      <c r="V10151" s="18" t="s">
        <v>44393</v>
      </c>
      <c r="W10151" s="18" t="s">
        <v>44394</v>
      </c>
      <c r="X10151" s="18" t="s">
        <v>35</v>
      </c>
      <c r="Y10151" s="18" t="s">
        <v>17171</v>
      </c>
      <c r="Z10151" s="18" t="s">
        <v>24637</v>
      </c>
      <c r="AA10151" s="21" t="str">
        <f>HYPERLINK("https://www.ncbi.nlm.nih.gov/nuccore/MZ679800","NCBI Nucleotide")</f>
        <v>NCBI Nucleotide</v>
      </c>
    </row>
    <row r="10152" spans="1:27" x14ac:dyDescent="0.35">
      <c r="A10152">
        <v>1025858</v>
      </c>
      <c r="B10152">
        <v>9477</v>
      </c>
      <c r="C10152">
        <v>1</v>
      </c>
      <c r="D10152" s="17" t="s">
        <v>17166</v>
      </c>
      <c r="E10152" s="17"/>
      <c r="F10152" s="17" t="s">
        <v>17246</v>
      </c>
      <c r="G10152" s="17"/>
      <c r="H10152" s="17" t="s">
        <v>20919</v>
      </c>
      <c r="I10152" s="17"/>
      <c r="J10152" s="17" t="s">
        <v>21313</v>
      </c>
      <c r="K10152" s="17"/>
      <c r="L10152" s="17" t="s">
        <v>22378</v>
      </c>
      <c r="M10152" s="17"/>
      <c r="N10152" s="17" t="s">
        <v>22459</v>
      </c>
      <c r="O10152" s="17"/>
      <c r="P10152" s="17" t="s">
        <v>22471</v>
      </c>
      <c r="Q10152" s="17"/>
      <c r="R10152" s="25" t="str">
        <f>HYPERLINK("https://ictv.global/taxonomy/taxondetails?taxnode_id=202316838","Alehxovirus allofundenecus")</f>
        <v>Alehxovirus allofundenecus</v>
      </c>
      <c r="S10152" s="18" t="s">
        <v>30</v>
      </c>
      <c r="T10152" s="18" t="s">
        <v>44395</v>
      </c>
      <c r="U10152" s="18"/>
      <c r="V10152" s="18" t="s">
        <v>44395</v>
      </c>
      <c r="W10152" s="18" t="s">
        <v>44396</v>
      </c>
      <c r="X10152" s="18" t="s">
        <v>35</v>
      </c>
      <c r="Y10152" s="18" t="s">
        <v>17171</v>
      </c>
      <c r="Z10152" s="18" t="s">
        <v>24637</v>
      </c>
      <c r="AA10152" s="21" t="str">
        <f>HYPERLINK("https://www.ncbi.nlm.nih.gov/nuccore/MZ679765","NCBI Nucleotide")</f>
        <v>NCBI Nucleotide</v>
      </c>
    </row>
    <row r="10153" spans="1:27" x14ac:dyDescent="0.35">
      <c r="A10153">
        <v>1025859</v>
      </c>
      <c r="B10153">
        <v>9478</v>
      </c>
      <c r="C10153">
        <v>1</v>
      </c>
      <c r="D10153" s="17" t="s">
        <v>17166</v>
      </c>
      <c r="E10153" s="17"/>
      <c r="F10153" s="17" t="s">
        <v>17246</v>
      </c>
      <c r="G10153" s="17"/>
      <c r="H10153" s="17" t="s">
        <v>20919</v>
      </c>
      <c r="I10153" s="17"/>
      <c r="J10153" s="17" t="s">
        <v>21313</v>
      </c>
      <c r="K10153" s="17"/>
      <c r="L10153" s="17" t="s">
        <v>22378</v>
      </c>
      <c r="M10153" s="17"/>
      <c r="N10153" s="17" t="s">
        <v>22459</v>
      </c>
      <c r="O10153" s="17"/>
      <c r="P10153" s="17" t="s">
        <v>22471</v>
      </c>
      <c r="Q10153" s="17"/>
      <c r="R10153" s="25" t="str">
        <f>HYPERLINK("https://ictv.global/taxonomy/taxondetails?taxnode_id=202316839","Alehxovirus allofundihabitans")</f>
        <v>Alehxovirus allofundihabitans</v>
      </c>
      <c r="S10153" s="18" t="s">
        <v>30</v>
      </c>
      <c r="T10153" s="18" t="s">
        <v>44397</v>
      </c>
      <c r="U10153" s="18"/>
      <c r="V10153" s="18" t="s">
        <v>44397</v>
      </c>
      <c r="W10153" s="18" t="s">
        <v>44398</v>
      </c>
      <c r="X10153" s="18" t="s">
        <v>35</v>
      </c>
      <c r="Y10153" s="18" t="s">
        <v>17171</v>
      </c>
      <c r="Z10153" s="18" t="s">
        <v>24637</v>
      </c>
      <c r="AA10153" s="21" t="str">
        <f>HYPERLINK("https://www.ncbi.nlm.nih.gov/nuccore/MZ679514","NCBI Nucleotide")</f>
        <v>NCBI Nucleotide</v>
      </c>
    </row>
    <row r="10154" spans="1:27" x14ac:dyDescent="0.35">
      <c r="A10154">
        <v>1025860</v>
      </c>
      <c r="B10154">
        <v>9479</v>
      </c>
      <c r="C10154">
        <v>1</v>
      </c>
      <c r="D10154" s="17" t="s">
        <v>17166</v>
      </c>
      <c r="E10154" s="17"/>
      <c r="F10154" s="17" t="s">
        <v>17246</v>
      </c>
      <c r="G10154" s="17"/>
      <c r="H10154" s="17" t="s">
        <v>20919</v>
      </c>
      <c r="I10154" s="17"/>
      <c r="J10154" s="17" t="s">
        <v>21313</v>
      </c>
      <c r="K10154" s="17"/>
      <c r="L10154" s="17" t="s">
        <v>22378</v>
      </c>
      <c r="M10154" s="17"/>
      <c r="N10154" s="17" t="s">
        <v>22459</v>
      </c>
      <c r="O10154" s="17"/>
      <c r="P10154" s="17" t="s">
        <v>22471</v>
      </c>
      <c r="Q10154" s="17"/>
      <c r="R10154" s="25" t="str">
        <f>HYPERLINK("https://ictv.global/taxonomy/taxondetails?taxnode_id=202316840","Alehxovirus allofundivicinum")</f>
        <v>Alehxovirus allofundivicinum</v>
      </c>
      <c r="S10154" s="18" t="s">
        <v>30</v>
      </c>
      <c r="T10154" s="18" t="s">
        <v>44399</v>
      </c>
      <c r="U10154" s="18"/>
      <c r="V10154" s="18" t="s">
        <v>44399</v>
      </c>
      <c r="W10154" s="18" t="s">
        <v>44400</v>
      </c>
      <c r="X10154" s="18" t="s">
        <v>35</v>
      </c>
      <c r="Y10154" s="18" t="s">
        <v>17171</v>
      </c>
      <c r="Z10154" s="18" t="s">
        <v>24637</v>
      </c>
      <c r="AA10154" s="21" t="str">
        <f>HYPERLINK("https://www.ncbi.nlm.nih.gov/nuccore/MZ679740","NCBI Nucleotide")</f>
        <v>NCBI Nucleotide</v>
      </c>
    </row>
    <row r="10155" spans="1:27" x14ac:dyDescent="0.35">
      <c r="A10155">
        <v>1025861</v>
      </c>
      <c r="B10155">
        <v>9480</v>
      </c>
      <c r="C10155">
        <v>1</v>
      </c>
      <c r="D10155" s="17" t="s">
        <v>17166</v>
      </c>
      <c r="E10155" s="17"/>
      <c r="F10155" s="17" t="s">
        <v>17246</v>
      </c>
      <c r="G10155" s="17"/>
      <c r="H10155" s="17" t="s">
        <v>20919</v>
      </c>
      <c r="I10155" s="17"/>
      <c r="J10155" s="17" t="s">
        <v>21313</v>
      </c>
      <c r="K10155" s="17"/>
      <c r="L10155" s="17" t="s">
        <v>22378</v>
      </c>
      <c r="M10155" s="17"/>
      <c r="N10155" s="17" t="s">
        <v>22459</v>
      </c>
      <c r="O10155" s="17"/>
      <c r="P10155" s="17" t="s">
        <v>22471</v>
      </c>
      <c r="Q10155" s="17"/>
      <c r="R10155" s="25" t="str">
        <f>HYPERLINK("https://ictv.global/taxonomy/taxondetails?taxnode_id=202316841","Alehxovirus allofundivivens")</f>
        <v>Alehxovirus allofundivivens</v>
      </c>
      <c r="S10155" s="18" t="s">
        <v>30</v>
      </c>
      <c r="T10155" s="18" t="s">
        <v>44401</v>
      </c>
      <c r="U10155" s="18"/>
      <c r="V10155" s="18" t="s">
        <v>44401</v>
      </c>
      <c r="W10155" s="18" t="s">
        <v>44402</v>
      </c>
      <c r="X10155" s="18" t="s">
        <v>35</v>
      </c>
      <c r="Y10155" s="18" t="s">
        <v>17171</v>
      </c>
      <c r="Z10155" s="18" t="s">
        <v>24637</v>
      </c>
      <c r="AA10155" s="21" t="str">
        <f>HYPERLINK("https://www.ncbi.nlm.nih.gov/nuccore/MZ679678","NCBI Nucleotide")</f>
        <v>NCBI Nucleotide</v>
      </c>
    </row>
    <row r="10156" spans="1:27" x14ac:dyDescent="0.35">
      <c r="A10156">
        <v>1025862</v>
      </c>
      <c r="B10156">
        <v>9481</v>
      </c>
      <c r="C10156">
        <v>1</v>
      </c>
      <c r="D10156" s="17" t="s">
        <v>17166</v>
      </c>
      <c r="E10156" s="17"/>
      <c r="F10156" s="17" t="s">
        <v>17246</v>
      </c>
      <c r="G10156" s="17"/>
      <c r="H10156" s="17" t="s">
        <v>20919</v>
      </c>
      <c r="I10156" s="17"/>
      <c r="J10156" s="17" t="s">
        <v>21313</v>
      </c>
      <c r="K10156" s="17"/>
      <c r="L10156" s="17" t="s">
        <v>22378</v>
      </c>
      <c r="M10156" s="17"/>
      <c r="N10156" s="17" t="s">
        <v>22459</v>
      </c>
      <c r="O10156" s="17"/>
      <c r="P10156" s="17" t="s">
        <v>22471</v>
      </c>
      <c r="Q10156" s="17"/>
      <c r="R10156" s="25" t="str">
        <f>HYPERLINK("https://ictv.global/taxonomy/taxondetails?taxnode_id=202316842","Alehxovirus allonemorisadaptatum")</f>
        <v>Alehxovirus allonemorisadaptatum</v>
      </c>
      <c r="S10156" s="18" t="s">
        <v>30</v>
      </c>
      <c r="T10156" s="18" t="s">
        <v>44403</v>
      </c>
      <c r="U10156" s="18"/>
      <c r="V10156" s="18" t="s">
        <v>44403</v>
      </c>
      <c r="W10156" s="18" t="s">
        <v>44404</v>
      </c>
      <c r="X10156" s="18" t="s">
        <v>35</v>
      </c>
      <c r="Y10156" s="18" t="s">
        <v>17171</v>
      </c>
      <c r="Z10156" s="18" t="s">
        <v>24637</v>
      </c>
      <c r="AA10156" s="21" t="str">
        <f>HYPERLINK("https://www.ncbi.nlm.nih.gov/nuccore/MZ679625","NCBI Nucleotide")</f>
        <v>NCBI Nucleotide</v>
      </c>
    </row>
    <row r="10157" spans="1:27" x14ac:dyDescent="0.35">
      <c r="A10157">
        <v>1025863</v>
      </c>
      <c r="B10157">
        <v>9482</v>
      </c>
      <c r="C10157">
        <v>1</v>
      </c>
      <c r="D10157" s="17" t="s">
        <v>17166</v>
      </c>
      <c r="E10157" s="17"/>
      <c r="F10157" s="17" t="s">
        <v>17246</v>
      </c>
      <c r="G10157" s="17"/>
      <c r="H10157" s="17" t="s">
        <v>20919</v>
      </c>
      <c r="I10157" s="17"/>
      <c r="J10157" s="17" t="s">
        <v>21313</v>
      </c>
      <c r="K10157" s="17"/>
      <c r="L10157" s="17" t="s">
        <v>22378</v>
      </c>
      <c r="M10157" s="17"/>
      <c r="N10157" s="17" t="s">
        <v>22459</v>
      </c>
      <c r="O10157" s="17"/>
      <c r="P10157" s="17" t="s">
        <v>22471</v>
      </c>
      <c r="Q10157" s="17"/>
      <c r="R10157" s="25" t="str">
        <f>HYPERLINK("https://ictv.global/taxonomy/taxondetails?taxnode_id=202316843","Alehxovirus allonemoriscola")</f>
        <v>Alehxovirus allonemoriscola</v>
      </c>
      <c r="S10157" s="18" t="s">
        <v>30</v>
      </c>
      <c r="T10157" s="18" t="s">
        <v>44405</v>
      </c>
      <c r="U10157" s="18"/>
      <c r="V10157" s="18" t="s">
        <v>44405</v>
      </c>
      <c r="W10157" s="18" t="s">
        <v>44406</v>
      </c>
      <c r="X10157" s="18" t="s">
        <v>35</v>
      </c>
      <c r="Y10157" s="18" t="s">
        <v>17171</v>
      </c>
      <c r="Z10157" s="18" t="s">
        <v>24637</v>
      </c>
      <c r="AA10157" s="21" t="str">
        <f>HYPERLINK("https://www.ncbi.nlm.nih.gov/nuccore/MZ679710","NCBI Nucleotide")</f>
        <v>NCBI Nucleotide</v>
      </c>
    </row>
    <row r="10158" spans="1:27" x14ac:dyDescent="0.35">
      <c r="A10158">
        <v>1025864</v>
      </c>
      <c r="B10158">
        <v>9483</v>
      </c>
      <c r="C10158">
        <v>1</v>
      </c>
      <c r="D10158" s="17" t="s">
        <v>17166</v>
      </c>
      <c r="E10158" s="17"/>
      <c r="F10158" s="17" t="s">
        <v>17246</v>
      </c>
      <c r="G10158" s="17"/>
      <c r="H10158" s="17" t="s">
        <v>20919</v>
      </c>
      <c r="I10158" s="17"/>
      <c r="J10158" s="17" t="s">
        <v>21313</v>
      </c>
      <c r="K10158" s="17"/>
      <c r="L10158" s="17" t="s">
        <v>22378</v>
      </c>
      <c r="M10158" s="17"/>
      <c r="N10158" s="17" t="s">
        <v>22459</v>
      </c>
      <c r="O10158" s="17"/>
      <c r="P10158" s="17" t="s">
        <v>22471</v>
      </c>
      <c r="Q10158" s="17"/>
      <c r="R10158" s="25" t="str">
        <f>HYPERLINK("https://ictv.global/taxonomy/taxondetails?taxnode_id=202316844","Alehxovirus allonemorisenecus")</f>
        <v>Alehxovirus allonemorisenecus</v>
      </c>
      <c r="S10158" s="18" t="s">
        <v>30</v>
      </c>
      <c r="T10158" s="18" t="s">
        <v>44407</v>
      </c>
      <c r="U10158" s="18"/>
      <c r="V10158" s="18" t="s">
        <v>44407</v>
      </c>
      <c r="W10158" s="18" t="s">
        <v>44408</v>
      </c>
      <c r="X10158" s="18" t="s">
        <v>35</v>
      </c>
      <c r="Y10158" s="18" t="s">
        <v>17171</v>
      </c>
      <c r="Z10158" s="18" t="s">
        <v>24637</v>
      </c>
      <c r="AA10158" s="21" t="str">
        <f>HYPERLINK("https://www.ncbi.nlm.nih.gov/nuccore/MZ679471","NCBI Nucleotide")</f>
        <v>NCBI Nucleotide</v>
      </c>
    </row>
    <row r="10159" spans="1:27" x14ac:dyDescent="0.35">
      <c r="A10159">
        <v>1025865</v>
      </c>
      <c r="B10159">
        <v>9484</v>
      </c>
      <c r="C10159">
        <v>1</v>
      </c>
      <c r="D10159" s="17" t="s">
        <v>17166</v>
      </c>
      <c r="E10159" s="17"/>
      <c r="F10159" s="17" t="s">
        <v>17246</v>
      </c>
      <c r="G10159" s="17"/>
      <c r="H10159" s="17" t="s">
        <v>20919</v>
      </c>
      <c r="I10159" s="17"/>
      <c r="J10159" s="17" t="s">
        <v>21313</v>
      </c>
      <c r="K10159" s="17"/>
      <c r="L10159" s="17" t="s">
        <v>22378</v>
      </c>
      <c r="M10159" s="17"/>
      <c r="N10159" s="17" t="s">
        <v>22459</v>
      </c>
      <c r="O10159" s="17"/>
      <c r="P10159" s="17" t="s">
        <v>22471</v>
      </c>
      <c r="Q10159" s="17"/>
      <c r="R10159" s="25" t="str">
        <f>HYPERLINK("https://ictv.global/taxonomy/taxondetails?taxnode_id=202316845","Alehxovirus allonemorishabitans")</f>
        <v>Alehxovirus allonemorishabitans</v>
      </c>
      <c r="S10159" s="18" t="s">
        <v>30</v>
      </c>
      <c r="T10159" s="18" t="s">
        <v>44409</v>
      </c>
      <c r="U10159" s="18"/>
      <c r="V10159" s="18" t="s">
        <v>44409</v>
      </c>
      <c r="W10159" s="18" t="s">
        <v>44410</v>
      </c>
      <c r="X10159" s="18" t="s">
        <v>35</v>
      </c>
      <c r="Y10159" s="18" t="s">
        <v>17171</v>
      </c>
      <c r="Z10159" s="18" t="s">
        <v>24637</v>
      </c>
      <c r="AA10159" s="21" t="str">
        <f>HYPERLINK("https://www.ncbi.nlm.nih.gov/nuccore/MZ679660","NCBI Nucleotide")</f>
        <v>NCBI Nucleotide</v>
      </c>
    </row>
    <row r="10160" spans="1:27" x14ac:dyDescent="0.35">
      <c r="A10160">
        <v>1010081</v>
      </c>
      <c r="B10160">
        <v>9485</v>
      </c>
      <c r="C10160">
        <v>1</v>
      </c>
      <c r="D10160" s="17" t="s">
        <v>17166</v>
      </c>
      <c r="E10160" s="17"/>
      <c r="F10160" s="17" t="s">
        <v>17246</v>
      </c>
      <c r="G10160" s="17"/>
      <c r="H10160" s="17" t="s">
        <v>20919</v>
      </c>
      <c r="I10160" s="17"/>
      <c r="J10160" s="17" t="s">
        <v>21313</v>
      </c>
      <c r="K10160" s="17"/>
      <c r="L10160" s="17" t="s">
        <v>22378</v>
      </c>
      <c r="M10160" s="17"/>
      <c r="N10160" s="17" t="s">
        <v>22459</v>
      </c>
      <c r="O10160" s="17"/>
      <c r="P10160" s="17" t="s">
        <v>22471</v>
      </c>
      <c r="Q10160" s="17"/>
      <c r="R10160" s="25" t="str">
        <f>HYPERLINK("https://ictv.global/taxonomy/taxondetails?taxnode_id=202311306","Alehxovirus asiadaptatum")</f>
        <v>Alehxovirus asiadaptatum</v>
      </c>
      <c r="S10160" s="18" t="s">
        <v>30</v>
      </c>
      <c r="T10160" s="18" t="s">
        <v>23006</v>
      </c>
      <c r="U10160" s="18"/>
      <c r="V10160" s="18"/>
      <c r="W10160" s="18" t="s">
        <v>23007</v>
      </c>
      <c r="X10160" s="18" t="s">
        <v>35</v>
      </c>
      <c r="Y10160" s="18" t="s">
        <v>17171</v>
      </c>
      <c r="Z10160" s="18" t="s">
        <v>697</v>
      </c>
      <c r="AA10160" s="21" t="str">
        <f>HYPERLINK("https://www.ncbi.nlm.nih.gov/nuccore/BK013734","NCBI Nucleotide")</f>
        <v>NCBI Nucleotide</v>
      </c>
    </row>
    <row r="10161" spans="1:27" x14ac:dyDescent="0.35">
      <c r="A10161">
        <v>1009825</v>
      </c>
      <c r="B10161">
        <v>9486</v>
      </c>
      <c r="C10161">
        <v>1</v>
      </c>
      <c r="D10161" s="17" t="s">
        <v>17166</v>
      </c>
      <c r="E10161" s="17"/>
      <c r="F10161" s="17" t="s">
        <v>17246</v>
      </c>
      <c r="G10161" s="17"/>
      <c r="H10161" s="17" t="s">
        <v>20919</v>
      </c>
      <c r="I10161" s="17"/>
      <c r="J10161" s="17" t="s">
        <v>21313</v>
      </c>
      <c r="K10161" s="17"/>
      <c r="L10161" s="17" t="s">
        <v>22378</v>
      </c>
      <c r="M10161" s="17"/>
      <c r="N10161" s="17" t="s">
        <v>22459</v>
      </c>
      <c r="O10161" s="17"/>
      <c r="P10161" s="17" t="s">
        <v>22471</v>
      </c>
      <c r="Q10161" s="17"/>
      <c r="R10161" s="25" t="str">
        <f>HYPERLINK("https://ictv.global/taxonomy/taxondetails?taxnode_id=202310994","Alehxovirus asiohabitans")</f>
        <v>Alehxovirus asiohabitans</v>
      </c>
      <c r="S10161" s="18" t="s">
        <v>30</v>
      </c>
      <c r="T10161" s="18" t="s">
        <v>22480</v>
      </c>
      <c r="U10161" s="18"/>
      <c r="V10161" s="18"/>
      <c r="W10161" s="18" t="s">
        <v>22481</v>
      </c>
      <c r="X10161" s="18" t="s">
        <v>35</v>
      </c>
      <c r="Y10161" s="18" t="s">
        <v>17171</v>
      </c>
      <c r="Z10161" s="18" t="s">
        <v>697</v>
      </c>
      <c r="AA10161" s="21" t="str">
        <f>HYPERLINK("https://www.ncbi.nlm.nih.gov/nuccore/BK014107","NCBI Nucleotide")</f>
        <v>NCBI Nucleotide</v>
      </c>
    </row>
    <row r="10162" spans="1:27" x14ac:dyDescent="0.35">
      <c r="A10162">
        <v>1009826</v>
      </c>
      <c r="B10162">
        <v>9487</v>
      </c>
      <c r="C10162">
        <v>1</v>
      </c>
      <c r="D10162" s="17" t="s">
        <v>17166</v>
      </c>
      <c r="E10162" s="17"/>
      <c r="F10162" s="17" t="s">
        <v>17246</v>
      </c>
      <c r="G10162" s="17"/>
      <c r="H10162" s="17" t="s">
        <v>20919</v>
      </c>
      <c r="I10162" s="17"/>
      <c r="J10162" s="17" t="s">
        <v>21313</v>
      </c>
      <c r="K10162" s="17"/>
      <c r="L10162" s="17" t="s">
        <v>22378</v>
      </c>
      <c r="M10162" s="17"/>
      <c r="N10162" s="17" t="s">
        <v>22459</v>
      </c>
      <c r="O10162" s="17"/>
      <c r="P10162" s="17" t="s">
        <v>22471</v>
      </c>
      <c r="Q10162" s="17"/>
      <c r="R10162" s="25" t="str">
        <f>HYPERLINK("https://ictv.global/taxonomy/taxondetails?taxnode_id=202310995","Alehxovirus asiovicinum")</f>
        <v>Alehxovirus asiovicinum</v>
      </c>
      <c r="S10162" s="18" t="s">
        <v>30</v>
      </c>
      <c r="T10162" s="18" t="s">
        <v>22482</v>
      </c>
      <c r="U10162" s="18"/>
      <c r="V10162" s="18"/>
      <c r="W10162" s="18" t="s">
        <v>22483</v>
      </c>
      <c r="X10162" s="18" t="s">
        <v>35</v>
      </c>
      <c r="Y10162" s="18" t="s">
        <v>17171</v>
      </c>
      <c r="Z10162" s="18" t="s">
        <v>697</v>
      </c>
      <c r="AA10162" s="21" t="str">
        <f>HYPERLINK("https://www.ncbi.nlm.nih.gov/nuccore/BK014117","NCBI Nucleotide")</f>
        <v>NCBI Nucleotide</v>
      </c>
    </row>
    <row r="10163" spans="1:27" x14ac:dyDescent="0.35">
      <c r="A10163">
        <v>1009827</v>
      </c>
      <c r="B10163">
        <v>9488</v>
      </c>
      <c r="C10163">
        <v>1</v>
      </c>
      <c r="D10163" s="17" t="s">
        <v>17166</v>
      </c>
      <c r="E10163" s="17"/>
      <c r="F10163" s="17" t="s">
        <v>17246</v>
      </c>
      <c r="G10163" s="17"/>
      <c r="H10163" s="17" t="s">
        <v>20919</v>
      </c>
      <c r="I10163" s="17"/>
      <c r="J10163" s="17" t="s">
        <v>21313</v>
      </c>
      <c r="K10163" s="17"/>
      <c r="L10163" s="17" t="s">
        <v>22378</v>
      </c>
      <c r="M10163" s="17"/>
      <c r="N10163" s="17" t="s">
        <v>22459</v>
      </c>
      <c r="O10163" s="17"/>
      <c r="P10163" s="17" t="s">
        <v>22471</v>
      </c>
      <c r="Q10163" s="17"/>
      <c r="R10163" s="25" t="str">
        <f>HYPERLINK("https://ictv.global/taxonomy/taxondetails?taxnode_id=202310990","Alehxovirus asiovivens")</f>
        <v>Alehxovirus asiovivens</v>
      </c>
      <c r="S10163" s="18" t="s">
        <v>30</v>
      </c>
      <c r="T10163" s="18" t="s">
        <v>22484</v>
      </c>
      <c r="U10163" s="18"/>
      <c r="V10163" s="18"/>
      <c r="W10163" s="18" t="s">
        <v>22485</v>
      </c>
      <c r="X10163" s="18" t="s">
        <v>35</v>
      </c>
      <c r="Y10163" s="18" t="s">
        <v>17171</v>
      </c>
      <c r="Z10163" s="18" t="s">
        <v>697</v>
      </c>
      <c r="AA10163" s="21" t="str">
        <f>HYPERLINK("https://www.ncbi.nlm.nih.gov/nuccore/BK013670","NCBI Nucleotide")</f>
        <v>NCBI Nucleotide</v>
      </c>
    </row>
    <row r="10164" spans="1:27" x14ac:dyDescent="0.35">
      <c r="A10164">
        <v>1009828</v>
      </c>
      <c r="B10164">
        <v>9489</v>
      </c>
      <c r="C10164">
        <v>1</v>
      </c>
      <c r="D10164" s="17" t="s">
        <v>17166</v>
      </c>
      <c r="E10164" s="17"/>
      <c r="F10164" s="17" t="s">
        <v>17246</v>
      </c>
      <c r="G10164" s="17"/>
      <c r="H10164" s="17" t="s">
        <v>20919</v>
      </c>
      <c r="I10164" s="17"/>
      <c r="J10164" s="17" t="s">
        <v>21313</v>
      </c>
      <c r="K10164" s="17"/>
      <c r="L10164" s="17" t="s">
        <v>22378</v>
      </c>
      <c r="M10164" s="17"/>
      <c r="N10164" s="17" t="s">
        <v>22459</v>
      </c>
      <c r="O10164" s="17"/>
      <c r="P10164" s="17" t="s">
        <v>22471</v>
      </c>
      <c r="Q10164" s="17"/>
      <c r="R10164" s="25" t="str">
        <f>HYPERLINK("https://ictv.global/taxonomy/taxondetails?taxnode_id=202310996","Alehxovirus borboradaptatum")</f>
        <v>Alehxovirus borboradaptatum</v>
      </c>
      <c r="S10164" s="18" t="s">
        <v>30</v>
      </c>
      <c r="T10164" s="18" t="s">
        <v>22486</v>
      </c>
      <c r="U10164" s="18"/>
      <c r="V10164" s="18"/>
      <c r="W10164" s="18" t="s">
        <v>22487</v>
      </c>
      <c r="X10164" s="18" t="s">
        <v>35</v>
      </c>
      <c r="Y10164" s="18" t="s">
        <v>17171</v>
      </c>
      <c r="Z10164" s="18" t="s">
        <v>697</v>
      </c>
      <c r="AA10164" s="21" t="str">
        <f>HYPERLINK("https://www.ncbi.nlm.nih.gov/nuccore/BK014200","NCBI Nucleotide")</f>
        <v>NCBI Nucleotide</v>
      </c>
    </row>
    <row r="10165" spans="1:27" x14ac:dyDescent="0.35">
      <c r="A10165">
        <v>1009911</v>
      </c>
      <c r="B10165">
        <v>9490</v>
      </c>
      <c r="C10165">
        <v>1</v>
      </c>
      <c r="D10165" s="17" t="s">
        <v>17166</v>
      </c>
      <c r="E10165" s="17"/>
      <c r="F10165" s="17" t="s">
        <v>17246</v>
      </c>
      <c r="G10165" s="17"/>
      <c r="H10165" s="17" t="s">
        <v>20919</v>
      </c>
      <c r="I10165" s="17"/>
      <c r="J10165" s="17" t="s">
        <v>21313</v>
      </c>
      <c r="K10165" s="17"/>
      <c r="L10165" s="17" t="s">
        <v>22378</v>
      </c>
      <c r="M10165" s="17"/>
      <c r="N10165" s="17" t="s">
        <v>22459</v>
      </c>
      <c r="O10165" s="17"/>
      <c r="P10165" s="17" t="s">
        <v>22471</v>
      </c>
      <c r="Q10165" s="17"/>
      <c r="R10165" s="25" t="str">
        <f>HYPERLINK("https://ictv.global/taxonomy/taxondetails?taxnode_id=202311105","Alehxovirus chthonovicinum")</f>
        <v>Alehxovirus chthonovicinum</v>
      </c>
      <c r="S10165" s="18" t="s">
        <v>30</v>
      </c>
      <c r="T10165" s="18" t="s">
        <v>22653</v>
      </c>
      <c r="U10165" s="18"/>
      <c r="V10165" s="18"/>
      <c r="W10165" s="18" t="s">
        <v>22654</v>
      </c>
      <c r="X10165" s="18" t="s">
        <v>35</v>
      </c>
      <c r="Y10165" s="18" t="s">
        <v>17171</v>
      </c>
      <c r="Z10165" s="18" t="s">
        <v>697</v>
      </c>
      <c r="AA10165" s="21" t="str">
        <f>HYPERLINK("https://www.ncbi.nlm.nih.gov/nuccore/BK013571","NCBI Nucleotide")</f>
        <v>NCBI Nucleotide</v>
      </c>
    </row>
    <row r="10166" spans="1:27" x14ac:dyDescent="0.35">
      <c r="A10166">
        <v>1025866</v>
      </c>
      <c r="B10166">
        <v>9491</v>
      </c>
      <c r="C10166">
        <v>1</v>
      </c>
      <c r="D10166" s="17" t="s">
        <v>17166</v>
      </c>
      <c r="E10166" s="17"/>
      <c r="F10166" s="17" t="s">
        <v>17246</v>
      </c>
      <c r="G10166" s="17"/>
      <c r="H10166" s="17" t="s">
        <v>20919</v>
      </c>
      <c r="I10166" s="17"/>
      <c r="J10166" s="17" t="s">
        <v>21313</v>
      </c>
      <c r="K10166" s="17"/>
      <c r="L10166" s="17" t="s">
        <v>22378</v>
      </c>
      <c r="M10166" s="17"/>
      <c r="N10166" s="17" t="s">
        <v>22459</v>
      </c>
      <c r="O10166" s="17"/>
      <c r="P10166" s="17" t="s">
        <v>22471</v>
      </c>
      <c r="Q10166" s="17"/>
      <c r="R10166" s="25" t="str">
        <f>HYPERLINK("https://ictv.global/taxonomy/taxondetails?taxnode_id=202316846","Alehxovirus faecadaptatum")</f>
        <v>Alehxovirus faecadaptatum</v>
      </c>
      <c r="S10166" s="18" t="s">
        <v>30</v>
      </c>
      <c r="T10166" s="18" t="s">
        <v>44411</v>
      </c>
      <c r="U10166" s="18"/>
      <c r="V10166" s="18" t="s">
        <v>44411</v>
      </c>
      <c r="W10166" s="18" t="s">
        <v>44412</v>
      </c>
      <c r="X10166" s="18" t="s">
        <v>35</v>
      </c>
      <c r="Y10166" s="18" t="s">
        <v>17171</v>
      </c>
      <c r="Z10166" s="18" t="s">
        <v>24637</v>
      </c>
      <c r="AA10166" s="21" t="str">
        <f>HYPERLINK("https://www.ncbi.nlm.nih.gov/nuccore/MZ679669","NCBI Nucleotide")</f>
        <v>NCBI Nucleotide</v>
      </c>
    </row>
    <row r="10167" spans="1:27" x14ac:dyDescent="0.35">
      <c r="A10167">
        <v>1025867</v>
      </c>
      <c r="B10167">
        <v>9492</v>
      </c>
      <c r="C10167">
        <v>1</v>
      </c>
      <c r="D10167" s="17" t="s">
        <v>17166</v>
      </c>
      <c r="E10167" s="17"/>
      <c r="F10167" s="17" t="s">
        <v>17246</v>
      </c>
      <c r="G10167" s="17"/>
      <c r="H10167" s="17" t="s">
        <v>20919</v>
      </c>
      <c r="I10167" s="17"/>
      <c r="J10167" s="17" t="s">
        <v>21313</v>
      </c>
      <c r="K10167" s="17"/>
      <c r="L10167" s="17" t="s">
        <v>22378</v>
      </c>
      <c r="M10167" s="17"/>
      <c r="N10167" s="17" t="s">
        <v>22459</v>
      </c>
      <c r="O10167" s="17"/>
      <c r="P10167" s="17" t="s">
        <v>22471</v>
      </c>
      <c r="Q10167" s="17"/>
      <c r="R10167" s="25" t="str">
        <f>HYPERLINK("https://ictv.global/taxonomy/taxondetails?taxnode_id=202316847","Alehxovirus faecicola")</f>
        <v>Alehxovirus faecicola</v>
      </c>
      <c r="S10167" s="18" t="s">
        <v>30</v>
      </c>
      <c r="T10167" s="18" t="s">
        <v>44413</v>
      </c>
      <c r="U10167" s="18"/>
      <c r="V10167" s="18" t="s">
        <v>44413</v>
      </c>
      <c r="W10167" s="18" t="s">
        <v>44414</v>
      </c>
      <c r="X10167" s="18" t="s">
        <v>35</v>
      </c>
      <c r="Y10167" s="18" t="s">
        <v>17171</v>
      </c>
      <c r="Z10167" s="18" t="s">
        <v>24637</v>
      </c>
      <c r="AA10167" s="21" t="str">
        <f>HYPERLINK("https://www.ncbi.nlm.nih.gov/nuccore/MZ679688","NCBI Nucleotide")</f>
        <v>NCBI Nucleotide</v>
      </c>
    </row>
    <row r="10168" spans="1:27" x14ac:dyDescent="0.35">
      <c r="A10168">
        <v>1025868</v>
      </c>
      <c r="B10168">
        <v>9493</v>
      </c>
      <c r="C10168">
        <v>1</v>
      </c>
      <c r="D10168" s="17" t="s">
        <v>17166</v>
      </c>
      <c r="E10168" s="17"/>
      <c r="F10168" s="17" t="s">
        <v>17246</v>
      </c>
      <c r="G10168" s="17"/>
      <c r="H10168" s="17" t="s">
        <v>20919</v>
      </c>
      <c r="I10168" s="17"/>
      <c r="J10168" s="17" t="s">
        <v>21313</v>
      </c>
      <c r="K10168" s="17"/>
      <c r="L10168" s="17" t="s">
        <v>22378</v>
      </c>
      <c r="M10168" s="17"/>
      <c r="N10168" s="17" t="s">
        <v>22459</v>
      </c>
      <c r="O10168" s="17"/>
      <c r="P10168" s="17" t="s">
        <v>22471</v>
      </c>
      <c r="Q10168" s="17"/>
      <c r="R10168" s="25" t="str">
        <f>HYPERLINK("https://ictv.global/taxonomy/taxondetails?taxnode_id=202316848","Alehxovirus faecihabitans")</f>
        <v>Alehxovirus faecihabitans</v>
      </c>
      <c r="S10168" s="18" t="s">
        <v>30</v>
      </c>
      <c r="T10168" s="18" t="s">
        <v>44415</v>
      </c>
      <c r="U10168" s="18"/>
      <c r="V10168" s="18" t="s">
        <v>44415</v>
      </c>
      <c r="W10168" s="18" t="s">
        <v>44416</v>
      </c>
      <c r="X10168" s="18" t="s">
        <v>35</v>
      </c>
      <c r="Y10168" s="18" t="s">
        <v>17171</v>
      </c>
      <c r="Z10168" s="18" t="s">
        <v>24637</v>
      </c>
      <c r="AA10168" s="21" t="str">
        <f>HYPERLINK("https://www.ncbi.nlm.nih.gov/nuccore/MZ679520","NCBI Nucleotide")</f>
        <v>NCBI Nucleotide</v>
      </c>
    </row>
    <row r="10169" spans="1:27" x14ac:dyDescent="0.35">
      <c r="A10169">
        <v>1025869</v>
      </c>
      <c r="B10169">
        <v>9494</v>
      </c>
      <c r="C10169">
        <v>1</v>
      </c>
      <c r="D10169" s="17" t="s">
        <v>17166</v>
      </c>
      <c r="E10169" s="17"/>
      <c r="F10169" s="17" t="s">
        <v>17246</v>
      </c>
      <c r="G10169" s="17"/>
      <c r="H10169" s="17" t="s">
        <v>20919</v>
      </c>
      <c r="I10169" s="17"/>
      <c r="J10169" s="17" t="s">
        <v>21313</v>
      </c>
      <c r="K10169" s="17"/>
      <c r="L10169" s="17" t="s">
        <v>22378</v>
      </c>
      <c r="M10169" s="17"/>
      <c r="N10169" s="17" t="s">
        <v>22459</v>
      </c>
      <c r="O10169" s="17"/>
      <c r="P10169" s="17" t="s">
        <v>22471</v>
      </c>
      <c r="Q10169" s="17"/>
      <c r="R10169" s="25" t="str">
        <f>HYPERLINK("https://ictv.global/taxonomy/taxondetails?taxnode_id=202316849","Alehxovirus faecivicinum")</f>
        <v>Alehxovirus faecivicinum</v>
      </c>
      <c r="S10169" s="18" t="s">
        <v>30</v>
      </c>
      <c r="T10169" s="18" t="s">
        <v>44417</v>
      </c>
      <c r="U10169" s="18"/>
      <c r="V10169" s="18" t="s">
        <v>44417</v>
      </c>
      <c r="W10169" s="18" t="s">
        <v>44418</v>
      </c>
      <c r="X10169" s="18" t="s">
        <v>35</v>
      </c>
      <c r="Y10169" s="18" t="s">
        <v>17171</v>
      </c>
      <c r="Z10169" s="18" t="s">
        <v>24637</v>
      </c>
      <c r="AA10169" s="21" t="str">
        <f>HYPERLINK("https://www.ncbi.nlm.nih.gov/nuccore/MZ679649","NCBI Nucleotide")</f>
        <v>NCBI Nucleotide</v>
      </c>
    </row>
    <row r="10170" spans="1:27" x14ac:dyDescent="0.35">
      <c r="A10170">
        <v>1025870</v>
      </c>
      <c r="B10170">
        <v>9495</v>
      </c>
      <c r="C10170">
        <v>1</v>
      </c>
      <c r="D10170" s="17" t="s">
        <v>17166</v>
      </c>
      <c r="E10170" s="17"/>
      <c r="F10170" s="17" t="s">
        <v>17246</v>
      </c>
      <c r="G10170" s="17"/>
      <c r="H10170" s="17" t="s">
        <v>20919</v>
      </c>
      <c r="I10170" s="17"/>
      <c r="J10170" s="17" t="s">
        <v>21313</v>
      </c>
      <c r="K10170" s="17"/>
      <c r="L10170" s="17" t="s">
        <v>22378</v>
      </c>
      <c r="M10170" s="17"/>
      <c r="N10170" s="17" t="s">
        <v>22459</v>
      </c>
      <c r="O10170" s="17"/>
      <c r="P10170" s="17" t="s">
        <v>22471</v>
      </c>
      <c r="Q10170" s="17"/>
      <c r="R10170" s="25" t="str">
        <f>HYPERLINK("https://ictv.global/taxonomy/taxondetails?taxnode_id=202316850","Alehxovirus faecivivens")</f>
        <v>Alehxovirus faecivivens</v>
      </c>
      <c r="S10170" s="18" t="s">
        <v>30</v>
      </c>
      <c r="T10170" s="18" t="s">
        <v>44419</v>
      </c>
      <c r="U10170" s="18"/>
      <c r="V10170" s="18" t="s">
        <v>44419</v>
      </c>
      <c r="W10170" s="18" t="s">
        <v>44420</v>
      </c>
      <c r="X10170" s="18" t="s">
        <v>35</v>
      </c>
      <c r="Y10170" s="18" t="s">
        <v>17171</v>
      </c>
      <c r="Z10170" s="18" t="s">
        <v>24637</v>
      </c>
      <c r="AA10170" s="21" t="str">
        <f>HYPERLINK("https://www.ncbi.nlm.nih.gov/nuccore/MZ679617","NCBI Nucleotide")</f>
        <v>NCBI Nucleotide</v>
      </c>
    </row>
    <row r="10171" spans="1:27" x14ac:dyDescent="0.35">
      <c r="A10171">
        <v>1025871</v>
      </c>
      <c r="B10171">
        <v>9496</v>
      </c>
      <c r="C10171">
        <v>1</v>
      </c>
      <c r="D10171" s="17" t="s">
        <v>17166</v>
      </c>
      <c r="E10171" s="17"/>
      <c r="F10171" s="17" t="s">
        <v>17246</v>
      </c>
      <c r="G10171" s="17"/>
      <c r="H10171" s="17" t="s">
        <v>20919</v>
      </c>
      <c r="I10171" s="17"/>
      <c r="J10171" s="17" t="s">
        <v>21313</v>
      </c>
      <c r="K10171" s="17"/>
      <c r="L10171" s="17" t="s">
        <v>22378</v>
      </c>
      <c r="M10171" s="17"/>
      <c r="N10171" s="17" t="s">
        <v>22459</v>
      </c>
      <c r="O10171" s="17"/>
      <c r="P10171" s="17" t="s">
        <v>22471</v>
      </c>
      <c r="Q10171" s="17"/>
      <c r="R10171" s="25" t="str">
        <f>HYPERLINK("https://ictv.global/taxonomy/taxondetails?taxnode_id=202316851","Alehxovirus frumenticola")</f>
        <v>Alehxovirus frumenticola</v>
      </c>
      <c r="S10171" s="18" t="s">
        <v>30</v>
      </c>
      <c r="T10171" s="18" t="s">
        <v>44421</v>
      </c>
      <c r="U10171" s="18"/>
      <c r="V10171" s="18" t="s">
        <v>44421</v>
      </c>
      <c r="W10171" s="18" t="s">
        <v>44422</v>
      </c>
      <c r="X10171" s="18" t="s">
        <v>35</v>
      </c>
      <c r="Y10171" s="18" t="s">
        <v>17171</v>
      </c>
      <c r="Z10171" s="18" t="s">
        <v>24637</v>
      </c>
      <c r="AA10171" s="21" t="str">
        <f>HYPERLINK("https://www.ncbi.nlm.nih.gov/nuccore/MZ679596","NCBI Nucleotide")</f>
        <v>NCBI Nucleotide</v>
      </c>
    </row>
    <row r="10172" spans="1:27" x14ac:dyDescent="0.35">
      <c r="A10172">
        <v>1025872</v>
      </c>
      <c r="B10172">
        <v>9497</v>
      </c>
      <c r="C10172">
        <v>1</v>
      </c>
      <c r="D10172" s="17" t="s">
        <v>17166</v>
      </c>
      <c r="E10172" s="17"/>
      <c r="F10172" s="17" t="s">
        <v>17246</v>
      </c>
      <c r="G10172" s="17"/>
      <c r="H10172" s="17" t="s">
        <v>20919</v>
      </c>
      <c r="I10172" s="17"/>
      <c r="J10172" s="17" t="s">
        <v>21313</v>
      </c>
      <c r="K10172" s="17"/>
      <c r="L10172" s="17" t="s">
        <v>22378</v>
      </c>
      <c r="M10172" s="17"/>
      <c r="N10172" s="17" t="s">
        <v>22459</v>
      </c>
      <c r="O10172" s="17"/>
      <c r="P10172" s="17" t="s">
        <v>22471</v>
      </c>
      <c r="Q10172" s="17"/>
      <c r="R10172" s="25" t="str">
        <f>HYPERLINK("https://ictv.global/taxonomy/taxondetails?taxnode_id=202316852","Alehxovirus frumentivicinum")</f>
        <v>Alehxovirus frumentivicinum</v>
      </c>
      <c r="S10172" s="18" t="s">
        <v>30</v>
      </c>
      <c r="T10172" s="18" t="s">
        <v>44423</v>
      </c>
      <c r="U10172" s="18"/>
      <c r="V10172" s="18" t="s">
        <v>44423</v>
      </c>
      <c r="W10172" s="18" t="s">
        <v>44424</v>
      </c>
      <c r="X10172" s="18" t="s">
        <v>35</v>
      </c>
      <c r="Y10172" s="18" t="s">
        <v>17171</v>
      </c>
      <c r="Z10172" s="18" t="s">
        <v>24637</v>
      </c>
      <c r="AA10172" s="21" t="str">
        <f>HYPERLINK("https://www.ncbi.nlm.nih.gov/nuccore/MZ679699","NCBI Nucleotide")</f>
        <v>NCBI Nucleotide</v>
      </c>
    </row>
    <row r="10173" spans="1:27" x14ac:dyDescent="0.35">
      <c r="A10173">
        <v>1025873</v>
      </c>
      <c r="B10173">
        <v>9498</v>
      </c>
      <c r="C10173">
        <v>1</v>
      </c>
      <c r="D10173" s="17" t="s">
        <v>17166</v>
      </c>
      <c r="E10173" s="17"/>
      <c r="F10173" s="17" t="s">
        <v>17246</v>
      </c>
      <c r="G10173" s="17"/>
      <c r="H10173" s="17" t="s">
        <v>20919</v>
      </c>
      <c r="I10173" s="17"/>
      <c r="J10173" s="17" t="s">
        <v>21313</v>
      </c>
      <c r="K10173" s="17"/>
      <c r="L10173" s="17" t="s">
        <v>22378</v>
      </c>
      <c r="M10173" s="17"/>
      <c r="N10173" s="17" t="s">
        <v>22459</v>
      </c>
      <c r="O10173" s="17"/>
      <c r="P10173" s="17" t="s">
        <v>22471</v>
      </c>
      <c r="Q10173" s="17"/>
      <c r="R10173" s="25" t="str">
        <f>HYPERLINK("https://ictv.global/taxonomy/taxondetails?taxnode_id=202316853","Alehxovirus frumentivivens")</f>
        <v>Alehxovirus frumentivivens</v>
      </c>
      <c r="S10173" s="18" t="s">
        <v>30</v>
      </c>
      <c r="T10173" s="18" t="s">
        <v>44425</v>
      </c>
      <c r="U10173" s="18"/>
      <c r="V10173" s="18" t="s">
        <v>44425</v>
      </c>
      <c r="W10173" s="18" t="s">
        <v>44426</v>
      </c>
      <c r="X10173" s="18" t="s">
        <v>35</v>
      </c>
      <c r="Y10173" s="18" t="s">
        <v>17171</v>
      </c>
      <c r="Z10173" s="18" t="s">
        <v>24637</v>
      </c>
      <c r="AA10173" s="21" t="str">
        <f>HYPERLINK("https://www.ncbi.nlm.nih.gov/nuccore/MZ679695","NCBI Nucleotide")</f>
        <v>NCBI Nucleotide</v>
      </c>
    </row>
    <row r="10174" spans="1:27" x14ac:dyDescent="0.35">
      <c r="A10174">
        <v>1025874</v>
      </c>
      <c r="B10174">
        <v>9499</v>
      </c>
      <c r="C10174">
        <v>1</v>
      </c>
      <c r="D10174" s="17" t="s">
        <v>17166</v>
      </c>
      <c r="E10174" s="17"/>
      <c r="F10174" s="17" t="s">
        <v>17246</v>
      </c>
      <c r="G10174" s="17"/>
      <c r="H10174" s="17" t="s">
        <v>20919</v>
      </c>
      <c r="I10174" s="17"/>
      <c r="J10174" s="17" t="s">
        <v>21313</v>
      </c>
      <c r="K10174" s="17"/>
      <c r="L10174" s="17" t="s">
        <v>22378</v>
      </c>
      <c r="M10174" s="17"/>
      <c r="N10174" s="17" t="s">
        <v>22459</v>
      </c>
      <c r="O10174" s="17"/>
      <c r="P10174" s="17" t="s">
        <v>22471</v>
      </c>
      <c r="Q10174" s="17"/>
      <c r="R10174" s="25" t="str">
        <f>HYPERLINK("https://ictv.global/taxonomy/taxondetails?taxnode_id=202316854","Alehxovirus fundenecus")</f>
        <v>Alehxovirus fundenecus</v>
      </c>
      <c r="S10174" s="18" t="s">
        <v>30</v>
      </c>
      <c r="T10174" s="18" t="s">
        <v>44427</v>
      </c>
      <c r="U10174" s="18"/>
      <c r="V10174" s="18" t="s">
        <v>44427</v>
      </c>
      <c r="W10174" s="18" t="s">
        <v>44428</v>
      </c>
      <c r="X10174" s="18" t="s">
        <v>35</v>
      </c>
      <c r="Y10174" s="18" t="s">
        <v>17171</v>
      </c>
      <c r="Z10174" s="18" t="s">
        <v>24637</v>
      </c>
      <c r="AA10174" s="21" t="str">
        <f>HYPERLINK("https://www.ncbi.nlm.nih.gov/nuccore/MZ679537","NCBI Nucleotide")</f>
        <v>NCBI Nucleotide</v>
      </c>
    </row>
    <row r="10175" spans="1:27" x14ac:dyDescent="0.35">
      <c r="A10175">
        <v>1025875</v>
      </c>
      <c r="B10175">
        <v>9500</v>
      </c>
      <c r="C10175">
        <v>1</v>
      </c>
      <c r="D10175" s="17" t="s">
        <v>17166</v>
      </c>
      <c r="E10175" s="17"/>
      <c r="F10175" s="17" t="s">
        <v>17246</v>
      </c>
      <c r="G10175" s="17"/>
      <c r="H10175" s="17" t="s">
        <v>20919</v>
      </c>
      <c r="I10175" s="17"/>
      <c r="J10175" s="17" t="s">
        <v>21313</v>
      </c>
      <c r="K10175" s="17"/>
      <c r="L10175" s="17" t="s">
        <v>22378</v>
      </c>
      <c r="M10175" s="17"/>
      <c r="N10175" s="17" t="s">
        <v>22459</v>
      </c>
      <c r="O10175" s="17"/>
      <c r="P10175" s="17" t="s">
        <v>22471</v>
      </c>
      <c r="Q10175" s="17"/>
      <c r="R10175" s="25" t="str">
        <f>HYPERLINK("https://ictv.global/taxonomy/taxondetails?taxnode_id=202316855","Alehxovirus fundicola")</f>
        <v>Alehxovirus fundicola</v>
      </c>
      <c r="S10175" s="18" t="s">
        <v>30</v>
      </c>
      <c r="T10175" s="18" t="s">
        <v>44429</v>
      </c>
      <c r="U10175" s="18"/>
      <c r="V10175" s="18" t="s">
        <v>44429</v>
      </c>
      <c r="W10175" s="18" t="s">
        <v>44430</v>
      </c>
      <c r="X10175" s="18" t="s">
        <v>35</v>
      </c>
      <c r="Y10175" s="18" t="s">
        <v>17171</v>
      </c>
      <c r="Z10175" s="18" t="s">
        <v>24637</v>
      </c>
      <c r="AA10175" s="21" t="str">
        <f>HYPERLINK("https://www.ncbi.nlm.nih.gov/nuccore/MZ679517","NCBI Nucleotide")</f>
        <v>NCBI Nucleotide</v>
      </c>
    </row>
    <row r="10176" spans="1:27" x14ac:dyDescent="0.35">
      <c r="A10176">
        <v>1025876</v>
      </c>
      <c r="B10176">
        <v>9501</v>
      </c>
      <c r="C10176">
        <v>1</v>
      </c>
      <c r="D10176" s="17" t="s">
        <v>17166</v>
      </c>
      <c r="E10176" s="17"/>
      <c r="F10176" s="17" t="s">
        <v>17246</v>
      </c>
      <c r="G10176" s="17"/>
      <c r="H10176" s="17" t="s">
        <v>20919</v>
      </c>
      <c r="I10176" s="17"/>
      <c r="J10176" s="17" t="s">
        <v>21313</v>
      </c>
      <c r="K10176" s="17"/>
      <c r="L10176" s="17" t="s">
        <v>22378</v>
      </c>
      <c r="M10176" s="17"/>
      <c r="N10176" s="17" t="s">
        <v>22459</v>
      </c>
      <c r="O10176" s="17"/>
      <c r="P10176" s="17" t="s">
        <v>22471</v>
      </c>
      <c r="Q10176" s="17"/>
      <c r="R10176" s="25" t="str">
        <f>HYPERLINK("https://ictv.global/taxonomy/taxondetails?taxnode_id=202316856","Alehxovirus fundihabitans")</f>
        <v>Alehxovirus fundihabitans</v>
      </c>
      <c r="S10176" s="18" t="s">
        <v>30</v>
      </c>
      <c r="T10176" s="18" t="s">
        <v>44431</v>
      </c>
      <c r="U10176" s="18"/>
      <c r="V10176" s="18" t="s">
        <v>44431</v>
      </c>
      <c r="W10176" s="18" t="s">
        <v>44432</v>
      </c>
      <c r="X10176" s="18" t="s">
        <v>35</v>
      </c>
      <c r="Y10176" s="18" t="s">
        <v>17171</v>
      </c>
      <c r="Z10176" s="18" t="s">
        <v>24637</v>
      </c>
      <c r="AA10176" s="21" t="str">
        <f>HYPERLINK("https://www.ncbi.nlm.nih.gov/nuccore/MZ679697","NCBI Nucleotide")</f>
        <v>NCBI Nucleotide</v>
      </c>
    </row>
    <row r="10177" spans="1:27" x14ac:dyDescent="0.35">
      <c r="A10177">
        <v>1025877</v>
      </c>
      <c r="B10177">
        <v>9502</v>
      </c>
      <c r="C10177">
        <v>1</v>
      </c>
      <c r="D10177" s="17" t="s">
        <v>17166</v>
      </c>
      <c r="E10177" s="17"/>
      <c r="F10177" s="17" t="s">
        <v>17246</v>
      </c>
      <c r="G10177" s="17"/>
      <c r="H10177" s="17" t="s">
        <v>20919</v>
      </c>
      <c r="I10177" s="17"/>
      <c r="J10177" s="17" t="s">
        <v>21313</v>
      </c>
      <c r="K10177" s="17"/>
      <c r="L10177" s="17" t="s">
        <v>22378</v>
      </c>
      <c r="M10177" s="17"/>
      <c r="N10177" s="17" t="s">
        <v>22459</v>
      </c>
      <c r="O10177" s="17"/>
      <c r="P10177" s="17" t="s">
        <v>22471</v>
      </c>
      <c r="Q10177" s="17"/>
      <c r="R10177" s="25" t="str">
        <f>HYPERLINK("https://ictv.global/taxonomy/taxondetails?taxnode_id=202316857","Alehxovirus fundivicinum")</f>
        <v>Alehxovirus fundivicinum</v>
      </c>
      <c r="S10177" s="18" t="s">
        <v>30</v>
      </c>
      <c r="T10177" s="18" t="s">
        <v>44433</v>
      </c>
      <c r="U10177" s="18"/>
      <c r="V10177" s="18" t="s">
        <v>44433</v>
      </c>
      <c r="W10177" s="18" t="s">
        <v>44434</v>
      </c>
      <c r="X10177" s="18" t="s">
        <v>35</v>
      </c>
      <c r="Y10177" s="18" t="s">
        <v>17171</v>
      </c>
      <c r="Z10177" s="18" t="s">
        <v>24637</v>
      </c>
      <c r="AA10177" s="21" t="str">
        <f>HYPERLINK("https://www.ncbi.nlm.nih.gov/nuccore/MZ679685","NCBI Nucleotide")</f>
        <v>NCBI Nucleotide</v>
      </c>
    </row>
    <row r="10178" spans="1:27" x14ac:dyDescent="0.35">
      <c r="A10178">
        <v>1025878</v>
      </c>
      <c r="B10178">
        <v>9503</v>
      </c>
      <c r="C10178">
        <v>1</v>
      </c>
      <c r="D10178" s="17" t="s">
        <v>17166</v>
      </c>
      <c r="E10178" s="17"/>
      <c r="F10178" s="17" t="s">
        <v>17246</v>
      </c>
      <c r="G10178" s="17"/>
      <c r="H10178" s="17" t="s">
        <v>20919</v>
      </c>
      <c r="I10178" s="17"/>
      <c r="J10178" s="17" t="s">
        <v>21313</v>
      </c>
      <c r="K10178" s="17"/>
      <c r="L10178" s="17" t="s">
        <v>22378</v>
      </c>
      <c r="M10178" s="17"/>
      <c r="N10178" s="17" t="s">
        <v>22459</v>
      </c>
      <c r="O10178" s="17"/>
      <c r="P10178" s="17" t="s">
        <v>22471</v>
      </c>
      <c r="Q10178" s="17"/>
      <c r="R10178" s="25" t="str">
        <f>HYPERLINK("https://ictv.global/taxonomy/taxondetails?taxnode_id=202316858","Alehxovirus fundivivens")</f>
        <v>Alehxovirus fundivivens</v>
      </c>
      <c r="S10178" s="18" t="s">
        <v>30</v>
      </c>
      <c r="T10178" s="18" t="s">
        <v>44435</v>
      </c>
      <c r="U10178" s="18"/>
      <c r="V10178" s="18" t="s">
        <v>44435</v>
      </c>
      <c r="W10178" s="18" t="s">
        <v>44436</v>
      </c>
      <c r="X10178" s="18" t="s">
        <v>35</v>
      </c>
      <c r="Y10178" s="18" t="s">
        <v>17171</v>
      </c>
      <c r="Z10178" s="18" t="s">
        <v>24637</v>
      </c>
      <c r="AA10178" s="21" t="str">
        <f>HYPERLINK("https://www.ncbi.nlm.nih.gov/nuccore/MZ679639","NCBI Nucleotide")</f>
        <v>NCBI Nucleotide</v>
      </c>
    </row>
    <row r="10179" spans="1:27" x14ac:dyDescent="0.35">
      <c r="A10179">
        <v>1025879</v>
      </c>
      <c r="B10179">
        <v>9504</v>
      </c>
      <c r="C10179">
        <v>1</v>
      </c>
      <c r="D10179" s="17" t="s">
        <v>17166</v>
      </c>
      <c r="E10179" s="17"/>
      <c r="F10179" s="17" t="s">
        <v>17246</v>
      </c>
      <c r="G10179" s="17"/>
      <c r="H10179" s="17" t="s">
        <v>20919</v>
      </c>
      <c r="I10179" s="17"/>
      <c r="J10179" s="17" t="s">
        <v>21313</v>
      </c>
      <c r="K10179" s="17"/>
      <c r="L10179" s="17" t="s">
        <v>22378</v>
      </c>
      <c r="M10179" s="17"/>
      <c r="N10179" s="17" t="s">
        <v>22459</v>
      </c>
      <c r="O10179" s="17"/>
      <c r="P10179" s="17" t="s">
        <v>22471</v>
      </c>
      <c r="Q10179" s="17"/>
      <c r="R10179" s="25" t="str">
        <f>HYPERLINK("https://ictv.global/taxonomy/taxondetails?taxnode_id=202316859","Alehxovirus geovicinum")</f>
        <v>Alehxovirus geovicinum</v>
      </c>
      <c r="S10179" s="18" t="s">
        <v>30</v>
      </c>
      <c r="T10179" s="18" t="s">
        <v>44437</v>
      </c>
      <c r="U10179" s="18"/>
      <c r="V10179" s="18"/>
      <c r="W10179" s="18" t="s">
        <v>44438</v>
      </c>
      <c r="X10179" s="18" t="s">
        <v>35</v>
      </c>
      <c r="Y10179" s="18" t="s">
        <v>17171</v>
      </c>
      <c r="Z10179" s="18" t="s">
        <v>24637</v>
      </c>
      <c r="AA10179" s="21" t="str">
        <f>HYPERLINK("https://www.ncbi.nlm.nih.gov/nuccore/CASDWV010002788","NCBI Nucleotide")</f>
        <v>NCBI Nucleotide</v>
      </c>
    </row>
    <row r="10180" spans="1:27" x14ac:dyDescent="0.35">
      <c r="A10180">
        <v>1009829</v>
      </c>
      <c r="B10180">
        <v>9505</v>
      </c>
      <c r="C10180">
        <v>1</v>
      </c>
      <c r="D10180" s="17" t="s">
        <v>17166</v>
      </c>
      <c r="E10180" s="17"/>
      <c r="F10180" s="17" t="s">
        <v>17246</v>
      </c>
      <c r="G10180" s="17"/>
      <c r="H10180" s="17" t="s">
        <v>20919</v>
      </c>
      <c r="I10180" s="17"/>
      <c r="J10180" s="17" t="s">
        <v>21313</v>
      </c>
      <c r="K10180" s="17"/>
      <c r="L10180" s="17" t="s">
        <v>22378</v>
      </c>
      <c r="M10180" s="17"/>
      <c r="N10180" s="17" t="s">
        <v>22459</v>
      </c>
      <c r="O10180" s="17"/>
      <c r="P10180" s="17" t="s">
        <v>22471</v>
      </c>
      <c r="Q10180" s="17"/>
      <c r="R10180" s="25" t="str">
        <f>HYPERLINK("https://ictv.global/taxonomy/taxondetails?taxnode_id=202310991","Alehxovirus humivicinum")</f>
        <v>Alehxovirus humivicinum</v>
      </c>
      <c r="S10180" s="18" t="s">
        <v>30</v>
      </c>
      <c r="T10180" s="18" t="s">
        <v>22488</v>
      </c>
      <c r="U10180" s="18"/>
      <c r="V10180" s="18"/>
      <c r="W10180" s="18" t="s">
        <v>22489</v>
      </c>
      <c r="X10180" s="18" t="s">
        <v>35</v>
      </c>
      <c r="Y10180" s="18" t="s">
        <v>17171</v>
      </c>
      <c r="Z10180" s="18" t="s">
        <v>697</v>
      </c>
      <c r="AA10180" s="21" t="str">
        <f>HYPERLINK("https://www.ncbi.nlm.nih.gov/nuccore/BK013904","NCBI Nucleotide")</f>
        <v>NCBI Nucleotide</v>
      </c>
    </row>
    <row r="10181" spans="1:27" x14ac:dyDescent="0.35">
      <c r="A10181">
        <v>1009830</v>
      </c>
      <c r="B10181">
        <v>9506</v>
      </c>
      <c r="C10181">
        <v>1</v>
      </c>
      <c r="D10181" s="17" t="s">
        <v>17166</v>
      </c>
      <c r="E10181" s="17"/>
      <c r="F10181" s="17" t="s">
        <v>17246</v>
      </c>
      <c r="G10181" s="17"/>
      <c r="H10181" s="17" t="s">
        <v>20919</v>
      </c>
      <c r="I10181" s="17"/>
      <c r="J10181" s="17" t="s">
        <v>21313</v>
      </c>
      <c r="K10181" s="17"/>
      <c r="L10181" s="17" t="s">
        <v>22378</v>
      </c>
      <c r="M10181" s="17"/>
      <c r="N10181" s="17" t="s">
        <v>22459</v>
      </c>
      <c r="O10181" s="17"/>
      <c r="P10181" s="17" t="s">
        <v>22471</v>
      </c>
      <c r="Q10181" s="17"/>
      <c r="R10181" s="25" t="str">
        <f>HYPERLINK("https://ictv.global/taxonomy/taxondetails?taxnode_id=202310992","Alehxovirus humivivens")</f>
        <v>Alehxovirus humivivens</v>
      </c>
      <c r="S10181" s="18" t="s">
        <v>30</v>
      </c>
      <c r="T10181" s="18" t="s">
        <v>22490</v>
      </c>
      <c r="U10181" s="18"/>
      <c r="V10181" s="18"/>
      <c r="W10181" s="18" t="s">
        <v>22491</v>
      </c>
      <c r="X10181" s="18" t="s">
        <v>35</v>
      </c>
      <c r="Y10181" s="18" t="s">
        <v>17171</v>
      </c>
      <c r="Z10181" s="18" t="s">
        <v>697</v>
      </c>
      <c r="AA10181" s="21" t="str">
        <f>HYPERLINK("https://www.ncbi.nlm.nih.gov/nuccore/BK013398","NCBI Nucleotide")</f>
        <v>NCBI Nucleotide</v>
      </c>
    </row>
    <row r="10182" spans="1:27" x14ac:dyDescent="0.35">
      <c r="A10182">
        <v>1025880</v>
      </c>
      <c r="B10182">
        <v>9507</v>
      </c>
      <c r="C10182">
        <v>1</v>
      </c>
      <c r="D10182" s="17" t="s">
        <v>17166</v>
      </c>
      <c r="E10182" s="17"/>
      <c r="F10182" s="17" t="s">
        <v>17246</v>
      </c>
      <c r="G10182" s="17"/>
      <c r="H10182" s="17" t="s">
        <v>20919</v>
      </c>
      <c r="I10182" s="17"/>
      <c r="J10182" s="17" t="s">
        <v>21313</v>
      </c>
      <c r="K10182" s="17"/>
      <c r="L10182" s="17" t="s">
        <v>22378</v>
      </c>
      <c r="M10182" s="17"/>
      <c r="N10182" s="17" t="s">
        <v>22459</v>
      </c>
      <c r="O10182" s="17"/>
      <c r="P10182" s="17" t="s">
        <v>22471</v>
      </c>
      <c r="Q10182" s="17"/>
      <c r="R10182" s="25" t="str">
        <f>HYPERLINK("https://ictv.global/taxonomy/taxondetails?taxnode_id=202316860","Alehxovirus infecundadaptatum")</f>
        <v>Alehxovirus infecundadaptatum</v>
      </c>
      <c r="S10182" s="18" t="s">
        <v>30</v>
      </c>
      <c r="T10182" s="18" t="s">
        <v>44439</v>
      </c>
      <c r="U10182" s="18"/>
      <c r="V10182" s="18" t="s">
        <v>44439</v>
      </c>
      <c r="W10182" s="18" t="s">
        <v>44440</v>
      </c>
      <c r="X10182" s="18" t="s">
        <v>35</v>
      </c>
      <c r="Y10182" s="18" t="s">
        <v>17171</v>
      </c>
      <c r="Z10182" s="18" t="s">
        <v>24637</v>
      </c>
      <c r="AA10182" s="21" t="str">
        <f>HYPERLINK("https://www.ncbi.nlm.nih.gov/nuccore/MZ679595","NCBI Nucleotide")</f>
        <v>NCBI Nucleotide</v>
      </c>
    </row>
    <row r="10183" spans="1:27" x14ac:dyDescent="0.35">
      <c r="A10183">
        <v>1025881</v>
      </c>
      <c r="B10183">
        <v>9508</v>
      </c>
      <c r="C10183">
        <v>1</v>
      </c>
      <c r="D10183" s="17" t="s">
        <v>17166</v>
      </c>
      <c r="E10183" s="17"/>
      <c r="F10183" s="17" t="s">
        <v>17246</v>
      </c>
      <c r="G10183" s="17"/>
      <c r="H10183" s="17" t="s">
        <v>20919</v>
      </c>
      <c r="I10183" s="17"/>
      <c r="J10183" s="17" t="s">
        <v>21313</v>
      </c>
      <c r="K10183" s="17"/>
      <c r="L10183" s="17" t="s">
        <v>22378</v>
      </c>
      <c r="M10183" s="17"/>
      <c r="N10183" s="17" t="s">
        <v>22459</v>
      </c>
      <c r="O10183" s="17"/>
      <c r="P10183" s="17" t="s">
        <v>22471</v>
      </c>
      <c r="Q10183" s="17"/>
      <c r="R10183" s="25" t="str">
        <f>HYPERLINK("https://ictv.global/taxonomy/taxondetails?taxnode_id=202316861","Alehxovirus limihabitans")</f>
        <v>Alehxovirus limihabitans</v>
      </c>
      <c r="S10183" s="18" t="s">
        <v>30</v>
      </c>
      <c r="T10183" s="18" t="s">
        <v>44441</v>
      </c>
      <c r="U10183" s="18"/>
      <c r="V10183" s="18"/>
      <c r="W10183" s="18" t="s">
        <v>44442</v>
      </c>
      <c r="X10183" s="18" t="s">
        <v>35</v>
      </c>
      <c r="Y10183" s="18" t="s">
        <v>17171</v>
      </c>
      <c r="Z10183" s="18" t="s">
        <v>24637</v>
      </c>
      <c r="AA10183" s="21" t="str">
        <f>HYPERLINK("https://www.ncbi.nlm.nih.gov/nuccore/CASDWV010003763","NCBI Nucleotide")</f>
        <v>NCBI Nucleotide</v>
      </c>
    </row>
    <row r="10184" spans="1:27" x14ac:dyDescent="0.35">
      <c r="A10184">
        <v>1025882</v>
      </c>
      <c r="B10184">
        <v>9509</v>
      </c>
      <c r="C10184">
        <v>1</v>
      </c>
      <c r="D10184" s="17" t="s">
        <v>17166</v>
      </c>
      <c r="E10184" s="17"/>
      <c r="F10184" s="17" t="s">
        <v>17246</v>
      </c>
      <c r="G10184" s="17"/>
      <c r="H10184" s="17" t="s">
        <v>20919</v>
      </c>
      <c r="I10184" s="17"/>
      <c r="J10184" s="17" t="s">
        <v>21313</v>
      </c>
      <c r="K10184" s="17"/>
      <c r="L10184" s="17" t="s">
        <v>22378</v>
      </c>
      <c r="M10184" s="17"/>
      <c r="N10184" s="17" t="s">
        <v>22459</v>
      </c>
      <c r="O10184" s="17"/>
      <c r="P10184" s="17" t="s">
        <v>22471</v>
      </c>
      <c r="Q10184" s="17"/>
      <c r="R10184" s="25" t="str">
        <f>HYPERLINK("https://ictv.global/taxonomy/taxondetails?taxnode_id=202316862","Alehxovirus limivicinum")</f>
        <v>Alehxovirus limivicinum</v>
      </c>
      <c r="S10184" s="18" t="s">
        <v>30</v>
      </c>
      <c r="T10184" s="18" t="s">
        <v>44443</v>
      </c>
      <c r="U10184" s="18"/>
      <c r="V10184" s="18"/>
      <c r="W10184" s="18" t="s">
        <v>44444</v>
      </c>
      <c r="X10184" s="18" t="s">
        <v>35</v>
      </c>
      <c r="Y10184" s="18" t="s">
        <v>17171</v>
      </c>
      <c r="Z10184" s="18" t="s">
        <v>24637</v>
      </c>
      <c r="AA10184" s="21" t="str">
        <f>HYPERLINK("https://www.ncbi.nlm.nih.gov/nuccore/CASDWV010003437","NCBI Nucleotide")</f>
        <v>NCBI Nucleotide</v>
      </c>
    </row>
    <row r="10185" spans="1:27" x14ac:dyDescent="0.35">
      <c r="A10185">
        <v>1025883</v>
      </c>
      <c r="B10185">
        <v>9510</v>
      </c>
      <c r="C10185">
        <v>1</v>
      </c>
      <c r="D10185" s="17" t="s">
        <v>17166</v>
      </c>
      <c r="E10185" s="17"/>
      <c r="F10185" s="17" t="s">
        <v>17246</v>
      </c>
      <c r="G10185" s="17"/>
      <c r="H10185" s="17" t="s">
        <v>20919</v>
      </c>
      <c r="I10185" s="17"/>
      <c r="J10185" s="17" t="s">
        <v>21313</v>
      </c>
      <c r="K10185" s="17"/>
      <c r="L10185" s="17" t="s">
        <v>22378</v>
      </c>
      <c r="M10185" s="17"/>
      <c r="N10185" s="17" t="s">
        <v>22459</v>
      </c>
      <c r="O10185" s="17"/>
      <c r="P10185" s="17" t="s">
        <v>22471</v>
      </c>
      <c r="Q10185" s="17"/>
      <c r="R10185" s="25" t="str">
        <f>HYPERLINK("https://ictv.global/taxonomy/taxondetails?taxnode_id=202316863","Alehxovirus messivicinum")</f>
        <v>Alehxovirus messivicinum</v>
      </c>
      <c r="S10185" s="18" t="s">
        <v>30</v>
      </c>
      <c r="T10185" s="18" t="s">
        <v>44445</v>
      </c>
      <c r="U10185" s="18"/>
      <c r="V10185" s="18"/>
      <c r="W10185" s="18" t="s">
        <v>44446</v>
      </c>
      <c r="X10185" s="18" t="s">
        <v>35</v>
      </c>
      <c r="Y10185" s="18" t="s">
        <v>17171</v>
      </c>
      <c r="Z10185" s="18" t="s">
        <v>24637</v>
      </c>
      <c r="AA10185" s="21" t="str">
        <f>HYPERLINK("https://www.ncbi.nlm.nih.gov/nuccore/CASDWV010002675","NCBI Nucleotide")</f>
        <v>NCBI Nucleotide</v>
      </c>
    </row>
    <row r="10186" spans="1:27" x14ac:dyDescent="0.35">
      <c r="A10186">
        <v>1025884</v>
      </c>
      <c r="B10186">
        <v>9511</v>
      </c>
      <c r="C10186">
        <v>1</v>
      </c>
      <c r="D10186" s="17" t="s">
        <v>17166</v>
      </c>
      <c r="E10186" s="17"/>
      <c r="F10186" s="17" t="s">
        <v>17246</v>
      </c>
      <c r="G10186" s="17"/>
      <c r="H10186" s="17" t="s">
        <v>20919</v>
      </c>
      <c r="I10186" s="17"/>
      <c r="J10186" s="17" t="s">
        <v>21313</v>
      </c>
      <c r="K10186" s="17"/>
      <c r="L10186" s="17" t="s">
        <v>22378</v>
      </c>
      <c r="M10186" s="17"/>
      <c r="N10186" s="17" t="s">
        <v>22459</v>
      </c>
      <c r="O10186" s="17"/>
      <c r="P10186" s="17" t="s">
        <v>22471</v>
      </c>
      <c r="Q10186" s="17"/>
      <c r="R10186" s="25" t="str">
        <f>HYPERLINK("https://ictv.global/taxonomy/taxondetails?taxnode_id=202316864","Alehxovirus montiscola")</f>
        <v>Alehxovirus montiscola</v>
      </c>
      <c r="S10186" s="18" t="s">
        <v>30</v>
      </c>
      <c r="T10186" s="18" t="s">
        <v>44447</v>
      </c>
      <c r="U10186" s="18"/>
      <c r="V10186" s="18" t="s">
        <v>44447</v>
      </c>
      <c r="W10186" s="18" t="s">
        <v>44448</v>
      </c>
      <c r="X10186" s="18" t="s">
        <v>35</v>
      </c>
      <c r="Y10186" s="18" t="s">
        <v>17171</v>
      </c>
      <c r="Z10186" s="18" t="s">
        <v>24637</v>
      </c>
      <c r="AA10186" s="21" t="str">
        <f>HYPERLINK("https://www.ncbi.nlm.nih.gov/nuccore/MZ679759","NCBI Nucleotide")</f>
        <v>NCBI Nucleotide</v>
      </c>
    </row>
    <row r="10187" spans="1:27" x14ac:dyDescent="0.35">
      <c r="A10187">
        <v>1025885</v>
      </c>
      <c r="B10187">
        <v>9512</v>
      </c>
      <c r="C10187">
        <v>1</v>
      </c>
      <c r="D10187" s="17" t="s">
        <v>17166</v>
      </c>
      <c r="E10187" s="17"/>
      <c r="F10187" s="17" t="s">
        <v>17246</v>
      </c>
      <c r="G10187" s="17"/>
      <c r="H10187" s="17" t="s">
        <v>20919</v>
      </c>
      <c r="I10187" s="17"/>
      <c r="J10187" s="17" t="s">
        <v>21313</v>
      </c>
      <c r="K10187" s="17"/>
      <c r="L10187" s="17" t="s">
        <v>22378</v>
      </c>
      <c r="M10187" s="17"/>
      <c r="N10187" s="17" t="s">
        <v>22459</v>
      </c>
      <c r="O10187" s="17"/>
      <c r="P10187" s="17" t="s">
        <v>22471</v>
      </c>
      <c r="Q10187" s="17"/>
      <c r="R10187" s="25" t="str">
        <f>HYPERLINK("https://ictv.global/taxonomy/taxondetails?taxnode_id=202316865","Alehxovirus montisvivens")</f>
        <v>Alehxovirus montisvivens</v>
      </c>
      <c r="S10187" s="18" t="s">
        <v>30</v>
      </c>
      <c r="T10187" s="18" t="s">
        <v>44449</v>
      </c>
      <c r="U10187" s="18"/>
      <c r="V10187" s="18" t="s">
        <v>44449</v>
      </c>
      <c r="W10187" s="18" t="s">
        <v>44450</v>
      </c>
      <c r="X10187" s="18" t="s">
        <v>35</v>
      </c>
      <c r="Y10187" s="18" t="s">
        <v>17171</v>
      </c>
      <c r="Z10187" s="18" t="s">
        <v>24637</v>
      </c>
      <c r="AA10187" s="21" t="str">
        <f>HYPERLINK("https://www.ncbi.nlm.nih.gov/nuccore/MZ679798","NCBI Nucleotide")</f>
        <v>NCBI Nucleotide</v>
      </c>
    </row>
    <row r="10188" spans="1:27" x14ac:dyDescent="0.35">
      <c r="A10188">
        <v>1025886</v>
      </c>
      <c r="B10188">
        <v>9513</v>
      </c>
      <c r="C10188">
        <v>1</v>
      </c>
      <c r="D10188" s="17" t="s">
        <v>17166</v>
      </c>
      <c r="E10188" s="17"/>
      <c r="F10188" s="17" t="s">
        <v>17246</v>
      </c>
      <c r="G10188" s="17"/>
      <c r="H10188" s="17" t="s">
        <v>20919</v>
      </c>
      <c r="I10188" s="17"/>
      <c r="J10188" s="17" t="s">
        <v>21313</v>
      </c>
      <c r="K10188" s="17"/>
      <c r="L10188" s="17" t="s">
        <v>22378</v>
      </c>
      <c r="M10188" s="17"/>
      <c r="N10188" s="17" t="s">
        <v>22459</v>
      </c>
      <c r="O10188" s="17"/>
      <c r="P10188" s="17" t="s">
        <v>22471</v>
      </c>
      <c r="Q10188" s="17"/>
      <c r="R10188" s="25" t="str">
        <f>HYPERLINK("https://ictv.global/taxonomy/taxondetails?taxnode_id=202316866","Alehxovirus nemorisadaptatum")</f>
        <v>Alehxovirus nemorisadaptatum</v>
      </c>
      <c r="S10188" s="18" t="s">
        <v>30</v>
      </c>
      <c r="T10188" s="18" t="s">
        <v>44451</v>
      </c>
      <c r="U10188" s="18"/>
      <c r="V10188" s="18" t="s">
        <v>44451</v>
      </c>
      <c r="W10188" s="18" t="s">
        <v>44452</v>
      </c>
      <c r="X10188" s="18" t="s">
        <v>35</v>
      </c>
      <c r="Y10188" s="18" t="s">
        <v>17171</v>
      </c>
      <c r="Z10188" s="18" t="s">
        <v>24637</v>
      </c>
      <c r="AA10188" s="21" t="str">
        <f>HYPERLINK("https://www.ncbi.nlm.nih.gov/nuccore/MZ679526","NCBI Nucleotide")</f>
        <v>NCBI Nucleotide</v>
      </c>
    </row>
    <row r="10189" spans="1:27" x14ac:dyDescent="0.35">
      <c r="A10189">
        <v>1025887</v>
      </c>
      <c r="B10189">
        <v>9514</v>
      </c>
      <c r="C10189">
        <v>1</v>
      </c>
      <c r="D10189" s="17" t="s">
        <v>17166</v>
      </c>
      <c r="E10189" s="17"/>
      <c r="F10189" s="17" t="s">
        <v>17246</v>
      </c>
      <c r="G10189" s="17"/>
      <c r="H10189" s="17" t="s">
        <v>20919</v>
      </c>
      <c r="I10189" s="17"/>
      <c r="J10189" s="17" t="s">
        <v>21313</v>
      </c>
      <c r="K10189" s="17"/>
      <c r="L10189" s="17" t="s">
        <v>22378</v>
      </c>
      <c r="M10189" s="17"/>
      <c r="N10189" s="17" t="s">
        <v>22459</v>
      </c>
      <c r="O10189" s="17"/>
      <c r="P10189" s="17" t="s">
        <v>22471</v>
      </c>
      <c r="Q10189" s="17"/>
      <c r="R10189" s="25" t="str">
        <f>HYPERLINK("https://ictv.global/taxonomy/taxondetails?taxnode_id=202316867","Alehxovirus nemoriscola")</f>
        <v>Alehxovirus nemoriscola</v>
      </c>
      <c r="S10189" s="18" t="s">
        <v>30</v>
      </c>
      <c r="T10189" s="18" t="s">
        <v>44453</v>
      </c>
      <c r="U10189" s="18"/>
      <c r="V10189" s="18" t="s">
        <v>44453</v>
      </c>
      <c r="W10189" s="18" t="s">
        <v>44454</v>
      </c>
      <c r="X10189" s="18" t="s">
        <v>35</v>
      </c>
      <c r="Y10189" s="18" t="s">
        <v>17171</v>
      </c>
      <c r="Z10189" s="18" t="s">
        <v>24637</v>
      </c>
      <c r="AA10189" s="21" t="str">
        <f>HYPERLINK("https://www.ncbi.nlm.nih.gov/nuccore/MZ679500","NCBI Nucleotide")</f>
        <v>NCBI Nucleotide</v>
      </c>
    </row>
    <row r="10190" spans="1:27" x14ac:dyDescent="0.35">
      <c r="A10190">
        <v>1025888</v>
      </c>
      <c r="B10190">
        <v>9515</v>
      </c>
      <c r="C10190">
        <v>1</v>
      </c>
      <c r="D10190" s="17" t="s">
        <v>17166</v>
      </c>
      <c r="E10190" s="17"/>
      <c r="F10190" s="17" t="s">
        <v>17246</v>
      </c>
      <c r="G10190" s="17"/>
      <c r="H10190" s="17" t="s">
        <v>20919</v>
      </c>
      <c r="I10190" s="17"/>
      <c r="J10190" s="17" t="s">
        <v>21313</v>
      </c>
      <c r="K10190" s="17"/>
      <c r="L10190" s="17" t="s">
        <v>22378</v>
      </c>
      <c r="M10190" s="17"/>
      <c r="N10190" s="17" t="s">
        <v>22459</v>
      </c>
      <c r="O10190" s="17"/>
      <c r="P10190" s="17" t="s">
        <v>22471</v>
      </c>
      <c r="Q10190" s="17"/>
      <c r="R10190" s="25" t="str">
        <f>HYPERLINK("https://ictv.global/taxonomy/taxondetails?taxnode_id=202316868","Alehxovirus nemorisvivens")</f>
        <v>Alehxovirus nemorisvivens</v>
      </c>
      <c r="S10190" s="18" t="s">
        <v>30</v>
      </c>
      <c r="T10190" s="18" t="s">
        <v>44455</v>
      </c>
      <c r="U10190" s="18"/>
      <c r="V10190" s="18" t="s">
        <v>44455</v>
      </c>
      <c r="W10190" s="18" t="s">
        <v>44456</v>
      </c>
      <c r="X10190" s="18" t="s">
        <v>35</v>
      </c>
      <c r="Y10190" s="18" t="s">
        <v>17171</v>
      </c>
      <c r="Z10190" s="18" t="s">
        <v>24637</v>
      </c>
      <c r="AA10190" s="21" t="str">
        <f>HYPERLINK("https://www.ncbi.nlm.nih.gov/nuccore/MZ679735","NCBI Nucleotide")</f>
        <v>NCBI Nucleotide</v>
      </c>
    </row>
    <row r="10191" spans="1:27" x14ac:dyDescent="0.35">
      <c r="A10191">
        <v>1025889</v>
      </c>
      <c r="B10191">
        <v>9516</v>
      </c>
      <c r="C10191">
        <v>1</v>
      </c>
      <c r="D10191" s="17" t="s">
        <v>17166</v>
      </c>
      <c r="E10191" s="17"/>
      <c r="F10191" s="17" t="s">
        <v>17246</v>
      </c>
      <c r="G10191" s="17"/>
      <c r="H10191" s="17" t="s">
        <v>20919</v>
      </c>
      <c r="I10191" s="17"/>
      <c r="J10191" s="17" t="s">
        <v>21313</v>
      </c>
      <c r="K10191" s="17"/>
      <c r="L10191" s="17" t="s">
        <v>22378</v>
      </c>
      <c r="M10191" s="17"/>
      <c r="N10191" s="17" t="s">
        <v>22459</v>
      </c>
      <c r="O10191" s="17"/>
      <c r="P10191" s="17" t="s">
        <v>22471</v>
      </c>
      <c r="Q10191" s="17"/>
      <c r="R10191" s="25" t="str">
        <f>HYPERLINK("https://ictv.global/taxonomy/taxondetails?taxnode_id=202316869","Alehxovirus neofaecadaptatum")</f>
        <v>Alehxovirus neofaecadaptatum</v>
      </c>
      <c r="S10191" s="18" t="s">
        <v>30</v>
      </c>
      <c r="T10191" s="18" t="s">
        <v>44457</v>
      </c>
      <c r="U10191" s="18"/>
      <c r="V10191" s="18" t="s">
        <v>44457</v>
      </c>
      <c r="W10191" s="18" t="s">
        <v>44458</v>
      </c>
      <c r="X10191" s="18" t="s">
        <v>35</v>
      </c>
      <c r="Y10191" s="18" t="s">
        <v>17171</v>
      </c>
      <c r="Z10191" s="18" t="s">
        <v>24637</v>
      </c>
      <c r="AA10191" s="21" t="str">
        <f>HYPERLINK("https://www.ncbi.nlm.nih.gov/nuccore/MZ679580","NCBI Nucleotide")</f>
        <v>NCBI Nucleotide</v>
      </c>
    </row>
    <row r="10192" spans="1:27" x14ac:dyDescent="0.35">
      <c r="A10192">
        <v>1025890</v>
      </c>
      <c r="B10192">
        <v>9517</v>
      </c>
      <c r="C10192">
        <v>1</v>
      </c>
      <c r="D10192" s="17" t="s">
        <v>17166</v>
      </c>
      <c r="E10192" s="17"/>
      <c r="F10192" s="17" t="s">
        <v>17246</v>
      </c>
      <c r="G10192" s="17"/>
      <c r="H10192" s="17" t="s">
        <v>20919</v>
      </c>
      <c r="I10192" s="17"/>
      <c r="J10192" s="17" t="s">
        <v>21313</v>
      </c>
      <c r="K10192" s="17"/>
      <c r="L10192" s="17" t="s">
        <v>22378</v>
      </c>
      <c r="M10192" s="17"/>
      <c r="N10192" s="17" t="s">
        <v>22459</v>
      </c>
      <c r="O10192" s="17"/>
      <c r="P10192" s="17" t="s">
        <v>22471</v>
      </c>
      <c r="Q10192" s="17"/>
      <c r="R10192" s="25" t="str">
        <f>HYPERLINK("https://ictv.global/taxonomy/taxondetails?taxnode_id=202316870","Alehxovirus neohumivivens")</f>
        <v>Alehxovirus neohumivivens</v>
      </c>
      <c r="S10192" s="18" t="s">
        <v>30</v>
      </c>
      <c r="T10192" s="18" t="s">
        <v>44459</v>
      </c>
      <c r="U10192" s="18"/>
      <c r="V10192" s="18"/>
      <c r="W10192" s="18" t="s">
        <v>44460</v>
      </c>
      <c r="X10192" s="18" t="s">
        <v>35</v>
      </c>
      <c r="Y10192" s="18" t="s">
        <v>17171</v>
      </c>
      <c r="Z10192" s="18" t="s">
        <v>24637</v>
      </c>
      <c r="AA10192" s="21" t="str">
        <f>HYPERLINK("https://www.ncbi.nlm.nih.gov/nuccore/CASDWV010004414","NCBI Nucleotide")</f>
        <v>NCBI Nucleotide</v>
      </c>
    </row>
    <row r="10193" spans="1:27" x14ac:dyDescent="0.35">
      <c r="A10193">
        <v>1009845</v>
      </c>
      <c r="B10193">
        <v>9518</v>
      </c>
      <c r="C10193">
        <v>1</v>
      </c>
      <c r="D10193" s="17" t="s">
        <v>17166</v>
      </c>
      <c r="E10193" s="17"/>
      <c r="F10193" s="17" t="s">
        <v>17246</v>
      </c>
      <c r="G10193" s="17"/>
      <c r="H10193" s="17" t="s">
        <v>20919</v>
      </c>
      <c r="I10193" s="17"/>
      <c r="J10193" s="17" t="s">
        <v>21313</v>
      </c>
      <c r="K10193" s="17"/>
      <c r="L10193" s="17" t="s">
        <v>22378</v>
      </c>
      <c r="M10193" s="17"/>
      <c r="N10193" s="17" t="s">
        <v>22459</v>
      </c>
      <c r="O10193" s="17"/>
      <c r="P10193" s="17" t="s">
        <v>22471</v>
      </c>
      <c r="Q10193" s="17"/>
      <c r="R10193" s="25" t="str">
        <f>HYPERLINK("https://ictv.global/taxonomy/taxondetails?taxnode_id=202311018","Alehxovirus pedenecus")</f>
        <v>Alehxovirus pedenecus</v>
      </c>
      <c r="S10193" s="18" t="s">
        <v>30</v>
      </c>
      <c r="T10193" s="18" t="s">
        <v>22518</v>
      </c>
      <c r="U10193" s="18"/>
      <c r="V10193" s="18"/>
      <c r="W10193" s="18" t="s">
        <v>22519</v>
      </c>
      <c r="X10193" s="18" t="s">
        <v>35</v>
      </c>
      <c r="Y10193" s="18" t="s">
        <v>17171</v>
      </c>
      <c r="Z10193" s="18" t="s">
        <v>697</v>
      </c>
      <c r="AA10193" s="21" t="str">
        <f>HYPERLINK("https://www.ncbi.nlm.nih.gov/nuccore/BK013850","NCBI Nucleotide")</f>
        <v>NCBI Nucleotide</v>
      </c>
    </row>
    <row r="10194" spans="1:27" x14ac:dyDescent="0.35">
      <c r="A10194">
        <v>1009846</v>
      </c>
      <c r="B10194">
        <v>9519</v>
      </c>
      <c r="C10194">
        <v>1</v>
      </c>
      <c r="D10194" s="17" t="s">
        <v>17166</v>
      </c>
      <c r="E10194" s="17"/>
      <c r="F10194" s="17" t="s">
        <v>17246</v>
      </c>
      <c r="G10194" s="17"/>
      <c r="H10194" s="17" t="s">
        <v>20919</v>
      </c>
      <c r="I10194" s="17"/>
      <c r="J10194" s="17" t="s">
        <v>21313</v>
      </c>
      <c r="K10194" s="17"/>
      <c r="L10194" s="17" t="s">
        <v>22378</v>
      </c>
      <c r="M10194" s="17"/>
      <c r="N10194" s="17" t="s">
        <v>22459</v>
      </c>
      <c r="O10194" s="17"/>
      <c r="P10194" s="17" t="s">
        <v>22471</v>
      </c>
      <c r="Q10194" s="17"/>
      <c r="R10194" s="25" t="str">
        <f>HYPERLINK("https://ictv.global/taxonomy/taxondetails?taxnode_id=202311019","Alehxovirus pedohabitans")</f>
        <v>Alehxovirus pedohabitans</v>
      </c>
      <c r="S10194" s="18" t="s">
        <v>30</v>
      </c>
      <c r="T10194" s="18" t="s">
        <v>22520</v>
      </c>
      <c r="U10194" s="18"/>
      <c r="V10194" s="18"/>
      <c r="W10194" s="18" t="s">
        <v>22521</v>
      </c>
      <c r="X10194" s="18" t="s">
        <v>35</v>
      </c>
      <c r="Y10194" s="18" t="s">
        <v>17171</v>
      </c>
      <c r="Z10194" s="18" t="s">
        <v>697</v>
      </c>
      <c r="AA10194" s="21" t="str">
        <f>HYPERLINK("https://www.ncbi.nlm.nih.gov/nuccore/BK013978","NCBI Nucleotide")</f>
        <v>NCBI Nucleotide</v>
      </c>
    </row>
    <row r="10195" spans="1:27" x14ac:dyDescent="0.35">
      <c r="A10195">
        <v>1025891</v>
      </c>
      <c r="B10195">
        <v>9520</v>
      </c>
      <c r="C10195">
        <v>1</v>
      </c>
      <c r="D10195" s="17" t="s">
        <v>17166</v>
      </c>
      <c r="E10195" s="17"/>
      <c r="F10195" s="17" t="s">
        <v>17246</v>
      </c>
      <c r="G10195" s="17"/>
      <c r="H10195" s="17" t="s">
        <v>20919</v>
      </c>
      <c r="I10195" s="17"/>
      <c r="J10195" s="17" t="s">
        <v>21313</v>
      </c>
      <c r="K10195" s="17"/>
      <c r="L10195" s="17" t="s">
        <v>22378</v>
      </c>
      <c r="M10195" s="17"/>
      <c r="N10195" s="17" t="s">
        <v>22459</v>
      </c>
      <c r="O10195" s="17"/>
      <c r="P10195" s="17" t="s">
        <v>22471</v>
      </c>
      <c r="Q10195" s="17"/>
      <c r="R10195" s="25" t="str">
        <f>HYPERLINK("https://ictv.global/taxonomy/taxondetails?taxnode_id=202316871","Alehxovirus pelocola")</f>
        <v>Alehxovirus pelocola</v>
      </c>
      <c r="S10195" s="18" t="s">
        <v>30</v>
      </c>
      <c r="T10195" s="18" t="s">
        <v>44461</v>
      </c>
      <c r="U10195" s="18"/>
      <c r="V10195" s="18"/>
      <c r="W10195" s="18" t="s">
        <v>44462</v>
      </c>
      <c r="X10195" s="18" t="s">
        <v>35</v>
      </c>
      <c r="Y10195" s="18" t="s">
        <v>17171</v>
      </c>
      <c r="Z10195" s="18" t="s">
        <v>24637</v>
      </c>
      <c r="AA10195" s="21" t="str">
        <f>HYPERLINK("https://www.ncbi.nlm.nih.gov/nuccore/CASDWV010001191","NCBI Nucleotide")</f>
        <v>NCBI Nucleotide</v>
      </c>
    </row>
    <row r="10196" spans="1:27" x14ac:dyDescent="0.35">
      <c r="A10196">
        <v>1010082</v>
      </c>
      <c r="B10196">
        <v>9521</v>
      </c>
      <c r="C10196">
        <v>1</v>
      </c>
      <c r="D10196" s="17" t="s">
        <v>17166</v>
      </c>
      <c r="E10196" s="17"/>
      <c r="F10196" s="17" t="s">
        <v>17246</v>
      </c>
      <c r="G10196" s="17"/>
      <c r="H10196" s="17" t="s">
        <v>20919</v>
      </c>
      <c r="I10196" s="17"/>
      <c r="J10196" s="17" t="s">
        <v>21313</v>
      </c>
      <c r="K10196" s="17"/>
      <c r="L10196" s="17" t="s">
        <v>22378</v>
      </c>
      <c r="M10196" s="17"/>
      <c r="N10196" s="17" t="s">
        <v>22459</v>
      </c>
      <c r="O10196" s="17"/>
      <c r="P10196" s="17" t="s">
        <v>22471</v>
      </c>
      <c r="Q10196" s="17"/>
      <c r="R10196" s="25" t="str">
        <f>HYPERLINK("https://ictv.global/taxonomy/taxondetails?taxnode_id=202311305","Alehxovirus pelovivens")</f>
        <v>Alehxovirus pelovivens</v>
      </c>
      <c r="S10196" s="18" t="s">
        <v>30</v>
      </c>
      <c r="T10196" s="18" t="s">
        <v>23008</v>
      </c>
      <c r="U10196" s="18"/>
      <c r="V10196" s="18"/>
      <c r="W10196" s="18" t="s">
        <v>23009</v>
      </c>
      <c r="X10196" s="18" t="s">
        <v>35</v>
      </c>
      <c r="Y10196" s="18" t="s">
        <v>17171</v>
      </c>
      <c r="Z10196" s="18" t="s">
        <v>697</v>
      </c>
      <c r="AA10196" s="21" t="str">
        <f>HYPERLINK("https://www.ncbi.nlm.nih.gov/nuccore/BK013596","NCBI Nucleotide")</f>
        <v>NCBI Nucleotide</v>
      </c>
    </row>
    <row r="10197" spans="1:27" x14ac:dyDescent="0.35">
      <c r="A10197">
        <v>1025892</v>
      </c>
      <c r="B10197">
        <v>9522</v>
      </c>
      <c r="C10197">
        <v>1</v>
      </c>
      <c r="D10197" s="17" t="s">
        <v>17166</v>
      </c>
      <c r="E10197" s="17"/>
      <c r="F10197" s="17" t="s">
        <v>17246</v>
      </c>
      <c r="G10197" s="17"/>
      <c r="H10197" s="17" t="s">
        <v>20919</v>
      </c>
      <c r="I10197" s="17"/>
      <c r="J10197" s="17" t="s">
        <v>21313</v>
      </c>
      <c r="K10197" s="17"/>
      <c r="L10197" s="17" t="s">
        <v>22378</v>
      </c>
      <c r="M10197" s="17"/>
      <c r="N10197" s="17" t="s">
        <v>22459</v>
      </c>
      <c r="O10197" s="17"/>
      <c r="P10197" s="17" t="s">
        <v>22471</v>
      </c>
      <c r="Q10197" s="17"/>
      <c r="R10197" s="25" t="str">
        <f>HYPERLINK("https://ictv.global/taxonomy/taxondetails?taxnode_id=202316872","Alehxovirus pratenecus")</f>
        <v>Alehxovirus pratenecus</v>
      </c>
      <c r="S10197" s="18" t="s">
        <v>30</v>
      </c>
      <c r="T10197" s="18" t="s">
        <v>44463</v>
      </c>
      <c r="U10197" s="18"/>
      <c r="V10197" s="18" t="s">
        <v>44463</v>
      </c>
      <c r="W10197" s="18" t="s">
        <v>44464</v>
      </c>
      <c r="X10197" s="18" t="s">
        <v>35</v>
      </c>
      <c r="Y10197" s="18" t="s">
        <v>17171</v>
      </c>
      <c r="Z10197" s="18" t="s">
        <v>24637</v>
      </c>
      <c r="AA10197" s="21" t="str">
        <f>HYPERLINK("https://www.ncbi.nlm.nih.gov/nuccore/MZ679620","NCBI Nucleotide")</f>
        <v>NCBI Nucleotide</v>
      </c>
    </row>
    <row r="10198" spans="1:27" x14ac:dyDescent="0.35">
      <c r="A10198">
        <v>1025893</v>
      </c>
      <c r="B10198">
        <v>9523</v>
      </c>
      <c r="C10198">
        <v>1</v>
      </c>
      <c r="D10198" s="17" t="s">
        <v>17166</v>
      </c>
      <c r="E10198" s="17"/>
      <c r="F10198" s="17" t="s">
        <v>17246</v>
      </c>
      <c r="G10198" s="17"/>
      <c r="H10198" s="17" t="s">
        <v>20919</v>
      </c>
      <c r="I10198" s="17"/>
      <c r="J10198" s="17" t="s">
        <v>21313</v>
      </c>
      <c r="K10198" s="17"/>
      <c r="L10198" s="17" t="s">
        <v>22378</v>
      </c>
      <c r="M10198" s="17"/>
      <c r="N10198" s="17" t="s">
        <v>22459</v>
      </c>
      <c r="O10198" s="17"/>
      <c r="P10198" s="17" t="s">
        <v>22471</v>
      </c>
      <c r="Q10198" s="17"/>
      <c r="R10198" s="25" t="str">
        <f>HYPERLINK("https://ictv.global/taxonomy/taxondetails?taxnode_id=202316873","Alehxovirus prativicinum")</f>
        <v>Alehxovirus prativicinum</v>
      </c>
      <c r="S10198" s="18" t="s">
        <v>30</v>
      </c>
      <c r="T10198" s="18" t="s">
        <v>44465</v>
      </c>
      <c r="U10198" s="18"/>
      <c r="V10198" s="18" t="s">
        <v>44465</v>
      </c>
      <c r="W10198" s="18" t="s">
        <v>44466</v>
      </c>
      <c r="X10198" s="18" t="s">
        <v>35</v>
      </c>
      <c r="Y10198" s="18" t="s">
        <v>17171</v>
      </c>
      <c r="Z10198" s="18" t="s">
        <v>24637</v>
      </c>
      <c r="AA10198" s="21" t="str">
        <f>HYPERLINK("https://www.ncbi.nlm.nih.gov/nuccore/MZ679805","NCBI Nucleotide")</f>
        <v>NCBI Nucleotide</v>
      </c>
    </row>
    <row r="10199" spans="1:27" x14ac:dyDescent="0.35">
      <c r="A10199">
        <v>1025894</v>
      </c>
      <c r="B10199">
        <v>9524</v>
      </c>
      <c r="C10199">
        <v>1</v>
      </c>
      <c r="D10199" s="17" t="s">
        <v>17166</v>
      </c>
      <c r="E10199" s="17"/>
      <c r="F10199" s="17" t="s">
        <v>17246</v>
      </c>
      <c r="G10199" s="17"/>
      <c r="H10199" s="17" t="s">
        <v>20919</v>
      </c>
      <c r="I10199" s="17"/>
      <c r="J10199" s="17" t="s">
        <v>21313</v>
      </c>
      <c r="K10199" s="17"/>
      <c r="L10199" s="17" t="s">
        <v>22378</v>
      </c>
      <c r="M10199" s="17"/>
      <c r="N10199" s="17" t="s">
        <v>22459</v>
      </c>
      <c r="O10199" s="17"/>
      <c r="P10199" s="17" t="s">
        <v>22471</v>
      </c>
      <c r="Q10199" s="17"/>
      <c r="R10199" s="25" t="str">
        <f>HYPERLINK("https://ictv.global/taxonomy/taxondetails?taxnode_id=202316874","Alehxovirus pseudofaecadaptatum")</f>
        <v>Alehxovirus pseudofaecadaptatum</v>
      </c>
      <c r="S10199" s="18" t="s">
        <v>30</v>
      </c>
      <c r="T10199" s="18" t="s">
        <v>44467</v>
      </c>
      <c r="U10199" s="18"/>
      <c r="V10199" s="18" t="s">
        <v>44467</v>
      </c>
      <c r="W10199" s="18" t="s">
        <v>44468</v>
      </c>
      <c r="X10199" s="18" t="s">
        <v>35</v>
      </c>
      <c r="Y10199" s="18" t="s">
        <v>17171</v>
      </c>
      <c r="Z10199" s="18" t="s">
        <v>24637</v>
      </c>
      <c r="AA10199" s="21" t="str">
        <f>HYPERLINK("https://www.ncbi.nlm.nih.gov/nuccore/MZ679578","NCBI Nucleotide")</f>
        <v>NCBI Nucleotide</v>
      </c>
    </row>
    <row r="10200" spans="1:27" x14ac:dyDescent="0.35">
      <c r="A10200">
        <v>1025895</v>
      </c>
      <c r="B10200">
        <v>9525</v>
      </c>
      <c r="C10200">
        <v>1</v>
      </c>
      <c r="D10200" s="17" t="s">
        <v>17166</v>
      </c>
      <c r="E10200" s="17"/>
      <c r="F10200" s="17" t="s">
        <v>17246</v>
      </c>
      <c r="G10200" s="17"/>
      <c r="H10200" s="17" t="s">
        <v>20919</v>
      </c>
      <c r="I10200" s="17"/>
      <c r="J10200" s="17" t="s">
        <v>21313</v>
      </c>
      <c r="K10200" s="17"/>
      <c r="L10200" s="17" t="s">
        <v>22378</v>
      </c>
      <c r="M10200" s="17"/>
      <c r="N10200" s="17" t="s">
        <v>22459</v>
      </c>
      <c r="O10200" s="17"/>
      <c r="P10200" s="17" t="s">
        <v>22471</v>
      </c>
      <c r="Q10200" s="17"/>
      <c r="R10200" s="25" t="str">
        <f>HYPERLINK("https://ictv.global/taxonomy/taxondetails?taxnode_id=202316875","Alehxovirus pseudofaecenecus")</f>
        <v>Alehxovirus pseudofaecenecus</v>
      </c>
      <c r="S10200" s="18" t="s">
        <v>30</v>
      </c>
      <c r="T10200" s="18" t="s">
        <v>44469</v>
      </c>
      <c r="U10200" s="18"/>
      <c r="V10200" s="18" t="s">
        <v>44469</v>
      </c>
      <c r="W10200" s="18" t="s">
        <v>44470</v>
      </c>
      <c r="X10200" s="18" t="s">
        <v>35</v>
      </c>
      <c r="Y10200" s="18" t="s">
        <v>17171</v>
      </c>
      <c r="Z10200" s="18" t="s">
        <v>24637</v>
      </c>
      <c r="AA10200" s="21" t="str">
        <f>HYPERLINK("https://www.ncbi.nlm.nih.gov/nuccore/MZ680325","NCBI Nucleotide")</f>
        <v>NCBI Nucleotide</v>
      </c>
    </row>
    <row r="10201" spans="1:27" x14ac:dyDescent="0.35">
      <c r="A10201">
        <v>1025896</v>
      </c>
      <c r="B10201">
        <v>9526</v>
      </c>
      <c r="C10201">
        <v>1</v>
      </c>
      <c r="D10201" s="17" t="s">
        <v>17166</v>
      </c>
      <c r="E10201" s="17"/>
      <c r="F10201" s="17" t="s">
        <v>17246</v>
      </c>
      <c r="G10201" s="17"/>
      <c r="H10201" s="17" t="s">
        <v>20919</v>
      </c>
      <c r="I10201" s="17"/>
      <c r="J10201" s="17" t="s">
        <v>21313</v>
      </c>
      <c r="K10201" s="17"/>
      <c r="L10201" s="17" t="s">
        <v>22378</v>
      </c>
      <c r="M10201" s="17"/>
      <c r="N10201" s="17" t="s">
        <v>22459</v>
      </c>
      <c r="O10201" s="17"/>
      <c r="P10201" s="17" t="s">
        <v>22471</v>
      </c>
      <c r="Q10201" s="17"/>
      <c r="R10201" s="25" t="str">
        <f>HYPERLINK("https://ictv.global/taxonomy/taxondetails?taxnode_id=202316876","Alehxovirus pseudofaecicola")</f>
        <v>Alehxovirus pseudofaecicola</v>
      </c>
      <c r="S10201" s="18" t="s">
        <v>30</v>
      </c>
      <c r="T10201" s="18" t="s">
        <v>44471</v>
      </c>
      <c r="U10201" s="18"/>
      <c r="V10201" s="18" t="s">
        <v>44471</v>
      </c>
      <c r="W10201" s="18" t="s">
        <v>44472</v>
      </c>
      <c r="X10201" s="18" t="s">
        <v>35</v>
      </c>
      <c r="Y10201" s="18" t="s">
        <v>17171</v>
      </c>
      <c r="Z10201" s="18" t="s">
        <v>24637</v>
      </c>
      <c r="AA10201" s="21" t="str">
        <f>HYPERLINK("https://www.ncbi.nlm.nih.gov/nuccore/MZ679491","NCBI Nucleotide")</f>
        <v>NCBI Nucleotide</v>
      </c>
    </row>
    <row r="10202" spans="1:27" x14ac:dyDescent="0.35">
      <c r="A10202">
        <v>1025897</v>
      </c>
      <c r="B10202">
        <v>9527</v>
      </c>
      <c r="C10202">
        <v>1</v>
      </c>
      <c r="D10202" s="17" t="s">
        <v>17166</v>
      </c>
      <c r="E10202" s="17"/>
      <c r="F10202" s="17" t="s">
        <v>17246</v>
      </c>
      <c r="G10202" s="17"/>
      <c r="H10202" s="17" t="s">
        <v>20919</v>
      </c>
      <c r="I10202" s="17"/>
      <c r="J10202" s="17" t="s">
        <v>21313</v>
      </c>
      <c r="K10202" s="17"/>
      <c r="L10202" s="17" t="s">
        <v>22378</v>
      </c>
      <c r="M10202" s="17"/>
      <c r="N10202" s="17" t="s">
        <v>22459</v>
      </c>
      <c r="O10202" s="17"/>
      <c r="P10202" s="17" t="s">
        <v>22471</v>
      </c>
      <c r="Q10202" s="17"/>
      <c r="R10202" s="25" t="str">
        <f>HYPERLINK("https://ictv.global/taxonomy/taxondetails?taxnode_id=202316877","Alehxovirus pseudonemorisadaptatum")</f>
        <v>Alehxovirus pseudonemorisadaptatum</v>
      </c>
      <c r="S10202" s="18" t="s">
        <v>30</v>
      </c>
      <c r="T10202" s="18" t="s">
        <v>44473</v>
      </c>
      <c r="U10202" s="18"/>
      <c r="V10202" s="18" t="s">
        <v>44473</v>
      </c>
      <c r="W10202" s="18" t="s">
        <v>44474</v>
      </c>
      <c r="X10202" s="18" t="s">
        <v>35</v>
      </c>
      <c r="Y10202" s="18" t="s">
        <v>17171</v>
      </c>
      <c r="Z10202" s="18" t="s">
        <v>24637</v>
      </c>
      <c r="AA10202" s="21" t="str">
        <f>HYPERLINK("https://www.ncbi.nlm.nih.gov/nuccore/MZ679569","NCBI Nucleotide")</f>
        <v>NCBI Nucleotide</v>
      </c>
    </row>
    <row r="10203" spans="1:27" x14ac:dyDescent="0.35">
      <c r="A10203">
        <v>1025898</v>
      </c>
      <c r="B10203">
        <v>9528</v>
      </c>
      <c r="C10203">
        <v>1</v>
      </c>
      <c r="D10203" s="17" t="s">
        <v>17166</v>
      </c>
      <c r="E10203" s="17"/>
      <c r="F10203" s="17" t="s">
        <v>17246</v>
      </c>
      <c r="G10203" s="17"/>
      <c r="H10203" s="17" t="s">
        <v>20919</v>
      </c>
      <c r="I10203" s="17"/>
      <c r="J10203" s="17" t="s">
        <v>21313</v>
      </c>
      <c r="K10203" s="17"/>
      <c r="L10203" s="17" t="s">
        <v>22378</v>
      </c>
      <c r="M10203" s="17"/>
      <c r="N10203" s="17" t="s">
        <v>22459</v>
      </c>
      <c r="O10203" s="17"/>
      <c r="P10203" s="17" t="s">
        <v>22471</v>
      </c>
      <c r="Q10203" s="17"/>
      <c r="R10203" s="25" t="str">
        <f>HYPERLINK("https://ictv.global/taxonomy/taxondetails?taxnode_id=202316878","Alehxovirus pseudonemoriscola")</f>
        <v>Alehxovirus pseudonemoriscola</v>
      </c>
      <c r="S10203" s="18" t="s">
        <v>30</v>
      </c>
      <c r="T10203" s="18" t="s">
        <v>44475</v>
      </c>
      <c r="U10203" s="18"/>
      <c r="V10203" s="18" t="s">
        <v>44475</v>
      </c>
      <c r="W10203" s="18" t="s">
        <v>44476</v>
      </c>
      <c r="X10203" s="18" t="s">
        <v>35</v>
      </c>
      <c r="Y10203" s="18" t="s">
        <v>17171</v>
      </c>
      <c r="Z10203" s="18" t="s">
        <v>24637</v>
      </c>
      <c r="AA10203" s="21" t="str">
        <f>HYPERLINK("https://www.ncbi.nlm.nih.gov/nuccore/MZ679615","NCBI Nucleotide")</f>
        <v>NCBI Nucleotide</v>
      </c>
    </row>
    <row r="10204" spans="1:27" x14ac:dyDescent="0.35">
      <c r="A10204">
        <v>1025899</v>
      </c>
      <c r="B10204">
        <v>9529</v>
      </c>
      <c r="C10204">
        <v>1</v>
      </c>
      <c r="D10204" s="17" t="s">
        <v>17166</v>
      </c>
      <c r="E10204" s="17"/>
      <c r="F10204" s="17" t="s">
        <v>17246</v>
      </c>
      <c r="G10204" s="17"/>
      <c r="H10204" s="17" t="s">
        <v>20919</v>
      </c>
      <c r="I10204" s="17"/>
      <c r="J10204" s="17" t="s">
        <v>21313</v>
      </c>
      <c r="K10204" s="17"/>
      <c r="L10204" s="17" t="s">
        <v>22378</v>
      </c>
      <c r="M10204" s="17"/>
      <c r="N10204" s="17" t="s">
        <v>22459</v>
      </c>
      <c r="O10204" s="17"/>
      <c r="P10204" s="17" t="s">
        <v>22471</v>
      </c>
      <c r="Q10204" s="17"/>
      <c r="R10204" s="25" t="str">
        <f>HYPERLINK("https://ictv.global/taxonomy/taxondetails?taxnode_id=202316879","Alehxovirus pseudonemorisenecus")</f>
        <v>Alehxovirus pseudonemorisenecus</v>
      </c>
      <c r="S10204" s="18" t="s">
        <v>30</v>
      </c>
      <c r="T10204" s="18" t="s">
        <v>44477</v>
      </c>
      <c r="U10204" s="18"/>
      <c r="V10204" s="18" t="s">
        <v>44477</v>
      </c>
      <c r="W10204" s="18" t="s">
        <v>44478</v>
      </c>
      <c r="X10204" s="18" t="s">
        <v>35</v>
      </c>
      <c r="Y10204" s="18" t="s">
        <v>17171</v>
      </c>
      <c r="Z10204" s="18" t="s">
        <v>24637</v>
      </c>
      <c r="AA10204" s="21" t="str">
        <f>HYPERLINK("https://www.ncbi.nlm.nih.gov/nuccore/MZ679543","NCBI Nucleotide")</f>
        <v>NCBI Nucleotide</v>
      </c>
    </row>
    <row r="10205" spans="1:27" x14ac:dyDescent="0.35">
      <c r="A10205">
        <v>1025900</v>
      </c>
      <c r="B10205">
        <v>9530</v>
      </c>
      <c r="C10205">
        <v>1</v>
      </c>
      <c r="D10205" s="17" t="s">
        <v>17166</v>
      </c>
      <c r="E10205" s="17"/>
      <c r="F10205" s="17" t="s">
        <v>17246</v>
      </c>
      <c r="G10205" s="17"/>
      <c r="H10205" s="17" t="s">
        <v>20919</v>
      </c>
      <c r="I10205" s="17"/>
      <c r="J10205" s="17" t="s">
        <v>21313</v>
      </c>
      <c r="K10205" s="17"/>
      <c r="L10205" s="17" t="s">
        <v>22378</v>
      </c>
      <c r="M10205" s="17"/>
      <c r="N10205" s="17" t="s">
        <v>22459</v>
      </c>
      <c r="O10205" s="17"/>
      <c r="P10205" s="17" t="s">
        <v>22471</v>
      </c>
      <c r="Q10205" s="17"/>
      <c r="R10205" s="25" t="str">
        <f>HYPERLINK("https://ictv.global/taxonomy/taxondetails?taxnode_id=202316880","Alehxovirus pseudonemorisvicinum")</f>
        <v>Alehxovirus pseudonemorisvicinum</v>
      </c>
      <c r="S10205" s="18" t="s">
        <v>30</v>
      </c>
      <c r="T10205" s="18" t="s">
        <v>44479</v>
      </c>
      <c r="U10205" s="18"/>
      <c r="V10205" s="18" t="s">
        <v>44479</v>
      </c>
      <c r="W10205" s="18" t="s">
        <v>44480</v>
      </c>
      <c r="X10205" s="18" t="s">
        <v>35</v>
      </c>
      <c r="Y10205" s="18" t="s">
        <v>17171</v>
      </c>
      <c r="Z10205" s="18" t="s">
        <v>24637</v>
      </c>
      <c r="AA10205" s="21" t="str">
        <f>HYPERLINK("https://www.ncbi.nlm.nih.gov/nuccore/MZ679659","NCBI Nucleotide")</f>
        <v>NCBI Nucleotide</v>
      </c>
    </row>
    <row r="10206" spans="1:27" x14ac:dyDescent="0.35">
      <c r="A10206">
        <v>1025901</v>
      </c>
      <c r="B10206">
        <v>9531</v>
      </c>
      <c r="C10206">
        <v>1</v>
      </c>
      <c r="D10206" s="17" t="s">
        <v>17166</v>
      </c>
      <c r="E10206" s="17"/>
      <c r="F10206" s="17" t="s">
        <v>17246</v>
      </c>
      <c r="G10206" s="17"/>
      <c r="H10206" s="17" t="s">
        <v>20919</v>
      </c>
      <c r="I10206" s="17"/>
      <c r="J10206" s="17" t="s">
        <v>21313</v>
      </c>
      <c r="K10206" s="17"/>
      <c r="L10206" s="17" t="s">
        <v>22378</v>
      </c>
      <c r="M10206" s="17"/>
      <c r="N10206" s="17" t="s">
        <v>22459</v>
      </c>
      <c r="O10206" s="17"/>
      <c r="P10206" s="17" t="s">
        <v>22471</v>
      </c>
      <c r="Q10206" s="17"/>
      <c r="R10206" s="25" t="str">
        <f>HYPERLINK("https://ictv.global/taxonomy/taxondetails?taxnode_id=202316881","Alehxovirus pseudonemorisvivens")</f>
        <v>Alehxovirus pseudonemorisvivens</v>
      </c>
      <c r="S10206" s="18" t="s">
        <v>30</v>
      </c>
      <c r="T10206" s="18" t="s">
        <v>44481</v>
      </c>
      <c r="U10206" s="18"/>
      <c r="V10206" s="18" t="s">
        <v>44481</v>
      </c>
      <c r="W10206" s="18" t="s">
        <v>44482</v>
      </c>
      <c r="X10206" s="18" t="s">
        <v>35</v>
      </c>
      <c r="Y10206" s="18" t="s">
        <v>17171</v>
      </c>
      <c r="Z10206" s="18" t="s">
        <v>24637</v>
      </c>
      <c r="AA10206" s="21" t="str">
        <f>HYPERLINK("https://www.ncbi.nlm.nih.gov/nuccore/MZ679597","NCBI Nucleotide")</f>
        <v>NCBI Nucleotide</v>
      </c>
    </row>
    <row r="10207" spans="1:27" x14ac:dyDescent="0.35">
      <c r="A10207">
        <v>1025902</v>
      </c>
      <c r="B10207">
        <v>9532</v>
      </c>
      <c r="C10207">
        <v>1</v>
      </c>
      <c r="D10207" s="17" t="s">
        <v>17166</v>
      </c>
      <c r="E10207" s="17"/>
      <c r="F10207" s="17" t="s">
        <v>17246</v>
      </c>
      <c r="G10207" s="17"/>
      <c r="H10207" s="17" t="s">
        <v>20919</v>
      </c>
      <c r="I10207" s="17"/>
      <c r="J10207" s="17" t="s">
        <v>21313</v>
      </c>
      <c r="K10207" s="17"/>
      <c r="L10207" s="17" t="s">
        <v>22378</v>
      </c>
      <c r="M10207" s="17"/>
      <c r="N10207" s="17" t="s">
        <v>22459</v>
      </c>
      <c r="O10207" s="17"/>
      <c r="P10207" s="17" t="s">
        <v>22471</v>
      </c>
      <c r="Q10207" s="17"/>
      <c r="R10207" s="25" t="str">
        <f>HYPERLINK("https://ictv.global/taxonomy/taxondetails?taxnode_id=202316882","Alehxovirus radicivivens")</f>
        <v>Alehxovirus radicivivens</v>
      </c>
      <c r="S10207" s="18" t="s">
        <v>30</v>
      </c>
      <c r="T10207" s="18" t="s">
        <v>44483</v>
      </c>
      <c r="U10207" s="18"/>
      <c r="V10207" s="18"/>
      <c r="W10207" s="18" t="s">
        <v>44484</v>
      </c>
      <c r="X10207" s="18" t="s">
        <v>35</v>
      </c>
      <c r="Y10207" s="18" t="s">
        <v>17171</v>
      </c>
      <c r="Z10207" s="18" t="s">
        <v>24637</v>
      </c>
      <c r="AA10207" s="21" t="str">
        <f>HYPERLINK("https://www.ncbi.nlm.nih.gov/nuccore/CASDWV010004487","NCBI Nucleotide")</f>
        <v>NCBI Nucleotide</v>
      </c>
    </row>
    <row r="10208" spans="1:27" x14ac:dyDescent="0.35">
      <c r="A10208">
        <v>1025903</v>
      </c>
      <c r="B10208">
        <v>9533</v>
      </c>
      <c r="C10208">
        <v>1</v>
      </c>
      <c r="D10208" s="17" t="s">
        <v>17166</v>
      </c>
      <c r="E10208" s="17"/>
      <c r="F10208" s="17" t="s">
        <v>17246</v>
      </c>
      <c r="G10208" s="17"/>
      <c r="H10208" s="17" t="s">
        <v>20919</v>
      </c>
      <c r="I10208" s="17"/>
      <c r="J10208" s="17" t="s">
        <v>21313</v>
      </c>
      <c r="K10208" s="17"/>
      <c r="L10208" s="17" t="s">
        <v>22378</v>
      </c>
      <c r="M10208" s="17"/>
      <c r="N10208" s="17" t="s">
        <v>22459</v>
      </c>
      <c r="O10208" s="17"/>
      <c r="P10208" s="17" t="s">
        <v>22471</v>
      </c>
      <c r="Q10208" s="17"/>
      <c r="R10208" s="25" t="str">
        <f>HYPERLINK("https://ictv.global/taxonomy/taxondetails?taxnode_id=202316883","Alehxovirus solivivens")</f>
        <v>Alehxovirus solivivens</v>
      </c>
      <c r="S10208" s="18" t="s">
        <v>30</v>
      </c>
      <c r="T10208" s="18" t="s">
        <v>44485</v>
      </c>
      <c r="U10208" s="18"/>
      <c r="V10208" s="18"/>
      <c r="W10208" s="18" t="s">
        <v>44486</v>
      </c>
      <c r="X10208" s="18" t="s">
        <v>35</v>
      </c>
      <c r="Y10208" s="18" t="s">
        <v>17171</v>
      </c>
      <c r="Z10208" s="18" t="s">
        <v>24637</v>
      </c>
      <c r="AA10208" s="21" t="str">
        <f>HYPERLINK("https://www.ncbi.nlm.nih.gov/nuccore/CASDWV010001018","NCBI Nucleotide")</f>
        <v>NCBI Nucleotide</v>
      </c>
    </row>
    <row r="10209" spans="1:27" x14ac:dyDescent="0.35">
      <c r="A10209">
        <v>1025925</v>
      </c>
      <c r="B10209">
        <v>9534</v>
      </c>
      <c r="C10209">
        <v>1</v>
      </c>
      <c r="D10209" s="17" t="s">
        <v>17166</v>
      </c>
      <c r="E10209" s="17"/>
      <c r="F10209" s="17" t="s">
        <v>17246</v>
      </c>
      <c r="G10209" s="17"/>
      <c r="H10209" s="17" t="s">
        <v>20919</v>
      </c>
      <c r="I10209" s="17"/>
      <c r="J10209" s="17" t="s">
        <v>21313</v>
      </c>
      <c r="K10209" s="17"/>
      <c r="L10209" s="17" t="s">
        <v>22378</v>
      </c>
      <c r="M10209" s="17"/>
      <c r="N10209" s="17" t="s">
        <v>22459</v>
      </c>
      <c r="O10209" s="17"/>
      <c r="P10209" s="17" t="s">
        <v>44487</v>
      </c>
      <c r="Q10209" s="17"/>
      <c r="R10209" s="25" t="str">
        <f>HYPERLINK("https://ictv.global/taxonomy/taxondetails?taxnode_id=202316884","Alvestavirus fundivicinum")</f>
        <v>Alvestavirus fundivicinum</v>
      </c>
      <c r="S10209" s="18" t="s">
        <v>30</v>
      </c>
      <c r="T10209" s="18" t="s">
        <v>44488</v>
      </c>
      <c r="U10209" s="18"/>
      <c r="V10209" s="18" t="s">
        <v>44488</v>
      </c>
      <c r="W10209" s="18" t="s">
        <v>44489</v>
      </c>
      <c r="X10209" s="18" t="s">
        <v>35</v>
      </c>
      <c r="Y10209" s="18" t="s">
        <v>17171</v>
      </c>
      <c r="Z10209" s="18" t="s">
        <v>24637</v>
      </c>
      <c r="AA10209" s="21" t="str">
        <f>HYPERLINK("https://www.ncbi.nlm.nih.gov/nuccore/MZ679540","NCBI Nucleotide")</f>
        <v>NCBI Nucleotide</v>
      </c>
    </row>
    <row r="10210" spans="1:27" x14ac:dyDescent="0.35">
      <c r="A10210">
        <v>1025758</v>
      </c>
      <c r="B10210">
        <v>9535</v>
      </c>
      <c r="C10210">
        <v>1</v>
      </c>
      <c r="D10210" s="17" t="s">
        <v>17166</v>
      </c>
      <c r="E10210" s="17"/>
      <c r="F10210" s="17" t="s">
        <v>17246</v>
      </c>
      <c r="G10210" s="17"/>
      <c r="H10210" s="17" t="s">
        <v>20919</v>
      </c>
      <c r="I10210" s="17"/>
      <c r="J10210" s="17" t="s">
        <v>21313</v>
      </c>
      <c r="K10210" s="17"/>
      <c r="L10210" s="17" t="s">
        <v>22378</v>
      </c>
      <c r="M10210" s="17"/>
      <c r="N10210" s="17" t="s">
        <v>22459</v>
      </c>
      <c r="O10210" s="17"/>
      <c r="P10210" s="17" t="s">
        <v>44490</v>
      </c>
      <c r="Q10210" s="17"/>
      <c r="R10210" s="25" t="str">
        <f>HYPERLINK("https://ictv.global/taxonomy/taxondetails?taxnode_id=202316885","Asdankavirus geoadaptatum")</f>
        <v>Asdankavirus geoadaptatum</v>
      </c>
      <c r="S10210" s="18" t="s">
        <v>30</v>
      </c>
      <c r="T10210" s="18" t="s">
        <v>44491</v>
      </c>
      <c r="U10210" s="18"/>
      <c r="V10210" s="18"/>
      <c r="W10210" s="18" t="s">
        <v>44492</v>
      </c>
      <c r="X10210" s="18" t="s">
        <v>35</v>
      </c>
      <c r="Y10210" s="18" t="s">
        <v>17171</v>
      </c>
      <c r="Z10210" s="18" t="s">
        <v>24637</v>
      </c>
      <c r="AA10210" s="21" t="str">
        <f>HYPERLINK("https://www.ncbi.nlm.nih.gov/nuccore/CASDWV010001775","NCBI Nucleotide")</f>
        <v>NCBI Nucleotide</v>
      </c>
    </row>
    <row r="10211" spans="1:27" x14ac:dyDescent="0.35">
      <c r="A10211">
        <v>1009847</v>
      </c>
      <c r="B10211">
        <v>9536</v>
      </c>
      <c r="C10211">
        <v>1</v>
      </c>
      <c r="D10211" s="17" t="s">
        <v>17166</v>
      </c>
      <c r="E10211" s="17"/>
      <c r="F10211" s="17" t="s">
        <v>17246</v>
      </c>
      <c r="G10211" s="17"/>
      <c r="H10211" s="17" t="s">
        <v>20919</v>
      </c>
      <c r="I10211" s="17"/>
      <c r="J10211" s="17" t="s">
        <v>21313</v>
      </c>
      <c r="K10211" s="17"/>
      <c r="L10211" s="17" t="s">
        <v>22378</v>
      </c>
      <c r="M10211" s="17"/>
      <c r="N10211" s="17" t="s">
        <v>22459</v>
      </c>
      <c r="O10211" s="17"/>
      <c r="P10211" s="17" t="s">
        <v>22522</v>
      </c>
      <c r="Q10211" s="17"/>
      <c r="R10211" s="25" t="str">
        <f>HYPERLINK("https://ictv.global/taxonomy/taxondetails?taxnode_id=202311021","Ashcevirus caenenecus")</f>
        <v>Ashcevirus caenenecus</v>
      </c>
      <c r="S10211" s="18" t="s">
        <v>30</v>
      </c>
      <c r="T10211" s="18" t="s">
        <v>22523</v>
      </c>
      <c r="U10211" s="18"/>
      <c r="V10211" s="18"/>
      <c r="W10211" s="18" t="s">
        <v>22524</v>
      </c>
      <c r="X10211" s="18" t="s">
        <v>35</v>
      </c>
      <c r="Y10211" s="18" t="s">
        <v>17171</v>
      </c>
      <c r="Z10211" s="18" t="s">
        <v>697</v>
      </c>
      <c r="AA10211" s="21" t="str">
        <f>HYPERLINK("https://www.ncbi.nlm.nih.gov/nuccore/BK014187","NCBI Nucleotide")</f>
        <v>NCBI Nucleotide</v>
      </c>
    </row>
    <row r="10212" spans="1:27" x14ac:dyDescent="0.35">
      <c r="A10212">
        <v>1025759</v>
      </c>
      <c r="B10212">
        <v>9537</v>
      </c>
      <c r="C10212">
        <v>1</v>
      </c>
      <c r="D10212" s="17" t="s">
        <v>17166</v>
      </c>
      <c r="E10212" s="17"/>
      <c r="F10212" s="17" t="s">
        <v>17246</v>
      </c>
      <c r="G10212" s="17"/>
      <c r="H10212" s="17" t="s">
        <v>20919</v>
      </c>
      <c r="I10212" s="17"/>
      <c r="J10212" s="17" t="s">
        <v>21313</v>
      </c>
      <c r="K10212" s="17"/>
      <c r="L10212" s="17" t="s">
        <v>22378</v>
      </c>
      <c r="M10212" s="17"/>
      <c r="N10212" s="17" t="s">
        <v>22459</v>
      </c>
      <c r="O10212" s="17"/>
      <c r="P10212" s="17" t="s">
        <v>22522</v>
      </c>
      <c r="Q10212" s="17"/>
      <c r="R10212" s="25" t="str">
        <f>HYPERLINK("https://ictv.global/taxonomy/taxondetails?taxnode_id=202316886","Ashcevirus geovivens")</f>
        <v>Ashcevirus geovivens</v>
      </c>
      <c r="S10212" s="18" t="s">
        <v>30</v>
      </c>
      <c r="T10212" s="18" t="s">
        <v>44493</v>
      </c>
      <c r="U10212" s="18"/>
      <c r="V10212" s="18"/>
      <c r="W10212" s="18" t="s">
        <v>44494</v>
      </c>
      <c r="X10212" s="18" t="s">
        <v>35</v>
      </c>
      <c r="Y10212" s="18" t="s">
        <v>17171</v>
      </c>
      <c r="Z10212" s="18" t="s">
        <v>24637</v>
      </c>
      <c r="AA10212" s="21" t="str">
        <f>HYPERLINK("https://www.ncbi.nlm.nih.gov/nuccore/CASDWV010004291","NCBI Nucleotide")</f>
        <v>NCBI Nucleotide</v>
      </c>
    </row>
    <row r="10213" spans="1:27" x14ac:dyDescent="0.35">
      <c r="A10213">
        <v>1025760</v>
      </c>
      <c r="B10213">
        <v>9538</v>
      </c>
      <c r="C10213">
        <v>1</v>
      </c>
      <c r="D10213" s="17" t="s">
        <v>17166</v>
      </c>
      <c r="E10213" s="17"/>
      <c r="F10213" s="17" t="s">
        <v>17246</v>
      </c>
      <c r="G10213" s="17"/>
      <c r="H10213" s="17" t="s">
        <v>20919</v>
      </c>
      <c r="I10213" s="17"/>
      <c r="J10213" s="17" t="s">
        <v>21313</v>
      </c>
      <c r="K10213" s="17"/>
      <c r="L10213" s="17" t="s">
        <v>22378</v>
      </c>
      <c r="M10213" s="17"/>
      <c r="N10213" s="17" t="s">
        <v>22459</v>
      </c>
      <c r="O10213" s="17"/>
      <c r="P10213" s="17" t="s">
        <v>22522</v>
      </c>
      <c r="Q10213" s="17"/>
      <c r="R10213" s="25" t="str">
        <f>HYPERLINK("https://ictv.global/taxonomy/taxondetails?taxnode_id=202316887","Ashcevirus pedovivens")</f>
        <v>Ashcevirus pedovivens</v>
      </c>
      <c r="S10213" s="18" t="s">
        <v>30</v>
      </c>
      <c r="T10213" s="18" t="s">
        <v>44495</v>
      </c>
      <c r="U10213" s="18"/>
      <c r="V10213" s="18"/>
      <c r="W10213" s="18" t="s">
        <v>44496</v>
      </c>
      <c r="X10213" s="18" t="s">
        <v>35</v>
      </c>
      <c r="Y10213" s="18" t="s">
        <v>17171</v>
      </c>
      <c r="Z10213" s="18" t="s">
        <v>24637</v>
      </c>
      <c r="AA10213" s="21" t="str">
        <f>HYPERLINK("https://www.ncbi.nlm.nih.gov/nuccore/CASDWV010000944","NCBI Nucleotide")</f>
        <v>NCBI Nucleotide</v>
      </c>
    </row>
    <row r="10214" spans="1:27" x14ac:dyDescent="0.35">
      <c r="A10214">
        <v>1025761</v>
      </c>
      <c r="B10214">
        <v>9539</v>
      </c>
      <c r="C10214">
        <v>1</v>
      </c>
      <c r="D10214" s="17" t="s">
        <v>17166</v>
      </c>
      <c r="E10214" s="17"/>
      <c r="F10214" s="17" t="s">
        <v>17246</v>
      </c>
      <c r="G10214" s="17"/>
      <c r="H10214" s="17" t="s">
        <v>20919</v>
      </c>
      <c r="I10214" s="17"/>
      <c r="J10214" s="17" t="s">
        <v>21313</v>
      </c>
      <c r="K10214" s="17"/>
      <c r="L10214" s="17" t="s">
        <v>22378</v>
      </c>
      <c r="M10214" s="17"/>
      <c r="N10214" s="17" t="s">
        <v>22459</v>
      </c>
      <c r="O10214" s="17"/>
      <c r="P10214" s="17" t="s">
        <v>22522</v>
      </c>
      <c r="Q10214" s="17"/>
      <c r="R10214" s="25" t="str">
        <f>HYPERLINK("https://ictv.global/taxonomy/taxondetails?taxnode_id=202316888","Ashcevirus pelenecus")</f>
        <v>Ashcevirus pelenecus</v>
      </c>
      <c r="S10214" s="18" t="s">
        <v>30</v>
      </c>
      <c r="T10214" s="18" t="s">
        <v>44497</v>
      </c>
      <c r="U10214" s="18"/>
      <c r="V10214" s="18"/>
      <c r="W10214" s="18" t="s">
        <v>44498</v>
      </c>
      <c r="X10214" s="18" t="s">
        <v>35</v>
      </c>
      <c r="Y10214" s="18" t="s">
        <v>17171</v>
      </c>
      <c r="Z10214" s="18" t="s">
        <v>24637</v>
      </c>
      <c r="AA10214" s="21" t="str">
        <f>HYPERLINK("https://www.ncbi.nlm.nih.gov/nuccore/CASDWV010000906","NCBI Nucleotide")</f>
        <v>NCBI Nucleotide</v>
      </c>
    </row>
    <row r="10215" spans="1:27" x14ac:dyDescent="0.35">
      <c r="A10215">
        <v>1025762</v>
      </c>
      <c r="B10215">
        <v>9540</v>
      </c>
      <c r="C10215">
        <v>1</v>
      </c>
      <c r="D10215" s="17" t="s">
        <v>17166</v>
      </c>
      <c r="E10215" s="17"/>
      <c r="F10215" s="17" t="s">
        <v>17246</v>
      </c>
      <c r="G10215" s="17"/>
      <c r="H10215" s="17" t="s">
        <v>20919</v>
      </c>
      <c r="I10215" s="17"/>
      <c r="J10215" s="17" t="s">
        <v>21313</v>
      </c>
      <c r="K10215" s="17"/>
      <c r="L10215" s="17" t="s">
        <v>22378</v>
      </c>
      <c r="M10215" s="17"/>
      <c r="N10215" s="17" t="s">
        <v>22459</v>
      </c>
      <c r="O10215" s="17"/>
      <c r="P10215" s="17" t="s">
        <v>22522</v>
      </c>
      <c r="Q10215" s="17"/>
      <c r="R10215" s="25" t="str">
        <f>HYPERLINK("https://ictv.global/taxonomy/taxondetails?taxnode_id=202316889","Ashcevirus telluricola")</f>
        <v>Ashcevirus telluricola</v>
      </c>
      <c r="S10215" s="18" t="s">
        <v>30</v>
      </c>
      <c r="T10215" s="18" t="s">
        <v>44499</v>
      </c>
      <c r="U10215" s="18"/>
      <c r="V10215" s="18"/>
      <c r="W10215" s="18" t="s">
        <v>44500</v>
      </c>
      <c r="X10215" s="18" t="s">
        <v>35</v>
      </c>
      <c r="Y10215" s="18" t="s">
        <v>17171</v>
      </c>
      <c r="Z10215" s="18" t="s">
        <v>24637</v>
      </c>
      <c r="AA10215" s="21" t="str">
        <f>HYPERLINK("https://www.ncbi.nlm.nih.gov/nuccore/CASDWV010000619","NCBI Nucleotide")</f>
        <v>NCBI Nucleotide</v>
      </c>
    </row>
    <row r="10216" spans="1:27" x14ac:dyDescent="0.35">
      <c r="A10216">
        <v>1010118</v>
      </c>
      <c r="B10216">
        <v>9541</v>
      </c>
      <c r="C10216">
        <v>1</v>
      </c>
      <c r="D10216" s="17" t="s">
        <v>17166</v>
      </c>
      <c r="E10216" s="17"/>
      <c r="F10216" s="17" t="s">
        <v>17246</v>
      </c>
      <c r="G10216" s="17"/>
      <c r="H10216" s="17" t="s">
        <v>20919</v>
      </c>
      <c r="I10216" s="17"/>
      <c r="J10216" s="17" t="s">
        <v>21313</v>
      </c>
      <c r="K10216" s="17"/>
      <c r="L10216" s="17" t="s">
        <v>22378</v>
      </c>
      <c r="M10216" s="17"/>
      <c r="N10216" s="17" t="s">
        <v>22459</v>
      </c>
      <c r="O10216" s="17"/>
      <c r="P10216" s="17" t="s">
        <v>44501</v>
      </c>
      <c r="Q10216" s="17"/>
      <c r="R10216" s="25" t="str">
        <f>HYPERLINK("https://ictv.global/taxonomy/taxondetails?taxnode_id=202311361","Austrovirus limicola")</f>
        <v>Austrovirus limicola</v>
      </c>
      <c r="S10216" s="18" t="s">
        <v>30</v>
      </c>
      <c r="T10216" s="18" t="s">
        <v>23090</v>
      </c>
      <c r="U10216" s="18"/>
      <c r="V10216" s="18"/>
      <c r="W10216" s="18" t="s">
        <v>23091</v>
      </c>
      <c r="X10216" s="18" t="s">
        <v>35</v>
      </c>
      <c r="Y10216" s="18" t="s">
        <v>17171</v>
      </c>
      <c r="Z10216" s="18" t="s">
        <v>697</v>
      </c>
      <c r="AA10216" s="21" t="str">
        <f>HYPERLINK("https://www.ncbi.nlm.nih.gov/nuccore/BK014139","NCBI Nucleotide")</f>
        <v>NCBI Nucleotide</v>
      </c>
    </row>
    <row r="10217" spans="1:27" x14ac:dyDescent="0.35">
      <c r="A10217">
        <v>1025780</v>
      </c>
      <c r="B10217">
        <v>9542</v>
      </c>
      <c r="C10217">
        <v>1</v>
      </c>
      <c r="D10217" s="17" t="s">
        <v>17166</v>
      </c>
      <c r="E10217" s="17"/>
      <c r="F10217" s="17" t="s">
        <v>17246</v>
      </c>
      <c r="G10217" s="17"/>
      <c r="H10217" s="17" t="s">
        <v>20919</v>
      </c>
      <c r="I10217" s="17"/>
      <c r="J10217" s="17" t="s">
        <v>21313</v>
      </c>
      <c r="K10217" s="17"/>
      <c r="L10217" s="17" t="s">
        <v>22378</v>
      </c>
      <c r="M10217" s="17"/>
      <c r="N10217" s="17" t="s">
        <v>22459</v>
      </c>
      <c r="O10217" s="17"/>
      <c r="P10217" s="17" t="s">
        <v>44502</v>
      </c>
      <c r="Q10217" s="17"/>
      <c r="R10217" s="25" t="str">
        <f>HYPERLINK("https://ictv.global/taxonomy/taxondetails?taxnode_id=202316890","Badtivirus faecivicinum")</f>
        <v>Badtivirus faecivicinum</v>
      </c>
      <c r="S10217" s="18" t="s">
        <v>30</v>
      </c>
      <c r="T10217" s="18" t="s">
        <v>44503</v>
      </c>
      <c r="U10217" s="18"/>
      <c r="V10217" s="18" t="s">
        <v>44503</v>
      </c>
      <c r="W10217" s="18" t="s">
        <v>44504</v>
      </c>
      <c r="X10217" s="18" t="s">
        <v>35</v>
      </c>
      <c r="Y10217" s="18" t="s">
        <v>17171</v>
      </c>
      <c r="Z10217" s="18" t="s">
        <v>24637</v>
      </c>
      <c r="AA10217" s="21" t="str">
        <f>HYPERLINK("https://www.ncbi.nlm.nih.gov/nuccore/MZ680336","NCBI Nucleotide")</f>
        <v>NCBI Nucleotide</v>
      </c>
    </row>
    <row r="10218" spans="1:27" x14ac:dyDescent="0.35">
      <c r="A10218">
        <v>1025770</v>
      </c>
      <c r="B10218">
        <v>9543</v>
      </c>
      <c r="C10218">
        <v>1</v>
      </c>
      <c r="D10218" s="17" t="s">
        <v>17166</v>
      </c>
      <c r="E10218" s="17"/>
      <c r="F10218" s="17" t="s">
        <v>17246</v>
      </c>
      <c r="G10218" s="17"/>
      <c r="H10218" s="17" t="s">
        <v>20919</v>
      </c>
      <c r="I10218" s="17"/>
      <c r="J10218" s="17" t="s">
        <v>21313</v>
      </c>
      <c r="K10218" s="17"/>
      <c r="L10218" s="17" t="s">
        <v>22378</v>
      </c>
      <c r="M10218" s="17"/>
      <c r="N10218" s="17" t="s">
        <v>22459</v>
      </c>
      <c r="O10218" s="17"/>
      <c r="P10218" s="17" t="s">
        <v>44505</v>
      </c>
      <c r="Q10218" s="17"/>
      <c r="R10218" s="25" t="str">
        <f>HYPERLINK("https://ictv.global/taxonomy/taxondetails?taxnode_id=202316891","Bahrchivirus agrivivens")</f>
        <v>Bahrchivirus agrivivens</v>
      </c>
      <c r="S10218" s="18" t="s">
        <v>30</v>
      </c>
      <c r="T10218" s="18" t="s">
        <v>44506</v>
      </c>
      <c r="U10218" s="18"/>
      <c r="V10218" s="18"/>
      <c r="W10218" s="18" t="s">
        <v>44507</v>
      </c>
      <c r="X10218" s="18" t="s">
        <v>35</v>
      </c>
      <c r="Y10218" s="18" t="s">
        <v>17171</v>
      </c>
      <c r="Z10218" s="18" t="s">
        <v>24637</v>
      </c>
      <c r="AA10218" s="21" t="str">
        <f>HYPERLINK("https://www.ncbi.nlm.nih.gov/nuccore/CASDWV010001983","NCBI Nucleotide")</f>
        <v>NCBI Nucleotide</v>
      </c>
    </row>
    <row r="10219" spans="1:27" x14ac:dyDescent="0.35">
      <c r="A10219">
        <v>1025771</v>
      </c>
      <c r="B10219">
        <v>9544</v>
      </c>
      <c r="C10219">
        <v>1</v>
      </c>
      <c r="D10219" s="17" t="s">
        <v>17166</v>
      </c>
      <c r="E10219" s="17"/>
      <c r="F10219" s="17" t="s">
        <v>17246</v>
      </c>
      <c r="G10219" s="17"/>
      <c r="H10219" s="17" t="s">
        <v>20919</v>
      </c>
      <c r="I10219" s="17"/>
      <c r="J10219" s="17" t="s">
        <v>21313</v>
      </c>
      <c r="K10219" s="17"/>
      <c r="L10219" s="17" t="s">
        <v>22378</v>
      </c>
      <c r="M10219" s="17"/>
      <c r="N10219" s="17" t="s">
        <v>22459</v>
      </c>
      <c r="O10219" s="17"/>
      <c r="P10219" s="17" t="s">
        <v>44505</v>
      </c>
      <c r="Q10219" s="17"/>
      <c r="R10219" s="25" t="str">
        <f>HYPERLINK("https://ictv.global/taxonomy/taxondetails?taxnode_id=202316892","Bahrchivirus caenihabitans")</f>
        <v>Bahrchivirus caenihabitans</v>
      </c>
      <c r="S10219" s="18" t="s">
        <v>30</v>
      </c>
      <c r="T10219" s="18" t="s">
        <v>44508</v>
      </c>
      <c r="U10219" s="18"/>
      <c r="V10219" s="18"/>
      <c r="W10219" s="18" t="s">
        <v>44509</v>
      </c>
      <c r="X10219" s="18" t="s">
        <v>35</v>
      </c>
      <c r="Y10219" s="18" t="s">
        <v>17171</v>
      </c>
      <c r="Z10219" s="18" t="s">
        <v>24637</v>
      </c>
      <c r="AA10219" s="21" t="str">
        <f>HYPERLINK("https://www.ncbi.nlm.nih.gov/nuccore/CASDWV010003993","NCBI Nucleotide")</f>
        <v>NCBI Nucleotide</v>
      </c>
    </row>
    <row r="10220" spans="1:27" x14ac:dyDescent="0.35">
      <c r="A10220">
        <v>1025772</v>
      </c>
      <c r="B10220">
        <v>9545</v>
      </c>
      <c r="C10220">
        <v>1</v>
      </c>
      <c r="D10220" s="17" t="s">
        <v>17166</v>
      </c>
      <c r="E10220" s="17"/>
      <c r="F10220" s="17" t="s">
        <v>17246</v>
      </c>
      <c r="G10220" s="17"/>
      <c r="H10220" s="17" t="s">
        <v>20919</v>
      </c>
      <c r="I10220" s="17"/>
      <c r="J10220" s="17" t="s">
        <v>21313</v>
      </c>
      <c r="K10220" s="17"/>
      <c r="L10220" s="17" t="s">
        <v>22378</v>
      </c>
      <c r="M10220" s="17"/>
      <c r="N10220" s="17" t="s">
        <v>22459</v>
      </c>
      <c r="O10220" s="17"/>
      <c r="P10220" s="17" t="s">
        <v>44505</v>
      </c>
      <c r="Q10220" s="17"/>
      <c r="R10220" s="25" t="str">
        <f>HYPERLINK("https://ictv.global/taxonomy/taxondetails?taxnode_id=202316893","Bahrchivirus edaphovicinum")</f>
        <v>Bahrchivirus edaphovicinum</v>
      </c>
      <c r="S10220" s="18" t="s">
        <v>30</v>
      </c>
      <c r="T10220" s="18" t="s">
        <v>44510</v>
      </c>
      <c r="U10220" s="18"/>
      <c r="V10220" s="18"/>
      <c r="W10220" s="18" t="s">
        <v>44511</v>
      </c>
      <c r="X10220" s="18" t="s">
        <v>35</v>
      </c>
      <c r="Y10220" s="18" t="s">
        <v>17171</v>
      </c>
      <c r="Z10220" s="18" t="s">
        <v>24637</v>
      </c>
      <c r="AA10220" s="21" t="str">
        <f>HYPERLINK("https://www.ncbi.nlm.nih.gov/nuccore/CASDWV010002529","NCBI Nucleotide")</f>
        <v>NCBI Nucleotide</v>
      </c>
    </row>
    <row r="10221" spans="1:27" x14ac:dyDescent="0.35">
      <c r="A10221">
        <v>1025773</v>
      </c>
      <c r="B10221">
        <v>9546</v>
      </c>
      <c r="C10221">
        <v>1</v>
      </c>
      <c r="D10221" s="17" t="s">
        <v>17166</v>
      </c>
      <c r="E10221" s="17"/>
      <c r="F10221" s="17" t="s">
        <v>17246</v>
      </c>
      <c r="G10221" s="17"/>
      <c r="H10221" s="17" t="s">
        <v>20919</v>
      </c>
      <c r="I10221" s="17"/>
      <c r="J10221" s="17" t="s">
        <v>21313</v>
      </c>
      <c r="K10221" s="17"/>
      <c r="L10221" s="17" t="s">
        <v>22378</v>
      </c>
      <c r="M10221" s="17"/>
      <c r="N10221" s="17" t="s">
        <v>22459</v>
      </c>
      <c r="O10221" s="17"/>
      <c r="P10221" s="17" t="s">
        <v>44505</v>
      </c>
      <c r="Q10221" s="17"/>
      <c r="R10221" s="25" t="str">
        <f>HYPERLINK("https://ictv.global/taxonomy/taxondetails?taxnode_id=202316894","Bahrchivirus messivivens")</f>
        <v>Bahrchivirus messivivens</v>
      </c>
      <c r="S10221" s="18" t="s">
        <v>30</v>
      </c>
      <c r="T10221" s="18" t="s">
        <v>44512</v>
      </c>
      <c r="U10221" s="18"/>
      <c r="V10221" s="18"/>
      <c r="W10221" s="18" t="s">
        <v>44513</v>
      </c>
      <c r="X10221" s="18" t="s">
        <v>35</v>
      </c>
      <c r="Y10221" s="18" t="s">
        <v>17171</v>
      </c>
      <c r="Z10221" s="18" t="s">
        <v>24637</v>
      </c>
      <c r="AA10221" s="21" t="str">
        <f>HYPERLINK("https://www.ncbi.nlm.nih.gov/nuccore/CASDWV010004232","NCBI Nucleotide")</f>
        <v>NCBI Nucleotide</v>
      </c>
    </row>
    <row r="10222" spans="1:27" x14ac:dyDescent="0.35">
      <c r="A10222">
        <v>1025774</v>
      </c>
      <c r="B10222">
        <v>9547</v>
      </c>
      <c r="C10222">
        <v>1</v>
      </c>
      <c r="D10222" s="17" t="s">
        <v>17166</v>
      </c>
      <c r="E10222" s="17"/>
      <c r="F10222" s="17" t="s">
        <v>17246</v>
      </c>
      <c r="G10222" s="17"/>
      <c r="H10222" s="17" t="s">
        <v>20919</v>
      </c>
      <c r="I10222" s="17"/>
      <c r="J10222" s="17" t="s">
        <v>21313</v>
      </c>
      <c r="K10222" s="17"/>
      <c r="L10222" s="17" t="s">
        <v>22378</v>
      </c>
      <c r="M10222" s="17"/>
      <c r="N10222" s="17" t="s">
        <v>22459</v>
      </c>
      <c r="O10222" s="17"/>
      <c r="P10222" s="17" t="s">
        <v>44505</v>
      </c>
      <c r="Q10222" s="17"/>
      <c r="R10222" s="25" t="str">
        <f>HYPERLINK("https://ictv.global/taxonomy/taxondetails?taxnode_id=202316895","Bahrchivirus pedovicinum")</f>
        <v>Bahrchivirus pedovicinum</v>
      </c>
      <c r="S10222" s="18" t="s">
        <v>30</v>
      </c>
      <c r="T10222" s="18" t="s">
        <v>44514</v>
      </c>
      <c r="U10222" s="18"/>
      <c r="V10222" s="18"/>
      <c r="W10222" s="18" t="s">
        <v>44515</v>
      </c>
      <c r="X10222" s="18" t="s">
        <v>35</v>
      </c>
      <c r="Y10222" s="18" t="s">
        <v>17171</v>
      </c>
      <c r="Z10222" s="18" t="s">
        <v>24637</v>
      </c>
      <c r="AA10222" s="21" t="str">
        <f>HYPERLINK("https://www.ncbi.nlm.nih.gov/nuccore/CASDWV010003469","NCBI Nucleotide")</f>
        <v>NCBI Nucleotide</v>
      </c>
    </row>
    <row r="10223" spans="1:27" x14ac:dyDescent="0.35">
      <c r="A10223">
        <v>1025775</v>
      </c>
      <c r="B10223">
        <v>9548</v>
      </c>
      <c r="C10223">
        <v>1</v>
      </c>
      <c r="D10223" s="17" t="s">
        <v>17166</v>
      </c>
      <c r="E10223" s="17"/>
      <c r="F10223" s="17" t="s">
        <v>17246</v>
      </c>
      <c r="G10223" s="17"/>
      <c r="H10223" s="17" t="s">
        <v>20919</v>
      </c>
      <c r="I10223" s="17"/>
      <c r="J10223" s="17" t="s">
        <v>21313</v>
      </c>
      <c r="K10223" s="17"/>
      <c r="L10223" s="17" t="s">
        <v>22378</v>
      </c>
      <c r="M10223" s="17"/>
      <c r="N10223" s="17" t="s">
        <v>22459</v>
      </c>
      <c r="O10223" s="17"/>
      <c r="P10223" s="17" t="s">
        <v>44505</v>
      </c>
      <c r="Q10223" s="17"/>
      <c r="R10223" s="25" t="str">
        <f>HYPERLINK("https://ictv.global/taxonomy/taxondetails?taxnode_id=202316896","Bahrchivirus telluricola")</f>
        <v>Bahrchivirus telluricola</v>
      </c>
      <c r="S10223" s="18" t="s">
        <v>30</v>
      </c>
      <c r="T10223" s="18" t="s">
        <v>44516</v>
      </c>
      <c r="U10223" s="18"/>
      <c r="V10223" s="18"/>
      <c r="W10223" s="18" t="s">
        <v>44517</v>
      </c>
      <c r="X10223" s="18" t="s">
        <v>35</v>
      </c>
      <c r="Y10223" s="18" t="s">
        <v>17171</v>
      </c>
      <c r="Z10223" s="18" t="s">
        <v>24637</v>
      </c>
      <c r="AA10223" s="21" t="str">
        <f>HYPERLINK("https://www.ncbi.nlm.nih.gov/nuccore/CASDWV010003567","NCBI Nucleotide")</f>
        <v>NCBI Nucleotide</v>
      </c>
    </row>
    <row r="10224" spans="1:27" x14ac:dyDescent="0.35">
      <c r="A10224">
        <v>1025776</v>
      </c>
      <c r="B10224">
        <v>9549</v>
      </c>
      <c r="C10224">
        <v>1</v>
      </c>
      <c r="D10224" s="17" t="s">
        <v>17166</v>
      </c>
      <c r="E10224" s="17"/>
      <c r="F10224" s="17" t="s">
        <v>17246</v>
      </c>
      <c r="G10224" s="17"/>
      <c r="H10224" s="17" t="s">
        <v>20919</v>
      </c>
      <c r="I10224" s="17"/>
      <c r="J10224" s="17" t="s">
        <v>21313</v>
      </c>
      <c r="K10224" s="17"/>
      <c r="L10224" s="17" t="s">
        <v>22378</v>
      </c>
      <c r="M10224" s="17"/>
      <c r="N10224" s="17" t="s">
        <v>22459</v>
      </c>
      <c r="O10224" s="17"/>
      <c r="P10224" s="17" t="s">
        <v>44518</v>
      </c>
      <c r="Q10224" s="17"/>
      <c r="R10224" s="25" t="str">
        <f>HYPERLINK("https://ictv.global/taxonomy/taxondetails?taxnode_id=202316897","Bahxtivirus chorovivens")</f>
        <v>Bahxtivirus chorovivens</v>
      </c>
      <c r="S10224" s="18" t="s">
        <v>30</v>
      </c>
      <c r="T10224" s="18" t="s">
        <v>44519</v>
      </c>
      <c r="U10224" s="18"/>
      <c r="V10224" s="18"/>
      <c r="W10224" s="18" t="s">
        <v>44520</v>
      </c>
      <c r="X10224" s="18" t="s">
        <v>35</v>
      </c>
      <c r="Y10224" s="18" t="s">
        <v>17171</v>
      </c>
      <c r="Z10224" s="18" t="s">
        <v>24637</v>
      </c>
      <c r="AA10224" s="21" t="str">
        <f>HYPERLINK("https://www.ncbi.nlm.nih.gov/nuccore/CASDWV010002717","NCBI Nucleotide")</f>
        <v>NCBI Nucleotide</v>
      </c>
    </row>
    <row r="10225" spans="1:27" x14ac:dyDescent="0.35">
      <c r="A10225">
        <v>1025787</v>
      </c>
      <c r="B10225">
        <v>9550</v>
      </c>
      <c r="C10225">
        <v>1</v>
      </c>
      <c r="D10225" s="17" t="s">
        <v>17166</v>
      </c>
      <c r="E10225" s="17"/>
      <c r="F10225" s="17" t="s">
        <v>17246</v>
      </c>
      <c r="G10225" s="17"/>
      <c r="H10225" s="17" t="s">
        <v>20919</v>
      </c>
      <c r="I10225" s="17"/>
      <c r="J10225" s="17" t="s">
        <v>21313</v>
      </c>
      <c r="K10225" s="17"/>
      <c r="L10225" s="17" t="s">
        <v>22378</v>
      </c>
      <c r="M10225" s="17"/>
      <c r="N10225" s="17" t="s">
        <v>22459</v>
      </c>
      <c r="O10225" s="17"/>
      <c r="P10225" s="17" t="s">
        <v>44521</v>
      </c>
      <c r="Q10225" s="17"/>
      <c r="R10225" s="25" t="str">
        <f>HYPERLINK("https://ictv.global/taxonomy/taxondetails?taxnode_id=202316898","Bartuvirus messadaptatum")</f>
        <v>Bartuvirus messadaptatum</v>
      </c>
      <c r="S10225" s="18" t="s">
        <v>30</v>
      </c>
      <c r="T10225" s="18" t="s">
        <v>44522</v>
      </c>
      <c r="U10225" s="18"/>
      <c r="V10225" s="18"/>
      <c r="W10225" s="18" t="s">
        <v>44523</v>
      </c>
      <c r="X10225" s="18" t="s">
        <v>35</v>
      </c>
      <c r="Y10225" s="18" t="s">
        <v>17171</v>
      </c>
      <c r="Z10225" s="18" t="s">
        <v>24637</v>
      </c>
      <c r="AA10225" s="21" t="str">
        <f>HYPERLINK("https://www.ncbi.nlm.nih.gov/nuccore/CASDWV010005048","NCBI Nucleotide")</f>
        <v>NCBI Nucleotide</v>
      </c>
    </row>
    <row r="10226" spans="1:27" x14ac:dyDescent="0.35">
      <c r="A10226">
        <v>1025788</v>
      </c>
      <c r="B10226">
        <v>9551</v>
      </c>
      <c r="C10226">
        <v>1</v>
      </c>
      <c r="D10226" s="17" t="s">
        <v>17166</v>
      </c>
      <c r="E10226" s="17"/>
      <c r="F10226" s="17" t="s">
        <v>17246</v>
      </c>
      <c r="G10226" s="17"/>
      <c r="H10226" s="17" t="s">
        <v>20919</v>
      </c>
      <c r="I10226" s="17"/>
      <c r="J10226" s="17" t="s">
        <v>21313</v>
      </c>
      <c r="K10226" s="17"/>
      <c r="L10226" s="17" t="s">
        <v>22378</v>
      </c>
      <c r="M10226" s="17"/>
      <c r="N10226" s="17" t="s">
        <v>22459</v>
      </c>
      <c r="O10226" s="17"/>
      <c r="P10226" s="17" t="s">
        <v>44521</v>
      </c>
      <c r="Q10226" s="17"/>
      <c r="R10226" s="25" t="str">
        <f>HYPERLINK("https://ictv.global/taxonomy/taxondetails?taxnode_id=202316899","Bartuvirus solivivens")</f>
        <v>Bartuvirus solivivens</v>
      </c>
      <c r="S10226" s="18" t="s">
        <v>30</v>
      </c>
      <c r="T10226" s="18" t="s">
        <v>44524</v>
      </c>
      <c r="U10226" s="18"/>
      <c r="V10226" s="18"/>
      <c r="W10226" s="18" t="s">
        <v>44525</v>
      </c>
      <c r="X10226" s="18" t="s">
        <v>35</v>
      </c>
      <c r="Y10226" s="18" t="s">
        <v>17171</v>
      </c>
      <c r="Z10226" s="18" t="s">
        <v>24637</v>
      </c>
      <c r="AA10226" s="21" t="str">
        <f>HYPERLINK("https://www.ncbi.nlm.nih.gov/nuccore/CASDWV010001685","NCBI Nucleotide")</f>
        <v>NCBI Nucleotide</v>
      </c>
    </row>
    <row r="10227" spans="1:27" x14ac:dyDescent="0.35">
      <c r="A10227">
        <v>1025797</v>
      </c>
      <c r="B10227">
        <v>9552</v>
      </c>
      <c r="C10227">
        <v>1</v>
      </c>
      <c r="D10227" s="17" t="s">
        <v>17166</v>
      </c>
      <c r="E10227" s="17"/>
      <c r="F10227" s="17" t="s">
        <v>17246</v>
      </c>
      <c r="G10227" s="17"/>
      <c r="H10227" s="17" t="s">
        <v>20919</v>
      </c>
      <c r="I10227" s="17"/>
      <c r="J10227" s="17" t="s">
        <v>21313</v>
      </c>
      <c r="K10227" s="17"/>
      <c r="L10227" s="17" t="s">
        <v>22378</v>
      </c>
      <c r="M10227" s="17"/>
      <c r="N10227" s="17" t="s">
        <v>22459</v>
      </c>
      <c r="O10227" s="17"/>
      <c r="P10227" s="17" t="s">
        <v>44526</v>
      </c>
      <c r="Q10227" s="17"/>
      <c r="R10227" s="25" t="str">
        <f>HYPERLINK("https://ictv.global/taxonomy/taxondetails?taxnode_id=202316900","Behrmavirus fundadaptatum")</f>
        <v>Behrmavirus fundadaptatum</v>
      </c>
      <c r="S10227" s="18" t="s">
        <v>30</v>
      </c>
      <c r="T10227" s="18" t="s">
        <v>44527</v>
      </c>
      <c r="U10227" s="18"/>
      <c r="V10227" s="18" t="s">
        <v>44527</v>
      </c>
      <c r="W10227" s="18" t="s">
        <v>44528</v>
      </c>
      <c r="X10227" s="18" t="s">
        <v>35</v>
      </c>
      <c r="Y10227" s="18" t="s">
        <v>17171</v>
      </c>
      <c r="Z10227" s="18" t="s">
        <v>24637</v>
      </c>
      <c r="AA10227" s="21" t="str">
        <f>HYPERLINK("https://www.ncbi.nlm.nih.gov/nuccore/MZ679784","NCBI Nucleotide")</f>
        <v>NCBI Nucleotide</v>
      </c>
    </row>
    <row r="10228" spans="1:27" x14ac:dyDescent="0.35">
      <c r="A10228">
        <v>1025798</v>
      </c>
      <c r="B10228">
        <v>9553</v>
      </c>
      <c r="C10228">
        <v>1</v>
      </c>
      <c r="D10228" s="17" t="s">
        <v>17166</v>
      </c>
      <c r="E10228" s="17"/>
      <c r="F10228" s="17" t="s">
        <v>17246</v>
      </c>
      <c r="G10228" s="17"/>
      <c r="H10228" s="17" t="s">
        <v>20919</v>
      </c>
      <c r="I10228" s="17"/>
      <c r="J10228" s="17" t="s">
        <v>21313</v>
      </c>
      <c r="K10228" s="17"/>
      <c r="L10228" s="17" t="s">
        <v>22378</v>
      </c>
      <c r="M10228" s="17"/>
      <c r="N10228" s="17" t="s">
        <v>22459</v>
      </c>
      <c r="O10228" s="17"/>
      <c r="P10228" s="17" t="s">
        <v>44526</v>
      </c>
      <c r="Q10228" s="17"/>
      <c r="R10228" s="25" t="str">
        <f>HYPERLINK("https://ictv.global/taxonomy/taxondetails?taxnode_id=202316901","Behrmavirus nemorishabitans")</f>
        <v>Behrmavirus nemorishabitans</v>
      </c>
      <c r="S10228" s="18" t="s">
        <v>30</v>
      </c>
      <c r="T10228" s="18" t="s">
        <v>44529</v>
      </c>
      <c r="U10228" s="18"/>
      <c r="V10228" s="18" t="s">
        <v>44529</v>
      </c>
      <c r="W10228" s="18" t="s">
        <v>44530</v>
      </c>
      <c r="X10228" s="18" t="s">
        <v>35</v>
      </c>
      <c r="Y10228" s="18" t="s">
        <v>17171</v>
      </c>
      <c r="Z10228" s="18" t="s">
        <v>24637</v>
      </c>
      <c r="AA10228" s="21" t="str">
        <f>HYPERLINK("https://www.ncbi.nlm.nih.gov/nuccore/MZ679652","NCBI Nucleotide")</f>
        <v>NCBI Nucleotide</v>
      </c>
    </row>
    <row r="10229" spans="1:27" x14ac:dyDescent="0.35">
      <c r="A10229">
        <v>1025800</v>
      </c>
      <c r="B10229">
        <v>9554</v>
      </c>
      <c r="C10229">
        <v>1</v>
      </c>
      <c r="D10229" s="17" t="s">
        <v>17166</v>
      </c>
      <c r="E10229" s="17"/>
      <c r="F10229" s="17" t="s">
        <v>17246</v>
      </c>
      <c r="G10229" s="17"/>
      <c r="H10229" s="17" t="s">
        <v>20919</v>
      </c>
      <c r="I10229" s="17"/>
      <c r="J10229" s="17" t="s">
        <v>21313</v>
      </c>
      <c r="K10229" s="17"/>
      <c r="L10229" s="17" t="s">
        <v>22378</v>
      </c>
      <c r="M10229" s="17"/>
      <c r="N10229" s="17" t="s">
        <v>22459</v>
      </c>
      <c r="O10229" s="17"/>
      <c r="P10229" s="17" t="s">
        <v>44531</v>
      </c>
      <c r="Q10229" s="17"/>
      <c r="R10229" s="25" t="str">
        <f>HYPERLINK("https://ictv.global/taxonomy/taxondetails?taxnode_id=202316902","Beiedevirus terricola")</f>
        <v>Beiedevirus terricola</v>
      </c>
      <c r="S10229" s="18" t="s">
        <v>30</v>
      </c>
      <c r="T10229" s="18" t="s">
        <v>44532</v>
      </c>
      <c r="U10229" s="18"/>
      <c r="V10229" s="18"/>
      <c r="W10229" s="18" t="s">
        <v>44533</v>
      </c>
      <c r="X10229" s="18" t="s">
        <v>35</v>
      </c>
      <c r="Y10229" s="18" t="s">
        <v>17171</v>
      </c>
      <c r="Z10229" s="18" t="s">
        <v>24637</v>
      </c>
      <c r="AA10229" s="21" t="str">
        <f>HYPERLINK("https://www.ncbi.nlm.nih.gov/nuccore/CASDWV010000539","NCBI Nucleotide")</f>
        <v>NCBI Nucleotide</v>
      </c>
    </row>
    <row r="10230" spans="1:27" x14ac:dyDescent="0.35">
      <c r="A10230">
        <v>1025801</v>
      </c>
      <c r="B10230">
        <v>9555</v>
      </c>
      <c r="C10230">
        <v>1</v>
      </c>
      <c r="D10230" s="17" t="s">
        <v>17166</v>
      </c>
      <c r="E10230" s="17"/>
      <c r="F10230" s="17" t="s">
        <v>17246</v>
      </c>
      <c r="G10230" s="17"/>
      <c r="H10230" s="17" t="s">
        <v>20919</v>
      </c>
      <c r="I10230" s="17"/>
      <c r="J10230" s="17" t="s">
        <v>21313</v>
      </c>
      <c r="K10230" s="17"/>
      <c r="L10230" s="17" t="s">
        <v>22378</v>
      </c>
      <c r="M10230" s="17"/>
      <c r="N10230" s="17" t="s">
        <v>22459</v>
      </c>
      <c r="O10230" s="17"/>
      <c r="P10230" s="17" t="s">
        <v>44534</v>
      </c>
      <c r="Q10230" s="17"/>
      <c r="R10230" s="25" t="str">
        <f>HYPERLINK("https://ictv.global/taxonomy/taxondetails?taxnode_id=202316903","Beirlevirus luticola")</f>
        <v>Beirlevirus luticola</v>
      </c>
      <c r="S10230" s="18" t="s">
        <v>30</v>
      </c>
      <c r="T10230" s="18" t="s">
        <v>44535</v>
      </c>
      <c r="U10230" s="18"/>
      <c r="V10230" s="18"/>
      <c r="W10230" s="18" t="s">
        <v>44536</v>
      </c>
      <c r="X10230" s="18" t="s">
        <v>35</v>
      </c>
      <c r="Y10230" s="18" t="s">
        <v>17171</v>
      </c>
      <c r="Z10230" s="18" t="s">
        <v>24637</v>
      </c>
      <c r="AA10230" s="21" t="str">
        <f>HYPERLINK("https://www.ncbi.nlm.nih.gov/nuccore/CASDWV010001605","NCBI Nucleotide")</f>
        <v>NCBI Nucleotide</v>
      </c>
    </row>
    <row r="10231" spans="1:27" x14ac:dyDescent="0.35">
      <c r="A10231">
        <v>1025965</v>
      </c>
      <c r="B10231">
        <v>9556</v>
      </c>
      <c r="C10231">
        <v>1</v>
      </c>
      <c r="D10231" s="17" t="s">
        <v>17166</v>
      </c>
      <c r="E10231" s="17"/>
      <c r="F10231" s="17" t="s">
        <v>17246</v>
      </c>
      <c r="G10231" s="17"/>
      <c r="H10231" s="17" t="s">
        <v>20919</v>
      </c>
      <c r="I10231" s="17"/>
      <c r="J10231" s="17" t="s">
        <v>21313</v>
      </c>
      <c r="K10231" s="17"/>
      <c r="L10231" s="17" t="s">
        <v>22378</v>
      </c>
      <c r="M10231" s="17"/>
      <c r="N10231" s="17" t="s">
        <v>22459</v>
      </c>
      <c r="O10231" s="17"/>
      <c r="P10231" s="17" t="s">
        <v>44537</v>
      </c>
      <c r="Q10231" s="17"/>
      <c r="R10231" s="25" t="str">
        <f>HYPERLINK("https://ictv.global/taxonomy/taxondetails?taxnode_id=202316904","Bepbevirus segetenecus")</f>
        <v>Bepbevirus segetenecus</v>
      </c>
      <c r="S10231" s="18" t="s">
        <v>30</v>
      </c>
      <c r="T10231" s="18" t="s">
        <v>44538</v>
      </c>
      <c r="U10231" s="18"/>
      <c r="V10231" s="18"/>
      <c r="W10231" s="18" t="s">
        <v>44539</v>
      </c>
      <c r="X10231" s="18" t="s">
        <v>35</v>
      </c>
      <c r="Y10231" s="18" t="s">
        <v>17171</v>
      </c>
      <c r="Z10231" s="18" t="s">
        <v>24637</v>
      </c>
      <c r="AA10231" s="21" t="str">
        <f>HYPERLINK("https://www.ncbi.nlm.nih.gov/nuccore/CASDWV010004561","NCBI Nucleotide")</f>
        <v>NCBI Nucleotide</v>
      </c>
    </row>
    <row r="10232" spans="1:27" x14ac:dyDescent="0.35">
      <c r="A10232">
        <v>1009881</v>
      </c>
      <c r="B10232">
        <v>9557</v>
      </c>
      <c r="C10232">
        <v>1</v>
      </c>
      <c r="D10232" s="17" t="s">
        <v>17166</v>
      </c>
      <c r="E10232" s="17"/>
      <c r="F10232" s="17" t="s">
        <v>17246</v>
      </c>
      <c r="G10232" s="17"/>
      <c r="H10232" s="17" t="s">
        <v>20919</v>
      </c>
      <c r="I10232" s="17"/>
      <c r="J10232" s="17" t="s">
        <v>21313</v>
      </c>
      <c r="K10232" s="17"/>
      <c r="L10232" s="17" t="s">
        <v>22378</v>
      </c>
      <c r="M10232" s="17"/>
      <c r="N10232" s="17" t="s">
        <v>22459</v>
      </c>
      <c r="O10232" s="17"/>
      <c r="P10232" s="17" t="s">
        <v>22591</v>
      </c>
      <c r="Q10232" s="17"/>
      <c r="R10232" s="25" t="str">
        <f>HYPERLINK("https://ictv.global/taxonomy/taxondetails?taxnode_id=202311058","Berdovirus luticola")</f>
        <v>Berdovirus luticola</v>
      </c>
      <c r="S10232" s="18" t="s">
        <v>30</v>
      </c>
      <c r="T10232" s="18" t="s">
        <v>22592</v>
      </c>
      <c r="U10232" s="18"/>
      <c r="V10232" s="18"/>
      <c r="W10232" s="18" t="s">
        <v>22593</v>
      </c>
      <c r="X10232" s="18" t="s">
        <v>35</v>
      </c>
      <c r="Y10232" s="18" t="s">
        <v>17171</v>
      </c>
      <c r="Z10232" s="18" t="s">
        <v>697</v>
      </c>
      <c r="AA10232" s="21" t="str">
        <f>HYPERLINK("https://www.ncbi.nlm.nih.gov/nuccore/BK014108","NCBI Nucleotide")</f>
        <v>NCBI Nucleotide</v>
      </c>
    </row>
    <row r="10233" spans="1:27" x14ac:dyDescent="0.35">
      <c r="A10233">
        <v>1025803</v>
      </c>
      <c r="B10233">
        <v>9558</v>
      </c>
      <c r="C10233">
        <v>1</v>
      </c>
      <c r="D10233" s="17" t="s">
        <v>17166</v>
      </c>
      <c r="E10233" s="17"/>
      <c r="F10233" s="17" t="s">
        <v>17246</v>
      </c>
      <c r="G10233" s="17"/>
      <c r="H10233" s="17" t="s">
        <v>20919</v>
      </c>
      <c r="I10233" s="17"/>
      <c r="J10233" s="17" t="s">
        <v>21313</v>
      </c>
      <c r="K10233" s="17"/>
      <c r="L10233" s="17" t="s">
        <v>22378</v>
      </c>
      <c r="M10233" s="17"/>
      <c r="N10233" s="17" t="s">
        <v>22459</v>
      </c>
      <c r="O10233" s="17"/>
      <c r="P10233" s="17" t="s">
        <v>44540</v>
      </c>
      <c r="Q10233" s="17"/>
      <c r="R10233" s="25" t="str">
        <f>HYPERLINK("https://ictv.global/taxonomy/taxondetails?taxnode_id=202316905","Bertovirus agrivivens")</f>
        <v>Bertovirus agrivivens</v>
      </c>
      <c r="S10233" s="18" t="s">
        <v>30</v>
      </c>
      <c r="T10233" s="18" t="s">
        <v>44541</v>
      </c>
      <c r="U10233" s="18"/>
      <c r="V10233" s="18"/>
      <c r="W10233" s="18" t="s">
        <v>44542</v>
      </c>
      <c r="X10233" s="18" t="s">
        <v>35</v>
      </c>
      <c r="Y10233" s="18" t="s">
        <v>17171</v>
      </c>
      <c r="Z10233" s="18" t="s">
        <v>24637</v>
      </c>
      <c r="AA10233" s="21" t="str">
        <f>HYPERLINK("https://www.ncbi.nlm.nih.gov/nuccore/CASDWV010001658","NCBI Nucleotide")</f>
        <v>NCBI Nucleotide</v>
      </c>
    </row>
    <row r="10234" spans="1:27" x14ac:dyDescent="0.35">
      <c r="A10234">
        <v>1025804</v>
      </c>
      <c r="B10234">
        <v>9559</v>
      </c>
      <c r="C10234">
        <v>1</v>
      </c>
      <c r="D10234" s="17" t="s">
        <v>17166</v>
      </c>
      <c r="E10234" s="17"/>
      <c r="F10234" s="17" t="s">
        <v>17246</v>
      </c>
      <c r="G10234" s="17"/>
      <c r="H10234" s="17" t="s">
        <v>20919</v>
      </c>
      <c r="I10234" s="17"/>
      <c r="J10234" s="17" t="s">
        <v>21313</v>
      </c>
      <c r="K10234" s="17"/>
      <c r="L10234" s="17" t="s">
        <v>22378</v>
      </c>
      <c r="M10234" s="17"/>
      <c r="N10234" s="17" t="s">
        <v>22459</v>
      </c>
      <c r="O10234" s="17"/>
      <c r="P10234" s="17" t="s">
        <v>44543</v>
      </c>
      <c r="Q10234" s="17"/>
      <c r="R10234" s="25" t="str">
        <f>HYPERLINK("https://ictv.global/taxonomy/taxondetails?taxnode_id=202316906","Bescotivirus agrivivens")</f>
        <v>Bescotivirus agrivivens</v>
      </c>
      <c r="S10234" s="18" t="s">
        <v>30</v>
      </c>
      <c r="T10234" s="18" t="s">
        <v>44544</v>
      </c>
      <c r="U10234" s="18"/>
      <c r="V10234" s="18"/>
      <c r="W10234" s="18" t="s">
        <v>44545</v>
      </c>
      <c r="X10234" s="18" t="s">
        <v>35</v>
      </c>
      <c r="Y10234" s="18" t="s">
        <v>17171</v>
      </c>
      <c r="Z10234" s="18" t="s">
        <v>24637</v>
      </c>
      <c r="AA10234" s="21" t="str">
        <f>HYPERLINK("https://www.ncbi.nlm.nih.gov/nuccore/CASDWV010004891","NCBI Nucleotide")</f>
        <v>NCBI Nucleotide</v>
      </c>
    </row>
    <row r="10235" spans="1:27" x14ac:dyDescent="0.35">
      <c r="A10235">
        <v>1025805</v>
      </c>
      <c r="B10235">
        <v>9560</v>
      </c>
      <c r="C10235">
        <v>1</v>
      </c>
      <c r="D10235" s="17" t="s">
        <v>17166</v>
      </c>
      <c r="E10235" s="17"/>
      <c r="F10235" s="17" t="s">
        <v>17246</v>
      </c>
      <c r="G10235" s="17"/>
      <c r="H10235" s="17" t="s">
        <v>20919</v>
      </c>
      <c r="I10235" s="17"/>
      <c r="J10235" s="17" t="s">
        <v>21313</v>
      </c>
      <c r="K10235" s="17"/>
      <c r="L10235" s="17" t="s">
        <v>22378</v>
      </c>
      <c r="M10235" s="17"/>
      <c r="N10235" s="17" t="s">
        <v>22459</v>
      </c>
      <c r="O10235" s="17"/>
      <c r="P10235" s="17" t="s">
        <v>44543</v>
      </c>
      <c r="Q10235" s="17"/>
      <c r="R10235" s="25" t="str">
        <f>HYPERLINK("https://ictv.global/taxonomy/taxondetails?taxnode_id=202316907","Bescotivirus soladaptatum")</f>
        <v>Bescotivirus soladaptatum</v>
      </c>
      <c r="S10235" s="18" t="s">
        <v>30</v>
      </c>
      <c r="T10235" s="18" t="s">
        <v>44546</v>
      </c>
      <c r="U10235" s="18"/>
      <c r="V10235" s="18"/>
      <c r="W10235" s="18" t="s">
        <v>44547</v>
      </c>
      <c r="X10235" s="18" t="s">
        <v>35</v>
      </c>
      <c r="Y10235" s="18" t="s">
        <v>17171</v>
      </c>
      <c r="Z10235" s="18" t="s">
        <v>24637</v>
      </c>
      <c r="AA10235" s="21" t="str">
        <f>HYPERLINK("https://www.ncbi.nlm.nih.gov/nuccore/CASDWV010004389","NCBI Nucleotide")</f>
        <v>NCBI Nucleotide</v>
      </c>
    </row>
    <row r="10236" spans="1:27" x14ac:dyDescent="0.35">
      <c r="A10236">
        <v>1025831</v>
      </c>
      <c r="B10236">
        <v>9561</v>
      </c>
      <c r="C10236">
        <v>1</v>
      </c>
      <c r="D10236" s="17" t="s">
        <v>17166</v>
      </c>
      <c r="E10236" s="17"/>
      <c r="F10236" s="17" t="s">
        <v>17246</v>
      </c>
      <c r="G10236" s="17"/>
      <c r="H10236" s="17" t="s">
        <v>20919</v>
      </c>
      <c r="I10236" s="17"/>
      <c r="J10236" s="17" t="s">
        <v>21313</v>
      </c>
      <c r="K10236" s="17"/>
      <c r="L10236" s="17" t="s">
        <v>22378</v>
      </c>
      <c r="M10236" s="17"/>
      <c r="N10236" s="17" t="s">
        <v>22459</v>
      </c>
      <c r="O10236" s="17"/>
      <c r="P10236" s="17" t="s">
        <v>22594</v>
      </c>
      <c r="Q10236" s="17"/>
      <c r="R10236" s="25" t="str">
        <f>HYPERLINK("https://ictv.global/taxonomy/taxondetails?taxnode_id=202316908","Bicehmovirus agrihabitans")</f>
        <v>Bicehmovirus agrihabitans</v>
      </c>
      <c r="S10236" s="18" t="s">
        <v>30</v>
      </c>
      <c r="T10236" s="18" t="s">
        <v>44548</v>
      </c>
      <c r="U10236" s="18"/>
      <c r="V10236" s="18"/>
      <c r="W10236" s="18" t="s">
        <v>44549</v>
      </c>
      <c r="X10236" s="18" t="s">
        <v>35</v>
      </c>
      <c r="Y10236" s="18" t="s">
        <v>17171</v>
      </c>
      <c r="Z10236" s="18" t="s">
        <v>24637</v>
      </c>
      <c r="AA10236" s="21" t="str">
        <f>HYPERLINK("https://www.ncbi.nlm.nih.gov/nuccore/CASDWV010003019","NCBI Nucleotide")</f>
        <v>NCBI Nucleotide</v>
      </c>
    </row>
    <row r="10237" spans="1:27" x14ac:dyDescent="0.35">
      <c r="A10237">
        <v>1025832</v>
      </c>
      <c r="B10237">
        <v>9562</v>
      </c>
      <c r="C10237">
        <v>1</v>
      </c>
      <c r="D10237" s="17" t="s">
        <v>17166</v>
      </c>
      <c r="E10237" s="17"/>
      <c r="F10237" s="17" t="s">
        <v>17246</v>
      </c>
      <c r="G10237" s="17"/>
      <c r="H10237" s="17" t="s">
        <v>20919</v>
      </c>
      <c r="I10237" s="17"/>
      <c r="J10237" s="17" t="s">
        <v>21313</v>
      </c>
      <c r="K10237" s="17"/>
      <c r="L10237" s="17" t="s">
        <v>22378</v>
      </c>
      <c r="M10237" s="17"/>
      <c r="N10237" s="17" t="s">
        <v>22459</v>
      </c>
      <c r="O10237" s="17"/>
      <c r="P10237" s="17" t="s">
        <v>22594</v>
      </c>
      <c r="Q10237" s="17"/>
      <c r="R10237" s="25" t="str">
        <f>HYPERLINK("https://ictv.global/taxonomy/taxondetails?taxnode_id=202316909","Bicehmovirus agrivicinum")</f>
        <v>Bicehmovirus agrivicinum</v>
      </c>
      <c r="S10237" s="18" t="s">
        <v>30</v>
      </c>
      <c r="T10237" s="18" t="s">
        <v>44550</v>
      </c>
      <c r="U10237" s="18"/>
      <c r="V10237" s="18"/>
      <c r="W10237" s="18" t="s">
        <v>44551</v>
      </c>
      <c r="X10237" s="18" t="s">
        <v>35</v>
      </c>
      <c r="Y10237" s="18" t="s">
        <v>17171</v>
      </c>
      <c r="Z10237" s="18" t="s">
        <v>24637</v>
      </c>
      <c r="AA10237" s="21" t="str">
        <f>HYPERLINK("https://www.ncbi.nlm.nih.gov/nuccore/CASDWV010004579","NCBI Nucleotide")</f>
        <v>NCBI Nucleotide</v>
      </c>
    </row>
    <row r="10238" spans="1:27" x14ac:dyDescent="0.35">
      <c r="A10238">
        <v>1025833</v>
      </c>
      <c r="B10238">
        <v>9563</v>
      </c>
      <c r="C10238">
        <v>1</v>
      </c>
      <c r="D10238" s="17" t="s">
        <v>17166</v>
      </c>
      <c r="E10238" s="17"/>
      <c r="F10238" s="17" t="s">
        <v>17246</v>
      </c>
      <c r="G10238" s="17"/>
      <c r="H10238" s="17" t="s">
        <v>20919</v>
      </c>
      <c r="I10238" s="17"/>
      <c r="J10238" s="17" t="s">
        <v>21313</v>
      </c>
      <c r="K10238" s="17"/>
      <c r="L10238" s="17" t="s">
        <v>22378</v>
      </c>
      <c r="M10238" s="17"/>
      <c r="N10238" s="17" t="s">
        <v>22459</v>
      </c>
      <c r="O10238" s="17"/>
      <c r="P10238" s="17" t="s">
        <v>22594</v>
      </c>
      <c r="Q10238" s="17"/>
      <c r="R10238" s="25" t="str">
        <f>HYPERLINK("https://ictv.global/taxonomy/taxondetails?taxnode_id=202316910","Bicehmovirus arvihabitans")</f>
        <v>Bicehmovirus arvihabitans</v>
      </c>
      <c r="S10238" s="18" t="s">
        <v>30</v>
      </c>
      <c r="T10238" s="18" t="s">
        <v>44552</v>
      </c>
      <c r="U10238" s="18"/>
      <c r="V10238" s="18"/>
      <c r="W10238" s="18" t="s">
        <v>44553</v>
      </c>
      <c r="X10238" s="18" t="s">
        <v>35</v>
      </c>
      <c r="Y10238" s="18" t="s">
        <v>17171</v>
      </c>
      <c r="Z10238" s="18" t="s">
        <v>24637</v>
      </c>
      <c r="AA10238" s="21" t="str">
        <f>HYPERLINK("https://www.ncbi.nlm.nih.gov/nuccore/CASDWV010004556","NCBI Nucleotide")</f>
        <v>NCBI Nucleotide</v>
      </c>
    </row>
    <row r="10239" spans="1:27" x14ac:dyDescent="0.35">
      <c r="A10239">
        <v>1010066</v>
      </c>
      <c r="B10239">
        <v>9564</v>
      </c>
      <c r="C10239">
        <v>1</v>
      </c>
      <c r="D10239" s="17" t="s">
        <v>17166</v>
      </c>
      <c r="E10239" s="17"/>
      <c r="F10239" s="17" t="s">
        <v>17246</v>
      </c>
      <c r="G10239" s="17"/>
      <c r="H10239" s="17" t="s">
        <v>20919</v>
      </c>
      <c r="I10239" s="17"/>
      <c r="J10239" s="17" t="s">
        <v>21313</v>
      </c>
      <c r="K10239" s="17"/>
      <c r="L10239" s="17" t="s">
        <v>22378</v>
      </c>
      <c r="M10239" s="17"/>
      <c r="N10239" s="17" t="s">
        <v>22459</v>
      </c>
      <c r="O10239" s="17"/>
      <c r="P10239" s="17" t="s">
        <v>22594</v>
      </c>
      <c r="Q10239" s="17"/>
      <c r="R10239" s="25" t="str">
        <f>HYPERLINK("https://ictv.global/taxonomy/taxondetails?taxnode_id=202311285","Bicehmovirus borborocola")</f>
        <v>Bicehmovirus borborocola</v>
      </c>
      <c r="S10239" s="18" t="s">
        <v>30</v>
      </c>
      <c r="T10239" s="18" t="s">
        <v>22973</v>
      </c>
      <c r="U10239" s="18"/>
      <c r="V10239" s="18"/>
      <c r="W10239" s="18" t="s">
        <v>22974</v>
      </c>
      <c r="X10239" s="18" t="s">
        <v>35</v>
      </c>
      <c r="Y10239" s="18" t="s">
        <v>17171</v>
      </c>
      <c r="Z10239" s="18" t="s">
        <v>697</v>
      </c>
      <c r="AA10239" s="21" t="str">
        <f>HYPERLINK("https://www.ncbi.nlm.nih.gov/nuccore/BK014199","NCBI Nucleotide")</f>
        <v>NCBI Nucleotide</v>
      </c>
    </row>
    <row r="10240" spans="1:27" x14ac:dyDescent="0.35">
      <c r="A10240">
        <v>1025834</v>
      </c>
      <c r="B10240">
        <v>9565</v>
      </c>
      <c r="C10240">
        <v>1</v>
      </c>
      <c r="D10240" s="17" t="s">
        <v>17166</v>
      </c>
      <c r="E10240" s="17"/>
      <c r="F10240" s="17" t="s">
        <v>17246</v>
      </c>
      <c r="G10240" s="17"/>
      <c r="H10240" s="17" t="s">
        <v>20919</v>
      </c>
      <c r="I10240" s="17"/>
      <c r="J10240" s="17" t="s">
        <v>21313</v>
      </c>
      <c r="K10240" s="17"/>
      <c r="L10240" s="17" t="s">
        <v>22378</v>
      </c>
      <c r="M10240" s="17"/>
      <c r="N10240" s="17" t="s">
        <v>22459</v>
      </c>
      <c r="O10240" s="17"/>
      <c r="P10240" s="17" t="s">
        <v>22594</v>
      </c>
      <c r="Q10240" s="17"/>
      <c r="R10240" s="25" t="str">
        <f>HYPERLINK("https://ictv.global/taxonomy/taxondetails?taxnode_id=202316911","Bicehmovirus caenadaptatum")</f>
        <v>Bicehmovirus caenadaptatum</v>
      </c>
      <c r="S10240" s="18" t="s">
        <v>30</v>
      </c>
      <c r="T10240" s="18" t="s">
        <v>44554</v>
      </c>
      <c r="U10240" s="18"/>
      <c r="V10240" s="18"/>
      <c r="W10240" s="18" t="s">
        <v>44555</v>
      </c>
      <c r="X10240" s="18" t="s">
        <v>35</v>
      </c>
      <c r="Y10240" s="18" t="s">
        <v>17171</v>
      </c>
      <c r="Z10240" s="18" t="s">
        <v>24637</v>
      </c>
      <c r="AA10240" s="21" t="str">
        <f>HYPERLINK("https://www.ncbi.nlm.nih.gov/nuccore/CASDWV010000192","NCBI Nucleotide")</f>
        <v>NCBI Nucleotide</v>
      </c>
    </row>
    <row r="10241" spans="1:27" x14ac:dyDescent="0.35">
      <c r="A10241">
        <v>1025835</v>
      </c>
      <c r="B10241">
        <v>9566</v>
      </c>
      <c r="C10241">
        <v>1</v>
      </c>
      <c r="D10241" s="17" t="s">
        <v>17166</v>
      </c>
      <c r="E10241" s="17"/>
      <c r="F10241" s="17" t="s">
        <v>17246</v>
      </c>
      <c r="G10241" s="17"/>
      <c r="H10241" s="17" t="s">
        <v>20919</v>
      </c>
      <c r="I10241" s="17"/>
      <c r="J10241" s="17" t="s">
        <v>21313</v>
      </c>
      <c r="K10241" s="17"/>
      <c r="L10241" s="17" t="s">
        <v>22378</v>
      </c>
      <c r="M10241" s="17"/>
      <c r="N10241" s="17" t="s">
        <v>22459</v>
      </c>
      <c r="O10241" s="17"/>
      <c r="P10241" s="17" t="s">
        <v>22594</v>
      </c>
      <c r="Q10241" s="17"/>
      <c r="R10241" s="25" t="str">
        <f>HYPERLINK("https://ictv.global/taxonomy/taxondetails?taxnode_id=202316912","Bicehmovirus caenivicinum")</f>
        <v>Bicehmovirus caenivicinum</v>
      </c>
      <c r="S10241" s="18" t="s">
        <v>30</v>
      </c>
      <c r="T10241" s="18" t="s">
        <v>44556</v>
      </c>
      <c r="U10241" s="18"/>
      <c r="V10241" s="18"/>
      <c r="W10241" s="18" t="s">
        <v>44557</v>
      </c>
      <c r="X10241" s="18" t="s">
        <v>35</v>
      </c>
      <c r="Y10241" s="18" t="s">
        <v>17171</v>
      </c>
      <c r="Z10241" s="18" t="s">
        <v>24637</v>
      </c>
      <c r="AA10241" s="21" t="str">
        <f>HYPERLINK("https://www.ncbi.nlm.nih.gov/nuccore/CASDWV010003332","NCBI Nucleotide")</f>
        <v>NCBI Nucleotide</v>
      </c>
    </row>
    <row r="10242" spans="1:27" x14ac:dyDescent="0.35">
      <c r="A10242">
        <v>1010130</v>
      </c>
      <c r="B10242">
        <v>9567</v>
      </c>
      <c r="C10242">
        <v>1</v>
      </c>
      <c r="D10242" s="17" t="s">
        <v>17166</v>
      </c>
      <c r="E10242" s="17"/>
      <c r="F10242" s="17" t="s">
        <v>17246</v>
      </c>
      <c r="G10242" s="17"/>
      <c r="H10242" s="17" t="s">
        <v>20919</v>
      </c>
      <c r="I10242" s="17"/>
      <c r="J10242" s="17" t="s">
        <v>21313</v>
      </c>
      <c r="K10242" s="17"/>
      <c r="L10242" s="17" t="s">
        <v>22378</v>
      </c>
      <c r="M10242" s="17"/>
      <c r="N10242" s="17" t="s">
        <v>22459</v>
      </c>
      <c r="O10242" s="17"/>
      <c r="P10242" s="17" t="s">
        <v>22594</v>
      </c>
      <c r="Q10242" s="17"/>
      <c r="R10242" s="25" t="str">
        <f>HYPERLINK("https://ictv.global/taxonomy/taxondetails?taxnode_id=202311384","Bicehmovirus caenivivens")</f>
        <v>Bicehmovirus caenivivens</v>
      </c>
      <c r="S10242" s="18" t="s">
        <v>30</v>
      </c>
      <c r="T10242" s="18" t="s">
        <v>23109</v>
      </c>
      <c r="U10242" s="18"/>
      <c r="V10242" s="18"/>
      <c r="W10242" s="18" t="s">
        <v>23110</v>
      </c>
      <c r="X10242" s="18" t="s">
        <v>35</v>
      </c>
      <c r="Y10242" s="18" t="s">
        <v>17171</v>
      </c>
      <c r="Z10242" s="18" t="s">
        <v>697</v>
      </c>
      <c r="AA10242" s="21" t="str">
        <f>HYPERLINK("https://www.ncbi.nlm.nih.gov/nuccore/BK014090","NCBI Nucleotide")</f>
        <v>NCBI Nucleotide</v>
      </c>
    </row>
    <row r="10243" spans="1:27" x14ac:dyDescent="0.35">
      <c r="A10243">
        <v>1025836</v>
      </c>
      <c r="B10243">
        <v>9568</v>
      </c>
      <c r="C10243">
        <v>1</v>
      </c>
      <c r="D10243" s="17" t="s">
        <v>17166</v>
      </c>
      <c r="E10243" s="17"/>
      <c r="F10243" s="17" t="s">
        <v>17246</v>
      </c>
      <c r="G10243" s="17"/>
      <c r="H10243" s="17" t="s">
        <v>20919</v>
      </c>
      <c r="I10243" s="17"/>
      <c r="J10243" s="17" t="s">
        <v>21313</v>
      </c>
      <c r="K10243" s="17"/>
      <c r="L10243" s="17" t="s">
        <v>22378</v>
      </c>
      <c r="M10243" s="17"/>
      <c r="N10243" s="17" t="s">
        <v>22459</v>
      </c>
      <c r="O10243" s="17"/>
      <c r="P10243" s="17" t="s">
        <v>22594</v>
      </c>
      <c r="Q10243" s="17"/>
      <c r="R10243" s="25" t="str">
        <f>HYPERLINK("https://ictv.global/taxonomy/taxondetails?taxnode_id=202316913","Bicehmovirus chthonocola")</f>
        <v>Bicehmovirus chthonocola</v>
      </c>
      <c r="S10243" s="18" t="s">
        <v>30</v>
      </c>
      <c r="T10243" s="18" t="s">
        <v>44558</v>
      </c>
      <c r="U10243" s="18"/>
      <c r="V10243" s="18"/>
      <c r="W10243" s="18" t="s">
        <v>44559</v>
      </c>
      <c r="X10243" s="18" t="s">
        <v>35</v>
      </c>
      <c r="Y10243" s="18" t="s">
        <v>17171</v>
      </c>
      <c r="Z10243" s="18" t="s">
        <v>24637</v>
      </c>
      <c r="AA10243" s="21" t="str">
        <f>HYPERLINK("https://www.ncbi.nlm.nih.gov/nuccore/CASDWV010000320","NCBI Nucleotide")</f>
        <v>NCBI Nucleotide</v>
      </c>
    </row>
    <row r="10244" spans="1:27" x14ac:dyDescent="0.35">
      <c r="A10244">
        <v>1025837</v>
      </c>
      <c r="B10244">
        <v>9569</v>
      </c>
      <c r="C10244">
        <v>1</v>
      </c>
      <c r="D10244" s="17" t="s">
        <v>17166</v>
      </c>
      <c r="E10244" s="17"/>
      <c r="F10244" s="17" t="s">
        <v>17246</v>
      </c>
      <c r="G10244" s="17"/>
      <c r="H10244" s="17" t="s">
        <v>20919</v>
      </c>
      <c r="I10244" s="17"/>
      <c r="J10244" s="17" t="s">
        <v>21313</v>
      </c>
      <c r="K10244" s="17"/>
      <c r="L10244" s="17" t="s">
        <v>22378</v>
      </c>
      <c r="M10244" s="17"/>
      <c r="N10244" s="17" t="s">
        <v>22459</v>
      </c>
      <c r="O10244" s="17"/>
      <c r="P10244" s="17" t="s">
        <v>22594</v>
      </c>
      <c r="Q10244" s="17"/>
      <c r="R10244" s="25" t="str">
        <f>HYPERLINK("https://ictv.global/taxonomy/taxondetails?taxnode_id=202316914","Bicehmovirus chthonovicinum")</f>
        <v>Bicehmovirus chthonovicinum</v>
      </c>
      <c r="S10244" s="18" t="s">
        <v>30</v>
      </c>
      <c r="T10244" s="18" t="s">
        <v>44560</v>
      </c>
      <c r="U10244" s="18"/>
      <c r="V10244" s="18"/>
      <c r="W10244" s="18" t="s">
        <v>44561</v>
      </c>
      <c r="X10244" s="18" t="s">
        <v>35</v>
      </c>
      <c r="Y10244" s="18" t="s">
        <v>17171</v>
      </c>
      <c r="Z10244" s="18" t="s">
        <v>24637</v>
      </c>
      <c r="AA10244" s="21" t="str">
        <f>HYPERLINK("https://www.ncbi.nlm.nih.gov/nuccore/CASDWV010000614","NCBI Nucleotide")</f>
        <v>NCBI Nucleotide</v>
      </c>
    </row>
    <row r="10245" spans="1:27" x14ac:dyDescent="0.35">
      <c r="A10245">
        <v>1025838</v>
      </c>
      <c r="B10245">
        <v>9570</v>
      </c>
      <c r="C10245">
        <v>1</v>
      </c>
      <c r="D10245" s="17" t="s">
        <v>17166</v>
      </c>
      <c r="E10245" s="17"/>
      <c r="F10245" s="17" t="s">
        <v>17246</v>
      </c>
      <c r="G10245" s="17"/>
      <c r="H10245" s="17" t="s">
        <v>20919</v>
      </c>
      <c r="I10245" s="17"/>
      <c r="J10245" s="17" t="s">
        <v>21313</v>
      </c>
      <c r="K10245" s="17"/>
      <c r="L10245" s="17" t="s">
        <v>22378</v>
      </c>
      <c r="M10245" s="17"/>
      <c r="N10245" s="17" t="s">
        <v>22459</v>
      </c>
      <c r="O10245" s="17"/>
      <c r="P10245" s="17" t="s">
        <v>22594</v>
      </c>
      <c r="Q10245" s="17"/>
      <c r="R10245" s="25" t="str">
        <f>HYPERLINK("https://ictv.global/taxonomy/taxondetails?taxnode_id=202316915","Bicehmovirus edaphohabitans")</f>
        <v>Bicehmovirus edaphohabitans</v>
      </c>
      <c r="S10245" s="18" t="s">
        <v>30</v>
      </c>
      <c r="T10245" s="18" t="s">
        <v>44562</v>
      </c>
      <c r="U10245" s="18"/>
      <c r="V10245" s="18"/>
      <c r="W10245" s="18" t="s">
        <v>44563</v>
      </c>
      <c r="X10245" s="18" t="s">
        <v>35</v>
      </c>
      <c r="Y10245" s="18" t="s">
        <v>17171</v>
      </c>
      <c r="Z10245" s="18" t="s">
        <v>24637</v>
      </c>
      <c r="AA10245" s="21" t="str">
        <f>HYPERLINK("https://www.ncbi.nlm.nih.gov/nuccore/CASDWV010001934","NCBI Nucleotide")</f>
        <v>NCBI Nucleotide</v>
      </c>
    </row>
    <row r="10246" spans="1:27" x14ac:dyDescent="0.35">
      <c r="A10246">
        <v>1025839</v>
      </c>
      <c r="B10246">
        <v>9571</v>
      </c>
      <c r="C10246">
        <v>1</v>
      </c>
      <c r="D10246" s="17" t="s">
        <v>17166</v>
      </c>
      <c r="E10246" s="17"/>
      <c r="F10246" s="17" t="s">
        <v>17246</v>
      </c>
      <c r="G10246" s="17"/>
      <c r="H10246" s="17" t="s">
        <v>20919</v>
      </c>
      <c r="I10246" s="17"/>
      <c r="J10246" s="17" t="s">
        <v>21313</v>
      </c>
      <c r="K10246" s="17"/>
      <c r="L10246" s="17" t="s">
        <v>22378</v>
      </c>
      <c r="M10246" s="17"/>
      <c r="N10246" s="17" t="s">
        <v>22459</v>
      </c>
      <c r="O10246" s="17"/>
      <c r="P10246" s="17" t="s">
        <v>22594</v>
      </c>
      <c r="Q10246" s="17"/>
      <c r="R10246" s="25" t="str">
        <f>HYPERLINK("https://ictv.global/taxonomy/taxondetails?taxnode_id=202316916","Bicehmovirus edaphovicinum")</f>
        <v>Bicehmovirus edaphovicinum</v>
      </c>
      <c r="S10246" s="18" t="s">
        <v>30</v>
      </c>
      <c r="T10246" s="18" t="s">
        <v>44564</v>
      </c>
      <c r="U10246" s="18"/>
      <c r="V10246" s="18"/>
      <c r="W10246" s="18" t="s">
        <v>44565</v>
      </c>
      <c r="X10246" s="18" t="s">
        <v>35</v>
      </c>
      <c r="Y10246" s="18" t="s">
        <v>17171</v>
      </c>
      <c r="Z10246" s="18" t="s">
        <v>24637</v>
      </c>
      <c r="AA10246" s="21" t="str">
        <f>HYPERLINK("https://www.ncbi.nlm.nih.gov/nuccore/CASDWV010000786","NCBI Nucleotide")</f>
        <v>NCBI Nucleotide</v>
      </c>
    </row>
    <row r="10247" spans="1:27" x14ac:dyDescent="0.35">
      <c r="A10247">
        <v>1025840</v>
      </c>
      <c r="B10247">
        <v>9572</v>
      </c>
      <c r="C10247">
        <v>1</v>
      </c>
      <c r="D10247" s="17" t="s">
        <v>17166</v>
      </c>
      <c r="E10247" s="17"/>
      <c r="F10247" s="17" t="s">
        <v>17246</v>
      </c>
      <c r="G10247" s="17"/>
      <c r="H10247" s="17" t="s">
        <v>20919</v>
      </c>
      <c r="I10247" s="17"/>
      <c r="J10247" s="17" t="s">
        <v>21313</v>
      </c>
      <c r="K10247" s="17"/>
      <c r="L10247" s="17" t="s">
        <v>22378</v>
      </c>
      <c r="M10247" s="17"/>
      <c r="N10247" s="17" t="s">
        <v>22459</v>
      </c>
      <c r="O10247" s="17"/>
      <c r="P10247" s="17" t="s">
        <v>22594</v>
      </c>
      <c r="Q10247" s="17"/>
      <c r="R10247" s="25" t="str">
        <f>HYPERLINK("https://ictv.global/taxonomy/taxondetails?taxnode_id=202316917","Bicehmovirus faecicola")</f>
        <v>Bicehmovirus faecicola</v>
      </c>
      <c r="S10247" s="18" t="s">
        <v>30</v>
      </c>
      <c r="T10247" s="18" t="s">
        <v>44566</v>
      </c>
      <c r="U10247" s="18"/>
      <c r="V10247" s="18" t="s">
        <v>44566</v>
      </c>
      <c r="W10247" s="18" t="s">
        <v>44567</v>
      </c>
      <c r="X10247" s="18" t="s">
        <v>35</v>
      </c>
      <c r="Y10247" s="18" t="s">
        <v>17171</v>
      </c>
      <c r="Z10247" s="18" t="s">
        <v>17413</v>
      </c>
      <c r="AA10247" s="21" t="str">
        <f>HYPERLINK("https://www.ncbi.nlm.nih.gov/nuccore/ON164258","NCBI Nucleotide")</f>
        <v>NCBI Nucleotide</v>
      </c>
    </row>
    <row r="10248" spans="1:27" x14ac:dyDescent="0.35">
      <c r="A10248">
        <v>1025841</v>
      </c>
      <c r="B10248">
        <v>9573</v>
      </c>
      <c r="C10248">
        <v>1</v>
      </c>
      <c r="D10248" s="17" t="s">
        <v>17166</v>
      </c>
      <c r="E10248" s="17"/>
      <c r="F10248" s="17" t="s">
        <v>17246</v>
      </c>
      <c r="G10248" s="17"/>
      <c r="H10248" s="17" t="s">
        <v>20919</v>
      </c>
      <c r="I10248" s="17"/>
      <c r="J10248" s="17" t="s">
        <v>21313</v>
      </c>
      <c r="K10248" s="17"/>
      <c r="L10248" s="17" t="s">
        <v>22378</v>
      </c>
      <c r="M10248" s="17"/>
      <c r="N10248" s="17" t="s">
        <v>22459</v>
      </c>
      <c r="O10248" s="17"/>
      <c r="P10248" s="17" t="s">
        <v>22594</v>
      </c>
      <c r="Q10248" s="17"/>
      <c r="R10248" s="25" t="str">
        <f>HYPERLINK("https://ictv.global/taxonomy/taxondetails?taxnode_id=202316918","Bicehmovirus humivicinum")</f>
        <v>Bicehmovirus humivicinum</v>
      </c>
      <c r="S10248" s="18" t="s">
        <v>30</v>
      </c>
      <c r="T10248" s="18" t="s">
        <v>44568</v>
      </c>
      <c r="U10248" s="18"/>
      <c r="V10248" s="18"/>
      <c r="W10248" s="18" t="s">
        <v>44569</v>
      </c>
      <c r="X10248" s="18" t="s">
        <v>35</v>
      </c>
      <c r="Y10248" s="18" t="s">
        <v>17171</v>
      </c>
      <c r="Z10248" s="18" t="s">
        <v>24637</v>
      </c>
      <c r="AA10248" s="21" t="str">
        <f>HYPERLINK("https://www.ncbi.nlm.nih.gov/nuccore/CASDWV010001194","NCBI Nucleotide")</f>
        <v>NCBI Nucleotide</v>
      </c>
    </row>
    <row r="10249" spans="1:27" x14ac:dyDescent="0.35">
      <c r="A10249">
        <v>1010131</v>
      </c>
      <c r="B10249">
        <v>9574</v>
      </c>
      <c r="C10249">
        <v>1</v>
      </c>
      <c r="D10249" s="17" t="s">
        <v>17166</v>
      </c>
      <c r="E10249" s="17"/>
      <c r="F10249" s="17" t="s">
        <v>17246</v>
      </c>
      <c r="G10249" s="17"/>
      <c r="H10249" s="17" t="s">
        <v>20919</v>
      </c>
      <c r="I10249" s="17"/>
      <c r="J10249" s="17" t="s">
        <v>21313</v>
      </c>
      <c r="K10249" s="17"/>
      <c r="L10249" s="17" t="s">
        <v>22378</v>
      </c>
      <c r="M10249" s="17"/>
      <c r="N10249" s="17" t="s">
        <v>22459</v>
      </c>
      <c r="O10249" s="17"/>
      <c r="P10249" s="17" t="s">
        <v>22594</v>
      </c>
      <c r="Q10249" s="17"/>
      <c r="R10249" s="25" t="str">
        <f>HYPERLINK("https://ictv.global/taxonomy/taxondetails?taxnode_id=202311385","Bicehmovirus limadaptatum")</f>
        <v>Bicehmovirus limadaptatum</v>
      </c>
      <c r="S10249" s="18" t="s">
        <v>30</v>
      </c>
      <c r="T10249" s="18" t="s">
        <v>23111</v>
      </c>
      <c r="U10249" s="18"/>
      <c r="V10249" s="18"/>
      <c r="W10249" s="18" t="s">
        <v>23112</v>
      </c>
      <c r="X10249" s="18" t="s">
        <v>35</v>
      </c>
      <c r="Y10249" s="18" t="s">
        <v>17171</v>
      </c>
      <c r="Z10249" s="18" t="s">
        <v>697</v>
      </c>
      <c r="AA10249" s="21" t="str">
        <f>HYPERLINK("https://www.ncbi.nlm.nih.gov/nuccore/BK013668","NCBI Nucleotide")</f>
        <v>NCBI Nucleotide</v>
      </c>
    </row>
    <row r="10250" spans="1:27" x14ac:dyDescent="0.35">
      <c r="A10250">
        <v>1010132</v>
      </c>
      <c r="B10250">
        <v>9575</v>
      </c>
      <c r="C10250">
        <v>1</v>
      </c>
      <c r="D10250" s="17" t="s">
        <v>17166</v>
      </c>
      <c r="E10250" s="17"/>
      <c r="F10250" s="17" t="s">
        <v>17246</v>
      </c>
      <c r="G10250" s="17"/>
      <c r="H10250" s="17" t="s">
        <v>20919</v>
      </c>
      <c r="I10250" s="17"/>
      <c r="J10250" s="17" t="s">
        <v>21313</v>
      </c>
      <c r="K10250" s="17"/>
      <c r="L10250" s="17" t="s">
        <v>22378</v>
      </c>
      <c r="M10250" s="17"/>
      <c r="N10250" s="17" t="s">
        <v>22459</v>
      </c>
      <c r="O10250" s="17"/>
      <c r="P10250" s="17" t="s">
        <v>22594</v>
      </c>
      <c r="Q10250" s="17"/>
      <c r="R10250" s="25" t="str">
        <f>HYPERLINK("https://ictv.global/taxonomy/taxondetails?taxnode_id=202311386","Bicehmovirus limenecus")</f>
        <v>Bicehmovirus limenecus</v>
      </c>
      <c r="S10250" s="18" t="s">
        <v>30</v>
      </c>
      <c r="T10250" s="18" t="s">
        <v>23113</v>
      </c>
      <c r="U10250" s="18"/>
      <c r="V10250" s="18"/>
      <c r="W10250" s="18" t="s">
        <v>23114</v>
      </c>
      <c r="X10250" s="18" t="s">
        <v>35</v>
      </c>
      <c r="Y10250" s="18" t="s">
        <v>17171</v>
      </c>
      <c r="Z10250" s="18" t="s">
        <v>697</v>
      </c>
      <c r="AA10250" s="21" t="str">
        <f>HYPERLINK("https://www.ncbi.nlm.nih.gov/nuccore/BK014137","NCBI Nucleotide")</f>
        <v>NCBI Nucleotide</v>
      </c>
    </row>
    <row r="10251" spans="1:27" x14ac:dyDescent="0.35">
      <c r="A10251">
        <v>1010133</v>
      </c>
      <c r="B10251">
        <v>9576</v>
      </c>
      <c r="C10251">
        <v>1</v>
      </c>
      <c r="D10251" s="17" t="s">
        <v>17166</v>
      </c>
      <c r="E10251" s="17"/>
      <c r="F10251" s="17" t="s">
        <v>17246</v>
      </c>
      <c r="G10251" s="17"/>
      <c r="H10251" s="17" t="s">
        <v>20919</v>
      </c>
      <c r="I10251" s="17"/>
      <c r="J10251" s="17" t="s">
        <v>21313</v>
      </c>
      <c r="K10251" s="17"/>
      <c r="L10251" s="17" t="s">
        <v>22378</v>
      </c>
      <c r="M10251" s="17"/>
      <c r="N10251" s="17" t="s">
        <v>22459</v>
      </c>
      <c r="O10251" s="17"/>
      <c r="P10251" s="17" t="s">
        <v>22594</v>
      </c>
      <c r="Q10251" s="17"/>
      <c r="R10251" s="25" t="str">
        <f>HYPERLINK("https://ictv.global/taxonomy/taxondetails?taxnode_id=202311387","Bicehmovirus limicola")</f>
        <v>Bicehmovirus limicola</v>
      </c>
      <c r="S10251" s="18" t="s">
        <v>30</v>
      </c>
      <c r="T10251" s="18" t="s">
        <v>23115</v>
      </c>
      <c r="U10251" s="18"/>
      <c r="V10251" s="18"/>
      <c r="W10251" s="18" t="s">
        <v>23116</v>
      </c>
      <c r="X10251" s="18" t="s">
        <v>35</v>
      </c>
      <c r="Y10251" s="18" t="s">
        <v>17171</v>
      </c>
      <c r="Z10251" s="18" t="s">
        <v>697</v>
      </c>
      <c r="AA10251" s="21" t="str">
        <f>HYPERLINK("https://www.ncbi.nlm.nih.gov/nuccore/BK013595","NCBI Nucleotide")</f>
        <v>NCBI Nucleotide</v>
      </c>
    </row>
    <row r="10252" spans="1:27" x14ac:dyDescent="0.35">
      <c r="A10252">
        <v>1010134</v>
      </c>
      <c r="B10252">
        <v>9577</v>
      </c>
      <c r="C10252">
        <v>1</v>
      </c>
      <c r="D10252" s="17" t="s">
        <v>17166</v>
      </c>
      <c r="E10252" s="17"/>
      <c r="F10252" s="17" t="s">
        <v>17246</v>
      </c>
      <c r="G10252" s="17"/>
      <c r="H10252" s="17" t="s">
        <v>20919</v>
      </c>
      <c r="I10252" s="17"/>
      <c r="J10252" s="17" t="s">
        <v>21313</v>
      </c>
      <c r="K10252" s="17"/>
      <c r="L10252" s="17" t="s">
        <v>22378</v>
      </c>
      <c r="M10252" s="17"/>
      <c r="N10252" s="17" t="s">
        <v>22459</v>
      </c>
      <c r="O10252" s="17"/>
      <c r="P10252" s="17" t="s">
        <v>22594</v>
      </c>
      <c r="Q10252" s="17"/>
      <c r="R10252" s="25" t="str">
        <f>HYPERLINK("https://ictv.global/taxonomy/taxondetails?taxnode_id=202311388","Bicehmovirus limihabitans")</f>
        <v>Bicehmovirus limihabitans</v>
      </c>
      <c r="S10252" s="18" t="s">
        <v>30</v>
      </c>
      <c r="T10252" s="18" t="s">
        <v>23117</v>
      </c>
      <c r="U10252" s="18"/>
      <c r="V10252" s="18"/>
      <c r="W10252" s="18" t="s">
        <v>23118</v>
      </c>
      <c r="X10252" s="18" t="s">
        <v>35</v>
      </c>
      <c r="Y10252" s="18" t="s">
        <v>17171</v>
      </c>
      <c r="Z10252" s="18" t="s">
        <v>697</v>
      </c>
      <c r="AA10252" s="21" t="str">
        <f>HYPERLINK("https://www.ncbi.nlm.nih.gov/nuccore/BK013733","NCBI Nucleotide")</f>
        <v>NCBI Nucleotide</v>
      </c>
    </row>
    <row r="10253" spans="1:27" x14ac:dyDescent="0.35">
      <c r="A10253">
        <v>1025842</v>
      </c>
      <c r="B10253">
        <v>9578</v>
      </c>
      <c r="C10253">
        <v>1</v>
      </c>
      <c r="D10253" s="17" t="s">
        <v>17166</v>
      </c>
      <c r="E10253" s="17"/>
      <c r="F10253" s="17" t="s">
        <v>17246</v>
      </c>
      <c r="G10253" s="17"/>
      <c r="H10253" s="17" t="s">
        <v>20919</v>
      </c>
      <c r="I10253" s="17"/>
      <c r="J10253" s="17" t="s">
        <v>21313</v>
      </c>
      <c r="K10253" s="17"/>
      <c r="L10253" s="17" t="s">
        <v>22378</v>
      </c>
      <c r="M10253" s="17"/>
      <c r="N10253" s="17" t="s">
        <v>22459</v>
      </c>
      <c r="O10253" s="17"/>
      <c r="P10253" s="17" t="s">
        <v>22594</v>
      </c>
      <c r="Q10253" s="17"/>
      <c r="R10253" s="25" t="str">
        <f>HYPERLINK("https://ictv.global/taxonomy/taxondetails?taxnode_id=202316919","Bicehmovirus lutihabitans")</f>
        <v>Bicehmovirus lutihabitans</v>
      </c>
      <c r="S10253" s="18" t="s">
        <v>30</v>
      </c>
      <c r="T10253" s="18" t="s">
        <v>44570</v>
      </c>
      <c r="U10253" s="18"/>
      <c r="V10253" s="18"/>
      <c r="W10253" s="18" t="s">
        <v>44571</v>
      </c>
      <c r="X10253" s="18" t="s">
        <v>35</v>
      </c>
      <c r="Y10253" s="18" t="s">
        <v>17171</v>
      </c>
      <c r="Z10253" s="18" t="s">
        <v>24637</v>
      </c>
      <c r="AA10253" s="21" t="str">
        <f>HYPERLINK("https://www.ncbi.nlm.nih.gov/nuccore/CASDWV010003407","NCBI Nucleotide")</f>
        <v>NCBI Nucleotide</v>
      </c>
    </row>
    <row r="10254" spans="1:27" x14ac:dyDescent="0.35">
      <c r="A10254">
        <v>1009882</v>
      </c>
      <c r="B10254">
        <v>9579</v>
      </c>
      <c r="C10254">
        <v>1</v>
      </c>
      <c r="D10254" s="17" t="s">
        <v>17166</v>
      </c>
      <c r="E10254" s="17"/>
      <c r="F10254" s="17" t="s">
        <v>17246</v>
      </c>
      <c r="G10254" s="17"/>
      <c r="H10254" s="17" t="s">
        <v>20919</v>
      </c>
      <c r="I10254" s="17"/>
      <c r="J10254" s="17" t="s">
        <v>21313</v>
      </c>
      <c r="K10254" s="17"/>
      <c r="L10254" s="17" t="s">
        <v>22378</v>
      </c>
      <c r="M10254" s="17"/>
      <c r="N10254" s="17" t="s">
        <v>22459</v>
      </c>
      <c r="O10254" s="17"/>
      <c r="P10254" s="17" t="s">
        <v>22594</v>
      </c>
      <c r="Q10254" s="17"/>
      <c r="R10254" s="25" t="str">
        <f>HYPERLINK("https://ictv.global/taxonomy/taxondetails?taxnode_id=202311061","Bicehmovirus lutivivens")</f>
        <v>Bicehmovirus lutivivens</v>
      </c>
      <c r="S10254" s="18" t="s">
        <v>30</v>
      </c>
      <c r="T10254" s="18" t="s">
        <v>22595</v>
      </c>
      <c r="U10254" s="18"/>
      <c r="V10254" s="18"/>
      <c r="W10254" s="18" t="s">
        <v>22596</v>
      </c>
      <c r="X10254" s="18" t="s">
        <v>35</v>
      </c>
      <c r="Y10254" s="18" t="s">
        <v>17171</v>
      </c>
      <c r="Z10254" s="18" t="s">
        <v>697</v>
      </c>
      <c r="AA10254" s="21" t="str">
        <f>HYPERLINK("https://www.ncbi.nlm.nih.gov/nuccore/BK013647","NCBI Nucleotide")</f>
        <v>NCBI Nucleotide</v>
      </c>
    </row>
    <row r="10255" spans="1:27" x14ac:dyDescent="0.35">
      <c r="A10255">
        <v>1025843</v>
      </c>
      <c r="B10255">
        <v>9580</v>
      </c>
      <c r="C10255">
        <v>1</v>
      </c>
      <c r="D10255" s="17" t="s">
        <v>17166</v>
      </c>
      <c r="E10255" s="17"/>
      <c r="F10255" s="17" t="s">
        <v>17246</v>
      </c>
      <c r="G10255" s="17"/>
      <c r="H10255" s="17" t="s">
        <v>20919</v>
      </c>
      <c r="I10255" s="17"/>
      <c r="J10255" s="17" t="s">
        <v>21313</v>
      </c>
      <c r="K10255" s="17"/>
      <c r="L10255" s="17" t="s">
        <v>22378</v>
      </c>
      <c r="M10255" s="17"/>
      <c r="N10255" s="17" t="s">
        <v>22459</v>
      </c>
      <c r="O10255" s="17"/>
      <c r="P10255" s="17" t="s">
        <v>22594</v>
      </c>
      <c r="Q10255" s="17"/>
      <c r="R10255" s="25" t="str">
        <f>HYPERLINK("https://ictv.global/taxonomy/taxondetails?taxnode_id=202316920","Bicehmovirus messadaptatum")</f>
        <v>Bicehmovirus messadaptatum</v>
      </c>
      <c r="S10255" s="18" t="s">
        <v>30</v>
      </c>
      <c r="T10255" s="18" t="s">
        <v>44572</v>
      </c>
      <c r="U10255" s="18"/>
      <c r="V10255" s="18"/>
      <c r="W10255" s="18" t="s">
        <v>44573</v>
      </c>
      <c r="X10255" s="18" t="s">
        <v>35</v>
      </c>
      <c r="Y10255" s="18" t="s">
        <v>17171</v>
      </c>
      <c r="Z10255" s="18" t="s">
        <v>24637</v>
      </c>
      <c r="AA10255" s="21" t="str">
        <f>HYPERLINK("https://www.ncbi.nlm.nih.gov/nuccore/CASDWV010004490","NCBI Nucleotide")</f>
        <v>NCBI Nucleotide</v>
      </c>
    </row>
    <row r="10256" spans="1:27" x14ac:dyDescent="0.35">
      <c r="A10256">
        <v>1025844</v>
      </c>
      <c r="B10256">
        <v>9581</v>
      </c>
      <c r="C10256">
        <v>1</v>
      </c>
      <c r="D10256" s="17" t="s">
        <v>17166</v>
      </c>
      <c r="E10256" s="17"/>
      <c r="F10256" s="17" t="s">
        <v>17246</v>
      </c>
      <c r="G10256" s="17"/>
      <c r="H10256" s="17" t="s">
        <v>20919</v>
      </c>
      <c r="I10256" s="17"/>
      <c r="J10256" s="17" t="s">
        <v>21313</v>
      </c>
      <c r="K10256" s="17"/>
      <c r="L10256" s="17" t="s">
        <v>22378</v>
      </c>
      <c r="M10256" s="17"/>
      <c r="N10256" s="17" t="s">
        <v>22459</v>
      </c>
      <c r="O10256" s="17"/>
      <c r="P10256" s="17" t="s">
        <v>22594</v>
      </c>
      <c r="Q10256" s="17"/>
      <c r="R10256" s="25" t="str">
        <f>HYPERLINK("https://ictv.global/taxonomy/taxondetails?taxnode_id=202316921","Bicehmovirus messicola")</f>
        <v>Bicehmovirus messicola</v>
      </c>
      <c r="S10256" s="18" t="s">
        <v>30</v>
      </c>
      <c r="T10256" s="18" t="s">
        <v>44574</v>
      </c>
      <c r="U10256" s="18"/>
      <c r="V10256" s="18"/>
      <c r="W10256" s="18" t="s">
        <v>44575</v>
      </c>
      <c r="X10256" s="18" t="s">
        <v>35</v>
      </c>
      <c r="Y10256" s="18" t="s">
        <v>17171</v>
      </c>
      <c r="Z10256" s="18" t="s">
        <v>24637</v>
      </c>
      <c r="AA10256" s="21" t="str">
        <f>HYPERLINK("https://www.ncbi.nlm.nih.gov/nuccore/CASDWV010004981","NCBI Nucleotide")</f>
        <v>NCBI Nucleotide</v>
      </c>
    </row>
    <row r="10257" spans="1:27" x14ac:dyDescent="0.35">
      <c r="A10257">
        <v>1025845</v>
      </c>
      <c r="B10257">
        <v>9582</v>
      </c>
      <c r="C10257">
        <v>1</v>
      </c>
      <c r="D10257" s="17" t="s">
        <v>17166</v>
      </c>
      <c r="E10257" s="17"/>
      <c r="F10257" s="17" t="s">
        <v>17246</v>
      </c>
      <c r="G10257" s="17"/>
      <c r="H10257" s="17" t="s">
        <v>20919</v>
      </c>
      <c r="I10257" s="17"/>
      <c r="J10257" s="17" t="s">
        <v>21313</v>
      </c>
      <c r="K10257" s="17"/>
      <c r="L10257" s="17" t="s">
        <v>22378</v>
      </c>
      <c r="M10257" s="17"/>
      <c r="N10257" s="17" t="s">
        <v>22459</v>
      </c>
      <c r="O10257" s="17"/>
      <c r="P10257" s="17" t="s">
        <v>22594</v>
      </c>
      <c r="Q10257" s="17"/>
      <c r="R10257" s="25" t="str">
        <f>HYPERLINK("https://ictv.global/taxonomy/taxondetails?taxnode_id=202316922","Bicehmovirus neolimihabitans")</f>
        <v>Bicehmovirus neolimihabitans</v>
      </c>
      <c r="S10257" s="18" t="s">
        <v>30</v>
      </c>
      <c r="T10257" s="18" t="s">
        <v>44576</v>
      </c>
      <c r="U10257" s="18"/>
      <c r="V10257" s="18"/>
      <c r="W10257" s="18" t="s">
        <v>44577</v>
      </c>
      <c r="X10257" s="18" t="s">
        <v>35</v>
      </c>
      <c r="Y10257" s="18" t="s">
        <v>17171</v>
      </c>
      <c r="Z10257" s="18" t="s">
        <v>24637</v>
      </c>
      <c r="AA10257" s="21" t="str">
        <f>HYPERLINK("https://www.ncbi.nlm.nih.gov/nuccore/CASDWV010003312","NCBI Nucleotide")</f>
        <v>NCBI Nucleotide</v>
      </c>
    </row>
    <row r="10258" spans="1:27" x14ac:dyDescent="0.35">
      <c r="A10258">
        <v>1009893</v>
      </c>
      <c r="B10258">
        <v>9583</v>
      </c>
      <c r="C10258">
        <v>1</v>
      </c>
      <c r="D10258" s="17" t="s">
        <v>17166</v>
      </c>
      <c r="E10258" s="17"/>
      <c r="F10258" s="17" t="s">
        <v>17246</v>
      </c>
      <c r="G10258" s="17"/>
      <c r="H10258" s="17" t="s">
        <v>20919</v>
      </c>
      <c r="I10258" s="17"/>
      <c r="J10258" s="17" t="s">
        <v>21313</v>
      </c>
      <c r="K10258" s="17"/>
      <c r="L10258" s="17" t="s">
        <v>22378</v>
      </c>
      <c r="M10258" s="17"/>
      <c r="N10258" s="17" t="s">
        <v>22459</v>
      </c>
      <c r="O10258" s="17"/>
      <c r="P10258" s="17" t="s">
        <v>22594</v>
      </c>
      <c r="Q10258" s="17"/>
      <c r="R10258" s="25" t="str">
        <f>HYPERLINK("https://ictv.global/taxonomy/taxondetails?taxnode_id=202311079","Bicehmovirus neopeladaptatum")</f>
        <v>Bicehmovirus neopeladaptatum</v>
      </c>
      <c r="S10258" s="18" t="s">
        <v>30</v>
      </c>
      <c r="T10258" s="18" t="s">
        <v>22618</v>
      </c>
      <c r="U10258" s="18"/>
      <c r="V10258" s="18"/>
      <c r="W10258" s="18" t="s">
        <v>22619</v>
      </c>
      <c r="X10258" s="18" t="s">
        <v>35</v>
      </c>
      <c r="Y10258" s="18" t="s">
        <v>17171</v>
      </c>
      <c r="Z10258" s="18" t="s">
        <v>697</v>
      </c>
      <c r="AA10258" s="21" t="str">
        <f>HYPERLINK("https://www.ncbi.nlm.nih.gov/nuccore/BK013576","NCBI Nucleotide")</f>
        <v>NCBI Nucleotide</v>
      </c>
    </row>
    <row r="10259" spans="1:27" x14ac:dyDescent="0.35">
      <c r="A10259">
        <v>1025846</v>
      </c>
      <c r="B10259">
        <v>9584</v>
      </c>
      <c r="C10259">
        <v>1</v>
      </c>
      <c r="D10259" s="17" t="s">
        <v>17166</v>
      </c>
      <c r="E10259" s="17"/>
      <c r="F10259" s="17" t="s">
        <v>17246</v>
      </c>
      <c r="G10259" s="17"/>
      <c r="H10259" s="17" t="s">
        <v>20919</v>
      </c>
      <c r="I10259" s="17"/>
      <c r="J10259" s="17" t="s">
        <v>21313</v>
      </c>
      <c r="K10259" s="17"/>
      <c r="L10259" s="17" t="s">
        <v>22378</v>
      </c>
      <c r="M10259" s="17"/>
      <c r="N10259" s="17" t="s">
        <v>22459</v>
      </c>
      <c r="O10259" s="17"/>
      <c r="P10259" s="17" t="s">
        <v>22594</v>
      </c>
      <c r="Q10259" s="17"/>
      <c r="R10259" s="25" t="str">
        <f>HYPERLINK("https://ictv.global/taxonomy/taxondetails?taxnode_id=202316923","Bicehmovirus pedadaptatum")</f>
        <v>Bicehmovirus pedadaptatum</v>
      </c>
      <c r="S10259" s="18" t="s">
        <v>30</v>
      </c>
      <c r="T10259" s="18" t="s">
        <v>44578</v>
      </c>
      <c r="U10259" s="18"/>
      <c r="V10259" s="18"/>
      <c r="W10259" s="18" t="s">
        <v>44579</v>
      </c>
      <c r="X10259" s="18" t="s">
        <v>35</v>
      </c>
      <c r="Y10259" s="18" t="s">
        <v>17171</v>
      </c>
      <c r="Z10259" s="18" t="s">
        <v>24637</v>
      </c>
      <c r="AA10259" s="21" t="str">
        <f>HYPERLINK("https://www.ncbi.nlm.nih.gov/nuccore/CASDWV010002702","NCBI Nucleotide")</f>
        <v>NCBI Nucleotide</v>
      </c>
    </row>
    <row r="10260" spans="1:27" x14ac:dyDescent="0.35">
      <c r="A10260">
        <v>1010135</v>
      </c>
      <c r="B10260">
        <v>9585</v>
      </c>
      <c r="C10260">
        <v>1</v>
      </c>
      <c r="D10260" s="17" t="s">
        <v>17166</v>
      </c>
      <c r="E10260" s="17"/>
      <c r="F10260" s="17" t="s">
        <v>17246</v>
      </c>
      <c r="G10260" s="17"/>
      <c r="H10260" s="17" t="s">
        <v>20919</v>
      </c>
      <c r="I10260" s="17"/>
      <c r="J10260" s="17" t="s">
        <v>21313</v>
      </c>
      <c r="K10260" s="17"/>
      <c r="L10260" s="17" t="s">
        <v>22378</v>
      </c>
      <c r="M10260" s="17"/>
      <c r="N10260" s="17" t="s">
        <v>22459</v>
      </c>
      <c r="O10260" s="17"/>
      <c r="P10260" s="17" t="s">
        <v>22594</v>
      </c>
      <c r="Q10260" s="17"/>
      <c r="R10260" s="25" t="str">
        <f>HYPERLINK("https://ictv.global/taxonomy/taxondetails?taxnode_id=202311383","Bicehmovirus pedohabitans")</f>
        <v>Bicehmovirus pedohabitans</v>
      </c>
      <c r="S10260" s="18" t="s">
        <v>30</v>
      </c>
      <c r="T10260" s="18" t="s">
        <v>23119</v>
      </c>
      <c r="U10260" s="18"/>
      <c r="V10260" s="18"/>
      <c r="W10260" s="18" t="s">
        <v>23120</v>
      </c>
      <c r="X10260" s="18" t="s">
        <v>35</v>
      </c>
      <c r="Y10260" s="18" t="s">
        <v>17171</v>
      </c>
      <c r="Z10260" s="18" t="s">
        <v>697</v>
      </c>
      <c r="AA10260" s="21" t="str">
        <f>HYPERLINK("https://www.ncbi.nlm.nih.gov/nuccore/BK013825","NCBI Nucleotide")</f>
        <v>NCBI Nucleotide</v>
      </c>
    </row>
    <row r="10261" spans="1:27" x14ac:dyDescent="0.35">
      <c r="A10261">
        <v>1010136</v>
      </c>
      <c r="B10261">
        <v>9586</v>
      </c>
      <c r="C10261">
        <v>1</v>
      </c>
      <c r="D10261" s="17" t="s">
        <v>17166</v>
      </c>
      <c r="E10261" s="17"/>
      <c r="F10261" s="17" t="s">
        <v>17246</v>
      </c>
      <c r="G10261" s="17"/>
      <c r="H10261" s="17" t="s">
        <v>20919</v>
      </c>
      <c r="I10261" s="17"/>
      <c r="J10261" s="17" t="s">
        <v>21313</v>
      </c>
      <c r="K10261" s="17"/>
      <c r="L10261" s="17" t="s">
        <v>22378</v>
      </c>
      <c r="M10261" s="17"/>
      <c r="N10261" s="17" t="s">
        <v>22459</v>
      </c>
      <c r="O10261" s="17"/>
      <c r="P10261" s="17" t="s">
        <v>22594</v>
      </c>
      <c r="Q10261" s="17"/>
      <c r="R10261" s="25" t="str">
        <f>HYPERLINK("https://ictv.global/taxonomy/taxondetails?taxnode_id=202311389","Bicehmovirus pedovicinum")</f>
        <v>Bicehmovirus pedovicinum</v>
      </c>
      <c r="S10261" s="18" t="s">
        <v>30</v>
      </c>
      <c r="T10261" s="18" t="s">
        <v>23121</v>
      </c>
      <c r="U10261" s="18"/>
      <c r="V10261" s="18"/>
      <c r="W10261" s="18" t="s">
        <v>23122</v>
      </c>
      <c r="X10261" s="18" t="s">
        <v>35</v>
      </c>
      <c r="Y10261" s="18" t="s">
        <v>17171</v>
      </c>
      <c r="Z10261" s="18" t="s">
        <v>697</v>
      </c>
      <c r="AA10261" s="21" t="str">
        <f>HYPERLINK("https://www.ncbi.nlm.nih.gov/nuccore/BK013384","NCBI Nucleotide")</f>
        <v>NCBI Nucleotide</v>
      </c>
    </row>
    <row r="10262" spans="1:27" x14ac:dyDescent="0.35">
      <c r="A10262">
        <v>1025847</v>
      </c>
      <c r="B10262">
        <v>9587</v>
      </c>
      <c r="C10262">
        <v>1</v>
      </c>
      <c r="D10262" s="17" t="s">
        <v>17166</v>
      </c>
      <c r="E10262" s="17"/>
      <c r="F10262" s="17" t="s">
        <v>17246</v>
      </c>
      <c r="G10262" s="17"/>
      <c r="H10262" s="17" t="s">
        <v>20919</v>
      </c>
      <c r="I10262" s="17"/>
      <c r="J10262" s="17" t="s">
        <v>21313</v>
      </c>
      <c r="K10262" s="17"/>
      <c r="L10262" s="17" t="s">
        <v>22378</v>
      </c>
      <c r="M10262" s="17"/>
      <c r="N10262" s="17" t="s">
        <v>22459</v>
      </c>
      <c r="O10262" s="17"/>
      <c r="P10262" s="17" t="s">
        <v>22594</v>
      </c>
      <c r="Q10262" s="17"/>
      <c r="R10262" s="25" t="str">
        <f>HYPERLINK("https://ictv.global/taxonomy/taxondetails?taxnode_id=202316924","Bicehmovirus pedovivens")</f>
        <v>Bicehmovirus pedovivens</v>
      </c>
      <c r="S10262" s="18" t="s">
        <v>30</v>
      </c>
      <c r="T10262" s="18" t="s">
        <v>44580</v>
      </c>
      <c r="U10262" s="18"/>
      <c r="V10262" s="18"/>
      <c r="W10262" s="18" t="s">
        <v>44581</v>
      </c>
      <c r="X10262" s="18" t="s">
        <v>35</v>
      </c>
      <c r="Y10262" s="18" t="s">
        <v>17171</v>
      </c>
      <c r="Z10262" s="18" t="s">
        <v>24637</v>
      </c>
      <c r="AA10262" s="21" t="str">
        <f>HYPERLINK("https://www.ncbi.nlm.nih.gov/nuccore/CASDWV010003501","NCBI Nucleotide")</f>
        <v>NCBI Nucleotide</v>
      </c>
    </row>
    <row r="10263" spans="1:27" x14ac:dyDescent="0.35">
      <c r="A10263">
        <v>1009883</v>
      </c>
      <c r="B10263">
        <v>9588</v>
      </c>
      <c r="C10263">
        <v>1</v>
      </c>
      <c r="D10263" s="17" t="s">
        <v>17166</v>
      </c>
      <c r="E10263" s="17"/>
      <c r="F10263" s="17" t="s">
        <v>17246</v>
      </c>
      <c r="G10263" s="17"/>
      <c r="H10263" s="17" t="s">
        <v>20919</v>
      </c>
      <c r="I10263" s="17"/>
      <c r="J10263" s="17" t="s">
        <v>21313</v>
      </c>
      <c r="K10263" s="17"/>
      <c r="L10263" s="17" t="s">
        <v>22378</v>
      </c>
      <c r="M10263" s="17"/>
      <c r="N10263" s="17" t="s">
        <v>22459</v>
      </c>
      <c r="O10263" s="17"/>
      <c r="P10263" s="17" t="s">
        <v>22594</v>
      </c>
      <c r="Q10263" s="17"/>
      <c r="R10263" s="25" t="str">
        <f>HYPERLINK("https://ictv.global/taxonomy/taxondetails?taxnode_id=202311060","Bicehmovirus peladaptatum")</f>
        <v>Bicehmovirus peladaptatum</v>
      </c>
      <c r="S10263" s="18" t="s">
        <v>30</v>
      </c>
      <c r="T10263" s="18" t="s">
        <v>22597</v>
      </c>
      <c r="U10263" s="18"/>
      <c r="V10263" s="18"/>
      <c r="W10263" s="18" t="s">
        <v>22598</v>
      </c>
      <c r="X10263" s="18" t="s">
        <v>35</v>
      </c>
      <c r="Y10263" s="18" t="s">
        <v>17171</v>
      </c>
      <c r="Z10263" s="18" t="s">
        <v>697</v>
      </c>
      <c r="AA10263" s="21" t="str">
        <f>HYPERLINK("https://www.ncbi.nlm.nih.gov/nuccore/BK014131","NCBI Nucleotide")</f>
        <v>NCBI Nucleotide</v>
      </c>
    </row>
    <row r="10264" spans="1:27" x14ac:dyDescent="0.35">
      <c r="A10264">
        <v>1009884</v>
      </c>
      <c r="B10264">
        <v>9589</v>
      </c>
      <c r="C10264">
        <v>1</v>
      </c>
      <c r="D10264" s="17" t="s">
        <v>17166</v>
      </c>
      <c r="E10264" s="17"/>
      <c r="F10264" s="17" t="s">
        <v>17246</v>
      </c>
      <c r="G10264" s="17"/>
      <c r="H10264" s="17" t="s">
        <v>20919</v>
      </c>
      <c r="I10264" s="17"/>
      <c r="J10264" s="17" t="s">
        <v>21313</v>
      </c>
      <c r="K10264" s="17"/>
      <c r="L10264" s="17" t="s">
        <v>22378</v>
      </c>
      <c r="M10264" s="17"/>
      <c r="N10264" s="17" t="s">
        <v>22459</v>
      </c>
      <c r="O10264" s="17"/>
      <c r="P10264" s="17" t="s">
        <v>22594</v>
      </c>
      <c r="Q10264" s="17"/>
      <c r="R10264" s="25" t="str">
        <f>HYPERLINK("https://ictv.global/taxonomy/taxondetails?taxnode_id=202311062","Bicehmovirus pelenecus")</f>
        <v>Bicehmovirus pelenecus</v>
      </c>
      <c r="S10264" s="18" t="s">
        <v>30</v>
      </c>
      <c r="T10264" s="18" t="s">
        <v>22599</v>
      </c>
      <c r="U10264" s="18"/>
      <c r="V10264" s="18"/>
      <c r="W10264" s="18" t="s">
        <v>22600</v>
      </c>
      <c r="X10264" s="18" t="s">
        <v>35</v>
      </c>
      <c r="Y10264" s="18" t="s">
        <v>17171</v>
      </c>
      <c r="Z10264" s="18" t="s">
        <v>697</v>
      </c>
      <c r="AA10264" s="21" t="str">
        <f>HYPERLINK("https://www.ncbi.nlm.nih.gov/nuccore/BK014210","NCBI Nucleotide")</f>
        <v>NCBI Nucleotide</v>
      </c>
    </row>
    <row r="10265" spans="1:27" x14ac:dyDescent="0.35">
      <c r="A10265">
        <v>1025848</v>
      </c>
      <c r="B10265">
        <v>9590</v>
      </c>
      <c r="C10265">
        <v>1</v>
      </c>
      <c r="D10265" s="17" t="s">
        <v>17166</v>
      </c>
      <c r="E10265" s="17"/>
      <c r="F10265" s="17" t="s">
        <v>17246</v>
      </c>
      <c r="G10265" s="17"/>
      <c r="H10265" s="17" t="s">
        <v>20919</v>
      </c>
      <c r="I10265" s="17"/>
      <c r="J10265" s="17" t="s">
        <v>21313</v>
      </c>
      <c r="K10265" s="17"/>
      <c r="L10265" s="17" t="s">
        <v>22378</v>
      </c>
      <c r="M10265" s="17"/>
      <c r="N10265" s="17" t="s">
        <v>22459</v>
      </c>
      <c r="O10265" s="17"/>
      <c r="P10265" s="17" t="s">
        <v>22594</v>
      </c>
      <c r="Q10265" s="17"/>
      <c r="R10265" s="25" t="str">
        <f>HYPERLINK("https://ictv.global/taxonomy/taxondetails?taxnode_id=202316925","Bicehmovirus segeticola")</f>
        <v>Bicehmovirus segeticola</v>
      </c>
      <c r="S10265" s="18" t="s">
        <v>30</v>
      </c>
      <c r="T10265" s="18" t="s">
        <v>44582</v>
      </c>
      <c r="U10265" s="18"/>
      <c r="V10265" s="18"/>
      <c r="W10265" s="18" t="s">
        <v>44583</v>
      </c>
      <c r="X10265" s="18" t="s">
        <v>35</v>
      </c>
      <c r="Y10265" s="18" t="s">
        <v>17171</v>
      </c>
      <c r="Z10265" s="18" t="s">
        <v>24637</v>
      </c>
      <c r="AA10265" s="21" t="str">
        <f>HYPERLINK("https://www.ncbi.nlm.nih.gov/nuccore/CASDWV010004787","NCBI Nucleotide")</f>
        <v>NCBI Nucleotide</v>
      </c>
    </row>
    <row r="10266" spans="1:27" x14ac:dyDescent="0.35">
      <c r="A10266">
        <v>1025849</v>
      </c>
      <c r="B10266">
        <v>9591</v>
      </c>
      <c r="C10266">
        <v>1</v>
      </c>
      <c r="D10266" s="17" t="s">
        <v>17166</v>
      </c>
      <c r="E10266" s="17"/>
      <c r="F10266" s="17" t="s">
        <v>17246</v>
      </c>
      <c r="G10266" s="17"/>
      <c r="H10266" s="17" t="s">
        <v>20919</v>
      </c>
      <c r="I10266" s="17"/>
      <c r="J10266" s="17" t="s">
        <v>21313</v>
      </c>
      <c r="K10266" s="17"/>
      <c r="L10266" s="17" t="s">
        <v>22378</v>
      </c>
      <c r="M10266" s="17"/>
      <c r="N10266" s="17" t="s">
        <v>22459</v>
      </c>
      <c r="O10266" s="17"/>
      <c r="P10266" s="17" t="s">
        <v>22594</v>
      </c>
      <c r="Q10266" s="17"/>
      <c r="R10266" s="25" t="str">
        <f>HYPERLINK("https://ictv.global/taxonomy/taxondetails?taxnode_id=202316926","Bicehmovirus solihabitans")</f>
        <v>Bicehmovirus solihabitans</v>
      </c>
      <c r="S10266" s="18" t="s">
        <v>30</v>
      </c>
      <c r="T10266" s="18" t="s">
        <v>44584</v>
      </c>
      <c r="U10266" s="18"/>
      <c r="V10266" s="18"/>
      <c r="W10266" s="18" t="s">
        <v>44585</v>
      </c>
      <c r="X10266" s="18" t="s">
        <v>35</v>
      </c>
      <c r="Y10266" s="18" t="s">
        <v>17171</v>
      </c>
      <c r="Z10266" s="18" t="s">
        <v>24637</v>
      </c>
      <c r="AA10266" s="21" t="str">
        <f>HYPERLINK("https://www.ncbi.nlm.nih.gov/nuccore/CASDWV010004696","NCBI Nucleotide")</f>
        <v>NCBI Nucleotide</v>
      </c>
    </row>
    <row r="10267" spans="1:27" x14ac:dyDescent="0.35">
      <c r="A10267">
        <v>1025850</v>
      </c>
      <c r="B10267">
        <v>9592</v>
      </c>
      <c r="C10267">
        <v>1</v>
      </c>
      <c r="D10267" s="17" t="s">
        <v>17166</v>
      </c>
      <c r="E10267" s="17"/>
      <c r="F10267" s="17" t="s">
        <v>17246</v>
      </c>
      <c r="G10267" s="17"/>
      <c r="H10267" s="17" t="s">
        <v>20919</v>
      </c>
      <c r="I10267" s="17"/>
      <c r="J10267" s="17" t="s">
        <v>21313</v>
      </c>
      <c r="K10267" s="17"/>
      <c r="L10267" s="17" t="s">
        <v>22378</v>
      </c>
      <c r="M10267" s="17"/>
      <c r="N10267" s="17" t="s">
        <v>22459</v>
      </c>
      <c r="O10267" s="17"/>
      <c r="P10267" s="17" t="s">
        <v>22594</v>
      </c>
      <c r="Q10267" s="17"/>
      <c r="R10267" s="25" t="str">
        <f>HYPERLINK("https://ictv.global/taxonomy/taxondetails?taxnode_id=202316927","Bicehmovirus terradaptatum")</f>
        <v>Bicehmovirus terradaptatum</v>
      </c>
      <c r="S10267" s="18" t="s">
        <v>30</v>
      </c>
      <c r="T10267" s="18" t="s">
        <v>44586</v>
      </c>
      <c r="U10267" s="18"/>
      <c r="V10267" s="18"/>
      <c r="W10267" s="18" t="s">
        <v>44587</v>
      </c>
      <c r="X10267" s="18" t="s">
        <v>35</v>
      </c>
      <c r="Y10267" s="18" t="s">
        <v>17171</v>
      </c>
      <c r="Z10267" s="18" t="s">
        <v>24637</v>
      </c>
      <c r="AA10267" s="21" t="str">
        <f>HYPERLINK("https://www.ncbi.nlm.nih.gov/nuccore/CASDWV010001080","NCBI Nucleotide")</f>
        <v>NCBI Nucleotide</v>
      </c>
    </row>
    <row r="10268" spans="1:27" x14ac:dyDescent="0.35">
      <c r="A10268">
        <v>1025851</v>
      </c>
      <c r="B10268">
        <v>9593</v>
      </c>
      <c r="C10268">
        <v>1</v>
      </c>
      <c r="D10268" s="17" t="s">
        <v>17166</v>
      </c>
      <c r="E10268" s="17"/>
      <c r="F10268" s="17" t="s">
        <v>17246</v>
      </c>
      <c r="G10268" s="17"/>
      <c r="H10268" s="17" t="s">
        <v>20919</v>
      </c>
      <c r="I10268" s="17"/>
      <c r="J10268" s="17" t="s">
        <v>21313</v>
      </c>
      <c r="K10268" s="17"/>
      <c r="L10268" s="17" t="s">
        <v>22378</v>
      </c>
      <c r="M10268" s="17"/>
      <c r="N10268" s="17" t="s">
        <v>22459</v>
      </c>
      <c r="O10268" s="17"/>
      <c r="P10268" s="17" t="s">
        <v>22594</v>
      </c>
      <c r="Q10268" s="17"/>
      <c r="R10268" s="25" t="str">
        <f>HYPERLINK("https://ictv.global/taxonomy/taxondetails?taxnode_id=202316928","Bicehmovirus terrenecus")</f>
        <v>Bicehmovirus terrenecus</v>
      </c>
      <c r="S10268" s="18" t="s">
        <v>30</v>
      </c>
      <c r="T10268" s="18" t="s">
        <v>44588</v>
      </c>
      <c r="U10268" s="18"/>
      <c r="V10268" s="18"/>
      <c r="W10268" s="18" t="s">
        <v>44589</v>
      </c>
      <c r="X10268" s="18" t="s">
        <v>35</v>
      </c>
      <c r="Y10268" s="18" t="s">
        <v>17171</v>
      </c>
      <c r="Z10268" s="18" t="s">
        <v>24637</v>
      </c>
      <c r="AA10268" s="21" t="str">
        <f>HYPERLINK("https://www.ncbi.nlm.nih.gov/nuccore/CASDWV010000049","NCBI Nucleotide")</f>
        <v>NCBI Nucleotide</v>
      </c>
    </row>
    <row r="10269" spans="1:27" x14ac:dyDescent="0.35">
      <c r="A10269">
        <v>1025852</v>
      </c>
      <c r="B10269">
        <v>9594</v>
      </c>
      <c r="C10269">
        <v>1</v>
      </c>
      <c r="D10269" s="17" t="s">
        <v>17166</v>
      </c>
      <c r="E10269" s="17"/>
      <c r="F10269" s="17" t="s">
        <v>17246</v>
      </c>
      <c r="G10269" s="17"/>
      <c r="H10269" s="17" t="s">
        <v>20919</v>
      </c>
      <c r="I10269" s="17"/>
      <c r="J10269" s="17" t="s">
        <v>21313</v>
      </c>
      <c r="K10269" s="17"/>
      <c r="L10269" s="17" t="s">
        <v>22378</v>
      </c>
      <c r="M10269" s="17"/>
      <c r="N10269" s="17" t="s">
        <v>22459</v>
      </c>
      <c r="O10269" s="17"/>
      <c r="P10269" s="17" t="s">
        <v>44590</v>
      </c>
      <c r="Q10269" s="17"/>
      <c r="R10269" s="25" t="str">
        <f>HYPERLINK("https://ictv.global/taxonomy/taxondetails?taxnode_id=202316929","Bidwovirus caenadaptatum")</f>
        <v>Bidwovirus caenadaptatum</v>
      </c>
      <c r="S10269" s="18" t="s">
        <v>30</v>
      </c>
      <c r="T10269" s="18" t="s">
        <v>44591</v>
      </c>
      <c r="U10269" s="18"/>
      <c r="V10269" s="18"/>
      <c r="W10269" s="18" t="s">
        <v>44592</v>
      </c>
      <c r="X10269" s="18" t="s">
        <v>35</v>
      </c>
      <c r="Y10269" s="18" t="s">
        <v>17171</v>
      </c>
      <c r="Z10269" s="18" t="s">
        <v>24637</v>
      </c>
      <c r="AA10269" s="21" t="str">
        <f>HYPERLINK("https://www.ncbi.nlm.nih.gov/nuccore/CASDWV010003456","NCBI Nucleotide")</f>
        <v>NCBI Nucleotide</v>
      </c>
    </row>
    <row r="10270" spans="1:27" x14ac:dyDescent="0.35">
      <c r="A10270">
        <v>1009815</v>
      </c>
      <c r="B10270">
        <v>9595</v>
      </c>
      <c r="C10270">
        <v>1</v>
      </c>
      <c r="D10270" s="17" t="s">
        <v>17166</v>
      </c>
      <c r="E10270" s="17"/>
      <c r="F10270" s="17" t="s">
        <v>17246</v>
      </c>
      <c r="G10270" s="17"/>
      <c r="H10270" s="17" t="s">
        <v>20919</v>
      </c>
      <c r="I10270" s="17"/>
      <c r="J10270" s="17" t="s">
        <v>21313</v>
      </c>
      <c r="K10270" s="17"/>
      <c r="L10270" s="17" t="s">
        <v>22378</v>
      </c>
      <c r="M10270" s="17"/>
      <c r="N10270" s="17" t="s">
        <v>22459</v>
      </c>
      <c r="O10270" s="17"/>
      <c r="P10270" s="17" t="s">
        <v>44593</v>
      </c>
      <c r="Q10270" s="17"/>
      <c r="R10270" s="25" t="str">
        <f>HYPERLINK("https://ictv.global/taxonomy/taxondetails?taxnode_id=202310983","Bihckevirus asiadaptatum")</f>
        <v>Bihckevirus asiadaptatum</v>
      </c>
      <c r="S10270" s="18" t="s">
        <v>30</v>
      </c>
      <c r="T10270" s="18" t="s">
        <v>22460</v>
      </c>
      <c r="U10270" s="18"/>
      <c r="V10270" s="18"/>
      <c r="W10270" s="18" t="s">
        <v>22461</v>
      </c>
      <c r="X10270" s="18" t="s">
        <v>35</v>
      </c>
      <c r="Y10270" s="18" t="s">
        <v>17171</v>
      </c>
      <c r="Z10270" s="18" t="s">
        <v>697</v>
      </c>
      <c r="AA10270" s="21" t="str">
        <f>HYPERLINK("https://www.ncbi.nlm.nih.gov/nuccore/BK014124","NCBI Nucleotide")</f>
        <v>NCBI Nucleotide</v>
      </c>
    </row>
    <row r="10271" spans="1:27" x14ac:dyDescent="0.35">
      <c r="A10271">
        <v>1025825</v>
      </c>
      <c r="B10271">
        <v>9596</v>
      </c>
      <c r="C10271">
        <v>1</v>
      </c>
      <c r="D10271" s="17" t="s">
        <v>17166</v>
      </c>
      <c r="E10271" s="17"/>
      <c r="F10271" s="17" t="s">
        <v>17246</v>
      </c>
      <c r="G10271" s="17"/>
      <c r="H10271" s="17" t="s">
        <v>20919</v>
      </c>
      <c r="I10271" s="17"/>
      <c r="J10271" s="17" t="s">
        <v>21313</v>
      </c>
      <c r="K10271" s="17"/>
      <c r="L10271" s="17" t="s">
        <v>22378</v>
      </c>
      <c r="M10271" s="17"/>
      <c r="N10271" s="17" t="s">
        <v>22459</v>
      </c>
      <c r="O10271" s="17"/>
      <c r="P10271" s="17" t="s">
        <v>44594</v>
      </c>
      <c r="Q10271" s="17"/>
      <c r="R10271" s="25" t="str">
        <f>HYPERLINK("https://ictv.global/taxonomy/taxondetails?taxnode_id=202316930","Bihndovirus allonemorisvicinum")</f>
        <v>Bihndovirus allonemorisvicinum</v>
      </c>
      <c r="S10271" s="18" t="s">
        <v>30</v>
      </c>
      <c r="T10271" s="18" t="s">
        <v>44595</v>
      </c>
      <c r="U10271" s="18"/>
      <c r="V10271" s="18" t="s">
        <v>44595</v>
      </c>
      <c r="W10271" s="18" t="s">
        <v>44596</v>
      </c>
      <c r="X10271" s="18" t="s">
        <v>35</v>
      </c>
      <c r="Y10271" s="18" t="s">
        <v>17171</v>
      </c>
      <c r="Z10271" s="18" t="s">
        <v>24637</v>
      </c>
      <c r="AA10271" s="21" t="str">
        <f>HYPERLINK("https://www.ncbi.nlm.nih.gov/nuccore/MZ679711","NCBI Nucleotide")</f>
        <v>NCBI Nucleotide</v>
      </c>
    </row>
    <row r="10272" spans="1:27" x14ac:dyDescent="0.35">
      <c r="A10272">
        <v>1025830</v>
      </c>
      <c r="B10272">
        <v>9597</v>
      </c>
      <c r="C10272">
        <v>1</v>
      </c>
      <c r="D10272" s="17" t="s">
        <v>17166</v>
      </c>
      <c r="E10272" s="17"/>
      <c r="F10272" s="17" t="s">
        <v>17246</v>
      </c>
      <c r="G10272" s="17"/>
      <c r="H10272" s="17" t="s">
        <v>20919</v>
      </c>
      <c r="I10272" s="17"/>
      <c r="J10272" s="17" t="s">
        <v>21313</v>
      </c>
      <c r="K10272" s="17"/>
      <c r="L10272" s="17" t="s">
        <v>22378</v>
      </c>
      <c r="M10272" s="17"/>
      <c r="N10272" s="17" t="s">
        <v>22459</v>
      </c>
      <c r="O10272" s="17"/>
      <c r="P10272" s="17" t="s">
        <v>44597</v>
      </c>
      <c r="Q10272" s="17"/>
      <c r="R10272" s="25" t="str">
        <f>HYPERLINK("https://ictv.global/taxonomy/taxondetails?taxnode_id=202316931","Bilsivirus pelovivens")</f>
        <v>Bilsivirus pelovivens</v>
      </c>
      <c r="S10272" s="18" t="s">
        <v>30</v>
      </c>
      <c r="T10272" s="18" t="s">
        <v>44598</v>
      </c>
      <c r="U10272" s="18"/>
      <c r="V10272" s="18"/>
      <c r="W10272" s="18" t="s">
        <v>44599</v>
      </c>
      <c r="X10272" s="18" t="s">
        <v>35</v>
      </c>
      <c r="Y10272" s="18" t="s">
        <v>17171</v>
      </c>
      <c r="Z10272" s="18" t="s">
        <v>24637</v>
      </c>
      <c r="AA10272" s="21" t="str">
        <f>HYPERLINK("https://www.ncbi.nlm.nih.gov/nuccore/CASDWV010003055","NCBI Nucleotide")</f>
        <v>NCBI Nucleotide</v>
      </c>
    </row>
    <row r="10273" spans="1:27" x14ac:dyDescent="0.35">
      <c r="A10273">
        <v>1025816</v>
      </c>
      <c r="B10273">
        <v>9598</v>
      </c>
      <c r="C10273">
        <v>1</v>
      </c>
      <c r="D10273" s="17" t="s">
        <v>17166</v>
      </c>
      <c r="E10273" s="17"/>
      <c r="F10273" s="17" t="s">
        <v>17246</v>
      </c>
      <c r="G10273" s="17"/>
      <c r="H10273" s="17" t="s">
        <v>20919</v>
      </c>
      <c r="I10273" s="17"/>
      <c r="J10273" s="17" t="s">
        <v>21313</v>
      </c>
      <c r="K10273" s="17"/>
      <c r="L10273" s="17" t="s">
        <v>22378</v>
      </c>
      <c r="M10273" s="17"/>
      <c r="N10273" s="17" t="s">
        <v>22459</v>
      </c>
      <c r="O10273" s="17"/>
      <c r="P10273" s="17" t="s">
        <v>44600</v>
      </c>
      <c r="Q10273" s="17"/>
      <c r="R10273" s="25" t="str">
        <f>HYPERLINK("https://ictv.global/taxonomy/taxondetails?taxnode_id=202316932","Bircswevirus faecivicinum")</f>
        <v>Bircswevirus faecivicinum</v>
      </c>
      <c r="S10273" s="18" t="s">
        <v>30</v>
      </c>
      <c r="T10273" s="18" t="s">
        <v>44601</v>
      </c>
      <c r="U10273" s="18"/>
      <c r="V10273" s="18" t="s">
        <v>44601</v>
      </c>
      <c r="W10273" s="18" t="s">
        <v>44602</v>
      </c>
      <c r="X10273" s="18" t="s">
        <v>35</v>
      </c>
      <c r="Y10273" s="18" t="s">
        <v>17171</v>
      </c>
      <c r="Z10273" s="18" t="s">
        <v>24637</v>
      </c>
      <c r="AA10273" s="21" t="str">
        <f>HYPERLINK("https://www.ncbi.nlm.nih.gov/nuccore/MZ679831","NCBI Nucleotide")</f>
        <v>NCBI Nucleotide</v>
      </c>
    </row>
    <row r="10274" spans="1:27" x14ac:dyDescent="0.35">
      <c r="A10274">
        <v>1025820</v>
      </c>
      <c r="B10274">
        <v>9599</v>
      </c>
      <c r="C10274">
        <v>1</v>
      </c>
      <c r="D10274" s="17" t="s">
        <v>17166</v>
      </c>
      <c r="E10274" s="17"/>
      <c r="F10274" s="17" t="s">
        <v>17246</v>
      </c>
      <c r="G10274" s="17"/>
      <c r="H10274" s="17" t="s">
        <v>20919</v>
      </c>
      <c r="I10274" s="17"/>
      <c r="J10274" s="17" t="s">
        <v>21313</v>
      </c>
      <c r="K10274" s="17"/>
      <c r="L10274" s="17" t="s">
        <v>22378</v>
      </c>
      <c r="M10274" s="17"/>
      <c r="N10274" s="17" t="s">
        <v>22459</v>
      </c>
      <c r="O10274" s="17"/>
      <c r="P10274" s="17" t="s">
        <v>44603</v>
      </c>
      <c r="Q10274" s="17"/>
      <c r="R10274" s="25" t="str">
        <f>HYPERLINK("https://ictv.global/taxonomy/taxondetails?taxnode_id=202316933","Bishavirus pelovicinum")</f>
        <v>Bishavirus pelovicinum</v>
      </c>
      <c r="S10274" s="18" t="s">
        <v>30</v>
      </c>
      <c r="T10274" s="18" t="s">
        <v>44604</v>
      </c>
      <c r="U10274" s="18"/>
      <c r="V10274" s="18"/>
      <c r="W10274" s="18" t="s">
        <v>44605</v>
      </c>
      <c r="X10274" s="18" t="s">
        <v>35</v>
      </c>
      <c r="Y10274" s="18" t="s">
        <v>17171</v>
      </c>
      <c r="Z10274" s="18" t="s">
        <v>24637</v>
      </c>
      <c r="AA10274" s="21" t="str">
        <f>HYPERLINK("https://www.ncbi.nlm.nih.gov/nuccore/CASDWV010003502","NCBI Nucleotide")</f>
        <v>NCBI Nucleotide</v>
      </c>
    </row>
    <row r="10275" spans="1:27" x14ac:dyDescent="0.35">
      <c r="A10275">
        <v>1025821</v>
      </c>
      <c r="B10275">
        <v>9600</v>
      </c>
      <c r="C10275">
        <v>1</v>
      </c>
      <c r="D10275" s="17" t="s">
        <v>17166</v>
      </c>
      <c r="E10275" s="17"/>
      <c r="F10275" s="17" t="s">
        <v>17246</v>
      </c>
      <c r="G10275" s="17"/>
      <c r="H10275" s="17" t="s">
        <v>20919</v>
      </c>
      <c r="I10275" s="17"/>
      <c r="J10275" s="17" t="s">
        <v>21313</v>
      </c>
      <c r="K10275" s="17"/>
      <c r="L10275" s="17" t="s">
        <v>22378</v>
      </c>
      <c r="M10275" s="17"/>
      <c r="N10275" s="17" t="s">
        <v>22459</v>
      </c>
      <c r="O10275" s="17"/>
      <c r="P10275" s="17" t="s">
        <v>44606</v>
      </c>
      <c r="Q10275" s="17"/>
      <c r="R10275" s="25" t="str">
        <f>HYPERLINK("https://ictv.global/taxonomy/taxondetails?taxnode_id=202316934","Bishovirus chthonadaptatum")</f>
        <v>Bishovirus chthonadaptatum</v>
      </c>
      <c r="S10275" s="18" t="s">
        <v>30</v>
      </c>
      <c r="T10275" s="18" t="s">
        <v>44607</v>
      </c>
      <c r="U10275" s="18"/>
      <c r="V10275" s="18"/>
      <c r="W10275" s="18" t="s">
        <v>44608</v>
      </c>
      <c r="X10275" s="18" t="s">
        <v>35</v>
      </c>
      <c r="Y10275" s="18" t="s">
        <v>17171</v>
      </c>
      <c r="Z10275" s="18" t="s">
        <v>24637</v>
      </c>
      <c r="AA10275" s="21" t="str">
        <f>HYPERLINK("https://www.ncbi.nlm.nih.gov/nuccore/CASDWV010004413","NCBI Nucleotide")</f>
        <v>NCBI Nucleotide</v>
      </c>
    </row>
    <row r="10276" spans="1:27" x14ac:dyDescent="0.35">
      <c r="A10276">
        <v>1025822</v>
      </c>
      <c r="B10276">
        <v>9601</v>
      </c>
      <c r="C10276">
        <v>1</v>
      </c>
      <c r="D10276" s="17" t="s">
        <v>17166</v>
      </c>
      <c r="E10276" s="17"/>
      <c r="F10276" s="17" t="s">
        <v>17246</v>
      </c>
      <c r="G10276" s="17"/>
      <c r="H10276" s="17" t="s">
        <v>20919</v>
      </c>
      <c r="I10276" s="17"/>
      <c r="J10276" s="17" t="s">
        <v>21313</v>
      </c>
      <c r="K10276" s="17"/>
      <c r="L10276" s="17" t="s">
        <v>22378</v>
      </c>
      <c r="M10276" s="17"/>
      <c r="N10276" s="17" t="s">
        <v>22459</v>
      </c>
      <c r="O10276" s="17"/>
      <c r="P10276" s="17" t="s">
        <v>44606</v>
      </c>
      <c r="Q10276" s="17"/>
      <c r="R10276" s="25" t="str">
        <f>HYPERLINK("https://ictv.global/taxonomy/taxondetails?taxnode_id=202316935","Bishovirus segetivivens")</f>
        <v>Bishovirus segetivivens</v>
      </c>
      <c r="S10276" s="18" t="s">
        <v>30</v>
      </c>
      <c r="T10276" s="18" t="s">
        <v>44609</v>
      </c>
      <c r="U10276" s="18"/>
      <c r="V10276" s="18"/>
      <c r="W10276" s="18" t="s">
        <v>44610</v>
      </c>
      <c r="X10276" s="18" t="s">
        <v>35</v>
      </c>
      <c r="Y10276" s="18" t="s">
        <v>17171</v>
      </c>
      <c r="Z10276" s="18" t="s">
        <v>24637</v>
      </c>
      <c r="AA10276" s="21" t="str">
        <f>HYPERLINK("https://www.ncbi.nlm.nih.gov/nuccore/CASDWV010002038","NCBI Nucleotide")</f>
        <v>NCBI Nucleotide</v>
      </c>
    </row>
    <row r="10277" spans="1:27" x14ac:dyDescent="0.35">
      <c r="A10277">
        <v>1025967</v>
      </c>
      <c r="B10277">
        <v>9602</v>
      </c>
      <c r="C10277">
        <v>1</v>
      </c>
      <c r="D10277" s="17" t="s">
        <v>17166</v>
      </c>
      <c r="E10277" s="17"/>
      <c r="F10277" s="17" t="s">
        <v>17246</v>
      </c>
      <c r="G10277" s="17"/>
      <c r="H10277" s="17" t="s">
        <v>20919</v>
      </c>
      <c r="I10277" s="17"/>
      <c r="J10277" s="17" t="s">
        <v>21313</v>
      </c>
      <c r="K10277" s="17"/>
      <c r="L10277" s="17" t="s">
        <v>22378</v>
      </c>
      <c r="M10277" s="17"/>
      <c r="N10277" s="17" t="s">
        <v>22459</v>
      </c>
      <c r="O10277" s="17"/>
      <c r="P10277" s="17" t="s">
        <v>44611</v>
      </c>
      <c r="Q10277" s="17"/>
      <c r="R10277" s="25" t="str">
        <f>HYPERLINK("https://ictv.global/taxonomy/taxondetails?taxnode_id=202316936","Blacdavirus humicola")</f>
        <v>Blacdavirus humicola</v>
      </c>
      <c r="S10277" s="18" t="s">
        <v>30</v>
      </c>
      <c r="T10277" s="18" t="s">
        <v>44612</v>
      </c>
      <c r="U10277" s="18"/>
      <c r="V10277" s="18"/>
      <c r="W10277" s="18" t="s">
        <v>44613</v>
      </c>
      <c r="X10277" s="18" t="s">
        <v>35</v>
      </c>
      <c r="Y10277" s="18" t="s">
        <v>17171</v>
      </c>
      <c r="Z10277" s="18" t="s">
        <v>24637</v>
      </c>
      <c r="AA10277" s="21" t="str">
        <f>HYPERLINK("https://www.ncbi.nlm.nih.gov/nuccore/CASDWV010004567","NCBI Nucleotide")</f>
        <v>NCBI Nucleotide</v>
      </c>
    </row>
    <row r="10278" spans="1:27" x14ac:dyDescent="0.35">
      <c r="A10278">
        <v>1025964</v>
      </c>
      <c r="B10278">
        <v>9603</v>
      </c>
      <c r="C10278">
        <v>1</v>
      </c>
      <c r="D10278" s="17" t="s">
        <v>17166</v>
      </c>
      <c r="E10278" s="17"/>
      <c r="F10278" s="17" t="s">
        <v>17246</v>
      </c>
      <c r="G10278" s="17"/>
      <c r="H10278" s="17" t="s">
        <v>20919</v>
      </c>
      <c r="I10278" s="17"/>
      <c r="J10278" s="17" t="s">
        <v>21313</v>
      </c>
      <c r="K10278" s="17"/>
      <c r="L10278" s="17" t="s">
        <v>22378</v>
      </c>
      <c r="M10278" s="17"/>
      <c r="N10278" s="17" t="s">
        <v>22459</v>
      </c>
      <c r="O10278" s="17"/>
      <c r="P10278" s="17" t="s">
        <v>44614</v>
      </c>
      <c r="Q10278" s="17"/>
      <c r="R10278" s="25" t="str">
        <f>HYPERLINK("https://ictv.global/taxonomy/taxondetails?taxnode_id=202316937","Boaesivirus pseudofaecivicinum")</f>
        <v>Boaesivirus pseudofaecivicinum</v>
      </c>
      <c r="S10278" s="18" t="s">
        <v>30</v>
      </c>
      <c r="T10278" s="18" t="s">
        <v>44615</v>
      </c>
      <c r="U10278" s="18"/>
      <c r="V10278" s="18" t="s">
        <v>44615</v>
      </c>
      <c r="W10278" s="18" t="s">
        <v>44616</v>
      </c>
      <c r="X10278" s="18" t="s">
        <v>35</v>
      </c>
      <c r="Y10278" s="18" t="s">
        <v>17171</v>
      </c>
      <c r="Z10278" s="18" t="s">
        <v>24637</v>
      </c>
      <c r="AA10278" s="21" t="str">
        <f>HYPERLINK("https://www.ncbi.nlm.nih.gov/nuccore/MZ679572","NCBI Nucleotide")</f>
        <v>NCBI Nucleotide</v>
      </c>
    </row>
    <row r="10279" spans="1:27" x14ac:dyDescent="0.35">
      <c r="A10279">
        <v>1025955</v>
      </c>
      <c r="B10279">
        <v>9604</v>
      </c>
      <c r="C10279">
        <v>1</v>
      </c>
      <c r="D10279" s="17" t="s">
        <v>17166</v>
      </c>
      <c r="E10279" s="17"/>
      <c r="F10279" s="17" t="s">
        <v>17246</v>
      </c>
      <c r="G10279" s="17"/>
      <c r="H10279" s="17" t="s">
        <v>20919</v>
      </c>
      <c r="I10279" s="17"/>
      <c r="J10279" s="17" t="s">
        <v>21313</v>
      </c>
      <c r="K10279" s="17"/>
      <c r="L10279" s="17" t="s">
        <v>22378</v>
      </c>
      <c r="M10279" s="17"/>
      <c r="N10279" s="17" t="s">
        <v>22459</v>
      </c>
      <c r="O10279" s="17"/>
      <c r="P10279" s="17" t="s">
        <v>44617</v>
      </c>
      <c r="Q10279" s="17"/>
      <c r="R10279" s="25" t="str">
        <f>HYPERLINK("https://ictv.global/taxonomy/taxondetails?taxnode_id=202316938","Bohlehivirus terrihabitans")</f>
        <v>Bohlehivirus terrihabitans</v>
      </c>
      <c r="S10279" s="18" t="s">
        <v>30</v>
      </c>
      <c r="T10279" s="18" t="s">
        <v>44618</v>
      </c>
      <c r="U10279" s="18"/>
      <c r="V10279" s="18"/>
      <c r="W10279" s="18" t="s">
        <v>44619</v>
      </c>
      <c r="X10279" s="18" t="s">
        <v>35</v>
      </c>
      <c r="Y10279" s="18" t="s">
        <v>17171</v>
      </c>
      <c r="Z10279" s="18" t="s">
        <v>24637</v>
      </c>
      <c r="AA10279" s="21" t="str">
        <f>HYPERLINK("https://www.ncbi.nlm.nih.gov/nuccore/CASDWV010002912","NCBI Nucleotide")</f>
        <v>NCBI Nucleotide</v>
      </c>
    </row>
    <row r="10280" spans="1:27" x14ac:dyDescent="0.35">
      <c r="A10280">
        <v>1025956</v>
      </c>
      <c r="B10280">
        <v>9605</v>
      </c>
      <c r="C10280">
        <v>1</v>
      </c>
      <c r="D10280" s="17" t="s">
        <v>17166</v>
      </c>
      <c r="E10280" s="17"/>
      <c r="F10280" s="17" t="s">
        <v>17246</v>
      </c>
      <c r="G10280" s="17"/>
      <c r="H10280" s="17" t="s">
        <v>20919</v>
      </c>
      <c r="I10280" s="17"/>
      <c r="J10280" s="17" t="s">
        <v>21313</v>
      </c>
      <c r="K10280" s="17"/>
      <c r="L10280" s="17" t="s">
        <v>22378</v>
      </c>
      <c r="M10280" s="17"/>
      <c r="N10280" s="17" t="s">
        <v>22459</v>
      </c>
      <c r="O10280" s="17"/>
      <c r="P10280" s="17" t="s">
        <v>44620</v>
      </c>
      <c r="Q10280" s="17"/>
      <c r="R10280" s="25" t="str">
        <f>HYPERLINK("https://ictv.global/taxonomy/taxondetails?taxnode_id=202316939","Boldovirus faecadaptatum")</f>
        <v>Boldovirus faecadaptatum</v>
      </c>
      <c r="S10280" s="18" t="s">
        <v>30</v>
      </c>
      <c r="T10280" s="18" t="s">
        <v>44621</v>
      </c>
      <c r="U10280" s="18"/>
      <c r="V10280" s="18" t="s">
        <v>44621</v>
      </c>
      <c r="W10280" s="18" t="s">
        <v>44622</v>
      </c>
      <c r="X10280" s="18" t="s">
        <v>35</v>
      </c>
      <c r="Y10280" s="18" t="s">
        <v>17171</v>
      </c>
      <c r="Z10280" s="18" t="s">
        <v>24637</v>
      </c>
      <c r="AA10280" s="21" t="str">
        <f>HYPERLINK("https://www.ncbi.nlm.nih.gov/nuccore/MZ680332","NCBI Nucleotide")</f>
        <v>NCBI Nucleotide</v>
      </c>
    </row>
    <row r="10281" spans="1:27" x14ac:dyDescent="0.35">
      <c r="A10281">
        <v>1025957</v>
      </c>
      <c r="B10281">
        <v>9606</v>
      </c>
      <c r="C10281">
        <v>1</v>
      </c>
      <c r="D10281" s="17" t="s">
        <v>17166</v>
      </c>
      <c r="E10281" s="17"/>
      <c r="F10281" s="17" t="s">
        <v>17246</v>
      </c>
      <c r="G10281" s="17"/>
      <c r="H10281" s="17" t="s">
        <v>20919</v>
      </c>
      <c r="I10281" s="17"/>
      <c r="J10281" s="17" t="s">
        <v>21313</v>
      </c>
      <c r="K10281" s="17"/>
      <c r="L10281" s="17" t="s">
        <v>22378</v>
      </c>
      <c r="M10281" s="17"/>
      <c r="N10281" s="17" t="s">
        <v>22459</v>
      </c>
      <c r="O10281" s="17"/>
      <c r="P10281" s="17" t="s">
        <v>44620</v>
      </c>
      <c r="Q10281" s="17"/>
      <c r="R10281" s="25" t="str">
        <f>HYPERLINK("https://ictv.global/taxonomy/taxondetails?taxnode_id=202316940","Boldovirus radicivicinum")</f>
        <v>Boldovirus radicivicinum</v>
      </c>
      <c r="S10281" s="18" t="s">
        <v>30</v>
      </c>
      <c r="T10281" s="18" t="s">
        <v>44623</v>
      </c>
      <c r="U10281" s="18"/>
      <c r="V10281" s="18"/>
      <c r="W10281" s="18" t="s">
        <v>44624</v>
      </c>
      <c r="X10281" s="18" t="s">
        <v>35</v>
      </c>
      <c r="Y10281" s="18" t="s">
        <v>17171</v>
      </c>
      <c r="Z10281" s="18" t="s">
        <v>24637</v>
      </c>
      <c r="AA10281" s="21" t="str">
        <f>HYPERLINK("https://www.ncbi.nlm.nih.gov/nuccore/CASDWV010001482","NCBI Nucleotide")</f>
        <v>NCBI Nucleotide</v>
      </c>
    </row>
    <row r="10282" spans="1:27" x14ac:dyDescent="0.35">
      <c r="A10282">
        <v>1025932</v>
      </c>
      <c r="B10282">
        <v>9607</v>
      </c>
      <c r="C10282">
        <v>1</v>
      </c>
      <c r="D10282" s="17" t="s">
        <v>17166</v>
      </c>
      <c r="E10282" s="17"/>
      <c r="F10282" s="17" t="s">
        <v>17246</v>
      </c>
      <c r="G10282" s="17"/>
      <c r="H10282" s="17" t="s">
        <v>20919</v>
      </c>
      <c r="I10282" s="17"/>
      <c r="J10282" s="17" t="s">
        <v>21313</v>
      </c>
      <c r="K10282" s="17"/>
      <c r="L10282" s="17" t="s">
        <v>22378</v>
      </c>
      <c r="M10282" s="17"/>
      <c r="N10282" s="17" t="s">
        <v>22459</v>
      </c>
      <c r="O10282" s="17"/>
      <c r="P10282" s="17" t="s">
        <v>44625</v>
      </c>
      <c r="Q10282" s="17"/>
      <c r="R10282" s="25" t="str">
        <f>HYPERLINK("https://ictv.global/taxonomy/taxondetails?taxnode_id=202316941","Bourtovirus lutenecus")</f>
        <v>Bourtovirus lutenecus</v>
      </c>
      <c r="S10282" s="18" t="s">
        <v>30</v>
      </c>
      <c r="T10282" s="18" t="s">
        <v>44626</v>
      </c>
      <c r="U10282" s="18"/>
      <c r="V10282" s="18"/>
      <c r="W10282" s="18" t="s">
        <v>44627</v>
      </c>
      <c r="X10282" s="18" t="s">
        <v>35</v>
      </c>
      <c r="Y10282" s="18" t="s">
        <v>17171</v>
      </c>
      <c r="Z10282" s="18" t="s">
        <v>24637</v>
      </c>
      <c r="AA10282" s="21" t="str">
        <f>HYPERLINK("https://www.ncbi.nlm.nih.gov/nuccore/CASDWV010000343","NCBI Nucleotide")</f>
        <v>NCBI Nucleotide</v>
      </c>
    </row>
    <row r="10283" spans="1:27" x14ac:dyDescent="0.35">
      <c r="A10283">
        <v>1025933</v>
      </c>
      <c r="B10283">
        <v>9608</v>
      </c>
      <c r="C10283">
        <v>1</v>
      </c>
      <c r="D10283" s="17" t="s">
        <v>17166</v>
      </c>
      <c r="E10283" s="17"/>
      <c r="F10283" s="17" t="s">
        <v>17246</v>
      </c>
      <c r="G10283" s="17"/>
      <c r="H10283" s="17" t="s">
        <v>20919</v>
      </c>
      <c r="I10283" s="17"/>
      <c r="J10283" s="17" t="s">
        <v>21313</v>
      </c>
      <c r="K10283" s="17"/>
      <c r="L10283" s="17" t="s">
        <v>22378</v>
      </c>
      <c r="M10283" s="17"/>
      <c r="N10283" s="17" t="s">
        <v>22459</v>
      </c>
      <c r="O10283" s="17"/>
      <c r="P10283" s="17" t="s">
        <v>44625</v>
      </c>
      <c r="Q10283" s="17"/>
      <c r="R10283" s="25" t="str">
        <f>HYPERLINK("https://ictv.global/taxonomy/taxondetails?taxnode_id=202316942","Bourtovirus soladaptatum")</f>
        <v>Bourtovirus soladaptatum</v>
      </c>
      <c r="S10283" s="18" t="s">
        <v>30</v>
      </c>
      <c r="T10283" s="18" t="s">
        <v>44628</v>
      </c>
      <c r="U10283" s="18"/>
      <c r="V10283" s="18"/>
      <c r="W10283" s="18" t="s">
        <v>44629</v>
      </c>
      <c r="X10283" s="18" t="s">
        <v>35</v>
      </c>
      <c r="Y10283" s="18" t="s">
        <v>17171</v>
      </c>
      <c r="Z10283" s="18" t="s">
        <v>24637</v>
      </c>
      <c r="AA10283" s="21" t="str">
        <f>HYPERLINK("https://www.ncbi.nlm.nih.gov/nuccore/CASDWV010000104","NCBI Nucleotide")</f>
        <v>NCBI Nucleotide</v>
      </c>
    </row>
    <row r="10284" spans="1:27" x14ac:dyDescent="0.35">
      <c r="A10284">
        <v>1025934</v>
      </c>
      <c r="B10284">
        <v>9609</v>
      </c>
      <c r="C10284">
        <v>1</v>
      </c>
      <c r="D10284" s="17" t="s">
        <v>17166</v>
      </c>
      <c r="E10284" s="17"/>
      <c r="F10284" s="17" t="s">
        <v>17246</v>
      </c>
      <c r="G10284" s="17"/>
      <c r="H10284" s="17" t="s">
        <v>20919</v>
      </c>
      <c r="I10284" s="17"/>
      <c r="J10284" s="17" t="s">
        <v>21313</v>
      </c>
      <c r="K10284" s="17"/>
      <c r="L10284" s="17" t="s">
        <v>22378</v>
      </c>
      <c r="M10284" s="17"/>
      <c r="N10284" s="17" t="s">
        <v>22459</v>
      </c>
      <c r="O10284" s="17"/>
      <c r="P10284" s="17" t="s">
        <v>44625</v>
      </c>
      <c r="Q10284" s="17"/>
      <c r="R10284" s="25" t="str">
        <f>HYPERLINK("https://ictv.global/taxonomy/taxondetails?taxnode_id=202316943","Bourtovirus solenecus")</f>
        <v>Bourtovirus solenecus</v>
      </c>
      <c r="S10284" s="18" t="s">
        <v>30</v>
      </c>
      <c r="T10284" s="18" t="s">
        <v>44630</v>
      </c>
      <c r="U10284" s="18"/>
      <c r="V10284" s="18"/>
      <c r="W10284" s="18" t="s">
        <v>44631</v>
      </c>
      <c r="X10284" s="18" t="s">
        <v>35</v>
      </c>
      <c r="Y10284" s="18" t="s">
        <v>17171</v>
      </c>
      <c r="Z10284" s="18" t="s">
        <v>24637</v>
      </c>
      <c r="AA10284" s="21" t="str">
        <f>HYPERLINK("https://www.ncbi.nlm.nih.gov/nuccore/CASDWV010001376","NCBI Nucleotide")</f>
        <v>NCBI Nucleotide</v>
      </c>
    </row>
    <row r="10285" spans="1:27" x14ac:dyDescent="0.35">
      <c r="A10285">
        <v>1025935</v>
      </c>
      <c r="B10285">
        <v>9610</v>
      </c>
      <c r="C10285">
        <v>1</v>
      </c>
      <c r="D10285" s="17" t="s">
        <v>17166</v>
      </c>
      <c r="E10285" s="17"/>
      <c r="F10285" s="17" t="s">
        <v>17246</v>
      </c>
      <c r="G10285" s="17"/>
      <c r="H10285" s="17" t="s">
        <v>20919</v>
      </c>
      <c r="I10285" s="17"/>
      <c r="J10285" s="17" t="s">
        <v>21313</v>
      </c>
      <c r="K10285" s="17"/>
      <c r="L10285" s="17" t="s">
        <v>22378</v>
      </c>
      <c r="M10285" s="17"/>
      <c r="N10285" s="17" t="s">
        <v>22459</v>
      </c>
      <c r="O10285" s="17"/>
      <c r="P10285" s="17" t="s">
        <v>44625</v>
      </c>
      <c r="Q10285" s="17"/>
      <c r="R10285" s="25" t="str">
        <f>HYPERLINK("https://ictv.global/taxonomy/taxondetails?taxnode_id=202316944","Bourtovirus telluricola")</f>
        <v>Bourtovirus telluricola</v>
      </c>
      <c r="S10285" s="18" t="s">
        <v>30</v>
      </c>
      <c r="T10285" s="18" t="s">
        <v>44632</v>
      </c>
      <c r="U10285" s="18"/>
      <c r="V10285" s="18"/>
      <c r="W10285" s="18" t="s">
        <v>44633</v>
      </c>
      <c r="X10285" s="18" t="s">
        <v>35</v>
      </c>
      <c r="Y10285" s="18" t="s">
        <v>17171</v>
      </c>
      <c r="Z10285" s="18" t="s">
        <v>24637</v>
      </c>
      <c r="AA10285" s="21" t="str">
        <f>HYPERLINK("https://www.ncbi.nlm.nih.gov/nuccore/CASDWV010000601","NCBI Nucleotide")</f>
        <v>NCBI Nucleotide</v>
      </c>
    </row>
    <row r="10286" spans="1:27" x14ac:dyDescent="0.35">
      <c r="A10286">
        <v>1025944</v>
      </c>
      <c r="B10286">
        <v>9611</v>
      </c>
      <c r="C10286">
        <v>1</v>
      </c>
      <c r="D10286" s="17" t="s">
        <v>17166</v>
      </c>
      <c r="E10286" s="17"/>
      <c r="F10286" s="17" t="s">
        <v>17246</v>
      </c>
      <c r="G10286" s="17"/>
      <c r="H10286" s="17" t="s">
        <v>20919</v>
      </c>
      <c r="I10286" s="17"/>
      <c r="J10286" s="17" t="s">
        <v>21313</v>
      </c>
      <c r="K10286" s="17"/>
      <c r="L10286" s="17" t="s">
        <v>22378</v>
      </c>
      <c r="M10286" s="17"/>
      <c r="N10286" s="17" t="s">
        <v>22459</v>
      </c>
      <c r="O10286" s="17"/>
      <c r="P10286" s="17" t="s">
        <v>44634</v>
      </c>
      <c r="Q10286" s="17"/>
      <c r="R10286" s="25" t="str">
        <f>HYPERLINK("https://ictv.global/taxonomy/taxondetails?taxnode_id=202316945","Bridfovirus faecadaptatum")</f>
        <v>Bridfovirus faecadaptatum</v>
      </c>
      <c r="S10286" s="18" t="s">
        <v>30</v>
      </c>
      <c r="T10286" s="18" t="s">
        <v>44635</v>
      </c>
      <c r="U10286" s="18"/>
      <c r="V10286" s="18" t="s">
        <v>44635</v>
      </c>
      <c r="W10286" s="18" t="s">
        <v>44636</v>
      </c>
      <c r="X10286" s="18" t="s">
        <v>35</v>
      </c>
      <c r="Y10286" s="18" t="s">
        <v>17171</v>
      </c>
      <c r="Z10286" s="18" t="s">
        <v>24637</v>
      </c>
      <c r="AA10286" s="21" t="str">
        <f>HYPERLINK("https://www.ncbi.nlm.nih.gov/nuccore/MZ679464","NCBI Nucleotide")</f>
        <v>NCBI Nucleotide</v>
      </c>
    </row>
    <row r="10287" spans="1:27" x14ac:dyDescent="0.35">
      <c r="A10287">
        <v>1025945</v>
      </c>
      <c r="B10287">
        <v>9612</v>
      </c>
      <c r="C10287">
        <v>1</v>
      </c>
      <c r="D10287" s="17" t="s">
        <v>17166</v>
      </c>
      <c r="E10287" s="17"/>
      <c r="F10287" s="17" t="s">
        <v>17246</v>
      </c>
      <c r="G10287" s="17"/>
      <c r="H10287" s="17" t="s">
        <v>20919</v>
      </c>
      <c r="I10287" s="17"/>
      <c r="J10287" s="17" t="s">
        <v>21313</v>
      </c>
      <c r="K10287" s="17"/>
      <c r="L10287" s="17" t="s">
        <v>22378</v>
      </c>
      <c r="M10287" s="17"/>
      <c r="N10287" s="17" t="s">
        <v>22459</v>
      </c>
      <c r="O10287" s="17"/>
      <c r="P10287" s="17" t="s">
        <v>44634</v>
      </c>
      <c r="Q10287" s="17"/>
      <c r="R10287" s="25" t="str">
        <f>HYPERLINK("https://ictv.global/taxonomy/taxondetails?taxnode_id=202316946","Bridfovirus faecicola")</f>
        <v>Bridfovirus faecicola</v>
      </c>
      <c r="S10287" s="18" t="s">
        <v>30</v>
      </c>
      <c r="T10287" s="18" t="s">
        <v>44637</v>
      </c>
      <c r="U10287" s="18"/>
      <c r="V10287" s="18" t="s">
        <v>44637</v>
      </c>
      <c r="W10287" s="18" t="s">
        <v>44638</v>
      </c>
      <c r="X10287" s="18" t="s">
        <v>35</v>
      </c>
      <c r="Y10287" s="18" t="s">
        <v>17171</v>
      </c>
      <c r="Z10287" s="18" t="s">
        <v>24637</v>
      </c>
      <c r="AA10287" s="21" t="str">
        <f>HYPERLINK("https://www.ncbi.nlm.nih.gov/nuccore/MZ679705","NCBI Nucleotide")</f>
        <v>NCBI Nucleotide</v>
      </c>
    </row>
    <row r="10288" spans="1:27" x14ac:dyDescent="0.35">
      <c r="A10288">
        <v>1025946</v>
      </c>
      <c r="B10288">
        <v>9613</v>
      </c>
      <c r="C10288">
        <v>1</v>
      </c>
      <c r="D10288" s="17" t="s">
        <v>17166</v>
      </c>
      <c r="E10288" s="17"/>
      <c r="F10288" s="17" t="s">
        <v>17246</v>
      </c>
      <c r="G10288" s="17"/>
      <c r="H10288" s="17" t="s">
        <v>20919</v>
      </c>
      <c r="I10288" s="17"/>
      <c r="J10288" s="17" t="s">
        <v>21313</v>
      </c>
      <c r="K10288" s="17"/>
      <c r="L10288" s="17" t="s">
        <v>22378</v>
      </c>
      <c r="M10288" s="17"/>
      <c r="N10288" s="17" t="s">
        <v>22459</v>
      </c>
      <c r="O10288" s="17"/>
      <c r="P10288" s="17" t="s">
        <v>44634</v>
      </c>
      <c r="Q10288" s="17"/>
      <c r="R10288" s="25" t="str">
        <f>HYPERLINK("https://ictv.global/taxonomy/taxondetails?taxnode_id=202316947","Bridfovirus faecivivens")</f>
        <v>Bridfovirus faecivivens</v>
      </c>
      <c r="S10288" s="18" t="s">
        <v>30</v>
      </c>
      <c r="T10288" s="18" t="s">
        <v>44639</v>
      </c>
      <c r="U10288" s="18"/>
      <c r="V10288" s="18" t="s">
        <v>44639</v>
      </c>
      <c r="W10288" s="18" t="s">
        <v>44640</v>
      </c>
      <c r="X10288" s="18" t="s">
        <v>35</v>
      </c>
      <c r="Y10288" s="18" t="s">
        <v>17171</v>
      </c>
      <c r="Z10288" s="18" t="s">
        <v>24637</v>
      </c>
      <c r="AA10288" s="21" t="str">
        <f>HYPERLINK("https://www.ncbi.nlm.nih.gov/nuccore/MZ679561","NCBI Nucleotide")</f>
        <v>NCBI Nucleotide</v>
      </c>
    </row>
    <row r="10289" spans="1:27" x14ac:dyDescent="0.35">
      <c r="A10289">
        <v>1025947</v>
      </c>
      <c r="B10289">
        <v>9614</v>
      </c>
      <c r="C10289">
        <v>1</v>
      </c>
      <c r="D10289" s="17" t="s">
        <v>17166</v>
      </c>
      <c r="E10289" s="17"/>
      <c r="F10289" s="17" t="s">
        <v>17246</v>
      </c>
      <c r="G10289" s="17"/>
      <c r="H10289" s="17" t="s">
        <v>20919</v>
      </c>
      <c r="I10289" s="17"/>
      <c r="J10289" s="17" t="s">
        <v>21313</v>
      </c>
      <c r="K10289" s="17"/>
      <c r="L10289" s="17" t="s">
        <v>22378</v>
      </c>
      <c r="M10289" s="17"/>
      <c r="N10289" s="17" t="s">
        <v>22459</v>
      </c>
      <c r="O10289" s="17"/>
      <c r="P10289" s="17" t="s">
        <v>44634</v>
      </c>
      <c r="Q10289" s="17"/>
      <c r="R10289" s="25" t="str">
        <f>HYPERLINK("https://ictv.global/taxonomy/taxondetails?taxnode_id=202316948","Bridfovirus fundihabitans")</f>
        <v>Bridfovirus fundihabitans</v>
      </c>
      <c r="S10289" s="18" t="s">
        <v>30</v>
      </c>
      <c r="T10289" s="18" t="s">
        <v>44641</v>
      </c>
      <c r="U10289" s="18"/>
      <c r="V10289" s="18" t="s">
        <v>44641</v>
      </c>
      <c r="W10289" s="18" t="s">
        <v>44642</v>
      </c>
      <c r="X10289" s="18" t="s">
        <v>35</v>
      </c>
      <c r="Y10289" s="18" t="s">
        <v>17171</v>
      </c>
      <c r="Z10289" s="18" t="s">
        <v>24637</v>
      </c>
      <c r="AA10289" s="21" t="str">
        <f>HYPERLINK("https://www.ncbi.nlm.nih.gov/nuccore/MZ679632","NCBI Nucleotide")</f>
        <v>NCBI Nucleotide</v>
      </c>
    </row>
    <row r="10290" spans="1:27" x14ac:dyDescent="0.35">
      <c r="A10290">
        <v>1009886</v>
      </c>
      <c r="B10290">
        <v>9615</v>
      </c>
      <c r="C10290">
        <v>1</v>
      </c>
      <c r="D10290" s="17" t="s">
        <v>17166</v>
      </c>
      <c r="E10290" s="17"/>
      <c r="F10290" s="17" t="s">
        <v>17246</v>
      </c>
      <c r="G10290" s="17"/>
      <c r="H10290" s="17" t="s">
        <v>20919</v>
      </c>
      <c r="I10290" s="17"/>
      <c r="J10290" s="17" t="s">
        <v>21313</v>
      </c>
      <c r="K10290" s="17"/>
      <c r="L10290" s="17" t="s">
        <v>22378</v>
      </c>
      <c r="M10290" s="17"/>
      <c r="N10290" s="17" t="s">
        <v>22459</v>
      </c>
      <c r="O10290" s="17"/>
      <c r="P10290" s="17" t="s">
        <v>22601</v>
      </c>
      <c r="Q10290" s="17"/>
      <c r="R10290" s="25" t="str">
        <f>HYPERLINK("https://ictv.global/taxonomy/taxondetails?taxnode_id=202311066","Brikhyavirus terrivicinum")</f>
        <v>Brikhyavirus terrivicinum</v>
      </c>
      <c r="S10290" s="18" t="s">
        <v>30</v>
      </c>
      <c r="T10290" s="18" t="s">
        <v>22602</v>
      </c>
      <c r="U10290" s="18"/>
      <c r="V10290" s="18"/>
      <c r="W10290" s="18" t="s">
        <v>22603</v>
      </c>
      <c r="X10290" s="18" t="s">
        <v>35</v>
      </c>
      <c r="Y10290" s="18" t="s">
        <v>17171</v>
      </c>
      <c r="Z10290" s="18" t="s">
        <v>697</v>
      </c>
      <c r="AA10290" s="21" t="str">
        <f>HYPERLINK("https://www.ncbi.nlm.nih.gov/nuccore/BK013992","NCBI Nucleotide")</f>
        <v>NCBI Nucleotide</v>
      </c>
    </row>
    <row r="10291" spans="1:27" x14ac:dyDescent="0.35">
      <c r="A10291">
        <v>1025948</v>
      </c>
      <c r="B10291">
        <v>9616</v>
      </c>
      <c r="C10291">
        <v>1</v>
      </c>
      <c r="D10291" s="17" t="s">
        <v>17166</v>
      </c>
      <c r="E10291" s="17"/>
      <c r="F10291" s="17" t="s">
        <v>17246</v>
      </c>
      <c r="G10291" s="17"/>
      <c r="H10291" s="17" t="s">
        <v>20919</v>
      </c>
      <c r="I10291" s="17"/>
      <c r="J10291" s="17" t="s">
        <v>21313</v>
      </c>
      <c r="K10291" s="17"/>
      <c r="L10291" s="17" t="s">
        <v>22378</v>
      </c>
      <c r="M10291" s="17"/>
      <c r="N10291" s="17" t="s">
        <v>22459</v>
      </c>
      <c r="O10291" s="17"/>
      <c r="P10291" s="17" t="s">
        <v>44643</v>
      </c>
      <c r="Q10291" s="17"/>
      <c r="R10291" s="25" t="str">
        <f>HYPERLINK("https://ictv.global/taxonomy/taxondetails?taxnode_id=202316949","Brimcuvirus nemorisenecus")</f>
        <v>Brimcuvirus nemorisenecus</v>
      </c>
      <c r="S10291" s="18" t="s">
        <v>30</v>
      </c>
      <c r="T10291" s="18" t="s">
        <v>44644</v>
      </c>
      <c r="U10291" s="18"/>
      <c r="V10291" s="18" t="s">
        <v>44644</v>
      </c>
      <c r="W10291" s="18" t="s">
        <v>44645</v>
      </c>
      <c r="X10291" s="18" t="s">
        <v>35</v>
      </c>
      <c r="Y10291" s="18" t="s">
        <v>17171</v>
      </c>
      <c r="Z10291" s="18" t="s">
        <v>24637</v>
      </c>
      <c r="AA10291" s="21" t="str">
        <f>HYPERLINK("https://www.ncbi.nlm.nih.gov/nuccore/MZ679478","NCBI Nucleotide")</f>
        <v>NCBI Nucleotide</v>
      </c>
    </row>
    <row r="10292" spans="1:27" x14ac:dyDescent="0.35">
      <c r="A10292">
        <v>1025949</v>
      </c>
      <c r="B10292">
        <v>9617</v>
      </c>
      <c r="C10292">
        <v>1</v>
      </c>
      <c r="D10292" s="17" t="s">
        <v>17166</v>
      </c>
      <c r="E10292" s="17"/>
      <c r="F10292" s="17" t="s">
        <v>17246</v>
      </c>
      <c r="G10292" s="17"/>
      <c r="H10292" s="17" t="s">
        <v>20919</v>
      </c>
      <c r="I10292" s="17"/>
      <c r="J10292" s="17" t="s">
        <v>21313</v>
      </c>
      <c r="K10292" s="17"/>
      <c r="L10292" s="17" t="s">
        <v>22378</v>
      </c>
      <c r="M10292" s="17"/>
      <c r="N10292" s="17" t="s">
        <v>22459</v>
      </c>
      <c r="O10292" s="17"/>
      <c r="P10292" s="17" t="s">
        <v>44643</v>
      </c>
      <c r="Q10292" s="17"/>
      <c r="R10292" s="25" t="str">
        <f>HYPERLINK("https://ictv.global/taxonomy/taxondetails?taxnode_id=202316950","Brimcuvirus segetihabitans")</f>
        <v>Brimcuvirus segetihabitans</v>
      </c>
      <c r="S10292" s="18" t="s">
        <v>30</v>
      </c>
      <c r="T10292" s="18" t="s">
        <v>44646</v>
      </c>
      <c r="U10292" s="18"/>
      <c r="V10292" s="18"/>
      <c r="W10292" s="18" t="s">
        <v>44647</v>
      </c>
      <c r="X10292" s="18" t="s">
        <v>35</v>
      </c>
      <c r="Y10292" s="18" t="s">
        <v>17171</v>
      </c>
      <c r="Z10292" s="18" t="s">
        <v>24637</v>
      </c>
      <c r="AA10292" s="21" t="str">
        <f>HYPERLINK("https://www.ncbi.nlm.nih.gov/nuccore/CASDWV010003741","NCBI Nucleotide")</f>
        <v>NCBI Nucleotide</v>
      </c>
    </row>
    <row r="10293" spans="1:27" x14ac:dyDescent="0.35">
      <c r="A10293">
        <v>1025950</v>
      </c>
      <c r="B10293">
        <v>9618</v>
      </c>
      <c r="C10293">
        <v>1</v>
      </c>
      <c r="D10293" s="17" t="s">
        <v>17166</v>
      </c>
      <c r="E10293" s="17"/>
      <c r="F10293" s="17" t="s">
        <v>17246</v>
      </c>
      <c r="G10293" s="17"/>
      <c r="H10293" s="17" t="s">
        <v>20919</v>
      </c>
      <c r="I10293" s="17"/>
      <c r="J10293" s="17" t="s">
        <v>21313</v>
      </c>
      <c r="K10293" s="17"/>
      <c r="L10293" s="17" t="s">
        <v>22378</v>
      </c>
      <c r="M10293" s="17"/>
      <c r="N10293" s="17" t="s">
        <v>22459</v>
      </c>
      <c r="O10293" s="17"/>
      <c r="P10293" s="17" t="s">
        <v>44648</v>
      </c>
      <c r="Q10293" s="17"/>
      <c r="R10293" s="25" t="str">
        <f>HYPERLINK("https://ictv.global/taxonomy/taxondetails?taxnode_id=202316951","Brimkuvirus radicivivens")</f>
        <v>Brimkuvirus radicivivens</v>
      </c>
      <c r="S10293" s="18" t="s">
        <v>30</v>
      </c>
      <c r="T10293" s="18" t="s">
        <v>44649</v>
      </c>
      <c r="U10293" s="18"/>
      <c r="V10293" s="18"/>
      <c r="W10293" s="18" t="s">
        <v>44650</v>
      </c>
      <c r="X10293" s="18" t="s">
        <v>35</v>
      </c>
      <c r="Y10293" s="18" t="s">
        <v>17171</v>
      </c>
      <c r="Z10293" s="18" t="s">
        <v>24637</v>
      </c>
      <c r="AA10293" s="21" t="str">
        <f>HYPERLINK("https://www.ncbi.nlm.nih.gov/nuccore/CASDWV010003492","NCBI Nucleotide")</f>
        <v>NCBI Nucleotide</v>
      </c>
    </row>
    <row r="10294" spans="1:27" x14ac:dyDescent="0.35">
      <c r="A10294">
        <v>1025951</v>
      </c>
      <c r="B10294">
        <v>9619</v>
      </c>
      <c r="C10294">
        <v>1</v>
      </c>
      <c r="D10294" s="17" t="s">
        <v>17166</v>
      </c>
      <c r="E10294" s="17"/>
      <c r="F10294" s="17" t="s">
        <v>17246</v>
      </c>
      <c r="G10294" s="17"/>
      <c r="H10294" s="17" t="s">
        <v>20919</v>
      </c>
      <c r="I10294" s="17"/>
      <c r="J10294" s="17" t="s">
        <v>21313</v>
      </c>
      <c r="K10294" s="17"/>
      <c r="L10294" s="17" t="s">
        <v>22378</v>
      </c>
      <c r="M10294" s="17"/>
      <c r="N10294" s="17" t="s">
        <v>22459</v>
      </c>
      <c r="O10294" s="17"/>
      <c r="P10294" s="17" t="s">
        <v>44651</v>
      </c>
      <c r="Q10294" s="17"/>
      <c r="R10294" s="25" t="str">
        <f>HYPERLINK("https://ictv.global/taxonomy/taxondetails?taxnode_id=202316952","Broedwivirus arvihabitans")</f>
        <v>Broedwivirus arvihabitans</v>
      </c>
      <c r="S10294" s="18" t="s">
        <v>30</v>
      </c>
      <c r="T10294" s="18" t="s">
        <v>44652</v>
      </c>
      <c r="U10294" s="18"/>
      <c r="V10294" s="18"/>
      <c r="W10294" s="18" t="s">
        <v>44653</v>
      </c>
      <c r="X10294" s="18" t="s">
        <v>35</v>
      </c>
      <c r="Y10294" s="18" t="s">
        <v>17171</v>
      </c>
      <c r="Z10294" s="18" t="s">
        <v>24637</v>
      </c>
      <c r="AA10294" s="21" t="str">
        <f>HYPERLINK("https://www.ncbi.nlm.nih.gov/nuccore/CASDWV010000822","NCBI Nucleotide")</f>
        <v>NCBI Nucleotide</v>
      </c>
    </row>
    <row r="10295" spans="1:27" x14ac:dyDescent="0.35">
      <c r="A10295">
        <v>1025952</v>
      </c>
      <c r="B10295">
        <v>9620</v>
      </c>
      <c r="C10295">
        <v>1</v>
      </c>
      <c r="D10295" s="17" t="s">
        <v>17166</v>
      </c>
      <c r="E10295" s="17"/>
      <c r="F10295" s="17" t="s">
        <v>17246</v>
      </c>
      <c r="G10295" s="17"/>
      <c r="H10295" s="17" t="s">
        <v>20919</v>
      </c>
      <c r="I10295" s="17"/>
      <c r="J10295" s="17" t="s">
        <v>21313</v>
      </c>
      <c r="K10295" s="17"/>
      <c r="L10295" s="17" t="s">
        <v>22378</v>
      </c>
      <c r="M10295" s="17"/>
      <c r="N10295" s="17" t="s">
        <v>22459</v>
      </c>
      <c r="O10295" s="17"/>
      <c r="P10295" s="17" t="s">
        <v>44651</v>
      </c>
      <c r="Q10295" s="17"/>
      <c r="R10295" s="25" t="str">
        <f>HYPERLINK("https://ictv.global/taxonomy/taxondetails?taxnode_id=202316953","Broedwivirus geoadaptatum")</f>
        <v>Broedwivirus geoadaptatum</v>
      </c>
      <c r="S10295" s="18" t="s">
        <v>30</v>
      </c>
      <c r="T10295" s="18" t="s">
        <v>44654</v>
      </c>
      <c r="U10295" s="18"/>
      <c r="V10295" s="18"/>
      <c r="W10295" s="18" t="s">
        <v>44655</v>
      </c>
      <c r="X10295" s="18" t="s">
        <v>35</v>
      </c>
      <c r="Y10295" s="18" t="s">
        <v>17171</v>
      </c>
      <c r="Z10295" s="18" t="s">
        <v>24637</v>
      </c>
      <c r="AA10295" s="21" t="str">
        <f>HYPERLINK("https://www.ncbi.nlm.nih.gov/nuccore/CASDWV010002982","NCBI Nucleotide")</f>
        <v>NCBI Nucleotide</v>
      </c>
    </row>
    <row r="10296" spans="1:27" x14ac:dyDescent="0.35">
      <c r="A10296">
        <v>1025953</v>
      </c>
      <c r="B10296">
        <v>9621</v>
      </c>
      <c r="C10296">
        <v>1</v>
      </c>
      <c r="D10296" s="17" t="s">
        <v>17166</v>
      </c>
      <c r="E10296" s="17"/>
      <c r="F10296" s="17" t="s">
        <v>17246</v>
      </c>
      <c r="G10296" s="17"/>
      <c r="H10296" s="17" t="s">
        <v>20919</v>
      </c>
      <c r="I10296" s="17"/>
      <c r="J10296" s="17" t="s">
        <v>21313</v>
      </c>
      <c r="K10296" s="17"/>
      <c r="L10296" s="17" t="s">
        <v>22378</v>
      </c>
      <c r="M10296" s="17"/>
      <c r="N10296" s="17" t="s">
        <v>22459</v>
      </c>
      <c r="O10296" s="17"/>
      <c r="P10296" s="17" t="s">
        <v>44651</v>
      </c>
      <c r="Q10296" s="17"/>
      <c r="R10296" s="25" t="str">
        <f>HYPERLINK("https://ictv.global/taxonomy/taxondetails?taxnode_id=202316954","Broedwivirus messivicinum")</f>
        <v>Broedwivirus messivicinum</v>
      </c>
      <c r="S10296" s="18" t="s">
        <v>30</v>
      </c>
      <c r="T10296" s="18" t="s">
        <v>44656</v>
      </c>
      <c r="U10296" s="18"/>
      <c r="V10296" s="18"/>
      <c r="W10296" s="18" t="s">
        <v>44657</v>
      </c>
      <c r="X10296" s="18" t="s">
        <v>35</v>
      </c>
      <c r="Y10296" s="18" t="s">
        <v>17171</v>
      </c>
      <c r="Z10296" s="18" t="s">
        <v>24637</v>
      </c>
      <c r="AA10296" s="21" t="str">
        <f>HYPERLINK("https://www.ncbi.nlm.nih.gov/nuccore/CASDWV010003345","NCBI Nucleotide")</f>
        <v>NCBI Nucleotide</v>
      </c>
    </row>
    <row r="10297" spans="1:27" x14ac:dyDescent="0.35">
      <c r="A10297">
        <v>1026032</v>
      </c>
      <c r="B10297">
        <v>9622</v>
      </c>
      <c r="C10297">
        <v>1</v>
      </c>
      <c r="D10297" s="17" t="s">
        <v>17166</v>
      </c>
      <c r="E10297" s="17"/>
      <c r="F10297" s="17" t="s">
        <v>17246</v>
      </c>
      <c r="G10297" s="17"/>
      <c r="H10297" s="17" t="s">
        <v>20919</v>
      </c>
      <c r="I10297" s="17"/>
      <c r="J10297" s="17" t="s">
        <v>21313</v>
      </c>
      <c r="K10297" s="17"/>
      <c r="L10297" s="17" t="s">
        <v>22378</v>
      </c>
      <c r="M10297" s="17"/>
      <c r="N10297" s="17" t="s">
        <v>22459</v>
      </c>
      <c r="O10297" s="17"/>
      <c r="P10297" s="17" t="s">
        <v>44658</v>
      </c>
      <c r="Q10297" s="17"/>
      <c r="R10297" s="25" t="str">
        <f>HYPERLINK("https://ictv.global/taxonomy/taxondetails?taxnode_id=202316955","Buhdprovirus faecivivens")</f>
        <v>Buhdprovirus faecivivens</v>
      </c>
      <c r="S10297" s="18" t="s">
        <v>30</v>
      </c>
      <c r="T10297" s="18" t="s">
        <v>44659</v>
      </c>
      <c r="U10297" s="18"/>
      <c r="V10297" s="18" t="s">
        <v>44659</v>
      </c>
      <c r="W10297" s="18" t="s">
        <v>44660</v>
      </c>
      <c r="X10297" s="18" t="s">
        <v>35</v>
      </c>
      <c r="Y10297" s="18" t="s">
        <v>17171</v>
      </c>
      <c r="Z10297" s="18" t="s">
        <v>24637</v>
      </c>
      <c r="AA10297" s="21" t="str">
        <f>HYPERLINK("https://www.ncbi.nlm.nih.gov/nuccore/MZ680343","NCBI Nucleotide")</f>
        <v>NCBI Nucleotide</v>
      </c>
    </row>
    <row r="10298" spans="1:27" x14ac:dyDescent="0.35">
      <c r="A10298">
        <v>1026033</v>
      </c>
      <c r="B10298">
        <v>9623</v>
      </c>
      <c r="C10298">
        <v>1</v>
      </c>
      <c r="D10298" s="17" t="s">
        <v>17166</v>
      </c>
      <c r="E10298" s="17"/>
      <c r="F10298" s="17" t="s">
        <v>17246</v>
      </c>
      <c r="G10298" s="17"/>
      <c r="H10298" s="17" t="s">
        <v>20919</v>
      </c>
      <c r="I10298" s="17"/>
      <c r="J10298" s="17" t="s">
        <v>21313</v>
      </c>
      <c r="K10298" s="17"/>
      <c r="L10298" s="17" t="s">
        <v>22378</v>
      </c>
      <c r="M10298" s="17"/>
      <c r="N10298" s="17" t="s">
        <v>22459</v>
      </c>
      <c r="O10298" s="17"/>
      <c r="P10298" s="17" t="s">
        <v>44658</v>
      </c>
      <c r="Q10298" s="17"/>
      <c r="R10298" s="25" t="str">
        <f>HYPERLINK("https://ictv.global/taxonomy/taxondetails?taxnode_id=202316956","Buhdprovirus montisadaptatum")</f>
        <v>Buhdprovirus montisadaptatum</v>
      </c>
      <c r="S10298" s="18" t="s">
        <v>30</v>
      </c>
      <c r="T10298" s="18" t="s">
        <v>44661</v>
      </c>
      <c r="U10298" s="18"/>
      <c r="V10298" s="18" t="s">
        <v>44661</v>
      </c>
      <c r="W10298" s="18" t="s">
        <v>44662</v>
      </c>
      <c r="X10298" s="18" t="s">
        <v>35</v>
      </c>
      <c r="Y10298" s="18" t="s">
        <v>17171</v>
      </c>
      <c r="Z10298" s="18" t="s">
        <v>24637</v>
      </c>
      <c r="AA10298" s="21" t="str">
        <f>HYPERLINK("https://www.ncbi.nlm.nih.gov/nuccore/MZ679630","NCBI Nucleotide")</f>
        <v>NCBI Nucleotide</v>
      </c>
    </row>
    <row r="10299" spans="1:27" x14ac:dyDescent="0.35">
      <c r="A10299">
        <v>1026035</v>
      </c>
      <c r="B10299">
        <v>9624</v>
      </c>
      <c r="C10299">
        <v>1</v>
      </c>
      <c r="D10299" s="17" t="s">
        <v>17166</v>
      </c>
      <c r="E10299" s="17"/>
      <c r="F10299" s="17" t="s">
        <v>17246</v>
      </c>
      <c r="G10299" s="17"/>
      <c r="H10299" s="17" t="s">
        <v>20919</v>
      </c>
      <c r="I10299" s="17"/>
      <c r="J10299" s="17" t="s">
        <v>21313</v>
      </c>
      <c r="K10299" s="17"/>
      <c r="L10299" s="17" t="s">
        <v>22378</v>
      </c>
      <c r="M10299" s="17"/>
      <c r="N10299" s="17" t="s">
        <v>22459</v>
      </c>
      <c r="O10299" s="17"/>
      <c r="P10299" s="17" t="s">
        <v>44663</v>
      </c>
      <c r="Q10299" s="17"/>
      <c r="R10299" s="25" t="str">
        <f>HYPERLINK("https://ictv.global/taxonomy/taxondetails?taxnode_id=202316957","Buhrmuvirus caenihabitans")</f>
        <v>Buhrmuvirus caenihabitans</v>
      </c>
      <c r="S10299" s="18" t="s">
        <v>30</v>
      </c>
      <c r="T10299" s="18" t="s">
        <v>44664</v>
      </c>
      <c r="U10299" s="18"/>
      <c r="V10299" s="18"/>
      <c r="W10299" s="18" t="s">
        <v>44665</v>
      </c>
      <c r="X10299" s="18" t="s">
        <v>35</v>
      </c>
      <c r="Y10299" s="18" t="s">
        <v>17171</v>
      </c>
      <c r="Z10299" s="18" t="s">
        <v>24637</v>
      </c>
      <c r="AA10299" s="21" t="str">
        <f>HYPERLINK("https://www.ncbi.nlm.nih.gov/nuccore/CASDWV010004882","NCBI Nucleotide")</f>
        <v>NCBI Nucleotide</v>
      </c>
    </row>
    <row r="10300" spans="1:27" x14ac:dyDescent="0.35">
      <c r="A10300">
        <v>1026038</v>
      </c>
      <c r="B10300">
        <v>9625</v>
      </c>
      <c r="C10300">
        <v>1</v>
      </c>
      <c r="D10300" s="17" t="s">
        <v>17166</v>
      </c>
      <c r="E10300" s="17"/>
      <c r="F10300" s="17" t="s">
        <v>17246</v>
      </c>
      <c r="G10300" s="17"/>
      <c r="H10300" s="17" t="s">
        <v>20919</v>
      </c>
      <c r="I10300" s="17"/>
      <c r="J10300" s="17" t="s">
        <v>21313</v>
      </c>
      <c r="K10300" s="17"/>
      <c r="L10300" s="17" t="s">
        <v>22378</v>
      </c>
      <c r="M10300" s="17"/>
      <c r="N10300" s="17" t="s">
        <v>22459</v>
      </c>
      <c r="O10300" s="17"/>
      <c r="P10300" s="17" t="s">
        <v>44666</v>
      </c>
      <c r="Q10300" s="17"/>
      <c r="R10300" s="25" t="str">
        <f>HYPERLINK("https://ictv.global/taxonomy/taxondetails?taxnode_id=202316958","Bulkovirus messihabitans")</f>
        <v>Bulkovirus messihabitans</v>
      </c>
      <c r="S10300" s="18" t="s">
        <v>30</v>
      </c>
      <c r="T10300" s="18" t="s">
        <v>44667</v>
      </c>
      <c r="U10300" s="18"/>
      <c r="V10300" s="18"/>
      <c r="W10300" s="18" t="s">
        <v>44668</v>
      </c>
      <c r="X10300" s="18" t="s">
        <v>35</v>
      </c>
      <c r="Y10300" s="18" t="s">
        <v>17171</v>
      </c>
      <c r="Z10300" s="18" t="s">
        <v>24637</v>
      </c>
      <c r="AA10300" s="21" t="str">
        <f>HYPERLINK("https://www.ncbi.nlm.nih.gov/nuccore/CASDWV010003942","NCBI Nucleotide")</f>
        <v>NCBI Nucleotide</v>
      </c>
    </row>
    <row r="10301" spans="1:27" x14ac:dyDescent="0.35">
      <c r="A10301">
        <v>1009905</v>
      </c>
      <c r="B10301">
        <v>9626</v>
      </c>
      <c r="C10301">
        <v>1</v>
      </c>
      <c r="D10301" s="17" t="s">
        <v>17166</v>
      </c>
      <c r="E10301" s="17"/>
      <c r="F10301" s="17" t="s">
        <v>17246</v>
      </c>
      <c r="G10301" s="17"/>
      <c r="H10301" s="17" t="s">
        <v>20919</v>
      </c>
      <c r="I10301" s="17"/>
      <c r="J10301" s="17" t="s">
        <v>21313</v>
      </c>
      <c r="K10301" s="17"/>
      <c r="L10301" s="17" t="s">
        <v>22378</v>
      </c>
      <c r="M10301" s="17"/>
      <c r="N10301" s="17" t="s">
        <v>22459</v>
      </c>
      <c r="O10301" s="17"/>
      <c r="P10301" s="17" t="s">
        <v>44669</v>
      </c>
      <c r="Q10301" s="17"/>
      <c r="R10301" s="25" t="str">
        <f>HYPERLINK("https://ictv.global/taxonomy/taxondetails?taxnode_id=202311094","Bushwuavirus pelovicinum")</f>
        <v>Bushwuavirus pelovicinum</v>
      </c>
      <c r="S10301" s="18" t="s">
        <v>30</v>
      </c>
      <c r="T10301" s="18" t="s">
        <v>22640</v>
      </c>
      <c r="U10301" s="18"/>
      <c r="V10301" s="18"/>
      <c r="W10301" s="18" t="s">
        <v>22641</v>
      </c>
      <c r="X10301" s="18" t="s">
        <v>35</v>
      </c>
      <c r="Y10301" s="18" t="s">
        <v>17171</v>
      </c>
      <c r="Z10301" s="18" t="s">
        <v>697</v>
      </c>
      <c r="AA10301" s="21" t="str">
        <f>HYPERLINK("https://www.ncbi.nlm.nih.gov/nuccore/BK013763","NCBI Nucleotide")</f>
        <v>NCBI Nucleotide</v>
      </c>
    </row>
    <row r="10302" spans="1:27" x14ac:dyDescent="0.35">
      <c r="A10302">
        <v>1026013</v>
      </c>
      <c r="B10302">
        <v>9627</v>
      </c>
      <c r="C10302">
        <v>1</v>
      </c>
      <c r="D10302" s="17" t="s">
        <v>17166</v>
      </c>
      <c r="E10302" s="17"/>
      <c r="F10302" s="17" t="s">
        <v>17246</v>
      </c>
      <c r="G10302" s="17"/>
      <c r="H10302" s="17" t="s">
        <v>20919</v>
      </c>
      <c r="I10302" s="17"/>
      <c r="J10302" s="17" t="s">
        <v>21313</v>
      </c>
      <c r="K10302" s="17"/>
      <c r="L10302" s="17" t="s">
        <v>22378</v>
      </c>
      <c r="M10302" s="17"/>
      <c r="N10302" s="17" t="s">
        <v>22459</v>
      </c>
      <c r="O10302" s="17"/>
      <c r="P10302" s="17" t="s">
        <v>44670</v>
      </c>
      <c r="Q10302" s="17"/>
      <c r="R10302" s="25" t="str">
        <f>HYPERLINK("https://ictv.global/taxonomy/taxondetails?taxnode_id=202316959","Butlevirus tellurihabitans")</f>
        <v>Butlevirus tellurihabitans</v>
      </c>
      <c r="S10302" s="18" t="s">
        <v>30</v>
      </c>
      <c r="T10302" s="18" t="s">
        <v>44671</v>
      </c>
      <c r="U10302" s="18"/>
      <c r="V10302" s="18"/>
      <c r="W10302" s="18" t="s">
        <v>44672</v>
      </c>
      <c r="X10302" s="18" t="s">
        <v>35</v>
      </c>
      <c r="Y10302" s="18" t="s">
        <v>17171</v>
      </c>
      <c r="Z10302" s="18" t="s">
        <v>24637</v>
      </c>
      <c r="AA10302" s="21" t="str">
        <f>HYPERLINK("https://www.ncbi.nlm.nih.gov/nuccore/CASDWV010003568","NCBI Nucleotide")</f>
        <v>NCBI Nucleotide</v>
      </c>
    </row>
    <row r="10303" spans="1:27" x14ac:dyDescent="0.35">
      <c r="A10303">
        <v>1009887</v>
      </c>
      <c r="B10303">
        <v>9628</v>
      </c>
      <c r="C10303">
        <v>1</v>
      </c>
      <c r="D10303" s="17" t="s">
        <v>17166</v>
      </c>
      <c r="E10303" s="17"/>
      <c r="F10303" s="17" t="s">
        <v>17246</v>
      </c>
      <c r="G10303" s="17"/>
      <c r="H10303" s="17" t="s">
        <v>20919</v>
      </c>
      <c r="I10303" s="17"/>
      <c r="J10303" s="17" t="s">
        <v>21313</v>
      </c>
      <c r="K10303" s="17"/>
      <c r="L10303" s="17" t="s">
        <v>22378</v>
      </c>
      <c r="M10303" s="17"/>
      <c r="N10303" s="17" t="s">
        <v>22459</v>
      </c>
      <c r="O10303" s="17"/>
      <c r="P10303" s="17" t="s">
        <v>22604</v>
      </c>
      <c r="Q10303" s="17"/>
      <c r="R10303" s="25" t="str">
        <f>HYPERLINK("https://ictv.global/taxonomy/taxondetails?taxnode_id=202311068","Cahrlavirus caenivicinum")</f>
        <v>Cahrlavirus caenivicinum</v>
      </c>
      <c r="S10303" s="18" t="s">
        <v>30</v>
      </c>
      <c r="T10303" s="18" t="s">
        <v>22605</v>
      </c>
      <c r="U10303" s="18"/>
      <c r="V10303" s="18"/>
      <c r="W10303" s="18" t="s">
        <v>22606</v>
      </c>
      <c r="X10303" s="18" t="s">
        <v>35</v>
      </c>
      <c r="Y10303" s="18" t="s">
        <v>17171</v>
      </c>
      <c r="Z10303" s="18" t="s">
        <v>697</v>
      </c>
      <c r="AA10303" s="21" t="str">
        <f>HYPERLINK("https://www.ncbi.nlm.nih.gov/nuccore/BK014102","NCBI Nucleotide")</f>
        <v>NCBI Nucleotide</v>
      </c>
    </row>
    <row r="10304" spans="1:27" x14ac:dyDescent="0.35">
      <c r="A10304">
        <v>1025988</v>
      </c>
      <c r="B10304">
        <v>9629</v>
      </c>
      <c r="C10304">
        <v>1</v>
      </c>
      <c r="D10304" s="17" t="s">
        <v>17166</v>
      </c>
      <c r="E10304" s="17"/>
      <c r="F10304" s="17" t="s">
        <v>17246</v>
      </c>
      <c r="G10304" s="17"/>
      <c r="H10304" s="17" t="s">
        <v>20919</v>
      </c>
      <c r="I10304" s="17"/>
      <c r="J10304" s="17" t="s">
        <v>21313</v>
      </c>
      <c r="K10304" s="17"/>
      <c r="L10304" s="17" t="s">
        <v>22378</v>
      </c>
      <c r="M10304" s="17"/>
      <c r="N10304" s="17" t="s">
        <v>22459</v>
      </c>
      <c r="O10304" s="17"/>
      <c r="P10304" s="17" t="s">
        <v>44673</v>
      </c>
      <c r="Q10304" s="17"/>
      <c r="R10304" s="25" t="str">
        <f>HYPERLINK("https://ictv.global/taxonomy/taxondetails?taxnode_id=202316960","Campduvirus arvivicinum")</f>
        <v>Campduvirus arvivicinum</v>
      </c>
      <c r="S10304" s="18" t="s">
        <v>30</v>
      </c>
      <c r="T10304" s="18" t="s">
        <v>44674</v>
      </c>
      <c r="U10304" s="18"/>
      <c r="V10304" s="18"/>
      <c r="W10304" s="18" t="s">
        <v>44675</v>
      </c>
      <c r="X10304" s="18" t="s">
        <v>35</v>
      </c>
      <c r="Y10304" s="18" t="s">
        <v>17171</v>
      </c>
      <c r="Z10304" s="18" t="s">
        <v>24637</v>
      </c>
      <c r="AA10304" s="21" t="str">
        <f>HYPERLINK("https://www.ncbi.nlm.nih.gov/nuccore/CASDWV010001987","NCBI Nucleotide")</f>
        <v>NCBI Nucleotide</v>
      </c>
    </row>
    <row r="10305" spans="1:27" x14ac:dyDescent="0.35">
      <c r="A10305">
        <v>1025989</v>
      </c>
      <c r="B10305">
        <v>9630</v>
      </c>
      <c r="C10305">
        <v>1</v>
      </c>
      <c r="D10305" s="17" t="s">
        <v>17166</v>
      </c>
      <c r="E10305" s="17"/>
      <c r="F10305" s="17" t="s">
        <v>17246</v>
      </c>
      <c r="G10305" s="17"/>
      <c r="H10305" s="17" t="s">
        <v>20919</v>
      </c>
      <c r="I10305" s="17"/>
      <c r="J10305" s="17" t="s">
        <v>21313</v>
      </c>
      <c r="K10305" s="17"/>
      <c r="L10305" s="17" t="s">
        <v>22378</v>
      </c>
      <c r="M10305" s="17"/>
      <c r="N10305" s="17" t="s">
        <v>22459</v>
      </c>
      <c r="O10305" s="17"/>
      <c r="P10305" s="17" t="s">
        <v>44673</v>
      </c>
      <c r="Q10305" s="17"/>
      <c r="R10305" s="25" t="str">
        <f>HYPERLINK("https://ictv.global/taxonomy/taxondetails?taxnode_id=202316961","Campduvirus geovicinum")</f>
        <v>Campduvirus geovicinum</v>
      </c>
      <c r="S10305" s="18" t="s">
        <v>30</v>
      </c>
      <c r="T10305" s="18" t="s">
        <v>44676</v>
      </c>
      <c r="U10305" s="18"/>
      <c r="V10305" s="18"/>
      <c r="W10305" s="18" t="s">
        <v>44677</v>
      </c>
      <c r="X10305" s="18" t="s">
        <v>35</v>
      </c>
      <c r="Y10305" s="18" t="s">
        <v>17171</v>
      </c>
      <c r="Z10305" s="18" t="s">
        <v>24637</v>
      </c>
      <c r="AA10305" s="21" t="str">
        <f>HYPERLINK("https://www.ncbi.nlm.nih.gov/nuccore/CASDWV010003587","NCBI Nucleotide")</f>
        <v>NCBI Nucleotide</v>
      </c>
    </row>
    <row r="10306" spans="1:27" x14ac:dyDescent="0.35">
      <c r="A10306">
        <v>1025990</v>
      </c>
      <c r="B10306">
        <v>9631</v>
      </c>
      <c r="C10306">
        <v>1</v>
      </c>
      <c r="D10306" s="17" t="s">
        <v>17166</v>
      </c>
      <c r="E10306" s="17"/>
      <c r="F10306" s="17" t="s">
        <v>17246</v>
      </c>
      <c r="G10306" s="17"/>
      <c r="H10306" s="17" t="s">
        <v>20919</v>
      </c>
      <c r="I10306" s="17"/>
      <c r="J10306" s="17" t="s">
        <v>21313</v>
      </c>
      <c r="K10306" s="17"/>
      <c r="L10306" s="17" t="s">
        <v>22378</v>
      </c>
      <c r="M10306" s="17"/>
      <c r="N10306" s="17" t="s">
        <v>22459</v>
      </c>
      <c r="O10306" s="17"/>
      <c r="P10306" s="17" t="s">
        <v>44673</v>
      </c>
      <c r="Q10306" s="17"/>
      <c r="R10306" s="25" t="str">
        <f>HYPERLINK("https://ictv.global/taxonomy/taxondetails?taxnode_id=202316962","Campduvirus humihabitans")</f>
        <v>Campduvirus humihabitans</v>
      </c>
      <c r="S10306" s="18" t="s">
        <v>30</v>
      </c>
      <c r="T10306" s="18" t="s">
        <v>44678</v>
      </c>
      <c r="U10306" s="18"/>
      <c r="V10306" s="18"/>
      <c r="W10306" s="18" t="s">
        <v>44679</v>
      </c>
      <c r="X10306" s="18" t="s">
        <v>35</v>
      </c>
      <c r="Y10306" s="18" t="s">
        <v>17171</v>
      </c>
      <c r="Z10306" s="18" t="s">
        <v>24637</v>
      </c>
      <c r="AA10306" s="21" t="str">
        <f>HYPERLINK("https://www.ncbi.nlm.nih.gov/nuccore/CASDWV010002976","NCBI Nucleotide")</f>
        <v>NCBI Nucleotide</v>
      </c>
    </row>
    <row r="10307" spans="1:27" x14ac:dyDescent="0.35">
      <c r="A10307">
        <v>1025991</v>
      </c>
      <c r="B10307">
        <v>9632</v>
      </c>
      <c r="C10307">
        <v>1</v>
      </c>
      <c r="D10307" s="17" t="s">
        <v>17166</v>
      </c>
      <c r="E10307" s="17"/>
      <c r="F10307" s="17" t="s">
        <v>17246</v>
      </c>
      <c r="G10307" s="17"/>
      <c r="H10307" s="17" t="s">
        <v>20919</v>
      </c>
      <c r="I10307" s="17"/>
      <c r="J10307" s="17" t="s">
        <v>21313</v>
      </c>
      <c r="K10307" s="17"/>
      <c r="L10307" s="17" t="s">
        <v>22378</v>
      </c>
      <c r="M10307" s="17"/>
      <c r="N10307" s="17" t="s">
        <v>22459</v>
      </c>
      <c r="O10307" s="17"/>
      <c r="P10307" s="17" t="s">
        <v>44673</v>
      </c>
      <c r="Q10307" s="17"/>
      <c r="R10307" s="25" t="str">
        <f>HYPERLINK("https://ictv.global/taxonomy/taxondetails?taxnode_id=202316963","Campduvirus limihabitans")</f>
        <v>Campduvirus limihabitans</v>
      </c>
      <c r="S10307" s="18" t="s">
        <v>30</v>
      </c>
      <c r="T10307" s="18" t="s">
        <v>44680</v>
      </c>
      <c r="U10307" s="18"/>
      <c r="V10307" s="18"/>
      <c r="W10307" s="18" t="s">
        <v>44681</v>
      </c>
      <c r="X10307" s="18" t="s">
        <v>35</v>
      </c>
      <c r="Y10307" s="18" t="s">
        <v>17171</v>
      </c>
      <c r="Z10307" s="18" t="s">
        <v>24637</v>
      </c>
      <c r="AA10307" s="21" t="str">
        <f>HYPERLINK("https://www.ncbi.nlm.nih.gov/nuccore/CASDWV010002017","NCBI Nucleotide")</f>
        <v>NCBI Nucleotide</v>
      </c>
    </row>
    <row r="10308" spans="1:27" x14ac:dyDescent="0.35">
      <c r="A10308">
        <v>1025992</v>
      </c>
      <c r="B10308">
        <v>9633</v>
      </c>
      <c r="C10308">
        <v>1</v>
      </c>
      <c r="D10308" s="17" t="s">
        <v>17166</v>
      </c>
      <c r="E10308" s="17"/>
      <c r="F10308" s="17" t="s">
        <v>17246</v>
      </c>
      <c r="G10308" s="17"/>
      <c r="H10308" s="17" t="s">
        <v>20919</v>
      </c>
      <c r="I10308" s="17"/>
      <c r="J10308" s="17" t="s">
        <v>21313</v>
      </c>
      <c r="K10308" s="17"/>
      <c r="L10308" s="17" t="s">
        <v>22378</v>
      </c>
      <c r="M10308" s="17"/>
      <c r="N10308" s="17" t="s">
        <v>22459</v>
      </c>
      <c r="O10308" s="17"/>
      <c r="P10308" s="17" t="s">
        <v>44673</v>
      </c>
      <c r="Q10308" s="17"/>
      <c r="R10308" s="25" t="str">
        <f>HYPERLINK("https://ictv.global/taxonomy/taxondetails?taxnode_id=202316964","Campduvirus limivivens")</f>
        <v>Campduvirus limivivens</v>
      </c>
      <c r="S10308" s="18" t="s">
        <v>30</v>
      </c>
      <c r="T10308" s="18" t="s">
        <v>44682</v>
      </c>
      <c r="U10308" s="18"/>
      <c r="V10308" s="18"/>
      <c r="W10308" s="18" t="s">
        <v>44683</v>
      </c>
      <c r="X10308" s="18" t="s">
        <v>35</v>
      </c>
      <c r="Y10308" s="18" t="s">
        <v>17171</v>
      </c>
      <c r="Z10308" s="18" t="s">
        <v>24637</v>
      </c>
      <c r="AA10308" s="21" t="str">
        <f>HYPERLINK("https://www.ncbi.nlm.nih.gov/nuccore/CASDWV010001986","NCBI Nucleotide")</f>
        <v>NCBI Nucleotide</v>
      </c>
    </row>
    <row r="10309" spans="1:27" x14ac:dyDescent="0.35">
      <c r="A10309">
        <v>1025993</v>
      </c>
      <c r="B10309">
        <v>9634</v>
      </c>
      <c r="C10309">
        <v>1</v>
      </c>
      <c r="D10309" s="17" t="s">
        <v>17166</v>
      </c>
      <c r="E10309" s="17"/>
      <c r="F10309" s="17" t="s">
        <v>17246</v>
      </c>
      <c r="G10309" s="17"/>
      <c r="H10309" s="17" t="s">
        <v>20919</v>
      </c>
      <c r="I10309" s="17"/>
      <c r="J10309" s="17" t="s">
        <v>21313</v>
      </c>
      <c r="K10309" s="17"/>
      <c r="L10309" s="17" t="s">
        <v>22378</v>
      </c>
      <c r="M10309" s="17"/>
      <c r="N10309" s="17" t="s">
        <v>22459</v>
      </c>
      <c r="O10309" s="17"/>
      <c r="P10309" s="17" t="s">
        <v>44673</v>
      </c>
      <c r="Q10309" s="17"/>
      <c r="R10309" s="25" t="str">
        <f>HYPERLINK("https://ictv.global/taxonomy/taxondetails?taxnode_id=202316965","Campduvirus lutenecus")</f>
        <v>Campduvirus lutenecus</v>
      </c>
      <c r="S10309" s="18" t="s">
        <v>30</v>
      </c>
      <c r="T10309" s="18" t="s">
        <v>44684</v>
      </c>
      <c r="U10309" s="18"/>
      <c r="V10309" s="18"/>
      <c r="W10309" s="18" t="s">
        <v>44685</v>
      </c>
      <c r="X10309" s="18" t="s">
        <v>35</v>
      </c>
      <c r="Y10309" s="18" t="s">
        <v>17171</v>
      </c>
      <c r="Z10309" s="18" t="s">
        <v>24637</v>
      </c>
      <c r="AA10309" s="21" t="str">
        <f>HYPERLINK("https://www.ncbi.nlm.nih.gov/nuccore/CASDWV010000181","NCBI Nucleotide")</f>
        <v>NCBI Nucleotide</v>
      </c>
    </row>
    <row r="10310" spans="1:27" x14ac:dyDescent="0.35">
      <c r="A10310">
        <v>1025994</v>
      </c>
      <c r="B10310">
        <v>9635</v>
      </c>
      <c r="C10310">
        <v>1</v>
      </c>
      <c r="D10310" s="17" t="s">
        <v>17166</v>
      </c>
      <c r="E10310" s="17"/>
      <c r="F10310" s="17" t="s">
        <v>17246</v>
      </c>
      <c r="G10310" s="17"/>
      <c r="H10310" s="17" t="s">
        <v>20919</v>
      </c>
      <c r="I10310" s="17"/>
      <c r="J10310" s="17" t="s">
        <v>21313</v>
      </c>
      <c r="K10310" s="17"/>
      <c r="L10310" s="17" t="s">
        <v>22378</v>
      </c>
      <c r="M10310" s="17"/>
      <c r="N10310" s="17" t="s">
        <v>22459</v>
      </c>
      <c r="O10310" s="17"/>
      <c r="P10310" s="17" t="s">
        <v>44673</v>
      </c>
      <c r="Q10310" s="17"/>
      <c r="R10310" s="25" t="str">
        <f>HYPERLINK("https://ictv.global/taxonomy/taxondetails?taxnode_id=202316966","Campduvirus tellurivicinum")</f>
        <v>Campduvirus tellurivicinum</v>
      </c>
      <c r="S10310" s="18" t="s">
        <v>30</v>
      </c>
      <c r="T10310" s="18" t="s">
        <v>44686</v>
      </c>
      <c r="U10310" s="18"/>
      <c r="V10310" s="18"/>
      <c r="W10310" s="18" t="s">
        <v>44687</v>
      </c>
      <c r="X10310" s="18" t="s">
        <v>35</v>
      </c>
      <c r="Y10310" s="18" t="s">
        <v>17171</v>
      </c>
      <c r="Z10310" s="18" t="s">
        <v>24637</v>
      </c>
      <c r="AA10310" s="21" t="str">
        <f>HYPERLINK("https://www.ncbi.nlm.nih.gov/nuccore/CASDWV010002773","NCBI Nucleotide")</f>
        <v>NCBI Nucleotide</v>
      </c>
    </row>
    <row r="10311" spans="1:27" x14ac:dyDescent="0.35">
      <c r="A10311">
        <v>1026000</v>
      </c>
      <c r="B10311">
        <v>9636</v>
      </c>
      <c r="C10311">
        <v>1</v>
      </c>
      <c r="D10311" s="17" t="s">
        <v>17166</v>
      </c>
      <c r="E10311" s="17"/>
      <c r="F10311" s="17" t="s">
        <v>17246</v>
      </c>
      <c r="G10311" s="17"/>
      <c r="H10311" s="17" t="s">
        <v>20919</v>
      </c>
      <c r="I10311" s="17"/>
      <c r="J10311" s="17" t="s">
        <v>21313</v>
      </c>
      <c r="K10311" s="17"/>
      <c r="L10311" s="17" t="s">
        <v>22378</v>
      </c>
      <c r="M10311" s="17"/>
      <c r="N10311" s="17" t="s">
        <v>22459</v>
      </c>
      <c r="O10311" s="17"/>
      <c r="P10311" s="17" t="s">
        <v>44688</v>
      </c>
      <c r="Q10311" s="17"/>
      <c r="R10311" s="25" t="str">
        <f>HYPERLINK("https://ictv.global/taxonomy/taxondetails?taxnode_id=202316967","Capbuvirus terrihabitans")</f>
        <v>Capbuvirus terrihabitans</v>
      </c>
      <c r="S10311" s="18" t="s">
        <v>30</v>
      </c>
      <c r="T10311" s="18" t="s">
        <v>44689</v>
      </c>
      <c r="U10311" s="18"/>
      <c r="V10311" s="18"/>
      <c r="W10311" s="18" t="s">
        <v>44690</v>
      </c>
      <c r="X10311" s="18" t="s">
        <v>35</v>
      </c>
      <c r="Y10311" s="18" t="s">
        <v>17171</v>
      </c>
      <c r="Z10311" s="18" t="s">
        <v>24637</v>
      </c>
      <c r="AA10311" s="21" t="str">
        <f>HYPERLINK("https://www.ncbi.nlm.nih.gov/nuccore/CASDWV010002539","NCBI Nucleotide")</f>
        <v>NCBI Nucleotide</v>
      </c>
    </row>
    <row r="10312" spans="1:27" x14ac:dyDescent="0.35">
      <c r="A10312">
        <v>1026066</v>
      </c>
      <c r="B10312">
        <v>9637</v>
      </c>
      <c r="C10312">
        <v>1</v>
      </c>
      <c r="D10312" s="17" t="s">
        <v>17166</v>
      </c>
      <c r="E10312" s="17"/>
      <c r="F10312" s="17" t="s">
        <v>17246</v>
      </c>
      <c r="G10312" s="17"/>
      <c r="H10312" s="17" t="s">
        <v>20919</v>
      </c>
      <c r="I10312" s="17"/>
      <c r="J10312" s="17" t="s">
        <v>21313</v>
      </c>
      <c r="K10312" s="17"/>
      <c r="L10312" s="17" t="s">
        <v>22378</v>
      </c>
      <c r="M10312" s="17"/>
      <c r="N10312" s="17" t="s">
        <v>22459</v>
      </c>
      <c r="O10312" s="17"/>
      <c r="P10312" s="17" t="s">
        <v>44691</v>
      </c>
      <c r="Q10312" s="17"/>
      <c r="R10312" s="25" t="str">
        <f>HYPERLINK("https://ictv.global/taxonomy/taxondetails?taxnode_id=202316968","Casfovirus limicola")</f>
        <v>Casfovirus limicola</v>
      </c>
      <c r="S10312" s="18" t="s">
        <v>30</v>
      </c>
      <c r="T10312" s="18" t="s">
        <v>44692</v>
      </c>
      <c r="U10312" s="18"/>
      <c r="V10312" s="18"/>
      <c r="W10312" s="18" t="s">
        <v>44693</v>
      </c>
      <c r="X10312" s="18" t="s">
        <v>35</v>
      </c>
      <c r="Y10312" s="18" t="s">
        <v>17171</v>
      </c>
      <c r="Z10312" s="18" t="s">
        <v>24637</v>
      </c>
      <c r="AA10312" s="21" t="str">
        <f>HYPERLINK("https://www.ncbi.nlm.nih.gov/nuccore/CASDWV010004123","NCBI Nucleotide")</f>
        <v>NCBI Nucleotide</v>
      </c>
    </row>
    <row r="10313" spans="1:27" x14ac:dyDescent="0.35">
      <c r="A10313">
        <v>1026067</v>
      </c>
      <c r="B10313">
        <v>9638</v>
      </c>
      <c r="C10313">
        <v>1</v>
      </c>
      <c r="D10313" s="17" t="s">
        <v>17166</v>
      </c>
      <c r="E10313" s="17"/>
      <c r="F10313" s="17" t="s">
        <v>17246</v>
      </c>
      <c r="G10313" s="17"/>
      <c r="H10313" s="17" t="s">
        <v>20919</v>
      </c>
      <c r="I10313" s="17"/>
      <c r="J10313" s="17" t="s">
        <v>21313</v>
      </c>
      <c r="K10313" s="17"/>
      <c r="L10313" s="17" t="s">
        <v>22378</v>
      </c>
      <c r="M10313" s="17"/>
      <c r="N10313" s="17" t="s">
        <v>22459</v>
      </c>
      <c r="O10313" s="17"/>
      <c r="P10313" s="17" t="s">
        <v>44691</v>
      </c>
      <c r="Q10313" s="17"/>
      <c r="R10313" s="25" t="str">
        <f>HYPERLINK("https://ictv.global/taxonomy/taxondetails?taxnode_id=202316969","Casfovirus messivivens")</f>
        <v>Casfovirus messivivens</v>
      </c>
      <c r="S10313" s="18" t="s">
        <v>30</v>
      </c>
      <c r="T10313" s="18" t="s">
        <v>44694</v>
      </c>
      <c r="U10313" s="18"/>
      <c r="V10313" s="18"/>
      <c r="W10313" s="18" t="s">
        <v>44695</v>
      </c>
      <c r="X10313" s="18" t="s">
        <v>35</v>
      </c>
      <c r="Y10313" s="18" t="s">
        <v>17171</v>
      </c>
      <c r="Z10313" s="18" t="s">
        <v>24637</v>
      </c>
      <c r="AA10313" s="21" t="str">
        <f>HYPERLINK("https://www.ncbi.nlm.nih.gov/nuccore/CASDWV010002360","NCBI Nucleotide")</f>
        <v>NCBI Nucleotide</v>
      </c>
    </row>
    <row r="10314" spans="1:27" x14ac:dyDescent="0.35">
      <c r="A10314">
        <v>1026068</v>
      </c>
      <c r="B10314">
        <v>9639</v>
      </c>
      <c r="C10314">
        <v>1</v>
      </c>
      <c r="D10314" s="17" t="s">
        <v>17166</v>
      </c>
      <c r="E10314" s="17"/>
      <c r="F10314" s="17" t="s">
        <v>17246</v>
      </c>
      <c r="G10314" s="17"/>
      <c r="H10314" s="17" t="s">
        <v>20919</v>
      </c>
      <c r="I10314" s="17"/>
      <c r="J10314" s="17" t="s">
        <v>21313</v>
      </c>
      <c r="K10314" s="17"/>
      <c r="L10314" s="17" t="s">
        <v>22378</v>
      </c>
      <c r="M10314" s="17"/>
      <c r="N10314" s="17" t="s">
        <v>22459</v>
      </c>
      <c r="O10314" s="17"/>
      <c r="P10314" s="17" t="s">
        <v>44691</v>
      </c>
      <c r="Q10314" s="17"/>
      <c r="R10314" s="25" t="str">
        <f>HYPERLINK("https://ictv.global/taxonomy/taxondetails?taxnode_id=202316970","Casfovirus pedohabitans")</f>
        <v>Casfovirus pedohabitans</v>
      </c>
      <c r="S10314" s="18" t="s">
        <v>30</v>
      </c>
      <c r="T10314" s="18" t="s">
        <v>44696</v>
      </c>
      <c r="U10314" s="18"/>
      <c r="V10314" s="18"/>
      <c r="W10314" s="18" t="s">
        <v>44697</v>
      </c>
      <c r="X10314" s="18" t="s">
        <v>35</v>
      </c>
      <c r="Y10314" s="18" t="s">
        <v>17171</v>
      </c>
      <c r="Z10314" s="18" t="s">
        <v>24637</v>
      </c>
      <c r="AA10314" s="21" t="str">
        <f>HYPERLINK("https://www.ncbi.nlm.nih.gov/nuccore/CASDWV010001148","NCBI Nucleotide")</f>
        <v>NCBI Nucleotide</v>
      </c>
    </row>
    <row r="10315" spans="1:27" x14ac:dyDescent="0.35">
      <c r="A10315">
        <v>1026069</v>
      </c>
      <c r="B10315">
        <v>9640</v>
      </c>
      <c r="C10315">
        <v>1</v>
      </c>
      <c r="D10315" s="17" t="s">
        <v>17166</v>
      </c>
      <c r="E10315" s="17"/>
      <c r="F10315" s="17" t="s">
        <v>17246</v>
      </c>
      <c r="G10315" s="17"/>
      <c r="H10315" s="17" t="s">
        <v>20919</v>
      </c>
      <c r="I10315" s="17"/>
      <c r="J10315" s="17" t="s">
        <v>21313</v>
      </c>
      <c r="K10315" s="17"/>
      <c r="L10315" s="17" t="s">
        <v>22378</v>
      </c>
      <c r="M10315" s="17"/>
      <c r="N10315" s="17" t="s">
        <v>22459</v>
      </c>
      <c r="O10315" s="17"/>
      <c r="P10315" s="17" t="s">
        <v>44691</v>
      </c>
      <c r="Q10315" s="17"/>
      <c r="R10315" s="25" t="str">
        <f>HYPERLINK("https://ictv.global/taxonomy/taxondetails?taxnode_id=202316971","Casfovirus telluradaptatum")</f>
        <v>Casfovirus telluradaptatum</v>
      </c>
      <c r="S10315" s="18" t="s">
        <v>30</v>
      </c>
      <c r="T10315" s="18" t="s">
        <v>44698</v>
      </c>
      <c r="U10315" s="18"/>
      <c r="V10315" s="18"/>
      <c r="W10315" s="18" t="s">
        <v>44699</v>
      </c>
      <c r="X10315" s="18" t="s">
        <v>35</v>
      </c>
      <c r="Y10315" s="18" t="s">
        <v>17171</v>
      </c>
      <c r="Z10315" s="18" t="s">
        <v>24637</v>
      </c>
      <c r="AA10315" s="21" t="str">
        <f>HYPERLINK("https://www.ncbi.nlm.nih.gov/nuccore/CASDWV010000081","NCBI Nucleotide")</f>
        <v>NCBI Nucleotide</v>
      </c>
    </row>
    <row r="10316" spans="1:27" x14ac:dyDescent="0.35">
      <c r="A10316">
        <v>1026107</v>
      </c>
      <c r="B10316">
        <v>9641</v>
      </c>
      <c r="C10316">
        <v>1</v>
      </c>
      <c r="D10316" s="17" t="s">
        <v>17166</v>
      </c>
      <c r="E10316" s="17"/>
      <c r="F10316" s="17" t="s">
        <v>17246</v>
      </c>
      <c r="G10316" s="17"/>
      <c r="H10316" s="17" t="s">
        <v>20919</v>
      </c>
      <c r="I10316" s="17"/>
      <c r="J10316" s="17" t="s">
        <v>21313</v>
      </c>
      <c r="K10316" s="17"/>
      <c r="L10316" s="17" t="s">
        <v>22378</v>
      </c>
      <c r="M10316" s="17"/>
      <c r="N10316" s="17" t="s">
        <v>22459</v>
      </c>
      <c r="O10316" s="17"/>
      <c r="P10316" s="17" t="s">
        <v>44700</v>
      </c>
      <c r="Q10316" s="17"/>
      <c r="R10316" s="25" t="str">
        <f>HYPERLINK("https://ictv.global/taxonomy/taxondetails?taxnode_id=202316972","Cawstavirus faecenecus")</f>
        <v>Cawstavirus faecenecus</v>
      </c>
      <c r="S10316" s="18" t="s">
        <v>30</v>
      </c>
      <c r="T10316" s="18" t="s">
        <v>44701</v>
      </c>
      <c r="U10316" s="18"/>
      <c r="V10316" s="18" t="s">
        <v>44701</v>
      </c>
      <c r="W10316" s="18" t="s">
        <v>44702</v>
      </c>
      <c r="X10316" s="18" t="s">
        <v>35</v>
      </c>
      <c r="Y10316" s="18" t="s">
        <v>17171</v>
      </c>
      <c r="Z10316" s="18" t="s">
        <v>24637</v>
      </c>
      <c r="AA10316" s="21" t="str">
        <f>HYPERLINK("https://www.ncbi.nlm.nih.gov/nuccore/ON162538","NCBI Nucleotide")</f>
        <v>NCBI Nucleotide</v>
      </c>
    </row>
    <row r="10317" spans="1:27" x14ac:dyDescent="0.35">
      <c r="A10317">
        <v>1009890</v>
      </c>
      <c r="B10317">
        <v>9642</v>
      </c>
      <c r="C10317">
        <v>1</v>
      </c>
      <c r="D10317" s="17" t="s">
        <v>17166</v>
      </c>
      <c r="E10317" s="17"/>
      <c r="F10317" s="17" t="s">
        <v>17246</v>
      </c>
      <c r="G10317" s="17"/>
      <c r="H10317" s="17" t="s">
        <v>20919</v>
      </c>
      <c r="I10317" s="17"/>
      <c r="J10317" s="17" t="s">
        <v>21313</v>
      </c>
      <c r="K10317" s="17"/>
      <c r="L10317" s="17" t="s">
        <v>22378</v>
      </c>
      <c r="M10317" s="17"/>
      <c r="N10317" s="17" t="s">
        <v>22459</v>
      </c>
      <c r="O10317" s="17"/>
      <c r="P10317" s="17" t="s">
        <v>22611</v>
      </c>
      <c r="Q10317" s="17"/>
      <c r="R10317" s="25" t="str">
        <f>HYPERLINK("https://ictv.global/taxonomy/taxondetails?taxnode_id=202311075","Cebevirus agrenecus")</f>
        <v>Cebevirus agrenecus</v>
      </c>
      <c r="S10317" s="18" t="s">
        <v>30</v>
      </c>
      <c r="T10317" s="18" t="s">
        <v>22612</v>
      </c>
      <c r="U10317" s="18"/>
      <c r="V10317" s="18"/>
      <c r="W10317" s="18" t="s">
        <v>22613</v>
      </c>
      <c r="X10317" s="18" t="s">
        <v>35</v>
      </c>
      <c r="Y10317" s="18" t="s">
        <v>17171</v>
      </c>
      <c r="Z10317" s="18" t="s">
        <v>697</v>
      </c>
      <c r="AA10317" s="21" t="str">
        <f>HYPERLINK("https://www.ncbi.nlm.nih.gov/nuccore/BK013776","NCBI Nucleotide")</f>
        <v>NCBI Nucleotide</v>
      </c>
    </row>
    <row r="10318" spans="1:27" x14ac:dyDescent="0.35">
      <c r="A10318">
        <v>1009891</v>
      </c>
      <c r="B10318">
        <v>9643</v>
      </c>
      <c r="C10318">
        <v>1</v>
      </c>
      <c r="D10318" s="17" t="s">
        <v>17166</v>
      </c>
      <c r="E10318" s="17"/>
      <c r="F10318" s="17" t="s">
        <v>17246</v>
      </c>
      <c r="G10318" s="17"/>
      <c r="H10318" s="17" t="s">
        <v>20919</v>
      </c>
      <c r="I10318" s="17"/>
      <c r="J10318" s="17" t="s">
        <v>21313</v>
      </c>
      <c r="K10318" s="17"/>
      <c r="L10318" s="17" t="s">
        <v>22378</v>
      </c>
      <c r="M10318" s="17"/>
      <c r="N10318" s="17" t="s">
        <v>22459</v>
      </c>
      <c r="O10318" s="17"/>
      <c r="P10318" s="17" t="s">
        <v>22611</v>
      </c>
      <c r="Q10318" s="17"/>
      <c r="R10318" s="25" t="str">
        <f>HYPERLINK("https://ictv.global/taxonomy/taxondetails?taxnode_id=202311074","Cebevirus halophobicum")</f>
        <v>Cebevirus halophobicum</v>
      </c>
      <c r="S10318" s="18" t="s">
        <v>30</v>
      </c>
      <c r="T10318" s="18" t="s">
        <v>22614</v>
      </c>
      <c r="U10318" s="18"/>
      <c r="V10318" s="18"/>
      <c r="W10318" s="18" t="s">
        <v>22615</v>
      </c>
      <c r="X10318" s="18" t="s">
        <v>42</v>
      </c>
      <c r="Y10318" s="18" t="s">
        <v>17171</v>
      </c>
      <c r="Z10318" s="18" t="s">
        <v>697</v>
      </c>
      <c r="AA10318" s="21" t="str">
        <f>HYPERLINK("https://www.ncbi.nlm.nih.gov/nuccore/HM066936","NCBI Nucleotide")</f>
        <v>NCBI Nucleotide</v>
      </c>
    </row>
    <row r="10319" spans="1:27" x14ac:dyDescent="0.35">
      <c r="A10319">
        <v>1026058</v>
      </c>
      <c r="B10319">
        <v>9644</v>
      </c>
      <c r="C10319">
        <v>1</v>
      </c>
      <c r="D10319" s="17" t="s">
        <v>17166</v>
      </c>
      <c r="E10319" s="17"/>
      <c r="F10319" s="17" t="s">
        <v>17246</v>
      </c>
      <c r="G10319" s="17"/>
      <c r="H10319" s="17" t="s">
        <v>20919</v>
      </c>
      <c r="I10319" s="17"/>
      <c r="J10319" s="17" t="s">
        <v>21313</v>
      </c>
      <c r="K10319" s="17"/>
      <c r="L10319" s="17" t="s">
        <v>22378</v>
      </c>
      <c r="M10319" s="17"/>
      <c r="N10319" s="17" t="s">
        <v>22459</v>
      </c>
      <c r="O10319" s="17"/>
      <c r="P10319" s="17" t="s">
        <v>44703</v>
      </c>
      <c r="Q10319" s="17"/>
      <c r="R10319" s="25" t="str">
        <f>HYPERLINK("https://ictv.global/taxonomy/taxondetails?taxnode_id=202316973","Chebevirus segetihabitans")</f>
        <v>Chebevirus segetihabitans</v>
      </c>
      <c r="S10319" s="18" t="s">
        <v>30</v>
      </c>
      <c r="T10319" s="18" t="s">
        <v>44704</v>
      </c>
      <c r="U10319" s="18"/>
      <c r="V10319" s="18"/>
      <c r="W10319" s="18" t="s">
        <v>44705</v>
      </c>
      <c r="X10319" s="18" t="s">
        <v>35</v>
      </c>
      <c r="Y10319" s="18" t="s">
        <v>17171</v>
      </c>
      <c r="Z10319" s="18" t="s">
        <v>24637</v>
      </c>
      <c r="AA10319" s="21" t="str">
        <f>HYPERLINK("https://www.ncbi.nlm.nih.gov/nuccore/CASDWV010005072","NCBI Nucleotide")</f>
        <v>NCBI Nucleotide</v>
      </c>
    </row>
    <row r="10320" spans="1:27" x14ac:dyDescent="0.35">
      <c r="A10320">
        <v>1026050</v>
      </c>
      <c r="B10320">
        <v>9645</v>
      </c>
      <c r="C10320">
        <v>1</v>
      </c>
      <c r="D10320" s="17" t="s">
        <v>17166</v>
      </c>
      <c r="E10320" s="17"/>
      <c r="F10320" s="17" t="s">
        <v>17246</v>
      </c>
      <c r="G10320" s="17"/>
      <c r="H10320" s="17" t="s">
        <v>20919</v>
      </c>
      <c r="I10320" s="17"/>
      <c r="J10320" s="17" t="s">
        <v>21313</v>
      </c>
      <c r="K10320" s="17"/>
      <c r="L10320" s="17" t="s">
        <v>22378</v>
      </c>
      <c r="M10320" s="17"/>
      <c r="N10320" s="17" t="s">
        <v>22459</v>
      </c>
      <c r="O10320" s="17"/>
      <c r="P10320" s="17" t="s">
        <v>44706</v>
      </c>
      <c r="Q10320" s="17"/>
      <c r="R10320" s="25" t="str">
        <f>HYPERLINK("https://ictv.global/taxonomy/taxondetails?taxnode_id=202316974","Chiruvirus caenicola")</f>
        <v>Chiruvirus caenicola</v>
      </c>
      <c r="S10320" s="18" t="s">
        <v>30</v>
      </c>
      <c r="T10320" s="18" t="s">
        <v>44707</v>
      </c>
      <c r="U10320" s="18"/>
      <c r="V10320" s="18"/>
      <c r="W10320" s="18" t="s">
        <v>44708</v>
      </c>
      <c r="X10320" s="18" t="s">
        <v>35</v>
      </c>
      <c r="Y10320" s="18" t="s">
        <v>17171</v>
      </c>
      <c r="Z10320" s="18" t="s">
        <v>24637</v>
      </c>
      <c r="AA10320" s="21" t="str">
        <f>HYPERLINK("https://www.ncbi.nlm.nih.gov/nuccore/CASDWV010002533","NCBI Nucleotide")</f>
        <v>NCBI Nucleotide</v>
      </c>
    </row>
    <row r="10321" spans="1:27" x14ac:dyDescent="0.35">
      <c r="A10321">
        <v>1026051</v>
      </c>
      <c r="B10321">
        <v>9646</v>
      </c>
      <c r="C10321">
        <v>1</v>
      </c>
      <c r="D10321" s="17" t="s">
        <v>17166</v>
      </c>
      <c r="E10321" s="17"/>
      <c r="F10321" s="17" t="s">
        <v>17246</v>
      </c>
      <c r="G10321" s="17"/>
      <c r="H10321" s="17" t="s">
        <v>20919</v>
      </c>
      <c r="I10321" s="17"/>
      <c r="J10321" s="17" t="s">
        <v>21313</v>
      </c>
      <c r="K10321" s="17"/>
      <c r="L10321" s="17" t="s">
        <v>22378</v>
      </c>
      <c r="M10321" s="17"/>
      <c r="N10321" s="17" t="s">
        <v>22459</v>
      </c>
      <c r="O10321" s="17"/>
      <c r="P10321" s="17" t="s">
        <v>44706</v>
      </c>
      <c r="Q10321" s="17"/>
      <c r="R10321" s="25" t="str">
        <f>HYPERLINK("https://ictv.global/taxonomy/taxondetails?taxnode_id=202316975","Chiruvirus edaphovicinum")</f>
        <v>Chiruvirus edaphovicinum</v>
      </c>
      <c r="S10321" s="18" t="s">
        <v>30</v>
      </c>
      <c r="T10321" s="18" t="s">
        <v>44709</v>
      </c>
      <c r="U10321" s="18"/>
      <c r="V10321" s="18"/>
      <c r="W10321" s="18" t="s">
        <v>44710</v>
      </c>
      <c r="X10321" s="18" t="s">
        <v>35</v>
      </c>
      <c r="Y10321" s="18" t="s">
        <v>17171</v>
      </c>
      <c r="Z10321" s="18" t="s">
        <v>24637</v>
      </c>
      <c r="AA10321" s="21" t="str">
        <f>HYPERLINK("https://www.ncbi.nlm.nih.gov/nuccore/CASDWV010002426","NCBI Nucleotide")</f>
        <v>NCBI Nucleotide</v>
      </c>
    </row>
    <row r="10322" spans="1:27" x14ac:dyDescent="0.35">
      <c r="A10322">
        <v>1026052</v>
      </c>
      <c r="B10322">
        <v>9647</v>
      </c>
      <c r="C10322">
        <v>1</v>
      </c>
      <c r="D10322" s="17" t="s">
        <v>17166</v>
      </c>
      <c r="E10322" s="17"/>
      <c r="F10322" s="17" t="s">
        <v>17246</v>
      </c>
      <c r="G10322" s="17"/>
      <c r="H10322" s="17" t="s">
        <v>20919</v>
      </c>
      <c r="I10322" s="17"/>
      <c r="J10322" s="17" t="s">
        <v>21313</v>
      </c>
      <c r="K10322" s="17"/>
      <c r="L10322" s="17" t="s">
        <v>22378</v>
      </c>
      <c r="M10322" s="17"/>
      <c r="N10322" s="17" t="s">
        <v>22459</v>
      </c>
      <c r="O10322" s="17"/>
      <c r="P10322" s="17" t="s">
        <v>44706</v>
      </c>
      <c r="Q10322" s="17"/>
      <c r="R10322" s="25" t="str">
        <f>HYPERLINK("https://ictv.global/taxonomy/taxondetails?taxnode_id=202316976","Chiruvirus limicola")</f>
        <v>Chiruvirus limicola</v>
      </c>
      <c r="S10322" s="18" t="s">
        <v>30</v>
      </c>
      <c r="T10322" s="18" t="s">
        <v>44711</v>
      </c>
      <c r="U10322" s="18"/>
      <c r="V10322" s="18"/>
      <c r="W10322" s="18" t="s">
        <v>44712</v>
      </c>
      <c r="X10322" s="18" t="s">
        <v>35</v>
      </c>
      <c r="Y10322" s="18" t="s">
        <v>17171</v>
      </c>
      <c r="Z10322" s="18" t="s">
        <v>24637</v>
      </c>
      <c r="AA10322" s="21" t="str">
        <f>HYPERLINK("https://www.ncbi.nlm.nih.gov/nuccore/CASDWV010002245","NCBI Nucleotide")</f>
        <v>NCBI Nucleotide</v>
      </c>
    </row>
    <row r="10323" spans="1:27" x14ac:dyDescent="0.35">
      <c r="A10323">
        <v>1026053</v>
      </c>
      <c r="B10323">
        <v>9648</v>
      </c>
      <c r="C10323">
        <v>1</v>
      </c>
      <c r="D10323" s="17" t="s">
        <v>17166</v>
      </c>
      <c r="E10323" s="17"/>
      <c r="F10323" s="17" t="s">
        <v>17246</v>
      </c>
      <c r="G10323" s="17"/>
      <c r="H10323" s="17" t="s">
        <v>20919</v>
      </c>
      <c r="I10323" s="17"/>
      <c r="J10323" s="17" t="s">
        <v>21313</v>
      </c>
      <c r="K10323" s="17"/>
      <c r="L10323" s="17" t="s">
        <v>22378</v>
      </c>
      <c r="M10323" s="17"/>
      <c r="N10323" s="17" t="s">
        <v>22459</v>
      </c>
      <c r="O10323" s="17"/>
      <c r="P10323" s="17" t="s">
        <v>44706</v>
      </c>
      <c r="Q10323" s="17"/>
      <c r="R10323" s="25" t="str">
        <f>HYPERLINK("https://ictv.global/taxonomy/taxondetails?taxnode_id=202316977","Chiruvirus lutenecus")</f>
        <v>Chiruvirus lutenecus</v>
      </c>
      <c r="S10323" s="18" t="s">
        <v>30</v>
      </c>
      <c r="T10323" s="18" t="s">
        <v>44713</v>
      </c>
      <c r="U10323" s="18"/>
      <c r="V10323" s="18"/>
      <c r="W10323" s="18" t="s">
        <v>44714</v>
      </c>
      <c r="X10323" s="18" t="s">
        <v>35</v>
      </c>
      <c r="Y10323" s="18" t="s">
        <v>17171</v>
      </c>
      <c r="Z10323" s="18" t="s">
        <v>24637</v>
      </c>
      <c r="AA10323" s="21" t="str">
        <f>HYPERLINK("https://www.ncbi.nlm.nih.gov/nuccore/CASDWV010000660","NCBI Nucleotide")</f>
        <v>NCBI Nucleotide</v>
      </c>
    </row>
    <row r="10324" spans="1:27" x14ac:dyDescent="0.35">
      <c r="A10324">
        <v>1026054</v>
      </c>
      <c r="B10324">
        <v>9649</v>
      </c>
      <c r="C10324">
        <v>1</v>
      </c>
      <c r="D10324" s="17" t="s">
        <v>17166</v>
      </c>
      <c r="E10324" s="17"/>
      <c r="F10324" s="17" t="s">
        <v>17246</v>
      </c>
      <c r="G10324" s="17"/>
      <c r="H10324" s="17" t="s">
        <v>20919</v>
      </c>
      <c r="I10324" s="17"/>
      <c r="J10324" s="17" t="s">
        <v>21313</v>
      </c>
      <c r="K10324" s="17"/>
      <c r="L10324" s="17" t="s">
        <v>22378</v>
      </c>
      <c r="M10324" s="17"/>
      <c r="N10324" s="17" t="s">
        <v>22459</v>
      </c>
      <c r="O10324" s="17"/>
      <c r="P10324" s="17" t="s">
        <v>44706</v>
      </c>
      <c r="Q10324" s="17"/>
      <c r="R10324" s="25" t="str">
        <f>HYPERLINK("https://ictv.global/taxonomy/taxondetails?taxnode_id=202316978","Chiruvirus pedenecus")</f>
        <v>Chiruvirus pedenecus</v>
      </c>
      <c r="S10324" s="18" t="s">
        <v>30</v>
      </c>
      <c r="T10324" s="18" t="s">
        <v>44715</v>
      </c>
      <c r="U10324" s="18"/>
      <c r="V10324" s="18"/>
      <c r="W10324" s="18" t="s">
        <v>44716</v>
      </c>
      <c r="X10324" s="18" t="s">
        <v>35</v>
      </c>
      <c r="Y10324" s="18" t="s">
        <v>17171</v>
      </c>
      <c r="Z10324" s="18" t="s">
        <v>24637</v>
      </c>
      <c r="AA10324" s="21" t="str">
        <f>HYPERLINK("https://www.ncbi.nlm.nih.gov/nuccore/CASDWV010001624","NCBI Nucleotide")</f>
        <v>NCBI Nucleotide</v>
      </c>
    </row>
    <row r="10325" spans="1:27" x14ac:dyDescent="0.35">
      <c r="A10325">
        <v>1026055</v>
      </c>
      <c r="B10325">
        <v>9650</v>
      </c>
      <c r="C10325">
        <v>1</v>
      </c>
      <c r="D10325" s="17" t="s">
        <v>17166</v>
      </c>
      <c r="E10325" s="17"/>
      <c r="F10325" s="17" t="s">
        <v>17246</v>
      </c>
      <c r="G10325" s="17"/>
      <c r="H10325" s="17" t="s">
        <v>20919</v>
      </c>
      <c r="I10325" s="17"/>
      <c r="J10325" s="17" t="s">
        <v>21313</v>
      </c>
      <c r="K10325" s="17"/>
      <c r="L10325" s="17" t="s">
        <v>22378</v>
      </c>
      <c r="M10325" s="17"/>
      <c r="N10325" s="17" t="s">
        <v>22459</v>
      </c>
      <c r="O10325" s="17"/>
      <c r="P10325" s="17" t="s">
        <v>44706</v>
      </c>
      <c r="Q10325" s="17"/>
      <c r="R10325" s="25" t="str">
        <f>HYPERLINK("https://ictv.global/taxonomy/taxondetails?taxnode_id=202316979","Chiruvirus pelohabitans")</f>
        <v>Chiruvirus pelohabitans</v>
      </c>
      <c r="S10325" s="18" t="s">
        <v>30</v>
      </c>
      <c r="T10325" s="18" t="s">
        <v>44717</v>
      </c>
      <c r="U10325" s="18"/>
      <c r="V10325" s="18"/>
      <c r="W10325" s="18" t="s">
        <v>44718</v>
      </c>
      <c r="X10325" s="18" t="s">
        <v>35</v>
      </c>
      <c r="Y10325" s="18" t="s">
        <v>17171</v>
      </c>
      <c r="Z10325" s="18" t="s">
        <v>24637</v>
      </c>
      <c r="AA10325" s="21" t="str">
        <f>HYPERLINK("https://www.ncbi.nlm.nih.gov/nuccore/CASDWV010000598","NCBI Nucleotide")</f>
        <v>NCBI Nucleotide</v>
      </c>
    </row>
    <row r="10326" spans="1:27" x14ac:dyDescent="0.35">
      <c r="A10326">
        <v>1026056</v>
      </c>
      <c r="B10326">
        <v>9651</v>
      </c>
      <c r="C10326">
        <v>1</v>
      </c>
      <c r="D10326" s="17" t="s">
        <v>17166</v>
      </c>
      <c r="E10326" s="17"/>
      <c r="F10326" s="17" t="s">
        <v>17246</v>
      </c>
      <c r="G10326" s="17"/>
      <c r="H10326" s="17" t="s">
        <v>20919</v>
      </c>
      <c r="I10326" s="17"/>
      <c r="J10326" s="17" t="s">
        <v>21313</v>
      </c>
      <c r="K10326" s="17"/>
      <c r="L10326" s="17" t="s">
        <v>22378</v>
      </c>
      <c r="M10326" s="17"/>
      <c r="N10326" s="17" t="s">
        <v>22459</v>
      </c>
      <c r="O10326" s="17"/>
      <c r="P10326" s="17" t="s">
        <v>44719</v>
      </c>
      <c r="Q10326" s="17"/>
      <c r="R10326" s="25" t="str">
        <f>HYPERLINK("https://ictv.global/taxonomy/taxondetails?taxnode_id=202316980","Chitwivirus messenecus")</f>
        <v>Chitwivirus messenecus</v>
      </c>
      <c r="S10326" s="18" t="s">
        <v>30</v>
      </c>
      <c r="T10326" s="18" t="s">
        <v>44720</v>
      </c>
      <c r="U10326" s="18"/>
      <c r="V10326" s="18"/>
      <c r="W10326" s="18" t="s">
        <v>44721</v>
      </c>
      <c r="X10326" s="18" t="s">
        <v>35</v>
      </c>
      <c r="Y10326" s="18" t="s">
        <v>17171</v>
      </c>
      <c r="Z10326" s="18" t="s">
        <v>24637</v>
      </c>
      <c r="AA10326" s="21" t="str">
        <f>HYPERLINK("https://www.ncbi.nlm.nih.gov/nuccore/CASDWV010000301","NCBI Nucleotide")</f>
        <v>NCBI Nucleotide</v>
      </c>
    </row>
    <row r="10327" spans="1:27" x14ac:dyDescent="0.35">
      <c r="A10327">
        <v>1010117</v>
      </c>
      <c r="B10327">
        <v>9652</v>
      </c>
      <c r="C10327">
        <v>1</v>
      </c>
      <c r="D10327" s="17" t="s">
        <v>17166</v>
      </c>
      <c r="E10327" s="17"/>
      <c r="F10327" s="17" t="s">
        <v>17246</v>
      </c>
      <c r="G10327" s="17"/>
      <c r="H10327" s="17" t="s">
        <v>20919</v>
      </c>
      <c r="I10327" s="17"/>
      <c r="J10327" s="17" t="s">
        <v>21313</v>
      </c>
      <c r="K10327" s="17"/>
      <c r="L10327" s="17" t="s">
        <v>22378</v>
      </c>
      <c r="M10327" s="17"/>
      <c r="N10327" s="17" t="s">
        <v>22459</v>
      </c>
      <c r="O10327" s="17"/>
      <c r="P10327" s="17" t="s">
        <v>44722</v>
      </c>
      <c r="Q10327" s="17"/>
      <c r="R10327" s="25" t="str">
        <f>HYPERLINK("https://ictv.global/taxonomy/taxondetails?taxnode_id=202311360","Churkhuvirus limenecus")</f>
        <v>Churkhuvirus limenecus</v>
      </c>
      <c r="S10327" s="18" t="s">
        <v>30</v>
      </c>
      <c r="T10327" s="18" t="s">
        <v>23088</v>
      </c>
      <c r="U10327" s="18"/>
      <c r="V10327" s="18"/>
      <c r="W10327" s="18" t="s">
        <v>23089</v>
      </c>
      <c r="X10327" s="18" t="s">
        <v>35</v>
      </c>
      <c r="Y10327" s="18" t="s">
        <v>17171</v>
      </c>
      <c r="Z10327" s="18" t="s">
        <v>697</v>
      </c>
      <c r="AA10327" s="21" t="str">
        <f>HYPERLINK("https://www.ncbi.nlm.nih.gov/nuccore/BK014133","NCBI Nucleotide")</f>
        <v>NCBI Nucleotide</v>
      </c>
    </row>
    <row r="10328" spans="1:27" x14ac:dyDescent="0.35">
      <c r="A10328">
        <v>1026094</v>
      </c>
      <c r="B10328">
        <v>9653</v>
      </c>
      <c r="C10328">
        <v>1</v>
      </c>
      <c r="D10328" s="17" t="s">
        <v>17166</v>
      </c>
      <c r="E10328" s="17"/>
      <c r="F10328" s="17" t="s">
        <v>17246</v>
      </c>
      <c r="G10328" s="17"/>
      <c r="H10328" s="17" t="s">
        <v>20919</v>
      </c>
      <c r="I10328" s="17"/>
      <c r="J10328" s="17" t="s">
        <v>21313</v>
      </c>
      <c r="K10328" s="17"/>
      <c r="L10328" s="17" t="s">
        <v>22378</v>
      </c>
      <c r="M10328" s="17"/>
      <c r="N10328" s="17" t="s">
        <v>22459</v>
      </c>
      <c r="O10328" s="17"/>
      <c r="P10328" s="17" t="s">
        <v>44723</v>
      </c>
      <c r="Q10328" s="17"/>
      <c r="R10328" s="25" t="str">
        <f>HYPERLINK("https://ictv.global/taxonomy/taxondetails?taxnode_id=202316981","Clavevirus geocola")</f>
        <v>Clavevirus geocola</v>
      </c>
      <c r="S10328" s="18" t="s">
        <v>30</v>
      </c>
      <c r="T10328" s="18" t="s">
        <v>44724</v>
      </c>
      <c r="U10328" s="18"/>
      <c r="V10328" s="18"/>
      <c r="W10328" s="18" t="s">
        <v>44725</v>
      </c>
      <c r="X10328" s="18" t="s">
        <v>35</v>
      </c>
      <c r="Y10328" s="18" t="s">
        <v>17171</v>
      </c>
      <c r="Z10328" s="18" t="s">
        <v>24637</v>
      </c>
      <c r="AA10328" s="21" t="str">
        <f>HYPERLINK("https://www.ncbi.nlm.nih.gov/nuccore/CASDWV010001554","NCBI Nucleotide")</f>
        <v>NCBI Nucleotide</v>
      </c>
    </row>
    <row r="10329" spans="1:27" x14ac:dyDescent="0.35">
      <c r="A10329">
        <v>1026095</v>
      </c>
      <c r="B10329">
        <v>9654</v>
      </c>
      <c r="C10329">
        <v>1</v>
      </c>
      <c r="D10329" s="17" t="s">
        <v>17166</v>
      </c>
      <c r="E10329" s="17"/>
      <c r="F10329" s="17" t="s">
        <v>17246</v>
      </c>
      <c r="G10329" s="17"/>
      <c r="H10329" s="17" t="s">
        <v>20919</v>
      </c>
      <c r="I10329" s="17"/>
      <c r="J10329" s="17" t="s">
        <v>21313</v>
      </c>
      <c r="K10329" s="17"/>
      <c r="L10329" s="17" t="s">
        <v>22378</v>
      </c>
      <c r="M10329" s="17"/>
      <c r="N10329" s="17" t="s">
        <v>22459</v>
      </c>
      <c r="O10329" s="17"/>
      <c r="P10329" s="17" t="s">
        <v>44723</v>
      </c>
      <c r="Q10329" s="17"/>
      <c r="R10329" s="25" t="str">
        <f>HYPERLINK("https://ictv.global/taxonomy/taxondetails?taxnode_id=202316982","Clavevirus humicola")</f>
        <v>Clavevirus humicola</v>
      </c>
      <c r="S10329" s="18" t="s">
        <v>30</v>
      </c>
      <c r="T10329" s="18" t="s">
        <v>44726</v>
      </c>
      <c r="U10329" s="18"/>
      <c r="V10329" s="18"/>
      <c r="W10329" s="18" t="s">
        <v>44727</v>
      </c>
      <c r="X10329" s="18" t="s">
        <v>35</v>
      </c>
      <c r="Y10329" s="18" t="s">
        <v>17171</v>
      </c>
      <c r="Z10329" s="18" t="s">
        <v>24637</v>
      </c>
      <c r="AA10329" s="21" t="str">
        <f>HYPERLINK("https://www.ncbi.nlm.nih.gov/nuccore/CASDWV010002439","NCBI Nucleotide")</f>
        <v>NCBI Nucleotide</v>
      </c>
    </row>
    <row r="10330" spans="1:27" x14ac:dyDescent="0.35">
      <c r="A10330">
        <v>1026096</v>
      </c>
      <c r="B10330">
        <v>9655</v>
      </c>
      <c r="C10330">
        <v>1</v>
      </c>
      <c r="D10330" s="17" t="s">
        <v>17166</v>
      </c>
      <c r="E10330" s="17"/>
      <c r="F10330" s="17" t="s">
        <v>17246</v>
      </c>
      <c r="G10330" s="17"/>
      <c r="H10330" s="17" t="s">
        <v>20919</v>
      </c>
      <c r="I10330" s="17"/>
      <c r="J10330" s="17" t="s">
        <v>21313</v>
      </c>
      <c r="K10330" s="17"/>
      <c r="L10330" s="17" t="s">
        <v>22378</v>
      </c>
      <c r="M10330" s="17"/>
      <c r="N10330" s="17" t="s">
        <v>22459</v>
      </c>
      <c r="O10330" s="17"/>
      <c r="P10330" s="17" t="s">
        <v>44723</v>
      </c>
      <c r="Q10330" s="17"/>
      <c r="R10330" s="25" t="str">
        <f>HYPERLINK("https://ictv.global/taxonomy/taxondetails?taxnode_id=202316983","Clavevirus humivicinum")</f>
        <v>Clavevirus humivicinum</v>
      </c>
      <c r="S10330" s="18" t="s">
        <v>30</v>
      </c>
      <c r="T10330" s="18" t="s">
        <v>44728</v>
      </c>
      <c r="U10330" s="18"/>
      <c r="V10330" s="18"/>
      <c r="W10330" s="18" t="s">
        <v>44729</v>
      </c>
      <c r="X10330" s="18" t="s">
        <v>35</v>
      </c>
      <c r="Y10330" s="18" t="s">
        <v>17171</v>
      </c>
      <c r="Z10330" s="18" t="s">
        <v>24637</v>
      </c>
      <c r="AA10330" s="21" t="str">
        <f>HYPERLINK("https://www.ncbi.nlm.nih.gov/nuccore/CASDWV010002010","NCBI Nucleotide")</f>
        <v>NCBI Nucleotide</v>
      </c>
    </row>
    <row r="10331" spans="1:27" x14ac:dyDescent="0.35">
      <c r="A10331">
        <v>1026097</v>
      </c>
      <c r="B10331">
        <v>9656</v>
      </c>
      <c r="C10331">
        <v>1</v>
      </c>
      <c r="D10331" s="17" t="s">
        <v>17166</v>
      </c>
      <c r="E10331" s="17"/>
      <c r="F10331" s="17" t="s">
        <v>17246</v>
      </c>
      <c r="G10331" s="17"/>
      <c r="H10331" s="17" t="s">
        <v>20919</v>
      </c>
      <c r="I10331" s="17"/>
      <c r="J10331" s="17" t="s">
        <v>21313</v>
      </c>
      <c r="K10331" s="17"/>
      <c r="L10331" s="17" t="s">
        <v>22378</v>
      </c>
      <c r="M10331" s="17"/>
      <c r="N10331" s="17" t="s">
        <v>22459</v>
      </c>
      <c r="O10331" s="17"/>
      <c r="P10331" s="17" t="s">
        <v>44723</v>
      </c>
      <c r="Q10331" s="17"/>
      <c r="R10331" s="25" t="str">
        <f>HYPERLINK("https://ictv.global/taxonomy/taxondetails?taxnode_id=202316984","Clavevirus limivicinum")</f>
        <v>Clavevirus limivicinum</v>
      </c>
      <c r="S10331" s="18" t="s">
        <v>30</v>
      </c>
      <c r="T10331" s="18" t="s">
        <v>44730</v>
      </c>
      <c r="U10331" s="18"/>
      <c r="V10331" s="18"/>
      <c r="W10331" s="18" t="s">
        <v>44731</v>
      </c>
      <c r="X10331" s="18" t="s">
        <v>35</v>
      </c>
      <c r="Y10331" s="18" t="s">
        <v>17171</v>
      </c>
      <c r="Z10331" s="18" t="s">
        <v>24637</v>
      </c>
      <c r="AA10331" s="21" t="str">
        <f>HYPERLINK("https://www.ncbi.nlm.nih.gov/nuccore/CASDWV010000269","NCBI Nucleotide")</f>
        <v>NCBI Nucleotide</v>
      </c>
    </row>
    <row r="10332" spans="1:27" x14ac:dyDescent="0.35">
      <c r="A10332">
        <v>1026098</v>
      </c>
      <c r="B10332">
        <v>9657</v>
      </c>
      <c r="C10332">
        <v>1</v>
      </c>
      <c r="D10332" s="17" t="s">
        <v>17166</v>
      </c>
      <c r="E10332" s="17"/>
      <c r="F10332" s="17" t="s">
        <v>17246</v>
      </c>
      <c r="G10332" s="17"/>
      <c r="H10332" s="17" t="s">
        <v>20919</v>
      </c>
      <c r="I10332" s="17"/>
      <c r="J10332" s="17" t="s">
        <v>21313</v>
      </c>
      <c r="K10332" s="17"/>
      <c r="L10332" s="17" t="s">
        <v>22378</v>
      </c>
      <c r="M10332" s="17"/>
      <c r="N10332" s="17" t="s">
        <v>22459</v>
      </c>
      <c r="O10332" s="17"/>
      <c r="P10332" s="17" t="s">
        <v>44723</v>
      </c>
      <c r="Q10332" s="17"/>
      <c r="R10332" s="25" t="str">
        <f>HYPERLINK("https://ictv.global/taxonomy/taxondetails?taxnode_id=202316985","Clavevirus pedovivens")</f>
        <v>Clavevirus pedovivens</v>
      </c>
      <c r="S10332" s="18" t="s">
        <v>30</v>
      </c>
      <c r="T10332" s="18" t="s">
        <v>44732</v>
      </c>
      <c r="U10332" s="18"/>
      <c r="V10332" s="18"/>
      <c r="W10332" s="18" t="s">
        <v>44733</v>
      </c>
      <c r="X10332" s="18" t="s">
        <v>35</v>
      </c>
      <c r="Y10332" s="18" t="s">
        <v>17171</v>
      </c>
      <c r="Z10332" s="18" t="s">
        <v>24637</v>
      </c>
      <c r="AA10332" s="21" t="str">
        <f>HYPERLINK("https://www.ncbi.nlm.nih.gov/nuccore/CASDWV010002288","NCBI Nucleotide")</f>
        <v>NCBI Nucleotide</v>
      </c>
    </row>
    <row r="10333" spans="1:27" x14ac:dyDescent="0.35">
      <c r="A10333">
        <v>1026099</v>
      </c>
      <c r="B10333">
        <v>9658</v>
      </c>
      <c r="C10333">
        <v>1</v>
      </c>
      <c r="D10333" s="17" t="s">
        <v>17166</v>
      </c>
      <c r="E10333" s="17"/>
      <c r="F10333" s="17" t="s">
        <v>17246</v>
      </c>
      <c r="G10333" s="17"/>
      <c r="H10333" s="17" t="s">
        <v>20919</v>
      </c>
      <c r="I10333" s="17"/>
      <c r="J10333" s="17" t="s">
        <v>21313</v>
      </c>
      <c r="K10333" s="17"/>
      <c r="L10333" s="17" t="s">
        <v>22378</v>
      </c>
      <c r="M10333" s="17"/>
      <c r="N10333" s="17" t="s">
        <v>22459</v>
      </c>
      <c r="O10333" s="17"/>
      <c r="P10333" s="17" t="s">
        <v>44723</v>
      </c>
      <c r="Q10333" s="17"/>
      <c r="R10333" s="25" t="str">
        <f>HYPERLINK("https://ictv.global/taxonomy/taxondetails?taxnode_id=202316986","Clavevirus radicivivens")</f>
        <v>Clavevirus radicivivens</v>
      </c>
      <c r="S10333" s="18" t="s">
        <v>30</v>
      </c>
      <c r="T10333" s="18" t="s">
        <v>44734</v>
      </c>
      <c r="U10333" s="18"/>
      <c r="V10333" s="18"/>
      <c r="W10333" s="18" t="s">
        <v>44735</v>
      </c>
      <c r="X10333" s="18" t="s">
        <v>35</v>
      </c>
      <c r="Y10333" s="18" t="s">
        <v>17171</v>
      </c>
      <c r="Z10333" s="18" t="s">
        <v>24637</v>
      </c>
      <c r="AA10333" s="21" t="str">
        <f>HYPERLINK("https://www.ncbi.nlm.nih.gov/nuccore/CASDWV010002352","NCBI Nucleotide")</f>
        <v>NCBI Nucleotide</v>
      </c>
    </row>
    <row r="10334" spans="1:27" x14ac:dyDescent="0.35">
      <c r="A10334">
        <v>1026100</v>
      </c>
      <c r="B10334">
        <v>9659</v>
      </c>
      <c r="C10334">
        <v>1</v>
      </c>
      <c r="D10334" s="17" t="s">
        <v>17166</v>
      </c>
      <c r="E10334" s="17"/>
      <c r="F10334" s="17" t="s">
        <v>17246</v>
      </c>
      <c r="G10334" s="17"/>
      <c r="H10334" s="17" t="s">
        <v>20919</v>
      </c>
      <c r="I10334" s="17"/>
      <c r="J10334" s="17" t="s">
        <v>21313</v>
      </c>
      <c r="K10334" s="17"/>
      <c r="L10334" s="17" t="s">
        <v>22378</v>
      </c>
      <c r="M10334" s="17"/>
      <c r="N10334" s="17" t="s">
        <v>22459</v>
      </c>
      <c r="O10334" s="17"/>
      <c r="P10334" s="17" t="s">
        <v>44723</v>
      </c>
      <c r="Q10334" s="17"/>
      <c r="R10334" s="25" t="str">
        <f>HYPERLINK("https://ictv.global/taxonomy/taxondetails?taxnode_id=202316987","Clavevirus segeticola")</f>
        <v>Clavevirus segeticola</v>
      </c>
      <c r="S10334" s="18" t="s">
        <v>30</v>
      </c>
      <c r="T10334" s="18" t="s">
        <v>44736</v>
      </c>
      <c r="U10334" s="18"/>
      <c r="V10334" s="18"/>
      <c r="W10334" s="18" t="s">
        <v>44737</v>
      </c>
      <c r="X10334" s="18" t="s">
        <v>35</v>
      </c>
      <c r="Y10334" s="18" t="s">
        <v>17171</v>
      </c>
      <c r="Z10334" s="18" t="s">
        <v>24637</v>
      </c>
      <c r="AA10334" s="21" t="str">
        <f>HYPERLINK("https://www.ncbi.nlm.nih.gov/nuccore/CASDWV010002236","NCBI Nucleotide")</f>
        <v>NCBI Nucleotide</v>
      </c>
    </row>
    <row r="10335" spans="1:27" x14ac:dyDescent="0.35">
      <c r="A10335">
        <v>1026103</v>
      </c>
      <c r="B10335">
        <v>9660</v>
      </c>
      <c r="C10335">
        <v>1</v>
      </c>
      <c r="D10335" s="17" t="s">
        <v>17166</v>
      </c>
      <c r="E10335" s="17"/>
      <c r="F10335" s="17" t="s">
        <v>17246</v>
      </c>
      <c r="G10335" s="17"/>
      <c r="H10335" s="17" t="s">
        <v>20919</v>
      </c>
      <c r="I10335" s="17"/>
      <c r="J10335" s="17" t="s">
        <v>21313</v>
      </c>
      <c r="K10335" s="17"/>
      <c r="L10335" s="17" t="s">
        <v>22378</v>
      </c>
      <c r="M10335" s="17"/>
      <c r="N10335" s="17" t="s">
        <v>22459</v>
      </c>
      <c r="O10335" s="17"/>
      <c r="P10335" s="17" t="s">
        <v>44738</v>
      </c>
      <c r="Q10335" s="17"/>
      <c r="R10335" s="25" t="str">
        <f>HYPERLINK("https://ictv.global/taxonomy/taxondetails?taxnode_id=202316988","Clofavirus faecicola")</f>
        <v>Clofavirus faecicola</v>
      </c>
      <c r="S10335" s="18" t="s">
        <v>30</v>
      </c>
      <c r="T10335" s="18" t="s">
        <v>44739</v>
      </c>
      <c r="U10335" s="18"/>
      <c r="V10335" s="18" t="s">
        <v>44739</v>
      </c>
      <c r="W10335" s="18" t="s">
        <v>44740</v>
      </c>
      <c r="X10335" s="18" t="s">
        <v>35</v>
      </c>
      <c r="Y10335" s="18" t="s">
        <v>17171</v>
      </c>
      <c r="Z10335" s="18" t="s">
        <v>24637</v>
      </c>
      <c r="AA10335" s="21" t="str">
        <f>HYPERLINK("https://www.ncbi.nlm.nih.gov/nuccore/MZ679516","NCBI Nucleotide")</f>
        <v>NCBI Nucleotide</v>
      </c>
    </row>
    <row r="10336" spans="1:27" x14ac:dyDescent="0.35">
      <c r="A10336">
        <v>1026196</v>
      </c>
      <c r="B10336">
        <v>9661</v>
      </c>
      <c r="C10336">
        <v>1</v>
      </c>
      <c r="D10336" s="17" t="s">
        <v>17166</v>
      </c>
      <c r="E10336" s="17"/>
      <c r="F10336" s="17" t="s">
        <v>17246</v>
      </c>
      <c r="G10336" s="17"/>
      <c r="H10336" s="17" t="s">
        <v>20919</v>
      </c>
      <c r="I10336" s="17"/>
      <c r="J10336" s="17" t="s">
        <v>21313</v>
      </c>
      <c r="K10336" s="17"/>
      <c r="L10336" s="17" t="s">
        <v>22378</v>
      </c>
      <c r="M10336" s="17"/>
      <c r="N10336" s="17" t="s">
        <v>22459</v>
      </c>
      <c r="O10336" s="17"/>
      <c r="P10336" s="17" t="s">
        <v>44741</v>
      </c>
      <c r="Q10336" s="17"/>
      <c r="R10336" s="25" t="str">
        <f>HYPERLINK("https://ictv.global/taxonomy/taxondetails?taxnode_id=202316989","Cumbruovirus edaphovicinum")</f>
        <v>Cumbruovirus edaphovicinum</v>
      </c>
      <c r="S10336" s="18" t="s">
        <v>30</v>
      </c>
      <c r="T10336" s="18" t="s">
        <v>44742</v>
      </c>
      <c r="U10336" s="18"/>
      <c r="V10336" s="18"/>
      <c r="W10336" s="18" t="s">
        <v>44743</v>
      </c>
      <c r="X10336" s="18" t="s">
        <v>35</v>
      </c>
      <c r="Y10336" s="18" t="s">
        <v>17171</v>
      </c>
      <c r="Z10336" s="18" t="s">
        <v>24637</v>
      </c>
      <c r="AA10336" s="21" t="str">
        <f>HYPERLINK("https://www.ncbi.nlm.nih.gov/nuccore/CASDWV010002537","NCBI Nucleotide")</f>
        <v>NCBI Nucleotide</v>
      </c>
    </row>
    <row r="10337" spans="1:27" x14ac:dyDescent="0.35">
      <c r="A10337">
        <v>1026197</v>
      </c>
      <c r="B10337">
        <v>9662</v>
      </c>
      <c r="C10337">
        <v>1</v>
      </c>
      <c r="D10337" s="17" t="s">
        <v>17166</v>
      </c>
      <c r="E10337" s="17"/>
      <c r="F10337" s="17" t="s">
        <v>17246</v>
      </c>
      <c r="G10337" s="17"/>
      <c r="H10337" s="17" t="s">
        <v>20919</v>
      </c>
      <c r="I10337" s="17"/>
      <c r="J10337" s="17" t="s">
        <v>21313</v>
      </c>
      <c r="K10337" s="17"/>
      <c r="L10337" s="17" t="s">
        <v>22378</v>
      </c>
      <c r="M10337" s="17"/>
      <c r="N10337" s="17" t="s">
        <v>22459</v>
      </c>
      <c r="O10337" s="17"/>
      <c r="P10337" s="17" t="s">
        <v>44744</v>
      </c>
      <c r="Q10337" s="17"/>
      <c r="R10337" s="25" t="str">
        <f>HYPERLINK("https://ictv.global/taxonomy/taxondetails?taxnode_id=202316990","Cumpduvirus radicivicinum")</f>
        <v>Cumpduvirus radicivicinum</v>
      </c>
      <c r="S10337" s="18" t="s">
        <v>30</v>
      </c>
      <c r="T10337" s="18" t="s">
        <v>44745</v>
      </c>
      <c r="U10337" s="18"/>
      <c r="V10337" s="18"/>
      <c r="W10337" s="18" t="s">
        <v>44746</v>
      </c>
      <c r="X10337" s="18" t="s">
        <v>35</v>
      </c>
      <c r="Y10337" s="18" t="s">
        <v>17171</v>
      </c>
      <c r="Z10337" s="18" t="s">
        <v>24637</v>
      </c>
      <c r="AA10337" s="21" t="str">
        <f>HYPERLINK("https://www.ncbi.nlm.nih.gov/nuccore/CASDWV010003752","NCBI Nucleotide")</f>
        <v>NCBI Nucleotide</v>
      </c>
    </row>
    <row r="10338" spans="1:27" x14ac:dyDescent="0.35">
      <c r="A10338">
        <v>1026201</v>
      </c>
      <c r="B10338">
        <v>9663</v>
      </c>
      <c r="C10338">
        <v>1</v>
      </c>
      <c r="D10338" s="17" t="s">
        <v>17166</v>
      </c>
      <c r="E10338" s="17"/>
      <c r="F10338" s="17" t="s">
        <v>17246</v>
      </c>
      <c r="G10338" s="17"/>
      <c r="H10338" s="17" t="s">
        <v>20919</v>
      </c>
      <c r="I10338" s="17"/>
      <c r="J10338" s="17" t="s">
        <v>21313</v>
      </c>
      <c r="K10338" s="17"/>
      <c r="L10338" s="17" t="s">
        <v>22378</v>
      </c>
      <c r="M10338" s="17"/>
      <c r="N10338" s="17" t="s">
        <v>22459</v>
      </c>
      <c r="O10338" s="17"/>
      <c r="P10338" s="17" t="s">
        <v>44747</v>
      </c>
      <c r="Q10338" s="17"/>
      <c r="R10338" s="25" t="str">
        <f>HYPERLINK("https://ictv.global/taxonomy/taxondetails?taxnode_id=202316991","Curdwovirus humivicinum")</f>
        <v>Curdwovirus humivicinum</v>
      </c>
      <c r="S10338" s="18" t="s">
        <v>30</v>
      </c>
      <c r="T10338" s="18" t="s">
        <v>44748</v>
      </c>
      <c r="U10338" s="18"/>
      <c r="V10338" s="18"/>
      <c r="W10338" s="18" t="s">
        <v>44749</v>
      </c>
      <c r="X10338" s="18" t="s">
        <v>35</v>
      </c>
      <c r="Y10338" s="18" t="s">
        <v>17171</v>
      </c>
      <c r="Z10338" s="18" t="s">
        <v>24637</v>
      </c>
      <c r="AA10338" s="21" t="str">
        <f>HYPERLINK("https://www.ncbi.nlm.nih.gov/nuccore/CASDWV010001430","NCBI Nucleotide")</f>
        <v>NCBI Nucleotide</v>
      </c>
    </row>
    <row r="10339" spans="1:27" x14ac:dyDescent="0.35">
      <c r="A10339">
        <v>1026189</v>
      </c>
      <c r="B10339">
        <v>9664</v>
      </c>
      <c r="C10339">
        <v>1</v>
      </c>
      <c r="D10339" s="17" t="s">
        <v>17166</v>
      </c>
      <c r="E10339" s="17"/>
      <c r="F10339" s="17" t="s">
        <v>17246</v>
      </c>
      <c r="G10339" s="17"/>
      <c r="H10339" s="17" t="s">
        <v>20919</v>
      </c>
      <c r="I10339" s="17"/>
      <c r="J10339" s="17" t="s">
        <v>21313</v>
      </c>
      <c r="K10339" s="17"/>
      <c r="L10339" s="17" t="s">
        <v>22378</v>
      </c>
      <c r="M10339" s="17"/>
      <c r="N10339" s="17" t="s">
        <v>22459</v>
      </c>
      <c r="O10339" s="17"/>
      <c r="P10339" s="17" t="s">
        <v>44750</v>
      </c>
      <c r="Q10339" s="17"/>
      <c r="R10339" s="25" t="str">
        <f>HYPERLINK("https://ictv.global/taxonomy/taxondetails?taxnode_id=202316992","Danchavirus faecivivens")</f>
        <v>Danchavirus faecivivens</v>
      </c>
      <c r="S10339" s="18" t="s">
        <v>30</v>
      </c>
      <c r="T10339" s="18" t="s">
        <v>44751</v>
      </c>
      <c r="U10339" s="18"/>
      <c r="V10339" s="18" t="s">
        <v>44751</v>
      </c>
      <c r="W10339" s="18" t="s">
        <v>44752</v>
      </c>
      <c r="X10339" s="18" t="s">
        <v>35</v>
      </c>
      <c r="Y10339" s="18" t="s">
        <v>17171</v>
      </c>
      <c r="Z10339" s="18" t="s">
        <v>24637</v>
      </c>
      <c r="AA10339" s="21" t="str">
        <f>HYPERLINK("https://www.ncbi.nlm.nih.gov/nuccore/MZ679560","NCBI Nucleotide")</f>
        <v>NCBI Nucleotide</v>
      </c>
    </row>
    <row r="10340" spans="1:27" x14ac:dyDescent="0.35">
      <c r="A10340">
        <v>1026190</v>
      </c>
      <c r="B10340">
        <v>9665</v>
      </c>
      <c r="C10340">
        <v>1</v>
      </c>
      <c r="D10340" s="17" t="s">
        <v>17166</v>
      </c>
      <c r="E10340" s="17"/>
      <c r="F10340" s="17" t="s">
        <v>17246</v>
      </c>
      <c r="G10340" s="17"/>
      <c r="H10340" s="17" t="s">
        <v>20919</v>
      </c>
      <c r="I10340" s="17"/>
      <c r="J10340" s="17" t="s">
        <v>21313</v>
      </c>
      <c r="K10340" s="17"/>
      <c r="L10340" s="17" t="s">
        <v>22378</v>
      </c>
      <c r="M10340" s="17"/>
      <c r="N10340" s="17" t="s">
        <v>22459</v>
      </c>
      <c r="O10340" s="17"/>
      <c r="P10340" s="17" t="s">
        <v>44750</v>
      </c>
      <c r="Q10340" s="17"/>
      <c r="R10340" s="25" t="str">
        <f>HYPERLINK("https://ictv.global/taxonomy/taxondetails?taxnode_id=202316993","Danchavirus fundihabitans")</f>
        <v>Danchavirus fundihabitans</v>
      </c>
      <c r="S10340" s="18" t="s">
        <v>30</v>
      </c>
      <c r="T10340" s="18" t="s">
        <v>44753</v>
      </c>
      <c r="U10340" s="18"/>
      <c r="V10340" s="18" t="s">
        <v>44753</v>
      </c>
      <c r="W10340" s="18" t="s">
        <v>44754</v>
      </c>
      <c r="X10340" s="18" t="s">
        <v>35</v>
      </c>
      <c r="Y10340" s="18" t="s">
        <v>17171</v>
      </c>
      <c r="Z10340" s="18" t="s">
        <v>24637</v>
      </c>
      <c r="AA10340" s="21" t="str">
        <f>HYPERLINK("https://www.ncbi.nlm.nih.gov/nuccore/MZ679679","NCBI Nucleotide")</f>
        <v>NCBI Nucleotide</v>
      </c>
    </row>
    <row r="10341" spans="1:27" x14ac:dyDescent="0.35">
      <c r="A10341">
        <v>1026191</v>
      </c>
      <c r="B10341">
        <v>9666</v>
      </c>
      <c r="C10341">
        <v>1</v>
      </c>
      <c r="D10341" s="17" t="s">
        <v>17166</v>
      </c>
      <c r="E10341" s="17"/>
      <c r="F10341" s="17" t="s">
        <v>17246</v>
      </c>
      <c r="G10341" s="17"/>
      <c r="H10341" s="17" t="s">
        <v>20919</v>
      </c>
      <c r="I10341" s="17"/>
      <c r="J10341" s="17" t="s">
        <v>21313</v>
      </c>
      <c r="K10341" s="17"/>
      <c r="L10341" s="17" t="s">
        <v>22378</v>
      </c>
      <c r="M10341" s="17"/>
      <c r="N10341" s="17" t="s">
        <v>22459</v>
      </c>
      <c r="O10341" s="17"/>
      <c r="P10341" s="17" t="s">
        <v>44755</v>
      </c>
      <c r="Q10341" s="17"/>
      <c r="R10341" s="25" t="str">
        <f>HYPERLINK("https://ictv.global/taxonomy/taxondetails?taxnode_id=202316994","Darsivirus agrenecus")</f>
        <v>Darsivirus agrenecus</v>
      </c>
      <c r="S10341" s="18" t="s">
        <v>30</v>
      </c>
      <c r="T10341" s="18" t="s">
        <v>44756</v>
      </c>
      <c r="U10341" s="18"/>
      <c r="V10341" s="18"/>
      <c r="W10341" s="18" t="s">
        <v>44757</v>
      </c>
      <c r="X10341" s="18" t="s">
        <v>35</v>
      </c>
      <c r="Y10341" s="18" t="s">
        <v>17171</v>
      </c>
      <c r="Z10341" s="18" t="s">
        <v>24637</v>
      </c>
      <c r="AA10341" s="21" t="str">
        <f>HYPERLINK("https://www.ncbi.nlm.nih.gov/nuccore/CASDWV010002701","NCBI Nucleotide")</f>
        <v>NCBI Nucleotide</v>
      </c>
    </row>
    <row r="10342" spans="1:27" x14ac:dyDescent="0.35">
      <c r="A10342">
        <v>1026192</v>
      </c>
      <c r="B10342">
        <v>9667</v>
      </c>
      <c r="C10342">
        <v>1</v>
      </c>
      <c r="D10342" s="17" t="s">
        <v>17166</v>
      </c>
      <c r="E10342" s="17"/>
      <c r="F10342" s="17" t="s">
        <v>17246</v>
      </c>
      <c r="G10342" s="17"/>
      <c r="H10342" s="17" t="s">
        <v>20919</v>
      </c>
      <c r="I10342" s="17"/>
      <c r="J10342" s="17" t="s">
        <v>21313</v>
      </c>
      <c r="K10342" s="17"/>
      <c r="L10342" s="17" t="s">
        <v>22378</v>
      </c>
      <c r="M10342" s="17"/>
      <c r="N10342" s="17" t="s">
        <v>22459</v>
      </c>
      <c r="O10342" s="17"/>
      <c r="P10342" s="17" t="s">
        <v>44755</v>
      </c>
      <c r="Q10342" s="17"/>
      <c r="R10342" s="25" t="str">
        <f>HYPERLINK("https://ictv.global/taxonomy/taxondetails?taxnode_id=202316995","Darsivirus soladaptatum")</f>
        <v>Darsivirus soladaptatum</v>
      </c>
      <c r="S10342" s="18" t="s">
        <v>30</v>
      </c>
      <c r="T10342" s="18" t="s">
        <v>44758</v>
      </c>
      <c r="U10342" s="18"/>
      <c r="V10342" s="18"/>
      <c r="W10342" s="18" t="s">
        <v>44759</v>
      </c>
      <c r="X10342" s="18" t="s">
        <v>35</v>
      </c>
      <c r="Y10342" s="18" t="s">
        <v>17171</v>
      </c>
      <c r="Z10342" s="18" t="s">
        <v>24637</v>
      </c>
      <c r="AA10342" s="21" t="str">
        <f>HYPERLINK("https://www.ncbi.nlm.nih.gov/nuccore/CASDWV010000023","NCBI Nucleotide")</f>
        <v>NCBI Nucleotide</v>
      </c>
    </row>
    <row r="10343" spans="1:27" x14ac:dyDescent="0.35">
      <c r="A10343">
        <v>1026185</v>
      </c>
      <c r="B10343">
        <v>9668</v>
      </c>
      <c r="C10343">
        <v>1</v>
      </c>
      <c r="D10343" s="17" t="s">
        <v>17166</v>
      </c>
      <c r="E10343" s="17"/>
      <c r="F10343" s="17" t="s">
        <v>17246</v>
      </c>
      <c r="G10343" s="17"/>
      <c r="H10343" s="17" t="s">
        <v>20919</v>
      </c>
      <c r="I10343" s="17"/>
      <c r="J10343" s="17" t="s">
        <v>21313</v>
      </c>
      <c r="K10343" s="17"/>
      <c r="L10343" s="17" t="s">
        <v>22378</v>
      </c>
      <c r="M10343" s="17"/>
      <c r="N10343" s="17" t="s">
        <v>22459</v>
      </c>
      <c r="O10343" s="17"/>
      <c r="P10343" s="17" t="s">
        <v>44760</v>
      </c>
      <c r="Q10343" s="17"/>
      <c r="R10343" s="25" t="str">
        <f>HYPERLINK("https://ictv.global/taxonomy/taxondetails?taxnode_id=202316996","Dordavirus asiovicinum")</f>
        <v>Dordavirus asiovicinum</v>
      </c>
      <c r="S10343" s="18" t="s">
        <v>30</v>
      </c>
      <c r="T10343" s="18" t="s">
        <v>44761</v>
      </c>
      <c r="U10343" s="18"/>
      <c r="V10343" s="18"/>
      <c r="W10343" s="18" t="s">
        <v>44762</v>
      </c>
      <c r="X10343" s="18" t="s">
        <v>35</v>
      </c>
      <c r="Y10343" s="18" t="s">
        <v>17171</v>
      </c>
      <c r="Z10343" s="18" t="s">
        <v>24637</v>
      </c>
      <c r="AA10343" s="21" t="str">
        <f>HYPERLINK("https://www.ncbi.nlm.nih.gov/nuccore/CASDWV010004390","NCBI Nucleotide")</f>
        <v>NCBI Nucleotide</v>
      </c>
    </row>
    <row r="10344" spans="1:27" x14ac:dyDescent="0.35">
      <c r="A10344">
        <v>1026186</v>
      </c>
      <c r="B10344">
        <v>9669</v>
      </c>
      <c r="C10344">
        <v>1</v>
      </c>
      <c r="D10344" s="17" t="s">
        <v>17166</v>
      </c>
      <c r="E10344" s="17"/>
      <c r="F10344" s="17" t="s">
        <v>17246</v>
      </c>
      <c r="G10344" s="17"/>
      <c r="H10344" s="17" t="s">
        <v>20919</v>
      </c>
      <c r="I10344" s="17"/>
      <c r="J10344" s="17" t="s">
        <v>21313</v>
      </c>
      <c r="K10344" s="17"/>
      <c r="L10344" s="17" t="s">
        <v>22378</v>
      </c>
      <c r="M10344" s="17"/>
      <c r="N10344" s="17" t="s">
        <v>22459</v>
      </c>
      <c r="O10344" s="17"/>
      <c r="P10344" s="17" t="s">
        <v>44760</v>
      </c>
      <c r="Q10344" s="17"/>
      <c r="R10344" s="25" t="str">
        <f>HYPERLINK("https://ictv.global/taxonomy/taxondetails?taxnode_id=202316997","Dordavirus limadaptatum")</f>
        <v>Dordavirus limadaptatum</v>
      </c>
      <c r="S10344" s="18" t="s">
        <v>30</v>
      </c>
      <c r="T10344" s="18" t="s">
        <v>44763</v>
      </c>
      <c r="U10344" s="18"/>
      <c r="V10344" s="18"/>
      <c r="W10344" s="18" t="s">
        <v>44764</v>
      </c>
      <c r="X10344" s="18" t="s">
        <v>35</v>
      </c>
      <c r="Y10344" s="18" t="s">
        <v>17171</v>
      </c>
      <c r="Z10344" s="18" t="s">
        <v>24637</v>
      </c>
      <c r="AA10344" s="21" t="str">
        <f>HYPERLINK("https://www.ncbi.nlm.nih.gov/nuccore/CASDWV010001513","NCBI Nucleotide")</f>
        <v>NCBI Nucleotide</v>
      </c>
    </row>
    <row r="10345" spans="1:27" x14ac:dyDescent="0.35">
      <c r="A10345">
        <v>1026187</v>
      </c>
      <c r="B10345">
        <v>9670</v>
      </c>
      <c r="C10345">
        <v>1</v>
      </c>
      <c r="D10345" s="17" t="s">
        <v>17166</v>
      </c>
      <c r="E10345" s="17"/>
      <c r="F10345" s="17" t="s">
        <v>17246</v>
      </c>
      <c r="G10345" s="17"/>
      <c r="H10345" s="17" t="s">
        <v>20919</v>
      </c>
      <c r="I10345" s="17"/>
      <c r="J10345" s="17" t="s">
        <v>21313</v>
      </c>
      <c r="K10345" s="17"/>
      <c r="L10345" s="17" t="s">
        <v>22378</v>
      </c>
      <c r="M10345" s="17"/>
      <c r="N10345" s="17" t="s">
        <v>22459</v>
      </c>
      <c r="O10345" s="17"/>
      <c r="P10345" s="17" t="s">
        <v>44760</v>
      </c>
      <c r="Q10345" s="17"/>
      <c r="R10345" s="25" t="str">
        <f>HYPERLINK("https://ictv.global/taxonomy/taxondetails?taxnode_id=202316998","Dordavirus nemorishabitans")</f>
        <v>Dordavirus nemorishabitans</v>
      </c>
      <c r="S10345" s="18" t="s">
        <v>30</v>
      </c>
      <c r="T10345" s="18" t="s">
        <v>44765</v>
      </c>
      <c r="U10345" s="18"/>
      <c r="V10345" s="18" t="s">
        <v>44765</v>
      </c>
      <c r="W10345" s="18" t="s">
        <v>44766</v>
      </c>
      <c r="X10345" s="18" t="s">
        <v>35</v>
      </c>
      <c r="Y10345" s="18" t="s">
        <v>17171</v>
      </c>
      <c r="Z10345" s="18" t="s">
        <v>24637</v>
      </c>
      <c r="AA10345" s="21" t="str">
        <f>HYPERLINK("https://www.ncbi.nlm.nih.gov/nuccore/MZ679503","NCBI Nucleotide")</f>
        <v>NCBI Nucleotide</v>
      </c>
    </row>
    <row r="10346" spans="1:27" x14ac:dyDescent="0.35">
      <c r="A10346">
        <v>1026211</v>
      </c>
      <c r="B10346">
        <v>9671</v>
      </c>
      <c r="C10346">
        <v>1</v>
      </c>
      <c r="D10346" s="17" t="s">
        <v>17166</v>
      </c>
      <c r="E10346" s="17"/>
      <c r="F10346" s="17" t="s">
        <v>17246</v>
      </c>
      <c r="G10346" s="17"/>
      <c r="H10346" s="17" t="s">
        <v>20919</v>
      </c>
      <c r="I10346" s="17"/>
      <c r="J10346" s="17" t="s">
        <v>21313</v>
      </c>
      <c r="K10346" s="17"/>
      <c r="L10346" s="17" t="s">
        <v>22378</v>
      </c>
      <c r="M10346" s="17"/>
      <c r="N10346" s="17" t="s">
        <v>22459</v>
      </c>
      <c r="O10346" s="17"/>
      <c r="P10346" s="17" t="s">
        <v>44767</v>
      </c>
      <c r="Q10346" s="17"/>
      <c r="R10346" s="25" t="str">
        <f>HYPERLINK("https://ictv.global/taxonomy/taxondetails?taxnode_id=202316999","Drayduvirus lutenecus")</f>
        <v>Drayduvirus lutenecus</v>
      </c>
      <c r="S10346" s="18" t="s">
        <v>30</v>
      </c>
      <c r="T10346" s="18" t="s">
        <v>44768</v>
      </c>
      <c r="U10346" s="18"/>
      <c r="V10346" s="18"/>
      <c r="W10346" s="18" t="s">
        <v>44769</v>
      </c>
      <c r="X10346" s="18" t="s">
        <v>35</v>
      </c>
      <c r="Y10346" s="18" t="s">
        <v>17171</v>
      </c>
      <c r="Z10346" s="18" t="s">
        <v>24637</v>
      </c>
      <c r="AA10346" s="21" t="str">
        <f>HYPERLINK("https://www.ncbi.nlm.nih.gov/nuccore/CASDWV010000372","NCBI Nucleotide")</f>
        <v>NCBI Nucleotide</v>
      </c>
    </row>
    <row r="10347" spans="1:27" x14ac:dyDescent="0.35">
      <c r="A10347">
        <v>1026212</v>
      </c>
      <c r="B10347">
        <v>9672</v>
      </c>
      <c r="C10347">
        <v>1</v>
      </c>
      <c r="D10347" s="17" t="s">
        <v>17166</v>
      </c>
      <c r="E10347" s="17"/>
      <c r="F10347" s="17" t="s">
        <v>17246</v>
      </c>
      <c r="G10347" s="17"/>
      <c r="H10347" s="17" t="s">
        <v>20919</v>
      </c>
      <c r="I10347" s="17"/>
      <c r="J10347" s="17" t="s">
        <v>21313</v>
      </c>
      <c r="K10347" s="17"/>
      <c r="L10347" s="17" t="s">
        <v>22378</v>
      </c>
      <c r="M10347" s="17"/>
      <c r="N10347" s="17" t="s">
        <v>22459</v>
      </c>
      <c r="O10347" s="17"/>
      <c r="P10347" s="17" t="s">
        <v>44770</v>
      </c>
      <c r="Q10347" s="17"/>
      <c r="R10347" s="25" t="str">
        <f>HYPERLINK("https://ictv.global/taxonomy/taxondetails?taxnode_id=202317000","Dreycovirus lutenecus")</f>
        <v>Dreycovirus lutenecus</v>
      </c>
      <c r="S10347" s="18" t="s">
        <v>30</v>
      </c>
      <c r="T10347" s="18" t="s">
        <v>44771</v>
      </c>
      <c r="U10347" s="18"/>
      <c r="V10347" s="18"/>
      <c r="W10347" s="18" t="s">
        <v>44772</v>
      </c>
      <c r="X10347" s="18" t="s">
        <v>35</v>
      </c>
      <c r="Y10347" s="18" t="s">
        <v>17171</v>
      </c>
      <c r="Z10347" s="18" t="s">
        <v>24637</v>
      </c>
      <c r="AA10347" s="21" t="str">
        <f>HYPERLINK("https://www.ncbi.nlm.nih.gov/nuccore/CASDWV010000316","NCBI Nucleotide")</f>
        <v>NCBI Nucleotide</v>
      </c>
    </row>
    <row r="10348" spans="1:27" x14ac:dyDescent="0.35">
      <c r="A10348">
        <v>1026204</v>
      </c>
      <c r="B10348">
        <v>9673</v>
      </c>
      <c r="C10348">
        <v>1</v>
      </c>
      <c r="D10348" s="17" t="s">
        <v>17166</v>
      </c>
      <c r="E10348" s="17"/>
      <c r="F10348" s="17" t="s">
        <v>17246</v>
      </c>
      <c r="G10348" s="17"/>
      <c r="H10348" s="17" t="s">
        <v>20919</v>
      </c>
      <c r="I10348" s="17"/>
      <c r="J10348" s="17" t="s">
        <v>21313</v>
      </c>
      <c r="K10348" s="17"/>
      <c r="L10348" s="17" t="s">
        <v>22378</v>
      </c>
      <c r="M10348" s="17"/>
      <c r="N10348" s="17" t="s">
        <v>22459</v>
      </c>
      <c r="O10348" s="17"/>
      <c r="P10348" s="17" t="s">
        <v>44773</v>
      </c>
      <c r="Q10348" s="17"/>
      <c r="R10348" s="25" t="str">
        <f>HYPERLINK("https://ictv.global/taxonomy/taxondetails?taxnode_id=202317001","Eastcovirus solivivens")</f>
        <v>Eastcovirus solivivens</v>
      </c>
      <c r="S10348" s="18" t="s">
        <v>30</v>
      </c>
      <c r="T10348" s="18" t="s">
        <v>44774</v>
      </c>
      <c r="U10348" s="18"/>
      <c r="V10348" s="18"/>
      <c r="W10348" s="18" t="s">
        <v>44775</v>
      </c>
      <c r="X10348" s="18" t="s">
        <v>35</v>
      </c>
      <c r="Y10348" s="18" t="s">
        <v>17171</v>
      </c>
      <c r="Z10348" s="18" t="s">
        <v>24637</v>
      </c>
      <c r="AA10348" s="21" t="str">
        <f>HYPERLINK("https://www.ncbi.nlm.nih.gov/nuccore/CASDWV010003201","NCBI Nucleotide")</f>
        <v>NCBI Nucleotide</v>
      </c>
    </row>
    <row r="10349" spans="1:27" x14ac:dyDescent="0.35">
      <c r="A10349">
        <v>1009835</v>
      </c>
      <c r="B10349">
        <v>9674</v>
      </c>
      <c r="C10349">
        <v>1</v>
      </c>
      <c r="D10349" s="17" t="s">
        <v>17166</v>
      </c>
      <c r="E10349" s="17"/>
      <c r="F10349" s="17" t="s">
        <v>17246</v>
      </c>
      <c r="G10349" s="17"/>
      <c r="H10349" s="17" t="s">
        <v>20919</v>
      </c>
      <c r="I10349" s="17"/>
      <c r="J10349" s="17" t="s">
        <v>21313</v>
      </c>
      <c r="K10349" s="17"/>
      <c r="L10349" s="17" t="s">
        <v>22378</v>
      </c>
      <c r="M10349" s="17"/>
      <c r="N10349" s="17" t="s">
        <v>22459</v>
      </c>
      <c r="O10349" s="17"/>
      <c r="P10349" s="17" t="s">
        <v>44776</v>
      </c>
      <c r="Q10349" s="17"/>
      <c r="R10349" s="25" t="str">
        <f>HYPERLINK("https://ictv.global/taxonomy/taxondetails?taxnode_id=202311008","Eerlswavirus arvivicinum")</f>
        <v>Eerlswavirus arvivicinum</v>
      </c>
      <c r="S10349" s="18" t="s">
        <v>30</v>
      </c>
      <c r="T10349" s="18" t="s">
        <v>22498</v>
      </c>
      <c r="U10349" s="18"/>
      <c r="V10349" s="18"/>
      <c r="W10349" s="18" t="s">
        <v>22499</v>
      </c>
      <c r="X10349" s="18" t="s">
        <v>35</v>
      </c>
      <c r="Y10349" s="18" t="s">
        <v>17171</v>
      </c>
      <c r="Z10349" s="18" t="s">
        <v>697</v>
      </c>
      <c r="AA10349" s="21" t="str">
        <f>HYPERLINK("https://www.ncbi.nlm.nih.gov/nuccore/BK013907","NCBI Nucleotide")</f>
        <v>NCBI Nucleotide</v>
      </c>
    </row>
    <row r="10350" spans="1:27" x14ac:dyDescent="0.35">
      <c r="A10350">
        <v>1009837</v>
      </c>
      <c r="B10350">
        <v>9675</v>
      </c>
      <c r="C10350">
        <v>1</v>
      </c>
      <c r="D10350" s="17" t="s">
        <v>17166</v>
      </c>
      <c r="E10350" s="17"/>
      <c r="F10350" s="17" t="s">
        <v>17246</v>
      </c>
      <c r="G10350" s="17"/>
      <c r="H10350" s="17" t="s">
        <v>20919</v>
      </c>
      <c r="I10350" s="17"/>
      <c r="J10350" s="17" t="s">
        <v>21313</v>
      </c>
      <c r="K10350" s="17"/>
      <c r="L10350" s="17" t="s">
        <v>22378</v>
      </c>
      <c r="M10350" s="17"/>
      <c r="N10350" s="17" t="s">
        <v>22459</v>
      </c>
      <c r="O10350" s="17"/>
      <c r="P10350" s="17" t="s">
        <v>44776</v>
      </c>
      <c r="Q10350" s="17"/>
      <c r="R10350" s="25" t="str">
        <f>HYPERLINK("https://ictv.global/taxonomy/taxondetails?taxnode_id=202311010","Eerlswavirus edaphadaptatum")</f>
        <v>Eerlswavirus edaphadaptatum</v>
      </c>
      <c r="S10350" s="18" t="s">
        <v>30</v>
      </c>
      <c r="T10350" s="18" t="s">
        <v>22502</v>
      </c>
      <c r="U10350" s="18"/>
      <c r="V10350" s="18"/>
      <c r="W10350" s="18" t="s">
        <v>22503</v>
      </c>
      <c r="X10350" s="18" t="s">
        <v>35</v>
      </c>
      <c r="Y10350" s="18" t="s">
        <v>17171</v>
      </c>
      <c r="Z10350" s="18" t="s">
        <v>697</v>
      </c>
      <c r="AA10350" s="21" t="str">
        <f>HYPERLINK("https://www.ncbi.nlm.nih.gov/nuccore/BK013842","NCBI Nucleotide")</f>
        <v>NCBI Nucleotide</v>
      </c>
    </row>
    <row r="10351" spans="1:27" x14ac:dyDescent="0.35">
      <c r="A10351">
        <v>1009843</v>
      </c>
      <c r="B10351">
        <v>9676</v>
      </c>
      <c r="C10351">
        <v>1</v>
      </c>
      <c r="D10351" s="17" t="s">
        <v>17166</v>
      </c>
      <c r="E10351" s="17"/>
      <c r="F10351" s="17" t="s">
        <v>17246</v>
      </c>
      <c r="G10351" s="17"/>
      <c r="H10351" s="17" t="s">
        <v>20919</v>
      </c>
      <c r="I10351" s="17"/>
      <c r="J10351" s="17" t="s">
        <v>21313</v>
      </c>
      <c r="K10351" s="17"/>
      <c r="L10351" s="17" t="s">
        <v>22378</v>
      </c>
      <c r="M10351" s="17"/>
      <c r="N10351" s="17" t="s">
        <v>22459</v>
      </c>
      <c r="O10351" s="17"/>
      <c r="P10351" s="17" t="s">
        <v>44776</v>
      </c>
      <c r="Q10351" s="17"/>
      <c r="R10351" s="25" t="str">
        <f>HYPERLINK("https://ictv.global/taxonomy/taxondetails?taxnode_id=202311015","Eerlswavirus pedadaptatum")</f>
        <v>Eerlswavirus pedadaptatum</v>
      </c>
      <c r="S10351" s="18" t="s">
        <v>30</v>
      </c>
      <c r="T10351" s="18" t="s">
        <v>22514</v>
      </c>
      <c r="U10351" s="18"/>
      <c r="V10351" s="18"/>
      <c r="W10351" s="18" t="s">
        <v>22515</v>
      </c>
      <c r="X10351" s="18" t="s">
        <v>35</v>
      </c>
      <c r="Y10351" s="18" t="s">
        <v>17171</v>
      </c>
      <c r="Z10351" s="18" t="s">
        <v>697</v>
      </c>
      <c r="AA10351" s="21" t="str">
        <f>HYPERLINK("https://www.ncbi.nlm.nih.gov/nuccore/BK013387","NCBI Nucleotide")</f>
        <v>NCBI Nucleotide</v>
      </c>
    </row>
    <row r="10352" spans="1:27" x14ac:dyDescent="0.35">
      <c r="A10352">
        <v>1026120</v>
      </c>
      <c r="B10352">
        <v>9677</v>
      </c>
      <c r="C10352">
        <v>1</v>
      </c>
      <c r="D10352" s="17" t="s">
        <v>17166</v>
      </c>
      <c r="E10352" s="17"/>
      <c r="F10352" s="17" t="s">
        <v>17246</v>
      </c>
      <c r="G10352" s="17"/>
      <c r="H10352" s="17" t="s">
        <v>20919</v>
      </c>
      <c r="I10352" s="17"/>
      <c r="J10352" s="17" t="s">
        <v>21313</v>
      </c>
      <c r="K10352" s="17"/>
      <c r="L10352" s="17" t="s">
        <v>22378</v>
      </c>
      <c r="M10352" s="17"/>
      <c r="N10352" s="17" t="s">
        <v>22459</v>
      </c>
      <c r="O10352" s="17"/>
      <c r="P10352" s="17" t="s">
        <v>44777</v>
      </c>
      <c r="Q10352" s="17"/>
      <c r="R10352" s="25" t="str">
        <f>HYPERLINK("https://ictv.global/taxonomy/taxondetails?taxnode_id=202317002","Eidhovirus agrenecus")</f>
        <v>Eidhovirus agrenecus</v>
      </c>
      <c r="S10352" s="18" t="s">
        <v>30</v>
      </c>
      <c r="T10352" s="18" t="s">
        <v>44778</v>
      </c>
      <c r="U10352" s="18"/>
      <c r="V10352" s="18"/>
      <c r="W10352" s="18" t="s">
        <v>44779</v>
      </c>
      <c r="X10352" s="18" t="s">
        <v>35</v>
      </c>
      <c r="Y10352" s="18" t="s">
        <v>17171</v>
      </c>
      <c r="Z10352" s="18" t="s">
        <v>24637</v>
      </c>
      <c r="AA10352" s="21" t="str">
        <f>HYPERLINK("https://www.ncbi.nlm.nih.gov/nuccore/CASDWV010004154","NCBI Nucleotide")</f>
        <v>NCBI Nucleotide</v>
      </c>
    </row>
    <row r="10353" spans="1:27" x14ac:dyDescent="0.35">
      <c r="A10353">
        <v>1026223</v>
      </c>
      <c r="B10353">
        <v>9678</v>
      </c>
      <c r="C10353">
        <v>1</v>
      </c>
      <c r="D10353" s="17" t="s">
        <v>17166</v>
      </c>
      <c r="E10353" s="17"/>
      <c r="F10353" s="17" t="s">
        <v>17246</v>
      </c>
      <c r="G10353" s="17"/>
      <c r="H10353" s="17" t="s">
        <v>20919</v>
      </c>
      <c r="I10353" s="17"/>
      <c r="J10353" s="17" t="s">
        <v>21313</v>
      </c>
      <c r="K10353" s="17"/>
      <c r="L10353" s="17" t="s">
        <v>22378</v>
      </c>
      <c r="M10353" s="17"/>
      <c r="N10353" s="17" t="s">
        <v>22459</v>
      </c>
      <c r="O10353" s="17"/>
      <c r="P10353" s="17" t="s">
        <v>22646</v>
      </c>
      <c r="Q10353" s="17"/>
      <c r="R10353" s="25" t="str">
        <f>HYPERLINK("https://ictv.global/taxonomy/taxondetails?taxnode_id=202317003","Endehruvirus agrenecus")</f>
        <v>Endehruvirus agrenecus</v>
      </c>
      <c r="S10353" s="18" t="s">
        <v>30</v>
      </c>
      <c r="T10353" s="18" t="s">
        <v>44780</v>
      </c>
      <c r="U10353" s="18"/>
      <c r="V10353" s="18"/>
      <c r="W10353" s="18" t="s">
        <v>44781</v>
      </c>
      <c r="X10353" s="18" t="s">
        <v>35</v>
      </c>
      <c r="Y10353" s="18" t="s">
        <v>17171</v>
      </c>
      <c r="Z10353" s="18" t="s">
        <v>24637</v>
      </c>
      <c r="AA10353" s="21" t="str">
        <f>HYPERLINK("https://www.ncbi.nlm.nih.gov/nuccore/CASDWV010001151","NCBI Nucleotide")</f>
        <v>NCBI Nucleotide</v>
      </c>
    </row>
    <row r="10354" spans="1:27" x14ac:dyDescent="0.35">
      <c r="A10354">
        <v>1026224</v>
      </c>
      <c r="B10354">
        <v>9679</v>
      </c>
      <c r="C10354">
        <v>1</v>
      </c>
      <c r="D10354" s="17" t="s">
        <v>17166</v>
      </c>
      <c r="E10354" s="17"/>
      <c r="F10354" s="17" t="s">
        <v>17246</v>
      </c>
      <c r="G10354" s="17"/>
      <c r="H10354" s="17" t="s">
        <v>20919</v>
      </c>
      <c r="I10354" s="17"/>
      <c r="J10354" s="17" t="s">
        <v>21313</v>
      </c>
      <c r="K10354" s="17"/>
      <c r="L10354" s="17" t="s">
        <v>22378</v>
      </c>
      <c r="M10354" s="17"/>
      <c r="N10354" s="17" t="s">
        <v>22459</v>
      </c>
      <c r="O10354" s="17"/>
      <c r="P10354" s="17" t="s">
        <v>22646</v>
      </c>
      <c r="Q10354" s="17"/>
      <c r="R10354" s="25" t="str">
        <f>HYPERLINK("https://ictv.global/taxonomy/taxondetails?taxnode_id=202317004","Endehruvirus agrihabitans")</f>
        <v>Endehruvirus agrihabitans</v>
      </c>
      <c r="S10354" s="18" t="s">
        <v>30</v>
      </c>
      <c r="T10354" s="18" t="s">
        <v>44782</v>
      </c>
      <c r="U10354" s="18"/>
      <c r="V10354" s="18"/>
      <c r="W10354" s="18" t="s">
        <v>44783</v>
      </c>
      <c r="X10354" s="18" t="s">
        <v>35</v>
      </c>
      <c r="Y10354" s="18" t="s">
        <v>17171</v>
      </c>
      <c r="Z10354" s="18" t="s">
        <v>24637</v>
      </c>
      <c r="AA10354" s="21" t="str">
        <f>HYPERLINK("https://www.ncbi.nlm.nih.gov/nuccore/CASDWV010004975","NCBI Nucleotide")</f>
        <v>NCBI Nucleotide</v>
      </c>
    </row>
    <row r="10355" spans="1:27" x14ac:dyDescent="0.35">
      <c r="A10355">
        <v>1026225</v>
      </c>
      <c r="B10355">
        <v>9680</v>
      </c>
      <c r="C10355">
        <v>1</v>
      </c>
      <c r="D10355" s="17" t="s">
        <v>17166</v>
      </c>
      <c r="E10355" s="17"/>
      <c r="F10355" s="17" t="s">
        <v>17246</v>
      </c>
      <c r="G10355" s="17"/>
      <c r="H10355" s="17" t="s">
        <v>20919</v>
      </c>
      <c r="I10355" s="17"/>
      <c r="J10355" s="17" t="s">
        <v>21313</v>
      </c>
      <c r="K10355" s="17"/>
      <c r="L10355" s="17" t="s">
        <v>22378</v>
      </c>
      <c r="M10355" s="17"/>
      <c r="N10355" s="17" t="s">
        <v>22459</v>
      </c>
      <c r="O10355" s="17"/>
      <c r="P10355" s="17" t="s">
        <v>22646</v>
      </c>
      <c r="Q10355" s="17"/>
      <c r="R10355" s="25" t="str">
        <f>HYPERLINK("https://ictv.global/taxonomy/taxondetails?taxnode_id=202317005","Endehruvirus caenenecus")</f>
        <v>Endehruvirus caenenecus</v>
      </c>
      <c r="S10355" s="18" t="s">
        <v>30</v>
      </c>
      <c r="T10355" s="18" t="s">
        <v>44784</v>
      </c>
      <c r="U10355" s="18"/>
      <c r="V10355" s="18"/>
      <c r="W10355" s="18" t="s">
        <v>44785</v>
      </c>
      <c r="X10355" s="18" t="s">
        <v>35</v>
      </c>
      <c r="Y10355" s="18" t="s">
        <v>17171</v>
      </c>
      <c r="Z10355" s="18" t="s">
        <v>24637</v>
      </c>
      <c r="AA10355" s="21" t="str">
        <f>HYPERLINK("https://www.ncbi.nlm.nih.gov/nuccore/CASDWV010001919","NCBI Nucleotide")</f>
        <v>NCBI Nucleotide</v>
      </c>
    </row>
    <row r="10356" spans="1:27" x14ac:dyDescent="0.35">
      <c r="A10356">
        <v>1026226</v>
      </c>
      <c r="B10356">
        <v>9681</v>
      </c>
      <c r="C10356">
        <v>1</v>
      </c>
      <c r="D10356" s="17" t="s">
        <v>17166</v>
      </c>
      <c r="E10356" s="17"/>
      <c r="F10356" s="17" t="s">
        <v>17246</v>
      </c>
      <c r="G10356" s="17"/>
      <c r="H10356" s="17" t="s">
        <v>20919</v>
      </c>
      <c r="I10356" s="17"/>
      <c r="J10356" s="17" t="s">
        <v>21313</v>
      </c>
      <c r="K10356" s="17"/>
      <c r="L10356" s="17" t="s">
        <v>22378</v>
      </c>
      <c r="M10356" s="17"/>
      <c r="N10356" s="17" t="s">
        <v>22459</v>
      </c>
      <c r="O10356" s="17"/>
      <c r="P10356" s="17" t="s">
        <v>22646</v>
      </c>
      <c r="Q10356" s="17"/>
      <c r="R10356" s="25" t="str">
        <f>HYPERLINK("https://ictv.global/taxonomy/taxondetails?taxnode_id=202317006","Endehruvirus caenivicinum")</f>
        <v>Endehruvirus caenivicinum</v>
      </c>
      <c r="S10356" s="18" t="s">
        <v>30</v>
      </c>
      <c r="T10356" s="18" t="s">
        <v>44786</v>
      </c>
      <c r="U10356" s="18"/>
      <c r="V10356" s="18"/>
      <c r="W10356" s="18" t="s">
        <v>44787</v>
      </c>
      <c r="X10356" s="18" t="s">
        <v>35</v>
      </c>
      <c r="Y10356" s="18" t="s">
        <v>17171</v>
      </c>
      <c r="Z10356" s="18" t="s">
        <v>24637</v>
      </c>
      <c r="AA10356" s="21" t="str">
        <f>HYPERLINK("https://www.ncbi.nlm.nih.gov/nuccore/CASDWV010000665","NCBI Nucleotide")</f>
        <v>NCBI Nucleotide</v>
      </c>
    </row>
    <row r="10357" spans="1:27" x14ac:dyDescent="0.35">
      <c r="A10357">
        <v>1009908</v>
      </c>
      <c r="B10357">
        <v>9682</v>
      </c>
      <c r="C10357">
        <v>1</v>
      </c>
      <c r="D10357" s="17" t="s">
        <v>17166</v>
      </c>
      <c r="E10357" s="17"/>
      <c r="F10357" s="17" t="s">
        <v>17246</v>
      </c>
      <c r="G10357" s="17"/>
      <c r="H10357" s="17" t="s">
        <v>20919</v>
      </c>
      <c r="I10357" s="17"/>
      <c r="J10357" s="17" t="s">
        <v>21313</v>
      </c>
      <c r="K10357" s="17"/>
      <c r="L10357" s="17" t="s">
        <v>22378</v>
      </c>
      <c r="M10357" s="17"/>
      <c r="N10357" s="17" t="s">
        <v>22459</v>
      </c>
      <c r="O10357" s="17"/>
      <c r="P10357" s="17" t="s">
        <v>22646</v>
      </c>
      <c r="Q10357" s="17"/>
      <c r="R10357" s="25" t="str">
        <f>HYPERLINK("https://ictv.global/taxonomy/taxondetails?taxnode_id=202311101","Endehruvirus chthonenecus")</f>
        <v>Endehruvirus chthonenecus</v>
      </c>
      <c r="S10357" s="18" t="s">
        <v>30</v>
      </c>
      <c r="T10357" s="18" t="s">
        <v>22647</v>
      </c>
      <c r="U10357" s="18"/>
      <c r="V10357" s="18"/>
      <c r="W10357" s="18" t="s">
        <v>22648</v>
      </c>
      <c r="X10357" s="18" t="s">
        <v>35</v>
      </c>
      <c r="Y10357" s="18" t="s">
        <v>17171</v>
      </c>
      <c r="Z10357" s="18" t="s">
        <v>697</v>
      </c>
      <c r="AA10357" s="21" t="str">
        <f>HYPERLINK("https://www.ncbi.nlm.nih.gov/nuccore/BK013979","NCBI Nucleotide")</f>
        <v>NCBI Nucleotide</v>
      </c>
    </row>
    <row r="10358" spans="1:27" x14ac:dyDescent="0.35">
      <c r="A10358">
        <v>1009909</v>
      </c>
      <c r="B10358">
        <v>9683</v>
      </c>
      <c r="C10358">
        <v>1</v>
      </c>
      <c r="D10358" s="17" t="s">
        <v>17166</v>
      </c>
      <c r="E10358" s="17"/>
      <c r="F10358" s="17" t="s">
        <v>17246</v>
      </c>
      <c r="G10358" s="17"/>
      <c r="H10358" s="17" t="s">
        <v>20919</v>
      </c>
      <c r="I10358" s="17"/>
      <c r="J10358" s="17" t="s">
        <v>21313</v>
      </c>
      <c r="K10358" s="17"/>
      <c r="L10358" s="17" t="s">
        <v>22378</v>
      </c>
      <c r="M10358" s="17"/>
      <c r="N10358" s="17" t="s">
        <v>22459</v>
      </c>
      <c r="O10358" s="17"/>
      <c r="P10358" s="17" t="s">
        <v>22646</v>
      </c>
      <c r="Q10358" s="17"/>
      <c r="R10358" s="25" t="str">
        <f>HYPERLINK("https://ictv.global/taxonomy/taxondetails?taxnode_id=202311100","Endehruvirus chthonocola")</f>
        <v>Endehruvirus chthonocola</v>
      </c>
      <c r="S10358" s="18" t="s">
        <v>30</v>
      </c>
      <c r="T10358" s="18" t="s">
        <v>22649</v>
      </c>
      <c r="U10358" s="18"/>
      <c r="V10358" s="18"/>
      <c r="W10358" s="18" t="s">
        <v>22650</v>
      </c>
      <c r="X10358" s="18" t="s">
        <v>35</v>
      </c>
      <c r="Y10358" s="18" t="s">
        <v>17171</v>
      </c>
      <c r="Z10358" s="18" t="s">
        <v>697</v>
      </c>
      <c r="AA10358" s="21" t="str">
        <f>HYPERLINK("https://www.ncbi.nlm.nih.gov/nuccore/BK013412","NCBI Nucleotide")</f>
        <v>NCBI Nucleotide</v>
      </c>
    </row>
    <row r="10359" spans="1:27" x14ac:dyDescent="0.35">
      <c r="A10359">
        <v>1026227</v>
      </c>
      <c r="B10359">
        <v>9684</v>
      </c>
      <c r="C10359">
        <v>1</v>
      </c>
      <c r="D10359" s="17" t="s">
        <v>17166</v>
      </c>
      <c r="E10359" s="17"/>
      <c r="F10359" s="17" t="s">
        <v>17246</v>
      </c>
      <c r="G10359" s="17"/>
      <c r="H10359" s="17" t="s">
        <v>20919</v>
      </c>
      <c r="I10359" s="17"/>
      <c r="J10359" s="17" t="s">
        <v>21313</v>
      </c>
      <c r="K10359" s="17"/>
      <c r="L10359" s="17" t="s">
        <v>22378</v>
      </c>
      <c r="M10359" s="17"/>
      <c r="N10359" s="17" t="s">
        <v>22459</v>
      </c>
      <c r="O10359" s="17"/>
      <c r="P10359" s="17" t="s">
        <v>22646</v>
      </c>
      <c r="Q10359" s="17"/>
      <c r="R10359" s="25" t="str">
        <f>HYPERLINK("https://ictv.global/taxonomy/taxondetails?taxnode_id=202317007","Endehruvirus edaphovicinum")</f>
        <v>Endehruvirus edaphovicinum</v>
      </c>
      <c r="S10359" s="18" t="s">
        <v>30</v>
      </c>
      <c r="T10359" s="18" t="s">
        <v>44788</v>
      </c>
      <c r="U10359" s="18"/>
      <c r="V10359" s="18"/>
      <c r="W10359" s="18" t="s">
        <v>44789</v>
      </c>
      <c r="X10359" s="18" t="s">
        <v>35</v>
      </c>
      <c r="Y10359" s="18" t="s">
        <v>17171</v>
      </c>
      <c r="Z10359" s="18" t="s">
        <v>24637</v>
      </c>
      <c r="AA10359" s="21" t="str">
        <f>HYPERLINK("https://www.ncbi.nlm.nih.gov/nuccore/CASDWV010005047","NCBI Nucleotide")</f>
        <v>NCBI Nucleotide</v>
      </c>
    </row>
    <row r="10360" spans="1:27" x14ac:dyDescent="0.35">
      <c r="A10360">
        <v>1026228</v>
      </c>
      <c r="B10360">
        <v>9685</v>
      </c>
      <c r="C10360">
        <v>1</v>
      </c>
      <c r="D10360" s="17" t="s">
        <v>17166</v>
      </c>
      <c r="E10360" s="17"/>
      <c r="F10360" s="17" t="s">
        <v>17246</v>
      </c>
      <c r="G10360" s="17"/>
      <c r="H10360" s="17" t="s">
        <v>20919</v>
      </c>
      <c r="I10360" s="17"/>
      <c r="J10360" s="17" t="s">
        <v>21313</v>
      </c>
      <c r="K10360" s="17"/>
      <c r="L10360" s="17" t="s">
        <v>22378</v>
      </c>
      <c r="M10360" s="17"/>
      <c r="N10360" s="17" t="s">
        <v>22459</v>
      </c>
      <c r="O10360" s="17"/>
      <c r="P10360" s="17" t="s">
        <v>22646</v>
      </c>
      <c r="Q10360" s="17"/>
      <c r="R10360" s="25" t="str">
        <f>HYPERLINK("https://ictv.global/taxonomy/taxondetails?taxnode_id=202317008","Endehruvirus lutadaptatum")</f>
        <v>Endehruvirus lutadaptatum</v>
      </c>
      <c r="S10360" s="18" t="s">
        <v>30</v>
      </c>
      <c r="T10360" s="18" t="s">
        <v>44790</v>
      </c>
      <c r="U10360" s="18"/>
      <c r="V10360" s="18"/>
      <c r="W10360" s="18" t="s">
        <v>44791</v>
      </c>
      <c r="X10360" s="18" t="s">
        <v>35</v>
      </c>
      <c r="Y10360" s="18" t="s">
        <v>17171</v>
      </c>
      <c r="Z10360" s="18" t="s">
        <v>24637</v>
      </c>
      <c r="AA10360" s="21" t="str">
        <f>HYPERLINK("https://www.ncbi.nlm.nih.gov/nuccore/CASDWV010002193","NCBI Nucleotide")</f>
        <v>NCBI Nucleotide</v>
      </c>
    </row>
    <row r="10361" spans="1:27" x14ac:dyDescent="0.35">
      <c r="A10361">
        <v>1026229</v>
      </c>
      <c r="B10361">
        <v>9686</v>
      </c>
      <c r="C10361">
        <v>1</v>
      </c>
      <c r="D10361" s="17" t="s">
        <v>17166</v>
      </c>
      <c r="E10361" s="17"/>
      <c r="F10361" s="17" t="s">
        <v>17246</v>
      </c>
      <c r="G10361" s="17"/>
      <c r="H10361" s="17" t="s">
        <v>20919</v>
      </c>
      <c r="I10361" s="17"/>
      <c r="J10361" s="17" t="s">
        <v>21313</v>
      </c>
      <c r="K10361" s="17"/>
      <c r="L10361" s="17" t="s">
        <v>22378</v>
      </c>
      <c r="M10361" s="17"/>
      <c r="N10361" s="17" t="s">
        <v>22459</v>
      </c>
      <c r="O10361" s="17"/>
      <c r="P10361" s="17" t="s">
        <v>22646</v>
      </c>
      <c r="Q10361" s="17"/>
      <c r="R10361" s="25" t="str">
        <f>HYPERLINK("https://ictv.global/taxonomy/taxondetails?taxnode_id=202317009","Endehruvirus lutenecus")</f>
        <v>Endehruvirus lutenecus</v>
      </c>
      <c r="S10361" s="18" t="s">
        <v>30</v>
      </c>
      <c r="T10361" s="18" t="s">
        <v>44792</v>
      </c>
      <c r="U10361" s="18"/>
      <c r="V10361" s="18"/>
      <c r="W10361" s="18" t="s">
        <v>44793</v>
      </c>
      <c r="X10361" s="18" t="s">
        <v>35</v>
      </c>
      <c r="Y10361" s="18" t="s">
        <v>17171</v>
      </c>
      <c r="Z10361" s="18" t="s">
        <v>24637</v>
      </c>
      <c r="AA10361" s="21" t="str">
        <f>HYPERLINK("https://www.ncbi.nlm.nih.gov/nuccore/CASDWV010002198","NCBI Nucleotide")</f>
        <v>NCBI Nucleotide</v>
      </c>
    </row>
    <row r="10362" spans="1:27" x14ac:dyDescent="0.35">
      <c r="A10362">
        <v>1026230</v>
      </c>
      <c r="B10362">
        <v>9687</v>
      </c>
      <c r="C10362">
        <v>1</v>
      </c>
      <c r="D10362" s="17" t="s">
        <v>17166</v>
      </c>
      <c r="E10362" s="17"/>
      <c r="F10362" s="17" t="s">
        <v>17246</v>
      </c>
      <c r="G10362" s="17"/>
      <c r="H10362" s="17" t="s">
        <v>20919</v>
      </c>
      <c r="I10362" s="17"/>
      <c r="J10362" s="17" t="s">
        <v>21313</v>
      </c>
      <c r="K10362" s="17"/>
      <c r="L10362" s="17" t="s">
        <v>22378</v>
      </c>
      <c r="M10362" s="17"/>
      <c r="N10362" s="17" t="s">
        <v>22459</v>
      </c>
      <c r="O10362" s="17"/>
      <c r="P10362" s="17" t="s">
        <v>22646</v>
      </c>
      <c r="Q10362" s="17"/>
      <c r="R10362" s="25" t="str">
        <f>HYPERLINK("https://ictv.global/taxonomy/taxondetails?taxnode_id=202317010","Endehruvirus messivivens")</f>
        <v>Endehruvirus messivivens</v>
      </c>
      <c r="S10362" s="18" t="s">
        <v>30</v>
      </c>
      <c r="T10362" s="18" t="s">
        <v>44794</v>
      </c>
      <c r="U10362" s="18"/>
      <c r="V10362" s="18"/>
      <c r="W10362" s="18" t="s">
        <v>44795</v>
      </c>
      <c r="X10362" s="18" t="s">
        <v>35</v>
      </c>
      <c r="Y10362" s="18" t="s">
        <v>17171</v>
      </c>
      <c r="Z10362" s="18" t="s">
        <v>24637</v>
      </c>
      <c r="AA10362" s="21" t="str">
        <f>HYPERLINK("https://www.ncbi.nlm.nih.gov/nuccore/CASDWV010003591","NCBI Nucleotide")</f>
        <v>NCBI Nucleotide</v>
      </c>
    </row>
    <row r="10363" spans="1:27" x14ac:dyDescent="0.35">
      <c r="A10363">
        <v>1026243</v>
      </c>
      <c r="B10363">
        <v>9688</v>
      </c>
      <c r="C10363">
        <v>1</v>
      </c>
      <c r="D10363" s="17" t="s">
        <v>17166</v>
      </c>
      <c r="E10363" s="17"/>
      <c r="F10363" s="17" t="s">
        <v>17246</v>
      </c>
      <c r="G10363" s="17"/>
      <c r="H10363" s="17" t="s">
        <v>20919</v>
      </c>
      <c r="I10363" s="17"/>
      <c r="J10363" s="17" t="s">
        <v>21313</v>
      </c>
      <c r="K10363" s="17"/>
      <c r="L10363" s="17" t="s">
        <v>22378</v>
      </c>
      <c r="M10363" s="17"/>
      <c r="N10363" s="17" t="s">
        <v>22459</v>
      </c>
      <c r="O10363" s="17"/>
      <c r="P10363" s="17" t="s">
        <v>44796</v>
      </c>
      <c r="Q10363" s="17"/>
      <c r="R10363" s="25" t="str">
        <f>HYPERLINK("https://ictv.global/taxonomy/taxondetails?taxnode_id=202317011","Etingtavirus agrenecus")</f>
        <v>Etingtavirus agrenecus</v>
      </c>
      <c r="S10363" s="18" t="s">
        <v>30</v>
      </c>
      <c r="T10363" s="18" t="s">
        <v>44797</v>
      </c>
      <c r="U10363" s="18"/>
      <c r="V10363" s="18"/>
      <c r="W10363" s="18" t="s">
        <v>44798</v>
      </c>
      <c r="X10363" s="18" t="s">
        <v>35</v>
      </c>
      <c r="Y10363" s="18" t="s">
        <v>17171</v>
      </c>
      <c r="Z10363" s="18" t="s">
        <v>24637</v>
      </c>
      <c r="AA10363" s="21" t="str">
        <f>HYPERLINK("https://www.ncbi.nlm.nih.gov/nuccore/CASDWV010001395","NCBI Nucleotide")</f>
        <v>NCBI Nucleotide</v>
      </c>
    </row>
    <row r="10364" spans="1:27" x14ac:dyDescent="0.35">
      <c r="A10364">
        <v>1026244</v>
      </c>
      <c r="B10364">
        <v>9689</v>
      </c>
      <c r="C10364">
        <v>1</v>
      </c>
      <c r="D10364" s="17" t="s">
        <v>17166</v>
      </c>
      <c r="E10364" s="17"/>
      <c r="F10364" s="17" t="s">
        <v>17246</v>
      </c>
      <c r="G10364" s="17"/>
      <c r="H10364" s="17" t="s">
        <v>20919</v>
      </c>
      <c r="I10364" s="17"/>
      <c r="J10364" s="17" t="s">
        <v>21313</v>
      </c>
      <c r="K10364" s="17"/>
      <c r="L10364" s="17" t="s">
        <v>22378</v>
      </c>
      <c r="M10364" s="17"/>
      <c r="N10364" s="17" t="s">
        <v>22459</v>
      </c>
      <c r="O10364" s="17"/>
      <c r="P10364" s="17" t="s">
        <v>44796</v>
      </c>
      <c r="Q10364" s="17"/>
      <c r="R10364" s="25" t="str">
        <f>HYPERLINK("https://ictv.global/taxonomy/taxondetails?taxnode_id=202317012","Etingtavirus radicicola")</f>
        <v>Etingtavirus radicicola</v>
      </c>
      <c r="S10364" s="18" t="s">
        <v>30</v>
      </c>
      <c r="T10364" s="18" t="s">
        <v>44799</v>
      </c>
      <c r="U10364" s="18"/>
      <c r="V10364" s="18"/>
      <c r="W10364" s="18" t="s">
        <v>44800</v>
      </c>
      <c r="X10364" s="18" t="s">
        <v>35</v>
      </c>
      <c r="Y10364" s="18" t="s">
        <v>17171</v>
      </c>
      <c r="Z10364" s="18" t="s">
        <v>24637</v>
      </c>
      <c r="AA10364" s="21" t="str">
        <f>HYPERLINK("https://www.ncbi.nlm.nih.gov/nuccore/CASDWV010001020","NCBI Nucleotide")</f>
        <v>NCBI Nucleotide</v>
      </c>
    </row>
    <row r="10365" spans="1:27" x14ac:dyDescent="0.35">
      <c r="A10365">
        <v>1026234</v>
      </c>
      <c r="B10365">
        <v>9690</v>
      </c>
      <c r="C10365">
        <v>1</v>
      </c>
      <c r="D10365" s="17" t="s">
        <v>17166</v>
      </c>
      <c r="E10365" s="17"/>
      <c r="F10365" s="17" t="s">
        <v>17246</v>
      </c>
      <c r="G10365" s="17"/>
      <c r="H10365" s="17" t="s">
        <v>20919</v>
      </c>
      <c r="I10365" s="17"/>
      <c r="J10365" s="17" t="s">
        <v>21313</v>
      </c>
      <c r="K10365" s="17"/>
      <c r="L10365" s="17" t="s">
        <v>22378</v>
      </c>
      <c r="M10365" s="17"/>
      <c r="N10365" s="17" t="s">
        <v>22459</v>
      </c>
      <c r="O10365" s="17"/>
      <c r="P10365" s="17" t="s">
        <v>22655</v>
      </c>
      <c r="Q10365" s="17"/>
      <c r="R10365" s="25" t="str">
        <f>HYPERLINK("https://ictv.global/taxonomy/taxondetails?taxnode_id=202317013","Fagihovirus agrihabitans")</f>
        <v>Fagihovirus agrihabitans</v>
      </c>
      <c r="S10365" s="18" t="s">
        <v>30</v>
      </c>
      <c r="T10365" s="18" t="s">
        <v>44801</v>
      </c>
      <c r="U10365" s="18"/>
      <c r="V10365" s="18"/>
      <c r="W10365" s="18" t="s">
        <v>44802</v>
      </c>
      <c r="X10365" s="18" t="s">
        <v>35</v>
      </c>
      <c r="Y10365" s="18" t="s">
        <v>17171</v>
      </c>
      <c r="Z10365" s="18" t="s">
        <v>24637</v>
      </c>
      <c r="AA10365" s="21" t="str">
        <f>HYPERLINK("https://www.ncbi.nlm.nih.gov/nuccore/CASDWV010000119","NCBI Nucleotide")</f>
        <v>NCBI Nucleotide</v>
      </c>
    </row>
    <row r="10366" spans="1:27" x14ac:dyDescent="0.35">
      <c r="A10366">
        <v>1009912</v>
      </c>
      <c r="B10366">
        <v>9691</v>
      </c>
      <c r="C10366">
        <v>1</v>
      </c>
      <c r="D10366" s="17" t="s">
        <v>17166</v>
      </c>
      <c r="E10366" s="17"/>
      <c r="F10366" s="17" t="s">
        <v>17246</v>
      </c>
      <c r="G10366" s="17"/>
      <c r="H10366" s="17" t="s">
        <v>20919</v>
      </c>
      <c r="I10366" s="17"/>
      <c r="J10366" s="17" t="s">
        <v>21313</v>
      </c>
      <c r="K10366" s="17"/>
      <c r="L10366" s="17" t="s">
        <v>22378</v>
      </c>
      <c r="M10366" s="17"/>
      <c r="N10366" s="17" t="s">
        <v>22459</v>
      </c>
      <c r="O10366" s="17"/>
      <c r="P10366" s="17" t="s">
        <v>22655</v>
      </c>
      <c r="Q10366" s="17"/>
      <c r="R10366" s="25" t="str">
        <f>HYPERLINK("https://ictv.global/taxonomy/taxondetails?taxnode_id=202311107","Fagihovirus caenihabitans")</f>
        <v>Fagihovirus caenihabitans</v>
      </c>
      <c r="S10366" s="18" t="s">
        <v>30</v>
      </c>
      <c r="T10366" s="18" t="s">
        <v>22656</v>
      </c>
      <c r="U10366" s="18"/>
      <c r="V10366" s="18"/>
      <c r="W10366" s="18" t="s">
        <v>22657</v>
      </c>
      <c r="X10366" s="18" t="s">
        <v>35</v>
      </c>
      <c r="Y10366" s="18" t="s">
        <v>17171</v>
      </c>
      <c r="Z10366" s="18" t="s">
        <v>697</v>
      </c>
      <c r="AA10366" s="21" t="str">
        <f>HYPERLINK("https://www.ncbi.nlm.nih.gov/nuccore/BK014213","NCBI Nucleotide")</f>
        <v>NCBI Nucleotide</v>
      </c>
    </row>
    <row r="10367" spans="1:27" x14ac:dyDescent="0.35">
      <c r="A10367">
        <v>1009913</v>
      </c>
      <c r="B10367">
        <v>9692</v>
      </c>
      <c r="C10367">
        <v>1</v>
      </c>
      <c r="D10367" s="17" t="s">
        <v>17166</v>
      </c>
      <c r="E10367" s="17"/>
      <c r="F10367" s="17" t="s">
        <v>17246</v>
      </c>
      <c r="G10367" s="17"/>
      <c r="H10367" s="17" t="s">
        <v>20919</v>
      </c>
      <c r="I10367" s="17"/>
      <c r="J10367" s="17" t="s">
        <v>21313</v>
      </c>
      <c r="K10367" s="17"/>
      <c r="L10367" s="17" t="s">
        <v>22378</v>
      </c>
      <c r="M10367" s="17"/>
      <c r="N10367" s="17" t="s">
        <v>22459</v>
      </c>
      <c r="O10367" s="17"/>
      <c r="P10367" s="17" t="s">
        <v>22655</v>
      </c>
      <c r="Q10367" s="17"/>
      <c r="R10367" s="25" t="str">
        <f>HYPERLINK("https://ictv.global/taxonomy/taxondetails?taxnode_id=202311108","Fagihovirus chthonovivens")</f>
        <v>Fagihovirus chthonovivens</v>
      </c>
      <c r="S10367" s="18" t="s">
        <v>30</v>
      </c>
      <c r="T10367" s="18" t="s">
        <v>22658</v>
      </c>
      <c r="U10367" s="18"/>
      <c r="V10367" s="18"/>
      <c r="W10367" s="18" t="s">
        <v>22659</v>
      </c>
      <c r="X10367" s="18" t="s">
        <v>35</v>
      </c>
      <c r="Y10367" s="18" t="s">
        <v>17171</v>
      </c>
      <c r="Z10367" s="18" t="s">
        <v>697</v>
      </c>
      <c r="AA10367" s="21" t="str">
        <f>HYPERLINK("https://www.ncbi.nlm.nih.gov/nuccore/BK013873","NCBI Nucleotide")</f>
        <v>NCBI Nucleotide</v>
      </c>
    </row>
    <row r="10368" spans="1:27" x14ac:dyDescent="0.35">
      <c r="A10368">
        <v>1026235</v>
      </c>
      <c r="B10368">
        <v>9693</v>
      </c>
      <c r="C10368">
        <v>1</v>
      </c>
      <c r="D10368" s="17" t="s">
        <v>17166</v>
      </c>
      <c r="E10368" s="17"/>
      <c r="F10368" s="17" t="s">
        <v>17246</v>
      </c>
      <c r="G10368" s="17"/>
      <c r="H10368" s="17" t="s">
        <v>20919</v>
      </c>
      <c r="I10368" s="17"/>
      <c r="J10368" s="17" t="s">
        <v>21313</v>
      </c>
      <c r="K10368" s="17"/>
      <c r="L10368" s="17" t="s">
        <v>22378</v>
      </c>
      <c r="M10368" s="17"/>
      <c r="N10368" s="17" t="s">
        <v>22459</v>
      </c>
      <c r="O10368" s="17"/>
      <c r="P10368" s="17" t="s">
        <v>22655</v>
      </c>
      <c r="Q10368" s="17"/>
      <c r="R10368" s="25" t="str">
        <f>HYPERLINK("https://ictv.global/taxonomy/taxondetails?taxnode_id=202317014","Fagihovirus humadaptatum")</f>
        <v>Fagihovirus humadaptatum</v>
      </c>
      <c r="S10368" s="18" t="s">
        <v>30</v>
      </c>
      <c r="T10368" s="18" t="s">
        <v>44803</v>
      </c>
      <c r="U10368" s="18"/>
      <c r="V10368" s="18"/>
      <c r="W10368" s="18" t="s">
        <v>44804</v>
      </c>
      <c r="X10368" s="18" t="s">
        <v>35</v>
      </c>
      <c r="Y10368" s="18" t="s">
        <v>17171</v>
      </c>
      <c r="Z10368" s="18" t="s">
        <v>24637</v>
      </c>
      <c r="AA10368" s="21" t="str">
        <f>HYPERLINK("https://www.ncbi.nlm.nih.gov/nuccore/CASDWV010000175","NCBI Nucleotide")</f>
        <v>NCBI Nucleotide</v>
      </c>
    </row>
    <row r="10369" spans="1:27" x14ac:dyDescent="0.35">
      <c r="A10369">
        <v>1026236</v>
      </c>
      <c r="B10369">
        <v>9694</v>
      </c>
      <c r="C10369">
        <v>1</v>
      </c>
      <c r="D10369" s="17" t="s">
        <v>17166</v>
      </c>
      <c r="E10369" s="17"/>
      <c r="F10369" s="17" t="s">
        <v>17246</v>
      </c>
      <c r="G10369" s="17"/>
      <c r="H10369" s="17" t="s">
        <v>20919</v>
      </c>
      <c r="I10369" s="17"/>
      <c r="J10369" s="17" t="s">
        <v>21313</v>
      </c>
      <c r="K10369" s="17"/>
      <c r="L10369" s="17" t="s">
        <v>22378</v>
      </c>
      <c r="M10369" s="17"/>
      <c r="N10369" s="17" t="s">
        <v>22459</v>
      </c>
      <c r="O10369" s="17"/>
      <c r="P10369" s="17" t="s">
        <v>22655</v>
      </c>
      <c r="Q10369" s="17"/>
      <c r="R10369" s="25" t="str">
        <f>HYPERLINK("https://ictv.global/taxonomy/taxondetails?taxnode_id=202317015","Fagihovirus terrivivens")</f>
        <v>Fagihovirus terrivivens</v>
      </c>
      <c r="S10369" s="18" t="s">
        <v>30</v>
      </c>
      <c r="T10369" s="18" t="s">
        <v>44805</v>
      </c>
      <c r="U10369" s="18"/>
      <c r="V10369" s="18"/>
      <c r="W10369" s="18" t="s">
        <v>44806</v>
      </c>
      <c r="X10369" s="18" t="s">
        <v>35</v>
      </c>
      <c r="Y10369" s="18" t="s">
        <v>17171</v>
      </c>
      <c r="Z10369" s="18" t="s">
        <v>24637</v>
      </c>
      <c r="AA10369" s="21" t="str">
        <f>HYPERLINK("https://www.ncbi.nlm.nih.gov/nuccore/CASDWV010004863","NCBI Nucleotide")</f>
        <v>NCBI Nucleotide</v>
      </c>
    </row>
    <row r="10370" spans="1:27" x14ac:dyDescent="0.35">
      <c r="A10370">
        <v>1009914</v>
      </c>
      <c r="B10370">
        <v>9695</v>
      </c>
      <c r="C10370">
        <v>1</v>
      </c>
      <c r="D10370" s="17" t="s">
        <v>17166</v>
      </c>
      <c r="E10370" s="17"/>
      <c r="F10370" s="17" t="s">
        <v>17246</v>
      </c>
      <c r="G10370" s="17"/>
      <c r="H10370" s="17" t="s">
        <v>20919</v>
      </c>
      <c r="I10370" s="17"/>
      <c r="J10370" s="17" t="s">
        <v>21313</v>
      </c>
      <c r="K10370" s="17"/>
      <c r="L10370" s="17" t="s">
        <v>22378</v>
      </c>
      <c r="M10370" s="17"/>
      <c r="N10370" s="17" t="s">
        <v>22459</v>
      </c>
      <c r="O10370" s="17"/>
      <c r="P10370" s="17" t="s">
        <v>22660</v>
      </c>
      <c r="Q10370" s="17"/>
      <c r="R10370" s="25" t="str">
        <f>HYPERLINK("https://ictv.global/taxonomy/taxondetails?taxnode_id=202311110","Fejonovirus limenecus")</f>
        <v>Fejonovirus limenecus</v>
      </c>
      <c r="S10370" s="18" t="s">
        <v>30</v>
      </c>
      <c r="T10370" s="18" t="s">
        <v>22661</v>
      </c>
      <c r="U10370" s="18"/>
      <c r="V10370" s="18"/>
      <c r="W10370" s="18" t="s">
        <v>22662</v>
      </c>
      <c r="X10370" s="18" t="s">
        <v>35</v>
      </c>
      <c r="Y10370" s="18" t="s">
        <v>17171</v>
      </c>
      <c r="Z10370" s="18" t="s">
        <v>697</v>
      </c>
      <c r="AA10370" s="21" t="str">
        <f>HYPERLINK("https://www.ncbi.nlm.nih.gov/nuccore/BK013756","NCBI Nucleotide")</f>
        <v>NCBI Nucleotide</v>
      </c>
    </row>
    <row r="10371" spans="1:27" x14ac:dyDescent="0.35">
      <c r="A10371">
        <v>1009915</v>
      </c>
      <c r="B10371">
        <v>9696</v>
      </c>
      <c r="C10371">
        <v>1</v>
      </c>
      <c r="D10371" s="17" t="s">
        <v>17166</v>
      </c>
      <c r="E10371" s="17"/>
      <c r="F10371" s="17" t="s">
        <v>17246</v>
      </c>
      <c r="G10371" s="17"/>
      <c r="H10371" s="17" t="s">
        <v>20919</v>
      </c>
      <c r="I10371" s="17"/>
      <c r="J10371" s="17" t="s">
        <v>21313</v>
      </c>
      <c r="K10371" s="17"/>
      <c r="L10371" s="17" t="s">
        <v>22378</v>
      </c>
      <c r="M10371" s="17"/>
      <c r="N10371" s="17" t="s">
        <v>22459</v>
      </c>
      <c r="O10371" s="17"/>
      <c r="P10371" s="17" t="s">
        <v>22663</v>
      </c>
      <c r="Q10371" s="17"/>
      <c r="R10371" s="25" t="str">
        <f>HYPERLINK("https://ictv.global/taxonomy/taxondetails?taxnode_id=202311112","Ferahgovirus geoadaptatum")</f>
        <v>Ferahgovirus geoadaptatum</v>
      </c>
      <c r="S10371" s="18" t="s">
        <v>30</v>
      </c>
      <c r="T10371" s="18" t="s">
        <v>22664</v>
      </c>
      <c r="U10371" s="18"/>
      <c r="V10371" s="18"/>
      <c r="W10371" s="18" t="s">
        <v>22665</v>
      </c>
      <c r="X10371" s="18" t="s">
        <v>35</v>
      </c>
      <c r="Y10371" s="18" t="s">
        <v>17171</v>
      </c>
      <c r="Z10371" s="18" t="s">
        <v>697</v>
      </c>
      <c r="AA10371" s="21" t="str">
        <f>HYPERLINK("https://www.ncbi.nlm.nih.gov/nuccore/BK013944","NCBI Nucleotide")</f>
        <v>NCBI Nucleotide</v>
      </c>
    </row>
    <row r="10372" spans="1:27" x14ac:dyDescent="0.35">
      <c r="A10372">
        <v>1026128</v>
      </c>
      <c r="B10372">
        <v>9697</v>
      </c>
      <c r="C10372">
        <v>1</v>
      </c>
      <c r="D10372" s="17" t="s">
        <v>17166</v>
      </c>
      <c r="E10372" s="17"/>
      <c r="F10372" s="17" t="s">
        <v>17246</v>
      </c>
      <c r="G10372" s="17"/>
      <c r="H10372" s="17" t="s">
        <v>20919</v>
      </c>
      <c r="I10372" s="17"/>
      <c r="J10372" s="17" t="s">
        <v>21313</v>
      </c>
      <c r="K10372" s="17"/>
      <c r="L10372" s="17" t="s">
        <v>22378</v>
      </c>
      <c r="M10372" s="17"/>
      <c r="N10372" s="17" t="s">
        <v>22459</v>
      </c>
      <c r="O10372" s="17"/>
      <c r="P10372" s="17" t="s">
        <v>22666</v>
      </c>
      <c r="Q10372" s="17"/>
      <c r="R10372" s="25" t="str">
        <f>HYPERLINK("https://ictv.global/taxonomy/taxondetails?taxnode_id=202317016","Fluruvirus chthonovivens")</f>
        <v>Fluruvirus chthonovivens</v>
      </c>
      <c r="S10372" s="18" t="s">
        <v>30</v>
      </c>
      <c r="T10372" s="18" t="s">
        <v>44807</v>
      </c>
      <c r="U10372" s="18"/>
      <c r="V10372" s="18"/>
      <c r="W10372" s="18" t="s">
        <v>44808</v>
      </c>
      <c r="X10372" s="18" t="s">
        <v>35</v>
      </c>
      <c r="Y10372" s="18" t="s">
        <v>17171</v>
      </c>
      <c r="Z10372" s="18" t="s">
        <v>24637</v>
      </c>
      <c r="AA10372" s="21" t="str">
        <f>HYPERLINK("https://www.ncbi.nlm.nih.gov/nuccore/CASDWV010000523","NCBI Nucleotide")</f>
        <v>NCBI Nucleotide</v>
      </c>
    </row>
    <row r="10373" spans="1:27" x14ac:dyDescent="0.35">
      <c r="A10373">
        <v>1009916</v>
      </c>
      <c r="B10373">
        <v>9698</v>
      </c>
      <c r="C10373">
        <v>1</v>
      </c>
      <c r="D10373" s="17" t="s">
        <v>17166</v>
      </c>
      <c r="E10373" s="17"/>
      <c r="F10373" s="17" t="s">
        <v>17246</v>
      </c>
      <c r="G10373" s="17"/>
      <c r="H10373" s="17" t="s">
        <v>20919</v>
      </c>
      <c r="I10373" s="17"/>
      <c r="J10373" s="17" t="s">
        <v>21313</v>
      </c>
      <c r="K10373" s="17"/>
      <c r="L10373" s="17" t="s">
        <v>22378</v>
      </c>
      <c r="M10373" s="17"/>
      <c r="N10373" s="17" t="s">
        <v>22459</v>
      </c>
      <c r="O10373" s="17"/>
      <c r="P10373" s="17" t="s">
        <v>22666</v>
      </c>
      <c r="Q10373" s="17"/>
      <c r="R10373" s="25" t="str">
        <f>HYPERLINK("https://ictv.global/taxonomy/taxondetails?taxnode_id=202311114","Fluruvirus limivicinum")</f>
        <v>Fluruvirus limivicinum</v>
      </c>
      <c r="S10373" s="18" t="s">
        <v>30</v>
      </c>
      <c r="T10373" s="18" t="s">
        <v>22667</v>
      </c>
      <c r="U10373" s="18"/>
      <c r="V10373" s="18"/>
      <c r="W10373" s="18" t="s">
        <v>22668</v>
      </c>
      <c r="X10373" s="18" t="s">
        <v>35</v>
      </c>
      <c r="Y10373" s="18" t="s">
        <v>17171</v>
      </c>
      <c r="Z10373" s="18" t="s">
        <v>697</v>
      </c>
      <c r="AA10373" s="21" t="str">
        <f>HYPERLINK("https://www.ncbi.nlm.nih.gov/nuccore/BK014091","NCBI Nucleotide")</f>
        <v>NCBI Nucleotide</v>
      </c>
    </row>
    <row r="10374" spans="1:27" x14ac:dyDescent="0.35">
      <c r="A10374">
        <v>1026129</v>
      </c>
      <c r="B10374">
        <v>9699</v>
      </c>
      <c r="C10374">
        <v>1</v>
      </c>
      <c r="D10374" s="17" t="s">
        <v>17166</v>
      </c>
      <c r="E10374" s="17"/>
      <c r="F10374" s="17" t="s">
        <v>17246</v>
      </c>
      <c r="G10374" s="17"/>
      <c r="H10374" s="17" t="s">
        <v>20919</v>
      </c>
      <c r="I10374" s="17"/>
      <c r="J10374" s="17" t="s">
        <v>21313</v>
      </c>
      <c r="K10374" s="17"/>
      <c r="L10374" s="17" t="s">
        <v>22378</v>
      </c>
      <c r="M10374" s="17"/>
      <c r="N10374" s="17" t="s">
        <v>22459</v>
      </c>
      <c r="O10374" s="17"/>
      <c r="P10374" s="17" t="s">
        <v>22666</v>
      </c>
      <c r="Q10374" s="17"/>
      <c r="R10374" s="25" t="str">
        <f>HYPERLINK("https://ictv.global/taxonomy/taxondetails?taxnode_id=202317017","Fluruvirus tellurihabitans")</f>
        <v>Fluruvirus tellurihabitans</v>
      </c>
      <c r="S10374" s="18" t="s">
        <v>30</v>
      </c>
      <c r="T10374" s="18" t="s">
        <v>44809</v>
      </c>
      <c r="U10374" s="18"/>
      <c r="V10374" s="18"/>
      <c r="W10374" s="18" t="s">
        <v>44810</v>
      </c>
      <c r="X10374" s="18" t="s">
        <v>35</v>
      </c>
      <c r="Y10374" s="18" t="s">
        <v>17171</v>
      </c>
      <c r="Z10374" s="18" t="s">
        <v>24637</v>
      </c>
      <c r="AA10374" s="21" t="str">
        <f>HYPERLINK("https://www.ncbi.nlm.nih.gov/nuccore/CASDWV010003818","NCBI Nucleotide")</f>
        <v>NCBI Nucleotide</v>
      </c>
    </row>
    <row r="10375" spans="1:27" x14ac:dyDescent="0.35">
      <c r="A10375">
        <v>1009917</v>
      </c>
      <c r="B10375">
        <v>9700</v>
      </c>
      <c r="C10375">
        <v>1</v>
      </c>
      <c r="D10375" s="17" t="s">
        <v>17166</v>
      </c>
      <c r="E10375" s="17"/>
      <c r="F10375" s="17" t="s">
        <v>17246</v>
      </c>
      <c r="G10375" s="17"/>
      <c r="H10375" s="17" t="s">
        <v>20919</v>
      </c>
      <c r="I10375" s="17"/>
      <c r="J10375" s="17" t="s">
        <v>21313</v>
      </c>
      <c r="K10375" s="17"/>
      <c r="L10375" s="17" t="s">
        <v>22378</v>
      </c>
      <c r="M10375" s="17"/>
      <c r="N10375" s="17" t="s">
        <v>22459</v>
      </c>
      <c r="O10375" s="17"/>
      <c r="P10375" s="17" t="s">
        <v>22669</v>
      </c>
      <c r="Q10375" s="17"/>
      <c r="R10375" s="25" t="str">
        <f>HYPERLINK("https://ictv.global/taxonomy/taxondetails?taxnode_id=202311116","Frobavirus limivivens")</f>
        <v>Frobavirus limivivens</v>
      </c>
      <c r="S10375" s="18" t="s">
        <v>30</v>
      </c>
      <c r="T10375" s="18" t="s">
        <v>22670</v>
      </c>
      <c r="U10375" s="18"/>
      <c r="V10375" s="18"/>
      <c r="W10375" s="18" t="s">
        <v>22671</v>
      </c>
      <c r="X10375" s="18" t="s">
        <v>35</v>
      </c>
      <c r="Y10375" s="18" t="s">
        <v>17171</v>
      </c>
      <c r="Z10375" s="18" t="s">
        <v>697</v>
      </c>
      <c r="AA10375" s="21" t="str">
        <f>HYPERLINK("https://www.ncbi.nlm.nih.gov/nuccore/BK014168","NCBI Nucleotide")</f>
        <v>NCBI Nucleotide</v>
      </c>
    </row>
    <row r="10376" spans="1:27" x14ac:dyDescent="0.35">
      <c r="A10376">
        <v>1026115</v>
      </c>
      <c r="B10376">
        <v>9701</v>
      </c>
      <c r="C10376">
        <v>1</v>
      </c>
      <c r="D10376" s="17" t="s">
        <v>17166</v>
      </c>
      <c r="E10376" s="17"/>
      <c r="F10376" s="17" t="s">
        <v>17246</v>
      </c>
      <c r="G10376" s="17"/>
      <c r="H10376" s="17" t="s">
        <v>20919</v>
      </c>
      <c r="I10376" s="17"/>
      <c r="J10376" s="17" t="s">
        <v>21313</v>
      </c>
      <c r="K10376" s="17"/>
      <c r="L10376" s="17" t="s">
        <v>22378</v>
      </c>
      <c r="M10376" s="17"/>
      <c r="N10376" s="17" t="s">
        <v>22459</v>
      </c>
      <c r="O10376" s="17"/>
      <c r="P10376" s="17" t="s">
        <v>22669</v>
      </c>
      <c r="Q10376" s="17"/>
      <c r="R10376" s="25" t="str">
        <f>HYPERLINK("https://ictv.global/taxonomy/taxondetails?taxnode_id=202317018","Frobavirus nemorishabitans")</f>
        <v>Frobavirus nemorishabitans</v>
      </c>
      <c r="S10376" s="18" t="s">
        <v>30</v>
      </c>
      <c r="T10376" s="18" t="s">
        <v>44811</v>
      </c>
      <c r="U10376" s="18"/>
      <c r="V10376" s="18" t="s">
        <v>44811</v>
      </c>
      <c r="W10376" s="18" t="s">
        <v>44812</v>
      </c>
      <c r="X10376" s="18" t="s">
        <v>35</v>
      </c>
      <c r="Y10376" s="18" t="s">
        <v>17171</v>
      </c>
      <c r="Z10376" s="18" t="s">
        <v>24637</v>
      </c>
      <c r="AA10376" s="21" t="str">
        <f>HYPERLINK("https://www.ncbi.nlm.nih.gov/nuccore/MZ679677","NCBI Nucleotide")</f>
        <v>NCBI Nucleotide</v>
      </c>
    </row>
    <row r="10377" spans="1:27" x14ac:dyDescent="0.35">
      <c r="A10377">
        <v>1009918</v>
      </c>
      <c r="B10377">
        <v>9702</v>
      </c>
      <c r="C10377">
        <v>1</v>
      </c>
      <c r="D10377" s="17" t="s">
        <v>17166</v>
      </c>
      <c r="E10377" s="17"/>
      <c r="F10377" s="17" t="s">
        <v>17246</v>
      </c>
      <c r="G10377" s="17"/>
      <c r="H10377" s="17" t="s">
        <v>20919</v>
      </c>
      <c r="I10377" s="17"/>
      <c r="J10377" s="17" t="s">
        <v>21313</v>
      </c>
      <c r="K10377" s="17"/>
      <c r="L10377" s="17" t="s">
        <v>22378</v>
      </c>
      <c r="M10377" s="17"/>
      <c r="N10377" s="17" t="s">
        <v>22459</v>
      </c>
      <c r="O10377" s="17"/>
      <c r="P10377" s="17" t="s">
        <v>22672</v>
      </c>
      <c r="Q10377" s="17"/>
      <c r="R10377" s="25" t="str">
        <f>HYPERLINK("https://ictv.global/taxonomy/taxondetails?taxnode_id=202311118","Fudhoevirus lutadaptatum")</f>
        <v>Fudhoevirus lutadaptatum</v>
      </c>
      <c r="S10377" s="18" t="s">
        <v>30</v>
      </c>
      <c r="T10377" s="18" t="s">
        <v>22673</v>
      </c>
      <c r="U10377" s="18"/>
      <c r="V10377" s="18"/>
      <c r="W10377" s="18" t="s">
        <v>22674</v>
      </c>
      <c r="X10377" s="18" t="s">
        <v>35</v>
      </c>
      <c r="Y10377" s="18" t="s">
        <v>17171</v>
      </c>
      <c r="Z10377" s="18" t="s">
        <v>697</v>
      </c>
      <c r="AA10377" s="21" t="str">
        <f>HYPERLINK("https://www.ncbi.nlm.nih.gov/nuccore/BK014135","NCBI Nucleotide")</f>
        <v>NCBI Nucleotide</v>
      </c>
    </row>
    <row r="10378" spans="1:27" x14ac:dyDescent="0.35">
      <c r="A10378">
        <v>1009919</v>
      </c>
      <c r="B10378">
        <v>9703</v>
      </c>
      <c r="C10378">
        <v>1</v>
      </c>
      <c r="D10378" s="17" t="s">
        <v>17166</v>
      </c>
      <c r="E10378" s="17"/>
      <c r="F10378" s="17" t="s">
        <v>17246</v>
      </c>
      <c r="G10378" s="17"/>
      <c r="H10378" s="17" t="s">
        <v>20919</v>
      </c>
      <c r="I10378" s="17"/>
      <c r="J10378" s="17" t="s">
        <v>21313</v>
      </c>
      <c r="K10378" s="17"/>
      <c r="L10378" s="17" t="s">
        <v>22378</v>
      </c>
      <c r="M10378" s="17"/>
      <c r="N10378" s="17" t="s">
        <v>22459</v>
      </c>
      <c r="O10378" s="17"/>
      <c r="P10378" s="17" t="s">
        <v>22672</v>
      </c>
      <c r="Q10378" s="17"/>
      <c r="R10378" s="25" t="str">
        <f>HYPERLINK("https://ictv.global/taxonomy/taxondetails?taxnode_id=202311119","Fudhoevirus lutenecus")</f>
        <v>Fudhoevirus lutenecus</v>
      </c>
      <c r="S10378" s="18" t="s">
        <v>30</v>
      </c>
      <c r="T10378" s="18" t="s">
        <v>22675</v>
      </c>
      <c r="U10378" s="18"/>
      <c r="V10378" s="18"/>
      <c r="W10378" s="18" t="s">
        <v>22676</v>
      </c>
      <c r="X10378" s="18" t="s">
        <v>35</v>
      </c>
      <c r="Y10378" s="18" t="s">
        <v>17171</v>
      </c>
      <c r="Z10378" s="18" t="s">
        <v>697</v>
      </c>
      <c r="AA10378" s="21" t="str">
        <f>HYPERLINK("https://www.ncbi.nlm.nih.gov/nuccore/BK014071","NCBI Nucleotide")</f>
        <v>NCBI Nucleotide</v>
      </c>
    </row>
    <row r="10379" spans="1:27" x14ac:dyDescent="0.35">
      <c r="A10379">
        <v>1026116</v>
      </c>
      <c r="B10379">
        <v>9704</v>
      </c>
      <c r="C10379">
        <v>1</v>
      </c>
      <c r="D10379" s="17" t="s">
        <v>17166</v>
      </c>
      <c r="E10379" s="17"/>
      <c r="F10379" s="17" t="s">
        <v>17246</v>
      </c>
      <c r="G10379" s="17"/>
      <c r="H10379" s="17" t="s">
        <v>20919</v>
      </c>
      <c r="I10379" s="17"/>
      <c r="J10379" s="17" t="s">
        <v>21313</v>
      </c>
      <c r="K10379" s="17"/>
      <c r="L10379" s="17" t="s">
        <v>22378</v>
      </c>
      <c r="M10379" s="17"/>
      <c r="N10379" s="17" t="s">
        <v>22459</v>
      </c>
      <c r="O10379" s="17"/>
      <c r="P10379" s="17" t="s">
        <v>22672</v>
      </c>
      <c r="Q10379" s="17"/>
      <c r="R10379" s="25" t="str">
        <f>HYPERLINK("https://ictv.global/taxonomy/taxondetails?taxnode_id=202317019","Fudhoevirus messivivens")</f>
        <v>Fudhoevirus messivivens</v>
      </c>
      <c r="S10379" s="18" t="s">
        <v>30</v>
      </c>
      <c r="T10379" s="18" t="s">
        <v>44813</v>
      </c>
      <c r="U10379" s="18"/>
      <c r="V10379" s="18"/>
      <c r="W10379" s="18" t="s">
        <v>44814</v>
      </c>
      <c r="X10379" s="18" t="s">
        <v>35</v>
      </c>
      <c r="Y10379" s="18" t="s">
        <v>17171</v>
      </c>
      <c r="Z10379" s="18" t="s">
        <v>24637</v>
      </c>
      <c r="AA10379" s="21" t="str">
        <f>HYPERLINK("https://www.ncbi.nlm.nih.gov/nuccore/CASDWV010001323","NCBI Nucleotide")</f>
        <v>NCBI Nucleotide</v>
      </c>
    </row>
    <row r="10380" spans="1:27" x14ac:dyDescent="0.35">
      <c r="A10380">
        <v>1026117</v>
      </c>
      <c r="B10380">
        <v>9705</v>
      </c>
      <c r="C10380">
        <v>1</v>
      </c>
      <c r="D10380" s="17" t="s">
        <v>17166</v>
      </c>
      <c r="E10380" s="17"/>
      <c r="F10380" s="17" t="s">
        <v>17246</v>
      </c>
      <c r="G10380" s="17"/>
      <c r="H10380" s="17" t="s">
        <v>20919</v>
      </c>
      <c r="I10380" s="17"/>
      <c r="J10380" s="17" t="s">
        <v>21313</v>
      </c>
      <c r="K10380" s="17"/>
      <c r="L10380" s="17" t="s">
        <v>22378</v>
      </c>
      <c r="M10380" s="17"/>
      <c r="N10380" s="17" t="s">
        <v>22459</v>
      </c>
      <c r="O10380" s="17"/>
      <c r="P10380" s="17" t="s">
        <v>22672</v>
      </c>
      <c r="Q10380" s="17"/>
      <c r="R10380" s="25" t="str">
        <f>HYPERLINK("https://ictv.global/taxonomy/taxondetails?taxnode_id=202317020","Fudhoevirus terrihabitans")</f>
        <v>Fudhoevirus terrihabitans</v>
      </c>
      <c r="S10380" s="18" t="s">
        <v>30</v>
      </c>
      <c r="T10380" s="18" t="s">
        <v>44815</v>
      </c>
      <c r="U10380" s="18"/>
      <c r="V10380" s="18"/>
      <c r="W10380" s="18" t="s">
        <v>44816</v>
      </c>
      <c r="X10380" s="18" t="s">
        <v>35</v>
      </c>
      <c r="Y10380" s="18" t="s">
        <v>17171</v>
      </c>
      <c r="Z10380" s="18" t="s">
        <v>24637</v>
      </c>
      <c r="AA10380" s="21" t="str">
        <f>HYPERLINK("https://www.ncbi.nlm.nih.gov/nuccore/CASDWV010001003","NCBI Nucleotide")</f>
        <v>NCBI Nucleotide</v>
      </c>
    </row>
    <row r="10381" spans="1:27" x14ac:dyDescent="0.35">
      <c r="A10381">
        <v>1009920</v>
      </c>
      <c r="B10381">
        <v>9706</v>
      </c>
      <c r="C10381">
        <v>1</v>
      </c>
      <c r="D10381" s="17" t="s">
        <v>17166</v>
      </c>
      <c r="E10381" s="17"/>
      <c r="F10381" s="17" t="s">
        <v>17246</v>
      </c>
      <c r="G10381" s="17"/>
      <c r="H10381" s="17" t="s">
        <v>20919</v>
      </c>
      <c r="I10381" s="17"/>
      <c r="J10381" s="17" t="s">
        <v>21313</v>
      </c>
      <c r="K10381" s="17"/>
      <c r="L10381" s="17" t="s">
        <v>22378</v>
      </c>
      <c r="M10381" s="17"/>
      <c r="N10381" s="17" t="s">
        <v>22459</v>
      </c>
      <c r="O10381" s="17"/>
      <c r="P10381" s="17" t="s">
        <v>22677</v>
      </c>
      <c r="Q10381" s="17"/>
      <c r="R10381" s="25" t="str">
        <f>HYPERLINK("https://ictv.global/taxonomy/taxondetails?taxnode_id=202311121","Gahmegovirus lutivicinum")</f>
        <v>Gahmegovirus lutivicinum</v>
      </c>
      <c r="S10381" s="18" t="s">
        <v>30</v>
      </c>
      <c r="T10381" s="18" t="s">
        <v>22678</v>
      </c>
      <c r="U10381" s="18"/>
      <c r="V10381" s="18"/>
      <c r="W10381" s="18" t="s">
        <v>22679</v>
      </c>
      <c r="X10381" s="18" t="s">
        <v>35</v>
      </c>
      <c r="Y10381" s="18" t="s">
        <v>17171</v>
      </c>
      <c r="Z10381" s="18" t="s">
        <v>697</v>
      </c>
      <c r="AA10381" s="21" t="str">
        <f>HYPERLINK("https://www.ncbi.nlm.nih.gov/nuccore/BK013704","NCBI Nucleotide")</f>
        <v>NCBI Nucleotide</v>
      </c>
    </row>
    <row r="10382" spans="1:27" x14ac:dyDescent="0.35">
      <c r="A10382">
        <v>1009892</v>
      </c>
      <c r="B10382">
        <v>9707</v>
      </c>
      <c r="C10382">
        <v>1</v>
      </c>
      <c r="D10382" s="17" t="s">
        <v>17166</v>
      </c>
      <c r="E10382" s="17"/>
      <c r="F10382" s="17" t="s">
        <v>17246</v>
      </c>
      <c r="G10382" s="17"/>
      <c r="H10382" s="17" t="s">
        <v>20919</v>
      </c>
      <c r="I10382" s="17"/>
      <c r="J10382" s="17" t="s">
        <v>21313</v>
      </c>
      <c r="K10382" s="17"/>
      <c r="L10382" s="17" t="s">
        <v>22378</v>
      </c>
      <c r="M10382" s="17"/>
      <c r="N10382" s="17" t="s">
        <v>22459</v>
      </c>
      <c r="O10382" s="17"/>
      <c r="P10382" s="17" t="s">
        <v>22680</v>
      </c>
      <c r="Q10382" s="17"/>
      <c r="R10382" s="25" t="str">
        <f>HYPERLINK("https://ictv.global/taxonomy/taxondetails?taxnode_id=202311077","Garnievirus chorocola")</f>
        <v>Garnievirus chorocola</v>
      </c>
      <c r="S10382" s="18" t="s">
        <v>30</v>
      </c>
      <c r="T10382" s="18" t="s">
        <v>22616</v>
      </c>
      <c r="U10382" s="18"/>
      <c r="V10382" s="18"/>
      <c r="W10382" s="18" t="s">
        <v>22617</v>
      </c>
      <c r="X10382" s="18" t="s">
        <v>35</v>
      </c>
      <c r="Y10382" s="18" t="s">
        <v>17171</v>
      </c>
      <c r="Z10382" s="18" t="s">
        <v>697</v>
      </c>
      <c r="AA10382" s="21" t="str">
        <f>HYPERLINK("https://www.ncbi.nlm.nih.gov/nuccore/BK013418","NCBI Nucleotide")</f>
        <v>NCBI Nucleotide</v>
      </c>
    </row>
    <row r="10383" spans="1:27" x14ac:dyDescent="0.35">
      <c r="A10383">
        <v>1026130</v>
      </c>
      <c r="B10383">
        <v>9708</v>
      </c>
      <c r="C10383">
        <v>1</v>
      </c>
      <c r="D10383" s="17" t="s">
        <v>17166</v>
      </c>
      <c r="E10383" s="17"/>
      <c r="F10383" s="17" t="s">
        <v>17246</v>
      </c>
      <c r="G10383" s="17"/>
      <c r="H10383" s="17" t="s">
        <v>20919</v>
      </c>
      <c r="I10383" s="17"/>
      <c r="J10383" s="17" t="s">
        <v>21313</v>
      </c>
      <c r="K10383" s="17"/>
      <c r="L10383" s="17" t="s">
        <v>22378</v>
      </c>
      <c r="M10383" s="17"/>
      <c r="N10383" s="17" t="s">
        <v>22459</v>
      </c>
      <c r="O10383" s="17"/>
      <c r="P10383" s="17" t="s">
        <v>22680</v>
      </c>
      <c r="Q10383" s="17"/>
      <c r="R10383" s="25" t="str">
        <f>HYPERLINK("https://ictv.global/taxonomy/taxondetails?taxnode_id=202317021","Garnievirus chthonovivens")</f>
        <v>Garnievirus chthonovivens</v>
      </c>
      <c r="S10383" s="18" t="s">
        <v>30</v>
      </c>
      <c r="T10383" s="18" t="s">
        <v>44817</v>
      </c>
      <c r="U10383" s="18"/>
      <c r="V10383" s="18"/>
      <c r="W10383" s="18" t="s">
        <v>44818</v>
      </c>
      <c r="X10383" s="18" t="s">
        <v>35</v>
      </c>
      <c r="Y10383" s="18" t="s">
        <v>17171</v>
      </c>
      <c r="Z10383" s="18" t="s">
        <v>24637</v>
      </c>
      <c r="AA10383" s="21" t="str">
        <f>HYPERLINK("https://www.ncbi.nlm.nih.gov/nuccore/CASDWV010002039","NCBI Nucleotide")</f>
        <v>NCBI Nucleotide</v>
      </c>
    </row>
    <row r="10384" spans="1:27" x14ac:dyDescent="0.35">
      <c r="A10384">
        <v>1026131</v>
      </c>
      <c r="B10384">
        <v>9709</v>
      </c>
      <c r="C10384">
        <v>1</v>
      </c>
      <c r="D10384" s="17" t="s">
        <v>17166</v>
      </c>
      <c r="E10384" s="17"/>
      <c r="F10384" s="17" t="s">
        <v>17246</v>
      </c>
      <c r="G10384" s="17"/>
      <c r="H10384" s="17" t="s">
        <v>20919</v>
      </c>
      <c r="I10384" s="17"/>
      <c r="J10384" s="17" t="s">
        <v>21313</v>
      </c>
      <c r="K10384" s="17"/>
      <c r="L10384" s="17" t="s">
        <v>22378</v>
      </c>
      <c r="M10384" s="17"/>
      <c r="N10384" s="17" t="s">
        <v>22459</v>
      </c>
      <c r="O10384" s="17"/>
      <c r="P10384" s="17" t="s">
        <v>22680</v>
      </c>
      <c r="Q10384" s="17"/>
      <c r="R10384" s="25" t="str">
        <f>HYPERLINK("https://ictv.global/taxonomy/taxondetails?taxnode_id=202317022","Garnievirus edaphohabitans")</f>
        <v>Garnievirus edaphohabitans</v>
      </c>
      <c r="S10384" s="18" t="s">
        <v>30</v>
      </c>
      <c r="T10384" s="18" t="s">
        <v>44819</v>
      </c>
      <c r="U10384" s="18"/>
      <c r="V10384" s="18"/>
      <c r="W10384" s="18" t="s">
        <v>44820</v>
      </c>
      <c r="X10384" s="18" t="s">
        <v>35</v>
      </c>
      <c r="Y10384" s="18" t="s">
        <v>17171</v>
      </c>
      <c r="Z10384" s="18" t="s">
        <v>24637</v>
      </c>
      <c r="AA10384" s="21" t="str">
        <f>HYPERLINK("https://www.ncbi.nlm.nih.gov/nuccore/CASDWV010004501","NCBI Nucleotide")</f>
        <v>NCBI Nucleotide</v>
      </c>
    </row>
    <row r="10385" spans="1:27" x14ac:dyDescent="0.35">
      <c r="A10385">
        <v>1026132</v>
      </c>
      <c r="B10385">
        <v>9710</v>
      </c>
      <c r="C10385">
        <v>1</v>
      </c>
      <c r="D10385" s="17" t="s">
        <v>17166</v>
      </c>
      <c r="E10385" s="17"/>
      <c r="F10385" s="17" t="s">
        <v>17246</v>
      </c>
      <c r="G10385" s="17"/>
      <c r="H10385" s="17" t="s">
        <v>20919</v>
      </c>
      <c r="I10385" s="17"/>
      <c r="J10385" s="17" t="s">
        <v>21313</v>
      </c>
      <c r="K10385" s="17"/>
      <c r="L10385" s="17" t="s">
        <v>22378</v>
      </c>
      <c r="M10385" s="17"/>
      <c r="N10385" s="17" t="s">
        <v>22459</v>
      </c>
      <c r="O10385" s="17"/>
      <c r="P10385" s="17" t="s">
        <v>22680</v>
      </c>
      <c r="Q10385" s="17"/>
      <c r="R10385" s="25" t="str">
        <f>HYPERLINK("https://ictv.global/taxonomy/taxondetails?taxnode_id=202317023","Garnievirus faecadaptatum")</f>
        <v>Garnievirus faecadaptatum</v>
      </c>
      <c r="S10385" s="18" t="s">
        <v>30</v>
      </c>
      <c r="T10385" s="18" t="s">
        <v>44821</v>
      </c>
      <c r="U10385" s="18"/>
      <c r="V10385" s="18" t="s">
        <v>44821</v>
      </c>
      <c r="W10385" s="18" t="s">
        <v>44822</v>
      </c>
      <c r="X10385" s="18" t="s">
        <v>35</v>
      </c>
      <c r="Y10385" s="18" t="s">
        <v>17171</v>
      </c>
      <c r="Z10385" s="18" t="s">
        <v>24637</v>
      </c>
      <c r="AA10385" s="21" t="str">
        <f>HYPERLINK("https://www.ncbi.nlm.nih.gov/nuccore/MZ679823","NCBI Nucleotide")</f>
        <v>NCBI Nucleotide</v>
      </c>
    </row>
    <row r="10386" spans="1:27" x14ac:dyDescent="0.35">
      <c r="A10386">
        <v>1026133</v>
      </c>
      <c r="B10386">
        <v>9711</v>
      </c>
      <c r="C10386">
        <v>1</v>
      </c>
      <c r="D10386" s="17" t="s">
        <v>17166</v>
      </c>
      <c r="E10386" s="17"/>
      <c r="F10386" s="17" t="s">
        <v>17246</v>
      </c>
      <c r="G10386" s="17"/>
      <c r="H10386" s="17" t="s">
        <v>20919</v>
      </c>
      <c r="I10386" s="17"/>
      <c r="J10386" s="17" t="s">
        <v>21313</v>
      </c>
      <c r="K10386" s="17"/>
      <c r="L10386" s="17" t="s">
        <v>22378</v>
      </c>
      <c r="M10386" s="17"/>
      <c r="N10386" s="17" t="s">
        <v>22459</v>
      </c>
      <c r="O10386" s="17"/>
      <c r="P10386" s="17" t="s">
        <v>22680</v>
      </c>
      <c r="Q10386" s="17"/>
      <c r="R10386" s="25" t="str">
        <f>HYPERLINK("https://ictv.global/taxonomy/taxondetails?taxnode_id=202317024","Garnievirus faecivicinum")</f>
        <v>Garnievirus faecivicinum</v>
      </c>
      <c r="S10386" s="18" t="s">
        <v>30</v>
      </c>
      <c r="T10386" s="18" t="s">
        <v>44823</v>
      </c>
      <c r="U10386" s="18"/>
      <c r="V10386" s="18" t="s">
        <v>44823</v>
      </c>
      <c r="W10386" s="18" t="s">
        <v>44824</v>
      </c>
      <c r="X10386" s="18" t="s">
        <v>35</v>
      </c>
      <c r="Y10386" s="18" t="s">
        <v>17171</v>
      </c>
      <c r="Z10386" s="18" t="s">
        <v>24637</v>
      </c>
      <c r="AA10386" s="21" t="str">
        <f>HYPERLINK("https://www.ncbi.nlm.nih.gov/nuccore/MZ679670","NCBI Nucleotide")</f>
        <v>NCBI Nucleotide</v>
      </c>
    </row>
    <row r="10387" spans="1:27" x14ac:dyDescent="0.35">
      <c r="A10387">
        <v>1010122</v>
      </c>
      <c r="B10387">
        <v>9712</v>
      </c>
      <c r="C10387">
        <v>1</v>
      </c>
      <c r="D10387" s="17" t="s">
        <v>17166</v>
      </c>
      <c r="E10387" s="17"/>
      <c r="F10387" s="17" t="s">
        <v>17246</v>
      </c>
      <c r="G10387" s="17"/>
      <c r="H10387" s="17" t="s">
        <v>20919</v>
      </c>
      <c r="I10387" s="17"/>
      <c r="J10387" s="17" t="s">
        <v>21313</v>
      </c>
      <c r="K10387" s="17"/>
      <c r="L10387" s="17" t="s">
        <v>22378</v>
      </c>
      <c r="M10387" s="17"/>
      <c r="N10387" s="17" t="s">
        <v>22459</v>
      </c>
      <c r="O10387" s="17"/>
      <c r="P10387" s="17" t="s">
        <v>22680</v>
      </c>
      <c r="Q10387" s="17"/>
      <c r="R10387" s="25" t="str">
        <f>HYPERLINK("https://ictv.global/taxonomy/taxondetails?taxnode_id=202311369","Garnievirus humivivens")</f>
        <v>Garnievirus humivivens</v>
      </c>
      <c r="S10387" s="18" t="s">
        <v>30</v>
      </c>
      <c r="T10387" s="18" t="s">
        <v>23095</v>
      </c>
      <c r="U10387" s="18"/>
      <c r="V10387" s="18"/>
      <c r="W10387" s="18" t="s">
        <v>23096</v>
      </c>
      <c r="X10387" s="18" t="s">
        <v>35</v>
      </c>
      <c r="Y10387" s="18" t="s">
        <v>17171</v>
      </c>
      <c r="Z10387" s="18" t="s">
        <v>697</v>
      </c>
      <c r="AA10387" s="21" t="str">
        <f>HYPERLINK("https://www.ncbi.nlm.nih.gov/nuccore/BK013844","NCBI Nucleotide")</f>
        <v>NCBI Nucleotide</v>
      </c>
    </row>
    <row r="10388" spans="1:27" x14ac:dyDescent="0.35">
      <c r="A10388">
        <v>1009921</v>
      </c>
      <c r="B10388">
        <v>9713</v>
      </c>
      <c r="C10388">
        <v>1</v>
      </c>
      <c r="D10388" s="17" t="s">
        <v>17166</v>
      </c>
      <c r="E10388" s="17"/>
      <c r="F10388" s="17" t="s">
        <v>17246</v>
      </c>
      <c r="G10388" s="17"/>
      <c r="H10388" s="17" t="s">
        <v>20919</v>
      </c>
      <c r="I10388" s="17"/>
      <c r="J10388" s="17" t="s">
        <v>21313</v>
      </c>
      <c r="K10388" s="17"/>
      <c r="L10388" s="17" t="s">
        <v>22378</v>
      </c>
      <c r="M10388" s="17"/>
      <c r="N10388" s="17" t="s">
        <v>22459</v>
      </c>
      <c r="O10388" s="17"/>
      <c r="P10388" s="17" t="s">
        <v>22680</v>
      </c>
      <c r="Q10388" s="17"/>
      <c r="R10388" s="25" t="str">
        <f>HYPERLINK("https://ictv.global/taxonomy/taxondetails?taxnode_id=202311123","Garnievirus lutivivens")</f>
        <v>Garnievirus lutivivens</v>
      </c>
      <c r="S10388" s="18" t="s">
        <v>30</v>
      </c>
      <c r="T10388" s="18" t="s">
        <v>22681</v>
      </c>
      <c r="U10388" s="18"/>
      <c r="V10388" s="18"/>
      <c r="W10388" s="18" t="s">
        <v>22682</v>
      </c>
      <c r="X10388" s="18" t="s">
        <v>35</v>
      </c>
      <c r="Y10388" s="18" t="s">
        <v>17171</v>
      </c>
      <c r="Z10388" s="18" t="s">
        <v>697</v>
      </c>
      <c r="AA10388" s="21" t="str">
        <f>HYPERLINK("https://www.ncbi.nlm.nih.gov/nuccore/BK014084","NCBI Nucleotide")</f>
        <v>NCBI Nucleotide</v>
      </c>
    </row>
    <row r="10389" spans="1:27" x14ac:dyDescent="0.35">
      <c r="A10389">
        <v>1026134</v>
      </c>
      <c r="B10389">
        <v>9714</v>
      </c>
      <c r="C10389">
        <v>1</v>
      </c>
      <c r="D10389" s="17" t="s">
        <v>17166</v>
      </c>
      <c r="E10389" s="17"/>
      <c r="F10389" s="17" t="s">
        <v>17246</v>
      </c>
      <c r="G10389" s="17"/>
      <c r="H10389" s="17" t="s">
        <v>20919</v>
      </c>
      <c r="I10389" s="17"/>
      <c r="J10389" s="17" t="s">
        <v>21313</v>
      </c>
      <c r="K10389" s="17"/>
      <c r="L10389" s="17" t="s">
        <v>22378</v>
      </c>
      <c r="M10389" s="17"/>
      <c r="N10389" s="17" t="s">
        <v>22459</v>
      </c>
      <c r="O10389" s="17"/>
      <c r="P10389" s="17" t="s">
        <v>22680</v>
      </c>
      <c r="Q10389" s="17"/>
      <c r="R10389" s="25" t="str">
        <f>HYPERLINK("https://ictv.global/taxonomy/taxondetails?taxnode_id=202317025","Garnievirus montiscola")</f>
        <v>Garnievirus montiscola</v>
      </c>
      <c r="S10389" s="18" t="s">
        <v>30</v>
      </c>
      <c r="T10389" s="18" t="s">
        <v>44825</v>
      </c>
      <c r="U10389" s="18"/>
      <c r="V10389" s="18" t="s">
        <v>44825</v>
      </c>
      <c r="W10389" s="18" t="s">
        <v>44826</v>
      </c>
      <c r="X10389" s="18" t="s">
        <v>35</v>
      </c>
      <c r="Y10389" s="18" t="s">
        <v>17171</v>
      </c>
      <c r="Z10389" s="18" t="s">
        <v>24637</v>
      </c>
      <c r="AA10389" s="21" t="str">
        <f>HYPERLINK("https://www.ncbi.nlm.nih.gov/nuccore/MZ679791","NCBI Nucleotide")</f>
        <v>NCBI Nucleotide</v>
      </c>
    </row>
    <row r="10390" spans="1:27" x14ac:dyDescent="0.35">
      <c r="A10390">
        <v>1026135</v>
      </c>
      <c r="B10390">
        <v>9715</v>
      </c>
      <c r="C10390">
        <v>1</v>
      </c>
      <c r="D10390" s="17" t="s">
        <v>17166</v>
      </c>
      <c r="E10390" s="17"/>
      <c r="F10390" s="17" t="s">
        <v>17246</v>
      </c>
      <c r="G10390" s="17"/>
      <c r="H10390" s="17" t="s">
        <v>20919</v>
      </c>
      <c r="I10390" s="17"/>
      <c r="J10390" s="17" t="s">
        <v>21313</v>
      </c>
      <c r="K10390" s="17"/>
      <c r="L10390" s="17" t="s">
        <v>22378</v>
      </c>
      <c r="M10390" s="17"/>
      <c r="N10390" s="17" t="s">
        <v>22459</v>
      </c>
      <c r="O10390" s="17"/>
      <c r="P10390" s="17" t="s">
        <v>22680</v>
      </c>
      <c r="Q10390" s="17"/>
      <c r="R10390" s="25" t="str">
        <f>HYPERLINK("https://ictv.global/taxonomy/taxondetails?taxnode_id=202317026","Garnievirus pedocola")</f>
        <v>Garnievirus pedocola</v>
      </c>
      <c r="S10390" s="18" t="s">
        <v>30</v>
      </c>
      <c r="T10390" s="18" t="s">
        <v>44827</v>
      </c>
      <c r="U10390" s="18"/>
      <c r="V10390" s="18"/>
      <c r="W10390" s="18" t="s">
        <v>44828</v>
      </c>
      <c r="X10390" s="18" t="s">
        <v>35</v>
      </c>
      <c r="Y10390" s="18" t="s">
        <v>17171</v>
      </c>
      <c r="Z10390" s="18" t="s">
        <v>24637</v>
      </c>
      <c r="AA10390" s="21" t="str">
        <f>HYPERLINK("https://www.ncbi.nlm.nih.gov/nuccore/CASDWV010003454","NCBI Nucleotide")</f>
        <v>NCBI Nucleotide</v>
      </c>
    </row>
    <row r="10391" spans="1:27" x14ac:dyDescent="0.35">
      <c r="A10391">
        <v>1026136</v>
      </c>
      <c r="B10391">
        <v>9716</v>
      </c>
      <c r="C10391">
        <v>1</v>
      </c>
      <c r="D10391" s="17" t="s">
        <v>17166</v>
      </c>
      <c r="E10391" s="17"/>
      <c r="F10391" s="17" t="s">
        <v>17246</v>
      </c>
      <c r="G10391" s="17"/>
      <c r="H10391" s="17" t="s">
        <v>20919</v>
      </c>
      <c r="I10391" s="17"/>
      <c r="J10391" s="17" t="s">
        <v>21313</v>
      </c>
      <c r="K10391" s="17"/>
      <c r="L10391" s="17" t="s">
        <v>22378</v>
      </c>
      <c r="M10391" s="17"/>
      <c r="N10391" s="17" t="s">
        <v>22459</v>
      </c>
      <c r="O10391" s="17"/>
      <c r="P10391" s="17" t="s">
        <v>22680</v>
      </c>
      <c r="Q10391" s="17"/>
      <c r="R10391" s="25" t="str">
        <f>HYPERLINK("https://ictv.global/taxonomy/taxondetails?taxnode_id=202317027","Garnievirus pedovivens")</f>
        <v>Garnievirus pedovivens</v>
      </c>
      <c r="S10391" s="18" t="s">
        <v>30</v>
      </c>
      <c r="T10391" s="18" t="s">
        <v>44829</v>
      </c>
      <c r="U10391" s="18"/>
      <c r="V10391" s="18"/>
      <c r="W10391" s="18" t="s">
        <v>44830</v>
      </c>
      <c r="X10391" s="18" t="s">
        <v>35</v>
      </c>
      <c r="Y10391" s="18" t="s">
        <v>17171</v>
      </c>
      <c r="Z10391" s="18" t="s">
        <v>24637</v>
      </c>
      <c r="AA10391" s="21" t="str">
        <f>HYPERLINK("https://www.ncbi.nlm.nih.gov/nuccore/CASDWV010004688","NCBI Nucleotide")</f>
        <v>NCBI Nucleotide</v>
      </c>
    </row>
    <row r="10392" spans="1:27" x14ac:dyDescent="0.35">
      <c r="A10392">
        <v>1026180</v>
      </c>
      <c r="B10392">
        <v>9717</v>
      </c>
      <c r="C10392">
        <v>1</v>
      </c>
      <c r="D10392" s="17" t="s">
        <v>17166</v>
      </c>
      <c r="E10392" s="17"/>
      <c r="F10392" s="17" t="s">
        <v>17246</v>
      </c>
      <c r="G10392" s="17"/>
      <c r="H10392" s="17" t="s">
        <v>20919</v>
      </c>
      <c r="I10392" s="17"/>
      <c r="J10392" s="17" t="s">
        <v>21313</v>
      </c>
      <c r="K10392" s="17"/>
      <c r="L10392" s="17" t="s">
        <v>22378</v>
      </c>
      <c r="M10392" s="17"/>
      <c r="N10392" s="17" t="s">
        <v>22459</v>
      </c>
      <c r="O10392" s="17"/>
      <c r="P10392" s="17" t="s">
        <v>22683</v>
      </c>
      <c r="Q10392" s="17"/>
      <c r="R10392" s="25" t="str">
        <f>HYPERLINK("https://ictv.global/taxonomy/taxondetails?taxnode_id=202317028","Gehrmavirus asiocola")</f>
        <v>Gehrmavirus asiocola</v>
      </c>
      <c r="S10392" s="18" t="s">
        <v>30</v>
      </c>
      <c r="T10392" s="18" t="s">
        <v>44831</v>
      </c>
      <c r="U10392" s="18"/>
      <c r="V10392" s="18"/>
      <c r="W10392" s="18" t="s">
        <v>44832</v>
      </c>
      <c r="X10392" s="18" t="s">
        <v>35</v>
      </c>
      <c r="Y10392" s="18" t="s">
        <v>17171</v>
      </c>
      <c r="Z10392" s="18" t="s">
        <v>24637</v>
      </c>
      <c r="AA10392" s="21" t="str">
        <f>HYPERLINK("https://www.ncbi.nlm.nih.gov/nuccore/CASDWV010002815","NCBI Nucleotide")</f>
        <v>NCBI Nucleotide</v>
      </c>
    </row>
    <row r="10393" spans="1:27" x14ac:dyDescent="0.35">
      <c r="A10393">
        <v>1009922</v>
      </c>
      <c r="B10393">
        <v>9718</v>
      </c>
      <c r="C10393">
        <v>1</v>
      </c>
      <c r="D10393" s="17" t="s">
        <v>17166</v>
      </c>
      <c r="E10393" s="17"/>
      <c r="F10393" s="17" t="s">
        <v>17246</v>
      </c>
      <c r="G10393" s="17"/>
      <c r="H10393" s="17" t="s">
        <v>20919</v>
      </c>
      <c r="I10393" s="17"/>
      <c r="J10393" s="17" t="s">
        <v>21313</v>
      </c>
      <c r="K10393" s="17"/>
      <c r="L10393" s="17" t="s">
        <v>22378</v>
      </c>
      <c r="M10393" s="17"/>
      <c r="N10393" s="17" t="s">
        <v>22459</v>
      </c>
      <c r="O10393" s="17"/>
      <c r="P10393" s="17" t="s">
        <v>22683</v>
      </c>
      <c r="Q10393" s="17"/>
      <c r="R10393" s="25" t="str">
        <f>HYPERLINK("https://ictv.global/taxonomy/taxondetails?taxnode_id=202311125","Gehrmavirus geocola")</f>
        <v>Gehrmavirus geocola</v>
      </c>
      <c r="S10393" s="18" t="s">
        <v>30</v>
      </c>
      <c r="T10393" s="18" t="s">
        <v>22684</v>
      </c>
      <c r="U10393" s="18"/>
      <c r="V10393" s="18"/>
      <c r="W10393" s="18" t="s">
        <v>22685</v>
      </c>
      <c r="X10393" s="18" t="s">
        <v>35</v>
      </c>
      <c r="Y10393" s="18" t="s">
        <v>17171</v>
      </c>
      <c r="Z10393" s="18" t="s">
        <v>697</v>
      </c>
      <c r="AA10393" s="21" t="str">
        <f>HYPERLINK("https://www.ncbi.nlm.nih.gov/nuccore/BK013399","NCBI Nucleotide")</f>
        <v>NCBI Nucleotide</v>
      </c>
    </row>
    <row r="10394" spans="1:27" x14ac:dyDescent="0.35">
      <c r="A10394">
        <v>1026181</v>
      </c>
      <c r="B10394">
        <v>9719</v>
      </c>
      <c r="C10394">
        <v>1</v>
      </c>
      <c r="D10394" s="17" t="s">
        <v>17166</v>
      </c>
      <c r="E10394" s="17"/>
      <c r="F10394" s="17" t="s">
        <v>17246</v>
      </c>
      <c r="G10394" s="17"/>
      <c r="H10394" s="17" t="s">
        <v>20919</v>
      </c>
      <c r="I10394" s="17"/>
      <c r="J10394" s="17" t="s">
        <v>21313</v>
      </c>
      <c r="K10394" s="17"/>
      <c r="L10394" s="17" t="s">
        <v>22378</v>
      </c>
      <c r="M10394" s="17"/>
      <c r="N10394" s="17" t="s">
        <v>22459</v>
      </c>
      <c r="O10394" s="17"/>
      <c r="P10394" s="17" t="s">
        <v>22683</v>
      </c>
      <c r="Q10394" s="17"/>
      <c r="R10394" s="25" t="str">
        <f>HYPERLINK("https://ictv.global/taxonomy/taxondetails?taxnode_id=202317029","Gehrmavirus pelenecus")</f>
        <v>Gehrmavirus pelenecus</v>
      </c>
      <c r="S10394" s="18" t="s">
        <v>30</v>
      </c>
      <c r="T10394" s="18" t="s">
        <v>44833</v>
      </c>
      <c r="U10394" s="18"/>
      <c r="V10394" s="18"/>
      <c r="W10394" s="18" t="s">
        <v>44834</v>
      </c>
      <c r="X10394" s="18" t="s">
        <v>35</v>
      </c>
      <c r="Y10394" s="18" t="s">
        <v>17171</v>
      </c>
      <c r="Z10394" s="18" t="s">
        <v>24637</v>
      </c>
      <c r="AA10394" s="21" t="str">
        <f>HYPERLINK("https://www.ncbi.nlm.nih.gov/nuccore/CASDWV010004504","NCBI Nucleotide")</f>
        <v>NCBI Nucleotide</v>
      </c>
    </row>
    <row r="10395" spans="1:27" x14ac:dyDescent="0.35">
      <c r="A10395">
        <v>1009923</v>
      </c>
      <c r="B10395">
        <v>9720</v>
      </c>
      <c r="C10395">
        <v>1</v>
      </c>
      <c r="D10395" s="17" t="s">
        <v>17166</v>
      </c>
      <c r="E10395" s="17"/>
      <c r="F10395" s="17" t="s">
        <v>17246</v>
      </c>
      <c r="G10395" s="17"/>
      <c r="H10395" s="17" t="s">
        <v>20919</v>
      </c>
      <c r="I10395" s="17"/>
      <c r="J10395" s="17" t="s">
        <v>21313</v>
      </c>
      <c r="K10395" s="17"/>
      <c r="L10395" s="17" t="s">
        <v>22378</v>
      </c>
      <c r="M10395" s="17"/>
      <c r="N10395" s="17" t="s">
        <v>22459</v>
      </c>
      <c r="O10395" s="17"/>
      <c r="P10395" s="17" t="s">
        <v>22683</v>
      </c>
      <c r="Q10395" s="17"/>
      <c r="R10395" s="25" t="str">
        <f>HYPERLINK("https://ictv.global/taxonomy/taxondetails?taxnode_id=202311126","Gehrmavirus pelocola")</f>
        <v>Gehrmavirus pelocola</v>
      </c>
      <c r="S10395" s="18" t="s">
        <v>30</v>
      </c>
      <c r="T10395" s="18" t="s">
        <v>22686</v>
      </c>
      <c r="U10395" s="18"/>
      <c r="V10395" s="18"/>
      <c r="W10395" s="18" t="s">
        <v>22687</v>
      </c>
      <c r="X10395" s="18" t="s">
        <v>35</v>
      </c>
      <c r="Y10395" s="18" t="s">
        <v>17171</v>
      </c>
      <c r="Z10395" s="18" t="s">
        <v>697</v>
      </c>
      <c r="AA10395" s="21" t="str">
        <f>HYPERLINK("https://www.ncbi.nlm.nih.gov/nuccore/BK013600","NCBI Nucleotide")</f>
        <v>NCBI Nucleotide</v>
      </c>
    </row>
    <row r="10396" spans="1:27" x14ac:dyDescent="0.35">
      <c r="A10396">
        <v>1026182</v>
      </c>
      <c r="B10396">
        <v>9721</v>
      </c>
      <c r="C10396">
        <v>1</v>
      </c>
      <c r="D10396" s="17" t="s">
        <v>17166</v>
      </c>
      <c r="E10396" s="17"/>
      <c r="F10396" s="17" t="s">
        <v>17246</v>
      </c>
      <c r="G10396" s="17"/>
      <c r="H10396" s="17" t="s">
        <v>20919</v>
      </c>
      <c r="I10396" s="17"/>
      <c r="J10396" s="17" t="s">
        <v>21313</v>
      </c>
      <c r="K10396" s="17"/>
      <c r="L10396" s="17" t="s">
        <v>22378</v>
      </c>
      <c r="M10396" s="17"/>
      <c r="N10396" s="17" t="s">
        <v>22459</v>
      </c>
      <c r="O10396" s="17"/>
      <c r="P10396" s="17" t="s">
        <v>22683</v>
      </c>
      <c r="Q10396" s="17"/>
      <c r="R10396" s="25" t="str">
        <f>HYPERLINK("https://ictv.global/taxonomy/taxondetails?taxnode_id=202317030","Gehrmavirus pelovicinum")</f>
        <v>Gehrmavirus pelovicinum</v>
      </c>
      <c r="S10396" s="18" t="s">
        <v>30</v>
      </c>
      <c r="T10396" s="18" t="s">
        <v>44835</v>
      </c>
      <c r="U10396" s="18"/>
      <c r="V10396" s="18"/>
      <c r="W10396" s="18" t="s">
        <v>44836</v>
      </c>
      <c r="X10396" s="18" t="s">
        <v>35</v>
      </c>
      <c r="Y10396" s="18" t="s">
        <v>17171</v>
      </c>
      <c r="Z10396" s="18" t="s">
        <v>24637</v>
      </c>
      <c r="AA10396" s="21" t="str">
        <f>HYPERLINK("https://www.ncbi.nlm.nih.gov/nuccore/CASDWV010003996","NCBI Nucleotide")</f>
        <v>NCBI Nucleotide</v>
      </c>
    </row>
    <row r="10397" spans="1:27" x14ac:dyDescent="0.35">
      <c r="A10397">
        <v>1009831</v>
      </c>
      <c r="B10397">
        <v>9722</v>
      </c>
      <c r="C10397">
        <v>1</v>
      </c>
      <c r="D10397" s="17" t="s">
        <v>17166</v>
      </c>
      <c r="E10397" s="17"/>
      <c r="F10397" s="17" t="s">
        <v>17246</v>
      </c>
      <c r="G10397" s="17"/>
      <c r="H10397" s="17" t="s">
        <v>20919</v>
      </c>
      <c r="I10397" s="17"/>
      <c r="J10397" s="17" t="s">
        <v>21313</v>
      </c>
      <c r="K10397" s="17"/>
      <c r="L10397" s="17" t="s">
        <v>22378</v>
      </c>
      <c r="M10397" s="17"/>
      <c r="N10397" s="17" t="s">
        <v>22459</v>
      </c>
      <c r="O10397" s="17"/>
      <c r="P10397" s="17" t="s">
        <v>22690</v>
      </c>
      <c r="Q10397" s="17"/>
      <c r="R10397" s="25" t="str">
        <f>HYPERLINK("https://ictv.global/taxonomy/taxondetails?taxnode_id=202311001","Gihfavirus arvadaptatum")</f>
        <v>Gihfavirus arvadaptatum</v>
      </c>
      <c r="S10397" s="18" t="s">
        <v>30</v>
      </c>
      <c r="T10397" s="18" t="s">
        <v>22492</v>
      </c>
      <c r="U10397" s="18"/>
      <c r="V10397" s="18"/>
      <c r="W10397" s="18" t="s">
        <v>22493</v>
      </c>
      <c r="X10397" s="18" t="s">
        <v>35</v>
      </c>
      <c r="Y10397" s="18" t="s">
        <v>17171</v>
      </c>
      <c r="Z10397" s="18" t="s">
        <v>697</v>
      </c>
      <c r="AA10397" s="21" t="str">
        <f>HYPERLINK("https://www.ncbi.nlm.nih.gov/nuccore/BK013782","NCBI Nucleotide")</f>
        <v>NCBI Nucleotide</v>
      </c>
    </row>
    <row r="10398" spans="1:27" x14ac:dyDescent="0.35">
      <c r="A10398">
        <v>1009832</v>
      </c>
      <c r="B10398">
        <v>9723</v>
      </c>
      <c r="C10398">
        <v>1</v>
      </c>
      <c r="D10398" s="17" t="s">
        <v>17166</v>
      </c>
      <c r="E10398" s="17"/>
      <c r="F10398" s="17" t="s">
        <v>17246</v>
      </c>
      <c r="G10398" s="17"/>
      <c r="H10398" s="17" t="s">
        <v>20919</v>
      </c>
      <c r="I10398" s="17"/>
      <c r="J10398" s="17" t="s">
        <v>21313</v>
      </c>
      <c r="K10398" s="17"/>
      <c r="L10398" s="17" t="s">
        <v>22378</v>
      </c>
      <c r="M10398" s="17"/>
      <c r="N10398" s="17" t="s">
        <v>22459</v>
      </c>
      <c r="O10398" s="17"/>
      <c r="P10398" s="17" t="s">
        <v>22690</v>
      </c>
      <c r="Q10398" s="17"/>
      <c r="R10398" s="25" t="str">
        <f>HYPERLINK("https://ictv.global/taxonomy/taxondetails?taxnode_id=202311003","Gihfavirus arvicola")</f>
        <v>Gihfavirus arvicola</v>
      </c>
      <c r="S10398" s="18" t="s">
        <v>30</v>
      </c>
      <c r="T10398" s="18" t="s">
        <v>22494</v>
      </c>
      <c r="U10398" s="18"/>
      <c r="V10398" s="18"/>
      <c r="W10398" s="18" t="s">
        <v>22495</v>
      </c>
      <c r="X10398" s="18" t="s">
        <v>35</v>
      </c>
      <c r="Y10398" s="18" t="s">
        <v>17171</v>
      </c>
      <c r="Z10398" s="18" t="s">
        <v>697</v>
      </c>
      <c r="AA10398" s="21" t="str">
        <f>HYPERLINK("https://www.ncbi.nlm.nih.gov/nuccore/BK013869","NCBI Nucleotide")</f>
        <v>NCBI Nucleotide</v>
      </c>
    </row>
    <row r="10399" spans="1:27" x14ac:dyDescent="0.35">
      <c r="A10399">
        <v>1026147</v>
      </c>
      <c r="B10399">
        <v>9724</v>
      </c>
      <c r="C10399">
        <v>1</v>
      </c>
      <c r="D10399" s="17" t="s">
        <v>17166</v>
      </c>
      <c r="E10399" s="17"/>
      <c r="F10399" s="17" t="s">
        <v>17246</v>
      </c>
      <c r="G10399" s="17"/>
      <c r="H10399" s="17" t="s">
        <v>20919</v>
      </c>
      <c r="I10399" s="17"/>
      <c r="J10399" s="17" t="s">
        <v>21313</v>
      </c>
      <c r="K10399" s="17"/>
      <c r="L10399" s="17" t="s">
        <v>22378</v>
      </c>
      <c r="M10399" s="17"/>
      <c r="N10399" s="17" t="s">
        <v>22459</v>
      </c>
      <c r="O10399" s="17"/>
      <c r="P10399" s="17" t="s">
        <v>22690</v>
      </c>
      <c r="Q10399" s="17"/>
      <c r="R10399" s="25" t="str">
        <f>HYPERLINK("https://ictv.global/taxonomy/taxondetails?taxnode_id=202317031","Gihfavirus arvivicinum")</f>
        <v>Gihfavirus arvivicinum</v>
      </c>
      <c r="S10399" s="18" t="s">
        <v>30</v>
      </c>
      <c r="T10399" s="18" t="s">
        <v>44837</v>
      </c>
      <c r="U10399" s="18"/>
      <c r="V10399" s="18"/>
      <c r="W10399" s="18" t="s">
        <v>44838</v>
      </c>
      <c r="X10399" s="18" t="s">
        <v>35</v>
      </c>
      <c r="Y10399" s="18" t="s">
        <v>17171</v>
      </c>
      <c r="Z10399" s="18" t="s">
        <v>24637</v>
      </c>
      <c r="AA10399" s="21" t="str">
        <f>HYPERLINK("https://www.ncbi.nlm.nih.gov/nuccore/CASDWV010000377","NCBI Nucleotide")</f>
        <v>NCBI Nucleotide</v>
      </c>
    </row>
    <row r="10400" spans="1:27" x14ac:dyDescent="0.35">
      <c r="A10400">
        <v>1026148</v>
      </c>
      <c r="B10400">
        <v>9725</v>
      </c>
      <c r="C10400">
        <v>1</v>
      </c>
      <c r="D10400" s="17" t="s">
        <v>17166</v>
      </c>
      <c r="E10400" s="17"/>
      <c r="F10400" s="17" t="s">
        <v>17246</v>
      </c>
      <c r="G10400" s="17"/>
      <c r="H10400" s="17" t="s">
        <v>20919</v>
      </c>
      <c r="I10400" s="17"/>
      <c r="J10400" s="17" t="s">
        <v>21313</v>
      </c>
      <c r="K10400" s="17"/>
      <c r="L10400" s="17" t="s">
        <v>22378</v>
      </c>
      <c r="M10400" s="17"/>
      <c r="N10400" s="17" t="s">
        <v>22459</v>
      </c>
      <c r="O10400" s="17"/>
      <c r="P10400" s="17" t="s">
        <v>22690</v>
      </c>
      <c r="Q10400" s="17"/>
      <c r="R10400" s="25" t="str">
        <f>HYPERLINK("https://ictv.global/taxonomy/taxondetails?taxnode_id=202317032","Gihfavirus asienecus")</f>
        <v>Gihfavirus asienecus</v>
      </c>
      <c r="S10400" s="18" t="s">
        <v>30</v>
      </c>
      <c r="T10400" s="18" t="s">
        <v>44839</v>
      </c>
      <c r="U10400" s="18"/>
      <c r="V10400" s="18"/>
      <c r="W10400" s="18" t="s">
        <v>44840</v>
      </c>
      <c r="X10400" s="18" t="s">
        <v>35</v>
      </c>
      <c r="Y10400" s="18" t="s">
        <v>17171</v>
      </c>
      <c r="Z10400" s="18" t="s">
        <v>24637</v>
      </c>
      <c r="AA10400" s="21" t="str">
        <f>HYPERLINK("https://www.ncbi.nlm.nih.gov/nuccore/CASDWV010002951","NCBI Nucleotide")</f>
        <v>NCBI Nucleotide</v>
      </c>
    </row>
    <row r="10401" spans="1:27" x14ac:dyDescent="0.35">
      <c r="A10401">
        <v>1026149</v>
      </c>
      <c r="B10401">
        <v>9726</v>
      </c>
      <c r="C10401">
        <v>1</v>
      </c>
      <c r="D10401" s="17" t="s">
        <v>17166</v>
      </c>
      <c r="E10401" s="17"/>
      <c r="F10401" s="17" t="s">
        <v>17246</v>
      </c>
      <c r="G10401" s="17"/>
      <c r="H10401" s="17" t="s">
        <v>20919</v>
      </c>
      <c r="I10401" s="17"/>
      <c r="J10401" s="17" t="s">
        <v>21313</v>
      </c>
      <c r="K10401" s="17"/>
      <c r="L10401" s="17" t="s">
        <v>22378</v>
      </c>
      <c r="M10401" s="17"/>
      <c r="N10401" s="17" t="s">
        <v>22459</v>
      </c>
      <c r="O10401" s="17"/>
      <c r="P10401" s="17" t="s">
        <v>22690</v>
      </c>
      <c r="Q10401" s="17"/>
      <c r="R10401" s="25" t="str">
        <f>HYPERLINK("https://ictv.global/taxonomy/taxondetails?taxnode_id=202317033","Gihfavirus asiovivens")</f>
        <v>Gihfavirus asiovivens</v>
      </c>
      <c r="S10401" s="18" t="s">
        <v>30</v>
      </c>
      <c r="T10401" s="18" t="s">
        <v>44841</v>
      </c>
      <c r="U10401" s="18"/>
      <c r="V10401" s="18"/>
      <c r="W10401" s="18" t="s">
        <v>44842</v>
      </c>
      <c r="X10401" s="18" t="s">
        <v>35</v>
      </c>
      <c r="Y10401" s="18" t="s">
        <v>17171</v>
      </c>
      <c r="Z10401" s="18" t="s">
        <v>24637</v>
      </c>
      <c r="AA10401" s="21" t="str">
        <f>HYPERLINK("https://www.ncbi.nlm.nih.gov/nuccore/CASDWV010002273","NCBI Nucleotide")</f>
        <v>NCBI Nucleotide</v>
      </c>
    </row>
    <row r="10402" spans="1:27" x14ac:dyDescent="0.35">
      <c r="A10402">
        <v>1026150</v>
      </c>
      <c r="B10402">
        <v>9727</v>
      </c>
      <c r="C10402">
        <v>1</v>
      </c>
      <c r="D10402" s="17" t="s">
        <v>17166</v>
      </c>
      <c r="E10402" s="17"/>
      <c r="F10402" s="17" t="s">
        <v>17246</v>
      </c>
      <c r="G10402" s="17"/>
      <c r="H10402" s="17" t="s">
        <v>20919</v>
      </c>
      <c r="I10402" s="17"/>
      <c r="J10402" s="17" t="s">
        <v>21313</v>
      </c>
      <c r="K10402" s="17"/>
      <c r="L10402" s="17" t="s">
        <v>22378</v>
      </c>
      <c r="M10402" s="17"/>
      <c r="N10402" s="17" t="s">
        <v>22459</v>
      </c>
      <c r="O10402" s="17"/>
      <c r="P10402" s="17" t="s">
        <v>22690</v>
      </c>
      <c r="Q10402" s="17"/>
      <c r="R10402" s="25" t="str">
        <f>HYPERLINK("https://ictv.global/taxonomy/taxondetails?taxnode_id=202317034","Gihfavirus caenadaptatum")</f>
        <v>Gihfavirus caenadaptatum</v>
      </c>
      <c r="S10402" s="18" t="s">
        <v>30</v>
      </c>
      <c r="T10402" s="18" t="s">
        <v>44843</v>
      </c>
      <c r="U10402" s="18"/>
      <c r="V10402" s="18"/>
      <c r="W10402" s="18" t="s">
        <v>44844</v>
      </c>
      <c r="X10402" s="18" t="s">
        <v>35</v>
      </c>
      <c r="Y10402" s="18" t="s">
        <v>17171</v>
      </c>
      <c r="Z10402" s="18" t="s">
        <v>24637</v>
      </c>
      <c r="AA10402" s="21" t="str">
        <f>HYPERLINK("https://www.ncbi.nlm.nih.gov/nuccore/CASDWV010001773","NCBI Nucleotide")</f>
        <v>NCBI Nucleotide</v>
      </c>
    </row>
    <row r="10403" spans="1:27" x14ac:dyDescent="0.35">
      <c r="A10403">
        <v>1026151</v>
      </c>
      <c r="B10403">
        <v>9728</v>
      </c>
      <c r="C10403">
        <v>1</v>
      </c>
      <c r="D10403" s="17" t="s">
        <v>17166</v>
      </c>
      <c r="E10403" s="17"/>
      <c r="F10403" s="17" t="s">
        <v>17246</v>
      </c>
      <c r="G10403" s="17"/>
      <c r="H10403" s="17" t="s">
        <v>20919</v>
      </c>
      <c r="I10403" s="17"/>
      <c r="J10403" s="17" t="s">
        <v>21313</v>
      </c>
      <c r="K10403" s="17"/>
      <c r="L10403" s="17" t="s">
        <v>22378</v>
      </c>
      <c r="M10403" s="17"/>
      <c r="N10403" s="17" t="s">
        <v>22459</v>
      </c>
      <c r="O10403" s="17"/>
      <c r="P10403" s="17" t="s">
        <v>22690</v>
      </c>
      <c r="Q10403" s="17"/>
      <c r="R10403" s="25" t="str">
        <f>HYPERLINK("https://ictv.global/taxonomy/taxondetails?taxnode_id=202317035","Gihfavirus chorocola")</f>
        <v>Gihfavirus chorocola</v>
      </c>
      <c r="S10403" s="18" t="s">
        <v>30</v>
      </c>
      <c r="T10403" s="18" t="s">
        <v>44845</v>
      </c>
      <c r="U10403" s="18"/>
      <c r="V10403" s="18"/>
      <c r="W10403" s="18" t="s">
        <v>44846</v>
      </c>
      <c r="X10403" s="18" t="s">
        <v>35</v>
      </c>
      <c r="Y10403" s="18" t="s">
        <v>17171</v>
      </c>
      <c r="Z10403" s="18" t="s">
        <v>24637</v>
      </c>
      <c r="AA10403" s="21" t="str">
        <f>HYPERLINK("https://www.ncbi.nlm.nih.gov/nuccore/CASDWV010004392","NCBI Nucleotide")</f>
        <v>NCBI Nucleotide</v>
      </c>
    </row>
    <row r="10404" spans="1:27" x14ac:dyDescent="0.35">
      <c r="A10404">
        <v>1009833</v>
      </c>
      <c r="B10404">
        <v>9729</v>
      </c>
      <c r="C10404">
        <v>1</v>
      </c>
      <c r="D10404" s="17" t="s">
        <v>17166</v>
      </c>
      <c r="E10404" s="17"/>
      <c r="F10404" s="17" t="s">
        <v>17246</v>
      </c>
      <c r="G10404" s="17"/>
      <c r="H10404" s="17" t="s">
        <v>20919</v>
      </c>
      <c r="I10404" s="17"/>
      <c r="J10404" s="17" t="s">
        <v>21313</v>
      </c>
      <c r="K10404" s="17"/>
      <c r="L10404" s="17" t="s">
        <v>22378</v>
      </c>
      <c r="M10404" s="17"/>
      <c r="N10404" s="17" t="s">
        <v>22459</v>
      </c>
      <c r="O10404" s="17"/>
      <c r="P10404" s="17" t="s">
        <v>22690</v>
      </c>
      <c r="Q10404" s="17"/>
      <c r="R10404" s="25" t="str">
        <f>HYPERLINK("https://ictv.global/taxonomy/taxondetails?taxnode_id=202311002","Gihfavirus chorovivens")</f>
        <v>Gihfavirus chorovivens</v>
      </c>
      <c r="S10404" s="18" t="s">
        <v>30</v>
      </c>
      <c r="T10404" s="18" t="s">
        <v>22496</v>
      </c>
      <c r="U10404" s="18"/>
      <c r="V10404" s="18"/>
      <c r="W10404" s="18" t="s">
        <v>22497</v>
      </c>
      <c r="X10404" s="18" t="s">
        <v>35</v>
      </c>
      <c r="Y10404" s="18" t="s">
        <v>17171</v>
      </c>
      <c r="Z10404" s="18" t="s">
        <v>697</v>
      </c>
      <c r="AA10404" s="21" t="str">
        <f>HYPERLINK("https://www.ncbi.nlm.nih.gov/nuccore/BK013515","NCBI Nucleotide")</f>
        <v>NCBI Nucleotide</v>
      </c>
    </row>
    <row r="10405" spans="1:27" x14ac:dyDescent="0.35">
      <c r="A10405">
        <v>1026152</v>
      </c>
      <c r="B10405">
        <v>9730</v>
      </c>
      <c r="C10405">
        <v>1</v>
      </c>
      <c r="D10405" s="17" t="s">
        <v>17166</v>
      </c>
      <c r="E10405" s="17"/>
      <c r="F10405" s="17" t="s">
        <v>17246</v>
      </c>
      <c r="G10405" s="17"/>
      <c r="H10405" s="17" t="s">
        <v>20919</v>
      </c>
      <c r="I10405" s="17"/>
      <c r="J10405" s="17" t="s">
        <v>21313</v>
      </c>
      <c r="K10405" s="17"/>
      <c r="L10405" s="17" t="s">
        <v>22378</v>
      </c>
      <c r="M10405" s="17"/>
      <c r="N10405" s="17" t="s">
        <v>22459</v>
      </c>
      <c r="O10405" s="17"/>
      <c r="P10405" s="17" t="s">
        <v>22690</v>
      </c>
      <c r="Q10405" s="17"/>
      <c r="R10405" s="25" t="str">
        <f>HYPERLINK("https://ictv.global/taxonomy/taxondetails?taxnode_id=202317036","Gihfavirus chthonocola")</f>
        <v>Gihfavirus chthonocola</v>
      </c>
      <c r="S10405" s="18" t="s">
        <v>30</v>
      </c>
      <c r="T10405" s="18" t="s">
        <v>44847</v>
      </c>
      <c r="U10405" s="18"/>
      <c r="V10405" s="18"/>
      <c r="W10405" s="18" t="s">
        <v>44848</v>
      </c>
      <c r="X10405" s="18" t="s">
        <v>35</v>
      </c>
      <c r="Y10405" s="18" t="s">
        <v>17171</v>
      </c>
      <c r="Z10405" s="18" t="s">
        <v>24637</v>
      </c>
      <c r="AA10405" s="21" t="str">
        <f>HYPERLINK("https://www.ncbi.nlm.nih.gov/nuccore/CASDWV010002936","NCBI Nucleotide")</f>
        <v>NCBI Nucleotide</v>
      </c>
    </row>
    <row r="10406" spans="1:27" x14ac:dyDescent="0.35">
      <c r="A10406">
        <v>1026153</v>
      </c>
      <c r="B10406">
        <v>9731</v>
      </c>
      <c r="C10406">
        <v>1</v>
      </c>
      <c r="D10406" s="17" t="s">
        <v>17166</v>
      </c>
      <c r="E10406" s="17"/>
      <c r="F10406" s="17" t="s">
        <v>17246</v>
      </c>
      <c r="G10406" s="17"/>
      <c r="H10406" s="17" t="s">
        <v>20919</v>
      </c>
      <c r="I10406" s="17"/>
      <c r="J10406" s="17" t="s">
        <v>21313</v>
      </c>
      <c r="K10406" s="17"/>
      <c r="L10406" s="17" t="s">
        <v>22378</v>
      </c>
      <c r="M10406" s="17"/>
      <c r="N10406" s="17" t="s">
        <v>22459</v>
      </c>
      <c r="O10406" s="17"/>
      <c r="P10406" s="17" t="s">
        <v>22690</v>
      </c>
      <c r="Q10406" s="17"/>
      <c r="R10406" s="25" t="str">
        <f>HYPERLINK("https://ictv.global/taxonomy/taxondetails?taxnode_id=202317037","Gihfavirus chthonovicinum")</f>
        <v>Gihfavirus chthonovicinum</v>
      </c>
      <c r="S10406" s="18" t="s">
        <v>30</v>
      </c>
      <c r="T10406" s="18" t="s">
        <v>44849</v>
      </c>
      <c r="U10406" s="18"/>
      <c r="V10406" s="18"/>
      <c r="W10406" s="18" t="s">
        <v>44850</v>
      </c>
      <c r="X10406" s="18" t="s">
        <v>35</v>
      </c>
      <c r="Y10406" s="18" t="s">
        <v>17171</v>
      </c>
      <c r="Z10406" s="18" t="s">
        <v>24637</v>
      </c>
      <c r="AA10406" s="21" t="str">
        <f>HYPERLINK("https://www.ncbi.nlm.nih.gov/nuccore/CASDWV010001623","NCBI Nucleotide")</f>
        <v>NCBI Nucleotide</v>
      </c>
    </row>
    <row r="10407" spans="1:27" x14ac:dyDescent="0.35">
      <c r="A10407">
        <v>1009925</v>
      </c>
      <c r="B10407">
        <v>9732</v>
      </c>
      <c r="C10407">
        <v>1</v>
      </c>
      <c r="D10407" s="17" t="s">
        <v>17166</v>
      </c>
      <c r="E10407" s="17"/>
      <c r="F10407" s="17" t="s">
        <v>17246</v>
      </c>
      <c r="G10407" s="17"/>
      <c r="H10407" s="17" t="s">
        <v>20919</v>
      </c>
      <c r="I10407" s="17"/>
      <c r="J10407" s="17" t="s">
        <v>21313</v>
      </c>
      <c r="K10407" s="17"/>
      <c r="L10407" s="17" t="s">
        <v>22378</v>
      </c>
      <c r="M10407" s="17"/>
      <c r="N10407" s="17" t="s">
        <v>22459</v>
      </c>
      <c r="O10407" s="17"/>
      <c r="P10407" s="17" t="s">
        <v>22690</v>
      </c>
      <c r="Q10407" s="17"/>
      <c r="R10407" s="25" t="str">
        <f>HYPERLINK("https://ictv.global/taxonomy/taxondetails?taxnode_id=202311131","Gihfavirus geohabitans")</f>
        <v>Gihfavirus geohabitans</v>
      </c>
      <c r="S10407" s="18" t="s">
        <v>30</v>
      </c>
      <c r="T10407" s="18" t="s">
        <v>22691</v>
      </c>
      <c r="U10407" s="18"/>
      <c r="V10407" s="18"/>
      <c r="W10407" s="18" t="s">
        <v>22692</v>
      </c>
      <c r="X10407" s="18" t="s">
        <v>35</v>
      </c>
      <c r="Y10407" s="18" t="s">
        <v>17171</v>
      </c>
      <c r="Z10407" s="18" t="s">
        <v>697</v>
      </c>
      <c r="AA10407" s="21" t="str">
        <f>HYPERLINK("https://www.ncbi.nlm.nih.gov/nuccore/BK013998","NCBI Nucleotide")</f>
        <v>NCBI Nucleotide</v>
      </c>
    </row>
    <row r="10408" spans="1:27" x14ac:dyDescent="0.35">
      <c r="A10408">
        <v>1026154</v>
      </c>
      <c r="B10408">
        <v>9733</v>
      </c>
      <c r="C10408">
        <v>1</v>
      </c>
      <c r="D10408" s="17" t="s">
        <v>17166</v>
      </c>
      <c r="E10408" s="17"/>
      <c r="F10408" s="17" t="s">
        <v>17246</v>
      </c>
      <c r="G10408" s="17"/>
      <c r="H10408" s="17" t="s">
        <v>20919</v>
      </c>
      <c r="I10408" s="17"/>
      <c r="J10408" s="17" t="s">
        <v>21313</v>
      </c>
      <c r="K10408" s="17"/>
      <c r="L10408" s="17" t="s">
        <v>22378</v>
      </c>
      <c r="M10408" s="17"/>
      <c r="N10408" s="17" t="s">
        <v>22459</v>
      </c>
      <c r="O10408" s="17"/>
      <c r="P10408" s="17" t="s">
        <v>22690</v>
      </c>
      <c r="Q10408" s="17"/>
      <c r="R10408" s="25" t="str">
        <f>HYPERLINK("https://ictv.global/taxonomy/taxondetails?taxnode_id=202317038","Gihfavirus humadaptatum")</f>
        <v>Gihfavirus humadaptatum</v>
      </c>
      <c r="S10408" s="18" t="s">
        <v>30</v>
      </c>
      <c r="T10408" s="18" t="s">
        <v>44851</v>
      </c>
      <c r="U10408" s="18"/>
      <c r="V10408" s="18"/>
      <c r="W10408" s="18" t="s">
        <v>44852</v>
      </c>
      <c r="X10408" s="18" t="s">
        <v>35</v>
      </c>
      <c r="Y10408" s="18" t="s">
        <v>17171</v>
      </c>
      <c r="Z10408" s="18" t="s">
        <v>24637</v>
      </c>
      <c r="AA10408" s="21" t="str">
        <f>HYPERLINK("https://www.ncbi.nlm.nih.gov/nuccore/CASDWV010004876","NCBI Nucleotide")</f>
        <v>NCBI Nucleotide</v>
      </c>
    </row>
    <row r="10409" spans="1:27" x14ac:dyDescent="0.35">
      <c r="A10409">
        <v>1026155</v>
      </c>
      <c r="B10409">
        <v>9734</v>
      </c>
      <c r="C10409">
        <v>1</v>
      </c>
      <c r="D10409" s="17" t="s">
        <v>17166</v>
      </c>
      <c r="E10409" s="17"/>
      <c r="F10409" s="17" t="s">
        <v>17246</v>
      </c>
      <c r="G10409" s="17"/>
      <c r="H10409" s="17" t="s">
        <v>20919</v>
      </c>
      <c r="I10409" s="17"/>
      <c r="J10409" s="17" t="s">
        <v>21313</v>
      </c>
      <c r="K10409" s="17"/>
      <c r="L10409" s="17" t="s">
        <v>22378</v>
      </c>
      <c r="M10409" s="17"/>
      <c r="N10409" s="17" t="s">
        <v>22459</v>
      </c>
      <c r="O10409" s="17"/>
      <c r="P10409" s="17" t="s">
        <v>22690</v>
      </c>
      <c r="Q10409" s="17"/>
      <c r="R10409" s="25" t="str">
        <f>HYPERLINK("https://ictv.global/taxonomy/taxondetails?taxnode_id=202317039","Gihfavirus messadaptatum")</f>
        <v>Gihfavirus messadaptatum</v>
      </c>
      <c r="S10409" s="18" t="s">
        <v>30</v>
      </c>
      <c r="T10409" s="18" t="s">
        <v>44853</v>
      </c>
      <c r="U10409" s="18"/>
      <c r="V10409" s="18"/>
      <c r="W10409" s="18" t="s">
        <v>44854</v>
      </c>
      <c r="X10409" s="18" t="s">
        <v>35</v>
      </c>
      <c r="Y10409" s="18" t="s">
        <v>17171</v>
      </c>
      <c r="Z10409" s="18" t="s">
        <v>24637</v>
      </c>
      <c r="AA10409" s="21" t="str">
        <f>HYPERLINK("https://www.ncbi.nlm.nih.gov/nuccore/CASDWV010004645","NCBI Nucleotide")</f>
        <v>NCBI Nucleotide</v>
      </c>
    </row>
    <row r="10410" spans="1:27" x14ac:dyDescent="0.35">
      <c r="A10410">
        <v>1026156</v>
      </c>
      <c r="B10410">
        <v>9735</v>
      </c>
      <c r="C10410">
        <v>1</v>
      </c>
      <c r="D10410" s="17" t="s">
        <v>17166</v>
      </c>
      <c r="E10410" s="17"/>
      <c r="F10410" s="17" t="s">
        <v>17246</v>
      </c>
      <c r="G10410" s="17"/>
      <c r="H10410" s="17" t="s">
        <v>20919</v>
      </c>
      <c r="I10410" s="17"/>
      <c r="J10410" s="17" t="s">
        <v>21313</v>
      </c>
      <c r="K10410" s="17"/>
      <c r="L10410" s="17" t="s">
        <v>22378</v>
      </c>
      <c r="M10410" s="17"/>
      <c r="N10410" s="17" t="s">
        <v>22459</v>
      </c>
      <c r="O10410" s="17"/>
      <c r="P10410" s="17" t="s">
        <v>22690</v>
      </c>
      <c r="Q10410" s="17"/>
      <c r="R10410" s="25" t="str">
        <f>HYPERLINK("https://ictv.global/taxonomy/taxondetails?taxnode_id=202317040","Gihfavirus messivivens")</f>
        <v>Gihfavirus messivivens</v>
      </c>
      <c r="S10410" s="18" t="s">
        <v>30</v>
      </c>
      <c r="T10410" s="18" t="s">
        <v>44855</v>
      </c>
      <c r="U10410" s="18"/>
      <c r="V10410" s="18"/>
      <c r="W10410" s="18" t="s">
        <v>44856</v>
      </c>
      <c r="X10410" s="18" t="s">
        <v>35</v>
      </c>
      <c r="Y10410" s="18" t="s">
        <v>17171</v>
      </c>
      <c r="Z10410" s="18" t="s">
        <v>24637</v>
      </c>
      <c r="AA10410" s="21" t="str">
        <f>HYPERLINK("https://www.ncbi.nlm.nih.gov/nuccore/CASDWV010002415","NCBI Nucleotide")</f>
        <v>NCBI Nucleotide</v>
      </c>
    </row>
    <row r="10411" spans="1:27" x14ac:dyDescent="0.35">
      <c r="A10411">
        <v>1009926</v>
      </c>
      <c r="B10411">
        <v>9736</v>
      </c>
      <c r="C10411">
        <v>1</v>
      </c>
      <c r="D10411" s="17" t="s">
        <v>17166</v>
      </c>
      <c r="E10411" s="17"/>
      <c r="F10411" s="17" t="s">
        <v>17246</v>
      </c>
      <c r="G10411" s="17"/>
      <c r="H10411" s="17" t="s">
        <v>20919</v>
      </c>
      <c r="I10411" s="17"/>
      <c r="J10411" s="17" t="s">
        <v>21313</v>
      </c>
      <c r="K10411" s="17"/>
      <c r="L10411" s="17" t="s">
        <v>22378</v>
      </c>
      <c r="M10411" s="17"/>
      <c r="N10411" s="17" t="s">
        <v>22459</v>
      </c>
      <c r="O10411" s="17"/>
      <c r="P10411" s="17" t="s">
        <v>22690</v>
      </c>
      <c r="Q10411" s="17"/>
      <c r="R10411" s="25" t="str">
        <f>HYPERLINK("https://ictv.global/taxonomy/taxondetails?taxnode_id=202311130","Gihfavirus pelohabitans")</f>
        <v>Gihfavirus pelohabitans</v>
      </c>
      <c r="S10411" s="18" t="s">
        <v>30</v>
      </c>
      <c r="T10411" s="18" t="s">
        <v>22693</v>
      </c>
      <c r="U10411" s="18"/>
      <c r="V10411" s="18"/>
      <c r="W10411" s="18" t="s">
        <v>22694</v>
      </c>
      <c r="X10411" s="18" t="s">
        <v>35</v>
      </c>
      <c r="Y10411" s="18" t="s">
        <v>17171</v>
      </c>
      <c r="Z10411" s="18" t="s">
        <v>697</v>
      </c>
      <c r="AA10411" s="21" t="str">
        <f>HYPERLINK("https://www.ncbi.nlm.nih.gov/nuccore/BK013632","NCBI Nucleotide")</f>
        <v>NCBI Nucleotide</v>
      </c>
    </row>
    <row r="10412" spans="1:27" x14ac:dyDescent="0.35">
      <c r="A10412">
        <v>1026157</v>
      </c>
      <c r="B10412">
        <v>9737</v>
      </c>
      <c r="C10412">
        <v>1</v>
      </c>
      <c r="D10412" s="17" t="s">
        <v>17166</v>
      </c>
      <c r="E10412" s="17"/>
      <c r="F10412" s="17" t="s">
        <v>17246</v>
      </c>
      <c r="G10412" s="17"/>
      <c r="H10412" s="17" t="s">
        <v>20919</v>
      </c>
      <c r="I10412" s="17"/>
      <c r="J10412" s="17" t="s">
        <v>21313</v>
      </c>
      <c r="K10412" s="17"/>
      <c r="L10412" s="17" t="s">
        <v>22378</v>
      </c>
      <c r="M10412" s="17"/>
      <c r="N10412" s="17" t="s">
        <v>22459</v>
      </c>
      <c r="O10412" s="17"/>
      <c r="P10412" s="17" t="s">
        <v>22690</v>
      </c>
      <c r="Q10412" s="17"/>
      <c r="R10412" s="25" t="str">
        <f>HYPERLINK("https://ictv.global/taxonomy/taxondetails?taxnode_id=202317041","Gihfavirus pelovivens")</f>
        <v>Gihfavirus pelovivens</v>
      </c>
      <c r="S10412" s="18" t="s">
        <v>30</v>
      </c>
      <c r="T10412" s="18" t="s">
        <v>44857</v>
      </c>
      <c r="U10412" s="18"/>
      <c r="V10412" s="18"/>
      <c r="W10412" s="18" t="s">
        <v>44858</v>
      </c>
      <c r="X10412" s="18" t="s">
        <v>35</v>
      </c>
      <c r="Y10412" s="18" t="s">
        <v>17171</v>
      </c>
      <c r="Z10412" s="18" t="s">
        <v>24637</v>
      </c>
      <c r="AA10412" s="21" t="str">
        <f>HYPERLINK("https://www.ncbi.nlm.nih.gov/nuccore/CASDWV010000465","NCBI Nucleotide")</f>
        <v>NCBI Nucleotide</v>
      </c>
    </row>
    <row r="10413" spans="1:27" x14ac:dyDescent="0.35">
      <c r="A10413">
        <v>1026158</v>
      </c>
      <c r="B10413">
        <v>9738</v>
      </c>
      <c r="C10413">
        <v>1</v>
      </c>
      <c r="D10413" s="17" t="s">
        <v>17166</v>
      </c>
      <c r="E10413" s="17"/>
      <c r="F10413" s="17" t="s">
        <v>17246</v>
      </c>
      <c r="G10413" s="17"/>
      <c r="H10413" s="17" t="s">
        <v>20919</v>
      </c>
      <c r="I10413" s="17"/>
      <c r="J10413" s="17" t="s">
        <v>21313</v>
      </c>
      <c r="K10413" s="17"/>
      <c r="L10413" s="17" t="s">
        <v>22378</v>
      </c>
      <c r="M10413" s="17"/>
      <c r="N10413" s="17" t="s">
        <v>22459</v>
      </c>
      <c r="O10413" s="17"/>
      <c r="P10413" s="17" t="s">
        <v>22690</v>
      </c>
      <c r="Q10413" s="17"/>
      <c r="R10413" s="25" t="str">
        <f>HYPERLINK("https://ictv.global/taxonomy/taxondetails?taxnode_id=202317042","Gihfavirus radicihabitans")</f>
        <v>Gihfavirus radicihabitans</v>
      </c>
      <c r="S10413" s="18" t="s">
        <v>30</v>
      </c>
      <c r="T10413" s="18" t="s">
        <v>44859</v>
      </c>
      <c r="U10413" s="18"/>
      <c r="V10413" s="18"/>
      <c r="W10413" s="18" t="s">
        <v>44860</v>
      </c>
      <c r="X10413" s="18" t="s">
        <v>35</v>
      </c>
      <c r="Y10413" s="18" t="s">
        <v>17171</v>
      </c>
      <c r="Z10413" s="18" t="s">
        <v>24637</v>
      </c>
      <c r="AA10413" s="21" t="str">
        <f>HYPERLINK("https://www.ncbi.nlm.nih.gov/nuccore/CASDWV010001771","NCBI Nucleotide")</f>
        <v>NCBI Nucleotide</v>
      </c>
    </row>
    <row r="10414" spans="1:27" x14ac:dyDescent="0.35">
      <c r="A10414">
        <v>1026159</v>
      </c>
      <c r="B10414">
        <v>9739</v>
      </c>
      <c r="C10414">
        <v>1</v>
      </c>
      <c r="D10414" s="17" t="s">
        <v>17166</v>
      </c>
      <c r="E10414" s="17"/>
      <c r="F10414" s="17" t="s">
        <v>17246</v>
      </c>
      <c r="G10414" s="17"/>
      <c r="H10414" s="17" t="s">
        <v>20919</v>
      </c>
      <c r="I10414" s="17"/>
      <c r="J10414" s="17" t="s">
        <v>21313</v>
      </c>
      <c r="K10414" s="17"/>
      <c r="L10414" s="17" t="s">
        <v>22378</v>
      </c>
      <c r="M10414" s="17"/>
      <c r="N10414" s="17" t="s">
        <v>22459</v>
      </c>
      <c r="O10414" s="17"/>
      <c r="P10414" s="17" t="s">
        <v>22690</v>
      </c>
      <c r="Q10414" s="17"/>
      <c r="R10414" s="25" t="str">
        <f>HYPERLINK("https://ictv.global/taxonomy/taxondetails?taxnode_id=202317043","Gihfavirus segeticola")</f>
        <v>Gihfavirus segeticola</v>
      </c>
      <c r="S10414" s="18" t="s">
        <v>30</v>
      </c>
      <c r="T10414" s="18" t="s">
        <v>44861</v>
      </c>
      <c r="U10414" s="18"/>
      <c r="V10414" s="18"/>
      <c r="W10414" s="18" t="s">
        <v>44862</v>
      </c>
      <c r="X10414" s="18" t="s">
        <v>35</v>
      </c>
      <c r="Y10414" s="18" t="s">
        <v>17171</v>
      </c>
      <c r="Z10414" s="18" t="s">
        <v>24637</v>
      </c>
      <c r="AA10414" s="21" t="str">
        <f>HYPERLINK("https://www.ncbi.nlm.nih.gov/nuccore/CASDWV010001990","NCBI Nucleotide")</f>
        <v>NCBI Nucleotide</v>
      </c>
    </row>
    <row r="10415" spans="1:27" x14ac:dyDescent="0.35">
      <c r="A10415">
        <v>1026160</v>
      </c>
      <c r="B10415">
        <v>9740</v>
      </c>
      <c r="C10415">
        <v>1</v>
      </c>
      <c r="D10415" s="17" t="s">
        <v>17166</v>
      </c>
      <c r="E10415" s="17"/>
      <c r="F10415" s="17" t="s">
        <v>17246</v>
      </c>
      <c r="G10415" s="17"/>
      <c r="H10415" s="17" t="s">
        <v>20919</v>
      </c>
      <c r="I10415" s="17"/>
      <c r="J10415" s="17" t="s">
        <v>21313</v>
      </c>
      <c r="K10415" s="17"/>
      <c r="L10415" s="17" t="s">
        <v>22378</v>
      </c>
      <c r="M10415" s="17"/>
      <c r="N10415" s="17" t="s">
        <v>22459</v>
      </c>
      <c r="O10415" s="17"/>
      <c r="P10415" s="17" t="s">
        <v>22690</v>
      </c>
      <c r="Q10415" s="17"/>
      <c r="R10415" s="25" t="str">
        <f>HYPERLINK("https://ictv.global/taxonomy/taxondetails?taxnode_id=202317044","Gihfavirus soladaptatum")</f>
        <v>Gihfavirus soladaptatum</v>
      </c>
      <c r="S10415" s="18" t="s">
        <v>30</v>
      </c>
      <c r="T10415" s="18" t="s">
        <v>44863</v>
      </c>
      <c r="U10415" s="18"/>
      <c r="V10415" s="18"/>
      <c r="W10415" s="18" t="s">
        <v>44864</v>
      </c>
      <c r="X10415" s="18" t="s">
        <v>35</v>
      </c>
      <c r="Y10415" s="18" t="s">
        <v>17171</v>
      </c>
      <c r="Z10415" s="18" t="s">
        <v>24637</v>
      </c>
      <c r="AA10415" s="21" t="str">
        <f>HYPERLINK("https://www.ncbi.nlm.nih.gov/nuccore/CASDWV010003404","NCBI Nucleotide")</f>
        <v>NCBI Nucleotide</v>
      </c>
    </row>
    <row r="10416" spans="1:27" x14ac:dyDescent="0.35">
      <c r="A10416">
        <v>1026161</v>
      </c>
      <c r="B10416">
        <v>9741</v>
      </c>
      <c r="C10416">
        <v>1</v>
      </c>
      <c r="D10416" s="17" t="s">
        <v>17166</v>
      </c>
      <c r="E10416" s="17"/>
      <c r="F10416" s="17" t="s">
        <v>17246</v>
      </c>
      <c r="G10416" s="17"/>
      <c r="H10416" s="17" t="s">
        <v>20919</v>
      </c>
      <c r="I10416" s="17"/>
      <c r="J10416" s="17" t="s">
        <v>21313</v>
      </c>
      <c r="K10416" s="17"/>
      <c r="L10416" s="17" t="s">
        <v>22378</v>
      </c>
      <c r="M10416" s="17"/>
      <c r="N10416" s="17" t="s">
        <v>22459</v>
      </c>
      <c r="O10416" s="17"/>
      <c r="P10416" s="17" t="s">
        <v>22690</v>
      </c>
      <c r="Q10416" s="17"/>
      <c r="R10416" s="25" t="str">
        <f>HYPERLINK("https://ictv.global/taxonomy/taxondetails?taxnode_id=202317045","Gihfavirus solenecus")</f>
        <v>Gihfavirus solenecus</v>
      </c>
      <c r="S10416" s="18" t="s">
        <v>30</v>
      </c>
      <c r="T10416" s="18" t="s">
        <v>44865</v>
      </c>
      <c r="U10416" s="18"/>
      <c r="V10416" s="18"/>
      <c r="W10416" s="18" t="s">
        <v>44866</v>
      </c>
      <c r="X10416" s="18" t="s">
        <v>35</v>
      </c>
      <c r="Y10416" s="18" t="s">
        <v>17171</v>
      </c>
      <c r="Z10416" s="18" t="s">
        <v>24637</v>
      </c>
      <c r="AA10416" s="21" t="str">
        <f>HYPERLINK("https://www.ncbi.nlm.nih.gov/nuccore/CASDWV010003330","NCBI Nucleotide")</f>
        <v>NCBI Nucleotide</v>
      </c>
    </row>
    <row r="10417" spans="1:27" x14ac:dyDescent="0.35">
      <c r="A10417">
        <v>1026162</v>
      </c>
      <c r="B10417">
        <v>9742</v>
      </c>
      <c r="C10417">
        <v>1</v>
      </c>
      <c r="D10417" s="17" t="s">
        <v>17166</v>
      </c>
      <c r="E10417" s="17"/>
      <c r="F10417" s="17" t="s">
        <v>17246</v>
      </c>
      <c r="G10417" s="17"/>
      <c r="H10417" s="17" t="s">
        <v>20919</v>
      </c>
      <c r="I10417" s="17"/>
      <c r="J10417" s="17" t="s">
        <v>21313</v>
      </c>
      <c r="K10417" s="17"/>
      <c r="L10417" s="17" t="s">
        <v>22378</v>
      </c>
      <c r="M10417" s="17"/>
      <c r="N10417" s="17" t="s">
        <v>22459</v>
      </c>
      <c r="O10417" s="17"/>
      <c r="P10417" s="17" t="s">
        <v>22690</v>
      </c>
      <c r="Q10417" s="17"/>
      <c r="R10417" s="25" t="str">
        <f>HYPERLINK("https://ictv.global/taxonomy/taxondetails?taxnode_id=202317046","Gihfavirus solivivens")</f>
        <v>Gihfavirus solivivens</v>
      </c>
      <c r="S10417" s="18" t="s">
        <v>30</v>
      </c>
      <c r="T10417" s="18" t="s">
        <v>44867</v>
      </c>
      <c r="U10417" s="18"/>
      <c r="V10417" s="18"/>
      <c r="W10417" s="18" t="s">
        <v>44868</v>
      </c>
      <c r="X10417" s="18" t="s">
        <v>35</v>
      </c>
      <c r="Y10417" s="18" t="s">
        <v>17171</v>
      </c>
      <c r="Z10417" s="18" t="s">
        <v>24637</v>
      </c>
      <c r="AA10417" s="21" t="str">
        <f>HYPERLINK("https://www.ncbi.nlm.nih.gov/nuccore/CASDWV010003084","NCBI Nucleotide")</f>
        <v>NCBI Nucleotide</v>
      </c>
    </row>
    <row r="10418" spans="1:27" x14ac:dyDescent="0.35">
      <c r="A10418">
        <v>1026163</v>
      </c>
      <c r="B10418">
        <v>9743</v>
      </c>
      <c r="C10418">
        <v>1</v>
      </c>
      <c r="D10418" s="17" t="s">
        <v>17166</v>
      </c>
      <c r="E10418" s="17"/>
      <c r="F10418" s="17" t="s">
        <v>17246</v>
      </c>
      <c r="G10418" s="17"/>
      <c r="H10418" s="17" t="s">
        <v>20919</v>
      </c>
      <c r="I10418" s="17"/>
      <c r="J10418" s="17" t="s">
        <v>21313</v>
      </c>
      <c r="K10418" s="17"/>
      <c r="L10418" s="17" t="s">
        <v>22378</v>
      </c>
      <c r="M10418" s="17"/>
      <c r="N10418" s="17" t="s">
        <v>22459</v>
      </c>
      <c r="O10418" s="17"/>
      <c r="P10418" s="17" t="s">
        <v>22690</v>
      </c>
      <c r="Q10418" s="17"/>
      <c r="R10418" s="25" t="str">
        <f>HYPERLINK("https://ictv.global/taxonomy/taxondetails?taxnode_id=202317047","Gihfavirus telluricola")</f>
        <v>Gihfavirus telluricola</v>
      </c>
      <c r="S10418" s="18" t="s">
        <v>30</v>
      </c>
      <c r="T10418" s="18" t="s">
        <v>44869</v>
      </c>
      <c r="U10418" s="18"/>
      <c r="V10418" s="18"/>
      <c r="W10418" s="18" t="s">
        <v>44870</v>
      </c>
      <c r="X10418" s="18" t="s">
        <v>35</v>
      </c>
      <c r="Y10418" s="18" t="s">
        <v>17171</v>
      </c>
      <c r="Z10418" s="18" t="s">
        <v>24637</v>
      </c>
      <c r="AA10418" s="21" t="str">
        <f>HYPERLINK("https://www.ncbi.nlm.nih.gov/nuccore/CASDWV010002018","NCBI Nucleotide")</f>
        <v>NCBI Nucleotide</v>
      </c>
    </row>
    <row r="10419" spans="1:27" x14ac:dyDescent="0.35">
      <c r="A10419">
        <v>1026164</v>
      </c>
      <c r="B10419">
        <v>9744</v>
      </c>
      <c r="C10419">
        <v>1</v>
      </c>
      <c r="D10419" s="17" t="s">
        <v>17166</v>
      </c>
      <c r="E10419" s="17"/>
      <c r="F10419" s="17" t="s">
        <v>17246</v>
      </c>
      <c r="G10419" s="17"/>
      <c r="H10419" s="17" t="s">
        <v>20919</v>
      </c>
      <c r="I10419" s="17"/>
      <c r="J10419" s="17" t="s">
        <v>21313</v>
      </c>
      <c r="K10419" s="17"/>
      <c r="L10419" s="17" t="s">
        <v>22378</v>
      </c>
      <c r="M10419" s="17"/>
      <c r="N10419" s="17" t="s">
        <v>22459</v>
      </c>
      <c r="O10419" s="17"/>
      <c r="P10419" s="17" t="s">
        <v>22690</v>
      </c>
      <c r="Q10419" s="17"/>
      <c r="R10419" s="25" t="str">
        <f>HYPERLINK("https://ictv.global/taxonomy/taxondetails?taxnode_id=202317048","Gihfavirus tellurivicinum")</f>
        <v>Gihfavirus tellurivicinum</v>
      </c>
      <c r="S10419" s="18" t="s">
        <v>30</v>
      </c>
      <c r="T10419" s="18" t="s">
        <v>44871</v>
      </c>
      <c r="U10419" s="18"/>
      <c r="V10419" s="18"/>
      <c r="W10419" s="18" t="s">
        <v>44872</v>
      </c>
      <c r="X10419" s="18" t="s">
        <v>35</v>
      </c>
      <c r="Y10419" s="18" t="s">
        <v>17171</v>
      </c>
      <c r="Z10419" s="18" t="s">
        <v>24637</v>
      </c>
      <c r="AA10419" s="21" t="str">
        <f>HYPERLINK("https://www.ncbi.nlm.nih.gov/nuccore/CASDWV010002124","NCBI Nucleotide")</f>
        <v>NCBI Nucleotide</v>
      </c>
    </row>
    <row r="10420" spans="1:27" x14ac:dyDescent="0.35">
      <c r="A10420">
        <v>1026137</v>
      </c>
      <c r="B10420">
        <v>9745</v>
      </c>
      <c r="C10420">
        <v>1</v>
      </c>
      <c r="D10420" s="17" t="s">
        <v>17166</v>
      </c>
      <c r="E10420" s="17"/>
      <c r="F10420" s="17" t="s">
        <v>17246</v>
      </c>
      <c r="G10420" s="17"/>
      <c r="H10420" s="17" t="s">
        <v>20919</v>
      </c>
      <c r="I10420" s="17"/>
      <c r="J10420" s="17" t="s">
        <v>21313</v>
      </c>
      <c r="K10420" s="17"/>
      <c r="L10420" s="17" t="s">
        <v>22378</v>
      </c>
      <c r="M10420" s="17"/>
      <c r="N10420" s="17" t="s">
        <v>22459</v>
      </c>
      <c r="O10420" s="17"/>
      <c r="P10420" s="17" t="s">
        <v>44873</v>
      </c>
      <c r="Q10420" s="17"/>
      <c r="R10420" s="25" t="str">
        <f>HYPERLINK("https://ictv.global/taxonomy/taxondetails?taxnode_id=202317049","Giliycovirus asienecus")</f>
        <v>Giliycovirus asienecus</v>
      </c>
      <c r="S10420" s="18" t="s">
        <v>30</v>
      </c>
      <c r="T10420" s="18" t="s">
        <v>44874</v>
      </c>
      <c r="U10420" s="18"/>
      <c r="V10420" s="18"/>
      <c r="W10420" s="18" t="s">
        <v>44875</v>
      </c>
      <c r="X10420" s="18" t="s">
        <v>35</v>
      </c>
      <c r="Y10420" s="18" t="s">
        <v>17171</v>
      </c>
      <c r="Z10420" s="18" t="s">
        <v>24637</v>
      </c>
      <c r="AA10420" s="21" t="str">
        <f>HYPERLINK("https://www.ncbi.nlm.nih.gov/nuccore/CASDWV010001508","NCBI Nucleotide")</f>
        <v>NCBI Nucleotide</v>
      </c>
    </row>
    <row r="10421" spans="1:27" x14ac:dyDescent="0.35">
      <c r="A10421">
        <v>1026138</v>
      </c>
      <c r="B10421">
        <v>9746</v>
      </c>
      <c r="C10421">
        <v>1</v>
      </c>
      <c r="D10421" s="17" t="s">
        <v>17166</v>
      </c>
      <c r="E10421" s="17"/>
      <c r="F10421" s="17" t="s">
        <v>17246</v>
      </c>
      <c r="G10421" s="17"/>
      <c r="H10421" s="17" t="s">
        <v>20919</v>
      </c>
      <c r="I10421" s="17"/>
      <c r="J10421" s="17" t="s">
        <v>21313</v>
      </c>
      <c r="K10421" s="17"/>
      <c r="L10421" s="17" t="s">
        <v>22378</v>
      </c>
      <c r="M10421" s="17"/>
      <c r="N10421" s="17" t="s">
        <v>22459</v>
      </c>
      <c r="O10421" s="17"/>
      <c r="P10421" s="17" t="s">
        <v>44873</v>
      </c>
      <c r="Q10421" s="17"/>
      <c r="R10421" s="25" t="str">
        <f>HYPERLINK("https://ictv.global/taxonomy/taxondetails?taxnode_id=202317050","Giliycovirus caenenecus")</f>
        <v>Giliycovirus caenenecus</v>
      </c>
      <c r="S10421" s="18" t="s">
        <v>30</v>
      </c>
      <c r="T10421" s="18" t="s">
        <v>44876</v>
      </c>
      <c r="U10421" s="18"/>
      <c r="V10421" s="18"/>
      <c r="W10421" s="18" t="s">
        <v>44877</v>
      </c>
      <c r="X10421" s="18" t="s">
        <v>35</v>
      </c>
      <c r="Y10421" s="18" t="s">
        <v>17171</v>
      </c>
      <c r="Z10421" s="18" t="s">
        <v>24637</v>
      </c>
      <c r="AA10421" s="21" t="str">
        <f>HYPERLINK("https://www.ncbi.nlm.nih.gov/nuccore/CASDWV010003192","NCBI Nucleotide")</f>
        <v>NCBI Nucleotide</v>
      </c>
    </row>
    <row r="10422" spans="1:27" x14ac:dyDescent="0.35">
      <c r="A10422">
        <v>1026139</v>
      </c>
      <c r="B10422">
        <v>9747</v>
      </c>
      <c r="C10422">
        <v>1</v>
      </c>
      <c r="D10422" s="17" t="s">
        <v>17166</v>
      </c>
      <c r="E10422" s="17"/>
      <c r="F10422" s="17" t="s">
        <v>17246</v>
      </c>
      <c r="G10422" s="17"/>
      <c r="H10422" s="17" t="s">
        <v>20919</v>
      </c>
      <c r="I10422" s="17"/>
      <c r="J10422" s="17" t="s">
        <v>21313</v>
      </c>
      <c r="K10422" s="17"/>
      <c r="L10422" s="17" t="s">
        <v>22378</v>
      </c>
      <c r="M10422" s="17"/>
      <c r="N10422" s="17" t="s">
        <v>22459</v>
      </c>
      <c r="O10422" s="17"/>
      <c r="P10422" s="17" t="s">
        <v>44873</v>
      </c>
      <c r="Q10422" s="17"/>
      <c r="R10422" s="25" t="str">
        <f>HYPERLINK("https://ictv.global/taxonomy/taxondetails?taxnode_id=202317051","Giliycovirus caenihabitans")</f>
        <v>Giliycovirus caenihabitans</v>
      </c>
      <c r="S10422" s="18" t="s">
        <v>30</v>
      </c>
      <c r="T10422" s="18" t="s">
        <v>44878</v>
      </c>
      <c r="U10422" s="18"/>
      <c r="V10422" s="18"/>
      <c r="W10422" s="18" t="s">
        <v>44879</v>
      </c>
      <c r="X10422" s="18" t="s">
        <v>35</v>
      </c>
      <c r="Y10422" s="18" t="s">
        <v>17171</v>
      </c>
      <c r="Z10422" s="18" t="s">
        <v>24637</v>
      </c>
      <c r="AA10422" s="21" t="str">
        <f>HYPERLINK("https://www.ncbi.nlm.nih.gov/nuccore/CASDWV010003189","NCBI Nucleotide")</f>
        <v>NCBI Nucleotide</v>
      </c>
    </row>
    <row r="10423" spans="1:27" x14ac:dyDescent="0.35">
      <c r="A10423">
        <v>1026140</v>
      </c>
      <c r="B10423">
        <v>9748</v>
      </c>
      <c r="C10423">
        <v>1</v>
      </c>
      <c r="D10423" s="17" t="s">
        <v>17166</v>
      </c>
      <c r="E10423" s="17"/>
      <c r="F10423" s="17" t="s">
        <v>17246</v>
      </c>
      <c r="G10423" s="17"/>
      <c r="H10423" s="17" t="s">
        <v>20919</v>
      </c>
      <c r="I10423" s="17"/>
      <c r="J10423" s="17" t="s">
        <v>21313</v>
      </c>
      <c r="K10423" s="17"/>
      <c r="L10423" s="17" t="s">
        <v>22378</v>
      </c>
      <c r="M10423" s="17"/>
      <c r="N10423" s="17" t="s">
        <v>22459</v>
      </c>
      <c r="O10423" s="17"/>
      <c r="P10423" s="17" t="s">
        <v>44873</v>
      </c>
      <c r="Q10423" s="17"/>
      <c r="R10423" s="25" t="str">
        <f>HYPERLINK("https://ictv.global/taxonomy/taxondetails?taxnode_id=202317052","Giliycovirus caenivicinum")</f>
        <v>Giliycovirus caenivicinum</v>
      </c>
      <c r="S10423" s="18" t="s">
        <v>30</v>
      </c>
      <c r="T10423" s="18" t="s">
        <v>44880</v>
      </c>
      <c r="U10423" s="18"/>
      <c r="V10423" s="18"/>
      <c r="W10423" s="18" t="s">
        <v>44881</v>
      </c>
      <c r="X10423" s="18" t="s">
        <v>35</v>
      </c>
      <c r="Y10423" s="18" t="s">
        <v>17171</v>
      </c>
      <c r="Z10423" s="18" t="s">
        <v>24637</v>
      </c>
      <c r="AA10423" s="21" t="str">
        <f>HYPERLINK("https://www.ncbi.nlm.nih.gov/nuccore/CASDWV010003832","NCBI Nucleotide")</f>
        <v>NCBI Nucleotide</v>
      </c>
    </row>
    <row r="10424" spans="1:27" x14ac:dyDescent="0.35">
      <c r="A10424">
        <v>1010190</v>
      </c>
      <c r="B10424">
        <v>9749</v>
      </c>
      <c r="C10424">
        <v>1</v>
      </c>
      <c r="D10424" s="17" t="s">
        <v>17166</v>
      </c>
      <c r="E10424" s="17"/>
      <c r="F10424" s="17" t="s">
        <v>17246</v>
      </c>
      <c r="G10424" s="17"/>
      <c r="H10424" s="17" t="s">
        <v>20919</v>
      </c>
      <c r="I10424" s="17"/>
      <c r="J10424" s="17" t="s">
        <v>21313</v>
      </c>
      <c r="K10424" s="17"/>
      <c r="L10424" s="17" t="s">
        <v>22378</v>
      </c>
      <c r="M10424" s="17"/>
      <c r="N10424" s="17" t="s">
        <v>22459</v>
      </c>
      <c r="O10424" s="17"/>
      <c r="P10424" s="17" t="s">
        <v>44873</v>
      </c>
      <c r="Q10424" s="17"/>
      <c r="R10424" s="25" t="str">
        <f>HYPERLINK("https://ictv.global/taxonomy/taxondetails?taxnode_id=202311473","Giliycovirus chthonadaptatum")</f>
        <v>Giliycovirus chthonadaptatum</v>
      </c>
      <c r="S10424" s="18" t="s">
        <v>30</v>
      </c>
      <c r="T10424" s="18" t="s">
        <v>23228</v>
      </c>
      <c r="U10424" s="18"/>
      <c r="V10424" s="18"/>
      <c r="W10424" s="18" t="s">
        <v>23229</v>
      </c>
      <c r="X10424" s="18" t="s">
        <v>35</v>
      </c>
      <c r="Y10424" s="18" t="s">
        <v>17171</v>
      </c>
      <c r="Z10424" s="18" t="s">
        <v>697</v>
      </c>
      <c r="AA10424" s="21" t="str">
        <f>HYPERLINK("https://www.ncbi.nlm.nih.gov/nuccore/BK013455","NCBI Nucleotide")</f>
        <v>NCBI Nucleotide</v>
      </c>
    </row>
    <row r="10425" spans="1:27" x14ac:dyDescent="0.35">
      <c r="A10425">
        <v>1010191</v>
      </c>
      <c r="B10425">
        <v>9750</v>
      </c>
      <c r="C10425">
        <v>1</v>
      </c>
      <c r="D10425" s="17" t="s">
        <v>17166</v>
      </c>
      <c r="E10425" s="17"/>
      <c r="F10425" s="17" t="s">
        <v>17246</v>
      </c>
      <c r="G10425" s="17"/>
      <c r="H10425" s="17" t="s">
        <v>20919</v>
      </c>
      <c r="I10425" s="17"/>
      <c r="J10425" s="17" t="s">
        <v>21313</v>
      </c>
      <c r="K10425" s="17"/>
      <c r="L10425" s="17" t="s">
        <v>22378</v>
      </c>
      <c r="M10425" s="17"/>
      <c r="N10425" s="17" t="s">
        <v>22459</v>
      </c>
      <c r="O10425" s="17"/>
      <c r="P10425" s="17" t="s">
        <v>44873</v>
      </c>
      <c r="Q10425" s="17"/>
      <c r="R10425" s="25" t="str">
        <f>HYPERLINK("https://ictv.global/taxonomy/taxondetails?taxnode_id=202311475","Giliycovirus chthonenecus")</f>
        <v>Giliycovirus chthonenecus</v>
      </c>
      <c r="S10425" s="18" t="s">
        <v>30</v>
      </c>
      <c r="T10425" s="18" t="s">
        <v>23230</v>
      </c>
      <c r="U10425" s="18"/>
      <c r="V10425" s="18"/>
      <c r="W10425" s="18" t="s">
        <v>23231</v>
      </c>
      <c r="X10425" s="18" t="s">
        <v>35</v>
      </c>
      <c r="Y10425" s="18" t="s">
        <v>17171</v>
      </c>
      <c r="Z10425" s="18" t="s">
        <v>697</v>
      </c>
      <c r="AA10425" s="21" t="str">
        <f>HYPERLINK("https://www.ncbi.nlm.nih.gov/nuccore/BK013848","NCBI Nucleotide")</f>
        <v>NCBI Nucleotide</v>
      </c>
    </row>
    <row r="10426" spans="1:27" x14ac:dyDescent="0.35">
      <c r="A10426">
        <v>1026141</v>
      </c>
      <c r="B10426">
        <v>9751</v>
      </c>
      <c r="C10426">
        <v>1</v>
      </c>
      <c r="D10426" s="17" t="s">
        <v>17166</v>
      </c>
      <c r="E10426" s="17"/>
      <c r="F10426" s="17" t="s">
        <v>17246</v>
      </c>
      <c r="G10426" s="17"/>
      <c r="H10426" s="17" t="s">
        <v>20919</v>
      </c>
      <c r="I10426" s="17"/>
      <c r="J10426" s="17" t="s">
        <v>21313</v>
      </c>
      <c r="K10426" s="17"/>
      <c r="L10426" s="17" t="s">
        <v>22378</v>
      </c>
      <c r="M10426" s="17"/>
      <c r="N10426" s="17" t="s">
        <v>22459</v>
      </c>
      <c r="O10426" s="17"/>
      <c r="P10426" s="17" t="s">
        <v>44873</v>
      </c>
      <c r="Q10426" s="17"/>
      <c r="R10426" s="25" t="str">
        <f>HYPERLINK("https://ictv.global/taxonomy/taxondetails?taxnode_id=202317053","Giliycovirus chthonocola")</f>
        <v>Giliycovirus chthonocola</v>
      </c>
      <c r="S10426" s="18" t="s">
        <v>30</v>
      </c>
      <c r="T10426" s="18" t="s">
        <v>44882</v>
      </c>
      <c r="U10426" s="18"/>
      <c r="V10426" s="18"/>
      <c r="W10426" s="18" t="s">
        <v>44883</v>
      </c>
      <c r="X10426" s="18" t="s">
        <v>35</v>
      </c>
      <c r="Y10426" s="18" t="s">
        <v>17171</v>
      </c>
      <c r="Z10426" s="18" t="s">
        <v>24637</v>
      </c>
      <c r="AA10426" s="21" t="str">
        <f>HYPERLINK("https://www.ncbi.nlm.nih.gov/nuccore/CASDWV010000995","NCBI Nucleotide")</f>
        <v>NCBI Nucleotide</v>
      </c>
    </row>
    <row r="10427" spans="1:27" x14ac:dyDescent="0.35">
      <c r="A10427">
        <v>1010193</v>
      </c>
      <c r="B10427">
        <v>9752</v>
      </c>
      <c r="C10427">
        <v>1</v>
      </c>
      <c r="D10427" s="17" t="s">
        <v>17166</v>
      </c>
      <c r="E10427" s="17"/>
      <c r="F10427" s="17" t="s">
        <v>17246</v>
      </c>
      <c r="G10427" s="17"/>
      <c r="H10427" s="17" t="s">
        <v>20919</v>
      </c>
      <c r="I10427" s="17"/>
      <c r="J10427" s="17" t="s">
        <v>21313</v>
      </c>
      <c r="K10427" s="17"/>
      <c r="L10427" s="17" t="s">
        <v>22378</v>
      </c>
      <c r="M10427" s="17"/>
      <c r="N10427" s="17" t="s">
        <v>22459</v>
      </c>
      <c r="O10427" s="17"/>
      <c r="P10427" s="17" t="s">
        <v>44873</v>
      </c>
      <c r="Q10427" s="17"/>
      <c r="R10427" s="25" t="str">
        <f>HYPERLINK("https://ictv.global/taxonomy/taxondetails?taxnode_id=202311476","Giliycovirus chthonohabitans")</f>
        <v>Giliycovirus chthonohabitans</v>
      </c>
      <c r="S10427" s="18" t="s">
        <v>30</v>
      </c>
      <c r="T10427" s="18" t="s">
        <v>23234</v>
      </c>
      <c r="U10427" s="18"/>
      <c r="V10427" s="18"/>
      <c r="W10427" s="18" t="s">
        <v>23235</v>
      </c>
      <c r="X10427" s="18" t="s">
        <v>35</v>
      </c>
      <c r="Y10427" s="18" t="s">
        <v>17171</v>
      </c>
      <c r="Z10427" s="18" t="s">
        <v>697</v>
      </c>
      <c r="AA10427" s="21" t="str">
        <f>HYPERLINK("https://www.ncbi.nlm.nih.gov/nuccore/BK013534","NCBI Nucleotide")</f>
        <v>NCBI Nucleotide</v>
      </c>
    </row>
    <row r="10428" spans="1:27" x14ac:dyDescent="0.35">
      <c r="A10428">
        <v>1010194</v>
      </c>
      <c r="B10428">
        <v>9753</v>
      </c>
      <c r="C10428">
        <v>1</v>
      </c>
      <c r="D10428" s="17" t="s">
        <v>17166</v>
      </c>
      <c r="E10428" s="17"/>
      <c r="F10428" s="17" t="s">
        <v>17246</v>
      </c>
      <c r="G10428" s="17"/>
      <c r="H10428" s="17" t="s">
        <v>20919</v>
      </c>
      <c r="I10428" s="17"/>
      <c r="J10428" s="17" t="s">
        <v>21313</v>
      </c>
      <c r="K10428" s="17"/>
      <c r="L10428" s="17" t="s">
        <v>22378</v>
      </c>
      <c r="M10428" s="17"/>
      <c r="N10428" s="17" t="s">
        <v>22459</v>
      </c>
      <c r="O10428" s="17"/>
      <c r="P10428" s="17" t="s">
        <v>44873</v>
      </c>
      <c r="Q10428" s="17"/>
      <c r="R10428" s="25" t="str">
        <f>HYPERLINK("https://ictv.global/taxonomy/taxondetails?taxnode_id=202311477","Giliycovirus chthonovicinum")</f>
        <v>Giliycovirus chthonovicinum</v>
      </c>
      <c r="S10428" s="18" t="s">
        <v>30</v>
      </c>
      <c r="T10428" s="18" t="s">
        <v>23236</v>
      </c>
      <c r="U10428" s="18"/>
      <c r="V10428" s="18"/>
      <c r="W10428" s="18" t="s">
        <v>23237</v>
      </c>
      <c r="X10428" s="18" t="s">
        <v>35</v>
      </c>
      <c r="Y10428" s="18" t="s">
        <v>17171</v>
      </c>
      <c r="Z10428" s="18" t="s">
        <v>697</v>
      </c>
      <c r="AA10428" s="21" t="str">
        <f>HYPERLINK("https://www.ncbi.nlm.nih.gov/nuccore/BK013951","NCBI Nucleotide")</f>
        <v>NCBI Nucleotide</v>
      </c>
    </row>
    <row r="10429" spans="1:27" x14ac:dyDescent="0.35">
      <c r="A10429">
        <v>1010195</v>
      </c>
      <c r="B10429">
        <v>9754</v>
      </c>
      <c r="C10429">
        <v>1</v>
      </c>
      <c r="D10429" s="17" t="s">
        <v>17166</v>
      </c>
      <c r="E10429" s="17"/>
      <c r="F10429" s="17" t="s">
        <v>17246</v>
      </c>
      <c r="G10429" s="17"/>
      <c r="H10429" s="17" t="s">
        <v>20919</v>
      </c>
      <c r="I10429" s="17"/>
      <c r="J10429" s="17" t="s">
        <v>21313</v>
      </c>
      <c r="K10429" s="17"/>
      <c r="L10429" s="17" t="s">
        <v>22378</v>
      </c>
      <c r="M10429" s="17"/>
      <c r="N10429" s="17" t="s">
        <v>22459</v>
      </c>
      <c r="O10429" s="17"/>
      <c r="P10429" s="17" t="s">
        <v>44873</v>
      </c>
      <c r="Q10429" s="17"/>
      <c r="R10429" s="25" t="str">
        <f>HYPERLINK("https://ictv.global/taxonomy/taxondetails?taxnode_id=202311478","Giliycovirus chthonovivens")</f>
        <v>Giliycovirus chthonovivens</v>
      </c>
      <c r="S10429" s="18" t="s">
        <v>30</v>
      </c>
      <c r="T10429" s="18" t="s">
        <v>23238</v>
      </c>
      <c r="U10429" s="18"/>
      <c r="V10429" s="18"/>
      <c r="W10429" s="18" t="s">
        <v>23239</v>
      </c>
      <c r="X10429" s="18" t="s">
        <v>35</v>
      </c>
      <c r="Y10429" s="18" t="s">
        <v>17171</v>
      </c>
      <c r="Z10429" s="18" t="s">
        <v>697</v>
      </c>
      <c r="AA10429" s="21" t="str">
        <f>HYPERLINK("https://www.ncbi.nlm.nih.gov/nuccore/BK014000","NCBI Nucleotide")</f>
        <v>NCBI Nucleotide</v>
      </c>
    </row>
    <row r="10430" spans="1:27" x14ac:dyDescent="0.35">
      <c r="A10430">
        <v>1026142</v>
      </c>
      <c r="B10430">
        <v>9755</v>
      </c>
      <c r="C10430">
        <v>1</v>
      </c>
      <c r="D10430" s="17" t="s">
        <v>17166</v>
      </c>
      <c r="E10430" s="17"/>
      <c r="F10430" s="17" t="s">
        <v>17246</v>
      </c>
      <c r="G10430" s="17"/>
      <c r="H10430" s="17" t="s">
        <v>20919</v>
      </c>
      <c r="I10430" s="17"/>
      <c r="J10430" s="17" t="s">
        <v>21313</v>
      </c>
      <c r="K10430" s="17"/>
      <c r="L10430" s="17" t="s">
        <v>22378</v>
      </c>
      <c r="M10430" s="17"/>
      <c r="N10430" s="17" t="s">
        <v>22459</v>
      </c>
      <c r="O10430" s="17"/>
      <c r="P10430" s="17" t="s">
        <v>44873</v>
      </c>
      <c r="Q10430" s="17"/>
      <c r="R10430" s="25" t="str">
        <f>HYPERLINK("https://ictv.global/taxonomy/taxondetails?taxnode_id=202317054","Giliycovirus edaphovivens")</f>
        <v>Giliycovirus edaphovivens</v>
      </c>
      <c r="S10430" s="18" t="s">
        <v>30</v>
      </c>
      <c r="T10430" s="18" t="s">
        <v>44884</v>
      </c>
      <c r="U10430" s="18"/>
      <c r="V10430" s="18"/>
      <c r="W10430" s="18" t="s">
        <v>44885</v>
      </c>
      <c r="X10430" s="18" t="s">
        <v>35</v>
      </c>
      <c r="Y10430" s="18" t="s">
        <v>17171</v>
      </c>
      <c r="Z10430" s="18" t="s">
        <v>24637</v>
      </c>
      <c r="AA10430" s="21" t="str">
        <f>HYPERLINK("https://www.ncbi.nlm.nih.gov/nuccore/CASDWV010002964","NCBI Nucleotide")</f>
        <v>NCBI Nucleotide</v>
      </c>
    </row>
    <row r="10431" spans="1:27" x14ac:dyDescent="0.35">
      <c r="A10431">
        <v>1010196</v>
      </c>
      <c r="B10431">
        <v>9756</v>
      </c>
      <c r="C10431">
        <v>1</v>
      </c>
      <c r="D10431" s="17" t="s">
        <v>17166</v>
      </c>
      <c r="E10431" s="17"/>
      <c r="F10431" s="17" t="s">
        <v>17246</v>
      </c>
      <c r="G10431" s="17"/>
      <c r="H10431" s="17" t="s">
        <v>20919</v>
      </c>
      <c r="I10431" s="17"/>
      <c r="J10431" s="17" t="s">
        <v>21313</v>
      </c>
      <c r="K10431" s="17"/>
      <c r="L10431" s="17" t="s">
        <v>22378</v>
      </c>
      <c r="M10431" s="17"/>
      <c r="N10431" s="17" t="s">
        <v>22459</v>
      </c>
      <c r="O10431" s="17"/>
      <c r="P10431" s="17" t="s">
        <v>44873</v>
      </c>
      <c r="Q10431" s="17"/>
      <c r="R10431" s="25" t="str">
        <f>HYPERLINK("https://ictv.global/taxonomy/taxondetails?taxnode_id=202311479","Giliycovirus geoadaptatum")</f>
        <v>Giliycovirus geoadaptatum</v>
      </c>
      <c r="S10431" s="18" t="s">
        <v>30</v>
      </c>
      <c r="T10431" s="18" t="s">
        <v>23240</v>
      </c>
      <c r="U10431" s="18"/>
      <c r="V10431" s="18"/>
      <c r="W10431" s="18" t="s">
        <v>23241</v>
      </c>
      <c r="X10431" s="18" t="s">
        <v>35</v>
      </c>
      <c r="Y10431" s="18" t="s">
        <v>17171</v>
      </c>
      <c r="Z10431" s="18" t="s">
        <v>697</v>
      </c>
      <c r="AA10431" s="21" t="str">
        <f>HYPERLINK("https://www.ncbi.nlm.nih.gov/nuccore/BK013787","NCBI Nucleotide")</f>
        <v>NCBI Nucleotide</v>
      </c>
    </row>
    <row r="10432" spans="1:27" x14ac:dyDescent="0.35">
      <c r="A10432">
        <v>1010197</v>
      </c>
      <c r="B10432">
        <v>9757</v>
      </c>
      <c r="C10432">
        <v>1</v>
      </c>
      <c r="D10432" s="17" t="s">
        <v>17166</v>
      </c>
      <c r="E10432" s="17"/>
      <c r="F10432" s="17" t="s">
        <v>17246</v>
      </c>
      <c r="G10432" s="17"/>
      <c r="H10432" s="17" t="s">
        <v>20919</v>
      </c>
      <c r="I10432" s="17"/>
      <c r="J10432" s="17" t="s">
        <v>21313</v>
      </c>
      <c r="K10432" s="17"/>
      <c r="L10432" s="17" t="s">
        <v>22378</v>
      </c>
      <c r="M10432" s="17"/>
      <c r="N10432" s="17" t="s">
        <v>22459</v>
      </c>
      <c r="O10432" s="17"/>
      <c r="P10432" s="17" t="s">
        <v>44873</v>
      </c>
      <c r="Q10432" s="17"/>
      <c r="R10432" s="25" t="str">
        <f>HYPERLINK("https://ictv.global/taxonomy/taxondetails?taxnode_id=202311480","Giliycovirus geocola")</f>
        <v>Giliycovirus geocola</v>
      </c>
      <c r="S10432" s="18" t="s">
        <v>30</v>
      </c>
      <c r="T10432" s="18" t="s">
        <v>23242</v>
      </c>
      <c r="U10432" s="18"/>
      <c r="V10432" s="18"/>
      <c r="W10432" s="18" t="s">
        <v>23243</v>
      </c>
      <c r="X10432" s="18" t="s">
        <v>35</v>
      </c>
      <c r="Y10432" s="18" t="s">
        <v>17171</v>
      </c>
      <c r="Z10432" s="18" t="s">
        <v>697</v>
      </c>
      <c r="AA10432" s="21" t="str">
        <f>HYPERLINK("https://www.ncbi.nlm.nih.gov/nuccore/BK014018","NCBI Nucleotide")</f>
        <v>NCBI Nucleotide</v>
      </c>
    </row>
    <row r="10433" spans="1:27" x14ac:dyDescent="0.35">
      <c r="A10433">
        <v>1010199</v>
      </c>
      <c r="B10433">
        <v>9758</v>
      </c>
      <c r="C10433">
        <v>1</v>
      </c>
      <c r="D10433" s="17" t="s">
        <v>17166</v>
      </c>
      <c r="E10433" s="17"/>
      <c r="F10433" s="17" t="s">
        <v>17246</v>
      </c>
      <c r="G10433" s="17"/>
      <c r="H10433" s="17" t="s">
        <v>20919</v>
      </c>
      <c r="I10433" s="17"/>
      <c r="J10433" s="17" t="s">
        <v>21313</v>
      </c>
      <c r="K10433" s="17"/>
      <c r="L10433" s="17" t="s">
        <v>22378</v>
      </c>
      <c r="M10433" s="17"/>
      <c r="N10433" s="17" t="s">
        <v>22459</v>
      </c>
      <c r="O10433" s="17"/>
      <c r="P10433" s="17" t="s">
        <v>44873</v>
      </c>
      <c r="Q10433" s="17"/>
      <c r="R10433" s="25" t="str">
        <f>HYPERLINK("https://ictv.global/taxonomy/taxondetails?taxnode_id=202311482","Giliycovirus geohabitans")</f>
        <v>Giliycovirus geohabitans</v>
      </c>
      <c r="S10433" s="18" t="s">
        <v>30</v>
      </c>
      <c r="T10433" s="18" t="s">
        <v>23246</v>
      </c>
      <c r="U10433" s="18"/>
      <c r="V10433" s="18"/>
      <c r="W10433" s="18" t="s">
        <v>23247</v>
      </c>
      <c r="X10433" s="18" t="s">
        <v>35</v>
      </c>
      <c r="Y10433" s="18" t="s">
        <v>17171</v>
      </c>
      <c r="Z10433" s="18" t="s">
        <v>697</v>
      </c>
      <c r="AA10433" s="21" t="str">
        <f>HYPERLINK("https://www.ncbi.nlm.nih.gov/nuccore/BK013454","NCBI Nucleotide")</f>
        <v>NCBI Nucleotide</v>
      </c>
    </row>
    <row r="10434" spans="1:27" x14ac:dyDescent="0.35">
      <c r="A10434">
        <v>1010200</v>
      </c>
      <c r="B10434">
        <v>9759</v>
      </c>
      <c r="C10434">
        <v>1</v>
      </c>
      <c r="D10434" s="17" t="s">
        <v>17166</v>
      </c>
      <c r="E10434" s="17"/>
      <c r="F10434" s="17" t="s">
        <v>17246</v>
      </c>
      <c r="G10434" s="17"/>
      <c r="H10434" s="17" t="s">
        <v>20919</v>
      </c>
      <c r="I10434" s="17"/>
      <c r="J10434" s="17" t="s">
        <v>21313</v>
      </c>
      <c r="K10434" s="17"/>
      <c r="L10434" s="17" t="s">
        <v>22378</v>
      </c>
      <c r="M10434" s="17"/>
      <c r="N10434" s="17" t="s">
        <v>22459</v>
      </c>
      <c r="O10434" s="17"/>
      <c r="P10434" s="17" t="s">
        <v>44873</v>
      </c>
      <c r="Q10434" s="17"/>
      <c r="R10434" s="25" t="str">
        <f>HYPERLINK("https://ictv.global/taxonomy/taxondetails?taxnode_id=202311483","Giliycovirus geovicinum")</f>
        <v>Giliycovirus geovicinum</v>
      </c>
      <c r="S10434" s="18" t="s">
        <v>30</v>
      </c>
      <c r="T10434" s="18" t="s">
        <v>23248</v>
      </c>
      <c r="U10434" s="18"/>
      <c r="V10434" s="18"/>
      <c r="W10434" s="18" t="s">
        <v>23249</v>
      </c>
      <c r="X10434" s="18" t="s">
        <v>35</v>
      </c>
      <c r="Y10434" s="18" t="s">
        <v>17171</v>
      </c>
      <c r="Z10434" s="18" t="s">
        <v>697</v>
      </c>
      <c r="AA10434" s="21" t="str">
        <f>HYPERLINK("https://www.ncbi.nlm.nih.gov/nuccore/BK014001","NCBI Nucleotide")</f>
        <v>NCBI Nucleotide</v>
      </c>
    </row>
    <row r="10435" spans="1:27" x14ac:dyDescent="0.35">
      <c r="A10435">
        <v>1010201</v>
      </c>
      <c r="B10435">
        <v>9760</v>
      </c>
      <c r="C10435">
        <v>1</v>
      </c>
      <c r="D10435" s="17" t="s">
        <v>17166</v>
      </c>
      <c r="E10435" s="17"/>
      <c r="F10435" s="17" t="s">
        <v>17246</v>
      </c>
      <c r="G10435" s="17"/>
      <c r="H10435" s="17" t="s">
        <v>20919</v>
      </c>
      <c r="I10435" s="17"/>
      <c r="J10435" s="17" t="s">
        <v>21313</v>
      </c>
      <c r="K10435" s="17"/>
      <c r="L10435" s="17" t="s">
        <v>22378</v>
      </c>
      <c r="M10435" s="17"/>
      <c r="N10435" s="17" t="s">
        <v>22459</v>
      </c>
      <c r="O10435" s="17"/>
      <c r="P10435" s="17" t="s">
        <v>44873</v>
      </c>
      <c r="Q10435" s="17"/>
      <c r="R10435" s="25" t="str">
        <f>HYPERLINK("https://ictv.global/taxonomy/taxondetails?taxnode_id=202311484","Giliycovirus geovivens")</f>
        <v>Giliycovirus geovivens</v>
      </c>
      <c r="S10435" s="18" t="s">
        <v>30</v>
      </c>
      <c r="T10435" s="18" t="s">
        <v>23250</v>
      </c>
      <c r="U10435" s="18"/>
      <c r="V10435" s="18"/>
      <c r="W10435" s="18" t="s">
        <v>23251</v>
      </c>
      <c r="X10435" s="18" t="s">
        <v>35</v>
      </c>
      <c r="Y10435" s="18" t="s">
        <v>17171</v>
      </c>
      <c r="Z10435" s="18" t="s">
        <v>697</v>
      </c>
      <c r="AA10435" s="21" t="str">
        <f>HYPERLINK("https://www.ncbi.nlm.nih.gov/nuccore/BK013413","NCBI Nucleotide")</f>
        <v>NCBI Nucleotide</v>
      </c>
    </row>
    <row r="10436" spans="1:27" x14ac:dyDescent="0.35">
      <c r="A10436">
        <v>1026143</v>
      </c>
      <c r="B10436">
        <v>9761</v>
      </c>
      <c r="C10436">
        <v>1</v>
      </c>
      <c r="D10436" s="17" t="s">
        <v>17166</v>
      </c>
      <c r="E10436" s="17"/>
      <c r="F10436" s="17" t="s">
        <v>17246</v>
      </c>
      <c r="G10436" s="17"/>
      <c r="H10436" s="17" t="s">
        <v>20919</v>
      </c>
      <c r="I10436" s="17"/>
      <c r="J10436" s="17" t="s">
        <v>21313</v>
      </c>
      <c r="K10436" s="17"/>
      <c r="L10436" s="17" t="s">
        <v>22378</v>
      </c>
      <c r="M10436" s="17"/>
      <c r="N10436" s="17" t="s">
        <v>22459</v>
      </c>
      <c r="O10436" s="17"/>
      <c r="P10436" s="17" t="s">
        <v>44873</v>
      </c>
      <c r="Q10436" s="17"/>
      <c r="R10436" s="25" t="str">
        <f>HYPERLINK("https://ictv.global/taxonomy/taxondetails?taxnode_id=202317055","Giliycovirus limicola")</f>
        <v>Giliycovirus limicola</v>
      </c>
      <c r="S10436" s="18" t="s">
        <v>30</v>
      </c>
      <c r="T10436" s="18" t="s">
        <v>44886</v>
      </c>
      <c r="U10436" s="18"/>
      <c r="V10436" s="18"/>
      <c r="W10436" s="18" t="s">
        <v>44887</v>
      </c>
      <c r="X10436" s="18" t="s">
        <v>35</v>
      </c>
      <c r="Y10436" s="18" t="s">
        <v>17171</v>
      </c>
      <c r="Z10436" s="18" t="s">
        <v>24637</v>
      </c>
      <c r="AA10436" s="21" t="str">
        <f>HYPERLINK("https://www.ncbi.nlm.nih.gov/nuccore/CASDWV010001912","NCBI Nucleotide")</f>
        <v>NCBI Nucleotide</v>
      </c>
    </row>
    <row r="10437" spans="1:27" x14ac:dyDescent="0.35">
      <c r="A10437">
        <v>1026144</v>
      </c>
      <c r="B10437">
        <v>9762</v>
      </c>
      <c r="C10437">
        <v>1</v>
      </c>
      <c r="D10437" s="17" t="s">
        <v>17166</v>
      </c>
      <c r="E10437" s="17"/>
      <c r="F10437" s="17" t="s">
        <v>17246</v>
      </c>
      <c r="G10437" s="17"/>
      <c r="H10437" s="17" t="s">
        <v>20919</v>
      </c>
      <c r="I10437" s="17"/>
      <c r="J10437" s="17" t="s">
        <v>21313</v>
      </c>
      <c r="K10437" s="17"/>
      <c r="L10437" s="17" t="s">
        <v>22378</v>
      </c>
      <c r="M10437" s="17"/>
      <c r="N10437" s="17" t="s">
        <v>22459</v>
      </c>
      <c r="O10437" s="17"/>
      <c r="P10437" s="17" t="s">
        <v>44873</v>
      </c>
      <c r="Q10437" s="17"/>
      <c r="R10437" s="25" t="str">
        <f>HYPERLINK("https://ictv.global/taxonomy/taxondetails?taxnode_id=202317056","Giliycovirus limihabitans")</f>
        <v>Giliycovirus limihabitans</v>
      </c>
      <c r="S10437" s="18" t="s">
        <v>30</v>
      </c>
      <c r="T10437" s="18" t="s">
        <v>44888</v>
      </c>
      <c r="U10437" s="18"/>
      <c r="V10437" s="18"/>
      <c r="W10437" s="18" t="s">
        <v>44889</v>
      </c>
      <c r="X10437" s="18" t="s">
        <v>35</v>
      </c>
      <c r="Y10437" s="18" t="s">
        <v>17171</v>
      </c>
      <c r="Z10437" s="18" t="s">
        <v>24637</v>
      </c>
      <c r="AA10437" s="21" t="str">
        <f>HYPERLINK("https://www.ncbi.nlm.nih.gov/nuccore/CASDWV010003742","NCBI Nucleotide")</f>
        <v>NCBI Nucleotide</v>
      </c>
    </row>
    <row r="10438" spans="1:27" x14ac:dyDescent="0.35">
      <c r="A10438">
        <v>1010202</v>
      </c>
      <c r="B10438">
        <v>9763</v>
      </c>
      <c r="C10438">
        <v>1</v>
      </c>
      <c r="D10438" s="17" t="s">
        <v>17166</v>
      </c>
      <c r="E10438" s="17"/>
      <c r="F10438" s="17" t="s">
        <v>17246</v>
      </c>
      <c r="G10438" s="17"/>
      <c r="H10438" s="17" t="s">
        <v>20919</v>
      </c>
      <c r="I10438" s="17"/>
      <c r="J10438" s="17" t="s">
        <v>21313</v>
      </c>
      <c r="K10438" s="17"/>
      <c r="L10438" s="17" t="s">
        <v>22378</v>
      </c>
      <c r="M10438" s="17"/>
      <c r="N10438" s="17" t="s">
        <v>22459</v>
      </c>
      <c r="O10438" s="17"/>
      <c r="P10438" s="17" t="s">
        <v>44873</v>
      </c>
      <c r="Q10438" s="17"/>
      <c r="R10438" s="25" t="str">
        <f>HYPERLINK("https://ictv.global/taxonomy/taxondetails?taxnode_id=202311491","Giliycovirus lutivicinum")</f>
        <v>Giliycovirus lutivicinum</v>
      </c>
      <c r="S10438" s="18" t="s">
        <v>30</v>
      </c>
      <c r="T10438" s="18" t="s">
        <v>23252</v>
      </c>
      <c r="U10438" s="18"/>
      <c r="V10438" s="18"/>
      <c r="W10438" s="18" t="s">
        <v>23253</v>
      </c>
      <c r="X10438" s="18" t="s">
        <v>35</v>
      </c>
      <c r="Y10438" s="18" t="s">
        <v>17171</v>
      </c>
      <c r="Z10438" s="18" t="s">
        <v>697</v>
      </c>
      <c r="AA10438" s="21" t="str">
        <f>HYPERLINK("https://www.ncbi.nlm.nih.gov/nuccore/BK014142","NCBI Nucleotide")</f>
        <v>NCBI Nucleotide</v>
      </c>
    </row>
    <row r="10439" spans="1:27" x14ac:dyDescent="0.35">
      <c r="A10439">
        <v>1010203</v>
      </c>
      <c r="B10439">
        <v>9764</v>
      </c>
      <c r="C10439">
        <v>1</v>
      </c>
      <c r="D10439" s="17" t="s">
        <v>17166</v>
      </c>
      <c r="E10439" s="17"/>
      <c r="F10439" s="17" t="s">
        <v>17246</v>
      </c>
      <c r="G10439" s="17"/>
      <c r="H10439" s="17" t="s">
        <v>20919</v>
      </c>
      <c r="I10439" s="17"/>
      <c r="J10439" s="17" t="s">
        <v>21313</v>
      </c>
      <c r="K10439" s="17"/>
      <c r="L10439" s="17" t="s">
        <v>22378</v>
      </c>
      <c r="M10439" s="17"/>
      <c r="N10439" s="17" t="s">
        <v>22459</v>
      </c>
      <c r="O10439" s="17"/>
      <c r="P10439" s="17" t="s">
        <v>44873</v>
      </c>
      <c r="Q10439" s="17"/>
      <c r="R10439" s="25" t="str">
        <f>HYPERLINK("https://ictv.global/taxonomy/taxondetails?taxnode_id=202311492","Giliycovirus lutivivens")</f>
        <v>Giliycovirus lutivivens</v>
      </c>
      <c r="S10439" s="18" t="s">
        <v>30</v>
      </c>
      <c r="T10439" s="18" t="s">
        <v>23254</v>
      </c>
      <c r="U10439" s="18"/>
      <c r="V10439" s="18"/>
      <c r="W10439" s="18" t="s">
        <v>23255</v>
      </c>
      <c r="X10439" s="18" t="s">
        <v>35</v>
      </c>
      <c r="Y10439" s="18" t="s">
        <v>17171</v>
      </c>
      <c r="Z10439" s="18" t="s">
        <v>697</v>
      </c>
      <c r="AA10439" s="21" t="str">
        <f>HYPERLINK("https://www.ncbi.nlm.nih.gov/nuccore/BK013690","NCBI Nucleotide")</f>
        <v>NCBI Nucleotide</v>
      </c>
    </row>
    <row r="10440" spans="1:27" x14ac:dyDescent="0.35">
      <c r="A10440">
        <v>1010204</v>
      </c>
      <c r="B10440">
        <v>9765</v>
      </c>
      <c r="C10440">
        <v>1</v>
      </c>
      <c r="D10440" s="17" t="s">
        <v>17166</v>
      </c>
      <c r="E10440" s="17"/>
      <c r="F10440" s="17" t="s">
        <v>17246</v>
      </c>
      <c r="G10440" s="17"/>
      <c r="H10440" s="17" t="s">
        <v>20919</v>
      </c>
      <c r="I10440" s="17"/>
      <c r="J10440" s="17" t="s">
        <v>21313</v>
      </c>
      <c r="K10440" s="17"/>
      <c r="L10440" s="17" t="s">
        <v>22378</v>
      </c>
      <c r="M10440" s="17"/>
      <c r="N10440" s="17" t="s">
        <v>22459</v>
      </c>
      <c r="O10440" s="17"/>
      <c r="P10440" s="17" t="s">
        <v>44873</v>
      </c>
      <c r="Q10440" s="17"/>
      <c r="R10440" s="25" t="str">
        <f>HYPERLINK("https://ictv.global/taxonomy/taxondetails?taxnode_id=202311469","Giliycovirus paludicola")</f>
        <v>Giliycovirus paludicola</v>
      </c>
      <c r="S10440" s="18" t="s">
        <v>30</v>
      </c>
      <c r="T10440" s="18" t="s">
        <v>23256</v>
      </c>
      <c r="U10440" s="18"/>
      <c r="V10440" s="18"/>
      <c r="W10440" s="18" t="s">
        <v>23257</v>
      </c>
      <c r="X10440" s="18" t="s">
        <v>35</v>
      </c>
      <c r="Y10440" s="18" t="s">
        <v>17171</v>
      </c>
      <c r="Z10440" s="18" t="s">
        <v>697</v>
      </c>
      <c r="AA10440" s="21" t="str">
        <f>HYPERLINK("https://www.ncbi.nlm.nih.gov/nuccore/BK013379","NCBI Nucleotide")</f>
        <v>NCBI Nucleotide</v>
      </c>
    </row>
    <row r="10441" spans="1:27" x14ac:dyDescent="0.35">
      <c r="A10441">
        <v>1010205</v>
      </c>
      <c r="B10441">
        <v>9766</v>
      </c>
      <c r="C10441">
        <v>1</v>
      </c>
      <c r="D10441" s="17" t="s">
        <v>17166</v>
      </c>
      <c r="E10441" s="17"/>
      <c r="F10441" s="17" t="s">
        <v>17246</v>
      </c>
      <c r="G10441" s="17"/>
      <c r="H10441" s="17" t="s">
        <v>20919</v>
      </c>
      <c r="I10441" s="17"/>
      <c r="J10441" s="17" t="s">
        <v>21313</v>
      </c>
      <c r="K10441" s="17"/>
      <c r="L10441" s="17" t="s">
        <v>22378</v>
      </c>
      <c r="M10441" s="17"/>
      <c r="N10441" s="17" t="s">
        <v>22459</v>
      </c>
      <c r="O10441" s="17"/>
      <c r="P10441" s="17" t="s">
        <v>44873</v>
      </c>
      <c r="Q10441" s="17"/>
      <c r="R10441" s="25" t="str">
        <f>HYPERLINK("https://ictv.global/taxonomy/taxondetails?taxnode_id=202311493","Giliycovirus peladaptatum")</f>
        <v>Giliycovirus peladaptatum</v>
      </c>
      <c r="S10441" s="18" t="s">
        <v>30</v>
      </c>
      <c r="T10441" s="18" t="s">
        <v>23258</v>
      </c>
      <c r="U10441" s="18"/>
      <c r="V10441" s="18"/>
      <c r="W10441" s="18" t="s">
        <v>23259</v>
      </c>
      <c r="X10441" s="18" t="s">
        <v>35</v>
      </c>
      <c r="Y10441" s="18" t="s">
        <v>17171</v>
      </c>
      <c r="Z10441" s="18" t="s">
        <v>697</v>
      </c>
      <c r="AA10441" s="21" t="str">
        <f>HYPERLINK("https://www.ncbi.nlm.nih.gov/nuccore/BK013689","NCBI Nucleotide")</f>
        <v>NCBI Nucleotide</v>
      </c>
    </row>
    <row r="10442" spans="1:27" x14ac:dyDescent="0.35">
      <c r="A10442">
        <v>1010206</v>
      </c>
      <c r="B10442">
        <v>9767</v>
      </c>
      <c r="C10442">
        <v>1</v>
      </c>
      <c r="D10442" s="17" t="s">
        <v>17166</v>
      </c>
      <c r="E10442" s="17"/>
      <c r="F10442" s="17" t="s">
        <v>17246</v>
      </c>
      <c r="G10442" s="17"/>
      <c r="H10442" s="17" t="s">
        <v>20919</v>
      </c>
      <c r="I10442" s="17"/>
      <c r="J10442" s="17" t="s">
        <v>21313</v>
      </c>
      <c r="K10442" s="17"/>
      <c r="L10442" s="17" t="s">
        <v>22378</v>
      </c>
      <c r="M10442" s="17"/>
      <c r="N10442" s="17" t="s">
        <v>22459</v>
      </c>
      <c r="O10442" s="17"/>
      <c r="P10442" s="17" t="s">
        <v>44873</v>
      </c>
      <c r="Q10442" s="17"/>
      <c r="R10442" s="25" t="str">
        <f>HYPERLINK("https://ictv.global/taxonomy/taxondetails?taxnode_id=202311494","Giliycovirus pelenecus")</f>
        <v>Giliycovirus pelenecus</v>
      </c>
      <c r="S10442" s="18" t="s">
        <v>30</v>
      </c>
      <c r="T10442" s="18" t="s">
        <v>23260</v>
      </c>
      <c r="U10442" s="18"/>
      <c r="V10442" s="18"/>
      <c r="W10442" s="18" t="s">
        <v>23261</v>
      </c>
      <c r="X10442" s="18" t="s">
        <v>35</v>
      </c>
      <c r="Y10442" s="18" t="s">
        <v>17171</v>
      </c>
      <c r="Z10442" s="18" t="s">
        <v>697</v>
      </c>
      <c r="AA10442" s="21" t="str">
        <f>HYPERLINK("https://www.ncbi.nlm.nih.gov/nuccore/BK013591","NCBI Nucleotide")</f>
        <v>NCBI Nucleotide</v>
      </c>
    </row>
    <row r="10443" spans="1:27" x14ac:dyDescent="0.35">
      <c r="A10443">
        <v>1010207</v>
      </c>
      <c r="B10443">
        <v>9768</v>
      </c>
      <c r="C10443">
        <v>1</v>
      </c>
      <c r="D10443" s="17" t="s">
        <v>17166</v>
      </c>
      <c r="E10443" s="17"/>
      <c r="F10443" s="17" t="s">
        <v>17246</v>
      </c>
      <c r="G10443" s="17"/>
      <c r="H10443" s="17" t="s">
        <v>20919</v>
      </c>
      <c r="I10443" s="17"/>
      <c r="J10443" s="17" t="s">
        <v>21313</v>
      </c>
      <c r="K10443" s="17"/>
      <c r="L10443" s="17" t="s">
        <v>22378</v>
      </c>
      <c r="M10443" s="17"/>
      <c r="N10443" s="17" t="s">
        <v>22459</v>
      </c>
      <c r="O10443" s="17"/>
      <c r="P10443" s="17" t="s">
        <v>44873</v>
      </c>
      <c r="Q10443" s="17"/>
      <c r="R10443" s="25" t="str">
        <f>HYPERLINK("https://ictv.global/taxonomy/taxondetails?taxnode_id=202311495","Giliycovirus pelocola")</f>
        <v>Giliycovirus pelocola</v>
      </c>
      <c r="S10443" s="18" t="s">
        <v>30</v>
      </c>
      <c r="T10443" s="18" t="s">
        <v>23262</v>
      </c>
      <c r="U10443" s="18"/>
      <c r="V10443" s="18"/>
      <c r="W10443" s="18" t="s">
        <v>23263</v>
      </c>
      <c r="X10443" s="18" t="s">
        <v>35</v>
      </c>
      <c r="Y10443" s="18" t="s">
        <v>17171</v>
      </c>
      <c r="Z10443" s="18" t="s">
        <v>697</v>
      </c>
      <c r="AA10443" s="21" t="str">
        <f>HYPERLINK("https://www.ncbi.nlm.nih.gov/nuccore/BK014165","NCBI Nucleotide")</f>
        <v>NCBI Nucleotide</v>
      </c>
    </row>
    <row r="10444" spans="1:27" x14ac:dyDescent="0.35">
      <c r="A10444">
        <v>1026145</v>
      </c>
      <c r="B10444">
        <v>9769</v>
      </c>
      <c r="C10444">
        <v>1</v>
      </c>
      <c r="D10444" s="17" t="s">
        <v>17166</v>
      </c>
      <c r="E10444" s="17"/>
      <c r="F10444" s="17" t="s">
        <v>17246</v>
      </c>
      <c r="G10444" s="17"/>
      <c r="H10444" s="17" t="s">
        <v>20919</v>
      </c>
      <c r="I10444" s="17"/>
      <c r="J10444" s="17" t="s">
        <v>21313</v>
      </c>
      <c r="K10444" s="17"/>
      <c r="L10444" s="17" t="s">
        <v>22378</v>
      </c>
      <c r="M10444" s="17"/>
      <c r="N10444" s="17" t="s">
        <v>22459</v>
      </c>
      <c r="O10444" s="17"/>
      <c r="P10444" s="17" t="s">
        <v>44873</v>
      </c>
      <c r="Q10444" s="17"/>
      <c r="R10444" s="25" t="str">
        <f>HYPERLINK("https://ictv.global/taxonomy/taxondetails?taxnode_id=202317057","Giliycovirus radicihabitans")</f>
        <v>Giliycovirus radicihabitans</v>
      </c>
      <c r="S10444" s="18" t="s">
        <v>30</v>
      </c>
      <c r="T10444" s="18" t="s">
        <v>44890</v>
      </c>
      <c r="U10444" s="18"/>
      <c r="V10444" s="18"/>
      <c r="W10444" s="18" t="s">
        <v>44891</v>
      </c>
      <c r="X10444" s="18" t="s">
        <v>35</v>
      </c>
      <c r="Y10444" s="18" t="s">
        <v>17171</v>
      </c>
      <c r="Z10444" s="18" t="s">
        <v>24637</v>
      </c>
      <c r="AA10444" s="21" t="str">
        <f>HYPERLINK("https://www.ncbi.nlm.nih.gov/nuccore/CASDWV010003041","NCBI Nucleotide")</f>
        <v>NCBI Nucleotide</v>
      </c>
    </row>
    <row r="10445" spans="1:27" x14ac:dyDescent="0.35">
      <c r="A10445">
        <v>1010208</v>
      </c>
      <c r="B10445">
        <v>9770</v>
      </c>
      <c r="C10445">
        <v>1</v>
      </c>
      <c r="D10445" s="17" t="s">
        <v>17166</v>
      </c>
      <c r="E10445" s="17"/>
      <c r="F10445" s="17" t="s">
        <v>17246</v>
      </c>
      <c r="G10445" s="17"/>
      <c r="H10445" s="17" t="s">
        <v>20919</v>
      </c>
      <c r="I10445" s="17"/>
      <c r="J10445" s="17" t="s">
        <v>21313</v>
      </c>
      <c r="K10445" s="17"/>
      <c r="L10445" s="17" t="s">
        <v>22378</v>
      </c>
      <c r="M10445" s="17"/>
      <c r="N10445" s="17" t="s">
        <v>22459</v>
      </c>
      <c r="O10445" s="17"/>
      <c r="P10445" s="17" t="s">
        <v>44873</v>
      </c>
      <c r="Q10445" s="17"/>
      <c r="R10445" s="25" t="str">
        <f>HYPERLINK("https://ictv.global/taxonomy/taxondetails?taxnode_id=202311470","Giliycovirus solihabitans")</f>
        <v>Giliycovirus solihabitans</v>
      </c>
      <c r="S10445" s="18" t="s">
        <v>30</v>
      </c>
      <c r="T10445" s="18" t="s">
        <v>23264</v>
      </c>
      <c r="U10445" s="18"/>
      <c r="V10445" s="18"/>
      <c r="W10445" s="18" t="s">
        <v>23265</v>
      </c>
      <c r="X10445" s="18" t="s">
        <v>35</v>
      </c>
      <c r="Y10445" s="18" t="s">
        <v>17171</v>
      </c>
      <c r="Z10445" s="18" t="s">
        <v>697</v>
      </c>
      <c r="AA10445" s="21" t="str">
        <f>HYPERLINK("https://www.ncbi.nlm.nih.gov/nuccore/BK013396","NCBI Nucleotide")</f>
        <v>NCBI Nucleotide</v>
      </c>
    </row>
    <row r="10446" spans="1:27" x14ac:dyDescent="0.35">
      <c r="A10446">
        <v>1010210</v>
      </c>
      <c r="B10446">
        <v>9771</v>
      </c>
      <c r="C10446">
        <v>1</v>
      </c>
      <c r="D10446" s="17" t="s">
        <v>17166</v>
      </c>
      <c r="E10446" s="17"/>
      <c r="F10446" s="17" t="s">
        <v>17246</v>
      </c>
      <c r="G10446" s="17"/>
      <c r="H10446" s="17" t="s">
        <v>20919</v>
      </c>
      <c r="I10446" s="17"/>
      <c r="J10446" s="17" t="s">
        <v>21313</v>
      </c>
      <c r="K10446" s="17"/>
      <c r="L10446" s="17" t="s">
        <v>22378</v>
      </c>
      <c r="M10446" s="17"/>
      <c r="N10446" s="17" t="s">
        <v>22459</v>
      </c>
      <c r="O10446" s="17"/>
      <c r="P10446" s="17" t="s">
        <v>44873</v>
      </c>
      <c r="Q10446" s="17"/>
      <c r="R10446" s="25" t="str">
        <f>HYPERLINK("https://ictv.global/taxonomy/taxondetails?taxnode_id=202311472","Giliycovirus solivivens")</f>
        <v>Giliycovirus solivivens</v>
      </c>
      <c r="S10446" s="18" t="s">
        <v>30</v>
      </c>
      <c r="T10446" s="18" t="s">
        <v>23268</v>
      </c>
      <c r="U10446" s="18"/>
      <c r="V10446" s="18"/>
      <c r="W10446" s="18" t="s">
        <v>23269</v>
      </c>
      <c r="X10446" s="18" t="s">
        <v>35</v>
      </c>
      <c r="Y10446" s="18" t="s">
        <v>17171</v>
      </c>
      <c r="Z10446" s="18" t="s">
        <v>697</v>
      </c>
      <c r="AA10446" s="21" t="str">
        <f>HYPERLINK("https://www.ncbi.nlm.nih.gov/nuccore/BK013511","NCBI Nucleotide")</f>
        <v>NCBI Nucleotide</v>
      </c>
    </row>
    <row r="10447" spans="1:27" x14ac:dyDescent="0.35">
      <c r="A10447">
        <v>1010211</v>
      </c>
      <c r="B10447">
        <v>9772</v>
      </c>
      <c r="C10447">
        <v>1</v>
      </c>
      <c r="D10447" s="17" t="s">
        <v>17166</v>
      </c>
      <c r="E10447" s="17"/>
      <c r="F10447" s="17" t="s">
        <v>17246</v>
      </c>
      <c r="G10447" s="17"/>
      <c r="H10447" s="17" t="s">
        <v>20919</v>
      </c>
      <c r="I10447" s="17"/>
      <c r="J10447" s="17" t="s">
        <v>21313</v>
      </c>
      <c r="K10447" s="17"/>
      <c r="L10447" s="17" t="s">
        <v>22378</v>
      </c>
      <c r="M10447" s="17"/>
      <c r="N10447" s="17" t="s">
        <v>22459</v>
      </c>
      <c r="O10447" s="17"/>
      <c r="P10447" s="17" t="s">
        <v>44873</v>
      </c>
      <c r="Q10447" s="17"/>
      <c r="R10447" s="25" t="str">
        <f>HYPERLINK("https://ictv.global/taxonomy/taxondetails?taxnode_id=202311485","Giliycovirus telluradaptatum")</f>
        <v>Giliycovirus telluradaptatum</v>
      </c>
      <c r="S10447" s="18" t="s">
        <v>30</v>
      </c>
      <c r="T10447" s="18" t="s">
        <v>23270</v>
      </c>
      <c r="U10447" s="18"/>
      <c r="V10447" s="18"/>
      <c r="W10447" s="18" t="s">
        <v>23271</v>
      </c>
      <c r="X10447" s="18" t="s">
        <v>35</v>
      </c>
      <c r="Y10447" s="18" t="s">
        <v>17171</v>
      </c>
      <c r="Z10447" s="18" t="s">
        <v>697</v>
      </c>
      <c r="AA10447" s="21" t="str">
        <f>HYPERLINK("https://www.ncbi.nlm.nih.gov/nuccore/BK013499","NCBI Nucleotide")</f>
        <v>NCBI Nucleotide</v>
      </c>
    </row>
    <row r="10448" spans="1:27" x14ac:dyDescent="0.35">
      <c r="A10448">
        <v>1010212</v>
      </c>
      <c r="B10448">
        <v>9773</v>
      </c>
      <c r="C10448">
        <v>1</v>
      </c>
      <c r="D10448" s="17" t="s">
        <v>17166</v>
      </c>
      <c r="E10448" s="17"/>
      <c r="F10448" s="17" t="s">
        <v>17246</v>
      </c>
      <c r="G10448" s="17"/>
      <c r="H10448" s="17" t="s">
        <v>20919</v>
      </c>
      <c r="I10448" s="17"/>
      <c r="J10448" s="17" t="s">
        <v>21313</v>
      </c>
      <c r="K10448" s="17"/>
      <c r="L10448" s="17" t="s">
        <v>22378</v>
      </c>
      <c r="M10448" s="17"/>
      <c r="N10448" s="17" t="s">
        <v>22459</v>
      </c>
      <c r="O10448" s="17"/>
      <c r="P10448" s="17" t="s">
        <v>44873</v>
      </c>
      <c r="Q10448" s="17"/>
      <c r="R10448" s="25" t="str">
        <f>HYPERLINK("https://ictv.global/taxonomy/taxondetails?taxnode_id=202311487","Giliycovirus tellurenecus")</f>
        <v>Giliycovirus tellurenecus</v>
      </c>
      <c r="S10448" s="18" t="s">
        <v>30</v>
      </c>
      <c r="T10448" s="18" t="s">
        <v>23272</v>
      </c>
      <c r="U10448" s="18"/>
      <c r="V10448" s="18"/>
      <c r="W10448" s="18" t="s">
        <v>23273</v>
      </c>
      <c r="X10448" s="18" t="s">
        <v>35</v>
      </c>
      <c r="Y10448" s="18" t="s">
        <v>17171</v>
      </c>
      <c r="Z10448" s="18" t="s">
        <v>697</v>
      </c>
      <c r="AA10448" s="21" t="str">
        <f>HYPERLINK("https://www.ncbi.nlm.nih.gov/nuccore/BK013870","NCBI Nucleotide")</f>
        <v>NCBI Nucleotide</v>
      </c>
    </row>
    <row r="10449" spans="1:27" x14ac:dyDescent="0.35">
      <c r="A10449">
        <v>1010213</v>
      </c>
      <c r="B10449">
        <v>9774</v>
      </c>
      <c r="C10449">
        <v>1</v>
      </c>
      <c r="D10449" s="17" t="s">
        <v>17166</v>
      </c>
      <c r="E10449" s="17"/>
      <c r="F10449" s="17" t="s">
        <v>17246</v>
      </c>
      <c r="G10449" s="17"/>
      <c r="H10449" s="17" t="s">
        <v>20919</v>
      </c>
      <c r="I10449" s="17"/>
      <c r="J10449" s="17" t="s">
        <v>21313</v>
      </c>
      <c r="K10449" s="17"/>
      <c r="L10449" s="17" t="s">
        <v>22378</v>
      </c>
      <c r="M10449" s="17"/>
      <c r="N10449" s="17" t="s">
        <v>22459</v>
      </c>
      <c r="O10449" s="17"/>
      <c r="P10449" s="17" t="s">
        <v>44873</v>
      </c>
      <c r="Q10449" s="17"/>
      <c r="R10449" s="25" t="str">
        <f>HYPERLINK("https://ictv.global/taxonomy/taxondetails?taxnode_id=202311486","Giliycovirus telluricola")</f>
        <v>Giliycovirus telluricola</v>
      </c>
      <c r="S10449" s="18" t="s">
        <v>30</v>
      </c>
      <c r="T10449" s="18" t="s">
        <v>23274</v>
      </c>
      <c r="U10449" s="18"/>
      <c r="V10449" s="18"/>
      <c r="W10449" s="18" t="s">
        <v>23275</v>
      </c>
      <c r="X10449" s="18" t="s">
        <v>35</v>
      </c>
      <c r="Y10449" s="18" t="s">
        <v>17171</v>
      </c>
      <c r="Z10449" s="18" t="s">
        <v>697</v>
      </c>
      <c r="AA10449" s="21" t="str">
        <f>HYPERLINK("https://www.ncbi.nlm.nih.gov/nuccore/BK014031","NCBI Nucleotide")</f>
        <v>NCBI Nucleotide</v>
      </c>
    </row>
    <row r="10450" spans="1:27" x14ac:dyDescent="0.35">
      <c r="A10450">
        <v>1010214</v>
      </c>
      <c r="B10450">
        <v>9775</v>
      </c>
      <c r="C10450">
        <v>1</v>
      </c>
      <c r="D10450" s="17" t="s">
        <v>17166</v>
      </c>
      <c r="E10450" s="17"/>
      <c r="F10450" s="17" t="s">
        <v>17246</v>
      </c>
      <c r="G10450" s="17"/>
      <c r="H10450" s="17" t="s">
        <v>20919</v>
      </c>
      <c r="I10450" s="17"/>
      <c r="J10450" s="17" t="s">
        <v>21313</v>
      </c>
      <c r="K10450" s="17"/>
      <c r="L10450" s="17" t="s">
        <v>22378</v>
      </c>
      <c r="M10450" s="17"/>
      <c r="N10450" s="17" t="s">
        <v>22459</v>
      </c>
      <c r="O10450" s="17"/>
      <c r="P10450" s="17" t="s">
        <v>44873</v>
      </c>
      <c r="Q10450" s="17"/>
      <c r="R10450" s="25" t="str">
        <f>HYPERLINK("https://ictv.global/taxonomy/taxondetails?taxnode_id=202311488","Giliycovirus tellurihabitans")</f>
        <v>Giliycovirus tellurihabitans</v>
      </c>
      <c r="S10450" s="18" t="s">
        <v>30</v>
      </c>
      <c r="T10450" s="18" t="s">
        <v>23276</v>
      </c>
      <c r="U10450" s="18"/>
      <c r="V10450" s="18"/>
      <c r="W10450" s="18" t="s">
        <v>23277</v>
      </c>
      <c r="X10450" s="18" t="s">
        <v>35</v>
      </c>
      <c r="Y10450" s="18" t="s">
        <v>17171</v>
      </c>
      <c r="Z10450" s="18" t="s">
        <v>697</v>
      </c>
      <c r="AA10450" s="21" t="str">
        <f>HYPERLINK("https://www.ncbi.nlm.nih.gov/nuccore/BK014032","NCBI Nucleotide")</f>
        <v>NCBI Nucleotide</v>
      </c>
    </row>
    <row r="10451" spans="1:27" x14ac:dyDescent="0.35">
      <c r="A10451">
        <v>1010215</v>
      </c>
      <c r="B10451">
        <v>9776</v>
      </c>
      <c r="C10451">
        <v>1</v>
      </c>
      <c r="D10451" s="17" t="s">
        <v>17166</v>
      </c>
      <c r="E10451" s="17"/>
      <c r="F10451" s="17" t="s">
        <v>17246</v>
      </c>
      <c r="G10451" s="17"/>
      <c r="H10451" s="17" t="s">
        <v>20919</v>
      </c>
      <c r="I10451" s="17"/>
      <c r="J10451" s="17" t="s">
        <v>21313</v>
      </c>
      <c r="K10451" s="17"/>
      <c r="L10451" s="17" t="s">
        <v>22378</v>
      </c>
      <c r="M10451" s="17"/>
      <c r="N10451" s="17" t="s">
        <v>22459</v>
      </c>
      <c r="O10451" s="17"/>
      <c r="P10451" s="17" t="s">
        <v>44873</v>
      </c>
      <c r="Q10451" s="17"/>
      <c r="R10451" s="25" t="str">
        <f>HYPERLINK("https://ictv.global/taxonomy/taxondetails?taxnode_id=202311489","Giliycovirus tellurivicinum")</f>
        <v>Giliycovirus tellurivicinum</v>
      </c>
      <c r="S10451" s="18" t="s">
        <v>30</v>
      </c>
      <c r="T10451" s="18" t="s">
        <v>23278</v>
      </c>
      <c r="U10451" s="18"/>
      <c r="V10451" s="18"/>
      <c r="W10451" s="18" t="s">
        <v>23279</v>
      </c>
      <c r="X10451" s="18" t="s">
        <v>35</v>
      </c>
      <c r="Y10451" s="18" t="s">
        <v>17171</v>
      </c>
      <c r="Z10451" s="18" t="s">
        <v>697</v>
      </c>
      <c r="AA10451" s="21" t="str">
        <f>HYPERLINK("https://www.ncbi.nlm.nih.gov/nuccore/BK013827","NCBI Nucleotide")</f>
        <v>NCBI Nucleotide</v>
      </c>
    </row>
    <row r="10452" spans="1:27" x14ac:dyDescent="0.35">
      <c r="A10452">
        <v>1010216</v>
      </c>
      <c r="B10452">
        <v>9777</v>
      </c>
      <c r="C10452">
        <v>1</v>
      </c>
      <c r="D10452" s="17" t="s">
        <v>17166</v>
      </c>
      <c r="E10452" s="17"/>
      <c r="F10452" s="17" t="s">
        <v>17246</v>
      </c>
      <c r="G10452" s="17"/>
      <c r="H10452" s="17" t="s">
        <v>20919</v>
      </c>
      <c r="I10452" s="17"/>
      <c r="J10452" s="17" t="s">
        <v>21313</v>
      </c>
      <c r="K10452" s="17"/>
      <c r="L10452" s="17" t="s">
        <v>22378</v>
      </c>
      <c r="M10452" s="17"/>
      <c r="N10452" s="17" t="s">
        <v>22459</v>
      </c>
      <c r="O10452" s="17"/>
      <c r="P10452" s="17" t="s">
        <v>44873</v>
      </c>
      <c r="Q10452" s="17"/>
      <c r="R10452" s="25" t="str">
        <f>HYPERLINK("https://ictv.global/taxonomy/taxondetails?taxnode_id=202311490","Giliycovirus tellurivivens")</f>
        <v>Giliycovirus tellurivivens</v>
      </c>
      <c r="S10452" s="18" t="s">
        <v>30</v>
      </c>
      <c r="T10452" s="18" t="s">
        <v>23280</v>
      </c>
      <c r="U10452" s="18"/>
      <c r="V10452" s="18"/>
      <c r="W10452" s="18" t="s">
        <v>23281</v>
      </c>
      <c r="X10452" s="18" t="s">
        <v>35</v>
      </c>
      <c r="Y10452" s="18" t="s">
        <v>17171</v>
      </c>
      <c r="Z10452" s="18" t="s">
        <v>697</v>
      </c>
      <c r="AA10452" s="21" t="str">
        <f>HYPERLINK("https://www.ncbi.nlm.nih.gov/nuccore/BK013987","NCBI Nucleotide")</f>
        <v>NCBI Nucleotide</v>
      </c>
    </row>
    <row r="10453" spans="1:27" x14ac:dyDescent="0.35">
      <c r="A10453">
        <v>1010217</v>
      </c>
      <c r="B10453">
        <v>9778</v>
      </c>
      <c r="C10453">
        <v>1</v>
      </c>
      <c r="D10453" s="17" t="s">
        <v>17166</v>
      </c>
      <c r="E10453" s="17"/>
      <c r="F10453" s="17" t="s">
        <v>17246</v>
      </c>
      <c r="G10453" s="17"/>
      <c r="H10453" s="17" t="s">
        <v>20919</v>
      </c>
      <c r="I10453" s="17"/>
      <c r="J10453" s="17" t="s">
        <v>21313</v>
      </c>
      <c r="K10453" s="17"/>
      <c r="L10453" s="17" t="s">
        <v>22378</v>
      </c>
      <c r="M10453" s="17"/>
      <c r="N10453" s="17" t="s">
        <v>22459</v>
      </c>
      <c r="O10453" s="17"/>
      <c r="P10453" s="17" t="s">
        <v>44873</v>
      </c>
      <c r="Q10453" s="17"/>
      <c r="R10453" s="25" t="str">
        <f>HYPERLINK("https://ictv.global/taxonomy/taxondetails?taxnode_id=202311496","Giliycovirus terradaptatum")</f>
        <v>Giliycovirus terradaptatum</v>
      </c>
      <c r="S10453" s="18" t="s">
        <v>30</v>
      </c>
      <c r="T10453" s="18" t="s">
        <v>23282</v>
      </c>
      <c r="U10453" s="18"/>
      <c r="V10453" s="18"/>
      <c r="W10453" s="18" t="s">
        <v>23283</v>
      </c>
      <c r="X10453" s="18" t="s">
        <v>35</v>
      </c>
      <c r="Y10453" s="18" t="s">
        <v>17171</v>
      </c>
      <c r="Z10453" s="18" t="s">
        <v>697</v>
      </c>
      <c r="AA10453" s="21" t="str">
        <f>HYPERLINK("https://www.ncbi.nlm.nih.gov/nuccore/BK014035","NCBI Nucleotide")</f>
        <v>NCBI Nucleotide</v>
      </c>
    </row>
    <row r="10454" spans="1:27" x14ac:dyDescent="0.35">
      <c r="A10454">
        <v>1010218</v>
      </c>
      <c r="B10454">
        <v>9779</v>
      </c>
      <c r="C10454">
        <v>1</v>
      </c>
      <c r="D10454" s="17" t="s">
        <v>17166</v>
      </c>
      <c r="E10454" s="17"/>
      <c r="F10454" s="17" t="s">
        <v>17246</v>
      </c>
      <c r="G10454" s="17"/>
      <c r="H10454" s="17" t="s">
        <v>20919</v>
      </c>
      <c r="I10454" s="17"/>
      <c r="J10454" s="17" t="s">
        <v>21313</v>
      </c>
      <c r="K10454" s="17"/>
      <c r="L10454" s="17" t="s">
        <v>22378</v>
      </c>
      <c r="M10454" s="17"/>
      <c r="N10454" s="17" t="s">
        <v>22459</v>
      </c>
      <c r="O10454" s="17"/>
      <c r="P10454" s="17" t="s">
        <v>44873</v>
      </c>
      <c r="Q10454" s="17"/>
      <c r="R10454" s="25" t="str">
        <f>HYPERLINK("https://ictv.global/taxonomy/taxondetails?taxnode_id=202311498","Giliycovirus terrenecus")</f>
        <v>Giliycovirus terrenecus</v>
      </c>
      <c r="S10454" s="18" t="s">
        <v>30</v>
      </c>
      <c r="T10454" s="18" t="s">
        <v>23284</v>
      </c>
      <c r="U10454" s="18"/>
      <c r="V10454" s="18"/>
      <c r="W10454" s="18" t="s">
        <v>23285</v>
      </c>
      <c r="X10454" s="18" t="s">
        <v>35</v>
      </c>
      <c r="Y10454" s="18" t="s">
        <v>17171</v>
      </c>
      <c r="Z10454" s="18" t="s">
        <v>697</v>
      </c>
      <c r="AA10454" s="21" t="str">
        <f>HYPERLINK("https://www.ncbi.nlm.nih.gov/nuccore/BK013910","NCBI Nucleotide")</f>
        <v>NCBI Nucleotide</v>
      </c>
    </row>
    <row r="10455" spans="1:27" x14ac:dyDescent="0.35">
      <c r="A10455">
        <v>1010219</v>
      </c>
      <c r="B10455">
        <v>9780</v>
      </c>
      <c r="C10455">
        <v>1</v>
      </c>
      <c r="D10455" s="17" t="s">
        <v>17166</v>
      </c>
      <c r="E10455" s="17"/>
      <c r="F10455" s="17" t="s">
        <v>17246</v>
      </c>
      <c r="G10455" s="17"/>
      <c r="H10455" s="17" t="s">
        <v>20919</v>
      </c>
      <c r="I10455" s="17"/>
      <c r="J10455" s="17" t="s">
        <v>21313</v>
      </c>
      <c r="K10455" s="17"/>
      <c r="L10455" s="17" t="s">
        <v>22378</v>
      </c>
      <c r="M10455" s="17"/>
      <c r="N10455" s="17" t="s">
        <v>22459</v>
      </c>
      <c r="O10455" s="17"/>
      <c r="P10455" s="17" t="s">
        <v>44873</v>
      </c>
      <c r="Q10455" s="17"/>
      <c r="R10455" s="25" t="str">
        <f>HYPERLINK("https://ictv.global/taxonomy/taxondetails?taxnode_id=202311497","Giliycovirus terricola")</f>
        <v>Giliycovirus terricola</v>
      </c>
      <c r="S10455" s="18" t="s">
        <v>30</v>
      </c>
      <c r="T10455" s="18" t="s">
        <v>23286</v>
      </c>
      <c r="U10455" s="18"/>
      <c r="V10455" s="18"/>
      <c r="W10455" s="18" t="s">
        <v>23287</v>
      </c>
      <c r="X10455" s="18" t="s">
        <v>35</v>
      </c>
      <c r="Y10455" s="18" t="s">
        <v>17171</v>
      </c>
      <c r="Z10455" s="18" t="s">
        <v>697</v>
      </c>
      <c r="AA10455" s="21" t="str">
        <f>HYPERLINK("https://www.ncbi.nlm.nih.gov/nuccore/BK013490","NCBI Nucleotide")</f>
        <v>NCBI Nucleotide</v>
      </c>
    </row>
    <row r="10456" spans="1:27" x14ac:dyDescent="0.35">
      <c r="A10456">
        <v>1010220</v>
      </c>
      <c r="B10456">
        <v>9781</v>
      </c>
      <c r="C10456">
        <v>1</v>
      </c>
      <c r="D10456" s="17" t="s">
        <v>17166</v>
      </c>
      <c r="E10456" s="17"/>
      <c r="F10456" s="17" t="s">
        <v>17246</v>
      </c>
      <c r="G10456" s="17"/>
      <c r="H10456" s="17" t="s">
        <v>20919</v>
      </c>
      <c r="I10456" s="17"/>
      <c r="J10456" s="17" t="s">
        <v>21313</v>
      </c>
      <c r="K10456" s="17"/>
      <c r="L10456" s="17" t="s">
        <v>22378</v>
      </c>
      <c r="M10456" s="17"/>
      <c r="N10456" s="17" t="s">
        <v>22459</v>
      </c>
      <c r="O10456" s="17"/>
      <c r="P10456" s="17" t="s">
        <v>44873</v>
      </c>
      <c r="Q10456" s="17"/>
      <c r="R10456" s="25" t="str">
        <f>HYPERLINK("https://ictv.global/taxonomy/taxondetails?taxnode_id=202311499","Giliycovirus terrihabitans")</f>
        <v>Giliycovirus terrihabitans</v>
      </c>
      <c r="S10456" s="18" t="s">
        <v>30</v>
      </c>
      <c r="T10456" s="18" t="s">
        <v>23288</v>
      </c>
      <c r="U10456" s="18"/>
      <c r="V10456" s="18"/>
      <c r="W10456" s="18" t="s">
        <v>23289</v>
      </c>
      <c r="X10456" s="18" t="s">
        <v>35</v>
      </c>
      <c r="Y10456" s="18" t="s">
        <v>17171</v>
      </c>
      <c r="Z10456" s="18" t="s">
        <v>697</v>
      </c>
      <c r="AA10456" s="21" t="str">
        <f>HYPERLINK("https://www.ncbi.nlm.nih.gov/nuccore/BK013480","NCBI Nucleotide")</f>
        <v>NCBI Nucleotide</v>
      </c>
    </row>
    <row r="10457" spans="1:27" x14ac:dyDescent="0.35">
      <c r="A10457">
        <v>1010221</v>
      </c>
      <c r="B10457">
        <v>9782</v>
      </c>
      <c r="C10457">
        <v>1</v>
      </c>
      <c r="D10457" s="17" t="s">
        <v>17166</v>
      </c>
      <c r="E10457" s="17"/>
      <c r="F10457" s="17" t="s">
        <v>17246</v>
      </c>
      <c r="G10457" s="17"/>
      <c r="H10457" s="17" t="s">
        <v>20919</v>
      </c>
      <c r="I10457" s="17"/>
      <c r="J10457" s="17" t="s">
        <v>21313</v>
      </c>
      <c r="K10457" s="17"/>
      <c r="L10457" s="17" t="s">
        <v>22378</v>
      </c>
      <c r="M10457" s="17"/>
      <c r="N10457" s="17" t="s">
        <v>22459</v>
      </c>
      <c r="O10457" s="17"/>
      <c r="P10457" s="17" t="s">
        <v>44873</v>
      </c>
      <c r="Q10457" s="17"/>
      <c r="R10457" s="25" t="str">
        <f>HYPERLINK("https://ictv.global/taxonomy/taxondetails?taxnode_id=202311500","Giliycovirus terrivicinum")</f>
        <v>Giliycovirus terrivicinum</v>
      </c>
      <c r="S10457" s="18" t="s">
        <v>30</v>
      </c>
      <c r="T10457" s="18" t="s">
        <v>23290</v>
      </c>
      <c r="U10457" s="18"/>
      <c r="V10457" s="18"/>
      <c r="W10457" s="18" t="s">
        <v>23291</v>
      </c>
      <c r="X10457" s="18" t="s">
        <v>35</v>
      </c>
      <c r="Y10457" s="18" t="s">
        <v>17171</v>
      </c>
      <c r="Z10457" s="18" t="s">
        <v>697</v>
      </c>
      <c r="AA10457" s="21" t="str">
        <f>HYPERLINK("https://www.ncbi.nlm.nih.gov/nuccore/BK013891","NCBI Nucleotide")</f>
        <v>NCBI Nucleotide</v>
      </c>
    </row>
    <row r="10458" spans="1:27" x14ac:dyDescent="0.35">
      <c r="A10458">
        <v>1026167</v>
      </c>
      <c r="B10458">
        <v>9783</v>
      </c>
      <c r="C10458">
        <v>1</v>
      </c>
      <c r="D10458" s="17" t="s">
        <v>17166</v>
      </c>
      <c r="E10458" s="17"/>
      <c r="F10458" s="17" t="s">
        <v>17246</v>
      </c>
      <c r="G10458" s="17"/>
      <c r="H10458" s="17" t="s">
        <v>20919</v>
      </c>
      <c r="I10458" s="17"/>
      <c r="J10458" s="17" t="s">
        <v>21313</v>
      </c>
      <c r="K10458" s="17"/>
      <c r="L10458" s="17" t="s">
        <v>22378</v>
      </c>
      <c r="M10458" s="17"/>
      <c r="N10458" s="17" t="s">
        <v>22459</v>
      </c>
      <c r="O10458" s="17"/>
      <c r="P10458" s="17" t="s">
        <v>44892</v>
      </c>
      <c r="Q10458" s="17"/>
      <c r="R10458" s="25" t="str">
        <f>HYPERLINK("https://ictv.global/taxonomy/taxondetails?taxnode_id=202317058","Greatavirus asienecus")</f>
        <v>Greatavirus asienecus</v>
      </c>
      <c r="S10458" s="18" t="s">
        <v>30</v>
      </c>
      <c r="T10458" s="18" t="s">
        <v>44893</v>
      </c>
      <c r="U10458" s="18"/>
      <c r="V10458" s="18"/>
      <c r="W10458" s="18" t="s">
        <v>44894</v>
      </c>
      <c r="X10458" s="18" t="s">
        <v>35</v>
      </c>
      <c r="Y10458" s="18" t="s">
        <v>17171</v>
      </c>
      <c r="Z10458" s="18" t="s">
        <v>24637</v>
      </c>
      <c r="AA10458" s="21" t="str">
        <f>HYPERLINK("https://www.ncbi.nlm.nih.gov/nuccore/CASDWV010004058","NCBI Nucleotide")</f>
        <v>NCBI Nucleotide</v>
      </c>
    </row>
    <row r="10459" spans="1:27" x14ac:dyDescent="0.35">
      <c r="A10459">
        <v>1026177</v>
      </c>
      <c r="B10459">
        <v>9784</v>
      </c>
      <c r="C10459">
        <v>1</v>
      </c>
      <c r="D10459" s="17" t="s">
        <v>17166</v>
      </c>
      <c r="E10459" s="17"/>
      <c r="F10459" s="17" t="s">
        <v>17246</v>
      </c>
      <c r="G10459" s="17"/>
      <c r="H10459" s="17" t="s">
        <v>20919</v>
      </c>
      <c r="I10459" s="17"/>
      <c r="J10459" s="17" t="s">
        <v>21313</v>
      </c>
      <c r="K10459" s="17"/>
      <c r="L10459" s="17" t="s">
        <v>22378</v>
      </c>
      <c r="M10459" s="17"/>
      <c r="N10459" s="17" t="s">
        <v>22459</v>
      </c>
      <c r="O10459" s="17"/>
      <c r="P10459" s="17" t="s">
        <v>44895</v>
      </c>
      <c r="Q10459" s="17"/>
      <c r="R10459" s="25" t="str">
        <f>HYPERLINK("https://ictv.global/taxonomy/taxondetails?taxnode_id=202317059","Grehevirus arvivicinum")</f>
        <v>Grehevirus arvivicinum</v>
      </c>
      <c r="S10459" s="18" t="s">
        <v>30</v>
      </c>
      <c r="T10459" s="18" t="s">
        <v>44896</v>
      </c>
      <c r="U10459" s="18"/>
      <c r="V10459" s="18"/>
      <c r="W10459" s="18" t="s">
        <v>44897</v>
      </c>
      <c r="X10459" s="18" t="s">
        <v>35</v>
      </c>
      <c r="Y10459" s="18" t="s">
        <v>17171</v>
      </c>
      <c r="Z10459" s="18" t="s">
        <v>24637</v>
      </c>
      <c r="AA10459" s="21" t="str">
        <f>HYPERLINK("https://www.ncbi.nlm.nih.gov/nuccore/CASDWV010000121","NCBI Nucleotide")</f>
        <v>NCBI Nucleotide</v>
      </c>
    </row>
    <row r="10460" spans="1:27" x14ac:dyDescent="0.35">
      <c r="A10460">
        <v>1026178</v>
      </c>
      <c r="B10460">
        <v>9785</v>
      </c>
      <c r="C10460">
        <v>1</v>
      </c>
      <c r="D10460" s="17" t="s">
        <v>17166</v>
      </c>
      <c r="E10460" s="17"/>
      <c r="F10460" s="17" t="s">
        <v>17246</v>
      </c>
      <c r="G10460" s="17"/>
      <c r="H10460" s="17" t="s">
        <v>20919</v>
      </c>
      <c r="I10460" s="17"/>
      <c r="J10460" s="17" t="s">
        <v>21313</v>
      </c>
      <c r="K10460" s="17"/>
      <c r="L10460" s="17" t="s">
        <v>22378</v>
      </c>
      <c r="M10460" s="17"/>
      <c r="N10460" s="17" t="s">
        <v>22459</v>
      </c>
      <c r="O10460" s="17"/>
      <c r="P10460" s="17" t="s">
        <v>44898</v>
      </c>
      <c r="Q10460" s="17"/>
      <c r="R10460" s="25" t="str">
        <f>HYPERLINK("https://ictv.global/taxonomy/taxondetails?taxnode_id=202317060","Grehndovirus messihabitans")</f>
        <v>Grehndovirus messihabitans</v>
      </c>
      <c r="S10460" s="18" t="s">
        <v>30</v>
      </c>
      <c r="T10460" s="18" t="s">
        <v>44899</v>
      </c>
      <c r="U10460" s="18"/>
      <c r="V10460" s="18"/>
      <c r="W10460" s="18" t="s">
        <v>44900</v>
      </c>
      <c r="X10460" s="18" t="s">
        <v>35</v>
      </c>
      <c r="Y10460" s="18" t="s">
        <v>17171</v>
      </c>
      <c r="Z10460" s="18" t="s">
        <v>24637</v>
      </c>
      <c r="AA10460" s="21" t="str">
        <f>HYPERLINK("https://www.ncbi.nlm.nih.gov/nuccore/CASDWV010003078","NCBI Nucleotide")</f>
        <v>NCBI Nucleotide</v>
      </c>
    </row>
    <row r="10461" spans="1:27" x14ac:dyDescent="0.35">
      <c r="A10461">
        <v>1010023</v>
      </c>
      <c r="B10461">
        <v>9786</v>
      </c>
      <c r="C10461">
        <v>1</v>
      </c>
      <c r="D10461" s="17" t="s">
        <v>17166</v>
      </c>
      <c r="E10461" s="17"/>
      <c r="F10461" s="17" t="s">
        <v>17246</v>
      </c>
      <c r="G10461" s="17"/>
      <c r="H10461" s="17" t="s">
        <v>20919</v>
      </c>
      <c r="I10461" s="17"/>
      <c r="J10461" s="17" t="s">
        <v>21313</v>
      </c>
      <c r="K10461" s="17"/>
      <c r="L10461" s="17" t="s">
        <v>22378</v>
      </c>
      <c r="M10461" s="17"/>
      <c r="N10461" s="17" t="s">
        <v>22459</v>
      </c>
      <c r="O10461" s="17"/>
      <c r="P10461" s="17" t="s">
        <v>22883</v>
      </c>
      <c r="Q10461" s="17"/>
      <c r="R10461" s="25" t="str">
        <f>HYPERLINK("https://ictv.global/taxonomy/taxondetails?taxnode_id=202311231","Gulmivirus arvadaptatum")</f>
        <v>Gulmivirus arvadaptatum</v>
      </c>
      <c r="S10461" s="18" t="s">
        <v>30</v>
      </c>
      <c r="T10461" s="18" t="s">
        <v>22884</v>
      </c>
      <c r="U10461" s="18"/>
      <c r="V10461" s="18"/>
      <c r="W10461" s="18" t="s">
        <v>22885</v>
      </c>
      <c r="X10461" s="18" t="s">
        <v>35</v>
      </c>
      <c r="Y10461" s="18" t="s">
        <v>17171</v>
      </c>
      <c r="Z10461" s="18" t="s">
        <v>697</v>
      </c>
      <c r="AA10461" s="21" t="str">
        <f>HYPERLINK("https://www.ncbi.nlm.nih.gov/nuccore/BK013500","NCBI Nucleotide")</f>
        <v>NCBI Nucleotide</v>
      </c>
    </row>
    <row r="10462" spans="1:27" x14ac:dyDescent="0.35">
      <c r="A10462">
        <v>1010024</v>
      </c>
      <c r="B10462">
        <v>9787</v>
      </c>
      <c r="C10462">
        <v>1</v>
      </c>
      <c r="D10462" s="17" t="s">
        <v>17166</v>
      </c>
      <c r="E10462" s="17"/>
      <c r="F10462" s="17" t="s">
        <v>17246</v>
      </c>
      <c r="G10462" s="17"/>
      <c r="H10462" s="17" t="s">
        <v>20919</v>
      </c>
      <c r="I10462" s="17"/>
      <c r="J10462" s="17" t="s">
        <v>21313</v>
      </c>
      <c r="K10462" s="17"/>
      <c r="L10462" s="17" t="s">
        <v>22378</v>
      </c>
      <c r="M10462" s="17"/>
      <c r="N10462" s="17" t="s">
        <v>22459</v>
      </c>
      <c r="O10462" s="17"/>
      <c r="P10462" s="17" t="s">
        <v>22883</v>
      </c>
      <c r="Q10462" s="17"/>
      <c r="R10462" s="25" t="str">
        <f>HYPERLINK("https://ictv.global/taxonomy/taxondetails?taxnode_id=202311233","Gulmivirus arvenecus")</f>
        <v>Gulmivirus arvenecus</v>
      </c>
      <c r="S10462" s="18" t="s">
        <v>30</v>
      </c>
      <c r="T10462" s="18" t="s">
        <v>22886</v>
      </c>
      <c r="U10462" s="18"/>
      <c r="V10462" s="18"/>
      <c r="W10462" s="18" t="s">
        <v>22887</v>
      </c>
      <c r="X10462" s="18" t="s">
        <v>35</v>
      </c>
      <c r="Y10462" s="18" t="s">
        <v>17171</v>
      </c>
      <c r="Z10462" s="18" t="s">
        <v>697</v>
      </c>
      <c r="AA10462" s="21" t="str">
        <f>HYPERLINK("https://www.ncbi.nlm.nih.gov/nuccore/BK013470","NCBI Nucleotide")</f>
        <v>NCBI Nucleotide</v>
      </c>
    </row>
    <row r="10463" spans="1:27" x14ac:dyDescent="0.35">
      <c r="A10463">
        <v>1010025</v>
      </c>
      <c r="B10463">
        <v>9788</v>
      </c>
      <c r="C10463">
        <v>1</v>
      </c>
      <c r="D10463" s="17" t="s">
        <v>17166</v>
      </c>
      <c r="E10463" s="17"/>
      <c r="F10463" s="17" t="s">
        <v>17246</v>
      </c>
      <c r="G10463" s="17"/>
      <c r="H10463" s="17" t="s">
        <v>20919</v>
      </c>
      <c r="I10463" s="17"/>
      <c r="J10463" s="17" t="s">
        <v>21313</v>
      </c>
      <c r="K10463" s="17"/>
      <c r="L10463" s="17" t="s">
        <v>22378</v>
      </c>
      <c r="M10463" s="17"/>
      <c r="N10463" s="17" t="s">
        <v>22459</v>
      </c>
      <c r="O10463" s="17"/>
      <c r="P10463" s="17" t="s">
        <v>22883</v>
      </c>
      <c r="Q10463" s="17"/>
      <c r="R10463" s="25" t="str">
        <f>HYPERLINK("https://ictv.global/taxonomy/taxondetails?taxnode_id=202311232","Gulmivirus arvicola")</f>
        <v>Gulmivirus arvicola</v>
      </c>
      <c r="S10463" s="18" t="s">
        <v>30</v>
      </c>
      <c r="T10463" s="18" t="s">
        <v>22888</v>
      </c>
      <c r="U10463" s="18"/>
      <c r="V10463" s="18"/>
      <c r="W10463" s="18" t="s">
        <v>22889</v>
      </c>
      <c r="X10463" s="18" t="s">
        <v>35</v>
      </c>
      <c r="Y10463" s="18" t="s">
        <v>17171</v>
      </c>
      <c r="Z10463" s="18" t="s">
        <v>697</v>
      </c>
      <c r="AA10463" s="21" t="str">
        <f>HYPERLINK("https://www.ncbi.nlm.nih.gov/nuccore/BK013942","NCBI Nucleotide")</f>
        <v>NCBI Nucleotide</v>
      </c>
    </row>
    <row r="10464" spans="1:27" x14ac:dyDescent="0.35">
      <c r="A10464">
        <v>1010026</v>
      </c>
      <c r="B10464">
        <v>9789</v>
      </c>
      <c r="C10464">
        <v>1</v>
      </c>
      <c r="D10464" s="17" t="s">
        <v>17166</v>
      </c>
      <c r="E10464" s="17"/>
      <c r="F10464" s="17" t="s">
        <v>17246</v>
      </c>
      <c r="G10464" s="17"/>
      <c r="H10464" s="17" t="s">
        <v>20919</v>
      </c>
      <c r="I10464" s="17"/>
      <c r="J10464" s="17" t="s">
        <v>21313</v>
      </c>
      <c r="K10464" s="17"/>
      <c r="L10464" s="17" t="s">
        <v>22378</v>
      </c>
      <c r="M10464" s="17"/>
      <c r="N10464" s="17" t="s">
        <v>22459</v>
      </c>
      <c r="O10464" s="17"/>
      <c r="P10464" s="17" t="s">
        <v>22883</v>
      </c>
      <c r="Q10464" s="17"/>
      <c r="R10464" s="25" t="str">
        <f>HYPERLINK("https://ictv.global/taxonomy/taxondetails?taxnode_id=202311236","Gulmivirus arvihabitans")</f>
        <v>Gulmivirus arvihabitans</v>
      </c>
      <c r="S10464" s="18" t="s">
        <v>30</v>
      </c>
      <c r="T10464" s="18" t="s">
        <v>22890</v>
      </c>
      <c r="U10464" s="18"/>
      <c r="V10464" s="18"/>
      <c r="W10464" s="18" t="s">
        <v>22891</v>
      </c>
      <c r="X10464" s="18" t="s">
        <v>35</v>
      </c>
      <c r="Y10464" s="18" t="s">
        <v>17171</v>
      </c>
      <c r="Z10464" s="18" t="s">
        <v>697</v>
      </c>
      <c r="AA10464" s="21" t="str">
        <f>HYPERLINK("https://www.ncbi.nlm.nih.gov/nuccore/BK013393","NCBI Nucleotide")</f>
        <v>NCBI Nucleotide</v>
      </c>
    </row>
    <row r="10465" spans="1:27" x14ac:dyDescent="0.35">
      <c r="A10465">
        <v>1010027</v>
      </c>
      <c r="B10465">
        <v>9790</v>
      </c>
      <c r="C10465">
        <v>1</v>
      </c>
      <c r="D10465" s="17" t="s">
        <v>17166</v>
      </c>
      <c r="E10465" s="17"/>
      <c r="F10465" s="17" t="s">
        <v>17246</v>
      </c>
      <c r="G10465" s="17"/>
      <c r="H10465" s="17" t="s">
        <v>20919</v>
      </c>
      <c r="I10465" s="17"/>
      <c r="J10465" s="17" t="s">
        <v>21313</v>
      </c>
      <c r="K10465" s="17"/>
      <c r="L10465" s="17" t="s">
        <v>22378</v>
      </c>
      <c r="M10465" s="17"/>
      <c r="N10465" s="17" t="s">
        <v>22459</v>
      </c>
      <c r="O10465" s="17"/>
      <c r="P10465" s="17" t="s">
        <v>22883</v>
      </c>
      <c r="Q10465" s="17"/>
      <c r="R10465" s="25" t="str">
        <f>HYPERLINK("https://ictv.global/taxonomy/taxondetails?taxnode_id=202311237","Gulmivirus arvivicinum")</f>
        <v>Gulmivirus arvivicinum</v>
      </c>
      <c r="S10465" s="18" t="s">
        <v>30</v>
      </c>
      <c r="T10465" s="18" t="s">
        <v>22892</v>
      </c>
      <c r="U10465" s="18"/>
      <c r="V10465" s="18"/>
      <c r="W10465" s="18" t="s">
        <v>22893</v>
      </c>
      <c r="X10465" s="18" t="s">
        <v>35</v>
      </c>
      <c r="Y10465" s="18" t="s">
        <v>17171</v>
      </c>
      <c r="Z10465" s="18" t="s">
        <v>697</v>
      </c>
      <c r="AA10465" s="21" t="str">
        <f>HYPERLINK("https://www.ncbi.nlm.nih.gov/nuccore/BK013997","NCBI Nucleotide")</f>
        <v>NCBI Nucleotide</v>
      </c>
    </row>
    <row r="10466" spans="1:27" x14ac:dyDescent="0.35">
      <c r="A10466">
        <v>1010028</v>
      </c>
      <c r="B10466">
        <v>9791</v>
      </c>
      <c r="C10466">
        <v>1</v>
      </c>
      <c r="D10466" s="17" t="s">
        <v>17166</v>
      </c>
      <c r="E10466" s="17"/>
      <c r="F10466" s="17" t="s">
        <v>17246</v>
      </c>
      <c r="G10466" s="17"/>
      <c r="H10466" s="17" t="s">
        <v>20919</v>
      </c>
      <c r="I10466" s="17"/>
      <c r="J10466" s="17" t="s">
        <v>21313</v>
      </c>
      <c r="K10466" s="17"/>
      <c r="L10466" s="17" t="s">
        <v>22378</v>
      </c>
      <c r="M10466" s="17"/>
      <c r="N10466" s="17" t="s">
        <v>22459</v>
      </c>
      <c r="O10466" s="17"/>
      <c r="P10466" s="17" t="s">
        <v>22883</v>
      </c>
      <c r="Q10466" s="17"/>
      <c r="R10466" s="25" t="str">
        <f>HYPERLINK("https://ictv.global/taxonomy/taxondetails?taxnode_id=202311234","Gulmivirus asiohabitans")</f>
        <v>Gulmivirus asiohabitans</v>
      </c>
      <c r="S10466" s="18" t="s">
        <v>30</v>
      </c>
      <c r="T10466" s="18" t="s">
        <v>22894</v>
      </c>
      <c r="U10466" s="18"/>
      <c r="V10466" s="18"/>
      <c r="W10466" s="18" t="s">
        <v>22895</v>
      </c>
      <c r="X10466" s="18" t="s">
        <v>35</v>
      </c>
      <c r="Y10466" s="18" t="s">
        <v>17171</v>
      </c>
      <c r="Z10466" s="18" t="s">
        <v>697</v>
      </c>
      <c r="AA10466" s="21" t="str">
        <f>HYPERLINK("https://www.ncbi.nlm.nih.gov/nuccore/BK013578","NCBI Nucleotide")</f>
        <v>NCBI Nucleotide</v>
      </c>
    </row>
    <row r="10467" spans="1:27" x14ac:dyDescent="0.35">
      <c r="A10467">
        <v>1010029</v>
      </c>
      <c r="B10467">
        <v>9792</v>
      </c>
      <c r="C10467">
        <v>1</v>
      </c>
      <c r="D10467" s="17" t="s">
        <v>17166</v>
      </c>
      <c r="E10467" s="17"/>
      <c r="F10467" s="17" t="s">
        <v>17246</v>
      </c>
      <c r="G10467" s="17"/>
      <c r="H10467" s="17" t="s">
        <v>20919</v>
      </c>
      <c r="I10467" s="17"/>
      <c r="J10467" s="17" t="s">
        <v>21313</v>
      </c>
      <c r="K10467" s="17"/>
      <c r="L10467" s="17" t="s">
        <v>22378</v>
      </c>
      <c r="M10467" s="17"/>
      <c r="N10467" s="17" t="s">
        <v>22459</v>
      </c>
      <c r="O10467" s="17"/>
      <c r="P10467" s="17" t="s">
        <v>22883</v>
      </c>
      <c r="Q10467" s="17"/>
      <c r="R10467" s="25" t="str">
        <f>HYPERLINK("https://ictv.global/taxonomy/taxondetails?taxnode_id=202311235","Gulmivirus asiovicinum")</f>
        <v>Gulmivirus asiovicinum</v>
      </c>
      <c r="S10467" s="18" t="s">
        <v>30</v>
      </c>
      <c r="T10467" s="18" t="s">
        <v>22896</v>
      </c>
      <c r="U10467" s="18"/>
      <c r="V10467" s="18"/>
      <c r="W10467" s="18" t="s">
        <v>22897</v>
      </c>
      <c r="X10467" s="18" t="s">
        <v>35</v>
      </c>
      <c r="Y10467" s="18" t="s">
        <v>17171</v>
      </c>
      <c r="Z10467" s="18" t="s">
        <v>697</v>
      </c>
      <c r="AA10467" s="21" t="str">
        <f>HYPERLINK("https://www.ncbi.nlm.nih.gov/nuccore/BK014048","NCBI Nucleotide")</f>
        <v>NCBI Nucleotide</v>
      </c>
    </row>
    <row r="10468" spans="1:27" x14ac:dyDescent="0.35">
      <c r="A10468">
        <v>1010030</v>
      </c>
      <c r="B10468">
        <v>9793</v>
      </c>
      <c r="C10468">
        <v>1</v>
      </c>
      <c r="D10468" s="17" t="s">
        <v>17166</v>
      </c>
      <c r="E10468" s="17"/>
      <c r="F10468" s="17" t="s">
        <v>17246</v>
      </c>
      <c r="G10468" s="17"/>
      <c r="H10468" s="17" t="s">
        <v>20919</v>
      </c>
      <c r="I10468" s="17"/>
      <c r="J10468" s="17" t="s">
        <v>21313</v>
      </c>
      <c r="K10468" s="17"/>
      <c r="L10468" s="17" t="s">
        <v>22378</v>
      </c>
      <c r="M10468" s="17"/>
      <c r="N10468" s="17" t="s">
        <v>22459</v>
      </c>
      <c r="O10468" s="17"/>
      <c r="P10468" s="17" t="s">
        <v>22883</v>
      </c>
      <c r="Q10468" s="17"/>
      <c r="R10468" s="25" t="str">
        <f>HYPERLINK("https://ictv.global/taxonomy/taxondetails?taxnode_id=202311230","Gulmivirus asiovivens")</f>
        <v>Gulmivirus asiovivens</v>
      </c>
      <c r="S10468" s="18" t="s">
        <v>30</v>
      </c>
      <c r="T10468" s="18" t="s">
        <v>22898</v>
      </c>
      <c r="U10468" s="18"/>
      <c r="V10468" s="18"/>
      <c r="W10468" s="18" t="s">
        <v>22899</v>
      </c>
      <c r="X10468" s="18" t="s">
        <v>35</v>
      </c>
      <c r="Y10468" s="18" t="s">
        <v>17171</v>
      </c>
      <c r="Z10468" s="18" t="s">
        <v>697</v>
      </c>
      <c r="AA10468" s="21" t="str">
        <f>HYPERLINK("https://www.ncbi.nlm.nih.gov/nuccore/BK014179","NCBI Nucleotide")</f>
        <v>NCBI Nucleotide</v>
      </c>
    </row>
    <row r="10469" spans="1:27" x14ac:dyDescent="0.35">
      <c r="A10469">
        <v>1026170</v>
      </c>
      <c r="B10469">
        <v>9794</v>
      </c>
      <c r="C10469">
        <v>1</v>
      </c>
      <c r="D10469" s="17" t="s">
        <v>17166</v>
      </c>
      <c r="E10469" s="17"/>
      <c r="F10469" s="17" t="s">
        <v>17246</v>
      </c>
      <c r="G10469" s="17"/>
      <c r="H10469" s="17" t="s">
        <v>20919</v>
      </c>
      <c r="I10469" s="17"/>
      <c r="J10469" s="17" t="s">
        <v>21313</v>
      </c>
      <c r="K10469" s="17"/>
      <c r="L10469" s="17" t="s">
        <v>22378</v>
      </c>
      <c r="M10469" s="17"/>
      <c r="N10469" s="17" t="s">
        <v>22459</v>
      </c>
      <c r="O10469" s="17"/>
      <c r="P10469" s="17" t="s">
        <v>22883</v>
      </c>
      <c r="Q10469" s="17"/>
      <c r="R10469" s="25" t="str">
        <f>HYPERLINK("https://ictv.global/taxonomy/taxondetails?taxnode_id=202317061","Gulmivirus fundenecus")</f>
        <v>Gulmivirus fundenecus</v>
      </c>
      <c r="S10469" s="18" t="s">
        <v>30</v>
      </c>
      <c r="T10469" s="18" t="s">
        <v>44901</v>
      </c>
      <c r="U10469" s="18"/>
      <c r="V10469" s="18" t="s">
        <v>44901</v>
      </c>
      <c r="W10469" s="18" t="s">
        <v>44902</v>
      </c>
      <c r="X10469" s="18" t="s">
        <v>35</v>
      </c>
      <c r="Y10469" s="18" t="s">
        <v>17171</v>
      </c>
      <c r="Z10469" s="18" t="s">
        <v>24637</v>
      </c>
      <c r="AA10469" s="21" t="str">
        <f>HYPERLINK("https://www.ncbi.nlm.nih.gov/nuccore/MZ679515","NCBI Nucleotide")</f>
        <v>NCBI Nucleotide</v>
      </c>
    </row>
    <row r="10470" spans="1:27" x14ac:dyDescent="0.35">
      <c r="A10470">
        <v>1026171</v>
      </c>
      <c r="B10470">
        <v>9795</v>
      </c>
      <c r="C10470">
        <v>1</v>
      </c>
      <c r="D10470" s="17" t="s">
        <v>17166</v>
      </c>
      <c r="E10470" s="17"/>
      <c r="F10470" s="17" t="s">
        <v>17246</v>
      </c>
      <c r="G10470" s="17"/>
      <c r="H10470" s="17" t="s">
        <v>20919</v>
      </c>
      <c r="I10470" s="17"/>
      <c r="J10470" s="17" t="s">
        <v>21313</v>
      </c>
      <c r="K10470" s="17"/>
      <c r="L10470" s="17" t="s">
        <v>22378</v>
      </c>
      <c r="M10470" s="17"/>
      <c r="N10470" s="17" t="s">
        <v>22459</v>
      </c>
      <c r="O10470" s="17"/>
      <c r="P10470" s="17" t="s">
        <v>22883</v>
      </c>
      <c r="Q10470" s="17"/>
      <c r="R10470" s="25" t="str">
        <f>HYPERLINK("https://ictv.global/taxonomy/taxondetails?taxnode_id=202317062","Gulmivirus fundivicinum")</f>
        <v>Gulmivirus fundivicinum</v>
      </c>
      <c r="S10470" s="18" t="s">
        <v>30</v>
      </c>
      <c r="T10470" s="18" t="s">
        <v>44903</v>
      </c>
      <c r="U10470" s="18"/>
      <c r="V10470" s="18" t="s">
        <v>44903</v>
      </c>
      <c r="W10470" s="18" t="s">
        <v>44904</v>
      </c>
      <c r="X10470" s="18" t="s">
        <v>35</v>
      </c>
      <c r="Y10470" s="18" t="s">
        <v>17171</v>
      </c>
      <c r="Z10470" s="18" t="s">
        <v>24637</v>
      </c>
      <c r="AA10470" s="21" t="str">
        <f>HYPERLINK("https://www.ncbi.nlm.nih.gov/nuccore/MZ679747","NCBI Nucleotide")</f>
        <v>NCBI Nucleotide</v>
      </c>
    </row>
    <row r="10471" spans="1:27" x14ac:dyDescent="0.35">
      <c r="A10471">
        <v>1026172</v>
      </c>
      <c r="B10471">
        <v>9796</v>
      </c>
      <c r="C10471">
        <v>1</v>
      </c>
      <c r="D10471" s="17" t="s">
        <v>17166</v>
      </c>
      <c r="E10471" s="17"/>
      <c r="F10471" s="17" t="s">
        <v>17246</v>
      </c>
      <c r="G10471" s="17"/>
      <c r="H10471" s="17" t="s">
        <v>20919</v>
      </c>
      <c r="I10471" s="17"/>
      <c r="J10471" s="17" t="s">
        <v>21313</v>
      </c>
      <c r="K10471" s="17"/>
      <c r="L10471" s="17" t="s">
        <v>22378</v>
      </c>
      <c r="M10471" s="17"/>
      <c r="N10471" s="17" t="s">
        <v>22459</v>
      </c>
      <c r="O10471" s="17"/>
      <c r="P10471" s="17" t="s">
        <v>22883</v>
      </c>
      <c r="Q10471" s="17"/>
      <c r="R10471" s="25" t="str">
        <f>HYPERLINK("https://ictv.global/taxonomy/taxondetails?taxnode_id=202317063","Gulmivirus fundivivens")</f>
        <v>Gulmivirus fundivivens</v>
      </c>
      <c r="S10471" s="18" t="s">
        <v>30</v>
      </c>
      <c r="T10471" s="18" t="s">
        <v>44905</v>
      </c>
      <c r="U10471" s="18"/>
      <c r="V10471" s="18" t="s">
        <v>44905</v>
      </c>
      <c r="W10471" s="18" t="s">
        <v>44906</v>
      </c>
      <c r="X10471" s="18" t="s">
        <v>35</v>
      </c>
      <c r="Y10471" s="18" t="s">
        <v>17171</v>
      </c>
      <c r="Z10471" s="18" t="s">
        <v>24637</v>
      </c>
      <c r="AA10471" s="21" t="str">
        <f>HYPERLINK("https://www.ncbi.nlm.nih.gov/nuccore/MZ679513","NCBI Nucleotide")</f>
        <v>NCBI Nucleotide</v>
      </c>
    </row>
    <row r="10472" spans="1:27" x14ac:dyDescent="0.35">
      <c r="A10472">
        <v>1026173</v>
      </c>
      <c r="B10472">
        <v>9797</v>
      </c>
      <c r="C10472">
        <v>1</v>
      </c>
      <c r="D10472" s="17" t="s">
        <v>17166</v>
      </c>
      <c r="E10472" s="17"/>
      <c r="F10472" s="17" t="s">
        <v>17246</v>
      </c>
      <c r="G10472" s="17"/>
      <c r="H10472" s="17" t="s">
        <v>20919</v>
      </c>
      <c r="I10472" s="17"/>
      <c r="J10472" s="17" t="s">
        <v>21313</v>
      </c>
      <c r="K10472" s="17"/>
      <c r="L10472" s="17" t="s">
        <v>22378</v>
      </c>
      <c r="M10472" s="17"/>
      <c r="N10472" s="17" t="s">
        <v>22459</v>
      </c>
      <c r="O10472" s="17"/>
      <c r="P10472" s="17" t="s">
        <v>22883</v>
      </c>
      <c r="Q10472" s="17"/>
      <c r="R10472" s="25" t="str">
        <f>HYPERLINK("https://ictv.global/taxonomy/taxondetails?taxnode_id=202317064","Gulmivirus nemorisadaptatum")</f>
        <v>Gulmivirus nemorisadaptatum</v>
      </c>
      <c r="S10472" s="18" t="s">
        <v>30</v>
      </c>
      <c r="T10472" s="18" t="s">
        <v>44907</v>
      </c>
      <c r="U10472" s="18"/>
      <c r="V10472" s="18" t="s">
        <v>44907</v>
      </c>
      <c r="W10472" s="18" t="s">
        <v>44908</v>
      </c>
      <c r="X10472" s="18" t="s">
        <v>35</v>
      </c>
      <c r="Y10472" s="18" t="s">
        <v>17171</v>
      </c>
      <c r="Z10472" s="18" t="s">
        <v>24637</v>
      </c>
      <c r="AA10472" s="21" t="str">
        <f>HYPERLINK("https://www.ncbi.nlm.nih.gov/nuccore/MZ679656","NCBI Nucleotide")</f>
        <v>NCBI Nucleotide</v>
      </c>
    </row>
    <row r="10473" spans="1:27" x14ac:dyDescent="0.35">
      <c r="A10473">
        <v>1026174</v>
      </c>
      <c r="B10473">
        <v>9798</v>
      </c>
      <c r="C10473">
        <v>1</v>
      </c>
      <c r="D10473" s="17" t="s">
        <v>17166</v>
      </c>
      <c r="E10473" s="17"/>
      <c r="F10473" s="17" t="s">
        <v>17246</v>
      </c>
      <c r="G10473" s="17"/>
      <c r="H10473" s="17" t="s">
        <v>20919</v>
      </c>
      <c r="I10473" s="17"/>
      <c r="J10473" s="17" t="s">
        <v>21313</v>
      </c>
      <c r="K10473" s="17"/>
      <c r="L10473" s="17" t="s">
        <v>22378</v>
      </c>
      <c r="M10473" s="17"/>
      <c r="N10473" s="17" t="s">
        <v>22459</v>
      </c>
      <c r="O10473" s="17"/>
      <c r="P10473" s="17" t="s">
        <v>22883</v>
      </c>
      <c r="Q10473" s="17"/>
      <c r="R10473" s="25" t="str">
        <f>HYPERLINK("https://ictv.global/taxonomy/taxondetails?taxnode_id=202317065","Gulmivirus nemorishabitans")</f>
        <v>Gulmivirus nemorishabitans</v>
      </c>
      <c r="S10473" s="18" t="s">
        <v>30</v>
      </c>
      <c r="T10473" s="18" t="s">
        <v>44909</v>
      </c>
      <c r="U10473" s="18"/>
      <c r="V10473" s="18" t="s">
        <v>44909</v>
      </c>
      <c r="W10473" s="18" t="s">
        <v>44910</v>
      </c>
      <c r="X10473" s="18" t="s">
        <v>35</v>
      </c>
      <c r="Y10473" s="18" t="s">
        <v>17171</v>
      </c>
      <c r="Z10473" s="18" t="s">
        <v>24637</v>
      </c>
      <c r="AA10473" s="21" t="str">
        <f>HYPERLINK("https://www.ncbi.nlm.nih.gov/nuccore/MZ679704","NCBI Nucleotide")</f>
        <v>NCBI Nucleotide</v>
      </c>
    </row>
    <row r="10474" spans="1:27" x14ac:dyDescent="0.35">
      <c r="A10474">
        <v>1026175</v>
      </c>
      <c r="B10474">
        <v>9799</v>
      </c>
      <c r="C10474">
        <v>1</v>
      </c>
      <c r="D10474" s="17" t="s">
        <v>17166</v>
      </c>
      <c r="E10474" s="17"/>
      <c r="F10474" s="17" t="s">
        <v>17246</v>
      </c>
      <c r="G10474" s="17"/>
      <c r="H10474" s="17" t="s">
        <v>20919</v>
      </c>
      <c r="I10474" s="17"/>
      <c r="J10474" s="17" t="s">
        <v>21313</v>
      </c>
      <c r="K10474" s="17"/>
      <c r="L10474" s="17" t="s">
        <v>22378</v>
      </c>
      <c r="M10474" s="17"/>
      <c r="N10474" s="17" t="s">
        <v>22459</v>
      </c>
      <c r="O10474" s="17"/>
      <c r="P10474" s="17" t="s">
        <v>22883</v>
      </c>
      <c r="Q10474" s="17"/>
      <c r="R10474" s="25" t="str">
        <f>HYPERLINK("https://ictv.global/taxonomy/taxondetails?taxnode_id=202317066","Gulmivirus nemorisvicinum")</f>
        <v>Gulmivirus nemorisvicinum</v>
      </c>
      <c r="S10474" s="18" t="s">
        <v>30</v>
      </c>
      <c r="T10474" s="18" t="s">
        <v>44911</v>
      </c>
      <c r="U10474" s="18"/>
      <c r="V10474" s="18" t="s">
        <v>44911</v>
      </c>
      <c r="W10474" s="18" t="s">
        <v>44912</v>
      </c>
      <c r="X10474" s="18" t="s">
        <v>35</v>
      </c>
      <c r="Y10474" s="18" t="s">
        <v>17171</v>
      </c>
      <c r="Z10474" s="18" t="s">
        <v>24637</v>
      </c>
      <c r="AA10474" s="21" t="str">
        <f>HYPERLINK("https://www.ncbi.nlm.nih.gov/nuccore/MZ679637","NCBI Nucleotide")</f>
        <v>NCBI Nucleotide</v>
      </c>
    </row>
    <row r="10475" spans="1:27" x14ac:dyDescent="0.35">
      <c r="A10475">
        <v>1010031</v>
      </c>
      <c r="B10475">
        <v>9800</v>
      </c>
      <c r="C10475">
        <v>1</v>
      </c>
      <c r="D10475" s="17" t="s">
        <v>17166</v>
      </c>
      <c r="E10475" s="17"/>
      <c r="F10475" s="17" t="s">
        <v>17246</v>
      </c>
      <c r="G10475" s="17"/>
      <c r="H10475" s="17" t="s">
        <v>20919</v>
      </c>
      <c r="I10475" s="17"/>
      <c r="J10475" s="17" t="s">
        <v>21313</v>
      </c>
      <c r="K10475" s="17"/>
      <c r="L10475" s="17" t="s">
        <v>22378</v>
      </c>
      <c r="M10475" s="17"/>
      <c r="N10475" s="17" t="s">
        <v>22459</v>
      </c>
      <c r="O10475" s="17"/>
      <c r="P10475" s="17" t="s">
        <v>22900</v>
      </c>
      <c r="Q10475" s="17"/>
      <c r="R10475" s="25" t="str">
        <f>HYPERLINK("https://ictv.global/taxonomy/taxondetails?taxnode_id=202311239","Hahkesevirus borborocola")</f>
        <v>Hahkesevirus borborocola</v>
      </c>
      <c r="S10475" s="18" t="s">
        <v>30</v>
      </c>
      <c r="T10475" s="18" t="s">
        <v>22901</v>
      </c>
      <c r="U10475" s="18"/>
      <c r="V10475" s="18"/>
      <c r="W10475" s="18" t="s">
        <v>22902</v>
      </c>
      <c r="X10475" s="18" t="s">
        <v>35</v>
      </c>
      <c r="Y10475" s="18" t="s">
        <v>17171</v>
      </c>
      <c r="Z10475" s="18" t="s">
        <v>697</v>
      </c>
      <c r="AA10475" s="21" t="str">
        <f>HYPERLINK("https://www.ncbi.nlm.nih.gov/nuccore/BK013588","NCBI Nucleotide")</f>
        <v>NCBI Nucleotide</v>
      </c>
    </row>
    <row r="10476" spans="1:27" x14ac:dyDescent="0.35">
      <c r="A10476">
        <v>1026268</v>
      </c>
      <c r="B10476">
        <v>9801</v>
      </c>
      <c r="C10476">
        <v>1</v>
      </c>
      <c r="D10476" s="17" t="s">
        <v>17166</v>
      </c>
      <c r="E10476" s="17"/>
      <c r="F10476" s="17" t="s">
        <v>17246</v>
      </c>
      <c r="G10476" s="17"/>
      <c r="H10476" s="17" t="s">
        <v>20919</v>
      </c>
      <c r="I10476" s="17"/>
      <c r="J10476" s="17" t="s">
        <v>21313</v>
      </c>
      <c r="K10476" s="17"/>
      <c r="L10476" s="17" t="s">
        <v>22378</v>
      </c>
      <c r="M10476" s="17"/>
      <c r="N10476" s="17" t="s">
        <v>22459</v>
      </c>
      <c r="O10476" s="17"/>
      <c r="P10476" s="17" t="s">
        <v>44913</v>
      </c>
      <c r="Q10476" s="17"/>
      <c r="R10476" s="25" t="str">
        <f>HYPERLINK("https://ictv.global/taxonomy/taxondetails?taxnode_id=202317067","Hahselevirus arvadaptatum")</f>
        <v>Hahselevirus arvadaptatum</v>
      </c>
      <c r="S10476" s="18" t="s">
        <v>30</v>
      </c>
      <c r="T10476" s="18" t="s">
        <v>44914</v>
      </c>
      <c r="U10476" s="18"/>
      <c r="V10476" s="18"/>
      <c r="W10476" s="18" t="s">
        <v>44915</v>
      </c>
      <c r="X10476" s="18" t="s">
        <v>35</v>
      </c>
      <c r="Y10476" s="18" t="s">
        <v>17171</v>
      </c>
      <c r="Z10476" s="18" t="s">
        <v>24637</v>
      </c>
      <c r="AA10476" s="21" t="str">
        <f>HYPERLINK("https://www.ncbi.nlm.nih.gov/nuccore/CASDWV010001061","NCBI Nucleotide")</f>
        <v>NCBI Nucleotide</v>
      </c>
    </row>
    <row r="10477" spans="1:27" x14ac:dyDescent="0.35">
      <c r="A10477">
        <v>1026258</v>
      </c>
      <c r="B10477">
        <v>9802</v>
      </c>
      <c r="C10477">
        <v>1</v>
      </c>
      <c r="D10477" s="17" t="s">
        <v>17166</v>
      </c>
      <c r="E10477" s="17"/>
      <c r="F10477" s="17" t="s">
        <v>17246</v>
      </c>
      <c r="G10477" s="17"/>
      <c r="H10477" s="17" t="s">
        <v>20919</v>
      </c>
      <c r="I10477" s="17"/>
      <c r="J10477" s="17" t="s">
        <v>21313</v>
      </c>
      <c r="K10477" s="17"/>
      <c r="L10477" s="17" t="s">
        <v>22378</v>
      </c>
      <c r="M10477" s="17"/>
      <c r="N10477" s="17" t="s">
        <v>22459</v>
      </c>
      <c r="O10477" s="17"/>
      <c r="P10477" s="17" t="s">
        <v>44916</v>
      </c>
      <c r="Q10477" s="17"/>
      <c r="R10477" s="25" t="str">
        <f>HYPERLINK("https://ictv.global/taxonomy/taxondetails?taxnode_id=202317068","Hampduvirus faecadaptatum")</f>
        <v>Hampduvirus faecadaptatum</v>
      </c>
      <c r="S10477" s="18" t="s">
        <v>30</v>
      </c>
      <c r="T10477" s="18" t="s">
        <v>44917</v>
      </c>
      <c r="U10477" s="18"/>
      <c r="V10477" s="18" t="s">
        <v>44917</v>
      </c>
      <c r="W10477" s="18" t="s">
        <v>44918</v>
      </c>
      <c r="X10477" s="18" t="s">
        <v>35</v>
      </c>
      <c r="Y10477" s="18" t="s">
        <v>17171</v>
      </c>
      <c r="Z10477" s="18" t="s">
        <v>24637</v>
      </c>
      <c r="AA10477" s="21" t="str">
        <f>HYPERLINK("https://www.ncbi.nlm.nih.gov/nuccore/MZ679767","NCBI Nucleotide")</f>
        <v>NCBI Nucleotide</v>
      </c>
    </row>
    <row r="10478" spans="1:27" x14ac:dyDescent="0.35">
      <c r="A10478">
        <v>1026259</v>
      </c>
      <c r="B10478">
        <v>9803</v>
      </c>
      <c r="C10478">
        <v>1</v>
      </c>
      <c r="D10478" s="17" t="s">
        <v>17166</v>
      </c>
      <c r="E10478" s="17"/>
      <c r="F10478" s="17" t="s">
        <v>17246</v>
      </c>
      <c r="G10478" s="17"/>
      <c r="H10478" s="17" t="s">
        <v>20919</v>
      </c>
      <c r="I10478" s="17"/>
      <c r="J10478" s="17" t="s">
        <v>21313</v>
      </c>
      <c r="K10478" s="17"/>
      <c r="L10478" s="17" t="s">
        <v>22378</v>
      </c>
      <c r="M10478" s="17"/>
      <c r="N10478" s="17" t="s">
        <v>22459</v>
      </c>
      <c r="O10478" s="17"/>
      <c r="P10478" s="17" t="s">
        <v>44916</v>
      </c>
      <c r="Q10478" s="17"/>
      <c r="R10478" s="25" t="str">
        <f>HYPERLINK("https://ictv.global/taxonomy/taxondetails?taxnode_id=202317069","Hampduvirus faecicola")</f>
        <v>Hampduvirus faecicola</v>
      </c>
      <c r="S10478" s="18" t="s">
        <v>30</v>
      </c>
      <c r="T10478" s="18" t="s">
        <v>44919</v>
      </c>
      <c r="U10478" s="18"/>
      <c r="V10478" s="18" t="s">
        <v>44919</v>
      </c>
      <c r="W10478" s="18" t="s">
        <v>44920</v>
      </c>
      <c r="X10478" s="18" t="s">
        <v>35</v>
      </c>
      <c r="Y10478" s="18" t="s">
        <v>17171</v>
      </c>
      <c r="Z10478" s="18" t="s">
        <v>24637</v>
      </c>
      <c r="AA10478" s="21" t="str">
        <f>HYPERLINK("https://www.ncbi.nlm.nih.gov/nuccore/MZ679661","NCBI Nucleotide")</f>
        <v>NCBI Nucleotide</v>
      </c>
    </row>
    <row r="10479" spans="1:27" x14ac:dyDescent="0.35">
      <c r="A10479">
        <v>1026260</v>
      </c>
      <c r="B10479">
        <v>9804</v>
      </c>
      <c r="C10479">
        <v>1</v>
      </c>
      <c r="D10479" s="17" t="s">
        <v>17166</v>
      </c>
      <c r="E10479" s="17"/>
      <c r="F10479" s="17" t="s">
        <v>17246</v>
      </c>
      <c r="G10479" s="17"/>
      <c r="H10479" s="17" t="s">
        <v>20919</v>
      </c>
      <c r="I10479" s="17"/>
      <c r="J10479" s="17" t="s">
        <v>21313</v>
      </c>
      <c r="K10479" s="17"/>
      <c r="L10479" s="17" t="s">
        <v>22378</v>
      </c>
      <c r="M10479" s="17"/>
      <c r="N10479" s="17" t="s">
        <v>22459</v>
      </c>
      <c r="O10479" s="17"/>
      <c r="P10479" s="17" t="s">
        <v>44916</v>
      </c>
      <c r="Q10479" s="17"/>
      <c r="R10479" s="25" t="str">
        <f>HYPERLINK("https://ictv.global/taxonomy/taxondetails?taxnode_id=202317070","Hampduvirus faecihabitans")</f>
        <v>Hampduvirus faecihabitans</v>
      </c>
      <c r="S10479" s="18" t="s">
        <v>30</v>
      </c>
      <c r="T10479" s="18" t="s">
        <v>44921</v>
      </c>
      <c r="U10479" s="18"/>
      <c r="V10479" s="18" t="s">
        <v>44921</v>
      </c>
      <c r="W10479" s="18" t="s">
        <v>44922</v>
      </c>
      <c r="X10479" s="18" t="s">
        <v>35</v>
      </c>
      <c r="Y10479" s="18" t="s">
        <v>17171</v>
      </c>
      <c r="Z10479" s="18" t="s">
        <v>24637</v>
      </c>
      <c r="AA10479" s="21" t="str">
        <f>HYPERLINK("https://www.ncbi.nlm.nih.gov/nuccore/MZ679751","NCBI Nucleotide")</f>
        <v>NCBI Nucleotide</v>
      </c>
    </row>
    <row r="10480" spans="1:27" x14ac:dyDescent="0.35">
      <c r="A10480">
        <v>1026261</v>
      </c>
      <c r="B10480">
        <v>9805</v>
      </c>
      <c r="C10480">
        <v>1</v>
      </c>
      <c r="D10480" s="17" t="s">
        <v>17166</v>
      </c>
      <c r="E10480" s="17"/>
      <c r="F10480" s="17" t="s">
        <v>17246</v>
      </c>
      <c r="G10480" s="17"/>
      <c r="H10480" s="17" t="s">
        <v>20919</v>
      </c>
      <c r="I10480" s="17"/>
      <c r="J10480" s="17" t="s">
        <v>21313</v>
      </c>
      <c r="K10480" s="17"/>
      <c r="L10480" s="17" t="s">
        <v>22378</v>
      </c>
      <c r="M10480" s="17"/>
      <c r="N10480" s="17" t="s">
        <v>22459</v>
      </c>
      <c r="O10480" s="17"/>
      <c r="P10480" s="17" t="s">
        <v>44916</v>
      </c>
      <c r="Q10480" s="17"/>
      <c r="R10480" s="25" t="str">
        <f>HYPERLINK("https://ictv.global/taxonomy/taxondetails?taxnode_id=202317071","Hampduvirus faecivicinum")</f>
        <v>Hampduvirus faecivicinum</v>
      </c>
      <c r="S10480" s="18" t="s">
        <v>30</v>
      </c>
      <c r="T10480" s="18" t="s">
        <v>44923</v>
      </c>
      <c r="U10480" s="18"/>
      <c r="V10480" s="18" t="s">
        <v>44923</v>
      </c>
      <c r="W10480" s="18" t="s">
        <v>44924</v>
      </c>
      <c r="X10480" s="18" t="s">
        <v>35</v>
      </c>
      <c r="Y10480" s="18" t="s">
        <v>17171</v>
      </c>
      <c r="Z10480" s="18" t="s">
        <v>24637</v>
      </c>
      <c r="AA10480" s="21" t="str">
        <f>HYPERLINK("https://www.ncbi.nlm.nih.gov/nuccore/MZ679757","NCBI Nucleotide")</f>
        <v>NCBI Nucleotide</v>
      </c>
    </row>
    <row r="10481" spans="1:27" x14ac:dyDescent="0.35">
      <c r="A10481">
        <v>1026262</v>
      </c>
      <c r="B10481">
        <v>9806</v>
      </c>
      <c r="C10481">
        <v>1</v>
      </c>
      <c r="D10481" s="17" t="s">
        <v>17166</v>
      </c>
      <c r="E10481" s="17"/>
      <c r="F10481" s="17" t="s">
        <v>17246</v>
      </c>
      <c r="G10481" s="17"/>
      <c r="H10481" s="17" t="s">
        <v>20919</v>
      </c>
      <c r="I10481" s="17"/>
      <c r="J10481" s="17" t="s">
        <v>21313</v>
      </c>
      <c r="K10481" s="17"/>
      <c r="L10481" s="17" t="s">
        <v>22378</v>
      </c>
      <c r="M10481" s="17"/>
      <c r="N10481" s="17" t="s">
        <v>22459</v>
      </c>
      <c r="O10481" s="17"/>
      <c r="P10481" s="17" t="s">
        <v>44916</v>
      </c>
      <c r="Q10481" s="17"/>
      <c r="R10481" s="25" t="str">
        <f>HYPERLINK("https://ictv.global/taxonomy/taxondetails?taxnode_id=202317072","Hampduvirus faecivivens")</f>
        <v>Hampduvirus faecivivens</v>
      </c>
      <c r="S10481" s="18" t="s">
        <v>30</v>
      </c>
      <c r="T10481" s="18" t="s">
        <v>44925</v>
      </c>
      <c r="U10481" s="18"/>
      <c r="V10481" s="18" t="s">
        <v>44925</v>
      </c>
      <c r="W10481" s="18" t="s">
        <v>44926</v>
      </c>
      <c r="X10481" s="18" t="s">
        <v>35</v>
      </c>
      <c r="Y10481" s="18" t="s">
        <v>17171</v>
      </c>
      <c r="Z10481" s="18" t="s">
        <v>24637</v>
      </c>
      <c r="AA10481" s="21" t="str">
        <f>HYPERLINK("https://www.ncbi.nlm.nih.gov/nuccore/MZ679691","NCBI Nucleotide")</f>
        <v>NCBI Nucleotide</v>
      </c>
    </row>
    <row r="10482" spans="1:27" x14ac:dyDescent="0.35">
      <c r="A10482">
        <v>1026263</v>
      </c>
      <c r="B10482">
        <v>9807</v>
      </c>
      <c r="C10482">
        <v>1</v>
      </c>
      <c r="D10482" s="17" t="s">
        <v>17166</v>
      </c>
      <c r="E10482" s="17"/>
      <c r="F10482" s="17" t="s">
        <v>17246</v>
      </c>
      <c r="G10482" s="17"/>
      <c r="H10482" s="17" t="s">
        <v>20919</v>
      </c>
      <c r="I10482" s="17"/>
      <c r="J10482" s="17" t="s">
        <v>21313</v>
      </c>
      <c r="K10482" s="17"/>
      <c r="L10482" s="17" t="s">
        <v>22378</v>
      </c>
      <c r="M10482" s="17"/>
      <c r="N10482" s="17" t="s">
        <v>22459</v>
      </c>
      <c r="O10482" s="17"/>
      <c r="P10482" s="17" t="s">
        <v>44916</v>
      </c>
      <c r="Q10482" s="17"/>
      <c r="R10482" s="25" t="str">
        <f>HYPERLINK("https://ictv.global/taxonomy/taxondetails?taxnode_id=202317073","Hampduvirus humicola")</f>
        <v>Hampduvirus humicola</v>
      </c>
      <c r="S10482" s="18" t="s">
        <v>30</v>
      </c>
      <c r="T10482" s="18" t="s">
        <v>44927</v>
      </c>
      <c r="U10482" s="18"/>
      <c r="V10482" s="18" t="s">
        <v>44927</v>
      </c>
      <c r="W10482" s="18" t="s">
        <v>44928</v>
      </c>
      <c r="X10482" s="18" t="s">
        <v>35</v>
      </c>
      <c r="Y10482" s="18" t="s">
        <v>17171</v>
      </c>
      <c r="Z10482" s="18" t="s">
        <v>24637</v>
      </c>
      <c r="AA10482" s="21" t="str">
        <f>HYPERLINK("https://www.ncbi.nlm.nih.gov/nuccore/MZ679469","NCBI Nucleotide")</f>
        <v>NCBI Nucleotide</v>
      </c>
    </row>
    <row r="10483" spans="1:27" x14ac:dyDescent="0.35">
      <c r="A10483">
        <v>1026264</v>
      </c>
      <c r="B10483">
        <v>9808</v>
      </c>
      <c r="C10483">
        <v>1</v>
      </c>
      <c r="D10483" s="17" t="s">
        <v>17166</v>
      </c>
      <c r="E10483" s="17"/>
      <c r="F10483" s="17" t="s">
        <v>17246</v>
      </c>
      <c r="G10483" s="17"/>
      <c r="H10483" s="17" t="s">
        <v>20919</v>
      </c>
      <c r="I10483" s="17"/>
      <c r="J10483" s="17" t="s">
        <v>21313</v>
      </c>
      <c r="K10483" s="17"/>
      <c r="L10483" s="17" t="s">
        <v>22378</v>
      </c>
      <c r="M10483" s="17"/>
      <c r="N10483" s="17" t="s">
        <v>22459</v>
      </c>
      <c r="O10483" s="17"/>
      <c r="P10483" s="17" t="s">
        <v>44916</v>
      </c>
      <c r="Q10483" s="17"/>
      <c r="R10483" s="25" t="str">
        <f>HYPERLINK("https://ictv.global/taxonomy/taxondetails?taxnode_id=202317074","Hampduvirus nemoriscola")</f>
        <v>Hampduvirus nemoriscola</v>
      </c>
      <c r="S10483" s="18" t="s">
        <v>30</v>
      </c>
      <c r="T10483" s="18" t="s">
        <v>44929</v>
      </c>
      <c r="U10483" s="18"/>
      <c r="V10483" s="18" t="s">
        <v>44929</v>
      </c>
      <c r="W10483" s="18" t="s">
        <v>44930</v>
      </c>
      <c r="X10483" s="18" t="s">
        <v>35</v>
      </c>
      <c r="Y10483" s="18" t="s">
        <v>17171</v>
      </c>
      <c r="Z10483" s="18" t="s">
        <v>24637</v>
      </c>
      <c r="AA10483" s="21" t="str">
        <f>HYPERLINK("https://www.ncbi.nlm.nih.gov/nuccore/MZ679565","NCBI Nucleotide")</f>
        <v>NCBI Nucleotide</v>
      </c>
    </row>
    <row r="10484" spans="1:27" x14ac:dyDescent="0.35">
      <c r="A10484">
        <v>1026266</v>
      </c>
      <c r="B10484">
        <v>9809</v>
      </c>
      <c r="C10484">
        <v>1</v>
      </c>
      <c r="D10484" s="17" t="s">
        <v>17166</v>
      </c>
      <c r="E10484" s="17"/>
      <c r="F10484" s="17" t="s">
        <v>17246</v>
      </c>
      <c r="G10484" s="17"/>
      <c r="H10484" s="17" t="s">
        <v>20919</v>
      </c>
      <c r="I10484" s="17"/>
      <c r="J10484" s="17" t="s">
        <v>21313</v>
      </c>
      <c r="K10484" s="17"/>
      <c r="L10484" s="17" t="s">
        <v>22378</v>
      </c>
      <c r="M10484" s="17"/>
      <c r="N10484" s="17" t="s">
        <v>22459</v>
      </c>
      <c r="O10484" s="17"/>
      <c r="P10484" s="17" t="s">
        <v>44931</v>
      </c>
      <c r="Q10484" s="17"/>
      <c r="R10484" s="25" t="str">
        <f>HYPERLINK("https://ictv.global/taxonomy/taxondetails?taxnode_id=202317075","Hanolevirus chthonocola")</f>
        <v>Hanolevirus chthonocola</v>
      </c>
      <c r="S10484" s="18" t="s">
        <v>30</v>
      </c>
      <c r="T10484" s="18" t="s">
        <v>44932</v>
      </c>
      <c r="U10484" s="18"/>
      <c r="V10484" s="18"/>
      <c r="W10484" s="18" t="s">
        <v>44933</v>
      </c>
      <c r="X10484" s="18" t="s">
        <v>35</v>
      </c>
      <c r="Y10484" s="18" t="s">
        <v>17171</v>
      </c>
      <c r="Z10484" s="18" t="s">
        <v>24637</v>
      </c>
      <c r="AA10484" s="21" t="str">
        <f>HYPERLINK("https://www.ncbi.nlm.nih.gov/nuccore/CASDWV010003689","NCBI Nucleotide")</f>
        <v>NCBI Nucleotide</v>
      </c>
    </row>
    <row r="10485" spans="1:27" x14ac:dyDescent="0.35">
      <c r="A10485">
        <v>1026250</v>
      </c>
      <c r="B10485">
        <v>9810</v>
      </c>
      <c r="C10485">
        <v>1</v>
      </c>
      <c r="D10485" s="17" t="s">
        <v>17166</v>
      </c>
      <c r="E10485" s="17"/>
      <c r="F10485" s="17" t="s">
        <v>17246</v>
      </c>
      <c r="G10485" s="17"/>
      <c r="H10485" s="17" t="s">
        <v>20919</v>
      </c>
      <c r="I10485" s="17"/>
      <c r="J10485" s="17" t="s">
        <v>21313</v>
      </c>
      <c r="K10485" s="17"/>
      <c r="L10485" s="17" t="s">
        <v>22378</v>
      </c>
      <c r="M10485" s="17"/>
      <c r="N10485" s="17" t="s">
        <v>22459</v>
      </c>
      <c r="O10485" s="17"/>
      <c r="P10485" s="17" t="s">
        <v>44934</v>
      </c>
      <c r="Q10485" s="17"/>
      <c r="R10485" s="25" t="str">
        <f>HYPERLINK("https://ictv.global/taxonomy/taxondetails?taxnode_id=202317076","Harbevirus allofundicola")</f>
        <v>Harbevirus allofundicola</v>
      </c>
      <c r="S10485" s="18" t="s">
        <v>30</v>
      </c>
      <c r="T10485" s="18" t="s">
        <v>44935</v>
      </c>
      <c r="U10485" s="18"/>
      <c r="V10485" s="18" t="s">
        <v>44935</v>
      </c>
      <c r="W10485" s="18" t="s">
        <v>44936</v>
      </c>
      <c r="X10485" s="18" t="s">
        <v>35</v>
      </c>
      <c r="Y10485" s="18" t="s">
        <v>17171</v>
      </c>
      <c r="Z10485" s="18" t="s">
        <v>24637</v>
      </c>
      <c r="AA10485" s="21" t="str">
        <f>HYPERLINK("https://www.ncbi.nlm.nih.gov/nuccore/MZ679463","NCBI Nucleotide")</f>
        <v>NCBI Nucleotide</v>
      </c>
    </row>
    <row r="10486" spans="1:27" x14ac:dyDescent="0.35">
      <c r="A10486">
        <v>1026251</v>
      </c>
      <c r="B10486">
        <v>9811</v>
      </c>
      <c r="C10486">
        <v>1</v>
      </c>
      <c r="D10486" s="17" t="s">
        <v>17166</v>
      </c>
      <c r="E10486" s="17"/>
      <c r="F10486" s="17" t="s">
        <v>17246</v>
      </c>
      <c r="G10486" s="17"/>
      <c r="H10486" s="17" t="s">
        <v>20919</v>
      </c>
      <c r="I10486" s="17"/>
      <c r="J10486" s="17" t="s">
        <v>21313</v>
      </c>
      <c r="K10486" s="17"/>
      <c r="L10486" s="17" t="s">
        <v>22378</v>
      </c>
      <c r="M10486" s="17"/>
      <c r="N10486" s="17" t="s">
        <v>22459</v>
      </c>
      <c r="O10486" s="17"/>
      <c r="P10486" s="17" t="s">
        <v>44934</v>
      </c>
      <c r="Q10486" s="17"/>
      <c r="R10486" s="25" t="str">
        <f>HYPERLINK("https://ictv.global/taxonomy/taxondetails?taxnode_id=202317077","Harbevirus humivicinum")</f>
        <v>Harbevirus humivicinum</v>
      </c>
      <c r="S10486" s="18" t="s">
        <v>30</v>
      </c>
      <c r="T10486" s="18" t="s">
        <v>44937</v>
      </c>
      <c r="U10486" s="18"/>
      <c r="V10486" s="18" t="s">
        <v>44937</v>
      </c>
      <c r="W10486" s="18" t="s">
        <v>44938</v>
      </c>
      <c r="X10486" s="18" t="s">
        <v>35</v>
      </c>
      <c r="Y10486" s="18" t="s">
        <v>17171</v>
      </c>
      <c r="Z10486" s="18" t="s">
        <v>24637</v>
      </c>
      <c r="AA10486" s="21" t="str">
        <f>HYPERLINK("https://www.ncbi.nlm.nih.gov/nuccore/MZ679492","NCBI Nucleotide")</f>
        <v>NCBI Nucleotide</v>
      </c>
    </row>
    <row r="10487" spans="1:27" x14ac:dyDescent="0.35">
      <c r="A10487">
        <v>1026252</v>
      </c>
      <c r="B10487">
        <v>9812</v>
      </c>
      <c r="C10487">
        <v>1</v>
      </c>
      <c r="D10487" s="17" t="s">
        <v>17166</v>
      </c>
      <c r="E10487" s="17"/>
      <c r="F10487" s="17" t="s">
        <v>17246</v>
      </c>
      <c r="G10487" s="17"/>
      <c r="H10487" s="17" t="s">
        <v>20919</v>
      </c>
      <c r="I10487" s="17"/>
      <c r="J10487" s="17" t="s">
        <v>21313</v>
      </c>
      <c r="K10487" s="17"/>
      <c r="L10487" s="17" t="s">
        <v>22378</v>
      </c>
      <c r="M10487" s="17"/>
      <c r="N10487" s="17" t="s">
        <v>22459</v>
      </c>
      <c r="O10487" s="17"/>
      <c r="P10487" s="17" t="s">
        <v>44934</v>
      </c>
      <c r="Q10487" s="17"/>
      <c r="R10487" s="25" t="str">
        <f>HYPERLINK("https://ictv.global/taxonomy/taxondetails?taxnode_id=202317078","Harbevirus humivivens")</f>
        <v>Harbevirus humivivens</v>
      </c>
      <c r="S10487" s="18" t="s">
        <v>30</v>
      </c>
      <c r="T10487" s="18" t="s">
        <v>44939</v>
      </c>
      <c r="U10487" s="18"/>
      <c r="V10487" s="18"/>
      <c r="W10487" s="18" t="s">
        <v>44940</v>
      </c>
      <c r="X10487" s="18" t="s">
        <v>35</v>
      </c>
      <c r="Y10487" s="18" t="s">
        <v>17171</v>
      </c>
      <c r="Z10487" s="18" t="s">
        <v>24637</v>
      </c>
      <c r="AA10487" s="21" t="str">
        <f>HYPERLINK("https://www.ncbi.nlm.nih.gov/nuccore/CASDWV010003490","NCBI Nucleotide")</f>
        <v>NCBI Nucleotide</v>
      </c>
    </row>
    <row r="10488" spans="1:27" x14ac:dyDescent="0.35">
      <c r="A10488">
        <v>1026253</v>
      </c>
      <c r="B10488">
        <v>9813</v>
      </c>
      <c r="C10488">
        <v>1</v>
      </c>
      <c r="D10488" s="17" t="s">
        <v>17166</v>
      </c>
      <c r="E10488" s="17"/>
      <c r="F10488" s="17" t="s">
        <v>17246</v>
      </c>
      <c r="G10488" s="17"/>
      <c r="H10488" s="17" t="s">
        <v>20919</v>
      </c>
      <c r="I10488" s="17"/>
      <c r="J10488" s="17" t="s">
        <v>21313</v>
      </c>
      <c r="K10488" s="17"/>
      <c r="L10488" s="17" t="s">
        <v>22378</v>
      </c>
      <c r="M10488" s="17"/>
      <c r="N10488" s="17" t="s">
        <v>22459</v>
      </c>
      <c r="O10488" s="17"/>
      <c r="P10488" s="17" t="s">
        <v>44934</v>
      </c>
      <c r="Q10488" s="17"/>
      <c r="R10488" s="25" t="str">
        <f>HYPERLINK("https://ictv.global/taxonomy/taxondetails?taxnode_id=202317079","Harbevirus messadaptatum")</f>
        <v>Harbevirus messadaptatum</v>
      </c>
      <c r="S10488" s="18" t="s">
        <v>30</v>
      </c>
      <c r="T10488" s="18" t="s">
        <v>44941</v>
      </c>
      <c r="U10488" s="18"/>
      <c r="V10488" s="18"/>
      <c r="W10488" s="18" t="s">
        <v>44942</v>
      </c>
      <c r="X10488" s="18" t="s">
        <v>35</v>
      </c>
      <c r="Y10488" s="18" t="s">
        <v>17171</v>
      </c>
      <c r="Z10488" s="18" t="s">
        <v>24637</v>
      </c>
      <c r="AA10488" s="21" t="str">
        <f>HYPERLINK("https://www.ncbi.nlm.nih.gov/nuccore/CASDWV010005046","NCBI Nucleotide")</f>
        <v>NCBI Nucleotide</v>
      </c>
    </row>
    <row r="10489" spans="1:27" x14ac:dyDescent="0.35">
      <c r="A10489">
        <v>1026254</v>
      </c>
      <c r="B10489">
        <v>9814</v>
      </c>
      <c r="C10489">
        <v>1</v>
      </c>
      <c r="D10489" s="17" t="s">
        <v>17166</v>
      </c>
      <c r="E10489" s="17"/>
      <c r="F10489" s="17" t="s">
        <v>17246</v>
      </c>
      <c r="G10489" s="17"/>
      <c r="H10489" s="17" t="s">
        <v>20919</v>
      </c>
      <c r="I10489" s="17"/>
      <c r="J10489" s="17" t="s">
        <v>21313</v>
      </c>
      <c r="K10489" s="17"/>
      <c r="L10489" s="17" t="s">
        <v>22378</v>
      </c>
      <c r="M10489" s="17"/>
      <c r="N10489" s="17" t="s">
        <v>22459</v>
      </c>
      <c r="O10489" s="17"/>
      <c r="P10489" s="17" t="s">
        <v>44943</v>
      </c>
      <c r="Q10489" s="17"/>
      <c r="R10489" s="25" t="str">
        <f>HYPERLINK("https://ictv.global/taxonomy/taxondetails?taxnode_id=202317080","Hardshivirus chthonadaptatum")</f>
        <v>Hardshivirus chthonadaptatum</v>
      </c>
      <c r="S10489" s="18" t="s">
        <v>30</v>
      </c>
      <c r="T10489" s="18" t="s">
        <v>44944</v>
      </c>
      <c r="U10489" s="18"/>
      <c r="V10489" s="18"/>
      <c r="W10489" s="18" t="s">
        <v>44945</v>
      </c>
      <c r="X10489" s="18" t="s">
        <v>35</v>
      </c>
      <c r="Y10489" s="18" t="s">
        <v>17171</v>
      </c>
      <c r="Z10489" s="18" t="s">
        <v>24637</v>
      </c>
      <c r="AA10489" s="21" t="str">
        <f>HYPERLINK("https://www.ncbi.nlm.nih.gov/nuccore/CASDWV010004904","NCBI Nucleotide")</f>
        <v>NCBI Nucleotide</v>
      </c>
    </row>
    <row r="10490" spans="1:27" x14ac:dyDescent="0.35">
      <c r="A10490">
        <v>1026255</v>
      </c>
      <c r="B10490">
        <v>9815</v>
      </c>
      <c r="C10490">
        <v>1</v>
      </c>
      <c r="D10490" s="17" t="s">
        <v>17166</v>
      </c>
      <c r="E10490" s="17"/>
      <c r="F10490" s="17" t="s">
        <v>17246</v>
      </c>
      <c r="G10490" s="17"/>
      <c r="H10490" s="17" t="s">
        <v>20919</v>
      </c>
      <c r="I10490" s="17"/>
      <c r="J10490" s="17" t="s">
        <v>21313</v>
      </c>
      <c r="K10490" s="17"/>
      <c r="L10490" s="17" t="s">
        <v>22378</v>
      </c>
      <c r="M10490" s="17"/>
      <c r="N10490" s="17" t="s">
        <v>22459</v>
      </c>
      <c r="O10490" s="17"/>
      <c r="P10490" s="17" t="s">
        <v>44943</v>
      </c>
      <c r="Q10490" s="17"/>
      <c r="R10490" s="25" t="str">
        <f>HYPERLINK("https://ictv.global/taxonomy/taxondetails?taxnode_id=202317081","Hardshivirus limivivens")</f>
        <v>Hardshivirus limivivens</v>
      </c>
      <c r="S10490" s="18" t="s">
        <v>30</v>
      </c>
      <c r="T10490" s="18" t="s">
        <v>44946</v>
      </c>
      <c r="U10490" s="18"/>
      <c r="V10490" s="18"/>
      <c r="W10490" s="18" t="s">
        <v>44947</v>
      </c>
      <c r="X10490" s="18" t="s">
        <v>35</v>
      </c>
      <c r="Y10490" s="18" t="s">
        <v>17171</v>
      </c>
      <c r="Z10490" s="18" t="s">
        <v>24637</v>
      </c>
      <c r="AA10490" s="21" t="str">
        <f>HYPERLINK("https://www.ncbi.nlm.nih.gov/nuccore/CASDWV010003715","NCBI Nucleotide")</f>
        <v>NCBI Nucleotide</v>
      </c>
    </row>
    <row r="10491" spans="1:27" x14ac:dyDescent="0.35">
      <c r="A10491">
        <v>1026256</v>
      </c>
      <c r="B10491">
        <v>9816</v>
      </c>
      <c r="C10491">
        <v>1</v>
      </c>
      <c r="D10491" s="17" t="s">
        <v>17166</v>
      </c>
      <c r="E10491" s="17"/>
      <c r="F10491" s="17" t="s">
        <v>17246</v>
      </c>
      <c r="G10491" s="17"/>
      <c r="H10491" s="17" t="s">
        <v>20919</v>
      </c>
      <c r="I10491" s="17"/>
      <c r="J10491" s="17" t="s">
        <v>21313</v>
      </c>
      <c r="K10491" s="17"/>
      <c r="L10491" s="17" t="s">
        <v>22378</v>
      </c>
      <c r="M10491" s="17"/>
      <c r="N10491" s="17" t="s">
        <v>22459</v>
      </c>
      <c r="O10491" s="17"/>
      <c r="P10491" s="17" t="s">
        <v>44943</v>
      </c>
      <c r="Q10491" s="17"/>
      <c r="R10491" s="25" t="str">
        <f>HYPERLINK("https://ictv.global/taxonomy/taxondetails?taxnode_id=202317082","Hardshivirus segetivicinum")</f>
        <v>Hardshivirus segetivicinum</v>
      </c>
      <c r="S10491" s="18" t="s">
        <v>30</v>
      </c>
      <c r="T10491" s="18" t="s">
        <v>44948</v>
      </c>
      <c r="U10491" s="18"/>
      <c r="V10491" s="18"/>
      <c r="W10491" s="18" t="s">
        <v>44949</v>
      </c>
      <c r="X10491" s="18" t="s">
        <v>35</v>
      </c>
      <c r="Y10491" s="18" t="s">
        <v>17171</v>
      </c>
      <c r="Z10491" s="18" t="s">
        <v>24637</v>
      </c>
      <c r="AA10491" s="21" t="str">
        <f>HYPERLINK("https://www.ncbi.nlm.nih.gov/nuccore/CASDWV010001827","NCBI Nucleotide")</f>
        <v>NCBI Nucleotide</v>
      </c>
    </row>
    <row r="10492" spans="1:27" x14ac:dyDescent="0.35">
      <c r="A10492">
        <v>1026760</v>
      </c>
      <c r="B10492">
        <v>9817</v>
      </c>
      <c r="C10492">
        <v>1</v>
      </c>
      <c r="D10492" s="17" t="s">
        <v>17166</v>
      </c>
      <c r="E10492" s="17"/>
      <c r="F10492" s="17" t="s">
        <v>17246</v>
      </c>
      <c r="G10492" s="17"/>
      <c r="H10492" s="17" t="s">
        <v>20919</v>
      </c>
      <c r="I10492" s="17"/>
      <c r="J10492" s="17" t="s">
        <v>21313</v>
      </c>
      <c r="K10492" s="17"/>
      <c r="L10492" s="17" t="s">
        <v>22378</v>
      </c>
      <c r="M10492" s="17"/>
      <c r="N10492" s="17" t="s">
        <v>22459</v>
      </c>
      <c r="O10492" s="17"/>
      <c r="P10492" s="17" t="s">
        <v>44950</v>
      </c>
      <c r="Q10492" s="17"/>
      <c r="R10492" s="25" t="str">
        <f>HYPERLINK("https://ictv.global/taxonomy/taxondetails?taxnode_id=202317083","Hihlwovirus agrivivens")</f>
        <v>Hihlwovirus agrivivens</v>
      </c>
      <c r="S10492" s="18" t="s">
        <v>30</v>
      </c>
      <c r="T10492" s="18" t="s">
        <v>44951</v>
      </c>
      <c r="U10492" s="18"/>
      <c r="V10492" s="18"/>
      <c r="W10492" s="18" t="s">
        <v>44952</v>
      </c>
      <c r="X10492" s="18" t="s">
        <v>35</v>
      </c>
      <c r="Y10492" s="18" t="s">
        <v>17171</v>
      </c>
      <c r="Z10492" s="18" t="s">
        <v>24637</v>
      </c>
      <c r="AA10492" s="21" t="str">
        <f>HYPERLINK("https://www.ncbi.nlm.nih.gov/nuccore/CASDWV010003403","NCBI Nucleotide")</f>
        <v>NCBI Nucleotide</v>
      </c>
    </row>
    <row r="10493" spans="1:27" x14ac:dyDescent="0.35">
      <c r="A10493">
        <v>1026761</v>
      </c>
      <c r="B10493">
        <v>9818</v>
      </c>
      <c r="C10493">
        <v>1</v>
      </c>
      <c r="D10493" s="17" t="s">
        <v>17166</v>
      </c>
      <c r="E10493" s="17"/>
      <c r="F10493" s="17" t="s">
        <v>17246</v>
      </c>
      <c r="G10493" s="17"/>
      <c r="H10493" s="17" t="s">
        <v>20919</v>
      </c>
      <c r="I10493" s="17"/>
      <c r="J10493" s="17" t="s">
        <v>21313</v>
      </c>
      <c r="K10493" s="17"/>
      <c r="L10493" s="17" t="s">
        <v>22378</v>
      </c>
      <c r="M10493" s="17"/>
      <c r="N10493" s="17" t="s">
        <v>22459</v>
      </c>
      <c r="O10493" s="17"/>
      <c r="P10493" s="17" t="s">
        <v>44950</v>
      </c>
      <c r="Q10493" s="17"/>
      <c r="R10493" s="25" t="str">
        <f>HYPERLINK("https://ictv.global/taxonomy/taxondetails?taxnode_id=202317084","Hihlwovirus allofaecadaptatum")</f>
        <v>Hihlwovirus allofaecadaptatum</v>
      </c>
      <c r="S10493" s="18" t="s">
        <v>30</v>
      </c>
      <c r="T10493" s="18" t="s">
        <v>44953</v>
      </c>
      <c r="U10493" s="18"/>
      <c r="V10493" s="18" t="s">
        <v>44953</v>
      </c>
      <c r="W10493" s="18" t="s">
        <v>44954</v>
      </c>
      <c r="X10493" s="18" t="s">
        <v>35</v>
      </c>
      <c r="Y10493" s="18" t="s">
        <v>17171</v>
      </c>
      <c r="Z10493" s="18" t="s">
        <v>24637</v>
      </c>
      <c r="AA10493" s="21" t="str">
        <f>HYPERLINK("https://www.ncbi.nlm.nih.gov/nuccore/MZ679797","NCBI Nucleotide")</f>
        <v>NCBI Nucleotide</v>
      </c>
    </row>
    <row r="10494" spans="1:27" x14ac:dyDescent="0.35">
      <c r="A10494">
        <v>1026762</v>
      </c>
      <c r="B10494">
        <v>9819</v>
      </c>
      <c r="C10494">
        <v>1</v>
      </c>
      <c r="D10494" s="17" t="s">
        <v>17166</v>
      </c>
      <c r="E10494" s="17"/>
      <c r="F10494" s="17" t="s">
        <v>17246</v>
      </c>
      <c r="G10494" s="17"/>
      <c r="H10494" s="17" t="s">
        <v>20919</v>
      </c>
      <c r="I10494" s="17"/>
      <c r="J10494" s="17" t="s">
        <v>21313</v>
      </c>
      <c r="K10494" s="17"/>
      <c r="L10494" s="17" t="s">
        <v>22378</v>
      </c>
      <c r="M10494" s="17"/>
      <c r="N10494" s="17" t="s">
        <v>22459</v>
      </c>
      <c r="O10494" s="17"/>
      <c r="P10494" s="17" t="s">
        <v>44950</v>
      </c>
      <c r="Q10494" s="17"/>
      <c r="R10494" s="25" t="str">
        <f>HYPERLINK("https://ictv.global/taxonomy/taxondetails?taxnode_id=202317085","Hihlwovirus allofaecicola")</f>
        <v>Hihlwovirus allofaecicola</v>
      </c>
      <c r="S10494" s="18" t="s">
        <v>30</v>
      </c>
      <c r="T10494" s="18" t="s">
        <v>44955</v>
      </c>
      <c r="U10494" s="18"/>
      <c r="V10494" s="18" t="s">
        <v>44955</v>
      </c>
      <c r="W10494" s="18" t="s">
        <v>44956</v>
      </c>
      <c r="X10494" s="18" t="s">
        <v>35</v>
      </c>
      <c r="Y10494" s="18" t="s">
        <v>17171</v>
      </c>
      <c r="Z10494" s="18" t="s">
        <v>24637</v>
      </c>
      <c r="AA10494" s="21" t="str">
        <f>HYPERLINK("https://www.ncbi.nlm.nih.gov/nuccore/MZ679808","NCBI Nucleotide")</f>
        <v>NCBI Nucleotide</v>
      </c>
    </row>
    <row r="10495" spans="1:27" x14ac:dyDescent="0.35">
      <c r="A10495">
        <v>1026763</v>
      </c>
      <c r="B10495">
        <v>9820</v>
      </c>
      <c r="C10495">
        <v>1</v>
      </c>
      <c r="D10495" s="17" t="s">
        <v>17166</v>
      </c>
      <c r="E10495" s="17"/>
      <c r="F10495" s="17" t="s">
        <v>17246</v>
      </c>
      <c r="G10495" s="17"/>
      <c r="H10495" s="17" t="s">
        <v>20919</v>
      </c>
      <c r="I10495" s="17"/>
      <c r="J10495" s="17" t="s">
        <v>21313</v>
      </c>
      <c r="K10495" s="17"/>
      <c r="L10495" s="17" t="s">
        <v>22378</v>
      </c>
      <c r="M10495" s="17"/>
      <c r="N10495" s="17" t="s">
        <v>22459</v>
      </c>
      <c r="O10495" s="17"/>
      <c r="P10495" s="17" t="s">
        <v>44950</v>
      </c>
      <c r="Q10495" s="17"/>
      <c r="R10495" s="25" t="str">
        <f>HYPERLINK("https://ictv.global/taxonomy/taxondetails?taxnode_id=202317086","Hihlwovirus allonemorisadaptatum")</f>
        <v>Hihlwovirus allonemorisadaptatum</v>
      </c>
      <c r="S10495" s="18" t="s">
        <v>30</v>
      </c>
      <c r="T10495" s="18" t="s">
        <v>44957</v>
      </c>
      <c r="U10495" s="18"/>
      <c r="V10495" s="18" t="s">
        <v>44957</v>
      </c>
      <c r="W10495" s="18" t="s">
        <v>44958</v>
      </c>
      <c r="X10495" s="18" t="s">
        <v>35</v>
      </c>
      <c r="Y10495" s="18" t="s">
        <v>17171</v>
      </c>
      <c r="Z10495" s="18" t="s">
        <v>24637</v>
      </c>
      <c r="AA10495" s="21" t="str">
        <f>HYPERLINK("https://www.ncbi.nlm.nih.gov/nuccore/MZ679722","NCBI Nucleotide")</f>
        <v>NCBI Nucleotide</v>
      </c>
    </row>
    <row r="10496" spans="1:27" x14ac:dyDescent="0.35">
      <c r="A10496">
        <v>1026764</v>
      </c>
      <c r="B10496">
        <v>9821</v>
      </c>
      <c r="C10496">
        <v>1</v>
      </c>
      <c r="D10496" s="17" t="s">
        <v>17166</v>
      </c>
      <c r="E10496" s="17"/>
      <c r="F10496" s="17" t="s">
        <v>17246</v>
      </c>
      <c r="G10496" s="17"/>
      <c r="H10496" s="17" t="s">
        <v>20919</v>
      </c>
      <c r="I10496" s="17"/>
      <c r="J10496" s="17" t="s">
        <v>21313</v>
      </c>
      <c r="K10496" s="17"/>
      <c r="L10496" s="17" t="s">
        <v>22378</v>
      </c>
      <c r="M10496" s="17"/>
      <c r="N10496" s="17" t="s">
        <v>22459</v>
      </c>
      <c r="O10496" s="17"/>
      <c r="P10496" s="17" t="s">
        <v>44950</v>
      </c>
      <c r="Q10496" s="17"/>
      <c r="R10496" s="25" t="str">
        <f>HYPERLINK("https://ictv.global/taxonomy/taxondetails?taxnode_id=202317087","Hihlwovirus chorovivens")</f>
        <v>Hihlwovirus chorovivens</v>
      </c>
      <c r="S10496" s="18" t="s">
        <v>30</v>
      </c>
      <c r="T10496" s="18" t="s">
        <v>44959</v>
      </c>
      <c r="U10496" s="18"/>
      <c r="V10496" s="18"/>
      <c r="W10496" s="18" t="s">
        <v>44960</v>
      </c>
      <c r="X10496" s="18" t="s">
        <v>35</v>
      </c>
      <c r="Y10496" s="18" t="s">
        <v>17171</v>
      </c>
      <c r="Z10496" s="18" t="s">
        <v>24637</v>
      </c>
      <c r="AA10496" s="21" t="str">
        <f>HYPERLINK("https://www.ncbi.nlm.nih.gov/nuccore/CASDWV010001989","NCBI Nucleotide")</f>
        <v>NCBI Nucleotide</v>
      </c>
    </row>
    <row r="10497" spans="1:27" x14ac:dyDescent="0.35">
      <c r="A10497">
        <v>1026765</v>
      </c>
      <c r="B10497">
        <v>9822</v>
      </c>
      <c r="C10497">
        <v>1</v>
      </c>
      <c r="D10497" s="17" t="s">
        <v>17166</v>
      </c>
      <c r="E10497" s="17"/>
      <c r="F10497" s="17" t="s">
        <v>17246</v>
      </c>
      <c r="G10497" s="17"/>
      <c r="H10497" s="17" t="s">
        <v>20919</v>
      </c>
      <c r="I10497" s="17"/>
      <c r="J10497" s="17" t="s">
        <v>21313</v>
      </c>
      <c r="K10497" s="17"/>
      <c r="L10497" s="17" t="s">
        <v>22378</v>
      </c>
      <c r="M10497" s="17"/>
      <c r="N10497" s="17" t="s">
        <v>22459</v>
      </c>
      <c r="O10497" s="17"/>
      <c r="P10497" s="17" t="s">
        <v>44950</v>
      </c>
      <c r="Q10497" s="17"/>
      <c r="R10497" s="25" t="str">
        <f>HYPERLINK("https://ictv.global/taxonomy/taxondetails?taxnode_id=202317088","Hihlwovirus chthonohabitans")</f>
        <v>Hihlwovirus chthonohabitans</v>
      </c>
      <c r="S10497" s="18" t="s">
        <v>30</v>
      </c>
      <c r="T10497" s="18" t="s">
        <v>44961</v>
      </c>
      <c r="U10497" s="18"/>
      <c r="V10497" s="18"/>
      <c r="W10497" s="18" t="s">
        <v>44962</v>
      </c>
      <c r="X10497" s="18" t="s">
        <v>35</v>
      </c>
      <c r="Y10497" s="18" t="s">
        <v>17171</v>
      </c>
      <c r="Z10497" s="18" t="s">
        <v>24637</v>
      </c>
      <c r="AA10497" s="21" t="str">
        <f>HYPERLINK("https://www.ncbi.nlm.nih.gov/nuccore/CASDWV010004996","NCBI Nucleotide")</f>
        <v>NCBI Nucleotide</v>
      </c>
    </row>
    <row r="10498" spans="1:27" x14ac:dyDescent="0.35">
      <c r="A10498">
        <v>1026766</v>
      </c>
      <c r="B10498">
        <v>9823</v>
      </c>
      <c r="C10498">
        <v>1</v>
      </c>
      <c r="D10498" s="17" t="s">
        <v>17166</v>
      </c>
      <c r="E10498" s="17"/>
      <c r="F10498" s="17" t="s">
        <v>17246</v>
      </c>
      <c r="G10498" s="17"/>
      <c r="H10498" s="17" t="s">
        <v>20919</v>
      </c>
      <c r="I10498" s="17"/>
      <c r="J10498" s="17" t="s">
        <v>21313</v>
      </c>
      <c r="K10498" s="17"/>
      <c r="L10498" s="17" t="s">
        <v>22378</v>
      </c>
      <c r="M10498" s="17"/>
      <c r="N10498" s="17" t="s">
        <v>22459</v>
      </c>
      <c r="O10498" s="17"/>
      <c r="P10498" s="17" t="s">
        <v>44950</v>
      </c>
      <c r="Q10498" s="17"/>
      <c r="R10498" s="25" t="str">
        <f>HYPERLINK("https://ictv.global/taxonomy/taxondetails?taxnode_id=202317089","Hihlwovirus faecadaptatum")</f>
        <v>Hihlwovirus faecadaptatum</v>
      </c>
      <c r="S10498" s="18" t="s">
        <v>30</v>
      </c>
      <c r="T10498" s="18" t="s">
        <v>44963</v>
      </c>
      <c r="U10498" s="18"/>
      <c r="V10498" s="18" t="s">
        <v>44963</v>
      </c>
      <c r="W10498" s="18" t="s">
        <v>44964</v>
      </c>
      <c r="X10498" s="18" t="s">
        <v>35</v>
      </c>
      <c r="Y10498" s="18" t="s">
        <v>17171</v>
      </c>
      <c r="Z10498" s="18" t="s">
        <v>24637</v>
      </c>
      <c r="AA10498" s="21" t="str">
        <f>HYPERLINK("https://www.ncbi.nlm.nih.gov/nuccore/MZ679512","NCBI Nucleotide")</f>
        <v>NCBI Nucleotide</v>
      </c>
    </row>
    <row r="10499" spans="1:27" x14ac:dyDescent="0.35">
      <c r="A10499">
        <v>1026767</v>
      </c>
      <c r="B10499">
        <v>9824</v>
      </c>
      <c r="C10499">
        <v>1</v>
      </c>
      <c r="D10499" s="17" t="s">
        <v>17166</v>
      </c>
      <c r="E10499" s="17"/>
      <c r="F10499" s="17" t="s">
        <v>17246</v>
      </c>
      <c r="G10499" s="17"/>
      <c r="H10499" s="17" t="s">
        <v>20919</v>
      </c>
      <c r="I10499" s="17"/>
      <c r="J10499" s="17" t="s">
        <v>21313</v>
      </c>
      <c r="K10499" s="17"/>
      <c r="L10499" s="17" t="s">
        <v>22378</v>
      </c>
      <c r="M10499" s="17"/>
      <c r="N10499" s="17" t="s">
        <v>22459</v>
      </c>
      <c r="O10499" s="17"/>
      <c r="P10499" s="17" t="s">
        <v>44950</v>
      </c>
      <c r="Q10499" s="17"/>
      <c r="R10499" s="25" t="str">
        <f>HYPERLINK("https://ictv.global/taxonomy/taxondetails?taxnode_id=202317090","Hihlwovirus faecivivens")</f>
        <v>Hihlwovirus faecivivens</v>
      </c>
      <c r="S10499" s="18" t="s">
        <v>30</v>
      </c>
      <c r="T10499" s="18" t="s">
        <v>44965</v>
      </c>
      <c r="U10499" s="18"/>
      <c r="V10499" s="18" t="s">
        <v>44965</v>
      </c>
      <c r="W10499" s="18" t="s">
        <v>44966</v>
      </c>
      <c r="X10499" s="18" t="s">
        <v>35</v>
      </c>
      <c r="Y10499" s="18" t="s">
        <v>17171</v>
      </c>
      <c r="Z10499" s="18" t="s">
        <v>24637</v>
      </c>
      <c r="AA10499" s="21" t="str">
        <f>HYPERLINK("https://www.ncbi.nlm.nih.gov/nuccore/MZ679650","NCBI Nucleotide")</f>
        <v>NCBI Nucleotide</v>
      </c>
    </row>
    <row r="10500" spans="1:27" x14ac:dyDescent="0.35">
      <c r="A10500">
        <v>1026768</v>
      </c>
      <c r="B10500">
        <v>9825</v>
      </c>
      <c r="C10500">
        <v>1</v>
      </c>
      <c r="D10500" s="17" t="s">
        <v>17166</v>
      </c>
      <c r="E10500" s="17"/>
      <c r="F10500" s="17" t="s">
        <v>17246</v>
      </c>
      <c r="G10500" s="17"/>
      <c r="H10500" s="17" t="s">
        <v>20919</v>
      </c>
      <c r="I10500" s="17"/>
      <c r="J10500" s="17" t="s">
        <v>21313</v>
      </c>
      <c r="K10500" s="17"/>
      <c r="L10500" s="17" t="s">
        <v>22378</v>
      </c>
      <c r="M10500" s="17"/>
      <c r="N10500" s="17" t="s">
        <v>22459</v>
      </c>
      <c r="O10500" s="17"/>
      <c r="P10500" s="17" t="s">
        <v>44950</v>
      </c>
      <c r="Q10500" s="17"/>
      <c r="R10500" s="25" t="str">
        <f>HYPERLINK("https://ictv.global/taxonomy/taxondetails?taxnode_id=202317091","Hihlwovirus frumentadaptatum")</f>
        <v>Hihlwovirus frumentadaptatum</v>
      </c>
      <c r="S10500" s="18" t="s">
        <v>30</v>
      </c>
      <c r="T10500" s="18" t="s">
        <v>44967</v>
      </c>
      <c r="U10500" s="18"/>
      <c r="V10500" s="18" t="s">
        <v>44967</v>
      </c>
      <c r="W10500" s="18" t="s">
        <v>44968</v>
      </c>
      <c r="X10500" s="18" t="s">
        <v>35</v>
      </c>
      <c r="Y10500" s="18" t="s">
        <v>17171</v>
      </c>
      <c r="Z10500" s="18" t="s">
        <v>24637</v>
      </c>
      <c r="AA10500" s="21" t="str">
        <f>HYPERLINK("https://www.ncbi.nlm.nih.gov/nuccore/MZ679827","NCBI Nucleotide")</f>
        <v>NCBI Nucleotide</v>
      </c>
    </row>
    <row r="10501" spans="1:27" x14ac:dyDescent="0.35">
      <c r="A10501">
        <v>1026769</v>
      </c>
      <c r="B10501">
        <v>9826</v>
      </c>
      <c r="C10501">
        <v>1</v>
      </c>
      <c r="D10501" s="17" t="s">
        <v>17166</v>
      </c>
      <c r="E10501" s="17"/>
      <c r="F10501" s="17" t="s">
        <v>17246</v>
      </c>
      <c r="G10501" s="17"/>
      <c r="H10501" s="17" t="s">
        <v>20919</v>
      </c>
      <c r="I10501" s="17"/>
      <c r="J10501" s="17" t="s">
        <v>21313</v>
      </c>
      <c r="K10501" s="17"/>
      <c r="L10501" s="17" t="s">
        <v>22378</v>
      </c>
      <c r="M10501" s="17"/>
      <c r="N10501" s="17" t="s">
        <v>22459</v>
      </c>
      <c r="O10501" s="17"/>
      <c r="P10501" s="17" t="s">
        <v>44950</v>
      </c>
      <c r="Q10501" s="17"/>
      <c r="R10501" s="25" t="str">
        <f>HYPERLINK("https://ictv.global/taxonomy/taxondetails?taxnode_id=202317092","Hihlwovirus frumentivivens")</f>
        <v>Hihlwovirus frumentivivens</v>
      </c>
      <c r="S10501" s="18" t="s">
        <v>30</v>
      </c>
      <c r="T10501" s="18" t="s">
        <v>44969</v>
      </c>
      <c r="U10501" s="18"/>
      <c r="V10501" s="18" t="s">
        <v>44969</v>
      </c>
      <c r="W10501" s="18" t="s">
        <v>44970</v>
      </c>
      <c r="X10501" s="18" t="s">
        <v>35</v>
      </c>
      <c r="Y10501" s="18" t="s">
        <v>17171</v>
      </c>
      <c r="Z10501" s="18" t="s">
        <v>24637</v>
      </c>
      <c r="AA10501" s="21" t="str">
        <f>HYPERLINK("https://www.ncbi.nlm.nih.gov/nuccore/MZ679468","NCBI Nucleotide")</f>
        <v>NCBI Nucleotide</v>
      </c>
    </row>
    <row r="10502" spans="1:27" x14ac:dyDescent="0.35">
      <c r="A10502">
        <v>1026770</v>
      </c>
      <c r="B10502">
        <v>9827</v>
      </c>
      <c r="C10502">
        <v>1</v>
      </c>
      <c r="D10502" s="17" t="s">
        <v>17166</v>
      </c>
      <c r="E10502" s="17"/>
      <c r="F10502" s="17" t="s">
        <v>17246</v>
      </c>
      <c r="G10502" s="17"/>
      <c r="H10502" s="17" t="s">
        <v>20919</v>
      </c>
      <c r="I10502" s="17"/>
      <c r="J10502" s="17" t="s">
        <v>21313</v>
      </c>
      <c r="K10502" s="17"/>
      <c r="L10502" s="17" t="s">
        <v>22378</v>
      </c>
      <c r="M10502" s="17"/>
      <c r="N10502" s="17" t="s">
        <v>22459</v>
      </c>
      <c r="O10502" s="17"/>
      <c r="P10502" s="17" t="s">
        <v>44950</v>
      </c>
      <c r="Q10502" s="17"/>
      <c r="R10502" s="25" t="str">
        <f>HYPERLINK("https://ictv.global/taxonomy/taxondetails?taxnode_id=202317093","Hihlwovirus fundihabitans")</f>
        <v>Hihlwovirus fundihabitans</v>
      </c>
      <c r="S10502" s="18" t="s">
        <v>30</v>
      </c>
      <c r="T10502" s="18" t="s">
        <v>44971</v>
      </c>
      <c r="U10502" s="18"/>
      <c r="V10502" s="18" t="s">
        <v>44971</v>
      </c>
      <c r="W10502" s="18" t="s">
        <v>44972</v>
      </c>
      <c r="X10502" s="18" t="s">
        <v>35</v>
      </c>
      <c r="Y10502" s="18" t="s">
        <v>17171</v>
      </c>
      <c r="Z10502" s="18" t="s">
        <v>24637</v>
      </c>
      <c r="AA10502" s="21" t="str">
        <f>HYPERLINK("https://www.ncbi.nlm.nih.gov/nuccore/MZ679536","NCBI Nucleotide")</f>
        <v>NCBI Nucleotide</v>
      </c>
    </row>
    <row r="10503" spans="1:27" x14ac:dyDescent="0.35">
      <c r="A10503">
        <v>1026771</v>
      </c>
      <c r="B10503">
        <v>9828</v>
      </c>
      <c r="C10503">
        <v>1</v>
      </c>
      <c r="D10503" s="17" t="s">
        <v>17166</v>
      </c>
      <c r="E10503" s="17"/>
      <c r="F10503" s="17" t="s">
        <v>17246</v>
      </c>
      <c r="G10503" s="17"/>
      <c r="H10503" s="17" t="s">
        <v>20919</v>
      </c>
      <c r="I10503" s="17"/>
      <c r="J10503" s="17" t="s">
        <v>21313</v>
      </c>
      <c r="K10503" s="17"/>
      <c r="L10503" s="17" t="s">
        <v>22378</v>
      </c>
      <c r="M10503" s="17"/>
      <c r="N10503" s="17" t="s">
        <v>22459</v>
      </c>
      <c r="O10503" s="17"/>
      <c r="P10503" s="17" t="s">
        <v>44950</v>
      </c>
      <c r="Q10503" s="17"/>
      <c r="R10503" s="25" t="str">
        <f>HYPERLINK("https://ictv.global/taxonomy/taxondetails?taxnode_id=202317094","Hihlwovirus geovivens")</f>
        <v>Hihlwovirus geovivens</v>
      </c>
      <c r="S10503" s="18" t="s">
        <v>30</v>
      </c>
      <c r="T10503" s="18" t="s">
        <v>44973</v>
      </c>
      <c r="U10503" s="18"/>
      <c r="V10503" s="18"/>
      <c r="W10503" s="18" t="s">
        <v>44974</v>
      </c>
      <c r="X10503" s="18" t="s">
        <v>35</v>
      </c>
      <c r="Y10503" s="18" t="s">
        <v>17171</v>
      </c>
      <c r="Z10503" s="18" t="s">
        <v>24637</v>
      </c>
      <c r="AA10503" s="21" t="str">
        <f>HYPERLINK("https://www.ncbi.nlm.nih.gov/nuccore/CASDWV010002096","NCBI Nucleotide")</f>
        <v>NCBI Nucleotide</v>
      </c>
    </row>
    <row r="10504" spans="1:27" x14ac:dyDescent="0.35">
      <c r="A10504">
        <v>1026772</v>
      </c>
      <c r="B10504">
        <v>9829</v>
      </c>
      <c r="C10504">
        <v>1</v>
      </c>
      <c r="D10504" s="17" t="s">
        <v>17166</v>
      </c>
      <c r="E10504" s="17"/>
      <c r="F10504" s="17" t="s">
        <v>17246</v>
      </c>
      <c r="G10504" s="17"/>
      <c r="H10504" s="17" t="s">
        <v>20919</v>
      </c>
      <c r="I10504" s="17"/>
      <c r="J10504" s="17" t="s">
        <v>21313</v>
      </c>
      <c r="K10504" s="17"/>
      <c r="L10504" s="17" t="s">
        <v>22378</v>
      </c>
      <c r="M10504" s="17"/>
      <c r="N10504" s="17" t="s">
        <v>22459</v>
      </c>
      <c r="O10504" s="17"/>
      <c r="P10504" s="17" t="s">
        <v>44950</v>
      </c>
      <c r="Q10504" s="17"/>
      <c r="R10504" s="25" t="str">
        <f>HYPERLINK("https://ictv.global/taxonomy/taxondetails?taxnode_id=202317095","Hihlwovirus lutenecus")</f>
        <v>Hihlwovirus lutenecus</v>
      </c>
      <c r="S10504" s="18" t="s">
        <v>30</v>
      </c>
      <c r="T10504" s="18" t="s">
        <v>44975</v>
      </c>
      <c r="U10504" s="18"/>
      <c r="V10504" s="18"/>
      <c r="W10504" s="18" t="s">
        <v>44976</v>
      </c>
      <c r="X10504" s="18" t="s">
        <v>35</v>
      </c>
      <c r="Y10504" s="18" t="s">
        <v>17171</v>
      </c>
      <c r="Z10504" s="18" t="s">
        <v>24637</v>
      </c>
      <c r="AA10504" s="21" t="str">
        <f>HYPERLINK("https://www.ncbi.nlm.nih.gov/nuccore/CASDWV010002274","NCBI Nucleotide")</f>
        <v>NCBI Nucleotide</v>
      </c>
    </row>
    <row r="10505" spans="1:27" x14ac:dyDescent="0.35">
      <c r="A10505">
        <v>1026773</v>
      </c>
      <c r="B10505">
        <v>9830</v>
      </c>
      <c r="C10505">
        <v>1</v>
      </c>
      <c r="D10505" s="17" t="s">
        <v>17166</v>
      </c>
      <c r="E10505" s="17"/>
      <c r="F10505" s="17" t="s">
        <v>17246</v>
      </c>
      <c r="G10505" s="17"/>
      <c r="H10505" s="17" t="s">
        <v>20919</v>
      </c>
      <c r="I10505" s="17"/>
      <c r="J10505" s="17" t="s">
        <v>21313</v>
      </c>
      <c r="K10505" s="17"/>
      <c r="L10505" s="17" t="s">
        <v>22378</v>
      </c>
      <c r="M10505" s="17"/>
      <c r="N10505" s="17" t="s">
        <v>22459</v>
      </c>
      <c r="O10505" s="17"/>
      <c r="P10505" s="17" t="s">
        <v>44950</v>
      </c>
      <c r="Q10505" s="17"/>
      <c r="R10505" s="25" t="str">
        <f>HYPERLINK("https://ictv.global/taxonomy/taxondetails?taxnode_id=202317096","Hihlwovirus messicola")</f>
        <v>Hihlwovirus messicola</v>
      </c>
      <c r="S10505" s="18" t="s">
        <v>30</v>
      </c>
      <c r="T10505" s="18" t="s">
        <v>44977</v>
      </c>
      <c r="U10505" s="18"/>
      <c r="V10505" s="18"/>
      <c r="W10505" s="18" t="s">
        <v>44978</v>
      </c>
      <c r="X10505" s="18" t="s">
        <v>35</v>
      </c>
      <c r="Y10505" s="18" t="s">
        <v>17171</v>
      </c>
      <c r="Z10505" s="18" t="s">
        <v>24637</v>
      </c>
      <c r="AA10505" s="21" t="str">
        <f>HYPERLINK("https://www.ncbi.nlm.nih.gov/nuccore/CASDWV010003326","NCBI Nucleotide")</f>
        <v>NCBI Nucleotide</v>
      </c>
    </row>
    <row r="10506" spans="1:27" x14ac:dyDescent="0.35">
      <c r="A10506">
        <v>1026774</v>
      </c>
      <c r="B10506">
        <v>9831</v>
      </c>
      <c r="C10506">
        <v>1</v>
      </c>
      <c r="D10506" s="17" t="s">
        <v>17166</v>
      </c>
      <c r="E10506" s="17"/>
      <c r="F10506" s="17" t="s">
        <v>17246</v>
      </c>
      <c r="G10506" s="17"/>
      <c r="H10506" s="17" t="s">
        <v>20919</v>
      </c>
      <c r="I10506" s="17"/>
      <c r="J10506" s="17" t="s">
        <v>21313</v>
      </c>
      <c r="K10506" s="17"/>
      <c r="L10506" s="17" t="s">
        <v>22378</v>
      </c>
      <c r="M10506" s="17"/>
      <c r="N10506" s="17" t="s">
        <v>22459</v>
      </c>
      <c r="O10506" s="17"/>
      <c r="P10506" s="17" t="s">
        <v>44950</v>
      </c>
      <c r="Q10506" s="17"/>
      <c r="R10506" s="25" t="str">
        <f>HYPERLINK("https://ictv.global/taxonomy/taxondetails?taxnode_id=202317097","Hihlwovirus montiscola")</f>
        <v>Hihlwovirus montiscola</v>
      </c>
      <c r="S10506" s="18" t="s">
        <v>30</v>
      </c>
      <c r="T10506" s="18" t="s">
        <v>44979</v>
      </c>
      <c r="U10506" s="18"/>
      <c r="V10506" s="18" t="s">
        <v>44979</v>
      </c>
      <c r="W10506" s="18" t="s">
        <v>44980</v>
      </c>
      <c r="X10506" s="18" t="s">
        <v>35</v>
      </c>
      <c r="Y10506" s="18" t="s">
        <v>17171</v>
      </c>
      <c r="Z10506" s="18" t="s">
        <v>24637</v>
      </c>
      <c r="AA10506" s="21" t="str">
        <f>HYPERLINK("https://www.ncbi.nlm.nih.gov/nuccore/MZ679627","NCBI Nucleotide")</f>
        <v>NCBI Nucleotide</v>
      </c>
    </row>
    <row r="10507" spans="1:27" x14ac:dyDescent="0.35">
      <c r="A10507">
        <v>1026775</v>
      </c>
      <c r="B10507">
        <v>9832</v>
      </c>
      <c r="C10507">
        <v>1</v>
      </c>
      <c r="D10507" s="17" t="s">
        <v>17166</v>
      </c>
      <c r="E10507" s="17"/>
      <c r="F10507" s="17" t="s">
        <v>17246</v>
      </c>
      <c r="G10507" s="17"/>
      <c r="H10507" s="17" t="s">
        <v>20919</v>
      </c>
      <c r="I10507" s="17"/>
      <c r="J10507" s="17" t="s">
        <v>21313</v>
      </c>
      <c r="K10507" s="17"/>
      <c r="L10507" s="17" t="s">
        <v>22378</v>
      </c>
      <c r="M10507" s="17"/>
      <c r="N10507" s="17" t="s">
        <v>22459</v>
      </c>
      <c r="O10507" s="17"/>
      <c r="P10507" s="17" t="s">
        <v>44950</v>
      </c>
      <c r="Q10507" s="17"/>
      <c r="R10507" s="25" t="str">
        <f>HYPERLINK("https://ictv.global/taxonomy/taxondetails?taxnode_id=202317098","Hihlwovirus montishabitans")</f>
        <v>Hihlwovirus montishabitans</v>
      </c>
      <c r="S10507" s="18" t="s">
        <v>30</v>
      </c>
      <c r="T10507" s="18" t="s">
        <v>44981</v>
      </c>
      <c r="U10507" s="18"/>
      <c r="V10507" s="18" t="s">
        <v>44981</v>
      </c>
      <c r="W10507" s="18" t="s">
        <v>44982</v>
      </c>
      <c r="X10507" s="18" t="s">
        <v>35</v>
      </c>
      <c r="Y10507" s="18" t="s">
        <v>17171</v>
      </c>
      <c r="Z10507" s="18" t="s">
        <v>24637</v>
      </c>
      <c r="AA10507" s="21" t="str">
        <f>HYPERLINK("https://www.ncbi.nlm.nih.gov/nuccore/MZ679769","NCBI Nucleotide")</f>
        <v>NCBI Nucleotide</v>
      </c>
    </row>
    <row r="10508" spans="1:27" x14ac:dyDescent="0.35">
      <c r="A10508">
        <v>1026776</v>
      </c>
      <c r="B10508">
        <v>9833</v>
      </c>
      <c r="C10508">
        <v>1</v>
      </c>
      <c r="D10508" s="17" t="s">
        <v>17166</v>
      </c>
      <c r="E10508" s="17"/>
      <c r="F10508" s="17" t="s">
        <v>17246</v>
      </c>
      <c r="G10508" s="17"/>
      <c r="H10508" s="17" t="s">
        <v>20919</v>
      </c>
      <c r="I10508" s="17"/>
      <c r="J10508" s="17" t="s">
        <v>21313</v>
      </c>
      <c r="K10508" s="17"/>
      <c r="L10508" s="17" t="s">
        <v>22378</v>
      </c>
      <c r="M10508" s="17"/>
      <c r="N10508" s="17" t="s">
        <v>22459</v>
      </c>
      <c r="O10508" s="17"/>
      <c r="P10508" s="17" t="s">
        <v>44950</v>
      </c>
      <c r="Q10508" s="17"/>
      <c r="R10508" s="25" t="str">
        <f>HYPERLINK("https://ictv.global/taxonomy/taxondetails?taxnode_id=202317099","Hihlwovirus nemoriscola")</f>
        <v>Hihlwovirus nemoriscola</v>
      </c>
      <c r="S10508" s="18" t="s">
        <v>30</v>
      </c>
      <c r="T10508" s="18" t="s">
        <v>44983</v>
      </c>
      <c r="U10508" s="18"/>
      <c r="V10508" s="18" t="s">
        <v>44983</v>
      </c>
      <c r="W10508" s="18" t="s">
        <v>44984</v>
      </c>
      <c r="X10508" s="18" t="s">
        <v>35</v>
      </c>
      <c r="Y10508" s="18" t="s">
        <v>17171</v>
      </c>
      <c r="Z10508" s="18" t="s">
        <v>24637</v>
      </c>
      <c r="AA10508" s="21" t="str">
        <f>HYPERLINK("https://www.ncbi.nlm.nih.gov/nuccore/MZ679522","NCBI Nucleotide")</f>
        <v>NCBI Nucleotide</v>
      </c>
    </row>
    <row r="10509" spans="1:27" x14ac:dyDescent="0.35">
      <c r="A10509">
        <v>1026777</v>
      </c>
      <c r="B10509">
        <v>9834</v>
      </c>
      <c r="C10509">
        <v>1</v>
      </c>
      <c r="D10509" s="17" t="s">
        <v>17166</v>
      </c>
      <c r="E10509" s="17"/>
      <c r="F10509" s="17" t="s">
        <v>17246</v>
      </c>
      <c r="G10509" s="17"/>
      <c r="H10509" s="17" t="s">
        <v>20919</v>
      </c>
      <c r="I10509" s="17"/>
      <c r="J10509" s="17" t="s">
        <v>21313</v>
      </c>
      <c r="K10509" s="17"/>
      <c r="L10509" s="17" t="s">
        <v>22378</v>
      </c>
      <c r="M10509" s="17"/>
      <c r="N10509" s="17" t="s">
        <v>22459</v>
      </c>
      <c r="O10509" s="17"/>
      <c r="P10509" s="17" t="s">
        <v>44950</v>
      </c>
      <c r="Q10509" s="17"/>
      <c r="R10509" s="25" t="str">
        <f>HYPERLINK("https://ictv.global/taxonomy/taxondetails?taxnode_id=202317100","Hihlwovirus nemorisenecus")</f>
        <v>Hihlwovirus nemorisenecus</v>
      </c>
      <c r="S10509" s="18" t="s">
        <v>30</v>
      </c>
      <c r="T10509" s="18" t="s">
        <v>44985</v>
      </c>
      <c r="U10509" s="18"/>
      <c r="V10509" s="18" t="s">
        <v>44985</v>
      </c>
      <c r="W10509" s="18" t="s">
        <v>44986</v>
      </c>
      <c r="X10509" s="18" t="s">
        <v>35</v>
      </c>
      <c r="Y10509" s="18" t="s">
        <v>17171</v>
      </c>
      <c r="Z10509" s="18" t="s">
        <v>24637</v>
      </c>
      <c r="AA10509" s="21" t="str">
        <f>HYPERLINK("https://www.ncbi.nlm.nih.gov/nuccore/MZ680339","NCBI Nucleotide")</f>
        <v>NCBI Nucleotide</v>
      </c>
    </row>
    <row r="10510" spans="1:27" x14ac:dyDescent="0.35">
      <c r="A10510">
        <v>1026778</v>
      </c>
      <c r="B10510">
        <v>9835</v>
      </c>
      <c r="C10510">
        <v>1</v>
      </c>
      <c r="D10510" s="17" t="s">
        <v>17166</v>
      </c>
      <c r="E10510" s="17"/>
      <c r="F10510" s="17" t="s">
        <v>17246</v>
      </c>
      <c r="G10510" s="17"/>
      <c r="H10510" s="17" t="s">
        <v>20919</v>
      </c>
      <c r="I10510" s="17"/>
      <c r="J10510" s="17" t="s">
        <v>21313</v>
      </c>
      <c r="K10510" s="17"/>
      <c r="L10510" s="17" t="s">
        <v>22378</v>
      </c>
      <c r="M10510" s="17"/>
      <c r="N10510" s="17" t="s">
        <v>22459</v>
      </c>
      <c r="O10510" s="17"/>
      <c r="P10510" s="17" t="s">
        <v>44950</v>
      </c>
      <c r="Q10510" s="17"/>
      <c r="R10510" s="25" t="str">
        <f>HYPERLINK("https://ictv.global/taxonomy/taxondetails?taxnode_id=202317101","Hihlwovirus nemorisvivens")</f>
        <v>Hihlwovirus nemorisvivens</v>
      </c>
      <c r="S10510" s="18" t="s">
        <v>30</v>
      </c>
      <c r="T10510" s="18" t="s">
        <v>44987</v>
      </c>
      <c r="U10510" s="18"/>
      <c r="V10510" s="18" t="s">
        <v>44987</v>
      </c>
      <c r="W10510" s="18" t="s">
        <v>44988</v>
      </c>
      <c r="X10510" s="18" t="s">
        <v>35</v>
      </c>
      <c r="Y10510" s="18" t="s">
        <v>17171</v>
      </c>
      <c r="Z10510" s="18" t="s">
        <v>24637</v>
      </c>
      <c r="AA10510" s="21" t="str">
        <f>HYPERLINK("https://www.ncbi.nlm.nih.gov/nuccore/MZ679475","NCBI Nucleotide")</f>
        <v>NCBI Nucleotide</v>
      </c>
    </row>
    <row r="10511" spans="1:27" x14ac:dyDescent="0.35">
      <c r="A10511">
        <v>1026779</v>
      </c>
      <c r="B10511">
        <v>9836</v>
      </c>
      <c r="C10511">
        <v>1</v>
      </c>
      <c r="D10511" s="17" t="s">
        <v>17166</v>
      </c>
      <c r="E10511" s="17"/>
      <c r="F10511" s="17" t="s">
        <v>17246</v>
      </c>
      <c r="G10511" s="17"/>
      <c r="H10511" s="17" t="s">
        <v>20919</v>
      </c>
      <c r="I10511" s="17"/>
      <c r="J10511" s="17" t="s">
        <v>21313</v>
      </c>
      <c r="K10511" s="17"/>
      <c r="L10511" s="17" t="s">
        <v>22378</v>
      </c>
      <c r="M10511" s="17"/>
      <c r="N10511" s="17" t="s">
        <v>22459</v>
      </c>
      <c r="O10511" s="17"/>
      <c r="P10511" s="17" t="s">
        <v>44950</v>
      </c>
      <c r="Q10511" s="17"/>
      <c r="R10511" s="25" t="str">
        <f>HYPERLINK("https://ictv.global/taxonomy/taxondetails?taxnode_id=202317102","Hihlwovirus pedadaptatum")</f>
        <v>Hihlwovirus pedadaptatum</v>
      </c>
      <c r="S10511" s="18" t="s">
        <v>30</v>
      </c>
      <c r="T10511" s="18" t="s">
        <v>44989</v>
      </c>
      <c r="U10511" s="18"/>
      <c r="V10511" s="18"/>
      <c r="W10511" s="18" t="s">
        <v>44990</v>
      </c>
      <c r="X10511" s="18" t="s">
        <v>35</v>
      </c>
      <c r="Y10511" s="18" t="s">
        <v>17171</v>
      </c>
      <c r="Z10511" s="18" t="s">
        <v>24637</v>
      </c>
      <c r="AA10511" s="21" t="str">
        <f>HYPERLINK("https://www.ncbi.nlm.nih.gov/nuccore/CASDWV010001736","NCBI Nucleotide")</f>
        <v>NCBI Nucleotide</v>
      </c>
    </row>
    <row r="10512" spans="1:27" x14ac:dyDescent="0.35">
      <c r="A10512">
        <v>1026780</v>
      </c>
      <c r="B10512">
        <v>9837</v>
      </c>
      <c r="C10512">
        <v>1</v>
      </c>
      <c r="D10512" s="17" t="s">
        <v>17166</v>
      </c>
      <c r="E10512" s="17"/>
      <c r="F10512" s="17" t="s">
        <v>17246</v>
      </c>
      <c r="G10512" s="17"/>
      <c r="H10512" s="17" t="s">
        <v>20919</v>
      </c>
      <c r="I10512" s="17"/>
      <c r="J10512" s="17" t="s">
        <v>21313</v>
      </c>
      <c r="K10512" s="17"/>
      <c r="L10512" s="17" t="s">
        <v>22378</v>
      </c>
      <c r="M10512" s="17"/>
      <c r="N10512" s="17" t="s">
        <v>22459</v>
      </c>
      <c r="O10512" s="17"/>
      <c r="P10512" s="17" t="s">
        <v>44950</v>
      </c>
      <c r="Q10512" s="17"/>
      <c r="R10512" s="25" t="str">
        <f>HYPERLINK("https://ictv.global/taxonomy/taxondetails?taxnode_id=202317103","Hihlwovirus radicivivens")</f>
        <v>Hihlwovirus radicivivens</v>
      </c>
      <c r="S10512" s="18" t="s">
        <v>30</v>
      </c>
      <c r="T10512" s="18" t="s">
        <v>44991</v>
      </c>
      <c r="U10512" s="18"/>
      <c r="V10512" s="18"/>
      <c r="W10512" s="18" t="s">
        <v>44992</v>
      </c>
      <c r="X10512" s="18" t="s">
        <v>35</v>
      </c>
      <c r="Y10512" s="18" t="s">
        <v>17171</v>
      </c>
      <c r="Z10512" s="18" t="s">
        <v>24637</v>
      </c>
      <c r="AA10512" s="21" t="str">
        <f>HYPERLINK("https://www.ncbi.nlm.nih.gov/nuccore/CASDWV010003516","NCBI Nucleotide")</f>
        <v>NCBI Nucleotide</v>
      </c>
    </row>
    <row r="10513" spans="1:27" x14ac:dyDescent="0.35">
      <c r="A10513">
        <v>1026781</v>
      </c>
      <c r="B10513">
        <v>9838</v>
      </c>
      <c r="C10513">
        <v>1</v>
      </c>
      <c r="D10513" s="17" t="s">
        <v>17166</v>
      </c>
      <c r="E10513" s="17"/>
      <c r="F10513" s="17" t="s">
        <v>17246</v>
      </c>
      <c r="G10513" s="17"/>
      <c r="H10513" s="17" t="s">
        <v>20919</v>
      </c>
      <c r="I10513" s="17"/>
      <c r="J10513" s="17" t="s">
        <v>21313</v>
      </c>
      <c r="K10513" s="17"/>
      <c r="L10513" s="17" t="s">
        <v>22378</v>
      </c>
      <c r="M10513" s="17"/>
      <c r="N10513" s="17" t="s">
        <v>22459</v>
      </c>
      <c r="O10513" s="17"/>
      <c r="P10513" s="17" t="s">
        <v>44950</v>
      </c>
      <c r="Q10513" s="17"/>
      <c r="R10513" s="25" t="str">
        <f>HYPERLINK("https://ictv.global/taxonomy/taxondetails?taxnode_id=202317104","Hihlwovirus terrivivens")</f>
        <v>Hihlwovirus terrivivens</v>
      </c>
      <c r="S10513" s="18" t="s">
        <v>30</v>
      </c>
      <c r="T10513" s="18" t="s">
        <v>44993</v>
      </c>
      <c r="U10513" s="18"/>
      <c r="V10513" s="18"/>
      <c r="W10513" s="18" t="s">
        <v>44994</v>
      </c>
      <c r="X10513" s="18" t="s">
        <v>35</v>
      </c>
      <c r="Y10513" s="18" t="s">
        <v>17171</v>
      </c>
      <c r="Z10513" s="18" t="s">
        <v>24637</v>
      </c>
      <c r="AA10513" s="21" t="str">
        <f>HYPERLINK("https://www.ncbi.nlm.nih.gov/nuccore/CASDWV010003363","NCBI Nucleotide")</f>
        <v>NCBI Nucleotide</v>
      </c>
    </row>
    <row r="10514" spans="1:27" x14ac:dyDescent="0.35">
      <c r="A10514">
        <v>1026782</v>
      </c>
      <c r="B10514">
        <v>9839</v>
      </c>
      <c r="C10514">
        <v>1</v>
      </c>
      <c r="D10514" s="17" t="s">
        <v>17166</v>
      </c>
      <c r="E10514" s="17"/>
      <c r="F10514" s="17" t="s">
        <v>17246</v>
      </c>
      <c r="G10514" s="17"/>
      <c r="H10514" s="17" t="s">
        <v>20919</v>
      </c>
      <c r="I10514" s="17"/>
      <c r="J10514" s="17" t="s">
        <v>21313</v>
      </c>
      <c r="K10514" s="17"/>
      <c r="L10514" s="17" t="s">
        <v>22378</v>
      </c>
      <c r="M10514" s="17"/>
      <c r="N10514" s="17" t="s">
        <v>22459</v>
      </c>
      <c r="O10514" s="17"/>
      <c r="P10514" s="17" t="s">
        <v>44995</v>
      </c>
      <c r="Q10514" s="17"/>
      <c r="R10514" s="25" t="str">
        <f>HYPERLINK("https://ictv.global/taxonomy/taxondetails?taxnode_id=202317105","Hilfovirus faecivivens")</f>
        <v>Hilfovirus faecivivens</v>
      </c>
      <c r="S10514" s="18" t="s">
        <v>30</v>
      </c>
      <c r="T10514" s="18" t="s">
        <v>44996</v>
      </c>
      <c r="U10514" s="18"/>
      <c r="V10514" s="18" t="s">
        <v>44996</v>
      </c>
      <c r="W10514" s="18" t="s">
        <v>44997</v>
      </c>
      <c r="X10514" s="18" t="s">
        <v>35</v>
      </c>
      <c r="Y10514" s="18" t="s">
        <v>17171</v>
      </c>
      <c r="Z10514" s="18" t="s">
        <v>24637</v>
      </c>
      <c r="AA10514" s="21" t="str">
        <f>HYPERLINK("https://www.ncbi.nlm.nih.gov/nuccore/MZ679551","NCBI Nucleotide")</f>
        <v>NCBI Nucleotide</v>
      </c>
    </row>
    <row r="10515" spans="1:27" x14ac:dyDescent="0.35">
      <c r="A10515">
        <v>1026841</v>
      </c>
      <c r="B10515">
        <v>9840</v>
      </c>
      <c r="C10515">
        <v>1</v>
      </c>
      <c r="D10515" s="17" t="s">
        <v>17166</v>
      </c>
      <c r="E10515" s="17"/>
      <c r="F10515" s="17" t="s">
        <v>17246</v>
      </c>
      <c r="G10515" s="17"/>
      <c r="H10515" s="17" t="s">
        <v>20919</v>
      </c>
      <c r="I10515" s="17"/>
      <c r="J10515" s="17" t="s">
        <v>21313</v>
      </c>
      <c r="K10515" s="17"/>
      <c r="L10515" s="17" t="s">
        <v>22378</v>
      </c>
      <c r="M10515" s="17"/>
      <c r="N10515" s="17" t="s">
        <v>22459</v>
      </c>
      <c r="O10515" s="17"/>
      <c r="P10515" s="17" t="s">
        <v>44998</v>
      </c>
      <c r="Q10515" s="17"/>
      <c r="R10515" s="25" t="str">
        <f>HYPERLINK("https://ictv.global/taxonomy/taxondetails?taxnode_id=202317106","Hirbovirus edaphohabitans")</f>
        <v>Hirbovirus edaphohabitans</v>
      </c>
      <c r="S10515" s="18" t="s">
        <v>30</v>
      </c>
      <c r="T10515" s="18" t="s">
        <v>44999</v>
      </c>
      <c r="U10515" s="18"/>
      <c r="V10515" s="18"/>
      <c r="W10515" s="18" t="s">
        <v>45000</v>
      </c>
      <c r="X10515" s="18" t="s">
        <v>35</v>
      </c>
      <c r="Y10515" s="18" t="s">
        <v>17171</v>
      </c>
      <c r="Z10515" s="18" t="s">
        <v>24637</v>
      </c>
      <c r="AA10515" s="21" t="str">
        <f>HYPERLINK("https://www.ncbi.nlm.nih.gov/nuccore/CASDWV010003096","NCBI Nucleotide")</f>
        <v>NCBI Nucleotide</v>
      </c>
    </row>
    <row r="10516" spans="1:27" x14ac:dyDescent="0.35">
      <c r="A10516">
        <v>1026842</v>
      </c>
      <c r="B10516">
        <v>9841</v>
      </c>
      <c r="C10516">
        <v>1</v>
      </c>
      <c r="D10516" s="17" t="s">
        <v>17166</v>
      </c>
      <c r="E10516" s="17"/>
      <c r="F10516" s="17" t="s">
        <v>17246</v>
      </c>
      <c r="G10516" s="17"/>
      <c r="H10516" s="17" t="s">
        <v>20919</v>
      </c>
      <c r="I10516" s="17"/>
      <c r="J10516" s="17" t="s">
        <v>21313</v>
      </c>
      <c r="K10516" s="17"/>
      <c r="L10516" s="17" t="s">
        <v>22378</v>
      </c>
      <c r="M10516" s="17"/>
      <c r="N10516" s="17" t="s">
        <v>22459</v>
      </c>
      <c r="O10516" s="17"/>
      <c r="P10516" s="17" t="s">
        <v>44998</v>
      </c>
      <c r="Q10516" s="17"/>
      <c r="R10516" s="25" t="str">
        <f>HYPERLINK("https://ictv.global/taxonomy/taxondetails?taxnode_id=202317107","Hirbovirus messivivens")</f>
        <v>Hirbovirus messivivens</v>
      </c>
      <c r="S10516" s="18" t="s">
        <v>30</v>
      </c>
      <c r="T10516" s="18" t="s">
        <v>45001</v>
      </c>
      <c r="U10516" s="18"/>
      <c r="V10516" s="18"/>
      <c r="W10516" s="18" t="s">
        <v>45002</v>
      </c>
      <c r="X10516" s="18" t="s">
        <v>35</v>
      </c>
      <c r="Y10516" s="18" t="s">
        <v>17171</v>
      </c>
      <c r="Z10516" s="18" t="s">
        <v>24637</v>
      </c>
      <c r="AA10516" s="21" t="str">
        <f>HYPERLINK("https://www.ncbi.nlm.nih.gov/nuccore/CASDWV010001470","NCBI Nucleotide")</f>
        <v>NCBI Nucleotide</v>
      </c>
    </row>
    <row r="10517" spans="1:27" x14ac:dyDescent="0.35">
      <c r="A10517">
        <v>1026843</v>
      </c>
      <c r="B10517">
        <v>9842</v>
      </c>
      <c r="C10517">
        <v>1</v>
      </c>
      <c r="D10517" s="17" t="s">
        <v>17166</v>
      </c>
      <c r="E10517" s="17"/>
      <c r="F10517" s="17" t="s">
        <v>17246</v>
      </c>
      <c r="G10517" s="17"/>
      <c r="H10517" s="17" t="s">
        <v>20919</v>
      </c>
      <c r="I10517" s="17"/>
      <c r="J10517" s="17" t="s">
        <v>21313</v>
      </c>
      <c r="K10517" s="17"/>
      <c r="L10517" s="17" t="s">
        <v>22378</v>
      </c>
      <c r="M10517" s="17"/>
      <c r="N10517" s="17" t="s">
        <v>22459</v>
      </c>
      <c r="O10517" s="17"/>
      <c r="P10517" s="17" t="s">
        <v>44998</v>
      </c>
      <c r="Q10517" s="17"/>
      <c r="R10517" s="25" t="str">
        <f>HYPERLINK("https://ictv.global/taxonomy/taxondetails?taxnode_id=202317108","Hirbovirus pedadaptatum")</f>
        <v>Hirbovirus pedadaptatum</v>
      </c>
      <c r="S10517" s="18" t="s">
        <v>30</v>
      </c>
      <c r="T10517" s="18" t="s">
        <v>45003</v>
      </c>
      <c r="U10517" s="18"/>
      <c r="V10517" s="18"/>
      <c r="W10517" s="18" t="s">
        <v>45004</v>
      </c>
      <c r="X10517" s="18" t="s">
        <v>35</v>
      </c>
      <c r="Y10517" s="18" t="s">
        <v>17171</v>
      </c>
      <c r="Z10517" s="18" t="s">
        <v>24637</v>
      </c>
      <c r="AA10517" s="21" t="str">
        <f>HYPERLINK("https://www.ncbi.nlm.nih.gov/nuccore/CASDWV010001754","NCBI Nucleotide")</f>
        <v>NCBI Nucleotide</v>
      </c>
    </row>
    <row r="10518" spans="1:27" x14ac:dyDescent="0.35">
      <c r="A10518">
        <v>1026848</v>
      </c>
      <c r="B10518">
        <v>9843</v>
      </c>
      <c r="C10518">
        <v>1</v>
      </c>
      <c r="D10518" s="17" t="s">
        <v>17166</v>
      </c>
      <c r="E10518" s="17"/>
      <c r="F10518" s="17" t="s">
        <v>17246</v>
      </c>
      <c r="G10518" s="17"/>
      <c r="H10518" s="17" t="s">
        <v>20919</v>
      </c>
      <c r="I10518" s="17"/>
      <c r="J10518" s="17" t="s">
        <v>21313</v>
      </c>
      <c r="K10518" s="17"/>
      <c r="L10518" s="17" t="s">
        <v>22378</v>
      </c>
      <c r="M10518" s="17"/>
      <c r="N10518" s="17" t="s">
        <v>22459</v>
      </c>
      <c r="O10518" s="17"/>
      <c r="P10518" s="17" t="s">
        <v>45005</v>
      </c>
      <c r="Q10518" s="17"/>
      <c r="R10518" s="25" t="str">
        <f>HYPERLINK("https://ictv.global/taxonomy/taxondetails?taxnode_id=202317109","Hisolavirus faecicola")</f>
        <v>Hisolavirus faecicola</v>
      </c>
      <c r="S10518" s="18" t="s">
        <v>30</v>
      </c>
      <c r="T10518" s="18" t="s">
        <v>45006</v>
      </c>
      <c r="U10518" s="18"/>
      <c r="V10518" s="18" t="s">
        <v>45006</v>
      </c>
      <c r="W10518" s="18" t="s">
        <v>45007</v>
      </c>
      <c r="X10518" s="18" t="s">
        <v>35</v>
      </c>
      <c r="Y10518" s="18" t="s">
        <v>17171</v>
      </c>
      <c r="Z10518" s="18" t="s">
        <v>24637</v>
      </c>
      <c r="AA10518" s="21" t="str">
        <f>HYPERLINK("https://www.ncbi.nlm.nih.gov/nuccore/MZ679760","NCBI Nucleotide")</f>
        <v>NCBI Nucleotide</v>
      </c>
    </row>
    <row r="10519" spans="1:27" x14ac:dyDescent="0.35">
      <c r="A10519">
        <v>1009927</v>
      </c>
      <c r="B10519">
        <v>9844</v>
      </c>
      <c r="C10519">
        <v>1</v>
      </c>
      <c r="D10519" s="17" t="s">
        <v>17166</v>
      </c>
      <c r="E10519" s="17"/>
      <c r="F10519" s="17" t="s">
        <v>17246</v>
      </c>
      <c r="G10519" s="17"/>
      <c r="H10519" s="17" t="s">
        <v>20919</v>
      </c>
      <c r="I10519" s="17"/>
      <c r="J10519" s="17" t="s">
        <v>21313</v>
      </c>
      <c r="K10519" s="17"/>
      <c r="L10519" s="17" t="s">
        <v>22378</v>
      </c>
      <c r="M10519" s="17"/>
      <c r="N10519" s="17" t="s">
        <v>22459</v>
      </c>
      <c r="O10519" s="17"/>
      <c r="P10519" s="17" t="s">
        <v>45008</v>
      </c>
      <c r="Q10519" s="17"/>
      <c r="R10519" s="25" t="str">
        <f>HYPERLINK("https://ictv.global/taxonomy/taxondetails?taxnode_id=202311217","Hodnevirus agradaptatum")</f>
        <v>Hodnevirus agradaptatum</v>
      </c>
      <c r="S10519" s="18" t="s">
        <v>30</v>
      </c>
      <c r="T10519" s="18" t="s">
        <v>22695</v>
      </c>
      <c r="U10519" s="18"/>
      <c r="V10519" s="18"/>
      <c r="W10519" s="18" t="s">
        <v>22696</v>
      </c>
      <c r="X10519" s="18" t="s">
        <v>35</v>
      </c>
      <c r="Y10519" s="18" t="s">
        <v>17171</v>
      </c>
      <c r="Z10519" s="18" t="s">
        <v>697</v>
      </c>
      <c r="AA10519" s="21" t="str">
        <f>HYPERLINK("https://www.ncbi.nlm.nih.gov/nuccore/BK014010","NCBI Nucleotide")</f>
        <v>NCBI Nucleotide</v>
      </c>
    </row>
    <row r="10520" spans="1:27" x14ac:dyDescent="0.35">
      <c r="A10520">
        <v>1009928</v>
      </c>
      <c r="B10520">
        <v>9845</v>
      </c>
      <c r="C10520">
        <v>1</v>
      </c>
      <c r="D10520" s="17" t="s">
        <v>17166</v>
      </c>
      <c r="E10520" s="17"/>
      <c r="F10520" s="17" t="s">
        <v>17246</v>
      </c>
      <c r="G10520" s="17"/>
      <c r="H10520" s="17" t="s">
        <v>20919</v>
      </c>
      <c r="I10520" s="17"/>
      <c r="J10520" s="17" t="s">
        <v>21313</v>
      </c>
      <c r="K10520" s="17"/>
      <c r="L10520" s="17" t="s">
        <v>22378</v>
      </c>
      <c r="M10520" s="17"/>
      <c r="N10520" s="17" t="s">
        <v>22459</v>
      </c>
      <c r="O10520" s="17"/>
      <c r="P10520" s="17" t="s">
        <v>45008</v>
      </c>
      <c r="Q10520" s="17"/>
      <c r="R10520" s="25" t="str">
        <f>HYPERLINK("https://ictv.global/taxonomy/taxondetails?taxnode_id=202311219","Hodnevirus agrenecus")</f>
        <v>Hodnevirus agrenecus</v>
      </c>
      <c r="S10520" s="18" t="s">
        <v>30</v>
      </c>
      <c r="T10520" s="18" t="s">
        <v>22697</v>
      </c>
      <c r="U10520" s="18"/>
      <c r="V10520" s="18"/>
      <c r="W10520" s="18" t="s">
        <v>22698</v>
      </c>
      <c r="X10520" s="18" t="s">
        <v>35</v>
      </c>
      <c r="Y10520" s="18" t="s">
        <v>17171</v>
      </c>
      <c r="Z10520" s="18" t="s">
        <v>697</v>
      </c>
      <c r="AA10520" s="21" t="str">
        <f>HYPERLINK("https://www.ncbi.nlm.nih.gov/nuccore/BK013843","NCBI Nucleotide")</f>
        <v>NCBI Nucleotide</v>
      </c>
    </row>
    <row r="10521" spans="1:27" x14ac:dyDescent="0.35">
      <c r="A10521">
        <v>1009889</v>
      </c>
      <c r="B10521">
        <v>9846</v>
      </c>
      <c r="C10521">
        <v>1</v>
      </c>
      <c r="D10521" s="17" t="s">
        <v>17166</v>
      </c>
      <c r="E10521" s="17"/>
      <c r="F10521" s="17" t="s">
        <v>17246</v>
      </c>
      <c r="G10521" s="17"/>
      <c r="H10521" s="17" t="s">
        <v>20919</v>
      </c>
      <c r="I10521" s="17"/>
      <c r="J10521" s="17" t="s">
        <v>21313</v>
      </c>
      <c r="K10521" s="17"/>
      <c r="L10521" s="17" t="s">
        <v>22378</v>
      </c>
      <c r="M10521" s="17"/>
      <c r="N10521" s="17" t="s">
        <v>22459</v>
      </c>
      <c r="O10521" s="17"/>
      <c r="P10521" s="17" t="s">
        <v>45008</v>
      </c>
      <c r="Q10521" s="17"/>
      <c r="R10521" s="25" t="str">
        <f>HYPERLINK("https://ictv.global/taxonomy/taxondetails?taxnode_id=202311072","Hodnevirus agricola")</f>
        <v>Hodnevirus agricola</v>
      </c>
      <c r="S10521" s="18" t="s">
        <v>30</v>
      </c>
      <c r="T10521" s="18" t="s">
        <v>22609</v>
      </c>
      <c r="U10521" s="18"/>
      <c r="V10521" s="18"/>
      <c r="W10521" s="18" t="s">
        <v>22610</v>
      </c>
      <c r="X10521" s="18" t="s">
        <v>35</v>
      </c>
      <c r="Y10521" s="18" t="s">
        <v>17171</v>
      </c>
      <c r="Z10521" s="18" t="s">
        <v>697</v>
      </c>
      <c r="AA10521" s="21" t="str">
        <f>HYPERLINK("https://www.ncbi.nlm.nih.gov/nuccore/BK014044","NCBI Nucleotide")</f>
        <v>NCBI Nucleotide</v>
      </c>
    </row>
    <row r="10522" spans="1:27" x14ac:dyDescent="0.35">
      <c r="A10522">
        <v>1009930</v>
      </c>
      <c r="B10522">
        <v>9847</v>
      </c>
      <c r="C10522">
        <v>1</v>
      </c>
      <c r="D10522" s="17" t="s">
        <v>17166</v>
      </c>
      <c r="E10522" s="17"/>
      <c r="F10522" s="17" t="s">
        <v>17246</v>
      </c>
      <c r="G10522" s="17"/>
      <c r="H10522" s="17" t="s">
        <v>20919</v>
      </c>
      <c r="I10522" s="17"/>
      <c r="J10522" s="17" t="s">
        <v>21313</v>
      </c>
      <c r="K10522" s="17"/>
      <c r="L10522" s="17" t="s">
        <v>22378</v>
      </c>
      <c r="M10522" s="17"/>
      <c r="N10522" s="17" t="s">
        <v>22459</v>
      </c>
      <c r="O10522" s="17"/>
      <c r="P10522" s="17" t="s">
        <v>45008</v>
      </c>
      <c r="Q10522" s="17"/>
      <c r="R10522" s="25" t="str">
        <f>HYPERLINK("https://ictv.global/taxonomy/taxondetails?taxnode_id=202311220","Hodnevirus agrihabitans")</f>
        <v>Hodnevirus agrihabitans</v>
      </c>
      <c r="S10522" s="18" t="s">
        <v>30</v>
      </c>
      <c r="T10522" s="18" t="s">
        <v>22701</v>
      </c>
      <c r="U10522" s="18"/>
      <c r="V10522" s="18"/>
      <c r="W10522" s="18" t="s">
        <v>22702</v>
      </c>
      <c r="X10522" s="18" t="s">
        <v>35</v>
      </c>
      <c r="Y10522" s="18" t="s">
        <v>17171</v>
      </c>
      <c r="Z10522" s="18" t="s">
        <v>697</v>
      </c>
      <c r="AA10522" s="21" t="str">
        <f>HYPERLINK("https://www.ncbi.nlm.nih.gov/nuccore/BK013463","NCBI Nucleotide")</f>
        <v>NCBI Nucleotide</v>
      </c>
    </row>
    <row r="10523" spans="1:27" x14ac:dyDescent="0.35">
      <c r="A10523">
        <v>1009931</v>
      </c>
      <c r="B10523">
        <v>9848</v>
      </c>
      <c r="C10523">
        <v>1</v>
      </c>
      <c r="D10523" s="17" t="s">
        <v>17166</v>
      </c>
      <c r="E10523" s="17"/>
      <c r="F10523" s="17" t="s">
        <v>17246</v>
      </c>
      <c r="G10523" s="17"/>
      <c r="H10523" s="17" t="s">
        <v>20919</v>
      </c>
      <c r="I10523" s="17"/>
      <c r="J10523" s="17" t="s">
        <v>21313</v>
      </c>
      <c r="K10523" s="17"/>
      <c r="L10523" s="17" t="s">
        <v>22378</v>
      </c>
      <c r="M10523" s="17"/>
      <c r="N10523" s="17" t="s">
        <v>22459</v>
      </c>
      <c r="O10523" s="17"/>
      <c r="P10523" s="17" t="s">
        <v>45008</v>
      </c>
      <c r="Q10523" s="17"/>
      <c r="R10523" s="25" t="str">
        <f>HYPERLINK("https://ictv.global/taxonomy/taxondetails?taxnode_id=202311221","Hodnevirus agrivicinum")</f>
        <v>Hodnevirus agrivicinum</v>
      </c>
      <c r="S10523" s="18" t="s">
        <v>30</v>
      </c>
      <c r="T10523" s="18" t="s">
        <v>22703</v>
      </c>
      <c r="U10523" s="18"/>
      <c r="V10523" s="18"/>
      <c r="W10523" s="18" t="s">
        <v>22704</v>
      </c>
      <c r="X10523" s="18" t="s">
        <v>35</v>
      </c>
      <c r="Y10523" s="18" t="s">
        <v>17171</v>
      </c>
      <c r="Z10523" s="18" t="s">
        <v>697</v>
      </c>
      <c r="AA10523" s="21" t="str">
        <f>HYPERLINK("https://www.ncbi.nlm.nih.gov/nuccore/BK013816","NCBI Nucleotide")</f>
        <v>NCBI Nucleotide</v>
      </c>
    </row>
    <row r="10524" spans="1:27" x14ac:dyDescent="0.35">
      <c r="A10524">
        <v>1009932</v>
      </c>
      <c r="B10524">
        <v>9849</v>
      </c>
      <c r="C10524">
        <v>1</v>
      </c>
      <c r="D10524" s="17" t="s">
        <v>17166</v>
      </c>
      <c r="E10524" s="17"/>
      <c r="F10524" s="17" t="s">
        <v>17246</v>
      </c>
      <c r="G10524" s="17"/>
      <c r="H10524" s="17" t="s">
        <v>20919</v>
      </c>
      <c r="I10524" s="17"/>
      <c r="J10524" s="17" t="s">
        <v>21313</v>
      </c>
      <c r="K10524" s="17"/>
      <c r="L10524" s="17" t="s">
        <v>22378</v>
      </c>
      <c r="M10524" s="17"/>
      <c r="N10524" s="17" t="s">
        <v>22459</v>
      </c>
      <c r="O10524" s="17"/>
      <c r="P10524" s="17" t="s">
        <v>45008</v>
      </c>
      <c r="Q10524" s="17"/>
      <c r="R10524" s="25" t="str">
        <f>HYPERLINK("https://ictv.global/taxonomy/taxondetails?taxnode_id=202311222","Hodnevirus agrivivens")</f>
        <v>Hodnevirus agrivivens</v>
      </c>
      <c r="S10524" s="18" t="s">
        <v>30</v>
      </c>
      <c r="T10524" s="18" t="s">
        <v>22705</v>
      </c>
      <c r="U10524" s="18"/>
      <c r="V10524" s="18"/>
      <c r="W10524" s="18" t="s">
        <v>22706</v>
      </c>
      <c r="X10524" s="18" t="s">
        <v>35</v>
      </c>
      <c r="Y10524" s="18" t="s">
        <v>17171</v>
      </c>
      <c r="Z10524" s="18" t="s">
        <v>697</v>
      </c>
      <c r="AA10524" s="21" t="str">
        <f>HYPERLINK("https://www.ncbi.nlm.nih.gov/nuccore/BK013903","NCBI Nucleotide")</f>
        <v>NCBI Nucleotide</v>
      </c>
    </row>
    <row r="10525" spans="1:27" x14ac:dyDescent="0.35">
      <c r="A10525">
        <v>1026850</v>
      </c>
      <c r="B10525">
        <v>9850</v>
      </c>
      <c r="C10525">
        <v>1</v>
      </c>
      <c r="D10525" s="17" t="s">
        <v>17166</v>
      </c>
      <c r="E10525" s="17"/>
      <c r="F10525" s="17" t="s">
        <v>17246</v>
      </c>
      <c r="G10525" s="17"/>
      <c r="H10525" s="17" t="s">
        <v>20919</v>
      </c>
      <c r="I10525" s="17"/>
      <c r="J10525" s="17" t="s">
        <v>21313</v>
      </c>
      <c r="K10525" s="17"/>
      <c r="L10525" s="17" t="s">
        <v>22378</v>
      </c>
      <c r="M10525" s="17"/>
      <c r="N10525" s="17" t="s">
        <v>22459</v>
      </c>
      <c r="O10525" s="17"/>
      <c r="P10525" s="17" t="s">
        <v>45008</v>
      </c>
      <c r="Q10525" s="17"/>
      <c r="R10525" s="25" t="str">
        <f>HYPERLINK("https://ictv.global/taxonomy/taxondetails?taxnode_id=202317110","Hodnevirus alloagradaptatum")</f>
        <v>Hodnevirus alloagradaptatum</v>
      </c>
      <c r="S10525" s="18" t="s">
        <v>30</v>
      </c>
      <c r="T10525" s="18" t="s">
        <v>45009</v>
      </c>
      <c r="U10525" s="18"/>
      <c r="V10525" s="18"/>
      <c r="W10525" s="18" t="s">
        <v>45010</v>
      </c>
      <c r="X10525" s="18" t="s">
        <v>35</v>
      </c>
      <c r="Y10525" s="18" t="s">
        <v>17171</v>
      </c>
      <c r="Z10525" s="18" t="s">
        <v>24637</v>
      </c>
      <c r="AA10525" s="21" t="str">
        <f>HYPERLINK("https://www.ncbi.nlm.nih.gov/nuccore/CASDWV010001952","NCBI Nucleotide")</f>
        <v>NCBI Nucleotide</v>
      </c>
    </row>
    <row r="10526" spans="1:27" x14ac:dyDescent="0.35">
      <c r="A10526">
        <v>1026851</v>
      </c>
      <c r="B10526">
        <v>9851</v>
      </c>
      <c r="C10526">
        <v>1</v>
      </c>
      <c r="D10526" s="17" t="s">
        <v>17166</v>
      </c>
      <c r="E10526" s="17"/>
      <c r="F10526" s="17" t="s">
        <v>17246</v>
      </c>
      <c r="G10526" s="17"/>
      <c r="H10526" s="17" t="s">
        <v>20919</v>
      </c>
      <c r="I10526" s="17"/>
      <c r="J10526" s="17" t="s">
        <v>21313</v>
      </c>
      <c r="K10526" s="17"/>
      <c r="L10526" s="17" t="s">
        <v>22378</v>
      </c>
      <c r="M10526" s="17"/>
      <c r="N10526" s="17" t="s">
        <v>22459</v>
      </c>
      <c r="O10526" s="17"/>
      <c r="P10526" s="17" t="s">
        <v>45008</v>
      </c>
      <c r="Q10526" s="17"/>
      <c r="R10526" s="25" t="str">
        <f>HYPERLINK("https://ictv.global/taxonomy/taxondetails?taxnode_id=202317111","Hodnevirus alloagrenecus")</f>
        <v>Hodnevirus alloagrenecus</v>
      </c>
      <c r="S10526" s="18" t="s">
        <v>30</v>
      </c>
      <c r="T10526" s="18" t="s">
        <v>45011</v>
      </c>
      <c r="U10526" s="18"/>
      <c r="V10526" s="18"/>
      <c r="W10526" s="18" t="s">
        <v>45012</v>
      </c>
      <c r="X10526" s="18" t="s">
        <v>35</v>
      </c>
      <c r="Y10526" s="18" t="s">
        <v>17171</v>
      </c>
      <c r="Z10526" s="18" t="s">
        <v>24637</v>
      </c>
      <c r="AA10526" s="21" t="str">
        <f>HYPERLINK("https://www.ncbi.nlm.nih.gov/nuccore/CASDWV010001440","NCBI Nucleotide")</f>
        <v>NCBI Nucleotide</v>
      </c>
    </row>
    <row r="10527" spans="1:27" x14ac:dyDescent="0.35">
      <c r="A10527">
        <v>1026852</v>
      </c>
      <c r="B10527">
        <v>9852</v>
      </c>
      <c r="C10527">
        <v>1</v>
      </c>
      <c r="D10527" s="17" t="s">
        <v>17166</v>
      </c>
      <c r="E10527" s="17"/>
      <c r="F10527" s="17" t="s">
        <v>17246</v>
      </c>
      <c r="G10527" s="17"/>
      <c r="H10527" s="17" t="s">
        <v>20919</v>
      </c>
      <c r="I10527" s="17"/>
      <c r="J10527" s="17" t="s">
        <v>21313</v>
      </c>
      <c r="K10527" s="17"/>
      <c r="L10527" s="17" t="s">
        <v>22378</v>
      </c>
      <c r="M10527" s="17"/>
      <c r="N10527" s="17" t="s">
        <v>22459</v>
      </c>
      <c r="O10527" s="17"/>
      <c r="P10527" s="17" t="s">
        <v>45008</v>
      </c>
      <c r="Q10527" s="17"/>
      <c r="R10527" s="25" t="str">
        <f>HYPERLINK("https://ictv.global/taxonomy/taxondetails?taxnode_id=202317112","Hodnevirus alloagricola")</f>
        <v>Hodnevirus alloagricola</v>
      </c>
      <c r="S10527" s="18" t="s">
        <v>30</v>
      </c>
      <c r="T10527" s="18" t="s">
        <v>45013</v>
      </c>
      <c r="U10527" s="18"/>
      <c r="V10527" s="18"/>
      <c r="W10527" s="18" t="s">
        <v>45014</v>
      </c>
      <c r="X10527" s="18" t="s">
        <v>35</v>
      </c>
      <c r="Y10527" s="18" t="s">
        <v>17171</v>
      </c>
      <c r="Z10527" s="18" t="s">
        <v>24637</v>
      </c>
      <c r="AA10527" s="21" t="str">
        <f>HYPERLINK("https://www.ncbi.nlm.nih.gov/nuccore/CASDWV010001873","NCBI Nucleotide")</f>
        <v>NCBI Nucleotide</v>
      </c>
    </row>
    <row r="10528" spans="1:27" x14ac:dyDescent="0.35">
      <c r="A10528">
        <v>1026853</v>
      </c>
      <c r="B10528">
        <v>9853</v>
      </c>
      <c r="C10528">
        <v>1</v>
      </c>
      <c r="D10528" s="17" t="s">
        <v>17166</v>
      </c>
      <c r="E10528" s="17"/>
      <c r="F10528" s="17" t="s">
        <v>17246</v>
      </c>
      <c r="G10528" s="17"/>
      <c r="H10528" s="17" t="s">
        <v>20919</v>
      </c>
      <c r="I10528" s="17"/>
      <c r="J10528" s="17" t="s">
        <v>21313</v>
      </c>
      <c r="K10528" s="17"/>
      <c r="L10528" s="17" t="s">
        <v>22378</v>
      </c>
      <c r="M10528" s="17"/>
      <c r="N10528" s="17" t="s">
        <v>22459</v>
      </c>
      <c r="O10528" s="17"/>
      <c r="P10528" s="17" t="s">
        <v>45008</v>
      </c>
      <c r="Q10528" s="17"/>
      <c r="R10528" s="25" t="str">
        <f>HYPERLINK("https://ictv.global/taxonomy/taxondetails?taxnode_id=202317113","Hodnevirus alloagrihabitans")</f>
        <v>Hodnevirus alloagrihabitans</v>
      </c>
      <c r="S10528" s="18" t="s">
        <v>30</v>
      </c>
      <c r="T10528" s="18" t="s">
        <v>45015</v>
      </c>
      <c r="U10528" s="18"/>
      <c r="V10528" s="18"/>
      <c r="W10528" s="18" t="s">
        <v>45016</v>
      </c>
      <c r="X10528" s="18" t="s">
        <v>35</v>
      </c>
      <c r="Y10528" s="18" t="s">
        <v>17171</v>
      </c>
      <c r="Z10528" s="18" t="s">
        <v>24637</v>
      </c>
      <c r="AA10528" s="21" t="str">
        <f>HYPERLINK("https://www.ncbi.nlm.nih.gov/nuccore/CASDWV010002452","NCBI Nucleotide")</f>
        <v>NCBI Nucleotide</v>
      </c>
    </row>
    <row r="10529" spans="1:27" x14ac:dyDescent="0.35">
      <c r="A10529">
        <v>1026854</v>
      </c>
      <c r="B10529">
        <v>9854</v>
      </c>
      <c r="C10529">
        <v>1</v>
      </c>
      <c r="D10529" s="17" t="s">
        <v>17166</v>
      </c>
      <c r="E10529" s="17"/>
      <c r="F10529" s="17" t="s">
        <v>17246</v>
      </c>
      <c r="G10529" s="17"/>
      <c r="H10529" s="17" t="s">
        <v>20919</v>
      </c>
      <c r="I10529" s="17"/>
      <c r="J10529" s="17" t="s">
        <v>21313</v>
      </c>
      <c r="K10529" s="17"/>
      <c r="L10529" s="17" t="s">
        <v>22378</v>
      </c>
      <c r="M10529" s="17"/>
      <c r="N10529" s="17" t="s">
        <v>22459</v>
      </c>
      <c r="O10529" s="17"/>
      <c r="P10529" s="17" t="s">
        <v>45008</v>
      </c>
      <c r="Q10529" s="17"/>
      <c r="R10529" s="25" t="str">
        <f>HYPERLINK("https://ictv.global/taxonomy/taxondetails?taxnode_id=202317114","Hodnevirus alloagrivicinum")</f>
        <v>Hodnevirus alloagrivicinum</v>
      </c>
      <c r="S10529" s="18" t="s">
        <v>30</v>
      </c>
      <c r="T10529" s="18" t="s">
        <v>45017</v>
      </c>
      <c r="U10529" s="18"/>
      <c r="V10529" s="18"/>
      <c r="W10529" s="18" t="s">
        <v>45018</v>
      </c>
      <c r="X10529" s="18" t="s">
        <v>35</v>
      </c>
      <c r="Y10529" s="18" t="s">
        <v>17171</v>
      </c>
      <c r="Z10529" s="18" t="s">
        <v>24637</v>
      </c>
      <c r="AA10529" s="21" t="str">
        <f>HYPERLINK("https://www.ncbi.nlm.nih.gov/nuccore/CASDWV010002321","NCBI Nucleotide")</f>
        <v>NCBI Nucleotide</v>
      </c>
    </row>
    <row r="10530" spans="1:27" x14ac:dyDescent="0.35">
      <c r="A10530">
        <v>1026855</v>
      </c>
      <c r="B10530">
        <v>9855</v>
      </c>
      <c r="C10530">
        <v>1</v>
      </c>
      <c r="D10530" s="17" t="s">
        <v>17166</v>
      </c>
      <c r="E10530" s="17"/>
      <c r="F10530" s="17" t="s">
        <v>17246</v>
      </c>
      <c r="G10530" s="17"/>
      <c r="H10530" s="17" t="s">
        <v>20919</v>
      </c>
      <c r="I10530" s="17"/>
      <c r="J10530" s="17" t="s">
        <v>21313</v>
      </c>
      <c r="K10530" s="17"/>
      <c r="L10530" s="17" t="s">
        <v>22378</v>
      </c>
      <c r="M10530" s="17"/>
      <c r="N10530" s="17" t="s">
        <v>22459</v>
      </c>
      <c r="O10530" s="17"/>
      <c r="P10530" s="17" t="s">
        <v>45008</v>
      </c>
      <c r="Q10530" s="17"/>
      <c r="R10530" s="25" t="str">
        <f>HYPERLINK("https://ictv.global/taxonomy/taxondetails?taxnode_id=202317115","Hodnevirus alloagrivivens")</f>
        <v>Hodnevirus alloagrivivens</v>
      </c>
      <c r="S10530" s="18" t="s">
        <v>30</v>
      </c>
      <c r="T10530" s="18" t="s">
        <v>45019</v>
      </c>
      <c r="U10530" s="18"/>
      <c r="V10530" s="18"/>
      <c r="W10530" s="18" t="s">
        <v>45020</v>
      </c>
      <c r="X10530" s="18" t="s">
        <v>35</v>
      </c>
      <c r="Y10530" s="18" t="s">
        <v>17171</v>
      </c>
      <c r="Z10530" s="18" t="s">
        <v>24637</v>
      </c>
      <c r="AA10530" s="21" t="str">
        <f>HYPERLINK("https://www.ncbi.nlm.nih.gov/nuccore/CASDWV010001622","NCBI Nucleotide")</f>
        <v>NCBI Nucleotide</v>
      </c>
    </row>
    <row r="10531" spans="1:27" x14ac:dyDescent="0.35">
      <c r="A10531">
        <v>1026856</v>
      </c>
      <c r="B10531">
        <v>9856</v>
      </c>
      <c r="C10531">
        <v>1</v>
      </c>
      <c r="D10531" s="17" t="s">
        <v>17166</v>
      </c>
      <c r="E10531" s="17"/>
      <c r="F10531" s="17" t="s">
        <v>17246</v>
      </c>
      <c r="G10531" s="17"/>
      <c r="H10531" s="17" t="s">
        <v>20919</v>
      </c>
      <c r="I10531" s="17"/>
      <c r="J10531" s="17" t="s">
        <v>21313</v>
      </c>
      <c r="K10531" s="17"/>
      <c r="L10531" s="17" t="s">
        <v>22378</v>
      </c>
      <c r="M10531" s="17"/>
      <c r="N10531" s="17" t="s">
        <v>22459</v>
      </c>
      <c r="O10531" s="17"/>
      <c r="P10531" s="17" t="s">
        <v>45008</v>
      </c>
      <c r="Q10531" s="17"/>
      <c r="R10531" s="25" t="str">
        <f>HYPERLINK("https://ictv.global/taxonomy/taxondetails?taxnode_id=202317116","Hodnevirus alloarvadaptatum")</f>
        <v>Hodnevirus alloarvadaptatum</v>
      </c>
      <c r="S10531" s="18" t="s">
        <v>30</v>
      </c>
      <c r="T10531" s="18" t="s">
        <v>45021</v>
      </c>
      <c r="U10531" s="18"/>
      <c r="V10531" s="18"/>
      <c r="W10531" s="18" t="s">
        <v>45022</v>
      </c>
      <c r="X10531" s="18" t="s">
        <v>35</v>
      </c>
      <c r="Y10531" s="18" t="s">
        <v>17171</v>
      </c>
      <c r="Z10531" s="18" t="s">
        <v>24637</v>
      </c>
      <c r="AA10531" s="21" t="str">
        <f>HYPERLINK("https://www.ncbi.nlm.nih.gov/nuccore/CASDWV010002996","NCBI Nucleotide")</f>
        <v>NCBI Nucleotide</v>
      </c>
    </row>
    <row r="10532" spans="1:27" x14ac:dyDescent="0.35">
      <c r="A10532">
        <v>1026857</v>
      </c>
      <c r="B10532">
        <v>9857</v>
      </c>
      <c r="C10532">
        <v>1</v>
      </c>
      <c r="D10532" s="17" t="s">
        <v>17166</v>
      </c>
      <c r="E10532" s="17"/>
      <c r="F10532" s="17" t="s">
        <v>17246</v>
      </c>
      <c r="G10532" s="17"/>
      <c r="H10532" s="17" t="s">
        <v>20919</v>
      </c>
      <c r="I10532" s="17"/>
      <c r="J10532" s="17" t="s">
        <v>21313</v>
      </c>
      <c r="K10532" s="17"/>
      <c r="L10532" s="17" t="s">
        <v>22378</v>
      </c>
      <c r="M10532" s="17"/>
      <c r="N10532" s="17" t="s">
        <v>22459</v>
      </c>
      <c r="O10532" s="17"/>
      <c r="P10532" s="17" t="s">
        <v>45008</v>
      </c>
      <c r="Q10532" s="17"/>
      <c r="R10532" s="25" t="str">
        <f>HYPERLINK("https://ictv.global/taxonomy/taxondetails?taxnode_id=202317117","Hodnevirus alloarvenecus")</f>
        <v>Hodnevirus alloarvenecus</v>
      </c>
      <c r="S10532" s="18" t="s">
        <v>30</v>
      </c>
      <c r="T10532" s="18" t="s">
        <v>45023</v>
      </c>
      <c r="U10532" s="18"/>
      <c r="V10532" s="18"/>
      <c r="W10532" s="18" t="s">
        <v>45024</v>
      </c>
      <c r="X10532" s="18" t="s">
        <v>35</v>
      </c>
      <c r="Y10532" s="18" t="s">
        <v>17171</v>
      </c>
      <c r="Z10532" s="18" t="s">
        <v>24637</v>
      </c>
      <c r="AA10532" s="21" t="str">
        <f>HYPERLINK("https://www.ncbi.nlm.nih.gov/nuccore/CASDWV010001774","NCBI Nucleotide")</f>
        <v>NCBI Nucleotide</v>
      </c>
    </row>
    <row r="10533" spans="1:27" x14ac:dyDescent="0.35">
      <c r="A10533">
        <v>1026858</v>
      </c>
      <c r="B10533">
        <v>9858</v>
      </c>
      <c r="C10533">
        <v>1</v>
      </c>
      <c r="D10533" s="17" t="s">
        <v>17166</v>
      </c>
      <c r="E10533" s="17"/>
      <c r="F10533" s="17" t="s">
        <v>17246</v>
      </c>
      <c r="G10533" s="17"/>
      <c r="H10533" s="17" t="s">
        <v>20919</v>
      </c>
      <c r="I10533" s="17"/>
      <c r="J10533" s="17" t="s">
        <v>21313</v>
      </c>
      <c r="K10533" s="17"/>
      <c r="L10533" s="17" t="s">
        <v>22378</v>
      </c>
      <c r="M10533" s="17"/>
      <c r="N10533" s="17" t="s">
        <v>22459</v>
      </c>
      <c r="O10533" s="17"/>
      <c r="P10533" s="17" t="s">
        <v>45008</v>
      </c>
      <c r="Q10533" s="17"/>
      <c r="R10533" s="25" t="str">
        <f>HYPERLINK("https://ictv.global/taxonomy/taxondetails?taxnode_id=202317118","Hodnevirus alloarvicola")</f>
        <v>Hodnevirus alloarvicola</v>
      </c>
      <c r="S10533" s="18" t="s">
        <v>30</v>
      </c>
      <c r="T10533" s="18" t="s">
        <v>45025</v>
      </c>
      <c r="U10533" s="18"/>
      <c r="V10533" s="18"/>
      <c r="W10533" s="18" t="s">
        <v>45026</v>
      </c>
      <c r="X10533" s="18" t="s">
        <v>35</v>
      </c>
      <c r="Y10533" s="18" t="s">
        <v>17171</v>
      </c>
      <c r="Z10533" s="18" t="s">
        <v>24637</v>
      </c>
      <c r="AA10533" s="21" t="str">
        <f>HYPERLINK("https://www.ncbi.nlm.nih.gov/nuccore/CASDWV010001669","NCBI Nucleotide")</f>
        <v>NCBI Nucleotide</v>
      </c>
    </row>
    <row r="10534" spans="1:27" x14ac:dyDescent="0.35">
      <c r="A10534">
        <v>1026859</v>
      </c>
      <c r="B10534">
        <v>9859</v>
      </c>
      <c r="C10534">
        <v>1</v>
      </c>
      <c r="D10534" s="17" t="s">
        <v>17166</v>
      </c>
      <c r="E10534" s="17"/>
      <c r="F10534" s="17" t="s">
        <v>17246</v>
      </c>
      <c r="G10534" s="17"/>
      <c r="H10534" s="17" t="s">
        <v>20919</v>
      </c>
      <c r="I10534" s="17"/>
      <c r="J10534" s="17" t="s">
        <v>21313</v>
      </c>
      <c r="K10534" s="17"/>
      <c r="L10534" s="17" t="s">
        <v>22378</v>
      </c>
      <c r="M10534" s="17"/>
      <c r="N10534" s="17" t="s">
        <v>22459</v>
      </c>
      <c r="O10534" s="17"/>
      <c r="P10534" s="17" t="s">
        <v>45008</v>
      </c>
      <c r="Q10534" s="17"/>
      <c r="R10534" s="25" t="str">
        <f>HYPERLINK("https://ictv.global/taxonomy/taxondetails?taxnode_id=202317119","Hodnevirus alloarvihabitans")</f>
        <v>Hodnevirus alloarvihabitans</v>
      </c>
      <c r="S10534" s="18" t="s">
        <v>30</v>
      </c>
      <c r="T10534" s="18" t="s">
        <v>45027</v>
      </c>
      <c r="U10534" s="18"/>
      <c r="V10534" s="18"/>
      <c r="W10534" s="18" t="s">
        <v>45028</v>
      </c>
      <c r="X10534" s="18" t="s">
        <v>35</v>
      </c>
      <c r="Y10534" s="18" t="s">
        <v>17171</v>
      </c>
      <c r="Z10534" s="18" t="s">
        <v>24637</v>
      </c>
      <c r="AA10534" s="21" t="str">
        <f>HYPERLINK("https://www.ncbi.nlm.nih.gov/nuccore/CASDWV010001084","NCBI Nucleotide")</f>
        <v>NCBI Nucleotide</v>
      </c>
    </row>
    <row r="10535" spans="1:27" x14ac:dyDescent="0.35">
      <c r="A10535">
        <v>1026860</v>
      </c>
      <c r="B10535">
        <v>9860</v>
      </c>
      <c r="C10535">
        <v>1</v>
      </c>
      <c r="D10535" s="17" t="s">
        <v>17166</v>
      </c>
      <c r="E10535" s="17"/>
      <c r="F10535" s="17" t="s">
        <v>17246</v>
      </c>
      <c r="G10535" s="17"/>
      <c r="H10535" s="17" t="s">
        <v>20919</v>
      </c>
      <c r="I10535" s="17"/>
      <c r="J10535" s="17" t="s">
        <v>21313</v>
      </c>
      <c r="K10535" s="17"/>
      <c r="L10535" s="17" t="s">
        <v>22378</v>
      </c>
      <c r="M10535" s="17"/>
      <c r="N10535" s="17" t="s">
        <v>22459</v>
      </c>
      <c r="O10535" s="17"/>
      <c r="P10535" s="17" t="s">
        <v>45008</v>
      </c>
      <c r="Q10535" s="17"/>
      <c r="R10535" s="25" t="str">
        <f>HYPERLINK("https://ictv.global/taxonomy/taxondetails?taxnode_id=202317120","Hodnevirus alloarvivicinum")</f>
        <v>Hodnevirus alloarvivicinum</v>
      </c>
      <c r="S10535" s="18" t="s">
        <v>30</v>
      </c>
      <c r="T10535" s="18" t="s">
        <v>45029</v>
      </c>
      <c r="U10535" s="18"/>
      <c r="V10535" s="18"/>
      <c r="W10535" s="18" t="s">
        <v>45030</v>
      </c>
      <c r="X10535" s="18" t="s">
        <v>35</v>
      </c>
      <c r="Y10535" s="18" t="s">
        <v>17171</v>
      </c>
      <c r="Z10535" s="18" t="s">
        <v>24637</v>
      </c>
      <c r="AA10535" s="21" t="str">
        <f>HYPERLINK("https://www.ncbi.nlm.nih.gov/nuccore/CASDWV010002734","NCBI Nucleotide")</f>
        <v>NCBI Nucleotide</v>
      </c>
    </row>
    <row r="10536" spans="1:27" x14ac:dyDescent="0.35">
      <c r="A10536">
        <v>1026861</v>
      </c>
      <c r="B10536">
        <v>9861</v>
      </c>
      <c r="C10536">
        <v>1</v>
      </c>
      <c r="D10536" s="17" t="s">
        <v>17166</v>
      </c>
      <c r="E10536" s="17"/>
      <c r="F10536" s="17" t="s">
        <v>17246</v>
      </c>
      <c r="G10536" s="17"/>
      <c r="H10536" s="17" t="s">
        <v>20919</v>
      </c>
      <c r="I10536" s="17"/>
      <c r="J10536" s="17" t="s">
        <v>21313</v>
      </c>
      <c r="K10536" s="17"/>
      <c r="L10536" s="17" t="s">
        <v>22378</v>
      </c>
      <c r="M10536" s="17"/>
      <c r="N10536" s="17" t="s">
        <v>22459</v>
      </c>
      <c r="O10536" s="17"/>
      <c r="P10536" s="17" t="s">
        <v>45008</v>
      </c>
      <c r="Q10536" s="17"/>
      <c r="R10536" s="25" t="str">
        <f>HYPERLINK("https://ictv.global/taxonomy/taxondetails?taxnode_id=202317121","Hodnevirus alloarvivivens")</f>
        <v>Hodnevirus alloarvivivens</v>
      </c>
      <c r="S10536" s="18" t="s">
        <v>30</v>
      </c>
      <c r="T10536" s="18" t="s">
        <v>45031</v>
      </c>
      <c r="U10536" s="18"/>
      <c r="V10536" s="18"/>
      <c r="W10536" s="18" t="s">
        <v>45032</v>
      </c>
      <c r="X10536" s="18" t="s">
        <v>35</v>
      </c>
      <c r="Y10536" s="18" t="s">
        <v>17171</v>
      </c>
      <c r="Z10536" s="18" t="s">
        <v>24637</v>
      </c>
      <c r="AA10536" s="21" t="str">
        <f>HYPERLINK("https://www.ncbi.nlm.nih.gov/nuccore/CASDWV010002456","NCBI Nucleotide")</f>
        <v>NCBI Nucleotide</v>
      </c>
    </row>
    <row r="10537" spans="1:27" x14ac:dyDescent="0.35">
      <c r="A10537">
        <v>1026862</v>
      </c>
      <c r="B10537">
        <v>9862</v>
      </c>
      <c r="C10537">
        <v>1</v>
      </c>
      <c r="D10537" s="17" t="s">
        <v>17166</v>
      </c>
      <c r="E10537" s="17"/>
      <c r="F10537" s="17" t="s">
        <v>17246</v>
      </c>
      <c r="G10537" s="17"/>
      <c r="H10537" s="17" t="s">
        <v>20919</v>
      </c>
      <c r="I10537" s="17"/>
      <c r="J10537" s="17" t="s">
        <v>21313</v>
      </c>
      <c r="K10537" s="17"/>
      <c r="L10537" s="17" t="s">
        <v>22378</v>
      </c>
      <c r="M10537" s="17"/>
      <c r="N10537" s="17" t="s">
        <v>22459</v>
      </c>
      <c r="O10537" s="17"/>
      <c r="P10537" s="17" t="s">
        <v>45008</v>
      </c>
      <c r="Q10537" s="17"/>
      <c r="R10537" s="25" t="str">
        <f>HYPERLINK("https://ictv.global/taxonomy/taxondetails?taxnode_id=202317122","Hodnevirus alloasiadaptatum")</f>
        <v>Hodnevirus alloasiadaptatum</v>
      </c>
      <c r="S10537" s="18" t="s">
        <v>30</v>
      </c>
      <c r="T10537" s="18" t="s">
        <v>45033</v>
      </c>
      <c r="U10537" s="18"/>
      <c r="V10537" s="18"/>
      <c r="W10537" s="18" t="s">
        <v>45034</v>
      </c>
      <c r="X10537" s="18" t="s">
        <v>35</v>
      </c>
      <c r="Y10537" s="18" t="s">
        <v>17171</v>
      </c>
      <c r="Z10537" s="18" t="s">
        <v>24637</v>
      </c>
      <c r="AA10537" s="21" t="str">
        <f>HYPERLINK("https://www.ncbi.nlm.nih.gov/nuccore/CASDWV010000778","NCBI Nucleotide")</f>
        <v>NCBI Nucleotide</v>
      </c>
    </row>
    <row r="10538" spans="1:27" x14ac:dyDescent="0.35">
      <c r="A10538">
        <v>1026863</v>
      </c>
      <c r="B10538">
        <v>9863</v>
      </c>
      <c r="C10538">
        <v>1</v>
      </c>
      <c r="D10538" s="17" t="s">
        <v>17166</v>
      </c>
      <c r="E10538" s="17"/>
      <c r="F10538" s="17" t="s">
        <v>17246</v>
      </c>
      <c r="G10538" s="17"/>
      <c r="H10538" s="17" t="s">
        <v>20919</v>
      </c>
      <c r="I10538" s="17"/>
      <c r="J10538" s="17" t="s">
        <v>21313</v>
      </c>
      <c r="K10538" s="17"/>
      <c r="L10538" s="17" t="s">
        <v>22378</v>
      </c>
      <c r="M10538" s="17"/>
      <c r="N10538" s="17" t="s">
        <v>22459</v>
      </c>
      <c r="O10538" s="17"/>
      <c r="P10538" s="17" t="s">
        <v>45008</v>
      </c>
      <c r="Q10538" s="17"/>
      <c r="R10538" s="25" t="str">
        <f>HYPERLINK("https://ictv.global/taxonomy/taxondetails?taxnode_id=202317123","Hodnevirus alloasienecus")</f>
        <v>Hodnevirus alloasienecus</v>
      </c>
      <c r="S10538" s="18" t="s">
        <v>30</v>
      </c>
      <c r="T10538" s="18" t="s">
        <v>45035</v>
      </c>
      <c r="U10538" s="18"/>
      <c r="V10538" s="18"/>
      <c r="W10538" s="18" t="s">
        <v>45036</v>
      </c>
      <c r="X10538" s="18" t="s">
        <v>35</v>
      </c>
      <c r="Y10538" s="18" t="s">
        <v>17171</v>
      </c>
      <c r="Z10538" s="18" t="s">
        <v>24637</v>
      </c>
      <c r="AA10538" s="21" t="str">
        <f>HYPERLINK("https://www.ncbi.nlm.nih.gov/nuccore/CASDWV010001991","NCBI Nucleotide")</f>
        <v>NCBI Nucleotide</v>
      </c>
    </row>
    <row r="10539" spans="1:27" x14ac:dyDescent="0.35">
      <c r="A10539">
        <v>1026864</v>
      </c>
      <c r="B10539">
        <v>9864</v>
      </c>
      <c r="C10539">
        <v>1</v>
      </c>
      <c r="D10539" s="17" t="s">
        <v>17166</v>
      </c>
      <c r="E10539" s="17"/>
      <c r="F10539" s="17" t="s">
        <v>17246</v>
      </c>
      <c r="G10539" s="17"/>
      <c r="H10539" s="17" t="s">
        <v>20919</v>
      </c>
      <c r="I10539" s="17"/>
      <c r="J10539" s="17" t="s">
        <v>21313</v>
      </c>
      <c r="K10539" s="17"/>
      <c r="L10539" s="17" t="s">
        <v>22378</v>
      </c>
      <c r="M10539" s="17"/>
      <c r="N10539" s="17" t="s">
        <v>22459</v>
      </c>
      <c r="O10539" s="17"/>
      <c r="P10539" s="17" t="s">
        <v>45008</v>
      </c>
      <c r="Q10539" s="17"/>
      <c r="R10539" s="25" t="str">
        <f>HYPERLINK("https://ictv.global/taxonomy/taxondetails?taxnode_id=202317124","Hodnevirus alloasiocola")</f>
        <v>Hodnevirus alloasiocola</v>
      </c>
      <c r="S10539" s="18" t="s">
        <v>30</v>
      </c>
      <c r="T10539" s="18" t="s">
        <v>45037</v>
      </c>
      <c r="U10539" s="18"/>
      <c r="V10539" s="18"/>
      <c r="W10539" s="18" t="s">
        <v>45038</v>
      </c>
      <c r="X10539" s="18" t="s">
        <v>35</v>
      </c>
      <c r="Y10539" s="18" t="s">
        <v>17171</v>
      </c>
      <c r="Z10539" s="18" t="s">
        <v>24637</v>
      </c>
      <c r="AA10539" s="21" t="str">
        <f>HYPERLINK("https://www.ncbi.nlm.nih.gov/nuccore/CASDWV010002484","NCBI Nucleotide")</f>
        <v>NCBI Nucleotide</v>
      </c>
    </row>
    <row r="10540" spans="1:27" x14ac:dyDescent="0.35">
      <c r="A10540">
        <v>1026865</v>
      </c>
      <c r="B10540">
        <v>9865</v>
      </c>
      <c r="C10540">
        <v>1</v>
      </c>
      <c r="D10540" s="17" t="s">
        <v>17166</v>
      </c>
      <c r="E10540" s="17"/>
      <c r="F10540" s="17" t="s">
        <v>17246</v>
      </c>
      <c r="G10540" s="17"/>
      <c r="H10540" s="17" t="s">
        <v>20919</v>
      </c>
      <c r="I10540" s="17"/>
      <c r="J10540" s="17" t="s">
        <v>21313</v>
      </c>
      <c r="K10540" s="17"/>
      <c r="L10540" s="17" t="s">
        <v>22378</v>
      </c>
      <c r="M10540" s="17"/>
      <c r="N10540" s="17" t="s">
        <v>22459</v>
      </c>
      <c r="O10540" s="17"/>
      <c r="P10540" s="17" t="s">
        <v>45008</v>
      </c>
      <c r="Q10540" s="17"/>
      <c r="R10540" s="25" t="str">
        <f>HYPERLINK("https://ictv.global/taxonomy/taxondetails?taxnode_id=202317125","Hodnevirus alloasiohabitans")</f>
        <v>Hodnevirus alloasiohabitans</v>
      </c>
      <c r="S10540" s="18" t="s">
        <v>30</v>
      </c>
      <c r="T10540" s="18" t="s">
        <v>45039</v>
      </c>
      <c r="U10540" s="18"/>
      <c r="V10540" s="18"/>
      <c r="W10540" s="18" t="s">
        <v>45040</v>
      </c>
      <c r="X10540" s="18" t="s">
        <v>35</v>
      </c>
      <c r="Y10540" s="18" t="s">
        <v>17171</v>
      </c>
      <c r="Z10540" s="18" t="s">
        <v>24637</v>
      </c>
      <c r="AA10540" s="21" t="str">
        <f>HYPERLINK("https://www.ncbi.nlm.nih.gov/nuccore/CASDWV010003440","NCBI Nucleotide")</f>
        <v>NCBI Nucleotide</v>
      </c>
    </row>
    <row r="10541" spans="1:27" x14ac:dyDescent="0.35">
      <c r="A10541">
        <v>1026866</v>
      </c>
      <c r="B10541">
        <v>9866</v>
      </c>
      <c r="C10541">
        <v>1</v>
      </c>
      <c r="D10541" s="17" t="s">
        <v>17166</v>
      </c>
      <c r="E10541" s="17"/>
      <c r="F10541" s="17" t="s">
        <v>17246</v>
      </c>
      <c r="G10541" s="17"/>
      <c r="H10541" s="17" t="s">
        <v>20919</v>
      </c>
      <c r="I10541" s="17"/>
      <c r="J10541" s="17" t="s">
        <v>21313</v>
      </c>
      <c r="K10541" s="17"/>
      <c r="L10541" s="17" t="s">
        <v>22378</v>
      </c>
      <c r="M10541" s="17"/>
      <c r="N10541" s="17" t="s">
        <v>22459</v>
      </c>
      <c r="O10541" s="17"/>
      <c r="P10541" s="17" t="s">
        <v>45008</v>
      </c>
      <c r="Q10541" s="17"/>
      <c r="R10541" s="25" t="str">
        <f>HYPERLINK("https://ictv.global/taxonomy/taxondetails?taxnode_id=202317126","Hodnevirus alloasiovicinum")</f>
        <v>Hodnevirus alloasiovicinum</v>
      </c>
      <c r="S10541" s="18" t="s">
        <v>30</v>
      </c>
      <c r="T10541" s="18" t="s">
        <v>45041</v>
      </c>
      <c r="U10541" s="18"/>
      <c r="V10541" s="18"/>
      <c r="W10541" s="18" t="s">
        <v>45042</v>
      </c>
      <c r="X10541" s="18" t="s">
        <v>35</v>
      </c>
      <c r="Y10541" s="18" t="s">
        <v>17171</v>
      </c>
      <c r="Z10541" s="18" t="s">
        <v>24637</v>
      </c>
      <c r="AA10541" s="21" t="str">
        <f>HYPERLINK("https://www.ncbi.nlm.nih.gov/nuccore/CASDWV010000100","NCBI Nucleotide")</f>
        <v>NCBI Nucleotide</v>
      </c>
    </row>
    <row r="10542" spans="1:27" x14ac:dyDescent="0.35">
      <c r="A10542">
        <v>1026867</v>
      </c>
      <c r="B10542">
        <v>9867</v>
      </c>
      <c r="C10542">
        <v>1</v>
      </c>
      <c r="D10542" s="17" t="s">
        <v>17166</v>
      </c>
      <c r="E10542" s="17"/>
      <c r="F10542" s="17" t="s">
        <v>17246</v>
      </c>
      <c r="G10542" s="17"/>
      <c r="H10542" s="17" t="s">
        <v>20919</v>
      </c>
      <c r="I10542" s="17"/>
      <c r="J10542" s="17" t="s">
        <v>21313</v>
      </c>
      <c r="K10542" s="17"/>
      <c r="L10542" s="17" t="s">
        <v>22378</v>
      </c>
      <c r="M10542" s="17"/>
      <c r="N10542" s="17" t="s">
        <v>22459</v>
      </c>
      <c r="O10542" s="17"/>
      <c r="P10542" s="17" t="s">
        <v>45008</v>
      </c>
      <c r="Q10542" s="17"/>
      <c r="R10542" s="25" t="str">
        <f>HYPERLINK("https://ictv.global/taxonomy/taxondetails?taxnode_id=202317127","Hodnevirus alloasiovivens")</f>
        <v>Hodnevirus alloasiovivens</v>
      </c>
      <c r="S10542" s="18" t="s">
        <v>30</v>
      </c>
      <c r="T10542" s="18" t="s">
        <v>45043</v>
      </c>
      <c r="U10542" s="18"/>
      <c r="V10542" s="18"/>
      <c r="W10542" s="18" t="s">
        <v>45044</v>
      </c>
      <c r="X10542" s="18" t="s">
        <v>35</v>
      </c>
      <c r="Y10542" s="18" t="s">
        <v>17171</v>
      </c>
      <c r="Z10542" s="18" t="s">
        <v>24637</v>
      </c>
      <c r="AA10542" s="21" t="str">
        <f>HYPERLINK("https://www.ncbi.nlm.nih.gov/nuccore/CASDWV010002382","NCBI Nucleotide")</f>
        <v>NCBI Nucleotide</v>
      </c>
    </row>
    <row r="10543" spans="1:27" x14ac:dyDescent="0.35">
      <c r="A10543">
        <v>1026868</v>
      </c>
      <c r="B10543">
        <v>9868</v>
      </c>
      <c r="C10543">
        <v>1</v>
      </c>
      <c r="D10543" s="17" t="s">
        <v>17166</v>
      </c>
      <c r="E10543" s="17"/>
      <c r="F10543" s="17" t="s">
        <v>17246</v>
      </c>
      <c r="G10543" s="17"/>
      <c r="H10543" s="17" t="s">
        <v>20919</v>
      </c>
      <c r="I10543" s="17"/>
      <c r="J10543" s="17" t="s">
        <v>21313</v>
      </c>
      <c r="K10543" s="17"/>
      <c r="L10543" s="17" t="s">
        <v>22378</v>
      </c>
      <c r="M10543" s="17"/>
      <c r="N10543" s="17" t="s">
        <v>22459</v>
      </c>
      <c r="O10543" s="17"/>
      <c r="P10543" s="17" t="s">
        <v>45008</v>
      </c>
      <c r="Q10543" s="17"/>
      <c r="R10543" s="25" t="str">
        <f>HYPERLINK("https://ictv.global/taxonomy/taxondetails?taxnode_id=202317128","Hodnevirus allocaenadaptatum")</f>
        <v>Hodnevirus allocaenadaptatum</v>
      </c>
      <c r="S10543" s="18" t="s">
        <v>30</v>
      </c>
      <c r="T10543" s="18" t="s">
        <v>45045</v>
      </c>
      <c r="U10543" s="18"/>
      <c r="V10543" s="18"/>
      <c r="W10543" s="18" t="s">
        <v>45046</v>
      </c>
      <c r="X10543" s="18" t="s">
        <v>35</v>
      </c>
      <c r="Y10543" s="18" t="s">
        <v>17171</v>
      </c>
      <c r="Z10543" s="18" t="s">
        <v>24637</v>
      </c>
      <c r="AA10543" s="21" t="str">
        <f>HYPERLINK("https://www.ncbi.nlm.nih.gov/nuccore/CASDWV010001841","NCBI Nucleotide")</f>
        <v>NCBI Nucleotide</v>
      </c>
    </row>
    <row r="10544" spans="1:27" x14ac:dyDescent="0.35">
      <c r="A10544">
        <v>1026869</v>
      </c>
      <c r="B10544">
        <v>9869</v>
      </c>
      <c r="C10544">
        <v>1</v>
      </c>
      <c r="D10544" s="17" t="s">
        <v>17166</v>
      </c>
      <c r="E10544" s="17"/>
      <c r="F10544" s="17" t="s">
        <v>17246</v>
      </c>
      <c r="G10544" s="17"/>
      <c r="H10544" s="17" t="s">
        <v>20919</v>
      </c>
      <c r="I10544" s="17"/>
      <c r="J10544" s="17" t="s">
        <v>21313</v>
      </c>
      <c r="K10544" s="17"/>
      <c r="L10544" s="17" t="s">
        <v>22378</v>
      </c>
      <c r="M10544" s="17"/>
      <c r="N10544" s="17" t="s">
        <v>22459</v>
      </c>
      <c r="O10544" s="17"/>
      <c r="P10544" s="17" t="s">
        <v>45008</v>
      </c>
      <c r="Q10544" s="17"/>
      <c r="R10544" s="25" t="str">
        <f>HYPERLINK("https://ictv.global/taxonomy/taxondetails?taxnode_id=202317129","Hodnevirus allocaenenecus")</f>
        <v>Hodnevirus allocaenenecus</v>
      </c>
      <c r="S10544" s="18" t="s">
        <v>30</v>
      </c>
      <c r="T10544" s="18" t="s">
        <v>45047</v>
      </c>
      <c r="U10544" s="18"/>
      <c r="V10544" s="18"/>
      <c r="W10544" s="18" t="s">
        <v>45048</v>
      </c>
      <c r="X10544" s="18" t="s">
        <v>35</v>
      </c>
      <c r="Y10544" s="18" t="s">
        <v>17171</v>
      </c>
      <c r="Z10544" s="18" t="s">
        <v>24637</v>
      </c>
      <c r="AA10544" s="21" t="str">
        <f>HYPERLINK("https://www.ncbi.nlm.nih.gov/nuccore/CASDWV010000989","NCBI Nucleotide")</f>
        <v>NCBI Nucleotide</v>
      </c>
    </row>
    <row r="10545" spans="1:27" x14ac:dyDescent="0.35">
      <c r="A10545">
        <v>1026870</v>
      </c>
      <c r="B10545">
        <v>9870</v>
      </c>
      <c r="C10545">
        <v>1</v>
      </c>
      <c r="D10545" s="17" t="s">
        <v>17166</v>
      </c>
      <c r="E10545" s="17"/>
      <c r="F10545" s="17" t="s">
        <v>17246</v>
      </c>
      <c r="G10545" s="17"/>
      <c r="H10545" s="17" t="s">
        <v>20919</v>
      </c>
      <c r="I10545" s="17"/>
      <c r="J10545" s="17" t="s">
        <v>21313</v>
      </c>
      <c r="K10545" s="17"/>
      <c r="L10545" s="17" t="s">
        <v>22378</v>
      </c>
      <c r="M10545" s="17"/>
      <c r="N10545" s="17" t="s">
        <v>22459</v>
      </c>
      <c r="O10545" s="17"/>
      <c r="P10545" s="17" t="s">
        <v>45008</v>
      </c>
      <c r="Q10545" s="17"/>
      <c r="R10545" s="25" t="str">
        <f>HYPERLINK("https://ictv.global/taxonomy/taxondetails?taxnode_id=202317130","Hodnevirus allocaenicola")</f>
        <v>Hodnevirus allocaenicola</v>
      </c>
      <c r="S10545" s="18" t="s">
        <v>30</v>
      </c>
      <c r="T10545" s="18" t="s">
        <v>45049</v>
      </c>
      <c r="U10545" s="18"/>
      <c r="V10545" s="18"/>
      <c r="W10545" s="18" t="s">
        <v>45050</v>
      </c>
      <c r="X10545" s="18" t="s">
        <v>35</v>
      </c>
      <c r="Y10545" s="18" t="s">
        <v>17171</v>
      </c>
      <c r="Z10545" s="18" t="s">
        <v>24637</v>
      </c>
      <c r="AA10545" s="21" t="str">
        <f>HYPERLINK("https://www.ncbi.nlm.nih.gov/nuccore/CASDWV010000155","NCBI Nucleotide")</f>
        <v>NCBI Nucleotide</v>
      </c>
    </row>
    <row r="10546" spans="1:27" x14ac:dyDescent="0.35">
      <c r="A10546">
        <v>1026871</v>
      </c>
      <c r="B10546">
        <v>9871</v>
      </c>
      <c r="C10546">
        <v>1</v>
      </c>
      <c r="D10546" s="17" t="s">
        <v>17166</v>
      </c>
      <c r="E10546" s="17"/>
      <c r="F10546" s="17" t="s">
        <v>17246</v>
      </c>
      <c r="G10546" s="17"/>
      <c r="H10546" s="17" t="s">
        <v>20919</v>
      </c>
      <c r="I10546" s="17"/>
      <c r="J10546" s="17" t="s">
        <v>21313</v>
      </c>
      <c r="K10546" s="17"/>
      <c r="L10546" s="17" t="s">
        <v>22378</v>
      </c>
      <c r="M10546" s="17"/>
      <c r="N10546" s="17" t="s">
        <v>22459</v>
      </c>
      <c r="O10546" s="17"/>
      <c r="P10546" s="17" t="s">
        <v>45008</v>
      </c>
      <c r="Q10546" s="17"/>
      <c r="R10546" s="25" t="str">
        <f>HYPERLINK("https://ictv.global/taxonomy/taxondetails?taxnode_id=202317131","Hodnevirus allocaenihabitans")</f>
        <v>Hodnevirus allocaenihabitans</v>
      </c>
      <c r="S10546" s="18" t="s">
        <v>30</v>
      </c>
      <c r="T10546" s="18" t="s">
        <v>45051</v>
      </c>
      <c r="U10546" s="18"/>
      <c r="V10546" s="18"/>
      <c r="W10546" s="18" t="s">
        <v>45052</v>
      </c>
      <c r="X10546" s="18" t="s">
        <v>35</v>
      </c>
      <c r="Y10546" s="18" t="s">
        <v>17171</v>
      </c>
      <c r="Z10546" s="18" t="s">
        <v>24637</v>
      </c>
      <c r="AA10546" s="21" t="str">
        <f>HYPERLINK("https://www.ncbi.nlm.nih.gov/nuccore/CASDWV010002157","NCBI Nucleotide")</f>
        <v>NCBI Nucleotide</v>
      </c>
    </row>
    <row r="10547" spans="1:27" x14ac:dyDescent="0.35">
      <c r="A10547">
        <v>1026872</v>
      </c>
      <c r="B10547">
        <v>9872</v>
      </c>
      <c r="C10547">
        <v>1</v>
      </c>
      <c r="D10547" s="17" t="s">
        <v>17166</v>
      </c>
      <c r="E10547" s="17"/>
      <c r="F10547" s="17" t="s">
        <v>17246</v>
      </c>
      <c r="G10547" s="17"/>
      <c r="H10547" s="17" t="s">
        <v>20919</v>
      </c>
      <c r="I10547" s="17"/>
      <c r="J10547" s="17" t="s">
        <v>21313</v>
      </c>
      <c r="K10547" s="17"/>
      <c r="L10547" s="17" t="s">
        <v>22378</v>
      </c>
      <c r="M10547" s="17"/>
      <c r="N10547" s="17" t="s">
        <v>22459</v>
      </c>
      <c r="O10547" s="17"/>
      <c r="P10547" s="17" t="s">
        <v>45008</v>
      </c>
      <c r="Q10547" s="17"/>
      <c r="R10547" s="25" t="str">
        <f>HYPERLINK("https://ictv.global/taxonomy/taxondetails?taxnode_id=202317132","Hodnevirus allocaenivicinum")</f>
        <v>Hodnevirus allocaenivicinum</v>
      </c>
      <c r="S10547" s="18" t="s">
        <v>30</v>
      </c>
      <c r="T10547" s="18" t="s">
        <v>45053</v>
      </c>
      <c r="U10547" s="18"/>
      <c r="V10547" s="18"/>
      <c r="W10547" s="18" t="s">
        <v>45054</v>
      </c>
      <c r="X10547" s="18" t="s">
        <v>35</v>
      </c>
      <c r="Y10547" s="18" t="s">
        <v>17171</v>
      </c>
      <c r="Z10547" s="18" t="s">
        <v>24637</v>
      </c>
      <c r="AA10547" s="21" t="str">
        <f>HYPERLINK("https://www.ncbi.nlm.nih.gov/nuccore/CASDWV010000726","NCBI Nucleotide")</f>
        <v>NCBI Nucleotide</v>
      </c>
    </row>
    <row r="10548" spans="1:27" x14ac:dyDescent="0.35">
      <c r="A10548">
        <v>1026873</v>
      </c>
      <c r="B10548">
        <v>9873</v>
      </c>
      <c r="C10548">
        <v>1</v>
      </c>
      <c r="D10548" s="17" t="s">
        <v>17166</v>
      </c>
      <c r="E10548" s="17"/>
      <c r="F10548" s="17" t="s">
        <v>17246</v>
      </c>
      <c r="G10548" s="17"/>
      <c r="H10548" s="17" t="s">
        <v>20919</v>
      </c>
      <c r="I10548" s="17"/>
      <c r="J10548" s="17" t="s">
        <v>21313</v>
      </c>
      <c r="K10548" s="17"/>
      <c r="L10548" s="17" t="s">
        <v>22378</v>
      </c>
      <c r="M10548" s="17"/>
      <c r="N10548" s="17" t="s">
        <v>22459</v>
      </c>
      <c r="O10548" s="17"/>
      <c r="P10548" s="17" t="s">
        <v>45008</v>
      </c>
      <c r="Q10548" s="17"/>
      <c r="R10548" s="25" t="str">
        <f>HYPERLINK("https://ictv.global/taxonomy/taxondetails?taxnode_id=202317133","Hodnevirus allocaenivivens")</f>
        <v>Hodnevirus allocaenivivens</v>
      </c>
      <c r="S10548" s="18" t="s">
        <v>30</v>
      </c>
      <c r="T10548" s="18" t="s">
        <v>45055</v>
      </c>
      <c r="U10548" s="18"/>
      <c r="V10548" s="18"/>
      <c r="W10548" s="18" t="s">
        <v>45056</v>
      </c>
      <c r="X10548" s="18" t="s">
        <v>35</v>
      </c>
      <c r="Y10548" s="18" t="s">
        <v>17171</v>
      </c>
      <c r="Z10548" s="18" t="s">
        <v>24637</v>
      </c>
      <c r="AA10548" s="21" t="str">
        <f>HYPERLINK("https://www.ncbi.nlm.nih.gov/nuccore/CASDWV010001132","NCBI Nucleotide")</f>
        <v>NCBI Nucleotide</v>
      </c>
    </row>
    <row r="10549" spans="1:27" x14ac:dyDescent="0.35">
      <c r="A10549">
        <v>1026874</v>
      </c>
      <c r="B10549">
        <v>9874</v>
      </c>
      <c r="C10549">
        <v>1</v>
      </c>
      <c r="D10549" s="17" t="s">
        <v>17166</v>
      </c>
      <c r="E10549" s="17"/>
      <c r="F10549" s="17" t="s">
        <v>17246</v>
      </c>
      <c r="G10549" s="17"/>
      <c r="H10549" s="17" t="s">
        <v>20919</v>
      </c>
      <c r="I10549" s="17"/>
      <c r="J10549" s="17" t="s">
        <v>21313</v>
      </c>
      <c r="K10549" s="17"/>
      <c r="L10549" s="17" t="s">
        <v>22378</v>
      </c>
      <c r="M10549" s="17"/>
      <c r="N10549" s="17" t="s">
        <v>22459</v>
      </c>
      <c r="O10549" s="17"/>
      <c r="P10549" s="17" t="s">
        <v>45008</v>
      </c>
      <c r="Q10549" s="17"/>
      <c r="R10549" s="25" t="str">
        <f>HYPERLINK("https://ictv.global/taxonomy/taxondetails?taxnode_id=202317134","Hodnevirus allochoradaptatum")</f>
        <v>Hodnevirus allochoradaptatum</v>
      </c>
      <c r="S10549" s="18" t="s">
        <v>30</v>
      </c>
      <c r="T10549" s="18" t="s">
        <v>45057</v>
      </c>
      <c r="U10549" s="18"/>
      <c r="V10549" s="18"/>
      <c r="W10549" s="18" t="s">
        <v>45058</v>
      </c>
      <c r="X10549" s="18" t="s">
        <v>35</v>
      </c>
      <c r="Y10549" s="18" t="s">
        <v>17171</v>
      </c>
      <c r="Z10549" s="18" t="s">
        <v>24637</v>
      </c>
      <c r="AA10549" s="21" t="str">
        <f>HYPERLINK("https://www.ncbi.nlm.nih.gov/nuccore/CASDWV010000689","NCBI Nucleotide")</f>
        <v>NCBI Nucleotide</v>
      </c>
    </row>
    <row r="10550" spans="1:27" x14ac:dyDescent="0.35">
      <c r="A10550">
        <v>1026875</v>
      </c>
      <c r="B10550">
        <v>9875</v>
      </c>
      <c r="C10550">
        <v>1</v>
      </c>
      <c r="D10550" s="17" t="s">
        <v>17166</v>
      </c>
      <c r="E10550" s="17"/>
      <c r="F10550" s="17" t="s">
        <v>17246</v>
      </c>
      <c r="G10550" s="17"/>
      <c r="H10550" s="17" t="s">
        <v>20919</v>
      </c>
      <c r="I10550" s="17"/>
      <c r="J10550" s="17" t="s">
        <v>21313</v>
      </c>
      <c r="K10550" s="17"/>
      <c r="L10550" s="17" t="s">
        <v>22378</v>
      </c>
      <c r="M10550" s="17"/>
      <c r="N10550" s="17" t="s">
        <v>22459</v>
      </c>
      <c r="O10550" s="17"/>
      <c r="P10550" s="17" t="s">
        <v>45008</v>
      </c>
      <c r="Q10550" s="17"/>
      <c r="R10550" s="25" t="str">
        <f>HYPERLINK("https://ictv.global/taxonomy/taxondetails?taxnode_id=202317135","Hodnevirus allochorenecus")</f>
        <v>Hodnevirus allochorenecus</v>
      </c>
      <c r="S10550" s="18" t="s">
        <v>30</v>
      </c>
      <c r="T10550" s="18" t="s">
        <v>45059</v>
      </c>
      <c r="U10550" s="18"/>
      <c r="V10550" s="18"/>
      <c r="W10550" s="18" t="s">
        <v>45060</v>
      </c>
      <c r="X10550" s="18" t="s">
        <v>35</v>
      </c>
      <c r="Y10550" s="18" t="s">
        <v>17171</v>
      </c>
      <c r="Z10550" s="18" t="s">
        <v>24637</v>
      </c>
      <c r="AA10550" s="21" t="str">
        <f>HYPERLINK("https://www.ncbi.nlm.nih.gov/nuccore/CASDWV010004338","NCBI Nucleotide")</f>
        <v>NCBI Nucleotide</v>
      </c>
    </row>
    <row r="10551" spans="1:27" x14ac:dyDescent="0.35">
      <c r="A10551">
        <v>1026876</v>
      </c>
      <c r="B10551">
        <v>9876</v>
      </c>
      <c r="C10551">
        <v>1</v>
      </c>
      <c r="D10551" s="17" t="s">
        <v>17166</v>
      </c>
      <c r="E10551" s="17"/>
      <c r="F10551" s="17" t="s">
        <v>17246</v>
      </c>
      <c r="G10551" s="17"/>
      <c r="H10551" s="17" t="s">
        <v>20919</v>
      </c>
      <c r="I10551" s="17"/>
      <c r="J10551" s="17" t="s">
        <v>21313</v>
      </c>
      <c r="K10551" s="17"/>
      <c r="L10551" s="17" t="s">
        <v>22378</v>
      </c>
      <c r="M10551" s="17"/>
      <c r="N10551" s="17" t="s">
        <v>22459</v>
      </c>
      <c r="O10551" s="17"/>
      <c r="P10551" s="17" t="s">
        <v>45008</v>
      </c>
      <c r="Q10551" s="17"/>
      <c r="R10551" s="25" t="str">
        <f>HYPERLINK("https://ictv.global/taxonomy/taxondetails?taxnode_id=202317136","Hodnevirus allochorocola")</f>
        <v>Hodnevirus allochorocola</v>
      </c>
      <c r="S10551" s="18" t="s">
        <v>30</v>
      </c>
      <c r="T10551" s="18" t="s">
        <v>45061</v>
      </c>
      <c r="U10551" s="18"/>
      <c r="V10551" s="18"/>
      <c r="W10551" s="18" t="s">
        <v>45062</v>
      </c>
      <c r="X10551" s="18" t="s">
        <v>35</v>
      </c>
      <c r="Y10551" s="18" t="s">
        <v>17171</v>
      </c>
      <c r="Z10551" s="18" t="s">
        <v>24637</v>
      </c>
      <c r="AA10551" s="21" t="str">
        <f>HYPERLINK("https://www.ncbi.nlm.nih.gov/nuccore/CASDWV010001727","NCBI Nucleotide")</f>
        <v>NCBI Nucleotide</v>
      </c>
    </row>
    <row r="10552" spans="1:27" x14ac:dyDescent="0.35">
      <c r="A10552">
        <v>1026877</v>
      </c>
      <c r="B10552">
        <v>9877</v>
      </c>
      <c r="C10552">
        <v>1</v>
      </c>
      <c r="D10552" s="17" t="s">
        <v>17166</v>
      </c>
      <c r="E10552" s="17"/>
      <c r="F10552" s="17" t="s">
        <v>17246</v>
      </c>
      <c r="G10552" s="17"/>
      <c r="H10552" s="17" t="s">
        <v>20919</v>
      </c>
      <c r="I10552" s="17"/>
      <c r="J10552" s="17" t="s">
        <v>21313</v>
      </c>
      <c r="K10552" s="17"/>
      <c r="L10552" s="17" t="s">
        <v>22378</v>
      </c>
      <c r="M10552" s="17"/>
      <c r="N10552" s="17" t="s">
        <v>22459</v>
      </c>
      <c r="O10552" s="17"/>
      <c r="P10552" s="17" t="s">
        <v>45008</v>
      </c>
      <c r="Q10552" s="17"/>
      <c r="R10552" s="25" t="str">
        <f>HYPERLINK("https://ictv.global/taxonomy/taxondetails?taxnode_id=202317137","Hodnevirus allochorohabitans")</f>
        <v>Hodnevirus allochorohabitans</v>
      </c>
      <c r="S10552" s="18" t="s">
        <v>30</v>
      </c>
      <c r="T10552" s="18" t="s">
        <v>45063</v>
      </c>
      <c r="U10552" s="18"/>
      <c r="V10552" s="18"/>
      <c r="W10552" s="18" t="s">
        <v>45064</v>
      </c>
      <c r="X10552" s="18" t="s">
        <v>35</v>
      </c>
      <c r="Y10552" s="18" t="s">
        <v>17171</v>
      </c>
      <c r="Z10552" s="18" t="s">
        <v>24637</v>
      </c>
      <c r="AA10552" s="21" t="str">
        <f>HYPERLINK("https://www.ncbi.nlm.nih.gov/nuccore/CASDWV010003842","NCBI Nucleotide")</f>
        <v>NCBI Nucleotide</v>
      </c>
    </row>
    <row r="10553" spans="1:27" x14ac:dyDescent="0.35">
      <c r="A10553">
        <v>1026878</v>
      </c>
      <c r="B10553">
        <v>9878</v>
      </c>
      <c r="C10553">
        <v>1</v>
      </c>
      <c r="D10553" s="17" t="s">
        <v>17166</v>
      </c>
      <c r="E10553" s="17"/>
      <c r="F10553" s="17" t="s">
        <v>17246</v>
      </c>
      <c r="G10553" s="17"/>
      <c r="H10553" s="17" t="s">
        <v>20919</v>
      </c>
      <c r="I10553" s="17"/>
      <c r="J10553" s="17" t="s">
        <v>21313</v>
      </c>
      <c r="K10553" s="17"/>
      <c r="L10553" s="17" t="s">
        <v>22378</v>
      </c>
      <c r="M10553" s="17"/>
      <c r="N10553" s="17" t="s">
        <v>22459</v>
      </c>
      <c r="O10553" s="17"/>
      <c r="P10553" s="17" t="s">
        <v>45008</v>
      </c>
      <c r="Q10553" s="17"/>
      <c r="R10553" s="25" t="str">
        <f>HYPERLINK("https://ictv.global/taxonomy/taxondetails?taxnode_id=202317138","Hodnevirus allochorovicinum")</f>
        <v>Hodnevirus allochorovicinum</v>
      </c>
      <c r="S10553" s="18" t="s">
        <v>30</v>
      </c>
      <c r="T10553" s="18" t="s">
        <v>45065</v>
      </c>
      <c r="U10553" s="18"/>
      <c r="V10553" s="18"/>
      <c r="W10553" s="18" t="s">
        <v>45066</v>
      </c>
      <c r="X10553" s="18" t="s">
        <v>35</v>
      </c>
      <c r="Y10553" s="18" t="s">
        <v>17171</v>
      </c>
      <c r="Z10553" s="18" t="s">
        <v>24637</v>
      </c>
      <c r="AA10553" s="21" t="str">
        <f>HYPERLINK("https://www.ncbi.nlm.nih.gov/nuccore/CASDWV010001925","NCBI Nucleotide")</f>
        <v>NCBI Nucleotide</v>
      </c>
    </row>
    <row r="10554" spans="1:27" x14ac:dyDescent="0.35">
      <c r="A10554">
        <v>1026879</v>
      </c>
      <c r="B10554">
        <v>9879</v>
      </c>
      <c r="C10554">
        <v>1</v>
      </c>
      <c r="D10554" s="17" t="s">
        <v>17166</v>
      </c>
      <c r="E10554" s="17"/>
      <c r="F10554" s="17" t="s">
        <v>17246</v>
      </c>
      <c r="G10554" s="17"/>
      <c r="H10554" s="17" t="s">
        <v>20919</v>
      </c>
      <c r="I10554" s="17"/>
      <c r="J10554" s="17" t="s">
        <v>21313</v>
      </c>
      <c r="K10554" s="17"/>
      <c r="L10554" s="17" t="s">
        <v>22378</v>
      </c>
      <c r="M10554" s="17"/>
      <c r="N10554" s="17" t="s">
        <v>22459</v>
      </c>
      <c r="O10554" s="17"/>
      <c r="P10554" s="17" t="s">
        <v>45008</v>
      </c>
      <c r="Q10554" s="17"/>
      <c r="R10554" s="25" t="str">
        <f>HYPERLINK("https://ictv.global/taxonomy/taxondetails?taxnode_id=202317139","Hodnevirus allochorovivens")</f>
        <v>Hodnevirus allochorovivens</v>
      </c>
      <c r="S10554" s="18" t="s">
        <v>30</v>
      </c>
      <c r="T10554" s="18" t="s">
        <v>45067</v>
      </c>
      <c r="U10554" s="18"/>
      <c r="V10554" s="18"/>
      <c r="W10554" s="18" t="s">
        <v>45068</v>
      </c>
      <c r="X10554" s="18" t="s">
        <v>35</v>
      </c>
      <c r="Y10554" s="18" t="s">
        <v>17171</v>
      </c>
      <c r="Z10554" s="18" t="s">
        <v>24637</v>
      </c>
      <c r="AA10554" s="21" t="str">
        <f>HYPERLINK("https://www.ncbi.nlm.nih.gov/nuccore/CASDWV010002690","NCBI Nucleotide")</f>
        <v>NCBI Nucleotide</v>
      </c>
    </row>
    <row r="10555" spans="1:27" x14ac:dyDescent="0.35">
      <c r="A10555">
        <v>1026880</v>
      </c>
      <c r="B10555">
        <v>9880</v>
      </c>
      <c r="C10555">
        <v>1</v>
      </c>
      <c r="D10555" s="17" t="s">
        <v>17166</v>
      </c>
      <c r="E10555" s="17"/>
      <c r="F10555" s="17" t="s">
        <v>17246</v>
      </c>
      <c r="G10555" s="17"/>
      <c r="H10555" s="17" t="s">
        <v>20919</v>
      </c>
      <c r="I10555" s="17"/>
      <c r="J10555" s="17" t="s">
        <v>21313</v>
      </c>
      <c r="K10555" s="17"/>
      <c r="L10555" s="17" t="s">
        <v>22378</v>
      </c>
      <c r="M10555" s="17"/>
      <c r="N10555" s="17" t="s">
        <v>22459</v>
      </c>
      <c r="O10555" s="17"/>
      <c r="P10555" s="17" t="s">
        <v>45008</v>
      </c>
      <c r="Q10555" s="17"/>
      <c r="R10555" s="25" t="str">
        <f>HYPERLINK("https://ictv.global/taxonomy/taxondetails?taxnode_id=202317140","Hodnevirus allochthonadaptatum")</f>
        <v>Hodnevirus allochthonadaptatum</v>
      </c>
      <c r="S10555" s="18" t="s">
        <v>30</v>
      </c>
      <c r="T10555" s="18" t="s">
        <v>45069</v>
      </c>
      <c r="U10555" s="18"/>
      <c r="V10555" s="18"/>
      <c r="W10555" s="18" t="s">
        <v>45070</v>
      </c>
      <c r="X10555" s="18" t="s">
        <v>35</v>
      </c>
      <c r="Y10555" s="18" t="s">
        <v>17171</v>
      </c>
      <c r="Z10555" s="18" t="s">
        <v>24637</v>
      </c>
      <c r="AA10555" s="21" t="str">
        <f>HYPERLINK("https://www.ncbi.nlm.nih.gov/nuccore/CASDWV010000661","NCBI Nucleotide")</f>
        <v>NCBI Nucleotide</v>
      </c>
    </row>
    <row r="10556" spans="1:27" x14ac:dyDescent="0.35">
      <c r="A10556">
        <v>1026881</v>
      </c>
      <c r="B10556">
        <v>9881</v>
      </c>
      <c r="C10556">
        <v>1</v>
      </c>
      <c r="D10556" s="17" t="s">
        <v>17166</v>
      </c>
      <c r="E10556" s="17"/>
      <c r="F10556" s="17" t="s">
        <v>17246</v>
      </c>
      <c r="G10556" s="17"/>
      <c r="H10556" s="17" t="s">
        <v>20919</v>
      </c>
      <c r="I10556" s="17"/>
      <c r="J10556" s="17" t="s">
        <v>21313</v>
      </c>
      <c r="K10556" s="17"/>
      <c r="L10556" s="17" t="s">
        <v>22378</v>
      </c>
      <c r="M10556" s="17"/>
      <c r="N10556" s="17" t="s">
        <v>22459</v>
      </c>
      <c r="O10556" s="17"/>
      <c r="P10556" s="17" t="s">
        <v>45008</v>
      </c>
      <c r="Q10556" s="17"/>
      <c r="R10556" s="25" t="str">
        <f>HYPERLINK("https://ictv.global/taxonomy/taxondetails?taxnode_id=202317141","Hodnevirus allochthonenecus")</f>
        <v>Hodnevirus allochthonenecus</v>
      </c>
      <c r="S10556" s="18" t="s">
        <v>30</v>
      </c>
      <c r="T10556" s="18" t="s">
        <v>45071</v>
      </c>
      <c r="U10556" s="18"/>
      <c r="V10556" s="18"/>
      <c r="W10556" s="18" t="s">
        <v>45072</v>
      </c>
      <c r="X10556" s="18" t="s">
        <v>35</v>
      </c>
      <c r="Y10556" s="18" t="s">
        <v>17171</v>
      </c>
      <c r="Z10556" s="18" t="s">
        <v>24637</v>
      </c>
      <c r="AA10556" s="21" t="str">
        <f>HYPERLINK("https://www.ncbi.nlm.nih.gov/nuccore/CASDWV010001330","NCBI Nucleotide")</f>
        <v>NCBI Nucleotide</v>
      </c>
    </row>
    <row r="10557" spans="1:27" x14ac:dyDescent="0.35">
      <c r="A10557">
        <v>1026882</v>
      </c>
      <c r="B10557">
        <v>9882</v>
      </c>
      <c r="C10557">
        <v>1</v>
      </c>
      <c r="D10557" s="17" t="s">
        <v>17166</v>
      </c>
      <c r="E10557" s="17"/>
      <c r="F10557" s="17" t="s">
        <v>17246</v>
      </c>
      <c r="G10557" s="17"/>
      <c r="H10557" s="17" t="s">
        <v>20919</v>
      </c>
      <c r="I10557" s="17"/>
      <c r="J10557" s="17" t="s">
        <v>21313</v>
      </c>
      <c r="K10557" s="17"/>
      <c r="L10557" s="17" t="s">
        <v>22378</v>
      </c>
      <c r="M10557" s="17"/>
      <c r="N10557" s="17" t="s">
        <v>22459</v>
      </c>
      <c r="O10557" s="17"/>
      <c r="P10557" s="17" t="s">
        <v>45008</v>
      </c>
      <c r="Q10557" s="17"/>
      <c r="R10557" s="25" t="str">
        <f>HYPERLINK("https://ictv.global/taxonomy/taxondetails?taxnode_id=202317142","Hodnevirus allochthonocola")</f>
        <v>Hodnevirus allochthonocola</v>
      </c>
      <c r="S10557" s="18" t="s">
        <v>30</v>
      </c>
      <c r="T10557" s="18" t="s">
        <v>45073</v>
      </c>
      <c r="U10557" s="18"/>
      <c r="V10557" s="18"/>
      <c r="W10557" s="18" t="s">
        <v>45074</v>
      </c>
      <c r="X10557" s="18" t="s">
        <v>35</v>
      </c>
      <c r="Y10557" s="18" t="s">
        <v>17171</v>
      </c>
      <c r="Z10557" s="18" t="s">
        <v>24637</v>
      </c>
      <c r="AA10557" s="21" t="str">
        <f>HYPERLINK("https://www.ncbi.nlm.nih.gov/nuccore/CASDWV010001560","NCBI Nucleotide")</f>
        <v>NCBI Nucleotide</v>
      </c>
    </row>
    <row r="10558" spans="1:27" x14ac:dyDescent="0.35">
      <c r="A10558">
        <v>1026883</v>
      </c>
      <c r="B10558">
        <v>9883</v>
      </c>
      <c r="C10558">
        <v>1</v>
      </c>
      <c r="D10558" s="17" t="s">
        <v>17166</v>
      </c>
      <c r="E10558" s="17"/>
      <c r="F10558" s="17" t="s">
        <v>17246</v>
      </c>
      <c r="G10558" s="17"/>
      <c r="H10558" s="17" t="s">
        <v>20919</v>
      </c>
      <c r="I10558" s="17"/>
      <c r="J10558" s="17" t="s">
        <v>21313</v>
      </c>
      <c r="K10558" s="17"/>
      <c r="L10558" s="17" t="s">
        <v>22378</v>
      </c>
      <c r="M10558" s="17"/>
      <c r="N10558" s="17" t="s">
        <v>22459</v>
      </c>
      <c r="O10558" s="17"/>
      <c r="P10558" s="17" t="s">
        <v>45008</v>
      </c>
      <c r="Q10558" s="17"/>
      <c r="R10558" s="25" t="str">
        <f>HYPERLINK("https://ictv.global/taxonomy/taxondetails?taxnode_id=202317143","Hodnevirus allochthonohabitans")</f>
        <v>Hodnevirus allochthonohabitans</v>
      </c>
      <c r="S10558" s="18" t="s">
        <v>30</v>
      </c>
      <c r="T10558" s="18" t="s">
        <v>45075</v>
      </c>
      <c r="U10558" s="18"/>
      <c r="V10558" s="18"/>
      <c r="W10558" s="18" t="s">
        <v>45076</v>
      </c>
      <c r="X10558" s="18" t="s">
        <v>35</v>
      </c>
      <c r="Y10558" s="18" t="s">
        <v>17171</v>
      </c>
      <c r="Z10558" s="18" t="s">
        <v>24637</v>
      </c>
      <c r="AA10558" s="21" t="str">
        <f>HYPERLINK("https://www.ncbi.nlm.nih.gov/nuccore/CASDWV010002169","NCBI Nucleotide")</f>
        <v>NCBI Nucleotide</v>
      </c>
    </row>
    <row r="10559" spans="1:27" x14ac:dyDescent="0.35">
      <c r="A10559">
        <v>1026884</v>
      </c>
      <c r="B10559">
        <v>9884</v>
      </c>
      <c r="C10559">
        <v>1</v>
      </c>
      <c r="D10559" s="17" t="s">
        <v>17166</v>
      </c>
      <c r="E10559" s="17"/>
      <c r="F10559" s="17" t="s">
        <v>17246</v>
      </c>
      <c r="G10559" s="17"/>
      <c r="H10559" s="17" t="s">
        <v>20919</v>
      </c>
      <c r="I10559" s="17"/>
      <c r="J10559" s="17" t="s">
        <v>21313</v>
      </c>
      <c r="K10559" s="17"/>
      <c r="L10559" s="17" t="s">
        <v>22378</v>
      </c>
      <c r="M10559" s="17"/>
      <c r="N10559" s="17" t="s">
        <v>22459</v>
      </c>
      <c r="O10559" s="17"/>
      <c r="P10559" s="17" t="s">
        <v>45008</v>
      </c>
      <c r="Q10559" s="17"/>
      <c r="R10559" s="25" t="str">
        <f>HYPERLINK("https://ictv.global/taxonomy/taxondetails?taxnode_id=202317144","Hodnevirus allochthonovicinum")</f>
        <v>Hodnevirus allochthonovicinum</v>
      </c>
      <c r="S10559" s="18" t="s">
        <v>30</v>
      </c>
      <c r="T10559" s="18" t="s">
        <v>45077</v>
      </c>
      <c r="U10559" s="18"/>
      <c r="V10559" s="18"/>
      <c r="W10559" s="18" t="s">
        <v>45078</v>
      </c>
      <c r="X10559" s="18" t="s">
        <v>35</v>
      </c>
      <c r="Y10559" s="18" t="s">
        <v>17171</v>
      </c>
      <c r="Z10559" s="18" t="s">
        <v>24637</v>
      </c>
      <c r="AA10559" s="21" t="str">
        <f>HYPERLINK("https://www.ncbi.nlm.nih.gov/nuccore/CASDWV010000882","NCBI Nucleotide")</f>
        <v>NCBI Nucleotide</v>
      </c>
    </row>
    <row r="10560" spans="1:27" x14ac:dyDescent="0.35">
      <c r="A10560">
        <v>1026885</v>
      </c>
      <c r="B10560">
        <v>9885</v>
      </c>
      <c r="C10560">
        <v>1</v>
      </c>
      <c r="D10560" s="17" t="s">
        <v>17166</v>
      </c>
      <c r="E10560" s="17"/>
      <c r="F10560" s="17" t="s">
        <v>17246</v>
      </c>
      <c r="G10560" s="17"/>
      <c r="H10560" s="17" t="s">
        <v>20919</v>
      </c>
      <c r="I10560" s="17"/>
      <c r="J10560" s="17" t="s">
        <v>21313</v>
      </c>
      <c r="K10560" s="17"/>
      <c r="L10560" s="17" t="s">
        <v>22378</v>
      </c>
      <c r="M10560" s="17"/>
      <c r="N10560" s="17" t="s">
        <v>22459</v>
      </c>
      <c r="O10560" s="17"/>
      <c r="P10560" s="17" t="s">
        <v>45008</v>
      </c>
      <c r="Q10560" s="17"/>
      <c r="R10560" s="25" t="str">
        <f>HYPERLINK("https://ictv.global/taxonomy/taxondetails?taxnode_id=202317145","Hodnevirus allochthonovivens")</f>
        <v>Hodnevirus allochthonovivens</v>
      </c>
      <c r="S10560" s="18" t="s">
        <v>30</v>
      </c>
      <c r="T10560" s="18" t="s">
        <v>45079</v>
      </c>
      <c r="U10560" s="18"/>
      <c r="V10560" s="18"/>
      <c r="W10560" s="18" t="s">
        <v>45080</v>
      </c>
      <c r="X10560" s="18" t="s">
        <v>35</v>
      </c>
      <c r="Y10560" s="18" t="s">
        <v>17171</v>
      </c>
      <c r="Z10560" s="18" t="s">
        <v>24637</v>
      </c>
      <c r="AA10560" s="21" t="str">
        <f>HYPERLINK("https://www.ncbi.nlm.nih.gov/nuccore/CASDWV010000109","NCBI Nucleotide")</f>
        <v>NCBI Nucleotide</v>
      </c>
    </row>
    <row r="10561" spans="1:27" x14ac:dyDescent="0.35">
      <c r="A10561">
        <v>1026886</v>
      </c>
      <c r="B10561">
        <v>9886</v>
      </c>
      <c r="C10561">
        <v>1</v>
      </c>
      <c r="D10561" s="17" t="s">
        <v>17166</v>
      </c>
      <c r="E10561" s="17"/>
      <c r="F10561" s="17" t="s">
        <v>17246</v>
      </c>
      <c r="G10561" s="17"/>
      <c r="H10561" s="17" t="s">
        <v>20919</v>
      </c>
      <c r="I10561" s="17"/>
      <c r="J10561" s="17" t="s">
        <v>21313</v>
      </c>
      <c r="K10561" s="17"/>
      <c r="L10561" s="17" t="s">
        <v>22378</v>
      </c>
      <c r="M10561" s="17"/>
      <c r="N10561" s="17" t="s">
        <v>22459</v>
      </c>
      <c r="O10561" s="17"/>
      <c r="P10561" s="17" t="s">
        <v>45008</v>
      </c>
      <c r="Q10561" s="17"/>
      <c r="R10561" s="25" t="str">
        <f>HYPERLINK("https://ictv.global/taxonomy/taxondetails?taxnode_id=202317146","Hodnevirus alloedaphadaptatum")</f>
        <v>Hodnevirus alloedaphadaptatum</v>
      </c>
      <c r="S10561" s="18" t="s">
        <v>30</v>
      </c>
      <c r="T10561" s="18" t="s">
        <v>45081</v>
      </c>
      <c r="U10561" s="18"/>
      <c r="V10561" s="18"/>
      <c r="W10561" s="18" t="s">
        <v>45082</v>
      </c>
      <c r="X10561" s="18" t="s">
        <v>35</v>
      </c>
      <c r="Y10561" s="18" t="s">
        <v>17171</v>
      </c>
      <c r="Z10561" s="18" t="s">
        <v>24637</v>
      </c>
      <c r="AA10561" s="21" t="str">
        <f>HYPERLINK("https://www.ncbi.nlm.nih.gov/nuccore/CASDWV010002733","NCBI Nucleotide")</f>
        <v>NCBI Nucleotide</v>
      </c>
    </row>
    <row r="10562" spans="1:27" x14ac:dyDescent="0.35">
      <c r="A10562">
        <v>1026887</v>
      </c>
      <c r="B10562">
        <v>9887</v>
      </c>
      <c r="C10562">
        <v>1</v>
      </c>
      <c r="D10562" s="17" t="s">
        <v>17166</v>
      </c>
      <c r="E10562" s="17"/>
      <c r="F10562" s="17" t="s">
        <v>17246</v>
      </c>
      <c r="G10562" s="17"/>
      <c r="H10562" s="17" t="s">
        <v>20919</v>
      </c>
      <c r="I10562" s="17"/>
      <c r="J10562" s="17" t="s">
        <v>21313</v>
      </c>
      <c r="K10562" s="17"/>
      <c r="L10562" s="17" t="s">
        <v>22378</v>
      </c>
      <c r="M10562" s="17"/>
      <c r="N10562" s="17" t="s">
        <v>22459</v>
      </c>
      <c r="O10562" s="17"/>
      <c r="P10562" s="17" t="s">
        <v>45008</v>
      </c>
      <c r="Q10562" s="17"/>
      <c r="R10562" s="25" t="str">
        <f>HYPERLINK("https://ictv.global/taxonomy/taxondetails?taxnode_id=202317147","Hodnevirus alloedaphenecus")</f>
        <v>Hodnevirus alloedaphenecus</v>
      </c>
      <c r="S10562" s="18" t="s">
        <v>30</v>
      </c>
      <c r="T10562" s="18" t="s">
        <v>45083</v>
      </c>
      <c r="U10562" s="18"/>
      <c r="V10562" s="18"/>
      <c r="W10562" s="18" t="s">
        <v>45084</v>
      </c>
      <c r="X10562" s="18" t="s">
        <v>35</v>
      </c>
      <c r="Y10562" s="18" t="s">
        <v>17171</v>
      </c>
      <c r="Z10562" s="18" t="s">
        <v>24637</v>
      </c>
      <c r="AA10562" s="21" t="str">
        <f>HYPERLINK("https://www.ncbi.nlm.nih.gov/nuccore/CASDWV010001153","NCBI Nucleotide")</f>
        <v>NCBI Nucleotide</v>
      </c>
    </row>
    <row r="10563" spans="1:27" x14ac:dyDescent="0.35">
      <c r="A10563">
        <v>1026888</v>
      </c>
      <c r="B10563">
        <v>9888</v>
      </c>
      <c r="C10563">
        <v>1</v>
      </c>
      <c r="D10563" s="17" t="s">
        <v>17166</v>
      </c>
      <c r="E10563" s="17"/>
      <c r="F10563" s="17" t="s">
        <v>17246</v>
      </c>
      <c r="G10563" s="17"/>
      <c r="H10563" s="17" t="s">
        <v>20919</v>
      </c>
      <c r="I10563" s="17"/>
      <c r="J10563" s="17" t="s">
        <v>21313</v>
      </c>
      <c r="K10563" s="17"/>
      <c r="L10563" s="17" t="s">
        <v>22378</v>
      </c>
      <c r="M10563" s="17"/>
      <c r="N10563" s="17" t="s">
        <v>22459</v>
      </c>
      <c r="O10563" s="17"/>
      <c r="P10563" s="17" t="s">
        <v>45008</v>
      </c>
      <c r="Q10563" s="17"/>
      <c r="R10563" s="25" t="str">
        <f>HYPERLINK("https://ictv.global/taxonomy/taxondetails?taxnode_id=202317148","Hodnevirus alloedaphocola")</f>
        <v>Hodnevirus alloedaphocola</v>
      </c>
      <c r="S10563" s="18" t="s">
        <v>30</v>
      </c>
      <c r="T10563" s="18" t="s">
        <v>45085</v>
      </c>
      <c r="U10563" s="18"/>
      <c r="V10563" s="18"/>
      <c r="W10563" s="18" t="s">
        <v>45086</v>
      </c>
      <c r="X10563" s="18" t="s">
        <v>35</v>
      </c>
      <c r="Y10563" s="18" t="s">
        <v>17171</v>
      </c>
      <c r="Z10563" s="18" t="s">
        <v>24637</v>
      </c>
      <c r="AA10563" s="21" t="str">
        <f>HYPERLINK("https://www.ncbi.nlm.nih.gov/nuccore/CASDWV010000325","NCBI Nucleotide")</f>
        <v>NCBI Nucleotide</v>
      </c>
    </row>
    <row r="10564" spans="1:27" x14ac:dyDescent="0.35">
      <c r="A10564">
        <v>1026889</v>
      </c>
      <c r="B10564">
        <v>9889</v>
      </c>
      <c r="C10564">
        <v>1</v>
      </c>
      <c r="D10564" s="17" t="s">
        <v>17166</v>
      </c>
      <c r="E10564" s="17"/>
      <c r="F10564" s="17" t="s">
        <v>17246</v>
      </c>
      <c r="G10564" s="17"/>
      <c r="H10564" s="17" t="s">
        <v>20919</v>
      </c>
      <c r="I10564" s="17"/>
      <c r="J10564" s="17" t="s">
        <v>21313</v>
      </c>
      <c r="K10564" s="17"/>
      <c r="L10564" s="17" t="s">
        <v>22378</v>
      </c>
      <c r="M10564" s="17"/>
      <c r="N10564" s="17" t="s">
        <v>22459</v>
      </c>
      <c r="O10564" s="17"/>
      <c r="P10564" s="17" t="s">
        <v>45008</v>
      </c>
      <c r="Q10564" s="17"/>
      <c r="R10564" s="25" t="str">
        <f>HYPERLINK("https://ictv.global/taxonomy/taxondetails?taxnode_id=202317149","Hodnevirus alloedaphohabitans")</f>
        <v>Hodnevirus alloedaphohabitans</v>
      </c>
      <c r="S10564" s="18" t="s">
        <v>30</v>
      </c>
      <c r="T10564" s="18" t="s">
        <v>45087</v>
      </c>
      <c r="U10564" s="18"/>
      <c r="V10564" s="18"/>
      <c r="W10564" s="18" t="s">
        <v>45088</v>
      </c>
      <c r="X10564" s="18" t="s">
        <v>35</v>
      </c>
      <c r="Y10564" s="18" t="s">
        <v>17171</v>
      </c>
      <c r="Z10564" s="18" t="s">
        <v>24637</v>
      </c>
      <c r="AA10564" s="21" t="str">
        <f>HYPERLINK("https://www.ncbi.nlm.nih.gov/nuccore/CASDWV010002845","NCBI Nucleotide")</f>
        <v>NCBI Nucleotide</v>
      </c>
    </row>
    <row r="10565" spans="1:27" x14ac:dyDescent="0.35">
      <c r="A10565">
        <v>1026890</v>
      </c>
      <c r="B10565">
        <v>9890</v>
      </c>
      <c r="C10565">
        <v>1</v>
      </c>
      <c r="D10565" s="17" t="s">
        <v>17166</v>
      </c>
      <c r="E10565" s="17"/>
      <c r="F10565" s="17" t="s">
        <v>17246</v>
      </c>
      <c r="G10565" s="17"/>
      <c r="H10565" s="17" t="s">
        <v>20919</v>
      </c>
      <c r="I10565" s="17"/>
      <c r="J10565" s="17" t="s">
        <v>21313</v>
      </c>
      <c r="K10565" s="17"/>
      <c r="L10565" s="17" t="s">
        <v>22378</v>
      </c>
      <c r="M10565" s="17"/>
      <c r="N10565" s="17" t="s">
        <v>22459</v>
      </c>
      <c r="O10565" s="17"/>
      <c r="P10565" s="17" t="s">
        <v>45008</v>
      </c>
      <c r="Q10565" s="17"/>
      <c r="R10565" s="25" t="str">
        <f>HYPERLINK("https://ictv.global/taxonomy/taxondetails?taxnode_id=202317150","Hodnevirus alloedaphovicinum")</f>
        <v>Hodnevirus alloedaphovicinum</v>
      </c>
      <c r="S10565" s="18" t="s">
        <v>30</v>
      </c>
      <c r="T10565" s="18" t="s">
        <v>45089</v>
      </c>
      <c r="U10565" s="18"/>
      <c r="V10565" s="18"/>
      <c r="W10565" s="18" t="s">
        <v>45090</v>
      </c>
      <c r="X10565" s="18" t="s">
        <v>35</v>
      </c>
      <c r="Y10565" s="18" t="s">
        <v>17171</v>
      </c>
      <c r="Z10565" s="18" t="s">
        <v>24637</v>
      </c>
      <c r="AA10565" s="21" t="str">
        <f>HYPERLINK("https://www.ncbi.nlm.nih.gov/nuccore/CASDWV010001726","NCBI Nucleotide")</f>
        <v>NCBI Nucleotide</v>
      </c>
    </row>
    <row r="10566" spans="1:27" x14ac:dyDescent="0.35">
      <c r="A10566">
        <v>1026891</v>
      </c>
      <c r="B10566">
        <v>9891</v>
      </c>
      <c r="C10566">
        <v>1</v>
      </c>
      <c r="D10566" s="17" t="s">
        <v>17166</v>
      </c>
      <c r="E10566" s="17"/>
      <c r="F10566" s="17" t="s">
        <v>17246</v>
      </c>
      <c r="G10566" s="17"/>
      <c r="H10566" s="17" t="s">
        <v>20919</v>
      </c>
      <c r="I10566" s="17"/>
      <c r="J10566" s="17" t="s">
        <v>21313</v>
      </c>
      <c r="K10566" s="17"/>
      <c r="L10566" s="17" t="s">
        <v>22378</v>
      </c>
      <c r="M10566" s="17"/>
      <c r="N10566" s="17" t="s">
        <v>22459</v>
      </c>
      <c r="O10566" s="17"/>
      <c r="P10566" s="17" t="s">
        <v>45008</v>
      </c>
      <c r="Q10566" s="17"/>
      <c r="R10566" s="25" t="str">
        <f>HYPERLINK("https://ictv.global/taxonomy/taxondetails?taxnode_id=202317151","Hodnevirus alloedaphovivens")</f>
        <v>Hodnevirus alloedaphovivens</v>
      </c>
      <c r="S10566" s="18" t="s">
        <v>30</v>
      </c>
      <c r="T10566" s="18" t="s">
        <v>45091</v>
      </c>
      <c r="U10566" s="18"/>
      <c r="V10566" s="18"/>
      <c r="W10566" s="18" t="s">
        <v>45092</v>
      </c>
      <c r="X10566" s="18" t="s">
        <v>35</v>
      </c>
      <c r="Y10566" s="18" t="s">
        <v>17171</v>
      </c>
      <c r="Z10566" s="18" t="s">
        <v>24637</v>
      </c>
      <c r="AA10566" s="21" t="str">
        <f>HYPERLINK("https://www.ncbi.nlm.nih.gov/nuccore/CASDWV010001286","NCBI Nucleotide")</f>
        <v>NCBI Nucleotide</v>
      </c>
    </row>
    <row r="10567" spans="1:27" x14ac:dyDescent="0.35">
      <c r="A10567">
        <v>1026892</v>
      </c>
      <c r="B10567">
        <v>9892</v>
      </c>
      <c r="C10567">
        <v>1</v>
      </c>
      <c r="D10567" s="17" t="s">
        <v>17166</v>
      </c>
      <c r="E10567" s="17"/>
      <c r="F10567" s="17" t="s">
        <v>17246</v>
      </c>
      <c r="G10567" s="17"/>
      <c r="H10567" s="17" t="s">
        <v>20919</v>
      </c>
      <c r="I10567" s="17"/>
      <c r="J10567" s="17" t="s">
        <v>21313</v>
      </c>
      <c r="K10567" s="17"/>
      <c r="L10567" s="17" t="s">
        <v>22378</v>
      </c>
      <c r="M10567" s="17"/>
      <c r="N10567" s="17" t="s">
        <v>22459</v>
      </c>
      <c r="O10567" s="17"/>
      <c r="P10567" s="17" t="s">
        <v>45008</v>
      </c>
      <c r="Q10567" s="17"/>
      <c r="R10567" s="25" t="str">
        <f>HYPERLINK("https://ictv.global/taxonomy/taxondetails?taxnode_id=202317152","Hodnevirus allofaecadaptatum")</f>
        <v>Hodnevirus allofaecadaptatum</v>
      </c>
      <c r="S10567" s="18" t="s">
        <v>30</v>
      </c>
      <c r="T10567" s="18" t="s">
        <v>45093</v>
      </c>
      <c r="U10567" s="18"/>
      <c r="V10567" s="18" t="s">
        <v>45093</v>
      </c>
      <c r="W10567" s="18" t="s">
        <v>45094</v>
      </c>
      <c r="X10567" s="18" t="s">
        <v>35</v>
      </c>
      <c r="Y10567" s="18" t="s">
        <v>17171</v>
      </c>
      <c r="Z10567" s="18" t="s">
        <v>24637</v>
      </c>
      <c r="AA10567" s="21" t="str">
        <f>HYPERLINK("https://www.ncbi.nlm.nih.gov/nuccore/MZ679557","NCBI Nucleotide")</f>
        <v>NCBI Nucleotide</v>
      </c>
    </row>
    <row r="10568" spans="1:27" x14ac:dyDescent="0.35">
      <c r="A10568">
        <v>1026893</v>
      </c>
      <c r="B10568">
        <v>9893</v>
      </c>
      <c r="C10568">
        <v>1</v>
      </c>
      <c r="D10568" s="17" t="s">
        <v>17166</v>
      </c>
      <c r="E10568" s="17"/>
      <c r="F10568" s="17" t="s">
        <v>17246</v>
      </c>
      <c r="G10568" s="17"/>
      <c r="H10568" s="17" t="s">
        <v>20919</v>
      </c>
      <c r="I10568" s="17"/>
      <c r="J10568" s="17" t="s">
        <v>21313</v>
      </c>
      <c r="K10568" s="17"/>
      <c r="L10568" s="17" t="s">
        <v>22378</v>
      </c>
      <c r="M10568" s="17"/>
      <c r="N10568" s="17" t="s">
        <v>22459</v>
      </c>
      <c r="O10568" s="17"/>
      <c r="P10568" s="17" t="s">
        <v>45008</v>
      </c>
      <c r="Q10568" s="17"/>
      <c r="R10568" s="25" t="str">
        <f>HYPERLINK("https://ictv.global/taxonomy/taxondetails?taxnode_id=202317153","Hodnevirus allofaecenecus")</f>
        <v>Hodnevirus allofaecenecus</v>
      </c>
      <c r="S10568" s="18" t="s">
        <v>30</v>
      </c>
      <c r="T10568" s="18" t="s">
        <v>45095</v>
      </c>
      <c r="U10568" s="18"/>
      <c r="V10568" s="18" t="s">
        <v>45095</v>
      </c>
      <c r="W10568" s="18" t="s">
        <v>45096</v>
      </c>
      <c r="X10568" s="18" t="s">
        <v>35</v>
      </c>
      <c r="Y10568" s="18" t="s">
        <v>17171</v>
      </c>
      <c r="Z10568" s="18" t="s">
        <v>24637</v>
      </c>
      <c r="AA10568" s="21" t="str">
        <f>HYPERLINK("https://www.ncbi.nlm.nih.gov/nuccore/MZ679796","NCBI Nucleotide")</f>
        <v>NCBI Nucleotide</v>
      </c>
    </row>
    <row r="10569" spans="1:27" x14ac:dyDescent="0.35">
      <c r="A10569">
        <v>1026894</v>
      </c>
      <c r="B10569">
        <v>9894</v>
      </c>
      <c r="C10569">
        <v>1</v>
      </c>
      <c r="D10569" s="17" t="s">
        <v>17166</v>
      </c>
      <c r="E10569" s="17"/>
      <c r="F10569" s="17" t="s">
        <v>17246</v>
      </c>
      <c r="G10569" s="17"/>
      <c r="H10569" s="17" t="s">
        <v>20919</v>
      </c>
      <c r="I10569" s="17"/>
      <c r="J10569" s="17" t="s">
        <v>21313</v>
      </c>
      <c r="K10569" s="17"/>
      <c r="L10569" s="17" t="s">
        <v>22378</v>
      </c>
      <c r="M10569" s="17"/>
      <c r="N10569" s="17" t="s">
        <v>22459</v>
      </c>
      <c r="O10569" s="17"/>
      <c r="P10569" s="17" t="s">
        <v>45008</v>
      </c>
      <c r="Q10569" s="17"/>
      <c r="R10569" s="25" t="str">
        <f>HYPERLINK("https://ictv.global/taxonomy/taxondetails?taxnode_id=202317154","Hodnevirus allofaecicola")</f>
        <v>Hodnevirus allofaecicola</v>
      </c>
      <c r="S10569" s="18" t="s">
        <v>30</v>
      </c>
      <c r="T10569" s="18" t="s">
        <v>45097</v>
      </c>
      <c r="U10569" s="18"/>
      <c r="V10569" s="18" t="s">
        <v>45097</v>
      </c>
      <c r="W10569" s="18" t="s">
        <v>45098</v>
      </c>
      <c r="X10569" s="18" t="s">
        <v>35</v>
      </c>
      <c r="Y10569" s="18" t="s">
        <v>17171</v>
      </c>
      <c r="Z10569" s="18" t="s">
        <v>24637</v>
      </c>
      <c r="AA10569" s="21" t="str">
        <f>HYPERLINK("https://www.ncbi.nlm.nih.gov/nuccore/MZ679739","NCBI Nucleotide")</f>
        <v>NCBI Nucleotide</v>
      </c>
    </row>
    <row r="10570" spans="1:27" x14ac:dyDescent="0.35">
      <c r="A10570">
        <v>1026895</v>
      </c>
      <c r="B10570">
        <v>9895</v>
      </c>
      <c r="C10570">
        <v>1</v>
      </c>
      <c r="D10570" s="17" t="s">
        <v>17166</v>
      </c>
      <c r="E10570" s="17"/>
      <c r="F10570" s="17" t="s">
        <v>17246</v>
      </c>
      <c r="G10570" s="17"/>
      <c r="H10570" s="17" t="s">
        <v>20919</v>
      </c>
      <c r="I10570" s="17"/>
      <c r="J10570" s="17" t="s">
        <v>21313</v>
      </c>
      <c r="K10570" s="17"/>
      <c r="L10570" s="17" t="s">
        <v>22378</v>
      </c>
      <c r="M10570" s="17"/>
      <c r="N10570" s="17" t="s">
        <v>22459</v>
      </c>
      <c r="O10570" s="17"/>
      <c r="P10570" s="17" t="s">
        <v>45008</v>
      </c>
      <c r="Q10570" s="17"/>
      <c r="R10570" s="25" t="str">
        <f>HYPERLINK("https://ictv.global/taxonomy/taxondetails?taxnode_id=202317155","Hodnevirus allofaecihabitans")</f>
        <v>Hodnevirus allofaecihabitans</v>
      </c>
      <c r="S10570" s="18" t="s">
        <v>30</v>
      </c>
      <c r="T10570" s="18" t="s">
        <v>45099</v>
      </c>
      <c r="U10570" s="18"/>
      <c r="V10570" s="18" t="s">
        <v>45099</v>
      </c>
      <c r="W10570" s="18" t="s">
        <v>45100</v>
      </c>
      <c r="X10570" s="18" t="s">
        <v>35</v>
      </c>
      <c r="Y10570" s="18" t="s">
        <v>17171</v>
      </c>
      <c r="Z10570" s="18" t="s">
        <v>24637</v>
      </c>
      <c r="AA10570" s="21" t="str">
        <f>HYPERLINK("https://www.ncbi.nlm.nih.gov/nuccore/MZ679741","NCBI Nucleotide")</f>
        <v>NCBI Nucleotide</v>
      </c>
    </row>
    <row r="10571" spans="1:27" x14ac:dyDescent="0.35">
      <c r="A10571">
        <v>1026896</v>
      </c>
      <c r="B10571">
        <v>9896</v>
      </c>
      <c r="C10571">
        <v>1</v>
      </c>
      <c r="D10571" s="17" t="s">
        <v>17166</v>
      </c>
      <c r="E10571" s="17"/>
      <c r="F10571" s="17" t="s">
        <v>17246</v>
      </c>
      <c r="G10571" s="17"/>
      <c r="H10571" s="17" t="s">
        <v>20919</v>
      </c>
      <c r="I10571" s="17"/>
      <c r="J10571" s="17" t="s">
        <v>21313</v>
      </c>
      <c r="K10571" s="17"/>
      <c r="L10571" s="17" t="s">
        <v>22378</v>
      </c>
      <c r="M10571" s="17"/>
      <c r="N10571" s="17" t="s">
        <v>22459</v>
      </c>
      <c r="O10571" s="17"/>
      <c r="P10571" s="17" t="s">
        <v>45008</v>
      </c>
      <c r="Q10571" s="17"/>
      <c r="R10571" s="25" t="str">
        <f>HYPERLINK("https://ictv.global/taxonomy/taxondetails?taxnode_id=202317156","Hodnevirus allogeoadaptatum")</f>
        <v>Hodnevirus allogeoadaptatum</v>
      </c>
      <c r="S10571" s="18" t="s">
        <v>30</v>
      </c>
      <c r="T10571" s="18" t="s">
        <v>45101</v>
      </c>
      <c r="U10571" s="18"/>
      <c r="V10571" s="18"/>
      <c r="W10571" s="18" t="s">
        <v>45102</v>
      </c>
      <c r="X10571" s="18" t="s">
        <v>35</v>
      </c>
      <c r="Y10571" s="18" t="s">
        <v>17171</v>
      </c>
      <c r="Z10571" s="18" t="s">
        <v>24637</v>
      </c>
      <c r="AA10571" s="21" t="str">
        <f>HYPERLINK("https://www.ncbi.nlm.nih.gov/nuccore/CASDWV010002779","NCBI Nucleotide")</f>
        <v>NCBI Nucleotide</v>
      </c>
    </row>
    <row r="10572" spans="1:27" x14ac:dyDescent="0.35">
      <c r="A10572">
        <v>1026897</v>
      </c>
      <c r="B10572">
        <v>9897</v>
      </c>
      <c r="C10572">
        <v>1</v>
      </c>
      <c r="D10572" s="17" t="s">
        <v>17166</v>
      </c>
      <c r="E10572" s="17"/>
      <c r="F10572" s="17" t="s">
        <v>17246</v>
      </c>
      <c r="G10572" s="17"/>
      <c r="H10572" s="17" t="s">
        <v>20919</v>
      </c>
      <c r="I10572" s="17"/>
      <c r="J10572" s="17" t="s">
        <v>21313</v>
      </c>
      <c r="K10572" s="17"/>
      <c r="L10572" s="17" t="s">
        <v>22378</v>
      </c>
      <c r="M10572" s="17"/>
      <c r="N10572" s="17" t="s">
        <v>22459</v>
      </c>
      <c r="O10572" s="17"/>
      <c r="P10572" s="17" t="s">
        <v>45008</v>
      </c>
      <c r="Q10572" s="17"/>
      <c r="R10572" s="25" t="str">
        <f>HYPERLINK("https://ictv.global/taxonomy/taxondetails?taxnode_id=202317157","Hodnevirus allogeocola")</f>
        <v>Hodnevirus allogeocola</v>
      </c>
      <c r="S10572" s="18" t="s">
        <v>30</v>
      </c>
      <c r="T10572" s="18" t="s">
        <v>45103</v>
      </c>
      <c r="U10572" s="18"/>
      <c r="V10572" s="18"/>
      <c r="W10572" s="18" t="s">
        <v>45104</v>
      </c>
      <c r="X10572" s="18" t="s">
        <v>35</v>
      </c>
      <c r="Y10572" s="18" t="s">
        <v>17171</v>
      </c>
      <c r="Z10572" s="18" t="s">
        <v>24637</v>
      </c>
      <c r="AA10572" s="21" t="str">
        <f>HYPERLINK("https://www.ncbi.nlm.nih.gov/nuccore/CASDWV010002322","NCBI Nucleotide")</f>
        <v>NCBI Nucleotide</v>
      </c>
    </row>
    <row r="10573" spans="1:27" x14ac:dyDescent="0.35">
      <c r="A10573">
        <v>1026898</v>
      </c>
      <c r="B10573">
        <v>9898</v>
      </c>
      <c r="C10573">
        <v>1</v>
      </c>
      <c r="D10573" s="17" t="s">
        <v>17166</v>
      </c>
      <c r="E10573" s="17"/>
      <c r="F10573" s="17" t="s">
        <v>17246</v>
      </c>
      <c r="G10573" s="17"/>
      <c r="H10573" s="17" t="s">
        <v>20919</v>
      </c>
      <c r="I10573" s="17"/>
      <c r="J10573" s="17" t="s">
        <v>21313</v>
      </c>
      <c r="K10573" s="17"/>
      <c r="L10573" s="17" t="s">
        <v>22378</v>
      </c>
      <c r="M10573" s="17"/>
      <c r="N10573" s="17" t="s">
        <v>22459</v>
      </c>
      <c r="O10573" s="17"/>
      <c r="P10573" s="17" t="s">
        <v>45008</v>
      </c>
      <c r="Q10573" s="17"/>
      <c r="R10573" s="25" t="str">
        <f>HYPERLINK("https://ictv.global/taxonomy/taxondetails?taxnode_id=202317158","Hodnevirus allogeoenecus")</f>
        <v>Hodnevirus allogeoenecus</v>
      </c>
      <c r="S10573" s="18" t="s">
        <v>30</v>
      </c>
      <c r="T10573" s="18" t="s">
        <v>45105</v>
      </c>
      <c r="U10573" s="18"/>
      <c r="V10573" s="18"/>
      <c r="W10573" s="18" t="s">
        <v>45106</v>
      </c>
      <c r="X10573" s="18" t="s">
        <v>35</v>
      </c>
      <c r="Y10573" s="18" t="s">
        <v>17171</v>
      </c>
      <c r="Z10573" s="18" t="s">
        <v>24637</v>
      </c>
      <c r="AA10573" s="21" t="str">
        <f>HYPERLINK("https://www.ncbi.nlm.nih.gov/nuccore/CASDWV010001734","NCBI Nucleotide")</f>
        <v>NCBI Nucleotide</v>
      </c>
    </row>
    <row r="10574" spans="1:27" x14ac:dyDescent="0.35">
      <c r="A10574">
        <v>1026899</v>
      </c>
      <c r="B10574">
        <v>9899</v>
      </c>
      <c r="C10574">
        <v>1</v>
      </c>
      <c r="D10574" s="17" t="s">
        <v>17166</v>
      </c>
      <c r="E10574" s="17"/>
      <c r="F10574" s="17" t="s">
        <v>17246</v>
      </c>
      <c r="G10574" s="17"/>
      <c r="H10574" s="17" t="s">
        <v>20919</v>
      </c>
      <c r="I10574" s="17"/>
      <c r="J10574" s="17" t="s">
        <v>21313</v>
      </c>
      <c r="K10574" s="17"/>
      <c r="L10574" s="17" t="s">
        <v>22378</v>
      </c>
      <c r="M10574" s="17"/>
      <c r="N10574" s="17" t="s">
        <v>22459</v>
      </c>
      <c r="O10574" s="17"/>
      <c r="P10574" s="17" t="s">
        <v>45008</v>
      </c>
      <c r="Q10574" s="17"/>
      <c r="R10574" s="25" t="str">
        <f>HYPERLINK("https://ictv.global/taxonomy/taxondetails?taxnode_id=202317159","Hodnevirus allogeohabitans")</f>
        <v>Hodnevirus allogeohabitans</v>
      </c>
      <c r="S10574" s="18" t="s">
        <v>30</v>
      </c>
      <c r="T10574" s="18" t="s">
        <v>45107</v>
      </c>
      <c r="U10574" s="18"/>
      <c r="V10574" s="18"/>
      <c r="W10574" s="18" t="s">
        <v>45108</v>
      </c>
      <c r="X10574" s="18" t="s">
        <v>35</v>
      </c>
      <c r="Y10574" s="18" t="s">
        <v>17171</v>
      </c>
      <c r="Z10574" s="18" t="s">
        <v>24637</v>
      </c>
      <c r="AA10574" s="21" t="str">
        <f>HYPERLINK("https://www.ncbi.nlm.nih.gov/nuccore/CASDWV010001368","NCBI Nucleotide")</f>
        <v>NCBI Nucleotide</v>
      </c>
    </row>
    <row r="10575" spans="1:27" x14ac:dyDescent="0.35">
      <c r="A10575">
        <v>1026900</v>
      </c>
      <c r="B10575">
        <v>9900</v>
      </c>
      <c r="C10575">
        <v>1</v>
      </c>
      <c r="D10575" s="17" t="s">
        <v>17166</v>
      </c>
      <c r="E10575" s="17"/>
      <c r="F10575" s="17" t="s">
        <v>17246</v>
      </c>
      <c r="G10575" s="17"/>
      <c r="H10575" s="17" t="s">
        <v>20919</v>
      </c>
      <c r="I10575" s="17"/>
      <c r="J10575" s="17" t="s">
        <v>21313</v>
      </c>
      <c r="K10575" s="17"/>
      <c r="L10575" s="17" t="s">
        <v>22378</v>
      </c>
      <c r="M10575" s="17"/>
      <c r="N10575" s="17" t="s">
        <v>22459</v>
      </c>
      <c r="O10575" s="17"/>
      <c r="P10575" s="17" t="s">
        <v>45008</v>
      </c>
      <c r="Q10575" s="17"/>
      <c r="R10575" s="25" t="str">
        <f>HYPERLINK("https://ictv.global/taxonomy/taxondetails?taxnode_id=202317160","Hodnevirus allogeovicinum")</f>
        <v>Hodnevirus allogeovicinum</v>
      </c>
      <c r="S10575" s="18" t="s">
        <v>30</v>
      </c>
      <c r="T10575" s="18" t="s">
        <v>45109</v>
      </c>
      <c r="U10575" s="18"/>
      <c r="V10575" s="18"/>
      <c r="W10575" s="18" t="s">
        <v>45110</v>
      </c>
      <c r="X10575" s="18" t="s">
        <v>35</v>
      </c>
      <c r="Y10575" s="18" t="s">
        <v>17171</v>
      </c>
      <c r="Z10575" s="18" t="s">
        <v>24637</v>
      </c>
      <c r="AA10575" s="21" t="str">
        <f>HYPERLINK("https://www.ncbi.nlm.nih.gov/nuccore/CASDWV010003833","NCBI Nucleotide")</f>
        <v>NCBI Nucleotide</v>
      </c>
    </row>
    <row r="10576" spans="1:27" x14ac:dyDescent="0.35">
      <c r="A10576">
        <v>1026901</v>
      </c>
      <c r="B10576">
        <v>9901</v>
      </c>
      <c r="C10576">
        <v>1</v>
      </c>
      <c r="D10576" s="17" t="s">
        <v>17166</v>
      </c>
      <c r="E10576" s="17"/>
      <c r="F10576" s="17" t="s">
        <v>17246</v>
      </c>
      <c r="G10576" s="17"/>
      <c r="H10576" s="17" t="s">
        <v>20919</v>
      </c>
      <c r="I10576" s="17"/>
      <c r="J10576" s="17" t="s">
        <v>21313</v>
      </c>
      <c r="K10576" s="17"/>
      <c r="L10576" s="17" t="s">
        <v>22378</v>
      </c>
      <c r="M10576" s="17"/>
      <c r="N10576" s="17" t="s">
        <v>22459</v>
      </c>
      <c r="O10576" s="17"/>
      <c r="P10576" s="17" t="s">
        <v>45008</v>
      </c>
      <c r="Q10576" s="17"/>
      <c r="R10576" s="25" t="str">
        <f>HYPERLINK("https://ictv.global/taxonomy/taxondetails?taxnode_id=202317161","Hodnevirus allogeovivens")</f>
        <v>Hodnevirus allogeovivens</v>
      </c>
      <c r="S10576" s="18" t="s">
        <v>30</v>
      </c>
      <c r="T10576" s="18" t="s">
        <v>45111</v>
      </c>
      <c r="U10576" s="18"/>
      <c r="V10576" s="18"/>
      <c r="W10576" s="18" t="s">
        <v>45112</v>
      </c>
      <c r="X10576" s="18" t="s">
        <v>35</v>
      </c>
      <c r="Y10576" s="18" t="s">
        <v>17171</v>
      </c>
      <c r="Z10576" s="18" t="s">
        <v>24637</v>
      </c>
      <c r="AA10576" s="21" t="str">
        <f>HYPERLINK("https://www.ncbi.nlm.nih.gov/nuccore/CASDWV010001231","NCBI Nucleotide")</f>
        <v>NCBI Nucleotide</v>
      </c>
    </row>
    <row r="10577" spans="1:27" x14ac:dyDescent="0.35">
      <c r="A10577">
        <v>1026902</v>
      </c>
      <c r="B10577">
        <v>9902</v>
      </c>
      <c r="C10577">
        <v>1</v>
      </c>
      <c r="D10577" s="17" t="s">
        <v>17166</v>
      </c>
      <c r="E10577" s="17"/>
      <c r="F10577" s="17" t="s">
        <v>17246</v>
      </c>
      <c r="G10577" s="17"/>
      <c r="H10577" s="17" t="s">
        <v>20919</v>
      </c>
      <c r="I10577" s="17"/>
      <c r="J10577" s="17" t="s">
        <v>21313</v>
      </c>
      <c r="K10577" s="17"/>
      <c r="L10577" s="17" t="s">
        <v>22378</v>
      </c>
      <c r="M10577" s="17"/>
      <c r="N10577" s="17" t="s">
        <v>22459</v>
      </c>
      <c r="O10577" s="17"/>
      <c r="P10577" s="17" t="s">
        <v>45008</v>
      </c>
      <c r="Q10577" s="17"/>
      <c r="R10577" s="25" t="str">
        <f>HYPERLINK("https://ictv.global/taxonomy/taxondetails?taxnode_id=202317162","Hodnevirus allohumadaptatum")</f>
        <v>Hodnevirus allohumadaptatum</v>
      </c>
      <c r="S10577" s="18" t="s">
        <v>30</v>
      </c>
      <c r="T10577" s="18" t="s">
        <v>45113</v>
      </c>
      <c r="U10577" s="18"/>
      <c r="V10577" s="18"/>
      <c r="W10577" s="18" t="s">
        <v>45114</v>
      </c>
      <c r="X10577" s="18" t="s">
        <v>35</v>
      </c>
      <c r="Y10577" s="18" t="s">
        <v>17171</v>
      </c>
      <c r="Z10577" s="18" t="s">
        <v>24637</v>
      </c>
      <c r="AA10577" s="21" t="str">
        <f>HYPERLINK("https://www.ncbi.nlm.nih.gov/nuccore/CASDWV010004384","NCBI Nucleotide")</f>
        <v>NCBI Nucleotide</v>
      </c>
    </row>
    <row r="10578" spans="1:27" x14ac:dyDescent="0.35">
      <c r="A10578">
        <v>1026903</v>
      </c>
      <c r="B10578">
        <v>9903</v>
      </c>
      <c r="C10578">
        <v>1</v>
      </c>
      <c r="D10578" s="17" t="s">
        <v>17166</v>
      </c>
      <c r="E10578" s="17"/>
      <c r="F10578" s="17" t="s">
        <v>17246</v>
      </c>
      <c r="G10578" s="17"/>
      <c r="H10578" s="17" t="s">
        <v>20919</v>
      </c>
      <c r="I10578" s="17"/>
      <c r="J10578" s="17" t="s">
        <v>21313</v>
      </c>
      <c r="K10578" s="17"/>
      <c r="L10578" s="17" t="s">
        <v>22378</v>
      </c>
      <c r="M10578" s="17"/>
      <c r="N10578" s="17" t="s">
        <v>22459</v>
      </c>
      <c r="O10578" s="17"/>
      <c r="P10578" s="17" t="s">
        <v>45008</v>
      </c>
      <c r="Q10578" s="17"/>
      <c r="R10578" s="25" t="str">
        <f>HYPERLINK("https://ictv.global/taxonomy/taxondetails?taxnode_id=202317163","Hodnevirus allohumenecus")</f>
        <v>Hodnevirus allohumenecus</v>
      </c>
      <c r="S10578" s="18" t="s">
        <v>30</v>
      </c>
      <c r="T10578" s="18" t="s">
        <v>45115</v>
      </c>
      <c r="U10578" s="18"/>
      <c r="V10578" s="18"/>
      <c r="W10578" s="18" t="s">
        <v>45116</v>
      </c>
      <c r="X10578" s="18" t="s">
        <v>35</v>
      </c>
      <c r="Y10578" s="18" t="s">
        <v>17171</v>
      </c>
      <c r="Z10578" s="18" t="s">
        <v>24637</v>
      </c>
      <c r="AA10578" s="21" t="str">
        <f>HYPERLINK("https://www.ncbi.nlm.nih.gov/nuccore/CASDWV010003582","NCBI Nucleotide")</f>
        <v>NCBI Nucleotide</v>
      </c>
    </row>
    <row r="10579" spans="1:27" x14ac:dyDescent="0.35">
      <c r="A10579">
        <v>1026904</v>
      </c>
      <c r="B10579">
        <v>9904</v>
      </c>
      <c r="C10579">
        <v>1</v>
      </c>
      <c r="D10579" s="17" t="s">
        <v>17166</v>
      </c>
      <c r="E10579" s="17"/>
      <c r="F10579" s="17" t="s">
        <v>17246</v>
      </c>
      <c r="G10579" s="17"/>
      <c r="H10579" s="17" t="s">
        <v>20919</v>
      </c>
      <c r="I10579" s="17"/>
      <c r="J10579" s="17" t="s">
        <v>21313</v>
      </c>
      <c r="K10579" s="17"/>
      <c r="L10579" s="17" t="s">
        <v>22378</v>
      </c>
      <c r="M10579" s="17"/>
      <c r="N10579" s="17" t="s">
        <v>22459</v>
      </c>
      <c r="O10579" s="17"/>
      <c r="P10579" s="17" t="s">
        <v>45008</v>
      </c>
      <c r="Q10579" s="17"/>
      <c r="R10579" s="25" t="str">
        <f>HYPERLINK("https://ictv.global/taxonomy/taxondetails?taxnode_id=202317164","Hodnevirus allohumicola")</f>
        <v>Hodnevirus allohumicola</v>
      </c>
      <c r="S10579" s="18" t="s">
        <v>30</v>
      </c>
      <c r="T10579" s="18" t="s">
        <v>45117</v>
      </c>
      <c r="U10579" s="18"/>
      <c r="V10579" s="18"/>
      <c r="W10579" s="18" t="s">
        <v>45118</v>
      </c>
      <c r="X10579" s="18" t="s">
        <v>35</v>
      </c>
      <c r="Y10579" s="18" t="s">
        <v>17171</v>
      </c>
      <c r="Z10579" s="18" t="s">
        <v>24637</v>
      </c>
      <c r="AA10579" s="21" t="str">
        <f>HYPERLINK("https://www.ncbi.nlm.nih.gov/nuccore/CASDWV010000347","NCBI Nucleotide")</f>
        <v>NCBI Nucleotide</v>
      </c>
    </row>
    <row r="10580" spans="1:27" x14ac:dyDescent="0.35">
      <c r="A10580">
        <v>1026905</v>
      </c>
      <c r="B10580">
        <v>9905</v>
      </c>
      <c r="C10580">
        <v>1</v>
      </c>
      <c r="D10580" s="17" t="s">
        <v>17166</v>
      </c>
      <c r="E10580" s="17"/>
      <c r="F10580" s="17" t="s">
        <v>17246</v>
      </c>
      <c r="G10580" s="17"/>
      <c r="H10580" s="17" t="s">
        <v>20919</v>
      </c>
      <c r="I10580" s="17"/>
      <c r="J10580" s="17" t="s">
        <v>21313</v>
      </c>
      <c r="K10580" s="17"/>
      <c r="L10580" s="17" t="s">
        <v>22378</v>
      </c>
      <c r="M10580" s="17"/>
      <c r="N10580" s="17" t="s">
        <v>22459</v>
      </c>
      <c r="O10580" s="17"/>
      <c r="P10580" s="17" t="s">
        <v>45008</v>
      </c>
      <c r="Q10580" s="17"/>
      <c r="R10580" s="25" t="str">
        <f>HYPERLINK("https://ictv.global/taxonomy/taxondetails?taxnode_id=202317165","Hodnevirus allohumihabitans")</f>
        <v>Hodnevirus allohumihabitans</v>
      </c>
      <c r="S10580" s="18" t="s">
        <v>30</v>
      </c>
      <c r="T10580" s="18" t="s">
        <v>45119</v>
      </c>
      <c r="U10580" s="18"/>
      <c r="V10580" s="18"/>
      <c r="W10580" s="18" t="s">
        <v>45120</v>
      </c>
      <c r="X10580" s="18" t="s">
        <v>35</v>
      </c>
      <c r="Y10580" s="18" t="s">
        <v>17171</v>
      </c>
      <c r="Z10580" s="18" t="s">
        <v>24637</v>
      </c>
      <c r="AA10580" s="21" t="str">
        <f>HYPERLINK("https://www.ncbi.nlm.nih.gov/nuccore/CASDWV010003701","NCBI Nucleotide")</f>
        <v>NCBI Nucleotide</v>
      </c>
    </row>
    <row r="10581" spans="1:27" x14ac:dyDescent="0.35">
      <c r="A10581">
        <v>1026906</v>
      </c>
      <c r="B10581">
        <v>9906</v>
      </c>
      <c r="C10581">
        <v>1</v>
      </c>
      <c r="D10581" s="17" t="s">
        <v>17166</v>
      </c>
      <c r="E10581" s="17"/>
      <c r="F10581" s="17" t="s">
        <v>17246</v>
      </c>
      <c r="G10581" s="17"/>
      <c r="H10581" s="17" t="s">
        <v>20919</v>
      </c>
      <c r="I10581" s="17"/>
      <c r="J10581" s="17" t="s">
        <v>21313</v>
      </c>
      <c r="K10581" s="17"/>
      <c r="L10581" s="17" t="s">
        <v>22378</v>
      </c>
      <c r="M10581" s="17"/>
      <c r="N10581" s="17" t="s">
        <v>22459</v>
      </c>
      <c r="O10581" s="17"/>
      <c r="P10581" s="17" t="s">
        <v>45008</v>
      </c>
      <c r="Q10581" s="17"/>
      <c r="R10581" s="25" t="str">
        <f>HYPERLINK("https://ictv.global/taxonomy/taxondetails?taxnode_id=202317166","Hodnevirus allohumivicinum")</f>
        <v>Hodnevirus allohumivicinum</v>
      </c>
      <c r="S10581" s="18" t="s">
        <v>30</v>
      </c>
      <c r="T10581" s="18" t="s">
        <v>45121</v>
      </c>
      <c r="U10581" s="18"/>
      <c r="V10581" s="18"/>
      <c r="W10581" s="18" t="s">
        <v>45122</v>
      </c>
      <c r="X10581" s="18" t="s">
        <v>35</v>
      </c>
      <c r="Y10581" s="18" t="s">
        <v>17171</v>
      </c>
      <c r="Z10581" s="18" t="s">
        <v>24637</v>
      </c>
      <c r="AA10581" s="21" t="str">
        <f>HYPERLINK("https://www.ncbi.nlm.nih.gov/nuccore/CASDWV010000856","NCBI Nucleotide")</f>
        <v>NCBI Nucleotide</v>
      </c>
    </row>
    <row r="10582" spans="1:27" x14ac:dyDescent="0.35">
      <c r="A10582">
        <v>1026907</v>
      </c>
      <c r="B10582">
        <v>9907</v>
      </c>
      <c r="C10582">
        <v>1</v>
      </c>
      <c r="D10582" s="17" t="s">
        <v>17166</v>
      </c>
      <c r="E10582" s="17"/>
      <c r="F10582" s="17" t="s">
        <v>17246</v>
      </c>
      <c r="G10582" s="17"/>
      <c r="H10582" s="17" t="s">
        <v>20919</v>
      </c>
      <c r="I10582" s="17"/>
      <c r="J10582" s="17" t="s">
        <v>21313</v>
      </c>
      <c r="K10582" s="17"/>
      <c r="L10582" s="17" t="s">
        <v>22378</v>
      </c>
      <c r="M10582" s="17"/>
      <c r="N10582" s="17" t="s">
        <v>22459</v>
      </c>
      <c r="O10582" s="17"/>
      <c r="P10582" s="17" t="s">
        <v>45008</v>
      </c>
      <c r="Q10582" s="17"/>
      <c r="R10582" s="25" t="str">
        <f>HYPERLINK("https://ictv.global/taxonomy/taxondetails?taxnode_id=202317167","Hodnevirus allohumivivens")</f>
        <v>Hodnevirus allohumivivens</v>
      </c>
      <c r="S10582" s="18" t="s">
        <v>30</v>
      </c>
      <c r="T10582" s="18" t="s">
        <v>45123</v>
      </c>
      <c r="U10582" s="18"/>
      <c r="V10582" s="18"/>
      <c r="W10582" s="18" t="s">
        <v>45124</v>
      </c>
      <c r="X10582" s="18" t="s">
        <v>35</v>
      </c>
      <c r="Y10582" s="18" t="s">
        <v>17171</v>
      </c>
      <c r="Z10582" s="18" t="s">
        <v>24637</v>
      </c>
      <c r="AA10582" s="21" t="str">
        <f>HYPERLINK("https://www.ncbi.nlm.nih.gov/nuccore/CASDWV010003076","NCBI Nucleotide")</f>
        <v>NCBI Nucleotide</v>
      </c>
    </row>
    <row r="10583" spans="1:27" x14ac:dyDescent="0.35">
      <c r="A10583">
        <v>1026908</v>
      </c>
      <c r="B10583">
        <v>9908</v>
      </c>
      <c r="C10583">
        <v>1</v>
      </c>
      <c r="D10583" s="17" t="s">
        <v>17166</v>
      </c>
      <c r="E10583" s="17"/>
      <c r="F10583" s="17" t="s">
        <v>17246</v>
      </c>
      <c r="G10583" s="17"/>
      <c r="H10583" s="17" t="s">
        <v>20919</v>
      </c>
      <c r="I10583" s="17"/>
      <c r="J10583" s="17" t="s">
        <v>21313</v>
      </c>
      <c r="K10583" s="17"/>
      <c r="L10583" s="17" t="s">
        <v>22378</v>
      </c>
      <c r="M10583" s="17"/>
      <c r="N10583" s="17" t="s">
        <v>22459</v>
      </c>
      <c r="O10583" s="17"/>
      <c r="P10583" s="17" t="s">
        <v>45008</v>
      </c>
      <c r="Q10583" s="17"/>
      <c r="R10583" s="25" t="str">
        <f>HYPERLINK("https://ictv.global/taxonomy/taxondetails?taxnode_id=202317168","Hodnevirus allolimadaptatum")</f>
        <v>Hodnevirus allolimadaptatum</v>
      </c>
      <c r="S10583" s="18" t="s">
        <v>30</v>
      </c>
      <c r="T10583" s="18" t="s">
        <v>45125</v>
      </c>
      <c r="U10583" s="18"/>
      <c r="V10583" s="18"/>
      <c r="W10583" s="18" t="s">
        <v>45126</v>
      </c>
      <c r="X10583" s="18" t="s">
        <v>35</v>
      </c>
      <c r="Y10583" s="18" t="s">
        <v>17171</v>
      </c>
      <c r="Z10583" s="18" t="s">
        <v>24637</v>
      </c>
      <c r="AA10583" s="21" t="str">
        <f>HYPERLINK("https://www.ncbi.nlm.nih.gov/nuccore/CASDWV010002430","NCBI Nucleotide")</f>
        <v>NCBI Nucleotide</v>
      </c>
    </row>
    <row r="10584" spans="1:27" x14ac:dyDescent="0.35">
      <c r="A10584">
        <v>1026909</v>
      </c>
      <c r="B10584">
        <v>9909</v>
      </c>
      <c r="C10584">
        <v>1</v>
      </c>
      <c r="D10584" s="17" t="s">
        <v>17166</v>
      </c>
      <c r="E10584" s="17"/>
      <c r="F10584" s="17" t="s">
        <v>17246</v>
      </c>
      <c r="G10584" s="17"/>
      <c r="H10584" s="17" t="s">
        <v>20919</v>
      </c>
      <c r="I10584" s="17"/>
      <c r="J10584" s="17" t="s">
        <v>21313</v>
      </c>
      <c r="K10584" s="17"/>
      <c r="L10584" s="17" t="s">
        <v>22378</v>
      </c>
      <c r="M10584" s="17"/>
      <c r="N10584" s="17" t="s">
        <v>22459</v>
      </c>
      <c r="O10584" s="17"/>
      <c r="P10584" s="17" t="s">
        <v>45008</v>
      </c>
      <c r="Q10584" s="17"/>
      <c r="R10584" s="25" t="str">
        <f>HYPERLINK("https://ictv.global/taxonomy/taxondetails?taxnode_id=202317169","Hodnevirus allolimenecus")</f>
        <v>Hodnevirus allolimenecus</v>
      </c>
      <c r="S10584" s="18" t="s">
        <v>30</v>
      </c>
      <c r="T10584" s="18" t="s">
        <v>45127</v>
      </c>
      <c r="U10584" s="18"/>
      <c r="V10584" s="18"/>
      <c r="W10584" s="18" t="s">
        <v>45128</v>
      </c>
      <c r="X10584" s="18" t="s">
        <v>35</v>
      </c>
      <c r="Y10584" s="18" t="s">
        <v>17171</v>
      </c>
      <c r="Z10584" s="18" t="s">
        <v>24637</v>
      </c>
      <c r="AA10584" s="21" t="str">
        <f>HYPERLINK("https://www.ncbi.nlm.nih.gov/nuccore/CASDWV010002464","NCBI Nucleotide")</f>
        <v>NCBI Nucleotide</v>
      </c>
    </row>
    <row r="10585" spans="1:27" x14ac:dyDescent="0.35">
      <c r="A10585">
        <v>1026910</v>
      </c>
      <c r="B10585">
        <v>9910</v>
      </c>
      <c r="C10585">
        <v>1</v>
      </c>
      <c r="D10585" s="17" t="s">
        <v>17166</v>
      </c>
      <c r="E10585" s="17"/>
      <c r="F10585" s="17" t="s">
        <v>17246</v>
      </c>
      <c r="G10585" s="17"/>
      <c r="H10585" s="17" t="s">
        <v>20919</v>
      </c>
      <c r="I10585" s="17"/>
      <c r="J10585" s="17" t="s">
        <v>21313</v>
      </c>
      <c r="K10585" s="17"/>
      <c r="L10585" s="17" t="s">
        <v>22378</v>
      </c>
      <c r="M10585" s="17"/>
      <c r="N10585" s="17" t="s">
        <v>22459</v>
      </c>
      <c r="O10585" s="17"/>
      <c r="P10585" s="17" t="s">
        <v>45008</v>
      </c>
      <c r="Q10585" s="17"/>
      <c r="R10585" s="25" t="str">
        <f>HYPERLINK("https://ictv.global/taxonomy/taxondetails?taxnode_id=202317170","Hodnevirus allolimicola")</f>
        <v>Hodnevirus allolimicola</v>
      </c>
      <c r="S10585" s="18" t="s">
        <v>30</v>
      </c>
      <c r="T10585" s="18" t="s">
        <v>45129</v>
      </c>
      <c r="U10585" s="18"/>
      <c r="V10585" s="18"/>
      <c r="W10585" s="18" t="s">
        <v>45130</v>
      </c>
      <c r="X10585" s="18" t="s">
        <v>35</v>
      </c>
      <c r="Y10585" s="18" t="s">
        <v>17171</v>
      </c>
      <c r="Z10585" s="18" t="s">
        <v>24637</v>
      </c>
      <c r="AA10585" s="21" t="str">
        <f>HYPERLINK("https://www.ncbi.nlm.nih.gov/nuccore/CASDWV010002922","NCBI Nucleotide")</f>
        <v>NCBI Nucleotide</v>
      </c>
    </row>
    <row r="10586" spans="1:27" x14ac:dyDescent="0.35">
      <c r="A10586">
        <v>1026911</v>
      </c>
      <c r="B10586">
        <v>9911</v>
      </c>
      <c r="C10586">
        <v>1</v>
      </c>
      <c r="D10586" s="17" t="s">
        <v>17166</v>
      </c>
      <c r="E10586" s="17"/>
      <c r="F10586" s="17" t="s">
        <v>17246</v>
      </c>
      <c r="G10586" s="17"/>
      <c r="H10586" s="17" t="s">
        <v>20919</v>
      </c>
      <c r="I10586" s="17"/>
      <c r="J10586" s="17" t="s">
        <v>21313</v>
      </c>
      <c r="K10586" s="17"/>
      <c r="L10586" s="17" t="s">
        <v>22378</v>
      </c>
      <c r="M10586" s="17"/>
      <c r="N10586" s="17" t="s">
        <v>22459</v>
      </c>
      <c r="O10586" s="17"/>
      <c r="P10586" s="17" t="s">
        <v>45008</v>
      </c>
      <c r="Q10586" s="17"/>
      <c r="R10586" s="25" t="str">
        <f>HYPERLINK("https://ictv.global/taxonomy/taxondetails?taxnode_id=202317171","Hodnevirus allolimihabitans")</f>
        <v>Hodnevirus allolimihabitans</v>
      </c>
      <c r="S10586" s="18" t="s">
        <v>30</v>
      </c>
      <c r="T10586" s="18" t="s">
        <v>45131</v>
      </c>
      <c r="U10586" s="18"/>
      <c r="V10586" s="18"/>
      <c r="W10586" s="18" t="s">
        <v>45132</v>
      </c>
      <c r="X10586" s="18" t="s">
        <v>35</v>
      </c>
      <c r="Y10586" s="18" t="s">
        <v>17171</v>
      </c>
      <c r="Z10586" s="18" t="s">
        <v>24637</v>
      </c>
      <c r="AA10586" s="21" t="str">
        <f>HYPERLINK("https://www.ncbi.nlm.nih.gov/nuccore/CASDWV010002589","NCBI Nucleotide")</f>
        <v>NCBI Nucleotide</v>
      </c>
    </row>
    <row r="10587" spans="1:27" x14ac:dyDescent="0.35">
      <c r="A10587">
        <v>1026912</v>
      </c>
      <c r="B10587">
        <v>9912</v>
      </c>
      <c r="C10587">
        <v>1</v>
      </c>
      <c r="D10587" s="17" t="s">
        <v>17166</v>
      </c>
      <c r="E10587" s="17"/>
      <c r="F10587" s="17" t="s">
        <v>17246</v>
      </c>
      <c r="G10587" s="17"/>
      <c r="H10587" s="17" t="s">
        <v>20919</v>
      </c>
      <c r="I10587" s="17"/>
      <c r="J10587" s="17" t="s">
        <v>21313</v>
      </c>
      <c r="K10587" s="17"/>
      <c r="L10587" s="17" t="s">
        <v>22378</v>
      </c>
      <c r="M10587" s="17"/>
      <c r="N10587" s="17" t="s">
        <v>22459</v>
      </c>
      <c r="O10587" s="17"/>
      <c r="P10587" s="17" t="s">
        <v>45008</v>
      </c>
      <c r="Q10587" s="17"/>
      <c r="R10587" s="25" t="str">
        <f>HYPERLINK("https://ictv.global/taxonomy/taxondetails?taxnode_id=202317172","Hodnevirus allolimivicinum")</f>
        <v>Hodnevirus allolimivicinum</v>
      </c>
      <c r="S10587" s="18" t="s">
        <v>30</v>
      </c>
      <c r="T10587" s="18" t="s">
        <v>45133</v>
      </c>
      <c r="U10587" s="18"/>
      <c r="V10587" s="18"/>
      <c r="W10587" s="18" t="s">
        <v>45134</v>
      </c>
      <c r="X10587" s="18" t="s">
        <v>35</v>
      </c>
      <c r="Y10587" s="18" t="s">
        <v>17171</v>
      </c>
      <c r="Z10587" s="18" t="s">
        <v>24637</v>
      </c>
      <c r="AA10587" s="21" t="str">
        <f>HYPERLINK("https://www.ncbi.nlm.nih.gov/nuccore/CASDWV010001228","NCBI Nucleotide")</f>
        <v>NCBI Nucleotide</v>
      </c>
    </row>
    <row r="10588" spans="1:27" x14ac:dyDescent="0.35">
      <c r="A10588">
        <v>1026913</v>
      </c>
      <c r="B10588">
        <v>9913</v>
      </c>
      <c r="C10588">
        <v>1</v>
      </c>
      <c r="D10588" s="17" t="s">
        <v>17166</v>
      </c>
      <c r="E10588" s="17"/>
      <c r="F10588" s="17" t="s">
        <v>17246</v>
      </c>
      <c r="G10588" s="17"/>
      <c r="H10588" s="17" t="s">
        <v>20919</v>
      </c>
      <c r="I10588" s="17"/>
      <c r="J10588" s="17" t="s">
        <v>21313</v>
      </c>
      <c r="K10588" s="17"/>
      <c r="L10588" s="17" t="s">
        <v>22378</v>
      </c>
      <c r="M10588" s="17"/>
      <c r="N10588" s="17" t="s">
        <v>22459</v>
      </c>
      <c r="O10588" s="17"/>
      <c r="P10588" s="17" t="s">
        <v>45008</v>
      </c>
      <c r="Q10588" s="17"/>
      <c r="R10588" s="25" t="str">
        <f>HYPERLINK("https://ictv.global/taxonomy/taxondetails?taxnode_id=202317173","Hodnevirus allolimivivens")</f>
        <v>Hodnevirus allolimivivens</v>
      </c>
      <c r="S10588" s="18" t="s">
        <v>30</v>
      </c>
      <c r="T10588" s="18" t="s">
        <v>45135</v>
      </c>
      <c r="U10588" s="18"/>
      <c r="V10588" s="18"/>
      <c r="W10588" s="18" t="s">
        <v>45136</v>
      </c>
      <c r="X10588" s="18" t="s">
        <v>35</v>
      </c>
      <c r="Y10588" s="18" t="s">
        <v>17171</v>
      </c>
      <c r="Z10588" s="18" t="s">
        <v>24637</v>
      </c>
      <c r="AA10588" s="21" t="str">
        <f>HYPERLINK("https://www.ncbi.nlm.nih.gov/nuccore/CASDWV010001629","NCBI Nucleotide")</f>
        <v>NCBI Nucleotide</v>
      </c>
    </row>
    <row r="10589" spans="1:27" x14ac:dyDescent="0.35">
      <c r="A10589">
        <v>1026914</v>
      </c>
      <c r="B10589">
        <v>9914</v>
      </c>
      <c r="C10589">
        <v>1</v>
      </c>
      <c r="D10589" s="17" t="s">
        <v>17166</v>
      </c>
      <c r="E10589" s="17"/>
      <c r="F10589" s="17" t="s">
        <v>17246</v>
      </c>
      <c r="G10589" s="17"/>
      <c r="H10589" s="17" t="s">
        <v>20919</v>
      </c>
      <c r="I10589" s="17"/>
      <c r="J10589" s="17" t="s">
        <v>21313</v>
      </c>
      <c r="K10589" s="17"/>
      <c r="L10589" s="17" t="s">
        <v>22378</v>
      </c>
      <c r="M10589" s="17"/>
      <c r="N10589" s="17" t="s">
        <v>22459</v>
      </c>
      <c r="O10589" s="17"/>
      <c r="P10589" s="17" t="s">
        <v>45008</v>
      </c>
      <c r="Q10589" s="17"/>
      <c r="R10589" s="25" t="str">
        <f>HYPERLINK("https://ictv.global/taxonomy/taxondetails?taxnode_id=202317174","Hodnevirus allolutadaptatum")</f>
        <v>Hodnevirus allolutadaptatum</v>
      </c>
      <c r="S10589" s="18" t="s">
        <v>30</v>
      </c>
      <c r="T10589" s="18" t="s">
        <v>45137</v>
      </c>
      <c r="U10589" s="18"/>
      <c r="V10589" s="18"/>
      <c r="W10589" s="18" t="s">
        <v>45138</v>
      </c>
      <c r="X10589" s="18" t="s">
        <v>35</v>
      </c>
      <c r="Y10589" s="18" t="s">
        <v>17171</v>
      </c>
      <c r="Z10589" s="18" t="s">
        <v>24637</v>
      </c>
      <c r="AA10589" s="21" t="str">
        <f>HYPERLINK("https://www.ncbi.nlm.nih.gov/nuccore/CASDWV010000623","NCBI Nucleotide")</f>
        <v>NCBI Nucleotide</v>
      </c>
    </row>
    <row r="10590" spans="1:27" x14ac:dyDescent="0.35">
      <c r="A10590">
        <v>1026915</v>
      </c>
      <c r="B10590">
        <v>9915</v>
      </c>
      <c r="C10590">
        <v>1</v>
      </c>
      <c r="D10590" s="17" t="s">
        <v>17166</v>
      </c>
      <c r="E10590" s="17"/>
      <c r="F10590" s="17" t="s">
        <v>17246</v>
      </c>
      <c r="G10590" s="17"/>
      <c r="H10590" s="17" t="s">
        <v>20919</v>
      </c>
      <c r="I10590" s="17"/>
      <c r="J10590" s="17" t="s">
        <v>21313</v>
      </c>
      <c r="K10590" s="17"/>
      <c r="L10590" s="17" t="s">
        <v>22378</v>
      </c>
      <c r="M10590" s="17"/>
      <c r="N10590" s="17" t="s">
        <v>22459</v>
      </c>
      <c r="O10590" s="17"/>
      <c r="P10590" s="17" t="s">
        <v>45008</v>
      </c>
      <c r="Q10590" s="17"/>
      <c r="R10590" s="25" t="str">
        <f>HYPERLINK("https://ictv.global/taxonomy/taxondetails?taxnode_id=202317175","Hodnevirus allolutenecus")</f>
        <v>Hodnevirus allolutenecus</v>
      </c>
      <c r="S10590" s="18" t="s">
        <v>30</v>
      </c>
      <c r="T10590" s="18" t="s">
        <v>45139</v>
      </c>
      <c r="U10590" s="18"/>
      <c r="V10590" s="18"/>
      <c r="W10590" s="18" t="s">
        <v>45140</v>
      </c>
      <c r="X10590" s="18" t="s">
        <v>35</v>
      </c>
      <c r="Y10590" s="18" t="s">
        <v>17171</v>
      </c>
      <c r="Z10590" s="18" t="s">
        <v>24637</v>
      </c>
      <c r="AA10590" s="21" t="str">
        <f>HYPERLINK("https://www.ncbi.nlm.nih.gov/nuccore/CASDWV010000126","NCBI Nucleotide")</f>
        <v>NCBI Nucleotide</v>
      </c>
    </row>
    <row r="10591" spans="1:27" x14ac:dyDescent="0.35">
      <c r="A10591">
        <v>1026916</v>
      </c>
      <c r="B10591">
        <v>9916</v>
      </c>
      <c r="C10591">
        <v>1</v>
      </c>
      <c r="D10591" s="17" t="s">
        <v>17166</v>
      </c>
      <c r="E10591" s="17"/>
      <c r="F10591" s="17" t="s">
        <v>17246</v>
      </c>
      <c r="G10591" s="17"/>
      <c r="H10591" s="17" t="s">
        <v>20919</v>
      </c>
      <c r="I10591" s="17"/>
      <c r="J10591" s="17" t="s">
        <v>21313</v>
      </c>
      <c r="K10591" s="17"/>
      <c r="L10591" s="17" t="s">
        <v>22378</v>
      </c>
      <c r="M10591" s="17"/>
      <c r="N10591" s="17" t="s">
        <v>22459</v>
      </c>
      <c r="O10591" s="17"/>
      <c r="P10591" s="17" t="s">
        <v>45008</v>
      </c>
      <c r="Q10591" s="17"/>
      <c r="R10591" s="25" t="str">
        <f>HYPERLINK("https://ictv.global/taxonomy/taxondetails?taxnode_id=202317176","Hodnevirus alloluticola")</f>
        <v>Hodnevirus alloluticola</v>
      </c>
      <c r="S10591" s="18" t="s">
        <v>30</v>
      </c>
      <c r="T10591" s="18" t="s">
        <v>45141</v>
      </c>
      <c r="U10591" s="18"/>
      <c r="V10591" s="18"/>
      <c r="W10591" s="18" t="s">
        <v>45142</v>
      </c>
      <c r="X10591" s="18" t="s">
        <v>35</v>
      </c>
      <c r="Y10591" s="18" t="s">
        <v>17171</v>
      </c>
      <c r="Z10591" s="18" t="s">
        <v>24637</v>
      </c>
      <c r="AA10591" s="21" t="str">
        <f>HYPERLINK("https://www.ncbi.nlm.nih.gov/nuccore/CASDWV010002048","NCBI Nucleotide")</f>
        <v>NCBI Nucleotide</v>
      </c>
    </row>
    <row r="10592" spans="1:27" x14ac:dyDescent="0.35">
      <c r="A10592">
        <v>1026917</v>
      </c>
      <c r="B10592">
        <v>9917</v>
      </c>
      <c r="C10592">
        <v>1</v>
      </c>
      <c r="D10592" s="17" t="s">
        <v>17166</v>
      </c>
      <c r="E10592" s="17"/>
      <c r="F10592" s="17" t="s">
        <v>17246</v>
      </c>
      <c r="G10592" s="17"/>
      <c r="H10592" s="17" t="s">
        <v>20919</v>
      </c>
      <c r="I10592" s="17"/>
      <c r="J10592" s="17" t="s">
        <v>21313</v>
      </c>
      <c r="K10592" s="17"/>
      <c r="L10592" s="17" t="s">
        <v>22378</v>
      </c>
      <c r="M10592" s="17"/>
      <c r="N10592" s="17" t="s">
        <v>22459</v>
      </c>
      <c r="O10592" s="17"/>
      <c r="P10592" s="17" t="s">
        <v>45008</v>
      </c>
      <c r="Q10592" s="17"/>
      <c r="R10592" s="25" t="str">
        <f>HYPERLINK("https://ictv.global/taxonomy/taxondetails?taxnode_id=202317177","Hodnevirus allolutihabitans")</f>
        <v>Hodnevirus allolutihabitans</v>
      </c>
      <c r="S10592" s="18" t="s">
        <v>30</v>
      </c>
      <c r="T10592" s="18" t="s">
        <v>45143</v>
      </c>
      <c r="U10592" s="18"/>
      <c r="V10592" s="18"/>
      <c r="W10592" s="18" t="s">
        <v>45144</v>
      </c>
      <c r="X10592" s="18" t="s">
        <v>35</v>
      </c>
      <c r="Y10592" s="18" t="s">
        <v>17171</v>
      </c>
      <c r="Z10592" s="18" t="s">
        <v>24637</v>
      </c>
      <c r="AA10592" s="21" t="str">
        <f>HYPERLINK("https://www.ncbi.nlm.nih.gov/nuccore/CASDWV010002152","NCBI Nucleotide")</f>
        <v>NCBI Nucleotide</v>
      </c>
    </row>
    <row r="10593" spans="1:27" x14ac:dyDescent="0.35">
      <c r="A10593">
        <v>1026918</v>
      </c>
      <c r="B10593">
        <v>9918</v>
      </c>
      <c r="C10593">
        <v>1</v>
      </c>
      <c r="D10593" s="17" t="s">
        <v>17166</v>
      </c>
      <c r="E10593" s="17"/>
      <c r="F10593" s="17" t="s">
        <v>17246</v>
      </c>
      <c r="G10593" s="17"/>
      <c r="H10593" s="17" t="s">
        <v>20919</v>
      </c>
      <c r="I10593" s="17"/>
      <c r="J10593" s="17" t="s">
        <v>21313</v>
      </c>
      <c r="K10593" s="17"/>
      <c r="L10593" s="17" t="s">
        <v>22378</v>
      </c>
      <c r="M10593" s="17"/>
      <c r="N10593" s="17" t="s">
        <v>22459</v>
      </c>
      <c r="O10593" s="17"/>
      <c r="P10593" s="17" t="s">
        <v>45008</v>
      </c>
      <c r="Q10593" s="17"/>
      <c r="R10593" s="25" t="str">
        <f>HYPERLINK("https://ictv.global/taxonomy/taxondetails?taxnode_id=202317178","Hodnevirus allolutivicinum")</f>
        <v>Hodnevirus allolutivicinum</v>
      </c>
      <c r="S10593" s="18" t="s">
        <v>30</v>
      </c>
      <c r="T10593" s="18" t="s">
        <v>45145</v>
      </c>
      <c r="U10593" s="18"/>
      <c r="V10593" s="18"/>
      <c r="W10593" s="18" t="s">
        <v>45146</v>
      </c>
      <c r="X10593" s="18" t="s">
        <v>35</v>
      </c>
      <c r="Y10593" s="18" t="s">
        <v>17171</v>
      </c>
      <c r="Z10593" s="18" t="s">
        <v>24637</v>
      </c>
      <c r="AA10593" s="21" t="str">
        <f>HYPERLINK("https://www.ncbi.nlm.nih.gov/nuccore/CASDWV010000784","NCBI Nucleotide")</f>
        <v>NCBI Nucleotide</v>
      </c>
    </row>
    <row r="10594" spans="1:27" x14ac:dyDescent="0.35">
      <c r="A10594">
        <v>1026919</v>
      </c>
      <c r="B10594">
        <v>9919</v>
      </c>
      <c r="C10594">
        <v>1</v>
      </c>
      <c r="D10594" s="17" t="s">
        <v>17166</v>
      </c>
      <c r="E10594" s="17"/>
      <c r="F10594" s="17" t="s">
        <v>17246</v>
      </c>
      <c r="G10594" s="17"/>
      <c r="H10594" s="17" t="s">
        <v>20919</v>
      </c>
      <c r="I10594" s="17"/>
      <c r="J10594" s="17" t="s">
        <v>21313</v>
      </c>
      <c r="K10594" s="17"/>
      <c r="L10594" s="17" t="s">
        <v>22378</v>
      </c>
      <c r="M10594" s="17"/>
      <c r="N10594" s="17" t="s">
        <v>22459</v>
      </c>
      <c r="O10594" s="17"/>
      <c r="P10594" s="17" t="s">
        <v>45008</v>
      </c>
      <c r="Q10594" s="17"/>
      <c r="R10594" s="25" t="str">
        <f>HYPERLINK("https://ictv.global/taxonomy/taxondetails?taxnode_id=202317179","Hodnevirus allolutivivens")</f>
        <v>Hodnevirus allolutivivens</v>
      </c>
      <c r="S10594" s="18" t="s">
        <v>30</v>
      </c>
      <c r="T10594" s="18" t="s">
        <v>45147</v>
      </c>
      <c r="U10594" s="18"/>
      <c r="V10594" s="18"/>
      <c r="W10594" s="18" t="s">
        <v>45148</v>
      </c>
      <c r="X10594" s="18" t="s">
        <v>35</v>
      </c>
      <c r="Y10594" s="18" t="s">
        <v>17171</v>
      </c>
      <c r="Z10594" s="18" t="s">
        <v>24637</v>
      </c>
      <c r="AA10594" s="21" t="str">
        <f>HYPERLINK("https://www.ncbi.nlm.nih.gov/nuccore/CASDWV010001099","NCBI Nucleotide")</f>
        <v>NCBI Nucleotide</v>
      </c>
    </row>
    <row r="10595" spans="1:27" x14ac:dyDescent="0.35">
      <c r="A10595">
        <v>1026920</v>
      </c>
      <c r="B10595">
        <v>9920</v>
      </c>
      <c r="C10595">
        <v>1</v>
      </c>
      <c r="D10595" s="17" t="s">
        <v>17166</v>
      </c>
      <c r="E10595" s="17"/>
      <c r="F10595" s="17" t="s">
        <v>17246</v>
      </c>
      <c r="G10595" s="17"/>
      <c r="H10595" s="17" t="s">
        <v>20919</v>
      </c>
      <c r="I10595" s="17"/>
      <c r="J10595" s="17" t="s">
        <v>21313</v>
      </c>
      <c r="K10595" s="17"/>
      <c r="L10595" s="17" t="s">
        <v>22378</v>
      </c>
      <c r="M10595" s="17"/>
      <c r="N10595" s="17" t="s">
        <v>22459</v>
      </c>
      <c r="O10595" s="17"/>
      <c r="P10595" s="17" t="s">
        <v>45008</v>
      </c>
      <c r="Q10595" s="17"/>
      <c r="R10595" s="25" t="str">
        <f>HYPERLINK("https://ictv.global/taxonomy/taxondetails?taxnode_id=202317180","Hodnevirus allomessadaptatum")</f>
        <v>Hodnevirus allomessadaptatum</v>
      </c>
      <c r="S10595" s="18" t="s">
        <v>30</v>
      </c>
      <c r="T10595" s="18" t="s">
        <v>45149</v>
      </c>
      <c r="U10595" s="18"/>
      <c r="V10595" s="18"/>
      <c r="W10595" s="18" t="s">
        <v>45150</v>
      </c>
      <c r="X10595" s="18" t="s">
        <v>35</v>
      </c>
      <c r="Y10595" s="18" t="s">
        <v>17171</v>
      </c>
      <c r="Z10595" s="18" t="s">
        <v>24637</v>
      </c>
      <c r="AA10595" s="21" t="str">
        <f>HYPERLINK("https://www.ncbi.nlm.nih.gov/nuccore/CASDWV010000916","NCBI Nucleotide")</f>
        <v>NCBI Nucleotide</v>
      </c>
    </row>
    <row r="10596" spans="1:27" x14ac:dyDescent="0.35">
      <c r="A10596">
        <v>1026921</v>
      </c>
      <c r="B10596">
        <v>9921</v>
      </c>
      <c r="C10596">
        <v>1</v>
      </c>
      <c r="D10596" s="17" t="s">
        <v>17166</v>
      </c>
      <c r="E10596" s="17"/>
      <c r="F10596" s="17" t="s">
        <v>17246</v>
      </c>
      <c r="G10596" s="17"/>
      <c r="H10596" s="17" t="s">
        <v>20919</v>
      </c>
      <c r="I10596" s="17"/>
      <c r="J10596" s="17" t="s">
        <v>21313</v>
      </c>
      <c r="K10596" s="17"/>
      <c r="L10596" s="17" t="s">
        <v>22378</v>
      </c>
      <c r="M10596" s="17"/>
      <c r="N10596" s="17" t="s">
        <v>22459</v>
      </c>
      <c r="O10596" s="17"/>
      <c r="P10596" s="17" t="s">
        <v>45008</v>
      </c>
      <c r="Q10596" s="17"/>
      <c r="R10596" s="25" t="str">
        <f>HYPERLINK("https://ictv.global/taxonomy/taxondetails?taxnode_id=202317181","Hodnevirus allomessenecus")</f>
        <v>Hodnevirus allomessenecus</v>
      </c>
      <c r="S10596" s="18" t="s">
        <v>30</v>
      </c>
      <c r="T10596" s="18" t="s">
        <v>45151</v>
      </c>
      <c r="U10596" s="18"/>
      <c r="V10596" s="18"/>
      <c r="W10596" s="18" t="s">
        <v>45152</v>
      </c>
      <c r="X10596" s="18" t="s">
        <v>35</v>
      </c>
      <c r="Y10596" s="18" t="s">
        <v>17171</v>
      </c>
      <c r="Z10596" s="18" t="s">
        <v>24637</v>
      </c>
      <c r="AA10596" s="21" t="str">
        <f>HYPERLINK("https://www.ncbi.nlm.nih.gov/nuccore/CASDWV010002172","NCBI Nucleotide")</f>
        <v>NCBI Nucleotide</v>
      </c>
    </row>
    <row r="10597" spans="1:27" x14ac:dyDescent="0.35">
      <c r="A10597">
        <v>1026922</v>
      </c>
      <c r="B10597">
        <v>9922</v>
      </c>
      <c r="C10597">
        <v>1</v>
      </c>
      <c r="D10597" s="17" t="s">
        <v>17166</v>
      </c>
      <c r="E10597" s="17"/>
      <c r="F10597" s="17" t="s">
        <v>17246</v>
      </c>
      <c r="G10597" s="17"/>
      <c r="H10597" s="17" t="s">
        <v>20919</v>
      </c>
      <c r="I10597" s="17"/>
      <c r="J10597" s="17" t="s">
        <v>21313</v>
      </c>
      <c r="K10597" s="17"/>
      <c r="L10597" s="17" t="s">
        <v>22378</v>
      </c>
      <c r="M10597" s="17"/>
      <c r="N10597" s="17" t="s">
        <v>22459</v>
      </c>
      <c r="O10597" s="17"/>
      <c r="P10597" s="17" t="s">
        <v>45008</v>
      </c>
      <c r="Q10597" s="17"/>
      <c r="R10597" s="25" t="str">
        <f>HYPERLINK("https://ictv.global/taxonomy/taxondetails?taxnode_id=202317182","Hodnevirus allomessicola")</f>
        <v>Hodnevirus allomessicola</v>
      </c>
      <c r="S10597" s="18" t="s">
        <v>30</v>
      </c>
      <c r="T10597" s="18" t="s">
        <v>45153</v>
      </c>
      <c r="U10597" s="18"/>
      <c r="V10597" s="18"/>
      <c r="W10597" s="18" t="s">
        <v>45154</v>
      </c>
      <c r="X10597" s="18" t="s">
        <v>35</v>
      </c>
      <c r="Y10597" s="18" t="s">
        <v>17171</v>
      </c>
      <c r="Z10597" s="18" t="s">
        <v>24637</v>
      </c>
      <c r="AA10597" s="21" t="str">
        <f>HYPERLINK("https://www.ncbi.nlm.nih.gov/nuccore/CASDWV010001926","NCBI Nucleotide")</f>
        <v>NCBI Nucleotide</v>
      </c>
    </row>
    <row r="10598" spans="1:27" x14ac:dyDescent="0.35">
      <c r="A10598">
        <v>1026923</v>
      </c>
      <c r="B10598">
        <v>9923</v>
      </c>
      <c r="C10598">
        <v>1</v>
      </c>
      <c r="D10598" s="17" t="s">
        <v>17166</v>
      </c>
      <c r="E10598" s="17"/>
      <c r="F10598" s="17" t="s">
        <v>17246</v>
      </c>
      <c r="G10598" s="17"/>
      <c r="H10598" s="17" t="s">
        <v>20919</v>
      </c>
      <c r="I10598" s="17"/>
      <c r="J10598" s="17" t="s">
        <v>21313</v>
      </c>
      <c r="K10598" s="17"/>
      <c r="L10598" s="17" t="s">
        <v>22378</v>
      </c>
      <c r="M10598" s="17"/>
      <c r="N10598" s="17" t="s">
        <v>22459</v>
      </c>
      <c r="O10598" s="17"/>
      <c r="P10598" s="17" t="s">
        <v>45008</v>
      </c>
      <c r="Q10598" s="17"/>
      <c r="R10598" s="25" t="str">
        <f>HYPERLINK("https://ictv.global/taxonomy/taxondetails?taxnode_id=202317183","Hodnevirus allomessihabitans")</f>
        <v>Hodnevirus allomessihabitans</v>
      </c>
      <c r="S10598" s="18" t="s">
        <v>30</v>
      </c>
      <c r="T10598" s="18" t="s">
        <v>45155</v>
      </c>
      <c r="U10598" s="18"/>
      <c r="V10598" s="18"/>
      <c r="W10598" s="18" t="s">
        <v>45156</v>
      </c>
      <c r="X10598" s="18" t="s">
        <v>35</v>
      </c>
      <c r="Y10598" s="18" t="s">
        <v>17171</v>
      </c>
      <c r="Z10598" s="18" t="s">
        <v>24637</v>
      </c>
      <c r="AA10598" s="21" t="str">
        <f>HYPERLINK("https://www.ncbi.nlm.nih.gov/nuccore/CASDWV010003287","NCBI Nucleotide")</f>
        <v>NCBI Nucleotide</v>
      </c>
    </row>
    <row r="10599" spans="1:27" x14ac:dyDescent="0.35">
      <c r="A10599">
        <v>1026924</v>
      </c>
      <c r="B10599">
        <v>9924</v>
      </c>
      <c r="C10599">
        <v>1</v>
      </c>
      <c r="D10599" s="17" t="s">
        <v>17166</v>
      </c>
      <c r="E10599" s="17"/>
      <c r="F10599" s="17" t="s">
        <v>17246</v>
      </c>
      <c r="G10599" s="17"/>
      <c r="H10599" s="17" t="s">
        <v>20919</v>
      </c>
      <c r="I10599" s="17"/>
      <c r="J10599" s="17" t="s">
        <v>21313</v>
      </c>
      <c r="K10599" s="17"/>
      <c r="L10599" s="17" t="s">
        <v>22378</v>
      </c>
      <c r="M10599" s="17"/>
      <c r="N10599" s="17" t="s">
        <v>22459</v>
      </c>
      <c r="O10599" s="17"/>
      <c r="P10599" s="17" t="s">
        <v>45008</v>
      </c>
      <c r="Q10599" s="17"/>
      <c r="R10599" s="25" t="str">
        <f>HYPERLINK("https://ictv.global/taxonomy/taxondetails?taxnode_id=202317184","Hodnevirus allomessivicinum")</f>
        <v>Hodnevirus allomessivicinum</v>
      </c>
      <c r="S10599" s="18" t="s">
        <v>30</v>
      </c>
      <c r="T10599" s="18" t="s">
        <v>45157</v>
      </c>
      <c r="U10599" s="18"/>
      <c r="V10599" s="18"/>
      <c r="W10599" s="18" t="s">
        <v>45158</v>
      </c>
      <c r="X10599" s="18" t="s">
        <v>35</v>
      </c>
      <c r="Y10599" s="18" t="s">
        <v>17171</v>
      </c>
      <c r="Z10599" s="18" t="s">
        <v>24637</v>
      </c>
      <c r="AA10599" s="21" t="str">
        <f>HYPERLINK("https://www.ncbi.nlm.nih.gov/nuccore/CASDWV010002091","NCBI Nucleotide")</f>
        <v>NCBI Nucleotide</v>
      </c>
    </row>
    <row r="10600" spans="1:27" x14ac:dyDescent="0.35">
      <c r="A10600">
        <v>1026925</v>
      </c>
      <c r="B10600">
        <v>9925</v>
      </c>
      <c r="C10600">
        <v>1</v>
      </c>
      <c r="D10600" s="17" t="s">
        <v>17166</v>
      </c>
      <c r="E10600" s="17"/>
      <c r="F10600" s="17" t="s">
        <v>17246</v>
      </c>
      <c r="G10600" s="17"/>
      <c r="H10600" s="17" t="s">
        <v>20919</v>
      </c>
      <c r="I10600" s="17"/>
      <c r="J10600" s="17" t="s">
        <v>21313</v>
      </c>
      <c r="K10600" s="17"/>
      <c r="L10600" s="17" t="s">
        <v>22378</v>
      </c>
      <c r="M10600" s="17"/>
      <c r="N10600" s="17" t="s">
        <v>22459</v>
      </c>
      <c r="O10600" s="17"/>
      <c r="P10600" s="17" t="s">
        <v>45008</v>
      </c>
      <c r="Q10600" s="17"/>
      <c r="R10600" s="25" t="str">
        <f>HYPERLINK("https://ictv.global/taxonomy/taxondetails?taxnode_id=202317185","Hodnevirus allomessivivens")</f>
        <v>Hodnevirus allomessivivens</v>
      </c>
      <c r="S10600" s="18" t="s">
        <v>30</v>
      </c>
      <c r="T10600" s="18" t="s">
        <v>45159</v>
      </c>
      <c r="U10600" s="18"/>
      <c r="V10600" s="18"/>
      <c r="W10600" s="18" t="s">
        <v>45160</v>
      </c>
      <c r="X10600" s="18" t="s">
        <v>35</v>
      </c>
      <c r="Y10600" s="18" t="s">
        <v>17171</v>
      </c>
      <c r="Z10600" s="18" t="s">
        <v>24637</v>
      </c>
      <c r="AA10600" s="21" t="str">
        <f>HYPERLINK("https://www.ncbi.nlm.nih.gov/nuccore/CASDWV010000695","NCBI Nucleotide")</f>
        <v>NCBI Nucleotide</v>
      </c>
    </row>
    <row r="10601" spans="1:27" x14ac:dyDescent="0.35">
      <c r="A10601">
        <v>1026926</v>
      </c>
      <c r="B10601">
        <v>9926</v>
      </c>
      <c r="C10601">
        <v>1</v>
      </c>
      <c r="D10601" s="17" t="s">
        <v>17166</v>
      </c>
      <c r="E10601" s="17"/>
      <c r="F10601" s="17" t="s">
        <v>17246</v>
      </c>
      <c r="G10601" s="17"/>
      <c r="H10601" s="17" t="s">
        <v>20919</v>
      </c>
      <c r="I10601" s="17"/>
      <c r="J10601" s="17" t="s">
        <v>21313</v>
      </c>
      <c r="K10601" s="17"/>
      <c r="L10601" s="17" t="s">
        <v>22378</v>
      </c>
      <c r="M10601" s="17"/>
      <c r="N10601" s="17" t="s">
        <v>22459</v>
      </c>
      <c r="O10601" s="17"/>
      <c r="P10601" s="17" t="s">
        <v>45008</v>
      </c>
      <c r="Q10601" s="17"/>
      <c r="R10601" s="25" t="str">
        <f>HYPERLINK("https://ictv.global/taxonomy/taxondetails?taxnode_id=202317186","Hodnevirus allomontishabitans")</f>
        <v>Hodnevirus allomontishabitans</v>
      </c>
      <c r="S10601" s="18" t="s">
        <v>30</v>
      </c>
      <c r="T10601" s="18" t="s">
        <v>45161</v>
      </c>
      <c r="U10601" s="18"/>
      <c r="V10601" s="18" t="s">
        <v>45161</v>
      </c>
      <c r="W10601" s="18" t="s">
        <v>45162</v>
      </c>
      <c r="X10601" s="18" t="s">
        <v>35</v>
      </c>
      <c r="Y10601" s="18" t="s">
        <v>17171</v>
      </c>
      <c r="Z10601" s="18" t="s">
        <v>24637</v>
      </c>
      <c r="AA10601" s="21" t="str">
        <f>HYPERLINK("https://www.ncbi.nlm.nih.gov/nuccore/MZ679736","NCBI Nucleotide")</f>
        <v>NCBI Nucleotide</v>
      </c>
    </row>
    <row r="10602" spans="1:27" x14ac:dyDescent="0.35">
      <c r="A10602">
        <v>1026927</v>
      </c>
      <c r="B10602">
        <v>9927</v>
      </c>
      <c r="C10602">
        <v>1</v>
      </c>
      <c r="D10602" s="17" t="s">
        <v>17166</v>
      </c>
      <c r="E10602" s="17"/>
      <c r="F10602" s="17" t="s">
        <v>17246</v>
      </c>
      <c r="G10602" s="17"/>
      <c r="H10602" s="17" t="s">
        <v>20919</v>
      </c>
      <c r="I10602" s="17"/>
      <c r="J10602" s="17" t="s">
        <v>21313</v>
      </c>
      <c r="K10602" s="17"/>
      <c r="L10602" s="17" t="s">
        <v>22378</v>
      </c>
      <c r="M10602" s="17"/>
      <c r="N10602" s="17" t="s">
        <v>22459</v>
      </c>
      <c r="O10602" s="17"/>
      <c r="P10602" s="17" t="s">
        <v>45008</v>
      </c>
      <c r="Q10602" s="17"/>
      <c r="R10602" s="25" t="str">
        <f>HYPERLINK("https://ictv.global/taxonomy/taxondetails?taxnode_id=202317187","Hodnevirus allomontisvicinum")</f>
        <v>Hodnevirus allomontisvicinum</v>
      </c>
      <c r="S10602" s="18" t="s">
        <v>30</v>
      </c>
      <c r="T10602" s="18" t="s">
        <v>45163</v>
      </c>
      <c r="U10602" s="18"/>
      <c r="V10602" s="18" t="s">
        <v>45163</v>
      </c>
      <c r="W10602" s="18" t="s">
        <v>45164</v>
      </c>
      <c r="X10602" s="18" t="s">
        <v>35</v>
      </c>
      <c r="Y10602" s="18" t="s">
        <v>17171</v>
      </c>
      <c r="Z10602" s="18" t="s">
        <v>24637</v>
      </c>
      <c r="AA10602" s="21" t="str">
        <f>HYPERLINK("https://www.ncbi.nlm.nih.gov/nuccore/MZ679755","NCBI Nucleotide")</f>
        <v>NCBI Nucleotide</v>
      </c>
    </row>
    <row r="10603" spans="1:27" x14ac:dyDescent="0.35">
      <c r="A10603">
        <v>1026928</v>
      </c>
      <c r="B10603">
        <v>9928</v>
      </c>
      <c r="C10603">
        <v>1</v>
      </c>
      <c r="D10603" s="17" t="s">
        <v>17166</v>
      </c>
      <c r="E10603" s="17"/>
      <c r="F10603" s="17" t="s">
        <v>17246</v>
      </c>
      <c r="G10603" s="17"/>
      <c r="H10603" s="17" t="s">
        <v>20919</v>
      </c>
      <c r="I10603" s="17"/>
      <c r="J10603" s="17" t="s">
        <v>21313</v>
      </c>
      <c r="K10603" s="17"/>
      <c r="L10603" s="17" t="s">
        <v>22378</v>
      </c>
      <c r="M10603" s="17"/>
      <c r="N10603" s="17" t="s">
        <v>22459</v>
      </c>
      <c r="O10603" s="17"/>
      <c r="P10603" s="17" t="s">
        <v>45008</v>
      </c>
      <c r="Q10603" s="17"/>
      <c r="R10603" s="25" t="str">
        <f>HYPERLINK("https://ictv.global/taxonomy/taxondetails?taxnode_id=202317188","Hodnevirus allonemorisadaptatum")</f>
        <v>Hodnevirus allonemorisadaptatum</v>
      </c>
      <c r="S10603" s="18" t="s">
        <v>30</v>
      </c>
      <c r="T10603" s="18" t="s">
        <v>45165</v>
      </c>
      <c r="U10603" s="18"/>
      <c r="V10603" s="18" t="s">
        <v>45165</v>
      </c>
      <c r="W10603" s="18" t="s">
        <v>45166</v>
      </c>
      <c r="X10603" s="18" t="s">
        <v>35</v>
      </c>
      <c r="Y10603" s="18" t="s">
        <v>17171</v>
      </c>
      <c r="Z10603" s="18" t="s">
        <v>24637</v>
      </c>
      <c r="AA10603" s="21" t="str">
        <f>HYPERLINK("https://www.ncbi.nlm.nih.gov/nuccore/MZ680326","NCBI Nucleotide")</f>
        <v>NCBI Nucleotide</v>
      </c>
    </row>
    <row r="10604" spans="1:27" x14ac:dyDescent="0.35">
      <c r="A10604">
        <v>1026929</v>
      </c>
      <c r="B10604">
        <v>9929</v>
      </c>
      <c r="C10604">
        <v>1</v>
      </c>
      <c r="D10604" s="17" t="s">
        <v>17166</v>
      </c>
      <c r="E10604" s="17"/>
      <c r="F10604" s="17" t="s">
        <v>17246</v>
      </c>
      <c r="G10604" s="17"/>
      <c r="H10604" s="17" t="s">
        <v>20919</v>
      </c>
      <c r="I10604" s="17"/>
      <c r="J10604" s="17" t="s">
        <v>21313</v>
      </c>
      <c r="K10604" s="17"/>
      <c r="L10604" s="17" t="s">
        <v>22378</v>
      </c>
      <c r="M10604" s="17"/>
      <c r="N10604" s="17" t="s">
        <v>22459</v>
      </c>
      <c r="O10604" s="17"/>
      <c r="P10604" s="17" t="s">
        <v>45008</v>
      </c>
      <c r="Q10604" s="17"/>
      <c r="R10604" s="25" t="str">
        <f>HYPERLINK("https://ictv.global/taxonomy/taxondetails?taxnode_id=202317189","Hodnevirus allonemorishabitans")</f>
        <v>Hodnevirus allonemorishabitans</v>
      </c>
      <c r="S10604" s="18" t="s">
        <v>30</v>
      </c>
      <c r="T10604" s="18" t="s">
        <v>45167</v>
      </c>
      <c r="U10604" s="18"/>
      <c r="V10604" s="18" t="s">
        <v>45167</v>
      </c>
      <c r="W10604" s="18" t="s">
        <v>45168</v>
      </c>
      <c r="X10604" s="18" t="s">
        <v>35</v>
      </c>
      <c r="Y10604" s="18" t="s">
        <v>17171</v>
      </c>
      <c r="Z10604" s="18" t="s">
        <v>24637</v>
      </c>
      <c r="AA10604" s="21" t="str">
        <f>HYPERLINK("https://www.ncbi.nlm.nih.gov/nuccore/MZ679820","NCBI Nucleotide")</f>
        <v>NCBI Nucleotide</v>
      </c>
    </row>
    <row r="10605" spans="1:27" x14ac:dyDescent="0.35">
      <c r="A10605">
        <v>1026930</v>
      </c>
      <c r="B10605">
        <v>9930</v>
      </c>
      <c r="C10605">
        <v>1</v>
      </c>
      <c r="D10605" s="17" t="s">
        <v>17166</v>
      </c>
      <c r="E10605" s="17"/>
      <c r="F10605" s="17" t="s">
        <v>17246</v>
      </c>
      <c r="G10605" s="17"/>
      <c r="H10605" s="17" t="s">
        <v>20919</v>
      </c>
      <c r="I10605" s="17"/>
      <c r="J10605" s="17" t="s">
        <v>21313</v>
      </c>
      <c r="K10605" s="17"/>
      <c r="L10605" s="17" t="s">
        <v>22378</v>
      </c>
      <c r="M10605" s="17"/>
      <c r="N10605" s="17" t="s">
        <v>22459</v>
      </c>
      <c r="O10605" s="17"/>
      <c r="P10605" s="17" t="s">
        <v>45008</v>
      </c>
      <c r="Q10605" s="17"/>
      <c r="R10605" s="25" t="str">
        <f>HYPERLINK("https://ictv.global/taxonomy/taxondetails?taxnode_id=202317190","Hodnevirus allonemorisvivens")</f>
        <v>Hodnevirus allonemorisvivens</v>
      </c>
      <c r="S10605" s="18" t="s">
        <v>30</v>
      </c>
      <c r="T10605" s="18" t="s">
        <v>45169</v>
      </c>
      <c r="U10605" s="18"/>
      <c r="V10605" s="18" t="s">
        <v>45169</v>
      </c>
      <c r="W10605" s="18" t="s">
        <v>45170</v>
      </c>
      <c r="X10605" s="18" t="s">
        <v>35</v>
      </c>
      <c r="Y10605" s="18" t="s">
        <v>17171</v>
      </c>
      <c r="Z10605" s="18" t="s">
        <v>24637</v>
      </c>
      <c r="AA10605" s="21" t="str">
        <f>HYPERLINK("https://www.ncbi.nlm.nih.gov/nuccore/MZ679806","NCBI Nucleotide")</f>
        <v>NCBI Nucleotide</v>
      </c>
    </row>
    <row r="10606" spans="1:27" x14ac:dyDescent="0.35">
      <c r="A10606">
        <v>1026931</v>
      </c>
      <c r="B10606">
        <v>9931</v>
      </c>
      <c r="C10606">
        <v>1</v>
      </c>
      <c r="D10606" s="17" t="s">
        <v>17166</v>
      </c>
      <c r="E10606" s="17"/>
      <c r="F10606" s="17" t="s">
        <v>17246</v>
      </c>
      <c r="G10606" s="17"/>
      <c r="H10606" s="17" t="s">
        <v>20919</v>
      </c>
      <c r="I10606" s="17"/>
      <c r="J10606" s="17" t="s">
        <v>21313</v>
      </c>
      <c r="K10606" s="17"/>
      <c r="L10606" s="17" t="s">
        <v>22378</v>
      </c>
      <c r="M10606" s="17"/>
      <c r="N10606" s="17" t="s">
        <v>22459</v>
      </c>
      <c r="O10606" s="17"/>
      <c r="P10606" s="17" t="s">
        <v>45008</v>
      </c>
      <c r="Q10606" s="17"/>
      <c r="R10606" s="25" t="str">
        <f>HYPERLINK("https://ictv.global/taxonomy/taxondetails?taxnode_id=202317191","Hodnevirus allopedadaptatum")</f>
        <v>Hodnevirus allopedadaptatum</v>
      </c>
      <c r="S10606" s="18" t="s">
        <v>30</v>
      </c>
      <c r="T10606" s="18" t="s">
        <v>45171</v>
      </c>
      <c r="U10606" s="18"/>
      <c r="V10606" s="18"/>
      <c r="W10606" s="18" t="s">
        <v>45172</v>
      </c>
      <c r="X10606" s="18" t="s">
        <v>35</v>
      </c>
      <c r="Y10606" s="18" t="s">
        <v>17171</v>
      </c>
      <c r="Z10606" s="18" t="s">
        <v>24637</v>
      </c>
      <c r="AA10606" s="21" t="str">
        <f>HYPERLINK("https://www.ncbi.nlm.nih.gov/nuccore/CASDWV010002872","NCBI Nucleotide")</f>
        <v>NCBI Nucleotide</v>
      </c>
    </row>
    <row r="10607" spans="1:27" x14ac:dyDescent="0.35">
      <c r="A10607">
        <v>1026932</v>
      </c>
      <c r="B10607">
        <v>9932</v>
      </c>
      <c r="C10607">
        <v>1</v>
      </c>
      <c r="D10607" s="17" t="s">
        <v>17166</v>
      </c>
      <c r="E10607" s="17"/>
      <c r="F10607" s="17" t="s">
        <v>17246</v>
      </c>
      <c r="G10607" s="17"/>
      <c r="H10607" s="17" t="s">
        <v>20919</v>
      </c>
      <c r="I10607" s="17"/>
      <c r="J10607" s="17" t="s">
        <v>21313</v>
      </c>
      <c r="K10607" s="17"/>
      <c r="L10607" s="17" t="s">
        <v>22378</v>
      </c>
      <c r="M10607" s="17"/>
      <c r="N10607" s="17" t="s">
        <v>22459</v>
      </c>
      <c r="O10607" s="17"/>
      <c r="P10607" s="17" t="s">
        <v>45008</v>
      </c>
      <c r="Q10607" s="17"/>
      <c r="R10607" s="25" t="str">
        <f>HYPERLINK("https://ictv.global/taxonomy/taxondetails?taxnode_id=202317192","Hodnevirus allopedenecus")</f>
        <v>Hodnevirus allopedenecus</v>
      </c>
      <c r="S10607" s="18" t="s">
        <v>30</v>
      </c>
      <c r="T10607" s="18" t="s">
        <v>45173</v>
      </c>
      <c r="U10607" s="18"/>
      <c r="V10607" s="18"/>
      <c r="W10607" s="18" t="s">
        <v>45174</v>
      </c>
      <c r="X10607" s="18" t="s">
        <v>35</v>
      </c>
      <c r="Y10607" s="18" t="s">
        <v>17171</v>
      </c>
      <c r="Z10607" s="18" t="s">
        <v>24637</v>
      </c>
      <c r="AA10607" s="21" t="str">
        <f>HYPERLINK("https://www.ncbi.nlm.nih.gov/nuccore/CASDWV010000669","NCBI Nucleotide")</f>
        <v>NCBI Nucleotide</v>
      </c>
    </row>
    <row r="10608" spans="1:27" x14ac:dyDescent="0.35">
      <c r="A10608">
        <v>1026933</v>
      </c>
      <c r="B10608">
        <v>9933</v>
      </c>
      <c r="C10608">
        <v>1</v>
      </c>
      <c r="D10608" s="17" t="s">
        <v>17166</v>
      </c>
      <c r="E10608" s="17"/>
      <c r="F10608" s="17" t="s">
        <v>17246</v>
      </c>
      <c r="G10608" s="17"/>
      <c r="H10608" s="17" t="s">
        <v>20919</v>
      </c>
      <c r="I10608" s="17"/>
      <c r="J10608" s="17" t="s">
        <v>21313</v>
      </c>
      <c r="K10608" s="17"/>
      <c r="L10608" s="17" t="s">
        <v>22378</v>
      </c>
      <c r="M10608" s="17"/>
      <c r="N10608" s="17" t="s">
        <v>22459</v>
      </c>
      <c r="O10608" s="17"/>
      <c r="P10608" s="17" t="s">
        <v>45008</v>
      </c>
      <c r="Q10608" s="17"/>
      <c r="R10608" s="25" t="str">
        <f>HYPERLINK("https://ictv.global/taxonomy/taxondetails?taxnode_id=202317193","Hodnevirus allopedocola")</f>
        <v>Hodnevirus allopedocola</v>
      </c>
      <c r="S10608" s="18" t="s">
        <v>30</v>
      </c>
      <c r="T10608" s="18" t="s">
        <v>45175</v>
      </c>
      <c r="U10608" s="18"/>
      <c r="V10608" s="18"/>
      <c r="W10608" s="18" t="s">
        <v>45176</v>
      </c>
      <c r="X10608" s="18" t="s">
        <v>35</v>
      </c>
      <c r="Y10608" s="18" t="s">
        <v>17171</v>
      </c>
      <c r="Z10608" s="18" t="s">
        <v>24637</v>
      </c>
      <c r="AA10608" s="21" t="str">
        <f>HYPERLINK("https://www.ncbi.nlm.nih.gov/nuccore/CASDWV010000823","NCBI Nucleotide")</f>
        <v>NCBI Nucleotide</v>
      </c>
    </row>
    <row r="10609" spans="1:27" x14ac:dyDescent="0.35">
      <c r="A10609">
        <v>1026934</v>
      </c>
      <c r="B10609">
        <v>9934</v>
      </c>
      <c r="C10609">
        <v>1</v>
      </c>
      <c r="D10609" s="17" t="s">
        <v>17166</v>
      </c>
      <c r="E10609" s="17"/>
      <c r="F10609" s="17" t="s">
        <v>17246</v>
      </c>
      <c r="G10609" s="17"/>
      <c r="H10609" s="17" t="s">
        <v>20919</v>
      </c>
      <c r="I10609" s="17"/>
      <c r="J10609" s="17" t="s">
        <v>21313</v>
      </c>
      <c r="K10609" s="17"/>
      <c r="L10609" s="17" t="s">
        <v>22378</v>
      </c>
      <c r="M10609" s="17"/>
      <c r="N10609" s="17" t="s">
        <v>22459</v>
      </c>
      <c r="O10609" s="17"/>
      <c r="P10609" s="17" t="s">
        <v>45008</v>
      </c>
      <c r="Q10609" s="17"/>
      <c r="R10609" s="25" t="str">
        <f>HYPERLINK("https://ictv.global/taxonomy/taxondetails?taxnode_id=202317194","Hodnevirus allopedohabitans")</f>
        <v>Hodnevirus allopedohabitans</v>
      </c>
      <c r="S10609" s="18" t="s">
        <v>30</v>
      </c>
      <c r="T10609" s="18" t="s">
        <v>45177</v>
      </c>
      <c r="U10609" s="18"/>
      <c r="V10609" s="18"/>
      <c r="W10609" s="18" t="s">
        <v>45178</v>
      </c>
      <c r="X10609" s="18" t="s">
        <v>35</v>
      </c>
      <c r="Y10609" s="18" t="s">
        <v>17171</v>
      </c>
      <c r="Z10609" s="18" t="s">
        <v>24637</v>
      </c>
      <c r="AA10609" s="21" t="str">
        <f>HYPERLINK("https://www.ncbi.nlm.nih.gov/nuccore/CASDWV010001086","NCBI Nucleotide")</f>
        <v>NCBI Nucleotide</v>
      </c>
    </row>
    <row r="10610" spans="1:27" x14ac:dyDescent="0.35">
      <c r="A10610">
        <v>1026935</v>
      </c>
      <c r="B10610">
        <v>9935</v>
      </c>
      <c r="C10610">
        <v>1</v>
      </c>
      <c r="D10610" s="17" t="s">
        <v>17166</v>
      </c>
      <c r="E10610" s="17"/>
      <c r="F10610" s="17" t="s">
        <v>17246</v>
      </c>
      <c r="G10610" s="17"/>
      <c r="H10610" s="17" t="s">
        <v>20919</v>
      </c>
      <c r="I10610" s="17"/>
      <c r="J10610" s="17" t="s">
        <v>21313</v>
      </c>
      <c r="K10610" s="17"/>
      <c r="L10610" s="17" t="s">
        <v>22378</v>
      </c>
      <c r="M10610" s="17"/>
      <c r="N10610" s="17" t="s">
        <v>22459</v>
      </c>
      <c r="O10610" s="17"/>
      <c r="P10610" s="17" t="s">
        <v>45008</v>
      </c>
      <c r="Q10610" s="17"/>
      <c r="R10610" s="25" t="str">
        <f>HYPERLINK("https://ictv.global/taxonomy/taxondetails?taxnode_id=202317195","Hodnevirus allopedovicinum")</f>
        <v>Hodnevirus allopedovicinum</v>
      </c>
      <c r="S10610" s="18" t="s">
        <v>30</v>
      </c>
      <c r="T10610" s="18" t="s">
        <v>45179</v>
      </c>
      <c r="U10610" s="18"/>
      <c r="V10610" s="18"/>
      <c r="W10610" s="18" t="s">
        <v>45180</v>
      </c>
      <c r="X10610" s="18" t="s">
        <v>35</v>
      </c>
      <c r="Y10610" s="18" t="s">
        <v>17171</v>
      </c>
      <c r="Z10610" s="18" t="s">
        <v>24637</v>
      </c>
      <c r="AA10610" s="21" t="str">
        <f>HYPERLINK("https://www.ncbi.nlm.nih.gov/nuccore/CASDWV010002753","NCBI Nucleotide")</f>
        <v>NCBI Nucleotide</v>
      </c>
    </row>
    <row r="10611" spans="1:27" x14ac:dyDescent="0.35">
      <c r="A10611">
        <v>1026936</v>
      </c>
      <c r="B10611">
        <v>9936</v>
      </c>
      <c r="C10611">
        <v>1</v>
      </c>
      <c r="D10611" s="17" t="s">
        <v>17166</v>
      </c>
      <c r="E10611" s="17"/>
      <c r="F10611" s="17" t="s">
        <v>17246</v>
      </c>
      <c r="G10611" s="17"/>
      <c r="H10611" s="17" t="s">
        <v>20919</v>
      </c>
      <c r="I10611" s="17"/>
      <c r="J10611" s="17" t="s">
        <v>21313</v>
      </c>
      <c r="K10611" s="17"/>
      <c r="L10611" s="17" t="s">
        <v>22378</v>
      </c>
      <c r="M10611" s="17"/>
      <c r="N10611" s="17" t="s">
        <v>22459</v>
      </c>
      <c r="O10611" s="17"/>
      <c r="P10611" s="17" t="s">
        <v>45008</v>
      </c>
      <c r="Q10611" s="17"/>
      <c r="R10611" s="25" t="str">
        <f>HYPERLINK("https://ictv.global/taxonomy/taxondetails?taxnode_id=202317196","Hodnevirus allopedovivens")</f>
        <v>Hodnevirus allopedovivens</v>
      </c>
      <c r="S10611" s="18" t="s">
        <v>30</v>
      </c>
      <c r="T10611" s="18" t="s">
        <v>45181</v>
      </c>
      <c r="U10611" s="18"/>
      <c r="V10611" s="18"/>
      <c r="W10611" s="18" t="s">
        <v>45182</v>
      </c>
      <c r="X10611" s="18" t="s">
        <v>35</v>
      </c>
      <c r="Y10611" s="18" t="s">
        <v>17171</v>
      </c>
      <c r="Z10611" s="18" t="s">
        <v>24637</v>
      </c>
      <c r="AA10611" s="21" t="str">
        <f>HYPERLINK("https://www.ncbi.nlm.nih.gov/nuccore/CASDWV010005066","NCBI Nucleotide")</f>
        <v>NCBI Nucleotide</v>
      </c>
    </row>
    <row r="10612" spans="1:27" x14ac:dyDescent="0.35">
      <c r="A10612">
        <v>1026937</v>
      </c>
      <c r="B10612">
        <v>9937</v>
      </c>
      <c r="C10612">
        <v>1</v>
      </c>
      <c r="D10612" s="17" t="s">
        <v>17166</v>
      </c>
      <c r="E10612" s="17"/>
      <c r="F10612" s="17" t="s">
        <v>17246</v>
      </c>
      <c r="G10612" s="17"/>
      <c r="H10612" s="17" t="s">
        <v>20919</v>
      </c>
      <c r="I10612" s="17"/>
      <c r="J10612" s="17" t="s">
        <v>21313</v>
      </c>
      <c r="K10612" s="17"/>
      <c r="L10612" s="17" t="s">
        <v>22378</v>
      </c>
      <c r="M10612" s="17"/>
      <c r="N10612" s="17" t="s">
        <v>22459</v>
      </c>
      <c r="O10612" s="17"/>
      <c r="P10612" s="17" t="s">
        <v>45008</v>
      </c>
      <c r="Q10612" s="17"/>
      <c r="R10612" s="25" t="str">
        <f>HYPERLINK("https://ictv.global/taxonomy/taxondetails?taxnode_id=202317197","Hodnevirus allopeladaptatum")</f>
        <v>Hodnevirus allopeladaptatum</v>
      </c>
      <c r="S10612" s="18" t="s">
        <v>30</v>
      </c>
      <c r="T10612" s="18" t="s">
        <v>45183</v>
      </c>
      <c r="U10612" s="18"/>
      <c r="V10612" s="18"/>
      <c r="W10612" s="18" t="s">
        <v>45184</v>
      </c>
      <c r="X10612" s="18" t="s">
        <v>35</v>
      </c>
      <c r="Y10612" s="18" t="s">
        <v>17171</v>
      </c>
      <c r="Z10612" s="18" t="s">
        <v>24637</v>
      </c>
      <c r="AA10612" s="21" t="str">
        <f>HYPERLINK("https://www.ncbi.nlm.nih.gov/nuccore/CASDWV010002065","NCBI Nucleotide")</f>
        <v>NCBI Nucleotide</v>
      </c>
    </row>
    <row r="10613" spans="1:27" x14ac:dyDescent="0.35">
      <c r="A10613">
        <v>1026938</v>
      </c>
      <c r="B10613">
        <v>9938</v>
      </c>
      <c r="C10613">
        <v>1</v>
      </c>
      <c r="D10613" s="17" t="s">
        <v>17166</v>
      </c>
      <c r="E10613" s="17"/>
      <c r="F10613" s="17" t="s">
        <v>17246</v>
      </c>
      <c r="G10613" s="17"/>
      <c r="H10613" s="17" t="s">
        <v>20919</v>
      </c>
      <c r="I10613" s="17"/>
      <c r="J10613" s="17" t="s">
        <v>21313</v>
      </c>
      <c r="K10613" s="17"/>
      <c r="L10613" s="17" t="s">
        <v>22378</v>
      </c>
      <c r="M10613" s="17"/>
      <c r="N10613" s="17" t="s">
        <v>22459</v>
      </c>
      <c r="O10613" s="17"/>
      <c r="P10613" s="17" t="s">
        <v>45008</v>
      </c>
      <c r="Q10613" s="17"/>
      <c r="R10613" s="25" t="str">
        <f>HYPERLINK("https://ictv.global/taxonomy/taxondetails?taxnode_id=202317198","Hodnevirus allopelenecus")</f>
        <v>Hodnevirus allopelenecus</v>
      </c>
      <c r="S10613" s="18" t="s">
        <v>30</v>
      </c>
      <c r="T10613" s="18" t="s">
        <v>45185</v>
      </c>
      <c r="U10613" s="18"/>
      <c r="V10613" s="18"/>
      <c r="W10613" s="18" t="s">
        <v>45186</v>
      </c>
      <c r="X10613" s="18" t="s">
        <v>35</v>
      </c>
      <c r="Y10613" s="18" t="s">
        <v>17171</v>
      </c>
      <c r="Z10613" s="18" t="s">
        <v>24637</v>
      </c>
      <c r="AA10613" s="21" t="str">
        <f>HYPERLINK("https://www.ncbi.nlm.nih.gov/nuccore/CASDWV010002893","NCBI Nucleotide")</f>
        <v>NCBI Nucleotide</v>
      </c>
    </row>
    <row r="10614" spans="1:27" x14ac:dyDescent="0.35">
      <c r="A10614">
        <v>1026939</v>
      </c>
      <c r="B10614">
        <v>9939</v>
      </c>
      <c r="C10614">
        <v>1</v>
      </c>
      <c r="D10614" s="17" t="s">
        <v>17166</v>
      </c>
      <c r="E10614" s="17"/>
      <c r="F10614" s="17" t="s">
        <v>17246</v>
      </c>
      <c r="G10614" s="17"/>
      <c r="H10614" s="17" t="s">
        <v>20919</v>
      </c>
      <c r="I10614" s="17"/>
      <c r="J10614" s="17" t="s">
        <v>21313</v>
      </c>
      <c r="K10614" s="17"/>
      <c r="L10614" s="17" t="s">
        <v>22378</v>
      </c>
      <c r="M10614" s="17"/>
      <c r="N10614" s="17" t="s">
        <v>22459</v>
      </c>
      <c r="O10614" s="17"/>
      <c r="P10614" s="17" t="s">
        <v>45008</v>
      </c>
      <c r="Q10614" s="17"/>
      <c r="R10614" s="25" t="str">
        <f>HYPERLINK("https://ictv.global/taxonomy/taxondetails?taxnode_id=202317199","Hodnevirus allopelocola")</f>
        <v>Hodnevirus allopelocola</v>
      </c>
      <c r="S10614" s="18" t="s">
        <v>30</v>
      </c>
      <c r="T10614" s="18" t="s">
        <v>45187</v>
      </c>
      <c r="U10614" s="18"/>
      <c r="V10614" s="18"/>
      <c r="W10614" s="18" t="s">
        <v>45188</v>
      </c>
      <c r="X10614" s="18" t="s">
        <v>35</v>
      </c>
      <c r="Y10614" s="18" t="s">
        <v>17171</v>
      </c>
      <c r="Z10614" s="18" t="s">
        <v>24637</v>
      </c>
      <c r="AA10614" s="21" t="str">
        <f>HYPERLINK("https://www.ncbi.nlm.nih.gov/nuccore/CASDWV010001778","NCBI Nucleotide")</f>
        <v>NCBI Nucleotide</v>
      </c>
    </row>
    <row r="10615" spans="1:27" x14ac:dyDescent="0.35">
      <c r="A10615">
        <v>1026940</v>
      </c>
      <c r="B10615">
        <v>9940</v>
      </c>
      <c r="C10615">
        <v>1</v>
      </c>
      <c r="D10615" s="17" t="s">
        <v>17166</v>
      </c>
      <c r="E10615" s="17"/>
      <c r="F10615" s="17" t="s">
        <v>17246</v>
      </c>
      <c r="G10615" s="17"/>
      <c r="H10615" s="17" t="s">
        <v>20919</v>
      </c>
      <c r="I10615" s="17"/>
      <c r="J10615" s="17" t="s">
        <v>21313</v>
      </c>
      <c r="K10615" s="17"/>
      <c r="L10615" s="17" t="s">
        <v>22378</v>
      </c>
      <c r="M10615" s="17"/>
      <c r="N10615" s="17" t="s">
        <v>22459</v>
      </c>
      <c r="O10615" s="17"/>
      <c r="P10615" s="17" t="s">
        <v>45008</v>
      </c>
      <c r="Q10615" s="17"/>
      <c r="R10615" s="25" t="str">
        <f>HYPERLINK("https://ictv.global/taxonomy/taxondetails?taxnode_id=202317200","Hodnevirus allopelohabitans")</f>
        <v>Hodnevirus allopelohabitans</v>
      </c>
      <c r="S10615" s="18" t="s">
        <v>30</v>
      </c>
      <c r="T10615" s="18" t="s">
        <v>45189</v>
      </c>
      <c r="U10615" s="18"/>
      <c r="V10615" s="18"/>
      <c r="W10615" s="18" t="s">
        <v>45190</v>
      </c>
      <c r="X10615" s="18" t="s">
        <v>35</v>
      </c>
      <c r="Y10615" s="18" t="s">
        <v>17171</v>
      </c>
      <c r="Z10615" s="18" t="s">
        <v>24637</v>
      </c>
      <c r="AA10615" s="21" t="str">
        <f>HYPERLINK("https://www.ncbi.nlm.nih.gov/nuccore/CASDWV010002115","NCBI Nucleotide")</f>
        <v>NCBI Nucleotide</v>
      </c>
    </row>
    <row r="10616" spans="1:27" x14ac:dyDescent="0.35">
      <c r="A10616">
        <v>1026941</v>
      </c>
      <c r="B10616">
        <v>9941</v>
      </c>
      <c r="C10616">
        <v>1</v>
      </c>
      <c r="D10616" s="17" t="s">
        <v>17166</v>
      </c>
      <c r="E10616" s="17"/>
      <c r="F10616" s="17" t="s">
        <v>17246</v>
      </c>
      <c r="G10616" s="17"/>
      <c r="H10616" s="17" t="s">
        <v>20919</v>
      </c>
      <c r="I10616" s="17"/>
      <c r="J10616" s="17" t="s">
        <v>21313</v>
      </c>
      <c r="K10616" s="17"/>
      <c r="L10616" s="17" t="s">
        <v>22378</v>
      </c>
      <c r="M10616" s="17"/>
      <c r="N10616" s="17" t="s">
        <v>22459</v>
      </c>
      <c r="O10616" s="17"/>
      <c r="P10616" s="17" t="s">
        <v>45008</v>
      </c>
      <c r="Q10616" s="17"/>
      <c r="R10616" s="25" t="str">
        <f>HYPERLINK("https://ictv.global/taxonomy/taxondetails?taxnode_id=202317201","Hodnevirus allopelovicinum")</f>
        <v>Hodnevirus allopelovicinum</v>
      </c>
      <c r="S10616" s="18" t="s">
        <v>30</v>
      </c>
      <c r="T10616" s="18" t="s">
        <v>45191</v>
      </c>
      <c r="U10616" s="18"/>
      <c r="V10616" s="18"/>
      <c r="W10616" s="18" t="s">
        <v>45192</v>
      </c>
      <c r="X10616" s="18" t="s">
        <v>35</v>
      </c>
      <c r="Y10616" s="18" t="s">
        <v>17171</v>
      </c>
      <c r="Z10616" s="18" t="s">
        <v>24637</v>
      </c>
      <c r="AA10616" s="21" t="str">
        <f>HYPERLINK("https://www.ncbi.nlm.nih.gov/nuccore/CASDWV010002793","NCBI Nucleotide")</f>
        <v>NCBI Nucleotide</v>
      </c>
    </row>
    <row r="10617" spans="1:27" x14ac:dyDescent="0.35">
      <c r="A10617">
        <v>1026942</v>
      </c>
      <c r="B10617">
        <v>9942</v>
      </c>
      <c r="C10617">
        <v>1</v>
      </c>
      <c r="D10617" s="17" t="s">
        <v>17166</v>
      </c>
      <c r="E10617" s="17"/>
      <c r="F10617" s="17" t="s">
        <v>17246</v>
      </c>
      <c r="G10617" s="17"/>
      <c r="H10617" s="17" t="s">
        <v>20919</v>
      </c>
      <c r="I10617" s="17"/>
      <c r="J10617" s="17" t="s">
        <v>21313</v>
      </c>
      <c r="K10617" s="17"/>
      <c r="L10617" s="17" t="s">
        <v>22378</v>
      </c>
      <c r="M10617" s="17"/>
      <c r="N10617" s="17" t="s">
        <v>22459</v>
      </c>
      <c r="O10617" s="17"/>
      <c r="P10617" s="17" t="s">
        <v>45008</v>
      </c>
      <c r="Q10617" s="17"/>
      <c r="R10617" s="25" t="str">
        <f>HYPERLINK("https://ictv.global/taxonomy/taxondetails?taxnode_id=202317202","Hodnevirus allopelovivens")</f>
        <v>Hodnevirus allopelovivens</v>
      </c>
      <c r="S10617" s="18" t="s">
        <v>30</v>
      </c>
      <c r="T10617" s="18" t="s">
        <v>45193</v>
      </c>
      <c r="U10617" s="18"/>
      <c r="V10617" s="18"/>
      <c r="W10617" s="18" t="s">
        <v>45194</v>
      </c>
      <c r="X10617" s="18" t="s">
        <v>35</v>
      </c>
      <c r="Y10617" s="18" t="s">
        <v>17171</v>
      </c>
      <c r="Z10617" s="18" t="s">
        <v>24637</v>
      </c>
      <c r="AA10617" s="21" t="str">
        <f>HYPERLINK("https://www.ncbi.nlm.nih.gov/nuccore/CASDWV010002863","NCBI Nucleotide")</f>
        <v>NCBI Nucleotide</v>
      </c>
    </row>
    <row r="10618" spans="1:27" x14ac:dyDescent="0.35">
      <c r="A10618">
        <v>1026943</v>
      </c>
      <c r="B10618">
        <v>9943</v>
      </c>
      <c r="C10618">
        <v>1</v>
      </c>
      <c r="D10618" s="17" t="s">
        <v>17166</v>
      </c>
      <c r="E10618" s="17"/>
      <c r="F10618" s="17" t="s">
        <v>17246</v>
      </c>
      <c r="G10618" s="17"/>
      <c r="H10618" s="17" t="s">
        <v>20919</v>
      </c>
      <c r="I10618" s="17"/>
      <c r="J10618" s="17" t="s">
        <v>21313</v>
      </c>
      <c r="K10618" s="17"/>
      <c r="L10618" s="17" t="s">
        <v>22378</v>
      </c>
      <c r="M10618" s="17"/>
      <c r="N10618" s="17" t="s">
        <v>22459</v>
      </c>
      <c r="O10618" s="17"/>
      <c r="P10618" s="17" t="s">
        <v>45008</v>
      </c>
      <c r="Q10618" s="17"/>
      <c r="R10618" s="25" t="str">
        <f>HYPERLINK("https://ictv.global/taxonomy/taxondetails?taxnode_id=202317203","Hodnevirus alloradicicola")</f>
        <v>Hodnevirus alloradicicola</v>
      </c>
      <c r="S10618" s="18" t="s">
        <v>30</v>
      </c>
      <c r="T10618" s="18" t="s">
        <v>45195</v>
      </c>
      <c r="U10618" s="18"/>
      <c r="V10618" s="18"/>
      <c r="W10618" s="18" t="s">
        <v>45196</v>
      </c>
      <c r="X10618" s="18" t="s">
        <v>35</v>
      </c>
      <c r="Y10618" s="18" t="s">
        <v>17171</v>
      </c>
      <c r="Z10618" s="18" t="s">
        <v>24637</v>
      </c>
      <c r="AA10618" s="21" t="str">
        <f>HYPERLINK("https://www.ncbi.nlm.nih.gov/nuccore/CASDWV010002756","NCBI Nucleotide")</f>
        <v>NCBI Nucleotide</v>
      </c>
    </row>
    <row r="10619" spans="1:27" x14ac:dyDescent="0.35">
      <c r="A10619">
        <v>1026944</v>
      </c>
      <c r="B10619">
        <v>9944</v>
      </c>
      <c r="C10619">
        <v>1</v>
      </c>
      <c r="D10619" s="17" t="s">
        <v>17166</v>
      </c>
      <c r="E10619" s="17"/>
      <c r="F10619" s="17" t="s">
        <v>17246</v>
      </c>
      <c r="G10619" s="17"/>
      <c r="H10619" s="17" t="s">
        <v>20919</v>
      </c>
      <c r="I10619" s="17"/>
      <c r="J10619" s="17" t="s">
        <v>21313</v>
      </c>
      <c r="K10619" s="17"/>
      <c r="L10619" s="17" t="s">
        <v>22378</v>
      </c>
      <c r="M10619" s="17"/>
      <c r="N10619" s="17" t="s">
        <v>22459</v>
      </c>
      <c r="O10619" s="17"/>
      <c r="P10619" s="17" t="s">
        <v>45008</v>
      </c>
      <c r="Q10619" s="17"/>
      <c r="R10619" s="25" t="str">
        <f>HYPERLINK("https://ictv.global/taxonomy/taxondetails?taxnode_id=202317204","Hodnevirus alloradicihabitans")</f>
        <v>Hodnevirus alloradicihabitans</v>
      </c>
      <c r="S10619" s="18" t="s">
        <v>30</v>
      </c>
      <c r="T10619" s="18" t="s">
        <v>45197</v>
      </c>
      <c r="U10619" s="18"/>
      <c r="V10619" s="18"/>
      <c r="W10619" s="18" t="s">
        <v>45198</v>
      </c>
      <c r="X10619" s="18" t="s">
        <v>35</v>
      </c>
      <c r="Y10619" s="18" t="s">
        <v>17171</v>
      </c>
      <c r="Z10619" s="18" t="s">
        <v>24637</v>
      </c>
      <c r="AA10619" s="21" t="str">
        <f>HYPERLINK("https://www.ncbi.nlm.nih.gov/nuccore/CASDWV010001101","NCBI Nucleotide")</f>
        <v>NCBI Nucleotide</v>
      </c>
    </row>
    <row r="10620" spans="1:27" x14ac:dyDescent="0.35">
      <c r="A10620">
        <v>1026945</v>
      </c>
      <c r="B10620">
        <v>9945</v>
      </c>
      <c r="C10620">
        <v>1</v>
      </c>
      <c r="D10620" s="17" t="s">
        <v>17166</v>
      </c>
      <c r="E10620" s="17"/>
      <c r="F10620" s="17" t="s">
        <v>17246</v>
      </c>
      <c r="G10620" s="17"/>
      <c r="H10620" s="17" t="s">
        <v>20919</v>
      </c>
      <c r="I10620" s="17"/>
      <c r="J10620" s="17" t="s">
        <v>21313</v>
      </c>
      <c r="K10620" s="17"/>
      <c r="L10620" s="17" t="s">
        <v>22378</v>
      </c>
      <c r="M10620" s="17"/>
      <c r="N10620" s="17" t="s">
        <v>22459</v>
      </c>
      <c r="O10620" s="17"/>
      <c r="P10620" s="17" t="s">
        <v>45008</v>
      </c>
      <c r="Q10620" s="17"/>
      <c r="R10620" s="25" t="str">
        <f>HYPERLINK("https://ictv.global/taxonomy/taxondetails?taxnode_id=202317205","Hodnevirus alloradicivicinum")</f>
        <v>Hodnevirus alloradicivicinum</v>
      </c>
      <c r="S10620" s="18" t="s">
        <v>30</v>
      </c>
      <c r="T10620" s="18" t="s">
        <v>45199</v>
      </c>
      <c r="U10620" s="18"/>
      <c r="V10620" s="18"/>
      <c r="W10620" s="18" t="s">
        <v>45200</v>
      </c>
      <c r="X10620" s="18" t="s">
        <v>35</v>
      </c>
      <c r="Y10620" s="18" t="s">
        <v>17171</v>
      </c>
      <c r="Z10620" s="18" t="s">
        <v>24637</v>
      </c>
      <c r="AA10620" s="21" t="str">
        <f>HYPERLINK("https://www.ncbi.nlm.nih.gov/nuccore/CASDWV010003750","NCBI Nucleotide")</f>
        <v>NCBI Nucleotide</v>
      </c>
    </row>
    <row r="10621" spans="1:27" x14ac:dyDescent="0.35">
      <c r="A10621">
        <v>1026946</v>
      </c>
      <c r="B10621">
        <v>9946</v>
      </c>
      <c r="C10621">
        <v>1</v>
      </c>
      <c r="D10621" s="17" t="s">
        <v>17166</v>
      </c>
      <c r="E10621" s="17"/>
      <c r="F10621" s="17" t="s">
        <v>17246</v>
      </c>
      <c r="G10621" s="17"/>
      <c r="H10621" s="17" t="s">
        <v>20919</v>
      </c>
      <c r="I10621" s="17"/>
      <c r="J10621" s="17" t="s">
        <v>21313</v>
      </c>
      <c r="K10621" s="17"/>
      <c r="L10621" s="17" t="s">
        <v>22378</v>
      </c>
      <c r="M10621" s="17"/>
      <c r="N10621" s="17" t="s">
        <v>22459</v>
      </c>
      <c r="O10621" s="17"/>
      <c r="P10621" s="17" t="s">
        <v>45008</v>
      </c>
      <c r="Q10621" s="17"/>
      <c r="R10621" s="25" t="str">
        <f>HYPERLINK("https://ictv.global/taxonomy/taxondetails?taxnode_id=202317206","Hodnevirus alloradicivivens")</f>
        <v>Hodnevirus alloradicivivens</v>
      </c>
      <c r="S10621" s="18" t="s">
        <v>30</v>
      </c>
      <c r="T10621" s="18" t="s">
        <v>45201</v>
      </c>
      <c r="U10621" s="18"/>
      <c r="V10621" s="18"/>
      <c r="W10621" s="18" t="s">
        <v>45202</v>
      </c>
      <c r="X10621" s="18" t="s">
        <v>35</v>
      </c>
      <c r="Y10621" s="18" t="s">
        <v>17171</v>
      </c>
      <c r="Z10621" s="18" t="s">
        <v>24637</v>
      </c>
      <c r="AA10621" s="21" t="str">
        <f>HYPERLINK("https://www.ncbi.nlm.nih.gov/nuccore/CASDWV010005068","NCBI Nucleotide")</f>
        <v>NCBI Nucleotide</v>
      </c>
    </row>
    <row r="10622" spans="1:27" x14ac:dyDescent="0.35">
      <c r="A10622">
        <v>1026947</v>
      </c>
      <c r="B10622">
        <v>9947</v>
      </c>
      <c r="C10622">
        <v>1</v>
      </c>
      <c r="D10622" s="17" t="s">
        <v>17166</v>
      </c>
      <c r="E10622" s="17"/>
      <c r="F10622" s="17" t="s">
        <v>17246</v>
      </c>
      <c r="G10622" s="17"/>
      <c r="H10622" s="17" t="s">
        <v>20919</v>
      </c>
      <c r="I10622" s="17"/>
      <c r="J10622" s="17" t="s">
        <v>21313</v>
      </c>
      <c r="K10622" s="17"/>
      <c r="L10622" s="17" t="s">
        <v>22378</v>
      </c>
      <c r="M10622" s="17"/>
      <c r="N10622" s="17" t="s">
        <v>22459</v>
      </c>
      <c r="O10622" s="17"/>
      <c r="P10622" s="17" t="s">
        <v>45008</v>
      </c>
      <c r="Q10622" s="17"/>
      <c r="R10622" s="25" t="str">
        <f>HYPERLINK("https://ictv.global/taxonomy/taxondetails?taxnode_id=202317207","Hodnevirus allosegetadaptatum")</f>
        <v>Hodnevirus allosegetadaptatum</v>
      </c>
      <c r="S10622" s="18" t="s">
        <v>30</v>
      </c>
      <c r="T10622" s="18" t="s">
        <v>45203</v>
      </c>
      <c r="U10622" s="18"/>
      <c r="V10622" s="18"/>
      <c r="W10622" s="18" t="s">
        <v>45204</v>
      </c>
      <c r="X10622" s="18" t="s">
        <v>35</v>
      </c>
      <c r="Y10622" s="18" t="s">
        <v>17171</v>
      </c>
      <c r="Z10622" s="18" t="s">
        <v>24637</v>
      </c>
      <c r="AA10622" s="21" t="str">
        <f>HYPERLINK("https://www.ncbi.nlm.nih.gov/nuccore/CASDWV010002094","NCBI Nucleotide")</f>
        <v>NCBI Nucleotide</v>
      </c>
    </row>
    <row r="10623" spans="1:27" x14ac:dyDescent="0.35">
      <c r="A10623">
        <v>1026948</v>
      </c>
      <c r="B10623">
        <v>9948</v>
      </c>
      <c r="C10623">
        <v>1</v>
      </c>
      <c r="D10623" s="17" t="s">
        <v>17166</v>
      </c>
      <c r="E10623" s="17"/>
      <c r="F10623" s="17" t="s">
        <v>17246</v>
      </c>
      <c r="G10623" s="17"/>
      <c r="H10623" s="17" t="s">
        <v>20919</v>
      </c>
      <c r="I10623" s="17"/>
      <c r="J10623" s="17" t="s">
        <v>21313</v>
      </c>
      <c r="K10623" s="17"/>
      <c r="L10623" s="17" t="s">
        <v>22378</v>
      </c>
      <c r="M10623" s="17"/>
      <c r="N10623" s="17" t="s">
        <v>22459</v>
      </c>
      <c r="O10623" s="17"/>
      <c r="P10623" s="17" t="s">
        <v>45008</v>
      </c>
      <c r="Q10623" s="17"/>
      <c r="R10623" s="25" t="str">
        <f>HYPERLINK("https://ictv.global/taxonomy/taxondetails?taxnode_id=202317208","Hodnevirus allosegetenecus")</f>
        <v>Hodnevirus allosegetenecus</v>
      </c>
      <c r="S10623" s="18" t="s">
        <v>30</v>
      </c>
      <c r="T10623" s="18" t="s">
        <v>45205</v>
      </c>
      <c r="U10623" s="18"/>
      <c r="V10623" s="18"/>
      <c r="W10623" s="18" t="s">
        <v>45206</v>
      </c>
      <c r="X10623" s="18" t="s">
        <v>35</v>
      </c>
      <c r="Y10623" s="18" t="s">
        <v>17171</v>
      </c>
      <c r="Z10623" s="18" t="s">
        <v>24637</v>
      </c>
      <c r="AA10623" s="21" t="str">
        <f>HYPERLINK("https://www.ncbi.nlm.nih.gov/nuccore/CASDWV010000915","NCBI Nucleotide")</f>
        <v>NCBI Nucleotide</v>
      </c>
    </row>
    <row r="10624" spans="1:27" x14ac:dyDescent="0.35">
      <c r="A10624">
        <v>1026949</v>
      </c>
      <c r="B10624">
        <v>9949</v>
      </c>
      <c r="C10624">
        <v>1</v>
      </c>
      <c r="D10624" s="17" t="s">
        <v>17166</v>
      </c>
      <c r="E10624" s="17"/>
      <c r="F10624" s="17" t="s">
        <v>17246</v>
      </c>
      <c r="G10624" s="17"/>
      <c r="H10624" s="17" t="s">
        <v>20919</v>
      </c>
      <c r="I10624" s="17"/>
      <c r="J10624" s="17" t="s">
        <v>21313</v>
      </c>
      <c r="K10624" s="17"/>
      <c r="L10624" s="17" t="s">
        <v>22378</v>
      </c>
      <c r="M10624" s="17"/>
      <c r="N10624" s="17" t="s">
        <v>22459</v>
      </c>
      <c r="O10624" s="17"/>
      <c r="P10624" s="17" t="s">
        <v>45008</v>
      </c>
      <c r="Q10624" s="17"/>
      <c r="R10624" s="25" t="str">
        <f>HYPERLINK("https://ictv.global/taxonomy/taxondetails?taxnode_id=202317209","Hodnevirus allosegeticola")</f>
        <v>Hodnevirus allosegeticola</v>
      </c>
      <c r="S10624" s="18" t="s">
        <v>30</v>
      </c>
      <c r="T10624" s="18" t="s">
        <v>45207</v>
      </c>
      <c r="U10624" s="18"/>
      <c r="V10624" s="18"/>
      <c r="W10624" s="18" t="s">
        <v>45208</v>
      </c>
      <c r="X10624" s="18" t="s">
        <v>35</v>
      </c>
      <c r="Y10624" s="18" t="s">
        <v>17171</v>
      </c>
      <c r="Z10624" s="18" t="s">
        <v>24637</v>
      </c>
      <c r="AA10624" s="21" t="str">
        <f>HYPERLINK("https://www.ncbi.nlm.nih.gov/nuccore/CASDWV010001885","NCBI Nucleotide")</f>
        <v>NCBI Nucleotide</v>
      </c>
    </row>
    <row r="10625" spans="1:27" x14ac:dyDescent="0.35">
      <c r="A10625">
        <v>1026950</v>
      </c>
      <c r="B10625">
        <v>9950</v>
      </c>
      <c r="C10625">
        <v>1</v>
      </c>
      <c r="D10625" s="17" t="s">
        <v>17166</v>
      </c>
      <c r="E10625" s="17"/>
      <c r="F10625" s="17" t="s">
        <v>17246</v>
      </c>
      <c r="G10625" s="17"/>
      <c r="H10625" s="17" t="s">
        <v>20919</v>
      </c>
      <c r="I10625" s="17"/>
      <c r="J10625" s="17" t="s">
        <v>21313</v>
      </c>
      <c r="K10625" s="17"/>
      <c r="L10625" s="17" t="s">
        <v>22378</v>
      </c>
      <c r="M10625" s="17"/>
      <c r="N10625" s="17" t="s">
        <v>22459</v>
      </c>
      <c r="O10625" s="17"/>
      <c r="P10625" s="17" t="s">
        <v>45008</v>
      </c>
      <c r="Q10625" s="17"/>
      <c r="R10625" s="25" t="str">
        <f>HYPERLINK("https://ictv.global/taxonomy/taxondetails?taxnode_id=202317210","Hodnevirus allosegetihabitans")</f>
        <v>Hodnevirus allosegetihabitans</v>
      </c>
      <c r="S10625" s="18" t="s">
        <v>30</v>
      </c>
      <c r="T10625" s="18" t="s">
        <v>45209</v>
      </c>
      <c r="U10625" s="18"/>
      <c r="V10625" s="18"/>
      <c r="W10625" s="18" t="s">
        <v>45210</v>
      </c>
      <c r="X10625" s="18" t="s">
        <v>35</v>
      </c>
      <c r="Y10625" s="18" t="s">
        <v>17171</v>
      </c>
      <c r="Z10625" s="18" t="s">
        <v>24637</v>
      </c>
      <c r="AA10625" s="21" t="str">
        <f>HYPERLINK("https://www.ncbi.nlm.nih.gov/nuccore/CASDWV010001724","NCBI Nucleotide")</f>
        <v>NCBI Nucleotide</v>
      </c>
    </row>
    <row r="10626" spans="1:27" x14ac:dyDescent="0.35">
      <c r="A10626">
        <v>1026951</v>
      </c>
      <c r="B10626">
        <v>9951</v>
      </c>
      <c r="C10626">
        <v>1</v>
      </c>
      <c r="D10626" s="17" t="s">
        <v>17166</v>
      </c>
      <c r="E10626" s="17"/>
      <c r="F10626" s="17" t="s">
        <v>17246</v>
      </c>
      <c r="G10626" s="17"/>
      <c r="H10626" s="17" t="s">
        <v>20919</v>
      </c>
      <c r="I10626" s="17"/>
      <c r="J10626" s="17" t="s">
        <v>21313</v>
      </c>
      <c r="K10626" s="17"/>
      <c r="L10626" s="17" t="s">
        <v>22378</v>
      </c>
      <c r="M10626" s="17"/>
      <c r="N10626" s="17" t="s">
        <v>22459</v>
      </c>
      <c r="O10626" s="17"/>
      <c r="P10626" s="17" t="s">
        <v>45008</v>
      </c>
      <c r="Q10626" s="17"/>
      <c r="R10626" s="25" t="str">
        <f>HYPERLINK("https://ictv.global/taxonomy/taxondetails?taxnode_id=202317211","Hodnevirus allosegetivicinum")</f>
        <v>Hodnevirus allosegetivicinum</v>
      </c>
      <c r="S10626" s="18" t="s">
        <v>30</v>
      </c>
      <c r="T10626" s="18" t="s">
        <v>45211</v>
      </c>
      <c r="U10626" s="18"/>
      <c r="V10626" s="18"/>
      <c r="W10626" s="18" t="s">
        <v>45212</v>
      </c>
      <c r="X10626" s="18" t="s">
        <v>35</v>
      </c>
      <c r="Y10626" s="18" t="s">
        <v>17171</v>
      </c>
      <c r="Z10626" s="18" t="s">
        <v>24637</v>
      </c>
      <c r="AA10626" s="21" t="str">
        <f>HYPERLINK("https://www.ncbi.nlm.nih.gov/nuccore/CASDWV010000084","NCBI Nucleotide")</f>
        <v>NCBI Nucleotide</v>
      </c>
    </row>
    <row r="10627" spans="1:27" x14ac:dyDescent="0.35">
      <c r="A10627">
        <v>1026952</v>
      </c>
      <c r="B10627">
        <v>9952</v>
      </c>
      <c r="C10627">
        <v>1</v>
      </c>
      <c r="D10627" s="17" t="s">
        <v>17166</v>
      </c>
      <c r="E10627" s="17"/>
      <c r="F10627" s="17" t="s">
        <v>17246</v>
      </c>
      <c r="G10627" s="17"/>
      <c r="H10627" s="17" t="s">
        <v>20919</v>
      </c>
      <c r="I10627" s="17"/>
      <c r="J10627" s="17" t="s">
        <v>21313</v>
      </c>
      <c r="K10627" s="17"/>
      <c r="L10627" s="17" t="s">
        <v>22378</v>
      </c>
      <c r="M10627" s="17"/>
      <c r="N10627" s="17" t="s">
        <v>22459</v>
      </c>
      <c r="O10627" s="17"/>
      <c r="P10627" s="17" t="s">
        <v>45008</v>
      </c>
      <c r="Q10627" s="17"/>
      <c r="R10627" s="25" t="str">
        <f>HYPERLINK("https://ictv.global/taxonomy/taxondetails?taxnode_id=202317212","Hodnevirus allosegetivivens")</f>
        <v>Hodnevirus allosegetivivens</v>
      </c>
      <c r="S10627" s="18" t="s">
        <v>30</v>
      </c>
      <c r="T10627" s="18" t="s">
        <v>45213</v>
      </c>
      <c r="U10627" s="18"/>
      <c r="V10627" s="18"/>
      <c r="W10627" s="18" t="s">
        <v>45214</v>
      </c>
      <c r="X10627" s="18" t="s">
        <v>35</v>
      </c>
      <c r="Y10627" s="18" t="s">
        <v>17171</v>
      </c>
      <c r="Z10627" s="18" t="s">
        <v>24637</v>
      </c>
      <c r="AA10627" s="21" t="str">
        <f>HYPERLINK("https://www.ncbi.nlm.nih.gov/nuccore/CASDWV010000318","NCBI Nucleotide")</f>
        <v>NCBI Nucleotide</v>
      </c>
    </row>
    <row r="10628" spans="1:27" x14ac:dyDescent="0.35">
      <c r="A10628">
        <v>1026953</v>
      </c>
      <c r="B10628">
        <v>9953</v>
      </c>
      <c r="C10628">
        <v>1</v>
      </c>
      <c r="D10628" s="17" t="s">
        <v>17166</v>
      </c>
      <c r="E10628" s="17"/>
      <c r="F10628" s="17" t="s">
        <v>17246</v>
      </c>
      <c r="G10628" s="17"/>
      <c r="H10628" s="17" t="s">
        <v>20919</v>
      </c>
      <c r="I10628" s="17"/>
      <c r="J10628" s="17" t="s">
        <v>21313</v>
      </c>
      <c r="K10628" s="17"/>
      <c r="L10628" s="17" t="s">
        <v>22378</v>
      </c>
      <c r="M10628" s="17"/>
      <c r="N10628" s="17" t="s">
        <v>22459</v>
      </c>
      <c r="O10628" s="17"/>
      <c r="P10628" s="17" t="s">
        <v>45008</v>
      </c>
      <c r="Q10628" s="17"/>
      <c r="R10628" s="25" t="str">
        <f>HYPERLINK("https://ictv.global/taxonomy/taxondetails?taxnode_id=202317213","Hodnevirus allosoladaptatum")</f>
        <v>Hodnevirus allosoladaptatum</v>
      </c>
      <c r="S10628" s="18" t="s">
        <v>30</v>
      </c>
      <c r="T10628" s="18" t="s">
        <v>45215</v>
      </c>
      <c r="U10628" s="18"/>
      <c r="V10628" s="18"/>
      <c r="W10628" s="18" t="s">
        <v>45216</v>
      </c>
      <c r="X10628" s="18" t="s">
        <v>35</v>
      </c>
      <c r="Y10628" s="18" t="s">
        <v>17171</v>
      </c>
      <c r="Z10628" s="18" t="s">
        <v>24637</v>
      </c>
      <c r="AA10628" s="21" t="str">
        <f>HYPERLINK("https://www.ncbi.nlm.nih.gov/nuccore/CASDWV010000696","NCBI Nucleotide")</f>
        <v>NCBI Nucleotide</v>
      </c>
    </row>
    <row r="10629" spans="1:27" x14ac:dyDescent="0.35">
      <c r="A10629">
        <v>1026954</v>
      </c>
      <c r="B10629">
        <v>9954</v>
      </c>
      <c r="C10629">
        <v>1</v>
      </c>
      <c r="D10629" s="17" t="s">
        <v>17166</v>
      </c>
      <c r="E10629" s="17"/>
      <c r="F10629" s="17" t="s">
        <v>17246</v>
      </c>
      <c r="G10629" s="17"/>
      <c r="H10629" s="17" t="s">
        <v>20919</v>
      </c>
      <c r="I10629" s="17"/>
      <c r="J10629" s="17" t="s">
        <v>21313</v>
      </c>
      <c r="K10629" s="17"/>
      <c r="L10629" s="17" t="s">
        <v>22378</v>
      </c>
      <c r="M10629" s="17"/>
      <c r="N10629" s="17" t="s">
        <v>22459</v>
      </c>
      <c r="O10629" s="17"/>
      <c r="P10629" s="17" t="s">
        <v>45008</v>
      </c>
      <c r="Q10629" s="17"/>
      <c r="R10629" s="25" t="str">
        <f>HYPERLINK("https://ictv.global/taxonomy/taxondetails?taxnode_id=202317214","Hodnevirus allosolenecus")</f>
        <v>Hodnevirus allosolenecus</v>
      </c>
      <c r="S10629" s="18" t="s">
        <v>30</v>
      </c>
      <c r="T10629" s="18" t="s">
        <v>45217</v>
      </c>
      <c r="U10629" s="18"/>
      <c r="V10629" s="18"/>
      <c r="W10629" s="18" t="s">
        <v>45218</v>
      </c>
      <c r="X10629" s="18" t="s">
        <v>35</v>
      </c>
      <c r="Y10629" s="18" t="s">
        <v>17171</v>
      </c>
      <c r="Z10629" s="18" t="s">
        <v>24637</v>
      </c>
      <c r="AA10629" s="21" t="str">
        <f>HYPERLINK("https://www.ncbi.nlm.nih.gov/nuccore/CASDWV010001667","NCBI Nucleotide")</f>
        <v>NCBI Nucleotide</v>
      </c>
    </row>
    <row r="10630" spans="1:27" x14ac:dyDescent="0.35">
      <c r="A10630">
        <v>1026955</v>
      </c>
      <c r="B10630">
        <v>9955</v>
      </c>
      <c r="C10630">
        <v>1</v>
      </c>
      <c r="D10630" s="17" t="s">
        <v>17166</v>
      </c>
      <c r="E10630" s="17"/>
      <c r="F10630" s="17" t="s">
        <v>17246</v>
      </c>
      <c r="G10630" s="17"/>
      <c r="H10630" s="17" t="s">
        <v>20919</v>
      </c>
      <c r="I10630" s="17"/>
      <c r="J10630" s="17" t="s">
        <v>21313</v>
      </c>
      <c r="K10630" s="17"/>
      <c r="L10630" s="17" t="s">
        <v>22378</v>
      </c>
      <c r="M10630" s="17"/>
      <c r="N10630" s="17" t="s">
        <v>22459</v>
      </c>
      <c r="O10630" s="17"/>
      <c r="P10630" s="17" t="s">
        <v>45008</v>
      </c>
      <c r="Q10630" s="17"/>
      <c r="R10630" s="25" t="str">
        <f>HYPERLINK("https://ictv.global/taxonomy/taxondetails?taxnode_id=202317215","Hodnevirus allosolicola")</f>
        <v>Hodnevirus allosolicola</v>
      </c>
      <c r="S10630" s="18" t="s">
        <v>30</v>
      </c>
      <c r="T10630" s="18" t="s">
        <v>45219</v>
      </c>
      <c r="U10630" s="18"/>
      <c r="V10630" s="18"/>
      <c r="W10630" s="18" t="s">
        <v>45220</v>
      </c>
      <c r="X10630" s="18" t="s">
        <v>35</v>
      </c>
      <c r="Y10630" s="18" t="s">
        <v>17171</v>
      </c>
      <c r="Z10630" s="18" t="s">
        <v>24637</v>
      </c>
      <c r="AA10630" s="21" t="str">
        <f>HYPERLINK("https://www.ncbi.nlm.nih.gov/nuccore/CASDWV010001836","NCBI Nucleotide")</f>
        <v>NCBI Nucleotide</v>
      </c>
    </row>
    <row r="10631" spans="1:27" x14ac:dyDescent="0.35">
      <c r="A10631">
        <v>1026956</v>
      </c>
      <c r="B10631">
        <v>9956</v>
      </c>
      <c r="C10631">
        <v>1</v>
      </c>
      <c r="D10631" s="17" t="s">
        <v>17166</v>
      </c>
      <c r="E10631" s="17"/>
      <c r="F10631" s="17" t="s">
        <v>17246</v>
      </c>
      <c r="G10631" s="17"/>
      <c r="H10631" s="17" t="s">
        <v>20919</v>
      </c>
      <c r="I10631" s="17"/>
      <c r="J10631" s="17" t="s">
        <v>21313</v>
      </c>
      <c r="K10631" s="17"/>
      <c r="L10631" s="17" t="s">
        <v>22378</v>
      </c>
      <c r="M10631" s="17"/>
      <c r="N10631" s="17" t="s">
        <v>22459</v>
      </c>
      <c r="O10631" s="17"/>
      <c r="P10631" s="17" t="s">
        <v>45008</v>
      </c>
      <c r="Q10631" s="17"/>
      <c r="R10631" s="25" t="str">
        <f>HYPERLINK("https://ictv.global/taxonomy/taxondetails?taxnode_id=202317216","Hodnevirus allosolihabitans")</f>
        <v>Hodnevirus allosolihabitans</v>
      </c>
      <c r="S10631" s="18" t="s">
        <v>30</v>
      </c>
      <c r="T10631" s="18" t="s">
        <v>45221</v>
      </c>
      <c r="U10631" s="18"/>
      <c r="V10631" s="18"/>
      <c r="W10631" s="18" t="s">
        <v>45222</v>
      </c>
      <c r="X10631" s="18" t="s">
        <v>35</v>
      </c>
      <c r="Y10631" s="18" t="s">
        <v>17171</v>
      </c>
      <c r="Z10631" s="18" t="s">
        <v>24637</v>
      </c>
      <c r="AA10631" s="21" t="str">
        <f>HYPERLINK("https://www.ncbi.nlm.nih.gov/nuccore/CASDWV010002521","NCBI Nucleotide")</f>
        <v>NCBI Nucleotide</v>
      </c>
    </row>
    <row r="10632" spans="1:27" x14ac:dyDescent="0.35">
      <c r="A10632">
        <v>1026957</v>
      </c>
      <c r="B10632">
        <v>9957</v>
      </c>
      <c r="C10632">
        <v>1</v>
      </c>
      <c r="D10632" s="17" t="s">
        <v>17166</v>
      </c>
      <c r="E10632" s="17"/>
      <c r="F10632" s="17" t="s">
        <v>17246</v>
      </c>
      <c r="G10632" s="17"/>
      <c r="H10632" s="17" t="s">
        <v>20919</v>
      </c>
      <c r="I10632" s="17"/>
      <c r="J10632" s="17" t="s">
        <v>21313</v>
      </c>
      <c r="K10632" s="17"/>
      <c r="L10632" s="17" t="s">
        <v>22378</v>
      </c>
      <c r="M10632" s="17"/>
      <c r="N10632" s="17" t="s">
        <v>22459</v>
      </c>
      <c r="O10632" s="17"/>
      <c r="P10632" s="17" t="s">
        <v>45008</v>
      </c>
      <c r="Q10632" s="17"/>
      <c r="R10632" s="25" t="str">
        <f>HYPERLINK("https://ictv.global/taxonomy/taxondetails?taxnode_id=202317217","Hodnevirus allosolivicinum")</f>
        <v>Hodnevirus allosolivicinum</v>
      </c>
      <c r="S10632" s="18" t="s">
        <v>30</v>
      </c>
      <c r="T10632" s="18" t="s">
        <v>45223</v>
      </c>
      <c r="U10632" s="18"/>
      <c r="V10632" s="18"/>
      <c r="W10632" s="18" t="s">
        <v>45224</v>
      </c>
      <c r="X10632" s="18" t="s">
        <v>35</v>
      </c>
      <c r="Y10632" s="18" t="s">
        <v>17171</v>
      </c>
      <c r="Z10632" s="18" t="s">
        <v>24637</v>
      </c>
      <c r="AA10632" s="21" t="str">
        <f>HYPERLINK("https://www.ncbi.nlm.nih.gov/nuccore/CASDWV010001229","NCBI Nucleotide")</f>
        <v>NCBI Nucleotide</v>
      </c>
    </row>
    <row r="10633" spans="1:27" x14ac:dyDescent="0.35">
      <c r="A10633">
        <v>1026958</v>
      </c>
      <c r="B10633">
        <v>9958</v>
      </c>
      <c r="C10633">
        <v>1</v>
      </c>
      <c r="D10633" s="17" t="s">
        <v>17166</v>
      </c>
      <c r="E10633" s="17"/>
      <c r="F10633" s="17" t="s">
        <v>17246</v>
      </c>
      <c r="G10633" s="17"/>
      <c r="H10633" s="17" t="s">
        <v>20919</v>
      </c>
      <c r="I10633" s="17"/>
      <c r="J10633" s="17" t="s">
        <v>21313</v>
      </c>
      <c r="K10633" s="17"/>
      <c r="L10633" s="17" t="s">
        <v>22378</v>
      </c>
      <c r="M10633" s="17"/>
      <c r="N10633" s="17" t="s">
        <v>22459</v>
      </c>
      <c r="O10633" s="17"/>
      <c r="P10633" s="17" t="s">
        <v>45008</v>
      </c>
      <c r="Q10633" s="17"/>
      <c r="R10633" s="25" t="str">
        <f>HYPERLINK("https://ictv.global/taxonomy/taxondetails?taxnode_id=202317218","Hodnevirus allosolivivens")</f>
        <v>Hodnevirus allosolivivens</v>
      </c>
      <c r="S10633" s="18" t="s">
        <v>30</v>
      </c>
      <c r="T10633" s="18" t="s">
        <v>45225</v>
      </c>
      <c r="U10633" s="18"/>
      <c r="V10633" s="18"/>
      <c r="W10633" s="18" t="s">
        <v>45226</v>
      </c>
      <c r="X10633" s="18" t="s">
        <v>35</v>
      </c>
      <c r="Y10633" s="18" t="s">
        <v>17171</v>
      </c>
      <c r="Z10633" s="18" t="s">
        <v>24637</v>
      </c>
      <c r="AA10633" s="21" t="str">
        <f>HYPERLINK("https://www.ncbi.nlm.nih.gov/nuccore/CASDWV010002757","NCBI Nucleotide")</f>
        <v>NCBI Nucleotide</v>
      </c>
    </row>
    <row r="10634" spans="1:27" x14ac:dyDescent="0.35">
      <c r="A10634">
        <v>1026959</v>
      </c>
      <c r="B10634">
        <v>9959</v>
      </c>
      <c r="C10634">
        <v>1</v>
      </c>
      <c r="D10634" s="17" t="s">
        <v>17166</v>
      </c>
      <c r="E10634" s="17"/>
      <c r="F10634" s="17" t="s">
        <v>17246</v>
      </c>
      <c r="G10634" s="17"/>
      <c r="H10634" s="17" t="s">
        <v>20919</v>
      </c>
      <c r="I10634" s="17"/>
      <c r="J10634" s="17" t="s">
        <v>21313</v>
      </c>
      <c r="K10634" s="17"/>
      <c r="L10634" s="17" t="s">
        <v>22378</v>
      </c>
      <c r="M10634" s="17"/>
      <c r="N10634" s="17" t="s">
        <v>22459</v>
      </c>
      <c r="O10634" s="17"/>
      <c r="P10634" s="17" t="s">
        <v>45008</v>
      </c>
      <c r="Q10634" s="17"/>
      <c r="R10634" s="25" t="str">
        <f>HYPERLINK("https://ictv.global/taxonomy/taxondetails?taxnode_id=202317219","Hodnevirus allotelluradaptatum")</f>
        <v>Hodnevirus allotelluradaptatum</v>
      </c>
      <c r="S10634" s="18" t="s">
        <v>30</v>
      </c>
      <c r="T10634" s="18" t="s">
        <v>45227</v>
      </c>
      <c r="U10634" s="18"/>
      <c r="V10634" s="18"/>
      <c r="W10634" s="18" t="s">
        <v>45228</v>
      </c>
      <c r="X10634" s="18" t="s">
        <v>35</v>
      </c>
      <c r="Y10634" s="18" t="s">
        <v>17171</v>
      </c>
      <c r="Z10634" s="18" t="s">
        <v>24637</v>
      </c>
      <c r="AA10634" s="21" t="str">
        <f>HYPERLINK("https://www.ncbi.nlm.nih.gov/nuccore/CASDWV010002480","NCBI Nucleotide")</f>
        <v>NCBI Nucleotide</v>
      </c>
    </row>
    <row r="10635" spans="1:27" x14ac:dyDescent="0.35">
      <c r="A10635">
        <v>1026960</v>
      </c>
      <c r="B10635">
        <v>9960</v>
      </c>
      <c r="C10635">
        <v>1</v>
      </c>
      <c r="D10635" s="17" t="s">
        <v>17166</v>
      </c>
      <c r="E10635" s="17"/>
      <c r="F10635" s="17" t="s">
        <v>17246</v>
      </c>
      <c r="G10635" s="17"/>
      <c r="H10635" s="17" t="s">
        <v>20919</v>
      </c>
      <c r="I10635" s="17"/>
      <c r="J10635" s="17" t="s">
        <v>21313</v>
      </c>
      <c r="K10635" s="17"/>
      <c r="L10635" s="17" t="s">
        <v>22378</v>
      </c>
      <c r="M10635" s="17"/>
      <c r="N10635" s="17" t="s">
        <v>22459</v>
      </c>
      <c r="O10635" s="17"/>
      <c r="P10635" s="17" t="s">
        <v>45008</v>
      </c>
      <c r="Q10635" s="17"/>
      <c r="R10635" s="25" t="str">
        <f>HYPERLINK("https://ictv.global/taxonomy/taxondetails?taxnode_id=202317220","Hodnevirus allotellurenecus")</f>
        <v>Hodnevirus allotellurenecus</v>
      </c>
      <c r="S10635" s="18" t="s">
        <v>30</v>
      </c>
      <c r="T10635" s="18" t="s">
        <v>45229</v>
      </c>
      <c r="U10635" s="18"/>
      <c r="V10635" s="18"/>
      <c r="W10635" s="18" t="s">
        <v>45230</v>
      </c>
      <c r="X10635" s="18" t="s">
        <v>35</v>
      </c>
      <c r="Y10635" s="18" t="s">
        <v>17171</v>
      </c>
      <c r="Z10635" s="18" t="s">
        <v>24637</v>
      </c>
      <c r="AA10635" s="21" t="str">
        <f>HYPERLINK("https://www.ncbi.nlm.nih.gov/nuccore/CASDWV010002765","NCBI Nucleotide")</f>
        <v>NCBI Nucleotide</v>
      </c>
    </row>
    <row r="10636" spans="1:27" x14ac:dyDescent="0.35">
      <c r="A10636">
        <v>1026961</v>
      </c>
      <c r="B10636">
        <v>9961</v>
      </c>
      <c r="C10636">
        <v>1</v>
      </c>
      <c r="D10636" s="17" t="s">
        <v>17166</v>
      </c>
      <c r="E10636" s="17"/>
      <c r="F10636" s="17" t="s">
        <v>17246</v>
      </c>
      <c r="G10636" s="17"/>
      <c r="H10636" s="17" t="s">
        <v>20919</v>
      </c>
      <c r="I10636" s="17"/>
      <c r="J10636" s="17" t="s">
        <v>21313</v>
      </c>
      <c r="K10636" s="17"/>
      <c r="L10636" s="17" t="s">
        <v>22378</v>
      </c>
      <c r="M10636" s="17"/>
      <c r="N10636" s="17" t="s">
        <v>22459</v>
      </c>
      <c r="O10636" s="17"/>
      <c r="P10636" s="17" t="s">
        <v>45008</v>
      </c>
      <c r="Q10636" s="17"/>
      <c r="R10636" s="25" t="str">
        <f>HYPERLINK("https://ictv.global/taxonomy/taxondetails?taxnode_id=202317221","Hodnevirus allotelluricola")</f>
        <v>Hodnevirus allotelluricola</v>
      </c>
      <c r="S10636" s="18" t="s">
        <v>30</v>
      </c>
      <c r="T10636" s="18" t="s">
        <v>45231</v>
      </c>
      <c r="U10636" s="18"/>
      <c r="V10636" s="18"/>
      <c r="W10636" s="18" t="s">
        <v>45232</v>
      </c>
      <c r="X10636" s="18" t="s">
        <v>35</v>
      </c>
      <c r="Y10636" s="18" t="s">
        <v>17171</v>
      </c>
      <c r="Z10636" s="18" t="s">
        <v>24637</v>
      </c>
      <c r="AA10636" s="21" t="str">
        <f>HYPERLINK("https://www.ncbi.nlm.nih.gov/nuccore/CASDWV010002063","NCBI Nucleotide")</f>
        <v>NCBI Nucleotide</v>
      </c>
    </row>
    <row r="10637" spans="1:27" x14ac:dyDescent="0.35">
      <c r="A10637">
        <v>1026962</v>
      </c>
      <c r="B10637">
        <v>9962</v>
      </c>
      <c r="C10637">
        <v>1</v>
      </c>
      <c r="D10637" s="17" t="s">
        <v>17166</v>
      </c>
      <c r="E10637" s="17"/>
      <c r="F10637" s="17" t="s">
        <v>17246</v>
      </c>
      <c r="G10637" s="17"/>
      <c r="H10637" s="17" t="s">
        <v>20919</v>
      </c>
      <c r="I10637" s="17"/>
      <c r="J10637" s="17" t="s">
        <v>21313</v>
      </c>
      <c r="K10637" s="17"/>
      <c r="L10637" s="17" t="s">
        <v>22378</v>
      </c>
      <c r="M10637" s="17"/>
      <c r="N10637" s="17" t="s">
        <v>22459</v>
      </c>
      <c r="O10637" s="17"/>
      <c r="P10637" s="17" t="s">
        <v>45008</v>
      </c>
      <c r="Q10637" s="17"/>
      <c r="R10637" s="25" t="str">
        <f>HYPERLINK("https://ictv.global/taxonomy/taxondetails?taxnode_id=202317222","Hodnevirus allotellurihabitans")</f>
        <v>Hodnevirus allotellurihabitans</v>
      </c>
      <c r="S10637" s="18" t="s">
        <v>30</v>
      </c>
      <c r="T10637" s="18" t="s">
        <v>45233</v>
      </c>
      <c r="U10637" s="18"/>
      <c r="V10637" s="18"/>
      <c r="W10637" s="18" t="s">
        <v>45234</v>
      </c>
      <c r="X10637" s="18" t="s">
        <v>35</v>
      </c>
      <c r="Y10637" s="18" t="s">
        <v>17171</v>
      </c>
      <c r="Z10637" s="18" t="s">
        <v>24637</v>
      </c>
      <c r="AA10637" s="21" t="str">
        <f>HYPERLINK("https://www.ncbi.nlm.nih.gov/nuccore/CASDWV010002418","NCBI Nucleotide")</f>
        <v>NCBI Nucleotide</v>
      </c>
    </row>
    <row r="10638" spans="1:27" x14ac:dyDescent="0.35">
      <c r="A10638">
        <v>1026963</v>
      </c>
      <c r="B10638">
        <v>9963</v>
      </c>
      <c r="C10638">
        <v>1</v>
      </c>
      <c r="D10638" s="17" t="s">
        <v>17166</v>
      </c>
      <c r="E10638" s="17"/>
      <c r="F10638" s="17" t="s">
        <v>17246</v>
      </c>
      <c r="G10638" s="17"/>
      <c r="H10638" s="17" t="s">
        <v>20919</v>
      </c>
      <c r="I10638" s="17"/>
      <c r="J10638" s="17" t="s">
        <v>21313</v>
      </c>
      <c r="K10638" s="17"/>
      <c r="L10638" s="17" t="s">
        <v>22378</v>
      </c>
      <c r="M10638" s="17"/>
      <c r="N10638" s="17" t="s">
        <v>22459</v>
      </c>
      <c r="O10638" s="17"/>
      <c r="P10638" s="17" t="s">
        <v>45008</v>
      </c>
      <c r="Q10638" s="17"/>
      <c r="R10638" s="25" t="str">
        <f>HYPERLINK("https://ictv.global/taxonomy/taxondetails?taxnode_id=202317223","Hodnevirus allotellurivicinum")</f>
        <v>Hodnevirus allotellurivicinum</v>
      </c>
      <c r="S10638" s="18" t="s">
        <v>30</v>
      </c>
      <c r="T10638" s="18" t="s">
        <v>45235</v>
      </c>
      <c r="U10638" s="18"/>
      <c r="V10638" s="18"/>
      <c r="W10638" s="18" t="s">
        <v>45236</v>
      </c>
      <c r="X10638" s="18" t="s">
        <v>35</v>
      </c>
      <c r="Y10638" s="18" t="s">
        <v>17171</v>
      </c>
      <c r="Z10638" s="18" t="s">
        <v>24637</v>
      </c>
      <c r="AA10638" s="21" t="str">
        <f>HYPERLINK("https://www.ncbi.nlm.nih.gov/nuccore/CASDWV010001135","NCBI Nucleotide")</f>
        <v>NCBI Nucleotide</v>
      </c>
    </row>
    <row r="10639" spans="1:27" x14ac:dyDescent="0.35">
      <c r="A10639">
        <v>1026964</v>
      </c>
      <c r="B10639">
        <v>9964</v>
      </c>
      <c r="C10639">
        <v>1</v>
      </c>
      <c r="D10639" s="17" t="s">
        <v>17166</v>
      </c>
      <c r="E10639" s="17"/>
      <c r="F10639" s="17" t="s">
        <v>17246</v>
      </c>
      <c r="G10639" s="17"/>
      <c r="H10639" s="17" t="s">
        <v>20919</v>
      </c>
      <c r="I10639" s="17"/>
      <c r="J10639" s="17" t="s">
        <v>21313</v>
      </c>
      <c r="K10639" s="17"/>
      <c r="L10639" s="17" t="s">
        <v>22378</v>
      </c>
      <c r="M10639" s="17"/>
      <c r="N10639" s="17" t="s">
        <v>22459</v>
      </c>
      <c r="O10639" s="17"/>
      <c r="P10639" s="17" t="s">
        <v>45008</v>
      </c>
      <c r="Q10639" s="17"/>
      <c r="R10639" s="25" t="str">
        <f>HYPERLINK("https://ictv.global/taxonomy/taxondetails?taxnode_id=202317224","Hodnevirus allotellurivivens")</f>
        <v>Hodnevirus allotellurivivens</v>
      </c>
      <c r="S10639" s="18" t="s">
        <v>30</v>
      </c>
      <c r="T10639" s="18" t="s">
        <v>45237</v>
      </c>
      <c r="U10639" s="18"/>
      <c r="V10639" s="18"/>
      <c r="W10639" s="18" t="s">
        <v>45238</v>
      </c>
      <c r="X10639" s="18" t="s">
        <v>35</v>
      </c>
      <c r="Y10639" s="18" t="s">
        <v>17171</v>
      </c>
      <c r="Z10639" s="18" t="s">
        <v>24637</v>
      </c>
      <c r="AA10639" s="21" t="str">
        <f>HYPERLINK("https://www.ncbi.nlm.nih.gov/nuccore/CASDWV010001716","NCBI Nucleotide")</f>
        <v>NCBI Nucleotide</v>
      </c>
    </row>
    <row r="10640" spans="1:27" x14ac:dyDescent="0.35">
      <c r="A10640">
        <v>1026965</v>
      </c>
      <c r="B10640">
        <v>9965</v>
      </c>
      <c r="C10640">
        <v>1</v>
      </c>
      <c r="D10640" s="17" t="s">
        <v>17166</v>
      </c>
      <c r="E10640" s="17"/>
      <c r="F10640" s="17" t="s">
        <v>17246</v>
      </c>
      <c r="G10640" s="17"/>
      <c r="H10640" s="17" t="s">
        <v>20919</v>
      </c>
      <c r="I10640" s="17"/>
      <c r="J10640" s="17" t="s">
        <v>21313</v>
      </c>
      <c r="K10640" s="17"/>
      <c r="L10640" s="17" t="s">
        <v>22378</v>
      </c>
      <c r="M10640" s="17"/>
      <c r="N10640" s="17" t="s">
        <v>22459</v>
      </c>
      <c r="O10640" s="17"/>
      <c r="P10640" s="17" t="s">
        <v>45008</v>
      </c>
      <c r="Q10640" s="17"/>
      <c r="R10640" s="25" t="str">
        <f>HYPERLINK("https://ictv.global/taxonomy/taxondetails?taxnode_id=202317225","Hodnevirus alloterradaptatum")</f>
        <v>Hodnevirus alloterradaptatum</v>
      </c>
      <c r="S10640" s="18" t="s">
        <v>30</v>
      </c>
      <c r="T10640" s="18" t="s">
        <v>45239</v>
      </c>
      <c r="U10640" s="18"/>
      <c r="V10640" s="18"/>
      <c r="W10640" s="18" t="s">
        <v>45240</v>
      </c>
      <c r="X10640" s="18" t="s">
        <v>35</v>
      </c>
      <c r="Y10640" s="18" t="s">
        <v>17171</v>
      </c>
      <c r="Z10640" s="18" t="s">
        <v>24637</v>
      </c>
      <c r="AA10640" s="21" t="str">
        <f>HYPERLINK("https://www.ncbi.nlm.nih.gov/nuccore/CASDWV010002849","NCBI Nucleotide")</f>
        <v>NCBI Nucleotide</v>
      </c>
    </row>
    <row r="10641" spans="1:27" x14ac:dyDescent="0.35">
      <c r="A10641">
        <v>1026966</v>
      </c>
      <c r="B10641">
        <v>9966</v>
      </c>
      <c r="C10641">
        <v>1</v>
      </c>
      <c r="D10641" s="17" t="s">
        <v>17166</v>
      </c>
      <c r="E10641" s="17"/>
      <c r="F10641" s="17" t="s">
        <v>17246</v>
      </c>
      <c r="G10641" s="17"/>
      <c r="H10641" s="17" t="s">
        <v>20919</v>
      </c>
      <c r="I10641" s="17"/>
      <c r="J10641" s="17" t="s">
        <v>21313</v>
      </c>
      <c r="K10641" s="17"/>
      <c r="L10641" s="17" t="s">
        <v>22378</v>
      </c>
      <c r="M10641" s="17"/>
      <c r="N10641" s="17" t="s">
        <v>22459</v>
      </c>
      <c r="O10641" s="17"/>
      <c r="P10641" s="17" t="s">
        <v>45008</v>
      </c>
      <c r="Q10641" s="17"/>
      <c r="R10641" s="25" t="str">
        <f>HYPERLINK("https://ictv.global/taxonomy/taxondetails?taxnode_id=202317226","Hodnevirus alloterrenecus")</f>
        <v>Hodnevirus alloterrenecus</v>
      </c>
      <c r="S10641" s="18" t="s">
        <v>30</v>
      </c>
      <c r="T10641" s="18" t="s">
        <v>45241</v>
      </c>
      <c r="U10641" s="18"/>
      <c r="V10641" s="18"/>
      <c r="W10641" s="18" t="s">
        <v>45242</v>
      </c>
      <c r="X10641" s="18" t="s">
        <v>35</v>
      </c>
      <c r="Y10641" s="18" t="s">
        <v>17171</v>
      </c>
      <c r="Z10641" s="18" t="s">
        <v>24637</v>
      </c>
      <c r="AA10641" s="21" t="str">
        <f>HYPERLINK("https://www.ncbi.nlm.nih.gov/nuccore/CASDWV010001525","NCBI Nucleotide")</f>
        <v>NCBI Nucleotide</v>
      </c>
    </row>
    <row r="10642" spans="1:27" x14ac:dyDescent="0.35">
      <c r="A10642">
        <v>1026967</v>
      </c>
      <c r="B10642">
        <v>9967</v>
      </c>
      <c r="C10642">
        <v>1</v>
      </c>
      <c r="D10642" s="17" t="s">
        <v>17166</v>
      </c>
      <c r="E10642" s="17"/>
      <c r="F10642" s="17" t="s">
        <v>17246</v>
      </c>
      <c r="G10642" s="17"/>
      <c r="H10642" s="17" t="s">
        <v>20919</v>
      </c>
      <c r="I10642" s="17"/>
      <c r="J10642" s="17" t="s">
        <v>21313</v>
      </c>
      <c r="K10642" s="17"/>
      <c r="L10642" s="17" t="s">
        <v>22378</v>
      </c>
      <c r="M10642" s="17"/>
      <c r="N10642" s="17" t="s">
        <v>22459</v>
      </c>
      <c r="O10642" s="17"/>
      <c r="P10642" s="17" t="s">
        <v>45008</v>
      </c>
      <c r="Q10642" s="17"/>
      <c r="R10642" s="25" t="str">
        <f>HYPERLINK("https://ictv.global/taxonomy/taxondetails?taxnode_id=202317227","Hodnevirus alloterricola")</f>
        <v>Hodnevirus alloterricola</v>
      </c>
      <c r="S10642" s="18" t="s">
        <v>30</v>
      </c>
      <c r="T10642" s="18" t="s">
        <v>45243</v>
      </c>
      <c r="U10642" s="18"/>
      <c r="V10642" s="18"/>
      <c r="W10642" s="18" t="s">
        <v>45244</v>
      </c>
      <c r="X10642" s="18" t="s">
        <v>35</v>
      </c>
      <c r="Y10642" s="18" t="s">
        <v>17171</v>
      </c>
      <c r="Z10642" s="18" t="s">
        <v>24637</v>
      </c>
      <c r="AA10642" s="21" t="str">
        <f>HYPERLINK("https://www.ncbi.nlm.nih.gov/nuccore/CASDWV010002567","NCBI Nucleotide")</f>
        <v>NCBI Nucleotide</v>
      </c>
    </row>
    <row r="10643" spans="1:27" x14ac:dyDescent="0.35">
      <c r="A10643">
        <v>1026968</v>
      </c>
      <c r="B10643">
        <v>9968</v>
      </c>
      <c r="C10643">
        <v>1</v>
      </c>
      <c r="D10643" s="17" t="s">
        <v>17166</v>
      </c>
      <c r="E10643" s="17"/>
      <c r="F10643" s="17" t="s">
        <v>17246</v>
      </c>
      <c r="G10643" s="17"/>
      <c r="H10643" s="17" t="s">
        <v>20919</v>
      </c>
      <c r="I10643" s="17"/>
      <c r="J10643" s="17" t="s">
        <v>21313</v>
      </c>
      <c r="K10643" s="17"/>
      <c r="L10643" s="17" t="s">
        <v>22378</v>
      </c>
      <c r="M10643" s="17"/>
      <c r="N10643" s="17" t="s">
        <v>22459</v>
      </c>
      <c r="O10643" s="17"/>
      <c r="P10643" s="17" t="s">
        <v>45008</v>
      </c>
      <c r="Q10643" s="17"/>
      <c r="R10643" s="25" t="str">
        <f>HYPERLINK("https://ictv.global/taxonomy/taxondetails?taxnode_id=202317228","Hodnevirus alloterrihabitans")</f>
        <v>Hodnevirus alloterrihabitans</v>
      </c>
      <c r="S10643" s="18" t="s">
        <v>30</v>
      </c>
      <c r="T10643" s="18" t="s">
        <v>45245</v>
      </c>
      <c r="U10643" s="18"/>
      <c r="V10643" s="18"/>
      <c r="W10643" s="18" t="s">
        <v>45246</v>
      </c>
      <c r="X10643" s="18" t="s">
        <v>35</v>
      </c>
      <c r="Y10643" s="18" t="s">
        <v>17171</v>
      </c>
      <c r="Z10643" s="18" t="s">
        <v>24637</v>
      </c>
      <c r="AA10643" s="21" t="str">
        <f>HYPERLINK("https://www.ncbi.nlm.nih.gov/nuccore/CASDWV010000730","NCBI Nucleotide")</f>
        <v>NCBI Nucleotide</v>
      </c>
    </row>
    <row r="10644" spans="1:27" x14ac:dyDescent="0.35">
      <c r="A10644">
        <v>1026969</v>
      </c>
      <c r="B10644">
        <v>9969</v>
      </c>
      <c r="C10644">
        <v>1</v>
      </c>
      <c r="D10644" s="17" t="s">
        <v>17166</v>
      </c>
      <c r="E10644" s="17"/>
      <c r="F10644" s="17" t="s">
        <v>17246</v>
      </c>
      <c r="G10644" s="17"/>
      <c r="H10644" s="17" t="s">
        <v>20919</v>
      </c>
      <c r="I10644" s="17"/>
      <c r="J10644" s="17" t="s">
        <v>21313</v>
      </c>
      <c r="K10644" s="17"/>
      <c r="L10644" s="17" t="s">
        <v>22378</v>
      </c>
      <c r="M10644" s="17"/>
      <c r="N10644" s="17" t="s">
        <v>22459</v>
      </c>
      <c r="O10644" s="17"/>
      <c r="P10644" s="17" t="s">
        <v>45008</v>
      </c>
      <c r="Q10644" s="17"/>
      <c r="R10644" s="25" t="str">
        <f>HYPERLINK("https://ictv.global/taxonomy/taxondetails?taxnode_id=202317229","Hodnevirus alloterrivicinum")</f>
        <v>Hodnevirus alloterrivicinum</v>
      </c>
      <c r="S10644" s="18" t="s">
        <v>30</v>
      </c>
      <c r="T10644" s="18" t="s">
        <v>45247</v>
      </c>
      <c r="U10644" s="18"/>
      <c r="V10644" s="18"/>
      <c r="W10644" s="18" t="s">
        <v>45248</v>
      </c>
      <c r="X10644" s="18" t="s">
        <v>35</v>
      </c>
      <c r="Y10644" s="18" t="s">
        <v>17171</v>
      </c>
      <c r="Z10644" s="18" t="s">
        <v>24637</v>
      </c>
      <c r="AA10644" s="21" t="str">
        <f>HYPERLINK("https://www.ncbi.nlm.nih.gov/nuccore/CASDWV010000561","NCBI Nucleotide")</f>
        <v>NCBI Nucleotide</v>
      </c>
    </row>
    <row r="10645" spans="1:27" x14ac:dyDescent="0.35">
      <c r="A10645">
        <v>1026970</v>
      </c>
      <c r="B10645">
        <v>9970</v>
      </c>
      <c r="C10645">
        <v>1</v>
      </c>
      <c r="D10645" s="17" t="s">
        <v>17166</v>
      </c>
      <c r="E10645" s="17"/>
      <c r="F10645" s="17" t="s">
        <v>17246</v>
      </c>
      <c r="G10645" s="17"/>
      <c r="H10645" s="17" t="s">
        <v>20919</v>
      </c>
      <c r="I10645" s="17"/>
      <c r="J10645" s="17" t="s">
        <v>21313</v>
      </c>
      <c r="K10645" s="17"/>
      <c r="L10645" s="17" t="s">
        <v>22378</v>
      </c>
      <c r="M10645" s="17"/>
      <c r="N10645" s="17" t="s">
        <v>22459</v>
      </c>
      <c r="O10645" s="17"/>
      <c r="P10645" s="17" t="s">
        <v>45008</v>
      </c>
      <c r="Q10645" s="17"/>
      <c r="R10645" s="25" t="str">
        <f>HYPERLINK("https://ictv.global/taxonomy/taxondetails?taxnode_id=202317230","Hodnevirus alloterrivivens")</f>
        <v>Hodnevirus alloterrivivens</v>
      </c>
      <c r="S10645" s="18" t="s">
        <v>30</v>
      </c>
      <c r="T10645" s="18" t="s">
        <v>45249</v>
      </c>
      <c r="U10645" s="18"/>
      <c r="V10645" s="18"/>
      <c r="W10645" s="18" t="s">
        <v>45250</v>
      </c>
      <c r="X10645" s="18" t="s">
        <v>35</v>
      </c>
      <c r="Y10645" s="18" t="s">
        <v>17171</v>
      </c>
      <c r="Z10645" s="18" t="s">
        <v>24637</v>
      </c>
      <c r="AA10645" s="21" t="str">
        <f>HYPERLINK("https://www.ncbi.nlm.nih.gov/nuccore/CASDWV010001592","NCBI Nucleotide")</f>
        <v>NCBI Nucleotide</v>
      </c>
    </row>
    <row r="10646" spans="1:27" x14ac:dyDescent="0.35">
      <c r="A10646">
        <v>1009895</v>
      </c>
      <c r="B10646">
        <v>9971</v>
      </c>
      <c r="C10646">
        <v>1</v>
      </c>
      <c r="D10646" s="17" t="s">
        <v>17166</v>
      </c>
      <c r="E10646" s="17"/>
      <c r="F10646" s="17" t="s">
        <v>17246</v>
      </c>
      <c r="G10646" s="17"/>
      <c r="H10646" s="17" t="s">
        <v>20919</v>
      </c>
      <c r="I10646" s="17"/>
      <c r="J10646" s="17" t="s">
        <v>21313</v>
      </c>
      <c r="K10646" s="17"/>
      <c r="L10646" s="17" t="s">
        <v>22378</v>
      </c>
      <c r="M10646" s="17"/>
      <c r="N10646" s="17" t="s">
        <v>22459</v>
      </c>
      <c r="O10646" s="17"/>
      <c r="P10646" s="17" t="s">
        <v>45008</v>
      </c>
      <c r="Q10646" s="17"/>
      <c r="R10646" s="25" t="str">
        <f>HYPERLINK("https://ictv.global/taxonomy/taxondetails?taxnode_id=202311085","Hodnevirus arvadaptatum")</f>
        <v>Hodnevirus arvadaptatum</v>
      </c>
      <c r="S10646" s="18" t="s">
        <v>30</v>
      </c>
      <c r="T10646" s="18" t="s">
        <v>22622</v>
      </c>
      <c r="U10646" s="18"/>
      <c r="V10646" s="18"/>
      <c r="W10646" s="18" t="s">
        <v>22623</v>
      </c>
      <c r="X10646" s="18" t="s">
        <v>35</v>
      </c>
      <c r="Y10646" s="18" t="s">
        <v>17171</v>
      </c>
      <c r="Z10646" s="18" t="s">
        <v>697</v>
      </c>
      <c r="AA10646" s="21" t="str">
        <f>HYPERLINK("https://www.ncbi.nlm.nih.gov/nuccore/BK013475","NCBI Nucleotide")</f>
        <v>NCBI Nucleotide</v>
      </c>
    </row>
    <row r="10647" spans="1:27" x14ac:dyDescent="0.35">
      <c r="A10647">
        <v>1009934</v>
      </c>
      <c r="B10647">
        <v>9972</v>
      </c>
      <c r="C10647">
        <v>1</v>
      </c>
      <c r="D10647" s="17" t="s">
        <v>17166</v>
      </c>
      <c r="E10647" s="17"/>
      <c r="F10647" s="17" t="s">
        <v>17246</v>
      </c>
      <c r="G10647" s="17"/>
      <c r="H10647" s="17" t="s">
        <v>20919</v>
      </c>
      <c r="I10647" s="17"/>
      <c r="J10647" s="17" t="s">
        <v>21313</v>
      </c>
      <c r="K10647" s="17"/>
      <c r="L10647" s="17" t="s">
        <v>22378</v>
      </c>
      <c r="M10647" s="17"/>
      <c r="N10647" s="17" t="s">
        <v>22459</v>
      </c>
      <c r="O10647" s="17"/>
      <c r="P10647" s="17" t="s">
        <v>45008</v>
      </c>
      <c r="Q10647" s="17"/>
      <c r="R10647" s="25" t="str">
        <f>HYPERLINK("https://ictv.global/taxonomy/taxondetails?taxnode_id=202311164","Hodnevirus arvenecus")</f>
        <v>Hodnevirus arvenecus</v>
      </c>
      <c r="S10647" s="18" t="s">
        <v>30</v>
      </c>
      <c r="T10647" s="18" t="s">
        <v>22709</v>
      </c>
      <c r="U10647" s="18"/>
      <c r="V10647" s="18"/>
      <c r="W10647" s="18" t="s">
        <v>22710</v>
      </c>
      <c r="X10647" s="18" t="s">
        <v>35</v>
      </c>
      <c r="Y10647" s="18" t="s">
        <v>17171</v>
      </c>
      <c r="Z10647" s="18" t="s">
        <v>697</v>
      </c>
      <c r="AA10647" s="21" t="str">
        <f>HYPERLINK("https://www.ncbi.nlm.nih.gov/nuccore/BK013565","NCBI Nucleotide")</f>
        <v>NCBI Nucleotide</v>
      </c>
    </row>
    <row r="10648" spans="1:27" x14ac:dyDescent="0.35">
      <c r="A10648">
        <v>1009935</v>
      </c>
      <c r="B10648">
        <v>9973</v>
      </c>
      <c r="C10648">
        <v>1</v>
      </c>
      <c r="D10648" s="17" t="s">
        <v>17166</v>
      </c>
      <c r="E10648" s="17"/>
      <c r="F10648" s="17" t="s">
        <v>17246</v>
      </c>
      <c r="G10648" s="17"/>
      <c r="H10648" s="17" t="s">
        <v>20919</v>
      </c>
      <c r="I10648" s="17"/>
      <c r="J10648" s="17" t="s">
        <v>21313</v>
      </c>
      <c r="K10648" s="17"/>
      <c r="L10648" s="17" t="s">
        <v>22378</v>
      </c>
      <c r="M10648" s="17"/>
      <c r="N10648" s="17" t="s">
        <v>22459</v>
      </c>
      <c r="O10648" s="17"/>
      <c r="P10648" s="17" t="s">
        <v>45008</v>
      </c>
      <c r="Q10648" s="17"/>
      <c r="R10648" s="25" t="str">
        <f>HYPERLINK("https://ictv.global/taxonomy/taxondetails?taxnode_id=202311163","Hodnevirus arvicola")</f>
        <v>Hodnevirus arvicola</v>
      </c>
      <c r="S10648" s="18" t="s">
        <v>30</v>
      </c>
      <c r="T10648" s="18" t="s">
        <v>22711</v>
      </c>
      <c r="U10648" s="18"/>
      <c r="V10648" s="18"/>
      <c r="W10648" s="18" t="s">
        <v>22712</v>
      </c>
      <c r="X10648" s="18" t="s">
        <v>35</v>
      </c>
      <c r="Y10648" s="18" t="s">
        <v>17171</v>
      </c>
      <c r="Z10648" s="18" t="s">
        <v>697</v>
      </c>
      <c r="AA10648" s="21" t="str">
        <f>HYPERLINK("https://www.ncbi.nlm.nih.gov/nuccore/BK013535","NCBI Nucleotide")</f>
        <v>NCBI Nucleotide</v>
      </c>
    </row>
    <row r="10649" spans="1:27" x14ac:dyDescent="0.35">
      <c r="A10649">
        <v>1009936</v>
      </c>
      <c r="B10649">
        <v>9974</v>
      </c>
      <c r="C10649">
        <v>1</v>
      </c>
      <c r="D10649" s="17" t="s">
        <v>17166</v>
      </c>
      <c r="E10649" s="17"/>
      <c r="F10649" s="17" t="s">
        <v>17246</v>
      </c>
      <c r="G10649" s="17"/>
      <c r="H10649" s="17" t="s">
        <v>20919</v>
      </c>
      <c r="I10649" s="17"/>
      <c r="J10649" s="17" t="s">
        <v>21313</v>
      </c>
      <c r="K10649" s="17"/>
      <c r="L10649" s="17" t="s">
        <v>22378</v>
      </c>
      <c r="M10649" s="17"/>
      <c r="N10649" s="17" t="s">
        <v>22459</v>
      </c>
      <c r="O10649" s="17"/>
      <c r="P10649" s="17" t="s">
        <v>45008</v>
      </c>
      <c r="Q10649" s="17"/>
      <c r="R10649" s="25" t="str">
        <f>HYPERLINK("https://ictv.global/taxonomy/taxondetails?taxnode_id=202311165","Hodnevirus arvihabitans")</f>
        <v>Hodnevirus arvihabitans</v>
      </c>
      <c r="S10649" s="18" t="s">
        <v>30</v>
      </c>
      <c r="T10649" s="18" t="s">
        <v>22713</v>
      </c>
      <c r="U10649" s="18"/>
      <c r="V10649" s="18"/>
      <c r="W10649" s="18" t="s">
        <v>22714</v>
      </c>
      <c r="X10649" s="18" t="s">
        <v>35</v>
      </c>
      <c r="Y10649" s="18" t="s">
        <v>17171</v>
      </c>
      <c r="Z10649" s="18" t="s">
        <v>697</v>
      </c>
      <c r="AA10649" s="21" t="str">
        <f>HYPERLINK("https://www.ncbi.nlm.nih.gov/nuccore/BK014045","NCBI Nucleotide")</f>
        <v>NCBI Nucleotide</v>
      </c>
    </row>
    <row r="10650" spans="1:27" x14ac:dyDescent="0.35">
      <c r="A10650">
        <v>1009937</v>
      </c>
      <c r="B10650">
        <v>9975</v>
      </c>
      <c r="C10650">
        <v>1</v>
      </c>
      <c r="D10650" s="17" t="s">
        <v>17166</v>
      </c>
      <c r="E10650" s="17"/>
      <c r="F10650" s="17" t="s">
        <v>17246</v>
      </c>
      <c r="G10650" s="17"/>
      <c r="H10650" s="17" t="s">
        <v>20919</v>
      </c>
      <c r="I10650" s="17"/>
      <c r="J10650" s="17" t="s">
        <v>21313</v>
      </c>
      <c r="K10650" s="17"/>
      <c r="L10650" s="17" t="s">
        <v>22378</v>
      </c>
      <c r="M10650" s="17"/>
      <c r="N10650" s="17" t="s">
        <v>22459</v>
      </c>
      <c r="O10650" s="17"/>
      <c r="P10650" s="17" t="s">
        <v>45008</v>
      </c>
      <c r="Q10650" s="17"/>
      <c r="R10650" s="25" t="str">
        <f>HYPERLINK("https://ictv.global/taxonomy/taxondetails?taxnode_id=202311166","Hodnevirus arvivicinum")</f>
        <v>Hodnevirus arvivicinum</v>
      </c>
      <c r="S10650" s="18" t="s">
        <v>30</v>
      </c>
      <c r="T10650" s="18" t="s">
        <v>22715</v>
      </c>
      <c r="U10650" s="18"/>
      <c r="V10650" s="18"/>
      <c r="W10650" s="18" t="s">
        <v>22716</v>
      </c>
      <c r="X10650" s="18" t="s">
        <v>35</v>
      </c>
      <c r="Y10650" s="18" t="s">
        <v>17171</v>
      </c>
      <c r="Z10650" s="18" t="s">
        <v>697</v>
      </c>
      <c r="AA10650" s="21" t="str">
        <f>HYPERLINK("https://www.ncbi.nlm.nih.gov/nuccore/BK013435","NCBI Nucleotide")</f>
        <v>NCBI Nucleotide</v>
      </c>
    </row>
    <row r="10651" spans="1:27" x14ac:dyDescent="0.35">
      <c r="A10651">
        <v>1009836</v>
      </c>
      <c r="B10651">
        <v>9976</v>
      </c>
      <c r="C10651">
        <v>1</v>
      </c>
      <c r="D10651" s="17" t="s">
        <v>17166</v>
      </c>
      <c r="E10651" s="17"/>
      <c r="F10651" s="17" t="s">
        <v>17246</v>
      </c>
      <c r="G10651" s="17"/>
      <c r="H10651" s="17" t="s">
        <v>20919</v>
      </c>
      <c r="I10651" s="17"/>
      <c r="J10651" s="17" t="s">
        <v>21313</v>
      </c>
      <c r="K10651" s="17"/>
      <c r="L10651" s="17" t="s">
        <v>22378</v>
      </c>
      <c r="M10651" s="17"/>
      <c r="N10651" s="17" t="s">
        <v>22459</v>
      </c>
      <c r="O10651" s="17"/>
      <c r="P10651" s="17" t="s">
        <v>45008</v>
      </c>
      <c r="Q10651" s="17"/>
      <c r="R10651" s="25" t="str">
        <f>HYPERLINK("https://ictv.global/taxonomy/taxondetails?taxnode_id=202311009","Hodnevirus arvivivens")</f>
        <v>Hodnevirus arvivivens</v>
      </c>
      <c r="S10651" s="18" t="s">
        <v>30</v>
      </c>
      <c r="T10651" s="18" t="s">
        <v>22500</v>
      </c>
      <c r="U10651" s="18"/>
      <c r="V10651" s="18"/>
      <c r="W10651" s="18" t="s">
        <v>22501</v>
      </c>
      <c r="X10651" s="18" t="s">
        <v>35</v>
      </c>
      <c r="Y10651" s="18" t="s">
        <v>17171</v>
      </c>
      <c r="Z10651" s="18" t="s">
        <v>697</v>
      </c>
      <c r="AA10651" s="21" t="str">
        <f>HYPERLINK("https://www.ncbi.nlm.nih.gov/nuccore/BK013898","NCBI Nucleotide")</f>
        <v>NCBI Nucleotide</v>
      </c>
    </row>
    <row r="10652" spans="1:27" x14ac:dyDescent="0.35">
      <c r="A10652">
        <v>1010065</v>
      </c>
      <c r="B10652">
        <v>9977</v>
      </c>
      <c r="C10652">
        <v>1</v>
      </c>
      <c r="D10652" s="17" t="s">
        <v>17166</v>
      </c>
      <c r="E10652" s="17"/>
      <c r="F10652" s="17" t="s">
        <v>17246</v>
      </c>
      <c r="G10652" s="17"/>
      <c r="H10652" s="17" t="s">
        <v>20919</v>
      </c>
      <c r="I10652" s="17"/>
      <c r="J10652" s="17" t="s">
        <v>21313</v>
      </c>
      <c r="K10652" s="17"/>
      <c r="L10652" s="17" t="s">
        <v>22378</v>
      </c>
      <c r="M10652" s="17"/>
      <c r="N10652" s="17" t="s">
        <v>22459</v>
      </c>
      <c r="O10652" s="17"/>
      <c r="P10652" s="17" t="s">
        <v>45008</v>
      </c>
      <c r="Q10652" s="17"/>
      <c r="R10652" s="25" t="str">
        <f>HYPERLINK("https://ictv.global/taxonomy/taxondetails?taxnode_id=202311283","Hodnevirus asiadaptatum")</f>
        <v>Hodnevirus asiadaptatum</v>
      </c>
      <c r="S10652" s="18" t="s">
        <v>30</v>
      </c>
      <c r="T10652" s="18" t="s">
        <v>22971</v>
      </c>
      <c r="U10652" s="18"/>
      <c r="V10652" s="18"/>
      <c r="W10652" s="18" t="s">
        <v>22972</v>
      </c>
      <c r="X10652" s="18" t="s">
        <v>35</v>
      </c>
      <c r="Y10652" s="18" t="s">
        <v>17171</v>
      </c>
      <c r="Z10652" s="18" t="s">
        <v>697</v>
      </c>
      <c r="AA10652" s="21" t="str">
        <f>HYPERLINK("https://www.ncbi.nlm.nih.gov/nuccore/BK013658","NCBI Nucleotide")</f>
        <v>NCBI Nucleotide</v>
      </c>
    </row>
    <row r="10653" spans="1:27" x14ac:dyDescent="0.35">
      <c r="A10653">
        <v>1009939</v>
      </c>
      <c r="B10653">
        <v>9978</v>
      </c>
      <c r="C10653">
        <v>1</v>
      </c>
      <c r="D10653" s="17" t="s">
        <v>17166</v>
      </c>
      <c r="E10653" s="17"/>
      <c r="F10653" s="17" t="s">
        <v>17246</v>
      </c>
      <c r="G10653" s="17"/>
      <c r="H10653" s="17" t="s">
        <v>20919</v>
      </c>
      <c r="I10653" s="17"/>
      <c r="J10653" s="17" t="s">
        <v>21313</v>
      </c>
      <c r="K10653" s="17"/>
      <c r="L10653" s="17" t="s">
        <v>22378</v>
      </c>
      <c r="M10653" s="17"/>
      <c r="N10653" s="17" t="s">
        <v>22459</v>
      </c>
      <c r="O10653" s="17"/>
      <c r="P10653" s="17" t="s">
        <v>45008</v>
      </c>
      <c r="Q10653" s="17"/>
      <c r="R10653" s="25" t="str">
        <f>HYPERLINK("https://ictv.global/taxonomy/taxondetails?taxnode_id=202311208","Hodnevirus asienecus")</f>
        <v>Hodnevirus asienecus</v>
      </c>
      <c r="S10653" s="18" t="s">
        <v>30</v>
      </c>
      <c r="T10653" s="18" t="s">
        <v>22719</v>
      </c>
      <c r="U10653" s="18"/>
      <c r="V10653" s="18"/>
      <c r="W10653" s="18" t="s">
        <v>22720</v>
      </c>
      <c r="X10653" s="18" t="s">
        <v>35</v>
      </c>
      <c r="Y10653" s="18" t="s">
        <v>17171</v>
      </c>
      <c r="Z10653" s="18" t="s">
        <v>697</v>
      </c>
      <c r="AA10653" s="21" t="str">
        <f>HYPERLINK("https://www.ncbi.nlm.nih.gov/nuccore/BK013705","NCBI Nucleotide")</f>
        <v>NCBI Nucleotide</v>
      </c>
    </row>
    <row r="10654" spans="1:27" x14ac:dyDescent="0.35">
      <c r="A10654">
        <v>1026971</v>
      </c>
      <c r="B10654">
        <v>9979</v>
      </c>
      <c r="C10654">
        <v>1</v>
      </c>
      <c r="D10654" s="17" t="s">
        <v>17166</v>
      </c>
      <c r="E10654" s="17"/>
      <c r="F10654" s="17" t="s">
        <v>17246</v>
      </c>
      <c r="G10654" s="17"/>
      <c r="H10654" s="17" t="s">
        <v>20919</v>
      </c>
      <c r="I10654" s="17"/>
      <c r="J10654" s="17" t="s">
        <v>21313</v>
      </c>
      <c r="K10654" s="17"/>
      <c r="L10654" s="17" t="s">
        <v>22378</v>
      </c>
      <c r="M10654" s="17"/>
      <c r="N10654" s="17" t="s">
        <v>22459</v>
      </c>
      <c r="O10654" s="17"/>
      <c r="P10654" s="17" t="s">
        <v>45008</v>
      </c>
      <c r="Q10654" s="17"/>
      <c r="R10654" s="25" t="str">
        <f>HYPERLINK("https://ictv.global/taxonomy/taxondetails?taxnode_id=202317231","Hodnevirus asiocola")</f>
        <v>Hodnevirus asiocola</v>
      </c>
      <c r="S10654" s="18" t="s">
        <v>30</v>
      </c>
      <c r="T10654" s="18" t="s">
        <v>45251</v>
      </c>
      <c r="U10654" s="18"/>
      <c r="V10654" s="18"/>
      <c r="W10654" s="18" t="s">
        <v>45252</v>
      </c>
      <c r="X10654" s="18" t="s">
        <v>35</v>
      </c>
      <c r="Y10654" s="18" t="s">
        <v>17171</v>
      </c>
      <c r="Z10654" s="18" t="s">
        <v>24637</v>
      </c>
      <c r="AA10654" s="21" t="str">
        <f>HYPERLINK("https://www.ncbi.nlm.nih.gov/nuccore/CASDWV010004483","NCBI Nucleotide")</f>
        <v>NCBI Nucleotide</v>
      </c>
    </row>
    <row r="10655" spans="1:27" x14ac:dyDescent="0.35">
      <c r="A10655">
        <v>1026972</v>
      </c>
      <c r="B10655">
        <v>9980</v>
      </c>
      <c r="C10655">
        <v>1</v>
      </c>
      <c r="D10655" s="17" t="s">
        <v>17166</v>
      </c>
      <c r="E10655" s="17"/>
      <c r="F10655" s="17" t="s">
        <v>17246</v>
      </c>
      <c r="G10655" s="17"/>
      <c r="H10655" s="17" t="s">
        <v>20919</v>
      </c>
      <c r="I10655" s="17"/>
      <c r="J10655" s="17" t="s">
        <v>21313</v>
      </c>
      <c r="K10655" s="17"/>
      <c r="L10655" s="17" t="s">
        <v>22378</v>
      </c>
      <c r="M10655" s="17"/>
      <c r="N10655" s="17" t="s">
        <v>22459</v>
      </c>
      <c r="O10655" s="17"/>
      <c r="P10655" s="17" t="s">
        <v>45008</v>
      </c>
      <c r="Q10655" s="17"/>
      <c r="R10655" s="25" t="str">
        <f>HYPERLINK("https://ictv.global/taxonomy/taxondetails?taxnode_id=202317232","Hodnevirus asiovivens")</f>
        <v>Hodnevirus asiovivens</v>
      </c>
      <c r="S10655" s="18" t="s">
        <v>30</v>
      </c>
      <c r="T10655" s="18" t="s">
        <v>45253</v>
      </c>
      <c r="U10655" s="18"/>
      <c r="V10655" s="18"/>
      <c r="W10655" s="18" t="s">
        <v>45254</v>
      </c>
      <c r="X10655" s="18" t="s">
        <v>35</v>
      </c>
      <c r="Y10655" s="18" t="s">
        <v>17171</v>
      </c>
      <c r="Z10655" s="18" t="s">
        <v>24637</v>
      </c>
      <c r="AA10655" s="21" t="str">
        <f>HYPERLINK("https://www.ncbi.nlm.nih.gov/nuccore/CASDWV010002180","NCBI Nucleotide")</f>
        <v>NCBI Nucleotide</v>
      </c>
    </row>
    <row r="10656" spans="1:27" x14ac:dyDescent="0.35">
      <c r="A10656">
        <v>1010162</v>
      </c>
      <c r="B10656">
        <v>9981</v>
      </c>
      <c r="C10656">
        <v>1</v>
      </c>
      <c r="D10656" s="17" t="s">
        <v>17166</v>
      </c>
      <c r="E10656" s="17"/>
      <c r="F10656" s="17" t="s">
        <v>17246</v>
      </c>
      <c r="G10656" s="17"/>
      <c r="H10656" s="17" t="s">
        <v>20919</v>
      </c>
      <c r="I10656" s="17"/>
      <c r="J10656" s="17" t="s">
        <v>21313</v>
      </c>
      <c r="K10656" s="17"/>
      <c r="L10656" s="17" t="s">
        <v>22378</v>
      </c>
      <c r="M10656" s="17"/>
      <c r="N10656" s="17" t="s">
        <v>22459</v>
      </c>
      <c r="O10656" s="17"/>
      <c r="P10656" s="17" t="s">
        <v>45008</v>
      </c>
      <c r="Q10656" s="17"/>
      <c r="R10656" s="25" t="str">
        <f>HYPERLINK("https://ictv.global/taxonomy/taxondetails?taxnode_id=202311420","Hodnevirus borborocola")</f>
        <v>Hodnevirus borborocola</v>
      </c>
      <c r="S10656" s="18" t="s">
        <v>30</v>
      </c>
      <c r="T10656" s="18" t="s">
        <v>23173</v>
      </c>
      <c r="U10656" s="18"/>
      <c r="V10656" s="18"/>
      <c r="W10656" s="18" t="s">
        <v>23174</v>
      </c>
      <c r="X10656" s="18" t="s">
        <v>35</v>
      </c>
      <c r="Y10656" s="18" t="s">
        <v>17171</v>
      </c>
      <c r="Z10656" s="18" t="s">
        <v>697</v>
      </c>
      <c r="AA10656" s="21" t="str">
        <f>HYPERLINK("https://www.ncbi.nlm.nih.gov/nuccore/BK014118","NCBI Nucleotide")</f>
        <v>NCBI Nucleotide</v>
      </c>
    </row>
    <row r="10657" spans="1:27" x14ac:dyDescent="0.35">
      <c r="A10657">
        <v>1026973</v>
      </c>
      <c r="B10657">
        <v>9982</v>
      </c>
      <c r="C10657">
        <v>1</v>
      </c>
      <c r="D10657" s="17" t="s">
        <v>17166</v>
      </c>
      <c r="E10657" s="17"/>
      <c r="F10657" s="17" t="s">
        <v>17246</v>
      </c>
      <c r="G10657" s="17"/>
      <c r="H10657" s="17" t="s">
        <v>20919</v>
      </c>
      <c r="I10657" s="17"/>
      <c r="J10657" s="17" t="s">
        <v>21313</v>
      </c>
      <c r="K10657" s="17"/>
      <c r="L10657" s="17" t="s">
        <v>22378</v>
      </c>
      <c r="M10657" s="17"/>
      <c r="N10657" s="17" t="s">
        <v>22459</v>
      </c>
      <c r="O10657" s="17"/>
      <c r="P10657" s="17" t="s">
        <v>45008</v>
      </c>
      <c r="Q10657" s="17"/>
      <c r="R10657" s="25" t="str">
        <f>HYPERLINK("https://ictv.global/taxonomy/taxondetails?taxnode_id=202317233","Hodnevirus caenadaptatum")</f>
        <v>Hodnevirus caenadaptatum</v>
      </c>
      <c r="S10657" s="18" t="s">
        <v>30</v>
      </c>
      <c r="T10657" s="18" t="s">
        <v>45255</v>
      </c>
      <c r="U10657" s="18"/>
      <c r="V10657" s="18"/>
      <c r="W10657" s="18" t="s">
        <v>45256</v>
      </c>
      <c r="X10657" s="18" t="s">
        <v>35</v>
      </c>
      <c r="Y10657" s="18" t="s">
        <v>17171</v>
      </c>
      <c r="Z10657" s="18" t="s">
        <v>24637</v>
      </c>
      <c r="AA10657" s="21" t="str">
        <f>HYPERLINK("https://www.ncbi.nlm.nih.gov/nuccore/CASDWV010003378","NCBI Nucleotide")</f>
        <v>NCBI Nucleotide</v>
      </c>
    </row>
    <row r="10658" spans="1:27" x14ac:dyDescent="0.35">
      <c r="A10658">
        <v>1010103</v>
      </c>
      <c r="B10658">
        <v>9983</v>
      </c>
      <c r="C10658">
        <v>1</v>
      </c>
      <c r="D10658" s="17" t="s">
        <v>17166</v>
      </c>
      <c r="E10658" s="17"/>
      <c r="F10658" s="17" t="s">
        <v>17246</v>
      </c>
      <c r="G10658" s="17"/>
      <c r="H10658" s="17" t="s">
        <v>20919</v>
      </c>
      <c r="I10658" s="17"/>
      <c r="J10658" s="17" t="s">
        <v>21313</v>
      </c>
      <c r="K10658" s="17"/>
      <c r="L10658" s="17" t="s">
        <v>22378</v>
      </c>
      <c r="M10658" s="17"/>
      <c r="N10658" s="17" t="s">
        <v>22459</v>
      </c>
      <c r="O10658" s="17"/>
      <c r="P10658" s="17" t="s">
        <v>45008</v>
      </c>
      <c r="Q10658" s="17"/>
      <c r="R10658" s="25" t="str">
        <f>HYPERLINK("https://ictv.global/taxonomy/taxondetails?taxnode_id=202311337","Hodnevirus caenivicinum")</f>
        <v>Hodnevirus caenivicinum</v>
      </c>
      <c r="S10658" s="18" t="s">
        <v>30</v>
      </c>
      <c r="T10658" s="18" t="s">
        <v>23054</v>
      </c>
      <c r="U10658" s="18"/>
      <c r="V10658" s="18"/>
      <c r="W10658" s="18" t="s">
        <v>23055</v>
      </c>
      <c r="X10658" s="18" t="s">
        <v>35</v>
      </c>
      <c r="Y10658" s="18" t="s">
        <v>17171</v>
      </c>
      <c r="Z10658" s="18" t="s">
        <v>697</v>
      </c>
      <c r="AA10658" s="21" t="str">
        <f>HYPERLINK("https://www.ncbi.nlm.nih.gov/nuccore/BK014144","NCBI Nucleotide")</f>
        <v>NCBI Nucleotide</v>
      </c>
    </row>
    <row r="10659" spans="1:27" x14ac:dyDescent="0.35">
      <c r="A10659">
        <v>1026974</v>
      </c>
      <c r="B10659">
        <v>9984</v>
      </c>
      <c r="C10659">
        <v>1</v>
      </c>
      <c r="D10659" s="17" t="s">
        <v>17166</v>
      </c>
      <c r="E10659" s="17"/>
      <c r="F10659" s="17" t="s">
        <v>17246</v>
      </c>
      <c r="G10659" s="17"/>
      <c r="H10659" s="17" t="s">
        <v>20919</v>
      </c>
      <c r="I10659" s="17"/>
      <c r="J10659" s="17" t="s">
        <v>21313</v>
      </c>
      <c r="K10659" s="17"/>
      <c r="L10659" s="17" t="s">
        <v>22378</v>
      </c>
      <c r="M10659" s="17"/>
      <c r="N10659" s="17" t="s">
        <v>22459</v>
      </c>
      <c r="O10659" s="17"/>
      <c r="P10659" s="17" t="s">
        <v>45008</v>
      </c>
      <c r="Q10659" s="17"/>
      <c r="R10659" s="25" t="str">
        <f>HYPERLINK("https://ictv.global/taxonomy/taxondetails?taxnode_id=202317234","Hodnevirus caenivivens")</f>
        <v>Hodnevirus caenivivens</v>
      </c>
      <c r="S10659" s="18" t="s">
        <v>30</v>
      </c>
      <c r="T10659" s="18" t="s">
        <v>45257</v>
      </c>
      <c r="U10659" s="18"/>
      <c r="V10659" s="18"/>
      <c r="W10659" s="18" t="s">
        <v>45258</v>
      </c>
      <c r="X10659" s="18" t="s">
        <v>35</v>
      </c>
      <c r="Y10659" s="18" t="s">
        <v>17171</v>
      </c>
      <c r="Z10659" s="18" t="s">
        <v>24637</v>
      </c>
      <c r="AA10659" s="21" t="str">
        <f>HYPERLINK("https://www.ncbi.nlm.nih.gov/nuccore/CASDWV010004565","NCBI Nucleotide")</f>
        <v>NCBI Nucleotide</v>
      </c>
    </row>
    <row r="10660" spans="1:27" x14ac:dyDescent="0.35">
      <c r="A10660">
        <v>1009940</v>
      </c>
      <c r="B10660">
        <v>9985</v>
      </c>
      <c r="C10660">
        <v>1</v>
      </c>
      <c r="D10660" s="17" t="s">
        <v>17166</v>
      </c>
      <c r="E10660" s="17"/>
      <c r="F10660" s="17" t="s">
        <v>17246</v>
      </c>
      <c r="G10660" s="17"/>
      <c r="H10660" s="17" t="s">
        <v>20919</v>
      </c>
      <c r="I10660" s="17"/>
      <c r="J10660" s="17" t="s">
        <v>21313</v>
      </c>
      <c r="K10660" s="17"/>
      <c r="L10660" s="17" t="s">
        <v>22378</v>
      </c>
      <c r="M10660" s="17"/>
      <c r="N10660" s="17" t="s">
        <v>22459</v>
      </c>
      <c r="O10660" s="17"/>
      <c r="P10660" s="17" t="s">
        <v>45008</v>
      </c>
      <c r="Q10660" s="17"/>
      <c r="R10660" s="25" t="str">
        <f>HYPERLINK("https://ictv.global/taxonomy/taxondetails?taxnode_id=202311223","Hodnevirus choradaptatum")</f>
        <v>Hodnevirus choradaptatum</v>
      </c>
      <c r="S10660" s="18" t="s">
        <v>30</v>
      </c>
      <c r="T10660" s="18" t="s">
        <v>22721</v>
      </c>
      <c r="U10660" s="18"/>
      <c r="V10660" s="18"/>
      <c r="W10660" s="18" t="s">
        <v>22722</v>
      </c>
      <c r="X10660" s="18" t="s">
        <v>35</v>
      </c>
      <c r="Y10660" s="18" t="s">
        <v>17171</v>
      </c>
      <c r="Z10660" s="18" t="s">
        <v>697</v>
      </c>
      <c r="AA10660" s="21" t="str">
        <f>HYPERLINK("https://www.ncbi.nlm.nih.gov/nuccore/BK013493","NCBI Nucleotide")</f>
        <v>NCBI Nucleotide</v>
      </c>
    </row>
    <row r="10661" spans="1:27" x14ac:dyDescent="0.35">
      <c r="A10661">
        <v>1009941</v>
      </c>
      <c r="B10661">
        <v>9986</v>
      </c>
      <c r="C10661">
        <v>1</v>
      </c>
      <c r="D10661" s="17" t="s">
        <v>17166</v>
      </c>
      <c r="E10661" s="17"/>
      <c r="F10661" s="17" t="s">
        <v>17246</v>
      </c>
      <c r="G10661" s="17"/>
      <c r="H10661" s="17" t="s">
        <v>20919</v>
      </c>
      <c r="I10661" s="17"/>
      <c r="J10661" s="17" t="s">
        <v>21313</v>
      </c>
      <c r="K10661" s="17"/>
      <c r="L10661" s="17" t="s">
        <v>22378</v>
      </c>
      <c r="M10661" s="17"/>
      <c r="N10661" s="17" t="s">
        <v>22459</v>
      </c>
      <c r="O10661" s="17"/>
      <c r="P10661" s="17" t="s">
        <v>45008</v>
      </c>
      <c r="Q10661" s="17"/>
      <c r="R10661" s="25" t="str">
        <f>HYPERLINK("https://ictv.global/taxonomy/taxondetails?taxnode_id=202311225","Hodnevirus chorenecus")</f>
        <v>Hodnevirus chorenecus</v>
      </c>
      <c r="S10661" s="18" t="s">
        <v>30</v>
      </c>
      <c r="T10661" s="18" t="s">
        <v>22723</v>
      </c>
      <c r="U10661" s="18"/>
      <c r="V10661" s="18"/>
      <c r="W10661" s="18" t="s">
        <v>22724</v>
      </c>
      <c r="X10661" s="18" t="s">
        <v>35</v>
      </c>
      <c r="Y10661" s="18" t="s">
        <v>17171</v>
      </c>
      <c r="Z10661" s="18" t="s">
        <v>697</v>
      </c>
      <c r="AA10661" s="21" t="str">
        <f>HYPERLINK("https://www.ncbi.nlm.nih.gov/nuccore/BK013495","NCBI Nucleotide")</f>
        <v>NCBI Nucleotide</v>
      </c>
    </row>
    <row r="10662" spans="1:27" x14ac:dyDescent="0.35">
      <c r="A10662">
        <v>1009942</v>
      </c>
      <c r="B10662">
        <v>9987</v>
      </c>
      <c r="C10662">
        <v>1</v>
      </c>
      <c r="D10662" s="17" t="s">
        <v>17166</v>
      </c>
      <c r="E10662" s="17"/>
      <c r="F10662" s="17" t="s">
        <v>17246</v>
      </c>
      <c r="G10662" s="17"/>
      <c r="H10662" s="17" t="s">
        <v>20919</v>
      </c>
      <c r="I10662" s="17"/>
      <c r="J10662" s="17" t="s">
        <v>21313</v>
      </c>
      <c r="K10662" s="17"/>
      <c r="L10662" s="17" t="s">
        <v>22378</v>
      </c>
      <c r="M10662" s="17"/>
      <c r="N10662" s="17" t="s">
        <v>22459</v>
      </c>
      <c r="O10662" s="17"/>
      <c r="P10662" s="17" t="s">
        <v>45008</v>
      </c>
      <c r="Q10662" s="17"/>
      <c r="R10662" s="25" t="str">
        <f>HYPERLINK("https://ictv.global/taxonomy/taxondetails?taxnode_id=202311224","Hodnevirus chorocola")</f>
        <v>Hodnevirus chorocola</v>
      </c>
      <c r="S10662" s="18" t="s">
        <v>30</v>
      </c>
      <c r="T10662" s="18" t="s">
        <v>22725</v>
      </c>
      <c r="U10662" s="18"/>
      <c r="V10662" s="18"/>
      <c r="W10662" s="18" t="s">
        <v>22726</v>
      </c>
      <c r="X10662" s="18" t="s">
        <v>35</v>
      </c>
      <c r="Y10662" s="18" t="s">
        <v>17171</v>
      </c>
      <c r="Z10662" s="18" t="s">
        <v>697</v>
      </c>
      <c r="AA10662" s="21" t="str">
        <f>HYPERLINK("https://www.ncbi.nlm.nih.gov/nuccore/BK013960","NCBI Nucleotide")</f>
        <v>NCBI Nucleotide</v>
      </c>
    </row>
    <row r="10663" spans="1:27" x14ac:dyDescent="0.35">
      <c r="A10663">
        <v>1009894</v>
      </c>
      <c r="B10663">
        <v>9988</v>
      </c>
      <c r="C10663">
        <v>1</v>
      </c>
      <c r="D10663" s="17" t="s">
        <v>17166</v>
      </c>
      <c r="E10663" s="17"/>
      <c r="F10663" s="17" t="s">
        <v>17246</v>
      </c>
      <c r="G10663" s="17"/>
      <c r="H10663" s="17" t="s">
        <v>20919</v>
      </c>
      <c r="I10663" s="17"/>
      <c r="J10663" s="17" t="s">
        <v>21313</v>
      </c>
      <c r="K10663" s="17"/>
      <c r="L10663" s="17" t="s">
        <v>22378</v>
      </c>
      <c r="M10663" s="17"/>
      <c r="N10663" s="17" t="s">
        <v>22459</v>
      </c>
      <c r="O10663" s="17"/>
      <c r="P10663" s="17" t="s">
        <v>45008</v>
      </c>
      <c r="Q10663" s="17"/>
      <c r="R10663" s="25" t="str">
        <f>HYPERLINK("https://ictv.global/taxonomy/taxondetails?taxnode_id=202311081","Hodnevirus chorohabitans")</f>
        <v>Hodnevirus chorohabitans</v>
      </c>
      <c r="S10663" s="18" t="s">
        <v>30</v>
      </c>
      <c r="T10663" s="18" t="s">
        <v>22620</v>
      </c>
      <c r="U10663" s="18"/>
      <c r="V10663" s="18"/>
      <c r="W10663" s="18" t="s">
        <v>22621</v>
      </c>
      <c r="X10663" s="18" t="s">
        <v>35</v>
      </c>
      <c r="Y10663" s="18" t="s">
        <v>17171</v>
      </c>
      <c r="Z10663" s="18" t="s">
        <v>697</v>
      </c>
      <c r="AA10663" s="21" t="str">
        <f>HYPERLINK("https://www.ncbi.nlm.nih.gov/nuccore/BK013401","NCBI Nucleotide")</f>
        <v>NCBI Nucleotide</v>
      </c>
    </row>
    <row r="10664" spans="1:27" x14ac:dyDescent="0.35">
      <c r="A10664">
        <v>1009896</v>
      </c>
      <c r="B10664">
        <v>9989</v>
      </c>
      <c r="C10664">
        <v>1</v>
      </c>
      <c r="D10664" s="17" t="s">
        <v>17166</v>
      </c>
      <c r="E10664" s="17"/>
      <c r="F10664" s="17" t="s">
        <v>17246</v>
      </c>
      <c r="G10664" s="17"/>
      <c r="H10664" s="17" t="s">
        <v>20919</v>
      </c>
      <c r="I10664" s="17"/>
      <c r="J10664" s="17" t="s">
        <v>21313</v>
      </c>
      <c r="K10664" s="17"/>
      <c r="L10664" s="17" t="s">
        <v>22378</v>
      </c>
      <c r="M10664" s="17"/>
      <c r="N10664" s="17" t="s">
        <v>22459</v>
      </c>
      <c r="O10664" s="17"/>
      <c r="P10664" s="17" t="s">
        <v>45008</v>
      </c>
      <c r="Q10664" s="17"/>
      <c r="R10664" s="25" t="str">
        <f>HYPERLINK("https://ictv.global/taxonomy/taxondetails?taxnode_id=202311083","Hodnevirus chorovicinum")</f>
        <v>Hodnevirus chorovicinum</v>
      </c>
      <c r="S10664" s="18" t="s">
        <v>30</v>
      </c>
      <c r="T10664" s="18" t="s">
        <v>22624</v>
      </c>
      <c r="U10664" s="18"/>
      <c r="V10664" s="18"/>
      <c r="W10664" s="18" t="s">
        <v>22625</v>
      </c>
      <c r="X10664" s="18" t="s">
        <v>35</v>
      </c>
      <c r="Y10664" s="18" t="s">
        <v>17171</v>
      </c>
      <c r="Z10664" s="18" t="s">
        <v>697</v>
      </c>
      <c r="AA10664" s="21" t="str">
        <f>HYPERLINK("https://www.ncbi.nlm.nih.gov/nuccore/BK013425","NCBI Nucleotide")</f>
        <v>NCBI Nucleotide</v>
      </c>
    </row>
    <row r="10665" spans="1:27" x14ac:dyDescent="0.35">
      <c r="A10665">
        <v>1009897</v>
      </c>
      <c r="B10665">
        <v>9990</v>
      </c>
      <c r="C10665">
        <v>1</v>
      </c>
      <c r="D10665" s="17" t="s">
        <v>17166</v>
      </c>
      <c r="E10665" s="17"/>
      <c r="F10665" s="17" t="s">
        <v>17246</v>
      </c>
      <c r="G10665" s="17"/>
      <c r="H10665" s="17" t="s">
        <v>20919</v>
      </c>
      <c r="I10665" s="17"/>
      <c r="J10665" s="17" t="s">
        <v>21313</v>
      </c>
      <c r="K10665" s="17"/>
      <c r="L10665" s="17" t="s">
        <v>22378</v>
      </c>
      <c r="M10665" s="17"/>
      <c r="N10665" s="17" t="s">
        <v>22459</v>
      </c>
      <c r="O10665" s="17"/>
      <c r="P10665" s="17" t="s">
        <v>45008</v>
      </c>
      <c r="Q10665" s="17"/>
      <c r="R10665" s="25" t="str">
        <f>HYPERLINK("https://ictv.global/taxonomy/taxondetails?taxnode_id=202311084","Hodnevirus chorovivens")</f>
        <v>Hodnevirus chorovivens</v>
      </c>
      <c r="S10665" s="18" t="s">
        <v>30</v>
      </c>
      <c r="T10665" s="18" t="s">
        <v>22626</v>
      </c>
      <c r="U10665" s="18"/>
      <c r="V10665" s="18"/>
      <c r="W10665" s="18" t="s">
        <v>22627</v>
      </c>
      <c r="X10665" s="18" t="s">
        <v>35</v>
      </c>
      <c r="Y10665" s="18" t="s">
        <v>17171</v>
      </c>
      <c r="Z10665" s="18" t="s">
        <v>697</v>
      </c>
      <c r="AA10665" s="21" t="str">
        <f>HYPERLINK("https://www.ncbi.nlm.nih.gov/nuccore/BK013542","NCBI Nucleotide")</f>
        <v>NCBI Nucleotide</v>
      </c>
    </row>
    <row r="10666" spans="1:27" x14ac:dyDescent="0.35">
      <c r="A10666">
        <v>1009848</v>
      </c>
      <c r="B10666">
        <v>9991</v>
      </c>
      <c r="C10666">
        <v>1</v>
      </c>
      <c r="D10666" s="17" t="s">
        <v>17166</v>
      </c>
      <c r="E10666" s="17"/>
      <c r="F10666" s="17" t="s">
        <v>17246</v>
      </c>
      <c r="G10666" s="17"/>
      <c r="H10666" s="17" t="s">
        <v>20919</v>
      </c>
      <c r="I10666" s="17"/>
      <c r="J10666" s="17" t="s">
        <v>21313</v>
      </c>
      <c r="K10666" s="17"/>
      <c r="L10666" s="17" t="s">
        <v>22378</v>
      </c>
      <c r="M10666" s="17"/>
      <c r="N10666" s="17" t="s">
        <v>22459</v>
      </c>
      <c r="O10666" s="17"/>
      <c r="P10666" s="17" t="s">
        <v>45008</v>
      </c>
      <c r="Q10666" s="17"/>
      <c r="R10666" s="25" t="str">
        <f>HYPERLINK("https://ictv.global/taxonomy/taxondetails?taxnode_id=202311032","Hodnevirus chthonadaptatum")</f>
        <v>Hodnevirus chthonadaptatum</v>
      </c>
      <c r="S10666" s="18" t="s">
        <v>30</v>
      </c>
      <c r="T10666" s="18" t="s">
        <v>22525</v>
      </c>
      <c r="U10666" s="18"/>
      <c r="V10666" s="18"/>
      <c r="W10666" s="18" t="s">
        <v>22526</v>
      </c>
      <c r="X10666" s="18" t="s">
        <v>35</v>
      </c>
      <c r="Y10666" s="18" t="s">
        <v>17171</v>
      </c>
      <c r="Z10666" s="18" t="s">
        <v>697</v>
      </c>
      <c r="AA10666" s="21" t="str">
        <f>HYPERLINK("https://www.ncbi.nlm.nih.gov/nuccore/BK013797","NCBI Nucleotide")</f>
        <v>NCBI Nucleotide</v>
      </c>
    </row>
    <row r="10667" spans="1:27" x14ac:dyDescent="0.35">
      <c r="A10667">
        <v>1009849</v>
      </c>
      <c r="B10667">
        <v>9992</v>
      </c>
      <c r="C10667">
        <v>1</v>
      </c>
      <c r="D10667" s="17" t="s">
        <v>17166</v>
      </c>
      <c r="E10667" s="17"/>
      <c r="F10667" s="17" t="s">
        <v>17246</v>
      </c>
      <c r="G10667" s="17"/>
      <c r="H10667" s="17" t="s">
        <v>20919</v>
      </c>
      <c r="I10667" s="17"/>
      <c r="J10667" s="17" t="s">
        <v>21313</v>
      </c>
      <c r="K10667" s="17"/>
      <c r="L10667" s="17" t="s">
        <v>22378</v>
      </c>
      <c r="M10667" s="17"/>
      <c r="N10667" s="17" t="s">
        <v>22459</v>
      </c>
      <c r="O10667" s="17"/>
      <c r="P10667" s="17" t="s">
        <v>45008</v>
      </c>
      <c r="Q10667" s="17"/>
      <c r="R10667" s="25" t="str">
        <f>HYPERLINK("https://ictv.global/taxonomy/taxondetails?taxnode_id=202311034","Hodnevirus chthonenecus")</f>
        <v>Hodnevirus chthonenecus</v>
      </c>
      <c r="S10667" s="18" t="s">
        <v>30</v>
      </c>
      <c r="T10667" s="18" t="s">
        <v>22527</v>
      </c>
      <c r="U10667" s="18"/>
      <c r="V10667" s="18"/>
      <c r="W10667" s="18" t="s">
        <v>22528</v>
      </c>
      <c r="X10667" s="18" t="s">
        <v>35</v>
      </c>
      <c r="Y10667" s="18" t="s">
        <v>17171</v>
      </c>
      <c r="Z10667" s="18" t="s">
        <v>697</v>
      </c>
      <c r="AA10667" s="21" t="str">
        <f>HYPERLINK("https://www.ncbi.nlm.nih.gov/nuccore/BK013544","NCBI Nucleotide")</f>
        <v>NCBI Nucleotide</v>
      </c>
    </row>
    <row r="10668" spans="1:27" x14ac:dyDescent="0.35">
      <c r="A10668">
        <v>1009850</v>
      </c>
      <c r="B10668">
        <v>9993</v>
      </c>
      <c r="C10668">
        <v>1</v>
      </c>
      <c r="D10668" s="17" t="s">
        <v>17166</v>
      </c>
      <c r="E10668" s="17"/>
      <c r="F10668" s="17" t="s">
        <v>17246</v>
      </c>
      <c r="G10668" s="17"/>
      <c r="H10668" s="17" t="s">
        <v>20919</v>
      </c>
      <c r="I10668" s="17"/>
      <c r="J10668" s="17" t="s">
        <v>21313</v>
      </c>
      <c r="K10668" s="17"/>
      <c r="L10668" s="17" t="s">
        <v>22378</v>
      </c>
      <c r="M10668" s="17"/>
      <c r="N10668" s="17" t="s">
        <v>22459</v>
      </c>
      <c r="O10668" s="17"/>
      <c r="P10668" s="17" t="s">
        <v>45008</v>
      </c>
      <c r="Q10668" s="17"/>
      <c r="R10668" s="25" t="str">
        <f>HYPERLINK("https://ictv.global/taxonomy/taxondetails?taxnode_id=202311033","Hodnevirus chthonocola")</f>
        <v>Hodnevirus chthonocola</v>
      </c>
      <c r="S10668" s="18" t="s">
        <v>30</v>
      </c>
      <c r="T10668" s="18" t="s">
        <v>22529</v>
      </c>
      <c r="U10668" s="18"/>
      <c r="V10668" s="18"/>
      <c r="W10668" s="18" t="s">
        <v>22530</v>
      </c>
      <c r="X10668" s="18" t="s">
        <v>35</v>
      </c>
      <c r="Y10668" s="18" t="s">
        <v>17171</v>
      </c>
      <c r="Z10668" s="18" t="s">
        <v>697</v>
      </c>
      <c r="AA10668" s="21" t="str">
        <f>HYPERLINK("https://www.ncbi.nlm.nih.gov/nuccore/BK013868","NCBI Nucleotide")</f>
        <v>NCBI Nucleotide</v>
      </c>
    </row>
    <row r="10669" spans="1:27" x14ac:dyDescent="0.35">
      <c r="A10669">
        <v>1009851</v>
      </c>
      <c r="B10669">
        <v>9994</v>
      </c>
      <c r="C10669">
        <v>1</v>
      </c>
      <c r="D10669" s="17" t="s">
        <v>17166</v>
      </c>
      <c r="E10669" s="17"/>
      <c r="F10669" s="17" t="s">
        <v>17246</v>
      </c>
      <c r="G10669" s="17"/>
      <c r="H10669" s="17" t="s">
        <v>20919</v>
      </c>
      <c r="I10669" s="17"/>
      <c r="J10669" s="17" t="s">
        <v>21313</v>
      </c>
      <c r="K10669" s="17"/>
      <c r="L10669" s="17" t="s">
        <v>22378</v>
      </c>
      <c r="M10669" s="17"/>
      <c r="N10669" s="17" t="s">
        <v>22459</v>
      </c>
      <c r="O10669" s="17"/>
      <c r="P10669" s="17" t="s">
        <v>45008</v>
      </c>
      <c r="Q10669" s="17"/>
      <c r="R10669" s="25" t="str">
        <f>HYPERLINK("https://ictv.global/taxonomy/taxondetails?taxnode_id=202311035","Hodnevirus chthonohabitans")</f>
        <v>Hodnevirus chthonohabitans</v>
      </c>
      <c r="S10669" s="18" t="s">
        <v>30</v>
      </c>
      <c r="T10669" s="18" t="s">
        <v>22531</v>
      </c>
      <c r="U10669" s="18"/>
      <c r="V10669" s="18"/>
      <c r="W10669" s="18" t="s">
        <v>22532</v>
      </c>
      <c r="X10669" s="18" t="s">
        <v>35</v>
      </c>
      <c r="Y10669" s="18" t="s">
        <v>17171</v>
      </c>
      <c r="Z10669" s="18" t="s">
        <v>697</v>
      </c>
      <c r="AA10669" s="21" t="str">
        <f>HYPERLINK("https://www.ncbi.nlm.nih.gov/nuccore/BK013810","NCBI Nucleotide")</f>
        <v>NCBI Nucleotide</v>
      </c>
    </row>
    <row r="10670" spans="1:27" x14ac:dyDescent="0.35">
      <c r="A10670">
        <v>1009852</v>
      </c>
      <c r="B10670">
        <v>9995</v>
      </c>
      <c r="C10670">
        <v>1</v>
      </c>
      <c r="D10670" s="17" t="s">
        <v>17166</v>
      </c>
      <c r="E10670" s="17"/>
      <c r="F10670" s="17" t="s">
        <v>17246</v>
      </c>
      <c r="G10670" s="17"/>
      <c r="H10670" s="17" t="s">
        <v>20919</v>
      </c>
      <c r="I10670" s="17"/>
      <c r="J10670" s="17" t="s">
        <v>21313</v>
      </c>
      <c r="K10670" s="17"/>
      <c r="L10670" s="17" t="s">
        <v>22378</v>
      </c>
      <c r="M10670" s="17"/>
      <c r="N10670" s="17" t="s">
        <v>22459</v>
      </c>
      <c r="O10670" s="17"/>
      <c r="P10670" s="17" t="s">
        <v>45008</v>
      </c>
      <c r="Q10670" s="17"/>
      <c r="R10670" s="25" t="str">
        <f>HYPERLINK("https://ictv.global/taxonomy/taxondetails?taxnode_id=202311036","Hodnevirus chthonovicinum")</f>
        <v>Hodnevirus chthonovicinum</v>
      </c>
      <c r="S10670" s="18" t="s">
        <v>30</v>
      </c>
      <c r="T10670" s="18" t="s">
        <v>22533</v>
      </c>
      <c r="U10670" s="18"/>
      <c r="V10670" s="18"/>
      <c r="W10670" s="18" t="s">
        <v>22534</v>
      </c>
      <c r="X10670" s="18" t="s">
        <v>35</v>
      </c>
      <c r="Y10670" s="18" t="s">
        <v>17171</v>
      </c>
      <c r="Z10670" s="18" t="s">
        <v>697</v>
      </c>
      <c r="AA10670" s="21" t="str">
        <f>HYPERLINK("https://www.ncbi.nlm.nih.gov/nuccore/BK013508","NCBI Nucleotide")</f>
        <v>NCBI Nucleotide</v>
      </c>
    </row>
    <row r="10671" spans="1:27" x14ac:dyDescent="0.35">
      <c r="A10671">
        <v>1009853</v>
      </c>
      <c r="B10671">
        <v>9996</v>
      </c>
      <c r="C10671">
        <v>1</v>
      </c>
      <c r="D10671" s="17" t="s">
        <v>17166</v>
      </c>
      <c r="E10671" s="17"/>
      <c r="F10671" s="17" t="s">
        <v>17246</v>
      </c>
      <c r="G10671" s="17"/>
      <c r="H10671" s="17" t="s">
        <v>20919</v>
      </c>
      <c r="I10671" s="17"/>
      <c r="J10671" s="17" t="s">
        <v>21313</v>
      </c>
      <c r="K10671" s="17"/>
      <c r="L10671" s="17" t="s">
        <v>22378</v>
      </c>
      <c r="M10671" s="17"/>
      <c r="N10671" s="17" t="s">
        <v>22459</v>
      </c>
      <c r="O10671" s="17"/>
      <c r="P10671" s="17" t="s">
        <v>45008</v>
      </c>
      <c r="Q10671" s="17"/>
      <c r="R10671" s="25" t="str">
        <f>HYPERLINK("https://ictv.global/taxonomy/taxondetails?taxnode_id=202311037","Hodnevirus chthonovivens")</f>
        <v>Hodnevirus chthonovivens</v>
      </c>
      <c r="S10671" s="18" t="s">
        <v>30</v>
      </c>
      <c r="T10671" s="18" t="s">
        <v>22535</v>
      </c>
      <c r="U10671" s="18"/>
      <c r="V10671" s="18"/>
      <c r="W10671" s="18" t="s">
        <v>22536</v>
      </c>
      <c r="X10671" s="18" t="s">
        <v>35</v>
      </c>
      <c r="Y10671" s="18" t="s">
        <v>17171</v>
      </c>
      <c r="Z10671" s="18" t="s">
        <v>697</v>
      </c>
      <c r="AA10671" s="21" t="str">
        <f>HYPERLINK("https://www.ncbi.nlm.nih.gov/nuccore/BK013525","NCBI Nucleotide")</f>
        <v>NCBI Nucleotide</v>
      </c>
    </row>
    <row r="10672" spans="1:27" x14ac:dyDescent="0.35">
      <c r="A10672">
        <v>1009854</v>
      </c>
      <c r="B10672">
        <v>9997</v>
      </c>
      <c r="C10672">
        <v>1</v>
      </c>
      <c r="D10672" s="17" t="s">
        <v>17166</v>
      </c>
      <c r="E10672" s="17"/>
      <c r="F10672" s="17" t="s">
        <v>17246</v>
      </c>
      <c r="G10672" s="17"/>
      <c r="H10672" s="17" t="s">
        <v>20919</v>
      </c>
      <c r="I10672" s="17"/>
      <c r="J10672" s="17" t="s">
        <v>21313</v>
      </c>
      <c r="K10672" s="17"/>
      <c r="L10672" s="17" t="s">
        <v>22378</v>
      </c>
      <c r="M10672" s="17"/>
      <c r="N10672" s="17" t="s">
        <v>22459</v>
      </c>
      <c r="O10672" s="17"/>
      <c r="P10672" s="17" t="s">
        <v>45008</v>
      </c>
      <c r="Q10672" s="17"/>
      <c r="R10672" s="25" t="str">
        <f>HYPERLINK("https://ictv.global/taxonomy/taxondetails?taxnode_id=202311023","Hodnevirus defluviicola")</f>
        <v>Hodnevirus defluviicola</v>
      </c>
      <c r="S10672" s="18" t="s">
        <v>30</v>
      </c>
      <c r="T10672" s="18" t="s">
        <v>22537</v>
      </c>
      <c r="U10672" s="18"/>
      <c r="V10672" s="18"/>
      <c r="W10672" s="18" t="s">
        <v>22538</v>
      </c>
      <c r="X10672" s="18" t="s">
        <v>35</v>
      </c>
      <c r="Y10672" s="18" t="s">
        <v>17171</v>
      </c>
      <c r="Z10672" s="18" t="s">
        <v>697</v>
      </c>
      <c r="AA10672" s="21" t="str">
        <f>HYPERLINK("https://www.ncbi.nlm.nih.gov/nuccore/BK013370","NCBI Nucleotide")</f>
        <v>NCBI Nucleotide</v>
      </c>
    </row>
    <row r="10673" spans="1:27" x14ac:dyDescent="0.35">
      <c r="A10673">
        <v>1026975</v>
      </c>
      <c r="B10673">
        <v>9998</v>
      </c>
      <c r="C10673">
        <v>1</v>
      </c>
      <c r="D10673" s="17" t="s">
        <v>17166</v>
      </c>
      <c r="E10673" s="17"/>
      <c r="F10673" s="17" t="s">
        <v>17246</v>
      </c>
      <c r="G10673" s="17"/>
      <c r="H10673" s="17" t="s">
        <v>20919</v>
      </c>
      <c r="I10673" s="17"/>
      <c r="J10673" s="17" t="s">
        <v>21313</v>
      </c>
      <c r="K10673" s="17"/>
      <c r="L10673" s="17" t="s">
        <v>22378</v>
      </c>
      <c r="M10673" s="17"/>
      <c r="N10673" s="17" t="s">
        <v>22459</v>
      </c>
      <c r="O10673" s="17"/>
      <c r="P10673" s="17" t="s">
        <v>45008</v>
      </c>
      <c r="Q10673" s="17"/>
      <c r="R10673" s="25" t="str">
        <f>HYPERLINK("https://ictv.global/taxonomy/taxondetails?taxnode_id=202317235","Hodnevirus duoagrenecus")</f>
        <v>Hodnevirus duoagrenecus</v>
      </c>
      <c r="S10673" s="18" t="s">
        <v>30</v>
      </c>
      <c r="T10673" s="18" t="s">
        <v>45259</v>
      </c>
      <c r="U10673" s="18"/>
      <c r="V10673" s="18"/>
      <c r="W10673" s="18" t="s">
        <v>45260</v>
      </c>
      <c r="X10673" s="18" t="s">
        <v>35</v>
      </c>
      <c r="Y10673" s="18" t="s">
        <v>17171</v>
      </c>
      <c r="Z10673" s="18" t="s">
        <v>24637</v>
      </c>
      <c r="AA10673" s="21" t="str">
        <f>HYPERLINK("https://www.ncbi.nlm.nih.gov/nuccore/CASDWV010004672","NCBI Nucleotide")</f>
        <v>NCBI Nucleotide</v>
      </c>
    </row>
    <row r="10674" spans="1:27" x14ac:dyDescent="0.35">
      <c r="A10674">
        <v>1026976</v>
      </c>
      <c r="B10674">
        <v>9999</v>
      </c>
      <c r="C10674">
        <v>1</v>
      </c>
      <c r="D10674" s="17" t="s">
        <v>17166</v>
      </c>
      <c r="E10674" s="17"/>
      <c r="F10674" s="17" t="s">
        <v>17246</v>
      </c>
      <c r="G10674" s="17"/>
      <c r="H10674" s="17" t="s">
        <v>20919</v>
      </c>
      <c r="I10674" s="17"/>
      <c r="J10674" s="17" t="s">
        <v>21313</v>
      </c>
      <c r="K10674" s="17"/>
      <c r="L10674" s="17" t="s">
        <v>22378</v>
      </c>
      <c r="M10674" s="17"/>
      <c r="N10674" s="17" t="s">
        <v>22459</v>
      </c>
      <c r="O10674" s="17"/>
      <c r="P10674" s="17" t="s">
        <v>45008</v>
      </c>
      <c r="Q10674" s="17"/>
      <c r="R10674" s="25" t="str">
        <f>HYPERLINK("https://ictv.global/taxonomy/taxondetails?taxnode_id=202317236","Hodnevirus duohumadaptatum")</f>
        <v>Hodnevirus duohumadaptatum</v>
      </c>
      <c r="S10674" s="18" t="s">
        <v>30</v>
      </c>
      <c r="T10674" s="18" t="s">
        <v>45261</v>
      </c>
      <c r="U10674" s="18"/>
      <c r="V10674" s="18"/>
      <c r="W10674" s="18" t="s">
        <v>45262</v>
      </c>
      <c r="X10674" s="18" t="s">
        <v>35</v>
      </c>
      <c r="Y10674" s="18" t="s">
        <v>17171</v>
      </c>
      <c r="Z10674" s="18" t="s">
        <v>24637</v>
      </c>
      <c r="AA10674" s="21" t="str">
        <f>HYPERLINK("https://www.ncbi.nlm.nih.gov/nuccore/CASDWV010004641","NCBI Nucleotide")</f>
        <v>NCBI Nucleotide</v>
      </c>
    </row>
    <row r="10675" spans="1:27" x14ac:dyDescent="0.35">
      <c r="A10675">
        <v>1026977</v>
      </c>
      <c r="B10675">
        <v>10000</v>
      </c>
      <c r="C10675">
        <v>1</v>
      </c>
      <c r="D10675" s="17" t="s">
        <v>17166</v>
      </c>
      <c r="E10675" s="17"/>
      <c r="F10675" s="17" t="s">
        <v>17246</v>
      </c>
      <c r="G10675" s="17"/>
      <c r="H10675" s="17" t="s">
        <v>20919</v>
      </c>
      <c r="I10675" s="17"/>
      <c r="J10675" s="17" t="s">
        <v>21313</v>
      </c>
      <c r="K10675" s="17"/>
      <c r="L10675" s="17" t="s">
        <v>22378</v>
      </c>
      <c r="M10675" s="17"/>
      <c r="N10675" s="17" t="s">
        <v>22459</v>
      </c>
      <c r="O10675" s="17"/>
      <c r="P10675" s="17" t="s">
        <v>45008</v>
      </c>
      <c r="Q10675" s="17"/>
      <c r="R10675" s="25" t="str">
        <f>HYPERLINK("https://ictv.global/taxonomy/taxondetails?taxnode_id=202317237","Hodnevirus duotellurenecus")</f>
        <v>Hodnevirus duotellurenecus</v>
      </c>
      <c r="S10675" s="18" t="s">
        <v>30</v>
      </c>
      <c r="T10675" s="18" t="s">
        <v>45263</v>
      </c>
      <c r="U10675" s="18"/>
      <c r="V10675" s="18"/>
      <c r="W10675" s="18" t="s">
        <v>45264</v>
      </c>
      <c r="X10675" s="18" t="s">
        <v>35</v>
      </c>
      <c r="Y10675" s="18" t="s">
        <v>17171</v>
      </c>
      <c r="Z10675" s="18" t="s">
        <v>24637</v>
      </c>
      <c r="AA10675" s="21" t="str">
        <f>HYPERLINK("https://www.ncbi.nlm.nih.gov/nuccore/CASDWV010002908","NCBI Nucleotide")</f>
        <v>NCBI Nucleotide</v>
      </c>
    </row>
    <row r="10676" spans="1:27" x14ac:dyDescent="0.35">
      <c r="A10676">
        <v>1026978</v>
      </c>
      <c r="B10676">
        <v>10001</v>
      </c>
      <c r="C10676">
        <v>1</v>
      </c>
      <c r="D10676" s="17" t="s">
        <v>17166</v>
      </c>
      <c r="E10676" s="17"/>
      <c r="F10676" s="17" t="s">
        <v>17246</v>
      </c>
      <c r="G10676" s="17"/>
      <c r="H10676" s="17" t="s">
        <v>20919</v>
      </c>
      <c r="I10676" s="17"/>
      <c r="J10676" s="17" t="s">
        <v>21313</v>
      </c>
      <c r="K10676" s="17"/>
      <c r="L10676" s="17" t="s">
        <v>22378</v>
      </c>
      <c r="M10676" s="17"/>
      <c r="N10676" s="17" t="s">
        <v>22459</v>
      </c>
      <c r="O10676" s="17"/>
      <c r="P10676" s="17" t="s">
        <v>45008</v>
      </c>
      <c r="Q10676" s="17"/>
      <c r="R10676" s="25" t="str">
        <f>HYPERLINK("https://ictv.global/taxonomy/taxondetails?taxnode_id=202317238","Hodnevirus duoterrenecus")</f>
        <v>Hodnevirus duoterrenecus</v>
      </c>
      <c r="S10676" s="18" t="s">
        <v>30</v>
      </c>
      <c r="T10676" s="18" t="s">
        <v>45265</v>
      </c>
      <c r="U10676" s="18"/>
      <c r="V10676" s="18"/>
      <c r="W10676" s="18" t="s">
        <v>45266</v>
      </c>
      <c r="X10676" s="18" t="s">
        <v>35</v>
      </c>
      <c r="Y10676" s="18" t="s">
        <v>17171</v>
      </c>
      <c r="Z10676" s="18" t="s">
        <v>24637</v>
      </c>
      <c r="AA10676" s="21" t="str">
        <f>HYPERLINK("https://www.ncbi.nlm.nih.gov/nuccore/CASDWV010004586","NCBI Nucleotide")</f>
        <v>NCBI Nucleotide</v>
      </c>
    </row>
    <row r="10677" spans="1:27" x14ac:dyDescent="0.35">
      <c r="A10677">
        <v>1026979</v>
      </c>
      <c r="B10677">
        <v>10002</v>
      </c>
      <c r="C10677">
        <v>1</v>
      </c>
      <c r="D10677" s="17" t="s">
        <v>17166</v>
      </c>
      <c r="E10677" s="17"/>
      <c r="F10677" s="17" t="s">
        <v>17246</v>
      </c>
      <c r="G10677" s="17"/>
      <c r="H10677" s="17" t="s">
        <v>20919</v>
      </c>
      <c r="I10677" s="17"/>
      <c r="J10677" s="17" t="s">
        <v>21313</v>
      </c>
      <c r="K10677" s="17"/>
      <c r="L10677" s="17" t="s">
        <v>22378</v>
      </c>
      <c r="M10677" s="17"/>
      <c r="N10677" s="17" t="s">
        <v>22459</v>
      </c>
      <c r="O10677" s="17"/>
      <c r="P10677" s="17" t="s">
        <v>45008</v>
      </c>
      <c r="Q10677" s="17"/>
      <c r="R10677" s="25" t="str">
        <f>HYPERLINK("https://ictv.global/taxonomy/taxondetails?taxnode_id=202317239","Hodnevirus duoterrihabitans")</f>
        <v>Hodnevirus duoterrihabitans</v>
      </c>
      <c r="S10677" s="18" t="s">
        <v>30</v>
      </c>
      <c r="T10677" s="18" t="s">
        <v>45267</v>
      </c>
      <c r="U10677" s="18"/>
      <c r="V10677" s="18"/>
      <c r="W10677" s="18" t="s">
        <v>45268</v>
      </c>
      <c r="X10677" s="18" t="s">
        <v>35</v>
      </c>
      <c r="Y10677" s="18" t="s">
        <v>17171</v>
      </c>
      <c r="Z10677" s="18" t="s">
        <v>24637</v>
      </c>
      <c r="AA10677" s="21" t="str">
        <f>HYPERLINK("https://www.ncbi.nlm.nih.gov/nuccore/CASDWV010005094","NCBI Nucleotide")</f>
        <v>NCBI Nucleotide</v>
      </c>
    </row>
    <row r="10678" spans="1:27" x14ac:dyDescent="0.35">
      <c r="A10678">
        <v>1026980</v>
      </c>
      <c r="B10678">
        <v>10003</v>
      </c>
      <c r="C10678">
        <v>1</v>
      </c>
      <c r="D10678" s="17" t="s">
        <v>17166</v>
      </c>
      <c r="E10678" s="17"/>
      <c r="F10678" s="17" t="s">
        <v>17246</v>
      </c>
      <c r="G10678" s="17"/>
      <c r="H10678" s="17" t="s">
        <v>20919</v>
      </c>
      <c r="I10678" s="17"/>
      <c r="J10678" s="17" t="s">
        <v>21313</v>
      </c>
      <c r="K10678" s="17"/>
      <c r="L10678" s="17" t="s">
        <v>22378</v>
      </c>
      <c r="M10678" s="17"/>
      <c r="N10678" s="17" t="s">
        <v>22459</v>
      </c>
      <c r="O10678" s="17"/>
      <c r="P10678" s="17" t="s">
        <v>45008</v>
      </c>
      <c r="Q10678" s="17"/>
      <c r="R10678" s="25" t="str">
        <f>HYPERLINK("https://ictv.global/taxonomy/taxondetails?taxnode_id=202317240","Hodnevirus duoterrivicinum")</f>
        <v>Hodnevirus duoterrivicinum</v>
      </c>
      <c r="S10678" s="18" t="s">
        <v>30</v>
      </c>
      <c r="T10678" s="18" t="s">
        <v>45269</v>
      </c>
      <c r="U10678" s="18"/>
      <c r="V10678" s="18"/>
      <c r="W10678" s="18" t="s">
        <v>45270</v>
      </c>
      <c r="X10678" s="18" t="s">
        <v>35</v>
      </c>
      <c r="Y10678" s="18" t="s">
        <v>17171</v>
      </c>
      <c r="Z10678" s="18" t="s">
        <v>24637</v>
      </c>
      <c r="AA10678" s="21" t="str">
        <f>HYPERLINK("https://www.ncbi.nlm.nih.gov/nuccore/CASDWV010001428","NCBI Nucleotide")</f>
        <v>NCBI Nucleotide</v>
      </c>
    </row>
    <row r="10679" spans="1:27" x14ac:dyDescent="0.35">
      <c r="A10679">
        <v>1009952</v>
      </c>
      <c r="B10679">
        <v>10004</v>
      </c>
      <c r="C10679">
        <v>1</v>
      </c>
      <c r="D10679" s="17" t="s">
        <v>17166</v>
      </c>
      <c r="E10679" s="17"/>
      <c r="F10679" s="17" t="s">
        <v>17246</v>
      </c>
      <c r="G10679" s="17"/>
      <c r="H10679" s="17" t="s">
        <v>20919</v>
      </c>
      <c r="I10679" s="17"/>
      <c r="J10679" s="17" t="s">
        <v>21313</v>
      </c>
      <c r="K10679" s="17"/>
      <c r="L10679" s="17" t="s">
        <v>22378</v>
      </c>
      <c r="M10679" s="17"/>
      <c r="N10679" s="17" t="s">
        <v>22459</v>
      </c>
      <c r="O10679" s="17"/>
      <c r="P10679" s="17" t="s">
        <v>45008</v>
      </c>
      <c r="Q10679" s="17"/>
      <c r="R10679" s="25" t="str">
        <f>HYPERLINK("https://ictv.global/taxonomy/taxondetails?taxnode_id=202311168","Hodnevirus edaphadaptatum")</f>
        <v>Hodnevirus edaphadaptatum</v>
      </c>
      <c r="S10679" s="18" t="s">
        <v>30</v>
      </c>
      <c r="T10679" s="18" t="s">
        <v>22745</v>
      </c>
      <c r="U10679" s="18"/>
      <c r="V10679" s="18"/>
      <c r="W10679" s="18" t="s">
        <v>22746</v>
      </c>
      <c r="X10679" s="18" t="s">
        <v>35</v>
      </c>
      <c r="Y10679" s="18" t="s">
        <v>17171</v>
      </c>
      <c r="Z10679" s="18" t="s">
        <v>697</v>
      </c>
      <c r="AA10679" s="21" t="str">
        <f>HYPERLINK("https://www.ncbi.nlm.nih.gov/nuccore/BK013386","NCBI Nucleotide")</f>
        <v>NCBI Nucleotide</v>
      </c>
    </row>
    <row r="10680" spans="1:27" x14ac:dyDescent="0.35">
      <c r="A10680">
        <v>1009953</v>
      </c>
      <c r="B10680">
        <v>10005</v>
      </c>
      <c r="C10680">
        <v>1</v>
      </c>
      <c r="D10680" s="17" t="s">
        <v>17166</v>
      </c>
      <c r="E10680" s="17"/>
      <c r="F10680" s="17" t="s">
        <v>17246</v>
      </c>
      <c r="G10680" s="17"/>
      <c r="H10680" s="17" t="s">
        <v>20919</v>
      </c>
      <c r="I10680" s="17"/>
      <c r="J10680" s="17" t="s">
        <v>21313</v>
      </c>
      <c r="K10680" s="17"/>
      <c r="L10680" s="17" t="s">
        <v>22378</v>
      </c>
      <c r="M10680" s="17"/>
      <c r="N10680" s="17" t="s">
        <v>22459</v>
      </c>
      <c r="O10680" s="17"/>
      <c r="P10680" s="17" t="s">
        <v>45008</v>
      </c>
      <c r="Q10680" s="17"/>
      <c r="R10680" s="25" t="str">
        <f>HYPERLINK("https://ictv.global/taxonomy/taxondetails?taxnode_id=202311170","Hodnevirus edaphenecus")</f>
        <v>Hodnevirus edaphenecus</v>
      </c>
      <c r="S10680" s="18" t="s">
        <v>30</v>
      </c>
      <c r="T10680" s="18" t="s">
        <v>22747</v>
      </c>
      <c r="U10680" s="18"/>
      <c r="V10680" s="18"/>
      <c r="W10680" s="18" t="s">
        <v>22748</v>
      </c>
      <c r="X10680" s="18" t="s">
        <v>35</v>
      </c>
      <c r="Y10680" s="18" t="s">
        <v>17171</v>
      </c>
      <c r="Z10680" s="18" t="s">
        <v>697</v>
      </c>
      <c r="AA10680" s="21" t="str">
        <f>HYPERLINK("https://www.ncbi.nlm.nih.gov/nuccore/BK013808","NCBI Nucleotide")</f>
        <v>NCBI Nucleotide</v>
      </c>
    </row>
    <row r="10681" spans="1:27" x14ac:dyDescent="0.35">
      <c r="A10681">
        <v>1009954</v>
      </c>
      <c r="B10681">
        <v>10006</v>
      </c>
      <c r="C10681">
        <v>1</v>
      </c>
      <c r="D10681" s="17" t="s">
        <v>17166</v>
      </c>
      <c r="E10681" s="17"/>
      <c r="F10681" s="17" t="s">
        <v>17246</v>
      </c>
      <c r="G10681" s="17"/>
      <c r="H10681" s="17" t="s">
        <v>20919</v>
      </c>
      <c r="I10681" s="17"/>
      <c r="J10681" s="17" t="s">
        <v>21313</v>
      </c>
      <c r="K10681" s="17"/>
      <c r="L10681" s="17" t="s">
        <v>22378</v>
      </c>
      <c r="M10681" s="17"/>
      <c r="N10681" s="17" t="s">
        <v>22459</v>
      </c>
      <c r="O10681" s="17"/>
      <c r="P10681" s="17" t="s">
        <v>45008</v>
      </c>
      <c r="Q10681" s="17"/>
      <c r="R10681" s="25" t="str">
        <f>HYPERLINK("https://ictv.global/taxonomy/taxondetails?taxnode_id=202311169","Hodnevirus edaphocola")</f>
        <v>Hodnevirus edaphocola</v>
      </c>
      <c r="S10681" s="18" t="s">
        <v>30</v>
      </c>
      <c r="T10681" s="18" t="s">
        <v>22749</v>
      </c>
      <c r="U10681" s="18"/>
      <c r="V10681" s="18"/>
      <c r="W10681" s="18" t="s">
        <v>22750</v>
      </c>
      <c r="X10681" s="18" t="s">
        <v>35</v>
      </c>
      <c r="Y10681" s="18" t="s">
        <v>17171</v>
      </c>
      <c r="Z10681" s="18" t="s">
        <v>697</v>
      </c>
      <c r="AA10681" s="21" t="str">
        <f>HYPERLINK("https://www.ncbi.nlm.nih.gov/nuccore/BK013973","NCBI Nucleotide")</f>
        <v>NCBI Nucleotide</v>
      </c>
    </row>
    <row r="10682" spans="1:27" x14ac:dyDescent="0.35">
      <c r="A10682">
        <v>1009955</v>
      </c>
      <c r="B10682">
        <v>10007</v>
      </c>
      <c r="C10682">
        <v>1</v>
      </c>
      <c r="D10682" s="17" t="s">
        <v>17166</v>
      </c>
      <c r="E10682" s="17"/>
      <c r="F10682" s="17" t="s">
        <v>17246</v>
      </c>
      <c r="G10682" s="17"/>
      <c r="H10682" s="17" t="s">
        <v>20919</v>
      </c>
      <c r="I10682" s="17"/>
      <c r="J10682" s="17" t="s">
        <v>21313</v>
      </c>
      <c r="K10682" s="17"/>
      <c r="L10682" s="17" t="s">
        <v>22378</v>
      </c>
      <c r="M10682" s="17"/>
      <c r="N10682" s="17" t="s">
        <v>22459</v>
      </c>
      <c r="O10682" s="17"/>
      <c r="P10682" s="17" t="s">
        <v>45008</v>
      </c>
      <c r="Q10682" s="17"/>
      <c r="R10682" s="25" t="str">
        <f>HYPERLINK("https://ictv.global/taxonomy/taxondetails?taxnode_id=202311171","Hodnevirus edaphohabitans")</f>
        <v>Hodnevirus edaphohabitans</v>
      </c>
      <c r="S10682" s="18" t="s">
        <v>30</v>
      </c>
      <c r="T10682" s="18" t="s">
        <v>22751</v>
      </c>
      <c r="U10682" s="18"/>
      <c r="V10682" s="18"/>
      <c r="W10682" s="18" t="s">
        <v>22752</v>
      </c>
      <c r="X10682" s="18" t="s">
        <v>35</v>
      </c>
      <c r="Y10682" s="18" t="s">
        <v>17171</v>
      </c>
      <c r="Z10682" s="18" t="s">
        <v>697</v>
      </c>
      <c r="AA10682" s="21" t="str">
        <f>HYPERLINK("https://www.ncbi.nlm.nih.gov/nuccore/BK013411","NCBI Nucleotide")</f>
        <v>NCBI Nucleotide</v>
      </c>
    </row>
    <row r="10683" spans="1:27" x14ac:dyDescent="0.35">
      <c r="A10683">
        <v>1009956</v>
      </c>
      <c r="B10683">
        <v>10008</v>
      </c>
      <c r="C10683">
        <v>1</v>
      </c>
      <c r="D10683" s="17" t="s">
        <v>17166</v>
      </c>
      <c r="E10683" s="17"/>
      <c r="F10683" s="17" t="s">
        <v>17246</v>
      </c>
      <c r="G10683" s="17"/>
      <c r="H10683" s="17" t="s">
        <v>20919</v>
      </c>
      <c r="I10683" s="17"/>
      <c r="J10683" s="17" t="s">
        <v>21313</v>
      </c>
      <c r="K10683" s="17"/>
      <c r="L10683" s="17" t="s">
        <v>22378</v>
      </c>
      <c r="M10683" s="17"/>
      <c r="N10683" s="17" t="s">
        <v>22459</v>
      </c>
      <c r="O10683" s="17"/>
      <c r="P10683" s="17" t="s">
        <v>45008</v>
      </c>
      <c r="Q10683" s="17"/>
      <c r="R10683" s="25" t="str">
        <f>HYPERLINK("https://ictv.global/taxonomy/taxondetails?taxnode_id=202311172","Hodnevirus edaphovicinum")</f>
        <v>Hodnevirus edaphovicinum</v>
      </c>
      <c r="S10683" s="18" t="s">
        <v>30</v>
      </c>
      <c r="T10683" s="18" t="s">
        <v>22753</v>
      </c>
      <c r="U10683" s="18"/>
      <c r="V10683" s="18"/>
      <c r="W10683" s="18" t="s">
        <v>22754</v>
      </c>
      <c r="X10683" s="18" t="s">
        <v>35</v>
      </c>
      <c r="Y10683" s="18" t="s">
        <v>17171</v>
      </c>
      <c r="Z10683" s="18" t="s">
        <v>697</v>
      </c>
      <c r="AA10683" s="21" t="str">
        <f>HYPERLINK("https://www.ncbi.nlm.nih.gov/nuccore/BK013866","NCBI Nucleotide")</f>
        <v>NCBI Nucleotide</v>
      </c>
    </row>
    <row r="10684" spans="1:27" x14ac:dyDescent="0.35">
      <c r="A10684">
        <v>1009957</v>
      </c>
      <c r="B10684">
        <v>10009</v>
      </c>
      <c r="C10684">
        <v>1</v>
      </c>
      <c r="D10684" s="17" t="s">
        <v>17166</v>
      </c>
      <c r="E10684" s="17"/>
      <c r="F10684" s="17" t="s">
        <v>17246</v>
      </c>
      <c r="G10684" s="17"/>
      <c r="H10684" s="17" t="s">
        <v>20919</v>
      </c>
      <c r="I10684" s="17"/>
      <c r="J10684" s="17" t="s">
        <v>21313</v>
      </c>
      <c r="K10684" s="17"/>
      <c r="L10684" s="17" t="s">
        <v>22378</v>
      </c>
      <c r="M10684" s="17"/>
      <c r="N10684" s="17" t="s">
        <v>22459</v>
      </c>
      <c r="O10684" s="17"/>
      <c r="P10684" s="17" t="s">
        <v>45008</v>
      </c>
      <c r="Q10684" s="17"/>
      <c r="R10684" s="25" t="str">
        <f>HYPERLINK("https://ictv.global/taxonomy/taxondetails?taxnode_id=202311173","Hodnevirus edaphovivens")</f>
        <v>Hodnevirus edaphovivens</v>
      </c>
      <c r="S10684" s="18" t="s">
        <v>30</v>
      </c>
      <c r="T10684" s="18" t="s">
        <v>22755</v>
      </c>
      <c r="U10684" s="18"/>
      <c r="V10684" s="18"/>
      <c r="W10684" s="18" t="s">
        <v>22756</v>
      </c>
      <c r="X10684" s="18" t="s">
        <v>35</v>
      </c>
      <c r="Y10684" s="18" t="s">
        <v>17171</v>
      </c>
      <c r="Z10684" s="18" t="s">
        <v>697</v>
      </c>
      <c r="AA10684" s="21" t="str">
        <f>HYPERLINK("https://www.ncbi.nlm.nih.gov/nuccore/BK013839","NCBI Nucleotide")</f>
        <v>NCBI Nucleotide</v>
      </c>
    </row>
    <row r="10685" spans="1:27" x14ac:dyDescent="0.35">
      <c r="A10685">
        <v>1026981</v>
      </c>
      <c r="B10685">
        <v>10010</v>
      </c>
      <c r="C10685">
        <v>1</v>
      </c>
      <c r="D10685" s="17" t="s">
        <v>17166</v>
      </c>
      <c r="E10685" s="17"/>
      <c r="F10685" s="17" t="s">
        <v>17246</v>
      </c>
      <c r="G10685" s="17"/>
      <c r="H10685" s="17" t="s">
        <v>20919</v>
      </c>
      <c r="I10685" s="17"/>
      <c r="J10685" s="17" t="s">
        <v>21313</v>
      </c>
      <c r="K10685" s="17"/>
      <c r="L10685" s="17" t="s">
        <v>22378</v>
      </c>
      <c r="M10685" s="17"/>
      <c r="N10685" s="17" t="s">
        <v>22459</v>
      </c>
      <c r="O10685" s="17"/>
      <c r="P10685" s="17" t="s">
        <v>45008</v>
      </c>
      <c r="Q10685" s="17"/>
      <c r="R10685" s="25" t="str">
        <f>HYPERLINK("https://ictv.global/taxonomy/taxondetails?taxnode_id=202317241","Hodnevirus faecenecus")</f>
        <v>Hodnevirus faecenecus</v>
      </c>
      <c r="S10685" s="18" t="s">
        <v>30</v>
      </c>
      <c r="T10685" s="18" t="s">
        <v>45271</v>
      </c>
      <c r="U10685" s="18"/>
      <c r="V10685" s="18" t="s">
        <v>45271</v>
      </c>
      <c r="W10685" s="18" t="s">
        <v>45272</v>
      </c>
      <c r="X10685" s="18" t="s">
        <v>35</v>
      </c>
      <c r="Y10685" s="18" t="s">
        <v>17171</v>
      </c>
      <c r="Z10685" s="18" t="s">
        <v>17413</v>
      </c>
      <c r="AA10685" s="21" t="str">
        <f>HYPERLINK("https://www.ncbi.nlm.nih.gov/nuccore/MZ679624","NCBI Nucleotide")</f>
        <v>NCBI Nucleotide</v>
      </c>
    </row>
    <row r="10686" spans="1:27" x14ac:dyDescent="0.35">
      <c r="A10686">
        <v>1026982</v>
      </c>
      <c r="B10686">
        <v>10011</v>
      </c>
      <c r="C10686">
        <v>1</v>
      </c>
      <c r="D10686" s="17" t="s">
        <v>17166</v>
      </c>
      <c r="E10686" s="17"/>
      <c r="F10686" s="17" t="s">
        <v>17246</v>
      </c>
      <c r="G10686" s="17"/>
      <c r="H10686" s="17" t="s">
        <v>20919</v>
      </c>
      <c r="I10686" s="17"/>
      <c r="J10686" s="17" t="s">
        <v>21313</v>
      </c>
      <c r="K10686" s="17"/>
      <c r="L10686" s="17" t="s">
        <v>22378</v>
      </c>
      <c r="M10686" s="17"/>
      <c r="N10686" s="17" t="s">
        <v>22459</v>
      </c>
      <c r="O10686" s="17"/>
      <c r="P10686" s="17" t="s">
        <v>45008</v>
      </c>
      <c r="Q10686" s="17"/>
      <c r="R10686" s="25" t="str">
        <f>HYPERLINK("https://ictv.global/taxonomy/taxondetails?taxnode_id=202317242","Hodnevirus faecihabitans")</f>
        <v>Hodnevirus faecihabitans</v>
      </c>
      <c r="S10686" s="18" t="s">
        <v>30</v>
      </c>
      <c r="T10686" s="18" t="s">
        <v>45273</v>
      </c>
      <c r="U10686" s="18"/>
      <c r="V10686" s="18" t="s">
        <v>45273</v>
      </c>
      <c r="W10686" s="18" t="s">
        <v>45274</v>
      </c>
      <c r="X10686" s="18" t="s">
        <v>35</v>
      </c>
      <c r="Y10686" s="18" t="s">
        <v>17171</v>
      </c>
      <c r="Z10686" s="18" t="s">
        <v>24637</v>
      </c>
      <c r="AA10686" s="21" t="str">
        <f>HYPERLINK("https://www.ncbi.nlm.nih.gov/nuccore/MZ679684","NCBI Nucleotide")</f>
        <v>NCBI Nucleotide</v>
      </c>
    </row>
    <row r="10687" spans="1:27" x14ac:dyDescent="0.35">
      <c r="A10687">
        <v>1026983</v>
      </c>
      <c r="B10687">
        <v>10012</v>
      </c>
      <c r="C10687">
        <v>1</v>
      </c>
      <c r="D10687" s="17" t="s">
        <v>17166</v>
      </c>
      <c r="E10687" s="17"/>
      <c r="F10687" s="17" t="s">
        <v>17246</v>
      </c>
      <c r="G10687" s="17"/>
      <c r="H10687" s="17" t="s">
        <v>20919</v>
      </c>
      <c r="I10687" s="17"/>
      <c r="J10687" s="17" t="s">
        <v>21313</v>
      </c>
      <c r="K10687" s="17"/>
      <c r="L10687" s="17" t="s">
        <v>22378</v>
      </c>
      <c r="M10687" s="17"/>
      <c r="N10687" s="17" t="s">
        <v>22459</v>
      </c>
      <c r="O10687" s="17"/>
      <c r="P10687" s="17" t="s">
        <v>45008</v>
      </c>
      <c r="Q10687" s="17"/>
      <c r="R10687" s="25" t="str">
        <f>HYPERLINK("https://ictv.global/taxonomy/taxondetails?taxnode_id=202317243","Hodnevirus faecivicinum")</f>
        <v>Hodnevirus faecivicinum</v>
      </c>
      <c r="S10687" s="18" t="s">
        <v>30</v>
      </c>
      <c r="T10687" s="18" t="s">
        <v>45275</v>
      </c>
      <c r="U10687" s="18"/>
      <c r="V10687" s="18" t="s">
        <v>45275</v>
      </c>
      <c r="W10687" s="18" t="s">
        <v>45276</v>
      </c>
      <c r="X10687" s="18" t="s">
        <v>35</v>
      </c>
      <c r="Y10687" s="18" t="s">
        <v>17171</v>
      </c>
      <c r="Z10687" s="18" t="s">
        <v>24637</v>
      </c>
      <c r="AA10687" s="21" t="str">
        <f>HYPERLINK("https://www.ncbi.nlm.nih.gov/nuccore/MZ679544","NCBI Nucleotide")</f>
        <v>NCBI Nucleotide</v>
      </c>
    </row>
    <row r="10688" spans="1:27" x14ac:dyDescent="0.35">
      <c r="A10688">
        <v>1026984</v>
      </c>
      <c r="B10688">
        <v>10013</v>
      </c>
      <c r="C10688">
        <v>1</v>
      </c>
      <c r="D10688" s="17" t="s">
        <v>17166</v>
      </c>
      <c r="E10688" s="17"/>
      <c r="F10688" s="17" t="s">
        <v>17246</v>
      </c>
      <c r="G10688" s="17"/>
      <c r="H10688" s="17" t="s">
        <v>20919</v>
      </c>
      <c r="I10688" s="17"/>
      <c r="J10688" s="17" t="s">
        <v>21313</v>
      </c>
      <c r="K10688" s="17"/>
      <c r="L10688" s="17" t="s">
        <v>22378</v>
      </c>
      <c r="M10688" s="17"/>
      <c r="N10688" s="17" t="s">
        <v>22459</v>
      </c>
      <c r="O10688" s="17"/>
      <c r="P10688" s="17" t="s">
        <v>45008</v>
      </c>
      <c r="Q10688" s="17"/>
      <c r="R10688" s="25" t="str">
        <f>HYPERLINK("https://ictv.global/taxonomy/taxondetails?taxnode_id=202317244","Hodnevirus fundenecus")</f>
        <v>Hodnevirus fundenecus</v>
      </c>
      <c r="S10688" s="18" t="s">
        <v>30</v>
      </c>
      <c r="T10688" s="18" t="s">
        <v>45277</v>
      </c>
      <c r="U10688" s="18"/>
      <c r="V10688" s="18" t="s">
        <v>45277</v>
      </c>
      <c r="W10688" s="18" t="s">
        <v>45278</v>
      </c>
      <c r="X10688" s="18" t="s">
        <v>35</v>
      </c>
      <c r="Y10688" s="18" t="s">
        <v>17171</v>
      </c>
      <c r="Z10688" s="18" t="s">
        <v>24637</v>
      </c>
      <c r="AA10688" s="21" t="str">
        <f>HYPERLINK("https://www.ncbi.nlm.nih.gov/nuccore/MZ679818","NCBI Nucleotide")</f>
        <v>NCBI Nucleotide</v>
      </c>
    </row>
    <row r="10689" spans="1:27" x14ac:dyDescent="0.35">
      <c r="A10689">
        <v>1009855</v>
      </c>
      <c r="B10689">
        <v>10014</v>
      </c>
      <c r="C10689">
        <v>1</v>
      </c>
      <c r="D10689" s="17" t="s">
        <v>17166</v>
      </c>
      <c r="E10689" s="17"/>
      <c r="F10689" s="17" t="s">
        <v>17246</v>
      </c>
      <c r="G10689" s="17"/>
      <c r="H10689" s="17" t="s">
        <v>20919</v>
      </c>
      <c r="I10689" s="17"/>
      <c r="J10689" s="17" t="s">
        <v>21313</v>
      </c>
      <c r="K10689" s="17"/>
      <c r="L10689" s="17" t="s">
        <v>22378</v>
      </c>
      <c r="M10689" s="17"/>
      <c r="N10689" s="17" t="s">
        <v>22459</v>
      </c>
      <c r="O10689" s="17"/>
      <c r="P10689" s="17" t="s">
        <v>45008</v>
      </c>
      <c r="Q10689" s="17"/>
      <c r="R10689" s="25" t="str">
        <f>HYPERLINK("https://ictv.global/taxonomy/taxondetails?taxnode_id=202311038","Hodnevirus geoadaptatum")</f>
        <v>Hodnevirus geoadaptatum</v>
      </c>
      <c r="S10689" s="18" t="s">
        <v>30</v>
      </c>
      <c r="T10689" s="18" t="s">
        <v>22539</v>
      </c>
      <c r="U10689" s="18"/>
      <c r="V10689" s="18"/>
      <c r="W10689" s="18" t="s">
        <v>22540</v>
      </c>
      <c r="X10689" s="18" t="s">
        <v>35</v>
      </c>
      <c r="Y10689" s="18" t="s">
        <v>17171</v>
      </c>
      <c r="Z10689" s="18" t="s">
        <v>697</v>
      </c>
      <c r="AA10689" s="21" t="str">
        <f>HYPERLINK("https://www.ncbi.nlm.nih.gov/nuccore/BK013788","NCBI Nucleotide")</f>
        <v>NCBI Nucleotide</v>
      </c>
    </row>
    <row r="10690" spans="1:27" x14ac:dyDescent="0.35">
      <c r="A10690">
        <v>1009856</v>
      </c>
      <c r="B10690">
        <v>10015</v>
      </c>
      <c r="C10690">
        <v>1</v>
      </c>
      <c r="D10690" s="17" t="s">
        <v>17166</v>
      </c>
      <c r="E10690" s="17"/>
      <c r="F10690" s="17" t="s">
        <v>17246</v>
      </c>
      <c r="G10690" s="17"/>
      <c r="H10690" s="17" t="s">
        <v>20919</v>
      </c>
      <c r="I10690" s="17"/>
      <c r="J10690" s="17" t="s">
        <v>21313</v>
      </c>
      <c r="K10690" s="17"/>
      <c r="L10690" s="17" t="s">
        <v>22378</v>
      </c>
      <c r="M10690" s="17"/>
      <c r="N10690" s="17" t="s">
        <v>22459</v>
      </c>
      <c r="O10690" s="17"/>
      <c r="P10690" s="17" t="s">
        <v>45008</v>
      </c>
      <c r="Q10690" s="17"/>
      <c r="R10690" s="25" t="str">
        <f>HYPERLINK("https://ictv.global/taxonomy/taxondetails?taxnode_id=202311039","Hodnevirus geocola")</f>
        <v>Hodnevirus geocola</v>
      </c>
      <c r="S10690" s="18" t="s">
        <v>30</v>
      </c>
      <c r="T10690" s="18" t="s">
        <v>22541</v>
      </c>
      <c r="U10690" s="18"/>
      <c r="V10690" s="18"/>
      <c r="W10690" s="18" t="s">
        <v>22542</v>
      </c>
      <c r="X10690" s="18" t="s">
        <v>35</v>
      </c>
      <c r="Y10690" s="18" t="s">
        <v>17171</v>
      </c>
      <c r="Z10690" s="18" t="s">
        <v>697</v>
      </c>
      <c r="AA10690" s="21" t="str">
        <f>HYPERLINK("https://www.ncbi.nlm.nih.gov/nuccore/BK013509","NCBI Nucleotide")</f>
        <v>NCBI Nucleotide</v>
      </c>
    </row>
    <row r="10691" spans="1:27" x14ac:dyDescent="0.35">
      <c r="A10691">
        <v>1009857</v>
      </c>
      <c r="B10691">
        <v>10016</v>
      </c>
      <c r="C10691">
        <v>1</v>
      </c>
      <c r="D10691" s="17" t="s">
        <v>17166</v>
      </c>
      <c r="E10691" s="17"/>
      <c r="F10691" s="17" t="s">
        <v>17246</v>
      </c>
      <c r="G10691" s="17"/>
      <c r="H10691" s="17" t="s">
        <v>20919</v>
      </c>
      <c r="I10691" s="17"/>
      <c r="J10691" s="17" t="s">
        <v>21313</v>
      </c>
      <c r="K10691" s="17"/>
      <c r="L10691" s="17" t="s">
        <v>22378</v>
      </c>
      <c r="M10691" s="17"/>
      <c r="N10691" s="17" t="s">
        <v>22459</v>
      </c>
      <c r="O10691" s="17"/>
      <c r="P10691" s="17" t="s">
        <v>45008</v>
      </c>
      <c r="Q10691" s="17"/>
      <c r="R10691" s="25" t="str">
        <f>HYPERLINK("https://ictv.global/taxonomy/taxondetails?taxnode_id=202311040","Hodnevirus geoenecus")</f>
        <v>Hodnevirus geoenecus</v>
      </c>
      <c r="S10691" s="18" t="s">
        <v>30</v>
      </c>
      <c r="T10691" s="18" t="s">
        <v>22543</v>
      </c>
      <c r="U10691" s="18"/>
      <c r="V10691" s="18"/>
      <c r="W10691" s="18" t="s">
        <v>22544</v>
      </c>
      <c r="X10691" s="18" t="s">
        <v>35</v>
      </c>
      <c r="Y10691" s="18" t="s">
        <v>17171</v>
      </c>
      <c r="Z10691" s="18" t="s">
        <v>697</v>
      </c>
      <c r="AA10691" s="21" t="str">
        <f>HYPERLINK("https://www.ncbi.nlm.nih.gov/nuccore/BK013530","NCBI Nucleotide")</f>
        <v>NCBI Nucleotide</v>
      </c>
    </row>
    <row r="10692" spans="1:27" x14ac:dyDescent="0.35">
      <c r="A10692">
        <v>1009858</v>
      </c>
      <c r="B10692">
        <v>10017</v>
      </c>
      <c r="C10692">
        <v>1</v>
      </c>
      <c r="D10692" s="17" t="s">
        <v>17166</v>
      </c>
      <c r="E10692" s="17"/>
      <c r="F10692" s="17" t="s">
        <v>17246</v>
      </c>
      <c r="G10692" s="17"/>
      <c r="H10692" s="17" t="s">
        <v>20919</v>
      </c>
      <c r="I10692" s="17"/>
      <c r="J10692" s="17" t="s">
        <v>21313</v>
      </c>
      <c r="K10692" s="17"/>
      <c r="L10692" s="17" t="s">
        <v>22378</v>
      </c>
      <c r="M10692" s="17"/>
      <c r="N10692" s="17" t="s">
        <v>22459</v>
      </c>
      <c r="O10692" s="17"/>
      <c r="P10692" s="17" t="s">
        <v>45008</v>
      </c>
      <c r="Q10692" s="17"/>
      <c r="R10692" s="25" t="str">
        <f>HYPERLINK("https://ictv.global/taxonomy/taxondetails?taxnode_id=202311041","Hodnevirus geohabitans")</f>
        <v>Hodnevirus geohabitans</v>
      </c>
      <c r="S10692" s="18" t="s">
        <v>30</v>
      </c>
      <c r="T10692" s="18" t="s">
        <v>22545</v>
      </c>
      <c r="U10692" s="18"/>
      <c r="V10692" s="18"/>
      <c r="W10692" s="18" t="s">
        <v>22546</v>
      </c>
      <c r="X10692" s="18" t="s">
        <v>35</v>
      </c>
      <c r="Y10692" s="18" t="s">
        <v>17171</v>
      </c>
      <c r="Z10692" s="18" t="s">
        <v>697</v>
      </c>
      <c r="AA10692" s="21" t="str">
        <f>HYPERLINK("https://www.ncbi.nlm.nih.gov/nuccore/BK013922","NCBI Nucleotide")</f>
        <v>NCBI Nucleotide</v>
      </c>
    </row>
    <row r="10693" spans="1:27" x14ac:dyDescent="0.35">
      <c r="A10693">
        <v>1009859</v>
      </c>
      <c r="B10693">
        <v>10018</v>
      </c>
      <c r="C10693">
        <v>1</v>
      </c>
      <c r="D10693" s="17" t="s">
        <v>17166</v>
      </c>
      <c r="E10693" s="17"/>
      <c r="F10693" s="17" t="s">
        <v>17246</v>
      </c>
      <c r="G10693" s="17"/>
      <c r="H10693" s="17" t="s">
        <v>20919</v>
      </c>
      <c r="I10693" s="17"/>
      <c r="J10693" s="17" t="s">
        <v>21313</v>
      </c>
      <c r="K10693" s="17"/>
      <c r="L10693" s="17" t="s">
        <v>22378</v>
      </c>
      <c r="M10693" s="17"/>
      <c r="N10693" s="17" t="s">
        <v>22459</v>
      </c>
      <c r="O10693" s="17"/>
      <c r="P10693" s="17" t="s">
        <v>45008</v>
      </c>
      <c r="Q10693" s="17"/>
      <c r="R10693" s="25" t="str">
        <f>HYPERLINK("https://ictv.global/taxonomy/taxondetails?taxnode_id=202311042","Hodnevirus geovicinum")</f>
        <v>Hodnevirus geovicinum</v>
      </c>
      <c r="S10693" s="18" t="s">
        <v>30</v>
      </c>
      <c r="T10693" s="18" t="s">
        <v>22547</v>
      </c>
      <c r="U10693" s="18"/>
      <c r="V10693" s="18"/>
      <c r="W10693" s="18" t="s">
        <v>22548</v>
      </c>
      <c r="X10693" s="18" t="s">
        <v>35</v>
      </c>
      <c r="Y10693" s="18" t="s">
        <v>17171</v>
      </c>
      <c r="Z10693" s="18" t="s">
        <v>697</v>
      </c>
      <c r="AA10693" s="21" t="str">
        <f>HYPERLINK("https://www.ncbi.nlm.nih.gov/nuccore/BK013529","NCBI Nucleotide")</f>
        <v>NCBI Nucleotide</v>
      </c>
    </row>
    <row r="10694" spans="1:27" x14ac:dyDescent="0.35">
      <c r="A10694">
        <v>1009860</v>
      </c>
      <c r="B10694">
        <v>10019</v>
      </c>
      <c r="C10694">
        <v>1</v>
      </c>
      <c r="D10694" s="17" t="s">
        <v>17166</v>
      </c>
      <c r="E10694" s="17"/>
      <c r="F10694" s="17" t="s">
        <v>17246</v>
      </c>
      <c r="G10694" s="17"/>
      <c r="H10694" s="17" t="s">
        <v>20919</v>
      </c>
      <c r="I10694" s="17"/>
      <c r="J10694" s="17" t="s">
        <v>21313</v>
      </c>
      <c r="K10694" s="17"/>
      <c r="L10694" s="17" t="s">
        <v>22378</v>
      </c>
      <c r="M10694" s="17"/>
      <c r="N10694" s="17" t="s">
        <v>22459</v>
      </c>
      <c r="O10694" s="17"/>
      <c r="P10694" s="17" t="s">
        <v>45008</v>
      </c>
      <c r="Q10694" s="17"/>
      <c r="R10694" s="25" t="str">
        <f>HYPERLINK("https://ictv.global/taxonomy/taxondetails?taxnode_id=202311043","Hodnevirus geovivens")</f>
        <v>Hodnevirus geovivens</v>
      </c>
      <c r="S10694" s="18" t="s">
        <v>30</v>
      </c>
      <c r="T10694" s="18" t="s">
        <v>22549</v>
      </c>
      <c r="U10694" s="18"/>
      <c r="V10694" s="18"/>
      <c r="W10694" s="18" t="s">
        <v>22550</v>
      </c>
      <c r="X10694" s="18" t="s">
        <v>35</v>
      </c>
      <c r="Y10694" s="18" t="s">
        <v>17171</v>
      </c>
      <c r="Z10694" s="18" t="s">
        <v>697</v>
      </c>
      <c r="AA10694" s="21" t="str">
        <f>HYPERLINK("https://www.ncbi.nlm.nih.gov/nuccore/BK013841","NCBI Nucleotide")</f>
        <v>NCBI Nucleotide</v>
      </c>
    </row>
    <row r="10695" spans="1:27" x14ac:dyDescent="0.35">
      <c r="A10695">
        <v>1026985</v>
      </c>
      <c r="B10695">
        <v>10020</v>
      </c>
      <c r="C10695">
        <v>1</v>
      </c>
      <c r="D10695" s="17" t="s">
        <v>17166</v>
      </c>
      <c r="E10695" s="17"/>
      <c r="F10695" s="17" t="s">
        <v>17246</v>
      </c>
      <c r="G10695" s="17"/>
      <c r="H10695" s="17" t="s">
        <v>20919</v>
      </c>
      <c r="I10695" s="17"/>
      <c r="J10695" s="17" t="s">
        <v>21313</v>
      </c>
      <c r="K10695" s="17"/>
      <c r="L10695" s="17" t="s">
        <v>22378</v>
      </c>
      <c r="M10695" s="17"/>
      <c r="N10695" s="17" t="s">
        <v>22459</v>
      </c>
      <c r="O10695" s="17"/>
      <c r="P10695" s="17" t="s">
        <v>45008</v>
      </c>
      <c r="Q10695" s="17"/>
      <c r="R10695" s="25" t="str">
        <f>HYPERLINK("https://ictv.global/taxonomy/taxondetails?taxnode_id=202317245","Hodnevirus graminiscola")</f>
        <v>Hodnevirus graminiscola</v>
      </c>
      <c r="S10695" s="18" t="s">
        <v>30</v>
      </c>
      <c r="T10695" s="18" t="s">
        <v>45279</v>
      </c>
      <c r="U10695" s="18"/>
      <c r="V10695" s="18" t="s">
        <v>45279</v>
      </c>
      <c r="W10695" s="18" t="s">
        <v>45280</v>
      </c>
      <c r="X10695" s="18" t="s">
        <v>35</v>
      </c>
      <c r="Y10695" s="18" t="s">
        <v>17171</v>
      </c>
      <c r="Z10695" s="18" t="s">
        <v>24637</v>
      </c>
      <c r="AA10695" s="21" t="str">
        <f>HYPERLINK("https://www.ncbi.nlm.nih.gov/nuccore/MN035541","NCBI Nucleotide")</f>
        <v>NCBI Nucleotide</v>
      </c>
    </row>
    <row r="10696" spans="1:27" x14ac:dyDescent="0.35">
      <c r="A10696">
        <v>1026986</v>
      </c>
      <c r="B10696">
        <v>10021</v>
      </c>
      <c r="C10696">
        <v>1</v>
      </c>
      <c r="D10696" s="17" t="s">
        <v>17166</v>
      </c>
      <c r="E10696" s="17"/>
      <c r="F10696" s="17" t="s">
        <v>17246</v>
      </c>
      <c r="G10696" s="17"/>
      <c r="H10696" s="17" t="s">
        <v>20919</v>
      </c>
      <c r="I10696" s="17"/>
      <c r="J10696" s="17" t="s">
        <v>21313</v>
      </c>
      <c r="K10696" s="17"/>
      <c r="L10696" s="17" t="s">
        <v>22378</v>
      </c>
      <c r="M10696" s="17"/>
      <c r="N10696" s="17" t="s">
        <v>22459</v>
      </c>
      <c r="O10696" s="17"/>
      <c r="P10696" s="17" t="s">
        <v>45008</v>
      </c>
      <c r="Q10696" s="17"/>
      <c r="R10696" s="25" t="str">
        <f>HYPERLINK("https://ictv.global/taxonomy/taxondetails?taxnode_id=202317246","Hodnevirus heteroagradaptatum")</f>
        <v>Hodnevirus heteroagradaptatum</v>
      </c>
      <c r="S10696" s="18" t="s">
        <v>30</v>
      </c>
      <c r="T10696" s="18" t="s">
        <v>45281</v>
      </c>
      <c r="U10696" s="18"/>
      <c r="V10696" s="18"/>
      <c r="W10696" s="18" t="s">
        <v>45282</v>
      </c>
      <c r="X10696" s="18" t="s">
        <v>35</v>
      </c>
      <c r="Y10696" s="18" t="s">
        <v>17171</v>
      </c>
      <c r="Z10696" s="18" t="s">
        <v>24637</v>
      </c>
      <c r="AA10696" s="21" t="str">
        <f>HYPERLINK("https://www.ncbi.nlm.nih.gov/nuccore/CASDWV010004152","NCBI Nucleotide")</f>
        <v>NCBI Nucleotide</v>
      </c>
    </row>
    <row r="10697" spans="1:27" x14ac:dyDescent="0.35">
      <c r="A10697">
        <v>1026987</v>
      </c>
      <c r="B10697">
        <v>10022</v>
      </c>
      <c r="C10697">
        <v>1</v>
      </c>
      <c r="D10697" s="17" t="s">
        <v>17166</v>
      </c>
      <c r="E10697" s="17"/>
      <c r="F10697" s="17" t="s">
        <v>17246</v>
      </c>
      <c r="G10697" s="17"/>
      <c r="H10697" s="17" t="s">
        <v>20919</v>
      </c>
      <c r="I10697" s="17"/>
      <c r="J10697" s="17" t="s">
        <v>21313</v>
      </c>
      <c r="K10697" s="17"/>
      <c r="L10697" s="17" t="s">
        <v>22378</v>
      </c>
      <c r="M10697" s="17"/>
      <c r="N10697" s="17" t="s">
        <v>22459</v>
      </c>
      <c r="O10697" s="17"/>
      <c r="P10697" s="17" t="s">
        <v>45008</v>
      </c>
      <c r="Q10697" s="17"/>
      <c r="R10697" s="25" t="str">
        <f>HYPERLINK("https://ictv.global/taxonomy/taxondetails?taxnode_id=202317247","Hodnevirus heteroagrivicinum")</f>
        <v>Hodnevirus heteroagrivicinum</v>
      </c>
      <c r="S10697" s="18" t="s">
        <v>30</v>
      </c>
      <c r="T10697" s="18" t="s">
        <v>45283</v>
      </c>
      <c r="U10697" s="18"/>
      <c r="V10697" s="18"/>
      <c r="W10697" s="18" t="s">
        <v>45284</v>
      </c>
      <c r="X10697" s="18" t="s">
        <v>35</v>
      </c>
      <c r="Y10697" s="18" t="s">
        <v>17171</v>
      </c>
      <c r="Z10697" s="18" t="s">
        <v>24637</v>
      </c>
      <c r="AA10697" s="21" t="str">
        <f>HYPERLINK("https://www.ncbi.nlm.nih.gov/nuccore/CASDWV010000490","NCBI Nucleotide")</f>
        <v>NCBI Nucleotide</v>
      </c>
    </row>
    <row r="10698" spans="1:27" x14ac:dyDescent="0.35">
      <c r="A10698">
        <v>1026988</v>
      </c>
      <c r="B10698">
        <v>10023</v>
      </c>
      <c r="C10698">
        <v>1</v>
      </c>
      <c r="D10698" s="17" t="s">
        <v>17166</v>
      </c>
      <c r="E10698" s="17"/>
      <c r="F10698" s="17" t="s">
        <v>17246</v>
      </c>
      <c r="G10698" s="17"/>
      <c r="H10698" s="17" t="s">
        <v>20919</v>
      </c>
      <c r="I10698" s="17"/>
      <c r="J10698" s="17" t="s">
        <v>21313</v>
      </c>
      <c r="K10698" s="17"/>
      <c r="L10698" s="17" t="s">
        <v>22378</v>
      </c>
      <c r="M10698" s="17"/>
      <c r="N10698" s="17" t="s">
        <v>22459</v>
      </c>
      <c r="O10698" s="17"/>
      <c r="P10698" s="17" t="s">
        <v>45008</v>
      </c>
      <c r="Q10698" s="17"/>
      <c r="R10698" s="25" t="str">
        <f>HYPERLINK("https://ictv.global/taxonomy/taxondetails?taxnode_id=202317248","Hodnevirus heterochthonohabitans")</f>
        <v>Hodnevirus heterochthonohabitans</v>
      </c>
      <c r="S10698" s="18" t="s">
        <v>30</v>
      </c>
      <c r="T10698" s="18" t="s">
        <v>45285</v>
      </c>
      <c r="U10698" s="18"/>
      <c r="V10698" s="18"/>
      <c r="W10698" s="18" t="s">
        <v>45286</v>
      </c>
      <c r="X10698" s="18" t="s">
        <v>35</v>
      </c>
      <c r="Y10698" s="18" t="s">
        <v>17171</v>
      </c>
      <c r="Z10698" s="18" t="s">
        <v>24637</v>
      </c>
      <c r="AA10698" s="21" t="str">
        <f>HYPERLINK("https://www.ncbi.nlm.nih.gov/nuccore/CASDWV010004680","NCBI Nucleotide")</f>
        <v>NCBI Nucleotide</v>
      </c>
    </row>
    <row r="10699" spans="1:27" x14ac:dyDescent="0.35">
      <c r="A10699">
        <v>1026989</v>
      </c>
      <c r="B10699">
        <v>10024</v>
      </c>
      <c r="C10699">
        <v>1</v>
      </c>
      <c r="D10699" s="17" t="s">
        <v>17166</v>
      </c>
      <c r="E10699" s="17"/>
      <c r="F10699" s="17" t="s">
        <v>17246</v>
      </c>
      <c r="G10699" s="17"/>
      <c r="H10699" s="17" t="s">
        <v>20919</v>
      </c>
      <c r="I10699" s="17"/>
      <c r="J10699" s="17" t="s">
        <v>21313</v>
      </c>
      <c r="K10699" s="17"/>
      <c r="L10699" s="17" t="s">
        <v>22378</v>
      </c>
      <c r="M10699" s="17"/>
      <c r="N10699" s="17" t="s">
        <v>22459</v>
      </c>
      <c r="O10699" s="17"/>
      <c r="P10699" s="17" t="s">
        <v>45008</v>
      </c>
      <c r="Q10699" s="17"/>
      <c r="R10699" s="25" t="str">
        <f>HYPERLINK("https://ictv.global/taxonomy/taxondetails?taxnode_id=202317249","Hodnevirus heteroedaphenecus")</f>
        <v>Hodnevirus heteroedaphenecus</v>
      </c>
      <c r="S10699" s="18" t="s">
        <v>30</v>
      </c>
      <c r="T10699" s="18" t="s">
        <v>45287</v>
      </c>
      <c r="U10699" s="18"/>
      <c r="V10699" s="18"/>
      <c r="W10699" s="18" t="s">
        <v>45288</v>
      </c>
      <c r="X10699" s="18" t="s">
        <v>35</v>
      </c>
      <c r="Y10699" s="18" t="s">
        <v>17171</v>
      </c>
      <c r="Z10699" s="18" t="s">
        <v>24637</v>
      </c>
      <c r="AA10699" s="21" t="str">
        <f>HYPERLINK("https://www.ncbi.nlm.nih.gov/nuccore/CASDWV010003602","NCBI Nucleotide")</f>
        <v>NCBI Nucleotide</v>
      </c>
    </row>
    <row r="10700" spans="1:27" x14ac:dyDescent="0.35">
      <c r="A10700">
        <v>1026990</v>
      </c>
      <c r="B10700">
        <v>10025</v>
      </c>
      <c r="C10700">
        <v>1</v>
      </c>
      <c r="D10700" s="17" t="s">
        <v>17166</v>
      </c>
      <c r="E10700" s="17"/>
      <c r="F10700" s="17" t="s">
        <v>17246</v>
      </c>
      <c r="G10700" s="17"/>
      <c r="H10700" s="17" t="s">
        <v>20919</v>
      </c>
      <c r="I10700" s="17"/>
      <c r="J10700" s="17" t="s">
        <v>21313</v>
      </c>
      <c r="K10700" s="17"/>
      <c r="L10700" s="17" t="s">
        <v>22378</v>
      </c>
      <c r="M10700" s="17"/>
      <c r="N10700" s="17" t="s">
        <v>22459</v>
      </c>
      <c r="O10700" s="17"/>
      <c r="P10700" s="17" t="s">
        <v>45008</v>
      </c>
      <c r="Q10700" s="17"/>
      <c r="R10700" s="25" t="str">
        <f>HYPERLINK("https://ictv.global/taxonomy/taxondetails?taxnode_id=202317250","Hodnevirus heteroedaphocola")</f>
        <v>Hodnevirus heteroedaphocola</v>
      </c>
      <c r="S10700" s="18" t="s">
        <v>30</v>
      </c>
      <c r="T10700" s="18" t="s">
        <v>45289</v>
      </c>
      <c r="U10700" s="18"/>
      <c r="V10700" s="18"/>
      <c r="W10700" s="18" t="s">
        <v>45290</v>
      </c>
      <c r="X10700" s="18" t="s">
        <v>35</v>
      </c>
      <c r="Y10700" s="18" t="s">
        <v>17171</v>
      </c>
      <c r="Z10700" s="18" t="s">
        <v>24637</v>
      </c>
      <c r="AA10700" s="21" t="str">
        <f>HYPERLINK("https://www.ncbi.nlm.nih.gov/nuccore/CASDWV010004744","NCBI Nucleotide")</f>
        <v>NCBI Nucleotide</v>
      </c>
    </row>
    <row r="10701" spans="1:27" x14ac:dyDescent="0.35">
      <c r="A10701">
        <v>1026991</v>
      </c>
      <c r="B10701">
        <v>10026</v>
      </c>
      <c r="C10701">
        <v>1</v>
      </c>
      <c r="D10701" s="17" t="s">
        <v>17166</v>
      </c>
      <c r="E10701" s="17"/>
      <c r="F10701" s="17" t="s">
        <v>17246</v>
      </c>
      <c r="G10701" s="17"/>
      <c r="H10701" s="17" t="s">
        <v>20919</v>
      </c>
      <c r="I10701" s="17"/>
      <c r="J10701" s="17" t="s">
        <v>21313</v>
      </c>
      <c r="K10701" s="17"/>
      <c r="L10701" s="17" t="s">
        <v>22378</v>
      </c>
      <c r="M10701" s="17"/>
      <c r="N10701" s="17" t="s">
        <v>22459</v>
      </c>
      <c r="O10701" s="17"/>
      <c r="P10701" s="17" t="s">
        <v>45008</v>
      </c>
      <c r="Q10701" s="17"/>
      <c r="R10701" s="25" t="str">
        <f>HYPERLINK("https://ictv.global/taxonomy/taxondetails?taxnode_id=202317251","Hodnevirus heterogeoenecus")</f>
        <v>Hodnevirus heterogeoenecus</v>
      </c>
      <c r="S10701" s="18" t="s">
        <v>30</v>
      </c>
      <c r="T10701" s="18" t="s">
        <v>45291</v>
      </c>
      <c r="U10701" s="18"/>
      <c r="V10701" s="18"/>
      <c r="W10701" s="18" t="s">
        <v>45292</v>
      </c>
      <c r="X10701" s="18" t="s">
        <v>35</v>
      </c>
      <c r="Y10701" s="18" t="s">
        <v>17171</v>
      </c>
      <c r="Z10701" s="18" t="s">
        <v>24637</v>
      </c>
      <c r="AA10701" s="21" t="str">
        <f>HYPERLINK("https://www.ncbi.nlm.nih.gov/nuccore/CASDWV010004737","NCBI Nucleotide")</f>
        <v>NCBI Nucleotide</v>
      </c>
    </row>
    <row r="10702" spans="1:27" x14ac:dyDescent="0.35">
      <c r="A10702">
        <v>1026992</v>
      </c>
      <c r="B10702">
        <v>10027</v>
      </c>
      <c r="C10702">
        <v>1</v>
      </c>
      <c r="D10702" s="17" t="s">
        <v>17166</v>
      </c>
      <c r="E10702" s="17"/>
      <c r="F10702" s="17" t="s">
        <v>17246</v>
      </c>
      <c r="G10702" s="17"/>
      <c r="H10702" s="17" t="s">
        <v>20919</v>
      </c>
      <c r="I10702" s="17"/>
      <c r="J10702" s="17" t="s">
        <v>21313</v>
      </c>
      <c r="K10702" s="17"/>
      <c r="L10702" s="17" t="s">
        <v>22378</v>
      </c>
      <c r="M10702" s="17"/>
      <c r="N10702" s="17" t="s">
        <v>22459</v>
      </c>
      <c r="O10702" s="17"/>
      <c r="P10702" s="17" t="s">
        <v>45008</v>
      </c>
      <c r="Q10702" s="17"/>
      <c r="R10702" s="25" t="str">
        <f>HYPERLINK("https://ictv.global/taxonomy/taxondetails?taxnode_id=202317252","Hodnevirus heterogeovicinum")</f>
        <v>Hodnevirus heterogeovicinum</v>
      </c>
      <c r="S10702" s="18" t="s">
        <v>30</v>
      </c>
      <c r="T10702" s="18" t="s">
        <v>45293</v>
      </c>
      <c r="U10702" s="18"/>
      <c r="V10702" s="18"/>
      <c r="W10702" s="18" t="s">
        <v>45294</v>
      </c>
      <c r="X10702" s="18" t="s">
        <v>35</v>
      </c>
      <c r="Y10702" s="18" t="s">
        <v>17171</v>
      </c>
      <c r="Z10702" s="18" t="s">
        <v>24637</v>
      </c>
      <c r="AA10702" s="21" t="str">
        <f>HYPERLINK("https://www.ncbi.nlm.nih.gov/nuccore/CASDWV010004227","NCBI Nucleotide")</f>
        <v>NCBI Nucleotide</v>
      </c>
    </row>
    <row r="10703" spans="1:27" x14ac:dyDescent="0.35">
      <c r="A10703">
        <v>1010158</v>
      </c>
      <c r="B10703">
        <v>10028</v>
      </c>
      <c r="C10703">
        <v>1</v>
      </c>
      <c r="D10703" s="17" t="s">
        <v>17166</v>
      </c>
      <c r="E10703" s="17"/>
      <c r="F10703" s="17" t="s">
        <v>17246</v>
      </c>
      <c r="G10703" s="17"/>
      <c r="H10703" s="17" t="s">
        <v>20919</v>
      </c>
      <c r="I10703" s="17"/>
      <c r="J10703" s="17" t="s">
        <v>21313</v>
      </c>
      <c r="K10703" s="17"/>
      <c r="L10703" s="17" t="s">
        <v>22378</v>
      </c>
      <c r="M10703" s="17"/>
      <c r="N10703" s="17" t="s">
        <v>22459</v>
      </c>
      <c r="O10703" s="17"/>
      <c r="P10703" s="17" t="s">
        <v>45008</v>
      </c>
      <c r="Q10703" s="17"/>
      <c r="R10703" s="25" t="str">
        <f>HYPERLINK("https://ictv.global/taxonomy/taxondetails?taxnode_id=202311416","Hodnevirus heterohumadaptatum")</f>
        <v>Hodnevirus heterohumadaptatum</v>
      </c>
      <c r="S10703" s="18" t="s">
        <v>30</v>
      </c>
      <c r="T10703" s="18" t="s">
        <v>23167</v>
      </c>
      <c r="U10703" s="18"/>
      <c r="V10703" s="18"/>
      <c r="W10703" s="18" t="s">
        <v>23168</v>
      </c>
      <c r="X10703" s="18" t="s">
        <v>35</v>
      </c>
      <c r="Y10703" s="18" t="s">
        <v>17171</v>
      </c>
      <c r="Z10703" s="18" t="s">
        <v>697</v>
      </c>
      <c r="AA10703" s="21" t="str">
        <f>HYPERLINK("https://www.ncbi.nlm.nih.gov/nuccore/BK014027","NCBI Nucleotide")</f>
        <v>NCBI Nucleotide</v>
      </c>
    </row>
    <row r="10704" spans="1:27" x14ac:dyDescent="0.35">
      <c r="A10704">
        <v>1026993</v>
      </c>
      <c r="B10704">
        <v>10029</v>
      </c>
      <c r="C10704">
        <v>1</v>
      </c>
      <c r="D10704" s="17" t="s">
        <v>17166</v>
      </c>
      <c r="E10704" s="17"/>
      <c r="F10704" s="17" t="s">
        <v>17246</v>
      </c>
      <c r="G10704" s="17"/>
      <c r="H10704" s="17" t="s">
        <v>20919</v>
      </c>
      <c r="I10704" s="17"/>
      <c r="J10704" s="17" t="s">
        <v>21313</v>
      </c>
      <c r="K10704" s="17"/>
      <c r="L10704" s="17" t="s">
        <v>22378</v>
      </c>
      <c r="M10704" s="17"/>
      <c r="N10704" s="17" t="s">
        <v>22459</v>
      </c>
      <c r="O10704" s="17"/>
      <c r="P10704" s="17" t="s">
        <v>45008</v>
      </c>
      <c r="Q10704" s="17"/>
      <c r="R10704" s="25" t="str">
        <f>HYPERLINK("https://ictv.global/taxonomy/taxondetails?taxnode_id=202317253","Hodnevirus heterohumenecus")</f>
        <v>Hodnevirus heterohumenecus</v>
      </c>
      <c r="S10704" s="18" t="s">
        <v>30</v>
      </c>
      <c r="T10704" s="18" t="s">
        <v>45295</v>
      </c>
      <c r="U10704" s="18"/>
      <c r="V10704" s="18"/>
      <c r="W10704" s="18" t="s">
        <v>45296</v>
      </c>
      <c r="X10704" s="18" t="s">
        <v>35</v>
      </c>
      <c r="Y10704" s="18" t="s">
        <v>17171</v>
      </c>
      <c r="Z10704" s="18" t="s">
        <v>24637</v>
      </c>
      <c r="AA10704" s="21" t="str">
        <f>HYPERLINK("https://www.ncbi.nlm.nih.gov/nuccore/CASDWV010003423","NCBI Nucleotide")</f>
        <v>NCBI Nucleotide</v>
      </c>
    </row>
    <row r="10705" spans="1:27" x14ac:dyDescent="0.35">
      <c r="A10705">
        <v>1026994</v>
      </c>
      <c r="B10705">
        <v>10030</v>
      </c>
      <c r="C10705">
        <v>1</v>
      </c>
      <c r="D10705" s="17" t="s">
        <v>17166</v>
      </c>
      <c r="E10705" s="17"/>
      <c r="F10705" s="17" t="s">
        <v>17246</v>
      </c>
      <c r="G10705" s="17"/>
      <c r="H10705" s="17" t="s">
        <v>20919</v>
      </c>
      <c r="I10705" s="17"/>
      <c r="J10705" s="17" t="s">
        <v>21313</v>
      </c>
      <c r="K10705" s="17"/>
      <c r="L10705" s="17" t="s">
        <v>22378</v>
      </c>
      <c r="M10705" s="17"/>
      <c r="N10705" s="17" t="s">
        <v>22459</v>
      </c>
      <c r="O10705" s="17"/>
      <c r="P10705" s="17" t="s">
        <v>45008</v>
      </c>
      <c r="Q10705" s="17"/>
      <c r="R10705" s="25" t="str">
        <f>HYPERLINK("https://ictv.global/taxonomy/taxondetails?taxnode_id=202317254","Hodnevirus heterohumicola")</f>
        <v>Hodnevirus heterohumicola</v>
      </c>
      <c r="S10705" s="18" t="s">
        <v>30</v>
      </c>
      <c r="T10705" s="18" t="s">
        <v>45297</v>
      </c>
      <c r="U10705" s="18"/>
      <c r="V10705" s="18"/>
      <c r="W10705" s="18" t="s">
        <v>45298</v>
      </c>
      <c r="X10705" s="18" t="s">
        <v>35</v>
      </c>
      <c r="Y10705" s="18" t="s">
        <v>17171</v>
      </c>
      <c r="Z10705" s="18" t="s">
        <v>24637</v>
      </c>
      <c r="AA10705" s="21" t="str">
        <f>HYPERLINK("https://www.ncbi.nlm.nih.gov/nuccore/CASDWV010001332","NCBI Nucleotide")</f>
        <v>NCBI Nucleotide</v>
      </c>
    </row>
    <row r="10706" spans="1:27" x14ac:dyDescent="0.35">
      <c r="A10706">
        <v>1026995</v>
      </c>
      <c r="B10706">
        <v>10031</v>
      </c>
      <c r="C10706">
        <v>1</v>
      </c>
      <c r="D10706" s="17" t="s">
        <v>17166</v>
      </c>
      <c r="E10706" s="17"/>
      <c r="F10706" s="17" t="s">
        <v>17246</v>
      </c>
      <c r="G10706" s="17"/>
      <c r="H10706" s="17" t="s">
        <v>20919</v>
      </c>
      <c r="I10706" s="17"/>
      <c r="J10706" s="17" t="s">
        <v>21313</v>
      </c>
      <c r="K10706" s="17"/>
      <c r="L10706" s="17" t="s">
        <v>22378</v>
      </c>
      <c r="M10706" s="17"/>
      <c r="N10706" s="17" t="s">
        <v>22459</v>
      </c>
      <c r="O10706" s="17"/>
      <c r="P10706" s="17" t="s">
        <v>45008</v>
      </c>
      <c r="Q10706" s="17"/>
      <c r="R10706" s="25" t="str">
        <f>HYPERLINK("https://ictv.global/taxonomy/taxondetails?taxnode_id=202317255","Hodnevirus heterosolihabitans")</f>
        <v>Hodnevirus heterosolihabitans</v>
      </c>
      <c r="S10706" s="18" t="s">
        <v>30</v>
      </c>
      <c r="T10706" s="18" t="s">
        <v>45299</v>
      </c>
      <c r="U10706" s="18"/>
      <c r="V10706" s="18"/>
      <c r="W10706" s="18" t="s">
        <v>45300</v>
      </c>
      <c r="X10706" s="18" t="s">
        <v>35</v>
      </c>
      <c r="Y10706" s="18" t="s">
        <v>17171</v>
      </c>
      <c r="Z10706" s="18" t="s">
        <v>24637</v>
      </c>
      <c r="AA10706" s="21" t="str">
        <f>HYPERLINK("https://www.ncbi.nlm.nih.gov/nuccore/CASDWV010004994","NCBI Nucleotide")</f>
        <v>NCBI Nucleotide</v>
      </c>
    </row>
    <row r="10707" spans="1:27" x14ac:dyDescent="0.35">
      <c r="A10707">
        <v>1026996</v>
      </c>
      <c r="B10707">
        <v>10032</v>
      </c>
      <c r="C10707">
        <v>1</v>
      </c>
      <c r="D10707" s="17" t="s">
        <v>17166</v>
      </c>
      <c r="E10707" s="17"/>
      <c r="F10707" s="17" t="s">
        <v>17246</v>
      </c>
      <c r="G10707" s="17"/>
      <c r="H10707" s="17" t="s">
        <v>20919</v>
      </c>
      <c r="I10707" s="17"/>
      <c r="J10707" s="17" t="s">
        <v>21313</v>
      </c>
      <c r="K10707" s="17"/>
      <c r="L10707" s="17" t="s">
        <v>22378</v>
      </c>
      <c r="M10707" s="17"/>
      <c r="N10707" s="17" t="s">
        <v>22459</v>
      </c>
      <c r="O10707" s="17"/>
      <c r="P10707" s="17" t="s">
        <v>45008</v>
      </c>
      <c r="Q10707" s="17"/>
      <c r="R10707" s="25" t="str">
        <f>HYPERLINK("https://ictv.global/taxonomy/taxondetails?taxnode_id=202317256","Hodnevirus heteroterrivivens")</f>
        <v>Hodnevirus heteroterrivivens</v>
      </c>
      <c r="S10707" s="18" t="s">
        <v>30</v>
      </c>
      <c r="T10707" s="18" t="s">
        <v>45301</v>
      </c>
      <c r="U10707" s="18"/>
      <c r="V10707" s="18"/>
      <c r="W10707" s="18" t="s">
        <v>45302</v>
      </c>
      <c r="X10707" s="18" t="s">
        <v>35</v>
      </c>
      <c r="Y10707" s="18" t="s">
        <v>17171</v>
      </c>
      <c r="Z10707" s="18" t="s">
        <v>24637</v>
      </c>
      <c r="AA10707" s="21" t="str">
        <f>HYPERLINK("https://www.ncbi.nlm.nih.gov/nuccore/CASDWV010004482","NCBI Nucleotide")</f>
        <v>NCBI Nucleotide</v>
      </c>
    </row>
    <row r="10708" spans="1:27" x14ac:dyDescent="0.35">
      <c r="A10708">
        <v>1009816</v>
      </c>
      <c r="B10708">
        <v>10033</v>
      </c>
      <c r="C10708">
        <v>1</v>
      </c>
      <c r="D10708" s="17" t="s">
        <v>17166</v>
      </c>
      <c r="E10708" s="17"/>
      <c r="F10708" s="17" t="s">
        <v>17246</v>
      </c>
      <c r="G10708" s="17"/>
      <c r="H10708" s="17" t="s">
        <v>20919</v>
      </c>
      <c r="I10708" s="17"/>
      <c r="J10708" s="17" t="s">
        <v>21313</v>
      </c>
      <c r="K10708" s="17"/>
      <c r="L10708" s="17" t="s">
        <v>22378</v>
      </c>
      <c r="M10708" s="17"/>
      <c r="N10708" s="17" t="s">
        <v>22459</v>
      </c>
      <c r="O10708" s="17"/>
      <c r="P10708" s="17" t="s">
        <v>45008</v>
      </c>
      <c r="Q10708" s="17"/>
      <c r="R10708" s="25" t="str">
        <f>HYPERLINK("https://ictv.global/taxonomy/taxondetails?taxnode_id=202310982","Hodnevirus humadaptatum")</f>
        <v>Hodnevirus humadaptatum</v>
      </c>
      <c r="S10708" s="18" t="s">
        <v>30</v>
      </c>
      <c r="T10708" s="18" t="s">
        <v>22462</v>
      </c>
      <c r="U10708" s="18"/>
      <c r="V10708" s="18"/>
      <c r="W10708" s="18" t="s">
        <v>22463</v>
      </c>
      <c r="X10708" s="18" t="s">
        <v>35</v>
      </c>
      <c r="Y10708" s="18" t="s">
        <v>17171</v>
      </c>
      <c r="Z10708" s="18" t="s">
        <v>697</v>
      </c>
      <c r="AA10708" s="21" t="str">
        <f>HYPERLINK("https://www.ncbi.nlm.nih.gov/nuccore/BK013543","NCBI Nucleotide")</f>
        <v>NCBI Nucleotide</v>
      </c>
    </row>
    <row r="10709" spans="1:27" x14ac:dyDescent="0.35">
      <c r="A10709">
        <v>1009817</v>
      </c>
      <c r="B10709">
        <v>10034</v>
      </c>
      <c r="C10709">
        <v>1</v>
      </c>
      <c r="D10709" s="17" t="s">
        <v>17166</v>
      </c>
      <c r="E10709" s="17"/>
      <c r="F10709" s="17" t="s">
        <v>17246</v>
      </c>
      <c r="G10709" s="17"/>
      <c r="H10709" s="17" t="s">
        <v>20919</v>
      </c>
      <c r="I10709" s="17"/>
      <c r="J10709" s="17" t="s">
        <v>21313</v>
      </c>
      <c r="K10709" s="17"/>
      <c r="L10709" s="17" t="s">
        <v>22378</v>
      </c>
      <c r="M10709" s="17"/>
      <c r="N10709" s="17" t="s">
        <v>22459</v>
      </c>
      <c r="O10709" s="17"/>
      <c r="P10709" s="17" t="s">
        <v>45008</v>
      </c>
      <c r="Q10709" s="17"/>
      <c r="R10709" s="25" t="str">
        <f>HYPERLINK("https://ictv.global/taxonomy/taxondetails?taxnode_id=202310981","Hodnevirus humenecus")</f>
        <v>Hodnevirus humenecus</v>
      </c>
      <c r="S10709" s="18" t="s">
        <v>30</v>
      </c>
      <c r="T10709" s="18" t="s">
        <v>22464</v>
      </c>
      <c r="U10709" s="18"/>
      <c r="V10709" s="18"/>
      <c r="W10709" s="18" t="s">
        <v>22465</v>
      </c>
      <c r="X10709" s="18" t="s">
        <v>35</v>
      </c>
      <c r="Y10709" s="18" t="s">
        <v>17171</v>
      </c>
      <c r="Z10709" s="18" t="s">
        <v>697</v>
      </c>
      <c r="AA10709" s="21" t="str">
        <f>HYPERLINK("https://www.ncbi.nlm.nih.gov/nuccore/BK013818","NCBI Nucleotide")</f>
        <v>NCBI Nucleotide</v>
      </c>
    </row>
    <row r="10710" spans="1:27" x14ac:dyDescent="0.35">
      <c r="A10710">
        <v>1009818</v>
      </c>
      <c r="B10710">
        <v>10035</v>
      </c>
      <c r="C10710">
        <v>1</v>
      </c>
      <c r="D10710" s="17" t="s">
        <v>17166</v>
      </c>
      <c r="E10710" s="17"/>
      <c r="F10710" s="17" t="s">
        <v>17246</v>
      </c>
      <c r="G10710" s="17"/>
      <c r="H10710" s="17" t="s">
        <v>20919</v>
      </c>
      <c r="I10710" s="17"/>
      <c r="J10710" s="17" t="s">
        <v>21313</v>
      </c>
      <c r="K10710" s="17"/>
      <c r="L10710" s="17" t="s">
        <v>22378</v>
      </c>
      <c r="M10710" s="17"/>
      <c r="N10710" s="17" t="s">
        <v>22459</v>
      </c>
      <c r="O10710" s="17"/>
      <c r="P10710" s="17" t="s">
        <v>45008</v>
      </c>
      <c r="Q10710" s="17"/>
      <c r="R10710" s="25" t="str">
        <f>HYPERLINK("https://ictv.global/taxonomy/taxondetails?taxnode_id=202310984","Hodnevirus humicola")</f>
        <v>Hodnevirus humicola</v>
      </c>
      <c r="S10710" s="18" t="s">
        <v>30</v>
      </c>
      <c r="T10710" s="18" t="s">
        <v>22466</v>
      </c>
      <c r="U10710" s="18"/>
      <c r="V10710" s="18"/>
      <c r="W10710" s="18" t="s">
        <v>22467</v>
      </c>
      <c r="X10710" s="18" t="s">
        <v>35</v>
      </c>
      <c r="Y10710" s="18" t="s">
        <v>17171</v>
      </c>
      <c r="Z10710" s="18" t="s">
        <v>697</v>
      </c>
      <c r="AA10710" s="21" t="str">
        <f>HYPERLINK("https://www.ncbi.nlm.nih.gov/nuccore/BK014038","NCBI Nucleotide")</f>
        <v>NCBI Nucleotide</v>
      </c>
    </row>
    <row r="10711" spans="1:27" x14ac:dyDescent="0.35">
      <c r="A10711">
        <v>1009967</v>
      </c>
      <c r="B10711">
        <v>10036</v>
      </c>
      <c r="C10711">
        <v>1</v>
      </c>
      <c r="D10711" s="17" t="s">
        <v>17166</v>
      </c>
      <c r="E10711" s="17"/>
      <c r="F10711" s="17" t="s">
        <v>17246</v>
      </c>
      <c r="G10711" s="17"/>
      <c r="H10711" s="17" t="s">
        <v>20919</v>
      </c>
      <c r="I10711" s="17"/>
      <c r="J10711" s="17" t="s">
        <v>21313</v>
      </c>
      <c r="K10711" s="17"/>
      <c r="L10711" s="17" t="s">
        <v>22378</v>
      </c>
      <c r="M10711" s="17"/>
      <c r="N10711" s="17" t="s">
        <v>22459</v>
      </c>
      <c r="O10711" s="17"/>
      <c r="P10711" s="17" t="s">
        <v>45008</v>
      </c>
      <c r="Q10711" s="17"/>
      <c r="R10711" s="25" t="str">
        <f>HYPERLINK("https://ictv.global/taxonomy/taxondetails?taxnode_id=202311214","Hodnevirus humihabitans")</f>
        <v>Hodnevirus humihabitans</v>
      </c>
      <c r="S10711" s="18" t="s">
        <v>30</v>
      </c>
      <c r="T10711" s="18" t="s">
        <v>22773</v>
      </c>
      <c r="U10711" s="18"/>
      <c r="V10711" s="18"/>
      <c r="W10711" s="18" t="s">
        <v>22774</v>
      </c>
      <c r="X10711" s="18" t="s">
        <v>35</v>
      </c>
      <c r="Y10711" s="18" t="s">
        <v>17171</v>
      </c>
      <c r="Z10711" s="18" t="s">
        <v>697</v>
      </c>
      <c r="AA10711" s="21" t="str">
        <f>HYPERLINK("https://www.ncbi.nlm.nih.gov/nuccore/BK013458","NCBI Nucleotide")</f>
        <v>NCBI Nucleotide</v>
      </c>
    </row>
    <row r="10712" spans="1:27" x14ac:dyDescent="0.35">
      <c r="A10712">
        <v>1009968</v>
      </c>
      <c r="B10712">
        <v>10037</v>
      </c>
      <c r="C10712">
        <v>1</v>
      </c>
      <c r="D10712" s="17" t="s">
        <v>17166</v>
      </c>
      <c r="E10712" s="17"/>
      <c r="F10712" s="17" t="s">
        <v>17246</v>
      </c>
      <c r="G10712" s="17"/>
      <c r="H10712" s="17" t="s">
        <v>20919</v>
      </c>
      <c r="I10712" s="17"/>
      <c r="J10712" s="17" t="s">
        <v>21313</v>
      </c>
      <c r="K10712" s="17"/>
      <c r="L10712" s="17" t="s">
        <v>22378</v>
      </c>
      <c r="M10712" s="17"/>
      <c r="N10712" s="17" t="s">
        <v>22459</v>
      </c>
      <c r="O10712" s="17"/>
      <c r="P10712" s="17" t="s">
        <v>45008</v>
      </c>
      <c r="Q10712" s="17"/>
      <c r="R10712" s="25" t="str">
        <f>HYPERLINK("https://ictv.global/taxonomy/taxondetails?taxnode_id=202311215","Hodnevirus humivicinum")</f>
        <v>Hodnevirus humivicinum</v>
      </c>
      <c r="S10712" s="18" t="s">
        <v>30</v>
      </c>
      <c r="T10712" s="18" t="s">
        <v>22775</v>
      </c>
      <c r="U10712" s="18"/>
      <c r="V10712" s="18"/>
      <c r="W10712" s="18" t="s">
        <v>22776</v>
      </c>
      <c r="X10712" s="18" t="s">
        <v>35</v>
      </c>
      <c r="Y10712" s="18" t="s">
        <v>17171</v>
      </c>
      <c r="Z10712" s="18" t="s">
        <v>697</v>
      </c>
      <c r="AA10712" s="21" t="str">
        <f>HYPERLINK("https://www.ncbi.nlm.nih.gov/nuccore/BK013909","NCBI Nucleotide")</f>
        <v>NCBI Nucleotide</v>
      </c>
    </row>
    <row r="10713" spans="1:27" x14ac:dyDescent="0.35">
      <c r="A10713">
        <v>1009969</v>
      </c>
      <c r="B10713">
        <v>10038</v>
      </c>
      <c r="C10713">
        <v>1</v>
      </c>
      <c r="D10713" s="17" t="s">
        <v>17166</v>
      </c>
      <c r="E10713" s="17"/>
      <c r="F10713" s="17" t="s">
        <v>17246</v>
      </c>
      <c r="G10713" s="17"/>
      <c r="H10713" s="17" t="s">
        <v>20919</v>
      </c>
      <c r="I10713" s="17"/>
      <c r="J10713" s="17" t="s">
        <v>21313</v>
      </c>
      <c r="K10713" s="17"/>
      <c r="L10713" s="17" t="s">
        <v>22378</v>
      </c>
      <c r="M10713" s="17"/>
      <c r="N10713" s="17" t="s">
        <v>22459</v>
      </c>
      <c r="O10713" s="17"/>
      <c r="P10713" s="17" t="s">
        <v>45008</v>
      </c>
      <c r="Q10713" s="17"/>
      <c r="R10713" s="25" t="str">
        <f>HYPERLINK("https://ictv.global/taxonomy/taxondetails?taxnode_id=202311216","Hodnevirus humivivens")</f>
        <v>Hodnevirus humivivens</v>
      </c>
      <c r="S10713" s="18" t="s">
        <v>30</v>
      </c>
      <c r="T10713" s="18" t="s">
        <v>22777</v>
      </c>
      <c r="U10713" s="18"/>
      <c r="V10713" s="18"/>
      <c r="W10713" s="18" t="s">
        <v>22778</v>
      </c>
      <c r="X10713" s="18" t="s">
        <v>35</v>
      </c>
      <c r="Y10713" s="18" t="s">
        <v>17171</v>
      </c>
      <c r="Z10713" s="18" t="s">
        <v>697</v>
      </c>
      <c r="AA10713" s="21" t="str">
        <f>HYPERLINK("https://www.ncbi.nlm.nih.gov/nuccore/BK013976","NCBI Nucleotide")</f>
        <v>NCBI Nucleotide</v>
      </c>
    </row>
    <row r="10714" spans="1:27" x14ac:dyDescent="0.35">
      <c r="A10714">
        <v>1010161</v>
      </c>
      <c r="B10714">
        <v>10039</v>
      </c>
      <c r="C10714">
        <v>1</v>
      </c>
      <c r="D10714" s="17" t="s">
        <v>17166</v>
      </c>
      <c r="E10714" s="17"/>
      <c r="F10714" s="17" t="s">
        <v>17246</v>
      </c>
      <c r="G10714" s="17"/>
      <c r="H10714" s="17" t="s">
        <v>20919</v>
      </c>
      <c r="I10714" s="17"/>
      <c r="J10714" s="17" t="s">
        <v>21313</v>
      </c>
      <c r="K10714" s="17"/>
      <c r="L10714" s="17" t="s">
        <v>22378</v>
      </c>
      <c r="M10714" s="17"/>
      <c r="N10714" s="17" t="s">
        <v>22459</v>
      </c>
      <c r="O10714" s="17"/>
      <c r="P10714" s="17" t="s">
        <v>45008</v>
      </c>
      <c r="Q10714" s="17"/>
      <c r="R10714" s="25" t="str">
        <f>HYPERLINK("https://ictv.global/taxonomy/taxondetails?taxnode_id=202311421","Hodnevirus isoagradaptatum")</f>
        <v>Hodnevirus isoagradaptatum</v>
      </c>
      <c r="S10714" s="18" t="s">
        <v>30</v>
      </c>
      <c r="T10714" s="18" t="s">
        <v>23171</v>
      </c>
      <c r="U10714" s="18"/>
      <c r="V10714" s="18"/>
      <c r="W10714" s="18" t="s">
        <v>23172</v>
      </c>
      <c r="X10714" s="18" t="s">
        <v>35</v>
      </c>
      <c r="Y10714" s="18" t="s">
        <v>17171</v>
      </c>
      <c r="Z10714" s="18" t="s">
        <v>697</v>
      </c>
      <c r="AA10714" s="21" t="str">
        <f>HYPERLINK("https://www.ncbi.nlm.nih.gov/nuccore/BK013919","NCBI Nucleotide")</f>
        <v>NCBI Nucleotide</v>
      </c>
    </row>
    <row r="10715" spans="1:27" x14ac:dyDescent="0.35">
      <c r="A10715">
        <v>1010071</v>
      </c>
      <c r="B10715">
        <v>10040</v>
      </c>
      <c r="C10715">
        <v>1</v>
      </c>
      <c r="D10715" s="17" t="s">
        <v>17166</v>
      </c>
      <c r="E10715" s="17"/>
      <c r="F10715" s="17" t="s">
        <v>17246</v>
      </c>
      <c r="G10715" s="17"/>
      <c r="H10715" s="17" t="s">
        <v>20919</v>
      </c>
      <c r="I10715" s="17"/>
      <c r="J10715" s="17" t="s">
        <v>21313</v>
      </c>
      <c r="K10715" s="17"/>
      <c r="L10715" s="17" t="s">
        <v>22378</v>
      </c>
      <c r="M10715" s="17"/>
      <c r="N10715" s="17" t="s">
        <v>22459</v>
      </c>
      <c r="O10715" s="17"/>
      <c r="P10715" s="17" t="s">
        <v>45008</v>
      </c>
      <c r="Q10715" s="17"/>
      <c r="R10715" s="25" t="str">
        <f>HYPERLINK("https://ictv.global/taxonomy/taxondetails?taxnode_id=202311299","Hodnevirus isoagricola")</f>
        <v>Hodnevirus isoagricola</v>
      </c>
      <c r="S10715" s="18" t="s">
        <v>30</v>
      </c>
      <c r="T10715" s="18" t="s">
        <v>22984</v>
      </c>
      <c r="U10715" s="18"/>
      <c r="V10715" s="18"/>
      <c r="W10715" s="18" t="s">
        <v>22985</v>
      </c>
      <c r="X10715" s="18" t="s">
        <v>35</v>
      </c>
      <c r="Y10715" s="18" t="s">
        <v>17171</v>
      </c>
      <c r="Z10715" s="18" t="s">
        <v>697</v>
      </c>
      <c r="AA10715" s="21" t="str">
        <f>HYPERLINK("https://www.ncbi.nlm.nih.gov/nuccore/BK013937","NCBI Nucleotide")</f>
        <v>NCBI Nucleotide</v>
      </c>
    </row>
    <row r="10716" spans="1:27" x14ac:dyDescent="0.35">
      <c r="A10716">
        <v>1026997</v>
      </c>
      <c r="B10716">
        <v>10041</v>
      </c>
      <c r="C10716">
        <v>1</v>
      </c>
      <c r="D10716" s="17" t="s">
        <v>17166</v>
      </c>
      <c r="E10716" s="17"/>
      <c r="F10716" s="17" t="s">
        <v>17246</v>
      </c>
      <c r="G10716" s="17"/>
      <c r="H10716" s="17" t="s">
        <v>20919</v>
      </c>
      <c r="I10716" s="17"/>
      <c r="J10716" s="17" t="s">
        <v>21313</v>
      </c>
      <c r="K10716" s="17"/>
      <c r="L10716" s="17" t="s">
        <v>22378</v>
      </c>
      <c r="M10716" s="17"/>
      <c r="N10716" s="17" t="s">
        <v>22459</v>
      </c>
      <c r="O10716" s="17"/>
      <c r="P10716" s="17" t="s">
        <v>45008</v>
      </c>
      <c r="Q10716" s="17"/>
      <c r="R10716" s="25" t="str">
        <f>HYPERLINK("https://ictv.global/taxonomy/taxondetails?taxnode_id=202317257","Hodnevirus isoagrihabitans")</f>
        <v>Hodnevirus isoagrihabitans</v>
      </c>
      <c r="S10716" s="18" t="s">
        <v>30</v>
      </c>
      <c r="T10716" s="18" t="s">
        <v>45303</v>
      </c>
      <c r="U10716" s="18"/>
      <c r="V10716" s="18"/>
      <c r="W10716" s="18" t="s">
        <v>45304</v>
      </c>
      <c r="X10716" s="18" t="s">
        <v>35</v>
      </c>
      <c r="Y10716" s="18" t="s">
        <v>17171</v>
      </c>
      <c r="Z10716" s="18" t="s">
        <v>24637</v>
      </c>
      <c r="AA10716" s="21" t="str">
        <f>HYPERLINK("https://www.ncbi.nlm.nih.gov/nuccore/CASDWV010002506","NCBI Nucleotide")</f>
        <v>NCBI Nucleotide</v>
      </c>
    </row>
    <row r="10717" spans="1:27" x14ac:dyDescent="0.35">
      <c r="A10717">
        <v>1010164</v>
      </c>
      <c r="B10717">
        <v>10042</v>
      </c>
      <c r="C10717">
        <v>1</v>
      </c>
      <c r="D10717" s="17" t="s">
        <v>17166</v>
      </c>
      <c r="E10717" s="17"/>
      <c r="F10717" s="17" t="s">
        <v>17246</v>
      </c>
      <c r="G10717" s="17"/>
      <c r="H10717" s="17" t="s">
        <v>20919</v>
      </c>
      <c r="I10717" s="17"/>
      <c r="J10717" s="17" t="s">
        <v>21313</v>
      </c>
      <c r="K10717" s="17"/>
      <c r="L10717" s="17" t="s">
        <v>22378</v>
      </c>
      <c r="M10717" s="17"/>
      <c r="N10717" s="17" t="s">
        <v>22459</v>
      </c>
      <c r="O10717" s="17"/>
      <c r="P10717" s="17" t="s">
        <v>45008</v>
      </c>
      <c r="Q10717" s="17"/>
      <c r="R10717" s="25" t="str">
        <f>HYPERLINK("https://ictv.global/taxonomy/taxondetails?taxnode_id=202311425","Hodnevirus isoagrivicinum")</f>
        <v>Hodnevirus isoagrivicinum</v>
      </c>
      <c r="S10717" s="18" t="s">
        <v>30</v>
      </c>
      <c r="T10717" s="18" t="s">
        <v>23178</v>
      </c>
      <c r="U10717" s="18"/>
      <c r="V10717" s="18"/>
      <c r="W10717" s="18" t="s">
        <v>23179</v>
      </c>
      <c r="X10717" s="18" t="s">
        <v>35</v>
      </c>
      <c r="Y10717" s="18" t="s">
        <v>17171</v>
      </c>
      <c r="Z10717" s="18" t="s">
        <v>697</v>
      </c>
      <c r="AA10717" s="21" t="str">
        <f>HYPERLINK("https://www.ncbi.nlm.nih.gov/nuccore/BK013923","NCBI Nucleotide")</f>
        <v>NCBI Nucleotide</v>
      </c>
    </row>
    <row r="10718" spans="1:27" x14ac:dyDescent="0.35">
      <c r="A10718">
        <v>1026998</v>
      </c>
      <c r="B10718">
        <v>10043</v>
      </c>
      <c r="C10718">
        <v>1</v>
      </c>
      <c r="D10718" s="17" t="s">
        <v>17166</v>
      </c>
      <c r="E10718" s="17"/>
      <c r="F10718" s="17" t="s">
        <v>17246</v>
      </c>
      <c r="G10718" s="17"/>
      <c r="H10718" s="17" t="s">
        <v>20919</v>
      </c>
      <c r="I10718" s="17"/>
      <c r="J10718" s="17" t="s">
        <v>21313</v>
      </c>
      <c r="K10718" s="17"/>
      <c r="L10718" s="17" t="s">
        <v>22378</v>
      </c>
      <c r="M10718" s="17"/>
      <c r="N10718" s="17" t="s">
        <v>22459</v>
      </c>
      <c r="O10718" s="17"/>
      <c r="P10718" s="17" t="s">
        <v>45008</v>
      </c>
      <c r="Q10718" s="17"/>
      <c r="R10718" s="25" t="str">
        <f>HYPERLINK("https://ictv.global/taxonomy/taxondetails?taxnode_id=202317258","Hodnevirus isoagrivivens")</f>
        <v>Hodnevirus isoagrivivens</v>
      </c>
      <c r="S10718" s="18" t="s">
        <v>30</v>
      </c>
      <c r="T10718" s="18" t="s">
        <v>45305</v>
      </c>
      <c r="U10718" s="18"/>
      <c r="V10718" s="18"/>
      <c r="W10718" s="18" t="s">
        <v>45306</v>
      </c>
      <c r="X10718" s="18" t="s">
        <v>35</v>
      </c>
      <c r="Y10718" s="18" t="s">
        <v>17171</v>
      </c>
      <c r="Z10718" s="18" t="s">
        <v>24637</v>
      </c>
      <c r="AA10718" s="21" t="str">
        <f>HYPERLINK("https://www.ncbi.nlm.nih.gov/nuccore/CASDWV010003991","NCBI Nucleotide")</f>
        <v>NCBI Nucleotide</v>
      </c>
    </row>
    <row r="10719" spans="1:27" x14ac:dyDescent="0.35">
      <c r="A10719">
        <v>1026999</v>
      </c>
      <c r="B10719">
        <v>10044</v>
      </c>
      <c r="C10719">
        <v>1</v>
      </c>
      <c r="D10719" s="17" t="s">
        <v>17166</v>
      </c>
      <c r="E10719" s="17"/>
      <c r="F10719" s="17" t="s">
        <v>17246</v>
      </c>
      <c r="G10719" s="17"/>
      <c r="H10719" s="17" t="s">
        <v>20919</v>
      </c>
      <c r="I10719" s="17"/>
      <c r="J10719" s="17" t="s">
        <v>21313</v>
      </c>
      <c r="K10719" s="17"/>
      <c r="L10719" s="17" t="s">
        <v>22378</v>
      </c>
      <c r="M10719" s="17"/>
      <c r="N10719" s="17" t="s">
        <v>22459</v>
      </c>
      <c r="O10719" s="17"/>
      <c r="P10719" s="17" t="s">
        <v>45008</v>
      </c>
      <c r="Q10719" s="17"/>
      <c r="R10719" s="25" t="str">
        <f>HYPERLINK("https://ictv.global/taxonomy/taxondetails?taxnode_id=202317259","Hodnevirus isoarvadaptatum")</f>
        <v>Hodnevirus isoarvadaptatum</v>
      </c>
      <c r="S10719" s="18" t="s">
        <v>30</v>
      </c>
      <c r="T10719" s="18" t="s">
        <v>45307</v>
      </c>
      <c r="U10719" s="18"/>
      <c r="V10719" s="18"/>
      <c r="W10719" s="18" t="s">
        <v>45308</v>
      </c>
      <c r="X10719" s="18" t="s">
        <v>35</v>
      </c>
      <c r="Y10719" s="18" t="s">
        <v>17171</v>
      </c>
      <c r="Z10719" s="18" t="s">
        <v>24637</v>
      </c>
      <c r="AA10719" s="21" t="str">
        <f>HYPERLINK("https://www.ncbi.nlm.nih.gov/nuccore/CASDWV010002432","NCBI Nucleotide")</f>
        <v>NCBI Nucleotide</v>
      </c>
    </row>
    <row r="10720" spans="1:27" x14ac:dyDescent="0.35">
      <c r="A10720">
        <v>1027000</v>
      </c>
      <c r="B10720">
        <v>10045</v>
      </c>
      <c r="C10720">
        <v>1</v>
      </c>
      <c r="D10720" s="17" t="s">
        <v>17166</v>
      </c>
      <c r="E10720" s="17"/>
      <c r="F10720" s="17" t="s">
        <v>17246</v>
      </c>
      <c r="G10720" s="17"/>
      <c r="H10720" s="17" t="s">
        <v>20919</v>
      </c>
      <c r="I10720" s="17"/>
      <c r="J10720" s="17" t="s">
        <v>21313</v>
      </c>
      <c r="K10720" s="17"/>
      <c r="L10720" s="17" t="s">
        <v>22378</v>
      </c>
      <c r="M10720" s="17"/>
      <c r="N10720" s="17" t="s">
        <v>22459</v>
      </c>
      <c r="O10720" s="17"/>
      <c r="P10720" s="17" t="s">
        <v>45008</v>
      </c>
      <c r="Q10720" s="17"/>
      <c r="R10720" s="25" t="str">
        <f>HYPERLINK("https://ictv.global/taxonomy/taxondetails?taxnode_id=202317260","Hodnevirus isoarvivivens")</f>
        <v>Hodnevirus isoarvivivens</v>
      </c>
      <c r="S10720" s="18" t="s">
        <v>30</v>
      </c>
      <c r="T10720" s="18" t="s">
        <v>45309</v>
      </c>
      <c r="U10720" s="18"/>
      <c r="V10720" s="18"/>
      <c r="W10720" s="18" t="s">
        <v>45310</v>
      </c>
      <c r="X10720" s="18" t="s">
        <v>35</v>
      </c>
      <c r="Y10720" s="18" t="s">
        <v>17171</v>
      </c>
      <c r="Z10720" s="18" t="s">
        <v>24637</v>
      </c>
      <c r="AA10720" s="21" t="str">
        <f>HYPERLINK("https://www.ncbi.nlm.nih.gov/nuccore/CASDWV010000115","NCBI Nucleotide")</f>
        <v>NCBI Nucleotide</v>
      </c>
    </row>
    <row r="10721" spans="1:27" x14ac:dyDescent="0.35">
      <c r="A10721">
        <v>1027001</v>
      </c>
      <c r="B10721">
        <v>10046</v>
      </c>
      <c r="C10721">
        <v>1</v>
      </c>
      <c r="D10721" s="17" t="s">
        <v>17166</v>
      </c>
      <c r="E10721" s="17"/>
      <c r="F10721" s="17" t="s">
        <v>17246</v>
      </c>
      <c r="G10721" s="17"/>
      <c r="H10721" s="17" t="s">
        <v>20919</v>
      </c>
      <c r="I10721" s="17"/>
      <c r="J10721" s="17" t="s">
        <v>21313</v>
      </c>
      <c r="K10721" s="17"/>
      <c r="L10721" s="17" t="s">
        <v>22378</v>
      </c>
      <c r="M10721" s="17"/>
      <c r="N10721" s="17" t="s">
        <v>22459</v>
      </c>
      <c r="O10721" s="17"/>
      <c r="P10721" s="17" t="s">
        <v>45008</v>
      </c>
      <c r="Q10721" s="17"/>
      <c r="R10721" s="25" t="str">
        <f>HYPERLINK("https://ictv.global/taxonomy/taxondetails?taxnode_id=202317261","Hodnevirus isochorenecus")</f>
        <v>Hodnevirus isochorenecus</v>
      </c>
      <c r="S10721" s="18" t="s">
        <v>30</v>
      </c>
      <c r="T10721" s="18" t="s">
        <v>45311</v>
      </c>
      <c r="U10721" s="18"/>
      <c r="V10721" s="18"/>
      <c r="W10721" s="18" t="s">
        <v>45312</v>
      </c>
      <c r="X10721" s="18" t="s">
        <v>35</v>
      </c>
      <c r="Y10721" s="18" t="s">
        <v>17171</v>
      </c>
      <c r="Z10721" s="18" t="s">
        <v>24637</v>
      </c>
      <c r="AA10721" s="21" t="str">
        <f>HYPERLINK("https://www.ncbi.nlm.nih.gov/nuccore/CASDWV010000116","NCBI Nucleotide")</f>
        <v>NCBI Nucleotide</v>
      </c>
    </row>
    <row r="10722" spans="1:27" x14ac:dyDescent="0.35">
      <c r="A10722">
        <v>1027002</v>
      </c>
      <c r="B10722">
        <v>10047</v>
      </c>
      <c r="C10722">
        <v>1</v>
      </c>
      <c r="D10722" s="17" t="s">
        <v>17166</v>
      </c>
      <c r="E10722" s="17"/>
      <c r="F10722" s="17" t="s">
        <v>17246</v>
      </c>
      <c r="G10722" s="17"/>
      <c r="H10722" s="17" t="s">
        <v>20919</v>
      </c>
      <c r="I10722" s="17"/>
      <c r="J10722" s="17" t="s">
        <v>21313</v>
      </c>
      <c r="K10722" s="17"/>
      <c r="L10722" s="17" t="s">
        <v>22378</v>
      </c>
      <c r="M10722" s="17"/>
      <c r="N10722" s="17" t="s">
        <v>22459</v>
      </c>
      <c r="O10722" s="17"/>
      <c r="P10722" s="17" t="s">
        <v>45008</v>
      </c>
      <c r="Q10722" s="17"/>
      <c r="R10722" s="25" t="str">
        <f>HYPERLINK("https://ictv.global/taxonomy/taxondetails?taxnode_id=202317262","Hodnevirus isochorocola")</f>
        <v>Hodnevirus isochorocola</v>
      </c>
      <c r="S10722" s="18" t="s">
        <v>30</v>
      </c>
      <c r="T10722" s="18" t="s">
        <v>45313</v>
      </c>
      <c r="U10722" s="18"/>
      <c r="V10722" s="18"/>
      <c r="W10722" s="18" t="s">
        <v>45314</v>
      </c>
      <c r="X10722" s="18" t="s">
        <v>35</v>
      </c>
      <c r="Y10722" s="18" t="s">
        <v>17171</v>
      </c>
      <c r="Z10722" s="18" t="s">
        <v>24637</v>
      </c>
      <c r="AA10722" s="21" t="str">
        <f>HYPERLINK("https://www.ncbi.nlm.nih.gov/nuccore/CASDWV010003569","NCBI Nucleotide")</f>
        <v>NCBI Nucleotide</v>
      </c>
    </row>
    <row r="10723" spans="1:27" x14ac:dyDescent="0.35">
      <c r="A10723">
        <v>1027003</v>
      </c>
      <c r="B10723">
        <v>10048</v>
      </c>
      <c r="C10723">
        <v>1</v>
      </c>
      <c r="D10723" s="17" t="s">
        <v>17166</v>
      </c>
      <c r="E10723" s="17"/>
      <c r="F10723" s="17" t="s">
        <v>17246</v>
      </c>
      <c r="G10723" s="17"/>
      <c r="H10723" s="17" t="s">
        <v>20919</v>
      </c>
      <c r="I10723" s="17"/>
      <c r="J10723" s="17" t="s">
        <v>21313</v>
      </c>
      <c r="K10723" s="17"/>
      <c r="L10723" s="17" t="s">
        <v>22378</v>
      </c>
      <c r="M10723" s="17"/>
      <c r="N10723" s="17" t="s">
        <v>22459</v>
      </c>
      <c r="O10723" s="17"/>
      <c r="P10723" s="17" t="s">
        <v>45008</v>
      </c>
      <c r="Q10723" s="17"/>
      <c r="R10723" s="25" t="str">
        <f>HYPERLINK("https://ictv.global/taxonomy/taxondetails?taxnode_id=202317263","Hodnevirus isochorovicinum")</f>
        <v>Hodnevirus isochorovicinum</v>
      </c>
      <c r="S10723" s="18" t="s">
        <v>30</v>
      </c>
      <c r="T10723" s="18" t="s">
        <v>45315</v>
      </c>
      <c r="U10723" s="18"/>
      <c r="V10723" s="18"/>
      <c r="W10723" s="18" t="s">
        <v>45316</v>
      </c>
      <c r="X10723" s="18" t="s">
        <v>35</v>
      </c>
      <c r="Y10723" s="18" t="s">
        <v>17171</v>
      </c>
      <c r="Z10723" s="18" t="s">
        <v>24637</v>
      </c>
      <c r="AA10723" s="21" t="str">
        <f>HYPERLINK("https://www.ncbi.nlm.nih.gov/nuccore/CASDWV010000007","NCBI Nucleotide")</f>
        <v>NCBI Nucleotide</v>
      </c>
    </row>
    <row r="10724" spans="1:27" x14ac:dyDescent="0.35">
      <c r="A10724">
        <v>1027004</v>
      </c>
      <c r="B10724">
        <v>10049</v>
      </c>
      <c r="C10724">
        <v>1</v>
      </c>
      <c r="D10724" s="17" t="s">
        <v>17166</v>
      </c>
      <c r="E10724" s="17"/>
      <c r="F10724" s="17" t="s">
        <v>17246</v>
      </c>
      <c r="G10724" s="17"/>
      <c r="H10724" s="17" t="s">
        <v>20919</v>
      </c>
      <c r="I10724" s="17"/>
      <c r="J10724" s="17" t="s">
        <v>21313</v>
      </c>
      <c r="K10724" s="17"/>
      <c r="L10724" s="17" t="s">
        <v>22378</v>
      </c>
      <c r="M10724" s="17"/>
      <c r="N10724" s="17" t="s">
        <v>22459</v>
      </c>
      <c r="O10724" s="17"/>
      <c r="P10724" s="17" t="s">
        <v>45008</v>
      </c>
      <c r="Q10724" s="17"/>
      <c r="R10724" s="25" t="str">
        <f>HYPERLINK("https://ictv.global/taxonomy/taxondetails?taxnode_id=202317264","Hodnevirus isochorovivens")</f>
        <v>Hodnevirus isochorovivens</v>
      </c>
      <c r="S10724" s="18" t="s">
        <v>30</v>
      </c>
      <c r="T10724" s="18" t="s">
        <v>45317</v>
      </c>
      <c r="U10724" s="18"/>
      <c r="V10724" s="18"/>
      <c r="W10724" s="18" t="s">
        <v>45318</v>
      </c>
      <c r="X10724" s="18" t="s">
        <v>35</v>
      </c>
      <c r="Y10724" s="18" t="s">
        <v>17171</v>
      </c>
      <c r="Z10724" s="18" t="s">
        <v>24637</v>
      </c>
      <c r="AA10724" s="21" t="str">
        <f>HYPERLINK("https://www.ncbi.nlm.nih.gov/nuccore/CASDWV010002153","NCBI Nucleotide")</f>
        <v>NCBI Nucleotide</v>
      </c>
    </row>
    <row r="10725" spans="1:27" x14ac:dyDescent="0.35">
      <c r="A10725">
        <v>1027005</v>
      </c>
      <c r="B10725">
        <v>10050</v>
      </c>
      <c r="C10725">
        <v>1</v>
      </c>
      <c r="D10725" s="17" t="s">
        <v>17166</v>
      </c>
      <c r="E10725" s="17"/>
      <c r="F10725" s="17" t="s">
        <v>17246</v>
      </c>
      <c r="G10725" s="17"/>
      <c r="H10725" s="17" t="s">
        <v>20919</v>
      </c>
      <c r="I10725" s="17"/>
      <c r="J10725" s="17" t="s">
        <v>21313</v>
      </c>
      <c r="K10725" s="17"/>
      <c r="L10725" s="17" t="s">
        <v>22378</v>
      </c>
      <c r="M10725" s="17"/>
      <c r="N10725" s="17" t="s">
        <v>22459</v>
      </c>
      <c r="O10725" s="17"/>
      <c r="P10725" s="17" t="s">
        <v>45008</v>
      </c>
      <c r="Q10725" s="17"/>
      <c r="R10725" s="25" t="str">
        <f>HYPERLINK("https://ictv.global/taxonomy/taxondetails?taxnode_id=202317265","Hodnevirus isochthonadaptatum")</f>
        <v>Hodnevirus isochthonadaptatum</v>
      </c>
      <c r="S10725" s="18" t="s">
        <v>30</v>
      </c>
      <c r="T10725" s="18" t="s">
        <v>45319</v>
      </c>
      <c r="U10725" s="18"/>
      <c r="V10725" s="18"/>
      <c r="W10725" s="18" t="s">
        <v>45320</v>
      </c>
      <c r="X10725" s="18" t="s">
        <v>35</v>
      </c>
      <c r="Y10725" s="18" t="s">
        <v>17171</v>
      </c>
      <c r="Z10725" s="18" t="s">
        <v>24637</v>
      </c>
      <c r="AA10725" s="21" t="str">
        <f>HYPERLINK("https://www.ncbi.nlm.nih.gov/nuccore/CASDWV010004159","NCBI Nucleotide")</f>
        <v>NCBI Nucleotide</v>
      </c>
    </row>
    <row r="10726" spans="1:27" x14ac:dyDescent="0.35">
      <c r="A10726">
        <v>1027006</v>
      </c>
      <c r="B10726">
        <v>10051</v>
      </c>
      <c r="C10726">
        <v>1</v>
      </c>
      <c r="D10726" s="17" t="s">
        <v>17166</v>
      </c>
      <c r="E10726" s="17"/>
      <c r="F10726" s="17" t="s">
        <v>17246</v>
      </c>
      <c r="G10726" s="17"/>
      <c r="H10726" s="17" t="s">
        <v>20919</v>
      </c>
      <c r="I10726" s="17"/>
      <c r="J10726" s="17" t="s">
        <v>21313</v>
      </c>
      <c r="K10726" s="17"/>
      <c r="L10726" s="17" t="s">
        <v>22378</v>
      </c>
      <c r="M10726" s="17"/>
      <c r="N10726" s="17" t="s">
        <v>22459</v>
      </c>
      <c r="O10726" s="17"/>
      <c r="P10726" s="17" t="s">
        <v>45008</v>
      </c>
      <c r="Q10726" s="17"/>
      <c r="R10726" s="25" t="str">
        <f>HYPERLINK("https://ictv.global/taxonomy/taxondetails?taxnode_id=202317266","Hodnevirus isochthonenecus")</f>
        <v>Hodnevirus isochthonenecus</v>
      </c>
      <c r="S10726" s="18" t="s">
        <v>30</v>
      </c>
      <c r="T10726" s="18" t="s">
        <v>45321</v>
      </c>
      <c r="U10726" s="18"/>
      <c r="V10726" s="18"/>
      <c r="W10726" s="18" t="s">
        <v>45322</v>
      </c>
      <c r="X10726" s="18" t="s">
        <v>35</v>
      </c>
      <c r="Y10726" s="18" t="s">
        <v>17171</v>
      </c>
      <c r="Z10726" s="18" t="s">
        <v>24637</v>
      </c>
      <c r="AA10726" s="21" t="str">
        <f>HYPERLINK("https://www.ncbi.nlm.nih.gov/nuccore/CASDWV010003313","NCBI Nucleotide")</f>
        <v>NCBI Nucleotide</v>
      </c>
    </row>
    <row r="10727" spans="1:27" x14ac:dyDescent="0.35">
      <c r="A10727">
        <v>1027007</v>
      </c>
      <c r="B10727">
        <v>10052</v>
      </c>
      <c r="C10727">
        <v>1</v>
      </c>
      <c r="D10727" s="17" t="s">
        <v>17166</v>
      </c>
      <c r="E10727" s="17"/>
      <c r="F10727" s="17" t="s">
        <v>17246</v>
      </c>
      <c r="G10727" s="17"/>
      <c r="H10727" s="17" t="s">
        <v>20919</v>
      </c>
      <c r="I10727" s="17"/>
      <c r="J10727" s="17" t="s">
        <v>21313</v>
      </c>
      <c r="K10727" s="17"/>
      <c r="L10727" s="17" t="s">
        <v>22378</v>
      </c>
      <c r="M10727" s="17"/>
      <c r="N10727" s="17" t="s">
        <v>22459</v>
      </c>
      <c r="O10727" s="17"/>
      <c r="P10727" s="17" t="s">
        <v>45008</v>
      </c>
      <c r="Q10727" s="17"/>
      <c r="R10727" s="25" t="str">
        <f>HYPERLINK("https://ictv.global/taxonomy/taxondetails?taxnode_id=202317267","Hodnevirus isochthonocola")</f>
        <v>Hodnevirus isochthonocola</v>
      </c>
      <c r="S10727" s="18" t="s">
        <v>30</v>
      </c>
      <c r="T10727" s="18" t="s">
        <v>45323</v>
      </c>
      <c r="U10727" s="18"/>
      <c r="V10727" s="18"/>
      <c r="W10727" s="18" t="s">
        <v>45324</v>
      </c>
      <c r="X10727" s="18" t="s">
        <v>35</v>
      </c>
      <c r="Y10727" s="18" t="s">
        <v>17171</v>
      </c>
      <c r="Z10727" s="18" t="s">
        <v>24637</v>
      </c>
      <c r="AA10727" s="21" t="str">
        <f>HYPERLINK("https://www.ncbi.nlm.nih.gov/nuccore/CASDWV010000515","NCBI Nucleotide")</f>
        <v>NCBI Nucleotide</v>
      </c>
    </row>
    <row r="10728" spans="1:27" x14ac:dyDescent="0.35">
      <c r="A10728">
        <v>1009949</v>
      </c>
      <c r="B10728">
        <v>10053</v>
      </c>
      <c r="C10728">
        <v>1</v>
      </c>
      <c r="D10728" s="17" t="s">
        <v>17166</v>
      </c>
      <c r="E10728" s="17"/>
      <c r="F10728" s="17" t="s">
        <v>17246</v>
      </c>
      <c r="G10728" s="17"/>
      <c r="H10728" s="17" t="s">
        <v>20919</v>
      </c>
      <c r="I10728" s="17"/>
      <c r="J10728" s="17" t="s">
        <v>21313</v>
      </c>
      <c r="K10728" s="17"/>
      <c r="L10728" s="17" t="s">
        <v>22378</v>
      </c>
      <c r="M10728" s="17"/>
      <c r="N10728" s="17" t="s">
        <v>22459</v>
      </c>
      <c r="O10728" s="17"/>
      <c r="P10728" s="17" t="s">
        <v>45008</v>
      </c>
      <c r="Q10728" s="17"/>
      <c r="R10728" s="25" t="str">
        <f>HYPERLINK("https://ictv.global/taxonomy/taxondetails?taxnode_id=202311189","Hodnevirus isochthonohabitans")</f>
        <v>Hodnevirus isochthonohabitans</v>
      </c>
      <c r="S10728" s="18" t="s">
        <v>30</v>
      </c>
      <c r="T10728" s="18" t="s">
        <v>22739</v>
      </c>
      <c r="U10728" s="18"/>
      <c r="V10728" s="18"/>
      <c r="W10728" s="18" t="s">
        <v>22740</v>
      </c>
      <c r="X10728" s="18" t="s">
        <v>35</v>
      </c>
      <c r="Y10728" s="18" t="s">
        <v>17171</v>
      </c>
      <c r="Z10728" s="18" t="s">
        <v>697</v>
      </c>
      <c r="AA10728" s="21" t="str">
        <f>HYPERLINK("https://www.ncbi.nlm.nih.gov/nuccore/BK014022","NCBI Nucleotide")</f>
        <v>NCBI Nucleotide</v>
      </c>
    </row>
    <row r="10729" spans="1:27" x14ac:dyDescent="0.35">
      <c r="A10729">
        <v>1027008</v>
      </c>
      <c r="B10729">
        <v>10054</v>
      </c>
      <c r="C10729">
        <v>1</v>
      </c>
      <c r="D10729" s="17" t="s">
        <v>17166</v>
      </c>
      <c r="E10729" s="17"/>
      <c r="F10729" s="17" t="s">
        <v>17246</v>
      </c>
      <c r="G10729" s="17"/>
      <c r="H10729" s="17" t="s">
        <v>20919</v>
      </c>
      <c r="I10729" s="17"/>
      <c r="J10729" s="17" t="s">
        <v>21313</v>
      </c>
      <c r="K10729" s="17"/>
      <c r="L10729" s="17" t="s">
        <v>22378</v>
      </c>
      <c r="M10729" s="17"/>
      <c r="N10729" s="17" t="s">
        <v>22459</v>
      </c>
      <c r="O10729" s="17"/>
      <c r="P10729" s="17" t="s">
        <v>45008</v>
      </c>
      <c r="Q10729" s="17"/>
      <c r="R10729" s="25" t="str">
        <f>HYPERLINK("https://ictv.global/taxonomy/taxondetails?taxnode_id=202317268","Hodnevirus isochthonovicinum")</f>
        <v>Hodnevirus isochthonovicinum</v>
      </c>
      <c r="S10729" s="18" t="s">
        <v>30</v>
      </c>
      <c r="T10729" s="18" t="s">
        <v>45325</v>
      </c>
      <c r="U10729" s="18"/>
      <c r="V10729" s="18"/>
      <c r="W10729" s="18" t="s">
        <v>45326</v>
      </c>
      <c r="X10729" s="18" t="s">
        <v>35</v>
      </c>
      <c r="Y10729" s="18" t="s">
        <v>17171</v>
      </c>
      <c r="Z10729" s="18" t="s">
        <v>24637</v>
      </c>
      <c r="AA10729" s="21" t="str">
        <f>HYPERLINK("https://www.ncbi.nlm.nih.gov/nuccore/CASDWV010001278","NCBI Nucleotide")</f>
        <v>NCBI Nucleotide</v>
      </c>
    </row>
    <row r="10730" spans="1:27" x14ac:dyDescent="0.35">
      <c r="A10730">
        <v>1027009</v>
      </c>
      <c r="B10730">
        <v>10055</v>
      </c>
      <c r="C10730">
        <v>1</v>
      </c>
      <c r="D10730" s="17" t="s">
        <v>17166</v>
      </c>
      <c r="E10730" s="17"/>
      <c r="F10730" s="17" t="s">
        <v>17246</v>
      </c>
      <c r="G10730" s="17"/>
      <c r="H10730" s="17" t="s">
        <v>20919</v>
      </c>
      <c r="I10730" s="17"/>
      <c r="J10730" s="17" t="s">
        <v>21313</v>
      </c>
      <c r="K10730" s="17"/>
      <c r="L10730" s="17" t="s">
        <v>22378</v>
      </c>
      <c r="M10730" s="17"/>
      <c r="N10730" s="17" t="s">
        <v>22459</v>
      </c>
      <c r="O10730" s="17"/>
      <c r="P10730" s="17" t="s">
        <v>45008</v>
      </c>
      <c r="Q10730" s="17"/>
      <c r="R10730" s="25" t="str">
        <f>HYPERLINK("https://ictv.global/taxonomy/taxondetails?taxnode_id=202317269","Hodnevirus isochthonovivens")</f>
        <v>Hodnevirus isochthonovivens</v>
      </c>
      <c r="S10730" s="18" t="s">
        <v>30</v>
      </c>
      <c r="T10730" s="18" t="s">
        <v>45327</v>
      </c>
      <c r="U10730" s="18"/>
      <c r="V10730" s="18"/>
      <c r="W10730" s="18" t="s">
        <v>45328</v>
      </c>
      <c r="X10730" s="18" t="s">
        <v>35</v>
      </c>
      <c r="Y10730" s="18" t="s">
        <v>17171</v>
      </c>
      <c r="Z10730" s="18" t="s">
        <v>24637</v>
      </c>
      <c r="AA10730" s="21" t="str">
        <f>HYPERLINK("https://www.ncbi.nlm.nih.gov/nuccore/CASDWV010001682","NCBI Nucleotide")</f>
        <v>NCBI Nucleotide</v>
      </c>
    </row>
    <row r="10731" spans="1:27" x14ac:dyDescent="0.35">
      <c r="A10731">
        <v>1027010</v>
      </c>
      <c r="B10731">
        <v>10056</v>
      </c>
      <c r="C10731">
        <v>1</v>
      </c>
      <c r="D10731" s="17" t="s">
        <v>17166</v>
      </c>
      <c r="E10731" s="17"/>
      <c r="F10731" s="17" t="s">
        <v>17246</v>
      </c>
      <c r="G10731" s="17"/>
      <c r="H10731" s="17" t="s">
        <v>20919</v>
      </c>
      <c r="I10731" s="17"/>
      <c r="J10731" s="17" t="s">
        <v>21313</v>
      </c>
      <c r="K10731" s="17"/>
      <c r="L10731" s="17" t="s">
        <v>22378</v>
      </c>
      <c r="M10731" s="17"/>
      <c r="N10731" s="17" t="s">
        <v>22459</v>
      </c>
      <c r="O10731" s="17"/>
      <c r="P10731" s="17" t="s">
        <v>45008</v>
      </c>
      <c r="Q10731" s="17"/>
      <c r="R10731" s="25" t="str">
        <f>HYPERLINK("https://ictv.global/taxonomy/taxondetails?taxnode_id=202317270","Hodnevirus isoedaphadaptatum")</f>
        <v>Hodnevirus isoedaphadaptatum</v>
      </c>
      <c r="S10731" s="18" t="s">
        <v>30</v>
      </c>
      <c r="T10731" s="18" t="s">
        <v>45329</v>
      </c>
      <c r="U10731" s="18"/>
      <c r="V10731" s="18"/>
      <c r="W10731" s="18" t="s">
        <v>45330</v>
      </c>
      <c r="X10731" s="18" t="s">
        <v>35</v>
      </c>
      <c r="Y10731" s="18" t="s">
        <v>17171</v>
      </c>
      <c r="Z10731" s="18" t="s">
        <v>24637</v>
      </c>
      <c r="AA10731" s="21" t="str">
        <f>HYPERLINK("https://www.ncbi.nlm.nih.gov/nuccore/CASDWV010001813","NCBI Nucleotide")</f>
        <v>NCBI Nucleotide</v>
      </c>
    </row>
    <row r="10732" spans="1:27" x14ac:dyDescent="0.35">
      <c r="A10732">
        <v>1010100</v>
      </c>
      <c r="B10732">
        <v>10057</v>
      </c>
      <c r="C10732">
        <v>1</v>
      </c>
      <c r="D10732" s="17" t="s">
        <v>17166</v>
      </c>
      <c r="E10732" s="17"/>
      <c r="F10732" s="17" t="s">
        <v>17246</v>
      </c>
      <c r="G10732" s="17"/>
      <c r="H10732" s="17" t="s">
        <v>20919</v>
      </c>
      <c r="I10732" s="17"/>
      <c r="J10732" s="17" t="s">
        <v>21313</v>
      </c>
      <c r="K10732" s="17"/>
      <c r="L10732" s="17" t="s">
        <v>22378</v>
      </c>
      <c r="M10732" s="17"/>
      <c r="N10732" s="17" t="s">
        <v>22459</v>
      </c>
      <c r="O10732" s="17"/>
      <c r="P10732" s="17" t="s">
        <v>45008</v>
      </c>
      <c r="Q10732" s="17"/>
      <c r="R10732" s="25" t="str">
        <f>HYPERLINK("https://ictv.global/taxonomy/taxondetails?taxnode_id=202311330","Hodnevirus isoedaphenecus")</f>
        <v>Hodnevirus isoedaphenecus</v>
      </c>
      <c r="S10732" s="18" t="s">
        <v>30</v>
      </c>
      <c r="T10732" s="18" t="s">
        <v>23050</v>
      </c>
      <c r="U10732" s="18"/>
      <c r="V10732" s="18"/>
      <c r="W10732" s="18" t="s">
        <v>23051</v>
      </c>
      <c r="X10732" s="18" t="s">
        <v>35</v>
      </c>
      <c r="Y10732" s="18" t="s">
        <v>17171</v>
      </c>
      <c r="Z10732" s="18" t="s">
        <v>697</v>
      </c>
      <c r="AA10732" s="21" t="str">
        <f>HYPERLINK("https://www.ncbi.nlm.nih.gov/nuccore/BK014030","NCBI Nucleotide")</f>
        <v>NCBI Nucleotide</v>
      </c>
    </row>
    <row r="10733" spans="1:27" x14ac:dyDescent="0.35">
      <c r="A10733">
        <v>1010101</v>
      </c>
      <c r="B10733">
        <v>10058</v>
      </c>
      <c r="C10733">
        <v>1</v>
      </c>
      <c r="D10733" s="17" t="s">
        <v>17166</v>
      </c>
      <c r="E10733" s="17"/>
      <c r="F10733" s="17" t="s">
        <v>17246</v>
      </c>
      <c r="G10733" s="17"/>
      <c r="H10733" s="17" t="s">
        <v>20919</v>
      </c>
      <c r="I10733" s="17"/>
      <c r="J10733" s="17" t="s">
        <v>21313</v>
      </c>
      <c r="K10733" s="17"/>
      <c r="L10733" s="17" t="s">
        <v>22378</v>
      </c>
      <c r="M10733" s="17"/>
      <c r="N10733" s="17" t="s">
        <v>22459</v>
      </c>
      <c r="O10733" s="17"/>
      <c r="P10733" s="17" t="s">
        <v>45008</v>
      </c>
      <c r="Q10733" s="17"/>
      <c r="R10733" s="25" t="str">
        <f>HYPERLINK("https://ictv.global/taxonomy/taxondetails?taxnode_id=202311333","Hodnevirus isoedaphocola")</f>
        <v>Hodnevirus isoedaphocola</v>
      </c>
      <c r="S10733" s="18" t="s">
        <v>30</v>
      </c>
      <c r="T10733" s="18" t="s">
        <v>23052</v>
      </c>
      <c r="U10733" s="18"/>
      <c r="V10733" s="18"/>
      <c r="W10733" s="18" t="s">
        <v>23053</v>
      </c>
      <c r="X10733" s="18" t="s">
        <v>35</v>
      </c>
      <c r="Y10733" s="18" t="s">
        <v>17171</v>
      </c>
      <c r="Z10733" s="18" t="s">
        <v>697</v>
      </c>
      <c r="AA10733" s="21" t="str">
        <f>HYPERLINK("https://www.ncbi.nlm.nih.gov/nuccore/BK013857","NCBI Nucleotide")</f>
        <v>NCBI Nucleotide</v>
      </c>
    </row>
    <row r="10734" spans="1:27" x14ac:dyDescent="0.35">
      <c r="A10734">
        <v>1027011</v>
      </c>
      <c r="B10734">
        <v>10059</v>
      </c>
      <c r="C10734">
        <v>1</v>
      </c>
      <c r="D10734" s="17" t="s">
        <v>17166</v>
      </c>
      <c r="E10734" s="17"/>
      <c r="F10734" s="17" t="s">
        <v>17246</v>
      </c>
      <c r="G10734" s="17"/>
      <c r="H10734" s="17" t="s">
        <v>20919</v>
      </c>
      <c r="I10734" s="17"/>
      <c r="J10734" s="17" t="s">
        <v>21313</v>
      </c>
      <c r="K10734" s="17"/>
      <c r="L10734" s="17" t="s">
        <v>22378</v>
      </c>
      <c r="M10734" s="17"/>
      <c r="N10734" s="17" t="s">
        <v>22459</v>
      </c>
      <c r="O10734" s="17"/>
      <c r="P10734" s="17" t="s">
        <v>45008</v>
      </c>
      <c r="Q10734" s="17"/>
      <c r="R10734" s="25" t="str">
        <f>HYPERLINK("https://ictv.global/taxonomy/taxondetails?taxnode_id=202317271","Hodnevirus isogeocola")</f>
        <v>Hodnevirus isogeocola</v>
      </c>
      <c r="S10734" s="18" t="s">
        <v>30</v>
      </c>
      <c r="T10734" s="18" t="s">
        <v>45331</v>
      </c>
      <c r="U10734" s="18"/>
      <c r="V10734" s="18"/>
      <c r="W10734" s="18" t="s">
        <v>45332</v>
      </c>
      <c r="X10734" s="18" t="s">
        <v>35</v>
      </c>
      <c r="Y10734" s="18" t="s">
        <v>17171</v>
      </c>
      <c r="Z10734" s="18" t="s">
        <v>24637</v>
      </c>
      <c r="AA10734" s="21" t="str">
        <f>HYPERLINK("https://www.ncbi.nlm.nih.gov/nuccore/CASDWV010001363","NCBI Nucleotide")</f>
        <v>NCBI Nucleotide</v>
      </c>
    </row>
    <row r="10735" spans="1:27" x14ac:dyDescent="0.35">
      <c r="A10735">
        <v>1009960</v>
      </c>
      <c r="B10735">
        <v>10060</v>
      </c>
      <c r="C10735">
        <v>1</v>
      </c>
      <c r="D10735" s="17" t="s">
        <v>17166</v>
      </c>
      <c r="E10735" s="17"/>
      <c r="F10735" s="17" t="s">
        <v>17246</v>
      </c>
      <c r="G10735" s="17"/>
      <c r="H10735" s="17" t="s">
        <v>20919</v>
      </c>
      <c r="I10735" s="17"/>
      <c r="J10735" s="17" t="s">
        <v>21313</v>
      </c>
      <c r="K10735" s="17"/>
      <c r="L10735" s="17" t="s">
        <v>22378</v>
      </c>
      <c r="M10735" s="17"/>
      <c r="N10735" s="17" t="s">
        <v>22459</v>
      </c>
      <c r="O10735" s="17"/>
      <c r="P10735" s="17" t="s">
        <v>45008</v>
      </c>
      <c r="Q10735" s="17"/>
      <c r="R10735" s="25" t="str">
        <f>HYPERLINK("https://ictv.global/taxonomy/taxondetails?taxnode_id=202311194","Hodnevirus isogeoenecus")</f>
        <v>Hodnevirus isogeoenecus</v>
      </c>
      <c r="S10735" s="18" t="s">
        <v>30</v>
      </c>
      <c r="T10735" s="18" t="s">
        <v>22759</v>
      </c>
      <c r="U10735" s="18"/>
      <c r="V10735" s="18"/>
      <c r="W10735" s="18" t="s">
        <v>22760</v>
      </c>
      <c r="X10735" s="18" t="s">
        <v>35</v>
      </c>
      <c r="Y10735" s="18" t="s">
        <v>17171</v>
      </c>
      <c r="Z10735" s="18" t="s">
        <v>697</v>
      </c>
      <c r="AA10735" s="21" t="str">
        <f>HYPERLINK("https://www.ncbi.nlm.nih.gov/nuccore/BK013461","NCBI Nucleotide")</f>
        <v>NCBI Nucleotide</v>
      </c>
    </row>
    <row r="10736" spans="1:27" x14ac:dyDescent="0.35">
      <c r="A10736">
        <v>1027012</v>
      </c>
      <c r="B10736">
        <v>10061</v>
      </c>
      <c r="C10736">
        <v>1</v>
      </c>
      <c r="D10736" s="17" t="s">
        <v>17166</v>
      </c>
      <c r="E10736" s="17"/>
      <c r="F10736" s="17" t="s">
        <v>17246</v>
      </c>
      <c r="G10736" s="17"/>
      <c r="H10736" s="17" t="s">
        <v>20919</v>
      </c>
      <c r="I10736" s="17"/>
      <c r="J10736" s="17" t="s">
        <v>21313</v>
      </c>
      <c r="K10736" s="17"/>
      <c r="L10736" s="17" t="s">
        <v>22378</v>
      </c>
      <c r="M10736" s="17"/>
      <c r="N10736" s="17" t="s">
        <v>22459</v>
      </c>
      <c r="O10736" s="17"/>
      <c r="P10736" s="17" t="s">
        <v>45008</v>
      </c>
      <c r="Q10736" s="17"/>
      <c r="R10736" s="25" t="str">
        <f>HYPERLINK("https://ictv.global/taxonomy/taxondetails?taxnode_id=202317272","Hodnevirus isogeohabitans")</f>
        <v>Hodnevirus isogeohabitans</v>
      </c>
      <c r="S10736" s="18" t="s">
        <v>30</v>
      </c>
      <c r="T10736" s="18" t="s">
        <v>45333</v>
      </c>
      <c r="U10736" s="18"/>
      <c r="V10736" s="18"/>
      <c r="W10736" s="18" t="s">
        <v>45334</v>
      </c>
      <c r="X10736" s="18" t="s">
        <v>35</v>
      </c>
      <c r="Y10736" s="18" t="s">
        <v>17171</v>
      </c>
      <c r="Z10736" s="18" t="s">
        <v>24637</v>
      </c>
      <c r="AA10736" s="21" t="str">
        <f>HYPERLINK("https://www.ncbi.nlm.nih.gov/nuccore/CASDWV010001087","NCBI Nucleotide")</f>
        <v>NCBI Nucleotide</v>
      </c>
    </row>
    <row r="10737" spans="1:27" x14ac:dyDescent="0.35">
      <c r="A10737">
        <v>1010063</v>
      </c>
      <c r="B10737">
        <v>10062</v>
      </c>
      <c r="C10737">
        <v>1</v>
      </c>
      <c r="D10737" s="17" t="s">
        <v>17166</v>
      </c>
      <c r="E10737" s="17"/>
      <c r="F10737" s="17" t="s">
        <v>17246</v>
      </c>
      <c r="G10737" s="17"/>
      <c r="H10737" s="17" t="s">
        <v>20919</v>
      </c>
      <c r="I10737" s="17"/>
      <c r="J10737" s="17" t="s">
        <v>21313</v>
      </c>
      <c r="K10737" s="17"/>
      <c r="L10737" s="17" t="s">
        <v>22378</v>
      </c>
      <c r="M10737" s="17"/>
      <c r="N10737" s="17" t="s">
        <v>22459</v>
      </c>
      <c r="O10737" s="17"/>
      <c r="P10737" s="17" t="s">
        <v>45008</v>
      </c>
      <c r="Q10737" s="17"/>
      <c r="R10737" s="25" t="str">
        <f>HYPERLINK("https://ictv.global/taxonomy/taxondetails?taxnode_id=202311279","Hodnevirus isogeovicinum")</f>
        <v>Hodnevirus isogeovicinum</v>
      </c>
      <c r="S10737" s="18" t="s">
        <v>30</v>
      </c>
      <c r="T10737" s="18" t="s">
        <v>22966</v>
      </c>
      <c r="U10737" s="18"/>
      <c r="V10737" s="18"/>
      <c r="W10737" s="18" t="s">
        <v>22967</v>
      </c>
      <c r="X10737" s="18" t="s">
        <v>35</v>
      </c>
      <c r="Y10737" s="18" t="s">
        <v>17171</v>
      </c>
      <c r="Z10737" s="18" t="s">
        <v>697</v>
      </c>
      <c r="AA10737" s="21" t="str">
        <f>HYPERLINK("https://www.ncbi.nlm.nih.gov/nuccore/BK013798","NCBI Nucleotide")</f>
        <v>NCBI Nucleotide</v>
      </c>
    </row>
    <row r="10738" spans="1:27" x14ac:dyDescent="0.35">
      <c r="A10738">
        <v>1027013</v>
      </c>
      <c r="B10738">
        <v>10063</v>
      </c>
      <c r="C10738">
        <v>1</v>
      </c>
      <c r="D10738" s="17" t="s">
        <v>17166</v>
      </c>
      <c r="E10738" s="17"/>
      <c r="F10738" s="17" t="s">
        <v>17246</v>
      </c>
      <c r="G10738" s="17"/>
      <c r="H10738" s="17" t="s">
        <v>20919</v>
      </c>
      <c r="I10738" s="17"/>
      <c r="J10738" s="17" t="s">
        <v>21313</v>
      </c>
      <c r="K10738" s="17"/>
      <c r="L10738" s="17" t="s">
        <v>22378</v>
      </c>
      <c r="M10738" s="17"/>
      <c r="N10738" s="17" t="s">
        <v>22459</v>
      </c>
      <c r="O10738" s="17"/>
      <c r="P10738" s="17" t="s">
        <v>45008</v>
      </c>
      <c r="Q10738" s="17"/>
      <c r="R10738" s="25" t="str">
        <f>HYPERLINK("https://ictv.global/taxonomy/taxondetails?taxnode_id=202317273","Hodnevirus isogeovivens")</f>
        <v>Hodnevirus isogeovivens</v>
      </c>
      <c r="S10738" s="18" t="s">
        <v>30</v>
      </c>
      <c r="T10738" s="18" t="s">
        <v>45335</v>
      </c>
      <c r="U10738" s="18"/>
      <c r="V10738" s="18"/>
      <c r="W10738" s="18" t="s">
        <v>45336</v>
      </c>
      <c r="X10738" s="18" t="s">
        <v>35</v>
      </c>
      <c r="Y10738" s="18" t="s">
        <v>17171</v>
      </c>
      <c r="Z10738" s="18" t="s">
        <v>24637</v>
      </c>
      <c r="AA10738" s="21" t="str">
        <f>HYPERLINK("https://www.ncbi.nlm.nih.gov/nuccore/CASDWV010004271","NCBI Nucleotide")</f>
        <v>NCBI Nucleotide</v>
      </c>
    </row>
    <row r="10739" spans="1:27" x14ac:dyDescent="0.35">
      <c r="A10739">
        <v>1010072</v>
      </c>
      <c r="B10739">
        <v>10064</v>
      </c>
      <c r="C10739">
        <v>1</v>
      </c>
      <c r="D10739" s="17" t="s">
        <v>17166</v>
      </c>
      <c r="E10739" s="17"/>
      <c r="F10739" s="17" t="s">
        <v>17246</v>
      </c>
      <c r="G10739" s="17"/>
      <c r="H10739" s="17" t="s">
        <v>20919</v>
      </c>
      <c r="I10739" s="17"/>
      <c r="J10739" s="17" t="s">
        <v>21313</v>
      </c>
      <c r="K10739" s="17"/>
      <c r="L10739" s="17" t="s">
        <v>22378</v>
      </c>
      <c r="M10739" s="17"/>
      <c r="N10739" s="17" t="s">
        <v>22459</v>
      </c>
      <c r="O10739" s="17"/>
      <c r="P10739" s="17" t="s">
        <v>45008</v>
      </c>
      <c r="Q10739" s="17"/>
      <c r="R10739" s="25" t="str">
        <f>HYPERLINK("https://ictv.global/taxonomy/taxondetails?taxnode_id=202311291","Hodnevirus isohumadaptatum")</f>
        <v>Hodnevirus isohumadaptatum</v>
      </c>
      <c r="S10739" s="18" t="s">
        <v>30</v>
      </c>
      <c r="T10739" s="18" t="s">
        <v>22986</v>
      </c>
      <c r="U10739" s="18"/>
      <c r="V10739" s="18"/>
      <c r="W10739" s="18" t="s">
        <v>22987</v>
      </c>
      <c r="X10739" s="18" t="s">
        <v>35</v>
      </c>
      <c r="Y10739" s="18" t="s">
        <v>17171</v>
      </c>
      <c r="Z10739" s="18" t="s">
        <v>697</v>
      </c>
      <c r="AA10739" s="21" t="str">
        <f>HYPERLINK("https://www.ncbi.nlm.nih.gov/nuccore/BK013481","NCBI Nucleotide")</f>
        <v>NCBI Nucleotide</v>
      </c>
    </row>
    <row r="10740" spans="1:27" x14ac:dyDescent="0.35">
      <c r="A10740">
        <v>1010073</v>
      </c>
      <c r="B10740">
        <v>10065</v>
      </c>
      <c r="C10740">
        <v>1</v>
      </c>
      <c r="D10740" s="17" t="s">
        <v>17166</v>
      </c>
      <c r="E10740" s="17"/>
      <c r="F10740" s="17" t="s">
        <v>17246</v>
      </c>
      <c r="G10740" s="17"/>
      <c r="H10740" s="17" t="s">
        <v>20919</v>
      </c>
      <c r="I10740" s="17"/>
      <c r="J10740" s="17" t="s">
        <v>21313</v>
      </c>
      <c r="K10740" s="17"/>
      <c r="L10740" s="17" t="s">
        <v>22378</v>
      </c>
      <c r="M10740" s="17"/>
      <c r="N10740" s="17" t="s">
        <v>22459</v>
      </c>
      <c r="O10740" s="17"/>
      <c r="P10740" s="17" t="s">
        <v>45008</v>
      </c>
      <c r="Q10740" s="17"/>
      <c r="R10740" s="25" t="str">
        <f>HYPERLINK("https://ictv.global/taxonomy/taxondetails?taxnode_id=202311294","Hodnevirus isohumenecus")</f>
        <v>Hodnevirus isohumenecus</v>
      </c>
      <c r="S10740" s="18" t="s">
        <v>30</v>
      </c>
      <c r="T10740" s="18" t="s">
        <v>22988</v>
      </c>
      <c r="U10740" s="18"/>
      <c r="V10740" s="18"/>
      <c r="W10740" s="18" t="s">
        <v>22989</v>
      </c>
      <c r="X10740" s="18" t="s">
        <v>35</v>
      </c>
      <c r="Y10740" s="18" t="s">
        <v>17171</v>
      </c>
      <c r="Z10740" s="18" t="s">
        <v>697</v>
      </c>
      <c r="AA10740" s="21" t="str">
        <f>HYPERLINK("https://www.ncbi.nlm.nih.gov/nuccore/BK013932","NCBI Nucleotide")</f>
        <v>NCBI Nucleotide</v>
      </c>
    </row>
    <row r="10741" spans="1:27" x14ac:dyDescent="0.35">
      <c r="A10741">
        <v>1010074</v>
      </c>
      <c r="B10741">
        <v>10066</v>
      </c>
      <c r="C10741">
        <v>1</v>
      </c>
      <c r="D10741" s="17" t="s">
        <v>17166</v>
      </c>
      <c r="E10741" s="17"/>
      <c r="F10741" s="17" t="s">
        <v>17246</v>
      </c>
      <c r="G10741" s="17"/>
      <c r="H10741" s="17" t="s">
        <v>20919</v>
      </c>
      <c r="I10741" s="17"/>
      <c r="J10741" s="17" t="s">
        <v>21313</v>
      </c>
      <c r="K10741" s="17"/>
      <c r="L10741" s="17" t="s">
        <v>22378</v>
      </c>
      <c r="M10741" s="17"/>
      <c r="N10741" s="17" t="s">
        <v>22459</v>
      </c>
      <c r="O10741" s="17"/>
      <c r="P10741" s="17" t="s">
        <v>45008</v>
      </c>
      <c r="Q10741" s="17"/>
      <c r="R10741" s="25" t="str">
        <f>HYPERLINK("https://ictv.global/taxonomy/taxondetails?taxnode_id=202311293","Hodnevirus isohumicola")</f>
        <v>Hodnevirus isohumicola</v>
      </c>
      <c r="S10741" s="18" t="s">
        <v>30</v>
      </c>
      <c r="T10741" s="18" t="s">
        <v>22990</v>
      </c>
      <c r="U10741" s="18"/>
      <c r="V10741" s="18"/>
      <c r="W10741" s="18" t="s">
        <v>22991</v>
      </c>
      <c r="X10741" s="18" t="s">
        <v>35</v>
      </c>
      <c r="Y10741" s="18" t="s">
        <v>17171</v>
      </c>
      <c r="Z10741" s="18" t="s">
        <v>697</v>
      </c>
      <c r="AA10741" s="21" t="str">
        <f>HYPERLINK("https://www.ncbi.nlm.nih.gov/nuccore/BK013830","NCBI Nucleotide")</f>
        <v>NCBI Nucleotide</v>
      </c>
    </row>
    <row r="10742" spans="1:27" x14ac:dyDescent="0.35">
      <c r="A10742">
        <v>1027014</v>
      </c>
      <c r="B10742">
        <v>10067</v>
      </c>
      <c r="C10742">
        <v>1</v>
      </c>
      <c r="D10742" s="17" t="s">
        <v>17166</v>
      </c>
      <c r="E10742" s="17"/>
      <c r="F10742" s="17" t="s">
        <v>17246</v>
      </c>
      <c r="G10742" s="17"/>
      <c r="H10742" s="17" t="s">
        <v>20919</v>
      </c>
      <c r="I10742" s="17"/>
      <c r="J10742" s="17" t="s">
        <v>21313</v>
      </c>
      <c r="K10742" s="17"/>
      <c r="L10742" s="17" t="s">
        <v>22378</v>
      </c>
      <c r="M10742" s="17"/>
      <c r="N10742" s="17" t="s">
        <v>22459</v>
      </c>
      <c r="O10742" s="17"/>
      <c r="P10742" s="17" t="s">
        <v>45008</v>
      </c>
      <c r="Q10742" s="17"/>
      <c r="R10742" s="25" t="str">
        <f>HYPERLINK("https://ictv.global/taxonomy/taxondetails?taxnode_id=202317274","Hodnevirus isohumihabitans")</f>
        <v>Hodnevirus isohumihabitans</v>
      </c>
      <c r="S10742" s="18" t="s">
        <v>30</v>
      </c>
      <c r="T10742" s="18" t="s">
        <v>45337</v>
      </c>
      <c r="U10742" s="18"/>
      <c r="V10742" s="18"/>
      <c r="W10742" s="18" t="s">
        <v>45338</v>
      </c>
      <c r="X10742" s="18" t="s">
        <v>35</v>
      </c>
      <c r="Y10742" s="18" t="s">
        <v>17171</v>
      </c>
      <c r="Z10742" s="18" t="s">
        <v>24637</v>
      </c>
      <c r="AA10742" s="21" t="str">
        <f>HYPERLINK("https://www.ncbi.nlm.nih.gov/nuccore/CASDWV010003827","NCBI Nucleotide")</f>
        <v>NCBI Nucleotide</v>
      </c>
    </row>
    <row r="10743" spans="1:27" x14ac:dyDescent="0.35">
      <c r="A10743">
        <v>1027015</v>
      </c>
      <c r="B10743">
        <v>10068</v>
      </c>
      <c r="C10743">
        <v>1</v>
      </c>
      <c r="D10743" s="17" t="s">
        <v>17166</v>
      </c>
      <c r="E10743" s="17"/>
      <c r="F10743" s="17" t="s">
        <v>17246</v>
      </c>
      <c r="G10743" s="17"/>
      <c r="H10743" s="17" t="s">
        <v>20919</v>
      </c>
      <c r="I10743" s="17"/>
      <c r="J10743" s="17" t="s">
        <v>21313</v>
      </c>
      <c r="K10743" s="17"/>
      <c r="L10743" s="17" t="s">
        <v>22378</v>
      </c>
      <c r="M10743" s="17"/>
      <c r="N10743" s="17" t="s">
        <v>22459</v>
      </c>
      <c r="O10743" s="17"/>
      <c r="P10743" s="17" t="s">
        <v>45008</v>
      </c>
      <c r="Q10743" s="17"/>
      <c r="R10743" s="25" t="str">
        <f>HYPERLINK("https://ictv.global/taxonomy/taxondetails?taxnode_id=202317275","Hodnevirus isohumivicinum")</f>
        <v>Hodnevirus isohumivicinum</v>
      </c>
      <c r="S10743" s="18" t="s">
        <v>30</v>
      </c>
      <c r="T10743" s="18" t="s">
        <v>45339</v>
      </c>
      <c r="U10743" s="18"/>
      <c r="V10743" s="18"/>
      <c r="W10743" s="18" t="s">
        <v>45340</v>
      </c>
      <c r="X10743" s="18" t="s">
        <v>35</v>
      </c>
      <c r="Y10743" s="18" t="s">
        <v>17171</v>
      </c>
      <c r="Z10743" s="18" t="s">
        <v>24637</v>
      </c>
      <c r="AA10743" s="21" t="str">
        <f>HYPERLINK("https://www.ncbi.nlm.nih.gov/nuccore/CASDWV010000331","NCBI Nucleotide")</f>
        <v>NCBI Nucleotide</v>
      </c>
    </row>
    <row r="10744" spans="1:27" x14ac:dyDescent="0.35">
      <c r="A10744">
        <v>1027016</v>
      </c>
      <c r="B10744">
        <v>10069</v>
      </c>
      <c r="C10744">
        <v>1</v>
      </c>
      <c r="D10744" s="17" t="s">
        <v>17166</v>
      </c>
      <c r="E10744" s="17"/>
      <c r="F10744" s="17" t="s">
        <v>17246</v>
      </c>
      <c r="G10744" s="17"/>
      <c r="H10744" s="17" t="s">
        <v>20919</v>
      </c>
      <c r="I10744" s="17"/>
      <c r="J10744" s="17" t="s">
        <v>21313</v>
      </c>
      <c r="K10744" s="17"/>
      <c r="L10744" s="17" t="s">
        <v>22378</v>
      </c>
      <c r="M10744" s="17"/>
      <c r="N10744" s="17" t="s">
        <v>22459</v>
      </c>
      <c r="O10744" s="17"/>
      <c r="P10744" s="17" t="s">
        <v>45008</v>
      </c>
      <c r="Q10744" s="17"/>
      <c r="R10744" s="25" t="str">
        <f>HYPERLINK("https://ictv.global/taxonomy/taxondetails?taxnode_id=202317276","Hodnevirus isohumivivens")</f>
        <v>Hodnevirus isohumivivens</v>
      </c>
      <c r="S10744" s="18" t="s">
        <v>30</v>
      </c>
      <c r="T10744" s="18" t="s">
        <v>45341</v>
      </c>
      <c r="U10744" s="18"/>
      <c r="V10744" s="18"/>
      <c r="W10744" s="18" t="s">
        <v>45342</v>
      </c>
      <c r="X10744" s="18" t="s">
        <v>35</v>
      </c>
      <c r="Y10744" s="18" t="s">
        <v>17171</v>
      </c>
      <c r="Z10744" s="18" t="s">
        <v>24637</v>
      </c>
      <c r="AA10744" s="21" t="str">
        <f>HYPERLINK("https://www.ncbi.nlm.nih.gov/nuccore/CASDWV010001500","NCBI Nucleotide")</f>
        <v>NCBI Nucleotide</v>
      </c>
    </row>
    <row r="10745" spans="1:27" x14ac:dyDescent="0.35">
      <c r="A10745">
        <v>1027017</v>
      </c>
      <c r="B10745">
        <v>10070</v>
      </c>
      <c r="C10745">
        <v>1</v>
      </c>
      <c r="D10745" s="17" t="s">
        <v>17166</v>
      </c>
      <c r="E10745" s="17"/>
      <c r="F10745" s="17" t="s">
        <v>17246</v>
      </c>
      <c r="G10745" s="17"/>
      <c r="H10745" s="17" t="s">
        <v>20919</v>
      </c>
      <c r="I10745" s="17"/>
      <c r="J10745" s="17" t="s">
        <v>21313</v>
      </c>
      <c r="K10745" s="17"/>
      <c r="L10745" s="17" t="s">
        <v>22378</v>
      </c>
      <c r="M10745" s="17"/>
      <c r="N10745" s="17" t="s">
        <v>22459</v>
      </c>
      <c r="O10745" s="17"/>
      <c r="P10745" s="17" t="s">
        <v>45008</v>
      </c>
      <c r="Q10745" s="17"/>
      <c r="R10745" s="25" t="str">
        <f>HYPERLINK("https://ictv.global/taxonomy/taxondetails?taxnode_id=202317277","Hodnevirus isolimenecus")</f>
        <v>Hodnevirus isolimenecus</v>
      </c>
      <c r="S10745" s="18" t="s">
        <v>30</v>
      </c>
      <c r="T10745" s="18" t="s">
        <v>45343</v>
      </c>
      <c r="U10745" s="18"/>
      <c r="V10745" s="18"/>
      <c r="W10745" s="18" t="s">
        <v>45344</v>
      </c>
      <c r="X10745" s="18" t="s">
        <v>35</v>
      </c>
      <c r="Y10745" s="18" t="s">
        <v>17171</v>
      </c>
      <c r="Z10745" s="18" t="s">
        <v>24637</v>
      </c>
      <c r="AA10745" s="21" t="str">
        <f>HYPERLINK("https://www.ncbi.nlm.nih.gov/nuccore/CASDWV010002867","NCBI Nucleotide")</f>
        <v>NCBI Nucleotide</v>
      </c>
    </row>
    <row r="10746" spans="1:27" x14ac:dyDescent="0.35">
      <c r="A10746">
        <v>1027018</v>
      </c>
      <c r="B10746">
        <v>10071</v>
      </c>
      <c r="C10746">
        <v>1</v>
      </c>
      <c r="D10746" s="17" t="s">
        <v>17166</v>
      </c>
      <c r="E10746" s="17"/>
      <c r="F10746" s="17" t="s">
        <v>17246</v>
      </c>
      <c r="G10746" s="17"/>
      <c r="H10746" s="17" t="s">
        <v>20919</v>
      </c>
      <c r="I10746" s="17"/>
      <c r="J10746" s="17" t="s">
        <v>21313</v>
      </c>
      <c r="K10746" s="17"/>
      <c r="L10746" s="17" t="s">
        <v>22378</v>
      </c>
      <c r="M10746" s="17"/>
      <c r="N10746" s="17" t="s">
        <v>22459</v>
      </c>
      <c r="O10746" s="17"/>
      <c r="P10746" s="17" t="s">
        <v>45008</v>
      </c>
      <c r="Q10746" s="17"/>
      <c r="R10746" s="25" t="str">
        <f>HYPERLINK("https://ictv.global/taxonomy/taxondetails?taxnode_id=202317278","Hodnevirus isopedohabitans")</f>
        <v>Hodnevirus isopedohabitans</v>
      </c>
      <c r="S10746" s="18" t="s">
        <v>30</v>
      </c>
      <c r="T10746" s="18" t="s">
        <v>45345</v>
      </c>
      <c r="U10746" s="18"/>
      <c r="V10746" s="18"/>
      <c r="W10746" s="18" t="s">
        <v>45346</v>
      </c>
      <c r="X10746" s="18" t="s">
        <v>35</v>
      </c>
      <c r="Y10746" s="18" t="s">
        <v>17171</v>
      </c>
      <c r="Z10746" s="18" t="s">
        <v>24637</v>
      </c>
      <c r="AA10746" s="21" t="str">
        <f>HYPERLINK("https://www.ncbi.nlm.nih.gov/nuccore/CASDWV010002325","NCBI Nucleotide")</f>
        <v>NCBI Nucleotide</v>
      </c>
    </row>
    <row r="10747" spans="1:27" x14ac:dyDescent="0.35">
      <c r="A10747">
        <v>1027019</v>
      </c>
      <c r="B10747">
        <v>10072</v>
      </c>
      <c r="C10747">
        <v>1</v>
      </c>
      <c r="D10747" s="17" t="s">
        <v>17166</v>
      </c>
      <c r="E10747" s="17"/>
      <c r="F10747" s="17" t="s">
        <v>17246</v>
      </c>
      <c r="G10747" s="17"/>
      <c r="H10747" s="17" t="s">
        <v>20919</v>
      </c>
      <c r="I10747" s="17"/>
      <c r="J10747" s="17" t="s">
        <v>21313</v>
      </c>
      <c r="K10747" s="17"/>
      <c r="L10747" s="17" t="s">
        <v>22378</v>
      </c>
      <c r="M10747" s="17"/>
      <c r="N10747" s="17" t="s">
        <v>22459</v>
      </c>
      <c r="O10747" s="17"/>
      <c r="P10747" s="17" t="s">
        <v>45008</v>
      </c>
      <c r="Q10747" s="17"/>
      <c r="R10747" s="25" t="str">
        <f>HYPERLINK("https://ictv.global/taxonomy/taxondetails?taxnode_id=202317279","Hodnevirus isopedovicinum")</f>
        <v>Hodnevirus isopedovicinum</v>
      </c>
      <c r="S10747" s="18" t="s">
        <v>30</v>
      </c>
      <c r="T10747" s="18" t="s">
        <v>45347</v>
      </c>
      <c r="U10747" s="18"/>
      <c r="V10747" s="18"/>
      <c r="W10747" s="18" t="s">
        <v>45348</v>
      </c>
      <c r="X10747" s="18" t="s">
        <v>35</v>
      </c>
      <c r="Y10747" s="18" t="s">
        <v>17171</v>
      </c>
      <c r="Z10747" s="18" t="s">
        <v>24637</v>
      </c>
      <c r="AA10747" s="21" t="str">
        <f>HYPERLINK("https://www.ncbi.nlm.nih.gov/nuccore/CASDWV010002751","NCBI Nucleotide")</f>
        <v>NCBI Nucleotide</v>
      </c>
    </row>
    <row r="10748" spans="1:27" x14ac:dyDescent="0.35">
      <c r="A10748">
        <v>1027020</v>
      </c>
      <c r="B10748">
        <v>10073</v>
      </c>
      <c r="C10748">
        <v>1</v>
      </c>
      <c r="D10748" s="17" t="s">
        <v>17166</v>
      </c>
      <c r="E10748" s="17"/>
      <c r="F10748" s="17" t="s">
        <v>17246</v>
      </c>
      <c r="G10748" s="17"/>
      <c r="H10748" s="17" t="s">
        <v>20919</v>
      </c>
      <c r="I10748" s="17"/>
      <c r="J10748" s="17" t="s">
        <v>21313</v>
      </c>
      <c r="K10748" s="17"/>
      <c r="L10748" s="17" t="s">
        <v>22378</v>
      </c>
      <c r="M10748" s="17"/>
      <c r="N10748" s="17" t="s">
        <v>22459</v>
      </c>
      <c r="O10748" s="17"/>
      <c r="P10748" s="17" t="s">
        <v>45008</v>
      </c>
      <c r="Q10748" s="17"/>
      <c r="R10748" s="25" t="str">
        <f>HYPERLINK("https://ictv.global/taxonomy/taxondetails?taxnode_id=202317280","Hodnevirus isosolicola")</f>
        <v>Hodnevirus isosolicola</v>
      </c>
      <c r="S10748" s="18" t="s">
        <v>30</v>
      </c>
      <c r="T10748" s="18" t="s">
        <v>45349</v>
      </c>
      <c r="U10748" s="18"/>
      <c r="V10748" s="18"/>
      <c r="W10748" s="18" t="s">
        <v>45350</v>
      </c>
      <c r="X10748" s="18" t="s">
        <v>35</v>
      </c>
      <c r="Y10748" s="18" t="s">
        <v>17171</v>
      </c>
      <c r="Z10748" s="18" t="s">
        <v>24637</v>
      </c>
      <c r="AA10748" s="21" t="str">
        <f>HYPERLINK("https://www.ncbi.nlm.nih.gov/nuccore/CASDWV010000072","NCBI Nucleotide")</f>
        <v>NCBI Nucleotide</v>
      </c>
    </row>
    <row r="10749" spans="1:27" x14ac:dyDescent="0.35">
      <c r="A10749">
        <v>1010107</v>
      </c>
      <c r="B10749">
        <v>10074</v>
      </c>
      <c r="C10749">
        <v>1</v>
      </c>
      <c r="D10749" s="17" t="s">
        <v>17166</v>
      </c>
      <c r="E10749" s="17"/>
      <c r="F10749" s="17" t="s">
        <v>17246</v>
      </c>
      <c r="G10749" s="17"/>
      <c r="H10749" s="17" t="s">
        <v>20919</v>
      </c>
      <c r="I10749" s="17"/>
      <c r="J10749" s="17" t="s">
        <v>21313</v>
      </c>
      <c r="K10749" s="17"/>
      <c r="L10749" s="17" t="s">
        <v>22378</v>
      </c>
      <c r="M10749" s="17"/>
      <c r="N10749" s="17" t="s">
        <v>22459</v>
      </c>
      <c r="O10749" s="17"/>
      <c r="P10749" s="17" t="s">
        <v>45008</v>
      </c>
      <c r="Q10749" s="17"/>
      <c r="R10749" s="25" t="str">
        <f>HYPERLINK("https://ictv.global/taxonomy/taxondetails?taxnode_id=202311345","Hodnevirus isosolihabitans")</f>
        <v>Hodnevirus isosolihabitans</v>
      </c>
      <c r="S10749" s="18" t="s">
        <v>30</v>
      </c>
      <c r="T10749" s="18" t="s">
        <v>23064</v>
      </c>
      <c r="U10749" s="18"/>
      <c r="V10749" s="18"/>
      <c r="W10749" s="18" t="s">
        <v>23065</v>
      </c>
      <c r="X10749" s="18" t="s">
        <v>35</v>
      </c>
      <c r="Y10749" s="18" t="s">
        <v>17171</v>
      </c>
      <c r="Z10749" s="18" t="s">
        <v>697</v>
      </c>
      <c r="AA10749" s="21" t="str">
        <f>HYPERLINK("https://www.ncbi.nlm.nih.gov/nuccore/BK014024","NCBI Nucleotide")</f>
        <v>NCBI Nucleotide</v>
      </c>
    </row>
    <row r="10750" spans="1:27" x14ac:dyDescent="0.35">
      <c r="A10750">
        <v>1027021</v>
      </c>
      <c r="B10750">
        <v>10075</v>
      </c>
      <c r="C10750">
        <v>1</v>
      </c>
      <c r="D10750" s="17" t="s">
        <v>17166</v>
      </c>
      <c r="E10750" s="17"/>
      <c r="F10750" s="17" t="s">
        <v>17246</v>
      </c>
      <c r="G10750" s="17"/>
      <c r="H10750" s="17" t="s">
        <v>20919</v>
      </c>
      <c r="I10750" s="17"/>
      <c r="J10750" s="17" t="s">
        <v>21313</v>
      </c>
      <c r="K10750" s="17"/>
      <c r="L10750" s="17" t="s">
        <v>22378</v>
      </c>
      <c r="M10750" s="17"/>
      <c r="N10750" s="17" t="s">
        <v>22459</v>
      </c>
      <c r="O10750" s="17"/>
      <c r="P10750" s="17" t="s">
        <v>45008</v>
      </c>
      <c r="Q10750" s="17"/>
      <c r="R10750" s="25" t="str">
        <f>HYPERLINK("https://ictv.global/taxonomy/taxondetails?taxnode_id=202317281","Hodnevirus isosolivicinum")</f>
        <v>Hodnevirus isosolivicinum</v>
      </c>
      <c r="S10750" s="18" t="s">
        <v>30</v>
      </c>
      <c r="T10750" s="18" t="s">
        <v>45351</v>
      </c>
      <c r="U10750" s="18"/>
      <c r="V10750" s="18"/>
      <c r="W10750" s="18" t="s">
        <v>45352</v>
      </c>
      <c r="X10750" s="18" t="s">
        <v>35</v>
      </c>
      <c r="Y10750" s="18" t="s">
        <v>17171</v>
      </c>
      <c r="Z10750" s="18" t="s">
        <v>24637</v>
      </c>
      <c r="AA10750" s="21" t="str">
        <f>HYPERLINK("https://www.ncbi.nlm.nih.gov/nuccore/CASDWV010001402","NCBI Nucleotide")</f>
        <v>NCBI Nucleotide</v>
      </c>
    </row>
    <row r="10751" spans="1:27" x14ac:dyDescent="0.35">
      <c r="A10751">
        <v>1027022</v>
      </c>
      <c r="B10751">
        <v>10076</v>
      </c>
      <c r="C10751">
        <v>1</v>
      </c>
      <c r="D10751" s="17" t="s">
        <v>17166</v>
      </c>
      <c r="E10751" s="17"/>
      <c r="F10751" s="17" t="s">
        <v>17246</v>
      </c>
      <c r="G10751" s="17"/>
      <c r="H10751" s="17" t="s">
        <v>20919</v>
      </c>
      <c r="I10751" s="17"/>
      <c r="J10751" s="17" t="s">
        <v>21313</v>
      </c>
      <c r="K10751" s="17"/>
      <c r="L10751" s="17" t="s">
        <v>22378</v>
      </c>
      <c r="M10751" s="17"/>
      <c r="N10751" s="17" t="s">
        <v>22459</v>
      </c>
      <c r="O10751" s="17"/>
      <c r="P10751" s="17" t="s">
        <v>45008</v>
      </c>
      <c r="Q10751" s="17"/>
      <c r="R10751" s="25" t="str">
        <f>HYPERLINK("https://ictv.global/taxonomy/taxondetails?taxnode_id=202317282","Hodnevirus isotelluradaptatum")</f>
        <v>Hodnevirus isotelluradaptatum</v>
      </c>
      <c r="S10751" s="18" t="s">
        <v>30</v>
      </c>
      <c r="T10751" s="18" t="s">
        <v>45353</v>
      </c>
      <c r="U10751" s="18"/>
      <c r="V10751" s="18"/>
      <c r="W10751" s="18" t="s">
        <v>45354</v>
      </c>
      <c r="X10751" s="18" t="s">
        <v>35</v>
      </c>
      <c r="Y10751" s="18" t="s">
        <v>17171</v>
      </c>
      <c r="Z10751" s="18" t="s">
        <v>24637</v>
      </c>
      <c r="AA10751" s="21" t="str">
        <f>HYPERLINK("https://www.ncbi.nlm.nih.gov/nuccore/CASDWV010004068","NCBI Nucleotide")</f>
        <v>NCBI Nucleotide</v>
      </c>
    </row>
    <row r="10752" spans="1:27" x14ac:dyDescent="0.35">
      <c r="A10752">
        <v>1027023</v>
      </c>
      <c r="B10752">
        <v>10077</v>
      </c>
      <c r="C10752">
        <v>1</v>
      </c>
      <c r="D10752" s="17" t="s">
        <v>17166</v>
      </c>
      <c r="E10752" s="17"/>
      <c r="F10752" s="17" t="s">
        <v>17246</v>
      </c>
      <c r="G10752" s="17"/>
      <c r="H10752" s="17" t="s">
        <v>20919</v>
      </c>
      <c r="I10752" s="17"/>
      <c r="J10752" s="17" t="s">
        <v>21313</v>
      </c>
      <c r="K10752" s="17"/>
      <c r="L10752" s="17" t="s">
        <v>22378</v>
      </c>
      <c r="M10752" s="17"/>
      <c r="N10752" s="17" t="s">
        <v>22459</v>
      </c>
      <c r="O10752" s="17"/>
      <c r="P10752" s="17" t="s">
        <v>45008</v>
      </c>
      <c r="Q10752" s="17"/>
      <c r="R10752" s="25" t="str">
        <f>HYPERLINK("https://ictv.global/taxonomy/taxondetails?taxnode_id=202317283","Hodnevirus isotellurihabitans")</f>
        <v>Hodnevirus isotellurihabitans</v>
      </c>
      <c r="S10752" s="18" t="s">
        <v>30</v>
      </c>
      <c r="T10752" s="18" t="s">
        <v>45355</v>
      </c>
      <c r="U10752" s="18"/>
      <c r="V10752" s="18"/>
      <c r="W10752" s="18" t="s">
        <v>45356</v>
      </c>
      <c r="X10752" s="18" t="s">
        <v>35</v>
      </c>
      <c r="Y10752" s="18" t="s">
        <v>17171</v>
      </c>
      <c r="Z10752" s="18" t="s">
        <v>24637</v>
      </c>
      <c r="AA10752" s="21" t="str">
        <f>HYPERLINK("https://www.ncbi.nlm.nih.gov/nuccore/CASDWV010004446","NCBI Nucleotide")</f>
        <v>NCBI Nucleotide</v>
      </c>
    </row>
    <row r="10753" spans="1:27" x14ac:dyDescent="0.35">
      <c r="A10753">
        <v>1027024</v>
      </c>
      <c r="B10753">
        <v>10078</v>
      </c>
      <c r="C10753">
        <v>1</v>
      </c>
      <c r="D10753" s="17" t="s">
        <v>17166</v>
      </c>
      <c r="E10753" s="17"/>
      <c r="F10753" s="17" t="s">
        <v>17246</v>
      </c>
      <c r="G10753" s="17"/>
      <c r="H10753" s="17" t="s">
        <v>20919</v>
      </c>
      <c r="I10753" s="17"/>
      <c r="J10753" s="17" t="s">
        <v>21313</v>
      </c>
      <c r="K10753" s="17"/>
      <c r="L10753" s="17" t="s">
        <v>22378</v>
      </c>
      <c r="M10753" s="17"/>
      <c r="N10753" s="17" t="s">
        <v>22459</v>
      </c>
      <c r="O10753" s="17"/>
      <c r="P10753" s="17" t="s">
        <v>45008</v>
      </c>
      <c r="Q10753" s="17"/>
      <c r="R10753" s="25" t="str">
        <f>HYPERLINK("https://ictv.global/taxonomy/taxondetails?taxnode_id=202317284","Hodnevirus isotellurivicinum")</f>
        <v>Hodnevirus isotellurivicinum</v>
      </c>
      <c r="S10753" s="18" t="s">
        <v>30</v>
      </c>
      <c r="T10753" s="18" t="s">
        <v>45357</v>
      </c>
      <c r="U10753" s="18"/>
      <c r="V10753" s="18"/>
      <c r="W10753" s="18" t="s">
        <v>45358</v>
      </c>
      <c r="X10753" s="18" t="s">
        <v>35</v>
      </c>
      <c r="Y10753" s="18" t="s">
        <v>17171</v>
      </c>
      <c r="Z10753" s="18" t="s">
        <v>24637</v>
      </c>
      <c r="AA10753" s="21" t="str">
        <f>HYPERLINK("https://www.ncbi.nlm.nih.gov/nuccore/CASDWV010000622","NCBI Nucleotide")</f>
        <v>NCBI Nucleotide</v>
      </c>
    </row>
    <row r="10754" spans="1:27" x14ac:dyDescent="0.35">
      <c r="A10754">
        <v>1027025</v>
      </c>
      <c r="B10754">
        <v>10079</v>
      </c>
      <c r="C10754">
        <v>1</v>
      </c>
      <c r="D10754" s="17" t="s">
        <v>17166</v>
      </c>
      <c r="E10754" s="17"/>
      <c r="F10754" s="17" t="s">
        <v>17246</v>
      </c>
      <c r="G10754" s="17"/>
      <c r="H10754" s="17" t="s">
        <v>20919</v>
      </c>
      <c r="I10754" s="17"/>
      <c r="J10754" s="17" t="s">
        <v>21313</v>
      </c>
      <c r="K10754" s="17"/>
      <c r="L10754" s="17" t="s">
        <v>22378</v>
      </c>
      <c r="M10754" s="17"/>
      <c r="N10754" s="17" t="s">
        <v>22459</v>
      </c>
      <c r="O10754" s="17"/>
      <c r="P10754" s="17" t="s">
        <v>45008</v>
      </c>
      <c r="Q10754" s="17"/>
      <c r="R10754" s="25" t="str">
        <f>HYPERLINK("https://ictv.global/taxonomy/taxondetails?taxnode_id=202317285","Hodnevirus isotellurivivens")</f>
        <v>Hodnevirus isotellurivivens</v>
      </c>
      <c r="S10754" s="18" t="s">
        <v>30</v>
      </c>
      <c r="T10754" s="18" t="s">
        <v>45359</v>
      </c>
      <c r="U10754" s="18"/>
      <c r="V10754" s="18"/>
      <c r="W10754" s="18" t="s">
        <v>45360</v>
      </c>
      <c r="X10754" s="18" t="s">
        <v>35</v>
      </c>
      <c r="Y10754" s="18" t="s">
        <v>17171</v>
      </c>
      <c r="Z10754" s="18" t="s">
        <v>24637</v>
      </c>
      <c r="AA10754" s="21" t="str">
        <f>HYPERLINK("https://www.ncbi.nlm.nih.gov/nuccore/CASDWV010002960","NCBI Nucleotide")</f>
        <v>NCBI Nucleotide</v>
      </c>
    </row>
    <row r="10755" spans="1:27" x14ac:dyDescent="0.35">
      <c r="A10755">
        <v>1027026</v>
      </c>
      <c r="B10755">
        <v>10080</v>
      </c>
      <c r="C10755">
        <v>1</v>
      </c>
      <c r="D10755" s="17" t="s">
        <v>17166</v>
      </c>
      <c r="E10755" s="17"/>
      <c r="F10755" s="17" t="s">
        <v>17246</v>
      </c>
      <c r="G10755" s="17"/>
      <c r="H10755" s="17" t="s">
        <v>20919</v>
      </c>
      <c r="I10755" s="17"/>
      <c r="J10755" s="17" t="s">
        <v>21313</v>
      </c>
      <c r="K10755" s="17"/>
      <c r="L10755" s="17" t="s">
        <v>22378</v>
      </c>
      <c r="M10755" s="17"/>
      <c r="N10755" s="17" t="s">
        <v>22459</v>
      </c>
      <c r="O10755" s="17"/>
      <c r="P10755" s="17" t="s">
        <v>45008</v>
      </c>
      <c r="Q10755" s="17"/>
      <c r="R10755" s="25" t="str">
        <f>HYPERLINK("https://ictv.global/taxonomy/taxondetails?taxnode_id=202317286","Hodnevirus isoterradaptatum")</f>
        <v>Hodnevirus isoterradaptatum</v>
      </c>
      <c r="S10755" s="18" t="s">
        <v>30</v>
      </c>
      <c r="T10755" s="18" t="s">
        <v>45361</v>
      </c>
      <c r="U10755" s="18"/>
      <c r="V10755" s="18"/>
      <c r="W10755" s="18" t="s">
        <v>45362</v>
      </c>
      <c r="X10755" s="18" t="s">
        <v>35</v>
      </c>
      <c r="Y10755" s="18" t="s">
        <v>17171</v>
      </c>
      <c r="Z10755" s="18" t="s">
        <v>24637</v>
      </c>
      <c r="AA10755" s="21" t="str">
        <f>HYPERLINK("https://www.ncbi.nlm.nih.gov/nuccore/CASDWV010004323","NCBI Nucleotide")</f>
        <v>NCBI Nucleotide</v>
      </c>
    </row>
    <row r="10756" spans="1:27" x14ac:dyDescent="0.35">
      <c r="A10756">
        <v>1027027</v>
      </c>
      <c r="B10756">
        <v>10081</v>
      </c>
      <c r="C10756">
        <v>1</v>
      </c>
      <c r="D10756" s="17" t="s">
        <v>17166</v>
      </c>
      <c r="E10756" s="17"/>
      <c r="F10756" s="17" t="s">
        <v>17246</v>
      </c>
      <c r="G10756" s="17"/>
      <c r="H10756" s="17" t="s">
        <v>20919</v>
      </c>
      <c r="I10756" s="17"/>
      <c r="J10756" s="17" t="s">
        <v>21313</v>
      </c>
      <c r="K10756" s="17"/>
      <c r="L10756" s="17" t="s">
        <v>22378</v>
      </c>
      <c r="M10756" s="17"/>
      <c r="N10756" s="17" t="s">
        <v>22459</v>
      </c>
      <c r="O10756" s="17"/>
      <c r="P10756" s="17" t="s">
        <v>45008</v>
      </c>
      <c r="Q10756" s="17"/>
      <c r="R10756" s="25" t="str">
        <f>HYPERLINK("https://ictv.global/taxonomy/taxondetails?taxnode_id=202317287","Hodnevirus isoterricola")</f>
        <v>Hodnevirus isoterricola</v>
      </c>
      <c r="S10756" s="18" t="s">
        <v>30</v>
      </c>
      <c r="T10756" s="18" t="s">
        <v>45363</v>
      </c>
      <c r="U10756" s="18"/>
      <c r="V10756" s="18"/>
      <c r="W10756" s="18" t="s">
        <v>45364</v>
      </c>
      <c r="X10756" s="18" t="s">
        <v>35</v>
      </c>
      <c r="Y10756" s="18" t="s">
        <v>17171</v>
      </c>
      <c r="Z10756" s="18" t="s">
        <v>24637</v>
      </c>
      <c r="AA10756" s="21" t="str">
        <f>HYPERLINK("https://www.ncbi.nlm.nih.gov/nuccore/CASDWV010000151","NCBI Nucleotide")</f>
        <v>NCBI Nucleotide</v>
      </c>
    </row>
    <row r="10757" spans="1:27" x14ac:dyDescent="0.35">
      <c r="A10757">
        <v>1010159</v>
      </c>
      <c r="B10757">
        <v>10082</v>
      </c>
      <c r="C10757">
        <v>1</v>
      </c>
      <c r="D10757" s="17" t="s">
        <v>17166</v>
      </c>
      <c r="E10757" s="17"/>
      <c r="F10757" s="17" t="s">
        <v>17246</v>
      </c>
      <c r="G10757" s="17"/>
      <c r="H10757" s="17" t="s">
        <v>20919</v>
      </c>
      <c r="I10757" s="17"/>
      <c r="J10757" s="17" t="s">
        <v>21313</v>
      </c>
      <c r="K10757" s="17"/>
      <c r="L10757" s="17" t="s">
        <v>22378</v>
      </c>
      <c r="M10757" s="17"/>
      <c r="N10757" s="17" t="s">
        <v>22459</v>
      </c>
      <c r="O10757" s="17"/>
      <c r="P10757" s="17" t="s">
        <v>45008</v>
      </c>
      <c r="Q10757" s="17"/>
      <c r="R10757" s="25" t="str">
        <f>HYPERLINK("https://ictv.global/taxonomy/taxondetails?taxnode_id=202311415","Hodnevirus isoterrivivens")</f>
        <v>Hodnevirus isoterrivivens</v>
      </c>
      <c r="S10757" s="18" t="s">
        <v>30</v>
      </c>
      <c r="T10757" s="18" t="s">
        <v>23169</v>
      </c>
      <c r="U10757" s="18"/>
      <c r="V10757" s="18"/>
      <c r="W10757" s="18" t="s">
        <v>23170</v>
      </c>
      <c r="X10757" s="18" t="s">
        <v>35</v>
      </c>
      <c r="Y10757" s="18" t="s">
        <v>17171</v>
      </c>
      <c r="Z10757" s="18" t="s">
        <v>697</v>
      </c>
      <c r="AA10757" s="21" t="str">
        <f>HYPERLINK("https://www.ncbi.nlm.nih.gov/nuccore/BK013820","NCBI Nucleotide")</f>
        <v>NCBI Nucleotide</v>
      </c>
    </row>
    <row r="10758" spans="1:27" x14ac:dyDescent="0.35">
      <c r="A10758">
        <v>1027028</v>
      </c>
      <c r="B10758">
        <v>10083</v>
      </c>
      <c r="C10758">
        <v>1</v>
      </c>
      <c r="D10758" s="17" t="s">
        <v>17166</v>
      </c>
      <c r="E10758" s="17"/>
      <c r="F10758" s="17" t="s">
        <v>17246</v>
      </c>
      <c r="G10758" s="17"/>
      <c r="H10758" s="17" t="s">
        <v>20919</v>
      </c>
      <c r="I10758" s="17"/>
      <c r="J10758" s="17" t="s">
        <v>21313</v>
      </c>
      <c r="K10758" s="17"/>
      <c r="L10758" s="17" t="s">
        <v>22378</v>
      </c>
      <c r="M10758" s="17"/>
      <c r="N10758" s="17" t="s">
        <v>22459</v>
      </c>
      <c r="O10758" s="17"/>
      <c r="P10758" s="17" t="s">
        <v>45008</v>
      </c>
      <c r="Q10758" s="17"/>
      <c r="R10758" s="25" t="str">
        <f>HYPERLINK("https://ictv.global/taxonomy/taxondetails?taxnode_id=202317288","Hodnevirus limadaptatum")</f>
        <v>Hodnevirus limadaptatum</v>
      </c>
      <c r="S10758" s="18" t="s">
        <v>30</v>
      </c>
      <c r="T10758" s="18" t="s">
        <v>45365</v>
      </c>
      <c r="U10758" s="18"/>
      <c r="V10758" s="18"/>
      <c r="W10758" s="18" t="s">
        <v>45366</v>
      </c>
      <c r="X10758" s="18" t="s">
        <v>35</v>
      </c>
      <c r="Y10758" s="18" t="s">
        <v>17171</v>
      </c>
      <c r="Z10758" s="18" t="s">
        <v>24637</v>
      </c>
      <c r="AA10758" s="21" t="str">
        <f>HYPERLINK("https://www.ncbi.nlm.nih.gov/nuccore/CASDWV010003472","NCBI Nucleotide")</f>
        <v>NCBI Nucleotide</v>
      </c>
    </row>
    <row r="10759" spans="1:27" x14ac:dyDescent="0.35">
      <c r="A10759">
        <v>1009861</v>
      </c>
      <c r="B10759">
        <v>10084</v>
      </c>
      <c r="C10759">
        <v>1</v>
      </c>
      <c r="D10759" s="17" t="s">
        <v>17166</v>
      </c>
      <c r="E10759" s="17"/>
      <c r="F10759" s="17" t="s">
        <v>17246</v>
      </c>
      <c r="G10759" s="17"/>
      <c r="H10759" s="17" t="s">
        <v>20919</v>
      </c>
      <c r="I10759" s="17"/>
      <c r="J10759" s="17" t="s">
        <v>21313</v>
      </c>
      <c r="K10759" s="17"/>
      <c r="L10759" s="17" t="s">
        <v>22378</v>
      </c>
      <c r="M10759" s="17"/>
      <c r="N10759" s="17" t="s">
        <v>22459</v>
      </c>
      <c r="O10759" s="17"/>
      <c r="P10759" s="17" t="s">
        <v>45008</v>
      </c>
      <c r="Q10759" s="17"/>
      <c r="R10759" s="25" t="str">
        <f>HYPERLINK("https://ictv.global/taxonomy/taxondetails?taxnode_id=202311048","Hodnevirus limenecus")</f>
        <v>Hodnevirus limenecus</v>
      </c>
      <c r="S10759" s="18" t="s">
        <v>30</v>
      </c>
      <c r="T10759" s="18" t="s">
        <v>22551</v>
      </c>
      <c r="U10759" s="18"/>
      <c r="V10759" s="18"/>
      <c r="W10759" s="18" t="s">
        <v>22552</v>
      </c>
      <c r="X10759" s="18" t="s">
        <v>35</v>
      </c>
      <c r="Y10759" s="18" t="s">
        <v>17171</v>
      </c>
      <c r="Z10759" s="18" t="s">
        <v>697</v>
      </c>
      <c r="AA10759" s="21" t="str">
        <f>HYPERLINK("https://www.ncbi.nlm.nih.gov/nuccore/BK013648","NCBI Nucleotide")</f>
        <v>NCBI Nucleotide</v>
      </c>
    </row>
    <row r="10760" spans="1:27" x14ac:dyDescent="0.35">
      <c r="A10760">
        <v>1009862</v>
      </c>
      <c r="B10760">
        <v>10085</v>
      </c>
      <c r="C10760">
        <v>1</v>
      </c>
      <c r="D10760" s="17" t="s">
        <v>17166</v>
      </c>
      <c r="E10760" s="17"/>
      <c r="F10760" s="17" t="s">
        <v>17246</v>
      </c>
      <c r="G10760" s="17"/>
      <c r="H10760" s="17" t="s">
        <v>20919</v>
      </c>
      <c r="I10760" s="17"/>
      <c r="J10760" s="17" t="s">
        <v>21313</v>
      </c>
      <c r="K10760" s="17"/>
      <c r="L10760" s="17" t="s">
        <v>22378</v>
      </c>
      <c r="M10760" s="17"/>
      <c r="N10760" s="17" t="s">
        <v>22459</v>
      </c>
      <c r="O10760" s="17"/>
      <c r="P10760" s="17" t="s">
        <v>45008</v>
      </c>
      <c r="Q10760" s="17"/>
      <c r="R10760" s="25" t="str">
        <f>HYPERLINK("https://ictv.global/taxonomy/taxondetails?taxnode_id=202311049","Hodnevirus limicola")</f>
        <v>Hodnevirus limicola</v>
      </c>
      <c r="S10760" s="18" t="s">
        <v>30</v>
      </c>
      <c r="T10760" s="18" t="s">
        <v>22553</v>
      </c>
      <c r="U10760" s="18"/>
      <c r="V10760" s="18"/>
      <c r="W10760" s="18" t="s">
        <v>22554</v>
      </c>
      <c r="X10760" s="18" t="s">
        <v>35</v>
      </c>
      <c r="Y10760" s="18" t="s">
        <v>17171</v>
      </c>
      <c r="Z10760" s="18" t="s">
        <v>697</v>
      </c>
      <c r="AA10760" s="21" t="str">
        <f>HYPERLINK("https://www.ncbi.nlm.nih.gov/nuccore/BK013589","NCBI Nucleotide")</f>
        <v>NCBI Nucleotide</v>
      </c>
    </row>
    <row r="10761" spans="1:27" x14ac:dyDescent="0.35">
      <c r="A10761">
        <v>1009863</v>
      </c>
      <c r="B10761">
        <v>10086</v>
      </c>
      <c r="C10761">
        <v>1</v>
      </c>
      <c r="D10761" s="17" t="s">
        <v>17166</v>
      </c>
      <c r="E10761" s="17"/>
      <c r="F10761" s="17" t="s">
        <v>17246</v>
      </c>
      <c r="G10761" s="17"/>
      <c r="H10761" s="17" t="s">
        <v>20919</v>
      </c>
      <c r="I10761" s="17"/>
      <c r="J10761" s="17" t="s">
        <v>21313</v>
      </c>
      <c r="K10761" s="17"/>
      <c r="L10761" s="17" t="s">
        <v>22378</v>
      </c>
      <c r="M10761" s="17"/>
      <c r="N10761" s="17" t="s">
        <v>22459</v>
      </c>
      <c r="O10761" s="17"/>
      <c r="P10761" s="17" t="s">
        <v>45008</v>
      </c>
      <c r="Q10761" s="17"/>
      <c r="R10761" s="25" t="str">
        <f>HYPERLINK("https://ictv.global/taxonomy/taxondetails?taxnode_id=202311050","Hodnevirus limihabitans")</f>
        <v>Hodnevirus limihabitans</v>
      </c>
      <c r="S10761" s="18" t="s">
        <v>30</v>
      </c>
      <c r="T10761" s="18" t="s">
        <v>22555</v>
      </c>
      <c r="U10761" s="18"/>
      <c r="V10761" s="18"/>
      <c r="W10761" s="18" t="s">
        <v>22556</v>
      </c>
      <c r="X10761" s="18" t="s">
        <v>35</v>
      </c>
      <c r="Y10761" s="18" t="s">
        <v>17171</v>
      </c>
      <c r="Z10761" s="18" t="s">
        <v>697</v>
      </c>
      <c r="AA10761" s="21" t="str">
        <f>HYPERLINK("https://www.ncbi.nlm.nih.gov/nuccore/BK013731","NCBI Nucleotide")</f>
        <v>NCBI Nucleotide</v>
      </c>
    </row>
    <row r="10762" spans="1:27" x14ac:dyDescent="0.35">
      <c r="A10762">
        <v>1027029</v>
      </c>
      <c r="B10762">
        <v>10087</v>
      </c>
      <c r="C10762">
        <v>1</v>
      </c>
      <c r="D10762" s="17" t="s">
        <v>17166</v>
      </c>
      <c r="E10762" s="17"/>
      <c r="F10762" s="17" t="s">
        <v>17246</v>
      </c>
      <c r="G10762" s="17"/>
      <c r="H10762" s="17" t="s">
        <v>20919</v>
      </c>
      <c r="I10762" s="17"/>
      <c r="J10762" s="17" t="s">
        <v>21313</v>
      </c>
      <c r="K10762" s="17"/>
      <c r="L10762" s="17" t="s">
        <v>22378</v>
      </c>
      <c r="M10762" s="17"/>
      <c r="N10762" s="17" t="s">
        <v>22459</v>
      </c>
      <c r="O10762" s="17"/>
      <c r="P10762" s="17" t="s">
        <v>45008</v>
      </c>
      <c r="Q10762" s="17"/>
      <c r="R10762" s="25" t="str">
        <f>HYPERLINK("https://ictv.global/taxonomy/taxondetails?taxnode_id=202317289","Hodnevirus limivicinum")</f>
        <v>Hodnevirus limivicinum</v>
      </c>
      <c r="S10762" s="18" t="s">
        <v>30</v>
      </c>
      <c r="T10762" s="18" t="s">
        <v>45367</v>
      </c>
      <c r="U10762" s="18"/>
      <c r="V10762" s="18"/>
      <c r="W10762" s="18" t="s">
        <v>45368</v>
      </c>
      <c r="X10762" s="18" t="s">
        <v>35</v>
      </c>
      <c r="Y10762" s="18" t="s">
        <v>17171</v>
      </c>
      <c r="Z10762" s="18" t="s">
        <v>24637</v>
      </c>
      <c r="AA10762" s="21" t="str">
        <f>HYPERLINK("https://www.ncbi.nlm.nih.gov/nuccore/CASDWV010003104","NCBI Nucleotide")</f>
        <v>NCBI Nucleotide</v>
      </c>
    </row>
    <row r="10763" spans="1:27" x14ac:dyDescent="0.35">
      <c r="A10763">
        <v>1027030</v>
      </c>
      <c r="B10763">
        <v>10088</v>
      </c>
      <c r="C10763">
        <v>1</v>
      </c>
      <c r="D10763" s="17" t="s">
        <v>17166</v>
      </c>
      <c r="E10763" s="17"/>
      <c r="F10763" s="17" t="s">
        <v>17246</v>
      </c>
      <c r="G10763" s="17"/>
      <c r="H10763" s="17" t="s">
        <v>20919</v>
      </c>
      <c r="I10763" s="17"/>
      <c r="J10763" s="17" t="s">
        <v>21313</v>
      </c>
      <c r="K10763" s="17"/>
      <c r="L10763" s="17" t="s">
        <v>22378</v>
      </c>
      <c r="M10763" s="17"/>
      <c r="N10763" s="17" t="s">
        <v>22459</v>
      </c>
      <c r="O10763" s="17"/>
      <c r="P10763" s="17" t="s">
        <v>45008</v>
      </c>
      <c r="Q10763" s="17"/>
      <c r="R10763" s="25" t="str">
        <f>HYPERLINK("https://ictv.global/taxonomy/taxondetails?taxnode_id=202317290","Hodnevirus limivivens")</f>
        <v>Hodnevirus limivivens</v>
      </c>
      <c r="S10763" s="18" t="s">
        <v>30</v>
      </c>
      <c r="T10763" s="18" t="s">
        <v>45369</v>
      </c>
      <c r="U10763" s="18"/>
      <c r="V10763" s="18"/>
      <c r="W10763" s="18" t="s">
        <v>45370</v>
      </c>
      <c r="X10763" s="18" t="s">
        <v>35</v>
      </c>
      <c r="Y10763" s="18" t="s">
        <v>17171</v>
      </c>
      <c r="Z10763" s="18" t="s">
        <v>24637</v>
      </c>
      <c r="AA10763" s="21" t="str">
        <f>HYPERLINK("https://www.ncbi.nlm.nih.gov/nuccore/CASDWV010004274","NCBI Nucleotide")</f>
        <v>NCBI Nucleotide</v>
      </c>
    </row>
    <row r="10764" spans="1:27" x14ac:dyDescent="0.35">
      <c r="A10764">
        <v>1027031</v>
      </c>
      <c r="B10764">
        <v>10089</v>
      </c>
      <c r="C10764">
        <v>1</v>
      </c>
      <c r="D10764" s="17" t="s">
        <v>17166</v>
      </c>
      <c r="E10764" s="17"/>
      <c r="F10764" s="17" t="s">
        <v>17246</v>
      </c>
      <c r="G10764" s="17"/>
      <c r="H10764" s="17" t="s">
        <v>20919</v>
      </c>
      <c r="I10764" s="17"/>
      <c r="J10764" s="17" t="s">
        <v>21313</v>
      </c>
      <c r="K10764" s="17"/>
      <c r="L10764" s="17" t="s">
        <v>22378</v>
      </c>
      <c r="M10764" s="17"/>
      <c r="N10764" s="17" t="s">
        <v>22459</v>
      </c>
      <c r="O10764" s="17"/>
      <c r="P10764" s="17" t="s">
        <v>45008</v>
      </c>
      <c r="Q10764" s="17"/>
      <c r="R10764" s="25" t="str">
        <f>HYPERLINK("https://ictv.global/taxonomy/taxondetails?taxnode_id=202317291","Hodnevirus lutenecus")</f>
        <v>Hodnevirus lutenecus</v>
      </c>
      <c r="S10764" s="18" t="s">
        <v>30</v>
      </c>
      <c r="T10764" s="18" t="s">
        <v>45371</v>
      </c>
      <c r="U10764" s="18"/>
      <c r="V10764" s="18"/>
      <c r="W10764" s="18" t="s">
        <v>45372</v>
      </c>
      <c r="X10764" s="18" t="s">
        <v>35</v>
      </c>
      <c r="Y10764" s="18" t="s">
        <v>17171</v>
      </c>
      <c r="Z10764" s="18" t="s">
        <v>24637</v>
      </c>
      <c r="AA10764" s="21" t="str">
        <f>HYPERLINK("https://www.ncbi.nlm.nih.gov/nuccore/CASDWV010004211","NCBI Nucleotide")</f>
        <v>NCBI Nucleotide</v>
      </c>
    </row>
    <row r="10765" spans="1:27" x14ac:dyDescent="0.35">
      <c r="A10765">
        <v>1027032</v>
      </c>
      <c r="B10765">
        <v>10090</v>
      </c>
      <c r="C10765">
        <v>1</v>
      </c>
      <c r="D10765" s="17" t="s">
        <v>17166</v>
      </c>
      <c r="E10765" s="17"/>
      <c r="F10765" s="17" t="s">
        <v>17246</v>
      </c>
      <c r="G10765" s="17"/>
      <c r="H10765" s="17" t="s">
        <v>20919</v>
      </c>
      <c r="I10765" s="17"/>
      <c r="J10765" s="17" t="s">
        <v>21313</v>
      </c>
      <c r="K10765" s="17"/>
      <c r="L10765" s="17" t="s">
        <v>22378</v>
      </c>
      <c r="M10765" s="17"/>
      <c r="N10765" s="17" t="s">
        <v>22459</v>
      </c>
      <c r="O10765" s="17"/>
      <c r="P10765" s="17" t="s">
        <v>45008</v>
      </c>
      <c r="Q10765" s="17"/>
      <c r="R10765" s="25" t="str">
        <f>HYPERLINK("https://ictv.global/taxonomy/taxondetails?taxnode_id=202317292","Hodnevirus luticola")</f>
        <v>Hodnevirus luticola</v>
      </c>
      <c r="S10765" s="18" t="s">
        <v>30</v>
      </c>
      <c r="T10765" s="18" t="s">
        <v>45373</v>
      </c>
      <c r="U10765" s="18"/>
      <c r="V10765" s="18"/>
      <c r="W10765" s="18" t="s">
        <v>45374</v>
      </c>
      <c r="X10765" s="18" t="s">
        <v>35</v>
      </c>
      <c r="Y10765" s="18" t="s">
        <v>17171</v>
      </c>
      <c r="Z10765" s="18" t="s">
        <v>24637</v>
      </c>
      <c r="AA10765" s="21" t="str">
        <f>HYPERLINK("https://www.ncbi.nlm.nih.gov/nuccore/CASDWV010000775","NCBI Nucleotide")</f>
        <v>NCBI Nucleotide</v>
      </c>
    </row>
    <row r="10766" spans="1:27" x14ac:dyDescent="0.35">
      <c r="A10766">
        <v>1027033</v>
      </c>
      <c r="B10766">
        <v>10091</v>
      </c>
      <c r="C10766">
        <v>1</v>
      </c>
      <c r="D10766" s="17" t="s">
        <v>17166</v>
      </c>
      <c r="E10766" s="17"/>
      <c r="F10766" s="17" t="s">
        <v>17246</v>
      </c>
      <c r="G10766" s="17"/>
      <c r="H10766" s="17" t="s">
        <v>20919</v>
      </c>
      <c r="I10766" s="17"/>
      <c r="J10766" s="17" t="s">
        <v>21313</v>
      </c>
      <c r="K10766" s="17"/>
      <c r="L10766" s="17" t="s">
        <v>22378</v>
      </c>
      <c r="M10766" s="17"/>
      <c r="N10766" s="17" t="s">
        <v>22459</v>
      </c>
      <c r="O10766" s="17"/>
      <c r="P10766" s="17" t="s">
        <v>45008</v>
      </c>
      <c r="Q10766" s="17"/>
      <c r="R10766" s="25" t="str">
        <f>HYPERLINK("https://ictv.global/taxonomy/taxondetails?taxnode_id=202317293","Hodnevirus lutihabitans")</f>
        <v>Hodnevirus lutihabitans</v>
      </c>
      <c r="S10766" s="18" t="s">
        <v>30</v>
      </c>
      <c r="T10766" s="18" t="s">
        <v>45375</v>
      </c>
      <c r="U10766" s="18"/>
      <c r="V10766" s="18"/>
      <c r="W10766" s="18" t="s">
        <v>45376</v>
      </c>
      <c r="X10766" s="18" t="s">
        <v>35</v>
      </c>
      <c r="Y10766" s="18" t="s">
        <v>17171</v>
      </c>
      <c r="Z10766" s="18" t="s">
        <v>24637</v>
      </c>
      <c r="AA10766" s="21" t="str">
        <f>HYPERLINK("https://www.ncbi.nlm.nih.gov/nuccore/CASDWV010004440","NCBI Nucleotide")</f>
        <v>NCBI Nucleotide</v>
      </c>
    </row>
    <row r="10767" spans="1:27" x14ac:dyDescent="0.35">
      <c r="A10767">
        <v>1027034</v>
      </c>
      <c r="B10767">
        <v>10092</v>
      </c>
      <c r="C10767">
        <v>1</v>
      </c>
      <c r="D10767" s="17" t="s">
        <v>17166</v>
      </c>
      <c r="E10767" s="17"/>
      <c r="F10767" s="17" t="s">
        <v>17246</v>
      </c>
      <c r="G10767" s="17"/>
      <c r="H10767" s="17" t="s">
        <v>20919</v>
      </c>
      <c r="I10767" s="17"/>
      <c r="J10767" s="17" t="s">
        <v>21313</v>
      </c>
      <c r="K10767" s="17"/>
      <c r="L10767" s="17" t="s">
        <v>22378</v>
      </c>
      <c r="M10767" s="17"/>
      <c r="N10767" s="17" t="s">
        <v>22459</v>
      </c>
      <c r="O10767" s="17"/>
      <c r="P10767" s="17" t="s">
        <v>45008</v>
      </c>
      <c r="Q10767" s="17"/>
      <c r="R10767" s="25" t="str">
        <f>HYPERLINK("https://ictv.global/taxonomy/taxondetails?taxnode_id=202317294","Hodnevirus lutivicinum")</f>
        <v>Hodnevirus lutivicinum</v>
      </c>
      <c r="S10767" s="18" t="s">
        <v>30</v>
      </c>
      <c r="T10767" s="18" t="s">
        <v>45377</v>
      </c>
      <c r="U10767" s="18"/>
      <c r="V10767" s="18"/>
      <c r="W10767" s="18" t="s">
        <v>45378</v>
      </c>
      <c r="X10767" s="18" t="s">
        <v>35</v>
      </c>
      <c r="Y10767" s="18" t="s">
        <v>17171</v>
      </c>
      <c r="Z10767" s="18" t="s">
        <v>24637</v>
      </c>
      <c r="AA10767" s="21" t="str">
        <f>HYPERLINK("https://www.ncbi.nlm.nih.gov/nuccore/CASDWV010004912","NCBI Nucleotide")</f>
        <v>NCBI Nucleotide</v>
      </c>
    </row>
    <row r="10768" spans="1:27" x14ac:dyDescent="0.35">
      <c r="A10768">
        <v>1027035</v>
      </c>
      <c r="B10768">
        <v>10093</v>
      </c>
      <c r="C10768">
        <v>1</v>
      </c>
      <c r="D10768" s="17" t="s">
        <v>17166</v>
      </c>
      <c r="E10768" s="17"/>
      <c r="F10768" s="17" t="s">
        <v>17246</v>
      </c>
      <c r="G10768" s="17"/>
      <c r="H10768" s="17" t="s">
        <v>20919</v>
      </c>
      <c r="I10768" s="17"/>
      <c r="J10768" s="17" t="s">
        <v>21313</v>
      </c>
      <c r="K10768" s="17"/>
      <c r="L10768" s="17" t="s">
        <v>22378</v>
      </c>
      <c r="M10768" s="17"/>
      <c r="N10768" s="17" t="s">
        <v>22459</v>
      </c>
      <c r="O10768" s="17"/>
      <c r="P10768" s="17" t="s">
        <v>45008</v>
      </c>
      <c r="Q10768" s="17"/>
      <c r="R10768" s="25" t="str">
        <f>HYPERLINK("https://ictv.global/taxonomy/taxondetails?taxnode_id=202317295","Hodnevirus lutivivens")</f>
        <v>Hodnevirus lutivivens</v>
      </c>
      <c r="S10768" s="18" t="s">
        <v>30</v>
      </c>
      <c r="T10768" s="18" t="s">
        <v>45379</v>
      </c>
      <c r="U10768" s="18"/>
      <c r="V10768" s="18"/>
      <c r="W10768" s="18" t="s">
        <v>45380</v>
      </c>
      <c r="X10768" s="18" t="s">
        <v>35</v>
      </c>
      <c r="Y10768" s="18" t="s">
        <v>17171</v>
      </c>
      <c r="Z10768" s="18" t="s">
        <v>24637</v>
      </c>
      <c r="AA10768" s="21" t="str">
        <f>HYPERLINK("https://www.ncbi.nlm.nih.gov/nuccore/CASDWV010001932","NCBI Nucleotide")</f>
        <v>NCBI Nucleotide</v>
      </c>
    </row>
    <row r="10769" spans="1:27" x14ac:dyDescent="0.35">
      <c r="A10769">
        <v>1027036</v>
      </c>
      <c r="B10769">
        <v>10094</v>
      </c>
      <c r="C10769">
        <v>1</v>
      </c>
      <c r="D10769" s="17" t="s">
        <v>17166</v>
      </c>
      <c r="E10769" s="17"/>
      <c r="F10769" s="17" t="s">
        <v>17246</v>
      </c>
      <c r="G10769" s="17"/>
      <c r="H10769" s="17" t="s">
        <v>20919</v>
      </c>
      <c r="I10769" s="17"/>
      <c r="J10769" s="17" t="s">
        <v>21313</v>
      </c>
      <c r="K10769" s="17"/>
      <c r="L10769" s="17" t="s">
        <v>22378</v>
      </c>
      <c r="M10769" s="17"/>
      <c r="N10769" s="17" t="s">
        <v>22459</v>
      </c>
      <c r="O10769" s="17"/>
      <c r="P10769" s="17" t="s">
        <v>45008</v>
      </c>
      <c r="Q10769" s="17"/>
      <c r="R10769" s="25" t="str">
        <f>HYPERLINK("https://ictv.global/taxonomy/taxondetails?taxnode_id=202317296","Hodnevirus messadaptatum")</f>
        <v>Hodnevirus messadaptatum</v>
      </c>
      <c r="S10769" s="18" t="s">
        <v>30</v>
      </c>
      <c r="T10769" s="18" t="s">
        <v>45381</v>
      </c>
      <c r="U10769" s="18"/>
      <c r="V10769" s="18"/>
      <c r="W10769" s="18" t="s">
        <v>45382</v>
      </c>
      <c r="X10769" s="18" t="s">
        <v>35</v>
      </c>
      <c r="Y10769" s="18" t="s">
        <v>17171</v>
      </c>
      <c r="Z10769" s="18" t="s">
        <v>24637</v>
      </c>
      <c r="AA10769" s="21" t="str">
        <f>HYPERLINK("https://www.ncbi.nlm.nih.gov/nuccore/CASDWV010004834","NCBI Nucleotide")</f>
        <v>NCBI Nucleotide</v>
      </c>
    </row>
    <row r="10770" spans="1:27" x14ac:dyDescent="0.35">
      <c r="A10770">
        <v>1027037</v>
      </c>
      <c r="B10770">
        <v>10095</v>
      </c>
      <c r="C10770">
        <v>1</v>
      </c>
      <c r="D10770" s="17" t="s">
        <v>17166</v>
      </c>
      <c r="E10770" s="17"/>
      <c r="F10770" s="17" t="s">
        <v>17246</v>
      </c>
      <c r="G10770" s="17"/>
      <c r="H10770" s="17" t="s">
        <v>20919</v>
      </c>
      <c r="I10770" s="17"/>
      <c r="J10770" s="17" t="s">
        <v>21313</v>
      </c>
      <c r="K10770" s="17"/>
      <c r="L10770" s="17" t="s">
        <v>22378</v>
      </c>
      <c r="M10770" s="17"/>
      <c r="N10770" s="17" t="s">
        <v>22459</v>
      </c>
      <c r="O10770" s="17"/>
      <c r="P10770" s="17" t="s">
        <v>45008</v>
      </c>
      <c r="Q10770" s="17"/>
      <c r="R10770" s="25" t="str">
        <f>HYPERLINK("https://ictv.global/taxonomy/taxondetails?taxnode_id=202317297","Hodnevirus messenecus")</f>
        <v>Hodnevirus messenecus</v>
      </c>
      <c r="S10770" s="18" t="s">
        <v>30</v>
      </c>
      <c r="T10770" s="18" t="s">
        <v>45383</v>
      </c>
      <c r="U10770" s="18"/>
      <c r="V10770" s="18"/>
      <c r="W10770" s="18" t="s">
        <v>45384</v>
      </c>
      <c r="X10770" s="18" t="s">
        <v>35</v>
      </c>
      <c r="Y10770" s="18" t="s">
        <v>17171</v>
      </c>
      <c r="Z10770" s="18" t="s">
        <v>24637</v>
      </c>
      <c r="AA10770" s="21" t="str">
        <f>HYPERLINK("https://www.ncbi.nlm.nih.gov/nuccore/CASDWV010002221","NCBI Nucleotide")</f>
        <v>NCBI Nucleotide</v>
      </c>
    </row>
    <row r="10771" spans="1:27" x14ac:dyDescent="0.35">
      <c r="A10771">
        <v>1027038</v>
      </c>
      <c r="B10771">
        <v>10096</v>
      </c>
      <c r="C10771">
        <v>1</v>
      </c>
      <c r="D10771" s="17" t="s">
        <v>17166</v>
      </c>
      <c r="E10771" s="17"/>
      <c r="F10771" s="17" t="s">
        <v>17246</v>
      </c>
      <c r="G10771" s="17"/>
      <c r="H10771" s="17" t="s">
        <v>20919</v>
      </c>
      <c r="I10771" s="17"/>
      <c r="J10771" s="17" t="s">
        <v>21313</v>
      </c>
      <c r="K10771" s="17"/>
      <c r="L10771" s="17" t="s">
        <v>22378</v>
      </c>
      <c r="M10771" s="17"/>
      <c r="N10771" s="17" t="s">
        <v>22459</v>
      </c>
      <c r="O10771" s="17"/>
      <c r="P10771" s="17" t="s">
        <v>45008</v>
      </c>
      <c r="Q10771" s="17"/>
      <c r="R10771" s="25" t="str">
        <f>HYPERLINK("https://ictv.global/taxonomy/taxondetails?taxnode_id=202317298","Hodnevirus messicola")</f>
        <v>Hodnevirus messicola</v>
      </c>
      <c r="S10771" s="18" t="s">
        <v>30</v>
      </c>
      <c r="T10771" s="18" t="s">
        <v>45385</v>
      </c>
      <c r="U10771" s="18"/>
      <c r="V10771" s="18"/>
      <c r="W10771" s="18" t="s">
        <v>45386</v>
      </c>
      <c r="X10771" s="18" t="s">
        <v>35</v>
      </c>
      <c r="Y10771" s="18" t="s">
        <v>17171</v>
      </c>
      <c r="Z10771" s="18" t="s">
        <v>24637</v>
      </c>
      <c r="AA10771" s="21" t="str">
        <f>HYPERLINK("https://www.ncbi.nlm.nih.gov/nuccore/CASDWV010004380","NCBI Nucleotide")</f>
        <v>NCBI Nucleotide</v>
      </c>
    </row>
    <row r="10772" spans="1:27" x14ac:dyDescent="0.35">
      <c r="A10772">
        <v>1027039</v>
      </c>
      <c r="B10772">
        <v>10097</v>
      </c>
      <c r="C10772">
        <v>1</v>
      </c>
      <c r="D10772" s="17" t="s">
        <v>17166</v>
      </c>
      <c r="E10772" s="17"/>
      <c r="F10772" s="17" t="s">
        <v>17246</v>
      </c>
      <c r="G10772" s="17"/>
      <c r="H10772" s="17" t="s">
        <v>20919</v>
      </c>
      <c r="I10772" s="17"/>
      <c r="J10772" s="17" t="s">
        <v>21313</v>
      </c>
      <c r="K10772" s="17"/>
      <c r="L10772" s="17" t="s">
        <v>22378</v>
      </c>
      <c r="M10772" s="17"/>
      <c r="N10772" s="17" t="s">
        <v>22459</v>
      </c>
      <c r="O10772" s="17"/>
      <c r="P10772" s="17" t="s">
        <v>45008</v>
      </c>
      <c r="Q10772" s="17"/>
      <c r="R10772" s="25" t="str">
        <f>HYPERLINK("https://ictv.global/taxonomy/taxondetails?taxnode_id=202317299","Hodnevirus messihabitans")</f>
        <v>Hodnevirus messihabitans</v>
      </c>
      <c r="S10772" s="18" t="s">
        <v>30</v>
      </c>
      <c r="T10772" s="18" t="s">
        <v>45387</v>
      </c>
      <c r="U10772" s="18"/>
      <c r="V10772" s="18"/>
      <c r="W10772" s="18" t="s">
        <v>45388</v>
      </c>
      <c r="X10772" s="18" t="s">
        <v>35</v>
      </c>
      <c r="Y10772" s="18" t="s">
        <v>17171</v>
      </c>
      <c r="Z10772" s="18" t="s">
        <v>24637</v>
      </c>
      <c r="AA10772" s="21" t="str">
        <f>HYPERLINK("https://www.ncbi.nlm.nih.gov/nuccore/CASDWV010004264","NCBI Nucleotide")</f>
        <v>NCBI Nucleotide</v>
      </c>
    </row>
    <row r="10773" spans="1:27" x14ac:dyDescent="0.35">
      <c r="A10773">
        <v>1027040</v>
      </c>
      <c r="B10773">
        <v>10098</v>
      </c>
      <c r="C10773">
        <v>1</v>
      </c>
      <c r="D10773" s="17" t="s">
        <v>17166</v>
      </c>
      <c r="E10773" s="17"/>
      <c r="F10773" s="17" t="s">
        <v>17246</v>
      </c>
      <c r="G10773" s="17"/>
      <c r="H10773" s="17" t="s">
        <v>20919</v>
      </c>
      <c r="I10773" s="17"/>
      <c r="J10773" s="17" t="s">
        <v>21313</v>
      </c>
      <c r="K10773" s="17"/>
      <c r="L10773" s="17" t="s">
        <v>22378</v>
      </c>
      <c r="M10773" s="17"/>
      <c r="N10773" s="17" t="s">
        <v>22459</v>
      </c>
      <c r="O10773" s="17"/>
      <c r="P10773" s="17" t="s">
        <v>45008</v>
      </c>
      <c r="Q10773" s="17"/>
      <c r="R10773" s="25" t="str">
        <f>HYPERLINK("https://ictv.global/taxonomy/taxondetails?taxnode_id=202317300","Hodnevirus messivicinum")</f>
        <v>Hodnevirus messivicinum</v>
      </c>
      <c r="S10773" s="18" t="s">
        <v>30</v>
      </c>
      <c r="T10773" s="18" t="s">
        <v>45389</v>
      </c>
      <c r="U10773" s="18"/>
      <c r="V10773" s="18"/>
      <c r="W10773" s="18" t="s">
        <v>45390</v>
      </c>
      <c r="X10773" s="18" t="s">
        <v>35</v>
      </c>
      <c r="Y10773" s="18" t="s">
        <v>17171</v>
      </c>
      <c r="Z10773" s="18" t="s">
        <v>24637</v>
      </c>
      <c r="AA10773" s="21" t="str">
        <f>HYPERLINK("https://www.ncbi.nlm.nih.gov/nuccore/CASDWV010001802","NCBI Nucleotide")</f>
        <v>NCBI Nucleotide</v>
      </c>
    </row>
    <row r="10774" spans="1:27" x14ac:dyDescent="0.35">
      <c r="A10774">
        <v>1027041</v>
      </c>
      <c r="B10774">
        <v>10099</v>
      </c>
      <c r="C10774">
        <v>1</v>
      </c>
      <c r="D10774" s="17" t="s">
        <v>17166</v>
      </c>
      <c r="E10774" s="17"/>
      <c r="F10774" s="17" t="s">
        <v>17246</v>
      </c>
      <c r="G10774" s="17"/>
      <c r="H10774" s="17" t="s">
        <v>20919</v>
      </c>
      <c r="I10774" s="17"/>
      <c r="J10774" s="17" t="s">
        <v>21313</v>
      </c>
      <c r="K10774" s="17"/>
      <c r="L10774" s="17" t="s">
        <v>22378</v>
      </c>
      <c r="M10774" s="17"/>
      <c r="N10774" s="17" t="s">
        <v>22459</v>
      </c>
      <c r="O10774" s="17"/>
      <c r="P10774" s="17" t="s">
        <v>45008</v>
      </c>
      <c r="Q10774" s="17"/>
      <c r="R10774" s="25" t="str">
        <f>HYPERLINK("https://ictv.global/taxonomy/taxondetails?taxnode_id=202317301","Hodnevirus messivivens")</f>
        <v>Hodnevirus messivivens</v>
      </c>
      <c r="S10774" s="18" t="s">
        <v>30</v>
      </c>
      <c r="T10774" s="18" t="s">
        <v>45391</v>
      </c>
      <c r="U10774" s="18"/>
      <c r="V10774" s="18"/>
      <c r="W10774" s="18" t="s">
        <v>45392</v>
      </c>
      <c r="X10774" s="18" t="s">
        <v>35</v>
      </c>
      <c r="Y10774" s="18" t="s">
        <v>17171</v>
      </c>
      <c r="Z10774" s="18" t="s">
        <v>24637</v>
      </c>
      <c r="AA10774" s="21" t="str">
        <f>HYPERLINK("https://www.ncbi.nlm.nih.gov/nuccore/CASDWV010004801","NCBI Nucleotide")</f>
        <v>NCBI Nucleotide</v>
      </c>
    </row>
    <row r="10775" spans="1:27" x14ac:dyDescent="0.35">
      <c r="A10775">
        <v>1010085</v>
      </c>
      <c r="B10775">
        <v>10100</v>
      </c>
      <c r="C10775">
        <v>1</v>
      </c>
      <c r="D10775" s="17" t="s">
        <v>17166</v>
      </c>
      <c r="E10775" s="17"/>
      <c r="F10775" s="17" t="s">
        <v>17246</v>
      </c>
      <c r="G10775" s="17"/>
      <c r="H10775" s="17" t="s">
        <v>20919</v>
      </c>
      <c r="I10775" s="17"/>
      <c r="J10775" s="17" t="s">
        <v>21313</v>
      </c>
      <c r="K10775" s="17"/>
      <c r="L10775" s="17" t="s">
        <v>22378</v>
      </c>
      <c r="M10775" s="17"/>
      <c r="N10775" s="17" t="s">
        <v>22459</v>
      </c>
      <c r="O10775" s="17"/>
      <c r="P10775" s="17" t="s">
        <v>45008</v>
      </c>
      <c r="Q10775" s="17"/>
      <c r="R10775" s="25" t="str">
        <f>HYPERLINK("https://ictv.global/taxonomy/taxondetails?taxnode_id=202311313","Hodnevirus monoagrihabitans")</f>
        <v>Hodnevirus monoagrihabitans</v>
      </c>
      <c r="S10775" s="18" t="s">
        <v>30</v>
      </c>
      <c r="T10775" s="18" t="s">
        <v>23016</v>
      </c>
      <c r="U10775" s="18"/>
      <c r="V10775" s="18"/>
      <c r="W10775" s="18" t="s">
        <v>23017</v>
      </c>
      <c r="X10775" s="18" t="s">
        <v>35</v>
      </c>
      <c r="Y10775" s="18" t="s">
        <v>17171</v>
      </c>
      <c r="Z10775" s="18" t="s">
        <v>697</v>
      </c>
      <c r="AA10775" s="21" t="str">
        <f>HYPERLINK("https://www.ncbi.nlm.nih.gov/nuccore/BK013993","NCBI Nucleotide")</f>
        <v>NCBI Nucleotide</v>
      </c>
    </row>
    <row r="10776" spans="1:27" x14ac:dyDescent="0.35">
      <c r="A10776">
        <v>1010086</v>
      </c>
      <c r="B10776">
        <v>10101</v>
      </c>
      <c r="C10776">
        <v>1</v>
      </c>
      <c r="D10776" s="17" t="s">
        <v>17166</v>
      </c>
      <c r="E10776" s="17"/>
      <c r="F10776" s="17" t="s">
        <v>17246</v>
      </c>
      <c r="G10776" s="17"/>
      <c r="H10776" s="17" t="s">
        <v>20919</v>
      </c>
      <c r="I10776" s="17"/>
      <c r="J10776" s="17" t="s">
        <v>21313</v>
      </c>
      <c r="K10776" s="17"/>
      <c r="L10776" s="17" t="s">
        <v>22378</v>
      </c>
      <c r="M10776" s="17"/>
      <c r="N10776" s="17" t="s">
        <v>22459</v>
      </c>
      <c r="O10776" s="17"/>
      <c r="P10776" s="17" t="s">
        <v>45008</v>
      </c>
      <c r="Q10776" s="17"/>
      <c r="R10776" s="25" t="str">
        <f>HYPERLINK("https://ictv.global/taxonomy/taxondetails?taxnode_id=202311314","Hodnevirus monoagrivicinum")</f>
        <v>Hodnevirus monoagrivicinum</v>
      </c>
      <c r="S10776" s="18" t="s">
        <v>30</v>
      </c>
      <c r="T10776" s="18" t="s">
        <v>23018</v>
      </c>
      <c r="U10776" s="18"/>
      <c r="V10776" s="18"/>
      <c r="W10776" s="18" t="s">
        <v>23019</v>
      </c>
      <c r="X10776" s="18" t="s">
        <v>35</v>
      </c>
      <c r="Y10776" s="18" t="s">
        <v>17171</v>
      </c>
      <c r="Z10776" s="18" t="s">
        <v>697</v>
      </c>
      <c r="AA10776" s="21" t="str">
        <f>HYPERLINK("https://www.ncbi.nlm.nih.gov/nuccore/BK013943","NCBI Nucleotide")</f>
        <v>NCBI Nucleotide</v>
      </c>
    </row>
    <row r="10777" spans="1:27" x14ac:dyDescent="0.35">
      <c r="A10777">
        <v>1010087</v>
      </c>
      <c r="B10777">
        <v>10102</v>
      </c>
      <c r="C10777">
        <v>1</v>
      </c>
      <c r="D10777" s="17" t="s">
        <v>17166</v>
      </c>
      <c r="E10777" s="17"/>
      <c r="F10777" s="17" t="s">
        <v>17246</v>
      </c>
      <c r="G10777" s="17"/>
      <c r="H10777" s="17" t="s">
        <v>20919</v>
      </c>
      <c r="I10777" s="17"/>
      <c r="J10777" s="17" t="s">
        <v>21313</v>
      </c>
      <c r="K10777" s="17"/>
      <c r="L10777" s="17" t="s">
        <v>22378</v>
      </c>
      <c r="M10777" s="17"/>
      <c r="N10777" s="17" t="s">
        <v>22459</v>
      </c>
      <c r="O10777" s="17"/>
      <c r="P10777" s="17" t="s">
        <v>45008</v>
      </c>
      <c r="Q10777" s="17"/>
      <c r="R10777" s="25" t="str">
        <f>HYPERLINK("https://ictv.global/taxonomy/taxondetails?taxnode_id=202311315","Hodnevirus monoagrivivens")</f>
        <v>Hodnevirus monoagrivivens</v>
      </c>
      <c r="S10777" s="18" t="s">
        <v>30</v>
      </c>
      <c r="T10777" s="18" t="s">
        <v>23020</v>
      </c>
      <c r="U10777" s="18"/>
      <c r="V10777" s="18"/>
      <c r="W10777" s="18" t="s">
        <v>23021</v>
      </c>
      <c r="X10777" s="18" t="s">
        <v>35</v>
      </c>
      <c r="Y10777" s="18" t="s">
        <v>17171</v>
      </c>
      <c r="Z10777" s="18" t="s">
        <v>697</v>
      </c>
      <c r="AA10777" s="21" t="str">
        <f>HYPERLINK("https://www.ncbi.nlm.nih.gov/nuccore/BK013878","NCBI Nucleotide")</f>
        <v>NCBI Nucleotide</v>
      </c>
    </row>
    <row r="10778" spans="1:27" x14ac:dyDescent="0.35">
      <c r="A10778">
        <v>1010088</v>
      </c>
      <c r="B10778">
        <v>10103</v>
      </c>
      <c r="C10778">
        <v>1</v>
      </c>
      <c r="D10778" s="17" t="s">
        <v>17166</v>
      </c>
      <c r="E10778" s="17"/>
      <c r="F10778" s="17" t="s">
        <v>17246</v>
      </c>
      <c r="G10778" s="17"/>
      <c r="H10778" s="17" t="s">
        <v>20919</v>
      </c>
      <c r="I10778" s="17"/>
      <c r="J10778" s="17" t="s">
        <v>21313</v>
      </c>
      <c r="K10778" s="17"/>
      <c r="L10778" s="17" t="s">
        <v>22378</v>
      </c>
      <c r="M10778" s="17"/>
      <c r="N10778" s="17" t="s">
        <v>22459</v>
      </c>
      <c r="O10778" s="17"/>
      <c r="P10778" s="17" t="s">
        <v>45008</v>
      </c>
      <c r="Q10778" s="17"/>
      <c r="R10778" s="25" t="str">
        <f>HYPERLINK("https://ictv.global/taxonomy/taxondetails?taxnode_id=202311316","Hodnevirus monochoradaptatum")</f>
        <v>Hodnevirus monochoradaptatum</v>
      </c>
      <c r="S10778" s="18" t="s">
        <v>30</v>
      </c>
      <c r="T10778" s="18" t="s">
        <v>23022</v>
      </c>
      <c r="U10778" s="18"/>
      <c r="V10778" s="18"/>
      <c r="W10778" s="18" t="s">
        <v>23023</v>
      </c>
      <c r="X10778" s="18" t="s">
        <v>35</v>
      </c>
      <c r="Y10778" s="18" t="s">
        <v>17171</v>
      </c>
      <c r="Z10778" s="18" t="s">
        <v>697</v>
      </c>
      <c r="AA10778" s="21" t="str">
        <f>HYPERLINK("https://www.ncbi.nlm.nih.gov/nuccore/BK013389","NCBI Nucleotide")</f>
        <v>NCBI Nucleotide</v>
      </c>
    </row>
    <row r="10779" spans="1:27" x14ac:dyDescent="0.35">
      <c r="A10779">
        <v>1010089</v>
      </c>
      <c r="B10779">
        <v>10104</v>
      </c>
      <c r="C10779">
        <v>1</v>
      </c>
      <c r="D10779" s="17" t="s">
        <v>17166</v>
      </c>
      <c r="E10779" s="17"/>
      <c r="F10779" s="17" t="s">
        <v>17246</v>
      </c>
      <c r="G10779" s="17"/>
      <c r="H10779" s="17" t="s">
        <v>20919</v>
      </c>
      <c r="I10779" s="17"/>
      <c r="J10779" s="17" t="s">
        <v>21313</v>
      </c>
      <c r="K10779" s="17"/>
      <c r="L10779" s="17" t="s">
        <v>22378</v>
      </c>
      <c r="M10779" s="17"/>
      <c r="N10779" s="17" t="s">
        <v>22459</v>
      </c>
      <c r="O10779" s="17"/>
      <c r="P10779" s="17" t="s">
        <v>45008</v>
      </c>
      <c r="Q10779" s="17"/>
      <c r="R10779" s="25" t="str">
        <f>HYPERLINK("https://ictv.global/taxonomy/taxondetails?taxnode_id=202311317","Hodnevirus monochorenecus")</f>
        <v>Hodnevirus monochorenecus</v>
      </c>
      <c r="S10779" s="18" t="s">
        <v>30</v>
      </c>
      <c r="T10779" s="18" t="s">
        <v>23024</v>
      </c>
      <c r="U10779" s="18"/>
      <c r="V10779" s="18"/>
      <c r="W10779" s="18" t="s">
        <v>23025</v>
      </c>
      <c r="X10779" s="18" t="s">
        <v>35</v>
      </c>
      <c r="Y10779" s="18" t="s">
        <v>17171</v>
      </c>
      <c r="Z10779" s="18" t="s">
        <v>697</v>
      </c>
      <c r="AA10779" s="21" t="str">
        <f>HYPERLINK("https://www.ncbi.nlm.nih.gov/nuccore/BK013872","NCBI Nucleotide")</f>
        <v>NCBI Nucleotide</v>
      </c>
    </row>
    <row r="10780" spans="1:27" x14ac:dyDescent="0.35">
      <c r="A10780">
        <v>1010090</v>
      </c>
      <c r="B10780">
        <v>10105</v>
      </c>
      <c r="C10780">
        <v>1</v>
      </c>
      <c r="D10780" s="17" t="s">
        <v>17166</v>
      </c>
      <c r="E10780" s="17"/>
      <c r="F10780" s="17" t="s">
        <v>17246</v>
      </c>
      <c r="G10780" s="17"/>
      <c r="H10780" s="17" t="s">
        <v>20919</v>
      </c>
      <c r="I10780" s="17"/>
      <c r="J10780" s="17" t="s">
        <v>21313</v>
      </c>
      <c r="K10780" s="17"/>
      <c r="L10780" s="17" t="s">
        <v>22378</v>
      </c>
      <c r="M10780" s="17"/>
      <c r="N10780" s="17" t="s">
        <v>22459</v>
      </c>
      <c r="O10780" s="17"/>
      <c r="P10780" s="17" t="s">
        <v>45008</v>
      </c>
      <c r="Q10780" s="17"/>
      <c r="R10780" s="25" t="str">
        <f>HYPERLINK("https://ictv.global/taxonomy/taxondetails?taxnode_id=202311312","Hodnevirus monochorocola")</f>
        <v>Hodnevirus monochorocola</v>
      </c>
      <c r="S10780" s="18" t="s">
        <v>30</v>
      </c>
      <c r="T10780" s="18" t="s">
        <v>23026</v>
      </c>
      <c r="U10780" s="18"/>
      <c r="V10780" s="18"/>
      <c r="W10780" s="18" t="s">
        <v>23027</v>
      </c>
      <c r="X10780" s="18" t="s">
        <v>35</v>
      </c>
      <c r="Y10780" s="18" t="s">
        <v>17171</v>
      </c>
      <c r="Z10780" s="18" t="s">
        <v>697</v>
      </c>
      <c r="AA10780" s="21" t="str">
        <f>HYPERLINK("https://www.ncbi.nlm.nih.gov/nuccore/BK013968","NCBI Nucleotide")</f>
        <v>NCBI Nucleotide</v>
      </c>
    </row>
    <row r="10781" spans="1:27" x14ac:dyDescent="0.35">
      <c r="A10781">
        <v>1010075</v>
      </c>
      <c r="B10781">
        <v>10106</v>
      </c>
      <c r="C10781">
        <v>1</v>
      </c>
      <c r="D10781" s="17" t="s">
        <v>17166</v>
      </c>
      <c r="E10781" s="17"/>
      <c r="F10781" s="17" t="s">
        <v>17246</v>
      </c>
      <c r="G10781" s="17"/>
      <c r="H10781" s="17" t="s">
        <v>20919</v>
      </c>
      <c r="I10781" s="17"/>
      <c r="J10781" s="17" t="s">
        <v>21313</v>
      </c>
      <c r="K10781" s="17"/>
      <c r="L10781" s="17" t="s">
        <v>22378</v>
      </c>
      <c r="M10781" s="17"/>
      <c r="N10781" s="17" t="s">
        <v>22459</v>
      </c>
      <c r="O10781" s="17"/>
      <c r="P10781" s="17" t="s">
        <v>45008</v>
      </c>
      <c r="Q10781" s="17"/>
      <c r="R10781" s="25" t="str">
        <f>HYPERLINK("https://ictv.global/taxonomy/taxondetails?taxnode_id=202311295","Hodnevirus monohumihabitans")</f>
        <v>Hodnevirus monohumihabitans</v>
      </c>
      <c r="S10781" s="18" t="s">
        <v>30</v>
      </c>
      <c r="T10781" s="18" t="s">
        <v>22992</v>
      </c>
      <c r="U10781" s="18"/>
      <c r="V10781" s="18"/>
      <c r="W10781" s="18" t="s">
        <v>22993</v>
      </c>
      <c r="X10781" s="18" t="s">
        <v>35</v>
      </c>
      <c r="Y10781" s="18" t="s">
        <v>17171</v>
      </c>
      <c r="Z10781" s="18" t="s">
        <v>697</v>
      </c>
      <c r="AA10781" s="21" t="str">
        <f>HYPERLINK("https://www.ncbi.nlm.nih.gov/nuccore/BK013476","NCBI Nucleotide")</f>
        <v>NCBI Nucleotide</v>
      </c>
    </row>
    <row r="10782" spans="1:27" x14ac:dyDescent="0.35">
      <c r="A10782">
        <v>1010076</v>
      </c>
      <c r="B10782">
        <v>10107</v>
      </c>
      <c r="C10782">
        <v>1</v>
      </c>
      <c r="D10782" s="17" t="s">
        <v>17166</v>
      </c>
      <c r="E10782" s="17"/>
      <c r="F10782" s="17" t="s">
        <v>17246</v>
      </c>
      <c r="G10782" s="17"/>
      <c r="H10782" s="17" t="s">
        <v>20919</v>
      </c>
      <c r="I10782" s="17"/>
      <c r="J10782" s="17" t="s">
        <v>21313</v>
      </c>
      <c r="K10782" s="17"/>
      <c r="L10782" s="17" t="s">
        <v>22378</v>
      </c>
      <c r="M10782" s="17"/>
      <c r="N10782" s="17" t="s">
        <v>22459</v>
      </c>
      <c r="O10782" s="17"/>
      <c r="P10782" s="17" t="s">
        <v>45008</v>
      </c>
      <c r="Q10782" s="17"/>
      <c r="R10782" s="25" t="str">
        <f>HYPERLINK("https://ictv.global/taxonomy/taxondetails?taxnode_id=202311296","Hodnevirus monohumivicinum")</f>
        <v>Hodnevirus monohumivicinum</v>
      </c>
      <c r="S10782" s="18" t="s">
        <v>30</v>
      </c>
      <c r="T10782" s="18" t="s">
        <v>22994</v>
      </c>
      <c r="U10782" s="18"/>
      <c r="V10782" s="18"/>
      <c r="W10782" s="18" t="s">
        <v>22995</v>
      </c>
      <c r="X10782" s="18" t="s">
        <v>35</v>
      </c>
      <c r="Y10782" s="18" t="s">
        <v>17171</v>
      </c>
      <c r="Z10782" s="18" t="s">
        <v>697</v>
      </c>
      <c r="AA10782" s="21" t="str">
        <f>HYPERLINK("https://www.ncbi.nlm.nih.gov/nuccore/BK013887","NCBI Nucleotide")</f>
        <v>NCBI Nucleotide</v>
      </c>
    </row>
    <row r="10783" spans="1:27" x14ac:dyDescent="0.35">
      <c r="A10783">
        <v>1010077</v>
      </c>
      <c r="B10783">
        <v>10108</v>
      </c>
      <c r="C10783">
        <v>1</v>
      </c>
      <c r="D10783" s="17" t="s">
        <v>17166</v>
      </c>
      <c r="E10783" s="17"/>
      <c r="F10783" s="17" t="s">
        <v>17246</v>
      </c>
      <c r="G10783" s="17"/>
      <c r="H10783" s="17" t="s">
        <v>20919</v>
      </c>
      <c r="I10783" s="17"/>
      <c r="J10783" s="17" t="s">
        <v>21313</v>
      </c>
      <c r="K10783" s="17"/>
      <c r="L10783" s="17" t="s">
        <v>22378</v>
      </c>
      <c r="M10783" s="17"/>
      <c r="N10783" s="17" t="s">
        <v>22459</v>
      </c>
      <c r="O10783" s="17"/>
      <c r="P10783" s="17" t="s">
        <v>45008</v>
      </c>
      <c r="Q10783" s="17"/>
      <c r="R10783" s="25" t="str">
        <f>HYPERLINK("https://ictv.global/taxonomy/taxondetails?taxnode_id=202311297","Hodnevirus monohumivivens")</f>
        <v>Hodnevirus monohumivivens</v>
      </c>
      <c r="S10783" s="18" t="s">
        <v>30</v>
      </c>
      <c r="T10783" s="18" t="s">
        <v>22996</v>
      </c>
      <c r="U10783" s="18"/>
      <c r="V10783" s="18"/>
      <c r="W10783" s="18" t="s">
        <v>22997</v>
      </c>
      <c r="X10783" s="18" t="s">
        <v>35</v>
      </c>
      <c r="Y10783" s="18" t="s">
        <v>17171</v>
      </c>
      <c r="Z10783" s="18" t="s">
        <v>697</v>
      </c>
      <c r="AA10783" s="21" t="str">
        <f>HYPERLINK("https://www.ncbi.nlm.nih.gov/nuccore/BK013834","NCBI Nucleotide")</f>
        <v>NCBI Nucleotide</v>
      </c>
    </row>
    <row r="10784" spans="1:27" x14ac:dyDescent="0.35">
      <c r="A10784">
        <v>1009971</v>
      </c>
      <c r="B10784">
        <v>10109</v>
      </c>
      <c r="C10784">
        <v>1</v>
      </c>
      <c r="D10784" s="17" t="s">
        <v>17166</v>
      </c>
      <c r="E10784" s="17"/>
      <c r="F10784" s="17" t="s">
        <v>17246</v>
      </c>
      <c r="G10784" s="17"/>
      <c r="H10784" s="17" t="s">
        <v>20919</v>
      </c>
      <c r="I10784" s="17"/>
      <c r="J10784" s="17" t="s">
        <v>21313</v>
      </c>
      <c r="K10784" s="17"/>
      <c r="L10784" s="17" t="s">
        <v>22378</v>
      </c>
      <c r="M10784" s="17"/>
      <c r="N10784" s="17" t="s">
        <v>22459</v>
      </c>
      <c r="O10784" s="17"/>
      <c r="P10784" s="17" t="s">
        <v>45008</v>
      </c>
      <c r="Q10784" s="17"/>
      <c r="R10784" s="25" t="str">
        <f>HYPERLINK("https://ictv.global/taxonomy/taxondetails?taxnode_id=202311151","Hodnevirus mononeoagricola")</f>
        <v>Hodnevirus mononeoagricola</v>
      </c>
      <c r="S10784" s="18" t="s">
        <v>30</v>
      </c>
      <c r="T10784" s="18" t="s">
        <v>22781</v>
      </c>
      <c r="U10784" s="18"/>
      <c r="V10784" s="18"/>
      <c r="W10784" s="18" t="s">
        <v>22782</v>
      </c>
      <c r="X10784" s="18" t="s">
        <v>35</v>
      </c>
      <c r="Y10784" s="18" t="s">
        <v>17171</v>
      </c>
      <c r="Z10784" s="18" t="s">
        <v>697</v>
      </c>
      <c r="AA10784" s="21" t="str">
        <f>HYPERLINK("https://www.ncbi.nlm.nih.gov/nuccore/BK013449","NCBI Nucleotide")</f>
        <v>NCBI Nucleotide</v>
      </c>
    </row>
    <row r="10785" spans="1:27" x14ac:dyDescent="0.35">
      <c r="A10785">
        <v>1009978</v>
      </c>
      <c r="B10785">
        <v>10110</v>
      </c>
      <c r="C10785">
        <v>1</v>
      </c>
      <c r="D10785" s="17" t="s">
        <v>17166</v>
      </c>
      <c r="E10785" s="17"/>
      <c r="F10785" s="17" t="s">
        <v>17246</v>
      </c>
      <c r="G10785" s="17"/>
      <c r="H10785" s="17" t="s">
        <v>20919</v>
      </c>
      <c r="I10785" s="17"/>
      <c r="J10785" s="17" t="s">
        <v>21313</v>
      </c>
      <c r="K10785" s="17"/>
      <c r="L10785" s="17" t="s">
        <v>22378</v>
      </c>
      <c r="M10785" s="17"/>
      <c r="N10785" s="17" t="s">
        <v>22459</v>
      </c>
      <c r="O10785" s="17"/>
      <c r="P10785" s="17" t="s">
        <v>45008</v>
      </c>
      <c r="Q10785" s="17"/>
      <c r="R10785" s="25" t="str">
        <f>HYPERLINK("https://ictv.global/taxonomy/taxondetails?taxnode_id=202311159","Hodnevirus mononeochorohabitans")</f>
        <v>Hodnevirus mononeochorohabitans</v>
      </c>
      <c r="S10785" s="18" t="s">
        <v>30</v>
      </c>
      <c r="T10785" s="18" t="s">
        <v>22795</v>
      </c>
      <c r="U10785" s="18"/>
      <c r="V10785" s="18"/>
      <c r="W10785" s="18" t="s">
        <v>22796</v>
      </c>
      <c r="X10785" s="18" t="s">
        <v>35</v>
      </c>
      <c r="Y10785" s="18" t="s">
        <v>17171</v>
      </c>
      <c r="Z10785" s="18" t="s">
        <v>697</v>
      </c>
      <c r="AA10785" s="21" t="str">
        <f>HYPERLINK("https://www.ncbi.nlm.nih.gov/nuccore/BK013940","NCBI Nucleotide")</f>
        <v>NCBI Nucleotide</v>
      </c>
    </row>
    <row r="10786" spans="1:27" x14ac:dyDescent="0.35">
      <c r="A10786">
        <v>1009979</v>
      </c>
      <c r="B10786">
        <v>10111</v>
      </c>
      <c r="C10786">
        <v>1</v>
      </c>
      <c r="D10786" s="17" t="s">
        <v>17166</v>
      </c>
      <c r="E10786" s="17"/>
      <c r="F10786" s="17" t="s">
        <v>17246</v>
      </c>
      <c r="G10786" s="17"/>
      <c r="H10786" s="17" t="s">
        <v>20919</v>
      </c>
      <c r="I10786" s="17"/>
      <c r="J10786" s="17" t="s">
        <v>21313</v>
      </c>
      <c r="K10786" s="17"/>
      <c r="L10786" s="17" t="s">
        <v>22378</v>
      </c>
      <c r="M10786" s="17"/>
      <c r="N10786" s="17" t="s">
        <v>22459</v>
      </c>
      <c r="O10786" s="17"/>
      <c r="P10786" s="17" t="s">
        <v>45008</v>
      </c>
      <c r="Q10786" s="17"/>
      <c r="R10786" s="25" t="str">
        <f>HYPERLINK("https://ictv.global/taxonomy/taxondetails?taxnode_id=202311160","Hodnevirus mononeochorovicinum")</f>
        <v>Hodnevirus mononeochorovicinum</v>
      </c>
      <c r="S10786" s="18" t="s">
        <v>30</v>
      </c>
      <c r="T10786" s="18" t="s">
        <v>22797</v>
      </c>
      <c r="U10786" s="18"/>
      <c r="V10786" s="18"/>
      <c r="W10786" s="18" t="s">
        <v>22798</v>
      </c>
      <c r="X10786" s="18" t="s">
        <v>35</v>
      </c>
      <c r="Y10786" s="18" t="s">
        <v>17171</v>
      </c>
      <c r="Z10786" s="18" t="s">
        <v>697</v>
      </c>
      <c r="AA10786" s="21" t="str">
        <f>HYPERLINK("https://www.ncbi.nlm.nih.gov/nuccore/BK013991","NCBI Nucleotide")</f>
        <v>NCBI Nucleotide</v>
      </c>
    </row>
    <row r="10787" spans="1:27" x14ac:dyDescent="0.35">
      <c r="A10787">
        <v>1009980</v>
      </c>
      <c r="B10787">
        <v>10112</v>
      </c>
      <c r="C10787">
        <v>1</v>
      </c>
      <c r="D10787" s="17" t="s">
        <v>17166</v>
      </c>
      <c r="E10787" s="17"/>
      <c r="F10787" s="17" t="s">
        <v>17246</v>
      </c>
      <c r="G10787" s="17"/>
      <c r="H10787" s="17" t="s">
        <v>20919</v>
      </c>
      <c r="I10787" s="17"/>
      <c r="J10787" s="17" t="s">
        <v>21313</v>
      </c>
      <c r="K10787" s="17"/>
      <c r="L10787" s="17" t="s">
        <v>22378</v>
      </c>
      <c r="M10787" s="17"/>
      <c r="N10787" s="17" t="s">
        <v>22459</v>
      </c>
      <c r="O10787" s="17"/>
      <c r="P10787" s="17" t="s">
        <v>45008</v>
      </c>
      <c r="Q10787" s="17"/>
      <c r="R10787" s="25" t="str">
        <f>HYPERLINK("https://ictv.global/taxonomy/taxondetails?taxnode_id=202311161","Hodnevirus mononeochorovivens")</f>
        <v>Hodnevirus mononeochorovivens</v>
      </c>
      <c r="S10787" s="18" t="s">
        <v>30</v>
      </c>
      <c r="T10787" s="18" t="s">
        <v>22799</v>
      </c>
      <c r="U10787" s="18"/>
      <c r="V10787" s="18"/>
      <c r="W10787" s="18" t="s">
        <v>22800</v>
      </c>
      <c r="X10787" s="18" t="s">
        <v>35</v>
      </c>
      <c r="Y10787" s="18" t="s">
        <v>17171</v>
      </c>
      <c r="Z10787" s="18" t="s">
        <v>697</v>
      </c>
      <c r="AA10787" s="21" t="str">
        <f>HYPERLINK("https://www.ncbi.nlm.nih.gov/nuccore/BK013432","NCBI Nucleotide")</f>
        <v>NCBI Nucleotide</v>
      </c>
    </row>
    <row r="10788" spans="1:27" x14ac:dyDescent="0.35">
      <c r="A10788">
        <v>1009981</v>
      </c>
      <c r="B10788">
        <v>10113</v>
      </c>
      <c r="C10788">
        <v>1</v>
      </c>
      <c r="D10788" s="17" t="s">
        <v>17166</v>
      </c>
      <c r="E10788" s="17"/>
      <c r="F10788" s="17" t="s">
        <v>17246</v>
      </c>
      <c r="G10788" s="17"/>
      <c r="H10788" s="17" t="s">
        <v>20919</v>
      </c>
      <c r="I10788" s="17"/>
      <c r="J10788" s="17" t="s">
        <v>21313</v>
      </c>
      <c r="K10788" s="17"/>
      <c r="L10788" s="17" t="s">
        <v>22378</v>
      </c>
      <c r="M10788" s="17"/>
      <c r="N10788" s="17" t="s">
        <v>22459</v>
      </c>
      <c r="O10788" s="17"/>
      <c r="P10788" s="17" t="s">
        <v>45008</v>
      </c>
      <c r="Q10788" s="17"/>
      <c r="R10788" s="25" t="str">
        <f>HYPERLINK("https://ictv.global/taxonomy/taxondetails?taxnode_id=202311145","Hodnevirus mononeohumadaptatum")</f>
        <v>Hodnevirus mononeohumadaptatum</v>
      </c>
      <c r="S10788" s="18" t="s">
        <v>30</v>
      </c>
      <c r="T10788" s="18" t="s">
        <v>22801</v>
      </c>
      <c r="U10788" s="18"/>
      <c r="V10788" s="18"/>
      <c r="W10788" s="18" t="s">
        <v>22802</v>
      </c>
      <c r="X10788" s="18" t="s">
        <v>35</v>
      </c>
      <c r="Y10788" s="18" t="s">
        <v>17171</v>
      </c>
      <c r="Z10788" s="18" t="s">
        <v>697</v>
      </c>
      <c r="AA10788" s="21" t="str">
        <f>HYPERLINK("https://www.ncbi.nlm.nih.gov/nuccore/BK013796","NCBI Nucleotide")</f>
        <v>NCBI Nucleotide</v>
      </c>
    </row>
    <row r="10789" spans="1:27" x14ac:dyDescent="0.35">
      <c r="A10789">
        <v>1009982</v>
      </c>
      <c r="B10789">
        <v>10114</v>
      </c>
      <c r="C10789">
        <v>1</v>
      </c>
      <c r="D10789" s="17" t="s">
        <v>17166</v>
      </c>
      <c r="E10789" s="17"/>
      <c r="F10789" s="17" t="s">
        <v>17246</v>
      </c>
      <c r="G10789" s="17"/>
      <c r="H10789" s="17" t="s">
        <v>20919</v>
      </c>
      <c r="I10789" s="17"/>
      <c r="J10789" s="17" t="s">
        <v>21313</v>
      </c>
      <c r="K10789" s="17"/>
      <c r="L10789" s="17" t="s">
        <v>22378</v>
      </c>
      <c r="M10789" s="17"/>
      <c r="N10789" s="17" t="s">
        <v>22459</v>
      </c>
      <c r="O10789" s="17"/>
      <c r="P10789" s="17" t="s">
        <v>45008</v>
      </c>
      <c r="Q10789" s="17"/>
      <c r="R10789" s="25" t="str">
        <f>HYPERLINK("https://ictv.global/taxonomy/taxondetails?taxnode_id=202311147","Hodnevirus mononeohumenecus")</f>
        <v>Hodnevirus mononeohumenecus</v>
      </c>
      <c r="S10789" s="18" t="s">
        <v>30</v>
      </c>
      <c r="T10789" s="18" t="s">
        <v>22803</v>
      </c>
      <c r="U10789" s="18"/>
      <c r="V10789" s="18"/>
      <c r="W10789" s="18" t="s">
        <v>22804</v>
      </c>
      <c r="X10789" s="18" t="s">
        <v>35</v>
      </c>
      <c r="Y10789" s="18" t="s">
        <v>17171</v>
      </c>
      <c r="Z10789" s="18" t="s">
        <v>697</v>
      </c>
      <c r="AA10789" s="21" t="str">
        <f>HYPERLINK("https://www.ncbi.nlm.nih.gov/nuccore/BK013930","NCBI Nucleotide")</f>
        <v>NCBI Nucleotide</v>
      </c>
    </row>
    <row r="10790" spans="1:27" x14ac:dyDescent="0.35">
      <c r="A10790">
        <v>1009983</v>
      </c>
      <c r="B10790">
        <v>10115</v>
      </c>
      <c r="C10790">
        <v>1</v>
      </c>
      <c r="D10790" s="17" t="s">
        <v>17166</v>
      </c>
      <c r="E10790" s="17"/>
      <c r="F10790" s="17" t="s">
        <v>17246</v>
      </c>
      <c r="G10790" s="17"/>
      <c r="H10790" s="17" t="s">
        <v>20919</v>
      </c>
      <c r="I10790" s="17"/>
      <c r="J10790" s="17" t="s">
        <v>21313</v>
      </c>
      <c r="K10790" s="17"/>
      <c r="L10790" s="17" t="s">
        <v>22378</v>
      </c>
      <c r="M10790" s="17"/>
      <c r="N10790" s="17" t="s">
        <v>22459</v>
      </c>
      <c r="O10790" s="17"/>
      <c r="P10790" s="17" t="s">
        <v>45008</v>
      </c>
      <c r="Q10790" s="17"/>
      <c r="R10790" s="25" t="str">
        <f>HYPERLINK("https://ictv.global/taxonomy/taxondetails?taxnode_id=202311146","Hodnevirus mononeohumicola")</f>
        <v>Hodnevirus mononeohumicola</v>
      </c>
      <c r="S10790" s="18" t="s">
        <v>30</v>
      </c>
      <c r="T10790" s="18" t="s">
        <v>22805</v>
      </c>
      <c r="U10790" s="18"/>
      <c r="V10790" s="18"/>
      <c r="W10790" s="18" t="s">
        <v>22806</v>
      </c>
      <c r="X10790" s="18" t="s">
        <v>35</v>
      </c>
      <c r="Y10790" s="18" t="s">
        <v>17171</v>
      </c>
      <c r="Z10790" s="18" t="s">
        <v>697</v>
      </c>
      <c r="AA10790" s="21" t="str">
        <f>HYPERLINK("https://www.ncbi.nlm.nih.gov/nuccore/BK013813","NCBI Nucleotide")</f>
        <v>NCBI Nucleotide</v>
      </c>
    </row>
    <row r="10791" spans="1:27" x14ac:dyDescent="0.35">
      <c r="A10791">
        <v>1010013</v>
      </c>
      <c r="B10791">
        <v>10116</v>
      </c>
      <c r="C10791">
        <v>1</v>
      </c>
      <c r="D10791" s="17" t="s">
        <v>17166</v>
      </c>
      <c r="E10791" s="17"/>
      <c r="F10791" s="17" t="s">
        <v>17246</v>
      </c>
      <c r="G10791" s="17"/>
      <c r="H10791" s="17" t="s">
        <v>20919</v>
      </c>
      <c r="I10791" s="17"/>
      <c r="J10791" s="17" t="s">
        <v>21313</v>
      </c>
      <c r="K10791" s="17"/>
      <c r="L10791" s="17" t="s">
        <v>22378</v>
      </c>
      <c r="M10791" s="17"/>
      <c r="N10791" s="17" t="s">
        <v>22459</v>
      </c>
      <c r="O10791" s="17"/>
      <c r="P10791" s="17" t="s">
        <v>45008</v>
      </c>
      <c r="Q10791" s="17"/>
      <c r="R10791" s="25" t="str">
        <f>HYPERLINK("https://ictv.global/taxonomy/taxondetails?taxnode_id=202311199","Hodnevirus monotelluricola")</f>
        <v>Hodnevirus monotelluricola</v>
      </c>
      <c r="S10791" s="18" t="s">
        <v>30</v>
      </c>
      <c r="T10791" s="18" t="s">
        <v>22863</v>
      </c>
      <c r="U10791" s="18"/>
      <c r="V10791" s="18"/>
      <c r="W10791" s="18" t="s">
        <v>22864</v>
      </c>
      <c r="X10791" s="18" t="s">
        <v>35</v>
      </c>
      <c r="Y10791" s="18" t="s">
        <v>17171</v>
      </c>
      <c r="Z10791" s="18" t="s">
        <v>697</v>
      </c>
      <c r="AA10791" s="21" t="str">
        <f>HYPERLINK("https://www.ncbi.nlm.nih.gov/nuccore/BK013999","NCBI Nucleotide")</f>
        <v>NCBI Nucleotide</v>
      </c>
    </row>
    <row r="10792" spans="1:27" x14ac:dyDescent="0.35">
      <c r="A10792">
        <v>1010014</v>
      </c>
      <c r="B10792">
        <v>10117</v>
      </c>
      <c r="C10792">
        <v>1</v>
      </c>
      <c r="D10792" s="17" t="s">
        <v>17166</v>
      </c>
      <c r="E10792" s="17"/>
      <c r="F10792" s="17" t="s">
        <v>17246</v>
      </c>
      <c r="G10792" s="17"/>
      <c r="H10792" s="17" t="s">
        <v>20919</v>
      </c>
      <c r="I10792" s="17"/>
      <c r="J10792" s="17" t="s">
        <v>21313</v>
      </c>
      <c r="K10792" s="17"/>
      <c r="L10792" s="17" t="s">
        <v>22378</v>
      </c>
      <c r="M10792" s="17"/>
      <c r="N10792" s="17" t="s">
        <v>22459</v>
      </c>
      <c r="O10792" s="17"/>
      <c r="P10792" s="17" t="s">
        <v>45008</v>
      </c>
      <c r="Q10792" s="17"/>
      <c r="R10792" s="25" t="str">
        <f>HYPERLINK("https://ictv.global/taxonomy/taxondetails?taxnode_id=202311201","Hodnevirus monotellurihabitans")</f>
        <v>Hodnevirus monotellurihabitans</v>
      </c>
      <c r="S10792" s="18" t="s">
        <v>30</v>
      </c>
      <c r="T10792" s="18" t="s">
        <v>22865</v>
      </c>
      <c r="U10792" s="18"/>
      <c r="V10792" s="18"/>
      <c r="W10792" s="18" t="s">
        <v>22866</v>
      </c>
      <c r="X10792" s="18" t="s">
        <v>35</v>
      </c>
      <c r="Y10792" s="18" t="s">
        <v>17171</v>
      </c>
      <c r="Z10792" s="18" t="s">
        <v>697</v>
      </c>
      <c r="AA10792" s="21" t="str">
        <f>HYPERLINK("https://www.ncbi.nlm.nih.gov/nuccore/BK013559","NCBI Nucleotide")</f>
        <v>NCBI Nucleotide</v>
      </c>
    </row>
    <row r="10793" spans="1:27" x14ac:dyDescent="0.35">
      <c r="A10793">
        <v>1010015</v>
      </c>
      <c r="B10793">
        <v>10118</v>
      </c>
      <c r="C10793">
        <v>1</v>
      </c>
      <c r="D10793" s="17" t="s">
        <v>17166</v>
      </c>
      <c r="E10793" s="17"/>
      <c r="F10793" s="17" t="s">
        <v>17246</v>
      </c>
      <c r="G10793" s="17"/>
      <c r="H10793" s="17" t="s">
        <v>20919</v>
      </c>
      <c r="I10793" s="17"/>
      <c r="J10793" s="17" t="s">
        <v>21313</v>
      </c>
      <c r="K10793" s="17"/>
      <c r="L10793" s="17" t="s">
        <v>22378</v>
      </c>
      <c r="M10793" s="17"/>
      <c r="N10793" s="17" t="s">
        <v>22459</v>
      </c>
      <c r="O10793" s="17"/>
      <c r="P10793" s="17" t="s">
        <v>45008</v>
      </c>
      <c r="Q10793" s="17"/>
      <c r="R10793" s="25" t="str">
        <f>HYPERLINK("https://ictv.global/taxonomy/taxondetails?taxnode_id=202311202","Hodnevirus monotellurivicinum")</f>
        <v>Hodnevirus monotellurivicinum</v>
      </c>
      <c r="S10793" s="18" t="s">
        <v>30</v>
      </c>
      <c r="T10793" s="18" t="s">
        <v>22867</v>
      </c>
      <c r="U10793" s="18"/>
      <c r="V10793" s="18"/>
      <c r="W10793" s="18" t="s">
        <v>22868</v>
      </c>
      <c r="X10793" s="18" t="s">
        <v>35</v>
      </c>
      <c r="Y10793" s="18" t="s">
        <v>17171</v>
      </c>
      <c r="Z10793" s="18" t="s">
        <v>697</v>
      </c>
      <c r="AA10793" s="21" t="str">
        <f>HYPERLINK("https://www.ncbi.nlm.nih.gov/nuccore/BK013881","NCBI Nucleotide")</f>
        <v>NCBI Nucleotide</v>
      </c>
    </row>
    <row r="10794" spans="1:27" x14ac:dyDescent="0.35">
      <c r="A10794">
        <v>1010016</v>
      </c>
      <c r="B10794">
        <v>10119</v>
      </c>
      <c r="C10794">
        <v>1</v>
      </c>
      <c r="D10794" s="17" t="s">
        <v>17166</v>
      </c>
      <c r="E10794" s="17"/>
      <c r="F10794" s="17" t="s">
        <v>17246</v>
      </c>
      <c r="G10794" s="17"/>
      <c r="H10794" s="17" t="s">
        <v>20919</v>
      </c>
      <c r="I10794" s="17"/>
      <c r="J10794" s="17" t="s">
        <v>21313</v>
      </c>
      <c r="K10794" s="17"/>
      <c r="L10794" s="17" t="s">
        <v>22378</v>
      </c>
      <c r="M10794" s="17"/>
      <c r="N10794" s="17" t="s">
        <v>22459</v>
      </c>
      <c r="O10794" s="17"/>
      <c r="P10794" s="17" t="s">
        <v>45008</v>
      </c>
      <c r="Q10794" s="17"/>
      <c r="R10794" s="25" t="str">
        <f>HYPERLINK("https://ictv.global/taxonomy/taxondetails?taxnode_id=202311203","Hodnevirus monotellurivivens")</f>
        <v>Hodnevirus monotellurivivens</v>
      </c>
      <c r="S10794" s="18" t="s">
        <v>30</v>
      </c>
      <c r="T10794" s="18" t="s">
        <v>22869</v>
      </c>
      <c r="U10794" s="18"/>
      <c r="V10794" s="18"/>
      <c r="W10794" s="18" t="s">
        <v>22870</v>
      </c>
      <c r="X10794" s="18" t="s">
        <v>35</v>
      </c>
      <c r="Y10794" s="18" t="s">
        <v>17171</v>
      </c>
      <c r="Z10794" s="18" t="s">
        <v>697</v>
      </c>
      <c r="AA10794" s="21" t="str">
        <f>HYPERLINK("https://www.ncbi.nlm.nih.gov/nuccore/BK013459","NCBI Nucleotide")</f>
        <v>NCBI Nucleotide</v>
      </c>
    </row>
    <row r="10795" spans="1:27" x14ac:dyDescent="0.35">
      <c r="A10795">
        <v>1010017</v>
      </c>
      <c r="B10795">
        <v>10120</v>
      </c>
      <c r="C10795">
        <v>1</v>
      </c>
      <c r="D10795" s="17" t="s">
        <v>17166</v>
      </c>
      <c r="E10795" s="17"/>
      <c r="F10795" s="17" t="s">
        <v>17246</v>
      </c>
      <c r="G10795" s="17"/>
      <c r="H10795" s="17" t="s">
        <v>20919</v>
      </c>
      <c r="I10795" s="17"/>
      <c r="J10795" s="17" t="s">
        <v>21313</v>
      </c>
      <c r="K10795" s="17"/>
      <c r="L10795" s="17" t="s">
        <v>22378</v>
      </c>
      <c r="M10795" s="17"/>
      <c r="N10795" s="17" t="s">
        <v>22459</v>
      </c>
      <c r="O10795" s="17"/>
      <c r="P10795" s="17" t="s">
        <v>45008</v>
      </c>
      <c r="Q10795" s="17"/>
      <c r="R10795" s="25" t="str">
        <f>HYPERLINK("https://ictv.global/taxonomy/taxondetails?taxnode_id=202311204","Hodnevirus monoterradaptatum")</f>
        <v>Hodnevirus monoterradaptatum</v>
      </c>
      <c r="S10795" s="18" t="s">
        <v>30</v>
      </c>
      <c r="T10795" s="18" t="s">
        <v>22871</v>
      </c>
      <c r="U10795" s="18"/>
      <c r="V10795" s="18"/>
      <c r="W10795" s="18" t="s">
        <v>22872</v>
      </c>
      <c r="X10795" s="18" t="s">
        <v>35</v>
      </c>
      <c r="Y10795" s="18" t="s">
        <v>17171</v>
      </c>
      <c r="Z10795" s="18" t="s">
        <v>697</v>
      </c>
      <c r="AA10795" s="21" t="str">
        <f>HYPERLINK("https://www.ncbi.nlm.nih.gov/nuccore/BK013568","NCBI Nucleotide")</f>
        <v>NCBI Nucleotide</v>
      </c>
    </row>
    <row r="10796" spans="1:27" x14ac:dyDescent="0.35">
      <c r="A10796">
        <v>1010019</v>
      </c>
      <c r="B10796">
        <v>10121</v>
      </c>
      <c r="C10796">
        <v>1</v>
      </c>
      <c r="D10796" s="17" t="s">
        <v>17166</v>
      </c>
      <c r="E10796" s="17"/>
      <c r="F10796" s="17" t="s">
        <v>17246</v>
      </c>
      <c r="G10796" s="17"/>
      <c r="H10796" s="17" t="s">
        <v>20919</v>
      </c>
      <c r="I10796" s="17"/>
      <c r="J10796" s="17" t="s">
        <v>21313</v>
      </c>
      <c r="K10796" s="17"/>
      <c r="L10796" s="17" t="s">
        <v>22378</v>
      </c>
      <c r="M10796" s="17"/>
      <c r="N10796" s="17" t="s">
        <v>22459</v>
      </c>
      <c r="O10796" s="17"/>
      <c r="P10796" s="17" t="s">
        <v>45008</v>
      </c>
      <c r="Q10796" s="17"/>
      <c r="R10796" s="25" t="str">
        <f>HYPERLINK("https://ictv.global/taxonomy/taxondetails?taxnode_id=202311205","Hodnevirus monoterricola")</f>
        <v>Hodnevirus monoterricola</v>
      </c>
      <c r="S10796" s="18" t="s">
        <v>30</v>
      </c>
      <c r="T10796" s="18" t="s">
        <v>22875</v>
      </c>
      <c r="U10796" s="18"/>
      <c r="V10796" s="18"/>
      <c r="W10796" s="18" t="s">
        <v>22876</v>
      </c>
      <c r="X10796" s="18" t="s">
        <v>35</v>
      </c>
      <c r="Y10796" s="18" t="s">
        <v>17171</v>
      </c>
      <c r="Z10796" s="18" t="s">
        <v>697</v>
      </c>
      <c r="AA10796" s="21" t="str">
        <f>HYPERLINK("https://www.ncbi.nlm.nih.gov/nuccore/BK013939","NCBI Nucleotide")</f>
        <v>NCBI Nucleotide</v>
      </c>
    </row>
    <row r="10797" spans="1:27" x14ac:dyDescent="0.35">
      <c r="A10797">
        <v>1010078</v>
      </c>
      <c r="B10797">
        <v>10122</v>
      </c>
      <c r="C10797">
        <v>1</v>
      </c>
      <c r="D10797" s="17" t="s">
        <v>17166</v>
      </c>
      <c r="E10797" s="17"/>
      <c r="F10797" s="17" t="s">
        <v>17246</v>
      </c>
      <c r="G10797" s="17"/>
      <c r="H10797" s="17" t="s">
        <v>20919</v>
      </c>
      <c r="I10797" s="17"/>
      <c r="J10797" s="17" t="s">
        <v>21313</v>
      </c>
      <c r="K10797" s="17"/>
      <c r="L10797" s="17" t="s">
        <v>22378</v>
      </c>
      <c r="M10797" s="17"/>
      <c r="N10797" s="17" t="s">
        <v>22459</v>
      </c>
      <c r="O10797" s="17"/>
      <c r="P10797" s="17" t="s">
        <v>45008</v>
      </c>
      <c r="Q10797" s="17"/>
      <c r="R10797" s="25" t="str">
        <f>HYPERLINK("https://ictv.global/taxonomy/taxondetails?taxnode_id=202311292","Hodnevirus monoterrivivens")</f>
        <v>Hodnevirus monoterrivivens</v>
      </c>
      <c r="S10797" s="18" t="s">
        <v>30</v>
      </c>
      <c r="T10797" s="18" t="s">
        <v>22998</v>
      </c>
      <c r="U10797" s="18"/>
      <c r="V10797" s="18"/>
      <c r="W10797" s="18" t="s">
        <v>22999</v>
      </c>
      <c r="X10797" s="18" t="s">
        <v>35</v>
      </c>
      <c r="Y10797" s="18" t="s">
        <v>17171</v>
      </c>
      <c r="Z10797" s="18" t="s">
        <v>697</v>
      </c>
      <c r="AA10797" s="21" t="str">
        <f>HYPERLINK("https://www.ncbi.nlm.nih.gov/nuccore/BK013465","NCBI Nucleotide")</f>
        <v>NCBI Nucleotide</v>
      </c>
    </row>
    <row r="10798" spans="1:27" x14ac:dyDescent="0.35">
      <c r="A10798">
        <v>1027042</v>
      </c>
      <c r="B10798">
        <v>10123</v>
      </c>
      <c r="C10798">
        <v>1</v>
      </c>
      <c r="D10798" s="17" t="s">
        <v>17166</v>
      </c>
      <c r="E10798" s="17"/>
      <c r="F10798" s="17" t="s">
        <v>17246</v>
      </c>
      <c r="G10798" s="17"/>
      <c r="H10798" s="17" t="s">
        <v>20919</v>
      </c>
      <c r="I10798" s="17"/>
      <c r="J10798" s="17" t="s">
        <v>21313</v>
      </c>
      <c r="K10798" s="17"/>
      <c r="L10798" s="17" t="s">
        <v>22378</v>
      </c>
      <c r="M10798" s="17"/>
      <c r="N10798" s="17" t="s">
        <v>22459</v>
      </c>
      <c r="O10798" s="17"/>
      <c r="P10798" s="17" t="s">
        <v>45008</v>
      </c>
      <c r="Q10798" s="17"/>
      <c r="R10798" s="25" t="str">
        <f>HYPERLINK("https://ictv.global/taxonomy/taxondetails?taxnode_id=202317302","Hodnevirus montisenecus")</f>
        <v>Hodnevirus montisenecus</v>
      </c>
      <c r="S10798" s="18" t="s">
        <v>30</v>
      </c>
      <c r="T10798" s="18" t="s">
        <v>45393</v>
      </c>
      <c r="U10798" s="18"/>
      <c r="V10798" s="18" t="s">
        <v>45393</v>
      </c>
      <c r="W10798" s="18" t="s">
        <v>45394</v>
      </c>
      <c r="X10798" s="18" t="s">
        <v>35</v>
      </c>
      <c r="Y10798" s="18" t="s">
        <v>17171</v>
      </c>
      <c r="Z10798" s="18" t="s">
        <v>24637</v>
      </c>
      <c r="AA10798" s="21" t="str">
        <f>HYPERLINK("https://www.ncbi.nlm.nih.gov/nuccore/MZ679778","NCBI Nucleotide")</f>
        <v>NCBI Nucleotide</v>
      </c>
    </row>
    <row r="10799" spans="1:27" x14ac:dyDescent="0.35">
      <c r="A10799">
        <v>1027043</v>
      </c>
      <c r="B10799">
        <v>10124</v>
      </c>
      <c r="C10799">
        <v>1</v>
      </c>
      <c r="D10799" s="17" t="s">
        <v>17166</v>
      </c>
      <c r="E10799" s="17"/>
      <c r="F10799" s="17" t="s">
        <v>17246</v>
      </c>
      <c r="G10799" s="17"/>
      <c r="H10799" s="17" t="s">
        <v>20919</v>
      </c>
      <c r="I10799" s="17"/>
      <c r="J10799" s="17" t="s">
        <v>21313</v>
      </c>
      <c r="K10799" s="17"/>
      <c r="L10799" s="17" t="s">
        <v>22378</v>
      </c>
      <c r="M10799" s="17"/>
      <c r="N10799" s="17" t="s">
        <v>22459</v>
      </c>
      <c r="O10799" s="17"/>
      <c r="P10799" s="17" t="s">
        <v>45008</v>
      </c>
      <c r="Q10799" s="17"/>
      <c r="R10799" s="25" t="str">
        <f>HYPERLINK("https://ictv.global/taxonomy/taxondetails?taxnode_id=202317303","Hodnevirus montishabitans")</f>
        <v>Hodnevirus montishabitans</v>
      </c>
      <c r="S10799" s="18" t="s">
        <v>30</v>
      </c>
      <c r="T10799" s="18" t="s">
        <v>45395</v>
      </c>
      <c r="U10799" s="18"/>
      <c r="V10799" s="18" t="s">
        <v>45395</v>
      </c>
      <c r="W10799" s="18" t="s">
        <v>45396</v>
      </c>
      <c r="X10799" s="18" t="s">
        <v>35</v>
      </c>
      <c r="Y10799" s="18" t="s">
        <v>17171</v>
      </c>
      <c r="Z10799" s="18" t="s">
        <v>24637</v>
      </c>
      <c r="AA10799" s="21" t="str">
        <f>HYPERLINK("https://www.ncbi.nlm.nih.gov/nuccore/MZ679570","NCBI Nucleotide")</f>
        <v>NCBI Nucleotide</v>
      </c>
    </row>
    <row r="10800" spans="1:27" x14ac:dyDescent="0.35">
      <c r="A10800">
        <v>1027044</v>
      </c>
      <c r="B10800">
        <v>10125</v>
      </c>
      <c r="C10800">
        <v>1</v>
      </c>
      <c r="D10800" s="17" t="s">
        <v>17166</v>
      </c>
      <c r="E10800" s="17"/>
      <c r="F10800" s="17" t="s">
        <v>17246</v>
      </c>
      <c r="G10800" s="17"/>
      <c r="H10800" s="17" t="s">
        <v>20919</v>
      </c>
      <c r="I10800" s="17"/>
      <c r="J10800" s="17" t="s">
        <v>21313</v>
      </c>
      <c r="K10800" s="17"/>
      <c r="L10800" s="17" t="s">
        <v>22378</v>
      </c>
      <c r="M10800" s="17"/>
      <c r="N10800" s="17" t="s">
        <v>22459</v>
      </c>
      <c r="O10800" s="17"/>
      <c r="P10800" s="17" t="s">
        <v>45008</v>
      </c>
      <c r="Q10800" s="17"/>
      <c r="R10800" s="25" t="str">
        <f>HYPERLINK("https://ictv.global/taxonomy/taxondetails?taxnode_id=202317304","Hodnevirus montisvicinum")</f>
        <v>Hodnevirus montisvicinum</v>
      </c>
      <c r="S10800" s="18" t="s">
        <v>30</v>
      </c>
      <c r="T10800" s="18" t="s">
        <v>45397</v>
      </c>
      <c r="U10800" s="18"/>
      <c r="V10800" s="18" t="s">
        <v>45397</v>
      </c>
      <c r="W10800" s="18" t="s">
        <v>45398</v>
      </c>
      <c r="X10800" s="18" t="s">
        <v>35</v>
      </c>
      <c r="Y10800" s="18" t="s">
        <v>17171</v>
      </c>
      <c r="Z10800" s="18" t="s">
        <v>24637</v>
      </c>
      <c r="AA10800" s="21" t="str">
        <f>HYPERLINK("https://www.ncbi.nlm.nih.gov/nuccore/MZ679814","NCBI Nucleotide")</f>
        <v>NCBI Nucleotide</v>
      </c>
    </row>
    <row r="10801" spans="1:27" x14ac:dyDescent="0.35">
      <c r="A10801">
        <v>1027045</v>
      </c>
      <c r="B10801">
        <v>10126</v>
      </c>
      <c r="C10801">
        <v>1</v>
      </c>
      <c r="D10801" s="17" t="s">
        <v>17166</v>
      </c>
      <c r="E10801" s="17"/>
      <c r="F10801" s="17" t="s">
        <v>17246</v>
      </c>
      <c r="G10801" s="17"/>
      <c r="H10801" s="17" t="s">
        <v>20919</v>
      </c>
      <c r="I10801" s="17"/>
      <c r="J10801" s="17" t="s">
        <v>21313</v>
      </c>
      <c r="K10801" s="17"/>
      <c r="L10801" s="17" t="s">
        <v>22378</v>
      </c>
      <c r="M10801" s="17"/>
      <c r="N10801" s="17" t="s">
        <v>22459</v>
      </c>
      <c r="O10801" s="17"/>
      <c r="P10801" s="17" t="s">
        <v>45008</v>
      </c>
      <c r="Q10801" s="17"/>
      <c r="R10801" s="25" t="str">
        <f>HYPERLINK("https://ictv.global/taxonomy/taxondetails?taxnode_id=202317305","Hodnevirus montisvivens")</f>
        <v>Hodnevirus montisvivens</v>
      </c>
      <c r="S10801" s="18" t="s">
        <v>30</v>
      </c>
      <c r="T10801" s="18" t="s">
        <v>45399</v>
      </c>
      <c r="U10801" s="18"/>
      <c r="V10801" s="18" t="s">
        <v>45399</v>
      </c>
      <c r="W10801" s="18" t="s">
        <v>45400</v>
      </c>
      <c r="X10801" s="18" t="s">
        <v>35</v>
      </c>
      <c r="Y10801" s="18" t="s">
        <v>17171</v>
      </c>
      <c r="Z10801" s="18" t="s">
        <v>24637</v>
      </c>
      <c r="AA10801" s="21" t="str">
        <f>HYPERLINK("https://www.ncbi.nlm.nih.gov/nuccore/MZ679477","NCBI Nucleotide")</f>
        <v>NCBI Nucleotide</v>
      </c>
    </row>
    <row r="10802" spans="1:27" x14ac:dyDescent="0.35">
      <c r="A10802">
        <v>1027046</v>
      </c>
      <c r="B10802">
        <v>10127</v>
      </c>
      <c r="C10802">
        <v>1</v>
      </c>
      <c r="D10802" s="17" t="s">
        <v>17166</v>
      </c>
      <c r="E10802" s="17"/>
      <c r="F10802" s="17" t="s">
        <v>17246</v>
      </c>
      <c r="G10802" s="17"/>
      <c r="H10802" s="17" t="s">
        <v>20919</v>
      </c>
      <c r="I10802" s="17"/>
      <c r="J10802" s="17" t="s">
        <v>21313</v>
      </c>
      <c r="K10802" s="17"/>
      <c r="L10802" s="17" t="s">
        <v>22378</v>
      </c>
      <c r="M10802" s="17"/>
      <c r="N10802" s="17" t="s">
        <v>22459</v>
      </c>
      <c r="O10802" s="17"/>
      <c r="P10802" s="17" t="s">
        <v>45008</v>
      </c>
      <c r="Q10802" s="17"/>
      <c r="R10802" s="25" t="str">
        <f>HYPERLINK("https://ictv.global/taxonomy/taxondetails?taxnode_id=202317306","Hodnevirus nemorisenecus")</f>
        <v>Hodnevirus nemorisenecus</v>
      </c>
      <c r="S10802" s="18" t="s">
        <v>30</v>
      </c>
      <c r="T10802" s="18" t="s">
        <v>45401</v>
      </c>
      <c r="U10802" s="18"/>
      <c r="V10802" s="18" t="s">
        <v>45401</v>
      </c>
      <c r="W10802" s="18" t="s">
        <v>45402</v>
      </c>
      <c r="X10802" s="18" t="s">
        <v>35</v>
      </c>
      <c r="Y10802" s="18" t="s">
        <v>17171</v>
      </c>
      <c r="Z10802" s="18" t="s">
        <v>24637</v>
      </c>
      <c r="AA10802" s="21" t="str">
        <f>HYPERLINK("https://www.ncbi.nlm.nih.gov/nuccore/MZ679653","NCBI Nucleotide")</f>
        <v>NCBI Nucleotide</v>
      </c>
    </row>
    <row r="10803" spans="1:27" x14ac:dyDescent="0.35">
      <c r="A10803">
        <v>1027047</v>
      </c>
      <c r="B10803">
        <v>10128</v>
      </c>
      <c r="C10803">
        <v>1</v>
      </c>
      <c r="D10803" s="17" t="s">
        <v>17166</v>
      </c>
      <c r="E10803" s="17"/>
      <c r="F10803" s="17" t="s">
        <v>17246</v>
      </c>
      <c r="G10803" s="17"/>
      <c r="H10803" s="17" t="s">
        <v>20919</v>
      </c>
      <c r="I10803" s="17"/>
      <c r="J10803" s="17" t="s">
        <v>21313</v>
      </c>
      <c r="K10803" s="17"/>
      <c r="L10803" s="17" t="s">
        <v>22378</v>
      </c>
      <c r="M10803" s="17"/>
      <c r="N10803" s="17" t="s">
        <v>22459</v>
      </c>
      <c r="O10803" s="17"/>
      <c r="P10803" s="17" t="s">
        <v>45008</v>
      </c>
      <c r="Q10803" s="17"/>
      <c r="R10803" s="25" t="str">
        <f>HYPERLINK("https://ictv.global/taxonomy/taxondetails?taxnode_id=202317307","Hodnevirus nemorisvicinum")</f>
        <v>Hodnevirus nemorisvicinum</v>
      </c>
      <c r="S10803" s="18" t="s">
        <v>30</v>
      </c>
      <c r="T10803" s="18" t="s">
        <v>45403</v>
      </c>
      <c r="U10803" s="18"/>
      <c r="V10803" s="18" t="s">
        <v>45403</v>
      </c>
      <c r="W10803" s="18" t="s">
        <v>45404</v>
      </c>
      <c r="X10803" s="18" t="s">
        <v>35</v>
      </c>
      <c r="Y10803" s="18" t="s">
        <v>17171</v>
      </c>
      <c r="Z10803" s="18" t="s">
        <v>24637</v>
      </c>
      <c r="AA10803" s="21" t="str">
        <f>HYPERLINK("https://www.ncbi.nlm.nih.gov/nuccore/MZ679563","NCBI Nucleotide")</f>
        <v>NCBI Nucleotide</v>
      </c>
    </row>
    <row r="10804" spans="1:27" x14ac:dyDescent="0.35">
      <c r="A10804">
        <v>1027048</v>
      </c>
      <c r="B10804">
        <v>10129</v>
      </c>
      <c r="C10804">
        <v>1</v>
      </c>
      <c r="D10804" s="17" t="s">
        <v>17166</v>
      </c>
      <c r="E10804" s="17"/>
      <c r="F10804" s="17" t="s">
        <v>17246</v>
      </c>
      <c r="G10804" s="17"/>
      <c r="H10804" s="17" t="s">
        <v>20919</v>
      </c>
      <c r="I10804" s="17"/>
      <c r="J10804" s="17" t="s">
        <v>21313</v>
      </c>
      <c r="K10804" s="17"/>
      <c r="L10804" s="17" t="s">
        <v>22378</v>
      </c>
      <c r="M10804" s="17"/>
      <c r="N10804" s="17" t="s">
        <v>22459</v>
      </c>
      <c r="O10804" s="17"/>
      <c r="P10804" s="17" t="s">
        <v>45008</v>
      </c>
      <c r="Q10804" s="17"/>
      <c r="R10804" s="25" t="str">
        <f>HYPERLINK("https://ictv.global/taxonomy/taxondetails?taxnode_id=202317308","Hodnevirus nemorisvivens")</f>
        <v>Hodnevirus nemorisvivens</v>
      </c>
      <c r="S10804" s="18" t="s">
        <v>30</v>
      </c>
      <c r="T10804" s="18" t="s">
        <v>45405</v>
      </c>
      <c r="U10804" s="18"/>
      <c r="V10804" s="18" t="s">
        <v>45405</v>
      </c>
      <c r="W10804" s="18" t="s">
        <v>45406</v>
      </c>
      <c r="X10804" s="18" t="s">
        <v>35</v>
      </c>
      <c r="Y10804" s="18" t="s">
        <v>17171</v>
      </c>
      <c r="Z10804" s="18" t="s">
        <v>24637</v>
      </c>
      <c r="AA10804" s="21" t="str">
        <f>HYPERLINK("https://www.ncbi.nlm.nih.gov/nuccore/MZ680342","NCBI Nucleotide")</f>
        <v>NCBI Nucleotide</v>
      </c>
    </row>
    <row r="10805" spans="1:27" x14ac:dyDescent="0.35">
      <c r="A10805">
        <v>1010070</v>
      </c>
      <c r="B10805">
        <v>10130</v>
      </c>
      <c r="C10805">
        <v>1</v>
      </c>
      <c r="D10805" s="17" t="s">
        <v>17166</v>
      </c>
      <c r="E10805" s="17"/>
      <c r="F10805" s="17" t="s">
        <v>17246</v>
      </c>
      <c r="G10805" s="17"/>
      <c r="H10805" s="17" t="s">
        <v>20919</v>
      </c>
      <c r="I10805" s="17"/>
      <c r="J10805" s="17" t="s">
        <v>21313</v>
      </c>
      <c r="K10805" s="17"/>
      <c r="L10805" s="17" t="s">
        <v>22378</v>
      </c>
      <c r="M10805" s="17"/>
      <c r="N10805" s="17" t="s">
        <v>22459</v>
      </c>
      <c r="O10805" s="17"/>
      <c r="P10805" s="17" t="s">
        <v>45008</v>
      </c>
      <c r="Q10805" s="17"/>
      <c r="R10805" s="25" t="str">
        <f>HYPERLINK("https://ictv.global/taxonomy/taxondetails?taxnode_id=202311298","Hodnevirus neoagradaptatum")</f>
        <v>Hodnevirus neoagradaptatum</v>
      </c>
      <c r="S10805" s="18" t="s">
        <v>30</v>
      </c>
      <c r="T10805" s="18" t="s">
        <v>22982</v>
      </c>
      <c r="U10805" s="18"/>
      <c r="V10805" s="18"/>
      <c r="W10805" s="18" t="s">
        <v>22983</v>
      </c>
      <c r="X10805" s="18" t="s">
        <v>35</v>
      </c>
      <c r="Y10805" s="18" t="s">
        <v>17171</v>
      </c>
      <c r="Z10805" s="18" t="s">
        <v>697</v>
      </c>
      <c r="AA10805" s="21" t="str">
        <f>HYPERLINK("https://www.ncbi.nlm.nih.gov/nuccore/BK013567","NCBI Nucleotide")</f>
        <v>NCBI Nucleotide</v>
      </c>
    </row>
    <row r="10806" spans="1:27" x14ac:dyDescent="0.35">
      <c r="A10806">
        <v>1009970</v>
      </c>
      <c r="B10806">
        <v>10131</v>
      </c>
      <c r="C10806">
        <v>1</v>
      </c>
      <c r="D10806" s="17" t="s">
        <v>17166</v>
      </c>
      <c r="E10806" s="17"/>
      <c r="F10806" s="17" t="s">
        <v>17246</v>
      </c>
      <c r="G10806" s="17"/>
      <c r="H10806" s="17" t="s">
        <v>20919</v>
      </c>
      <c r="I10806" s="17"/>
      <c r="J10806" s="17" t="s">
        <v>21313</v>
      </c>
      <c r="K10806" s="17"/>
      <c r="L10806" s="17" t="s">
        <v>22378</v>
      </c>
      <c r="M10806" s="17"/>
      <c r="N10806" s="17" t="s">
        <v>22459</v>
      </c>
      <c r="O10806" s="17"/>
      <c r="P10806" s="17" t="s">
        <v>45008</v>
      </c>
      <c r="Q10806" s="17"/>
      <c r="R10806" s="25" t="str">
        <f>HYPERLINK("https://ictv.global/taxonomy/taxondetails?taxnode_id=202311152","Hodnevirus neoagrenecus")</f>
        <v>Hodnevirus neoagrenecus</v>
      </c>
      <c r="S10806" s="18" t="s">
        <v>30</v>
      </c>
      <c r="T10806" s="18" t="s">
        <v>22779</v>
      </c>
      <c r="U10806" s="18"/>
      <c r="V10806" s="18"/>
      <c r="W10806" s="18" t="s">
        <v>22780</v>
      </c>
      <c r="X10806" s="18" t="s">
        <v>35</v>
      </c>
      <c r="Y10806" s="18" t="s">
        <v>17171</v>
      </c>
      <c r="Z10806" s="18" t="s">
        <v>697</v>
      </c>
      <c r="AA10806" s="21" t="str">
        <f>HYPERLINK("https://www.ncbi.nlm.nih.gov/nuccore/BK013956","NCBI Nucleotide")</f>
        <v>NCBI Nucleotide</v>
      </c>
    </row>
    <row r="10807" spans="1:27" x14ac:dyDescent="0.35">
      <c r="A10807">
        <v>1009929</v>
      </c>
      <c r="B10807">
        <v>10132</v>
      </c>
      <c r="C10807">
        <v>1</v>
      </c>
      <c r="D10807" s="17" t="s">
        <v>17166</v>
      </c>
      <c r="E10807" s="17"/>
      <c r="F10807" s="17" t="s">
        <v>17246</v>
      </c>
      <c r="G10807" s="17"/>
      <c r="H10807" s="17" t="s">
        <v>20919</v>
      </c>
      <c r="I10807" s="17"/>
      <c r="J10807" s="17" t="s">
        <v>21313</v>
      </c>
      <c r="K10807" s="17"/>
      <c r="L10807" s="17" t="s">
        <v>22378</v>
      </c>
      <c r="M10807" s="17"/>
      <c r="N10807" s="17" t="s">
        <v>22459</v>
      </c>
      <c r="O10807" s="17"/>
      <c r="P10807" s="17" t="s">
        <v>45008</v>
      </c>
      <c r="Q10807" s="17"/>
      <c r="R10807" s="25" t="str">
        <f>HYPERLINK("https://ictv.global/taxonomy/taxondetails?taxnode_id=202311218","Hodnevirus neoagricola")</f>
        <v>Hodnevirus neoagricola</v>
      </c>
      <c r="S10807" s="18" t="s">
        <v>30</v>
      </c>
      <c r="T10807" s="18" t="s">
        <v>22699</v>
      </c>
      <c r="U10807" s="18"/>
      <c r="V10807" s="18"/>
      <c r="W10807" s="18" t="s">
        <v>22700</v>
      </c>
      <c r="X10807" s="18" t="s">
        <v>35</v>
      </c>
      <c r="Y10807" s="18" t="s">
        <v>17171</v>
      </c>
      <c r="Z10807" s="18" t="s">
        <v>697</v>
      </c>
      <c r="AA10807" s="21" t="str">
        <f>HYPERLINK("https://www.ncbi.nlm.nih.gov/nuccore/BK013804","NCBI Nucleotide")</f>
        <v>NCBI Nucleotide</v>
      </c>
    </row>
    <row r="10808" spans="1:27" x14ac:dyDescent="0.35">
      <c r="A10808">
        <v>1009972</v>
      </c>
      <c r="B10808">
        <v>10133</v>
      </c>
      <c r="C10808">
        <v>1</v>
      </c>
      <c r="D10808" s="17" t="s">
        <v>17166</v>
      </c>
      <c r="E10808" s="17"/>
      <c r="F10808" s="17" t="s">
        <v>17246</v>
      </c>
      <c r="G10808" s="17"/>
      <c r="H10808" s="17" t="s">
        <v>20919</v>
      </c>
      <c r="I10808" s="17"/>
      <c r="J10808" s="17" t="s">
        <v>21313</v>
      </c>
      <c r="K10808" s="17"/>
      <c r="L10808" s="17" t="s">
        <v>22378</v>
      </c>
      <c r="M10808" s="17"/>
      <c r="N10808" s="17" t="s">
        <v>22459</v>
      </c>
      <c r="O10808" s="17"/>
      <c r="P10808" s="17" t="s">
        <v>45008</v>
      </c>
      <c r="Q10808" s="17"/>
      <c r="R10808" s="25" t="str">
        <f>HYPERLINK("https://ictv.global/taxonomy/taxondetails?taxnode_id=202311153","Hodnevirus neoagrihabitans")</f>
        <v>Hodnevirus neoagrihabitans</v>
      </c>
      <c r="S10808" s="18" t="s">
        <v>30</v>
      </c>
      <c r="T10808" s="18" t="s">
        <v>22783</v>
      </c>
      <c r="U10808" s="18"/>
      <c r="V10808" s="18"/>
      <c r="W10808" s="18" t="s">
        <v>22784</v>
      </c>
      <c r="X10808" s="18" t="s">
        <v>35</v>
      </c>
      <c r="Y10808" s="18" t="s">
        <v>17171</v>
      </c>
      <c r="Z10808" s="18" t="s">
        <v>697</v>
      </c>
      <c r="AA10808" s="21" t="str">
        <f>HYPERLINK("https://www.ncbi.nlm.nih.gov/nuccore/BK013558","NCBI Nucleotide")</f>
        <v>NCBI Nucleotide</v>
      </c>
    </row>
    <row r="10809" spans="1:27" x14ac:dyDescent="0.35">
      <c r="A10809">
        <v>1009973</v>
      </c>
      <c r="B10809">
        <v>10134</v>
      </c>
      <c r="C10809">
        <v>1</v>
      </c>
      <c r="D10809" s="17" t="s">
        <v>17166</v>
      </c>
      <c r="E10809" s="17"/>
      <c r="F10809" s="17" t="s">
        <v>17246</v>
      </c>
      <c r="G10809" s="17"/>
      <c r="H10809" s="17" t="s">
        <v>20919</v>
      </c>
      <c r="I10809" s="17"/>
      <c r="J10809" s="17" t="s">
        <v>21313</v>
      </c>
      <c r="K10809" s="17"/>
      <c r="L10809" s="17" t="s">
        <v>22378</v>
      </c>
      <c r="M10809" s="17"/>
      <c r="N10809" s="17" t="s">
        <v>22459</v>
      </c>
      <c r="O10809" s="17"/>
      <c r="P10809" s="17" t="s">
        <v>45008</v>
      </c>
      <c r="Q10809" s="17"/>
      <c r="R10809" s="25" t="str">
        <f>HYPERLINK("https://ictv.global/taxonomy/taxondetails?taxnode_id=202311154","Hodnevirus neoagrivicinum")</f>
        <v>Hodnevirus neoagrivicinum</v>
      </c>
      <c r="S10809" s="18" t="s">
        <v>30</v>
      </c>
      <c r="T10809" s="18" t="s">
        <v>22785</v>
      </c>
      <c r="U10809" s="18"/>
      <c r="V10809" s="18"/>
      <c r="W10809" s="18" t="s">
        <v>22786</v>
      </c>
      <c r="X10809" s="18" t="s">
        <v>35</v>
      </c>
      <c r="Y10809" s="18" t="s">
        <v>17171</v>
      </c>
      <c r="Z10809" s="18" t="s">
        <v>697</v>
      </c>
      <c r="AA10809" s="21" t="str">
        <f>HYPERLINK("https://www.ncbi.nlm.nih.gov/nuccore/BK013779","NCBI Nucleotide")</f>
        <v>NCBI Nucleotide</v>
      </c>
    </row>
    <row r="10810" spans="1:27" x14ac:dyDescent="0.35">
      <c r="A10810">
        <v>1009974</v>
      </c>
      <c r="B10810">
        <v>10135</v>
      </c>
      <c r="C10810">
        <v>1</v>
      </c>
      <c r="D10810" s="17" t="s">
        <v>17166</v>
      </c>
      <c r="E10810" s="17"/>
      <c r="F10810" s="17" t="s">
        <v>17246</v>
      </c>
      <c r="G10810" s="17"/>
      <c r="H10810" s="17" t="s">
        <v>20919</v>
      </c>
      <c r="I10810" s="17"/>
      <c r="J10810" s="17" t="s">
        <v>21313</v>
      </c>
      <c r="K10810" s="17"/>
      <c r="L10810" s="17" t="s">
        <v>22378</v>
      </c>
      <c r="M10810" s="17"/>
      <c r="N10810" s="17" t="s">
        <v>22459</v>
      </c>
      <c r="O10810" s="17"/>
      <c r="P10810" s="17" t="s">
        <v>45008</v>
      </c>
      <c r="Q10810" s="17"/>
      <c r="R10810" s="25" t="str">
        <f>HYPERLINK("https://ictv.global/taxonomy/taxondetails?taxnode_id=202311155","Hodnevirus neoagrivivens")</f>
        <v>Hodnevirus neoagrivivens</v>
      </c>
      <c r="S10810" s="18" t="s">
        <v>30</v>
      </c>
      <c r="T10810" s="18" t="s">
        <v>22787</v>
      </c>
      <c r="U10810" s="18"/>
      <c r="V10810" s="18"/>
      <c r="W10810" s="18" t="s">
        <v>22788</v>
      </c>
      <c r="X10810" s="18" t="s">
        <v>35</v>
      </c>
      <c r="Y10810" s="18" t="s">
        <v>17171</v>
      </c>
      <c r="Z10810" s="18" t="s">
        <v>697</v>
      </c>
      <c r="AA10810" s="21" t="str">
        <f>HYPERLINK("https://www.ncbi.nlm.nih.gov/nuccore/BK013468","NCBI Nucleotide")</f>
        <v>NCBI Nucleotide</v>
      </c>
    </row>
    <row r="10811" spans="1:27" x14ac:dyDescent="0.35">
      <c r="A10811">
        <v>1009933</v>
      </c>
      <c r="B10811">
        <v>10136</v>
      </c>
      <c r="C10811">
        <v>1</v>
      </c>
      <c r="D10811" s="17" t="s">
        <v>17166</v>
      </c>
      <c r="E10811" s="17"/>
      <c r="F10811" s="17" t="s">
        <v>17246</v>
      </c>
      <c r="G10811" s="17"/>
      <c r="H10811" s="17" t="s">
        <v>20919</v>
      </c>
      <c r="I10811" s="17"/>
      <c r="J10811" s="17" t="s">
        <v>21313</v>
      </c>
      <c r="K10811" s="17"/>
      <c r="L10811" s="17" t="s">
        <v>22378</v>
      </c>
      <c r="M10811" s="17"/>
      <c r="N10811" s="17" t="s">
        <v>22459</v>
      </c>
      <c r="O10811" s="17"/>
      <c r="P10811" s="17" t="s">
        <v>45008</v>
      </c>
      <c r="Q10811" s="17"/>
      <c r="R10811" s="25" t="str">
        <f>HYPERLINK("https://ictv.global/taxonomy/taxondetails?taxnode_id=202311162","Hodnevirus neoarvadaptatum")</f>
        <v>Hodnevirus neoarvadaptatum</v>
      </c>
      <c r="S10811" s="18" t="s">
        <v>30</v>
      </c>
      <c r="T10811" s="18" t="s">
        <v>22707</v>
      </c>
      <c r="U10811" s="18"/>
      <c r="V10811" s="18"/>
      <c r="W10811" s="18" t="s">
        <v>22708</v>
      </c>
      <c r="X10811" s="18" t="s">
        <v>35</v>
      </c>
      <c r="Y10811" s="18" t="s">
        <v>17171</v>
      </c>
      <c r="Z10811" s="18" t="s">
        <v>697</v>
      </c>
      <c r="AA10811" s="21" t="str">
        <f>HYPERLINK("https://www.ncbi.nlm.nih.gov/nuccore/BK014012","NCBI Nucleotide")</f>
        <v>NCBI Nucleotide</v>
      </c>
    </row>
    <row r="10812" spans="1:27" x14ac:dyDescent="0.35">
      <c r="A10812">
        <v>1027049</v>
      </c>
      <c r="B10812">
        <v>10137</v>
      </c>
      <c r="C10812">
        <v>1</v>
      </c>
      <c r="D10812" s="17" t="s">
        <v>17166</v>
      </c>
      <c r="E10812" s="17"/>
      <c r="F10812" s="17" t="s">
        <v>17246</v>
      </c>
      <c r="G10812" s="17"/>
      <c r="H10812" s="17" t="s">
        <v>20919</v>
      </c>
      <c r="I10812" s="17"/>
      <c r="J10812" s="17" t="s">
        <v>21313</v>
      </c>
      <c r="K10812" s="17"/>
      <c r="L10812" s="17" t="s">
        <v>22378</v>
      </c>
      <c r="M10812" s="17"/>
      <c r="N10812" s="17" t="s">
        <v>22459</v>
      </c>
      <c r="O10812" s="17"/>
      <c r="P10812" s="17" t="s">
        <v>45008</v>
      </c>
      <c r="Q10812" s="17"/>
      <c r="R10812" s="25" t="str">
        <f>HYPERLINK("https://ictv.global/taxonomy/taxondetails?taxnode_id=202317309","Hodnevirus neoarvenecus")</f>
        <v>Hodnevirus neoarvenecus</v>
      </c>
      <c r="S10812" s="18" t="s">
        <v>30</v>
      </c>
      <c r="T10812" s="18" t="s">
        <v>45407</v>
      </c>
      <c r="U10812" s="18"/>
      <c r="V10812" s="18"/>
      <c r="W10812" s="18" t="s">
        <v>45408</v>
      </c>
      <c r="X10812" s="18" t="s">
        <v>35</v>
      </c>
      <c r="Y10812" s="18" t="s">
        <v>17171</v>
      </c>
      <c r="Z10812" s="18" t="s">
        <v>24637</v>
      </c>
      <c r="AA10812" s="21" t="str">
        <f>HYPERLINK("https://www.ncbi.nlm.nih.gov/nuccore/CASDWV010004206","NCBI Nucleotide")</f>
        <v>NCBI Nucleotide</v>
      </c>
    </row>
    <row r="10813" spans="1:27" x14ac:dyDescent="0.35">
      <c r="A10813">
        <v>1027050</v>
      </c>
      <c r="B10813">
        <v>10138</v>
      </c>
      <c r="C10813">
        <v>1</v>
      </c>
      <c r="D10813" s="17" t="s">
        <v>17166</v>
      </c>
      <c r="E10813" s="17"/>
      <c r="F10813" s="17" t="s">
        <v>17246</v>
      </c>
      <c r="G10813" s="17"/>
      <c r="H10813" s="17" t="s">
        <v>20919</v>
      </c>
      <c r="I10813" s="17"/>
      <c r="J10813" s="17" t="s">
        <v>21313</v>
      </c>
      <c r="K10813" s="17"/>
      <c r="L10813" s="17" t="s">
        <v>22378</v>
      </c>
      <c r="M10813" s="17"/>
      <c r="N10813" s="17" t="s">
        <v>22459</v>
      </c>
      <c r="O10813" s="17"/>
      <c r="P10813" s="17" t="s">
        <v>45008</v>
      </c>
      <c r="Q10813" s="17"/>
      <c r="R10813" s="25" t="str">
        <f>HYPERLINK("https://ictv.global/taxonomy/taxondetails?taxnode_id=202317310","Hodnevirus neoarvicola")</f>
        <v>Hodnevirus neoarvicola</v>
      </c>
      <c r="S10813" s="18" t="s">
        <v>30</v>
      </c>
      <c r="T10813" s="18" t="s">
        <v>45409</v>
      </c>
      <c r="U10813" s="18"/>
      <c r="V10813" s="18"/>
      <c r="W10813" s="18" t="s">
        <v>45410</v>
      </c>
      <c r="X10813" s="18" t="s">
        <v>35</v>
      </c>
      <c r="Y10813" s="18" t="s">
        <v>17171</v>
      </c>
      <c r="Z10813" s="18" t="s">
        <v>24637</v>
      </c>
      <c r="AA10813" s="21" t="str">
        <f>HYPERLINK("https://www.ncbi.nlm.nih.gov/nuccore/CASDWV010001670","NCBI Nucleotide")</f>
        <v>NCBI Nucleotide</v>
      </c>
    </row>
    <row r="10814" spans="1:27" x14ac:dyDescent="0.35">
      <c r="A10814">
        <v>1027051</v>
      </c>
      <c r="B10814">
        <v>10139</v>
      </c>
      <c r="C10814">
        <v>1</v>
      </c>
      <c r="D10814" s="17" t="s">
        <v>17166</v>
      </c>
      <c r="E10814" s="17"/>
      <c r="F10814" s="17" t="s">
        <v>17246</v>
      </c>
      <c r="G10814" s="17"/>
      <c r="H10814" s="17" t="s">
        <v>20919</v>
      </c>
      <c r="I10814" s="17"/>
      <c r="J10814" s="17" t="s">
        <v>21313</v>
      </c>
      <c r="K10814" s="17"/>
      <c r="L10814" s="17" t="s">
        <v>22378</v>
      </c>
      <c r="M10814" s="17"/>
      <c r="N10814" s="17" t="s">
        <v>22459</v>
      </c>
      <c r="O10814" s="17"/>
      <c r="P10814" s="17" t="s">
        <v>45008</v>
      </c>
      <c r="Q10814" s="17"/>
      <c r="R10814" s="25" t="str">
        <f>HYPERLINK("https://ictv.global/taxonomy/taxondetails?taxnode_id=202317311","Hodnevirus neoarvihabitans")</f>
        <v>Hodnevirus neoarvihabitans</v>
      </c>
      <c r="S10814" s="18" t="s">
        <v>30</v>
      </c>
      <c r="T10814" s="18" t="s">
        <v>45411</v>
      </c>
      <c r="U10814" s="18"/>
      <c r="V10814" s="18"/>
      <c r="W10814" s="18" t="s">
        <v>45412</v>
      </c>
      <c r="X10814" s="18" t="s">
        <v>35</v>
      </c>
      <c r="Y10814" s="18" t="s">
        <v>17171</v>
      </c>
      <c r="Z10814" s="18" t="s">
        <v>24637</v>
      </c>
      <c r="AA10814" s="21" t="str">
        <f>HYPERLINK("https://www.ncbi.nlm.nih.gov/nuccore/CASDWV010000263","NCBI Nucleotide")</f>
        <v>NCBI Nucleotide</v>
      </c>
    </row>
    <row r="10815" spans="1:27" x14ac:dyDescent="0.35">
      <c r="A10815">
        <v>1027052</v>
      </c>
      <c r="B10815">
        <v>10140</v>
      </c>
      <c r="C10815">
        <v>1</v>
      </c>
      <c r="D10815" s="17" t="s">
        <v>17166</v>
      </c>
      <c r="E10815" s="17"/>
      <c r="F10815" s="17" t="s">
        <v>17246</v>
      </c>
      <c r="G10815" s="17"/>
      <c r="H10815" s="17" t="s">
        <v>20919</v>
      </c>
      <c r="I10815" s="17"/>
      <c r="J10815" s="17" t="s">
        <v>21313</v>
      </c>
      <c r="K10815" s="17"/>
      <c r="L10815" s="17" t="s">
        <v>22378</v>
      </c>
      <c r="M10815" s="17"/>
      <c r="N10815" s="17" t="s">
        <v>22459</v>
      </c>
      <c r="O10815" s="17"/>
      <c r="P10815" s="17" t="s">
        <v>45008</v>
      </c>
      <c r="Q10815" s="17"/>
      <c r="R10815" s="25" t="str">
        <f>HYPERLINK("https://ictv.global/taxonomy/taxondetails?taxnode_id=202317312","Hodnevirus neoarvivicinum")</f>
        <v>Hodnevirus neoarvivicinum</v>
      </c>
      <c r="S10815" s="18" t="s">
        <v>30</v>
      </c>
      <c r="T10815" s="18" t="s">
        <v>45413</v>
      </c>
      <c r="U10815" s="18"/>
      <c r="V10815" s="18"/>
      <c r="W10815" s="18" t="s">
        <v>45414</v>
      </c>
      <c r="X10815" s="18" t="s">
        <v>35</v>
      </c>
      <c r="Y10815" s="18" t="s">
        <v>17171</v>
      </c>
      <c r="Z10815" s="18" t="s">
        <v>24637</v>
      </c>
      <c r="AA10815" s="21" t="str">
        <f>HYPERLINK("https://www.ncbi.nlm.nih.gov/nuccore/CASDWV010004549","NCBI Nucleotide")</f>
        <v>NCBI Nucleotide</v>
      </c>
    </row>
    <row r="10816" spans="1:27" x14ac:dyDescent="0.35">
      <c r="A10816">
        <v>1009938</v>
      </c>
      <c r="B10816">
        <v>10141</v>
      </c>
      <c r="C10816">
        <v>1</v>
      </c>
      <c r="D10816" s="17" t="s">
        <v>17166</v>
      </c>
      <c r="E10816" s="17"/>
      <c r="F10816" s="17" t="s">
        <v>17246</v>
      </c>
      <c r="G10816" s="17"/>
      <c r="H10816" s="17" t="s">
        <v>20919</v>
      </c>
      <c r="I10816" s="17"/>
      <c r="J10816" s="17" t="s">
        <v>21313</v>
      </c>
      <c r="K10816" s="17"/>
      <c r="L10816" s="17" t="s">
        <v>22378</v>
      </c>
      <c r="M10816" s="17"/>
      <c r="N10816" s="17" t="s">
        <v>22459</v>
      </c>
      <c r="O10816" s="17"/>
      <c r="P10816" s="17" t="s">
        <v>45008</v>
      </c>
      <c r="Q10816" s="17"/>
      <c r="R10816" s="25" t="str">
        <f>HYPERLINK("https://ictv.global/taxonomy/taxondetails?taxnode_id=202311167","Hodnevirus neoarvivivens")</f>
        <v>Hodnevirus neoarvivivens</v>
      </c>
      <c r="S10816" s="18" t="s">
        <v>30</v>
      </c>
      <c r="T10816" s="18" t="s">
        <v>22717</v>
      </c>
      <c r="U10816" s="18"/>
      <c r="V10816" s="18"/>
      <c r="W10816" s="18" t="s">
        <v>22718</v>
      </c>
      <c r="X10816" s="18" t="s">
        <v>35</v>
      </c>
      <c r="Y10816" s="18" t="s">
        <v>17171</v>
      </c>
      <c r="Z10816" s="18" t="s">
        <v>697</v>
      </c>
      <c r="AA10816" s="21" t="str">
        <f>HYPERLINK("https://www.ncbi.nlm.nih.gov/nuccore/BK013924","NCBI Nucleotide")</f>
        <v>NCBI Nucleotide</v>
      </c>
    </row>
    <row r="10817" spans="1:27" x14ac:dyDescent="0.35">
      <c r="A10817">
        <v>1027053</v>
      </c>
      <c r="B10817">
        <v>10142</v>
      </c>
      <c r="C10817">
        <v>1</v>
      </c>
      <c r="D10817" s="17" t="s">
        <v>17166</v>
      </c>
      <c r="E10817" s="17"/>
      <c r="F10817" s="17" t="s">
        <v>17246</v>
      </c>
      <c r="G10817" s="17"/>
      <c r="H10817" s="17" t="s">
        <v>20919</v>
      </c>
      <c r="I10817" s="17"/>
      <c r="J10817" s="17" t="s">
        <v>21313</v>
      </c>
      <c r="K10817" s="17"/>
      <c r="L10817" s="17" t="s">
        <v>22378</v>
      </c>
      <c r="M10817" s="17"/>
      <c r="N10817" s="17" t="s">
        <v>22459</v>
      </c>
      <c r="O10817" s="17"/>
      <c r="P10817" s="17" t="s">
        <v>45008</v>
      </c>
      <c r="Q10817" s="17"/>
      <c r="R10817" s="25" t="str">
        <f>HYPERLINK("https://ictv.global/taxonomy/taxondetails?taxnode_id=202317313","Hodnevirus neoasiadaptatum")</f>
        <v>Hodnevirus neoasiadaptatum</v>
      </c>
      <c r="S10817" s="18" t="s">
        <v>30</v>
      </c>
      <c r="T10817" s="18" t="s">
        <v>45415</v>
      </c>
      <c r="U10817" s="18"/>
      <c r="V10817" s="18"/>
      <c r="W10817" s="18" t="s">
        <v>45416</v>
      </c>
      <c r="X10817" s="18" t="s">
        <v>35</v>
      </c>
      <c r="Y10817" s="18" t="s">
        <v>17171</v>
      </c>
      <c r="Z10817" s="18" t="s">
        <v>24637</v>
      </c>
      <c r="AA10817" s="21" t="str">
        <f>HYPERLINK("https://www.ncbi.nlm.nih.gov/nuccore/CASDWV010000939","NCBI Nucleotide")</f>
        <v>NCBI Nucleotide</v>
      </c>
    </row>
    <row r="10818" spans="1:27" x14ac:dyDescent="0.35">
      <c r="A10818">
        <v>1027054</v>
      </c>
      <c r="B10818">
        <v>10143</v>
      </c>
      <c r="C10818">
        <v>1</v>
      </c>
      <c r="D10818" s="17" t="s">
        <v>17166</v>
      </c>
      <c r="E10818" s="17"/>
      <c r="F10818" s="17" t="s">
        <v>17246</v>
      </c>
      <c r="G10818" s="17"/>
      <c r="H10818" s="17" t="s">
        <v>20919</v>
      </c>
      <c r="I10818" s="17"/>
      <c r="J10818" s="17" t="s">
        <v>21313</v>
      </c>
      <c r="K10818" s="17"/>
      <c r="L10818" s="17" t="s">
        <v>22378</v>
      </c>
      <c r="M10818" s="17"/>
      <c r="N10818" s="17" t="s">
        <v>22459</v>
      </c>
      <c r="O10818" s="17"/>
      <c r="P10818" s="17" t="s">
        <v>45008</v>
      </c>
      <c r="Q10818" s="17"/>
      <c r="R10818" s="25" t="str">
        <f>HYPERLINK("https://ictv.global/taxonomy/taxondetails?taxnode_id=202317314","Hodnevirus neoasienecus")</f>
        <v>Hodnevirus neoasienecus</v>
      </c>
      <c r="S10818" s="18" t="s">
        <v>30</v>
      </c>
      <c r="T10818" s="18" t="s">
        <v>45417</v>
      </c>
      <c r="U10818" s="18"/>
      <c r="V10818" s="18"/>
      <c r="W10818" s="18" t="s">
        <v>45418</v>
      </c>
      <c r="X10818" s="18" t="s">
        <v>35</v>
      </c>
      <c r="Y10818" s="18" t="s">
        <v>17171</v>
      </c>
      <c r="Z10818" s="18" t="s">
        <v>24637</v>
      </c>
      <c r="AA10818" s="21" t="str">
        <f>HYPERLINK("https://www.ncbi.nlm.nih.gov/nuccore/CASDWV010004784","NCBI Nucleotide")</f>
        <v>NCBI Nucleotide</v>
      </c>
    </row>
    <row r="10819" spans="1:27" x14ac:dyDescent="0.35">
      <c r="A10819">
        <v>1027055</v>
      </c>
      <c r="B10819">
        <v>10144</v>
      </c>
      <c r="C10819">
        <v>1</v>
      </c>
      <c r="D10819" s="17" t="s">
        <v>17166</v>
      </c>
      <c r="E10819" s="17"/>
      <c r="F10819" s="17" t="s">
        <v>17246</v>
      </c>
      <c r="G10819" s="17"/>
      <c r="H10819" s="17" t="s">
        <v>20919</v>
      </c>
      <c r="I10819" s="17"/>
      <c r="J10819" s="17" t="s">
        <v>21313</v>
      </c>
      <c r="K10819" s="17"/>
      <c r="L10819" s="17" t="s">
        <v>22378</v>
      </c>
      <c r="M10819" s="17"/>
      <c r="N10819" s="17" t="s">
        <v>22459</v>
      </c>
      <c r="O10819" s="17"/>
      <c r="P10819" s="17" t="s">
        <v>45008</v>
      </c>
      <c r="Q10819" s="17"/>
      <c r="R10819" s="25" t="str">
        <f>HYPERLINK("https://ictv.global/taxonomy/taxondetails?taxnode_id=202317315","Hodnevirus neocaenivicinum")</f>
        <v>Hodnevirus neocaenivicinum</v>
      </c>
      <c r="S10819" s="18" t="s">
        <v>30</v>
      </c>
      <c r="T10819" s="18" t="s">
        <v>45419</v>
      </c>
      <c r="U10819" s="18"/>
      <c r="V10819" s="18"/>
      <c r="W10819" s="18" t="s">
        <v>45420</v>
      </c>
      <c r="X10819" s="18" t="s">
        <v>35</v>
      </c>
      <c r="Y10819" s="18" t="s">
        <v>17171</v>
      </c>
      <c r="Z10819" s="18" t="s">
        <v>24637</v>
      </c>
      <c r="AA10819" s="21" t="str">
        <f>HYPERLINK("https://www.ncbi.nlm.nih.gov/nuccore/CASDWV010002869","NCBI Nucleotide")</f>
        <v>NCBI Nucleotide</v>
      </c>
    </row>
    <row r="10820" spans="1:27" x14ac:dyDescent="0.35">
      <c r="A10820">
        <v>1009975</v>
      </c>
      <c r="B10820">
        <v>10145</v>
      </c>
      <c r="C10820">
        <v>1</v>
      </c>
      <c r="D10820" s="17" t="s">
        <v>17166</v>
      </c>
      <c r="E10820" s="17"/>
      <c r="F10820" s="17" t="s">
        <v>17246</v>
      </c>
      <c r="G10820" s="17"/>
      <c r="H10820" s="17" t="s">
        <v>20919</v>
      </c>
      <c r="I10820" s="17"/>
      <c r="J10820" s="17" t="s">
        <v>21313</v>
      </c>
      <c r="K10820" s="17"/>
      <c r="L10820" s="17" t="s">
        <v>22378</v>
      </c>
      <c r="M10820" s="17"/>
      <c r="N10820" s="17" t="s">
        <v>22459</v>
      </c>
      <c r="O10820" s="17"/>
      <c r="P10820" s="17" t="s">
        <v>45008</v>
      </c>
      <c r="Q10820" s="17"/>
      <c r="R10820" s="25" t="str">
        <f>HYPERLINK("https://ictv.global/taxonomy/taxondetails?taxnode_id=202311156","Hodnevirus neochoradaptatum")</f>
        <v>Hodnevirus neochoradaptatum</v>
      </c>
      <c r="S10820" s="18" t="s">
        <v>30</v>
      </c>
      <c r="T10820" s="18" t="s">
        <v>22789</v>
      </c>
      <c r="U10820" s="18"/>
      <c r="V10820" s="18"/>
      <c r="W10820" s="18" t="s">
        <v>22790</v>
      </c>
      <c r="X10820" s="18" t="s">
        <v>35</v>
      </c>
      <c r="Y10820" s="18" t="s">
        <v>17171</v>
      </c>
      <c r="Z10820" s="18" t="s">
        <v>697</v>
      </c>
      <c r="AA10820" s="21" t="str">
        <f>HYPERLINK("https://www.ncbi.nlm.nih.gov/nuccore/BK013408","NCBI Nucleotide")</f>
        <v>NCBI Nucleotide</v>
      </c>
    </row>
    <row r="10821" spans="1:27" x14ac:dyDescent="0.35">
      <c r="A10821">
        <v>1009976</v>
      </c>
      <c r="B10821">
        <v>10146</v>
      </c>
      <c r="C10821">
        <v>1</v>
      </c>
      <c r="D10821" s="17" t="s">
        <v>17166</v>
      </c>
      <c r="E10821" s="17"/>
      <c r="F10821" s="17" t="s">
        <v>17246</v>
      </c>
      <c r="G10821" s="17"/>
      <c r="H10821" s="17" t="s">
        <v>20919</v>
      </c>
      <c r="I10821" s="17"/>
      <c r="J10821" s="17" t="s">
        <v>21313</v>
      </c>
      <c r="K10821" s="17"/>
      <c r="L10821" s="17" t="s">
        <v>22378</v>
      </c>
      <c r="M10821" s="17"/>
      <c r="N10821" s="17" t="s">
        <v>22459</v>
      </c>
      <c r="O10821" s="17"/>
      <c r="P10821" s="17" t="s">
        <v>45008</v>
      </c>
      <c r="Q10821" s="17"/>
      <c r="R10821" s="25" t="str">
        <f>HYPERLINK("https://ictv.global/taxonomy/taxondetails?taxnode_id=202311158","Hodnevirus neochorenecus")</f>
        <v>Hodnevirus neochorenecus</v>
      </c>
      <c r="S10821" s="18" t="s">
        <v>30</v>
      </c>
      <c r="T10821" s="18" t="s">
        <v>22791</v>
      </c>
      <c r="U10821" s="18"/>
      <c r="V10821" s="18"/>
      <c r="W10821" s="18" t="s">
        <v>22792</v>
      </c>
      <c r="X10821" s="18" t="s">
        <v>35</v>
      </c>
      <c r="Y10821" s="18" t="s">
        <v>17171</v>
      </c>
      <c r="Z10821" s="18" t="s">
        <v>697</v>
      </c>
      <c r="AA10821" s="21" t="str">
        <f>HYPERLINK("https://www.ncbi.nlm.nih.gov/nuccore/BK013965","NCBI Nucleotide")</f>
        <v>NCBI Nucleotide</v>
      </c>
    </row>
    <row r="10822" spans="1:27" x14ac:dyDescent="0.35">
      <c r="A10822">
        <v>1009977</v>
      </c>
      <c r="B10822">
        <v>10147</v>
      </c>
      <c r="C10822">
        <v>1</v>
      </c>
      <c r="D10822" s="17" t="s">
        <v>17166</v>
      </c>
      <c r="E10822" s="17"/>
      <c r="F10822" s="17" t="s">
        <v>17246</v>
      </c>
      <c r="G10822" s="17"/>
      <c r="H10822" s="17" t="s">
        <v>20919</v>
      </c>
      <c r="I10822" s="17"/>
      <c r="J10822" s="17" t="s">
        <v>21313</v>
      </c>
      <c r="K10822" s="17"/>
      <c r="L10822" s="17" t="s">
        <v>22378</v>
      </c>
      <c r="M10822" s="17"/>
      <c r="N10822" s="17" t="s">
        <v>22459</v>
      </c>
      <c r="O10822" s="17"/>
      <c r="P10822" s="17" t="s">
        <v>45008</v>
      </c>
      <c r="Q10822" s="17"/>
      <c r="R10822" s="25" t="str">
        <f>HYPERLINK("https://ictv.global/taxonomy/taxondetails?taxnode_id=202311157","Hodnevirus neochorocola")</f>
        <v>Hodnevirus neochorocola</v>
      </c>
      <c r="S10822" s="18" t="s">
        <v>30</v>
      </c>
      <c r="T10822" s="18" t="s">
        <v>22793</v>
      </c>
      <c r="U10822" s="18"/>
      <c r="V10822" s="18"/>
      <c r="W10822" s="18" t="s">
        <v>22794</v>
      </c>
      <c r="X10822" s="18" t="s">
        <v>35</v>
      </c>
      <c r="Y10822" s="18" t="s">
        <v>17171</v>
      </c>
      <c r="Z10822" s="18" t="s">
        <v>697</v>
      </c>
      <c r="AA10822" s="21" t="str">
        <f>HYPERLINK("https://www.ncbi.nlm.nih.gov/nuccore/BK013962","NCBI Nucleotide")</f>
        <v>NCBI Nucleotide</v>
      </c>
    </row>
    <row r="10823" spans="1:27" x14ac:dyDescent="0.35">
      <c r="A10823">
        <v>1009943</v>
      </c>
      <c r="B10823">
        <v>10148</v>
      </c>
      <c r="C10823">
        <v>1</v>
      </c>
      <c r="D10823" s="17" t="s">
        <v>17166</v>
      </c>
      <c r="E10823" s="17"/>
      <c r="F10823" s="17" t="s">
        <v>17246</v>
      </c>
      <c r="G10823" s="17"/>
      <c r="H10823" s="17" t="s">
        <v>20919</v>
      </c>
      <c r="I10823" s="17"/>
      <c r="J10823" s="17" t="s">
        <v>21313</v>
      </c>
      <c r="K10823" s="17"/>
      <c r="L10823" s="17" t="s">
        <v>22378</v>
      </c>
      <c r="M10823" s="17"/>
      <c r="N10823" s="17" t="s">
        <v>22459</v>
      </c>
      <c r="O10823" s="17"/>
      <c r="P10823" s="17" t="s">
        <v>45008</v>
      </c>
      <c r="Q10823" s="17"/>
      <c r="R10823" s="25" t="str">
        <f>HYPERLINK("https://ictv.global/taxonomy/taxondetails?taxnode_id=202311226","Hodnevirus neochorohabitans")</f>
        <v>Hodnevirus neochorohabitans</v>
      </c>
      <c r="S10823" s="18" t="s">
        <v>30</v>
      </c>
      <c r="T10823" s="18" t="s">
        <v>22727</v>
      </c>
      <c r="U10823" s="18"/>
      <c r="V10823" s="18"/>
      <c r="W10823" s="18" t="s">
        <v>22728</v>
      </c>
      <c r="X10823" s="18" t="s">
        <v>35</v>
      </c>
      <c r="Y10823" s="18" t="s">
        <v>17171</v>
      </c>
      <c r="Z10823" s="18" t="s">
        <v>697</v>
      </c>
      <c r="AA10823" s="21" t="str">
        <f>HYPERLINK("https://www.ncbi.nlm.nih.gov/nuccore/BK013409","NCBI Nucleotide")</f>
        <v>NCBI Nucleotide</v>
      </c>
    </row>
    <row r="10824" spans="1:27" x14ac:dyDescent="0.35">
      <c r="A10824">
        <v>1009944</v>
      </c>
      <c r="B10824">
        <v>10149</v>
      </c>
      <c r="C10824">
        <v>1</v>
      </c>
      <c r="D10824" s="17" t="s">
        <v>17166</v>
      </c>
      <c r="E10824" s="17"/>
      <c r="F10824" s="17" t="s">
        <v>17246</v>
      </c>
      <c r="G10824" s="17"/>
      <c r="H10824" s="17" t="s">
        <v>20919</v>
      </c>
      <c r="I10824" s="17"/>
      <c r="J10824" s="17" t="s">
        <v>21313</v>
      </c>
      <c r="K10824" s="17"/>
      <c r="L10824" s="17" t="s">
        <v>22378</v>
      </c>
      <c r="M10824" s="17"/>
      <c r="N10824" s="17" t="s">
        <v>22459</v>
      </c>
      <c r="O10824" s="17"/>
      <c r="P10824" s="17" t="s">
        <v>45008</v>
      </c>
      <c r="Q10824" s="17"/>
      <c r="R10824" s="25" t="str">
        <f>HYPERLINK("https://ictv.global/taxonomy/taxondetails?taxnode_id=202311227","Hodnevirus neochorovicinum")</f>
        <v>Hodnevirus neochorovicinum</v>
      </c>
      <c r="S10824" s="18" t="s">
        <v>30</v>
      </c>
      <c r="T10824" s="18" t="s">
        <v>22729</v>
      </c>
      <c r="U10824" s="18"/>
      <c r="V10824" s="18"/>
      <c r="W10824" s="18" t="s">
        <v>22730</v>
      </c>
      <c r="X10824" s="18" t="s">
        <v>35</v>
      </c>
      <c r="Y10824" s="18" t="s">
        <v>17171</v>
      </c>
      <c r="Z10824" s="18" t="s">
        <v>697</v>
      </c>
      <c r="AA10824" s="21" t="str">
        <f>HYPERLINK("https://www.ncbi.nlm.nih.gov/nuccore/BK013417","NCBI Nucleotide")</f>
        <v>NCBI Nucleotide</v>
      </c>
    </row>
    <row r="10825" spans="1:27" x14ac:dyDescent="0.35">
      <c r="A10825">
        <v>1009945</v>
      </c>
      <c r="B10825">
        <v>10150</v>
      </c>
      <c r="C10825">
        <v>1</v>
      </c>
      <c r="D10825" s="17" t="s">
        <v>17166</v>
      </c>
      <c r="E10825" s="17"/>
      <c r="F10825" s="17" t="s">
        <v>17246</v>
      </c>
      <c r="G10825" s="17"/>
      <c r="H10825" s="17" t="s">
        <v>20919</v>
      </c>
      <c r="I10825" s="17"/>
      <c r="J10825" s="17" t="s">
        <v>21313</v>
      </c>
      <c r="K10825" s="17"/>
      <c r="L10825" s="17" t="s">
        <v>22378</v>
      </c>
      <c r="M10825" s="17"/>
      <c r="N10825" s="17" t="s">
        <v>22459</v>
      </c>
      <c r="O10825" s="17"/>
      <c r="P10825" s="17" t="s">
        <v>45008</v>
      </c>
      <c r="Q10825" s="17"/>
      <c r="R10825" s="25" t="str">
        <f>HYPERLINK("https://ictv.global/taxonomy/taxondetails?taxnode_id=202311228","Hodnevirus neochorovivens")</f>
        <v>Hodnevirus neochorovivens</v>
      </c>
      <c r="S10825" s="18" t="s">
        <v>30</v>
      </c>
      <c r="T10825" s="18" t="s">
        <v>22731</v>
      </c>
      <c r="U10825" s="18"/>
      <c r="V10825" s="18"/>
      <c r="W10825" s="18" t="s">
        <v>22732</v>
      </c>
      <c r="X10825" s="18" t="s">
        <v>35</v>
      </c>
      <c r="Y10825" s="18" t="s">
        <v>17171</v>
      </c>
      <c r="Z10825" s="18" t="s">
        <v>697</v>
      </c>
      <c r="AA10825" s="21" t="str">
        <f>HYPERLINK("https://www.ncbi.nlm.nih.gov/nuccore/BK013832","NCBI Nucleotide")</f>
        <v>NCBI Nucleotide</v>
      </c>
    </row>
    <row r="10826" spans="1:27" x14ac:dyDescent="0.35">
      <c r="A10826">
        <v>1009946</v>
      </c>
      <c r="B10826">
        <v>10151</v>
      </c>
      <c r="C10826">
        <v>1</v>
      </c>
      <c r="D10826" s="17" t="s">
        <v>17166</v>
      </c>
      <c r="E10826" s="17"/>
      <c r="F10826" s="17" t="s">
        <v>17246</v>
      </c>
      <c r="G10826" s="17"/>
      <c r="H10826" s="17" t="s">
        <v>20919</v>
      </c>
      <c r="I10826" s="17"/>
      <c r="J10826" s="17" t="s">
        <v>21313</v>
      </c>
      <c r="K10826" s="17"/>
      <c r="L10826" s="17" t="s">
        <v>22378</v>
      </c>
      <c r="M10826" s="17"/>
      <c r="N10826" s="17" t="s">
        <v>22459</v>
      </c>
      <c r="O10826" s="17"/>
      <c r="P10826" s="17" t="s">
        <v>45008</v>
      </c>
      <c r="Q10826" s="17"/>
      <c r="R10826" s="25" t="str">
        <f>HYPERLINK("https://ictv.global/taxonomy/taxondetails?taxnode_id=202311186","Hodnevirus neochthonadaptatum")</f>
        <v>Hodnevirus neochthonadaptatum</v>
      </c>
      <c r="S10826" s="18" t="s">
        <v>30</v>
      </c>
      <c r="T10826" s="18" t="s">
        <v>22733</v>
      </c>
      <c r="U10826" s="18"/>
      <c r="V10826" s="18"/>
      <c r="W10826" s="18" t="s">
        <v>22734</v>
      </c>
      <c r="X10826" s="18" t="s">
        <v>35</v>
      </c>
      <c r="Y10826" s="18" t="s">
        <v>17171</v>
      </c>
      <c r="Z10826" s="18" t="s">
        <v>697</v>
      </c>
      <c r="AA10826" s="21" t="str">
        <f>HYPERLINK("https://www.ncbi.nlm.nih.gov/nuccore/BK013494","NCBI Nucleotide")</f>
        <v>NCBI Nucleotide</v>
      </c>
    </row>
    <row r="10827" spans="1:27" x14ac:dyDescent="0.35">
      <c r="A10827">
        <v>1009947</v>
      </c>
      <c r="B10827">
        <v>10152</v>
      </c>
      <c r="C10827">
        <v>1</v>
      </c>
      <c r="D10827" s="17" t="s">
        <v>17166</v>
      </c>
      <c r="E10827" s="17"/>
      <c r="F10827" s="17" t="s">
        <v>17246</v>
      </c>
      <c r="G10827" s="17"/>
      <c r="H10827" s="17" t="s">
        <v>20919</v>
      </c>
      <c r="I10827" s="17"/>
      <c r="J10827" s="17" t="s">
        <v>21313</v>
      </c>
      <c r="K10827" s="17"/>
      <c r="L10827" s="17" t="s">
        <v>22378</v>
      </c>
      <c r="M10827" s="17"/>
      <c r="N10827" s="17" t="s">
        <v>22459</v>
      </c>
      <c r="O10827" s="17"/>
      <c r="P10827" s="17" t="s">
        <v>45008</v>
      </c>
      <c r="Q10827" s="17"/>
      <c r="R10827" s="25" t="str">
        <f>HYPERLINK("https://ictv.global/taxonomy/taxondetails?taxnode_id=202311188","Hodnevirus neochthonenecus")</f>
        <v>Hodnevirus neochthonenecus</v>
      </c>
      <c r="S10827" s="18" t="s">
        <v>30</v>
      </c>
      <c r="T10827" s="18" t="s">
        <v>22735</v>
      </c>
      <c r="U10827" s="18"/>
      <c r="V10827" s="18"/>
      <c r="W10827" s="18" t="s">
        <v>22736</v>
      </c>
      <c r="X10827" s="18" t="s">
        <v>35</v>
      </c>
      <c r="Y10827" s="18" t="s">
        <v>17171</v>
      </c>
      <c r="Z10827" s="18" t="s">
        <v>697</v>
      </c>
      <c r="AA10827" s="21" t="str">
        <f>HYPERLINK("https://www.ncbi.nlm.nih.gov/nuccore/BK014033","NCBI Nucleotide")</f>
        <v>NCBI Nucleotide</v>
      </c>
    </row>
    <row r="10828" spans="1:27" x14ac:dyDescent="0.35">
      <c r="A10828">
        <v>1009948</v>
      </c>
      <c r="B10828">
        <v>10153</v>
      </c>
      <c r="C10828">
        <v>1</v>
      </c>
      <c r="D10828" s="17" t="s">
        <v>17166</v>
      </c>
      <c r="E10828" s="17"/>
      <c r="F10828" s="17" t="s">
        <v>17246</v>
      </c>
      <c r="G10828" s="17"/>
      <c r="H10828" s="17" t="s">
        <v>20919</v>
      </c>
      <c r="I10828" s="17"/>
      <c r="J10828" s="17" t="s">
        <v>21313</v>
      </c>
      <c r="K10828" s="17"/>
      <c r="L10828" s="17" t="s">
        <v>22378</v>
      </c>
      <c r="M10828" s="17"/>
      <c r="N10828" s="17" t="s">
        <v>22459</v>
      </c>
      <c r="O10828" s="17"/>
      <c r="P10828" s="17" t="s">
        <v>45008</v>
      </c>
      <c r="Q10828" s="17"/>
      <c r="R10828" s="25" t="str">
        <f>HYPERLINK("https://ictv.global/taxonomy/taxondetails?taxnode_id=202311187","Hodnevirus neochthonocola")</f>
        <v>Hodnevirus neochthonocola</v>
      </c>
      <c r="S10828" s="18" t="s">
        <v>30</v>
      </c>
      <c r="T10828" s="18" t="s">
        <v>22737</v>
      </c>
      <c r="U10828" s="18"/>
      <c r="V10828" s="18"/>
      <c r="W10828" s="18" t="s">
        <v>22738</v>
      </c>
      <c r="X10828" s="18" t="s">
        <v>35</v>
      </c>
      <c r="Y10828" s="18" t="s">
        <v>17171</v>
      </c>
      <c r="Z10828" s="18" t="s">
        <v>697</v>
      </c>
      <c r="AA10828" s="21" t="str">
        <f>HYPERLINK("https://www.ncbi.nlm.nih.gov/nuccore/BK014015","NCBI Nucleotide")</f>
        <v>NCBI Nucleotide</v>
      </c>
    </row>
    <row r="10829" spans="1:27" x14ac:dyDescent="0.35">
      <c r="A10829">
        <v>1009910</v>
      </c>
      <c r="B10829">
        <v>10154</v>
      </c>
      <c r="C10829">
        <v>1</v>
      </c>
      <c r="D10829" s="17" t="s">
        <v>17166</v>
      </c>
      <c r="E10829" s="17"/>
      <c r="F10829" s="17" t="s">
        <v>17246</v>
      </c>
      <c r="G10829" s="17"/>
      <c r="H10829" s="17" t="s">
        <v>20919</v>
      </c>
      <c r="I10829" s="17"/>
      <c r="J10829" s="17" t="s">
        <v>21313</v>
      </c>
      <c r="K10829" s="17"/>
      <c r="L10829" s="17" t="s">
        <v>22378</v>
      </c>
      <c r="M10829" s="17"/>
      <c r="N10829" s="17" t="s">
        <v>22459</v>
      </c>
      <c r="O10829" s="17"/>
      <c r="P10829" s="17" t="s">
        <v>45008</v>
      </c>
      <c r="Q10829" s="17"/>
      <c r="R10829" s="25" t="str">
        <f>HYPERLINK("https://ictv.global/taxonomy/taxondetails?taxnode_id=202311103","Hodnevirus neochthonohabitans")</f>
        <v>Hodnevirus neochthonohabitans</v>
      </c>
      <c r="S10829" s="18" t="s">
        <v>30</v>
      </c>
      <c r="T10829" s="18" t="s">
        <v>22651</v>
      </c>
      <c r="U10829" s="18"/>
      <c r="V10829" s="18"/>
      <c r="W10829" s="18" t="s">
        <v>22652</v>
      </c>
      <c r="X10829" s="18" t="s">
        <v>35</v>
      </c>
      <c r="Y10829" s="18" t="s">
        <v>17171</v>
      </c>
      <c r="Z10829" s="18" t="s">
        <v>697</v>
      </c>
      <c r="AA10829" s="21" t="str">
        <f>HYPERLINK("https://www.ncbi.nlm.nih.gov/nuccore/BK013789","NCBI Nucleotide")</f>
        <v>NCBI Nucleotide</v>
      </c>
    </row>
    <row r="10830" spans="1:27" x14ac:dyDescent="0.35">
      <c r="A10830">
        <v>1009950</v>
      </c>
      <c r="B10830">
        <v>10155</v>
      </c>
      <c r="C10830">
        <v>1</v>
      </c>
      <c r="D10830" s="17" t="s">
        <v>17166</v>
      </c>
      <c r="E10830" s="17"/>
      <c r="F10830" s="17" t="s">
        <v>17246</v>
      </c>
      <c r="G10830" s="17"/>
      <c r="H10830" s="17" t="s">
        <v>20919</v>
      </c>
      <c r="I10830" s="17"/>
      <c r="J10830" s="17" t="s">
        <v>21313</v>
      </c>
      <c r="K10830" s="17"/>
      <c r="L10830" s="17" t="s">
        <v>22378</v>
      </c>
      <c r="M10830" s="17"/>
      <c r="N10830" s="17" t="s">
        <v>22459</v>
      </c>
      <c r="O10830" s="17"/>
      <c r="P10830" s="17" t="s">
        <v>45008</v>
      </c>
      <c r="Q10830" s="17"/>
      <c r="R10830" s="25" t="str">
        <f>HYPERLINK("https://ictv.global/taxonomy/taxondetails?taxnode_id=202311190","Hodnevirus neochthonovicinum")</f>
        <v>Hodnevirus neochthonovicinum</v>
      </c>
      <c r="S10830" s="18" t="s">
        <v>30</v>
      </c>
      <c r="T10830" s="18" t="s">
        <v>22741</v>
      </c>
      <c r="U10830" s="18"/>
      <c r="V10830" s="18"/>
      <c r="W10830" s="18" t="s">
        <v>22742</v>
      </c>
      <c r="X10830" s="18" t="s">
        <v>35</v>
      </c>
      <c r="Y10830" s="18" t="s">
        <v>17171</v>
      </c>
      <c r="Z10830" s="18" t="s">
        <v>697</v>
      </c>
      <c r="AA10830" s="21" t="str">
        <f>HYPERLINK("https://www.ncbi.nlm.nih.gov/nuccore/BK013845","NCBI Nucleotide")</f>
        <v>NCBI Nucleotide</v>
      </c>
    </row>
    <row r="10831" spans="1:27" x14ac:dyDescent="0.35">
      <c r="A10831">
        <v>1009951</v>
      </c>
      <c r="B10831">
        <v>10156</v>
      </c>
      <c r="C10831">
        <v>1</v>
      </c>
      <c r="D10831" s="17" t="s">
        <v>17166</v>
      </c>
      <c r="E10831" s="17"/>
      <c r="F10831" s="17" t="s">
        <v>17246</v>
      </c>
      <c r="G10831" s="17"/>
      <c r="H10831" s="17" t="s">
        <v>20919</v>
      </c>
      <c r="I10831" s="17"/>
      <c r="J10831" s="17" t="s">
        <v>21313</v>
      </c>
      <c r="K10831" s="17"/>
      <c r="L10831" s="17" t="s">
        <v>22378</v>
      </c>
      <c r="M10831" s="17"/>
      <c r="N10831" s="17" t="s">
        <v>22459</v>
      </c>
      <c r="O10831" s="17"/>
      <c r="P10831" s="17" t="s">
        <v>45008</v>
      </c>
      <c r="Q10831" s="17"/>
      <c r="R10831" s="25" t="str">
        <f>HYPERLINK("https://ictv.global/taxonomy/taxondetails?taxnode_id=202311191","Hodnevirus neochthonovivens")</f>
        <v>Hodnevirus neochthonovivens</v>
      </c>
      <c r="S10831" s="18" t="s">
        <v>30</v>
      </c>
      <c r="T10831" s="18" t="s">
        <v>22743</v>
      </c>
      <c r="U10831" s="18"/>
      <c r="V10831" s="18"/>
      <c r="W10831" s="18" t="s">
        <v>22744</v>
      </c>
      <c r="X10831" s="18" t="s">
        <v>35</v>
      </c>
      <c r="Y10831" s="18" t="s">
        <v>17171</v>
      </c>
      <c r="Z10831" s="18" t="s">
        <v>697</v>
      </c>
      <c r="AA10831" s="21" t="str">
        <f>HYPERLINK("https://www.ncbi.nlm.nih.gov/nuccore/BK013895","NCBI Nucleotide")</f>
        <v>NCBI Nucleotide</v>
      </c>
    </row>
    <row r="10832" spans="1:27" x14ac:dyDescent="0.35">
      <c r="A10832">
        <v>1010099</v>
      </c>
      <c r="B10832">
        <v>10157</v>
      </c>
      <c r="C10832">
        <v>1</v>
      </c>
      <c r="D10832" s="17" t="s">
        <v>17166</v>
      </c>
      <c r="E10832" s="17"/>
      <c r="F10832" s="17" t="s">
        <v>17246</v>
      </c>
      <c r="G10832" s="17"/>
      <c r="H10832" s="17" t="s">
        <v>20919</v>
      </c>
      <c r="I10832" s="17"/>
      <c r="J10832" s="17" t="s">
        <v>21313</v>
      </c>
      <c r="K10832" s="17"/>
      <c r="L10832" s="17" t="s">
        <v>22378</v>
      </c>
      <c r="M10832" s="17"/>
      <c r="N10832" s="17" t="s">
        <v>22459</v>
      </c>
      <c r="O10832" s="17"/>
      <c r="P10832" s="17" t="s">
        <v>45008</v>
      </c>
      <c r="Q10832" s="17"/>
      <c r="R10832" s="25" t="str">
        <f>HYPERLINK("https://ictv.global/taxonomy/taxondetails?taxnode_id=202311331","Hodnevirus neoedaphadaptatum")</f>
        <v>Hodnevirus neoedaphadaptatum</v>
      </c>
      <c r="S10832" s="18" t="s">
        <v>30</v>
      </c>
      <c r="T10832" s="18" t="s">
        <v>23048</v>
      </c>
      <c r="U10832" s="18"/>
      <c r="V10832" s="18"/>
      <c r="W10832" s="18" t="s">
        <v>23049</v>
      </c>
      <c r="X10832" s="18" t="s">
        <v>35</v>
      </c>
      <c r="Y10832" s="18" t="s">
        <v>17171</v>
      </c>
      <c r="Z10832" s="18" t="s">
        <v>697</v>
      </c>
      <c r="AA10832" s="21" t="str">
        <f>HYPERLINK("https://www.ncbi.nlm.nih.gov/nuccore/BK013563","NCBI Nucleotide")</f>
        <v>NCBI Nucleotide</v>
      </c>
    </row>
    <row r="10833" spans="1:27" x14ac:dyDescent="0.35">
      <c r="A10833">
        <v>1010034</v>
      </c>
      <c r="B10833">
        <v>10158</v>
      </c>
      <c r="C10833">
        <v>1</v>
      </c>
      <c r="D10833" s="17" t="s">
        <v>17166</v>
      </c>
      <c r="E10833" s="17"/>
      <c r="F10833" s="17" t="s">
        <v>17246</v>
      </c>
      <c r="G10833" s="17"/>
      <c r="H10833" s="17" t="s">
        <v>20919</v>
      </c>
      <c r="I10833" s="17"/>
      <c r="J10833" s="17" t="s">
        <v>21313</v>
      </c>
      <c r="K10833" s="17"/>
      <c r="L10833" s="17" t="s">
        <v>22378</v>
      </c>
      <c r="M10833" s="17"/>
      <c r="N10833" s="17" t="s">
        <v>22459</v>
      </c>
      <c r="O10833" s="17"/>
      <c r="P10833" s="17" t="s">
        <v>45008</v>
      </c>
      <c r="Q10833" s="17"/>
      <c r="R10833" s="25" t="str">
        <f>HYPERLINK("https://ictv.global/taxonomy/taxondetails?taxnode_id=202311244","Hodnevirus neoedaphenecus")</f>
        <v>Hodnevirus neoedaphenecus</v>
      </c>
      <c r="S10833" s="18" t="s">
        <v>30</v>
      </c>
      <c r="T10833" s="18" t="s">
        <v>22903</v>
      </c>
      <c r="U10833" s="18"/>
      <c r="V10833" s="18"/>
      <c r="W10833" s="18" t="s">
        <v>22904</v>
      </c>
      <c r="X10833" s="18" t="s">
        <v>35</v>
      </c>
      <c r="Y10833" s="18" t="s">
        <v>17171</v>
      </c>
      <c r="Z10833" s="18" t="s">
        <v>697</v>
      </c>
      <c r="AA10833" s="21" t="str">
        <f>HYPERLINK("https://www.ncbi.nlm.nih.gov/nuccore/BK013894","NCBI Nucleotide")</f>
        <v>NCBI Nucleotide</v>
      </c>
    </row>
    <row r="10834" spans="1:27" x14ac:dyDescent="0.35">
      <c r="A10834">
        <v>1010035</v>
      </c>
      <c r="B10834">
        <v>10159</v>
      </c>
      <c r="C10834">
        <v>1</v>
      </c>
      <c r="D10834" s="17" t="s">
        <v>17166</v>
      </c>
      <c r="E10834" s="17"/>
      <c r="F10834" s="17" t="s">
        <v>17246</v>
      </c>
      <c r="G10834" s="17"/>
      <c r="H10834" s="17" t="s">
        <v>20919</v>
      </c>
      <c r="I10834" s="17"/>
      <c r="J10834" s="17" t="s">
        <v>21313</v>
      </c>
      <c r="K10834" s="17"/>
      <c r="L10834" s="17" t="s">
        <v>22378</v>
      </c>
      <c r="M10834" s="17"/>
      <c r="N10834" s="17" t="s">
        <v>22459</v>
      </c>
      <c r="O10834" s="17"/>
      <c r="P10834" s="17" t="s">
        <v>45008</v>
      </c>
      <c r="Q10834" s="17"/>
      <c r="R10834" s="25" t="str">
        <f>HYPERLINK("https://ictv.global/taxonomy/taxondetails?taxnode_id=202311245","Hodnevirus neoedaphocola")</f>
        <v>Hodnevirus neoedaphocola</v>
      </c>
      <c r="S10834" s="18" t="s">
        <v>30</v>
      </c>
      <c r="T10834" s="18" t="s">
        <v>22905</v>
      </c>
      <c r="U10834" s="18"/>
      <c r="V10834" s="18"/>
      <c r="W10834" s="18" t="s">
        <v>22906</v>
      </c>
      <c r="X10834" s="18" t="s">
        <v>35</v>
      </c>
      <c r="Y10834" s="18" t="s">
        <v>17171</v>
      </c>
      <c r="Z10834" s="18" t="s">
        <v>697</v>
      </c>
      <c r="AA10834" s="21" t="str">
        <f>HYPERLINK("https://www.ncbi.nlm.nih.gov/nuccore/BK013801","NCBI Nucleotide")</f>
        <v>NCBI Nucleotide</v>
      </c>
    </row>
    <row r="10835" spans="1:27" x14ac:dyDescent="0.35">
      <c r="A10835">
        <v>1027056</v>
      </c>
      <c r="B10835">
        <v>10160</v>
      </c>
      <c r="C10835">
        <v>1</v>
      </c>
      <c r="D10835" s="17" t="s">
        <v>17166</v>
      </c>
      <c r="E10835" s="17"/>
      <c r="F10835" s="17" t="s">
        <v>17246</v>
      </c>
      <c r="G10835" s="17"/>
      <c r="H10835" s="17" t="s">
        <v>20919</v>
      </c>
      <c r="I10835" s="17"/>
      <c r="J10835" s="17" t="s">
        <v>21313</v>
      </c>
      <c r="K10835" s="17"/>
      <c r="L10835" s="17" t="s">
        <v>22378</v>
      </c>
      <c r="M10835" s="17"/>
      <c r="N10835" s="17" t="s">
        <v>22459</v>
      </c>
      <c r="O10835" s="17"/>
      <c r="P10835" s="17" t="s">
        <v>45008</v>
      </c>
      <c r="Q10835" s="17"/>
      <c r="R10835" s="25" t="str">
        <f>HYPERLINK("https://ictv.global/taxonomy/taxondetails?taxnode_id=202317316","Hodnevirus neoedaphohabitans")</f>
        <v>Hodnevirus neoedaphohabitans</v>
      </c>
      <c r="S10835" s="18" t="s">
        <v>30</v>
      </c>
      <c r="T10835" s="18" t="s">
        <v>45421</v>
      </c>
      <c r="U10835" s="18"/>
      <c r="V10835" s="18"/>
      <c r="W10835" s="18" t="s">
        <v>45422</v>
      </c>
      <c r="X10835" s="18" t="s">
        <v>35</v>
      </c>
      <c r="Y10835" s="18" t="s">
        <v>17171</v>
      </c>
      <c r="Z10835" s="18" t="s">
        <v>24637</v>
      </c>
      <c r="AA10835" s="21" t="str">
        <f>HYPERLINK("https://www.ncbi.nlm.nih.gov/nuccore/CASDWV010001321","NCBI Nucleotide")</f>
        <v>NCBI Nucleotide</v>
      </c>
    </row>
    <row r="10836" spans="1:27" x14ac:dyDescent="0.35">
      <c r="A10836">
        <v>1027057</v>
      </c>
      <c r="B10836">
        <v>10161</v>
      </c>
      <c r="C10836">
        <v>1</v>
      </c>
      <c r="D10836" s="17" t="s">
        <v>17166</v>
      </c>
      <c r="E10836" s="17"/>
      <c r="F10836" s="17" t="s">
        <v>17246</v>
      </c>
      <c r="G10836" s="17"/>
      <c r="H10836" s="17" t="s">
        <v>20919</v>
      </c>
      <c r="I10836" s="17"/>
      <c r="J10836" s="17" t="s">
        <v>21313</v>
      </c>
      <c r="K10836" s="17"/>
      <c r="L10836" s="17" t="s">
        <v>22378</v>
      </c>
      <c r="M10836" s="17"/>
      <c r="N10836" s="17" t="s">
        <v>22459</v>
      </c>
      <c r="O10836" s="17"/>
      <c r="P10836" s="17" t="s">
        <v>45008</v>
      </c>
      <c r="Q10836" s="17"/>
      <c r="R10836" s="25" t="str">
        <f>HYPERLINK("https://ictv.global/taxonomy/taxondetails?taxnode_id=202317317","Hodnevirus neoedaphovicinum")</f>
        <v>Hodnevirus neoedaphovicinum</v>
      </c>
      <c r="S10836" s="18" t="s">
        <v>30</v>
      </c>
      <c r="T10836" s="18" t="s">
        <v>45423</v>
      </c>
      <c r="U10836" s="18"/>
      <c r="V10836" s="18"/>
      <c r="W10836" s="18" t="s">
        <v>45424</v>
      </c>
      <c r="X10836" s="18" t="s">
        <v>35</v>
      </c>
      <c r="Y10836" s="18" t="s">
        <v>17171</v>
      </c>
      <c r="Z10836" s="18" t="s">
        <v>24637</v>
      </c>
      <c r="AA10836" s="21" t="str">
        <f>HYPERLINK("https://www.ncbi.nlm.nih.gov/nuccore/CASDWV010004479","NCBI Nucleotide")</f>
        <v>NCBI Nucleotide</v>
      </c>
    </row>
    <row r="10837" spans="1:27" x14ac:dyDescent="0.35">
      <c r="A10837">
        <v>1027058</v>
      </c>
      <c r="B10837">
        <v>10162</v>
      </c>
      <c r="C10837">
        <v>1</v>
      </c>
      <c r="D10837" s="17" t="s">
        <v>17166</v>
      </c>
      <c r="E10837" s="17"/>
      <c r="F10837" s="17" t="s">
        <v>17246</v>
      </c>
      <c r="G10837" s="17"/>
      <c r="H10837" s="17" t="s">
        <v>20919</v>
      </c>
      <c r="I10837" s="17"/>
      <c r="J10837" s="17" t="s">
        <v>21313</v>
      </c>
      <c r="K10837" s="17"/>
      <c r="L10837" s="17" t="s">
        <v>22378</v>
      </c>
      <c r="M10837" s="17"/>
      <c r="N10837" s="17" t="s">
        <v>22459</v>
      </c>
      <c r="O10837" s="17"/>
      <c r="P10837" s="17" t="s">
        <v>45008</v>
      </c>
      <c r="Q10837" s="17"/>
      <c r="R10837" s="25" t="str">
        <f>HYPERLINK("https://ictv.global/taxonomy/taxondetails?taxnode_id=202317318","Hodnevirus neoedaphovivens")</f>
        <v>Hodnevirus neoedaphovivens</v>
      </c>
      <c r="S10837" s="18" t="s">
        <v>30</v>
      </c>
      <c r="T10837" s="18" t="s">
        <v>45425</v>
      </c>
      <c r="U10837" s="18"/>
      <c r="V10837" s="18"/>
      <c r="W10837" s="18" t="s">
        <v>45426</v>
      </c>
      <c r="X10837" s="18" t="s">
        <v>35</v>
      </c>
      <c r="Y10837" s="18" t="s">
        <v>17171</v>
      </c>
      <c r="Z10837" s="18" t="s">
        <v>24637</v>
      </c>
      <c r="AA10837" s="21" t="str">
        <f>HYPERLINK("https://www.ncbi.nlm.nih.gov/nuccore/CASDWV010004708","NCBI Nucleotide")</f>
        <v>NCBI Nucleotide</v>
      </c>
    </row>
    <row r="10838" spans="1:27" x14ac:dyDescent="0.35">
      <c r="A10838">
        <v>1027059</v>
      </c>
      <c r="B10838">
        <v>10163</v>
      </c>
      <c r="C10838">
        <v>1</v>
      </c>
      <c r="D10838" s="17" t="s">
        <v>17166</v>
      </c>
      <c r="E10838" s="17"/>
      <c r="F10838" s="17" t="s">
        <v>17246</v>
      </c>
      <c r="G10838" s="17"/>
      <c r="H10838" s="17" t="s">
        <v>20919</v>
      </c>
      <c r="I10838" s="17"/>
      <c r="J10838" s="17" t="s">
        <v>21313</v>
      </c>
      <c r="K10838" s="17"/>
      <c r="L10838" s="17" t="s">
        <v>22378</v>
      </c>
      <c r="M10838" s="17"/>
      <c r="N10838" s="17" t="s">
        <v>22459</v>
      </c>
      <c r="O10838" s="17"/>
      <c r="P10838" s="17" t="s">
        <v>45008</v>
      </c>
      <c r="Q10838" s="17"/>
      <c r="R10838" s="25" t="str">
        <f>HYPERLINK("https://ictv.global/taxonomy/taxondetails?taxnode_id=202317319","Hodnevirus neogeoadaptatum")</f>
        <v>Hodnevirus neogeoadaptatum</v>
      </c>
      <c r="S10838" s="18" t="s">
        <v>30</v>
      </c>
      <c r="T10838" s="18" t="s">
        <v>45427</v>
      </c>
      <c r="U10838" s="18"/>
      <c r="V10838" s="18"/>
      <c r="W10838" s="18" t="s">
        <v>45428</v>
      </c>
      <c r="X10838" s="18" t="s">
        <v>35</v>
      </c>
      <c r="Y10838" s="18" t="s">
        <v>17171</v>
      </c>
      <c r="Z10838" s="18" t="s">
        <v>24637</v>
      </c>
      <c r="AA10838" s="21" t="str">
        <f>HYPERLINK("https://www.ncbi.nlm.nih.gov/nuccore/CASDWV010003283","NCBI Nucleotide")</f>
        <v>NCBI Nucleotide</v>
      </c>
    </row>
    <row r="10839" spans="1:27" x14ac:dyDescent="0.35">
      <c r="A10839">
        <v>1009959</v>
      </c>
      <c r="B10839">
        <v>10164</v>
      </c>
      <c r="C10839">
        <v>1</v>
      </c>
      <c r="D10839" s="17" t="s">
        <v>17166</v>
      </c>
      <c r="E10839" s="17"/>
      <c r="F10839" s="17" t="s">
        <v>17246</v>
      </c>
      <c r="G10839" s="17"/>
      <c r="H10839" s="17" t="s">
        <v>20919</v>
      </c>
      <c r="I10839" s="17"/>
      <c r="J10839" s="17" t="s">
        <v>21313</v>
      </c>
      <c r="K10839" s="17"/>
      <c r="L10839" s="17" t="s">
        <v>22378</v>
      </c>
      <c r="M10839" s="17"/>
      <c r="N10839" s="17" t="s">
        <v>22459</v>
      </c>
      <c r="O10839" s="17"/>
      <c r="P10839" s="17" t="s">
        <v>45008</v>
      </c>
      <c r="Q10839" s="17"/>
      <c r="R10839" s="25" t="str">
        <f>HYPERLINK("https://ictv.global/taxonomy/taxondetails?taxnode_id=202311193","Hodnevirus neogeocola")</f>
        <v>Hodnevirus neogeocola</v>
      </c>
      <c r="S10839" s="18" t="s">
        <v>30</v>
      </c>
      <c r="T10839" s="18" t="s">
        <v>22757</v>
      </c>
      <c r="U10839" s="18"/>
      <c r="V10839" s="18"/>
      <c r="W10839" s="18" t="s">
        <v>22758</v>
      </c>
      <c r="X10839" s="18" t="s">
        <v>35</v>
      </c>
      <c r="Y10839" s="18" t="s">
        <v>17171</v>
      </c>
      <c r="Z10839" s="18" t="s">
        <v>697</v>
      </c>
      <c r="AA10839" s="21" t="str">
        <f>HYPERLINK("https://www.ncbi.nlm.nih.gov/nuccore/BK013928","NCBI Nucleotide")</f>
        <v>NCBI Nucleotide</v>
      </c>
    </row>
    <row r="10840" spans="1:27" x14ac:dyDescent="0.35">
      <c r="A10840">
        <v>1009924</v>
      </c>
      <c r="B10840">
        <v>10165</v>
      </c>
      <c r="C10840">
        <v>1</v>
      </c>
      <c r="D10840" s="17" t="s">
        <v>17166</v>
      </c>
      <c r="E10840" s="17"/>
      <c r="F10840" s="17" t="s">
        <v>17246</v>
      </c>
      <c r="G10840" s="17"/>
      <c r="H10840" s="17" t="s">
        <v>20919</v>
      </c>
      <c r="I10840" s="17"/>
      <c r="J10840" s="17" t="s">
        <v>21313</v>
      </c>
      <c r="K10840" s="17"/>
      <c r="L10840" s="17" t="s">
        <v>22378</v>
      </c>
      <c r="M10840" s="17"/>
      <c r="N10840" s="17" t="s">
        <v>22459</v>
      </c>
      <c r="O10840" s="17"/>
      <c r="P10840" s="17" t="s">
        <v>45008</v>
      </c>
      <c r="Q10840" s="17"/>
      <c r="R10840" s="25" t="str">
        <f>HYPERLINK("https://ictv.global/taxonomy/taxondetails?taxnode_id=202311128","Hodnevirus neogeoenecus")</f>
        <v>Hodnevirus neogeoenecus</v>
      </c>
      <c r="S10840" s="18" t="s">
        <v>30</v>
      </c>
      <c r="T10840" s="18" t="s">
        <v>22688</v>
      </c>
      <c r="U10840" s="18"/>
      <c r="V10840" s="18"/>
      <c r="W10840" s="18" t="s">
        <v>22689</v>
      </c>
      <c r="X10840" s="18" t="s">
        <v>35</v>
      </c>
      <c r="Y10840" s="18" t="s">
        <v>17171</v>
      </c>
      <c r="Z10840" s="18" t="s">
        <v>697</v>
      </c>
      <c r="AA10840" s="21" t="str">
        <f>HYPERLINK("https://www.ncbi.nlm.nih.gov/nuccore/BK013826","NCBI Nucleotide")</f>
        <v>NCBI Nucleotide</v>
      </c>
    </row>
    <row r="10841" spans="1:27" x14ac:dyDescent="0.35">
      <c r="A10841">
        <v>1009961</v>
      </c>
      <c r="B10841">
        <v>10166</v>
      </c>
      <c r="C10841">
        <v>1</v>
      </c>
      <c r="D10841" s="17" t="s">
        <v>17166</v>
      </c>
      <c r="E10841" s="17"/>
      <c r="F10841" s="17" t="s">
        <v>17246</v>
      </c>
      <c r="G10841" s="17"/>
      <c r="H10841" s="17" t="s">
        <v>20919</v>
      </c>
      <c r="I10841" s="17"/>
      <c r="J10841" s="17" t="s">
        <v>21313</v>
      </c>
      <c r="K10841" s="17"/>
      <c r="L10841" s="17" t="s">
        <v>22378</v>
      </c>
      <c r="M10841" s="17"/>
      <c r="N10841" s="17" t="s">
        <v>22459</v>
      </c>
      <c r="O10841" s="17"/>
      <c r="P10841" s="17" t="s">
        <v>45008</v>
      </c>
      <c r="Q10841" s="17"/>
      <c r="R10841" s="25" t="str">
        <f>HYPERLINK("https://ictv.global/taxonomy/taxondetails?taxnode_id=202311195","Hodnevirus neogeohabitans")</f>
        <v>Hodnevirus neogeohabitans</v>
      </c>
      <c r="S10841" s="18" t="s">
        <v>30</v>
      </c>
      <c r="T10841" s="18" t="s">
        <v>22761</v>
      </c>
      <c r="U10841" s="18"/>
      <c r="V10841" s="18"/>
      <c r="W10841" s="18" t="s">
        <v>22762</v>
      </c>
      <c r="X10841" s="18" t="s">
        <v>35</v>
      </c>
      <c r="Y10841" s="18" t="s">
        <v>17171</v>
      </c>
      <c r="Z10841" s="18" t="s">
        <v>697</v>
      </c>
      <c r="AA10841" s="21" t="str">
        <f>HYPERLINK("https://www.ncbi.nlm.nih.gov/nuccore/BK013482","NCBI Nucleotide")</f>
        <v>NCBI Nucleotide</v>
      </c>
    </row>
    <row r="10842" spans="1:27" x14ac:dyDescent="0.35">
      <c r="A10842">
        <v>1009962</v>
      </c>
      <c r="B10842">
        <v>10167</v>
      </c>
      <c r="C10842">
        <v>1</v>
      </c>
      <c r="D10842" s="17" t="s">
        <v>17166</v>
      </c>
      <c r="E10842" s="17"/>
      <c r="F10842" s="17" t="s">
        <v>17246</v>
      </c>
      <c r="G10842" s="17"/>
      <c r="H10842" s="17" t="s">
        <v>20919</v>
      </c>
      <c r="I10842" s="17"/>
      <c r="J10842" s="17" t="s">
        <v>21313</v>
      </c>
      <c r="K10842" s="17"/>
      <c r="L10842" s="17" t="s">
        <v>22378</v>
      </c>
      <c r="M10842" s="17"/>
      <c r="N10842" s="17" t="s">
        <v>22459</v>
      </c>
      <c r="O10842" s="17"/>
      <c r="P10842" s="17" t="s">
        <v>45008</v>
      </c>
      <c r="Q10842" s="17"/>
      <c r="R10842" s="25" t="str">
        <f>HYPERLINK("https://ictv.global/taxonomy/taxondetails?taxnode_id=202311196","Hodnevirus neogeovicinum")</f>
        <v>Hodnevirus neogeovicinum</v>
      </c>
      <c r="S10842" s="18" t="s">
        <v>30</v>
      </c>
      <c r="T10842" s="18" t="s">
        <v>22763</v>
      </c>
      <c r="U10842" s="18"/>
      <c r="V10842" s="18"/>
      <c r="W10842" s="18" t="s">
        <v>22764</v>
      </c>
      <c r="X10842" s="18" t="s">
        <v>35</v>
      </c>
      <c r="Y10842" s="18" t="s">
        <v>17171</v>
      </c>
      <c r="Z10842" s="18" t="s">
        <v>697</v>
      </c>
      <c r="AA10842" s="21" t="str">
        <f>HYPERLINK("https://www.ncbi.nlm.nih.gov/nuccore/BK013982","NCBI Nucleotide")</f>
        <v>NCBI Nucleotide</v>
      </c>
    </row>
    <row r="10843" spans="1:27" x14ac:dyDescent="0.35">
      <c r="A10843">
        <v>1009963</v>
      </c>
      <c r="B10843">
        <v>10168</v>
      </c>
      <c r="C10843">
        <v>1</v>
      </c>
      <c r="D10843" s="17" t="s">
        <v>17166</v>
      </c>
      <c r="E10843" s="17"/>
      <c r="F10843" s="17" t="s">
        <v>17246</v>
      </c>
      <c r="G10843" s="17"/>
      <c r="H10843" s="17" t="s">
        <v>20919</v>
      </c>
      <c r="I10843" s="17"/>
      <c r="J10843" s="17" t="s">
        <v>21313</v>
      </c>
      <c r="K10843" s="17"/>
      <c r="L10843" s="17" t="s">
        <v>22378</v>
      </c>
      <c r="M10843" s="17"/>
      <c r="N10843" s="17" t="s">
        <v>22459</v>
      </c>
      <c r="O10843" s="17"/>
      <c r="P10843" s="17" t="s">
        <v>45008</v>
      </c>
      <c r="Q10843" s="17"/>
      <c r="R10843" s="25" t="str">
        <f>HYPERLINK("https://ictv.global/taxonomy/taxondetails?taxnode_id=202311197","Hodnevirus neogeovivens")</f>
        <v>Hodnevirus neogeovivens</v>
      </c>
      <c r="S10843" s="18" t="s">
        <v>30</v>
      </c>
      <c r="T10843" s="18" t="s">
        <v>22765</v>
      </c>
      <c r="U10843" s="18"/>
      <c r="V10843" s="18"/>
      <c r="W10843" s="18" t="s">
        <v>22766</v>
      </c>
      <c r="X10843" s="18" t="s">
        <v>35</v>
      </c>
      <c r="Y10843" s="18" t="s">
        <v>17171</v>
      </c>
      <c r="Z10843" s="18" t="s">
        <v>697</v>
      </c>
      <c r="AA10843" s="21" t="str">
        <f>HYPERLINK("https://www.ncbi.nlm.nih.gov/nuccore/BK013803","NCBI Nucleotide")</f>
        <v>NCBI Nucleotide</v>
      </c>
    </row>
    <row r="10844" spans="1:27" x14ac:dyDescent="0.35">
      <c r="A10844">
        <v>1009964</v>
      </c>
      <c r="B10844">
        <v>10169</v>
      </c>
      <c r="C10844">
        <v>1</v>
      </c>
      <c r="D10844" s="17" t="s">
        <v>17166</v>
      </c>
      <c r="E10844" s="17"/>
      <c r="F10844" s="17" t="s">
        <v>17246</v>
      </c>
      <c r="G10844" s="17"/>
      <c r="H10844" s="17" t="s">
        <v>20919</v>
      </c>
      <c r="I10844" s="17"/>
      <c r="J10844" s="17" t="s">
        <v>21313</v>
      </c>
      <c r="K10844" s="17"/>
      <c r="L10844" s="17" t="s">
        <v>22378</v>
      </c>
      <c r="M10844" s="17"/>
      <c r="N10844" s="17" t="s">
        <v>22459</v>
      </c>
      <c r="O10844" s="17"/>
      <c r="P10844" s="17" t="s">
        <v>45008</v>
      </c>
      <c r="Q10844" s="17"/>
      <c r="R10844" s="25" t="str">
        <f>HYPERLINK("https://ictv.global/taxonomy/taxondetails?taxnode_id=202311211","Hodnevirus neohumadaptatum")</f>
        <v>Hodnevirus neohumadaptatum</v>
      </c>
      <c r="S10844" s="18" t="s">
        <v>30</v>
      </c>
      <c r="T10844" s="18" t="s">
        <v>22767</v>
      </c>
      <c r="U10844" s="18"/>
      <c r="V10844" s="18"/>
      <c r="W10844" s="18" t="s">
        <v>22768</v>
      </c>
      <c r="X10844" s="18" t="s">
        <v>35</v>
      </c>
      <c r="Y10844" s="18" t="s">
        <v>17171</v>
      </c>
      <c r="Z10844" s="18" t="s">
        <v>697</v>
      </c>
      <c r="AA10844" s="21" t="str">
        <f>HYPERLINK("https://www.ncbi.nlm.nih.gov/nuccore/BK013896","NCBI Nucleotide")</f>
        <v>NCBI Nucleotide</v>
      </c>
    </row>
    <row r="10845" spans="1:27" x14ac:dyDescent="0.35">
      <c r="A10845">
        <v>1009965</v>
      </c>
      <c r="B10845">
        <v>10170</v>
      </c>
      <c r="C10845">
        <v>1</v>
      </c>
      <c r="D10845" s="17" t="s">
        <v>17166</v>
      </c>
      <c r="E10845" s="17"/>
      <c r="F10845" s="17" t="s">
        <v>17246</v>
      </c>
      <c r="G10845" s="17"/>
      <c r="H10845" s="17" t="s">
        <v>20919</v>
      </c>
      <c r="I10845" s="17"/>
      <c r="J10845" s="17" t="s">
        <v>21313</v>
      </c>
      <c r="K10845" s="17"/>
      <c r="L10845" s="17" t="s">
        <v>22378</v>
      </c>
      <c r="M10845" s="17"/>
      <c r="N10845" s="17" t="s">
        <v>22459</v>
      </c>
      <c r="O10845" s="17"/>
      <c r="P10845" s="17" t="s">
        <v>45008</v>
      </c>
      <c r="Q10845" s="17"/>
      <c r="R10845" s="25" t="str">
        <f>HYPERLINK("https://ictv.global/taxonomy/taxondetails?taxnode_id=202311213","Hodnevirus neohumenecus")</f>
        <v>Hodnevirus neohumenecus</v>
      </c>
      <c r="S10845" s="18" t="s">
        <v>30</v>
      </c>
      <c r="T10845" s="18" t="s">
        <v>22769</v>
      </c>
      <c r="U10845" s="18"/>
      <c r="V10845" s="18"/>
      <c r="W10845" s="18" t="s">
        <v>22770</v>
      </c>
      <c r="X10845" s="18" t="s">
        <v>35</v>
      </c>
      <c r="Y10845" s="18" t="s">
        <v>17171</v>
      </c>
      <c r="Z10845" s="18" t="s">
        <v>697</v>
      </c>
      <c r="AA10845" s="21" t="str">
        <f>HYPERLINK("https://www.ncbi.nlm.nih.gov/nuccore/BK014042","NCBI Nucleotide")</f>
        <v>NCBI Nucleotide</v>
      </c>
    </row>
    <row r="10846" spans="1:27" x14ac:dyDescent="0.35">
      <c r="A10846">
        <v>1009966</v>
      </c>
      <c r="B10846">
        <v>10171</v>
      </c>
      <c r="C10846">
        <v>1</v>
      </c>
      <c r="D10846" s="17" t="s">
        <v>17166</v>
      </c>
      <c r="E10846" s="17"/>
      <c r="F10846" s="17" t="s">
        <v>17246</v>
      </c>
      <c r="G10846" s="17"/>
      <c r="H10846" s="17" t="s">
        <v>20919</v>
      </c>
      <c r="I10846" s="17"/>
      <c r="J10846" s="17" t="s">
        <v>21313</v>
      </c>
      <c r="K10846" s="17"/>
      <c r="L10846" s="17" t="s">
        <v>22378</v>
      </c>
      <c r="M10846" s="17"/>
      <c r="N10846" s="17" t="s">
        <v>22459</v>
      </c>
      <c r="O10846" s="17"/>
      <c r="P10846" s="17" t="s">
        <v>45008</v>
      </c>
      <c r="Q10846" s="17"/>
      <c r="R10846" s="25" t="str">
        <f>HYPERLINK("https://ictv.global/taxonomy/taxondetails?taxnode_id=202311212","Hodnevirus neohumicola")</f>
        <v>Hodnevirus neohumicola</v>
      </c>
      <c r="S10846" s="18" t="s">
        <v>30</v>
      </c>
      <c r="T10846" s="18" t="s">
        <v>22771</v>
      </c>
      <c r="U10846" s="18"/>
      <c r="V10846" s="18"/>
      <c r="W10846" s="18" t="s">
        <v>22772</v>
      </c>
      <c r="X10846" s="18" t="s">
        <v>35</v>
      </c>
      <c r="Y10846" s="18" t="s">
        <v>17171</v>
      </c>
      <c r="Z10846" s="18" t="s">
        <v>697</v>
      </c>
      <c r="AA10846" s="21" t="str">
        <f>HYPERLINK("https://www.ncbi.nlm.nih.gov/nuccore/BK014029","NCBI Nucleotide")</f>
        <v>NCBI Nucleotide</v>
      </c>
    </row>
    <row r="10847" spans="1:27" x14ac:dyDescent="0.35">
      <c r="A10847">
        <v>1009984</v>
      </c>
      <c r="B10847">
        <v>10172</v>
      </c>
      <c r="C10847">
        <v>1</v>
      </c>
      <c r="D10847" s="17" t="s">
        <v>17166</v>
      </c>
      <c r="E10847" s="17"/>
      <c r="F10847" s="17" t="s">
        <v>17246</v>
      </c>
      <c r="G10847" s="17"/>
      <c r="H10847" s="17" t="s">
        <v>20919</v>
      </c>
      <c r="I10847" s="17"/>
      <c r="J10847" s="17" t="s">
        <v>21313</v>
      </c>
      <c r="K10847" s="17"/>
      <c r="L10847" s="17" t="s">
        <v>22378</v>
      </c>
      <c r="M10847" s="17"/>
      <c r="N10847" s="17" t="s">
        <v>22459</v>
      </c>
      <c r="O10847" s="17"/>
      <c r="P10847" s="17" t="s">
        <v>45008</v>
      </c>
      <c r="Q10847" s="17"/>
      <c r="R10847" s="25" t="str">
        <f>HYPERLINK("https://ictv.global/taxonomy/taxondetails?taxnode_id=202311148","Hodnevirus neohumihabitans")</f>
        <v>Hodnevirus neohumihabitans</v>
      </c>
      <c r="S10847" s="18" t="s">
        <v>30</v>
      </c>
      <c r="T10847" s="18" t="s">
        <v>22807</v>
      </c>
      <c r="U10847" s="18"/>
      <c r="V10847" s="18"/>
      <c r="W10847" s="18" t="s">
        <v>22808</v>
      </c>
      <c r="X10847" s="18" t="s">
        <v>35</v>
      </c>
      <c r="Y10847" s="18" t="s">
        <v>17171</v>
      </c>
      <c r="Z10847" s="18" t="s">
        <v>697</v>
      </c>
      <c r="AA10847" s="21" t="str">
        <f>HYPERLINK("https://www.ncbi.nlm.nih.gov/nuccore/BK013884","NCBI Nucleotide")</f>
        <v>NCBI Nucleotide</v>
      </c>
    </row>
    <row r="10848" spans="1:27" x14ac:dyDescent="0.35">
      <c r="A10848">
        <v>1009985</v>
      </c>
      <c r="B10848">
        <v>10173</v>
      </c>
      <c r="C10848">
        <v>1</v>
      </c>
      <c r="D10848" s="17" t="s">
        <v>17166</v>
      </c>
      <c r="E10848" s="17"/>
      <c r="F10848" s="17" t="s">
        <v>17246</v>
      </c>
      <c r="G10848" s="17"/>
      <c r="H10848" s="17" t="s">
        <v>20919</v>
      </c>
      <c r="I10848" s="17"/>
      <c r="J10848" s="17" t="s">
        <v>21313</v>
      </c>
      <c r="K10848" s="17"/>
      <c r="L10848" s="17" t="s">
        <v>22378</v>
      </c>
      <c r="M10848" s="17"/>
      <c r="N10848" s="17" t="s">
        <v>22459</v>
      </c>
      <c r="O10848" s="17"/>
      <c r="P10848" s="17" t="s">
        <v>45008</v>
      </c>
      <c r="Q10848" s="17"/>
      <c r="R10848" s="25" t="str">
        <f>HYPERLINK("https://ictv.global/taxonomy/taxondetails?taxnode_id=202311149","Hodnevirus neohumivicinum")</f>
        <v>Hodnevirus neohumivicinum</v>
      </c>
      <c r="S10848" s="18" t="s">
        <v>30</v>
      </c>
      <c r="T10848" s="18" t="s">
        <v>22809</v>
      </c>
      <c r="U10848" s="18"/>
      <c r="V10848" s="18"/>
      <c r="W10848" s="18" t="s">
        <v>22810</v>
      </c>
      <c r="X10848" s="18" t="s">
        <v>35</v>
      </c>
      <c r="Y10848" s="18" t="s">
        <v>17171</v>
      </c>
      <c r="Z10848" s="18" t="s">
        <v>697</v>
      </c>
      <c r="AA10848" s="21" t="str">
        <f>HYPERLINK("https://www.ncbi.nlm.nih.gov/nuccore/BK013450","NCBI Nucleotide")</f>
        <v>NCBI Nucleotide</v>
      </c>
    </row>
    <row r="10849" spans="1:27" x14ac:dyDescent="0.35">
      <c r="A10849">
        <v>1009986</v>
      </c>
      <c r="B10849">
        <v>10174</v>
      </c>
      <c r="C10849">
        <v>1</v>
      </c>
      <c r="D10849" s="17" t="s">
        <v>17166</v>
      </c>
      <c r="E10849" s="17"/>
      <c r="F10849" s="17" t="s">
        <v>17246</v>
      </c>
      <c r="G10849" s="17"/>
      <c r="H10849" s="17" t="s">
        <v>20919</v>
      </c>
      <c r="I10849" s="17"/>
      <c r="J10849" s="17" t="s">
        <v>21313</v>
      </c>
      <c r="K10849" s="17"/>
      <c r="L10849" s="17" t="s">
        <v>22378</v>
      </c>
      <c r="M10849" s="17"/>
      <c r="N10849" s="17" t="s">
        <v>22459</v>
      </c>
      <c r="O10849" s="17"/>
      <c r="P10849" s="17" t="s">
        <v>45008</v>
      </c>
      <c r="Q10849" s="17"/>
      <c r="R10849" s="25" t="str">
        <f>HYPERLINK("https://ictv.global/taxonomy/taxondetails?taxnode_id=202311150","Hodnevirus neohumivivens")</f>
        <v>Hodnevirus neohumivivens</v>
      </c>
      <c r="S10849" s="18" t="s">
        <v>30</v>
      </c>
      <c r="T10849" s="18" t="s">
        <v>22811</v>
      </c>
      <c r="U10849" s="18"/>
      <c r="V10849" s="18"/>
      <c r="W10849" s="18" t="s">
        <v>22812</v>
      </c>
      <c r="X10849" s="18" t="s">
        <v>35</v>
      </c>
      <c r="Y10849" s="18" t="s">
        <v>17171</v>
      </c>
      <c r="Z10849" s="18" t="s">
        <v>697</v>
      </c>
      <c r="AA10849" s="21" t="str">
        <f>HYPERLINK("https://www.ncbi.nlm.nih.gov/nuccore/BK013775","NCBI Nucleotide")</f>
        <v>NCBI Nucleotide</v>
      </c>
    </row>
    <row r="10850" spans="1:27" x14ac:dyDescent="0.35">
      <c r="A10850">
        <v>1010105</v>
      </c>
      <c r="B10850">
        <v>10175</v>
      </c>
      <c r="C10850">
        <v>1</v>
      </c>
      <c r="D10850" s="17" t="s">
        <v>17166</v>
      </c>
      <c r="E10850" s="17"/>
      <c r="F10850" s="17" t="s">
        <v>17246</v>
      </c>
      <c r="G10850" s="17"/>
      <c r="H10850" s="17" t="s">
        <v>20919</v>
      </c>
      <c r="I10850" s="17"/>
      <c r="J10850" s="17" t="s">
        <v>21313</v>
      </c>
      <c r="K10850" s="17"/>
      <c r="L10850" s="17" t="s">
        <v>22378</v>
      </c>
      <c r="M10850" s="17"/>
      <c r="N10850" s="17" t="s">
        <v>22459</v>
      </c>
      <c r="O10850" s="17"/>
      <c r="P10850" s="17" t="s">
        <v>45008</v>
      </c>
      <c r="Q10850" s="17"/>
      <c r="R10850" s="25" t="str">
        <f>HYPERLINK("https://ictv.global/taxonomy/taxondetails?taxnode_id=202311341","Hodnevirus neolimenecus")</f>
        <v>Hodnevirus neolimenecus</v>
      </c>
      <c r="S10850" s="18" t="s">
        <v>30</v>
      </c>
      <c r="T10850" s="18" t="s">
        <v>23059</v>
      </c>
      <c r="U10850" s="18"/>
      <c r="V10850" s="18"/>
      <c r="W10850" s="18" t="s">
        <v>23060</v>
      </c>
      <c r="X10850" s="18" t="s">
        <v>35</v>
      </c>
      <c r="Y10850" s="18" t="s">
        <v>17171</v>
      </c>
      <c r="Z10850" s="18" t="s">
        <v>697</v>
      </c>
      <c r="AA10850" s="21" t="str">
        <f>HYPERLINK("https://www.ncbi.nlm.nih.gov/nuccore/BK013712","NCBI Nucleotide")</f>
        <v>NCBI Nucleotide</v>
      </c>
    </row>
    <row r="10851" spans="1:27" x14ac:dyDescent="0.35">
      <c r="A10851">
        <v>1027060</v>
      </c>
      <c r="B10851">
        <v>10176</v>
      </c>
      <c r="C10851">
        <v>1</v>
      </c>
      <c r="D10851" s="17" t="s">
        <v>17166</v>
      </c>
      <c r="E10851" s="17"/>
      <c r="F10851" s="17" t="s">
        <v>17246</v>
      </c>
      <c r="G10851" s="17"/>
      <c r="H10851" s="17" t="s">
        <v>20919</v>
      </c>
      <c r="I10851" s="17"/>
      <c r="J10851" s="17" t="s">
        <v>21313</v>
      </c>
      <c r="K10851" s="17"/>
      <c r="L10851" s="17" t="s">
        <v>22378</v>
      </c>
      <c r="M10851" s="17"/>
      <c r="N10851" s="17" t="s">
        <v>22459</v>
      </c>
      <c r="O10851" s="17"/>
      <c r="P10851" s="17" t="s">
        <v>45008</v>
      </c>
      <c r="Q10851" s="17"/>
      <c r="R10851" s="25" t="str">
        <f>HYPERLINK("https://ictv.global/taxonomy/taxondetails?taxnode_id=202317320","Hodnevirus neolimicola")</f>
        <v>Hodnevirus neolimicola</v>
      </c>
      <c r="S10851" s="18" t="s">
        <v>30</v>
      </c>
      <c r="T10851" s="18" t="s">
        <v>45429</v>
      </c>
      <c r="U10851" s="18"/>
      <c r="V10851" s="18"/>
      <c r="W10851" s="18" t="s">
        <v>45430</v>
      </c>
      <c r="X10851" s="18" t="s">
        <v>35</v>
      </c>
      <c r="Y10851" s="18" t="s">
        <v>17171</v>
      </c>
      <c r="Z10851" s="18" t="s">
        <v>24637</v>
      </c>
      <c r="AA10851" s="21" t="str">
        <f>HYPERLINK("https://www.ncbi.nlm.nih.gov/nuccore/CASDWV010003826","NCBI Nucleotide")</f>
        <v>NCBI Nucleotide</v>
      </c>
    </row>
    <row r="10852" spans="1:27" x14ac:dyDescent="0.35">
      <c r="A10852">
        <v>1027061</v>
      </c>
      <c r="B10852">
        <v>10177</v>
      </c>
      <c r="C10852">
        <v>1</v>
      </c>
      <c r="D10852" s="17" t="s">
        <v>17166</v>
      </c>
      <c r="E10852" s="17"/>
      <c r="F10852" s="17" t="s">
        <v>17246</v>
      </c>
      <c r="G10852" s="17"/>
      <c r="H10852" s="17" t="s">
        <v>20919</v>
      </c>
      <c r="I10852" s="17"/>
      <c r="J10852" s="17" t="s">
        <v>21313</v>
      </c>
      <c r="K10852" s="17"/>
      <c r="L10852" s="17" t="s">
        <v>22378</v>
      </c>
      <c r="M10852" s="17"/>
      <c r="N10852" s="17" t="s">
        <v>22459</v>
      </c>
      <c r="O10852" s="17"/>
      <c r="P10852" s="17" t="s">
        <v>45008</v>
      </c>
      <c r="Q10852" s="17"/>
      <c r="R10852" s="25" t="str">
        <f>HYPERLINK("https://ictv.global/taxonomy/taxondetails?taxnode_id=202317321","Hodnevirus neolimihabitans")</f>
        <v>Hodnevirus neolimihabitans</v>
      </c>
      <c r="S10852" s="18" t="s">
        <v>30</v>
      </c>
      <c r="T10852" s="18" t="s">
        <v>45431</v>
      </c>
      <c r="U10852" s="18"/>
      <c r="V10852" s="18"/>
      <c r="W10852" s="18" t="s">
        <v>45432</v>
      </c>
      <c r="X10852" s="18" t="s">
        <v>35</v>
      </c>
      <c r="Y10852" s="18" t="s">
        <v>17171</v>
      </c>
      <c r="Z10852" s="18" t="s">
        <v>24637</v>
      </c>
      <c r="AA10852" s="21" t="str">
        <f>HYPERLINK("https://www.ncbi.nlm.nih.gov/nuccore/CASDWV010004480","NCBI Nucleotide")</f>
        <v>NCBI Nucleotide</v>
      </c>
    </row>
    <row r="10853" spans="1:27" x14ac:dyDescent="0.35">
      <c r="A10853">
        <v>1027062</v>
      </c>
      <c r="B10853">
        <v>10178</v>
      </c>
      <c r="C10853">
        <v>1</v>
      </c>
      <c r="D10853" s="17" t="s">
        <v>17166</v>
      </c>
      <c r="E10853" s="17"/>
      <c r="F10853" s="17" t="s">
        <v>17246</v>
      </c>
      <c r="G10853" s="17"/>
      <c r="H10853" s="17" t="s">
        <v>20919</v>
      </c>
      <c r="I10853" s="17"/>
      <c r="J10853" s="17" t="s">
        <v>21313</v>
      </c>
      <c r="K10853" s="17"/>
      <c r="L10853" s="17" t="s">
        <v>22378</v>
      </c>
      <c r="M10853" s="17"/>
      <c r="N10853" s="17" t="s">
        <v>22459</v>
      </c>
      <c r="O10853" s="17"/>
      <c r="P10853" s="17" t="s">
        <v>45008</v>
      </c>
      <c r="Q10853" s="17"/>
      <c r="R10853" s="25" t="str">
        <f>HYPERLINK("https://ictv.global/taxonomy/taxondetails?taxnode_id=202317322","Hodnevirus neopedadaptatum")</f>
        <v>Hodnevirus neopedadaptatum</v>
      </c>
      <c r="S10853" s="18" t="s">
        <v>30</v>
      </c>
      <c r="T10853" s="18" t="s">
        <v>45433</v>
      </c>
      <c r="U10853" s="18"/>
      <c r="V10853" s="18"/>
      <c r="W10853" s="18" t="s">
        <v>45434</v>
      </c>
      <c r="X10853" s="18" t="s">
        <v>35</v>
      </c>
      <c r="Y10853" s="18" t="s">
        <v>17171</v>
      </c>
      <c r="Z10853" s="18" t="s">
        <v>24637</v>
      </c>
      <c r="AA10853" s="21" t="str">
        <f>HYPERLINK("https://www.ncbi.nlm.nih.gov/nuccore/CASDWV010002175","NCBI Nucleotide")</f>
        <v>NCBI Nucleotide</v>
      </c>
    </row>
    <row r="10854" spans="1:27" x14ac:dyDescent="0.35">
      <c r="A10854">
        <v>1027063</v>
      </c>
      <c r="B10854">
        <v>10179</v>
      </c>
      <c r="C10854">
        <v>1</v>
      </c>
      <c r="D10854" s="17" t="s">
        <v>17166</v>
      </c>
      <c r="E10854" s="17"/>
      <c r="F10854" s="17" t="s">
        <v>17246</v>
      </c>
      <c r="G10854" s="17"/>
      <c r="H10854" s="17" t="s">
        <v>20919</v>
      </c>
      <c r="I10854" s="17"/>
      <c r="J10854" s="17" t="s">
        <v>21313</v>
      </c>
      <c r="K10854" s="17"/>
      <c r="L10854" s="17" t="s">
        <v>22378</v>
      </c>
      <c r="M10854" s="17"/>
      <c r="N10854" s="17" t="s">
        <v>22459</v>
      </c>
      <c r="O10854" s="17"/>
      <c r="P10854" s="17" t="s">
        <v>45008</v>
      </c>
      <c r="Q10854" s="17"/>
      <c r="R10854" s="25" t="str">
        <f>HYPERLINK("https://ictv.global/taxonomy/taxondetails?taxnode_id=202317323","Hodnevirus neopedenecus")</f>
        <v>Hodnevirus neopedenecus</v>
      </c>
      <c r="S10854" s="18" t="s">
        <v>30</v>
      </c>
      <c r="T10854" s="18" t="s">
        <v>45435</v>
      </c>
      <c r="U10854" s="18"/>
      <c r="V10854" s="18"/>
      <c r="W10854" s="18" t="s">
        <v>45436</v>
      </c>
      <c r="X10854" s="18" t="s">
        <v>35</v>
      </c>
      <c r="Y10854" s="18" t="s">
        <v>17171</v>
      </c>
      <c r="Z10854" s="18" t="s">
        <v>24637</v>
      </c>
      <c r="AA10854" s="21" t="str">
        <f>HYPERLINK("https://www.ncbi.nlm.nih.gov/nuccore/CASDWV010002191","NCBI Nucleotide")</f>
        <v>NCBI Nucleotide</v>
      </c>
    </row>
    <row r="10855" spans="1:27" x14ac:dyDescent="0.35">
      <c r="A10855">
        <v>1027064</v>
      </c>
      <c r="B10855">
        <v>10180</v>
      </c>
      <c r="C10855">
        <v>1</v>
      </c>
      <c r="D10855" s="17" t="s">
        <v>17166</v>
      </c>
      <c r="E10855" s="17"/>
      <c r="F10855" s="17" t="s">
        <v>17246</v>
      </c>
      <c r="G10855" s="17"/>
      <c r="H10855" s="17" t="s">
        <v>20919</v>
      </c>
      <c r="I10855" s="17"/>
      <c r="J10855" s="17" t="s">
        <v>21313</v>
      </c>
      <c r="K10855" s="17"/>
      <c r="L10855" s="17" t="s">
        <v>22378</v>
      </c>
      <c r="M10855" s="17"/>
      <c r="N10855" s="17" t="s">
        <v>22459</v>
      </c>
      <c r="O10855" s="17"/>
      <c r="P10855" s="17" t="s">
        <v>45008</v>
      </c>
      <c r="Q10855" s="17"/>
      <c r="R10855" s="25" t="str">
        <f>HYPERLINK("https://ictv.global/taxonomy/taxondetails?taxnode_id=202317324","Hodnevirus neopedocola")</f>
        <v>Hodnevirus neopedocola</v>
      </c>
      <c r="S10855" s="18" t="s">
        <v>30</v>
      </c>
      <c r="T10855" s="18" t="s">
        <v>45437</v>
      </c>
      <c r="U10855" s="18"/>
      <c r="V10855" s="18"/>
      <c r="W10855" s="18" t="s">
        <v>45438</v>
      </c>
      <c r="X10855" s="18" t="s">
        <v>35</v>
      </c>
      <c r="Y10855" s="18" t="s">
        <v>17171</v>
      </c>
      <c r="Z10855" s="18" t="s">
        <v>24637</v>
      </c>
      <c r="AA10855" s="21" t="str">
        <f>HYPERLINK("https://www.ncbi.nlm.nih.gov/nuccore/CASDWV010001725","NCBI Nucleotide")</f>
        <v>NCBI Nucleotide</v>
      </c>
    </row>
    <row r="10856" spans="1:27" x14ac:dyDescent="0.35">
      <c r="A10856">
        <v>1010188</v>
      </c>
      <c r="B10856">
        <v>10181</v>
      </c>
      <c r="C10856">
        <v>1</v>
      </c>
      <c r="D10856" s="17" t="s">
        <v>17166</v>
      </c>
      <c r="E10856" s="17"/>
      <c r="F10856" s="17" t="s">
        <v>17246</v>
      </c>
      <c r="G10856" s="17"/>
      <c r="H10856" s="17" t="s">
        <v>20919</v>
      </c>
      <c r="I10856" s="17"/>
      <c r="J10856" s="17" t="s">
        <v>21313</v>
      </c>
      <c r="K10856" s="17"/>
      <c r="L10856" s="17" t="s">
        <v>22378</v>
      </c>
      <c r="M10856" s="17"/>
      <c r="N10856" s="17" t="s">
        <v>22459</v>
      </c>
      <c r="O10856" s="17"/>
      <c r="P10856" s="17" t="s">
        <v>45008</v>
      </c>
      <c r="Q10856" s="17"/>
      <c r="R10856" s="25" t="str">
        <f>HYPERLINK("https://ictv.global/taxonomy/taxondetails?taxnode_id=202311465","Hodnevirus neopedohabitans")</f>
        <v>Hodnevirus neopedohabitans</v>
      </c>
      <c r="S10856" s="18" t="s">
        <v>30</v>
      </c>
      <c r="T10856" s="18" t="s">
        <v>23223</v>
      </c>
      <c r="U10856" s="18"/>
      <c r="V10856" s="18"/>
      <c r="W10856" s="18" t="s">
        <v>23224</v>
      </c>
      <c r="X10856" s="18" t="s">
        <v>35</v>
      </c>
      <c r="Y10856" s="18" t="s">
        <v>17171</v>
      </c>
      <c r="Z10856" s="18" t="s">
        <v>697</v>
      </c>
      <c r="AA10856" s="21" t="str">
        <f>HYPERLINK("https://www.ncbi.nlm.nih.gov/nuccore/BK013906","NCBI Nucleotide")</f>
        <v>NCBI Nucleotide</v>
      </c>
    </row>
    <row r="10857" spans="1:27" x14ac:dyDescent="0.35">
      <c r="A10857">
        <v>1010003</v>
      </c>
      <c r="B10857">
        <v>10182</v>
      </c>
      <c r="C10857">
        <v>1</v>
      </c>
      <c r="D10857" s="17" t="s">
        <v>17166</v>
      </c>
      <c r="E10857" s="17"/>
      <c r="F10857" s="17" t="s">
        <v>17246</v>
      </c>
      <c r="G10857" s="17"/>
      <c r="H10857" s="17" t="s">
        <v>20919</v>
      </c>
      <c r="I10857" s="17"/>
      <c r="J10857" s="17" t="s">
        <v>21313</v>
      </c>
      <c r="K10857" s="17"/>
      <c r="L10857" s="17" t="s">
        <v>22378</v>
      </c>
      <c r="M10857" s="17"/>
      <c r="N10857" s="17" t="s">
        <v>22459</v>
      </c>
      <c r="O10857" s="17"/>
      <c r="P10857" s="17" t="s">
        <v>45008</v>
      </c>
      <c r="Q10857" s="17"/>
      <c r="R10857" s="25" t="str">
        <f>HYPERLINK("https://ictv.global/taxonomy/taxondetails?taxnode_id=202311178","Hodnevirus neopedovicinum")</f>
        <v>Hodnevirus neopedovicinum</v>
      </c>
      <c r="S10857" s="18" t="s">
        <v>30</v>
      </c>
      <c r="T10857" s="18" t="s">
        <v>22845</v>
      </c>
      <c r="U10857" s="18"/>
      <c r="V10857" s="18"/>
      <c r="W10857" s="18" t="s">
        <v>22846</v>
      </c>
      <c r="X10857" s="18" t="s">
        <v>35</v>
      </c>
      <c r="Y10857" s="18" t="s">
        <v>17171</v>
      </c>
      <c r="Z10857" s="18" t="s">
        <v>697</v>
      </c>
      <c r="AA10857" s="21" t="str">
        <f>HYPERLINK("https://www.ncbi.nlm.nih.gov/nuccore/BK013400","NCBI Nucleotide")</f>
        <v>NCBI Nucleotide</v>
      </c>
    </row>
    <row r="10858" spans="1:27" x14ac:dyDescent="0.35">
      <c r="A10858">
        <v>1010004</v>
      </c>
      <c r="B10858">
        <v>10183</v>
      </c>
      <c r="C10858">
        <v>1</v>
      </c>
      <c r="D10858" s="17" t="s">
        <v>17166</v>
      </c>
      <c r="E10858" s="17"/>
      <c r="F10858" s="17" t="s">
        <v>17246</v>
      </c>
      <c r="G10858" s="17"/>
      <c r="H10858" s="17" t="s">
        <v>20919</v>
      </c>
      <c r="I10858" s="17"/>
      <c r="J10858" s="17" t="s">
        <v>21313</v>
      </c>
      <c r="K10858" s="17"/>
      <c r="L10858" s="17" t="s">
        <v>22378</v>
      </c>
      <c r="M10858" s="17"/>
      <c r="N10858" s="17" t="s">
        <v>22459</v>
      </c>
      <c r="O10858" s="17"/>
      <c r="P10858" s="17" t="s">
        <v>45008</v>
      </c>
      <c r="Q10858" s="17"/>
      <c r="R10858" s="25" t="str">
        <f>HYPERLINK("https://ictv.global/taxonomy/taxondetails?taxnode_id=202311179","Hodnevirus neopedovivens")</f>
        <v>Hodnevirus neopedovivens</v>
      </c>
      <c r="S10858" s="18" t="s">
        <v>30</v>
      </c>
      <c r="T10858" s="18" t="s">
        <v>22847</v>
      </c>
      <c r="U10858" s="18"/>
      <c r="V10858" s="18"/>
      <c r="W10858" s="18" t="s">
        <v>22848</v>
      </c>
      <c r="X10858" s="18" t="s">
        <v>35</v>
      </c>
      <c r="Y10858" s="18" t="s">
        <v>17171</v>
      </c>
      <c r="Z10858" s="18" t="s">
        <v>697</v>
      </c>
      <c r="AA10858" s="21" t="str">
        <f>HYPERLINK("https://www.ncbi.nlm.nih.gov/nuccore/BK013879","NCBI Nucleotide")</f>
        <v>NCBI Nucleotide</v>
      </c>
    </row>
    <row r="10859" spans="1:27" x14ac:dyDescent="0.35">
      <c r="A10859">
        <v>1010005</v>
      </c>
      <c r="B10859">
        <v>10184</v>
      </c>
      <c r="C10859">
        <v>1</v>
      </c>
      <c r="D10859" s="17" t="s">
        <v>17166</v>
      </c>
      <c r="E10859" s="17"/>
      <c r="F10859" s="17" t="s">
        <v>17246</v>
      </c>
      <c r="G10859" s="17"/>
      <c r="H10859" s="17" t="s">
        <v>20919</v>
      </c>
      <c r="I10859" s="17"/>
      <c r="J10859" s="17" t="s">
        <v>21313</v>
      </c>
      <c r="K10859" s="17"/>
      <c r="L10859" s="17" t="s">
        <v>22378</v>
      </c>
      <c r="M10859" s="17"/>
      <c r="N10859" s="17" t="s">
        <v>22459</v>
      </c>
      <c r="O10859" s="17"/>
      <c r="P10859" s="17" t="s">
        <v>45008</v>
      </c>
      <c r="Q10859" s="17"/>
      <c r="R10859" s="25" t="str">
        <f>HYPERLINK("https://ictv.global/taxonomy/taxondetails?taxnode_id=202311180","Hodnevirus neosoladaptatum")</f>
        <v>Hodnevirus neosoladaptatum</v>
      </c>
      <c r="S10859" s="18" t="s">
        <v>30</v>
      </c>
      <c r="T10859" s="18" t="s">
        <v>22849</v>
      </c>
      <c r="U10859" s="18"/>
      <c r="V10859" s="18"/>
      <c r="W10859" s="18" t="s">
        <v>22850</v>
      </c>
      <c r="X10859" s="18" t="s">
        <v>35</v>
      </c>
      <c r="Y10859" s="18" t="s">
        <v>17171</v>
      </c>
      <c r="Z10859" s="18" t="s">
        <v>697</v>
      </c>
      <c r="AA10859" s="21" t="str">
        <f>HYPERLINK("https://www.ncbi.nlm.nih.gov/nuccore/BK013566","NCBI Nucleotide")</f>
        <v>NCBI Nucleotide</v>
      </c>
    </row>
    <row r="10860" spans="1:27" x14ac:dyDescent="0.35">
      <c r="A10860">
        <v>1010006</v>
      </c>
      <c r="B10860">
        <v>10185</v>
      </c>
      <c r="C10860">
        <v>1</v>
      </c>
      <c r="D10860" s="17" t="s">
        <v>17166</v>
      </c>
      <c r="E10860" s="17"/>
      <c r="F10860" s="17" t="s">
        <v>17246</v>
      </c>
      <c r="G10860" s="17"/>
      <c r="H10860" s="17" t="s">
        <v>20919</v>
      </c>
      <c r="I10860" s="17"/>
      <c r="J10860" s="17" t="s">
        <v>21313</v>
      </c>
      <c r="K10860" s="17"/>
      <c r="L10860" s="17" t="s">
        <v>22378</v>
      </c>
      <c r="M10860" s="17"/>
      <c r="N10860" s="17" t="s">
        <v>22459</v>
      </c>
      <c r="O10860" s="17"/>
      <c r="P10860" s="17" t="s">
        <v>45008</v>
      </c>
      <c r="Q10860" s="17"/>
      <c r="R10860" s="25" t="str">
        <f>HYPERLINK("https://ictv.global/taxonomy/taxondetails?taxnode_id=202311182","Hodnevirus neosolenecus")</f>
        <v>Hodnevirus neosolenecus</v>
      </c>
      <c r="S10860" s="18" t="s">
        <v>30</v>
      </c>
      <c r="T10860" s="18" t="s">
        <v>22851</v>
      </c>
      <c r="U10860" s="18"/>
      <c r="V10860" s="18"/>
      <c r="W10860" s="18" t="s">
        <v>22852</v>
      </c>
      <c r="X10860" s="18" t="s">
        <v>35</v>
      </c>
      <c r="Y10860" s="18" t="s">
        <v>17171</v>
      </c>
      <c r="Z10860" s="18" t="s">
        <v>697</v>
      </c>
      <c r="AA10860" s="21" t="str">
        <f>HYPERLINK("https://www.ncbi.nlm.nih.gov/nuccore/BK013506","NCBI Nucleotide")</f>
        <v>NCBI Nucleotide</v>
      </c>
    </row>
    <row r="10861" spans="1:27" x14ac:dyDescent="0.35">
      <c r="A10861">
        <v>1010007</v>
      </c>
      <c r="B10861">
        <v>10186</v>
      </c>
      <c r="C10861">
        <v>1</v>
      </c>
      <c r="D10861" s="17" t="s">
        <v>17166</v>
      </c>
      <c r="E10861" s="17"/>
      <c r="F10861" s="17" t="s">
        <v>17246</v>
      </c>
      <c r="G10861" s="17"/>
      <c r="H10861" s="17" t="s">
        <v>20919</v>
      </c>
      <c r="I10861" s="17"/>
      <c r="J10861" s="17" t="s">
        <v>21313</v>
      </c>
      <c r="K10861" s="17"/>
      <c r="L10861" s="17" t="s">
        <v>22378</v>
      </c>
      <c r="M10861" s="17"/>
      <c r="N10861" s="17" t="s">
        <v>22459</v>
      </c>
      <c r="O10861" s="17"/>
      <c r="P10861" s="17" t="s">
        <v>45008</v>
      </c>
      <c r="Q10861" s="17"/>
      <c r="R10861" s="25" t="str">
        <f>HYPERLINK("https://ictv.global/taxonomy/taxondetails?taxnode_id=202311181","Hodnevirus neosolicola")</f>
        <v>Hodnevirus neosolicola</v>
      </c>
      <c r="S10861" s="18" t="s">
        <v>30</v>
      </c>
      <c r="T10861" s="18" t="s">
        <v>22853</v>
      </c>
      <c r="U10861" s="18"/>
      <c r="V10861" s="18"/>
      <c r="W10861" s="18" t="s">
        <v>22854</v>
      </c>
      <c r="X10861" s="18" t="s">
        <v>35</v>
      </c>
      <c r="Y10861" s="18" t="s">
        <v>17171</v>
      </c>
      <c r="Z10861" s="18" t="s">
        <v>697</v>
      </c>
      <c r="AA10861" s="21" t="str">
        <f>HYPERLINK("https://www.ncbi.nlm.nih.gov/nuccore/BK013410","NCBI Nucleotide")</f>
        <v>NCBI Nucleotide</v>
      </c>
    </row>
    <row r="10862" spans="1:27" x14ac:dyDescent="0.35">
      <c r="A10862">
        <v>1010008</v>
      </c>
      <c r="B10862">
        <v>10187</v>
      </c>
      <c r="C10862">
        <v>1</v>
      </c>
      <c r="D10862" s="17" t="s">
        <v>17166</v>
      </c>
      <c r="E10862" s="17"/>
      <c r="F10862" s="17" t="s">
        <v>17246</v>
      </c>
      <c r="G10862" s="17"/>
      <c r="H10862" s="17" t="s">
        <v>20919</v>
      </c>
      <c r="I10862" s="17"/>
      <c r="J10862" s="17" t="s">
        <v>21313</v>
      </c>
      <c r="K10862" s="17"/>
      <c r="L10862" s="17" t="s">
        <v>22378</v>
      </c>
      <c r="M10862" s="17"/>
      <c r="N10862" s="17" t="s">
        <v>22459</v>
      </c>
      <c r="O10862" s="17"/>
      <c r="P10862" s="17" t="s">
        <v>45008</v>
      </c>
      <c r="Q10862" s="17"/>
      <c r="R10862" s="25" t="str">
        <f>HYPERLINK("https://ictv.global/taxonomy/taxondetails?taxnode_id=202311183","Hodnevirus neosolihabitans")</f>
        <v>Hodnevirus neosolihabitans</v>
      </c>
      <c r="S10862" s="18" t="s">
        <v>30</v>
      </c>
      <c r="T10862" s="18" t="s">
        <v>22855</v>
      </c>
      <c r="U10862" s="18"/>
      <c r="V10862" s="18"/>
      <c r="W10862" s="18" t="s">
        <v>22856</v>
      </c>
      <c r="X10862" s="18" t="s">
        <v>35</v>
      </c>
      <c r="Y10862" s="18" t="s">
        <v>17171</v>
      </c>
      <c r="Z10862" s="18" t="s">
        <v>697</v>
      </c>
      <c r="AA10862" s="21" t="str">
        <f>HYPERLINK("https://www.ncbi.nlm.nih.gov/nuccore/BK013829","NCBI Nucleotide")</f>
        <v>NCBI Nucleotide</v>
      </c>
    </row>
    <row r="10863" spans="1:27" x14ac:dyDescent="0.35">
      <c r="A10863">
        <v>1010009</v>
      </c>
      <c r="B10863">
        <v>10188</v>
      </c>
      <c r="C10863">
        <v>1</v>
      </c>
      <c r="D10863" s="17" t="s">
        <v>17166</v>
      </c>
      <c r="E10863" s="17"/>
      <c r="F10863" s="17" t="s">
        <v>17246</v>
      </c>
      <c r="G10863" s="17"/>
      <c r="H10863" s="17" t="s">
        <v>20919</v>
      </c>
      <c r="I10863" s="17"/>
      <c r="J10863" s="17" t="s">
        <v>21313</v>
      </c>
      <c r="K10863" s="17"/>
      <c r="L10863" s="17" t="s">
        <v>22378</v>
      </c>
      <c r="M10863" s="17"/>
      <c r="N10863" s="17" t="s">
        <v>22459</v>
      </c>
      <c r="O10863" s="17"/>
      <c r="P10863" s="17" t="s">
        <v>45008</v>
      </c>
      <c r="Q10863" s="17"/>
      <c r="R10863" s="25" t="str">
        <f>HYPERLINK("https://ictv.global/taxonomy/taxondetails?taxnode_id=202311184","Hodnevirus neosolivicinum")</f>
        <v>Hodnevirus neosolivicinum</v>
      </c>
      <c r="S10863" s="18" t="s">
        <v>30</v>
      </c>
      <c r="T10863" s="18" t="s">
        <v>22857</v>
      </c>
      <c r="U10863" s="18"/>
      <c r="V10863" s="18"/>
      <c r="W10863" s="18" t="s">
        <v>22858</v>
      </c>
      <c r="X10863" s="18" t="s">
        <v>35</v>
      </c>
      <c r="Y10863" s="18" t="s">
        <v>17171</v>
      </c>
      <c r="Z10863" s="18" t="s">
        <v>697</v>
      </c>
      <c r="AA10863" s="21" t="str">
        <f>HYPERLINK("https://www.ncbi.nlm.nih.gov/nuccore/BK013507","NCBI Nucleotide")</f>
        <v>NCBI Nucleotide</v>
      </c>
    </row>
    <row r="10864" spans="1:27" x14ac:dyDescent="0.35">
      <c r="A10864">
        <v>1010010</v>
      </c>
      <c r="B10864">
        <v>10189</v>
      </c>
      <c r="C10864">
        <v>1</v>
      </c>
      <c r="D10864" s="17" t="s">
        <v>17166</v>
      </c>
      <c r="E10864" s="17"/>
      <c r="F10864" s="17" t="s">
        <v>17246</v>
      </c>
      <c r="G10864" s="17"/>
      <c r="H10864" s="17" t="s">
        <v>20919</v>
      </c>
      <c r="I10864" s="17"/>
      <c r="J10864" s="17" t="s">
        <v>21313</v>
      </c>
      <c r="K10864" s="17"/>
      <c r="L10864" s="17" t="s">
        <v>22378</v>
      </c>
      <c r="M10864" s="17"/>
      <c r="N10864" s="17" t="s">
        <v>22459</v>
      </c>
      <c r="O10864" s="17"/>
      <c r="P10864" s="17" t="s">
        <v>45008</v>
      </c>
      <c r="Q10864" s="17"/>
      <c r="R10864" s="25" t="str">
        <f>HYPERLINK("https://ictv.global/taxonomy/taxondetails?taxnode_id=202311185","Hodnevirus neosolivivens")</f>
        <v>Hodnevirus neosolivivens</v>
      </c>
      <c r="S10864" s="18" t="s">
        <v>30</v>
      </c>
      <c r="T10864" s="18" t="s">
        <v>22859</v>
      </c>
      <c r="U10864" s="18"/>
      <c r="V10864" s="18"/>
      <c r="W10864" s="18" t="s">
        <v>22860</v>
      </c>
      <c r="X10864" s="18" t="s">
        <v>35</v>
      </c>
      <c r="Y10864" s="18" t="s">
        <v>17171</v>
      </c>
      <c r="Z10864" s="18" t="s">
        <v>697</v>
      </c>
      <c r="AA10864" s="21" t="str">
        <f>HYPERLINK("https://www.ncbi.nlm.nih.gov/nuccore/BK013430","NCBI Nucleotide")</f>
        <v>NCBI Nucleotide</v>
      </c>
    </row>
    <row r="10865" spans="1:27" x14ac:dyDescent="0.35">
      <c r="A10865">
        <v>1010011</v>
      </c>
      <c r="B10865">
        <v>10190</v>
      </c>
      <c r="C10865">
        <v>1</v>
      </c>
      <c r="D10865" s="17" t="s">
        <v>17166</v>
      </c>
      <c r="E10865" s="17"/>
      <c r="F10865" s="17" t="s">
        <v>17246</v>
      </c>
      <c r="G10865" s="17"/>
      <c r="H10865" s="17" t="s">
        <v>20919</v>
      </c>
      <c r="I10865" s="17"/>
      <c r="J10865" s="17" t="s">
        <v>21313</v>
      </c>
      <c r="K10865" s="17"/>
      <c r="L10865" s="17" t="s">
        <v>22378</v>
      </c>
      <c r="M10865" s="17"/>
      <c r="N10865" s="17" t="s">
        <v>22459</v>
      </c>
      <c r="O10865" s="17"/>
      <c r="P10865" s="17" t="s">
        <v>45008</v>
      </c>
      <c r="Q10865" s="17"/>
      <c r="R10865" s="25" t="str">
        <f>HYPERLINK("https://ictv.global/taxonomy/taxondetails?taxnode_id=202311198","Hodnevirus neotelluradaptatum")</f>
        <v>Hodnevirus neotelluradaptatum</v>
      </c>
      <c r="S10865" s="18" t="s">
        <v>30</v>
      </c>
      <c r="T10865" s="18" t="s">
        <v>22861</v>
      </c>
      <c r="U10865" s="18"/>
      <c r="V10865" s="18"/>
      <c r="W10865" s="18" t="s">
        <v>22862</v>
      </c>
      <c r="X10865" s="18" t="s">
        <v>35</v>
      </c>
      <c r="Y10865" s="18" t="s">
        <v>17171</v>
      </c>
      <c r="Z10865" s="18" t="s">
        <v>697</v>
      </c>
      <c r="AA10865" s="21" t="str">
        <f>HYPERLINK("https://www.ncbi.nlm.nih.gov/nuccore/BK013550","NCBI Nucleotide")</f>
        <v>NCBI Nucleotide</v>
      </c>
    </row>
    <row r="10866" spans="1:27" x14ac:dyDescent="0.35">
      <c r="A10866">
        <v>1009987</v>
      </c>
      <c r="B10866">
        <v>10191</v>
      </c>
      <c r="C10866">
        <v>1</v>
      </c>
      <c r="D10866" s="17" t="s">
        <v>17166</v>
      </c>
      <c r="E10866" s="17"/>
      <c r="F10866" s="17" t="s">
        <v>17246</v>
      </c>
      <c r="G10866" s="17"/>
      <c r="H10866" s="17" t="s">
        <v>20919</v>
      </c>
      <c r="I10866" s="17"/>
      <c r="J10866" s="17" t="s">
        <v>21313</v>
      </c>
      <c r="K10866" s="17"/>
      <c r="L10866" s="17" t="s">
        <v>22378</v>
      </c>
      <c r="M10866" s="17"/>
      <c r="N10866" s="17" t="s">
        <v>22459</v>
      </c>
      <c r="O10866" s="17"/>
      <c r="P10866" s="17" t="s">
        <v>45008</v>
      </c>
      <c r="Q10866" s="17"/>
      <c r="R10866" s="25" t="str">
        <f>HYPERLINK("https://ictv.global/taxonomy/taxondetails?taxnode_id=202311135","Hodnevirus neotellurenecus")</f>
        <v>Hodnevirus neotellurenecus</v>
      </c>
      <c r="S10866" s="18" t="s">
        <v>30</v>
      </c>
      <c r="T10866" s="18" t="s">
        <v>22813</v>
      </c>
      <c r="U10866" s="18"/>
      <c r="V10866" s="18"/>
      <c r="W10866" s="18" t="s">
        <v>22814</v>
      </c>
      <c r="X10866" s="18" t="s">
        <v>35</v>
      </c>
      <c r="Y10866" s="18" t="s">
        <v>17171</v>
      </c>
      <c r="Z10866" s="18" t="s">
        <v>697</v>
      </c>
      <c r="AA10866" s="21" t="str">
        <f>HYPERLINK("https://www.ncbi.nlm.nih.gov/nuccore/BK013560","NCBI Nucleotide")</f>
        <v>NCBI Nucleotide</v>
      </c>
    </row>
    <row r="10867" spans="1:27" x14ac:dyDescent="0.35">
      <c r="A10867">
        <v>1009988</v>
      </c>
      <c r="B10867">
        <v>10192</v>
      </c>
      <c r="C10867">
        <v>1</v>
      </c>
      <c r="D10867" s="17" t="s">
        <v>17166</v>
      </c>
      <c r="E10867" s="17"/>
      <c r="F10867" s="17" t="s">
        <v>17246</v>
      </c>
      <c r="G10867" s="17"/>
      <c r="H10867" s="17" t="s">
        <v>20919</v>
      </c>
      <c r="I10867" s="17"/>
      <c r="J10867" s="17" t="s">
        <v>21313</v>
      </c>
      <c r="K10867" s="17"/>
      <c r="L10867" s="17" t="s">
        <v>22378</v>
      </c>
      <c r="M10867" s="17"/>
      <c r="N10867" s="17" t="s">
        <v>22459</v>
      </c>
      <c r="O10867" s="17"/>
      <c r="P10867" s="17" t="s">
        <v>45008</v>
      </c>
      <c r="Q10867" s="17"/>
      <c r="R10867" s="25" t="str">
        <f>HYPERLINK("https://ictv.global/taxonomy/taxondetails?taxnode_id=202311134","Hodnevirus neotelluricola")</f>
        <v>Hodnevirus neotelluricola</v>
      </c>
      <c r="S10867" s="18" t="s">
        <v>30</v>
      </c>
      <c r="T10867" s="18" t="s">
        <v>22815</v>
      </c>
      <c r="U10867" s="18"/>
      <c r="V10867" s="18"/>
      <c r="W10867" s="18" t="s">
        <v>22816</v>
      </c>
      <c r="X10867" s="18" t="s">
        <v>35</v>
      </c>
      <c r="Y10867" s="18" t="s">
        <v>17171</v>
      </c>
      <c r="Z10867" s="18" t="s">
        <v>697</v>
      </c>
      <c r="AA10867" s="21" t="str">
        <f>HYPERLINK("https://www.ncbi.nlm.nih.gov/nuccore/BK013383","NCBI Nucleotide")</f>
        <v>NCBI Nucleotide</v>
      </c>
    </row>
    <row r="10868" spans="1:27" x14ac:dyDescent="0.35">
      <c r="A10868">
        <v>1009989</v>
      </c>
      <c r="B10868">
        <v>10193</v>
      </c>
      <c r="C10868">
        <v>1</v>
      </c>
      <c r="D10868" s="17" t="s">
        <v>17166</v>
      </c>
      <c r="E10868" s="17"/>
      <c r="F10868" s="17" t="s">
        <v>17246</v>
      </c>
      <c r="G10868" s="17"/>
      <c r="H10868" s="17" t="s">
        <v>20919</v>
      </c>
      <c r="I10868" s="17"/>
      <c r="J10868" s="17" t="s">
        <v>21313</v>
      </c>
      <c r="K10868" s="17"/>
      <c r="L10868" s="17" t="s">
        <v>22378</v>
      </c>
      <c r="M10868" s="17"/>
      <c r="N10868" s="17" t="s">
        <v>22459</v>
      </c>
      <c r="O10868" s="17"/>
      <c r="P10868" s="17" t="s">
        <v>45008</v>
      </c>
      <c r="Q10868" s="17"/>
      <c r="R10868" s="25" t="str">
        <f>HYPERLINK("https://ictv.global/taxonomy/taxondetails?taxnode_id=202311136","Hodnevirus neotellurihabitans")</f>
        <v>Hodnevirus neotellurihabitans</v>
      </c>
      <c r="S10868" s="18" t="s">
        <v>30</v>
      </c>
      <c r="T10868" s="18" t="s">
        <v>22817</v>
      </c>
      <c r="U10868" s="18"/>
      <c r="V10868" s="18"/>
      <c r="W10868" s="18" t="s">
        <v>22818</v>
      </c>
      <c r="X10868" s="18" t="s">
        <v>35</v>
      </c>
      <c r="Y10868" s="18" t="s">
        <v>17171</v>
      </c>
      <c r="Z10868" s="18" t="s">
        <v>697</v>
      </c>
      <c r="AA10868" s="21" t="str">
        <f>HYPERLINK("https://www.ncbi.nlm.nih.gov/nuccore/BK013388","NCBI Nucleotide")</f>
        <v>NCBI Nucleotide</v>
      </c>
    </row>
    <row r="10869" spans="1:27" x14ac:dyDescent="0.35">
      <c r="A10869">
        <v>1009990</v>
      </c>
      <c r="B10869">
        <v>10194</v>
      </c>
      <c r="C10869">
        <v>1</v>
      </c>
      <c r="D10869" s="17" t="s">
        <v>17166</v>
      </c>
      <c r="E10869" s="17"/>
      <c r="F10869" s="17" t="s">
        <v>17246</v>
      </c>
      <c r="G10869" s="17"/>
      <c r="H10869" s="17" t="s">
        <v>20919</v>
      </c>
      <c r="I10869" s="17"/>
      <c r="J10869" s="17" t="s">
        <v>21313</v>
      </c>
      <c r="K10869" s="17"/>
      <c r="L10869" s="17" t="s">
        <v>22378</v>
      </c>
      <c r="M10869" s="17"/>
      <c r="N10869" s="17" t="s">
        <v>22459</v>
      </c>
      <c r="O10869" s="17"/>
      <c r="P10869" s="17" t="s">
        <v>45008</v>
      </c>
      <c r="Q10869" s="17"/>
      <c r="R10869" s="25" t="str">
        <f>HYPERLINK("https://ictv.global/taxonomy/taxondetails?taxnode_id=202311137","Hodnevirus neotellurivicinum")</f>
        <v>Hodnevirus neotellurivicinum</v>
      </c>
      <c r="S10869" s="18" t="s">
        <v>30</v>
      </c>
      <c r="T10869" s="18" t="s">
        <v>22819</v>
      </c>
      <c r="U10869" s="18"/>
      <c r="V10869" s="18"/>
      <c r="W10869" s="18" t="s">
        <v>22820</v>
      </c>
      <c r="X10869" s="18" t="s">
        <v>35</v>
      </c>
      <c r="Y10869" s="18" t="s">
        <v>17171</v>
      </c>
      <c r="Z10869" s="18" t="s">
        <v>697</v>
      </c>
      <c r="AA10869" s="21" t="str">
        <f>HYPERLINK("https://www.ncbi.nlm.nih.gov/nuccore/BK013391","NCBI Nucleotide")</f>
        <v>NCBI Nucleotide</v>
      </c>
    </row>
    <row r="10870" spans="1:27" x14ac:dyDescent="0.35">
      <c r="A10870">
        <v>1009991</v>
      </c>
      <c r="B10870">
        <v>10195</v>
      </c>
      <c r="C10870">
        <v>1</v>
      </c>
      <c r="D10870" s="17" t="s">
        <v>17166</v>
      </c>
      <c r="E10870" s="17"/>
      <c r="F10870" s="17" t="s">
        <v>17246</v>
      </c>
      <c r="G10870" s="17"/>
      <c r="H10870" s="17" t="s">
        <v>20919</v>
      </c>
      <c r="I10870" s="17"/>
      <c r="J10870" s="17" t="s">
        <v>21313</v>
      </c>
      <c r="K10870" s="17"/>
      <c r="L10870" s="17" t="s">
        <v>22378</v>
      </c>
      <c r="M10870" s="17"/>
      <c r="N10870" s="17" t="s">
        <v>22459</v>
      </c>
      <c r="O10870" s="17"/>
      <c r="P10870" s="17" t="s">
        <v>45008</v>
      </c>
      <c r="Q10870" s="17"/>
      <c r="R10870" s="25" t="str">
        <f>HYPERLINK("https://ictv.global/taxonomy/taxondetails?taxnode_id=202311138","Hodnevirus neotellurivivens")</f>
        <v>Hodnevirus neotellurivivens</v>
      </c>
      <c r="S10870" s="18" t="s">
        <v>30</v>
      </c>
      <c r="T10870" s="18" t="s">
        <v>22821</v>
      </c>
      <c r="U10870" s="18"/>
      <c r="V10870" s="18"/>
      <c r="W10870" s="18" t="s">
        <v>22822</v>
      </c>
      <c r="X10870" s="18" t="s">
        <v>35</v>
      </c>
      <c r="Y10870" s="18" t="s">
        <v>17171</v>
      </c>
      <c r="Z10870" s="18" t="s">
        <v>697</v>
      </c>
      <c r="AA10870" s="21" t="str">
        <f>HYPERLINK("https://www.ncbi.nlm.nih.gov/nuccore/BK013817","NCBI Nucleotide")</f>
        <v>NCBI Nucleotide</v>
      </c>
    </row>
    <row r="10871" spans="1:27" x14ac:dyDescent="0.35">
      <c r="A10871">
        <v>1009992</v>
      </c>
      <c r="B10871">
        <v>10196</v>
      </c>
      <c r="C10871">
        <v>1</v>
      </c>
      <c r="D10871" s="17" t="s">
        <v>17166</v>
      </c>
      <c r="E10871" s="17"/>
      <c r="F10871" s="17" t="s">
        <v>17246</v>
      </c>
      <c r="G10871" s="17"/>
      <c r="H10871" s="17" t="s">
        <v>20919</v>
      </c>
      <c r="I10871" s="17"/>
      <c r="J10871" s="17" t="s">
        <v>21313</v>
      </c>
      <c r="K10871" s="17"/>
      <c r="L10871" s="17" t="s">
        <v>22378</v>
      </c>
      <c r="M10871" s="17"/>
      <c r="N10871" s="17" t="s">
        <v>22459</v>
      </c>
      <c r="O10871" s="17"/>
      <c r="P10871" s="17" t="s">
        <v>45008</v>
      </c>
      <c r="Q10871" s="17"/>
      <c r="R10871" s="25" t="str">
        <f>HYPERLINK("https://ictv.global/taxonomy/taxondetails?taxnode_id=202311139","Hodnevirus neoterradaptatum")</f>
        <v>Hodnevirus neoterradaptatum</v>
      </c>
      <c r="S10871" s="18" t="s">
        <v>30</v>
      </c>
      <c r="T10871" s="18" t="s">
        <v>22823</v>
      </c>
      <c r="U10871" s="18"/>
      <c r="V10871" s="18"/>
      <c r="W10871" s="18" t="s">
        <v>22824</v>
      </c>
      <c r="X10871" s="18" t="s">
        <v>35</v>
      </c>
      <c r="Y10871" s="18" t="s">
        <v>17171</v>
      </c>
      <c r="Z10871" s="18" t="s">
        <v>697</v>
      </c>
      <c r="AA10871" s="21" t="str">
        <f>HYPERLINK("https://www.ncbi.nlm.nih.gov/nuccore/BK014004","NCBI Nucleotide")</f>
        <v>NCBI Nucleotide</v>
      </c>
    </row>
    <row r="10872" spans="1:27" x14ac:dyDescent="0.35">
      <c r="A10872">
        <v>1009993</v>
      </c>
      <c r="B10872">
        <v>10197</v>
      </c>
      <c r="C10872">
        <v>1</v>
      </c>
      <c r="D10872" s="17" t="s">
        <v>17166</v>
      </c>
      <c r="E10872" s="17"/>
      <c r="F10872" s="17" t="s">
        <v>17246</v>
      </c>
      <c r="G10872" s="17"/>
      <c r="H10872" s="17" t="s">
        <v>20919</v>
      </c>
      <c r="I10872" s="17"/>
      <c r="J10872" s="17" t="s">
        <v>21313</v>
      </c>
      <c r="K10872" s="17"/>
      <c r="L10872" s="17" t="s">
        <v>22378</v>
      </c>
      <c r="M10872" s="17"/>
      <c r="N10872" s="17" t="s">
        <v>22459</v>
      </c>
      <c r="O10872" s="17"/>
      <c r="P10872" s="17" t="s">
        <v>45008</v>
      </c>
      <c r="Q10872" s="17"/>
      <c r="R10872" s="25" t="str">
        <f>HYPERLINK("https://ictv.global/taxonomy/taxondetails?taxnode_id=202311141","Hodnevirus neoterrenecus")</f>
        <v>Hodnevirus neoterrenecus</v>
      </c>
      <c r="S10872" s="18" t="s">
        <v>30</v>
      </c>
      <c r="T10872" s="18" t="s">
        <v>22825</v>
      </c>
      <c r="U10872" s="18"/>
      <c r="V10872" s="18"/>
      <c r="W10872" s="18" t="s">
        <v>22826</v>
      </c>
      <c r="X10872" s="18" t="s">
        <v>35</v>
      </c>
      <c r="Y10872" s="18" t="s">
        <v>17171</v>
      </c>
      <c r="Z10872" s="18" t="s">
        <v>697</v>
      </c>
      <c r="AA10872" s="21" t="str">
        <f>HYPERLINK("https://www.ncbi.nlm.nih.gov/nuccore/BK013814","NCBI Nucleotide")</f>
        <v>NCBI Nucleotide</v>
      </c>
    </row>
    <row r="10873" spans="1:27" x14ac:dyDescent="0.35">
      <c r="A10873">
        <v>1009994</v>
      </c>
      <c r="B10873">
        <v>10198</v>
      </c>
      <c r="C10873">
        <v>1</v>
      </c>
      <c r="D10873" s="17" t="s">
        <v>17166</v>
      </c>
      <c r="E10873" s="17"/>
      <c r="F10873" s="17" t="s">
        <v>17246</v>
      </c>
      <c r="G10873" s="17"/>
      <c r="H10873" s="17" t="s">
        <v>20919</v>
      </c>
      <c r="I10873" s="17"/>
      <c r="J10873" s="17" t="s">
        <v>21313</v>
      </c>
      <c r="K10873" s="17"/>
      <c r="L10873" s="17" t="s">
        <v>22378</v>
      </c>
      <c r="M10873" s="17"/>
      <c r="N10873" s="17" t="s">
        <v>22459</v>
      </c>
      <c r="O10873" s="17"/>
      <c r="P10873" s="17" t="s">
        <v>45008</v>
      </c>
      <c r="Q10873" s="17"/>
      <c r="R10873" s="25" t="str">
        <f>HYPERLINK("https://ictv.global/taxonomy/taxondetails?taxnode_id=202311140","Hodnevirus neoterricola")</f>
        <v>Hodnevirus neoterricola</v>
      </c>
      <c r="S10873" s="18" t="s">
        <v>30</v>
      </c>
      <c r="T10873" s="18" t="s">
        <v>22827</v>
      </c>
      <c r="U10873" s="18"/>
      <c r="V10873" s="18"/>
      <c r="W10873" s="18" t="s">
        <v>22828</v>
      </c>
      <c r="X10873" s="18" t="s">
        <v>35</v>
      </c>
      <c r="Y10873" s="18" t="s">
        <v>17171</v>
      </c>
      <c r="Z10873" s="18" t="s">
        <v>697</v>
      </c>
      <c r="AA10873" s="21" t="str">
        <f>HYPERLINK("https://www.ncbi.nlm.nih.gov/nuccore/BK013974","NCBI Nucleotide")</f>
        <v>NCBI Nucleotide</v>
      </c>
    </row>
    <row r="10874" spans="1:27" x14ac:dyDescent="0.35">
      <c r="A10874">
        <v>1009995</v>
      </c>
      <c r="B10874">
        <v>10199</v>
      </c>
      <c r="C10874">
        <v>1</v>
      </c>
      <c r="D10874" s="17" t="s">
        <v>17166</v>
      </c>
      <c r="E10874" s="17"/>
      <c r="F10874" s="17" t="s">
        <v>17246</v>
      </c>
      <c r="G10874" s="17"/>
      <c r="H10874" s="17" t="s">
        <v>20919</v>
      </c>
      <c r="I10874" s="17"/>
      <c r="J10874" s="17" t="s">
        <v>21313</v>
      </c>
      <c r="K10874" s="17"/>
      <c r="L10874" s="17" t="s">
        <v>22378</v>
      </c>
      <c r="M10874" s="17"/>
      <c r="N10874" s="17" t="s">
        <v>22459</v>
      </c>
      <c r="O10874" s="17"/>
      <c r="P10874" s="17" t="s">
        <v>45008</v>
      </c>
      <c r="Q10874" s="17"/>
      <c r="R10874" s="25" t="str">
        <f>HYPERLINK("https://ictv.global/taxonomy/taxondetails?taxnode_id=202311142","Hodnevirus neoterrihabitans")</f>
        <v>Hodnevirus neoterrihabitans</v>
      </c>
      <c r="S10874" s="18" t="s">
        <v>30</v>
      </c>
      <c r="T10874" s="18" t="s">
        <v>22829</v>
      </c>
      <c r="U10874" s="18"/>
      <c r="V10874" s="18"/>
      <c r="W10874" s="18" t="s">
        <v>22830</v>
      </c>
      <c r="X10874" s="18" t="s">
        <v>35</v>
      </c>
      <c r="Y10874" s="18" t="s">
        <v>17171</v>
      </c>
      <c r="Z10874" s="18" t="s">
        <v>697</v>
      </c>
      <c r="AA10874" s="21" t="str">
        <f>HYPERLINK("https://www.ncbi.nlm.nih.gov/nuccore/BK013794","NCBI Nucleotide")</f>
        <v>NCBI Nucleotide</v>
      </c>
    </row>
    <row r="10875" spans="1:27" x14ac:dyDescent="0.35">
      <c r="A10875">
        <v>1009996</v>
      </c>
      <c r="B10875">
        <v>10200</v>
      </c>
      <c r="C10875">
        <v>1</v>
      </c>
      <c r="D10875" s="17" t="s">
        <v>17166</v>
      </c>
      <c r="E10875" s="17"/>
      <c r="F10875" s="17" t="s">
        <v>17246</v>
      </c>
      <c r="G10875" s="17"/>
      <c r="H10875" s="17" t="s">
        <v>20919</v>
      </c>
      <c r="I10875" s="17"/>
      <c r="J10875" s="17" t="s">
        <v>21313</v>
      </c>
      <c r="K10875" s="17"/>
      <c r="L10875" s="17" t="s">
        <v>22378</v>
      </c>
      <c r="M10875" s="17"/>
      <c r="N10875" s="17" t="s">
        <v>22459</v>
      </c>
      <c r="O10875" s="17"/>
      <c r="P10875" s="17" t="s">
        <v>45008</v>
      </c>
      <c r="Q10875" s="17"/>
      <c r="R10875" s="25" t="str">
        <f>HYPERLINK("https://ictv.global/taxonomy/taxondetails?taxnode_id=202311143","Hodnevirus neoterrivicinum")</f>
        <v>Hodnevirus neoterrivicinum</v>
      </c>
      <c r="S10875" s="18" t="s">
        <v>30</v>
      </c>
      <c r="T10875" s="18" t="s">
        <v>22831</v>
      </c>
      <c r="U10875" s="18"/>
      <c r="V10875" s="18"/>
      <c r="W10875" s="18" t="s">
        <v>22832</v>
      </c>
      <c r="X10875" s="18" t="s">
        <v>35</v>
      </c>
      <c r="Y10875" s="18" t="s">
        <v>17171</v>
      </c>
      <c r="Z10875" s="18" t="s">
        <v>697</v>
      </c>
      <c r="AA10875" s="21" t="str">
        <f>HYPERLINK("https://www.ncbi.nlm.nih.gov/nuccore/BK013828","NCBI Nucleotide")</f>
        <v>NCBI Nucleotide</v>
      </c>
    </row>
    <row r="10876" spans="1:27" x14ac:dyDescent="0.35">
      <c r="A10876">
        <v>1009997</v>
      </c>
      <c r="B10876">
        <v>10201</v>
      </c>
      <c r="C10876">
        <v>1</v>
      </c>
      <c r="D10876" s="17" t="s">
        <v>17166</v>
      </c>
      <c r="E10876" s="17"/>
      <c r="F10876" s="17" t="s">
        <v>17246</v>
      </c>
      <c r="G10876" s="17"/>
      <c r="H10876" s="17" t="s">
        <v>20919</v>
      </c>
      <c r="I10876" s="17"/>
      <c r="J10876" s="17" t="s">
        <v>21313</v>
      </c>
      <c r="K10876" s="17"/>
      <c r="L10876" s="17" t="s">
        <v>22378</v>
      </c>
      <c r="M10876" s="17"/>
      <c r="N10876" s="17" t="s">
        <v>22459</v>
      </c>
      <c r="O10876" s="17"/>
      <c r="P10876" s="17" t="s">
        <v>45008</v>
      </c>
      <c r="Q10876" s="17"/>
      <c r="R10876" s="25" t="str">
        <f>HYPERLINK("https://ictv.global/taxonomy/taxondetails?taxnode_id=202311144","Hodnevirus neoterrivivens")</f>
        <v>Hodnevirus neoterrivivens</v>
      </c>
      <c r="S10876" s="18" t="s">
        <v>30</v>
      </c>
      <c r="T10876" s="18" t="s">
        <v>22833</v>
      </c>
      <c r="U10876" s="18"/>
      <c r="V10876" s="18"/>
      <c r="W10876" s="18" t="s">
        <v>22834</v>
      </c>
      <c r="X10876" s="18" t="s">
        <v>35</v>
      </c>
      <c r="Y10876" s="18" t="s">
        <v>17171</v>
      </c>
      <c r="Z10876" s="18" t="s">
        <v>697</v>
      </c>
      <c r="AA10876" s="21" t="str">
        <f>HYPERLINK("https://www.ncbi.nlm.nih.gov/nuccore/BK013501","NCBI Nucleotide")</f>
        <v>NCBI Nucleotide</v>
      </c>
    </row>
    <row r="10877" spans="1:27" x14ac:dyDescent="0.35">
      <c r="A10877">
        <v>1009998</v>
      </c>
      <c r="B10877">
        <v>10202</v>
      </c>
      <c r="C10877">
        <v>1</v>
      </c>
      <c r="D10877" s="17" t="s">
        <v>17166</v>
      </c>
      <c r="E10877" s="17"/>
      <c r="F10877" s="17" t="s">
        <v>17246</v>
      </c>
      <c r="G10877" s="17"/>
      <c r="H10877" s="17" t="s">
        <v>20919</v>
      </c>
      <c r="I10877" s="17"/>
      <c r="J10877" s="17" t="s">
        <v>21313</v>
      </c>
      <c r="K10877" s="17"/>
      <c r="L10877" s="17" t="s">
        <v>22378</v>
      </c>
      <c r="M10877" s="17"/>
      <c r="N10877" s="17" t="s">
        <v>22459</v>
      </c>
      <c r="O10877" s="17"/>
      <c r="P10877" s="17" t="s">
        <v>45008</v>
      </c>
      <c r="Q10877" s="17"/>
      <c r="R10877" s="25" t="str">
        <f>HYPERLINK("https://ictv.global/taxonomy/taxondetails?taxnode_id=202311133","Hodnevirus paludicola")</f>
        <v>Hodnevirus paludicola</v>
      </c>
      <c r="S10877" s="18" t="s">
        <v>30</v>
      </c>
      <c r="T10877" s="18" t="s">
        <v>22835</v>
      </c>
      <c r="U10877" s="18"/>
      <c r="V10877" s="18"/>
      <c r="W10877" s="18" t="s">
        <v>22836</v>
      </c>
      <c r="X10877" s="18" t="s">
        <v>35</v>
      </c>
      <c r="Y10877" s="18" t="s">
        <v>17171</v>
      </c>
      <c r="Z10877" s="18" t="s">
        <v>697</v>
      </c>
      <c r="AA10877" s="21" t="str">
        <f>HYPERLINK("https://www.ncbi.nlm.nih.gov/nuccore/BK013381","NCBI Nucleotide")</f>
        <v>NCBI Nucleotide</v>
      </c>
    </row>
    <row r="10878" spans="1:27" x14ac:dyDescent="0.35">
      <c r="A10878">
        <v>1009999</v>
      </c>
      <c r="B10878">
        <v>10203</v>
      </c>
      <c r="C10878">
        <v>1</v>
      </c>
      <c r="D10878" s="17" t="s">
        <v>17166</v>
      </c>
      <c r="E10878" s="17"/>
      <c r="F10878" s="17" t="s">
        <v>17246</v>
      </c>
      <c r="G10878" s="17"/>
      <c r="H10878" s="17" t="s">
        <v>20919</v>
      </c>
      <c r="I10878" s="17"/>
      <c r="J10878" s="17" t="s">
        <v>21313</v>
      </c>
      <c r="K10878" s="17"/>
      <c r="L10878" s="17" t="s">
        <v>22378</v>
      </c>
      <c r="M10878" s="17"/>
      <c r="N10878" s="17" t="s">
        <v>22459</v>
      </c>
      <c r="O10878" s="17"/>
      <c r="P10878" s="17" t="s">
        <v>45008</v>
      </c>
      <c r="Q10878" s="17"/>
      <c r="R10878" s="25" t="str">
        <f>HYPERLINK("https://ictv.global/taxonomy/taxondetails?taxnode_id=202311174","Hodnevirus pedadaptatum")</f>
        <v>Hodnevirus pedadaptatum</v>
      </c>
      <c r="S10878" s="18" t="s">
        <v>30</v>
      </c>
      <c r="T10878" s="18" t="s">
        <v>22837</v>
      </c>
      <c r="U10878" s="18"/>
      <c r="V10878" s="18"/>
      <c r="W10878" s="18" t="s">
        <v>22838</v>
      </c>
      <c r="X10878" s="18" t="s">
        <v>35</v>
      </c>
      <c r="Y10878" s="18" t="s">
        <v>17171</v>
      </c>
      <c r="Z10878" s="18" t="s">
        <v>697</v>
      </c>
      <c r="AA10878" s="21" t="str">
        <f>HYPERLINK("https://www.ncbi.nlm.nih.gov/nuccore/BK013404","NCBI Nucleotide")</f>
        <v>NCBI Nucleotide</v>
      </c>
    </row>
    <row r="10879" spans="1:27" x14ac:dyDescent="0.35">
      <c r="A10879">
        <v>1010000</v>
      </c>
      <c r="B10879">
        <v>10204</v>
      </c>
      <c r="C10879">
        <v>1</v>
      </c>
      <c r="D10879" s="17" t="s">
        <v>17166</v>
      </c>
      <c r="E10879" s="17"/>
      <c r="F10879" s="17" t="s">
        <v>17246</v>
      </c>
      <c r="G10879" s="17"/>
      <c r="H10879" s="17" t="s">
        <v>20919</v>
      </c>
      <c r="I10879" s="17"/>
      <c r="J10879" s="17" t="s">
        <v>21313</v>
      </c>
      <c r="K10879" s="17"/>
      <c r="L10879" s="17" t="s">
        <v>22378</v>
      </c>
      <c r="M10879" s="17"/>
      <c r="N10879" s="17" t="s">
        <v>22459</v>
      </c>
      <c r="O10879" s="17"/>
      <c r="P10879" s="17" t="s">
        <v>45008</v>
      </c>
      <c r="Q10879" s="17"/>
      <c r="R10879" s="25" t="str">
        <f>HYPERLINK("https://ictv.global/taxonomy/taxondetails?taxnode_id=202311176","Hodnevirus pedenecus")</f>
        <v>Hodnevirus pedenecus</v>
      </c>
      <c r="S10879" s="18" t="s">
        <v>30</v>
      </c>
      <c r="T10879" s="18" t="s">
        <v>22839</v>
      </c>
      <c r="U10879" s="18"/>
      <c r="V10879" s="18"/>
      <c r="W10879" s="18" t="s">
        <v>22840</v>
      </c>
      <c r="X10879" s="18" t="s">
        <v>35</v>
      </c>
      <c r="Y10879" s="18" t="s">
        <v>17171</v>
      </c>
      <c r="Z10879" s="18" t="s">
        <v>697</v>
      </c>
      <c r="AA10879" s="21" t="str">
        <f>HYPERLINK("https://www.ncbi.nlm.nih.gov/nuccore/BK013867","NCBI Nucleotide")</f>
        <v>NCBI Nucleotide</v>
      </c>
    </row>
    <row r="10880" spans="1:27" x14ac:dyDescent="0.35">
      <c r="A10880">
        <v>1010001</v>
      </c>
      <c r="B10880">
        <v>10205</v>
      </c>
      <c r="C10880">
        <v>1</v>
      </c>
      <c r="D10880" s="17" t="s">
        <v>17166</v>
      </c>
      <c r="E10880" s="17"/>
      <c r="F10880" s="17" t="s">
        <v>17246</v>
      </c>
      <c r="G10880" s="17"/>
      <c r="H10880" s="17" t="s">
        <v>20919</v>
      </c>
      <c r="I10880" s="17"/>
      <c r="J10880" s="17" t="s">
        <v>21313</v>
      </c>
      <c r="K10880" s="17"/>
      <c r="L10880" s="17" t="s">
        <v>22378</v>
      </c>
      <c r="M10880" s="17"/>
      <c r="N10880" s="17" t="s">
        <v>22459</v>
      </c>
      <c r="O10880" s="17"/>
      <c r="P10880" s="17" t="s">
        <v>45008</v>
      </c>
      <c r="Q10880" s="17"/>
      <c r="R10880" s="25" t="str">
        <f>HYPERLINK("https://ictv.global/taxonomy/taxondetails?taxnode_id=202311175","Hodnevirus pedocola")</f>
        <v>Hodnevirus pedocola</v>
      </c>
      <c r="S10880" s="18" t="s">
        <v>30</v>
      </c>
      <c r="T10880" s="18" t="s">
        <v>22841</v>
      </c>
      <c r="U10880" s="18"/>
      <c r="V10880" s="18"/>
      <c r="W10880" s="18" t="s">
        <v>22842</v>
      </c>
      <c r="X10880" s="18" t="s">
        <v>35</v>
      </c>
      <c r="Y10880" s="18" t="s">
        <v>17171</v>
      </c>
      <c r="Z10880" s="18" t="s">
        <v>697</v>
      </c>
      <c r="AA10880" s="21" t="str">
        <f>HYPERLINK("https://www.ncbi.nlm.nih.gov/nuccore/BK014005","NCBI Nucleotide")</f>
        <v>NCBI Nucleotide</v>
      </c>
    </row>
    <row r="10881" spans="1:27" x14ac:dyDescent="0.35">
      <c r="A10881">
        <v>1010002</v>
      </c>
      <c r="B10881">
        <v>10206</v>
      </c>
      <c r="C10881">
        <v>1</v>
      </c>
      <c r="D10881" s="17" t="s">
        <v>17166</v>
      </c>
      <c r="E10881" s="17"/>
      <c r="F10881" s="17" t="s">
        <v>17246</v>
      </c>
      <c r="G10881" s="17"/>
      <c r="H10881" s="17" t="s">
        <v>20919</v>
      </c>
      <c r="I10881" s="17"/>
      <c r="J10881" s="17" t="s">
        <v>21313</v>
      </c>
      <c r="K10881" s="17"/>
      <c r="L10881" s="17" t="s">
        <v>22378</v>
      </c>
      <c r="M10881" s="17"/>
      <c r="N10881" s="17" t="s">
        <v>22459</v>
      </c>
      <c r="O10881" s="17"/>
      <c r="P10881" s="17" t="s">
        <v>45008</v>
      </c>
      <c r="Q10881" s="17"/>
      <c r="R10881" s="25" t="str">
        <f>HYPERLINK("https://ictv.global/taxonomy/taxondetails?taxnode_id=202311177","Hodnevirus pedohabitans")</f>
        <v>Hodnevirus pedohabitans</v>
      </c>
      <c r="S10881" s="18" t="s">
        <v>30</v>
      </c>
      <c r="T10881" s="18" t="s">
        <v>22843</v>
      </c>
      <c r="U10881" s="18"/>
      <c r="V10881" s="18"/>
      <c r="W10881" s="18" t="s">
        <v>22844</v>
      </c>
      <c r="X10881" s="18" t="s">
        <v>35</v>
      </c>
      <c r="Y10881" s="18" t="s">
        <v>17171</v>
      </c>
      <c r="Z10881" s="18" t="s">
        <v>697</v>
      </c>
      <c r="AA10881" s="21" t="str">
        <f>HYPERLINK("https://www.ncbi.nlm.nih.gov/nuccore/BK013479","NCBI Nucleotide")</f>
        <v>NCBI Nucleotide</v>
      </c>
    </row>
    <row r="10882" spans="1:27" x14ac:dyDescent="0.35">
      <c r="A10882">
        <v>1009864</v>
      </c>
      <c r="B10882">
        <v>10207</v>
      </c>
      <c r="C10882">
        <v>1</v>
      </c>
      <c r="D10882" s="17" t="s">
        <v>17166</v>
      </c>
      <c r="E10882" s="17"/>
      <c r="F10882" s="17" t="s">
        <v>17246</v>
      </c>
      <c r="G10882" s="17"/>
      <c r="H10882" s="17" t="s">
        <v>20919</v>
      </c>
      <c r="I10882" s="17"/>
      <c r="J10882" s="17" t="s">
        <v>21313</v>
      </c>
      <c r="K10882" s="17"/>
      <c r="L10882" s="17" t="s">
        <v>22378</v>
      </c>
      <c r="M10882" s="17"/>
      <c r="N10882" s="17" t="s">
        <v>22459</v>
      </c>
      <c r="O10882" s="17"/>
      <c r="P10882" s="17" t="s">
        <v>45008</v>
      </c>
      <c r="Q10882" s="17"/>
      <c r="R10882" s="25" t="str">
        <f>HYPERLINK("https://ictv.global/taxonomy/taxondetails?taxnode_id=202311024","Hodnevirus pedovicinum")</f>
        <v>Hodnevirus pedovicinum</v>
      </c>
      <c r="S10882" s="18" t="s">
        <v>30</v>
      </c>
      <c r="T10882" s="18" t="s">
        <v>22557</v>
      </c>
      <c r="U10882" s="18"/>
      <c r="V10882" s="18"/>
      <c r="W10882" s="18" t="s">
        <v>22558</v>
      </c>
      <c r="X10882" s="18" t="s">
        <v>35</v>
      </c>
      <c r="Y10882" s="18" t="s">
        <v>17171</v>
      </c>
      <c r="Z10882" s="18" t="s">
        <v>697</v>
      </c>
      <c r="AA10882" s="21" t="str">
        <f>HYPERLINK("https://www.ncbi.nlm.nih.gov/nuccore/BK013905","NCBI Nucleotide")</f>
        <v>NCBI Nucleotide</v>
      </c>
    </row>
    <row r="10883" spans="1:27" x14ac:dyDescent="0.35">
      <c r="A10883">
        <v>1009865</v>
      </c>
      <c r="B10883">
        <v>10208</v>
      </c>
      <c r="C10883">
        <v>1</v>
      </c>
      <c r="D10883" s="17" t="s">
        <v>17166</v>
      </c>
      <c r="E10883" s="17"/>
      <c r="F10883" s="17" t="s">
        <v>17246</v>
      </c>
      <c r="G10883" s="17"/>
      <c r="H10883" s="17" t="s">
        <v>20919</v>
      </c>
      <c r="I10883" s="17"/>
      <c r="J10883" s="17" t="s">
        <v>21313</v>
      </c>
      <c r="K10883" s="17"/>
      <c r="L10883" s="17" t="s">
        <v>22378</v>
      </c>
      <c r="M10883" s="17"/>
      <c r="N10883" s="17" t="s">
        <v>22459</v>
      </c>
      <c r="O10883" s="17"/>
      <c r="P10883" s="17" t="s">
        <v>45008</v>
      </c>
      <c r="Q10883" s="17"/>
      <c r="R10883" s="25" t="str">
        <f>HYPERLINK("https://ictv.global/taxonomy/taxondetails?taxnode_id=202311025","Hodnevirus pedovivens")</f>
        <v>Hodnevirus pedovivens</v>
      </c>
      <c r="S10883" s="18" t="s">
        <v>30</v>
      </c>
      <c r="T10883" s="18" t="s">
        <v>22559</v>
      </c>
      <c r="U10883" s="18"/>
      <c r="V10883" s="18"/>
      <c r="W10883" s="18" t="s">
        <v>22560</v>
      </c>
      <c r="X10883" s="18" t="s">
        <v>35</v>
      </c>
      <c r="Y10883" s="18" t="s">
        <v>17171</v>
      </c>
      <c r="Z10883" s="18" t="s">
        <v>697</v>
      </c>
      <c r="AA10883" s="21" t="str">
        <f>HYPERLINK("https://www.ncbi.nlm.nih.gov/nuccore/BK013971","NCBI Nucleotide")</f>
        <v>NCBI Nucleotide</v>
      </c>
    </row>
    <row r="10884" spans="1:27" x14ac:dyDescent="0.35">
      <c r="A10884">
        <v>1027065</v>
      </c>
      <c r="B10884">
        <v>10209</v>
      </c>
      <c r="C10884">
        <v>1</v>
      </c>
      <c r="D10884" s="17" t="s">
        <v>17166</v>
      </c>
      <c r="E10884" s="17"/>
      <c r="F10884" s="17" t="s">
        <v>17246</v>
      </c>
      <c r="G10884" s="17"/>
      <c r="H10884" s="17" t="s">
        <v>20919</v>
      </c>
      <c r="I10884" s="17"/>
      <c r="J10884" s="17" t="s">
        <v>21313</v>
      </c>
      <c r="K10884" s="17"/>
      <c r="L10884" s="17" t="s">
        <v>22378</v>
      </c>
      <c r="M10884" s="17"/>
      <c r="N10884" s="17" t="s">
        <v>22459</v>
      </c>
      <c r="O10884" s="17"/>
      <c r="P10884" s="17" t="s">
        <v>45008</v>
      </c>
      <c r="Q10884" s="17"/>
      <c r="R10884" s="25" t="str">
        <f>HYPERLINK("https://ictv.global/taxonomy/taxondetails?taxnode_id=202317325","Hodnevirus peladaptatum")</f>
        <v>Hodnevirus peladaptatum</v>
      </c>
      <c r="S10884" s="18" t="s">
        <v>30</v>
      </c>
      <c r="T10884" s="18" t="s">
        <v>45439</v>
      </c>
      <c r="U10884" s="18"/>
      <c r="V10884" s="18"/>
      <c r="W10884" s="18" t="s">
        <v>45440</v>
      </c>
      <c r="X10884" s="18" t="s">
        <v>35</v>
      </c>
      <c r="Y10884" s="18" t="s">
        <v>17171</v>
      </c>
      <c r="Z10884" s="18" t="s">
        <v>24637</v>
      </c>
      <c r="AA10884" s="21" t="str">
        <f>HYPERLINK("https://www.ncbi.nlm.nih.gov/nuccore/CASDWV010003175","NCBI Nucleotide")</f>
        <v>NCBI Nucleotide</v>
      </c>
    </row>
    <row r="10885" spans="1:27" x14ac:dyDescent="0.35">
      <c r="A10885">
        <v>1027066</v>
      </c>
      <c r="B10885">
        <v>10210</v>
      </c>
      <c r="C10885">
        <v>1</v>
      </c>
      <c r="D10885" s="17" t="s">
        <v>17166</v>
      </c>
      <c r="E10885" s="17"/>
      <c r="F10885" s="17" t="s">
        <v>17246</v>
      </c>
      <c r="G10885" s="17"/>
      <c r="H10885" s="17" t="s">
        <v>20919</v>
      </c>
      <c r="I10885" s="17"/>
      <c r="J10885" s="17" t="s">
        <v>21313</v>
      </c>
      <c r="K10885" s="17"/>
      <c r="L10885" s="17" t="s">
        <v>22378</v>
      </c>
      <c r="M10885" s="17"/>
      <c r="N10885" s="17" t="s">
        <v>22459</v>
      </c>
      <c r="O10885" s="17"/>
      <c r="P10885" s="17" t="s">
        <v>45008</v>
      </c>
      <c r="Q10885" s="17"/>
      <c r="R10885" s="25" t="str">
        <f>HYPERLINK("https://ictv.global/taxonomy/taxondetails?taxnode_id=202317326","Hodnevirus pelocola")</f>
        <v>Hodnevirus pelocola</v>
      </c>
      <c r="S10885" s="18" t="s">
        <v>30</v>
      </c>
      <c r="T10885" s="18" t="s">
        <v>45441</v>
      </c>
      <c r="U10885" s="18"/>
      <c r="V10885" s="18"/>
      <c r="W10885" s="18" t="s">
        <v>45442</v>
      </c>
      <c r="X10885" s="18" t="s">
        <v>35</v>
      </c>
      <c r="Y10885" s="18" t="s">
        <v>17171</v>
      </c>
      <c r="Z10885" s="18" t="s">
        <v>24637</v>
      </c>
      <c r="AA10885" s="21" t="str">
        <f>HYPERLINK("https://www.ncbi.nlm.nih.gov/nuccore/CASDWV010000455","NCBI Nucleotide")</f>
        <v>NCBI Nucleotide</v>
      </c>
    </row>
    <row r="10886" spans="1:27" x14ac:dyDescent="0.35">
      <c r="A10886">
        <v>1027067</v>
      </c>
      <c r="B10886">
        <v>10211</v>
      </c>
      <c r="C10886">
        <v>1</v>
      </c>
      <c r="D10886" s="17" t="s">
        <v>17166</v>
      </c>
      <c r="E10886" s="17"/>
      <c r="F10886" s="17" t="s">
        <v>17246</v>
      </c>
      <c r="G10886" s="17"/>
      <c r="H10886" s="17" t="s">
        <v>20919</v>
      </c>
      <c r="I10886" s="17"/>
      <c r="J10886" s="17" t="s">
        <v>21313</v>
      </c>
      <c r="K10886" s="17"/>
      <c r="L10886" s="17" t="s">
        <v>22378</v>
      </c>
      <c r="M10886" s="17"/>
      <c r="N10886" s="17" t="s">
        <v>22459</v>
      </c>
      <c r="O10886" s="17"/>
      <c r="P10886" s="17" t="s">
        <v>45008</v>
      </c>
      <c r="Q10886" s="17"/>
      <c r="R10886" s="25" t="str">
        <f>HYPERLINK("https://ictv.global/taxonomy/taxondetails?taxnode_id=202317327","Hodnevirus pelohabitans")</f>
        <v>Hodnevirus pelohabitans</v>
      </c>
      <c r="S10886" s="18" t="s">
        <v>30</v>
      </c>
      <c r="T10886" s="18" t="s">
        <v>45443</v>
      </c>
      <c r="U10886" s="18"/>
      <c r="V10886" s="18"/>
      <c r="W10886" s="18" t="s">
        <v>45444</v>
      </c>
      <c r="X10886" s="18" t="s">
        <v>35</v>
      </c>
      <c r="Y10886" s="18" t="s">
        <v>17171</v>
      </c>
      <c r="Z10886" s="18" t="s">
        <v>24637</v>
      </c>
      <c r="AA10886" s="21" t="str">
        <f>HYPERLINK("https://www.ncbi.nlm.nih.gov/nuccore/CASDWV010003851","NCBI Nucleotide")</f>
        <v>NCBI Nucleotide</v>
      </c>
    </row>
    <row r="10887" spans="1:27" x14ac:dyDescent="0.35">
      <c r="A10887">
        <v>1027068</v>
      </c>
      <c r="B10887">
        <v>10212</v>
      </c>
      <c r="C10887">
        <v>1</v>
      </c>
      <c r="D10887" s="17" t="s">
        <v>17166</v>
      </c>
      <c r="E10887" s="17"/>
      <c r="F10887" s="17" t="s">
        <v>17246</v>
      </c>
      <c r="G10887" s="17"/>
      <c r="H10887" s="17" t="s">
        <v>20919</v>
      </c>
      <c r="I10887" s="17"/>
      <c r="J10887" s="17" t="s">
        <v>21313</v>
      </c>
      <c r="K10887" s="17"/>
      <c r="L10887" s="17" t="s">
        <v>22378</v>
      </c>
      <c r="M10887" s="17"/>
      <c r="N10887" s="17" t="s">
        <v>22459</v>
      </c>
      <c r="O10887" s="17"/>
      <c r="P10887" s="17" t="s">
        <v>45008</v>
      </c>
      <c r="Q10887" s="17"/>
      <c r="R10887" s="25" t="str">
        <f>HYPERLINK("https://ictv.global/taxonomy/taxondetails?taxnode_id=202317328","Hodnevirus pelovicinum")</f>
        <v>Hodnevirus pelovicinum</v>
      </c>
      <c r="S10887" s="18" t="s">
        <v>30</v>
      </c>
      <c r="T10887" s="18" t="s">
        <v>45445</v>
      </c>
      <c r="U10887" s="18"/>
      <c r="V10887" s="18"/>
      <c r="W10887" s="18" t="s">
        <v>45446</v>
      </c>
      <c r="X10887" s="18" t="s">
        <v>35</v>
      </c>
      <c r="Y10887" s="18" t="s">
        <v>17171</v>
      </c>
      <c r="Z10887" s="18" t="s">
        <v>24637</v>
      </c>
      <c r="AA10887" s="21" t="str">
        <f>HYPERLINK("https://www.ncbi.nlm.nih.gov/nuccore/CASDWV010004627","NCBI Nucleotide")</f>
        <v>NCBI Nucleotide</v>
      </c>
    </row>
    <row r="10888" spans="1:27" x14ac:dyDescent="0.35">
      <c r="A10888">
        <v>1027069</v>
      </c>
      <c r="B10888">
        <v>10213</v>
      </c>
      <c r="C10888">
        <v>1</v>
      </c>
      <c r="D10888" s="17" t="s">
        <v>17166</v>
      </c>
      <c r="E10888" s="17"/>
      <c r="F10888" s="17" t="s">
        <v>17246</v>
      </c>
      <c r="G10888" s="17"/>
      <c r="H10888" s="17" t="s">
        <v>20919</v>
      </c>
      <c r="I10888" s="17"/>
      <c r="J10888" s="17" t="s">
        <v>21313</v>
      </c>
      <c r="K10888" s="17"/>
      <c r="L10888" s="17" t="s">
        <v>22378</v>
      </c>
      <c r="M10888" s="17"/>
      <c r="N10888" s="17" t="s">
        <v>22459</v>
      </c>
      <c r="O10888" s="17"/>
      <c r="P10888" s="17" t="s">
        <v>45008</v>
      </c>
      <c r="Q10888" s="17"/>
      <c r="R10888" s="25" t="str">
        <f>HYPERLINK("https://ictv.global/taxonomy/taxondetails?taxnode_id=202317329","Hodnevirus pelovivens")</f>
        <v>Hodnevirus pelovivens</v>
      </c>
      <c r="S10888" s="18" t="s">
        <v>30</v>
      </c>
      <c r="T10888" s="18" t="s">
        <v>45447</v>
      </c>
      <c r="U10888" s="18"/>
      <c r="V10888" s="18"/>
      <c r="W10888" s="18" t="s">
        <v>45448</v>
      </c>
      <c r="X10888" s="18" t="s">
        <v>35</v>
      </c>
      <c r="Y10888" s="18" t="s">
        <v>17171</v>
      </c>
      <c r="Z10888" s="18" t="s">
        <v>24637</v>
      </c>
      <c r="AA10888" s="21" t="str">
        <f>HYPERLINK("https://www.ncbi.nlm.nih.gov/nuccore/CASDWV010003419","NCBI Nucleotide")</f>
        <v>NCBI Nucleotide</v>
      </c>
    </row>
    <row r="10889" spans="1:27" x14ac:dyDescent="0.35">
      <c r="A10889">
        <v>1027070</v>
      </c>
      <c r="B10889">
        <v>10214</v>
      </c>
      <c r="C10889">
        <v>1</v>
      </c>
      <c r="D10889" s="17" t="s">
        <v>17166</v>
      </c>
      <c r="E10889" s="17"/>
      <c r="F10889" s="17" t="s">
        <v>17246</v>
      </c>
      <c r="G10889" s="17"/>
      <c r="H10889" s="17" t="s">
        <v>20919</v>
      </c>
      <c r="I10889" s="17"/>
      <c r="J10889" s="17" t="s">
        <v>21313</v>
      </c>
      <c r="K10889" s="17"/>
      <c r="L10889" s="17" t="s">
        <v>22378</v>
      </c>
      <c r="M10889" s="17"/>
      <c r="N10889" s="17" t="s">
        <v>22459</v>
      </c>
      <c r="O10889" s="17"/>
      <c r="P10889" s="17" t="s">
        <v>45008</v>
      </c>
      <c r="Q10889" s="17"/>
      <c r="R10889" s="25" t="str">
        <f>HYPERLINK("https://ictv.global/taxonomy/taxondetails?taxnode_id=202317330","Hodnevirus pseudoagrivicinum")</f>
        <v>Hodnevirus pseudoagrivicinum</v>
      </c>
      <c r="S10889" s="18" t="s">
        <v>30</v>
      </c>
      <c r="T10889" s="18" t="s">
        <v>45449</v>
      </c>
      <c r="U10889" s="18"/>
      <c r="V10889" s="18"/>
      <c r="W10889" s="18" t="s">
        <v>45450</v>
      </c>
      <c r="X10889" s="18" t="s">
        <v>35</v>
      </c>
      <c r="Y10889" s="18" t="s">
        <v>17171</v>
      </c>
      <c r="Z10889" s="18" t="s">
        <v>24637</v>
      </c>
      <c r="AA10889" s="21" t="str">
        <f>HYPERLINK("https://www.ncbi.nlm.nih.gov/nuccore/CASDWV010003898","NCBI Nucleotide")</f>
        <v>NCBI Nucleotide</v>
      </c>
    </row>
    <row r="10890" spans="1:27" x14ac:dyDescent="0.35">
      <c r="A10890">
        <v>1027071</v>
      </c>
      <c r="B10890">
        <v>10215</v>
      </c>
      <c r="C10890">
        <v>1</v>
      </c>
      <c r="D10890" s="17" t="s">
        <v>17166</v>
      </c>
      <c r="E10890" s="17"/>
      <c r="F10890" s="17" t="s">
        <v>17246</v>
      </c>
      <c r="G10890" s="17"/>
      <c r="H10890" s="17" t="s">
        <v>20919</v>
      </c>
      <c r="I10890" s="17"/>
      <c r="J10890" s="17" t="s">
        <v>21313</v>
      </c>
      <c r="K10890" s="17"/>
      <c r="L10890" s="17" t="s">
        <v>22378</v>
      </c>
      <c r="M10890" s="17"/>
      <c r="N10890" s="17" t="s">
        <v>22459</v>
      </c>
      <c r="O10890" s="17"/>
      <c r="P10890" s="17" t="s">
        <v>45008</v>
      </c>
      <c r="Q10890" s="17"/>
      <c r="R10890" s="25" t="str">
        <f>HYPERLINK("https://ictv.global/taxonomy/taxondetails?taxnode_id=202317331","Hodnevirus pseudoarvadaptatum")</f>
        <v>Hodnevirus pseudoarvadaptatum</v>
      </c>
      <c r="S10890" s="18" t="s">
        <v>30</v>
      </c>
      <c r="T10890" s="18" t="s">
        <v>45451</v>
      </c>
      <c r="U10890" s="18"/>
      <c r="V10890" s="18"/>
      <c r="W10890" s="18" t="s">
        <v>45452</v>
      </c>
      <c r="X10890" s="18" t="s">
        <v>35</v>
      </c>
      <c r="Y10890" s="18" t="s">
        <v>17171</v>
      </c>
      <c r="Z10890" s="18" t="s">
        <v>24637</v>
      </c>
      <c r="AA10890" s="21" t="str">
        <f>HYPERLINK("https://www.ncbi.nlm.nih.gov/nuccore/CASDWV010003575","NCBI Nucleotide")</f>
        <v>NCBI Nucleotide</v>
      </c>
    </row>
    <row r="10891" spans="1:27" x14ac:dyDescent="0.35">
      <c r="A10891">
        <v>1027072</v>
      </c>
      <c r="B10891">
        <v>10216</v>
      </c>
      <c r="C10891">
        <v>1</v>
      </c>
      <c r="D10891" s="17" t="s">
        <v>17166</v>
      </c>
      <c r="E10891" s="17"/>
      <c r="F10891" s="17" t="s">
        <v>17246</v>
      </c>
      <c r="G10891" s="17"/>
      <c r="H10891" s="17" t="s">
        <v>20919</v>
      </c>
      <c r="I10891" s="17"/>
      <c r="J10891" s="17" t="s">
        <v>21313</v>
      </c>
      <c r="K10891" s="17"/>
      <c r="L10891" s="17" t="s">
        <v>22378</v>
      </c>
      <c r="M10891" s="17"/>
      <c r="N10891" s="17" t="s">
        <v>22459</v>
      </c>
      <c r="O10891" s="17"/>
      <c r="P10891" s="17" t="s">
        <v>45008</v>
      </c>
      <c r="Q10891" s="17"/>
      <c r="R10891" s="25" t="str">
        <f>HYPERLINK("https://ictv.global/taxonomy/taxondetails?taxnode_id=202317332","Hodnevirus pseudoarvenecus")</f>
        <v>Hodnevirus pseudoarvenecus</v>
      </c>
      <c r="S10891" s="18" t="s">
        <v>30</v>
      </c>
      <c r="T10891" s="18" t="s">
        <v>45453</v>
      </c>
      <c r="U10891" s="18"/>
      <c r="V10891" s="18"/>
      <c r="W10891" s="18" t="s">
        <v>45454</v>
      </c>
      <c r="X10891" s="18" t="s">
        <v>35</v>
      </c>
      <c r="Y10891" s="18" t="s">
        <v>17171</v>
      </c>
      <c r="Z10891" s="18" t="s">
        <v>24637</v>
      </c>
      <c r="AA10891" s="21" t="str">
        <f>HYPERLINK("https://www.ncbi.nlm.nih.gov/nuccore/CASDWV010003981","NCBI Nucleotide")</f>
        <v>NCBI Nucleotide</v>
      </c>
    </row>
    <row r="10892" spans="1:27" x14ac:dyDescent="0.35">
      <c r="A10892">
        <v>1027073</v>
      </c>
      <c r="B10892">
        <v>10217</v>
      </c>
      <c r="C10892">
        <v>1</v>
      </c>
      <c r="D10892" s="17" t="s">
        <v>17166</v>
      </c>
      <c r="E10892" s="17"/>
      <c r="F10892" s="17" t="s">
        <v>17246</v>
      </c>
      <c r="G10892" s="17"/>
      <c r="H10892" s="17" t="s">
        <v>20919</v>
      </c>
      <c r="I10892" s="17"/>
      <c r="J10892" s="17" t="s">
        <v>21313</v>
      </c>
      <c r="K10892" s="17"/>
      <c r="L10892" s="17" t="s">
        <v>22378</v>
      </c>
      <c r="M10892" s="17"/>
      <c r="N10892" s="17" t="s">
        <v>22459</v>
      </c>
      <c r="O10892" s="17"/>
      <c r="P10892" s="17" t="s">
        <v>45008</v>
      </c>
      <c r="Q10892" s="17"/>
      <c r="R10892" s="25" t="str">
        <f>HYPERLINK("https://ictv.global/taxonomy/taxondetails?taxnode_id=202317333","Hodnevirus pseudoarvicola")</f>
        <v>Hodnevirus pseudoarvicola</v>
      </c>
      <c r="S10892" s="18" t="s">
        <v>30</v>
      </c>
      <c r="T10892" s="18" t="s">
        <v>45455</v>
      </c>
      <c r="U10892" s="18"/>
      <c r="V10892" s="18"/>
      <c r="W10892" s="18" t="s">
        <v>45456</v>
      </c>
      <c r="X10892" s="18" t="s">
        <v>35</v>
      </c>
      <c r="Y10892" s="18" t="s">
        <v>17171</v>
      </c>
      <c r="Z10892" s="18" t="s">
        <v>24637</v>
      </c>
      <c r="AA10892" s="21" t="str">
        <f>HYPERLINK("https://www.ncbi.nlm.nih.gov/nuccore/CASDWV010001056","NCBI Nucleotide")</f>
        <v>NCBI Nucleotide</v>
      </c>
    </row>
    <row r="10893" spans="1:27" x14ac:dyDescent="0.35">
      <c r="A10893">
        <v>1027074</v>
      </c>
      <c r="B10893">
        <v>10218</v>
      </c>
      <c r="C10893">
        <v>1</v>
      </c>
      <c r="D10893" s="17" t="s">
        <v>17166</v>
      </c>
      <c r="E10893" s="17"/>
      <c r="F10893" s="17" t="s">
        <v>17246</v>
      </c>
      <c r="G10893" s="17"/>
      <c r="H10893" s="17" t="s">
        <v>20919</v>
      </c>
      <c r="I10893" s="17"/>
      <c r="J10893" s="17" t="s">
        <v>21313</v>
      </c>
      <c r="K10893" s="17"/>
      <c r="L10893" s="17" t="s">
        <v>22378</v>
      </c>
      <c r="M10893" s="17"/>
      <c r="N10893" s="17" t="s">
        <v>22459</v>
      </c>
      <c r="O10893" s="17"/>
      <c r="P10893" s="17" t="s">
        <v>45008</v>
      </c>
      <c r="Q10893" s="17"/>
      <c r="R10893" s="25" t="str">
        <f>HYPERLINK("https://ictv.global/taxonomy/taxondetails?taxnode_id=202317334","Hodnevirus pseudoarvihabitans")</f>
        <v>Hodnevirus pseudoarvihabitans</v>
      </c>
      <c r="S10893" s="18" t="s">
        <v>30</v>
      </c>
      <c r="T10893" s="18" t="s">
        <v>45457</v>
      </c>
      <c r="U10893" s="18"/>
      <c r="V10893" s="18"/>
      <c r="W10893" s="18" t="s">
        <v>45458</v>
      </c>
      <c r="X10893" s="18" t="s">
        <v>35</v>
      </c>
      <c r="Y10893" s="18" t="s">
        <v>17171</v>
      </c>
      <c r="Z10893" s="18" t="s">
        <v>24637</v>
      </c>
      <c r="AA10893" s="21" t="str">
        <f>HYPERLINK("https://www.ncbi.nlm.nih.gov/nuccore/CASDWV010002505","NCBI Nucleotide")</f>
        <v>NCBI Nucleotide</v>
      </c>
    </row>
    <row r="10894" spans="1:27" x14ac:dyDescent="0.35">
      <c r="A10894">
        <v>1027075</v>
      </c>
      <c r="B10894">
        <v>10219</v>
      </c>
      <c r="C10894">
        <v>1</v>
      </c>
      <c r="D10894" s="17" t="s">
        <v>17166</v>
      </c>
      <c r="E10894" s="17"/>
      <c r="F10894" s="17" t="s">
        <v>17246</v>
      </c>
      <c r="G10894" s="17"/>
      <c r="H10894" s="17" t="s">
        <v>20919</v>
      </c>
      <c r="I10894" s="17"/>
      <c r="J10894" s="17" t="s">
        <v>21313</v>
      </c>
      <c r="K10894" s="17"/>
      <c r="L10894" s="17" t="s">
        <v>22378</v>
      </c>
      <c r="M10894" s="17"/>
      <c r="N10894" s="17" t="s">
        <v>22459</v>
      </c>
      <c r="O10894" s="17"/>
      <c r="P10894" s="17" t="s">
        <v>45008</v>
      </c>
      <c r="Q10894" s="17"/>
      <c r="R10894" s="25" t="str">
        <f>HYPERLINK("https://ictv.global/taxonomy/taxondetails?taxnode_id=202317335","Hodnevirus pseudoarvivicinum")</f>
        <v>Hodnevirus pseudoarvivicinum</v>
      </c>
      <c r="S10894" s="18" t="s">
        <v>30</v>
      </c>
      <c r="T10894" s="18" t="s">
        <v>45459</v>
      </c>
      <c r="U10894" s="18"/>
      <c r="V10894" s="18"/>
      <c r="W10894" s="18" t="s">
        <v>45460</v>
      </c>
      <c r="X10894" s="18" t="s">
        <v>35</v>
      </c>
      <c r="Y10894" s="18" t="s">
        <v>17171</v>
      </c>
      <c r="Z10894" s="18" t="s">
        <v>24637</v>
      </c>
      <c r="AA10894" s="21" t="str">
        <f>HYPERLINK("https://www.ncbi.nlm.nih.gov/nuccore/CASDWV010004046","NCBI Nucleotide")</f>
        <v>NCBI Nucleotide</v>
      </c>
    </row>
    <row r="10895" spans="1:27" x14ac:dyDescent="0.35">
      <c r="A10895">
        <v>1027076</v>
      </c>
      <c r="B10895">
        <v>10220</v>
      </c>
      <c r="C10895">
        <v>1</v>
      </c>
      <c r="D10895" s="17" t="s">
        <v>17166</v>
      </c>
      <c r="E10895" s="17"/>
      <c r="F10895" s="17" t="s">
        <v>17246</v>
      </c>
      <c r="G10895" s="17"/>
      <c r="H10895" s="17" t="s">
        <v>20919</v>
      </c>
      <c r="I10895" s="17"/>
      <c r="J10895" s="17" t="s">
        <v>21313</v>
      </c>
      <c r="K10895" s="17"/>
      <c r="L10895" s="17" t="s">
        <v>22378</v>
      </c>
      <c r="M10895" s="17"/>
      <c r="N10895" s="17" t="s">
        <v>22459</v>
      </c>
      <c r="O10895" s="17"/>
      <c r="P10895" s="17" t="s">
        <v>45008</v>
      </c>
      <c r="Q10895" s="17"/>
      <c r="R10895" s="25" t="str">
        <f>HYPERLINK("https://ictv.global/taxonomy/taxondetails?taxnode_id=202317336","Hodnevirus pseudoarvivivens")</f>
        <v>Hodnevirus pseudoarvivivens</v>
      </c>
      <c r="S10895" s="18" t="s">
        <v>30</v>
      </c>
      <c r="T10895" s="18" t="s">
        <v>45461</v>
      </c>
      <c r="U10895" s="18"/>
      <c r="V10895" s="18"/>
      <c r="W10895" s="18" t="s">
        <v>45462</v>
      </c>
      <c r="X10895" s="18" t="s">
        <v>35</v>
      </c>
      <c r="Y10895" s="18" t="s">
        <v>17171</v>
      </c>
      <c r="Z10895" s="18" t="s">
        <v>24637</v>
      </c>
      <c r="AA10895" s="21" t="str">
        <f>HYPERLINK("https://www.ncbi.nlm.nih.gov/nuccore/CASDWV010000178","NCBI Nucleotide")</f>
        <v>NCBI Nucleotide</v>
      </c>
    </row>
    <row r="10896" spans="1:27" x14ac:dyDescent="0.35">
      <c r="A10896">
        <v>1027077</v>
      </c>
      <c r="B10896">
        <v>10221</v>
      </c>
      <c r="C10896">
        <v>1</v>
      </c>
      <c r="D10896" s="17" t="s">
        <v>17166</v>
      </c>
      <c r="E10896" s="17"/>
      <c r="F10896" s="17" t="s">
        <v>17246</v>
      </c>
      <c r="G10896" s="17"/>
      <c r="H10896" s="17" t="s">
        <v>20919</v>
      </c>
      <c r="I10896" s="17"/>
      <c r="J10896" s="17" t="s">
        <v>21313</v>
      </c>
      <c r="K10896" s="17"/>
      <c r="L10896" s="17" t="s">
        <v>22378</v>
      </c>
      <c r="M10896" s="17"/>
      <c r="N10896" s="17" t="s">
        <v>22459</v>
      </c>
      <c r="O10896" s="17"/>
      <c r="P10896" s="17" t="s">
        <v>45008</v>
      </c>
      <c r="Q10896" s="17"/>
      <c r="R10896" s="25" t="str">
        <f>HYPERLINK("https://ictv.global/taxonomy/taxondetails?taxnode_id=202317337","Hodnevirus pseudoasiadaptatum")</f>
        <v>Hodnevirus pseudoasiadaptatum</v>
      </c>
      <c r="S10896" s="18" t="s">
        <v>30</v>
      </c>
      <c r="T10896" s="18" t="s">
        <v>45463</v>
      </c>
      <c r="U10896" s="18"/>
      <c r="V10896" s="18"/>
      <c r="W10896" s="18" t="s">
        <v>45464</v>
      </c>
      <c r="X10896" s="18" t="s">
        <v>35</v>
      </c>
      <c r="Y10896" s="18" t="s">
        <v>17171</v>
      </c>
      <c r="Z10896" s="18" t="s">
        <v>24637</v>
      </c>
      <c r="AA10896" s="21" t="str">
        <f>HYPERLINK("https://www.ncbi.nlm.nih.gov/nuccore/CASDWV010002748","NCBI Nucleotide")</f>
        <v>NCBI Nucleotide</v>
      </c>
    </row>
    <row r="10897" spans="1:27" x14ac:dyDescent="0.35">
      <c r="A10897">
        <v>1027078</v>
      </c>
      <c r="B10897">
        <v>10222</v>
      </c>
      <c r="C10897">
        <v>1</v>
      </c>
      <c r="D10897" s="17" t="s">
        <v>17166</v>
      </c>
      <c r="E10897" s="17"/>
      <c r="F10897" s="17" t="s">
        <v>17246</v>
      </c>
      <c r="G10897" s="17"/>
      <c r="H10897" s="17" t="s">
        <v>20919</v>
      </c>
      <c r="I10897" s="17"/>
      <c r="J10897" s="17" t="s">
        <v>21313</v>
      </c>
      <c r="K10897" s="17"/>
      <c r="L10897" s="17" t="s">
        <v>22378</v>
      </c>
      <c r="M10897" s="17"/>
      <c r="N10897" s="17" t="s">
        <v>22459</v>
      </c>
      <c r="O10897" s="17"/>
      <c r="P10897" s="17" t="s">
        <v>45008</v>
      </c>
      <c r="Q10897" s="17"/>
      <c r="R10897" s="25" t="str">
        <f>HYPERLINK("https://ictv.global/taxonomy/taxondetails?taxnode_id=202317338","Hodnevirus pseudoasiocola")</f>
        <v>Hodnevirus pseudoasiocola</v>
      </c>
      <c r="S10897" s="18" t="s">
        <v>30</v>
      </c>
      <c r="T10897" s="18" t="s">
        <v>45465</v>
      </c>
      <c r="U10897" s="18"/>
      <c r="V10897" s="18"/>
      <c r="W10897" s="18" t="s">
        <v>45466</v>
      </c>
      <c r="X10897" s="18" t="s">
        <v>35</v>
      </c>
      <c r="Y10897" s="18" t="s">
        <v>17171</v>
      </c>
      <c r="Z10897" s="18" t="s">
        <v>24637</v>
      </c>
      <c r="AA10897" s="21" t="str">
        <f>HYPERLINK("https://www.ncbi.nlm.nih.gov/nuccore/CASDWV010003278","NCBI Nucleotide")</f>
        <v>NCBI Nucleotide</v>
      </c>
    </row>
    <row r="10898" spans="1:27" x14ac:dyDescent="0.35">
      <c r="A10898">
        <v>1027079</v>
      </c>
      <c r="B10898">
        <v>10223</v>
      </c>
      <c r="C10898">
        <v>1</v>
      </c>
      <c r="D10898" s="17" t="s">
        <v>17166</v>
      </c>
      <c r="E10898" s="17"/>
      <c r="F10898" s="17" t="s">
        <v>17246</v>
      </c>
      <c r="G10898" s="17"/>
      <c r="H10898" s="17" t="s">
        <v>20919</v>
      </c>
      <c r="I10898" s="17"/>
      <c r="J10898" s="17" t="s">
        <v>21313</v>
      </c>
      <c r="K10898" s="17"/>
      <c r="L10898" s="17" t="s">
        <v>22378</v>
      </c>
      <c r="M10898" s="17"/>
      <c r="N10898" s="17" t="s">
        <v>22459</v>
      </c>
      <c r="O10898" s="17"/>
      <c r="P10898" s="17" t="s">
        <v>45008</v>
      </c>
      <c r="Q10898" s="17"/>
      <c r="R10898" s="25" t="str">
        <f>HYPERLINK("https://ictv.global/taxonomy/taxondetails?taxnode_id=202317339","Hodnevirus pseudoasiovicinum")</f>
        <v>Hodnevirus pseudoasiovicinum</v>
      </c>
      <c r="S10898" s="18" t="s">
        <v>30</v>
      </c>
      <c r="T10898" s="18" t="s">
        <v>45467</v>
      </c>
      <c r="U10898" s="18"/>
      <c r="V10898" s="18"/>
      <c r="W10898" s="18" t="s">
        <v>45468</v>
      </c>
      <c r="X10898" s="18" t="s">
        <v>35</v>
      </c>
      <c r="Y10898" s="18" t="s">
        <v>17171</v>
      </c>
      <c r="Z10898" s="18" t="s">
        <v>24637</v>
      </c>
      <c r="AA10898" s="21" t="str">
        <f>HYPERLINK("https://www.ncbi.nlm.nih.gov/nuccore/CASDWV010002941","NCBI Nucleotide")</f>
        <v>NCBI Nucleotide</v>
      </c>
    </row>
    <row r="10899" spans="1:27" x14ac:dyDescent="0.35">
      <c r="A10899">
        <v>1027080</v>
      </c>
      <c r="B10899">
        <v>10224</v>
      </c>
      <c r="C10899">
        <v>1</v>
      </c>
      <c r="D10899" s="17" t="s">
        <v>17166</v>
      </c>
      <c r="E10899" s="17"/>
      <c r="F10899" s="17" t="s">
        <v>17246</v>
      </c>
      <c r="G10899" s="17"/>
      <c r="H10899" s="17" t="s">
        <v>20919</v>
      </c>
      <c r="I10899" s="17"/>
      <c r="J10899" s="17" t="s">
        <v>21313</v>
      </c>
      <c r="K10899" s="17"/>
      <c r="L10899" s="17" t="s">
        <v>22378</v>
      </c>
      <c r="M10899" s="17"/>
      <c r="N10899" s="17" t="s">
        <v>22459</v>
      </c>
      <c r="O10899" s="17"/>
      <c r="P10899" s="17" t="s">
        <v>45008</v>
      </c>
      <c r="Q10899" s="17"/>
      <c r="R10899" s="25" t="str">
        <f>HYPERLINK("https://ictv.global/taxonomy/taxondetails?taxnode_id=202317340","Hodnevirus pseudoasiovivens")</f>
        <v>Hodnevirus pseudoasiovivens</v>
      </c>
      <c r="S10899" s="18" t="s">
        <v>30</v>
      </c>
      <c r="T10899" s="18" t="s">
        <v>45469</v>
      </c>
      <c r="U10899" s="18"/>
      <c r="V10899" s="18"/>
      <c r="W10899" s="18" t="s">
        <v>45470</v>
      </c>
      <c r="X10899" s="18" t="s">
        <v>35</v>
      </c>
      <c r="Y10899" s="18" t="s">
        <v>17171</v>
      </c>
      <c r="Z10899" s="18" t="s">
        <v>24637</v>
      </c>
      <c r="AA10899" s="21" t="str">
        <f>HYPERLINK("https://www.ncbi.nlm.nih.gov/nuccore/CASDWV010001705","NCBI Nucleotide")</f>
        <v>NCBI Nucleotide</v>
      </c>
    </row>
    <row r="10900" spans="1:27" x14ac:dyDescent="0.35">
      <c r="A10900">
        <v>1027081</v>
      </c>
      <c r="B10900">
        <v>10225</v>
      </c>
      <c r="C10900">
        <v>1</v>
      </c>
      <c r="D10900" s="17" t="s">
        <v>17166</v>
      </c>
      <c r="E10900" s="17"/>
      <c r="F10900" s="17" t="s">
        <v>17246</v>
      </c>
      <c r="G10900" s="17"/>
      <c r="H10900" s="17" t="s">
        <v>20919</v>
      </c>
      <c r="I10900" s="17"/>
      <c r="J10900" s="17" t="s">
        <v>21313</v>
      </c>
      <c r="K10900" s="17"/>
      <c r="L10900" s="17" t="s">
        <v>22378</v>
      </c>
      <c r="M10900" s="17"/>
      <c r="N10900" s="17" t="s">
        <v>22459</v>
      </c>
      <c r="O10900" s="17"/>
      <c r="P10900" s="17" t="s">
        <v>45008</v>
      </c>
      <c r="Q10900" s="17"/>
      <c r="R10900" s="25" t="str">
        <f>HYPERLINK("https://ictv.global/taxonomy/taxondetails?taxnode_id=202317341","Hodnevirus pseudocaenadaptatum")</f>
        <v>Hodnevirus pseudocaenadaptatum</v>
      </c>
      <c r="S10900" s="18" t="s">
        <v>30</v>
      </c>
      <c r="T10900" s="18" t="s">
        <v>45471</v>
      </c>
      <c r="U10900" s="18"/>
      <c r="V10900" s="18"/>
      <c r="W10900" s="18" t="s">
        <v>45472</v>
      </c>
      <c r="X10900" s="18" t="s">
        <v>35</v>
      </c>
      <c r="Y10900" s="18" t="s">
        <v>17171</v>
      </c>
      <c r="Z10900" s="18" t="s">
        <v>24637</v>
      </c>
      <c r="AA10900" s="21" t="str">
        <f>HYPERLINK("https://www.ncbi.nlm.nih.gov/nuccore/CASDWV010003145","NCBI Nucleotide")</f>
        <v>NCBI Nucleotide</v>
      </c>
    </row>
    <row r="10901" spans="1:27" x14ac:dyDescent="0.35">
      <c r="A10901">
        <v>1027082</v>
      </c>
      <c r="B10901">
        <v>10226</v>
      </c>
      <c r="C10901">
        <v>1</v>
      </c>
      <c r="D10901" s="17" t="s">
        <v>17166</v>
      </c>
      <c r="E10901" s="17"/>
      <c r="F10901" s="17" t="s">
        <v>17246</v>
      </c>
      <c r="G10901" s="17"/>
      <c r="H10901" s="17" t="s">
        <v>20919</v>
      </c>
      <c r="I10901" s="17"/>
      <c r="J10901" s="17" t="s">
        <v>21313</v>
      </c>
      <c r="K10901" s="17"/>
      <c r="L10901" s="17" t="s">
        <v>22378</v>
      </c>
      <c r="M10901" s="17"/>
      <c r="N10901" s="17" t="s">
        <v>22459</v>
      </c>
      <c r="O10901" s="17"/>
      <c r="P10901" s="17" t="s">
        <v>45008</v>
      </c>
      <c r="Q10901" s="17"/>
      <c r="R10901" s="25" t="str">
        <f>HYPERLINK("https://ictv.global/taxonomy/taxondetails?taxnode_id=202317342","Hodnevirus pseudocaenicola")</f>
        <v>Hodnevirus pseudocaenicola</v>
      </c>
      <c r="S10901" s="18" t="s">
        <v>30</v>
      </c>
      <c r="T10901" s="18" t="s">
        <v>45473</v>
      </c>
      <c r="U10901" s="18"/>
      <c r="V10901" s="18"/>
      <c r="W10901" s="18" t="s">
        <v>45474</v>
      </c>
      <c r="X10901" s="18" t="s">
        <v>35</v>
      </c>
      <c r="Y10901" s="18" t="s">
        <v>17171</v>
      </c>
      <c r="Z10901" s="18" t="s">
        <v>24637</v>
      </c>
      <c r="AA10901" s="21" t="str">
        <f>HYPERLINK("https://www.ncbi.nlm.nih.gov/nuccore/CASDWV010004040","NCBI Nucleotide")</f>
        <v>NCBI Nucleotide</v>
      </c>
    </row>
    <row r="10902" spans="1:27" x14ac:dyDescent="0.35">
      <c r="A10902">
        <v>1027083</v>
      </c>
      <c r="B10902">
        <v>10227</v>
      </c>
      <c r="C10902">
        <v>1</v>
      </c>
      <c r="D10902" s="17" t="s">
        <v>17166</v>
      </c>
      <c r="E10902" s="17"/>
      <c r="F10902" s="17" t="s">
        <v>17246</v>
      </c>
      <c r="G10902" s="17"/>
      <c r="H10902" s="17" t="s">
        <v>20919</v>
      </c>
      <c r="I10902" s="17"/>
      <c r="J10902" s="17" t="s">
        <v>21313</v>
      </c>
      <c r="K10902" s="17"/>
      <c r="L10902" s="17" t="s">
        <v>22378</v>
      </c>
      <c r="M10902" s="17"/>
      <c r="N10902" s="17" t="s">
        <v>22459</v>
      </c>
      <c r="O10902" s="17"/>
      <c r="P10902" s="17" t="s">
        <v>45008</v>
      </c>
      <c r="Q10902" s="17"/>
      <c r="R10902" s="25" t="str">
        <f>HYPERLINK("https://ictv.global/taxonomy/taxondetails?taxnode_id=202317343","Hodnevirus pseudocaenihabitans")</f>
        <v>Hodnevirus pseudocaenihabitans</v>
      </c>
      <c r="S10902" s="18" t="s">
        <v>30</v>
      </c>
      <c r="T10902" s="18" t="s">
        <v>45475</v>
      </c>
      <c r="U10902" s="18"/>
      <c r="V10902" s="18"/>
      <c r="W10902" s="18" t="s">
        <v>45476</v>
      </c>
      <c r="X10902" s="18" t="s">
        <v>35</v>
      </c>
      <c r="Y10902" s="18" t="s">
        <v>17171</v>
      </c>
      <c r="Z10902" s="18" t="s">
        <v>24637</v>
      </c>
      <c r="AA10902" s="21" t="str">
        <f>HYPERLINK("https://www.ncbi.nlm.nih.gov/nuccore/CASDWV010002959","NCBI Nucleotide")</f>
        <v>NCBI Nucleotide</v>
      </c>
    </row>
    <row r="10903" spans="1:27" x14ac:dyDescent="0.35">
      <c r="A10903">
        <v>1027084</v>
      </c>
      <c r="B10903">
        <v>10228</v>
      </c>
      <c r="C10903">
        <v>1</v>
      </c>
      <c r="D10903" s="17" t="s">
        <v>17166</v>
      </c>
      <c r="E10903" s="17"/>
      <c r="F10903" s="17" t="s">
        <v>17246</v>
      </c>
      <c r="G10903" s="17"/>
      <c r="H10903" s="17" t="s">
        <v>20919</v>
      </c>
      <c r="I10903" s="17"/>
      <c r="J10903" s="17" t="s">
        <v>21313</v>
      </c>
      <c r="K10903" s="17"/>
      <c r="L10903" s="17" t="s">
        <v>22378</v>
      </c>
      <c r="M10903" s="17"/>
      <c r="N10903" s="17" t="s">
        <v>22459</v>
      </c>
      <c r="O10903" s="17"/>
      <c r="P10903" s="17" t="s">
        <v>45008</v>
      </c>
      <c r="Q10903" s="17"/>
      <c r="R10903" s="25" t="str">
        <f>HYPERLINK("https://ictv.global/taxonomy/taxondetails?taxnode_id=202317344","Hodnevirus pseudocaenivivens")</f>
        <v>Hodnevirus pseudocaenivivens</v>
      </c>
      <c r="S10903" s="18" t="s">
        <v>30</v>
      </c>
      <c r="T10903" s="18" t="s">
        <v>45477</v>
      </c>
      <c r="U10903" s="18"/>
      <c r="V10903" s="18"/>
      <c r="W10903" s="18" t="s">
        <v>45478</v>
      </c>
      <c r="X10903" s="18" t="s">
        <v>35</v>
      </c>
      <c r="Y10903" s="18" t="s">
        <v>17171</v>
      </c>
      <c r="Z10903" s="18" t="s">
        <v>24637</v>
      </c>
      <c r="AA10903" s="21" t="str">
        <f>HYPERLINK("https://www.ncbi.nlm.nih.gov/nuccore/CASDWV010001299","NCBI Nucleotide")</f>
        <v>NCBI Nucleotide</v>
      </c>
    </row>
    <row r="10904" spans="1:27" x14ac:dyDescent="0.35">
      <c r="A10904">
        <v>1027085</v>
      </c>
      <c r="B10904">
        <v>10229</v>
      </c>
      <c r="C10904">
        <v>1</v>
      </c>
      <c r="D10904" s="17" t="s">
        <v>17166</v>
      </c>
      <c r="E10904" s="17"/>
      <c r="F10904" s="17" t="s">
        <v>17246</v>
      </c>
      <c r="G10904" s="17"/>
      <c r="H10904" s="17" t="s">
        <v>20919</v>
      </c>
      <c r="I10904" s="17"/>
      <c r="J10904" s="17" t="s">
        <v>21313</v>
      </c>
      <c r="K10904" s="17"/>
      <c r="L10904" s="17" t="s">
        <v>22378</v>
      </c>
      <c r="M10904" s="17"/>
      <c r="N10904" s="17" t="s">
        <v>22459</v>
      </c>
      <c r="O10904" s="17"/>
      <c r="P10904" s="17" t="s">
        <v>45008</v>
      </c>
      <c r="Q10904" s="17"/>
      <c r="R10904" s="25" t="str">
        <f>HYPERLINK("https://ictv.global/taxonomy/taxondetails?taxnode_id=202317345","Hodnevirus pseudochoradaptatum")</f>
        <v>Hodnevirus pseudochoradaptatum</v>
      </c>
      <c r="S10904" s="18" t="s">
        <v>30</v>
      </c>
      <c r="T10904" s="18" t="s">
        <v>45479</v>
      </c>
      <c r="U10904" s="18"/>
      <c r="V10904" s="18"/>
      <c r="W10904" s="18" t="s">
        <v>45480</v>
      </c>
      <c r="X10904" s="18" t="s">
        <v>35</v>
      </c>
      <c r="Y10904" s="18" t="s">
        <v>17171</v>
      </c>
      <c r="Z10904" s="18" t="s">
        <v>24637</v>
      </c>
      <c r="AA10904" s="21" t="str">
        <f>HYPERLINK("https://www.ncbi.nlm.nih.gov/nuccore/CASDWV010003036","NCBI Nucleotide")</f>
        <v>NCBI Nucleotide</v>
      </c>
    </row>
    <row r="10905" spans="1:27" x14ac:dyDescent="0.35">
      <c r="A10905">
        <v>1027086</v>
      </c>
      <c r="B10905">
        <v>10230</v>
      </c>
      <c r="C10905">
        <v>1</v>
      </c>
      <c r="D10905" s="17" t="s">
        <v>17166</v>
      </c>
      <c r="E10905" s="17"/>
      <c r="F10905" s="17" t="s">
        <v>17246</v>
      </c>
      <c r="G10905" s="17"/>
      <c r="H10905" s="17" t="s">
        <v>20919</v>
      </c>
      <c r="I10905" s="17"/>
      <c r="J10905" s="17" t="s">
        <v>21313</v>
      </c>
      <c r="K10905" s="17"/>
      <c r="L10905" s="17" t="s">
        <v>22378</v>
      </c>
      <c r="M10905" s="17"/>
      <c r="N10905" s="17" t="s">
        <v>22459</v>
      </c>
      <c r="O10905" s="17"/>
      <c r="P10905" s="17" t="s">
        <v>45008</v>
      </c>
      <c r="Q10905" s="17"/>
      <c r="R10905" s="25" t="str">
        <f>HYPERLINK("https://ictv.global/taxonomy/taxondetails?taxnode_id=202317346","Hodnevirus pseudochorenecus")</f>
        <v>Hodnevirus pseudochorenecus</v>
      </c>
      <c r="S10905" s="18" t="s">
        <v>30</v>
      </c>
      <c r="T10905" s="18" t="s">
        <v>45481</v>
      </c>
      <c r="U10905" s="18"/>
      <c r="V10905" s="18"/>
      <c r="W10905" s="18" t="s">
        <v>45482</v>
      </c>
      <c r="X10905" s="18" t="s">
        <v>35</v>
      </c>
      <c r="Y10905" s="18" t="s">
        <v>17171</v>
      </c>
      <c r="Z10905" s="18" t="s">
        <v>24637</v>
      </c>
      <c r="AA10905" s="21" t="str">
        <f>HYPERLINK("https://www.ncbi.nlm.nih.gov/nuccore/CASDWV010000243","NCBI Nucleotide")</f>
        <v>NCBI Nucleotide</v>
      </c>
    </row>
    <row r="10906" spans="1:27" x14ac:dyDescent="0.35">
      <c r="A10906">
        <v>1027087</v>
      </c>
      <c r="B10906">
        <v>10231</v>
      </c>
      <c r="C10906">
        <v>1</v>
      </c>
      <c r="D10906" s="17" t="s">
        <v>17166</v>
      </c>
      <c r="E10906" s="17"/>
      <c r="F10906" s="17" t="s">
        <v>17246</v>
      </c>
      <c r="G10906" s="17"/>
      <c r="H10906" s="17" t="s">
        <v>20919</v>
      </c>
      <c r="I10906" s="17"/>
      <c r="J10906" s="17" t="s">
        <v>21313</v>
      </c>
      <c r="K10906" s="17"/>
      <c r="L10906" s="17" t="s">
        <v>22378</v>
      </c>
      <c r="M10906" s="17"/>
      <c r="N10906" s="17" t="s">
        <v>22459</v>
      </c>
      <c r="O10906" s="17"/>
      <c r="P10906" s="17" t="s">
        <v>45008</v>
      </c>
      <c r="Q10906" s="17"/>
      <c r="R10906" s="25" t="str">
        <f>HYPERLINK("https://ictv.global/taxonomy/taxondetails?taxnode_id=202317347","Hodnevirus pseudochorocola")</f>
        <v>Hodnevirus pseudochorocola</v>
      </c>
      <c r="S10906" s="18" t="s">
        <v>30</v>
      </c>
      <c r="T10906" s="18" t="s">
        <v>45483</v>
      </c>
      <c r="U10906" s="18"/>
      <c r="V10906" s="18"/>
      <c r="W10906" s="18" t="s">
        <v>45484</v>
      </c>
      <c r="X10906" s="18" t="s">
        <v>35</v>
      </c>
      <c r="Y10906" s="18" t="s">
        <v>17171</v>
      </c>
      <c r="Z10906" s="18" t="s">
        <v>24637</v>
      </c>
      <c r="AA10906" s="21" t="str">
        <f>HYPERLINK("https://www.ncbi.nlm.nih.gov/nuccore/CASDWV010002167","NCBI Nucleotide")</f>
        <v>NCBI Nucleotide</v>
      </c>
    </row>
    <row r="10907" spans="1:27" x14ac:dyDescent="0.35">
      <c r="A10907">
        <v>1027088</v>
      </c>
      <c r="B10907">
        <v>10232</v>
      </c>
      <c r="C10907">
        <v>1</v>
      </c>
      <c r="D10907" s="17" t="s">
        <v>17166</v>
      </c>
      <c r="E10907" s="17"/>
      <c r="F10907" s="17" t="s">
        <v>17246</v>
      </c>
      <c r="G10907" s="17"/>
      <c r="H10907" s="17" t="s">
        <v>20919</v>
      </c>
      <c r="I10907" s="17"/>
      <c r="J10907" s="17" t="s">
        <v>21313</v>
      </c>
      <c r="K10907" s="17"/>
      <c r="L10907" s="17" t="s">
        <v>22378</v>
      </c>
      <c r="M10907" s="17"/>
      <c r="N10907" s="17" t="s">
        <v>22459</v>
      </c>
      <c r="O10907" s="17"/>
      <c r="P10907" s="17" t="s">
        <v>45008</v>
      </c>
      <c r="Q10907" s="17"/>
      <c r="R10907" s="25" t="str">
        <f>HYPERLINK("https://ictv.global/taxonomy/taxondetails?taxnode_id=202317348","Hodnevirus pseudochorohabitans")</f>
        <v>Hodnevirus pseudochorohabitans</v>
      </c>
      <c r="S10907" s="18" t="s">
        <v>30</v>
      </c>
      <c r="T10907" s="18" t="s">
        <v>45485</v>
      </c>
      <c r="U10907" s="18"/>
      <c r="V10907" s="18"/>
      <c r="W10907" s="18" t="s">
        <v>45486</v>
      </c>
      <c r="X10907" s="18" t="s">
        <v>35</v>
      </c>
      <c r="Y10907" s="18" t="s">
        <v>17171</v>
      </c>
      <c r="Z10907" s="18" t="s">
        <v>24637</v>
      </c>
      <c r="AA10907" s="21" t="str">
        <f>HYPERLINK("https://www.ncbi.nlm.nih.gov/nuccore/CASDWV010003179","NCBI Nucleotide")</f>
        <v>NCBI Nucleotide</v>
      </c>
    </row>
    <row r="10908" spans="1:27" x14ac:dyDescent="0.35">
      <c r="A10908">
        <v>1027089</v>
      </c>
      <c r="B10908">
        <v>10233</v>
      </c>
      <c r="C10908">
        <v>1</v>
      </c>
      <c r="D10908" s="17" t="s">
        <v>17166</v>
      </c>
      <c r="E10908" s="17"/>
      <c r="F10908" s="17" t="s">
        <v>17246</v>
      </c>
      <c r="G10908" s="17"/>
      <c r="H10908" s="17" t="s">
        <v>20919</v>
      </c>
      <c r="I10908" s="17"/>
      <c r="J10908" s="17" t="s">
        <v>21313</v>
      </c>
      <c r="K10908" s="17"/>
      <c r="L10908" s="17" t="s">
        <v>22378</v>
      </c>
      <c r="M10908" s="17"/>
      <c r="N10908" s="17" t="s">
        <v>22459</v>
      </c>
      <c r="O10908" s="17"/>
      <c r="P10908" s="17" t="s">
        <v>45008</v>
      </c>
      <c r="Q10908" s="17"/>
      <c r="R10908" s="25" t="str">
        <f>HYPERLINK("https://ictv.global/taxonomy/taxondetails?taxnode_id=202317349","Hodnevirus pseudochorovicinum")</f>
        <v>Hodnevirus pseudochorovicinum</v>
      </c>
      <c r="S10908" s="18" t="s">
        <v>30</v>
      </c>
      <c r="T10908" s="18" t="s">
        <v>45487</v>
      </c>
      <c r="U10908" s="18"/>
      <c r="V10908" s="18"/>
      <c r="W10908" s="18" t="s">
        <v>45488</v>
      </c>
      <c r="X10908" s="18" t="s">
        <v>35</v>
      </c>
      <c r="Y10908" s="18" t="s">
        <v>17171</v>
      </c>
      <c r="Z10908" s="18" t="s">
        <v>24637</v>
      </c>
      <c r="AA10908" s="21" t="str">
        <f>HYPERLINK("https://www.ncbi.nlm.nih.gov/nuccore/CASDWV010003411","NCBI Nucleotide")</f>
        <v>NCBI Nucleotide</v>
      </c>
    </row>
    <row r="10909" spans="1:27" x14ac:dyDescent="0.35">
      <c r="A10909">
        <v>1027090</v>
      </c>
      <c r="B10909">
        <v>10234</v>
      </c>
      <c r="C10909">
        <v>1</v>
      </c>
      <c r="D10909" s="17" t="s">
        <v>17166</v>
      </c>
      <c r="E10909" s="17"/>
      <c r="F10909" s="17" t="s">
        <v>17246</v>
      </c>
      <c r="G10909" s="17"/>
      <c r="H10909" s="17" t="s">
        <v>20919</v>
      </c>
      <c r="I10909" s="17"/>
      <c r="J10909" s="17" t="s">
        <v>21313</v>
      </c>
      <c r="K10909" s="17"/>
      <c r="L10909" s="17" t="s">
        <v>22378</v>
      </c>
      <c r="M10909" s="17"/>
      <c r="N10909" s="17" t="s">
        <v>22459</v>
      </c>
      <c r="O10909" s="17"/>
      <c r="P10909" s="17" t="s">
        <v>45008</v>
      </c>
      <c r="Q10909" s="17"/>
      <c r="R10909" s="25" t="str">
        <f>HYPERLINK("https://ictv.global/taxonomy/taxondetails?taxnode_id=202317350","Hodnevirus pseudochorovivens")</f>
        <v>Hodnevirus pseudochorovivens</v>
      </c>
      <c r="S10909" s="18" t="s">
        <v>30</v>
      </c>
      <c r="T10909" s="18" t="s">
        <v>45489</v>
      </c>
      <c r="U10909" s="18"/>
      <c r="V10909" s="18"/>
      <c r="W10909" s="18" t="s">
        <v>45490</v>
      </c>
      <c r="X10909" s="18" t="s">
        <v>35</v>
      </c>
      <c r="Y10909" s="18" t="s">
        <v>17171</v>
      </c>
      <c r="Z10909" s="18" t="s">
        <v>24637</v>
      </c>
      <c r="AA10909" s="21" t="str">
        <f>HYPERLINK("https://www.ncbi.nlm.nih.gov/nuccore/CASDWV010002272","NCBI Nucleotide")</f>
        <v>NCBI Nucleotide</v>
      </c>
    </row>
    <row r="10910" spans="1:27" x14ac:dyDescent="0.35">
      <c r="A10910">
        <v>1027091</v>
      </c>
      <c r="B10910">
        <v>10235</v>
      </c>
      <c r="C10910">
        <v>1</v>
      </c>
      <c r="D10910" s="17" t="s">
        <v>17166</v>
      </c>
      <c r="E10910" s="17"/>
      <c r="F10910" s="17" t="s">
        <v>17246</v>
      </c>
      <c r="G10910" s="17"/>
      <c r="H10910" s="17" t="s">
        <v>20919</v>
      </c>
      <c r="I10910" s="17"/>
      <c r="J10910" s="17" t="s">
        <v>21313</v>
      </c>
      <c r="K10910" s="17"/>
      <c r="L10910" s="17" t="s">
        <v>22378</v>
      </c>
      <c r="M10910" s="17"/>
      <c r="N10910" s="17" t="s">
        <v>22459</v>
      </c>
      <c r="O10910" s="17"/>
      <c r="P10910" s="17" t="s">
        <v>45008</v>
      </c>
      <c r="Q10910" s="17"/>
      <c r="R10910" s="25" t="str">
        <f>HYPERLINK("https://ictv.global/taxonomy/taxondetails?taxnode_id=202317351","Hodnevirus pseudochthonadaptatum")</f>
        <v>Hodnevirus pseudochthonadaptatum</v>
      </c>
      <c r="S10910" s="18" t="s">
        <v>30</v>
      </c>
      <c r="T10910" s="18" t="s">
        <v>45491</v>
      </c>
      <c r="U10910" s="18"/>
      <c r="V10910" s="18"/>
      <c r="W10910" s="18" t="s">
        <v>45492</v>
      </c>
      <c r="X10910" s="18" t="s">
        <v>35</v>
      </c>
      <c r="Y10910" s="18" t="s">
        <v>17171</v>
      </c>
      <c r="Z10910" s="18" t="s">
        <v>24637</v>
      </c>
      <c r="AA10910" s="21" t="str">
        <f>HYPERLINK("https://www.ncbi.nlm.nih.gov/nuccore/CASDWV010001730","NCBI Nucleotide")</f>
        <v>NCBI Nucleotide</v>
      </c>
    </row>
    <row r="10911" spans="1:27" x14ac:dyDescent="0.35">
      <c r="A10911">
        <v>1027092</v>
      </c>
      <c r="B10911">
        <v>10236</v>
      </c>
      <c r="C10911">
        <v>1</v>
      </c>
      <c r="D10911" s="17" t="s">
        <v>17166</v>
      </c>
      <c r="E10911" s="17"/>
      <c r="F10911" s="17" t="s">
        <v>17246</v>
      </c>
      <c r="G10911" s="17"/>
      <c r="H10911" s="17" t="s">
        <v>20919</v>
      </c>
      <c r="I10911" s="17"/>
      <c r="J10911" s="17" t="s">
        <v>21313</v>
      </c>
      <c r="K10911" s="17"/>
      <c r="L10911" s="17" t="s">
        <v>22378</v>
      </c>
      <c r="M10911" s="17"/>
      <c r="N10911" s="17" t="s">
        <v>22459</v>
      </c>
      <c r="O10911" s="17"/>
      <c r="P10911" s="17" t="s">
        <v>45008</v>
      </c>
      <c r="Q10911" s="17"/>
      <c r="R10911" s="25" t="str">
        <f>HYPERLINK("https://ictv.global/taxonomy/taxondetails?taxnode_id=202317352","Hodnevirus pseudochthonenecus")</f>
        <v>Hodnevirus pseudochthonenecus</v>
      </c>
      <c r="S10911" s="18" t="s">
        <v>30</v>
      </c>
      <c r="T10911" s="18" t="s">
        <v>45493</v>
      </c>
      <c r="U10911" s="18"/>
      <c r="V10911" s="18"/>
      <c r="W10911" s="18" t="s">
        <v>45494</v>
      </c>
      <c r="X10911" s="18" t="s">
        <v>35</v>
      </c>
      <c r="Y10911" s="18" t="s">
        <v>17171</v>
      </c>
      <c r="Z10911" s="18" t="s">
        <v>24637</v>
      </c>
      <c r="AA10911" s="21" t="str">
        <f>HYPERLINK("https://www.ncbi.nlm.nih.gov/nuccore/CASDWV010003682","NCBI Nucleotide")</f>
        <v>NCBI Nucleotide</v>
      </c>
    </row>
    <row r="10912" spans="1:27" x14ac:dyDescent="0.35">
      <c r="A10912">
        <v>1027093</v>
      </c>
      <c r="B10912">
        <v>10237</v>
      </c>
      <c r="C10912">
        <v>1</v>
      </c>
      <c r="D10912" s="17" t="s">
        <v>17166</v>
      </c>
      <c r="E10912" s="17"/>
      <c r="F10912" s="17" t="s">
        <v>17246</v>
      </c>
      <c r="G10912" s="17"/>
      <c r="H10912" s="17" t="s">
        <v>20919</v>
      </c>
      <c r="I10912" s="17"/>
      <c r="J10912" s="17" t="s">
        <v>21313</v>
      </c>
      <c r="K10912" s="17"/>
      <c r="L10912" s="17" t="s">
        <v>22378</v>
      </c>
      <c r="M10912" s="17"/>
      <c r="N10912" s="17" t="s">
        <v>22459</v>
      </c>
      <c r="O10912" s="17"/>
      <c r="P10912" s="17" t="s">
        <v>45008</v>
      </c>
      <c r="Q10912" s="17"/>
      <c r="R10912" s="25" t="str">
        <f>HYPERLINK("https://ictv.global/taxonomy/taxondetails?taxnode_id=202317353","Hodnevirus pseudochthonohabitans")</f>
        <v>Hodnevirus pseudochthonohabitans</v>
      </c>
      <c r="S10912" s="18" t="s">
        <v>30</v>
      </c>
      <c r="T10912" s="18" t="s">
        <v>45495</v>
      </c>
      <c r="U10912" s="18"/>
      <c r="V10912" s="18"/>
      <c r="W10912" s="18" t="s">
        <v>45496</v>
      </c>
      <c r="X10912" s="18" t="s">
        <v>35</v>
      </c>
      <c r="Y10912" s="18" t="s">
        <v>17171</v>
      </c>
      <c r="Z10912" s="18" t="s">
        <v>24637</v>
      </c>
      <c r="AA10912" s="21" t="str">
        <f>HYPERLINK("https://www.ncbi.nlm.nih.gov/nuccore/CASDWV010001671","NCBI Nucleotide")</f>
        <v>NCBI Nucleotide</v>
      </c>
    </row>
    <row r="10913" spans="1:27" x14ac:dyDescent="0.35">
      <c r="A10913">
        <v>1027094</v>
      </c>
      <c r="B10913">
        <v>10238</v>
      </c>
      <c r="C10913">
        <v>1</v>
      </c>
      <c r="D10913" s="17" t="s">
        <v>17166</v>
      </c>
      <c r="E10913" s="17"/>
      <c r="F10913" s="17" t="s">
        <v>17246</v>
      </c>
      <c r="G10913" s="17"/>
      <c r="H10913" s="17" t="s">
        <v>20919</v>
      </c>
      <c r="I10913" s="17"/>
      <c r="J10913" s="17" t="s">
        <v>21313</v>
      </c>
      <c r="K10913" s="17"/>
      <c r="L10913" s="17" t="s">
        <v>22378</v>
      </c>
      <c r="M10913" s="17"/>
      <c r="N10913" s="17" t="s">
        <v>22459</v>
      </c>
      <c r="O10913" s="17"/>
      <c r="P10913" s="17" t="s">
        <v>45008</v>
      </c>
      <c r="Q10913" s="17"/>
      <c r="R10913" s="25" t="str">
        <f>HYPERLINK("https://ictv.global/taxonomy/taxondetails?taxnode_id=202317354","Hodnevirus pseudochthonovivens")</f>
        <v>Hodnevirus pseudochthonovivens</v>
      </c>
      <c r="S10913" s="18" t="s">
        <v>30</v>
      </c>
      <c r="T10913" s="18" t="s">
        <v>45497</v>
      </c>
      <c r="U10913" s="18"/>
      <c r="V10913" s="18"/>
      <c r="W10913" s="18" t="s">
        <v>45498</v>
      </c>
      <c r="X10913" s="18" t="s">
        <v>35</v>
      </c>
      <c r="Y10913" s="18" t="s">
        <v>17171</v>
      </c>
      <c r="Z10913" s="18" t="s">
        <v>24637</v>
      </c>
      <c r="AA10913" s="21" t="str">
        <f>HYPERLINK("https://www.ncbi.nlm.nih.gov/nuccore/CASDWV010001603","NCBI Nucleotide")</f>
        <v>NCBI Nucleotide</v>
      </c>
    </row>
    <row r="10914" spans="1:27" x14ac:dyDescent="0.35">
      <c r="A10914">
        <v>1027095</v>
      </c>
      <c r="B10914">
        <v>10239</v>
      </c>
      <c r="C10914">
        <v>1</v>
      </c>
      <c r="D10914" s="17" t="s">
        <v>17166</v>
      </c>
      <c r="E10914" s="17"/>
      <c r="F10914" s="17" t="s">
        <v>17246</v>
      </c>
      <c r="G10914" s="17"/>
      <c r="H10914" s="17" t="s">
        <v>20919</v>
      </c>
      <c r="I10914" s="17"/>
      <c r="J10914" s="17" t="s">
        <v>21313</v>
      </c>
      <c r="K10914" s="17"/>
      <c r="L10914" s="17" t="s">
        <v>22378</v>
      </c>
      <c r="M10914" s="17"/>
      <c r="N10914" s="17" t="s">
        <v>22459</v>
      </c>
      <c r="O10914" s="17"/>
      <c r="P10914" s="17" t="s">
        <v>45008</v>
      </c>
      <c r="Q10914" s="17"/>
      <c r="R10914" s="25" t="str">
        <f>HYPERLINK("https://ictv.global/taxonomy/taxondetails?taxnode_id=202317355","Hodnevirus pseudoedaphocola")</f>
        <v>Hodnevirus pseudoedaphocola</v>
      </c>
      <c r="S10914" s="18" t="s">
        <v>30</v>
      </c>
      <c r="T10914" s="18" t="s">
        <v>45499</v>
      </c>
      <c r="U10914" s="18"/>
      <c r="V10914" s="18"/>
      <c r="W10914" s="18" t="s">
        <v>45500</v>
      </c>
      <c r="X10914" s="18" t="s">
        <v>35</v>
      </c>
      <c r="Y10914" s="18" t="s">
        <v>17171</v>
      </c>
      <c r="Z10914" s="18" t="s">
        <v>24637</v>
      </c>
      <c r="AA10914" s="21" t="str">
        <f>HYPERLINK("https://www.ncbi.nlm.nih.gov/nuccore/CASDWV010003955","NCBI Nucleotide")</f>
        <v>NCBI Nucleotide</v>
      </c>
    </row>
    <row r="10915" spans="1:27" x14ac:dyDescent="0.35">
      <c r="A10915">
        <v>1027096</v>
      </c>
      <c r="B10915">
        <v>10240</v>
      </c>
      <c r="C10915">
        <v>1</v>
      </c>
      <c r="D10915" s="17" t="s">
        <v>17166</v>
      </c>
      <c r="E10915" s="17"/>
      <c r="F10915" s="17" t="s">
        <v>17246</v>
      </c>
      <c r="G10915" s="17"/>
      <c r="H10915" s="17" t="s">
        <v>20919</v>
      </c>
      <c r="I10915" s="17"/>
      <c r="J10915" s="17" t="s">
        <v>21313</v>
      </c>
      <c r="K10915" s="17"/>
      <c r="L10915" s="17" t="s">
        <v>22378</v>
      </c>
      <c r="M10915" s="17"/>
      <c r="N10915" s="17" t="s">
        <v>22459</v>
      </c>
      <c r="O10915" s="17"/>
      <c r="P10915" s="17" t="s">
        <v>45008</v>
      </c>
      <c r="Q10915" s="17"/>
      <c r="R10915" s="25" t="str">
        <f>HYPERLINK("https://ictv.global/taxonomy/taxondetails?taxnode_id=202317356","Hodnevirus pseudoedaphovicinum")</f>
        <v>Hodnevirus pseudoedaphovicinum</v>
      </c>
      <c r="S10915" s="18" t="s">
        <v>30</v>
      </c>
      <c r="T10915" s="18" t="s">
        <v>45501</v>
      </c>
      <c r="U10915" s="18"/>
      <c r="V10915" s="18"/>
      <c r="W10915" s="18" t="s">
        <v>45502</v>
      </c>
      <c r="X10915" s="18" t="s">
        <v>35</v>
      </c>
      <c r="Y10915" s="18" t="s">
        <v>17171</v>
      </c>
      <c r="Z10915" s="18" t="s">
        <v>24637</v>
      </c>
      <c r="AA10915" s="21" t="str">
        <f>HYPERLINK("https://www.ncbi.nlm.nih.gov/nuccore/CASDWV010002990","NCBI Nucleotide")</f>
        <v>NCBI Nucleotide</v>
      </c>
    </row>
    <row r="10916" spans="1:27" x14ac:dyDescent="0.35">
      <c r="A10916">
        <v>1027097</v>
      </c>
      <c r="B10916">
        <v>10241</v>
      </c>
      <c r="C10916">
        <v>1</v>
      </c>
      <c r="D10916" s="17" t="s">
        <v>17166</v>
      </c>
      <c r="E10916" s="17"/>
      <c r="F10916" s="17" t="s">
        <v>17246</v>
      </c>
      <c r="G10916" s="17"/>
      <c r="H10916" s="17" t="s">
        <v>20919</v>
      </c>
      <c r="I10916" s="17"/>
      <c r="J10916" s="17" t="s">
        <v>21313</v>
      </c>
      <c r="K10916" s="17"/>
      <c r="L10916" s="17" t="s">
        <v>22378</v>
      </c>
      <c r="M10916" s="17"/>
      <c r="N10916" s="17" t="s">
        <v>22459</v>
      </c>
      <c r="O10916" s="17"/>
      <c r="P10916" s="17" t="s">
        <v>45008</v>
      </c>
      <c r="Q10916" s="17"/>
      <c r="R10916" s="25" t="str">
        <f>HYPERLINK("https://ictv.global/taxonomy/taxondetails?taxnode_id=202317357","Hodnevirus pseudoedaphovivens")</f>
        <v>Hodnevirus pseudoedaphovivens</v>
      </c>
      <c r="S10916" s="18" t="s">
        <v>30</v>
      </c>
      <c r="T10916" s="18" t="s">
        <v>45503</v>
      </c>
      <c r="U10916" s="18"/>
      <c r="V10916" s="18"/>
      <c r="W10916" s="18" t="s">
        <v>45504</v>
      </c>
      <c r="X10916" s="18" t="s">
        <v>35</v>
      </c>
      <c r="Y10916" s="18" t="s">
        <v>17171</v>
      </c>
      <c r="Z10916" s="18" t="s">
        <v>24637</v>
      </c>
      <c r="AA10916" s="21" t="str">
        <f>HYPERLINK("https://www.ncbi.nlm.nih.gov/nuccore/CASDWV010000293","NCBI Nucleotide")</f>
        <v>NCBI Nucleotide</v>
      </c>
    </row>
    <row r="10917" spans="1:27" x14ac:dyDescent="0.35">
      <c r="A10917">
        <v>1027098</v>
      </c>
      <c r="B10917">
        <v>10242</v>
      </c>
      <c r="C10917">
        <v>1</v>
      </c>
      <c r="D10917" s="17" t="s">
        <v>17166</v>
      </c>
      <c r="E10917" s="17"/>
      <c r="F10917" s="17" t="s">
        <v>17246</v>
      </c>
      <c r="G10917" s="17"/>
      <c r="H10917" s="17" t="s">
        <v>20919</v>
      </c>
      <c r="I10917" s="17"/>
      <c r="J10917" s="17" t="s">
        <v>21313</v>
      </c>
      <c r="K10917" s="17"/>
      <c r="L10917" s="17" t="s">
        <v>22378</v>
      </c>
      <c r="M10917" s="17"/>
      <c r="N10917" s="17" t="s">
        <v>22459</v>
      </c>
      <c r="O10917" s="17"/>
      <c r="P10917" s="17" t="s">
        <v>45008</v>
      </c>
      <c r="Q10917" s="17"/>
      <c r="R10917" s="25" t="str">
        <f>HYPERLINK("https://ictv.global/taxonomy/taxondetails?taxnode_id=202317358","Hodnevirus pseudofaecadaptatum")</f>
        <v>Hodnevirus pseudofaecadaptatum</v>
      </c>
      <c r="S10917" s="18" t="s">
        <v>30</v>
      </c>
      <c r="T10917" s="18" t="s">
        <v>45505</v>
      </c>
      <c r="U10917" s="18"/>
      <c r="V10917" s="18" t="s">
        <v>45505</v>
      </c>
      <c r="W10917" s="18" t="s">
        <v>45506</v>
      </c>
      <c r="X10917" s="18" t="s">
        <v>35</v>
      </c>
      <c r="Y10917" s="18" t="s">
        <v>17171</v>
      </c>
      <c r="Z10917" s="18" t="s">
        <v>24637</v>
      </c>
      <c r="AA10917" s="21" t="str">
        <f>HYPERLINK("https://www.ncbi.nlm.nih.gov/nuccore/MZ679825","NCBI Nucleotide")</f>
        <v>NCBI Nucleotide</v>
      </c>
    </row>
    <row r="10918" spans="1:27" x14ac:dyDescent="0.35">
      <c r="A10918">
        <v>1027099</v>
      </c>
      <c r="B10918">
        <v>10243</v>
      </c>
      <c r="C10918">
        <v>1</v>
      </c>
      <c r="D10918" s="17" t="s">
        <v>17166</v>
      </c>
      <c r="E10918" s="17"/>
      <c r="F10918" s="17" t="s">
        <v>17246</v>
      </c>
      <c r="G10918" s="17"/>
      <c r="H10918" s="17" t="s">
        <v>20919</v>
      </c>
      <c r="I10918" s="17"/>
      <c r="J10918" s="17" t="s">
        <v>21313</v>
      </c>
      <c r="K10918" s="17"/>
      <c r="L10918" s="17" t="s">
        <v>22378</v>
      </c>
      <c r="M10918" s="17"/>
      <c r="N10918" s="17" t="s">
        <v>22459</v>
      </c>
      <c r="O10918" s="17"/>
      <c r="P10918" s="17" t="s">
        <v>45008</v>
      </c>
      <c r="Q10918" s="17"/>
      <c r="R10918" s="25" t="str">
        <f>HYPERLINK("https://ictv.global/taxonomy/taxondetails?taxnode_id=202317359","Hodnevirus pseudofaecenecus")</f>
        <v>Hodnevirus pseudofaecenecus</v>
      </c>
      <c r="S10918" s="18" t="s">
        <v>30</v>
      </c>
      <c r="T10918" s="18" t="s">
        <v>45507</v>
      </c>
      <c r="U10918" s="18"/>
      <c r="V10918" s="18" t="s">
        <v>45507</v>
      </c>
      <c r="W10918" s="18" t="s">
        <v>45508</v>
      </c>
      <c r="X10918" s="18" t="s">
        <v>35</v>
      </c>
      <c r="Y10918" s="18" t="s">
        <v>17171</v>
      </c>
      <c r="Z10918" s="18" t="s">
        <v>24637</v>
      </c>
      <c r="AA10918" s="21" t="str">
        <f>HYPERLINK("https://www.ncbi.nlm.nih.gov/nuccore/MZ679809","NCBI Nucleotide")</f>
        <v>NCBI Nucleotide</v>
      </c>
    </row>
    <row r="10919" spans="1:27" x14ac:dyDescent="0.35">
      <c r="A10919">
        <v>1027100</v>
      </c>
      <c r="B10919">
        <v>10244</v>
      </c>
      <c r="C10919">
        <v>1</v>
      </c>
      <c r="D10919" s="17" t="s">
        <v>17166</v>
      </c>
      <c r="E10919" s="17"/>
      <c r="F10919" s="17" t="s">
        <v>17246</v>
      </c>
      <c r="G10919" s="17"/>
      <c r="H10919" s="17" t="s">
        <v>20919</v>
      </c>
      <c r="I10919" s="17"/>
      <c r="J10919" s="17" t="s">
        <v>21313</v>
      </c>
      <c r="K10919" s="17"/>
      <c r="L10919" s="17" t="s">
        <v>22378</v>
      </c>
      <c r="M10919" s="17"/>
      <c r="N10919" s="17" t="s">
        <v>22459</v>
      </c>
      <c r="O10919" s="17"/>
      <c r="P10919" s="17" t="s">
        <v>45008</v>
      </c>
      <c r="Q10919" s="17"/>
      <c r="R10919" s="25" t="str">
        <f>HYPERLINK("https://ictv.global/taxonomy/taxondetails?taxnode_id=202317360","Hodnevirus pseudofaecihabitans")</f>
        <v>Hodnevirus pseudofaecihabitans</v>
      </c>
      <c r="S10919" s="18" t="s">
        <v>30</v>
      </c>
      <c r="T10919" s="18" t="s">
        <v>45509</v>
      </c>
      <c r="U10919" s="18"/>
      <c r="V10919" s="18" t="s">
        <v>45509</v>
      </c>
      <c r="W10919" s="18" t="s">
        <v>45510</v>
      </c>
      <c r="X10919" s="18" t="s">
        <v>35</v>
      </c>
      <c r="Y10919" s="18" t="s">
        <v>17171</v>
      </c>
      <c r="Z10919" s="18" t="s">
        <v>24637</v>
      </c>
      <c r="AA10919" s="21" t="str">
        <f>HYPERLINK("https://www.ncbi.nlm.nih.gov/nuccore/MZ679504","NCBI Nucleotide")</f>
        <v>NCBI Nucleotide</v>
      </c>
    </row>
    <row r="10920" spans="1:27" x14ac:dyDescent="0.35">
      <c r="A10920">
        <v>1027101</v>
      </c>
      <c r="B10920">
        <v>10245</v>
      </c>
      <c r="C10920">
        <v>1</v>
      </c>
      <c r="D10920" s="17" t="s">
        <v>17166</v>
      </c>
      <c r="E10920" s="17"/>
      <c r="F10920" s="17" t="s">
        <v>17246</v>
      </c>
      <c r="G10920" s="17"/>
      <c r="H10920" s="17" t="s">
        <v>20919</v>
      </c>
      <c r="I10920" s="17"/>
      <c r="J10920" s="17" t="s">
        <v>21313</v>
      </c>
      <c r="K10920" s="17"/>
      <c r="L10920" s="17" t="s">
        <v>22378</v>
      </c>
      <c r="M10920" s="17"/>
      <c r="N10920" s="17" t="s">
        <v>22459</v>
      </c>
      <c r="O10920" s="17"/>
      <c r="P10920" s="17" t="s">
        <v>45008</v>
      </c>
      <c r="Q10920" s="17"/>
      <c r="R10920" s="25" t="str">
        <f>HYPERLINK("https://ictv.global/taxonomy/taxondetails?taxnode_id=202317361","Hodnevirus pseudofaecivicinum")</f>
        <v>Hodnevirus pseudofaecivicinum</v>
      </c>
      <c r="S10920" s="18" t="s">
        <v>30</v>
      </c>
      <c r="T10920" s="18" t="s">
        <v>45511</v>
      </c>
      <c r="U10920" s="18"/>
      <c r="V10920" s="18" t="s">
        <v>45511</v>
      </c>
      <c r="W10920" s="18" t="s">
        <v>45512</v>
      </c>
      <c r="X10920" s="18" t="s">
        <v>35</v>
      </c>
      <c r="Y10920" s="18" t="s">
        <v>17171</v>
      </c>
      <c r="Z10920" s="18" t="s">
        <v>17413</v>
      </c>
      <c r="AA10920" s="21" t="str">
        <f>HYPERLINK("https://www.ncbi.nlm.nih.gov/nuccore/ON163032","NCBI Nucleotide")</f>
        <v>NCBI Nucleotide</v>
      </c>
    </row>
    <row r="10921" spans="1:27" x14ac:dyDescent="0.35">
      <c r="A10921">
        <v>1027102</v>
      </c>
      <c r="B10921">
        <v>10246</v>
      </c>
      <c r="C10921">
        <v>1</v>
      </c>
      <c r="D10921" s="17" t="s">
        <v>17166</v>
      </c>
      <c r="E10921" s="17"/>
      <c r="F10921" s="17" t="s">
        <v>17246</v>
      </c>
      <c r="G10921" s="17"/>
      <c r="H10921" s="17" t="s">
        <v>20919</v>
      </c>
      <c r="I10921" s="17"/>
      <c r="J10921" s="17" t="s">
        <v>21313</v>
      </c>
      <c r="K10921" s="17"/>
      <c r="L10921" s="17" t="s">
        <v>22378</v>
      </c>
      <c r="M10921" s="17"/>
      <c r="N10921" s="17" t="s">
        <v>22459</v>
      </c>
      <c r="O10921" s="17"/>
      <c r="P10921" s="17" t="s">
        <v>45008</v>
      </c>
      <c r="Q10921" s="17"/>
      <c r="R10921" s="25" t="str">
        <f>HYPERLINK("https://ictv.global/taxonomy/taxondetails?taxnode_id=202317362","Hodnevirus pseudogeoenecus")</f>
        <v>Hodnevirus pseudogeoenecus</v>
      </c>
      <c r="S10921" s="18" t="s">
        <v>30</v>
      </c>
      <c r="T10921" s="18" t="s">
        <v>45513</v>
      </c>
      <c r="U10921" s="18"/>
      <c r="V10921" s="18"/>
      <c r="W10921" s="18" t="s">
        <v>45514</v>
      </c>
      <c r="X10921" s="18" t="s">
        <v>35</v>
      </c>
      <c r="Y10921" s="18" t="s">
        <v>17171</v>
      </c>
      <c r="Z10921" s="18" t="s">
        <v>24637</v>
      </c>
      <c r="AA10921" s="21" t="str">
        <f>HYPERLINK("https://www.ncbi.nlm.nih.gov/nuccore/CASDWV010003317","NCBI Nucleotide")</f>
        <v>NCBI Nucleotide</v>
      </c>
    </row>
    <row r="10922" spans="1:27" x14ac:dyDescent="0.35">
      <c r="A10922">
        <v>1027103</v>
      </c>
      <c r="B10922">
        <v>10247</v>
      </c>
      <c r="C10922">
        <v>1</v>
      </c>
      <c r="D10922" s="17" t="s">
        <v>17166</v>
      </c>
      <c r="E10922" s="17"/>
      <c r="F10922" s="17" t="s">
        <v>17246</v>
      </c>
      <c r="G10922" s="17"/>
      <c r="H10922" s="17" t="s">
        <v>20919</v>
      </c>
      <c r="I10922" s="17"/>
      <c r="J10922" s="17" t="s">
        <v>21313</v>
      </c>
      <c r="K10922" s="17"/>
      <c r="L10922" s="17" t="s">
        <v>22378</v>
      </c>
      <c r="M10922" s="17"/>
      <c r="N10922" s="17" t="s">
        <v>22459</v>
      </c>
      <c r="O10922" s="17"/>
      <c r="P10922" s="17" t="s">
        <v>45008</v>
      </c>
      <c r="Q10922" s="17"/>
      <c r="R10922" s="25" t="str">
        <f>HYPERLINK("https://ictv.global/taxonomy/taxondetails?taxnode_id=202317363","Hodnevirus pseudogeohabitans")</f>
        <v>Hodnevirus pseudogeohabitans</v>
      </c>
      <c r="S10922" s="18" t="s">
        <v>30</v>
      </c>
      <c r="T10922" s="18" t="s">
        <v>45515</v>
      </c>
      <c r="U10922" s="18"/>
      <c r="V10922" s="18"/>
      <c r="W10922" s="18" t="s">
        <v>45516</v>
      </c>
      <c r="X10922" s="18" t="s">
        <v>35</v>
      </c>
      <c r="Y10922" s="18" t="s">
        <v>17171</v>
      </c>
      <c r="Z10922" s="18" t="s">
        <v>24637</v>
      </c>
      <c r="AA10922" s="21" t="str">
        <f>HYPERLINK("https://www.ncbi.nlm.nih.gov/nuccore/CASDWV010002923","NCBI Nucleotide")</f>
        <v>NCBI Nucleotide</v>
      </c>
    </row>
    <row r="10923" spans="1:27" x14ac:dyDescent="0.35">
      <c r="A10923">
        <v>1027104</v>
      </c>
      <c r="B10923">
        <v>10248</v>
      </c>
      <c r="C10923">
        <v>1</v>
      </c>
      <c r="D10923" s="17" t="s">
        <v>17166</v>
      </c>
      <c r="E10923" s="17"/>
      <c r="F10923" s="17" t="s">
        <v>17246</v>
      </c>
      <c r="G10923" s="17"/>
      <c r="H10923" s="17" t="s">
        <v>20919</v>
      </c>
      <c r="I10923" s="17"/>
      <c r="J10923" s="17" t="s">
        <v>21313</v>
      </c>
      <c r="K10923" s="17"/>
      <c r="L10923" s="17" t="s">
        <v>22378</v>
      </c>
      <c r="M10923" s="17"/>
      <c r="N10923" s="17" t="s">
        <v>22459</v>
      </c>
      <c r="O10923" s="17"/>
      <c r="P10923" s="17" t="s">
        <v>45008</v>
      </c>
      <c r="Q10923" s="17"/>
      <c r="R10923" s="25" t="str">
        <f>HYPERLINK("https://ictv.global/taxonomy/taxondetails?taxnode_id=202317364","Hodnevirus pseudogeovicinum")</f>
        <v>Hodnevirus pseudogeovicinum</v>
      </c>
      <c r="S10923" s="18" t="s">
        <v>30</v>
      </c>
      <c r="T10923" s="18" t="s">
        <v>45517</v>
      </c>
      <c r="U10923" s="18"/>
      <c r="V10923" s="18"/>
      <c r="W10923" s="18" t="s">
        <v>45518</v>
      </c>
      <c r="X10923" s="18" t="s">
        <v>35</v>
      </c>
      <c r="Y10923" s="18" t="s">
        <v>17171</v>
      </c>
      <c r="Z10923" s="18" t="s">
        <v>24637</v>
      </c>
      <c r="AA10923" s="21" t="str">
        <f>HYPERLINK("https://www.ncbi.nlm.nih.gov/nuccore/CASDWV010000432","NCBI Nucleotide")</f>
        <v>NCBI Nucleotide</v>
      </c>
    </row>
    <row r="10924" spans="1:27" x14ac:dyDescent="0.35">
      <c r="A10924">
        <v>1027105</v>
      </c>
      <c r="B10924">
        <v>10249</v>
      </c>
      <c r="C10924">
        <v>1</v>
      </c>
      <c r="D10924" s="17" t="s">
        <v>17166</v>
      </c>
      <c r="E10924" s="17"/>
      <c r="F10924" s="17" t="s">
        <v>17246</v>
      </c>
      <c r="G10924" s="17"/>
      <c r="H10924" s="17" t="s">
        <v>20919</v>
      </c>
      <c r="I10924" s="17"/>
      <c r="J10924" s="17" t="s">
        <v>21313</v>
      </c>
      <c r="K10924" s="17"/>
      <c r="L10924" s="17" t="s">
        <v>22378</v>
      </c>
      <c r="M10924" s="17"/>
      <c r="N10924" s="17" t="s">
        <v>22459</v>
      </c>
      <c r="O10924" s="17"/>
      <c r="P10924" s="17" t="s">
        <v>45008</v>
      </c>
      <c r="Q10924" s="17"/>
      <c r="R10924" s="25" t="str">
        <f>HYPERLINK("https://ictv.global/taxonomy/taxondetails?taxnode_id=202317365","Hodnevirus pseudohumadaptatum")</f>
        <v>Hodnevirus pseudohumadaptatum</v>
      </c>
      <c r="S10924" s="18" t="s">
        <v>30</v>
      </c>
      <c r="T10924" s="18" t="s">
        <v>45519</v>
      </c>
      <c r="U10924" s="18"/>
      <c r="V10924" s="18"/>
      <c r="W10924" s="18" t="s">
        <v>45520</v>
      </c>
      <c r="X10924" s="18" t="s">
        <v>35</v>
      </c>
      <c r="Y10924" s="18" t="s">
        <v>17171</v>
      </c>
      <c r="Z10924" s="18" t="s">
        <v>24637</v>
      </c>
      <c r="AA10924" s="21" t="str">
        <f>HYPERLINK("https://www.ncbi.nlm.nih.gov/nuccore/CASDWV010003565","NCBI Nucleotide")</f>
        <v>NCBI Nucleotide</v>
      </c>
    </row>
    <row r="10925" spans="1:27" x14ac:dyDescent="0.35">
      <c r="A10925">
        <v>1027106</v>
      </c>
      <c r="B10925">
        <v>10250</v>
      </c>
      <c r="C10925">
        <v>1</v>
      </c>
      <c r="D10925" s="17" t="s">
        <v>17166</v>
      </c>
      <c r="E10925" s="17"/>
      <c r="F10925" s="17" t="s">
        <v>17246</v>
      </c>
      <c r="G10925" s="17"/>
      <c r="H10925" s="17" t="s">
        <v>20919</v>
      </c>
      <c r="I10925" s="17"/>
      <c r="J10925" s="17" t="s">
        <v>21313</v>
      </c>
      <c r="K10925" s="17"/>
      <c r="L10925" s="17" t="s">
        <v>22378</v>
      </c>
      <c r="M10925" s="17"/>
      <c r="N10925" s="17" t="s">
        <v>22459</v>
      </c>
      <c r="O10925" s="17"/>
      <c r="P10925" s="17" t="s">
        <v>45008</v>
      </c>
      <c r="Q10925" s="17"/>
      <c r="R10925" s="25" t="str">
        <f>HYPERLINK("https://ictv.global/taxonomy/taxondetails?taxnode_id=202317366","Hodnevirus pseudohumivicinum")</f>
        <v>Hodnevirus pseudohumivicinum</v>
      </c>
      <c r="S10925" s="18" t="s">
        <v>30</v>
      </c>
      <c r="T10925" s="18" t="s">
        <v>45521</v>
      </c>
      <c r="U10925" s="18"/>
      <c r="V10925" s="18"/>
      <c r="W10925" s="18" t="s">
        <v>45522</v>
      </c>
      <c r="X10925" s="18" t="s">
        <v>35</v>
      </c>
      <c r="Y10925" s="18" t="s">
        <v>17171</v>
      </c>
      <c r="Z10925" s="18" t="s">
        <v>24637</v>
      </c>
      <c r="AA10925" s="21" t="str">
        <f>HYPERLINK("https://www.ncbi.nlm.nih.gov/nuccore/CASDWV010003414","NCBI Nucleotide")</f>
        <v>NCBI Nucleotide</v>
      </c>
    </row>
    <row r="10926" spans="1:27" x14ac:dyDescent="0.35">
      <c r="A10926">
        <v>1027107</v>
      </c>
      <c r="B10926">
        <v>10251</v>
      </c>
      <c r="C10926">
        <v>1</v>
      </c>
      <c r="D10926" s="17" t="s">
        <v>17166</v>
      </c>
      <c r="E10926" s="17"/>
      <c r="F10926" s="17" t="s">
        <v>17246</v>
      </c>
      <c r="G10926" s="17"/>
      <c r="H10926" s="17" t="s">
        <v>20919</v>
      </c>
      <c r="I10926" s="17"/>
      <c r="J10926" s="17" t="s">
        <v>21313</v>
      </c>
      <c r="K10926" s="17"/>
      <c r="L10926" s="17" t="s">
        <v>22378</v>
      </c>
      <c r="M10926" s="17"/>
      <c r="N10926" s="17" t="s">
        <v>22459</v>
      </c>
      <c r="O10926" s="17"/>
      <c r="P10926" s="17" t="s">
        <v>45008</v>
      </c>
      <c r="Q10926" s="17"/>
      <c r="R10926" s="25" t="str">
        <f>HYPERLINK("https://ictv.global/taxonomy/taxondetails?taxnode_id=202317367","Hodnevirus pseudohumivivens")</f>
        <v>Hodnevirus pseudohumivivens</v>
      </c>
      <c r="S10926" s="18" t="s">
        <v>30</v>
      </c>
      <c r="T10926" s="18" t="s">
        <v>45523</v>
      </c>
      <c r="U10926" s="18"/>
      <c r="V10926" s="18"/>
      <c r="W10926" s="18" t="s">
        <v>45524</v>
      </c>
      <c r="X10926" s="18" t="s">
        <v>35</v>
      </c>
      <c r="Y10926" s="18" t="s">
        <v>17171</v>
      </c>
      <c r="Z10926" s="18" t="s">
        <v>24637</v>
      </c>
      <c r="AA10926" s="21" t="str">
        <f>HYPERLINK("https://www.ncbi.nlm.nih.gov/nuccore/CASDWV010003521","NCBI Nucleotide")</f>
        <v>NCBI Nucleotide</v>
      </c>
    </row>
    <row r="10927" spans="1:27" x14ac:dyDescent="0.35">
      <c r="A10927">
        <v>1027108</v>
      </c>
      <c r="B10927">
        <v>10252</v>
      </c>
      <c r="C10927">
        <v>1</v>
      </c>
      <c r="D10927" s="17" t="s">
        <v>17166</v>
      </c>
      <c r="E10927" s="17"/>
      <c r="F10927" s="17" t="s">
        <v>17246</v>
      </c>
      <c r="G10927" s="17"/>
      <c r="H10927" s="17" t="s">
        <v>20919</v>
      </c>
      <c r="I10927" s="17"/>
      <c r="J10927" s="17" t="s">
        <v>21313</v>
      </c>
      <c r="K10927" s="17"/>
      <c r="L10927" s="17" t="s">
        <v>22378</v>
      </c>
      <c r="M10927" s="17"/>
      <c r="N10927" s="17" t="s">
        <v>22459</v>
      </c>
      <c r="O10927" s="17"/>
      <c r="P10927" s="17" t="s">
        <v>45008</v>
      </c>
      <c r="Q10927" s="17"/>
      <c r="R10927" s="25" t="str">
        <f>HYPERLINK("https://ictv.global/taxonomy/taxondetails?taxnode_id=202317368","Hodnevirus pseudolimadaptatum")</f>
        <v>Hodnevirus pseudolimadaptatum</v>
      </c>
      <c r="S10927" s="18" t="s">
        <v>30</v>
      </c>
      <c r="T10927" s="18" t="s">
        <v>45525</v>
      </c>
      <c r="U10927" s="18"/>
      <c r="V10927" s="18"/>
      <c r="W10927" s="18" t="s">
        <v>45526</v>
      </c>
      <c r="X10927" s="18" t="s">
        <v>35</v>
      </c>
      <c r="Y10927" s="18" t="s">
        <v>17171</v>
      </c>
      <c r="Z10927" s="18" t="s">
        <v>24637</v>
      </c>
      <c r="AA10927" s="21" t="str">
        <f>HYPERLINK("https://www.ncbi.nlm.nih.gov/nuccore/CASDWV010003712","NCBI Nucleotide")</f>
        <v>NCBI Nucleotide</v>
      </c>
    </row>
    <row r="10928" spans="1:27" x14ac:dyDescent="0.35">
      <c r="A10928">
        <v>1027109</v>
      </c>
      <c r="B10928">
        <v>10253</v>
      </c>
      <c r="C10928">
        <v>1</v>
      </c>
      <c r="D10928" s="17" t="s">
        <v>17166</v>
      </c>
      <c r="E10928" s="17"/>
      <c r="F10928" s="17" t="s">
        <v>17246</v>
      </c>
      <c r="G10928" s="17"/>
      <c r="H10928" s="17" t="s">
        <v>20919</v>
      </c>
      <c r="I10928" s="17"/>
      <c r="J10928" s="17" t="s">
        <v>21313</v>
      </c>
      <c r="K10928" s="17"/>
      <c r="L10928" s="17" t="s">
        <v>22378</v>
      </c>
      <c r="M10928" s="17"/>
      <c r="N10928" s="17" t="s">
        <v>22459</v>
      </c>
      <c r="O10928" s="17"/>
      <c r="P10928" s="17" t="s">
        <v>45008</v>
      </c>
      <c r="Q10928" s="17"/>
      <c r="R10928" s="25" t="str">
        <f>HYPERLINK("https://ictv.global/taxonomy/taxondetails?taxnode_id=202317369","Hodnevirus pseudolimicola")</f>
        <v>Hodnevirus pseudolimicola</v>
      </c>
      <c r="S10928" s="18" t="s">
        <v>30</v>
      </c>
      <c r="T10928" s="18" t="s">
        <v>45527</v>
      </c>
      <c r="U10928" s="18"/>
      <c r="V10928" s="18"/>
      <c r="W10928" s="18" t="s">
        <v>45528</v>
      </c>
      <c r="X10928" s="18" t="s">
        <v>35</v>
      </c>
      <c r="Y10928" s="18" t="s">
        <v>17171</v>
      </c>
      <c r="Z10928" s="18" t="s">
        <v>24637</v>
      </c>
      <c r="AA10928" s="21" t="str">
        <f>HYPERLINK("https://www.ncbi.nlm.nih.gov/nuccore/CASDWV010003972","NCBI Nucleotide")</f>
        <v>NCBI Nucleotide</v>
      </c>
    </row>
    <row r="10929" spans="1:27" x14ac:dyDescent="0.35">
      <c r="A10929">
        <v>1027110</v>
      </c>
      <c r="B10929">
        <v>10254</v>
      </c>
      <c r="C10929">
        <v>1</v>
      </c>
      <c r="D10929" s="17" t="s">
        <v>17166</v>
      </c>
      <c r="E10929" s="17"/>
      <c r="F10929" s="17" t="s">
        <v>17246</v>
      </c>
      <c r="G10929" s="17"/>
      <c r="H10929" s="17" t="s">
        <v>20919</v>
      </c>
      <c r="I10929" s="17"/>
      <c r="J10929" s="17" t="s">
        <v>21313</v>
      </c>
      <c r="K10929" s="17"/>
      <c r="L10929" s="17" t="s">
        <v>22378</v>
      </c>
      <c r="M10929" s="17"/>
      <c r="N10929" s="17" t="s">
        <v>22459</v>
      </c>
      <c r="O10929" s="17"/>
      <c r="P10929" s="17" t="s">
        <v>45008</v>
      </c>
      <c r="Q10929" s="17"/>
      <c r="R10929" s="25" t="str">
        <f>HYPERLINK("https://ictv.global/taxonomy/taxondetails?taxnode_id=202317370","Hodnevirus pseudolutadaptatum")</f>
        <v>Hodnevirus pseudolutadaptatum</v>
      </c>
      <c r="S10929" s="18" t="s">
        <v>30</v>
      </c>
      <c r="T10929" s="18" t="s">
        <v>45529</v>
      </c>
      <c r="U10929" s="18"/>
      <c r="V10929" s="18"/>
      <c r="W10929" s="18" t="s">
        <v>45530</v>
      </c>
      <c r="X10929" s="18" t="s">
        <v>35</v>
      </c>
      <c r="Y10929" s="18" t="s">
        <v>17171</v>
      </c>
      <c r="Z10929" s="18" t="s">
        <v>24637</v>
      </c>
      <c r="AA10929" s="21" t="str">
        <f>HYPERLINK("https://www.ncbi.nlm.nih.gov/nuccore/CASDWV010003306","NCBI Nucleotide")</f>
        <v>NCBI Nucleotide</v>
      </c>
    </row>
    <row r="10930" spans="1:27" x14ac:dyDescent="0.35">
      <c r="A10930">
        <v>1027111</v>
      </c>
      <c r="B10930">
        <v>10255</v>
      </c>
      <c r="C10930">
        <v>1</v>
      </c>
      <c r="D10930" s="17" t="s">
        <v>17166</v>
      </c>
      <c r="E10930" s="17"/>
      <c r="F10930" s="17" t="s">
        <v>17246</v>
      </c>
      <c r="G10930" s="17"/>
      <c r="H10930" s="17" t="s">
        <v>20919</v>
      </c>
      <c r="I10930" s="17"/>
      <c r="J10930" s="17" t="s">
        <v>21313</v>
      </c>
      <c r="K10930" s="17"/>
      <c r="L10930" s="17" t="s">
        <v>22378</v>
      </c>
      <c r="M10930" s="17"/>
      <c r="N10930" s="17" t="s">
        <v>22459</v>
      </c>
      <c r="O10930" s="17"/>
      <c r="P10930" s="17" t="s">
        <v>45008</v>
      </c>
      <c r="Q10930" s="17"/>
      <c r="R10930" s="25" t="str">
        <f>HYPERLINK("https://ictv.global/taxonomy/taxondetails?taxnode_id=202317371","Hodnevirus pseudolutenecus")</f>
        <v>Hodnevirus pseudolutenecus</v>
      </c>
      <c r="S10930" s="18" t="s">
        <v>30</v>
      </c>
      <c r="T10930" s="18" t="s">
        <v>45531</v>
      </c>
      <c r="U10930" s="18"/>
      <c r="V10930" s="18"/>
      <c r="W10930" s="18" t="s">
        <v>45532</v>
      </c>
      <c r="X10930" s="18" t="s">
        <v>35</v>
      </c>
      <c r="Y10930" s="18" t="s">
        <v>17171</v>
      </c>
      <c r="Z10930" s="18" t="s">
        <v>24637</v>
      </c>
      <c r="AA10930" s="21" t="str">
        <f>HYPERLINK("https://www.ncbi.nlm.nih.gov/nuccore/CASDWV010002943","NCBI Nucleotide")</f>
        <v>NCBI Nucleotide</v>
      </c>
    </row>
    <row r="10931" spans="1:27" x14ac:dyDescent="0.35">
      <c r="A10931">
        <v>1027112</v>
      </c>
      <c r="B10931">
        <v>10256</v>
      </c>
      <c r="C10931">
        <v>1</v>
      </c>
      <c r="D10931" s="17" t="s">
        <v>17166</v>
      </c>
      <c r="E10931" s="17"/>
      <c r="F10931" s="17" t="s">
        <v>17246</v>
      </c>
      <c r="G10931" s="17"/>
      <c r="H10931" s="17" t="s">
        <v>20919</v>
      </c>
      <c r="I10931" s="17"/>
      <c r="J10931" s="17" t="s">
        <v>21313</v>
      </c>
      <c r="K10931" s="17"/>
      <c r="L10931" s="17" t="s">
        <v>22378</v>
      </c>
      <c r="M10931" s="17"/>
      <c r="N10931" s="17" t="s">
        <v>22459</v>
      </c>
      <c r="O10931" s="17"/>
      <c r="P10931" s="17" t="s">
        <v>45008</v>
      </c>
      <c r="Q10931" s="17"/>
      <c r="R10931" s="25" t="str">
        <f>HYPERLINK("https://ictv.global/taxonomy/taxondetails?taxnode_id=202317372","Hodnevirus pseudolutivivens")</f>
        <v>Hodnevirus pseudolutivivens</v>
      </c>
      <c r="S10931" s="18" t="s">
        <v>30</v>
      </c>
      <c r="T10931" s="18" t="s">
        <v>45533</v>
      </c>
      <c r="U10931" s="18"/>
      <c r="V10931" s="18"/>
      <c r="W10931" s="18" t="s">
        <v>45534</v>
      </c>
      <c r="X10931" s="18" t="s">
        <v>35</v>
      </c>
      <c r="Y10931" s="18" t="s">
        <v>17171</v>
      </c>
      <c r="Z10931" s="18" t="s">
        <v>24637</v>
      </c>
      <c r="AA10931" s="21" t="str">
        <f>HYPERLINK("https://www.ncbi.nlm.nih.gov/nuccore/CASDWV010002955","NCBI Nucleotide")</f>
        <v>NCBI Nucleotide</v>
      </c>
    </row>
    <row r="10932" spans="1:27" x14ac:dyDescent="0.35">
      <c r="A10932">
        <v>1027113</v>
      </c>
      <c r="B10932">
        <v>10257</v>
      </c>
      <c r="C10932">
        <v>1</v>
      </c>
      <c r="D10932" s="17" t="s">
        <v>17166</v>
      </c>
      <c r="E10932" s="17"/>
      <c r="F10932" s="17" t="s">
        <v>17246</v>
      </c>
      <c r="G10932" s="17"/>
      <c r="H10932" s="17" t="s">
        <v>20919</v>
      </c>
      <c r="I10932" s="17"/>
      <c r="J10932" s="17" t="s">
        <v>21313</v>
      </c>
      <c r="K10932" s="17"/>
      <c r="L10932" s="17" t="s">
        <v>22378</v>
      </c>
      <c r="M10932" s="17"/>
      <c r="N10932" s="17" t="s">
        <v>22459</v>
      </c>
      <c r="O10932" s="17"/>
      <c r="P10932" s="17" t="s">
        <v>45008</v>
      </c>
      <c r="Q10932" s="17"/>
      <c r="R10932" s="25" t="str">
        <f>HYPERLINK("https://ictv.global/taxonomy/taxondetails?taxnode_id=202317373","Hodnevirus pseudomessadaptatum")</f>
        <v>Hodnevirus pseudomessadaptatum</v>
      </c>
      <c r="S10932" s="18" t="s">
        <v>30</v>
      </c>
      <c r="T10932" s="18" t="s">
        <v>45535</v>
      </c>
      <c r="U10932" s="18"/>
      <c r="V10932" s="18"/>
      <c r="W10932" s="18" t="s">
        <v>45536</v>
      </c>
      <c r="X10932" s="18" t="s">
        <v>35</v>
      </c>
      <c r="Y10932" s="18" t="s">
        <v>17171</v>
      </c>
      <c r="Z10932" s="18" t="s">
        <v>24637</v>
      </c>
      <c r="AA10932" s="21" t="str">
        <f>HYPERLINK("https://www.ncbi.nlm.nih.gov/nuccore/CASDWV010003334","NCBI Nucleotide")</f>
        <v>NCBI Nucleotide</v>
      </c>
    </row>
    <row r="10933" spans="1:27" x14ac:dyDescent="0.35">
      <c r="A10933">
        <v>1027114</v>
      </c>
      <c r="B10933">
        <v>10258</v>
      </c>
      <c r="C10933">
        <v>1</v>
      </c>
      <c r="D10933" s="17" t="s">
        <v>17166</v>
      </c>
      <c r="E10933" s="17"/>
      <c r="F10933" s="17" t="s">
        <v>17246</v>
      </c>
      <c r="G10933" s="17"/>
      <c r="H10933" s="17" t="s">
        <v>20919</v>
      </c>
      <c r="I10933" s="17"/>
      <c r="J10933" s="17" t="s">
        <v>21313</v>
      </c>
      <c r="K10933" s="17"/>
      <c r="L10933" s="17" t="s">
        <v>22378</v>
      </c>
      <c r="M10933" s="17"/>
      <c r="N10933" s="17" t="s">
        <v>22459</v>
      </c>
      <c r="O10933" s="17"/>
      <c r="P10933" s="17" t="s">
        <v>45008</v>
      </c>
      <c r="Q10933" s="17"/>
      <c r="R10933" s="25" t="str">
        <f>HYPERLINK("https://ictv.global/taxonomy/taxondetails?taxnode_id=202317374","Hodnevirus pseudomessenecus")</f>
        <v>Hodnevirus pseudomessenecus</v>
      </c>
      <c r="S10933" s="18" t="s">
        <v>30</v>
      </c>
      <c r="T10933" s="18" t="s">
        <v>45537</v>
      </c>
      <c r="U10933" s="18"/>
      <c r="V10933" s="18"/>
      <c r="W10933" s="18" t="s">
        <v>45538</v>
      </c>
      <c r="X10933" s="18" t="s">
        <v>35</v>
      </c>
      <c r="Y10933" s="18" t="s">
        <v>17171</v>
      </c>
      <c r="Z10933" s="18" t="s">
        <v>24637</v>
      </c>
      <c r="AA10933" s="21" t="str">
        <f>HYPERLINK("https://www.ncbi.nlm.nih.gov/nuccore/CASDWV010003329","NCBI Nucleotide")</f>
        <v>NCBI Nucleotide</v>
      </c>
    </row>
    <row r="10934" spans="1:27" x14ac:dyDescent="0.35">
      <c r="A10934">
        <v>1027115</v>
      </c>
      <c r="B10934">
        <v>10259</v>
      </c>
      <c r="C10934">
        <v>1</v>
      </c>
      <c r="D10934" s="17" t="s">
        <v>17166</v>
      </c>
      <c r="E10934" s="17"/>
      <c r="F10934" s="17" t="s">
        <v>17246</v>
      </c>
      <c r="G10934" s="17"/>
      <c r="H10934" s="17" t="s">
        <v>20919</v>
      </c>
      <c r="I10934" s="17"/>
      <c r="J10934" s="17" t="s">
        <v>21313</v>
      </c>
      <c r="K10934" s="17"/>
      <c r="L10934" s="17" t="s">
        <v>22378</v>
      </c>
      <c r="M10934" s="17"/>
      <c r="N10934" s="17" t="s">
        <v>22459</v>
      </c>
      <c r="O10934" s="17"/>
      <c r="P10934" s="17" t="s">
        <v>45008</v>
      </c>
      <c r="Q10934" s="17"/>
      <c r="R10934" s="25" t="str">
        <f>HYPERLINK("https://ictv.global/taxonomy/taxondetails?taxnode_id=202317375","Hodnevirus pseudomessicola")</f>
        <v>Hodnevirus pseudomessicola</v>
      </c>
      <c r="S10934" s="18" t="s">
        <v>30</v>
      </c>
      <c r="T10934" s="18" t="s">
        <v>45539</v>
      </c>
      <c r="U10934" s="18"/>
      <c r="V10934" s="18"/>
      <c r="W10934" s="18" t="s">
        <v>45540</v>
      </c>
      <c r="X10934" s="18" t="s">
        <v>35</v>
      </c>
      <c r="Y10934" s="18" t="s">
        <v>17171</v>
      </c>
      <c r="Z10934" s="18" t="s">
        <v>24637</v>
      </c>
      <c r="AA10934" s="21" t="str">
        <f>HYPERLINK("https://www.ncbi.nlm.nih.gov/nuccore/CASDWV010000443","NCBI Nucleotide")</f>
        <v>NCBI Nucleotide</v>
      </c>
    </row>
    <row r="10935" spans="1:27" x14ac:dyDescent="0.35">
      <c r="A10935">
        <v>1027116</v>
      </c>
      <c r="B10935">
        <v>10260</v>
      </c>
      <c r="C10935">
        <v>1</v>
      </c>
      <c r="D10935" s="17" t="s">
        <v>17166</v>
      </c>
      <c r="E10935" s="17"/>
      <c r="F10935" s="17" t="s">
        <v>17246</v>
      </c>
      <c r="G10935" s="17"/>
      <c r="H10935" s="17" t="s">
        <v>20919</v>
      </c>
      <c r="I10935" s="17"/>
      <c r="J10935" s="17" t="s">
        <v>21313</v>
      </c>
      <c r="K10935" s="17"/>
      <c r="L10935" s="17" t="s">
        <v>22378</v>
      </c>
      <c r="M10935" s="17"/>
      <c r="N10935" s="17" t="s">
        <v>22459</v>
      </c>
      <c r="O10935" s="17"/>
      <c r="P10935" s="17" t="s">
        <v>45008</v>
      </c>
      <c r="Q10935" s="17"/>
      <c r="R10935" s="25" t="str">
        <f>HYPERLINK("https://ictv.global/taxonomy/taxondetails?taxnode_id=202317376","Hodnevirus pseudomessihabitans")</f>
        <v>Hodnevirus pseudomessihabitans</v>
      </c>
      <c r="S10935" s="18" t="s">
        <v>30</v>
      </c>
      <c r="T10935" s="18" t="s">
        <v>45541</v>
      </c>
      <c r="U10935" s="18"/>
      <c r="V10935" s="18"/>
      <c r="W10935" s="18" t="s">
        <v>45542</v>
      </c>
      <c r="X10935" s="18" t="s">
        <v>35</v>
      </c>
      <c r="Y10935" s="18" t="s">
        <v>17171</v>
      </c>
      <c r="Z10935" s="18" t="s">
        <v>24637</v>
      </c>
      <c r="AA10935" s="21" t="str">
        <f>HYPERLINK("https://www.ncbi.nlm.nih.gov/nuccore/CASDWV010000039","NCBI Nucleotide")</f>
        <v>NCBI Nucleotide</v>
      </c>
    </row>
    <row r="10936" spans="1:27" x14ac:dyDescent="0.35">
      <c r="A10936">
        <v>1027117</v>
      </c>
      <c r="B10936">
        <v>10261</v>
      </c>
      <c r="C10936">
        <v>1</v>
      </c>
      <c r="D10936" s="17" t="s">
        <v>17166</v>
      </c>
      <c r="E10936" s="17"/>
      <c r="F10936" s="17" t="s">
        <v>17246</v>
      </c>
      <c r="G10936" s="17"/>
      <c r="H10936" s="17" t="s">
        <v>20919</v>
      </c>
      <c r="I10936" s="17"/>
      <c r="J10936" s="17" t="s">
        <v>21313</v>
      </c>
      <c r="K10936" s="17"/>
      <c r="L10936" s="17" t="s">
        <v>22378</v>
      </c>
      <c r="M10936" s="17"/>
      <c r="N10936" s="17" t="s">
        <v>22459</v>
      </c>
      <c r="O10936" s="17"/>
      <c r="P10936" s="17" t="s">
        <v>45008</v>
      </c>
      <c r="Q10936" s="17"/>
      <c r="R10936" s="25" t="str">
        <f>HYPERLINK("https://ictv.global/taxonomy/taxondetails?taxnode_id=202317377","Hodnevirus pseudomessivivens")</f>
        <v>Hodnevirus pseudomessivivens</v>
      </c>
      <c r="S10936" s="18" t="s">
        <v>30</v>
      </c>
      <c r="T10936" s="18" t="s">
        <v>45543</v>
      </c>
      <c r="U10936" s="18"/>
      <c r="V10936" s="18"/>
      <c r="W10936" s="18" t="s">
        <v>45544</v>
      </c>
      <c r="X10936" s="18" t="s">
        <v>35</v>
      </c>
      <c r="Y10936" s="18" t="s">
        <v>17171</v>
      </c>
      <c r="Z10936" s="18" t="s">
        <v>24637</v>
      </c>
      <c r="AA10936" s="21" t="str">
        <f>HYPERLINK("https://www.ncbi.nlm.nih.gov/nuccore/CASDWV010003094","NCBI Nucleotide")</f>
        <v>NCBI Nucleotide</v>
      </c>
    </row>
    <row r="10937" spans="1:27" x14ac:dyDescent="0.35">
      <c r="A10937">
        <v>1027118</v>
      </c>
      <c r="B10937">
        <v>10262</v>
      </c>
      <c r="C10937">
        <v>1</v>
      </c>
      <c r="D10937" s="17" t="s">
        <v>17166</v>
      </c>
      <c r="E10937" s="17"/>
      <c r="F10937" s="17" t="s">
        <v>17246</v>
      </c>
      <c r="G10937" s="17"/>
      <c r="H10937" s="17" t="s">
        <v>20919</v>
      </c>
      <c r="I10937" s="17"/>
      <c r="J10937" s="17" t="s">
        <v>21313</v>
      </c>
      <c r="K10937" s="17"/>
      <c r="L10937" s="17" t="s">
        <v>22378</v>
      </c>
      <c r="M10937" s="17"/>
      <c r="N10937" s="17" t="s">
        <v>22459</v>
      </c>
      <c r="O10937" s="17"/>
      <c r="P10937" s="17" t="s">
        <v>45008</v>
      </c>
      <c r="Q10937" s="17"/>
      <c r="R10937" s="25" t="str">
        <f>HYPERLINK("https://ictv.global/taxonomy/taxondetails?taxnode_id=202317378","Hodnevirus pseudopedohabitans")</f>
        <v>Hodnevirus pseudopedohabitans</v>
      </c>
      <c r="S10937" s="18" t="s">
        <v>30</v>
      </c>
      <c r="T10937" s="18" t="s">
        <v>45545</v>
      </c>
      <c r="U10937" s="18"/>
      <c r="V10937" s="18"/>
      <c r="W10937" s="18" t="s">
        <v>45546</v>
      </c>
      <c r="X10937" s="18" t="s">
        <v>35</v>
      </c>
      <c r="Y10937" s="18" t="s">
        <v>17171</v>
      </c>
      <c r="Z10937" s="18" t="s">
        <v>24637</v>
      </c>
      <c r="AA10937" s="21" t="str">
        <f>HYPERLINK("https://www.ncbi.nlm.nih.gov/nuccore/CASDWV010003486","NCBI Nucleotide")</f>
        <v>NCBI Nucleotide</v>
      </c>
    </row>
    <row r="10938" spans="1:27" x14ac:dyDescent="0.35">
      <c r="A10938">
        <v>1027119</v>
      </c>
      <c r="B10938">
        <v>10263</v>
      </c>
      <c r="C10938">
        <v>1</v>
      </c>
      <c r="D10938" s="17" t="s">
        <v>17166</v>
      </c>
      <c r="E10938" s="17"/>
      <c r="F10938" s="17" t="s">
        <v>17246</v>
      </c>
      <c r="G10938" s="17"/>
      <c r="H10938" s="17" t="s">
        <v>20919</v>
      </c>
      <c r="I10938" s="17"/>
      <c r="J10938" s="17" t="s">
        <v>21313</v>
      </c>
      <c r="K10938" s="17"/>
      <c r="L10938" s="17" t="s">
        <v>22378</v>
      </c>
      <c r="M10938" s="17"/>
      <c r="N10938" s="17" t="s">
        <v>22459</v>
      </c>
      <c r="O10938" s="17"/>
      <c r="P10938" s="17" t="s">
        <v>45008</v>
      </c>
      <c r="Q10938" s="17"/>
      <c r="R10938" s="25" t="str">
        <f>HYPERLINK("https://ictv.global/taxonomy/taxondetails?taxnode_id=202317379","Hodnevirus pseudopeladaptatum")</f>
        <v>Hodnevirus pseudopeladaptatum</v>
      </c>
      <c r="S10938" s="18" t="s">
        <v>30</v>
      </c>
      <c r="T10938" s="18" t="s">
        <v>45547</v>
      </c>
      <c r="U10938" s="18"/>
      <c r="V10938" s="18"/>
      <c r="W10938" s="18" t="s">
        <v>45548</v>
      </c>
      <c r="X10938" s="18" t="s">
        <v>35</v>
      </c>
      <c r="Y10938" s="18" t="s">
        <v>17171</v>
      </c>
      <c r="Z10938" s="18" t="s">
        <v>24637</v>
      </c>
      <c r="AA10938" s="21" t="str">
        <f>HYPERLINK("https://www.ncbi.nlm.nih.gov/nuccore/CASDWV010002906","NCBI Nucleotide")</f>
        <v>NCBI Nucleotide</v>
      </c>
    </row>
    <row r="10939" spans="1:27" x14ac:dyDescent="0.35">
      <c r="A10939">
        <v>1027120</v>
      </c>
      <c r="B10939">
        <v>10264</v>
      </c>
      <c r="C10939">
        <v>1</v>
      </c>
      <c r="D10939" s="17" t="s">
        <v>17166</v>
      </c>
      <c r="E10939" s="17"/>
      <c r="F10939" s="17" t="s">
        <v>17246</v>
      </c>
      <c r="G10939" s="17"/>
      <c r="H10939" s="17" t="s">
        <v>20919</v>
      </c>
      <c r="I10939" s="17"/>
      <c r="J10939" s="17" t="s">
        <v>21313</v>
      </c>
      <c r="K10939" s="17"/>
      <c r="L10939" s="17" t="s">
        <v>22378</v>
      </c>
      <c r="M10939" s="17"/>
      <c r="N10939" s="17" t="s">
        <v>22459</v>
      </c>
      <c r="O10939" s="17"/>
      <c r="P10939" s="17" t="s">
        <v>45008</v>
      </c>
      <c r="Q10939" s="17"/>
      <c r="R10939" s="25" t="str">
        <f>HYPERLINK("https://ictv.global/taxonomy/taxondetails?taxnode_id=202317380","Hodnevirus pseudopelenecus")</f>
        <v>Hodnevirus pseudopelenecus</v>
      </c>
      <c r="S10939" s="18" t="s">
        <v>30</v>
      </c>
      <c r="T10939" s="18" t="s">
        <v>45549</v>
      </c>
      <c r="U10939" s="18"/>
      <c r="V10939" s="18"/>
      <c r="W10939" s="18" t="s">
        <v>45550</v>
      </c>
      <c r="X10939" s="18" t="s">
        <v>35</v>
      </c>
      <c r="Y10939" s="18" t="s">
        <v>17171</v>
      </c>
      <c r="Z10939" s="18" t="s">
        <v>24637</v>
      </c>
      <c r="AA10939" s="21" t="str">
        <f>HYPERLINK("https://www.ncbi.nlm.nih.gov/nuccore/CASDWV010003038","NCBI Nucleotide")</f>
        <v>NCBI Nucleotide</v>
      </c>
    </row>
    <row r="10940" spans="1:27" x14ac:dyDescent="0.35">
      <c r="A10940">
        <v>1027121</v>
      </c>
      <c r="B10940">
        <v>10265</v>
      </c>
      <c r="C10940">
        <v>1</v>
      </c>
      <c r="D10940" s="17" t="s">
        <v>17166</v>
      </c>
      <c r="E10940" s="17"/>
      <c r="F10940" s="17" t="s">
        <v>17246</v>
      </c>
      <c r="G10940" s="17"/>
      <c r="H10940" s="17" t="s">
        <v>20919</v>
      </c>
      <c r="I10940" s="17"/>
      <c r="J10940" s="17" t="s">
        <v>21313</v>
      </c>
      <c r="K10940" s="17"/>
      <c r="L10940" s="17" t="s">
        <v>22378</v>
      </c>
      <c r="M10940" s="17"/>
      <c r="N10940" s="17" t="s">
        <v>22459</v>
      </c>
      <c r="O10940" s="17"/>
      <c r="P10940" s="17" t="s">
        <v>45008</v>
      </c>
      <c r="Q10940" s="17"/>
      <c r="R10940" s="25" t="str">
        <f>HYPERLINK("https://ictv.global/taxonomy/taxondetails?taxnode_id=202317381","Hodnevirus pseudopelohabitans")</f>
        <v>Hodnevirus pseudopelohabitans</v>
      </c>
      <c r="S10940" s="18" t="s">
        <v>30</v>
      </c>
      <c r="T10940" s="18" t="s">
        <v>45551</v>
      </c>
      <c r="U10940" s="18"/>
      <c r="V10940" s="18"/>
      <c r="W10940" s="18" t="s">
        <v>45552</v>
      </c>
      <c r="X10940" s="18" t="s">
        <v>35</v>
      </c>
      <c r="Y10940" s="18" t="s">
        <v>17171</v>
      </c>
      <c r="Z10940" s="18" t="s">
        <v>24637</v>
      </c>
      <c r="AA10940" s="21" t="str">
        <f>HYPERLINK("https://www.ncbi.nlm.nih.gov/nuccore/CASDWV010003665","NCBI Nucleotide")</f>
        <v>NCBI Nucleotide</v>
      </c>
    </row>
    <row r="10941" spans="1:27" x14ac:dyDescent="0.35">
      <c r="A10941">
        <v>1027122</v>
      </c>
      <c r="B10941">
        <v>10266</v>
      </c>
      <c r="C10941">
        <v>1</v>
      </c>
      <c r="D10941" s="17" t="s">
        <v>17166</v>
      </c>
      <c r="E10941" s="17"/>
      <c r="F10941" s="17" t="s">
        <v>17246</v>
      </c>
      <c r="G10941" s="17"/>
      <c r="H10941" s="17" t="s">
        <v>20919</v>
      </c>
      <c r="I10941" s="17"/>
      <c r="J10941" s="17" t="s">
        <v>21313</v>
      </c>
      <c r="K10941" s="17"/>
      <c r="L10941" s="17" t="s">
        <v>22378</v>
      </c>
      <c r="M10941" s="17"/>
      <c r="N10941" s="17" t="s">
        <v>22459</v>
      </c>
      <c r="O10941" s="17"/>
      <c r="P10941" s="17" t="s">
        <v>45008</v>
      </c>
      <c r="Q10941" s="17"/>
      <c r="R10941" s="25" t="str">
        <f>HYPERLINK("https://ictv.global/taxonomy/taxondetails?taxnode_id=202317382","Hodnevirus pseudoradicicola")</f>
        <v>Hodnevirus pseudoradicicola</v>
      </c>
      <c r="S10941" s="18" t="s">
        <v>30</v>
      </c>
      <c r="T10941" s="18" t="s">
        <v>45553</v>
      </c>
      <c r="U10941" s="18"/>
      <c r="V10941" s="18"/>
      <c r="W10941" s="18" t="s">
        <v>45554</v>
      </c>
      <c r="X10941" s="18" t="s">
        <v>35</v>
      </c>
      <c r="Y10941" s="18" t="s">
        <v>17171</v>
      </c>
      <c r="Z10941" s="18" t="s">
        <v>24637</v>
      </c>
      <c r="AA10941" s="21" t="str">
        <f>HYPERLINK("https://www.ncbi.nlm.nih.gov/nuccore/CASDWV010000113","NCBI Nucleotide")</f>
        <v>NCBI Nucleotide</v>
      </c>
    </row>
    <row r="10942" spans="1:27" x14ac:dyDescent="0.35">
      <c r="A10942">
        <v>1027123</v>
      </c>
      <c r="B10942">
        <v>10267</v>
      </c>
      <c r="C10942">
        <v>1</v>
      </c>
      <c r="D10942" s="17" t="s">
        <v>17166</v>
      </c>
      <c r="E10942" s="17"/>
      <c r="F10942" s="17" t="s">
        <v>17246</v>
      </c>
      <c r="G10942" s="17"/>
      <c r="H10942" s="17" t="s">
        <v>20919</v>
      </c>
      <c r="I10942" s="17"/>
      <c r="J10942" s="17" t="s">
        <v>21313</v>
      </c>
      <c r="K10942" s="17"/>
      <c r="L10942" s="17" t="s">
        <v>22378</v>
      </c>
      <c r="M10942" s="17"/>
      <c r="N10942" s="17" t="s">
        <v>22459</v>
      </c>
      <c r="O10942" s="17"/>
      <c r="P10942" s="17" t="s">
        <v>45008</v>
      </c>
      <c r="Q10942" s="17"/>
      <c r="R10942" s="25" t="str">
        <f>HYPERLINK("https://ictv.global/taxonomy/taxondetails?taxnode_id=202317383","Hodnevirus pseudoradicihabitans")</f>
        <v>Hodnevirus pseudoradicihabitans</v>
      </c>
      <c r="S10942" s="18" t="s">
        <v>30</v>
      </c>
      <c r="T10942" s="18" t="s">
        <v>45555</v>
      </c>
      <c r="U10942" s="18"/>
      <c r="V10942" s="18"/>
      <c r="W10942" s="18" t="s">
        <v>45556</v>
      </c>
      <c r="X10942" s="18" t="s">
        <v>35</v>
      </c>
      <c r="Y10942" s="18" t="s">
        <v>17171</v>
      </c>
      <c r="Z10942" s="18" t="s">
        <v>24637</v>
      </c>
      <c r="AA10942" s="21" t="str">
        <f>HYPERLINK("https://www.ncbi.nlm.nih.gov/nuccore/CASDWV010002647","NCBI Nucleotide")</f>
        <v>NCBI Nucleotide</v>
      </c>
    </row>
    <row r="10943" spans="1:27" x14ac:dyDescent="0.35">
      <c r="A10943">
        <v>1027124</v>
      </c>
      <c r="B10943">
        <v>10268</v>
      </c>
      <c r="C10943">
        <v>1</v>
      </c>
      <c r="D10943" s="17" t="s">
        <v>17166</v>
      </c>
      <c r="E10943" s="17"/>
      <c r="F10943" s="17" t="s">
        <v>17246</v>
      </c>
      <c r="G10943" s="17"/>
      <c r="H10943" s="17" t="s">
        <v>20919</v>
      </c>
      <c r="I10943" s="17"/>
      <c r="J10943" s="17" t="s">
        <v>21313</v>
      </c>
      <c r="K10943" s="17"/>
      <c r="L10943" s="17" t="s">
        <v>22378</v>
      </c>
      <c r="M10943" s="17"/>
      <c r="N10943" s="17" t="s">
        <v>22459</v>
      </c>
      <c r="O10943" s="17"/>
      <c r="P10943" s="17" t="s">
        <v>45008</v>
      </c>
      <c r="Q10943" s="17"/>
      <c r="R10943" s="25" t="str">
        <f>HYPERLINK("https://ictv.global/taxonomy/taxondetails?taxnode_id=202317384","Hodnevirus pseudoradicivivens")</f>
        <v>Hodnevirus pseudoradicivivens</v>
      </c>
      <c r="S10943" s="18" t="s">
        <v>30</v>
      </c>
      <c r="T10943" s="18" t="s">
        <v>45557</v>
      </c>
      <c r="U10943" s="18"/>
      <c r="V10943" s="18"/>
      <c r="W10943" s="18" t="s">
        <v>45558</v>
      </c>
      <c r="X10943" s="18" t="s">
        <v>35</v>
      </c>
      <c r="Y10943" s="18" t="s">
        <v>17171</v>
      </c>
      <c r="Z10943" s="18" t="s">
        <v>24637</v>
      </c>
      <c r="AA10943" s="21" t="str">
        <f>HYPERLINK("https://www.ncbi.nlm.nih.gov/nuccore/CASDWV010003311","NCBI Nucleotide")</f>
        <v>NCBI Nucleotide</v>
      </c>
    </row>
    <row r="10944" spans="1:27" x14ac:dyDescent="0.35">
      <c r="A10944">
        <v>1027125</v>
      </c>
      <c r="B10944">
        <v>10269</v>
      </c>
      <c r="C10944">
        <v>1</v>
      </c>
      <c r="D10944" s="17" t="s">
        <v>17166</v>
      </c>
      <c r="E10944" s="17"/>
      <c r="F10944" s="17" t="s">
        <v>17246</v>
      </c>
      <c r="G10944" s="17"/>
      <c r="H10944" s="17" t="s">
        <v>20919</v>
      </c>
      <c r="I10944" s="17"/>
      <c r="J10944" s="17" t="s">
        <v>21313</v>
      </c>
      <c r="K10944" s="17"/>
      <c r="L10944" s="17" t="s">
        <v>22378</v>
      </c>
      <c r="M10944" s="17"/>
      <c r="N10944" s="17" t="s">
        <v>22459</v>
      </c>
      <c r="O10944" s="17"/>
      <c r="P10944" s="17" t="s">
        <v>45008</v>
      </c>
      <c r="Q10944" s="17"/>
      <c r="R10944" s="25" t="str">
        <f>HYPERLINK("https://ictv.global/taxonomy/taxondetails?taxnode_id=202317385","Hodnevirus pseudosegetenecus")</f>
        <v>Hodnevirus pseudosegetenecus</v>
      </c>
      <c r="S10944" s="18" t="s">
        <v>30</v>
      </c>
      <c r="T10944" s="18" t="s">
        <v>45559</v>
      </c>
      <c r="U10944" s="18"/>
      <c r="V10944" s="18"/>
      <c r="W10944" s="18" t="s">
        <v>45560</v>
      </c>
      <c r="X10944" s="18" t="s">
        <v>35</v>
      </c>
      <c r="Y10944" s="18" t="s">
        <v>17171</v>
      </c>
      <c r="Z10944" s="18" t="s">
        <v>24637</v>
      </c>
      <c r="AA10944" s="21" t="str">
        <f>HYPERLINK("https://www.ncbi.nlm.nih.gov/nuccore/CASDWV010003025","NCBI Nucleotide")</f>
        <v>NCBI Nucleotide</v>
      </c>
    </row>
    <row r="10945" spans="1:27" x14ac:dyDescent="0.35">
      <c r="A10945">
        <v>1027126</v>
      </c>
      <c r="B10945">
        <v>10270</v>
      </c>
      <c r="C10945">
        <v>1</v>
      </c>
      <c r="D10945" s="17" t="s">
        <v>17166</v>
      </c>
      <c r="E10945" s="17"/>
      <c r="F10945" s="17" t="s">
        <v>17246</v>
      </c>
      <c r="G10945" s="17"/>
      <c r="H10945" s="17" t="s">
        <v>20919</v>
      </c>
      <c r="I10945" s="17"/>
      <c r="J10945" s="17" t="s">
        <v>21313</v>
      </c>
      <c r="K10945" s="17"/>
      <c r="L10945" s="17" t="s">
        <v>22378</v>
      </c>
      <c r="M10945" s="17"/>
      <c r="N10945" s="17" t="s">
        <v>22459</v>
      </c>
      <c r="O10945" s="17"/>
      <c r="P10945" s="17" t="s">
        <v>45008</v>
      </c>
      <c r="Q10945" s="17"/>
      <c r="R10945" s="25" t="str">
        <f>HYPERLINK("https://ictv.global/taxonomy/taxondetails?taxnode_id=202317386","Hodnevirus pseudosegeticola")</f>
        <v>Hodnevirus pseudosegeticola</v>
      </c>
      <c r="S10945" s="18" t="s">
        <v>30</v>
      </c>
      <c r="T10945" s="18" t="s">
        <v>45561</v>
      </c>
      <c r="U10945" s="18"/>
      <c r="V10945" s="18"/>
      <c r="W10945" s="18" t="s">
        <v>45562</v>
      </c>
      <c r="X10945" s="18" t="s">
        <v>35</v>
      </c>
      <c r="Y10945" s="18" t="s">
        <v>17171</v>
      </c>
      <c r="Z10945" s="18" t="s">
        <v>24637</v>
      </c>
      <c r="AA10945" s="21" t="str">
        <f>HYPERLINK("https://www.ncbi.nlm.nih.gov/nuccore/CASDWV010003864","NCBI Nucleotide")</f>
        <v>NCBI Nucleotide</v>
      </c>
    </row>
    <row r="10946" spans="1:27" x14ac:dyDescent="0.35">
      <c r="A10946">
        <v>1027127</v>
      </c>
      <c r="B10946">
        <v>10271</v>
      </c>
      <c r="C10946">
        <v>1</v>
      </c>
      <c r="D10946" s="17" t="s">
        <v>17166</v>
      </c>
      <c r="E10946" s="17"/>
      <c r="F10946" s="17" t="s">
        <v>17246</v>
      </c>
      <c r="G10946" s="17"/>
      <c r="H10946" s="17" t="s">
        <v>20919</v>
      </c>
      <c r="I10946" s="17"/>
      <c r="J10946" s="17" t="s">
        <v>21313</v>
      </c>
      <c r="K10946" s="17"/>
      <c r="L10946" s="17" t="s">
        <v>22378</v>
      </c>
      <c r="M10946" s="17"/>
      <c r="N10946" s="17" t="s">
        <v>22459</v>
      </c>
      <c r="O10946" s="17"/>
      <c r="P10946" s="17" t="s">
        <v>45008</v>
      </c>
      <c r="Q10946" s="17"/>
      <c r="R10946" s="25" t="str">
        <f>HYPERLINK("https://ictv.global/taxonomy/taxondetails?taxnode_id=202317387","Hodnevirus pseudosoladaptatum")</f>
        <v>Hodnevirus pseudosoladaptatum</v>
      </c>
      <c r="S10946" s="18" t="s">
        <v>30</v>
      </c>
      <c r="T10946" s="18" t="s">
        <v>45563</v>
      </c>
      <c r="U10946" s="18"/>
      <c r="V10946" s="18"/>
      <c r="W10946" s="18" t="s">
        <v>45564</v>
      </c>
      <c r="X10946" s="18" t="s">
        <v>35</v>
      </c>
      <c r="Y10946" s="18" t="s">
        <v>17171</v>
      </c>
      <c r="Z10946" s="18" t="s">
        <v>24637</v>
      </c>
      <c r="AA10946" s="21" t="str">
        <f>HYPERLINK("https://www.ncbi.nlm.nih.gov/nuccore/CASDWV010003100","NCBI Nucleotide")</f>
        <v>NCBI Nucleotide</v>
      </c>
    </row>
    <row r="10947" spans="1:27" x14ac:dyDescent="0.35">
      <c r="A10947">
        <v>1027128</v>
      </c>
      <c r="B10947">
        <v>10272</v>
      </c>
      <c r="C10947">
        <v>1</v>
      </c>
      <c r="D10947" s="17" t="s">
        <v>17166</v>
      </c>
      <c r="E10947" s="17"/>
      <c r="F10947" s="17" t="s">
        <v>17246</v>
      </c>
      <c r="G10947" s="17"/>
      <c r="H10947" s="17" t="s">
        <v>20919</v>
      </c>
      <c r="I10947" s="17"/>
      <c r="J10947" s="17" t="s">
        <v>21313</v>
      </c>
      <c r="K10947" s="17"/>
      <c r="L10947" s="17" t="s">
        <v>22378</v>
      </c>
      <c r="M10947" s="17"/>
      <c r="N10947" s="17" t="s">
        <v>22459</v>
      </c>
      <c r="O10947" s="17"/>
      <c r="P10947" s="17" t="s">
        <v>45008</v>
      </c>
      <c r="Q10947" s="17"/>
      <c r="R10947" s="25" t="str">
        <f>HYPERLINK("https://ictv.global/taxonomy/taxondetails?taxnode_id=202317388","Hodnevirus pseudosolicola")</f>
        <v>Hodnevirus pseudosolicola</v>
      </c>
      <c r="S10947" s="18" t="s">
        <v>30</v>
      </c>
      <c r="T10947" s="18" t="s">
        <v>45565</v>
      </c>
      <c r="U10947" s="18"/>
      <c r="V10947" s="18"/>
      <c r="W10947" s="18" t="s">
        <v>45566</v>
      </c>
      <c r="X10947" s="18" t="s">
        <v>35</v>
      </c>
      <c r="Y10947" s="18" t="s">
        <v>17171</v>
      </c>
      <c r="Z10947" s="18" t="s">
        <v>24637</v>
      </c>
      <c r="AA10947" s="21" t="str">
        <f>HYPERLINK("https://www.ncbi.nlm.nih.gov/nuccore/CASDWV010003133","NCBI Nucleotide")</f>
        <v>NCBI Nucleotide</v>
      </c>
    </row>
    <row r="10948" spans="1:27" x14ac:dyDescent="0.35">
      <c r="A10948">
        <v>1027129</v>
      </c>
      <c r="B10948">
        <v>10273</v>
      </c>
      <c r="C10948">
        <v>1</v>
      </c>
      <c r="D10948" s="17" t="s">
        <v>17166</v>
      </c>
      <c r="E10948" s="17"/>
      <c r="F10948" s="17" t="s">
        <v>17246</v>
      </c>
      <c r="G10948" s="17"/>
      <c r="H10948" s="17" t="s">
        <v>20919</v>
      </c>
      <c r="I10948" s="17"/>
      <c r="J10948" s="17" t="s">
        <v>21313</v>
      </c>
      <c r="K10948" s="17"/>
      <c r="L10948" s="17" t="s">
        <v>22378</v>
      </c>
      <c r="M10948" s="17"/>
      <c r="N10948" s="17" t="s">
        <v>22459</v>
      </c>
      <c r="O10948" s="17"/>
      <c r="P10948" s="17" t="s">
        <v>45008</v>
      </c>
      <c r="Q10948" s="17"/>
      <c r="R10948" s="25" t="str">
        <f>HYPERLINK("https://ictv.global/taxonomy/taxondetails?taxnode_id=202317389","Hodnevirus pseudosolivicinum")</f>
        <v>Hodnevirus pseudosolivicinum</v>
      </c>
      <c r="S10948" s="18" t="s">
        <v>30</v>
      </c>
      <c r="T10948" s="18" t="s">
        <v>45567</v>
      </c>
      <c r="U10948" s="18"/>
      <c r="V10948" s="18"/>
      <c r="W10948" s="18" t="s">
        <v>45568</v>
      </c>
      <c r="X10948" s="18" t="s">
        <v>35</v>
      </c>
      <c r="Y10948" s="18" t="s">
        <v>17171</v>
      </c>
      <c r="Z10948" s="18" t="s">
        <v>24637</v>
      </c>
      <c r="AA10948" s="21" t="str">
        <f>HYPERLINK("https://www.ncbi.nlm.nih.gov/nuccore/CASDWV010003518","NCBI Nucleotide")</f>
        <v>NCBI Nucleotide</v>
      </c>
    </row>
    <row r="10949" spans="1:27" x14ac:dyDescent="0.35">
      <c r="A10949">
        <v>1027130</v>
      </c>
      <c r="B10949">
        <v>10274</v>
      </c>
      <c r="C10949">
        <v>1</v>
      </c>
      <c r="D10949" s="17" t="s">
        <v>17166</v>
      </c>
      <c r="E10949" s="17"/>
      <c r="F10949" s="17" t="s">
        <v>17246</v>
      </c>
      <c r="G10949" s="17"/>
      <c r="H10949" s="17" t="s">
        <v>20919</v>
      </c>
      <c r="I10949" s="17"/>
      <c r="J10949" s="17" t="s">
        <v>21313</v>
      </c>
      <c r="K10949" s="17"/>
      <c r="L10949" s="17" t="s">
        <v>22378</v>
      </c>
      <c r="M10949" s="17"/>
      <c r="N10949" s="17" t="s">
        <v>22459</v>
      </c>
      <c r="O10949" s="17"/>
      <c r="P10949" s="17" t="s">
        <v>45008</v>
      </c>
      <c r="Q10949" s="17"/>
      <c r="R10949" s="25" t="str">
        <f>HYPERLINK("https://ictv.global/taxonomy/taxondetails?taxnode_id=202317390","Hodnevirus pseudosolivivens")</f>
        <v>Hodnevirus pseudosolivivens</v>
      </c>
      <c r="S10949" s="18" t="s">
        <v>30</v>
      </c>
      <c r="T10949" s="18" t="s">
        <v>45569</v>
      </c>
      <c r="U10949" s="18"/>
      <c r="V10949" s="18"/>
      <c r="W10949" s="18" t="s">
        <v>45570</v>
      </c>
      <c r="X10949" s="18" t="s">
        <v>35</v>
      </c>
      <c r="Y10949" s="18" t="s">
        <v>17171</v>
      </c>
      <c r="Z10949" s="18" t="s">
        <v>24637</v>
      </c>
      <c r="AA10949" s="21" t="str">
        <f>HYPERLINK("https://www.ncbi.nlm.nih.gov/nuccore/CASDWV010002926","NCBI Nucleotide")</f>
        <v>NCBI Nucleotide</v>
      </c>
    </row>
    <row r="10950" spans="1:27" x14ac:dyDescent="0.35">
      <c r="A10950">
        <v>1027131</v>
      </c>
      <c r="B10950">
        <v>10275</v>
      </c>
      <c r="C10950">
        <v>1</v>
      </c>
      <c r="D10950" s="17" t="s">
        <v>17166</v>
      </c>
      <c r="E10950" s="17"/>
      <c r="F10950" s="17" t="s">
        <v>17246</v>
      </c>
      <c r="G10950" s="17"/>
      <c r="H10950" s="17" t="s">
        <v>20919</v>
      </c>
      <c r="I10950" s="17"/>
      <c r="J10950" s="17" t="s">
        <v>21313</v>
      </c>
      <c r="K10950" s="17"/>
      <c r="L10950" s="17" t="s">
        <v>22378</v>
      </c>
      <c r="M10950" s="17"/>
      <c r="N10950" s="17" t="s">
        <v>22459</v>
      </c>
      <c r="O10950" s="17"/>
      <c r="P10950" s="17" t="s">
        <v>45008</v>
      </c>
      <c r="Q10950" s="17"/>
      <c r="R10950" s="25" t="str">
        <f>HYPERLINK("https://ictv.global/taxonomy/taxondetails?taxnode_id=202317391","Hodnevirus pseudotelluradaptatum")</f>
        <v>Hodnevirus pseudotelluradaptatum</v>
      </c>
      <c r="S10950" s="18" t="s">
        <v>30</v>
      </c>
      <c r="T10950" s="18" t="s">
        <v>45571</v>
      </c>
      <c r="U10950" s="18"/>
      <c r="V10950" s="18"/>
      <c r="W10950" s="18" t="s">
        <v>45572</v>
      </c>
      <c r="X10950" s="18" t="s">
        <v>35</v>
      </c>
      <c r="Y10950" s="18" t="s">
        <v>17171</v>
      </c>
      <c r="Z10950" s="18" t="s">
        <v>24637</v>
      </c>
      <c r="AA10950" s="21" t="str">
        <f>HYPERLINK("https://www.ncbi.nlm.nih.gov/nuccore/CASDWV010003685","NCBI Nucleotide")</f>
        <v>NCBI Nucleotide</v>
      </c>
    </row>
    <row r="10951" spans="1:27" x14ac:dyDescent="0.35">
      <c r="A10951">
        <v>1027132</v>
      </c>
      <c r="B10951">
        <v>10276</v>
      </c>
      <c r="C10951">
        <v>1</v>
      </c>
      <c r="D10951" s="17" t="s">
        <v>17166</v>
      </c>
      <c r="E10951" s="17"/>
      <c r="F10951" s="17" t="s">
        <v>17246</v>
      </c>
      <c r="G10951" s="17"/>
      <c r="H10951" s="17" t="s">
        <v>20919</v>
      </c>
      <c r="I10951" s="17"/>
      <c r="J10951" s="17" t="s">
        <v>21313</v>
      </c>
      <c r="K10951" s="17"/>
      <c r="L10951" s="17" t="s">
        <v>22378</v>
      </c>
      <c r="M10951" s="17"/>
      <c r="N10951" s="17" t="s">
        <v>22459</v>
      </c>
      <c r="O10951" s="17"/>
      <c r="P10951" s="17" t="s">
        <v>45008</v>
      </c>
      <c r="Q10951" s="17"/>
      <c r="R10951" s="25" t="str">
        <f>HYPERLINK("https://ictv.global/taxonomy/taxondetails?taxnode_id=202317392","Hodnevirus pseudotellurenecus")</f>
        <v>Hodnevirus pseudotellurenecus</v>
      </c>
      <c r="S10951" s="18" t="s">
        <v>30</v>
      </c>
      <c r="T10951" s="18" t="s">
        <v>45573</v>
      </c>
      <c r="U10951" s="18"/>
      <c r="V10951" s="18"/>
      <c r="W10951" s="18" t="s">
        <v>45574</v>
      </c>
      <c r="X10951" s="18" t="s">
        <v>35</v>
      </c>
      <c r="Y10951" s="18" t="s">
        <v>17171</v>
      </c>
      <c r="Z10951" s="18" t="s">
        <v>24637</v>
      </c>
      <c r="AA10951" s="21" t="str">
        <f>HYPERLINK("https://www.ncbi.nlm.nih.gov/nuccore/CASDWV010004266","NCBI Nucleotide")</f>
        <v>NCBI Nucleotide</v>
      </c>
    </row>
    <row r="10952" spans="1:27" x14ac:dyDescent="0.35">
      <c r="A10952">
        <v>1027133</v>
      </c>
      <c r="B10952">
        <v>10277</v>
      </c>
      <c r="C10952">
        <v>1</v>
      </c>
      <c r="D10952" s="17" t="s">
        <v>17166</v>
      </c>
      <c r="E10952" s="17"/>
      <c r="F10952" s="17" t="s">
        <v>17246</v>
      </c>
      <c r="G10952" s="17"/>
      <c r="H10952" s="17" t="s">
        <v>20919</v>
      </c>
      <c r="I10952" s="17"/>
      <c r="J10952" s="17" t="s">
        <v>21313</v>
      </c>
      <c r="K10952" s="17"/>
      <c r="L10952" s="17" t="s">
        <v>22378</v>
      </c>
      <c r="M10952" s="17"/>
      <c r="N10952" s="17" t="s">
        <v>22459</v>
      </c>
      <c r="O10952" s="17"/>
      <c r="P10952" s="17" t="s">
        <v>45008</v>
      </c>
      <c r="Q10952" s="17"/>
      <c r="R10952" s="25" t="str">
        <f>HYPERLINK("https://ictv.global/taxonomy/taxondetails?taxnode_id=202317393","Hodnevirus pseudotellurivivens")</f>
        <v>Hodnevirus pseudotellurivivens</v>
      </c>
      <c r="S10952" s="18" t="s">
        <v>30</v>
      </c>
      <c r="T10952" s="18" t="s">
        <v>45575</v>
      </c>
      <c r="U10952" s="18"/>
      <c r="V10952" s="18"/>
      <c r="W10952" s="18" t="s">
        <v>45576</v>
      </c>
      <c r="X10952" s="18" t="s">
        <v>35</v>
      </c>
      <c r="Y10952" s="18" t="s">
        <v>17171</v>
      </c>
      <c r="Z10952" s="18" t="s">
        <v>24637</v>
      </c>
      <c r="AA10952" s="21" t="str">
        <f>HYPERLINK("https://www.ncbi.nlm.nih.gov/nuccore/CASDWV010004053","NCBI Nucleotide")</f>
        <v>NCBI Nucleotide</v>
      </c>
    </row>
    <row r="10953" spans="1:27" x14ac:dyDescent="0.35">
      <c r="A10953">
        <v>1027134</v>
      </c>
      <c r="B10953">
        <v>10278</v>
      </c>
      <c r="C10953">
        <v>1</v>
      </c>
      <c r="D10953" s="17" t="s">
        <v>17166</v>
      </c>
      <c r="E10953" s="17"/>
      <c r="F10953" s="17" t="s">
        <v>17246</v>
      </c>
      <c r="G10953" s="17"/>
      <c r="H10953" s="17" t="s">
        <v>20919</v>
      </c>
      <c r="I10953" s="17"/>
      <c r="J10953" s="17" t="s">
        <v>21313</v>
      </c>
      <c r="K10953" s="17"/>
      <c r="L10953" s="17" t="s">
        <v>22378</v>
      </c>
      <c r="M10953" s="17"/>
      <c r="N10953" s="17" t="s">
        <v>22459</v>
      </c>
      <c r="O10953" s="17"/>
      <c r="P10953" s="17" t="s">
        <v>45008</v>
      </c>
      <c r="Q10953" s="17"/>
      <c r="R10953" s="25" t="str">
        <f>HYPERLINK("https://ictv.global/taxonomy/taxondetails?taxnode_id=202317394","Hodnevirus pseudoterradaptatum")</f>
        <v>Hodnevirus pseudoterradaptatum</v>
      </c>
      <c r="S10953" s="18" t="s">
        <v>30</v>
      </c>
      <c r="T10953" s="18" t="s">
        <v>45577</v>
      </c>
      <c r="U10953" s="18"/>
      <c r="V10953" s="18"/>
      <c r="W10953" s="18" t="s">
        <v>45578</v>
      </c>
      <c r="X10953" s="18" t="s">
        <v>35</v>
      </c>
      <c r="Y10953" s="18" t="s">
        <v>17171</v>
      </c>
      <c r="Z10953" s="18" t="s">
        <v>24637</v>
      </c>
      <c r="AA10953" s="21" t="str">
        <f>HYPERLINK("https://www.ncbi.nlm.nih.gov/nuccore/CASDWV010003243","NCBI Nucleotide")</f>
        <v>NCBI Nucleotide</v>
      </c>
    </row>
    <row r="10954" spans="1:27" x14ac:dyDescent="0.35">
      <c r="A10954">
        <v>1027135</v>
      </c>
      <c r="B10954">
        <v>10279</v>
      </c>
      <c r="C10954">
        <v>1</v>
      </c>
      <c r="D10954" s="17" t="s">
        <v>17166</v>
      </c>
      <c r="E10954" s="17"/>
      <c r="F10954" s="17" t="s">
        <v>17246</v>
      </c>
      <c r="G10954" s="17"/>
      <c r="H10954" s="17" t="s">
        <v>20919</v>
      </c>
      <c r="I10954" s="17"/>
      <c r="J10954" s="17" t="s">
        <v>21313</v>
      </c>
      <c r="K10954" s="17"/>
      <c r="L10954" s="17" t="s">
        <v>22378</v>
      </c>
      <c r="M10954" s="17"/>
      <c r="N10954" s="17" t="s">
        <v>22459</v>
      </c>
      <c r="O10954" s="17"/>
      <c r="P10954" s="17" t="s">
        <v>45008</v>
      </c>
      <c r="Q10954" s="17"/>
      <c r="R10954" s="25" t="str">
        <f>HYPERLINK("https://ictv.global/taxonomy/taxondetails?taxnode_id=202317395","Hodnevirus pseudoterrenecus")</f>
        <v>Hodnevirus pseudoterrenecus</v>
      </c>
      <c r="S10954" s="18" t="s">
        <v>30</v>
      </c>
      <c r="T10954" s="18" t="s">
        <v>45579</v>
      </c>
      <c r="U10954" s="18"/>
      <c r="V10954" s="18"/>
      <c r="W10954" s="18" t="s">
        <v>45580</v>
      </c>
      <c r="X10954" s="18" t="s">
        <v>35</v>
      </c>
      <c r="Y10954" s="18" t="s">
        <v>17171</v>
      </c>
      <c r="Z10954" s="18" t="s">
        <v>24637</v>
      </c>
      <c r="AA10954" s="21" t="str">
        <f>HYPERLINK("https://www.ncbi.nlm.nih.gov/nuccore/CASDWV010003129","NCBI Nucleotide")</f>
        <v>NCBI Nucleotide</v>
      </c>
    </row>
    <row r="10955" spans="1:27" x14ac:dyDescent="0.35">
      <c r="A10955">
        <v>1027136</v>
      </c>
      <c r="B10955">
        <v>10280</v>
      </c>
      <c r="C10955">
        <v>1</v>
      </c>
      <c r="D10955" s="17" t="s">
        <v>17166</v>
      </c>
      <c r="E10955" s="17"/>
      <c r="F10955" s="17" t="s">
        <v>17246</v>
      </c>
      <c r="G10955" s="17"/>
      <c r="H10955" s="17" t="s">
        <v>20919</v>
      </c>
      <c r="I10955" s="17"/>
      <c r="J10955" s="17" t="s">
        <v>21313</v>
      </c>
      <c r="K10955" s="17"/>
      <c r="L10955" s="17" t="s">
        <v>22378</v>
      </c>
      <c r="M10955" s="17"/>
      <c r="N10955" s="17" t="s">
        <v>22459</v>
      </c>
      <c r="O10955" s="17"/>
      <c r="P10955" s="17" t="s">
        <v>45008</v>
      </c>
      <c r="Q10955" s="17"/>
      <c r="R10955" s="25" t="str">
        <f>HYPERLINK("https://ictv.global/taxonomy/taxondetails?taxnode_id=202317396","Hodnevirus pseudoterricola")</f>
        <v>Hodnevirus pseudoterricola</v>
      </c>
      <c r="S10955" s="18" t="s">
        <v>30</v>
      </c>
      <c r="T10955" s="18" t="s">
        <v>45581</v>
      </c>
      <c r="U10955" s="18"/>
      <c r="V10955" s="18"/>
      <c r="W10955" s="18" t="s">
        <v>45582</v>
      </c>
      <c r="X10955" s="18" t="s">
        <v>35</v>
      </c>
      <c r="Y10955" s="18" t="s">
        <v>17171</v>
      </c>
      <c r="Z10955" s="18" t="s">
        <v>24637</v>
      </c>
      <c r="AA10955" s="21" t="str">
        <f>HYPERLINK("https://www.ncbi.nlm.nih.gov/nuccore/CASDWV010004017","NCBI Nucleotide")</f>
        <v>NCBI Nucleotide</v>
      </c>
    </row>
    <row r="10956" spans="1:27" x14ac:dyDescent="0.35">
      <c r="A10956">
        <v>1027137</v>
      </c>
      <c r="B10956">
        <v>10281</v>
      </c>
      <c r="C10956">
        <v>1</v>
      </c>
      <c r="D10956" s="17" t="s">
        <v>17166</v>
      </c>
      <c r="E10956" s="17"/>
      <c r="F10956" s="17" t="s">
        <v>17246</v>
      </c>
      <c r="G10956" s="17"/>
      <c r="H10956" s="17" t="s">
        <v>20919</v>
      </c>
      <c r="I10956" s="17"/>
      <c r="J10956" s="17" t="s">
        <v>21313</v>
      </c>
      <c r="K10956" s="17"/>
      <c r="L10956" s="17" t="s">
        <v>22378</v>
      </c>
      <c r="M10956" s="17"/>
      <c r="N10956" s="17" t="s">
        <v>22459</v>
      </c>
      <c r="O10956" s="17"/>
      <c r="P10956" s="17" t="s">
        <v>45008</v>
      </c>
      <c r="Q10956" s="17"/>
      <c r="R10956" s="25" t="str">
        <f>HYPERLINK("https://ictv.global/taxonomy/taxondetails?taxnode_id=202317397","Hodnevirus pseudoterrihabitans")</f>
        <v>Hodnevirus pseudoterrihabitans</v>
      </c>
      <c r="S10956" s="18" t="s">
        <v>30</v>
      </c>
      <c r="T10956" s="18" t="s">
        <v>45583</v>
      </c>
      <c r="U10956" s="18"/>
      <c r="V10956" s="18"/>
      <c r="W10956" s="18" t="s">
        <v>45584</v>
      </c>
      <c r="X10956" s="18" t="s">
        <v>35</v>
      </c>
      <c r="Y10956" s="18" t="s">
        <v>17171</v>
      </c>
      <c r="Z10956" s="18" t="s">
        <v>24637</v>
      </c>
      <c r="AA10956" s="21" t="str">
        <f>HYPERLINK("https://www.ncbi.nlm.nih.gov/nuccore/CASDWV010003135","NCBI Nucleotide")</f>
        <v>NCBI Nucleotide</v>
      </c>
    </row>
    <row r="10957" spans="1:27" x14ac:dyDescent="0.35">
      <c r="A10957">
        <v>1027138</v>
      </c>
      <c r="B10957">
        <v>10282</v>
      </c>
      <c r="C10957">
        <v>1</v>
      </c>
      <c r="D10957" s="17" t="s">
        <v>17166</v>
      </c>
      <c r="E10957" s="17"/>
      <c r="F10957" s="17" t="s">
        <v>17246</v>
      </c>
      <c r="G10957" s="17"/>
      <c r="H10957" s="17" t="s">
        <v>20919</v>
      </c>
      <c r="I10957" s="17"/>
      <c r="J10957" s="17" t="s">
        <v>21313</v>
      </c>
      <c r="K10957" s="17"/>
      <c r="L10957" s="17" t="s">
        <v>22378</v>
      </c>
      <c r="M10957" s="17"/>
      <c r="N10957" s="17" t="s">
        <v>22459</v>
      </c>
      <c r="O10957" s="17"/>
      <c r="P10957" s="17" t="s">
        <v>45008</v>
      </c>
      <c r="Q10957" s="17"/>
      <c r="R10957" s="25" t="str">
        <f>HYPERLINK("https://ictv.global/taxonomy/taxondetails?taxnode_id=202317398","Hodnevirus pseudoterrivicinum")</f>
        <v>Hodnevirus pseudoterrivicinum</v>
      </c>
      <c r="S10957" s="18" t="s">
        <v>30</v>
      </c>
      <c r="T10957" s="18" t="s">
        <v>45585</v>
      </c>
      <c r="U10957" s="18"/>
      <c r="V10957" s="18"/>
      <c r="W10957" s="18" t="s">
        <v>45586</v>
      </c>
      <c r="X10957" s="18" t="s">
        <v>35</v>
      </c>
      <c r="Y10957" s="18" t="s">
        <v>17171</v>
      </c>
      <c r="Z10957" s="18" t="s">
        <v>24637</v>
      </c>
      <c r="AA10957" s="21" t="str">
        <f>HYPERLINK("https://www.ncbi.nlm.nih.gov/nuccore/CASDWV010003291","NCBI Nucleotide")</f>
        <v>NCBI Nucleotide</v>
      </c>
    </row>
    <row r="10958" spans="1:27" x14ac:dyDescent="0.35">
      <c r="A10958">
        <v>1027139</v>
      </c>
      <c r="B10958">
        <v>10283</v>
      </c>
      <c r="C10958">
        <v>1</v>
      </c>
      <c r="D10958" s="17" t="s">
        <v>17166</v>
      </c>
      <c r="E10958" s="17"/>
      <c r="F10958" s="17" t="s">
        <v>17246</v>
      </c>
      <c r="G10958" s="17"/>
      <c r="H10958" s="17" t="s">
        <v>20919</v>
      </c>
      <c r="I10958" s="17"/>
      <c r="J10958" s="17" t="s">
        <v>21313</v>
      </c>
      <c r="K10958" s="17"/>
      <c r="L10958" s="17" t="s">
        <v>22378</v>
      </c>
      <c r="M10958" s="17"/>
      <c r="N10958" s="17" t="s">
        <v>22459</v>
      </c>
      <c r="O10958" s="17"/>
      <c r="P10958" s="17" t="s">
        <v>45008</v>
      </c>
      <c r="Q10958" s="17"/>
      <c r="R10958" s="25" t="str">
        <f>HYPERLINK("https://ictv.global/taxonomy/taxondetails?taxnode_id=202317399","Hodnevirus pseudoterrivivens")</f>
        <v>Hodnevirus pseudoterrivivens</v>
      </c>
      <c r="S10958" s="18" t="s">
        <v>30</v>
      </c>
      <c r="T10958" s="18" t="s">
        <v>45587</v>
      </c>
      <c r="U10958" s="18"/>
      <c r="V10958" s="18"/>
      <c r="W10958" s="18" t="s">
        <v>45588</v>
      </c>
      <c r="X10958" s="18" t="s">
        <v>35</v>
      </c>
      <c r="Y10958" s="18" t="s">
        <v>17171</v>
      </c>
      <c r="Z10958" s="18" t="s">
        <v>24637</v>
      </c>
      <c r="AA10958" s="21" t="str">
        <f>HYPERLINK("https://www.ncbi.nlm.nih.gov/nuccore/CASDWV010004052","NCBI Nucleotide")</f>
        <v>NCBI Nucleotide</v>
      </c>
    </row>
    <row r="10959" spans="1:27" x14ac:dyDescent="0.35">
      <c r="A10959">
        <v>1027140</v>
      </c>
      <c r="B10959">
        <v>10284</v>
      </c>
      <c r="C10959">
        <v>1</v>
      </c>
      <c r="D10959" s="17" t="s">
        <v>17166</v>
      </c>
      <c r="E10959" s="17"/>
      <c r="F10959" s="17" t="s">
        <v>17246</v>
      </c>
      <c r="G10959" s="17"/>
      <c r="H10959" s="17" t="s">
        <v>20919</v>
      </c>
      <c r="I10959" s="17"/>
      <c r="J10959" s="17" t="s">
        <v>21313</v>
      </c>
      <c r="K10959" s="17"/>
      <c r="L10959" s="17" t="s">
        <v>22378</v>
      </c>
      <c r="M10959" s="17"/>
      <c r="N10959" s="17" t="s">
        <v>22459</v>
      </c>
      <c r="O10959" s="17"/>
      <c r="P10959" s="17" t="s">
        <v>45008</v>
      </c>
      <c r="Q10959" s="17"/>
      <c r="R10959" s="25" t="str">
        <f>HYPERLINK("https://ictv.global/taxonomy/taxondetails?taxnode_id=202317400","Hodnevirus radicicola")</f>
        <v>Hodnevirus radicicola</v>
      </c>
      <c r="S10959" s="18" t="s">
        <v>30</v>
      </c>
      <c r="T10959" s="18" t="s">
        <v>45589</v>
      </c>
      <c r="U10959" s="18"/>
      <c r="V10959" s="18"/>
      <c r="W10959" s="18" t="s">
        <v>45590</v>
      </c>
      <c r="X10959" s="18" t="s">
        <v>35</v>
      </c>
      <c r="Y10959" s="18" t="s">
        <v>17171</v>
      </c>
      <c r="Z10959" s="18" t="s">
        <v>24637</v>
      </c>
      <c r="AA10959" s="21" t="str">
        <f>HYPERLINK("https://www.ncbi.nlm.nih.gov/nuccore/CASDWV010004670","NCBI Nucleotide")</f>
        <v>NCBI Nucleotide</v>
      </c>
    </row>
    <row r="10960" spans="1:27" x14ac:dyDescent="0.35">
      <c r="A10960">
        <v>1027141</v>
      </c>
      <c r="B10960">
        <v>10285</v>
      </c>
      <c r="C10960">
        <v>1</v>
      </c>
      <c r="D10960" s="17" t="s">
        <v>17166</v>
      </c>
      <c r="E10960" s="17"/>
      <c r="F10960" s="17" t="s">
        <v>17246</v>
      </c>
      <c r="G10960" s="17"/>
      <c r="H10960" s="17" t="s">
        <v>20919</v>
      </c>
      <c r="I10960" s="17"/>
      <c r="J10960" s="17" t="s">
        <v>21313</v>
      </c>
      <c r="K10960" s="17"/>
      <c r="L10960" s="17" t="s">
        <v>22378</v>
      </c>
      <c r="M10960" s="17"/>
      <c r="N10960" s="17" t="s">
        <v>22459</v>
      </c>
      <c r="O10960" s="17"/>
      <c r="P10960" s="17" t="s">
        <v>45008</v>
      </c>
      <c r="Q10960" s="17"/>
      <c r="R10960" s="25" t="str">
        <f>HYPERLINK("https://ictv.global/taxonomy/taxondetails?taxnode_id=202317401","Hodnevirus radicihabitans")</f>
        <v>Hodnevirus radicihabitans</v>
      </c>
      <c r="S10960" s="18" t="s">
        <v>30</v>
      </c>
      <c r="T10960" s="18" t="s">
        <v>45591</v>
      </c>
      <c r="U10960" s="18"/>
      <c r="V10960" s="18"/>
      <c r="W10960" s="18" t="s">
        <v>45592</v>
      </c>
      <c r="X10960" s="18" t="s">
        <v>35</v>
      </c>
      <c r="Y10960" s="18" t="s">
        <v>17171</v>
      </c>
      <c r="Z10960" s="18" t="s">
        <v>24637</v>
      </c>
      <c r="AA10960" s="21" t="str">
        <f>HYPERLINK("https://www.ncbi.nlm.nih.gov/nuccore/CASDWV010004758","NCBI Nucleotide")</f>
        <v>NCBI Nucleotide</v>
      </c>
    </row>
    <row r="10961" spans="1:27" x14ac:dyDescent="0.35">
      <c r="A10961">
        <v>1027142</v>
      </c>
      <c r="B10961">
        <v>10286</v>
      </c>
      <c r="C10961">
        <v>1</v>
      </c>
      <c r="D10961" s="17" t="s">
        <v>17166</v>
      </c>
      <c r="E10961" s="17"/>
      <c r="F10961" s="17" t="s">
        <v>17246</v>
      </c>
      <c r="G10961" s="17"/>
      <c r="H10961" s="17" t="s">
        <v>20919</v>
      </c>
      <c r="I10961" s="17"/>
      <c r="J10961" s="17" t="s">
        <v>21313</v>
      </c>
      <c r="K10961" s="17"/>
      <c r="L10961" s="17" t="s">
        <v>22378</v>
      </c>
      <c r="M10961" s="17"/>
      <c r="N10961" s="17" t="s">
        <v>22459</v>
      </c>
      <c r="O10961" s="17"/>
      <c r="P10961" s="17" t="s">
        <v>45008</v>
      </c>
      <c r="Q10961" s="17"/>
      <c r="R10961" s="25" t="str">
        <f>HYPERLINK("https://ictv.global/taxonomy/taxondetails?taxnode_id=202317402","Hodnevirus radicivicinum")</f>
        <v>Hodnevirus radicivicinum</v>
      </c>
      <c r="S10961" s="18" t="s">
        <v>30</v>
      </c>
      <c r="T10961" s="18" t="s">
        <v>45593</v>
      </c>
      <c r="U10961" s="18"/>
      <c r="V10961" s="18"/>
      <c r="W10961" s="18" t="s">
        <v>45594</v>
      </c>
      <c r="X10961" s="18" t="s">
        <v>35</v>
      </c>
      <c r="Y10961" s="18" t="s">
        <v>17171</v>
      </c>
      <c r="Z10961" s="18" t="s">
        <v>24637</v>
      </c>
      <c r="AA10961" s="21" t="str">
        <f>HYPERLINK("https://www.ncbi.nlm.nih.gov/nuccore/CASDWV010004262","NCBI Nucleotide")</f>
        <v>NCBI Nucleotide</v>
      </c>
    </row>
    <row r="10962" spans="1:27" x14ac:dyDescent="0.35">
      <c r="A10962">
        <v>1027143</v>
      </c>
      <c r="B10962">
        <v>10287</v>
      </c>
      <c r="C10962">
        <v>1</v>
      </c>
      <c r="D10962" s="17" t="s">
        <v>17166</v>
      </c>
      <c r="E10962" s="17"/>
      <c r="F10962" s="17" t="s">
        <v>17246</v>
      </c>
      <c r="G10962" s="17"/>
      <c r="H10962" s="17" t="s">
        <v>20919</v>
      </c>
      <c r="I10962" s="17"/>
      <c r="J10962" s="17" t="s">
        <v>21313</v>
      </c>
      <c r="K10962" s="17"/>
      <c r="L10962" s="17" t="s">
        <v>22378</v>
      </c>
      <c r="M10962" s="17"/>
      <c r="N10962" s="17" t="s">
        <v>22459</v>
      </c>
      <c r="O10962" s="17"/>
      <c r="P10962" s="17" t="s">
        <v>45008</v>
      </c>
      <c r="Q10962" s="17"/>
      <c r="R10962" s="25" t="str">
        <f>HYPERLINK("https://ictv.global/taxonomy/taxondetails?taxnode_id=202317403","Hodnevirus radicivivens")</f>
        <v>Hodnevirus radicivivens</v>
      </c>
      <c r="S10962" s="18" t="s">
        <v>30</v>
      </c>
      <c r="T10962" s="18" t="s">
        <v>45595</v>
      </c>
      <c r="U10962" s="18"/>
      <c r="V10962" s="18"/>
      <c r="W10962" s="18" t="s">
        <v>45596</v>
      </c>
      <c r="X10962" s="18" t="s">
        <v>35</v>
      </c>
      <c r="Y10962" s="18" t="s">
        <v>17171</v>
      </c>
      <c r="Z10962" s="18" t="s">
        <v>24637</v>
      </c>
      <c r="AA10962" s="21" t="str">
        <f>HYPERLINK("https://www.ncbi.nlm.nih.gov/nuccore/CASDWV010004186","NCBI Nucleotide")</f>
        <v>NCBI Nucleotide</v>
      </c>
    </row>
    <row r="10963" spans="1:27" x14ac:dyDescent="0.35">
      <c r="A10963">
        <v>1027144</v>
      </c>
      <c r="B10963">
        <v>10288</v>
      </c>
      <c r="C10963">
        <v>1</v>
      </c>
      <c r="D10963" s="17" t="s">
        <v>17166</v>
      </c>
      <c r="E10963" s="17"/>
      <c r="F10963" s="17" t="s">
        <v>17246</v>
      </c>
      <c r="G10963" s="17"/>
      <c r="H10963" s="17" t="s">
        <v>20919</v>
      </c>
      <c r="I10963" s="17"/>
      <c r="J10963" s="17" t="s">
        <v>21313</v>
      </c>
      <c r="K10963" s="17"/>
      <c r="L10963" s="17" t="s">
        <v>22378</v>
      </c>
      <c r="M10963" s="17"/>
      <c r="N10963" s="17" t="s">
        <v>22459</v>
      </c>
      <c r="O10963" s="17"/>
      <c r="P10963" s="17" t="s">
        <v>45008</v>
      </c>
      <c r="Q10963" s="17"/>
      <c r="R10963" s="25" t="str">
        <f>HYPERLINK("https://ictv.global/taxonomy/taxondetails?taxnode_id=202317404","Hodnevirus segetadaptatum")</f>
        <v>Hodnevirus segetadaptatum</v>
      </c>
      <c r="S10963" s="18" t="s">
        <v>30</v>
      </c>
      <c r="T10963" s="18" t="s">
        <v>45597</v>
      </c>
      <c r="U10963" s="18"/>
      <c r="V10963" s="18"/>
      <c r="W10963" s="18" t="s">
        <v>45598</v>
      </c>
      <c r="X10963" s="18" t="s">
        <v>35</v>
      </c>
      <c r="Y10963" s="18" t="s">
        <v>17171</v>
      </c>
      <c r="Z10963" s="18" t="s">
        <v>24637</v>
      </c>
      <c r="AA10963" s="21" t="str">
        <f>HYPERLINK("https://www.ncbi.nlm.nih.gov/nuccore/CASDWV010004077","NCBI Nucleotide")</f>
        <v>NCBI Nucleotide</v>
      </c>
    </row>
    <row r="10964" spans="1:27" x14ac:dyDescent="0.35">
      <c r="A10964">
        <v>1027145</v>
      </c>
      <c r="B10964">
        <v>10289</v>
      </c>
      <c r="C10964">
        <v>1</v>
      </c>
      <c r="D10964" s="17" t="s">
        <v>17166</v>
      </c>
      <c r="E10964" s="17"/>
      <c r="F10964" s="17" t="s">
        <v>17246</v>
      </c>
      <c r="G10964" s="17"/>
      <c r="H10964" s="17" t="s">
        <v>20919</v>
      </c>
      <c r="I10964" s="17"/>
      <c r="J10964" s="17" t="s">
        <v>21313</v>
      </c>
      <c r="K10964" s="17"/>
      <c r="L10964" s="17" t="s">
        <v>22378</v>
      </c>
      <c r="M10964" s="17"/>
      <c r="N10964" s="17" t="s">
        <v>22459</v>
      </c>
      <c r="O10964" s="17"/>
      <c r="P10964" s="17" t="s">
        <v>45008</v>
      </c>
      <c r="Q10964" s="17"/>
      <c r="R10964" s="25" t="str">
        <f>HYPERLINK("https://ictv.global/taxonomy/taxondetails?taxnode_id=202317405","Hodnevirus segetenecus")</f>
        <v>Hodnevirus segetenecus</v>
      </c>
      <c r="S10964" s="18" t="s">
        <v>30</v>
      </c>
      <c r="T10964" s="18" t="s">
        <v>45599</v>
      </c>
      <c r="U10964" s="18"/>
      <c r="V10964" s="18"/>
      <c r="W10964" s="18" t="s">
        <v>45600</v>
      </c>
      <c r="X10964" s="18" t="s">
        <v>35</v>
      </c>
      <c r="Y10964" s="18" t="s">
        <v>17171</v>
      </c>
      <c r="Z10964" s="18" t="s">
        <v>24637</v>
      </c>
      <c r="AA10964" s="21" t="str">
        <f>HYPERLINK("https://www.ncbi.nlm.nih.gov/nuccore/CASDWV010003070","NCBI Nucleotide")</f>
        <v>NCBI Nucleotide</v>
      </c>
    </row>
    <row r="10965" spans="1:27" x14ac:dyDescent="0.35">
      <c r="A10965">
        <v>1027146</v>
      </c>
      <c r="B10965">
        <v>10290</v>
      </c>
      <c r="C10965">
        <v>1</v>
      </c>
      <c r="D10965" s="17" t="s">
        <v>17166</v>
      </c>
      <c r="E10965" s="17"/>
      <c r="F10965" s="17" t="s">
        <v>17246</v>
      </c>
      <c r="G10965" s="17"/>
      <c r="H10965" s="17" t="s">
        <v>20919</v>
      </c>
      <c r="I10965" s="17"/>
      <c r="J10965" s="17" t="s">
        <v>21313</v>
      </c>
      <c r="K10965" s="17"/>
      <c r="L10965" s="17" t="s">
        <v>22378</v>
      </c>
      <c r="M10965" s="17"/>
      <c r="N10965" s="17" t="s">
        <v>22459</v>
      </c>
      <c r="O10965" s="17"/>
      <c r="P10965" s="17" t="s">
        <v>45008</v>
      </c>
      <c r="Q10965" s="17"/>
      <c r="R10965" s="25" t="str">
        <f>HYPERLINK("https://ictv.global/taxonomy/taxondetails?taxnode_id=202317406","Hodnevirus segeticola")</f>
        <v>Hodnevirus segeticola</v>
      </c>
      <c r="S10965" s="18" t="s">
        <v>30</v>
      </c>
      <c r="T10965" s="18" t="s">
        <v>45601</v>
      </c>
      <c r="U10965" s="18"/>
      <c r="V10965" s="18"/>
      <c r="W10965" s="18" t="s">
        <v>45602</v>
      </c>
      <c r="X10965" s="18" t="s">
        <v>35</v>
      </c>
      <c r="Y10965" s="18" t="s">
        <v>17171</v>
      </c>
      <c r="Z10965" s="18" t="s">
        <v>24637</v>
      </c>
      <c r="AA10965" s="21" t="str">
        <f>HYPERLINK("https://www.ncbi.nlm.nih.gov/nuccore/CASDWV010003123","NCBI Nucleotide")</f>
        <v>NCBI Nucleotide</v>
      </c>
    </row>
    <row r="10966" spans="1:27" x14ac:dyDescent="0.35">
      <c r="A10966">
        <v>1027147</v>
      </c>
      <c r="B10966">
        <v>10291</v>
      </c>
      <c r="C10966">
        <v>1</v>
      </c>
      <c r="D10966" s="17" t="s">
        <v>17166</v>
      </c>
      <c r="E10966" s="17"/>
      <c r="F10966" s="17" t="s">
        <v>17246</v>
      </c>
      <c r="G10966" s="17"/>
      <c r="H10966" s="17" t="s">
        <v>20919</v>
      </c>
      <c r="I10966" s="17"/>
      <c r="J10966" s="17" t="s">
        <v>21313</v>
      </c>
      <c r="K10966" s="17"/>
      <c r="L10966" s="17" t="s">
        <v>22378</v>
      </c>
      <c r="M10966" s="17"/>
      <c r="N10966" s="17" t="s">
        <v>22459</v>
      </c>
      <c r="O10966" s="17"/>
      <c r="P10966" s="17" t="s">
        <v>45008</v>
      </c>
      <c r="Q10966" s="17"/>
      <c r="R10966" s="25" t="str">
        <f>HYPERLINK("https://ictv.global/taxonomy/taxondetails?taxnode_id=202317407","Hodnevirus segetihabitans")</f>
        <v>Hodnevirus segetihabitans</v>
      </c>
      <c r="S10966" s="18" t="s">
        <v>30</v>
      </c>
      <c r="T10966" s="18" t="s">
        <v>45603</v>
      </c>
      <c r="U10966" s="18"/>
      <c r="V10966" s="18"/>
      <c r="W10966" s="18" t="s">
        <v>45604</v>
      </c>
      <c r="X10966" s="18" t="s">
        <v>35</v>
      </c>
      <c r="Y10966" s="18" t="s">
        <v>17171</v>
      </c>
      <c r="Z10966" s="18" t="s">
        <v>24637</v>
      </c>
      <c r="AA10966" s="21" t="str">
        <f>HYPERLINK("https://www.ncbi.nlm.nih.gov/nuccore/CASDWV010004530","NCBI Nucleotide")</f>
        <v>NCBI Nucleotide</v>
      </c>
    </row>
    <row r="10967" spans="1:27" x14ac:dyDescent="0.35">
      <c r="A10967">
        <v>1027148</v>
      </c>
      <c r="B10967">
        <v>10292</v>
      </c>
      <c r="C10967">
        <v>1</v>
      </c>
      <c r="D10967" s="17" t="s">
        <v>17166</v>
      </c>
      <c r="E10967" s="17"/>
      <c r="F10967" s="17" t="s">
        <v>17246</v>
      </c>
      <c r="G10967" s="17"/>
      <c r="H10967" s="17" t="s">
        <v>20919</v>
      </c>
      <c r="I10967" s="17"/>
      <c r="J10967" s="17" t="s">
        <v>21313</v>
      </c>
      <c r="K10967" s="17"/>
      <c r="L10967" s="17" t="s">
        <v>22378</v>
      </c>
      <c r="M10967" s="17"/>
      <c r="N10967" s="17" t="s">
        <v>22459</v>
      </c>
      <c r="O10967" s="17"/>
      <c r="P10967" s="17" t="s">
        <v>45008</v>
      </c>
      <c r="Q10967" s="17"/>
      <c r="R10967" s="25" t="str">
        <f>HYPERLINK("https://ictv.global/taxonomy/taxondetails?taxnode_id=202317408","Hodnevirus segetivivens")</f>
        <v>Hodnevirus segetivivens</v>
      </c>
      <c r="S10967" s="18" t="s">
        <v>30</v>
      </c>
      <c r="T10967" s="18" t="s">
        <v>45605</v>
      </c>
      <c r="U10967" s="18"/>
      <c r="V10967" s="18"/>
      <c r="W10967" s="18" t="s">
        <v>45606</v>
      </c>
      <c r="X10967" s="18" t="s">
        <v>35</v>
      </c>
      <c r="Y10967" s="18" t="s">
        <v>17171</v>
      </c>
      <c r="Z10967" s="18" t="s">
        <v>24637</v>
      </c>
      <c r="AA10967" s="21" t="str">
        <f>HYPERLINK("https://www.ncbi.nlm.nih.gov/nuccore/CASDWV010004489","NCBI Nucleotide")</f>
        <v>NCBI Nucleotide</v>
      </c>
    </row>
    <row r="10968" spans="1:27" x14ac:dyDescent="0.35">
      <c r="A10968">
        <v>1009866</v>
      </c>
      <c r="B10968">
        <v>10293</v>
      </c>
      <c r="C10968">
        <v>1</v>
      </c>
      <c r="D10968" s="17" t="s">
        <v>17166</v>
      </c>
      <c r="E10968" s="17"/>
      <c r="F10968" s="17" t="s">
        <v>17246</v>
      </c>
      <c r="G10968" s="17"/>
      <c r="H10968" s="17" t="s">
        <v>20919</v>
      </c>
      <c r="I10968" s="17"/>
      <c r="J10968" s="17" t="s">
        <v>21313</v>
      </c>
      <c r="K10968" s="17"/>
      <c r="L10968" s="17" t="s">
        <v>22378</v>
      </c>
      <c r="M10968" s="17"/>
      <c r="N10968" s="17" t="s">
        <v>22459</v>
      </c>
      <c r="O10968" s="17"/>
      <c r="P10968" s="17" t="s">
        <v>45008</v>
      </c>
      <c r="Q10968" s="17"/>
      <c r="R10968" s="25" t="str">
        <f>HYPERLINK("https://ictv.global/taxonomy/taxondetails?taxnode_id=202311026","Hodnevirus soladaptatum")</f>
        <v>Hodnevirus soladaptatum</v>
      </c>
      <c r="S10968" s="18" t="s">
        <v>30</v>
      </c>
      <c r="T10968" s="18" t="s">
        <v>22561</v>
      </c>
      <c r="U10968" s="18"/>
      <c r="V10968" s="18"/>
      <c r="W10968" s="18" t="s">
        <v>22562</v>
      </c>
      <c r="X10968" s="18" t="s">
        <v>35</v>
      </c>
      <c r="Y10968" s="18" t="s">
        <v>17171</v>
      </c>
      <c r="Z10968" s="18" t="s">
        <v>697</v>
      </c>
      <c r="AA10968" s="21" t="str">
        <f>HYPERLINK("https://www.ncbi.nlm.nih.gov/nuccore/BK013805","NCBI Nucleotide")</f>
        <v>NCBI Nucleotide</v>
      </c>
    </row>
    <row r="10969" spans="1:27" x14ac:dyDescent="0.35">
      <c r="A10969">
        <v>1009867</v>
      </c>
      <c r="B10969">
        <v>10294</v>
      </c>
      <c r="C10969">
        <v>1</v>
      </c>
      <c r="D10969" s="17" t="s">
        <v>17166</v>
      </c>
      <c r="E10969" s="17"/>
      <c r="F10969" s="17" t="s">
        <v>17246</v>
      </c>
      <c r="G10969" s="17"/>
      <c r="H10969" s="17" t="s">
        <v>20919</v>
      </c>
      <c r="I10969" s="17"/>
      <c r="J10969" s="17" t="s">
        <v>21313</v>
      </c>
      <c r="K10969" s="17"/>
      <c r="L10969" s="17" t="s">
        <v>22378</v>
      </c>
      <c r="M10969" s="17"/>
      <c r="N10969" s="17" t="s">
        <v>22459</v>
      </c>
      <c r="O10969" s="17"/>
      <c r="P10969" s="17" t="s">
        <v>45008</v>
      </c>
      <c r="Q10969" s="17"/>
      <c r="R10969" s="25" t="str">
        <f>HYPERLINK("https://ictv.global/taxonomy/taxondetails?taxnode_id=202311028","Hodnevirus solenecus")</f>
        <v>Hodnevirus solenecus</v>
      </c>
      <c r="S10969" s="18" t="s">
        <v>30</v>
      </c>
      <c r="T10969" s="18" t="s">
        <v>22563</v>
      </c>
      <c r="U10969" s="18"/>
      <c r="V10969" s="18"/>
      <c r="W10969" s="18" t="s">
        <v>22564</v>
      </c>
      <c r="X10969" s="18" t="s">
        <v>35</v>
      </c>
      <c r="Y10969" s="18" t="s">
        <v>17171</v>
      </c>
      <c r="Z10969" s="18" t="s">
        <v>697</v>
      </c>
      <c r="AA10969" s="21" t="str">
        <f>HYPERLINK("https://www.ncbi.nlm.nih.gov/nuccore/BK013496","NCBI Nucleotide")</f>
        <v>NCBI Nucleotide</v>
      </c>
    </row>
    <row r="10970" spans="1:27" x14ac:dyDescent="0.35">
      <c r="A10970">
        <v>1009868</v>
      </c>
      <c r="B10970">
        <v>10295</v>
      </c>
      <c r="C10970">
        <v>1</v>
      </c>
      <c r="D10970" s="17" t="s">
        <v>17166</v>
      </c>
      <c r="E10970" s="17"/>
      <c r="F10970" s="17" t="s">
        <v>17246</v>
      </c>
      <c r="G10970" s="17"/>
      <c r="H10970" s="17" t="s">
        <v>20919</v>
      </c>
      <c r="I10970" s="17"/>
      <c r="J10970" s="17" t="s">
        <v>21313</v>
      </c>
      <c r="K10970" s="17"/>
      <c r="L10970" s="17" t="s">
        <v>22378</v>
      </c>
      <c r="M10970" s="17"/>
      <c r="N10970" s="17" t="s">
        <v>22459</v>
      </c>
      <c r="O10970" s="17"/>
      <c r="P10970" s="17" t="s">
        <v>45008</v>
      </c>
      <c r="Q10970" s="17"/>
      <c r="R10970" s="25" t="str">
        <f>HYPERLINK("https://ictv.global/taxonomy/taxondetails?taxnode_id=202311027","Hodnevirus solicola")</f>
        <v>Hodnevirus solicola</v>
      </c>
      <c r="S10970" s="18" t="s">
        <v>30</v>
      </c>
      <c r="T10970" s="18" t="s">
        <v>22565</v>
      </c>
      <c r="U10970" s="18"/>
      <c r="V10970" s="18"/>
      <c r="W10970" s="18" t="s">
        <v>22566</v>
      </c>
      <c r="X10970" s="18" t="s">
        <v>35</v>
      </c>
      <c r="Y10970" s="18" t="s">
        <v>17171</v>
      </c>
      <c r="Z10970" s="18" t="s">
        <v>697</v>
      </c>
      <c r="AA10970" s="21" t="str">
        <f>HYPERLINK("https://www.ncbi.nlm.nih.gov/nuccore/BK013520","NCBI Nucleotide")</f>
        <v>NCBI Nucleotide</v>
      </c>
    </row>
    <row r="10971" spans="1:27" x14ac:dyDescent="0.35">
      <c r="A10971">
        <v>1009869</v>
      </c>
      <c r="B10971">
        <v>10296</v>
      </c>
      <c r="C10971">
        <v>1</v>
      </c>
      <c r="D10971" s="17" t="s">
        <v>17166</v>
      </c>
      <c r="E10971" s="17"/>
      <c r="F10971" s="17" t="s">
        <v>17246</v>
      </c>
      <c r="G10971" s="17"/>
      <c r="H10971" s="17" t="s">
        <v>20919</v>
      </c>
      <c r="I10971" s="17"/>
      <c r="J10971" s="17" t="s">
        <v>21313</v>
      </c>
      <c r="K10971" s="17"/>
      <c r="L10971" s="17" t="s">
        <v>22378</v>
      </c>
      <c r="M10971" s="17"/>
      <c r="N10971" s="17" t="s">
        <v>22459</v>
      </c>
      <c r="O10971" s="17"/>
      <c r="P10971" s="17" t="s">
        <v>45008</v>
      </c>
      <c r="Q10971" s="17"/>
      <c r="R10971" s="25" t="str">
        <f>HYPERLINK("https://ictv.global/taxonomy/taxondetails?taxnode_id=202311029","Hodnevirus solihabitans")</f>
        <v>Hodnevirus solihabitans</v>
      </c>
      <c r="S10971" s="18" t="s">
        <v>30</v>
      </c>
      <c r="T10971" s="18" t="s">
        <v>22567</v>
      </c>
      <c r="U10971" s="18"/>
      <c r="V10971" s="18"/>
      <c r="W10971" s="18" t="s">
        <v>22568</v>
      </c>
      <c r="X10971" s="18" t="s">
        <v>35</v>
      </c>
      <c r="Y10971" s="18" t="s">
        <v>17171</v>
      </c>
      <c r="Z10971" s="18" t="s">
        <v>697</v>
      </c>
      <c r="AA10971" s="21" t="str">
        <f>HYPERLINK("https://www.ncbi.nlm.nih.gov/nuccore/BK013815","NCBI Nucleotide")</f>
        <v>NCBI Nucleotide</v>
      </c>
    </row>
    <row r="10972" spans="1:27" x14ac:dyDescent="0.35">
      <c r="A10972">
        <v>1009870</v>
      </c>
      <c r="B10972">
        <v>10297</v>
      </c>
      <c r="C10972">
        <v>1</v>
      </c>
      <c r="D10972" s="17" t="s">
        <v>17166</v>
      </c>
      <c r="E10972" s="17"/>
      <c r="F10972" s="17" t="s">
        <v>17246</v>
      </c>
      <c r="G10972" s="17"/>
      <c r="H10972" s="17" t="s">
        <v>20919</v>
      </c>
      <c r="I10972" s="17"/>
      <c r="J10972" s="17" t="s">
        <v>21313</v>
      </c>
      <c r="K10972" s="17"/>
      <c r="L10972" s="17" t="s">
        <v>22378</v>
      </c>
      <c r="M10972" s="17"/>
      <c r="N10972" s="17" t="s">
        <v>22459</v>
      </c>
      <c r="O10972" s="17"/>
      <c r="P10972" s="17" t="s">
        <v>45008</v>
      </c>
      <c r="Q10972" s="17"/>
      <c r="R10972" s="25" t="str">
        <f>HYPERLINK("https://ictv.global/taxonomy/taxondetails?taxnode_id=202311030","Hodnevirus solivicinum")</f>
        <v>Hodnevirus solivicinum</v>
      </c>
      <c r="S10972" s="18" t="s">
        <v>30</v>
      </c>
      <c r="T10972" s="18" t="s">
        <v>22569</v>
      </c>
      <c r="U10972" s="18"/>
      <c r="V10972" s="18"/>
      <c r="W10972" s="18" t="s">
        <v>22570</v>
      </c>
      <c r="X10972" s="18" t="s">
        <v>35</v>
      </c>
      <c r="Y10972" s="18" t="s">
        <v>17171</v>
      </c>
      <c r="Z10972" s="18" t="s">
        <v>697</v>
      </c>
      <c r="AA10972" s="21" t="str">
        <f>HYPERLINK("https://www.ncbi.nlm.nih.gov/nuccore/BK013532","NCBI Nucleotide")</f>
        <v>NCBI Nucleotide</v>
      </c>
    </row>
    <row r="10973" spans="1:27" x14ac:dyDescent="0.35">
      <c r="A10973">
        <v>1009871</v>
      </c>
      <c r="B10973">
        <v>10298</v>
      </c>
      <c r="C10973">
        <v>1</v>
      </c>
      <c r="D10973" s="17" t="s">
        <v>17166</v>
      </c>
      <c r="E10973" s="17"/>
      <c r="F10973" s="17" t="s">
        <v>17246</v>
      </c>
      <c r="G10973" s="17"/>
      <c r="H10973" s="17" t="s">
        <v>20919</v>
      </c>
      <c r="I10973" s="17"/>
      <c r="J10973" s="17" t="s">
        <v>21313</v>
      </c>
      <c r="K10973" s="17"/>
      <c r="L10973" s="17" t="s">
        <v>22378</v>
      </c>
      <c r="M10973" s="17"/>
      <c r="N10973" s="17" t="s">
        <v>22459</v>
      </c>
      <c r="O10973" s="17"/>
      <c r="P10973" s="17" t="s">
        <v>45008</v>
      </c>
      <c r="Q10973" s="17"/>
      <c r="R10973" s="25" t="str">
        <f>HYPERLINK("https://ictv.global/taxonomy/taxondetails?taxnode_id=202311031","Hodnevirus solivivens")</f>
        <v>Hodnevirus solivivens</v>
      </c>
      <c r="S10973" s="18" t="s">
        <v>30</v>
      </c>
      <c r="T10973" s="18" t="s">
        <v>22571</v>
      </c>
      <c r="U10973" s="18"/>
      <c r="V10973" s="18"/>
      <c r="W10973" s="18" t="s">
        <v>22572</v>
      </c>
      <c r="X10973" s="18" t="s">
        <v>35</v>
      </c>
      <c r="Y10973" s="18" t="s">
        <v>17171</v>
      </c>
      <c r="Z10973" s="18" t="s">
        <v>697</v>
      </c>
      <c r="AA10973" s="21" t="str">
        <f>HYPERLINK("https://www.ncbi.nlm.nih.gov/nuccore/BK014020","NCBI Nucleotide")</f>
        <v>NCBI Nucleotide</v>
      </c>
    </row>
    <row r="10974" spans="1:27" x14ac:dyDescent="0.35">
      <c r="A10974">
        <v>1009872</v>
      </c>
      <c r="B10974">
        <v>10299</v>
      </c>
      <c r="C10974">
        <v>1</v>
      </c>
      <c r="D10974" s="17" t="s">
        <v>17166</v>
      </c>
      <c r="E10974" s="17"/>
      <c r="F10974" s="17" t="s">
        <v>17246</v>
      </c>
      <c r="G10974" s="17"/>
      <c r="H10974" s="17" t="s">
        <v>20919</v>
      </c>
      <c r="I10974" s="17"/>
      <c r="J10974" s="17" t="s">
        <v>21313</v>
      </c>
      <c r="K10974" s="17"/>
      <c r="L10974" s="17" t="s">
        <v>22378</v>
      </c>
      <c r="M10974" s="17"/>
      <c r="N10974" s="17" t="s">
        <v>22459</v>
      </c>
      <c r="O10974" s="17"/>
      <c r="P10974" s="17" t="s">
        <v>45008</v>
      </c>
      <c r="Q10974" s="17"/>
      <c r="R10974" s="25" t="str">
        <f>HYPERLINK("https://ictv.global/taxonomy/taxondetails?taxnode_id=202311044","Hodnevirus telluradaptatum")</f>
        <v>Hodnevirus telluradaptatum</v>
      </c>
      <c r="S10974" s="18" t="s">
        <v>30</v>
      </c>
      <c r="T10974" s="18" t="s">
        <v>22573</v>
      </c>
      <c r="U10974" s="18"/>
      <c r="V10974" s="18"/>
      <c r="W10974" s="18" t="s">
        <v>22574</v>
      </c>
      <c r="X10974" s="18" t="s">
        <v>35</v>
      </c>
      <c r="Y10974" s="18" t="s">
        <v>17171</v>
      </c>
      <c r="Z10974" s="18" t="s">
        <v>697</v>
      </c>
      <c r="AA10974" s="21" t="str">
        <f>HYPERLINK("https://www.ncbi.nlm.nih.gov/nuccore/BK013984","NCBI Nucleotide")</f>
        <v>NCBI Nucleotide</v>
      </c>
    </row>
    <row r="10975" spans="1:27" x14ac:dyDescent="0.35">
      <c r="A10975">
        <v>1009873</v>
      </c>
      <c r="B10975">
        <v>10300</v>
      </c>
      <c r="C10975">
        <v>1</v>
      </c>
      <c r="D10975" s="17" t="s">
        <v>17166</v>
      </c>
      <c r="E10975" s="17"/>
      <c r="F10975" s="17" t="s">
        <v>17246</v>
      </c>
      <c r="G10975" s="17"/>
      <c r="H10975" s="17" t="s">
        <v>20919</v>
      </c>
      <c r="I10975" s="17"/>
      <c r="J10975" s="17" t="s">
        <v>21313</v>
      </c>
      <c r="K10975" s="17"/>
      <c r="L10975" s="17" t="s">
        <v>22378</v>
      </c>
      <c r="M10975" s="17"/>
      <c r="N10975" s="17" t="s">
        <v>22459</v>
      </c>
      <c r="O10975" s="17"/>
      <c r="P10975" s="17" t="s">
        <v>45008</v>
      </c>
      <c r="Q10975" s="17"/>
      <c r="R10975" s="25" t="str">
        <f>HYPERLINK("https://ictv.global/taxonomy/taxondetails?taxnode_id=202311046","Hodnevirus tellurenecus")</f>
        <v>Hodnevirus tellurenecus</v>
      </c>
      <c r="S10975" s="18" t="s">
        <v>30</v>
      </c>
      <c r="T10975" s="18" t="s">
        <v>22575</v>
      </c>
      <c r="U10975" s="18"/>
      <c r="V10975" s="18"/>
      <c r="W10975" s="18" t="s">
        <v>22576</v>
      </c>
      <c r="X10975" s="18" t="s">
        <v>35</v>
      </c>
      <c r="Y10975" s="18" t="s">
        <v>17171</v>
      </c>
      <c r="Z10975" s="18" t="s">
        <v>697</v>
      </c>
      <c r="AA10975" s="21" t="str">
        <f>HYPERLINK("https://www.ncbi.nlm.nih.gov/nuccore/BK013835","NCBI Nucleotide")</f>
        <v>NCBI Nucleotide</v>
      </c>
    </row>
    <row r="10976" spans="1:27" x14ac:dyDescent="0.35">
      <c r="A10976">
        <v>1009874</v>
      </c>
      <c r="B10976">
        <v>10301</v>
      </c>
      <c r="C10976">
        <v>1</v>
      </c>
      <c r="D10976" s="17" t="s">
        <v>17166</v>
      </c>
      <c r="E10976" s="17"/>
      <c r="F10976" s="17" t="s">
        <v>17246</v>
      </c>
      <c r="G10976" s="17"/>
      <c r="H10976" s="17" t="s">
        <v>20919</v>
      </c>
      <c r="I10976" s="17"/>
      <c r="J10976" s="17" t="s">
        <v>21313</v>
      </c>
      <c r="K10976" s="17"/>
      <c r="L10976" s="17" t="s">
        <v>22378</v>
      </c>
      <c r="M10976" s="17"/>
      <c r="N10976" s="17" t="s">
        <v>22459</v>
      </c>
      <c r="O10976" s="17"/>
      <c r="P10976" s="17" t="s">
        <v>45008</v>
      </c>
      <c r="Q10976" s="17"/>
      <c r="R10976" s="25" t="str">
        <f>HYPERLINK("https://ictv.global/taxonomy/taxondetails?taxnode_id=202311045","Hodnevirus telluricola")</f>
        <v>Hodnevirus telluricola</v>
      </c>
      <c r="S10976" s="18" t="s">
        <v>30</v>
      </c>
      <c r="T10976" s="18" t="s">
        <v>22577</v>
      </c>
      <c r="U10976" s="18"/>
      <c r="V10976" s="18"/>
      <c r="W10976" s="18" t="s">
        <v>22578</v>
      </c>
      <c r="X10976" s="18" t="s">
        <v>35</v>
      </c>
      <c r="Y10976" s="18" t="s">
        <v>17171</v>
      </c>
      <c r="Z10976" s="18" t="s">
        <v>697</v>
      </c>
      <c r="AA10976" s="21" t="str">
        <f>HYPERLINK("https://www.ncbi.nlm.nih.gov/nuccore/BK013536","NCBI Nucleotide")</f>
        <v>NCBI Nucleotide</v>
      </c>
    </row>
    <row r="10977" spans="1:27" x14ac:dyDescent="0.35">
      <c r="A10977">
        <v>1009875</v>
      </c>
      <c r="B10977">
        <v>10302</v>
      </c>
      <c r="C10977">
        <v>1</v>
      </c>
      <c r="D10977" s="17" t="s">
        <v>17166</v>
      </c>
      <c r="E10977" s="17"/>
      <c r="F10977" s="17" t="s">
        <v>17246</v>
      </c>
      <c r="G10977" s="17"/>
      <c r="H10977" s="17" t="s">
        <v>20919</v>
      </c>
      <c r="I10977" s="17"/>
      <c r="J10977" s="17" t="s">
        <v>21313</v>
      </c>
      <c r="K10977" s="17"/>
      <c r="L10977" s="17" t="s">
        <v>22378</v>
      </c>
      <c r="M10977" s="17"/>
      <c r="N10977" s="17" t="s">
        <v>22459</v>
      </c>
      <c r="O10977" s="17"/>
      <c r="P10977" s="17" t="s">
        <v>45008</v>
      </c>
      <c r="Q10977" s="17"/>
      <c r="R10977" s="25" t="str">
        <f>HYPERLINK("https://ictv.global/taxonomy/taxondetails?taxnode_id=202311047","Hodnevirus tellurihabitans")</f>
        <v>Hodnevirus tellurihabitans</v>
      </c>
      <c r="S10977" s="18" t="s">
        <v>30</v>
      </c>
      <c r="T10977" s="18" t="s">
        <v>22579</v>
      </c>
      <c r="U10977" s="18"/>
      <c r="V10977" s="18"/>
      <c r="W10977" s="18" t="s">
        <v>22580</v>
      </c>
      <c r="X10977" s="18" t="s">
        <v>35</v>
      </c>
      <c r="Y10977" s="18" t="s">
        <v>17171</v>
      </c>
      <c r="Z10977" s="18" t="s">
        <v>697</v>
      </c>
      <c r="AA10977" s="21" t="str">
        <f>HYPERLINK("https://www.ncbi.nlm.nih.gov/nuccore/BK013941","NCBI Nucleotide")</f>
        <v>NCBI Nucleotide</v>
      </c>
    </row>
    <row r="10978" spans="1:27" x14ac:dyDescent="0.35">
      <c r="A10978">
        <v>1009876</v>
      </c>
      <c r="B10978">
        <v>10303</v>
      </c>
      <c r="C10978">
        <v>1</v>
      </c>
      <c r="D10978" s="17" t="s">
        <v>17166</v>
      </c>
      <c r="E10978" s="17"/>
      <c r="F10978" s="17" t="s">
        <v>17246</v>
      </c>
      <c r="G10978" s="17"/>
      <c r="H10978" s="17" t="s">
        <v>20919</v>
      </c>
      <c r="I10978" s="17"/>
      <c r="J10978" s="17" t="s">
        <v>21313</v>
      </c>
      <c r="K10978" s="17"/>
      <c r="L10978" s="17" t="s">
        <v>22378</v>
      </c>
      <c r="M10978" s="17"/>
      <c r="N10978" s="17" t="s">
        <v>22459</v>
      </c>
      <c r="O10978" s="17"/>
      <c r="P10978" s="17" t="s">
        <v>45008</v>
      </c>
      <c r="Q10978" s="17"/>
      <c r="R10978" s="25" t="str">
        <f>HYPERLINK("https://ictv.global/taxonomy/taxondetails?taxnode_id=202311051","Hodnevirus tellurivicinum")</f>
        <v>Hodnevirus tellurivicinum</v>
      </c>
      <c r="S10978" s="18" t="s">
        <v>30</v>
      </c>
      <c r="T10978" s="18" t="s">
        <v>22581</v>
      </c>
      <c r="U10978" s="18"/>
      <c r="V10978" s="18"/>
      <c r="W10978" s="18" t="s">
        <v>22582</v>
      </c>
      <c r="X10978" s="18" t="s">
        <v>35</v>
      </c>
      <c r="Y10978" s="18" t="s">
        <v>17171</v>
      </c>
      <c r="Z10978" s="18" t="s">
        <v>697</v>
      </c>
      <c r="AA10978" s="21" t="str">
        <f>HYPERLINK("https://www.ncbi.nlm.nih.gov/nuccore/BK013431","NCBI Nucleotide")</f>
        <v>NCBI Nucleotide</v>
      </c>
    </row>
    <row r="10979" spans="1:27" x14ac:dyDescent="0.35">
      <c r="A10979">
        <v>1009877</v>
      </c>
      <c r="B10979">
        <v>10304</v>
      </c>
      <c r="C10979">
        <v>1</v>
      </c>
      <c r="D10979" s="17" t="s">
        <v>17166</v>
      </c>
      <c r="E10979" s="17"/>
      <c r="F10979" s="17" t="s">
        <v>17246</v>
      </c>
      <c r="G10979" s="17"/>
      <c r="H10979" s="17" t="s">
        <v>20919</v>
      </c>
      <c r="I10979" s="17"/>
      <c r="J10979" s="17" t="s">
        <v>21313</v>
      </c>
      <c r="K10979" s="17"/>
      <c r="L10979" s="17" t="s">
        <v>22378</v>
      </c>
      <c r="M10979" s="17"/>
      <c r="N10979" s="17" t="s">
        <v>22459</v>
      </c>
      <c r="O10979" s="17"/>
      <c r="P10979" s="17" t="s">
        <v>45008</v>
      </c>
      <c r="Q10979" s="17"/>
      <c r="R10979" s="25" t="str">
        <f>HYPERLINK("https://ictv.global/taxonomy/taxondetails?taxnode_id=202311052","Hodnevirus tellurivivens")</f>
        <v>Hodnevirus tellurivivens</v>
      </c>
      <c r="S10979" s="18" t="s">
        <v>30</v>
      </c>
      <c r="T10979" s="18" t="s">
        <v>22583</v>
      </c>
      <c r="U10979" s="18"/>
      <c r="V10979" s="18"/>
      <c r="W10979" s="18" t="s">
        <v>22584</v>
      </c>
      <c r="X10979" s="18" t="s">
        <v>35</v>
      </c>
      <c r="Y10979" s="18" t="s">
        <v>17171</v>
      </c>
      <c r="Z10979" s="18" t="s">
        <v>697</v>
      </c>
      <c r="AA10979" s="21" t="str">
        <f>HYPERLINK("https://www.ncbi.nlm.nih.gov/nuccore/BK014008","NCBI Nucleotide")</f>
        <v>NCBI Nucleotide</v>
      </c>
    </row>
    <row r="10980" spans="1:27" x14ac:dyDescent="0.35">
      <c r="A10980">
        <v>1009878</v>
      </c>
      <c r="B10980">
        <v>10305</v>
      </c>
      <c r="C10980">
        <v>1</v>
      </c>
      <c r="D10980" s="17" t="s">
        <v>17166</v>
      </c>
      <c r="E10980" s="17"/>
      <c r="F10980" s="17" t="s">
        <v>17246</v>
      </c>
      <c r="G10980" s="17"/>
      <c r="H10980" s="17" t="s">
        <v>20919</v>
      </c>
      <c r="I10980" s="17"/>
      <c r="J10980" s="17" t="s">
        <v>21313</v>
      </c>
      <c r="K10980" s="17"/>
      <c r="L10980" s="17" t="s">
        <v>22378</v>
      </c>
      <c r="M10980" s="17"/>
      <c r="N10980" s="17" t="s">
        <v>22459</v>
      </c>
      <c r="O10980" s="17"/>
      <c r="P10980" s="17" t="s">
        <v>45008</v>
      </c>
      <c r="Q10980" s="17"/>
      <c r="R10980" s="25" t="str">
        <f>HYPERLINK("https://ictv.global/taxonomy/taxondetails?taxnode_id=202311053","Hodnevirus terradaptatum")</f>
        <v>Hodnevirus terradaptatum</v>
      </c>
      <c r="S10980" s="18" t="s">
        <v>30</v>
      </c>
      <c r="T10980" s="18" t="s">
        <v>22585</v>
      </c>
      <c r="U10980" s="18"/>
      <c r="V10980" s="18"/>
      <c r="W10980" s="18" t="s">
        <v>22586</v>
      </c>
      <c r="X10980" s="18" t="s">
        <v>35</v>
      </c>
      <c r="Y10980" s="18" t="s">
        <v>17171</v>
      </c>
      <c r="Z10980" s="18" t="s">
        <v>697</v>
      </c>
      <c r="AA10980" s="21" t="str">
        <f>HYPERLINK("https://www.ncbi.nlm.nih.gov/nuccore/BK013517","NCBI Nucleotide")</f>
        <v>NCBI Nucleotide</v>
      </c>
    </row>
    <row r="10981" spans="1:27" x14ac:dyDescent="0.35">
      <c r="A10981">
        <v>1010018</v>
      </c>
      <c r="B10981">
        <v>10306</v>
      </c>
      <c r="C10981">
        <v>1</v>
      </c>
      <c r="D10981" s="17" t="s">
        <v>17166</v>
      </c>
      <c r="E10981" s="17"/>
      <c r="F10981" s="17" t="s">
        <v>17246</v>
      </c>
      <c r="G10981" s="17"/>
      <c r="H10981" s="17" t="s">
        <v>20919</v>
      </c>
      <c r="I10981" s="17"/>
      <c r="J10981" s="17" t="s">
        <v>21313</v>
      </c>
      <c r="K10981" s="17"/>
      <c r="L10981" s="17" t="s">
        <v>22378</v>
      </c>
      <c r="M10981" s="17"/>
      <c r="N10981" s="17" t="s">
        <v>22459</v>
      </c>
      <c r="O10981" s="17"/>
      <c r="P10981" s="17" t="s">
        <v>45008</v>
      </c>
      <c r="Q10981" s="17"/>
      <c r="R10981" s="25" t="str">
        <f>HYPERLINK("https://ictv.global/taxonomy/taxondetails?taxnode_id=202311206","Hodnevirus terrenecus")</f>
        <v>Hodnevirus terrenecus</v>
      </c>
      <c r="S10981" s="18" t="s">
        <v>30</v>
      </c>
      <c r="T10981" s="18" t="s">
        <v>22873</v>
      </c>
      <c r="U10981" s="18"/>
      <c r="V10981" s="18"/>
      <c r="W10981" s="18" t="s">
        <v>22874</v>
      </c>
      <c r="X10981" s="18" t="s">
        <v>35</v>
      </c>
      <c r="Y10981" s="18" t="s">
        <v>17171</v>
      </c>
      <c r="Z10981" s="18" t="s">
        <v>697</v>
      </c>
      <c r="AA10981" s="21" t="str">
        <f>HYPERLINK("https://www.ncbi.nlm.nih.gov/nuccore/BK013402","NCBI Nucleotide")</f>
        <v>NCBI Nucleotide</v>
      </c>
    </row>
    <row r="10982" spans="1:27" x14ac:dyDescent="0.35">
      <c r="A10982">
        <v>1009879</v>
      </c>
      <c r="B10982">
        <v>10307</v>
      </c>
      <c r="C10982">
        <v>1</v>
      </c>
      <c r="D10982" s="17" t="s">
        <v>17166</v>
      </c>
      <c r="E10982" s="17"/>
      <c r="F10982" s="17" t="s">
        <v>17246</v>
      </c>
      <c r="G10982" s="17"/>
      <c r="H10982" s="17" t="s">
        <v>20919</v>
      </c>
      <c r="I10982" s="17"/>
      <c r="J10982" s="17" t="s">
        <v>21313</v>
      </c>
      <c r="K10982" s="17"/>
      <c r="L10982" s="17" t="s">
        <v>22378</v>
      </c>
      <c r="M10982" s="17"/>
      <c r="N10982" s="17" t="s">
        <v>22459</v>
      </c>
      <c r="O10982" s="17"/>
      <c r="P10982" s="17" t="s">
        <v>45008</v>
      </c>
      <c r="Q10982" s="17"/>
      <c r="R10982" s="25" t="str">
        <f>HYPERLINK("https://ictv.global/taxonomy/taxondetails?taxnode_id=202311054","Hodnevirus terricola")</f>
        <v>Hodnevirus terricola</v>
      </c>
      <c r="S10982" s="18" t="s">
        <v>30</v>
      </c>
      <c r="T10982" s="18" t="s">
        <v>22587</v>
      </c>
      <c r="U10982" s="18"/>
      <c r="V10982" s="18"/>
      <c r="W10982" s="18" t="s">
        <v>22588</v>
      </c>
      <c r="X10982" s="18" t="s">
        <v>35</v>
      </c>
      <c r="Y10982" s="18" t="s">
        <v>17171</v>
      </c>
      <c r="Z10982" s="18" t="s">
        <v>697</v>
      </c>
      <c r="AA10982" s="21" t="str">
        <f>HYPERLINK("https://www.ncbi.nlm.nih.gov/nuccore/BK013771","NCBI Nucleotide")</f>
        <v>NCBI Nucleotide</v>
      </c>
    </row>
    <row r="10983" spans="1:27" x14ac:dyDescent="0.35">
      <c r="A10983">
        <v>1010020</v>
      </c>
      <c r="B10983">
        <v>10308</v>
      </c>
      <c r="C10983">
        <v>1</v>
      </c>
      <c r="D10983" s="17" t="s">
        <v>17166</v>
      </c>
      <c r="E10983" s="17"/>
      <c r="F10983" s="17" t="s">
        <v>17246</v>
      </c>
      <c r="G10983" s="17"/>
      <c r="H10983" s="17" t="s">
        <v>20919</v>
      </c>
      <c r="I10983" s="17"/>
      <c r="J10983" s="17" t="s">
        <v>21313</v>
      </c>
      <c r="K10983" s="17"/>
      <c r="L10983" s="17" t="s">
        <v>22378</v>
      </c>
      <c r="M10983" s="17"/>
      <c r="N10983" s="17" t="s">
        <v>22459</v>
      </c>
      <c r="O10983" s="17"/>
      <c r="P10983" s="17" t="s">
        <v>45008</v>
      </c>
      <c r="Q10983" s="17"/>
      <c r="R10983" s="25" t="str">
        <f>HYPERLINK("https://ictv.global/taxonomy/taxondetails?taxnode_id=202311207","Hodnevirus terrihabitans")</f>
        <v>Hodnevirus terrihabitans</v>
      </c>
      <c r="S10983" s="18" t="s">
        <v>30</v>
      </c>
      <c r="T10983" s="18" t="s">
        <v>22877</v>
      </c>
      <c r="U10983" s="18"/>
      <c r="V10983" s="18"/>
      <c r="W10983" s="18" t="s">
        <v>22878</v>
      </c>
      <c r="X10983" s="18" t="s">
        <v>35</v>
      </c>
      <c r="Y10983" s="18" t="s">
        <v>17171</v>
      </c>
      <c r="Z10983" s="18" t="s">
        <v>697</v>
      </c>
      <c r="AA10983" s="21" t="str">
        <f>HYPERLINK("https://www.ncbi.nlm.nih.gov/nuccore/BK013541","NCBI Nucleotide")</f>
        <v>NCBI Nucleotide</v>
      </c>
    </row>
    <row r="10984" spans="1:27" x14ac:dyDescent="0.35">
      <c r="A10984">
        <v>1010021</v>
      </c>
      <c r="B10984">
        <v>10309</v>
      </c>
      <c r="C10984">
        <v>1</v>
      </c>
      <c r="D10984" s="17" t="s">
        <v>17166</v>
      </c>
      <c r="E10984" s="17"/>
      <c r="F10984" s="17" t="s">
        <v>17246</v>
      </c>
      <c r="G10984" s="17"/>
      <c r="H10984" s="17" t="s">
        <v>20919</v>
      </c>
      <c r="I10984" s="17"/>
      <c r="J10984" s="17" t="s">
        <v>21313</v>
      </c>
      <c r="K10984" s="17"/>
      <c r="L10984" s="17" t="s">
        <v>22378</v>
      </c>
      <c r="M10984" s="17"/>
      <c r="N10984" s="17" t="s">
        <v>22459</v>
      </c>
      <c r="O10984" s="17"/>
      <c r="P10984" s="17" t="s">
        <v>45008</v>
      </c>
      <c r="Q10984" s="17"/>
      <c r="R10984" s="25" t="str">
        <f>HYPERLINK("https://ictv.global/taxonomy/taxondetails?taxnode_id=202311209","Hodnevirus terrivicinum")</f>
        <v>Hodnevirus terrivicinum</v>
      </c>
      <c r="S10984" s="18" t="s">
        <v>30</v>
      </c>
      <c r="T10984" s="18" t="s">
        <v>22879</v>
      </c>
      <c r="U10984" s="18"/>
      <c r="V10984" s="18"/>
      <c r="W10984" s="18" t="s">
        <v>22880</v>
      </c>
      <c r="X10984" s="18" t="s">
        <v>35</v>
      </c>
      <c r="Y10984" s="18" t="s">
        <v>17171</v>
      </c>
      <c r="Z10984" s="18" t="s">
        <v>697</v>
      </c>
      <c r="AA10984" s="21" t="str">
        <f>HYPERLINK("https://www.ncbi.nlm.nih.gov/nuccore/BK013394","NCBI Nucleotide")</f>
        <v>NCBI Nucleotide</v>
      </c>
    </row>
    <row r="10985" spans="1:27" x14ac:dyDescent="0.35">
      <c r="A10985">
        <v>1010022</v>
      </c>
      <c r="B10985">
        <v>10310</v>
      </c>
      <c r="C10985">
        <v>1</v>
      </c>
      <c r="D10985" s="17" t="s">
        <v>17166</v>
      </c>
      <c r="E10985" s="17"/>
      <c r="F10985" s="17" t="s">
        <v>17246</v>
      </c>
      <c r="G10985" s="17"/>
      <c r="H10985" s="17" t="s">
        <v>20919</v>
      </c>
      <c r="I10985" s="17"/>
      <c r="J10985" s="17" t="s">
        <v>21313</v>
      </c>
      <c r="K10985" s="17"/>
      <c r="L10985" s="17" t="s">
        <v>22378</v>
      </c>
      <c r="M10985" s="17"/>
      <c r="N10985" s="17" t="s">
        <v>22459</v>
      </c>
      <c r="O10985" s="17"/>
      <c r="P10985" s="17" t="s">
        <v>45008</v>
      </c>
      <c r="Q10985" s="17"/>
      <c r="R10985" s="25" t="str">
        <f>HYPERLINK("https://ictv.global/taxonomy/taxondetails?taxnode_id=202311210","Hodnevirus terrivivens")</f>
        <v>Hodnevirus terrivivens</v>
      </c>
      <c r="S10985" s="18" t="s">
        <v>30</v>
      </c>
      <c r="T10985" s="18" t="s">
        <v>22881</v>
      </c>
      <c r="U10985" s="18"/>
      <c r="V10985" s="18"/>
      <c r="W10985" s="18" t="s">
        <v>22882</v>
      </c>
      <c r="X10985" s="18" t="s">
        <v>35</v>
      </c>
      <c r="Y10985" s="18" t="s">
        <v>17171</v>
      </c>
      <c r="Z10985" s="18" t="s">
        <v>697</v>
      </c>
      <c r="AA10985" s="21" t="str">
        <f>HYPERLINK("https://www.ncbi.nlm.nih.gov/nuccore/BK013837","NCBI Nucleotide")</f>
        <v>NCBI Nucleotide</v>
      </c>
    </row>
    <row r="10986" spans="1:27" x14ac:dyDescent="0.35">
      <c r="A10986">
        <v>1027153</v>
      </c>
      <c r="B10986">
        <v>10311</v>
      </c>
      <c r="C10986">
        <v>1</v>
      </c>
      <c r="D10986" s="17" t="s">
        <v>17166</v>
      </c>
      <c r="E10986" s="17"/>
      <c r="F10986" s="17" t="s">
        <v>17246</v>
      </c>
      <c r="G10986" s="17"/>
      <c r="H10986" s="17" t="s">
        <v>20919</v>
      </c>
      <c r="I10986" s="17"/>
      <c r="J10986" s="17" t="s">
        <v>21313</v>
      </c>
      <c r="K10986" s="17"/>
      <c r="L10986" s="17" t="s">
        <v>22378</v>
      </c>
      <c r="M10986" s="17"/>
      <c r="N10986" s="17" t="s">
        <v>22459</v>
      </c>
      <c r="O10986" s="17"/>
      <c r="P10986" s="17" t="s">
        <v>45607</v>
      </c>
      <c r="Q10986" s="17"/>
      <c r="R10986" s="25" t="str">
        <f>HYPERLINK("https://ictv.global/taxonomy/taxondetails?taxnode_id=202317409","Hohnuvirus chthonocola")</f>
        <v>Hohnuvirus chthonocola</v>
      </c>
      <c r="S10986" s="18" t="s">
        <v>30</v>
      </c>
      <c r="T10986" s="18" t="s">
        <v>45608</v>
      </c>
      <c r="U10986" s="18"/>
      <c r="V10986" s="18"/>
      <c r="W10986" s="18" t="s">
        <v>45609</v>
      </c>
      <c r="X10986" s="18" t="s">
        <v>35</v>
      </c>
      <c r="Y10986" s="18" t="s">
        <v>17171</v>
      </c>
      <c r="Z10986" s="18" t="s">
        <v>24637</v>
      </c>
      <c r="AA10986" s="21" t="str">
        <f>HYPERLINK("https://www.ncbi.nlm.nih.gov/nuccore/CASDWV010001576","NCBI Nucleotide")</f>
        <v>NCBI Nucleotide</v>
      </c>
    </row>
    <row r="10987" spans="1:27" x14ac:dyDescent="0.35">
      <c r="A10987">
        <v>1027154</v>
      </c>
      <c r="B10987">
        <v>10312</v>
      </c>
      <c r="C10987">
        <v>1</v>
      </c>
      <c r="D10987" s="17" t="s">
        <v>17166</v>
      </c>
      <c r="E10987" s="17"/>
      <c r="F10987" s="17" t="s">
        <v>17246</v>
      </c>
      <c r="G10987" s="17"/>
      <c r="H10987" s="17" t="s">
        <v>20919</v>
      </c>
      <c r="I10987" s="17"/>
      <c r="J10987" s="17" t="s">
        <v>21313</v>
      </c>
      <c r="K10987" s="17"/>
      <c r="L10987" s="17" t="s">
        <v>22378</v>
      </c>
      <c r="M10987" s="17"/>
      <c r="N10987" s="17" t="s">
        <v>22459</v>
      </c>
      <c r="O10987" s="17"/>
      <c r="P10987" s="17" t="s">
        <v>22907</v>
      </c>
      <c r="Q10987" s="17"/>
      <c r="R10987" s="25" t="str">
        <f>HYPERLINK("https://ictv.global/taxonomy/taxondetails?taxnode_id=202317410","Hohrdovirus agrenecus")</f>
        <v>Hohrdovirus agrenecus</v>
      </c>
      <c r="S10987" s="18" t="s">
        <v>30</v>
      </c>
      <c r="T10987" s="18" t="s">
        <v>45610</v>
      </c>
      <c r="U10987" s="18"/>
      <c r="V10987" s="18"/>
      <c r="W10987" s="18" t="s">
        <v>45611</v>
      </c>
      <c r="X10987" s="18" t="s">
        <v>35</v>
      </c>
      <c r="Y10987" s="18" t="s">
        <v>17171</v>
      </c>
      <c r="Z10987" s="18" t="s">
        <v>24637</v>
      </c>
      <c r="AA10987" s="21" t="str">
        <f>HYPERLINK("https://www.ncbi.nlm.nih.gov/nuccore/CASDWV010000348","NCBI Nucleotide")</f>
        <v>NCBI Nucleotide</v>
      </c>
    </row>
    <row r="10988" spans="1:27" x14ac:dyDescent="0.35">
      <c r="A10988">
        <v>1027155</v>
      </c>
      <c r="B10988">
        <v>10313</v>
      </c>
      <c r="C10988">
        <v>1</v>
      </c>
      <c r="D10988" s="17" t="s">
        <v>17166</v>
      </c>
      <c r="E10988" s="17"/>
      <c r="F10988" s="17" t="s">
        <v>17246</v>
      </c>
      <c r="G10988" s="17"/>
      <c r="H10988" s="17" t="s">
        <v>20919</v>
      </c>
      <c r="I10988" s="17"/>
      <c r="J10988" s="17" t="s">
        <v>21313</v>
      </c>
      <c r="K10988" s="17"/>
      <c r="L10988" s="17" t="s">
        <v>22378</v>
      </c>
      <c r="M10988" s="17"/>
      <c r="N10988" s="17" t="s">
        <v>22459</v>
      </c>
      <c r="O10988" s="17"/>
      <c r="P10988" s="17" t="s">
        <v>22907</v>
      </c>
      <c r="Q10988" s="17"/>
      <c r="R10988" s="25" t="str">
        <f>HYPERLINK("https://ictv.global/taxonomy/taxondetails?taxnode_id=202317411","Hohrdovirus agricola")</f>
        <v>Hohrdovirus agricola</v>
      </c>
      <c r="S10988" s="18" t="s">
        <v>30</v>
      </c>
      <c r="T10988" s="18" t="s">
        <v>45612</v>
      </c>
      <c r="U10988" s="18"/>
      <c r="V10988" s="18"/>
      <c r="W10988" s="18" t="s">
        <v>45613</v>
      </c>
      <c r="X10988" s="18" t="s">
        <v>35</v>
      </c>
      <c r="Y10988" s="18" t="s">
        <v>17171</v>
      </c>
      <c r="Z10988" s="18" t="s">
        <v>24637</v>
      </c>
      <c r="AA10988" s="21" t="str">
        <f>HYPERLINK("https://www.ncbi.nlm.nih.gov/nuccore/CASDWV010002258","NCBI Nucleotide")</f>
        <v>NCBI Nucleotide</v>
      </c>
    </row>
    <row r="10989" spans="1:27" x14ac:dyDescent="0.35">
      <c r="A10989">
        <v>1027156</v>
      </c>
      <c r="B10989">
        <v>10314</v>
      </c>
      <c r="C10989">
        <v>1</v>
      </c>
      <c r="D10989" s="17" t="s">
        <v>17166</v>
      </c>
      <c r="E10989" s="17"/>
      <c r="F10989" s="17" t="s">
        <v>17246</v>
      </c>
      <c r="G10989" s="17"/>
      <c r="H10989" s="17" t="s">
        <v>20919</v>
      </c>
      <c r="I10989" s="17"/>
      <c r="J10989" s="17" t="s">
        <v>21313</v>
      </c>
      <c r="K10989" s="17"/>
      <c r="L10989" s="17" t="s">
        <v>22378</v>
      </c>
      <c r="M10989" s="17"/>
      <c r="N10989" s="17" t="s">
        <v>22459</v>
      </c>
      <c r="O10989" s="17"/>
      <c r="P10989" s="17" t="s">
        <v>22907</v>
      </c>
      <c r="Q10989" s="17"/>
      <c r="R10989" s="25" t="str">
        <f>HYPERLINK("https://ictv.global/taxonomy/taxondetails?taxnode_id=202317412","Hohrdovirus agrivicinum")</f>
        <v>Hohrdovirus agrivicinum</v>
      </c>
      <c r="S10989" s="18" t="s">
        <v>30</v>
      </c>
      <c r="T10989" s="18" t="s">
        <v>45614</v>
      </c>
      <c r="U10989" s="18"/>
      <c r="V10989" s="18"/>
      <c r="W10989" s="18" t="s">
        <v>45615</v>
      </c>
      <c r="X10989" s="18" t="s">
        <v>35</v>
      </c>
      <c r="Y10989" s="18" t="s">
        <v>17171</v>
      </c>
      <c r="Z10989" s="18" t="s">
        <v>24637</v>
      </c>
      <c r="AA10989" s="21" t="str">
        <f>HYPERLINK("https://www.ncbi.nlm.nih.gov/nuccore/CASDWV010002143","NCBI Nucleotide")</f>
        <v>NCBI Nucleotide</v>
      </c>
    </row>
    <row r="10990" spans="1:27" x14ac:dyDescent="0.35">
      <c r="A10990">
        <v>1027157</v>
      </c>
      <c r="B10990">
        <v>10315</v>
      </c>
      <c r="C10990">
        <v>1</v>
      </c>
      <c r="D10990" s="17" t="s">
        <v>17166</v>
      </c>
      <c r="E10990" s="17"/>
      <c r="F10990" s="17" t="s">
        <v>17246</v>
      </c>
      <c r="G10990" s="17"/>
      <c r="H10990" s="17" t="s">
        <v>20919</v>
      </c>
      <c r="I10990" s="17"/>
      <c r="J10990" s="17" t="s">
        <v>21313</v>
      </c>
      <c r="K10990" s="17"/>
      <c r="L10990" s="17" t="s">
        <v>22378</v>
      </c>
      <c r="M10990" s="17"/>
      <c r="N10990" s="17" t="s">
        <v>22459</v>
      </c>
      <c r="O10990" s="17"/>
      <c r="P10990" s="17" t="s">
        <v>22907</v>
      </c>
      <c r="Q10990" s="17"/>
      <c r="R10990" s="25" t="str">
        <f>HYPERLINK("https://ictv.global/taxonomy/taxondetails?taxnode_id=202317413","Hohrdovirus asiocola")</f>
        <v>Hohrdovirus asiocola</v>
      </c>
      <c r="S10990" s="18" t="s">
        <v>30</v>
      </c>
      <c r="T10990" s="18" t="s">
        <v>45616</v>
      </c>
      <c r="U10990" s="18"/>
      <c r="V10990" s="18"/>
      <c r="W10990" s="18" t="s">
        <v>45617</v>
      </c>
      <c r="X10990" s="18" t="s">
        <v>35</v>
      </c>
      <c r="Y10990" s="18" t="s">
        <v>17171</v>
      </c>
      <c r="Z10990" s="18" t="s">
        <v>24637</v>
      </c>
      <c r="AA10990" s="21" t="str">
        <f>HYPERLINK("https://www.ncbi.nlm.nih.gov/nuccore/CASDWV010000202","NCBI Nucleotide")</f>
        <v>NCBI Nucleotide</v>
      </c>
    </row>
    <row r="10991" spans="1:27" x14ac:dyDescent="0.35">
      <c r="A10991">
        <v>1009907</v>
      </c>
      <c r="B10991">
        <v>10316</v>
      </c>
      <c r="C10991">
        <v>1</v>
      </c>
      <c r="D10991" s="17" t="s">
        <v>17166</v>
      </c>
      <c r="E10991" s="17"/>
      <c r="F10991" s="17" t="s">
        <v>17246</v>
      </c>
      <c r="G10991" s="17"/>
      <c r="H10991" s="17" t="s">
        <v>20919</v>
      </c>
      <c r="I10991" s="17"/>
      <c r="J10991" s="17" t="s">
        <v>21313</v>
      </c>
      <c r="K10991" s="17"/>
      <c r="L10991" s="17" t="s">
        <v>22378</v>
      </c>
      <c r="M10991" s="17"/>
      <c r="N10991" s="17" t="s">
        <v>22459</v>
      </c>
      <c r="O10991" s="17"/>
      <c r="P10991" s="17" t="s">
        <v>22907</v>
      </c>
      <c r="Q10991" s="17"/>
      <c r="R10991" s="25" t="str">
        <f>HYPERLINK("https://ictv.global/taxonomy/taxondetails?taxnode_id=202311098","Hohrdovirus caenadaptatum")</f>
        <v>Hohrdovirus caenadaptatum</v>
      </c>
      <c r="S10991" s="18" t="s">
        <v>30</v>
      </c>
      <c r="T10991" s="18" t="s">
        <v>22644</v>
      </c>
      <c r="U10991" s="18"/>
      <c r="V10991" s="18"/>
      <c r="W10991" s="18" t="s">
        <v>22645</v>
      </c>
      <c r="X10991" s="18" t="s">
        <v>35</v>
      </c>
      <c r="Y10991" s="18" t="s">
        <v>17171</v>
      </c>
      <c r="Z10991" s="18" t="s">
        <v>697</v>
      </c>
      <c r="AA10991" s="21" t="str">
        <f>HYPERLINK("https://www.ncbi.nlm.nih.gov/nuccore/BK013642","NCBI Nucleotide")</f>
        <v>NCBI Nucleotide</v>
      </c>
    </row>
    <row r="10992" spans="1:27" x14ac:dyDescent="0.35">
      <c r="A10992">
        <v>1010036</v>
      </c>
      <c r="B10992">
        <v>10317</v>
      </c>
      <c r="C10992">
        <v>1</v>
      </c>
      <c r="D10992" s="17" t="s">
        <v>17166</v>
      </c>
      <c r="E10992" s="17"/>
      <c r="F10992" s="17" t="s">
        <v>17246</v>
      </c>
      <c r="G10992" s="17"/>
      <c r="H10992" s="17" t="s">
        <v>20919</v>
      </c>
      <c r="I10992" s="17"/>
      <c r="J10992" s="17" t="s">
        <v>21313</v>
      </c>
      <c r="K10992" s="17"/>
      <c r="L10992" s="17" t="s">
        <v>22378</v>
      </c>
      <c r="M10992" s="17"/>
      <c r="N10992" s="17" t="s">
        <v>22459</v>
      </c>
      <c r="O10992" s="17"/>
      <c r="P10992" s="17" t="s">
        <v>22907</v>
      </c>
      <c r="Q10992" s="17"/>
      <c r="R10992" s="25" t="str">
        <f>HYPERLINK("https://ictv.global/taxonomy/taxondetails?taxnode_id=202311258","Hohrdovirus caenivivens")</f>
        <v>Hohrdovirus caenivivens</v>
      </c>
      <c r="S10992" s="18" t="s">
        <v>30</v>
      </c>
      <c r="T10992" s="18" t="s">
        <v>22908</v>
      </c>
      <c r="U10992" s="18"/>
      <c r="V10992" s="18"/>
      <c r="W10992" s="18" t="s">
        <v>22909</v>
      </c>
      <c r="X10992" s="18" t="s">
        <v>35</v>
      </c>
      <c r="Y10992" s="18" t="s">
        <v>17171</v>
      </c>
      <c r="Z10992" s="18" t="s">
        <v>697</v>
      </c>
      <c r="AA10992" s="21" t="str">
        <f>HYPERLINK("https://www.ncbi.nlm.nih.gov/nuccore/BK014138","NCBI Nucleotide")</f>
        <v>NCBI Nucleotide</v>
      </c>
    </row>
    <row r="10993" spans="1:27" x14ac:dyDescent="0.35">
      <c r="A10993">
        <v>1027158</v>
      </c>
      <c r="B10993">
        <v>10318</v>
      </c>
      <c r="C10993">
        <v>1</v>
      </c>
      <c r="D10993" s="17" t="s">
        <v>17166</v>
      </c>
      <c r="E10993" s="17"/>
      <c r="F10993" s="17" t="s">
        <v>17246</v>
      </c>
      <c r="G10993" s="17"/>
      <c r="H10993" s="17" t="s">
        <v>20919</v>
      </c>
      <c r="I10993" s="17"/>
      <c r="J10993" s="17" t="s">
        <v>21313</v>
      </c>
      <c r="K10993" s="17"/>
      <c r="L10993" s="17" t="s">
        <v>22378</v>
      </c>
      <c r="M10993" s="17"/>
      <c r="N10993" s="17" t="s">
        <v>22459</v>
      </c>
      <c r="O10993" s="17"/>
      <c r="P10993" s="17" t="s">
        <v>22907</v>
      </c>
      <c r="Q10993" s="17"/>
      <c r="R10993" s="25" t="str">
        <f>HYPERLINK("https://ictv.global/taxonomy/taxondetails?taxnode_id=202317414","Hohrdovirus chorenecus")</f>
        <v>Hohrdovirus chorenecus</v>
      </c>
      <c r="S10993" s="18" t="s">
        <v>30</v>
      </c>
      <c r="T10993" s="18" t="s">
        <v>45618</v>
      </c>
      <c r="U10993" s="18"/>
      <c r="V10993" s="18"/>
      <c r="W10993" s="18" t="s">
        <v>45619</v>
      </c>
      <c r="X10993" s="18" t="s">
        <v>35</v>
      </c>
      <c r="Y10993" s="18" t="s">
        <v>17171</v>
      </c>
      <c r="Z10993" s="18" t="s">
        <v>24637</v>
      </c>
      <c r="AA10993" s="21" t="str">
        <f>HYPERLINK("https://www.ncbi.nlm.nih.gov/nuccore/CASDWV010000686","NCBI Nucleotide")</f>
        <v>NCBI Nucleotide</v>
      </c>
    </row>
    <row r="10994" spans="1:27" x14ac:dyDescent="0.35">
      <c r="A10994">
        <v>1027159</v>
      </c>
      <c r="B10994">
        <v>10319</v>
      </c>
      <c r="C10994">
        <v>1</v>
      </c>
      <c r="D10994" s="17" t="s">
        <v>17166</v>
      </c>
      <c r="E10994" s="17"/>
      <c r="F10994" s="17" t="s">
        <v>17246</v>
      </c>
      <c r="G10994" s="17"/>
      <c r="H10994" s="17" t="s">
        <v>20919</v>
      </c>
      <c r="I10994" s="17"/>
      <c r="J10994" s="17" t="s">
        <v>21313</v>
      </c>
      <c r="K10994" s="17"/>
      <c r="L10994" s="17" t="s">
        <v>22378</v>
      </c>
      <c r="M10994" s="17"/>
      <c r="N10994" s="17" t="s">
        <v>22459</v>
      </c>
      <c r="O10994" s="17"/>
      <c r="P10994" s="17" t="s">
        <v>22907</v>
      </c>
      <c r="Q10994" s="17"/>
      <c r="R10994" s="25" t="str">
        <f>HYPERLINK("https://ictv.global/taxonomy/taxondetails?taxnode_id=202317415","Hohrdovirus chorohabitans")</f>
        <v>Hohrdovirus chorohabitans</v>
      </c>
      <c r="S10994" s="18" t="s">
        <v>30</v>
      </c>
      <c r="T10994" s="18" t="s">
        <v>45620</v>
      </c>
      <c r="U10994" s="18"/>
      <c r="V10994" s="18"/>
      <c r="W10994" s="18" t="s">
        <v>45621</v>
      </c>
      <c r="X10994" s="18" t="s">
        <v>35</v>
      </c>
      <c r="Y10994" s="18" t="s">
        <v>17171</v>
      </c>
      <c r="Z10994" s="18" t="s">
        <v>24637</v>
      </c>
      <c r="AA10994" s="21" t="str">
        <f>HYPERLINK("https://www.ncbi.nlm.nih.gov/nuccore/CASDWV010000742","NCBI Nucleotide")</f>
        <v>NCBI Nucleotide</v>
      </c>
    </row>
    <row r="10995" spans="1:27" x14ac:dyDescent="0.35">
      <c r="A10995">
        <v>1027160</v>
      </c>
      <c r="B10995">
        <v>10320</v>
      </c>
      <c r="C10995">
        <v>1</v>
      </c>
      <c r="D10995" s="17" t="s">
        <v>17166</v>
      </c>
      <c r="E10995" s="17"/>
      <c r="F10995" s="17" t="s">
        <v>17246</v>
      </c>
      <c r="G10995" s="17"/>
      <c r="H10995" s="17" t="s">
        <v>20919</v>
      </c>
      <c r="I10995" s="17"/>
      <c r="J10995" s="17" t="s">
        <v>21313</v>
      </c>
      <c r="K10995" s="17"/>
      <c r="L10995" s="17" t="s">
        <v>22378</v>
      </c>
      <c r="M10995" s="17"/>
      <c r="N10995" s="17" t="s">
        <v>22459</v>
      </c>
      <c r="O10995" s="17"/>
      <c r="P10995" s="17" t="s">
        <v>22907</v>
      </c>
      <c r="Q10995" s="17"/>
      <c r="R10995" s="25" t="str">
        <f>HYPERLINK("https://ictv.global/taxonomy/taxondetails?taxnode_id=202317416","Hohrdovirus chorovivens")</f>
        <v>Hohrdovirus chorovivens</v>
      </c>
      <c r="S10995" s="18" t="s">
        <v>30</v>
      </c>
      <c r="T10995" s="18" t="s">
        <v>45622</v>
      </c>
      <c r="U10995" s="18"/>
      <c r="V10995" s="18"/>
      <c r="W10995" s="18" t="s">
        <v>45623</v>
      </c>
      <c r="X10995" s="18" t="s">
        <v>35</v>
      </c>
      <c r="Y10995" s="18" t="s">
        <v>17171</v>
      </c>
      <c r="Z10995" s="18" t="s">
        <v>24637</v>
      </c>
      <c r="AA10995" s="21" t="str">
        <f>HYPERLINK("https://www.ncbi.nlm.nih.gov/nuccore/CASDWV010000639","NCBI Nucleotide")</f>
        <v>NCBI Nucleotide</v>
      </c>
    </row>
    <row r="10996" spans="1:27" x14ac:dyDescent="0.35">
      <c r="A10996">
        <v>1027161</v>
      </c>
      <c r="B10996">
        <v>10321</v>
      </c>
      <c r="C10996">
        <v>1</v>
      </c>
      <c r="D10996" s="17" t="s">
        <v>17166</v>
      </c>
      <c r="E10996" s="17"/>
      <c r="F10996" s="17" t="s">
        <v>17246</v>
      </c>
      <c r="G10996" s="17"/>
      <c r="H10996" s="17" t="s">
        <v>20919</v>
      </c>
      <c r="I10996" s="17"/>
      <c r="J10996" s="17" t="s">
        <v>21313</v>
      </c>
      <c r="K10996" s="17"/>
      <c r="L10996" s="17" t="s">
        <v>22378</v>
      </c>
      <c r="M10996" s="17"/>
      <c r="N10996" s="17" t="s">
        <v>22459</v>
      </c>
      <c r="O10996" s="17"/>
      <c r="P10996" s="17" t="s">
        <v>22907</v>
      </c>
      <c r="Q10996" s="17"/>
      <c r="R10996" s="25" t="str">
        <f>HYPERLINK("https://ictv.global/taxonomy/taxondetails?taxnode_id=202317417","Hohrdovirus chthonadaptatum")</f>
        <v>Hohrdovirus chthonadaptatum</v>
      </c>
      <c r="S10996" s="18" t="s">
        <v>30</v>
      </c>
      <c r="T10996" s="18" t="s">
        <v>45624</v>
      </c>
      <c r="U10996" s="18"/>
      <c r="V10996" s="18"/>
      <c r="W10996" s="18" t="s">
        <v>45625</v>
      </c>
      <c r="X10996" s="18" t="s">
        <v>35</v>
      </c>
      <c r="Y10996" s="18" t="s">
        <v>17171</v>
      </c>
      <c r="Z10996" s="18" t="s">
        <v>24637</v>
      </c>
      <c r="AA10996" s="21" t="str">
        <f>HYPERLINK("https://www.ncbi.nlm.nih.gov/nuccore/CASDWV010000204","NCBI Nucleotide")</f>
        <v>NCBI Nucleotide</v>
      </c>
    </row>
    <row r="10997" spans="1:27" x14ac:dyDescent="0.35">
      <c r="A10997">
        <v>1027162</v>
      </c>
      <c r="B10997">
        <v>10322</v>
      </c>
      <c r="C10997">
        <v>1</v>
      </c>
      <c r="D10997" s="17" t="s">
        <v>17166</v>
      </c>
      <c r="E10997" s="17"/>
      <c r="F10997" s="17" t="s">
        <v>17246</v>
      </c>
      <c r="G10997" s="17"/>
      <c r="H10997" s="17" t="s">
        <v>20919</v>
      </c>
      <c r="I10997" s="17"/>
      <c r="J10997" s="17" t="s">
        <v>21313</v>
      </c>
      <c r="K10997" s="17"/>
      <c r="L10997" s="17" t="s">
        <v>22378</v>
      </c>
      <c r="M10997" s="17"/>
      <c r="N10997" s="17" t="s">
        <v>22459</v>
      </c>
      <c r="O10997" s="17"/>
      <c r="P10997" s="17" t="s">
        <v>22907</v>
      </c>
      <c r="Q10997" s="17"/>
      <c r="R10997" s="25" t="str">
        <f>HYPERLINK("https://ictv.global/taxonomy/taxondetails?taxnode_id=202317418","Hohrdovirus edaphadaptatum")</f>
        <v>Hohrdovirus edaphadaptatum</v>
      </c>
      <c r="S10997" s="18" t="s">
        <v>30</v>
      </c>
      <c r="T10997" s="18" t="s">
        <v>45626</v>
      </c>
      <c r="U10997" s="18"/>
      <c r="V10997" s="18"/>
      <c r="W10997" s="18" t="s">
        <v>45627</v>
      </c>
      <c r="X10997" s="18" t="s">
        <v>35</v>
      </c>
      <c r="Y10997" s="18" t="s">
        <v>17171</v>
      </c>
      <c r="Z10997" s="18" t="s">
        <v>24637</v>
      </c>
      <c r="AA10997" s="21" t="str">
        <f>HYPERLINK("https://www.ncbi.nlm.nih.gov/nuccore/CASDWV010001072","NCBI Nucleotide")</f>
        <v>NCBI Nucleotide</v>
      </c>
    </row>
    <row r="10998" spans="1:27" x14ac:dyDescent="0.35">
      <c r="A10998">
        <v>1027163</v>
      </c>
      <c r="B10998">
        <v>10323</v>
      </c>
      <c r="C10998">
        <v>1</v>
      </c>
      <c r="D10998" s="17" t="s">
        <v>17166</v>
      </c>
      <c r="E10998" s="17"/>
      <c r="F10998" s="17" t="s">
        <v>17246</v>
      </c>
      <c r="G10998" s="17"/>
      <c r="H10998" s="17" t="s">
        <v>20919</v>
      </c>
      <c r="I10998" s="17"/>
      <c r="J10998" s="17" t="s">
        <v>21313</v>
      </c>
      <c r="K10998" s="17"/>
      <c r="L10998" s="17" t="s">
        <v>22378</v>
      </c>
      <c r="M10998" s="17"/>
      <c r="N10998" s="17" t="s">
        <v>22459</v>
      </c>
      <c r="O10998" s="17"/>
      <c r="P10998" s="17" t="s">
        <v>22907</v>
      </c>
      <c r="Q10998" s="17"/>
      <c r="R10998" s="25" t="str">
        <f>HYPERLINK("https://ictv.global/taxonomy/taxondetails?taxnode_id=202317419","Hohrdovirus edaphenecus")</f>
        <v>Hohrdovirus edaphenecus</v>
      </c>
      <c r="S10998" s="18" t="s">
        <v>30</v>
      </c>
      <c r="T10998" s="18" t="s">
        <v>45628</v>
      </c>
      <c r="U10998" s="18"/>
      <c r="V10998" s="18"/>
      <c r="W10998" s="18" t="s">
        <v>45629</v>
      </c>
      <c r="X10998" s="18" t="s">
        <v>35</v>
      </c>
      <c r="Y10998" s="18" t="s">
        <v>17171</v>
      </c>
      <c r="Z10998" s="18" t="s">
        <v>24637</v>
      </c>
      <c r="AA10998" s="21" t="str">
        <f>HYPERLINK("https://www.ncbi.nlm.nih.gov/nuccore/CASDWV010003255","NCBI Nucleotide")</f>
        <v>NCBI Nucleotide</v>
      </c>
    </row>
    <row r="10999" spans="1:27" x14ac:dyDescent="0.35">
      <c r="A10999">
        <v>1027164</v>
      </c>
      <c r="B10999">
        <v>10324</v>
      </c>
      <c r="C10999">
        <v>1</v>
      </c>
      <c r="D10999" s="17" t="s">
        <v>17166</v>
      </c>
      <c r="E10999" s="17"/>
      <c r="F10999" s="17" t="s">
        <v>17246</v>
      </c>
      <c r="G10999" s="17"/>
      <c r="H10999" s="17" t="s">
        <v>20919</v>
      </c>
      <c r="I10999" s="17"/>
      <c r="J10999" s="17" t="s">
        <v>21313</v>
      </c>
      <c r="K10999" s="17"/>
      <c r="L10999" s="17" t="s">
        <v>22378</v>
      </c>
      <c r="M10999" s="17"/>
      <c r="N10999" s="17" t="s">
        <v>22459</v>
      </c>
      <c r="O10999" s="17"/>
      <c r="P10999" s="17" t="s">
        <v>22907</v>
      </c>
      <c r="Q10999" s="17"/>
      <c r="R10999" s="25" t="str">
        <f>HYPERLINK("https://ictv.global/taxonomy/taxondetails?taxnode_id=202317420","Hohrdovirus edaphocola")</f>
        <v>Hohrdovirus edaphocola</v>
      </c>
      <c r="S10999" s="18" t="s">
        <v>30</v>
      </c>
      <c r="T10999" s="18" t="s">
        <v>45630</v>
      </c>
      <c r="U10999" s="18"/>
      <c r="V10999" s="18"/>
      <c r="W10999" s="18" t="s">
        <v>45631</v>
      </c>
      <c r="X10999" s="18" t="s">
        <v>35</v>
      </c>
      <c r="Y10999" s="18" t="s">
        <v>17171</v>
      </c>
      <c r="Z10999" s="18" t="s">
        <v>24637</v>
      </c>
      <c r="AA10999" s="21" t="str">
        <f>HYPERLINK("https://www.ncbi.nlm.nih.gov/nuccore/CASDWV010001610","NCBI Nucleotide")</f>
        <v>NCBI Nucleotide</v>
      </c>
    </row>
    <row r="11000" spans="1:27" x14ac:dyDescent="0.35">
      <c r="A11000">
        <v>1010037</v>
      </c>
      <c r="B11000">
        <v>10325</v>
      </c>
      <c r="C11000">
        <v>1</v>
      </c>
      <c r="D11000" s="17" t="s">
        <v>17166</v>
      </c>
      <c r="E11000" s="17"/>
      <c r="F11000" s="17" t="s">
        <v>17246</v>
      </c>
      <c r="G11000" s="17"/>
      <c r="H11000" s="17" t="s">
        <v>20919</v>
      </c>
      <c r="I11000" s="17"/>
      <c r="J11000" s="17" t="s">
        <v>21313</v>
      </c>
      <c r="K11000" s="17"/>
      <c r="L11000" s="17" t="s">
        <v>22378</v>
      </c>
      <c r="M11000" s="17"/>
      <c r="N11000" s="17" t="s">
        <v>22459</v>
      </c>
      <c r="O11000" s="17"/>
      <c r="P11000" s="17" t="s">
        <v>22907</v>
      </c>
      <c r="Q11000" s="17"/>
      <c r="R11000" s="25" t="str">
        <f>HYPERLINK("https://ictv.global/taxonomy/taxondetails?taxnode_id=202311247","Hohrdovirus edaphohabitans")</f>
        <v>Hohrdovirus edaphohabitans</v>
      </c>
      <c r="S11000" s="18" t="s">
        <v>30</v>
      </c>
      <c r="T11000" s="18" t="s">
        <v>22910</v>
      </c>
      <c r="U11000" s="18"/>
      <c r="V11000" s="18"/>
      <c r="W11000" s="18" t="s">
        <v>22911</v>
      </c>
      <c r="X11000" s="18" t="s">
        <v>35</v>
      </c>
      <c r="Y11000" s="18" t="s">
        <v>17171</v>
      </c>
      <c r="Z11000" s="18" t="s">
        <v>697</v>
      </c>
      <c r="AA11000" s="21" t="str">
        <f>HYPERLINK("https://www.ncbi.nlm.nih.gov/nuccore/BK013451","NCBI Nucleotide")</f>
        <v>NCBI Nucleotide</v>
      </c>
    </row>
    <row r="11001" spans="1:27" x14ac:dyDescent="0.35">
      <c r="A11001">
        <v>1010038</v>
      </c>
      <c r="B11001">
        <v>10326</v>
      </c>
      <c r="C11001">
        <v>1</v>
      </c>
      <c r="D11001" s="17" t="s">
        <v>17166</v>
      </c>
      <c r="E11001" s="17"/>
      <c r="F11001" s="17" t="s">
        <v>17246</v>
      </c>
      <c r="G11001" s="17"/>
      <c r="H11001" s="17" t="s">
        <v>20919</v>
      </c>
      <c r="I11001" s="17"/>
      <c r="J11001" s="17" t="s">
        <v>21313</v>
      </c>
      <c r="K11001" s="17"/>
      <c r="L11001" s="17" t="s">
        <v>22378</v>
      </c>
      <c r="M11001" s="17"/>
      <c r="N11001" s="17" t="s">
        <v>22459</v>
      </c>
      <c r="O11001" s="17"/>
      <c r="P11001" s="17" t="s">
        <v>22907</v>
      </c>
      <c r="Q11001" s="17"/>
      <c r="R11001" s="25" t="str">
        <f>HYPERLINK("https://ictv.global/taxonomy/taxondetails?taxnode_id=202311248","Hohrdovirus edaphovicinum")</f>
        <v>Hohrdovirus edaphovicinum</v>
      </c>
      <c r="S11001" s="18" t="s">
        <v>30</v>
      </c>
      <c r="T11001" s="18" t="s">
        <v>22912</v>
      </c>
      <c r="U11001" s="18"/>
      <c r="V11001" s="18"/>
      <c r="W11001" s="18" t="s">
        <v>22913</v>
      </c>
      <c r="X11001" s="18" t="s">
        <v>35</v>
      </c>
      <c r="Y11001" s="18" t="s">
        <v>17171</v>
      </c>
      <c r="Z11001" s="18" t="s">
        <v>697</v>
      </c>
      <c r="AA11001" s="21" t="str">
        <f>HYPERLINK("https://www.ncbi.nlm.nih.gov/nuccore/BK013964","NCBI Nucleotide")</f>
        <v>NCBI Nucleotide</v>
      </c>
    </row>
    <row r="11002" spans="1:27" x14ac:dyDescent="0.35">
      <c r="A11002">
        <v>1010039</v>
      </c>
      <c r="B11002">
        <v>10327</v>
      </c>
      <c r="C11002">
        <v>1</v>
      </c>
      <c r="D11002" s="17" t="s">
        <v>17166</v>
      </c>
      <c r="E11002" s="17"/>
      <c r="F11002" s="17" t="s">
        <v>17246</v>
      </c>
      <c r="G11002" s="17"/>
      <c r="H11002" s="17" t="s">
        <v>20919</v>
      </c>
      <c r="I11002" s="17"/>
      <c r="J11002" s="17" t="s">
        <v>21313</v>
      </c>
      <c r="K11002" s="17"/>
      <c r="L11002" s="17" t="s">
        <v>22378</v>
      </c>
      <c r="M11002" s="17"/>
      <c r="N11002" s="17" t="s">
        <v>22459</v>
      </c>
      <c r="O11002" s="17"/>
      <c r="P11002" s="17" t="s">
        <v>22907</v>
      </c>
      <c r="Q11002" s="17"/>
      <c r="R11002" s="25" t="str">
        <f>HYPERLINK("https://ictv.global/taxonomy/taxondetails?taxnode_id=202311249","Hohrdovirus edaphovivens")</f>
        <v>Hohrdovirus edaphovivens</v>
      </c>
      <c r="S11002" s="18" t="s">
        <v>30</v>
      </c>
      <c r="T11002" s="18" t="s">
        <v>22914</v>
      </c>
      <c r="U11002" s="18"/>
      <c r="V11002" s="18"/>
      <c r="W11002" s="18" t="s">
        <v>22915</v>
      </c>
      <c r="X11002" s="18" t="s">
        <v>35</v>
      </c>
      <c r="Y11002" s="18" t="s">
        <v>17171</v>
      </c>
      <c r="Z11002" s="18" t="s">
        <v>697</v>
      </c>
      <c r="AA11002" s="21" t="str">
        <f>HYPERLINK("https://www.ncbi.nlm.nih.gov/nuccore/BK013985","NCBI Nucleotide")</f>
        <v>NCBI Nucleotide</v>
      </c>
    </row>
    <row r="11003" spans="1:27" x14ac:dyDescent="0.35">
      <c r="A11003">
        <v>1027165</v>
      </c>
      <c r="B11003">
        <v>10328</v>
      </c>
      <c r="C11003">
        <v>1</v>
      </c>
      <c r="D11003" s="17" t="s">
        <v>17166</v>
      </c>
      <c r="E11003" s="17"/>
      <c r="F11003" s="17" t="s">
        <v>17246</v>
      </c>
      <c r="G11003" s="17"/>
      <c r="H11003" s="17" t="s">
        <v>20919</v>
      </c>
      <c r="I11003" s="17"/>
      <c r="J11003" s="17" t="s">
        <v>21313</v>
      </c>
      <c r="K11003" s="17"/>
      <c r="L11003" s="17" t="s">
        <v>22378</v>
      </c>
      <c r="M11003" s="17"/>
      <c r="N11003" s="17" t="s">
        <v>22459</v>
      </c>
      <c r="O11003" s="17"/>
      <c r="P11003" s="17" t="s">
        <v>22907</v>
      </c>
      <c r="Q11003" s="17"/>
      <c r="R11003" s="25" t="str">
        <f>HYPERLINK("https://ictv.global/taxonomy/taxondetails?taxnode_id=202317421","Hohrdovirus geoadaptatum")</f>
        <v>Hohrdovirus geoadaptatum</v>
      </c>
      <c r="S11003" s="18" t="s">
        <v>30</v>
      </c>
      <c r="T11003" s="18" t="s">
        <v>45632</v>
      </c>
      <c r="U11003" s="18"/>
      <c r="V11003" s="18"/>
      <c r="W11003" s="18" t="s">
        <v>45633</v>
      </c>
      <c r="X11003" s="18" t="s">
        <v>35</v>
      </c>
      <c r="Y11003" s="18" t="s">
        <v>17171</v>
      </c>
      <c r="Z11003" s="18" t="s">
        <v>24637</v>
      </c>
      <c r="AA11003" s="21" t="str">
        <f>HYPERLINK("https://www.ncbi.nlm.nih.gov/nuccore/CASDWV010004920","NCBI Nucleotide")</f>
        <v>NCBI Nucleotide</v>
      </c>
    </row>
    <row r="11004" spans="1:27" x14ac:dyDescent="0.35">
      <c r="A11004">
        <v>1027166</v>
      </c>
      <c r="B11004">
        <v>10329</v>
      </c>
      <c r="C11004">
        <v>1</v>
      </c>
      <c r="D11004" s="17" t="s">
        <v>17166</v>
      </c>
      <c r="E11004" s="17"/>
      <c r="F11004" s="17" t="s">
        <v>17246</v>
      </c>
      <c r="G11004" s="17"/>
      <c r="H11004" s="17" t="s">
        <v>20919</v>
      </c>
      <c r="I11004" s="17"/>
      <c r="J11004" s="17" t="s">
        <v>21313</v>
      </c>
      <c r="K11004" s="17"/>
      <c r="L11004" s="17" t="s">
        <v>22378</v>
      </c>
      <c r="M11004" s="17"/>
      <c r="N11004" s="17" t="s">
        <v>22459</v>
      </c>
      <c r="O11004" s="17"/>
      <c r="P11004" s="17" t="s">
        <v>22907</v>
      </c>
      <c r="Q11004" s="17"/>
      <c r="R11004" s="25" t="str">
        <f>HYPERLINK("https://ictv.global/taxonomy/taxondetails?taxnode_id=202317422","Hohrdovirus geoenecus")</f>
        <v>Hohrdovirus geoenecus</v>
      </c>
      <c r="S11004" s="18" t="s">
        <v>30</v>
      </c>
      <c r="T11004" s="18" t="s">
        <v>45634</v>
      </c>
      <c r="U11004" s="18"/>
      <c r="V11004" s="18"/>
      <c r="W11004" s="18" t="s">
        <v>45635</v>
      </c>
      <c r="X11004" s="18" t="s">
        <v>35</v>
      </c>
      <c r="Y11004" s="18" t="s">
        <v>17171</v>
      </c>
      <c r="Z11004" s="18" t="s">
        <v>24637</v>
      </c>
      <c r="AA11004" s="21" t="str">
        <f>HYPERLINK("https://www.ncbi.nlm.nih.gov/nuccore/CASDWV010003815","NCBI Nucleotide")</f>
        <v>NCBI Nucleotide</v>
      </c>
    </row>
    <row r="11005" spans="1:27" x14ac:dyDescent="0.35">
      <c r="A11005">
        <v>1010040</v>
      </c>
      <c r="B11005">
        <v>10330</v>
      </c>
      <c r="C11005">
        <v>1</v>
      </c>
      <c r="D11005" s="17" t="s">
        <v>17166</v>
      </c>
      <c r="E11005" s="17"/>
      <c r="F11005" s="17" t="s">
        <v>17246</v>
      </c>
      <c r="G11005" s="17"/>
      <c r="H11005" s="17" t="s">
        <v>20919</v>
      </c>
      <c r="I11005" s="17"/>
      <c r="J11005" s="17" t="s">
        <v>21313</v>
      </c>
      <c r="K11005" s="17"/>
      <c r="L11005" s="17" t="s">
        <v>22378</v>
      </c>
      <c r="M11005" s="17"/>
      <c r="N11005" s="17" t="s">
        <v>22459</v>
      </c>
      <c r="O11005" s="17"/>
      <c r="P11005" s="17" t="s">
        <v>22907</v>
      </c>
      <c r="Q11005" s="17"/>
      <c r="R11005" s="25" t="str">
        <f>HYPERLINK("https://ictv.global/taxonomy/taxondetails?taxnode_id=202311259","Hohrdovirus limadaptatum")</f>
        <v>Hohrdovirus limadaptatum</v>
      </c>
      <c r="S11005" s="18" t="s">
        <v>30</v>
      </c>
      <c r="T11005" s="18" t="s">
        <v>22916</v>
      </c>
      <c r="U11005" s="18"/>
      <c r="V11005" s="18"/>
      <c r="W11005" s="18" t="s">
        <v>22917</v>
      </c>
      <c r="X11005" s="18" t="s">
        <v>35</v>
      </c>
      <c r="Y11005" s="18" t="s">
        <v>17171</v>
      </c>
      <c r="Z11005" s="18" t="s">
        <v>697</v>
      </c>
      <c r="AA11005" s="21" t="str">
        <f>HYPERLINK("https://www.ncbi.nlm.nih.gov/nuccore/BK014148","NCBI Nucleotide")</f>
        <v>NCBI Nucleotide</v>
      </c>
    </row>
    <row r="11006" spans="1:27" x14ac:dyDescent="0.35">
      <c r="A11006">
        <v>1027167</v>
      </c>
      <c r="B11006">
        <v>10331</v>
      </c>
      <c r="C11006">
        <v>1</v>
      </c>
      <c r="D11006" s="17" t="s">
        <v>17166</v>
      </c>
      <c r="E11006" s="17"/>
      <c r="F11006" s="17" t="s">
        <v>17246</v>
      </c>
      <c r="G11006" s="17"/>
      <c r="H11006" s="17" t="s">
        <v>20919</v>
      </c>
      <c r="I11006" s="17"/>
      <c r="J11006" s="17" t="s">
        <v>21313</v>
      </c>
      <c r="K11006" s="17"/>
      <c r="L11006" s="17" t="s">
        <v>22378</v>
      </c>
      <c r="M11006" s="17"/>
      <c r="N11006" s="17" t="s">
        <v>22459</v>
      </c>
      <c r="O11006" s="17"/>
      <c r="P11006" s="17" t="s">
        <v>22907</v>
      </c>
      <c r="Q11006" s="17"/>
      <c r="R11006" s="25" t="str">
        <f>HYPERLINK("https://ictv.global/taxonomy/taxondetails?taxnode_id=202317423","Hohrdovirus lutenecus")</f>
        <v>Hohrdovirus lutenecus</v>
      </c>
      <c r="S11006" s="18" t="s">
        <v>30</v>
      </c>
      <c r="T11006" s="18" t="s">
        <v>45636</v>
      </c>
      <c r="U11006" s="18"/>
      <c r="V11006" s="18"/>
      <c r="W11006" s="18" t="s">
        <v>45637</v>
      </c>
      <c r="X11006" s="18" t="s">
        <v>35</v>
      </c>
      <c r="Y11006" s="18" t="s">
        <v>17171</v>
      </c>
      <c r="Z11006" s="18" t="s">
        <v>24637</v>
      </c>
      <c r="AA11006" s="21" t="str">
        <f>HYPERLINK("https://www.ncbi.nlm.nih.gov/nuccore/CASDWV010000228","NCBI Nucleotide")</f>
        <v>NCBI Nucleotide</v>
      </c>
    </row>
    <row r="11007" spans="1:27" x14ac:dyDescent="0.35">
      <c r="A11007">
        <v>1027168</v>
      </c>
      <c r="B11007">
        <v>10332</v>
      </c>
      <c r="C11007">
        <v>1</v>
      </c>
      <c r="D11007" s="17" t="s">
        <v>17166</v>
      </c>
      <c r="E11007" s="17"/>
      <c r="F11007" s="17" t="s">
        <v>17246</v>
      </c>
      <c r="G11007" s="17"/>
      <c r="H11007" s="17" t="s">
        <v>20919</v>
      </c>
      <c r="I11007" s="17"/>
      <c r="J11007" s="17" t="s">
        <v>21313</v>
      </c>
      <c r="K11007" s="17"/>
      <c r="L11007" s="17" t="s">
        <v>22378</v>
      </c>
      <c r="M11007" s="17"/>
      <c r="N11007" s="17" t="s">
        <v>22459</v>
      </c>
      <c r="O11007" s="17"/>
      <c r="P11007" s="17" t="s">
        <v>22907</v>
      </c>
      <c r="Q11007" s="17"/>
      <c r="R11007" s="25" t="str">
        <f>HYPERLINK("https://ictv.global/taxonomy/taxondetails?taxnode_id=202317424","Hohrdovirus messenecus")</f>
        <v>Hohrdovirus messenecus</v>
      </c>
      <c r="S11007" s="18" t="s">
        <v>30</v>
      </c>
      <c r="T11007" s="18" t="s">
        <v>45638</v>
      </c>
      <c r="U11007" s="18"/>
      <c r="V11007" s="18"/>
      <c r="W11007" s="18" t="s">
        <v>45639</v>
      </c>
      <c r="X11007" s="18" t="s">
        <v>35</v>
      </c>
      <c r="Y11007" s="18" t="s">
        <v>17171</v>
      </c>
      <c r="Z11007" s="18" t="s">
        <v>24637</v>
      </c>
      <c r="AA11007" s="21" t="str">
        <f>HYPERLINK("https://www.ncbi.nlm.nih.gov/nuccore/CASDWV010003817","NCBI Nucleotide")</f>
        <v>NCBI Nucleotide</v>
      </c>
    </row>
    <row r="11008" spans="1:27" x14ac:dyDescent="0.35">
      <c r="A11008">
        <v>1027169</v>
      </c>
      <c r="B11008">
        <v>10333</v>
      </c>
      <c r="C11008">
        <v>1</v>
      </c>
      <c r="D11008" s="17" t="s">
        <v>17166</v>
      </c>
      <c r="E11008" s="17"/>
      <c r="F11008" s="17" t="s">
        <v>17246</v>
      </c>
      <c r="G11008" s="17"/>
      <c r="H11008" s="17" t="s">
        <v>20919</v>
      </c>
      <c r="I11008" s="17"/>
      <c r="J11008" s="17" t="s">
        <v>21313</v>
      </c>
      <c r="K11008" s="17"/>
      <c r="L11008" s="17" t="s">
        <v>22378</v>
      </c>
      <c r="M11008" s="17"/>
      <c r="N11008" s="17" t="s">
        <v>22459</v>
      </c>
      <c r="O11008" s="17"/>
      <c r="P11008" s="17" t="s">
        <v>22907</v>
      </c>
      <c r="Q11008" s="17"/>
      <c r="R11008" s="25" t="str">
        <f>HYPERLINK("https://ictv.global/taxonomy/taxondetails?taxnode_id=202317425","Hohrdovirus messihabitans")</f>
        <v>Hohrdovirus messihabitans</v>
      </c>
      <c r="S11008" s="18" t="s">
        <v>30</v>
      </c>
      <c r="T11008" s="18" t="s">
        <v>45640</v>
      </c>
      <c r="U11008" s="18"/>
      <c r="V11008" s="18"/>
      <c r="W11008" s="18" t="s">
        <v>45641</v>
      </c>
      <c r="X11008" s="18" t="s">
        <v>35</v>
      </c>
      <c r="Y11008" s="18" t="s">
        <v>17171</v>
      </c>
      <c r="Z11008" s="18" t="s">
        <v>24637</v>
      </c>
      <c r="AA11008" s="21" t="str">
        <f>HYPERLINK("https://www.ncbi.nlm.nih.gov/nuccore/CASDWV010003677","NCBI Nucleotide")</f>
        <v>NCBI Nucleotide</v>
      </c>
    </row>
    <row r="11009" spans="1:27" x14ac:dyDescent="0.35">
      <c r="A11009">
        <v>1027170</v>
      </c>
      <c r="B11009">
        <v>10334</v>
      </c>
      <c r="C11009">
        <v>1</v>
      </c>
      <c r="D11009" s="17" t="s">
        <v>17166</v>
      </c>
      <c r="E11009" s="17"/>
      <c r="F11009" s="17" t="s">
        <v>17246</v>
      </c>
      <c r="G11009" s="17"/>
      <c r="H11009" s="17" t="s">
        <v>20919</v>
      </c>
      <c r="I11009" s="17"/>
      <c r="J11009" s="17" t="s">
        <v>21313</v>
      </c>
      <c r="K11009" s="17"/>
      <c r="L11009" s="17" t="s">
        <v>22378</v>
      </c>
      <c r="M11009" s="17"/>
      <c r="N11009" s="17" t="s">
        <v>22459</v>
      </c>
      <c r="O11009" s="17"/>
      <c r="P11009" s="17" t="s">
        <v>22907</v>
      </c>
      <c r="Q11009" s="17"/>
      <c r="R11009" s="25" t="str">
        <f>HYPERLINK("https://ictv.global/taxonomy/taxondetails?taxnode_id=202317426","Hohrdovirus montishabitans")</f>
        <v>Hohrdovirus montishabitans</v>
      </c>
      <c r="S11009" s="18" t="s">
        <v>30</v>
      </c>
      <c r="T11009" s="18" t="s">
        <v>45642</v>
      </c>
      <c r="U11009" s="18"/>
      <c r="V11009" s="18" t="s">
        <v>45642</v>
      </c>
      <c r="W11009" s="18" t="s">
        <v>45643</v>
      </c>
      <c r="X11009" s="18" t="s">
        <v>35</v>
      </c>
      <c r="Y11009" s="18" t="s">
        <v>17171</v>
      </c>
      <c r="Z11009" s="18" t="s">
        <v>24637</v>
      </c>
      <c r="AA11009" s="21" t="str">
        <f>HYPERLINK("https://www.ncbi.nlm.nih.gov/nuccore/ON162450","NCBI Nucleotide")</f>
        <v>NCBI Nucleotide</v>
      </c>
    </row>
    <row r="11010" spans="1:27" x14ac:dyDescent="0.35">
      <c r="A11010">
        <v>1027171</v>
      </c>
      <c r="B11010">
        <v>10335</v>
      </c>
      <c r="C11010">
        <v>1</v>
      </c>
      <c r="D11010" s="17" t="s">
        <v>17166</v>
      </c>
      <c r="E11010" s="17"/>
      <c r="F11010" s="17" t="s">
        <v>17246</v>
      </c>
      <c r="G11010" s="17"/>
      <c r="H11010" s="17" t="s">
        <v>20919</v>
      </c>
      <c r="I11010" s="17"/>
      <c r="J11010" s="17" t="s">
        <v>21313</v>
      </c>
      <c r="K11010" s="17"/>
      <c r="L11010" s="17" t="s">
        <v>22378</v>
      </c>
      <c r="M11010" s="17"/>
      <c r="N11010" s="17" t="s">
        <v>22459</v>
      </c>
      <c r="O11010" s="17"/>
      <c r="P11010" s="17" t="s">
        <v>22907</v>
      </c>
      <c r="Q11010" s="17"/>
      <c r="R11010" s="25" t="str">
        <f>HYPERLINK("https://ictv.global/taxonomy/taxondetails?taxnode_id=202317427","Hohrdovirus neolimadaptatum")</f>
        <v>Hohrdovirus neolimadaptatum</v>
      </c>
      <c r="S11010" s="18" t="s">
        <v>30</v>
      </c>
      <c r="T11010" s="18" t="s">
        <v>45644</v>
      </c>
      <c r="U11010" s="18"/>
      <c r="V11010" s="18"/>
      <c r="W11010" s="18" t="s">
        <v>45645</v>
      </c>
      <c r="X11010" s="18" t="s">
        <v>35</v>
      </c>
      <c r="Y11010" s="18" t="s">
        <v>17171</v>
      </c>
      <c r="Z11010" s="18" t="s">
        <v>24637</v>
      </c>
      <c r="AA11010" s="21" t="str">
        <f>HYPERLINK("https://www.ncbi.nlm.nih.gov/nuccore/CASDWV010003126","NCBI Nucleotide")</f>
        <v>NCBI Nucleotide</v>
      </c>
    </row>
    <row r="11011" spans="1:27" x14ac:dyDescent="0.35">
      <c r="A11011">
        <v>1010041</v>
      </c>
      <c r="B11011">
        <v>10336</v>
      </c>
      <c r="C11011">
        <v>1</v>
      </c>
      <c r="D11011" s="17" t="s">
        <v>17166</v>
      </c>
      <c r="E11011" s="17"/>
      <c r="F11011" s="17" t="s">
        <v>17246</v>
      </c>
      <c r="G11011" s="17"/>
      <c r="H11011" s="17" t="s">
        <v>20919</v>
      </c>
      <c r="I11011" s="17"/>
      <c r="J11011" s="17" t="s">
        <v>21313</v>
      </c>
      <c r="K11011" s="17"/>
      <c r="L11011" s="17" t="s">
        <v>22378</v>
      </c>
      <c r="M11011" s="17"/>
      <c r="N11011" s="17" t="s">
        <v>22459</v>
      </c>
      <c r="O11011" s="17"/>
      <c r="P11011" s="17" t="s">
        <v>22907</v>
      </c>
      <c r="Q11011" s="17"/>
      <c r="R11011" s="25" t="str">
        <f>HYPERLINK("https://ictv.global/taxonomy/taxondetails?taxnode_id=202311250","Hohrdovirus pedadaptatum")</f>
        <v>Hohrdovirus pedadaptatum</v>
      </c>
      <c r="S11011" s="18" t="s">
        <v>30</v>
      </c>
      <c r="T11011" s="18" t="s">
        <v>22918</v>
      </c>
      <c r="U11011" s="18"/>
      <c r="V11011" s="18"/>
      <c r="W11011" s="18" t="s">
        <v>22919</v>
      </c>
      <c r="X11011" s="18" t="s">
        <v>35</v>
      </c>
      <c r="Y11011" s="18" t="s">
        <v>17171</v>
      </c>
      <c r="Z11011" s="18" t="s">
        <v>697</v>
      </c>
      <c r="AA11011" s="21" t="str">
        <f>HYPERLINK("https://www.ncbi.nlm.nih.gov/nuccore/BK013955","NCBI Nucleotide")</f>
        <v>NCBI Nucleotide</v>
      </c>
    </row>
    <row r="11012" spans="1:27" x14ac:dyDescent="0.35">
      <c r="A11012">
        <v>1010042</v>
      </c>
      <c r="B11012">
        <v>10337</v>
      </c>
      <c r="C11012">
        <v>1</v>
      </c>
      <c r="D11012" s="17" t="s">
        <v>17166</v>
      </c>
      <c r="E11012" s="17"/>
      <c r="F11012" s="17" t="s">
        <v>17246</v>
      </c>
      <c r="G11012" s="17"/>
      <c r="H11012" s="17" t="s">
        <v>20919</v>
      </c>
      <c r="I11012" s="17"/>
      <c r="J11012" s="17" t="s">
        <v>21313</v>
      </c>
      <c r="K11012" s="17"/>
      <c r="L11012" s="17" t="s">
        <v>22378</v>
      </c>
      <c r="M11012" s="17"/>
      <c r="N11012" s="17" t="s">
        <v>22459</v>
      </c>
      <c r="O11012" s="17"/>
      <c r="P11012" s="17" t="s">
        <v>22907</v>
      </c>
      <c r="Q11012" s="17"/>
      <c r="R11012" s="25" t="str">
        <f>HYPERLINK("https://ictv.global/taxonomy/taxondetails?taxnode_id=202311252","Hohrdovirus pedenecus")</f>
        <v>Hohrdovirus pedenecus</v>
      </c>
      <c r="S11012" s="18" t="s">
        <v>30</v>
      </c>
      <c r="T11012" s="18" t="s">
        <v>22920</v>
      </c>
      <c r="U11012" s="18"/>
      <c r="V11012" s="18"/>
      <c r="W11012" s="18" t="s">
        <v>22921</v>
      </c>
      <c r="X11012" s="18" t="s">
        <v>35</v>
      </c>
      <c r="Y11012" s="18" t="s">
        <v>17171</v>
      </c>
      <c r="Z11012" s="18" t="s">
        <v>697</v>
      </c>
      <c r="AA11012" s="21" t="str">
        <f>HYPERLINK("https://www.ncbi.nlm.nih.gov/nuccore/BK014026","NCBI Nucleotide")</f>
        <v>NCBI Nucleotide</v>
      </c>
    </row>
    <row r="11013" spans="1:27" x14ac:dyDescent="0.35">
      <c r="A11013">
        <v>1010043</v>
      </c>
      <c r="B11013">
        <v>10338</v>
      </c>
      <c r="C11013">
        <v>1</v>
      </c>
      <c r="D11013" s="17" t="s">
        <v>17166</v>
      </c>
      <c r="E11013" s="17"/>
      <c r="F11013" s="17" t="s">
        <v>17246</v>
      </c>
      <c r="G11013" s="17"/>
      <c r="H11013" s="17" t="s">
        <v>20919</v>
      </c>
      <c r="I11013" s="17"/>
      <c r="J11013" s="17" t="s">
        <v>21313</v>
      </c>
      <c r="K11013" s="17"/>
      <c r="L11013" s="17" t="s">
        <v>22378</v>
      </c>
      <c r="M11013" s="17"/>
      <c r="N11013" s="17" t="s">
        <v>22459</v>
      </c>
      <c r="O11013" s="17"/>
      <c r="P11013" s="17" t="s">
        <v>22907</v>
      </c>
      <c r="Q11013" s="17"/>
      <c r="R11013" s="25" t="str">
        <f>HYPERLINK("https://ictv.global/taxonomy/taxondetails?taxnode_id=202311251","Hohrdovirus pedocola")</f>
        <v>Hohrdovirus pedocola</v>
      </c>
      <c r="S11013" s="18" t="s">
        <v>30</v>
      </c>
      <c r="T11013" s="18" t="s">
        <v>22922</v>
      </c>
      <c r="U11013" s="18"/>
      <c r="V11013" s="18"/>
      <c r="W11013" s="18" t="s">
        <v>22923</v>
      </c>
      <c r="X11013" s="18" t="s">
        <v>35</v>
      </c>
      <c r="Y11013" s="18" t="s">
        <v>17171</v>
      </c>
      <c r="Z11013" s="18" t="s">
        <v>697</v>
      </c>
      <c r="AA11013" s="21" t="str">
        <f>HYPERLINK("https://www.ncbi.nlm.nih.gov/nuccore/BK013527","NCBI Nucleotide")</f>
        <v>NCBI Nucleotide</v>
      </c>
    </row>
    <row r="11014" spans="1:27" x14ac:dyDescent="0.35">
      <c r="A11014">
        <v>1010044</v>
      </c>
      <c r="B11014">
        <v>10339</v>
      </c>
      <c r="C11014">
        <v>1</v>
      </c>
      <c r="D11014" s="17" t="s">
        <v>17166</v>
      </c>
      <c r="E11014" s="17"/>
      <c r="F11014" s="17" t="s">
        <v>17246</v>
      </c>
      <c r="G11014" s="17"/>
      <c r="H11014" s="17" t="s">
        <v>20919</v>
      </c>
      <c r="I11014" s="17"/>
      <c r="J11014" s="17" t="s">
        <v>21313</v>
      </c>
      <c r="K11014" s="17"/>
      <c r="L11014" s="17" t="s">
        <v>22378</v>
      </c>
      <c r="M11014" s="17"/>
      <c r="N11014" s="17" t="s">
        <v>22459</v>
      </c>
      <c r="O11014" s="17"/>
      <c r="P11014" s="17" t="s">
        <v>22907</v>
      </c>
      <c r="Q11014" s="17"/>
      <c r="R11014" s="25" t="str">
        <f>HYPERLINK("https://ictv.global/taxonomy/taxondetails?taxnode_id=202311253","Hohrdovirus pedohabitans")</f>
        <v>Hohrdovirus pedohabitans</v>
      </c>
      <c r="S11014" s="18" t="s">
        <v>30</v>
      </c>
      <c r="T11014" s="18" t="s">
        <v>22924</v>
      </c>
      <c r="U11014" s="18"/>
      <c r="V11014" s="18"/>
      <c r="W11014" s="18" t="s">
        <v>22925</v>
      </c>
      <c r="X11014" s="18" t="s">
        <v>35</v>
      </c>
      <c r="Y11014" s="18" t="s">
        <v>17171</v>
      </c>
      <c r="Z11014" s="18" t="s">
        <v>697</v>
      </c>
      <c r="AA11014" s="21" t="str">
        <f>HYPERLINK("https://www.ncbi.nlm.nih.gov/nuccore/BK013385","NCBI Nucleotide")</f>
        <v>NCBI Nucleotide</v>
      </c>
    </row>
    <row r="11015" spans="1:27" x14ac:dyDescent="0.35">
      <c r="A11015">
        <v>1010045</v>
      </c>
      <c r="B11015">
        <v>10340</v>
      </c>
      <c r="C11015">
        <v>1</v>
      </c>
      <c r="D11015" s="17" t="s">
        <v>17166</v>
      </c>
      <c r="E11015" s="17"/>
      <c r="F11015" s="17" t="s">
        <v>17246</v>
      </c>
      <c r="G11015" s="17"/>
      <c r="H11015" s="17" t="s">
        <v>20919</v>
      </c>
      <c r="I11015" s="17"/>
      <c r="J11015" s="17" t="s">
        <v>21313</v>
      </c>
      <c r="K11015" s="17"/>
      <c r="L11015" s="17" t="s">
        <v>22378</v>
      </c>
      <c r="M11015" s="17"/>
      <c r="N11015" s="17" t="s">
        <v>22459</v>
      </c>
      <c r="O11015" s="17"/>
      <c r="P11015" s="17" t="s">
        <v>22907</v>
      </c>
      <c r="Q11015" s="17"/>
      <c r="R11015" s="25" t="str">
        <f>HYPERLINK("https://ictv.global/taxonomy/taxondetails?taxnode_id=202311254","Hohrdovirus pedovicinum")</f>
        <v>Hohrdovirus pedovicinum</v>
      </c>
      <c r="S11015" s="18" t="s">
        <v>30</v>
      </c>
      <c r="T11015" s="18" t="s">
        <v>22926</v>
      </c>
      <c r="U11015" s="18"/>
      <c r="V11015" s="18"/>
      <c r="W11015" s="18" t="s">
        <v>22927</v>
      </c>
      <c r="X11015" s="18" t="s">
        <v>35</v>
      </c>
      <c r="Y11015" s="18" t="s">
        <v>17171</v>
      </c>
      <c r="Z11015" s="18" t="s">
        <v>697</v>
      </c>
      <c r="AA11015" s="21" t="str">
        <f>HYPERLINK("https://www.ncbi.nlm.nih.gov/nuccore/BK013552","NCBI Nucleotide")</f>
        <v>NCBI Nucleotide</v>
      </c>
    </row>
    <row r="11016" spans="1:27" x14ac:dyDescent="0.35">
      <c r="A11016">
        <v>1010046</v>
      </c>
      <c r="B11016">
        <v>10341</v>
      </c>
      <c r="C11016">
        <v>1</v>
      </c>
      <c r="D11016" s="17" t="s">
        <v>17166</v>
      </c>
      <c r="E11016" s="17"/>
      <c r="F11016" s="17" t="s">
        <v>17246</v>
      </c>
      <c r="G11016" s="17"/>
      <c r="H11016" s="17" t="s">
        <v>20919</v>
      </c>
      <c r="I11016" s="17"/>
      <c r="J11016" s="17" t="s">
        <v>21313</v>
      </c>
      <c r="K11016" s="17"/>
      <c r="L11016" s="17" t="s">
        <v>22378</v>
      </c>
      <c r="M11016" s="17"/>
      <c r="N11016" s="17" t="s">
        <v>22459</v>
      </c>
      <c r="O11016" s="17"/>
      <c r="P11016" s="17" t="s">
        <v>22907</v>
      </c>
      <c r="Q11016" s="17"/>
      <c r="R11016" s="25" t="str">
        <f>HYPERLINK("https://ictv.global/taxonomy/taxondetails?taxnode_id=202311255","Hohrdovirus pedovivens")</f>
        <v>Hohrdovirus pedovivens</v>
      </c>
      <c r="S11016" s="18" t="s">
        <v>30</v>
      </c>
      <c r="T11016" s="18" t="s">
        <v>22928</v>
      </c>
      <c r="U11016" s="18"/>
      <c r="V11016" s="18"/>
      <c r="W11016" s="18" t="s">
        <v>22929</v>
      </c>
      <c r="X11016" s="18" t="s">
        <v>35</v>
      </c>
      <c r="Y11016" s="18" t="s">
        <v>17171</v>
      </c>
      <c r="Z11016" s="18" t="s">
        <v>697</v>
      </c>
      <c r="AA11016" s="21" t="str">
        <f>HYPERLINK("https://www.ncbi.nlm.nih.gov/nuccore/BK013510","NCBI Nucleotide")</f>
        <v>NCBI Nucleotide</v>
      </c>
    </row>
    <row r="11017" spans="1:27" x14ac:dyDescent="0.35">
      <c r="A11017">
        <v>1027172</v>
      </c>
      <c r="B11017">
        <v>10342</v>
      </c>
      <c r="C11017">
        <v>1</v>
      </c>
      <c r="D11017" s="17" t="s">
        <v>17166</v>
      </c>
      <c r="E11017" s="17"/>
      <c r="F11017" s="17" t="s">
        <v>17246</v>
      </c>
      <c r="G11017" s="17"/>
      <c r="H11017" s="17" t="s">
        <v>20919</v>
      </c>
      <c r="I11017" s="17"/>
      <c r="J11017" s="17" t="s">
        <v>21313</v>
      </c>
      <c r="K11017" s="17"/>
      <c r="L11017" s="17" t="s">
        <v>22378</v>
      </c>
      <c r="M11017" s="17"/>
      <c r="N11017" s="17" t="s">
        <v>22459</v>
      </c>
      <c r="O11017" s="17"/>
      <c r="P11017" s="17" t="s">
        <v>22907</v>
      </c>
      <c r="Q11017" s="17"/>
      <c r="R11017" s="25" t="str">
        <f>HYPERLINK("https://ictv.global/taxonomy/taxondetails?taxnode_id=202317428","Hohrdovirus radicivicinum")</f>
        <v>Hohrdovirus radicivicinum</v>
      </c>
      <c r="S11017" s="18" t="s">
        <v>30</v>
      </c>
      <c r="T11017" s="18" t="s">
        <v>45646</v>
      </c>
      <c r="U11017" s="18"/>
      <c r="V11017" s="18"/>
      <c r="W11017" s="18" t="s">
        <v>45647</v>
      </c>
      <c r="X11017" s="18" t="s">
        <v>35</v>
      </c>
      <c r="Y11017" s="18" t="s">
        <v>17171</v>
      </c>
      <c r="Z11017" s="18" t="s">
        <v>24637</v>
      </c>
      <c r="AA11017" s="21" t="str">
        <f>HYPERLINK("https://www.ncbi.nlm.nih.gov/nuccore/CASDWV010005031","NCBI Nucleotide")</f>
        <v>NCBI Nucleotide</v>
      </c>
    </row>
    <row r="11018" spans="1:27" x14ac:dyDescent="0.35">
      <c r="A11018">
        <v>1010047</v>
      </c>
      <c r="B11018">
        <v>10343</v>
      </c>
      <c r="C11018">
        <v>1</v>
      </c>
      <c r="D11018" s="17" t="s">
        <v>17166</v>
      </c>
      <c r="E11018" s="17"/>
      <c r="F11018" s="17" t="s">
        <v>17246</v>
      </c>
      <c r="G11018" s="17"/>
      <c r="H11018" s="17" t="s">
        <v>20919</v>
      </c>
      <c r="I11018" s="17"/>
      <c r="J11018" s="17" t="s">
        <v>21313</v>
      </c>
      <c r="K11018" s="17"/>
      <c r="L11018" s="17" t="s">
        <v>22378</v>
      </c>
      <c r="M11018" s="17"/>
      <c r="N11018" s="17" t="s">
        <v>22459</v>
      </c>
      <c r="O11018" s="17"/>
      <c r="P11018" s="17" t="s">
        <v>22907</v>
      </c>
      <c r="Q11018" s="17"/>
      <c r="R11018" s="25" t="str">
        <f>HYPERLINK("https://ictv.global/taxonomy/taxondetails?taxnode_id=202311256","Hohrdovirus soladaptatum")</f>
        <v>Hohrdovirus soladaptatum</v>
      </c>
      <c r="S11018" s="18" t="s">
        <v>30</v>
      </c>
      <c r="T11018" s="18" t="s">
        <v>22930</v>
      </c>
      <c r="U11018" s="18"/>
      <c r="V11018" s="18"/>
      <c r="W11018" s="18" t="s">
        <v>22931</v>
      </c>
      <c r="X11018" s="18" t="s">
        <v>35</v>
      </c>
      <c r="Y11018" s="18" t="s">
        <v>17171</v>
      </c>
      <c r="Z11018" s="18" t="s">
        <v>697</v>
      </c>
      <c r="AA11018" s="21" t="str">
        <f>HYPERLINK("https://www.ncbi.nlm.nih.gov/nuccore/BK013441","NCBI Nucleotide")</f>
        <v>NCBI Nucleotide</v>
      </c>
    </row>
    <row r="11019" spans="1:27" x14ac:dyDescent="0.35">
      <c r="A11019">
        <v>1010048</v>
      </c>
      <c r="B11019">
        <v>10344</v>
      </c>
      <c r="C11019">
        <v>1</v>
      </c>
      <c r="D11019" s="17" t="s">
        <v>17166</v>
      </c>
      <c r="E11019" s="17"/>
      <c r="F11019" s="17" t="s">
        <v>17246</v>
      </c>
      <c r="G11019" s="17"/>
      <c r="H11019" s="17" t="s">
        <v>20919</v>
      </c>
      <c r="I11019" s="17"/>
      <c r="J11019" s="17" t="s">
        <v>21313</v>
      </c>
      <c r="K11019" s="17"/>
      <c r="L11019" s="17" t="s">
        <v>22378</v>
      </c>
      <c r="M11019" s="17"/>
      <c r="N11019" s="17" t="s">
        <v>22459</v>
      </c>
      <c r="O11019" s="17"/>
      <c r="P11019" s="17" t="s">
        <v>22907</v>
      </c>
      <c r="Q11019" s="17"/>
      <c r="R11019" s="25" t="str">
        <f>HYPERLINK("https://ictv.global/taxonomy/taxondetails?taxnode_id=202311260","Hohrdovirus solenecus")</f>
        <v>Hohrdovirus solenecus</v>
      </c>
      <c r="S11019" s="18" t="s">
        <v>30</v>
      </c>
      <c r="T11019" s="18" t="s">
        <v>22932</v>
      </c>
      <c r="U11019" s="18"/>
      <c r="V11019" s="18"/>
      <c r="W11019" s="18" t="s">
        <v>22933</v>
      </c>
      <c r="X11019" s="18" t="s">
        <v>35</v>
      </c>
      <c r="Y11019" s="18" t="s">
        <v>17171</v>
      </c>
      <c r="Z11019" s="18" t="s">
        <v>697</v>
      </c>
      <c r="AA11019" s="21" t="str">
        <f>HYPERLINK("https://www.ncbi.nlm.nih.gov/nuccore/BK013836","NCBI Nucleotide")</f>
        <v>NCBI Nucleotide</v>
      </c>
    </row>
    <row r="11020" spans="1:27" x14ac:dyDescent="0.35">
      <c r="A11020">
        <v>1010049</v>
      </c>
      <c r="B11020">
        <v>10345</v>
      </c>
      <c r="C11020">
        <v>1</v>
      </c>
      <c r="D11020" s="17" t="s">
        <v>17166</v>
      </c>
      <c r="E11020" s="17"/>
      <c r="F11020" s="17" t="s">
        <v>17246</v>
      </c>
      <c r="G11020" s="17"/>
      <c r="H11020" s="17" t="s">
        <v>20919</v>
      </c>
      <c r="I11020" s="17"/>
      <c r="J11020" s="17" t="s">
        <v>21313</v>
      </c>
      <c r="K11020" s="17"/>
      <c r="L11020" s="17" t="s">
        <v>22378</v>
      </c>
      <c r="M11020" s="17"/>
      <c r="N11020" s="17" t="s">
        <v>22459</v>
      </c>
      <c r="O11020" s="17"/>
      <c r="P11020" s="17" t="s">
        <v>22907</v>
      </c>
      <c r="Q11020" s="17"/>
      <c r="R11020" s="25" t="str">
        <f>HYPERLINK("https://ictv.global/taxonomy/taxondetails?taxnode_id=202311257","Hohrdovirus solicola")</f>
        <v>Hohrdovirus solicola</v>
      </c>
      <c r="S11020" s="18" t="s">
        <v>30</v>
      </c>
      <c r="T11020" s="18" t="s">
        <v>22934</v>
      </c>
      <c r="U11020" s="18"/>
      <c r="V11020" s="18"/>
      <c r="W11020" s="18" t="s">
        <v>22935</v>
      </c>
      <c r="X11020" s="18" t="s">
        <v>35</v>
      </c>
      <c r="Y11020" s="18" t="s">
        <v>17171</v>
      </c>
      <c r="Z11020" s="18" t="s">
        <v>697</v>
      </c>
      <c r="AA11020" s="21" t="str">
        <f>HYPERLINK("https://www.ncbi.nlm.nih.gov/nuccore/BK013556","NCBI Nucleotide")</f>
        <v>NCBI Nucleotide</v>
      </c>
    </row>
    <row r="11021" spans="1:27" x14ac:dyDescent="0.35">
      <c r="A11021">
        <v>1010050</v>
      </c>
      <c r="B11021">
        <v>10346</v>
      </c>
      <c r="C11021">
        <v>1</v>
      </c>
      <c r="D11021" s="17" t="s">
        <v>17166</v>
      </c>
      <c r="E11021" s="17"/>
      <c r="F11021" s="17" t="s">
        <v>17246</v>
      </c>
      <c r="G11021" s="17"/>
      <c r="H11021" s="17" t="s">
        <v>20919</v>
      </c>
      <c r="I11021" s="17"/>
      <c r="J11021" s="17" t="s">
        <v>21313</v>
      </c>
      <c r="K11021" s="17"/>
      <c r="L11021" s="17" t="s">
        <v>22378</v>
      </c>
      <c r="M11021" s="17"/>
      <c r="N11021" s="17" t="s">
        <v>22459</v>
      </c>
      <c r="O11021" s="17"/>
      <c r="P11021" s="17" t="s">
        <v>22907</v>
      </c>
      <c r="Q11021" s="17"/>
      <c r="R11021" s="25" t="str">
        <f>HYPERLINK("https://ictv.global/taxonomy/taxondetails?taxnode_id=202311261","Hohrdovirus solihabitans")</f>
        <v>Hohrdovirus solihabitans</v>
      </c>
      <c r="S11021" s="18" t="s">
        <v>30</v>
      </c>
      <c r="T11021" s="18" t="s">
        <v>22936</v>
      </c>
      <c r="U11021" s="18"/>
      <c r="V11021" s="18"/>
      <c r="W11021" s="18" t="s">
        <v>22937</v>
      </c>
      <c r="X11021" s="18" t="s">
        <v>35</v>
      </c>
      <c r="Y11021" s="18" t="s">
        <v>17171</v>
      </c>
      <c r="Z11021" s="18" t="s">
        <v>697</v>
      </c>
      <c r="AA11021" s="21" t="str">
        <f>HYPERLINK("https://www.ncbi.nlm.nih.gov/nuccore/BK013467","NCBI Nucleotide")</f>
        <v>NCBI Nucleotide</v>
      </c>
    </row>
    <row r="11022" spans="1:27" x14ac:dyDescent="0.35">
      <c r="A11022">
        <v>1027173</v>
      </c>
      <c r="B11022">
        <v>10347</v>
      </c>
      <c r="C11022">
        <v>1</v>
      </c>
      <c r="D11022" s="17" t="s">
        <v>17166</v>
      </c>
      <c r="E11022" s="17"/>
      <c r="F11022" s="17" t="s">
        <v>17246</v>
      </c>
      <c r="G11022" s="17"/>
      <c r="H11022" s="17" t="s">
        <v>20919</v>
      </c>
      <c r="I11022" s="17"/>
      <c r="J11022" s="17" t="s">
        <v>21313</v>
      </c>
      <c r="K11022" s="17"/>
      <c r="L11022" s="17" t="s">
        <v>22378</v>
      </c>
      <c r="M11022" s="17"/>
      <c r="N11022" s="17" t="s">
        <v>22459</v>
      </c>
      <c r="O11022" s="17"/>
      <c r="P11022" s="17" t="s">
        <v>22907</v>
      </c>
      <c r="Q11022" s="17"/>
      <c r="R11022" s="25" t="str">
        <f>HYPERLINK("https://ictv.global/taxonomy/taxondetails?taxnode_id=202317429","Hohrdovirus tellurihabitans")</f>
        <v>Hohrdovirus tellurihabitans</v>
      </c>
      <c r="S11022" s="18" t="s">
        <v>30</v>
      </c>
      <c r="T11022" s="18" t="s">
        <v>45648</v>
      </c>
      <c r="U11022" s="18"/>
      <c r="V11022" s="18"/>
      <c r="W11022" s="18" t="s">
        <v>45649</v>
      </c>
      <c r="X11022" s="18" t="s">
        <v>35</v>
      </c>
      <c r="Y11022" s="18" t="s">
        <v>17171</v>
      </c>
      <c r="Z11022" s="18" t="s">
        <v>24637</v>
      </c>
      <c r="AA11022" s="21" t="str">
        <f>HYPERLINK("https://www.ncbi.nlm.nih.gov/nuccore/CASDWV010003127","NCBI Nucleotide")</f>
        <v>NCBI Nucleotide</v>
      </c>
    </row>
    <row r="11023" spans="1:27" x14ac:dyDescent="0.35">
      <c r="A11023">
        <v>1027174</v>
      </c>
      <c r="B11023">
        <v>10348</v>
      </c>
      <c r="C11023">
        <v>1</v>
      </c>
      <c r="D11023" s="17" t="s">
        <v>17166</v>
      </c>
      <c r="E11023" s="17"/>
      <c r="F11023" s="17" t="s">
        <v>17246</v>
      </c>
      <c r="G11023" s="17"/>
      <c r="H11023" s="17" t="s">
        <v>20919</v>
      </c>
      <c r="I11023" s="17"/>
      <c r="J11023" s="17" t="s">
        <v>21313</v>
      </c>
      <c r="K11023" s="17"/>
      <c r="L11023" s="17" t="s">
        <v>22378</v>
      </c>
      <c r="M11023" s="17"/>
      <c r="N11023" s="17" t="s">
        <v>22459</v>
      </c>
      <c r="O11023" s="17"/>
      <c r="P11023" s="17" t="s">
        <v>22907</v>
      </c>
      <c r="Q11023" s="17"/>
      <c r="R11023" s="25" t="str">
        <f>HYPERLINK("https://ictv.global/taxonomy/taxondetails?taxnode_id=202317430","Hohrdovirus tellurivivens")</f>
        <v>Hohrdovirus tellurivivens</v>
      </c>
      <c r="S11023" s="18" t="s">
        <v>30</v>
      </c>
      <c r="T11023" s="18" t="s">
        <v>45650</v>
      </c>
      <c r="U11023" s="18"/>
      <c r="V11023" s="18"/>
      <c r="W11023" s="18" t="s">
        <v>45651</v>
      </c>
      <c r="X11023" s="18" t="s">
        <v>35</v>
      </c>
      <c r="Y11023" s="18" t="s">
        <v>17171</v>
      </c>
      <c r="Z11023" s="18" t="s">
        <v>24637</v>
      </c>
      <c r="AA11023" s="21" t="str">
        <f>HYPERLINK("https://www.ncbi.nlm.nih.gov/nuccore/CASDWV010002317","NCBI Nucleotide")</f>
        <v>NCBI Nucleotide</v>
      </c>
    </row>
    <row r="11024" spans="1:27" x14ac:dyDescent="0.35">
      <c r="A11024">
        <v>1027175</v>
      </c>
      <c r="B11024">
        <v>10349</v>
      </c>
      <c r="C11024">
        <v>1</v>
      </c>
      <c r="D11024" s="17" t="s">
        <v>17166</v>
      </c>
      <c r="E11024" s="17"/>
      <c r="F11024" s="17" t="s">
        <v>17246</v>
      </c>
      <c r="G11024" s="17"/>
      <c r="H11024" s="17" t="s">
        <v>20919</v>
      </c>
      <c r="I11024" s="17"/>
      <c r="J11024" s="17" t="s">
        <v>21313</v>
      </c>
      <c r="K11024" s="17"/>
      <c r="L11024" s="17" t="s">
        <v>22378</v>
      </c>
      <c r="M11024" s="17"/>
      <c r="N11024" s="17" t="s">
        <v>22459</v>
      </c>
      <c r="O11024" s="17"/>
      <c r="P11024" s="17" t="s">
        <v>22907</v>
      </c>
      <c r="Q11024" s="17"/>
      <c r="R11024" s="25" t="str">
        <f>HYPERLINK("https://ictv.global/taxonomy/taxondetails?taxnode_id=202317431","Hohrdovirus terradaptatum")</f>
        <v>Hohrdovirus terradaptatum</v>
      </c>
      <c r="S11024" s="18" t="s">
        <v>30</v>
      </c>
      <c r="T11024" s="18" t="s">
        <v>45652</v>
      </c>
      <c r="U11024" s="18"/>
      <c r="V11024" s="18"/>
      <c r="W11024" s="18" t="s">
        <v>45653</v>
      </c>
      <c r="X11024" s="18" t="s">
        <v>35</v>
      </c>
      <c r="Y11024" s="18" t="s">
        <v>17171</v>
      </c>
      <c r="Z11024" s="18" t="s">
        <v>24637</v>
      </c>
      <c r="AA11024" s="21" t="str">
        <f>HYPERLINK("https://www.ncbi.nlm.nih.gov/nuccore/CASDWV010002315","NCBI Nucleotide")</f>
        <v>NCBI Nucleotide</v>
      </c>
    </row>
    <row r="11025" spans="1:27" x14ac:dyDescent="0.35">
      <c r="A11025">
        <v>1027176</v>
      </c>
      <c r="B11025">
        <v>10350</v>
      </c>
      <c r="C11025">
        <v>1</v>
      </c>
      <c r="D11025" s="17" t="s">
        <v>17166</v>
      </c>
      <c r="E11025" s="17"/>
      <c r="F11025" s="17" t="s">
        <v>17246</v>
      </c>
      <c r="G11025" s="17"/>
      <c r="H11025" s="17" t="s">
        <v>20919</v>
      </c>
      <c r="I11025" s="17"/>
      <c r="J11025" s="17" t="s">
        <v>21313</v>
      </c>
      <c r="K11025" s="17"/>
      <c r="L11025" s="17" t="s">
        <v>22378</v>
      </c>
      <c r="M11025" s="17"/>
      <c r="N11025" s="17" t="s">
        <v>22459</v>
      </c>
      <c r="O11025" s="17"/>
      <c r="P11025" s="17" t="s">
        <v>22907</v>
      </c>
      <c r="Q11025" s="17"/>
      <c r="R11025" s="25" t="str">
        <f>HYPERLINK("https://ictv.global/taxonomy/taxondetails?taxnode_id=202317432","Hohrdovirus terrihabitans")</f>
        <v>Hohrdovirus terrihabitans</v>
      </c>
      <c r="S11025" s="18" t="s">
        <v>30</v>
      </c>
      <c r="T11025" s="18" t="s">
        <v>45654</v>
      </c>
      <c r="U11025" s="18"/>
      <c r="V11025" s="18"/>
      <c r="W11025" s="18" t="s">
        <v>45655</v>
      </c>
      <c r="X11025" s="18" t="s">
        <v>35</v>
      </c>
      <c r="Y11025" s="18" t="s">
        <v>17171</v>
      </c>
      <c r="Z11025" s="18" t="s">
        <v>24637</v>
      </c>
      <c r="AA11025" s="21" t="str">
        <f>HYPERLINK("https://www.ncbi.nlm.nih.gov/nuccore/CASDWV010003164","NCBI Nucleotide")</f>
        <v>NCBI Nucleotide</v>
      </c>
    </row>
    <row r="11026" spans="1:27" x14ac:dyDescent="0.35">
      <c r="A11026">
        <v>1027177</v>
      </c>
      <c r="B11026">
        <v>10351</v>
      </c>
      <c r="C11026">
        <v>1</v>
      </c>
      <c r="D11026" s="17" t="s">
        <v>17166</v>
      </c>
      <c r="E11026" s="17"/>
      <c r="F11026" s="17" t="s">
        <v>17246</v>
      </c>
      <c r="G11026" s="17"/>
      <c r="H11026" s="17" t="s">
        <v>20919</v>
      </c>
      <c r="I11026" s="17"/>
      <c r="J11026" s="17" t="s">
        <v>21313</v>
      </c>
      <c r="K11026" s="17"/>
      <c r="L11026" s="17" t="s">
        <v>22378</v>
      </c>
      <c r="M11026" s="17"/>
      <c r="N11026" s="17" t="s">
        <v>22459</v>
      </c>
      <c r="O11026" s="17"/>
      <c r="P11026" s="17" t="s">
        <v>22907</v>
      </c>
      <c r="Q11026" s="17"/>
      <c r="R11026" s="25" t="str">
        <f>HYPERLINK("https://ictv.global/taxonomy/taxondetails?taxnode_id=202317433","Hohrdovirus terrivivens")</f>
        <v>Hohrdovirus terrivivens</v>
      </c>
      <c r="S11026" s="18" t="s">
        <v>30</v>
      </c>
      <c r="T11026" s="18" t="s">
        <v>45656</v>
      </c>
      <c r="U11026" s="18"/>
      <c r="V11026" s="18"/>
      <c r="W11026" s="18" t="s">
        <v>45657</v>
      </c>
      <c r="X11026" s="18" t="s">
        <v>35</v>
      </c>
      <c r="Y11026" s="18" t="s">
        <v>17171</v>
      </c>
      <c r="Z11026" s="18" t="s">
        <v>24637</v>
      </c>
      <c r="AA11026" s="21" t="str">
        <f>HYPERLINK("https://www.ncbi.nlm.nih.gov/nuccore/CASDWV010004473","NCBI Nucleotide")</f>
        <v>NCBI Nucleotide</v>
      </c>
    </row>
    <row r="11027" spans="1:27" x14ac:dyDescent="0.35">
      <c r="A11027">
        <v>1026701</v>
      </c>
      <c r="B11027">
        <v>10352</v>
      </c>
      <c r="C11027">
        <v>1</v>
      </c>
      <c r="D11027" s="17" t="s">
        <v>17166</v>
      </c>
      <c r="E11027" s="17"/>
      <c r="F11027" s="17" t="s">
        <v>17246</v>
      </c>
      <c r="G11027" s="17"/>
      <c r="H11027" s="17" t="s">
        <v>20919</v>
      </c>
      <c r="I11027" s="17"/>
      <c r="J11027" s="17" t="s">
        <v>21313</v>
      </c>
      <c r="K11027" s="17"/>
      <c r="L11027" s="17" t="s">
        <v>22378</v>
      </c>
      <c r="M11027" s="17"/>
      <c r="N11027" s="17" t="s">
        <v>22459</v>
      </c>
      <c r="O11027" s="17"/>
      <c r="P11027" s="17" t="s">
        <v>22938</v>
      </c>
      <c r="Q11027" s="17"/>
      <c r="R11027" s="25" t="str">
        <f>HYPERLINK("https://ictv.global/taxonomy/taxondetails?taxnode_id=202317434","Huhbevirus agrihabitans")</f>
        <v>Huhbevirus agrihabitans</v>
      </c>
      <c r="S11027" s="18" t="s">
        <v>30</v>
      </c>
      <c r="T11027" s="18" t="s">
        <v>45658</v>
      </c>
      <c r="U11027" s="18"/>
      <c r="V11027" s="18"/>
      <c r="W11027" s="18" t="s">
        <v>45659</v>
      </c>
      <c r="X11027" s="18" t="s">
        <v>35</v>
      </c>
      <c r="Y11027" s="18" t="s">
        <v>17171</v>
      </c>
      <c r="Z11027" s="18" t="s">
        <v>24637</v>
      </c>
      <c r="AA11027" s="21" t="str">
        <f>HYPERLINK("https://www.ncbi.nlm.nih.gov/nuccore/CASDWV010001185","NCBI Nucleotide")</f>
        <v>NCBI Nucleotide</v>
      </c>
    </row>
    <row r="11028" spans="1:27" x14ac:dyDescent="0.35">
      <c r="A11028">
        <v>1026702</v>
      </c>
      <c r="B11028">
        <v>10353</v>
      </c>
      <c r="C11028">
        <v>1</v>
      </c>
      <c r="D11028" s="17" t="s">
        <v>17166</v>
      </c>
      <c r="E11028" s="17"/>
      <c r="F11028" s="17" t="s">
        <v>17246</v>
      </c>
      <c r="G11028" s="17"/>
      <c r="H11028" s="17" t="s">
        <v>20919</v>
      </c>
      <c r="I11028" s="17"/>
      <c r="J11028" s="17" t="s">
        <v>21313</v>
      </c>
      <c r="K11028" s="17"/>
      <c r="L11028" s="17" t="s">
        <v>22378</v>
      </c>
      <c r="M11028" s="17"/>
      <c r="N11028" s="17" t="s">
        <v>22459</v>
      </c>
      <c r="O11028" s="17"/>
      <c r="P11028" s="17" t="s">
        <v>22938</v>
      </c>
      <c r="Q11028" s="17"/>
      <c r="R11028" s="25" t="str">
        <f>HYPERLINK("https://ictv.global/taxonomy/taxondetails?taxnode_id=202317435","Huhbevirus agrivicinum")</f>
        <v>Huhbevirus agrivicinum</v>
      </c>
      <c r="S11028" s="18" t="s">
        <v>30</v>
      </c>
      <c r="T11028" s="18" t="s">
        <v>45660</v>
      </c>
      <c r="U11028" s="18"/>
      <c r="V11028" s="18"/>
      <c r="W11028" s="18" t="s">
        <v>45661</v>
      </c>
      <c r="X11028" s="18" t="s">
        <v>35</v>
      </c>
      <c r="Y11028" s="18" t="s">
        <v>17171</v>
      </c>
      <c r="Z11028" s="18" t="s">
        <v>24637</v>
      </c>
      <c r="AA11028" s="21" t="str">
        <f>HYPERLINK("https://www.ncbi.nlm.nih.gov/nuccore/CASDWV010003702","NCBI Nucleotide")</f>
        <v>NCBI Nucleotide</v>
      </c>
    </row>
    <row r="11029" spans="1:27" x14ac:dyDescent="0.35">
      <c r="A11029">
        <v>1026703</v>
      </c>
      <c r="B11029">
        <v>10354</v>
      </c>
      <c r="C11029">
        <v>1</v>
      </c>
      <c r="D11029" s="17" t="s">
        <v>17166</v>
      </c>
      <c r="E11029" s="17"/>
      <c r="F11029" s="17" t="s">
        <v>17246</v>
      </c>
      <c r="G11029" s="17"/>
      <c r="H11029" s="17" t="s">
        <v>20919</v>
      </c>
      <c r="I11029" s="17"/>
      <c r="J11029" s="17" t="s">
        <v>21313</v>
      </c>
      <c r="K11029" s="17"/>
      <c r="L11029" s="17" t="s">
        <v>22378</v>
      </c>
      <c r="M11029" s="17"/>
      <c r="N11029" s="17" t="s">
        <v>22459</v>
      </c>
      <c r="O11029" s="17"/>
      <c r="P11029" s="17" t="s">
        <v>22938</v>
      </c>
      <c r="Q11029" s="17"/>
      <c r="R11029" s="25" t="str">
        <f>HYPERLINK("https://ictv.global/taxonomy/taxondetails?taxnode_id=202317436","Huhbevirus arvenecus")</f>
        <v>Huhbevirus arvenecus</v>
      </c>
      <c r="S11029" s="18" t="s">
        <v>30</v>
      </c>
      <c r="T11029" s="18" t="s">
        <v>45662</v>
      </c>
      <c r="U11029" s="18"/>
      <c r="V11029" s="18"/>
      <c r="W11029" s="18" t="s">
        <v>45663</v>
      </c>
      <c r="X11029" s="18" t="s">
        <v>35</v>
      </c>
      <c r="Y11029" s="18" t="s">
        <v>17171</v>
      </c>
      <c r="Z11029" s="18" t="s">
        <v>24637</v>
      </c>
      <c r="AA11029" s="21" t="str">
        <f>HYPERLINK("https://www.ncbi.nlm.nih.gov/nuccore/CASDWV010000256","NCBI Nucleotide")</f>
        <v>NCBI Nucleotide</v>
      </c>
    </row>
    <row r="11030" spans="1:27" x14ac:dyDescent="0.35">
      <c r="A11030">
        <v>1026704</v>
      </c>
      <c r="B11030">
        <v>10355</v>
      </c>
      <c r="C11030">
        <v>1</v>
      </c>
      <c r="D11030" s="17" t="s">
        <v>17166</v>
      </c>
      <c r="E11030" s="17"/>
      <c r="F11030" s="17" t="s">
        <v>17246</v>
      </c>
      <c r="G11030" s="17"/>
      <c r="H11030" s="17" t="s">
        <v>20919</v>
      </c>
      <c r="I11030" s="17"/>
      <c r="J11030" s="17" t="s">
        <v>21313</v>
      </c>
      <c r="K11030" s="17"/>
      <c r="L11030" s="17" t="s">
        <v>22378</v>
      </c>
      <c r="M11030" s="17"/>
      <c r="N11030" s="17" t="s">
        <v>22459</v>
      </c>
      <c r="O11030" s="17"/>
      <c r="P11030" s="17" t="s">
        <v>22938</v>
      </c>
      <c r="Q11030" s="17"/>
      <c r="R11030" s="25" t="str">
        <f>HYPERLINK("https://ictv.global/taxonomy/taxondetails?taxnode_id=202317437","Huhbevirus arvicola")</f>
        <v>Huhbevirus arvicola</v>
      </c>
      <c r="S11030" s="18" t="s">
        <v>30</v>
      </c>
      <c r="T11030" s="18" t="s">
        <v>45664</v>
      </c>
      <c r="U11030" s="18"/>
      <c r="V11030" s="18"/>
      <c r="W11030" s="18" t="s">
        <v>45665</v>
      </c>
      <c r="X11030" s="18" t="s">
        <v>35</v>
      </c>
      <c r="Y11030" s="18" t="s">
        <v>17171</v>
      </c>
      <c r="Z11030" s="18" t="s">
        <v>24637</v>
      </c>
      <c r="AA11030" s="21" t="str">
        <f>HYPERLINK("https://www.ncbi.nlm.nih.gov/nuccore/CASDWV010005058","NCBI Nucleotide")</f>
        <v>NCBI Nucleotide</v>
      </c>
    </row>
    <row r="11031" spans="1:27" x14ac:dyDescent="0.35">
      <c r="A11031">
        <v>1026705</v>
      </c>
      <c r="B11031">
        <v>10356</v>
      </c>
      <c r="C11031">
        <v>1</v>
      </c>
      <c r="D11031" s="17" t="s">
        <v>17166</v>
      </c>
      <c r="E11031" s="17"/>
      <c r="F11031" s="17" t="s">
        <v>17246</v>
      </c>
      <c r="G11031" s="17"/>
      <c r="H11031" s="17" t="s">
        <v>20919</v>
      </c>
      <c r="I11031" s="17"/>
      <c r="J11031" s="17" t="s">
        <v>21313</v>
      </c>
      <c r="K11031" s="17"/>
      <c r="L11031" s="17" t="s">
        <v>22378</v>
      </c>
      <c r="M11031" s="17"/>
      <c r="N11031" s="17" t="s">
        <v>22459</v>
      </c>
      <c r="O11031" s="17"/>
      <c r="P11031" s="17" t="s">
        <v>22938</v>
      </c>
      <c r="Q11031" s="17"/>
      <c r="R11031" s="25" t="str">
        <f>HYPERLINK("https://ictv.global/taxonomy/taxondetails?taxnode_id=202317438","Huhbevirus asiadaptatum")</f>
        <v>Huhbevirus asiadaptatum</v>
      </c>
      <c r="S11031" s="18" t="s">
        <v>30</v>
      </c>
      <c r="T11031" s="18" t="s">
        <v>45666</v>
      </c>
      <c r="U11031" s="18"/>
      <c r="V11031" s="18"/>
      <c r="W11031" s="18" t="s">
        <v>45667</v>
      </c>
      <c r="X11031" s="18" t="s">
        <v>35</v>
      </c>
      <c r="Y11031" s="18" t="s">
        <v>17171</v>
      </c>
      <c r="Z11031" s="18" t="s">
        <v>24637</v>
      </c>
      <c r="AA11031" s="21" t="str">
        <f>HYPERLINK("https://www.ncbi.nlm.nih.gov/nuccore/CASDWV010004368","NCBI Nucleotide")</f>
        <v>NCBI Nucleotide</v>
      </c>
    </row>
    <row r="11032" spans="1:27" x14ac:dyDescent="0.35">
      <c r="A11032">
        <v>1026706</v>
      </c>
      <c r="B11032">
        <v>10357</v>
      </c>
      <c r="C11032">
        <v>1</v>
      </c>
      <c r="D11032" s="17" t="s">
        <v>17166</v>
      </c>
      <c r="E11032" s="17"/>
      <c r="F11032" s="17" t="s">
        <v>17246</v>
      </c>
      <c r="G11032" s="17"/>
      <c r="H11032" s="17" t="s">
        <v>20919</v>
      </c>
      <c r="I11032" s="17"/>
      <c r="J11032" s="17" t="s">
        <v>21313</v>
      </c>
      <c r="K11032" s="17"/>
      <c r="L11032" s="17" t="s">
        <v>22378</v>
      </c>
      <c r="M11032" s="17"/>
      <c r="N11032" s="17" t="s">
        <v>22459</v>
      </c>
      <c r="O11032" s="17"/>
      <c r="P11032" s="17" t="s">
        <v>22938</v>
      </c>
      <c r="Q11032" s="17"/>
      <c r="R11032" s="25" t="str">
        <f>HYPERLINK("https://ictv.global/taxonomy/taxondetails?taxnode_id=202317439","Huhbevirus asienecus")</f>
        <v>Huhbevirus asienecus</v>
      </c>
      <c r="S11032" s="18" t="s">
        <v>30</v>
      </c>
      <c r="T11032" s="18" t="s">
        <v>45668</v>
      </c>
      <c r="U11032" s="18"/>
      <c r="V11032" s="18"/>
      <c r="W11032" s="18" t="s">
        <v>45669</v>
      </c>
      <c r="X11032" s="18" t="s">
        <v>35</v>
      </c>
      <c r="Y11032" s="18" t="s">
        <v>17171</v>
      </c>
      <c r="Z11032" s="18" t="s">
        <v>24637</v>
      </c>
      <c r="AA11032" s="21" t="str">
        <f>HYPERLINK("https://www.ncbi.nlm.nih.gov/nuccore/CASDWV010000416","NCBI Nucleotide")</f>
        <v>NCBI Nucleotide</v>
      </c>
    </row>
    <row r="11033" spans="1:27" x14ac:dyDescent="0.35">
      <c r="A11033">
        <v>1026707</v>
      </c>
      <c r="B11033">
        <v>10358</v>
      </c>
      <c r="C11033">
        <v>1</v>
      </c>
      <c r="D11033" s="17" t="s">
        <v>17166</v>
      </c>
      <c r="E11033" s="17"/>
      <c r="F11033" s="17" t="s">
        <v>17246</v>
      </c>
      <c r="G11033" s="17"/>
      <c r="H11033" s="17" t="s">
        <v>20919</v>
      </c>
      <c r="I11033" s="17"/>
      <c r="J11033" s="17" t="s">
        <v>21313</v>
      </c>
      <c r="K11033" s="17"/>
      <c r="L11033" s="17" t="s">
        <v>22378</v>
      </c>
      <c r="M11033" s="17"/>
      <c r="N11033" s="17" t="s">
        <v>22459</v>
      </c>
      <c r="O11033" s="17"/>
      <c r="P11033" s="17" t="s">
        <v>22938</v>
      </c>
      <c r="Q11033" s="17"/>
      <c r="R11033" s="25" t="str">
        <f>HYPERLINK("https://ictv.global/taxonomy/taxondetails?taxnode_id=202317440","Huhbevirus caenicola")</f>
        <v>Huhbevirus caenicola</v>
      </c>
      <c r="S11033" s="18" t="s">
        <v>30</v>
      </c>
      <c r="T11033" s="18" t="s">
        <v>45670</v>
      </c>
      <c r="U11033" s="18"/>
      <c r="V11033" s="18"/>
      <c r="W11033" s="18" t="s">
        <v>45671</v>
      </c>
      <c r="X11033" s="18" t="s">
        <v>35</v>
      </c>
      <c r="Y11033" s="18" t="s">
        <v>17171</v>
      </c>
      <c r="Z11033" s="18" t="s">
        <v>24637</v>
      </c>
      <c r="AA11033" s="21" t="str">
        <f>HYPERLINK("https://www.ncbi.nlm.nih.gov/nuccore/CASDWV010000902","NCBI Nucleotide")</f>
        <v>NCBI Nucleotide</v>
      </c>
    </row>
    <row r="11034" spans="1:27" x14ac:dyDescent="0.35">
      <c r="A11034">
        <v>1026708</v>
      </c>
      <c r="B11034">
        <v>10359</v>
      </c>
      <c r="C11034">
        <v>1</v>
      </c>
      <c r="D11034" s="17" t="s">
        <v>17166</v>
      </c>
      <c r="E11034" s="17"/>
      <c r="F11034" s="17" t="s">
        <v>17246</v>
      </c>
      <c r="G11034" s="17"/>
      <c r="H11034" s="17" t="s">
        <v>20919</v>
      </c>
      <c r="I11034" s="17"/>
      <c r="J11034" s="17" t="s">
        <v>21313</v>
      </c>
      <c r="K11034" s="17"/>
      <c r="L11034" s="17" t="s">
        <v>22378</v>
      </c>
      <c r="M11034" s="17"/>
      <c r="N11034" s="17" t="s">
        <v>22459</v>
      </c>
      <c r="O11034" s="17"/>
      <c r="P11034" s="17" t="s">
        <v>22938</v>
      </c>
      <c r="Q11034" s="17"/>
      <c r="R11034" s="25" t="str">
        <f>HYPERLINK("https://ictv.global/taxonomy/taxondetails?taxnode_id=202317441","Huhbevirus caenivicinum")</f>
        <v>Huhbevirus caenivicinum</v>
      </c>
      <c r="S11034" s="18" t="s">
        <v>30</v>
      </c>
      <c r="T11034" s="18" t="s">
        <v>45672</v>
      </c>
      <c r="U11034" s="18"/>
      <c r="V11034" s="18"/>
      <c r="W11034" s="18" t="s">
        <v>45673</v>
      </c>
      <c r="X11034" s="18" t="s">
        <v>35</v>
      </c>
      <c r="Y11034" s="18" t="s">
        <v>17171</v>
      </c>
      <c r="Z11034" s="18" t="s">
        <v>24637</v>
      </c>
      <c r="AA11034" s="21" t="str">
        <f>HYPERLINK("https://www.ncbi.nlm.nih.gov/nuccore/CASDWV010001960","NCBI Nucleotide")</f>
        <v>NCBI Nucleotide</v>
      </c>
    </row>
    <row r="11035" spans="1:27" x14ac:dyDescent="0.35">
      <c r="A11035">
        <v>1026709</v>
      </c>
      <c r="B11035">
        <v>10360</v>
      </c>
      <c r="C11035">
        <v>1</v>
      </c>
      <c r="D11035" s="17" t="s">
        <v>17166</v>
      </c>
      <c r="E11035" s="17"/>
      <c r="F11035" s="17" t="s">
        <v>17246</v>
      </c>
      <c r="G11035" s="17"/>
      <c r="H11035" s="17" t="s">
        <v>20919</v>
      </c>
      <c r="I11035" s="17"/>
      <c r="J11035" s="17" t="s">
        <v>21313</v>
      </c>
      <c r="K11035" s="17"/>
      <c r="L11035" s="17" t="s">
        <v>22378</v>
      </c>
      <c r="M11035" s="17"/>
      <c r="N11035" s="17" t="s">
        <v>22459</v>
      </c>
      <c r="O11035" s="17"/>
      <c r="P11035" s="17" t="s">
        <v>22938</v>
      </c>
      <c r="Q11035" s="17"/>
      <c r="R11035" s="25" t="str">
        <f>HYPERLINK("https://ictv.global/taxonomy/taxondetails?taxnode_id=202317442","Huhbevirus chorohabitans")</f>
        <v>Huhbevirus chorohabitans</v>
      </c>
      <c r="S11035" s="18" t="s">
        <v>30</v>
      </c>
      <c r="T11035" s="18" t="s">
        <v>45674</v>
      </c>
      <c r="U11035" s="18"/>
      <c r="V11035" s="18"/>
      <c r="W11035" s="18" t="s">
        <v>45675</v>
      </c>
      <c r="X11035" s="18" t="s">
        <v>35</v>
      </c>
      <c r="Y11035" s="18" t="s">
        <v>17171</v>
      </c>
      <c r="Z11035" s="18" t="s">
        <v>24637</v>
      </c>
      <c r="AA11035" s="21" t="str">
        <f>HYPERLINK("https://www.ncbi.nlm.nih.gov/nuccore/CASDWV010003843","NCBI Nucleotide")</f>
        <v>NCBI Nucleotide</v>
      </c>
    </row>
    <row r="11036" spans="1:27" x14ac:dyDescent="0.35">
      <c r="A11036">
        <v>1026710</v>
      </c>
      <c r="B11036">
        <v>10361</v>
      </c>
      <c r="C11036">
        <v>1</v>
      </c>
      <c r="D11036" s="17" t="s">
        <v>17166</v>
      </c>
      <c r="E11036" s="17"/>
      <c r="F11036" s="17" t="s">
        <v>17246</v>
      </c>
      <c r="G11036" s="17"/>
      <c r="H11036" s="17" t="s">
        <v>20919</v>
      </c>
      <c r="I11036" s="17"/>
      <c r="J11036" s="17" t="s">
        <v>21313</v>
      </c>
      <c r="K11036" s="17"/>
      <c r="L11036" s="17" t="s">
        <v>22378</v>
      </c>
      <c r="M11036" s="17"/>
      <c r="N11036" s="17" t="s">
        <v>22459</v>
      </c>
      <c r="O11036" s="17"/>
      <c r="P11036" s="17" t="s">
        <v>22938</v>
      </c>
      <c r="Q11036" s="17"/>
      <c r="R11036" s="25" t="str">
        <f>HYPERLINK("https://ictv.global/taxonomy/taxondetails?taxnode_id=202317443","Huhbevirus chorovivens")</f>
        <v>Huhbevirus chorovivens</v>
      </c>
      <c r="S11036" s="18" t="s">
        <v>30</v>
      </c>
      <c r="T11036" s="18" t="s">
        <v>45676</v>
      </c>
      <c r="U11036" s="18"/>
      <c r="V11036" s="18"/>
      <c r="W11036" s="18" t="s">
        <v>45677</v>
      </c>
      <c r="X11036" s="18" t="s">
        <v>35</v>
      </c>
      <c r="Y11036" s="18" t="s">
        <v>17171</v>
      </c>
      <c r="Z11036" s="18" t="s">
        <v>24637</v>
      </c>
      <c r="AA11036" s="21" t="str">
        <f>HYPERLINK("https://www.ncbi.nlm.nih.gov/nuccore/CASDWV010000287","NCBI Nucleotide")</f>
        <v>NCBI Nucleotide</v>
      </c>
    </row>
    <row r="11037" spans="1:27" x14ac:dyDescent="0.35">
      <c r="A11037">
        <v>1010051</v>
      </c>
      <c r="B11037">
        <v>10362</v>
      </c>
      <c r="C11037">
        <v>1</v>
      </c>
      <c r="D11037" s="17" t="s">
        <v>17166</v>
      </c>
      <c r="E11037" s="17"/>
      <c r="F11037" s="17" t="s">
        <v>17246</v>
      </c>
      <c r="G11037" s="17"/>
      <c r="H11037" s="17" t="s">
        <v>20919</v>
      </c>
      <c r="I11037" s="17"/>
      <c r="J11037" s="17" t="s">
        <v>21313</v>
      </c>
      <c r="K11037" s="17"/>
      <c r="L11037" s="17" t="s">
        <v>22378</v>
      </c>
      <c r="M11037" s="17"/>
      <c r="N11037" s="17" t="s">
        <v>22459</v>
      </c>
      <c r="O11037" s="17"/>
      <c r="P11037" s="17" t="s">
        <v>22938</v>
      </c>
      <c r="Q11037" s="17"/>
      <c r="R11037" s="25" t="str">
        <f>HYPERLINK("https://ictv.global/taxonomy/taxondetails?taxnode_id=202311266","Huhbevirus chthonadaptatum")</f>
        <v>Huhbevirus chthonadaptatum</v>
      </c>
      <c r="S11037" s="18" t="s">
        <v>30</v>
      </c>
      <c r="T11037" s="18" t="s">
        <v>22939</v>
      </c>
      <c r="U11037" s="18"/>
      <c r="V11037" s="18"/>
      <c r="W11037" s="18" t="s">
        <v>22940</v>
      </c>
      <c r="X11037" s="18" t="s">
        <v>35</v>
      </c>
      <c r="Y11037" s="18" t="s">
        <v>17171</v>
      </c>
      <c r="Z11037" s="18" t="s">
        <v>697</v>
      </c>
      <c r="AA11037" s="21" t="str">
        <f>HYPERLINK("https://www.ncbi.nlm.nih.gov/nuccore/BK013488","NCBI Nucleotide")</f>
        <v>NCBI Nucleotide</v>
      </c>
    </row>
    <row r="11038" spans="1:27" x14ac:dyDescent="0.35">
      <c r="A11038">
        <v>1010052</v>
      </c>
      <c r="B11038">
        <v>10363</v>
      </c>
      <c r="C11038">
        <v>1</v>
      </c>
      <c r="D11038" s="17" t="s">
        <v>17166</v>
      </c>
      <c r="E11038" s="17"/>
      <c r="F11038" s="17" t="s">
        <v>17246</v>
      </c>
      <c r="G11038" s="17"/>
      <c r="H11038" s="17" t="s">
        <v>20919</v>
      </c>
      <c r="I11038" s="17"/>
      <c r="J11038" s="17" t="s">
        <v>21313</v>
      </c>
      <c r="K11038" s="17"/>
      <c r="L11038" s="17" t="s">
        <v>22378</v>
      </c>
      <c r="M11038" s="17"/>
      <c r="N11038" s="17" t="s">
        <v>22459</v>
      </c>
      <c r="O11038" s="17"/>
      <c r="P11038" s="17" t="s">
        <v>22938</v>
      </c>
      <c r="Q11038" s="17"/>
      <c r="R11038" s="25" t="str">
        <f>HYPERLINK("https://ictv.global/taxonomy/taxondetails?taxnode_id=202311267","Huhbevirus chthonenecus")</f>
        <v>Huhbevirus chthonenecus</v>
      </c>
      <c r="S11038" s="18" t="s">
        <v>30</v>
      </c>
      <c r="T11038" s="18" t="s">
        <v>22941</v>
      </c>
      <c r="U11038" s="18"/>
      <c r="V11038" s="18"/>
      <c r="W11038" s="18" t="s">
        <v>22942</v>
      </c>
      <c r="X11038" s="18" t="s">
        <v>35</v>
      </c>
      <c r="Y11038" s="18" t="s">
        <v>17171</v>
      </c>
      <c r="Z11038" s="18" t="s">
        <v>697</v>
      </c>
      <c r="AA11038" s="21" t="str">
        <f>HYPERLINK("https://www.ncbi.nlm.nih.gov/nuccore/BK013504","NCBI Nucleotide")</f>
        <v>NCBI Nucleotide</v>
      </c>
    </row>
    <row r="11039" spans="1:27" x14ac:dyDescent="0.35">
      <c r="A11039">
        <v>1010053</v>
      </c>
      <c r="B11039">
        <v>10364</v>
      </c>
      <c r="C11039">
        <v>1</v>
      </c>
      <c r="D11039" s="17" t="s">
        <v>17166</v>
      </c>
      <c r="E11039" s="17"/>
      <c r="F11039" s="17" t="s">
        <v>17246</v>
      </c>
      <c r="G11039" s="17"/>
      <c r="H11039" s="17" t="s">
        <v>20919</v>
      </c>
      <c r="I11039" s="17"/>
      <c r="J11039" s="17" t="s">
        <v>21313</v>
      </c>
      <c r="K11039" s="17"/>
      <c r="L11039" s="17" t="s">
        <v>22378</v>
      </c>
      <c r="M11039" s="17"/>
      <c r="N11039" s="17" t="s">
        <v>22459</v>
      </c>
      <c r="O11039" s="17"/>
      <c r="P11039" s="17" t="s">
        <v>22938</v>
      </c>
      <c r="Q11039" s="17"/>
      <c r="R11039" s="25" t="str">
        <f>HYPERLINK("https://ictv.global/taxonomy/taxondetails?taxnode_id=202311263","Huhbevirus chthonocola")</f>
        <v>Huhbevirus chthonocola</v>
      </c>
      <c r="S11039" s="18" t="s">
        <v>30</v>
      </c>
      <c r="T11039" s="18" t="s">
        <v>22943</v>
      </c>
      <c r="U11039" s="18"/>
      <c r="V11039" s="18"/>
      <c r="W11039" s="18" t="s">
        <v>22944</v>
      </c>
      <c r="X11039" s="18" t="s">
        <v>35</v>
      </c>
      <c r="Y11039" s="18" t="s">
        <v>17171</v>
      </c>
      <c r="Z11039" s="18" t="s">
        <v>697</v>
      </c>
      <c r="AA11039" s="21" t="str">
        <f>HYPERLINK("https://www.ncbi.nlm.nih.gov/nuccore/BK013557","NCBI Nucleotide")</f>
        <v>NCBI Nucleotide</v>
      </c>
    </row>
    <row r="11040" spans="1:27" x14ac:dyDescent="0.35">
      <c r="A11040">
        <v>1010054</v>
      </c>
      <c r="B11040">
        <v>10365</v>
      </c>
      <c r="C11040">
        <v>1</v>
      </c>
      <c r="D11040" s="17" t="s">
        <v>17166</v>
      </c>
      <c r="E11040" s="17"/>
      <c r="F11040" s="17" t="s">
        <v>17246</v>
      </c>
      <c r="G11040" s="17"/>
      <c r="H11040" s="17" t="s">
        <v>20919</v>
      </c>
      <c r="I11040" s="17"/>
      <c r="J11040" s="17" t="s">
        <v>21313</v>
      </c>
      <c r="K11040" s="17"/>
      <c r="L11040" s="17" t="s">
        <v>22378</v>
      </c>
      <c r="M11040" s="17"/>
      <c r="N11040" s="17" t="s">
        <v>22459</v>
      </c>
      <c r="O11040" s="17"/>
      <c r="P11040" s="17" t="s">
        <v>22938</v>
      </c>
      <c r="Q11040" s="17"/>
      <c r="R11040" s="25" t="str">
        <f>HYPERLINK("https://ictv.global/taxonomy/taxondetails?taxnode_id=202311268","Huhbevirus chthonohabitans")</f>
        <v>Huhbevirus chthonohabitans</v>
      </c>
      <c r="S11040" s="18" t="s">
        <v>30</v>
      </c>
      <c r="T11040" s="18" t="s">
        <v>22945</v>
      </c>
      <c r="U11040" s="18"/>
      <c r="V11040" s="18"/>
      <c r="W11040" s="18" t="s">
        <v>22946</v>
      </c>
      <c r="X11040" s="18" t="s">
        <v>35</v>
      </c>
      <c r="Y11040" s="18" t="s">
        <v>17171</v>
      </c>
      <c r="Z11040" s="18" t="s">
        <v>697</v>
      </c>
      <c r="AA11040" s="21" t="str">
        <f>HYPERLINK("https://www.ncbi.nlm.nih.gov/nuccore/BK013769","NCBI Nucleotide")</f>
        <v>NCBI Nucleotide</v>
      </c>
    </row>
    <row r="11041" spans="1:27" x14ac:dyDescent="0.35">
      <c r="A11041">
        <v>1010055</v>
      </c>
      <c r="B11041">
        <v>10366</v>
      </c>
      <c r="C11041">
        <v>1</v>
      </c>
      <c r="D11041" s="17" t="s">
        <v>17166</v>
      </c>
      <c r="E11041" s="17"/>
      <c r="F11041" s="17" t="s">
        <v>17246</v>
      </c>
      <c r="G11041" s="17"/>
      <c r="H11041" s="17" t="s">
        <v>20919</v>
      </c>
      <c r="I11041" s="17"/>
      <c r="J11041" s="17" t="s">
        <v>21313</v>
      </c>
      <c r="K11041" s="17"/>
      <c r="L11041" s="17" t="s">
        <v>22378</v>
      </c>
      <c r="M11041" s="17"/>
      <c r="N11041" s="17" t="s">
        <v>22459</v>
      </c>
      <c r="O11041" s="17"/>
      <c r="P11041" s="17" t="s">
        <v>22938</v>
      </c>
      <c r="Q11041" s="17"/>
      <c r="R11041" s="25" t="str">
        <f>HYPERLINK("https://ictv.global/taxonomy/taxondetails?taxnode_id=202311269","Huhbevirus chthonovicinum")</f>
        <v>Huhbevirus chthonovicinum</v>
      </c>
      <c r="S11041" s="18" t="s">
        <v>30</v>
      </c>
      <c r="T11041" s="18" t="s">
        <v>22947</v>
      </c>
      <c r="U11041" s="18"/>
      <c r="V11041" s="18"/>
      <c r="W11041" s="18" t="s">
        <v>22948</v>
      </c>
      <c r="X11041" s="18" t="s">
        <v>35</v>
      </c>
      <c r="Y11041" s="18" t="s">
        <v>17171</v>
      </c>
      <c r="Z11041" s="18" t="s">
        <v>697</v>
      </c>
      <c r="AA11041" s="21" t="str">
        <f>HYPERLINK("https://www.ncbi.nlm.nih.gov/nuccore/BK013871","NCBI Nucleotide")</f>
        <v>NCBI Nucleotide</v>
      </c>
    </row>
    <row r="11042" spans="1:27" x14ac:dyDescent="0.35">
      <c r="A11042">
        <v>1010056</v>
      </c>
      <c r="B11042">
        <v>10367</v>
      </c>
      <c r="C11042">
        <v>1</v>
      </c>
      <c r="D11042" s="17" t="s">
        <v>17166</v>
      </c>
      <c r="E11042" s="17"/>
      <c r="F11042" s="17" t="s">
        <v>17246</v>
      </c>
      <c r="G11042" s="17"/>
      <c r="H11042" s="17" t="s">
        <v>20919</v>
      </c>
      <c r="I11042" s="17"/>
      <c r="J11042" s="17" t="s">
        <v>21313</v>
      </c>
      <c r="K11042" s="17"/>
      <c r="L11042" s="17" t="s">
        <v>22378</v>
      </c>
      <c r="M11042" s="17"/>
      <c r="N11042" s="17" t="s">
        <v>22459</v>
      </c>
      <c r="O11042" s="17"/>
      <c r="P11042" s="17" t="s">
        <v>22938</v>
      </c>
      <c r="Q11042" s="17"/>
      <c r="R11042" s="25" t="str">
        <f>HYPERLINK("https://ictv.global/taxonomy/taxondetails?taxnode_id=202311270","Huhbevirus chthonovivens")</f>
        <v>Huhbevirus chthonovivens</v>
      </c>
      <c r="S11042" s="18" t="s">
        <v>30</v>
      </c>
      <c r="T11042" s="18" t="s">
        <v>22949</v>
      </c>
      <c r="U11042" s="18"/>
      <c r="V11042" s="18"/>
      <c r="W11042" s="18" t="s">
        <v>22950</v>
      </c>
      <c r="X11042" s="18" t="s">
        <v>35</v>
      </c>
      <c r="Y11042" s="18" t="s">
        <v>17171</v>
      </c>
      <c r="Z11042" s="18" t="s">
        <v>697</v>
      </c>
      <c r="AA11042" s="21" t="str">
        <f>HYPERLINK("https://www.ncbi.nlm.nih.gov/nuccore/BK013424","NCBI Nucleotide")</f>
        <v>NCBI Nucleotide</v>
      </c>
    </row>
    <row r="11043" spans="1:27" x14ac:dyDescent="0.35">
      <c r="A11043">
        <v>1026711</v>
      </c>
      <c r="B11043">
        <v>10368</v>
      </c>
      <c r="C11043">
        <v>1</v>
      </c>
      <c r="D11043" s="17" t="s">
        <v>17166</v>
      </c>
      <c r="E11043" s="17"/>
      <c r="F11043" s="17" t="s">
        <v>17246</v>
      </c>
      <c r="G11043" s="17"/>
      <c r="H11043" s="17" t="s">
        <v>20919</v>
      </c>
      <c r="I11043" s="17"/>
      <c r="J11043" s="17" t="s">
        <v>21313</v>
      </c>
      <c r="K11043" s="17"/>
      <c r="L11043" s="17" t="s">
        <v>22378</v>
      </c>
      <c r="M11043" s="17"/>
      <c r="N11043" s="17" t="s">
        <v>22459</v>
      </c>
      <c r="O11043" s="17"/>
      <c r="P11043" s="17" t="s">
        <v>22938</v>
      </c>
      <c r="Q11043" s="17"/>
      <c r="R11043" s="25" t="str">
        <f>HYPERLINK("https://ictv.global/taxonomy/taxondetails?taxnode_id=202317444","Huhbevirus edaphocola")</f>
        <v>Huhbevirus edaphocola</v>
      </c>
      <c r="S11043" s="18" t="s">
        <v>30</v>
      </c>
      <c r="T11043" s="18" t="s">
        <v>45678</v>
      </c>
      <c r="U11043" s="18"/>
      <c r="V11043" s="18"/>
      <c r="W11043" s="18" t="s">
        <v>45679</v>
      </c>
      <c r="X11043" s="18" t="s">
        <v>35</v>
      </c>
      <c r="Y11043" s="18" t="s">
        <v>17171</v>
      </c>
      <c r="Z11043" s="18" t="s">
        <v>24637</v>
      </c>
      <c r="AA11043" s="21" t="str">
        <f>HYPERLINK("https://www.ncbi.nlm.nih.gov/nuccore/CASDWV010005034","NCBI Nucleotide")</f>
        <v>NCBI Nucleotide</v>
      </c>
    </row>
    <row r="11044" spans="1:27" x14ac:dyDescent="0.35">
      <c r="A11044">
        <v>1026712</v>
      </c>
      <c r="B11044">
        <v>10369</v>
      </c>
      <c r="C11044">
        <v>1</v>
      </c>
      <c r="D11044" s="17" t="s">
        <v>17166</v>
      </c>
      <c r="E11044" s="17"/>
      <c r="F11044" s="17" t="s">
        <v>17246</v>
      </c>
      <c r="G11044" s="17"/>
      <c r="H11044" s="17" t="s">
        <v>20919</v>
      </c>
      <c r="I11044" s="17"/>
      <c r="J11044" s="17" t="s">
        <v>21313</v>
      </c>
      <c r="K11044" s="17"/>
      <c r="L11044" s="17" t="s">
        <v>22378</v>
      </c>
      <c r="M11044" s="17"/>
      <c r="N11044" s="17" t="s">
        <v>22459</v>
      </c>
      <c r="O11044" s="17"/>
      <c r="P11044" s="17" t="s">
        <v>22938</v>
      </c>
      <c r="Q11044" s="17"/>
      <c r="R11044" s="25" t="str">
        <f>HYPERLINK("https://ictv.global/taxonomy/taxondetails?taxnode_id=202317445","Huhbevirus edaphohabitans")</f>
        <v>Huhbevirus edaphohabitans</v>
      </c>
      <c r="S11044" s="18" t="s">
        <v>30</v>
      </c>
      <c r="T11044" s="18" t="s">
        <v>45680</v>
      </c>
      <c r="U11044" s="18"/>
      <c r="V11044" s="18"/>
      <c r="W11044" s="18" t="s">
        <v>45681</v>
      </c>
      <c r="X11044" s="18" t="s">
        <v>35</v>
      </c>
      <c r="Y11044" s="18" t="s">
        <v>17171</v>
      </c>
      <c r="Z11044" s="18" t="s">
        <v>24637</v>
      </c>
      <c r="AA11044" s="21" t="str">
        <f>HYPERLINK("https://www.ncbi.nlm.nih.gov/nuccore/CASDWV010000879","NCBI Nucleotide")</f>
        <v>NCBI Nucleotide</v>
      </c>
    </row>
    <row r="11045" spans="1:27" x14ac:dyDescent="0.35">
      <c r="A11045">
        <v>1026713</v>
      </c>
      <c r="B11045">
        <v>10370</v>
      </c>
      <c r="C11045">
        <v>1</v>
      </c>
      <c r="D11045" s="17" t="s">
        <v>17166</v>
      </c>
      <c r="E11045" s="17"/>
      <c r="F11045" s="17" t="s">
        <v>17246</v>
      </c>
      <c r="G11045" s="17"/>
      <c r="H11045" s="17" t="s">
        <v>20919</v>
      </c>
      <c r="I11045" s="17"/>
      <c r="J11045" s="17" t="s">
        <v>21313</v>
      </c>
      <c r="K11045" s="17"/>
      <c r="L11045" s="17" t="s">
        <v>22378</v>
      </c>
      <c r="M11045" s="17"/>
      <c r="N11045" s="17" t="s">
        <v>22459</v>
      </c>
      <c r="O11045" s="17"/>
      <c r="P11045" s="17" t="s">
        <v>22938</v>
      </c>
      <c r="Q11045" s="17"/>
      <c r="R11045" s="25" t="str">
        <f>HYPERLINK("https://ictv.global/taxonomy/taxondetails?taxnode_id=202317446","Huhbevirus edaphovicinum")</f>
        <v>Huhbevirus edaphovicinum</v>
      </c>
      <c r="S11045" s="18" t="s">
        <v>30</v>
      </c>
      <c r="T11045" s="18" t="s">
        <v>45682</v>
      </c>
      <c r="U11045" s="18"/>
      <c r="V11045" s="18"/>
      <c r="W11045" s="18" t="s">
        <v>45683</v>
      </c>
      <c r="X11045" s="18" t="s">
        <v>35</v>
      </c>
      <c r="Y11045" s="18" t="s">
        <v>17171</v>
      </c>
      <c r="Z11045" s="18" t="s">
        <v>24637</v>
      </c>
      <c r="AA11045" s="21" t="str">
        <f>HYPERLINK("https://www.ncbi.nlm.nih.gov/nuccore/CASDWV010000040","NCBI Nucleotide")</f>
        <v>NCBI Nucleotide</v>
      </c>
    </row>
    <row r="11046" spans="1:27" x14ac:dyDescent="0.35">
      <c r="A11046">
        <v>1026714</v>
      </c>
      <c r="B11046">
        <v>10371</v>
      </c>
      <c r="C11046">
        <v>1</v>
      </c>
      <c r="D11046" s="17" t="s">
        <v>17166</v>
      </c>
      <c r="E11046" s="17"/>
      <c r="F11046" s="17" t="s">
        <v>17246</v>
      </c>
      <c r="G11046" s="17"/>
      <c r="H11046" s="17" t="s">
        <v>20919</v>
      </c>
      <c r="I11046" s="17"/>
      <c r="J11046" s="17" t="s">
        <v>21313</v>
      </c>
      <c r="K11046" s="17"/>
      <c r="L11046" s="17" t="s">
        <v>22378</v>
      </c>
      <c r="M11046" s="17"/>
      <c r="N11046" s="17" t="s">
        <v>22459</v>
      </c>
      <c r="O11046" s="17"/>
      <c r="P11046" s="17" t="s">
        <v>22938</v>
      </c>
      <c r="Q11046" s="17"/>
      <c r="R11046" s="25" t="str">
        <f>HYPERLINK("https://ictv.global/taxonomy/taxondetails?taxnode_id=202317447","Huhbevirus faecadaptatum")</f>
        <v>Huhbevirus faecadaptatum</v>
      </c>
      <c r="S11046" s="18" t="s">
        <v>30</v>
      </c>
      <c r="T11046" s="18" t="s">
        <v>45684</v>
      </c>
      <c r="U11046" s="18"/>
      <c r="V11046" s="18" t="s">
        <v>45684</v>
      </c>
      <c r="W11046" s="18" t="s">
        <v>45685</v>
      </c>
      <c r="X11046" s="18" t="s">
        <v>35</v>
      </c>
      <c r="Y11046" s="18" t="s">
        <v>17171</v>
      </c>
      <c r="Z11046" s="18" t="s">
        <v>24637</v>
      </c>
      <c r="AA11046" s="21" t="str">
        <f>HYPERLINK("https://www.ncbi.nlm.nih.gov/nuccore/MZ679794","NCBI Nucleotide")</f>
        <v>NCBI Nucleotide</v>
      </c>
    </row>
    <row r="11047" spans="1:27" x14ac:dyDescent="0.35">
      <c r="A11047">
        <v>1026715</v>
      </c>
      <c r="B11047">
        <v>10372</v>
      </c>
      <c r="C11047">
        <v>1</v>
      </c>
      <c r="D11047" s="17" t="s">
        <v>17166</v>
      </c>
      <c r="E11047" s="17"/>
      <c r="F11047" s="17" t="s">
        <v>17246</v>
      </c>
      <c r="G11047" s="17"/>
      <c r="H11047" s="17" t="s">
        <v>20919</v>
      </c>
      <c r="I11047" s="17"/>
      <c r="J11047" s="17" t="s">
        <v>21313</v>
      </c>
      <c r="K11047" s="17"/>
      <c r="L11047" s="17" t="s">
        <v>22378</v>
      </c>
      <c r="M11047" s="17"/>
      <c r="N11047" s="17" t="s">
        <v>22459</v>
      </c>
      <c r="O11047" s="17"/>
      <c r="P11047" s="17" t="s">
        <v>22938</v>
      </c>
      <c r="Q11047" s="17"/>
      <c r="R11047" s="25" t="str">
        <f>HYPERLINK("https://ictv.global/taxonomy/taxondetails?taxnode_id=202317448","Huhbevirus faecenecus")</f>
        <v>Huhbevirus faecenecus</v>
      </c>
      <c r="S11047" s="18" t="s">
        <v>30</v>
      </c>
      <c r="T11047" s="18" t="s">
        <v>45686</v>
      </c>
      <c r="U11047" s="18"/>
      <c r="V11047" s="18" t="s">
        <v>45686</v>
      </c>
      <c r="W11047" s="18" t="s">
        <v>45687</v>
      </c>
      <c r="X11047" s="18" t="s">
        <v>35</v>
      </c>
      <c r="Y11047" s="18" t="s">
        <v>17171</v>
      </c>
      <c r="Z11047" s="18" t="s">
        <v>24637</v>
      </c>
      <c r="AA11047" s="21" t="str">
        <f>HYPERLINK("https://www.ncbi.nlm.nih.gov/nuccore/MZ680345","NCBI Nucleotide")</f>
        <v>NCBI Nucleotide</v>
      </c>
    </row>
    <row r="11048" spans="1:27" x14ac:dyDescent="0.35">
      <c r="A11048">
        <v>1026716</v>
      </c>
      <c r="B11048">
        <v>10373</v>
      </c>
      <c r="C11048">
        <v>1</v>
      </c>
      <c r="D11048" s="17" t="s">
        <v>17166</v>
      </c>
      <c r="E11048" s="17"/>
      <c r="F11048" s="17" t="s">
        <v>17246</v>
      </c>
      <c r="G11048" s="17"/>
      <c r="H11048" s="17" t="s">
        <v>20919</v>
      </c>
      <c r="I11048" s="17"/>
      <c r="J11048" s="17" t="s">
        <v>21313</v>
      </c>
      <c r="K11048" s="17"/>
      <c r="L11048" s="17" t="s">
        <v>22378</v>
      </c>
      <c r="M11048" s="17"/>
      <c r="N11048" s="17" t="s">
        <v>22459</v>
      </c>
      <c r="O11048" s="17"/>
      <c r="P11048" s="17" t="s">
        <v>22938</v>
      </c>
      <c r="Q11048" s="17"/>
      <c r="R11048" s="25" t="str">
        <f>HYPERLINK("https://ictv.global/taxonomy/taxondetails?taxnode_id=202317449","Huhbevirus faecicola")</f>
        <v>Huhbevirus faecicola</v>
      </c>
      <c r="S11048" s="18" t="s">
        <v>30</v>
      </c>
      <c r="T11048" s="18" t="s">
        <v>45688</v>
      </c>
      <c r="U11048" s="18"/>
      <c r="V11048" s="18" t="s">
        <v>45688</v>
      </c>
      <c r="W11048" s="18" t="s">
        <v>45689</v>
      </c>
      <c r="X11048" s="18" t="s">
        <v>35</v>
      </c>
      <c r="Y11048" s="18" t="s">
        <v>17171</v>
      </c>
      <c r="Z11048" s="18" t="s">
        <v>24637</v>
      </c>
      <c r="AA11048" s="21" t="str">
        <f>HYPERLINK("https://www.ncbi.nlm.nih.gov/nuccore/MZ679634","NCBI Nucleotide")</f>
        <v>NCBI Nucleotide</v>
      </c>
    </row>
    <row r="11049" spans="1:27" x14ac:dyDescent="0.35">
      <c r="A11049">
        <v>1026717</v>
      </c>
      <c r="B11049">
        <v>10374</v>
      </c>
      <c r="C11049">
        <v>1</v>
      </c>
      <c r="D11049" s="17" t="s">
        <v>17166</v>
      </c>
      <c r="E11049" s="17"/>
      <c r="F11049" s="17" t="s">
        <v>17246</v>
      </c>
      <c r="G11049" s="17"/>
      <c r="H11049" s="17" t="s">
        <v>20919</v>
      </c>
      <c r="I11049" s="17"/>
      <c r="J11049" s="17" t="s">
        <v>21313</v>
      </c>
      <c r="K11049" s="17"/>
      <c r="L11049" s="17" t="s">
        <v>22378</v>
      </c>
      <c r="M11049" s="17"/>
      <c r="N11049" s="17" t="s">
        <v>22459</v>
      </c>
      <c r="O11049" s="17"/>
      <c r="P11049" s="17" t="s">
        <v>22938</v>
      </c>
      <c r="Q11049" s="17"/>
      <c r="R11049" s="25" t="str">
        <f>HYPERLINK("https://ictv.global/taxonomy/taxondetails?taxnode_id=202317450","Huhbevirus faecihabitans")</f>
        <v>Huhbevirus faecihabitans</v>
      </c>
      <c r="S11049" s="18" t="s">
        <v>30</v>
      </c>
      <c r="T11049" s="18" t="s">
        <v>45690</v>
      </c>
      <c r="U11049" s="18"/>
      <c r="V11049" s="18" t="s">
        <v>45690</v>
      </c>
      <c r="W11049" s="18" t="s">
        <v>45691</v>
      </c>
      <c r="X11049" s="18" t="s">
        <v>35</v>
      </c>
      <c r="Y11049" s="18" t="s">
        <v>17171</v>
      </c>
      <c r="Z11049" s="18" t="s">
        <v>17413</v>
      </c>
      <c r="AA11049" s="21" t="str">
        <f>HYPERLINK("https://www.ncbi.nlm.nih.gov/nuccore/MZ679603","NCBI Nucleotide")</f>
        <v>NCBI Nucleotide</v>
      </c>
    </row>
    <row r="11050" spans="1:27" x14ac:dyDescent="0.35">
      <c r="A11050">
        <v>1026718</v>
      </c>
      <c r="B11050">
        <v>10375</v>
      </c>
      <c r="C11050">
        <v>1</v>
      </c>
      <c r="D11050" s="17" t="s">
        <v>17166</v>
      </c>
      <c r="E11050" s="17"/>
      <c r="F11050" s="17" t="s">
        <v>17246</v>
      </c>
      <c r="G11050" s="17"/>
      <c r="H11050" s="17" t="s">
        <v>20919</v>
      </c>
      <c r="I11050" s="17"/>
      <c r="J11050" s="17" t="s">
        <v>21313</v>
      </c>
      <c r="K11050" s="17"/>
      <c r="L11050" s="17" t="s">
        <v>22378</v>
      </c>
      <c r="M11050" s="17"/>
      <c r="N11050" s="17" t="s">
        <v>22459</v>
      </c>
      <c r="O11050" s="17"/>
      <c r="P11050" s="17" t="s">
        <v>22938</v>
      </c>
      <c r="Q11050" s="17"/>
      <c r="R11050" s="25" t="str">
        <f>HYPERLINK("https://ictv.global/taxonomy/taxondetails?taxnode_id=202317451","Huhbevirus faecivicinum")</f>
        <v>Huhbevirus faecivicinum</v>
      </c>
      <c r="S11050" s="18" t="s">
        <v>30</v>
      </c>
      <c r="T11050" s="18" t="s">
        <v>45692</v>
      </c>
      <c r="U11050" s="18"/>
      <c r="V11050" s="18" t="s">
        <v>45692</v>
      </c>
      <c r="W11050" s="18" t="s">
        <v>45693</v>
      </c>
      <c r="X11050" s="18" t="s">
        <v>35</v>
      </c>
      <c r="Y11050" s="18" t="s">
        <v>17171</v>
      </c>
      <c r="Z11050" s="18" t="s">
        <v>24637</v>
      </c>
      <c r="AA11050" s="21" t="str">
        <f>HYPERLINK("https://www.ncbi.nlm.nih.gov/nuccore/MZ679508","NCBI Nucleotide")</f>
        <v>NCBI Nucleotide</v>
      </c>
    </row>
    <row r="11051" spans="1:27" x14ac:dyDescent="0.35">
      <c r="A11051">
        <v>1026719</v>
      </c>
      <c r="B11051">
        <v>10376</v>
      </c>
      <c r="C11051">
        <v>1</v>
      </c>
      <c r="D11051" s="17" t="s">
        <v>17166</v>
      </c>
      <c r="E11051" s="17"/>
      <c r="F11051" s="17" t="s">
        <v>17246</v>
      </c>
      <c r="G11051" s="17"/>
      <c r="H11051" s="17" t="s">
        <v>20919</v>
      </c>
      <c r="I11051" s="17"/>
      <c r="J11051" s="17" t="s">
        <v>21313</v>
      </c>
      <c r="K11051" s="17"/>
      <c r="L11051" s="17" t="s">
        <v>22378</v>
      </c>
      <c r="M11051" s="17"/>
      <c r="N11051" s="17" t="s">
        <v>22459</v>
      </c>
      <c r="O11051" s="17"/>
      <c r="P11051" s="17" t="s">
        <v>22938</v>
      </c>
      <c r="Q11051" s="17"/>
      <c r="R11051" s="25" t="str">
        <f>HYPERLINK("https://ictv.global/taxonomy/taxondetails?taxnode_id=202317452","Huhbevirus faecivivens")</f>
        <v>Huhbevirus faecivivens</v>
      </c>
      <c r="S11051" s="18" t="s">
        <v>30</v>
      </c>
      <c r="T11051" s="18" t="s">
        <v>45694</v>
      </c>
      <c r="U11051" s="18"/>
      <c r="V11051" s="18" t="s">
        <v>45694</v>
      </c>
      <c r="W11051" s="18" t="s">
        <v>45695</v>
      </c>
      <c r="X11051" s="18" t="s">
        <v>35</v>
      </c>
      <c r="Y11051" s="18" t="s">
        <v>17171</v>
      </c>
      <c r="Z11051" s="18" t="s">
        <v>24637</v>
      </c>
      <c r="AA11051" s="21" t="str">
        <f>HYPERLINK("https://www.ncbi.nlm.nih.gov/nuccore/MZ679762","NCBI Nucleotide")</f>
        <v>NCBI Nucleotide</v>
      </c>
    </row>
    <row r="11052" spans="1:27" x14ac:dyDescent="0.35">
      <c r="A11052">
        <v>1026720</v>
      </c>
      <c r="B11052">
        <v>10377</v>
      </c>
      <c r="C11052">
        <v>1</v>
      </c>
      <c r="D11052" s="17" t="s">
        <v>17166</v>
      </c>
      <c r="E11052" s="17"/>
      <c r="F11052" s="17" t="s">
        <v>17246</v>
      </c>
      <c r="G11052" s="17"/>
      <c r="H11052" s="17" t="s">
        <v>20919</v>
      </c>
      <c r="I11052" s="17"/>
      <c r="J11052" s="17" t="s">
        <v>21313</v>
      </c>
      <c r="K11052" s="17"/>
      <c r="L11052" s="17" t="s">
        <v>22378</v>
      </c>
      <c r="M11052" s="17"/>
      <c r="N11052" s="17" t="s">
        <v>22459</v>
      </c>
      <c r="O11052" s="17"/>
      <c r="P11052" s="17" t="s">
        <v>22938</v>
      </c>
      <c r="Q11052" s="17"/>
      <c r="R11052" s="25" t="str">
        <f>HYPERLINK("https://ictv.global/taxonomy/taxondetails?taxnode_id=202317453","Huhbevirus frumentihabitans")</f>
        <v>Huhbevirus frumentihabitans</v>
      </c>
      <c r="S11052" s="18" t="s">
        <v>30</v>
      </c>
      <c r="T11052" s="18" t="s">
        <v>45696</v>
      </c>
      <c r="U11052" s="18"/>
      <c r="V11052" s="18" t="s">
        <v>45696</v>
      </c>
      <c r="W11052" s="18" t="s">
        <v>45697</v>
      </c>
      <c r="X11052" s="18" t="s">
        <v>35</v>
      </c>
      <c r="Y11052" s="18" t="s">
        <v>17171</v>
      </c>
      <c r="Z11052" s="18" t="s">
        <v>24637</v>
      </c>
      <c r="AA11052" s="21" t="str">
        <f>HYPERLINK("https://www.ncbi.nlm.nih.gov/nuccore/MZ679725","NCBI Nucleotide")</f>
        <v>NCBI Nucleotide</v>
      </c>
    </row>
    <row r="11053" spans="1:27" x14ac:dyDescent="0.35">
      <c r="A11053">
        <v>1026721</v>
      </c>
      <c r="B11053">
        <v>10378</v>
      </c>
      <c r="C11053">
        <v>1</v>
      </c>
      <c r="D11053" s="17" t="s">
        <v>17166</v>
      </c>
      <c r="E11053" s="17"/>
      <c r="F11053" s="17" t="s">
        <v>17246</v>
      </c>
      <c r="G11053" s="17"/>
      <c r="H11053" s="17" t="s">
        <v>20919</v>
      </c>
      <c r="I11053" s="17"/>
      <c r="J11053" s="17" t="s">
        <v>21313</v>
      </c>
      <c r="K11053" s="17"/>
      <c r="L11053" s="17" t="s">
        <v>22378</v>
      </c>
      <c r="M11053" s="17"/>
      <c r="N11053" s="17" t="s">
        <v>22459</v>
      </c>
      <c r="O11053" s="17"/>
      <c r="P11053" s="17" t="s">
        <v>22938</v>
      </c>
      <c r="Q11053" s="17"/>
      <c r="R11053" s="25" t="str">
        <f>HYPERLINK("https://ictv.global/taxonomy/taxondetails?taxnode_id=202317454","Huhbevirus frumentivicinum")</f>
        <v>Huhbevirus frumentivicinum</v>
      </c>
      <c r="S11053" s="18" t="s">
        <v>30</v>
      </c>
      <c r="T11053" s="18" t="s">
        <v>45698</v>
      </c>
      <c r="U11053" s="18"/>
      <c r="V11053" s="18" t="s">
        <v>45698</v>
      </c>
      <c r="W11053" s="18" t="s">
        <v>45699</v>
      </c>
      <c r="X11053" s="18" t="s">
        <v>35</v>
      </c>
      <c r="Y11053" s="18" t="s">
        <v>17171</v>
      </c>
      <c r="Z11053" s="18" t="s">
        <v>24637</v>
      </c>
      <c r="AA11053" s="21" t="str">
        <f>HYPERLINK("https://www.ncbi.nlm.nih.gov/nuccore/MZ679548","NCBI Nucleotide")</f>
        <v>NCBI Nucleotide</v>
      </c>
    </row>
    <row r="11054" spans="1:27" x14ac:dyDescent="0.35">
      <c r="A11054">
        <v>1026722</v>
      </c>
      <c r="B11054">
        <v>10379</v>
      </c>
      <c r="C11054">
        <v>1</v>
      </c>
      <c r="D11054" s="17" t="s">
        <v>17166</v>
      </c>
      <c r="E11054" s="17"/>
      <c r="F11054" s="17" t="s">
        <v>17246</v>
      </c>
      <c r="G11054" s="17"/>
      <c r="H11054" s="17" t="s">
        <v>20919</v>
      </c>
      <c r="I11054" s="17"/>
      <c r="J11054" s="17" t="s">
        <v>21313</v>
      </c>
      <c r="K11054" s="17"/>
      <c r="L11054" s="17" t="s">
        <v>22378</v>
      </c>
      <c r="M11054" s="17"/>
      <c r="N11054" s="17" t="s">
        <v>22459</v>
      </c>
      <c r="O11054" s="17"/>
      <c r="P11054" s="17" t="s">
        <v>22938</v>
      </c>
      <c r="Q11054" s="17"/>
      <c r="R11054" s="25" t="str">
        <f>HYPERLINK("https://ictv.global/taxonomy/taxondetails?taxnode_id=202317455","Huhbevirus fundivivens")</f>
        <v>Huhbevirus fundivivens</v>
      </c>
      <c r="S11054" s="18" t="s">
        <v>30</v>
      </c>
      <c r="T11054" s="18" t="s">
        <v>45700</v>
      </c>
      <c r="U11054" s="18"/>
      <c r="V11054" s="18" t="s">
        <v>45700</v>
      </c>
      <c r="W11054" s="18" t="s">
        <v>45701</v>
      </c>
      <c r="X11054" s="18" t="s">
        <v>35</v>
      </c>
      <c r="Y11054" s="18" t="s">
        <v>17171</v>
      </c>
      <c r="Z11054" s="18" t="s">
        <v>24637</v>
      </c>
      <c r="AA11054" s="21" t="str">
        <f>HYPERLINK("https://www.ncbi.nlm.nih.gov/nuccore/MZ679618","NCBI Nucleotide")</f>
        <v>NCBI Nucleotide</v>
      </c>
    </row>
    <row r="11055" spans="1:27" x14ac:dyDescent="0.35">
      <c r="A11055">
        <v>1010057</v>
      </c>
      <c r="B11055">
        <v>10380</v>
      </c>
      <c r="C11055">
        <v>1</v>
      </c>
      <c r="D11055" s="17" t="s">
        <v>17166</v>
      </c>
      <c r="E11055" s="17"/>
      <c r="F11055" s="17" t="s">
        <v>17246</v>
      </c>
      <c r="G11055" s="17"/>
      <c r="H11055" s="17" t="s">
        <v>20919</v>
      </c>
      <c r="I11055" s="17"/>
      <c r="J11055" s="17" t="s">
        <v>21313</v>
      </c>
      <c r="K11055" s="17"/>
      <c r="L11055" s="17" t="s">
        <v>22378</v>
      </c>
      <c r="M11055" s="17"/>
      <c r="N11055" s="17" t="s">
        <v>22459</v>
      </c>
      <c r="O11055" s="17"/>
      <c r="P11055" s="17" t="s">
        <v>22938</v>
      </c>
      <c r="Q11055" s="17"/>
      <c r="R11055" s="25" t="str">
        <f>HYPERLINK("https://ictv.global/taxonomy/taxondetails?taxnode_id=202311271","Huhbevirus geoadaptatum")</f>
        <v>Huhbevirus geoadaptatum</v>
      </c>
      <c r="S11055" s="18" t="s">
        <v>30</v>
      </c>
      <c r="T11055" s="18" t="s">
        <v>22951</v>
      </c>
      <c r="U11055" s="18"/>
      <c r="V11055" s="18"/>
      <c r="W11055" s="18" t="s">
        <v>22952</v>
      </c>
      <c r="X11055" s="18" t="s">
        <v>35</v>
      </c>
      <c r="Y11055" s="18" t="s">
        <v>17171</v>
      </c>
      <c r="Z11055" s="18" t="s">
        <v>697</v>
      </c>
      <c r="AA11055" s="21" t="str">
        <f>HYPERLINK("https://www.ncbi.nlm.nih.gov/nuccore/BK013953","NCBI Nucleotide")</f>
        <v>NCBI Nucleotide</v>
      </c>
    </row>
    <row r="11056" spans="1:27" x14ac:dyDescent="0.35">
      <c r="A11056">
        <v>1026723</v>
      </c>
      <c r="B11056">
        <v>10381</v>
      </c>
      <c r="C11056">
        <v>1</v>
      </c>
      <c r="D11056" s="17" t="s">
        <v>17166</v>
      </c>
      <c r="E11056" s="17"/>
      <c r="F11056" s="17" t="s">
        <v>17246</v>
      </c>
      <c r="G11056" s="17"/>
      <c r="H11056" s="17" t="s">
        <v>20919</v>
      </c>
      <c r="I11056" s="17"/>
      <c r="J11056" s="17" t="s">
        <v>21313</v>
      </c>
      <c r="K11056" s="17"/>
      <c r="L11056" s="17" t="s">
        <v>22378</v>
      </c>
      <c r="M11056" s="17"/>
      <c r="N11056" s="17" t="s">
        <v>22459</v>
      </c>
      <c r="O11056" s="17"/>
      <c r="P11056" s="17" t="s">
        <v>22938</v>
      </c>
      <c r="Q11056" s="17"/>
      <c r="R11056" s="25" t="str">
        <f>HYPERLINK("https://ictv.global/taxonomy/taxondetails?taxnode_id=202317456","Huhbevirus geoenecus")</f>
        <v>Huhbevirus geoenecus</v>
      </c>
      <c r="S11056" s="18" t="s">
        <v>30</v>
      </c>
      <c r="T11056" s="18" t="s">
        <v>45702</v>
      </c>
      <c r="U11056" s="18"/>
      <c r="V11056" s="18"/>
      <c r="W11056" s="18" t="s">
        <v>45703</v>
      </c>
      <c r="X11056" s="18" t="s">
        <v>35</v>
      </c>
      <c r="Y11056" s="18" t="s">
        <v>17171</v>
      </c>
      <c r="Z11056" s="18" t="s">
        <v>24637</v>
      </c>
      <c r="AA11056" s="21" t="str">
        <f>HYPERLINK("https://www.ncbi.nlm.nih.gov/nuccore/CASDWV010000765","NCBI Nucleotide")</f>
        <v>NCBI Nucleotide</v>
      </c>
    </row>
    <row r="11057" spans="1:27" x14ac:dyDescent="0.35">
      <c r="A11057">
        <v>1026724</v>
      </c>
      <c r="B11057">
        <v>10382</v>
      </c>
      <c r="C11057">
        <v>1</v>
      </c>
      <c r="D11057" s="17" t="s">
        <v>17166</v>
      </c>
      <c r="E11057" s="17"/>
      <c r="F11057" s="17" t="s">
        <v>17246</v>
      </c>
      <c r="G11057" s="17"/>
      <c r="H11057" s="17" t="s">
        <v>20919</v>
      </c>
      <c r="I11057" s="17"/>
      <c r="J11057" s="17" t="s">
        <v>21313</v>
      </c>
      <c r="K11057" s="17"/>
      <c r="L11057" s="17" t="s">
        <v>22378</v>
      </c>
      <c r="M11057" s="17"/>
      <c r="N11057" s="17" t="s">
        <v>22459</v>
      </c>
      <c r="O11057" s="17"/>
      <c r="P11057" s="17" t="s">
        <v>22938</v>
      </c>
      <c r="Q11057" s="17"/>
      <c r="R11057" s="25" t="str">
        <f>HYPERLINK("https://ictv.global/taxonomy/taxondetails?taxnode_id=202317457","Huhbevirus geohabitans")</f>
        <v>Huhbevirus geohabitans</v>
      </c>
      <c r="S11057" s="18" t="s">
        <v>30</v>
      </c>
      <c r="T11057" s="18" t="s">
        <v>45704</v>
      </c>
      <c r="U11057" s="18"/>
      <c r="V11057" s="18"/>
      <c r="W11057" s="18" t="s">
        <v>45705</v>
      </c>
      <c r="X11057" s="18" t="s">
        <v>35</v>
      </c>
      <c r="Y11057" s="18" t="s">
        <v>17171</v>
      </c>
      <c r="Z11057" s="18" t="s">
        <v>24637</v>
      </c>
      <c r="AA11057" s="21" t="str">
        <f>HYPERLINK("https://www.ncbi.nlm.nih.gov/nuccore/CASDWV010004606","NCBI Nucleotide")</f>
        <v>NCBI Nucleotide</v>
      </c>
    </row>
    <row r="11058" spans="1:27" x14ac:dyDescent="0.35">
      <c r="A11058">
        <v>1026725</v>
      </c>
      <c r="B11058">
        <v>10383</v>
      </c>
      <c r="C11058">
        <v>1</v>
      </c>
      <c r="D11058" s="17" t="s">
        <v>17166</v>
      </c>
      <c r="E11058" s="17"/>
      <c r="F11058" s="17" t="s">
        <v>17246</v>
      </c>
      <c r="G11058" s="17"/>
      <c r="H11058" s="17" t="s">
        <v>20919</v>
      </c>
      <c r="I11058" s="17"/>
      <c r="J11058" s="17" t="s">
        <v>21313</v>
      </c>
      <c r="K11058" s="17"/>
      <c r="L11058" s="17" t="s">
        <v>22378</v>
      </c>
      <c r="M11058" s="17"/>
      <c r="N11058" s="17" t="s">
        <v>22459</v>
      </c>
      <c r="O11058" s="17"/>
      <c r="P11058" s="17" t="s">
        <v>22938</v>
      </c>
      <c r="Q11058" s="17"/>
      <c r="R11058" s="25" t="str">
        <f>HYPERLINK("https://ictv.global/taxonomy/taxondetails?taxnode_id=202317458","Huhbevirus humadaptatum")</f>
        <v>Huhbevirus humadaptatum</v>
      </c>
      <c r="S11058" s="18" t="s">
        <v>30</v>
      </c>
      <c r="T11058" s="18" t="s">
        <v>45706</v>
      </c>
      <c r="U11058" s="18"/>
      <c r="V11058" s="18"/>
      <c r="W11058" s="18" t="s">
        <v>45707</v>
      </c>
      <c r="X11058" s="18" t="s">
        <v>35</v>
      </c>
      <c r="Y11058" s="18" t="s">
        <v>17171</v>
      </c>
      <c r="Z11058" s="18" t="s">
        <v>24637</v>
      </c>
      <c r="AA11058" s="21" t="str">
        <f>HYPERLINK("https://www.ncbi.nlm.nih.gov/nuccore/CASDWV010000842","NCBI Nucleotide")</f>
        <v>NCBI Nucleotide</v>
      </c>
    </row>
    <row r="11059" spans="1:27" x14ac:dyDescent="0.35">
      <c r="A11059">
        <v>1026726</v>
      </c>
      <c r="B11059">
        <v>10384</v>
      </c>
      <c r="C11059">
        <v>1</v>
      </c>
      <c r="D11059" s="17" t="s">
        <v>17166</v>
      </c>
      <c r="E11059" s="17"/>
      <c r="F11059" s="17" t="s">
        <v>17246</v>
      </c>
      <c r="G11059" s="17"/>
      <c r="H11059" s="17" t="s">
        <v>20919</v>
      </c>
      <c r="I11059" s="17"/>
      <c r="J11059" s="17" t="s">
        <v>21313</v>
      </c>
      <c r="K11059" s="17"/>
      <c r="L11059" s="17" t="s">
        <v>22378</v>
      </c>
      <c r="M11059" s="17"/>
      <c r="N11059" s="17" t="s">
        <v>22459</v>
      </c>
      <c r="O11059" s="17"/>
      <c r="P11059" s="17" t="s">
        <v>22938</v>
      </c>
      <c r="Q11059" s="17"/>
      <c r="R11059" s="25" t="str">
        <f>HYPERLINK("https://ictv.global/taxonomy/taxondetails?taxnode_id=202317459","Huhbevirus humivivens")</f>
        <v>Huhbevirus humivivens</v>
      </c>
      <c r="S11059" s="18" t="s">
        <v>30</v>
      </c>
      <c r="T11059" s="18" t="s">
        <v>45708</v>
      </c>
      <c r="U11059" s="18"/>
      <c r="V11059" s="18"/>
      <c r="W11059" s="18" t="s">
        <v>45709</v>
      </c>
      <c r="X11059" s="18" t="s">
        <v>35</v>
      </c>
      <c r="Y11059" s="18" t="s">
        <v>17171</v>
      </c>
      <c r="Z11059" s="18" t="s">
        <v>24637</v>
      </c>
      <c r="AA11059" s="21" t="str">
        <f>HYPERLINK("https://www.ncbi.nlm.nih.gov/nuccore/CASDWV010000861","NCBI Nucleotide")</f>
        <v>NCBI Nucleotide</v>
      </c>
    </row>
    <row r="11060" spans="1:27" x14ac:dyDescent="0.35">
      <c r="A11060">
        <v>1026727</v>
      </c>
      <c r="B11060">
        <v>10385</v>
      </c>
      <c r="C11060">
        <v>1</v>
      </c>
      <c r="D11060" s="17" t="s">
        <v>17166</v>
      </c>
      <c r="E11060" s="17"/>
      <c r="F11060" s="17" t="s">
        <v>17246</v>
      </c>
      <c r="G11060" s="17"/>
      <c r="H11060" s="17" t="s">
        <v>20919</v>
      </c>
      <c r="I11060" s="17"/>
      <c r="J11060" s="17" t="s">
        <v>21313</v>
      </c>
      <c r="K11060" s="17"/>
      <c r="L11060" s="17" t="s">
        <v>22378</v>
      </c>
      <c r="M11060" s="17"/>
      <c r="N11060" s="17" t="s">
        <v>22459</v>
      </c>
      <c r="O11060" s="17"/>
      <c r="P11060" s="17" t="s">
        <v>22938</v>
      </c>
      <c r="Q11060" s="17"/>
      <c r="R11060" s="25" t="str">
        <f>HYPERLINK("https://ictv.global/taxonomy/taxondetails?taxnode_id=202317460","Huhbevirus lutenecus")</f>
        <v>Huhbevirus lutenecus</v>
      </c>
      <c r="S11060" s="18" t="s">
        <v>30</v>
      </c>
      <c r="T11060" s="18" t="s">
        <v>45710</v>
      </c>
      <c r="U11060" s="18"/>
      <c r="V11060" s="18"/>
      <c r="W11060" s="18" t="s">
        <v>45711</v>
      </c>
      <c r="X11060" s="18" t="s">
        <v>35</v>
      </c>
      <c r="Y11060" s="18" t="s">
        <v>17171</v>
      </c>
      <c r="Z11060" s="18" t="s">
        <v>24637</v>
      </c>
      <c r="AA11060" s="21" t="str">
        <f>HYPERLINK("https://www.ncbi.nlm.nih.gov/nuccore/CASDWV010004964","NCBI Nucleotide")</f>
        <v>NCBI Nucleotide</v>
      </c>
    </row>
    <row r="11061" spans="1:27" x14ac:dyDescent="0.35">
      <c r="A11061">
        <v>1026728</v>
      </c>
      <c r="B11061">
        <v>10386</v>
      </c>
      <c r="C11061">
        <v>1</v>
      </c>
      <c r="D11061" s="17" t="s">
        <v>17166</v>
      </c>
      <c r="E11061" s="17"/>
      <c r="F11061" s="17" t="s">
        <v>17246</v>
      </c>
      <c r="G11061" s="17"/>
      <c r="H11061" s="17" t="s">
        <v>20919</v>
      </c>
      <c r="I11061" s="17"/>
      <c r="J11061" s="17" t="s">
        <v>21313</v>
      </c>
      <c r="K11061" s="17"/>
      <c r="L11061" s="17" t="s">
        <v>22378</v>
      </c>
      <c r="M11061" s="17"/>
      <c r="N11061" s="17" t="s">
        <v>22459</v>
      </c>
      <c r="O11061" s="17"/>
      <c r="P11061" s="17" t="s">
        <v>22938</v>
      </c>
      <c r="Q11061" s="17"/>
      <c r="R11061" s="25" t="str">
        <f>HYPERLINK("https://ictv.global/taxonomy/taxondetails?taxnode_id=202317461","Huhbevirus lutihabitans")</f>
        <v>Huhbevirus lutihabitans</v>
      </c>
      <c r="S11061" s="18" t="s">
        <v>30</v>
      </c>
      <c r="T11061" s="18" t="s">
        <v>45712</v>
      </c>
      <c r="U11061" s="18"/>
      <c r="V11061" s="18"/>
      <c r="W11061" s="18" t="s">
        <v>45713</v>
      </c>
      <c r="X11061" s="18" t="s">
        <v>35</v>
      </c>
      <c r="Y11061" s="18" t="s">
        <v>17171</v>
      </c>
      <c r="Z11061" s="18" t="s">
        <v>24637</v>
      </c>
      <c r="AA11061" s="21" t="str">
        <f>HYPERLINK("https://www.ncbi.nlm.nih.gov/nuccore/CASDWV010004555","NCBI Nucleotide")</f>
        <v>NCBI Nucleotide</v>
      </c>
    </row>
    <row r="11062" spans="1:27" x14ac:dyDescent="0.35">
      <c r="A11062">
        <v>1026729</v>
      </c>
      <c r="B11062">
        <v>10387</v>
      </c>
      <c r="C11062">
        <v>1</v>
      </c>
      <c r="D11062" s="17" t="s">
        <v>17166</v>
      </c>
      <c r="E11062" s="17"/>
      <c r="F11062" s="17" t="s">
        <v>17246</v>
      </c>
      <c r="G11062" s="17"/>
      <c r="H11062" s="17" t="s">
        <v>20919</v>
      </c>
      <c r="I11062" s="17"/>
      <c r="J11062" s="17" t="s">
        <v>21313</v>
      </c>
      <c r="K11062" s="17"/>
      <c r="L11062" s="17" t="s">
        <v>22378</v>
      </c>
      <c r="M11062" s="17"/>
      <c r="N11062" s="17" t="s">
        <v>22459</v>
      </c>
      <c r="O11062" s="17"/>
      <c r="P11062" s="17" t="s">
        <v>22938</v>
      </c>
      <c r="Q11062" s="17"/>
      <c r="R11062" s="25" t="str">
        <f>HYPERLINK("https://ictv.global/taxonomy/taxondetails?taxnode_id=202317462","Huhbevirus lutivivens")</f>
        <v>Huhbevirus lutivivens</v>
      </c>
      <c r="S11062" s="18" t="s">
        <v>30</v>
      </c>
      <c r="T11062" s="18" t="s">
        <v>45714</v>
      </c>
      <c r="U11062" s="18"/>
      <c r="V11062" s="18"/>
      <c r="W11062" s="18" t="s">
        <v>45715</v>
      </c>
      <c r="X11062" s="18" t="s">
        <v>35</v>
      </c>
      <c r="Y11062" s="18" t="s">
        <v>17171</v>
      </c>
      <c r="Z11062" s="18" t="s">
        <v>24637</v>
      </c>
      <c r="AA11062" s="21" t="str">
        <f>HYPERLINK("https://www.ncbi.nlm.nih.gov/nuccore/CASDWV010002525","NCBI Nucleotide")</f>
        <v>NCBI Nucleotide</v>
      </c>
    </row>
    <row r="11063" spans="1:27" x14ac:dyDescent="0.35">
      <c r="A11063">
        <v>1026730</v>
      </c>
      <c r="B11063">
        <v>10388</v>
      </c>
      <c r="C11063">
        <v>1</v>
      </c>
      <c r="D11063" s="17" t="s">
        <v>17166</v>
      </c>
      <c r="E11063" s="17"/>
      <c r="F11063" s="17" t="s">
        <v>17246</v>
      </c>
      <c r="G11063" s="17"/>
      <c r="H11063" s="17" t="s">
        <v>20919</v>
      </c>
      <c r="I11063" s="17"/>
      <c r="J11063" s="17" t="s">
        <v>21313</v>
      </c>
      <c r="K11063" s="17"/>
      <c r="L11063" s="17" t="s">
        <v>22378</v>
      </c>
      <c r="M11063" s="17"/>
      <c r="N11063" s="17" t="s">
        <v>22459</v>
      </c>
      <c r="O11063" s="17"/>
      <c r="P11063" s="17" t="s">
        <v>22938</v>
      </c>
      <c r="Q11063" s="17"/>
      <c r="R11063" s="25" t="str">
        <f>HYPERLINK("https://ictv.global/taxonomy/taxondetails?taxnode_id=202317463","Huhbevirus messenecus")</f>
        <v>Huhbevirus messenecus</v>
      </c>
      <c r="S11063" s="18" t="s">
        <v>30</v>
      </c>
      <c r="T11063" s="18" t="s">
        <v>45716</v>
      </c>
      <c r="U11063" s="18"/>
      <c r="V11063" s="18"/>
      <c r="W11063" s="18" t="s">
        <v>45717</v>
      </c>
      <c r="X11063" s="18" t="s">
        <v>35</v>
      </c>
      <c r="Y11063" s="18" t="s">
        <v>17171</v>
      </c>
      <c r="Z11063" s="18" t="s">
        <v>24637</v>
      </c>
      <c r="AA11063" s="21" t="str">
        <f>HYPERLINK("https://www.ncbi.nlm.nih.gov/nuccore/CASDWV010000413","NCBI Nucleotide")</f>
        <v>NCBI Nucleotide</v>
      </c>
    </row>
    <row r="11064" spans="1:27" x14ac:dyDescent="0.35">
      <c r="A11064">
        <v>1026731</v>
      </c>
      <c r="B11064">
        <v>10389</v>
      </c>
      <c r="C11064">
        <v>1</v>
      </c>
      <c r="D11064" s="17" t="s">
        <v>17166</v>
      </c>
      <c r="E11064" s="17"/>
      <c r="F11064" s="17" t="s">
        <v>17246</v>
      </c>
      <c r="G11064" s="17"/>
      <c r="H11064" s="17" t="s">
        <v>20919</v>
      </c>
      <c r="I11064" s="17"/>
      <c r="J11064" s="17" t="s">
        <v>21313</v>
      </c>
      <c r="K11064" s="17"/>
      <c r="L11064" s="17" t="s">
        <v>22378</v>
      </c>
      <c r="M11064" s="17"/>
      <c r="N11064" s="17" t="s">
        <v>22459</v>
      </c>
      <c r="O11064" s="17"/>
      <c r="P11064" s="17" t="s">
        <v>22938</v>
      </c>
      <c r="Q11064" s="17"/>
      <c r="R11064" s="25" t="str">
        <f>HYPERLINK("https://ictv.global/taxonomy/taxondetails?taxnode_id=202317464","Huhbevirus nemorisadaptatum")</f>
        <v>Huhbevirus nemorisadaptatum</v>
      </c>
      <c r="S11064" s="18" t="s">
        <v>30</v>
      </c>
      <c r="T11064" s="18" t="s">
        <v>45718</v>
      </c>
      <c r="U11064" s="18"/>
      <c r="V11064" s="18" t="s">
        <v>45718</v>
      </c>
      <c r="W11064" s="18" t="s">
        <v>45719</v>
      </c>
      <c r="X11064" s="18" t="s">
        <v>35</v>
      </c>
      <c r="Y11064" s="18" t="s">
        <v>17171</v>
      </c>
      <c r="Z11064" s="18" t="s">
        <v>24637</v>
      </c>
      <c r="AA11064" s="21" t="str">
        <f>HYPERLINK("https://www.ncbi.nlm.nih.gov/nuccore/MZ679476","NCBI Nucleotide")</f>
        <v>NCBI Nucleotide</v>
      </c>
    </row>
    <row r="11065" spans="1:27" x14ac:dyDescent="0.35">
      <c r="A11065">
        <v>1026732</v>
      </c>
      <c r="B11065">
        <v>10390</v>
      </c>
      <c r="C11065">
        <v>1</v>
      </c>
      <c r="D11065" s="17" t="s">
        <v>17166</v>
      </c>
      <c r="E11065" s="17"/>
      <c r="F11065" s="17" t="s">
        <v>17246</v>
      </c>
      <c r="G11065" s="17"/>
      <c r="H11065" s="17" t="s">
        <v>20919</v>
      </c>
      <c r="I11065" s="17"/>
      <c r="J11065" s="17" t="s">
        <v>21313</v>
      </c>
      <c r="K11065" s="17"/>
      <c r="L11065" s="17" t="s">
        <v>22378</v>
      </c>
      <c r="M11065" s="17"/>
      <c r="N11065" s="17" t="s">
        <v>22459</v>
      </c>
      <c r="O11065" s="17"/>
      <c r="P11065" s="17" t="s">
        <v>22938</v>
      </c>
      <c r="Q11065" s="17"/>
      <c r="R11065" s="25" t="str">
        <f>HYPERLINK("https://ictv.global/taxonomy/taxondetails?taxnode_id=202317465","Huhbevirus nemoriscola")</f>
        <v>Huhbevirus nemoriscola</v>
      </c>
      <c r="S11065" s="18" t="s">
        <v>30</v>
      </c>
      <c r="T11065" s="18" t="s">
        <v>45720</v>
      </c>
      <c r="U11065" s="18"/>
      <c r="V11065" s="18" t="s">
        <v>45720</v>
      </c>
      <c r="W11065" s="18" t="s">
        <v>45721</v>
      </c>
      <c r="X11065" s="18" t="s">
        <v>35</v>
      </c>
      <c r="Y11065" s="18" t="s">
        <v>17171</v>
      </c>
      <c r="Z11065" s="18" t="s">
        <v>24637</v>
      </c>
      <c r="AA11065" s="21" t="str">
        <f>HYPERLINK("https://www.ncbi.nlm.nih.gov/nuccore/MZ679606","NCBI Nucleotide")</f>
        <v>NCBI Nucleotide</v>
      </c>
    </row>
    <row r="11066" spans="1:27" x14ac:dyDescent="0.35">
      <c r="A11066">
        <v>1026733</v>
      </c>
      <c r="B11066">
        <v>10391</v>
      </c>
      <c r="C11066">
        <v>1</v>
      </c>
      <c r="D11066" s="17" t="s">
        <v>17166</v>
      </c>
      <c r="E11066" s="17"/>
      <c r="F11066" s="17" t="s">
        <v>17246</v>
      </c>
      <c r="G11066" s="17"/>
      <c r="H11066" s="17" t="s">
        <v>20919</v>
      </c>
      <c r="I11066" s="17"/>
      <c r="J11066" s="17" t="s">
        <v>21313</v>
      </c>
      <c r="K11066" s="17"/>
      <c r="L11066" s="17" t="s">
        <v>22378</v>
      </c>
      <c r="M11066" s="17"/>
      <c r="N11066" s="17" t="s">
        <v>22459</v>
      </c>
      <c r="O11066" s="17"/>
      <c r="P11066" s="17" t="s">
        <v>22938</v>
      </c>
      <c r="Q11066" s="17"/>
      <c r="R11066" s="25" t="str">
        <f>HYPERLINK("https://ictv.global/taxonomy/taxondetails?taxnode_id=202317466","Huhbevirus nemorisenecus")</f>
        <v>Huhbevirus nemorisenecus</v>
      </c>
      <c r="S11066" s="18" t="s">
        <v>30</v>
      </c>
      <c r="T11066" s="18" t="s">
        <v>45722</v>
      </c>
      <c r="U11066" s="18"/>
      <c r="V11066" s="18" t="s">
        <v>45722</v>
      </c>
      <c r="W11066" s="18" t="s">
        <v>45723</v>
      </c>
      <c r="X11066" s="18" t="s">
        <v>35</v>
      </c>
      <c r="Y11066" s="18" t="s">
        <v>17171</v>
      </c>
      <c r="Z11066" s="18" t="s">
        <v>24637</v>
      </c>
      <c r="AA11066" s="21" t="str">
        <f>HYPERLINK("https://www.ncbi.nlm.nih.gov/nuccore/MZ679592","NCBI Nucleotide")</f>
        <v>NCBI Nucleotide</v>
      </c>
    </row>
    <row r="11067" spans="1:27" x14ac:dyDescent="0.35">
      <c r="A11067">
        <v>1026734</v>
      </c>
      <c r="B11067">
        <v>10392</v>
      </c>
      <c r="C11067">
        <v>1</v>
      </c>
      <c r="D11067" s="17" t="s">
        <v>17166</v>
      </c>
      <c r="E11067" s="17"/>
      <c r="F11067" s="17" t="s">
        <v>17246</v>
      </c>
      <c r="G11067" s="17"/>
      <c r="H11067" s="17" t="s">
        <v>20919</v>
      </c>
      <c r="I11067" s="17"/>
      <c r="J11067" s="17" t="s">
        <v>21313</v>
      </c>
      <c r="K11067" s="17"/>
      <c r="L11067" s="17" t="s">
        <v>22378</v>
      </c>
      <c r="M11067" s="17"/>
      <c r="N11067" s="17" t="s">
        <v>22459</v>
      </c>
      <c r="O11067" s="17"/>
      <c r="P11067" s="17" t="s">
        <v>22938</v>
      </c>
      <c r="Q11067" s="17"/>
      <c r="R11067" s="25" t="str">
        <f>HYPERLINK("https://ictv.global/taxonomy/taxondetails?taxnode_id=202317467","Huhbevirus nemorisvicinum")</f>
        <v>Huhbevirus nemorisvicinum</v>
      </c>
      <c r="S11067" s="18" t="s">
        <v>30</v>
      </c>
      <c r="T11067" s="18" t="s">
        <v>45724</v>
      </c>
      <c r="U11067" s="18"/>
      <c r="V11067" s="18" t="s">
        <v>45724</v>
      </c>
      <c r="W11067" s="18" t="s">
        <v>45725</v>
      </c>
      <c r="X11067" s="18" t="s">
        <v>35</v>
      </c>
      <c r="Y11067" s="18" t="s">
        <v>17171</v>
      </c>
      <c r="Z11067" s="18" t="s">
        <v>24637</v>
      </c>
      <c r="AA11067" s="21" t="str">
        <f>HYPERLINK("https://www.ncbi.nlm.nih.gov/nuccore/MZ679716","NCBI Nucleotide")</f>
        <v>NCBI Nucleotide</v>
      </c>
    </row>
    <row r="11068" spans="1:27" x14ac:dyDescent="0.35">
      <c r="A11068">
        <v>1026735</v>
      </c>
      <c r="B11068">
        <v>10393</v>
      </c>
      <c r="C11068">
        <v>1</v>
      </c>
      <c r="D11068" s="17" t="s">
        <v>17166</v>
      </c>
      <c r="E11068" s="17"/>
      <c r="F11068" s="17" t="s">
        <v>17246</v>
      </c>
      <c r="G11068" s="17"/>
      <c r="H11068" s="17" t="s">
        <v>20919</v>
      </c>
      <c r="I11068" s="17"/>
      <c r="J11068" s="17" t="s">
        <v>21313</v>
      </c>
      <c r="K11068" s="17"/>
      <c r="L11068" s="17" t="s">
        <v>22378</v>
      </c>
      <c r="M11068" s="17"/>
      <c r="N11068" s="17" t="s">
        <v>22459</v>
      </c>
      <c r="O11068" s="17"/>
      <c r="P11068" s="17" t="s">
        <v>22938</v>
      </c>
      <c r="Q11068" s="17"/>
      <c r="R11068" s="25" t="str">
        <f>HYPERLINK("https://ictv.global/taxonomy/taxondetails?taxnode_id=202317468","Huhbevirus neochthonohabitans")</f>
        <v>Huhbevirus neochthonohabitans</v>
      </c>
      <c r="S11068" s="18" t="s">
        <v>30</v>
      </c>
      <c r="T11068" s="18" t="s">
        <v>45726</v>
      </c>
      <c r="U11068" s="18"/>
      <c r="V11068" s="18"/>
      <c r="W11068" s="18" t="s">
        <v>45727</v>
      </c>
      <c r="X11068" s="18" t="s">
        <v>35</v>
      </c>
      <c r="Y11068" s="18" t="s">
        <v>17171</v>
      </c>
      <c r="Z11068" s="18" t="s">
        <v>24637</v>
      </c>
      <c r="AA11068" s="21" t="str">
        <f>HYPERLINK("https://www.ncbi.nlm.nih.gov/nuccore/CASDWV010003268","NCBI Nucleotide")</f>
        <v>NCBI Nucleotide</v>
      </c>
    </row>
    <row r="11069" spans="1:27" x14ac:dyDescent="0.35">
      <c r="A11069">
        <v>1026736</v>
      </c>
      <c r="B11069">
        <v>10394</v>
      </c>
      <c r="C11069">
        <v>1</v>
      </c>
      <c r="D11069" s="17" t="s">
        <v>17166</v>
      </c>
      <c r="E11069" s="17"/>
      <c r="F11069" s="17" t="s">
        <v>17246</v>
      </c>
      <c r="G11069" s="17"/>
      <c r="H11069" s="17" t="s">
        <v>20919</v>
      </c>
      <c r="I11069" s="17"/>
      <c r="J11069" s="17" t="s">
        <v>21313</v>
      </c>
      <c r="K11069" s="17"/>
      <c r="L11069" s="17" t="s">
        <v>22378</v>
      </c>
      <c r="M11069" s="17"/>
      <c r="N11069" s="17" t="s">
        <v>22459</v>
      </c>
      <c r="O11069" s="17"/>
      <c r="P11069" s="17" t="s">
        <v>22938</v>
      </c>
      <c r="Q11069" s="17"/>
      <c r="R11069" s="25" t="str">
        <f>HYPERLINK("https://ictv.global/taxonomy/taxondetails?taxnode_id=202317469","Huhbevirus neochthonovicinum")</f>
        <v>Huhbevirus neochthonovicinum</v>
      </c>
      <c r="S11069" s="18" t="s">
        <v>30</v>
      </c>
      <c r="T11069" s="18" t="s">
        <v>45728</v>
      </c>
      <c r="U11069" s="18"/>
      <c r="V11069" s="18"/>
      <c r="W11069" s="18" t="s">
        <v>45729</v>
      </c>
      <c r="X11069" s="18" t="s">
        <v>35</v>
      </c>
      <c r="Y11069" s="18" t="s">
        <v>17171</v>
      </c>
      <c r="Z11069" s="18" t="s">
        <v>24637</v>
      </c>
      <c r="AA11069" s="21" t="str">
        <f>HYPERLINK("https://www.ncbi.nlm.nih.gov/nuccore/CASDWV010003449","NCBI Nucleotide")</f>
        <v>NCBI Nucleotide</v>
      </c>
    </row>
    <row r="11070" spans="1:27" x14ac:dyDescent="0.35">
      <c r="A11070">
        <v>1026737</v>
      </c>
      <c r="B11070">
        <v>10395</v>
      </c>
      <c r="C11070">
        <v>1</v>
      </c>
      <c r="D11070" s="17" t="s">
        <v>17166</v>
      </c>
      <c r="E11070" s="17"/>
      <c r="F11070" s="17" t="s">
        <v>17246</v>
      </c>
      <c r="G11070" s="17"/>
      <c r="H11070" s="17" t="s">
        <v>20919</v>
      </c>
      <c r="I11070" s="17"/>
      <c r="J11070" s="17" t="s">
        <v>21313</v>
      </c>
      <c r="K11070" s="17"/>
      <c r="L11070" s="17" t="s">
        <v>22378</v>
      </c>
      <c r="M11070" s="17"/>
      <c r="N11070" s="17" t="s">
        <v>22459</v>
      </c>
      <c r="O11070" s="17"/>
      <c r="P11070" s="17" t="s">
        <v>22938</v>
      </c>
      <c r="Q11070" s="17"/>
      <c r="R11070" s="25" t="str">
        <f>HYPERLINK("https://ictv.global/taxonomy/taxondetails?taxnode_id=202317470","Huhbevirus neogeoadaptatum")</f>
        <v>Huhbevirus neogeoadaptatum</v>
      </c>
      <c r="S11070" s="18" t="s">
        <v>30</v>
      </c>
      <c r="T11070" s="18" t="s">
        <v>45730</v>
      </c>
      <c r="U11070" s="18"/>
      <c r="V11070" s="18"/>
      <c r="W11070" s="18" t="s">
        <v>45731</v>
      </c>
      <c r="X11070" s="18" t="s">
        <v>35</v>
      </c>
      <c r="Y11070" s="18" t="s">
        <v>17171</v>
      </c>
      <c r="Z11070" s="18" t="s">
        <v>24637</v>
      </c>
      <c r="AA11070" s="21" t="str">
        <f>HYPERLINK("https://www.ncbi.nlm.nih.gov/nuccore/CASDWV010004363","NCBI Nucleotide")</f>
        <v>NCBI Nucleotide</v>
      </c>
    </row>
    <row r="11071" spans="1:27" x14ac:dyDescent="0.35">
      <c r="A11071">
        <v>1026738</v>
      </c>
      <c r="B11071">
        <v>10396</v>
      </c>
      <c r="C11071">
        <v>1</v>
      </c>
      <c r="D11071" s="17" t="s">
        <v>17166</v>
      </c>
      <c r="E11071" s="17"/>
      <c r="F11071" s="17" t="s">
        <v>17246</v>
      </c>
      <c r="G11071" s="17"/>
      <c r="H11071" s="17" t="s">
        <v>20919</v>
      </c>
      <c r="I11071" s="17"/>
      <c r="J11071" s="17" t="s">
        <v>21313</v>
      </c>
      <c r="K11071" s="17"/>
      <c r="L11071" s="17" t="s">
        <v>22378</v>
      </c>
      <c r="M11071" s="17"/>
      <c r="N11071" s="17" t="s">
        <v>22459</v>
      </c>
      <c r="O11071" s="17"/>
      <c r="P11071" s="17" t="s">
        <v>22938</v>
      </c>
      <c r="Q11071" s="17"/>
      <c r="R11071" s="25" t="str">
        <f>HYPERLINK("https://ictv.global/taxonomy/taxondetails?taxnode_id=202317471","Huhbevirus neosolivivens")</f>
        <v>Huhbevirus neosolivivens</v>
      </c>
      <c r="S11071" s="18" t="s">
        <v>30</v>
      </c>
      <c r="T11071" s="18" t="s">
        <v>45732</v>
      </c>
      <c r="U11071" s="18"/>
      <c r="V11071" s="18"/>
      <c r="W11071" s="18" t="s">
        <v>45733</v>
      </c>
      <c r="X11071" s="18" t="s">
        <v>35</v>
      </c>
      <c r="Y11071" s="18" t="s">
        <v>17171</v>
      </c>
      <c r="Z11071" s="18" t="s">
        <v>24637</v>
      </c>
      <c r="AA11071" s="21" t="str">
        <f>HYPERLINK("https://www.ncbi.nlm.nih.gov/nuccore/CASDWV010000415","NCBI Nucleotide")</f>
        <v>NCBI Nucleotide</v>
      </c>
    </row>
    <row r="11072" spans="1:27" x14ac:dyDescent="0.35">
      <c r="A11072">
        <v>1026739</v>
      </c>
      <c r="B11072">
        <v>10397</v>
      </c>
      <c r="C11072">
        <v>1</v>
      </c>
      <c r="D11072" s="17" t="s">
        <v>17166</v>
      </c>
      <c r="E11072" s="17"/>
      <c r="F11072" s="17" t="s">
        <v>17246</v>
      </c>
      <c r="G11072" s="17"/>
      <c r="H11072" s="17" t="s">
        <v>20919</v>
      </c>
      <c r="I11072" s="17"/>
      <c r="J11072" s="17" t="s">
        <v>21313</v>
      </c>
      <c r="K11072" s="17"/>
      <c r="L11072" s="17" t="s">
        <v>22378</v>
      </c>
      <c r="M11072" s="17"/>
      <c r="N11072" s="17" t="s">
        <v>22459</v>
      </c>
      <c r="O11072" s="17"/>
      <c r="P11072" s="17" t="s">
        <v>22938</v>
      </c>
      <c r="Q11072" s="17"/>
      <c r="R11072" s="25" t="str">
        <f>HYPERLINK("https://ictv.global/taxonomy/taxondetails?taxnode_id=202317472","Huhbevirus pelenecus")</f>
        <v>Huhbevirus pelenecus</v>
      </c>
      <c r="S11072" s="18" t="s">
        <v>30</v>
      </c>
      <c r="T11072" s="18" t="s">
        <v>45734</v>
      </c>
      <c r="U11072" s="18"/>
      <c r="V11072" s="18"/>
      <c r="W11072" s="18" t="s">
        <v>45735</v>
      </c>
      <c r="X11072" s="18" t="s">
        <v>35</v>
      </c>
      <c r="Y11072" s="18" t="s">
        <v>17171</v>
      </c>
      <c r="Z11072" s="18" t="s">
        <v>24637</v>
      </c>
      <c r="AA11072" s="21" t="str">
        <f>HYPERLINK("https://www.ncbi.nlm.nih.gov/nuccore/CASDWV010004959","NCBI Nucleotide")</f>
        <v>NCBI Nucleotide</v>
      </c>
    </row>
    <row r="11073" spans="1:27" x14ac:dyDescent="0.35">
      <c r="A11073">
        <v>1026740</v>
      </c>
      <c r="B11073">
        <v>10398</v>
      </c>
      <c r="C11073">
        <v>1</v>
      </c>
      <c r="D11073" s="17" t="s">
        <v>17166</v>
      </c>
      <c r="E11073" s="17"/>
      <c r="F11073" s="17" t="s">
        <v>17246</v>
      </c>
      <c r="G11073" s="17"/>
      <c r="H11073" s="17" t="s">
        <v>20919</v>
      </c>
      <c r="I11073" s="17"/>
      <c r="J11073" s="17" t="s">
        <v>21313</v>
      </c>
      <c r="K11073" s="17"/>
      <c r="L11073" s="17" t="s">
        <v>22378</v>
      </c>
      <c r="M11073" s="17"/>
      <c r="N11073" s="17" t="s">
        <v>22459</v>
      </c>
      <c r="O11073" s="17"/>
      <c r="P11073" s="17" t="s">
        <v>22938</v>
      </c>
      <c r="Q11073" s="17"/>
      <c r="R11073" s="25" t="str">
        <f>HYPERLINK("https://ictv.global/taxonomy/taxondetails?taxnode_id=202317473","Huhbevirus radicicola")</f>
        <v>Huhbevirus radicicola</v>
      </c>
      <c r="S11073" s="18" t="s">
        <v>30</v>
      </c>
      <c r="T11073" s="18" t="s">
        <v>45736</v>
      </c>
      <c r="U11073" s="18"/>
      <c r="V11073" s="18"/>
      <c r="W11073" s="18" t="s">
        <v>45737</v>
      </c>
      <c r="X11073" s="18" t="s">
        <v>35</v>
      </c>
      <c r="Y11073" s="18" t="s">
        <v>17171</v>
      </c>
      <c r="Z11073" s="18" t="s">
        <v>24637</v>
      </c>
      <c r="AA11073" s="21" t="str">
        <f>HYPERLINK("https://www.ncbi.nlm.nih.gov/nuccore/CASDWV010001079","NCBI Nucleotide")</f>
        <v>NCBI Nucleotide</v>
      </c>
    </row>
    <row r="11074" spans="1:27" x14ac:dyDescent="0.35">
      <c r="A11074">
        <v>1026741</v>
      </c>
      <c r="B11074">
        <v>10399</v>
      </c>
      <c r="C11074">
        <v>1</v>
      </c>
      <c r="D11074" s="17" t="s">
        <v>17166</v>
      </c>
      <c r="E11074" s="17"/>
      <c r="F11074" s="17" t="s">
        <v>17246</v>
      </c>
      <c r="G11074" s="17"/>
      <c r="H11074" s="17" t="s">
        <v>20919</v>
      </c>
      <c r="I11074" s="17"/>
      <c r="J11074" s="17" t="s">
        <v>21313</v>
      </c>
      <c r="K11074" s="17"/>
      <c r="L11074" s="17" t="s">
        <v>22378</v>
      </c>
      <c r="M11074" s="17"/>
      <c r="N11074" s="17" t="s">
        <v>22459</v>
      </c>
      <c r="O11074" s="17"/>
      <c r="P11074" s="17" t="s">
        <v>22938</v>
      </c>
      <c r="Q11074" s="17"/>
      <c r="R11074" s="25" t="str">
        <f>HYPERLINK("https://ictv.global/taxonomy/taxondetails?taxnode_id=202317474","Huhbevirus radicivivens")</f>
        <v>Huhbevirus radicivivens</v>
      </c>
      <c r="S11074" s="18" t="s">
        <v>30</v>
      </c>
      <c r="T11074" s="18" t="s">
        <v>45738</v>
      </c>
      <c r="U11074" s="18"/>
      <c r="V11074" s="18"/>
      <c r="W11074" s="18" t="s">
        <v>45739</v>
      </c>
      <c r="X11074" s="18" t="s">
        <v>35</v>
      </c>
      <c r="Y11074" s="18" t="s">
        <v>17171</v>
      </c>
      <c r="Z11074" s="18" t="s">
        <v>24637</v>
      </c>
      <c r="AA11074" s="21" t="str">
        <f>HYPERLINK("https://www.ncbi.nlm.nih.gov/nuccore/CASDWV010000705","NCBI Nucleotide")</f>
        <v>NCBI Nucleotide</v>
      </c>
    </row>
    <row r="11075" spans="1:27" x14ac:dyDescent="0.35">
      <c r="A11075">
        <v>1026742</v>
      </c>
      <c r="B11075">
        <v>10400</v>
      </c>
      <c r="C11075">
        <v>1</v>
      </c>
      <c r="D11075" s="17" t="s">
        <v>17166</v>
      </c>
      <c r="E11075" s="17"/>
      <c r="F11075" s="17" t="s">
        <v>17246</v>
      </c>
      <c r="G11075" s="17"/>
      <c r="H11075" s="17" t="s">
        <v>20919</v>
      </c>
      <c r="I11075" s="17"/>
      <c r="J11075" s="17" t="s">
        <v>21313</v>
      </c>
      <c r="K11075" s="17"/>
      <c r="L11075" s="17" t="s">
        <v>22378</v>
      </c>
      <c r="M11075" s="17"/>
      <c r="N11075" s="17" t="s">
        <v>22459</v>
      </c>
      <c r="O11075" s="17"/>
      <c r="P11075" s="17" t="s">
        <v>22938</v>
      </c>
      <c r="Q11075" s="17"/>
      <c r="R11075" s="25" t="str">
        <f>HYPERLINK("https://ictv.global/taxonomy/taxondetails?taxnode_id=202317475","Huhbevirus segetadaptatum")</f>
        <v>Huhbevirus segetadaptatum</v>
      </c>
      <c r="S11075" s="18" t="s">
        <v>30</v>
      </c>
      <c r="T11075" s="18" t="s">
        <v>45740</v>
      </c>
      <c r="U11075" s="18"/>
      <c r="V11075" s="18"/>
      <c r="W11075" s="18" t="s">
        <v>45741</v>
      </c>
      <c r="X11075" s="18" t="s">
        <v>35</v>
      </c>
      <c r="Y11075" s="18" t="s">
        <v>17171</v>
      </c>
      <c r="Z11075" s="18" t="s">
        <v>24637</v>
      </c>
      <c r="AA11075" s="21" t="str">
        <f>HYPERLINK("https://www.ncbi.nlm.nih.gov/nuccore/CASDWV010004745","NCBI Nucleotide")</f>
        <v>NCBI Nucleotide</v>
      </c>
    </row>
    <row r="11076" spans="1:27" x14ac:dyDescent="0.35">
      <c r="A11076">
        <v>1026743</v>
      </c>
      <c r="B11076">
        <v>10401</v>
      </c>
      <c r="C11076">
        <v>1</v>
      </c>
      <c r="D11076" s="17" t="s">
        <v>17166</v>
      </c>
      <c r="E11076" s="17"/>
      <c r="F11076" s="17" t="s">
        <v>17246</v>
      </c>
      <c r="G11076" s="17"/>
      <c r="H11076" s="17" t="s">
        <v>20919</v>
      </c>
      <c r="I11076" s="17"/>
      <c r="J11076" s="17" t="s">
        <v>21313</v>
      </c>
      <c r="K11076" s="17"/>
      <c r="L11076" s="17" t="s">
        <v>22378</v>
      </c>
      <c r="M11076" s="17"/>
      <c r="N11076" s="17" t="s">
        <v>22459</v>
      </c>
      <c r="O11076" s="17"/>
      <c r="P11076" s="17" t="s">
        <v>22938</v>
      </c>
      <c r="Q11076" s="17"/>
      <c r="R11076" s="25" t="str">
        <f>HYPERLINK("https://ictv.global/taxonomy/taxondetails?taxnode_id=202317476","Huhbevirus segeticola")</f>
        <v>Huhbevirus segeticola</v>
      </c>
      <c r="S11076" s="18" t="s">
        <v>30</v>
      </c>
      <c r="T11076" s="18" t="s">
        <v>45742</v>
      </c>
      <c r="U11076" s="18"/>
      <c r="V11076" s="18"/>
      <c r="W11076" s="18" t="s">
        <v>45743</v>
      </c>
      <c r="X11076" s="18" t="s">
        <v>35</v>
      </c>
      <c r="Y11076" s="18" t="s">
        <v>17171</v>
      </c>
      <c r="Z11076" s="18" t="s">
        <v>24637</v>
      </c>
      <c r="AA11076" s="21" t="str">
        <f>HYPERLINK("https://www.ncbi.nlm.nih.gov/nuccore/CASDWV010003186","NCBI Nucleotide")</f>
        <v>NCBI Nucleotide</v>
      </c>
    </row>
    <row r="11077" spans="1:27" x14ac:dyDescent="0.35">
      <c r="A11077">
        <v>1026744</v>
      </c>
      <c r="B11077">
        <v>10402</v>
      </c>
      <c r="C11077">
        <v>1</v>
      </c>
      <c r="D11077" s="17" t="s">
        <v>17166</v>
      </c>
      <c r="E11077" s="17"/>
      <c r="F11077" s="17" t="s">
        <v>17246</v>
      </c>
      <c r="G11077" s="17"/>
      <c r="H11077" s="17" t="s">
        <v>20919</v>
      </c>
      <c r="I11077" s="17"/>
      <c r="J11077" s="17" t="s">
        <v>21313</v>
      </c>
      <c r="K11077" s="17"/>
      <c r="L11077" s="17" t="s">
        <v>22378</v>
      </c>
      <c r="M11077" s="17"/>
      <c r="N11077" s="17" t="s">
        <v>22459</v>
      </c>
      <c r="O11077" s="17"/>
      <c r="P11077" s="17" t="s">
        <v>22938</v>
      </c>
      <c r="Q11077" s="17"/>
      <c r="R11077" s="25" t="str">
        <f>HYPERLINK("https://ictv.global/taxonomy/taxondetails?taxnode_id=202317477","Huhbevirus segetivicinum")</f>
        <v>Huhbevirus segetivicinum</v>
      </c>
      <c r="S11077" s="18" t="s">
        <v>30</v>
      </c>
      <c r="T11077" s="18" t="s">
        <v>45744</v>
      </c>
      <c r="U11077" s="18"/>
      <c r="V11077" s="18"/>
      <c r="W11077" s="18" t="s">
        <v>45745</v>
      </c>
      <c r="X11077" s="18" t="s">
        <v>35</v>
      </c>
      <c r="Y11077" s="18" t="s">
        <v>17171</v>
      </c>
      <c r="Z11077" s="18" t="s">
        <v>24637</v>
      </c>
      <c r="AA11077" s="21" t="str">
        <f>HYPERLINK("https://www.ncbi.nlm.nih.gov/nuccore/CASDWV010003101","NCBI Nucleotide")</f>
        <v>NCBI Nucleotide</v>
      </c>
    </row>
    <row r="11078" spans="1:27" x14ac:dyDescent="0.35">
      <c r="A11078">
        <v>1026745</v>
      </c>
      <c r="B11078">
        <v>10403</v>
      </c>
      <c r="C11078">
        <v>1</v>
      </c>
      <c r="D11078" s="17" t="s">
        <v>17166</v>
      </c>
      <c r="E11078" s="17"/>
      <c r="F11078" s="17" t="s">
        <v>17246</v>
      </c>
      <c r="G11078" s="17"/>
      <c r="H11078" s="17" t="s">
        <v>20919</v>
      </c>
      <c r="I11078" s="17"/>
      <c r="J11078" s="17" t="s">
        <v>21313</v>
      </c>
      <c r="K11078" s="17"/>
      <c r="L11078" s="17" t="s">
        <v>22378</v>
      </c>
      <c r="M11078" s="17"/>
      <c r="N11078" s="17" t="s">
        <v>22459</v>
      </c>
      <c r="O11078" s="17"/>
      <c r="P11078" s="17" t="s">
        <v>22938</v>
      </c>
      <c r="Q11078" s="17"/>
      <c r="R11078" s="25" t="str">
        <f>HYPERLINK("https://ictv.global/taxonomy/taxondetails?taxnode_id=202317478","Huhbevirus segetivivens")</f>
        <v>Huhbevirus segetivivens</v>
      </c>
      <c r="S11078" s="18" t="s">
        <v>30</v>
      </c>
      <c r="T11078" s="18" t="s">
        <v>45746</v>
      </c>
      <c r="U11078" s="18"/>
      <c r="V11078" s="18"/>
      <c r="W11078" s="18" t="s">
        <v>45747</v>
      </c>
      <c r="X11078" s="18" t="s">
        <v>35</v>
      </c>
      <c r="Y11078" s="18" t="s">
        <v>17171</v>
      </c>
      <c r="Z11078" s="18" t="s">
        <v>24637</v>
      </c>
      <c r="AA11078" s="21" t="str">
        <f>HYPERLINK("https://www.ncbi.nlm.nih.gov/nuccore/CASDWV010000992","NCBI Nucleotide")</f>
        <v>NCBI Nucleotide</v>
      </c>
    </row>
    <row r="11079" spans="1:27" x14ac:dyDescent="0.35">
      <c r="A11079">
        <v>1026746</v>
      </c>
      <c r="B11079">
        <v>10404</v>
      </c>
      <c r="C11079">
        <v>1</v>
      </c>
      <c r="D11079" s="17" t="s">
        <v>17166</v>
      </c>
      <c r="E11079" s="17"/>
      <c r="F11079" s="17" t="s">
        <v>17246</v>
      </c>
      <c r="G11079" s="17"/>
      <c r="H11079" s="17" t="s">
        <v>20919</v>
      </c>
      <c r="I11079" s="17"/>
      <c r="J11079" s="17" t="s">
        <v>21313</v>
      </c>
      <c r="K11079" s="17"/>
      <c r="L11079" s="17" t="s">
        <v>22378</v>
      </c>
      <c r="M11079" s="17"/>
      <c r="N11079" s="17" t="s">
        <v>22459</v>
      </c>
      <c r="O11079" s="17"/>
      <c r="P11079" s="17" t="s">
        <v>22938</v>
      </c>
      <c r="Q11079" s="17"/>
      <c r="R11079" s="25" t="str">
        <f>HYPERLINK("https://ictv.global/taxonomy/taxondetails?taxnode_id=202317479","Huhbevirus soladaptatum")</f>
        <v>Huhbevirus soladaptatum</v>
      </c>
      <c r="S11079" s="18" t="s">
        <v>30</v>
      </c>
      <c r="T11079" s="18" t="s">
        <v>45748</v>
      </c>
      <c r="U11079" s="18"/>
      <c r="V11079" s="18"/>
      <c r="W11079" s="18" t="s">
        <v>45749</v>
      </c>
      <c r="X11079" s="18" t="s">
        <v>35</v>
      </c>
      <c r="Y11079" s="18" t="s">
        <v>17171</v>
      </c>
      <c r="Z11079" s="18" t="s">
        <v>24637</v>
      </c>
      <c r="AA11079" s="21" t="str">
        <f>HYPERLINK("https://www.ncbi.nlm.nih.gov/nuccore/CASDWV010004794","NCBI Nucleotide")</f>
        <v>NCBI Nucleotide</v>
      </c>
    </row>
    <row r="11080" spans="1:27" x14ac:dyDescent="0.35">
      <c r="A11080">
        <v>1026747</v>
      </c>
      <c r="B11080">
        <v>10405</v>
      </c>
      <c r="C11080">
        <v>1</v>
      </c>
      <c r="D11080" s="17" t="s">
        <v>17166</v>
      </c>
      <c r="E11080" s="17"/>
      <c r="F11080" s="17" t="s">
        <v>17246</v>
      </c>
      <c r="G11080" s="17"/>
      <c r="H11080" s="17" t="s">
        <v>20919</v>
      </c>
      <c r="I11080" s="17"/>
      <c r="J11080" s="17" t="s">
        <v>21313</v>
      </c>
      <c r="K11080" s="17"/>
      <c r="L11080" s="17" t="s">
        <v>22378</v>
      </c>
      <c r="M11080" s="17"/>
      <c r="N11080" s="17" t="s">
        <v>22459</v>
      </c>
      <c r="O11080" s="17"/>
      <c r="P11080" s="17" t="s">
        <v>22938</v>
      </c>
      <c r="Q11080" s="17"/>
      <c r="R11080" s="25" t="str">
        <f>HYPERLINK("https://ictv.global/taxonomy/taxondetails?taxnode_id=202317480","Huhbevirus solenecus")</f>
        <v>Huhbevirus solenecus</v>
      </c>
      <c r="S11080" s="18" t="s">
        <v>30</v>
      </c>
      <c r="T11080" s="18" t="s">
        <v>45750</v>
      </c>
      <c r="U11080" s="18"/>
      <c r="V11080" s="18"/>
      <c r="W11080" s="18" t="s">
        <v>45751</v>
      </c>
      <c r="X11080" s="18" t="s">
        <v>35</v>
      </c>
      <c r="Y11080" s="18" t="s">
        <v>17171</v>
      </c>
      <c r="Z11080" s="18" t="s">
        <v>24637</v>
      </c>
      <c r="AA11080" s="21" t="str">
        <f>HYPERLINK("https://www.ncbi.nlm.nih.gov/nuccore/CASDWV010000516","NCBI Nucleotide")</f>
        <v>NCBI Nucleotide</v>
      </c>
    </row>
    <row r="11081" spans="1:27" x14ac:dyDescent="0.35">
      <c r="A11081">
        <v>1010058</v>
      </c>
      <c r="B11081">
        <v>10406</v>
      </c>
      <c r="C11081">
        <v>1</v>
      </c>
      <c r="D11081" s="17" t="s">
        <v>17166</v>
      </c>
      <c r="E11081" s="17"/>
      <c r="F11081" s="17" t="s">
        <v>17246</v>
      </c>
      <c r="G11081" s="17"/>
      <c r="H11081" s="17" t="s">
        <v>20919</v>
      </c>
      <c r="I11081" s="17"/>
      <c r="J11081" s="17" t="s">
        <v>21313</v>
      </c>
      <c r="K11081" s="17"/>
      <c r="L11081" s="17" t="s">
        <v>22378</v>
      </c>
      <c r="M11081" s="17"/>
      <c r="N11081" s="17" t="s">
        <v>22459</v>
      </c>
      <c r="O11081" s="17"/>
      <c r="P11081" s="17" t="s">
        <v>22938</v>
      </c>
      <c r="Q11081" s="17"/>
      <c r="R11081" s="25" t="str">
        <f>HYPERLINK("https://ictv.global/taxonomy/taxondetails?taxnode_id=202311264","Huhbevirus solivicinum")</f>
        <v>Huhbevirus solivicinum</v>
      </c>
      <c r="S11081" s="18" t="s">
        <v>30</v>
      </c>
      <c r="T11081" s="18" t="s">
        <v>22953</v>
      </c>
      <c r="U11081" s="18"/>
      <c r="V11081" s="18"/>
      <c r="W11081" s="18" t="s">
        <v>22954</v>
      </c>
      <c r="X11081" s="18" t="s">
        <v>35</v>
      </c>
      <c r="Y11081" s="18" t="s">
        <v>17171</v>
      </c>
      <c r="Z11081" s="18" t="s">
        <v>697</v>
      </c>
      <c r="AA11081" s="21" t="str">
        <f>HYPERLINK("https://www.ncbi.nlm.nih.gov/nuccore/BK013950","NCBI Nucleotide")</f>
        <v>NCBI Nucleotide</v>
      </c>
    </row>
    <row r="11082" spans="1:27" x14ac:dyDescent="0.35">
      <c r="A11082">
        <v>1010059</v>
      </c>
      <c r="B11082">
        <v>10407</v>
      </c>
      <c r="C11082">
        <v>1</v>
      </c>
      <c r="D11082" s="17" t="s">
        <v>17166</v>
      </c>
      <c r="E11082" s="17"/>
      <c r="F11082" s="17" t="s">
        <v>17246</v>
      </c>
      <c r="G11082" s="17"/>
      <c r="H11082" s="17" t="s">
        <v>20919</v>
      </c>
      <c r="I11082" s="17"/>
      <c r="J11082" s="17" t="s">
        <v>21313</v>
      </c>
      <c r="K11082" s="17"/>
      <c r="L11082" s="17" t="s">
        <v>22378</v>
      </c>
      <c r="M11082" s="17"/>
      <c r="N11082" s="17" t="s">
        <v>22459</v>
      </c>
      <c r="O11082" s="17"/>
      <c r="P11082" s="17" t="s">
        <v>22938</v>
      </c>
      <c r="Q11082" s="17"/>
      <c r="R11082" s="25" t="str">
        <f>HYPERLINK("https://ictv.global/taxonomy/taxondetails?taxnode_id=202311265","Huhbevirus solivivens")</f>
        <v>Huhbevirus solivivens</v>
      </c>
      <c r="S11082" s="18" t="s">
        <v>30</v>
      </c>
      <c r="T11082" s="18" t="s">
        <v>22955</v>
      </c>
      <c r="U11082" s="18"/>
      <c r="V11082" s="18"/>
      <c r="W11082" s="18" t="s">
        <v>22956</v>
      </c>
      <c r="X11082" s="18" t="s">
        <v>35</v>
      </c>
      <c r="Y11082" s="18" t="s">
        <v>17171</v>
      </c>
      <c r="Z11082" s="18" t="s">
        <v>697</v>
      </c>
      <c r="AA11082" s="21" t="str">
        <f>HYPERLINK("https://www.ncbi.nlm.nih.gov/nuccore/BK013426","NCBI Nucleotide")</f>
        <v>NCBI Nucleotide</v>
      </c>
    </row>
    <row r="11083" spans="1:27" x14ac:dyDescent="0.35">
      <c r="A11083">
        <v>1026748</v>
      </c>
      <c r="B11083">
        <v>10408</v>
      </c>
      <c r="C11083">
        <v>1</v>
      </c>
      <c r="D11083" s="17" t="s">
        <v>17166</v>
      </c>
      <c r="E11083" s="17"/>
      <c r="F11083" s="17" t="s">
        <v>17246</v>
      </c>
      <c r="G11083" s="17"/>
      <c r="H11083" s="17" t="s">
        <v>20919</v>
      </c>
      <c r="I11083" s="17"/>
      <c r="J11083" s="17" t="s">
        <v>21313</v>
      </c>
      <c r="K11083" s="17"/>
      <c r="L11083" s="17" t="s">
        <v>22378</v>
      </c>
      <c r="M11083" s="17"/>
      <c r="N11083" s="17" t="s">
        <v>22459</v>
      </c>
      <c r="O11083" s="17"/>
      <c r="P11083" s="17" t="s">
        <v>22938</v>
      </c>
      <c r="Q11083" s="17"/>
      <c r="R11083" s="25" t="str">
        <f>HYPERLINK("https://ictv.global/taxonomy/taxondetails?taxnode_id=202317481","Huhbevirus tellurivivens")</f>
        <v>Huhbevirus tellurivivens</v>
      </c>
      <c r="S11083" s="18" t="s">
        <v>30</v>
      </c>
      <c r="T11083" s="18" t="s">
        <v>45752</v>
      </c>
      <c r="U11083" s="18"/>
      <c r="V11083" s="18"/>
      <c r="W11083" s="18" t="s">
        <v>45753</v>
      </c>
      <c r="X11083" s="18" t="s">
        <v>35</v>
      </c>
      <c r="Y11083" s="18" t="s">
        <v>17171</v>
      </c>
      <c r="Z11083" s="18" t="s">
        <v>24637</v>
      </c>
      <c r="AA11083" s="21" t="str">
        <f>HYPERLINK("https://www.ncbi.nlm.nih.gov/nuccore/CASDWV010004377","NCBI Nucleotide")</f>
        <v>NCBI Nucleotide</v>
      </c>
    </row>
    <row r="11084" spans="1:27" x14ac:dyDescent="0.35">
      <c r="A11084">
        <v>1026749</v>
      </c>
      <c r="B11084">
        <v>10409</v>
      </c>
      <c r="C11084">
        <v>1</v>
      </c>
      <c r="D11084" s="17" t="s">
        <v>17166</v>
      </c>
      <c r="E11084" s="17"/>
      <c r="F11084" s="17" t="s">
        <v>17246</v>
      </c>
      <c r="G11084" s="17"/>
      <c r="H11084" s="17" t="s">
        <v>20919</v>
      </c>
      <c r="I11084" s="17"/>
      <c r="J11084" s="17" t="s">
        <v>21313</v>
      </c>
      <c r="K11084" s="17"/>
      <c r="L11084" s="17" t="s">
        <v>22378</v>
      </c>
      <c r="M11084" s="17"/>
      <c r="N11084" s="17" t="s">
        <v>22459</v>
      </c>
      <c r="O11084" s="17"/>
      <c r="P11084" s="17" t="s">
        <v>22938</v>
      </c>
      <c r="Q11084" s="17"/>
      <c r="R11084" s="25" t="str">
        <f>HYPERLINK("https://ictv.global/taxonomy/taxondetails?taxnode_id=202317482","Huhbevirus terrenecus")</f>
        <v>Huhbevirus terrenecus</v>
      </c>
      <c r="S11084" s="18" t="s">
        <v>30</v>
      </c>
      <c r="T11084" s="18" t="s">
        <v>45754</v>
      </c>
      <c r="U11084" s="18"/>
      <c r="V11084" s="18"/>
      <c r="W11084" s="18" t="s">
        <v>45755</v>
      </c>
      <c r="X11084" s="18" t="s">
        <v>35</v>
      </c>
      <c r="Y11084" s="18" t="s">
        <v>17171</v>
      </c>
      <c r="Z11084" s="18" t="s">
        <v>24637</v>
      </c>
      <c r="AA11084" s="21" t="str">
        <f>HYPERLINK("https://www.ncbi.nlm.nih.gov/nuccore/CASDWV010001933","NCBI Nucleotide")</f>
        <v>NCBI Nucleotide</v>
      </c>
    </row>
    <row r="11085" spans="1:27" x14ac:dyDescent="0.35">
      <c r="A11085">
        <v>1026750</v>
      </c>
      <c r="B11085">
        <v>10410</v>
      </c>
      <c r="C11085">
        <v>1</v>
      </c>
      <c r="D11085" s="17" t="s">
        <v>17166</v>
      </c>
      <c r="E11085" s="17"/>
      <c r="F11085" s="17" t="s">
        <v>17246</v>
      </c>
      <c r="G11085" s="17"/>
      <c r="H11085" s="17" t="s">
        <v>20919</v>
      </c>
      <c r="I11085" s="17"/>
      <c r="J11085" s="17" t="s">
        <v>21313</v>
      </c>
      <c r="K11085" s="17"/>
      <c r="L11085" s="17" t="s">
        <v>22378</v>
      </c>
      <c r="M11085" s="17"/>
      <c r="N11085" s="17" t="s">
        <v>22459</v>
      </c>
      <c r="O11085" s="17"/>
      <c r="P11085" s="17" t="s">
        <v>22938</v>
      </c>
      <c r="Q11085" s="17"/>
      <c r="R11085" s="25" t="str">
        <f>HYPERLINK("https://ictv.global/taxonomy/taxondetails?taxnode_id=202317483","Huhbevirus terrivicinum")</f>
        <v>Huhbevirus terrivicinum</v>
      </c>
      <c r="S11085" s="18" t="s">
        <v>30</v>
      </c>
      <c r="T11085" s="18" t="s">
        <v>45756</v>
      </c>
      <c r="U11085" s="18"/>
      <c r="V11085" s="18"/>
      <c r="W11085" s="18" t="s">
        <v>45757</v>
      </c>
      <c r="X11085" s="18" t="s">
        <v>35</v>
      </c>
      <c r="Y11085" s="18" t="s">
        <v>17171</v>
      </c>
      <c r="Z11085" s="18" t="s">
        <v>24637</v>
      </c>
      <c r="AA11085" s="21" t="str">
        <f>HYPERLINK("https://www.ncbi.nlm.nih.gov/nuccore/CASDWV010004655","NCBI Nucleotide")</f>
        <v>NCBI Nucleotide</v>
      </c>
    </row>
    <row r="11086" spans="1:27" x14ac:dyDescent="0.35">
      <c r="A11086">
        <v>1026751</v>
      </c>
      <c r="B11086">
        <v>10411</v>
      </c>
      <c r="C11086">
        <v>1</v>
      </c>
      <c r="D11086" s="17" t="s">
        <v>17166</v>
      </c>
      <c r="E11086" s="17"/>
      <c r="F11086" s="17" t="s">
        <v>17246</v>
      </c>
      <c r="G11086" s="17"/>
      <c r="H11086" s="17" t="s">
        <v>20919</v>
      </c>
      <c r="I11086" s="17"/>
      <c r="J11086" s="17" t="s">
        <v>21313</v>
      </c>
      <c r="K11086" s="17"/>
      <c r="L11086" s="17" t="s">
        <v>22378</v>
      </c>
      <c r="M11086" s="17"/>
      <c r="N11086" s="17" t="s">
        <v>22459</v>
      </c>
      <c r="O11086" s="17"/>
      <c r="P11086" s="17" t="s">
        <v>22938</v>
      </c>
      <c r="Q11086" s="17"/>
      <c r="R11086" s="25" t="str">
        <f>HYPERLINK("https://ictv.global/taxonomy/taxondetails?taxnode_id=202317484","Huhbevirus terrivivens")</f>
        <v>Huhbevirus terrivivens</v>
      </c>
      <c r="S11086" s="18" t="s">
        <v>30</v>
      </c>
      <c r="T11086" s="18" t="s">
        <v>45758</v>
      </c>
      <c r="U11086" s="18"/>
      <c r="V11086" s="18"/>
      <c r="W11086" s="18" t="s">
        <v>45759</v>
      </c>
      <c r="X11086" s="18" t="s">
        <v>35</v>
      </c>
      <c r="Y11086" s="18" t="s">
        <v>17171</v>
      </c>
      <c r="Z11086" s="18" t="s">
        <v>24637</v>
      </c>
      <c r="AA11086" s="21" t="str">
        <f>HYPERLINK("https://www.ncbi.nlm.nih.gov/nuccore/CASDWV010001431","NCBI Nucleotide")</f>
        <v>NCBI Nucleotide</v>
      </c>
    </row>
    <row r="11087" spans="1:27" x14ac:dyDescent="0.35">
      <c r="A11087">
        <v>1026682</v>
      </c>
      <c r="B11087">
        <v>10412</v>
      </c>
      <c r="C11087">
        <v>1</v>
      </c>
      <c r="D11087" s="17" t="s">
        <v>17166</v>
      </c>
      <c r="E11087" s="17"/>
      <c r="F11087" s="17" t="s">
        <v>17246</v>
      </c>
      <c r="G11087" s="17"/>
      <c r="H11087" s="17" t="s">
        <v>20919</v>
      </c>
      <c r="I11087" s="17"/>
      <c r="J11087" s="17" t="s">
        <v>21313</v>
      </c>
      <c r="K11087" s="17"/>
      <c r="L11087" s="17" t="s">
        <v>22378</v>
      </c>
      <c r="M11087" s="17"/>
      <c r="N11087" s="17" t="s">
        <v>22459</v>
      </c>
      <c r="O11087" s="17"/>
      <c r="P11087" s="17" t="s">
        <v>22957</v>
      </c>
      <c r="Q11087" s="17"/>
      <c r="R11087" s="25" t="str">
        <f>HYPERLINK("https://ictv.global/taxonomy/taxondetails?taxnode_id=202317485","Huohcivirus asiocola")</f>
        <v>Huohcivirus asiocola</v>
      </c>
      <c r="S11087" s="18" t="s">
        <v>30</v>
      </c>
      <c r="T11087" s="18" t="s">
        <v>45760</v>
      </c>
      <c r="U11087" s="18"/>
      <c r="V11087" s="18"/>
      <c r="W11087" s="18" t="s">
        <v>45761</v>
      </c>
      <c r="X11087" s="18" t="s">
        <v>35</v>
      </c>
      <c r="Y11087" s="18" t="s">
        <v>17171</v>
      </c>
      <c r="Z11087" s="18" t="s">
        <v>24637</v>
      </c>
      <c r="AA11087" s="21" t="str">
        <f>HYPERLINK("https://www.ncbi.nlm.nih.gov/nuccore/CASDWV010004273","NCBI Nucleotide")</f>
        <v>NCBI Nucleotide</v>
      </c>
    </row>
    <row r="11088" spans="1:27" x14ac:dyDescent="0.35">
      <c r="A11088">
        <v>1010060</v>
      </c>
      <c r="B11088">
        <v>10413</v>
      </c>
      <c r="C11088">
        <v>1</v>
      </c>
      <c r="D11088" s="17" t="s">
        <v>17166</v>
      </c>
      <c r="E11088" s="17"/>
      <c r="F11088" s="17" t="s">
        <v>17246</v>
      </c>
      <c r="G11088" s="17"/>
      <c r="H11088" s="17" t="s">
        <v>20919</v>
      </c>
      <c r="I11088" s="17"/>
      <c r="J11088" s="17" t="s">
        <v>21313</v>
      </c>
      <c r="K11088" s="17"/>
      <c r="L11088" s="17" t="s">
        <v>22378</v>
      </c>
      <c r="M11088" s="17"/>
      <c r="N11088" s="17" t="s">
        <v>22459</v>
      </c>
      <c r="O11088" s="17"/>
      <c r="P11088" s="17" t="s">
        <v>22957</v>
      </c>
      <c r="Q11088" s="17"/>
      <c r="R11088" s="25" t="str">
        <f>HYPERLINK("https://ictv.global/taxonomy/taxondetails?taxnode_id=202311273","Huohcivirus geoenecus")</f>
        <v>Huohcivirus geoenecus</v>
      </c>
      <c r="S11088" s="18" t="s">
        <v>30</v>
      </c>
      <c r="T11088" s="18" t="s">
        <v>22958</v>
      </c>
      <c r="U11088" s="18"/>
      <c r="V11088" s="18"/>
      <c r="W11088" s="18" t="s">
        <v>22959</v>
      </c>
      <c r="X11088" s="18" t="s">
        <v>35</v>
      </c>
      <c r="Y11088" s="18" t="s">
        <v>17171</v>
      </c>
      <c r="Z11088" s="18" t="s">
        <v>697</v>
      </c>
      <c r="AA11088" s="21" t="str">
        <f>HYPERLINK("https://www.ncbi.nlm.nih.gov/nuccore/BK013963","NCBI Nucleotide")</f>
        <v>NCBI Nucleotide</v>
      </c>
    </row>
    <row r="11089" spans="1:27" x14ac:dyDescent="0.35">
      <c r="A11089">
        <v>1026687</v>
      </c>
      <c r="B11089">
        <v>10414</v>
      </c>
      <c r="C11089">
        <v>1</v>
      </c>
      <c r="D11089" s="17" t="s">
        <v>17166</v>
      </c>
      <c r="E11089" s="17"/>
      <c r="F11089" s="17" t="s">
        <v>17246</v>
      </c>
      <c r="G11089" s="17"/>
      <c r="H11089" s="17" t="s">
        <v>20919</v>
      </c>
      <c r="I11089" s="17"/>
      <c r="J11089" s="17" t="s">
        <v>21313</v>
      </c>
      <c r="K11089" s="17"/>
      <c r="L11089" s="17" t="s">
        <v>22378</v>
      </c>
      <c r="M11089" s="17"/>
      <c r="N11089" s="17" t="s">
        <v>22459</v>
      </c>
      <c r="O11089" s="17"/>
      <c r="P11089" s="17" t="s">
        <v>22960</v>
      </c>
      <c r="Q11089" s="17"/>
      <c r="R11089" s="25" t="str">
        <f>HYPERLINK("https://ictv.global/taxonomy/taxondetails?taxnode_id=202317486","Huylevirus agrivivens")</f>
        <v>Huylevirus agrivivens</v>
      </c>
      <c r="S11089" s="18" t="s">
        <v>30</v>
      </c>
      <c r="T11089" s="18" t="s">
        <v>45762</v>
      </c>
      <c r="U11089" s="18"/>
      <c r="V11089" s="18"/>
      <c r="W11089" s="18" t="s">
        <v>45763</v>
      </c>
      <c r="X11089" s="18" t="s">
        <v>35</v>
      </c>
      <c r="Y11089" s="18" t="s">
        <v>17171</v>
      </c>
      <c r="Z11089" s="18" t="s">
        <v>24637</v>
      </c>
      <c r="AA11089" s="21" t="str">
        <f>HYPERLINK("https://www.ncbi.nlm.nih.gov/nuccore/CASDWV010002623","NCBI Nucleotide")</f>
        <v>NCBI Nucleotide</v>
      </c>
    </row>
    <row r="11090" spans="1:27" x14ac:dyDescent="0.35">
      <c r="A11090">
        <v>1026688</v>
      </c>
      <c r="B11090">
        <v>10415</v>
      </c>
      <c r="C11090">
        <v>1</v>
      </c>
      <c r="D11090" s="17" t="s">
        <v>17166</v>
      </c>
      <c r="E11090" s="17"/>
      <c r="F11090" s="17" t="s">
        <v>17246</v>
      </c>
      <c r="G11090" s="17"/>
      <c r="H11090" s="17" t="s">
        <v>20919</v>
      </c>
      <c r="I11090" s="17"/>
      <c r="J11090" s="17" t="s">
        <v>21313</v>
      </c>
      <c r="K11090" s="17"/>
      <c r="L11090" s="17" t="s">
        <v>22378</v>
      </c>
      <c r="M11090" s="17"/>
      <c r="N11090" s="17" t="s">
        <v>22459</v>
      </c>
      <c r="O11090" s="17"/>
      <c r="P11090" s="17" t="s">
        <v>22960</v>
      </c>
      <c r="Q11090" s="17"/>
      <c r="R11090" s="25" t="str">
        <f>HYPERLINK("https://ictv.global/taxonomy/taxondetails?taxnode_id=202317487","Huylevirus asiohabitans")</f>
        <v>Huylevirus asiohabitans</v>
      </c>
      <c r="S11090" s="18" t="s">
        <v>30</v>
      </c>
      <c r="T11090" s="18" t="s">
        <v>45764</v>
      </c>
      <c r="U11090" s="18"/>
      <c r="V11090" s="18"/>
      <c r="W11090" s="18" t="s">
        <v>45765</v>
      </c>
      <c r="X11090" s="18" t="s">
        <v>35</v>
      </c>
      <c r="Y11090" s="18" t="s">
        <v>17171</v>
      </c>
      <c r="Z11090" s="18" t="s">
        <v>24637</v>
      </c>
      <c r="AA11090" s="21" t="str">
        <f>HYPERLINK("https://www.ncbi.nlm.nih.gov/nuccore/CASDWV010004303","NCBI Nucleotide")</f>
        <v>NCBI Nucleotide</v>
      </c>
    </row>
    <row r="11091" spans="1:27" x14ac:dyDescent="0.35">
      <c r="A11091">
        <v>1026689</v>
      </c>
      <c r="B11091">
        <v>10416</v>
      </c>
      <c r="C11091">
        <v>1</v>
      </c>
      <c r="D11091" s="17" t="s">
        <v>17166</v>
      </c>
      <c r="E11091" s="17"/>
      <c r="F11091" s="17" t="s">
        <v>17246</v>
      </c>
      <c r="G11091" s="17"/>
      <c r="H11091" s="17" t="s">
        <v>20919</v>
      </c>
      <c r="I11091" s="17"/>
      <c r="J11091" s="17" t="s">
        <v>21313</v>
      </c>
      <c r="K11091" s="17"/>
      <c r="L11091" s="17" t="s">
        <v>22378</v>
      </c>
      <c r="M11091" s="17"/>
      <c r="N11091" s="17" t="s">
        <v>22459</v>
      </c>
      <c r="O11091" s="17"/>
      <c r="P11091" s="17" t="s">
        <v>22960</v>
      </c>
      <c r="Q11091" s="17"/>
      <c r="R11091" s="25" t="str">
        <f>HYPERLINK("https://ictv.global/taxonomy/taxondetails?taxnode_id=202317488","Huylevirus chthonohabitans")</f>
        <v>Huylevirus chthonohabitans</v>
      </c>
      <c r="S11091" s="18" t="s">
        <v>30</v>
      </c>
      <c r="T11091" s="18" t="s">
        <v>45766</v>
      </c>
      <c r="U11091" s="18"/>
      <c r="V11091" s="18"/>
      <c r="W11091" s="18" t="s">
        <v>45767</v>
      </c>
      <c r="X11091" s="18" t="s">
        <v>35</v>
      </c>
      <c r="Y11091" s="18" t="s">
        <v>17171</v>
      </c>
      <c r="Z11091" s="18" t="s">
        <v>24637</v>
      </c>
      <c r="AA11091" s="21" t="str">
        <f>HYPERLINK("https://www.ncbi.nlm.nih.gov/nuccore/CASDWV010000071","NCBI Nucleotide")</f>
        <v>NCBI Nucleotide</v>
      </c>
    </row>
    <row r="11092" spans="1:27" x14ac:dyDescent="0.35">
      <c r="A11092">
        <v>1010061</v>
      </c>
      <c r="B11092">
        <v>10417</v>
      </c>
      <c r="C11092">
        <v>1</v>
      </c>
      <c r="D11092" s="17" t="s">
        <v>17166</v>
      </c>
      <c r="E11092" s="17"/>
      <c r="F11092" s="17" t="s">
        <v>17246</v>
      </c>
      <c r="G11092" s="17"/>
      <c r="H11092" s="17" t="s">
        <v>20919</v>
      </c>
      <c r="I11092" s="17"/>
      <c r="J11092" s="17" t="s">
        <v>21313</v>
      </c>
      <c r="K11092" s="17"/>
      <c r="L11092" s="17" t="s">
        <v>22378</v>
      </c>
      <c r="M11092" s="17"/>
      <c r="N11092" s="17" t="s">
        <v>22459</v>
      </c>
      <c r="O11092" s="17"/>
      <c r="P11092" s="17" t="s">
        <v>22960</v>
      </c>
      <c r="Q11092" s="17"/>
      <c r="R11092" s="25" t="str">
        <f>HYPERLINK("https://ictv.global/taxonomy/taxondetails?taxnode_id=202311275","Huylevirus limihabitans")</f>
        <v>Huylevirus limihabitans</v>
      </c>
      <c r="S11092" s="18" t="s">
        <v>30</v>
      </c>
      <c r="T11092" s="18" t="s">
        <v>22961</v>
      </c>
      <c r="U11092" s="18"/>
      <c r="V11092" s="18"/>
      <c r="W11092" s="18" t="s">
        <v>22962</v>
      </c>
      <c r="X11092" s="18" t="s">
        <v>35</v>
      </c>
      <c r="Y11092" s="18" t="s">
        <v>17171</v>
      </c>
      <c r="Z11092" s="18" t="s">
        <v>697</v>
      </c>
      <c r="AA11092" s="21" t="str">
        <f>HYPERLINK("https://www.ncbi.nlm.nih.gov/nuccore/BK013659","NCBI Nucleotide")</f>
        <v>NCBI Nucleotide</v>
      </c>
    </row>
    <row r="11093" spans="1:27" x14ac:dyDescent="0.35">
      <c r="A11093">
        <v>1026690</v>
      </c>
      <c r="B11093">
        <v>10418</v>
      </c>
      <c r="C11093">
        <v>1</v>
      </c>
      <c r="D11093" s="17" t="s">
        <v>17166</v>
      </c>
      <c r="E11093" s="17"/>
      <c r="F11093" s="17" t="s">
        <v>17246</v>
      </c>
      <c r="G11093" s="17"/>
      <c r="H11093" s="17" t="s">
        <v>20919</v>
      </c>
      <c r="I11093" s="17"/>
      <c r="J11093" s="17" t="s">
        <v>21313</v>
      </c>
      <c r="K11093" s="17"/>
      <c r="L11093" s="17" t="s">
        <v>22378</v>
      </c>
      <c r="M11093" s="17"/>
      <c r="N11093" s="17" t="s">
        <v>22459</v>
      </c>
      <c r="O11093" s="17"/>
      <c r="P11093" s="17" t="s">
        <v>22960</v>
      </c>
      <c r="Q11093" s="17"/>
      <c r="R11093" s="25" t="str">
        <f>HYPERLINK("https://ictv.global/taxonomy/taxondetails?taxnode_id=202317489","Huylevirus lutadaptatum")</f>
        <v>Huylevirus lutadaptatum</v>
      </c>
      <c r="S11093" s="18" t="s">
        <v>30</v>
      </c>
      <c r="T11093" s="18" t="s">
        <v>45768</v>
      </c>
      <c r="U11093" s="18"/>
      <c r="V11093" s="18"/>
      <c r="W11093" s="18" t="s">
        <v>45769</v>
      </c>
      <c r="X11093" s="18" t="s">
        <v>35</v>
      </c>
      <c r="Y11093" s="18" t="s">
        <v>17171</v>
      </c>
      <c r="Z11093" s="18" t="s">
        <v>24637</v>
      </c>
      <c r="AA11093" s="21" t="str">
        <f>HYPERLINK("https://www.ncbi.nlm.nih.gov/nuccore/CASDWV010001714","NCBI Nucleotide")</f>
        <v>NCBI Nucleotide</v>
      </c>
    </row>
    <row r="11094" spans="1:27" x14ac:dyDescent="0.35">
      <c r="A11094">
        <v>1010062</v>
      </c>
      <c r="B11094">
        <v>10419</v>
      </c>
      <c r="C11094">
        <v>1</v>
      </c>
      <c r="D11094" s="17" t="s">
        <v>17166</v>
      </c>
      <c r="E11094" s="17"/>
      <c r="F11094" s="17" t="s">
        <v>17246</v>
      </c>
      <c r="G11094" s="17"/>
      <c r="H11094" s="17" t="s">
        <v>20919</v>
      </c>
      <c r="I11094" s="17"/>
      <c r="J11094" s="17" t="s">
        <v>21313</v>
      </c>
      <c r="K11094" s="17"/>
      <c r="L11094" s="17" t="s">
        <v>22378</v>
      </c>
      <c r="M11094" s="17"/>
      <c r="N11094" s="17" t="s">
        <v>22459</v>
      </c>
      <c r="O11094" s="17"/>
      <c r="P11094" s="17" t="s">
        <v>22963</v>
      </c>
      <c r="Q11094" s="17"/>
      <c r="R11094" s="25" t="str">
        <f>HYPERLINK("https://ictv.global/taxonomy/taxondetails?taxnode_id=202311277","Hyjrovirus geohabitans")</f>
        <v>Hyjrovirus geohabitans</v>
      </c>
      <c r="S11094" s="18" t="s">
        <v>30</v>
      </c>
      <c r="T11094" s="18" t="s">
        <v>22964</v>
      </c>
      <c r="U11094" s="18"/>
      <c r="V11094" s="18"/>
      <c r="W11094" s="18" t="s">
        <v>22965</v>
      </c>
      <c r="X11094" s="18" t="s">
        <v>35</v>
      </c>
      <c r="Y11094" s="18" t="s">
        <v>17171</v>
      </c>
      <c r="Z11094" s="18" t="s">
        <v>697</v>
      </c>
      <c r="AA11094" s="21" t="str">
        <f>HYPERLINK("https://www.ncbi.nlm.nih.gov/nuccore/BK013897","NCBI Nucleotide")</f>
        <v>NCBI Nucleotide</v>
      </c>
    </row>
    <row r="11095" spans="1:27" x14ac:dyDescent="0.35">
      <c r="A11095">
        <v>1026691</v>
      </c>
      <c r="B11095">
        <v>10420</v>
      </c>
      <c r="C11095">
        <v>1</v>
      </c>
      <c r="D11095" s="17" t="s">
        <v>17166</v>
      </c>
      <c r="E11095" s="17"/>
      <c r="F11095" s="17" t="s">
        <v>17246</v>
      </c>
      <c r="G11095" s="17"/>
      <c r="H11095" s="17" t="s">
        <v>20919</v>
      </c>
      <c r="I11095" s="17"/>
      <c r="J11095" s="17" t="s">
        <v>21313</v>
      </c>
      <c r="K11095" s="17"/>
      <c r="L11095" s="17" t="s">
        <v>22378</v>
      </c>
      <c r="M11095" s="17"/>
      <c r="N11095" s="17" t="s">
        <v>22459</v>
      </c>
      <c r="O11095" s="17"/>
      <c r="P11095" s="17" t="s">
        <v>22963</v>
      </c>
      <c r="Q11095" s="17"/>
      <c r="R11095" s="25" t="str">
        <f>HYPERLINK("https://ictv.global/taxonomy/taxondetails?taxnode_id=202317490","Hyjrovirus tellurivivens")</f>
        <v>Hyjrovirus tellurivivens</v>
      </c>
      <c r="S11095" s="18" t="s">
        <v>30</v>
      </c>
      <c r="T11095" s="18" t="s">
        <v>45770</v>
      </c>
      <c r="U11095" s="18"/>
      <c r="V11095" s="18"/>
      <c r="W11095" s="18" t="s">
        <v>45771</v>
      </c>
      <c r="X11095" s="18" t="s">
        <v>35</v>
      </c>
      <c r="Y11095" s="18" t="s">
        <v>17171</v>
      </c>
      <c r="Z11095" s="18" t="s">
        <v>24637</v>
      </c>
      <c r="AA11095" s="21" t="str">
        <f>HYPERLINK("https://www.ncbi.nlm.nih.gov/nuccore/CASDWV010001097","NCBI Nucleotide")</f>
        <v>NCBI Nucleotide</v>
      </c>
    </row>
    <row r="11096" spans="1:27" x14ac:dyDescent="0.35">
      <c r="A11096">
        <v>1010064</v>
      </c>
      <c r="B11096">
        <v>10421</v>
      </c>
      <c r="C11096">
        <v>1</v>
      </c>
      <c r="D11096" s="17" t="s">
        <v>17166</v>
      </c>
      <c r="E11096" s="17"/>
      <c r="F11096" s="17" t="s">
        <v>17246</v>
      </c>
      <c r="G11096" s="17"/>
      <c r="H11096" s="17" t="s">
        <v>20919</v>
      </c>
      <c r="I11096" s="17"/>
      <c r="J11096" s="17" t="s">
        <v>21313</v>
      </c>
      <c r="K11096" s="17"/>
      <c r="L11096" s="17" t="s">
        <v>22378</v>
      </c>
      <c r="M11096" s="17"/>
      <c r="N11096" s="17" t="s">
        <v>22459</v>
      </c>
      <c r="O11096" s="17"/>
      <c r="P11096" s="17" t="s">
        <v>22968</v>
      </c>
      <c r="Q11096" s="17"/>
      <c r="R11096" s="25" t="str">
        <f>HYPERLINK("https://ictv.global/taxonomy/taxondetails?taxnode_id=202311281","Iwahcevirus pelovicinum")</f>
        <v>Iwahcevirus pelovicinum</v>
      </c>
      <c r="S11096" s="18" t="s">
        <v>30</v>
      </c>
      <c r="T11096" s="18" t="s">
        <v>22969</v>
      </c>
      <c r="U11096" s="18"/>
      <c r="V11096" s="18"/>
      <c r="W11096" s="18" t="s">
        <v>22970</v>
      </c>
      <c r="X11096" s="18" t="s">
        <v>35</v>
      </c>
      <c r="Y11096" s="18" t="s">
        <v>17171</v>
      </c>
      <c r="Z11096" s="18" t="s">
        <v>697</v>
      </c>
      <c r="AA11096" s="21" t="str">
        <f>HYPERLINK("https://www.ncbi.nlm.nih.gov/nuccore/BK013601","NCBI Nucleotide")</f>
        <v>NCBI Nucleotide</v>
      </c>
    </row>
    <row r="11097" spans="1:27" x14ac:dyDescent="0.35">
      <c r="A11097">
        <v>1026825</v>
      </c>
      <c r="B11097">
        <v>10422</v>
      </c>
      <c r="C11097">
        <v>1</v>
      </c>
      <c r="D11097" s="17" t="s">
        <v>17166</v>
      </c>
      <c r="E11097" s="17"/>
      <c r="F11097" s="17" t="s">
        <v>17246</v>
      </c>
      <c r="G11097" s="17"/>
      <c r="H11097" s="17" t="s">
        <v>20919</v>
      </c>
      <c r="I11097" s="17"/>
      <c r="J11097" s="17" t="s">
        <v>21313</v>
      </c>
      <c r="K11097" s="17"/>
      <c r="L11097" s="17" t="s">
        <v>22378</v>
      </c>
      <c r="M11097" s="17"/>
      <c r="N11097" s="17" t="s">
        <v>22459</v>
      </c>
      <c r="O11097" s="17"/>
      <c r="P11097" s="17" t="s">
        <v>22975</v>
      </c>
      <c r="Q11097" s="17"/>
      <c r="R11097" s="25" t="str">
        <f>HYPERLINK("https://ictv.global/taxonomy/taxondetails?taxnode_id=202317491","Kecuhnavirus asiadaptatum")</f>
        <v>Kecuhnavirus asiadaptatum</v>
      </c>
      <c r="S11097" s="18" t="s">
        <v>30</v>
      </c>
      <c r="T11097" s="18" t="s">
        <v>45772</v>
      </c>
      <c r="U11097" s="18"/>
      <c r="V11097" s="18"/>
      <c r="W11097" s="18" t="s">
        <v>45773</v>
      </c>
      <c r="X11097" s="18" t="s">
        <v>35</v>
      </c>
      <c r="Y11097" s="18" t="s">
        <v>17171</v>
      </c>
      <c r="Z11097" s="18" t="s">
        <v>24637</v>
      </c>
      <c r="AA11097" s="21" t="str">
        <f>HYPERLINK("https://www.ncbi.nlm.nih.gov/nuccore/CASDWV010001570","NCBI Nucleotide")</f>
        <v>NCBI Nucleotide</v>
      </c>
    </row>
    <row r="11098" spans="1:27" x14ac:dyDescent="0.35">
      <c r="A11098">
        <v>1010067</v>
      </c>
      <c r="B11098">
        <v>10423</v>
      </c>
      <c r="C11098">
        <v>1</v>
      </c>
      <c r="D11098" s="17" t="s">
        <v>17166</v>
      </c>
      <c r="E11098" s="17"/>
      <c r="F11098" s="17" t="s">
        <v>17246</v>
      </c>
      <c r="G11098" s="17"/>
      <c r="H11098" s="17" t="s">
        <v>20919</v>
      </c>
      <c r="I11098" s="17"/>
      <c r="J11098" s="17" t="s">
        <v>21313</v>
      </c>
      <c r="K11098" s="17"/>
      <c r="L11098" s="17" t="s">
        <v>22378</v>
      </c>
      <c r="M11098" s="17"/>
      <c r="N11098" s="17" t="s">
        <v>22459</v>
      </c>
      <c r="O11098" s="17"/>
      <c r="P11098" s="17" t="s">
        <v>22975</v>
      </c>
      <c r="Q11098" s="17"/>
      <c r="R11098" s="25" t="str">
        <f>HYPERLINK("https://ictv.global/taxonomy/taxondetails?taxnode_id=202311287","Kecuhnavirus borborohabitans")</f>
        <v>Kecuhnavirus borborohabitans</v>
      </c>
      <c r="S11098" s="18" t="s">
        <v>30</v>
      </c>
      <c r="T11098" s="18" t="s">
        <v>22976</v>
      </c>
      <c r="U11098" s="18"/>
      <c r="V11098" s="18"/>
      <c r="W11098" s="18" t="s">
        <v>22977</v>
      </c>
      <c r="X11098" s="18" t="s">
        <v>35</v>
      </c>
      <c r="Y11098" s="18" t="s">
        <v>17171</v>
      </c>
      <c r="Z11098" s="18" t="s">
        <v>697</v>
      </c>
      <c r="AA11098" s="21" t="str">
        <f>HYPERLINK("https://www.ncbi.nlm.nih.gov/nuccore/BK014161","NCBI Nucleotide")</f>
        <v>NCBI Nucleotide</v>
      </c>
    </row>
    <row r="11099" spans="1:27" x14ac:dyDescent="0.35">
      <c r="A11099">
        <v>1010068</v>
      </c>
      <c r="B11099">
        <v>10424</v>
      </c>
      <c r="C11099">
        <v>1</v>
      </c>
      <c r="D11099" s="17" t="s">
        <v>17166</v>
      </c>
      <c r="E11099" s="17"/>
      <c r="F11099" s="17" t="s">
        <v>17246</v>
      </c>
      <c r="G11099" s="17"/>
      <c r="H11099" s="17" t="s">
        <v>20919</v>
      </c>
      <c r="I11099" s="17"/>
      <c r="J11099" s="17" t="s">
        <v>21313</v>
      </c>
      <c r="K11099" s="17"/>
      <c r="L11099" s="17" t="s">
        <v>22378</v>
      </c>
      <c r="M11099" s="17"/>
      <c r="N11099" s="17" t="s">
        <v>22459</v>
      </c>
      <c r="O11099" s="17"/>
      <c r="P11099" s="17" t="s">
        <v>22975</v>
      </c>
      <c r="Q11099" s="17"/>
      <c r="R11099" s="25" t="str">
        <f>HYPERLINK("https://ictv.global/taxonomy/taxondetails?taxnode_id=202311289","Kecuhnavirus borborovicinum")</f>
        <v>Kecuhnavirus borborovicinum</v>
      </c>
      <c r="S11099" s="18" t="s">
        <v>30</v>
      </c>
      <c r="T11099" s="18" t="s">
        <v>22978</v>
      </c>
      <c r="U11099" s="18"/>
      <c r="V11099" s="18"/>
      <c r="W11099" s="18" t="s">
        <v>22979</v>
      </c>
      <c r="X11099" s="18" t="s">
        <v>35</v>
      </c>
      <c r="Y11099" s="18" t="s">
        <v>17171</v>
      </c>
      <c r="Z11099" s="18" t="s">
        <v>697</v>
      </c>
      <c r="AA11099" s="21" t="str">
        <f>HYPERLINK("https://www.ncbi.nlm.nih.gov/nuccore/BK014216","NCBI Nucleotide")</f>
        <v>NCBI Nucleotide</v>
      </c>
    </row>
    <row r="11100" spans="1:27" x14ac:dyDescent="0.35">
      <c r="A11100">
        <v>1026826</v>
      </c>
      <c r="B11100">
        <v>10425</v>
      </c>
      <c r="C11100">
        <v>1</v>
      </c>
      <c r="D11100" s="17" t="s">
        <v>17166</v>
      </c>
      <c r="E11100" s="17"/>
      <c r="F11100" s="17" t="s">
        <v>17246</v>
      </c>
      <c r="G11100" s="17"/>
      <c r="H11100" s="17" t="s">
        <v>20919</v>
      </c>
      <c r="I11100" s="17"/>
      <c r="J11100" s="17" t="s">
        <v>21313</v>
      </c>
      <c r="K11100" s="17"/>
      <c r="L11100" s="17" t="s">
        <v>22378</v>
      </c>
      <c r="M11100" s="17"/>
      <c r="N11100" s="17" t="s">
        <v>22459</v>
      </c>
      <c r="O11100" s="17"/>
      <c r="P11100" s="17" t="s">
        <v>22975</v>
      </c>
      <c r="Q11100" s="17"/>
      <c r="R11100" s="25" t="str">
        <f>HYPERLINK("https://ictv.global/taxonomy/taxondetails?taxnode_id=202317492","Kecuhnavirus faecicola")</f>
        <v>Kecuhnavirus faecicola</v>
      </c>
      <c r="S11100" s="18" t="s">
        <v>30</v>
      </c>
      <c r="T11100" s="18" t="s">
        <v>45774</v>
      </c>
      <c r="U11100" s="18"/>
      <c r="V11100" s="18" t="s">
        <v>45774</v>
      </c>
      <c r="W11100" s="18" t="s">
        <v>45775</v>
      </c>
      <c r="X11100" s="18" t="s">
        <v>35</v>
      </c>
      <c r="Y11100" s="18" t="s">
        <v>17171</v>
      </c>
      <c r="Z11100" s="18" t="s">
        <v>17413</v>
      </c>
      <c r="AA11100" s="21" t="str">
        <f>HYPERLINK("https://www.ncbi.nlm.nih.gov/nuccore/MZ679621","NCBI Nucleotide")</f>
        <v>NCBI Nucleotide</v>
      </c>
    </row>
    <row r="11101" spans="1:27" x14ac:dyDescent="0.35">
      <c r="A11101">
        <v>1026827</v>
      </c>
      <c r="B11101">
        <v>10426</v>
      </c>
      <c r="C11101">
        <v>1</v>
      </c>
      <c r="D11101" s="17" t="s">
        <v>17166</v>
      </c>
      <c r="E11101" s="17"/>
      <c r="F11101" s="17" t="s">
        <v>17246</v>
      </c>
      <c r="G11101" s="17"/>
      <c r="H11101" s="17" t="s">
        <v>20919</v>
      </c>
      <c r="I11101" s="17"/>
      <c r="J11101" s="17" t="s">
        <v>21313</v>
      </c>
      <c r="K11101" s="17"/>
      <c r="L11101" s="17" t="s">
        <v>22378</v>
      </c>
      <c r="M11101" s="17"/>
      <c r="N11101" s="17" t="s">
        <v>22459</v>
      </c>
      <c r="O11101" s="17"/>
      <c r="P11101" s="17" t="s">
        <v>22975</v>
      </c>
      <c r="Q11101" s="17"/>
      <c r="R11101" s="25" t="str">
        <f>HYPERLINK("https://ictv.global/taxonomy/taxondetails?taxnode_id=202317493","Kecuhnavirus faecivicinum")</f>
        <v>Kecuhnavirus faecivicinum</v>
      </c>
      <c r="S11101" s="18" t="s">
        <v>30</v>
      </c>
      <c r="T11101" s="18" t="s">
        <v>45776</v>
      </c>
      <c r="U11101" s="18"/>
      <c r="V11101" s="18" t="s">
        <v>45776</v>
      </c>
      <c r="W11101" s="18" t="s">
        <v>45777</v>
      </c>
      <c r="X11101" s="18" t="s">
        <v>35</v>
      </c>
      <c r="Y11101" s="18" t="s">
        <v>17171</v>
      </c>
      <c r="Z11101" s="18" t="s">
        <v>24637</v>
      </c>
      <c r="AA11101" s="21" t="str">
        <f>HYPERLINK("https://www.ncbi.nlm.nih.gov/nuccore/MZ680340","NCBI Nucleotide")</f>
        <v>NCBI Nucleotide</v>
      </c>
    </row>
    <row r="11102" spans="1:27" x14ac:dyDescent="0.35">
      <c r="A11102">
        <v>1026828</v>
      </c>
      <c r="B11102">
        <v>10427</v>
      </c>
      <c r="C11102">
        <v>1</v>
      </c>
      <c r="D11102" s="17" t="s">
        <v>17166</v>
      </c>
      <c r="E11102" s="17"/>
      <c r="F11102" s="17" t="s">
        <v>17246</v>
      </c>
      <c r="G11102" s="17"/>
      <c r="H11102" s="17" t="s">
        <v>20919</v>
      </c>
      <c r="I11102" s="17"/>
      <c r="J11102" s="17" t="s">
        <v>21313</v>
      </c>
      <c r="K11102" s="17"/>
      <c r="L11102" s="17" t="s">
        <v>22378</v>
      </c>
      <c r="M11102" s="17"/>
      <c r="N11102" s="17" t="s">
        <v>22459</v>
      </c>
      <c r="O11102" s="17"/>
      <c r="P11102" s="17" t="s">
        <v>22975</v>
      </c>
      <c r="Q11102" s="17"/>
      <c r="R11102" s="25" t="str">
        <f>HYPERLINK("https://ictv.global/taxonomy/taxondetails?taxnode_id=202317494","Kecuhnavirus faecivivens")</f>
        <v>Kecuhnavirus faecivivens</v>
      </c>
      <c r="S11102" s="18" t="s">
        <v>30</v>
      </c>
      <c r="T11102" s="18" t="s">
        <v>45778</v>
      </c>
      <c r="U11102" s="18"/>
      <c r="V11102" s="18" t="s">
        <v>45778</v>
      </c>
      <c r="W11102" s="18" t="s">
        <v>45779</v>
      </c>
      <c r="X11102" s="18" t="s">
        <v>35</v>
      </c>
      <c r="Y11102" s="18" t="s">
        <v>17171</v>
      </c>
      <c r="Z11102" s="18" t="s">
        <v>24637</v>
      </c>
      <c r="AA11102" s="21" t="str">
        <f>HYPERLINK("https://www.ncbi.nlm.nih.gov/nuccore/MZ679724","NCBI Nucleotide")</f>
        <v>NCBI Nucleotide</v>
      </c>
    </row>
    <row r="11103" spans="1:27" x14ac:dyDescent="0.35">
      <c r="A11103">
        <v>1026829</v>
      </c>
      <c r="B11103">
        <v>10428</v>
      </c>
      <c r="C11103">
        <v>1</v>
      </c>
      <c r="D11103" s="17" t="s">
        <v>17166</v>
      </c>
      <c r="E11103" s="17"/>
      <c r="F11103" s="17" t="s">
        <v>17246</v>
      </c>
      <c r="G11103" s="17"/>
      <c r="H11103" s="17" t="s">
        <v>20919</v>
      </c>
      <c r="I11103" s="17"/>
      <c r="J11103" s="17" t="s">
        <v>21313</v>
      </c>
      <c r="K11103" s="17"/>
      <c r="L11103" s="17" t="s">
        <v>22378</v>
      </c>
      <c r="M11103" s="17"/>
      <c r="N11103" s="17" t="s">
        <v>22459</v>
      </c>
      <c r="O11103" s="17"/>
      <c r="P11103" s="17" t="s">
        <v>22975</v>
      </c>
      <c r="Q11103" s="17"/>
      <c r="R11103" s="25" t="str">
        <f>HYPERLINK("https://ictv.global/taxonomy/taxondetails?taxnode_id=202317495","Kecuhnavirus frumenticola")</f>
        <v>Kecuhnavirus frumenticola</v>
      </c>
      <c r="S11103" s="18" t="s">
        <v>30</v>
      </c>
      <c r="T11103" s="18" t="s">
        <v>45780</v>
      </c>
      <c r="U11103" s="18"/>
      <c r="V11103" s="18" t="s">
        <v>45780</v>
      </c>
      <c r="W11103" s="18" t="s">
        <v>45781</v>
      </c>
      <c r="X11103" s="18" t="s">
        <v>35</v>
      </c>
      <c r="Y11103" s="18" t="s">
        <v>17171</v>
      </c>
      <c r="Z11103" s="18" t="s">
        <v>24637</v>
      </c>
      <c r="AA11103" s="21" t="str">
        <f>HYPERLINK("https://www.ncbi.nlm.nih.gov/nuccore/MZ679546","NCBI Nucleotide")</f>
        <v>NCBI Nucleotide</v>
      </c>
    </row>
    <row r="11104" spans="1:27" x14ac:dyDescent="0.35">
      <c r="A11104">
        <v>1026830</v>
      </c>
      <c r="B11104">
        <v>10429</v>
      </c>
      <c r="C11104">
        <v>1</v>
      </c>
      <c r="D11104" s="17" t="s">
        <v>17166</v>
      </c>
      <c r="E11104" s="17"/>
      <c r="F11104" s="17" t="s">
        <v>17246</v>
      </c>
      <c r="G11104" s="17"/>
      <c r="H11104" s="17" t="s">
        <v>20919</v>
      </c>
      <c r="I11104" s="17"/>
      <c r="J11104" s="17" t="s">
        <v>21313</v>
      </c>
      <c r="K11104" s="17"/>
      <c r="L11104" s="17" t="s">
        <v>22378</v>
      </c>
      <c r="M11104" s="17"/>
      <c r="N11104" s="17" t="s">
        <v>22459</v>
      </c>
      <c r="O11104" s="17"/>
      <c r="P11104" s="17" t="s">
        <v>22975</v>
      </c>
      <c r="Q11104" s="17"/>
      <c r="R11104" s="25" t="str">
        <f>HYPERLINK("https://ictv.global/taxonomy/taxondetails?taxnode_id=202317496","Kecuhnavirus montisadaptatum")</f>
        <v>Kecuhnavirus montisadaptatum</v>
      </c>
      <c r="S11104" s="18" t="s">
        <v>30</v>
      </c>
      <c r="T11104" s="18" t="s">
        <v>45782</v>
      </c>
      <c r="U11104" s="18"/>
      <c r="V11104" s="18" t="s">
        <v>45782</v>
      </c>
      <c r="W11104" s="18" t="s">
        <v>45783</v>
      </c>
      <c r="X11104" s="18" t="s">
        <v>35</v>
      </c>
      <c r="Y11104" s="18" t="s">
        <v>17171</v>
      </c>
      <c r="Z11104" s="18" t="s">
        <v>24637</v>
      </c>
      <c r="AA11104" s="21" t="str">
        <f>HYPERLINK("https://www.ncbi.nlm.nih.gov/nuccore/MZ679645","NCBI Nucleotide")</f>
        <v>NCBI Nucleotide</v>
      </c>
    </row>
    <row r="11105" spans="1:27" x14ac:dyDescent="0.35">
      <c r="A11105">
        <v>1026831</v>
      </c>
      <c r="B11105">
        <v>10430</v>
      </c>
      <c r="C11105">
        <v>1</v>
      </c>
      <c r="D11105" s="17" t="s">
        <v>17166</v>
      </c>
      <c r="E11105" s="17"/>
      <c r="F11105" s="17" t="s">
        <v>17246</v>
      </c>
      <c r="G11105" s="17"/>
      <c r="H11105" s="17" t="s">
        <v>20919</v>
      </c>
      <c r="I11105" s="17"/>
      <c r="J11105" s="17" t="s">
        <v>21313</v>
      </c>
      <c r="K11105" s="17"/>
      <c r="L11105" s="17" t="s">
        <v>22378</v>
      </c>
      <c r="M11105" s="17"/>
      <c r="N11105" s="17" t="s">
        <v>22459</v>
      </c>
      <c r="O11105" s="17"/>
      <c r="P11105" s="17" t="s">
        <v>22975</v>
      </c>
      <c r="Q11105" s="17"/>
      <c r="R11105" s="25" t="str">
        <f>HYPERLINK("https://ictv.global/taxonomy/taxondetails?taxnode_id=202317497","Kecuhnavirus montiscola")</f>
        <v>Kecuhnavirus montiscola</v>
      </c>
      <c r="S11105" s="18" t="s">
        <v>30</v>
      </c>
      <c r="T11105" s="18" t="s">
        <v>45784</v>
      </c>
      <c r="U11105" s="18"/>
      <c r="V11105" s="18" t="s">
        <v>45784</v>
      </c>
      <c r="W11105" s="18" t="s">
        <v>45785</v>
      </c>
      <c r="X11105" s="18" t="s">
        <v>35</v>
      </c>
      <c r="Y11105" s="18" t="s">
        <v>17171</v>
      </c>
      <c r="Z11105" s="18" t="s">
        <v>24637</v>
      </c>
      <c r="AA11105" s="21" t="str">
        <f>HYPERLINK("https://www.ncbi.nlm.nih.gov/nuccore/MZ679795","NCBI Nucleotide")</f>
        <v>NCBI Nucleotide</v>
      </c>
    </row>
    <row r="11106" spans="1:27" x14ac:dyDescent="0.35">
      <c r="A11106">
        <v>1026832</v>
      </c>
      <c r="B11106">
        <v>10431</v>
      </c>
      <c r="C11106">
        <v>1</v>
      </c>
      <c r="D11106" s="17" t="s">
        <v>17166</v>
      </c>
      <c r="E11106" s="17"/>
      <c r="F11106" s="17" t="s">
        <v>17246</v>
      </c>
      <c r="G11106" s="17"/>
      <c r="H11106" s="17" t="s">
        <v>20919</v>
      </c>
      <c r="I11106" s="17"/>
      <c r="J11106" s="17" t="s">
        <v>21313</v>
      </c>
      <c r="K11106" s="17"/>
      <c r="L11106" s="17" t="s">
        <v>22378</v>
      </c>
      <c r="M11106" s="17"/>
      <c r="N11106" s="17" t="s">
        <v>22459</v>
      </c>
      <c r="O11106" s="17"/>
      <c r="P11106" s="17" t="s">
        <v>22975</v>
      </c>
      <c r="Q11106" s="17"/>
      <c r="R11106" s="25" t="str">
        <f>HYPERLINK("https://ictv.global/taxonomy/taxondetails?taxnode_id=202317498","Kecuhnavirus montisvivens")</f>
        <v>Kecuhnavirus montisvivens</v>
      </c>
      <c r="S11106" s="18" t="s">
        <v>30</v>
      </c>
      <c r="T11106" s="18" t="s">
        <v>45786</v>
      </c>
      <c r="U11106" s="18"/>
      <c r="V11106" s="18" t="s">
        <v>45786</v>
      </c>
      <c r="W11106" s="18" t="s">
        <v>45787</v>
      </c>
      <c r="X11106" s="18" t="s">
        <v>35</v>
      </c>
      <c r="Y11106" s="18" t="s">
        <v>17171</v>
      </c>
      <c r="Z11106" s="18" t="s">
        <v>24637</v>
      </c>
      <c r="AA11106" s="21" t="str">
        <f>HYPERLINK("https://www.ncbi.nlm.nih.gov/nuccore/MZ679518","NCBI Nucleotide")</f>
        <v>NCBI Nucleotide</v>
      </c>
    </row>
    <row r="11107" spans="1:27" x14ac:dyDescent="0.35">
      <c r="A11107">
        <v>1026833</v>
      </c>
      <c r="B11107">
        <v>10432</v>
      </c>
      <c r="C11107">
        <v>1</v>
      </c>
      <c r="D11107" s="17" t="s">
        <v>17166</v>
      </c>
      <c r="E11107" s="17"/>
      <c r="F11107" s="17" t="s">
        <v>17246</v>
      </c>
      <c r="G11107" s="17"/>
      <c r="H11107" s="17" t="s">
        <v>20919</v>
      </c>
      <c r="I11107" s="17"/>
      <c r="J11107" s="17" t="s">
        <v>21313</v>
      </c>
      <c r="K11107" s="17"/>
      <c r="L11107" s="17" t="s">
        <v>22378</v>
      </c>
      <c r="M11107" s="17"/>
      <c r="N11107" s="17" t="s">
        <v>22459</v>
      </c>
      <c r="O11107" s="17"/>
      <c r="P11107" s="17" t="s">
        <v>22975</v>
      </c>
      <c r="Q11107" s="17"/>
      <c r="R11107" s="25" t="str">
        <f>HYPERLINK("https://ictv.global/taxonomy/taxondetails?taxnode_id=202317499","Kecuhnavirus radicihabitans")</f>
        <v>Kecuhnavirus radicihabitans</v>
      </c>
      <c r="S11107" s="18" t="s">
        <v>30</v>
      </c>
      <c r="T11107" s="18" t="s">
        <v>45788</v>
      </c>
      <c r="U11107" s="18"/>
      <c r="V11107" s="18"/>
      <c r="W11107" s="18" t="s">
        <v>45789</v>
      </c>
      <c r="X11107" s="18" t="s">
        <v>35</v>
      </c>
      <c r="Y11107" s="18" t="s">
        <v>17171</v>
      </c>
      <c r="Z11107" s="18" t="s">
        <v>24637</v>
      </c>
      <c r="AA11107" s="21" t="str">
        <f>HYPERLINK("https://www.ncbi.nlm.nih.gov/nuccore/CASDWV010000265","NCBI Nucleotide")</f>
        <v>NCBI Nucleotide</v>
      </c>
    </row>
    <row r="11108" spans="1:27" x14ac:dyDescent="0.35">
      <c r="A11108">
        <v>1026834</v>
      </c>
      <c r="B11108">
        <v>10433</v>
      </c>
      <c r="C11108">
        <v>1</v>
      </c>
      <c r="D11108" s="17" t="s">
        <v>17166</v>
      </c>
      <c r="E11108" s="17"/>
      <c r="F11108" s="17" t="s">
        <v>17246</v>
      </c>
      <c r="G11108" s="17"/>
      <c r="H11108" s="17" t="s">
        <v>20919</v>
      </c>
      <c r="I11108" s="17"/>
      <c r="J11108" s="17" t="s">
        <v>21313</v>
      </c>
      <c r="K11108" s="17"/>
      <c r="L11108" s="17" t="s">
        <v>22378</v>
      </c>
      <c r="M11108" s="17"/>
      <c r="N11108" s="17" t="s">
        <v>22459</v>
      </c>
      <c r="O11108" s="17"/>
      <c r="P11108" s="17" t="s">
        <v>22975</v>
      </c>
      <c r="Q11108" s="17"/>
      <c r="R11108" s="25" t="str">
        <f>HYPERLINK("https://ictv.global/taxonomy/taxondetails?taxnode_id=202317500","Kecuhnavirus segetadaptatum")</f>
        <v>Kecuhnavirus segetadaptatum</v>
      </c>
      <c r="S11108" s="18" t="s">
        <v>30</v>
      </c>
      <c r="T11108" s="18" t="s">
        <v>45790</v>
      </c>
      <c r="U11108" s="18"/>
      <c r="V11108" s="18"/>
      <c r="W11108" s="18" t="s">
        <v>45791</v>
      </c>
      <c r="X11108" s="18" t="s">
        <v>35</v>
      </c>
      <c r="Y11108" s="18" t="s">
        <v>17171</v>
      </c>
      <c r="Z11108" s="18" t="s">
        <v>24637</v>
      </c>
      <c r="AA11108" s="21" t="str">
        <f>HYPERLINK("https://www.ncbi.nlm.nih.gov/nuccore/CASDWV010004829","NCBI Nucleotide")</f>
        <v>NCBI Nucleotide</v>
      </c>
    </row>
    <row r="11109" spans="1:27" x14ac:dyDescent="0.35">
      <c r="A11109">
        <v>1010069</v>
      </c>
      <c r="B11109">
        <v>10434</v>
      </c>
      <c r="C11109">
        <v>1</v>
      </c>
      <c r="D11109" s="17" t="s">
        <v>17166</v>
      </c>
      <c r="E11109" s="17"/>
      <c r="F11109" s="17" t="s">
        <v>17246</v>
      </c>
      <c r="G11109" s="17"/>
      <c r="H11109" s="17" t="s">
        <v>20919</v>
      </c>
      <c r="I11109" s="17"/>
      <c r="J11109" s="17" t="s">
        <v>21313</v>
      </c>
      <c r="K11109" s="17"/>
      <c r="L11109" s="17" t="s">
        <v>22378</v>
      </c>
      <c r="M11109" s="17"/>
      <c r="N11109" s="17" t="s">
        <v>22459</v>
      </c>
      <c r="O11109" s="17"/>
      <c r="P11109" s="17" t="s">
        <v>22975</v>
      </c>
      <c r="Q11109" s="17"/>
      <c r="R11109" s="25" t="str">
        <f>HYPERLINK("https://ictv.global/taxonomy/taxondetails?taxnode_id=202311288","Kecuhnavirus terrivicinum")</f>
        <v>Kecuhnavirus terrivicinum</v>
      </c>
      <c r="S11109" s="18" t="s">
        <v>30</v>
      </c>
      <c r="T11109" s="18" t="s">
        <v>22980</v>
      </c>
      <c r="U11109" s="18"/>
      <c r="V11109" s="18"/>
      <c r="W11109" s="18" t="s">
        <v>22981</v>
      </c>
      <c r="X11109" s="18" t="s">
        <v>35</v>
      </c>
      <c r="Y11109" s="18" t="s">
        <v>17171</v>
      </c>
      <c r="Z11109" s="18" t="s">
        <v>697</v>
      </c>
      <c r="AA11109" s="21" t="str">
        <f>HYPERLINK("https://www.ncbi.nlm.nih.gov/nuccore/BK013423","NCBI Nucleotide")</f>
        <v>NCBI Nucleotide</v>
      </c>
    </row>
    <row r="11110" spans="1:27" x14ac:dyDescent="0.35">
      <c r="A11110">
        <v>1010079</v>
      </c>
      <c r="B11110">
        <v>10435</v>
      </c>
      <c r="C11110">
        <v>1</v>
      </c>
      <c r="D11110" s="17" t="s">
        <v>17166</v>
      </c>
      <c r="E11110" s="17"/>
      <c r="F11110" s="17" t="s">
        <v>17246</v>
      </c>
      <c r="G11110" s="17"/>
      <c r="H11110" s="17" t="s">
        <v>20919</v>
      </c>
      <c r="I11110" s="17"/>
      <c r="J11110" s="17" t="s">
        <v>21313</v>
      </c>
      <c r="K11110" s="17"/>
      <c r="L11110" s="17" t="s">
        <v>22378</v>
      </c>
      <c r="M11110" s="17"/>
      <c r="N11110" s="17" t="s">
        <v>22459</v>
      </c>
      <c r="O11110" s="17"/>
      <c r="P11110" s="17" t="s">
        <v>23000</v>
      </c>
      <c r="Q11110" s="17"/>
      <c r="R11110" s="25" t="str">
        <f>HYPERLINK("https://ictv.global/taxonomy/taxondetails?taxnode_id=202311301","Kihsiravirus limivicinum")</f>
        <v>Kihsiravirus limivicinum</v>
      </c>
      <c r="S11110" s="18" t="s">
        <v>30</v>
      </c>
      <c r="T11110" s="18" t="s">
        <v>23001</v>
      </c>
      <c r="U11110" s="18"/>
      <c r="V11110" s="18"/>
      <c r="W11110" s="18" t="s">
        <v>23002</v>
      </c>
      <c r="X11110" s="18" t="s">
        <v>35</v>
      </c>
      <c r="Y11110" s="18" t="s">
        <v>17171</v>
      </c>
      <c r="Z11110" s="18" t="s">
        <v>697</v>
      </c>
      <c r="AA11110" s="21" t="str">
        <f>HYPERLINK("https://www.ncbi.nlm.nih.gov/nuccore/BK014196","NCBI Nucleotide")</f>
        <v>NCBI Nucleotide</v>
      </c>
    </row>
    <row r="11111" spans="1:27" x14ac:dyDescent="0.35">
      <c r="A11111">
        <v>1010080</v>
      </c>
      <c r="B11111">
        <v>10436</v>
      </c>
      <c r="C11111">
        <v>1</v>
      </c>
      <c r="D11111" s="17" t="s">
        <v>17166</v>
      </c>
      <c r="E11111" s="17"/>
      <c r="F11111" s="17" t="s">
        <v>17246</v>
      </c>
      <c r="G11111" s="17"/>
      <c r="H11111" s="17" t="s">
        <v>20919</v>
      </c>
      <c r="I11111" s="17"/>
      <c r="J11111" s="17" t="s">
        <v>21313</v>
      </c>
      <c r="K11111" s="17"/>
      <c r="L11111" s="17" t="s">
        <v>22378</v>
      </c>
      <c r="M11111" s="17"/>
      <c r="N11111" s="17" t="s">
        <v>22459</v>
      </c>
      <c r="O11111" s="17"/>
      <c r="P11111" s="17" t="s">
        <v>23003</v>
      </c>
      <c r="Q11111" s="17"/>
      <c r="R11111" s="25" t="str">
        <f>HYPERLINK("https://ictv.global/taxonomy/taxondetails?taxnode_id=202311303","Kinglevirus lutadaptatum")</f>
        <v>Kinglevirus lutadaptatum</v>
      </c>
      <c r="S11111" s="18" t="s">
        <v>30</v>
      </c>
      <c r="T11111" s="18" t="s">
        <v>23004</v>
      </c>
      <c r="U11111" s="18"/>
      <c r="V11111" s="18"/>
      <c r="W11111" s="18" t="s">
        <v>23005</v>
      </c>
      <c r="X11111" s="18" t="s">
        <v>35</v>
      </c>
      <c r="Y11111" s="18" t="s">
        <v>17171</v>
      </c>
      <c r="Z11111" s="18" t="s">
        <v>697</v>
      </c>
      <c r="AA11111" s="21" t="str">
        <f>HYPERLINK("https://www.ncbi.nlm.nih.gov/nuccore/BK014080","NCBI Nucleotide")</f>
        <v>NCBI Nucleotide</v>
      </c>
    </row>
    <row r="11112" spans="1:27" x14ac:dyDescent="0.35">
      <c r="A11112">
        <v>1027228</v>
      </c>
      <c r="B11112">
        <v>10437</v>
      </c>
      <c r="C11112">
        <v>1</v>
      </c>
      <c r="D11112" s="17" t="s">
        <v>17166</v>
      </c>
      <c r="E11112" s="17"/>
      <c r="F11112" s="17" t="s">
        <v>17246</v>
      </c>
      <c r="G11112" s="17"/>
      <c r="H11112" s="17" t="s">
        <v>20919</v>
      </c>
      <c r="I11112" s="17"/>
      <c r="J11112" s="17" t="s">
        <v>21313</v>
      </c>
      <c r="K11112" s="17"/>
      <c r="L11112" s="17" t="s">
        <v>22378</v>
      </c>
      <c r="M11112" s="17"/>
      <c r="N11112" s="17" t="s">
        <v>22459</v>
      </c>
      <c r="O11112" s="17"/>
      <c r="P11112" s="17" t="s">
        <v>45792</v>
      </c>
      <c r="Q11112" s="17"/>
      <c r="R11112" s="25" t="str">
        <f>HYPERLINK("https://ictv.global/taxonomy/taxondetails?taxnode_id=202317501","Kingscavirus faecadaptatum")</f>
        <v>Kingscavirus faecadaptatum</v>
      </c>
      <c r="S11112" s="18" t="s">
        <v>30</v>
      </c>
      <c r="T11112" s="18" t="s">
        <v>45793</v>
      </c>
      <c r="U11112" s="18"/>
      <c r="V11112" s="18" t="s">
        <v>45793</v>
      </c>
      <c r="W11112" s="18" t="s">
        <v>45794</v>
      </c>
      <c r="X11112" s="18" t="s">
        <v>35</v>
      </c>
      <c r="Y11112" s="18" t="s">
        <v>17171</v>
      </c>
      <c r="Z11112" s="18" t="s">
        <v>24637</v>
      </c>
      <c r="AA11112" s="21" t="str">
        <f>HYPERLINK("https://www.ncbi.nlm.nih.gov/nuccore/MZ679499","NCBI Nucleotide")</f>
        <v>NCBI Nucleotide</v>
      </c>
    </row>
    <row r="11113" spans="1:27" x14ac:dyDescent="0.35">
      <c r="A11113">
        <v>1026786</v>
      </c>
      <c r="B11113">
        <v>10438</v>
      </c>
      <c r="C11113">
        <v>1</v>
      </c>
      <c r="D11113" s="17" t="s">
        <v>17166</v>
      </c>
      <c r="E11113" s="17"/>
      <c r="F11113" s="17" t="s">
        <v>17246</v>
      </c>
      <c r="G11113" s="17"/>
      <c r="H11113" s="17" t="s">
        <v>20919</v>
      </c>
      <c r="I11113" s="17"/>
      <c r="J11113" s="17" t="s">
        <v>21313</v>
      </c>
      <c r="K11113" s="17"/>
      <c r="L11113" s="17" t="s">
        <v>22378</v>
      </c>
      <c r="M11113" s="17"/>
      <c r="N11113" s="17" t="s">
        <v>22459</v>
      </c>
      <c r="O11113" s="17"/>
      <c r="P11113" s="17" t="s">
        <v>45795</v>
      </c>
      <c r="Q11113" s="17"/>
      <c r="R11113" s="25" t="str">
        <f>HYPERLINK("https://ictv.global/taxonomy/taxondetails?taxnode_id=202317502","Koroslivirus allofaecihabitans")</f>
        <v>Koroslivirus allofaecihabitans</v>
      </c>
      <c r="S11113" s="18" t="s">
        <v>30</v>
      </c>
      <c r="T11113" s="18" t="s">
        <v>45796</v>
      </c>
      <c r="U11113" s="18"/>
      <c r="V11113" s="18" t="s">
        <v>45796</v>
      </c>
      <c r="W11113" s="18" t="s">
        <v>45797</v>
      </c>
      <c r="X11113" s="18" t="s">
        <v>35</v>
      </c>
      <c r="Y11113" s="18" t="s">
        <v>17171</v>
      </c>
      <c r="Z11113" s="18" t="s">
        <v>24637</v>
      </c>
      <c r="AA11113" s="21" t="str">
        <f>HYPERLINK("https://www.ncbi.nlm.nih.gov/nuccore/MZ679772","NCBI Nucleotide")</f>
        <v>NCBI Nucleotide</v>
      </c>
    </row>
    <row r="11114" spans="1:27" x14ac:dyDescent="0.35">
      <c r="A11114">
        <v>1026787</v>
      </c>
      <c r="B11114">
        <v>10439</v>
      </c>
      <c r="C11114">
        <v>1</v>
      </c>
      <c r="D11114" s="17" t="s">
        <v>17166</v>
      </c>
      <c r="E11114" s="17"/>
      <c r="F11114" s="17" t="s">
        <v>17246</v>
      </c>
      <c r="G11114" s="17"/>
      <c r="H11114" s="17" t="s">
        <v>20919</v>
      </c>
      <c r="I11114" s="17"/>
      <c r="J11114" s="17" t="s">
        <v>21313</v>
      </c>
      <c r="K11114" s="17"/>
      <c r="L11114" s="17" t="s">
        <v>22378</v>
      </c>
      <c r="M11114" s="17"/>
      <c r="N11114" s="17" t="s">
        <v>22459</v>
      </c>
      <c r="O11114" s="17"/>
      <c r="P11114" s="17" t="s">
        <v>45795</v>
      </c>
      <c r="Q11114" s="17"/>
      <c r="R11114" s="25" t="str">
        <f>HYPERLINK("https://ictv.global/taxonomy/taxondetails?taxnode_id=202317503","Koroslivirus allofaecivivens")</f>
        <v>Koroslivirus allofaecivivens</v>
      </c>
      <c r="S11114" s="18" t="s">
        <v>30</v>
      </c>
      <c r="T11114" s="18" t="s">
        <v>45798</v>
      </c>
      <c r="U11114" s="18"/>
      <c r="V11114" s="18" t="s">
        <v>45798</v>
      </c>
      <c r="W11114" s="18" t="s">
        <v>45799</v>
      </c>
      <c r="X11114" s="18" t="s">
        <v>35</v>
      </c>
      <c r="Y11114" s="18" t="s">
        <v>17171</v>
      </c>
      <c r="Z11114" s="18" t="s">
        <v>24637</v>
      </c>
      <c r="AA11114" s="21" t="str">
        <f>HYPERLINK("https://www.ncbi.nlm.nih.gov/nuccore/MZ679764","NCBI Nucleotide")</f>
        <v>NCBI Nucleotide</v>
      </c>
    </row>
    <row r="11115" spans="1:27" x14ac:dyDescent="0.35">
      <c r="A11115">
        <v>1026788</v>
      </c>
      <c r="B11115">
        <v>10440</v>
      </c>
      <c r="C11115">
        <v>1</v>
      </c>
      <c r="D11115" s="17" t="s">
        <v>17166</v>
      </c>
      <c r="E11115" s="17"/>
      <c r="F11115" s="17" t="s">
        <v>17246</v>
      </c>
      <c r="G11115" s="17"/>
      <c r="H11115" s="17" t="s">
        <v>20919</v>
      </c>
      <c r="I11115" s="17"/>
      <c r="J11115" s="17" t="s">
        <v>21313</v>
      </c>
      <c r="K11115" s="17"/>
      <c r="L11115" s="17" t="s">
        <v>22378</v>
      </c>
      <c r="M11115" s="17"/>
      <c r="N11115" s="17" t="s">
        <v>22459</v>
      </c>
      <c r="O11115" s="17"/>
      <c r="P11115" s="17" t="s">
        <v>45795</v>
      </c>
      <c r="Q11115" s="17"/>
      <c r="R11115" s="25" t="str">
        <f>HYPERLINK("https://ictv.global/taxonomy/taxondetails?taxnode_id=202317504","Koroslivirus faecicola")</f>
        <v>Koroslivirus faecicola</v>
      </c>
      <c r="S11115" s="18" t="s">
        <v>30</v>
      </c>
      <c r="T11115" s="18" t="s">
        <v>45800</v>
      </c>
      <c r="U11115" s="18"/>
      <c r="V11115" s="18" t="s">
        <v>45800</v>
      </c>
      <c r="W11115" s="18" t="s">
        <v>45801</v>
      </c>
      <c r="X11115" s="18" t="s">
        <v>35</v>
      </c>
      <c r="Y11115" s="18" t="s">
        <v>17171</v>
      </c>
      <c r="Z11115" s="18" t="s">
        <v>24637</v>
      </c>
      <c r="AA11115" s="21" t="str">
        <f>HYPERLINK("https://www.ncbi.nlm.nih.gov/nuccore/MZ679582","NCBI Nucleotide")</f>
        <v>NCBI Nucleotide</v>
      </c>
    </row>
    <row r="11116" spans="1:27" x14ac:dyDescent="0.35">
      <c r="A11116">
        <v>1026789</v>
      </c>
      <c r="B11116">
        <v>10441</v>
      </c>
      <c r="C11116">
        <v>1</v>
      </c>
      <c r="D11116" s="17" t="s">
        <v>17166</v>
      </c>
      <c r="E11116" s="17"/>
      <c r="F11116" s="17" t="s">
        <v>17246</v>
      </c>
      <c r="G11116" s="17"/>
      <c r="H11116" s="17" t="s">
        <v>20919</v>
      </c>
      <c r="I11116" s="17"/>
      <c r="J11116" s="17" t="s">
        <v>21313</v>
      </c>
      <c r="K11116" s="17"/>
      <c r="L11116" s="17" t="s">
        <v>22378</v>
      </c>
      <c r="M11116" s="17"/>
      <c r="N11116" s="17" t="s">
        <v>22459</v>
      </c>
      <c r="O11116" s="17"/>
      <c r="P11116" s="17" t="s">
        <v>45795</v>
      </c>
      <c r="Q11116" s="17"/>
      <c r="R11116" s="25" t="str">
        <f>HYPERLINK("https://ictv.global/taxonomy/taxondetails?taxnode_id=202317505","Koroslivirus montisvivens")</f>
        <v>Koroslivirus montisvivens</v>
      </c>
      <c r="S11116" s="18" t="s">
        <v>30</v>
      </c>
      <c r="T11116" s="18" t="s">
        <v>45802</v>
      </c>
      <c r="U11116" s="18"/>
      <c r="V11116" s="18" t="s">
        <v>45802</v>
      </c>
      <c r="W11116" s="18" t="s">
        <v>45803</v>
      </c>
      <c r="X11116" s="18" t="s">
        <v>35</v>
      </c>
      <c r="Y11116" s="18" t="s">
        <v>17171</v>
      </c>
      <c r="Z11116" s="18" t="s">
        <v>24637</v>
      </c>
      <c r="AA11116" s="21" t="str">
        <f>HYPERLINK("https://www.ncbi.nlm.nih.gov/nuccore/MZ679533","NCBI Nucleotide")</f>
        <v>NCBI Nucleotide</v>
      </c>
    </row>
    <row r="11117" spans="1:27" x14ac:dyDescent="0.35">
      <c r="A11117">
        <v>1026790</v>
      </c>
      <c r="B11117">
        <v>10442</v>
      </c>
      <c r="C11117">
        <v>1</v>
      </c>
      <c r="D11117" s="17" t="s">
        <v>17166</v>
      </c>
      <c r="E11117" s="17"/>
      <c r="F11117" s="17" t="s">
        <v>17246</v>
      </c>
      <c r="G11117" s="17"/>
      <c r="H11117" s="17" t="s">
        <v>20919</v>
      </c>
      <c r="I11117" s="17"/>
      <c r="J11117" s="17" t="s">
        <v>21313</v>
      </c>
      <c r="K11117" s="17"/>
      <c r="L11117" s="17" t="s">
        <v>22378</v>
      </c>
      <c r="M11117" s="17"/>
      <c r="N11117" s="17" t="s">
        <v>22459</v>
      </c>
      <c r="O11117" s="17"/>
      <c r="P11117" s="17" t="s">
        <v>45795</v>
      </c>
      <c r="Q11117" s="17"/>
      <c r="R11117" s="25" t="str">
        <f>HYPERLINK("https://ictv.global/taxonomy/taxondetails?taxnode_id=202317506","Koroslivirus pseudofaecivicinum")</f>
        <v>Koroslivirus pseudofaecivicinum</v>
      </c>
      <c r="S11117" s="18" t="s">
        <v>30</v>
      </c>
      <c r="T11117" s="18" t="s">
        <v>45804</v>
      </c>
      <c r="U11117" s="18"/>
      <c r="V11117" s="18" t="s">
        <v>45804</v>
      </c>
      <c r="W11117" s="18" t="s">
        <v>45805</v>
      </c>
      <c r="X11117" s="18" t="s">
        <v>35</v>
      </c>
      <c r="Y11117" s="18" t="s">
        <v>17171</v>
      </c>
      <c r="Z11117" s="18" t="s">
        <v>24637</v>
      </c>
      <c r="AA11117" s="21" t="str">
        <f>HYPERLINK("https://www.ncbi.nlm.nih.gov/nuccore/MZ679510","NCBI Nucleotide")</f>
        <v>NCBI Nucleotide</v>
      </c>
    </row>
    <row r="11118" spans="1:27" x14ac:dyDescent="0.35">
      <c r="A11118">
        <v>1010083</v>
      </c>
      <c r="B11118">
        <v>10443</v>
      </c>
      <c r="C11118">
        <v>1</v>
      </c>
      <c r="D11118" s="17" t="s">
        <v>17166</v>
      </c>
      <c r="E11118" s="17"/>
      <c r="F11118" s="17" t="s">
        <v>17246</v>
      </c>
      <c r="G11118" s="17"/>
      <c r="H11118" s="17" t="s">
        <v>20919</v>
      </c>
      <c r="I11118" s="17"/>
      <c r="J11118" s="17" t="s">
        <v>21313</v>
      </c>
      <c r="K11118" s="17"/>
      <c r="L11118" s="17" t="s">
        <v>22378</v>
      </c>
      <c r="M11118" s="17"/>
      <c r="N11118" s="17" t="s">
        <v>22459</v>
      </c>
      <c r="O11118" s="17"/>
      <c r="P11118" s="17" t="s">
        <v>23010</v>
      </c>
      <c r="Q11118" s="17"/>
      <c r="R11118" s="25" t="str">
        <f>HYPERLINK("https://ictv.global/taxonomy/taxondetails?taxnode_id=202311308","Laimuvirus asiocola")</f>
        <v>Laimuvirus asiocola</v>
      </c>
      <c r="S11118" s="18" t="s">
        <v>30</v>
      </c>
      <c r="T11118" s="18" t="s">
        <v>23011</v>
      </c>
      <c r="U11118" s="18"/>
      <c r="V11118" s="18"/>
      <c r="W11118" s="18" t="s">
        <v>23012</v>
      </c>
      <c r="X11118" s="18" t="s">
        <v>35</v>
      </c>
      <c r="Y11118" s="18" t="s">
        <v>17171</v>
      </c>
      <c r="Z11118" s="18" t="s">
        <v>697</v>
      </c>
      <c r="AA11118" s="21" t="str">
        <f>HYPERLINK("https://www.ncbi.nlm.nih.gov/nuccore/BK013671","NCBI Nucleotide")</f>
        <v>NCBI Nucleotide</v>
      </c>
    </row>
    <row r="11119" spans="1:27" x14ac:dyDescent="0.35">
      <c r="A11119">
        <v>1010084</v>
      </c>
      <c r="B11119">
        <v>10444</v>
      </c>
      <c r="C11119">
        <v>1</v>
      </c>
      <c r="D11119" s="17" t="s">
        <v>17166</v>
      </c>
      <c r="E11119" s="17"/>
      <c r="F11119" s="17" t="s">
        <v>17246</v>
      </c>
      <c r="G11119" s="17"/>
      <c r="H11119" s="17" t="s">
        <v>20919</v>
      </c>
      <c r="I11119" s="17"/>
      <c r="J11119" s="17" t="s">
        <v>21313</v>
      </c>
      <c r="K11119" s="17"/>
      <c r="L11119" s="17" t="s">
        <v>22378</v>
      </c>
      <c r="M11119" s="17"/>
      <c r="N11119" s="17" t="s">
        <v>22459</v>
      </c>
      <c r="O11119" s="17"/>
      <c r="P11119" s="17" t="s">
        <v>23013</v>
      </c>
      <c r="Q11119" s="17"/>
      <c r="R11119" s="25" t="str">
        <f>HYPERLINK("https://ictv.global/taxonomy/taxondetails?taxnode_id=202311310","Lazuovirus agrenecus")</f>
        <v>Lazuovirus agrenecus</v>
      </c>
      <c r="S11119" s="18" t="s">
        <v>30</v>
      </c>
      <c r="T11119" s="18" t="s">
        <v>23014</v>
      </c>
      <c r="U11119" s="18"/>
      <c r="V11119" s="18"/>
      <c r="W11119" s="18" t="s">
        <v>23015</v>
      </c>
      <c r="X11119" s="18" t="s">
        <v>35</v>
      </c>
      <c r="Y11119" s="18" t="s">
        <v>17171</v>
      </c>
      <c r="Z11119" s="18" t="s">
        <v>697</v>
      </c>
      <c r="AA11119" s="21" t="str">
        <f>HYPERLINK("https://www.ncbi.nlm.nih.gov/nuccore/BK013914","NCBI Nucleotide")</f>
        <v>NCBI Nucleotide</v>
      </c>
    </row>
    <row r="11120" spans="1:27" x14ac:dyDescent="0.35">
      <c r="A11120">
        <v>1027181</v>
      </c>
      <c r="B11120">
        <v>10445</v>
      </c>
      <c r="C11120">
        <v>1</v>
      </c>
      <c r="D11120" s="17" t="s">
        <v>17166</v>
      </c>
      <c r="E11120" s="17"/>
      <c r="F11120" s="17" t="s">
        <v>17246</v>
      </c>
      <c r="G11120" s="17"/>
      <c r="H11120" s="17" t="s">
        <v>20919</v>
      </c>
      <c r="I11120" s="17"/>
      <c r="J11120" s="17" t="s">
        <v>21313</v>
      </c>
      <c r="K11120" s="17"/>
      <c r="L11120" s="17" t="s">
        <v>22378</v>
      </c>
      <c r="M11120" s="17"/>
      <c r="N11120" s="17" t="s">
        <v>22459</v>
      </c>
      <c r="O11120" s="17"/>
      <c r="P11120" s="17" t="s">
        <v>23013</v>
      </c>
      <c r="Q11120" s="17"/>
      <c r="R11120" s="25" t="str">
        <f>HYPERLINK("https://ictv.global/taxonomy/taxondetails?taxnode_id=202317507","Lazuovirus humenecus")</f>
        <v>Lazuovirus humenecus</v>
      </c>
      <c r="S11120" s="18" t="s">
        <v>30</v>
      </c>
      <c r="T11120" s="18" t="s">
        <v>45806</v>
      </c>
      <c r="U11120" s="18"/>
      <c r="V11120" s="18"/>
      <c r="W11120" s="18" t="s">
        <v>45807</v>
      </c>
      <c r="X11120" s="18" t="s">
        <v>35</v>
      </c>
      <c r="Y11120" s="18" t="s">
        <v>17171</v>
      </c>
      <c r="Z11120" s="18" t="s">
        <v>24637</v>
      </c>
      <c r="AA11120" s="21" t="str">
        <f>HYPERLINK("https://www.ncbi.nlm.nih.gov/nuccore/CASDWV010004654","NCBI Nucleotide")</f>
        <v>NCBI Nucleotide</v>
      </c>
    </row>
    <row r="11121" spans="1:27" x14ac:dyDescent="0.35">
      <c r="A11121">
        <v>1027182</v>
      </c>
      <c r="B11121">
        <v>10446</v>
      </c>
      <c r="C11121">
        <v>1</v>
      </c>
      <c r="D11121" s="17" t="s">
        <v>17166</v>
      </c>
      <c r="E11121" s="17"/>
      <c r="F11121" s="17" t="s">
        <v>17246</v>
      </c>
      <c r="G11121" s="17"/>
      <c r="H11121" s="17" t="s">
        <v>20919</v>
      </c>
      <c r="I11121" s="17"/>
      <c r="J11121" s="17" t="s">
        <v>21313</v>
      </c>
      <c r="K11121" s="17"/>
      <c r="L11121" s="17" t="s">
        <v>22378</v>
      </c>
      <c r="M11121" s="17"/>
      <c r="N11121" s="17" t="s">
        <v>22459</v>
      </c>
      <c r="O11121" s="17"/>
      <c r="P11121" s="17" t="s">
        <v>23013</v>
      </c>
      <c r="Q11121" s="17"/>
      <c r="R11121" s="25" t="str">
        <f>HYPERLINK("https://ictv.global/taxonomy/taxondetails?taxnode_id=202317508","Lazuovirus limicola")</f>
        <v>Lazuovirus limicola</v>
      </c>
      <c r="S11121" s="18" t="s">
        <v>30</v>
      </c>
      <c r="T11121" s="18" t="s">
        <v>45808</v>
      </c>
      <c r="U11121" s="18"/>
      <c r="V11121" s="18"/>
      <c r="W11121" s="18" t="s">
        <v>45809</v>
      </c>
      <c r="X11121" s="18" t="s">
        <v>35</v>
      </c>
      <c r="Y11121" s="18" t="s">
        <v>17171</v>
      </c>
      <c r="Z11121" s="18" t="s">
        <v>24637</v>
      </c>
      <c r="AA11121" s="21" t="str">
        <f>HYPERLINK("https://www.ncbi.nlm.nih.gov/nuccore/CASDWV010004800","NCBI Nucleotide")</f>
        <v>NCBI Nucleotide</v>
      </c>
    </row>
    <row r="11122" spans="1:27" x14ac:dyDescent="0.35">
      <c r="A11122">
        <v>1027183</v>
      </c>
      <c r="B11122">
        <v>10447</v>
      </c>
      <c r="C11122">
        <v>1</v>
      </c>
      <c r="D11122" s="17" t="s">
        <v>17166</v>
      </c>
      <c r="E11122" s="17"/>
      <c r="F11122" s="17" t="s">
        <v>17246</v>
      </c>
      <c r="G11122" s="17"/>
      <c r="H11122" s="17" t="s">
        <v>20919</v>
      </c>
      <c r="I11122" s="17"/>
      <c r="J11122" s="17" t="s">
        <v>21313</v>
      </c>
      <c r="K11122" s="17"/>
      <c r="L11122" s="17" t="s">
        <v>22378</v>
      </c>
      <c r="M11122" s="17"/>
      <c r="N11122" s="17" t="s">
        <v>22459</v>
      </c>
      <c r="O11122" s="17"/>
      <c r="P11122" s="17" t="s">
        <v>23013</v>
      </c>
      <c r="Q11122" s="17"/>
      <c r="R11122" s="25" t="str">
        <f>HYPERLINK("https://ictv.global/taxonomy/taxondetails?taxnode_id=202317509","Lazuovirus pedovicinum")</f>
        <v>Lazuovirus pedovicinum</v>
      </c>
      <c r="S11122" s="18" t="s">
        <v>30</v>
      </c>
      <c r="T11122" s="18" t="s">
        <v>45810</v>
      </c>
      <c r="U11122" s="18"/>
      <c r="V11122" s="18"/>
      <c r="W11122" s="18" t="s">
        <v>45811</v>
      </c>
      <c r="X11122" s="18" t="s">
        <v>35</v>
      </c>
      <c r="Y11122" s="18" t="s">
        <v>17171</v>
      </c>
      <c r="Z11122" s="18" t="s">
        <v>24637</v>
      </c>
      <c r="AA11122" s="21" t="str">
        <f>HYPERLINK("https://www.ncbi.nlm.nih.gov/nuccore/CASDWV010003430","NCBI Nucleotide")</f>
        <v>NCBI Nucleotide</v>
      </c>
    </row>
    <row r="11123" spans="1:27" x14ac:dyDescent="0.35">
      <c r="A11123">
        <v>1027180</v>
      </c>
      <c r="B11123">
        <v>10448</v>
      </c>
      <c r="C11123">
        <v>1</v>
      </c>
      <c r="D11123" s="17" t="s">
        <v>17166</v>
      </c>
      <c r="E11123" s="17"/>
      <c r="F11123" s="17" t="s">
        <v>17246</v>
      </c>
      <c r="G11123" s="17"/>
      <c r="H11123" s="17" t="s">
        <v>20919</v>
      </c>
      <c r="I11123" s="17"/>
      <c r="J11123" s="17" t="s">
        <v>21313</v>
      </c>
      <c r="K11123" s="17"/>
      <c r="L11123" s="17" t="s">
        <v>22378</v>
      </c>
      <c r="M11123" s="17"/>
      <c r="N11123" s="17" t="s">
        <v>22459</v>
      </c>
      <c r="O11123" s="17"/>
      <c r="P11123" s="17" t="s">
        <v>45812</v>
      </c>
      <c r="Q11123" s="17"/>
      <c r="R11123" s="25" t="str">
        <f>HYPERLINK("https://ictv.global/taxonomy/taxondetails?taxnode_id=202317510","Lehemavirus lutivicinum")</f>
        <v>Lehemavirus lutivicinum</v>
      </c>
      <c r="S11123" s="18" t="s">
        <v>30</v>
      </c>
      <c r="T11123" s="18" t="s">
        <v>45813</v>
      </c>
      <c r="U11123" s="18"/>
      <c r="V11123" s="18"/>
      <c r="W11123" s="18" t="s">
        <v>45814</v>
      </c>
      <c r="X11123" s="18" t="s">
        <v>35</v>
      </c>
      <c r="Y11123" s="18" t="s">
        <v>17171</v>
      </c>
      <c r="Z11123" s="18" t="s">
        <v>24637</v>
      </c>
      <c r="AA11123" s="21" t="str">
        <f>HYPERLINK("https://www.ncbi.nlm.nih.gov/nuccore/CASDWV010004802","NCBI Nucleotide")</f>
        <v>NCBI Nucleotide</v>
      </c>
    </row>
    <row r="11124" spans="1:27" x14ac:dyDescent="0.35">
      <c r="A11124">
        <v>1027197</v>
      </c>
      <c r="B11124">
        <v>10449</v>
      </c>
      <c r="C11124">
        <v>1</v>
      </c>
      <c r="D11124" s="17" t="s">
        <v>17166</v>
      </c>
      <c r="E11124" s="17"/>
      <c r="F11124" s="17" t="s">
        <v>17246</v>
      </c>
      <c r="G11124" s="17"/>
      <c r="H11124" s="17" t="s">
        <v>20919</v>
      </c>
      <c r="I11124" s="17"/>
      <c r="J11124" s="17" t="s">
        <v>21313</v>
      </c>
      <c r="K11124" s="17"/>
      <c r="L11124" s="17" t="s">
        <v>22378</v>
      </c>
      <c r="M11124" s="17"/>
      <c r="N11124" s="17" t="s">
        <v>22459</v>
      </c>
      <c r="O11124" s="17"/>
      <c r="P11124" s="17" t="s">
        <v>45815</v>
      </c>
      <c r="Q11124" s="17"/>
      <c r="R11124" s="25" t="str">
        <f>HYPERLINK("https://ictv.global/taxonomy/taxondetails?taxnode_id=202317511","Lidbrovirus pelovicinum")</f>
        <v>Lidbrovirus pelovicinum</v>
      </c>
      <c r="S11124" s="18" t="s">
        <v>30</v>
      </c>
      <c r="T11124" s="18" t="s">
        <v>45816</v>
      </c>
      <c r="U11124" s="18"/>
      <c r="V11124" s="18"/>
      <c r="W11124" s="18" t="s">
        <v>45817</v>
      </c>
      <c r="X11124" s="18" t="s">
        <v>35</v>
      </c>
      <c r="Y11124" s="18" t="s">
        <v>17171</v>
      </c>
      <c r="Z11124" s="18" t="s">
        <v>24637</v>
      </c>
      <c r="AA11124" s="21" t="str">
        <f>HYPERLINK("https://www.ncbi.nlm.nih.gov/nuccore/CASDWV010000548","NCBI Nucleotide")</f>
        <v>NCBI Nucleotide</v>
      </c>
    </row>
    <row r="11125" spans="1:27" x14ac:dyDescent="0.35">
      <c r="A11125">
        <v>1027198</v>
      </c>
      <c r="B11125">
        <v>10450</v>
      </c>
      <c r="C11125">
        <v>1</v>
      </c>
      <c r="D11125" s="17" t="s">
        <v>17166</v>
      </c>
      <c r="E11125" s="17"/>
      <c r="F11125" s="17" t="s">
        <v>17246</v>
      </c>
      <c r="G11125" s="17"/>
      <c r="H11125" s="17" t="s">
        <v>20919</v>
      </c>
      <c r="I11125" s="17"/>
      <c r="J11125" s="17" t="s">
        <v>21313</v>
      </c>
      <c r="K11125" s="17"/>
      <c r="L11125" s="17" t="s">
        <v>22378</v>
      </c>
      <c r="M11125" s="17"/>
      <c r="N11125" s="17" t="s">
        <v>22459</v>
      </c>
      <c r="O11125" s="17"/>
      <c r="P11125" s="17" t="s">
        <v>45818</v>
      </c>
      <c r="Q11125" s="17"/>
      <c r="R11125" s="25" t="str">
        <f>HYPERLINK("https://ictv.global/taxonomy/taxondetails?taxnode_id=202317512","Lidtloavirus agrivicinum")</f>
        <v>Lidtloavirus agrivicinum</v>
      </c>
      <c r="S11125" s="18" t="s">
        <v>30</v>
      </c>
      <c r="T11125" s="18" t="s">
        <v>45819</v>
      </c>
      <c r="U11125" s="18"/>
      <c r="V11125" s="18"/>
      <c r="W11125" s="18" t="s">
        <v>45820</v>
      </c>
      <c r="X11125" s="18" t="s">
        <v>35</v>
      </c>
      <c r="Y11125" s="18" t="s">
        <v>17171</v>
      </c>
      <c r="Z11125" s="18" t="s">
        <v>24637</v>
      </c>
      <c r="AA11125" s="21" t="str">
        <f>HYPERLINK("https://www.ncbi.nlm.nih.gov/nuccore/CASDWV010001710","NCBI Nucleotide")</f>
        <v>NCBI Nucleotide</v>
      </c>
    </row>
    <row r="11126" spans="1:27" x14ac:dyDescent="0.35">
      <c r="A11126">
        <v>1027199</v>
      </c>
      <c r="B11126">
        <v>10451</v>
      </c>
      <c r="C11126">
        <v>1</v>
      </c>
      <c r="D11126" s="17" t="s">
        <v>17166</v>
      </c>
      <c r="E11126" s="17"/>
      <c r="F11126" s="17" t="s">
        <v>17246</v>
      </c>
      <c r="G11126" s="17"/>
      <c r="H11126" s="17" t="s">
        <v>20919</v>
      </c>
      <c r="I11126" s="17"/>
      <c r="J11126" s="17" t="s">
        <v>21313</v>
      </c>
      <c r="K11126" s="17"/>
      <c r="L11126" s="17" t="s">
        <v>22378</v>
      </c>
      <c r="M11126" s="17"/>
      <c r="N11126" s="17" t="s">
        <v>22459</v>
      </c>
      <c r="O11126" s="17"/>
      <c r="P11126" s="17" t="s">
        <v>45818</v>
      </c>
      <c r="Q11126" s="17"/>
      <c r="R11126" s="25" t="str">
        <f>HYPERLINK("https://ictv.global/taxonomy/taxondetails?taxnode_id=202317513","Lidtloavirus chorovicinum")</f>
        <v>Lidtloavirus chorovicinum</v>
      </c>
      <c r="S11126" s="18" t="s">
        <v>30</v>
      </c>
      <c r="T11126" s="18" t="s">
        <v>45821</v>
      </c>
      <c r="U11126" s="18"/>
      <c r="V11126" s="18"/>
      <c r="W11126" s="18" t="s">
        <v>45822</v>
      </c>
      <c r="X11126" s="18" t="s">
        <v>35</v>
      </c>
      <c r="Y11126" s="18" t="s">
        <v>17171</v>
      </c>
      <c r="Z11126" s="18" t="s">
        <v>24637</v>
      </c>
      <c r="AA11126" s="21" t="str">
        <f>HYPERLINK("https://www.ncbi.nlm.nih.gov/nuccore/CASDWV010002875","NCBI Nucleotide")</f>
        <v>NCBI Nucleotide</v>
      </c>
    </row>
    <row r="11127" spans="1:27" x14ac:dyDescent="0.35">
      <c r="A11127">
        <v>1009838</v>
      </c>
      <c r="B11127">
        <v>10452</v>
      </c>
      <c r="C11127">
        <v>1</v>
      </c>
      <c r="D11127" s="17" t="s">
        <v>17166</v>
      </c>
      <c r="E11127" s="17"/>
      <c r="F11127" s="17" t="s">
        <v>17246</v>
      </c>
      <c r="G11127" s="17"/>
      <c r="H11127" s="17" t="s">
        <v>20919</v>
      </c>
      <c r="I11127" s="17"/>
      <c r="J11127" s="17" t="s">
        <v>21313</v>
      </c>
      <c r="K11127" s="17"/>
      <c r="L11127" s="17" t="s">
        <v>22378</v>
      </c>
      <c r="M11127" s="17"/>
      <c r="N11127" s="17" t="s">
        <v>22459</v>
      </c>
      <c r="O11127" s="17"/>
      <c r="P11127" s="17" t="s">
        <v>45818</v>
      </c>
      <c r="Q11127" s="17"/>
      <c r="R11127" s="25" t="str">
        <f>HYPERLINK("https://ictv.global/taxonomy/taxondetails?taxnode_id=202311011","Lidtloavirus edaphenecus")</f>
        <v>Lidtloavirus edaphenecus</v>
      </c>
      <c r="S11127" s="18" t="s">
        <v>30</v>
      </c>
      <c r="T11127" s="18" t="s">
        <v>22504</v>
      </c>
      <c r="U11127" s="18"/>
      <c r="V11127" s="18"/>
      <c r="W11127" s="18" t="s">
        <v>22505</v>
      </c>
      <c r="X11127" s="18" t="s">
        <v>35</v>
      </c>
      <c r="Y11127" s="18" t="s">
        <v>17171</v>
      </c>
      <c r="Z11127" s="18" t="s">
        <v>697</v>
      </c>
      <c r="AA11127" s="21" t="str">
        <f>HYPERLINK("https://www.ncbi.nlm.nih.gov/nuccore/BK014013","NCBI Nucleotide")</f>
        <v>NCBI Nucleotide</v>
      </c>
    </row>
    <row r="11128" spans="1:27" x14ac:dyDescent="0.35">
      <c r="A11128">
        <v>1009839</v>
      </c>
      <c r="B11128">
        <v>10453</v>
      </c>
      <c r="C11128">
        <v>1</v>
      </c>
      <c r="D11128" s="17" t="s">
        <v>17166</v>
      </c>
      <c r="E11128" s="17"/>
      <c r="F11128" s="17" t="s">
        <v>17246</v>
      </c>
      <c r="G11128" s="17"/>
      <c r="H11128" s="17" t="s">
        <v>20919</v>
      </c>
      <c r="I11128" s="17"/>
      <c r="J11128" s="17" t="s">
        <v>21313</v>
      </c>
      <c r="K11128" s="17"/>
      <c r="L11128" s="17" t="s">
        <v>22378</v>
      </c>
      <c r="M11128" s="17"/>
      <c r="N11128" s="17" t="s">
        <v>22459</v>
      </c>
      <c r="O11128" s="17"/>
      <c r="P11128" s="17" t="s">
        <v>45818</v>
      </c>
      <c r="Q11128" s="17"/>
      <c r="R11128" s="25" t="str">
        <f>HYPERLINK("https://ictv.global/taxonomy/taxondetails?taxnode_id=202311007","Lidtloavirus edaphocola")</f>
        <v>Lidtloavirus edaphocola</v>
      </c>
      <c r="S11128" s="18" t="s">
        <v>30</v>
      </c>
      <c r="T11128" s="18" t="s">
        <v>22506</v>
      </c>
      <c r="U11128" s="18"/>
      <c r="V11128" s="18"/>
      <c r="W11128" s="18" t="s">
        <v>22507</v>
      </c>
      <c r="X11128" s="18" t="s">
        <v>35</v>
      </c>
      <c r="Y11128" s="18" t="s">
        <v>17171</v>
      </c>
      <c r="Z11128" s="18" t="s">
        <v>697</v>
      </c>
      <c r="AA11128" s="21" t="str">
        <f>HYPERLINK("https://www.ncbi.nlm.nih.gov/nuccore/BK013994","NCBI Nucleotide")</f>
        <v>NCBI Nucleotide</v>
      </c>
    </row>
    <row r="11129" spans="1:27" x14ac:dyDescent="0.35">
      <c r="A11129">
        <v>1009840</v>
      </c>
      <c r="B11129">
        <v>10454</v>
      </c>
      <c r="C11129">
        <v>1</v>
      </c>
      <c r="D11129" s="17" t="s">
        <v>17166</v>
      </c>
      <c r="E11129" s="17"/>
      <c r="F11129" s="17" t="s">
        <v>17246</v>
      </c>
      <c r="G11129" s="17"/>
      <c r="H11129" s="17" t="s">
        <v>20919</v>
      </c>
      <c r="I11129" s="17"/>
      <c r="J11129" s="17" t="s">
        <v>21313</v>
      </c>
      <c r="K11129" s="17"/>
      <c r="L11129" s="17" t="s">
        <v>22378</v>
      </c>
      <c r="M11129" s="17"/>
      <c r="N11129" s="17" t="s">
        <v>22459</v>
      </c>
      <c r="O11129" s="17"/>
      <c r="P11129" s="17" t="s">
        <v>45818</v>
      </c>
      <c r="Q11129" s="17"/>
      <c r="R11129" s="25" t="str">
        <f>HYPERLINK("https://ictv.global/taxonomy/taxondetails?taxnode_id=202311012","Lidtloavirus edaphohabitans")</f>
        <v>Lidtloavirus edaphohabitans</v>
      </c>
      <c r="S11129" s="18" t="s">
        <v>30</v>
      </c>
      <c r="T11129" s="18" t="s">
        <v>22508</v>
      </c>
      <c r="U11129" s="18"/>
      <c r="V11129" s="18"/>
      <c r="W11129" s="18" t="s">
        <v>22509</v>
      </c>
      <c r="X11129" s="18" t="s">
        <v>35</v>
      </c>
      <c r="Y11129" s="18" t="s">
        <v>17171</v>
      </c>
      <c r="Z11129" s="18" t="s">
        <v>697</v>
      </c>
      <c r="AA11129" s="21" t="str">
        <f>HYPERLINK("https://www.ncbi.nlm.nih.gov/nuccore/BK014034","NCBI Nucleotide")</f>
        <v>NCBI Nucleotide</v>
      </c>
    </row>
    <row r="11130" spans="1:27" x14ac:dyDescent="0.35">
      <c r="A11130">
        <v>1009842</v>
      </c>
      <c r="B11130">
        <v>10455</v>
      </c>
      <c r="C11130">
        <v>1</v>
      </c>
      <c r="D11130" s="17" t="s">
        <v>17166</v>
      </c>
      <c r="E11130" s="17"/>
      <c r="F11130" s="17" t="s">
        <v>17246</v>
      </c>
      <c r="G11130" s="17"/>
      <c r="H11130" s="17" t="s">
        <v>20919</v>
      </c>
      <c r="I11130" s="17"/>
      <c r="J11130" s="17" t="s">
        <v>21313</v>
      </c>
      <c r="K11130" s="17"/>
      <c r="L11130" s="17" t="s">
        <v>22378</v>
      </c>
      <c r="M11130" s="17"/>
      <c r="N11130" s="17" t="s">
        <v>22459</v>
      </c>
      <c r="O11130" s="17"/>
      <c r="P11130" s="17" t="s">
        <v>45818</v>
      </c>
      <c r="Q11130" s="17"/>
      <c r="R11130" s="25" t="str">
        <f>HYPERLINK("https://ictv.global/taxonomy/taxondetails?taxnode_id=202311014","Lidtloavirus edaphovivens")</f>
        <v>Lidtloavirus edaphovivens</v>
      </c>
      <c r="S11130" s="18" t="s">
        <v>30</v>
      </c>
      <c r="T11130" s="18" t="s">
        <v>22512</v>
      </c>
      <c r="U11130" s="18"/>
      <c r="V11130" s="18"/>
      <c r="W11130" s="18" t="s">
        <v>22513</v>
      </c>
      <c r="X11130" s="18" t="s">
        <v>35</v>
      </c>
      <c r="Y11130" s="18" t="s">
        <v>17171</v>
      </c>
      <c r="Z11130" s="18" t="s">
        <v>697</v>
      </c>
      <c r="AA11130" s="21" t="str">
        <f>HYPERLINK("https://www.ncbi.nlm.nih.gov/nuccore/BK013860","NCBI Nucleotide")</f>
        <v>NCBI Nucleotide</v>
      </c>
    </row>
    <row r="11131" spans="1:27" x14ac:dyDescent="0.35">
      <c r="A11131">
        <v>1027200</v>
      </c>
      <c r="B11131">
        <v>10456</v>
      </c>
      <c r="C11131">
        <v>1</v>
      </c>
      <c r="D11131" s="17" t="s">
        <v>17166</v>
      </c>
      <c r="E11131" s="17"/>
      <c r="F11131" s="17" t="s">
        <v>17246</v>
      </c>
      <c r="G11131" s="17"/>
      <c r="H11131" s="17" t="s">
        <v>20919</v>
      </c>
      <c r="I11131" s="17"/>
      <c r="J11131" s="17" t="s">
        <v>21313</v>
      </c>
      <c r="K11131" s="17"/>
      <c r="L11131" s="17" t="s">
        <v>22378</v>
      </c>
      <c r="M11131" s="17"/>
      <c r="N11131" s="17" t="s">
        <v>22459</v>
      </c>
      <c r="O11131" s="17"/>
      <c r="P11131" s="17" t="s">
        <v>45818</v>
      </c>
      <c r="Q11131" s="17"/>
      <c r="R11131" s="25" t="str">
        <f>HYPERLINK("https://ictv.global/taxonomy/taxondetails?taxnode_id=202317514","Lidtloavirus humenecus")</f>
        <v>Lidtloavirus humenecus</v>
      </c>
      <c r="S11131" s="18" t="s">
        <v>30</v>
      </c>
      <c r="T11131" s="18" t="s">
        <v>45823</v>
      </c>
      <c r="U11131" s="18"/>
      <c r="V11131" s="18"/>
      <c r="W11131" s="18" t="s">
        <v>45824</v>
      </c>
      <c r="X11131" s="18" t="s">
        <v>35</v>
      </c>
      <c r="Y11131" s="18" t="s">
        <v>17171</v>
      </c>
      <c r="Z11131" s="18" t="s">
        <v>24637</v>
      </c>
      <c r="AA11131" s="21" t="str">
        <f>HYPERLINK("https://www.ncbi.nlm.nih.gov/nuccore/CASDWV010000793","NCBI Nucleotide")</f>
        <v>NCBI Nucleotide</v>
      </c>
    </row>
    <row r="11132" spans="1:27" x14ac:dyDescent="0.35">
      <c r="A11132">
        <v>1009888</v>
      </c>
      <c r="B11132">
        <v>10457</v>
      </c>
      <c r="C11132">
        <v>1</v>
      </c>
      <c r="D11132" s="17" t="s">
        <v>17166</v>
      </c>
      <c r="E11132" s="17"/>
      <c r="F11132" s="17" t="s">
        <v>17246</v>
      </c>
      <c r="G11132" s="17"/>
      <c r="H11132" s="17" t="s">
        <v>20919</v>
      </c>
      <c r="I11132" s="17"/>
      <c r="J11132" s="17" t="s">
        <v>21313</v>
      </c>
      <c r="K11132" s="17"/>
      <c r="L11132" s="17" t="s">
        <v>22378</v>
      </c>
      <c r="M11132" s="17"/>
      <c r="N11132" s="17" t="s">
        <v>22459</v>
      </c>
      <c r="O11132" s="17"/>
      <c r="P11132" s="17" t="s">
        <v>45818</v>
      </c>
      <c r="Q11132" s="17"/>
      <c r="R11132" s="25" t="str">
        <f>HYPERLINK("https://ictv.global/taxonomy/taxondetails?taxnode_id=202311070","Lidtloavirus humihabitans")</f>
        <v>Lidtloavirus humihabitans</v>
      </c>
      <c r="S11132" s="18" t="s">
        <v>30</v>
      </c>
      <c r="T11132" s="18" t="s">
        <v>22607</v>
      </c>
      <c r="U11132" s="18"/>
      <c r="V11132" s="18"/>
      <c r="W11132" s="18" t="s">
        <v>22608</v>
      </c>
      <c r="X11132" s="18" t="s">
        <v>35</v>
      </c>
      <c r="Y11132" s="18" t="s">
        <v>17171</v>
      </c>
      <c r="Z11132" s="18" t="s">
        <v>697</v>
      </c>
      <c r="AA11132" s="21" t="str">
        <f>HYPERLINK("https://www.ncbi.nlm.nih.gov/nuccore/BK013865","NCBI Nucleotide")</f>
        <v>NCBI Nucleotide</v>
      </c>
    </row>
    <row r="11133" spans="1:27" x14ac:dyDescent="0.35">
      <c r="A11133">
        <v>1010225</v>
      </c>
      <c r="B11133">
        <v>10458</v>
      </c>
      <c r="C11133">
        <v>1</v>
      </c>
      <c r="D11133" s="17" t="s">
        <v>17166</v>
      </c>
      <c r="E11133" s="17"/>
      <c r="F11133" s="17" t="s">
        <v>17246</v>
      </c>
      <c r="G11133" s="17"/>
      <c r="H11133" s="17" t="s">
        <v>20919</v>
      </c>
      <c r="I11133" s="17"/>
      <c r="J11133" s="17" t="s">
        <v>21313</v>
      </c>
      <c r="K11133" s="17"/>
      <c r="L11133" s="17" t="s">
        <v>22378</v>
      </c>
      <c r="M11133" s="17"/>
      <c r="N11133" s="17" t="s">
        <v>22459</v>
      </c>
      <c r="O11133" s="17"/>
      <c r="P11133" s="17" t="s">
        <v>45818</v>
      </c>
      <c r="Q11133" s="17"/>
      <c r="R11133" s="25" t="str">
        <f>HYPERLINK("https://ictv.global/taxonomy/taxondetails?taxnode_id=202311507","Lidtloavirus humivicinum")</f>
        <v>Lidtloavirus humivicinum</v>
      </c>
      <c r="S11133" s="18" t="s">
        <v>30</v>
      </c>
      <c r="T11133" s="18" t="s">
        <v>23300</v>
      </c>
      <c r="U11133" s="18"/>
      <c r="V11133" s="18"/>
      <c r="W11133" s="18" t="s">
        <v>23301</v>
      </c>
      <c r="X11133" s="18" t="s">
        <v>35</v>
      </c>
      <c r="Y11133" s="18" t="s">
        <v>17171</v>
      </c>
      <c r="Z11133" s="18" t="s">
        <v>697</v>
      </c>
      <c r="AA11133" s="21" t="str">
        <f>HYPERLINK("https://www.ncbi.nlm.nih.gov/nuccore/BK013882","NCBI Nucleotide")</f>
        <v>NCBI Nucleotide</v>
      </c>
    </row>
    <row r="11134" spans="1:27" x14ac:dyDescent="0.35">
      <c r="A11134">
        <v>1010226</v>
      </c>
      <c r="B11134">
        <v>10459</v>
      </c>
      <c r="C11134">
        <v>1</v>
      </c>
      <c r="D11134" s="17" t="s">
        <v>17166</v>
      </c>
      <c r="E11134" s="17"/>
      <c r="F11134" s="17" t="s">
        <v>17246</v>
      </c>
      <c r="G11134" s="17"/>
      <c r="H11134" s="17" t="s">
        <v>20919</v>
      </c>
      <c r="I11134" s="17"/>
      <c r="J11134" s="17" t="s">
        <v>21313</v>
      </c>
      <c r="K11134" s="17"/>
      <c r="L11134" s="17" t="s">
        <v>22378</v>
      </c>
      <c r="M11134" s="17"/>
      <c r="N11134" s="17" t="s">
        <v>22459</v>
      </c>
      <c r="O11134" s="17"/>
      <c r="P11134" s="17" t="s">
        <v>45818</v>
      </c>
      <c r="Q11134" s="17"/>
      <c r="R11134" s="25" t="str">
        <f>HYPERLINK("https://ictv.global/taxonomy/taxondetails?taxnode_id=202311508","Lidtloavirus humivivens")</f>
        <v>Lidtloavirus humivivens</v>
      </c>
      <c r="S11134" s="18" t="s">
        <v>30</v>
      </c>
      <c r="T11134" s="18" t="s">
        <v>23302</v>
      </c>
      <c r="U11134" s="18"/>
      <c r="V11134" s="18"/>
      <c r="W11134" s="18" t="s">
        <v>23303</v>
      </c>
      <c r="X11134" s="18" t="s">
        <v>35</v>
      </c>
      <c r="Y11134" s="18" t="s">
        <v>17171</v>
      </c>
      <c r="Z11134" s="18" t="s">
        <v>697</v>
      </c>
      <c r="AA11134" s="21" t="str">
        <f>HYPERLINK("https://www.ncbi.nlm.nih.gov/nuccore/BK013911","NCBI Nucleotide")</f>
        <v>NCBI Nucleotide</v>
      </c>
    </row>
    <row r="11135" spans="1:27" x14ac:dyDescent="0.35">
      <c r="A11135">
        <v>1027201</v>
      </c>
      <c r="B11135">
        <v>10460</v>
      </c>
      <c r="C11135">
        <v>1</v>
      </c>
      <c r="D11135" s="17" t="s">
        <v>17166</v>
      </c>
      <c r="E11135" s="17"/>
      <c r="F11135" s="17" t="s">
        <v>17246</v>
      </c>
      <c r="G11135" s="17"/>
      <c r="H11135" s="17" t="s">
        <v>20919</v>
      </c>
      <c r="I11135" s="17"/>
      <c r="J11135" s="17" t="s">
        <v>21313</v>
      </c>
      <c r="K11135" s="17"/>
      <c r="L11135" s="17" t="s">
        <v>22378</v>
      </c>
      <c r="M11135" s="17"/>
      <c r="N11135" s="17" t="s">
        <v>22459</v>
      </c>
      <c r="O11135" s="17"/>
      <c r="P11135" s="17" t="s">
        <v>45818</v>
      </c>
      <c r="Q11135" s="17"/>
      <c r="R11135" s="25" t="str">
        <f>HYPERLINK("https://ictv.global/taxonomy/taxondetails?taxnode_id=202317515","Lidtloavirus limihabitans")</f>
        <v>Lidtloavirus limihabitans</v>
      </c>
      <c r="S11135" s="18" t="s">
        <v>30</v>
      </c>
      <c r="T11135" s="18" t="s">
        <v>45825</v>
      </c>
      <c r="U11135" s="18"/>
      <c r="V11135" s="18"/>
      <c r="W11135" s="18" t="s">
        <v>45826</v>
      </c>
      <c r="X11135" s="18" t="s">
        <v>35</v>
      </c>
      <c r="Y11135" s="18" t="s">
        <v>17171</v>
      </c>
      <c r="Z11135" s="18" t="s">
        <v>24637</v>
      </c>
      <c r="AA11135" s="21" t="str">
        <f>HYPERLINK("https://www.ncbi.nlm.nih.gov/nuccore/CASDWV010001001","NCBI Nucleotide")</f>
        <v>NCBI Nucleotide</v>
      </c>
    </row>
    <row r="11136" spans="1:27" x14ac:dyDescent="0.35">
      <c r="A11136">
        <v>1010224</v>
      </c>
      <c r="B11136">
        <v>10461</v>
      </c>
      <c r="C11136">
        <v>1</v>
      </c>
      <c r="D11136" s="17" t="s">
        <v>17166</v>
      </c>
      <c r="E11136" s="17"/>
      <c r="F11136" s="17" t="s">
        <v>17246</v>
      </c>
      <c r="G11136" s="17"/>
      <c r="H11136" s="17" t="s">
        <v>20919</v>
      </c>
      <c r="I11136" s="17"/>
      <c r="J11136" s="17" t="s">
        <v>21313</v>
      </c>
      <c r="K11136" s="17"/>
      <c r="L11136" s="17" t="s">
        <v>22378</v>
      </c>
      <c r="M11136" s="17"/>
      <c r="N11136" s="17" t="s">
        <v>22459</v>
      </c>
      <c r="O11136" s="17"/>
      <c r="P11136" s="17" t="s">
        <v>45818</v>
      </c>
      <c r="Q11136" s="17"/>
      <c r="R11136" s="25" t="str">
        <f>HYPERLINK("https://ictv.global/taxonomy/taxondetails?taxnode_id=202311506","Lidtloavirus neohumihabitans")</f>
        <v>Lidtloavirus neohumihabitans</v>
      </c>
      <c r="S11136" s="18" t="s">
        <v>30</v>
      </c>
      <c r="T11136" s="18" t="s">
        <v>23298</v>
      </c>
      <c r="U11136" s="18"/>
      <c r="V11136" s="18"/>
      <c r="W11136" s="18" t="s">
        <v>23299</v>
      </c>
      <c r="X11136" s="18" t="s">
        <v>35</v>
      </c>
      <c r="Y11136" s="18" t="s">
        <v>17171</v>
      </c>
      <c r="Z11136" s="18" t="s">
        <v>697</v>
      </c>
      <c r="AA11136" s="21" t="str">
        <f>HYPERLINK("https://www.ncbi.nlm.nih.gov/nuccore/BK013443","NCBI Nucleotide")</f>
        <v>NCBI Nucleotide</v>
      </c>
    </row>
    <row r="11137" spans="1:27" x14ac:dyDescent="0.35">
      <c r="A11137">
        <v>1009844</v>
      </c>
      <c r="B11137">
        <v>10462</v>
      </c>
      <c r="C11137">
        <v>1</v>
      </c>
      <c r="D11137" s="17" t="s">
        <v>17166</v>
      </c>
      <c r="E11137" s="17"/>
      <c r="F11137" s="17" t="s">
        <v>17246</v>
      </c>
      <c r="G11137" s="17"/>
      <c r="H11137" s="17" t="s">
        <v>20919</v>
      </c>
      <c r="I11137" s="17"/>
      <c r="J11137" s="17" t="s">
        <v>21313</v>
      </c>
      <c r="K11137" s="17"/>
      <c r="L11137" s="17" t="s">
        <v>22378</v>
      </c>
      <c r="M11137" s="17"/>
      <c r="N11137" s="17" t="s">
        <v>22459</v>
      </c>
      <c r="O11137" s="17"/>
      <c r="P11137" s="17" t="s">
        <v>45818</v>
      </c>
      <c r="Q11137" s="17"/>
      <c r="R11137" s="25" t="str">
        <f>HYPERLINK("https://ictv.global/taxonomy/taxondetails?taxnode_id=202311016","Lidtloavirus pedocola")</f>
        <v>Lidtloavirus pedocola</v>
      </c>
      <c r="S11137" s="18" t="s">
        <v>30</v>
      </c>
      <c r="T11137" s="18" t="s">
        <v>22516</v>
      </c>
      <c r="U11137" s="18"/>
      <c r="V11137" s="18"/>
      <c r="W11137" s="18" t="s">
        <v>22517</v>
      </c>
      <c r="X11137" s="18" t="s">
        <v>35</v>
      </c>
      <c r="Y11137" s="18" t="s">
        <v>17171</v>
      </c>
      <c r="Z11137" s="18" t="s">
        <v>697</v>
      </c>
      <c r="AA11137" s="21" t="str">
        <f>HYPERLINK("https://www.ncbi.nlm.nih.gov/nuccore/BK013874","NCBI Nucleotide")</f>
        <v>NCBI Nucleotide</v>
      </c>
    </row>
    <row r="11138" spans="1:27" x14ac:dyDescent="0.35">
      <c r="A11138">
        <v>1010091</v>
      </c>
      <c r="B11138">
        <v>10463</v>
      </c>
      <c r="C11138">
        <v>1</v>
      </c>
      <c r="D11138" s="17" t="s">
        <v>17166</v>
      </c>
      <c r="E11138" s="17"/>
      <c r="F11138" s="17" t="s">
        <v>17246</v>
      </c>
      <c r="G11138" s="17"/>
      <c r="H11138" s="17" t="s">
        <v>20919</v>
      </c>
      <c r="I11138" s="17"/>
      <c r="J11138" s="17" t="s">
        <v>21313</v>
      </c>
      <c r="K11138" s="17"/>
      <c r="L11138" s="17" t="s">
        <v>22378</v>
      </c>
      <c r="M11138" s="17"/>
      <c r="N11138" s="17" t="s">
        <v>22459</v>
      </c>
      <c r="O11138" s="17"/>
      <c r="P11138" s="17" t="s">
        <v>23028</v>
      </c>
      <c r="Q11138" s="17"/>
      <c r="R11138" s="25" t="str">
        <f>HYPERLINK("https://ictv.global/taxonomy/taxondetails?taxnode_id=202311319","Lihvevirus borborenecus")</f>
        <v>Lihvevirus borborenecus</v>
      </c>
      <c r="S11138" s="18" t="s">
        <v>30</v>
      </c>
      <c r="T11138" s="18" t="s">
        <v>23029</v>
      </c>
      <c r="U11138" s="18"/>
      <c r="V11138" s="18"/>
      <c r="W11138" s="18" t="s">
        <v>23030</v>
      </c>
      <c r="X11138" s="18" t="s">
        <v>35</v>
      </c>
      <c r="Y11138" s="18" t="s">
        <v>17171</v>
      </c>
      <c r="Z11138" s="18" t="s">
        <v>697</v>
      </c>
      <c r="AA11138" s="21" t="str">
        <f>HYPERLINK("https://www.ncbi.nlm.nih.gov/nuccore/BK014152","NCBI Nucleotide")</f>
        <v>NCBI Nucleotide</v>
      </c>
    </row>
    <row r="11139" spans="1:27" x14ac:dyDescent="0.35">
      <c r="A11139">
        <v>1010092</v>
      </c>
      <c r="B11139">
        <v>10464</v>
      </c>
      <c r="C11139">
        <v>1</v>
      </c>
      <c r="D11139" s="17" t="s">
        <v>17166</v>
      </c>
      <c r="E11139" s="17"/>
      <c r="F11139" s="17" t="s">
        <v>17246</v>
      </c>
      <c r="G11139" s="17"/>
      <c r="H11139" s="17" t="s">
        <v>20919</v>
      </c>
      <c r="I11139" s="17"/>
      <c r="J11139" s="17" t="s">
        <v>21313</v>
      </c>
      <c r="K11139" s="17"/>
      <c r="L11139" s="17" t="s">
        <v>22378</v>
      </c>
      <c r="M11139" s="17"/>
      <c r="N11139" s="17" t="s">
        <v>22459</v>
      </c>
      <c r="O11139" s="17"/>
      <c r="P11139" s="17" t="s">
        <v>23031</v>
      </c>
      <c r="Q11139" s="17"/>
      <c r="R11139" s="25" t="str">
        <f>HYPERLINK("https://ictv.global/taxonomy/taxondetails?taxnode_id=202311321","Limaivirus borborocola")</f>
        <v>Limaivirus borborocola</v>
      </c>
      <c r="S11139" s="18" t="s">
        <v>30</v>
      </c>
      <c r="T11139" s="18" t="s">
        <v>23032</v>
      </c>
      <c r="U11139" s="18"/>
      <c r="V11139" s="18"/>
      <c r="W11139" s="18" t="s">
        <v>23033</v>
      </c>
      <c r="X11139" s="18" t="s">
        <v>35</v>
      </c>
      <c r="Y11139" s="18" t="s">
        <v>17171</v>
      </c>
      <c r="Z11139" s="18" t="s">
        <v>697</v>
      </c>
      <c r="AA11139" s="21" t="str">
        <f>HYPERLINK("https://www.ncbi.nlm.nih.gov/nuccore/BK013641","NCBI Nucleotide")</f>
        <v>NCBI Nucleotide</v>
      </c>
    </row>
    <row r="11140" spans="1:27" x14ac:dyDescent="0.35">
      <c r="A11140">
        <v>1010093</v>
      </c>
      <c r="B11140">
        <v>10465</v>
      </c>
      <c r="C11140">
        <v>1</v>
      </c>
      <c r="D11140" s="17" t="s">
        <v>17166</v>
      </c>
      <c r="E11140" s="17"/>
      <c r="F11140" s="17" t="s">
        <v>17246</v>
      </c>
      <c r="G11140" s="17"/>
      <c r="H11140" s="17" t="s">
        <v>20919</v>
      </c>
      <c r="I11140" s="17"/>
      <c r="J11140" s="17" t="s">
        <v>21313</v>
      </c>
      <c r="K11140" s="17"/>
      <c r="L11140" s="17" t="s">
        <v>22378</v>
      </c>
      <c r="M11140" s="17"/>
      <c r="N11140" s="17" t="s">
        <v>22459</v>
      </c>
      <c r="O11140" s="17"/>
      <c r="P11140" s="17" t="s">
        <v>23031</v>
      </c>
      <c r="Q11140" s="17"/>
      <c r="R11140" s="25" t="str">
        <f>HYPERLINK("https://ictv.global/taxonomy/taxondetails?taxnode_id=202311322","Limaivirus borborohabitans")</f>
        <v>Limaivirus borborohabitans</v>
      </c>
      <c r="S11140" s="18" t="s">
        <v>30</v>
      </c>
      <c r="T11140" s="18" t="s">
        <v>23034</v>
      </c>
      <c r="U11140" s="18"/>
      <c r="V11140" s="18"/>
      <c r="W11140" s="18" t="s">
        <v>23035</v>
      </c>
      <c r="X11140" s="18" t="s">
        <v>35</v>
      </c>
      <c r="Y11140" s="18" t="s">
        <v>17171</v>
      </c>
      <c r="Z11140" s="18" t="s">
        <v>697</v>
      </c>
      <c r="AA11140" s="21" t="str">
        <f>HYPERLINK("https://www.ncbi.nlm.nih.gov/nuccore/BK014114","NCBI Nucleotide")</f>
        <v>NCBI Nucleotide</v>
      </c>
    </row>
    <row r="11141" spans="1:27" x14ac:dyDescent="0.35">
      <c r="A11141">
        <v>1027340</v>
      </c>
      <c r="B11141">
        <v>10466</v>
      </c>
      <c r="C11141">
        <v>1</v>
      </c>
      <c r="D11141" s="17" t="s">
        <v>17166</v>
      </c>
      <c r="E11141" s="17"/>
      <c r="F11141" s="17" t="s">
        <v>17246</v>
      </c>
      <c r="G11141" s="17"/>
      <c r="H11141" s="17" t="s">
        <v>20919</v>
      </c>
      <c r="I11141" s="17"/>
      <c r="J11141" s="17" t="s">
        <v>21313</v>
      </c>
      <c r="K11141" s="17"/>
      <c r="L11141" s="17" t="s">
        <v>22378</v>
      </c>
      <c r="M11141" s="17"/>
      <c r="N11141" s="17" t="s">
        <v>22459</v>
      </c>
      <c r="O11141" s="17"/>
      <c r="P11141" s="17" t="s">
        <v>45827</v>
      </c>
      <c r="Q11141" s="17"/>
      <c r="R11141" s="25" t="str">
        <f>HYPERLINK("https://ictv.global/taxonomy/taxondetails?taxnode_id=202317516","Lipwuvirus nemorishabitans")</f>
        <v>Lipwuvirus nemorishabitans</v>
      </c>
      <c r="S11141" s="18" t="s">
        <v>30</v>
      </c>
      <c r="T11141" s="18" t="s">
        <v>45828</v>
      </c>
      <c r="U11141" s="18"/>
      <c r="V11141" s="18" t="s">
        <v>45828</v>
      </c>
      <c r="W11141" s="18" t="s">
        <v>45829</v>
      </c>
      <c r="X11141" s="18" t="s">
        <v>35</v>
      </c>
      <c r="Y11141" s="18" t="s">
        <v>17171</v>
      </c>
      <c r="Z11141" s="18" t="s">
        <v>24637</v>
      </c>
      <c r="AA11141" s="21" t="str">
        <f>HYPERLINK("https://www.ncbi.nlm.nih.gov/nuccore/MZ679810","NCBI Nucleotide")</f>
        <v>NCBI Nucleotide</v>
      </c>
    </row>
    <row r="11142" spans="1:27" x14ac:dyDescent="0.35">
      <c r="A11142">
        <v>1027187</v>
      </c>
      <c r="B11142">
        <v>10467</v>
      </c>
      <c r="C11142">
        <v>1</v>
      </c>
      <c r="D11142" s="17" t="s">
        <v>17166</v>
      </c>
      <c r="E11142" s="17"/>
      <c r="F11142" s="17" t="s">
        <v>17246</v>
      </c>
      <c r="G11142" s="17"/>
      <c r="H11142" s="17" t="s">
        <v>20919</v>
      </c>
      <c r="I11142" s="17"/>
      <c r="J11142" s="17" t="s">
        <v>21313</v>
      </c>
      <c r="K11142" s="17"/>
      <c r="L11142" s="17" t="s">
        <v>22378</v>
      </c>
      <c r="M11142" s="17"/>
      <c r="N11142" s="17" t="s">
        <v>22459</v>
      </c>
      <c r="O11142" s="17"/>
      <c r="P11142" s="17" t="s">
        <v>45830</v>
      </c>
      <c r="Q11142" s="17"/>
      <c r="R11142" s="25" t="str">
        <f>HYPERLINK("https://ictv.global/taxonomy/taxondetails?taxnode_id=202317517","Litdlovirus chthonadaptatum")</f>
        <v>Litdlovirus chthonadaptatum</v>
      </c>
      <c r="S11142" s="18" t="s">
        <v>30</v>
      </c>
      <c r="T11142" s="18" t="s">
        <v>45831</v>
      </c>
      <c r="U11142" s="18"/>
      <c r="V11142" s="18"/>
      <c r="W11142" s="18" t="s">
        <v>45832</v>
      </c>
      <c r="X11142" s="18" t="s">
        <v>35</v>
      </c>
      <c r="Y11142" s="18" t="s">
        <v>17171</v>
      </c>
      <c r="Z11142" s="18" t="s">
        <v>24637</v>
      </c>
      <c r="AA11142" s="21" t="str">
        <f>HYPERLINK("https://www.ncbi.nlm.nih.gov/nuccore/CASDWV010002399","NCBI Nucleotide")</f>
        <v>NCBI Nucleotide</v>
      </c>
    </row>
    <row r="11143" spans="1:27" x14ac:dyDescent="0.35">
      <c r="A11143">
        <v>1027188</v>
      </c>
      <c r="B11143">
        <v>10468</v>
      </c>
      <c r="C11143">
        <v>1</v>
      </c>
      <c r="D11143" s="17" t="s">
        <v>17166</v>
      </c>
      <c r="E11143" s="17"/>
      <c r="F11143" s="17" t="s">
        <v>17246</v>
      </c>
      <c r="G11143" s="17"/>
      <c r="H11143" s="17" t="s">
        <v>20919</v>
      </c>
      <c r="I11143" s="17"/>
      <c r="J11143" s="17" t="s">
        <v>21313</v>
      </c>
      <c r="K11143" s="17"/>
      <c r="L11143" s="17" t="s">
        <v>22378</v>
      </c>
      <c r="M11143" s="17"/>
      <c r="N11143" s="17" t="s">
        <v>22459</v>
      </c>
      <c r="O11143" s="17"/>
      <c r="P11143" s="17" t="s">
        <v>45830</v>
      </c>
      <c r="Q11143" s="17"/>
      <c r="R11143" s="25" t="str">
        <f>HYPERLINK("https://ictv.global/taxonomy/taxondetails?taxnode_id=202317518","Litdlovirus telluricola")</f>
        <v>Litdlovirus telluricola</v>
      </c>
      <c r="S11143" s="18" t="s">
        <v>30</v>
      </c>
      <c r="T11143" s="18" t="s">
        <v>45833</v>
      </c>
      <c r="U11143" s="18"/>
      <c r="V11143" s="18"/>
      <c r="W11143" s="18" t="s">
        <v>45834</v>
      </c>
      <c r="X11143" s="18" t="s">
        <v>35</v>
      </c>
      <c r="Y11143" s="18" t="s">
        <v>17171</v>
      </c>
      <c r="Z11143" s="18" t="s">
        <v>24637</v>
      </c>
      <c r="AA11143" s="21" t="str">
        <f>HYPERLINK("https://www.ncbi.nlm.nih.gov/nuccore/CASDWV010003943","NCBI Nucleotide")</f>
        <v>NCBI Nucleotide</v>
      </c>
    </row>
    <row r="11144" spans="1:27" x14ac:dyDescent="0.35">
      <c r="A11144">
        <v>1027189</v>
      </c>
      <c r="B11144">
        <v>10469</v>
      </c>
      <c r="C11144">
        <v>1</v>
      </c>
      <c r="D11144" s="17" t="s">
        <v>17166</v>
      </c>
      <c r="E11144" s="17"/>
      <c r="F11144" s="17" t="s">
        <v>17246</v>
      </c>
      <c r="G11144" s="17"/>
      <c r="H11144" s="17" t="s">
        <v>20919</v>
      </c>
      <c r="I11144" s="17"/>
      <c r="J11144" s="17" t="s">
        <v>21313</v>
      </c>
      <c r="K11144" s="17"/>
      <c r="L11144" s="17" t="s">
        <v>22378</v>
      </c>
      <c r="M11144" s="17"/>
      <c r="N11144" s="17" t="s">
        <v>22459</v>
      </c>
      <c r="O11144" s="17"/>
      <c r="P11144" s="17" t="s">
        <v>45835</v>
      </c>
      <c r="Q11144" s="17"/>
      <c r="R11144" s="25" t="str">
        <f>HYPERLINK("https://ictv.global/taxonomy/taxondetails?taxnode_id=202317519","Litlevirus faecicola")</f>
        <v>Litlevirus faecicola</v>
      </c>
      <c r="S11144" s="18" t="s">
        <v>30</v>
      </c>
      <c r="T11144" s="18" t="s">
        <v>45836</v>
      </c>
      <c r="U11144" s="18"/>
      <c r="V11144" s="18" t="s">
        <v>45836</v>
      </c>
      <c r="W11144" s="18" t="s">
        <v>45837</v>
      </c>
      <c r="X11144" s="18" t="s">
        <v>35</v>
      </c>
      <c r="Y11144" s="18" t="s">
        <v>17171</v>
      </c>
      <c r="Z11144" s="18" t="s">
        <v>24637</v>
      </c>
      <c r="AA11144" s="21" t="str">
        <f>HYPERLINK("https://www.ncbi.nlm.nih.gov/nuccore/MZ679686","NCBI Nucleotide")</f>
        <v>NCBI Nucleotide</v>
      </c>
    </row>
    <row r="11145" spans="1:27" x14ac:dyDescent="0.35">
      <c r="A11145">
        <v>1027269</v>
      </c>
      <c r="B11145">
        <v>10470</v>
      </c>
      <c r="C11145">
        <v>1</v>
      </c>
      <c r="D11145" s="17" t="s">
        <v>17166</v>
      </c>
      <c r="E11145" s="17"/>
      <c r="F11145" s="17" t="s">
        <v>17246</v>
      </c>
      <c r="G11145" s="17"/>
      <c r="H11145" s="17" t="s">
        <v>20919</v>
      </c>
      <c r="I11145" s="17"/>
      <c r="J11145" s="17" t="s">
        <v>21313</v>
      </c>
      <c r="K11145" s="17"/>
      <c r="L11145" s="17" t="s">
        <v>22378</v>
      </c>
      <c r="M11145" s="17"/>
      <c r="N11145" s="17" t="s">
        <v>22459</v>
      </c>
      <c r="O11145" s="17"/>
      <c r="P11145" s="17" t="s">
        <v>45838</v>
      </c>
      <c r="Q11145" s="17"/>
      <c r="R11145" s="25" t="str">
        <f>HYPERLINK("https://ictv.global/taxonomy/taxondetails?taxnode_id=202317520","Loecwouvirus pseudonemorishabitans")</f>
        <v>Loecwouvirus pseudonemorishabitans</v>
      </c>
      <c r="S11145" s="18" t="s">
        <v>30</v>
      </c>
      <c r="T11145" s="18" t="s">
        <v>45839</v>
      </c>
      <c r="U11145" s="18"/>
      <c r="V11145" s="18" t="s">
        <v>45839</v>
      </c>
      <c r="W11145" s="18" t="s">
        <v>45840</v>
      </c>
      <c r="X11145" s="18" t="s">
        <v>35</v>
      </c>
      <c r="Y11145" s="18" t="s">
        <v>17171</v>
      </c>
      <c r="Z11145" s="18" t="s">
        <v>24637</v>
      </c>
      <c r="AA11145" s="21" t="str">
        <f>HYPERLINK("https://www.ncbi.nlm.nih.gov/nuccore/MZ679612","NCBI Nucleotide")</f>
        <v>NCBI Nucleotide</v>
      </c>
    </row>
    <row r="11146" spans="1:27" x14ac:dyDescent="0.35">
      <c r="A11146">
        <v>1027270</v>
      </c>
      <c r="B11146">
        <v>10471</v>
      </c>
      <c r="C11146">
        <v>1</v>
      </c>
      <c r="D11146" s="17" t="s">
        <v>17166</v>
      </c>
      <c r="E11146" s="17"/>
      <c r="F11146" s="17" t="s">
        <v>17246</v>
      </c>
      <c r="G11146" s="17"/>
      <c r="H11146" s="17" t="s">
        <v>20919</v>
      </c>
      <c r="I11146" s="17"/>
      <c r="J11146" s="17" t="s">
        <v>21313</v>
      </c>
      <c r="K11146" s="17"/>
      <c r="L11146" s="17" t="s">
        <v>22378</v>
      </c>
      <c r="M11146" s="17"/>
      <c r="N11146" s="17" t="s">
        <v>22459</v>
      </c>
      <c r="O11146" s="17"/>
      <c r="P11146" s="17" t="s">
        <v>45838</v>
      </c>
      <c r="Q11146" s="17"/>
      <c r="R11146" s="25" t="str">
        <f>HYPERLINK("https://ictv.global/taxonomy/taxondetails?taxnode_id=202317521","Loecwouvirus tellurivicinum")</f>
        <v>Loecwouvirus tellurivicinum</v>
      </c>
      <c r="S11146" s="18" t="s">
        <v>30</v>
      </c>
      <c r="T11146" s="18" t="s">
        <v>45841</v>
      </c>
      <c r="U11146" s="18"/>
      <c r="V11146" s="18"/>
      <c r="W11146" s="18" t="s">
        <v>45842</v>
      </c>
      <c r="X11146" s="18" t="s">
        <v>35</v>
      </c>
      <c r="Y11146" s="18" t="s">
        <v>17171</v>
      </c>
      <c r="Z11146" s="18" t="s">
        <v>24637</v>
      </c>
      <c r="AA11146" s="21" t="str">
        <f>HYPERLINK("https://www.ncbi.nlm.nih.gov/nuccore/CASDWV010003724","NCBI Nucleotide")</f>
        <v>NCBI Nucleotide</v>
      </c>
    </row>
    <row r="11147" spans="1:27" x14ac:dyDescent="0.35">
      <c r="A11147">
        <v>1027283</v>
      </c>
      <c r="B11147">
        <v>10472</v>
      </c>
      <c r="C11147">
        <v>1</v>
      </c>
      <c r="D11147" s="17" t="s">
        <v>17166</v>
      </c>
      <c r="E11147" s="17"/>
      <c r="F11147" s="17" t="s">
        <v>17246</v>
      </c>
      <c r="G11147" s="17"/>
      <c r="H11147" s="17" t="s">
        <v>20919</v>
      </c>
      <c r="I11147" s="17"/>
      <c r="J11147" s="17" t="s">
        <v>21313</v>
      </c>
      <c r="K11147" s="17"/>
      <c r="L11147" s="17" t="s">
        <v>22378</v>
      </c>
      <c r="M11147" s="17"/>
      <c r="N11147" s="17" t="s">
        <v>22459</v>
      </c>
      <c r="O11147" s="17"/>
      <c r="P11147" s="17" t="s">
        <v>45843</v>
      </c>
      <c r="Q11147" s="17"/>
      <c r="R11147" s="25" t="str">
        <f>HYPERLINK("https://ictv.global/taxonomy/taxondetails?taxnode_id=202317522","Lohwivirus allofaecadaptatum")</f>
        <v>Lohwivirus allofaecadaptatum</v>
      </c>
      <c r="S11147" s="18" t="s">
        <v>30</v>
      </c>
      <c r="T11147" s="18" t="s">
        <v>45844</v>
      </c>
      <c r="U11147" s="18"/>
      <c r="V11147" s="18" t="s">
        <v>45844</v>
      </c>
      <c r="W11147" s="18" t="s">
        <v>45845</v>
      </c>
      <c r="X11147" s="18" t="s">
        <v>35</v>
      </c>
      <c r="Y11147" s="18" t="s">
        <v>17171</v>
      </c>
      <c r="Z11147" s="18" t="s">
        <v>24637</v>
      </c>
      <c r="AA11147" s="21" t="str">
        <f>HYPERLINK("https://www.ncbi.nlm.nih.gov/nuccore/MZ679485","NCBI Nucleotide")</f>
        <v>NCBI Nucleotide</v>
      </c>
    </row>
    <row r="11148" spans="1:27" x14ac:dyDescent="0.35">
      <c r="A11148">
        <v>1027284</v>
      </c>
      <c r="B11148">
        <v>10473</v>
      </c>
      <c r="C11148">
        <v>1</v>
      </c>
      <c r="D11148" s="17" t="s">
        <v>17166</v>
      </c>
      <c r="E11148" s="17"/>
      <c r="F11148" s="17" t="s">
        <v>17246</v>
      </c>
      <c r="G11148" s="17"/>
      <c r="H11148" s="17" t="s">
        <v>20919</v>
      </c>
      <c r="I11148" s="17"/>
      <c r="J11148" s="17" t="s">
        <v>21313</v>
      </c>
      <c r="K11148" s="17"/>
      <c r="L11148" s="17" t="s">
        <v>22378</v>
      </c>
      <c r="M11148" s="17"/>
      <c r="N11148" s="17" t="s">
        <v>22459</v>
      </c>
      <c r="O11148" s="17"/>
      <c r="P11148" s="17" t="s">
        <v>45843</v>
      </c>
      <c r="Q11148" s="17"/>
      <c r="R11148" s="25" t="str">
        <f>HYPERLINK("https://ictv.global/taxonomy/taxondetails?taxnode_id=202317523","Lohwivirus allofaecenecus")</f>
        <v>Lohwivirus allofaecenecus</v>
      </c>
      <c r="S11148" s="18" t="s">
        <v>30</v>
      </c>
      <c r="T11148" s="18" t="s">
        <v>45846</v>
      </c>
      <c r="U11148" s="18"/>
      <c r="V11148" s="18" t="s">
        <v>45846</v>
      </c>
      <c r="W11148" s="18" t="s">
        <v>45847</v>
      </c>
      <c r="X11148" s="18" t="s">
        <v>35</v>
      </c>
      <c r="Y11148" s="18" t="s">
        <v>17171</v>
      </c>
      <c r="Z11148" s="18" t="s">
        <v>24637</v>
      </c>
      <c r="AA11148" s="21" t="str">
        <f>HYPERLINK("https://www.ncbi.nlm.nih.gov/nuccore/MZ679754","NCBI Nucleotide")</f>
        <v>NCBI Nucleotide</v>
      </c>
    </row>
    <row r="11149" spans="1:27" x14ac:dyDescent="0.35">
      <c r="A11149">
        <v>1027285</v>
      </c>
      <c r="B11149">
        <v>10474</v>
      </c>
      <c r="C11149">
        <v>1</v>
      </c>
      <c r="D11149" s="17" t="s">
        <v>17166</v>
      </c>
      <c r="E11149" s="17"/>
      <c r="F11149" s="17" t="s">
        <v>17246</v>
      </c>
      <c r="G11149" s="17"/>
      <c r="H11149" s="17" t="s">
        <v>20919</v>
      </c>
      <c r="I11149" s="17"/>
      <c r="J11149" s="17" t="s">
        <v>21313</v>
      </c>
      <c r="K11149" s="17"/>
      <c r="L11149" s="17" t="s">
        <v>22378</v>
      </c>
      <c r="M11149" s="17"/>
      <c r="N11149" s="17" t="s">
        <v>22459</v>
      </c>
      <c r="O11149" s="17"/>
      <c r="P11149" s="17" t="s">
        <v>45843</v>
      </c>
      <c r="Q11149" s="17"/>
      <c r="R11149" s="25" t="str">
        <f>HYPERLINK("https://ictv.global/taxonomy/taxondetails?taxnode_id=202317524","Lohwivirus allofaecihabitans")</f>
        <v>Lohwivirus allofaecihabitans</v>
      </c>
      <c r="S11149" s="18" t="s">
        <v>30</v>
      </c>
      <c r="T11149" s="18" t="s">
        <v>45848</v>
      </c>
      <c r="U11149" s="18"/>
      <c r="V11149" s="18" t="s">
        <v>45848</v>
      </c>
      <c r="W11149" s="18" t="s">
        <v>45849</v>
      </c>
      <c r="X11149" s="18" t="s">
        <v>35</v>
      </c>
      <c r="Y11149" s="18" t="s">
        <v>17171</v>
      </c>
      <c r="Z11149" s="18" t="s">
        <v>24637</v>
      </c>
      <c r="AA11149" s="21" t="str">
        <f>HYPERLINK("https://www.ncbi.nlm.nih.gov/nuccore/MZ679783","NCBI Nucleotide")</f>
        <v>NCBI Nucleotide</v>
      </c>
    </row>
    <row r="11150" spans="1:27" x14ac:dyDescent="0.35">
      <c r="A11150">
        <v>1027286</v>
      </c>
      <c r="B11150">
        <v>10475</v>
      </c>
      <c r="C11150">
        <v>1</v>
      </c>
      <c r="D11150" s="17" t="s">
        <v>17166</v>
      </c>
      <c r="E11150" s="17"/>
      <c r="F11150" s="17" t="s">
        <v>17246</v>
      </c>
      <c r="G11150" s="17"/>
      <c r="H11150" s="17" t="s">
        <v>20919</v>
      </c>
      <c r="I11150" s="17"/>
      <c r="J11150" s="17" t="s">
        <v>21313</v>
      </c>
      <c r="K11150" s="17"/>
      <c r="L11150" s="17" t="s">
        <v>22378</v>
      </c>
      <c r="M11150" s="17"/>
      <c r="N11150" s="17" t="s">
        <v>22459</v>
      </c>
      <c r="O11150" s="17"/>
      <c r="P11150" s="17" t="s">
        <v>45843</v>
      </c>
      <c r="Q11150" s="17"/>
      <c r="R11150" s="25" t="str">
        <f>HYPERLINK("https://ictv.global/taxonomy/taxondetails?taxnode_id=202317525","Lohwivirus edaphohabitans")</f>
        <v>Lohwivirus edaphohabitans</v>
      </c>
      <c r="S11150" s="18" t="s">
        <v>30</v>
      </c>
      <c r="T11150" s="18" t="s">
        <v>45850</v>
      </c>
      <c r="U11150" s="18"/>
      <c r="V11150" s="18"/>
      <c r="W11150" s="18" t="s">
        <v>45851</v>
      </c>
      <c r="X11150" s="18" t="s">
        <v>35</v>
      </c>
      <c r="Y11150" s="18" t="s">
        <v>17171</v>
      </c>
      <c r="Z11150" s="18" t="s">
        <v>24637</v>
      </c>
      <c r="AA11150" s="21" t="str">
        <f>HYPERLINK("https://www.ncbi.nlm.nih.gov/nuccore/CASDWV010004727","NCBI Nucleotide")</f>
        <v>NCBI Nucleotide</v>
      </c>
    </row>
    <row r="11151" spans="1:27" x14ac:dyDescent="0.35">
      <c r="A11151">
        <v>1027287</v>
      </c>
      <c r="B11151">
        <v>10476</v>
      </c>
      <c r="C11151">
        <v>1</v>
      </c>
      <c r="D11151" s="17" t="s">
        <v>17166</v>
      </c>
      <c r="E11151" s="17"/>
      <c r="F11151" s="17" t="s">
        <v>17246</v>
      </c>
      <c r="G11151" s="17"/>
      <c r="H11151" s="17" t="s">
        <v>20919</v>
      </c>
      <c r="I11151" s="17"/>
      <c r="J11151" s="17" t="s">
        <v>21313</v>
      </c>
      <c r="K11151" s="17"/>
      <c r="L11151" s="17" t="s">
        <v>22378</v>
      </c>
      <c r="M11151" s="17"/>
      <c r="N11151" s="17" t="s">
        <v>22459</v>
      </c>
      <c r="O11151" s="17"/>
      <c r="P11151" s="17" t="s">
        <v>45843</v>
      </c>
      <c r="Q11151" s="17"/>
      <c r="R11151" s="25" t="str">
        <f>HYPERLINK("https://ictv.global/taxonomy/taxondetails?taxnode_id=202317526","Lohwivirus faecihabitans")</f>
        <v>Lohwivirus faecihabitans</v>
      </c>
      <c r="S11151" s="18" t="s">
        <v>30</v>
      </c>
      <c r="T11151" s="18" t="s">
        <v>45852</v>
      </c>
      <c r="U11151" s="18"/>
      <c r="V11151" s="18" t="s">
        <v>45852</v>
      </c>
      <c r="W11151" s="18" t="s">
        <v>45853</v>
      </c>
      <c r="X11151" s="18" t="s">
        <v>35</v>
      </c>
      <c r="Y11151" s="18" t="s">
        <v>17171</v>
      </c>
      <c r="Z11151" s="18" t="s">
        <v>24637</v>
      </c>
      <c r="AA11151" s="21" t="str">
        <f>HYPERLINK("https://www.ncbi.nlm.nih.gov/nuccore/MZ679553","NCBI Nucleotide")</f>
        <v>NCBI Nucleotide</v>
      </c>
    </row>
    <row r="11152" spans="1:27" x14ac:dyDescent="0.35">
      <c r="A11152">
        <v>1027288</v>
      </c>
      <c r="B11152">
        <v>10477</v>
      </c>
      <c r="C11152">
        <v>1</v>
      </c>
      <c r="D11152" s="17" t="s">
        <v>17166</v>
      </c>
      <c r="E11152" s="17"/>
      <c r="F11152" s="17" t="s">
        <v>17246</v>
      </c>
      <c r="G11152" s="17"/>
      <c r="H11152" s="17" t="s">
        <v>20919</v>
      </c>
      <c r="I11152" s="17"/>
      <c r="J11152" s="17" t="s">
        <v>21313</v>
      </c>
      <c r="K11152" s="17"/>
      <c r="L11152" s="17" t="s">
        <v>22378</v>
      </c>
      <c r="M11152" s="17"/>
      <c r="N11152" s="17" t="s">
        <v>22459</v>
      </c>
      <c r="O11152" s="17"/>
      <c r="P11152" s="17" t="s">
        <v>45843</v>
      </c>
      <c r="Q11152" s="17"/>
      <c r="R11152" s="25" t="str">
        <f>HYPERLINK("https://ictv.global/taxonomy/taxondetails?taxnode_id=202317527","Lohwivirus faecivicinum")</f>
        <v>Lohwivirus faecivicinum</v>
      </c>
      <c r="S11152" s="18" t="s">
        <v>30</v>
      </c>
      <c r="T11152" s="18" t="s">
        <v>45854</v>
      </c>
      <c r="U11152" s="18"/>
      <c r="V11152" s="18" t="s">
        <v>45854</v>
      </c>
      <c r="W11152" s="18" t="s">
        <v>45855</v>
      </c>
      <c r="X11152" s="18" t="s">
        <v>35</v>
      </c>
      <c r="Y11152" s="18" t="s">
        <v>17171</v>
      </c>
      <c r="Z11152" s="18" t="s">
        <v>24637</v>
      </c>
      <c r="AA11152" s="21" t="str">
        <f>HYPERLINK("https://www.ncbi.nlm.nih.gov/nuccore/MZ679601","NCBI Nucleotide")</f>
        <v>NCBI Nucleotide</v>
      </c>
    </row>
    <row r="11153" spans="1:27" x14ac:dyDescent="0.35">
      <c r="A11153">
        <v>1027289</v>
      </c>
      <c r="B11153">
        <v>10478</v>
      </c>
      <c r="C11153">
        <v>1</v>
      </c>
      <c r="D11153" s="17" t="s">
        <v>17166</v>
      </c>
      <c r="E11153" s="17"/>
      <c r="F11153" s="17" t="s">
        <v>17246</v>
      </c>
      <c r="G11153" s="17"/>
      <c r="H11153" s="17" t="s">
        <v>20919</v>
      </c>
      <c r="I11153" s="17"/>
      <c r="J11153" s="17" t="s">
        <v>21313</v>
      </c>
      <c r="K11153" s="17"/>
      <c r="L11153" s="17" t="s">
        <v>22378</v>
      </c>
      <c r="M11153" s="17"/>
      <c r="N11153" s="17" t="s">
        <v>22459</v>
      </c>
      <c r="O11153" s="17"/>
      <c r="P11153" s="17" t="s">
        <v>45843</v>
      </c>
      <c r="Q11153" s="17"/>
      <c r="R11153" s="25" t="str">
        <f>HYPERLINK("https://ictv.global/taxonomy/taxondetails?taxnode_id=202317528","Lohwivirus faecivivens")</f>
        <v>Lohwivirus faecivivens</v>
      </c>
      <c r="S11153" s="18" t="s">
        <v>30</v>
      </c>
      <c r="T11153" s="18" t="s">
        <v>45856</v>
      </c>
      <c r="U11153" s="18"/>
      <c r="V11153" s="18" t="s">
        <v>45856</v>
      </c>
      <c r="W11153" s="18" t="s">
        <v>45857</v>
      </c>
      <c r="X11153" s="18" t="s">
        <v>35</v>
      </c>
      <c r="Y11153" s="18" t="s">
        <v>17171</v>
      </c>
      <c r="Z11153" s="18" t="s">
        <v>24637</v>
      </c>
      <c r="AA11153" s="21" t="str">
        <f>HYPERLINK("https://www.ncbi.nlm.nih.gov/nuccore/MZ679666","NCBI Nucleotide")</f>
        <v>NCBI Nucleotide</v>
      </c>
    </row>
    <row r="11154" spans="1:27" x14ac:dyDescent="0.35">
      <c r="A11154">
        <v>1027290</v>
      </c>
      <c r="B11154">
        <v>10479</v>
      </c>
      <c r="C11154">
        <v>1</v>
      </c>
      <c r="D11154" s="17" t="s">
        <v>17166</v>
      </c>
      <c r="E11154" s="17"/>
      <c r="F11154" s="17" t="s">
        <v>17246</v>
      </c>
      <c r="G11154" s="17"/>
      <c r="H11154" s="17" t="s">
        <v>20919</v>
      </c>
      <c r="I11154" s="17"/>
      <c r="J11154" s="17" t="s">
        <v>21313</v>
      </c>
      <c r="K11154" s="17"/>
      <c r="L11154" s="17" t="s">
        <v>22378</v>
      </c>
      <c r="M11154" s="17"/>
      <c r="N11154" s="17" t="s">
        <v>22459</v>
      </c>
      <c r="O11154" s="17"/>
      <c r="P11154" s="17" t="s">
        <v>45843</v>
      </c>
      <c r="Q11154" s="17"/>
      <c r="R11154" s="25" t="str">
        <f>HYPERLINK("https://ictv.global/taxonomy/taxondetails?taxnode_id=202317529","Lohwivirus montisadaptatum")</f>
        <v>Lohwivirus montisadaptatum</v>
      </c>
      <c r="S11154" s="18" t="s">
        <v>30</v>
      </c>
      <c r="T11154" s="18" t="s">
        <v>45858</v>
      </c>
      <c r="U11154" s="18"/>
      <c r="V11154" s="18" t="s">
        <v>45858</v>
      </c>
      <c r="W11154" s="18" t="s">
        <v>45859</v>
      </c>
      <c r="X11154" s="18" t="s">
        <v>35</v>
      </c>
      <c r="Y11154" s="18" t="s">
        <v>17171</v>
      </c>
      <c r="Z11154" s="18" t="s">
        <v>24637</v>
      </c>
      <c r="AA11154" s="21" t="str">
        <f>HYPERLINK("https://www.ncbi.nlm.nih.gov/nuccore/MZ679502","NCBI Nucleotide")</f>
        <v>NCBI Nucleotide</v>
      </c>
    </row>
    <row r="11155" spans="1:27" x14ac:dyDescent="0.35">
      <c r="A11155">
        <v>1027291</v>
      </c>
      <c r="B11155">
        <v>10480</v>
      </c>
      <c r="C11155">
        <v>1</v>
      </c>
      <c r="D11155" s="17" t="s">
        <v>17166</v>
      </c>
      <c r="E11155" s="17"/>
      <c r="F11155" s="17" t="s">
        <v>17246</v>
      </c>
      <c r="G11155" s="17"/>
      <c r="H11155" s="17" t="s">
        <v>20919</v>
      </c>
      <c r="I11155" s="17"/>
      <c r="J11155" s="17" t="s">
        <v>21313</v>
      </c>
      <c r="K11155" s="17"/>
      <c r="L11155" s="17" t="s">
        <v>22378</v>
      </c>
      <c r="M11155" s="17"/>
      <c r="N11155" s="17" t="s">
        <v>22459</v>
      </c>
      <c r="O11155" s="17"/>
      <c r="P11155" s="17" t="s">
        <v>45843</v>
      </c>
      <c r="Q11155" s="17"/>
      <c r="R11155" s="25" t="str">
        <f>HYPERLINK("https://ictv.global/taxonomy/taxondetails?taxnode_id=202317530","Lohwivirus neofaecivivens")</f>
        <v>Lohwivirus neofaecivivens</v>
      </c>
      <c r="S11155" s="18" t="s">
        <v>30</v>
      </c>
      <c r="T11155" s="18" t="s">
        <v>45860</v>
      </c>
      <c r="U11155" s="18"/>
      <c r="V11155" s="18" t="s">
        <v>45860</v>
      </c>
      <c r="W11155" s="18" t="s">
        <v>45861</v>
      </c>
      <c r="X11155" s="18" t="s">
        <v>35</v>
      </c>
      <c r="Y11155" s="18" t="s">
        <v>17171</v>
      </c>
      <c r="Z11155" s="18" t="s">
        <v>24637</v>
      </c>
      <c r="AA11155" s="21" t="str">
        <f>HYPERLINK("https://www.ncbi.nlm.nih.gov/nuccore/MZ679586","NCBI Nucleotide")</f>
        <v>NCBI Nucleotide</v>
      </c>
    </row>
    <row r="11156" spans="1:27" x14ac:dyDescent="0.35">
      <c r="A11156">
        <v>1027292</v>
      </c>
      <c r="B11156">
        <v>10481</v>
      </c>
      <c r="C11156">
        <v>1</v>
      </c>
      <c r="D11156" s="17" t="s">
        <v>17166</v>
      </c>
      <c r="E11156" s="17"/>
      <c r="F11156" s="17" t="s">
        <v>17246</v>
      </c>
      <c r="G11156" s="17"/>
      <c r="H11156" s="17" t="s">
        <v>20919</v>
      </c>
      <c r="I11156" s="17"/>
      <c r="J11156" s="17" t="s">
        <v>21313</v>
      </c>
      <c r="K11156" s="17"/>
      <c r="L11156" s="17" t="s">
        <v>22378</v>
      </c>
      <c r="M11156" s="17"/>
      <c r="N11156" s="17" t="s">
        <v>22459</v>
      </c>
      <c r="O11156" s="17"/>
      <c r="P11156" s="17" t="s">
        <v>45843</v>
      </c>
      <c r="Q11156" s="17"/>
      <c r="R11156" s="25" t="str">
        <f>HYPERLINK("https://ictv.global/taxonomy/taxondetails?taxnode_id=202317531","Lohwivirus pseudofaecadaptatum")</f>
        <v>Lohwivirus pseudofaecadaptatum</v>
      </c>
      <c r="S11156" s="18" t="s">
        <v>30</v>
      </c>
      <c r="T11156" s="18" t="s">
        <v>45862</v>
      </c>
      <c r="U11156" s="18"/>
      <c r="V11156" s="18" t="s">
        <v>45862</v>
      </c>
      <c r="W11156" s="18" t="s">
        <v>45863</v>
      </c>
      <c r="X11156" s="18" t="s">
        <v>35</v>
      </c>
      <c r="Y11156" s="18" t="s">
        <v>17171</v>
      </c>
      <c r="Z11156" s="18" t="s">
        <v>24637</v>
      </c>
      <c r="AA11156" s="21" t="str">
        <f>HYPERLINK("https://www.ncbi.nlm.nih.gov/nuccore/MZ679531","NCBI Nucleotide")</f>
        <v>NCBI Nucleotide</v>
      </c>
    </row>
    <row r="11157" spans="1:27" x14ac:dyDescent="0.35">
      <c r="A11157">
        <v>1027293</v>
      </c>
      <c r="B11157">
        <v>10482</v>
      </c>
      <c r="C11157">
        <v>1</v>
      </c>
      <c r="D11157" s="17" t="s">
        <v>17166</v>
      </c>
      <c r="E11157" s="17"/>
      <c r="F11157" s="17" t="s">
        <v>17246</v>
      </c>
      <c r="G11157" s="17"/>
      <c r="H11157" s="17" t="s">
        <v>20919</v>
      </c>
      <c r="I11157" s="17"/>
      <c r="J11157" s="17" t="s">
        <v>21313</v>
      </c>
      <c r="K11157" s="17"/>
      <c r="L11157" s="17" t="s">
        <v>22378</v>
      </c>
      <c r="M11157" s="17"/>
      <c r="N11157" s="17" t="s">
        <v>22459</v>
      </c>
      <c r="O11157" s="17"/>
      <c r="P11157" s="17" t="s">
        <v>45843</v>
      </c>
      <c r="Q11157" s="17"/>
      <c r="R11157" s="25" t="str">
        <f>HYPERLINK("https://ictv.global/taxonomy/taxondetails?taxnode_id=202317532","Lohwivirus pseudofaecenecus")</f>
        <v>Lohwivirus pseudofaecenecus</v>
      </c>
      <c r="S11157" s="18" t="s">
        <v>30</v>
      </c>
      <c r="T11157" s="18" t="s">
        <v>45864</v>
      </c>
      <c r="U11157" s="18"/>
      <c r="V11157" s="18" t="s">
        <v>45864</v>
      </c>
      <c r="W11157" s="18" t="s">
        <v>45865</v>
      </c>
      <c r="X11157" s="18" t="s">
        <v>35</v>
      </c>
      <c r="Y11157" s="18" t="s">
        <v>17171</v>
      </c>
      <c r="Z11157" s="18" t="s">
        <v>24637</v>
      </c>
      <c r="AA11157" s="21" t="str">
        <f>HYPERLINK("https://www.ncbi.nlm.nih.gov/nuccore/MZ679519","NCBI Nucleotide")</f>
        <v>NCBI Nucleotide</v>
      </c>
    </row>
    <row r="11158" spans="1:27" x14ac:dyDescent="0.35">
      <c r="A11158">
        <v>1027294</v>
      </c>
      <c r="B11158">
        <v>10483</v>
      </c>
      <c r="C11158">
        <v>1</v>
      </c>
      <c r="D11158" s="17" t="s">
        <v>17166</v>
      </c>
      <c r="E11158" s="17"/>
      <c r="F11158" s="17" t="s">
        <v>17246</v>
      </c>
      <c r="G11158" s="17"/>
      <c r="H11158" s="17" t="s">
        <v>20919</v>
      </c>
      <c r="I11158" s="17"/>
      <c r="J11158" s="17" t="s">
        <v>21313</v>
      </c>
      <c r="K11158" s="17"/>
      <c r="L11158" s="17" t="s">
        <v>22378</v>
      </c>
      <c r="M11158" s="17"/>
      <c r="N11158" s="17" t="s">
        <v>22459</v>
      </c>
      <c r="O11158" s="17"/>
      <c r="P11158" s="17" t="s">
        <v>45843</v>
      </c>
      <c r="Q11158" s="17"/>
      <c r="R11158" s="25" t="str">
        <f>HYPERLINK("https://ictv.global/taxonomy/taxondetails?taxnode_id=202317533","Lohwivirus pseudofaecicola")</f>
        <v>Lohwivirus pseudofaecicola</v>
      </c>
      <c r="S11158" s="18" t="s">
        <v>30</v>
      </c>
      <c r="T11158" s="18" t="s">
        <v>45866</v>
      </c>
      <c r="U11158" s="18"/>
      <c r="V11158" s="18" t="s">
        <v>45866</v>
      </c>
      <c r="W11158" s="18" t="s">
        <v>45867</v>
      </c>
      <c r="X11158" s="18" t="s">
        <v>35</v>
      </c>
      <c r="Y11158" s="18" t="s">
        <v>17171</v>
      </c>
      <c r="Z11158" s="18" t="s">
        <v>24637</v>
      </c>
      <c r="AA11158" s="21" t="str">
        <f>HYPERLINK("https://www.ncbi.nlm.nih.gov/nuccore/MZ679535","NCBI Nucleotide")</f>
        <v>NCBI Nucleotide</v>
      </c>
    </row>
    <row r="11159" spans="1:27" x14ac:dyDescent="0.35">
      <c r="A11159">
        <v>1027295</v>
      </c>
      <c r="B11159">
        <v>10484</v>
      </c>
      <c r="C11159">
        <v>1</v>
      </c>
      <c r="D11159" s="17" t="s">
        <v>17166</v>
      </c>
      <c r="E11159" s="17"/>
      <c r="F11159" s="17" t="s">
        <v>17246</v>
      </c>
      <c r="G11159" s="17"/>
      <c r="H11159" s="17" t="s">
        <v>20919</v>
      </c>
      <c r="I11159" s="17"/>
      <c r="J11159" s="17" t="s">
        <v>21313</v>
      </c>
      <c r="K11159" s="17"/>
      <c r="L11159" s="17" t="s">
        <v>22378</v>
      </c>
      <c r="M11159" s="17"/>
      <c r="N11159" s="17" t="s">
        <v>22459</v>
      </c>
      <c r="O11159" s="17"/>
      <c r="P11159" s="17" t="s">
        <v>45843</v>
      </c>
      <c r="Q11159" s="17"/>
      <c r="R11159" s="25" t="str">
        <f>HYPERLINK("https://ictv.global/taxonomy/taxondetails?taxnode_id=202317534","Lohwivirus pseudofaecihabitans")</f>
        <v>Lohwivirus pseudofaecihabitans</v>
      </c>
      <c r="S11159" s="18" t="s">
        <v>30</v>
      </c>
      <c r="T11159" s="18" t="s">
        <v>45868</v>
      </c>
      <c r="U11159" s="18"/>
      <c r="V11159" s="18" t="s">
        <v>45868</v>
      </c>
      <c r="W11159" s="18" t="s">
        <v>45869</v>
      </c>
      <c r="X11159" s="18" t="s">
        <v>35</v>
      </c>
      <c r="Y11159" s="18" t="s">
        <v>17171</v>
      </c>
      <c r="Z11159" s="18" t="s">
        <v>24637</v>
      </c>
      <c r="AA11159" s="21" t="str">
        <f>HYPERLINK("https://www.ncbi.nlm.nih.gov/nuccore/MZ679558","NCBI Nucleotide")</f>
        <v>NCBI Nucleotide</v>
      </c>
    </row>
    <row r="11160" spans="1:27" x14ac:dyDescent="0.35">
      <c r="A11160">
        <v>1027296</v>
      </c>
      <c r="B11160">
        <v>10485</v>
      </c>
      <c r="C11160">
        <v>1</v>
      </c>
      <c r="D11160" s="17" t="s">
        <v>17166</v>
      </c>
      <c r="E11160" s="17"/>
      <c r="F11160" s="17" t="s">
        <v>17246</v>
      </c>
      <c r="G11160" s="17"/>
      <c r="H11160" s="17" t="s">
        <v>20919</v>
      </c>
      <c r="I11160" s="17"/>
      <c r="J11160" s="17" t="s">
        <v>21313</v>
      </c>
      <c r="K11160" s="17"/>
      <c r="L11160" s="17" t="s">
        <v>22378</v>
      </c>
      <c r="M11160" s="17"/>
      <c r="N11160" s="17" t="s">
        <v>22459</v>
      </c>
      <c r="O11160" s="17"/>
      <c r="P11160" s="17" t="s">
        <v>45843</v>
      </c>
      <c r="Q11160" s="17"/>
      <c r="R11160" s="25" t="str">
        <f>HYPERLINK("https://ictv.global/taxonomy/taxondetails?taxnode_id=202317535","Lohwivirus pseudofaecivicinum")</f>
        <v>Lohwivirus pseudofaecivicinum</v>
      </c>
      <c r="S11160" s="18" t="s">
        <v>30</v>
      </c>
      <c r="T11160" s="18" t="s">
        <v>45870</v>
      </c>
      <c r="U11160" s="18"/>
      <c r="V11160" s="18" t="s">
        <v>45870</v>
      </c>
      <c r="W11160" s="18" t="s">
        <v>45871</v>
      </c>
      <c r="X11160" s="18" t="s">
        <v>35</v>
      </c>
      <c r="Y11160" s="18" t="s">
        <v>17171</v>
      </c>
      <c r="Z11160" s="18" t="s">
        <v>24637</v>
      </c>
      <c r="AA11160" s="21" t="str">
        <f>HYPERLINK("https://www.ncbi.nlm.nih.gov/nuccore/MZ680341","NCBI Nucleotide")</f>
        <v>NCBI Nucleotide</v>
      </c>
    </row>
    <row r="11161" spans="1:27" x14ac:dyDescent="0.35">
      <c r="A11161">
        <v>1027297</v>
      </c>
      <c r="B11161">
        <v>10486</v>
      </c>
      <c r="C11161">
        <v>1</v>
      </c>
      <c r="D11161" s="17" t="s">
        <v>17166</v>
      </c>
      <c r="E11161" s="17"/>
      <c r="F11161" s="17" t="s">
        <v>17246</v>
      </c>
      <c r="G11161" s="17"/>
      <c r="H11161" s="17" t="s">
        <v>20919</v>
      </c>
      <c r="I11161" s="17"/>
      <c r="J11161" s="17" t="s">
        <v>21313</v>
      </c>
      <c r="K11161" s="17"/>
      <c r="L11161" s="17" t="s">
        <v>22378</v>
      </c>
      <c r="M11161" s="17"/>
      <c r="N11161" s="17" t="s">
        <v>22459</v>
      </c>
      <c r="O11161" s="17"/>
      <c r="P11161" s="17" t="s">
        <v>45843</v>
      </c>
      <c r="Q11161" s="17"/>
      <c r="R11161" s="25" t="str">
        <f>HYPERLINK("https://ictv.global/taxonomy/taxondetails?taxnode_id=202317536","Lohwivirus pseudofaecivivens")</f>
        <v>Lohwivirus pseudofaecivivens</v>
      </c>
      <c r="S11161" s="18" t="s">
        <v>30</v>
      </c>
      <c r="T11161" s="18" t="s">
        <v>45872</v>
      </c>
      <c r="U11161" s="18"/>
      <c r="V11161" s="18" t="s">
        <v>45872</v>
      </c>
      <c r="W11161" s="18" t="s">
        <v>45873</v>
      </c>
      <c r="X11161" s="18" t="s">
        <v>35</v>
      </c>
      <c r="Y11161" s="18" t="s">
        <v>17171</v>
      </c>
      <c r="Z11161" s="18" t="s">
        <v>24637</v>
      </c>
      <c r="AA11161" s="21" t="str">
        <f>HYPERLINK("https://www.ncbi.nlm.nih.gov/nuccore/MZ679530","NCBI Nucleotide")</f>
        <v>NCBI Nucleotide</v>
      </c>
    </row>
    <row r="11162" spans="1:27" x14ac:dyDescent="0.35">
      <c r="A11162">
        <v>1027299</v>
      </c>
      <c r="B11162">
        <v>10487</v>
      </c>
      <c r="C11162">
        <v>1</v>
      </c>
      <c r="D11162" s="17" t="s">
        <v>17166</v>
      </c>
      <c r="E11162" s="17"/>
      <c r="F11162" s="17" t="s">
        <v>17246</v>
      </c>
      <c r="G11162" s="17"/>
      <c r="H11162" s="17" t="s">
        <v>20919</v>
      </c>
      <c r="I11162" s="17"/>
      <c r="J11162" s="17" t="s">
        <v>21313</v>
      </c>
      <c r="K11162" s="17"/>
      <c r="L11162" s="17" t="s">
        <v>22378</v>
      </c>
      <c r="M11162" s="17"/>
      <c r="N11162" s="17" t="s">
        <v>22459</v>
      </c>
      <c r="O11162" s="17"/>
      <c r="P11162" s="17" t="s">
        <v>45874</v>
      </c>
      <c r="Q11162" s="17"/>
      <c r="R11162" s="25" t="str">
        <f>HYPERLINK("https://ictv.global/taxonomy/taxondetails?taxnode_id=202317537","Loimivirus nemorisvicinum")</f>
        <v>Loimivirus nemorisvicinum</v>
      </c>
      <c r="S11162" s="18" t="s">
        <v>30</v>
      </c>
      <c r="T11162" s="18" t="s">
        <v>45875</v>
      </c>
      <c r="U11162" s="18"/>
      <c r="V11162" s="18" t="s">
        <v>45875</v>
      </c>
      <c r="W11162" s="18" t="s">
        <v>45876</v>
      </c>
      <c r="X11162" s="18" t="s">
        <v>35</v>
      </c>
      <c r="Y11162" s="18" t="s">
        <v>17171</v>
      </c>
      <c r="Z11162" s="18" t="s">
        <v>24637</v>
      </c>
      <c r="AA11162" s="21" t="str">
        <f>HYPERLINK("https://www.ncbi.nlm.nih.gov/nuccore/MZ679683","NCBI Nucleotide")</f>
        <v>NCBI Nucleotide</v>
      </c>
    </row>
    <row r="11163" spans="1:27" x14ac:dyDescent="0.35">
      <c r="A11163">
        <v>1010094</v>
      </c>
      <c r="B11163">
        <v>10488</v>
      </c>
      <c r="C11163">
        <v>1</v>
      </c>
      <c r="D11163" s="17" t="s">
        <v>17166</v>
      </c>
      <c r="E11163" s="17"/>
      <c r="F11163" s="17" t="s">
        <v>17246</v>
      </c>
      <c r="G11163" s="17"/>
      <c r="H11163" s="17" t="s">
        <v>20919</v>
      </c>
      <c r="I11163" s="17"/>
      <c r="J11163" s="17" t="s">
        <v>21313</v>
      </c>
      <c r="K11163" s="17"/>
      <c r="L11163" s="17" t="s">
        <v>22378</v>
      </c>
      <c r="M11163" s="17"/>
      <c r="N11163" s="17" t="s">
        <v>22459</v>
      </c>
      <c r="O11163" s="17"/>
      <c r="P11163" s="17" t="s">
        <v>23036</v>
      </c>
      <c r="Q11163" s="17"/>
      <c r="R11163" s="25" t="str">
        <f>HYPERLINK("https://ictv.global/taxonomy/taxondetails?taxnode_id=202311324","Lomnativirus arvihabitans")</f>
        <v>Lomnativirus arvihabitans</v>
      </c>
      <c r="S11163" s="18" t="s">
        <v>30</v>
      </c>
      <c r="T11163" s="18" t="s">
        <v>23037</v>
      </c>
      <c r="U11163" s="18"/>
      <c r="V11163" s="18"/>
      <c r="W11163" s="18" t="s">
        <v>23038</v>
      </c>
      <c r="X11163" s="18" t="s">
        <v>35</v>
      </c>
      <c r="Y11163" s="18" t="s">
        <v>17171</v>
      </c>
      <c r="Z11163" s="18" t="s">
        <v>697</v>
      </c>
      <c r="AA11163" s="21" t="str">
        <f>HYPERLINK("https://www.ncbi.nlm.nih.gov/nuccore/BK013864","NCBI Nucleotide")</f>
        <v>NCBI Nucleotide</v>
      </c>
    </row>
    <row r="11164" spans="1:27" x14ac:dyDescent="0.35">
      <c r="A11164">
        <v>1027326</v>
      </c>
      <c r="B11164">
        <v>10489</v>
      </c>
      <c r="C11164">
        <v>1</v>
      </c>
      <c r="D11164" s="17" t="s">
        <v>17166</v>
      </c>
      <c r="E11164" s="17"/>
      <c r="F11164" s="17" t="s">
        <v>17246</v>
      </c>
      <c r="G11164" s="17"/>
      <c r="H11164" s="17" t="s">
        <v>20919</v>
      </c>
      <c r="I11164" s="17"/>
      <c r="J11164" s="17" t="s">
        <v>21313</v>
      </c>
      <c r="K11164" s="17"/>
      <c r="L11164" s="17" t="s">
        <v>22378</v>
      </c>
      <c r="M11164" s="17"/>
      <c r="N11164" s="17" t="s">
        <v>22459</v>
      </c>
      <c r="O11164" s="17"/>
      <c r="P11164" s="17" t="s">
        <v>23039</v>
      </c>
      <c r="Q11164" s="17"/>
      <c r="R11164" s="25" t="str">
        <f>HYPERLINK("https://ictv.global/taxonomy/taxondetails?taxnode_id=202317538","Loptevirus agrihabitans")</f>
        <v>Loptevirus agrihabitans</v>
      </c>
      <c r="S11164" s="18" t="s">
        <v>30</v>
      </c>
      <c r="T11164" s="18" t="s">
        <v>45877</v>
      </c>
      <c r="U11164" s="18"/>
      <c r="V11164" s="18"/>
      <c r="W11164" s="18" t="s">
        <v>45878</v>
      </c>
      <c r="X11164" s="18" t="s">
        <v>35</v>
      </c>
      <c r="Y11164" s="18" t="s">
        <v>17171</v>
      </c>
      <c r="Z11164" s="18" t="s">
        <v>24637</v>
      </c>
      <c r="AA11164" s="21" t="str">
        <f>HYPERLINK("https://www.ncbi.nlm.nih.gov/nuccore/CASDWV010002162","NCBI Nucleotide")</f>
        <v>NCBI Nucleotide</v>
      </c>
    </row>
    <row r="11165" spans="1:27" x14ac:dyDescent="0.35">
      <c r="A11165">
        <v>1010095</v>
      </c>
      <c r="B11165">
        <v>10490</v>
      </c>
      <c r="C11165">
        <v>1</v>
      </c>
      <c r="D11165" s="17" t="s">
        <v>17166</v>
      </c>
      <c r="E11165" s="17"/>
      <c r="F11165" s="17" t="s">
        <v>17246</v>
      </c>
      <c r="G11165" s="17"/>
      <c r="H11165" s="17" t="s">
        <v>20919</v>
      </c>
      <c r="I11165" s="17"/>
      <c r="J11165" s="17" t="s">
        <v>21313</v>
      </c>
      <c r="K11165" s="17"/>
      <c r="L11165" s="17" t="s">
        <v>22378</v>
      </c>
      <c r="M11165" s="17"/>
      <c r="N11165" s="17" t="s">
        <v>22459</v>
      </c>
      <c r="O11165" s="17"/>
      <c r="P11165" s="17" t="s">
        <v>23039</v>
      </c>
      <c r="Q11165" s="17"/>
      <c r="R11165" s="25" t="str">
        <f>HYPERLINK("https://ictv.global/taxonomy/taxondetails?taxnode_id=202311326","Loptevirus arvivicinum")</f>
        <v>Loptevirus arvivicinum</v>
      </c>
      <c r="S11165" s="18" t="s">
        <v>30</v>
      </c>
      <c r="T11165" s="18" t="s">
        <v>23040</v>
      </c>
      <c r="U11165" s="18"/>
      <c r="V11165" s="18"/>
      <c r="W11165" s="18" t="s">
        <v>23041</v>
      </c>
      <c r="X11165" s="18" t="s">
        <v>35</v>
      </c>
      <c r="Y11165" s="18" t="s">
        <v>17171</v>
      </c>
      <c r="Z11165" s="18" t="s">
        <v>697</v>
      </c>
      <c r="AA11165" s="21" t="str">
        <f>HYPERLINK("https://www.ncbi.nlm.nih.gov/nuccore/BK013538","NCBI Nucleotide")</f>
        <v>NCBI Nucleotide</v>
      </c>
    </row>
    <row r="11166" spans="1:27" x14ac:dyDescent="0.35">
      <c r="A11166">
        <v>1010096</v>
      </c>
      <c r="B11166">
        <v>10491</v>
      </c>
      <c r="C11166">
        <v>1</v>
      </c>
      <c r="D11166" s="17" t="s">
        <v>17166</v>
      </c>
      <c r="E11166" s="17"/>
      <c r="F11166" s="17" t="s">
        <v>17246</v>
      </c>
      <c r="G11166" s="17"/>
      <c r="H11166" s="17" t="s">
        <v>20919</v>
      </c>
      <c r="I11166" s="17"/>
      <c r="J11166" s="17" t="s">
        <v>21313</v>
      </c>
      <c r="K11166" s="17"/>
      <c r="L11166" s="17" t="s">
        <v>22378</v>
      </c>
      <c r="M11166" s="17"/>
      <c r="N11166" s="17" t="s">
        <v>22459</v>
      </c>
      <c r="O11166" s="17"/>
      <c r="P11166" s="17" t="s">
        <v>23039</v>
      </c>
      <c r="Q11166" s="17"/>
      <c r="R11166" s="25" t="str">
        <f>HYPERLINK("https://ictv.global/taxonomy/taxondetails?taxnode_id=202311328","Loptevirus arvivivens")</f>
        <v>Loptevirus arvivivens</v>
      </c>
      <c r="S11166" s="18" t="s">
        <v>30</v>
      </c>
      <c r="T11166" s="18" t="s">
        <v>23042</v>
      </c>
      <c r="U11166" s="18"/>
      <c r="V11166" s="18"/>
      <c r="W11166" s="18" t="s">
        <v>23043</v>
      </c>
      <c r="X11166" s="18" t="s">
        <v>35</v>
      </c>
      <c r="Y11166" s="18" t="s">
        <v>17171</v>
      </c>
      <c r="Z11166" s="18" t="s">
        <v>697</v>
      </c>
      <c r="AA11166" s="21" t="str">
        <f>HYPERLINK("https://www.ncbi.nlm.nih.gov/nuccore/BK013446","NCBI Nucleotide")</f>
        <v>NCBI Nucleotide</v>
      </c>
    </row>
    <row r="11167" spans="1:27" x14ac:dyDescent="0.35">
      <c r="A11167">
        <v>1010097</v>
      </c>
      <c r="B11167">
        <v>10492</v>
      </c>
      <c r="C11167">
        <v>1</v>
      </c>
      <c r="D11167" s="17" t="s">
        <v>17166</v>
      </c>
      <c r="E11167" s="17"/>
      <c r="F11167" s="17" t="s">
        <v>17246</v>
      </c>
      <c r="G11167" s="17"/>
      <c r="H11167" s="17" t="s">
        <v>20919</v>
      </c>
      <c r="I11167" s="17"/>
      <c r="J11167" s="17" t="s">
        <v>21313</v>
      </c>
      <c r="K11167" s="17"/>
      <c r="L11167" s="17" t="s">
        <v>22378</v>
      </c>
      <c r="M11167" s="17"/>
      <c r="N11167" s="17" t="s">
        <v>22459</v>
      </c>
      <c r="O11167" s="17"/>
      <c r="P11167" s="17" t="s">
        <v>23039</v>
      </c>
      <c r="Q11167" s="17"/>
      <c r="R11167" s="25" t="str">
        <f>HYPERLINK("https://ictv.global/taxonomy/taxondetails?taxnode_id=202311327","Loptevirus caenenecus")</f>
        <v>Loptevirus caenenecus</v>
      </c>
      <c r="S11167" s="18" t="s">
        <v>30</v>
      </c>
      <c r="T11167" s="18" t="s">
        <v>23044</v>
      </c>
      <c r="U11167" s="18"/>
      <c r="V11167" s="18"/>
      <c r="W11167" s="18" t="s">
        <v>23045</v>
      </c>
      <c r="X11167" s="18" t="s">
        <v>35</v>
      </c>
      <c r="Y11167" s="18" t="s">
        <v>17171</v>
      </c>
      <c r="Z11167" s="18" t="s">
        <v>697</v>
      </c>
      <c r="AA11167" s="21" t="str">
        <f>HYPERLINK("https://www.ncbi.nlm.nih.gov/nuccore/BK014064","NCBI Nucleotide")</f>
        <v>NCBI Nucleotide</v>
      </c>
    </row>
    <row r="11168" spans="1:27" x14ac:dyDescent="0.35">
      <c r="A11168">
        <v>1027327</v>
      </c>
      <c r="B11168">
        <v>10493</v>
      </c>
      <c r="C11168">
        <v>1</v>
      </c>
      <c r="D11168" s="17" t="s">
        <v>17166</v>
      </c>
      <c r="E11168" s="17"/>
      <c r="F11168" s="17" t="s">
        <v>17246</v>
      </c>
      <c r="G11168" s="17"/>
      <c r="H11168" s="17" t="s">
        <v>20919</v>
      </c>
      <c r="I11168" s="17"/>
      <c r="J11168" s="17" t="s">
        <v>21313</v>
      </c>
      <c r="K11168" s="17"/>
      <c r="L11168" s="17" t="s">
        <v>22378</v>
      </c>
      <c r="M11168" s="17"/>
      <c r="N11168" s="17" t="s">
        <v>22459</v>
      </c>
      <c r="O11168" s="17"/>
      <c r="P11168" s="17" t="s">
        <v>23039</v>
      </c>
      <c r="Q11168" s="17"/>
      <c r="R11168" s="25" t="str">
        <f>HYPERLINK("https://ictv.global/taxonomy/taxondetails?taxnode_id=202317539","Loptevirus chthonadaptatum")</f>
        <v>Loptevirus chthonadaptatum</v>
      </c>
      <c r="S11168" s="18" t="s">
        <v>30</v>
      </c>
      <c r="T11168" s="18" t="s">
        <v>45879</v>
      </c>
      <c r="U11168" s="18"/>
      <c r="V11168" s="18"/>
      <c r="W11168" s="18" t="s">
        <v>45880</v>
      </c>
      <c r="X11168" s="18" t="s">
        <v>35</v>
      </c>
      <c r="Y11168" s="18" t="s">
        <v>17171</v>
      </c>
      <c r="Z11168" s="18" t="s">
        <v>24637</v>
      </c>
      <c r="AA11168" s="21" t="str">
        <f>HYPERLINK("https://www.ncbi.nlm.nih.gov/nuccore/CASDWV010000674","NCBI Nucleotide")</f>
        <v>NCBI Nucleotide</v>
      </c>
    </row>
    <row r="11169" spans="1:27" x14ac:dyDescent="0.35">
      <c r="A11169">
        <v>1027328</v>
      </c>
      <c r="B11169">
        <v>10494</v>
      </c>
      <c r="C11169">
        <v>1</v>
      </c>
      <c r="D11169" s="17" t="s">
        <v>17166</v>
      </c>
      <c r="E11169" s="17"/>
      <c r="F11169" s="17" t="s">
        <v>17246</v>
      </c>
      <c r="G11169" s="17"/>
      <c r="H11169" s="17" t="s">
        <v>20919</v>
      </c>
      <c r="I11169" s="17"/>
      <c r="J11169" s="17" t="s">
        <v>21313</v>
      </c>
      <c r="K11169" s="17"/>
      <c r="L11169" s="17" t="s">
        <v>22378</v>
      </c>
      <c r="M11169" s="17"/>
      <c r="N11169" s="17" t="s">
        <v>22459</v>
      </c>
      <c r="O11169" s="17"/>
      <c r="P11169" s="17" t="s">
        <v>23039</v>
      </c>
      <c r="Q11169" s="17"/>
      <c r="R11169" s="25" t="str">
        <f>HYPERLINK("https://ictv.global/taxonomy/taxondetails?taxnode_id=202317540","Loptevirus segetadaptatum")</f>
        <v>Loptevirus segetadaptatum</v>
      </c>
      <c r="S11169" s="18" t="s">
        <v>30</v>
      </c>
      <c r="T11169" s="18" t="s">
        <v>45881</v>
      </c>
      <c r="U11169" s="18"/>
      <c r="V11169" s="18"/>
      <c r="W11169" s="18" t="s">
        <v>45882</v>
      </c>
      <c r="X11169" s="18" t="s">
        <v>35</v>
      </c>
      <c r="Y11169" s="18" t="s">
        <v>17171</v>
      </c>
      <c r="Z11169" s="18" t="s">
        <v>24637</v>
      </c>
      <c r="AA11169" s="21" t="str">
        <f>HYPERLINK("https://www.ncbi.nlm.nih.gov/nuccore/CASDWV010001951","NCBI Nucleotide")</f>
        <v>NCBI Nucleotide</v>
      </c>
    </row>
    <row r="11170" spans="1:27" x14ac:dyDescent="0.35">
      <c r="A11170">
        <v>1027329</v>
      </c>
      <c r="B11170">
        <v>10495</v>
      </c>
      <c r="C11170">
        <v>1</v>
      </c>
      <c r="D11170" s="17" t="s">
        <v>17166</v>
      </c>
      <c r="E11170" s="17"/>
      <c r="F11170" s="17" t="s">
        <v>17246</v>
      </c>
      <c r="G11170" s="17"/>
      <c r="H11170" s="17" t="s">
        <v>20919</v>
      </c>
      <c r="I11170" s="17"/>
      <c r="J11170" s="17" t="s">
        <v>21313</v>
      </c>
      <c r="K11170" s="17"/>
      <c r="L11170" s="17" t="s">
        <v>22378</v>
      </c>
      <c r="M11170" s="17"/>
      <c r="N11170" s="17" t="s">
        <v>22459</v>
      </c>
      <c r="O11170" s="17"/>
      <c r="P11170" s="17" t="s">
        <v>23039</v>
      </c>
      <c r="Q11170" s="17"/>
      <c r="R11170" s="25" t="str">
        <f>HYPERLINK("https://ictv.global/taxonomy/taxondetails?taxnode_id=202317541","Loptevirus soladaptatum")</f>
        <v>Loptevirus soladaptatum</v>
      </c>
      <c r="S11170" s="18" t="s">
        <v>30</v>
      </c>
      <c r="T11170" s="18" t="s">
        <v>45883</v>
      </c>
      <c r="U11170" s="18"/>
      <c r="V11170" s="18"/>
      <c r="W11170" s="18" t="s">
        <v>45884</v>
      </c>
      <c r="X11170" s="18" t="s">
        <v>35</v>
      </c>
      <c r="Y11170" s="18" t="s">
        <v>17171</v>
      </c>
      <c r="Z11170" s="18" t="s">
        <v>24637</v>
      </c>
      <c r="AA11170" s="21" t="str">
        <f>HYPERLINK("https://www.ncbi.nlm.nih.gov/nuccore/CASDWV010000082","NCBI Nucleotide")</f>
        <v>NCBI Nucleotide</v>
      </c>
    </row>
    <row r="11171" spans="1:27" x14ac:dyDescent="0.35">
      <c r="A11171">
        <v>1027330</v>
      </c>
      <c r="B11171">
        <v>10496</v>
      </c>
      <c r="C11171">
        <v>1</v>
      </c>
      <c r="D11171" s="17" t="s">
        <v>17166</v>
      </c>
      <c r="E11171" s="17"/>
      <c r="F11171" s="17" t="s">
        <v>17246</v>
      </c>
      <c r="G11171" s="17"/>
      <c r="H11171" s="17" t="s">
        <v>20919</v>
      </c>
      <c r="I11171" s="17"/>
      <c r="J11171" s="17" t="s">
        <v>21313</v>
      </c>
      <c r="K11171" s="17"/>
      <c r="L11171" s="17" t="s">
        <v>22378</v>
      </c>
      <c r="M11171" s="17"/>
      <c r="N11171" s="17" t="s">
        <v>22459</v>
      </c>
      <c r="O11171" s="17"/>
      <c r="P11171" s="17" t="s">
        <v>23039</v>
      </c>
      <c r="Q11171" s="17"/>
      <c r="R11171" s="25" t="str">
        <f>HYPERLINK("https://ictv.global/taxonomy/taxondetails?taxnode_id=202317542","Loptevirus solivicinum")</f>
        <v>Loptevirus solivicinum</v>
      </c>
      <c r="S11171" s="18" t="s">
        <v>30</v>
      </c>
      <c r="T11171" s="18" t="s">
        <v>45885</v>
      </c>
      <c r="U11171" s="18"/>
      <c r="V11171" s="18"/>
      <c r="W11171" s="18" t="s">
        <v>45886</v>
      </c>
      <c r="X11171" s="18" t="s">
        <v>35</v>
      </c>
      <c r="Y11171" s="18" t="s">
        <v>17171</v>
      </c>
      <c r="Z11171" s="18" t="s">
        <v>24637</v>
      </c>
      <c r="AA11171" s="21" t="str">
        <f>HYPERLINK("https://www.ncbi.nlm.nih.gov/nuccore/CASDWV010000389","NCBI Nucleotide")</f>
        <v>NCBI Nucleotide</v>
      </c>
    </row>
    <row r="11172" spans="1:27" x14ac:dyDescent="0.35">
      <c r="A11172">
        <v>1027331</v>
      </c>
      <c r="B11172">
        <v>10497</v>
      </c>
      <c r="C11172">
        <v>1</v>
      </c>
      <c r="D11172" s="17" t="s">
        <v>17166</v>
      </c>
      <c r="E11172" s="17"/>
      <c r="F11172" s="17" t="s">
        <v>17246</v>
      </c>
      <c r="G11172" s="17"/>
      <c r="H11172" s="17" t="s">
        <v>20919</v>
      </c>
      <c r="I11172" s="17"/>
      <c r="J11172" s="17" t="s">
        <v>21313</v>
      </c>
      <c r="K11172" s="17"/>
      <c r="L11172" s="17" t="s">
        <v>22378</v>
      </c>
      <c r="M11172" s="17"/>
      <c r="N11172" s="17" t="s">
        <v>22459</v>
      </c>
      <c r="O11172" s="17"/>
      <c r="P11172" s="17" t="s">
        <v>23039</v>
      </c>
      <c r="Q11172" s="17"/>
      <c r="R11172" s="25" t="str">
        <f>HYPERLINK("https://ictv.global/taxonomy/taxondetails?taxnode_id=202317543","Loptevirus solivivens")</f>
        <v>Loptevirus solivivens</v>
      </c>
      <c r="S11172" s="18" t="s">
        <v>30</v>
      </c>
      <c r="T11172" s="18" t="s">
        <v>45887</v>
      </c>
      <c r="U11172" s="18"/>
      <c r="V11172" s="18"/>
      <c r="W11172" s="18" t="s">
        <v>45888</v>
      </c>
      <c r="X11172" s="18" t="s">
        <v>35</v>
      </c>
      <c r="Y11172" s="18" t="s">
        <v>17171</v>
      </c>
      <c r="Z11172" s="18" t="s">
        <v>24637</v>
      </c>
      <c r="AA11172" s="21" t="str">
        <f>HYPERLINK("https://www.ncbi.nlm.nih.gov/nuccore/CASDWV010000663","NCBI Nucleotide")</f>
        <v>NCBI Nucleotide</v>
      </c>
    </row>
    <row r="11173" spans="1:27" x14ac:dyDescent="0.35">
      <c r="A11173">
        <v>1027265</v>
      </c>
      <c r="B11173">
        <v>10498</v>
      </c>
      <c r="C11173">
        <v>1</v>
      </c>
      <c r="D11173" s="17" t="s">
        <v>17166</v>
      </c>
      <c r="E11173" s="17"/>
      <c r="F11173" s="17" t="s">
        <v>17246</v>
      </c>
      <c r="G11173" s="17"/>
      <c r="H11173" s="17" t="s">
        <v>20919</v>
      </c>
      <c r="I11173" s="17"/>
      <c r="J11173" s="17" t="s">
        <v>21313</v>
      </c>
      <c r="K11173" s="17"/>
      <c r="L11173" s="17" t="s">
        <v>22378</v>
      </c>
      <c r="M11173" s="17"/>
      <c r="N11173" s="17" t="s">
        <v>22459</v>
      </c>
      <c r="O11173" s="17"/>
      <c r="P11173" s="17" t="s">
        <v>45889</v>
      </c>
      <c r="Q11173" s="17"/>
      <c r="R11173" s="25" t="str">
        <f>HYPERLINK("https://ictv.global/taxonomy/taxondetails?taxnode_id=202317544","Lughthovirus chthonocola")</f>
        <v>Lughthovirus chthonocola</v>
      </c>
      <c r="S11173" s="18" t="s">
        <v>30</v>
      </c>
      <c r="T11173" s="18" t="s">
        <v>45890</v>
      </c>
      <c r="U11173" s="18"/>
      <c r="V11173" s="18"/>
      <c r="W11173" s="18" t="s">
        <v>45891</v>
      </c>
      <c r="X11173" s="18" t="s">
        <v>35</v>
      </c>
      <c r="Y11173" s="18" t="s">
        <v>17171</v>
      </c>
      <c r="Z11173" s="18" t="s">
        <v>24637</v>
      </c>
      <c r="AA11173" s="21" t="str">
        <f>HYPERLINK("https://www.ncbi.nlm.nih.gov/nuccore/CASDWV010002286","NCBI Nucleotide")</f>
        <v>NCBI Nucleotide</v>
      </c>
    </row>
    <row r="11174" spans="1:27" x14ac:dyDescent="0.35">
      <c r="A11174">
        <v>1027266</v>
      </c>
      <c r="B11174">
        <v>10499</v>
      </c>
      <c r="C11174">
        <v>1</v>
      </c>
      <c r="D11174" s="17" t="s">
        <v>17166</v>
      </c>
      <c r="E11174" s="17"/>
      <c r="F11174" s="17" t="s">
        <v>17246</v>
      </c>
      <c r="G11174" s="17"/>
      <c r="H11174" s="17" t="s">
        <v>20919</v>
      </c>
      <c r="I11174" s="17"/>
      <c r="J11174" s="17" t="s">
        <v>21313</v>
      </c>
      <c r="K11174" s="17"/>
      <c r="L11174" s="17" t="s">
        <v>22378</v>
      </c>
      <c r="M11174" s="17"/>
      <c r="N11174" s="17" t="s">
        <v>22459</v>
      </c>
      <c r="O11174" s="17"/>
      <c r="P11174" s="17" t="s">
        <v>45889</v>
      </c>
      <c r="Q11174" s="17"/>
      <c r="R11174" s="25" t="str">
        <f>HYPERLINK("https://ictv.global/taxonomy/taxondetails?taxnode_id=202317545","Lughthovirus edaphocola")</f>
        <v>Lughthovirus edaphocola</v>
      </c>
      <c r="S11174" s="18" t="s">
        <v>30</v>
      </c>
      <c r="T11174" s="18" t="s">
        <v>45892</v>
      </c>
      <c r="U11174" s="18"/>
      <c r="V11174" s="18"/>
      <c r="W11174" s="18" t="s">
        <v>45893</v>
      </c>
      <c r="X11174" s="18" t="s">
        <v>35</v>
      </c>
      <c r="Y11174" s="18" t="s">
        <v>17171</v>
      </c>
      <c r="Z11174" s="18" t="s">
        <v>24637</v>
      </c>
      <c r="AA11174" s="21" t="str">
        <f>HYPERLINK("https://www.ncbi.nlm.nih.gov/nuccore/CASDWV010003649","NCBI Nucleotide")</f>
        <v>NCBI Nucleotide</v>
      </c>
    </row>
    <row r="11175" spans="1:27" x14ac:dyDescent="0.35">
      <c r="A11175">
        <v>1009899</v>
      </c>
      <c r="B11175">
        <v>10500</v>
      </c>
      <c r="C11175">
        <v>1</v>
      </c>
      <c r="D11175" s="17" t="s">
        <v>17166</v>
      </c>
      <c r="E11175" s="17"/>
      <c r="F11175" s="17" t="s">
        <v>17246</v>
      </c>
      <c r="G11175" s="17"/>
      <c r="H11175" s="17" t="s">
        <v>20919</v>
      </c>
      <c r="I11175" s="17"/>
      <c r="J11175" s="17" t="s">
        <v>21313</v>
      </c>
      <c r="K11175" s="17"/>
      <c r="L11175" s="17" t="s">
        <v>22378</v>
      </c>
      <c r="M11175" s="17"/>
      <c r="N11175" s="17" t="s">
        <v>22459</v>
      </c>
      <c r="O11175" s="17"/>
      <c r="P11175" s="17" t="s">
        <v>45889</v>
      </c>
      <c r="Q11175" s="17"/>
      <c r="R11175" s="25" t="str">
        <f>HYPERLINK("https://ictv.global/taxonomy/taxondetails?taxnode_id=202311089","Lughthovirus edaphovivens")</f>
        <v>Lughthovirus edaphovivens</v>
      </c>
      <c r="S11175" s="18" t="s">
        <v>30</v>
      </c>
      <c r="T11175" s="18" t="s">
        <v>22628</v>
      </c>
      <c r="U11175" s="18"/>
      <c r="V11175" s="18"/>
      <c r="W11175" s="18" t="s">
        <v>22629</v>
      </c>
      <c r="X11175" s="18" t="s">
        <v>35</v>
      </c>
      <c r="Y11175" s="18" t="s">
        <v>17171</v>
      </c>
      <c r="Z11175" s="18" t="s">
        <v>697</v>
      </c>
      <c r="AA11175" s="21" t="str">
        <f>HYPERLINK("https://www.ncbi.nlm.nih.gov/nuccore/BK014019","NCBI Nucleotide")</f>
        <v>NCBI Nucleotide</v>
      </c>
    </row>
    <row r="11176" spans="1:27" x14ac:dyDescent="0.35">
      <c r="A11176">
        <v>1009900</v>
      </c>
      <c r="B11176">
        <v>10501</v>
      </c>
      <c r="C11176">
        <v>1</v>
      </c>
      <c r="D11176" s="17" t="s">
        <v>17166</v>
      </c>
      <c r="E11176" s="17"/>
      <c r="F11176" s="17" t="s">
        <v>17246</v>
      </c>
      <c r="G11176" s="17"/>
      <c r="H11176" s="17" t="s">
        <v>20919</v>
      </c>
      <c r="I11176" s="17"/>
      <c r="J11176" s="17" t="s">
        <v>21313</v>
      </c>
      <c r="K11176" s="17"/>
      <c r="L11176" s="17" t="s">
        <v>22378</v>
      </c>
      <c r="M11176" s="17"/>
      <c r="N11176" s="17" t="s">
        <v>22459</v>
      </c>
      <c r="O11176" s="17"/>
      <c r="P11176" s="17" t="s">
        <v>45889</v>
      </c>
      <c r="Q11176" s="17"/>
      <c r="R11176" s="25" t="str">
        <f>HYPERLINK("https://ictv.global/taxonomy/taxondetails?taxnode_id=202311090","Lughthovirus pedadaptatum")</f>
        <v>Lughthovirus pedadaptatum</v>
      </c>
      <c r="S11176" s="18" t="s">
        <v>30</v>
      </c>
      <c r="T11176" s="18" t="s">
        <v>22630</v>
      </c>
      <c r="U11176" s="18"/>
      <c r="V11176" s="18"/>
      <c r="W11176" s="18" t="s">
        <v>22631</v>
      </c>
      <c r="X11176" s="18" t="s">
        <v>35</v>
      </c>
      <c r="Y11176" s="18" t="s">
        <v>17171</v>
      </c>
      <c r="Z11176" s="18" t="s">
        <v>697</v>
      </c>
      <c r="AA11176" s="21" t="str">
        <f>HYPERLINK("https://www.ncbi.nlm.nih.gov/nuccore/BK013474","NCBI Nucleotide")</f>
        <v>NCBI Nucleotide</v>
      </c>
    </row>
    <row r="11177" spans="1:27" x14ac:dyDescent="0.35">
      <c r="A11177">
        <v>1009901</v>
      </c>
      <c r="B11177">
        <v>10502</v>
      </c>
      <c r="C11177">
        <v>1</v>
      </c>
      <c r="D11177" s="17" t="s">
        <v>17166</v>
      </c>
      <c r="E11177" s="17"/>
      <c r="F11177" s="17" t="s">
        <v>17246</v>
      </c>
      <c r="G11177" s="17"/>
      <c r="H11177" s="17" t="s">
        <v>20919</v>
      </c>
      <c r="I11177" s="17"/>
      <c r="J11177" s="17" t="s">
        <v>21313</v>
      </c>
      <c r="K11177" s="17"/>
      <c r="L11177" s="17" t="s">
        <v>22378</v>
      </c>
      <c r="M11177" s="17"/>
      <c r="N11177" s="17" t="s">
        <v>22459</v>
      </c>
      <c r="O11177" s="17"/>
      <c r="P11177" s="17" t="s">
        <v>45889</v>
      </c>
      <c r="Q11177" s="17"/>
      <c r="R11177" s="25" t="str">
        <f>HYPERLINK("https://ictv.global/taxonomy/taxondetails?taxnode_id=202311092","Lughthovirus pedenecus")</f>
        <v>Lughthovirus pedenecus</v>
      </c>
      <c r="S11177" s="18" t="s">
        <v>30</v>
      </c>
      <c r="T11177" s="18" t="s">
        <v>22632</v>
      </c>
      <c r="U11177" s="18"/>
      <c r="V11177" s="18"/>
      <c r="W11177" s="18" t="s">
        <v>22633</v>
      </c>
      <c r="X11177" s="18" t="s">
        <v>35</v>
      </c>
      <c r="Y11177" s="18" t="s">
        <v>17171</v>
      </c>
      <c r="Z11177" s="18" t="s">
        <v>697</v>
      </c>
      <c r="AA11177" s="21" t="str">
        <f>HYPERLINK("https://www.ncbi.nlm.nih.gov/nuccore/BK013774","NCBI Nucleotide")</f>
        <v>NCBI Nucleotide</v>
      </c>
    </row>
    <row r="11178" spans="1:27" x14ac:dyDescent="0.35">
      <c r="A11178">
        <v>1009902</v>
      </c>
      <c r="B11178">
        <v>10503</v>
      </c>
      <c r="C11178">
        <v>1</v>
      </c>
      <c r="D11178" s="17" t="s">
        <v>17166</v>
      </c>
      <c r="E11178" s="17"/>
      <c r="F11178" s="17" t="s">
        <v>17246</v>
      </c>
      <c r="G11178" s="17"/>
      <c r="H11178" s="17" t="s">
        <v>20919</v>
      </c>
      <c r="I11178" s="17"/>
      <c r="J11178" s="17" t="s">
        <v>21313</v>
      </c>
      <c r="K11178" s="17"/>
      <c r="L11178" s="17" t="s">
        <v>22378</v>
      </c>
      <c r="M11178" s="17"/>
      <c r="N11178" s="17" t="s">
        <v>22459</v>
      </c>
      <c r="O11178" s="17"/>
      <c r="P11178" s="17" t="s">
        <v>45889</v>
      </c>
      <c r="Q11178" s="17"/>
      <c r="R11178" s="25" t="str">
        <f>HYPERLINK("https://ictv.global/taxonomy/taxondetails?taxnode_id=202311091","Lughthovirus pedocola")</f>
        <v>Lughthovirus pedocola</v>
      </c>
      <c r="S11178" s="18" t="s">
        <v>30</v>
      </c>
      <c r="T11178" s="18" t="s">
        <v>22634</v>
      </c>
      <c r="U11178" s="18"/>
      <c r="V11178" s="18"/>
      <c r="W11178" s="18" t="s">
        <v>22635</v>
      </c>
      <c r="X11178" s="18" t="s">
        <v>35</v>
      </c>
      <c r="Y11178" s="18" t="s">
        <v>17171</v>
      </c>
      <c r="Z11178" s="18" t="s">
        <v>697</v>
      </c>
      <c r="AA11178" s="21" t="str">
        <f>HYPERLINK("https://www.ncbi.nlm.nih.gov/nuccore/BK013908","NCBI Nucleotide")</f>
        <v>NCBI Nucleotide</v>
      </c>
    </row>
    <row r="11179" spans="1:27" x14ac:dyDescent="0.35">
      <c r="A11179">
        <v>1009906</v>
      </c>
      <c r="B11179">
        <v>10504</v>
      </c>
      <c r="C11179">
        <v>1</v>
      </c>
      <c r="D11179" s="17" t="s">
        <v>17166</v>
      </c>
      <c r="E11179" s="17"/>
      <c r="F11179" s="17" t="s">
        <v>17246</v>
      </c>
      <c r="G11179" s="17"/>
      <c r="H11179" s="17" t="s">
        <v>20919</v>
      </c>
      <c r="I11179" s="17"/>
      <c r="J11179" s="17" t="s">
        <v>21313</v>
      </c>
      <c r="K11179" s="17"/>
      <c r="L11179" s="17" t="s">
        <v>22378</v>
      </c>
      <c r="M11179" s="17"/>
      <c r="N11179" s="17" t="s">
        <v>22459</v>
      </c>
      <c r="O11179" s="17"/>
      <c r="P11179" s="17" t="s">
        <v>45889</v>
      </c>
      <c r="Q11179" s="17"/>
      <c r="R11179" s="25" t="str">
        <f>HYPERLINK("https://ictv.global/taxonomy/taxondetails?taxnode_id=202311093","Lughthovirus pedohabitans")</f>
        <v>Lughthovirus pedohabitans</v>
      </c>
      <c r="S11179" s="18" t="s">
        <v>30</v>
      </c>
      <c r="T11179" s="18" t="s">
        <v>22642</v>
      </c>
      <c r="U11179" s="18"/>
      <c r="V11179" s="18"/>
      <c r="W11179" s="18" t="s">
        <v>22643</v>
      </c>
      <c r="X11179" s="18" t="s">
        <v>35</v>
      </c>
      <c r="Y11179" s="18" t="s">
        <v>17171</v>
      </c>
      <c r="Z11179" s="18" t="s">
        <v>697</v>
      </c>
      <c r="AA11179" s="21" t="str">
        <f>HYPERLINK("https://www.ncbi.nlm.nih.gov/nuccore/BK013853","NCBI Nucleotide")</f>
        <v>NCBI Nucleotide</v>
      </c>
    </row>
    <row r="11180" spans="1:27" x14ac:dyDescent="0.35">
      <c r="A11180">
        <v>1009903</v>
      </c>
      <c r="B11180">
        <v>10505</v>
      </c>
      <c r="C11180">
        <v>1</v>
      </c>
      <c r="D11180" s="17" t="s">
        <v>17166</v>
      </c>
      <c r="E11180" s="17"/>
      <c r="F11180" s="17" t="s">
        <v>17246</v>
      </c>
      <c r="G11180" s="17"/>
      <c r="H11180" s="17" t="s">
        <v>20919</v>
      </c>
      <c r="I11180" s="17"/>
      <c r="J11180" s="17" t="s">
        <v>21313</v>
      </c>
      <c r="K11180" s="17"/>
      <c r="L11180" s="17" t="s">
        <v>22378</v>
      </c>
      <c r="M11180" s="17"/>
      <c r="N11180" s="17" t="s">
        <v>22459</v>
      </c>
      <c r="O11180" s="17"/>
      <c r="P11180" s="17" t="s">
        <v>45889</v>
      </c>
      <c r="Q11180" s="17"/>
      <c r="R11180" s="25" t="str">
        <f>HYPERLINK("https://ictv.global/taxonomy/taxondetails?taxnode_id=202311095","Lughthovirus pedovicinum")</f>
        <v>Lughthovirus pedovicinum</v>
      </c>
      <c r="S11180" s="18" t="s">
        <v>30</v>
      </c>
      <c r="T11180" s="18" t="s">
        <v>22636</v>
      </c>
      <c r="U11180" s="18"/>
      <c r="V11180" s="18"/>
      <c r="W11180" s="18" t="s">
        <v>22637</v>
      </c>
      <c r="X11180" s="18" t="s">
        <v>35</v>
      </c>
      <c r="Y11180" s="18" t="s">
        <v>17171</v>
      </c>
      <c r="Z11180" s="18" t="s">
        <v>697</v>
      </c>
      <c r="AA11180" s="21" t="str">
        <f>HYPERLINK("https://www.ncbi.nlm.nih.gov/nuccore/BK013886","NCBI Nucleotide")</f>
        <v>NCBI Nucleotide</v>
      </c>
    </row>
    <row r="11181" spans="1:27" x14ac:dyDescent="0.35">
      <c r="A11181">
        <v>1009904</v>
      </c>
      <c r="B11181">
        <v>10506</v>
      </c>
      <c r="C11181">
        <v>1</v>
      </c>
      <c r="D11181" s="17" t="s">
        <v>17166</v>
      </c>
      <c r="E11181" s="17"/>
      <c r="F11181" s="17" t="s">
        <v>17246</v>
      </c>
      <c r="G11181" s="17"/>
      <c r="H11181" s="17" t="s">
        <v>20919</v>
      </c>
      <c r="I11181" s="17"/>
      <c r="J11181" s="17" t="s">
        <v>21313</v>
      </c>
      <c r="K11181" s="17"/>
      <c r="L11181" s="17" t="s">
        <v>22378</v>
      </c>
      <c r="M11181" s="17"/>
      <c r="N11181" s="17" t="s">
        <v>22459</v>
      </c>
      <c r="O11181" s="17"/>
      <c r="P11181" s="17" t="s">
        <v>45889</v>
      </c>
      <c r="Q11181" s="17"/>
      <c r="R11181" s="25" t="str">
        <f>HYPERLINK("https://ictv.global/taxonomy/taxondetails?taxnode_id=202311096","Lughthovirus pedovivens")</f>
        <v>Lughthovirus pedovivens</v>
      </c>
      <c r="S11181" s="18" t="s">
        <v>30</v>
      </c>
      <c r="T11181" s="18" t="s">
        <v>22638</v>
      </c>
      <c r="U11181" s="18"/>
      <c r="V11181" s="18"/>
      <c r="W11181" s="18" t="s">
        <v>22639</v>
      </c>
      <c r="X11181" s="18" t="s">
        <v>35</v>
      </c>
      <c r="Y11181" s="18" t="s">
        <v>17171</v>
      </c>
      <c r="Z11181" s="18" t="s">
        <v>697</v>
      </c>
      <c r="AA11181" s="21" t="str">
        <f>HYPERLINK("https://www.ncbi.nlm.nih.gov/nuccore/BK013938","NCBI Nucleotide")</f>
        <v>NCBI Nucleotide</v>
      </c>
    </row>
    <row r="11182" spans="1:27" x14ac:dyDescent="0.35">
      <c r="A11182">
        <v>1027267</v>
      </c>
      <c r="B11182">
        <v>10507</v>
      </c>
      <c r="C11182">
        <v>1</v>
      </c>
      <c r="D11182" s="17" t="s">
        <v>17166</v>
      </c>
      <c r="E11182" s="17"/>
      <c r="F11182" s="17" t="s">
        <v>17246</v>
      </c>
      <c r="G11182" s="17"/>
      <c r="H11182" s="17" t="s">
        <v>20919</v>
      </c>
      <c r="I11182" s="17"/>
      <c r="J11182" s="17" t="s">
        <v>21313</v>
      </c>
      <c r="K11182" s="17"/>
      <c r="L11182" s="17" t="s">
        <v>22378</v>
      </c>
      <c r="M11182" s="17"/>
      <c r="N11182" s="17" t="s">
        <v>22459</v>
      </c>
      <c r="O11182" s="17"/>
      <c r="P11182" s="17" t="s">
        <v>45889</v>
      </c>
      <c r="Q11182" s="17"/>
      <c r="R11182" s="25" t="str">
        <f>HYPERLINK("https://ictv.global/taxonomy/taxondetails?taxnode_id=202317546","Lughthovirus tellurenecus")</f>
        <v>Lughthovirus tellurenecus</v>
      </c>
      <c r="S11182" s="18" t="s">
        <v>30</v>
      </c>
      <c r="T11182" s="18" t="s">
        <v>45894</v>
      </c>
      <c r="U11182" s="18"/>
      <c r="V11182" s="18"/>
      <c r="W11182" s="18" t="s">
        <v>45895</v>
      </c>
      <c r="X11182" s="18" t="s">
        <v>35</v>
      </c>
      <c r="Y11182" s="18" t="s">
        <v>17171</v>
      </c>
      <c r="Z11182" s="18" t="s">
        <v>24637</v>
      </c>
      <c r="AA11182" s="21" t="str">
        <f>HYPERLINK("https://www.ncbi.nlm.nih.gov/nuccore/CASDWV010004158","NCBI Nucleotide")</f>
        <v>NCBI Nucleotide</v>
      </c>
    </row>
    <row r="11183" spans="1:27" x14ac:dyDescent="0.35">
      <c r="A11183">
        <v>1027268</v>
      </c>
      <c r="B11183">
        <v>10508</v>
      </c>
      <c r="C11183">
        <v>1</v>
      </c>
      <c r="D11183" s="17" t="s">
        <v>17166</v>
      </c>
      <c r="E11183" s="17"/>
      <c r="F11183" s="17" t="s">
        <v>17246</v>
      </c>
      <c r="G11183" s="17"/>
      <c r="H11183" s="17" t="s">
        <v>20919</v>
      </c>
      <c r="I11183" s="17"/>
      <c r="J11183" s="17" t="s">
        <v>21313</v>
      </c>
      <c r="K11183" s="17"/>
      <c r="L11183" s="17" t="s">
        <v>22378</v>
      </c>
      <c r="M11183" s="17"/>
      <c r="N11183" s="17" t="s">
        <v>22459</v>
      </c>
      <c r="O11183" s="17"/>
      <c r="P11183" s="17" t="s">
        <v>45889</v>
      </c>
      <c r="Q11183" s="17"/>
      <c r="R11183" s="25" t="str">
        <f>HYPERLINK("https://ictv.global/taxonomy/taxondetails?taxnode_id=202317547","Lughthovirus tellurivivens")</f>
        <v>Lughthovirus tellurivivens</v>
      </c>
      <c r="S11183" s="18" t="s">
        <v>30</v>
      </c>
      <c r="T11183" s="18" t="s">
        <v>45896</v>
      </c>
      <c r="U11183" s="18"/>
      <c r="V11183" s="18"/>
      <c r="W11183" s="18" t="s">
        <v>45897</v>
      </c>
      <c r="X11183" s="18" t="s">
        <v>35</v>
      </c>
      <c r="Y11183" s="18" t="s">
        <v>17171</v>
      </c>
      <c r="Z11183" s="18" t="s">
        <v>24637</v>
      </c>
      <c r="AA11183" s="21" t="str">
        <f>HYPERLINK("https://www.ncbi.nlm.nih.gov/nuccore/CASDWV010004265","NCBI Nucleotide")</f>
        <v>NCBI Nucleotide</v>
      </c>
    </row>
    <row r="11184" spans="1:27" x14ac:dyDescent="0.35">
      <c r="A11184">
        <v>1010098</v>
      </c>
      <c r="B11184">
        <v>10509</v>
      </c>
      <c r="C11184">
        <v>1</v>
      </c>
      <c r="D11184" s="17" t="s">
        <v>17166</v>
      </c>
      <c r="E11184" s="17"/>
      <c r="F11184" s="17" t="s">
        <v>17246</v>
      </c>
      <c r="G11184" s="17"/>
      <c r="H11184" s="17" t="s">
        <v>20919</v>
      </c>
      <c r="I11184" s="17"/>
      <c r="J11184" s="17" t="s">
        <v>21313</v>
      </c>
      <c r="K11184" s="17"/>
      <c r="L11184" s="17" t="s">
        <v>22378</v>
      </c>
      <c r="M11184" s="17"/>
      <c r="N11184" s="17" t="s">
        <v>22459</v>
      </c>
      <c r="O11184" s="17"/>
      <c r="P11184" s="17" t="s">
        <v>45898</v>
      </c>
      <c r="Q11184" s="17"/>
      <c r="R11184" s="25" t="str">
        <f>HYPERLINK("https://ictv.global/taxonomy/taxondetails?taxnode_id=202311332","Luhtdivirus caenihabitans")</f>
        <v>Luhtdivirus caenihabitans</v>
      </c>
      <c r="S11184" s="18" t="s">
        <v>30</v>
      </c>
      <c r="T11184" s="18" t="s">
        <v>23046</v>
      </c>
      <c r="U11184" s="18"/>
      <c r="V11184" s="18"/>
      <c r="W11184" s="18" t="s">
        <v>23047</v>
      </c>
      <c r="X11184" s="18" t="s">
        <v>35</v>
      </c>
      <c r="Y11184" s="18" t="s">
        <v>17171</v>
      </c>
      <c r="Z11184" s="18" t="s">
        <v>697</v>
      </c>
      <c r="AA11184" s="21" t="str">
        <f>HYPERLINK("https://www.ncbi.nlm.nih.gov/nuccore/BK013694","NCBI Nucleotide")</f>
        <v>NCBI Nucleotide</v>
      </c>
    </row>
    <row r="11185" spans="1:27" x14ac:dyDescent="0.35">
      <c r="A11185">
        <v>1027243</v>
      </c>
      <c r="B11185">
        <v>10510</v>
      </c>
      <c r="C11185">
        <v>1</v>
      </c>
      <c r="D11185" s="17" t="s">
        <v>17166</v>
      </c>
      <c r="E11185" s="17"/>
      <c r="F11185" s="17" t="s">
        <v>17246</v>
      </c>
      <c r="G11185" s="17"/>
      <c r="H11185" s="17" t="s">
        <v>20919</v>
      </c>
      <c r="I11185" s="17"/>
      <c r="J11185" s="17" t="s">
        <v>21313</v>
      </c>
      <c r="K11185" s="17"/>
      <c r="L11185" s="17" t="s">
        <v>22378</v>
      </c>
      <c r="M11185" s="17"/>
      <c r="N11185" s="17" t="s">
        <v>22459</v>
      </c>
      <c r="O11185" s="17"/>
      <c r="P11185" s="17" t="s">
        <v>45899</v>
      </c>
      <c r="Q11185" s="17"/>
      <c r="R11185" s="25" t="str">
        <f>HYPERLINK("https://ictv.global/taxonomy/taxondetails?taxnode_id=202317548","Luwerquvirus faecadaptatum")</f>
        <v>Luwerquvirus faecadaptatum</v>
      </c>
      <c r="S11185" s="18" t="s">
        <v>30</v>
      </c>
      <c r="T11185" s="18" t="s">
        <v>45900</v>
      </c>
      <c r="U11185" s="18"/>
      <c r="V11185" s="18" t="s">
        <v>45900</v>
      </c>
      <c r="W11185" s="18" t="s">
        <v>45901</v>
      </c>
      <c r="X11185" s="18" t="s">
        <v>35</v>
      </c>
      <c r="Y11185" s="18" t="s">
        <v>17171</v>
      </c>
      <c r="Z11185" s="18" t="s">
        <v>24637</v>
      </c>
      <c r="AA11185" s="21" t="str">
        <f>HYPERLINK("https://www.ncbi.nlm.nih.gov/nuccore/MZ679776","NCBI Nucleotide")</f>
        <v>NCBI Nucleotide</v>
      </c>
    </row>
    <row r="11186" spans="1:27" x14ac:dyDescent="0.35">
      <c r="A11186">
        <v>1010104</v>
      </c>
      <c r="B11186">
        <v>10511</v>
      </c>
      <c r="C11186">
        <v>1</v>
      </c>
      <c r="D11186" s="17" t="s">
        <v>17166</v>
      </c>
      <c r="E11186" s="17"/>
      <c r="F11186" s="17" t="s">
        <v>17246</v>
      </c>
      <c r="G11186" s="17"/>
      <c r="H11186" s="17" t="s">
        <v>20919</v>
      </c>
      <c r="I11186" s="17"/>
      <c r="J11186" s="17" t="s">
        <v>21313</v>
      </c>
      <c r="K11186" s="17"/>
      <c r="L11186" s="17" t="s">
        <v>22378</v>
      </c>
      <c r="M11186" s="17"/>
      <c r="N11186" s="17" t="s">
        <v>22459</v>
      </c>
      <c r="O11186" s="17"/>
      <c r="P11186" s="17" t="s">
        <v>23056</v>
      </c>
      <c r="Q11186" s="17"/>
      <c r="R11186" s="25" t="str">
        <f>HYPERLINK("https://ictv.global/taxonomy/taxondetails?taxnode_id=202311339","Mahdsavirus limadaptatum")</f>
        <v>Mahdsavirus limadaptatum</v>
      </c>
      <c r="S11186" s="18" t="s">
        <v>30</v>
      </c>
      <c r="T11186" s="18" t="s">
        <v>23057</v>
      </c>
      <c r="U11186" s="18"/>
      <c r="V11186" s="18"/>
      <c r="W11186" s="18" t="s">
        <v>23058</v>
      </c>
      <c r="X11186" s="18" t="s">
        <v>35</v>
      </c>
      <c r="Y11186" s="18" t="s">
        <v>17171</v>
      </c>
      <c r="Z11186" s="18" t="s">
        <v>697</v>
      </c>
      <c r="AA11186" s="21" t="str">
        <f>HYPERLINK("https://www.ncbi.nlm.nih.gov/nuccore/BK013599","NCBI Nucleotide")</f>
        <v>NCBI Nucleotide</v>
      </c>
    </row>
    <row r="11187" spans="1:27" x14ac:dyDescent="0.35">
      <c r="A11187">
        <v>1027350</v>
      </c>
      <c r="B11187">
        <v>10512</v>
      </c>
      <c r="C11187">
        <v>1</v>
      </c>
      <c r="D11187" s="17" t="s">
        <v>17166</v>
      </c>
      <c r="E11187" s="17"/>
      <c r="F11187" s="17" t="s">
        <v>17246</v>
      </c>
      <c r="G11187" s="17"/>
      <c r="H11187" s="17" t="s">
        <v>20919</v>
      </c>
      <c r="I11187" s="17"/>
      <c r="J11187" s="17" t="s">
        <v>21313</v>
      </c>
      <c r="K11187" s="17"/>
      <c r="L11187" s="17" t="s">
        <v>22378</v>
      </c>
      <c r="M11187" s="17"/>
      <c r="N11187" s="17" t="s">
        <v>22459</v>
      </c>
      <c r="O11187" s="17"/>
      <c r="P11187" s="17" t="s">
        <v>45902</v>
      </c>
      <c r="Q11187" s="17"/>
      <c r="R11187" s="25" t="str">
        <f>HYPERLINK("https://ictv.global/taxonomy/taxondetails?taxnode_id=202317549","Merlclivirus radicivicinum")</f>
        <v>Merlclivirus radicivicinum</v>
      </c>
      <c r="S11187" s="18" t="s">
        <v>30</v>
      </c>
      <c r="T11187" s="18" t="s">
        <v>45903</v>
      </c>
      <c r="U11187" s="18"/>
      <c r="V11187" s="18"/>
      <c r="W11187" s="18" t="s">
        <v>45904</v>
      </c>
      <c r="X11187" s="18" t="s">
        <v>35</v>
      </c>
      <c r="Y11187" s="18" t="s">
        <v>17171</v>
      </c>
      <c r="Z11187" s="18" t="s">
        <v>24637</v>
      </c>
      <c r="AA11187" s="21" t="str">
        <f>HYPERLINK("https://www.ncbi.nlm.nih.gov/nuccore/CASDWV010000791","NCBI Nucleotide")</f>
        <v>NCBI Nucleotide</v>
      </c>
    </row>
    <row r="11188" spans="1:27" x14ac:dyDescent="0.35">
      <c r="A11188">
        <v>1027353</v>
      </c>
      <c r="B11188">
        <v>10513</v>
      </c>
      <c r="C11188">
        <v>1</v>
      </c>
      <c r="D11188" s="17" t="s">
        <v>17166</v>
      </c>
      <c r="E11188" s="17"/>
      <c r="F11188" s="17" t="s">
        <v>17246</v>
      </c>
      <c r="G11188" s="17"/>
      <c r="H11188" s="17" t="s">
        <v>20919</v>
      </c>
      <c r="I11188" s="17"/>
      <c r="J11188" s="17" t="s">
        <v>21313</v>
      </c>
      <c r="K11188" s="17"/>
      <c r="L11188" s="17" t="s">
        <v>22378</v>
      </c>
      <c r="M11188" s="17"/>
      <c r="N11188" s="17" t="s">
        <v>22459</v>
      </c>
      <c r="O11188" s="17"/>
      <c r="P11188" s="17" t="s">
        <v>45905</v>
      </c>
      <c r="Q11188" s="17"/>
      <c r="R11188" s="25" t="str">
        <f>HYPERLINK("https://ictv.global/taxonomy/taxondetails?taxnode_id=202317550","Mertavirus limivicinum")</f>
        <v>Mertavirus limivicinum</v>
      </c>
      <c r="S11188" s="18" t="s">
        <v>30</v>
      </c>
      <c r="T11188" s="18" t="s">
        <v>45906</v>
      </c>
      <c r="U11188" s="18"/>
      <c r="V11188" s="18"/>
      <c r="W11188" s="18" t="s">
        <v>45907</v>
      </c>
      <c r="X11188" s="18" t="s">
        <v>35</v>
      </c>
      <c r="Y11188" s="18" t="s">
        <v>17171</v>
      </c>
      <c r="Z11188" s="18" t="s">
        <v>24637</v>
      </c>
      <c r="AA11188" s="21" t="str">
        <f>HYPERLINK("https://www.ncbi.nlm.nih.gov/nuccore/CASDWV010004677","NCBI Nucleotide")</f>
        <v>NCBI Nucleotide</v>
      </c>
    </row>
    <row r="11189" spans="1:27" x14ac:dyDescent="0.35">
      <c r="A11189">
        <v>1010106</v>
      </c>
      <c r="B11189">
        <v>10514</v>
      </c>
      <c r="C11189">
        <v>1</v>
      </c>
      <c r="D11189" s="17" t="s">
        <v>17166</v>
      </c>
      <c r="E11189" s="17"/>
      <c r="F11189" s="17" t="s">
        <v>17246</v>
      </c>
      <c r="G11189" s="17"/>
      <c r="H11189" s="17" t="s">
        <v>20919</v>
      </c>
      <c r="I11189" s="17"/>
      <c r="J11189" s="17" t="s">
        <v>21313</v>
      </c>
      <c r="K11189" s="17"/>
      <c r="L11189" s="17" t="s">
        <v>22378</v>
      </c>
      <c r="M11189" s="17"/>
      <c r="N11189" s="17" t="s">
        <v>22459</v>
      </c>
      <c r="O11189" s="17"/>
      <c r="P11189" s="17" t="s">
        <v>23061</v>
      </c>
      <c r="Q11189" s="17"/>
      <c r="R11189" s="25" t="str">
        <f>HYPERLINK("https://ictv.global/taxonomy/taxondetails?taxnode_id=202311343","Metsavirus lutivivens")</f>
        <v>Metsavirus lutivivens</v>
      </c>
      <c r="S11189" s="18" t="s">
        <v>30</v>
      </c>
      <c r="T11189" s="18" t="s">
        <v>23062</v>
      </c>
      <c r="U11189" s="18"/>
      <c r="V11189" s="18"/>
      <c r="W11189" s="18" t="s">
        <v>23063</v>
      </c>
      <c r="X11189" s="18" t="s">
        <v>35</v>
      </c>
      <c r="Y11189" s="18" t="s">
        <v>17171</v>
      </c>
      <c r="Z11189" s="18" t="s">
        <v>697</v>
      </c>
      <c r="AA11189" s="21" t="str">
        <f>HYPERLINK("https://www.ncbi.nlm.nih.gov/nuccore/BK014193","NCBI Nucleotide")</f>
        <v>NCBI Nucleotide</v>
      </c>
    </row>
    <row r="11190" spans="1:27" x14ac:dyDescent="0.35">
      <c r="A11190">
        <v>1027398</v>
      </c>
      <c r="B11190">
        <v>10515</v>
      </c>
      <c r="C11190">
        <v>1</v>
      </c>
      <c r="D11190" s="17" t="s">
        <v>17166</v>
      </c>
      <c r="E11190" s="17"/>
      <c r="F11190" s="17" t="s">
        <v>17246</v>
      </c>
      <c r="G11190" s="17"/>
      <c r="H11190" s="17" t="s">
        <v>20919</v>
      </c>
      <c r="I11190" s="17"/>
      <c r="J11190" s="17" t="s">
        <v>21313</v>
      </c>
      <c r="K11190" s="17"/>
      <c r="L11190" s="17" t="s">
        <v>22378</v>
      </c>
      <c r="M11190" s="17"/>
      <c r="N11190" s="17" t="s">
        <v>22459</v>
      </c>
      <c r="O11190" s="17"/>
      <c r="P11190" s="17" t="s">
        <v>23066</v>
      </c>
      <c r="Q11190" s="17"/>
      <c r="R11190" s="25" t="str">
        <f>HYPERLINK("https://ictv.global/taxonomy/taxondetails?taxnode_id=202317551","Minusuvirus neosolivicinum")</f>
        <v>Minusuvirus neosolivicinum</v>
      </c>
      <c r="S11190" s="18" t="s">
        <v>30</v>
      </c>
      <c r="T11190" s="18" t="s">
        <v>45908</v>
      </c>
      <c r="U11190" s="18"/>
      <c r="V11190" s="18"/>
      <c r="W11190" s="18" t="s">
        <v>45909</v>
      </c>
      <c r="X11190" s="18" t="s">
        <v>35</v>
      </c>
      <c r="Y11190" s="18" t="s">
        <v>17171</v>
      </c>
      <c r="Z11190" s="18" t="s">
        <v>24637</v>
      </c>
      <c r="AA11190" s="21" t="str">
        <f>HYPERLINK("https://www.ncbi.nlm.nih.gov/nuccore/CASDWV010002720","NCBI Nucleotide")</f>
        <v>NCBI Nucleotide</v>
      </c>
    </row>
    <row r="11191" spans="1:27" x14ac:dyDescent="0.35">
      <c r="A11191">
        <v>1027399</v>
      </c>
      <c r="B11191">
        <v>10516</v>
      </c>
      <c r="C11191">
        <v>1</v>
      </c>
      <c r="D11191" s="17" t="s">
        <v>17166</v>
      </c>
      <c r="E11191" s="17"/>
      <c r="F11191" s="17" t="s">
        <v>17246</v>
      </c>
      <c r="G11191" s="17"/>
      <c r="H11191" s="17" t="s">
        <v>20919</v>
      </c>
      <c r="I11191" s="17"/>
      <c r="J11191" s="17" t="s">
        <v>21313</v>
      </c>
      <c r="K11191" s="17"/>
      <c r="L11191" s="17" t="s">
        <v>22378</v>
      </c>
      <c r="M11191" s="17"/>
      <c r="N11191" s="17" t="s">
        <v>22459</v>
      </c>
      <c r="O11191" s="17"/>
      <c r="P11191" s="17" t="s">
        <v>23066</v>
      </c>
      <c r="Q11191" s="17"/>
      <c r="R11191" s="25" t="str">
        <f>HYPERLINK("https://ictv.global/taxonomy/taxondetails?taxnode_id=202317552","Minusuvirus pelenecus")</f>
        <v>Minusuvirus pelenecus</v>
      </c>
      <c r="S11191" s="18" t="s">
        <v>30</v>
      </c>
      <c r="T11191" s="18" t="s">
        <v>45910</v>
      </c>
      <c r="U11191" s="18"/>
      <c r="V11191" s="18"/>
      <c r="W11191" s="18" t="s">
        <v>45911</v>
      </c>
      <c r="X11191" s="18" t="s">
        <v>35</v>
      </c>
      <c r="Y11191" s="18" t="s">
        <v>17171</v>
      </c>
      <c r="Z11191" s="18" t="s">
        <v>24637</v>
      </c>
      <c r="AA11191" s="21" t="str">
        <f>HYPERLINK("https://www.ncbi.nlm.nih.gov/nuccore/CASDWV010002342","NCBI Nucleotide")</f>
        <v>NCBI Nucleotide</v>
      </c>
    </row>
    <row r="11192" spans="1:27" x14ac:dyDescent="0.35">
      <c r="A11192">
        <v>1010108</v>
      </c>
      <c r="B11192">
        <v>10517</v>
      </c>
      <c r="C11192">
        <v>1</v>
      </c>
      <c r="D11192" s="17" t="s">
        <v>17166</v>
      </c>
      <c r="E11192" s="17"/>
      <c r="F11192" s="17" t="s">
        <v>17246</v>
      </c>
      <c r="G11192" s="17"/>
      <c r="H11192" s="17" t="s">
        <v>20919</v>
      </c>
      <c r="I11192" s="17"/>
      <c r="J11192" s="17" t="s">
        <v>21313</v>
      </c>
      <c r="K11192" s="17"/>
      <c r="L11192" s="17" t="s">
        <v>22378</v>
      </c>
      <c r="M11192" s="17"/>
      <c r="N11192" s="17" t="s">
        <v>22459</v>
      </c>
      <c r="O11192" s="17"/>
      <c r="P11192" s="17" t="s">
        <v>23066</v>
      </c>
      <c r="Q11192" s="17"/>
      <c r="R11192" s="25" t="str">
        <f>HYPERLINK("https://ictv.global/taxonomy/taxondetails?taxnode_id=202311347","Minusuvirus solivicinum")</f>
        <v>Minusuvirus solivicinum</v>
      </c>
      <c r="S11192" s="18" t="s">
        <v>30</v>
      </c>
      <c r="T11192" s="18" t="s">
        <v>23067</v>
      </c>
      <c r="U11192" s="18"/>
      <c r="V11192" s="18"/>
      <c r="W11192" s="18" t="s">
        <v>23068</v>
      </c>
      <c r="X11192" s="18" t="s">
        <v>35</v>
      </c>
      <c r="Y11192" s="18" t="s">
        <v>17171</v>
      </c>
      <c r="Z11192" s="18" t="s">
        <v>697</v>
      </c>
      <c r="AA11192" s="21" t="str">
        <f>HYPERLINK("https://www.ncbi.nlm.nih.gov/nuccore/BK014007","NCBI Nucleotide")</f>
        <v>NCBI Nucleotide</v>
      </c>
    </row>
    <row r="11193" spans="1:27" x14ac:dyDescent="0.35">
      <c r="A11193">
        <v>1027347</v>
      </c>
      <c r="B11193">
        <v>10518</v>
      </c>
      <c r="C11193">
        <v>1</v>
      </c>
      <c r="D11193" s="17" t="s">
        <v>17166</v>
      </c>
      <c r="E11193" s="17"/>
      <c r="F11193" s="17" t="s">
        <v>17246</v>
      </c>
      <c r="G11193" s="17"/>
      <c r="H11193" s="17" t="s">
        <v>20919</v>
      </c>
      <c r="I11193" s="17"/>
      <c r="J11193" s="17" t="s">
        <v>21313</v>
      </c>
      <c r="K11193" s="17"/>
      <c r="L11193" s="17" t="s">
        <v>22378</v>
      </c>
      <c r="M11193" s="17"/>
      <c r="N11193" s="17" t="s">
        <v>22459</v>
      </c>
      <c r="O11193" s="17"/>
      <c r="P11193" s="17" t="s">
        <v>45912</v>
      </c>
      <c r="Q11193" s="17"/>
      <c r="R11193" s="25" t="str">
        <f>HYPERLINK("https://ictv.global/taxonomy/taxondetails?taxnode_id=202317553","Mixstovirus chorocola")</f>
        <v>Mixstovirus chorocola</v>
      </c>
      <c r="S11193" s="18" t="s">
        <v>30</v>
      </c>
      <c r="T11193" s="18" t="s">
        <v>45913</v>
      </c>
      <c r="U11193" s="18"/>
      <c r="V11193" s="18"/>
      <c r="W11193" s="18" t="s">
        <v>45914</v>
      </c>
      <c r="X11193" s="18" t="s">
        <v>35</v>
      </c>
      <c r="Y11193" s="18" t="s">
        <v>17171</v>
      </c>
      <c r="Z11193" s="18" t="s">
        <v>24637</v>
      </c>
      <c r="AA11193" s="21" t="str">
        <f>HYPERLINK("https://www.ncbi.nlm.nih.gov/nuccore/CASDWV010000096","NCBI Nucleotide")</f>
        <v>NCBI Nucleotide</v>
      </c>
    </row>
    <row r="11194" spans="1:27" x14ac:dyDescent="0.35">
      <c r="A11194">
        <v>1027348</v>
      </c>
      <c r="B11194">
        <v>10519</v>
      </c>
      <c r="C11194">
        <v>1</v>
      </c>
      <c r="D11194" s="17" t="s">
        <v>17166</v>
      </c>
      <c r="E11194" s="17"/>
      <c r="F11194" s="17" t="s">
        <v>17246</v>
      </c>
      <c r="G11194" s="17"/>
      <c r="H11194" s="17" t="s">
        <v>20919</v>
      </c>
      <c r="I11194" s="17"/>
      <c r="J11194" s="17" t="s">
        <v>21313</v>
      </c>
      <c r="K11194" s="17"/>
      <c r="L11194" s="17" t="s">
        <v>22378</v>
      </c>
      <c r="M11194" s="17"/>
      <c r="N11194" s="17" t="s">
        <v>22459</v>
      </c>
      <c r="O11194" s="17"/>
      <c r="P11194" s="17" t="s">
        <v>45912</v>
      </c>
      <c r="Q11194" s="17"/>
      <c r="R11194" s="25" t="str">
        <f>HYPERLINK("https://ictv.global/taxonomy/taxondetails?taxnode_id=202317554","Mixstovirus pedocola")</f>
        <v>Mixstovirus pedocola</v>
      </c>
      <c r="S11194" s="18" t="s">
        <v>30</v>
      </c>
      <c r="T11194" s="18" t="s">
        <v>45915</v>
      </c>
      <c r="U11194" s="18"/>
      <c r="V11194" s="18"/>
      <c r="W11194" s="18" t="s">
        <v>45916</v>
      </c>
      <c r="X11194" s="18" t="s">
        <v>35</v>
      </c>
      <c r="Y11194" s="18" t="s">
        <v>17171</v>
      </c>
      <c r="Z11194" s="18" t="s">
        <v>24637</v>
      </c>
      <c r="AA11194" s="21" t="str">
        <f>HYPERLINK("https://www.ncbi.nlm.nih.gov/nuccore/CASDWV010004297","NCBI Nucleotide")</f>
        <v>NCBI Nucleotide</v>
      </c>
    </row>
    <row r="11195" spans="1:27" x14ac:dyDescent="0.35">
      <c r="A11195">
        <v>1027349</v>
      </c>
      <c r="B11195">
        <v>10520</v>
      </c>
      <c r="C11195">
        <v>1</v>
      </c>
      <c r="D11195" s="17" t="s">
        <v>17166</v>
      </c>
      <c r="E11195" s="17"/>
      <c r="F11195" s="17" t="s">
        <v>17246</v>
      </c>
      <c r="G11195" s="17"/>
      <c r="H11195" s="17" t="s">
        <v>20919</v>
      </c>
      <c r="I11195" s="17"/>
      <c r="J11195" s="17" t="s">
        <v>21313</v>
      </c>
      <c r="K11195" s="17"/>
      <c r="L11195" s="17" t="s">
        <v>22378</v>
      </c>
      <c r="M11195" s="17"/>
      <c r="N11195" s="17" t="s">
        <v>22459</v>
      </c>
      <c r="O11195" s="17"/>
      <c r="P11195" s="17" t="s">
        <v>45912</v>
      </c>
      <c r="Q11195" s="17"/>
      <c r="R11195" s="25" t="str">
        <f>HYPERLINK("https://ictv.global/taxonomy/taxondetails?taxnode_id=202317555","Mixstovirus pedovivens")</f>
        <v>Mixstovirus pedovivens</v>
      </c>
      <c r="S11195" s="18" t="s">
        <v>30</v>
      </c>
      <c r="T11195" s="18" t="s">
        <v>45917</v>
      </c>
      <c r="U11195" s="18"/>
      <c r="V11195" s="18"/>
      <c r="W11195" s="18" t="s">
        <v>45918</v>
      </c>
      <c r="X11195" s="18" t="s">
        <v>35</v>
      </c>
      <c r="Y11195" s="18" t="s">
        <v>17171</v>
      </c>
      <c r="Z11195" s="18" t="s">
        <v>24637</v>
      </c>
      <c r="AA11195" s="21" t="str">
        <f>HYPERLINK("https://www.ncbi.nlm.nih.gov/nuccore/CASDWV010000715","NCBI Nucleotide")</f>
        <v>NCBI Nucleotide</v>
      </c>
    </row>
    <row r="11196" spans="1:27" x14ac:dyDescent="0.35">
      <c r="A11196">
        <v>1010109</v>
      </c>
      <c r="B11196">
        <v>10521</v>
      </c>
      <c r="C11196">
        <v>1</v>
      </c>
      <c r="D11196" s="17" t="s">
        <v>17166</v>
      </c>
      <c r="E11196" s="17"/>
      <c r="F11196" s="17" t="s">
        <v>17246</v>
      </c>
      <c r="G11196" s="17"/>
      <c r="H11196" s="17" t="s">
        <v>20919</v>
      </c>
      <c r="I11196" s="17"/>
      <c r="J11196" s="17" t="s">
        <v>21313</v>
      </c>
      <c r="K11196" s="17"/>
      <c r="L11196" s="17" t="s">
        <v>22378</v>
      </c>
      <c r="M11196" s="17"/>
      <c r="N11196" s="17" t="s">
        <v>22459</v>
      </c>
      <c r="O11196" s="17"/>
      <c r="P11196" s="17" t="s">
        <v>23069</v>
      </c>
      <c r="Q11196" s="17"/>
      <c r="R11196" s="25" t="str">
        <f>HYPERLINK("https://ictv.global/taxonomy/taxondetails?taxnode_id=202311351","Mocruvirus chthonadaptatum")</f>
        <v>Mocruvirus chthonadaptatum</v>
      </c>
      <c r="S11196" s="18" t="s">
        <v>30</v>
      </c>
      <c r="T11196" s="18" t="s">
        <v>23070</v>
      </c>
      <c r="U11196" s="18"/>
      <c r="V11196" s="18"/>
      <c r="W11196" s="18" t="s">
        <v>23071</v>
      </c>
      <c r="X11196" s="18" t="s">
        <v>35</v>
      </c>
      <c r="Y11196" s="18" t="s">
        <v>17171</v>
      </c>
      <c r="Z11196" s="18" t="s">
        <v>697</v>
      </c>
      <c r="AA11196" s="21" t="str">
        <f>HYPERLINK("https://www.ncbi.nlm.nih.gov/nuccore/BK013851","NCBI Nucleotide")</f>
        <v>NCBI Nucleotide</v>
      </c>
    </row>
    <row r="11197" spans="1:27" x14ac:dyDescent="0.35">
      <c r="A11197">
        <v>1010110</v>
      </c>
      <c r="B11197">
        <v>10522</v>
      </c>
      <c r="C11197">
        <v>1</v>
      </c>
      <c r="D11197" s="17" t="s">
        <v>17166</v>
      </c>
      <c r="E11197" s="17"/>
      <c r="F11197" s="17" t="s">
        <v>17246</v>
      </c>
      <c r="G11197" s="17"/>
      <c r="H11197" s="17" t="s">
        <v>20919</v>
      </c>
      <c r="I11197" s="17"/>
      <c r="J11197" s="17" t="s">
        <v>21313</v>
      </c>
      <c r="K11197" s="17"/>
      <c r="L11197" s="17" t="s">
        <v>22378</v>
      </c>
      <c r="M11197" s="17"/>
      <c r="N11197" s="17" t="s">
        <v>22459</v>
      </c>
      <c r="O11197" s="17"/>
      <c r="P11197" s="17" t="s">
        <v>23069</v>
      </c>
      <c r="Q11197" s="17"/>
      <c r="R11197" s="25" t="str">
        <f>HYPERLINK("https://ictv.global/taxonomy/taxondetails?taxnode_id=202311349","Mocruvirus chthonocola")</f>
        <v>Mocruvirus chthonocola</v>
      </c>
      <c r="S11197" s="18" t="s">
        <v>30</v>
      </c>
      <c r="T11197" s="18" t="s">
        <v>23072</v>
      </c>
      <c r="U11197" s="18"/>
      <c r="V11197" s="18"/>
      <c r="W11197" s="18" t="s">
        <v>23073</v>
      </c>
      <c r="X11197" s="18" t="s">
        <v>35</v>
      </c>
      <c r="Y11197" s="18" t="s">
        <v>17171</v>
      </c>
      <c r="Z11197" s="18" t="s">
        <v>697</v>
      </c>
      <c r="AA11197" s="21" t="str">
        <f>HYPERLINK("https://www.ncbi.nlm.nih.gov/nuccore/BK013954","NCBI Nucleotide")</f>
        <v>NCBI Nucleotide</v>
      </c>
    </row>
    <row r="11198" spans="1:27" x14ac:dyDescent="0.35">
      <c r="A11198">
        <v>1010111</v>
      </c>
      <c r="B11198">
        <v>10523</v>
      </c>
      <c r="C11198">
        <v>1</v>
      </c>
      <c r="D11198" s="17" t="s">
        <v>17166</v>
      </c>
      <c r="E11198" s="17"/>
      <c r="F11198" s="17" t="s">
        <v>17246</v>
      </c>
      <c r="G11198" s="17"/>
      <c r="H11198" s="17" t="s">
        <v>20919</v>
      </c>
      <c r="I11198" s="17"/>
      <c r="J11198" s="17" t="s">
        <v>21313</v>
      </c>
      <c r="K11198" s="17"/>
      <c r="L11198" s="17" t="s">
        <v>22378</v>
      </c>
      <c r="M11198" s="17"/>
      <c r="N11198" s="17" t="s">
        <v>22459</v>
      </c>
      <c r="O11198" s="17"/>
      <c r="P11198" s="17" t="s">
        <v>23069</v>
      </c>
      <c r="Q11198" s="17"/>
      <c r="R11198" s="25" t="str">
        <f>HYPERLINK("https://ictv.global/taxonomy/taxondetails?taxnode_id=202311350","Mocruvirus solivivens")</f>
        <v>Mocruvirus solivivens</v>
      </c>
      <c r="S11198" s="18" t="s">
        <v>30</v>
      </c>
      <c r="T11198" s="18" t="s">
        <v>23074</v>
      </c>
      <c r="U11198" s="18"/>
      <c r="V11198" s="18"/>
      <c r="W11198" s="18" t="s">
        <v>23075</v>
      </c>
      <c r="X11198" s="18" t="s">
        <v>35</v>
      </c>
      <c r="Y11198" s="18" t="s">
        <v>17171</v>
      </c>
      <c r="Z11198" s="18" t="s">
        <v>697</v>
      </c>
      <c r="AA11198" s="21" t="str">
        <f>HYPERLINK("https://www.ncbi.nlm.nih.gov/nuccore/BK014043","NCBI Nucleotide")</f>
        <v>NCBI Nucleotide</v>
      </c>
    </row>
    <row r="11199" spans="1:27" x14ac:dyDescent="0.35">
      <c r="A11199">
        <v>1027355</v>
      </c>
      <c r="B11199">
        <v>10524</v>
      </c>
      <c r="C11199">
        <v>1</v>
      </c>
      <c r="D11199" s="17" t="s">
        <v>17166</v>
      </c>
      <c r="E11199" s="17"/>
      <c r="F11199" s="17" t="s">
        <v>17246</v>
      </c>
      <c r="G11199" s="17"/>
      <c r="H11199" s="17" t="s">
        <v>20919</v>
      </c>
      <c r="I11199" s="17"/>
      <c r="J11199" s="17" t="s">
        <v>21313</v>
      </c>
      <c r="K11199" s="17"/>
      <c r="L11199" s="17" t="s">
        <v>22378</v>
      </c>
      <c r="M11199" s="17"/>
      <c r="N11199" s="17" t="s">
        <v>22459</v>
      </c>
      <c r="O11199" s="17"/>
      <c r="P11199" s="17" t="s">
        <v>45919</v>
      </c>
      <c r="Q11199" s="17"/>
      <c r="R11199" s="25" t="str">
        <f>HYPERLINK("https://ictv.global/taxonomy/taxondetails?taxnode_id=202317556","Mohrtavirus asiohabitans")</f>
        <v>Mohrtavirus asiohabitans</v>
      </c>
      <c r="S11199" s="18" t="s">
        <v>30</v>
      </c>
      <c r="T11199" s="18" t="s">
        <v>45920</v>
      </c>
      <c r="U11199" s="18"/>
      <c r="V11199" s="18"/>
      <c r="W11199" s="18" t="s">
        <v>45921</v>
      </c>
      <c r="X11199" s="18" t="s">
        <v>35</v>
      </c>
      <c r="Y11199" s="18" t="s">
        <v>17171</v>
      </c>
      <c r="Z11199" s="18" t="s">
        <v>24637</v>
      </c>
      <c r="AA11199" s="21" t="str">
        <f>HYPERLINK("https://www.ncbi.nlm.nih.gov/nuccore/CASDWV010000767","NCBI Nucleotide")</f>
        <v>NCBI Nucleotide</v>
      </c>
    </row>
    <row r="11200" spans="1:27" x14ac:dyDescent="0.35">
      <c r="A11200">
        <v>1027358</v>
      </c>
      <c r="B11200">
        <v>10525</v>
      </c>
      <c r="C11200">
        <v>1</v>
      </c>
      <c r="D11200" s="17" t="s">
        <v>17166</v>
      </c>
      <c r="E11200" s="17"/>
      <c r="F11200" s="17" t="s">
        <v>17246</v>
      </c>
      <c r="G11200" s="17"/>
      <c r="H11200" s="17" t="s">
        <v>20919</v>
      </c>
      <c r="I11200" s="17"/>
      <c r="J11200" s="17" t="s">
        <v>21313</v>
      </c>
      <c r="K11200" s="17"/>
      <c r="L11200" s="17" t="s">
        <v>22378</v>
      </c>
      <c r="M11200" s="17"/>
      <c r="N11200" s="17" t="s">
        <v>22459</v>
      </c>
      <c r="O11200" s="17"/>
      <c r="P11200" s="17" t="s">
        <v>23076</v>
      </c>
      <c r="Q11200" s="17"/>
      <c r="R11200" s="25" t="str">
        <f>HYPERLINK("https://ictv.global/taxonomy/taxondetails?taxnode_id=202317557","Molucevirus caenenecus")</f>
        <v>Molucevirus caenenecus</v>
      </c>
      <c r="S11200" s="18" t="s">
        <v>30</v>
      </c>
      <c r="T11200" s="18" t="s">
        <v>45922</v>
      </c>
      <c r="U11200" s="18"/>
      <c r="V11200" s="18"/>
      <c r="W11200" s="18" t="s">
        <v>45923</v>
      </c>
      <c r="X11200" s="18" t="s">
        <v>35</v>
      </c>
      <c r="Y11200" s="18" t="s">
        <v>17171</v>
      </c>
      <c r="Z11200" s="18" t="s">
        <v>24637</v>
      </c>
      <c r="AA11200" s="21" t="str">
        <f>HYPERLINK("https://www.ncbi.nlm.nih.gov/nuccore/CASDWV010004778","NCBI Nucleotide")</f>
        <v>NCBI Nucleotide</v>
      </c>
    </row>
    <row r="11201" spans="1:27" x14ac:dyDescent="0.35">
      <c r="A11201">
        <v>1010112</v>
      </c>
      <c r="B11201">
        <v>10526</v>
      </c>
      <c r="C11201">
        <v>1</v>
      </c>
      <c r="D11201" s="17" t="s">
        <v>17166</v>
      </c>
      <c r="E11201" s="17"/>
      <c r="F11201" s="17" t="s">
        <v>17246</v>
      </c>
      <c r="G11201" s="17"/>
      <c r="H11201" s="17" t="s">
        <v>20919</v>
      </c>
      <c r="I11201" s="17"/>
      <c r="J11201" s="17" t="s">
        <v>21313</v>
      </c>
      <c r="K11201" s="17"/>
      <c r="L11201" s="17" t="s">
        <v>22378</v>
      </c>
      <c r="M11201" s="17"/>
      <c r="N11201" s="17" t="s">
        <v>22459</v>
      </c>
      <c r="O11201" s="17"/>
      <c r="P11201" s="17" t="s">
        <v>23076</v>
      </c>
      <c r="Q11201" s="17"/>
      <c r="R11201" s="25" t="str">
        <f>HYPERLINK("https://ictv.global/taxonomy/taxondetails?taxnode_id=202311353","Molucevirus chthonohabitans")</f>
        <v>Molucevirus chthonohabitans</v>
      </c>
      <c r="S11201" s="18" t="s">
        <v>30</v>
      </c>
      <c r="T11201" s="18" t="s">
        <v>23077</v>
      </c>
      <c r="U11201" s="18"/>
      <c r="V11201" s="18"/>
      <c r="W11201" s="18" t="s">
        <v>23078</v>
      </c>
      <c r="X11201" s="18" t="s">
        <v>35</v>
      </c>
      <c r="Y11201" s="18" t="s">
        <v>17171</v>
      </c>
      <c r="Z11201" s="18" t="s">
        <v>697</v>
      </c>
      <c r="AA11201" s="21" t="str">
        <f>HYPERLINK("https://www.ncbi.nlm.nih.gov/nuccore/BK013809","NCBI Nucleotide")</f>
        <v>NCBI Nucleotide</v>
      </c>
    </row>
    <row r="11202" spans="1:27" x14ac:dyDescent="0.35">
      <c r="A11202">
        <v>1010113</v>
      </c>
      <c r="B11202">
        <v>10527</v>
      </c>
      <c r="C11202">
        <v>1</v>
      </c>
      <c r="D11202" s="17" t="s">
        <v>17166</v>
      </c>
      <c r="E11202" s="17"/>
      <c r="F11202" s="17" t="s">
        <v>17246</v>
      </c>
      <c r="G11202" s="17"/>
      <c r="H11202" s="17" t="s">
        <v>20919</v>
      </c>
      <c r="I11202" s="17"/>
      <c r="J11202" s="17" t="s">
        <v>21313</v>
      </c>
      <c r="K11202" s="17"/>
      <c r="L11202" s="17" t="s">
        <v>22378</v>
      </c>
      <c r="M11202" s="17"/>
      <c r="N11202" s="17" t="s">
        <v>22459</v>
      </c>
      <c r="O11202" s="17"/>
      <c r="P11202" s="17" t="s">
        <v>23076</v>
      </c>
      <c r="Q11202" s="17"/>
      <c r="R11202" s="25" t="str">
        <f>HYPERLINK("https://ictv.global/taxonomy/taxondetails?taxnode_id=202311354","Molucevirus chthonovicinum")</f>
        <v>Molucevirus chthonovicinum</v>
      </c>
      <c r="S11202" s="18" t="s">
        <v>30</v>
      </c>
      <c r="T11202" s="18" t="s">
        <v>23079</v>
      </c>
      <c r="U11202" s="18"/>
      <c r="V11202" s="18"/>
      <c r="W11202" s="18" t="s">
        <v>23080</v>
      </c>
      <c r="X11202" s="18" t="s">
        <v>35</v>
      </c>
      <c r="Y11202" s="18" t="s">
        <v>17171</v>
      </c>
      <c r="Z11202" s="18" t="s">
        <v>697</v>
      </c>
      <c r="AA11202" s="21" t="str">
        <f>HYPERLINK("https://www.ncbi.nlm.nih.gov/nuccore/BK013516","NCBI Nucleotide")</f>
        <v>NCBI Nucleotide</v>
      </c>
    </row>
    <row r="11203" spans="1:27" x14ac:dyDescent="0.35">
      <c r="A11203">
        <v>1010114</v>
      </c>
      <c r="B11203">
        <v>10528</v>
      </c>
      <c r="C11203">
        <v>1</v>
      </c>
      <c r="D11203" s="17" t="s">
        <v>17166</v>
      </c>
      <c r="E11203" s="17"/>
      <c r="F11203" s="17" t="s">
        <v>17246</v>
      </c>
      <c r="G11203" s="17"/>
      <c r="H11203" s="17" t="s">
        <v>20919</v>
      </c>
      <c r="I11203" s="17"/>
      <c r="J11203" s="17" t="s">
        <v>21313</v>
      </c>
      <c r="K11203" s="17"/>
      <c r="L11203" s="17" t="s">
        <v>22378</v>
      </c>
      <c r="M11203" s="17"/>
      <c r="N11203" s="17" t="s">
        <v>22459</v>
      </c>
      <c r="O11203" s="17"/>
      <c r="P11203" s="17" t="s">
        <v>23076</v>
      </c>
      <c r="Q11203" s="17"/>
      <c r="R11203" s="25" t="str">
        <f>HYPERLINK("https://ictv.global/taxonomy/taxondetails?taxnode_id=202311355","Molucevirus chthonovivens")</f>
        <v>Molucevirus chthonovivens</v>
      </c>
      <c r="S11203" s="18" t="s">
        <v>30</v>
      </c>
      <c r="T11203" s="18" t="s">
        <v>23081</v>
      </c>
      <c r="U11203" s="18"/>
      <c r="V11203" s="18"/>
      <c r="W11203" s="18" t="s">
        <v>23082</v>
      </c>
      <c r="X11203" s="18" t="s">
        <v>35</v>
      </c>
      <c r="Y11203" s="18" t="s">
        <v>17171</v>
      </c>
      <c r="Z11203" s="18" t="s">
        <v>697</v>
      </c>
      <c r="AA11203" s="21" t="str">
        <f>HYPERLINK("https://www.ncbi.nlm.nih.gov/nuccore/BK013512","NCBI Nucleotide")</f>
        <v>NCBI Nucleotide</v>
      </c>
    </row>
    <row r="11204" spans="1:27" x14ac:dyDescent="0.35">
      <c r="A11204">
        <v>1010115</v>
      </c>
      <c r="B11204">
        <v>10529</v>
      </c>
      <c r="C11204">
        <v>1</v>
      </c>
      <c r="D11204" s="17" t="s">
        <v>17166</v>
      </c>
      <c r="E11204" s="17"/>
      <c r="F11204" s="17" t="s">
        <v>17246</v>
      </c>
      <c r="G11204" s="17"/>
      <c r="H11204" s="17" t="s">
        <v>20919</v>
      </c>
      <c r="I11204" s="17"/>
      <c r="J11204" s="17" t="s">
        <v>21313</v>
      </c>
      <c r="K11204" s="17"/>
      <c r="L11204" s="17" t="s">
        <v>22378</v>
      </c>
      <c r="M11204" s="17"/>
      <c r="N11204" s="17" t="s">
        <v>22459</v>
      </c>
      <c r="O11204" s="17"/>
      <c r="P11204" s="17" t="s">
        <v>23076</v>
      </c>
      <c r="Q11204" s="17"/>
      <c r="R11204" s="25" t="str">
        <f>HYPERLINK("https://ictv.global/taxonomy/taxondetails?taxnode_id=202311356","Molucevirus geoadaptatum")</f>
        <v>Molucevirus geoadaptatum</v>
      </c>
      <c r="S11204" s="18" t="s">
        <v>30</v>
      </c>
      <c r="T11204" s="18" t="s">
        <v>23083</v>
      </c>
      <c r="U11204" s="18"/>
      <c r="V11204" s="18"/>
      <c r="W11204" s="18" t="s">
        <v>23084</v>
      </c>
      <c r="X11204" s="18" t="s">
        <v>35</v>
      </c>
      <c r="Y11204" s="18" t="s">
        <v>17171</v>
      </c>
      <c r="Z11204" s="18" t="s">
        <v>697</v>
      </c>
      <c r="AA11204" s="21" t="str">
        <f>HYPERLINK("https://www.ncbi.nlm.nih.gov/nuccore/BK013484","NCBI Nucleotide")</f>
        <v>NCBI Nucleotide</v>
      </c>
    </row>
    <row r="11205" spans="1:27" x14ac:dyDescent="0.35">
      <c r="A11205">
        <v>1027359</v>
      </c>
      <c r="B11205">
        <v>10530</v>
      </c>
      <c r="C11205">
        <v>1</v>
      </c>
      <c r="D11205" s="17" t="s">
        <v>17166</v>
      </c>
      <c r="E11205" s="17"/>
      <c r="F11205" s="17" t="s">
        <v>17246</v>
      </c>
      <c r="G11205" s="17"/>
      <c r="H11205" s="17" t="s">
        <v>20919</v>
      </c>
      <c r="I11205" s="17"/>
      <c r="J11205" s="17" t="s">
        <v>21313</v>
      </c>
      <c r="K11205" s="17"/>
      <c r="L11205" s="17" t="s">
        <v>22378</v>
      </c>
      <c r="M11205" s="17"/>
      <c r="N11205" s="17" t="s">
        <v>22459</v>
      </c>
      <c r="O11205" s="17"/>
      <c r="P11205" s="17" t="s">
        <v>23076</v>
      </c>
      <c r="Q11205" s="17"/>
      <c r="R11205" s="25" t="str">
        <f>HYPERLINK("https://ictv.global/taxonomy/taxondetails?taxnode_id=202317558","Molucevirus limicola")</f>
        <v>Molucevirus limicola</v>
      </c>
      <c r="S11205" s="18" t="s">
        <v>30</v>
      </c>
      <c r="T11205" s="18" t="s">
        <v>45924</v>
      </c>
      <c r="U11205" s="18"/>
      <c r="V11205" s="18"/>
      <c r="W11205" s="18" t="s">
        <v>45925</v>
      </c>
      <c r="X11205" s="18" t="s">
        <v>35</v>
      </c>
      <c r="Y11205" s="18" t="s">
        <v>17171</v>
      </c>
      <c r="Z11205" s="18" t="s">
        <v>24637</v>
      </c>
      <c r="AA11205" s="21" t="str">
        <f>HYPERLINK("https://www.ncbi.nlm.nih.gov/nuccore/CASDWV010002323","NCBI Nucleotide")</f>
        <v>NCBI Nucleotide</v>
      </c>
    </row>
    <row r="11206" spans="1:27" x14ac:dyDescent="0.35">
      <c r="A11206">
        <v>1027360</v>
      </c>
      <c r="B11206">
        <v>10531</v>
      </c>
      <c r="C11206">
        <v>1</v>
      </c>
      <c r="D11206" s="17" t="s">
        <v>17166</v>
      </c>
      <c r="E11206" s="17"/>
      <c r="F11206" s="17" t="s">
        <v>17246</v>
      </c>
      <c r="G11206" s="17"/>
      <c r="H11206" s="17" t="s">
        <v>20919</v>
      </c>
      <c r="I11206" s="17"/>
      <c r="J11206" s="17" t="s">
        <v>21313</v>
      </c>
      <c r="K11206" s="17"/>
      <c r="L11206" s="17" t="s">
        <v>22378</v>
      </c>
      <c r="M11206" s="17"/>
      <c r="N11206" s="17" t="s">
        <v>22459</v>
      </c>
      <c r="O11206" s="17"/>
      <c r="P11206" s="17" t="s">
        <v>23076</v>
      </c>
      <c r="Q11206" s="17"/>
      <c r="R11206" s="25" t="str">
        <f>HYPERLINK("https://ictv.global/taxonomy/taxondetails?taxnode_id=202317559","Molucevirus solivicinum")</f>
        <v>Molucevirus solivicinum</v>
      </c>
      <c r="S11206" s="18" t="s">
        <v>30</v>
      </c>
      <c r="T11206" s="18" t="s">
        <v>45926</v>
      </c>
      <c r="U11206" s="18"/>
      <c r="V11206" s="18"/>
      <c r="W11206" s="18" t="s">
        <v>45927</v>
      </c>
      <c r="X11206" s="18" t="s">
        <v>35</v>
      </c>
      <c r="Y11206" s="18" t="s">
        <v>17171</v>
      </c>
      <c r="Z11206" s="18" t="s">
        <v>24637</v>
      </c>
      <c r="AA11206" s="21" t="str">
        <f>HYPERLINK("https://www.ncbi.nlm.nih.gov/nuccore/CASDWV010000932","NCBI Nucleotide")</f>
        <v>NCBI Nucleotide</v>
      </c>
    </row>
    <row r="11207" spans="1:27" x14ac:dyDescent="0.35">
      <c r="A11207">
        <v>1027361</v>
      </c>
      <c r="B11207">
        <v>10532</v>
      </c>
      <c r="C11207">
        <v>1</v>
      </c>
      <c r="D11207" s="17" t="s">
        <v>17166</v>
      </c>
      <c r="E11207" s="17"/>
      <c r="F11207" s="17" t="s">
        <v>17246</v>
      </c>
      <c r="G11207" s="17"/>
      <c r="H11207" s="17" t="s">
        <v>20919</v>
      </c>
      <c r="I11207" s="17"/>
      <c r="J11207" s="17" t="s">
        <v>21313</v>
      </c>
      <c r="K11207" s="17"/>
      <c r="L11207" s="17" t="s">
        <v>22378</v>
      </c>
      <c r="M11207" s="17"/>
      <c r="N11207" s="17" t="s">
        <v>22459</v>
      </c>
      <c r="O11207" s="17"/>
      <c r="P11207" s="17" t="s">
        <v>23076</v>
      </c>
      <c r="Q11207" s="17"/>
      <c r="R11207" s="25" t="str">
        <f>HYPERLINK("https://ictv.global/taxonomy/taxondetails?taxnode_id=202317560","Molucevirus tellurivicinum")</f>
        <v>Molucevirus tellurivicinum</v>
      </c>
      <c r="S11207" s="18" t="s">
        <v>30</v>
      </c>
      <c r="T11207" s="18" t="s">
        <v>45928</v>
      </c>
      <c r="U11207" s="18"/>
      <c r="V11207" s="18"/>
      <c r="W11207" s="18" t="s">
        <v>45929</v>
      </c>
      <c r="X11207" s="18" t="s">
        <v>35</v>
      </c>
      <c r="Y11207" s="18" t="s">
        <v>17171</v>
      </c>
      <c r="Z11207" s="18" t="s">
        <v>24637</v>
      </c>
      <c r="AA11207" s="21" t="str">
        <f>HYPERLINK("https://www.ncbi.nlm.nih.gov/nuccore/CASDWV010001048","NCBI Nucleotide")</f>
        <v>NCBI Nucleotide</v>
      </c>
    </row>
    <row r="11208" spans="1:27" x14ac:dyDescent="0.35">
      <c r="A11208">
        <v>1026576</v>
      </c>
      <c r="B11208">
        <v>10533</v>
      </c>
      <c r="C11208">
        <v>1</v>
      </c>
      <c r="D11208" s="17" t="s">
        <v>17166</v>
      </c>
      <c r="E11208" s="17"/>
      <c r="F11208" s="17" t="s">
        <v>17246</v>
      </c>
      <c r="G11208" s="17"/>
      <c r="H11208" s="17" t="s">
        <v>20919</v>
      </c>
      <c r="I11208" s="17"/>
      <c r="J11208" s="17" t="s">
        <v>21313</v>
      </c>
      <c r="K11208" s="17"/>
      <c r="L11208" s="17" t="s">
        <v>22378</v>
      </c>
      <c r="M11208" s="17"/>
      <c r="N11208" s="17" t="s">
        <v>22459</v>
      </c>
      <c r="O11208" s="17"/>
      <c r="P11208" s="17" t="s">
        <v>23085</v>
      </c>
      <c r="Q11208" s="17"/>
      <c r="R11208" s="25" t="str">
        <f>HYPERLINK("https://ictv.global/taxonomy/taxondetails?taxnode_id=202317561","Nehumivirus asiovicinum")</f>
        <v>Nehumivirus asiovicinum</v>
      </c>
      <c r="S11208" s="18" t="s">
        <v>30</v>
      </c>
      <c r="T11208" s="18" t="s">
        <v>45930</v>
      </c>
      <c r="U11208" s="18"/>
      <c r="V11208" s="18"/>
      <c r="W11208" s="18" t="s">
        <v>45931</v>
      </c>
      <c r="X11208" s="18" t="s">
        <v>35</v>
      </c>
      <c r="Y11208" s="18" t="s">
        <v>17171</v>
      </c>
      <c r="Z11208" s="18" t="s">
        <v>24637</v>
      </c>
      <c r="AA11208" s="21" t="str">
        <f>HYPERLINK("https://www.ncbi.nlm.nih.gov/nuccore/CASDWV010001837","NCBI Nucleotide")</f>
        <v>NCBI Nucleotide</v>
      </c>
    </row>
    <row r="11209" spans="1:27" x14ac:dyDescent="0.35">
      <c r="A11209">
        <v>1026577</v>
      </c>
      <c r="B11209">
        <v>10534</v>
      </c>
      <c r="C11209">
        <v>1</v>
      </c>
      <c r="D11209" s="17" t="s">
        <v>17166</v>
      </c>
      <c r="E11209" s="17"/>
      <c r="F11209" s="17" t="s">
        <v>17246</v>
      </c>
      <c r="G11209" s="17"/>
      <c r="H11209" s="17" t="s">
        <v>20919</v>
      </c>
      <c r="I11209" s="17"/>
      <c r="J11209" s="17" t="s">
        <v>21313</v>
      </c>
      <c r="K11209" s="17"/>
      <c r="L11209" s="17" t="s">
        <v>22378</v>
      </c>
      <c r="M11209" s="17"/>
      <c r="N11209" s="17" t="s">
        <v>22459</v>
      </c>
      <c r="O11209" s="17"/>
      <c r="P11209" s="17" t="s">
        <v>23085</v>
      </c>
      <c r="Q11209" s="17"/>
      <c r="R11209" s="25" t="str">
        <f>HYPERLINK("https://ictv.global/taxonomy/taxondetails?taxnode_id=202317562","Nehumivirus choradaptatum")</f>
        <v>Nehumivirus choradaptatum</v>
      </c>
      <c r="S11209" s="18" t="s">
        <v>30</v>
      </c>
      <c r="T11209" s="18" t="s">
        <v>45932</v>
      </c>
      <c r="U11209" s="18"/>
      <c r="V11209" s="18"/>
      <c r="W11209" s="18" t="s">
        <v>45933</v>
      </c>
      <c r="X11209" s="18" t="s">
        <v>35</v>
      </c>
      <c r="Y11209" s="18" t="s">
        <v>17171</v>
      </c>
      <c r="Z11209" s="18" t="s">
        <v>24637</v>
      </c>
      <c r="AA11209" s="21" t="str">
        <f>HYPERLINK("https://www.ncbi.nlm.nih.gov/nuccore/CASDWV010001489","NCBI Nucleotide")</f>
        <v>NCBI Nucleotide</v>
      </c>
    </row>
    <row r="11210" spans="1:27" x14ac:dyDescent="0.35">
      <c r="A11210">
        <v>1026578</v>
      </c>
      <c r="B11210">
        <v>10535</v>
      </c>
      <c r="C11210">
        <v>1</v>
      </c>
      <c r="D11210" s="17" t="s">
        <v>17166</v>
      </c>
      <c r="E11210" s="17"/>
      <c r="F11210" s="17" t="s">
        <v>17246</v>
      </c>
      <c r="G11210" s="17"/>
      <c r="H11210" s="17" t="s">
        <v>20919</v>
      </c>
      <c r="I11210" s="17"/>
      <c r="J11210" s="17" t="s">
        <v>21313</v>
      </c>
      <c r="K11210" s="17"/>
      <c r="L11210" s="17" t="s">
        <v>22378</v>
      </c>
      <c r="M11210" s="17"/>
      <c r="N11210" s="17" t="s">
        <v>22459</v>
      </c>
      <c r="O11210" s="17"/>
      <c r="P11210" s="17" t="s">
        <v>23085</v>
      </c>
      <c r="Q11210" s="17"/>
      <c r="R11210" s="25" t="str">
        <f>HYPERLINK("https://ictv.global/taxonomy/taxondetails?taxnode_id=202317563","Nehumivirus limenecus")</f>
        <v>Nehumivirus limenecus</v>
      </c>
      <c r="S11210" s="18" t="s">
        <v>30</v>
      </c>
      <c r="T11210" s="18" t="s">
        <v>45934</v>
      </c>
      <c r="U11210" s="18"/>
      <c r="V11210" s="18"/>
      <c r="W11210" s="18" t="s">
        <v>45935</v>
      </c>
      <c r="X11210" s="18" t="s">
        <v>35</v>
      </c>
      <c r="Y11210" s="18" t="s">
        <v>17171</v>
      </c>
      <c r="Z11210" s="18" t="s">
        <v>24637</v>
      </c>
      <c r="AA11210" s="21" t="str">
        <f>HYPERLINK("https://www.ncbi.nlm.nih.gov/nuccore/CASDWV010004679","NCBI Nucleotide")</f>
        <v>NCBI Nucleotide</v>
      </c>
    </row>
    <row r="11211" spans="1:27" x14ac:dyDescent="0.35">
      <c r="A11211">
        <v>1026579</v>
      </c>
      <c r="B11211">
        <v>10536</v>
      </c>
      <c r="C11211">
        <v>1</v>
      </c>
      <c r="D11211" s="17" t="s">
        <v>17166</v>
      </c>
      <c r="E11211" s="17"/>
      <c r="F11211" s="17" t="s">
        <v>17246</v>
      </c>
      <c r="G11211" s="17"/>
      <c r="H11211" s="17" t="s">
        <v>20919</v>
      </c>
      <c r="I11211" s="17"/>
      <c r="J11211" s="17" t="s">
        <v>21313</v>
      </c>
      <c r="K11211" s="17"/>
      <c r="L11211" s="17" t="s">
        <v>22378</v>
      </c>
      <c r="M11211" s="17"/>
      <c r="N11211" s="17" t="s">
        <v>22459</v>
      </c>
      <c r="O11211" s="17"/>
      <c r="P11211" s="17" t="s">
        <v>23085</v>
      </c>
      <c r="Q11211" s="17"/>
      <c r="R11211" s="25" t="str">
        <f>HYPERLINK("https://ictv.global/taxonomy/taxondetails?taxnode_id=202317564","Nehumivirus lutenecus")</f>
        <v>Nehumivirus lutenecus</v>
      </c>
      <c r="S11211" s="18" t="s">
        <v>30</v>
      </c>
      <c r="T11211" s="18" t="s">
        <v>45936</v>
      </c>
      <c r="U11211" s="18"/>
      <c r="V11211" s="18"/>
      <c r="W11211" s="18" t="s">
        <v>45937</v>
      </c>
      <c r="X11211" s="18" t="s">
        <v>35</v>
      </c>
      <c r="Y11211" s="18" t="s">
        <v>17171</v>
      </c>
      <c r="Z11211" s="18" t="s">
        <v>24637</v>
      </c>
      <c r="AA11211" s="21" t="str">
        <f>HYPERLINK("https://www.ncbi.nlm.nih.gov/nuccore/CASDWV010004739","NCBI Nucleotide")</f>
        <v>NCBI Nucleotide</v>
      </c>
    </row>
    <row r="11212" spans="1:27" x14ac:dyDescent="0.35">
      <c r="A11212">
        <v>1026580</v>
      </c>
      <c r="B11212">
        <v>10537</v>
      </c>
      <c r="C11212">
        <v>1</v>
      </c>
      <c r="D11212" s="17" t="s">
        <v>17166</v>
      </c>
      <c r="E11212" s="17"/>
      <c r="F11212" s="17" t="s">
        <v>17246</v>
      </c>
      <c r="G11212" s="17"/>
      <c r="H11212" s="17" t="s">
        <v>20919</v>
      </c>
      <c r="I11212" s="17"/>
      <c r="J11212" s="17" t="s">
        <v>21313</v>
      </c>
      <c r="K11212" s="17"/>
      <c r="L11212" s="17" t="s">
        <v>22378</v>
      </c>
      <c r="M11212" s="17"/>
      <c r="N11212" s="17" t="s">
        <v>22459</v>
      </c>
      <c r="O11212" s="17"/>
      <c r="P11212" s="17" t="s">
        <v>23085</v>
      </c>
      <c r="Q11212" s="17"/>
      <c r="R11212" s="25" t="str">
        <f>HYPERLINK("https://ictv.global/taxonomy/taxondetails?taxnode_id=202317565","Nehumivirus lutivivens")</f>
        <v>Nehumivirus lutivivens</v>
      </c>
      <c r="S11212" s="18" t="s">
        <v>30</v>
      </c>
      <c r="T11212" s="18" t="s">
        <v>45938</v>
      </c>
      <c r="U11212" s="18"/>
      <c r="V11212" s="18"/>
      <c r="W11212" s="18" t="s">
        <v>45939</v>
      </c>
      <c r="X11212" s="18" t="s">
        <v>35</v>
      </c>
      <c r="Y11212" s="18" t="s">
        <v>17171</v>
      </c>
      <c r="Z11212" s="18" t="s">
        <v>24637</v>
      </c>
      <c r="AA11212" s="21" t="str">
        <f>HYPERLINK("https://www.ncbi.nlm.nih.gov/nuccore/CASDWV010001285","NCBI Nucleotide")</f>
        <v>NCBI Nucleotide</v>
      </c>
    </row>
    <row r="11213" spans="1:27" x14ac:dyDescent="0.35">
      <c r="A11213">
        <v>1010116</v>
      </c>
      <c r="B11213">
        <v>10538</v>
      </c>
      <c r="C11213">
        <v>1</v>
      </c>
      <c r="D11213" s="17" t="s">
        <v>17166</v>
      </c>
      <c r="E11213" s="17"/>
      <c r="F11213" s="17" t="s">
        <v>17246</v>
      </c>
      <c r="G11213" s="17"/>
      <c r="H11213" s="17" t="s">
        <v>20919</v>
      </c>
      <c r="I11213" s="17"/>
      <c r="J11213" s="17" t="s">
        <v>21313</v>
      </c>
      <c r="K11213" s="17"/>
      <c r="L11213" s="17" t="s">
        <v>22378</v>
      </c>
      <c r="M11213" s="17"/>
      <c r="N11213" s="17" t="s">
        <v>22459</v>
      </c>
      <c r="O11213" s="17"/>
      <c r="P11213" s="17" t="s">
        <v>23085</v>
      </c>
      <c r="Q11213" s="17"/>
      <c r="R11213" s="25" t="str">
        <f>HYPERLINK("https://ictv.global/taxonomy/taxondetails?taxnode_id=202311358","Nehumivirus tellurihabitans")</f>
        <v>Nehumivirus tellurihabitans</v>
      </c>
      <c r="S11213" s="18" t="s">
        <v>30</v>
      </c>
      <c r="T11213" s="18" t="s">
        <v>23086</v>
      </c>
      <c r="U11213" s="18"/>
      <c r="V11213" s="18"/>
      <c r="W11213" s="18" t="s">
        <v>23087</v>
      </c>
      <c r="X11213" s="18" t="s">
        <v>35</v>
      </c>
      <c r="Y11213" s="18" t="s">
        <v>17171</v>
      </c>
      <c r="Z11213" s="18" t="s">
        <v>697</v>
      </c>
      <c r="AA11213" s="21" t="str">
        <f>HYPERLINK("https://www.ncbi.nlm.nih.gov/nuccore/BK013890","NCBI Nucleotide")</f>
        <v>NCBI Nucleotide</v>
      </c>
    </row>
    <row r="11214" spans="1:27" x14ac:dyDescent="0.35">
      <c r="A11214">
        <v>1026581</v>
      </c>
      <c r="B11214">
        <v>10539</v>
      </c>
      <c r="C11214">
        <v>1</v>
      </c>
      <c r="D11214" s="17" t="s">
        <v>17166</v>
      </c>
      <c r="E11214" s="17"/>
      <c r="F11214" s="17" t="s">
        <v>17246</v>
      </c>
      <c r="G11214" s="17"/>
      <c r="H11214" s="17" t="s">
        <v>20919</v>
      </c>
      <c r="I11214" s="17"/>
      <c r="J11214" s="17" t="s">
        <v>21313</v>
      </c>
      <c r="K11214" s="17"/>
      <c r="L11214" s="17" t="s">
        <v>22378</v>
      </c>
      <c r="M11214" s="17"/>
      <c r="N11214" s="17" t="s">
        <v>22459</v>
      </c>
      <c r="O11214" s="17"/>
      <c r="P11214" s="17" t="s">
        <v>45940</v>
      </c>
      <c r="Q11214" s="17"/>
      <c r="R11214" s="25" t="str">
        <f>HYPERLINK("https://ictv.global/taxonomy/taxondetails?taxnode_id=202317566","Nehwbovirus pelenecus")</f>
        <v>Nehwbovirus pelenecus</v>
      </c>
      <c r="S11214" s="18" t="s">
        <v>30</v>
      </c>
      <c r="T11214" s="18" t="s">
        <v>45941</v>
      </c>
      <c r="U11214" s="18"/>
      <c r="V11214" s="18"/>
      <c r="W11214" s="18" t="s">
        <v>45942</v>
      </c>
      <c r="X11214" s="18" t="s">
        <v>35</v>
      </c>
      <c r="Y11214" s="18" t="s">
        <v>17171</v>
      </c>
      <c r="Z11214" s="18" t="s">
        <v>24637</v>
      </c>
      <c r="AA11214" s="21" t="str">
        <f>HYPERLINK("https://www.ncbi.nlm.nih.gov/nuccore/CASDWV010003515","NCBI Nucleotide")</f>
        <v>NCBI Nucleotide</v>
      </c>
    </row>
    <row r="11215" spans="1:27" x14ac:dyDescent="0.35">
      <c r="A11215">
        <v>1026570</v>
      </c>
      <c r="B11215">
        <v>10540</v>
      </c>
      <c r="C11215">
        <v>1</v>
      </c>
      <c r="D11215" s="17" t="s">
        <v>17166</v>
      </c>
      <c r="E11215" s="17"/>
      <c r="F11215" s="17" t="s">
        <v>17246</v>
      </c>
      <c r="G11215" s="17"/>
      <c r="H11215" s="17" t="s">
        <v>20919</v>
      </c>
      <c r="I11215" s="17"/>
      <c r="J11215" s="17" t="s">
        <v>21313</v>
      </c>
      <c r="K11215" s="17"/>
      <c r="L11215" s="17" t="s">
        <v>22378</v>
      </c>
      <c r="M11215" s="17"/>
      <c r="N11215" s="17" t="s">
        <v>22459</v>
      </c>
      <c r="O11215" s="17"/>
      <c r="P11215" s="17" t="s">
        <v>45943</v>
      </c>
      <c r="Q11215" s="17"/>
      <c r="R11215" s="25" t="str">
        <f>HYPERLINK("https://ictv.global/taxonomy/taxondetails?taxnode_id=202317567","Nethevirus luticola")</f>
        <v>Nethevirus luticola</v>
      </c>
      <c r="S11215" s="18" t="s">
        <v>30</v>
      </c>
      <c r="T11215" s="18" t="s">
        <v>45944</v>
      </c>
      <c r="U11215" s="18"/>
      <c r="V11215" s="18"/>
      <c r="W11215" s="18" t="s">
        <v>45945</v>
      </c>
      <c r="X11215" s="18" t="s">
        <v>35</v>
      </c>
      <c r="Y11215" s="18" t="s">
        <v>17171</v>
      </c>
      <c r="Z11215" s="18" t="s">
        <v>24637</v>
      </c>
      <c r="AA11215" s="21" t="str">
        <f>HYPERLINK("https://www.ncbi.nlm.nih.gov/nuccore/CASDWV010003607","NCBI Nucleotide")</f>
        <v>NCBI Nucleotide</v>
      </c>
    </row>
    <row r="11216" spans="1:27" x14ac:dyDescent="0.35">
      <c r="A11216">
        <v>1026604</v>
      </c>
      <c r="B11216">
        <v>10541</v>
      </c>
      <c r="C11216">
        <v>1</v>
      </c>
      <c r="D11216" s="17" t="s">
        <v>17166</v>
      </c>
      <c r="E11216" s="17"/>
      <c r="F11216" s="17" t="s">
        <v>17246</v>
      </c>
      <c r="G11216" s="17"/>
      <c r="H11216" s="17" t="s">
        <v>20919</v>
      </c>
      <c r="I11216" s="17"/>
      <c r="J11216" s="17" t="s">
        <v>21313</v>
      </c>
      <c r="K11216" s="17"/>
      <c r="L11216" s="17" t="s">
        <v>22378</v>
      </c>
      <c r="M11216" s="17"/>
      <c r="N11216" s="17" t="s">
        <v>22459</v>
      </c>
      <c r="O11216" s="17"/>
      <c r="P11216" s="17" t="s">
        <v>45946</v>
      </c>
      <c r="Q11216" s="17"/>
      <c r="R11216" s="25" t="str">
        <f>HYPERLINK("https://ictv.global/taxonomy/taxondetails?taxnode_id=202317568","Nuhnehevirus choradaptatum")</f>
        <v>Nuhnehevirus choradaptatum</v>
      </c>
      <c r="S11216" s="18" t="s">
        <v>30</v>
      </c>
      <c r="T11216" s="18" t="s">
        <v>45947</v>
      </c>
      <c r="U11216" s="18"/>
      <c r="V11216" s="18"/>
      <c r="W11216" s="18" t="s">
        <v>45948</v>
      </c>
      <c r="X11216" s="18" t="s">
        <v>35</v>
      </c>
      <c r="Y11216" s="18" t="s">
        <v>17171</v>
      </c>
      <c r="Z11216" s="18" t="s">
        <v>24637</v>
      </c>
      <c r="AA11216" s="21" t="str">
        <f>HYPERLINK("https://www.ncbi.nlm.nih.gov/nuccore/CASDWV010002161","NCBI Nucleotide")</f>
        <v>NCBI Nucleotide</v>
      </c>
    </row>
    <row r="11217" spans="1:27" x14ac:dyDescent="0.35">
      <c r="A11217">
        <v>1026605</v>
      </c>
      <c r="B11217">
        <v>10542</v>
      </c>
      <c r="C11217">
        <v>1</v>
      </c>
      <c r="D11217" s="17" t="s">
        <v>17166</v>
      </c>
      <c r="E11217" s="17"/>
      <c r="F11217" s="17" t="s">
        <v>17246</v>
      </c>
      <c r="G11217" s="17"/>
      <c r="H11217" s="17" t="s">
        <v>20919</v>
      </c>
      <c r="I11217" s="17"/>
      <c r="J11217" s="17" t="s">
        <v>21313</v>
      </c>
      <c r="K11217" s="17"/>
      <c r="L11217" s="17" t="s">
        <v>22378</v>
      </c>
      <c r="M11217" s="17"/>
      <c r="N11217" s="17" t="s">
        <v>22459</v>
      </c>
      <c r="O11217" s="17"/>
      <c r="P11217" s="17" t="s">
        <v>45946</v>
      </c>
      <c r="Q11217" s="17"/>
      <c r="R11217" s="25" t="str">
        <f>HYPERLINK("https://ictv.global/taxonomy/taxondetails?taxnode_id=202317569","Nuhnehevirus fundicola")</f>
        <v>Nuhnehevirus fundicola</v>
      </c>
      <c r="S11217" s="18" t="s">
        <v>30</v>
      </c>
      <c r="T11217" s="18" t="s">
        <v>45949</v>
      </c>
      <c r="U11217" s="18"/>
      <c r="V11217" s="18" t="s">
        <v>45949</v>
      </c>
      <c r="W11217" s="18" t="s">
        <v>45950</v>
      </c>
      <c r="X11217" s="18" t="s">
        <v>35</v>
      </c>
      <c r="Y11217" s="18" t="s">
        <v>17171</v>
      </c>
      <c r="Z11217" s="18" t="s">
        <v>24637</v>
      </c>
      <c r="AA11217" s="21" t="str">
        <f>HYPERLINK("https://www.ncbi.nlm.nih.gov/nuccore/MZ679489","NCBI Nucleotide")</f>
        <v>NCBI Nucleotide</v>
      </c>
    </row>
    <row r="11218" spans="1:27" x14ac:dyDescent="0.35">
      <c r="A11218">
        <v>1009841</v>
      </c>
      <c r="B11218">
        <v>10543</v>
      </c>
      <c r="C11218">
        <v>1</v>
      </c>
      <c r="D11218" s="17" t="s">
        <v>17166</v>
      </c>
      <c r="E11218" s="17"/>
      <c r="F11218" s="17" t="s">
        <v>17246</v>
      </c>
      <c r="G11218" s="17"/>
      <c r="H11218" s="17" t="s">
        <v>20919</v>
      </c>
      <c r="I11218" s="17"/>
      <c r="J11218" s="17" t="s">
        <v>21313</v>
      </c>
      <c r="K11218" s="17"/>
      <c r="L11218" s="17" t="s">
        <v>22378</v>
      </c>
      <c r="M11218" s="17"/>
      <c r="N11218" s="17" t="s">
        <v>22459</v>
      </c>
      <c r="O11218" s="17"/>
      <c r="P11218" s="17" t="s">
        <v>45951</v>
      </c>
      <c r="Q11218" s="17"/>
      <c r="R11218" s="25" t="str">
        <f>HYPERLINK("https://ictv.global/taxonomy/taxondetails?taxnode_id=202311013","Oldborovirus edaphovicinum")</f>
        <v>Oldborovirus edaphovicinum</v>
      </c>
      <c r="S11218" s="18" t="s">
        <v>30</v>
      </c>
      <c r="T11218" s="18" t="s">
        <v>22510</v>
      </c>
      <c r="U11218" s="18"/>
      <c r="V11218" s="18"/>
      <c r="W11218" s="18" t="s">
        <v>22511</v>
      </c>
      <c r="X11218" s="18" t="s">
        <v>35</v>
      </c>
      <c r="Y11218" s="18" t="s">
        <v>17171</v>
      </c>
      <c r="Z11218" s="18" t="s">
        <v>697</v>
      </c>
      <c r="AA11218" s="21" t="str">
        <f>HYPERLINK("https://www.ncbi.nlm.nih.gov/nuccore/BK013912","NCBI Nucleotide")</f>
        <v>NCBI Nucleotide</v>
      </c>
    </row>
    <row r="11219" spans="1:27" x14ac:dyDescent="0.35">
      <c r="A11219">
        <v>1026561</v>
      </c>
      <c r="B11219">
        <v>10544</v>
      </c>
      <c r="C11219">
        <v>1</v>
      </c>
      <c r="D11219" s="17" t="s">
        <v>17166</v>
      </c>
      <c r="E11219" s="17"/>
      <c r="F11219" s="17" t="s">
        <v>17246</v>
      </c>
      <c r="G11219" s="17"/>
      <c r="H11219" s="17" t="s">
        <v>20919</v>
      </c>
      <c r="I11219" s="17"/>
      <c r="J11219" s="17" t="s">
        <v>21313</v>
      </c>
      <c r="K11219" s="17"/>
      <c r="L11219" s="17" t="s">
        <v>22378</v>
      </c>
      <c r="M11219" s="17"/>
      <c r="N11219" s="17" t="s">
        <v>22459</v>
      </c>
      <c r="O11219" s="17"/>
      <c r="P11219" s="17" t="s">
        <v>45951</v>
      </c>
      <c r="Q11219" s="17"/>
      <c r="R11219" s="25" t="str">
        <f>HYPERLINK("https://ictv.global/taxonomy/taxondetails?taxnode_id=202317570","Oldborovirus radicicola")</f>
        <v>Oldborovirus radicicola</v>
      </c>
      <c r="S11219" s="18" t="s">
        <v>30</v>
      </c>
      <c r="T11219" s="18" t="s">
        <v>45952</v>
      </c>
      <c r="U11219" s="18"/>
      <c r="V11219" s="18"/>
      <c r="W11219" s="18" t="s">
        <v>45953</v>
      </c>
      <c r="X11219" s="18" t="s">
        <v>35</v>
      </c>
      <c r="Y11219" s="18" t="s">
        <v>17171</v>
      </c>
      <c r="Z11219" s="18" t="s">
        <v>24637</v>
      </c>
      <c r="AA11219" s="21" t="str">
        <f>HYPERLINK("https://www.ncbi.nlm.nih.gov/nuccore/CASDWV010003448","NCBI Nucleotide")</f>
        <v>NCBI Nucleotide</v>
      </c>
    </row>
    <row r="11220" spans="1:27" x14ac:dyDescent="0.35">
      <c r="A11220">
        <v>1026644</v>
      </c>
      <c r="B11220">
        <v>10545</v>
      </c>
      <c r="C11220">
        <v>1</v>
      </c>
      <c r="D11220" s="17" t="s">
        <v>17166</v>
      </c>
      <c r="E11220" s="17"/>
      <c r="F11220" s="17" t="s">
        <v>17246</v>
      </c>
      <c r="G11220" s="17"/>
      <c r="H11220" s="17" t="s">
        <v>20919</v>
      </c>
      <c r="I11220" s="17"/>
      <c r="J11220" s="17" t="s">
        <v>21313</v>
      </c>
      <c r="K11220" s="17"/>
      <c r="L11220" s="17" t="s">
        <v>22378</v>
      </c>
      <c r="M11220" s="17"/>
      <c r="N11220" s="17" t="s">
        <v>22459</v>
      </c>
      <c r="O11220" s="17"/>
      <c r="P11220" s="17" t="s">
        <v>45954</v>
      </c>
      <c r="Q11220" s="17"/>
      <c r="R11220" s="25" t="str">
        <f>HYPERLINK("https://ictv.global/taxonomy/taxondetails?taxnode_id=202317571","Ovirwhivirus faecenecus")</f>
        <v>Ovirwhivirus faecenecus</v>
      </c>
      <c r="S11220" s="18" t="s">
        <v>30</v>
      </c>
      <c r="T11220" s="18" t="s">
        <v>45955</v>
      </c>
      <c r="U11220" s="18"/>
      <c r="V11220" s="18" t="s">
        <v>45955</v>
      </c>
      <c r="W11220" s="18" t="s">
        <v>45956</v>
      </c>
      <c r="X11220" s="18" t="s">
        <v>35</v>
      </c>
      <c r="Y11220" s="18" t="s">
        <v>17171</v>
      </c>
      <c r="Z11220" s="18" t="s">
        <v>24637</v>
      </c>
      <c r="AA11220" s="21" t="str">
        <f>HYPERLINK("https://www.ncbi.nlm.nih.gov/nuccore/MZ679648","NCBI Nucleotide")</f>
        <v>NCBI Nucleotide</v>
      </c>
    </row>
    <row r="11221" spans="1:27" x14ac:dyDescent="0.35">
      <c r="A11221">
        <v>1026645</v>
      </c>
      <c r="B11221">
        <v>10546</v>
      </c>
      <c r="C11221">
        <v>1</v>
      </c>
      <c r="D11221" s="17" t="s">
        <v>17166</v>
      </c>
      <c r="E11221" s="17"/>
      <c r="F11221" s="17" t="s">
        <v>17246</v>
      </c>
      <c r="G11221" s="17"/>
      <c r="H11221" s="17" t="s">
        <v>20919</v>
      </c>
      <c r="I11221" s="17"/>
      <c r="J11221" s="17" t="s">
        <v>21313</v>
      </c>
      <c r="K11221" s="17"/>
      <c r="L11221" s="17" t="s">
        <v>22378</v>
      </c>
      <c r="M11221" s="17"/>
      <c r="N11221" s="17" t="s">
        <v>22459</v>
      </c>
      <c r="O11221" s="17"/>
      <c r="P11221" s="17" t="s">
        <v>45954</v>
      </c>
      <c r="Q11221" s="17"/>
      <c r="R11221" s="25" t="str">
        <f>HYPERLINK("https://ictv.global/taxonomy/taxondetails?taxnode_id=202317572","Ovirwhivirus nemorisadaptatum")</f>
        <v>Ovirwhivirus nemorisadaptatum</v>
      </c>
      <c r="S11221" s="18" t="s">
        <v>30</v>
      </c>
      <c r="T11221" s="18" t="s">
        <v>45957</v>
      </c>
      <c r="U11221" s="18"/>
      <c r="V11221" s="18" t="s">
        <v>45957</v>
      </c>
      <c r="W11221" s="18" t="s">
        <v>45958</v>
      </c>
      <c r="X11221" s="18" t="s">
        <v>35</v>
      </c>
      <c r="Y11221" s="18" t="s">
        <v>17171</v>
      </c>
      <c r="Z11221" s="18" t="s">
        <v>24637</v>
      </c>
      <c r="AA11221" s="21" t="str">
        <f>HYPERLINK("https://www.ncbi.nlm.nih.gov/nuccore/MZ679538","NCBI Nucleotide")</f>
        <v>NCBI Nucleotide</v>
      </c>
    </row>
    <row r="11222" spans="1:27" x14ac:dyDescent="0.35">
      <c r="A11222">
        <v>1026658</v>
      </c>
      <c r="B11222">
        <v>10547</v>
      </c>
      <c r="C11222">
        <v>1</v>
      </c>
      <c r="D11222" s="17" t="s">
        <v>17166</v>
      </c>
      <c r="E11222" s="17"/>
      <c r="F11222" s="17" t="s">
        <v>17246</v>
      </c>
      <c r="G11222" s="17"/>
      <c r="H11222" s="17" t="s">
        <v>20919</v>
      </c>
      <c r="I11222" s="17"/>
      <c r="J11222" s="17" t="s">
        <v>21313</v>
      </c>
      <c r="K11222" s="17"/>
      <c r="L11222" s="17" t="s">
        <v>22378</v>
      </c>
      <c r="M11222" s="17"/>
      <c r="N11222" s="17" t="s">
        <v>22459</v>
      </c>
      <c r="O11222" s="17"/>
      <c r="P11222" s="17" t="s">
        <v>23092</v>
      </c>
      <c r="Q11222" s="17"/>
      <c r="R11222" s="25" t="str">
        <f>HYPERLINK("https://ictv.global/taxonomy/taxondetails?taxnode_id=202317573","Pahspavirus agrivivens")</f>
        <v>Pahspavirus agrivivens</v>
      </c>
      <c r="S11222" s="18" t="s">
        <v>30</v>
      </c>
      <c r="T11222" s="18" t="s">
        <v>45959</v>
      </c>
      <c r="U11222" s="18"/>
      <c r="V11222" s="18"/>
      <c r="W11222" s="18" t="s">
        <v>45960</v>
      </c>
      <c r="X11222" s="18" t="s">
        <v>35</v>
      </c>
      <c r="Y11222" s="18" t="s">
        <v>17171</v>
      </c>
      <c r="Z11222" s="18" t="s">
        <v>24637</v>
      </c>
      <c r="AA11222" s="21" t="str">
        <f>HYPERLINK("https://www.ncbi.nlm.nih.gov/nuccore/CASDWV010002204","NCBI Nucleotide")</f>
        <v>NCBI Nucleotide</v>
      </c>
    </row>
    <row r="11223" spans="1:27" x14ac:dyDescent="0.35">
      <c r="A11223">
        <v>1026659</v>
      </c>
      <c r="B11223">
        <v>10548</v>
      </c>
      <c r="C11223">
        <v>1</v>
      </c>
      <c r="D11223" s="17" t="s">
        <v>17166</v>
      </c>
      <c r="E11223" s="17"/>
      <c r="F11223" s="17" t="s">
        <v>17246</v>
      </c>
      <c r="G11223" s="17"/>
      <c r="H11223" s="17" t="s">
        <v>20919</v>
      </c>
      <c r="I11223" s="17"/>
      <c r="J11223" s="17" t="s">
        <v>21313</v>
      </c>
      <c r="K11223" s="17"/>
      <c r="L11223" s="17" t="s">
        <v>22378</v>
      </c>
      <c r="M11223" s="17"/>
      <c r="N11223" s="17" t="s">
        <v>22459</v>
      </c>
      <c r="O11223" s="17"/>
      <c r="P11223" s="17" t="s">
        <v>23092</v>
      </c>
      <c r="Q11223" s="17"/>
      <c r="R11223" s="25" t="str">
        <f>HYPERLINK("https://ictv.global/taxonomy/taxondetails?taxnode_id=202317574","Pahspavirus caenivicinum")</f>
        <v>Pahspavirus caenivicinum</v>
      </c>
      <c r="S11223" s="18" t="s">
        <v>30</v>
      </c>
      <c r="T11223" s="18" t="s">
        <v>45961</v>
      </c>
      <c r="U11223" s="18"/>
      <c r="V11223" s="18"/>
      <c r="W11223" s="18" t="s">
        <v>45962</v>
      </c>
      <c r="X11223" s="18" t="s">
        <v>35</v>
      </c>
      <c r="Y11223" s="18" t="s">
        <v>17171</v>
      </c>
      <c r="Z11223" s="18" t="s">
        <v>24637</v>
      </c>
      <c r="AA11223" s="21" t="str">
        <f>HYPERLINK("https://www.ncbi.nlm.nih.gov/nuccore/CASDWV010002199","NCBI Nucleotide")</f>
        <v>NCBI Nucleotide</v>
      </c>
    </row>
    <row r="11224" spans="1:27" x14ac:dyDescent="0.35">
      <c r="A11224">
        <v>1026660</v>
      </c>
      <c r="B11224">
        <v>10549</v>
      </c>
      <c r="C11224">
        <v>1</v>
      </c>
      <c r="D11224" s="17" t="s">
        <v>17166</v>
      </c>
      <c r="E11224" s="17"/>
      <c r="F11224" s="17" t="s">
        <v>17246</v>
      </c>
      <c r="G11224" s="17"/>
      <c r="H11224" s="17" t="s">
        <v>20919</v>
      </c>
      <c r="I11224" s="17"/>
      <c r="J11224" s="17" t="s">
        <v>21313</v>
      </c>
      <c r="K11224" s="17"/>
      <c r="L11224" s="17" t="s">
        <v>22378</v>
      </c>
      <c r="M11224" s="17"/>
      <c r="N11224" s="17" t="s">
        <v>22459</v>
      </c>
      <c r="O11224" s="17"/>
      <c r="P11224" s="17" t="s">
        <v>23092</v>
      </c>
      <c r="Q11224" s="17"/>
      <c r="R11224" s="25" t="str">
        <f>HYPERLINK("https://ictv.global/taxonomy/taxondetails?taxnode_id=202317575","Pahspavirus chorenecus")</f>
        <v>Pahspavirus chorenecus</v>
      </c>
      <c r="S11224" s="18" t="s">
        <v>30</v>
      </c>
      <c r="T11224" s="18" t="s">
        <v>45963</v>
      </c>
      <c r="U11224" s="18"/>
      <c r="V11224" s="18"/>
      <c r="W11224" s="18" t="s">
        <v>45964</v>
      </c>
      <c r="X11224" s="18" t="s">
        <v>35</v>
      </c>
      <c r="Y11224" s="18" t="s">
        <v>17171</v>
      </c>
      <c r="Z11224" s="18" t="s">
        <v>24637</v>
      </c>
      <c r="AA11224" s="21" t="str">
        <f>HYPERLINK("https://www.ncbi.nlm.nih.gov/nuccore/CASDWV010004024","NCBI Nucleotide")</f>
        <v>NCBI Nucleotide</v>
      </c>
    </row>
    <row r="11225" spans="1:27" x14ac:dyDescent="0.35">
      <c r="A11225">
        <v>1010120</v>
      </c>
      <c r="B11225">
        <v>10550</v>
      </c>
      <c r="C11225">
        <v>1</v>
      </c>
      <c r="D11225" s="17" t="s">
        <v>17166</v>
      </c>
      <c r="E11225" s="17"/>
      <c r="F11225" s="17" t="s">
        <v>17246</v>
      </c>
      <c r="G11225" s="17"/>
      <c r="H11225" s="17" t="s">
        <v>20919</v>
      </c>
      <c r="I11225" s="17"/>
      <c r="J11225" s="17" t="s">
        <v>21313</v>
      </c>
      <c r="K11225" s="17"/>
      <c r="L11225" s="17" t="s">
        <v>22378</v>
      </c>
      <c r="M11225" s="17"/>
      <c r="N11225" s="17" t="s">
        <v>22459</v>
      </c>
      <c r="O11225" s="17"/>
      <c r="P11225" s="17" t="s">
        <v>23092</v>
      </c>
      <c r="Q11225" s="17"/>
      <c r="R11225" s="25" t="str">
        <f>HYPERLINK("https://ictv.global/taxonomy/taxondetails?taxnode_id=202311365","Pahspavirus humihabitans")</f>
        <v>Pahspavirus humihabitans</v>
      </c>
      <c r="S11225" s="18" t="s">
        <v>30</v>
      </c>
      <c r="T11225" s="18" t="s">
        <v>23093</v>
      </c>
      <c r="U11225" s="18"/>
      <c r="V11225" s="18"/>
      <c r="W11225" s="18" t="s">
        <v>23094</v>
      </c>
      <c r="X11225" s="18" t="s">
        <v>35</v>
      </c>
      <c r="Y11225" s="18" t="s">
        <v>17171</v>
      </c>
      <c r="Z11225" s="18" t="s">
        <v>697</v>
      </c>
      <c r="AA11225" s="21" t="str">
        <f>HYPERLINK("https://www.ncbi.nlm.nih.gov/nuccore/BK013970","NCBI Nucleotide")</f>
        <v>NCBI Nucleotide</v>
      </c>
    </row>
    <row r="11226" spans="1:27" x14ac:dyDescent="0.35">
      <c r="A11226">
        <v>1026661</v>
      </c>
      <c r="B11226">
        <v>10551</v>
      </c>
      <c r="C11226">
        <v>1</v>
      </c>
      <c r="D11226" s="17" t="s">
        <v>17166</v>
      </c>
      <c r="E11226" s="17"/>
      <c r="F11226" s="17" t="s">
        <v>17246</v>
      </c>
      <c r="G11226" s="17"/>
      <c r="H11226" s="17" t="s">
        <v>20919</v>
      </c>
      <c r="I11226" s="17"/>
      <c r="J11226" s="17" t="s">
        <v>21313</v>
      </c>
      <c r="K11226" s="17"/>
      <c r="L11226" s="17" t="s">
        <v>22378</v>
      </c>
      <c r="M11226" s="17"/>
      <c r="N11226" s="17" t="s">
        <v>22459</v>
      </c>
      <c r="O11226" s="17"/>
      <c r="P11226" s="17" t="s">
        <v>23092</v>
      </c>
      <c r="Q11226" s="17"/>
      <c r="R11226" s="25" t="str">
        <f>HYPERLINK("https://ictv.global/taxonomy/taxondetails?taxnode_id=202317576","Pahspavirus limivicinum")</f>
        <v>Pahspavirus limivicinum</v>
      </c>
      <c r="S11226" s="18" t="s">
        <v>30</v>
      </c>
      <c r="T11226" s="18" t="s">
        <v>45965</v>
      </c>
      <c r="U11226" s="18"/>
      <c r="V11226" s="18"/>
      <c r="W11226" s="18" t="s">
        <v>45966</v>
      </c>
      <c r="X11226" s="18" t="s">
        <v>35</v>
      </c>
      <c r="Y11226" s="18" t="s">
        <v>17171</v>
      </c>
      <c r="Z11226" s="18" t="s">
        <v>24637</v>
      </c>
      <c r="AA11226" s="21" t="str">
        <f>HYPERLINK("https://www.ncbi.nlm.nih.gov/nuccore/CASDWV010002486","NCBI Nucleotide")</f>
        <v>NCBI Nucleotide</v>
      </c>
    </row>
    <row r="11227" spans="1:27" x14ac:dyDescent="0.35">
      <c r="A11227">
        <v>1026662</v>
      </c>
      <c r="B11227">
        <v>10552</v>
      </c>
      <c r="C11227">
        <v>1</v>
      </c>
      <c r="D11227" s="17" t="s">
        <v>17166</v>
      </c>
      <c r="E11227" s="17"/>
      <c r="F11227" s="17" t="s">
        <v>17246</v>
      </c>
      <c r="G11227" s="17"/>
      <c r="H11227" s="17" t="s">
        <v>20919</v>
      </c>
      <c r="I11227" s="17"/>
      <c r="J11227" s="17" t="s">
        <v>21313</v>
      </c>
      <c r="K11227" s="17"/>
      <c r="L11227" s="17" t="s">
        <v>22378</v>
      </c>
      <c r="M11227" s="17"/>
      <c r="N11227" s="17" t="s">
        <v>22459</v>
      </c>
      <c r="O11227" s="17"/>
      <c r="P11227" s="17" t="s">
        <v>23092</v>
      </c>
      <c r="Q11227" s="17"/>
      <c r="R11227" s="25" t="str">
        <f>HYPERLINK("https://ictv.global/taxonomy/taxondetails?taxnode_id=202317577","Pahspavirus lutadaptatum")</f>
        <v>Pahspavirus lutadaptatum</v>
      </c>
      <c r="S11227" s="18" t="s">
        <v>30</v>
      </c>
      <c r="T11227" s="18" t="s">
        <v>45967</v>
      </c>
      <c r="U11227" s="18"/>
      <c r="V11227" s="18"/>
      <c r="W11227" s="18" t="s">
        <v>45968</v>
      </c>
      <c r="X11227" s="18" t="s">
        <v>35</v>
      </c>
      <c r="Y11227" s="18" t="s">
        <v>17171</v>
      </c>
      <c r="Z11227" s="18" t="s">
        <v>24637</v>
      </c>
      <c r="AA11227" s="21" t="str">
        <f>HYPERLINK("https://www.ncbi.nlm.nih.gov/nuccore/CASDWV010002616","NCBI Nucleotide")</f>
        <v>NCBI Nucleotide</v>
      </c>
    </row>
    <row r="11228" spans="1:27" x14ac:dyDescent="0.35">
      <c r="A11228">
        <v>1026663</v>
      </c>
      <c r="B11228">
        <v>10553</v>
      </c>
      <c r="C11228">
        <v>1</v>
      </c>
      <c r="D11228" s="17" t="s">
        <v>17166</v>
      </c>
      <c r="E11228" s="17"/>
      <c r="F11228" s="17" t="s">
        <v>17246</v>
      </c>
      <c r="G11228" s="17"/>
      <c r="H11228" s="17" t="s">
        <v>20919</v>
      </c>
      <c r="I11228" s="17"/>
      <c r="J11228" s="17" t="s">
        <v>21313</v>
      </c>
      <c r="K11228" s="17"/>
      <c r="L11228" s="17" t="s">
        <v>22378</v>
      </c>
      <c r="M11228" s="17"/>
      <c r="N11228" s="17" t="s">
        <v>22459</v>
      </c>
      <c r="O11228" s="17"/>
      <c r="P11228" s="17" t="s">
        <v>23092</v>
      </c>
      <c r="Q11228" s="17"/>
      <c r="R11228" s="25" t="str">
        <f>HYPERLINK("https://ictv.global/taxonomy/taxondetails?taxnode_id=202317578","Pahspavirus messihabitans")</f>
        <v>Pahspavirus messihabitans</v>
      </c>
      <c r="S11228" s="18" t="s">
        <v>30</v>
      </c>
      <c r="T11228" s="18" t="s">
        <v>45969</v>
      </c>
      <c r="U11228" s="18"/>
      <c r="V11228" s="18"/>
      <c r="W11228" s="18" t="s">
        <v>45970</v>
      </c>
      <c r="X11228" s="18" t="s">
        <v>35</v>
      </c>
      <c r="Y11228" s="18" t="s">
        <v>17171</v>
      </c>
      <c r="Z11228" s="18" t="s">
        <v>24637</v>
      </c>
      <c r="AA11228" s="21" t="str">
        <f>HYPERLINK("https://www.ncbi.nlm.nih.gov/nuccore/CASDWV010001168","NCBI Nucleotide")</f>
        <v>NCBI Nucleotide</v>
      </c>
    </row>
    <row r="11229" spans="1:27" x14ac:dyDescent="0.35">
      <c r="A11229">
        <v>1026664</v>
      </c>
      <c r="B11229">
        <v>10554</v>
      </c>
      <c r="C11229">
        <v>1</v>
      </c>
      <c r="D11229" s="17" t="s">
        <v>17166</v>
      </c>
      <c r="E11229" s="17"/>
      <c r="F11229" s="17" t="s">
        <v>17246</v>
      </c>
      <c r="G11229" s="17"/>
      <c r="H11229" s="17" t="s">
        <v>20919</v>
      </c>
      <c r="I11229" s="17"/>
      <c r="J11229" s="17" t="s">
        <v>21313</v>
      </c>
      <c r="K11229" s="17"/>
      <c r="L11229" s="17" t="s">
        <v>22378</v>
      </c>
      <c r="M11229" s="17"/>
      <c r="N11229" s="17" t="s">
        <v>22459</v>
      </c>
      <c r="O11229" s="17"/>
      <c r="P11229" s="17" t="s">
        <v>23092</v>
      </c>
      <c r="Q11229" s="17"/>
      <c r="R11229" s="25" t="str">
        <f>HYPERLINK("https://ictv.global/taxonomy/taxondetails?taxnode_id=202317579","Pahspavirus pelenecus")</f>
        <v>Pahspavirus pelenecus</v>
      </c>
      <c r="S11229" s="18" t="s">
        <v>30</v>
      </c>
      <c r="T11229" s="18" t="s">
        <v>45971</v>
      </c>
      <c r="U11229" s="18"/>
      <c r="V11229" s="18"/>
      <c r="W11229" s="18" t="s">
        <v>45972</v>
      </c>
      <c r="X11229" s="18" t="s">
        <v>35</v>
      </c>
      <c r="Y11229" s="18" t="s">
        <v>17171</v>
      </c>
      <c r="Z11229" s="18" t="s">
        <v>24637</v>
      </c>
      <c r="AA11229" s="21" t="str">
        <f>HYPERLINK("https://www.ncbi.nlm.nih.gov/nuccore/CASDWV010004340","NCBI Nucleotide")</f>
        <v>NCBI Nucleotide</v>
      </c>
    </row>
    <row r="11230" spans="1:27" x14ac:dyDescent="0.35">
      <c r="A11230">
        <v>1026665</v>
      </c>
      <c r="B11230">
        <v>10555</v>
      </c>
      <c r="C11230">
        <v>1</v>
      </c>
      <c r="D11230" s="17" t="s">
        <v>17166</v>
      </c>
      <c r="E11230" s="17"/>
      <c r="F11230" s="17" t="s">
        <v>17246</v>
      </c>
      <c r="G11230" s="17"/>
      <c r="H11230" s="17" t="s">
        <v>20919</v>
      </c>
      <c r="I11230" s="17"/>
      <c r="J11230" s="17" t="s">
        <v>21313</v>
      </c>
      <c r="K11230" s="17"/>
      <c r="L11230" s="17" t="s">
        <v>22378</v>
      </c>
      <c r="M11230" s="17"/>
      <c r="N11230" s="17" t="s">
        <v>22459</v>
      </c>
      <c r="O11230" s="17"/>
      <c r="P11230" s="17" t="s">
        <v>23092</v>
      </c>
      <c r="Q11230" s="17"/>
      <c r="R11230" s="25" t="str">
        <f>HYPERLINK("https://ictv.global/taxonomy/taxondetails?taxnode_id=202317580","Pahspavirus pelohabitans")</f>
        <v>Pahspavirus pelohabitans</v>
      </c>
      <c r="S11230" s="18" t="s">
        <v>30</v>
      </c>
      <c r="T11230" s="18" t="s">
        <v>45973</v>
      </c>
      <c r="U11230" s="18"/>
      <c r="V11230" s="18"/>
      <c r="W11230" s="18" t="s">
        <v>45974</v>
      </c>
      <c r="X11230" s="18" t="s">
        <v>35</v>
      </c>
      <c r="Y11230" s="18" t="s">
        <v>17171</v>
      </c>
      <c r="Z11230" s="18" t="s">
        <v>24637</v>
      </c>
      <c r="AA11230" s="21" t="str">
        <f>HYPERLINK("https://www.ncbi.nlm.nih.gov/nuccore/CASDWV010003907","NCBI Nucleotide")</f>
        <v>NCBI Nucleotide</v>
      </c>
    </row>
    <row r="11231" spans="1:27" x14ac:dyDescent="0.35">
      <c r="A11231">
        <v>1026612</v>
      </c>
      <c r="B11231">
        <v>10556</v>
      </c>
      <c r="C11231">
        <v>1</v>
      </c>
      <c r="D11231" s="17" t="s">
        <v>17166</v>
      </c>
      <c r="E11231" s="17"/>
      <c r="F11231" s="17" t="s">
        <v>17246</v>
      </c>
      <c r="G11231" s="17"/>
      <c r="H11231" s="17" t="s">
        <v>20919</v>
      </c>
      <c r="I11231" s="17"/>
      <c r="J11231" s="17" t="s">
        <v>21313</v>
      </c>
      <c r="K11231" s="17"/>
      <c r="L11231" s="17" t="s">
        <v>22378</v>
      </c>
      <c r="M11231" s="17"/>
      <c r="N11231" s="17" t="s">
        <v>22459</v>
      </c>
      <c r="O11231" s="17"/>
      <c r="P11231" s="17" t="s">
        <v>45975</v>
      </c>
      <c r="Q11231" s="17"/>
      <c r="R11231" s="25" t="str">
        <f>HYPERLINK("https://ictv.global/taxonomy/taxondetails?taxnode_id=202317581","Pidhluvirus humadaptatum")</f>
        <v>Pidhluvirus humadaptatum</v>
      </c>
      <c r="S11231" s="18" t="s">
        <v>30</v>
      </c>
      <c r="T11231" s="18" t="s">
        <v>45976</v>
      </c>
      <c r="U11231" s="18"/>
      <c r="V11231" s="18"/>
      <c r="W11231" s="18" t="s">
        <v>45977</v>
      </c>
      <c r="X11231" s="18" t="s">
        <v>35</v>
      </c>
      <c r="Y11231" s="18" t="s">
        <v>17171</v>
      </c>
      <c r="Z11231" s="18" t="s">
        <v>24637</v>
      </c>
      <c r="AA11231" s="21" t="str">
        <f>HYPERLINK("https://www.ncbi.nlm.nih.gov/nuccore/CASDWV010000186","NCBI Nucleotide")</f>
        <v>NCBI Nucleotide</v>
      </c>
    </row>
    <row r="11232" spans="1:27" x14ac:dyDescent="0.35">
      <c r="A11232">
        <v>1026613</v>
      </c>
      <c r="B11232">
        <v>10557</v>
      </c>
      <c r="C11232">
        <v>1</v>
      </c>
      <c r="D11232" s="17" t="s">
        <v>17166</v>
      </c>
      <c r="E11232" s="17"/>
      <c r="F11232" s="17" t="s">
        <v>17246</v>
      </c>
      <c r="G11232" s="17"/>
      <c r="H11232" s="17" t="s">
        <v>20919</v>
      </c>
      <c r="I11232" s="17"/>
      <c r="J11232" s="17" t="s">
        <v>21313</v>
      </c>
      <c r="K11232" s="17"/>
      <c r="L11232" s="17" t="s">
        <v>22378</v>
      </c>
      <c r="M11232" s="17"/>
      <c r="N11232" s="17" t="s">
        <v>22459</v>
      </c>
      <c r="O11232" s="17"/>
      <c r="P11232" s="17" t="s">
        <v>45978</v>
      </c>
      <c r="Q11232" s="17"/>
      <c r="R11232" s="25" t="str">
        <f>HYPERLINK("https://ictv.global/taxonomy/taxondetails?taxnode_id=202317582","Pihckevirus lutivicinum")</f>
        <v>Pihckevirus lutivicinum</v>
      </c>
      <c r="S11232" s="18" t="s">
        <v>30</v>
      </c>
      <c r="T11232" s="18" t="s">
        <v>45979</v>
      </c>
      <c r="U11232" s="18"/>
      <c r="V11232" s="18"/>
      <c r="W11232" s="18" t="s">
        <v>45980</v>
      </c>
      <c r="X11232" s="18" t="s">
        <v>35</v>
      </c>
      <c r="Y11232" s="18" t="s">
        <v>17171</v>
      </c>
      <c r="Z11232" s="18" t="s">
        <v>24637</v>
      </c>
      <c r="AA11232" s="21" t="str">
        <f>HYPERLINK("https://www.ncbi.nlm.nih.gov/nuccore/CASDWV010000342","NCBI Nucleotide")</f>
        <v>NCBI Nucleotide</v>
      </c>
    </row>
    <row r="11233" spans="1:27" x14ac:dyDescent="0.35">
      <c r="A11233">
        <v>1026619</v>
      </c>
      <c r="B11233">
        <v>10558</v>
      </c>
      <c r="C11233">
        <v>1</v>
      </c>
      <c r="D11233" s="17" t="s">
        <v>17166</v>
      </c>
      <c r="E11233" s="17"/>
      <c r="F11233" s="17" t="s">
        <v>17246</v>
      </c>
      <c r="G11233" s="17"/>
      <c r="H11233" s="17" t="s">
        <v>20919</v>
      </c>
      <c r="I11233" s="17"/>
      <c r="J11233" s="17" t="s">
        <v>21313</v>
      </c>
      <c r="K11233" s="17"/>
      <c r="L11233" s="17" t="s">
        <v>22378</v>
      </c>
      <c r="M11233" s="17"/>
      <c r="N11233" s="17" t="s">
        <v>22459</v>
      </c>
      <c r="O11233" s="17"/>
      <c r="P11233" s="17" t="s">
        <v>45981</v>
      </c>
      <c r="Q11233" s="17"/>
      <c r="R11233" s="25" t="str">
        <f>HYPERLINK("https://ictv.global/taxonomy/taxondetails?taxnode_id=202317583","Pinlevirus choradaptatum")</f>
        <v>Pinlevirus choradaptatum</v>
      </c>
      <c r="S11233" s="18" t="s">
        <v>30</v>
      </c>
      <c r="T11233" s="18" t="s">
        <v>45982</v>
      </c>
      <c r="U11233" s="18"/>
      <c r="V11233" s="18"/>
      <c r="W11233" s="18" t="s">
        <v>45983</v>
      </c>
      <c r="X11233" s="18" t="s">
        <v>35</v>
      </c>
      <c r="Y11233" s="18" t="s">
        <v>17171</v>
      </c>
      <c r="Z11233" s="18" t="s">
        <v>24637</v>
      </c>
      <c r="AA11233" s="21" t="str">
        <f>HYPERLINK("https://www.ncbi.nlm.nih.gov/nuccore/CASDWV010004902","NCBI Nucleotide")</f>
        <v>NCBI Nucleotide</v>
      </c>
    </row>
    <row r="11234" spans="1:27" x14ac:dyDescent="0.35">
      <c r="A11234">
        <v>1026620</v>
      </c>
      <c r="B11234">
        <v>10559</v>
      </c>
      <c r="C11234">
        <v>1</v>
      </c>
      <c r="D11234" s="17" t="s">
        <v>17166</v>
      </c>
      <c r="E11234" s="17"/>
      <c r="F11234" s="17" t="s">
        <v>17246</v>
      </c>
      <c r="G11234" s="17"/>
      <c r="H11234" s="17" t="s">
        <v>20919</v>
      </c>
      <c r="I11234" s="17"/>
      <c r="J11234" s="17" t="s">
        <v>21313</v>
      </c>
      <c r="K11234" s="17"/>
      <c r="L11234" s="17" t="s">
        <v>22378</v>
      </c>
      <c r="M11234" s="17"/>
      <c r="N11234" s="17" t="s">
        <v>22459</v>
      </c>
      <c r="O11234" s="17"/>
      <c r="P11234" s="17" t="s">
        <v>45981</v>
      </c>
      <c r="Q11234" s="17"/>
      <c r="R11234" s="25" t="str">
        <f>HYPERLINK("https://ictv.global/taxonomy/taxondetails?taxnode_id=202317584","Pinlevirus edaphadaptatum")</f>
        <v>Pinlevirus edaphadaptatum</v>
      </c>
      <c r="S11234" s="18" t="s">
        <v>30</v>
      </c>
      <c r="T11234" s="18" t="s">
        <v>45984</v>
      </c>
      <c r="U11234" s="18"/>
      <c r="V11234" s="18"/>
      <c r="W11234" s="18" t="s">
        <v>45985</v>
      </c>
      <c r="X11234" s="18" t="s">
        <v>35</v>
      </c>
      <c r="Y11234" s="18" t="s">
        <v>17171</v>
      </c>
      <c r="Z11234" s="18" t="s">
        <v>24637</v>
      </c>
      <c r="AA11234" s="21" t="str">
        <f>HYPERLINK("https://www.ncbi.nlm.nih.gov/nuccore/CASDWV010004899","NCBI Nucleotide")</f>
        <v>NCBI Nucleotide</v>
      </c>
    </row>
    <row r="11235" spans="1:27" x14ac:dyDescent="0.35">
      <c r="A11235">
        <v>1026621</v>
      </c>
      <c r="B11235">
        <v>10560</v>
      </c>
      <c r="C11235">
        <v>1</v>
      </c>
      <c r="D11235" s="17" t="s">
        <v>17166</v>
      </c>
      <c r="E11235" s="17"/>
      <c r="F11235" s="17" t="s">
        <v>17246</v>
      </c>
      <c r="G11235" s="17"/>
      <c r="H11235" s="17" t="s">
        <v>20919</v>
      </c>
      <c r="I11235" s="17"/>
      <c r="J11235" s="17" t="s">
        <v>21313</v>
      </c>
      <c r="K11235" s="17"/>
      <c r="L11235" s="17" t="s">
        <v>22378</v>
      </c>
      <c r="M11235" s="17"/>
      <c r="N11235" s="17" t="s">
        <v>22459</v>
      </c>
      <c r="O11235" s="17"/>
      <c r="P11235" s="17" t="s">
        <v>45981</v>
      </c>
      <c r="Q11235" s="17"/>
      <c r="R11235" s="25" t="str">
        <f>HYPERLINK("https://ictv.global/taxonomy/taxondetails?taxnode_id=202317585","Pinlevirus humivicinum")</f>
        <v>Pinlevirus humivicinum</v>
      </c>
      <c r="S11235" s="18" t="s">
        <v>30</v>
      </c>
      <c r="T11235" s="18" t="s">
        <v>45986</v>
      </c>
      <c r="U11235" s="18"/>
      <c r="V11235" s="18"/>
      <c r="W11235" s="18" t="s">
        <v>45987</v>
      </c>
      <c r="X11235" s="18" t="s">
        <v>35</v>
      </c>
      <c r="Y11235" s="18" t="s">
        <v>17171</v>
      </c>
      <c r="Z11235" s="18" t="s">
        <v>24637</v>
      </c>
      <c r="AA11235" s="21" t="str">
        <f>HYPERLINK("https://www.ncbi.nlm.nih.gov/nuccore/CASDWV010001821","NCBI Nucleotide")</f>
        <v>NCBI Nucleotide</v>
      </c>
    </row>
    <row r="11236" spans="1:27" x14ac:dyDescent="0.35">
      <c r="A11236">
        <v>1026622</v>
      </c>
      <c r="B11236">
        <v>10561</v>
      </c>
      <c r="C11236">
        <v>1</v>
      </c>
      <c r="D11236" s="17" t="s">
        <v>17166</v>
      </c>
      <c r="E11236" s="17"/>
      <c r="F11236" s="17" t="s">
        <v>17246</v>
      </c>
      <c r="G11236" s="17"/>
      <c r="H11236" s="17" t="s">
        <v>20919</v>
      </c>
      <c r="I11236" s="17"/>
      <c r="J11236" s="17" t="s">
        <v>21313</v>
      </c>
      <c r="K11236" s="17"/>
      <c r="L11236" s="17" t="s">
        <v>22378</v>
      </c>
      <c r="M11236" s="17"/>
      <c r="N11236" s="17" t="s">
        <v>22459</v>
      </c>
      <c r="O11236" s="17"/>
      <c r="P11236" s="17" t="s">
        <v>45981</v>
      </c>
      <c r="Q11236" s="17"/>
      <c r="R11236" s="25" t="str">
        <f>HYPERLINK("https://ictv.global/taxonomy/taxondetails?taxnode_id=202317586","Pinlevirus messivicinum")</f>
        <v>Pinlevirus messivicinum</v>
      </c>
      <c r="S11236" s="18" t="s">
        <v>30</v>
      </c>
      <c r="T11236" s="18" t="s">
        <v>45988</v>
      </c>
      <c r="U11236" s="18"/>
      <c r="V11236" s="18"/>
      <c r="W11236" s="18" t="s">
        <v>45989</v>
      </c>
      <c r="X11236" s="18" t="s">
        <v>35</v>
      </c>
      <c r="Y11236" s="18" t="s">
        <v>17171</v>
      </c>
      <c r="Z11236" s="18" t="s">
        <v>24637</v>
      </c>
      <c r="AA11236" s="21" t="str">
        <f>HYPERLINK("https://www.ncbi.nlm.nih.gov/nuccore/CASDWV010004818","NCBI Nucleotide")</f>
        <v>NCBI Nucleotide</v>
      </c>
    </row>
    <row r="11237" spans="1:27" x14ac:dyDescent="0.35">
      <c r="A11237">
        <v>1026623</v>
      </c>
      <c r="B11237">
        <v>10562</v>
      </c>
      <c r="C11237">
        <v>1</v>
      </c>
      <c r="D11237" s="17" t="s">
        <v>17166</v>
      </c>
      <c r="E11237" s="17"/>
      <c r="F11237" s="17" t="s">
        <v>17246</v>
      </c>
      <c r="G11237" s="17"/>
      <c r="H11237" s="17" t="s">
        <v>20919</v>
      </c>
      <c r="I11237" s="17"/>
      <c r="J11237" s="17" t="s">
        <v>21313</v>
      </c>
      <c r="K11237" s="17"/>
      <c r="L11237" s="17" t="s">
        <v>22378</v>
      </c>
      <c r="M11237" s="17"/>
      <c r="N11237" s="17" t="s">
        <v>22459</v>
      </c>
      <c r="O11237" s="17"/>
      <c r="P11237" s="17" t="s">
        <v>45981</v>
      </c>
      <c r="Q11237" s="17"/>
      <c r="R11237" s="25" t="str">
        <f>HYPERLINK("https://ictv.global/taxonomy/taxondetails?taxnode_id=202317587","Pinlevirus segetivivens")</f>
        <v>Pinlevirus segetivivens</v>
      </c>
      <c r="S11237" s="18" t="s">
        <v>30</v>
      </c>
      <c r="T11237" s="18" t="s">
        <v>45990</v>
      </c>
      <c r="U11237" s="18"/>
      <c r="V11237" s="18"/>
      <c r="W11237" s="18" t="s">
        <v>45991</v>
      </c>
      <c r="X11237" s="18" t="s">
        <v>35</v>
      </c>
      <c r="Y11237" s="18" t="s">
        <v>17171</v>
      </c>
      <c r="Z11237" s="18" t="s">
        <v>24637</v>
      </c>
      <c r="AA11237" s="21" t="str">
        <f>HYPERLINK("https://www.ncbi.nlm.nih.gov/nuccore/CASDWV010000506","NCBI Nucleotide")</f>
        <v>NCBI Nucleotide</v>
      </c>
    </row>
    <row r="11238" spans="1:27" x14ac:dyDescent="0.35">
      <c r="A11238">
        <v>1026624</v>
      </c>
      <c r="B11238">
        <v>10563</v>
      </c>
      <c r="C11238">
        <v>1</v>
      </c>
      <c r="D11238" s="17" t="s">
        <v>17166</v>
      </c>
      <c r="E11238" s="17"/>
      <c r="F11238" s="17" t="s">
        <v>17246</v>
      </c>
      <c r="G11238" s="17"/>
      <c r="H11238" s="17" t="s">
        <v>20919</v>
      </c>
      <c r="I11238" s="17"/>
      <c r="J11238" s="17" t="s">
        <v>21313</v>
      </c>
      <c r="K11238" s="17"/>
      <c r="L11238" s="17" t="s">
        <v>22378</v>
      </c>
      <c r="M11238" s="17"/>
      <c r="N11238" s="17" t="s">
        <v>22459</v>
      </c>
      <c r="O11238" s="17"/>
      <c r="P11238" s="17" t="s">
        <v>45981</v>
      </c>
      <c r="Q11238" s="17"/>
      <c r="R11238" s="25" t="str">
        <f>HYPERLINK("https://ictv.global/taxonomy/taxondetails?taxnode_id=202317588","Pinlevirus telluricola")</f>
        <v>Pinlevirus telluricola</v>
      </c>
      <c r="S11238" s="18" t="s">
        <v>30</v>
      </c>
      <c r="T11238" s="18" t="s">
        <v>45992</v>
      </c>
      <c r="U11238" s="18"/>
      <c r="V11238" s="18"/>
      <c r="W11238" s="18" t="s">
        <v>45993</v>
      </c>
      <c r="X11238" s="18" t="s">
        <v>35</v>
      </c>
      <c r="Y11238" s="18" t="s">
        <v>17171</v>
      </c>
      <c r="Z11238" s="18" t="s">
        <v>24637</v>
      </c>
      <c r="AA11238" s="21" t="str">
        <f>HYPERLINK("https://www.ncbi.nlm.nih.gov/nuccore/CASDWV010000508","NCBI Nucleotide")</f>
        <v>NCBI Nucleotide</v>
      </c>
    </row>
    <row r="11239" spans="1:27" x14ac:dyDescent="0.35">
      <c r="A11239">
        <v>1026627</v>
      </c>
      <c r="B11239">
        <v>10564</v>
      </c>
      <c r="C11239">
        <v>1</v>
      </c>
      <c r="D11239" s="17" t="s">
        <v>17166</v>
      </c>
      <c r="E11239" s="17"/>
      <c r="F11239" s="17" t="s">
        <v>17246</v>
      </c>
      <c r="G11239" s="17"/>
      <c r="H11239" s="17" t="s">
        <v>20919</v>
      </c>
      <c r="I11239" s="17"/>
      <c r="J11239" s="17" t="s">
        <v>21313</v>
      </c>
      <c r="K11239" s="17"/>
      <c r="L11239" s="17" t="s">
        <v>22378</v>
      </c>
      <c r="M11239" s="17"/>
      <c r="N11239" s="17" t="s">
        <v>22459</v>
      </c>
      <c r="O11239" s="17"/>
      <c r="P11239" s="17" t="s">
        <v>23097</v>
      </c>
      <c r="Q11239" s="17"/>
      <c r="R11239" s="25" t="str">
        <f>HYPERLINK("https://ictv.global/taxonomy/taxondetails?taxnode_id=202317589","Pirifovirus asiohabitans")</f>
        <v>Pirifovirus asiohabitans</v>
      </c>
      <c r="S11239" s="18" t="s">
        <v>30</v>
      </c>
      <c r="T11239" s="18" t="s">
        <v>45994</v>
      </c>
      <c r="U11239" s="18"/>
      <c r="V11239" s="18"/>
      <c r="W11239" s="18" t="s">
        <v>45995</v>
      </c>
      <c r="X11239" s="18" t="s">
        <v>35</v>
      </c>
      <c r="Y11239" s="18" t="s">
        <v>17171</v>
      </c>
      <c r="Z11239" s="18" t="s">
        <v>24637</v>
      </c>
      <c r="AA11239" s="21" t="str">
        <f>HYPERLINK("https://www.ncbi.nlm.nih.gov/nuccore/CASDWV010003716","NCBI Nucleotide")</f>
        <v>NCBI Nucleotide</v>
      </c>
    </row>
    <row r="11240" spans="1:27" x14ac:dyDescent="0.35">
      <c r="A11240">
        <v>1026628</v>
      </c>
      <c r="B11240">
        <v>10565</v>
      </c>
      <c r="C11240">
        <v>1</v>
      </c>
      <c r="D11240" s="17" t="s">
        <v>17166</v>
      </c>
      <c r="E11240" s="17"/>
      <c r="F11240" s="17" t="s">
        <v>17246</v>
      </c>
      <c r="G11240" s="17"/>
      <c r="H11240" s="17" t="s">
        <v>20919</v>
      </c>
      <c r="I11240" s="17"/>
      <c r="J11240" s="17" t="s">
        <v>21313</v>
      </c>
      <c r="K11240" s="17"/>
      <c r="L11240" s="17" t="s">
        <v>22378</v>
      </c>
      <c r="M11240" s="17"/>
      <c r="N11240" s="17" t="s">
        <v>22459</v>
      </c>
      <c r="O11240" s="17"/>
      <c r="P11240" s="17" t="s">
        <v>23097</v>
      </c>
      <c r="Q11240" s="17"/>
      <c r="R11240" s="25" t="str">
        <f>HYPERLINK("https://ictv.global/taxonomy/taxondetails?taxnode_id=202317590","Pirifovirus asiovicinum")</f>
        <v>Pirifovirus asiovicinum</v>
      </c>
      <c r="S11240" s="18" t="s">
        <v>30</v>
      </c>
      <c r="T11240" s="18" t="s">
        <v>45996</v>
      </c>
      <c r="U11240" s="18"/>
      <c r="V11240" s="18"/>
      <c r="W11240" s="18" t="s">
        <v>45997</v>
      </c>
      <c r="X11240" s="18" t="s">
        <v>35</v>
      </c>
      <c r="Y11240" s="18" t="s">
        <v>17171</v>
      </c>
      <c r="Z11240" s="18" t="s">
        <v>24637</v>
      </c>
      <c r="AA11240" s="21" t="str">
        <f>HYPERLINK("https://www.ncbi.nlm.nih.gov/nuccore/CASDWV010000732","NCBI Nucleotide")</f>
        <v>NCBI Nucleotide</v>
      </c>
    </row>
    <row r="11241" spans="1:27" x14ac:dyDescent="0.35">
      <c r="A11241">
        <v>1026629</v>
      </c>
      <c r="B11241">
        <v>10566</v>
      </c>
      <c r="C11241">
        <v>1</v>
      </c>
      <c r="D11241" s="17" t="s">
        <v>17166</v>
      </c>
      <c r="E11241" s="17"/>
      <c r="F11241" s="17" t="s">
        <v>17246</v>
      </c>
      <c r="G11241" s="17"/>
      <c r="H11241" s="17" t="s">
        <v>20919</v>
      </c>
      <c r="I11241" s="17"/>
      <c r="J11241" s="17" t="s">
        <v>21313</v>
      </c>
      <c r="K11241" s="17"/>
      <c r="L11241" s="17" t="s">
        <v>22378</v>
      </c>
      <c r="M11241" s="17"/>
      <c r="N11241" s="17" t="s">
        <v>22459</v>
      </c>
      <c r="O11241" s="17"/>
      <c r="P11241" s="17" t="s">
        <v>23097</v>
      </c>
      <c r="Q11241" s="17"/>
      <c r="R11241" s="25" t="str">
        <f>HYPERLINK("https://ictv.global/taxonomy/taxondetails?taxnode_id=202317591","Pirifovirus caenicola")</f>
        <v>Pirifovirus caenicola</v>
      </c>
      <c r="S11241" s="18" t="s">
        <v>30</v>
      </c>
      <c r="T11241" s="18" t="s">
        <v>45998</v>
      </c>
      <c r="U11241" s="18"/>
      <c r="V11241" s="18"/>
      <c r="W11241" s="18" t="s">
        <v>45999</v>
      </c>
      <c r="X11241" s="18" t="s">
        <v>35</v>
      </c>
      <c r="Y11241" s="18" t="s">
        <v>17171</v>
      </c>
      <c r="Z11241" s="18" t="s">
        <v>24637</v>
      </c>
      <c r="AA11241" s="21" t="str">
        <f>HYPERLINK("https://www.ncbi.nlm.nih.gov/nuccore/CASDWV010001424","NCBI Nucleotide")</f>
        <v>NCBI Nucleotide</v>
      </c>
    </row>
    <row r="11242" spans="1:27" x14ac:dyDescent="0.35">
      <c r="A11242">
        <v>1026630</v>
      </c>
      <c r="B11242">
        <v>10567</v>
      </c>
      <c r="C11242">
        <v>1</v>
      </c>
      <c r="D11242" s="17" t="s">
        <v>17166</v>
      </c>
      <c r="E11242" s="17"/>
      <c r="F11242" s="17" t="s">
        <v>17246</v>
      </c>
      <c r="G11242" s="17"/>
      <c r="H11242" s="17" t="s">
        <v>20919</v>
      </c>
      <c r="I11242" s="17"/>
      <c r="J11242" s="17" t="s">
        <v>21313</v>
      </c>
      <c r="K11242" s="17"/>
      <c r="L11242" s="17" t="s">
        <v>22378</v>
      </c>
      <c r="M11242" s="17"/>
      <c r="N11242" s="17" t="s">
        <v>22459</v>
      </c>
      <c r="O11242" s="17"/>
      <c r="P11242" s="17" t="s">
        <v>23097</v>
      </c>
      <c r="Q11242" s="17"/>
      <c r="R11242" s="25" t="str">
        <f>HYPERLINK("https://ictv.global/taxonomy/taxondetails?taxnode_id=202317592","Pirifovirus caenihabitans")</f>
        <v>Pirifovirus caenihabitans</v>
      </c>
      <c r="S11242" s="18" t="s">
        <v>30</v>
      </c>
      <c r="T11242" s="18" t="s">
        <v>46000</v>
      </c>
      <c r="U11242" s="18"/>
      <c r="V11242" s="18"/>
      <c r="W11242" s="18" t="s">
        <v>46001</v>
      </c>
      <c r="X11242" s="18" t="s">
        <v>35</v>
      </c>
      <c r="Y11242" s="18" t="s">
        <v>17171</v>
      </c>
      <c r="Z11242" s="18" t="s">
        <v>24637</v>
      </c>
      <c r="AA11242" s="21" t="str">
        <f>HYPERLINK("https://www.ncbi.nlm.nih.gov/nuccore/CASDWV010003637","NCBI Nucleotide")</f>
        <v>NCBI Nucleotide</v>
      </c>
    </row>
    <row r="11243" spans="1:27" x14ac:dyDescent="0.35">
      <c r="A11243">
        <v>1026631</v>
      </c>
      <c r="B11243">
        <v>10568</v>
      </c>
      <c r="C11243">
        <v>1</v>
      </c>
      <c r="D11243" s="17" t="s">
        <v>17166</v>
      </c>
      <c r="E11243" s="17"/>
      <c r="F11243" s="17" t="s">
        <v>17246</v>
      </c>
      <c r="G11243" s="17"/>
      <c r="H11243" s="17" t="s">
        <v>20919</v>
      </c>
      <c r="I11243" s="17"/>
      <c r="J11243" s="17" t="s">
        <v>21313</v>
      </c>
      <c r="K11243" s="17"/>
      <c r="L11243" s="17" t="s">
        <v>22378</v>
      </c>
      <c r="M11243" s="17"/>
      <c r="N11243" s="17" t="s">
        <v>22459</v>
      </c>
      <c r="O11243" s="17"/>
      <c r="P11243" s="17" t="s">
        <v>23097</v>
      </c>
      <c r="Q11243" s="17"/>
      <c r="R11243" s="25" t="str">
        <f>HYPERLINK("https://ictv.global/taxonomy/taxondetails?taxnode_id=202317593","Pirifovirus choradaptatum")</f>
        <v>Pirifovirus choradaptatum</v>
      </c>
      <c r="S11243" s="18" t="s">
        <v>30</v>
      </c>
      <c r="T11243" s="18" t="s">
        <v>46002</v>
      </c>
      <c r="U11243" s="18"/>
      <c r="V11243" s="18"/>
      <c r="W11243" s="18" t="s">
        <v>46003</v>
      </c>
      <c r="X11243" s="18" t="s">
        <v>35</v>
      </c>
      <c r="Y11243" s="18" t="s">
        <v>17171</v>
      </c>
      <c r="Z11243" s="18" t="s">
        <v>24637</v>
      </c>
      <c r="AA11243" s="21" t="str">
        <f>HYPERLINK("https://www.ncbi.nlm.nih.gov/nuccore/CASDWV010002999","NCBI Nucleotide")</f>
        <v>NCBI Nucleotide</v>
      </c>
    </row>
    <row r="11244" spans="1:27" x14ac:dyDescent="0.35">
      <c r="A11244">
        <v>1010126</v>
      </c>
      <c r="B11244">
        <v>10569</v>
      </c>
      <c r="C11244">
        <v>1</v>
      </c>
      <c r="D11244" s="17" t="s">
        <v>17166</v>
      </c>
      <c r="E11244" s="17"/>
      <c r="F11244" s="17" t="s">
        <v>17246</v>
      </c>
      <c r="G11244" s="17"/>
      <c r="H11244" s="17" t="s">
        <v>20919</v>
      </c>
      <c r="I11244" s="17"/>
      <c r="J11244" s="17" t="s">
        <v>21313</v>
      </c>
      <c r="K11244" s="17"/>
      <c r="L11244" s="17" t="s">
        <v>22378</v>
      </c>
      <c r="M11244" s="17"/>
      <c r="N11244" s="17" t="s">
        <v>22459</v>
      </c>
      <c r="O11244" s="17"/>
      <c r="P11244" s="17" t="s">
        <v>23097</v>
      </c>
      <c r="Q11244" s="17"/>
      <c r="R11244" s="25" t="str">
        <f>HYPERLINK("https://ictv.global/taxonomy/taxondetails?taxnode_id=202311375","Pirifovirus chorovicinum")</f>
        <v>Pirifovirus chorovicinum</v>
      </c>
      <c r="S11244" s="18" t="s">
        <v>30</v>
      </c>
      <c r="T11244" s="18" t="s">
        <v>23098</v>
      </c>
      <c r="U11244" s="18"/>
      <c r="V11244" s="18"/>
      <c r="W11244" s="18" t="s">
        <v>23099</v>
      </c>
      <c r="X11244" s="18" t="s">
        <v>35</v>
      </c>
      <c r="Y11244" s="18" t="s">
        <v>17171</v>
      </c>
      <c r="Z11244" s="18" t="s">
        <v>697</v>
      </c>
      <c r="AA11244" s="21" t="str">
        <f>HYPERLINK("https://www.ncbi.nlm.nih.gov/nuccore/BK014041","NCBI Nucleotide")</f>
        <v>NCBI Nucleotide</v>
      </c>
    </row>
    <row r="11245" spans="1:27" x14ac:dyDescent="0.35">
      <c r="A11245">
        <v>1026632</v>
      </c>
      <c r="B11245">
        <v>10570</v>
      </c>
      <c r="C11245">
        <v>1</v>
      </c>
      <c r="D11245" s="17" t="s">
        <v>17166</v>
      </c>
      <c r="E11245" s="17"/>
      <c r="F11245" s="17" t="s">
        <v>17246</v>
      </c>
      <c r="G11245" s="17"/>
      <c r="H11245" s="17" t="s">
        <v>20919</v>
      </c>
      <c r="I11245" s="17"/>
      <c r="J11245" s="17" t="s">
        <v>21313</v>
      </c>
      <c r="K11245" s="17"/>
      <c r="L11245" s="17" t="s">
        <v>22378</v>
      </c>
      <c r="M11245" s="17"/>
      <c r="N11245" s="17" t="s">
        <v>22459</v>
      </c>
      <c r="O11245" s="17"/>
      <c r="P11245" s="17" t="s">
        <v>23097</v>
      </c>
      <c r="Q11245" s="17"/>
      <c r="R11245" s="25" t="str">
        <f>HYPERLINK("https://ictv.global/taxonomy/taxondetails?taxnode_id=202317594","Pirifovirus geocola")</f>
        <v>Pirifovirus geocola</v>
      </c>
      <c r="S11245" s="18" t="s">
        <v>30</v>
      </c>
      <c r="T11245" s="18" t="s">
        <v>46004</v>
      </c>
      <c r="U11245" s="18"/>
      <c r="V11245" s="18"/>
      <c r="W11245" s="18" t="s">
        <v>46005</v>
      </c>
      <c r="X11245" s="18" t="s">
        <v>35</v>
      </c>
      <c r="Y11245" s="18" t="s">
        <v>17171</v>
      </c>
      <c r="Z11245" s="18" t="s">
        <v>24637</v>
      </c>
      <c r="AA11245" s="21" t="str">
        <f>HYPERLINK("https://www.ncbi.nlm.nih.gov/nuccore/CASDWV010001397","NCBI Nucleotide")</f>
        <v>NCBI Nucleotide</v>
      </c>
    </row>
    <row r="11246" spans="1:27" x14ac:dyDescent="0.35">
      <c r="A11246">
        <v>1026633</v>
      </c>
      <c r="B11246">
        <v>10571</v>
      </c>
      <c r="C11246">
        <v>1</v>
      </c>
      <c r="D11246" s="17" t="s">
        <v>17166</v>
      </c>
      <c r="E11246" s="17"/>
      <c r="F11246" s="17" t="s">
        <v>17246</v>
      </c>
      <c r="G11246" s="17"/>
      <c r="H11246" s="17" t="s">
        <v>20919</v>
      </c>
      <c r="I11246" s="17"/>
      <c r="J11246" s="17" t="s">
        <v>21313</v>
      </c>
      <c r="K11246" s="17"/>
      <c r="L11246" s="17" t="s">
        <v>22378</v>
      </c>
      <c r="M11246" s="17"/>
      <c r="N11246" s="17" t="s">
        <v>22459</v>
      </c>
      <c r="O11246" s="17"/>
      <c r="P11246" s="17" t="s">
        <v>23097</v>
      </c>
      <c r="Q11246" s="17"/>
      <c r="R11246" s="25" t="str">
        <f>HYPERLINK("https://ictv.global/taxonomy/taxondetails?taxnode_id=202317595","Pirifovirus messivicinum")</f>
        <v>Pirifovirus messivicinum</v>
      </c>
      <c r="S11246" s="18" t="s">
        <v>30</v>
      </c>
      <c r="T11246" s="18" t="s">
        <v>46006</v>
      </c>
      <c r="U11246" s="18"/>
      <c r="V11246" s="18"/>
      <c r="W11246" s="18" t="s">
        <v>46007</v>
      </c>
      <c r="X11246" s="18" t="s">
        <v>35</v>
      </c>
      <c r="Y11246" s="18" t="s">
        <v>17171</v>
      </c>
      <c r="Z11246" s="18" t="s">
        <v>24637</v>
      </c>
      <c r="AA11246" s="21" t="str">
        <f>HYPERLINK("https://www.ncbi.nlm.nih.gov/nuccore/CASDWV010001481","NCBI Nucleotide")</f>
        <v>NCBI Nucleotide</v>
      </c>
    </row>
    <row r="11247" spans="1:27" x14ac:dyDescent="0.35">
      <c r="A11247">
        <v>1026634</v>
      </c>
      <c r="B11247">
        <v>10572</v>
      </c>
      <c r="C11247">
        <v>1</v>
      </c>
      <c r="D11247" s="17" t="s">
        <v>17166</v>
      </c>
      <c r="E11247" s="17"/>
      <c r="F11247" s="17" t="s">
        <v>17246</v>
      </c>
      <c r="G11247" s="17"/>
      <c r="H11247" s="17" t="s">
        <v>20919</v>
      </c>
      <c r="I11247" s="17"/>
      <c r="J11247" s="17" t="s">
        <v>21313</v>
      </c>
      <c r="K11247" s="17"/>
      <c r="L11247" s="17" t="s">
        <v>22378</v>
      </c>
      <c r="M11247" s="17"/>
      <c r="N11247" s="17" t="s">
        <v>22459</v>
      </c>
      <c r="O11247" s="17"/>
      <c r="P11247" s="17" t="s">
        <v>23097</v>
      </c>
      <c r="Q11247" s="17"/>
      <c r="R11247" s="25" t="str">
        <f>HYPERLINK("https://ictv.global/taxonomy/taxondetails?taxnode_id=202317596","Pirifovirus radicicola")</f>
        <v>Pirifovirus radicicola</v>
      </c>
      <c r="S11247" s="18" t="s">
        <v>30</v>
      </c>
      <c r="T11247" s="18" t="s">
        <v>46008</v>
      </c>
      <c r="U11247" s="18"/>
      <c r="V11247" s="18"/>
      <c r="W11247" s="18" t="s">
        <v>46009</v>
      </c>
      <c r="X11247" s="18" t="s">
        <v>35</v>
      </c>
      <c r="Y11247" s="18" t="s">
        <v>17171</v>
      </c>
      <c r="Z11247" s="18" t="s">
        <v>24637</v>
      </c>
      <c r="AA11247" s="21" t="str">
        <f>HYPERLINK("https://www.ncbi.nlm.nih.gov/nuccore/CASDWV010002164","NCBI Nucleotide")</f>
        <v>NCBI Nucleotide</v>
      </c>
    </row>
    <row r="11248" spans="1:27" x14ac:dyDescent="0.35">
      <c r="A11248">
        <v>1026635</v>
      </c>
      <c r="B11248">
        <v>10573</v>
      </c>
      <c r="C11248">
        <v>1</v>
      </c>
      <c r="D11248" s="17" t="s">
        <v>17166</v>
      </c>
      <c r="E11248" s="17"/>
      <c r="F11248" s="17" t="s">
        <v>17246</v>
      </c>
      <c r="G11248" s="17"/>
      <c r="H11248" s="17" t="s">
        <v>20919</v>
      </c>
      <c r="I11248" s="17"/>
      <c r="J11248" s="17" t="s">
        <v>21313</v>
      </c>
      <c r="K11248" s="17"/>
      <c r="L11248" s="17" t="s">
        <v>22378</v>
      </c>
      <c r="M11248" s="17"/>
      <c r="N11248" s="17" t="s">
        <v>22459</v>
      </c>
      <c r="O11248" s="17"/>
      <c r="P11248" s="17" t="s">
        <v>23097</v>
      </c>
      <c r="Q11248" s="17"/>
      <c r="R11248" s="25" t="str">
        <f>HYPERLINK("https://ictv.global/taxonomy/taxondetails?taxnode_id=202317597","Pirifovirus terricola")</f>
        <v>Pirifovirus terricola</v>
      </c>
      <c r="S11248" s="18" t="s">
        <v>30</v>
      </c>
      <c r="T11248" s="18" t="s">
        <v>46010</v>
      </c>
      <c r="U11248" s="18"/>
      <c r="V11248" s="18"/>
      <c r="W11248" s="18" t="s">
        <v>46011</v>
      </c>
      <c r="X11248" s="18" t="s">
        <v>35</v>
      </c>
      <c r="Y11248" s="18" t="s">
        <v>17171</v>
      </c>
      <c r="Z11248" s="18" t="s">
        <v>24637</v>
      </c>
      <c r="AA11248" s="21" t="str">
        <f>HYPERLINK("https://www.ncbi.nlm.nih.gov/nuccore/CASDWV010005063","NCBI Nucleotide")</f>
        <v>NCBI Nucleotide</v>
      </c>
    </row>
    <row r="11249" spans="1:27" x14ac:dyDescent="0.35">
      <c r="A11249">
        <v>1010127</v>
      </c>
      <c r="B11249">
        <v>10574</v>
      </c>
      <c r="C11249">
        <v>1</v>
      </c>
      <c r="D11249" s="17" t="s">
        <v>17166</v>
      </c>
      <c r="E11249" s="17"/>
      <c r="F11249" s="17" t="s">
        <v>17246</v>
      </c>
      <c r="G11249" s="17"/>
      <c r="H11249" s="17" t="s">
        <v>20919</v>
      </c>
      <c r="I11249" s="17"/>
      <c r="J11249" s="17" t="s">
        <v>21313</v>
      </c>
      <c r="K11249" s="17"/>
      <c r="L11249" s="17" t="s">
        <v>22378</v>
      </c>
      <c r="M11249" s="17"/>
      <c r="N11249" s="17" t="s">
        <v>22459</v>
      </c>
      <c r="O11249" s="17"/>
      <c r="P11249" s="17" t="s">
        <v>23100</v>
      </c>
      <c r="Q11249" s="17"/>
      <c r="R11249" s="25" t="str">
        <f>HYPERLINK("https://ictv.global/taxonomy/taxondetails?taxnode_id=202311377","Podtsbuvirus caenenecus")</f>
        <v>Podtsbuvirus caenenecus</v>
      </c>
      <c r="S11249" s="18" t="s">
        <v>30</v>
      </c>
      <c r="T11249" s="18" t="s">
        <v>23101</v>
      </c>
      <c r="U11249" s="18"/>
      <c r="V11249" s="18"/>
      <c r="W11249" s="18" t="s">
        <v>23102</v>
      </c>
      <c r="X11249" s="18" t="s">
        <v>35</v>
      </c>
      <c r="Y11249" s="18" t="s">
        <v>17171</v>
      </c>
      <c r="Z11249" s="18" t="s">
        <v>697</v>
      </c>
      <c r="AA11249" s="21" t="str">
        <f>HYPERLINK("https://www.ncbi.nlm.nih.gov/nuccore/BK014121","NCBI Nucleotide")</f>
        <v>NCBI Nucleotide</v>
      </c>
    </row>
    <row r="11250" spans="1:27" x14ac:dyDescent="0.35">
      <c r="A11250">
        <v>1010128</v>
      </c>
      <c r="B11250">
        <v>10575</v>
      </c>
      <c r="C11250">
        <v>1</v>
      </c>
      <c r="D11250" s="17" t="s">
        <v>17166</v>
      </c>
      <c r="E11250" s="17"/>
      <c r="F11250" s="17" t="s">
        <v>17246</v>
      </c>
      <c r="G11250" s="17"/>
      <c r="H11250" s="17" t="s">
        <v>20919</v>
      </c>
      <c r="I11250" s="17"/>
      <c r="J11250" s="17" t="s">
        <v>21313</v>
      </c>
      <c r="K11250" s="17"/>
      <c r="L11250" s="17" t="s">
        <v>22378</v>
      </c>
      <c r="M11250" s="17"/>
      <c r="N11250" s="17" t="s">
        <v>22459</v>
      </c>
      <c r="O11250" s="17"/>
      <c r="P11250" s="17" t="s">
        <v>23103</v>
      </c>
      <c r="Q11250" s="17"/>
      <c r="R11250" s="25" t="str">
        <f>HYPERLINK("https://ictv.global/taxonomy/taxondetails?taxnode_id=202311379","Pohlodivirus arvihabitans")</f>
        <v>Pohlodivirus arvihabitans</v>
      </c>
      <c r="S11250" s="18" t="s">
        <v>30</v>
      </c>
      <c r="T11250" s="18" t="s">
        <v>23104</v>
      </c>
      <c r="U11250" s="18"/>
      <c r="V11250" s="18"/>
      <c r="W11250" s="18" t="s">
        <v>23105</v>
      </c>
      <c r="X11250" s="18" t="s">
        <v>35</v>
      </c>
      <c r="Y11250" s="18" t="s">
        <v>17171</v>
      </c>
      <c r="Z11250" s="18" t="s">
        <v>697</v>
      </c>
      <c r="AA11250" s="21" t="str">
        <f>HYPERLINK("https://www.ncbi.nlm.nih.gov/nuccore/BK013419","NCBI Nucleotide")</f>
        <v>NCBI Nucleotide</v>
      </c>
    </row>
    <row r="11251" spans="1:27" x14ac:dyDescent="0.35">
      <c r="A11251">
        <v>1026508</v>
      </c>
      <c r="B11251">
        <v>10576</v>
      </c>
      <c r="C11251">
        <v>1</v>
      </c>
      <c r="D11251" s="17" t="s">
        <v>17166</v>
      </c>
      <c r="E11251" s="17"/>
      <c r="F11251" s="17" t="s">
        <v>17246</v>
      </c>
      <c r="G11251" s="17"/>
      <c r="H11251" s="17" t="s">
        <v>20919</v>
      </c>
      <c r="I11251" s="17"/>
      <c r="J11251" s="17" t="s">
        <v>21313</v>
      </c>
      <c r="K11251" s="17"/>
      <c r="L11251" s="17" t="s">
        <v>22378</v>
      </c>
      <c r="M11251" s="17"/>
      <c r="N11251" s="17" t="s">
        <v>22459</v>
      </c>
      <c r="O11251" s="17"/>
      <c r="P11251" s="17" t="s">
        <v>46012</v>
      </c>
      <c r="Q11251" s="17"/>
      <c r="R11251" s="25" t="str">
        <f>HYPERLINK("https://ictv.global/taxonomy/taxondetails?taxnode_id=202317598","Prihuvirus pseudofaecenecus")</f>
        <v>Prihuvirus pseudofaecenecus</v>
      </c>
      <c r="S11251" s="18" t="s">
        <v>30</v>
      </c>
      <c r="T11251" s="18" t="s">
        <v>46013</v>
      </c>
      <c r="U11251" s="18"/>
      <c r="V11251" s="18" t="s">
        <v>46013</v>
      </c>
      <c r="W11251" s="18" t="s">
        <v>46014</v>
      </c>
      <c r="X11251" s="18" t="s">
        <v>35</v>
      </c>
      <c r="Y11251" s="18" t="s">
        <v>17171</v>
      </c>
      <c r="Z11251" s="18" t="s">
        <v>24637</v>
      </c>
      <c r="AA11251" s="21" t="str">
        <f>HYPERLINK("https://www.ncbi.nlm.nih.gov/nuccore/MZ679501","NCBI Nucleotide")</f>
        <v>NCBI Nucleotide</v>
      </c>
    </row>
    <row r="11252" spans="1:27" x14ac:dyDescent="0.35">
      <c r="A11252">
        <v>1026443</v>
      </c>
      <c r="B11252">
        <v>10577</v>
      </c>
      <c r="C11252">
        <v>1</v>
      </c>
      <c r="D11252" s="17" t="s">
        <v>17166</v>
      </c>
      <c r="E11252" s="17"/>
      <c r="F11252" s="17" t="s">
        <v>17246</v>
      </c>
      <c r="G11252" s="17"/>
      <c r="H11252" s="17" t="s">
        <v>20919</v>
      </c>
      <c r="I11252" s="17"/>
      <c r="J11252" s="17" t="s">
        <v>21313</v>
      </c>
      <c r="K11252" s="17"/>
      <c r="L11252" s="17" t="s">
        <v>22378</v>
      </c>
      <c r="M11252" s="17"/>
      <c r="N11252" s="17" t="s">
        <v>22459</v>
      </c>
      <c r="O11252" s="17"/>
      <c r="P11252" s="17" t="s">
        <v>23106</v>
      </c>
      <c r="Q11252" s="17"/>
      <c r="R11252" s="25" t="str">
        <f>HYPERLINK("https://ictv.global/taxonomy/taxondetails?taxnode_id=202317599","Psiaduvirus caenadaptatum")</f>
        <v>Psiaduvirus caenadaptatum</v>
      </c>
      <c r="S11252" s="18" t="s">
        <v>30</v>
      </c>
      <c r="T11252" s="18" t="s">
        <v>46015</v>
      </c>
      <c r="U11252" s="18"/>
      <c r="V11252" s="18"/>
      <c r="W11252" s="18" t="s">
        <v>46016</v>
      </c>
      <c r="X11252" s="18" t="s">
        <v>35</v>
      </c>
      <c r="Y11252" s="18" t="s">
        <v>17171</v>
      </c>
      <c r="Z11252" s="18" t="s">
        <v>24637</v>
      </c>
      <c r="AA11252" s="21" t="str">
        <f>HYPERLINK("https://www.ncbi.nlm.nih.gov/nuccore/CASDWV010001367","NCBI Nucleotide")</f>
        <v>NCBI Nucleotide</v>
      </c>
    </row>
    <row r="11253" spans="1:27" x14ac:dyDescent="0.35">
      <c r="A11253">
        <v>1026444</v>
      </c>
      <c r="B11253">
        <v>10578</v>
      </c>
      <c r="C11253">
        <v>1</v>
      </c>
      <c r="D11253" s="17" t="s">
        <v>17166</v>
      </c>
      <c r="E11253" s="17"/>
      <c r="F11253" s="17" t="s">
        <v>17246</v>
      </c>
      <c r="G11253" s="17"/>
      <c r="H11253" s="17" t="s">
        <v>20919</v>
      </c>
      <c r="I11253" s="17"/>
      <c r="J11253" s="17" t="s">
        <v>21313</v>
      </c>
      <c r="K11253" s="17"/>
      <c r="L11253" s="17" t="s">
        <v>22378</v>
      </c>
      <c r="M11253" s="17"/>
      <c r="N11253" s="17" t="s">
        <v>22459</v>
      </c>
      <c r="O11253" s="17"/>
      <c r="P11253" s="17" t="s">
        <v>23106</v>
      </c>
      <c r="Q11253" s="17"/>
      <c r="R11253" s="25" t="str">
        <f>HYPERLINK("https://ictv.global/taxonomy/taxondetails?taxnode_id=202317600","Psiaduvirus caenivicinum")</f>
        <v>Psiaduvirus caenivicinum</v>
      </c>
      <c r="S11253" s="18" t="s">
        <v>30</v>
      </c>
      <c r="T11253" s="18" t="s">
        <v>46017</v>
      </c>
      <c r="U11253" s="18"/>
      <c r="V11253" s="18"/>
      <c r="W11253" s="18" t="s">
        <v>46018</v>
      </c>
      <c r="X11253" s="18" t="s">
        <v>35</v>
      </c>
      <c r="Y11253" s="18" t="s">
        <v>17171</v>
      </c>
      <c r="Z11253" s="18" t="s">
        <v>24637</v>
      </c>
      <c r="AA11253" s="21" t="str">
        <f>HYPERLINK("https://www.ncbi.nlm.nih.gov/nuccore/CASDWV010002434","NCBI Nucleotide")</f>
        <v>NCBI Nucleotide</v>
      </c>
    </row>
    <row r="11254" spans="1:27" x14ac:dyDescent="0.35">
      <c r="A11254">
        <v>1010129</v>
      </c>
      <c r="B11254">
        <v>10579</v>
      </c>
      <c r="C11254">
        <v>1</v>
      </c>
      <c r="D11254" s="17" t="s">
        <v>17166</v>
      </c>
      <c r="E11254" s="17"/>
      <c r="F11254" s="17" t="s">
        <v>17246</v>
      </c>
      <c r="G11254" s="17"/>
      <c r="H11254" s="17" t="s">
        <v>20919</v>
      </c>
      <c r="I11254" s="17"/>
      <c r="J11254" s="17" t="s">
        <v>21313</v>
      </c>
      <c r="K11254" s="17"/>
      <c r="L11254" s="17" t="s">
        <v>22378</v>
      </c>
      <c r="M11254" s="17"/>
      <c r="N11254" s="17" t="s">
        <v>22459</v>
      </c>
      <c r="O11254" s="17"/>
      <c r="P11254" s="17" t="s">
        <v>23106</v>
      </c>
      <c r="Q11254" s="17"/>
      <c r="R11254" s="25" t="str">
        <f>HYPERLINK("https://ictv.global/taxonomy/taxondetails?taxnode_id=202311381","Psiaduvirus pedadaptatum")</f>
        <v>Psiaduvirus pedadaptatum</v>
      </c>
      <c r="S11254" s="18" t="s">
        <v>30</v>
      </c>
      <c r="T11254" s="18" t="s">
        <v>23107</v>
      </c>
      <c r="U11254" s="18"/>
      <c r="V11254" s="18"/>
      <c r="W11254" s="18" t="s">
        <v>23108</v>
      </c>
      <c r="X11254" s="18" t="s">
        <v>35</v>
      </c>
      <c r="Y11254" s="18" t="s">
        <v>17171</v>
      </c>
      <c r="Z11254" s="18" t="s">
        <v>697</v>
      </c>
      <c r="AA11254" s="21" t="str">
        <f>HYPERLINK("https://www.ncbi.nlm.nih.gov/nuccore/BK013988","NCBI Nucleotide")</f>
        <v>NCBI Nucleotide</v>
      </c>
    </row>
    <row r="11255" spans="1:27" x14ac:dyDescent="0.35">
      <c r="A11255">
        <v>1026445</v>
      </c>
      <c r="B11255">
        <v>10580</v>
      </c>
      <c r="C11255">
        <v>1</v>
      </c>
      <c r="D11255" s="17" t="s">
        <v>17166</v>
      </c>
      <c r="E11255" s="17"/>
      <c r="F11255" s="17" t="s">
        <v>17246</v>
      </c>
      <c r="G11255" s="17"/>
      <c r="H11255" s="17" t="s">
        <v>20919</v>
      </c>
      <c r="I11255" s="17"/>
      <c r="J11255" s="17" t="s">
        <v>21313</v>
      </c>
      <c r="K11255" s="17"/>
      <c r="L11255" s="17" t="s">
        <v>22378</v>
      </c>
      <c r="M11255" s="17"/>
      <c r="N11255" s="17" t="s">
        <v>22459</v>
      </c>
      <c r="O11255" s="17"/>
      <c r="P11255" s="17" t="s">
        <v>23106</v>
      </c>
      <c r="Q11255" s="17"/>
      <c r="R11255" s="25" t="str">
        <f>HYPERLINK("https://ictv.global/taxonomy/taxondetails?taxnode_id=202317601","Psiaduvirus segeticola")</f>
        <v>Psiaduvirus segeticola</v>
      </c>
      <c r="S11255" s="18" t="s">
        <v>30</v>
      </c>
      <c r="T11255" s="18" t="s">
        <v>46019</v>
      </c>
      <c r="U11255" s="18"/>
      <c r="V11255" s="18"/>
      <c r="W11255" s="18" t="s">
        <v>46020</v>
      </c>
      <c r="X11255" s="18" t="s">
        <v>35</v>
      </c>
      <c r="Y11255" s="18" t="s">
        <v>17171</v>
      </c>
      <c r="Z11255" s="18" t="s">
        <v>24637</v>
      </c>
      <c r="AA11255" s="21" t="str">
        <f>HYPERLINK("https://www.ncbi.nlm.nih.gov/nuccore/CASDWV010003477","NCBI Nucleotide")</f>
        <v>NCBI Nucleotide</v>
      </c>
    </row>
    <row r="11256" spans="1:27" x14ac:dyDescent="0.35">
      <c r="A11256">
        <v>1026440</v>
      </c>
      <c r="B11256">
        <v>10581</v>
      </c>
      <c r="C11256">
        <v>1</v>
      </c>
      <c r="D11256" s="17" t="s">
        <v>17166</v>
      </c>
      <c r="E11256" s="17"/>
      <c r="F11256" s="17" t="s">
        <v>17246</v>
      </c>
      <c r="G11256" s="17"/>
      <c r="H11256" s="17" t="s">
        <v>20919</v>
      </c>
      <c r="I11256" s="17"/>
      <c r="J11256" s="17" t="s">
        <v>21313</v>
      </c>
      <c r="K11256" s="17"/>
      <c r="L11256" s="17" t="s">
        <v>22378</v>
      </c>
      <c r="M11256" s="17"/>
      <c r="N11256" s="17" t="s">
        <v>22459</v>
      </c>
      <c r="O11256" s="17"/>
      <c r="P11256" s="17" t="s">
        <v>23123</v>
      </c>
      <c r="Q11256" s="17"/>
      <c r="R11256" s="25" t="str">
        <f>HYPERLINK("https://ictv.global/taxonomy/taxondetails?taxnode_id=202317602","Puduphavirus humenecus")</f>
        <v>Puduphavirus humenecus</v>
      </c>
      <c r="S11256" s="18" t="s">
        <v>30</v>
      </c>
      <c r="T11256" s="18" t="s">
        <v>46021</v>
      </c>
      <c r="U11256" s="18"/>
      <c r="V11256" s="18" t="s">
        <v>46021</v>
      </c>
      <c r="W11256" s="18" t="s">
        <v>46022</v>
      </c>
      <c r="X11256" s="18" t="s">
        <v>35</v>
      </c>
      <c r="Y11256" s="18" t="s">
        <v>17171</v>
      </c>
      <c r="Z11256" s="18" t="s">
        <v>24637</v>
      </c>
      <c r="AA11256" s="21" t="str">
        <f>HYPERLINK("https://www.ncbi.nlm.nih.gov/nuccore/MZ679738","NCBI Nucleotide")</f>
        <v>NCBI Nucleotide</v>
      </c>
    </row>
    <row r="11257" spans="1:27" x14ac:dyDescent="0.35">
      <c r="A11257">
        <v>1026441</v>
      </c>
      <c r="B11257">
        <v>10582</v>
      </c>
      <c r="C11257">
        <v>1</v>
      </c>
      <c r="D11257" s="17" t="s">
        <v>17166</v>
      </c>
      <c r="E11257" s="17"/>
      <c r="F11257" s="17" t="s">
        <v>17246</v>
      </c>
      <c r="G11257" s="17"/>
      <c r="H11257" s="17" t="s">
        <v>20919</v>
      </c>
      <c r="I11257" s="17"/>
      <c r="J11257" s="17" t="s">
        <v>21313</v>
      </c>
      <c r="K11257" s="17"/>
      <c r="L11257" s="17" t="s">
        <v>22378</v>
      </c>
      <c r="M11257" s="17"/>
      <c r="N11257" s="17" t="s">
        <v>22459</v>
      </c>
      <c r="O11257" s="17"/>
      <c r="P11257" s="17" t="s">
        <v>23123</v>
      </c>
      <c r="Q11257" s="17"/>
      <c r="R11257" s="25" t="str">
        <f>HYPERLINK("https://ictv.global/taxonomy/taxondetails?taxnode_id=202317603","Puduphavirus nemorishabitans")</f>
        <v>Puduphavirus nemorishabitans</v>
      </c>
      <c r="S11257" s="18" t="s">
        <v>30</v>
      </c>
      <c r="T11257" s="18" t="s">
        <v>46023</v>
      </c>
      <c r="U11257" s="18"/>
      <c r="V11257" s="18" t="s">
        <v>46023</v>
      </c>
      <c r="W11257" s="18" t="s">
        <v>46024</v>
      </c>
      <c r="X11257" s="18" t="s">
        <v>35</v>
      </c>
      <c r="Y11257" s="18" t="s">
        <v>17171</v>
      </c>
      <c r="Z11257" s="18" t="s">
        <v>24637</v>
      </c>
      <c r="AA11257" s="21" t="str">
        <f>HYPERLINK("https://www.ncbi.nlm.nih.gov/nuccore/MZ680327","NCBI Nucleotide")</f>
        <v>NCBI Nucleotide</v>
      </c>
    </row>
    <row r="11258" spans="1:27" x14ac:dyDescent="0.35">
      <c r="A11258">
        <v>1010137</v>
      </c>
      <c r="B11258">
        <v>10583</v>
      </c>
      <c r="C11258">
        <v>1</v>
      </c>
      <c r="D11258" s="17" t="s">
        <v>17166</v>
      </c>
      <c r="E11258" s="17"/>
      <c r="F11258" s="17" t="s">
        <v>17246</v>
      </c>
      <c r="G11258" s="17"/>
      <c r="H11258" s="17" t="s">
        <v>20919</v>
      </c>
      <c r="I11258" s="17"/>
      <c r="J11258" s="17" t="s">
        <v>21313</v>
      </c>
      <c r="K11258" s="17"/>
      <c r="L11258" s="17" t="s">
        <v>22378</v>
      </c>
      <c r="M11258" s="17"/>
      <c r="N11258" s="17" t="s">
        <v>22459</v>
      </c>
      <c r="O11258" s="17"/>
      <c r="P11258" s="17" t="s">
        <v>23123</v>
      </c>
      <c r="Q11258" s="17"/>
      <c r="R11258" s="25" t="str">
        <f>HYPERLINK("https://ictv.global/taxonomy/taxondetails?taxnode_id=202311391","Puduphavirus pedovivens")</f>
        <v>Puduphavirus pedovivens</v>
      </c>
      <c r="S11258" s="18" t="s">
        <v>30</v>
      </c>
      <c r="T11258" s="18" t="s">
        <v>23124</v>
      </c>
      <c r="U11258" s="18"/>
      <c r="V11258" s="18"/>
      <c r="W11258" s="18" t="s">
        <v>23125</v>
      </c>
      <c r="X11258" s="18" t="s">
        <v>35</v>
      </c>
      <c r="Y11258" s="18" t="s">
        <v>17171</v>
      </c>
      <c r="Z11258" s="18" t="s">
        <v>697</v>
      </c>
      <c r="AA11258" s="21" t="str">
        <f>HYPERLINK("https://www.ncbi.nlm.nih.gov/nuccore/BK013447","NCBI Nucleotide")</f>
        <v>NCBI Nucleotide</v>
      </c>
    </row>
    <row r="11259" spans="1:27" x14ac:dyDescent="0.35">
      <c r="A11259">
        <v>1026481</v>
      </c>
      <c r="B11259">
        <v>10584</v>
      </c>
      <c r="C11259">
        <v>1</v>
      </c>
      <c r="D11259" s="17" t="s">
        <v>17166</v>
      </c>
      <c r="E11259" s="17"/>
      <c r="F11259" s="17" t="s">
        <v>17246</v>
      </c>
      <c r="G11259" s="17"/>
      <c r="H11259" s="17" t="s">
        <v>20919</v>
      </c>
      <c r="I11259" s="17"/>
      <c r="J11259" s="17" t="s">
        <v>21313</v>
      </c>
      <c r="K11259" s="17"/>
      <c r="L11259" s="17" t="s">
        <v>22378</v>
      </c>
      <c r="M11259" s="17"/>
      <c r="N11259" s="17" t="s">
        <v>22459</v>
      </c>
      <c r="O11259" s="17"/>
      <c r="P11259" s="17" t="s">
        <v>46025</v>
      </c>
      <c r="Q11259" s="17"/>
      <c r="R11259" s="25" t="str">
        <f>HYPERLINK("https://ictv.global/taxonomy/taxondetails?taxnode_id=202317604","Quihndovirus agricola")</f>
        <v>Quihndovirus agricola</v>
      </c>
      <c r="S11259" s="18" t="s">
        <v>30</v>
      </c>
      <c r="T11259" s="18" t="s">
        <v>46026</v>
      </c>
      <c r="U11259" s="18"/>
      <c r="V11259" s="18"/>
      <c r="W11259" s="18" t="s">
        <v>46027</v>
      </c>
      <c r="X11259" s="18" t="s">
        <v>35</v>
      </c>
      <c r="Y11259" s="18" t="s">
        <v>17171</v>
      </c>
      <c r="Z11259" s="18" t="s">
        <v>24637</v>
      </c>
      <c r="AA11259" s="21" t="str">
        <f>HYPERLINK("https://www.ncbi.nlm.nih.gov/nuccore/CASDWV010000804","NCBI Nucleotide")</f>
        <v>NCBI Nucleotide</v>
      </c>
    </row>
    <row r="11260" spans="1:27" x14ac:dyDescent="0.35">
      <c r="A11260">
        <v>1026482</v>
      </c>
      <c r="B11260">
        <v>10585</v>
      </c>
      <c r="C11260">
        <v>1</v>
      </c>
      <c r="D11260" s="17" t="s">
        <v>17166</v>
      </c>
      <c r="E11260" s="17"/>
      <c r="F11260" s="17" t="s">
        <v>17246</v>
      </c>
      <c r="G11260" s="17"/>
      <c r="H11260" s="17" t="s">
        <v>20919</v>
      </c>
      <c r="I11260" s="17"/>
      <c r="J11260" s="17" t="s">
        <v>21313</v>
      </c>
      <c r="K11260" s="17"/>
      <c r="L11260" s="17" t="s">
        <v>22378</v>
      </c>
      <c r="M11260" s="17"/>
      <c r="N11260" s="17" t="s">
        <v>22459</v>
      </c>
      <c r="O11260" s="17"/>
      <c r="P11260" s="17" t="s">
        <v>46025</v>
      </c>
      <c r="Q11260" s="17"/>
      <c r="R11260" s="25" t="str">
        <f>HYPERLINK("https://ictv.global/taxonomy/taxondetails?taxnode_id=202317605","Quihndovirus caenivivens")</f>
        <v>Quihndovirus caenivivens</v>
      </c>
      <c r="S11260" s="18" t="s">
        <v>30</v>
      </c>
      <c r="T11260" s="18" t="s">
        <v>46028</v>
      </c>
      <c r="U11260" s="18"/>
      <c r="V11260" s="18"/>
      <c r="W11260" s="18" t="s">
        <v>46029</v>
      </c>
      <c r="X11260" s="18" t="s">
        <v>35</v>
      </c>
      <c r="Y11260" s="18" t="s">
        <v>17171</v>
      </c>
      <c r="Z11260" s="18" t="s">
        <v>24637</v>
      </c>
      <c r="AA11260" s="21" t="str">
        <f>HYPERLINK("https://www.ncbi.nlm.nih.gov/nuccore/CASDWV010003377","NCBI Nucleotide")</f>
        <v>NCBI Nucleotide</v>
      </c>
    </row>
    <row r="11261" spans="1:27" x14ac:dyDescent="0.35">
      <c r="A11261">
        <v>1026483</v>
      </c>
      <c r="B11261">
        <v>10586</v>
      </c>
      <c r="C11261">
        <v>1</v>
      </c>
      <c r="D11261" s="17" t="s">
        <v>17166</v>
      </c>
      <c r="E11261" s="17"/>
      <c r="F11261" s="17" t="s">
        <v>17246</v>
      </c>
      <c r="G11261" s="17"/>
      <c r="H11261" s="17" t="s">
        <v>20919</v>
      </c>
      <c r="I11261" s="17"/>
      <c r="J11261" s="17" t="s">
        <v>21313</v>
      </c>
      <c r="K11261" s="17"/>
      <c r="L11261" s="17" t="s">
        <v>22378</v>
      </c>
      <c r="M11261" s="17"/>
      <c r="N11261" s="17" t="s">
        <v>22459</v>
      </c>
      <c r="O11261" s="17"/>
      <c r="P11261" s="17" t="s">
        <v>46025</v>
      </c>
      <c r="Q11261" s="17"/>
      <c r="R11261" s="25" t="str">
        <f>HYPERLINK("https://ictv.global/taxonomy/taxondetails?taxnode_id=202317606","Quihndovirus chorenecus")</f>
        <v>Quihndovirus chorenecus</v>
      </c>
      <c r="S11261" s="18" t="s">
        <v>30</v>
      </c>
      <c r="T11261" s="18" t="s">
        <v>46030</v>
      </c>
      <c r="U11261" s="18"/>
      <c r="V11261" s="18"/>
      <c r="W11261" s="18" t="s">
        <v>46031</v>
      </c>
      <c r="X11261" s="18" t="s">
        <v>35</v>
      </c>
      <c r="Y11261" s="18" t="s">
        <v>17171</v>
      </c>
      <c r="Z11261" s="18" t="s">
        <v>24637</v>
      </c>
      <c r="AA11261" s="21" t="str">
        <f>HYPERLINK("https://www.ncbi.nlm.nih.gov/nuccore/CASDWV010001732","NCBI Nucleotide")</f>
        <v>NCBI Nucleotide</v>
      </c>
    </row>
    <row r="11262" spans="1:27" x14ac:dyDescent="0.35">
      <c r="A11262">
        <v>1026484</v>
      </c>
      <c r="B11262">
        <v>10587</v>
      </c>
      <c r="C11262">
        <v>1</v>
      </c>
      <c r="D11262" s="17" t="s">
        <v>17166</v>
      </c>
      <c r="E11262" s="17"/>
      <c r="F11262" s="17" t="s">
        <v>17246</v>
      </c>
      <c r="G11262" s="17"/>
      <c r="H11262" s="17" t="s">
        <v>20919</v>
      </c>
      <c r="I11262" s="17"/>
      <c r="J11262" s="17" t="s">
        <v>21313</v>
      </c>
      <c r="K11262" s="17"/>
      <c r="L11262" s="17" t="s">
        <v>22378</v>
      </c>
      <c r="M11262" s="17"/>
      <c r="N11262" s="17" t="s">
        <v>22459</v>
      </c>
      <c r="O11262" s="17"/>
      <c r="P11262" s="17" t="s">
        <v>46025</v>
      </c>
      <c r="Q11262" s="17"/>
      <c r="R11262" s="25" t="str">
        <f>HYPERLINK("https://ictv.global/taxonomy/taxondetails?taxnode_id=202317607","Quihndovirus geovivens")</f>
        <v>Quihndovirus geovivens</v>
      </c>
      <c r="S11262" s="18" t="s">
        <v>30</v>
      </c>
      <c r="T11262" s="18" t="s">
        <v>46032</v>
      </c>
      <c r="U11262" s="18"/>
      <c r="V11262" s="18"/>
      <c r="W11262" s="18" t="s">
        <v>46033</v>
      </c>
      <c r="X11262" s="18" t="s">
        <v>35</v>
      </c>
      <c r="Y11262" s="18" t="s">
        <v>17171</v>
      </c>
      <c r="Z11262" s="18" t="s">
        <v>24637</v>
      </c>
      <c r="AA11262" s="21" t="str">
        <f>HYPERLINK("https://www.ncbi.nlm.nih.gov/nuccore/CASDWV010000134","NCBI Nucleotide")</f>
        <v>NCBI Nucleotide</v>
      </c>
    </row>
    <row r="11263" spans="1:27" x14ac:dyDescent="0.35">
      <c r="A11263">
        <v>1026485</v>
      </c>
      <c r="B11263">
        <v>10588</v>
      </c>
      <c r="C11263">
        <v>1</v>
      </c>
      <c r="D11263" s="17" t="s">
        <v>17166</v>
      </c>
      <c r="E11263" s="17"/>
      <c r="F11263" s="17" t="s">
        <v>17246</v>
      </c>
      <c r="G11263" s="17"/>
      <c r="H11263" s="17" t="s">
        <v>20919</v>
      </c>
      <c r="I11263" s="17"/>
      <c r="J11263" s="17" t="s">
        <v>21313</v>
      </c>
      <c r="K11263" s="17"/>
      <c r="L11263" s="17" t="s">
        <v>22378</v>
      </c>
      <c r="M11263" s="17"/>
      <c r="N11263" s="17" t="s">
        <v>22459</v>
      </c>
      <c r="O11263" s="17"/>
      <c r="P11263" s="17" t="s">
        <v>46025</v>
      </c>
      <c r="Q11263" s="17"/>
      <c r="R11263" s="25" t="str">
        <f>HYPERLINK("https://ictv.global/taxonomy/taxondetails?taxnode_id=202317608","Quihndovirus luticola")</f>
        <v>Quihndovirus luticola</v>
      </c>
      <c r="S11263" s="18" t="s">
        <v>30</v>
      </c>
      <c r="T11263" s="18" t="s">
        <v>46034</v>
      </c>
      <c r="U11263" s="18"/>
      <c r="V11263" s="18"/>
      <c r="W11263" s="18" t="s">
        <v>46035</v>
      </c>
      <c r="X11263" s="18" t="s">
        <v>35</v>
      </c>
      <c r="Y11263" s="18" t="s">
        <v>17171</v>
      </c>
      <c r="Z11263" s="18" t="s">
        <v>24637</v>
      </c>
      <c r="AA11263" s="21" t="str">
        <f>HYPERLINK("https://www.ncbi.nlm.nih.gov/nuccore/CASDWV010000200","NCBI Nucleotide")</f>
        <v>NCBI Nucleotide</v>
      </c>
    </row>
    <row r="11264" spans="1:27" x14ac:dyDescent="0.35">
      <c r="A11264">
        <v>1026486</v>
      </c>
      <c r="B11264">
        <v>10589</v>
      </c>
      <c r="C11264">
        <v>1</v>
      </c>
      <c r="D11264" s="17" t="s">
        <v>17166</v>
      </c>
      <c r="E11264" s="17"/>
      <c r="F11264" s="17" t="s">
        <v>17246</v>
      </c>
      <c r="G11264" s="17"/>
      <c r="H11264" s="17" t="s">
        <v>20919</v>
      </c>
      <c r="I11264" s="17"/>
      <c r="J11264" s="17" t="s">
        <v>21313</v>
      </c>
      <c r="K11264" s="17"/>
      <c r="L11264" s="17" t="s">
        <v>22378</v>
      </c>
      <c r="M11264" s="17"/>
      <c r="N11264" s="17" t="s">
        <v>22459</v>
      </c>
      <c r="O11264" s="17"/>
      <c r="P11264" s="17" t="s">
        <v>46025</v>
      </c>
      <c r="Q11264" s="17"/>
      <c r="R11264" s="25" t="str">
        <f>HYPERLINK("https://ictv.global/taxonomy/taxondetails?taxnode_id=202317609","Quihndovirus messivivens")</f>
        <v>Quihndovirus messivivens</v>
      </c>
      <c r="S11264" s="18" t="s">
        <v>30</v>
      </c>
      <c r="T11264" s="18" t="s">
        <v>46036</v>
      </c>
      <c r="U11264" s="18"/>
      <c r="V11264" s="18"/>
      <c r="W11264" s="18" t="s">
        <v>46037</v>
      </c>
      <c r="X11264" s="18" t="s">
        <v>35</v>
      </c>
      <c r="Y11264" s="18" t="s">
        <v>17171</v>
      </c>
      <c r="Z11264" s="18" t="s">
        <v>24637</v>
      </c>
      <c r="AA11264" s="21" t="str">
        <f>HYPERLINK("https://www.ncbi.nlm.nih.gov/nuccore/CASDWV010000187","NCBI Nucleotide")</f>
        <v>NCBI Nucleotide</v>
      </c>
    </row>
    <row r="11265" spans="1:27" x14ac:dyDescent="0.35">
      <c r="A11265">
        <v>1026487</v>
      </c>
      <c r="B11265">
        <v>10590</v>
      </c>
      <c r="C11265">
        <v>1</v>
      </c>
      <c r="D11265" s="17" t="s">
        <v>17166</v>
      </c>
      <c r="E11265" s="17"/>
      <c r="F11265" s="17" t="s">
        <v>17246</v>
      </c>
      <c r="G11265" s="17"/>
      <c r="H11265" s="17" t="s">
        <v>20919</v>
      </c>
      <c r="I11265" s="17"/>
      <c r="J11265" s="17" t="s">
        <v>21313</v>
      </c>
      <c r="K11265" s="17"/>
      <c r="L11265" s="17" t="s">
        <v>22378</v>
      </c>
      <c r="M11265" s="17"/>
      <c r="N11265" s="17" t="s">
        <v>22459</v>
      </c>
      <c r="O11265" s="17"/>
      <c r="P11265" s="17" t="s">
        <v>46025</v>
      </c>
      <c r="Q11265" s="17"/>
      <c r="R11265" s="25" t="str">
        <f>HYPERLINK("https://ictv.global/taxonomy/taxondetails?taxnode_id=202317610","Quihndovirus pedenecus")</f>
        <v>Quihndovirus pedenecus</v>
      </c>
      <c r="S11265" s="18" t="s">
        <v>30</v>
      </c>
      <c r="T11265" s="18" t="s">
        <v>46038</v>
      </c>
      <c r="U11265" s="18"/>
      <c r="V11265" s="18"/>
      <c r="W11265" s="18" t="s">
        <v>46039</v>
      </c>
      <c r="X11265" s="18" t="s">
        <v>35</v>
      </c>
      <c r="Y11265" s="18" t="s">
        <v>17171</v>
      </c>
      <c r="Z11265" s="18" t="s">
        <v>24637</v>
      </c>
      <c r="AA11265" s="21" t="str">
        <f>HYPERLINK("https://www.ncbi.nlm.nih.gov/nuccore/CASDWV010000799","NCBI Nucleotide")</f>
        <v>NCBI Nucleotide</v>
      </c>
    </row>
    <row r="11266" spans="1:27" x14ac:dyDescent="0.35">
      <c r="A11266">
        <v>1026488</v>
      </c>
      <c r="B11266">
        <v>10591</v>
      </c>
      <c r="C11266">
        <v>1</v>
      </c>
      <c r="D11266" s="17" t="s">
        <v>17166</v>
      </c>
      <c r="E11266" s="17"/>
      <c r="F11266" s="17" t="s">
        <v>17246</v>
      </c>
      <c r="G11266" s="17"/>
      <c r="H11266" s="17" t="s">
        <v>20919</v>
      </c>
      <c r="I11266" s="17"/>
      <c r="J11266" s="17" t="s">
        <v>21313</v>
      </c>
      <c r="K11266" s="17"/>
      <c r="L11266" s="17" t="s">
        <v>22378</v>
      </c>
      <c r="M11266" s="17"/>
      <c r="N11266" s="17" t="s">
        <v>22459</v>
      </c>
      <c r="O11266" s="17"/>
      <c r="P11266" s="17" t="s">
        <v>46025</v>
      </c>
      <c r="Q11266" s="17"/>
      <c r="R11266" s="25" t="str">
        <f>HYPERLINK("https://ictv.global/taxonomy/taxondetails?taxnode_id=202317611","Quihndovirus segetadaptatum")</f>
        <v>Quihndovirus segetadaptatum</v>
      </c>
      <c r="S11266" s="18" t="s">
        <v>30</v>
      </c>
      <c r="T11266" s="18" t="s">
        <v>46040</v>
      </c>
      <c r="U11266" s="18"/>
      <c r="V11266" s="18"/>
      <c r="W11266" s="18" t="s">
        <v>46041</v>
      </c>
      <c r="X11266" s="18" t="s">
        <v>35</v>
      </c>
      <c r="Y11266" s="18" t="s">
        <v>17171</v>
      </c>
      <c r="Z11266" s="18" t="s">
        <v>24637</v>
      </c>
      <c r="AA11266" s="21" t="str">
        <f>HYPERLINK("https://www.ncbi.nlm.nih.gov/nuccore/CASDWV010000076","NCBI Nucleotide")</f>
        <v>NCBI Nucleotide</v>
      </c>
    </row>
    <row r="11267" spans="1:27" x14ac:dyDescent="0.35">
      <c r="A11267">
        <v>1026489</v>
      </c>
      <c r="B11267">
        <v>10592</v>
      </c>
      <c r="C11267">
        <v>1</v>
      </c>
      <c r="D11267" s="17" t="s">
        <v>17166</v>
      </c>
      <c r="E11267" s="17"/>
      <c r="F11267" s="17" t="s">
        <v>17246</v>
      </c>
      <c r="G11267" s="17"/>
      <c r="H11267" s="17" t="s">
        <v>20919</v>
      </c>
      <c r="I11267" s="17"/>
      <c r="J11267" s="17" t="s">
        <v>21313</v>
      </c>
      <c r="K11267" s="17"/>
      <c r="L11267" s="17" t="s">
        <v>22378</v>
      </c>
      <c r="M11267" s="17"/>
      <c r="N11267" s="17" t="s">
        <v>22459</v>
      </c>
      <c r="O11267" s="17"/>
      <c r="P11267" s="17" t="s">
        <v>46025</v>
      </c>
      <c r="Q11267" s="17"/>
      <c r="R11267" s="25" t="str">
        <f>HYPERLINK("https://ictv.global/taxonomy/taxondetails?taxnode_id=202317612","Quihndovirus segetenecus")</f>
        <v>Quihndovirus segetenecus</v>
      </c>
      <c r="S11267" s="18" t="s">
        <v>30</v>
      </c>
      <c r="T11267" s="18" t="s">
        <v>46042</v>
      </c>
      <c r="U11267" s="18"/>
      <c r="V11267" s="18"/>
      <c r="W11267" s="18" t="s">
        <v>46043</v>
      </c>
      <c r="X11267" s="18" t="s">
        <v>35</v>
      </c>
      <c r="Y11267" s="18" t="s">
        <v>17171</v>
      </c>
      <c r="Z11267" s="18" t="s">
        <v>24637</v>
      </c>
      <c r="AA11267" s="21" t="str">
        <f>HYPERLINK("https://www.ncbi.nlm.nih.gov/nuccore/CASDWV010003406","NCBI Nucleotide")</f>
        <v>NCBI Nucleotide</v>
      </c>
    </row>
    <row r="11268" spans="1:27" x14ac:dyDescent="0.35">
      <c r="A11268">
        <v>1026490</v>
      </c>
      <c r="B11268">
        <v>10593</v>
      </c>
      <c r="C11268">
        <v>1</v>
      </c>
      <c r="D11268" s="17" t="s">
        <v>17166</v>
      </c>
      <c r="E11268" s="17"/>
      <c r="F11268" s="17" t="s">
        <v>17246</v>
      </c>
      <c r="G11268" s="17"/>
      <c r="H11268" s="17" t="s">
        <v>20919</v>
      </c>
      <c r="I11268" s="17"/>
      <c r="J11268" s="17" t="s">
        <v>21313</v>
      </c>
      <c r="K11268" s="17"/>
      <c r="L11268" s="17" t="s">
        <v>22378</v>
      </c>
      <c r="M11268" s="17"/>
      <c r="N11268" s="17" t="s">
        <v>22459</v>
      </c>
      <c r="O11268" s="17"/>
      <c r="P11268" s="17" t="s">
        <v>46025</v>
      </c>
      <c r="Q11268" s="17"/>
      <c r="R11268" s="25" t="str">
        <f>HYPERLINK("https://ictv.global/taxonomy/taxondetails?taxnode_id=202317613","Quihndovirus solenecus")</f>
        <v>Quihndovirus solenecus</v>
      </c>
      <c r="S11268" s="18" t="s">
        <v>30</v>
      </c>
      <c r="T11268" s="18" t="s">
        <v>46044</v>
      </c>
      <c r="U11268" s="18"/>
      <c r="V11268" s="18"/>
      <c r="W11268" s="18" t="s">
        <v>46045</v>
      </c>
      <c r="X11268" s="18" t="s">
        <v>35</v>
      </c>
      <c r="Y11268" s="18" t="s">
        <v>17171</v>
      </c>
      <c r="Z11268" s="18" t="s">
        <v>24637</v>
      </c>
      <c r="AA11268" s="21" t="str">
        <f>HYPERLINK("https://www.ncbi.nlm.nih.gov/nuccore/CASDWV010001985","NCBI Nucleotide")</f>
        <v>NCBI Nucleotide</v>
      </c>
    </row>
    <row r="11269" spans="1:27" x14ac:dyDescent="0.35">
      <c r="A11269">
        <v>1026491</v>
      </c>
      <c r="B11269">
        <v>10594</v>
      </c>
      <c r="C11269">
        <v>1</v>
      </c>
      <c r="D11269" s="17" t="s">
        <v>17166</v>
      </c>
      <c r="E11269" s="17"/>
      <c r="F11269" s="17" t="s">
        <v>17246</v>
      </c>
      <c r="G11269" s="17"/>
      <c r="H11269" s="17" t="s">
        <v>20919</v>
      </c>
      <c r="I11269" s="17"/>
      <c r="J11269" s="17" t="s">
        <v>21313</v>
      </c>
      <c r="K11269" s="17"/>
      <c r="L11269" s="17" t="s">
        <v>22378</v>
      </c>
      <c r="M11269" s="17"/>
      <c r="N11269" s="17" t="s">
        <v>22459</v>
      </c>
      <c r="O11269" s="17"/>
      <c r="P11269" s="17" t="s">
        <v>46025</v>
      </c>
      <c r="Q11269" s="17"/>
      <c r="R11269" s="25" t="str">
        <f>HYPERLINK("https://ictv.global/taxonomy/taxondetails?taxnode_id=202317614","Quihndovirus telluricola")</f>
        <v>Quihndovirus telluricola</v>
      </c>
      <c r="S11269" s="18" t="s">
        <v>30</v>
      </c>
      <c r="T11269" s="18" t="s">
        <v>46046</v>
      </c>
      <c r="U11269" s="18"/>
      <c r="V11269" s="18"/>
      <c r="W11269" s="18" t="s">
        <v>46047</v>
      </c>
      <c r="X11269" s="18" t="s">
        <v>35</v>
      </c>
      <c r="Y11269" s="18" t="s">
        <v>17171</v>
      </c>
      <c r="Z11269" s="18" t="s">
        <v>24637</v>
      </c>
      <c r="AA11269" s="21" t="str">
        <f>HYPERLINK("https://www.ncbi.nlm.nih.gov/nuccore/CASDWV010001663","NCBI Nucleotide")</f>
        <v>NCBI Nucleotide</v>
      </c>
    </row>
    <row r="11270" spans="1:27" x14ac:dyDescent="0.35">
      <c r="A11270">
        <v>1026492</v>
      </c>
      <c r="B11270">
        <v>10595</v>
      </c>
      <c r="C11270">
        <v>1</v>
      </c>
      <c r="D11270" s="17" t="s">
        <v>17166</v>
      </c>
      <c r="E11270" s="17"/>
      <c r="F11270" s="17" t="s">
        <v>17246</v>
      </c>
      <c r="G11270" s="17"/>
      <c r="H11270" s="17" t="s">
        <v>20919</v>
      </c>
      <c r="I11270" s="17"/>
      <c r="J11270" s="17" t="s">
        <v>21313</v>
      </c>
      <c r="K11270" s="17"/>
      <c r="L11270" s="17" t="s">
        <v>22378</v>
      </c>
      <c r="M11270" s="17"/>
      <c r="N11270" s="17" t="s">
        <v>22459</v>
      </c>
      <c r="O11270" s="17"/>
      <c r="P11270" s="17" t="s">
        <v>46025</v>
      </c>
      <c r="Q11270" s="17"/>
      <c r="R11270" s="25" t="str">
        <f>HYPERLINK("https://ictv.global/taxonomy/taxondetails?taxnode_id=202317615","Quihndovirus terricola")</f>
        <v>Quihndovirus terricola</v>
      </c>
      <c r="S11270" s="18" t="s">
        <v>30</v>
      </c>
      <c r="T11270" s="18" t="s">
        <v>46048</v>
      </c>
      <c r="U11270" s="18"/>
      <c r="V11270" s="18"/>
      <c r="W11270" s="18" t="s">
        <v>46049</v>
      </c>
      <c r="X11270" s="18" t="s">
        <v>35</v>
      </c>
      <c r="Y11270" s="18" t="s">
        <v>17171</v>
      </c>
      <c r="Z11270" s="18" t="s">
        <v>24637</v>
      </c>
      <c r="AA11270" s="21" t="str">
        <f>HYPERLINK("https://www.ncbi.nlm.nih.gov/nuccore/CASDWV010001988","NCBI Nucleotide")</f>
        <v>NCBI Nucleotide</v>
      </c>
    </row>
    <row r="11271" spans="1:27" x14ac:dyDescent="0.35">
      <c r="A11271">
        <v>1026493</v>
      </c>
      <c r="B11271">
        <v>10596</v>
      </c>
      <c r="C11271">
        <v>1</v>
      </c>
      <c r="D11271" s="17" t="s">
        <v>17166</v>
      </c>
      <c r="E11271" s="17"/>
      <c r="F11271" s="17" t="s">
        <v>17246</v>
      </c>
      <c r="G11271" s="17"/>
      <c r="H11271" s="17" t="s">
        <v>20919</v>
      </c>
      <c r="I11271" s="17"/>
      <c r="J11271" s="17" t="s">
        <v>21313</v>
      </c>
      <c r="K11271" s="17"/>
      <c r="L11271" s="17" t="s">
        <v>22378</v>
      </c>
      <c r="M11271" s="17"/>
      <c r="N11271" s="17" t="s">
        <v>22459</v>
      </c>
      <c r="O11271" s="17"/>
      <c r="P11271" s="17" t="s">
        <v>46025</v>
      </c>
      <c r="Q11271" s="17"/>
      <c r="R11271" s="25" t="str">
        <f>HYPERLINK("https://ictv.global/taxonomy/taxondetails?taxnode_id=202317616","Quihndovirus terrivivens")</f>
        <v>Quihndovirus terrivivens</v>
      </c>
      <c r="S11271" s="18" t="s">
        <v>30</v>
      </c>
      <c r="T11271" s="18" t="s">
        <v>46050</v>
      </c>
      <c r="U11271" s="18"/>
      <c r="V11271" s="18"/>
      <c r="W11271" s="18" t="s">
        <v>46051</v>
      </c>
      <c r="X11271" s="18" t="s">
        <v>35</v>
      </c>
      <c r="Y11271" s="18" t="s">
        <v>17171</v>
      </c>
      <c r="Z11271" s="18" t="s">
        <v>24637</v>
      </c>
      <c r="AA11271" s="21" t="str">
        <f>HYPERLINK("https://www.ncbi.nlm.nih.gov/nuccore/CASDWV010003318","NCBI Nucleotide")</f>
        <v>NCBI Nucleotide</v>
      </c>
    </row>
    <row r="11272" spans="1:27" x14ac:dyDescent="0.35">
      <c r="A11272">
        <v>1026399</v>
      </c>
      <c r="B11272">
        <v>10597</v>
      </c>
      <c r="C11272">
        <v>1</v>
      </c>
      <c r="D11272" s="17" t="s">
        <v>17166</v>
      </c>
      <c r="E11272" s="17"/>
      <c r="F11272" s="17" t="s">
        <v>17246</v>
      </c>
      <c r="G11272" s="17"/>
      <c r="H11272" s="17" t="s">
        <v>20919</v>
      </c>
      <c r="I11272" s="17"/>
      <c r="J11272" s="17" t="s">
        <v>21313</v>
      </c>
      <c r="K11272" s="17"/>
      <c r="L11272" s="17" t="s">
        <v>22378</v>
      </c>
      <c r="M11272" s="17"/>
      <c r="N11272" s="17" t="s">
        <v>22459</v>
      </c>
      <c r="O11272" s="17"/>
      <c r="P11272" s="17" t="s">
        <v>46052</v>
      </c>
      <c r="Q11272" s="17"/>
      <c r="R11272" s="25" t="str">
        <f>HYPERLINK("https://ictv.global/taxonomy/taxondetails?taxnode_id=202317617","Retlevirus soladaptatum")</f>
        <v>Retlevirus soladaptatum</v>
      </c>
      <c r="S11272" s="18" t="s">
        <v>30</v>
      </c>
      <c r="T11272" s="18" t="s">
        <v>46053</v>
      </c>
      <c r="U11272" s="18"/>
      <c r="V11272" s="18"/>
      <c r="W11272" s="18" t="s">
        <v>46054</v>
      </c>
      <c r="X11272" s="18" t="s">
        <v>35</v>
      </c>
      <c r="Y11272" s="18" t="s">
        <v>17171</v>
      </c>
      <c r="Z11272" s="18" t="s">
        <v>24637</v>
      </c>
      <c r="AA11272" s="21" t="str">
        <f>HYPERLINK("https://www.ncbi.nlm.nih.gov/nuccore/CASDWV010001694","NCBI Nucleotide")</f>
        <v>NCBI Nucleotide</v>
      </c>
    </row>
    <row r="11273" spans="1:27" x14ac:dyDescent="0.35">
      <c r="A11273">
        <v>1026397</v>
      </c>
      <c r="B11273">
        <v>10598</v>
      </c>
      <c r="C11273">
        <v>1</v>
      </c>
      <c r="D11273" s="17" t="s">
        <v>17166</v>
      </c>
      <c r="E11273" s="17"/>
      <c r="F11273" s="17" t="s">
        <v>17246</v>
      </c>
      <c r="G11273" s="17"/>
      <c r="H11273" s="17" t="s">
        <v>20919</v>
      </c>
      <c r="I11273" s="17"/>
      <c r="J11273" s="17" t="s">
        <v>21313</v>
      </c>
      <c r="K11273" s="17"/>
      <c r="L11273" s="17" t="s">
        <v>22378</v>
      </c>
      <c r="M11273" s="17"/>
      <c r="N11273" s="17" t="s">
        <v>22459</v>
      </c>
      <c r="O11273" s="17"/>
      <c r="P11273" s="17" t="s">
        <v>23164</v>
      </c>
      <c r="Q11273" s="17"/>
      <c r="R11273" s="25" t="str">
        <f>HYPERLINK("https://ictv.global/taxonomy/taxondetails?taxnode_id=202317618","Rodtovirus neopelovivens")</f>
        <v>Rodtovirus neopelovivens</v>
      </c>
      <c r="S11273" s="18" t="s">
        <v>30</v>
      </c>
      <c r="T11273" s="18" t="s">
        <v>46055</v>
      </c>
      <c r="U11273" s="18"/>
      <c r="V11273" s="18"/>
      <c r="W11273" s="18" t="s">
        <v>46056</v>
      </c>
      <c r="X11273" s="18" t="s">
        <v>35</v>
      </c>
      <c r="Y11273" s="18" t="s">
        <v>17171</v>
      </c>
      <c r="Z11273" s="18" t="s">
        <v>24637</v>
      </c>
      <c r="AA11273" s="21" t="str">
        <f>HYPERLINK("https://www.ncbi.nlm.nih.gov/nuccore/CASDWV010004395","NCBI Nucleotide")</f>
        <v>NCBI Nucleotide</v>
      </c>
    </row>
    <row r="11274" spans="1:27" x14ac:dyDescent="0.35">
      <c r="A11274">
        <v>1010157</v>
      </c>
      <c r="B11274">
        <v>10599</v>
      </c>
      <c r="C11274">
        <v>1</v>
      </c>
      <c r="D11274" s="17" t="s">
        <v>17166</v>
      </c>
      <c r="E11274" s="17"/>
      <c r="F11274" s="17" t="s">
        <v>17246</v>
      </c>
      <c r="G11274" s="17"/>
      <c r="H11274" s="17" t="s">
        <v>20919</v>
      </c>
      <c r="I11274" s="17"/>
      <c r="J11274" s="17" t="s">
        <v>21313</v>
      </c>
      <c r="K11274" s="17"/>
      <c r="L11274" s="17" t="s">
        <v>22378</v>
      </c>
      <c r="M11274" s="17"/>
      <c r="N11274" s="17" t="s">
        <v>22459</v>
      </c>
      <c r="O11274" s="17"/>
      <c r="P11274" s="17" t="s">
        <v>23164</v>
      </c>
      <c r="Q11274" s="17"/>
      <c r="R11274" s="25" t="str">
        <f>HYPERLINK("https://ictv.global/taxonomy/taxondetails?taxnode_id=202311413","Rodtovirus pelovivens")</f>
        <v>Rodtovirus pelovivens</v>
      </c>
      <c r="S11274" s="18" t="s">
        <v>30</v>
      </c>
      <c r="T11274" s="18" t="s">
        <v>23165</v>
      </c>
      <c r="U11274" s="18"/>
      <c r="V11274" s="18"/>
      <c r="W11274" s="18" t="s">
        <v>23166</v>
      </c>
      <c r="X11274" s="18" t="s">
        <v>35</v>
      </c>
      <c r="Y11274" s="18" t="s">
        <v>17171</v>
      </c>
      <c r="Z11274" s="18" t="s">
        <v>697</v>
      </c>
      <c r="AA11274" s="21" t="str">
        <f>HYPERLINK("https://www.ncbi.nlm.nih.gov/nuccore/BK013686","NCBI Nucleotide")</f>
        <v>NCBI Nucleotide</v>
      </c>
    </row>
    <row r="11275" spans="1:27" x14ac:dyDescent="0.35">
      <c r="A11275">
        <v>1026400</v>
      </c>
      <c r="B11275">
        <v>10600</v>
      </c>
      <c r="C11275">
        <v>1</v>
      </c>
      <c r="D11275" s="17" t="s">
        <v>17166</v>
      </c>
      <c r="E11275" s="17"/>
      <c r="F11275" s="17" t="s">
        <v>17246</v>
      </c>
      <c r="G11275" s="17"/>
      <c r="H11275" s="17" t="s">
        <v>20919</v>
      </c>
      <c r="I11275" s="17"/>
      <c r="J11275" s="17" t="s">
        <v>21313</v>
      </c>
      <c r="K11275" s="17"/>
      <c r="L11275" s="17" t="s">
        <v>22378</v>
      </c>
      <c r="M11275" s="17"/>
      <c r="N11275" s="17" t="s">
        <v>22459</v>
      </c>
      <c r="O11275" s="17"/>
      <c r="P11275" s="17" t="s">
        <v>46057</v>
      </c>
      <c r="Q11275" s="17"/>
      <c r="R11275" s="25" t="str">
        <f>HYPERLINK("https://ictv.global/taxonomy/taxondetails?taxnode_id=202317619","Rydonovirus arvicola")</f>
        <v>Rydonovirus arvicola</v>
      </c>
      <c r="S11275" s="18" t="s">
        <v>30</v>
      </c>
      <c r="T11275" s="18" t="s">
        <v>46058</v>
      </c>
      <c r="U11275" s="18"/>
      <c r="V11275" s="18"/>
      <c r="W11275" s="18" t="s">
        <v>46059</v>
      </c>
      <c r="X11275" s="18" t="s">
        <v>35</v>
      </c>
      <c r="Y11275" s="18" t="s">
        <v>17171</v>
      </c>
      <c r="Z11275" s="18" t="s">
        <v>24637</v>
      </c>
      <c r="AA11275" s="21" t="str">
        <f>HYPERLINK("https://www.ncbi.nlm.nih.gov/nuccore/CASDWV010003185","NCBI Nucleotide")</f>
        <v>NCBI Nucleotide</v>
      </c>
    </row>
    <row r="11276" spans="1:27" x14ac:dyDescent="0.35">
      <c r="A11276">
        <v>1026401</v>
      </c>
      <c r="B11276">
        <v>10601</v>
      </c>
      <c r="C11276">
        <v>1</v>
      </c>
      <c r="D11276" s="17" t="s">
        <v>17166</v>
      </c>
      <c r="E11276" s="17"/>
      <c r="F11276" s="17" t="s">
        <v>17246</v>
      </c>
      <c r="G11276" s="17"/>
      <c r="H11276" s="17" t="s">
        <v>20919</v>
      </c>
      <c r="I11276" s="17"/>
      <c r="J11276" s="17" t="s">
        <v>21313</v>
      </c>
      <c r="K11276" s="17"/>
      <c r="L11276" s="17" t="s">
        <v>22378</v>
      </c>
      <c r="M11276" s="17"/>
      <c r="N11276" s="17" t="s">
        <v>22459</v>
      </c>
      <c r="O11276" s="17"/>
      <c r="P11276" s="17" t="s">
        <v>46057</v>
      </c>
      <c r="Q11276" s="17"/>
      <c r="R11276" s="25" t="str">
        <f>HYPERLINK("https://ictv.global/taxonomy/taxondetails?taxnode_id=202317620","Rydonovirus chthonocola")</f>
        <v>Rydonovirus chthonocola</v>
      </c>
      <c r="S11276" s="18" t="s">
        <v>30</v>
      </c>
      <c r="T11276" s="18" t="s">
        <v>46060</v>
      </c>
      <c r="U11276" s="18"/>
      <c r="V11276" s="18"/>
      <c r="W11276" s="18" t="s">
        <v>46061</v>
      </c>
      <c r="X11276" s="18" t="s">
        <v>35</v>
      </c>
      <c r="Y11276" s="18" t="s">
        <v>17171</v>
      </c>
      <c r="Z11276" s="18" t="s">
        <v>24637</v>
      </c>
      <c r="AA11276" s="21" t="str">
        <f>HYPERLINK("https://www.ncbi.nlm.nih.gov/nuccore/CASDWV010001728","NCBI Nucleotide")</f>
        <v>NCBI Nucleotide</v>
      </c>
    </row>
    <row r="11277" spans="1:27" x14ac:dyDescent="0.35">
      <c r="A11277">
        <v>1026402</v>
      </c>
      <c r="B11277">
        <v>10602</v>
      </c>
      <c r="C11277">
        <v>1</v>
      </c>
      <c r="D11277" s="17" t="s">
        <v>17166</v>
      </c>
      <c r="E11277" s="17"/>
      <c r="F11277" s="17" t="s">
        <v>17246</v>
      </c>
      <c r="G11277" s="17"/>
      <c r="H11277" s="17" t="s">
        <v>20919</v>
      </c>
      <c r="I11277" s="17"/>
      <c r="J11277" s="17" t="s">
        <v>21313</v>
      </c>
      <c r="K11277" s="17"/>
      <c r="L11277" s="17" t="s">
        <v>22378</v>
      </c>
      <c r="M11277" s="17"/>
      <c r="N11277" s="17" t="s">
        <v>22459</v>
      </c>
      <c r="O11277" s="17"/>
      <c r="P11277" s="17" t="s">
        <v>46057</v>
      </c>
      <c r="Q11277" s="17"/>
      <c r="R11277" s="25" t="str">
        <f>HYPERLINK("https://ictv.global/taxonomy/taxondetails?taxnode_id=202317621","Rydonovirus geovivens")</f>
        <v>Rydonovirus geovivens</v>
      </c>
      <c r="S11277" s="18" t="s">
        <v>30</v>
      </c>
      <c r="T11277" s="18" t="s">
        <v>46062</v>
      </c>
      <c r="U11277" s="18"/>
      <c r="V11277" s="18"/>
      <c r="W11277" s="18" t="s">
        <v>46063</v>
      </c>
      <c r="X11277" s="18" t="s">
        <v>35</v>
      </c>
      <c r="Y11277" s="18" t="s">
        <v>17171</v>
      </c>
      <c r="Z11277" s="18" t="s">
        <v>24637</v>
      </c>
      <c r="AA11277" s="21" t="str">
        <f>HYPERLINK("https://www.ncbi.nlm.nih.gov/nuccore/CASDWV010001495","NCBI Nucleotide")</f>
        <v>NCBI Nucleotide</v>
      </c>
    </row>
    <row r="11278" spans="1:27" x14ac:dyDescent="0.35">
      <c r="A11278">
        <v>1026403</v>
      </c>
      <c r="B11278">
        <v>10603</v>
      </c>
      <c r="C11278">
        <v>1</v>
      </c>
      <c r="D11278" s="17" t="s">
        <v>17166</v>
      </c>
      <c r="E11278" s="17"/>
      <c r="F11278" s="17" t="s">
        <v>17246</v>
      </c>
      <c r="G11278" s="17"/>
      <c r="H11278" s="17" t="s">
        <v>20919</v>
      </c>
      <c r="I11278" s="17"/>
      <c r="J11278" s="17" t="s">
        <v>21313</v>
      </c>
      <c r="K11278" s="17"/>
      <c r="L11278" s="17" t="s">
        <v>22378</v>
      </c>
      <c r="M11278" s="17"/>
      <c r="N11278" s="17" t="s">
        <v>22459</v>
      </c>
      <c r="O11278" s="17"/>
      <c r="P11278" s="17" t="s">
        <v>46057</v>
      </c>
      <c r="Q11278" s="17"/>
      <c r="R11278" s="25" t="str">
        <f>HYPERLINK("https://ictv.global/taxonomy/taxondetails?taxnode_id=202317622","Rydonovirus limivicinum")</f>
        <v>Rydonovirus limivicinum</v>
      </c>
      <c r="S11278" s="18" t="s">
        <v>30</v>
      </c>
      <c r="T11278" s="18" t="s">
        <v>46064</v>
      </c>
      <c r="U11278" s="18"/>
      <c r="V11278" s="18"/>
      <c r="W11278" s="18" t="s">
        <v>46065</v>
      </c>
      <c r="X11278" s="18" t="s">
        <v>35</v>
      </c>
      <c r="Y11278" s="18" t="s">
        <v>17171</v>
      </c>
      <c r="Z11278" s="18" t="s">
        <v>24637</v>
      </c>
      <c r="AA11278" s="21" t="str">
        <f>HYPERLINK("https://www.ncbi.nlm.nih.gov/nuccore/CASDWV010003159","NCBI Nucleotide")</f>
        <v>NCBI Nucleotide</v>
      </c>
    </row>
    <row r="11279" spans="1:27" x14ac:dyDescent="0.35">
      <c r="A11279">
        <v>1026404</v>
      </c>
      <c r="B11279">
        <v>10604</v>
      </c>
      <c r="C11279">
        <v>1</v>
      </c>
      <c r="D11279" s="17" t="s">
        <v>17166</v>
      </c>
      <c r="E11279" s="17"/>
      <c r="F11279" s="17" t="s">
        <v>17246</v>
      </c>
      <c r="G11279" s="17"/>
      <c r="H11279" s="17" t="s">
        <v>20919</v>
      </c>
      <c r="I11279" s="17"/>
      <c r="J11279" s="17" t="s">
        <v>21313</v>
      </c>
      <c r="K11279" s="17"/>
      <c r="L11279" s="17" t="s">
        <v>22378</v>
      </c>
      <c r="M11279" s="17"/>
      <c r="N11279" s="17" t="s">
        <v>22459</v>
      </c>
      <c r="O11279" s="17"/>
      <c r="P11279" s="17" t="s">
        <v>46057</v>
      </c>
      <c r="Q11279" s="17"/>
      <c r="R11279" s="25" t="str">
        <f>HYPERLINK("https://ictv.global/taxonomy/taxondetails?taxnode_id=202317623","Rydonovirus montiscola")</f>
        <v>Rydonovirus montiscola</v>
      </c>
      <c r="S11279" s="18" t="s">
        <v>30</v>
      </c>
      <c r="T11279" s="18" t="s">
        <v>46066</v>
      </c>
      <c r="U11279" s="18"/>
      <c r="V11279" s="18" t="s">
        <v>46066</v>
      </c>
      <c r="W11279" s="18" t="s">
        <v>46067</v>
      </c>
      <c r="X11279" s="18" t="s">
        <v>35</v>
      </c>
      <c r="Y11279" s="18" t="s">
        <v>17171</v>
      </c>
      <c r="Z11279" s="18" t="s">
        <v>24637</v>
      </c>
      <c r="AA11279" s="21" t="str">
        <f>HYPERLINK("https://www.ncbi.nlm.nih.gov/nuccore/MZ679576","NCBI Nucleotide")</f>
        <v>NCBI Nucleotide</v>
      </c>
    </row>
    <row r="11280" spans="1:27" x14ac:dyDescent="0.35">
      <c r="A11280">
        <v>1026405</v>
      </c>
      <c r="B11280">
        <v>10605</v>
      </c>
      <c r="C11280">
        <v>1</v>
      </c>
      <c r="D11280" s="17" t="s">
        <v>17166</v>
      </c>
      <c r="E11280" s="17"/>
      <c r="F11280" s="17" t="s">
        <v>17246</v>
      </c>
      <c r="G11280" s="17"/>
      <c r="H11280" s="17" t="s">
        <v>20919</v>
      </c>
      <c r="I11280" s="17"/>
      <c r="J11280" s="17" t="s">
        <v>21313</v>
      </c>
      <c r="K11280" s="17"/>
      <c r="L11280" s="17" t="s">
        <v>22378</v>
      </c>
      <c r="M11280" s="17"/>
      <c r="N11280" s="17" t="s">
        <v>22459</v>
      </c>
      <c r="O11280" s="17"/>
      <c r="P11280" s="17" t="s">
        <v>46057</v>
      </c>
      <c r="Q11280" s="17"/>
      <c r="R11280" s="25" t="str">
        <f>HYPERLINK("https://ictv.global/taxonomy/taxondetails?taxnode_id=202317624","Rydonovirus tellurenecus")</f>
        <v>Rydonovirus tellurenecus</v>
      </c>
      <c r="S11280" s="18" t="s">
        <v>30</v>
      </c>
      <c r="T11280" s="18" t="s">
        <v>46068</v>
      </c>
      <c r="U11280" s="18"/>
      <c r="V11280" s="18"/>
      <c r="W11280" s="18" t="s">
        <v>46069</v>
      </c>
      <c r="X11280" s="18" t="s">
        <v>35</v>
      </c>
      <c r="Y11280" s="18" t="s">
        <v>17171</v>
      </c>
      <c r="Z11280" s="18" t="s">
        <v>24637</v>
      </c>
      <c r="AA11280" s="21" t="str">
        <f>HYPERLINK("https://www.ncbi.nlm.nih.gov/nuccore/CASDWV010004564","NCBI Nucleotide")</f>
        <v>NCBI Nucleotide</v>
      </c>
    </row>
    <row r="11281" spans="1:27" x14ac:dyDescent="0.35">
      <c r="A11281">
        <v>1026406</v>
      </c>
      <c r="B11281">
        <v>10606</v>
      </c>
      <c r="C11281">
        <v>1</v>
      </c>
      <c r="D11281" s="17" t="s">
        <v>17166</v>
      </c>
      <c r="E11281" s="17"/>
      <c r="F11281" s="17" t="s">
        <v>17246</v>
      </c>
      <c r="G11281" s="17"/>
      <c r="H11281" s="17" t="s">
        <v>20919</v>
      </c>
      <c r="I11281" s="17"/>
      <c r="J11281" s="17" t="s">
        <v>21313</v>
      </c>
      <c r="K11281" s="17"/>
      <c r="L11281" s="17" t="s">
        <v>22378</v>
      </c>
      <c r="M11281" s="17"/>
      <c r="N11281" s="17" t="s">
        <v>22459</v>
      </c>
      <c r="O11281" s="17"/>
      <c r="P11281" s="17" t="s">
        <v>46057</v>
      </c>
      <c r="Q11281" s="17"/>
      <c r="R11281" s="25" t="str">
        <f>HYPERLINK("https://ictv.global/taxonomy/taxondetails?taxnode_id=202317625","Rydonovirus tellurivicinum")</f>
        <v>Rydonovirus tellurivicinum</v>
      </c>
      <c r="S11281" s="18" t="s">
        <v>30</v>
      </c>
      <c r="T11281" s="18" t="s">
        <v>46070</v>
      </c>
      <c r="U11281" s="18"/>
      <c r="V11281" s="18"/>
      <c r="W11281" s="18" t="s">
        <v>46071</v>
      </c>
      <c r="X11281" s="18" t="s">
        <v>35</v>
      </c>
      <c r="Y11281" s="18" t="s">
        <v>17171</v>
      </c>
      <c r="Z11281" s="18" t="s">
        <v>24637</v>
      </c>
      <c r="AA11281" s="21" t="str">
        <f>HYPERLINK("https://www.ncbi.nlm.nih.gov/nuccore/CASDWV010001251","NCBI Nucleotide")</f>
        <v>NCBI Nucleotide</v>
      </c>
    </row>
    <row r="11282" spans="1:27" x14ac:dyDescent="0.35">
      <c r="A11282">
        <v>1026408</v>
      </c>
      <c r="B11282">
        <v>10607</v>
      </c>
      <c r="C11282">
        <v>1</v>
      </c>
      <c r="D11282" s="17" t="s">
        <v>17166</v>
      </c>
      <c r="E11282" s="17"/>
      <c r="F11282" s="17" t="s">
        <v>17246</v>
      </c>
      <c r="G11282" s="17"/>
      <c r="H11282" s="17" t="s">
        <v>20919</v>
      </c>
      <c r="I11282" s="17"/>
      <c r="J11282" s="17" t="s">
        <v>21313</v>
      </c>
      <c r="K11282" s="17"/>
      <c r="L11282" s="17" t="s">
        <v>22378</v>
      </c>
      <c r="M11282" s="17"/>
      <c r="N11282" s="17" t="s">
        <v>22459</v>
      </c>
      <c r="O11282" s="17"/>
      <c r="P11282" s="17" t="s">
        <v>46072</v>
      </c>
      <c r="Q11282" s="17"/>
      <c r="R11282" s="25" t="str">
        <f>HYPERLINK("https://ictv.global/taxonomy/taxondetails?taxnode_id=202317626","Sahlfavirus nemorisadaptatum")</f>
        <v>Sahlfavirus nemorisadaptatum</v>
      </c>
      <c r="S11282" s="18" t="s">
        <v>30</v>
      </c>
      <c r="T11282" s="18" t="s">
        <v>46073</v>
      </c>
      <c r="U11282" s="18"/>
      <c r="V11282" s="18" t="s">
        <v>46073</v>
      </c>
      <c r="W11282" s="18" t="s">
        <v>46074</v>
      </c>
      <c r="X11282" s="18" t="s">
        <v>35</v>
      </c>
      <c r="Y11282" s="18" t="s">
        <v>17171</v>
      </c>
      <c r="Z11282" s="18" t="s">
        <v>24637</v>
      </c>
      <c r="AA11282" s="21" t="str">
        <f>HYPERLINK("https://www.ncbi.nlm.nih.gov/nuccore/MZ679816","NCBI Nucleotide")</f>
        <v>NCBI Nucleotide</v>
      </c>
    </row>
    <row r="11283" spans="1:27" x14ac:dyDescent="0.35">
      <c r="A11283">
        <v>1026414</v>
      </c>
      <c r="B11283">
        <v>10608</v>
      </c>
      <c r="C11283">
        <v>1</v>
      </c>
      <c r="D11283" s="17" t="s">
        <v>17166</v>
      </c>
      <c r="E11283" s="17"/>
      <c r="F11283" s="17" t="s">
        <v>17246</v>
      </c>
      <c r="G11283" s="17"/>
      <c r="H11283" s="17" t="s">
        <v>20919</v>
      </c>
      <c r="I11283" s="17"/>
      <c r="J11283" s="17" t="s">
        <v>21313</v>
      </c>
      <c r="K11283" s="17"/>
      <c r="L11283" s="17" t="s">
        <v>22378</v>
      </c>
      <c r="M11283" s="17"/>
      <c r="N11283" s="17" t="s">
        <v>22459</v>
      </c>
      <c r="O11283" s="17"/>
      <c r="P11283" s="17" t="s">
        <v>46075</v>
      </c>
      <c r="Q11283" s="17"/>
      <c r="R11283" s="25" t="str">
        <f>HYPERLINK("https://ictv.global/taxonomy/taxondetails?taxnode_id=202317627","Sderotavirus choradaptatum")</f>
        <v>Sderotavirus choradaptatum</v>
      </c>
      <c r="S11283" s="18" t="s">
        <v>30</v>
      </c>
      <c r="T11283" s="18" t="s">
        <v>46076</v>
      </c>
      <c r="U11283" s="18"/>
      <c r="V11283" s="18"/>
      <c r="W11283" s="18" t="s">
        <v>46077</v>
      </c>
      <c r="X11283" s="18" t="s">
        <v>35</v>
      </c>
      <c r="Y11283" s="18" t="s">
        <v>17171</v>
      </c>
      <c r="Z11283" s="18" t="s">
        <v>24637</v>
      </c>
      <c r="AA11283" s="21" t="str">
        <f>HYPERLINK("https://www.ncbi.nlm.nih.gov/nuccore/CASDWV010003776","NCBI Nucleotide")</f>
        <v>NCBI Nucleotide</v>
      </c>
    </row>
    <row r="11284" spans="1:27" x14ac:dyDescent="0.35">
      <c r="A11284">
        <v>1026415</v>
      </c>
      <c r="B11284">
        <v>10609</v>
      </c>
      <c r="C11284">
        <v>1</v>
      </c>
      <c r="D11284" s="17" t="s">
        <v>17166</v>
      </c>
      <c r="E11284" s="17"/>
      <c r="F11284" s="17" t="s">
        <v>17246</v>
      </c>
      <c r="G11284" s="17"/>
      <c r="H11284" s="17" t="s">
        <v>20919</v>
      </c>
      <c r="I11284" s="17"/>
      <c r="J11284" s="17" t="s">
        <v>21313</v>
      </c>
      <c r="K11284" s="17"/>
      <c r="L11284" s="17" t="s">
        <v>22378</v>
      </c>
      <c r="M11284" s="17"/>
      <c r="N11284" s="17" t="s">
        <v>22459</v>
      </c>
      <c r="O11284" s="17"/>
      <c r="P11284" s="17" t="s">
        <v>46075</v>
      </c>
      <c r="Q11284" s="17"/>
      <c r="R11284" s="25" t="str">
        <f>HYPERLINK("https://ictv.global/taxonomy/taxondetails?taxnode_id=202317628","Sderotavirus lutenecus")</f>
        <v>Sderotavirus lutenecus</v>
      </c>
      <c r="S11284" s="18" t="s">
        <v>30</v>
      </c>
      <c r="T11284" s="18" t="s">
        <v>46078</v>
      </c>
      <c r="U11284" s="18"/>
      <c r="V11284" s="18"/>
      <c r="W11284" s="18" t="s">
        <v>46079</v>
      </c>
      <c r="X11284" s="18" t="s">
        <v>35</v>
      </c>
      <c r="Y11284" s="18" t="s">
        <v>17171</v>
      </c>
      <c r="Z11284" s="18" t="s">
        <v>24637</v>
      </c>
      <c r="AA11284" s="21" t="str">
        <f>HYPERLINK("https://www.ncbi.nlm.nih.gov/nuccore/CASDWV010001486","NCBI Nucleotide")</f>
        <v>NCBI Nucleotide</v>
      </c>
    </row>
    <row r="11285" spans="1:27" x14ac:dyDescent="0.35">
      <c r="A11285">
        <v>1026416</v>
      </c>
      <c r="B11285">
        <v>10610</v>
      </c>
      <c r="C11285">
        <v>1</v>
      </c>
      <c r="D11285" s="17" t="s">
        <v>17166</v>
      </c>
      <c r="E11285" s="17"/>
      <c r="F11285" s="17" t="s">
        <v>17246</v>
      </c>
      <c r="G11285" s="17"/>
      <c r="H11285" s="17" t="s">
        <v>20919</v>
      </c>
      <c r="I11285" s="17"/>
      <c r="J11285" s="17" t="s">
        <v>21313</v>
      </c>
      <c r="K11285" s="17"/>
      <c r="L11285" s="17" t="s">
        <v>22378</v>
      </c>
      <c r="M11285" s="17"/>
      <c r="N11285" s="17" t="s">
        <v>22459</v>
      </c>
      <c r="O11285" s="17"/>
      <c r="P11285" s="17" t="s">
        <v>46075</v>
      </c>
      <c r="Q11285" s="17"/>
      <c r="R11285" s="25" t="str">
        <f>HYPERLINK("https://ictv.global/taxonomy/taxondetails?taxnode_id=202317629","Sderotavirus pelocola")</f>
        <v>Sderotavirus pelocola</v>
      </c>
      <c r="S11285" s="18" t="s">
        <v>30</v>
      </c>
      <c r="T11285" s="18" t="s">
        <v>46080</v>
      </c>
      <c r="U11285" s="18"/>
      <c r="V11285" s="18"/>
      <c r="W11285" s="18" t="s">
        <v>46081</v>
      </c>
      <c r="X11285" s="18" t="s">
        <v>35</v>
      </c>
      <c r="Y11285" s="18" t="s">
        <v>17171</v>
      </c>
      <c r="Z11285" s="18" t="s">
        <v>24637</v>
      </c>
      <c r="AA11285" s="21" t="str">
        <f>HYPERLINK("https://www.ncbi.nlm.nih.gov/nuccore/CASDWV010000421","NCBI Nucleotide")</f>
        <v>NCBI Nucleotide</v>
      </c>
    </row>
    <row r="11286" spans="1:27" x14ac:dyDescent="0.35">
      <c r="A11286">
        <v>1026424</v>
      </c>
      <c r="B11286">
        <v>10611</v>
      </c>
      <c r="C11286">
        <v>1</v>
      </c>
      <c r="D11286" s="17" t="s">
        <v>17166</v>
      </c>
      <c r="E11286" s="17"/>
      <c r="F11286" s="17" t="s">
        <v>17246</v>
      </c>
      <c r="G11286" s="17"/>
      <c r="H11286" s="17" t="s">
        <v>20919</v>
      </c>
      <c r="I11286" s="17"/>
      <c r="J11286" s="17" t="s">
        <v>21313</v>
      </c>
      <c r="K11286" s="17"/>
      <c r="L11286" s="17" t="s">
        <v>22378</v>
      </c>
      <c r="M11286" s="17"/>
      <c r="N11286" s="17" t="s">
        <v>22459</v>
      </c>
      <c r="O11286" s="17"/>
      <c r="P11286" s="17" t="s">
        <v>46082</v>
      </c>
      <c r="Q11286" s="17"/>
      <c r="R11286" s="25" t="str">
        <f>HYPERLINK("https://ictv.global/taxonomy/taxondetails?taxnode_id=202317630","Sdrodtuvirus arvivicinum")</f>
        <v>Sdrodtuvirus arvivicinum</v>
      </c>
      <c r="S11286" s="18" t="s">
        <v>30</v>
      </c>
      <c r="T11286" s="18" t="s">
        <v>46083</v>
      </c>
      <c r="U11286" s="18"/>
      <c r="V11286" s="18"/>
      <c r="W11286" s="18" t="s">
        <v>46084</v>
      </c>
      <c r="X11286" s="18" t="s">
        <v>35</v>
      </c>
      <c r="Y11286" s="18" t="s">
        <v>17171</v>
      </c>
      <c r="Z11286" s="18" t="s">
        <v>24637</v>
      </c>
      <c r="AA11286" s="21" t="str">
        <f>HYPERLINK("https://www.ncbi.nlm.nih.gov/nuccore/CASDWV010003906","NCBI Nucleotide")</f>
        <v>NCBI Nucleotide</v>
      </c>
    </row>
    <row r="11287" spans="1:27" x14ac:dyDescent="0.35">
      <c r="A11287">
        <v>1026426</v>
      </c>
      <c r="B11287">
        <v>10612</v>
      </c>
      <c r="C11287">
        <v>1</v>
      </c>
      <c r="D11287" s="17" t="s">
        <v>17166</v>
      </c>
      <c r="E11287" s="17"/>
      <c r="F11287" s="17" t="s">
        <v>17246</v>
      </c>
      <c r="G11287" s="17"/>
      <c r="H11287" s="17" t="s">
        <v>20919</v>
      </c>
      <c r="I11287" s="17"/>
      <c r="J11287" s="17" t="s">
        <v>21313</v>
      </c>
      <c r="K11287" s="17"/>
      <c r="L11287" s="17" t="s">
        <v>22378</v>
      </c>
      <c r="M11287" s="17"/>
      <c r="N11287" s="17" t="s">
        <v>22459</v>
      </c>
      <c r="O11287" s="17"/>
      <c r="P11287" s="17" t="s">
        <v>46085</v>
      </c>
      <c r="Q11287" s="17"/>
      <c r="R11287" s="25" t="str">
        <f>HYPERLINK("https://ictv.global/taxonomy/taxondetails?taxnode_id=202317631","Sehcuvirus messivicinum")</f>
        <v>Sehcuvirus messivicinum</v>
      </c>
      <c r="S11287" s="18" t="s">
        <v>30</v>
      </c>
      <c r="T11287" s="18" t="s">
        <v>46086</v>
      </c>
      <c r="U11287" s="18"/>
      <c r="V11287" s="18"/>
      <c r="W11287" s="18" t="s">
        <v>46087</v>
      </c>
      <c r="X11287" s="18" t="s">
        <v>35</v>
      </c>
      <c r="Y11287" s="18" t="s">
        <v>17171</v>
      </c>
      <c r="Z11287" s="18" t="s">
        <v>24637</v>
      </c>
      <c r="AA11287" s="21" t="str">
        <f>HYPERLINK("https://www.ncbi.nlm.nih.gov/nuccore/CASDWV010001855","NCBI Nucleotide")</f>
        <v>NCBI Nucleotide</v>
      </c>
    </row>
    <row r="11288" spans="1:27" x14ac:dyDescent="0.35">
      <c r="A11288">
        <v>1026429</v>
      </c>
      <c r="B11288">
        <v>10613</v>
      </c>
      <c r="C11288">
        <v>1</v>
      </c>
      <c r="D11288" s="17" t="s">
        <v>17166</v>
      </c>
      <c r="E11288" s="17"/>
      <c r="F11288" s="17" t="s">
        <v>17246</v>
      </c>
      <c r="G11288" s="17"/>
      <c r="H11288" s="17" t="s">
        <v>20919</v>
      </c>
      <c r="I11288" s="17"/>
      <c r="J11288" s="17" t="s">
        <v>21313</v>
      </c>
      <c r="K11288" s="17"/>
      <c r="L11288" s="17" t="s">
        <v>22378</v>
      </c>
      <c r="M11288" s="17"/>
      <c r="N11288" s="17" t="s">
        <v>22459</v>
      </c>
      <c r="O11288" s="17"/>
      <c r="P11288" s="17" t="s">
        <v>46088</v>
      </c>
      <c r="Q11288" s="17"/>
      <c r="R11288" s="25" t="str">
        <f>HYPERLINK("https://ictv.global/taxonomy/taxondetails?taxnode_id=202317632","Sempoevirus messivivens")</f>
        <v>Sempoevirus messivivens</v>
      </c>
      <c r="S11288" s="18" t="s">
        <v>30</v>
      </c>
      <c r="T11288" s="18" t="s">
        <v>46089</v>
      </c>
      <c r="U11288" s="18"/>
      <c r="V11288" s="18"/>
      <c r="W11288" s="18" t="s">
        <v>46090</v>
      </c>
      <c r="X11288" s="18" t="s">
        <v>35</v>
      </c>
      <c r="Y11288" s="18" t="s">
        <v>17171</v>
      </c>
      <c r="Z11288" s="18" t="s">
        <v>24637</v>
      </c>
      <c r="AA11288" s="21" t="str">
        <f>HYPERLINK("https://www.ncbi.nlm.nih.gov/nuccore/CASDWV010004568","NCBI Nucleotide")</f>
        <v>NCBI Nucleotide</v>
      </c>
    </row>
    <row r="11289" spans="1:27" x14ac:dyDescent="0.35">
      <c r="A11289">
        <v>1026433</v>
      </c>
      <c r="B11289">
        <v>10614</v>
      </c>
      <c r="C11289">
        <v>1</v>
      </c>
      <c r="D11289" s="17" t="s">
        <v>17166</v>
      </c>
      <c r="E11289" s="17"/>
      <c r="F11289" s="17" t="s">
        <v>17246</v>
      </c>
      <c r="G11289" s="17"/>
      <c r="H11289" s="17" t="s">
        <v>20919</v>
      </c>
      <c r="I11289" s="17"/>
      <c r="J11289" s="17" t="s">
        <v>21313</v>
      </c>
      <c r="K11289" s="17"/>
      <c r="L11289" s="17" t="s">
        <v>22378</v>
      </c>
      <c r="M11289" s="17"/>
      <c r="N11289" s="17" t="s">
        <v>22459</v>
      </c>
      <c r="O11289" s="17"/>
      <c r="P11289" s="17" t="s">
        <v>46091</v>
      </c>
      <c r="Q11289" s="17"/>
      <c r="R11289" s="25" t="str">
        <f>HYPERLINK("https://ictv.global/taxonomy/taxondetails?taxnode_id=202317633","Setdovirus faecicola")</f>
        <v>Setdovirus faecicola</v>
      </c>
      <c r="S11289" s="18" t="s">
        <v>30</v>
      </c>
      <c r="T11289" s="18" t="s">
        <v>46092</v>
      </c>
      <c r="U11289" s="18"/>
      <c r="V11289" s="18" t="s">
        <v>46092</v>
      </c>
      <c r="W11289" s="18" t="s">
        <v>46093</v>
      </c>
      <c r="X11289" s="18" t="s">
        <v>35</v>
      </c>
      <c r="Y11289" s="18" t="s">
        <v>17171</v>
      </c>
      <c r="Z11289" s="18" t="s">
        <v>24637</v>
      </c>
      <c r="AA11289" s="21" t="str">
        <f>HYPERLINK("https://www.ncbi.nlm.nih.gov/nuccore/MZ679579","NCBI Nucleotide")</f>
        <v>NCBI Nucleotide</v>
      </c>
    </row>
    <row r="11290" spans="1:27" x14ac:dyDescent="0.35">
      <c r="A11290">
        <v>1026374</v>
      </c>
      <c r="B11290">
        <v>10615</v>
      </c>
      <c r="C11290">
        <v>1</v>
      </c>
      <c r="D11290" s="17" t="s">
        <v>17166</v>
      </c>
      <c r="E11290" s="17"/>
      <c r="F11290" s="17" t="s">
        <v>17246</v>
      </c>
      <c r="G11290" s="17"/>
      <c r="H11290" s="17" t="s">
        <v>20919</v>
      </c>
      <c r="I11290" s="17"/>
      <c r="J11290" s="17" t="s">
        <v>21313</v>
      </c>
      <c r="K11290" s="17"/>
      <c r="L11290" s="17" t="s">
        <v>22378</v>
      </c>
      <c r="M11290" s="17"/>
      <c r="N11290" s="17" t="s">
        <v>22459</v>
      </c>
      <c r="O11290" s="17"/>
      <c r="P11290" s="17" t="s">
        <v>46094</v>
      </c>
      <c r="Q11290" s="17"/>
      <c r="R11290" s="25" t="str">
        <f>HYPERLINK("https://ictv.global/taxonomy/taxondetails?taxnode_id=202317634","Shiltuvirus faecivicinum")</f>
        <v>Shiltuvirus faecivicinum</v>
      </c>
      <c r="S11290" s="18" t="s">
        <v>30</v>
      </c>
      <c r="T11290" s="18" t="s">
        <v>46095</v>
      </c>
      <c r="U11290" s="18"/>
      <c r="V11290" s="18" t="s">
        <v>46095</v>
      </c>
      <c r="W11290" s="18" t="s">
        <v>46096</v>
      </c>
      <c r="X11290" s="18" t="s">
        <v>35</v>
      </c>
      <c r="Y11290" s="18" t="s">
        <v>17171</v>
      </c>
      <c r="Z11290" s="18" t="s">
        <v>24637</v>
      </c>
      <c r="AA11290" s="21" t="str">
        <f>HYPERLINK("https://www.ncbi.nlm.nih.gov/nuccore/MZ679803","NCBI Nucleotide")</f>
        <v>NCBI Nucleotide</v>
      </c>
    </row>
    <row r="11291" spans="1:27" x14ac:dyDescent="0.35">
      <c r="A11291">
        <v>1026360</v>
      </c>
      <c r="B11291">
        <v>10616</v>
      </c>
      <c r="C11291">
        <v>1</v>
      </c>
      <c r="D11291" s="17" t="s">
        <v>17166</v>
      </c>
      <c r="E11291" s="17"/>
      <c r="F11291" s="17" t="s">
        <v>17246</v>
      </c>
      <c r="G11291" s="17"/>
      <c r="H11291" s="17" t="s">
        <v>20919</v>
      </c>
      <c r="I11291" s="17"/>
      <c r="J11291" s="17" t="s">
        <v>21313</v>
      </c>
      <c r="K11291" s="17"/>
      <c r="L11291" s="17" t="s">
        <v>22378</v>
      </c>
      <c r="M11291" s="17"/>
      <c r="N11291" s="17" t="s">
        <v>22459</v>
      </c>
      <c r="O11291" s="17"/>
      <c r="P11291" s="17" t="s">
        <v>46097</v>
      </c>
      <c r="Q11291" s="17"/>
      <c r="R11291" s="25" t="str">
        <f>HYPERLINK("https://ictv.global/taxonomy/taxondetails?taxnode_id=202317635","Shrewlevirus lutivivens")</f>
        <v>Shrewlevirus lutivivens</v>
      </c>
      <c r="S11291" s="18" t="s">
        <v>30</v>
      </c>
      <c r="T11291" s="18" t="s">
        <v>46098</v>
      </c>
      <c r="U11291" s="18"/>
      <c r="V11291" s="18"/>
      <c r="W11291" s="18" t="s">
        <v>46099</v>
      </c>
      <c r="X11291" s="18" t="s">
        <v>35</v>
      </c>
      <c r="Y11291" s="18" t="s">
        <v>17171</v>
      </c>
      <c r="Z11291" s="18" t="s">
        <v>24637</v>
      </c>
      <c r="AA11291" s="21" t="str">
        <f>HYPERLINK("https://www.ncbi.nlm.nih.gov/nuccore/CASDWV010002754","NCBI Nucleotide")</f>
        <v>NCBI Nucleotide</v>
      </c>
    </row>
    <row r="11292" spans="1:27" x14ac:dyDescent="0.35">
      <c r="A11292">
        <v>1010163</v>
      </c>
      <c r="B11292">
        <v>10617</v>
      </c>
      <c r="C11292">
        <v>1</v>
      </c>
      <c r="D11292" s="17" t="s">
        <v>17166</v>
      </c>
      <c r="E11292" s="17"/>
      <c r="F11292" s="17" t="s">
        <v>17246</v>
      </c>
      <c r="G11292" s="17"/>
      <c r="H11292" s="17" t="s">
        <v>20919</v>
      </c>
      <c r="I11292" s="17"/>
      <c r="J11292" s="17" t="s">
        <v>21313</v>
      </c>
      <c r="K11292" s="17"/>
      <c r="L11292" s="17" t="s">
        <v>22378</v>
      </c>
      <c r="M11292" s="17"/>
      <c r="N11292" s="17" t="s">
        <v>22459</v>
      </c>
      <c r="O11292" s="17"/>
      <c r="P11292" s="17" t="s">
        <v>23175</v>
      </c>
      <c r="Q11292" s="17"/>
      <c r="R11292" s="25" t="str">
        <f>HYPERLINK("https://ictv.global/taxonomy/taxondetails?taxnode_id=202311423","Sidiruavirus agrenecus")</f>
        <v>Sidiruavirus agrenecus</v>
      </c>
      <c r="S11292" s="18" t="s">
        <v>30</v>
      </c>
      <c r="T11292" s="18" t="s">
        <v>23176</v>
      </c>
      <c r="U11292" s="18"/>
      <c r="V11292" s="18"/>
      <c r="W11292" s="18" t="s">
        <v>23177</v>
      </c>
      <c r="X11292" s="18" t="s">
        <v>35</v>
      </c>
      <c r="Y11292" s="18" t="s">
        <v>17171</v>
      </c>
      <c r="Z11292" s="18" t="s">
        <v>697</v>
      </c>
      <c r="AA11292" s="21" t="str">
        <f>HYPERLINK("https://www.ncbi.nlm.nih.gov/nuccore/BK013439","NCBI Nucleotide")</f>
        <v>NCBI Nucleotide</v>
      </c>
    </row>
    <row r="11293" spans="1:27" x14ac:dyDescent="0.35">
      <c r="A11293">
        <v>1010165</v>
      </c>
      <c r="B11293">
        <v>10618</v>
      </c>
      <c r="C11293">
        <v>1</v>
      </c>
      <c r="D11293" s="17" t="s">
        <v>17166</v>
      </c>
      <c r="E11293" s="17"/>
      <c r="F11293" s="17" t="s">
        <v>17246</v>
      </c>
      <c r="G11293" s="17"/>
      <c r="H11293" s="17" t="s">
        <v>20919</v>
      </c>
      <c r="I11293" s="17"/>
      <c r="J11293" s="17" t="s">
        <v>21313</v>
      </c>
      <c r="K11293" s="17"/>
      <c r="L11293" s="17" t="s">
        <v>22378</v>
      </c>
      <c r="M11293" s="17"/>
      <c r="N11293" s="17" t="s">
        <v>22459</v>
      </c>
      <c r="O11293" s="17"/>
      <c r="P11293" s="17" t="s">
        <v>23180</v>
      </c>
      <c r="Q11293" s="17"/>
      <c r="R11293" s="25" t="str">
        <f>HYPERLINK("https://ictv.global/taxonomy/taxondetails?taxnode_id=202311427","Sperdavirus luticola")</f>
        <v>Sperdavirus luticola</v>
      </c>
      <c r="S11293" s="18" t="s">
        <v>30</v>
      </c>
      <c r="T11293" s="18" t="s">
        <v>23181</v>
      </c>
      <c r="U11293" s="18"/>
      <c r="V11293" s="18"/>
      <c r="W11293" s="18" t="s">
        <v>23182</v>
      </c>
      <c r="X11293" s="18" t="s">
        <v>35</v>
      </c>
      <c r="Y11293" s="18" t="s">
        <v>17171</v>
      </c>
      <c r="Z11293" s="18" t="s">
        <v>697</v>
      </c>
      <c r="AA11293" s="21" t="str">
        <f>HYPERLINK("https://www.ncbi.nlm.nih.gov/nuccore/BK013666","NCBI Nucleotide")</f>
        <v>NCBI Nucleotide</v>
      </c>
    </row>
    <row r="11294" spans="1:27" x14ac:dyDescent="0.35">
      <c r="A11294">
        <v>1010169</v>
      </c>
      <c r="B11294">
        <v>10619</v>
      </c>
      <c r="C11294">
        <v>1</v>
      </c>
      <c r="D11294" s="17" t="s">
        <v>17166</v>
      </c>
      <c r="E11294" s="17"/>
      <c r="F11294" s="17" t="s">
        <v>17246</v>
      </c>
      <c r="G11294" s="17"/>
      <c r="H11294" s="17" t="s">
        <v>20919</v>
      </c>
      <c r="I11294" s="17"/>
      <c r="J11294" s="17" t="s">
        <v>21313</v>
      </c>
      <c r="K11294" s="17"/>
      <c r="L11294" s="17" t="s">
        <v>22378</v>
      </c>
      <c r="M11294" s="17"/>
      <c r="N11294" s="17" t="s">
        <v>22459</v>
      </c>
      <c r="O11294" s="17"/>
      <c r="P11294" s="17" t="s">
        <v>23183</v>
      </c>
      <c r="Q11294" s="17"/>
      <c r="R11294" s="25" t="str">
        <f>HYPERLINK("https://ictv.global/taxonomy/taxondetails?taxnode_id=202311431","Stehnavirus lutivicinum")</f>
        <v>Stehnavirus lutivicinum</v>
      </c>
      <c r="S11294" s="18" t="s">
        <v>30</v>
      </c>
      <c r="T11294" s="18" t="s">
        <v>23184</v>
      </c>
      <c r="U11294" s="18"/>
      <c r="V11294" s="18"/>
      <c r="W11294" s="18" t="s">
        <v>23185</v>
      </c>
      <c r="X11294" s="18" t="s">
        <v>35</v>
      </c>
      <c r="Y11294" s="18" t="s">
        <v>17171</v>
      </c>
      <c r="Z11294" s="18" t="s">
        <v>697</v>
      </c>
      <c r="AA11294" s="21" t="str">
        <f>HYPERLINK("https://www.ncbi.nlm.nih.gov/nuccore/BK013678","NCBI Nucleotide")</f>
        <v>NCBI Nucleotide</v>
      </c>
    </row>
    <row r="11295" spans="1:27" x14ac:dyDescent="0.35">
      <c r="A11295">
        <v>1026342</v>
      </c>
      <c r="B11295">
        <v>10620</v>
      </c>
      <c r="C11295">
        <v>1</v>
      </c>
      <c r="D11295" s="17" t="s">
        <v>17166</v>
      </c>
      <c r="E11295" s="17"/>
      <c r="F11295" s="17" t="s">
        <v>17246</v>
      </c>
      <c r="G11295" s="17"/>
      <c r="H11295" s="17" t="s">
        <v>20919</v>
      </c>
      <c r="I11295" s="17"/>
      <c r="J11295" s="17" t="s">
        <v>21313</v>
      </c>
      <c r="K11295" s="17"/>
      <c r="L11295" s="17" t="s">
        <v>22378</v>
      </c>
      <c r="M11295" s="17"/>
      <c r="N11295" s="17" t="s">
        <v>22459</v>
      </c>
      <c r="O11295" s="17"/>
      <c r="P11295" s="17" t="s">
        <v>23183</v>
      </c>
      <c r="Q11295" s="17"/>
      <c r="R11295" s="25" t="str">
        <f>HYPERLINK("https://ictv.global/taxonomy/taxondetails?taxnode_id=202317636","Stehnavirus terricola")</f>
        <v>Stehnavirus terricola</v>
      </c>
      <c r="S11295" s="18" t="s">
        <v>30</v>
      </c>
      <c r="T11295" s="18" t="s">
        <v>46100</v>
      </c>
      <c r="U11295" s="18"/>
      <c r="V11295" s="18"/>
      <c r="W11295" s="18" t="s">
        <v>46101</v>
      </c>
      <c r="X11295" s="18" t="s">
        <v>35</v>
      </c>
      <c r="Y11295" s="18" t="s">
        <v>17171</v>
      </c>
      <c r="Z11295" s="18" t="s">
        <v>24637</v>
      </c>
      <c r="AA11295" s="21" t="str">
        <f>HYPERLINK("https://www.ncbi.nlm.nih.gov/nuccore/CASDWV010000209","NCBI Nucleotide")</f>
        <v>NCBI Nucleotide</v>
      </c>
    </row>
    <row r="11296" spans="1:27" x14ac:dyDescent="0.35">
      <c r="A11296">
        <v>1026336</v>
      </c>
      <c r="B11296">
        <v>10621</v>
      </c>
      <c r="C11296">
        <v>1</v>
      </c>
      <c r="D11296" s="17" t="s">
        <v>17166</v>
      </c>
      <c r="E11296" s="17"/>
      <c r="F11296" s="17" t="s">
        <v>17246</v>
      </c>
      <c r="G11296" s="17"/>
      <c r="H11296" s="17" t="s">
        <v>20919</v>
      </c>
      <c r="I11296" s="17"/>
      <c r="J11296" s="17" t="s">
        <v>21313</v>
      </c>
      <c r="K11296" s="17"/>
      <c r="L11296" s="17" t="s">
        <v>22378</v>
      </c>
      <c r="M11296" s="17"/>
      <c r="N11296" s="17" t="s">
        <v>22459</v>
      </c>
      <c r="O11296" s="17"/>
      <c r="P11296" s="17" t="s">
        <v>46102</v>
      </c>
      <c r="Q11296" s="17"/>
      <c r="R11296" s="25" t="str">
        <f>HYPERLINK("https://ictv.global/taxonomy/taxondetails?taxnode_id=202317637","Stonedovirus messivicinum")</f>
        <v>Stonedovirus messivicinum</v>
      </c>
      <c r="S11296" s="18" t="s">
        <v>30</v>
      </c>
      <c r="T11296" s="18" t="s">
        <v>46103</v>
      </c>
      <c r="U11296" s="18"/>
      <c r="V11296" s="18"/>
      <c r="W11296" s="18" t="s">
        <v>46104</v>
      </c>
      <c r="X11296" s="18" t="s">
        <v>35</v>
      </c>
      <c r="Y11296" s="18" t="s">
        <v>17171</v>
      </c>
      <c r="Z11296" s="18" t="s">
        <v>24637</v>
      </c>
      <c r="AA11296" s="21" t="str">
        <f>HYPERLINK("https://www.ncbi.nlm.nih.gov/nuccore/CASDWV010000457","NCBI Nucleotide")</f>
        <v>NCBI Nucleotide</v>
      </c>
    </row>
    <row r="11297" spans="1:27" x14ac:dyDescent="0.35">
      <c r="A11297">
        <v>1026337</v>
      </c>
      <c r="B11297">
        <v>10622</v>
      </c>
      <c r="C11297">
        <v>1</v>
      </c>
      <c r="D11297" s="17" t="s">
        <v>17166</v>
      </c>
      <c r="E11297" s="17"/>
      <c r="F11297" s="17" t="s">
        <v>17246</v>
      </c>
      <c r="G11297" s="17"/>
      <c r="H11297" s="17" t="s">
        <v>20919</v>
      </c>
      <c r="I11297" s="17"/>
      <c r="J11297" s="17" t="s">
        <v>21313</v>
      </c>
      <c r="K11297" s="17"/>
      <c r="L11297" s="17" t="s">
        <v>22378</v>
      </c>
      <c r="M11297" s="17"/>
      <c r="N11297" s="17" t="s">
        <v>22459</v>
      </c>
      <c r="O11297" s="17"/>
      <c r="P11297" s="17" t="s">
        <v>46102</v>
      </c>
      <c r="Q11297" s="17"/>
      <c r="R11297" s="25" t="str">
        <f>HYPERLINK("https://ictv.global/taxonomy/taxondetails?taxnode_id=202317638","Stonedovirus solenecus")</f>
        <v>Stonedovirus solenecus</v>
      </c>
      <c r="S11297" s="18" t="s">
        <v>30</v>
      </c>
      <c r="T11297" s="18" t="s">
        <v>46105</v>
      </c>
      <c r="U11297" s="18"/>
      <c r="V11297" s="18"/>
      <c r="W11297" s="18" t="s">
        <v>46106</v>
      </c>
      <c r="X11297" s="18" t="s">
        <v>35</v>
      </c>
      <c r="Y11297" s="18" t="s">
        <v>17171</v>
      </c>
      <c r="Z11297" s="18" t="s">
        <v>24637</v>
      </c>
      <c r="AA11297" s="21" t="str">
        <f>HYPERLINK("https://www.ncbi.nlm.nih.gov/nuccore/CASDWV010002219","NCBI Nucleotide")</f>
        <v>NCBI Nucleotide</v>
      </c>
    </row>
    <row r="11298" spans="1:27" x14ac:dyDescent="0.35">
      <c r="A11298">
        <v>1010192</v>
      </c>
      <c r="B11298">
        <v>10623</v>
      </c>
      <c r="C11298">
        <v>1</v>
      </c>
      <c r="D11298" s="17" t="s">
        <v>17166</v>
      </c>
      <c r="E11298" s="17"/>
      <c r="F11298" s="17" t="s">
        <v>17246</v>
      </c>
      <c r="G11298" s="17"/>
      <c r="H11298" s="17" t="s">
        <v>20919</v>
      </c>
      <c r="I11298" s="17"/>
      <c r="J11298" s="17" t="s">
        <v>21313</v>
      </c>
      <c r="K11298" s="17"/>
      <c r="L11298" s="17" t="s">
        <v>22378</v>
      </c>
      <c r="M11298" s="17"/>
      <c r="N11298" s="17" t="s">
        <v>22459</v>
      </c>
      <c r="O11298" s="17"/>
      <c r="P11298" s="17" t="s">
        <v>46107</v>
      </c>
      <c r="Q11298" s="17"/>
      <c r="R11298" s="25" t="str">
        <f>HYPERLINK("https://ictv.global/taxonomy/taxondetails?taxnode_id=202311474","Strehtovirus chthonocola")</f>
        <v>Strehtovirus chthonocola</v>
      </c>
      <c r="S11298" s="18" t="s">
        <v>30</v>
      </c>
      <c r="T11298" s="18" t="s">
        <v>23232</v>
      </c>
      <c r="U11298" s="18"/>
      <c r="V11298" s="18"/>
      <c r="W11298" s="18" t="s">
        <v>23233</v>
      </c>
      <c r="X11298" s="18" t="s">
        <v>35</v>
      </c>
      <c r="Y11298" s="18" t="s">
        <v>17171</v>
      </c>
      <c r="Z11298" s="18" t="s">
        <v>697</v>
      </c>
      <c r="AA11298" s="21" t="str">
        <f>HYPERLINK("https://www.ncbi.nlm.nih.gov/nuccore/BK013927","NCBI Nucleotide")</f>
        <v>NCBI Nucleotide</v>
      </c>
    </row>
    <row r="11299" spans="1:27" x14ac:dyDescent="0.35">
      <c r="A11299">
        <v>1010198</v>
      </c>
      <c r="B11299">
        <v>10624</v>
      </c>
      <c r="C11299">
        <v>1</v>
      </c>
      <c r="D11299" s="17" t="s">
        <v>17166</v>
      </c>
      <c r="E11299" s="17"/>
      <c r="F11299" s="17" t="s">
        <v>17246</v>
      </c>
      <c r="G11299" s="17"/>
      <c r="H11299" s="17" t="s">
        <v>20919</v>
      </c>
      <c r="I11299" s="17"/>
      <c r="J11299" s="17" t="s">
        <v>21313</v>
      </c>
      <c r="K11299" s="17"/>
      <c r="L11299" s="17" t="s">
        <v>22378</v>
      </c>
      <c r="M11299" s="17"/>
      <c r="N11299" s="17" t="s">
        <v>22459</v>
      </c>
      <c r="O11299" s="17"/>
      <c r="P11299" s="17" t="s">
        <v>46107</v>
      </c>
      <c r="Q11299" s="17"/>
      <c r="R11299" s="25" t="str">
        <f>HYPERLINK("https://ictv.global/taxonomy/taxondetails?taxnode_id=202311481","Strehtovirus geoenecus")</f>
        <v>Strehtovirus geoenecus</v>
      </c>
      <c r="S11299" s="18" t="s">
        <v>30</v>
      </c>
      <c r="T11299" s="18" t="s">
        <v>23244</v>
      </c>
      <c r="U11299" s="18"/>
      <c r="V11299" s="18"/>
      <c r="W11299" s="18" t="s">
        <v>23245</v>
      </c>
      <c r="X11299" s="18" t="s">
        <v>35</v>
      </c>
      <c r="Y11299" s="18" t="s">
        <v>17171</v>
      </c>
      <c r="Z11299" s="18" t="s">
        <v>697</v>
      </c>
      <c r="AA11299" s="21" t="str">
        <f>HYPERLINK("https://www.ncbi.nlm.nih.gov/nuccore/BK013452","NCBI Nucleotide")</f>
        <v>NCBI Nucleotide</v>
      </c>
    </row>
    <row r="11300" spans="1:27" x14ac:dyDescent="0.35">
      <c r="A11300">
        <v>1010209</v>
      </c>
      <c r="B11300">
        <v>10625</v>
      </c>
      <c r="C11300">
        <v>1</v>
      </c>
      <c r="D11300" s="17" t="s">
        <v>17166</v>
      </c>
      <c r="E11300" s="17"/>
      <c r="F11300" s="17" t="s">
        <v>17246</v>
      </c>
      <c r="G11300" s="17"/>
      <c r="H11300" s="17" t="s">
        <v>20919</v>
      </c>
      <c r="I11300" s="17"/>
      <c r="J11300" s="17" t="s">
        <v>21313</v>
      </c>
      <c r="K11300" s="17"/>
      <c r="L11300" s="17" t="s">
        <v>22378</v>
      </c>
      <c r="M11300" s="17"/>
      <c r="N11300" s="17" t="s">
        <v>22459</v>
      </c>
      <c r="O11300" s="17"/>
      <c r="P11300" s="17" t="s">
        <v>46107</v>
      </c>
      <c r="Q11300" s="17"/>
      <c r="R11300" s="25" t="str">
        <f>HYPERLINK("https://ictv.global/taxonomy/taxondetails?taxnode_id=202311471","Strehtovirus solivicinum")</f>
        <v>Strehtovirus solivicinum</v>
      </c>
      <c r="S11300" s="18" t="s">
        <v>30</v>
      </c>
      <c r="T11300" s="18" t="s">
        <v>23266</v>
      </c>
      <c r="U11300" s="18"/>
      <c r="V11300" s="18"/>
      <c r="W11300" s="18" t="s">
        <v>23267</v>
      </c>
      <c r="X11300" s="18" t="s">
        <v>35</v>
      </c>
      <c r="Y11300" s="18" t="s">
        <v>17171</v>
      </c>
      <c r="Z11300" s="18" t="s">
        <v>697</v>
      </c>
      <c r="AA11300" s="21" t="str">
        <f>HYPERLINK("https://www.ncbi.nlm.nih.gov/nuccore/BK013792","NCBI Nucleotide")</f>
        <v>NCBI Nucleotide</v>
      </c>
    </row>
    <row r="11301" spans="1:27" x14ac:dyDescent="0.35">
      <c r="A11301">
        <v>1026384</v>
      </c>
      <c r="B11301">
        <v>10626</v>
      </c>
      <c r="C11301">
        <v>1</v>
      </c>
      <c r="D11301" s="17" t="s">
        <v>17166</v>
      </c>
      <c r="E11301" s="17"/>
      <c r="F11301" s="17" t="s">
        <v>17246</v>
      </c>
      <c r="G11301" s="17"/>
      <c r="H11301" s="17" t="s">
        <v>20919</v>
      </c>
      <c r="I11301" s="17"/>
      <c r="J11301" s="17" t="s">
        <v>21313</v>
      </c>
      <c r="K11301" s="17"/>
      <c r="L11301" s="17" t="s">
        <v>22378</v>
      </c>
      <c r="M11301" s="17"/>
      <c r="N11301" s="17" t="s">
        <v>22459</v>
      </c>
      <c r="O11301" s="17"/>
      <c r="P11301" s="17" t="s">
        <v>46108</v>
      </c>
      <c r="Q11301" s="17"/>
      <c r="R11301" s="25" t="str">
        <f>HYPERLINK("https://ictv.global/taxonomy/taxondetails?taxnode_id=202317639","Strotuvirus chorenecus")</f>
        <v>Strotuvirus chorenecus</v>
      </c>
      <c r="S11301" s="18" t="s">
        <v>30</v>
      </c>
      <c r="T11301" s="18" t="s">
        <v>46109</v>
      </c>
      <c r="U11301" s="18"/>
      <c r="V11301" s="18"/>
      <c r="W11301" s="18" t="s">
        <v>46110</v>
      </c>
      <c r="X11301" s="18" t="s">
        <v>35</v>
      </c>
      <c r="Y11301" s="18" t="s">
        <v>17171</v>
      </c>
      <c r="Z11301" s="18" t="s">
        <v>24637</v>
      </c>
      <c r="AA11301" s="21" t="str">
        <f>HYPERLINK("https://www.ncbi.nlm.nih.gov/nuccore/CASDWV010003788","NCBI Nucleotide")</f>
        <v>NCBI Nucleotide</v>
      </c>
    </row>
    <row r="11302" spans="1:27" x14ac:dyDescent="0.35">
      <c r="A11302">
        <v>1026385</v>
      </c>
      <c r="B11302">
        <v>10627</v>
      </c>
      <c r="C11302">
        <v>1</v>
      </c>
      <c r="D11302" s="17" t="s">
        <v>17166</v>
      </c>
      <c r="E11302" s="17"/>
      <c r="F11302" s="17" t="s">
        <v>17246</v>
      </c>
      <c r="G11302" s="17"/>
      <c r="H11302" s="17" t="s">
        <v>20919</v>
      </c>
      <c r="I11302" s="17"/>
      <c r="J11302" s="17" t="s">
        <v>21313</v>
      </c>
      <c r="K11302" s="17"/>
      <c r="L11302" s="17" t="s">
        <v>22378</v>
      </c>
      <c r="M11302" s="17"/>
      <c r="N11302" s="17" t="s">
        <v>22459</v>
      </c>
      <c r="O11302" s="17"/>
      <c r="P11302" s="17" t="s">
        <v>46111</v>
      </c>
      <c r="Q11302" s="17"/>
      <c r="R11302" s="25" t="str">
        <f>HYPERLINK("https://ictv.global/taxonomy/taxondetails?taxnode_id=202317640","Studlivirus faecadaptatum")</f>
        <v>Studlivirus faecadaptatum</v>
      </c>
      <c r="S11302" s="18" t="s">
        <v>30</v>
      </c>
      <c r="T11302" s="18" t="s">
        <v>46112</v>
      </c>
      <c r="U11302" s="18"/>
      <c r="V11302" s="18" t="s">
        <v>46112</v>
      </c>
      <c r="W11302" s="18" t="s">
        <v>46113</v>
      </c>
      <c r="X11302" s="18" t="s">
        <v>35</v>
      </c>
      <c r="Y11302" s="18" t="s">
        <v>17171</v>
      </c>
      <c r="Z11302" s="18" t="s">
        <v>24637</v>
      </c>
      <c r="AA11302" s="21" t="str">
        <f>HYPERLINK("https://www.ncbi.nlm.nih.gov/nuccore/MZ679575","NCBI Nucleotide")</f>
        <v>NCBI Nucleotide</v>
      </c>
    </row>
    <row r="11303" spans="1:27" x14ac:dyDescent="0.35">
      <c r="A11303">
        <v>1010170</v>
      </c>
      <c r="B11303">
        <v>10628</v>
      </c>
      <c r="C11303">
        <v>1</v>
      </c>
      <c r="D11303" s="17" t="s">
        <v>17166</v>
      </c>
      <c r="E11303" s="17"/>
      <c r="F11303" s="17" t="s">
        <v>17246</v>
      </c>
      <c r="G11303" s="17"/>
      <c r="H11303" s="17" t="s">
        <v>20919</v>
      </c>
      <c r="I11303" s="17"/>
      <c r="J11303" s="17" t="s">
        <v>21313</v>
      </c>
      <c r="K11303" s="17"/>
      <c r="L11303" s="17" t="s">
        <v>22378</v>
      </c>
      <c r="M11303" s="17"/>
      <c r="N11303" s="17" t="s">
        <v>22459</v>
      </c>
      <c r="O11303" s="17"/>
      <c r="P11303" s="17" t="s">
        <v>23186</v>
      </c>
      <c r="Q11303" s="17"/>
      <c r="R11303" s="25" t="str">
        <f>HYPERLINK("https://ictv.global/taxonomy/taxondetails?taxnode_id=202311434","Suhnsivirus arvicola")</f>
        <v>Suhnsivirus arvicola</v>
      </c>
      <c r="S11303" s="18" t="s">
        <v>30</v>
      </c>
      <c r="T11303" s="18" t="s">
        <v>23187</v>
      </c>
      <c r="U11303" s="18"/>
      <c r="V11303" s="18"/>
      <c r="W11303" s="18" t="s">
        <v>23188</v>
      </c>
      <c r="X11303" s="18" t="s">
        <v>35</v>
      </c>
      <c r="Y11303" s="18" t="s">
        <v>17171</v>
      </c>
      <c r="Z11303" s="18" t="s">
        <v>697</v>
      </c>
      <c r="AA11303" s="21" t="str">
        <f>HYPERLINK("https://www.ncbi.nlm.nih.gov/nuccore/BK013821","NCBI Nucleotide")</f>
        <v>NCBI Nucleotide</v>
      </c>
    </row>
    <row r="11304" spans="1:27" x14ac:dyDescent="0.35">
      <c r="A11304">
        <v>1026388</v>
      </c>
      <c r="B11304">
        <v>10629</v>
      </c>
      <c r="C11304">
        <v>1</v>
      </c>
      <c r="D11304" s="17" t="s">
        <v>17166</v>
      </c>
      <c r="E11304" s="17"/>
      <c r="F11304" s="17" t="s">
        <v>17246</v>
      </c>
      <c r="G11304" s="17"/>
      <c r="H11304" s="17" t="s">
        <v>20919</v>
      </c>
      <c r="I11304" s="17"/>
      <c r="J11304" s="17" t="s">
        <v>21313</v>
      </c>
      <c r="K11304" s="17"/>
      <c r="L11304" s="17" t="s">
        <v>22378</v>
      </c>
      <c r="M11304" s="17"/>
      <c r="N11304" s="17" t="s">
        <v>22459</v>
      </c>
      <c r="O11304" s="17"/>
      <c r="P11304" s="17" t="s">
        <v>23186</v>
      </c>
      <c r="Q11304" s="17"/>
      <c r="R11304" s="25" t="str">
        <f>HYPERLINK("https://ictv.global/taxonomy/taxondetails?taxnode_id=202317641","Suhnsivirus humadaptatum")</f>
        <v>Suhnsivirus humadaptatum</v>
      </c>
      <c r="S11304" s="18" t="s">
        <v>30</v>
      </c>
      <c r="T11304" s="18" t="s">
        <v>46114</v>
      </c>
      <c r="U11304" s="18"/>
      <c r="V11304" s="18"/>
      <c r="W11304" s="18" t="s">
        <v>46115</v>
      </c>
      <c r="X11304" s="18" t="s">
        <v>35</v>
      </c>
      <c r="Y11304" s="18" t="s">
        <v>17171</v>
      </c>
      <c r="Z11304" s="18" t="s">
        <v>24637</v>
      </c>
      <c r="AA11304" s="21" t="str">
        <f>HYPERLINK("https://www.ncbi.nlm.nih.gov/nuccore/CASDWV010004790","NCBI Nucleotide")</f>
        <v>NCBI Nucleotide</v>
      </c>
    </row>
    <row r="11305" spans="1:27" x14ac:dyDescent="0.35">
      <c r="A11305">
        <v>1010171</v>
      </c>
      <c r="B11305">
        <v>10630</v>
      </c>
      <c r="C11305">
        <v>1</v>
      </c>
      <c r="D11305" s="17" t="s">
        <v>17166</v>
      </c>
      <c r="E11305" s="17"/>
      <c r="F11305" s="17" t="s">
        <v>17246</v>
      </c>
      <c r="G11305" s="17"/>
      <c r="H11305" s="17" t="s">
        <v>20919</v>
      </c>
      <c r="I11305" s="17"/>
      <c r="J11305" s="17" t="s">
        <v>21313</v>
      </c>
      <c r="K11305" s="17"/>
      <c r="L11305" s="17" t="s">
        <v>22378</v>
      </c>
      <c r="M11305" s="17"/>
      <c r="N11305" s="17" t="s">
        <v>22459</v>
      </c>
      <c r="O11305" s="17"/>
      <c r="P11305" s="17" t="s">
        <v>23186</v>
      </c>
      <c r="Q11305" s="17"/>
      <c r="R11305" s="25" t="str">
        <f>HYPERLINK("https://ictv.global/taxonomy/taxondetails?taxnode_id=202311435","Suhnsivirus lutivivens")</f>
        <v>Suhnsivirus lutivivens</v>
      </c>
      <c r="S11305" s="18" t="s">
        <v>30</v>
      </c>
      <c r="T11305" s="18" t="s">
        <v>23189</v>
      </c>
      <c r="U11305" s="18"/>
      <c r="V11305" s="18"/>
      <c r="W11305" s="18" t="s">
        <v>23190</v>
      </c>
      <c r="X11305" s="18" t="s">
        <v>35</v>
      </c>
      <c r="Y11305" s="18" t="s">
        <v>17171</v>
      </c>
      <c r="Z11305" s="18" t="s">
        <v>697</v>
      </c>
      <c r="AA11305" s="21" t="str">
        <f>HYPERLINK("https://www.ncbi.nlm.nih.gov/nuccore/BK013748","NCBI Nucleotide")</f>
        <v>NCBI Nucleotide</v>
      </c>
    </row>
    <row r="11306" spans="1:27" x14ac:dyDescent="0.35">
      <c r="A11306">
        <v>1026389</v>
      </c>
      <c r="B11306">
        <v>10631</v>
      </c>
      <c r="C11306">
        <v>1</v>
      </c>
      <c r="D11306" s="17" t="s">
        <v>17166</v>
      </c>
      <c r="E11306" s="17"/>
      <c r="F11306" s="17" t="s">
        <v>17246</v>
      </c>
      <c r="G11306" s="17"/>
      <c r="H11306" s="17" t="s">
        <v>20919</v>
      </c>
      <c r="I11306" s="17"/>
      <c r="J11306" s="17" t="s">
        <v>21313</v>
      </c>
      <c r="K11306" s="17"/>
      <c r="L11306" s="17" t="s">
        <v>22378</v>
      </c>
      <c r="M11306" s="17"/>
      <c r="N11306" s="17" t="s">
        <v>22459</v>
      </c>
      <c r="O11306" s="17"/>
      <c r="P11306" s="17" t="s">
        <v>23186</v>
      </c>
      <c r="Q11306" s="17"/>
      <c r="R11306" s="25" t="str">
        <f>HYPERLINK("https://ictv.global/taxonomy/taxondetails?taxnode_id=202317642","Suhnsivirus montiscola")</f>
        <v>Suhnsivirus montiscola</v>
      </c>
      <c r="S11306" s="18" t="s">
        <v>30</v>
      </c>
      <c r="T11306" s="18" t="s">
        <v>46116</v>
      </c>
      <c r="U11306" s="18"/>
      <c r="V11306" s="18" t="s">
        <v>46116</v>
      </c>
      <c r="W11306" s="18" t="s">
        <v>46117</v>
      </c>
      <c r="X11306" s="18" t="s">
        <v>35</v>
      </c>
      <c r="Y11306" s="18" t="s">
        <v>17171</v>
      </c>
      <c r="Z11306" s="18" t="s">
        <v>24637</v>
      </c>
      <c r="AA11306" s="21" t="str">
        <f>HYPERLINK("https://www.ncbi.nlm.nih.gov/nuccore/MZ679720","NCBI Nucleotide")</f>
        <v>NCBI Nucleotide</v>
      </c>
    </row>
    <row r="11307" spans="1:27" x14ac:dyDescent="0.35">
      <c r="A11307">
        <v>1010172</v>
      </c>
      <c r="B11307">
        <v>10632</v>
      </c>
      <c r="C11307">
        <v>1</v>
      </c>
      <c r="D11307" s="17" t="s">
        <v>17166</v>
      </c>
      <c r="E11307" s="17"/>
      <c r="F11307" s="17" t="s">
        <v>17246</v>
      </c>
      <c r="G11307" s="17"/>
      <c r="H11307" s="17" t="s">
        <v>20919</v>
      </c>
      <c r="I11307" s="17"/>
      <c r="J11307" s="17" t="s">
        <v>21313</v>
      </c>
      <c r="K11307" s="17"/>
      <c r="L11307" s="17" t="s">
        <v>22378</v>
      </c>
      <c r="M11307" s="17"/>
      <c r="N11307" s="17" t="s">
        <v>22459</v>
      </c>
      <c r="O11307" s="17"/>
      <c r="P11307" s="17" t="s">
        <v>23191</v>
      </c>
      <c r="Q11307" s="17"/>
      <c r="R11307" s="25" t="str">
        <f>HYPERLINK("https://ictv.global/taxonomy/taxondetails?taxnode_id=202311438","Surghavirus arvenecus")</f>
        <v>Surghavirus arvenecus</v>
      </c>
      <c r="S11307" s="18" t="s">
        <v>30</v>
      </c>
      <c r="T11307" s="18" t="s">
        <v>23192</v>
      </c>
      <c r="U11307" s="18"/>
      <c r="V11307" s="18"/>
      <c r="W11307" s="18" t="s">
        <v>23193</v>
      </c>
      <c r="X11307" s="18" t="s">
        <v>35</v>
      </c>
      <c r="Y11307" s="18" t="s">
        <v>17171</v>
      </c>
      <c r="Z11307" s="18" t="s">
        <v>697</v>
      </c>
      <c r="AA11307" s="21" t="str">
        <f>HYPERLINK("https://www.ncbi.nlm.nih.gov/nuccore/BK013806","NCBI Nucleotide")</f>
        <v>NCBI Nucleotide</v>
      </c>
    </row>
    <row r="11308" spans="1:27" x14ac:dyDescent="0.35">
      <c r="A11308">
        <v>1010173</v>
      </c>
      <c r="B11308">
        <v>10633</v>
      </c>
      <c r="C11308">
        <v>1</v>
      </c>
      <c r="D11308" s="17" t="s">
        <v>17166</v>
      </c>
      <c r="E11308" s="17"/>
      <c r="F11308" s="17" t="s">
        <v>17246</v>
      </c>
      <c r="G11308" s="17"/>
      <c r="H11308" s="17" t="s">
        <v>20919</v>
      </c>
      <c r="I11308" s="17"/>
      <c r="J11308" s="17" t="s">
        <v>21313</v>
      </c>
      <c r="K11308" s="17"/>
      <c r="L11308" s="17" t="s">
        <v>22378</v>
      </c>
      <c r="M11308" s="17"/>
      <c r="N11308" s="17" t="s">
        <v>22459</v>
      </c>
      <c r="O11308" s="17"/>
      <c r="P11308" s="17" t="s">
        <v>23191</v>
      </c>
      <c r="Q11308" s="17"/>
      <c r="R11308" s="25" t="str">
        <f>HYPERLINK("https://ictv.global/taxonomy/taxondetails?taxnode_id=202311437","Surghavirus arvihabitans")</f>
        <v>Surghavirus arvihabitans</v>
      </c>
      <c r="S11308" s="18" t="s">
        <v>30</v>
      </c>
      <c r="T11308" s="18" t="s">
        <v>23194</v>
      </c>
      <c r="U11308" s="18"/>
      <c r="V11308" s="18"/>
      <c r="W11308" s="18" t="s">
        <v>23195</v>
      </c>
      <c r="X11308" s="18" t="s">
        <v>35</v>
      </c>
      <c r="Y11308" s="18" t="s">
        <v>17171</v>
      </c>
      <c r="Z11308" s="18" t="s">
        <v>697</v>
      </c>
      <c r="AA11308" s="21" t="str">
        <f>HYPERLINK("https://www.ncbi.nlm.nih.gov/nuccore/BK013772","NCBI Nucleotide")</f>
        <v>NCBI Nucleotide</v>
      </c>
    </row>
    <row r="11309" spans="1:27" x14ac:dyDescent="0.35">
      <c r="A11309">
        <v>1010174</v>
      </c>
      <c r="B11309">
        <v>10634</v>
      </c>
      <c r="C11309">
        <v>1</v>
      </c>
      <c r="D11309" s="17" t="s">
        <v>17166</v>
      </c>
      <c r="E11309" s="17"/>
      <c r="F11309" s="17" t="s">
        <v>17246</v>
      </c>
      <c r="G11309" s="17"/>
      <c r="H11309" s="17" t="s">
        <v>20919</v>
      </c>
      <c r="I11309" s="17"/>
      <c r="J11309" s="17" t="s">
        <v>21313</v>
      </c>
      <c r="K11309" s="17"/>
      <c r="L11309" s="17" t="s">
        <v>22378</v>
      </c>
      <c r="M11309" s="17"/>
      <c r="N11309" s="17" t="s">
        <v>22459</v>
      </c>
      <c r="O11309" s="17"/>
      <c r="P11309" s="17" t="s">
        <v>23196</v>
      </c>
      <c r="Q11309" s="17"/>
      <c r="R11309" s="25" t="str">
        <f>HYPERLINK("https://ictv.global/taxonomy/taxondetails?taxnode_id=202311440","Tamanovirus pelenecus")</f>
        <v>Tamanovirus pelenecus</v>
      </c>
      <c r="S11309" s="18" t="s">
        <v>30</v>
      </c>
      <c r="T11309" s="18" t="s">
        <v>23197</v>
      </c>
      <c r="U11309" s="18"/>
      <c r="V11309" s="18"/>
      <c r="W11309" s="18" t="s">
        <v>23198</v>
      </c>
      <c r="X11309" s="18" t="s">
        <v>35</v>
      </c>
      <c r="Y11309" s="18" t="s">
        <v>17171</v>
      </c>
      <c r="Z11309" s="18" t="s">
        <v>697</v>
      </c>
      <c r="AA11309" s="21" t="str">
        <f>HYPERLINK("https://www.ncbi.nlm.nih.gov/nuccore/BK013747","NCBI Nucleotide")</f>
        <v>NCBI Nucleotide</v>
      </c>
    </row>
    <row r="11310" spans="1:27" x14ac:dyDescent="0.35">
      <c r="A11310">
        <v>1010175</v>
      </c>
      <c r="B11310">
        <v>10635</v>
      </c>
      <c r="C11310">
        <v>1</v>
      </c>
      <c r="D11310" s="17" t="s">
        <v>17166</v>
      </c>
      <c r="E11310" s="17"/>
      <c r="F11310" s="17" t="s">
        <v>17246</v>
      </c>
      <c r="G11310" s="17"/>
      <c r="H11310" s="17" t="s">
        <v>20919</v>
      </c>
      <c r="I11310" s="17"/>
      <c r="J11310" s="17" t="s">
        <v>21313</v>
      </c>
      <c r="K11310" s="17"/>
      <c r="L11310" s="17" t="s">
        <v>22378</v>
      </c>
      <c r="M11310" s="17"/>
      <c r="N11310" s="17" t="s">
        <v>22459</v>
      </c>
      <c r="O11310" s="17"/>
      <c r="P11310" s="17" t="s">
        <v>23199</v>
      </c>
      <c r="Q11310" s="17"/>
      <c r="R11310" s="25" t="str">
        <f>HYPERLINK("https://ictv.global/taxonomy/taxondetails?taxnode_id=202311442","Tehmuvirus arvivivens")</f>
        <v>Tehmuvirus arvivivens</v>
      </c>
      <c r="S11310" s="18" t="s">
        <v>30</v>
      </c>
      <c r="T11310" s="18" t="s">
        <v>23200</v>
      </c>
      <c r="U11310" s="18"/>
      <c r="V11310" s="18"/>
      <c r="W11310" s="18" t="s">
        <v>23201</v>
      </c>
      <c r="X11310" s="18" t="s">
        <v>35</v>
      </c>
      <c r="Y11310" s="18" t="s">
        <v>17171</v>
      </c>
      <c r="Z11310" s="18" t="s">
        <v>697</v>
      </c>
      <c r="AA11310" s="21" t="str">
        <f>HYPERLINK("https://www.ncbi.nlm.nih.gov/nuccore/BK014023","NCBI Nucleotide")</f>
        <v>NCBI Nucleotide</v>
      </c>
    </row>
    <row r="11311" spans="1:27" x14ac:dyDescent="0.35">
      <c r="A11311">
        <v>1026296</v>
      </c>
      <c r="B11311">
        <v>10636</v>
      </c>
      <c r="C11311">
        <v>1</v>
      </c>
      <c r="D11311" s="17" t="s">
        <v>17166</v>
      </c>
      <c r="E11311" s="17"/>
      <c r="F11311" s="17" t="s">
        <v>17246</v>
      </c>
      <c r="G11311" s="17"/>
      <c r="H11311" s="17" t="s">
        <v>20919</v>
      </c>
      <c r="I11311" s="17"/>
      <c r="J11311" s="17" t="s">
        <v>21313</v>
      </c>
      <c r="K11311" s="17"/>
      <c r="L11311" s="17" t="s">
        <v>22378</v>
      </c>
      <c r="M11311" s="17"/>
      <c r="N11311" s="17" t="s">
        <v>22459</v>
      </c>
      <c r="O11311" s="17"/>
      <c r="P11311" s="17" t="s">
        <v>23202</v>
      </c>
      <c r="Q11311" s="17"/>
      <c r="R11311" s="25" t="str">
        <f>HYPERLINK("https://ictv.global/taxonomy/taxondetails?taxnode_id=202317643","Tehnicivirus chorovivens")</f>
        <v>Tehnicivirus chorovivens</v>
      </c>
      <c r="S11311" s="18" t="s">
        <v>30</v>
      </c>
      <c r="T11311" s="18" t="s">
        <v>46118</v>
      </c>
      <c r="U11311" s="18"/>
      <c r="V11311" s="18"/>
      <c r="W11311" s="18" t="s">
        <v>46119</v>
      </c>
      <c r="X11311" s="18" t="s">
        <v>35</v>
      </c>
      <c r="Y11311" s="18" t="s">
        <v>17171</v>
      </c>
      <c r="Z11311" s="18" t="s">
        <v>24637</v>
      </c>
      <c r="AA11311" s="21" t="str">
        <f>HYPERLINK("https://www.ncbi.nlm.nih.gov/nuccore/CASDWV010000297","NCBI Nucleotide")</f>
        <v>NCBI Nucleotide</v>
      </c>
    </row>
    <row r="11312" spans="1:27" x14ac:dyDescent="0.35">
      <c r="A11312">
        <v>1010176</v>
      </c>
      <c r="B11312">
        <v>10637</v>
      </c>
      <c r="C11312">
        <v>1</v>
      </c>
      <c r="D11312" s="17" t="s">
        <v>17166</v>
      </c>
      <c r="E11312" s="17"/>
      <c r="F11312" s="17" t="s">
        <v>17246</v>
      </c>
      <c r="G11312" s="17"/>
      <c r="H11312" s="17" t="s">
        <v>20919</v>
      </c>
      <c r="I11312" s="17"/>
      <c r="J11312" s="17" t="s">
        <v>21313</v>
      </c>
      <c r="K11312" s="17"/>
      <c r="L11312" s="17" t="s">
        <v>22378</v>
      </c>
      <c r="M11312" s="17"/>
      <c r="N11312" s="17" t="s">
        <v>22459</v>
      </c>
      <c r="O11312" s="17"/>
      <c r="P11312" s="17" t="s">
        <v>23202</v>
      </c>
      <c r="Q11312" s="17"/>
      <c r="R11312" s="25" t="str">
        <f>HYPERLINK("https://ictv.global/taxonomy/taxondetails?taxnode_id=202311446","Tehnicivirus edaphenecus")</f>
        <v>Tehnicivirus edaphenecus</v>
      </c>
      <c r="S11312" s="18" t="s">
        <v>30</v>
      </c>
      <c r="T11312" s="18" t="s">
        <v>23203</v>
      </c>
      <c r="U11312" s="18"/>
      <c r="V11312" s="18"/>
      <c r="W11312" s="18" t="s">
        <v>23204</v>
      </c>
      <c r="X11312" s="18" t="s">
        <v>35</v>
      </c>
      <c r="Y11312" s="18" t="s">
        <v>17171</v>
      </c>
      <c r="Z11312" s="18" t="s">
        <v>697</v>
      </c>
      <c r="AA11312" s="21" t="str">
        <f>HYPERLINK("https://www.ncbi.nlm.nih.gov/nuccore/BK013980","NCBI Nucleotide")</f>
        <v>NCBI Nucleotide</v>
      </c>
    </row>
    <row r="11313" spans="1:27" x14ac:dyDescent="0.35">
      <c r="A11313">
        <v>1026297</v>
      </c>
      <c r="B11313">
        <v>10638</v>
      </c>
      <c r="C11313">
        <v>1</v>
      </c>
      <c r="D11313" s="17" t="s">
        <v>17166</v>
      </c>
      <c r="E11313" s="17"/>
      <c r="F11313" s="17" t="s">
        <v>17246</v>
      </c>
      <c r="G11313" s="17"/>
      <c r="H11313" s="17" t="s">
        <v>20919</v>
      </c>
      <c r="I11313" s="17"/>
      <c r="J11313" s="17" t="s">
        <v>21313</v>
      </c>
      <c r="K11313" s="17"/>
      <c r="L11313" s="17" t="s">
        <v>22378</v>
      </c>
      <c r="M11313" s="17"/>
      <c r="N11313" s="17" t="s">
        <v>22459</v>
      </c>
      <c r="O11313" s="17"/>
      <c r="P11313" s="17" t="s">
        <v>23202</v>
      </c>
      <c r="Q11313" s="17"/>
      <c r="R11313" s="25" t="str">
        <f>HYPERLINK("https://ictv.global/taxonomy/taxondetails?taxnode_id=202317644","Tehnicivirus edaphovicinum")</f>
        <v>Tehnicivirus edaphovicinum</v>
      </c>
      <c r="S11313" s="18" t="s">
        <v>30</v>
      </c>
      <c r="T11313" s="18" t="s">
        <v>46120</v>
      </c>
      <c r="U11313" s="18"/>
      <c r="V11313" s="18"/>
      <c r="W11313" s="18" t="s">
        <v>46121</v>
      </c>
      <c r="X11313" s="18" t="s">
        <v>35</v>
      </c>
      <c r="Y11313" s="18" t="s">
        <v>17171</v>
      </c>
      <c r="Z11313" s="18" t="s">
        <v>24637</v>
      </c>
      <c r="AA11313" s="21" t="str">
        <f>HYPERLINK("https://www.ncbi.nlm.nih.gov/nuccore/CASDWV010004354","NCBI Nucleotide")</f>
        <v>NCBI Nucleotide</v>
      </c>
    </row>
    <row r="11314" spans="1:27" x14ac:dyDescent="0.35">
      <c r="A11314">
        <v>1026298</v>
      </c>
      <c r="B11314">
        <v>10639</v>
      </c>
      <c r="C11314">
        <v>1</v>
      </c>
      <c r="D11314" s="17" t="s">
        <v>17166</v>
      </c>
      <c r="E11314" s="17"/>
      <c r="F11314" s="17" t="s">
        <v>17246</v>
      </c>
      <c r="G11314" s="17"/>
      <c r="H11314" s="17" t="s">
        <v>20919</v>
      </c>
      <c r="I11314" s="17"/>
      <c r="J11314" s="17" t="s">
        <v>21313</v>
      </c>
      <c r="K11314" s="17"/>
      <c r="L11314" s="17" t="s">
        <v>22378</v>
      </c>
      <c r="M11314" s="17"/>
      <c r="N11314" s="17" t="s">
        <v>22459</v>
      </c>
      <c r="O11314" s="17"/>
      <c r="P11314" s="17" t="s">
        <v>23202</v>
      </c>
      <c r="Q11314" s="17"/>
      <c r="R11314" s="25" t="str">
        <f>HYPERLINK("https://ictv.global/taxonomy/taxondetails?taxnode_id=202317645","Tehnicivirus geovivens")</f>
        <v>Tehnicivirus geovivens</v>
      </c>
      <c r="S11314" s="18" t="s">
        <v>30</v>
      </c>
      <c r="T11314" s="18" t="s">
        <v>46122</v>
      </c>
      <c r="U11314" s="18"/>
      <c r="V11314" s="18"/>
      <c r="W11314" s="18" t="s">
        <v>46123</v>
      </c>
      <c r="X11314" s="18" t="s">
        <v>35</v>
      </c>
      <c r="Y11314" s="18" t="s">
        <v>17171</v>
      </c>
      <c r="Z11314" s="18" t="s">
        <v>24637</v>
      </c>
      <c r="AA11314" s="21" t="str">
        <f>HYPERLINK("https://www.ncbi.nlm.nih.gov/nuccore/CASDWV010000063","NCBI Nucleotide")</f>
        <v>NCBI Nucleotide</v>
      </c>
    </row>
    <row r="11315" spans="1:27" x14ac:dyDescent="0.35">
      <c r="A11315">
        <v>1026299</v>
      </c>
      <c r="B11315">
        <v>10640</v>
      </c>
      <c r="C11315">
        <v>1</v>
      </c>
      <c r="D11315" s="17" t="s">
        <v>17166</v>
      </c>
      <c r="E11315" s="17"/>
      <c r="F11315" s="17" t="s">
        <v>17246</v>
      </c>
      <c r="G11315" s="17"/>
      <c r="H11315" s="17" t="s">
        <v>20919</v>
      </c>
      <c r="I11315" s="17"/>
      <c r="J11315" s="17" t="s">
        <v>21313</v>
      </c>
      <c r="K11315" s="17"/>
      <c r="L11315" s="17" t="s">
        <v>22378</v>
      </c>
      <c r="M11315" s="17"/>
      <c r="N11315" s="17" t="s">
        <v>22459</v>
      </c>
      <c r="O11315" s="17"/>
      <c r="P11315" s="17" t="s">
        <v>23202</v>
      </c>
      <c r="Q11315" s="17"/>
      <c r="R11315" s="25" t="str">
        <f>HYPERLINK("https://ictv.global/taxonomy/taxondetails?taxnode_id=202317646","Tehnicivirus limivivens")</f>
        <v>Tehnicivirus limivivens</v>
      </c>
      <c r="S11315" s="18" t="s">
        <v>30</v>
      </c>
      <c r="T11315" s="18" t="s">
        <v>46124</v>
      </c>
      <c r="U11315" s="18"/>
      <c r="V11315" s="18"/>
      <c r="W11315" s="18" t="s">
        <v>46125</v>
      </c>
      <c r="X11315" s="18" t="s">
        <v>35</v>
      </c>
      <c r="Y11315" s="18" t="s">
        <v>17171</v>
      </c>
      <c r="Z11315" s="18" t="s">
        <v>24637</v>
      </c>
      <c r="AA11315" s="21" t="str">
        <f>HYPERLINK("https://www.ncbi.nlm.nih.gov/nuccore/CASDWV010003215","NCBI Nucleotide")</f>
        <v>NCBI Nucleotide</v>
      </c>
    </row>
    <row r="11316" spans="1:27" x14ac:dyDescent="0.35">
      <c r="A11316">
        <v>1026300</v>
      </c>
      <c r="B11316">
        <v>10641</v>
      </c>
      <c r="C11316">
        <v>1</v>
      </c>
      <c r="D11316" s="17" t="s">
        <v>17166</v>
      </c>
      <c r="E11316" s="17"/>
      <c r="F11316" s="17" t="s">
        <v>17246</v>
      </c>
      <c r="G11316" s="17"/>
      <c r="H11316" s="17" t="s">
        <v>20919</v>
      </c>
      <c r="I11316" s="17"/>
      <c r="J11316" s="17" t="s">
        <v>21313</v>
      </c>
      <c r="K11316" s="17"/>
      <c r="L11316" s="17" t="s">
        <v>22378</v>
      </c>
      <c r="M11316" s="17"/>
      <c r="N11316" s="17" t="s">
        <v>22459</v>
      </c>
      <c r="O11316" s="17"/>
      <c r="P11316" s="17" t="s">
        <v>23202</v>
      </c>
      <c r="Q11316" s="17"/>
      <c r="R11316" s="25" t="str">
        <f>HYPERLINK("https://ictv.global/taxonomy/taxondetails?taxnode_id=202317647","Tehnicivirus segetihabitans")</f>
        <v>Tehnicivirus segetihabitans</v>
      </c>
      <c r="S11316" s="18" t="s">
        <v>30</v>
      </c>
      <c r="T11316" s="18" t="s">
        <v>46126</v>
      </c>
      <c r="U11316" s="18"/>
      <c r="V11316" s="18"/>
      <c r="W11316" s="18" t="s">
        <v>46127</v>
      </c>
      <c r="X11316" s="18" t="s">
        <v>35</v>
      </c>
      <c r="Y11316" s="18" t="s">
        <v>17171</v>
      </c>
      <c r="Z11316" s="18" t="s">
        <v>24637</v>
      </c>
      <c r="AA11316" s="21" t="str">
        <f>HYPERLINK("https://www.ncbi.nlm.nih.gov/nuccore/CASDWV010003188","NCBI Nucleotide")</f>
        <v>NCBI Nucleotide</v>
      </c>
    </row>
    <row r="11317" spans="1:27" x14ac:dyDescent="0.35">
      <c r="A11317">
        <v>1026301</v>
      </c>
      <c r="B11317">
        <v>10642</v>
      </c>
      <c r="C11317">
        <v>1</v>
      </c>
      <c r="D11317" s="17" t="s">
        <v>17166</v>
      </c>
      <c r="E11317" s="17"/>
      <c r="F11317" s="17" t="s">
        <v>17246</v>
      </c>
      <c r="G11317" s="17"/>
      <c r="H11317" s="17" t="s">
        <v>20919</v>
      </c>
      <c r="I11317" s="17"/>
      <c r="J11317" s="17" t="s">
        <v>21313</v>
      </c>
      <c r="K11317" s="17"/>
      <c r="L11317" s="17" t="s">
        <v>22378</v>
      </c>
      <c r="M11317" s="17"/>
      <c r="N11317" s="17" t="s">
        <v>22459</v>
      </c>
      <c r="O11317" s="17"/>
      <c r="P11317" s="17" t="s">
        <v>23202</v>
      </c>
      <c r="Q11317" s="17"/>
      <c r="R11317" s="25" t="str">
        <f>HYPERLINK("https://ictv.global/taxonomy/taxondetails?taxnode_id=202317648","Tehnicivirus terrenecus")</f>
        <v>Tehnicivirus terrenecus</v>
      </c>
      <c r="S11317" s="18" t="s">
        <v>30</v>
      </c>
      <c r="T11317" s="18" t="s">
        <v>46128</v>
      </c>
      <c r="U11317" s="18"/>
      <c r="V11317" s="18"/>
      <c r="W11317" s="18" t="s">
        <v>46129</v>
      </c>
      <c r="X11317" s="18" t="s">
        <v>35</v>
      </c>
      <c r="Y11317" s="18" t="s">
        <v>17171</v>
      </c>
      <c r="Z11317" s="18" t="s">
        <v>24637</v>
      </c>
      <c r="AA11317" s="21" t="str">
        <f>HYPERLINK("https://www.ncbi.nlm.nih.gov/nuccore/CASDWV010004215","NCBI Nucleotide")</f>
        <v>NCBI Nucleotide</v>
      </c>
    </row>
    <row r="11318" spans="1:27" x14ac:dyDescent="0.35">
      <c r="A11318">
        <v>1010180</v>
      </c>
      <c r="B11318">
        <v>10643</v>
      </c>
      <c r="C11318">
        <v>1</v>
      </c>
      <c r="D11318" s="17" t="s">
        <v>17166</v>
      </c>
      <c r="E11318" s="17"/>
      <c r="F11318" s="17" t="s">
        <v>17246</v>
      </c>
      <c r="G11318" s="17"/>
      <c r="H11318" s="17" t="s">
        <v>20919</v>
      </c>
      <c r="I11318" s="17"/>
      <c r="J11318" s="17" t="s">
        <v>21313</v>
      </c>
      <c r="K11318" s="17"/>
      <c r="L11318" s="17" t="s">
        <v>22378</v>
      </c>
      <c r="M11318" s="17"/>
      <c r="N11318" s="17" t="s">
        <v>22459</v>
      </c>
      <c r="O11318" s="17"/>
      <c r="P11318" s="17" t="s">
        <v>23205</v>
      </c>
      <c r="Q11318" s="17"/>
      <c r="R11318" s="25" t="str">
        <f>HYPERLINK("https://ictv.global/taxonomy/taxondetails?taxnode_id=202311449","Thehlovirus edaphovicinum")</f>
        <v>Thehlovirus edaphovicinum</v>
      </c>
      <c r="S11318" s="18" t="s">
        <v>30</v>
      </c>
      <c r="T11318" s="18" t="s">
        <v>23206</v>
      </c>
      <c r="U11318" s="18"/>
      <c r="V11318" s="18"/>
      <c r="W11318" s="18" t="s">
        <v>23207</v>
      </c>
      <c r="X11318" s="18" t="s">
        <v>35</v>
      </c>
      <c r="Y11318" s="18" t="s">
        <v>17171</v>
      </c>
      <c r="Z11318" s="18" t="s">
        <v>697</v>
      </c>
      <c r="AA11318" s="21" t="str">
        <f>HYPERLINK("https://www.ncbi.nlm.nih.gov/nuccore/BK013473","NCBI Nucleotide")</f>
        <v>NCBI Nucleotide</v>
      </c>
    </row>
    <row r="11319" spans="1:27" x14ac:dyDescent="0.35">
      <c r="A11319">
        <v>1026305</v>
      </c>
      <c r="B11319">
        <v>10644</v>
      </c>
      <c r="C11319">
        <v>1</v>
      </c>
      <c r="D11319" s="17" t="s">
        <v>17166</v>
      </c>
      <c r="E11319" s="17"/>
      <c r="F11319" s="17" t="s">
        <v>17246</v>
      </c>
      <c r="G11319" s="17"/>
      <c r="H11319" s="17" t="s">
        <v>20919</v>
      </c>
      <c r="I11319" s="17"/>
      <c r="J11319" s="17" t="s">
        <v>21313</v>
      </c>
      <c r="K11319" s="17"/>
      <c r="L11319" s="17" t="s">
        <v>22378</v>
      </c>
      <c r="M11319" s="17"/>
      <c r="N11319" s="17" t="s">
        <v>22459</v>
      </c>
      <c r="O11319" s="17"/>
      <c r="P11319" s="17" t="s">
        <v>46130</v>
      </c>
      <c r="Q11319" s="17"/>
      <c r="R11319" s="25" t="str">
        <f>HYPERLINK("https://ictv.global/taxonomy/taxondetails?taxnode_id=202317649","Thuhrlavirus arvicola")</f>
        <v>Thuhrlavirus arvicola</v>
      </c>
      <c r="S11319" s="18" t="s">
        <v>30</v>
      </c>
      <c r="T11319" s="18" t="s">
        <v>46131</v>
      </c>
      <c r="U11319" s="18"/>
      <c r="V11319" s="18"/>
      <c r="W11319" s="18" t="s">
        <v>46132</v>
      </c>
      <c r="X11319" s="18" t="s">
        <v>35</v>
      </c>
      <c r="Y11319" s="18" t="s">
        <v>17171</v>
      </c>
      <c r="Z11319" s="18" t="s">
        <v>24637</v>
      </c>
      <c r="AA11319" s="21" t="str">
        <f>HYPERLINK("https://www.ncbi.nlm.nih.gov/nuccore/CASDWV010002937","NCBI Nucleotide")</f>
        <v>NCBI Nucleotide</v>
      </c>
    </row>
    <row r="11320" spans="1:27" x14ac:dyDescent="0.35">
      <c r="A11320">
        <v>1026312</v>
      </c>
      <c r="B11320">
        <v>10645</v>
      </c>
      <c r="C11320">
        <v>1</v>
      </c>
      <c r="D11320" s="17" t="s">
        <v>17166</v>
      </c>
      <c r="E11320" s="17"/>
      <c r="F11320" s="17" t="s">
        <v>17246</v>
      </c>
      <c r="G11320" s="17"/>
      <c r="H11320" s="17" t="s">
        <v>20919</v>
      </c>
      <c r="I11320" s="17"/>
      <c r="J11320" s="17" t="s">
        <v>21313</v>
      </c>
      <c r="K11320" s="17"/>
      <c r="L11320" s="17" t="s">
        <v>22378</v>
      </c>
      <c r="M11320" s="17"/>
      <c r="N11320" s="17" t="s">
        <v>22459</v>
      </c>
      <c r="O11320" s="17"/>
      <c r="P11320" s="17" t="s">
        <v>23208</v>
      </c>
      <c r="Q11320" s="17"/>
      <c r="R11320" s="25" t="str">
        <f>HYPERLINK("https://ictv.global/taxonomy/taxondetails?taxnode_id=202317650","Tikiyavirus agricola")</f>
        <v>Tikiyavirus agricola</v>
      </c>
      <c r="S11320" s="18" t="s">
        <v>30</v>
      </c>
      <c r="T11320" s="18" t="s">
        <v>46133</v>
      </c>
      <c r="U11320" s="18"/>
      <c r="V11320" s="18"/>
      <c r="W11320" s="18" t="s">
        <v>46134</v>
      </c>
      <c r="X11320" s="18" t="s">
        <v>35</v>
      </c>
      <c r="Y11320" s="18" t="s">
        <v>17171</v>
      </c>
      <c r="Z11320" s="18" t="s">
        <v>24637</v>
      </c>
      <c r="AA11320" s="21" t="str">
        <f>HYPERLINK("https://www.ncbi.nlm.nih.gov/nuccore/CASDWV010003108","NCBI Nucleotide")</f>
        <v>NCBI Nucleotide</v>
      </c>
    </row>
    <row r="11321" spans="1:27" x14ac:dyDescent="0.35">
      <c r="A11321">
        <v>1026313</v>
      </c>
      <c r="B11321">
        <v>10646</v>
      </c>
      <c r="C11321">
        <v>1</v>
      </c>
      <c r="D11321" s="17" t="s">
        <v>17166</v>
      </c>
      <c r="E11321" s="17"/>
      <c r="F11321" s="17" t="s">
        <v>17246</v>
      </c>
      <c r="G11321" s="17"/>
      <c r="H11321" s="17" t="s">
        <v>20919</v>
      </c>
      <c r="I11321" s="17"/>
      <c r="J11321" s="17" t="s">
        <v>21313</v>
      </c>
      <c r="K11321" s="17"/>
      <c r="L11321" s="17" t="s">
        <v>22378</v>
      </c>
      <c r="M11321" s="17"/>
      <c r="N11321" s="17" t="s">
        <v>22459</v>
      </c>
      <c r="O11321" s="17"/>
      <c r="P11321" s="17" t="s">
        <v>23208</v>
      </c>
      <c r="Q11321" s="17"/>
      <c r="R11321" s="25" t="str">
        <f>HYPERLINK("https://ictv.global/taxonomy/taxondetails?taxnode_id=202317651","Tikiyavirus allofaecadaptatum")</f>
        <v>Tikiyavirus allofaecadaptatum</v>
      </c>
      <c r="S11321" s="18" t="s">
        <v>30</v>
      </c>
      <c r="T11321" s="18" t="s">
        <v>46135</v>
      </c>
      <c r="U11321" s="18"/>
      <c r="V11321" s="18" t="s">
        <v>46135</v>
      </c>
      <c r="W11321" s="18" t="s">
        <v>46136</v>
      </c>
      <c r="X11321" s="18" t="s">
        <v>35</v>
      </c>
      <c r="Y11321" s="18" t="s">
        <v>17171</v>
      </c>
      <c r="Z11321" s="18" t="s">
        <v>24637</v>
      </c>
      <c r="AA11321" s="21" t="str">
        <f>HYPERLINK("https://www.ncbi.nlm.nih.gov/nuccore/MZ679770","NCBI Nucleotide")</f>
        <v>NCBI Nucleotide</v>
      </c>
    </row>
    <row r="11322" spans="1:27" x14ac:dyDescent="0.35">
      <c r="A11322">
        <v>1026314</v>
      </c>
      <c r="B11322">
        <v>10647</v>
      </c>
      <c r="C11322">
        <v>1</v>
      </c>
      <c r="D11322" s="17" t="s">
        <v>17166</v>
      </c>
      <c r="E11322" s="17"/>
      <c r="F11322" s="17" t="s">
        <v>17246</v>
      </c>
      <c r="G11322" s="17"/>
      <c r="H11322" s="17" t="s">
        <v>20919</v>
      </c>
      <c r="I11322" s="17"/>
      <c r="J11322" s="17" t="s">
        <v>21313</v>
      </c>
      <c r="K11322" s="17"/>
      <c r="L11322" s="17" t="s">
        <v>22378</v>
      </c>
      <c r="M11322" s="17"/>
      <c r="N11322" s="17" t="s">
        <v>22459</v>
      </c>
      <c r="O11322" s="17"/>
      <c r="P11322" s="17" t="s">
        <v>23208</v>
      </c>
      <c r="Q11322" s="17"/>
      <c r="R11322" s="25" t="str">
        <f>HYPERLINK("https://ictv.global/taxonomy/taxondetails?taxnode_id=202317652","Tikiyavirus allofaecicola")</f>
        <v>Tikiyavirus allofaecicola</v>
      </c>
      <c r="S11322" s="18" t="s">
        <v>30</v>
      </c>
      <c r="T11322" s="18" t="s">
        <v>46137</v>
      </c>
      <c r="U11322" s="18"/>
      <c r="V11322" s="18" t="s">
        <v>46137</v>
      </c>
      <c r="W11322" s="18" t="s">
        <v>46138</v>
      </c>
      <c r="X11322" s="18" t="s">
        <v>35</v>
      </c>
      <c r="Y11322" s="18" t="s">
        <v>17171</v>
      </c>
      <c r="Z11322" s="18" t="s">
        <v>24637</v>
      </c>
      <c r="AA11322" s="21" t="str">
        <f>HYPERLINK("https://www.ncbi.nlm.nih.gov/nuccore/MZ679713","NCBI Nucleotide")</f>
        <v>NCBI Nucleotide</v>
      </c>
    </row>
    <row r="11323" spans="1:27" x14ac:dyDescent="0.35">
      <c r="A11323">
        <v>1026315</v>
      </c>
      <c r="B11323">
        <v>10648</v>
      </c>
      <c r="C11323">
        <v>1</v>
      </c>
      <c r="D11323" s="17" t="s">
        <v>17166</v>
      </c>
      <c r="E11323" s="17"/>
      <c r="F11323" s="17" t="s">
        <v>17246</v>
      </c>
      <c r="G11323" s="17"/>
      <c r="H11323" s="17" t="s">
        <v>20919</v>
      </c>
      <c r="I11323" s="17"/>
      <c r="J11323" s="17" t="s">
        <v>21313</v>
      </c>
      <c r="K11323" s="17"/>
      <c r="L11323" s="17" t="s">
        <v>22378</v>
      </c>
      <c r="M11323" s="17"/>
      <c r="N11323" s="17" t="s">
        <v>22459</v>
      </c>
      <c r="O11323" s="17"/>
      <c r="P11323" s="17" t="s">
        <v>23208</v>
      </c>
      <c r="Q11323" s="17"/>
      <c r="R11323" s="25" t="str">
        <f>HYPERLINK("https://ictv.global/taxonomy/taxondetails?taxnode_id=202317653","Tikiyavirus allofaecivicinum")</f>
        <v>Tikiyavirus allofaecivicinum</v>
      </c>
      <c r="S11323" s="18" t="s">
        <v>30</v>
      </c>
      <c r="T11323" s="18" t="s">
        <v>46139</v>
      </c>
      <c r="U11323" s="18"/>
      <c r="V11323" s="18" t="s">
        <v>46139</v>
      </c>
      <c r="W11323" s="18" t="s">
        <v>46140</v>
      </c>
      <c r="X11323" s="18" t="s">
        <v>35</v>
      </c>
      <c r="Y11323" s="18" t="s">
        <v>17171</v>
      </c>
      <c r="Z11323" s="18" t="s">
        <v>24637</v>
      </c>
      <c r="AA11323" s="21" t="str">
        <f>HYPERLINK("https://www.ncbi.nlm.nih.gov/nuccore/MZ679804","NCBI Nucleotide")</f>
        <v>NCBI Nucleotide</v>
      </c>
    </row>
    <row r="11324" spans="1:27" x14ac:dyDescent="0.35">
      <c r="A11324">
        <v>1010182</v>
      </c>
      <c r="B11324">
        <v>10649</v>
      </c>
      <c r="C11324">
        <v>1</v>
      </c>
      <c r="D11324" s="17" t="s">
        <v>17166</v>
      </c>
      <c r="E11324" s="17"/>
      <c r="F11324" s="17" t="s">
        <v>17246</v>
      </c>
      <c r="G11324" s="17"/>
      <c r="H11324" s="17" t="s">
        <v>20919</v>
      </c>
      <c r="I11324" s="17"/>
      <c r="J11324" s="17" t="s">
        <v>21313</v>
      </c>
      <c r="K11324" s="17"/>
      <c r="L11324" s="17" t="s">
        <v>22378</v>
      </c>
      <c r="M11324" s="17"/>
      <c r="N11324" s="17" t="s">
        <v>22459</v>
      </c>
      <c r="O11324" s="17"/>
      <c r="P11324" s="17" t="s">
        <v>23208</v>
      </c>
      <c r="Q11324" s="17"/>
      <c r="R11324" s="25" t="str">
        <f>HYPERLINK("https://ictv.global/taxonomy/taxondetails?taxnode_id=202311453","Tikiyavirus asiovivens")</f>
        <v>Tikiyavirus asiovivens</v>
      </c>
      <c r="S11324" s="18" t="s">
        <v>30</v>
      </c>
      <c r="T11324" s="18" t="s">
        <v>23209</v>
      </c>
      <c r="U11324" s="18"/>
      <c r="V11324" s="18"/>
      <c r="W11324" s="18" t="s">
        <v>23210</v>
      </c>
      <c r="X11324" s="18" t="s">
        <v>35</v>
      </c>
      <c r="Y11324" s="18" t="s">
        <v>17171</v>
      </c>
      <c r="Z11324" s="18" t="s">
        <v>697</v>
      </c>
      <c r="AA11324" s="21" t="str">
        <f>HYPERLINK("https://www.ncbi.nlm.nih.gov/nuccore/BK014189","NCBI Nucleotide")</f>
        <v>NCBI Nucleotide</v>
      </c>
    </row>
    <row r="11325" spans="1:27" x14ac:dyDescent="0.35">
      <c r="A11325">
        <v>1010138</v>
      </c>
      <c r="B11325">
        <v>10650</v>
      </c>
      <c r="C11325">
        <v>1</v>
      </c>
      <c r="D11325" s="17" t="s">
        <v>17166</v>
      </c>
      <c r="E11325" s="17"/>
      <c r="F11325" s="17" t="s">
        <v>17246</v>
      </c>
      <c r="G11325" s="17"/>
      <c r="H11325" s="17" t="s">
        <v>20919</v>
      </c>
      <c r="I11325" s="17"/>
      <c r="J11325" s="17" t="s">
        <v>21313</v>
      </c>
      <c r="K11325" s="17"/>
      <c r="L11325" s="17" t="s">
        <v>22378</v>
      </c>
      <c r="M11325" s="17"/>
      <c r="N11325" s="17" t="s">
        <v>22459</v>
      </c>
      <c r="O11325" s="17"/>
      <c r="P11325" s="17" t="s">
        <v>23208</v>
      </c>
      <c r="Q11325" s="17"/>
      <c r="R11325" s="25" t="str">
        <f>HYPERLINK("https://ictv.global/taxonomy/taxondetails?taxnode_id=202311399","Tikiyavirus chthonadaptatum")</f>
        <v>Tikiyavirus chthonadaptatum</v>
      </c>
      <c r="S11325" s="18" t="s">
        <v>30</v>
      </c>
      <c r="T11325" s="18" t="s">
        <v>23126</v>
      </c>
      <c r="U11325" s="18"/>
      <c r="V11325" s="18"/>
      <c r="W11325" s="18" t="s">
        <v>23127</v>
      </c>
      <c r="X11325" s="18" t="s">
        <v>35</v>
      </c>
      <c r="Y11325" s="18" t="s">
        <v>17171</v>
      </c>
      <c r="Z11325" s="18" t="s">
        <v>697</v>
      </c>
      <c r="AA11325" s="21" t="str">
        <f>HYPERLINK("https://www.ncbi.nlm.nih.gov/nuccore/BK013540","NCBI Nucleotide")</f>
        <v>NCBI Nucleotide</v>
      </c>
    </row>
    <row r="11326" spans="1:27" x14ac:dyDescent="0.35">
      <c r="A11326">
        <v>1010139</v>
      </c>
      <c r="B11326">
        <v>10651</v>
      </c>
      <c r="C11326">
        <v>1</v>
      </c>
      <c r="D11326" s="17" t="s">
        <v>17166</v>
      </c>
      <c r="E11326" s="17"/>
      <c r="F11326" s="17" t="s">
        <v>17246</v>
      </c>
      <c r="G11326" s="17"/>
      <c r="H11326" s="17" t="s">
        <v>20919</v>
      </c>
      <c r="I11326" s="17"/>
      <c r="J11326" s="17" t="s">
        <v>21313</v>
      </c>
      <c r="K11326" s="17"/>
      <c r="L11326" s="17" t="s">
        <v>22378</v>
      </c>
      <c r="M11326" s="17"/>
      <c r="N11326" s="17" t="s">
        <v>22459</v>
      </c>
      <c r="O11326" s="17"/>
      <c r="P11326" s="17" t="s">
        <v>23208</v>
      </c>
      <c r="Q11326" s="17"/>
      <c r="R11326" s="25" t="str">
        <f>HYPERLINK("https://ictv.global/taxonomy/taxondetails?taxnode_id=202311401","Tikiyavirus chthonenecus")</f>
        <v>Tikiyavirus chthonenecus</v>
      </c>
      <c r="S11326" s="18" t="s">
        <v>30</v>
      </c>
      <c r="T11326" s="18" t="s">
        <v>23128</v>
      </c>
      <c r="U11326" s="18"/>
      <c r="V11326" s="18"/>
      <c r="W11326" s="18" t="s">
        <v>23129</v>
      </c>
      <c r="X11326" s="18" t="s">
        <v>35</v>
      </c>
      <c r="Y11326" s="18" t="s">
        <v>17171</v>
      </c>
      <c r="Z11326" s="18" t="s">
        <v>697</v>
      </c>
      <c r="AA11326" s="21" t="str">
        <f>HYPERLINK("https://www.ncbi.nlm.nih.gov/nuccore/BK013790","NCBI Nucleotide")</f>
        <v>NCBI Nucleotide</v>
      </c>
    </row>
    <row r="11327" spans="1:27" x14ac:dyDescent="0.35">
      <c r="A11327">
        <v>1010140</v>
      </c>
      <c r="B11327">
        <v>10652</v>
      </c>
      <c r="C11327">
        <v>1</v>
      </c>
      <c r="D11327" s="17" t="s">
        <v>17166</v>
      </c>
      <c r="E11327" s="17"/>
      <c r="F11327" s="17" t="s">
        <v>17246</v>
      </c>
      <c r="G11327" s="17"/>
      <c r="H11327" s="17" t="s">
        <v>20919</v>
      </c>
      <c r="I11327" s="17"/>
      <c r="J11327" s="17" t="s">
        <v>21313</v>
      </c>
      <c r="K11327" s="17"/>
      <c r="L11327" s="17" t="s">
        <v>22378</v>
      </c>
      <c r="M11327" s="17"/>
      <c r="N11327" s="17" t="s">
        <v>22459</v>
      </c>
      <c r="O11327" s="17"/>
      <c r="P11327" s="17" t="s">
        <v>23208</v>
      </c>
      <c r="Q11327" s="17"/>
      <c r="R11327" s="25" t="str">
        <f>HYPERLINK("https://ictv.global/taxonomy/taxondetails?taxnode_id=202311400","Tikiyavirus chthonocola")</f>
        <v>Tikiyavirus chthonocola</v>
      </c>
      <c r="S11327" s="18" t="s">
        <v>30</v>
      </c>
      <c r="T11327" s="18" t="s">
        <v>23130</v>
      </c>
      <c r="U11327" s="18"/>
      <c r="V11327" s="18"/>
      <c r="W11327" s="18" t="s">
        <v>23131</v>
      </c>
      <c r="X11327" s="18" t="s">
        <v>35</v>
      </c>
      <c r="Y11327" s="18" t="s">
        <v>17171</v>
      </c>
      <c r="Z11327" s="18" t="s">
        <v>697</v>
      </c>
      <c r="AA11327" s="21" t="str">
        <f>HYPERLINK("https://www.ncbi.nlm.nih.gov/nuccore/BK013917","NCBI Nucleotide")</f>
        <v>NCBI Nucleotide</v>
      </c>
    </row>
    <row r="11328" spans="1:27" x14ac:dyDescent="0.35">
      <c r="A11328">
        <v>1010141</v>
      </c>
      <c r="B11328">
        <v>10653</v>
      </c>
      <c r="C11328">
        <v>1</v>
      </c>
      <c r="D11328" s="17" t="s">
        <v>17166</v>
      </c>
      <c r="E11328" s="17"/>
      <c r="F11328" s="17" t="s">
        <v>17246</v>
      </c>
      <c r="G11328" s="17"/>
      <c r="H11328" s="17" t="s">
        <v>20919</v>
      </c>
      <c r="I11328" s="17"/>
      <c r="J11328" s="17" t="s">
        <v>21313</v>
      </c>
      <c r="K11328" s="17"/>
      <c r="L11328" s="17" t="s">
        <v>22378</v>
      </c>
      <c r="M11328" s="17"/>
      <c r="N11328" s="17" t="s">
        <v>22459</v>
      </c>
      <c r="O11328" s="17"/>
      <c r="P11328" s="17" t="s">
        <v>23208</v>
      </c>
      <c r="Q11328" s="17"/>
      <c r="R11328" s="25" t="str">
        <f>HYPERLINK("https://ictv.global/taxonomy/taxondetails?taxnode_id=202311402","Tikiyavirus chthonohabitans")</f>
        <v>Tikiyavirus chthonohabitans</v>
      </c>
      <c r="S11328" s="18" t="s">
        <v>30</v>
      </c>
      <c r="T11328" s="18" t="s">
        <v>23132</v>
      </c>
      <c r="U11328" s="18"/>
      <c r="V11328" s="18"/>
      <c r="W11328" s="18" t="s">
        <v>23133</v>
      </c>
      <c r="X11328" s="18" t="s">
        <v>35</v>
      </c>
      <c r="Y11328" s="18" t="s">
        <v>17171</v>
      </c>
      <c r="Z11328" s="18" t="s">
        <v>697</v>
      </c>
      <c r="AA11328" s="21" t="str">
        <f>HYPERLINK("https://www.ncbi.nlm.nih.gov/nuccore/BK013466","NCBI Nucleotide")</f>
        <v>NCBI Nucleotide</v>
      </c>
    </row>
    <row r="11329" spans="1:27" x14ac:dyDescent="0.35">
      <c r="A11329">
        <v>1010142</v>
      </c>
      <c r="B11329">
        <v>10654</v>
      </c>
      <c r="C11329">
        <v>1</v>
      </c>
      <c r="D11329" s="17" t="s">
        <v>17166</v>
      </c>
      <c r="E11329" s="17"/>
      <c r="F11329" s="17" t="s">
        <v>17246</v>
      </c>
      <c r="G11329" s="17"/>
      <c r="H11329" s="17" t="s">
        <v>20919</v>
      </c>
      <c r="I11329" s="17"/>
      <c r="J11329" s="17" t="s">
        <v>21313</v>
      </c>
      <c r="K11329" s="17"/>
      <c r="L11329" s="17" t="s">
        <v>22378</v>
      </c>
      <c r="M11329" s="17"/>
      <c r="N11329" s="17" t="s">
        <v>22459</v>
      </c>
      <c r="O11329" s="17"/>
      <c r="P11329" s="17" t="s">
        <v>23208</v>
      </c>
      <c r="Q11329" s="17"/>
      <c r="R11329" s="25" t="str">
        <f>HYPERLINK("https://ictv.global/taxonomy/taxondetails?taxnode_id=202311403","Tikiyavirus chthonovicinum")</f>
        <v>Tikiyavirus chthonovicinum</v>
      </c>
      <c r="S11329" s="18" t="s">
        <v>30</v>
      </c>
      <c r="T11329" s="18" t="s">
        <v>23134</v>
      </c>
      <c r="U11329" s="18"/>
      <c r="V11329" s="18"/>
      <c r="W11329" s="18" t="s">
        <v>23135</v>
      </c>
      <c r="X11329" s="18" t="s">
        <v>35</v>
      </c>
      <c r="Y11329" s="18" t="s">
        <v>17171</v>
      </c>
      <c r="Z11329" s="18" t="s">
        <v>697</v>
      </c>
      <c r="AA11329" s="21" t="str">
        <f>HYPERLINK("https://www.ncbi.nlm.nih.gov/nuccore/BK013926","NCBI Nucleotide")</f>
        <v>NCBI Nucleotide</v>
      </c>
    </row>
    <row r="11330" spans="1:27" x14ac:dyDescent="0.35">
      <c r="A11330">
        <v>1010143</v>
      </c>
      <c r="B11330">
        <v>10655</v>
      </c>
      <c r="C11330">
        <v>1</v>
      </c>
      <c r="D11330" s="17" t="s">
        <v>17166</v>
      </c>
      <c r="E11330" s="17"/>
      <c r="F11330" s="17" t="s">
        <v>17246</v>
      </c>
      <c r="G11330" s="17"/>
      <c r="H11330" s="17" t="s">
        <v>20919</v>
      </c>
      <c r="I11330" s="17"/>
      <c r="J11330" s="17" t="s">
        <v>21313</v>
      </c>
      <c r="K11330" s="17"/>
      <c r="L11330" s="17" t="s">
        <v>22378</v>
      </c>
      <c r="M11330" s="17"/>
      <c r="N11330" s="17" t="s">
        <v>22459</v>
      </c>
      <c r="O11330" s="17"/>
      <c r="P11330" s="17" t="s">
        <v>23208</v>
      </c>
      <c r="Q11330" s="17"/>
      <c r="R11330" s="25" t="str">
        <f>HYPERLINK("https://ictv.global/taxonomy/taxondetails?taxnode_id=202311404","Tikiyavirus chthonovivens")</f>
        <v>Tikiyavirus chthonovivens</v>
      </c>
      <c r="S11330" s="18" t="s">
        <v>30</v>
      </c>
      <c r="T11330" s="18" t="s">
        <v>23136</v>
      </c>
      <c r="U11330" s="18"/>
      <c r="V11330" s="18"/>
      <c r="W11330" s="18" t="s">
        <v>23137</v>
      </c>
      <c r="X11330" s="18" t="s">
        <v>35</v>
      </c>
      <c r="Y11330" s="18" t="s">
        <v>17171</v>
      </c>
      <c r="Z11330" s="18" t="s">
        <v>697</v>
      </c>
      <c r="AA11330" s="21" t="str">
        <f>HYPERLINK("https://www.ncbi.nlm.nih.gov/nuccore/BK013969","NCBI Nucleotide")</f>
        <v>NCBI Nucleotide</v>
      </c>
    </row>
    <row r="11331" spans="1:27" x14ac:dyDescent="0.35">
      <c r="A11331">
        <v>1026316</v>
      </c>
      <c r="B11331">
        <v>10656</v>
      </c>
      <c r="C11331">
        <v>1</v>
      </c>
      <c r="D11331" s="17" t="s">
        <v>17166</v>
      </c>
      <c r="E11331" s="17"/>
      <c r="F11331" s="17" t="s">
        <v>17246</v>
      </c>
      <c r="G11331" s="17"/>
      <c r="H11331" s="17" t="s">
        <v>20919</v>
      </c>
      <c r="I11331" s="17"/>
      <c r="J11331" s="17" t="s">
        <v>21313</v>
      </c>
      <c r="K11331" s="17"/>
      <c r="L11331" s="17" t="s">
        <v>22378</v>
      </c>
      <c r="M11331" s="17"/>
      <c r="N11331" s="17" t="s">
        <v>22459</v>
      </c>
      <c r="O11331" s="17"/>
      <c r="P11331" s="17" t="s">
        <v>23208</v>
      </c>
      <c r="Q11331" s="17"/>
      <c r="R11331" s="25" t="str">
        <f>HYPERLINK("https://ictv.global/taxonomy/taxondetails?taxnode_id=202317654","Tikiyavirus edaphenecus")</f>
        <v>Tikiyavirus edaphenecus</v>
      </c>
      <c r="S11331" s="18" t="s">
        <v>30</v>
      </c>
      <c r="T11331" s="18" t="s">
        <v>46141</v>
      </c>
      <c r="U11331" s="18"/>
      <c r="V11331" s="18"/>
      <c r="W11331" s="18" t="s">
        <v>46142</v>
      </c>
      <c r="X11331" s="18" t="s">
        <v>35</v>
      </c>
      <c r="Y11331" s="18" t="s">
        <v>17171</v>
      </c>
      <c r="Z11331" s="18" t="s">
        <v>24637</v>
      </c>
      <c r="AA11331" s="21" t="str">
        <f>HYPERLINK("https://www.ncbi.nlm.nih.gov/nuccore/CASDWV010002046","NCBI Nucleotide")</f>
        <v>NCBI Nucleotide</v>
      </c>
    </row>
    <row r="11332" spans="1:27" x14ac:dyDescent="0.35">
      <c r="A11332">
        <v>1026317</v>
      </c>
      <c r="B11332">
        <v>10657</v>
      </c>
      <c r="C11332">
        <v>1</v>
      </c>
      <c r="D11332" s="17" t="s">
        <v>17166</v>
      </c>
      <c r="E11332" s="17"/>
      <c r="F11332" s="17" t="s">
        <v>17246</v>
      </c>
      <c r="G11332" s="17"/>
      <c r="H11332" s="17" t="s">
        <v>20919</v>
      </c>
      <c r="I11332" s="17"/>
      <c r="J11332" s="17" t="s">
        <v>21313</v>
      </c>
      <c r="K11332" s="17"/>
      <c r="L11332" s="17" t="s">
        <v>22378</v>
      </c>
      <c r="M11332" s="17"/>
      <c r="N11332" s="17" t="s">
        <v>22459</v>
      </c>
      <c r="O11332" s="17"/>
      <c r="P11332" s="17" t="s">
        <v>23208</v>
      </c>
      <c r="Q11332" s="17"/>
      <c r="R11332" s="25" t="str">
        <f>HYPERLINK("https://ictv.global/taxonomy/taxondetails?taxnode_id=202317655","Tikiyavirus faecadaptatum")</f>
        <v>Tikiyavirus faecadaptatum</v>
      </c>
      <c r="S11332" s="18" t="s">
        <v>30</v>
      </c>
      <c r="T11332" s="18" t="s">
        <v>46143</v>
      </c>
      <c r="U11332" s="18"/>
      <c r="V11332" s="18" t="s">
        <v>46143</v>
      </c>
      <c r="W11332" s="18" t="s">
        <v>46144</v>
      </c>
      <c r="X11332" s="18" t="s">
        <v>35</v>
      </c>
      <c r="Y11332" s="18" t="s">
        <v>17171</v>
      </c>
      <c r="Z11332" s="18" t="s">
        <v>24637</v>
      </c>
      <c r="AA11332" s="21" t="str">
        <f>HYPERLINK("https://www.ncbi.nlm.nih.gov/nuccore/MZ679644","NCBI Nucleotide")</f>
        <v>NCBI Nucleotide</v>
      </c>
    </row>
    <row r="11333" spans="1:27" x14ac:dyDescent="0.35">
      <c r="A11333">
        <v>1026318</v>
      </c>
      <c r="B11333">
        <v>10658</v>
      </c>
      <c r="C11333">
        <v>1</v>
      </c>
      <c r="D11333" s="17" t="s">
        <v>17166</v>
      </c>
      <c r="E11333" s="17"/>
      <c r="F11333" s="17" t="s">
        <v>17246</v>
      </c>
      <c r="G11333" s="17"/>
      <c r="H11333" s="17" t="s">
        <v>20919</v>
      </c>
      <c r="I11333" s="17"/>
      <c r="J11333" s="17" t="s">
        <v>21313</v>
      </c>
      <c r="K11333" s="17"/>
      <c r="L11333" s="17" t="s">
        <v>22378</v>
      </c>
      <c r="M11333" s="17"/>
      <c r="N11333" s="17" t="s">
        <v>22459</v>
      </c>
      <c r="O11333" s="17"/>
      <c r="P11333" s="17" t="s">
        <v>23208</v>
      </c>
      <c r="Q11333" s="17"/>
      <c r="R11333" s="25" t="str">
        <f>HYPERLINK("https://ictv.global/taxonomy/taxondetails?taxnode_id=202317656","Tikiyavirus faecivicinum")</f>
        <v>Tikiyavirus faecivicinum</v>
      </c>
      <c r="S11333" s="18" t="s">
        <v>30</v>
      </c>
      <c r="T11333" s="18" t="s">
        <v>46145</v>
      </c>
      <c r="U11333" s="18"/>
      <c r="V11333" s="18" t="s">
        <v>46145</v>
      </c>
      <c r="W11333" s="18" t="s">
        <v>46146</v>
      </c>
      <c r="X11333" s="18" t="s">
        <v>35</v>
      </c>
      <c r="Y11333" s="18" t="s">
        <v>17171</v>
      </c>
      <c r="Z11333" s="18" t="s">
        <v>24637</v>
      </c>
      <c r="AA11333" s="21" t="str">
        <f>HYPERLINK("https://www.ncbi.nlm.nih.gov/nuccore/MZ679700","NCBI Nucleotide")</f>
        <v>NCBI Nucleotide</v>
      </c>
    </row>
    <row r="11334" spans="1:27" x14ac:dyDescent="0.35">
      <c r="A11334">
        <v>1026319</v>
      </c>
      <c r="B11334">
        <v>10659</v>
      </c>
      <c r="C11334">
        <v>1</v>
      </c>
      <c r="D11334" s="17" t="s">
        <v>17166</v>
      </c>
      <c r="E11334" s="17"/>
      <c r="F11334" s="17" t="s">
        <v>17246</v>
      </c>
      <c r="G11334" s="17"/>
      <c r="H11334" s="17" t="s">
        <v>20919</v>
      </c>
      <c r="I11334" s="17"/>
      <c r="J11334" s="17" t="s">
        <v>21313</v>
      </c>
      <c r="K11334" s="17"/>
      <c r="L11334" s="17" t="s">
        <v>22378</v>
      </c>
      <c r="M11334" s="17"/>
      <c r="N11334" s="17" t="s">
        <v>22459</v>
      </c>
      <c r="O11334" s="17"/>
      <c r="P11334" s="17" t="s">
        <v>23208</v>
      </c>
      <c r="Q11334" s="17"/>
      <c r="R11334" s="25" t="str">
        <f>HYPERLINK("https://ictv.global/taxonomy/taxondetails?taxnode_id=202317657","Tikiyavirus faecivivens")</f>
        <v>Tikiyavirus faecivivens</v>
      </c>
      <c r="S11334" s="18" t="s">
        <v>30</v>
      </c>
      <c r="T11334" s="18" t="s">
        <v>46147</v>
      </c>
      <c r="U11334" s="18"/>
      <c r="V11334" s="18" t="s">
        <v>46147</v>
      </c>
      <c r="W11334" s="18" t="s">
        <v>46148</v>
      </c>
      <c r="X11334" s="18" t="s">
        <v>35</v>
      </c>
      <c r="Y11334" s="18" t="s">
        <v>17171</v>
      </c>
      <c r="Z11334" s="18" t="s">
        <v>24637</v>
      </c>
      <c r="AA11334" s="21" t="str">
        <f>HYPERLINK("https://www.ncbi.nlm.nih.gov/nuccore/MZ679611","NCBI Nucleotide")</f>
        <v>NCBI Nucleotide</v>
      </c>
    </row>
    <row r="11335" spans="1:27" x14ac:dyDescent="0.35">
      <c r="A11335">
        <v>1010144</v>
      </c>
      <c r="B11335">
        <v>10660</v>
      </c>
      <c r="C11335">
        <v>1</v>
      </c>
      <c r="D11335" s="17" t="s">
        <v>17166</v>
      </c>
      <c r="E11335" s="17"/>
      <c r="F11335" s="17" t="s">
        <v>17246</v>
      </c>
      <c r="G11335" s="17"/>
      <c r="H11335" s="17" t="s">
        <v>20919</v>
      </c>
      <c r="I11335" s="17"/>
      <c r="J11335" s="17" t="s">
        <v>21313</v>
      </c>
      <c r="K11335" s="17"/>
      <c r="L11335" s="17" t="s">
        <v>22378</v>
      </c>
      <c r="M11335" s="17"/>
      <c r="N11335" s="17" t="s">
        <v>22459</v>
      </c>
      <c r="O11335" s="17"/>
      <c r="P11335" s="17" t="s">
        <v>23208</v>
      </c>
      <c r="Q11335" s="17"/>
      <c r="R11335" s="25" t="str">
        <f>HYPERLINK("https://ictv.global/taxonomy/taxondetails?taxnode_id=202311405","Tikiyavirus geoadaptatum")</f>
        <v>Tikiyavirus geoadaptatum</v>
      </c>
      <c r="S11335" s="18" t="s">
        <v>30</v>
      </c>
      <c r="T11335" s="18" t="s">
        <v>23138</v>
      </c>
      <c r="U11335" s="18"/>
      <c r="V11335" s="18"/>
      <c r="W11335" s="18" t="s">
        <v>23139</v>
      </c>
      <c r="X11335" s="18" t="s">
        <v>35</v>
      </c>
      <c r="Y11335" s="18" t="s">
        <v>17171</v>
      </c>
      <c r="Z11335" s="18" t="s">
        <v>697</v>
      </c>
      <c r="AA11335" s="21" t="str">
        <f>HYPERLINK("https://www.ncbi.nlm.nih.gov/nuccore/BK013553","NCBI Nucleotide")</f>
        <v>NCBI Nucleotide</v>
      </c>
    </row>
    <row r="11336" spans="1:27" x14ac:dyDescent="0.35">
      <c r="A11336">
        <v>1010145</v>
      </c>
      <c r="B11336">
        <v>10661</v>
      </c>
      <c r="C11336">
        <v>1</v>
      </c>
      <c r="D11336" s="17" t="s">
        <v>17166</v>
      </c>
      <c r="E11336" s="17"/>
      <c r="F11336" s="17" t="s">
        <v>17246</v>
      </c>
      <c r="G11336" s="17"/>
      <c r="H11336" s="17" t="s">
        <v>20919</v>
      </c>
      <c r="I11336" s="17"/>
      <c r="J11336" s="17" t="s">
        <v>21313</v>
      </c>
      <c r="K11336" s="17"/>
      <c r="L11336" s="17" t="s">
        <v>22378</v>
      </c>
      <c r="M11336" s="17"/>
      <c r="N11336" s="17" t="s">
        <v>22459</v>
      </c>
      <c r="O11336" s="17"/>
      <c r="P11336" s="17" t="s">
        <v>23208</v>
      </c>
      <c r="Q11336" s="17"/>
      <c r="R11336" s="25" t="str">
        <f>HYPERLINK("https://ictv.global/taxonomy/taxondetails?taxnode_id=202311406","Tikiyavirus geocola")</f>
        <v>Tikiyavirus geocola</v>
      </c>
      <c r="S11336" s="18" t="s">
        <v>30</v>
      </c>
      <c r="T11336" s="18" t="s">
        <v>23140</v>
      </c>
      <c r="U11336" s="18"/>
      <c r="V11336" s="18"/>
      <c r="W11336" s="18" t="s">
        <v>23141</v>
      </c>
      <c r="X11336" s="18" t="s">
        <v>35</v>
      </c>
      <c r="Y11336" s="18" t="s">
        <v>17171</v>
      </c>
      <c r="Z11336" s="18" t="s">
        <v>697</v>
      </c>
      <c r="AA11336" s="21" t="str">
        <f>HYPERLINK("https://www.ncbi.nlm.nih.gov/nuccore/BK013546","NCBI Nucleotide")</f>
        <v>NCBI Nucleotide</v>
      </c>
    </row>
    <row r="11337" spans="1:27" x14ac:dyDescent="0.35">
      <c r="A11337">
        <v>1010146</v>
      </c>
      <c r="B11337">
        <v>10662</v>
      </c>
      <c r="C11337">
        <v>1</v>
      </c>
      <c r="D11337" s="17" t="s">
        <v>17166</v>
      </c>
      <c r="E11337" s="17"/>
      <c r="F11337" s="17" t="s">
        <v>17246</v>
      </c>
      <c r="G11337" s="17"/>
      <c r="H11337" s="17" t="s">
        <v>20919</v>
      </c>
      <c r="I11337" s="17"/>
      <c r="J11337" s="17" t="s">
        <v>21313</v>
      </c>
      <c r="K11337" s="17"/>
      <c r="L11337" s="17" t="s">
        <v>22378</v>
      </c>
      <c r="M11337" s="17"/>
      <c r="N11337" s="17" t="s">
        <v>22459</v>
      </c>
      <c r="O11337" s="17"/>
      <c r="P11337" s="17" t="s">
        <v>23208</v>
      </c>
      <c r="Q11337" s="17"/>
      <c r="R11337" s="25" t="str">
        <f>HYPERLINK("https://ictv.global/taxonomy/taxondetails?taxnode_id=202311407","Tikiyavirus geoenecus")</f>
        <v>Tikiyavirus geoenecus</v>
      </c>
      <c r="S11337" s="18" t="s">
        <v>30</v>
      </c>
      <c r="T11337" s="18" t="s">
        <v>23142</v>
      </c>
      <c r="U11337" s="18"/>
      <c r="V11337" s="18"/>
      <c r="W11337" s="18" t="s">
        <v>23143</v>
      </c>
      <c r="X11337" s="18" t="s">
        <v>35</v>
      </c>
      <c r="Y11337" s="18" t="s">
        <v>17171</v>
      </c>
      <c r="Z11337" s="18" t="s">
        <v>697</v>
      </c>
      <c r="AA11337" s="21" t="str">
        <f>HYPERLINK("https://www.ncbi.nlm.nih.gov/nuccore/BK013477","NCBI Nucleotide")</f>
        <v>NCBI Nucleotide</v>
      </c>
    </row>
    <row r="11338" spans="1:27" x14ac:dyDescent="0.35">
      <c r="A11338">
        <v>1010147</v>
      </c>
      <c r="B11338">
        <v>10663</v>
      </c>
      <c r="C11338">
        <v>1</v>
      </c>
      <c r="D11338" s="17" t="s">
        <v>17166</v>
      </c>
      <c r="E11338" s="17"/>
      <c r="F11338" s="17" t="s">
        <v>17246</v>
      </c>
      <c r="G11338" s="17"/>
      <c r="H11338" s="17" t="s">
        <v>20919</v>
      </c>
      <c r="I11338" s="17"/>
      <c r="J11338" s="17" t="s">
        <v>21313</v>
      </c>
      <c r="K11338" s="17"/>
      <c r="L11338" s="17" t="s">
        <v>22378</v>
      </c>
      <c r="M11338" s="17"/>
      <c r="N11338" s="17" t="s">
        <v>22459</v>
      </c>
      <c r="O11338" s="17"/>
      <c r="P11338" s="17" t="s">
        <v>23208</v>
      </c>
      <c r="Q11338" s="17"/>
      <c r="R11338" s="25" t="str">
        <f>HYPERLINK("https://ictv.global/taxonomy/taxondetails?taxnode_id=202311408","Tikiyavirus geohabitans")</f>
        <v>Tikiyavirus geohabitans</v>
      </c>
      <c r="S11338" s="18" t="s">
        <v>30</v>
      </c>
      <c r="T11338" s="18" t="s">
        <v>23144</v>
      </c>
      <c r="U11338" s="18"/>
      <c r="V11338" s="18"/>
      <c r="W11338" s="18" t="s">
        <v>23145</v>
      </c>
      <c r="X11338" s="18" t="s">
        <v>35</v>
      </c>
      <c r="Y11338" s="18" t="s">
        <v>17171</v>
      </c>
      <c r="Z11338" s="18" t="s">
        <v>697</v>
      </c>
      <c r="AA11338" s="21" t="str">
        <f>HYPERLINK("https://www.ncbi.nlm.nih.gov/nuccore/BK013889","NCBI Nucleotide")</f>
        <v>NCBI Nucleotide</v>
      </c>
    </row>
    <row r="11339" spans="1:27" x14ac:dyDescent="0.35">
      <c r="A11339">
        <v>1010148</v>
      </c>
      <c r="B11339">
        <v>10664</v>
      </c>
      <c r="C11339">
        <v>1</v>
      </c>
      <c r="D11339" s="17" t="s">
        <v>17166</v>
      </c>
      <c r="E11339" s="17"/>
      <c r="F11339" s="17" t="s">
        <v>17246</v>
      </c>
      <c r="G11339" s="17"/>
      <c r="H11339" s="17" t="s">
        <v>20919</v>
      </c>
      <c r="I11339" s="17"/>
      <c r="J11339" s="17" t="s">
        <v>21313</v>
      </c>
      <c r="K11339" s="17"/>
      <c r="L11339" s="17" t="s">
        <v>22378</v>
      </c>
      <c r="M11339" s="17"/>
      <c r="N11339" s="17" t="s">
        <v>22459</v>
      </c>
      <c r="O11339" s="17"/>
      <c r="P11339" s="17" t="s">
        <v>23208</v>
      </c>
      <c r="Q11339" s="17"/>
      <c r="R11339" s="25" t="str">
        <f>HYPERLINK("https://ictv.global/taxonomy/taxondetails?taxnode_id=202311409","Tikiyavirus geovicinum")</f>
        <v>Tikiyavirus geovicinum</v>
      </c>
      <c r="S11339" s="18" t="s">
        <v>30</v>
      </c>
      <c r="T11339" s="18" t="s">
        <v>23146</v>
      </c>
      <c r="U11339" s="18"/>
      <c r="V11339" s="18"/>
      <c r="W11339" s="18" t="s">
        <v>23147</v>
      </c>
      <c r="X11339" s="18" t="s">
        <v>35</v>
      </c>
      <c r="Y11339" s="18" t="s">
        <v>17171</v>
      </c>
      <c r="Z11339" s="18" t="s">
        <v>697</v>
      </c>
      <c r="AA11339" s="21" t="str">
        <f>HYPERLINK("https://www.ncbi.nlm.nih.gov/nuccore/BK013407","NCBI Nucleotide")</f>
        <v>NCBI Nucleotide</v>
      </c>
    </row>
    <row r="11340" spans="1:27" x14ac:dyDescent="0.35">
      <c r="A11340">
        <v>1010149</v>
      </c>
      <c r="B11340">
        <v>10665</v>
      </c>
      <c r="C11340">
        <v>1</v>
      </c>
      <c r="D11340" s="17" t="s">
        <v>17166</v>
      </c>
      <c r="E11340" s="17"/>
      <c r="F11340" s="17" t="s">
        <v>17246</v>
      </c>
      <c r="G11340" s="17"/>
      <c r="H11340" s="17" t="s">
        <v>20919</v>
      </c>
      <c r="I11340" s="17"/>
      <c r="J11340" s="17" t="s">
        <v>21313</v>
      </c>
      <c r="K11340" s="17"/>
      <c r="L11340" s="17" t="s">
        <v>22378</v>
      </c>
      <c r="M11340" s="17"/>
      <c r="N11340" s="17" t="s">
        <v>22459</v>
      </c>
      <c r="O11340" s="17"/>
      <c r="P11340" s="17" t="s">
        <v>23208</v>
      </c>
      <c r="Q11340" s="17"/>
      <c r="R11340" s="25" t="str">
        <f>HYPERLINK("https://ictv.global/taxonomy/taxondetails?taxnode_id=202311410","Tikiyavirus geovivens")</f>
        <v>Tikiyavirus geovivens</v>
      </c>
      <c r="S11340" s="18" t="s">
        <v>30</v>
      </c>
      <c r="T11340" s="18" t="s">
        <v>23148</v>
      </c>
      <c r="U11340" s="18"/>
      <c r="V11340" s="18"/>
      <c r="W11340" s="18" t="s">
        <v>23149</v>
      </c>
      <c r="X11340" s="18" t="s">
        <v>35</v>
      </c>
      <c r="Y11340" s="18" t="s">
        <v>17171</v>
      </c>
      <c r="Z11340" s="18" t="s">
        <v>697</v>
      </c>
      <c r="AA11340" s="21" t="str">
        <f>HYPERLINK("https://www.ncbi.nlm.nih.gov/nuccore/BK013561","NCBI Nucleotide")</f>
        <v>NCBI Nucleotide</v>
      </c>
    </row>
    <row r="11341" spans="1:27" x14ac:dyDescent="0.35">
      <c r="A11341">
        <v>1026320</v>
      </c>
      <c r="B11341">
        <v>10666</v>
      </c>
      <c r="C11341">
        <v>1</v>
      </c>
      <c r="D11341" s="17" t="s">
        <v>17166</v>
      </c>
      <c r="E11341" s="17"/>
      <c r="F11341" s="17" t="s">
        <v>17246</v>
      </c>
      <c r="G11341" s="17"/>
      <c r="H11341" s="17" t="s">
        <v>20919</v>
      </c>
      <c r="I11341" s="17"/>
      <c r="J11341" s="17" t="s">
        <v>21313</v>
      </c>
      <c r="K11341" s="17"/>
      <c r="L11341" s="17" t="s">
        <v>22378</v>
      </c>
      <c r="M11341" s="17"/>
      <c r="N11341" s="17" t="s">
        <v>22459</v>
      </c>
      <c r="O11341" s="17"/>
      <c r="P11341" s="17" t="s">
        <v>23208</v>
      </c>
      <c r="Q11341" s="17"/>
      <c r="R11341" s="25" t="str">
        <f>HYPERLINK("https://ictv.global/taxonomy/taxondetails?taxnode_id=202317658","Tikiyavirus humicola")</f>
        <v>Tikiyavirus humicola</v>
      </c>
      <c r="S11341" s="18" t="s">
        <v>30</v>
      </c>
      <c r="T11341" s="18" t="s">
        <v>46149</v>
      </c>
      <c r="U11341" s="18"/>
      <c r="V11341" s="18"/>
      <c r="W11341" s="18" t="s">
        <v>46150</v>
      </c>
      <c r="X11341" s="18" t="s">
        <v>35</v>
      </c>
      <c r="Y11341" s="18" t="s">
        <v>17171</v>
      </c>
      <c r="Z11341" s="18" t="s">
        <v>24637</v>
      </c>
      <c r="AA11341" s="21" t="str">
        <f>HYPERLINK("https://www.ncbi.nlm.nih.gov/nuccore/CASDWV010002394","NCBI Nucleotide")</f>
        <v>NCBI Nucleotide</v>
      </c>
    </row>
    <row r="11342" spans="1:27" x14ac:dyDescent="0.35">
      <c r="A11342">
        <v>1026321</v>
      </c>
      <c r="B11342">
        <v>10667</v>
      </c>
      <c r="C11342">
        <v>1</v>
      </c>
      <c r="D11342" s="17" t="s">
        <v>17166</v>
      </c>
      <c r="E11342" s="17"/>
      <c r="F11342" s="17" t="s">
        <v>17246</v>
      </c>
      <c r="G11342" s="17"/>
      <c r="H11342" s="17" t="s">
        <v>20919</v>
      </c>
      <c r="I11342" s="17"/>
      <c r="J11342" s="17" t="s">
        <v>21313</v>
      </c>
      <c r="K11342" s="17"/>
      <c r="L11342" s="17" t="s">
        <v>22378</v>
      </c>
      <c r="M11342" s="17"/>
      <c r="N11342" s="17" t="s">
        <v>22459</v>
      </c>
      <c r="O11342" s="17"/>
      <c r="P11342" s="17" t="s">
        <v>23208</v>
      </c>
      <c r="Q11342" s="17"/>
      <c r="R11342" s="25" t="str">
        <f>HYPERLINK("https://ictv.global/taxonomy/taxondetails?taxnode_id=202317659","Tikiyavirus lutenecus")</f>
        <v>Tikiyavirus lutenecus</v>
      </c>
      <c r="S11342" s="18" t="s">
        <v>30</v>
      </c>
      <c r="T11342" s="18" t="s">
        <v>46151</v>
      </c>
      <c r="U11342" s="18"/>
      <c r="V11342" s="18"/>
      <c r="W11342" s="18" t="s">
        <v>46152</v>
      </c>
      <c r="X11342" s="18" t="s">
        <v>35</v>
      </c>
      <c r="Y11342" s="18" t="s">
        <v>17171</v>
      </c>
      <c r="Z11342" s="18" t="s">
        <v>24637</v>
      </c>
      <c r="AA11342" s="21" t="str">
        <f>HYPERLINK("https://www.ncbi.nlm.nih.gov/nuccore/CASDWV010004820","NCBI Nucleotide")</f>
        <v>NCBI Nucleotide</v>
      </c>
    </row>
    <row r="11343" spans="1:27" x14ac:dyDescent="0.35">
      <c r="A11343">
        <v>1026322</v>
      </c>
      <c r="B11343">
        <v>10668</v>
      </c>
      <c r="C11343">
        <v>1</v>
      </c>
      <c r="D11343" s="17" t="s">
        <v>17166</v>
      </c>
      <c r="E11343" s="17"/>
      <c r="F11343" s="17" t="s">
        <v>17246</v>
      </c>
      <c r="G11343" s="17"/>
      <c r="H11343" s="17" t="s">
        <v>20919</v>
      </c>
      <c r="I11343" s="17"/>
      <c r="J11343" s="17" t="s">
        <v>21313</v>
      </c>
      <c r="K11343" s="17"/>
      <c r="L11343" s="17" t="s">
        <v>22378</v>
      </c>
      <c r="M11343" s="17"/>
      <c r="N11343" s="17" t="s">
        <v>22459</v>
      </c>
      <c r="O11343" s="17"/>
      <c r="P11343" s="17" t="s">
        <v>23208</v>
      </c>
      <c r="Q11343" s="17"/>
      <c r="R11343" s="25" t="str">
        <f>HYPERLINK("https://ictv.global/taxonomy/taxondetails?taxnode_id=202317660","Tikiyavirus lutihabitans")</f>
        <v>Tikiyavirus lutihabitans</v>
      </c>
      <c r="S11343" s="18" t="s">
        <v>30</v>
      </c>
      <c r="T11343" s="18" t="s">
        <v>46153</v>
      </c>
      <c r="U11343" s="18"/>
      <c r="V11343" s="18"/>
      <c r="W11343" s="18" t="s">
        <v>46154</v>
      </c>
      <c r="X11343" s="18" t="s">
        <v>35</v>
      </c>
      <c r="Y11343" s="18" t="s">
        <v>17171</v>
      </c>
      <c r="Z11343" s="18" t="s">
        <v>24637</v>
      </c>
      <c r="AA11343" s="21" t="str">
        <f>HYPERLINK("https://www.ncbi.nlm.nih.gov/nuccore/CASDWV010003581","NCBI Nucleotide")</f>
        <v>NCBI Nucleotide</v>
      </c>
    </row>
    <row r="11344" spans="1:27" x14ac:dyDescent="0.35">
      <c r="A11344">
        <v>1026323</v>
      </c>
      <c r="B11344">
        <v>10669</v>
      </c>
      <c r="C11344">
        <v>1</v>
      </c>
      <c r="D11344" s="17" t="s">
        <v>17166</v>
      </c>
      <c r="E11344" s="17"/>
      <c r="F11344" s="17" t="s">
        <v>17246</v>
      </c>
      <c r="G11344" s="17"/>
      <c r="H11344" s="17" t="s">
        <v>20919</v>
      </c>
      <c r="I11344" s="17"/>
      <c r="J11344" s="17" t="s">
        <v>21313</v>
      </c>
      <c r="K11344" s="17"/>
      <c r="L11344" s="17" t="s">
        <v>22378</v>
      </c>
      <c r="M11344" s="17"/>
      <c r="N11344" s="17" t="s">
        <v>22459</v>
      </c>
      <c r="O11344" s="17"/>
      <c r="P11344" s="17" t="s">
        <v>23208</v>
      </c>
      <c r="Q11344" s="17"/>
      <c r="R11344" s="25" t="str">
        <f>HYPERLINK("https://ictv.global/taxonomy/taxondetails?taxnode_id=202317661","Tikiyavirus montisadaptatum")</f>
        <v>Tikiyavirus montisadaptatum</v>
      </c>
      <c r="S11344" s="18" t="s">
        <v>30</v>
      </c>
      <c r="T11344" s="18" t="s">
        <v>46155</v>
      </c>
      <c r="U11344" s="18"/>
      <c r="V11344" s="18" t="s">
        <v>46155</v>
      </c>
      <c r="W11344" s="18" t="s">
        <v>46156</v>
      </c>
      <c r="X11344" s="18" t="s">
        <v>35</v>
      </c>
      <c r="Y11344" s="18" t="s">
        <v>17171</v>
      </c>
      <c r="Z11344" s="18" t="s">
        <v>24637</v>
      </c>
      <c r="AA11344" s="21" t="str">
        <f>HYPERLINK("https://www.ncbi.nlm.nih.gov/nuccore/MZ679726","NCBI Nucleotide")</f>
        <v>NCBI Nucleotide</v>
      </c>
    </row>
    <row r="11345" spans="1:27" x14ac:dyDescent="0.35">
      <c r="A11345">
        <v>1026324</v>
      </c>
      <c r="B11345">
        <v>10670</v>
      </c>
      <c r="C11345">
        <v>1</v>
      </c>
      <c r="D11345" s="17" t="s">
        <v>17166</v>
      </c>
      <c r="E11345" s="17"/>
      <c r="F11345" s="17" t="s">
        <v>17246</v>
      </c>
      <c r="G11345" s="17"/>
      <c r="H11345" s="17" t="s">
        <v>20919</v>
      </c>
      <c r="I11345" s="17"/>
      <c r="J11345" s="17" t="s">
        <v>21313</v>
      </c>
      <c r="K11345" s="17"/>
      <c r="L11345" s="17" t="s">
        <v>22378</v>
      </c>
      <c r="M11345" s="17"/>
      <c r="N11345" s="17" t="s">
        <v>22459</v>
      </c>
      <c r="O11345" s="17"/>
      <c r="P11345" s="17" t="s">
        <v>23208</v>
      </c>
      <c r="Q11345" s="17"/>
      <c r="R11345" s="25" t="str">
        <f>HYPERLINK("https://ictv.global/taxonomy/taxondetails?taxnode_id=202317662","Tikiyavirus montishabitans")</f>
        <v>Tikiyavirus montishabitans</v>
      </c>
      <c r="S11345" s="18" t="s">
        <v>30</v>
      </c>
      <c r="T11345" s="18" t="s">
        <v>46157</v>
      </c>
      <c r="U11345" s="18"/>
      <c r="V11345" s="18" t="s">
        <v>46157</v>
      </c>
      <c r="W11345" s="18" t="s">
        <v>46158</v>
      </c>
      <c r="X11345" s="18" t="s">
        <v>35</v>
      </c>
      <c r="Y11345" s="18" t="s">
        <v>17171</v>
      </c>
      <c r="Z11345" s="18" t="s">
        <v>24637</v>
      </c>
      <c r="AA11345" s="21" t="str">
        <f>HYPERLINK("https://www.ncbi.nlm.nih.gov/nuccore/MZ679564","NCBI Nucleotide")</f>
        <v>NCBI Nucleotide</v>
      </c>
    </row>
    <row r="11346" spans="1:27" x14ac:dyDescent="0.35">
      <c r="A11346">
        <v>1026325</v>
      </c>
      <c r="B11346">
        <v>10671</v>
      </c>
      <c r="C11346">
        <v>1</v>
      </c>
      <c r="D11346" s="17" t="s">
        <v>17166</v>
      </c>
      <c r="E11346" s="17"/>
      <c r="F11346" s="17" t="s">
        <v>17246</v>
      </c>
      <c r="G11346" s="17"/>
      <c r="H11346" s="17" t="s">
        <v>20919</v>
      </c>
      <c r="I11346" s="17"/>
      <c r="J11346" s="17" t="s">
        <v>21313</v>
      </c>
      <c r="K11346" s="17"/>
      <c r="L11346" s="17" t="s">
        <v>22378</v>
      </c>
      <c r="M11346" s="17"/>
      <c r="N11346" s="17" t="s">
        <v>22459</v>
      </c>
      <c r="O11346" s="17"/>
      <c r="P11346" s="17" t="s">
        <v>23208</v>
      </c>
      <c r="Q11346" s="17"/>
      <c r="R11346" s="25" t="str">
        <f>HYPERLINK("https://ictv.global/taxonomy/taxondetails?taxnode_id=202317663","Tikiyavirus montisvivens")</f>
        <v>Tikiyavirus montisvivens</v>
      </c>
      <c r="S11346" s="18" t="s">
        <v>30</v>
      </c>
      <c r="T11346" s="18" t="s">
        <v>46159</v>
      </c>
      <c r="U11346" s="18"/>
      <c r="V11346" s="18" t="s">
        <v>46159</v>
      </c>
      <c r="W11346" s="18" t="s">
        <v>46160</v>
      </c>
      <c r="X11346" s="18" t="s">
        <v>35</v>
      </c>
      <c r="Y11346" s="18" t="s">
        <v>17171</v>
      </c>
      <c r="Z11346" s="18" t="s">
        <v>24637</v>
      </c>
      <c r="AA11346" s="21" t="str">
        <f>HYPERLINK("https://www.ncbi.nlm.nih.gov/nuccore/MZ679734","NCBI Nucleotide")</f>
        <v>NCBI Nucleotide</v>
      </c>
    </row>
    <row r="11347" spans="1:27" x14ac:dyDescent="0.35">
      <c r="A11347">
        <v>1026326</v>
      </c>
      <c r="B11347">
        <v>10672</v>
      </c>
      <c r="C11347">
        <v>1</v>
      </c>
      <c r="D11347" s="17" t="s">
        <v>17166</v>
      </c>
      <c r="E11347" s="17"/>
      <c r="F11347" s="17" t="s">
        <v>17246</v>
      </c>
      <c r="G11347" s="17"/>
      <c r="H11347" s="17" t="s">
        <v>20919</v>
      </c>
      <c r="I11347" s="17"/>
      <c r="J11347" s="17" t="s">
        <v>21313</v>
      </c>
      <c r="K11347" s="17"/>
      <c r="L11347" s="17" t="s">
        <v>22378</v>
      </c>
      <c r="M11347" s="17"/>
      <c r="N11347" s="17" t="s">
        <v>22459</v>
      </c>
      <c r="O11347" s="17"/>
      <c r="P11347" s="17" t="s">
        <v>23208</v>
      </c>
      <c r="Q11347" s="17"/>
      <c r="R11347" s="25" t="str">
        <f>HYPERLINK("https://ictv.global/taxonomy/taxondetails?taxnode_id=202317664","Tikiyavirus nemorisenecus")</f>
        <v>Tikiyavirus nemorisenecus</v>
      </c>
      <c r="S11347" s="18" t="s">
        <v>30</v>
      </c>
      <c r="T11347" s="18" t="s">
        <v>46161</v>
      </c>
      <c r="U11347" s="18"/>
      <c r="V11347" s="18" t="s">
        <v>46161</v>
      </c>
      <c r="W11347" s="18" t="s">
        <v>46162</v>
      </c>
      <c r="X11347" s="18" t="s">
        <v>35</v>
      </c>
      <c r="Y11347" s="18" t="s">
        <v>17171</v>
      </c>
      <c r="Z11347" s="18" t="s">
        <v>24637</v>
      </c>
      <c r="AA11347" s="21" t="str">
        <f>HYPERLINK("https://www.ncbi.nlm.nih.gov/nuccore/MZ679605","NCBI Nucleotide")</f>
        <v>NCBI Nucleotide</v>
      </c>
    </row>
    <row r="11348" spans="1:27" x14ac:dyDescent="0.35">
      <c r="A11348">
        <v>1026327</v>
      </c>
      <c r="B11348">
        <v>10673</v>
      </c>
      <c r="C11348">
        <v>1</v>
      </c>
      <c r="D11348" s="17" t="s">
        <v>17166</v>
      </c>
      <c r="E11348" s="17"/>
      <c r="F11348" s="17" t="s">
        <v>17246</v>
      </c>
      <c r="G11348" s="17"/>
      <c r="H11348" s="17" t="s">
        <v>20919</v>
      </c>
      <c r="I11348" s="17"/>
      <c r="J11348" s="17" t="s">
        <v>21313</v>
      </c>
      <c r="K11348" s="17"/>
      <c r="L11348" s="17" t="s">
        <v>22378</v>
      </c>
      <c r="M11348" s="17"/>
      <c r="N11348" s="17" t="s">
        <v>22459</v>
      </c>
      <c r="O11348" s="17"/>
      <c r="P11348" s="17" t="s">
        <v>23208</v>
      </c>
      <c r="Q11348" s="17"/>
      <c r="R11348" s="25" t="str">
        <f>HYPERLINK("https://ictv.global/taxonomy/taxondetails?taxnode_id=202317665","Tikiyavirus pedovicinum")</f>
        <v>Tikiyavirus pedovicinum</v>
      </c>
      <c r="S11348" s="18" t="s">
        <v>30</v>
      </c>
      <c r="T11348" s="18" t="s">
        <v>46163</v>
      </c>
      <c r="U11348" s="18"/>
      <c r="V11348" s="18"/>
      <c r="W11348" s="18" t="s">
        <v>46164</v>
      </c>
      <c r="X11348" s="18" t="s">
        <v>35</v>
      </c>
      <c r="Y11348" s="18" t="s">
        <v>17171</v>
      </c>
      <c r="Z11348" s="18" t="s">
        <v>24637</v>
      </c>
      <c r="AA11348" s="21" t="str">
        <f>HYPERLINK("https://www.ncbi.nlm.nih.gov/nuccore/CASDWV010003280","NCBI Nucleotide")</f>
        <v>NCBI Nucleotide</v>
      </c>
    </row>
    <row r="11349" spans="1:27" x14ac:dyDescent="0.35">
      <c r="A11349">
        <v>1026328</v>
      </c>
      <c r="B11349">
        <v>10674</v>
      </c>
      <c r="C11349">
        <v>1</v>
      </c>
      <c r="D11349" s="17" t="s">
        <v>17166</v>
      </c>
      <c r="E11349" s="17"/>
      <c r="F11349" s="17" t="s">
        <v>17246</v>
      </c>
      <c r="G11349" s="17"/>
      <c r="H11349" s="17" t="s">
        <v>20919</v>
      </c>
      <c r="I11349" s="17"/>
      <c r="J11349" s="17" t="s">
        <v>21313</v>
      </c>
      <c r="K11349" s="17"/>
      <c r="L11349" s="17" t="s">
        <v>22378</v>
      </c>
      <c r="M11349" s="17"/>
      <c r="N11349" s="17" t="s">
        <v>22459</v>
      </c>
      <c r="O11349" s="17"/>
      <c r="P11349" s="17" t="s">
        <v>23208</v>
      </c>
      <c r="Q11349" s="17"/>
      <c r="R11349" s="25" t="str">
        <f>HYPERLINK("https://ictv.global/taxonomy/taxondetails?taxnode_id=202317666","Tikiyavirus pelovicinum")</f>
        <v>Tikiyavirus pelovicinum</v>
      </c>
      <c r="S11349" s="18" t="s">
        <v>30</v>
      </c>
      <c r="T11349" s="18" t="s">
        <v>46165</v>
      </c>
      <c r="U11349" s="18"/>
      <c r="V11349" s="18"/>
      <c r="W11349" s="18" t="s">
        <v>46166</v>
      </c>
      <c r="X11349" s="18" t="s">
        <v>35</v>
      </c>
      <c r="Y11349" s="18" t="s">
        <v>17171</v>
      </c>
      <c r="Z11349" s="18" t="s">
        <v>24637</v>
      </c>
      <c r="AA11349" s="21" t="str">
        <f>HYPERLINK("https://www.ncbi.nlm.nih.gov/nuccore/CASDWV010000036","NCBI Nucleotide")</f>
        <v>NCBI Nucleotide</v>
      </c>
    </row>
    <row r="11350" spans="1:27" x14ac:dyDescent="0.35">
      <c r="A11350">
        <v>1010150</v>
      </c>
      <c r="B11350">
        <v>10675</v>
      </c>
      <c r="C11350">
        <v>1</v>
      </c>
      <c r="D11350" s="17" t="s">
        <v>17166</v>
      </c>
      <c r="E11350" s="17"/>
      <c r="F11350" s="17" t="s">
        <v>17246</v>
      </c>
      <c r="G11350" s="17"/>
      <c r="H11350" s="17" t="s">
        <v>20919</v>
      </c>
      <c r="I11350" s="17"/>
      <c r="J11350" s="17" t="s">
        <v>21313</v>
      </c>
      <c r="K11350" s="17"/>
      <c r="L11350" s="17" t="s">
        <v>22378</v>
      </c>
      <c r="M11350" s="17"/>
      <c r="N11350" s="17" t="s">
        <v>22459</v>
      </c>
      <c r="O11350" s="17"/>
      <c r="P11350" s="17" t="s">
        <v>23208</v>
      </c>
      <c r="Q11350" s="17"/>
      <c r="R11350" s="25" t="str">
        <f>HYPERLINK("https://ictv.global/taxonomy/taxondetails?taxnode_id=202311394","Tikiyavirus soladaptatum")</f>
        <v>Tikiyavirus soladaptatum</v>
      </c>
      <c r="S11350" s="18" t="s">
        <v>30</v>
      </c>
      <c r="T11350" s="18" t="s">
        <v>23150</v>
      </c>
      <c r="U11350" s="18"/>
      <c r="V11350" s="18"/>
      <c r="W11350" s="18" t="s">
        <v>23151</v>
      </c>
      <c r="X11350" s="18" t="s">
        <v>35</v>
      </c>
      <c r="Y11350" s="18" t="s">
        <v>17171</v>
      </c>
      <c r="Z11350" s="18" t="s">
        <v>697</v>
      </c>
      <c r="AA11350" s="21" t="str">
        <f>HYPERLINK("https://www.ncbi.nlm.nih.gov/nuccore/BK013811","NCBI Nucleotide")</f>
        <v>NCBI Nucleotide</v>
      </c>
    </row>
    <row r="11351" spans="1:27" x14ac:dyDescent="0.35">
      <c r="A11351">
        <v>1010151</v>
      </c>
      <c r="B11351">
        <v>10676</v>
      </c>
      <c r="C11351">
        <v>1</v>
      </c>
      <c r="D11351" s="17" t="s">
        <v>17166</v>
      </c>
      <c r="E11351" s="17"/>
      <c r="F11351" s="17" t="s">
        <v>17246</v>
      </c>
      <c r="G11351" s="17"/>
      <c r="H11351" s="17" t="s">
        <v>20919</v>
      </c>
      <c r="I11351" s="17"/>
      <c r="J11351" s="17" t="s">
        <v>21313</v>
      </c>
      <c r="K11351" s="17"/>
      <c r="L11351" s="17" t="s">
        <v>22378</v>
      </c>
      <c r="M11351" s="17"/>
      <c r="N11351" s="17" t="s">
        <v>22459</v>
      </c>
      <c r="O11351" s="17"/>
      <c r="P11351" s="17" t="s">
        <v>23208</v>
      </c>
      <c r="Q11351" s="17"/>
      <c r="R11351" s="25" t="str">
        <f>HYPERLINK("https://ictv.global/taxonomy/taxondetails?taxnode_id=202311393","Tikiyavirus solenecus")</f>
        <v>Tikiyavirus solenecus</v>
      </c>
      <c r="S11351" s="18" t="s">
        <v>30</v>
      </c>
      <c r="T11351" s="18" t="s">
        <v>23152</v>
      </c>
      <c r="U11351" s="18"/>
      <c r="V11351" s="18"/>
      <c r="W11351" s="18" t="s">
        <v>23153</v>
      </c>
      <c r="X11351" s="18" t="s">
        <v>35</v>
      </c>
      <c r="Y11351" s="18" t="s">
        <v>17171</v>
      </c>
      <c r="Z11351" s="18" t="s">
        <v>697</v>
      </c>
      <c r="AA11351" s="21" t="str">
        <f>HYPERLINK("https://www.ncbi.nlm.nih.gov/nuccore/BK013947","NCBI Nucleotide")</f>
        <v>NCBI Nucleotide</v>
      </c>
    </row>
    <row r="11352" spans="1:27" x14ac:dyDescent="0.35">
      <c r="A11352">
        <v>1010152</v>
      </c>
      <c r="B11352">
        <v>10677</v>
      </c>
      <c r="C11352">
        <v>1</v>
      </c>
      <c r="D11352" s="17" t="s">
        <v>17166</v>
      </c>
      <c r="E11352" s="17"/>
      <c r="F11352" s="17" t="s">
        <v>17246</v>
      </c>
      <c r="G11352" s="17"/>
      <c r="H11352" s="17" t="s">
        <v>20919</v>
      </c>
      <c r="I11352" s="17"/>
      <c r="J11352" s="17" t="s">
        <v>21313</v>
      </c>
      <c r="K11352" s="17"/>
      <c r="L11352" s="17" t="s">
        <v>22378</v>
      </c>
      <c r="M11352" s="17"/>
      <c r="N11352" s="17" t="s">
        <v>22459</v>
      </c>
      <c r="O11352" s="17"/>
      <c r="P11352" s="17" t="s">
        <v>23208</v>
      </c>
      <c r="Q11352" s="17"/>
      <c r="R11352" s="25" t="str">
        <f>HYPERLINK("https://ictv.global/taxonomy/taxondetails?taxnode_id=202311395","Tikiyavirus solicola")</f>
        <v>Tikiyavirus solicola</v>
      </c>
      <c r="S11352" s="18" t="s">
        <v>30</v>
      </c>
      <c r="T11352" s="18" t="s">
        <v>23154</v>
      </c>
      <c r="U11352" s="18"/>
      <c r="V11352" s="18"/>
      <c r="W11352" s="18" t="s">
        <v>23155</v>
      </c>
      <c r="X11352" s="18" t="s">
        <v>35</v>
      </c>
      <c r="Y11352" s="18" t="s">
        <v>17171</v>
      </c>
      <c r="Z11352" s="18" t="s">
        <v>697</v>
      </c>
      <c r="AA11352" s="21" t="str">
        <f>HYPERLINK("https://www.ncbi.nlm.nih.gov/nuccore/BK013989","NCBI Nucleotide")</f>
        <v>NCBI Nucleotide</v>
      </c>
    </row>
    <row r="11353" spans="1:27" x14ac:dyDescent="0.35">
      <c r="A11353">
        <v>1010153</v>
      </c>
      <c r="B11353">
        <v>10678</v>
      </c>
      <c r="C11353">
        <v>1</v>
      </c>
      <c r="D11353" s="17" t="s">
        <v>17166</v>
      </c>
      <c r="E11353" s="17"/>
      <c r="F11353" s="17" t="s">
        <v>17246</v>
      </c>
      <c r="G11353" s="17"/>
      <c r="H11353" s="17" t="s">
        <v>20919</v>
      </c>
      <c r="I11353" s="17"/>
      <c r="J11353" s="17" t="s">
        <v>21313</v>
      </c>
      <c r="K11353" s="17"/>
      <c r="L11353" s="17" t="s">
        <v>22378</v>
      </c>
      <c r="M11353" s="17"/>
      <c r="N11353" s="17" t="s">
        <v>22459</v>
      </c>
      <c r="O11353" s="17"/>
      <c r="P11353" s="17" t="s">
        <v>23208</v>
      </c>
      <c r="Q11353" s="17"/>
      <c r="R11353" s="25" t="str">
        <f>HYPERLINK("https://ictv.global/taxonomy/taxondetails?taxnode_id=202311396","Tikiyavirus solihabitans")</f>
        <v>Tikiyavirus solihabitans</v>
      </c>
      <c r="S11353" s="18" t="s">
        <v>30</v>
      </c>
      <c r="T11353" s="18" t="s">
        <v>23156</v>
      </c>
      <c r="U11353" s="18"/>
      <c r="V11353" s="18"/>
      <c r="W11353" s="18" t="s">
        <v>23157</v>
      </c>
      <c r="X11353" s="18" t="s">
        <v>35</v>
      </c>
      <c r="Y11353" s="18" t="s">
        <v>17171</v>
      </c>
      <c r="Z11353" s="18" t="s">
        <v>697</v>
      </c>
      <c r="AA11353" s="21" t="str">
        <f>HYPERLINK("https://www.ncbi.nlm.nih.gov/nuccore/BK013931","NCBI Nucleotide")</f>
        <v>NCBI Nucleotide</v>
      </c>
    </row>
    <row r="11354" spans="1:27" x14ac:dyDescent="0.35">
      <c r="A11354">
        <v>1010154</v>
      </c>
      <c r="B11354">
        <v>10679</v>
      </c>
      <c r="C11354">
        <v>1</v>
      </c>
      <c r="D11354" s="17" t="s">
        <v>17166</v>
      </c>
      <c r="E11354" s="17"/>
      <c r="F11354" s="17" t="s">
        <v>17246</v>
      </c>
      <c r="G11354" s="17"/>
      <c r="H11354" s="17" t="s">
        <v>20919</v>
      </c>
      <c r="I11354" s="17"/>
      <c r="J11354" s="17" t="s">
        <v>21313</v>
      </c>
      <c r="K11354" s="17"/>
      <c r="L11354" s="17" t="s">
        <v>22378</v>
      </c>
      <c r="M11354" s="17"/>
      <c r="N11354" s="17" t="s">
        <v>22459</v>
      </c>
      <c r="O11354" s="17"/>
      <c r="P11354" s="17" t="s">
        <v>23208</v>
      </c>
      <c r="Q11354" s="17"/>
      <c r="R11354" s="25" t="str">
        <f>HYPERLINK("https://ictv.global/taxonomy/taxondetails?taxnode_id=202311397","Tikiyavirus solivicinum")</f>
        <v>Tikiyavirus solivicinum</v>
      </c>
      <c r="S11354" s="18" t="s">
        <v>30</v>
      </c>
      <c r="T11354" s="18" t="s">
        <v>23158</v>
      </c>
      <c r="U11354" s="18"/>
      <c r="V11354" s="18"/>
      <c r="W11354" s="18" t="s">
        <v>23159</v>
      </c>
      <c r="X11354" s="18" t="s">
        <v>35</v>
      </c>
      <c r="Y11354" s="18" t="s">
        <v>17171</v>
      </c>
      <c r="Z11354" s="18" t="s">
        <v>697</v>
      </c>
      <c r="AA11354" s="21" t="str">
        <f>HYPERLINK("https://www.ncbi.nlm.nih.gov/nuccore/BK013570","NCBI Nucleotide")</f>
        <v>NCBI Nucleotide</v>
      </c>
    </row>
    <row r="11355" spans="1:27" x14ac:dyDescent="0.35">
      <c r="A11355">
        <v>1010155</v>
      </c>
      <c r="B11355">
        <v>10680</v>
      </c>
      <c r="C11355">
        <v>1</v>
      </c>
      <c r="D11355" s="17" t="s">
        <v>17166</v>
      </c>
      <c r="E11355" s="17"/>
      <c r="F11355" s="17" t="s">
        <v>17246</v>
      </c>
      <c r="G11355" s="17"/>
      <c r="H11355" s="17" t="s">
        <v>20919</v>
      </c>
      <c r="I11355" s="17"/>
      <c r="J11355" s="17" t="s">
        <v>21313</v>
      </c>
      <c r="K11355" s="17"/>
      <c r="L11355" s="17" t="s">
        <v>22378</v>
      </c>
      <c r="M11355" s="17"/>
      <c r="N11355" s="17" t="s">
        <v>22459</v>
      </c>
      <c r="O11355" s="17"/>
      <c r="P11355" s="17" t="s">
        <v>23208</v>
      </c>
      <c r="Q11355" s="17"/>
      <c r="R11355" s="25" t="str">
        <f>HYPERLINK("https://ictv.global/taxonomy/taxondetails?taxnode_id=202311398","Tikiyavirus solivivens")</f>
        <v>Tikiyavirus solivivens</v>
      </c>
      <c r="S11355" s="18" t="s">
        <v>30</v>
      </c>
      <c r="T11355" s="18" t="s">
        <v>23160</v>
      </c>
      <c r="U11355" s="18"/>
      <c r="V11355" s="18"/>
      <c r="W11355" s="18" t="s">
        <v>23161</v>
      </c>
      <c r="X11355" s="18" t="s">
        <v>35</v>
      </c>
      <c r="Y11355" s="18" t="s">
        <v>17171</v>
      </c>
      <c r="Z11355" s="18" t="s">
        <v>697</v>
      </c>
      <c r="AA11355" s="21" t="str">
        <f>HYPERLINK("https://www.ncbi.nlm.nih.gov/nuccore/BK013786","NCBI Nucleotide")</f>
        <v>NCBI Nucleotide</v>
      </c>
    </row>
    <row r="11356" spans="1:27" x14ac:dyDescent="0.35">
      <c r="A11356">
        <v>1010156</v>
      </c>
      <c r="B11356">
        <v>10681</v>
      </c>
      <c r="C11356">
        <v>1</v>
      </c>
      <c r="D11356" s="17" t="s">
        <v>17166</v>
      </c>
      <c r="E11356" s="17"/>
      <c r="F11356" s="17" t="s">
        <v>17246</v>
      </c>
      <c r="G11356" s="17"/>
      <c r="H11356" s="17" t="s">
        <v>20919</v>
      </c>
      <c r="I11356" s="17"/>
      <c r="J11356" s="17" t="s">
        <v>21313</v>
      </c>
      <c r="K11356" s="17"/>
      <c r="L11356" s="17" t="s">
        <v>22378</v>
      </c>
      <c r="M11356" s="17"/>
      <c r="N11356" s="17" t="s">
        <v>22459</v>
      </c>
      <c r="O11356" s="17"/>
      <c r="P11356" s="17" t="s">
        <v>23208</v>
      </c>
      <c r="Q11356" s="17"/>
      <c r="R11356" s="25" t="str">
        <f>HYPERLINK("https://ictv.global/taxonomy/taxondetails?taxnode_id=202311411","Tikiyavirus telluradaptatum")</f>
        <v>Tikiyavirus telluradaptatum</v>
      </c>
      <c r="S11356" s="18" t="s">
        <v>30</v>
      </c>
      <c r="T11356" s="18" t="s">
        <v>23162</v>
      </c>
      <c r="U11356" s="18"/>
      <c r="V11356" s="18"/>
      <c r="W11356" s="18" t="s">
        <v>23163</v>
      </c>
      <c r="X11356" s="18" t="s">
        <v>35</v>
      </c>
      <c r="Y11356" s="18" t="s">
        <v>17171</v>
      </c>
      <c r="Z11356" s="18" t="s">
        <v>697</v>
      </c>
      <c r="AA11356" s="21" t="str">
        <f>HYPERLINK("https://www.ncbi.nlm.nih.gov/nuccore/BK013523","NCBI Nucleotide")</f>
        <v>NCBI Nucleotide</v>
      </c>
    </row>
    <row r="11357" spans="1:27" x14ac:dyDescent="0.35">
      <c r="A11357">
        <v>1026329</v>
      </c>
      <c r="B11357">
        <v>10682</v>
      </c>
      <c r="C11357">
        <v>1</v>
      </c>
      <c r="D11357" s="17" t="s">
        <v>17166</v>
      </c>
      <c r="E11357" s="17"/>
      <c r="F11357" s="17" t="s">
        <v>17246</v>
      </c>
      <c r="G11357" s="17"/>
      <c r="H11357" s="17" t="s">
        <v>20919</v>
      </c>
      <c r="I11357" s="17"/>
      <c r="J11357" s="17" t="s">
        <v>21313</v>
      </c>
      <c r="K11357" s="17"/>
      <c r="L11357" s="17" t="s">
        <v>22378</v>
      </c>
      <c r="M11357" s="17"/>
      <c r="N11357" s="17" t="s">
        <v>22459</v>
      </c>
      <c r="O11357" s="17"/>
      <c r="P11357" s="17" t="s">
        <v>23208</v>
      </c>
      <c r="Q11357" s="17"/>
      <c r="R11357" s="25" t="str">
        <f>HYPERLINK("https://ictv.global/taxonomy/taxondetails?taxnode_id=202317667","Tikiyavirus terrivicinum")</f>
        <v>Tikiyavirus terrivicinum</v>
      </c>
      <c r="S11357" s="18" t="s">
        <v>30</v>
      </c>
      <c r="T11357" s="18" t="s">
        <v>46167</v>
      </c>
      <c r="U11357" s="18"/>
      <c r="V11357" s="18"/>
      <c r="W11357" s="18" t="s">
        <v>46168</v>
      </c>
      <c r="X11357" s="18" t="s">
        <v>35</v>
      </c>
      <c r="Y11357" s="18" t="s">
        <v>17171</v>
      </c>
      <c r="Z11357" s="18" t="s">
        <v>24637</v>
      </c>
      <c r="AA11357" s="21" t="str">
        <f>HYPERLINK("https://www.ncbi.nlm.nih.gov/nuccore/CASDWV010000923","NCBI Nucleotide")</f>
        <v>NCBI Nucleotide</v>
      </c>
    </row>
    <row r="11358" spans="1:27" x14ac:dyDescent="0.35">
      <c r="A11358">
        <v>1010183</v>
      </c>
      <c r="B11358">
        <v>10683</v>
      </c>
      <c r="C11358">
        <v>1</v>
      </c>
      <c r="D11358" s="17" t="s">
        <v>17166</v>
      </c>
      <c r="E11358" s="17"/>
      <c r="F11358" s="17" t="s">
        <v>17246</v>
      </c>
      <c r="G11358" s="17"/>
      <c r="H11358" s="17" t="s">
        <v>20919</v>
      </c>
      <c r="I11358" s="17"/>
      <c r="J11358" s="17" t="s">
        <v>21313</v>
      </c>
      <c r="K11358" s="17"/>
      <c r="L11358" s="17" t="s">
        <v>22378</v>
      </c>
      <c r="M11358" s="17"/>
      <c r="N11358" s="17" t="s">
        <v>22459</v>
      </c>
      <c r="O11358" s="17"/>
      <c r="P11358" s="17" t="s">
        <v>23211</v>
      </c>
      <c r="Q11358" s="17"/>
      <c r="R11358" s="25" t="str">
        <f>HYPERLINK("https://ictv.global/taxonomy/taxondetails?taxnode_id=202311455","Timirovirus borboradaptatum")</f>
        <v>Timirovirus borboradaptatum</v>
      </c>
      <c r="S11358" s="18" t="s">
        <v>30</v>
      </c>
      <c r="T11358" s="18" t="s">
        <v>23212</v>
      </c>
      <c r="U11358" s="18"/>
      <c r="V11358" s="18"/>
      <c r="W11358" s="18" t="s">
        <v>23213</v>
      </c>
      <c r="X11358" s="18" t="s">
        <v>35</v>
      </c>
      <c r="Y11358" s="18" t="s">
        <v>17171</v>
      </c>
      <c r="Z11358" s="18" t="s">
        <v>697</v>
      </c>
      <c r="AA11358" s="21" t="str">
        <f>HYPERLINK("https://www.ncbi.nlm.nih.gov/nuccore/BK014122","NCBI Nucleotide")</f>
        <v>NCBI Nucleotide</v>
      </c>
    </row>
    <row r="11359" spans="1:27" x14ac:dyDescent="0.35">
      <c r="A11359">
        <v>1010184</v>
      </c>
      <c r="B11359">
        <v>10684</v>
      </c>
      <c r="C11359">
        <v>1</v>
      </c>
      <c r="D11359" s="17" t="s">
        <v>17166</v>
      </c>
      <c r="E11359" s="17"/>
      <c r="F11359" s="17" t="s">
        <v>17246</v>
      </c>
      <c r="G11359" s="17"/>
      <c r="H11359" s="17" t="s">
        <v>20919</v>
      </c>
      <c r="I11359" s="17"/>
      <c r="J11359" s="17" t="s">
        <v>21313</v>
      </c>
      <c r="K11359" s="17"/>
      <c r="L11359" s="17" t="s">
        <v>22378</v>
      </c>
      <c r="M11359" s="17"/>
      <c r="N11359" s="17" t="s">
        <v>22459</v>
      </c>
      <c r="O11359" s="17"/>
      <c r="P11359" s="17" t="s">
        <v>23214</v>
      </c>
      <c r="Q11359" s="17"/>
      <c r="R11359" s="25" t="str">
        <f>HYPERLINK("https://ictv.global/taxonomy/taxondetails?taxnode_id=202311457","Tsuhreavirus borborovivens")</f>
        <v>Tsuhreavirus borborovivens</v>
      </c>
      <c r="S11359" s="18" t="s">
        <v>30</v>
      </c>
      <c r="T11359" s="18" t="s">
        <v>23215</v>
      </c>
      <c r="U11359" s="18"/>
      <c r="V11359" s="18"/>
      <c r="W11359" s="18" t="s">
        <v>23216</v>
      </c>
      <c r="X11359" s="18" t="s">
        <v>35</v>
      </c>
      <c r="Y11359" s="18" t="s">
        <v>17171</v>
      </c>
      <c r="Z11359" s="18" t="s">
        <v>697</v>
      </c>
      <c r="AA11359" s="21" t="str">
        <f>HYPERLINK("https://www.ncbi.nlm.nih.gov/nuccore/BK013737","NCBI Nucleotide")</f>
        <v>NCBI Nucleotide</v>
      </c>
    </row>
    <row r="11360" spans="1:27" x14ac:dyDescent="0.35">
      <c r="A11360">
        <v>1026286</v>
      </c>
      <c r="B11360">
        <v>10685</v>
      </c>
      <c r="C11360">
        <v>1</v>
      </c>
      <c r="D11360" s="17" t="s">
        <v>17166</v>
      </c>
      <c r="E11360" s="17"/>
      <c r="F11360" s="17" t="s">
        <v>17246</v>
      </c>
      <c r="G11360" s="17"/>
      <c r="H11360" s="17" t="s">
        <v>20919</v>
      </c>
      <c r="I11360" s="17"/>
      <c r="J11360" s="17" t="s">
        <v>21313</v>
      </c>
      <c r="K11360" s="17"/>
      <c r="L11360" s="17" t="s">
        <v>22378</v>
      </c>
      <c r="M11360" s="17"/>
      <c r="N11360" s="17" t="s">
        <v>22459</v>
      </c>
      <c r="O11360" s="17"/>
      <c r="P11360" s="17" t="s">
        <v>23217</v>
      </c>
      <c r="Q11360" s="17"/>
      <c r="R11360" s="25" t="str">
        <f>HYPERLINK("https://ictv.global/taxonomy/taxondetails?taxnode_id=202317668","Tuskovirus asiocola")</f>
        <v>Tuskovirus asiocola</v>
      </c>
      <c r="S11360" s="18" t="s">
        <v>30</v>
      </c>
      <c r="T11360" s="18" t="s">
        <v>46169</v>
      </c>
      <c r="U11360" s="18"/>
      <c r="V11360" s="18"/>
      <c r="W11360" s="18" t="s">
        <v>46170</v>
      </c>
      <c r="X11360" s="18" t="s">
        <v>35</v>
      </c>
      <c r="Y11360" s="18" t="s">
        <v>17171</v>
      </c>
      <c r="Z11360" s="18" t="s">
        <v>24637</v>
      </c>
      <c r="AA11360" s="21" t="str">
        <f>HYPERLINK("https://www.ncbi.nlm.nih.gov/nuccore/CASDWV010000206","NCBI Nucleotide")</f>
        <v>NCBI Nucleotide</v>
      </c>
    </row>
    <row r="11361" spans="1:27" x14ac:dyDescent="0.35">
      <c r="A11361">
        <v>1010185</v>
      </c>
      <c r="B11361">
        <v>10686</v>
      </c>
      <c r="C11361">
        <v>1</v>
      </c>
      <c r="D11361" s="17" t="s">
        <v>17166</v>
      </c>
      <c r="E11361" s="17"/>
      <c r="F11361" s="17" t="s">
        <v>17246</v>
      </c>
      <c r="G11361" s="17"/>
      <c r="H11361" s="17" t="s">
        <v>20919</v>
      </c>
      <c r="I11361" s="17"/>
      <c r="J11361" s="17" t="s">
        <v>21313</v>
      </c>
      <c r="K11361" s="17"/>
      <c r="L11361" s="17" t="s">
        <v>22378</v>
      </c>
      <c r="M11361" s="17"/>
      <c r="N11361" s="17" t="s">
        <v>22459</v>
      </c>
      <c r="O11361" s="17"/>
      <c r="P11361" s="17" t="s">
        <v>23217</v>
      </c>
      <c r="Q11361" s="17"/>
      <c r="R11361" s="25" t="str">
        <f>HYPERLINK("https://ictv.global/taxonomy/taxondetails?taxnode_id=202311459","Tuskovirus caenadaptatum")</f>
        <v>Tuskovirus caenadaptatum</v>
      </c>
      <c r="S11361" s="18" t="s">
        <v>30</v>
      </c>
      <c r="T11361" s="18" t="s">
        <v>23218</v>
      </c>
      <c r="U11361" s="18"/>
      <c r="V11361" s="18"/>
      <c r="W11361" s="18" t="s">
        <v>23219</v>
      </c>
      <c r="X11361" s="18" t="s">
        <v>35</v>
      </c>
      <c r="Y11361" s="18" t="s">
        <v>17171</v>
      </c>
      <c r="Z11361" s="18" t="s">
        <v>697</v>
      </c>
      <c r="AA11361" s="21" t="str">
        <f>HYPERLINK("https://www.ncbi.nlm.nih.gov/nuccore/BK014120","NCBI Nucleotide")</f>
        <v>NCBI Nucleotide</v>
      </c>
    </row>
    <row r="11362" spans="1:27" x14ac:dyDescent="0.35">
      <c r="A11362">
        <v>1026287</v>
      </c>
      <c r="B11362">
        <v>10687</v>
      </c>
      <c r="C11362">
        <v>1</v>
      </c>
      <c r="D11362" s="17" t="s">
        <v>17166</v>
      </c>
      <c r="E11362" s="17"/>
      <c r="F11362" s="17" t="s">
        <v>17246</v>
      </c>
      <c r="G11362" s="17"/>
      <c r="H11362" s="17" t="s">
        <v>20919</v>
      </c>
      <c r="I11362" s="17"/>
      <c r="J11362" s="17" t="s">
        <v>21313</v>
      </c>
      <c r="K11362" s="17"/>
      <c r="L11362" s="17" t="s">
        <v>22378</v>
      </c>
      <c r="M11362" s="17"/>
      <c r="N11362" s="17" t="s">
        <v>22459</v>
      </c>
      <c r="O11362" s="17"/>
      <c r="P11362" s="17" t="s">
        <v>23217</v>
      </c>
      <c r="Q11362" s="17"/>
      <c r="R11362" s="25" t="str">
        <f>HYPERLINK("https://ictv.global/taxonomy/taxondetails?taxnode_id=202317669","Tuskovirus solivivens")</f>
        <v>Tuskovirus solivivens</v>
      </c>
      <c r="S11362" s="18" t="s">
        <v>30</v>
      </c>
      <c r="T11362" s="18" t="s">
        <v>46171</v>
      </c>
      <c r="U11362" s="18"/>
      <c r="V11362" s="18"/>
      <c r="W11362" s="18" t="s">
        <v>46172</v>
      </c>
      <c r="X11362" s="18" t="s">
        <v>35</v>
      </c>
      <c r="Y11362" s="18" t="s">
        <v>17171</v>
      </c>
      <c r="Z11362" s="18" t="s">
        <v>24637</v>
      </c>
      <c r="AA11362" s="21" t="str">
        <f>HYPERLINK("https://www.ncbi.nlm.nih.gov/nuccore/CASDWV010003959","NCBI Nucleotide")</f>
        <v>NCBI Nucleotide</v>
      </c>
    </row>
    <row r="11363" spans="1:27" x14ac:dyDescent="0.35">
      <c r="A11363">
        <v>1010186</v>
      </c>
      <c r="B11363">
        <v>10688</v>
      </c>
      <c r="C11363">
        <v>1</v>
      </c>
      <c r="D11363" s="17" t="s">
        <v>17166</v>
      </c>
      <c r="E11363" s="17"/>
      <c r="F11363" s="17" t="s">
        <v>17246</v>
      </c>
      <c r="G11363" s="17"/>
      <c r="H11363" s="17" t="s">
        <v>20919</v>
      </c>
      <c r="I11363" s="17"/>
      <c r="J11363" s="17" t="s">
        <v>21313</v>
      </c>
      <c r="K11363" s="17"/>
      <c r="L11363" s="17" t="s">
        <v>22378</v>
      </c>
      <c r="M11363" s="17"/>
      <c r="N11363" s="17" t="s">
        <v>22459</v>
      </c>
      <c r="O11363" s="17"/>
      <c r="P11363" s="17" t="s">
        <v>23220</v>
      </c>
      <c r="Q11363" s="17"/>
      <c r="R11363" s="25" t="str">
        <f>HYPERLINK("https://ictv.global/taxonomy/taxondetails?taxnode_id=202311461","Tuwendivirus caenenecus")</f>
        <v>Tuwendivirus caenenecus</v>
      </c>
      <c r="S11363" s="18" t="s">
        <v>30</v>
      </c>
      <c r="T11363" s="18" t="s">
        <v>23221</v>
      </c>
      <c r="U11363" s="18"/>
      <c r="V11363" s="18"/>
      <c r="W11363" s="18" t="s">
        <v>23222</v>
      </c>
      <c r="X11363" s="18" t="s">
        <v>35</v>
      </c>
      <c r="Y11363" s="18" t="s">
        <v>17171</v>
      </c>
      <c r="Z11363" s="18" t="s">
        <v>697</v>
      </c>
      <c r="AA11363" s="21" t="str">
        <f>HYPERLINK("https://www.ncbi.nlm.nih.gov/nuccore/BK013639","NCBI Nucleotide")</f>
        <v>NCBI Nucleotide</v>
      </c>
    </row>
    <row r="11364" spans="1:27" x14ac:dyDescent="0.35">
      <c r="A11364">
        <v>1026288</v>
      </c>
      <c r="B11364">
        <v>10689</v>
      </c>
      <c r="C11364">
        <v>1</v>
      </c>
      <c r="D11364" s="17" t="s">
        <v>17166</v>
      </c>
      <c r="E11364" s="17"/>
      <c r="F11364" s="17" t="s">
        <v>17246</v>
      </c>
      <c r="G11364" s="17"/>
      <c r="H11364" s="17" t="s">
        <v>20919</v>
      </c>
      <c r="I11364" s="17"/>
      <c r="J11364" s="17" t="s">
        <v>21313</v>
      </c>
      <c r="K11364" s="17"/>
      <c r="L11364" s="17" t="s">
        <v>22378</v>
      </c>
      <c r="M11364" s="17"/>
      <c r="N11364" s="17" t="s">
        <v>22459</v>
      </c>
      <c r="O11364" s="17"/>
      <c r="P11364" s="17" t="s">
        <v>23220</v>
      </c>
      <c r="Q11364" s="17"/>
      <c r="R11364" s="25" t="str">
        <f>HYPERLINK("https://ictv.global/taxonomy/taxondetails?taxnode_id=202317670","Tuwendivirus faecivivens")</f>
        <v>Tuwendivirus faecivivens</v>
      </c>
      <c r="S11364" s="18" t="s">
        <v>30</v>
      </c>
      <c r="T11364" s="18" t="s">
        <v>46173</v>
      </c>
      <c r="U11364" s="18"/>
      <c r="V11364" s="18" t="s">
        <v>46173</v>
      </c>
      <c r="W11364" s="18" t="s">
        <v>46174</v>
      </c>
      <c r="X11364" s="18" t="s">
        <v>35</v>
      </c>
      <c r="Y11364" s="18" t="s">
        <v>17171</v>
      </c>
      <c r="Z11364" s="18" t="s">
        <v>24637</v>
      </c>
      <c r="AA11364" s="21" t="str">
        <f>HYPERLINK("https://www.ncbi.nlm.nih.gov/nuccore/MZ679773","NCBI Nucleotide")</f>
        <v>NCBI Nucleotide</v>
      </c>
    </row>
    <row r="11365" spans="1:27" x14ac:dyDescent="0.35">
      <c r="A11365">
        <v>1026289</v>
      </c>
      <c r="B11365">
        <v>10690</v>
      </c>
      <c r="C11365">
        <v>1</v>
      </c>
      <c r="D11365" s="17" t="s">
        <v>17166</v>
      </c>
      <c r="E11365" s="17"/>
      <c r="F11365" s="17" t="s">
        <v>17246</v>
      </c>
      <c r="G11365" s="17"/>
      <c r="H11365" s="17" t="s">
        <v>20919</v>
      </c>
      <c r="I11365" s="17"/>
      <c r="J11365" s="17" t="s">
        <v>21313</v>
      </c>
      <c r="K11365" s="17"/>
      <c r="L11365" s="17" t="s">
        <v>22378</v>
      </c>
      <c r="M11365" s="17"/>
      <c r="N11365" s="17" t="s">
        <v>22459</v>
      </c>
      <c r="O11365" s="17"/>
      <c r="P11365" s="17" t="s">
        <v>46175</v>
      </c>
      <c r="Q11365" s="17"/>
      <c r="R11365" s="25" t="str">
        <f>HYPERLINK("https://ictv.global/taxonomy/taxondetails?taxnode_id=202317671","Ulenhavirus nemorishabitans")</f>
        <v>Ulenhavirus nemorishabitans</v>
      </c>
      <c r="S11365" s="18" t="s">
        <v>30</v>
      </c>
      <c r="T11365" s="18" t="s">
        <v>46176</v>
      </c>
      <c r="U11365" s="18"/>
      <c r="V11365" s="18" t="s">
        <v>46176</v>
      </c>
      <c r="W11365" s="18" t="s">
        <v>46177</v>
      </c>
      <c r="X11365" s="18" t="s">
        <v>35</v>
      </c>
      <c r="Y11365" s="18" t="s">
        <v>17171</v>
      </c>
      <c r="Z11365" s="18" t="s">
        <v>24637</v>
      </c>
      <c r="AA11365" s="21" t="str">
        <f>HYPERLINK("https://www.ncbi.nlm.nih.gov/nuccore/MZ679680","NCBI Nucleotide")</f>
        <v>NCBI Nucleotide</v>
      </c>
    </row>
    <row r="11366" spans="1:27" x14ac:dyDescent="0.35">
      <c r="A11366">
        <v>1010189</v>
      </c>
      <c r="B11366">
        <v>10691</v>
      </c>
      <c r="C11366">
        <v>1</v>
      </c>
      <c r="D11366" s="17" t="s">
        <v>17166</v>
      </c>
      <c r="E11366" s="17"/>
      <c r="F11366" s="17" t="s">
        <v>17246</v>
      </c>
      <c r="G11366" s="17"/>
      <c r="H11366" s="17" t="s">
        <v>20919</v>
      </c>
      <c r="I11366" s="17"/>
      <c r="J11366" s="17" t="s">
        <v>21313</v>
      </c>
      <c r="K11366" s="17"/>
      <c r="L11366" s="17" t="s">
        <v>22378</v>
      </c>
      <c r="M11366" s="17"/>
      <c r="N11366" s="17" t="s">
        <v>22459</v>
      </c>
      <c r="O11366" s="17"/>
      <c r="P11366" s="17" t="s">
        <v>23225</v>
      </c>
      <c r="Q11366" s="17"/>
      <c r="R11366" s="25" t="str">
        <f>HYPERLINK("https://ictv.global/taxonomy/taxondetails?taxnode_id=202311467","Vindevirus pedovicinum")</f>
        <v>Vindevirus pedovicinum</v>
      </c>
      <c r="S11366" s="18" t="s">
        <v>30</v>
      </c>
      <c r="T11366" s="18" t="s">
        <v>23226</v>
      </c>
      <c r="U11366" s="18"/>
      <c r="V11366" s="18"/>
      <c r="W11366" s="18" t="s">
        <v>23227</v>
      </c>
      <c r="X11366" s="18" t="s">
        <v>35</v>
      </c>
      <c r="Y11366" s="18" t="s">
        <v>17171</v>
      </c>
      <c r="Z11366" s="18" t="s">
        <v>697</v>
      </c>
      <c r="AA11366" s="21" t="str">
        <f>HYPERLINK("https://www.ncbi.nlm.nih.gov/nuccore/BK013831","NCBI Nucleotide")</f>
        <v>NCBI Nucleotide</v>
      </c>
    </row>
    <row r="11367" spans="1:27" x14ac:dyDescent="0.35">
      <c r="A11367">
        <v>1027482</v>
      </c>
      <c r="B11367">
        <v>10692</v>
      </c>
      <c r="C11367">
        <v>1</v>
      </c>
      <c r="D11367" s="17" t="s">
        <v>17166</v>
      </c>
      <c r="E11367" s="17"/>
      <c r="F11367" s="17" t="s">
        <v>17246</v>
      </c>
      <c r="G11367" s="17"/>
      <c r="H11367" s="17" t="s">
        <v>20919</v>
      </c>
      <c r="I11367" s="17"/>
      <c r="J11367" s="17" t="s">
        <v>21313</v>
      </c>
      <c r="K11367" s="17"/>
      <c r="L11367" s="17" t="s">
        <v>22378</v>
      </c>
      <c r="M11367" s="17"/>
      <c r="N11367" s="17" t="s">
        <v>22459</v>
      </c>
      <c r="O11367" s="17"/>
      <c r="P11367" s="17" t="s">
        <v>46178</v>
      </c>
      <c r="Q11367" s="17"/>
      <c r="R11367" s="25" t="str">
        <f>HYPERLINK("https://ictv.global/taxonomy/taxondetails?taxnode_id=202317672","Wahlkavirus segetivivens")</f>
        <v>Wahlkavirus segetivivens</v>
      </c>
      <c r="S11367" s="18" t="s">
        <v>30</v>
      </c>
      <c r="T11367" s="18" t="s">
        <v>46179</v>
      </c>
      <c r="U11367" s="18"/>
      <c r="V11367" s="18"/>
      <c r="W11367" s="18" t="s">
        <v>46180</v>
      </c>
      <c r="X11367" s="18" t="s">
        <v>35</v>
      </c>
      <c r="Y11367" s="18" t="s">
        <v>17171</v>
      </c>
      <c r="Z11367" s="18" t="s">
        <v>24637</v>
      </c>
      <c r="AA11367" s="21" t="str">
        <f>HYPERLINK("https://www.ncbi.nlm.nih.gov/nuccore/CASDWV010000918","NCBI Nucleotide")</f>
        <v>NCBI Nucleotide</v>
      </c>
    </row>
    <row r="11368" spans="1:27" x14ac:dyDescent="0.35">
      <c r="A11368">
        <v>1027483</v>
      </c>
      <c r="B11368">
        <v>10693</v>
      </c>
      <c r="C11368">
        <v>1</v>
      </c>
      <c r="D11368" s="17" t="s">
        <v>17166</v>
      </c>
      <c r="E11368" s="17"/>
      <c r="F11368" s="17" t="s">
        <v>17246</v>
      </c>
      <c r="G11368" s="17"/>
      <c r="H11368" s="17" t="s">
        <v>20919</v>
      </c>
      <c r="I11368" s="17"/>
      <c r="J11368" s="17" t="s">
        <v>21313</v>
      </c>
      <c r="K11368" s="17"/>
      <c r="L11368" s="17" t="s">
        <v>22378</v>
      </c>
      <c r="M11368" s="17"/>
      <c r="N11368" s="17" t="s">
        <v>22459</v>
      </c>
      <c r="O11368" s="17"/>
      <c r="P11368" s="17" t="s">
        <v>46178</v>
      </c>
      <c r="Q11368" s="17"/>
      <c r="R11368" s="25" t="str">
        <f>HYPERLINK("https://ictv.global/taxonomy/taxondetails?taxnode_id=202317673","Wahlkavirus tellurihabitans")</f>
        <v>Wahlkavirus tellurihabitans</v>
      </c>
      <c r="S11368" s="18" t="s">
        <v>30</v>
      </c>
      <c r="T11368" s="18" t="s">
        <v>46181</v>
      </c>
      <c r="U11368" s="18"/>
      <c r="V11368" s="18"/>
      <c r="W11368" s="18" t="s">
        <v>46182</v>
      </c>
      <c r="X11368" s="18" t="s">
        <v>35</v>
      </c>
      <c r="Y11368" s="18" t="s">
        <v>17171</v>
      </c>
      <c r="Z11368" s="18" t="s">
        <v>24637</v>
      </c>
      <c r="AA11368" s="21" t="str">
        <f>HYPERLINK("https://www.ncbi.nlm.nih.gov/nuccore/CASDWV010003897","NCBI Nucleotide")</f>
        <v>NCBI Nucleotide</v>
      </c>
    </row>
    <row r="11369" spans="1:27" x14ac:dyDescent="0.35">
      <c r="A11369">
        <v>1027506</v>
      </c>
      <c r="B11369">
        <v>10694</v>
      </c>
      <c r="C11369">
        <v>1</v>
      </c>
      <c r="D11369" s="17" t="s">
        <v>17166</v>
      </c>
      <c r="E11369" s="17"/>
      <c r="F11369" s="17" t="s">
        <v>17246</v>
      </c>
      <c r="G11369" s="17"/>
      <c r="H11369" s="17" t="s">
        <v>20919</v>
      </c>
      <c r="I11369" s="17"/>
      <c r="J11369" s="17" t="s">
        <v>21313</v>
      </c>
      <c r="K11369" s="17"/>
      <c r="L11369" s="17" t="s">
        <v>22378</v>
      </c>
      <c r="M11369" s="17"/>
      <c r="N11369" s="17" t="s">
        <v>22459</v>
      </c>
      <c r="O11369" s="17"/>
      <c r="P11369" s="17" t="s">
        <v>46183</v>
      </c>
      <c r="Q11369" s="17"/>
      <c r="R11369" s="25" t="str">
        <f>HYPERLINK("https://ictv.global/taxonomy/taxondetails?taxnode_id=202317674","Wahspovirus arvenecus")</f>
        <v>Wahspovirus arvenecus</v>
      </c>
      <c r="S11369" s="18" t="s">
        <v>30</v>
      </c>
      <c r="T11369" s="18" t="s">
        <v>46184</v>
      </c>
      <c r="U11369" s="18"/>
      <c r="V11369" s="18"/>
      <c r="W11369" s="18" t="s">
        <v>46185</v>
      </c>
      <c r="X11369" s="18" t="s">
        <v>35</v>
      </c>
      <c r="Y11369" s="18" t="s">
        <v>17171</v>
      </c>
      <c r="Z11369" s="18" t="s">
        <v>24637</v>
      </c>
      <c r="AA11369" s="21" t="str">
        <f>HYPERLINK("https://www.ncbi.nlm.nih.gov/nuccore/CASDWV010003222","NCBI Nucleotide")</f>
        <v>NCBI Nucleotide</v>
      </c>
    </row>
    <row r="11370" spans="1:27" x14ac:dyDescent="0.35">
      <c r="A11370">
        <v>1027507</v>
      </c>
      <c r="B11370">
        <v>10695</v>
      </c>
      <c r="C11370">
        <v>1</v>
      </c>
      <c r="D11370" s="17" t="s">
        <v>17166</v>
      </c>
      <c r="E11370" s="17"/>
      <c r="F11370" s="17" t="s">
        <v>17246</v>
      </c>
      <c r="G11370" s="17"/>
      <c r="H11370" s="17" t="s">
        <v>20919</v>
      </c>
      <c r="I11370" s="17"/>
      <c r="J11370" s="17" t="s">
        <v>21313</v>
      </c>
      <c r="K11370" s="17"/>
      <c r="L11370" s="17" t="s">
        <v>22378</v>
      </c>
      <c r="M11370" s="17"/>
      <c r="N11370" s="17" t="s">
        <v>22459</v>
      </c>
      <c r="O11370" s="17"/>
      <c r="P11370" s="17" t="s">
        <v>46183</v>
      </c>
      <c r="Q11370" s="17"/>
      <c r="R11370" s="25" t="str">
        <f>HYPERLINK("https://ictv.global/taxonomy/taxondetails?taxnode_id=202317675","Wahspovirus faecivivens")</f>
        <v>Wahspovirus faecivivens</v>
      </c>
      <c r="S11370" s="18" t="s">
        <v>30</v>
      </c>
      <c r="T11370" s="18" t="s">
        <v>46186</v>
      </c>
      <c r="U11370" s="18"/>
      <c r="V11370" s="18" t="s">
        <v>46186</v>
      </c>
      <c r="W11370" s="18" t="s">
        <v>46187</v>
      </c>
      <c r="X11370" s="18" t="s">
        <v>35</v>
      </c>
      <c r="Y11370" s="18" t="s">
        <v>17171</v>
      </c>
      <c r="Z11370" s="18" t="s">
        <v>24637</v>
      </c>
      <c r="AA11370" s="21" t="str">
        <f>HYPERLINK("https://www.ncbi.nlm.nih.gov/nuccore/MZ679567","NCBI Nucleotide")</f>
        <v>NCBI Nucleotide</v>
      </c>
    </row>
    <row r="11371" spans="1:27" x14ac:dyDescent="0.35">
      <c r="A11371">
        <v>1027508</v>
      </c>
      <c r="B11371">
        <v>10696</v>
      </c>
      <c r="C11371">
        <v>1</v>
      </c>
      <c r="D11371" s="17" t="s">
        <v>17166</v>
      </c>
      <c r="E11371" s="17"/>
      <c r="F11371" s="17" t="s">
        <v>17246</v>
      </c>
      <c r="G11371" s="17"/>
      <c r="H11371" s="17" t="s">
        <v>20919</v>
      </c>
      <c r="I11371" s="17"/>
      <c r="J11371" s="17" t="s">
        <v>21313</v>
      </c>
      <c r="K11371" s="17"/>
      <c r="L11371" s="17" t="s">
        <v>22378</v>
      </c>
      <c r="M11371" s="17"/>
      <c r="N11371" s="17" t="s">
        <v>22459</v>
      </c>
      <c r="O11371" s="17"/>
      <c r="P11371" s="17" t="s">
        <v>46183</v>
      </c>
      <c r="Q11371" s="17"/>
      <c r="R11371" s="25" t="str">
        <f>HYPERLINK("https://ictv.global/taxonomy/taxondetails?taxnode_id=202317676","Wahspovirus messadaptatum")</f>
        <v>Wahspovirus messadaptatum</v>
      </c>
      <c r="S11371" s="18" t="s">
        <v>30</v>
      </c>
      <c r="T11371" s="18" t="s">
        <v>46188</v>
      </c>
      <c r="U11371" s="18"/>
      <c r="V11371" s="18"/>
      <c r="W11371" s="18" t="s">
        <v>46189</v>
      </c>
      <c r="X11371" s="18" t="s">
        <v>35</v>
      </c>
      <c r="Y11371" s="18" t="s">
        <v>17171</v>
      </c>
      <c r="Z11371" s="18" t="s">
        <v>24637</v>
      </c>
      <c r="AA11371" s="21" t="str">
        <f>HYPERLINK("https://www.ncbi.nlm.nih.gov/nuccore/CASDWV010001400","NCBI Nucleotide")</f>
        <v>NCBI Nucleotide</v>
      </c>
    </row>
    <row r="11372" spans="1:27" x14ac:dyDescent="0.35">
      <c r="A11372">
        <v>1027509</v>
      </c>
      <c r="B11372">
        <v>10697</v>
      </c>
      <c r="C11372">
        <v>1</v>
      </c>
      <c r="D11372" s="17" t="s">
        <v>17166</v>
      </c>
      <c r="E11372" s="17"/>
      <c r="F11372" s="17" t="s">
        <v>17246</v>
      </c>
      <c r="G11372" s="17"/>
      <c r="H11372" s="17" t="s">
        <v>20919</v>
      </c>
      <c r="I11372" s="17"/>
      <c r="J11372" s="17" t="s">
        <v>21313</v>
      </c>
      <c r="K11372" s="17"/>
      <c r="L11372" s="17" t="s">
        <v>22378</v>
      </c>
      <c r="M11372" s="17"/>
      <c r="N11372" s="17" t="s">
        <v>22459</v>
      </c>
      <c r="O11372" s="17"/>
      <c r="P11372" s="17" t="s">
        <v>46183</v>
      </c>
      <c r="Q11372" s="17"/>
      <c r="R11372" s="25" t="str">
        <f>HYPERLINK("https://ictv.global/taxonomy/taxondetails?taxnode_id=202317677","Wahspovirus montisenecus")</f>
        <v>Wahspovirus montisenecus</v>
      </c>
      <c r="S11372" s="18" t="s">
        <v>30</v>
      </c>
      <c r="T11372" s="18" t="s">
        <v>46190</v>
      </c>
      <c r="U11372" s="18"/>
      <c r="V11372" s="18" t="s">
        <v>46190</v>
      </c>
      <c r="W11372" s="18" t="s">
        <v>46191</v>
      </c>
      <c r="X11372" s="18" t="s">
        <v>35</v>
      </c>
      <c r="Y11372" s="18" t="s">
        <v>17171</v>
      </c>
      <c r="Z11372" s="18" t="s">
        <v>24637</v>
      </c>
      <c r="AA11372" s="21" t="str">
        <f>HYPERLINK("https://www.ncbi.nlm.nih.gov/nuccore/MZ679498","NCBI Nucleotide")</f>
        <v>NCBI Nucleotide</v>
      </c>
    </row>
    <row r="11373" spans="1:27" x14ac:dyDescent="0.35">
      <c r="A11373">
        <v>1027553</v>
      </c>
      <c r="B11373">
        <v>10698</v>
      </c>
      <c r="C11373">
        <v>1</v>
      </c>
      <c r="D11373" s="17" t="s">
        <v>17166</v>
      </c>
      <c r="E11373" s="17"/>
      <c r="F11373" s="17" t="s">
        <v>17246</v>
      </c>
      <c r="G11373" s="17"/>
      <c r="H11373" s="17" t="s">
        <v>20919</v>
      </c>
      <c r="I11373" s="17"/>
      <c r="J11373" s="17" t="s">
        <v>21313</v>
      </c>
      <c r="K11373" s="17"/>
      <c r="L11373" s="17" t="s">
        <v>22378</v>
      </c>
      <c r="M11373" s="17"/>
      <c r="N11373" s="17" t="s">
        <v>22459</v>
      </c>
      <c r="O11373" s="17"/>
      <c r="P11373" s="17" t="s">
        <v>46192</v>
      </c>
      <c r="Q11373" s="17"/>
      <c r="R11373" s="25" t="str">
        <f>HYPERLINK("https://ictv.global/taxonomy/taxondetails?taxnode_id=202317678","Watorgevirus pedovicinum")</f>
        <v>Watorgevirus pedovicinum</v>
      </c>
      <c r="S11373" s="18" t="s">
        <v>30</v>
      </c>
      <c r="T11373" s="18" t="s">
        <v>46193</v>
      </c>
      <c r="U11373" s="18"/>
      <c r="V11373" s="18"/>
      <c r="W11373" s="18" t="s">
        <v>46194</v>
      </c>
      <c r="X11373" s="18" t="s">
        <v>35</v>
      </c>
      <c r="Y11373" s="18" t="s">
        <v>17171</v>
      </c>
      <c r="Z11373" s="18" t="s">
        <v>24637</v>
      </c>
      <c r="AA11373" s="21" t="str">
        <f>HYPERLINK("https://www.ncbi.nlm.nih.gov/nuccore/CASDWV010001477","NCBI Nucleotide")</f>
        <v>NCBI Nucleotide</v>
      </c>
    </row>
    <row r="11374" spans="1:27" x14ac:dyDescent="0.35">
      <c r="A11374">
        <v>1027442</v>
      </c>
      <c r="B11374">
        <v>10699</v>
      </c>
      <c r="C11374">
        <v>1</v>
      </c>
      <c r="D11374" s="17" t="s">
        <v>17166</v>
      </c>
      <c r="E11374" s="17"/>
      <c r="F11374" s="17" t="s">
        <v>17246</v>
      </c>
      <c r="G11374" s="17"/>
      <c r="H11374" s="17" t="s">
        <v>20919</v>
      </c>
      <c r="I11374" s="17"/>
      <c r="J11374" s="17" t="s">
        <v>21313</v>
      </c>
      <c r="K11374" s="17"/>
      <c r="L11374" s="17" t="s">
        <v>22378</v>
      </c>
      <c r="M11374" s="17"/>
      <c r="N11374" s="17" t="s">
        <v>22459</v>
      </c>
      <c r="O11374" s="17"/>
      <c r="P11374" s="17" t="s">
        <v>46195</v>
      </c>
      <c r="Q11374" s="17"/>
      <c r="R11374" s="25" t="str">
        <f>HYPERLINK("https://ictv.global/taxonomy/taxondetails?taxnode_id=202317679","Wehlevirus limadaptatum")</f>
        <v>Wehlevirus limadaptatum</v>
      </c>
      <c r="S11374" s="18" t="s">
        <v>30</v>
      </c>
      <c r="T11374" s="18" t="s">
        <v>46196</v>
      </c>
      <c r="U11374" s="18"/>
      <c r="V11374" s="18"/>
      <c r="W11374" s="18" t="s">
        <v>46197</v>
      </c>
      <c r="X11374" s="18" t="s">
        <v>35</v>
      </c>
      <c r="Y11374" s="18" t="s">
        <v>17171</v>
      </c>
      <c r="Z11374" s="18" t="s">
        <v>24637</v>
      </c>
      <c r="AA11374" s="21" t="str">
        <f>HYPERLINK("https://www.ncbi.nlm.nih.gov/nuccore/CASDWV010002657","NCBI Nucleotide")</f>
        <v>NCBI Nucleotide</v>
      </c>
    </row>
    <row r="11375" spans="1:27" x14ac:dyDescent="0.35">
      <c r="A11375">
        <v>1027448</v>
      </c>
      <c r="B11375">
        <v>10700</v>
      </c>
      <c r="C11375">
        <v>1</v>
      </c>
      <c r="D11375" s="17" t="s">
        <v>17166</v>
      </c>
      <c r="E11375" s="17"/>
      <c r="F11375" s="17" t="s">
        <v>17246</v>
      </c>
      <c r="G11375" s="17"/>
      <c r="H11375" s="17" t="s">
        <v>20919</v>
      </c>
      <c r="I11375" s="17"/>
      <c r="J11375" s="17" t="s">
        <v>21313</v>
      </c>
      <c r="K11375" s="17"/>
      <c r="L11375" s="17" t="s">
        <v>22378</v>
      </c>
      <c r="M11375" s="17"/>
      <c r="N11375" s="17" t="s">
        <v>22459</v>
      </c>
      <c r="O11375" s="17"/>
      <c r="P11375" s="17" t="s">
        <v>46198</v>
      </c>
      <c r="Q11375" s="17"/>
      <c r="R11375" s="25" t="str">
        <f>HYPERLINK("https://ictv.global/taxonomy/taxondetails?taxnode_id=202317680","Wesdanuvirus arvenecus")</f>
        <v>Wesdanuvirus arvenecus</v>
      </c>
      <c r="S11375" s="18" t="s">
        <v>30</v>
      </c>
      <c r="T11375" s="18" t="s">
        <v>46199</v>
      </c>
      <c r="U11375" s="18"/>
      <c r="V11375" s="18"/>
      <c r="W11375" s="18" t="s">
        <v>46200</v>
      </c>
      <c r="X11375" s="18" t="s">
        <v>35</v>
      </c>
      <c r="Y11375" s="18" t="s">
        <v>17171</v>
      </c>
      <c r="Z11375" s="18" t="s">
        <v>24637</v>
      </c>
      <c r="AA11375" s="21" t="str">
        <f>HYPERLINK("https://www.ncbi.nlm.nih.gov/nuccore/CASDWV010003812","NCBI Nucleotide")</f>
        <v>NCBI Nucleotide</v>
      </c>
    </row>
    <row r="11376" spans="1:27" x14ac:dyDescent="0.35">
      <c r="A11376">
        <v>1027449</v>
      </c>
      <c r="B11376">
        <v>10701</v>
      </c>
      <c r="C11376">
        <v>1</v>
      </c>
      <c r="D11376" s="17" t="s">
        <v>17166</v>
      </c>
      <c r="E11376" s="17"/>
      <c r="F11376" s="17" t="s">
        <v>17246</v>
      </c>
      <c r="G11376" s="17"/>
      <c r="H11376" s="17" t="s">
        <v>20919</v>
      </c>
      <c r="I11376" s="17"/>
      <c r="J11376" s="17" t="s">
        <v>21313</v>
      </c>
      <c r="K11376" s="17"/>
      <c r="L11376" s="17" t="s">
        <v>22378</v>
      </c>
      <c r="M11376" s="17"/>
      <c r="N11376" s="17" t="s">
        <v>22459</v>
      </c>
      <c r="O11376" s="17"/>
      <c r="P11376" s="17" t="s">
        <v>46201</v>
      </c>
      <c r="Q11376" s="17"/>
      <c r="R11376" s="25" t="str">
        <f>HYPERLINK("https://ictv.global/taxonomy/taxondetails?taxnode_id=202317681","Westonuvirus agrivicinum")</f>
        <v>Westonuvirus agrivicinum</v>
      </c>
      <c r="S11376" s="18" t="s">
        <v>30</v>
      </c>
      <c r="T11376" s="18" t="s">
        <v>46202</v>
      </c>
      <c r="U11376" s="18"/>
      <c r="V11376" s="18"/>
      <c r="W11376" s="18" t="s">
        <v>46203</v>
      </c>
      <c r="X11376" s="18" t="s">
        <v>35</v>
      </c>
      <c r="Y11376" s="18" t="s">
        <v>17171</v>
      </c>
      <c r="Z11376" s="18" t="s">
        <v>24637</v>
      </c>
      <c r="AA11376" s="21" t="str">
        <f>HYPERLINK("https://www.ncbi.nlm.nih.gov/nuccore/CASDWV010000845","NCBI Nucleotide")</f>
        <v>NCBI Nucleotide</v>
      </c>
    </row>
    <row r="11377" spans="1:27" x14ac:dyDescent="0.35">
      <c r="A11377">
        <v>1027450</v>
      </c>
      <c r="B11377">
        <v>10702</v>
      </c>
      <c r="C11377">
        <v>1</v>
      </c>
      <c r="D11377" s="17" t="s">
        <v>17166</v>
      </c>
      <c r="E11377" s="17"/>
      <c r="F11377" s="17" t="s">
        <v>17246</v>
      </c>
      <c r="G11377" s="17"/>
      <c r="H11377" s="17" t="s">
        <v>20919</v>
      </c>
      <c r="I11377" s="17"/>
      <c r="J11377" s="17" t="s">
        <v>21313</v>
      </c>
      <c r="K11377" s="17"/>
      <c r="L11377" s="17" t="s">
        <v>22378</v>
      </c>
      <c r="M11377" s="17"/>
      <c r="N11377" s="17" t="s">
        <v>22459</v>
      </c>
      <c r="O11377" s="17"/>
      <c r="P11377" s="17" t="s">
        <v>46204</v>
      </c>
      <c r="Q11377" s="17"/>
      <c r="R11377" s="25" t="str">
        <f>HYPERLINK("https://ictv.global/taxonomy/taxondetails?taxnode_id=202317682","Whadcovirus faecenecus")</f>
        <v>Whadcovirus faecenecus</v>
      </c>
      <c r="S11377" s="18" t="s">
        <v>30</v>
      </c>
      <c r="T11377" s="18" t="s">
        <v>46205</v>
      </c>
      <c r="U11377" s="18"/>
      <c r="V11377" s="18" t="s">
        <v>46205</v>
      </c>
      <c r="W11377" s="18" t="s">
        <v>46206</v>
      </c>
      <c r="X11377" s="18" t="s">
        <v>35</v>
      </c>
      <c r="Y11377" s="18" t="s">
        <v>17171</v>
      </c>
      <c r="Z11377" s="18" t="s">
        <v>24637</v>
      </c>
      <c r="AA11377" s="21" t="str">
        <f>HYPERLINK("https://www.ncbi.nlm.nih.gov/nuccore/MZ679497","NCBI Nucleotide")</f>
        <v>NCBI Nucleotide</v>
      </c>
    </row>
    <row r="11378" spans="1:27" x14ac:dyDescent="0.35">
      <c r="A11378">
        <v>1027455</v>
      </c>
      <c r="B11378">
        <v>10703</v>
      </c>
      <c r="C11378">
        <v>1</v>
      </c>
      <c r="D11378" s="17" t="s">
        <v>17166</v>
      </c>
      <c r="E11378" s="17"/>
      <c r="F11378" s="17" t="s">
        <v>17246</v>
      </c>
      <c r="G11378" s="17"/>
      <c r="H11378" s="17" t="s">
        <v>20919</v>
      </c>
      <c r="I11378" s="17"/>
      <c r="J11378" s="17" t="s">
        <v>21313</v>
      </c>
      <c r="K11378" s="17"/>
      <c r="L11378" s="17" t="s">
        <v>22378</v>
      </c>
      <c r="M11378" s="17"/>
      <c r="N11378" s="17" t="s">
        <v>22459</v>
      </c>
      <c r="O11378" s="17"/>
      <c r="P11378" s="17" t="s">
        <v>46207</v>
      </c>
      <c r="Q11378" s="17"/>
      <c r="R11378" s="25" t="str">
        <f>HYPERLINK("https://ictv.global/taxonomy/taxondetails?taxnode_id=202317683","Whidchuvirus faecihabitans")</f>
        <v>Whidchuvirus faecihabitans</v>
      </c>
      <c r="S11378" s="18" t="s">
        <v>30</v>
      </c>
      <c r="T11378" s="18" t="s">
        <v>46208</v>
      </c>
      <c r="U11378" s="18"/>
      <c r="V11378" s="18" t="s">
        <v>46208</v>
      </c>
      <c r="W11378" s="18" t="s">
        <v>46209</v>
      </c>
      <c r="X11378" s="18" t="s">
        <v>35</v>
      </c>
      <c r="Y11378" s="18" t="s">
        <v>17171</v>
      </c>
      <c r="Z11378" s="18" t="s">
        <v>24637</v>
      </c>
      <c r="AA11378" s="21" t="str">
        <f>HYPERLINK("https://www.ncbi.nlm.nih.gov/nuccore/MZ679636","NCBI Nucleotide")</f>
        <v>NCBI Nucleotide</v>
      </c>
    </row>
    <row r="11379" spans="1:27" x14ac:dyDescent="0.35">
      <c r="A11379">
        <v>1027461</v>
      </c>
      <c r="B11379">
        <v>10704</v>
      </c>
      <c r="C11379">
        <v>1</v>
      </c>
      <c r="D11379" s="17" t="s">
        <v>17166</v>
      </c>
      <c r="E11379" s="17"/>
      <c r="F11379" s="17" t="s">
        <v>17246</v>
      </c>
      <c r="G11379" s="17"/>
      <c r="H11379" s="17" t="s">
        <v>20919</v>
      </c>
      <c r="I11379" s="17"/>
      <c r="J11379" s="17" t="s">
        <v>21313</v>
      </c>
      <c r="K11379" s="17"/>
      <c r="L11379" s="17" t="s">
        <v>22378</v>
      </c>
      <c r="M11379" s="17"/>
      <c r="N11379" s="17" t="s">
        <v>22459</v>
      </c>
      <c r="O11379" s="17"/>
      <c r="P11379" s="17" t="s">
        <v>46210</v>
      </c>
      <c r="Q11379" s="17"/>
      <c r="R11379" s="25" t="str">
        <f>HYPERLINK("https://ictv.global/taxonomy/taxondetails?taxnode_id=202317684","Whudnevirus arvivivens")</f>
        <v>Whudnevirus arvivivens</v>
      </c>
      <c r="S11379" s="18" t="s">
        <v>30</v>
      </c>
      <c r="T11379" s="18" t="s">
        <v>46211</v>
      </c>
      <c r="U11379" s="18"/>
      <c r="V11379" s="18"/>
      <c r="W11379" s="18" t="s">
        <v>46212</v>
      </c>
      <c r="X11379" s="18" t="s">
        <v>35</v>
      </c>
      <c r="Y11379" s="18" t="s">
        <v>17171</v>
      </c>
      <c r="Z11379" s="18" t="s">
        <v>24637</v>
      </c>
      <c r="AA11379" s="21" t="str">
        <f>HYPERLINK("https://www.ncbi.nlm.nih.gov/nuccore/CASDWV010004218","NCBI Nucleotide")</f>
        <v>NCBI Nucleotide</v>
      </c>
    </row>
    <row r="11380" spans="1:27" x14ac:dyDescent="0.35">
      <c r="A11380">
        <v>1027554</v>
      </c>
      <c r="B11380">
        <v>10705</v>
      </c>
      <c r="C11380">
        <v>1</v>
      </c>
      <c r="D11380" s="17" t="s">
        <v>17166</v>
      </c>
      <c r="E11380" s="17"/>
      <c r="F11380" s="17" t="s">
        <v>17246</v>
      </c>
      <c r="G11380" s="17"/>
      <c r="H11380" s="17" t="s">
        <v>20919</v>
      </c>
      <c r="I11380" s="17"/>
      <c r="J11380" s="17" t="s">
        <v>21313</v>
      </c>
      <c r="K11380" s="17"/>
      <c r="L11380" s="17" t="s">
        <v>22378</v>
      </c>
      <c r="M11380" s="17"/>
      <c r="N11380" s="17" t="s">
        <v>22459</v>
      </c>
      <c r="O11380" s="17"/>
      <c r="P11380" s="17" t="s">
        <v>46213</v>
      </c>
      <c r="Q11380" s="17"/>
      <c r="R11380" s="25" t="str">
        <f>HYPERLINK("https://ictv.global/taxonomy/taxondetails?taxnode_id=202317685","Wibpevirus agrenecus")</f>
        <v>Wibpevirus agrenecus</v>
      </c>
      <c r="S11380" s="18" t="s">
        <v>30</v>
      </c>
      <c r="T11380" s="18" t="s">
        <v>46214</v>
      </c>
      <c r="U11380" s="18"/>
      <c r="V11380" s="18"/>
      <c r="W11380" s="18" t="s">
        <v>46215</v>
      </c>
      <c r="X11380" s="18" t="s">
        <v>35</v>
      </c>
      <c r="Y11380" s="18" t="s">
        <v>17171</v>
      </c>
      <c r="Z11380" s="18" t="s">
        <v>24637</v>
      </c>
      <c r="AA11380" s="21" t="str">
        <f>HYPERLINK("https://www.ncbi.nlm.nih.gov/nuccore/CASDWV010001666","NCBI Nucleotide")</f>
        <v>NCBI Nucleotide</v>
      </c>
    </row>
    <row r="11381" spans="1:27" x14ac:dyDescent="0.35">
      <c r="A11381">
        <v>1027555</v>
      </c>
      <c r="B11381">
        <v>10706</v>
      </c>
      <c r="C11381">
        <v>1</v>
      </c>
      <c r="D11381" s="17" t="s">
        <v>17166</v>
      </c>
      <c r="E11381" s="17"/>
      <c r="F11381" s="17" t="s">
        <v>17246</v>
      </c>
      <c r="G11381" s="17"/>
      <c r="H11381" s="17" t="s">
        <v>20919</v>
      </c>
      <c r="I11381" s="17"/>
      <c r="J11381" s="17" t="s">
        <v>21313</v>
      </c>
      <c r="K11381" s="17"/>
      <c r="L11381" s="17" t="s">
        <v>22378</v>
      </c>
      <c r="M11381" s="17"/>
      <c r="N11381" s="17" t="s">
        <v>22459</v>
      </c>
      <c r="O11381" s="17"/>
      <c r="P11381" s="17" t="s">
        <v>46213</v>
      </c>
      <c r="Q11381" s="17"/>
      <c r="R11381" s="25" t="str">
        <f>HYPERLINK("https://ictv.global/taxonomy/taxondetails?taxnode_id=202317686","Wibpevirus agricola")</f>
        <v>Wibpevirus agricola</v>
      </c>
      <c r="S11381" s="18" t="s">
        <v>30</v>
      </c>
      <c r="T11381" s="18" t="s">
        <v>46216</v>
      </c>
      <c r="U11381" s="18"/>
      <c r="V11381" s="18"/>
      <c r="W11381" s="18" t="s">
        <v>46217</v>
      </c>
      <c r="X11381" s="18" t="s">
        <v>35</v>
      </c>
      <c r="Y11381" s="18" t="s">
        <v>17171</v>
      </c>
      <c r="Z11381" s="18" t="s">
        <v>24637</v>
      </c>
      <c r="AA11381" s="21" t="str">
        <f>HYPERLINK("https://www.ncbi.nlm.nih.gov/nuccore/CASDWV010004864","NCBI Nucleotide")</f>
        <v>NCBI Nucleotide</v>
      </c>
    </row>
    <row r="11382" spans="1:27" x14ac:dyDescent="0.35">
      <c r="A11382">
        <v>1027556</v>
      </c>
      <c r="B11382">
        <v>10707</v>
      </c>
      <c r="C11382">
        <v>1</v>
      </c>
      <c r="D11382" s="17" t="s">
        <v>17166</v>
      </c>
      <c r="E11382" s="17"/>
      <c r="F11382" s="17" t="s">
        <v>17246</v>
      </c>
      <c r="G11382" s="17"/>
      <c r="H11382" s="17" t="s">
        <v>20919</v>
      </c>
      <c r="I11382" s="17"/>
      <c r="J11382" s="17" t="s">
        <v>21313</v>
      </c>
      <c r="K11382" s="17"/>
      <c r="L11382" s="17" t="s">
        <v>22378</v>
      </c>
      <c r="M11382" s="17"/>
      <c r="N11382" s="17" t="s">
        <v>22459</v>
      </c>
      <c r="O11382" s="17"/>
      <c r="P11382" s="17" t="s">
        <v>46213</v>
      </c>
      <c r="Q11382" s="17"/>
      <c r="R11382" s="25" t="str">
        <f>HYPERLINK("https://ictv.global/taxonomy/taxondetails?taxnode_id=202317687","Wibpevirus agrivicinum")</f>
        <v>Wibpevirus agrivicinum</v>
      </c>
      <c r="S11382" s="18" t="s">
        <v>30</v>
      </c>
      <c r="T11382" s="18" t="s">
        <v>46218</v>
      </c>
      <c r="U11382" s="18"/>
      <c r="V11382" s="18"/>
      <c r="W11382" s="18" t="s">
        <v>46219</v>
      </c>
      <c r="X11382" s="18" t="s">
        <v>35</v>
      </c>
      <c r="Y11382" s="18" t="s">
        <v>17171</v>
      </c>
      <c r="Z11382" s="18" t="s">
        <v>24637</v>
      </c>
      <c r="AA11382" s="21" t="str">
        <f>HYPERLINK("https://www.ncbi.nlm.nih.gov/nuccore/CASDWV010001645","NCBI Nucleotide")</f>
        <v>NCBI Nucleotide</v>
      </c>
    </row>
    <row r="11383" spans="1:27" x14ac:dyDescent="0.35">
      <c r="A11383">
        <v>1027557</v>
      </c>
      <c r="B11383">
        <v>10708</v>
      </c>
      <c r="C11383">
        <v>1</v>
      </c>
      <c r="D11383" s="17" t="s">
        <v>17166</v>
      </c>
      <c r="E11383" s="17"/>
      <c r="F11383" s="17" t="s">
        <v>17246</v>
      </c>
      <c r="G11383" s="17"/>
      <c r="H11383" s="17" t="s">
        <v>20919</v>
      </c>
      <c r="I11383" s="17"/>
      <c r="J11383" s="17" t="s">
        <v>21313</v>
      </c>
      <c r="K11383" s="17"/>
      <c r="L11383" s="17" t="s">
        <v>22378</v>
      </c>
      <c r="M11383" s="17"/>
      <c r="N11383" s="17" t="s">
        <v>22459</v>
      </c>
      <c r="O11383" s="17"/>
      <c r="P11383" s="17" t="s">
        <v>46213</v>
      </c>
      <c r="Q11383" s="17"/>
      <c r="R11383" s="25" t="str">
        <f>HYPERLINK("https://ictv.global/taxonomy/taxondetails?taxnode_id=202317688","Wibpevirus arvadaptatum")</f>
        <v>Wibpevirus arvadaptatum</v>
      </c>
      <c r="S11383" s="18" t="s">
        <v>30</v>
      </c>
      <c r="T11383" s="18" t="s">
        <v>46220</v>
      </c>
      <c r="U11383" s="18"/>
      <c r="V11383" s="18"/>
      <c r="W11383" s="18" t="s">
        <v>46221</v>
      </c>
      <c r="X11383" s="18" t="s">
        <v>35</v>
      </c>
      <c r="Y11383" s="18" t="s">
        <v>17171</v>
      </c>
      <c r="Z11383" s="18" t="s">
        <v>24637</v>
      </c>
      <c r="AA11383" s="21" t="str">
        <f>HYPERLINK("https://www.ncbi.nlm.nih.gov/nuccore/CASDWV010004714","NCBI Nucleotide")</f>
        <v>NCBI Nucleotide</v>
      </c>
    </row>
    <row r="11384" spans="1:27" x14ac:dyDescent="0.35">
      <c r="A11384">
        <v>1027558</v>
      </c>
      <c r="B11384">
        <v>10709</v>
      </c>
      <c r="C11384">
        <v>1</v>
      </c>
      <c r="D11384" s="17" t="s">
        <v>17166</v>
      </c>
      <c r="E11384" s="17"/>
      <c r="F11384" s="17" t="s">
        <v>17246</v>
      </c>
      <c r="G11384" s="17"/>
      <c r="H11384" s="17" t="s">
        <v>20919</v>
      </c>
      <c r="I11384" s="17"/>
      <c r="J11384" s="17" t="s">
        <v>21313</v>
      </c>
      <c r="K11384" s="17"/>
      <c r="L11384" s="17" t="s">
        <v>22378</v>
      </c>
      <c r="M11384" s="17"/>
      <c r="N11384" s="17" t="s">
        <v>22459</v>
      </c>
      <c r="O11384" s="17"/>
      <c r="P11384" s="17" t="s">
        <v>46213</v>
      </c>
      <c r="Q11384" s="17"/>
      <c r="R11384" s="25" t="str">
        <f>HYPERLINK("https://ictv.global/taxonomy/taxondetails?taxnode_id=202317689","Wibpevirus asiocola")</f>
        <v>Wibpevirus asiocola</v>
      </c>
      <c r="S11384" s="18" t="s">
        <v>30</v>
      </c>
      <c r="T11384" s="18" t="s">
        <v>46222</v>
      </c>
      <c r="U11384" s="18"/>
      <c r="V11384" s="18"/>
      <c r="W11384" s="18" t="s">
        <v>46223</v>
      </c>
      <c r="X11384" s="18" t="s">
        <v>35</v>
      </c>
      <c r="Y11384" s="18" t="s">
        <v>17171</v>
      </c>
      <c r="Z11384" s="18" t="s">
        <v>24637</v>
      </c>
      <c r="AA11384" s="21" t="str">
        <f>HYPERLINK("https://www.ncbi.nlm.nih.gov/nuccore/CASDWV010004498","NCBI Nucleotide")</f>
        <v>NCBI Nucleotide</v>
      </c>
    </row>
    <row r="11385" spans="1:27" x14ac:dyDescent="0.35">
      <c r="A11385">
        <v>1027559</v>
      </c>
      <c r="B11385">
        <v>10710</v>
      </c>
      <c r="C11385">
        <v>1</v>
      </c>
      <c r="D11385" s="17" t="s">
        <v>17166</v>
      </c>
      <c r="E11385" s="17"/>
      <c r="F11385" s="17" t="s">
        <v>17246</v>
      </c>
      <c r="G11385" s="17"/>
      <c r="H11385" s="17" t="s">
        <v>20919</v>
      </c>
      <c r="I11385" s="17"/>
      <c r="J11385" s="17" t="s">
        <v>21313</v>
      </c>
      <c r="K11385" s="17"/>
      <c r="L11385" s="17" t="s">
        <v>22378</v>
      </c>
      <c r="M11385" s="17"/>
      <c r="N11385" s="17" t="s">
        <v>22459</v>
      </c>
      <c r="O11385" s="17"/>
      <c r="P11385" s="17" t="s">
        <v>46213</v>
      </c>
      <c r="Q11385" s="17"/>
      <c r="R11385" s="25" t="str">
        <f>HYPERLINK("https://ictv.global/taxonomy/taxondetails?taxnode_id=202317690","Wibpevirus asiovicinum")</f>
        <v>Wibpevirus asiovicinum</v>
      </c>
      <c r="S11385" s="18" t="s">
        <v>30</v>
      </c>
      <c r="T11385" s="18" t="s">
        <v>46224</v>
      </c>
      <c r="U11385" s="18"/>
      <c r="V11385" s="18"/>
      <c r="W11385" s="18" t="s">
        <v>46225</v>
      </c>
      <c r="X11385" s="18" t="s">
        <v>35</v>
      </c>
      <c r="Y11385" s="18" t="s">
        <v>17171</v>
      </c>
      <c r="Z11385" s="18" t="s">
        <v>24637</v>
      </c>
      <c r="AA11385" s="21" t="str">
        <f>HYPERLINK("https://www.ncbi.nlm.nih.gov/nuccore/CASDWV010002799","NCBI Nucleotide")</f>
        <v>NCBI Nucleotide</v>
      </c>
    </row>
    <row r="11386" spans="1:27" x14ac:dyDescent="0.35">
      <c r="A11386">
        <v>1027560</v>
      </c>
      <c r="B11386">
        <v>10711</v>
      </c>
      <c r="C11386">
        <v>1</v>
      </c>
      <c r="D11386" s="17" t="s">
        <v>17166</v>
      </c>
      <c r="E11386" s="17"/>
      <c r="F11386" s="17" t="s">
        <v>17246</v>
      </c>
      <c r="G11386" s="17"/>
      <c r="H11386" s="17" t="s">
        <v>20919</v>
      </c>
      <c r="I11386" s="17"/>
      <c r="J11386" s="17" t="s">
        <v>21313</v>
      </c>
      <c r="K11386" s="17"/>
      <c r="L11386" s="17" t="s">
        <v>22378</v>
      </c>
      <c r="M11386" s="17"/>
      <c r="N11386" s="17" t="s">
        <v>22459</v>
      </c>
      <c r="O11386" s="17"/>
      <c r="P11386" s="17" t="s">
        <v>46213</v>
      </c>
      <c r="Q11386" s="17"/>
      <c r="R11386" s="25" t="str">
        <f>HYPERLINK("https://ictv.global/taxonomy/taxondetails?taxnode_id=202317691","Wibpevirus chorenecus")</f>
        <v>Wibpevirus chorenecus</v>
      </c>
      <c r="S11386" s="18" t="s">
        <v>30</v>
      </c>
      <c r="T11386" s="18" t="s">
        <v>46226</v>
      </c>
      <c r="U11386" s="18"/>
      <c r="V11386" s="18"/>
      <c r="W11386" s="18" t="s">
        <v>46227</v>
      </c>
      <c r="X11386" s="18" t="s">
        <v>35</v>
      </c>
      <c r="Y11386" s="18" t="s">
        <v>17171</v>
      </c>
      <c r="Z11386" s="18" t="s">
        <v>24637</v>
      </c>
      <c r="AA11386" s="21" t="str">
        <f>HYPERLINK("https://www.ncbi.nlm.nih.gov/nuccore/CASDWV010002170","NCBI Nucleotide")</f>
        <v>NCBI Nucleotide</v>
      </c>
    </row>
    <row r="11387" spans="1:27" x14ac:dyDescent="0.35">
      <c r="A11387">
        <v>1027561</v>
      </c>
      <c r="B11387">
        <v>10712</v>
      </c>
      <c r="C11387">
        <v>1</v>
      </c>
      <c r="D11387" s="17" t="s">
        <v>17166</v>
      </c>
      <c r="E11387" s="17"/>
      <c r="F11387" s="17" t="s">
        <v>17246</v>
      </c>
      <c r="G11387" s="17"/>
      <c r="H11387" s="17" t="s">
        <v>20919</v>
      </c>
      <c r="I11387" s="17"/>
      <c r="J11387" s="17" t="s">
        <v>21313</v>
      </c>
      <c r="K11387" s="17"/>
      <c r="L11387" s="17" t="s">
        <v>22378</v>
      </c>
      <c r="M11387" s="17"/>
      <c r="N11387" s="17" t="s">
        <v>22459</v>
      </c>
      <c r="O11387" s="17"/>
      <c r="P11387" s="17" t="s">
        <v>46213</v>
      </c>
      <c r="Q11387" s="17"/>
      <c r="R11387" s="25" t="str">
        <f>HYPERLINK("https://ictv.global/taxonomy/taxondetails?taxnode_id=202317692","Wibpevirus geohabitans")</f>
        <v>Wibpevirus geohabitans</v>
      </c>
      <c r="S11387" s="18" t="s">
        <v>30</v>
      </c>
      <c r="T11387" s="18" t="s">
        <v>46228</v>
      </c>
      <c r="U11387" s="18"/>
      <c r="V11387" s="18"/>
      <c r="W11387" s="18" t="s">
        <v>46229</v>
      </c>
      <c r="X11387" s="18" t="s">
        <v>35</v>
      </c>
      <c r="Y11387" s="18" t="s">
        <v>17171</v>
      </c>
      <c r="Z11387" s="18" t="s">
        <v>24637</v>
      </c>
      <c r="AA11387" s="21" t="str">
        <f>HYPERLINK("https://www.ncbi.nlm.nih.gov/nuccore/CASDWV010001923","NCBI Nucleotide")</f>
        <v>NCBI Nucleotide</v>
      </c>
    </row>
    <row r="11388" spans="1:27" x14ac:dyDescent="0.35">
      <c r="A11388">
        <v>1027562</v>
      </c>
      <c r="B11388">
        <v>10713</v>
      </c>
      <c r="C11388">
        <v>1</v>
      </c>
      <c r="D11388" s="17" t="s">
        <v>17166</v>
      </c>
      <c r="E11388" s="17"/>
      <c r="F11388" s="17" t="s">
        <v>17246</v>
      </c>
      <c r="G11388" s="17"/>
      <c r="H11388" s="17" t="s">
        <v>20919</v>
      </c>
      <c r="I11388" s="17"/>
      <c r="J11388" s="17" t="s">
        <v>21313</v>
      </c>
      <c r="K11388" s="17"/>
      <c r="L11388" s="17" t="s">
        <v>22378</v>
      </c>
      <c r="M11388" s="17"/>
      <c r="N11388" s="17" t="s">
        <v>22459</v>
      </c>
      <c r="O11388" s="17"/>
      <c r="P11388" s="17" t="s">
        <v>46213</v>
      </c>
      <c r="Q11388" s="17"/>
      <c r="R11388" s="25" t="str">
        <f>HYPERLINK("https://ictv.global/taxonomy/taxondetails?taxnode_id=202317693","Wibpevirus humihabitans")</f>
        <v>Wibpevirus humihabitans</v>
      </c>
      <c r="S11388" s="18" t="s">
        <v>30</v>
      </c>
      <c r="T11388" s="18" t="s">
        <v>46230</v>
      </c>
      <c r="U11388" s="18"/>
      <c r="V11388" s="18"/>
      <c r="W11388" s="18" t="s">
        <v>46231</v>
      </c>
      <c r="X11388" s="18" t="s">
        <v>35</v>
      </c>
      <c r="Y11388" s="18" t="s">
        <v>17171</v>
      </c>
      <c r="Z11388" s="18" t="s">
        <v>24637</v>
      </c>
      <c r="AA11388" s="21" t="str">
        <f>HYPERLINK("https://www.ncbi.nlm.nih.gov/nuccore/CASDWV010001751","NCBI Nucleotide")</f>
        <v>NCBI Nucleotide</v>
      </c>
    </row>
    <row r="11389" spans="1:27" x14ac:dyDescent="0.35">
      <c r="A11389">
        <v>1027563</v>
      </c>
      <c r="B11389">
        <v>10714</v>
      </c>
      <c r="C11389">
        <v>1</v>
      </c>
      <c r="D11389" s="17" t="s">
        <v>17166</v>
      </c>
      <c r="E11389" s="17"/>
      <c r="F11389" s="17" t="s">
        <v>17246</v>
      </c>
      <c r="G11389" s="17"/>
      <c r="H11389" s="17" t="s">
        <v>20919</v>
      </c>
      <c r="I11389" s="17"/>
      <c r="J11389" s="17" t="s">
        <v>21313</v>
      </c>
      <c r="K11389" s="17"/>
      <c r="L11389" s="17" t="s">
        <v>22378</v>
      </c>
      <c r="M11389" s="17"/>
      <c r="N11389" s="17" t="s">
        <v>22459</v>
      </c>
      <c r="O11389" s="17"/>
      <c r="P11389" s="17" t="s">
        <v>46213</v>
      </c>
      <c r="Q11389" s="17"/>
      <c r="R11389" s="25" t="str">
        <f>HYPERLINK("https://ictv.global/taxonomy/taxondetails?taxnode_id=202317694","Wibpevirus pedohabitans")</f>
        <v>Wibpevirus pedohabitans</v>
      </c>
      <c r="S11389" s="18" t="s">
        <v>30</v>
      </c>
      <c r="T11389" s="18" t="s">
        <v>46232</v>
      </c>
      <c r="U11389" s="18"/>
      <c r="V11389" s="18"/>
      <c r="W11389" s="18" t="s">
        <v>46233</v>
      </c>
      <c r="X11389" s="18" t="s">
        <v>35</v>
      </c>
      <c r="Y11389" s="18" t="s">
        <v>17171</v>
      </c>
      <c r="Z11389" s="18" t="s">
        <v>24637</v>
      </c>
      <c r="AA11389" s="21" t="str">
        <f>HYPERLINK("https://www.ncbi.nlm.nih.gov/nuccore/CASDWV010003310","NCBI Nucleotide")</f>
        <v>NCBI Nucleotide</v>
      </c>
    </row>
    <row r="11390" spans="1:27" x14ac:dyDescent="0.35">
      <c r="A11390">
        <v>1027564</v>
      </c>
      <c r="B11390">
        <v>10715</v>
      </c>
      <c r="C11390">
        <v>1</v>
      </c>
      <c r="D11390" s="17" t="s">
        <v>17166</v>
      </c>
      <c r="E11390" s="17"/>
      <c r="F11390" s="17" t="s">
        <v>17246</v>
      </c>
      <c r="G11390" s="17"/>
      <c r="H11390" s="17" t="s">
        <v>20919</v>
      </c>
      <c r="I11390" s="17"/>
      <c r="J11390" s="17" t="s">
        <v>21313</v>
      </c>
      <c r="K11390" s="17"/>
      <c r="L11390" s="17" t="s">
        <v>22378</v>
      </c>
      <c r="M11390" s="17"/>
      <c r="N11390" s="17" t="s">
        <v>22459</v>
      </c>
      <c r="O11390" s="17"/>
      <c r="P11390" s="17" t="s">
        <v>46213</v>
      </c>
      <c r="Q11390" s="17"/>
      <c r="R11390" s="25" t="str">
        <f>HYPERLINK("https://ictv.global/taxonomy/taxondetails?taxnode_id=202317695","Wibpevirus pedovicinum")</f>
        <v>Wibpevirus pedovicinum</v>
      </c>
      <c r="S11390" s="18" t="s">
        <v>30</v>
      </c>
      <c r="T11390" s="18" t="s">
        <v>46234</v>
      </c>
      <c r="U11390" s="18"/>
      <c r="V11390" s="18"/>
      <c r="W11390" s="18" t="s">
        <v>46235</v>
      </c>
      <c r="X11390" s="18" t="s">
        <v>35</v>
      </c>
      <c r="Y11390" s="18" t="s">
        <v>17171</v>
      </c>
      <c r="Z11390" s="18" t="s">
        <v>24637</v>
      </c>
      <c r="AA11390" s="21" t="str">
        <f>HYPERLINK("https://www.ncbi.nlm.nih.gov/nuccore/CASDWV010002117","NCBI Nucleotide")</f>
        <v>NCBI Nucleotide</v>
      </c>
    </row>
    <row r="11391" spans="1:27" x14ac:dyDescent="0.35">
      <c r="A11391">
        <v>1027565</v>
      </c>
      <c r="B11391">
        <v>10716</v>
      </c>
      <c r="C11391">
        <v>1</v>
      </c>
      <c r="D11391" s="17" t="s">
        <v>17166</v>
      </c>
      <c r="E11391" s="17"/>
      <c r="F11391" s="17" t="s">
        <v>17246</v>
      </c>
      <c r="G11391" s="17"/>
      <c r="H11391" s="17" t="s">
        <v>20919</v>
      </c>
      <c r="I11391" s="17"/>
      <c r="J11391" s="17" t="s">
        <v>21313</v>
      </c>
      <c r="K11391" s="17"/>
      <c r="L11391" s="17" t="s">
        <v>22378</v>
      </c>
      <c r="M11391" s="17"/>
      <c r="N11391" s="17" t="s">
        <v>22459</v>
      </c>
      <c r="O11391" s="17"/>
      <c r="P11391" s="17" t="s">
        <v>46213</v>
      </c>
      <c r="Q11391" s="17"/>
      <c r="R11391" s="25" t="str">
        <f>HYPERLINK("https://ictv.global/taxonomy/taxondetails?taxnode_id=202317696","Wibpevirus segetivicinum")</f>
        <v>Wibpevirus segetivicinum</v>
      </c>
      <c r="S11391" s="18" t="s">
        <v>30</v>
      </c>
      <c r="T11391" s="18" t="s">
        <v>46236</v>
      </c>
      <c r="U11391" s="18"/>
      <c r="V11391" s="18"/>
      <c r="W11391" s="18" t="s">
        <v>46237</v>
      </c>
      <c r="X11391" s="18" t="s">
        <v>35</v>
      </c>
      <c r="Y11391" s="18" t="s">
        <v>17171</v>
      </c>
      <c r="Z11391" s="18" t="s">
        <v>24637</v>
      </c>
      <c r="AA11391" s="21" t="str">
        <f>HYPERLINK("https://www.ncbi.nlm.nih.gov/nuccore/CASDWV010000197","NCBI Nucleotide")</f>
        <v>NCBI Nucleotide</v>
      </c>
    </row>
    <row r="11392" spans="1:27" x14ac:dyDescent="0.35">
      <c r="A11392">
        <v>1027566</v>
      </c>
      <c r="B11392">
        <v>10717</v>
      </c>
      <c r="C11392">
        <v>1</v>
      </c>
      <c r="D11392" s="17" t="s">
        <v>17166</v>
      </c>
      <c r="E11392" s="17"/>
      <c r="F11392" s="17" t="s">
        <v>17246</v>
      </c>
      <c r="G11392" s="17"/>
      <c r="H11392" s="17" t="s">
        <v>20919</v>
      </c>
      <c r="I11392" s="17"/>
      <c r="J11392" s="17" t="s">
        <v>21313</v>
      </c>
      <c r="K11392" s="17"/>
      <c r="L11392" s="17" t="s">
        <v>22378</v>
      </c>
      <c r="M11392" s="17"/>
      <c r="N11392" s="17" t="s">
        <v>22459</v>
      </c>
      <c r="O11392" s="17"/>
      <c r="P11392" s="17" t="s">
        <v>46213</v>
      </c>
      <c r="Q11392" s="17"/>
      <c r="R11392" s="25" t="str">
        <f>HYPERLINK("https://ictv.global/taxonomy/taxondetails?taxnode_id=202317697","Wibpevirus tellurihabitans")</f>
        <v>Wibpevirus tellurihabitans</v>
      </c>
      <c r="S11392" s="18" t="s">
        <v>30</v>
      </c>
      <c r="T11392" s="18" t="s">
        <v>46238</v>
      </c>
      <c r="U11392" s="18"/>
      <c r="V11392" s="18"/>
      <c r="W11392" s="18" t="s">
        <v>46239</v>
      </c>
      <c r="X11392" s="18" t="s">
        <v>35</v>
      </c>
      <c r="Y11392" s="18" t="s">
        <v>17171</v>
      </c>
      <c r="Z11392" s="18" t="s">
        <v>24637</v>
      </c>
      <c r="AA11392" s="21" t="str">
        <f>HYPERLINK("https://www.ncbi.nlm.nih.gov/nuccore/CASDWV010000255","NCBI Nucleotide")</f>
        <v>NCBI Nucleotide</v>
      </c>
    </row>
    <row r="11393" spans="1:27" x14ac:dyDescent="0.35">
      <c r="A11393">
        <v>1027567</v>
      </c>
      <c r="B11393">
        <v>10718</v>
      </c>
      <c r="C11393">
        <v>1</v>
      </c>
      <c r="D11393" s="17" t="s">
        <v>17166</v>
      </c>
      <c r="E11393" s="17"/>
      <c r="F11393" s="17" t="s">
        <v>17246</v>
      </c>
      <c r="G11393" s="17"/>
      <c r="H11393" s="17" t="s">
        <v>20919</v>
      </c>
      <c r="I11393" s="17"/>
      <c r="J11393" s="17" t="s">
        <v>21313</v>
      </c>
      <c r="K11393" s="17"/>
      <c r="L11393" s="17" t="s">
        <v>22378</v>
      </c>
      <c r="M11393" s="17"/>
      <c r="N11393" s="17" t="s">
        <v>22459</v>
      </c>
      <c r="O11393" s="17"/>
      <c r="P11393" s="17" t="s">
        <v>46213</v>
      </c>
      <c r="Q11393" s="17"/>
      <c r="R11393" s="25" t="str">
        <f>HYPERLINK("https://ictv.global/taxonomy/taxondetails?taxnode_id=202317698","Wibpevirus tellurivicinum")</f>
        <v>Wibpevirus tellurivicinum</v>
      </c>
      <c r="S11393" s="18" t="s">
        <v>30</v>
      </c>
      <c r="T11393" s="18" t="s">
        <v>46240</v>
      </c>
      <c r="U11393" s="18"/>
      <c r="V11393" s="18"/>
      <c r="W11393" s="18" t="s">
        <v>46241</v>
      </c>
      <c r="X11393" s="18" t="s">
        <v>35</v>
      </c>
      <c r="Y11393" s="18" t="s">
        <v>17171</v>
      </c>
      <c r="Z11393" s="18" t="s">
        <v>24637</v>
      </c>
      <c r="AA11393" s="21" t="str">
        <f>HYPERLINK("https://www.ncbi.nlm.nih.gov/nuccore/CASDWV010002064","NCBI Nucleotide")</f>
        <v>NCBI Nucleotide</v>
      </c>
    </row>
    <row r="11394" spans="1:27" x14ac:dyDescent="0.35">
      <c r="A11394">
        <v>1027568</v>
      </c>
      <c r="B11394">
        <v>10719</v>
      </c>
      <c r="C11394">
        <v>1</v>
      </c>
      <c r="D11394" s="17" t="s">
        <v>17166</v>
      </c>
      <c r="E11394" s="17"/>
      <c r="F11394" s="17" t="s">
        <v>17246</v>
      </c>
      <c r="G11394" s="17"/>
      <c r="H11394" s="17" t="s">
        <v>20919</v>
      </c>
      <c r="I11394" s="17"/>
      <c r="J11394" s="17" t="s">
        <v>21313</v>
      </c>
      <c r="K11394" s="17"/>
      <c r="L11394" s="17" t="s">
        <v>22378</v>
      </c>
      <c r="M11394" s="17"/>
      <c r="N11394" s="17" t="s">
        <v>22459</v>
      </c>
      <c r="O11394" s="17"/>
      <c r="P11394" s="17" t="s">
        <v>46213</v>
      </c>
      <c r="Q11394" s="17"/>
      <c r="R11394" s="25" t="str">
        <f>HYPERLINK("https://ictv.global/taxonomy/taxondetails?taxnode_id=202317699","Wibpevirus terradaptatum")</f>
        <v>Wibpevirus terradaptatum</v>
      </c>
      <c r="S11394" s="18" t="s">
        <v>30</v>
      </c>
      <c r="T11394" s="18" t="s">
        <v>46242</v>
      </c>
      <c r="U11394" s="18"/>
      <c r="V11394" s="18"/>
      <c r="W11394" s="18" t="s">
        <v>46243</v>
      </c>
      <c r="X11394" s="18" t="s">
        <v>35</v>
      </c>
      <c r="Y11394" s="18" t="s">
        <v>17171</v>
      </c>
      <c r="Z11394" s="18" t="s">
        <v>24637</v>
      </c>
      <c r="AA11394" s="21" t="str">
        <f>HYPERLINK("https://www.ncbi.nlm.nih.gov/nuccore/CASDWV010001795","NCBI Nucleotide")</f>
        <v>NCBI Nucleotide</v>
      </c>
    </row>
    <row r="11395" spans="1:27" x14ac:dyDescent="0.35">
      <c r="A11395">
        <v>1010222</v>
      </c>
      <c r="B11395">
        <v>10720</v>
      </c>
      <c r="C11395">
        <v>1</v>
      </c>
      <c r="D11395" s="17" t="s">
        <v>17166</v>
      </c>
      <c r="E11395" s="17"/>
      <c r="F11395" s="17" t="s">
        <v>17246</v>
      </c>
      <c r="G11395" s="17"/>
      <c r="H11395" s="17" t="s">
        <v>20919</v>
      </c>
      <c r="I11395" s="17"/>
      <c r="J11395" s="17" t="s">
        <v>21313</v>
      </c>
      <c r="K11395" s="17"/>
      <c r="L11395" s="17" t="s">
        <v>22378</v>
      </c>
      <c r="M11395" s="17"/>
      <c r="N11395" s="17" t="s">
        <v>22459</v>
      </c>
      <c r="O11395" s="17"/>
      <c r="P11395" s="17" t="s">
        <v>23292</v>
      </c>
      <c r="Q11395" s="17"/>
      <c r="R11395" s="25" t="str">
        <f>HYPERLINK("https://ictv.global/taxonomy/taxondetails?taxnode_id=202311502","Widsokivirus pelovivens")</f>
        <v>Widsokivirus pelovivens</v>
      </c>
      <c r="S11395" s="18" t="s">
        <v>30</v>
      </c>
      <c r="T11395" s="18" t="s">
        <v>23293</v>
      </c>
      <c r="U11395" s="18"/>
      <c r="V11395" s="18"/>
      <c r="W11395" s="18" t="s">
        <v>23294</v>
      </c>
      <c r="X11395" s="18" t="s">
        <v>35</v>
      </c>
      <c r="Y11395" s="18" t="s">
        <v>17171</v>
      </c>
      <c r="Z11395" s="18" t="s">
        <v>697</v>
      </c>
      <c r="AA11395" s="21" t="str">
        <f>HYPERLINK("https://www.ncbi.nlm.nih.gov/nuccore/BK013654","NCBI Nucleotide")</f>
        <v>NCBI Nucleotide</v>
      </c>
    </row>
    <row r="11396" spans="1:27" x14ac:dyDescent="0.35">
      <c r="A11396">
        <v>1027571</v>
      </c>
      <c r="B11396">
        <v>10721</v>
      </c>
      <c r="C11396">
        <v>1</v>
      </c>
      <c r="D11396" s="17" t="s">
        <v>17166</v>
      </c>
      <c r="E11396" s="17"/>
      <c r="F11396" s="17" t="s">
        <v>17246</v>
      </c>
      <c r="G11396" s="17"/>
      <c r="H11396" s="17" t="s">
        <v>20919</v>
      </c>
      <c r="I11396" s="17"/>
      <c r="J11396" s="17" t="s">
        <v>21313</v>
      </c>
      <c r="K11396" s="17"/>
      <c r="L11396" s="17" t="s">
        <v>22378</v>
      </c>
      <c r="M11396" s="17"/>
      <c r="N11396" s="17" t="s">
        <v>22459</v>
      </c>
      <c r="O11396" s="17"/>
      <c r="P11396" s="17" t="s">
        <v>46244</v>
      </c>
      <c r="Q11396" s="17"/>
      <c r="R11396" s="25" t="str">
        <f>HYPERLINK("https://ictv.global/taxonomy/taxondetails?taxnode_id=202317700","Wilfovirus arvenecus")</f>
        <v>Wilfovirus arvenecus</v>
      </c>
      <c r="S11396" s="18" t="s">
        <v>30</v>
      </c>
      <c r="T11396" s="18" t="s">
        <v>46245</v>
      </c>
      <c r="U11396" s="18"/>
      <c r="V11396" s="18"/>
      <c r="W11396" s="18" t="s">
        <v>46246</v>
      </c>
      <c r="X11396" s="18" t="s">
        <v>35</v>
      </c>
      <c r="Y11396" s="18" t="s">
        <v>17171</v>
      </c>
      <c r="Z11396" s="18" t="s">
        <v>24637</v>
      </c>
      <c r="AA11396" s="21" t="str">
        <f>HYPERLINK("https://www.ncbi.nlm.nih.gov/nuccore/CASDWV010003530","NCBI Nucleotide")</f>
        <v>NCBI Nucleotide</v>
      </c>
    </row>
    <row r="11397" spans="1:27" x14ac:dyDescent="0.35">
      <c r="A11397">
        <v>1027515</v>
      </c>
      <c r="B11397">
        <v>10722</v>
      </c>
      <c r="C11397">
        <v>1</v>
      </c>
      <c r="D11397" s="17" t="s">
        <v>17166</v>
      </c>
      <c r="E11397" s="17"/>
      <c r="F11397" s="17" t="s">
        <v>17246</v>
      </c>
      <c r="G11397" s="17"/>
      <c r="H11397" s="17" t="s">
        <v>20919</v>
      </c>
      <c r="I11397" s="17"/>
      <c r="J11397" s="17" t="s">
        <v>21313</v>
      </c>
      <c r="K11397" s="17"/>
      <c r="L11397" s="17" t="s">
        <v>22378</v>
      </c>
      <c r="M11397" s="17"/>
      <c r="N11397" s="17" t="s">
        <v>22459</v>
      </c>
      <c r="O11397" s="17"/>
      <c r="P11397" s="17" t="s">
        <v>46247</v>
      </c>
      <c r="Q11397" s="17"/>
      <c r="R11397" s="25" t="str">
        <f>HYPERLINK("https://ictv.global/taxonomy/taxondetails?taxnode_id=202317701","Wirwovirus chorocola")</f>
        <v>Wirwovirus chorocola</v>
      </c>
      <c r="S11397" s="18" t="s">
        <v>30</v>
      </c>
      <c r="T11397" s="18" t="s">
        <v>46248</v>
      </c>
      <c r="U11397" s="18"/>
      <c r="V11397" s="18"/>
      <c r="W11397" s="18" t="s">
        <v>46249</v>
      </c>
      <c r="X11397" s="18" t="s">
        <v>35</v>
      </c>
      <c r="Y11397" s="18" t="s">
        <v>17171</v>
      </c>
      <c r="Z11397" s="18" t="s">
        <v>24637</v>
      </c>
      <c r="AA11397" s="21" t="str">
        <f>HYPERLINK("https://www.ncbi.nlm.nih.gov/nuccore/CASDWV010003417","NCBI Nucleotide")</f>
        <v>NCBI Nucleotide</v>
      </c>
    </row>
    <row r="11398" spans="1:27" x14ac:dyDescent="0.35">
      <c r="A11398">
        <v>1027518</v>
      </c>
      <c r="B11398">
        <v>10723</v>
      </c>
      <c r="C11398">
        <v>1</v>
      </c>
      <c r="D11398" s="17" t="s">
        <v>17166</v>
      </c>
      <c r="E11398" s="17"/>
      <c r="F11398" s="17" t="s">
        <v>17246</v>
      </c>
      <c r="G11398" s="17"/>
      <c r="H11398" s="17" t="s">
        <v>20919</v>
      </c>
      <c r="I11398" s="17"/>
      <c r="J11398" s="17" t="s">
        <v>21313</v>
      </c>
      <c r="K11398" s="17"/>
      <c r="L11398" s="17" t="s">
        <v>22378</v>
      </c>
      <c r="M11398" s="17"/>
      <c r="N11398" s="17" t="s">
        <v>22459</v>
      </c>
      <c r="O11398" s="17"/>
      <c r="P11398" s="17" t="s">
        <v>46250</v>
      </c>
      <c r="Q11398" s="17"/>
      <c r="R11398" s="25" t="str">
        <f>HYPERLINK("https://ictv.global/taxonomy/taxondetails?taxnode_id=202317702","Wixfovirus caenivivens")</f>
        <v>Wixfovirus caenivivens</v>
      </c>
      <c r="S11398" s="18" t="s">
        <v>30</v>
      </c>
      <c r="T11398" s="18" t="s">
        <v>46251</v>
      </c>
      <c r="U11398" s="18"/>
      <c r="V11398" s="18"/>
      <c r="W11398" s="18" t="s">
        <v>46252</v>
      </c>
      <c r="X11398" s="18" t="s">
        <v>35</v>
      </c>
      <c r="Y11398" s="18" t="s">
        <v>17171</v>
      </c>
      <c r="Z11398" s="18" t="s">
        <v>24637</v>
      </c>
      <c r="AA11398" s="21" t="str">
        <f>HYPERLINK("https://www.ncbi.nlm.nih.gov/nuccore/CASDWV010002615","NCBI Nucleotide")</f>
        <v>NCBI Nucleotide</v>
      </c>
    </row>
    <row r="11399" spans="1:27" x14ac:dyDescent="0.35">
      <c r="A11399">
        <v>1027522</v>
      </c>
      <c r="B11399">
        <v>10724</v>
      </c>
      <c r="C11399">
        <v>1</v>
      </c>
      <c r="D11399" s="17" t="s">
        <v>17166</v>
      </c>
      <c r="E11399" s="17"/>
      <c r="F11399" s="17" t="s">
        <v>17246</v>
      </c>
      <c r="G11399" s="17"/>
      <c r="H11399" s="17" t="s">
        <v>20919</v>
      </c>
      <c r="I11399" s="17"/>
      <c r="J11399" s="17" t="s">
        <v>21313</v>
      </c>
      <c r="K11399" s="17"/>
      <c r="L11399" s="17" t="s">
        <v>22378</v>
      </c>
      <c r="M11399" s="17"/>
      <c r="N11399" s="17" t="s">
        <v>22459</v>
      </c>
      <c r="O11399" s="17"/>
      <c r="P11399" s="17" t="s">
        <v>46253</v>
      </c>
      <c r="Q11399" s="17"/>
      <c r="R11399" s="25" t="str">
        <f>HYPERLINK("https://ictv.global/taxonomy/taxondetails?taxnode_id=202317703","Wohodivirus caenihabitans")</f>
        <v>Wohodivirus caenihabitans</v>
      </c>
      <c r="S11399" s="18" t="s">
        <v>30</v>
      </c>
      <c r="T11399" s="18" t="s">
        <v>46254</v>
      </c>
      <c r="U11399" s="18"/>
      <c r="V11399" s="18"/>
      <c r="W11399" s="18" t="s">
        <v>46255</v>
      </c>
      <c r="X11399" s="18" t="s">
        <v>35</v>
      </c>
      <c r="Y11399" s="18" t="s">
        <v>17171</v>
      </c>
      <c r="Z11399" s="18" t="s">
        <v>24637</v>
      </c>
      <c r="AA11399" s="21" t="str">
        <f>HYPERLINK("https://www.ncbi.nlm.nih.gov/nuccore/CASDWV010001474","NCBI Nucleotide")</f>
        <v>NCBI Nucleotide</v>
      </c>
    </row>
    <row r="11400" spans="1:27" x14ac:dyDescent="0.35">
      <c r="A11400">
        <v>1027523</v>
      </c>
      <c r="B11400">
        <v>10725</v>
      </c>
      <c r="C11400">
        <v>1</v>
      </c>
      <c r="D11400" s="17" t="s">
        <v>17166</v>
      </c>
      <c r="E11400" s="17"/>
      <c r="F11400" s="17" t="s">
        <v>17246</v>
      </c>
      <c r="G11400" s="17"/>
      <c r="H11400" s="17" t="s">
        <v>20919</v>
      </c>
      <c r="I11400" s="17"/>
      <c r="J11400" s="17" t="s">
        <v>21313</v>
      </c>
      <c r="K11400" s="17"/>
      <c r="L11400" s="17" t="s">
        <v>22378</v>
      </c>
      <c r="M11400" s="17"/>
      <c r="N11400" s="17" t="s">
        <v>22459</v>
      </c>
      <c r="O11400" s="17"/>
      <c r="P11400" s="17" t="s">
        <v>46256</v>
      </c>
      <c r="Q11400" s="17"/>
      <c r="R11400" s="25" t="str">
        <f>HYPERLINK("https://ictv.global/taxonomy/taxondetails?taxnode_id=202317704","Wohrmlevirus soladaptatum")</f>
        <v>Wohrmlevirus soladaptatum</v>
      </c>
      <c r="S11400" s="18" t="s">
        <v>30</v>
      </c>
      <c r="T11400" s="18" t="s">
        <v>46257</v>
      </c>
      <c r="U11400" s="18"/>
      <c r="V11400" s="18"/>
      <c r="W11400" s="18" t="s">
        <v>46258</v>
      </c>
      <c r="X11400" s="18" t="s">
        <v>35</v>
      </c>
      <c r="Y11400" s="18" t="s">
        <v>17171</v>
      </c>
      <c r="Z11400" s="18" t="s">
        <v>24637</v>
      </c>
      <c r="AA11400" s="21" t="str">
        <f>HYPERLINK("https://www.ncbi.nlm.nih.gov/nuccore/CASDWV010003416","NCBI Nucleotide")</f>
        <v>NCBI Nucleotide</v>
      </c>
    </row>
    <row r="11401" spans="1:27" x14ac:dyDescent="0.35">
      <c r="A11401">
        <v>1027524</v>
      </c>
      <c r="B11401">
        <v>10726</v>
      </c>
      <c r="C11401">
        <v>1</v>
      </c>
      <c r="D11401" s="17" t="s">
        <v>17166</v>
      </c>
      <c r="E11401" s="17"/>
      <c r="F11401" s="17" t="s">
        <v>17246</v>
      </c>
      <c r="G11401" s="17"/>
      <c r="H11401" s="17" t="s">
        <v>20919</v>
      </c>
      <c r="I11401" s="17"/>
      <c r="J11401" s="17" t="s">
        <v>21313</v>
      </c>
      <c r="K11401" s="17"/>
      <c r="L11401" s="17" t="s">
        <v>22378</v>
      </c>
      <c r="M11401" s="17"/>
      <c r="N11401" s="17" t="s">
        <v>22459</v>
      </c>
      <c r="O11401" s="17"/>
      <c r="P11401" s="17" t="s">
        <v>46259</v>
      </c>
      <c r="Q11401" s="17"/>
      <c r="R11401" s="25" t="str">
        <f>HYPERLINK("https://ictv.global/taxonomy/taxondetails?taxnode_id=202317705","Wohtavirus edaphovicinum")</f>
        <v>Wohtavirus edaphovicinum</v>
      </c>
      <c r="S11401" s="18" t="s">
        <v>30</v>
      </c>
      <c r="T11401" s="18" t="s">
        <v>46260</v>
      </c>
      <c r="U11401" s="18"/>
      <c r="V11401" s="18"/>
      <c r="W11401" s="18" t="s">
        <v>46261</v>
      </c>
      <c r="X11401" s="18" t="s">
        <v>35</v>
      </c>
      <c r="Y11401" s="18" t="s">
        <v>17171</v>
      </c>
      <c r="Z11401" s="18" t="s">
        <v>24637</v>
      </c>
      <c r="AA11401" s="21" t="str">
        <f>HYPERLINK("https://www.ncbi.nlm.nih.gov/nuccore/CASDWV010003593","NCBI Nucleotide")</f>
        <v>NCBI Nucleotide</v>
      </c>
    </row>
    <row r="11402" spans="1:27" x14ac:dyDescent="0.35">
      <c r="A11402">
        <v>1027536</v>
      </c>
      <c r="B11402">
        <v>10727</v>
      </c>
      <c r="C11402">
        <v>1</v>
      </c>
      <c r="D11402" s="17" t="s">
        <v>17166</v>
      </c>
      <c r="E11402" s="17"/>
      <c r="F11402" s="17" t="s">
        <v>17246</v>
      </c>
      <c r="G11402" s="17"/>
      <c r="H11402" s="17" t="s">
        <v>20919</v>
      </c>
      <c r="I11402" s="17"/>
      <c r="J11402" s="17" t="s">
        <v>21313</v>
      </c>
      <c r="K11402" s="17"/>
      <c r="L11402" s="17" t="s">
        <v>22378</v>
      </c>
      <c r="M11402" s="17"/>
      <c r="N11402" s="17" t="s">
        <v>22459</v>
      </c>
      <c r="O11402" s="17"/>
      <c r="P11402" s="17" t="s">
        <v>46262</v>
      </c>
      <c r="Q11402" s="17"/>
      <c r="R11402" s="25" t="str">
        <f>HYPERLINK("https://ictv.global/taxonomy/taxondetails?taxnode_id=202317706","Wolvivirus vitiscola")</f>
        <v>Wolvivirus vitiscola</v>
      </c>
      <c r="S11402" s="18" t="s">
        <v>30</v>
      </c>
      <c r="T11402" s="18" t="s">
        <v>46263</v>
      </c>
      <c r="U11402" s="18"/>
      <c r="V11402" s="18" t="s">
        <v>46264</v>
      </c>
      <c r="W11402" s="18" t="s">
        <v>46265</v>
      </c>
      <c r="X11402" s="18" t="s">
        <v>35</v>
      </c>
      <c r="Y11402" s="18" t="s">
        <v>17171</v>
      </c>
      <c r="Z11402" s="18" t="s">
        <v>17336</v>
      </c>
      <c r="AA11402" s="21" t="str">
        <f>HYPERLINK("https://www.ncbi.nlm.nih.gov/nuccore/MW648448","NCBI Nucleotide")</f>
        <v>NCBI Nucleotide</v>
      </c>
    </row>
    <row r="11403" spans="1:27" x14ac:dyDescent="0.35">
      <c r="A11403">
        <v>1027539</v>
      </c>
      <c r="B11403">
        <v>10728</v>
      </c>
      <c r="C11403">
        <v>1</v>
      </c>
      <c r="D11403" s="17" t="s">
        <v>17166</v>
      </c>
      <c r="E11403" s="17"/>
      <c r="F11403" s="17" t="s">
        <v>17246</v>
      </c>
      <c r="G11403" s="17"/>
      <c r="H11403" s="17" t="s">
        <v>20919</v>
      </c>
      <c r="I11403" s="17"/>
      <c r="J11403" s="17" t="s">
        <v>21313</v>
      </c>
      <c r="K11403" s="17"/>
      <c r="L11403" s="17" t="s">
        <v>22378</v>
      </c>
      <c r="M11403" s="17"/>
      <c r="N11403" s="17" t="s">
        <v>22459</v>
      </c>
      <c r="O11403" s="17"/>
      <c r="P11403" s="17" t="s">
        <v>46266</v>
      </c>
      <c r="Q11403" s="17"/>
      <c r="R11403" s="25" t="str">
        <f>HYPERLINK("https://ictv.global/taxonomy/taxondetails?taxnode_id=202317707","Wruxavirus allofaecicola")</f>
        <v>Wruxavirus allofaecicola</v>
      </c>
      <c r="S11403" s="18" t="s">
        <v>30</v>
      </c>
      <c r="T11403" s="18" t="s">
        <v>46267</v>
      </c>
      <c r="U11403" s="18"/>
      <c r="V11403" s="18" t="s">
        <v>46267</v>
      </c>
      <c r="W11403" s="18" t="s">
        <v>46268</v>
      </c>
      <c r="X11403" s="18" t="s">
        <v>35</v>
      </c>
      <c r="Y11403" s="18" t="s">
        <v>17171</v>
      </c>
      <c r="Z11403" s="18" t="s">
        <v>24637</v>
      </c>
      <c r="AA11403" s="21" t="str">
        <f>HYPERLINK("https://www.ncbi.nlm.nih.gov/nuccore/MZ679745","NCBI Nucleotide")</f>
        <v>NCBI Nucleotide</v>
      </c>
    </row>
    <row r="11404" spans="1:27" x14ac:dyDescent="0.35">
      <c r="A11404">
        <v>1027540</v>
      </c>
      <c r="B11404">
        <v>10729</v>
      </c>
      <c r="C11404">
        <v>1</v>
      </c>
      <c r="D11404" s="17" t="s">
        <v>17166</v>
      </c>
      <c r="E11404" s="17"/>
      <c r="F11404" s="17" t="s">
        <v>17246</v>
      </c>
      <c r="G11404" s="17"/>
      <c r="H11404" s="17" t="s">
        <v>20919</v>
      </c>
      <c r="I11404" s="17"/>
      <c r="J11404" s="17" t="s">
        <v>21313</v>
      </c>
      <c r="K11404" s="17"/>
      <c r="L11404" s="17" t="s">
        <v>22378</v>
      </c>
      <c r="M11404" s="17"/>
      <c r="N11404" s="17" t="s">
        <v>22459</v>
      </c>
      <c r="O11404" s="17"/>
      <c r="P11404" s="17" t="s">
        <v>46266</v>
      </c>
      <c r="Q11404" s="17"/>
      <c r="R11404" s="25" t="str">
        <f>HYPERLINK("https://ictv.global/taxonomy/taxondetails?taxnode_id=202317708","Wruxavirus allonemorishabitans")</f>
        <v>Wruxavirus allonemorishabitans</v>
      </c>
      <c r="S11404" s="18" t="s">
        <v>30</v>
      </c>
      <c r="T11404" s="18" t="s">
        <v>46269</v>
      </c>
      <c r="U11404" s="18"/>
      <c r="V11404" s="18" t="s">
        <v>46269</v>
      </c>
      <c r="W11404" s="18" t="s">
        <v>46270</v>
      </c>
      <c r="X11404" s="18" t="s">
        <v>35</v>
      </c>
      <c r="Y11404" s="18" t="s">
        <v>17171</v>
      </c>
      <c r="Z11404" s="18" t="s">
        <v>24637</v>
      </c>
      <c r="AA11404" s="21" t="str">
        <f>HYPERLINK("https://www.ncbi.nlm.nih.gov/nuccore/MZ679718","NCBI Nucleotide")</f>
        <v>NCBI Nucleotide</v>
      </c>
    </row>
    <row r="11405" spans="1:27" x14ac:dyDescent="0.35">
      <c r="A11405">
        <v>1027541</v>
      </c>
      <c r="B11405">
        <v>10730</v>
      </c>
      <c r="C11405">
        <v>1</v>
      </c>
      <c r="D11405" s="17" t="s">
        <v>17166</v>
      </c>
      <c r="E11405" s="17"/>
      <c r="F11405" s="17" t="s">
        <v>17246</v>
      </c>
      <c r="G11405" s="17"/>
      <c r="H11405" s="17" t="s">
        <v>20919</v>
      </c>
      <c r="I11405" s="17"/>
      <c r="J11405" s="17" t="s">
        <v>21313</v>
      </c>
      <c r="K11405" s="17"/>
      <c r="L11405" s="17" t="s">
        <v>22378</v>
      </c>
      <c r="M11405" s="17"/>
      <c r="N11405" s="17" t="s">
        <v>22459</v>
      </c>
      <c r="O11405" s="17"/>
      <c r="P11405" s="17" t="s">
        <v>46266</v>
      </c>
      <c r="Q11405" s="17"/>
      <c r="R11405" s="25" t="str">
        <f>HYPERLINK("https://ictv.global/taxonomy/taxondetails?taxnode_id=202317709","Wruxavirus humenecus")</f>
        <v>Wruxavirus humenecus</v>
      </c>
      <c r="S11405" s="18" t="s">
        <v>30</v>
      </c>
      <c r="T11405" s="18" t="s">
        <v>46271</v>
      </c>
      <c r="U11405" s="18"/>
      <c r="V11405" s="18" t="s">
        <v>46271</v>
      </c>
      <c r="W11405" s="18" t="s">
        <v>46272</v>
      </c>
      <c r="X11405" s="18" t="s">
        <v>35</v>
      </c>
      <c r="Y11405" s="18" t="s">
        <v>17171</v>
      </c>
      <c r="Z11405" s="18" t="s">
        <v>24637</v>
      </c>
      <c r="AA11405" s="21" t="str">
        <f>HYPERLINK("https://www.ncbi.nlm.nih.gov/nuccore/MZ679547","NCBI Nucleotide")</f>
        <v>NCBI Nucleotide</v>
      </c>
    </row>
    <row r="11406" spans="1:27" x14ac:dyDescent="0.35">
      <c r="A11406">
        <v>1027548</v>
      </c>
      <c r="B11406">
        <v>10731</v>
      </c>
      <c r="C11406">
        <v>1</v>
      </c>
      <c r="D11406" s="17" t="s">
        <v>17166</v>
      </c>
      <c r="E11406" s="17"/>
      <c r="F11406" s="17" t="s">
        <v>17246</v>
      </c>
      <c r="G11406" s="17"/>
      <c r="H11406" s="17" t="s">
        <v>20919</v>
      </c>
      <c r="I11406" s="17"/>
      <c r="J11406" s="17" t="s">
        <v>21313</v>
      </c>
      <c r="K11406" s="17"/>
      <c r="L11406" s="17" t="s">
        <v>22378</v>
      </c>
      <c r="M11406" s="17"/>
      <c r="N11406" s="17" t="s">
        <v>22459</v>
      </c>
      <c r="O11406" s="17"/>
      <c r="P11406" s="17" t="s">
        <v>46273</v>
      </c>
      <c r="Q11406" s="17"/>
      <c r="R11406" s="25" t="str">
        <f>HYPERLINK("https://ictv.global/taxonomy/taxondetails?taxnode_id=202317710","Wundevirus agrihabitans")</f>
        <v>Wundevirus agrihabitans</v>
      </c>
      <c r="S11406" s="18" t="s">
        <v>30</v>
      </c>
      <c r="T11406" s="18" t="s">
        <v>46274</v>
      </c>
      <c r="U11406" s="18"/>
      <c r="V11406" s="18"/>
      <c r="W11406" s="18" t="s">
        <v>46275</v>
      </c>
      <c r="X11406" s="18" t="s">
        <v>35</v>
      </c>
      <c r="Y11406" s="18" t="s">
        <v>17171</v>
      </c>
      <c r="Z11406" s="18" t="s">
        <v>24637</v>
      </c>
      <c r="AA11406" s="21" t="str">
        <f>HYPERLINK("https://www.ncbi.nlm.nih.gov/nuccore/CASDWV010000854","NCBI Nucleotide")</f>
        <v>NCBI Nucleotide</v>
      </c>
    </row>
    <row r="11407" spans="1:27" x14ac:dyDescent="0.35">
      <c r="A11407">
        <v>1027550</v>
      </c>
      <c r="B11407">
        <v>10732</v>
      </c>
      <c r="C11407">
        <v>1</v>
      </c>
      <c r="D11407" s="17" t="s">
        <v>17166</v>
      </c>
      <c r="E11407" s="17"/>
      <c r="F11407" s="17" t="s">
        <v>17246</v>
      </c>
      <c r="G11407" s="17"/>
      <c r="H11407" s="17" t="s">
        <v>20919</v>
      </c>
      <c r="I11407" s="17"/>
      <c r="J11407" s="17" t="s">
        <v>21313</v>
      </c>
      <c r="K11407" s="17"/>
      <c r="L11407" s="17" t="s">
        <v>22378</v>
      </c>
      <c r="M11407" s="17"/>
      <c r="N11407" s="17" t="s">
        <v>22459</v>
      </c>
      <c r="O11407" s="17"/>
      <c r="P11407" s="17" t="s">
        <v>46276</v>
      </c>
      <c r="Q11407" s="17"/>
      <c r="R11407" s="25" t="str">
        <f>HYPERLINK("https://ictv.global/taxonomy/taxondetails?taxnode_id=202317711","Wushavirus faecivicinum")</f>
        <v>Wushavirus faecivicinum</v>
      </c>
      <c r="S11407" s="18" t="s">
        <v>30</v>
      </c>
      <c r="T11407" s="18" t="s">
        <v>46277</v>
      </c>
      <c r="U11407" s="18"/>
      <c r="V11407" s="18" t="s">
        <v>46277</v>
      </c>
      <c r="W11407" s="18" t="s">
        <v>46278</v>
      </c>
      <c r="X11407" s="18" t="s">
        <v>35</v>
      </c>
      <c r="Y11407" s="18" t="s">
        <v>17171</v>
      </c>
      <c r="Z11407" s="18" t="s">
        <v>24637</v>
      </c>
      <c r="AA11407" s="21" t="str">
        <f>HYPERLINK("https://www.ncbi.nlm.nih.gov/nuccore/MZ679690","NCBI Nucleotide")</f>
        <v>NCBI Nucleotide</v>
      </c>
    </row>
    <row r="11408" spans="1:27" x14ac:dyDescent="0.35">
      <c r="A11408">
        <v>1027551</v>
      </c>
      <c r="B11408">
        <v>10733</v>
      </c>
      <c r="C11408">
        <v>1</v>
      </c>
      <c r="D11408" s="17" t="s">
        <v>17166</v>
      </c>
      <c r="E11408" s="17"/>
      <c r="F11408" s="17" t="s">
        <v>17246</v>
      </c>
      <c r="G11408" s="17"/>
      <c r="H11408" s="17" t="s">
        <v>20919</v>
      </c>
      <c r="I11408" s="17"/>
      <c r="J11408" s="17" t="s">
        <v>21313</v>
      </c>
      <c r="K11408" s="17"/>
      <c r="L11408" s="17" t="s">
        <v>22378</v>
      </c>
      <c r="M11408" s="17"/>
      <c r="N11408" s="17" t="s">
        <v>22459</v>
      </c>
      <c r="O11408" s="17"/>
      <c r="P11408" s="17" t="s">
        <v>46276</v>
      </c>
      <c r="Q11408" s="17"/>
      <c r="R11408" s="25" t="str">
        <f>HYPERLINK("https://ictv.global/taxonomy/taxondetails?taxnode_id=202317712","Wushavirus limicola")</f>
        <v>Wushavirus limicola</v>
      </c>
      <c r="S11408" s="18" t="s">
        <v>30</v>
      </c>
      <c r="T11408" s="18" t="s">
        <v>46279</v>
      </c>
      <c r="U11408" s="18"/>
      <c r="V11408" s="18"/>
      <c r="W11408" s="18" t="s">
        <v>46280</v>
      </c>
      <c r="X11408" s="18" t="s">
        <v>35</v>
      </c>
      <c r="Y11408" s="18" t="s">
        <v>17171</v>
      </c>
      <c r="Z11408" s="18" t="s">
        <v>24637</v>
      </c>
      <c r="AA11408" s="21" t="str">
        <f>HYPERLINK("https://www.ncbi.nlm.nih.gov/nuccore/CASDWV010001259","NCBI Nucleotide")</f>
        <v>NCBI Nucleotide</v>
      </c>
    </row>
    <row r="11409" spans="1:27" x14ac:dyDescent="0.35">
      <c r="A11409">
        <v>1027419</v>
      </c>
      <c r="B11409">
        <v>10734</v>
      </c>
      <c r="C11409">
        <v>1</v>
      </c>
      <c r="D11409" s="17" t="s">
        <v>17166</v>
      </c>
      <c r="E11409" s="17"/>
      <c r="F11409" s="17" t="s">
        <v>17246</v>
      </c>
      <c r="G11409" s="17"/>
      <c r="H11409" s="17" t="s">
        <v>20919</v>
      </c>
      <c r="I11409" s="17"/>
      <c r="J11409" s="17" t="s">
        <v>21313</v>
      </c>
      <c r="K11409" s="17"/>
      <c r="L11409" s="17" t="s">
        <v>22378</v>
      </c>
      <c r="M11409" s="17"/>
      <c r="N11409" s="17" t="s">
        <v>22459</v>
      </c>
      <c r="O11409" s="17"/>
      <c r="P11409" s="17" t="s">
        <v>23295</v>
      </c>
      <c r="Q11409" s="17"/>
      <c r="R11409" s="25" t="str">
        <f>HYPERLINK("https://ictv.global/taxonomy/taxondetails?taxnode_id=202317713","Yeziwivirus allofaecadaptatum")</f>
        <v>Yeziwivirus allofaecadaptatum</v>
      </c>
      <c r="S11409" s="18" t="s">
        <v>30</v>
      </c>
      <c r="T11409" s="18" t="s">
        <v>46281</v>
      </c>
      <c r="U11409" s="18"/>
      <c r="V11409" s="18" t="s">
        <v>46281</v>
      </c>
      <c r="W11409" s="18" t="s">
        <v>46282</v>
      </c>
      <c r="X11409" s="18" t="s">
        <v>35</v>
      </c>
      <c r="Y11409" s="18" t="s">
        <v>17171</v>
      </c>
      <c r="Z11409" s="18" t="s">
        <v>24637</v>
      </c>
      <c r="AA11409" s="21" t="str">
        <f>HYPERLINK("https://www.ncbi.nlm.nih.gov/nuccore/MZ679494","NCBI Nucleotide")</f>
        <v>NCBI Nucleotide</v>
      </c>
    </row>
    <row r="11410" spans="1:27" x14ac:dyDescent="0.35">
      <c r="A11410">
        <v>1027420</v>
      </c>
      <c r="B11410">
        <v>10735</v>
      </c>
      <c r="C11410">
        <v>1</v>
      </c>
      <c r="D11410" s="17" t="s">
        <v>17166</v>
      </c>
      <c r="E11410" s="17"/>
      <c r="F11410" s="17" t="s">
        <v>17246</v>
      </c>
      <c r="G11410" s="17"/>
      <c r="H11410" s="17" t="s">
        <v>20919</v>
      </c>
      <c r="I11410" s="17"/>
      <c r="J11410" s="17" t="s">
        <v>21313</v>
      </c>
      <c r="K11410" s="17"/>
      <c r="L11410" s="17" t="s">
        <v>22378</v>
      </c>
      <c r="M11410" s="17"/>
      <c r="N11410" s="17" t="s">
        <v>22459</v>
      </c>
      <c r="O11410" s="17"/>
      <c r="P11410" s="17" t="s">
        <v>23295</v>
      </c>
      <c r="Q11410" s="17"/>
      <c r="R11410" s="25" t="str">
        <f>HYPERLINK("https://ictv.global/taxonomy/taxondetails?taxnode_id=202317714","Yeziwivirus allofaecenecus")</f>
        <v>Yeziwivirus allofaecenecus</v>
      </c>
      <c r="S11410" s="18" t="s">
        <v>30</v>
      </c>
      <c r="T11410" s="18" t="s">
        <v>46283</v>
      </c>
      <c r="U11410" s="18"/>
      <c r="V11410" s="18" t="s">
        <v>46283</v>
      </c>
      <c r="W11410" s="18" t="s">
        <v>46284</v>
      </c>
      <c r="X11410" s="18" t="s">
        <v>35</v>
      </c>
      <c r="Y11410" s="18" t="s">
        <v>17171</v>
      </c>
      <c r="Z11410" s="18" t="s">
        <v>24637</v>
      </c>
      <c r="AA11410" s="21" t="str">
        <f>HYPERLINK("https://www.ncbi.nlm.nih.gov/nuccore/MZ679812","NCBI Nucleotide")</f>
        <v>NCBI Nucleotide</v>
      </c>
    </row>
    <row r="11411" spans="1:27" x14ac:dyDescent="0.35">
      <c r="A11411">
        <v>1027421</v>
      </c>
      <c r="B11411">
        <v>10736</v>
      </c>
      <c r="C11411">
        <v>1</v>
      </c>
      <c r="D11411" s="17" t="s">
        <v>17166</v>
      </c>
      <c r="E11411" s="17"/>
      <c r="F11411" s="17" t="s">
        <v>17246</v>
      </c>
      <c r="G11411" s="17"/>
      <c r="H11411" s="17" t="s">
        <v>20919</v>
      </c>
      <c r="I11411" s="17"/>
      <c r="J11411" s="17" t="s">
        <v>21313</v>
      </c>
      <c r="K11411" s="17"/>
      <c r="L11411" s="17" t="s">
        <v>22378</v>
      </c>
      <c r="M11411" s="17"/>
      <c r="N11411" s="17" t="s">
        <v>22459</v>
      </c>
      <c r="O11411" s="17"/>
      <c r="P11411" s="17" t="s">
        <v>23295</v>
      </c>
      <c r="Q11411" s="17"/>
      <c r="R11411" s="25" t="str">
        <f>HYPERLINK("https://ictv.global/taxonomy/taxondetails?taxnode_id=202317715","Yeziwivirus allofaecicola")</f>
        <v>Yeziwivirus allofaecicola</v>
      </c>
      <c r="S11411" s="18" t="s">
        <v>30</v>
      </c>
      <c r="T11411" s="18" t="s">
        <v>46285</v>
      </c>
      <c r="U11411" s="18"/>
      <c r="V11411" s="18" t="s">
        <v>46285</v>
      </c>
      <c r="W11411" s="18" t="s">
        <v>46286</v>
      </c>
      <c r="X11411" s="18" t="s">
        <v>35</v>
      </c>
      <c r="Y11411" s="18" t="s">
        <v>17171</v>
      </c>
      <c r="Z11411" s="18" t="s">
        <v>24637</v>
      </c>
      <c r="AA11411" s="21" t="str">
        <f>HYPERLINK("https://www.ncbi.nlm.nih.gov/nuccore/MZ679681","NCBI Nucleotide")</f>
        <v>NCBI Nucleotide</v>
      </c>
    </row>
    <row r="11412" spans="1:27" x14ac:dyDescent="0.35">
      <c r="A11412">
        <v>1027422</v>
      </c>
      <c r="B11412">
        <v>10737</v>
      </c>
      <c r="C11412">
        <v>1</v>
      </c>
      <c r="D11412" s="17" t="s">
        <v>17166</v>
      </c>
      <c r="E11412" s="17"/>
      <c r="F11412" s="17" t="s">
        <v>17246</v>
      </c>
      <c r="G11412" s="17"/>
      <c r="H11412" s="17" t="s">
        <v>20919</v>
      </c>
      <c r="I11412" s="17"/>
      <c r="J11412" s="17" t="s">
        <v>21313</v>
      </c>
      <c r="K11412" s="17"/>
      <c r="L11412" s="17" t="s">
        <v>22378</v>
      </c>
      <c r="M11412" s="17"/>
      <c r="N11412" s="17" t="s">
        <v>22459</v>
      </c>
      <c r="O11412" s="17"/>
      <c r="P11412" s="17" t="s">
        <v>23295</v>
      </c>
      <c r="Q11412" s="17"/>
      <c r="R11412" s="25" t="str">
        <f>HYPERLINK("https://ictv.global/taxonomy/taxondetails?taxnode_id=202317716","Yeziwivirus allofaecihabitans")</f>
        <v>Yeziwivirus allofaecihabitans</v>
      </c>
      <c r="S11412" s="18" t="s">
        <v>30</v>
      </c>
      <c r="T11412" s="18" t="s">
        <v>46287</v>
      </c>
      <c r="U11412" s="18"/>
      <c r="V11412" s="18" t="s">
        <v>46287</v>
      </c>
      <c r="W11412" s="18" t="s">
        <v>46288</v>
      </c>
      <c r="X11412" s="18" t="s">
        <v>35</v>
      </c>
      <c r="Y11412" s="18" t="s">
        <v>17171</v>
      </c>
      <c r="Z11412" s="18" t="s">
        <v>24637</v>
      </c>
      <c r="AA11412" s="21" t="str">
        <f>HYPERLINK("https://www.ncbi.nlm.nih.gov/nuccore/MZ679472","NCBI Nucleotide")</f>
        <v>NCBI Nucleotide</v>
      </c>
    </row>
    <row r="11413" spans="1:27" x14ac:dyDescent="0.35">
      <c r="A11413">
        <v>1027423</v>
      </c>
      <c r="B11413">
        <v>10738</v>
      </c>
      <c r="C11413">
        <v>1</v>
      </c>
      <c r="D11413" s="17" t="s">
        <v>17166</v>
      </c>
      <c r="E11413" s="17"/>
      <c r="F11413" s="17" t="s">
        <v>17246</v>
      </c>
      <c r="G11413" s="17"/>
      <c r="H11413" s="17" t="s">
        <v>20919</v>
      </c>
      <c r="I11413" s="17"/>
      <c r="J11413" s="17" t="s">
        <v>21313</v>
      </c>
      <c r="K11413" s="17"/>
      <c r="L11413" s="17" t="s">
        <v>22378</v>
      </c>
      <c r="M11413" s="17"/>
      <c r="N11413" s="17" t="s">
        <v>22459</v>
      </c>
      <c r="O11413" s="17"/>
      <c r="P11413" s="17" t="s">
        <v>23295</v>
      </c>
      <c r="Q11413" s="17"/>
      <c r="R11413" s="25" t="str">
        <f>HYPERLINK("https://ictv.global/taxonomy/taxondetails?taxnode_id=202317717","Yeziwivirus allofaecivicinum")</f>
        <v>Yeziwivirus allofaecivicinum</v>
      </c>
      <c r="S11413" s="18" t="s">
        <v>30</v>
      </c>
      <c r="T11413" s="18" t="s">
        <v>46289</v>
      </c>
      <c r="U11413" s="18"/>
      <c r="V11413" s="18" t="s">
        <v>46289</v>
      </c>
      <c r="W11413" s="18" t="s">
        <v>46290</v>
      </c>
      <c r="X11413" s="18" t="s">
        <v>35</v>
      </c>
      <c r="Y11413" s="18" t="s">
        <v>17171</v>
      </c>
      <c r="Z11413" s="18" t="s">
        <v>24637</v>
      </c>
      <c r="AA11413" s="21" t="str">
        <f>HYPERLINK("https://www.ncbi.nlm.nih.gov/nuccore/MZ679523","NCBI Nucleotide")</f>
        <v>NCBI Nucleotide</v>
      </c>
    </row>
    <row r="11414" spans="1:27" x14ac:dyDescent="0.35">
      <c r="A11414">
        <v>1027424</v>
      </c>
      <c r="B11414">
        <v>10739</v>
      </c>
      <c r="C11414">
        <v>1</v>
      </c>
      <c r="D11414" s="17" t="s">
        <v>17166</v>
      </c>
      <c r="E11414" s="17"/>
      <c r="F11414" s="17" t="s">
        <v>17246</v>
      </c>
      <c r="G11414" s="17"/>
      <c r="H11414" s="17" t="s">
        <v>20919</v>
      </c>
      <c r="I11414" s="17"/>
      <c r="J11414" s="17" t="s">
        <v>21313</v>
      </c>
      <c r="K11414" s="17"/>
      <c r="L11414" s="17" t="s">
        <v>22378</v>
      </c>
      <c r="M11414" s="17"/>
      <c r="N11414" s="17" t="s">
        <v>22459</v>
      </c>
      <c r="O11414" s="17"/>
      <c r="P11414" s="17" t="s">
        <v>23295</v>
      </c>
      <c r="Q11414" s="17"/>
      <c r="R11414" s="25" t="str">
        <f>HYPERLINK("https://ictv.global/taxonomy/taxondetails?taxnode_id=202317718","Yeziwivirus allofaecivivens")</f>
        <v>Yeziwivirus allofaecivivens</v>
      </c>
      <c r="S11414" s="18" t="s">
        <v>30</v>
      </c>
      <c r="T11414" s="18" t="s">
        <v>46291</v>
      </c>
      <c r="U11414" s="18"/>
      <c r="V11414" s="18" t="s">
        <v>46291</v>
      </c>
      <c r="W11414" s="18" t="s">
        <v>46292</v>
      </c>
      <c r="X11414" s="18" t="s">
        <v>35</v>
      </c>
      <c r="Y11414" s="18" t="s">
        <v>17171</v>
      </c>
      <c r="Z11414" s="18" t="s">
        <v>24637</v>
      </c>
      <c r="AA11414" s="21" t="str">
        <f>HYPERLINK("https://www.ncbi.nlm.nih.gov/nuccore/MZ679552","NCBI Nucleotide")</f>
        <v>NCBI Nucleotide</v>
      </c>
    </row>
    <row r="11415" spans="1:27" x14ac:dyDescent="0.35">
      <c r="A11415">
        <v>1027425</v>
      </c>
      <c r="B11415">
        <v>10740</v>
      </c>
      <c r="C11415">
        <v>1</v>
      </c>
      <c r="D11415" s="17" t="s">
        <v>17166</v>
      </c>
      <c r="E11415" s="17"/>
      <c r="F11415" s="17" t="s">
        <v>17246</v>
      </c>
      <c r="G11415" s="17"/>
      <c r="H11415" s="17" t="s">
        <v>20919</v>
      </c>
      <c r="I11415" s="17"/>
      <c r="J11415" s="17" t="s">
        <v>21313</v>
      </c>
      <c r="K11415" s="17"/>
      <c r="L11415" s="17" t="s">
        <v>22378</v>
      </c>
      <c r="M11415" s="17"/>
      <c r="N11415" s="17" t="s">
        <v>22459</v>
      </c>
      <c r="O11415" s="17"/>
      <c r="P11415" s="17" t="s">
        <v>23295</v>
      </c>
      <c r="Q11415" s="17"/>
      <c r="R11415" s="25" t="str">
        <f>HYPERLINK("https://ictv.global/taxonomy/taxondetails?taxnode_id=202317719","Yeziwivirus asiovicinum")</f>
        <v>Yeziwivirus asiovicinum</v>
      </c>
      <c r="S11415" s="18" t="s">
        <v>30</v>
      </c>
      <c r="T11415" s="18" t="s">
        <v>46293</v>
      </c>
      <c r="U11415" s="18"/>
      <c r="V11415" s="18"/>
      <c r="W11415" s="18" t="s">
        <v>46294</v>
      </c>
      <c r="X11415" s="18" t="s">
        <v>35</v>
      </c>
      <c r="Y11415" s="18" t="s">
        <v>17171</v>
      </c>
      <c r="Z11415" s="18" t="s">
        <v>24637</v>
      </c>
      <c r="AA11415" s="21" t="str">
        <f>HYPERLINK("https://www.ncbi.nlm.nih.gov/nuccore/CASDWV010003271","NCBI Nucleotide")</f>
        <v>NCBI Nucleotide</v>
      </c>
    </row>
    <row r="11416" spans="1:27" x14ac:dyDescent="0.35">
      <c r="A11416">
        <v>1010223</v>
      </c>
      <c r="B11416">
        <v>10741</v>
      </c>
      <c r="C11416">
        <v>1</v>
      </c>
      <c r="D11416" s="17" t="s">
        <v>17166</v>
      </c>
      <c r="E11416" s="17"/>
      <c r="F11416" s="17" t="s">
        <v>17246</v>
      </c>
      <c r="G11416" s="17"/>
      <c r="H11416" s="17" t="s">
        <v>20919</v>
      </c>
      <c r="I11416" s="17"/>
      <c r="J11416" s="17" t="s">
        <v>21313</v>
      </c>
      <c r="K11416" s="17"/>
      <c r="L11416" s="17" t="s">
        <v>22378</v>
      </c>
      <c r="M11416" s="17"/>
      <c r="N11416" s="17" t="s">
        <v>22459</v>
      </c>
      <c r="O11416" s="17"/>
      <c r="P11416" s="17" t="s">
        <v>23295</v>
      </c>
      <c r="Q11416" s="17"/>
      <c r="R11416" s="25" t="str">
        <f>HYPERLINK("https://ictv.global/taxonomy/taxondetails?taxnode_id=202311504","Yeziwivirus borborenecus")</f>
        <v>Yeziwivirus borborenecus</v>
      </c>
      <c r="S11416" s="18" t="s">
        <v>30</v>
      </c>
      <c r="T11416" s="18" t="s">
        <v>23296</v>
      </c>
      <c r="U11416" s="18"/>
      <c r="V11416" s="18"/>
      <c r="W11416" s="18" t="s">
        <v>23297</v>
      </c>
      <c r="X11416" s="18" t="s">
        <v>35</v>
      </c>
      <c r="Y11416" s="18" t="s">
        <v>17171</v>
      </c>
      <c r="Z11416" s="18" t="s">
        <v>697</v>
      </c>
      <c r="AA11416" s="21" t="str">
        <f>HYPERLINK("https://www.ncbi.nlm.nih.gov/nuccore/BK014194","NCBI Nucleotide")</f>
        <v>NCBI Nucleotide</v>
      </c>
    </row>
    <row r="11417" spans="1:27" x14ac:dyDescent="0.35">
      <c r="A11417">
        <v>1027426</v>
      </c>
      <c r="B11417">
        <v>10742</v>
      </c>
      <c r="C11417">
        <v>1</v>
      </c>
      <c r="D11417" s="17" t="s">
        <v>17166</v>
      </c>
      <c r="E11417" s="17"/>
      <c r="F11417" s="17" t="s">
        <v>17246</v>
      </c>
      <c r="G11417" s="17"/>
      <c r="H11417" s="17" t="s">
        <v>20919</v>
      </c>
      <c r="I11417" s="17"/>
      <c r="J11417" s="17" t="s">
        <v>21313</v>
      </c>
      <c r="K11417" s="17"/>
      <c r="L11417" s="17" t="s">
        <v>22378</v>
      </c>
      <c r="M11417" s="17"/>
      <c r="N11417" s="17" t="s">
        <v>22459</v>
      </c>
      <c r="O11417" s="17"/>
      <c r="P11417" s="17" t="s">
        <v>23295</v>
      </c>
      <c r="Q11417" s="17"/>
      <c r="R11417" s="25" t="str">
        <f>HYPERLINK("https://ictv.global/taxonomy/taxondetails?taxnode_id=202317720","Yeziwivirus faecadaptatum")</f>
        <v>Yeziwivirus faecadaptatum</v>
      </c>
      <c r="S11417" s="18" t="s">
        <v>30</v>
      </c>
      <c r="T11417" s="18" t="s">
        <v>46295</v>
      </c>
      <c r="U11417" s="18"/>
      <c r="V11417" s="18" t="s">
        <v>46295</v>
      </c>
      <c r="W11417" s="18" t="s">
        <v>46296</v>
      </c>
      <c r="X11417" s="18" t="s">
        <v>35</v>
      </c>
      <c r="Y11417" s="18" t="s">
        <v>17171</v>
      </c>
      <c r="Z11417" s="18" t="s">
        <v>24637</v>
      </c>
      <c r="AA11417" s="21" t="str">
        <f>HYPERLINK("https://www.ncbi.nlm.nih.gov/nuccore/MZ679672","NCBI Nucleotide")</f>
        <v>NCBI Nucleotide</v>
      </c>
    </row>
    <row r="11418" spans="1:27" x14ac:dyDescent="0.35">
      <c r="A11418">
        <v>1027427</v>
      </c>
      <c r="B11418">
        <v>10743</v>
      </c>
      <c r="C11418">
        <v>1</v>
      </c>
      <c r="D11418" s="17" t="s">
        <v>17166</v>
      </c>
      <c r="E11418" s="17"/>
      <c r="F11418" s="17" t="s">
        <v>17246</v>
      </c>
      <c r="G11418" s="17"/>
      <c r="H11418" s="17" t="s">
        <v>20919</v>
      </c>
      <c r="I11418" s="17"/>
      <c r="J11418" s="17" t="s">
        <v>21313</v>
      </c>
      <c r="K11418" s="17"/>
      <c r="L11418" s="17" t="s">
        <v>22378</v>
      </c>
      <c r="M11418" s="17"/>
      <c r="N11418" s="17" t="s">
        <v>22459</v>
      </c>
      <c r="O11418" s="17"/>
      <c r="P11418" s="17" t="s">
        <v>23295</v>
      </c>
      <c r="Q11418" s="17"/>
      <c r="R11418" s="25" t="str">
        <f>HYPERLINK("https://ictv.global/taxonomy/taxondetails?taxnode_id=202317721","Yeziwivirus faecenecus")</f>
        <v>Yeziwivirus faecenecus</v>
      </c>
      <c r="S11418" s="18" t="s">
        <v>30</v>
      </c>
      <c r="T11418" s="18" t="s">
        <v>46297</v>
      </c>
      <c r="U11418" s="18"/>
      <c r="V11418" s="18" t="s">
        <v>46297</v>
      </c>
      <c r="W11418" s="18" t="s">
        <v>46298</v>
      </c>
      <c r="X11418" s="18" t="s">
        <v>35</v>
      </c>
      <c r="Y11418" s="18" t="s">
        <v>17171</v>
      </c>
      <c r="Z11418" s="18" t="s">
        <v>24637</v>
      </c>
      <c r="AA11418" s="21" t="str">
        <f>HYPERLINK("https://www.ncbi.nlm.nih.gov/nuccore/MZ679490","NCBI Nucleotide")</f>
        <v>NCBI Nucleotide</v>
      </c>
    </row>
    <row r="11419" spans="1:27" x14ac:dyDescent="0.35">
      <c r="A11419">
        <v>1027428</v>
      </c>
      <c r="B11419">
        <v>10744</v>
      </c>
      <c r="C11419">
        <v>1</v>
      </c>
      <c r="D11419" s="17" t="s">
        <v>17166</v>
      </c>
      <c r="E11419" s="17"/>
      <c r="F11419" s="17" t="s">
        <v>17246</v>
      </c>
      <c r="G11419" s="17"/>
      <c r="H11419" s="17" t="s">
        <v>20919</v>
      </c>
      <c r="I11419" s="17"/>
      <c r="J11419" s="17" t="s">
        <v>21313</v>
      </c>
      <c r="K11419" s="17"/>
      <c r="L11419" s="17" t="s">
        <v>22378</v>
      </c>
      <c r="M11419" s="17"/>
      <c r="N11419" s="17" t="s">
        <v>22459</v>
      </c>
      <c r="O11419" s="17"/>
      <c r="P11419" s="17" t="s">
        <v>23295</v>
      </c>
      <c r="Q11419" s="17"/>
      <c r="R11419" s="25" t="str">
        <f>HYPERLINK("https://ictv.global/taxonomy/taxondetails?taxnode_id=202317722","Yeziwivirus faecicola")</f>
        <v>Yeziwivirus faecicola</v>
      </c>
      <c r="S11419" s="18" t="s">
        <v>30</v>
      </c>
      <c r="T11419" s="18" t="s">
        <v>46299</v>
      </c>
      <c r="U11419" s="18"/>
      <c r="V11419" s="18" t="s">
        <v>46299</v>
      </c>
      <c r="W11419" s="18" t="s">
        <v>46300</v>
      </c>
      <c r="X11419" s="18" t="s">
        <v>35</v>
      </c>
      <c r="Y11419" s="18" t="s">
        <v>17171</v>
      </c>
      <c r="Z11419" s="18" t="s">
        <v>24637</v>
      </c>
      <c r="AA11419" s="21" t="str">
        <f>HYPERLINK("https://www.ncbi.nlm.nih.gov/nuccore/MZ680331","NCBI Nucleotide")</f>
        <v>NCBI Nucleotide</v>
      </c>
    </row>
    <row r="11420" spans="1:27" x14ac:dyDescent="0.35">
      <c r="A11420">
        <v>1027429</v>
      </c>
      <c r="B11420">
        <v>10745</v>
      </c>
      <c r="C11420">
        <v>1</v>
      </c>
      <c r="D11420" s="17" t="s">
        <v>17166</v>
      </c>
      <c r="E11420" s="17"/>
      <c r="F11420" s="17" t="s">
        <v>17246</v>
      </c>
      <c r="G11420" s="17"/>
      <c r="H11420" s="17" t="s">
        <v>20919</v>
      </c>
      <c r="I11420" s="17"/>
      <c r="J11420" s="17" t="s">
        <v>21313</v>
      </c>
      <c r="K11420" s="17"/>
      <c r="L11420" s="17" t="s">
        <v>22378</v>
      </c>
      <c r="M11420" s="17"/>
      <c r="N11420" s="17" t="s">
        <v>22459</v>
      </c>
      <c r="O11420" s="17"/>
      <c r="P11420" s="17" t="s">
        <v>23295</v>
      </c>
      <c r="Q11420" s="17"/>
      <c r="R11420" s="25" t="str">
        <f>HYPERLINK("https://ictv.global/taxonomy/taxondetails?taxnode_id=202317723","Yeziwivirus faecihabitans")</f>
        <v>Yeziwivirus faecihabitans</v>
      </c>
      <c r="S11420" s="18" t="s">
        <v>30</v>
      </c>
      <c r="T11420" s="18" t="s">
        <v>46301</v>
      </c>
      <c r="U11420" s="18"/>
      <c r="V11420" s="18" t="s">
        <v>46301</v>
      </c>
      <c r="W11420" s="18" t="s">
        <v>46302</v>
      </c>
      <c r="X11420" s="18" t="s">
        <v>35</v>
      </c>
      <c r="Y11420" s="18" t="s">
        <v>17171</v>
      </c>
      <c r="Z11420" s="18" t="s">
        <v>24637</v>
      </c>
      <c r="AA11420" s="21" t="str">
        <f>HYPERLINK("https://www.ncbi.nlm.nih.gov/nuccore/MZ679496","NCBI Nucleotide")</f>
        <v>NCBI Nucleotide</v>
      </c>
    </row>
    <row r="11421" spans="1:27" x14ac:dyDescent="0.35">
      <c r="A11421">
        <v>1027430</v>
      </c>
      <c r="B11421">
        <v>10746</v>
      </c>
      <c r="C11421">
        <v>1</v>
      </c>
      <c r="D11421" s="17" t="s">
        <v>17166</v>
      </c>
      <c r="E11421" s="17"/>
      <c r="F11421" s="17" t="s">
        <v>17246</v>
      </c>
      <c r="G11421" s="17"/>
      <c r="H11421" s="17" t="s">
        <v>20919</v>
      </c>
      <c r="I11421" s="17"/>
      <c r="J11421" s="17" t="s">
        <v>21313</v>
      </c>
      <c r="K11421" s="17"/>
      <c r="L11421" s="17" t="s">
        <v>22378</v>
      </c>
      <c r="M11421" s="17"/>
      <c r="N11421" s="17" t="s">
        <v>22459</v>
      </c>
      <c r="O11421" s="17"/>
      <c r="P11421" s="17" t="s">
        <v>23295</v>
      </c>
      <c r="Q11421" s="17"/>
      <c r="R11421" s="25" t="str">
        <f>HYPERLINK("https://ictv.global/taxonomy/taxondetails?taxnode_id=202317724","Yeziwivirus faecivicinum")</f>
        <v>Yeziwivirus faecivicinum</v>
      </c>
      <c r="S11421" s="18" t="s">
        <v>30</v>
      </c>
      <c r="T11421" s="18" t="s">
        <v>46303</v>
      </c>
      <c r="U11421" s="18"/>
      <c r="V11421" s="18" t="s">
        <v>46303</v>
      </c>
      <c r="W11421" s="18" t="s">
        <v>46304</v>
      </c>
      <c r="X11421" s="18" t="s">
        <v>35</v>
      </c>
      <c r="Y11421" s="18" t="s">
        <v>17171</v>
      </c>
      <c r="Z11421" s="18" t="s">
        <v>24637</v>
      </c>
      <c r="AA11421" s="21" t="str">
        <f>HYPERLINK("https://www.ncbi.nlm.nih.gov/nuccore/MZ679671","NCBI Nucleotide")</f>
        <v>NCBI Nucleotide</v>
      </c>
    </row>
    <row r="11422" spans="1:27" x14ac:dyDescent="0.35">
      <c r="A11422">
        <v>1027431</v>
      </c>
      <c r="B11422">
        <v>10747</v>
      </c>
      <c r="C11422">
        <v>1</v>
      </c>
      <c r="D11422" s="17" t="s">
        <v>17166</v>
      </c>
      <c r="E11422" s="17"/>
      <c r="F11422" s="17" t="s">
        <v>17246</v>
      </c>
      <c r="G11422" s="17"/>
      <c r="H11422" s="17" t="s">
        <v>20919</v>
      </c>
      <c r="I11422" s="17"/>
      <c r="J11422" s="17" t="s">
        <v>21313</v>
      </c>
      <c r="K11422" s="17"/>
      <c r="L11422" s="17" t="s">
        <v>22378</v>
      </c>
      <c r="M11422" s="17"/>
      <c r="N11422" s="17" t="s">
        <v>22459</v>
      </c>
      <c r="O11422" s="17"/>
      <c r="P11422" s="17" t="s">
        <v>23295</v>
      </c>
      <c r="Q11422" s="17"/>
      <c r="R11422" s="25" t="str">
        <f>HYPERLINK("https://ictv.global/taxonomy/taxondetails?taxnode_id=202317725","Yeziwivirus faecivivens")</f>
        <v>Yeziwivirus faecivivens</v>
      </c>
      <c r="S11422" s="18" t="s">
        <v>30</v>
      </c>
      <c r="T11422" s="18" t="s">
        <v>46305</v>
      </c>
      <c r="U11422" s="18"/>
      <c r="V11422" s="18" t="s">
        <v>46305</v>
      </c>
      <c r="W11422" s="18" t="s">
        <v>46306</v>
      </c>
      <c r="X11422" s="18" t="s">
        <v>35</v>
      </c>
      <c r="Y11422" s="18" t="s">
        <v>17171</v>
      </c>
      <c r="Z11422" s="18" t="s">
        <v>24637</v>
      </c>
      <c r="AA11422" s="21" t="str">
        <f>HYPERLINK("https://www.ncbi.nlm.nih.gov/nuccore/MZ679555","NCBI Nucleotide")</f>
        <v>NCBI Nucleotide</v>
      </c>
    </row>
    <row r="11423" spans="1:27" x14ac:dyDescent="0.35">
      <c r="A11423">
        <v>1027432</v>
      </c>
      <c r="B11423">
        <v>10748</v>
      </c>
      <c r="C11423">
        <v>1</v>
      </c>
      <c r="D11423" s="17" t="s">
        <v>17166</v>
      </c>
      <c r="E11423" s="17"/>
      <c r="F11423" s="17" t="s">
        <v>17246</v>
      </c>
      <c r="G11423" s="17"/>
      <c r="H11423" s="17" t="s">
        <v>20919</v>
      </c>
      <c r="I11423" s="17"/>
      <c r="J11423" s="17" t="s">
        <v>21313</v>
      </c>
      <c r="K11423" s="17"/>
      <c r="L11423" s="17" t="s">
        <v>22378</v>
      </c>
      <c r="M11423" s="17"/>
      <c r="N11423" s="17" t="s">
        <v>22459</v>
      </c>
      <c r="O11423" s="17"/>
      <c r="P11423" s="17" t="s">
        <v>23295</v>
      </c>
      <c r="Q11423" s="17"/>
      <c r="R11423" s="25" t="str">
        <f>HYPERLINK("https://ictv.global/taxonomy/taxondetails?taxnode_id=202317726","Yeziwivirus fundadaptatum")</f>
        <v>Yeziwivirus fundadaptatum</v>
      </c>
      <c r="S11423" s="18" t="s">
        <v>30</v>
      </c>
      <c r="T11423" s="18" t="s">
        <v>46307</v>
      </c>
      <c r="U11423" s="18"/>
      <c r="V11423" s="18" t="s">
        <v>46307</v>
      </c>
      <c r="W11423" s="18" t="s">
        <v>46308</v>
      </c>
      <c r="X11423" s="18" t="s">
        <v>35</v>
      </c>
      <c r="Y11423" s="18" t="s">
        <v>17171</v>
      </c>
      <c r="Z11423" s="18" t="s">
        <v>24637</v>
      </c>
      <c r="AA11423" s="21" t="str">
        <f>HYPERLINK("https://www.ncbi.nlm.nih.gov/nuccore/MZ679465","NCBI Nucleotide")</f>
        <v>NCBI Nucleotide</v>
      </c>
    </row>
    <row r="11424" spans="1:27" x14ac:dyDescent="0.35">
      <c r="A11424">
        <v>1027433</v>
      </c>
      <c r="B11424">
        <v>10749</v>
      </c>
      <c r="C11424">
        <v>1</v>
      </c>
      <c r="D11424" s="17" t="s">
        <v>17166</v>
      </c>
      <c r="E11424" s="17"/>
      <c r="F11424" s="17" t="s">
        <v>17246</v>
      </c>
      <c r="G11424" s="17"/>
      <c r="H11424" s="17" t="s">
        <v>20919</v>
      </c>
      <c r="I11424" s="17"/>
      <c r="J11424" s="17" t="s">
        <v>21313</v>
      </c>
      <c r="K11424" s="17"/>
      <c r="L11424" s="17" t="s">
        <v>22378</v>
      </c>
      <c r="M11424" s="17"/>
      <c r="N11424" s="17" t="s">
        <v>22459</v>
      </c>
      <c r="O11424" s="17"/>
      <c r="P11424" s="17" t="s">
        <v>23295</v>
      </c>
      <c r="Q11424" s="17"/>
      <c r="R11424" s="25" t="str">
        <f>HYPERLINK("https://ictv.global/taxonomy/taxondetails?taxnode_id=202317727","Yeziwivirus humadaptatum")</f>
        <v>Yeziwivirus humadaptatum</v>
      </c>
      <c r="S11424" s="18" t="s">
        <v>30</v>
      </c>
      <c r="T11424" s="18" t="s">
        <v>46309</v>
      </c>
      <c r="U11424" s="18"/>
      <c r="V11424" s="18"/>
      <c r="W11424" s="18" t="s">
        <v>46310</v>
      </c>
      <c r="X11424" s="18" t="s">
        <v>35</v>
      </c>
      <c r="Y11424" s="18" t="s">
        <v>17171</v>
      </c>
      <c r="Z11424" s="18" t="s">
        <v>24637</v>
      </c>
      <c r="AA11424" s="21" t="str">
        <f>HYPERLINK("https://www.ncbi.nlm.nih.gov/nuccore/CASDWV010004339","NCBI Nucleotide")</f>
        <v>NCBI Nucleotide</v>
      </c>
    </row>
    <row r="11425" spans="1:27" x14ac:dyDescent="0.35">
      <c r="A11425">
        <v>1009880</v>
      </c>
      <c r="B11425">
        <v>10750</v>
      </c>
      <c r="C11425">
        <v>1</v>
      </c>
      <c r="D11425" s="17" t="s">
        <v>17166</v>
      </c>
      <c r="E11425" s="17"/>
      <c r="F11425" s="17" t="s">
        <v>17246</v>
      </c>
      <c r="G11425" s="17"/>
      <c r="H11425" s="17" t="s">
        <v>20919</v>
      </c>
      <c r="I11425" s="17"/>
      <c r="J11425" s="17" t="s">
        <v>21313</v>
      </c>
      <c r="K11425" s="17"/>
      <c r="L11425" s="17" t="s">
        <v>22378</v>
      </c>
      <c r="M11425" s="17"/>
      <c r="N11425" s="17" t="s">
        <v>22459</v>
      </c>
      <c r="O11425" s="17"/>
      <c r="P11425" s="17" t="s">
        <v>23295</v>
      </c>
      <c r="Q11425" s="17"/>
      <c r="R11425" s="25" t="str">
        <f>HYPERLINK("https://ictv.global/taxonomy/taxondetails?taxnode_id=202311056","Yeziwivirus lutenecus")</f>
        <v>Yeziwivirus lutenecus</v>
      </c>
      <c r="S11425" s="18" t="s">
        <v>30</v>
      </c>
      <c r="T11425" s="18" t="s">
        <v>22589</v>
      </c>
      <c r="U11425" s="18"/>
      <c r="V11425" s="18"/>
      <c r="W11425" s="18" t="s">
        <v>22590</v>
      </c>
      <c r="X11425" s="18" t="s">
        <v>35</v>
      </c>
      <c r="Y11425" s="18" t="s">
        <v>17171</v>
      </c>
      <c r="Z11425" s="18" t="s">
        <v>697</v>
      </c>
      <c r="AA11425" s="21" t="str">
        <f>HYPERLINK("https://www.ncbi.nlm.nih.gov/nuccore/BK013723","NCBI Nucleotide")</f>
        <v>NCBI Nucleotide</v>
      </c>
    </row>
    <row r="11426" spans="1:27" x14ac:dyDescent="0.35">
      <c r="A11426">
        <v>1027434</v>
      </c>
      <c r="B11426">
        <v>10751</v>
      </c>
      <c r="C11426">
        <v>1</v>
      </c>
      <c r="D11426" s="17" t="s">
        <v>17166</v>
      </c>
      <c r="E11426" s="17"/>
      <c r="F11426" s="17" t="s">
        <v>17246</v>
      </c>
      <c r="G11426" s="17"/>
      <c r="H11426" s="17" t="s">
        <v>20919</v>
      </c>
      <c r="I11426" s="17"/>
      <c r="J11426" s="17" t="s">
        <v>21313</v>
      </c>
      <c r="K11426" s="17"/>
      <c r="L11426" s="17" t="s">
        <v>22378</v>
      </c>
      <c r="M11426" s="17"/>
      <c r="N11426" s="17" t="s">
        <v>22459</v>
      </c>
      <c r="O11426" s="17"/>
      <c r="P11426" s="17" t="s">
        <v>23295</v>
      </c>
      <c r="Q11426" s="17"/>
      <c r="R11426" s="25" t="str">
        <f>HYPERLINK("https://ictv.global/taxonomy/taxondetails?taxnode_id=202317728","Yeziwivirus montisadaptatum")</f>
        <v>Yeziwivirus montisadaptatum</v>
      </c>
      <c r="S11426" s="18" t="s">
        <v>30</v>
      </c>
      <c r="T11426" s="18" t="s">
        <v>46311</v>
      </c>
      <c r="U11426" s="18"/>
      <c r="V11426" s="18" t="s">
        <v>46311</v>
      </c>
      <c r="W11426" s="18" t="s">
        <v>46312</v>
      </c>
      <c r="X11426" s="18" t="s">
        <v>35</v>
      </c>
      <c r="Y11426" s="18" t="s">
        <v>17171</v>
      </c>
      <c r="Z11426" s="18" t="s">
        <v>24637</v>
      </c>
      <c r="AA11426" s="21" t="str">
        <f>HYPERLINK("https://www.ncbi.nlm.nih.gov/nuccore/MZ679663","NCBI Nucleotide")</f>
        <v>NCBI Nucleotide</v>
      </c>
    </row>
    <row r="11427" spans="1:27" x14ac:dyDescent="0.35">
      <c r="A11427">
        <v>1027435</v>
      </c>
      <c r="B11427">
        <v>10752</v>
      </c>
      <c r="C11427">
        <v>1</v>
      </c>
      <c r="D11427" s="17" t="s">
        <v>17166</v>
      </c>
      <c r="E11427" s="17"/>
      <c r="F11427" s="17" t="s">
        <v>17246</v>
      </c>
      <c r="G11427" s="17"/>
      <c r="H11427" s="17" t="s">
        <v>20919</v>
      </c>
      <c r="I11427" s="17"/>
      <c r="J11427" s="17" t="s">
        <v>21313</v>
      </c>
      <c r="K11427" s="17"/>
      <c r="L11427" s="17" t="s">
        <v>22378</v>
      </c>
      <c r="M11427" s="17"/>
      <c r="N11427" s="17" t="s">
        <v>22459</v>
      </c>
      <c r="O11427" s="17"/>
      <c r="P11427" s="17" t="s">
        <v>23295</v>
      </c>
      <c r="Q11427" s="17"/>
      <c r="R11427" s="25" t="str">
        <f>HYPERLINK("https://ictv.global/taxonomy/taxondetails?taxnode_id=202317729","Yeziwivirus pelenecus")</f>
        <v>Yeziwivirus pelenecus</v>
      </c>
      <c r="S11427" s="18" t="s">
        <v>30</v>
      </c>
      <c r="T11427" s="18" t="s">
        <v>46313</v>
      </c>
      <c r="U11427" s="18"/>
      <c r="V11427" s="18"/>
      <c r="W11427" s="18" t="s">
        <v>46314</v>
      </c>
      <c r="X11427" s="18" t="s">
        <v>35</v>
      </c>
      <c r="Y11427" s="18" t="s">
        <v>17171</v>
      </c>
      <c r="Z11427" s="18" t="s">
        <v>24637</v>
      </c>
      <c r="AA11427" s="21" t="str">
        <f>HYPERLINK("https://www.ncbi.nlm.nih.gov/nuccore/CASDWV010005042","NCBI Nucleotide")</f>
        <v>NCBI Nucleotide</v>
      </c>
    </row>
    <row r="11428" spans="1:27" x14ac:dyDescent="0.35">
      <c r="A11428">
        <v>1027436</v>
      </c>
      <c r="B11428">
        <v>10753</v>
      </c>
      <c r="C11428">
        <v>1</v>
      </c>
      <c r="D11428" s="17" t="s">
        <v>17166</v>
      </c>
      <c r="E11428" s="17"/>
      <c r="F11428" s="17" t="s">
        <v>17246</v>
      </c>
      <c r="G11428" s="17"/>
      <c r="H11428" s="17" t="s">
        <v>20919</v>
      </c>
      <c r="I11428" s="17"/>
      <c r="J11428" s="17" t="s">
        <v>21313</v>
      </c>
      <c r="K11428" s="17"/>
      <c r="L11428" s="17" t="s">
        <v>22378</v>
      </c>
      <c r="M11428" s="17"/>
      <c r="N11428" s="17" t="s">
        <v>22459</v>
      </c>
      <c r="O11428" s="17"/>
      <c r="P11428" s="17" t="s">
        <v>23295</v>
      </c>
      <c r="Q11428" s="17"/>
      <c r="R11428" s="25" t="str">
        <f>HYPERLINK("https://ictv.global/taxonomy/taxondetails?taxnode_id=202317730","Yeziwivirus pelovivens")</f>
        <v>Yeziwivirus pelovivens</v>
      </c>
      <c r="S11428" s="18" t="s">
        <v>30</v>
      </c>
      <c r="T11428" s="18" t="s">
        <v>46315</v>
      </c>
      <c r="U11428" s="18"/>
      <c r="V11428" s="18"/>
      <c r="W11428" s="18" t="s">
        <v>46316</v>
      </c>
      <c r="X11428" s="18" t="s">
        <v>35</v>
      </c>
      <c r="Y11428" s="18" t="s">
        <v>17171</v>
      </c>
      <c r="Z11428" s="18" t="s">
        <v>24637</v>
      </c>
      <c r="AA11428" s="21" t="str">
        <f>HYPERLINK("https://www.ncbi.nlm.nih.gov/nuccore/CASDWV010003020","NCBI Nucleotide")</f>
        <v>NCBI Nucleotide</v>
      </c>
    </row>
    <row r="11429" spans="1:27" x14ac:dyDescent="0.35">
      <c r="A11429">
        <v>1027437</v>
      </c>
      <c r="B11429">
        <v>10754</v>
      </c>
      <c r="C11429">
        <v>1</v>
      </c>
      <c r="D11429" s="17" t="s">
        <v>17166</v>
      </c>
      <c r="E11429" s="17"/>
      <c r="F11429" s="17" t="s">
        <v>17246</v>
      </c>
      <c r="G11429" s="17"/>
      <c r="H11429" s="17" t="s">
        <v>20919</v>
      </c>
      <c r="I11429" s="17"/>
      <c r="J11429" s="17" t="s">
        <v>21313</v>
      </c>
      <c r="K11429" s="17"/>
      <c r="L11429" s="17" t="s">
        <v>22378</v>
      </c>
      <c r="M11429" s="17"/>
      <c r="N11429" s="17" t="s">
        <v>22459</v>
      </c>
      <c r="O11429" s="17"/>
      <c r="P11429" s="17" t="s">
        <v>23295</v>
      </c>
      <c r="Q11429" s="17"/>
      <c r="R11429" s="25" t="str">
        <f>HYPERLINK("https://ictv.global/taxonomy/taxondetails?taxnode_id=202317731","Yeziwivirus soladaptatum")</f>
        <v>Yeziwivirus soladaptatum</v>
      </c>
      <c r="S11429" s="18" t="s">
        <v>30</v>
      </c>
      <c r="T11429" s="18" t="s">
        <v>46317</v>
      </c>
      <c r="U11429" s="18"/>
      <c r="V11429" s="18"/>
      <c r="W11429" s="18" t="s">
        <v>46318</v>
      </c>
      <c r="X11429" s="18" t="s">
        <v>35</v>
      </c>
      <c r="Y11429" s="18" t="s">
        <v>17171</v>
      </c>
      <c r="Z11429" s="18" t="s">
        <v>24637</v>
      </c>
      <c r="AA11429" s="21" t="str">
        <f>HYPERLINK("https://www.ncbi.nlm.nih.gov/nuccore/CASDWV010002395","NCBI Nucleotide")</f>
        <v>NCBI Nucleotide</v>
      </c>
    </row>
    <row r="11430" spans="1:27" x14ac:dyDescent="0.35">
      <c r="A11430">
        <v>1027438</v>
      </c>
      <c r="B11430">
        <v>10755</v>
      </c>
      <c r="C11430">
        <v>1</v>
      </c>
      <c r="D11430" s="17" t="s">
        <v>17166</v>
      </c>
      <c r="E11430" s="17"/>
      <c r="F11430" s="17" t="s">
        <v>17246</v>
      </c>
      <c r="G11430" s="17"/>
      <c r="H11430" s="17" t="s">
        <v>20919</v>
      </c>
      <c r="I11430" s="17"/>
      <c r="J11430" s="17" t="s">
        <v>21313</v>
      </c>
      <c r="K11430" s="17"/>
      <c r="L11430" s="17" t="s">
        <v>22378</v>
      </c>
      <c r="M11430" s="17"/>
      <c r="N11430" s="17" t="s">
        <v>22459</v>
      </c>
      <c r="O11430" s="17"/>
      <c r="P11430" s="17" t="s">
        <v>23295</v>
      </c>
      <c r="Q11430" s="17"/>
      <c r="R11430" s="25" t="str">
        <f>HYPERLINK("https://ictv.global/taxonomy/taxondetails?taxnode_id=202317732","Yeziwivirus solicola")</f>
        <v>Yeziwivirus solicola</v>
      </c>
      <c r="S11430" s="18" t="s">
        <v>30</v>
      </c>
      <c r="T11430" s="18" t="s">
        <v>46319</v>
      </c>
      <c r="U11430" s="18"/>
      <c r="V11430" s="18"/>
      <c r="W11430" s="18" t="s">
        <v>46320</v>
      </c>
      <c r="X11430" s="18" t="s">
        <v>35</v>
      </c>
      <c r="Y11430" s="18" t="s">
        <v>17171</v>
      </c>
      <c r="Z11430" s="18" t="s">
        <v>24637</v>
      </c>
      <c r="AA11430" s="21" t="str">
        <f>HYPERLINK("https://www.ncbi.nlm.nih.gov/nuccore/CASDWV010003010","NCBI Nucleotide")</f>
        <v>NCBI Nucleotide</v>
      </c>
    </row>
    <row r="11431" spans="1:27" x14ac:dyDescent="0.35">
      <c r="A11431">
        <v>1027439</v>
      </c>
      <c r="B11431">
        <v>10756</v>
      </c>
      <c r="C11431">
        <v>1</v>
      </c>
      <c r="D11431" s="17" t="s">
        <v>17166</v>
      </c>
      <c r="E11431" s="17"/>
      <c r="F11431" s="17" t="s">
        <v>17246</v>
      </c>
      <c r="G11431" s="17"/>
      <c r="H11431" s="17" t="s">
        <v>20919</v>
      </c>
      <c r="I11431" s="17"/>
      <c r="J11431" s="17" t="s">
        <v>21313</v>
      </c>
      <c r="K11431" s="17"/>
      <c r="L11431" s="17" t="s">
        <v>22378</v>
      </c>
      <c r="M11431" s="17"/>
      <c r="N11431" s="17" t="s">
        <v>22459</v>
      </c>
      <c r="O11431" s="17"/>
      <c r="P11431" s="17" t="s">
        <v>23295</v>
      </c>
      <c r="Q11431" s="17"/>
      <c r="R11431" s="25" t="str">
        <f>HYPERLINK("https://ictv.global/taxonomy/taxondetails?taxnode_id=202317733","Yeziwivirus terricola")</f>
        <v>Yeziwivirus terricola</v>
      </c>
      <c r="S11431" s="18" t="s">
        <v>30</v>
      </c>
      <c r="T11431" s="18" t="s">
        <v>46321</v>
      </c>
      <c r="U11431" s="18"/>
      <c r="V11431" s="18"/>
      <c r="W11431" s="18" t="s">
        <v>46322</v>
      </c>
      <c r="X11431" s="18" t="s">
        <v>35</v>
      </c>
      <c r="Y11431" s="18" t="s">
        <v>17171</v>
      </c>
      <c r="Z11431" s="18" t="s">
        <v>24637</v>
      </c>
      <c r="AA11431" s="21" t="str">
        <f>HYPERLINK("https://www.ncbi.nlm.nih.gov/nuccore/CASDWV010004810","NCBI Nucleotide")</f>
        <v>NCBI Nucleotide</v>
      </c>
    </row>
    <row r="11432" spans="1:27" x14ac:dyDescent="0.35">
      <c r="A11432">
        <v>1026165</v>
      </c>
      <c r="B11432">
        <v>10757</v>
      </c>
      <c r="C11432">
        <v>1</v>
      </c>
      <c r="D11432" s="17" t="s">
        <v>17166</v>
      </c>
      <c r="E11432" s="17"/>
      <c r="F11432" s="17" t="s">
        <v>17246</v>
      </c>
      <c r="G11432" s="17"/>
      <c r="H11432" s="17" t="s">
        <v>20919</v>
      </c>
      <c r="I11432" s="17"/>
      <c r="J11432" s="17" t="s">
        <v>21313</v>
      </c>
      <c r="K11432" s="17"/>
      <c r="L11432" s="17"/>
      <c r="M11432" s="17"/>
      <c r="N11432" s="17"/>
      <c r="O11432" s="17"/>
      <c r="P11432" s="17" t="s">
        <v>46323</v>
      </c>
      <c r="Q11432" s="17"/>
      <c r="R11432" s="25" t="str">
        <f>HYPERLINK("https://ictv.global/taxonomy/taxondetails?taxnode_id=202316028","Grandbuvirus radicivivens")</f>
        <v>Grandbuvirus radicivivens</v>
      </c>
      <c r="S11432" s="18" t="s">
        <v>30</v>
      </c>
      <c r="T11432" s="18" t="s">
        <v>46324</v>
      </c>
      <c r="U11432" s="18"/>
      <c r="V11432" s="18"/>
      <c r="W11432" s="18" t="s">
        <v>46325</v>
      </c>
      <c r="X11432" s="18" t="s">
        <v>35</v>
      </c>
      <c r="Y11432" s="18" t="s">
        <v>17171</v>
      </c>
      <c r="Z11432" s="18" t="s">
        <v>24637</v>
      </c>
      <c r="AA11432" s="21" t="str">
        <f>HYPERLINK("https://www.ncbi.nlm.nih.gov/nuccore/CASDWV010000135","NCBI Nucleotide")</f>
        <v>NCBI Nucleotide</v>
      </c>
    </row>
    <row r="11433" spans="1:27" x14ac:dyDescent="0.35">
      <c r="A11433">
        <v>1027322</v>
      </c>
      <c r="B11433">
        <v>10758</v>
      </c>
      <c r="C11433">
        <v>1</v>
      </c>
      <c r="D11433" s="17" t="s">
        <v>17166</v>
      </c>
      <c r="E11433" s="17"/>
      <c r="F11433" s="17" t="s">
        <v>17246</v>
      </c>
      <c r="G11433" s="17"/>
      <c r="H11433" s="17" t="s">
        <v>20919</v>
      </c>
      <c r="I11433" s="17"/>
      <c r="J11433" s="17" t="s">
        <v>21313</v>
      </c>
      <c r="K11433" s="17"/>
      <c r="L11433" s="17"/>
      <c r="M11433" s="17"/>
      <c r="N11433" s="17"/>
      <c r="O11433" s="17"/>
      <c r="P11433" s="17" t="s">
        <v>21317</v>
      </c>
      <c r="Q11433" s="17"/>
      <c r="R11433" s="25" t="str">
        <f>HYPERLINK("https://ictv.global/taxonomy/taxondetails?taxnode_id=202316029","Mahrahovirus faecivivens")</f>
        <v>Mahrahovirus faecivivens</v>
      </c>
      <c r="S11433" s="18" t="s">
        <v>30</v>
      </c>
      <c r="T11433" s="18" t="s">
        <v>46326</v>
      </c>
      <c r="U11433" s="18"/>
      <c r="V11433" s="18" t="s">
        <v>46326</v>
      </c>
      <c r="W11433" s="18" t="s">
        <v>46327</v>
      </c>
      <c r="X11433" s="18" t="s">
        <v>35</v>
      </c>
      <c r="Y11433" s="18" t="s">
        <v>17171</v>
      </c>
      <c r="Z11433" s="18" t="s">
        <v>17413</v>
      </c>
      <c r="AA11433" s="21" t="str">
        <f>HYPERLINK("https://www.ncbi.nlm.nih.gov/nuccore/MZ099574","NCBI Nucleotide")</f>
        <v>NCBI Nucleotide</v>
      </c>
    </row>
    <row r="11434" spans="1:27" x14ac:dyDescent="0.35">
      <c r="A11434">
        <v>1010229</v>
      </c>
      <c r="B11434">
        <v>10759</v>
      </c>
      <c r="C11434">
        <v>1</v>
      </c>
      <c r="D11434" s="17" t="s">
        <v>17166</v>
      </c>
      <c r="E11434" s="17"/>
      <c r="F11434" s="17" t="s">
        <v>17246</v>
      </c>
      <c r="G11434" s="17"/>
      <c r="H11434" s="17" t="s">
        <v>20919</v>
      </c>
      <c r="I11434" s="17"/>
      <c r="J11434" s="17" t="s">
        <v>21313</v>
      </c>
      <c r="K11434" s="17"/>
      <c r="L11434" s="17"/>
      <c r="M11434" s="17"/>
      <c r="N11434" s="17"/>
      <c r="O11434" s="17"/>
      <c r="P11434" s="17" t="s">
        <v>21317</v>
      </c>
      <c r="Q11434" s="17"/>
      <c r="R11434" s="25" t="str">
        <f>HYPERLINK("https://ictv.global/taxonomy/taxondetails?taxnode_id=202311514","Mahrahovirus simiicola")</f>
        <v>Mahrahovirus simiicola</v>
      </c>
      <c r="S11434" s="18" t="s">
        <v>30</v>
      </c>
      <c r="T11434" s="18" t="s">
        <v>21318</v>
      </c>
      <c r="U11434" s="18"/>
      <c r="V11434" s="18"/>
      <c r="W11434" s="18" t="s">
        <v>21319</v>
      </c>
      <c r="X11434" s="18" t="s">
        <v>35</v>
      </c>
      <c r="Y11434" s="18" t="s">
        <v>17171</v>
      </c>
      <c r="Z11434" s="18" t="s">
        <v>697</v>
      </c>
      <c r="AA11434" s="21" t="str">
        <f>HYPERLINK("https://www.ncbi.nlm.nih.gov/nuccore/KT462700","NCBI Nucleotide")</f>
        <v>NCBI Nucleotide</v>
      </c>
    </row>
    <row r="11435" spans="1:27" x14ac:dyDescent="0.35">
      <c r="A11435">
        <v>1010231</v>
      </c>
      <c r="B11435">
        <v>10760</v>
      </c>
      <c r="C11435">
        <v>1</v>
      </c>
      <c r="D11435" s="17" t="s">
        <v>17166</v>
      </c>
      <c r="E11435" s="17"/>
      <c r="F11435" s="17" t="s">
        <v>17246</v>
      </c>
      <c r="G11435" s="17"/>
      <c r="H11435" s="17" t="s">
        <v>20919</v>
      </c>
      <c r="I11435" s="17"/>
      <c r="J11435" s="17" t="s">
        <v>21313</v>
      </c>
      <c r="K11435" s="17"/>
      <c r="L11435" s="17"/>
      <c r="M11435" s="17"/>
      <c r="N11435" s="17"/>
      <c r="O11435" s="17"/>
      <c r="P11435" s="17" t="s">
        <v>21320</v>
      </c>
      <c r="Q11435" s="17"/>
      <c r="R11435" s="25" t="str">
        <f>HYPERLINK("https://ictv.global/taxonomy/taxondetails?taxnode_id=202311518","Nicedsevirus caenivivens")</f>
        <v>Nicedsevirus caenivivens</v>
      </c>
      <c r="S11435" s="18" t="s">
        <v>30</v>
      </c>
      <c r="T11435" s="18" t="s">
        <v>21321</v>
      </c>
      <c r="U11435" s="18"/>
      <c r="V11435" s="18"/>
      <c r="W11435" s="18" t="s">
        <v>21322</v>
      </c>
      <c r="X11435" s="18" t="s">
        <v>35</v>
      </c>
      <c r="Y11435" s="18" t="s">
        <v>17171</v>
      </c>
      <c r="Z11435" s="18" t="s">
        <v>697</v>
      </c>
      <c r="AA11435" s="21" t="str">
        <f>HYPERLINK("https://www.ncbi.nlm.nih.gov/nuccore/BK013744","NCBI Nucleotide")</f>
        <v>NCBI Nucleotide</v>
      </c>
    </row>
    <row r="11436" spans="1:27" x14ac:dyDescent="0.35">
      <c r="A11436">
        <v>1026599</v>
      </c>
      <c r="B11436">
        <v>10761</v>
      </c>
      <c r="C11436">
        <v>1</v>
      </c>
      <c r="D11436" s="17" t="s">
        <v>17166</v>
      </c>
      <c r="E11436" s="17"/>
      <c r="F11436" s="17" t="s">
        <v>17246</v>
      </c>
      <c r="G11436" s="17"/>
      <c r="H11436" s="17" t="s">
        <v>20919</v>
      </c>
      <c r="I11436" s="17"/>
      <c r="J11436" s="17" t="s">
        <v>21313</v>
      </c>
      <c r="K11436" s="17"/>
      <c r="L11436" s="17"/>
      <c r="M11436" s="17"/>
      <c r="N11436" s="17"/>
      <c r="O11436" s="17"/>
      <c r="P11436" s="17" t="s">
        <v>46328</v>
      </c>
      <c r="Q11436" s="17"/>
      <c r="R11436" s="25" t="str">
        <f>HYPERLINK("https://ictv.global/taxonomy/taxondetails?taxnode_id=202316030","Nordovirus asienecus")</f>
        <v>Nordovirus asienecus</v>
      </c>
      <c r="S11436" s="18" t="s">
        <v>30</v>
      </c>
      <c r="T11436" s="18" t="s">
        <v>46329</v>
      </c>
      <c r="U11436" s="18"/>
      <c r="V11436" s="18"/>
      <c r="W11436" s="18" t="s">
        <v>46330</v>
      </c>
      <c r="X11436" s="18" t="s">
        <v>35</v>
      </c>
      <c r="Y11436" s="18" t="s">
        <v>17171</v>
      </c>
      <c r="Z11436" s="18" t="s">
        <v>24637</v>
      </c>
      <c r="AA11436" s="21" t="str">
        <f>HYPERLINK("https://www.ncbi.nlm.nih.gov/nuccore/CASDWV010004474","NCBI Nucleotide")</f>
        <v>NCBI Nucleotide</v>
      </c>
    </row>
    <row r="11437" spans="1:27" x14ac:dyDescent="0.35">
      <c r="A11437">
        <v>1026600</v>
      </c>
      <c r="B11437">
        <v>10762</v>
      </c>
      <c r="C11437">
        <v>1</v>
      </c>
      <c r="D11437" s="17" t="s">
        <v>17166</v>
      </c>
      <c r="E11437" s="17"/>
      <c r="F11437" s="17" t="s">
        <v>17246</v>
      </c>
      <c r="G11437" s="17"/>
      <c r="H11437" s="17" t="s">
        <v>20919</v>
      </c>
      <c r="I11437" s="17"/>
      <c r="J11437" s="17" t="s">
        <v>21313</v>
      </c>
      <c r="K11437" s="17"/>
      <c r="L11437" s="17"/>
      <c r="M11437" s="17"/>
      <c r="N11437" s="17"/>
      <c r="O11437" s="17"/>
      <c r="P11437" s="17" t="s">
        <v>46328</v>
      </c>
      <c r="Q11437" s="17"/>
      <c r="R11437" s="25" t="str">
        <f>HYPERLINK("https://ictv.global/taxonomy/taxondetails?taxnode_id=202316031","Nordovirus segetivicinum")</f>
        <v>Nordovirus segetivicinum</v>
      </c>
      <c r="S11437" s="18" t="s">
        <v>30</v>
      </c>
      <c r="T11437" s="18" t="s">
        <v>46331</v>
      </c>
      <c r="U11437" s="18"/>
      <c r="V11437" s="18"/>
      <c r="W11437" s="18" t="s">
        <v>46332</v>
      </c>
      <c r="X11437" s="18" t="s">
        <v>35</v>
      </c>
      <c r="Y11437" s="18" t="s">
        <v>17171</v>
      </c>
      <c r="Z11437" s="18" t="s">
        <v>24637</v>
      </c>
      <c r="AA11437" s="21" t="str">
        <f>HYPERLINK("https://www.ncbi.nlm.nih.gov/nuccore/CASDWV010003370","NCBI Nucleotide")</f>
        <v>NCBI Nucleotide</v>
      </c>
    </row>
    <row r="11438" spans="1:27" x14ac:dyDescent="0.35">
      <c r="A11438">
        <v>1010233</v>
      </c>
      <c r="B11438">
        <v>10763</v>
      </c>
      <c r="C11438">
        <v>1</v>
      </c>
      <c r="D11438" s="17" t="s">
        <v>17166</v>
      </c>
      <c r="E11438" s="17"/>
      <c r="F11438" s="17" t="s">
        <v>17246</v>
      </c>
      <c r="G11438" s="17"/>
      <c r="H11438" s="17" t="s">
        <v>20919</v>
      </c>
      <c r="I11438" s="17"/>
      <c r="J11438" s="17" t="s">
        <v>21313</v>
      </c>
      <c r="K11438" s="17"/>
      <c r="L11438" s="17"/>
      <c r="M11438" s="17"/>
      <c r="N11438" s="17"/>
      <c r="O11438" s="17"/>
      <c r="P11438" s="17" t="s">
        <v>21323</v>
      </c>
      <c r="Q11438" s="17"/>
      <c r="R11438" s="25" t="str">
        <f>HYPERLINK("https://ictv.global/taxonomy/taxondetails?taxnode_id=202311522","Skrubnovirus agrihabitans")</f>
        <v>Skrubnovirus agrihabitans</v>
      </c>
      <c r="S11438" s="18" t="s">
        <v>30</v>
      </c>
      <c r="T11438" s="18" t="s">
        <v>21324</v>
      </c>
      <c r="U11438" s="18"/>
      <c r="V11438" s="18"/>
      <c r="W11438" s="18" t="s">
        <v>21325</v>
      </c>
      <c r="X11438" s="18" t="s">
        <v>35</v>
      </c>
      <c r="Y11438" s="18" t="s">
        <v>17171</v>
      </c>
      <c r="Z11438" s="18" t="s">
        <v>697</v>
      </c>
      <c r="AA11438" s="21" t="str">
        <f>HYPERLINK("https://www.ncbi.nlm.nih.gov/nuccore/BK014009","NCBI Nucleotide")</f>
        <v>NCBI Nucleotide</v>
      </c>
    </row>
    <row r="11439" spans="1:27" x14ac:dyDescent="0.35">
      <c r="A11439">
        <v>1026346</v>
      </c>
      <c r="B11439">
        <v>10764</v>
      </c>
      <c r="C11439">
        <v>1</v>
      </c>
      <c r="D11439" s="17" t="s">
        <v>17166</v>
      </c>
      <c r="E11439" s="17"/>
      <c r="F11439" s="17" t="s">
        <v>17246</v>
      </c>
      <c r="G11439" s="17"/>
      <c r="H11439" s="17" t="s">
        <v>20919</v>
      </c>
      <c r="I11439" s="17"/>
      <c r="J11439" s="17" t="s">
        <v>21313</v>
      </c>
      <c r="K11439" s="17"/>
      <c r="L11439" s="17"/>
      <c r="M11439" s="17"/>
      <c r="N11439" s="17"/>
      <c r="O11439" s="17"/>
      <c r="P11439" s="17" t="s">
        <v>21323</v>
      </c>
      <c r="Q11439" s="17"/>
      <c r="R11439" s="25" t="str">
        <f>HYPERLINK("https://ictv.global/taxonomy/taxondetails?taxnode_id=202316032","Skrubnovirus chthonovivens")</f>
        <v>Skrubnovirus chthonovivens</v>
      </c>
      <c r="S11439" s="18" t="s">
        <v>30</v>
      </c>
      <c r="T11439" s="18" t="s">
        <v>46333</v>
      </c>
      <c r="U11439" s="18"/>
      <c r="V11439" s="18"/>
      <c r="W11439" s="18" t="s">
        <v>46334</v>
      </c>
      <c r="X11439" s="18" t="s">
        <v>35</v>
      </c>
      <c r="Y11439" s="18" t="s">
        <v>17171</v>
      </c>
      <c r="Z11439" s="18" t="s">
        <v>24637</v>
      </c>
      <c r="AA11439" s="21" t="str">
        <f>HYPERLINK("https://www.ncbi.nlm.nih.gov/nuccore/CASDWV010002629","NCBI Nucleotide")</f>
        <v>NCBI Nucleotide</v>
      </c>
    </row>
    <row r="11440" spans="1:27" x14ac:dyDescent="0.35">
      <c r="A11440">
        <v>1026347</v>
      </c>
      <c r="B11440">
        <v>10765</v>
      </c>
      <c r="C11440">
        <v>1</v>
      </c>
      <c r="D11440" s="17" t="s">
        <v>17166</v>
      </c>
      <c r="E11440" s="17"/>
      <c r="F11440" s="17" t="s">
        <v>17246</v>
      </c>
      <c r="G11440" s="17"/>
      <c r="H11440" s="17" t="s">
        <v>20919</v>
      </c>
      <c r="I11440" s="17"/>
      <c r="J11440" s="17" t="s">
        <v>21313</v>
      </c>
      <c r="K11440" s="17"/>
      <c r="L11440" s="17"/>
      <c r="M11440" s="17"/>
      <c r="N11440" s="17"/>
      <c r="O11440" s="17"/>
      <c r="P11440" s="17" t="s">
        <v>21323</v>
      </c>
      <c r="Q11440" s="17"/>
      <c r="R11440" s="25" t="str">
        <f>HYPERLINK("https://ictv.global/taxonomy/taxondetails?taxnode_id=202316033","Skrubnovirus edaphenecus")</f>
        <v>Skrubnovirus edaphenecus</v>
      </c>
      <c r="S11440" s="18" t="s">
        <v>30</v>
      </c>
      <c r="T11440" s="18" t="s">
        <v>46335</v>
      </c>
      <c r="U11440" s="18"/>
      <c r="V11440" s="18"/>
      <c r="W11440" s="18" t="s">
        <v>46336</v>
      </c>
      <c r="X11440" s="18" t="s">
        <v>35</v>
      </c>
      <c r="Y11440" s="18" t="s">
        <v>17171</v>
      </c>
      <c r="Z11440" s="18" t="s">
        <v>24637</v>
      </c>
      <c r="AA11440" s="21" t="str">
        <f>HYPERLINK("https://www.ncbi.nlm.nih.gov/nuccore/CASDWV010000754","NCBI Nucleotide")</f>
        <v>NCBI Nucleotide</v>
      </c>
    </row>
    <row r="11441" spans="1:27" x14ac:dyDescent="0.35">
      <c r="A11441">
        <v>1026348</v>
      </c>
      <c r="B11441">
        <v>10766</v>
      </c>
      <c r="C11441">
        <v>1</v>
      </c>
      <c r="D11441" s="17" t="s">
        <v>17166</v>
      </c>
      <c r="E11441" s="17"/>
      <c r="F11441" s="17" t="s">
        <v>17246</v>
      </c>
      <c r="G11441" s="17"/>
      <c r="H11441" s="17" t="s">
        <v>20919</v>
      </c>
      <c r="I11441" s="17"/>
      <c r="J11441" s="17" t="s">
        <v>21313</v>
      </c>
      <c r="K11441" s="17"/>
      <c r="L11441" s="17"/>
      <c r="M11441" s="17"/>
      <c r="N11441" s="17"/>
      <c r="O11441" s="17"/>
      <c r="P11441" s="17" t="s">
        <v>21323</v>
      </c>
      <c r="Q11441" s="17"/>
      <c r="R11441" s="25" t="str">
        <f>HYPERLINK("https://ictv.global/taxonomy/taxondetails?taxnode_id=202316034","Skrubnovirus humihabitans")</f>
        <v>Skrubnovirus humihabitans</v>
      </c>
      <c r="S11441" s="18" t="s">
        <v>30</v>
      </c>
      <c r="T11441" s="18" t="s">
        <v>46337</v>
      </c>
      <c r="U11441" s="18"/>
      <c r="V11441" s="18"/>
      <c r="W11441" s="18" t="s">
        <v>46338</v>
      </c>
      <c r="X11441" s="18" t="s">
        <v>35</v>
      </c>
      <c r="Y11441" s="18" t="s">
        <v>17171</v>
      </c>
      <c r="Z11441" s="18" t="s">
        <v>24637</v>
      </c>
      <c r="AA11441" s="21" t="str">
        <f>HYPERLINK("https://www.ncbi.nlm.nih.gov/nuccore/CASDWV010003054","NCBI Nucleotide")</f>
        <v>NCBI Nucleotide</v>
      </c>
    </row>
    <row r="11442" spans="1:27" x14ac:dyDescent="0.35">
      <c r="A11442">
        <v>1026349</v>
      </c>
      <c r="B11442">
        <v>10767</v>
      </c>
      <c r="C11442">
        <v>1</v>
      </c>
      <c r="D11442" s="17" t="s">
        <v>17166</v>
      </c>
      <c r="E11442" s="17"/>
      <c r="F11442" s="17" t="s">
        <v>17246</v>
      </c>
      <c r="G11442" s="17"/>
      <c r="H11442" s="17" t="s">
        <v>20919</v>
      </c>
      <c r="I11442" s="17"/>
      <c r="J11442" s="17" t="s">
        <v>21313</v>
      </c>
      <c r="K11442" s="17"/>
      <c r="L11442" s="17"/>
      <c r="M11442" s="17"/>
      <c r="N11442" s="17"/>
      <c r="O11442" s="17"/>
      <c r="P11442" s="17" t="s">
        <v>21323</v>
      </c>
      <c r="Q11442" s="17"/>
      <c r="R11442" s="25" t="str">
        <f>HYPERLINK("https://ictv.global/taxonomy/taxondetails?taxnode_id=202316035","Skrubnovirus segeticola")</f>
        <v>Skrubnovirus segeticola</v>
      </c>
      <c r="S11442" s="18" t="s">
        <v>30</v>
      </c>
      <c r="T11442" s="18" t="s">
        <v>46339</v>
      </c>
      <c r="U11442" s="18"/>
      <c r="V11442" s="18"/>
      <c r="W11442" s="18" t="s">
        <v>46340</v>
      </c>
      <c r="X11442" s="18" t="s">
        <v>35</v>
      </c>
      <c r="Y11442" s="18" t="s">
        <v>17171</v>
      </c>
      <c r="Z11442" s="18" t="s">
        <v>24637</v>
      </c>
      <c r="AA11442" s="21" t="str">
        <f>HYPERLINK("https://www.ncbi.nlm.nih.gov/nuccore/CASDWV010002852","NCBI Nucleotide")</f>
        <v>NCBI Nucleotide</v>
      </c>
    </row>
    <row r="11443" spans="1:27" x14ac:dyDescent="0.35">
      <c r="A11443">
        <v>1010236</v>
      </c>
      <c r="B11443">
        <v>10768</v>
      </c>
      <c r="C11443">
        <v>1</v>
      </c>
      <c r="D11443" s="17" t="s">
        <v>17166</v>
      </c>
      <c r="E11443" s="17"/>
      <c r="F11443" s="17" t="s">
        <v>17246</v>
      </c>
      <c r="G11443" s="17"/>
      <c r="H11443" s="17" t="s">
        <v>20919</v>
      </c>
      <c r="I11443" s="17"/>
      <c r="J11443" s="17" t="s">
        <v>23304</v>
      </c>
      <c r="K11443" s="17"/>
      <c r="L11443" s="17" t="s">
        <v>23305</v>
      </c>
      <c r="M11443" s="17"/>
      <c r="N11443" s="17" t="s">
        <v>23306</v>
      </c>
      <c r="O11443" s="17"/>
      <c r="P11443" s="17" t="s">
        <v>23307</v>
      </c>
      <c r="Q11443" s="17"/>
      <c r="R11443" s="25" t="str">
        <f>HYPERLINK("https://ictv.global/taxonomy/taxondetails?taxnode_id=202312532","Betabotoulivirus alphaplasmoparae")</f>
        <v>Betabotoulivirus alphaplasmoparae</v>
      </c>
      <c r="S11443" s="18" t="s">
        <v>30</v>
      </c>
      <c r="T11443" s="18" t="s">
        <v>23308</v>
      </c>
      <c r="U11443" s="18" t="s">
        <v>23309</v>
      </c>
      <c r="V11443" s="18" t="s">
        <v>23310</v>
      </c>
      <c r="W11443" s="18" t="s">
        <v>23311</v>
      </c>
      <c r="X11443" s="18" t="s">
        <v>35</v>
      </c>
      <c r="Y11443" s="18" t="s">
        <v>17171</v>
      </c>
      <c r="Z11443" s="18" t="s">
        <v>41209</v>
      </c>
      <c r="AA11443" s="21" t="str">
        <f>HYPERLINK("https://www.ncbi.nlm.nih.gov/nuccore/MN532588","NCBI Nucleotide")</f>
        <v>NCBI Nucleotide</v>
      </c>
    </row>
    <row r="11444" spans="1:27" x14ac:dyDescent="0.35">
      <c r="A11444">
        <v>1010237</v>
      </c>
      <c r="B11444">
        <v>10769</v>
      </c>
      <c r="C11444">
        <v>1</v>
      </c>
      <c r="D11444" s="17" t="s">
        <v>17166</v>
      </c>
      <c r="E11444" s="17"/>
      <c r="F11444" s="17" t="s">
        <v>17246</v>
      </c>
      <c r="G11444" s="17"/>
      <c r="H11444" s="17" t="s">
        <v>20919</v>
      </c>
      <c r="I11444" s="17"/>
      <c r="J11444" s="17" t="s">
        <v>23304</v>
      </c>
      <c r="K11444" s="17"/>
      <c r="L11444" s="17" t="s">
        <v>23305</v>
      </c>
      <c r="M11444" s="17"/>
      <c r="N11444" s="17" t="s">
        <v>23306</v>
      </c>
      <c r="O11444" s="17"/>
      <c r="P11444" s="17" t="s">
        <v>23307</v>
      </c>
      <c r="Q11444" s="17"/>
      <c r="R11444" s="25" t="str">
        <f>HYPERLINK("https://ictv.global/taxonomy/taxondetails?taxnode_id=202312533","Betabotoulivirus betaplasmoparae")</f>
        <v>Betabotoulivirus betaplasmoparae</v>
      </c>
      <c r="S11444" s="18" t="s">
        <v>30</v>
      </c>
      <c r="T11444" s="18" t="s">
        <v>23312</v>
      </c>
      <c r="U11444" s="18" t="s">
        <v>23313</v>
      </c>
      <c r="V11444" s="18" t="s">
        <v>23314</v>
      </c>
      <c r="W11444" s="18" t="s">
        <v>23315</v>
      </c>
      <c r="X11444" s="18" t="s">
        <v>35</v>
      </c>
      <c r="Y11444" s="18" t="s">
        <v>17171</v>
      </c>
      <c r="Z11444" s="18" t="s">
        <v>41209</v>
      </c>
      <c r="AA11444" s="21" t="str">
        <f>HYPERLINK("https://www.ncbi.nlm.nih.gov/nuccore/MN532589","NCBI Nucleotide")</f>
        <v>NCBI Nucleotide</v>
      </c>
    </row>
    <row r="11445" spans="1:27" x14ac:dyDescent="0.35">
      <c r="A11445">
        <v>1010238</v>
      </c>
      <c r="B11445">
        <v>10770</v>
      </c>
      <c r="C11445">
        <v>1</v>
      </c>
      <c r="D11445" s="17" t="s">
        <v>17166</v>
      </c>
      <c r="E11445" s="17"/>
      <c r="F11445" s="17" t="s">
        <v>17246</v>
      </c>
      <c r="G11445" s="17"/>
      <c r="H11445" s="17" t="s">
        <v>20919</v>
      </c>
      <c r="I11445" s="17"/>
      <c r="J11445" s="17" t="s">
        <v>23304</v>
      </c>
      <c r="K11445" s="17"/>
      <c r="L11445" s="17" t="s">
        <v>23305</v>
      </c>
      <c r="M11445" s="17"/>
      <c r="N11445" s="17" t="s">
        <v>23306</v>
      </c>
      <c r="O11445" s="17"/>
      <c r="P11445" s="17" t="s">
        <v>23307</v>
      </c>
      <c r="Q11445" s="17"/>
      <c r="R11445" s="25" t="str">
        <f>HYPERLINK("https://ictv.global/taxonomy/taxondetails?taxnode_id=202312535","Betabotoulivirus deltaplasmoparae")</f>
        <v>Betabotoulivirus deltaplasmoparae</v>
      </c>
      <c r="S11445" s="18" t="s">
        <v>30</v>
      </c>
      <c r="T11445" s="18" t="s">
        <v>23316</v>
      </c>
      <c r="U11445" s="18" t="s">
        <v>23317</v>
      </c>
      <c r="V11445" s="18"/>
      <c r="W11445" s="18" t="s">
        <v>23318</v>
      </c>
      <c r="X11445" s="18" t="s">
        <v>35</v>
      </c>
      <c r="Y11445" s="18" t="s">
        <v>17171</v>
      </c>
      <c r="Z11445" s="18" t="s">
        <v>41209</v>
      </c>
      <c r="AA11445" s="21" t="str">
        <f>HYPERLINK("https://www.ncbi.nlm.nih.gov/nuccore/MN532639","NCBI Nucleotide")</f>
        <v>NCBI Nucleotide</v>
      </c>
    </row>
    <row r="11446" spans="1:27" x14ac:dyDescent="0.35">
      <c r="A11446">
        <v>1010239</v>
      </c>
      <c r="B11446">
        <v>10771</v>
      </c>
      <c r="C11446">
        <v>1</v>
      </c>
      <c r="D11446" s="17" t="s">
        <v>17166</v>
      </c>
      <c r="E11446" s="17"/>
      <c r="F11446" s="17" t="s">
        <v>17246</v>
      </c>
      <c r="G11446" s="17"/>
      <c r="H11446" s="17" t="s">
        <v>20919</v>
      </c>
      <c r="I11446" s="17"/>
      <c r="J11446" s="17" t="s">
        <v>23304</v>
      </c>
      <c r="K11446" s="17"/>
      <c r="L11446" s="17" t="s">
        <v>23305</v>
      </c>
      <c r="M11446" s="17"/>
      <c r="N11446" s="17" t="s">
        <v>23306</v>
      </c>
      <c r="O11446" s="17"/>
      <c r="P11446" s="17" t="s">
        <v>23307</v>
      </c>
      <c r="Q11446" s="17"/>
      <c r="R11446" s="25" t="str">
        <f>HYPERLINK("https://ictv.global/taxonomy/taxondetails?taxnode_id=202308723","Betabotoulivirus entoleucae")</f>
        <v>Betabotoulivirus entoleucae</v>
      </c>
      <c r="S11446" s="18" t="s">
        <v>30</v>
      </c>
      <c r="T11446" s="18" t="s">
        <v>23319</v>
      </c>
      <c r="U11446" s="18" t="s">
        <v>23320</v>
      </c>
      <c r="V11446" s="18" t="s">
        <v>23321</v>
      </c>
      <c r="W11446" s="18" t="s">
        <v>23322</v>
      </c>
      <c r="X11446" s="18" t="s">
        <v>35</v>
      </c>
      <c r="Y11446" s="18" t="s">
        <v>17171</v>
      </c>
      <c r="Z11446" s="18" t="s">
        <v>16721</v>
      </c>
      <c r="AA11446" s="21" t="str">
        <f>HYPERLINK("https://www.ncbi.nlm.nih.gov/nuccore/MF375889","NCBI Nucleotide")</f>
        <v>NCBI Nucleotide</v>
      </c>
    </row>
    <row r="11447" spans="1:27" x14ac:dyDescent="0.35">
      <c r="A11447">
        <v>1010240</v>
      </c>
      <c r="B11447">
        <v>10772</v>
      </c>
      <c r="C11447">
        <v>1</v>
      </c>
      <c r="D11447" s="17" t="s">
        <v>17166</v>
      </c>
      <c r="E11447" s="17"/>
      <c r="F11447" s="17" t="s">
        <v>17246</v>
      </c>
      <c r="G11447" s="17"/>
      <c r="H11447" s="17" t="s">
        <v>20919</v>
      </c>
      <c r="I11447" s="17"/>
      <c r="J11447" s="17" t="s">
        <v>23304</v>
      </c>
      <c r="K11447" s="17"/>
      <c r="L11447" s="17" t="s">
        <v>23305</v>
      </c>
      <c r="M11447" s="17"/>
      <c r="N11447" s="17" t="s">
        <v>23306</v>
      </c>
      <c r="O11447" s="17"/>
      <c r="P11447" s="17" t="s">
        <v>23307</v>
      </c>
      <c r="Q11447" s="17"/>
      <c r="R11447" s="25" t="str">
        <f>HYPERLINK("https://ictv.global/taxonomy/taxondetails?taxnode_id=202312536","Betabotoulivirus epsilonplasmoparae")</f>
        <v>Betabotoulivirus epsilonplasmoparae</v>
      </c>
      <c r="S11447" s="18" t="s">
        <v>30</v>
      </c>
      <c r="T11447" s="18" t="s">
        <v>23323</v>
      </c>
      <c r="U11447" s="18" t="s">
        <v>23324</v>
      </c>
      <c r="V11447" s="18" t="s">
        <v>23325</v>
      </c>
      <c r="W11447" s="18" t="s">
        <v>23326</v>
      </c>
      <c r="X11447" s="18" t="s">
        <v>35</v>
      </c>
      <c r="Y11447" s="18" t="s">
        <v>17171</v>
      </c>
      <c r="Z11447" s="18" t="s">
        <v>41209</v>
      </c>
      <c r="AA11447" s="21" t="str">
        <f>HYPERLINK("https://www.ncbi.nlm.nih.gov/nuccore/MN532640","NCBI Nucleotide")</f>
        <v>NCBI Nucleotide</v>
      </c>
    </row>
    <row r="11448" spans="1:27" x14ac:dyDescent="0.35">
      <c r="A11448">
        <v>1010241</v>
      </c>
      <c r="B11448">
        <v>10773</v>
      </c>
      <c r="C11448">
        <v>1</v>
      </c>
      <c r="D11448" s="17" t="s">
        <v>17166</v>
      </c>
      <c r="E11448" s="17"/>
      <c r="F11448" s="17" t="s">
        <v>17246</v>
      </c>
      <c r="G11448" s="17"/>
      <c r="H11448" s="17" t="s">
        <v>20919</v>
      </c>
      <c r="I11448" s="17"/>
      <c r="J11448" s="17" t="s">
        <v>23304</v>
      </c>
      <c r="K11448" s="17"/>
      <c r="L11448" s="17" t="s">
        <v>23305</v>
      </c>
      <c r="M11448" s="17"/>
      <c r="N11448" s="17" t="s">
        <v>23306</v>
      </c>
      <c r="O11448" s="17"/>
      <c r="P11448" s="17" t="s">
        <v>23307</v>
      </c>
      <c r="Q11448" s="17"/>
      <c r="R11448" s="25" t="str">
        <f>HYPERLINK("https://ictv.global/taxonomy/taxondetails?taxnode_id=202312538","Betabotoulivirus etaplasmoparae")</f>
        <v>Betabotoulivirus etaplasmoparae</v>
      </c>
      <c r="S11448" s="18" t="s">
        <v>30</v>
      </c>
      <c r="T11448" s="18" t="s">
        <v>23327</v>
      </c>
      <c r="U11448" s="18" t="s">
        <v>23328</v>
      </c>
      <c r="V11448" s="18" t="s">
        <v>23329</v>
      </c>
      <c r="W11448" s="18" t="s">
        <v>23330</v>
      </c>
      <c r="X11448" s="18" t="s">
        <v>35</v>
      </c>
      <c r="Y11448" s="18" t="s">
        <v>17171</v>
      </c>
      <c r="Z11448" s="18" t="s">
        <v>41209</v>
      </c>
      <c r="AA11448" s="21" t="str">
        <f>HYPERLINK("https://www.ncbi.nlm.nih.gov/nuccore/MN532642","NCBI Nucleotide")</f>
        <v>NCBI Nucleotide</v>
      </c>
    </row>
    <row r="11449" spans="1:27" x14ac:dyDescent="0.35">
      <c r="A11449">
        <v>1010242</v>
      </c>
      <c r="B11449">
        <v>10774</v>
      </c>
      <c r="C11449">
        <v>1</v>
      </c>
      <c r="D11449" s="17" t="s">
        <v>17166</v>
      </c>
      <c r="E11449" s="17"/>
      <c r="F11449" s="17" t="s">
        <v>17246</v>
      </c>
      <c r="G11449" s="17"/>
      <c r="H11449" s="17" t="s">
        <v>20919</v>
      </c>
      <c r="I11449" s="17"/>
      <c r="J11449" s="17" t="s">
        <v>23304</v>
      </c>
      <c r="K11449" s="17"/>
      <c r="L11449" s="17" t="s">
        <v>23305</v>
      </c>
      <c r="M11449" s="17"/>
      <c r="N11449" s="17" t="s">
        <v>23306</v>
      </c>
      <c r="O11449" s="17"/>
      <c r="P11449" s="17" t="s">
        <v>23307</v>
      </c>
      <c r="Q11449" s="17"/>
      <c r="R11449" s="25" t="str">
        <f>HYPERLINK("https://ictv.global/taxonomy/taxondetails?taxnode_id=202312534","Betabotoulivirus gammaplasmoparae")</f>
        <v>Betabotoulivirus gammaplasmoparae</v>
      </c>
      <c r="S11449" s="18" t="s">
        <v>30</v>
      </c>
      <c r="T11449" s="18" t="s">
        <v>23331</v>
      </c>
      <c r="U11449" s="18" t="s">
        <v>23332</v>
      </c>
      <c r="V11449" s="18" t="s">
        <v>23333</v>
      </c>
      <c r="W11449" s="18" t="s">
        <v>23334</v>
      </c>
      <c r="X11449" s="18" t="s">
        <v>35</v>
      </c>
      <c r="Y11449" s="18" t="s">
        <v>17171</v>
      </c>
      <c r="Z11449" s="18" t="s">
        <v>41209</v>
      </c>
      <c r="AA11449" s="21" t="str">
        <f>HYPERLINK("https://www.ncbi.nlm.nih.gov/nuccore/MN532591","NCBI Nucleotide")</f>
        <v>NCBI Nucleotide</v>
      </c>
    </row>
    <row r="11450" spans="1:27" x14ac:dyDescent="0.35">
      <c r="A11450">
        <v>1010243</v>
      </c>
      <c r="B11450">
        <v>10775</v>
      </c>
      <c r="C11450">
        <v>1</v>
      </c>
      <c r="D11450" s="17" t="s">
        <v>17166</v>
      </c>
      <c r="E11450" s="17"/>
      <c r="F11450" s="17" t="s">
        <v>17246</v>
      </c>
      <c r="G11450" s="17"/>
      <c r="H11450" s="17" t="s">
        <v>20919</v>
      </c>
      <c r="I11450" s="17"/>
      <c r="J11450" s="17" t="s">
        <v>23304</v>
      </c>
      <c r="K11450" s="17"/>
      <c r="L11450" s="17" t="s">
        <v>23305</v>
      </c>
      <c r="M11450" s="17"/>
      <c r="N11450" s="17" t="s">
        <v>23306</v>
      </c>
      <c r="O11450" s="17"/>
      <c r="P11450" s="17" t="s">
        <v>23307</v>
      </c>
      <c r="Q11450" s="17"/>
      <c r="R11450" s="25" t="str">
        <f>HYPERLINK("https://ictv.global/taxonomy/taxondetails?taxnode_id=202308724","Betabotoulivirus phaeoacremonium")</f>
        <v>Betabotoulivirus phaeoacremonium</v>
      </c>
      <c r="S11450" s="18" t="s">
        <v>30</v>
      </c>
      <c r="T11450" s="18" t="s">
        <v>23335</v>
      </c>
      <c r="U11450" s="18" t="s">
        <v>23336</v>
      </c>
      <c r="V11450" s="18" t="s">
        <v>23337</v>
      </c>
      <c r="W11450" s="18" t="s">
        <v>23338</v>
      </c>
      <c r="X11450" s="18" t="s">
        <v>35</v>
      </c>
      <c r="Y11450" s="18" t="s">
        <v>17171</v>
      </c>
      <c r="Z11450" s="18" t="s">
        <v>16721</v>
      </c>
      <c r="AA11450" s="21" t="str">
        <f>HYPERLINK("https://www.ncbi.nlm.nih.gov/nuccore/MK584848","NCBI Nucleotide")</f>
        <v>NCBI Nucleotide</v>
      </c>
    </row>
    <row r="11451" spans="1:27" x14ac:dyDescent="0.35">
      <c r="A11451">
        <v>1010244</v>
      </c>
      <c r="B11451">
        <v>10776</v>
      </c>
      <c r="C11451">
        <v>1</v>
      </c>
      <c r="D11451" s="17" t="s">
        <v>17166</v>
      </c>
      <c r="E11451" s="17"/>
      <c r="F11451" s="17" t="s">
        <v>17246</v>
      </c>
      <c r="G11451" s="17"/>
      <c r="H11451" s="17" t="s">
        <v>20919</v>
      </c>
      <c r="I11451" s="17"/>
      <c r="J11451" s="17" t="s">
        <v>23304</v>
      </c>
      <c r="K11451" s="17"/>
      <c r="L11451" s="17" t="s">
        <v>23305</v>
      </c>
      <c r="M11451" s="17"/>
      <c r="N11451" s="17" t="s">
        <v>23306</v>
      </c>
      <c r="O11451" s="17"/>
      <c r="P11451" s="17" t="s">
        <v>23307</v>
      </c>
      <c r="Q11451" s="17"/>
      <c r="R11451" s="25" t="str">
        <f>HYPERLINK("https://ictv.global/taxonomy/taxondetails?taxnode_id=202312539","Betabotoulivirus thetaplasmoparae")</f>
        <v>Betabotoulivirus thetaplasmoparae</v>
      </c>
      <c r="S11451" s="18" t="s">
        <v>30</v>
      </c>
      <c r="T11451" s="18" t="s">
        <v>23339</v>
      </c>
      <c r="U11451" s="18" t="s">
        <v>23340</v>
      </c>
      <c r="V11451" s="18" t="s">
        <v>23341</v>
      </c>
      <c r="W11451" s="18" t="s">
        <v>23342</v>
      </c>
      <c r="X11451" s="18" t="s">
        <v>35</v>
      </c>
      <c r="Y11451" s="18" t="s">
        <v>17171</v>
      </c>
      <c r="Z11451" s="18" t="s">
        <v>41209</v>
      </c>
      <c r="AA11451" s="21" t="str">
        <f>HYPERLINK("https://www.ncbi.nlm.nih.gov/nuccore/MN532647","NCBI Nucleotide")</f>
        <v>NCBI Nucleotide</v>
      </c>
    </row>
    <row r="11452" spans="1:27" x14ac:dyDescent="0.35">
      <c r="A11452">
        <v>1010245</v>
      </c>
      <c r="B11452">
        <v>10777</v>
      </c>
      <c r="C11452">
        <v>1</v>
      </c>
      <c r="D11452" s="17" t="s">
        <v>17166</v>
      </c>
      <c r="E11452" s="17"/>
      <c r="F11452" s="17" t="s">
        <v>17246</v>
      </c>
      <c r="G11452" s="17"/>
      <c r="H11452" s="17" t="s">
        <v>20919</v>
      </c>
      <c r="I11452" s="17"/>
      <c r="J11452" s="17" t="s">
        <v>23304</v>
      </c>
      <c r="K11452" s="17"/>
      <c r="L11452" s="17" t="s">
        <v>23305</v>
      </c>
      <c r="M11452" s="17"/>
      <c r="N11452" s="17" t="s">
        <v>23306</v>
      </c>
      <c r="O11452" s="17"/>
      <c r="P11452" s="17" t="s">
        <v>23307</v>
      </c>
      <c r="Q11452" s="17"/>
      <c r="R11452" s="25" t="str">
        <f>HYPERLINK("https://ictv.global/taxonomy/taxondetails?taxnode_id=202312537","Betabotoulivirus zetaplasmoparae")</f>
        <v>Betabotoulivirus zetaplasmoparae</v>
      </c>
      <c r="S11452" s="18" t="s">
        <v>30</v>
      </c>
      <c r="T11452" s="18" t="s">
        <v>23343</v>
      </c>
      <c r="U11452" s="18" t="s">
        <v>23344</v>
      </c>
      <c r="V11452" s="18" t="s">
        <v>23345</v>
      </c>
      <c r="W11452" s="18" t="s">
        <v>23346</v>
      </c>
      <c r="X11452" s="18" t="s">
        <v>35</v>
      </c>
      <c r="Y11452" s="18" t="s">
        <v>17171</v>
      </c>
      <c r="Z11452" s="18" t="s">
        <v>41209</v>
      </c>
      <c r="AA11452" s="21" t="str">
        <f>HYPERLINK("https://www.ncbi.nlm.nih.gov/nuccore/MN532641","NCBI Nucleotide")</f>
        <v>NCBI Nucleotide</v>
      </c>
    </row>
    <row r="11453" spans="1:27" x14ac:dyDescent="0.35">
      <c r="A11453">
        <v>1010247</v>
      </c>
      <c r="B11453">
        <v>10778</v>
      </c>
      <c r="C11453">
        <v>1</v>
      </c>
      <c r="D11453" s="17" t="s">
        <v>17166</v>
      </c>
      <c r="E11453" s="17"/>
      <c r="F11453" s="17" t="s">
        <v>17246</v>
      </c>
      <c r="G11453" s="17"/>
      <c r="H11453" s="17" t="s">
        <v>20919</v>
      </c>
      <c r="I11453" s="17"/>
      <c r="J11453" s="17" t="s">
        <v>23304</v>
      </c>
      <c r="K11453" s="17"/>
      <c r="L11453" s="17" t="s">
        <v>23305</v>
      </c>
      <c r="M11453" s="17"/>
      <c r="N11453" s="17" t="s">
        <v>23306</v>
      </c>
      <c r="O11453" s="17"/>
      <c r="P11453" s="17" t="s">
        <v>23347</v>
      </c>
      <c r="Q11453" s="17"/>
      <c r="R11453" s="25" t="str">
        <f>HYPERLINK("https://ictv.global/taxonomy/taxondetails?taxnode_id=202313250","Betarhizoulivirus solani")</f>
        <v>Betarhizoulivirus solani</v>
      </c>
      <c r="S11453" s="18" t="s">
        <v>30</v>
      </c>
      <c r="T11453" s="18" t="s">
        <v>23352</v>
      </c>
      <c r="U11453" s="18" t="s">
        <v>23353</v>
      </c>
      <c r="V11453" s="18"/>
      <c r="W11453" s="18" t="s">
        <v>23354</v>
      </c>
      <c r="X11453" s="18" t="s">
        <v>35</v>
      </c>
      <c r="Y11453" s="18" t="s">
        <v>17171</v>
      </c>
      <c r="Z11453" s="18" t="s">
        <v>16721</v>
      </c>
      <c r="AA11453" s="21" t="str">
        <f>HYPERLINK("https://www.ncbi.nlm.nih.gov/nuccore/MK372909","NCBI Nucleotide")</f>
        <v>NCBI Nucleotide</v>
      </c>
    </row>
    <row r="11454" spans="1:27" x14ac:dyDescent="0.35">
      <c r="A11454">
        <v>1010248</v>
      </c>
      <c r="B11454">
        <v>10779</v>
      </c>
      <c r="C11454">
        <v>1</v>
      </c>
      <c r="D11454" s="17" t="s">
        <v>17166</v>
      </c>
      <c r="E11454" s="17"/>
      <c r="F11454" s="17" t="s">
        <v>17246</v>
      </c>
      <c r="G11454" s="17"/>
      <c r="H11454" s="17" t="s">
        <v>20919</v>
      </c>
      <c r="I11454" s="17"/>
      <c r="J11454" s="17" t="s">
        <v>23304</v>
      </c>
      <c r="K11454" s="17"/>
      <c r="L11454" s="17" t="s">
        <v>23305</v>
      </c>
      <c r="M11454" s="17"/>
      <c r="N11454" s="17" t="s">
        <v>23306</v>
      </c>
      <c r="O11454" s="17"/>
      <c r="P11454" s="17" t="s">
        <v>23355</v>
      </c>
      <c r="Q11454" s="17"/>
      <c r="R11454" s="25" t="str">
        <f>HYPERLINK("https://ictv.global/taxonomy/taxondetails?taxnode_id=202312557","Betascleroulivirus alphaplasmoparae")</f>
        <v>Betascleroulivirus alphaplasmoparae</v>
      </c>
      <c r="S11454" s="18" t="s">
        <v>30</v>
      </c>
      <c r="T11454" s="18" t="s">
        <v>23356</v>
      </c>
      <c r="U11454" s="18" t="s">
        <v>23357</v>
      </c>
      <c r="V11454" s="18" t="s">
        <v>23358</v>
      </c>
      <c r="W11454" s="18" t="s">
        <v>23359</v>
      </c>
      <c r="X11454" s="18" t="s">
        <v>35</v>
      </c>
      <c r="Y11454" s="18" t="s">
        <v>17171</v>
      </c>
      <c r="Z11454" s="18" t="s">
        <v>41209</v>
      </c>
      <c r="AA11454" s="21" t="str">
        <f>HYPERLINK("https://www.ncbi.nlm.nih.gov/nuccore/MN532621","NCBI Nucleotide")</f>
        <v>NCBI Nucleotide</v>
      </c>
    </row>
    <row r="11455" spans="1:27" x14ac:dyDescent="0.35">
      <c r="A11455">
        <v>1010249</v>
      </c>
      <c r="B11455">
        <v>10780</v>
      </c>
      <c r="C11455">
        <v>1</v>
      </c>
      <c r="D11455" s="17" t="s">
        <v>17166</v>
      </c>
      <c r="E11455" s="17"/>
      <c r="F11455" s="17" t="s">
        <v>17246</v>
      </c>
      <c r="G11455" s="17"/>
      <c r="H11455" s="17" t="s">
        <v>20919</v>
      </c>
      <c r="I11455" s="17"/>
      <c r="J11455" s="17" t="s">
        <v>23304</v>
      </c>
      <c r="K11455" s="17"/>
      <c r="L11455" s="17" t="s">
        <v>23305</v>
      </c>
      <c r="M11455" s="17"/>
      <c r="N11455" s="17" t="s">
        <v>23306</v>
      </c>
      <c r="O11455" s="17"/>
      <c r="P11455" s="17" t="s">
        <v>23355</v>
      </c>
      <c r="Q11455" s="17"/>
      <c r="R11455" s="25" t="str">
        <f>HYPERLINK("https://ictv.global/taxonomy/taxondetails?taxnode_id=202312558","Betascleroulivirus betaplasmoparae")</f>
        <v>Betascleroulivirus betaplasmoparae</v>
      </c>
      <c r="S11455" s="18" t="s">
        <v>30</v>
      </c>
      <c r="T11455" s="18" t="s">
        <v>23360</v>
      </c>
      <c r="U11455" s="18" t="s">
        <v>23361</v>
      </c>
      <c r="V11455" s="18" t="s">
        <v>23362</v>
      </c>
      <c r="W11455" s="18" t="s">
        <v>23363</v>
      </c>
      <c r="X11455" s="18" t="s">
        <v>35</v>
      </c>
      <c r="Y11455" s="18" t="s">
        <v>17171</v>
      </c>
      <c r="Z11455" s="18" t="s">
        <v>41209</v>
      </c>
      <c r="AA11455" s="21" t="str">
        <f>HYPERLINK("https://www.ncbi.nlm.nih.gov/nuccore/MN532622","NCBI Nucleotide")</f>
        <v>NCBI Nucleotide</v>
      </c>
    </row>
    <row r="11456" spans="1:27" x14ac:dyDescent="0.35">
      <c r="A11456">
        <v>1010250</v>
      </c>
      <c r="B11456">
        <v>10781</v>
      </c>
      <c r="C11456">
        <v>1</v>
      </c>
      <c r="D11456" s="17" t="s">
        <v>17166</v>
      </c>
      <c r="E11456" s="17"/>
      <c r="F11456" s="17" t="s">
        <v>17246</v>
      </c>
      <c r="G11456" s="17"/>
      <c r="H11456" s="17" t="s">
        <v>20919</v>
      </c>
      <c r="I11456" s="17"/>
      <c r="J11456" s="17" t="s">
        <v>23304</v>
      </c>
      <c r="K11456" s="17"/>
      <c r="L11456" s="17" t="s">
        <v>23305</v>
      </c>
      <c r="M11456" s="17"/>
      <c r="N11456" s="17" t="s">
        <v>23306</v>
      </c>
      <c r="O11456" s="17"/>
      <c r="P11456" s="17" t="s">
        <v>23355</v>
      </c>
      <c r="Q11456" s="17"/>
      <c r="R11456" s="25" t="str">
        <f>HYPERLINK("https://ictv.global/taxonomy/taxondetails?taxnode_id=202312556","Betascleroulivirus botrytidis")</f>
        <v>Betascleroulivirus botrytidis</v>
      </c>
      <c r="S11456" s="18" t="s">
        <v>30</v>
      </c>
      <c r="T11456" s="18" t="s">
        <v>23364</v>
      </c>
      <c r="U11456" s="18" t="s">
        <v>23365</v>
      </c>
      <c r="V11456" s="18" t="s">
        <v>23366</v>
      </c>
      <c r="W11456" s="18" t="s">
        <v>23367</v>
      </c>
      <c r="X11456" s="18" t="s">
        <v>35</v>
      </c>
      <c r="Y11456" s="18" t="s">
        <v>17171</v>
      </c>
      <c r="Z11456" s="18" t="s">
        <v>16721</v>
      </c>
      <c r="AA11456" s="21" t="str">
        <f>HYPERLINK("https://www.ncbi.nlm.nih.gov/nuccore/MN605476","NCBI Nucleotide")</f>
        <v>NCBI Nucleotide</v>
      </c>
    </row>
    <row r="11457" spans="1:27" x14ac:dyDescent="0.35">
      <c r="A11457">
        <v>1010251</v>
      </c>
      <c r="B11457">
        <v>10782</v>
      </c>
      <c r="C11457">
        <v>1</v>
      </c>
      <c r="D11457" s="17" t="s">
        <v>17166</v>
      </c>
      <c r="E11457" s="17"/>
      <c r="F11457" s="17" t="s">
        <v>17246</v>
      </c>
      <c r="G11457" s="17"/>
      <c r="H11457" s="17" t="s">
        <v>20919</v>
      </c>
      <c r="I11457" s="17"/>
      <c r="J11457" s="17" t="s">
        <v>23304</v>
      </c>
      <c r="K11457" s="17"/>
      <c r="L11457" s="17" t="s">
        <v>23305</v>
      </c>
      <c r="M11457" s="17"/>
      <c r="N11457" s="17" t="s">
        <v>23306</v>
      </c>
      <c r="O11457" s="17"/>
      <c r="P11457" s="17" t="s">
        <v>23355</v>
      </c>
      <c r="Q11457" s="17"/>
      <c r="R11457" s="25" t="str">
        <f>HYPERLINK("https://ictv.global/taxonomy/taxondetails?taxnode_id=202312560","Betascleroulivirus deltaplasmoparae")</f>
        <v>Betascleroulivirus deltaplasmoparae</v>
      </c>
      <c r="S11457" s="18" t="s">
        <v>30</v>
      </c>
      <c r="T11457" s="18" t="s">
        <v>23368</v>
      </c>
      <c r="U11457" s="18" t="s">
        <v>23369</v>
      </c>
      <c r="V11457" s="18" t="s">
        <v>23370</v>
      </c>
      <c r="W11457" s="18" t="s">
        <v>23371</v>
      </c>
      <c r="X11457" s="18" t="s">
        <v>35</v>
      </c>
      <c r="Y11457" s="18" t="s">
        <v>17171</v>
      </c>
      <c r="Z11457" s="18" t="s">
        <v>41209</v>
      </c>
      <c r="AA11457" s="21" t="str">
        <f>HYPERLINK("https://www.ncbi.nlm.nih.gov/nuccore/MN532625","NCBI Nucleotide")</f>
        <v>NCBI Nucleotide</v>
      </c>
    </row>
    <row r="11458" spans="1:27" x14ac:dyDescent="0.35">
      <c r="A11458">
        <v>1010252</v>
      </c>
      <c r="B11458">
        <v>10783</v>
      </c>
      <c r="C11458">
        <v>1</v>
      </c>
      <c r="D11458" s="17" t="s">
        <v>17166</v>
      </c>
      <c r="E11458" s="17"/>
      <c r="F11458" s="17" t="s">
        <v>17246</v>
      </c>
      <c r="G11458" s="17"/>
      <c r="H11458" s="17" t="s">
        <v>20919</v>
      </c>
      <c r="I11458" s="17"/>
      <c r="J11458" s="17" t="s">
        <v>23304</v>
      </c>
      <c r="K11458" s="17"/>
      <c r="L11458" s="17" t="s">
        <v>23305</v>
      </c>
      <c r="M11458" s="17"/>
      <c r="N11458" s="17" t="s">
        <v>23306</v>
      </c>
      <c r="O11458" s="17"/>
      <c r="P11458" s="17" t="s">
        <v>23355</v>
      </c>
      <c r="Q11458" s="17"/>
      <c r="R11458" s="25" t="str">
        <f>HYPERLINK("https://ictv.global/taxonomy/taxondetails?taxnode_id=202312561","Betascleroulivirus epsilonplasmoparae")</f>
        <v>Betascleroulivirus epsilonplasmoparae</v>
      </c>
      <c r="S11458" s="18" t="s">
        <v>30</v>
      </c>
      <c r="T11458" s="18" t="s">
        <v>23372</v>
      </c>
      <c r="U11458" s="18" t="s">
        <v>23373</v>
      </c>
      <c r="V11458" s="18" t="s">
        <v>23374</v>
      </c>
      <c r="W11458" s="18" t="s">
        <v>23375</v>
      </c>
      <c r="X11458" s="18" t="s">
        <v>35</v>
      </c>
      <c r="Y11458" s="18" t="s">
        <v>17171</v>
      </c>
      <c r="Z11458" s="18" t="s">
        <v>41209</v>
      </c>
      <c r="AA11458" s="21" t="str">
        <f>HYPERLINK("https://www.ncbi.nlm.nih.gov/nuccore/MN532626","NCBI Nucleotide")</f>
        <v>NCBI Nucleotide</v>
      </c>
    </row>
    <row r="11459" spans="1:27" x14ac:dyDescent="0.35">
      <c r="A11459">
        <v>1010253</v>
      </c>
      <c r="B11459">
        <v>10784</v>
      </c>
      <c r="C11459">
        <v>1</v>
      </c>
      <c r="D11459" s="17" t="s">
        <v>17166</v>
      </c>
      <c r="E11459" s="17"/>
      <c r="F11459" s="17" t="s">
        <v>17246</v>
      </c>
      <c r="G11459" s="17"/>
      <c r="H11459" s="17" t="s">
        <v>20919</v>
      </c>
      <c r="I11459" s="17"/>
      <c r="J11459" s="17" t="s">
        <v>23304</v>
      </c>
      <c r="K11459" s="17"/>
      <c r="L11459" s="17" t="s">
        <v>23305</v>
      </c>
      <c r="M11459" s="17"/>
      <c r="N11459" s="17" t="s">
        <v>23306</v>
      </c>
      <c r="O11459" s="17"/>
      <c r="P11459" s="17" t="s">
        <v>23355</v>
      </c>
      <c r="Q11459" s="17"/>
      <c r="R11459" s="25" t="str">
        <f>HYPERLINK("https://ictv.global/taxonomy/taxondetails?taxnode_id=202312563","Betascleroulivirus etaplasmoparae")</f>
        <v>Betascleroulivirus etaplasmoparae</v>
      </c>
      <c r="S11459" s="18" t="s">
        <v>30</v>
      </c>
      <c r="T11459" s="18" t="s">
        <v>23376</v>
      </c>
      <c r="U11459" s="18" t="s">
        <v>23377</v>
      </c>
      <c r="V11459" s="18" t="s">
        <v>23378</v>
      </c>
      <c r="W11459" s="18" t="s">
        <v>23379</v>
      </c>
      <c r="X11459" s="18" t="s">
        <v>35</v>
      </c>
      <c r="Y11459" s="18" t="s">
        <v>17171</v>
      </c>
      <c r="Z11459" s="18" t="s">
        <v>41209</v>
      </c>
      <c r="AA11459" s="21" t="str">
        <f>HYPERLINK("https://www.ncbi.nlm.nih.gov/nuccore/MN532628","NCBI Nucleotide")</f>
        <v>NCBI Nucleotide</v>
      </c>
    </row>
    <row r="11460" spans="1:27" x14ac:dyDescent="0.35">
      <c r="A11460">
        <v>1010254</v>
      </c>
      <c r="B11460">
        <v>10785</v>
      </c>
      <c r="C11460">
        <v>1</v>
      </c>
      <c r="D11460" s="17" t="s">
        <v>17166</v>
      </c>
      <c r="E11460" s="17"/>
      <c r="F11460" s="17" t="s">
        <v>17246</v>
      </c>
      <c r="G11460" s="17"/>
      <c r="H11460" s="17" t="s">
        <v>20919</v>
      </c>
      <c r="I11460" s="17"/>
      <c r="J11460" s="17" t="s">
        <v>23304</v>
      </c>
      <c r="K11460" s="17"/>
      <c r="L11460" s="17" t="s">
        <v>23305</v>
      </c>
      <c r="M11460" s="17"/>
      <c r="N11460" s="17" t="s">
        <v>23306</v>
      </c>
      <c r="O11460" s="17"/>
      <c r="P11460" s="17" t="s">
        <v>23355</v>
      </c>
      <c r="Q11460" s="17"/>
      <c r="R11460" s="25" t="str">
        <f>HYPERLINK("https://ictv.global/taxonomy/taxondetails?taxnode_id=202312559","Betascleroulivirus gammaplasmoparae")</f>
        <v>Betascleroulivirus gammaplasmoparae</v>
      </c>
      <c r="S11460" s="18" t="s">
        <v>30</v>
      </c>
      <c r="T11460" s="18" t="s">
        <v>23380</v>
      </c>
      <c r="U11460" s="18" t="s">
        <v>23381</v>
      </c>
      <c r="V11460" s="18" t="s">
        <v>23382</v>
      </c>
      <c r="W11460" s="18" t="s">
        <v>23383</v>
      </c>
      <c r="X11460" s="18" t="s">
        <v>35</v>
      </c>
      <c r="Y11460" s="18" t="s">
        <v>17171</v>
      </c>
      <c r="Z11460" s="18" t="s">
        <v>41209</v>
      </c>
      <c r="AA11460" s="21" t="str">
        <f>HYPERLINK("https://www.ncbi.nlm.nih.gov/nuccore/MN532624","NCBI Nucleotide")</f>
        <v>NCBI Nucleotide</v>
      </c>
    </row>
    <row r="11461" spans="1:27" x14ac:dyDescent="0.35">
      <c r="A11461">
        <v>1010255</v>
      </c>
      <c r="B11461">
        <v>10786</v>
      </c>
      <c r="C11461">
        <v>1</v>
      </c>
      <c r="D11461" s="17" t="s">
        <v>17166</v>
      </c>
      <c r="E11461" s="17"/>
      <c r="F11461" s="17" t="s">
        <v>17246</v>
      </c>
      <c r="G11461" s="17"/>
      <c r="H11461" s="17" t="s">
        <v>20919</v>
      </c>
      <c r="I11461" s="17"/>
      <c r="J11461" s="17" t="s">
        <v>23304</v>
      </c>
      <c r="K11461" s="17"/>
      <c r="L11461" s="17" t="s">
        <v>23305</v>
      </c>
      <c r="M11461" s="17"/>
      <c r="N11461" s="17" t="s">
        <v>23306</v>
      </c>
      <c r="O11461" s="17"/>
      <c r="P11461" s="17" t="s">
        <v>23355</v>
      </c>
      <c r="Q11461" s="17"/>
      <c r="R11461" s="25" t="str">
        <f>HYPERLINK("https://ictv.global/taxonomy/taxondetails?taxnode_id=202312565","Betascleroulivirus iotaplasmoparae")</f>
        <v>Betascleroulivirus iotaplasmoparae</v>
      </c>
      <c r="S11461" s="18" t="s">
        <v>30</v>
      </c>
      <c r="T11461" s="18" t="s">
        <v>23384</v>
      </c>
      <c r="U11461" s="18" t="s">
        <v>23385</v>
      </c>
      <c r="V11461" s="18" t="s">
        <v>23386</v>
      </c>
      <c r="W11461" s="18" t="s">
        <v>23387</v>
      </c>
      <c r="X11461" s="18" t="s">
        <v>35</v>
      </c>
      <c r="Y11461" s="18" t="s">
        <v>17171</v>
      </c>
      <c r="Z11461" s="18" t="s">
        <v>41209</v>
      </c>
      <c r="AA11461" s="21" t="str">
        <f>HYPERLINK("https://www.ncbi.nlm.nih.gov/nuccore/MN532630","NCBI Nucleotide")</f>
        <v>NCBI Nucleotide</v>
      </c>
    </row>
    <row r="11462" spans="1:27" x14ac:dyDescent="0.35">
      <c r="A11462">
        <v>1010256</v>
      </c>
      <c r="B11462">
        <v>10787</v>
      </c>
      <c r="C11462">
        <v>1</v>
      </c>
      <c r="D11462" s="17" t="s">
        <v>17166</v>
      </c>
      <c r="E11462" s="17"/>
      <c r="F11462" s="17" t="s">
        <v>17246</v>
      </c>
      <c r="G11462" s="17"/>
      <c r="H11462" s="17" t="s">
        <v>20919</v>
      </c>
      <c r="I11462" s="17"/>
      <c r="J11462" s="17" t="s">
        <v>23304</v>
      </c>
      <c r="K11462" s="17"/>
      <c r="L11462" s="17" t="s">
        <v>23305</v>
      </c>
      <c r="M11462" s="17"/>
      <c r="N11462" s="17" t="s">
        <v>23306</v>
      </c>
      <c r="O11462" s="17"/>
      <c r="P11462" s="17" t="s">
        <v>23355</v>
      </c>
      <c r="Q11462" s="17"/>
      <c r="R11462" s="25" t="str">
        <f>HYPERLINK("https://ictv.global/taxonomy/taxondetails?taxnode_id=202312566","Betascleroulivirus kappaplasmoparae")</f>
        <v>Betascleroulivirus kappaplasmoparae</v>
      </c>
      <c r="S11462" s="18" t="s">
        <v>30</v>
      </c>
      <c r="T11462" s="18" t="s">
        <v>23388</v>
      </c>
      <c r="U11462" s="18" t="s">
        <v>23389</v>
      </c>
      <c r="V11462" s="18" t="s">
        <v>23390</v>
      </c>
      <c r="W11462" s="18" t="s">
        <v>23391</v>
      </c>
      <c r="X11462" s="18" t="s">
        <v>35</v>
      </c>
      <c r="Y11462" s="18" t="s">
        <v>17171</v>
      </c>
      <c r="Z11462" s="18" t="s">
        <v>41209</v>
      </c>
      <c r="AA11462" s="21" t="str">
        <f>HYPERLINK("https://www.ncbi.nlm.nih.gov/nuccore/MN532635","NCBI Nucleotide")</f>
        <v>NCBI Nucleotide</v>
      </c>
    </row>
    <row r="11463" spans="1:27" x14ac:dyDescent="0.35">
      <c r="A11463">
        <v>1010257</v>
      </c>
      <c r="B11463">
        <v>10788</v>
      </c>
      <c r="C11463">
        <v>1</v>
      </c>
      <c r="D11463" s="17" t="s">
        <v>17166</v>
      </c>
      <c r="E11463" s="17"/>
      <c r="F11463" s="17" t="s">
        <v>17246</v>
      </c>
      <c r="G11463" s="17"/>
      <c r="H11463" s="17" t="s">
        <v>20919</v>
      </c>
      <c r="I11463" s="17"/>
      <c r="J11463" s="17" t="s">
        <v>23304</v>
      </c>
      <c r="K11463" s="17"/>
      <c r="L11463" s="17" t="s">
        <v>23305</v>
      </c>
      <c r="M11463" s="17"/>
      <c r="N11463" s="17" t="s">
        <v>23306</v>
      </c>
      <c r="O11463" s="17"/>
      <c r="P11463" s="17" t="s">
        <v>23355</v>
      </c>
      <c r="Q11463" s="17"/>
      <c r="R11463" s="25" t="str">
        <f>HYPERLINK("https://ictv.global/taxonomy/taxondetails?taxnode_id=202312567","Betascleroulivirus lambdaplasmoparae")</f>
        <v>Betascleroulivirus lambdaplasmoparae</v>
      </c>
      <c r="S11463" s="18" t="s">
        <v>30</v>
      </c>
      <c r="T11463" s="18" t="s">
        <v>23392</v>
      </c>
      <c r="U11463" s="18" t="s">
        <v>23393</v>
      </c>
      <c r="V11463" s="18" t="s">
        <v>23394</v>
      </c>
      <c r="W11463" s="18" t="s">
        <v>23395</v>
      </c>
      <c r="X11463" s="18" t="s">
        <v>35</v>
      </c>
      <c r="Y11463" s="18" t="s">
        <v>17171</v>
      </c>
      <c r="Z11463" s="18" t="s">
        <v>41209</v>
      </c>
      <c r="AA11463" s="21" t="str">
        <f>HYPERLINK("https://www.ncbi.nlm.nih.gov/nuccore/MN532638","NCBI Nucleotide")</f>
        <v>NCBI Nucleotide</v>
      </c>
    </row>
    <row r="11464" spans="1:27" x14ac:dyDescent="0.35">
      <c r="A11464">
        <v>1010258</v>
      </c>
      <c r="B11464">
        <v>10789</v>
      </c>
      <c r="C11464">
        <v>1</v>
      </c>
      <c r="D11464" s="17" t="s">
        <v>17166</v>
      </c>
      <c r="E11464" s="17"/>
      <c r="F11464" s="17" t="s">
        <v>17246</v>
      </c>
      <c r="G11464" s="17"/>
      <c r="H11464" s="17" t="s">
        <v>20919</v>
      </c>
      <c r="I11464" s="17"/>
      <c r="J11464" s="17" t="s">
        <v>23304</v>
      </c>
      <c r="K11464" s="17"/>
      <c r="L11464" s="17" t="s">
        <v>23305</v>
      </c>
      <c r="M11464" s="17"/>
      <c r="N11464" s="17" t="s">
        <v>23306</v>
      </c>
      <c r="O11464" s="17"/>
      <c r="P11464" s="17" t="s">
        <v>23355</v>
      </c>
      <c r="Q11464" s="17"/>
      <c r="R11464" s="25" t="str">
        <f>HYPERLINK("https://ictv.global/taxonomy/taxondetails?taxnode_id=202312568","Betascleroulivirus miplasmoparae")</f>
        <v>Betascleroulivirus miplasmoparae</v>
      </c>
      <c r="S11464" s="18" t="s">
        <v>30</v>
      </c>
      <c r="T11464" s="18" t="s">
        <v>23396</v>
      </c>
      <c r="U11464" s="18" t="s">
        <v>23397</v>
      </c>
      <c r="V11464" s="18" t="s">
        <v>23398</v>
      </c>
      <c r="W11464" s="18" t="s">
        <v>23399</v>
      </c>
      <c r="X11464" s="18" t="s">
        <v>35</v>
      </c>
      <c r="Y11464" s="18" t="s">
        <v>17171</v>
      </c>
      <c r="Z11464" s="18" t="s">
        <v>41209</v>
      </c>
      <c r="AA11464" s="21" t="str">
        <f>HYPERLINK("https://www.ncbi.nlm.nih.gov/nuccore/MN532654","NCBI Nucleotide")</f>
        <v>NCBI Nucleotide</v>
      </c>
    </row>
    <row r="11465" spans="1:27" x14ac:dyDescent="0.35">
      <c r="A11465">
        <v>1010259</v>
      </c>
      <c r="B11465">
        <v>10790</v>
      </c>
      <c r="C11465">
        <v>1</v>
      </c>
      <c r="D11465" s="17" t="s">
        <v>17166</v>
      </c>
      <c r="E11465" s="17"/>
      <c r="F11465" s="17" t="s">
        <v>17246</v>
      </c>
      <c r="G11465" s="17"/>
      <c r="H11465" s="17" t="s">
        <v>20919</v>
      </c>
      <c r="I11465" s="17"/>
      <c r="J11465" s="17" t="s">
        <v>23304</v>
      </c>
      <c r="K11465" s="17"/>
      <c r="L11465" s="17" t="s">
        <v>23305</v>
      </c>
      <c r="M11465" s="17"/>
      <c r="N11465" s="17" t="s">
        <v>23306</v>
      </c>
      <c r="O11465" s="17"/>
      <c r="P11465" s="17" t="s">
        <v>23355</v>
      </c>
      <c r="Q11465" s="17"/>
      <c r="R11465" s="25" t="str">
        <f>HYPERLINK("https://ictv.global/taxonomy/taxondetails?taxnode_id=202308731","Betascleroulivirus pyriculariae")</f>
        <v>Betascleroulivirus pyriculariae</v>
      </c>
      <c r="S11465" s="18" t="s">
        <v>30</v>
      </c>
      <c r="T11465" s="18" t="s">
        <v>23400</v>
      </c>
      <c r="U11465" s="18" t="s">
        <v>23401</v>
      </c>
      <c r="V11465" s="18" t="s">
        <v>23402</v>
      </c>
      <c r="W11465" s="18" t="s">
        <v>23403</v>
      </c>
      <c r="X11465" s="18" t="s">
        <v>42</v>
      </c>
      <c r="Y11465" s="18" t="s">
        <v>17171</v>
      </c>
      <c r="Z11465" s="18" t="s">
        <v>16721</v>
      </c>
      <c r="AA11465" s="21" t="str">
        <f>HYPERLINK("https://www.ncbi.nlm.nih.gov/nuccore/LC413502","NCBI Nucleotide")</f>
        <v>NCBI Nucleotide</v>
      </c>
    </row>
    <row r="11466" spans="1:27" x14ac:dyDescent="0.35">
      <c r="A11466">
        <v>1010260</v>
      </c>
      <c r="B11466">
        <v>10791</v>
      </c>
      <c r="C11466">
        <v>1</v>
      </c>
      <c r="D11466" s="17" t="s">
        <v>17166</v>
      </c>
      <c r="E11466" s="17"/>
      <c r="F11466" s="17" t="s">
        <v>17246</v>
      </c>
      <c r="G11466" s="17"/>
      <c r="H11466" s="17" t="s">
        <v>20919</v>
      </c>
      <c r="I11466" s="17"/>
      <c r="J11466" s="17" t="s">
        <v>23304</v>
      </c>
      <c r="K11466" s="17"/>
      <c r="L11466" s="17" t="s">
        <v>23305</v>
      </c>
      <c r="M11466" s="17"/>
      <c r="N11466" s="17" t="s">
        <v>23306</v>
      </c>
      <c r="O11466" s="17"/>
      <c r="P11466" s="17" t="s">
        <v>23355</v>
      </c>
      <c r="Q11466" s="17"/>
      <c r="R11466" s="25" t="str">
        <f>HYPERLINK("https://ictv.global/taxonomy/taxondetails?taxnode_id=202312564","Betascleroulivirus thetaplasmoparae")</f>
        <v>Betascleroulivirus thetaplasmoparae</v>
      </c>
      <c r="S11466" s="18" t="s">
        <v>30</v>
      </c>
      <c r="T11466" s="18" t="s">
        <v>23404</v>
      </c>
      <c r="U11466" s="18" t="s">
        <v>23405</v>
      </c>
      <c r="V11466" s="18" t="s">
        <v>23406</v>
      </c>
      <c r="W11466" s="18" t="s">
        <v>23407</v>
      </c>
      <c r="X11466" s="18" t="s">
        <v>35</v>
      </c>
      <c r="Y11466" s="18" t="s">
        <v>17171</v>
      </c>
      <c r="Z11466" s="18" t="s">
        <v>41209</v>
      </c>
      <c r="AA11466" s="21" t="str">
        <f>HYPERLINK("https://www.ncbi.nlm.nih.gov/nuccore/MN532629","NCBI Nucleotide")</f>
        <v>NCBI Nucleotide</v>
      </c>
    </row>
    <row r="11467" spans="1:27" x14ac:dyDescent="0.35">
      <c r="A11467">
        <v>1010261</v>
      </c>
      <c r="B11467">
        <v>10792</v>
      </c>
      <c r="C11467">
        <v>1</v>
      </c>
      <c r="D11467" s="17" t="s">
        <v>17166</v>
      </c>
      <c r="E11467" s="17"/>
      <c r="F11467" s="17" t="s">
        <v>17246</v>
      </c>
      <c r="G11467" s="17"/>
      <c r="H11467" s="17" t="s">
        <v>20919</v>
      </c>
      <c r="I11467" s="17"/>
      <c r="J11467" s="17" t="s">
        <v>23304</v>
      </c>
      <c r="K11467" s="17"/>
      <c r="L11467" s="17" t="s">
        <v>23305</v>
      </c>
      <c r="M11467" s="17"/>
      <c r="N11467" s="17" t="s">
        <v>23306</v>
      </c>
      <c r="O11467" s="17"/>
      <c r="P11467" s="17" t="s">
        <v>23355</v>
      </c>
      <c r="Q11467" s="17"/>
      <c r="R11467" s="25" t="str">
        <f>HYPERLINK("https://ictv.global/taxonomy/taxondetails?taxnode_id=202312562","Betascleroulivirus zetaplasmoparae")</f>
        <v>Betascleroulivirus zetaplasmoparae</v>
      </c>
      <c r="S11467" s="18" t="s">
        <v>30</v>
      </c>
      <c r="T11467" s="18" t="s">
        <v>23408</v>
      </c>
      <c r="U11467" s="18" t="s">
        <v>23409</v>
      </c>
      <c r="V11467" s="18" t="s">
        <v>23410</v>
      </c>
      <c r="W11467" s="18" t="s">
        <v>23411</v>
      </c>
      <c r="X11467" s="18" t="s">
        <v>35</v>
      </c>
      <c r="Y11467" s="18" t="s">
        <v>17171</v>
      </c>
      <c r="Z11467" s="18" t="s">
        <v>41209</v>
      </c>
      <c r="AA11467" s="21" t="str">
        <f>HYPERLINK("https://www.ncbi.nlm.nih.gov/nuccore/MN532627","NCBI Nucleotide")</f>
        <v>NCBI Nucleotide</v>
      </c>
    </row>
    <row r="11468" spans="1:27" x14ac:dyDescent="0.35">
      <c r="A11468">
        <v>1010262</v>
      </c>
      <c r="B11468">
        <v>10793</v>
      </c>
      <c r="C11468">
        <v>1</v>
      </c>
      <c r="D11468" s="17" t="s">
        <v>17166</v>
      </c>
      <c r="E11468" s="17"/>
      <c r="F11468" s="17" t="s">
        <v>17246</v>
      </c>
      <c r="G11468" s="17"/>
      <c r="H11468" s="17" t="s">
        <v>20919</v>
      </c>
      <c r="I11468" s="17"/>
      <c r="J11468" s="17" t="s">
        <v>23304</v>
      </c>
      <c r="K11468" s="17"/>
      <c r="L11468" s="17" t="s">
        <v>23305</v>
      </c>
      <c r="M11468" s="17"/>
      <c r="N11468" s="17" t="s">
        <v>23306</v>
      </c>
      <c r="O11468" s="17"/>
      <c r="P11468" s="17" t="s">
        <v>23412</v>
      </c>
      <c r="Q11468" s="17"/>
      <c r="R11468" s="25" t="str">
        <f>HYPERLINK("https://ictv.global/taxonomy/taxondetails?taxnode_id=202312540","Botoulivirus alphabotrytidis")</f>
        <v>Botoulivirus alphabotrytidis</v>
      </c>
      <c r="S11468" s="18" t="s">
        <v>30</v>
      </c>
      <c r="T11468" s="18" t="s">
        <v>23413</v>
      </c>
      <c r="U11468" s="18" t="s">
        <v>23414</v>
      </c>
      <c r="V11468" s="18" t="s">
        <v>23415</v>
      </c>
      <c r="W11468" s="18" t="s">
        <v>23416</v>
      </c>
      <c r="X11468" s="18" t="s">
        <v>35</v>
      </c>
      <c r="Y11468" s="18" t="s">
        <v>17171</v>
      </c>
      <c r="Z11468" s="18" t="s">
        <v>16721</v>
      </c>
      <c r="AA11468" s="21" t="str">
        <f>HYPERLINK("https://www.ncbi.nlm.nih.gov/nuccore/MN605470","NCBI Nucleotide")</f>
        <v>NCBI Nucleotide</v>
      </c>
    </row>
    <row r="11469" spans="1:27" x14ac:dyDescent="0.35">
      <c r="A11469">
        <v>1010263</v>
      </c>
      <c r="B11469">
        <v>10794</v>
      </c>
      <c r="C11469">
        <v>1</v>
      </c>
      <c r="D11469" s="17" t="s">
        <v>17166</v>
      </c>
      <c r="E11469" s="17"/>
      <c r="F11469" s="17" t="s">
        <v>17246</v>
      </c>
      <c r="G11469" s="17"/>
      <c r="H11469" s="17" t="s">
        <v>20919</v>
      </c>
      <c r="I11469" s="17"/>
      <c r="J11469" s="17" t="s">
        <v>23304</v>
      </c>
      <c r="K11469" s="17"/>
      <c r="L11469" s="17" t="s">
        <v>23305</v>
      </c>
      <c r="M11469" s="17"/>
      <c r="N11469" s="17" t="s">
        <v>23306</v>
      </c>
      <c r="O11469" s="17"/>
      <c r="P11469" s="17" t="s">
        <v>23412</v>
      </c>
      <c r="Q11469" s="17"/>
      <c r="R11469" s="25" t="str">
        <f>HYPERLINK("https://ictv.global/taxonomy/taxondetails?taxnode_id=202315007","Botoulivirus alphapestalotiopsis")</f>
        <v>Botoulivirus alphapestalotiopsis</v>
      </c>
      <c r="S11469" s="18" t="s">
        <v>30</v>
      </c>
      <c r="T11469" s="18" t="s">
        <v>23417</v>
      </c>
      <c r="U11469" s="18" t="s">
        <v>23418</v>
      </c>
      <c r="V11469" s="18"/>
      <c r="W11469" s="18" t="s">
        <v>23419</v>
      </c>
      <c r="X11469" s="18" t="s">
        <v>35</v>
      </c>
      <c r="Y11469" s="18" t="s">
        <v>17171</v>
      </c>
      <c r="Z11469" s="18" t="s">
        <v>16721</v>
      </c>
      <c r="AA11469" s="21" t="str">
        <f>HYPERLINK("https://www.ncbi.nlm.nih.gov/nuccore/MW017457","NCBI Nucleotide")</f>
        <v>NCBI Nucleotide</v>
      </c>
    </row>
    <row r="11470" spans="1:27" x14ac:dyDescent="0.35">
      <c r="A11470">
        <v>1010264</v>
      </c>
      <c r="B11470">
        <v>10795</v>
      </c>
      <c r="C11470">
        <v>1</v>
      </c>
      <c r="D11470" s="17" t="s">
        <v>17166</v>
      </c>
      <c r="E11470" s="17"/>
      <c r="F11470" s="17" t="s">
        <v>17246</v>
      </c>
      <c r="G11470" s="17"/>
      <c r="H11470" s="17" t="s">
        <v>20919</v>
      </c>
      <c r="I11470" s="17"/>
      <c r="J11470" s="17" t="s">
        <v>23304</v>
      </c>
      <c r="K11470" s="17"/>
      <c r="L11470" s="17" t="s">
        <v>23305</v>
      </c>
      <c r="M11470" s="17"/>
      <c r="N11470" s="17" t="s">
        <v>23306</v>
      </c>
      <c r="O11470" s="17"/>
      <c r="P11470" s="17" t="s">
        <v>23412</v>
      </c>
      <c r="Q11470" s="17"/>
      <c r="R11470" s="25" t="str">
        <f>HYPERLINK("https://ictv.global/taxonomy/taxondetails?taxnode_id=202312548","Botoulivirus alphaplasmoparae")</f>
        <v>Botoulivirus alphaplasmoparae</v>
      </c>
      <c r="S11470" s="18" t="s">
        <v>30</v>
      </c>
      <c r="T11470" s="18" t="s">
        <v>23420</v>
      </c>
      <c r="U11470" s="18" t="s">
        <v>23421</v>
      </c>
      <c r="V11470" s="18" t="s">
        <v>23422</v>
      </c>
      <c r="W11470" s="18" t="s">
        <v>23423</v>
      </c>
      <c r="X11470" s="18" t="s">
        <v>35</v>
      </c>
      <c r="Y11470" s="18" t="s">
        <v>17171</v>
      </c>
      <c r="Z11470" s="18" t="s">
        <v>41209</v>
      </c>
      <c r="AA11470" s="21" t="str">
        <f>HYPERLINK("https://www.ncbi.nlm.nih.gov/nuccore/MN532590","NCBI Nucleotide")</f>
        <v>NCBI Nucleotide</v>
      </c>
    </row>
    <row r="11471" spans="1:27" x14ac:dyDescent="0.35">
      <c r="A11471">
        <v>1010265</v>
      </c>
      <c r="B11471">
        <v>10796</v>
      </c>
      <c r="C11471">
        <v>1</v>
      </c>
      <c r="D11471" s="17" t="s">
        <v>17166</v>
      </c>
      <c r="E11471" s="17"/>
      <c r="F11471" s="17" t="s">
        <v>17246</v>
      </c>
      <c r="G11471" s="17"/>
      <c r="H11471" s="17" t="s">
        <v>20919</v>
      </c>
      <c r="I11471" s="17"/>
      <c r="J11471" s="17" t="s">
        <v>23304</v>
      </c>
      <c r="K11471" s="17"/>
      <c r="L11471" s="17" t="s">
        <v>23305</v>
      </c>
      <c r="M11471" s="17"/>
      <c r="N11471" s="17" t="s">
        <v>23306</v>
      </c>
      <c r="O11471" s="17"/>
      <c r="P11471" s="17" t="s">
        <v>23412</v>
      </c>
      <c r="Q11471" s="17"/>
      <c r="R11471" s="25" t="str">
        <f>HYPERLINK("https://ictv.global/taxonomy/taxondetails?taxnode_id=202312541","Botoulivirus betabotrytidis")</f>
        <v>Botoulivirus betabotrytidis</v>
      </c>
      <c r="S11471" s="18" t="s">
        <v>30</v>
      </c>
      <c r="T11471" s="18" t="s">
        <v>23424</v>
      </c>
      <c r="U11471" s="18" t="s">
        <v>23425</v>
      </c>
      <c r="V11471" s="18" t="s">
        <v>23426</v>
      </c>
      <c r="W11471" s="18" t="s">
        <v>23427</v>
      </c>
      <c r="X11471" s="18" t="s">
        <v>35</v>
      </c>
      <c r="Y11471" s="18" t="s">
        <v>17171</v>
      </c>
      <c r="Z11471" s="18" t="s">
        <v>16721</v>
      </c>
      <c r="AA11471" s="21" t="str">
        <f>HYPERLINK("https://www.ncbi.nlm.nih.gov/nuccore/MN605477","NCBI Nucleotide")</f>
        <v>NCBI Nucleotide</v>
      </c>
    </row>
    <row r="11472" spans="1:27" x14ac:dyDescent="0.35">
      <c r="A11472">
        <v>1010266</v>
      </c>
      <c r="B11472">
        <v>10797</v>
      </c>
      <c r="C11472">
        <v>1</v>
      </c>
      <c r="D11472" s="17" t="s">
        <v>17166</v>
      </c>
      <c r="E11472" s="17"/>
      <c r="F11472" s="17" t="s">
        <v>17246</v>
      </c>
      <c r="G11472" s="17"/>
      <c r="H11472" s="17" t="s">
        <v>20919</v>
      </c>
      <c r="I11472" s="17"/>
      <c r="J11472" s="17" t="s">
        <v>23304</v>
      </c>
      <c r="K11472" s="17"/>
      <c r="L11472" s="17" t="s">
        <v>23305</v>
      </c>
      <c r="M11472" s="17"/>
      <c r="N11472" s="17" t="s">
        <v>23306</v>
      </c>
      <c r="O11472" s="17"/>
      <c r="P11472" s="17" t="s">
        <v>23412</v>
      </c>
      <c r="Q11472" s="17"/>
      <c r="R11472" s="25" t="str">
        <f>HYPERLINK("https://ictv.global/taxonomy/taxondetails?taxnode_id=202312549","Botoulivirus betaplasmoparae")</f>
        <v>Botoulivirus betaplasmoparae</v>
      </c>
      <c r="S11472" s="18" t="s">
        <v>30</v>
      </c>
      <c r="T11472" s="18" t="s">
        <v>23428</v>
      </c>
      <c r="U11472" s="18" t="s">
        <v>23429</v>
      </c>
      <c r="V11472" s="18" t="s">
        <v>23430</v>
      </c>
      <c r="W11472" s="18" t="s">
        <v>23431</v>
      </c>
      <c r="X11472" s="18" t="s">
        <v>35</v>
      </c>
      <c r="Y11472" s="18" t="s">
        <v>17171</v>
      </c>
      <c r="Z11472" s="18" t="s">
        <v>41209</v>
      </c>
      <c r="AA11472" s="21" t="str">
        <f>HYPERLINK("https://www.ncbi.nlm.nih.gov/nuccore/MN532643","NCBI Nucleotide")</f>
        <v>NCBI Nucleotide</v>
      </c>
    </row>
    <row r="11473" spans="1:27" x14ac:dyDescent="0.35">
      <c r="A11473">
        <v>1010267</v>
      </c>
      <c r="B11473">
        <v>10798</v>
      </c>
      <c r="C11473">
        <v>1</v>
      </c>
      <c r="D11473" s="17" t="s">
        <v>17166</v>
      </c>
      <c r="E11473" s="17"/>
      <c r="F11473" s="17" t="s">
        <v>17246</v>
      </c>
      <c r="G11473" s="17"/>
      <c r="H11473" s="17" t="s">
        <v>20919</v>
      </c>
      <c r="I11473" s="17"/>
      <c r="J11473" s="17" t="s">
        <v>23304</v>
      </c>
      <c r="K11473" s="17"/>
      <c r="L11473" s="17" t="s">
        <v>23305</v>
      </c>
      <c r="M11473" s="17"/>
      <c r="N11473" s="17" t="s">
        <v>23306</v>
      </c>
      <c r="O11473" s="17"/>
      <c r="P11473" s="17" t="s">
        <v>23412</v>
      </c>
      <c r="Q11473" s="17"/>
      <c r="R11473" s="25" t="str">
        <f>HYPERLINK("https://ictv.global/taxonomy/taxondetails?taxnode_id=202312543","Botoulivirus deltabotrytidis")</f>
        <v>Botoulivirus deltabotrytidis</v>
      </c>
      <c r="S11473" s="18" t="s">
        <v>30</v>
      </c>
      <c r="T11473" s="18" t="s">
        <v>23432</v>
      </c>
      <c r="U11473" s="18" t="s">
        <v>23433</v>
      </c>
      <c r="V11473" s="18" t="s">
        <v>23434</v>
      </c>
      <c r="W11473" s="18" t="s">
        <v>23435</v>
      </c>
      <c r="X11473" s="18" t="s">
        <v>35</v>
      </c>
      <c r="Y11473" s="18" t="s">
        <v>17171</v>
      </c>
      <c r="Z11473" s="18" t="s">
        <v>16721</v>
      </c>
      <c r="AA11473" s="21" t="str">
        <f>HYPERLINK("https://www.ncbi.nlm.nih.gov/nuccore/MN605479","NCBI Nucleotide")</f>
        <v>NCBI Nucleotide</v>
      </c>
    </row>
    <row r="11474" spans="1:27" x14ac:dyDescent="0.35">
      <c r="A11474">
        <v>1010268</v>
      </c>
      <c r="B11474">
        <v>10799</v>
      </c>
      <c r="C11474">
        <v>1</v>
      </c>
      <c r="D11474" s="17" t="s">
        <v>17166</v>
      </c>
      <c r="E11474" s="17"/>
      <c r="F11474" s="17" t="s">
        <v>17246</v>
      </c>
      <c r="G11474" s="17"/>
      <c r="H11474" s="17" t="s">
        <v>20919</v>
      </c>
      <c r="I11474" s="17"/>
      <c r="J11474" s="17" t="s">
        <v>23304</v>
      </c>
      <c r="K11474" s="17"/>
      <c r="L11474" s="17" t="s">
        <v>23305</v>
      </c>
      <c r="M11474" s="17"/>
      <c r="N11474" s="17" t="s">
        <v>23306</v>
      </c>
      <c r="O11474" s="17"/>
      <c r="P11474" s="17" t="s">
        <v>23412</v>
      </c>
      <c r="Q11474" s="17"/>
      <c r="R11474" s="25" t="str">
        <f>HYPERLINK("https://ictv.global/taxonomy/taxondetails?taxnode_id=202312551","Botoulivirus deltaplasmoparae")</f>
        <v>Botoulivirus deltaplasmoparae</v>
      </c>
      <c r="S11474" s="18" t="s">
        <v>30</v>
      </c>
      <c r="T11474" s="18" t="s">
        <v>23436</v>
      </c>
      <c r="U11474" s="18" t="s">
        <v>23437</v>
      </c>
      <c r="V11474" s="18" t="s">
        <v>23438</v>
      </c>
      <c r="W11474" s="18" t="s">
        <v>23439</v>
      </c>
      <c r="X11474" s="18" t="s">
        <v>35</v>
      </c>
      <c r="Y11474" s="18" t="s">
        <v>17171</v>
      </c>
      <c r="Z11474" s="18" t="s">
        <v>41209</v>
      </c>
      <c r="AA11474" s="21" t="str">
        <f>HYPERLINK("https://www.ncbi.nlm.nih.gov/nuccore/MN532645","NCBI Nucleotide")</f>
        <v>NCBI Nucleotide</v>
      </c>
    </row>
    <row r="11475" spans="1:27" x14ac:dyDescent="0.35">
      <c r="A11475">
        <v>1010269</v>
      </c>
      <c r="B11475">
        <v>10800</v>
      </c>
      <c r="C11475">
        <v>1</v>
      </c>
      <c r="D11475" s="17" t="s">
        <v>17166</v>
      </c>
      <c r="E11475" s="17"/>
      <c r="F11475" s="17" t="s">
        <v>17246</v>
      </c>
      <c r="G11475" s="17"/>
      <c r="H11475" s="17" t="s">
        <v>20919</v>
      </c>
      <c r="I11475" s="17"/>
      <c r="J11475" s="17" t="s">
        <v>23304</v>
      </c>
      <c r="K11475" s="17"/>
      <c r="L11475" s="17" t="s">
        <v>23305</v>
      </c>
      <c r="M11475" s="17"/>
      <c r="N11475" s="17" t="s">
        <v>23306</v>
      </c>
      <c r="O11475" s="17"/>
      <c r="P11475" s="17" t="s">
        <v>23412</v>
      </c>
      <c r="Q11475" s="17"/>
      <c r="R11475" s="25" t="str">
        <f>HYPERLINK("https://ictv.global/taxonomy/taxondetails?taxnode_id=202312544","Botoulivirus epsilonbotrytidis")</f>
        <v>Botoulivirus epsilonbotrytidis</v>
      </c>
      <c r="S11475" s="18" t="s">
        <v>30</v>
      </c>
      <c r="T11475" s="18" t="s">
        <v>23440</v>
      </c>
      <c r="U11475" s="18" t="s">
        <v>23441</v>
      </c>
      <c r="V11475" s="18" t="s">
        <v>23442</v>
      </c>
      <c r="W11475" s="18" t="s">
        <v>23443</v>
      </c>
      <c r="X11475" s="18" t="s">
        <v>35</v>
      </c>
      <c r="Y11475" s="18" t="s">
        <v>17171</v>
      </c>
      <c r="Z11475" s="18" t="s">
        <v>16721</v>
      </c>
      <c r="AA11475" s="21" t="str">
        <f>HYPERLINK("https://www.ncbi.nlm.nih.gov/nuccore/MN605480","NCBI Nucleotide")</f>
        <v>NCBI Nucleotide</v>
      </c>
    </row>
    <row r="11476" spans="1:27" x14ac:dyDescent="0.35">
      <c r="A11476">
        <v>1010270</v>
      </c>
      <c r="B11476">
        <v>10801</v>
      </c>
      <c r="C11476">
        <v>1</v>
      </c>
      <c r="D11476" s="17" t="s">
        <v>17166</v>
      </c>
      <c r="E11476" s="17"/>
      <c r="F11476" s="17" t="s">
        <v>17246</v>
      </c>
      <c r="G11476" s="17"/>
      <c r="H11476" s="17" t="s">
        <v>20919</v>
      </c>
      <c r="I11476" s="17"/>
      <c r="J11476" s="17" t="s">
        <v>23304</v>
      </c>
      <c r="K11476" s="17"/>
      <c r="L11476" s="17" t="s">
        <v>23305</v>
      </c>
      <c r="M11476" s="17"/>
      <c r="N11476" s="17" t="s">
        <v>23306</v>
      </c>
      <c r="O11476" s="17"/>
      <c r="P11476" s="17" t="s">
        <v>23412</v>
      </c>
      <c r="Q11476" s="17"/>
      <c r="R11476" s="25" t="str">
        <f>HYPERLINK("https://ictv.global/taxonomy/taxondetails?taxnode_id=202312552","Botoulivirus epsilonplasmoparae")</f>
        <v>Botoulivirus epsilonplasmoparae</v>
      </c>
      <c r="S11476" s="18" t="s">
        <v>30</v>
      </c>
      <c r="T11476" s="18" t="s">
        <v>23444</v>
      </c>
      <c r="U11476" s="18" t="s">
        <v>23445</v>
      </c>
      <c r="V11476" s="18" t="s">
        <v>23446</v>
      </c>
      <c r="W11476" s="18" t="s">
        <v>23447</v>
      </c>
      <c r="X11476" s="18" t="s">
        <v>35</v>
      </c>
      <c r="Y11476" s="18" t="s">
        <v>17171</v>
      </c>
      <c r="Z11476" s="18" t="s">
        <v>41209</v>
      </c>
      <c r="AA11476" s="21" t="str">
        <f>HYPERLINK("https://www.ncbi.nlm.nih.gov/nuccore/MN532646","NCBI Nucleotide")</f>
        <v>NCBI Nucleotide</v>
      </c>
    </row>
    <row r="11477" spans="1:27" x14ac:dyDescent="0.35">
      <c r="A11477">
        <v>1010271</v>
      </c>
      <c r="B11477">
        <v>10802</v>
      </c>
      <c r="C11477">
        <v>1</v>
      </c>
      <c r="D11477" s="17" t="s">
        <v>17166</v>
      </c>
      <c r="E11477" s="17"/>
      <c r="F11477" s="17" t="s">
        <v>17246</v>
      </c>
      <c r="G11477" s="17"/>
      <c r="H11477" s="17" t="s">
        <v>20919</v>
      </c>
      <c r="I11477" s="17"/>
      <c r="J11477" s="17" t="s">
        <v>23304</v>
      </c>
      <c r="K11477" s="17"/>
      <c r="L11477" s="17" t="s">
        <v>23305</v>
      </c>
      <c r="M11477" s="17"/>
      <c r="N11477" s="17" t="s">
        <v>23306</v>
      </c>
      <c r="O11477" s="17"/>
      <c r="P11477" s="17" t="s">
        <v>23412</v>
      </c>
      <c r="Q11477" s="17"/>
      <c r="R11477" s="25" t="str">
        <f>HYPERLINK("https://ictv.global/taxonomy/taxondetails?taxnode_id=202312546","Botoulivirus etabotrytidis")</f>
        <v>Botoulivirus etabotrytidis</v>
      </c>
      <c r="S11477" s="18" t="s">
        <v>30</v>
      </c>
      <c r="T11477" s="18" t="s">
        <v>23448</v>
      </c>
      <c r="U11477" s="18" t="s">
        <v>23449</v>
      </c>
      <c r="V11477" s="18" t="s">
        <v>23450</v>
      </c>
      <c r="W11477" s="18" t="s">
        <v>23451</v>
      </c>
      <c r="X11477" s="18" t="s">
        <v>35</v>
      </c>
      <c r="Y11477" s="18" t="s">
        <v>17171</v>
      </c>
      <c r="Z11477" s="18" t="s">
        <v>16721</v>
      </c>
      <c r="AA11477" s="21" t="str">
        <f>HYPERLINK("https://www.ncbi.nlm.nih.gov/nuccore/MN605482","NCBI Nucleotide")</f>
        <v>NCBI Nucleotide</v>
      </c>
    </row>
    <row r="11478" spans="1:27" x14ac:dyDescent="0.35">
      <c r="A11478">
        <v>1010272</v>
      </c>
      <c r="B11478">
        <v>10803</v>
      </c>
      <c r="C11478">
        <v>1</v>
      </c>
      <c r="D11478" s="17" t="s">
        <v>17166</v>
      </c>
      <c r="E11478" s="17"/>
      <c r="F11478" s="17" t="s">
        <v>17246</v>
      </c>
      <c r="G11478" s="17"/>
      <c r="H11478" s="17" t="s">
        <v>20919</v>
      </c>
      <c r="I11478" s="17"/>
      <c r="J11478" s="17" t="s">
        <v>23304</v>
      </c>
      <c r="K11478" s="17"/>
      <c r="L11478" s="17" t="s">
        <v>23305</v>
      </c>
      <c r="M11478" s="17"/>
      <c r="N11478" s="17" t="s">
        <v>23306</v>
      </c>
      <c r="O11478" s="17"/>
      <c r="P11478" s="17" t="s">
        <v>23412</v>
      </c>
      <c r="Q11478" s="17"/>
      <c r="R11478" s="25" t="str">
        <f>HYPERLINK("https://ictv.global/taxonomy/taxondetails?taxnode_id=202312554","Botoulivirus etaplasmoparae")</f>
        <v>Botoulivirus etaplasmoparae</v>
      </c>
      <c r="S11478" s="18" t="s">
        <v>30</v>
      </c>
      <c r="T11478" s="18" t="s">
        <v>23452</v>
      </c>
      <c r="U11478" s="18" t="s">
        <v>23453</v>
      </c>
      <c r="V11478" s="18" t="s">
        <v>23454</v>
      </c>
      <c r="W11478" s="18" t="s">
        <v>23455</v>
      </c>
      <c r="X11478" s="18" t="s">
        <v>35</v>
      </c>
      <c r="Y11478" s="18" t="s">
        <v>17171</v>
      </c>
      <c r="Z11478" s="18" t="s">
        <v>41209</v>
      </c>
      <c r="AA11478" s="21" t="str">
        <f>HYPERLINK("https://www.ncbi.nlm.nih.gov/nuccore/MN532668","NCBI Nucleotide")</f>
        <v>NCBI Nucleotide</v>
      </c>
    </row>
    <row r="11479" spans="1:27" x14ac:dyDescent="0.35">
      <c r="A11479">
        <v>1010273</v>
      </c>
      <c r="B11479">
        <v>10804</v>
      </c>
      <c r="C11479">
        <v>1</v>
      </c>
      <c r="D11479" s="17" t="s">
        <v>17166</v>
      </c>
      <c r="E11479" s="17"/>
      <c r="F11479" s="17" t="s">
        <v>17246</v>
      </c>
      <c r="G11479" s="17"/>
      <c r="H11479" s="17" t="s">
        <v>20919</v>
      </c>
      <c r="I11479" s="17"/>
      <c r="J11479" s="17" t="s">
        <v>23304</v>
      </c>
      <c r="K11479" s="17"/>
      <c r="L11479" s="17" t="s">
        <v>23305</v>
      </c>
      <c r="M11479" s="17"/>
      <c r="N11479" s="17" t="s">
        <v>23306</v>
      </c>
      <c r="O11479" s="17"/>
      <c r="P11479" s="17" t="s">
        <v>23412</v>
      </c>
      <c r="Q11479" s="17"/>
      <c r="R11479" s="25" t="str">
        <f>HYPERLINK("https://ictv.global/taxonomy/taxondetails?taxnode_id=202312542","Botoulivirus gammabotrytidis")</f>
        <v>Botoulivirus gammabotrytidis</v>
      </c>
      <c r="S11479" s="18" t="s">
        <v>30</v>
      </c>
      <c r="T11479" s="18" t="s">
        <v>23456</v>
      </c>
      <c r="U11479" s="18" t="s">
        <v>23457</v>
      </c>
      <c r="V11479" s="18" t="s">
        <v>23458</v>
      </c>
      <c r="W11479" s="18" t="s">
        <v>23459</v>
      </c>
      <c r="X11479" s="18" t="s">
        <v>35</v>
      </c>
      <c r="Y11479" s="18" t="s">
        <v>17171</v>
      </c>
      <c r="Z11479" s="18" t="s">
        <v>16721</v>
      </c>
      <c r="AA11479" s="21" t="str">
        <f>HYPERLINK("https://www.ncbi.nlm.nih.gov/nuccore/MN605478","NCBI Nucleotide")</f>
        <v>NCBI Nucleotide</v>
      </c>
    </row>
    <row r="11480" spans="1:27" x14ac:dyDescent="0.35">
      <c r="A11480">
        <v>1012842</v>
      </c>
      <c r="B11480">
        <v>10804</v>
      </c>
      <c r="C11480">
        <v>2</v>
      </c>
      <c r="D11480" s="17" t="s">
        <v>17166</v>
      </c>
      <c r="E11480" s="17"/>
      <c r="F11480" s="17" t="s">
        <v>17246</v>
      </c>
      <c r="G11480" s="17"/>
      <c r="H11480" s="17" t="s">
        <v>20919</v>
      </c>
      <c r="I11480" s="17"/>
      <c r="J11480" s="17" t="s">
        <v>23304</v>
      </c>
      <c r="K11480" s="17"/>
      <c r="L11480" s="17" t="s">
        <v>23305</v>
      </c>
      <c r="M11480" s="17"/>
      <c r="N11480" s="17" t="s">
        <v>23306</v>
      </c>
      <c r="O11480" s="17"/>
      <c r="P11480" s="17" t="s">
        <v>23412</v>
      </c>
      <c r="Q11480" s="17"/>
      <c r="R11480" s="25" t="str">
        <f>HYPERLINK("https://ictv.global/taxonomy/taxondetails?taxnode_id=202312542","Botoulivirus gammabotrytidis")</f>
        <v>Botoulivirus gammabotrytidis</v>
      </c>
      <c r="S11480" s="18" t="s">
        <v>8141</v>
      </c>
      <c r="T11480" s="18" t="s">
        <v>23460</v>
      </c>
      <c r="U11480" s="18" t="s">
        <v>23461</v>
      </c>
      <c r="V11480" s="18" t="s">
        <v>23462</v>
      </c>
      <c r="W11480" s="18" t="s">
        <v>49398</v>
      </c>
      <c r="X11480" s="18" t="s">
        <v>35</v>
      </c>
      <c r="Y11480" s="18" t="s">
        <v>17171</v>
      </c>
      <c r="Z11480" s="18" t="s">
        <v>16721</v>
      </c>
      <c r="AA11480" s="21" t="str">
        <f>HYPERLINK("https://www.ncbi.nlm.nih.gov/nuccore/MN599068","NCBI Nucleotide")</f>
        <v>NCBI Nucleotide</v>
      </c>
    </row>
    <row r="11481" spans="1:27" x14ac:dyDescent="0.35">
      <c r="A11481">
        <v>1010274</v>
      </c>
      <c r="B11481">
        <v>10805</v>
      </c>
      <c r="C11481">
        <v>1</v>
      </c>
      <c r="D11481" s="17" t="s">
        <v>17166</v>
      </c>
      <c r="E11481" s="17"/>
      <c r="F11481" s="17" t="s">
        <v>17246</v>
      </c>
      <c r="G11481" s="17"/>
      <c r="H11481" s="17" t="s">
        <v>20919</v>
      </c>
      <c r="I11481" s="17"/>
      <c r="J11481" s="17" t="s">
        <v>23304</v>
      </c>
      <c r="K11481" s="17"/>
      <c r="L11481" s="17" t="s">
        <v>23305</v>
      </c>
      <c r="M11481" s="17"/>
      <c r="N11481" s="17" t="s">
        <v>23306</v>
      </c>
      <c r="O11481" s="17"/>
      <c r="P11481" s="17" t="s">
        <v>23412</v>
      </c>
      <c r="Q11481" s="17"/>
      <c r="R11481" s="25" t="str">
        <f>HYPERLINK("https://ictv.global/taxonomy/taxondetails?taxnode_id=202312550","Botoulivirus gammaplasmoparae")</f>
        <v>Botoulivirus gammaplasmoparae</v>
      </c>
      <c r="S11481" s="18" t="s">
        <v>30</v>
      </c>
      <c r="T11481" s="18" t="s">
        <v>23463</v>
      </c>
      <c r="U11481" s="18" t="s">
        <v>23464</v>
      </c>
      <c r="V11481" s="18" t="s">
        <v>23465</v>
      </c>
      <c r="W11481" s="18" t="s">
        <v>23466</v>
      </c>
      <c r="X11481" s="18" t="s">
        <v>35</v>
      </c>
      <c r="Y11481" s="18" t="s">
        <v>17171</v>
      </c>
      <c r="Z11481" s="18" t="s">
        <v>41209</v>
      </c>
      <c r="AA11481" s="21" t="str">
        <f>HYPERLINK("https://www.ncbi.nlm.nih.gov/nuccore/MN532644","NCBI Nucleotide")</f>
        <v>NCBI Nucleotide</v>
      </c>
    </row>
    <row r="11482" spans="1:27" x14ac:dyDescent="0.35">
      <c r="A11482">
        <v>1010275</v>
      </c>
      <c r="B11482">
        <v>10806</v>
      </c>
      <c r="C11482">
        <v>1</v>
      </c>
      <c r="D11482" s="17" t="s">
        <v>17166</v>
      </c>
      <c r="E11482" s="17"/>
      <c r="F11482" s="17" t="s">
        <v>17246</v>
      </c>
      <c r="G11482" s="17"/>
      <c r="H11482" s="17" t="s">
        <v>20919</v>
      </c>
      <c r="I11482" s="17"/>
      <c r="J11482" s="17" t="s">
        <v>23304</v>
      </c>
      <c r="K11482" s="17"/>
      <c r="L11482" s="17" t="s">
        <v>23305</v>
      </c>
      <c r="M11482" s="17"/>
      <c r="N11482" s="17" t="s">
        <v>23306</v>
      </c>
      <c r="O11482" s="17"/>
      <c r="P11482" s="17" t="s">
        <v>23412</v>
      </c>
      <c r="Q11482" s="17"/>
      <c r="R11482" s="25" t="str">
        <f>HYPERLINK("https://ictv.global/taxonomy/taxondetails?taxnode_id=202315005","Botoulivirus iotabotrytidis")</f>
        <v>Botoulivirus iotabotrytidis</v>
      </c>
      <c r="S11482" s="18" t="s">
        <v>30</v>
      </c>
      <c r="T11482" s="18" t="s">
        <v>23467</v>
      </c>
      <c r="U11482" s="18" t="s">
        <v>23468</v>
      </c>
      <c r="V11482" s="18"/>
      <c r="W11482" s="18" t="s">
        <v>23469</v>
      </c>
      <c r="X11482" s="18" t="s">
        <v>35</v>
      </c>
      <c r="Y11482" s="18" t="s">
        <v>17171</v>
      </c>
      <c r="Z11482" s="18" t="s">
        <v>16721</v>
      </c>
      <c r="AA11482" s="21" t="str">
        <f>HYPERLINK("https://www.ncbi.nlm.nih.gov/nuccore/OK634395","NCBI Nucleotide")</f>
        <v>NCBI Nucleotide</v>
      </c>
    </row>
    <row r="11483" spans="1:27" x14ac:dyDescent="0.35">
      <c r="A11483">
        <v>1010276</v>
      </c>
      <c r="B11483">
        <v>10807</v>
      </c>
      <c r="C11483">
        <v>1</v>
      </c>
      <c r="D11483" s="17" t="s">
        <v>17166</v>
      </c>
      <c r="E11483" s="17"/>
      <c r="F11483" s="17" t="s">
        <v>17246</v>
      </c>
      <c r="G11483" s="17"/>
      <c r="H11483" s="17" t="s">
        <v>20919</v>
      </c>
      <c r="I11483" s="17"/>
      <c r="J11483" s="17" t="s">
        <v>23304</v>
      </c>
      <c r="K11483" s="17"/>
      <c r="L11483" s="17" t="s">
        <v>23305</v>
      </c>
      <c r="M11483" s="17"/>
      <c r="N11483" s="17" t="s">
        <v>23306</v>
      </c>
      <c r="O11483" s="17"/>
      <c r="P11483" s="17" t="s">
        <v>23412</v>
      </c>
      <c r="Q11483" s="17"/>
      <c r="R11483" s="25" t="str">
        <f>HYPERLINK("https://ictv.global/taxonomy/taxondetails?taxnode_id=202315006","Botoulivirus kappabotrytidis")</f>
        <v>Botoulivirus kappabotrytidis</v>
      </c>
      <c r="S11483" s="18" t="s">
        <v>30</v>
      </c>
      <c r="T11483" s="18" t="s">
        <v>23470</v>
      </c>
      <c r="U11483" s="18" t="s">
        <v>23471</v>
      </c>
      <c r="V11483" s="18"/>
      <c r="W11483" s="18" t="s">
        <v>23472</v>
      </c>
      <c r="X11483" s="18" t="s">
        <v>35</v>
      </c>
      <c r="Y11483" s="18" t="s">
        <v>17171</v>
      </c>
      <c r="Z11483" s="18" t="s">
        <v>16721</v>
      </c>
      <c r="AA11483" s="21" t="str">
        <f>HYPERLINK("https://www.ncbi.nlm.nih.gov/nuccore/OK634396","NCBI Nucleotide")</f>
        <v>NCBI Nucleotide</v>
      </c>
    </row>
    <row r="11484" spans="1:27" x14ac:dyDescent="0.35">
      <c r="A11484">
        <v>1010277</v>
      </c>
      <c r="B11484">
        <v>10808</v>
      </c>
      <c r="C11484">
        <v>1</v>
      </c>
      <c r="D11484" s="17" t="s">
        <v>17166</v>
      </c>
      <c r="E11484" s="17"/>
      <c r="F11484" s="17" t="s">
        <v>17246</v>
      </c>
      <c r="G11484" s="17"/>
      <c r="H11484" s="17" t="s">
        <v>20919</v>
      </c>
      <c r="I11484" s="17"/>
      <c r="J11484" s="17" t="s">
        <v>23304</v>
      </c>
      <c r="K11484" s="17"/>
      <c r="L11484" s="17" t="s">
        <v>23305</v>
      </c>
      <c r="M11484" s="17"/>
      <c r="N11484" s="17" t="s">
        <v>23306</v>
      </c>
      <c r="O11484" s="17"/>
      <c r="P11484" s="17" t="s">
        <v>23412</v>
      </c>
      <c r="Q11484" s="17"/>
      <c r="R11484" s="25" t="str">
        <f>HYPERLINK("https://ictv.global/taxonomy/taxondetails?taxnode_id=202312547","Botoulivirus thetabotrytidis")</f>
        <v>Botoulivirus thetabotrytidis</v>
      </c>
      <c r="S11484" s="18" t="s">
        <v>30</v>
      </c>
      <c r="T11484" s="18" t="s">
        <v>23473</v>
      </c>
      <c r="U11484" s="18" t="s">
        <v>23474</v>
      </c>
      <c r="V11484" s="18" t="s">
        <v>23475</v>
      </c>
      <c r="W11484" s="18" t="s">
        <v>23476</v>
      </c>
      <c r="X11484" s="18" t="s">
        <v>35</v>
      </c>
      <c r="Y11484" s="18" t="s">
        <v>17171</v>
      </c>
      <c r="Z11484" s="18" t="s">
        <v>16721</v>
      </c>
      <c r="AA11484" s="21" t="str">
        <f>HYPERLINK("https://www.ncbi.nlm.nih.gov/nuccore/MN605483","NCBI Nucleotide")</f>
        <v>NCBI Nucleotide</v>
      </c>
    </row>
    <row r="11485" spans="1:27" x14ac:dyDescent="0.35">
      <c r="A11485">
        <v>1010278</v>
      </c>
      <c r="B11485">
        <v>10809</v>
      </c>
      <c r="C11485">
        <v>1</v>
      </c>
      <c r="D11485" s="17" t="s">
        <v>17166</v>
      </c>
      <c r="E11485" s="17"/>
      <c r="F11485" s="17" t="s">
        <v>17246</v>
      </c>
      <c r="G11485" s="17"/>
      <c r="H11485" s="17" t="s">
        <v>20919</v>
      </c>
      <c r="I11485" s="17"/>
      <c r="J11485" s="17" t="s">
        <v>23304</v>
      </c>
      <c r="K11485" s="17"/>
      <c r="L11485" s="17" t="s">
        <v>23305</v>
      </c>
      <c r="M11485" s="17"/>
      <c r="N11485" s="17" t="s">
        <v>23306</v>
      </c>
      <c r="O11485" s="17"/>
      <c r="P11485" s="17" t="s">
        <v>23412</v>
      </c>
      <c r="Q11485" s="17"/>
      <c r="R11485" s="25" t="str">
        <f>HYPERLINK("https://ictv.global/taxonomy/taxondetails?taxnode_id=202312545","Botoulivirus zetabotrytidis")</f>
        <v>Botoulivirus zetabotrytidis</v>
      </c>
      <c r="S11485" s="18" t="s">
        <v>30</v>
      </c>
      <c r="T11485" s="18" t="s">
        <v>23477</v>
      </c>
      <c r="U11485" s="18" t="s">
        <v>23478</v>
      </c>
      <c r="V11485" s="18" t="s">
        <v>23479</v>
      </c>
      <c r="W11485" s="18" t="s">
        <v>23480</v>
      </c>
      <c r="X11485" s="18" t="s">
        <v>35</v>
      </c>
      <c r="Y11485" s="18" t="s">
        <v>17171</v>
      </c>
      <c r="Z11485" s="18" t="s">
        <v>16721</v>
      </c>
      <c r="AA11485" s="21" t="str">
        <f>HYPERLINK("https://www.ncbi.nlm.nih.gov/nuccore/MN605481","NCBI Nucleotide")</f>
        <v>NCBI Nucleotide</v>
      </c>
    </row>
    <row r="11486" spans="1:27" x14ac:dyDescent="0.35">
      <c r="A11486">
        <v>1010279</v>
      </c>
      <c r="B11486">
        <v>10810</v>
      </c>
      <c r="C11486">
        <v>1</v>
      </c>
      <c r="D11486" s="17" t="s">
        <v>17166</v>
      </c>
      <c r="E11486" s="17"/>
      <c r="F11486" s="17" t="s">
        <v>17246</v>
      </c>
      <c r="G11486" s="17"/>
      <c r="H11486" s="17" t="s">
        <v>20919</v>
      </c>
      <c r="I11486" s="17"/>
      <c r="J11486" s="17" t="s">
        <v>23304</v>
      </c>
      <c r="K11486" s="17"/>
      <c r="L11486" s="17" t="s">
        <v>23305</v>
      </c>
      <c r="M11486" s="17"/>
      <c r="N11486" s="17" t="s">
        <v>23306</v>
      </c>
      <c r="O11486" s="17"/>
      <c r="P11486" s="17" t="s">
        <v>23412</v>
      </c>
      <c r="Q11486" s="17"/>
      <c r="R11486" s="25" t="str">
        <f>HYPERLINK("https://ictv.global/taxonomy/taxondetails?taxnode_id=202312553","Botoulivirus zetaplasmoparae")</f>
        <v>Botoulivirus zetaplasmoparae</v>
      </c>
      <c r="S11486" s="18" t="s">
        <v>30</v>
      </c>
      <c r="T11486" s="18" t="s">
        <v>23481</v>
      </c>
      <c r="U11486" s="18" t="s">
        <v>23482</v>
      </c>
      <c r="V11486" s="18" t="s">
        <v>23483</v>
      </c>
      <c r="W11486" s="18" t="s">
        <v>23484</v>
      </c>
      <c r="X11486" s="18" t="s">
        <v>35</v>
      </c>
      <c r="Y11486" s="18" t="s">
        <v>17171</v>
      </c>
      <c r="Z11486" s="18" t="s">
        <v>41209</v>
      </c>
      <c r="AA11486" s="21" t="str">
        <f>HYPERLINK("https://www.ncbi.nlm.nih.gov/nuccore/MN532648","NCBI Nucleotide")</f>
        <v>NCBI Nucleotide</v>
      </c>
    </row>
    <row r="11487" spans="1:27" x14ac:dyDescent="0.35">
      <c r="A11487">
        <v>1010280</v>
      </c>
      <c r="B11487">
        <v>10811</v>
      </c>
      <c r="C11487">
        <v>1</v>
      </c>
      <c r="D11487" s="17" t="s">
        <v>17166</v>
      </c>
      <c r="E11487" s="17"/>
      <c r="F11487" s="17" t="s">
        <v>17246</v>
      </c>
      <c r="G11487" s="17"/>
      <c r="H11487" s="17" t="s">
        <v>20919</v>
      </c>
      <c r="I11487" s="17"/>
      <c r="J11487" s="17" t="s">
        <v>23304</v>
      </c>
      <c r="K11487" s="17"/>
      <c r="L11487" s="17" t="s">
        <v>23305</v>
      </c>
      <c r="M11487" s="17"/>
      <c r="N11487" s="17" t="s">
        <v>23306</v>
      </c>
      <c r="O11487" s="17"/>
      <c r="P11487" s="17" t="s">
        <v>23412</v>
      </c>
      <c r="Q11487" s="17"/>
      <c r="R11487" s="25" t="str">
        <f>HYPERLINK("https://ictv.global/taxonomy/taxondetails?taxnode_id=202306575","Botrytis botoulivirus")</f>
        <v>Botrytis botoulivirus</v>
      </c>
      <c r="S11487" s="18" t="s">
        <v>30</v>
      </c>
      <c r="T11487" s="18" t="s">
        <v>23485</v>
      </c>
      <c r="U11487" s="18" t="s">
        <v>23486</v>
      </c>
      <c r="V11487" s="18" t="s">
        <v>23487</v>
      </c>
      <c r="W11487" s="18" t="s">
        <v>23488</v>
      </c>
      <c r="X11487" s="18" t="s">
        <v>42</v>
      </c>
      <c r="Y11487" s="18" t="s">
        <v>17171</v>
      </c>
      <c r="Z11487" s="18" t="s">
        <v>16721</v>
      </c>
      <c r="AA11487" s="21" t="str">
        <f>HYPERLINK("https://www.ncbi.nlm.nih.gov/nuccore/LN827955","NCBI Nucleotide")</f>
        <v>NCBI Nucleotide</v>
      </c>
    </row>
    <row r="11488" spans="1:27" x14ac:dyDescent="0.35">
      <c r="A11488">
        <v>1010281</v>
      </c>
      <c r="B11488">
        <v>10812</v>
      </c>
      <c r="C11488">
        <v>1</v>
      </c>
      <c r="D11488" s="17" t="s">
        <v>17166</v>
      </c>
      <c r="E11488" s="17"/>
      <c r="F11488" s="17" t="s">
        <v>17246</v>
      </c>
      <c r="G11488" s="17"/>
      <c r="H11488" s="17" t="s">
        <v>20919</v>
      </c>
      <c r="I11488" s="17"/>
      <c r="J11488" s="17" t="s">
        <v>23304</v>
      </c>
      <c r="K11488" s="17"/>
      <c r="L11488" s="17" t="s">
        <v>23305</v>
      </c>
      <c r="M11488" s="17"/>
      <c r="N11488" s="17" t="s">
        <v>23306</v>
      </c>
      <c r="O11488" s="17"/>
      <c r="P11488" s="17" t="s">
        <v>23412</v>
      </c>
      <c r="Q11488" s="17"/>
      <c r="R11488" s="25" t="str">
        <f>HYPERLINK("https://ictv.global/taxonomy/taxondetails?taxnode_id=202308722","Epicoccum botoulivirus")</f>
        <v>Epicoccum botoulivirus</v>
      </c>
      <c r="S11488" s="18" t="s">
        <v>30</v>
      </c>
      <c r="T11488" s="18" t="s">
        <v>23489</v>
      </c>
      <c r="U11488" s="18" t="s">
        <v>23320</v>
      </c>
      <c r="V11488" s="18" t="s">
        <v>23490</v>
      </c>
      <c r="W11488" s="18" t="s">
        <v>23491</v>
      </c>
      <c r="X11488" s="18" t="s">
        <v>35</v>
      </c>
      <c r="Y11488" s="18" t="s">
        <v>17171</v>
      </c>
      <c r="Z11488" s="18" t="s">
        <v>16721</v>
      </c>
      <c r="AA11488" s="21" t="str">
        <f>HYPERLINK("https://www.ncbi.nlm.nih.gov/nuccore/MK584842","NCBI Nucleotide")</f>
        <v>NCBI Nucleotide</v>
      </c>
    </row>
    <row r="11489" spans="1:27" x14ac:dyDescent="0.35">
      <c r="A11489">
        <v>1010282</v>
      </c>
      <c r="B11489">
        <v>10813</v>
      </c>
      <c r="C11489">
        <v>1</v>
      </c>
      <c r="D11489" s="17" t="s">
        <v>17166</v>
      </c>
      <c r="E11489" s="17"/>
      <c r="F11489" s="17" t="s">
        <v>17246</v>
      </c>
      <c r="G11489" s="17"/>
      <c r="H11489" s="17" t="s">
        <v>20919</v>
      </c>
      <c r="I11489" s="17"/>
      <c r="J11489" s="17" t="s">
        <v>23304</v>
      </c>
      <c r="K11489" s="17"/>
      <c r="L11489" s="17" t="s">
        <v>23305</v>
      </c>
      <c r="M11489" s="17"/>
      <c r="N11489" s="17" t="s">
        <v>23306</v>
      </c>
      <c r="O11489" s="17"/>
      <c r="P11489" s="17" t="s">
        <v>23412</v>
      </c>
      <c r="Q11489" s="17"/>
      <c r="R11489" s="25" t="str">
        <f>HYPERLINK("https://ictv.global/taxonomy/taxondetails?taxnode_id=202306576","Sclerotinia botoulivirus 2")</f>
        <v>Sclerotinia botoulivirus 2</v>
      </c>
      <c r="S11489" s="18" t="s">
        <v>30</v>
      </c>
      <c r="T11489" s="18" t="s">
        <v>23492</v>
      </c>
      <c r="U11489" s="18" t="s">
        <v>23493</v>
      </c>
      <c r="V11489" s="18">
        <v>291</v>
      </c>
      <c r="W11489" s="18" t="s">
        <v>23494</v>
      </c>
      <c r="X11489" s="18" t="s">
        <v>154</v>
      </c>
      <c r="Y11489" s="18" t="s">
        <v>17171</v>
      </c>
      <c r="Z11489" s="18" t="s">
        <v>16721</v>
      </c>
      <c r="AA11489" s="21" t="str">
        <f>HYPERLINK("https://www.ncbi.nlm.nih.gov/nuccore/KP900929","NCBI Nucleotide")</f>
        <v>NCBI Nucleotide</v>
      </c>
    </row>
    <row r="11490" spans="1:27" x14ac:dyDescent="0.35">
      <c r="A11490">
        <v>1010283</v>
      </c>
      <c r="B11490">
        <v>10814</v>
      </c>
      <c r="C11490">
        <v>1</v>
      </c>
      <c r="D11490" s="17" t="s">
        <v>17166</v>
      </c>
      <c r="E11490" s="17"/>
      <c r="F11490" s="17" t="s">
        <v>17246</v>
      </c>
      <c r="G11490" s="17"/>
      <c r="H11490" s="17" t="s">
        <v>20919</v>
      </c>
      <c r="I11490" s="17"/>
      <c r="J11490" s="17" t="s">
        <v>23304</v>
      </c>
      <c r="K11490" s="17"/>
      <c r="L11490" s="17" t="s">
        <v>23305</v>
      </c>
      <c r="M11490" s="17"/>
      <c r="N11490" s="17" t="s">
        <v>23306</v>
      </c>
      <c r="O11490" s="17"/>
      <c r="P11490" s="17" t="s">
        <v>23412</v>
      </c>
      <c r="Q11490" s="17"/>
      <c r="R11490" s="25" t="str">
        <f>HYPERLINK("https://ictv.global/taxonomy/taxondetails?taxnode_id=202308721","Sclerotinia botoulivirus 3")</f>
        <v>Sclerotinia botoulivirus 3</v>
      </c>
      <c r="S11490" s="18" t="s">
        <v>30</v>
      </c>
      <c r="T11490" s="18" t="s">
        <v>23495</v>
      </c>
      <c r="U11490" s="18" t="s">
        <v>23496</v>
      </c>
      <c r="V11490" s="18"/>
      <c r="W11490" s="18" t="s">
        <v>23497</v>
      </c>
      <c r="X11490" s="18" t="s">
        <v>35</v>
      </c>
      <c r="Y11490" s="18" t="s">
        <v>17171</v>
      </c>
      <c r="Z11490" s="18" t="s">
        <v>16721</v>
      </c>
      <c r="AA11490" s="21" t="str">
        <f>HYPERLINK("https://www.ncbi.nlm.nih.gov/nuccore/MF444276","NCBI Nucleotide")</f>
        <v>NCBI Nucleotide</v>
      </c>
    </row>
    <row r="11491" spans="1:27" x14ac:dyDescent="0.35">
      <c r="A11491">
        <v>1010284</v>
      </c>
      <c r="B11491">
        <v>10815</v>
      </c>
      <c r="C11491">
        <v>1</v>
      </c>
      <c r="D11491" s="17" t="s">
        <v>17166</v>
      </c>
      <c r="E11491" s="17"/>
      <c r="F11491" s="17" t="s">
        <v>17246</v>
      </c>
      <c r="G11491" s="17"/>
      <c r="H11491" s="17" t="s">
        <v>20919</v>
      </c>
      <c r="I11491" s="17"/>
      <c r="J11491" s="17" t="s">
        <v>23304</v>
      </c>
      <c r="K11491" s="17"/>
      <c r="L11491" s="17" t="s">
        <v>23305</v>
      </c>
      <c r="M11491" s="17"/>
      <c r="N11491" s="17" t="s">
        <v>23306</v>
      </c>
      <c r="O11491" s="17"/>
      <c r="P11491" s="17" t="s">
        <v>23498</v>
      </c>
      <c r="Q11491" s="17"/>
      <c r="R11491" s="25" t="str">
        <f>HYPERLINK("https://ictv.global/taxonomy/taxondetails?taxnode_id=202312574","Deltascleroulivirus alphaplasmoparae")</f>
        <v>Deltascleroulivirus alphaplasmoparae</v>
      </c>
      <c r="S11491" s="18" t="s">
        <v>30</v>
      </c>
      <c r="T11491" s="18" t="s">
        <v>23499</v>
      </c>
      <c r="U11491" s="18" t="s">
        <v>23500</v>
      </c>
      <c r="V11491" s="18" t="s">
        <v>23501</v>
      </c>
      <c r="W11491" s="18" t="s">
        <v>23502</v>
      </c>
      <c r="X11491" s="18" t="s">
        <v>35</v>
      </c>
      <c r="Y11491" s="18" t="s">
        <v>17171</v>
      </c>
      <c r="Z11491" s="18" t="s">
        <v>41209</v>
      </c>
      <c r="AA11491" s="21" t="str">
        <f>HYPERLINK("https://www.ncbi.nlm.nih.gov/nuccore/MN532651","NCBI Nucleotide")</f>
        <v>NCBI Nucleotide</v>
      </c>
    </row>
    <row r="11492" spans="1:27" x14ac:dyDescent="0.35">
      <c r="A11492">
        <v>1010285</v>
      </c>
      <c r="B11492">
        <v>10816</v>
      </c>
      <c r="C11492">
        <v>1</v>
      </c>
      <c r="D11492" s="17" t="s">
        <v>17166</v>
      </c>
      <c r="E11492" s="17"/>
      <c r="F11492" s="17" t="s">
        <v>17246</v>
      </c>
      <c r="G11492" s="17"/>
      <c r="H11492" s="17" t="s">
        <v>20919</v>
      </c>
      <c r="I11492" s="17"/>
      <c r="J11492" s="17" t="s">
        <v>23304</v>
      </c>
      <c r="K11492" s="17"/>
      <c r="L11492" s="17" t="s">
        <v>23305</v>
      </c>
      <c r="M11492" s="17"/>
      <c r="N11492" s="17" t="s">
        <v>23306</v>
      </c>
      <c r="O11492" s="17"/>
      <c r="P11492" s="17" t="s">
        <v>23498</v>
      </c>
      <c r="Q11492" s="17"/>
      <c r="R11492" s="25" t="str">
        <f>HYPERLINK("https://ictv.global/taxonomy/taxondetails?taxnode_id=202312575","Deltascleroulivirus betaplasmoparae")</f>
        <v>Deltascleroulivirus betaplasmoparae</v>
      </c>
      <c r="S11492" s="18" t="s">
        <v>30</v>
      </c>
      <c r="T11492" s="18" t="s">
        <v>23503</v>
      </c>
      <c r="U11492" s="18" t="s">
        <v>23504</v>
      </c>
      <c r="V11492" s="18" t="s">
        <v>23505</v>
      </c>
      <c r="W11492" s="18" t="s">
        <v>23506</v>
      </c>
      <c r="X11492" s="18" t="s">
        <v>35</v>
      </c>
      <c r="Y11492" s="18" t="s">
        <v>17171</v>
      </c>
      <c r="Z11492" s="18" t="s">
        <v>41209</v>
      </c>
      <c r="AA11492" s="21" t="str">
        <f>HYPERLINK("https://www.ncbi.nlm.nih.gov/nuccore/MN532667","NCBI Nucleotide")</f>
        <v>NCBI Nucleotide</v>
      </c>
    </row>
    <row r="11493" spans="1:27" x14ac:dyDescent="0.35">
      <c r="A11493">
        <v>1010286</v>
      </c>
      <c r="B11493">
        <v>10817</v>
      </c>
      <c r="C11493">
        <v>1</v>
      </c>
      <c r="D11493" s="17" t="s">
        <v>17166</v>
      </c>
      <c r="E11493" s="17"/>
      <c r="F11493" s="17" t="s">
        <v>17246</v>
      </c>
      <c r="G11493" s="17"/>
      <c r="H11493" s="17" t="s">
        <v>20919</v>
      </c>
      <c r="I11493" s="17"/>
      <c r="J11493" s="17" t="s">
        <v>23304</v>
      </c>
      <c r="K11493" s="17"/>
      <c r="L11493" s="17" t="s">
        <v>23305</v>
      </c>
      <c r="M11493" s="17"/>
      <c r="N11493" s="17" t="s">
        <v>23306</v>
      </c>
      <c r="O11493" s="17"/>
      <c r="P11493" s="17" t="s">
        <v>23498</v>
      </c>
      <c r="Q11493" s="17"/>
      <c r="R11493" s="25" t="str">
        <f>HYPERLINK("https://ictv.global/taxonomy/taxondetails?taxnode_id=202312573","Deltascleroulivirus botrytidis")</f>
        <v>Deltascleroulivirus botrytidis</v>
      </c>
      <c r="S11493" s="18" t="s">
        <v>30</v>
      </c>
      <c r="T11493" s="18" t="s">
        <v>23507</v>
      </c>
      <c r="U11493" s="18" t="s">
        <v>23508</v>
      </c>
      <c r="V11493" s="18" t="s">
        <v>23509</v>
      </c>
      <c r="W11493" s="18" t="s">
        <v>23510</v>
      </c>
      <c r="X11493" s="18" t="s">
        <v>35</v>
      </c>
      <c r="Y11493" s="18" t="s">
        <v>17171</v>
      </c>
      <c r="Z11493" s="18" t="s">
        <v>16721</v>
      </c>
      <c r="AA11493" s="21" t="str">
        <f>HYPERLINK("https://www.ncbi.nlm.nih.gov/nuccore/MN605471","NCBI Nucleotide")</f>
        <v>NCBI Nucleotide</v>
      </c>
    </row>
    <row r="11494" spans="1:27" x14ac:dyDescent="0.35">
      <c r="A11494">
        <v>1010287</v>
      </c>
      <c r="B11494">
        <v>10818</v>
      </c>
      <c r="C11494">
        <v>1</v>
      </c>
      <c r="D11494" s="17" t="s">
        <v>17166</v>
      </c>
      <c r="E11494" s="17"/>
      <c r="F11494" s="17" t="s">
        <v>17246</v>
      </c>
      <c r="G11494" s="17"/>
      <c r="H11494" s="17" t="s">
        <v>20919</v>
      </c>
      <c r="I11494" s="17"/>
      <c r="J11494" s="17" t="s">
        <v>23304</v>
      </c>
      <c r="K11494" s="17"/>
      <c r="L11494" s="17" t="s">
        <v>23305</v>
      </c>
      <c r="M11494" s="17"/>
      <c r="N11494" s="17" t="s">
        <v>23306</v>
      </c>
      <c r="O11494" s="17"/>
      <c r="P11494" s="17" t="s">
        <v>23511</v>
      </c>
      <c r="Q11494" s="17"/>
      <c r="R11494" s="25" t="str">
        <f>HYPERLINK("https://ictv.global/taxonomy/taxondetails?taxnode_id=202315016","Epsilonscleroulivirus alphaoryzae")</f>
        <v>Epsilonscleroulivirus alphaoryzae</v>
      </c>
      <c r="S11494" s="18" t="s">
        <v>30</v>
      </c>
      <c r="T11494" s="18" t="s">
        <v>23512</v>
      </c>
      <c r="U11494" s="18" t="s">
        <v>23513</v>
      </c>
      <c r="V11494" s="18"/>
      <c r="W11494" s="18" t="s">
        <v>23514</v>
      </c>
      <c r="X11494" s="18" t="s">
        <v>35</v>
      </c>
      <c r="Y11494" s="18" t="s">
        <v>17171</v>
      </c>
      <c r="Z11494" s="18" t="s">
        <v>16721</v>
      </c>
      <c r="AA11494" s="21" t="str">
        <f>HYPERLINK("https://www.ncbi.nlm.nih.gov/nuccore/MN971592","NCBI Nucleotide")</f>
        <v>NCBI Nucleotide</v>
      </c>
    </row>
    <row r="11495" spans="1:27" x14ac:dyDescent="0.35">
      <c r="A11495">
        <v>1010288</v>
      </c>
      <c r="B11495">
        <v>10819</v>
      </c>
      <c r="C11495">
        <v>1</v>
      </c>
      <c r="D11495" s="17" t="s">
        <v>17166</v>
      </c>
      <c r="E11495" s="17"/>
      <c r="F11495" s="17" t="s">
        <v>17246</v>
      </c>
      <c r="G11495" s="17"/>
      <c r="H11495" s="17" t="s">
        <v>20919</v>
      </c>
      <c r="I11495" s="17"/>
      <c r="J11495" s="17" t="s">
        <v>23304</v>
      </c>
      <c r="K11495" s="17"/>
      <c r="L11495" s="17" t="s">
        <v>23305</v>
      </c>
      <c r="M11495" s="17"/>
      <c r="N11495" s="17" t="s">
        <v>23306</v>
      </c>
      <c r="O11495" s="17"/>
      <c r="P11495" s="17" t="s">
        <v>23511</v>
      </c>
      <c r="Q11495" s="17"/>
      <c r="R11495" s="25" t="str">
        <f>HYPERLINK("https://ictv.global/taxonomy/taxondetails?taxnode_id=202312577","Epsilonscleroulivirus plasmoparae")</f>
        <v>Epsilonscleroulivirus plasmoparae</v>
      </c>
      <c r="S11495" s="18" t="s">
        <v>30</v>
      </c>
      <c r="T11495" s="18" t="s">
        <v>23515</v>
      </c>
      <c r="U11495" s="18" t="s">
        <v>23516</v>
      </c>
      <c r="V11495" s="18"/>
      <c r="W11495" s="18" t="s">
        <v>23517</v>
      </c>
      <c r="X11495" s="18" t="s">
        <v>35</v>
      </c>
      <c r="Y11495" s="18" t="s">
        <v>17171</v>
      </c>
      <c r="Z11495" s="18" t="s">
        <v>41209</v>
      </c>
      <c r="AA11495" s="21" t="str">
        <f>HYPERLINK("https://www.ncbi.nlm.nih.gov/nuccore/MN532632","NCBI Nucleotide")</f>
        <v>NCBI Nucleotide</v>
      </c>
    </row>
    <row r="11496" spans="1:27" x14ac:dyDescent="0.35">
      <c r="A11496">
        <v>1010289</v>
      </c>
      <c r="B11496">
        <v>10820</v>
      </c>
      <c r="C11496">
        <v>1</v>
      </c>
      <c r="D11496" s="17" t="s">
        <v>17166</v>
      </c>
      <c r="E11496" s="17"/>
      <c r="F11496" s="17" t="s">
        <v>17246</v>
      </c>
      <c r="G11496" s="17"/>
      <c r="H11496" s="17" t="s">
        <v>20919</v>
      </c>
      <c r="I11496" s="17"/>
      <c r="J11496" s="17" t="s">
        <v>23304</v>
      </c>
      <c r="K11496" s="17"/>
      <c r="L11496" s="17" t="s">
        <v>23305</v>
      </c>
      <c r="M11496" s="17"/>
      <c r="N11496" s="17" t="s">
        <v>23306</v>
      </c>
      <c r="O11496" s="17"/>
      <c r="P11496" s="17" t="s">
        <v>23518</v>
      </c>
      <c r="Q11496" s="17"/>
      <c r="R11496" s="25" t="str">
        <f>HYPERLINK("https://ictv.global/taxonomy/taxondetails?taxnode_id=202315015","Gammascleroulivirus alphaoryzae")</f>
        <v>Gammascleroulivirus alphaoryzae</v>
      </c>
      <c r="S11496" s="18" t="s">
        <v>30</v>
      </c>
      <c r="T11496" s="18" t="s">
        <v>23519</v>
      </c>
      <c r="U11496" s="18" t="s">
        <v>23520</v>
      </c>
      <c r="V11496" s="18"/>
      <c r="W11496" s="18" t="s">
        <v>23521</v>
      </c>
      <c r="X11496" s="18" t="s">
        <v>35</v>
      </c>
      <c r="Y11496" s="18" t="s">
        <v>17171</v>
      </c>
      <c r="Z11496" s="18" t="s">
        <v>16721</v>
      </c>
      <c r="AA11496" s="21" t="str">
        <f>HYPERLINK("https://www.ncbi.nlm.nih.gov/nuccore/MN971591","NCBI Nucleotide")</f>
        <v>NCBI Nucleotide</v>
      </c>
    </row>
    <row r="11497" spans="1:27" x14ac:dyDescent="0.35">
      <c r="A11497">
        <v>1010290</v>
      </c>
      <c r="B11497">
        <v>10821</v>
      </c>
      <c r="C11497">
        <v>1</v>
      </c>
      <c r="D11497" s="17" t="s">
        <v>17166</v>
      </c>
      <c r="E11497" s="17"/>
      <c r="F11497" s="17" t="s">
        <v>17246</v>
      </c>
      <c r="G11497" s="17"/>
      <c r="H11497" s="17" t="s">
        <v>20919</v>
      </c>
      <c r="I11497" s="17"/>
      <c r="J11497" s="17" t="s">
        <v>23304</v>
      </c>
      <c r="K11497" s="17"/>
      <c r="L11497" s="17" t="s">
        <v>23305</v>
      </c>
      <c r="M11497" s="17"/>
      <c r="N11497" s="17" t="s">
        <v>23306</v>
      </c>
      <c r="O11497" s="17"/>
      <c r="P11497" s="17" t="s">
        <v>23518</v>
      </c>
      <c r="Q11497" s="17"/>
      <c r="R11497" s="25" t="str">
        <f>HYPERLINK("https://ictv.global/taxonomy/taxondetails?taxnode_id=202312570","Gammascleroulivirus alphaplasmoparae")</f>
        <v>Gammascleroulivirus alphaplasmoparae</v>
      </c>
      <c r="S11497" s="18" t="s">
        <v>30</v>
      </c>
      <c r="T11497" s="18" t="s">
        <v>23522</v>
      </c>
      <c r="U11497" s="18" t="s">
        <v>23523</v>
      </c>
      <c r="V11497" s="18" t="s">
        <v>23524</v>
      </c>
      <c r="W11497" s="18" t="s">
        <v>23525</v>
      </c>
      <c r="X11497" s="18" t="s">
        <v>35</v>
      </c>
      <c r="Y11497" s="18" t="s">
        <v>17171</v>
      </c>
      <c r="Z11497" s="18" t="s">
        <v>41209</v>
      </c>
      <c r="AA11497" s="21" t="str">
        <f>HYPERLINK("https://www.ncbi.nlm.nih.gov/nuccore/MN532636","NCBI Nucleotide")</f>
        <v>NCBI Nucleotide</v>
      </c>
    </row>
    <row r="11498" spans="1:27" x14ac:dyDescent="0.35">
      <c r="A11498">
        <v>1010291</v>
      </c>
      <c r="B11498">
        <v>10822</v>
      </c>
      <c r="C11498">
        <v>1</v>
      </c>
      <c r="D11498" s="17" t="s">
        <v>17166</v>
      </c>
      <c r="E11498" s="17"/>
      <c r="F11498" s="17" t="s">
        <v>17246</v>
      </c>
      <c r="G11498" s="17"/>
      <c r="H11498" s="17" t="s">
        <v>20919</v>
      </c>
      <c r="I11498" s="17"/>
      <c r="J11498" s="17" t="s">
        <v>23304</v>
      </c>
      <c r="K11498" s="17"/>
      <c r="L11498" s="17" t="s">
        <v>23305</v>
      </c>
      <c r="M11498" s="17"/>
      <c r="N11498" s="17" t="s">
        <v>23306</v>
      </c>
      <c r="O11498" s="17"/>
      <c r="P11498" s="17" t="s">
        <v>23518</v>
      </c>
      <c r="Q11498" s="17"/>
      <c r="R11498" s="25" t="str">
        <f>HYPERLINK("https://ictv.global/taxonomy/taxondetails?taxnode_id=202312571","Gammascleroulivirus betaplasmoparae")</f>
        <v>Gammascleroulivirus betaplasmoparae</v>
      </c>
      <c r="S11498" s="18" t="s">
        <v>30</v>
      </c>
      <c r="T11498" s="18" t="s">
        <v>23526</v>
      </c>
      <c r="U11498" s="18" t="s">
        <v>23527</v>
      </c>
      <c r="V11498" s="18" t="s">
        <v>23528</v>
      </c>
      <c r="W11498" s="18" t="s">
        <v>23529</v>
      </c>
      <c r="X11498" s="18" t="s">
        <v>35</v>
      </c>
      <c r="Y11498" s="18" t="s">
        <v>17171</v>
      </c>
      <c r="Z11498" s="18" t="s">
        <v>41209</v>
      </c>
      <c r="AA11498" s="21" t="str">
        <f>HYPERLINK("https://www.ncbi.nlm.nih.gov/nuccore/MN532637","NCBI Nucleotide")</f>
        <v>NCBI Nucleotide</v>
      </c>
    </row>
    <row r="11499" spans="1:27" x14ac:dyDescent="0.35">
      <c r="A11499">
        <v>1010292</v>
      </c>
      <c r="B11499">
        <v>10823</v>
      </c>
      <c r="C11499">
        <v>1</v>
      </c>
      <c r="D11499" s="17" t="s">
        <v>17166</v>
      </c>
      <c r="E11499" s="17"/>
      <c r="F11499" s="17" t="s">
        <v>17246</v>
      </c>
      <c r="G11499" s="17"/>
      <c r="H11499" s="17" t="s">
        <v>20919</v>
      </c>
      <c r="I11499" s="17"/>
      <c r="J11499" s="17" t="s">
        <v>23304</v>
      </c>
      <c r="K11499" s="17"/>
      <c r="L11499" s="17" t="s">
        <v>23305</v>
      </c>
      <c r="M11499" s="17"/>
      <c r="N11499" s="17" t="s">
        <v>23306</v>
      </c>
      <c r="O11499" s="17"/>
      <c r="P11499" s="17" t="s">
        <v>23530</v>
      </c>
      <c r="Q11499" s="17"/>
      <c r="R11499" s="25" t="str">
        <f>HYPERLINK("https://ictv.global/taxonomy/taxondetails?taxnode_id=202308726","Acremonium magoulivirus")</f>
        <v>Acremonium magoulivirus</v>
      </c>
      <c r="S11499" s="18" t="s">
        <v>30</v>
      </c>
      <c r="T11499" s="18" t="s">
        <v>23531</v>
      </c>
      <c r="U11499" s="18" t="s">
        <v>23532</v>
      </c>
      <c r="V11499" s="18" t="s">
        <v>23533</v>
      </c>
      <c r="W11499" s="18" t="s">
        <v>23534</v>
      </c>
      <c r="X11499" s="18" t="s">
        <v>35</v>
      </c>
      <c r="Y11499" s="18" t="s">
        <v>17171</v>
      </c>
      <c r="Z11499" s="18" t="s">
        <v>16721</v>
      </c>
      <c r="AA11499" s="21" t="str">
        <f>HYPERLINK("https://www.ncbi.nlm.nih.gov/nuccore/MK584845","NCBI Nucleotide")</f>
        <v>NCBI Nucleotide</v>
      </c>
    </row>
    <row r="11500" spans="1:27" x14ac:dyDescent="0.35">
      <c r="A11500">
        <v>1010293</v>
      </c>
      <c r="B11500">
        <v>10824</v>
      </c>
      <c r="C11500">
        <v>1</v>
      </c>
      <c r="D11500" s="17" t="s">
        <v>17166</v>
      </c>
      <c r="E11500" s="17"/>
      <c r="F11500" s="17" t="s">
        <v>17246</v>
      </c>
      <c r="G11500" s="17"/>
      <c r="H11500" s="17" t="s">
        <v>20919</v>
      </c>
      <c r="I11500" s="17"/>
      <c r="J11500" s="17" t="s">
        <v>23304</v>
      </c>
      <c r="K11500" s="17"/>
      <c r="L11500" s="17" t="s">
        <v>23305</v>
      </c>
      <c r="M11500" s="17"/>
      <c r="N11500" s="17" t="s">
        <v>23306</v>
      </c>
      <c r="O11500" s="17"/>
      <c r="P11500" s="17" t="s">
        <v>23530</v>
      </c>
      <c r="Q11500" s="17"/>
      <c r="R11500" s="25" t="str">
        <f>HYPERLINK("https://ictv.global/taxonomy/taxondetails?taxnode_id=202308728","Cladosporium magoulivirus 1")</f>
        <v>Cladosporium magoulivirus 1</v>
      </c>
      <c r="S11500" s="18" t="s">
        <v>30</v>
      </c>
      <c r="T11500" s="18" t="s">
        <v>23535</v>
      </c>
      <c r="U11500" s="18" t="s">
        <v>23536</v>
      </c>
      <c r="V11500" s="18" t="s">
        <v>23537</v>
      </c>
      <c r="W11500" s="18" t="s">
        <v>23538</v>
      </c>
      <c r="X11500" s="18" t="s">
        <v>35</v>
      </c>
      <c r="Y11500" s="18" t="s">
        <v>17171</v>
      </c>
      <c r="Z11500" s="18" t="s">
        <v>16721</v>
      </c>
      <c r="AA11500" s="21" t="str">
        <f>HYPERLINK("https://www.ncbi.nlm.nih.gov/nuccore/MK584838","NCBI Nucleotide")</f>
        <v>NCBI Nucleotide</v>
      </c>
    </row>
    <row r="11501" spans="1:27" x14ac:dyDescent="0.35">
      <c r="A11501">
        <v>1012843</v>
      </c>
      <c r="B11501">
        <v>10824</v>
      </c>
      <c r="C11501">
        <v>2</v>
      </c>
      <c r="D11501" s="17" t="s">
        <v>17166</v>
      </c>
      <c r="E11501" s="17"/>
      <c r="F11501" s="17" t="s">
        <v>17246</v>
      </c>
      <c r="G11501" s="17"/>
      <c r="H11501" s="17" t="s">
        <v>20919</v>
      </c>
      <c r="I11501" s="17"/>
      <c r="J11501" s="17" t="s">
        <v>23304</v>
      </c>
      <c r="K11501" s="17"/>
      <c r="L11501" s="17" t="s">
        <v>23305</v>
      </c>
      <c r="M11501" s="17"/>
      <c r="N11501" s="17" t="s">
        <v>23306</v>
      </c>
      <c r="O11501" s="17"/>
      <c r="P11501" s="17" t="s">
        <v>23530</v>
      </c>
      <c r="Q11501" s="17"/>
      <c r="R11501" s="25" t="str">
        <f>HYPERLINK("https://ictv.global/taxonomy/taxondetails?taxnode_id=202308728","Cladosporium magoulivirus 1")</f>
        <v>Cladosporium magoulivirus 1</v>
      </c>
      <c r="S11501" s="18" t="s">
        <v>8141</v>
      </c>
      <c r="T11501" s="18" t="s">
        <v>23539</v>
      </c>
      <c r="U11501" s="18" t="s">
        <v>23540</v>
      </c>
      <c r="V11501" s="18" t="s">
        <v>23541</v>
      </c>
      <c r="W11501" s="18" t="s">
        <v>49399</v>
      </c>
      <c r="X11501" s="18" t="s">
        <v>35</v>
      </c>
      <c r="Y11501" s="18" t="s">
        <v>17171</v>
      </c>
      <c r="Z11501" s="18" t="s">
        <v>41209</v>
      </c>
      <c r="AA11501" s="21" t="str">
        <f>HYPERLINK("https://www.ncbi.nlm.nih.gov/nuccore/MN532617","NCBI Nucleotide")</f>
        <v>NCBI Nucleotide</v>
      </c>
    </row>
    <row r="11502" spans="1:27" x14ac:dyDescent="0.35">
      <c r="A11502">
        <v>1012844</v>
      </c>
      <c r="B11502">
        <v>10824</v>
      </c>
      <c r="C11502">
        <v>3</v>
      </c>
      <c r="D11502" s="17" t="s">
        <v>17166</v>
      </c>
      <c r="E11502" s="17"/>
      <c r="F11502" s="17" t="s">
        <v>17246</v>
      </c>
      <c r="G11502" s="17"/>
      <c r="H11502" s="17" t="s">
        <v>20919</v>
      </c>
      <c r="I11502" s="17"/>
      <c r="J11502" s="17" t="s">
        <v>23304</v>
      </c>
      <c r="K11502" s="17"/>
      <c r="L11502" s="17" t="s">
        <v>23305</v>
      </c>
      <c r="M11502" s="17"/>
      <c r="N11502" s="17" t="s">
        <v>23306</v>
      </c>
      <c r="O11502" s="17"/>
      <c r="P11502" s="17" t="s">
        <v>23530</v>
      </c>
      <c r="Q11502" s="17"/>
      <c r="R11502" s="25" t="str">
        <f>HYPERLINK("https://ictv.global/taxonomy/taxondetails?taxnode_id=202308728","Cladosporium magoulivirus 1")</f>
        <v>Cladosporium magoulivirus 1</v>
      </c>
      <c r="S11502" s="18" t="s">
        <v>8141</v>
      </c>
      <c r="T11502" s="18" t="s">
        <v>23542</v>
      </c>
      <c r="U11502" s="18" t="s">
        <v>23543</v>
      </c>
      <c r="V11502" s="18" t="s">
        <v>23544</v>
      </c>
      <c r="W11502" s="18" t="s">
        <v>49400</v>
      </c>
      <c r="X11502" s="18" t="s">
        <v>35</v>
      </c>
      <c r="Y11502" s="18" t="s">
        <v>17171</v>
      </c>
      <c r="Z11502" s="18" t="s">
        <v>41209</v>
      </c>
      <c r="AA11502" s="21" t="str">
        <f>HYPERLINK("https://www.ncbi.nlm.nih.gov/nuccore/MN532619","NCBI Nucleotide")</f>
        <v>NCBI Nucleotide</v>
      </c>
    </row>
    <row r="11503" spans="1:27" x14ac:dyDescent="0.35">
      <c r="A11503">
        <v>1010294</v>
      </c>
      <c r="B11503">
        <v>10825</v>
      </c>
      <c r="C11503">
        <v>1</v>
      </c>
      <c r="D11503" s="17" t="s">
        <v>17166</v>
      </c>
      <c r="E11503" s="17"/>
      <c r="F11503" s="17" t="s">
        <v>17246</v>
      </c>
      <c r="G11503" s="17"/>
      <c r="H11503" s="17" t="s">
        <v>20919</v>
      </c>
      <c r="I11503" s="17"/>
      <c r="J11503" s="17" t="s">
        <v>23304</v>
      </c>
      <c r="K11503" s="17"/>
      <c r="L11503" s="17" t="s">
        <v>23305</v>
      </c>
      <c r="M11503" s="17"/>
      <c r="N11503" s="17" t="s">
        <v>23306</v>
      </c>
      <c r="O11503" s="17"/>
      <c r="P11503" s="17" t="s">
        <v>23530</v>
      </c>
      <c r="Q11503" s="17"/>
      <c r="R11503" s="25" t="str">
        <f>HYPERLINK("https://ictv.global/taxonomy/taxondetails?taxnode_id=202308729","Cladosporium magoulivirus 2")</f>
        <v>Cladosporium magoulivirus 2</v>
      </c>
      <c r="S11503" s="18" t="s">
        <v>30</v>
      </c>
      <c r="T11503" s="18" t="s">
        <v>23545</v>
      </c>
      <c r="U11503" s="18" t="s">
        <v>23546</v>
      </c>
      <c r="V11503" s="18" t="s">
        <v>23537</v>
      </c>
      <c r="W11503" s="18" t="s">
        <v>23547</v>
      </c>
      <c r="X11503" s="18" t="s">
        <v>35</v>
      </c>
      <c r="Y11503" s="18" t="s">
        <v>17171</v>
      </c>
      <c r="Z11503" s="18" t="s">
        <v>16721</v>
      </c>
      <c r="AA11503" s="21" t="str">
        <f>HYPERLINK("https://www.ncbi.nlm.nih.gov/nuccore/MK584847","NCBI Nucleotide")</f>
        <v>NCBI Nucleotide</v>
      </c>
    </row>
    <row r="11504" spans="1:27" x14ac:dyDescent="0.35">
      <c r="A11504">
        <v>1012845</v>
      </c>
      <c r="B11504">
        <v>10825</v>
      </c>
      <c r="C11504">
        <v>2</v>
      </c>
      <c r="D11504" s="17" t="s">
        <v>17166</v>
      </c>
      <c r="E11504" s="17"/>
      <c r="F11504" s="17" t="s">
        <v>17246</v>
      </c>
      <c r="G11504" s="17"/>
      <c r="H11504" s="17" t="s">
        <v>20919</v>
      </c>
      <c r="I11504" s="17"/>
      <c r="J11504" s="17" t="s">
        <v>23304</v>
      </c>
      <c r="K11504" s="17"/>
      <c r="L11504" s="17" t="s">
        <v>23305</v>
      </c>
      <c r="M11504" s="17"/>
      <c r="N11504" s="17" t="s">
        <v>23306</v>
      </c>
      <c r="O11504" s="17"/>
      <c r="P11504" s="17" t="s">
        <v>23530</v>
      </c>
      <c r="Q11504" s="17"/>
      <c r="R11504" s="25" t="str">
        <f>HYPERLINK("https://ictv.global/taxonomy/taxondetails?taxnode_id=202308729","Cladosporium magoulivirus 2")</f>
        <v>Cladosporium magoulivirus 2</v>
      </c>
      <c r="S11504" s="18" t="s">
        <v>8141</v>
      </c>
      <c r="T11504" s="18" t="s">
        <v>23548</v>
      </c>
      <c r="U11504" s="18" t="s">
        <v>23549</v>
      </c>
      <c r="V11504" s="18" t="s">
        <v>23550</v>
      </c>
      <c r="W11504" s="18" t="s">
        <v>49401</v>
      </c>
      <c r="X11504" s="18" t="s">
        <v>35</v>
      </c>
      <c r="Y11504" s="18" t="s">
        <v>17171</v>
      </c>
      <c r="Z11504" s="18" t="s">
        <v>41209</v>
      </c>
      <c r="AA11504" s="21" t="str">
        <f>HYPERLINK("https://www.ncbi.nlm.nih.gov/nuccore/MN532615","NCBI Nucleotide")</f>
        <v>NCBI Nucleotide</v>
      </c>
    </row>
    <row r="11505" spans="1:27" x14ac:dyDescent="0.35">
      <c r="A11505">
        <v>1010295</v>
      </c>
      <c r="B11505">
        <v>10826</v>
      </c>
      <c r="C11505">
        <v>1</v>
      </c>
      <c r="D11505" s="17" t="s">
        <v>17166</v>
      </c>
      <c r="E11505" s="17"/>
      <c r="F11505" s="17" t="s">
        <v>17246</v>
      </c>
      <c r="G11505" s="17"/>
      <c r="H11505" s="17" t="s">
        <v>20919</v>
      </c>
      <c r="I11505" s="17"/>
      <c r="J11505" s="17" t="s">
        <v>23304</v>
      </c>
      <c r="K11505" s="17"/>
      <c r="L11505" s="17" t="s">
        <v>23305</v>
      </c>
      <c r="M11505" s="17"/>
      <c r="N11505" s="17" t="s">
        <v>23306</v>
      </c>
      <c r="O11505" s="17"/>
      <c r="P11505" s="17" t="s">
        <v>23530</v>
      </c>
      <c r="Q11505" s="17"/>
      <c r="R11505" s="25" t="str">
        <f>HYPERLINK("https://ictv.global/taxonomy/taxondetails?taxnode_id=202308727","Colletotrichum magoulivirus")</f>
        <v>Colletotrichum magoulivirus</v>
      </c>
      <c r="S11505" s="18" t="s">
        <v>30</v>
      </c>
      <c r="T11505" s="18" t="s">
        <v>23551</v>
      </c>
      <c r="U11505" s="18" t="s">
        <v>23552</v>
      </c>
      <c r="V11505" s="18" t="s">
        <v>23553</v>
      </c>
      <c r="W11505" s="18" t="s">
        <v>23554</v>
      </c>
      <c r="X11505" s="18" t="s">
        <v>42</v>
      </c>
      <c r="Y11505" s="18" t="s">
        <v>17171</v>
      </c>
      <c r="Z11505" s="18" t="s">
        <v>16721</v>
      </c>
      <c r="AA11505" s="21" t="str">
        <f>HYPERLINK("https://www.ncbi.nlm.nih.gov/nuccore/MK542706","NCBI Nucleotide")</f>
        <v>NCBI Nucleotide</v>
      </c>
    </row>
    <row r="11506" spans="1:27" x14ac:dyDescent="0.35">
      <c r="A11506">
        <v>1010296</v>
      </c>
      <c r="B11506">
        <v>10827</v>
      </c>
      <c r="C11506">
        <v>1</v>
      </c>
      <c r="D11506" s="17" t="s">
        <v>17166</v>
      </c>
      <c r="E11506" s="17"/>
      <c r="F11506" s="17" t="s">
        <v>17246</v>
      </c>
      <c r="G11506" s="17"/>
      <c r="H11506" s="17" t="s">
        <v>20919</v>
      </c>
      <c r="I11506" s="17"/>
      <c r="J11506" s="17" t="s">
        <v>23304</v>
      </c>
      <c r="K11506" s="17"/>
      <c r="L11506" s="17" t="s">
        <v>23305</v>
      </c>
      <c r="M11506" s="17"/>
      <c r="N11506" s="17" t="s">
        <v>23306</v>
      </c>
      <c r="O11506" s="17"/>
      <c r="P11506" s="17" t="s">
        <v>23530</v>
      </c>
      <c r="Q11506" s="17"/>
      <c r="R11506" s="25" t="str">
        <f>HYPERLINK("https://ictv.global/taxonomy/taxondetails?taxnode_id=202306578","Magnaporthe magoulivirus 1")</f>
        <v>Magnaporthe magoulivirus 1</v>
      </c>
      <c r="S11506" s="18" t="s">
        <v>30</v>
      </c>
      <c r="T11506" s="18" t="s">
        <v>23555</v>
      </c>
      <c r="U11506" s="18" t="s">
        <v>23556</v>
      </c>
      <c r="V11506" s="18" t="s">
        <v>23557</v>
      </c>
      <c r="W11506" s="18" t="s">
        <v>23558</v>
      </c>
      <c r="X11506" s="18" t="s">
        <v>42</v>
      </c>
      <c r="Y11506" s="18" t="s">
        <v>17171</v>
      </c>
      <c r="Z11506" s="18" t="s">
        <v>16721</v>
      </c>
      <c r="AA11506" s="21" t="str">
        <f>HYPERLINK("https://www.ncbi.nlm.nih.gov/nuccore/LT593139","NCBI Nucleotide")</f>
        <v>NCBI Nucleotide</v>
      </c>
    </row>
    <row r="11507" spans="1:27" x14ac:dyDescent="0.35">
      <c r="A11507">
        <v>1010297</v>
      </c>
      <c r="B11507">
        <v>10828</v>
      </c>
      <c r="C11507">
        <v>1</v>
      </c>
      <c r="D11507" s="17" t="s">
        <v>17166</v>
      </c>
      <c r="E11507" s="17"/>
      <c r="F11507" s="17" t="s">
        <v>17246</v>
      </c>
      <c r="G11507" s="17"/>
      <c r="H11507" s="17" t="s">
        <v>20919</v>
      </c>
      <c r="I11507" s="17"/>
      <c r="J11507" s="17" t="s">
        <v>23304</v>
      </c>
      <c r="K11507" s="17"/>
      <c r="L11507" s="17" t="s">
        <v>23305</v>
      </c>
      <c r="M11507" s="17"/>
      <c r="N11507" s="17" t="s">
        <v>23306</v>
      </c>
      <c r="O11507" s="17"/>
      <c r="P11507" s="17" t="s">
        <v>23530</v>
      </c>
      <c r="Q11507" s="17"/>
      <c r="R11507" s="25" t="str">
        <f>HYPERLINK("https://ictv.global/taxonomy/taxondetails?taxnode_id=202312597","Magoulivirus alphabotrytidis")</f>
        <v>Magoulivirus alphabotrytidis</v>
      </c>
      <c r="S11507" s="18" t="s">
        <v>30</v>
      </c>
      <c r="T11507" s="18" t="s">
        <v>23559</v>
      </c>
      <c r="U11507" s="18" t="s">
        <v>23560</v>
      </c>
      <c r="V11507" s="18" t="s">
        <v>23561</v>
      </c>
      <c r="W11507" s="18" t="s">
        <v>23562</v>
      </c>
      <c r="X11507" s="18" t="s">
        <v>35</v>
      </c>
      <c r="Y11507" s="18" t="s">
        <v>17171</v>
      </c>
      <c r="Z11507" s="18" t="s">
        <v>16721</v>
      </c>
      <c r="AA11507" s="21" t="str">
        <f>HYPERLINK("https://www.ncbi.nlm.nih.gov/nuccore/MN605472","NCBI Nucleotide")</f>
        <v>NCBI Nucleotide</v>
      </c>
    </row>
    <row r="11508" spans="1:27" x14ac:dyDescent="0.35">
      <c r="A11508">
        <v>1012846</v>
      </c>
      <c r="B11508">
        <v>10828</v>
      </c>
      <c r="C11508">
        <v>2</v>
      </c>
      <c r="D11508" s="17" t="s">
        <v>17166</v>
      </c>
      <c r="E11508" s="17"/>
      <c r="F11508" s="17" t="s">
        <v>17246</v>
      </c>
      <c r="G11508" s="17"/>
      <c r="H11508" s="17" t="s">
        <v>20919</v>
      </c>
      <c r="I11508" s="17"/>
      <c r="J11508" s="17" t="s">
        <v>23304</v>
      </c>
      <c r="K11508" s="17"/>
      <c r="L11508" s="17" t="s">
        <v>23305</v>
      </c>
      <c r="M11508" s="17"/>
      <c r="N11508" s="17" t="s">
        <v>23306</v>
      </c>
      <c r="O11508" s="17"/>
      <c r="P11508" s="17" t="s">
        <v>23530</v>
      </c>
      <c r="Q11508" s="17"/>
      <c r="R11508" s="25" t="str">
        <f>HYPERLINK("https://ictv.global/taxonomy/taxondetails?taxnode_id=202312597","Magoulivirus alphabotrytidis")</f>
        <v>Magoulivirus alphabotrytidis</v>
      </c>
      <c r="S11508" s="18" t="s">
        <v>8141</v>
      </c>
      <c r="T11508" s="18" t="s">
        <v>23563</v>
      </c>
      <c r="U11508" s="18" t="s">
        <v>23564</v>
      </c>
      <c r="V11508" s="18" t="s">
        <v>23565</v>
      </c>
      <c r="W11508" s="18" t="s">
        <v>49402</v>
      </c>
      <c r="X11508" s="18" t="s">
        <v>35</v>
      </c>
      <c r="Y11508" s="18" t="s">
        <v>17171</v>
      </c>
      <c r="Z11508" s="18" t="s">
        <v>16721</v>
      </c>
      <c r="AA11508" s="21" t="str">
        <f>HYPERLINK("https://www.ncbi.nlm.nih.gov/nuccore/MN605474","NCBI Nucleotide")</f>
        <v>NCBI Nucleotide</v>
      </c>
    </row>
    <row r="11509" spans="1:27" x14ac:dyDescent="0.35">
      <c r="A11509">
        <v>1010298</v>
      </c>
      <c r="B11509">
        <v>10829</v>
      </c>
      <c r="C11509">
        <v>1</v>
      </c>
      <c r="D11509" s="17" t="s">
        <v>17166</v>
      </c>
      <c r="E11509" s="17"/>
      <c r="F11509" s="17" t="s">
        <v>17246</v>
      </c>
      <c r="G11509" s="17"/>
      <c r="H11509" s="17" t="s">
        <v>20919</v>
      </c>
      <c r="I11509" s="17"/>
      <c r="J11509" s="17" t="s">
        <v>23304</v>
      </c>
      <c r="K11509" s="17"/>
      <c r="L11509" s="17" t="s">
        <v>23305</v>
      </c>
      <c r="M11509" s="17"/>
      <c r="N11509" s="17" t="s">
        <v>23306</v>
      </c>
      <c r="O11509" s="17"/>
      <c r="P11509" s="17" t="s">
        <v>23530</v>
      </c>
      <c r="Q11509" s="17"/>
      <c r="R11509" s="25" t="str">
        <f>HYPERLINK("https://ictv.global/taxonomy/taxondetails?taxnode_id=202315011","Magoulivirus alphaheterobasidion")</f>
        <v>Magoulivirus alphaheterobasidion</v>
      </c>
      <c r="S11509" s="18" t="s">
        <v>30</v>
      </c>
      <c r="T11509" s="18" t="s">
        <v>23566</v>
      </c>
      <c r="U11509" s="18" t="s">
        <v>23567</v>
      </c>
      <c r="V11509" s="18" t="s">
        <v>23568</v>
      </c>
      <c r="W11509" s="18" t="s">
        <v>23569</v>
      </c>
      <c r="X11509" s="18" t="s">
        <v>35</v>
      </c>
      <c r="Y11509" s="18" t="s">
        <v>17171</v>
      </c>
      <c r="Z11509" s="18" t="s">
        <v>16721</v>
      </c>
      <c r="AA11509" s="21" t="str">
        <f>HYPERLINK("https://www.ncbi.nlm.nih.gov/nuccore/MZ502383","NCBI Nucleotide")</f>
        <v>NCBI Nucleotide</v>
      </c>
    </row>
    <row r="11510" spans="1:27" x14ac:dyDescent="0.35">
      <c r="A11510">
        <v>1010299</v>
      </c>
      <c r="B11510">
        <v>10830</v>
      </c>
      <c r="C11510">
        <v>1</v>
      </c>
      <c r="D11510" s="17" t="s">
        <v>17166</v>
      </c>
      <c r="E11510" s="17"/>
      <c r="F11510" s="17" t="s">
        <v>17246</v>
      </c>
      <c r="G11510" s="17"/>
      <c r="H11510" s="17" t="s">
        <v>20919</v>
      </c>
      <c r="I11510" s="17"/>
      <c r="J11510" s="17" t="s">
        <v>23304</v>
      </c>
      <c r="K11510" s="17"/>
      <c r="L11510" s="17" t="s">
        <v>23305</v>
      </c>
      <c r="M11510" s="17"/>
      <c r="N11510" s="17" t="s">
        <v>23306</v>
      </c>
      <c r="O11510" s="17"/>
      <c r="P11510" s="17" t="s">
        <v>23530</v>
      </c>
      <c r="Q11510" s="17"/>
      <c r="R11510" s="25" t="str">
        <f>HYPERLINK("https://ictv.global/taxonomy/taxondetails?taxnode_id=202312599","Magoulivirus alphamacrophominae")</f>
        <v>Magoulivirus alphamacrophominae</v>
      </c>
      <c r="S11510" s="18" t="s">
        <v>30</v>
      </c>
      <c r="T11510" s="18" t="s">
        <v>23570</v>
      </c>
      <c r="U11510" s="18" t="s">
        <v>23571</v>
      </c>
      <c r="V11510" s="18"/>
      <c r="W11510" s="18" t="s">
        <v>23572</v>
      </c>
      <c r="X11510" s="18" t="s">
        <v>35</v>
      </c>
      <c r="Y11510" s="18" t="s">
        <v>17171</v>
      </c>
      <c r="Z11510" s="18" t="s">
        <v>16721</v>
      </c>
      <c r="AA11510" s="21" t="str">
        <f>HYPERLINK("https://www.ncbi.nlm.nih.gov/nuccore/MT062429","NCBI Nucleotide")</f>
        <v>NCBI Nucleotide</v>
      </c>
    </row>
    <row r="11511" spans="1:27" x14ac:dyDescent="0.35">
      <c r="A11511">
        <v>1010300</v>
      </c>
      <c r="B11511">
        <v>10831</v>
      </c>
      <c r="C11511">
        <v>1</v>
      </c>
      <c r="D11511" s="17" t="s">
        <v>17166</v>
      </c>
      <c r="E11511" s="17"/>
      <c r="F11511" s="17" t="s">
        <v>17246</v>
      </c>
      <c r="G11511" s="17"/>
      <c r="H11511" s="17" t="s">
        <v>20919</v>
      </c>
      <c r="I11511" s="17"/>
      <c r="J11511" s="17" t="s">
        <v>23304</v>
      </c>
      <c r="K11511" s="17"/>
      <c r="L11511" s="17" t="s">
        <v>23305</v>
      </c>
      <c r="M11511" s="17"/>
      <c r="N11511" s="17" t="s">
        <v>23306</v>
      </c>
      <c r="O11511" s="17"/>
      <c r="P11511" s="17" t="s">
        <v>23530</v>
      </c>
      <c r="Q11511" s="17"/>
      <c r="R11511" s="25" t="str">
        <f>HYPERLINK("https://ictv.global/taxonomy/taxondetails?taxnode_id=202315010","Magoulivirus alphamellea")</f>
        <v>Magoulivirus alphamellea</v>
      </c>
      <c r="S11511" s="18" t="s">
        <v>30</v>
      </c>
      <c r="T11511" s="18" t="s">
        <v>23573</v>
      </c>
      <c r="U11511" s="18" t="s">
        <v>23574</v>
      </c>
      <c r="V11511" s="18" t="s">
        <v>23575</v>
      </c>
      <c r="W11511" s="18" t="s">
        <v>23576</v>
      </c>
      <c r="X11511" s="18" t="s">
        <v>35</v>
      </c>
      <c r="Y11511" s="18" t="s">
        <v>17171</v>
      </c>
      <c r="Z11511" s="18" t="s">
        <v>16721</v>
      </c>
      <c r="AA11511" s="21" t="str">
        <f>HYPERLINK("https://www.ncbi.nlm.nih.gov/nuccore/MW423803","NCBI Nucleotide")</f>
        <v>NCBI Nucleotide</v>
      </c>
    </row>
    <row r="11512" spans="1:27" x14ac:dyDescent="0.35">
      <c r="A11512">
        <v>1010301</v>
      </c>
      <c r="B11512">
        <v>10832</v>
      </c>
      <c r="C11512">
        <v>1</v>
      </c>
      <c r="D11512" s="17" t="s">
        <v>17166</v>
      </c>
      <c r="E11512" s="17"/>
      <c r="F11512" s="17" t="s">
        <v>17246</v>
      </c>
      <c r="G11512" s="17"/>
      <c r="H11512" s="17" t="s">
        <v>20919</v>
      </c>
      <c r="I11512" s="17"/>
      <c r="J11512" s="17" t="s">
        <v>23304</v>
      </c>
      <c r="K11512" s="17"/>
      <c r="L11512" s="17" t="s">
        <v>23305</v>
      </c>
      <c r="M11512" s="17"/>
      <c r="N11512" s="17" t="s">
        <v>23306</v>
      </c>
      <c r="O11512" s="17"/>
      <c r="P11512" s="17" t="s">
        <v>23530</v>
      </c>
      <c r="Q11512" s="17"/>
      <c r="R11512" s="25" t="str">
        <f>HYPERLINK("https://ictv.global/taxonomy/taxondetails?taxnode_id=202315012","Magoulivirus alphaodothidea")</f>
        <v>Magoulivirus alphaodothidea</v>
      </c>
      <c r="S11512" s="18" t="s">
        <v>30</v>
      </c>
      <c r="T11512" s="18" t="s">
        <v>23577</v>
      </c>
      <c r="U11512" s="18" t="s">
        <v>23578</v>
      </c>
      <c r="V11512" s="18" t="s">
        <v>23579</v>
      </c>
      <c r="W11512" s="18" t="s">
        <v>23580</v>
      </c>
      <c r="X11512" s="18" t="s">
        <v>35</v>
      </c>
      <c r="Y11512" s="18" t="s">
        <v>17171</v>
      </c>
      <c r="Z11512" s="18" t="s">
        <v>16721</v>
      </c>
      <c r="AA11512" s="21" t="str">
        <f>HYPERLINK("https://www.ncbi.nlm.nih.gov/nuccore/MK189195","NCBI Nucleotide")</f>
        <v>NCBI Nucleotide</v>
      </c>
    </row>
    <row r="11513" spans="1:27" x14ac:dyDescent="0.35">
      <c r="A11513">
        <v>1010302</v>
      </c>
      <c r="B11513">
        <v>10833</v>
      </c>
      <c r="C11513">
        <v>1</v>
      </c>
      <c r="D11513" s="17" t="s">
        <v>17166</v>
      </c>
      <c r="E11513" s="17"/>
      <c r="F11513" s="17" t="s">
        <v>17246</v>
      </c>
      <c r="G11513" s="17"/>
      <c r="H11513" s="17" t="s">
        <v>20919</v>
      </c>
      <c r="I11513" s="17"/>
      <c r="J11513" s="17" t="s">
        <v>23304</v>
      </c>
      <c r="K11513" s="17"/>
      <c r="L11513" s="17" t="s">
        <v>23305</v>
      </c>
      <c r="M11513" s="17"/>
      <c r="N11513" s="17" t="s">
        <v>23306</v>
      </c>
      <c r="O11513" s="17"/>
      <c r="P11513" s="17" t="s">
        <v>23530</v>
      </c>
      <c r="Q11513" s="17"/>
      <c r="R11513" s="25" t="str">
        <f>HYPERLINK("https://ictv.global/taxonomy/taxondetails?taxnode_id=202315008","Magoulivirus alphaoryzae")</f>
        <v>Magoulivirus alphaoryzae</v>
      </c>
      <c r="S11513" s="18" t="s">
        <v>30</v>
      </c>
      <c r="T11513" s="18" t="s">
        <v>23581</v>
      </c>
      <c r="U11513" s="18" t="s">
        <v>23582</v>
      </c>
      <c r="V11513" s="18" t="s">
        <v>23583</v>
      </c>
      <c r="W11513" s="18" t="s">
        <v>23584</v>
      </c>
      <c r="X11513" s="18" t="s">
        <v>35</v>
      </c>
      <c r="Y11513" s="18" t="s">
        <v>17171</v>
      </c>
      <c r="Z11513" s="18" t="s">
        <v>16721</v>
      </c>
      <c r="AA11513" s="21" t="str">
        <f>HYPERLINK("https://www.ncbi.nlm.nih.gov/nuccore/MW117114","NCBI Nucleotide")</f>
        <v>NCBI Nucleotide</v>
      </c>
    </row>
    <row r="11514" spans="1:27" x14ac:dyDescent="0.35">
      <c r="A11514">
        <v>1010303</v>
      </c>
      <c r="B11514">
        <v>10834</v>
      </c>
      <c r="C11514">
        <v>1</v>
      </c>
      <c r="D11514" s="17" t="s">
        <v>17166</v>
      </c>
      <c r="E11514" s="17"/>
      <c r="F11514" s="17" t="s">
        <v>17246</v>
      </c>
      <c r="G11514" s="17"/>
      <c r="H11514" s="17" t="s">
        <v>20919</v>
      </c>
      <c r="I11514" s="17"/>
      <c r="J11514" s="17" t="s">
        <v>23304</v>
      </c>
      <c r="K11514" s="17"/>
      <c r="L11514" s="17" t="s">
        <v>23305</v>
      </c>
      <c r="M11514" s="17"/>
      <c r="N11514" s="17" t="s">
        <v>23306</v>
      </c>
      <c r="O11514" s="17"/>
      <c r="P11514" s="17" t="s">
        <v>23530</v>
      </c>
      <c r="Q11514" s="17"/>
      <c r="R11514" s="25" t="str">
        <f>HYPERLINK("https://ictv.global/taxonomy/taxondetails?taxnode_id=202315009","Magoulivirus alphaoxyspori")</f>
        <v>Magoulivirus alphaoxyspori</v>
      </c>
      <c r="S11514" s="18" t="s">
        <v>30</v>
      </c>
      <c r="T11514" s="18" t="s">
        <v>23585</v>
      </c>
      <c r="U11514" s="18" t="s">
        <v>23586</v>
      </c>
      <c r="V11514" s="18" t="s">
        <v>23587</v>
      </c>
      <c r="W11514" s="18" t="s">
        <v>23588</v>
      </c>
      <c r="X11514" s="18" t="s">
        <v>35</v>
      </c>
      <c r="Y11514" s="18" t="s">
        <v>17171</v>
      </c>
      <c r="Z11514" s="18" t="s">
        <v>16721</v>
      </c>
      <c r="AA11514" s="21" t="str">
        <f>HYPERLINK("https://www.ncbi.nlm.nih.gov/nuccore/MT551010","NCBI Nucleotide")</f>
        <v>NCBI Nucleotide</v>
      </c>
    </row>
    <row r="11515" spans="1:27" x14ac:dyDescent="0.35">
      <c r="A11515">
        <v>1010304</v>
      </c>
      <c r="B11515">
        <v>10835</v>
      </c>
      <c r="C11515">
        <v>1</v>
      </c>
      <c r="D11515" s="17" t="s">
        <v>17166</v>
      </c>
      <c r="E11515" s="17"/>
      <c r="F11515" s="17" t="s">
        <v>17246</v>
      </c>
      <c r="G11515" s="17"/>
      <c r="H11515" s="17" t="s">
        <v>20919</v>
      </c>
      <c r="I11515" s="17"/>
      <c r="J11515" s="17" t="s">
        <v>23304</v>
      </c>
      <c r="K11515" s="17"/>
      <c r="L11515" s="17" t="s">
        <v>23305</v>
      </c>
      <c r="M11515" s="17"/>
      <c r="N11515" s="17" t="s">
        <v>23306</v>
      </c>
      <c r="O11515" s="17"/>
      <c r="P11515" s="17" t="s">
        <v>23530</v>
      </c>
      <c r="Q11515" s="17"/>
      <c r="R11515" s="25" t="str">
        <f>HYPERLINK("https://ictv.global/taxonomy/taxondetails?taxnode_id=202312602","Magoulivirus alphaplasmoparae")</f>
        <v>Magoulivirus alphaplasmoparae</v>
      </c>
      <c r="S11515" s="18" t="s">
        <v>30</v>
      </c>
      <c r="T11515" s="18" t="s">
        <v>23589</v>
      </c>
      <c r="U11515" s="18" t="s">
        <v>23590</v>
      </c>
      <c r="V11515" s="18" t="s">
        <v>23591</v>
      </c>
      <c r="W11515" s="18" t="s">
        <v>23592</v>
      </c>
      <c r="X11515" s="18" t="s">
        <v>35</v>
      </c>
      <c r="Y11515" s="18" t="s">
        <v>17171</v>
      </c>
      <c r="Z11515" s="18" t="s">
        <v>41209</v>
      </c>
      <c r="AA11515" s="21" t="str">
        <f>HYPERLINK("https://www.ncbi.nlm.nih.gov/nuccore/MN532592","NCBI Nucleotide")</f>
        <v>NCBI Nucleotide</v>
      </c>
    </row>
    <row r="11516" spans="1:27" x14ac:dyDescent="0.35">
      <c r="A11516">
        <v>1010305</v>
      </c>
      <c r="B11516">
        <v>10836</v>
      </c>
      <c r="C11516">
        <v>1</v>
      </c>
      <c r="D11516" s="17" t="s">
        <v>17166</v>
      </c>
      <c r="E11516" s="17"/>
      <c r="F11516" s="17" t="s">
        <v>17246</v>
      </c>
      <c r="G11516" s="17"/>
      <c r="H11516" s="17" t="s">
        <v>20919</v>
      </c>
      <c r="I11516" s="17"/>
      <c r="J11516" s="17" t="s">
        <v>23304</v>
      </c>
      <c r="K11516" s="17"/>
      <c r="L11516" s="17" t="s">
        <v>23305</v>
      </c>
      <c r="M11516" s="17"/>
      <c r="N11516" s="17" t="s">
        <v>23306</v>
      </c>
      <c r="O11516" s="17"/>
      <c r="P11516" s="17" t="s">
        <v>23530</v>
      </c>
      <c r="Q11516" s="17"/>
      <c r="R11516" s="25" t="str">
        <f>HYPERLINK("https://ictv.global/taxonomy/taxondetails?taxnode_id=202312598","Magoulivirus betabotrytidis")</f>
        <v>Magoulivirus betabotrytidis</v>
      </c>
      <c r="S11516" s="18" t="s">
        <v>30</v>
      </c>
      <c r="T11516" s="18" t="s">
        <v>23593</v>
      </c>
      <c r="U11516" s="18" t="s">
        <v>23594</v>
      </c>
      <c r="V11516" s="18" t="s">
        <v>23595</v>
      </c>
      <c r="W11516" s="18" t="s">
        <v>23596</v>
      </c>
      <c r="X11516" s="18" t="s">
        <v>35</v>
      </c>
      <c r="Y11516" s="18" t="s">
        <v>17171</v>
      </c>
      <c r="Z11516" s="18" t="s">
        <v>16721</v>
      </c>
      <c r="AA11516" s="21" t="str">
        <f>HYPERLINK("https://www.ncbi.nlm.nih.gov/nuccore/MN605473","NCBI Nucleotide")</f>
        <v>NCBI Nucleotide</v>
      </c>
    </row>
    <row r="11517" spans="1:27" x14ac:dyDescent="0.35">
      <c r="A11517">
        <v>1010306</v>
      </c>
      <c r="B11517">
        <v>10837</v>
      </c>
      <c r="C11517">
        <v>1</v>
      </c>
      <c r="D11517" s="17" t="s">
        <v>17166</v>
      </c>
      <c r="E11517" s="17"/>
      <c r="F11517" s="17" t="s">
        <v>17246</v>
      </c>
      <c r="G11517" s="17"/>
      <c r="H11517" s="17" t="s">
        <v>20919</v>
      </c>
      <c r="I11517" s="17"/>
      <c r="J11517" s="17" t="s">
        <v>23304</v>
      </c>
      <c r="K11517" s="17"/>
      <c r="L11517" s="17" t="s">
        <v>23305</v>
      </c>
      <c r="M11517" s="17"/>
      <c r="N11517" s="17" t="s">
        <v>23306</v>
      </c>
      <c r="O11517" s="17"/>
      <c r="P11517" s="17" t="s">
        <v>23530</v>
      </c>
      <c r="Q11517" s="17"/>
      <c r="R11517" s="25" t="str">
        <f>HYPERLINK("https://ictv.global/taxonomy/taxondetails?taxnode_id=202312600","Magoulivirus betamacrophominae")</f>
        <v>Magoulivirus betamacrophominae</v>
      </c>
      <c r="S11517" s="18" t="s">
        <v>30</v>
      </c>
      <c r="T11517" s="18" t="s">
        <v>23597</v>
      </c>
      <c r="U11517" s="18" t="s">
        <v>23598</v>
      </c>
      <c r="V11517" s="18"/>
      <c r="W11517" s="18" t="s">
        <v>23599</v>
      </c>
      <c r="X11517" s="18" t="s">
        <v>35</v>
      </c>
      <c r="Y11517" s="18" t="s">
        <v>17171</v>
      </c>
      <c r="Z11517" s="18" t="s">
        <v>16721</v>
      </c>
      <c r="AA11517" s="21" t="str">
        <f>HYPERLINK("https://www.ncbi.nlm.nih.gov/nuccore/MT062430","NCBI Nucleotide")</f>
        <v>NCBI Nucleotide</v>
      </c>
    </row>
    <row r="11518" spans="1:27" x14ac:dyDescent="0.35">
      <c r="A11518">
        <v>1010307</v>
      </c>
      <c r="B11518">
        <v>10838</v>
      </c>
      <c r="C11518">
        <v>1</v>
      </c>
      <c r="D11518" s="17" t="s">
        <v>17166</v>
      </c>
      <c r="E11518" s="17"/>
      <c r="F11518" s="17" t="s">
        <v>17246</v>
      </c>
      <c r="G11518" s="17"/>
      <c r="H11518" s="17" t="s">
        <v>20919</v>
      </c>
      <c r="I11518" s="17"/>
      <c r="J11518" s="17" t="s">
        <v>23304</v>
      </c>
      <c r="K11518" s="17"/>
      <c r="L11518" s="17" t="s">
        <v>23305</v>
      </c>
      <c r="M11518" s="17"/>
      <c r="N11518" s="17" t="s">
        <v>23306</v>
      </c>
      <c r="O11518" s="17"/>
      <c r="P11518" s="17" t="s">
        <v>23530</v>
      </c>
      <c r="Q11518" s="17"/>
      <c r="R11518" s="25" t="str">
        <f>HYPERLINK("https://ictv.global/taxonomy/taxondetails?taxnode_id=202312603","Magoulivirus betaplasmoparae")</f>
        <v>Magoulivirus betaplasmoparae</v>
      </c>
      <c r="S11518" s="18" t="s">
        <v>30</v>
      </c>
      <c r="T11518" s="18" t="s">
        <v>23600</v>
      </c>
      <c r="U11518" s="18" t="s">
        <v>23601</v>
      </c>
      <c r="V11518" s="18" t="s">
        <v>23602</v>
      </c>
      <c r="W11518" s="18" t="s">
        <v>23603</v>
      </c>
      <c r="X11518" s="18" t="s">
        <v>35</v>
      </c>
      <c r="Y11518" s="18" t="s">
        <v>17171</v>
      </c>
      <c r="Z11518" s="18" t="s">
        <v>41209</v>
      </c>
      <c r="AA11518" s="21" t="str">
        <f>HYPERLINK("https://www.ncbi.nlm.nih.gov/nuccore/MN532593","NCBI Nucleotide")</f>
        <v>NCBI Nucleotide</v>
      </c>
    </row>
    <row r="11519" spans="1:27" x14ac:dyDescent="0.35">
      <c r="A11519">
        <v>1010308</v>
      </c>
      <c r="B11519">
        <v>10839</v>
      </c>
      <c r="C11519">
        <v>1</v>
      </c>
      <c r="D11519" s="17" t="s">
        <v>17166</v>
      </c>
      <c r="E11519" s="17"/>
      <c r="F11519" s="17" t="s">
        <v>17246</v>
      </c>
      <c r="G11519" s="17"/>
      <c r="H11519" s="17" t="s">
        <v>20919</v>
      </c>
      <c r="I11519" s="17"/>
      <c r="J11519" s="17" t="s">
        <v>23304</v>
      </c>
      <c r="K11519" s="17"/>
      <c r="L11519" s="17" t="s">
        <v>23305</v>
      </c>
      <c r="M11519" s="17"/>
      <c r="N11519" s="17" t="s">
        <v>23306</v>
      </c>
      <c r="O11519" s="17"/>
      <c r="P11519" s="17" t="s">
        <v>23530</v>
      </c>
      <c r="Q11519" s="17"/>
      <c r="R11519" s="25" t="str">
        <f>HYPERLINK("https://ictv.global/taxonomy/taxondetails?taxnode_id=202312605","Magoulivirus deltaplasmoparae")</f>
        <v>Magoulivirus deltaplasmoparae</v>
      </c>
      <c r="S11519" s="18" t="s">
        <v>30</v>
      </c>
      <c r="T11519" s="18" t="s">
        <v>23604</v>
      </c>
      <c r="U11519" s="18" t="s">
        <v>23605</v>
      </c>
      <c r="V11519" s="18" t="s">
        <v>23606</v>
      </c>
      <c r="W11519" s="18" t="s">
        <v>23607</v>
      </c>
      <c r="X11519" s="18" t="s">
        <v>35</v>
      </c>
      <c r="Y11519" s="18" t="s">
        <v>17171</v>
      </c>
      <c r="Z11519" s="18" t="s">
        <v>41209</v>
      </c>
      <c r="AA11519" s="21" t="str">
        <f>HYPERLINK("https://www.ncbi.nlm.nih.gov/nuccore/MN532595","NCBI Nucleotide")</f>
        <v>NCBI Nucleotide</v>
      </c>
    </row>
    <row r="11520" spans="1:27" x14ac:dyDescent="0.35">
      <c r="A11520">
        <v>1010309</v>
      </c>
      <c r="B11520">
        <v>10840</v>
      </c>
      <c r="C11520">
        <v>1</v>
      </c>
      <c r="D11520" s="17" t="s">
        <v>17166</v>
      </c>
      <c r="E11520" s="17"/>
      <c r="F11520" s="17" t="s">
        <v>17246</v>
      </c>
      <c r="G11520" s="17"/>
      <c r="H11520" s="17" t="s">
        <v>20919</v>
      </c>
      <c r="I11520" s="17"/>
      <c r="J11520" s="17" t="s">
        <v>23304</v>
      </c>
      <c r="K11520" s="17"/>
      <c r="L11520" s="17" t="s">
        <v>23305</v>
      </c>
      <c r="M11520" s="17"/>
      <c r="N11520" s="17" t="s">
        <v>23306</v>
      </c>
      <c r="O11520" s="17"/>
      <c r="P11520" s="17" t="s">
        <v>23530</v>
      </c>
      <c r="Q11520" s="17"/>
      <c r="R11520" s="25" t="str">
        <f>HYPERLINK("https://ictv.global/taxonomy/taxondetails?taxnode_id=202312606","Magoulivirus epsilonplasmoparae")</f>
        <v>Magoulivirus epsilonplasmoparae</v>
      </c>
      <c r="S11520" s="18" t="s">
        <v>30</v>
      </c>
      <c r="T11520" s="18" t="s">
        <v>23608</v>
      </c>
      <c r="U11520" s="18" t="s">
        <v>23609</v>
      </c>
      <c r="V11520" s="18" t="s">
        <v>23610</v>
      </c>
      <c r="W11520" s="18" t="s">
        <v>23611</v>
      </c>
      <c r="X11520" s="18" t="s">
        <v>35</v>
      </c>
      <c r="Y11520" s="18" t="s">
        <v>17171</v>
      </c>
      <c r="Z11520" s="18" t="s">
        <v>41209</v>
      </c>
      <c r="AA11520" s="21" t="str">
        <f>HYPERLINK("https://www.ncbi.nlm.nih.gov/nuccore/MN532596","NCBI Nucleotide")</f>
        <v>NCBI Nucleotide</v>
      </c>
    </row>
    <row r="11521" spans="1:27" x14ac:dyDescent="0.35">
      <c r="A11521">
        <v>1010310</v>
      </c>
      <c r="B11521">
        <v>10841</v>
      </c>
      <c r="C11521">
        <v>1</v>
      </c>
      <c r="D11521" s="17" t="s">
        <v>17166</v>
      </c>
      <c r="E11521" s="17"/>
      <c r="F11521" s="17" t="s">
        <v>17246</v>
      </c>
      <c r="G11521" s="17"/>
      <c r="H11521" s="17" t="s">
        <v>20919</v>
      </c>
      <c r="I11521" s="17"/>
      <c r="J11521" s="17" t="s">
        <v>23304</v>
      </c>
      <c r="K11521" s="17"/>
      <c r="L11521" s="17" t="s">
        <v>23305</v>
      </c>
      <c r="M11521" s="17"/>
      <c r="N11521" s="17" t="s">
        <v>23306</v>
      </c>
      <c r="O11521" s="17"/>
      <c r="P11521" s="17" t="s">
        <v>23530</v>
      </c>
      <c r="Q11521" s="17"/>
      <c r="R11521" s="25" t="str">
        <f>HYPERLINK("https://ictv.global/taxonomy/taxondetails?taxnode_id=202313213","Magoulivirus etaplasmoparae")</f>
        <v>Magoulivirus etaplasmoparae</v>
      </c>
      <c r="S11521" s="18" t="s">
        <v>30</v>
      </c>
      <c r="T11521" s="18" t="s">
        <v>23612</v>
      </c>
      <c r="U11521" s="18" t="s">
        <v>23613</v>
      </c>
      <c r="V11521" s="18" t="s">
        <v>23614</v>
      </c>
      <c r="W11521" s="18" t="s">
        <v>23615</v>
      </c>
      <c r="X11521" s="18" t="s">
        <v>35</v>
      </c>
      <c r="Y11521" s="18" t="s">
        <v>17171</v>
      </c>
      <c r="Z11521" s="18" t="s">
        <v>41209</v>
      </c>
      <c r="AA11521" s="21" t="str">
        <f>HYPERLINK("https://www.ncbi.nlm.nih.gov/nuccore/MN532598","NCBI Nucleotide")</f>
        <v>NCBI Nucleotide</v>
      </c>
    </row>
    <row r="11522" spans="1:27" x14ac:dyDescent="0.35">
      <c r="A11522">
        <v>1010311</v>
      </c>
      <c r="B11522">
        <v>10842</v>
      </c>
      <c r="C11522">
        <v>1</v>
      </c>
      <c r="D11522" s="17" t="s">
        <v>17166</v>
      </c>
      <c r="E11522" s="17"/>
      <c r="F11522" s="17" t="s">
        <v>17246</v>
      </c>
      <c r="G11522" s="17"/>
      <c r="H11522" s="17" t="s">
        <v>20919</v>
      </c>
      <c r="I11522" s="17"/>
      <c r="J11522" s="17" t="s">
        <v>23304</v>
      </c>
      <c r="K11522" s="17"/>
      <c r="L11522" s="17" t="s">
        <v>23305</v>
      </c>
      <c r="M11522" s="17"/>
      <c r="N11522" s="17" t="s">
        <v>23306</v>
      </c>
      <c r="O11522" s="17"/>
      <c r="P11522" s="17" t="s">
        <v>23530</v>
      </c>
      <c r="Q11522" s="17"/>
      <c r="R11522" s="25" t="str">
        <f>HYPERLINK("https://ictv.global/taxonomy/taxondetails?taxnode_id=202313227","Magoulivirus fiplasmoparae")</f>
        <v>Magoulivirus fiplasmoparae</v>
      </c>
      <c r="S11522" s="18" t="s">
        <v>30</v>
      </c>
      <c r="T11522" s="18" t="s">
        <v>23616</v>
      </c>
      <c r="U11522" s="18" t="s">
        <v>23617</v>
      </c>
      <c r="V11522" s="18" t="s">
        <v>23618</v>
      </c>
      <c r="W11522" s="18" t="s">
        <v>23619</v>
      </c>
      <c r="X11522" s="18" t="s">
        <v>35</v>
      </c>
      <c r="Y11522" s="18" t="s">
        <v>17171</v>
      </c>
      <c r="Z11522" s="18" t="s">
        <v>41209</v>
      </c>
      <c r="AA11522" s="21" t="str">
        <f>HYPERLINK("https://www.ncbi.nlm.nih.gov/nuccore/MN532612","NCBI Nucleotide")</f>
        <v>NCBI Nucleotide</v>
      </c>
    </row>
    <row r="11523" spans="1:27" x14ac:dyDescent="0.35">
      <c r="A11523">
        <v>1010312</v>
      </c>
      <c r="B11523">
        <v>10843</v>
      </c>
      <c r="C11523">
        <v>1</v>
      </c>
      <c r="D11523" s="17" t="s">
        <v>17166</v>
      </c>
      <c r="E11523" s="17"/>
      <c r="F11523" s="17" t="s">
        <v>17246</v>
      </c>
      <c r="G11523" s="17"/>
      <c r="H11523" s="17" t="s">
        <v>20919</v>
      </c>
      <c r="I11523" s="17"/>
      <c r="J11523" s="17" t="s">
        <v>23304</v>
      </c>
      <c r="K11523" s="17"/>
      <c r="L11523" s="17" t="s">
        <v>23305</v>
      </c>
      <c r="M11523" s="17"/>
      <c r="N11523" s="17" t="s">
        <v>23306</v>
      </c>
      <c r="O11523" s="17"/>
      <c r="P11523" s="17" t="s">
        <v>23530</v>
      </c>
      <c r="Q11523" s="17"/>
      <c r="R11523" s="25" t="str">
        <f>HYPERLINK("https://ictv.global/taxonomy/taxondetails?taxnode_id=202312604","Magoulivirus gammaplasmoparae")</f>
        <v>Magoulivirus gammaplasmoparae</v>
      </c>
      <c r="S11523" s="18" t="s">
        <v>30</v>
      </c>
      <c r="T11523" s="18" t="s">
        <v>23620</v>
      </c>
      <c r="U11523" s="18" t="s">
        <v>23621</v>
      </c>
      <c r="V11523" s="18" t="s">
        <v>23622</v>
      </c>
      <c r="W11523" s="18" t="s">
        <v>23623</v>
      </c>
      <c r="X11523" s="18" t="s">
        <v>35</v>
      </c>
      <c r="Y11523" s="18" t="s">
        <v>17171</v>
      </c>
      <c r="Z11523" s="18" t="s">
        <v>41209</v>
      </c>
      <c r="AA11523" s="21" t="str">
        <f>HYPERLINK("https://www.ncbi.nlm.nih.gov/nuccore/MN532594","NCBI Nucleotide")</f>
        <v>NCBI Nucleotide</v>
      </c>
    </row>
    <row r="11524" spans="1:27" x14ac:dyDescent="0.35">
      <c r="A11524">
        <v>1010313</v>
      </c>
      <c r="B11524">
        <v>10844</v>
      </c>
      <c r="C11524">
        <v>1</v>
      </c>
      <c r="D11524" s="17" t="s">
        <v>17166</v>
      </c>
      <c r="E11524" s="17"/>
      <c r="F11524" s="17" t="s">
        <v>17246</v>
      </c>
      <c r="G11524" s="17"/>
      <c r="H11524" s="17" t="s">
        <v>20919</v>
      </c>
      <c r="I11524" s="17"/>
      <c r="J11524" s="17" t="s">
        <v>23304</v>
      </c>
      <c r="K11524" s="17"/>
      <c r="L11524" s="17" t="s">
        <v>23305</v>
      </c>
      <c r="M11524" s="17"/>
      <c r="N11524" s="17" t="s">
        <v>23306</v>
      </c>
      <c r="O11524" s="17"/>
      <c r="P11524" s="17" t="s">
        <v>23530</v>
      </c>
      <c r="Q11524" s="17"/>
      <c r="R11524" s="25" t="str">
        <f>HYPERLINK("https://ictv.global/taxonomy/taxondetails?taxnode_id=202313215","Magoulivirus iotaplasmoparae")</f>
        <v>Magoulivirus iotaplasmoparae</v>
      </c>
      <c r="S11524" s="18" t="s">
        <v>30</v>
      </c>
      <c r="T11524" s="18" t="s">
        <v>23624</v>
      </c>
      <c r="U11524" s="18" t="s">
        <v>23625</v>
      </c>
      <c r="V11524" s="18" t="s">
        <v>23626</v>
      </c>
      <c r="W11524" s="18" t="s">
        <v>23627</v>
      </c>
      <c r="X11524" s="18" t="s">
        <v>35</v>
      </c>
      <c r="Y11524" s="18" t="s">
        <v>17171</v>
      </c>
      <c r="Z11524" s="18" t="s">
        <v>41209</v>
      </c>
      <c r="AA11524" s="21" t="str">
        <f>HYPERLINK("https://www.ncbi.nlm.nih.gov/nuccore/MN532600","NCBI Nucleotide")</f>
        <v>NCBI Nucleotide</v>
      </c>
    </row>
    <row r="11525" spans="1:27" x14ac:dyDescent="0.35">
      <c r="A11525">
        <v>1010314</v>
      </c>
      <c r="B11525">
        <v>10845</v>
      </c>
      <c r="C11525">
        <v>1</v>
      </c>
      <c r="D11525" s="17" t="s">
        <v>17166</v>
      </c>
      <c r="E11525" s="17"/>
      <c r="F11525" s="17" t="s">
        <v>17246</v>
      </c>
      <c r="G11525" s="17"/>
      <c r="H11525" s="17" t="s">
        <v>20919</v>
      </c>
      <c r="I11525" s="17"/>
      <c r="J11525" s="17" t="s">
        <v>23304</v>
      </c>
      <c r="K11525" s="17"/>
      <c r="L11525" s="17" t="s">
        <v>23305</v>
      </c>
      <c r="M11525" s="17"/>
      <c r="N11525" s="17" t="s">
        <v>23306</v>
      </c>
      <c r="O11525" s="17"/>
      <c r="P11525" s="17" t="s">
        <v>23530</v>
      </c>
      <c r="Q11525" s="17"/>
      <c r="R11525" s="25" t="str">
        <f>HYPERLINK("https://ictv.global/taxonomy/taxondetails?taxnode_id=202313226","Magoulivirus ipsilonplasmoparae")</f>
        <v>Magoulivirus ipsilonplasmoparae</v>
      </c>
      <c r="S11525" s="18" t="s">
        <v>30</v>
      </c>
      <c r="T11525" s="18" t="s">
        <v>23628</v>
      </c>
      <c r="U11525" s="18" t="s">
        <v>23629</v>
      </c>
      <c r="V11525" s="18" t="s">
        <v>23630</v>
      </c>
      <c r="W11525" s="18" t="s">
        <v>23631</v>
      </c>
      <c r="X11525" s="18" t="s">
        <v>35</v>
      </c>
      <c r="Y11525" s="18" t="s">
        <v>17171</v>
      </c>
      <c r="Z11525" s="18" t="s">
        <v>41209</v>
      </c>
      <c r="AA11525" s="21" t="str">
        <f>HYPERLINK("https://www.ncbi.nlm.nih.gov/nuccore/MN532611","NCBI Nucleotide")</f>
        <v>NCBI Nucleotide</v>
      </c>
    </row>
    <row r="11526" spans="1:27" x14ac:dyDescent="0.35">
      <c r="A11526">
        <v>1010315</v>
      </c>
      <c r="B11526">
        <v>10846</v>
      </c>
      <c r="C11526">
        <v>1</v>
      </c>
      <c r="D11526" s="17" t="s">
        <v>17166</v>
      </c>
      <c r="E11526" s="17"/>
      <c r="F11526" s="17" t="s">
        <v>17246</v>
      </c>
      <c r="G11526" s="17"/>
      <c r="H11526" s="17" t="s">
        <v>20919</v>
      </c>
      <c r="I11526" s="17"/>
      <c r="J11526" s="17" t="s">
        <v>23304</v>
      </c>
      <c r="K11526" s="17"/>
      <c r="L11526" s="17" t="s">
        <v>23305</v>
      </c>
      <c r="M11526" s="17"/>
      <c r="N11526" s="17" t="s">
        <v>23306</v>
      </c>
      <c r="O11526" s="17"/>
      <c r="P11526" s="17" t="s">
        <v>23530</v>
      </c>
      <c r="Q11526" s="17"/>
      <c r="R11526" s="25" t="str">
        <f>HYPERLINK("https://ictv.global/taxonomy/taxondetails?taxnode_id=202313228","Magoulivirus jiplasmoparae")</f>
        <v>Magoulivirus jiplasmoparae</v>
      </c>
      <c r="S11526" s="18" t="s">
        <v>30</v>
      </c>
      <c r="T11526" s="18" t="s">
        <v>23632</v>
      </c>
      <c r="U11526" s="18" t="s">
        <v>23633</v>
      </c>
      <c r="V11526" s="18" t="s">
        <v>23634</v>
      </c>
      <c r="W11526" s="18" t="s">
        <v>23635</v>
      </c>
      <c r="X11526" s="18" t="s">
        <v>35</v>
      </c>
      <c r="Y11526" s="18" t="s">
        <v>17171</v>
      </c>
      <c r="Z11526" s="18" t="s">
        <v>41209</v>
      </c>
      <c r="AA11526" s="21" t="str">
        <f>HYPERLINK("https://www.ncbi.nlm.nih.gov/nuccore/MN532613","NCBI Nucleotide")</f>
        <v>NCBI Nucleotide</v>
      </c>
    </row>
    <row r="11527" spans="1:27" x14ac:dyDescent="0.35">
      <c r="A11527">
        <v>1010316</v>
      </c>
      <c r="B11527">
        <v>10847</v>
      </c>
      <c r="C11527">
        <v>1</v>
      </c>
      <c r="D11527" s="17" t="s">
        <v>17166</v>
      </c>
      <c r="E11527" s="17"/>
      <c r="F11527" s="17" t="s">
        <v>17246</v>
      </c>
      <c r="G11527" s="17"/>
      <c r="H11527" s="17" t="s">
        <v>20919</v>
      </c>
      <c r="I11527" s="17"/>
      <c r="J11527" s="17" t="s">
        <v>23304</v>
      </c>
      <c r="K11527" s="17"/>
      <c r="L11527" s="17" t="s">
        <v>23305</v>
      </c>
      <c r="M11527" s="17"/>
      <c r="N11527" s="17" t="s">
        <v>23306</v>
      </c>
      <c r="O11527" s="17"/>
      <c r="P11527" s="17" t="s">
        <v>23530</v>
      </c>
      <c r="Q11527" s="17"/>
      <c r="R11527" s="25" t="str">
        <f>HYPERLINK("https://ictv.global/taxonomy/taxondetails?taxnode_id=202313216","Magoulivirus kappaplasmoparae")</f>
        <v>Magoulivirus kappaplasmoparae</v>
      </c>
      <c r="S11527" s="18" t="s">
        <v>30</v>
      </c>
      <c r="T11527" s="18" t="s">
        <v>23636</v>
      </c>
      <c r="U11527" s="18" t="s">
        <v>23637</v>
      </c>
      <c r="V11527" s="18" t="s">
        <v>23638</v>
      </c>
      <c r="W11527" s="18" t="s">
        <v>23639</v>
      </c>
      <c r="X11527" s="18" t="s">
        <v>35</v>
      </c>
      <c r="Y11527" s="18" t="s">
        <v>17171</v>
      </c>
      <c r="Z11527" s="18" t="s">
        <v>41209</v>
      </c>
      <c r="AA11527" s="21" t="str">
        <f>HYPERLINK("https://www.ncbi.nlm.nih.gov/nuccore/MN532601","NCBI Nucleotide")</f>
        <v>NCBI Nucleotide</v>
      </c>
    </row>
    <row r="11528" spans="1:27" x14ac:dyDescent="0.35">
      <c r="A11528">
        <v>1010317</v>
      </c>
      <c r="B11528">
        <v>10848</v>
      </c>
      <c r="C11528">
        <v>1</v>
      </c>
      <c r="D11528" s="17" t="s">
        <v>17166</v>
      </c>
      <c r="E11528" s="17"/>
      <c r="F11528" s="17" t="s">
        <v>17246</v>
      </c>
      <c r="G11528" s="17"/>
      <c r="H11528" s="17" t="s">
        <v>20919</v>
      </c>
      <c r="I11528" s="17"/>
      <c r="J11528" s="17" t="s">
        <v>23304</v>
      </c>
      <c r="K11528" s="17"/>
      <c r="L11528" s="17" t="s">
        <v>23305</v>
      </c>
      <c r="M11528" s="17"/>
      <c r="N11528" s="17" t="s">
        <v>23306</v>
      </c>
      <c r="O11528" s="17"/>
      <c r="P11528" s="17" t="s">
        <v>23530</v>
      </c>
      <c r="Q11528" s="17"/>
      <c r="R11528" s="25" t="str">
        <f>HYPERLINK("https://ictv.global/taxonomy/taxondetails?taxnode_id=202313217","Magoulivirus lambdaplasmoparae")</f>
        <v>Magoulivirus lambdaplasmoparae</v>
      </c>
      <c r="S11528" s="18" t="s">
        <v>30</v>
      </c>
      <c r="T11528" s="18" t="s">
        <v>23640</v>
      </c>
      <c r="U11528" s="18" t="s">
        <v>23641</v>
      </c>
      <c r="V11528" s="18" t="s">
        <v>23642</v>
      </c>
      <c r="W11528" s="18" t="s">
        <v>23643</v>
      </c>
      <c r="X11528" s="18" t="s">
        <v>35</v>
      </c>
      <c r="Y11528" s="18" t="s">
        <v>17171</v>
      </c>
      <c r="Z11528" s="18" t="s">
        <v>41209</v>
      </c>
      <c r="AA11528" s="21" t="str">
        <f>HYPERLINK("https://www.ncbi.nlm.nih.gov/nuccore/MN532602","NCBI Nucleotide")</f>
        <v>NCBI Nucleotide</v>
      </c>
    </row>
    <row r="11529" spans="1:27" x14ac:dyDescent="0.35">
      <c r="A11529">
        <v>1010318</v>
      </c>
      <c r="B11529">
        <v>10849</v>
      </c>
      <c r="C11529">
        <v>1</v>
      </c>
      <c r="D11529" s="17" t="s">
        <v>17166</v>
      </c>
      <c r="E11529" s="17"/>
      <c r="F11529" s="17" t="s">
        <v>17246</v>
      </c>
      <c r="G11529" s="17"/>
      <c r="H11529" s="17" t="s">
        <v>20919</v>
      </c>
      <c r="I11529" s="17"/>
      <c r="J11529" s="17" t="s">
        <v>23304</v>
      </c>
      <c r="K11529" s="17"/>
      <c r="L11529" s="17" t="s">
        <v>23305</v>
      </c>
      <c r="M11529" s="17"/>
      <c r="N11529" s="17" t="s">
        <v>23306</v>
      </c>
      <c r="O11529" s="17"/>
      <c r="P11529" s="17" t="s">
        <v>23530</v>
      </c>
      <c r="Q11529" s="17"/>
      <c r="R11529" s="25" t="str">
        <f>HYPERLINK("https://ictv.global/taxonomy/taxondetails?taxnode_id=202312601","Magoulivirus malus")</f>
        <v>Magoulivirus malus</v>
      </c>
      <c r="S11529" s="18" t="s">
        <v>30</v>
      </c>
      <c r="T11529" s="18" t="s">
        <v>23644</v>
      </c>
      <c r="U11529" s="18" t="s">
        <v>23645</v>
      </c>
      <c r="V11529" s="18" t="s">
        <v>23646</v>
      </c>
      <c r="W11529" s="18" t="s">
        <v>23647</v>
      </c>
      <c r="X11529" s="18" t="s">
        <v>35</v>
      </c>
      <c r="Y11529" s="18" t="s">
        <v>17171</v>
      </c>
      <c r="Z11529" s="18" t="s">
        <v>13441</v>
      </c>
      <c r="AA11529" s="21" t="str">
        <f>HYPERLINK("https://www.ncbi.nlm.nih.gov/nuccore/MN386963","NCBI Nucleotide")</f>
        <v>NCBI Nucleotide</v>
      </c>
    </row>
    <row r="11530" spans="1:27" x14ac:dyDescent="0.35">
      <c r="A11530">
        <v>1010319</v>
      </c>
      <c r="B11530">
        <v>10850</v>
      </c>
      <c r="C11530">
        <v>1</v>
      </c>
      <c r="D11530" s="17" t="s">
        <v>17166</v>
      </c>
      <c r="E11530" s="17"/>
      <c r="F11530" s="17" t="s">
        <v>17246</v>
      </c>
      <c r="G11530" s="17"/>
      <c r="H11530" s="17" t="s">
        <v>20919</v>
      </c>
      <c r="I11530" s="17"/>
      <c r="J11530" s="17" t="s">
        <v>23304</v>
      </c>
      <c r="K11530" s="17"/>
      <c r="L11530" s="17" t="s">
        <v>23305</v>
      </c>
      <c r="M11530" s="17"/>
      <c r="N11530" s="17" t="s">
        <v>23306</v>
      </c>
      <c r="O11530" s="17"/>
      <c r="P11530" s="17" t="s">
        <v>23530</v>
      </c>
      <c r="Q11530" s="17"/>
      <c r="R11530" s="25" t="str">
        <f>HYPERLINK("https://ictv.global/taxonomy/taxondetails?taxnode_id=202313218","Magoulivirus miplasmoparae")</f>
        <v>Magoulivirus miplasmoparae</v>
      </c>
      <c r="S11530" s="18" t="s">
        <v>30</v>
      </c>
      <c r="T11530" s="18" t="s">
        <v>23648</v>
      </c>
      <c r="U11530" s="18" t="s">
        <v>23649</v>
      </c>
      <c r="V11530" s="18" t="s">
        <v>23650</v>
      </c>
      <c r="W11530" s="18" t="s">
        <v>23651</v>
      </c>
      <c r="X11530" s="18" t="s">
        <v>35</v>
      </c>
      <c r="Y11530" s="18" t="s">
        <v>17171</v>
      </c>
      <c r="Z11530" s="18" t="s">
        <v>41209</v>
      </c>
      <c r="AA11530" s="21" t="str">
        <f>HYPERLINK("https://www.ncbi.nlm.nih.gov/nuccore/MN532603","NCBI Nucleotide")</f>
        <v>NCBI Nucleotide</v>
      </c>
    </row>
    <row r="11531" spans="1:27" x14ac:dyDescent="0.35">
      <c r="A11531">
        <v>1010320</v>
      </c>
      <c r="B11531">
        <v>10851</v>
      </c>
      <c r="C11531">
        <v>1</v>
      </c>
      <c r="D11531" s="17" t="s">
        <v>17166</v>
      </c>
      <c r="E11531" s="17"/>
      <c r="F11531" s="17" t="s">
        <v>17246</v>
      </c>
      <c r="G11531" s="17"/>
      <c r="H11531" s="17" t="s">
        <v>20919</v>
      </c>
      <c r="I11531" s="17"/>
      <c r="J11531" s="17" t="s">
        <v>23304</v>
      </c>
      <c r="K11531" s="17"/>
      <c r="L11531" s="17" t="s">
        <v>23305</v>
      </c>
      <c r="M11531" s="17"/>
      <c r="N11531" s="17" t="s">
        <v>23306</v>
      </c>
      <c r="O11531" s="17"/>
      <c r="P11531" s="17" t="s">
        <v>23530</v>
      </c>
      <c r="Q11531" s="17"/>
      <c r="R11531" s="25" t="str">
        <f>HYPERLINK("https://ictv.global/taxonomy/taxondetails?taxnode_id=202313219","Magoulivirus niplasmoparae")</f>
        <v>Magoulivirus niplasmoparae</v>
      </c>
      <c r="S11531" s="18" t="s">
        <v>30</v>
      </c>
      <c r="T11531" s="18" t="s">
        <v>23652</v>
      </c>
      <c r="U11531" s="18" t="s">
        <v>23653</v>
      </c>
      <c r="V11531" s="18" t="s">
        <v>23654</v>
      </c>
      <c r="W11531" s="18" t="s">
        <v>23655</v>
      </c>
      <c r="X11531" s="18" t="s">
        <v>35</v>
      </c>
      <c r="Y11531" s="18" t="s">
        <v>17171</v>
      </c>
      <c r="Z11531" s="18" t="s">
        <v>41209</v>
      </c>
      <c r="AA11531" s="21" t="str">
        <f>HYPERLINK("https://www.ncbi.nlm.nih.gov/nuccore/MN532604","NCBI Nucleotide")</f>
        <v>NCBI Nucleotide</v>
      </c>
    </row>
    <row r="11532" spans="1:27" x14ac:dyDescent="0.35">
      <c r="A11532">
        <v>1010321</v>
      </c>
      <c r="B11532">
        <v>10852</v>
      </c>
      <c r="C11532">
        <v>1</v>
      </c>
      <c r="D11532" s="17" t="s">
        <v>17166</v>
      </c>
      <c r="E11532" s="17"/>
      <c r="F11532" s="17" t="s">
        <v>17246</v>
      </c>
      <c r="G11532" s="17"/>
      <c r="H11532" s="17" t="s">
        <v>20919</v>
      </c>
      <c r="I11532" s="17"/>
      <c r="J11532" s="17" t="s">
        <v>23304</v>
      </c>
      <c r="K11532" s="17"/>
      <c r="L11532" s="17" t="s">
        <v>23305</v>
      </c>
      <c r="M11532" s="17"/>
      <c r="N11532" s="17" t="s">
        <v>23306</v>
      </c>
      <c r="O11532" s="17"/>
      <c r="P11532" s="17" t="s">
        <v>23530</v>
      </c>
      <c r="Q11532" s="17"/>
      <c r="R11532" s="25" t="str">
        <f>HYPERLINK("https://ictv.global/taxonomy/taxondetails?taxnode_id=202313230","Magoulivirus omegaplasmoparae")</f>
        <v>Magoulivirus omegaplasmoparae</v>
      </c>
      <c r="S11532" s="18" t="s">
        <v>30</v>
      </c>
      <c r="T11532" s="18" t="s">
        <v>23656</v>
      </c>
      <c r="U11532" s="18" t="s">
        <v>23657</v>
      </c>
      <c r="V11532" s="18" t="s">
        <v>23658</v>
      </c>
      <c r="W11532" s="18" t="s">
        <v>23659</v>
      </c>
      <c r="X11532" s="18" t="s">
        <v>35</v>
      </c>
      <c r="Y11532" s="18" t="s">
        <v>17171</v>
      </c>
      <c r="Z11532" s="18" t="s">
        <v>41209</v>
      </c>
      <c r="AA11532" s="21" t="str">
        <f>HYPERLINK("https://www.ncbi.nlm.nih.gov/nuccore/MN532616","NCBI Nucleotide")</f>
        <v>NCBI Nucleotide</v>
      </c>
    </row>
    <row r="11533" spans="1:27" x14ac:dyDescent="0.35">
      <c r="A11533">
        <v>1010322</v>
      </c>
      <c r="B11533">
        <v>10853</v>
      </c>
      <c r="C11533">
        <v>1</v>
      </c>
      <c r="D11533" s="17" t="s">
        <v>17166</v>
      </c>
      <c r="E11533" s="17"/>
      <c r="F11533" s="17" t="s">
        <v>17246</v>
      </c>
      <c r="G11533" s="17"/>
      <c r="H11533" s="17" t="s">
        <v>20919</v>
      </c>
      <c r="I11533" s="17"/>
      <c r="J11533" s="17" t="s">
        <v>23304</v>
      </c>
      <c r="K11533" s="17"/>
      <c r="L11533" s="17" t="s">
        <v>23305</v>
      </c>
      <c r="M11533" s="17"/>
      <c r="N11533" s="17" t="s">
        <v>23306</v>
      </c>
      <c r="O11533" s="17"/>
      <c r="P11533" s="17" t="s">
        <v>23530</v>
      </c>
      <c r="Q11533" s="17"/>
      <c r="R11533" s="25" t="str">
        <f>HYPERLINK("https://ictv.global/taxonomy/taxondetails?taxnode_id=202313221","Magoulivirus omicronplasmoparae")</f>
        <v>Magoulivirus omicronplasmoparae</v>
      </c>
      <c r="S11533" s="18" t="s">
        <v>30</v>
      </c>
      <c r="T11533" s="18" t="s">
        <v>23660</v>
      </c>
      <c r="U11533" s="18" t="s">
        <v>23661</v>
      </c>
      <c r="V11533" s="18" t="s">
        <v>23662</v>
      </c>
      <c r="W11533" s="18" t="s">
        <v>23663</v>
      </c>
      <c r="X11533" s="18" t="s">
        <v>35</v>
      </c>
      <c r="Y11533" s="18" t="s">
        <v>17171</v>
      </c>
      <c r="Z11533" s="18" t="s">
        <v>41209</v>
      </c>
      <c r="AA11533" s="21" t="str">
        <f>HYPERLINK("https://www.ncbi.nlm.nih.gov/nuccore/MN532606","NCBI Nucleotide")</f>
        <v>NCBI Nucleotide</v>
      </c>
    </row>
    <row r="11534" spans="1:27" x14ac:dyDescent="0.35">
      <c r="A11534">
        <v>1010323</v>
      </c>
      <c r="B11534">
        <v>10854</v>
      </c>
      <c r="C11534">
        <v>1</v>
      </c>
      <c r="D11534" s="17" t="s">
        <v>17166</v>
      </c>
      <c r="E11534" s="17"/>
      <c r="F11534" s="17" t="s">
        <v>17246</v>
      </c>
      <c r="G11534" s="17"/>
      <c r="H11534" s="17" t="s">
        <v>20919</v>
      </c>
      <c r="I11534" s="17"/>
      <c r="J11534" s="17" t="s">
        <v>23304</v>
      </c>
      <c r="K11534" s="17"/>
      <c r="L11534" s="17" t="s">
        <v>23305</v>
      </c>
      <c r="M11534" s="17"/>
      <c r="N11534" s="17" t="s">
        <v>23306</v>
      </c>
      <c r="O11534" s="17"/>
      <c r="P11534" s="17" t="s">
        <v>23530</v>
      </c>
      <c r="Q11534" s="17"/>
      <c r="R11534" s="25" t="str">
        <f>HYPERLINK("https://ictv.global/taxonomy/taxondetails?taxnode_id=202313222","Magoulivirus piplasmoparae")</f>
        <v>Magoulivirus piplasmoparae</v>
      </c>
      <c r="S11534" s="18" t="s">
        <v>30</v>
      </c>
      <c r="T11534" s="18" t="s">
        <v>23664</v>
      </c>
      <c r="U11534" s="18" t="s">
        <v>23665</v>
      </c>
      <c r="V11534" s="18" t="s">
        <v>23666</v>
      </c>
      <c r="W11534" s="18" t="s">
        <v>23667</v>
      </c>
      <c r="X11534" s="18" t="s">
        <v>35</v>
      </c>
      <c r="Y11534" s="18" t="s">
        <v>17171</v>
      </c>
      <c r="Z11534" s="18" t="s">
        <v>41209</v>
      </c>
      <c r="AA11534" s="21" t="str">
        <f>HYPERLINK("https://www.ncbi.nlm.nih.gov/nuccore/MN532607","NCBI Nucleotide")</f>
        <v>NCBI Nucleotide</v>
      </c>
    </row>
    <row r="11535" spans="1:27" x14ac:dyDescent="0.35">
      <c r="A11535">
        <v>1010324</v>
      </c>
      <c r="B11535">
        <v>10855</v>
      </c>
      <c r="C11535">
        <v>1</v>
      </c>
      <c r="D11535" s="17" t="s">
        <v>17166</v>
      </c>
      <c r="E11535" s="17"/>
      <c r="F11535" s="17" t="s">
        <v>17246</v>
      </c>
      <c r="G11535" s="17"/>
      <c r="H11535" s="17" t="s">
        <v>20919</v>
      </c>
      <c r="I11535" s="17"/>
      <c r="J11535" s="17" t="s">
        <v>23304</v>
      </c>
      <c r="K11535" s="17"/>
      <c r="L11535" s="17" t="s">
        <v>23305</v>
      </c>
      <c r="M11535" s="17"/>
      <c r="N11535" s="17" t="s">
        <v>23306</v>
      </c>
      <c r="O11535" s="17"/>
      <c r="P11535" s="17" t="s">
        <v>23530</v>
      </c>
      <c r="Q11535" s="17"/>
      <c r="R11535" s="25" t="str">
        <f>HYPERLINK("https://ictv.global/taxonomy/taxondetails?taxnode_id=202313229","Magoulivirus psiplasmoparae")</f>
        <v>Magoulivirus psiplasmoparae</v>
      </c>
      <c r="S11535" s="18" t="s">
        <v>30</v>
      </c>
      <c r="T11535" s="18" t="s">
        <v>23668</v>
      </c>
      <c r="U11535" s="18" t="s">
        <v>23669</v>
      </c>
      <c r="V11535" s="18" t="s">
        <v>23670</v>
      </c>
      <c r="W11535" s="18" t="s">
        <v>23671</v>
      </c>
      <c r="X11535" s="18" t="s">
        <v>35</v>
      </c>
      <c r="Y11535" s="18" t="s">
        <v>17171</v>
      </c>
      <c r="Z11535" s="18" t="s">
        <v>41209</v>
      </c>
      <c r="AA11535" s="21" t="str">
        <f>HYPERLINK("https://www.ncbi.nlm.nih.gov/nuccore/MN532614","NCBI Nucleotide")</f>
        <v>NCBI Nucleotide</v>
      </c>
    </row>
    <row r="11536" spans="1:27" x14ac:dyDescent="0.35">
      <c r="A11536">
        <v>1010325</v>
      </c>
      <c r="B11536">
        <v>10856</v>
      </c>
      <c r="C11536">
        <v>1</v>
      </c>
      <c r="D11536" s="17" t="s">
        <v>17166</v>
      </c>
      <c r="E11536" s="17"/>
      <c r="F11536" s="17" t="s">
        <v>17246</v>
      </c>
      <c r="G11536" s="17"/>
      <c r="H11536" s="17" t="s">
        <v>20919</v>
      </c>
      <c r="I11536" s="17"/>
      <c r="J11536" s="17" t="s">
        <v>23304</v>
      </c>
      <c r="K11536" s="17"/>
      <c r="L11536" s="17" t="s">
        <v>23305</v>
      </c>
      <c r="M11536" s="17"/>
      <c r="N11536" s="17" t="s">
        <v>23306</v>
      </c>
      <c r="O11536" s="17"/>
      <c r="P11536" s="17" t="s">
        <v>23530</v>
      </c>
      <c r="Q11536" s="17"/>
      <c r="R11536" s="25" t="str">
        <f>HYPERLINK("https://ictv.global/taxonomy/taxondetails?taxnode_id=202313223","Magoulivirus rhoplasmoparae")</f>
        <v>Magoulivirus rhoplasmoparae</v>
      </c>
      <c r="S11536" s="18" t="s">
        <v>30</v>
      </c>
      <c r="T11536" s="18" t="s">
        <v>23672</v>
      </c>
      <c r="U11536" s="18" t="s">
        <v>23673</v>
      </c>
      <c r="V11536" s="18" t="s">
        <v>23674</v>
      </c>
      <c r="W11536" s="18" t="s">
        <v>23675</v>
      </c>
      <c r="X11536" s="18" t="s">
        <v>35</v>
      </c>
      <c r="Y11536" s="18" t="s">
        <v>17171</v>
      </c>
      <c r="Z11536" s="18" t="s">
        <v>41209</v>
      </c>
      <c r="AA11536" s="21" t="str">
        <f>HYPERLINK("https://www.ncbi.nlm.nih.gov/nuccore/MN532608","NCBI Nucleotide")</f>
        <v>NCBI Nucleotide</v>
      </c>
    </row>
    <row r="11537" spans="1:27" x14ac:dyDescent="0.35">
      <c r="A11537">
        <v>1010326</v>
      </c>
      <c r="B11537">
        <v>10857</v>
      </c>
      <c r="C11537">
        <v>1</v>
      </c>
      <c r="D11537" s="17" t="s">
        <v>17166</v>
      </c>
      <c r="E11537" s="17"/>
      <c r="F11537" s="17" t="s">
        <v>17246</v>
      </c>
      <c r="G11537" s="17"/>
      <c r="H11537" s="17" t="s">
        <v>20919</v>
      </c>
      <c r="I11537" s="17"/>
      <c r="J11537" s="17" t="s">
        <v>23304</v>
      </c>
      <c r="K11537" s="17"/>
      <c r="L11537" s="17" t="s">
        <v>23305</v>
      </c>
      <c r="M11537" s="17"/>
      <c r="N11537" s="17" t="s">
        <v>23306</v>
      </c>
      <c r="O11537" s="17"/>
      <c r="P11537" s="17" t="s">
        <v>23530</v>
      </c>
      <c r="Q11537" s="17"/>
      <c r="R11537" s="25" t="str">
        <f>HYPERLINK("https://ictv.global/taxonomy/taxondetails?taxnode_id=202313224","Magoulivirus sigmaplasmoparae")</f>
        <v>Magoulivirus sigmaplasmoparae</v>
      </c>
      <c r="S11537" s="18" t="s">
        <v>30</v>
      </c>
      <c r="T11537" s="18" t="s">
        <v>23676</v>
      </c>
      <c r="U11537" s="18" t="s">
        <v>23677</v>
      </c>
      <c r="V11537" s="18" t="s">
        <v>23678</v>
      </c>
      <c r="W11537" s="18" t="s">
        <v>23679</v>
      </c>
      <c r="X11537" s="18" t="s">
        <v>35</v>
      </c>
      <c r="Y11537" s="18" t="s">
        <v>17171</v>
      </c>
      <c r="Z11537" s="18" t="s">
        <v>41209</v>
      </c>
      <c r="AA11537" s="21" t="str">
        <f>HYPERLINK("https://www.ncbi.nlm.nih.gov/nuccore/MN532609","NCBI Nucleotide")</f>
        <v>NCBI Nucleotide</v>
      </c>
    </row>
    <row r="11538" spans="1:27" x14ac:dyDescent="0.35">
      <c r="A11538">
        <v>1010327</v>
      </c>
      <c r="B11538">
        <v>10858</v>
      </c>
      <c r="C11538">
        <v>1</v>
      </c>
      <c r="D11538" s="17" t="s">
        <v>17166</v>
      </c>
      <c r="E11538" s="17"/>
      <c r="F11538" s="17" t="s">
        <v>17246</v>
      </c>
      <c r="G11538" s="17"/>
      <c r="H11538" s="17" t="s">
        <v>20919</v>
      </c>
      <c r="I11538" s="17"/>
      <c r="J11538" s="17" t="s">
        <v>23304</v>
      </c>
      <c r="K11538" s="17"/>
      <c r="L11538" s="17" t="s">
        <v>23305</v>
      </c>
      <c r="M11538" s="17"/>
      <c r="N11538" s="17" t="s">
        <v>23306</v>
      </c>
      <c r="O11538" s="17"/>
      <c r="P11538" s="17" t="s">
        <v>23530</v>
      </c>
      <c r="Q11538" s="17"/>
      <c r="R11538" s="25" t="str">
        <f>HYPERLINK("https://ictv.global/taxonomy/taxondetails?taxnode_id=202313225","Magoulivirus tauplasmoparae")</f>
        <v>Magoulivirus tauplasmoparae</v>
      </c>
      <c r="S11538" s="18" t="s">
        <v>30</v>
      </c>
      <c r="T11538" s="18" t="s">
        <v>23680</v>
      </c>
      <c r="U11538" s="18" t="s">
        <v>23681</v>
      </c>
      <c r="V11538" s="18" t="s">
        <v>23682</v>
      </c>
      <c r="W11538" s="18" t="s">
        <v>23683</v>
      </c>
      <c r="X11538" s="18" t="s">
        <v>35</v>
      </c>
      <c r="Y11538" s="18" t="s">
        <v>17171</v>
      </c>
      <c r="Z11538" s="18" t="s">
        <v>41209</v>
      </c>
      <c r="AA11538" s="21" t="str">
        <f>HYPERLINK("https://www.ncbi.nlm.nih.gov/nuccore/MN532610","NCBI Nucleotide")</f>
        <v>NCBI Nucleotide</v>
      </c>
    </row>
    <row r="11539" spans="1:27" x14ac:dyDescent="0.35">
      <c r="A11539">
        <v>1010328</v>
      </c>
      <c r="B11539">
        <v>10859</v>
      </c>
      <c r="C11539">
        <v>1</v>
      </c>
      <c r="D11539" s="17" t="s">
        <v>17166</v>
      </c>
      <c r="E11539" s="17"/>
      <c r="F11539" s="17" t="s">
        <v>17246</v>
      </c>
      <c r="G11539" s="17"/>
      <c r="H11539" s="17" t="s">
        <v>20919</v>
      </c>
      <c r="I11539" s="17"/>
      <c r="J11539" s="17" t="s">
        <v>23304</v>
      </c>
      <c r="K11539" s="17"/>
      <c r="L11539" s="17" t="s">
        <v>23305</v>
      </c>
      <c r="M11539" s="17"/>
      <c r="N11539" s="17" t="s">
        <v>23306</v>
      </c>
      <c r="O11539" s="17"/>
      <c r="P11539" s="17" t="s">
        <v>23530</v>
      </c>
      <c r="Q11539" s="17"/>
      <c r="R11539" s="25" t="str">
        <f>HYPERLINK("https://ictv.global/taxonomy/taxondetails?taxnode_id=202313214","Magoulivirus thetaplasmoparae")</f>
        <v>Magoulivirus thetaplasmoparae</v>
      </c>
      <c r="S11539" s="18" t="s">
        <v>30</v>
      </c>
      <c r="T11539" s="18" t="s">
        <v>23684</v>
      </c>
      <c r="U11539" s="18" t="s">
        <v>23685</v>
      </c>
      <c r="V11539" s="18" t="s">
        <v>23686</v>
      </c>
      <c r="W11539" s="18" t="s">
        <v>23687</v>
      </c>
      <c r="X11539" s="18" t="s">
        <v>35</v>
      </c>
      <c r="Y11539" s="18" t="s">
        <v>17171</v>
      </c>
      <c r="Z11539" s="18" t="s">
        <v>41209</v>
      </c>
      <c r="AA11539" s="21" t="str">
        <f>HYPERLINK("https://www.ncbi.nlm.nih.gov/nuccore/MN532599","NCBI Nucleotide")</f>
        <v>NCBI Nucleotide</v>
      </c>
    </row>
    <row r="11540" spans="1:27" x14ac:dyDescent="0.35">
      <c r="A11540">
        <v>1010329</v>
      </c>
      <c r="B11540">
        <v>10860</v>
      </c>
      <c r="C11540">
        <v>1</v>
      </c>
      <c r="D11540" s="17" t="s">
        <v>17166</v>
      </c>
      <c r="E11540" s="17"/>
      <c r="F11540" s="17" t="s">
        <v>17246</v>
      </c>
      <c r="G11540" s="17"/>
      <c r="H11540" s="17" t="s">
        <v>20919</v>
      </c>
      <c r="I11540" s="17"/>
      <c r="J11540" s="17" t="s">
        <v>23304</v>
      </c>
      <c r="K11540" s="17"/>
      <c r="L11540" s="17" t="s">
        <v>23305</v>
      </c>
      <c r="M11540" s="17"/>
      <c r="N11540" s="17" t="s">
        <v>23306</v>
      </c>
      <c r="O11540" s="17"/>
      <c r="P11540" s="17" t="s">
        <v>23530</v>
      </c>
      <c r="Q11540" s="17"/>
      <c r="R11540" s="25" t="str">
        <f>HYPERLINK("https://ictv.global/taxonomy/taxondetails?taxnode_id=202313231","Magoulivirus viticolae")</f>
        <v>Magoulivirus viticolae</v>
      </c>
      <c r="S11540" s="18" t="s">
        <v>30</v>
      </c>
      <c r="T11540" s="18" t="s">
        <v>23688</v>
      </c>
      <c r="U11540" s="18" t="s">
        <v>23689</v>
      </c>
      <c r="V11540" s="18" t="s">
        <v>23382</v>
      </c>
      <c r="W11540" s="18" t="s">
        <v>23690</v>
      </c>
      <c r="X11540" s="18" t="s">
        <v>35</v>
      </c>
      <c r="Y11540" s="18" t="s">
        <v>17171</v>
      </c>
      <c r="Z11540" s="18" t="s">
        <v>41209</v>
      </c>
      <c r="AA11540" s="21" t="str">
        <f>HYPERLINK("https://www.ncbi.nlm.nih.gov/nuccore/MN532623","NCBI Nucleotide")</f>
        <v>NCBI Nucleotide</v>
      </c>
    </row>
    <row r="11541" spans="1:27" x14ac:dyDescent="0.35">
      <c r="A11541">
        <v>1010330</v>
      </c>
      <c r="B11541">
        <v>10861</v>
      </c>
      <c r="C11541">
        <v>1</v>
      </c>
      <c r="D11541" s="17" t="s">
        <v>17166</v>
      </c>
      <c r="E11541" s="17"/>
      <c r="F11541" s="17" t="s">
        <v>17246</v>
      </c>
      <c r="G11541" s="17"/>
      <c r="H11541" s="17" t="s">
        <v>20919</v>
      </c>
      <c r="I11541" s="17"/>
      <c r="J11541" s="17" t="s">
        <v>23304</v>
      </c>
      <c r="K11541" s="17"/>
      <c r="L11541" s="17" t="s">
        <v>23305</v>
      </c>
      <c r="M11541" s="17"/>
      <c r="N11541" s="17" t="s">
        <v>23306</v>
      </c>
      <c r="O11541" s="17"/>
      <c r="P11541" s="17" t="s">
        <v>23530</v>
      </c>
      <c r="Q11541" s="17"/>
      <c r="R11541" s="25" t="str">
        <f>HYPERLINK("https://ictv.global/taxonomy/taxondetails?taxnode_id=202313220","Magoulivirus xiplasmoparae")</f>
        <v>Magoulivirus xiplasmoparae</v>
      </c>
      <c r="S11541" s="18" t="s">
        <v>30</v>
      </c>
      <c r="T11541" s="18" t="s">
        <v>23691</v>
      </c>
      <c r="U11541" s="18" t="s">
        <v>23692</v>
      </c>
      <c r="V11541" s="18" t="s">
        <v>23693</v>
      </c>
      <c r="W11541" s="18" t="s">
        <v>23694</v>
      </c>
      <c r="X11541" s="18" t="s">
        <v>35</v>
      </c>
      <c r="Y11541" s="18" t="s">
        <v>17171</v>
      </c>
      <c r="Z11541" s="18" t="s">
        <v>41209</v>
      </c>
      <c r="AA11541" s="21" t="str">
        <f>HYPERLINK("https://www.ncbi.nlm.nih.gov/nuccore/MN532605","NCBI Nucleotide")</f>
        <v>NCBI Nucleotide</v>
      </c>
    </row>
    <row r="11542" spans="1:27" x14ac:dyDescent="0.35">
      <c r="A11542">
        <v>1010331</v>
      </c>
      <c r="B11542">
        <v>10862</v>
      </c>
      <c r="C11542">
        <v>1</v>
      </c>
      <c r="D11542" s="17" t="s">
        <v>17166</v>
      </c>
      <c r="E11542" s="17"/>
      <c r="F11542" s="17" t="s">
        <v>17246</v>
      </c>
      <c r="G11542" s="17"/>
      <c r="H11542" s="17" t="s">
        <v>20919</v>
      </c>
      <c r="I11542" s="17"/>
      <c r="J11542" s="17" t="s">
        <v>23304</v>
      </c>
      <c r="K11542" s="17"/>
      <c r="L11542" s="17" t="s">
        <v>23305</v>
      </c>
      <c r="M11542" s="17"/>
      <c r="N11542" s="17" t="s">
        <v>23306</v>
      </c>
      <c r="O11542" s="17"/>
      <c r="P11542" s="17" t="s">
        <v>23530</v>
      </c>
      <c r="Q11542" s="17"/>
      <c r="R11542" s="25" t="str">
        <f>HYPERLINK("https://ictv.global/taxonomy/taxondetails?taxnode_id=202313212","Magoulivirus zetaplasmoparae")</f>
        <v>Magoulivirus zetaplasmoparae</v>
      </c>
      <c r="S11542" s="18" t="s">
        <v>30</v>
      </c>
      <c r="T11542" s="18" t="s">
        <v>23695</v>
      </c>
      <c r="U11542" s="18" t="s">
        <v>23696</v>
      </c>
      <c r="V11542" s="18" t="s">
        <v>23697</v>
      </c>
      <c r="W11542" s="18" t="s">
        <v>23698</v>
      </c>
      <c r="X11542" s="18" t="s">
        <v>35</v>
      </c>
      <c r="Y11542" s="18" t="s">
        <v>17171</v>
      </c>
      <c r="Z11542" s="18" t="s">
        <v>41209</v>
      </c>
      <c r="AA11542" s="21" t="str">
        <f>HYPERLINK("https://www.ncbi.nlm.nih.gov/nuccore/MN532597","NCBI Nucleotide")</f>
        <v>NCBI Nucleotide</v>
      </c>
    </row>
    <row r="11543" spans="1:27" x14ac:dyDescent="0.35">
      <c r="A11543">
        <v>1010332</v>
      </c>
      <c r="B11543">
        <v>10863</v>
      </c>
      <c r="C11543">
        <v>1</v>
      </c>
      <c r="D11543" s="17" t="s">
        <v>17166</v>
      </c>
      <c r="E11543" s="17"/>
      <c r="F11543" s="17" t="s">
        <v>17246</v>
      </c>
      <c r="G11543" s="17"/>
      <c r="H11543" s="17" t="s">
        <v>20919</v>
      </c>
      <c r="I11543" s="17"/>
      <c r="J11543" s="17" t="s">
        <v>23304</v>
      </c>
      <c r="K11543" s="17"/>
      <c r="L11543" s="17" t="s">
        <v>23305</v>
      </c>
      <c r="M11543" s="17"/>
      <c r="N11543" s="17" t="s">
        <v>23306</v>
      </c>
      <c r="O11543" s="17"/>
      <c r="P11543" s="17" t="s">
        <v>23530</v>
      </c>
      <c r="Q11543" s="17"/>
      <c r="R11543" s="25" t="str">
        <f>HYPERLINK("https://ictv.global/taxonomy/taxondetails?taxnode_id=202308730","Penicillium magoulivirus")</f>
        <v>Penicillium magoulivirus</v>
      </c>
      <c r="S11543" s="18" t="s">
        <v>30</v>
      </c>
      <c r="T11543" s="18" t="s">
        <v>23699</v>
      </c>
      <c r="U11543" s="18" t="s">
        <v>23700</v>
      </c>
      <c r="V11543" s="18" t="s">
        <v>23701</v>
      </c>
      <c r="W11543" s="18" t="s">
        <v>23702</v>
      </c>
      <c r="X11543" s="18" t="s">
        <v>35</v>
      </c>
      <c r="Y11543" s="18" t="s">
        <v>17171</v>
      </c>
      <c r="Z11543" s="18" t="s">
        <v>16721</v>
      </c>
      <c r="AA11543" s="21" t="str">
        <f>HYPERLINK("https://www.ncbi.nlm.nih.gov/nuccore/MG887747","NCBI Nucleotide")</f>
        <v>NCBI Nucleotide</v>
      </c>
    </row>
    <row r="11544" spans="1:27" x14ac:dyDescent="0.35">
      <c r="A11544">
        <v>1010333</v>
      </c>
      <c r="B11544">
        <v>10864</v>
      </c>
      <c r="C11544">
        <v>1</v>
      </c>
      <c r="D11544" s="17" t="s">
        <v>17166</v>
      </c>
      <c r="E11544" s="17"/>
      <c r="F11544" s="17" t="s">
        <v>17246</v>
      </c>
      <c r="G11544" s="17"/>
      <c r="H11544" s="17" t="s">
        <v>20919</v>
      </c>
      <c r="I11544" s="17"/>
      <c r="J11544" s="17" t="s">
        <v>23304</v>
      </c>
      <c r="K11544" s="17"/>
      <c r="L11544" s="17" t="s">
        <v>23305</v>
      </c>
      <c r="M11544" s="17"/>
      <c r="N11544" s="17" t="s">
        <v>23306</v>
      </c>
      <c r="O11544" s="17"/>
      <c r="P11544" s="17" t="s">
        <v>23530</v>
      </c>
      <c r="Q11544" s="17"/>
      <c r="R11544" s="25" t="str">
        <f>HYPERLINK("https://ictv.global/taxonomy/taxondetails?taxnode_id=202308725","Phaeoacremonium magoulivirus")</f>
        <v>Phaeoacremonium magoulivirus</v>
      </c>
      <c r="S11544" s="18" t="s">
        <v>30</v>
      </c>
      <c r="T11544" s="18" t="s">
        <v>23703</v>
      </c>
      <c r="U11544" s="18" t="s">
        <v>23704</v>
      </c>
      <c r="V11544" s="18" t="s">
        <v>23705</v>
      </c>
      <c r="W11544" s="18" t="s">
        <v>23706</v>
      </c>
      <c r="X11544" s="18" t="s">
        <v>35</v>
      </c>
      <c r="Y11544" s="18" t="s">
        <v>17171</v>
      </c>
      <c r="Z11544" s="18" t="s">
        <v>16721</v>
      </c>
      <c r="AA11544" s="21" t="str">
        <f>HYPERLINK("https://www.ncbi.nlm.nih.gov/nuccore/MK584846","NCBI Nucleotide")</f>
        <v>NCBI Nucleotide</v>
      </c>
    </row>
    <row r="11545" spans="1:27" x14ac:dyDescent="0.35">
      <c r="A11545">
        <v>1012847</v>
      </c>
      <c r="B11545">
        <v>10864</v>
      </c>
      <c r="C11545">
        <v>2</v>
      </c>
      <c r="D11545" s="17" t="s">
        <v>17166</v>
      </c>
      <c r="E11545" s="17"/>
      <c r="F11545" s="17" t="s">
        <v>17246</v>
      </c>
      <c r="G11545" s="17"/>
      <c r="H11545" s="17" t="s">
        <v>20919</v>
      </c>
      <c r="I11545" s="17"/>
      <c r="J11545" s="17" t="s">
        <v>23304</v>
      </c>
      <c r="K11545" s="17"/>
      <c r="L11545" s="17" t="s">
        <v>23305</v>
      </c>
      <c r="M11545" s="17"/>
      <c r="N11545" s="17" t="s">
        <v>23306</v>
      </c>
      <c r="O11545" s="17"/>
      <c r="P11545" s="17" t="s">
        <v>23530</v>
      </c>
      <c r="Q11545" s="17"/>
      <c r="R11545" s="25" t="str">
        <f>HYPERLINK("https://ictv.global/taxonomy/taxondetails?taxnode_id=202308725","Phaeoacremonium magoulivirus")</f>
        <v>Phaeoacremonium magoulivirus</v>
      </c>
      <c r="S11545" s="18" t="s">
        <v>8141</v>
      </c>
      <c r="T11545" s="18" t="s">
        <v>46341</v>
      </c>
      <c r="U11545" s="18" t="s">
        <v>23707</v>
      </c>
      <c r="V11545" s="18" t="s">
        <v>23708</v>
      </c>
      <c r="W11545" s="18" t="s">
        <v>49403</v>
      </c>
      <c r="X11545" s="18" t="s">
        <v>35</v>
      </c>
      <c r="Y11545" s="18" t="s">
        <v>17171</v>
      </c>
      <c r="Z11545" s="18" t="s">
        <v>41209</v>
      </c>
      <c r="AA11545" s="21" t="str">
        <f>HYPERLINK("https://www.ncbi.nlm.nih.gov/nuccore/MN532618","NCBI Nucleotide")</f>
        <v>NCBI Nucleotide</v>
      </c>
    </row>
    <row r="11546" spans="1:27" x14ac:dyDescent="0.35">
      <c r="A11546">
        <v>1012848</v>
      </c>
      <c r="B11546">
        <v>10864</v>
      </c>
      <c r="C11546">
        <v>3</v>
      </c>
      <c r="D11546" s="17" t="s">
        <v>17166</v>
      </c>
      <c r="E11546" s="17"/>
      <c r="F11546" s="17" t="s">
        <v>17246</v>
      </c>
      <c r="G11546" s="17"/>
      <c r="H11546" s="17" t="s">
        <v>20919</v>
      </c>
      <c r="I11546" s="17"/>
      <c r="J11546" s="17" t="s">
        <v>23304</v>
      </c>
      <c r="K11546" s="17"/>
      <c r="L11546" s="17" t="s">
        <v>23305</v>
      </c>
      <c r="M11546" s="17"/>
      <c r="N11546" s="17" t="s">
        <v>23306</v>
      </c>
      <c r="O11546" s="17"/>
      <c r="P11546" s="17" t="s">
        <v>23530</v>
      </c>
      <c r="Q11546" s="17"/>
      <c r="R11546" s="25" t="str">
        <f>HYPERLINK("https://ictv.global/taxonomy/taxondetails?taxnode_id=202308725","Phaeoacremonium magoulivirus")</f>
        <v>Phaeoacremonium magoulivirus</v>
      </c>
      <c r="S11546" s="18" t="s">
        <v>8141</v>
      </c>
      <c r="T11546" s="18" t="s">
        <v>23709</v>
      </c>
      <c r="U11546" s="18" t="s">
        <v>23710</v>
      </c>
      <c r="V11546" s="18" t="s">
        <v>23711</v>
      </c>
      <c r="W11546" s="18" t="s">
        <v>49404</v>
      </c>
      <c r="X11546" s="18" t="s">
        <v>35</v>
      </c>
      <c r="Y11546" s="18" t="s">
        <v>17171</v>
      </c>
      <c r="Z11546" s="18" t="s">
        <v>41209</v>
      </c>
      <c r="AA11546" s="21" t="str">
        <f>HYPERLINK("https://www.ncbi.nlm.nih.gov/nuccore/MN532620","NCBI Nucleotide")</f>
        <v>NCBI Nucleotide</v>
      </c>
    </row>
    <row r="11547" spans="1:27" x14ac:dyDescent="0.35">
      <c r="A11547">
        <v>1010334</v>
      </c>
      <c r="B11547">
        <v>10865</v>
      </c>
      <c r="C11547">
        <v>1</v>
      </c>
      <c r="D11547" s="17" t="s">
        <v>17166</v>
      </c>
      <c r="E11547" s="17"/>
      <c r="F11547" s="17" t="s">
        <v>17246</v>
      </c>
      <c r="G11547" s="17"/>
      <c r="H11547" s="17" t="s">
        <v>20919</v>
      </c>
      <c r="I11547" s="17"/>
      <c r="J11547" s="17" t="s">
        <v>23304</v>
      </c>
      <c r="K11547" s="17"/>
      <c r="L11547" s="17" t="s">
        <v>23305</v>
      </c>
      <c r="M11547" s="17"/>
      <c r="N11547" s="17" t="s">
        <v>23306</v>
      </c>
      <c r="O11547" s="17"/>
      <c r="P11547" s="17" t="s">
        <v>23530</v>
      </c>
      <c r="Q11547" s="17"/>
      <c r="R11547" s="25" t="str">
        <f>HYPERLINK("https://ictv.global/taxonomy/taxondetails?taxnode_id=202306579","Rhizoctonia magoulivirus 1")</f>
        <v>Rhizoctonia magoulivirus 1</v>
      </c>
      <c r="S11547" s="18" t="s">
        <v>30</v>
      </c>
      <c r="T11547" s="18" t="s">
        <v>23712</v>
      </c>
      <c r="U11547" s="18" t="s">
        <v>23713</v>
      </c>
      <c r="V11547" s="18" t="s">
        <v>23714</v>
      </c>
      <c r="W11547" s="18" t="s">
        <v>23715</v>
      </c>
      <c r="X11547" s="18" t="s">
        <v>154</v>
      </c>
      <c r="Y11547" s="18" t="s">
        <v>17171</v>
      </c>
      <c r="Z11547" s="18" t="s">
        <v>16721</v>
      </c>
      <c r="AA11547" s="21" t="str">
        <f>HYPERLINK("https://www.ncbi.nlm.nih.gov/nuccore/KP900921","NCBI Nucleotide")</f>
        <v>NCBI Nucleotide</v>
      </c>
    </row>
    <row r="11548" spans="1:27" x14ac:dyDescent="0.35">
      <c r="A11548">
        <v>1010335</v>
      </c>
      <c r="B11548">
        <v>10866</v>
      </c>
      <c r="C11548">
        <v>1</v>
      </c>
      <c r="D11548" s="17" t="s">
        <v>17166</v>
      </c>
      <c r="E11548" s="17"/>
      <c r="F11548" s="17" t="s">
        <v>17246</v>
      </c>
      <c r="G11548" s="17"/>
      <c r="H11548" s="17" t="s">
        <v>20919</v>
      </c>
      <c r="I11548" s="17"/>
      <c r="J11548" s="17" t="s">
        <v>23304</v>
      </c>
      <c r="K11548" s="17"/>
      <c r="L11548" s="17" t="s">
        <v>23305</v>
      </c>
      <c r="M11548" s="17"/>
      <c r="N11548" s="17" t="s">
        <v>23306</v>
      </c>
      <c r="O11548" s="17"/>
      <c r="P11548" s="17" t="s">
        <v>23716</v>
      </c>
      <c r="Q11548" s="17"/>
      <c r="R11548" s="25" t="str">
        <f>HYPERLINK("https://ictv.global/taxonomy/taxondetails?taxnode_id=202305356","Cassava virus C")</f>
        <v>Cassava virus C</v>
      </c>
      <c r="S11548" s="18" t="s">
        <v>30</v>
      </c>
      <c r="T11548" s="18" t="s">
        <v>23717</v>
      </c>
      <c r="U11548" s="18" t="s">
        <v>23718</v>
      </c>
      <c r="V11548" s="18" t="s">
        <v>23719</v>
      </c>
      <c r="W11548" s="18" t="s">
        <v>23720</v>
      </c>
      <c r="X11548" s="18" t="s">
        <v>42</v>
      </c>
      <c r="Y11548" s="18" t="s">
        <v>17171</v>
      </c>
      <c r="Z11548" s="18" t="s">
        <v>13441</v>
      </c>
      <c r="AA11548" s="21" t="str">
        <f>HYPERLINK("https://www.ncbi.nlm.nih.gov/nuccore/FJ157981,FJ157982,FJ157983","NCBI Nucleotide")</f>
        <v>NCBI Nucleotide</v>
      </c>
    </row>
    <row r="11549" spans="1:27" x14ac:dyDescent="0.35">
      <c r="A11549">
        <v>1010336</v>
      </c>
      <c r="B11549">
        <v>10867</v>
      </c>
      <c r="C11549">
        <v>1</v>
      </c>
      <c r="D11549" s="17" t="s">
        <v>17166</v>
      </c>
      <c r="E11549" s="17"/>
      <c r="F11549" s="17" t="s">
        <v>17246</v>
      </c>
      <c r="G11549" s="17"/>
      <c r="H11549" s="17" t="s">
        <v>20919</v>
      </c>
      <c r="I11549" s="17"/>
      <c r="J11549" s="17" t="s">
        <v>23304</v>
      </c>
      <c r="K11549" s="17"/>
      <c r="L11549" s="17" t="s">
        <v>23305</v>
      </c>
      <c r="M11549" s="17"/>
      <c r="N11549" s="17" t="s">
        <v>23306</v>
      </c>
      <c r="O11549" s="17"/>
      <c r="P11549" s="17" t="s">
        <v>23716</v>
      </c>
      <c r="Q11549" s="17"/>
      <c r="R11549" s="25" t="str">
        <f>HYPERLINK("https://ictv.global/taxonomy/taxondetails?taxnode_id=202305357","Epirus cherry virus")</f>
        <v>Epirus cherry virus</v>
      </c>
      <c r="S11549" s="18" t="s">
        <v>30</v>
      </c>
      <c r="T11549" s="18" t="s">
        <v>23721</v>
      </c>
      <c r="U11549" s="18" t="s">
        <v>23722</v>
      </c>
      <c r="V11549" s="18" t="s">
        <v>23723</v>
      </c>
      <c r="W11549" s="18" t="s">
        <v>23724</v>
      </c>
      <c r="X11549" s="18" t="s">
        <v>42</v>
      </c>
      <c r="Y11549" s="18" t="s">
        <v>17171</v>
      </c>
      <c r="Z11549" s="18" t="s">
        <v>13441</v>
      </c>
      <c r="AA11549" s="21" t="str">
        <f>HYPERLINK("https://www.ncbi.nlm.nih.gov/nuccore/EU770620,EU770621,EU770622","NCBI Nucleotide")</f>
        <v>NCBI Nucleotide</v>
      </c>
    </row>
    <row r="11550" spans="1:27" x14ac:dyDescent="0.35">
      <c r="A11550">
        <v>1010337</v>
      </c>
      <c r="B11550">
        <v>10868</v>
      </c>
      <c r="C11550">
        <v>1</v>
      </c>
      <c r="D11550" s="17" t="s">
        <v>17166</v>
      </c>
      <c r="E11550" s="17"/>
      <c r="F11550" s="17" t="s">
        <v>17246</v>
      </c>
      <c r="G11550" s="17"/>
      <c r="H11550" s="17" t="s">
        <v>20919</v>
      </c>
      <c r="I11550" s="17"/>
      <c r="J11550" s="17" t="s">
        <v>23304</v>
      </c>
      <c r="K11550" s="17"/>
      <c r="L11550" s="17" t="s">
        <v>23305</v>
      </c>
      <c r="M11550" s="17"/>
      <c r="N11550" s="17" t="s">
        <v>23306</v>
      </c>
      <c r="O11550" s="17"/>
      <c r="P11550" s="17" t="s">
        <v>23716</v>
      </c>
      <c r="Q11550" s="17"/>
      <c r="R11550" s="25" t="str">
        <f>HYPERLINK("https://ictv.global/taxonomy/taxondetails?taxnode_id=202305358","Ourmia melon virus")</f>
        <v>Ourmia melon virus</v>
      </c>
      <c r="S11550" s="18" t="s">
        <v>30</v>
      </c>
      <c r="T11550" s="18" t="s">
        <v>23725</v>
      </c>
      <c r="U11550" s="18" t="s">
        <v>23726</v>
      </c>
      <c r="V11550" s="18" t="s">
        <v>23727</v>
      </c>
      <c r="W11550" s="18" t="s">
        <v>23728</v>
      </c>
      <c r="X11550" s="18" t="s">
        <v>42</v>
      </c>
      <c r="Y11550" s="18" t="s">
        <v>17171</v>
      </c>
      <c r="Z11550" s="18" t="s">
        <v>13441</v>
      </c>
      <c r="AA11550" s="21" t="str">
        <f>HYPERLINK("https://www.ncbi.nlm.nih.gov/nuccore/EU770623,EU770624,EU770625","NCBI Nucleotide")</f>
        <v>NCBI Nucleotide</v>
      </c>
    </row>
    <row r="11551" spans="1:27" x14ac:dyDescent="0.35">
      <c r="A11551">
        <v>1010338</v>
      </c>
      <c r="B11551">
        <v>10869</v>
      </c>
      <c r="C11551">
        <v>1</v>
      </c>
      <c r="D11551" s="17" t="s">
        <v>17166</v>
      </c>
      <c r="E11551" s="17"/>
      <c r="F11551" s="17" t="s">
        <v>17246</v>
      </c>
      <c r="G11551" s="17"/>
      <c r="H11551" s="17" t="s">
        <v>20919</v>
      </c>
      <c r="I11551" s="17"/>
      <c r="J11551" s="17" t="s">
        <v>23304</v>
      </c>
      <c r="K11551" s="17"/>
      <c r="L11551" s="17" t="s">
        <v>23305</v>
      </c>
      <c r="M11551" s="17"/>
      <c r="N11551" s="17" t="s">
        <v>23306</v>
      </c>
      <c r="O11551" s="17"/>
      <c r="P11551" s="17" t="s">
        <v>23729</v>
      </c>
      <c r="Q11551" s="17"/>
      <c r="R11551" s="25" t="str">
        <f>HYPERLINK("https://ictv.global/taxonomy/taxondetails?taxnode_id=202308743","Aspergillus penoulivirus")</f>
        <v>Aspergillus penoulivirus</v>
      </c>
      <c r="S11551" s="18" t="s">
        <v>30</v>
      </c>
      <c r="T11551" s="18" t="s">
        <v>23730</v>
      </c>
      <c r="U11551" s="18" t="s">
        <v>23731</v>
      </c>
      <c r="V11551" s="18" t="s">
        <v>23732</v>
      </c>
      <c r="W11551" s="18" t="s">
        <v>23733</v>
      </c>
      <c r="X11551" s="18" t="s">
        <v>35</v>
      </c>
      <c r="Y11551" s="18" t="s">
        <v>17171</v>
      </c>
      <c r="Z11551" s="18" t="s">
        <v>16721</v>
      </c>
      <c r="AA11551" s="21" t="str">
        <f>HYPERLINK("https://www.ncbi.nlm.nih.gov/nuccore/MK279481","NCBI Nucleotide")</f>
        <v>NCBI Nucleotide</v>
      </c>
    </row>
    <row r="11552" spans="1:27" x14ac:dyDescent="0.35">
      <c r="A11552">
        <v>1010339</v>
      </c>
      <c r="B11552">
        <v>10870</v>
      </c>
      <c r="C11552">
        <v>1</v>
      </c>
      <c r="D11552" s="17" t="s">
        <v>17166</v>
      </c>
      <c r="E11552" s="17"/>
      <c r="F11552" s="17" t="s">
        <v>17246</v>
      </c>
      <c r="G11552" s="17"/>
      <c r="H11552" s="17" t="s">
        <v>20919</v>
      </c>
      <c r="I11552" s="17"/>
      <c r="J11552" s="17" t="s">
        <v>23304</v>
      </c>
      <c r="K11552" s="17"/>
      <c r="L11552" s="17" t="s">
        <v>23305</v>
      </c>
      <c r="M11552" s="17"/>
      <c r="N11552" s="17" t="s">
        <v>23306</v>
      </c>
      <c r="O11552" s="17"/>
      <c r="P11552" s="17" t="s">
        <v>23729</v>
      </c>
      <c r="Q11552" s="17"/>
      <c r="R11552" s="25" t="str">
        <f>HYPERLINK("https://ictv.global/taxonomy/taxondetails?taxnode_id=202308741","Cladosporium penoulivirus")</f>
        <v>Cladosporium penoulivirus</v>
      </c>
      <c r="S11552" s="18" t="s">
        <v>30</v>
      </c>
      <c r="T11552" s="18" t="s">
        <v>23734</v>
      </c>
      <c r="U11552" s="18" t="s">
        <v>23735</v>
      </c>
      <c r="V11552" s="18" t="s">
        <v>23736</v>
      </c>
      <c r="W11552" s="18" t="s">
        <v>23737</v>
      </c>
      <c r="X11552" s="18" t="s">
        <v>35</v>
      </c>
      <c r="Y11552" s="18" t="s">
        <v>17171</v>
      </c>
      <c r="Z11552" s="18" t="s">
        <v>16721</v>
      </c>
      <c r="AA11552" s="21" t="str">
        <f>HYPERLINK("https://www.ncbi.nlm.nih.gov/nuccore/MK584841","NCBI Nucleotide")</f>
        <v>NCBI Nucleotide</v>
      </c>
    </row>
    <row r="11553" spans="1:27" x14ac:dyDescent="0.35">
      <c r="A11553">
        <v>1010340</v>
      </c>
      <c r="B11553">
        <v>10871</v>
      </c>
      <c r="C11553">
        <v>1</v>
      </c>
      <c r="D11553" s="17" t="s">
        <v>17166</v>
      </c>
      <c r="E11553" s="17"/>
      <c r="F11553" s="17" t="s">
        <v>17246</v>
      </c>
      <c r="G11553" s="17"/>
      <c r="H11553" s="17" t="s">
        <v>20919</v>
      </c>
      <c r="I11553" s="17"/>
      <c r="J11553" s="17" t="s">
        <v>23304</v>
      </c>
      <c r="K11553" s="17"/>
      <c r="L11553" s="17" t="s">
        <v>23305</v>
      </c>
      <c r="M11553" s="17"/>
      <c r="N11553" s="17" t="s">
        <v>23306</v>
      </c>
      <c r="O11553" s="17"/>
      <c r="P11553" s="17" t="s">
        <v>23729</v>
      </c>
      <c r="Q11553" s="17"/>
      <c r="R11553" s="25" t="str">
        <f>HYPERLINK("https://ictv.global/taxonomy/taxondetails?taxnode_id=202308742","Epicoccum penoulivirus")</f>
        <v>Epicoccum penoulivirus</v>
      </c>
      <c r="S11553" s="18" t="s">
        <v>30</v>
      </c>
      <c r="T11553" s="18" t="s">
        <v>23738</v>
      </c>
      <c r="U11553" s="18" t="s">
        <v>23739</v>
      </c>
      <c r="V11553" s="18" t="s">
        <v>23490</v>
      </c>
      <c r="W11553" s="18" t="s">
        <v>23740</v>
      </c>
      <c r="X11553" s="18" t="s">
        <v>35</v>
      </c>
      <c r="Y11553" s="18" t="s">
        <v>17171</v>
      </c>
      <c r="Z11553" s="18" t="s">
        <v>16721</v>
      </c>
      <c r="AA11553" s="21" t="str">
        <f>HYPERLINK("https://www.ncbi.nlm.nih.gov/nuccore/MK584844","NCBI Nucleotide")</f>
        <v>NCBI Nucleotide</v>
      </c>
    </row>
    <row r="11554" spans="1:27" x14ac:dyDescent="0.35">
      <c r="A11554">
        <v>1010341</v>
      </c>
      <c r="B11554">
        <v>10872</v>
      </c>
      <c r="C11554">
        <v>1</v>
      </c>
      <c r="D11554" s="17" t="s">
        <v>17166</v>
      </c>
      <c r="E11554" s="17"/>
      <c r="F11554" s="17" t="s">
        <v>17246</v>
      </c>
      <c r="G11554" s="17"/>
      <c r="H11554" s="17" t="s">
        <v>20919</v>
      </c>
      <c r="I11554" s="17"/>
      <c r="J11554" s="17" t="s">
        <v>23304</v>
      </c>
      <c r="K11554" s="17"/>
      <c r="L11554" s="17" t="s">
        <v>23305</v>
      </c>
      <c r="M11554" s="17"/>
      <c r="N11554" s="17" t="s">
        <v>23306</v>
      </c>
      <c r="O11554" s="17"/>
      <c r="P11554" s="17" t="s">
        <v>23729</v>
      </c>
      <c r="Q11554" s="17"/>
      <c r="R11554" s="25" t="str">
        <f>HYPERLINK("https://ictv.global/taxonomy/taxondetails?taxnode_id=202308746","Magnaporthe penoulivirus")</f>
        <v>Magnaporthe penoulivirus</v>
      </c>
      <c r="S11554" s="18" t="s">
        <v>30</v>
      </c>
      <c r="T11554" s="18" t="s">
        <v>23741</v>
      </c>
      <c r="U11554" s="18" t="s">
        <v>23742</v>
      </c>
      <c r="V11554" s="18" t="s">
        <v>23743</v>
      </c>
      <c r="W11554" s="18" t="s">
        <v>23744</v>
      </c>
      <c r="X11554" s="18" t="s">
        <v>42</v>
      </c>
      <c r="Y11554" s="18" t="s">
        <v>17171</v>
      </c>
      <c r="Z11554" s="18" t="s">
        <v>16721</v>
      </c>
      <c r="AA11554" s="21" t="str">
        <f>HYPERLINK("https://www.ncbi.nlm.nih.gov/nuccore/MK507958","NCBI Nucleotide")</f>
        <v>NCBI Nucleotide</v>
      </c>
    </row>
    <row r="11555" spans="1:27" x14ac:dyDescent="0.35">
      <c r="A11555">
        <v>1010342</v>
      </c>
      <c r="B11555">
        <v>10873</v>
      </c>
      <c r="C11555">
        <v>1</v>
      </c>
      <c r="D11555" s="17" t="s">
        <v>17166</v>
      </c>
      <c r="E11555" s="17"/>
      <c r="F11555" s="17" t="s">
        <v>17246</v>
      </c>
      <c r="G11555" s="17"/>
      <c r="H11555" s="17" t="s">
        <v>20919</v>
      </c>
      <c r="I11555" s="17"/>
      <c r="J11555" s="17" t="s">
        <v>23304</v>
      </c>
      <c r="K11555" s="17"/>
      <c r="L11555" s="17" t="s">
        <v>23305</v>
      </c>
      <c r="M11555" s="17"/>
      <c r="N11555" s="17" t="s">
        <v>23306</v>
      </c>
      <c r="O11555" s="17"/>
      <c r="P11555" s="17" t="s">
        <v>23729</v>
      </c>
      <c r="Q11555" s="17"/>
      <c r="R11555" s="25" t="str">
        <f>HYPERLINK("https://ictv.global/taxonomy/taxondetails?taxnode_id=202308745","Neofusicoccum penoulivirus")</f>
        <v>Neofusicoccum penoulivirus</v>
      </c>
      <c r="S11555" s="18" t="s">
        <v>30</v>
      </c>
      <c r="T11555" s="18" t="s">
        <v>23745</v>
      </c>
      <c r="U11555" s="18" t="s">
        <v>23746</v>
      </c>
      <c r="V11555" s="18" t="s">
        <v>23747</v>
      </c>
      <c r="W11555" s="18" t="s">
        <v>23748</v>
      </c>
      <c r="X11555" s="18" t="s">
        <v>35</v>
      </c>
      <c r="Y11555" s="18" t="s">
        <v>17171</v>
      </c>
      <c r="Z11555" s="18" t="s">
        <v>16721</v>
      </c>
      <c r="AA11555" s="21" t="str">
        <f>HYPERLINK("https://www.ncbi.nlm.nih.gov/nuccore/MK584837","NCBI Nucleotide")</f>
        <v>NCBI Nucleotide</v>
      </c>
    </row>
    <row r="11556" spans="1:27" x14ac:dyDescent="0.35">
      <c r="A11556">
        <v>1010343</v>
      </c>
      <c r="B11556">
        <v>10874</v>
      </c>
      <c r="C11556">
        <v>1</v>
      </c>
      <c r="D11556" s="17" t="s">
        <v>17166</v>
      </c>
      <c r="E11556" s="17"/>
      <c r="F11556" s="17" t="s">
        <v>17246</v>
      </c>
      <c r="G11556" s="17"/>
      <c r="H11556" s="17" t="s">
        <v>20919</v>
      </c>
      <c r="I11556" s="17"/>
      <c r="J11556" s="17" t="s">
        <v>23304</v>
      </c>
      <c r="K11556" s="17"/>
      <c r="L11556" s="17" t="s">
        <v>23305</v>
      </c>
      <c r="M11556" s="17"/>
      <c r="N11556" s="17" t="s">
        <v>23306</v>
      </c>
      <c r="O11556" s="17"/>
      <c r="P11556" s="17" t="s">
        <v>23729</v>
      </c>
      <c r="Q11556" s="17"/>
      <c r="R11556" s="25" t="str">
        <f>HYPERLINK("https://ictv.global/taxonomy/taxondetails?taxnode_id=202308737","Penicillium penoulivirus")</f>
        <v>Penicillium penoulivirus</v>
      </c>
      <c r="S11556" s="18" t="s">
        <v>30</v>
      </c>
      <c r="T11556" s="18" t="s">
        <v>23749</v>
      </c>
      <c r="U11556" s="18" t="s">
        <v>23750</v>
      </c>
      <c r="V11556" s="18" t="s">
        <v>23751</v>
      </c>
      <c r="W11556" s="18" t="s">
        <v>23752</v>
      </c>
      <c r="X11556" s="18" t="s">
        <v>35</v>
      </c>
      <c r="Y11556" s="18" t="s">
        <v>17171</v>
      </c>
      <c r="Z11556" s="18" t="s">
        <v>16721</v>
      </c>
      <c r="AA11556" s="21" t="str">
        <f>HYPERLINK("https://www.ncbi.nlm.nih.gov/nuccore/MK584839","NCBI Nucleotide")</f>
        <v>NCBI Nucleotide</v>
      </c>
    </row>
    <row r="11557" spans="1:27" x14ac:dyDescent="0.35">
      <c r="A11557">
        <v>1010344</v>
      </c>
      <c r="B11557">
        <v>10875</v>
      </c>
      <c r="C11557">
        <v>1</v>
      </c>
      <c r="D11557" s="17" t="s">
        <v>17166</v>
      </c>
      <c r="E11557" s="17"/>
      <c r="F11557" s="17" t="s">
        <v>17246</v>
      </c>
      <c r="G11557" s="17"/>
      <c r="H11557" s="17" t="s">
        <v>20919</v>
      </c>
      <c r="I11557" s="17"/>
      <c r="J11557" s="17" t="s">
        <v>23304</v>
      </c>
      <c r="K11557" s="17"/>
      <c r="L11557" s="17" t="s">
        <v>23305</v>
      </c>
      <c r="M11557" s="17"/>
      <c r="N11557" s="17" t="s">
        <v>23306</v>
      </c>
      <c r="O11557" s="17"/>
      <c r="P11557" s="17" t="s">
        <v>23729</v>
      </c>
      <c r="Q11557" s="17"/>
      <c r="R11557" s="25" t="str">
        <f>HYPERLINK("https://ictv.global/taxonomy/taxondetails?taxnode_id=202313234","Penoulivirus alphabotrytidis")</f>
        <v>Penoulivirus alphabotrytidis</v>
      </c>
      <c r="S11557" s="18" t="s">
        <v>30</v>
      </c>
      <c r="T11557" s="18" t="s">
        <v>23753</v>
      </c>
      <c r="U11557" s="18" t="s">
        <v>23754</v>
      </c>
      <c r="V11557" s="18" t="s">
        <v>23755</v>
      </c>
      <c r="W11557" s="18" t="s">
        <v>23756</v>
      </c>
      <c r="X11557" s="18" t="s">
        <v>35</v>
      </c>
      <c r="Y11557" s="18" t="s">
        <v>17171</v>
      </c>
      <c r="Z11557" s="18" t="s">
        <v>16721</v>
      </c>
      <c r="AA11557" s="21" t="str">
        <f>HYPERLINK("https://www.ncbi.nlm.nih.gov/nuccore/MN605467","NCBI Nucleotide")</f>
        <v>NCBI Nucleotide</v>
      </c>
    </row>
    <row r="11558" spans="1:27" x14ac:dyDescent="0.35">
      <c r="A11558">
        <v>1010345</v>
      </c>
      <c r="B11558">
        <v>10876</v>
      </c>
      <c r="C11558">
        <v>1</v>
      </c>
      <c r="D11558" s="17" t="s">
        <v>17166</v>
      </c>
      <c r="E11558" s="17"/>
      <c r="F11558" s="17" t="s">
        <v>17246</v>
      </c>
      <c r="G11558" s="17"/>
      <c r="H11558" s="17" t="s">
        <v>20919</v>
      </c>
      <c r="I11558" s="17"/>
      <c r="J11558" s="17" t="s">
        <v>23304</v>
      </c>
      <c r="K11558" s="17"/>
      <c r="L11558" s="17" t="s">
        <v>23305</v>
      </c>
      <c r="M11558" s="17"/>
      <c r="N11558" s="17" t="s">
        <v>23306</v>
      </c>
      <c r="O11558" s="17"/>
      <c r="P11558" s="17" t="s">
        <v>23729</v>
      </c>
      <c r="Q11558" s="17"/>
      <c r="R11558" s="25" t="str">
        <f>HYPERLINK("https://ictv.global/taxonomy/taxondetails?taxnode_id=202315018","Penoulivirus alphaerysiphe")</f>
        <v>Penoulivirus alphaerysiphe</v>
      </c>
      <c r="S11558" s="18" t="s">
        <v>30</v>
      </c>
      <c r="T11558" s="18" t="s">
        <v>23757</v>
      </c>
      <c r="U11558" s="18" t="s">
        <v>23758</v>
      </c>
      <c r="V11558" s="18" t="s">
        <v>23759</v>
      </c>
      <c r="W11558" s="18" t="s">
        <v>23760</v>
      </c>
      <c r="X11558" s="18" t="s">
        <v>35</v>
      </c>
      <c r="Y11558" s="18" t="s">
        <v>17171</v>
      </c>
      <c r="Z11558" s="18" t="s">
        <v>16721</v>
      </c>
      <c r="AA11558" s="21" t="str">
        <f>HYPERLINK("https://www.ncbi.nlm.nih.gov/nuccore/OL890646","NCBI Nucleotide")</f>
        <v>NCBI Nucleotide</v>
      </c>
    </row>
    <row r="11559" spans="1:27" x14ac:dyDescent="0.35">
      <c r="A11559">
        <v>1010346</v>
      </c>
      <c r="B11559">
        <v>10877</v>
      </c>
      <c r="C11559">
        <v>1</v>
      </c>
      <c r="D11559" s="17" t="s">
        <v>17166</v>
      </c>
      <c r="E11559" s="17"/>
      <c r="F11559" s="17" t="s">
        <v>17246</v>
      </c>
      <c r="G11559" s="17"/>
      <c r="H11559" s="17" t="s">
        <v>20919</v>
      </c>
      <c r="I11559" s="17"/>
      <c r="J11559" s="17" t="s">
        <v>23304</v>
      </c>
      <c r="K11559" s="17"/>
      <c r="L11559" s="17" t="s">
        <v>23305</v>
      </c>
      <c r="M11559" s="17"/>
      <c r="N11559" s="17" t="s">
        <v>23306</v>
      </c>
      <c r="O11559" s="17"/>
      <c r="P11559" s="17" t="s">
        <v>23729</v>
      </c>
      <c r="Q11559" s="17"/>
      <c r="R11559" s="25" t="str">
        <f>HYPERLINK("https://ictv.global/taxonomy/taxondetails?taxnode_id=202315017","Penoulivirus alphaoryzae")</f>
        <v>Penoulivirus alphaoryzae</v>
      </c>
      <c r="S11559" s="18" t="s">
        <v>30</v>
      </c>
      <c r="T11559" s="18" t="s">
        <v>23761</v>
      </c>
      <c r="U11559" s="18" t="s">
        <v>23762</v>
      </c>
      <c r="V11559" s="18"/>
      <c r="W11559" s="18" t="s">
        <v>23763</v>
      </c>
      <c r="X11559" s="18" t="s">
        <v>35</v>
      </c>
      <c r="Y11559" s="18" t="s">
        <v>17171</v>
      </c>
      <c r="Z11559" s="18" t="s">
        <v>16721</v>
      </c>
      <c r="AA11559" s="21" t="str">
        <f>HYPERLINK("https://www.ncbi.nlm.nih.gov/nuccore/MN648455","NCBI Nucleotide")</f>
        <v>NCBI Nucleotide</v>
      </c>
    </row>
    <row r="11560" spans="1:27" x14ac:dyDescent="0.35">
      <c r="A11560">
        <v>1010347</v>
      </c>
      <c r="B11560">
        <v>10878</v>
      </c>
      <c r="C11560">
        <v>1</v>
      </c>
      <c r="D11560" s="17" t="s">
        <v>17166</v>
      </c>
      <c r="E11560" s="17"/>
      <c r="F11560" s="17" t="s">
        <v>17246</v>
      </c>
      <c r="G11560" s="17"/>
      <c r="H11560" s="17" t="s">
        <v>20919</v>
      </c>
      <c r="I11560" s="17"/>
      <c r="J11560" s="17" t="s">
        <v>23304</v>
      </c>
      <c r="K11560" s="17"/>
      <c r="L11560" s="17" t="s">
        <v>23305</v>
      </c>
      <c r="M11560" s="17"/>
      <c r="N11560" s="17" t="s">
        <v>23306</v>
      </c>
      <c r="O11560" s="17"/>
      <c r="P11560" s="17" t="s">
        <v>23729</v>
      </c>
      <c r="Q11560" s="17"/>
      <c r="R11560" s="25" t="str">
        <f>HYPERLINK("https://ictv.global/taxonomy/taxondetails?taxnode_id=202313237","Penoulivirus alphaplasmoparae")</f>
        <v>Penoulivirus alphaplasmoparae</v>
      </c>
      <c r="S11560" s="18" t="s">
        <v>30</v>
      </c>
      <c r="T11560" s="18" t="s">
        <v>23764</v>
      </c>
      <c r="U11560" s="18" t="s">
        <v>23765</v>
      </c>
      <c r="V11560" s="18" t="s">
        <v>23766</v>
      </c>
      <c r="W11560" s="18" t="s">
        <v>23767</v>
      </c>
      <c r="X11560" s="18" t="s">
        <v>35</v>
      </c>
      <c r="Y11560" s="18" t="s">
        <v>17171</v>
      </c>
      <c r="Z11560" s="18" t="s">
        <v>41209</v>
      </c>
      <c r="AA11560" s="21" t="str">
        <f>HYPERLINK("https://www.ncbi.nlm.nih.gov/nuccore/MN532669","NCBI Nucleotide")</f>
        <v>NCBI Nucleotide</v>
      </c>
    </row>
    <row r="11561" spans="1:27" x14ac:dyDescent="0.35">
      <c r="A11561">
        <v>1010348</v>
      </c>
      <c r="B11561">
        <v>10879</v>
      </c>
      <c r="C11561">
        <v>1</v>
      </c>
      <c r="D11561" s="17" t="s">
        <v>17166</v>
      </c>
      <c r="E11561" s="17"/>
      <c r="F11561" s="17" t="s">
        <v>17246</v>
      </c>
      <c r="G11561" s="17"/>
      <c r="H11561" s="17" t="s">
        <v>20919</v>
      </c>
      <c r="I11561" s="17"/>
      <c r="J11561" s="17" t="s">
        <v>23304</v>
      </c>
      <c r="K11561" s="17"/>
      <c r="L11561" s="17" t="s">
        <v>23305</v>
      </c>
      <c r="M11561" s="17"/>
      <c r="N11561" s="17" t="s">
        <v>23306</v>
      </c>
      <c r="O11561" s="17"/>
      <c r="P11561" s="17" t="s">
        <v>23729</v>
      </c>
      <c r="Q11561" s="17"/>
      <c r="R11561" s="25" t="str">
        <f>HYPERLINK("https://ictv.global/taxonomy/taxondetails?taxnode_id=202313235","Penoulivirus betabotrytidis")</f>
        <v>Penoulivirus betabotrytidis</v>
      </c>
      <c r="S11561" s="18" t="s">
        <v>30</v>
      </c>
      <c r="T11561" s="18" t="s">
        <v>23768</v>
      </c>
      <c r="U11561" s="18" t="s">
        <v>23769</v>
      </c>
      <c r="V11561" s="18" t="s">
        <v>23755</v>
      </c>
      <c r="W11561" s="18" t="s">
        <v>23770</v>
      </c>
      <c r="X11561" s="18" t="s">
        <v>35</v>
      </c>
      <c r="Y11561" s="18" t="s">
        <v>17171</v>
      </c>
      <c r="Z11561" s="18" t="s">
        <v>16721</v>
      </c>
      <c r="AA11561" s="21" t="str">
        <f>HYPERLINK("https://www.ncbi.nlm.nih.gov/nuccore/MN605468","NCBI Nucleotide")</f>
        <v>NCBI Nucleotide</v>
      </c>
    </row>
    <row r="11562" spans="1:27" x14ac:dyDescent="0.35">
      <c r="A11562">
        <v>1010349</v>
      </c>
      <c r="B11562">
        <v>10880</v>
      </c>
      <c r="C11562">
        <v>1</v>
      </c>
      <c r="D11562" s="17" t="s">
        <v>17166</v>
      </c>
      <c r="E11562" s="17"/>
      <c r="F11562" s="17" t="s">
        <v>17246</v>
      </c>
      <c r="G11562" s="17"/>
      <c r="H11562" s="17" t="s">
        <v>20919</v>
      </c>
      <c r="I11562" s="17"/>
      <c r="J11562" s="17" t="s">
        <v>23304</v>
      </c>
      <c r="K11562" s="17"/>
      <c r="L11562" s="17" t="s">
        <v>23305</v>
      </c>
      <c r="M11562" s="17"/>
      <c r="N11562" s="17" t="s">
        <v>23306</v>
      </c>
      <c r="O11562" s="17"/>
      <c r="P11562" s="17" t="s">
        <v>23729</v>
      </c>
      <c r="Q11562" s="17"/>
      <c r="R11562" s="25" t="str">
        <f>HYPERLINK("https://ictv.global/taxonomy/taxondetails?taxnode_id=202313238","Penoulivirus betaplasmoparae")</f>
        <v>Penoulivirus betaplasmoparae</v>
      </c>
      <c r="S11562" s="18" t="s">
        <v>30</v>
      </c>
      <c r="T11562" s="18" t="s">
        <v>23771</v>
      </c>
      <c r="U11562" s="18" t="s">
        <v>23772</v>
      </c>
      <c r="V11562" s="18" t="s">
        <v>23773</v>
      </c>
      <c r="W11562" s="18" t="s">
        <v>23774</v>
      </c>
      <c r="X11562" s="18" t="s">
        <v>35</v>
      </c>
      <c r="Y11562" s="18" t="s">
        <v>17171</v>
      </c>
      <c r="Z11562" s="18" t="s">
        <v>41209</v>
      </c>
      <c r="AA11562" s="21" t="str">
        <f>HYPERLINK("https://www.ncbi.nlm.nih.gov/nuccore/MN532670","NCBI Nucleotide")</f>
        <v>NCBI Nucleotide</v>
      </c>
    </row>
    <row r="11563" spans="1:27" x14ac:dyDescent="0.35">
      <c r="A11563">
        <v>1010350</v>
      </c>
      <c r="B11563">
        <v>10881</v>
      </c>
      <c r="C11563">
        <v>1</v>
      </c>
      <c r="D11563" s="17" t="s">
        <v>17166</v>
      </c>
      <c r="E11563" s="17"/>
      <c r="F11563" s="17" t="s">
        <v>17246</v>
      </c>
      <c r="G11563" s="17"/>
      <c r="H11563" s="17" t="s">
        <v>20919</v>
      </c>
      <c r="I11563" s="17"/>
      <c r="J11563" s="17" t="s">
        <v>23304</v>
      </c>
      <c r="K11563" s="17"/>
      <c r="L11563" s="17" t="s">
        <v>23305</v>
      </c>
      <c r="M11563" s="17"/>
      <c r="N11563" s="17" t="s">
        <v>23306</v>
      </c>
      <c r="O11563" s="17"/>
      <c r="P11563" s="17" t="s">
        <v>23729</v>
      </c>
      <c r="Q11563" s="17"/>
      <c r="R11563" s="25" t="str">
        <f>HYPERLINK("https://ictv.global/taxonomy/taxondetails?taxnode_id=202313240","Penoulivirus deltaplasmoparae")</f>
        <v>Penoulivirus deltaplasmoparae</v>
      </c>
      <c r="S11563" s="18" t="s">
        <v>30</v>
      </c>
      <c r="T11563" s="18" t="s">
        <v>23775</v>
      </c>
      <c r="U11563" s="18" t="s">
        <v>23776</v>
      </c>
      <c r="V11563" s="18" t="s">
        <v>23777</v>
      </c>
      <c r="W11563" s="18" t="s">
        <v>23778</v>
      </c>
      <c r="X11563" s="18" t="s">
        <v>35</v>
      </c>
      <c r="Y11563" s="18" t="s">
        <v>17171</v>
      </c>
      <c r="Z11563" s="18" t="s">
        <v>41209</v>
      </c>
      <c r="AA11563" s="21" t="str">
        <f>HYPERLINK("https://www.ncbi.nlm.nih.gov/nuccore/MN532672","NCBI Nucleotide")</f>
        <v>NCBI Nucleotide</v>
      </c>
    </row>
    <row r="11564" spans="1:27" x14ac:dyDescent="0.35">
      <c r="A11564">
        <v>1010351</v>
      </c>
      <c r="B11564">
        <v>10882</v>
      </c>
      <c r="C11564">
        <v>1</v>
      </c>
      <c r="D11564" s="17" t="s">
        <v>17166</v>
      </c>
      <c r="E11564" s="17"/>
      <c r="F11564" s="17" t="s">
        <v>17246</v>
      </c>
      <c r="G11564" s="17"/>
      <c r="H11564" s="17" t="s">
        <v>20919</v>
      </c>
      <c r="I11564" s="17"/>
      <c r="J11564" s="17" t="s">
        <v>23304</v>
      </c>
      <c r="K11564" s="17"/>
      <c r="L11564" s="17" t="s">
        <v>23305</v>
      </c>
      <c r="M11564" s="17"/>
      <c r="N11564" s="17" t="s">
        <v>23306</v>
      </c>
      <c r="O11564" s="17"/>
      <c r="P11564" s="17" t="s">
        <v>23729</v>
      </c>
      <c r="Q11564" s="17"/>
      <c r="R11564" s="25" t="str">
        <f>HYPERLINK("https://ictv.global/taxonomy/taxondetails?taxnode_id=202313241","Penoulivirus epsilonplasmoparae")</f>
        <v>Penoulivirus epsilonplasmoparae</v>
      </c>
      <c r="S11564" s="18" t="s">
        <v>30</v>
      </c>
      <c r="T11564" s="18" t="s">
        <v>23779</v>
      </c>
      <c r="U11564" s="18" t="s">
        <v>23780</v>
      </c>
      <c r="V11564" s="18" t="s">
        <v>23781</v>
      </c>
      <c r="W11564" s="18" t="s">
        <v>23782</v>
      </c>
      <c r="X11564" s="18" t="s">
        <v>35</v>
      </c>
      <c r="Y11564" s="18" t="s">
        <v>17171</v>
      </c>
      <c r="Z11564" s="18" t="s">
        <v>41209</v>
      </c>
      <c r="AA11564" s="21" t="str">
        <f>HYPERLINK("https://www.ncbi.nlm.nih.gov/nuccore/MN532674","NCBI Nucleotide")</f>
        <v>NCBI Nucleotide</v>
      </c>
    </row>
    <row r="11565" spans="1:27" x14ac:dyDescent="0.35">
      <c r="A11565">
        <v>1010352</v>
      </c>
      <c r="B11565">
        <v>10883</v>
      </c>
      <c r="C11565">
        <v>1</v>
      </c>
      <c r="D11565" s="17" t="s">
        <v>17166</v>
      </c>
      <c r="E11565" s="17"/>
      <c r="F11565" s="17" t="s">
        <v>17246</v>
      </c>
      <c r="G11565" s="17"/>
      <c r="H11565" s="17" t="s">
        <v>20919</v>
      </c>
      <c r="I11565" s="17"/>
      <c r="J11565" s="17" t="s">
        <v>23304</v>
      </c>
      <c r="K11565" s="17"/>
      <c r="L11565" s="17" t="s">
        <v>23305</v>
      </c>
      <c r="M11565" s="17"/>
      <c r="N11565" s="17" t="s">
        <v>23306</v>
      </c>
      <c r="O11565" s="17"/>
      <c r="P11565" s="17" t="s">
        <v>23729</v>
      </c>
      <c r="Q11565" s="17"/>
      <c r="R11565" s="25" t="str">
        <f>HYPERLINK("https://ictv.global/taxonomy/taxondetails?taxnode_id=202313243","Penoulivirus etaplasmoparae")</f>
        <v>Penoulivirus etaplasmoparae</v>
      </c>
      <c r="S11565" s="18" t="s">
        <v>30</v>
      </c>
      <c r="T11565" s="18" t="s">
        <v>23783</v>
      </c>
      <c r="U11565" s="18" t="s">
        <v>23784</v>
      </c>
      <c r="V11565" s="18" t="s">
        <v>23785</v>
      </c>
      <c r="W11565" s="18" t="s">
        <v>23786</v>
      </c>
      <c r="X11565" s="18" t="s">
        <v>35</v>
      </c>
      <c r="Y11565" s="18" t="s">
        <v>17171</v>
      </c>
      <c r="Z11565" s="18" t="s">
        <v>41209</v>
      </c>
      <c r="AA11565" s="21" t="str">
        <f>HYPERLINK("https://www.ncbi.nlm.nih.gov/nuccore/MN532676","NCBI Nucleotide")</f>
        <v>NCBI Nucleotide</v>
      </c>
    </row>
    <row r="11566" spans="1:27" x14ac:dyDescent="0.35">
      <c r="A11566">
        <v>1010353</v>
      </c>
      <c r="B11566">
        <v>10884</v>
      </c>
      <c r="C11566">
        <v>1</v>
      </c>
      <c r="D11566" s="17" t="s">
        <v>17166</v>
      </c>
      <c r="E11566" s="17"/>
      <c r="F11566" s="17" t="s">
        <v>17246</v>
      </c>
      <c r="G11566" s="17"/>
      <c r="H11566" s="17" t="s">
        <v>20919</v>
      </c>
      <c r="I11566" s="17"/>
      <c r="J11566" s="17" t="s">
        <v>23304</v>
      </c>
      <c r="K11566" s="17"/>
      <c r="L11566" s="17" t="s">
        <v>23305</v>
      </c>
      <c r="M11566" s="17"/>
      <c r="N11566" s="17" t="s">
        <v>23306</v>
      </c>
      <c r="O11566" s="17"/>
      <c r="P11566" s="17" t="s">
        <v>23729</v>
      </c>
      <c r="Q11566" s="17"/>
      <c r="R11566" s="25" t="str">
        <f>HYPERLINK("https://ictv.global/taxonomy/taxondetails?taxnode_id=202313236","Penoulivirus gammabotrytidis")</f>
        <v>Penoulivirus gammabotrytidis</v>
      </c>
      <c r="S11566" s="18" t="s">
        <v>30</v>
      </c>
      <c r="T11566" s="18" t="s">
        <v>23787</v>
      </c>
      <c r="U11566" s="18" t="s">
        <v>23788</v>
      </c>
      <c r="V11566" s="18" t="s">
        <v>23789</v>
      </c>
      <c r="W11566" s="18" t="s">
        <v>23790</v>
      </c>
      <c r="X11566" s="18" t="s">
        <v>35</v>
      </c>
      <c r="Y11566" s="18" t="s">
        <v>17171</v>
      </c>
      <c r="Z11566" s="18" t="s">
        <v>16721</v>
      </c>
      <c r="AA11566" s="21" t="str">
        <f>HYPERLINK("https://www.ncbi.nlm.nih.gov/nuccore/MN605469","NCBI Nucleotide")</f>
        <v>NCBI Nucleotide</v>
      </c>
    </row>
    <row r="11567" spans="1:27" x14ac:dyDescent="0.35">
      <c r="A11567">
        <v>1010354</v>
      </c>
      <c r="B11567">
        <v>10885</v>
      </c>
      <c r="C11567">
        <v>1</v>
      </c>
      <c r="D11567" s="17" t="s">
        <v>17166</v>
      </c>
      <c r="E11567" s="17"/>
      <c r="F11567" s="17" t="s">
        <v>17246</v>
      </c>
      <c r="G11567" s="17"/>
      <c r="H11567" s="17" t="s">
        <v>20919</v>
      </c>
      <c r="I11567" s="17"/>
      <c r="J11567" s="17" t="s">
        <v>23304</v>
      </c>
      <c r="K11567" s="17"/>
      <c r="L11567" s="17" t="s">
        <v>23305</v>
      </c>
      <c r="M11567" s="17"/>
      <c r="N11567" s="17" t="s">
        <v>23306</v>
      </c>
      <c r="O11567" s="17"/>
      <c r="P11567" s="17" t="s">
        <v>23729</v>
      </c>
      <c r="Q11567" s="17"/>
      <c r="R11567" s="25" t="str">
        <f>HYPERLINK("https://ictv.global/taxonomy/taxondetails?taxnode_id=202313239","Penoulivirus gammaplasmoparae")</f>
        <v>Penoulivirus gammaplasmoparae</v>
      </c>
      <c r="S11567" s="18" t="s">
        <v>30</v>
      </c>
      <c r="T11567" s="18" t="s">
        <v>23791</v>
      </c>
      <c r="U11567" s="18" t="s">
        <v>23792</v>
      </c>
      <c r="V11567" s="18" t="s">
        <v>23793</v>
      </c>
      <c r="W11567" s="18" t="s">
        <v>23794</v>
      </c>
      <c r="X11567" s="18" t="s">
        <v>35</v>
      </c>
      <c r="Y11567" s="18" t="s">
        <v>17171</v>
      </c>
      <c r="Z11567" s="18" t="s">
        <v>41209</v>
      </c>
      <c r="AA11567" s="21" t="str">
        <f>HYPERLINK("https://www.ncbi.nlm.nih.gov/nuccore/MN532671","NCBI Nucleotide")</f>
        <v>NCBI Nucleotide</v>
      </c>
    </row>
    <row r="11568" spans="1:27" x14ac:dyDescent="0.35">
      <c r="A11568">
        <v>1010355</v>
      </c>
      <c r="B11568">
        <v>10886</v>
      </c>
      <c r="C11568">
        <v>1</v>
      </c>
      <c r="D11568" s="17" t="s">
        <v>17166</v>
      </c>
      <c r="E11568" s="17"/>
      <c r="F11568" s="17" t="s">
        <v>17246</v>
      </c>
      <c r="G11568" s="17"/>
      <c r="H11568" s="17" t="s">
        <v>20919</v>
      </c>
      <c r="I11568" s="17"/>
      <c r="J11568" s="17" t="s">
        <v>23304</v>
      </c>
      <c r="K11568" s="17"/>
      <c r="L11568" s="17" t="s">
        <v>23305</v>
      </c>
      <c r="M11568" s="17"/>
      <c r="N11568" s="17" t="s">
        <v>23306</v>
      </c>
      <c r="O11568" s="17"/>
      <c r="P11568" s="17" t="s">
        <v>23729</v>
      </c>
      <c r="Q11568" s="17"/>
      <c r="R11568" s="25" t="str">
        <f>HYPERLINK("https://ictv.global/taxonomy/taxondetails?taxnode_id=202313245","Penoulivirus iotaplasmoparae")</f>
        <v>Penoulivirus iotaplasmoparae</v>
      </c>
      <c r="S11568" s="18" t="s">
        <v>30</v>
      </c>
      <c r="T11568" s="18" t="s">
        <v>23795</v>
      </c>
      <c r="U11568" s="18" t="s">
        <v>23796</v>
      </c>
      <c r="V11568" s="18" t="s">
        <v>23797</v>
      </c>
      <c r="W11568" s="18" t="s">
        <v>23798</v>
      </c>
      <c r="X11568" s="18" t="s">
        <v>35</v>
      </c>
      <c r="Y11568" s="18" t="s">
        <v>17171</v>
      </c>
      <c r="Z11568" s="18" t="s">
        <v>41209</v>
      </c>
      <c r="AA11568" s="21" t="str">
        <f>HYPERLINK("https://www.ncbi.nlm.nih.gov/nuccore/MN532678","NCBI Nucleotide")</f>
        <v>NCBI Nucleotide</v>
      </c>
    </row>
    <row r="11569" spans="1:27" x14ac:dyDescent="0.35">
      <c r="A11569">
        <v>1010356</v>
      </c>
      <c r="B11569">
        <v>10887</v>
      </c>
      <c r="C11569">
        <v>1</v>
      </c>
      <c r="D11569" s="17" t="s">
        <v>17166</v>
      </c>
      <c r="E11569" s="17"/>
      <c r="F11569" s="17" t="s">
        <v>17246</v>
      </c>
      <c r="G11569" s="17"/>
      <c r="H11569" s="17" t="s">
        <v>20919</v>
      </c>
      <c r="I11569" s="17"/>
      <c r="J11569" s="17" t="s">
        <v>23304</v>
      </c>
      <c r="K11569" s="17"/>
      <c r="L11569" s="17" t="s">
        <v>23305</v>
      </c>
      <c r="M11569" s="17"/>
      <c r="N11569" s="17" t="s">
        <v>23306</v>
      </c>
      <c r="O11569" s="17"/>
      <c r="P11569" s="17" t="s">
        <v>23729</v>
      </c>
      <c r="Q11569" s="17"/>
      <c r="R11569" s="25" t="str">
        <f>HYPERLINK("https://ictv.global/taxonomy/taxondetails?taxnode_id=202313233","Penoulivirus macrophominae")</f>
        <v>Penoulivirus macrophominae</v>
      </c>
      <c r="S11569" s="18" t="s">
        <v>30</v>
      </c>
      <c r="T11569" s="18" t="s">
        <v>23799</v>
      </c>
      <c r="U11569" s="18" t="s">
        <v>23800</v>
      </c>
      <c r="V11569" s="18"/>
      <c r="W11569" s="18" t="s">
        <v>23801</v>
      </c>
      <c r="X11569" s="18" t="s">
        <v>35</v>
      </c>
      <c r="Y11569" s="18" t="s">
        <v>17171</v>
      </c>
      <c r="Z11569" s="18" t="s">
        <v>16721</v>
      </c>
      <c r="AA11569" s="21" t="str">
        <f>HYPERLINK("https://www.ncbi.nlm.nih.gov/nuccore/MT062431","NCBI Nucleotide")</f>
        <v>NCBI Nucleotide</v>
      </c>
    </row>
    <row r="11570" spans="1:27" x14ac:dyDescent="0.35">
      <c r="A11570">
        <v>1010357</v>
      </c>
      <c r="B11570">
        <v>10888</v>
      </c>
      <c r="C11570">
        <v>1</v>
      </c>
      <c r="D11570" s="17" t="s">
        <v>17166</v>
      </c>
      <c r="E11570" s="17"/>
      <c r="F11570" s="17" t="s">
        <v>17246</v>
      </c>
      <c r="G11570" s="17"/>
      <c r="H11570" s="17" t="s">
        <v>20919</v>
      </c>
      <c r="I11570" s="17"/>
      <c r="J11570" s="17" t="s">
        <v>23304</v>
      </c>
      <c r="K11570" s="17"/>
      <c r="L11570" s="17" t="s">
        <v>23305</v>
      </c>
      <c r="M11570" s="17"/>
      <c r="N11570" s="17" t="s">
        <v>23306</v>
      </c>
      <c r="O11570" s="17"/>
      <c r="P11570" s="17" t="s">
        <v>23729</v>
      </c>
      <c r="Q11570" s="17"/>
      <c r="R11570" s="25" t="str">
        <f>HYPERLINK("https://ictv.global/taxonomy/taxondetails?taxnode_id=202313232","Penoulivirus malus")</f>
        <v>Penoulivirus malus</v>
      </c>
      <c r="S11570" s="18" t="s">
        <v>30</v>
      </c>
      <c r="T11570" s="18" t="s">
        <v>23802</v>
      </c>
      <c r="U11570" s="18" t="s">
        <v>23803</v>
      </c>
      <c r="V11570" s="18" t="s">
        <v>23646</v>
      </c>
      <c r="W11570" s="18" t="s">
        <v>23804</v>
      </c>
      <c r="X11570" s="18" t="s">
        <v>35</v>
      </c>
      <c r="Y11570" s="18" t="s">
        <v>17171</v>
      </c>
      <c r="Z11570" s="18" t="s">
        <v>13441</v>
      </c>
      <c r="AA11570" s="21" t="str">
        <f>HYPERLINK("https://www.ncbi.nlm.nih.gov/nuccore/MN386962","NCBI Nucleotide")</f>
        <v>NCBI Nucleotide</v>
      </c>
    </row>
    <row r="11571" spans="1:27" x14ac:dyDescent="0.35">
      <c r="A11571">
        <v>1010358</v>
      </c>
      <c r="B11571">
        <v>10889</v>
      </c>
      <c r="C11571">
        <v>1</v>
      </c>
      <c r="D11571" s="17" t="s">
        <v>17166</v>
      </c>
      <c r="E11571" s="17"/>
      <c r="F11571" s="17" t="s">
        <v>17246</v>
      </c>
      <c r="G11571" s="17"/>
      <c r="H11571" s="17" t="s">
        <v>20919</v>
      </c>
      <c r="I11571" s="17"/>
      <c r="J11571" s="17" t="s">
        <v>23304</v>
      </c>
      <c r="K11571" s="17"/>
      <c r="L11571" s="17" t="s">
        <v>23305</v>
      </c>
      <c r="M11571" s="17"/>
      <c r="N11571" s="17" t="s">
        <v>23306</v>
      </c>
      <c r="O11571" s="17"/>
      <c r="P11571" s="17" t="s">
        <v>23729</v>
      </c>
      <c r="Q11571" s="17"/>
      <c r="R11571" s="25" t="str">
        <f>HYPERLINK("https://ictv.global/taxonomy/taxondetails?taxnode_id=202313244","Penoulivirus thetaplasmoparae")</f>
        <v>Penoulivirus thetaplasmoparae</v>
      </c>
      <c r="S11571" s="18" t="s">
        <v>30</v>
      </c>
      <c r="T11571" s="18" t="s">
        <v>23805</v>
      </c>
      <c r="U11571" s="18" t="s">
        <v>23806</v>
      </c>
      <c r="V11571" s="18" t="s">
        <v>23807</v>
      </c>
      <c r="W11571" s="18" t="s">
        <v>23808</v>
      </c>
      <c r="X11571" s="18" t="s">
        <v>35</v>
      </c>
      <c r="Y11571" s="18" t="s">
        <v>17171</v>
      </c>
      <c r="Z11571" s="18" t="s">
        <v>41209</v>
      </c>
      <c r="AA11571" s="21" t="str">
        <f>HYPERLINK("https://www.ncbi.nlm.nih.gov/nuccore/MN532677","NCBI Nucleotide")</f>
        <v>NCBI Nucleotide</v>
      </c>
    </row>
    <row r="11572" spans="1:27" x14ac:dyDescent="0.35">
      <c r="A11572">
        <v>1010359</v>
      </c>
      <c r="B11572">
        <v>10890</v>
      </c>
      <c r="C11572">
        <v>1</v>
      </c>
      <c r="D11572" s="17" t="s">
        <v>17166</v>
      </c>
      <c r="E11572" s="17"/>
      <c r="F11572" s="17" t="s">
        <v>17246</v>
      </c>
      <c r="G11572" s="17"/>
      <c r="H11572" s="17" t="s">
        <v>20919</v>
      </c>
      <c r="I11572" s="17"/>
      <c r="J11572" s="17" t="s">
        <v>23304</v>
      </c>
      <c r="K11572" s="17"/>
      <c r="L11572" s="17" t="s">
        <v>23305</v>
      </c>
      <c r="M11572" s="17"/>
      <c r="N11572" s="17" t="s">
        <v>23306</v>
      </c>
      <c r="O11572" s="17"/>
      <c r="P11572" s="17" t="s">
        <v>23729</v>
      </c>
      <c r="Q11572" s="17"/>
      <c r="R11572" s="25" t="str">
        <f>HYPERLINK("https://ictv.global/taxonomy/taxondetails?taxnode_id=202313242","Penoulivirus zetaplasmoparae")</f>
        <v>Penoulivirus zetaplasmoparae</v>
      </c>
      <c r="S11572" s="18" t="s">
        <v>30</v>
      </c>
      <c r="T11572" s="18" t="s">
        <v>23809</v>
      </c>
      <c r="U11572" s="18" t="s">
        <v>23810</v>
      </c>
      <c r="V11572" s="18" t="s">
        <v>23811</v>
      </c>
      <c r="W11572" s="18" t="s">
        <v>23812</v>
      </c>
      <c r="X11572" s="18" t="s">
        <v>35</v>
      </c>
      <c r="Y11572" s="18" t="s">
        <v>17171</v>
      </c>
      <c r="Z11572" s="18" t="s">
        <v>41209</v>
      </c>
      <c r="AA11572" s="21" t="str">
        <f>HYPERLINK("https://www.ncbi.nlm.nih.gov/nuccore/MN532675","NCBI Nucleotide")</f>
        <v>NCBI Nucleotide</v>
      </c>
    </row>
    <row r="11573" spans="1:27" x14ac:dyDescent="0.35">
      <c r="A11573">
        <v>1010360</v>
      </c>
      <c r="B11573">
        <v>10891</v>
      </c>
      <c r="C11573">
        <v>1</v>
      </c>
      <c r="D11573" s="17" t="s">
        <v>17166</v>
      </c>
      <c r="E11573" s="17"/>
      <c r="F11573" s="17" t="s">
        <v>17246</v>
      </c>
      <c r="G11573" s="17"/>
      <c r="H11573" s="17" t="s">
        <v>20919</v>
      </c>
      <c r="I11573" s="17"/>
      <c r="J11573" s="17" t="s">
        <v>23304</v>
      </c>
      <c r="K11573" s="17"/>
      <c r="L11573" s="17" t="s">
        <v>23305</v>
      </c>
      <c r="M11573" s="17"/>
      <c r="N11573" s="17" t="s">
        <v>23306</v>
      </c>
      <c r="O11573" s="17"/>
      <c r="P11573" s="17" t="s">
        <v>23729</v>
      </c>
      <c r="Q11573" s="17"/>
      <c r="R11573" s="25" t="str">
        <f>HYPERLINK("https://ictv.global/taxonomy/taxondetails?taxnode_id=202308738","Phaeoacremonium penoulivirus")</f>
        <v>Phaeoacremonium penoulivirus</v>
      </c>
      <c r="S11573" s="18" t="s">
        <v>30</v>
      </c>
      <c r="T11573" s="18" t="s">
        <v>23813</v>
      </c>
      <c r="U11573" s="18" t="s">
        <v>23814</v>
      </c>
      <c r="V11573" s="18" t="s">
        <v>23337</v>
      </c>
      <c r="W11573" s="18" t="s">
        <v>23815</v>
      </c>
      <c r="X11573" s="18" t="s">
        <v>35</v>
      </c>
      <c r="Y11573" s="18" t="s">
        <v>17171</v>
      </c>
      <c r="Z11573" s="18" t="s">
        <v>16721</v>
      </c>
      <c r="AA11573" s="21" t="str">
        <f>HYPERLINK("https://www.ncbi.nlm.nih.gov/nuccore/MK584843","NCBI Nucleotide")</f>
        <v>NCBI Nucleotide</v>
      </c>
    </row>
    <row r="11574" spans="1:27" x14ac:dyDescent="0.35">
      <c r="A11574">
        <v>1012849</v>
      </c>
      <c r="B11574">
        <v>10891</v>
      </c>
      <c r="C11574">
        <v>2</v>
      </c>
      <c r="D11574" s="17" t="s">
        <v>17166</v>
      </c>
      <c r="E11574" s="17"/>
      <c r="F11574" s="17" t="s">
        <v>17246</v>
      </c>
      <c r="G11574" s="17"/>
      <c r="H11574" s="17" t="s">
        <v>20919</v>
      </c>
      <c r="I11574" s="17"/>
      <c r="J11574" s="17" t="s">
        <v>23304</v>
      </c>
      <c r="K11574" s="17"/>
      <c r="L11574" s="17" t="s">
        <v>23305</v>
      </c>
      <c r="M11574" s="17"/>
      <c r="N11574" s="17" t="s">
        <v>23306</v>
      </c>
      <c r="O11574" s="17"/>
      <c r="P11574" s="17" t="s">
        <v>23729</v>
      </c>
      <c r="Q11574" s="17"/>
      <c r="R11574" s="25" t="str">
        <f>HYPERLINK("https://ictv.global/taxonomy/taxondetails?taxnode_id=202308738","Phaeoacremonium penoulivirus")</f>
        <v>Phaeoacremonium penoulivirus</v>
      </c>
      <c r="S11574" s="18" t="s">
        <v>8141</v>
      </c>
      <c r="T11574" s="18" t="s">
        <v>23816</v>
      </c>
      <c r="U11574" s="18" t="s">
        <v>23817</v>
      </c>
      <c r="V11574" s="18" t="s">
        <v>23818</v>
      </c>
      <c r="W11574" s="18" t="s">
        <v>49405</v>
      </c>
      <c r="X11574" s="18" t="s">
        <v>35</v>
      </c>
      <c r="Y11574" s="18" t="s">
        <v>17171</v>
      </c>
      <c r="Z11574" s="18" t="s">
        <v>41209</v>
      </c>
      <c r="AA11574" s="21" t="str">
        <f>HYPERLINK("https://www.ncbi.nlm.nih.gov/nuccore/MN532673","NCBI Nucleotide")</f>
        <v>NCBI Nucleotide</v>
      </c>
    </row>
    <row r="11575" spans="1:27" x14ac:dyDescent="0.35">
      <c r="A11575">
        <v>1010361</v>
      </c>
      <c r="B11575">
        <v>10892</v>
      </c>
      <c r="C11575">
        <v>1</v>
      </c>
      <c r="D11575" s="17" t="s">
        <v>17166</v>
      </c>
      <c r="E11575" s="17"/>
      <c r="F11575" s="17" t="s">
        <v>17246</v>
      </c>
      <c r="G11575" s="17"/>
      <c r="H11575" s="17" t="s">
        <v>20919</v>
      </c>
      <c r="I11575" s="17"/>
      <c r="J11575" s="17" t="s">
        <v>23304</v>
      </c>
      <c r="K11575" s="17"/>
      <c r="L11575" s="17" t="s">
        <v>23305</v>
      </c>
      <c r="M11575" s="17"/>
      <c r="N11575" s="17" t="s">
        <v>23306</v>
      </c>
      <c r="O11575" s="17"/>
      <c r="P11575" s="17" t="s">
        <v>23729</v>
      </c>
      <c r="Q11575" s="17"/>
      <c r="R11575" s="25" t="str">
        <f>HYPERLINK("https://ictv.global/taxonomy/taxondetails?taxnode_id=202308740","Phoma penoulivirus")</f>
        <v>Phoma penoulivirus</v>
      </c>
      <c r="S11575" s="18" t="s">
        <v>30</v>
      </c>
      <c r="T11575" s="18" t="s">
        <v>23819</v>
      </c>
      <c r="U11575" s="18" t="s">
        <v>23814</v>
      </c>
      <c r="V11575" s="18" t="s">
        <v>23820</v>
      </c>
      <c r="W11575" s="18" t="s">
        <v>23821</v>
      </c>
      <c r="X11575" s="18" t="s">
        <v>35</v>
      </c>
      <c r="Y11575" s="18" t="s">
        <v>17171</v>
      </c>
      <c r="Z11575" s="18" t="s">
        <v>16721</v>
      </c>
      <c r="AA11575" s="21" t="str">
        <f>HYPERLINK("https://www.ncbi.nlm.nih.gov/nuccore/MN473199","NCBI Nucleotide")</f>
        <v>NCBI Nucleotide</v>
      </c>
    </row>
    <row r="11576" spans="1:27" x14ac:dyDescent="0.35">
      <c r="A11576">
        <v>1010362</v>
      </c>
      <c r="B11576">
        <v>10893</v>
      </c>
      <c r="C11576">
        <v>1</v>
      </c>
      <c r="D11576" s="17" t="s">
        <v>17166</v>
      </c>
      <c r="E11576" s="17"/>
      <c r="F11576" s="17" t="s">
        <v>17246</v>
      </c>
      <c r="G11576" s="17"/>
      <c r="H11576" s="17" t="s">
        <v>20919</v>
      </c>
      <c r="I11576" s="17"/>
      <c r="J11576" s="17" t="s">
        <v>23304</v>
      </c>
      <c r="K11576" s="17"/>
      <c r="L11576" s="17" t="s">
        <v>23305</v>
      </c>
      <c r="M11576" s="17"/>
      <c r="N11576" s="17" t="s">
        <v>23306</v>
      </c>
      <c r="O11576" s="17"/>
      <c r="P11576" s="17" t="s">
        <v>23729</v>
      </c>
      <c r="Q11576" s="17"/>
      <c r="R11576" s="25" t="str">
        <f>HYPERLINK("https://ictv.global/taxonomy/taxondetails?taxnode_id=202308747","Phomosis penoulivirus")</f>
        <v>Phomosis penoulivirus</v>
      </c>
      <c r="S11576" s="18" t="s">
        <v>30</v>
      </c>
      <c r="T11576" s="18" t="s">
        <v>23822</v>
      </c>
      <c r="U11576" s="18" t="s">
        <v>23823</v>
      </c>
      <c r="V11576" s="18" t="s">
        <v>23824</v>
      </c>
      <c r="W11576" s="18" t="s">
        <v>23825</v>
      </c>
      <c r="X11576" s="18" t="s">
        <v>42</v>
      </c>
      <c r="Y11576" s="18" t="s">
        <v>17171</v>
      </c>
      <c r="Z11576" s="18" t="s">
        <v>16721</v>
      </c>
      <c r="AA11576" s="21" t="str">
        <f>HYPERLINK("https://www.ncbi.nlm.nih.gov/nuccore/KR997836","NCBI Nucleotide")</f>
        <v>NCBI Nucleotide</v>
      </c>
    </row>
    <row r="11577" spans="1:27" x14ac:dyDescent="0.35">
      <c r="A11577">
        <v>1010363</v>
      </c>
      <c r="B11577">
        <v>10894</v>
      </c>
      <c r="C11577">
        <v>1</v>
      </c>
      <c r="D11577" s="17" t="s">
        <v>17166</v>
      </c>
      <c r="E11577" s="17"/>
      <c r="F11577" s="17" t="s">
        <v>17246</v>
      </c>
      <c r="G11577" s="17"/>
      <c r="H11577" s="17" t="s">
        <v>20919</v>
      </c>
      <c r="I11577" s="17"/>
      <c r="J11577" s="17" t="s">
        <v>23304</v>
      </c>
      <c r="K11577" s="17"/>
      <c r="L11577" s="17" t="s">
        <v>23305</v>
      </c>
      <c r="M11577" s="17"/>
      <c r="N11577" s="17" t="s">
        <v>23306</v>
      </c>
      <c r="O11577" s="17"/>
      <c r="P11577" s="17" t="s">
        <v>23729</v>
      </c>
      <c r="Q11577" s="17"/>
      <c r="R11577" s="25" t="str">
        <f>HYPERLINK("https://ictv.global/taxonomy/taxondetails?taxnode_id=202308744","Pyricularia penoulivirus")</f>
        <v>Pyricularia penoulivirus</v>
      </c>
      <c r="S11577" s="18" t="s">
        <v>30</v>
      </c>
      <c r="T11577" s="18" t="s">
        <v>23826</v>
      </c>
      <c r="U11577" s="18" t="s">
        <v>23827</v>
      </c>
      <c r="V11577" s="18"/>
      <c r="W11577" s="18" t="s">
        <v>23828</v>
      </c>
      <c r="X11577" s="18" t="s">
        <v>42</v>
      </c>
      <c r="Y11577" s="18" t="s">
        <v>17171</v>
      </c>
      <c r="Z11577" s="18" t="s">
        <v>16721</v>
      </c>
      <c r="AA11577" s="21" t="str">
        <f>HYPERLINK("https://www.ncbi.nlm.nih.gov/nuccore/LC413501","NCBI Nucleotide")</f>
        <v>NCBI Nucleotide</v>
      </c>
    </row>
    <row r="11578" spans="1:27" x14ac:dyDescent="0.35">
      <c r="A11578">
        <v>1010364</v>
      </c>
      <c r="B11578">
        <v>10895</v>
      </c>
      <c r="C11578">
        <v>1</v>
      </c>
      <c r="D11578" s="17" t="s">
        <v>17166</v>
      </c>
      <c r="E11578" s="17"/>
      <c r="F11578" s="17" t="s">
        <v>17246</v>
      </c>
      <c r="G11578" s="17"/>
      <c r="H11578" s="17" t="s">
        <v>20919</v>
      </c>
      <c r="I11578" s="17"/>
      <c r="J11578" s="17" t="s">
        <v>23304</v>
      </c>
      <c r="K11578" s="17"/>
      <c r="L11578" s="17" t="s">
        <v>23305</v>
      </c>
      <c r="M11578" s="17"/>
      <c r="N11578" s="17" t="s">
        <v>23306</v>
      </c>
      <c r="O11578" s="17"/>
      <c r="P11578" s="17" t="s">
        <v>23729</v>
      </c>
      <c r="Q11578" s="17"/>
      <c r="R11578" s="25" t="str">
        <f>HYPERLINK("https://ictv.global/taxonomy/taxondetails?taxnode_id=202308739","Sclerotinia penoulivirus")</f>
        <v>Sclerotinia penoulivirus</v>
      </c>
      <c r="S11578" s="18" t="s">
        <v>30</v>
      </c>
      <c r="T11578" s="18" t="s">
        <v>23829</v>
      </c>
      <c r="U11578" s="18" t="s">
        <v>23830</v>
      </c>
      <c r="V11578" s="18" t="s">
        <v>23831</v>
      </c>
      <c r="W11578" s="18" t="s">
        <v>23832</v>
      </c>
      <c r="X11578" s="18" t="s">
        <v>35</v>
      </c>
      <c r="Y11578" s="18" t="s">
        <v>17171</v>
      </c>
      <c r="Z11578" s="18" t="s">
        <v>16721</v>
      </c>
      <c r="AA11578" s="21" t="str">
        <f>HYPERLINK("https://www.ncbi.nlm.nih.gov/nuccore/MN715322","NCBI Nucleotide")</f>
        <v>NCBI Nucleotide</v>
      </c>
    </row>
    <row r="11579" spans="1:27" x14ac:dyDescent="0.35">
      <c r="A11579">
        <v>1012850</v>
      </c>
      <c r="B11579">
        <v>10895</v>
      </c>
      <c r="C11579">
        <v>2</v>
      </c>
      <c r="D11579" s="17" t="s">
        <v>17166</v>
      </c>
      <c r="E11579" s="17"/>
      <c r="F11579" s="17" t="s">
        <v>17246</v>
      </c>
      <c r="G11579" s="17"/>
      <c r="H11579" s="17" t="s">
        <v>20919</v>
      </c>
      <c r="I11579" s="17"/>
      <c r="J11579" s="17" t="s">
        <v>23304</v>
      </c>
      <c r="K11579" s="17"/>
      <c r="L11579" s="17" t="s">
        <v>23305</v>
      </c>
      <c r="M11579" s="17"/>
      <c r="N11579" s="17" t="s">
        <v>23306</v>
      </c>
      <c r="O11579" s="17"/>
      <c r="P11579" s="17" t="s">
        <v>23729</v>
      </c>
      <c r="Q11579" s="17"/>
      <c r="R11579" s="25" t="str">
        <f>HYPERLINK("https://ictv.global/taxonomy/taxondetails?taxnode_id=202308739","Sclerotinia penoulivirus")</f>
        <v>Sclerotinia penoulivirus</v>
      </c>
      <c r="S11579" s="18" t="s">
        <v>8141</v>
      </c>
      <c r="T11579" s="18" t="s">
        <v>23833</v>
      </c>
      <c r="U11579" s="18" t="s">
        <v>23834</v>
      </c>
      <c r="V11579" s="18" t="s">
        <v>23835</v>
      </c>
      <c r="W11579" s="18" t="s">
        <v>49406</v>
      </c>
      <c r="X11579" s="18" t="s">
        <v>42</v>
      </c>
      <c r="Y11579" s="18" t="s">
        <v>17171</v>
      </c>
      <c r="Z11579" s="18" t="s">
        <v>16721</v>
      </c>
      <c r="AA11579" s="21" t="str">
        <f>HYPERLINK("https://www.ncbi.nlm.nih.gov/nuccore/MN605475","NCBI Nucleotide")</f>
        <v>NCBI Nucleotide</v>
      </c>
    </row>
    <row r="11580" spans="1:27" x14ac:dyDescent="0.35">
      <c r="A11580">
        <v>1010365</v>
      </c>
      <c r="B11580">
        <v>10896</v>
      </c>
      <c r="C11580">
        <v>1</v>
      </c>
      <c r="D11580" s="17" t="s">
        <v>17166</v>
      </c>
      <c r="E11580" s="17"/>
      <c r="F11580" s="17" t="s">
        <v>17246</v>
      </c>
      <c r="G11580" s="17"/>
      <c r="H11580" s="17" t="s">
        <v>20919</v>
      </c>
      <c r="I11580" s="17"/>
      <c r="J11580" s="17" t="s">
        <v>23304</v>
      </c>
      <c r="K11580" s="17"/>
      <c r="L11580" s="17" t="s">
        <v>23305</v>
      </c>
      <c r="M11580" s="17"/>
      <c r="N11580" s="17" t="s">
        <v>23306</v>
      </c>
      <c r="O11580" s="17"/>
      <c r="P11580" s="17" t="s">
        <v>23836</v>
      </c>
      <c r="Q11580" s="17"/>
      <c r="R11580" s="25" t="str">
        <f>HYPERLINK("https://ictv.global/taxonomy/taxondetails?taxnode_id=202308735","Rhizoctonia rhizoulivirus")</f>
        <v>Rhizoctonia rhizoulivirus</v>
      </c>
      <c r="S11580" s="18" t="s">
        <v>30</v>
      </c>
      <c r="T11580" s="18" t="s">
        <v>23712</v>
      </c>
      <c r="U11580" s="18" t="s">
        <v>23713</v>
      </c>
      <c r="V11580" s="18" t="s">
        <v>23837</v>
      </c>
      <c r="W11580" s="18" t="s">
        <v>23838</v>
      </c>
      <c r="X11580" s="18" t="s">
        <v>154</v>
      </c>
      <c r="Y11580" s="18" t="s">
        <v>17171</v>
      </c>
      <c r="Z11580" s="18" t="s">
        <v>16721</v>
      </c>
      <c r="AA11580" s="21" t="str">
        <f>HYPERLINK("https://www.ncbi.nlm.nih.gov/nuccore/KP900922","NCBI Nucleotide")</f>
        <v>NCBI Nucleotide</v>
      </c>
    </row>
    <row r="11581" spans="1:27" x14ac:dyDescent="0.35">
      <c r="A11581">
        <v>1010246</v>
      </c>
      <c r="B11581">
        <v>10897</v>
      </c>
      <c r="C11581">
        <v>1</v>
      </c>
      <c r="D11581" s="17" t="s">
        <v>17166</v>
      </c>
      <c r="E11581" s="17"/>
      <c r="F11581" s="17" t="s">
        <v>17246</v>
      </c>
      <c r="G11581" s="17"/>
      <c r="H11581" s="17" t="s">
        <v>20919</v>
      </c>
      <c r="I11581" s="17"/>
      <c r="J11581" s="17" t="s">
        <v>23304</v>
      </c>
      <c r="K11581" s="17"/>
      <c r="L11581" s="17" t="s">
        <v>23305</v>
      </c>
      <c r="M11581" s="17"/>
      <c r="N11581" s="17" t="s">
        <v>23306</v>
      </c>
      <c r="O11581" s="17"/>
      <c r="P11581" s="17" t="s">
        <v>23836</v>
      </c>
      <c r="Q11581" s="17"/>
      <c r="R11581" s="25" t="str">
        <f>HYPERLINK("https://ictv.global/taxonomy/taxondetails?taxnode_id=202315019","Rhizoulivirus alphamellea")</f>
        <v>Rhizoulivirus alphamellea</v>
      </c>
      <c r="S11581" s="18" t="s">
        <v>30</v>
      </c>
      <c r="T11581" s="18" t="s">
        <v>23348</v>
      </c>
      <c r="U11581" s="18" t="s">
        <v>23349</v>
      </c>
      <c r="V11581" s="18" t="s">
        <v>23350</v>
      </c>
      <c r="W11581" s="18" t="s">
        <v>23351</v>
      </c>
      <c r="X11581" s="18" t="s">
        <v>35</v>
      </c>
      <c r="Y11581" s="18" t="s">
        <v>17171</v>
      </c>
      <c r="Z11581" s="18" t="s">
        <v>16721</v>
      </c>
      <c r="AA11581" s="21" t="str">
        <f>HYPERLINK("https://www.ncbi.nlm.nih.gov/nuccore/MW423802","NCBI Nucleotide")</f>
        <v>NCBI Nucleotide</v>
      </c>
    </row>
    <row r="11582" spans="1:27" x14ac:dyDescent="0.35">
      <c r="A11582">
        <v>1010366</v>
      </c>
      <c r="B11582">
        <v>10898</v>
      </c>
      <c r="C11582">
        <v>1</v>
      </c>
      <c r="D11582" s="17" t="s">
        <v>17166</v>
      </c>
      <c r="E11582" s="17"/>
      <c r="F11582" s="17" t="s">
        <v>17246</v>
      </c>
      <c r="G11582" s="17"/>
      <c r="H11582" s="17" t="s">
        <v>20919</v>
      </c>
      <c r="I11582" s="17"/>
      <c r="J11582" s="17" t="s">
        <v>23304</v>
      </c>
      <c r="K11582" s="17"/>
      <c r="L11582" s="17" t="s">
        <v>23305</v>
      </c>
      <c r="M11582" s="17"/>
      <c r="N11582" s="17" t="s">
        <v>23306</v>
      </c>
      <c r="O11582" s="17"/>
      <c r="P11582" s="17" t="s">
        <v>23836</v>
      </c>
      <c r="Q11582" s="17"/>
      <c r="R11582" s="25" t="str">
        <f>HYPERLINK("https://ictv.global/taxonomy/taxondetails?taxnode_id=202313246","Rhizoulivirus alpharhizoctoniae")</f>
        <v>Rhizoulivirus alpharhizoctoniae</v>
      </c>
      <c r="S11582" s="18" t="s">
        <v>30</v>
      </c>
      <c r="T11582" s="18" t="s">
        <v>23839</v>
      </c>
      <c r="U11582" s="18" t="s">
        <v>23840</v>
      </c>
      <c r="V11582" s="18"/>
      <c r="W11582" s="18" t="s">
        <v>23841</v>
      </c>
      <c r="X11582" s="18" t="s">
        <v>35</v>
      </c>
      <c r="Y11582" s="18" t="s">
        <v>17171</v>
      </c>
      <c r="Z11582" s="18" t="s">
        <v>16721</v>
      </c>
      <c r="AA11582" s="21" t="str">
        <f>HYPERLINK("https://www.ncbi.nlm.nih.gov/nuccore/MK372906","NCBI Nucleotide")</f>
        <v>NCBI Nucleotide</v>
      </c>
    </row>
    <row r="11583" spans="1:27" x14ac:dyDescent="0.35">
      <c r="A11583">
        <v>1010367</v>
      </c>
      <c r="B11583">
        <v>10899</v>
      </c>
      <c r="C11583">
        <v>1</v>
      </c>
      <c r="D11583" s="17" t="s">
        <v>17166</v>
      </c>
      <c r="E11583" s="17"/>
      <c r="F11583" s="17" t="s">
        <v>17246</v>
      </c>
      <c r="G11583" s="17"/>
      <c r="H11583" s="17" t="s">
        <v>20919</v>
      </c>
      <c r="I11583" s="17"/>
      <c r="J11583" s="17" t="s">
        <v>23304</v>
      </c>
      <c r="K11583" s="17"/>
      <c r="L11583" s="17" t="s">
        <v>23305</v>
      </c>
      <c r="M11583" s="17"/>
      <c r="N11583" s="17" t="s">
        <v>23306</v>
      </c>
      <c r="O11583" s="17"/>
      <c r="P11583" s="17" t="s">
        <v>23836</v>
      </c>
      <c r="Q11583" s="17"/>
      <c r="R11583" s="25" t="str">
        <f>HYPERLINK("https://ictv.global/taxonomy/taxondetails?taxnode_id=202313247","Rhizoulivirus betarhizoctoniae")</f>
        <v>Rhizoulivirus betarhizoctoniae</v>
      </c>
      <c r="S11583" s="18" t="s">
        <v>30</v>
      </c>
      <c r="T11583" s="18" t="s">
        <v>23842</v>
      </c>
      <c r="U11583" s="18" t="s">
        <v>23843</v>
      </c>
      <c r="V11583" s="18"/>
      <c r="W11583" s="18" t="s">
        <v>23844</v>
      </c>
      <c r="X11583" s="18" t="s">
        <v>35</v>
      </c>
      <c r="Y11583" s="18" t="s">
        <v>17171</v>
      </c>
      <c r="Z11583" s="18" t="s">
        <v>16721</v>
      </c>
      <c r="AA11583" s="21" t="str">
        <f>HYPERLINK("https://www.ncbi.nlm.nih.gov/nuccore/MK372907","NCBI Nucleotide")</f>
        <v>NCBI Nucleotide</v>
      </c>
    </row>
    <row r="11584" spans="1:27" x14ac:dyDescent="0.35">
      <c r="A11584">
        <v>1010368</v>
      </c>
      <c r="B11584">
        <v>10900</v>
      </c>
      <c r="C11584">
        <v>1</v>
      </c>
      <c r="D11584" s="17" t="s">
        <v>17166</v>
      </c>
      <c r="E11584" s="17"/>
      <c r="F11584" s="17" t="s">
        <v>17246</v>
      </c>
      <c r="G11584" s="17"/>
      <c r="H11584" s="17" t="s">
        <v>20919</v>
      </c>
      <c r="I11584" s="17"/>
      <c r="J11584" s="17" t="s">
        <v>23304</v>
      </c>
      <c r="K11584" s="17"/>
      <c r="L11584" s="17" t="s">
        <v>23305</v>
      </c>
      <c r="M11584" s="17"/>
      <c r="N11584" s="17" t="s">
        <v>23306</v>
      </c>
      <c r="O11584" s="17"/>
      <c r="P11584" s="17" t="s">
        <v>23836</v>
      </c>
      <c r="Q11584" s="17"/>
      <c r="R11584" s="25" t="str">
        <f>HYPERLINK("https://ictv.global/taxonomy/taxondetails?taxnode_id=202313248","Rhizoulivirus gammarhizoctoniae")</f>
        <v>Rhizoulivirus gammarhizoctoniae</v>
      </c>
      <c r="S11584" s="18" t="s">
        <v>30</v>
      </c>
      <c r="T11584" s="18" t="s">
        <v>23845</v>
      </c>
      <c r="U11584" s="18" t="s">
        <v>23846</v>
      </c>
      <c r="V11584" s="18"/>
      <c r="W11584" s="18" t="s">
        <v>23847</v>
      </c>
      <c r="X11584" s="18" t="s">
        <v>35</v>
      </c>
      <c r="Y11584" s="18" t="s">
        <v>17171</v>
      </c>
      <c r="Z11584" s="18" t="s">
        <v>16721</v>
      </c>
      <c r="AA11584" s="21" t="str">
        <f>HYPERLINK("https://www.ncbi.nlm.nih.gov/nuccore/MK372908","NCBI Nucleotide")</f>
        <v>NCBI Nucleotide</v>
      </c>
    </row>
    <row r="11585" spans="1:27" x14ac:dyDescent="0.35">
      <c r="A11585">
        <v>1010369</v>
      </c>
      <c r="B11585">
        <v>10901</v>
      </c>
      <c r="C11585">
        <v>1</v>
      </c>
      <c r="D11585" s="17" t="s">
        <v>17166</v>
      </c>
      <c r="E11585" s="17"/>
      <c r="F11585" s="17" t="s">
        <v>17246</v>
      </c>
      <c r="G11585" s="17"/>
      <c r="H11585" s="17" t="s">
        <v>20919</v>
      </c>
      <c r="I11585" s="17"/>
      <c r="J11585" s="17" t="s">
        <v>23304</v>
      </c>
      <c r="K11585" s="17"/>
      <c r="L11585" s="17" t="s">
        <v>23305</v>
      </c>
      <c r="M11585" s="17"/>
      <c r="N11585" s="17" t="s">
        <v>23306</v>
      </c>
      <c r="O11585" s="17"/>
      <c r="P11585" s="17" t="s">
        <v>23848</v>
      </c>
      <c r="Q11585" s="17"/>
      <c r="R11585" s="25" t="str">
        <f>HYPERLINK("https://ictv.global/taxonomy/taxondetails?taxnode_id=202308732","Cladosporium scleroulivirus")</f>
        <v>Cladosporium scleroulivirus</v>
      </c>
      <c r="S11585" s="18" t="s">
        <v>30</v>
      </c>
      <c r="T11585" s="18" t="s">
        <v>23849</v>
      </c>
      <c r="U11585" s="18" t="s">
        <v>23850</v>
      </c>
      <c r="V11585" s="18" t="s">
        <v>23736</v>
      </c>
      <c r="W11585" s="18" t="s">
        <v>23851</v>
      </c>
      <c r="X11585" s="18" t="s">
        <v>35</v>
      </c>
      <c r="Y11585" s="18" t="s">
        <v>17171</v>
      </c>
      <c r="Z11585" s="18" t="s">
        <v>16721</v>
      </c>
      <c r="AA11585" s="21" t="str">
        <f>HYPERLINK("https://www.ncbi.nlm.nih.gov/nuccore/MK584840","NCBI Nucleotide")</f>
        <v>NCBI Nucleotide</v>
      </c>
    </row>
    <row r="11586" spans="1:27" x14ac:dyDescent="0.35">
      <c r="A11586">
        <v>1010370</v>
      </c>
      <c r="B11586">
        <v>10902</v>
      </c>
      <c r="C11586">
        <v>1</v>
      </c>
      <c r="D11586" s="17" t="s">
        <v>17166</v>
      </c>
      <c r="E11586" s="17"/>
      <c r="F11586" s="17" t="s">
        <v>17246</v>
      </c>
      <c r="G11586" s="17"/>
      <c r="H11586" s="17" t="s">
        <v>20919</v>
      </c>
      <c r="I11586" s="17"/>
      <c r="J11586" s="17" t="s">
        <v>23304</v>
      </c>
      <c r="K11586" s="17"/>
      <c r="L11586" s="17" t="s">
        <v>23305</v>
      </c>
      <c r="M11586" s="17"/>
      <c r="N11586" s="17" t="s">
        <v>23306</v>
      </c>
      <c r="O11586" s="17"/>
      <c r="P11586" s="17" t="s">
        <v>23848</v>
      </c>
      <c r="Q11586" s="17"/>
      <c r="R11586" s="25" t="str">
        <f>HYPERLINK("https://ictv.global/taxonomy/taxondetails?taxnode_id=202308733","Pyricularia scleroulivirus 3")</f>
        <v>Pyricularia scleroulivirus 3</v>
      </c>
      <c r="S11586" s="18" t="s">
        <v>30</v>
      </c>
      <c r="T11586" s="18" t="s">
        <v>23852</v>
      </c>
      <c r="U11586" s="18" t="s">
        <v>23853</v>
      </c>
      <c r="V11586" s="18" t="s">
        <v>23402</v>
      </c>
      <c r="W11586" s="18" t="s">
        <v>23854</v>
      </c>
      <c r="X11586" s="18" t="s">
        <v>42</v>
      </c>
      <c r="Y11586" s="18" t="s">
        <v>17171</v>
      </c>
      <c r="Z11586" s="18" t="s">
        <v>16721</v>
      </c>
      <c r="AA11586" s="21" t="str">
        <f>HYPERLINK("https://www.ncbi.nlm.nih.gov/nuccore/LC413503","NCBI Nucleotide")</f>
        <v>NCBI Nucleotide</v>
      </c>
    </row>
    <row r="11587" spans="1:27" x14ac:dyDescent="0.35">
      <c r="A11587">
        <v>1010371</v>
      </c>
      <c r="B11587">
        <v>10903</v>
      </c>
      <c r="C11587">
        <v>1</v>
      </c>
      <c r="D11587" s="17" t="s">
        <v>17166</v>
      </c>
      <c r="E11587" s="17"/>
      <c r="F11587" s="17" t="s">
        <v>17246</v>
      </c>
      <c r="G11587" s="17"/>
      <c r="H11587" s="17" t="s">
        <v>20919</v>
      </c>
      <c r="I11587" s="17"/>
      <c r="J11587" s="17" t="s">
        <v>23304</v>
      </c>
      <c r="K11587" s="17"/>
      <c r="L11587" s="17" t="s">
        <v>23305</v>
      </c>
      <c r="M11587" s="17"/>
      <c r="N11587" s="17" t="s">
        <v>23306</v>
      </c>
      <c r="O11587" s="17"/>
      <c r="P11587" s="17" t="s">
        <v>23848</v>
      </c>
      <c r="Q11587" s="17"/>
      <c r="R11587" s="25" t="str">
        <f>HYPERLINK("https://ictv.global/taxonomy/taxondetails?taxnode_id=202306284","Sclerotinia scleroulivirus 1")</f>
        <v>Sclerotinia scleroulivirus 1</v>
      </c>
      <c r="S11587" s="18" t="s">
        <v>30</v>
      </c>
      <c r="T11587" s="18" t="s">
        <v>23855</v>
      </c>
      <c r="U11587" s="18" t="s">
        <v>23856</v>
      </c>
      <c r="V11587" s="18">
        <v>334</v>
      </c>
      <c r="W11587" s="18" t="s">
        <v>23857</v>
      </c>
      <c r="X11587" s="18" t="s">
        <v>35</v>
      </c>
      <c r="Y11587" s="18" t="s">
        <v>17171</v>
      </c>
      <c r="Z11587" s="18" t="s">
        <v>16721</v>
      </c>
      <c r="AA11587" s="21" t="str">
        <f>HYPERLINK("https://www.ncbi.nlm.nih.gov/nuccore/KP900928","NCBI Nucleotide")</f>
        <v>NCBI Nucleotide</v>
      </c>
    </row>
    <row r="11588" spans="1:27" x14ac:dyDescent="0.35">
      <c r="A11588">
        <v>1010372</v>
      </c>
      <c r="B11588">
        <v>10904</v>
      </c>
      <c r="C11588">
        <v>1</v>
      </c>
      <c r="D11588" s="17" t="s">
        <v>17166</v>
      </c>
      <c r="E11588" s="17"/>
      <c r="F11588" s="17" t="s">
        <v>17246</v>
      </c>
      <c r="G11588" s="17"/>
      <c r="H11588" s="17" t="s">
        <v>20919</v>
      </c>
      <c r="I11588" s="17"/>
      <c r="J11588" s="17" t="s">
        <v>23304</v>
      </c>
      <c r="K11588" s="17"/>
      <c r="L11588" s="17" t="s">
        <v>23305</v>
      </c>
      <c r="M11588" s="17"/>
      <c r="N11588" s="17" t="s">
        <v>23306</v>
      </c>
      <c r="O11588" s="17"/>
      <c r="P11588" s="17" t="s">
        <v>23848</v>
      </c>
      <c r="Q11588" s="17"/>
      <c r="R11588" s="25" t="str">
        <f>HYPERLINK("https://ictv.global/taxonomy/taxondetails?taxnode_id=202315014","Scleroulivirus alphaoryzae")</f>
        <v>Scleroulivirus alphaoryzae</v>
      </c>
      <c r="S11588" s="18" t="s">
        <v>30</v>
      </c>
      <c r="T11588" s="18" t="s">
        <v>23858</v>
      </c>
      <c r="U11588" s="18" t="s">
        <v>23859</v>
      </c>
      <c r="V11588" s="18" t="s">
        <v>23860</v>
      </c>
      <c r="W11588" s="18" t="s">
        <v>23861</v>
      </c>
      <c r="X11588" s="18" t="s">
        <v>35</v>
      </c>
      <c r="Y11588" s="18" t="s">
        <v>17171</v>
      </c>
      <c r="Z11588" s="18" t="s">
        <v>16721</v>
      </c>
      <c r="AA11588" s="21" t="str">
        <f>HYPERLINK("https://www.ncbi.nlm.nih.gov/nuccore/MT995746","NCBI Nucleotide")</f>
        <v>NCBI Nucleotide</v>
      </c>
    </row>
    <row r="11589" spans="1:27" x14ac:dyDescent="0.35">
      <c r="A11589">
        <v>1010373</v>
      </c>
      <c r="B11589">
        <v>10905</v>
      </c>
      <c r="C11589">
        <v>1</v>
      </c>
      <c r="D11589" s="17" t="s">
        <v>17166</v>
      </c>
      <c r="E11589" s="17"/>
      <c r="F11589" s="17" t="s">
        <v>17246</v>
      </c>
      <c r="G11589" s="17"/>
      <c r="H11589" s="17" t="s">
        <v>20919</v>
      </c>
      <c r="I11589" s="17"/>
      <c r="J11589" s="17" t="s">
        <v>23304</v>
      </c>
      <c r="K11589" s="17"/>
      <c r="L11589" s="17" t="s">
        <v>23305</v>
      </c>
      <c r="M11589" s="17"/>
      <c r="N11589" s="17" t="s">
        <v>23306</v>
      </c>
      <c r="O11589" s="17"/>
      <c r="P11589" s="17" t="s">
        <v>23848</v>
      </c>
      <c r="Q11589" s="17"/>
      <c r="R11589" s="25" t="str">
        <f>HYPERLINK("https://ictv.global/taxonomy/taxondetails?taxnode_id=202315013","Scleroulivirus alphapestalotiopsis")</f>
        <v>Scleroulivirus alphapestalotiopsis</v>
      </c>
      <c r="S11589" s="18" t="s">
        <v>30</v>
      </c>
      <c r="T11589" s="18" t="s">
        <v>23862</v>
      </c>
      <c r="U11589" s="18" t="s">
        <v>23863</v>
      </c>
      <c r="V11589" s="18"/>
      <c r="W11589" s="18" t="s">
        <v>23864</v>
      </c>
      <c r="X11589" s="18" t="s">
        <v>35</v>
      </c>
      <c r="Y11589" s="18" t="s">
        <v>17171</v>
      </c>
      <c r="Z11589" s="18" t="s">
        <v>16721</v>
      </c>
      <c r="AA11589" s="21" t="str">
        <f>HYPERLINK("https://www.ncbi.nlm.nih.gov/nuccore/MW017456","NCBI Nucleotide")</f>
        <v>NCBI Nucleotide</v>
      </c>
    </row>
    <row r="11590" spans="1:27" x14ac:dyDescent="0.35">
      <c r="A11590">
        <v>1010374</v>
      </c>
      <c r="B11590">
        <v>10906</v>
      </c>
      <c r="C11590">
        <v>1</v>
      </c>
      <c r="D11590" s="17" t="s">
        <v>17166</v>
      </c>
      <c r="E11590" s="17"/>
      <c r="F11590" s="17" t="s">
        <v>17246</v>
      </c>
      <c r="G11590" s="17"/>
      <c r="H11590" s="17" t="s">
        <v>20919</v>
      </c>
      <c r="I11590" s="17"/>
      <c r="J11590" s="17" t="s">
        <v>23304</v>
      </c>
      <c r="K11590" s="17"/>
      <c r="L11590" s="17" t="s">
        <v>23305</v>
      </c>
      <c r="M11590" s="17"/>
      <c r="N11590" s="17" t="s">
        <v>23306</v>
      </c>
      <c r="O11590" s="17"/>
      <c r="P11590" s="17" t="s">
        <v>23848</v>
      </c>
      <c r="Q11590" s="17"/>
      <c r="R11590" s="25" t="str">
        <f>HYPERLINK("https://ictv.global/taxonomy/taxondetails?taxnode_id=202312578","Scleroulivirus alphaplasmoparae")</f>
        <v>Scleroulivirus alphaplasmoparae</v>
      </c>
      <c r="S11590" s="18" t="s">
        <v>30</v>
      </c>
      <c r="T11590" s="18" t="s">
        <v>23865</v>
      </c>
      <c r="U11590" s="18" t="s">
        <v>23866</v>
      </c>
      <c r="V11590" s="18" t="s">
        <v>23867</v>
      </c>
      <c r="W11590" s="18" t="s">
        <v>23868</v>
      </c>
      <c r="X11590" s="18" t="s">
        <v>35</v>
      </c>
      <c r="Y11590" s="18" t="s">
        <v>17171</v>
      </c>
      <c r="Z11590" s="18" t="s">
        <v>41209</v>
      </c>
      <c r="AA11590" s="21" t="str">
        <f>HYPERLINK("https://www.ncbi.nlm.nih.gov/nuccore/MN532631","NCBI Nucleotide")</f>
        <v>NCBI Nucleotide</v>
      </c>
    </row>
    <row r="11591" spans="1:27" x14ac:dyDescent="0.35">
      <c r="A11591">
        <v>1010375</v>
      </c>
      <c r="B11591">
        <v>10907</v>
      </c>
      <c r="C11591">
        <v>1</v>
      </c>
      <c r="D11591" s="17" t="s">
        <v>17166</v>
      </c>
      <c r="E11591" s="17"/>
      <c r="F11591" s="17" t="s">
        <v>17246</v>
      </c>
      <c r="G11591" s="17"/>
      <c r="H11591" s="17" t="s">
        <v>20919</v>
      </c>
      <c r="I11591" s="17"/>
      <c r="J11591" s="17" t="s">
        <v>23304</v>
      </c>
      <c r="K11591" s="17"/>
      <c r="L11591" s="17" t="s">
        <v>23305</v>
      </c>
      <c r="M11591" s="17"/>
      <c r="N11591" s="17" t="s">
        <v>23306</v>
      </c>
      <c r="O11591" s="17"/>
      <c r="P11591" s="17" t="s">
        <v>23848</v>
      </c>
      <c r="Q11591" s="17"/>
      <c r="R11591" s="25" t="str">
        <f>HYPERLINK("https://ictv.global/taxonomy/taxondetails?taxnode_id=202312579","Scleroulivirus betaplasmoparae")</f>
        <v>Scleroulivirus betaplasmoparae</v>
      </c>
      <c r="S11591" s="18" t="s">
        <v>30</v>
      </c>
      <c r="T11591" s="18" t="s">
        <v>23869</v>
      </c>
      <c r="U11591" s="18" t="s">
        <v>23870</v>
      </c>
      <c r="V11591" s="18" t="s">
        <v>23871</v>
      </c>
      <c r="W11591" s="18" t="s">
        <v>23872</v>
      </c>
      <c r="X11591" s="18" t="s">
        <v>35</v>
      </c>
      <c r="Y11591" s="18" t="s">
        <v>17171</v>
      </c>
      <c r="Z11591" s="18" t="s">
        <v>41209</v>
      </c>
      <c r="AA11591" s="21" t="str">
        <f>HYPERLINK("https://www.ncbi.nlm.nih.gov/nuccore/MN532633","NCBI Nucleotide")</f>
        <v>NCBI Nucleotide</v>
      </c>
    </row>
    <row r="11592" spans="1:27" x14ac:dyDescent="0.35">
      <c r="A11592">
        <v>1010376</v>
      </c>
      <c r="B11592">
        <v>10908</v>
      </c>
      <c r="C11592">
        <v>1</v>
      </c>
      <c r="D11592" s="17" t="s">
        <v>17166</v>
      </c>
      <c r="E11592" s="17"/>
      <c r="F11592" s="17" t="s">
        <v>17246</v>
      </c>
      <c r="G11592" s="17"/>
      <c r="H11592" s="17" t="s">
        <v>20919</v>
      </c>
      <c r="I11592" s="17"/>
      <c r="J11592" s="17" t="s">
        <v>23304</v>
      </c>
      <c r="K11592" s="17"/>
      <c r="L11592" s="17" t="s">
        <v>23305</v>
      </c>
      <c r="M11592" s="17"/>
      <c r="N11592" s="17" t="s">
        <v>23306</v>
      </c>
      <c r="O11592" s="17"/>
      <c r="P11592" s="17" t="s">
        <v>23848</v>
      </c>
      <c r="Q11592" s="17"/>
      <c r="R11592" s="25" t="str">
        <f>HYPERLINK("https://ictv.global/taxonomy/taxondetails?taxnode_id=202312581","Scleroulivirus deltaplasmoparae")</f>
        <v>Scleroulivirus deltaplasmoparae</v>
      </c>
      <c r="S11592" s="18" t="s">
        <v>30</v>
      </c>
      <c r="T11592" s="18" t="s">
        <v>23873</v>
      </c>
      <c r="U11592" s="18" t="s">
        <v>23874</v>
      </c>
      <c r="V11592" s="18" t="s">
        <v>23875</v>
      </c>
      <c r="W11592" s="18" t="s">
        <v>23876</v>
      </c>
      <c r="X11592" s="18" t="s">
        <v>35</v>
      </c>
      <c r="Y11592" s="18" t="s">
        <v>17171</v>
      </c>
      <c r="Z11592" s="18" t="s">
        <v>41209</v>
      </c>
      <c r="AA11592" s="21" t="str">
        <f>HYPERLINK("https://www.ncbi.nlm.nih.gov/nuccore/MN532649","NCBI Nucleotide")</f>
        <v>NCBI Nucleotide</v>
      </c>
    </row>
    <row r="11593" spans="1:27" x14ac:dyDescent="0.35">
      <c r="A11593">
        <v>1010377</v>
      </c>
      <c r="B11593">
        <v>10909</v>
      </c>
      <c r="C11593">
        <v>1</v>
      </c>
      <c r="D11593" s="17" t="s">
        <v>17166</v>
      </c>
      <c r="E11593" s="17"/>
      <c r="F11593" s="17" t="s">
        <v>17246</v>
      </c>
      <c r="G11593" s="17"/>
      <c r="H11593" s="17" t="s">
        <v>20919</v>
      </c>
      <c r="I11593" s="17"/>
      <c r="J11593" s="17" t="s">
        <v>23304</v>
      </c>
      <c r="K11593" s="17"/>
      <c r="L11593" s="17" t="s">
        <v>23305</v>
      </c>
      <c r="M11593" s="17"/>
      <c r="N11593" s="17" t="s">
        <v>23306</v>
      </c>
      <c r="O11593" s="17"/>
      <c r="P11593" s="17" t="s">
        <v>23848</v>
      </c>
      <c r="Q11593" s="17"/>
      <c r="R11593" s="25" t="str">
        <f>HYPERLINK("https://ictv.global/taxonomy/taxondetails?taxnode_id=202312582","Scleroulivirus epsilonplasmoparae")</f>
        <v>Scleroulivirus epsilonplasmoparae</v>
      </c>
      <c r="S11593" s="18" t="s">
        <v>30</v>
      </c>
      <c r="T11593" s="18" t="s">
        <v>23877</v>
      </c>
      <c r="U11593" s="18" t="s">
        <v>23878</v>
      </c>
      <c r="V11593" s="18" t="s">
        <v>23879</v>
      </c>
      <c r="W11593" s="18" t="s">
        <v>23880</v>
      </c>
      <c r="X11593" s="18" t="s">
        <v>35</v>
      </c>
      <c r="Y11593" s="18" t="s">
        <v>17171</v>
      </c>
      <c r="Z11593" s="18" t="s">
        <v>41209</v>
      </c>
      <c r="AA11593" s="21" t="str">
        <f>HYPERLINK("https://www.ncbi.nlm.nih.gov/nuccore/MN532650","NCBI Nucleotide")</f>
        <v>NCBI Nucleotide</v>
      </c>
    </row>
    <row r="11594" spans="1:27" x14ac:dyDescent="0.35">
      <c r="A11594">
        <v>1010378</v>
      </c>
      <c r="B11594">
        <v>10910</v>
      </c>
      <c r="C11594">
        <v>1</v>
      </c>
      <c r="D11594" s="17" t="s">
        <v>17166</v>
      </c>
      <c r="E11594" s="17"/>
      <c r="F11594" s="17" t="s">
        <v>17246</v>
      </c>
      <c r="G11594" s="17"/>
      <c r="H11594" s="17" t="s">
        <v>20919</v>
      </c>
      <c r="I11594" s="17"/>
      <c r="J11594" s="17" t="s">
        <v>23304</v>
      </c>
      <c r="K11594" s="17"/>
      <c r="L11594" s="17" t="s">
        <v>23305</v>
      </c>
      <c r="M11594" s="17"/>
      <c r="N11594" s="17" t="s">
        <v>23306</v>
      </c>
      <c r="O11594" s="17"/>
      <c r="P11594" s="17" t="s">
        <v>23848</v>
      </c>
      <c r="Q11594" s="17"/>
      <c r="R11594" s="25" t="str">
        <f>HYPERLINK("https://ictv.global/taxonomy/taxondetails?taxnode_id=202312584","Scleroulivirus etaplasmoparae")</f>
        <v>Scleroulivirus etaplasmoparae</v>
      </c>
      <c r="S11594" s="18" t="s">
        <v>30</v>
      </c>
      <c r="T11594" s="18" t="s">
        <v>23881</v>
      </c>
      <c r="U11594" s="18" t="s">
        <v>23882</v>
      </c>
      <c r="V11594" s="18" t="s">
        <v>23883</v>
      </c>
      <c r="W11594" s="18" t="s">
        <v>23884</v>
      </c>
      <c r="X11594" s="18" t="s">
        <v>35</v>
      </c>
      <c r="Y11594" s="18" t="s">
        <v>17171</v>
      </c>
      <c r="Z11594" s="18" t="s">
        <v>41209</v>
      </c>
      <c r="AA11594" s="21" t="str">
        <f>HYPERLINK("https://www.ncbi.nlm.nih.gov/nuccore/MN532655","NCBI Nucleotide")</f>
        <v>NCBI Nucleotide</v>
      </c>
    </row>
    <row r="11595" spans="1:27" x14ac:dyDescent="0.35">
      <c r="A11595">
        <v>1010379</v>
      </c>
      <c r="B11595">
        <v>10911</v>
      </c>
      <c r="C11595">
        <v>1</v>
      </c>
      <c r="D11595" s="17" t="s">
        <v>17166</v>
      </c>
      <c r="E11595" s="17"/>
      <c r="F11595" s="17" t="s">
        <v>17246</v>
      </c>
      <c r="G11595" s="17"/>
      <c r="H11595" s="17" t="s">
        <v>20919</v>
      </c>
      <c r="I11595" s="17"/>
      <c r="J11595" s="17" t="s">
        <v>23304</v>
      </c>
      <c r="K11595" s="17"/>
      <c r="L11595" s="17" t="s">
        <v>23305</v>
      </c>
      <c r="M11595" s="17"/>
      <c r="N11595" s="17" t="s">
        <v>23306</v>
      </c>
      <c r="O11595" s="17"/>
      <c r="P11595" s="17" t="s">
        <v>23848</v>
      </c>
      <c r="Q11595" s="17"/>
      <c r="R11595" s="25" t="str">
        <f>HYPERLINK("https://ictv.global/taxonomy/taxondetails?taxnode_id=202312580","Scleroulivirus gammaplasmoparae")</f>
        <v>Scleroulivirus gammaplasmoparae</v>
      </c>
      <c r="S11595" s="18" t="s">
        <v>30</v>
      </c>
      <c r="T11595" s="18" t="s">
        <v>23885</v>
      </c>
      <c r="U11595" s="18" t="s">
        <v>23886</v>
      </c>
      <c r="V11595" s="18" t="s">
        <v>23887</v>
      </c>
      <c r="W11595" s="18" t="s">
        <v>23888</v>
      </c>
      <c r="X11595" s="18" t="s">
        <v>35</v>
      </c>
      <c r="Y11595" s="18" t="s">
        <v>17171</v>
      </c>
      <c r="Z11595" s="18" t="s">
        <v>41209</v>
      </c>
      <c r="AA11595" s="21" t="str">
        <f>HYPERLINK("https://www.ncbi.nlm.nih.gov/nuccore/MN532634","NCBI Nucleotide")</f>
        <v>NCBI Nucleotide</v>
      </c>
    </row>
    <row r="11596" spans="1:27" x14ac:dyDescent="0.35">
      <c r="A11596">
        <v>1010380</v>
      </c>
      <c r="B11596">
        <v>10912</v>
      </c>
      <c r="C11596">
        <v>1</v>
      </c>
      <c r="D11596" s="17" t="s">
        <v>17166</v>
      </c>
      <c r="E11596" s="17"/>
      <c r="F11596" s="17" t="s">
        <v>17246</v>
      </c>
      <c r="G11596" s="17"/>
      <c r="H11596" s="17" t="s">
        <v>20919</v>
      </c>
      <c r="I11596" s="17"/>
      <c r="J11596" s="17" t="s">
        <v>23304</v>
      </c>
      <c r="K11596" s="17"/>
      <c r="L11596" s="17" t="s">
        <v>23305</v>
      </c>
      <c r="M11596" s="17"/>
      <c r="N11596" s="17" t="s">
        <v>23306</v>
      </c>
      <c r="O11596" s="17"/>
      <c r="P11596" s="17" t="s">
        <v>23848</v>
      </c>
      <c r="Q11596" s="17"/>
      <c r="R11596" s="25" t="str">
        <f>HYPERLINK("https://ictv.global/taxonomy/taxondetails?taxnode_id=202312586","Scleroulivirus iotaplasmoparae")</f>
        <v>Scleroulivirus iotaplasmoparae</v>
      </c>
      <c r="S11596" s="18" t="s">
        <v>30</v>
      </c>
      <c r="T11596" s="18" t="s">
        <v>23889</v>
      </c>
      <c r="U11596" s="18" t="s">
        <v>23890</v>
      </c>
      <c r="V11596" s="18" t="s">
        <v>23891</v>
      </c>
      <c r="W11596" s="18" t="s">
        <v>23892</v>
      </c>
      <c r="X11596" s="18" t="s">
        <v>35</v>
      </c>
      <c r="Y11596" s="18" t="s">
        <v>17171</v>
      </c>
      <c r="Z11596" s="18" t="s">
        <v>41209</v>
      </c>
      <c r="AA11596" s="21" t="str">
        <f>HYPERLINK("https://www.ncbi.nlm.nih.gov/nuccore/MN532657","NCBI Nucleotide")</f>
        <v>NCBI Nucleotide</v>
      </c>
    </row>
    <row r="11597" spans="1:27" x14ac:dyDescent="0.35">
      <c r="A11597">
        <v>1010381</v>
      </c>
      <c r="B11597">
        <v>10913</v>
      </c>
      <c r="C11597">
        <v>1</v>
      </c>
      <c r="D11597" s="17" t="s">
        <v>17166</v>
      </c>
      <c r="E11597" s="17"/>
      <c r="F11597" s="17" t="s">
        <v>17246</v>
      </c>
      <c r="G11597" s="17"/>
      <c r="H11597" s="17" t="s">
        <v>20919</v>
      </c>
      <c r="I11597" s="17"/>
      <c r="J11597" s="17" t="s">
        <v>23304</v>
      </c>
      <c r="K11597" s="17"/>
      <c r="L11597" s="17" t="s">
        <v>23305</v>
      </c>
      <c r="M11597" s="17"/>
      <c r="N11597" s="17" t="s">
        <v>23306</v>
      </c>
      <c r="O11597" s="17"/>
      <c r="P11597" s="17" t="s">
        <v>23848</v>
      </c>
      <c r="Q11597" s="17"/>
      <c r="R11597" s="25" t="str">
        <f>HYPERLINK("https://ictv.global/taxonomy/taxondetails?taxnode_id=202312587","Scleroulivirus kappaplasmoparae")</f>
        <v>Scleroulivirus kappaplasmoparae</v>
      </c>
      <c r="S11597" s="18" t="s">
        <v>30</v>
      </c>
      <c r="T11597" s="18" t="s">
        <v>23893</v>
      </c>
      <c r="U11597" s="18" t="s">
        <v>23894</v>
      </c>
      <c r="V11597" s="18" t="s">
        <v>23895</v>
      </c>
      <c r="W11597" s="18" t="s">
        <v>23896</v>
      </c>
      <c r="X11597" s="18" t="s">
        <v>35</v>
      </c>
      <c r="Y11597" s="18" t="s">
        <v>17171</v>
      </c>
      <c r="Z11597" s="18" t="s">
        <v>41209</v>
      </c>
      <c r="AA11597" s="21" t="str">
        <f>HYPERLINK("https://www.ncbi.nlm.nih.gov/nuccore/MN532658","NCBI Nucleotide")</f>
        <v>NCBI Nucleotide</v>
      </c>
    </row>
    <row r="11598" spans="1:27" x14ac:dyDescent="0.35">
      <c r="A11598">
        <v>1010382</v>
      </c>
      <c r="B11598">
        <v>10914</v>
      </c>
      <c r="C11598">
        <v>1</v>
      </c>
      <c r="D11598" s="17" t="s">
        <v>17166</v>
      </c>
      <c r="E11598" s="17"/>
      <c r="F11598" s="17" t="s">
        <v>17246</v>
      </c>
      <c r="G11598" s="17"/>
      <c r="H11598" s="17" t="s">
        <v>20919</v>
      </c>
      <c r="I11598" s="17"/>
      <c r="J11598" s="17" t="s">
        <v>23304</v>
      </c>
      <c r="K11598" s="17"/>
      <c r="L11598" s="17" t="s">
        <v>23305</v>
      </c>
      <c r="M11598" s="17"/>
      <c r="N11598" s="17" t="s">
        <v>23306</v>
      </c>
      <c r="O11598" s="17"/>
      <c r="P11598" s="17" t="s">
        <v>23848</v>
      </c>
      <c r="Q11598" s="17"/>
      <c r="R11598" s="25" t="str">
        <f>HYPERLINK("https://ictv.global/taxonomy/taxondetails?taxnode_id=202312588","Scleroulivirus lambdaplasmoparae")</f>
        <v>Scleroulivirus lambdaplasmoparae</v>
      </c>
      <c r="S11598" s="18" t="s">
        <v>30</v>
      </c>
      <c r="T11598" s="18" t="s">
        <v>23897</v>
      </c>
      <c r="U11598" s="18" t="s">
        <v>23898</v>
      </c>
      <c r="V11598" s="18" t="s">
        <v>23899</v>
      </c>
      <c r="W11598" s="18" t="s">
        <v>23900</v>
      </c>
      <c r="X11598" s="18" t="s">
        <v>35</v>
      </c>
      <c r="Y11598" s="18" t="s">
        <v>17171</v>
      </c>
      <c r="Z11598" s="18" t="s">
        <v>41209</v>
      </c>
      <c r="AA11598" s="21" t="str">
        <f>HYPERLINK("https://www.ncbi.nlm.nih.gov/nuccore/MN532659","NCBI Nucleotide")</f>
        <v>NCBI Nucleotide</v>
      </c>
    </row>
    <row r="11599" spans="1:27" x14ac:dyDescent="0.35">
      <c r="A11599">
        <v>1010383</v>
      </c>
      <c r="B11599">
        <v>10915</v>
      </c>
      <c r="C11599">
        <v>1</v>
      </c>
      <c r="D11599" s="17" t="s">
        <v>17166</v>
      </c>
      <c r="E11599" s="17"/>
      <c r="F11599" s="17" t="s">
        <v>17246</v>
      </c>
      <c r="G11599" s="17"/>
      <c r="H11599" s="17" t="s">
        <v>20919</v>
      </c>
      <c r="I11599" s="17"/>
      <c r="J11599" s="17" t="s">
        <v>23304</v>
      </c>
      <c r="K11599" s="17"/>
      <c r="L11599" s="17" t="s">
        <v>23305</v>
      </c>
      <c r="M11599" s="17"/>
      <c r="N11599" s="17" t="s">
        <v>23306</v>
      </c>
      <c r="O11599" s="17"/>
      <c r="P11599" s="17" t="s">
        <v>23848</v>
      </c>
      <c r="Q11599" s="17"/>
      <c r="R11599" s="25" t="str">
        <f>HYPERLINK("https://ictv.global/taxonomy/taxondetails?taxnode_id=202312589","Scleroulivirus miplasmoparae")</f>
        <v>Scleroulivirus miplasmoparae</v>
      </c>
      <c r="S11599" s="18" t="s">
        <v>30</v>
      </c>
      <c r="T11599" s="18" t="s">
        <v>23901</v>
      </c>
      <c r="U11599" s="18" t="s">
        <v>23902</v>
      </c>
      <c r="V11599" s="18" t="s">
        <v>23903</v>
      </c>
      <c r="W11599" s="18" t="s">
        <v>23904</v>
      </c>
      <c r="X11599" s="18" t="s">
        <v>35</v>
      </c>
      <c r="Y11599" s="18" t="s">
        <v>17171</v>
      </c>
      <c r="Z11599" s="18" t="s">
        <v>41209</v>
      </c>
      <c r="AA11599" s="21" t="str">
        <f>HYPERLINK("https://www.ncbi.nlm.nih.gov/nuccore/MN532660","NCBI Nucleotide")</f>
        <v>NCBI Nucleotide</v>
      </c>
    </row>
    <row r="11600" spans="1:27" x14ac:dyDescent="0.35">
      <c r="A11600">
        <v>1010384</v>
      </c>
      <c r="B11600">
        <v>10916</v>
      </c>
      <c r="C11600">
        <v>1</v>
      </c>
      <c r="D11600" s="17" t="s">
        <v>17166</v>
      </c>
      <c r="E11600" s="17"/>
      <c r="F11600" s="17" t="s">
        <v>17246</v>
      </c>
      <c r="G11600" s="17"/>
      <c r="H11600" s="17" t="s">
        <v>20919</v>
      </c>
      <c r="I11600" s="17"/>
      <c r="J11600" s="17" t="s">
        <v>23304</v>
      </c>
      <c r="K11600" s="17"/>
      <c r="L11600" s="17" t="s">
        <v>23305</v>
      </c>
      <c r="M11600" s="17"/>
      <c r="N11600" s="17" t="s">
        <v>23306</v>
      </c>
      <c r="O11600" s="17"/>
      <c r="P11600" s="17" t="s">
        <v>23848</v>
      </c>
      <c r="Q11600" s="17"/>
      <c r="R11600" s="25" t="str">
        <f>HYPERLINK("https://ictv.global/taxonomy/taxondetails?taxnode_id=202312590","Scleroulivirus niplasmoparae")</f>
        <v>Scleroulivirus niplasmoparae</v>
      </c>
      <c r="S11600" s="18" t="s">
        <v>30</v>
      </c>
      <c r="T11600" s="18" t="s">
        <v>23905</v>
      </c>
      <c r="U11600" s="18" t="s">
        <v>23906</v>
      </c>
      <c r="V11600" s="18" t="s">
        <v>23907</v>
      </c>
      <c r="W11600" s="18" t="s">
        <v>23908</v>
      </c>
      <c r="X11600" s="18" t="s">
        <v>35</v>
      </c>
      <c r="Y11600" s="18" t="s">
        <v>17171</v>
      </c>
      <c r="Z11600" s="18" t="s">
        <v>41209</v>
      </c>
      <c r="AA11600" s="21" t="str">
        <f>HYPERLINK("https://www.ncbi.nlm.nih.gov/nuccore/MN532661","NCBI Nucleotide")</f>
        <v>NCBI Nucleotide</v>
      </c>
    </row>
    <row r="11601" spans="1:27" x14ac:dyDescent="0.35">
      <c r="A11601">
        <v>1010385</v>
      </c>
      <c r="B11601">
        <v>10917</v>
      </c>
      <c r="C11601">
        <v>1</v>
      </c>
      <c r="D11601" s="17" t="s">
        <v>17166</v>
      </c>
      <c r="E11601" s="17"/>
      <c r="F11601" s="17" t="s">
        <v>17246</v>
      </c>
      <c r="G11601" s="17"/>
      <c r="H11601" s="17" t="s">
        <v>20919</v>
      </c>
      <c r="I11601" s="17"/>
      <c r="J11601" s="17" t="s">
        <v>23304</v>
      </c>
      <c r="K11601" s="17"/>
      <c r="L11601" s="17" t="s">
        <v>23305</v>
      </c>
      <c r="M11601" s="17"/>
      <c r="N11601" s="17" t="s">
        <v>23306</v>
      </c>
      <c r="O11601" s="17"/>
      <c r="P11601" s="17" t="s">
        <v>23848</v>
      </c>
      <c r="Q11601" s="17"/>
      <c r="R11601" s="25" t="str">
        <f>HYPERLINK("https://ictv.global/taxonomy/taxondetails?taxnode_id=202312596","Scleroulivirus oidiodendronae")</f>
        <v>Scleroulivirus oidiodendronae</v>
      </c>
      <c r="S11601" s="18" t="s">
        <v>30</v>
      </c>
      <c r="T11601" s="18" t="s">
        <v>23909</v>
      </c>
      <c r="U11601" s="18" t="s">
        <v>23910</v>
      </c>
      <c r="V11601" s="18" t="s">
        <v>23911</v>
      </c>
      <c r="W11601" s="18" t="s">
        <v>23912</v>
      </c>
      <c r="X11601" s="18" t="s">
        <v>35</v>
      </c>
      <c r="Y11601" s="18" t="s">
        <v>17171</v>
      </c>
      <c r="Z11601" s="18" t="s">
        <v>16721</v>
      </c>
      <c r="AA11601" s="21" t="str">
        <f>HYPERLINK("https://www.ncbi.nlm.nih.gov/nuccore/MN736966","NCBI Nucleotide")</f>
        <v>NCBI Nucleotide</v>
      </c>
    </row>
    <row r="11602" spans="1:27" x14ac:dyDescent="0.35">
      <c r="A11602">
        <v>1010386</v>
      </c>
      <c r="B11602">
        <v>10918</v>
      </c>
      <c r="C11602">
        <v>1</v>
      </c>
      <c r="D11602" s="17" t="s">
        <v>17166</v>
      </c>
      <c r="E11602" s="17"/>
      <c r="F11602" s="17" t="s">
        <v>17246</v>
      </c>
      <c r="G11602" s="17"/>
      <c r="H11602" s="17" t="s">
        <v>20919</v>
      </c>
      <c r="I11602" s="17"/>
      <c r="J11602" s="17" t="s">
        <v>23304</v>
      </c>
      <c r="K11602" s="17"/>
      <c r="L11602" s="17" t="s">
        <v>23305</v>
      </c>
      <c r="M11602" s="17"/>
      <c r="N11602" s="17" t="s">
        <v>23306</v>
      </c>
      <c r="O11602" s="17"/>
      <c r="P11602" s="17" t="s">
        <v>23848</v>
      </c>
      <c r="Q11602" s="17"/>
      <c r="R11602" s="25" t="str">
        <f>HYPERLINK("https://ictv.global/taxonomy/taxondetails?taxnode_id=202312592","Scleroulivirus omicronplasmoparae")</f>
        <v>Scleroulivirus omicronplasmoparae</v>
      </c>
      <c r="S11602" s="18" t="s">
        <v>30</v>
      </c>
      <c r="T11602" s="18" t="s">
        <v>23913</v>
      </c>
      <c r="U11602" s="18" t="s">
        <v>23914</v>
      </c>
      <c r="V11602" s="18" t="s">
        <v>23915</v>
      </c>
      <c r="W11602" s="18" t="s">
        <v>23916</v>
      </c>
      <c r="X11602" s="18" t="s">
        <v>35</v>
      </c>
      <c r="Y11602" s="18" t="s">
        <v>17171</v>
      </c>
      <c r="Z11602" s="18" t="s">
        <v>41209</v>
      </c>
      <c r="AA11602" s="21" t="str">
        <f>HYPERLINK("https://www.ncbi.nlm.nih.gov/nuccore/MN532663","NCBI Nucleotide")</f>
        <v>NCBI Nucleotide</v>
      </c>
    </row>
    <row r="11603" spans="1:27" x14ac:dyDescent="0.35">
      <c r="A11603">
        <v>1010387</v>
      </c>
      <c r="B11603">
        <v>10919</v>
      </c>
      <c r="C11603">
        <v>1</v>
      </c>
      <c r="D11603" s="17" t="s">
        <v>17166</v>
      </c>
      <c r="E11603" s="17"/>
      <c r="F11603" s="17" t="s">
        <v>17246</v>
      </c>
      <c r="G11603" s="17"/>
      <c r="H11603" s="17" t="s">
        <v>20919</v>
      </c>
      <c r="I11603" s="17"/>
      <c r="J11603" s="17" t="s">
        <v>23304</v>
      </c>
      <c r="K11603" s="17"/>
      <c r="L11603" s="17" t="s">
        <v>23305</v>
      </c>
      <c r="M11603" s="17"/>
      <c r="N11603" s="17" t="s">
        <v>23306</v>
      </c>
      <c r="O11603" s="17"/>
      <c r="P11603" s="17" t="s">
        <v>23848</v>
      </c>
      <c r="Q11603" s="17"/>
      <c r="R11603" s="25" t="str">
        <f>HYPERLINK("https://ictv.global/taxonomy/taxondetails?taxnode_id=202312593","Scleroulivirus piplasmoparae")</f>
        <v>Scleroulivirus piplasmoparae</v>
      </c>
      <c r="S11603" s="18" t="s">
        <v>30</v>
      </c>
      <c r="T11603" s="18" t="s">
        <v>23917</v>
      </c>
      <c r="U11603" s="18" t="s">
        <v>23918</v>
      </c>
      <c r="V11603" s="18" t="s">
        <v>23919</v>
      </c>
      <c r="W11603" s="18" t="s">
        <v>23920</v>
      </c>
      <c r="X11603" s="18" t="s">
        <v>35</v>
      </c>
      <c r="Y11603" s="18" t="s">
        <v>17171</v>
      </c>
      <c r="Z11603" s="18" t="s">
        <v>41209</v>
      </c>
      <c r="AA11603" s="21" t="str">
        <f>HYPERLINK("https://www.ncbi.nlm.nih.gov/nuccore/MN532664","NCBI Nucleotide")</f>
        <v>NCBI Nucleotide</v>
      </c>
    </row>
    <row r="11604" spans="1:27" x14ac:dyDescent="0.35">
      <c r="A11604">
        <v>1010388</v>
      </c>
      <c r="B11604">
        <v>10920</v>
      </c>
      <c r="C11604">
        <v>1</v>
      </c>
      <c r="D11604" s="17" t="s">
        <v>17166</v>
      </c>
      <c r="E11604" s="17"/>
      <c r="F11604" s="17" t="s">
        <v>17246</v>
      </c>
      <c r="G11604" s="17"/>
      <c r="H11604" s="17" t="s">
        <v>20919</v>
      </c>
      <c r="I11604" s="17"/>
      <c r="J11604" s="17" t="s">
        <v>23304</v>
      </c>
      <c r="K11604" s="17"/>
      <c r="L11604" s="17" t="s">
        <v>23305</v>
      </c>
      <c r="M11604" s="17"/>
      <c r="N11604" s="17" t="s">
        <v>23306</v>
      </c>
      <c r="O11604" s="17"/>
      <c r="P11604" s="17" t="s">
        <v>23848</v>
      </c>
      <c r="Q11604" s="17"/>
      <c r="R11604" s="25" t="str">
        <f>HYPERLINK("https://ictv.global/taxonomy/taxondetails?taxnode_id=202312594","Scleroulivirus rhoplasmoparae")</f>
        <v>Scleroulivirus rhoplasmoparae</v>
      </c>
      <c r="S11604" s="18" t="s">
        <v>30</v>
      </c>
      <c r="T11604" s="18" t="s">
        <v>23921</v>
      </c>
      <c r="U11604" s="18" t="s">
        <v>23922</v>
      </c>
      <c r="V11604" s="18" t="s">
        <v>23923</v>
      </c>
      <c r="W11604" s="18" t="s">
        <v>23924</v>
      </c>
      <c r="X11604" s="18" t="s">
        <v>35</v>
      </c>
      <c r="Y11604" s="18" t="s">
        <v>17171</v>
      </c>
      <c r="Z11604" s="18" t="s">
        <v>41209</v>
      </c>
      <c r="AA11604" s="21" t="str">
        <f>HYPERLINK("https://www.ncbi.nlm.nih.gov/nuccore/MN532665","NCBI Nucleotide")</f>
        <v>NCBI Nucleotide</v>
      </c>
    </row>
    <row r="11605" spans="1:27" x14ac:dyDescent="0.35">
      <c r="A11605">
        <v>1010389</v>
      </c>
      <c r="B11605">
        <v>10921</v>
      </c>
      <c r="C11605">
        <v>1</v>
      </c>
      <c r="D11605" s="17" t="s">
        <v>17166</v>
      </c>
      <c r="E11605" s="17"/>
      <c r="F11605" s="17" t="s">
        <v>17246</v>
      </c>
      <c r="G11605" s="17"/>
      <c r="H11605" s="17" t="s">
        <v>20919</v>
      </c>
      <c r="I11605" s="17"/>
      <c r="J11605" s="17" t="s">
        <v>23304</v>
      </c>
      <c r="K11605" s="17"/>
      <c r="L11605" s="17" t="s">
        <v>23305</v>
      </c>
      <c r="M11605" s="17"/>
      <c r="N11605" s="17" t="s">
        <v>23306</v>
      </c>
      <c r="O11605" s="17"/>
      <c r="P11605" s="17" t="s">
        <v>23848</v>
      </c>
      <c r="Q11605" s="17"/>
      <c r="R11605" s="25" t="str">
        <f>HYPERLINK("https://ictv.global/taxonomy/taxondetails?taxnode_id=202312595","Scleroulivirus sigmaplasmoparae")</f>
        <v>Scleroulivirus sigmaplasmoparae</v>
      </c>
      <c r="S11605" s="18" t="s">
        <v>30</v>
      </c>
      <c r="T11605" s="18" t="s">
        <v>23925</v>
      </c>
      <c r="U11605" s="18" t="s">
        <v>23926</v>
      </c>
      <c r="V11605" s="18" t="s">
        <v>23927</v>
      </c>
      <c r="W11605" s="18" t="s">
        <v>23928</v>
      </c>
      <c r="X11605" s="18" t="s">
        <v>35</v>
      </c>
      <c r="Y11605" s="18" t="s">
        <v>17171</v>
      </c>
      <c r="Z11605" s="18" t="s">
        <v>41209</v>
      </c>
      <c r="AA11605" s="21" t="str">
        <f>HYPERLINK("https://www.ncbi.nlm.nih.gov/nuccore/MN532666","NCBI Nucleotide")</f>
        <v>NCBI Nucleotide</v>
      </c>
    </row>
    <row r="11606" spans="1:27" x14ac:dyDescent="0.35">
      <c r="A11606">
        <v>1010390</v>
      </c>
      <c r="B11606">
        <v>10922</v>
      </c>
      <c r="C11606">
        <v>1</v>
      </c>
      <c r="D11606" s="17" t="s">
        <v>17166</v>
      </c>
      <c r="E11606" s="17"/>
      <c r="F11606" s="17" t="s">
        <v>17246</v>
      </c>
      <c r="G11606" s="17"/>
      <c r="H11606" s="17" t="s">
        <v>20919</v>
      </c>
      <c r="I11606" s="17"/>
      <c r="J11606" s="17" t="s">
        <v>23304</v>
      </c>
      <c r="K11606" s="17"/>
      <c r="L11606" s="17" t="s">
        <v>23305</v>
      </c>
      <c r="M11606" s="17"/>
      <c r="N11606" s="17" t="s">
        <v>23306</v>
      </c>
      <c r="O11606" s="17"/>
      <c r="P11606" s="17" t="s">
        <v>23848</v>
      </c>
      <c r="Q11606" s="17"/>
      <c r="R11606" s="25" t="str">
        <f>HYPERLINK("https://ictv.global/taxonomy/taxondetails?taxnode_id=202312585","Scleroulivirus thetaplasmoparae")</f>
        <v>Scleroulivirus thetaplasmoparae</v>
      </c>
      <c r="S11606" s="18" t="s">
        <v>30</v>
      </c>
      <c r="T11606" s="18" t="s">
        <v>23929</v>
      </c>
      <c r="U11606" s="18" t="s">
        <v>23930</v>
      </c>
      <c r="V11606" s="18" t="s">
        <v>23931</v>
      </c>
      <c r="W11606" s="18" t="s">
        <v>23932</v>
      </c>
      <c r="X11606" s="18" t="s">
        <v>35</v>
      </c>
      <c r="Y11606" s="18" t="s">
        <v>17171</v>
      </c>
      <c r="Z11606" s="18" t="s">
        <v>41209</v>
      </c>
      <c r="AA11606" s="21" t="str">
        <f>HYPERLINK("https://www.ncbi.nlm.nih.gov/nuccore/MN532656","NCBI Nucleotide")</f>
        <v>NCBI Nucleotide</v>
      </c>
    </row>
    <row r="11607" spans="1:27" x14ac:dyDescent="0.35">
      <c r="A11607">
        <v>1010391</v>
      </c>
      <c r="B11607">
        <v>10923</v>
      </c>
      <c r="C11607">
        <v>1</v>
      </c>
      <c r="D11607" s="17" t="s">
        <v>17166</v>
      </c>
      <c r="E11607" s="17"/>
      <c r="F11607" s="17" t="s">
        <v>17246</v>
      </c>
      <c r="G11607" s="17"/>
      <c r="H11607" s="17" t="s">
        <v>20919</v>
      </c>
      <c r="I11607" s="17"/>
      <c r="J11607" s="17" t="s">
        <v>23304</v>
      </c>
      <c r="K11607" s="17"/>
      <c r="L11607" s="17" t="s">
        <v>23305</v>
      </c>
      <c r="M11607" s="17"/>
      <c r="N11607" s="17" t="s">
        <v>23306</v>
      </c>
      <c r="O11607" s="17"/>
      <c r="P11607" s="17" t="s">
        <v>23848</v>
      </c>
      <c r="Q11607" s="17"/>
      <c r="R11607" s="25" t="str">
        <f>HYPERLINK("https://ictv.global/taxonomy/taxondetails?taxnode_id=202312591","Scleroulivirus xiplasmoparae")</f>
        <v>Scleroulivirus xiplasmoparae</v>
      </c>
      <c r="S11607" s="18" t="s">
        <v>30</v>
      </c>
      <c r="T11607" s="18" t="s">
        <v>23933</v>
      </c>
      <c r="U11607" s="18" t="s">
        <v>23934</v>
      </c>
      <c r="V11607" s="18" t="s">
        <v>23935</v>
      </c>
      <c r="W11607" s="18" t="s">
        <v>23936</v>
      </c>
      <c r="X11607" s="18" t="s">
        <v>35</v>
      </c>
      <c r="Y11607" s="18" t="s">
        <v>17171</v>
      </c>
      <c r="Z11607" s="18" t="s">
        <v>41209</v>
      </c>
      <c r="AA11607" s="21" t="str">
        <f>HYPERLINK("https://www.ncbi.nlm.nih.gov/nuccore/MN532662","NCBI Nucleotide")</f>
        <v>NCBI Nucleotide</v>
      </c>
    </row>
    <row r="11608" spans="1:27" x14ac:dyDescent="0.35">
      <c r="A11608">
        <v>1010392</v>
      </c>
      <c r="B11608">
        <v>10924</v>
      </c>
      <c r="C11608">
        <v>1</v>
      </c>
      <c r="D11608" s="17" t="s">
        <v>17166</v>
      </c>
      <c r="E11608" s="17"/>
      <c r="F11608" s="17" t="s">
        <v>17246</v>
      </c>
      <c r="G11608" s="17"/>
      <c r="H11608" s="17" t="s">
        <v>20919</v>
      </c>
      <c r="I11608" s="17"/>
      <c r="J11608" s="17" t="s">
        <v>23304</v>
      </c>
      <c r="K11608" s="17"/>
      <c r="L11608" s="17" t="s">
        <v>23305</v>
      </c>
      <c r="M11608" s="17"/>
      <c r="N11608" s="17" t="s">
        <v>23306</v>
      </c>
      <c r="O11608" s="17"/>
      <c r="P11608" s="17" t="s">
        <v>23848</v>
      </c>
      <c r="Q11608" s="17"/>
      <c r="R11608" s="25" t="str">
        <f>HYPERLINK("https://ictv.global/taxonomy/taxondetails?taxnode_id=202312583","Scleroulivirus zetaplasmoparae")</f>
        <v>Scleroulivirus zetaplasmoparae</v>
      </c>
      <c r="S11608" s="18" t="s">
        <v>30</v>
      </c>
      <c r="T11608" s="18" t="s">
        <v>23937</v>
      </c>
      <c r="U11608" s="18" t="s">
        <v>23938</v>
      </c>
      <c r="V11608" s="18" t="s">
        <v>23939</v>
      </c>
      <c r="W11608" s="18" t="s">
        <v>23940</v>
      </c>
      <c r="X11608" s="18" t="s">
        <v>35</v>
      </c>
      <c r="Y11608" s="18" t="s">
        <v>17171</v>
      </c>
      <c r="Z11608" s="18" t="s">
        <v>41209</v>
      </c>
      <c r="AA11608" s="21" t="str">
        <f>HYPERLINK("https://www.ncbi.nlm.nih.gov/nuccore/MN532653","NCBI Nucleotide")</f>
        <v>NCBI Nucleotide</v>
      </c>
    </row>
    <row r="11609" spans="1:27" x14ac:dyDescent="0.35">
      <c r="A11609">
        <v>1010393</v>
      </c>
      <c r="B11609">
        <v>10925</v>
      </c>
      <c r="C11609">
        <v>1</v>
      </c>
      <c r="D11609" s="17" t="s">
        <v>17166</v>
      </c>
      <c r="E11609" s="17"/>
      <c r="F11609" s="17" t="s">
        <v>17246</v>
      </c>
      <c r="G11609" s="17"/>
      <c r="H11609" s="17" t="s">
        <v>20919</v>
      </c>
      <c r="I11609" s="17"/>
      <c r="J11609" s="17" t="s">
        <v>23304</v>
      </c>
      <c r="K11609" s="17"/>
      <c r="L11609" s="17" t="s">
        <v>23305</v>
      </c>
      <c r="M11609" s="17"/>
      <c r="N11609" s="17" t="s">
        <v>23306</v>
      </c>
      <c r="O11609" s="17"/>
      <c r="P11609" s="17" t="s">
        <v>23848</v>
      </c>
      <c r="Q11609" s="17"/>
      <c r="R11609" s="25" t="str">
        <f>HYPERLINK("https://ictv.global/taxonomy/taxondetails?taxnode_id=202306285","Soybean scleroulivirus 1")</f>
        <v>Soybean scleroulivirus 1</v>
      </c>
      <c r="S11609" s="18" t="s">
        <v>30</v>
      </c>
      <c r="T11609" s="18" t="s">
        <v>23941</v>
      </c>
      <c r="U11609" s="18" t="s">
        <v>23942</v>
      </c>
      <c r="V11609" s="18">
        <v>1</v>
      </c>
      <c r="W11609" s="18" t="s">
        <v>23943</v>
      </c>
      <c r="X11609" s="18" t="s">
        <v>154</v>
      </c>
      <c r="Y11609" s="18" t="s">
        <v>17171</v>
      </c>
      <c r="Z11609" s="18" t="s">
        <v>16721</v>
      </c>
      <c r="AA11609" s="21" t="str">
        <f>HYPERLINK("https://www.ncbi.nlm.nih.gov/nuccore/KT598235","NCBI Nucleotide")</f>
        <v>NCBI Nucleotide</v>
      </c>
    </row>
    <row r="11610" spans="1:27" x14ac:dyDescent="0.35">
      <c r="A11610">
        <v>1010394</v>
      </c>
      <c r="B11610">
        <v>10926</v>
      </c>
      <c r="C11610">
        <v>1</v>
      </c>
      <c r="D11610" s="17" t="s">
        <v>17166</v>
      </c>
      <c r="E11610" s="17"/>
      <c r="F11610" s="17" t="s">
        <v>17246</v>
      </c>
      <c r="G11610" s="17"/>
      <c r="H11610" s="17" t="s">
        <v>20919</v>
      </c>
      <c r="I11610" s="17"/>
      <c r="J11610" s="17" t="s">
        <v>23304</v>
      </c>
      <c r="K11610" s="17"/>
      <c r="L11610" s="17" t="s">
        <v>23305</v>
      </c>
      <c r="M11610" s="17"/>
      <c r="N11610" s="17" t="s">
        <v>23306</v>
      </c>
      <c r="O11610" s="17"/>
      <c r="P11610" s="17" t="s">
        <v>23848</v>
      </c>
      <c r="Q11610" s="17"/>
      <c r="R11610" s="25" t="str">
        <f>HYPERLINK("https://ictv.global/taxonomy/taxondetails?taxnode_id=202306286","Soybean scleroulivirus 2")</f>
        <v>Soybean scleroulivirus 2</v>
      </c>
      <c r="S11610" s="18" t="s">
        <v>30</v>
      </c>
      <c r="T11610" s="18" t="s">
        <v>23944</v>
      </c>
      <c r="U11610" s="18" t="s">
        <v>23945</v>
      </c>
      <c r="V11610" s="18">
        <v>1</v>
      </c>
      <c r="W11610" s="18" t="s">
        <v>23946</v>
      </c>
      <c r="X11610" s="18" t="s">
        <v>154</v>
      </c>
      <c r="Y11610" s="18" t="s">
        <v>17171</v>
      </c>
      <c r="Z11610" s="18" t="s">
        <v>16721</v>
      </c>
      <c r="AA11610" s="21" t="str">
        <f>HYPERLINK("https://www.ncbi.nlm.nih.gov/nuccore/KT598247","NCBI Nucleotide")</f>
        <v>NCBI Nucleotide</v>
      </c>
    </row>
    <row r="11611" spans="1:27" x14ac:dyDescent="0.35">
      <c r="A11611">
        <v>1012851</v>
      </c>
      <c r="B11611">
        <v>10926</v>
      </c>
      <c r="C11611">
        <v>2</v>
      </c>
      <c r="D11611" s="17" t="s">
        <v>17166</v>
      </c>
      <c r="E11611" s="17"/>
      <c r="F11611" s="17" t="s">
        <v>17246</v>
      </c>
      <c r="G11611" s="17"/>
      <c r="H11611" s="17" t="s">
        <v>20919</v>
      </c>
      <c r="I11611" s="17"/>
      <c r="J11611" s="17" t="s">
        <v>23304</v>
      </c>
      <c r="K11611" s="17"/>
      <c r="L11611" s="17" t="s">
        <v>23305</v>
      </c>
      <c r="M11611" s="17"/>
      <c r="N11611" s="17" t="s">
        <v>23306</v>
      </c>
      <c r="O11611" s="17"/>
      <c r="P11611" s="17" t="s">
        <v>23848</v>
      </c>
      <c r="Q11611" s="17"/>
      <c r="R11611" s="25" t="str">
        <f>HYPERLINK("https://ictv.global/taxonomy/taxondetails?taxnode_id=202306286","Soybean scleroulivirus 2")</f>
        <v>Soybean scleroulivirus 2</v>
      </c>
      <c r="S11611" s="18" t="s">
        <v>8141</v>
      </c>
      <c r="T11611" s="18" t="s">
        <v>23947</v>
      </c>
      <c r="U11611" s="18" t="s">
        <v>23948</v>
      </c>
      <c r="V11611" s="18" t="s">
        <v>23949</v>
      </c>
      <c r="W11611" s="18" t="s">
        <v>49407</v>
      </c>
      <c r="X11611" s="18" t="s">
        <v>35</v>
      </c>
      <c r="Y11611" s="18" t="s">
        <v>17171</v>
      </c>
      <c r="Z11611" s="18" t="s">
        <v>41209</v>
      </c>
      <c r="AA11611" s="21" t="str">
        <f>HYPERLINK("https://www.ncbi.nlm.nih.gov/nuccore/MN532652","NCBI Nucleotide")</f>
        <v>NCBI Nucleotide</v>
      </c>
    </row>
    <row r="11612" spans="1:27" x14ac:dyDescent="0.35">
      <c r="A11612">
        <v>1010395</v>
      </c>
      <c r="B11612">
        <v>10927</v>
      </c>
      <c r="C11612">
        <v>1</v>
      </c>
      <c r="D11612" s="17" t="s">
        <v>17166</v>
      </c>
      <c r="E11612" s="17"/>
      <c r="F11612" s="17" t="s">
        <v>17246</v>
      </c>
      <c r="G11612" s="17"/>
      <c r="H11612" s="17" t="s">
        <v>23950</v>
      </c>
      <c r="I11612" s="17" t="s">
        <v>23956</v>
      </c>
      <c r="J11612" s="17" t="s">
        <v>23957</v>
      </c>
      <c r="K11612" s="17"/>
      <c r="L11612" s="17" t="s">
        <v>23958</v>
      </c>
      <c r="M11612" s="17"/>
      <c r="N11612" s="17" t="s">
        <v>23959</v>
      </c>
      <c r="O11612" s="17"/>
      <c r="P11612" s="17" t="s">
        <v>23960</v>
      </c>
      <c r="Q11612" s="17"/>
      <c r="R11612" s="25" t="str">
        <f>HYPERLINK("https://ictv.global/taxonomy/taxondetails?taxnode_id=202306030","Yingvirus beihaiense")</f>
        <v>Yingvirus beihaiense</v>
      </c>
      <c r="S11612" s="18" t="s">
        <v>30</v>
      </c>
      <c r="T11612" s="18" t="s">
        <v>23983</v>
      </c>
      <c r="U11612" s="18" t="s">
        <v>23984</v>
      </c>
      <c r="V11612" s="18" t="s">
        <v>23985</v>
      </c>
      <c r="W11612" s="18" t="s">
        <v>46342</v>
      </c>
      <c r="X11612" s="18" t="s">
        <v>35</v>
      </c>
      <c r="Y11612" s="18" t="s">
        <v>23964</v>
      </c>
      <c r="Z11612" s="18" t="s">
        <v>10790</v>
      </c>
      <c r="AA11612" s="21" t="str">
        <f>HYPERLINK("https://www.ncbi.nlm.nih.gov/nuccore/KX883990,KX883991","NCBI Nucleotide")</f>
        <v>NCBI Nucleotide</v>
      </c>
    </row>
    <row r="11613" spans="1:27" x14ac:dyDescent="0.35">
      <c r="A11613">
        <v>1010396</v>
      </c>
      <c r="B11613">
        <v>10928</v>
      </c>
      <c r="C11613">
        <v>1</v>
      </c>
      <c r="D11613" s="17" t="s">
        <v>17166</v>
      </c>
      <c r="E11613" s="17"/>
      <c r="F11613" s="17" t="s">
        <v>17246</v>
      </c>
      <c r="G11613" s="17"/>
      <c r="H11613" s="17" t="s">
        <v>23950</v>
      </c>
      <c r="I11613" s="17" t="s">
        <v>23956</v>
      </c>
      <c r="J11613" s="17" t="s">
        <v>23957</v>
      </c>
      <c r="K11613" s="17"/>
      <c r="L11613" s="17" t="s">
        <v>23958</v>
      </c>
      <c r="M11613" s="17"/>
      <c r="N11613" s="17" t="s">
        <v>23959</v>
      </c>
      <c r="O11613" s="17"/>
      <c r="P11613" s="17" t="s">
        <v>23960</v>
      </c>
      <c r="Q11613" s="17"/>
      <c r="R11613" s="25" t="str">
        <f>HYPERLINK("https://ictv.global/taxonomy/taxondetails?taxnode_id=202306031","Yingvirus charybdis")</f>
        <v>Yingvirus charybdis</v>
      </c>
      <c r="S11613" s="18" t="s">
        <v>30</v>
      </c>
      <c r="T11613" s="18" t="s">
        <v>23961</v>
      </c>
      <c r="U11613" s="18" t="s">
        <v>23962</v>
      </c>
      <c r="V11613" s="18" t="s">
        <v>23963</v>
      </c>
      <c r="W11613" s="18" t="s">
        <v>46343</v>
      </c>
      <c r="X11613" s="18" t="s">
        <v>35</v>
      </c>
      <c r="Y11613" s="18" t="s">
        <v>23964</v>
      </c>
      <c r="Z11613" s="18" t="s">
        <v>10790</v>
      </c>
      <c r="AA11613" s="21" t="str">
        <f>HYPERLINK("https://www.ncbi.nlm.nih.gov/nuccore/KX884000,KX884001","NCBI Nucleotide")</f>
        <v>NCBI Nucleotide</v>
      </c>
    </row>
    <row r="11614" spans="1:27" x14ac:dyDescent="0.35">
      <c r="A11614">
        <v>1010397</v>
      </c>
      <c r="B11614">
        <v>10929</v>
      </c>
      <c r="C11614">
        <v>1</v>
      </c>
      <c r="D11614" s="17" t="s">
        <v>17166</v>
      </c>
      <c r="E11614" s="17"/>
      <c r="F11614" s="17" t="s">
        <v>17246</v>
      </c>
      <c r="G11614" s="17"/>
      <c r="H11614" s="17" t="s">
        <v>23950</v>
      </c>
      <c r="I11614" s="17" t="s">
        <v>23956</v>
      </c>
      <c r="J11614" s="17" t="s">
        <v>23957</v>
      </c>
      <c r="K11614" s="17"/>
      <c r="L11614" s="17" t="s">
        <v>23958</v>
      </c>
      <c r="M11614" s="17"/>
      <c r="N11614" s="17" t="s">
        <v>23959</v>
      </c>
      <c r="O11614" s="17"/>
      <c r="P11614" s="17" t="s">
        <v>23960</v>
      </c>
      <c r="Q11614" s="17"/>
      <c r="R11614" s="25" t="str">
        <f>HYPERLINK("https://ictv.global/taxonomy/taxondetails?taxnode_id=202306032","Yingvirus hubeiense")</f>
        <v>Yingvirus hubeiense</v>
      </c>
      <c r="S11614" s="18" t="s">
        <v>30</v>
      </c>
      <c r="T11614" s="18" t="s">
        <v>23965</v>
      </c>
      <c r="U11614" s="18" t="s">
        <v>23966</v>
      </c>
      <c r="V11614" s="18" t="s">
        <v>23967</v>
      </c>
      <c r="W11614" s="18" t="s">
        <v>46344</v>
      </c>
      <c r="X11614" s="18" t="s">
        <v>35</v>
      </c>
      <c r="Y11614" s="18" t="s">
        <v>23964</v>
      </c>
      <c r="Z11614" s="18" t="s">
        <v>10790</v>
      </c>
      <c r="AA11614" s="21" t="str">
        <f>HYPERLINK("https://www.ncbi.nlm.nih.gov/nuccore/KX883992,KX883993","NCBI Nucleotide")</f>
        <v>NCBI Nucleotide</v>
      </c>
    </row>
    <row r="11615" spans="1:27" x14ac:dyDescent="0.35">
      <c r="A11615">
        <v>1010398</v>
      </c>
      <c r="B11615">
        <v>10930</v>
      </c>
      <c r="C11615">
        <v>1</v>
      </c>
      <c r="D11615" s="17" t="s">
        <v>17166</v>
      </c>
      <c r="E11615" s="17"/>
      <c r="F11615" s="17" t="s">
        <v>17246</v>
      </c>
      <c r="G11615" s="17"/>
      <c r="H11615" s="17" t="s">
        <v>23950</v>
      </c>
      <c r="I11615" s="17" t="s">
        <v>23956</v>
      </c>
      <c r="J11615" s="17" t="s">
        <v>23957</v>
      </c>
      <c r="K11615" s="17"/>
      <c r="L11615" s="17" t="s">
        <v>23958</v>
      </c>
      <c r="M11615" s="17"/>
      <c r="N11615" s="17" t="s">
        <v>23959</v>
      </c>
      <c r="O11615" s="17"/>
      <c r="P11615" s="17" t="s">
        <v>23960</v>
      </c>
      <c r="Q11615" s="17"/>
      <c r="R11615" s="25" t="str">
        <f>HYPERLINK("https://ictv.global/taxonomy/taxondetails?taxnode_id=202306033","Yingvirus sanxiaense")</f>
        <v>Yingvirus sanxiaense</v>
      </c>
      <c r="S11615" s="18" t="s">
        <v>30</v>
      </c>
      <c r="T11615" s="18" t="s">
        <v>23968</v>
      </c>
      <c r="U11615" s="18" t="s">
        <v>23969</v>
      </c>
      <c r="V11615" s="18" t="s">
        <v>23970</v>
      </c>
      <c r="W11615" s="18" t="s">
        <v>46345</v>
      </c>
      <c r="X11615" s="18" t="s">
        <v>35</v>
      </c>
      <c r="Y11615" s="18" t="s">
        <v>23964</v>
      </c>
      <c r="Z11615" s="18" t="s">
        <v>10790</v>
      </c>
      <c r="AA11615" s="21" t="str">
        <f>HYPERLINK("https://www.ncbi.nlm.nih.gov/nuccore/KX883996,KX883997","NCBI Nucleotide")</f>
        <v>NCBI Nucleotide</v>
      </c>
    </row>
    <row r="11616" spans="1:27" x14ac:dyDescent="0.35">
      <c r="A11616">
        <v>1010399</v>
      </c>
      <c r="B11616">
        <v>10931</v>
      </c>
      <c r="C11616">
        <v>1</v>
      </c>
      <c r="D11616" s="17" t="s">
        <v>17166</v>
      </c>
      <c r="E11616" s="17"/>
      <c r="F11616" s="17" t="s">
        <v>17246</v>
      </c>
      <c r="G11616" s="17"/>
      <c r="H11616" s="17" t="s">
        <v>23950</v>
      </c>
      <c r="I11616" s="17" t="s">
        <v>23956</v>
      </c>
      <c r="J11616" s="17" t="s">
        <v>23957</v>
      </c>
      <c r="K11616" s="17"/>
      <c r="L11616" s="17" t="s">
        <v>23958</v>
      </c>
      <c r="M11616" s="17"/>
      <c r="N11616" s="17" t="s">
        <v>23959</v>
      </c>
      <c r="O11616" s="17"/>
      <c r="P11616" s="17" t="s">
        <v>23960</v>
      </c>
      <c r="Q11616" s="17"/>
      <c r="R11616" s="25" t="str">
        <f>HYPERLINK("https://ictv.global/taxonomy/taxondetails?taxnode_id=202306034","Yingvirus shaheense")</f>
        <v>Yingvirus shaheense</v>
      </c>
      <c r="S11616" s="18" t="s">
        <v>30</v>
      </c>
      <c r="T11616" s="18" t="s">
        <v>23971</v>
      </c>
      <c r="U11616" s="18" t="s">
        <v>23972</v>
      </c>
      <c r="V11616" s="18" t="s">
        <v>23973</v>
      </c>
      <c r="W11616" s="18" t="s">
        <v>46346</v>
      </c>
      <c r="X11616" s="18" t="s">
        <v>35</v>
      </c>
      <c r="Y11616" s="18" t="s">
        <v>23964</v>
      </c>
      <c r="Z11616" s="18" t="s">
        <v>10790</v>
      </c>
      <c r="AA11616" s="21" t="str">
        <f>HYPERLINK("https://www.ncbi.nlm.nih.gov/nuccore/KX883994,KX883995","NCBI Nucleotide")</f>
        <v>NCBI Nucleotide</v>
      </c>
    </row>
    <row r="11617" spans="1:27" x14ac:dyDescent="0.35">
      <c r="A11617">
        <v>1010400</v>
      </c>
      <c r="B11617">
        <v>10932</v>
      </c>
      <c r="C11617">
        <v>1</v>
      </c>
      <c r="D11617" s="17" t="s">
        <v>17166</v>
      </c>
      <c r="E11617" s="17"/>
      <c r="F11617" s="17" t="s">
        <v>17246</v>
      </c>
      <c r="G11617" s="17"/>
      <c r="H11617" s="17" t="s">
        <v>23950</v>
      </c>
      <c r="I11617" s="17" t="s">
        <v>23956</v>
      </c>
      <c r="J11617" s="17" t="s">
        <v>23957</v>
      </c>
      <c r="K11617" s="17"/>
      <c r="L11617" s="17" t="s">
        <v>23958</v>
      </c>
      <c r="M11617" s="17"/>
      <c r="N11617" s="17" t="s">
        <v>23959</v>
      </c>
      <c r="O11617" s="17"/>
      <c r="P11617" s="17" t="s">
        <v>23960</v>
      </c>
      <c r="Q11617" s="17"/>
      <c r="R11617" s="25" t="str">
        <f>HYPERLINK("https://ictv.global/taxonomy/taxondetails?taxnode_id=202306035","Yingvirus wenzhouense")</f>
        <v>Yingvirus wenzhouense</v>
      </c>
      <c r="S11617" s="18" t="s">
        <v>30</v>
      </c>
      <c r="T11617" s="18" t="s">
        <v>23974</v>
      </c>
      <c r="U11617" s="18" t="s">
        <v>23975</v>
      </c>
      <c r="V11617" s="18" t="s">
        <v>23976</v>
      </c>
      <c r="W11617" s="18" t="s">
        <v>46347</v>
      </c>
      <c r="X11617" s="18" t="s">
        <v>35</v>
      </c>
      <c r="Y11617" s="18" t="s">
        <v>23964</v>
      </c>
      <c r="Z11617" s="18" t="s">
        <v>10790</v>
      </c>
      <c r="AA11617" s="21" t="str">
        <f>HYPERLINK("https://www.ncbi.nlm.nih.gov/nuccore/KX884002,KX884003","NCBI Nucleotide")</f>
        <v>NCBI Nucleotide</v>
      </c>
    </row>
    <row r="11618" spans="1:27" x14ac:dyDescent="0.35">
      <c r="A11618">
        <v>1010401</v>
      </c>
      <c r="B11618">
        <v>10933</v>
      </c>
      <c r="C11618">
        <v>1</v>
      </c>
      <c r="D11618" s="17" t="s">
        <v>17166</v>
      </c>
      <c r="E11618" s="17"/>
      <c r="F11618" s="17" t="s">
        <v>17246</v>
      </c>
      <c r="G11618" s="17"/>
      <c r="H11618" s="17" t="s">
        <v>23950</v>
      </c>
      <c r="I11618" s="17" t="s">
        <v>23956</v>
      </c>
      <c r="J11618" s="17" t="s">
        <v>23957</v>
      </c>
      <c r="K11618" s="17"/>
      <c r="L11618" s="17" t="s">
        <v>23958</v>
      </c>
      <c r="M11618" s="17"/>
      <c r="N11618" s="17" t="s">
        <v>23959</v>
      </c>
      <c r="O11618" s="17"/>
      <c r="P11618" s="17" t="s">
        <v>23960</v>
      </c>
      <c r="Q11618" s="17"/>
      <c r="R11618" s="25" t="str">
        <f>HYPERLINK("https://ictv.global/taxonomy/taxondetails?taxnode_id=202306036","Yingvirus wuhanense")</f>
        <v>Yingvirus wuhanense</v>
      </c>
      <c r="S11618" s="18" t="s">
        <v>30</v>
      </c>
      <c r="T11618" s="18" t="s">
        <v>23977</v>
      </c>
      <c r="U11618" s="18" t="s">
        <v>23978</v>
      </c>
      <c r="V11618" s="18" t="s">
        <v>23979</v>
      </c>
      <c r="W11618" s="18" t="s">
        <v>46348</v>
      </c>
      <c r="X11618" s="18" t="s">
        <v>35</v>
      </c>
      <c r="Y11618" s="18" t="s">
        <v>23964</v>
      </c>
      <c r="Z11618" s="18" t="s">
        <v>10790</v>
      </c>
      <c r="AA11618" s="21" t="str">
        <f>HYPERLINK("https://www.ncbi.nlm.nih.gov/nuccore/KX883998,KX883999","NCBI Nucleotide")</f>
        <v>NCBI Nucleotide</v>
      </c>
    </row>
    <row r="11619" spans="1:27" x14ac:dyDescent="0.35">
      <c r="A11619">
        <v>1010402</v>
      </c>
      <c r="B11619">
        <v>10934</v>
      </c>
      <c r="C11619">
        <v>1</v>
      </c>
      <c r="D11619" s="17" t="s">
        <v>17166</v>
      </c>
      <c r="E11619" s="17"/>
      <c r="F11619" s="17" t="s">
        <v>17246</v>
      </c>
      <c r="G11619" s="17"/>
      <c r="H11619" s="17" t="s">
        <v>23950</v>
      </c>
      <c r="I11619" s="17" t="s">
        <v>23956</v>
      </c>
      <c r="J11619" s="17" t="s">
        <v>23957</v>
      </c>
      <c r="K11619" s="17"/>
      <c r="L11619" s="17" t="s">
        <v>23958</v>
      </c>
      <c r="M11619" s="17"/>
      <c r="N11619" s="17" t="s">
        <v>23959</v>
      </c>
      <c r="O11619" s="17"/>
      <c r="P11619" s="17" t="s">
        <v>23960</v>
      </c>
      <c r="Q11619" s="17"/>
      <c r="R11619" s="25" t="str">
        <f>HYPERLINK("https://ictv.global/taxonomy/taxondetails?taxnode_id=202306037","Yingvirus xinzhouense")</f>
        <v>Yingvirus xinzhouense</v>
      </c>
      <c r="S11619" s="18" t="s">
        <v>30</v>
      </c>
      <c r="T11619" s="18" t="s">
        <v>23980</v>
      </c>
      <c r="U11619" s="18" t="s">
        <v>23981</v>
      </c>
      <c r="V11619" s="18" t="s">
        <v>23982</v>
      </c>
      <c r="W11619" s="18" t="s">
        <v>46349</v>
      </c>
      <c r="X11619" s="18" t="s">
        <v>35</v>
      </c>
      <c r="Y11619" s="18" t="s">
        <v>23964</v>
      </c>
      <c r="Z11619" s="18" t="s">
        <v>10790</v>
      </c>
      <c r="AA11619" s="21" t="str">
        <f>HYPERLINK("https://www.ncbi.nlm.nih.gov/nuccore/KX884004,KX884005","NCBI Nucleotide")</f>
        <v>NCBI Nucleotide</v>
      </c>
    </row>
    <row r="11620" spans="1:27" x14ac:dyDescent="0.35">
      <c r="A11620">
        <v>1027696</v>
      </c>
      <c r="B11620">
        <v>10935</v>
      </c>
      <c r="C11620">
        <v>1</v>
      </c>
      <c r="D11620" s="17" t="s">
        <v>17166</v>
      </c>
      <c r="E11620" s="17"/>
      <c r="F11620" s="17" t="s">
        <v>17246</v>
      </c>
      <c r="G11620" s="17"/>
      <c r="H11620" s="17" t="s">
        <v>23950</v>
      </c>
      <c r="I11620" s="17" t="s">
        <v>23956</v>
      </c>
      <c r="J11620" s="17" t="s">
        <v>23986</v>
      </c>
      <c r="K11620" s="17"/>
      <c r="L11620" s="17" t="s">
        <v>46350</v>
      </c>
      <c r="M11620" s="17"/>
      <c r="N11620" s="17" t="s">
        <v>23987</v>
      </c>
      <c r="O11620" s="17"/>
      <c r="P11620" s="17" t="s">
        <v>23988</v>
      </c>
      <c r="Q11620" s="17"/>
      <c r="R11620" s="25" t="str">
        <f>HYPERLINK("https://ictv.global/taxonomy/taxondetails?taxnode_id=202317926","Ophiovirus capsici")</f>
        <v>Ophiovirus capsici</v>
      </c>
      <c r="S11620" s="18" t="s">
        <v>30</v>
      </c>
      <c r="T11620" s="18" t="s">
        <v>46351</v>
      </c>
      <c r="U11620" s="18" t="s">
        <v>46352</v>
      </c>
      <c r="V11620" s="18" t="s">
        <v>46353</v>
      </c>
      <c r="W11620" s="18" t="s">
        <v>50980</v>
      </c>
      <c r="X11620" s="18" t="s">
        <v>42</v>
      </c>
      <c r="Y11620" s="18" t="s">
        <v>23964</v>
      </c>
      <c r="Z11620" s="18" t="s">
        <v>13441</v>
      </c>
      <c r="AA11620" s="21" t="str">
        <f>HYPERLINK("https://www.ncbi.nlm.nih.gov/nuccore/LC719619,LC719620,LC719621","NCBI Nucleotide")</f>
        <v>NCBI Nucleotide</v>
      </c>
    </row>
    <row r="11621" spans="1:27" x14ac:dyDescent="0.35">
      <c r="A11621">
        <v>1010403</v>
      </c>
      <c r="B11621">
        <v>10936</v>
      </c>
      <c r="C11621">
        <v>1</v>
      </c>
      <c r="D11621" s="17" t="s">
        <v>17166</v>
      </c>
      <c r="E11621" s="17"/>
      <c r="F11621" s="17" t="s">
        <v>17246</v>
      </c>
      <c r="G11621" s="17"/>
      <c r="H11621" s="17" t="s">
        <v>23950</v>
      </c>
      <c r="I11621" s="17" t="s">
        <v>23956</v>
      </c>
      <c r="J11621" s="17" t="s">
        <v>23986</v>
      </c>
      <c r="K11621" s="17"/>
      <c r="L11621" s="17" t="s">
        <v>46350</v>
      </c>
      <c r="M11621" s="17"/>
      <c r="N11621" s="17" t="s">
        <v>23987</v>
      </c>
      <c r="O11621" s="17"/>
      <c r="P11621" s="17" t="s">
        <v>23988</v>
      </c>
      <c r="Q11621" s="17"/>
      <c r="R11621" s="25" t="str">
        <f>HYPERLINK("https://ictv.global/taxonomy/taxondetails?taxnode_id=202303947","Ophiovirus citri")</f>
        <v>Ophiovirus citri</v>
      </c>
      <c r="S11621" s="18" t="s">
        <v>30</v>
      </c>
      <c r="T11621" s="18" t="s">
        <v>23989</v>
      </c>
      <c r="U11621" s="18" t="s">
        <v>23990</v>
      </c>
      <c r="V11621" s="18" t="s">
        <v>23991</v>
      </c>
      <c r="W11621" s="18" t="s">
        <v>23992</v>
      </c>
      <c r="X11621" s="18" t="s">
        <v>42</v>
      </c>
      <c r="Y11621" s="18" t="s">
        <v>23964</v>
      </c>
      <c r="Z11621" s="18" t="s">
        <v>13441</v>
      </c>
      <c r="AA11621" s="21" t="str">
        <f>HYPERLINK("https://www.ncbi.nlm.nih.gov/nuccore/AY654892,AY654893,AY654894","NCBI Nucleotide")</f>
        <v>NCBI Nucleotide</v>
      </c>
    </row>
    <row r="11622" spans="1:27" x14ac:dyDescent="0.35">
      <c r="A11622">
        <v>1010404</v>
      </c>
      <c r="B11622">
        <v>10937</v>
      </c>
      <c r="C11622">
        <v>1</v>
      </c>
      <c r="D11622" s="17" t="s">
        <v>17166</v>
      </c>
      <c r="E11622" s="17"/>
      <c r="F11622" s="17" t="s">
        <v>17246</v>
      </c>
      <c r="G11622" s="17"/>
      <c r="H11622" s="17" t="s">
        <v>23950</v>
      </c>
      <c r="I11622" s="17" t="s">
        <v>23956</v>
      </c>
      <c r="J11622" s="17" t="s">
        <v>23986</v>
      </c>
      <c r="K11622" s="17"/>
      <c r="L11622" s="17" t="s">
        <v>46350</v>
      </c>
      <c r="M11622" s="17"/>
      <c r="N11622" s="17" t="s">
        <v>23987</v>
      </c>
      <c r="O11622" s="17"/>
      <c r="P11622" s="17" t="s">
        <v>23988</v>
      </c>
      <c r="Q11622" s="17"/>
      <c r="R11622" s="25" t="str">
        <f>HYPERLINK("https://ictv.global/taxonomy/taxondetails?taxnode_id=202303948","Ophiovirus freesiae")</f>
        <v>Ophiovirus freesiae</v>
      </c>
      <c r="S11622" s="18" t="s">
        <v>30</v>
      </c>
      <c r="T11622" s="18" t="s">
        <v>23993</v>
      </c>
      <c r="U11622" s="18" t="s">
        <v>23994</v>
      </c>
      <c r="V11622" s="18" t="s">
        <v>23995</v>
      </c>
      <c r="W11622" s="18" t="s">
        <v>23996</v>
      </c>
      <c r="X11622" s="18" t="s">
        <v>154</v>
      </c>
      <c r="Y11622" s="18" t="s">
        <v>23964</v>
      </c>
      <c r="Z11622" s="18" t="s">
        <v>13441</v>
      </c>
      <c r="AA11622" s="21" t="str">
        <f>HYPERLINK("https://www.ncbi.nlm.nih.gov/nuccore/DQ885455","NCBI Nucleotide")</f>
        <v>NCBI Nucleotide</v>
      </c>
    </row>
    <row r="11623" spans="1:27" x14ac:dyDescent="0.35">
      <c r="A11623">
        <v>1010405</v>
      </c>
      <c r="B11623">
        <v>10938</v>
      </c>
      <c r="C11623">
        <v>1</v>
      </c>
      <c r="D11623" s="17" t="s">
        <v>17166</v>
      </c>
      <c r="E11623" s="17"/>
      <c r="F11623" s="17" t="s">
        <v>17246</v>
      </c>
      <c r="G11623" s="17"/>
      <c r="H11623" s="17" t="s">
        <v>23950</v>
      </c>
      <c r="I11623" s="17" t="s">
        <v>23956</v>
      </c>
      <c r="J11623" s="17" t="s">
        <v>23986</v>
      </c>
      <c r="K11623" s="17"/>
      <c r="L11623" s="17" t="s">
        <v>46350</v>
      </c>
      <c r="M11623" s="17"/>
      <c r="N11623" s="17" t="s">
        <v>23987</v>
      </c>
      <c r="O11623" s="17"/>
      <c r="P11623" s="17" t="s">
        <v>23988</v>
      </c>
      <c r="Q11623" s="17"/>
      <c r="R11623" s="25" t="str">
        <f>HYPERLINK("https://ictv.global/taxonomy/taxondetails?taxnode_id=202303949","Ophiovirus lactucae")</f>
        <v>Ophiovirus lactucae</v>
      </c>
      <c r="S11623" s="18" t="s">
        <v>30</v>
      </c>
      <c r="T11623" s="18" t="s">
        <v>23997</v>
      </c>
      <c r="U11623" s="18" t="s">
        <v>23998</v>
      </c>
      <c r="V11623" s="18" t="s">
        <v>23999</v>
      </c>
      <c r="W11623" s="18" t="s">
        <v>24000</v>
      </c>
      <c r="X11623" s="18" t="s">
        <v>42</v>
      </c>
      <c r="Y11623" s="18" t="s">
        <v>23964</v>
      </c>
      <c r="Z11623" s="18" t="s">
        <v>13441</v>
      </c>
      <c r="AA11623" s="21" t="str">
        <f>HYPERLINK("https://www.ncbi.nlm.nih.gov/nuccore/AY535016,AY535017,AY535018,AY535019","NCBI Nucleotide")</f>
        <v>NCBI Nucleotide</v>
      </c>
    </row>
    <row r="11624" spans="1:27" x14ac:dyDescent="0.35">
      <c r="A11624">
        <v>1010406</v>
      </c>
      <c r="B11624">
        <v>10939</v>
      </c>
      <c r="C11624">
        <v>1</v>
      </c>
      <c r="D11624" s="17" t="s">
        <v>17166</v>
      </c>
      <c r="E11624" s="17"/>
      <c r="F11624" s="17" t="s">
        <v>17246</v>
      </c>
      <c r="G11624" s="17"/>
      <c r="H11624" s="17" t="s">
        <v>23950</v>
      </c>
      <c r="I11624" s="17" t="s">
        <v>23956</v>
      </c>
      <c r="J11624" s="17" t="s">
        <v>23986</v>
      </c>
      <c r="K11624" s="17"/>
      <c r="L11624" s="17" t="s">
        <v>46350</v>
      </c>
      <c r="M11624" s="17"/>
      <c r="N11624" s="17" t="s">
        <v>23987</v>
      </c>
      <c r="O11624" s="17"/>
      <c r="P11624" s="17" t="s">
        <v>23988</v>
      </c>
      <c r="Q11624" s="17"/>
      <c r="R11624" s="25" t="str">
        <f>HYPERLINK("https://ictv.global/taxonomy/taxondetails?taxnode_id=202303950","Ophiovirus mirafioriense")</f>
        <v>Ophiovirus mirafioriense</v>
      </c>
      <c r="S11624" s="18" t="s">
        <v>30</v>
      </c>
      <c r="T11624" s="18" t="s">
        <v>24001</v>
      </c>
      <c r="U11624" s="18" t="s">
        <v>24002</v>
      </c>
      <c r="V11624" s="18" t="s">
        <v>24003</v>
      </c>
      <c r="W11624" s="18" t="s">
        <v>24004</v>
      </c>
      <c r="X11624" s="18" t="s">
        <v>42</v>
      </c>
      <c r="Y11624" s="18" t="s">
        <v>50974</v>
      </c>
      <c r="Z11624" s="18" t="s">
        <v>13441</v>
      </c>
      <c r="AA11624" s="21" t="str">
        <f>HYPERLINK("https://www.ncbi.nlm.nih.gov/nuccore/AF525933,AF525934,AF525935,AF525936","NCBI Nucleotide")</f>
        <v>NCBI Nucleotide</v>
      </c>
    </row>
    <row r="11625" spans="1:27" x14ac:dyDescent="0.35">
      <c r="A11625">
        <v>1010407</v>
      </c>
      <c r="B11625">
        <v>10940</v>
      </c>
      <c r="C11625">
        <v>1</v>
      </c>
      <c r="D11625" s="17" t="s">
        <v>17166</v>
      </c>
      <c r="E11625" s="17"/>
      <c r="F11625" s="17" t="s">
        <v>17246</v>
      </c>
      <c r="G11625" s="17"/>
      <c r="H11625" s="17" t="s">
        <v>23950</v>
      </c>
      <c r="I11625" s="17" t="s">
        <v>23956</v>
      </c>
      <c r="J11625" s="17" t="s">
        <v>23986</v>
      </c>
      <c r="K11625" s="17"/>
      <c r="L11625" s="17" t="s">
        <v>46350</v>
      </c>
      <c r="M11625" s="17"/>
      <c r="N11625" s="17" t="s">
        <v>23987</v>
      </c>
      <c r="O11625" s="17"/>
      <c r="P11625" s="17" t="s">
        <v>23988</v>
      </c>
      <c r="Q11625" s="17"/>
      <c r="R11625" s="25" t="str">
        <f>HYPERLINK("https://ictv.global/taxonomy/taxondetails?taxnode_id=202303951","Ophiovirus ranunculi")</f>
        <v>Ophiovirus ranunculi</v>
      </c>
      <c r="S11625" s="18" t="s">
        <v>30</v>
      </c>
      <c r="T11625" s="18" t="s">
        <v>24005</v>
      </c>
      <c r="U11625" s="18" t="s">
        <v>24006</v>
      </c>
      <c r="V11625" s="18" t="s">
        <v>24007</v>
      </c>
      <c r="W11625" s="18" t="s">
        <v>24008</v>
      </c>
      <c r="X11625" s="18" t="s">
        <v>154</v>
      </c>
      <c r="Y11625" s="18" t="s">
        <v>23964</v>
      </c>
      <c r="Z11625" s="18" t="s">
        <v>13441</v>
      </c>
      <c r="AA11625" s="21" t="str">
        <f>HYPERLINK("https://www.ncbi.nlm.nih.gov/nuccore/AF335429","NCBI Nucleotide")</f>
        <v>NCBI Nucleotide</v>
      </c>
    </row>
    <row r="11626" spans="1:27" x14ac:dyDescent="0.35">
      <c r="A11626">
        <v>1010408</v>
      </c>
      <c r="B11626">
        <v>10941</v>
      </c>
      <c r="C11626">
        <v>1</v>
      </c>
      <c r="D11626" s="17" t="s">
        <v>17166</v>
      </c>
      <c r="E11626" s="17"/>
      <c r="F11626" s="17" t="s">
        <v>17246</v>
      </c>
      <c r="G11626" s="17"/>
      <c r="H11626" s="17" t="s">
        <v>23950</v>
      </c>
      <c r="I11626" s="17" t="s">
        <v>23956</v>
      </c>
      <c r="J11626" s="17" t="s">
        <v>23986</v>
      </c>
      <c r="K11626" s="17"/>
      <c r="L11626" s="17" t="s">
        <v>46350</v>
      </c>
      <c r="M11626" s="17"/>
      <c r="N11626" s="17" t="s">
        <v>23987</v>
      </c>
      <c r="O11626" s="17"/>
      <c r="P11626" s="17" t="s">
        <v>23988</v>
      </c>
      <c r="Q11626" s="17"/>
      <c r="R11626" s="25" t="str">
        <f>HYPERLINK("https://ictv.global/taxonomy/taxondetails?taxnode_id=202303952","Ophiovirus tulipae")</f>
        <v>Ophiovirus tulipae</v>
      </c>
      <c r="S11626" s="18" t="s">
        <v>30</v>
      </c>
      <c r="T11626" s="18" t="s">
        <v>24009</v>
      </c>
      <c r="U11626" s="18" t="s">
        <v>24010</v>
      </c>
      <c r="V11626" s="18" t="s">
        <v>24011</v>
      </c>
      <c r="W11626" s="18" t="s">
        <v>24012</v>
      </c>
      <c r="X11626" s="18" t="s">
        <v>154</v>
      </c>
      <c r="Y11626" s="18" t="s">
        <v>23964</v>
      </c>
      <c r="Z11626" s="18" t="s">
        <v>13441</v>
      </c>
      <c r="AA11626" s="21" t="str">
        <f>HYPERLINK("https://www.ncbi.nlm.nih.gov/nuccore/AY542958","NCBI Nucleotide")</f>
        <v>NCBI Nucleotide</v>
      </c>
    </row>
    <row r="11627" spans="1:27" x14ac:dyDescent="0.35">
      <c r="A11627">
        <v>1010409</v>
      </c>
      <c r="B11627">
        <v>10942</v>
      </c>
      <c r="C11627">
        <v>1</v>
      </c>
      <c r="D11627" s="17" t="s">
        <v>17166</v>
      </c>
      <c r="E11627" s="17"/>
      <c r="F11627" s="17" t="s">
        <v>17246</v>
      </c>
      <c r="G11627" s="17"/>
      <c r="H11627" s="17" t="s">
        <v>23950</v>
      </c>
      <c r="I11627" s="17" t="s">
        <v>23956</v>
      </c>
      <c r="J11627" s="17" t="s">
        <v>23986</v>
      </c>
      <c r="K11627" s="17"/>
      <c r="L11627" s="17" t="s">
        <v>46350</v>
      </c>
      <c r="M11627" s="17"/>
      <c r="N11627" s="17" t="s">
        <v>23987</v>
      </c>
      <c r="O11627" s="17"/>
      <c r="P11627" s="17" t="s">
        <v>23988</v>
      </c>
      <c r="Q11627" s="17"/>
      <c r="R11627" s="25" t="str">
        <f>HYPERLINK("https://ictv.global/taxonomy/taxondetails?taxnode_id=202303946","Ophiovirus vaccinii")</f>
        <v>Ophiovirus vaccinii</v>
      </c>
      <c r="S11627" s="18" t="s">
        <v>30</v>
      </c>
      <c r="T11627" s="18" t="s">
        <v>24013</v>
      </c>
      <c r="U11627" s="18" t="s">
        <v>24014</v>
      </c>
      <c r="V11627" s="18" t="s">
        <v>24015</v>
      </c>
      <c r="W11627" s="18" t="s">
        <v>24016</v>
      </c>
      <c r="X11627" s="18" t="s">
        <v>42</v>
      </c>
      <c r="Y11627" s="18" t="s">
        <v>23964</v>
      </c>
      <c r="Z11627" s="18" t="s">
        <v>13441</v>
      </c>
      <c r="AA11627" s="21" t="str">
        <f>HYPERLINK("https://www.ncbi.nlm.nih.gov/nuccore/KJ704366,KJ704367,KJ704368","NCBI Nucleotide")</f>
        <v>NCBI Nucleotide</v>
      </c>
    </row>
    <row r="11628" spans="1:27" x14ac:dyDescent="0.35">
      <c r="A11628">
        <v>1010410</v>
      </c>
      <c r="B11628">
        <v>10943</v>
      </c>
      <c r="C11628">
        <v>1</v>
      </c>
      <c r="D11628" s="17" t="s">
        <v>17166</v>
      </c>
      <c r="E11628" s="17"/>
      <c r="F11628" s="17" t="s">
        <v>17246</v>
      </c>
      <c r="G11628" s="17"/>
      <c r="H11628" s="17" t="s">
        <v>23950</v>
      </c>
      <c r="I11628" s="17" t="s">
        <v>23956</v>
      </c>
      <c r="J11628" s="17" t="s">
        <v>24017</v>
      </c>
      <c r="K11628" s="17"/>
      <c r="L11628" s="17" t="s">
        <v>24018</v>
      </c>
      <c r="M11628" s="17"/>
      <c r="N11628" s="17" t="s">
        <v>24019</v>
      </c>
      <c r="O11628" s="17"/>
      <c r="P11628" s="17" t="s">
        <v>24020</v>
      </c>
      <c r="Q11628" s="17"/>
      <c r="R11628" s="25" t="str">
        <f>HYPERLINK("https://ictv.global/taxonomy/taxondetails?taxnode_id=202309744","Obscuruvirus quintum")</f>
        <v>Obscuruvirus quintum</v>
      </c>
      <c r="S11628" s="18" t="s">
        <v>30</v>
      </c>
      <c r="T11628" s="18" t="s">
        <v>24021</v>
      </c>
      <c r="U11628" s="18" t="s">
        <v>24022</v>
      </c>
      <c r="V11628" s="18" t="s">
        <v>24023</v>
      </c>
      <c r="W11628" s="18" t="s">
        <v>24024</v>
      </c>
      <c r="X11628" s="18" t="s">
        <v>35</v>
      </c>
      <c r="Y11628" s="18" t="s">
        <v>23964</v>
      </c>
      <c r="Z11628" s="18" t="s">
        <v>10790</v>
      </c>
      <c r="AA11628" s="21" t="str">
        <f>HYPERLINK("https://www.ncbi.nlm.nih.gov/nuccore/MN661033","NCBI Nucleotide")</f>
        <v>NCBI Nucleotide</v>
      </c>
    </row>
    <row r="11629" spans="1:27" x14ac:dyDescent="0.35">
      <c r="A11629">
        <v>1010411</v>
      </c>
      <c r="B11629">
        <v>10944</v>
      </c>
      <c r="C11629">
        <v>1</v>
      </c>
      <c r="D11629" s="17" t="s">
        <v>17166</v>
      </c>
      <c r="E11629" s="17"/>
      <c r="F11629" s="17" t="s">
        <v>17246</v>
      </c>
      <c r="G11629" s="17"/>
      <c r="H11629" s="17" t="s">
        <v>23950</v>
      </c>
      <c r="I11629" s="17" t="s">
        <v>23956</v>
      </c>
      <c r="J11629" s="17" t="s">
        <v>24017</v>
      </c>
      <c r="K11629" s="17"/>
      <c r="L11629" s="17" t="s">
        <v>24018</v>
      </c>
      <c r="M11629" s="17"/>
      <c r="N11629" s="17" t="s">
        <v>24019</v>
      </c>
      <c r="O11629" s="17"/>
      <c r="P11629" s="17" t="s">
        <v>24025</v>
      </c>
      <c r="Q11629" s="17"/>
      <c r="R11629" s="25" t="str">
        <f>HYPERLINK("https://ictv.global/taxonomy/taxondetails?taxnode_id=202306043","Ollusvirus coleopteri")</f>
        <v>Ollusvirus coleopteri</v>
      </c>
      <c r="S11629" s="18" t="s">
        <v>30</v>
      </c>
      <c r="T11629" s="18" t="s">
        <v>24026</v>
      </c>
      <c r="U11629" s="18" t="s">
        <v>24027</v>
      </c>
      <c r="V11629" s="18" t="s">
        <v>24028</v>
      </c>
      <c r="W11629" s="18" t="s">
        <v>24029</v>
      </c>
      <c r="X11629" s="18" t="s">
        <v>42</v>
      </c>
      <c r="Y11629" s="18" t="s">
        <v>23964</v>
      </c>
      <c r="Z11629" s="18" t="s">
        <v>10790</v>
      </c>
      <c r="AA11629" s="21" t="str">
        <f>HYPERLINK("https://www.ncbi.nlm.nih.gov/nuccore/KX884416","NCBI Nucleotide")</f>
        <v>NCBI Nucleotide</v>
      </c>
    </row>
    <row r="11630" spans="1:27" x14ac:dyDescent="0.35">
      <c r="A11630">
        <v>1010412</v>
      </c>
      <c r="B11630">
        <v>10945</v>
      </c>
      <c r="C11630">
        <v>1</v>
      </c>
      <c r="D11630" s="17" t="s">
        <v>17166</v>
      </c>
      <c r="E11630" s="17"/>
      <c r="F11630" s="17" t="s">
        <v>17246</v>
      </c>
      <c r="G11630" s="17"/>
      <c r="H11630" s="17" t="s">
        <v>23950</v>
      </c>
      <c r="I11630" s="17" t="s">
        <v>23956</v>
      </c>
      <c r="J11630" s="17" t="s">
        <v>24017</v>
      </c>
      <c r="K11630" s="17"/>
      <c r="L11630" s="17" t="s">
        <v>24018</v>
      </c>
      <c r="M11630" s="17"/>
      <c r="N11630" s="17" t="s">
        <v>24019</v>
      </c>
      <c r="O11630" s="17"/>
      <c r="P11630" s="17" t="s">
        <v>24025</v>
      </c>
      <c r="Q11630" s="17"/>
      <c r="R11630" s="25" t="str">
        <f>HYPERLINK("https://ictv.global/taxonomy/taxondetails?taxnode_id=202309746","Ollusvirus culvertonense")</f>
        <v>Ollusvirus culvertonense</v>
      </c>
      <c r="S11630" s="18" t="s">
        <v>30</v>
      </c>
      <c r="T11630" s="18" t="s">
        <v>24030</v>
      </c>
      <c r="U11630" s="18" t="s">
        <v>24031</v>
      </c>
      <c r="V11630" s="18" t="s">
        <v>24032</v>
      </c>
      <c r="W11630" s="18" t="s">
        <v>24033</v>
      </c>
      <c r="X11630" s="18" t="s">
        <v>35</v>
      </c>
      <c r="Y11630" s="18" t="s">
        <v>23964</v>
      </c>
      <c r="Z11630" s="18" t="s">
        <v>10790</v>
      </c>
      <c r="AA11630" s="21" t="str">
        <f>HYPERLINK("https://www.ncbi.nlm.nih.gov/nuccore/MN167499","NCBI Nucleotide")</f>
        <v>NCBI Nucleotide</v>
      </c>
    </row>
    <row r="11631" spans="1:27" x14ac:dyDescent="0.35">
      <c r="A11631">
        <v>1010413</v>
      </c>
      <c r="B11631">
        <v>10946</v>
      </c>
      <c r="C11631">
        <v>1</v>
      </c>
      <c r="D11631" s="17" t="s">
        <v>17166</v>
      </c>
      <c r="E11631" s="17"/>
      <c r="F11631" s="17" t="s">
        <v>17246</v>
      </c>
      <c r="G11631" s="17"/>
      <c r="H11631" s="17" t="s">
        <v>23950</v>
      </c>
      <c r="I11631" s="17" t="s">
        <v>23956</v>
      </c>
      <c r="J11631" s="17" t="s">
        <v>24017</v>
      </c>
      <c r="K11631" s="17"/>
      <c r="L11631" s="17" t="s">
        <v>24018</v>
      </c>
      <c r="M11631" s="17"/>
      <c r="N11631" s="17" t="s">
        <v>24019</v>
      </c>
      <c r="O11631" s="17"/>
      <c r="P11631" s="17" t="s">
        <v>24025</v>
      </c>
      <c r="Q11631" s="17"/>
      <c r="R11631" s="25" t="str">
        <f>HYPERLINK("https://ictv.global/taxonomy/taxondetails?taxnode_id=202309747","Ollusvirus hanchengense")</f>
        <v>Ollusvirus hanchengense</v>
      </c>
      <c r="S11631" s="18" t="s">
        <v>30</v>
      </c>
      <c r="T11631" s="18" t="s">
        <v>24034</v>
      </c>
      <c r="U11631" s="18" t="s">
        <v>24035</v>
      </c>
      <c r="V11631" s="18" t="s">
        <v>24036</v>
      </c>
      <c r="W11631" s="18" t="s">
        <v>24037</v>
      </c>
      <c r="X11631" s="18" t="s">
        <v>42</v>
      </c>
      <c r="Y11631" s="18" t="s">
        <v>23964</v>
      </c>
      <c r="Z11631" s="18" t="s">
        <v>10790</v>
      </c>
      <c r="AA11631" s="21" t="str">
        <f>HYPERLINK("https://www.ncbi.nlm.nih.gov/nuccore/MN190034","NCBI Nucleotide")</f>
        <v>NCBI Nucleotide</v>
      </c>
    </row>
    <row r="11632" spans="1:27" x14ac:dyDescent="0.35">
      <c r="A11632">
        <v>1010414</v>
      </c>
      <c r="B11632">
        <v>10947</v>
      </c>
      <c r="C11632">
        <v>1</v>
      </c>
      <c r="D11632" s="17" t="s">
        <v>17166</v>
      </c>
      <c r="E11632" s="17"/>
      <c r="F11632" s="17" t="s">
        <v>17246</v>
      </c>
      <c r="G11632" s="17"/>
      <c r="H11632" s="17" t="s">
        <v>23950</v>
      </c>
      <c r="I11632" s="17" t="s">
        <v>23956</v>
      </c>
      <c r="J11632" s="17" t="s">
        <v>24017</v>
      </c>
      <c r="K11632" s="17"/>
      <c r="L11632" s="17" t="s">
        <v>24018</v>
      </c>
      <c r="M11632" s="17"/>
      <c r="N11632" s="17" t="s">
        <v>24019</v>
      </c>
      <c r="O11632" s="17"/>
      <c r="P11632" s="17" t="s">
        <v>24025</v>
      </c>
      <c r="Q11632" s="17"/>
      <c r="R11632" s="25" t="str">
        <f>HYPERLINK("https://ictv.global/taxonomy/taxondetails?taxnode_id=202309748","Ollusvirus hymenopteri")</f>
        <v>Ollusvirus hymenopteri</v>
      </c>
      <c r="S11632" s="18" t="s">
        <v>30</v>
      </c>
      <c r="T11632" s="18" t="s">
        <v>24038</v>
      </c>
      <c r="U11632" s="18" t="s">
        <v>24039</v>
      </c>
      <c r="V11632" s="18" t="s">
        <v>24040</v>
      </c>
      <c r="W11632" s="18" t="s">
        <v>24041</v>
      </c>
      <c r="X11632" s="18" t="s">
        <v>35</v>
      </c>
      <c r="Y11632" s="18" t="s">
        <v>23964</v>
      </c>
      <c r="Z11632" s="18" t="s">
        <v>10790</v>
      </c>
      <c r="AA11632" s="21" t="str">
        <f>HYPERLINK("https://www.ncbi.nlm.nih.gov/nuccore/MW039254","NCBI Nucleotide")</f>
        <v>NCBI Nucleotide</v>
      </c>
    </row>
    <row r="11633" spans="1:27" x14ac:dyDescent="0.35">
      <c r="A11633">
        <v>1010415</v>
      </c>
      <c r="B11633">
        <v>10948</v>
      </c>
      <c r="C11633">
        <v>1</v>
      </c>
      <c r="D11633" s="17" t="s">
        <v>17166</v>
      </c>
      <c r="E11633" s="17"/>
      <c r="F11633" s="17" t="s">
        <v>17246</v>
      </c>
      <c r="G11633" s="17"/>
      <c r="H11633" s="17" t="s">
        <v>23950</v>
      </c>
      <c r="I11633" s="17" t="s">
        <v>23956</v>
      </c>
      <c r="J11633" s="17" t="s">
        <v>24017</v>
      </c>
      <c r="K11633" s="17"/>
      <c r="L11633" s="17" t="s">
        <v>24018</v>
      </c>
      <c r="M11633" s="17"/>
      <c r="N11633" s="17" t="s">
        <v>24019</v>
      </c>
      <c r="O11633" s="17"/>
      <c r="P11633" s="17" t="s">
        <v>24025</v>
      </c>
      <c r="Q11633" s="17"/>
      <c r="R11633" s="25" t="str">
        <f>HYPERLINK("https://ictv.global/taxonomy/taxondetails?taxnode_id=202309749","Ollusvirus insectii")</f>
        <v>Ollusvirus insectii</v>
      </c>
      <c r="S11633" s="18" t="s">
        <v>30</v>
      </c>
      <c r="T11633" s="18" t="s">
        <v>24042</v>
      </c>
      <c r="U11633" s="18" t="s">
        <v>24043</v>
      </c>
      <c r="V11633" s="18" t="s">
        <v>24044</v>
      </c>
      <c r="W11633" s="18" t="s">
        <v>24045</v>
      </c>
      <c r="X11633" s="18" t="s">
        <v>35</v>
      </c>
      <c r="Y11633" s="18" t="s">
        <v>23964</v>
      </c>
      <c r="Z11633" s="18" t="s">
        <v>10790</v>
      </c>
      <c r="AA11633" s="21" t="str">
        <f>HYPERLINK("https://www.ncbi.nlm.nih.gov/nuccore/MW039256","NCBI Nucleotide")</f>
        <v>NCBI Nucleotide</v>
      </c>
    </row>
    <row r="11634" spans="1:27" x14ac:dyDescent="0.35">
      <c r="A11634">
        <v>1010416</v>
      </c>
      <c r="B11634">
        <v>10949</v>
      </c>
      <c r="C11634">
        <v>1</v>
      </c>
      <c r="D11634" s="17" t="s">
        <v>17166</v>
      </c>
      <c r="E11634" s="17"/>
      <c r="F11634" s="17" t="s">
        <v>17246</v>
      </c>
      <c r="G11634" s="17"/>
      <c r="H11634" s="17" t="s">
        <v>23950</v>
      </c>
      <c r="I11634" s="17" t="s">
        <v>23956</v>
      </c>
      <c r="J11634" s="17" t="s">
        <v>24017</v>
      </c>
      <c r="K11634" s="17"/>
      <c r="L11634" s="17" t="s">
        <v>24018</v>
      </c>
      <c r="M11634" s="17"/>
      <c r="N11634" s="17" t="s">
        <v>24019</v>
      </c>
      <c r="O11634" s="17"/>
      <c r="P11634" s="17" t="s">
        <v>24025</v>
      </c>
      <c r="Q11634" s="17"/>
      <c r="R11634" s="25" t="str">
        <f>HYPERLINK("https://ictv.global/taxonomy/taxondetails?taxnode_id=202314130","Ollusvirus nomadae")</f>
        <v>Ollusvirus nomadae</v>
      </c>
      <c r="S11634" s="18" t="s">
        <v>30</v>
      </c>
      <c r="T11634" s="18" t="s">
        <v>24046</v>
      </c>
      <c r="U11634" s="18" t="s">
        <v>24047</v>
      </c>
      <c r="V11634" s="18">
        <v>2011</v>
      </c>
      <c r="W11634" s="18" t="s">
        <v>24048</v>
      </c>
      <c r="X11634" s="18" t="s">
        <v>42</v>
      </c>
      <c r="Y11634" s="18" t="s">
        <v>23964</v>
      </c>
      <c r="Z11634" s="18" t="s">
        <v>10790</v>
      </c>
      <c r="AA11634" s="21" t="str">
        <f>HYPERLINK("https://www.ncbi.nlm.nih.gov/nuccore/BK059310","NCBI Nucleotide")</f>
        <v>NCBI Nucleotide</v>
      </c>
    </row>
    <row r="11635" spans="1:27" x14ac:dyDescent="0.35">
      <c r="A11635">
        <v>1010417</v>
      </c>
      <c r="B11635">
        <v>10950</v>
      </c>
      <c r="C11635">
        <v>1</v>
      </c>
      <c r="D11635" s="17" t="s">
        <v>17166</v>
      </c>
      <c r="E11635" s="17"/>
      <c r="F11635" s="17" t="s">
        <v>17246</v>
      </c>
      <c r="G11635" s="17"/>
      <c r="H11635" s="17" t="s">
        <v>23950</v>
      </c>
      <c r="I11635" s="17" t="s">
        <v>23956</v>
      </c>
      <c r="J11635" s="17" t="s">
        <v>24017</v>
      </c>
      <c r="K11635" s="17"/>
      <c r="L11635" s="17" t="s">
        <v>24018</v>
      </c>
      <c r="M11635" s="17"/>
      <c r="N11635" s="17" t="s">
        <v>24019</v>
      </c>
      <c r="O11635" s="17"/>
      <c r="P11635" s="17" t="s">
        <v>24025</v>
      </c>
      <c r="Q11635" s="17"/>
      <c r="R11635" s="25" t="str">
        <f>HYPERLINK("https://ictv.global/taxonomy/taxondetails?taxnode_id=202314129","Ollusvirus oropsyllae")</f>
        <v>Ollusvirus oropsyllae</v>
      </c>
      <c r="S11635" s="18" t="s">
        <v>30</v>
      </c>
      <c r="T11635" s="18" t="s">
        <v>24049</v>
      </c>
      <c r="U11635" s="18" t="s">
        <v>24050</v>
      </c>
      <c r="V11635" s="18">
        <v>40940</v>
      </c>
      <c r="W11635" s="18" t="s">
        <v>24051</v>
      </c>
      <c r="X11635" s="18" t="s">
        <v>42</v>
      </c>
      <c r="Y11635" s="18" t="s">
        <v>23964</v>
      </c>
      <c r="Z11635" s="18" t="s">
        <v>10790</v>
      </c>
      <c r="AA11635" s="21" t="str">
        <f>HYPERLINK("https://www.ncbi.nlm.nih.gov/nuccore/BK059306","NCBI Nucleotide")</f>
        <v>NCBI Nucleotide</v>
      </c>
    </row>
    <row r="11636" spans="1:27" x14ac:dyDescent="0.35">
      <c r="A11636">
        <v>1010418</v>
      </c>
      <c r="B11636">
        <v>10951</v>
      </c>
      <c r="C11636">
        <v>1</v>
      </c>
      <c r="D11636" s="17" t="s">
        <v>17166</v>
      </c>
      <c r="E11636" s="17"/>
      <c r="F11636" s="17" t="s">
        <v>17246</v>
      </c>
      <c r="G11636" s="17"/>
      <c r="H11636" s="17" t="s">
        <v>23950</v>
      </c>
      <c r="I11636" s="17" t="s">
        <v>23956</v>
      </c>
      <c r="J11636" s="17" t="s">
        <v>24017</v>
      </c>
      <c r="K11636" s="17"/>
      <c r="L11636" s="17" t="s">
        <v>24018</v>
      </c>
      <c r="M11636" s="17"/>
      <c r="N11636" s="17" t="s">
        <v>24019</v>
      </c>
      <c r="O11636" s="17"/>
      <c r="P11636" s="17" t="s">
        <v>24025</v>
      </c>
      <c r="Q11636" s="17"/>
      <c r="R11636" s="25" t="str">
        <f>HYPERLINK("https://ictv.global/taxonomy/taxondetails?taxnode_id=202314131","Ollusvirus rhagoveliae")</f>
        <v>Ollusvirus rhagoveliae</v>
      </c>
      <c r="S11636" s="18" t="s">
        <v>30</v>
      </c>
      <c r="T11636" s="18" t="s">
        <v>24052</v>
      </c>
      <c r="U11636" s="18" t="s">
        <v>24053</v>
      </c>
      <c r="V11636" s="18">
        <v>2013</v>
      </c>
      <c r="W11636" s="18" t="s">
        <v>24054</v>
      </c>
      <c r="X11636" s="18" t="s">
        <v>42</v>
      </c>
      <c r="Y11636" s="18" t="s">
        <v>23964</v>
      </c>
      <c r="Z11636" s="18" t="s">
        <v>10790</v>
      </c>
      <c r="AA11636" s="21" t="str">
        <f>HYPERLINK("https://www.ncbi.nlm.nih.gov/nuccore/BK059311","NCBI Nucleotide")</f>
        <v>NCBI Nucleotide</v>
      </c>
    </row>
    <row r="11637" spans="1:27" x14ac:dyDescent="0.35">
      <c r="A11637">
        <v>1010419</v>
      </c>
      <c r="B11637">
        <v>10952</v>
      </c>
      <c r="C11637">
        <v>1</v>
      </c>
      <c r="D11637" s="17" t="s">
        <v>17166</v>
      </c>
      <c r="E11637" s="17"/>
      <c r="F11637" s="17" t="s">
        <v>17246</v>
      </c>
      <c r="G11637" s="17"/>
      <c r="H11637" s="17" t="s">
        <v>23950</v>
      </c>
      <c r="I11637" s="17" t="s">
        <v>23956</v>
      </c>
      <c r="J11637" s="17" t="s">
        <v>24017</v>
      </c>
      <c r="K11637" s="17"/>
      <c r="L11637" s="17" t="s">
        <v>24018</v>
      </c>
      <c r="M11637" s="17"/>
      <c r="N11637" s="17" t="s">
        <v>24019</v>
      </c>
      <c r="O11637" s="17"/>
      <c r="P11637" s="17" t="s">
        <v>24025</v>
      </c>
      <c r="Q11637" s="17"/>
      <c r="R11637" s="25" t="str">
        <f>HYPERLINK("https://ictv.global/taxonomy/taxondetails?taxnode_id=202309750","Ollusvirus scaldisense")</f>
        <v>Ollusvirus scaldisense</v>
      </c>
      <c r="S11637" s="18" t="s">
        <v>30</v>
      </c>
      <c r="T11637" s="18" t="s">
        <v>24055</v>
      </c>
      <c r="U11637" s="18" t="s">
        <v>24056</v>
      </c>
      <c r="V11637" s="18" t="s">
        <v>24057</v>
      </c>
      <c r="W11637" s="18" t="s">
        <v>24058</v>
      </c>
      <c r="X11637" s="18" t="s">
        <v>35</v>
      </c>
      <c r="Y11637" s="18" t="s">
        <v>23964</v>
      </c>
      <c r="Z11637" s="18" t="s">
        <v>10790</v>
      </c>
      <c r="AA11637" s="21" t="str">
        <f>HYPERLINK("https://www.ncbi.nlm.nih.gov/nuccore/KY053857","NCBI Nucleotide")</f>
        <v>NCBI Nucleotide</v>
      </c>
    </row>
    <row r="11638" spans="1:27" x14ac:dyDescent="0.35">
      <c r="A11638">
        <v>1010420</v>
      </c>
      <c r="B11638">
        <v>10953</v>
      </c>
      <c r="C11638">
        <v>1</v>
      </c>
      <c r="D11638" s="17" t="s">
        <v>17166</v>
      </c>
      <c r="E11638" s="17"/>
      <c r="F11638" s="17" t="s">
        <v>17246</v>
      </c>
      <c r="G11638" s="17"/>
      <c r="H11638" s="17" t="s">
        <v>23950</v>
      </c>
      <c r="I11638" s="17" t="s">
        <v>23956</v>
      </c>
      <c r="J11638" s="17" t="s">
        <v>24017</v>
      </c>
      <c r="K11638" s="17"/>
      <c r="L11638" s="17" t="s">
        <v>24018</v>
      </c>
      <c r="M11638" s="17"/>
      <c r="N11638" s="17" t="s">
        <v>24019</v>
      </c>
      <c r="O11638" s="17"/>
      <c r="P11638" s="17" t="s">
        <v>24025</v>
      </c>
      <c r="Q11638" s="17"/>
      <c r="R11638" s="25" t="str">
        <f>HYPERLINK("https://ictv.global/taxonomy/taxondetails?taxnode_id=202306066","Ollusvirus shayangense")</f>
        <v>Ollusvirus shayangense</v>
      </c>
      <c r="S11638" s="18" t="s">
        <v>30</v>
      </c>
      <c r="T11638" s="18" t="s">
        <v>24059</v>
      </c>
      <c r="U11638" s="18" t="s">
        <v>24060</v>
      </c>
      <c r="V11638" s="18" t="s">
        <v>24061</v>
      </c>
      <c r="W11638" s="18" t="s">
        <v>24062</v>
      </c>
      <c r="X11638" s="18" t="s">
        <v>42</v>
      </c>
      <c r="Y11638" s="18" t="s">
        <v>23964</v>
      </c>
      <c r="Z11638" s="18" t="s">
        <v>10790</v>
      </c>
      <c r="AA11638" s="21" t="str">
        <f>HYPERLINK("https://www.ncbi.nlm.nih.gov/nuccore/KM817598","NCBI Nucleotide")</f>
        <v>NCBI Nucleotide</v>
      </c>
    </row>
    <row r="11639" spans="1:27" x14ac:dyDescent="0.35">
      <c r="A11639">
        <v>1010421</v>
      </c>
      <c r="B11639">
        <v>10954</v>
      </c>
      <c r="C11639">
        <v>1</v>
      </c>
      <c r="D11639" s="17" t="s">
        <v>17166</v>
      </c>
      <c r="E11639" s="17"/>
      <c r="F11639" s="17" t="s">
        <v>17246</v>
      </c>
      <c r="G11639" s="17"/>
      <c r="H11639" s="17" t="s">
        <v>23950</v>
      </c>
      <c r="I11639" s="17" t="s">
        <v>23956</v>
      </c>
      <c r="J11639" s="17" t="s">
        <v>24017</v>
      </c>
      <c r="K11639" s="17"/>
      <c r="L11639" s="17" t="s">
        <v>24018</v>
      </c>
      <c r="M11639" s="17"/>
      <c r="N11639" s="17" t="s">
        <v>24019</v>
      </c>
      <c r="O11639" s="17"/>
      <c r="P11639" s="17" t="s">
        <v>24025</v>
      </c>
      <c r="Q11639" s="17"/>
      <c r="R11639" s="25" t="str">
        <f>HYPERLINK("https://ictv.global/taxonomy/taxondetails?taxnode_id=202307449","Ollusvirus taiyuanense")</f>
        <v>Ollusvirus taiyuanense</v>
      </c>
      <c r="S11639" s="18" t="s">
        <v>30</v>
      </c>
      <c r="T11639" s="18" t="s">
        <v>24063</v>
      </c>
      <c r="U11639" s="18" t="s">
        <v>24064</v>
      </c>
      <c r="V11639" s="18" t="s">
        <v>24065</v>
      </c>
      <c r="W11639" s="18" t="s">
        <v>24066</v>
      </c>
      <c r="X11639" s="18" t="s">
        <v>42</v>
      </c>
      <c r="Y11639" s="18" t="s">
        <v>23964</v>
      </c>
      <c r="Z11639" s="18" t="s">
        <v>10790</v>
      </c>
      <c r="AA11639" s="21" t="str">
        <f>HYPERLINK("https://www.ncbi.nlm.nih.gov/nuccore/MH708020","NCBI Nucleotide")</f>
        <v>NCBI Nucleotide</v>
      </c>
    </row>
    <row r="11640" spans="1:27" x14ac:dyDescent="0.35">
      <c r="A11640">
        <v>1010422</v>
      </c>
      <c r="B11640">
        <v>10955</v>
      </c>
      <c r="C11640">
        <v>1</v>
      </c>
      <c r="D11640" s="17" t="s">
        <v>17166</v>
      </c>
      <c r="E11640" s="17"/>
      <c r="F11640" s="17" t="s">
        <v>17246</v>
      </c>
      <c r="G11640" s="17"/>
      <c r="H11640" s="17" t="s">
        <v>23950</v>
      </c>
      <c r="I11640" s="17" t="s">
        <v>23956</v>
      </c>
      <c r="J11640" s="17" t="s">
        <v>24017</v>
      </c>
      <c r="K11640" s="17"/>
      <c r="L11640" s="17" t="s">
        <v>24018</v>
      </c>
      <c r="M11640" s="17"/>
      <c r="N11640" s="17" t="s">
        <v>24067</v>
      </c>
      <c r="O11640" s="17"/>
      <c r="P11640" s="17" t="s">
        <v>24068</v>
      </c>
      <c r="Q11640" s="17"/>
      <c r="R11640" s="25" t="str">
        <f>HYPERLINK("https://ictv.global/taxonomy/taxondetails?taxnode_id=202306054","Boscovirus hippoboscidae")</f>
        <v>Boscovirus hippoboscidae</v>
      </c>
      <c r="S11640" s="18" t="s">
        <v>30</v>
      </c>
      <c r="T11640" s="18" t="s">
        <v>24069</v>
      </c>
      <c r="U11640" s="18" t="s">
        <v>24070</v>
      </c>
      <c r="V11640" s="18" t="s">
        <v>24071</v>
      </c>
      <c r="W11640" s="18" t="s">
        <v>50547</v>
      </c>
      <c r="X11640" s="18" t="s">
        <v>42</v>
      </c>
      <c r="Y11640" s="18" t="s">
        <v>23964</v>
      </c>
      <c r="Z11640" s="18" t="s">
        <v>10790</v>
      </c>
      <c r="AA11640" s="21" t="str">
        <f>HYPERLINK("https://www.ncbi.nlm.nih.gov/nuccore/KM817609,KM817608","NCBI Nucleotide")</f>
        <v>NCBI Nucleotide</v>
      </c>
    </row>
    <row r="11641" spans="1:27" x14ac:dyDescent="0.35">
      <c r="A11641">
        <v>1010423</v>
      </c>
      <c r="B11641">
        <v>10956</v>
      </c>
      <c r="C11641">
        <v>1</v>
      </c>
      <c r="D11641" s="17" t="s">
        <v>17166</v>
      </c>
      <c r="E11641" s="17"/>
      <c r="F11641" s="17" t="s">
        <v>17246</v>
      </c>
      <c r="G11641" s="17"/>
      <c r="H11641" s="17" t="s">
        <v>23950</v>
      </c>
      <c r="I11641" s="17" t="s">
        <v>23956</v>
      </c>
      <c r="J11641" s="17" t="s">
        <v>24017</v>
      </c>
      <c r="K11641" s="17"/>
      <c r="L11641" s="17" t="s">
        <v>24018</v>
      </c>
      <c r="M11641" s="17"/>
      <c r="N11641" s="17" t="s">
        <v>24067</v>
      </c>
      <c r="O11641" s="17"/>
      <c r="P11641" s="17" t="s">
        <v>24068</v>
      </c>
      <c r="Q11641" s="17"/>
      <c r="R11641" s="25" t="str">
        <f>HYPERLINK("https://ictv.global/taxonomy/taxondetails?taxnode_id=202306061","Boscovirus hypoboscidae")</f>
        <v>Boscovirus hypoboscidae</v>
      </c>
      <c r="S11641" s="18" t="s">
        <v>30</v>
      </c>
      <c r="T11641" s="18" t="s">
        <v>24072</v>
      </c>
      <c r="U11641" s="18" t="s">
        <v>24073</v>
      </c>
      <c r="V11641" s="18" t="s">
        <v>24074</v>
      </c>
      <c r="W11641" s="18" t="s">
        <v>50548</v>
      </c>
      <c r="X11641" s="18" t="s">
        <v>42</v>
      </c>
      <c r="Y11641" s="18" t="s">
        <v>23964</v>
      </c>
      <c r="Z11641" s="18" t="s">
        <v>10790</v>
      </c>
      <c r="AA11641" s="21" t="str">
        <f>HYPERLINK("https://www.ncbi.nlm.nih.gov/nuccore/KM817607,KM817606","NCBI Nucleotide")</f>
        <v>NCBI Nucleotide</v>
      </c>
    </row>
    <row r="11642" spans="1:27" x14ac:dyDescent="0.35">
      <c r="A11642">
        <v>1010424</v>
      </c>
      <c r="B11642">
        <v>10957</v>
      </c>
      <c r="C11642">
        <v>1</v>
      </c>
      <c r="D11642" s="17" t="s">
        <v>17166</v>
      </c>
      <c r="E11642" s="17"/>
      <c r="F11642" s="17" t="s">
        <v>17246</v>
      </c>
      <c r="G11642" s="17"/>
      <c r="H11642" s="17" t="s">
        <v>23950</v>
      </c>
      <c r="I11642" s="17" t="s">
        <v>23956</v>
      </c>
      <c r="J11642" s="17" t="s">
        <v>24017</v>
      </c>
      <c r="K11642" s="17"/>
      <c r="L11642" s="17" t="s">
        <v>24018</v>
      </c>
      <c r="M11642" s="17"/>
      <c r="N11642" s="17" t="s">
        <v>24067</v>
      </c>
      <c r="O11642" s="17"/>
      <c r="P11642" s="17" t="s">
        <v>24075</v>
      </c>
      <c r="Q11642" s="17"/>
      <c r="R11642" s="25" t="str">
        <f>HYPERLINK("https://ictv.global/taxonomy/taxondetails?taxnode_id=202306045","Chuvivirus brunnichi")</f>
        <v>Chuvivirus brunnichi</v>
      </c>
      <c r="S11642" s="18" t="s">
        <v>30</v>
      </c>
      <c r="T11642" s="18" t="s">
        <v>24076</v>
      </c>
      <c r="U11642" s="18" t="s">
        <v>24077</v>
      </c>
      <c r="V11642" s="18" t="s">
        <v>24078</v>
      </c>
      <c r="W11642" s="18" t="s">
        <v>24079</v>
      </c>
      <c r="X11642" s="18" t="s">
        <v>42</v>
      </c>
      <c r="Y11642" s="18" t="s">
        <v>23964</v>
      </c>
      <c r="Z11642" s="18" t="s">
        <v>10790</v>
      </c>
      <c r="AA11642" s="21" t="str">
        <f>HYPERLINK("https://www.ncbi.nlm.nih.gov/nuccore/KX884451,KX884452","NCBI Nucleotide")</f>
        <v>NCBI Nucleotide</v>
      </c>
    </row>
    <row r="11643" spans="1:27" x14ac:dyDescent="0.35">
      <c r="A11643">
        <v>1010425</v>
      </c>
      <c r="B11643">
        <v>10958</v>
      </c>
      <c r="C11643">
        <v>1</v>
      </c>
      <c r="D11643" s="17" t="s">
        <v>17166</v>
      </c>
      <c r="E11643" s="17"/>
      <c r="F11643" s="17" t="s">
        <v>17246</v>
      </c>
      <c r="G11643" s="17"/>
      <c r="H11643" s="17" t="s">
        <v>23950</v>
      </c>
      <c r="I11643" s="17" t="s">
        <v>23956</v>
      </c>
      <c r="J11643" s="17" t="s">
        <v>24017</v>
      </c>
      <c r="K11643" s="17"/>
      <c r="L11643" s="17" t="s">
        <v>24018</v>
      </c>
      <c r="M11643" s="17"/>
      <c r="N11643" s="17" t="s">
        <v>24067</v>
      </c>
      <c r="O11643" s="17"/>
      <c r="P11643" s="17" t="s">
        <v>24075</v>
      </c>
      <c r="Q11643" s="17"/>
      <c r="R11643" s="25" t="str">
        <f>HYPERLINK("https://ictv.global/taxonomy/taxondetails?taxnode_id=202306049","Chuvivirus canceris")</f>
        <v>Chuvivirus canceris</v>
      </c>
      <c r="S11643" s="18" t="s">
        <v>30</v>
      </c>
      <c r="T11643" s="18" t="s">
        <v>24080</v>
      </c>
      <c r="U11643" s="18" t="s">
        <v>24081</v>
      </c>
      <c r="V11643" s="18" t="s">
        <v>24082</v>
      </c>
      <c r="W11643" s="18" t="s">
        <v>46354</v>
      </c>
      <c r="X11643" s="18" t="s">
        <v>42</v>
      </c>
      <c r="Y11643" s="18" t="s">
        <v>23964</v>
      </c>
      <c r="Z11643" s="18" t="s">
        <v>10790</v>
      </c>
      <c r="AA11643" s="21" t="str">
        <f>HYPERLINK("https://www.ncbi.nlm.nih.gov/nuccore/KM817601,KM817602","NCBI Nucleotide")</f>
        <v>NCBI Nucleotide</v>
      </c>
    </row>
    <row r="11644" spans="1:27" x14ac:dyDescent="0.35">
      <c r="A11644">
        <v>1010426</v>
      </c>
      <c r="B11644">
        <v>10959</v>
      </c>
      <c r="C11644">
        <v>1</v>
      </c>
      <c r="D11644" s="17" t="s">
        <v>17166</v>
      </c>
      <c r="E11644" s="17"/>
      <c r="F11644" s="17" t="s">
        <v>17246</v>
      </c>
      <c r="G11644" s="17"/>
      <c r="H11644" s="17" t="s">
        <v>23950</v>
      </c>
      <c r="I11644" s="17" t="s">
        <v>23956</v>
      </c>
      <c r="J11644" s="17" t="s">
        <v>24017</v>
      </c>
      <c r="K11644" s="17"/>
      <c r="L11644" s="17" t="s">
        <v>24018</v>
      </c>
      <c r="M11644" s="17"/>
      <c r="N11644" s="17" t="s">
        <v>24067</v>
      </c>
      <c r="O11644" s="17"/>
      <c r="P11644" s="17" t="s">
        <v>24083</v>
      </c>
      <c r="Q11644" s="17"/>
      <c r="R11644" s="25" t="str">
        <f>HYPERLINK("https://ictv.global/taxonomy/taxondetails?taxnode_id=202306062","Culicidavirus culicidae")</f>
        <v>Culicidavirus culicidae</v>
      </c>
      <c r="S11644" s="18" t="s">
        <v>30</v>
      </c>
      <c r="T11644" s="18" t="s">
        <v>24084</v>
      </c>
      <c r="U11644" s="18" t="s">
        <v>24085</v>
      </c>
      <c r="V11644" s="18" t="s">
        <v>24086</v>
      </c>
      <c r="W11644" s="18" t="s">
        <v>24087</v>
      </c>
      <c r="X11644" s="18" t="s">
        <v>42</v>
      </c>
      <c r="Y11644" s="18" t="s">
        <v>23964</v>
      </c>
      <c r="Z11644" s="18" t="s">
        <v>10790</v>
      </c>
      <c r="AA11644" s="21" t="str">
        <f>HYPERLINK("https://www.ncbi.nlm.nih.gov/nuccore/KM817610","NCBI Nucleotide")</f>
        <v>NCBI Nucleotide</v>
      </c>
    </row>
    <row r="11645" spans="1:27" x14ac:dyDescent="0.35">
      <c r="A11645">
        <v>1010427</v>
      </c>
      <c r="B11645">
        <v>10960</v>
      </c>
      <c r="C11645">
        <v>1</v>
      </c>
      <c r="D11645" s="17" t="s">
        <v>17166</v>
      </c>
      <c r="E11645" s="17"/>
      <c r="F11645" s="17" t="s">
        <v>17246</v>
      </c>
      <c r="G11645" s="17"/>
      <c r="H11645" s="17" t="s">
        <v>23950</v>
      </c>
      <c r="I11645" s="17" t="s">
        <v>23956</v>
      </c>
      <c r="J11645" s="17" t="s">
        <v>24017</v>
      </c>
      <c r="K11645" s="17"/>
      <c r="L11645" s="17" t="s">
        <v>24018</v>
      </c>
      <c r="M11645" s="17"/>
      <c r="N11645" s="17" t="s">
        <v>24067</v>
      </c>
      <c r="O11645" s="17"/>
      <c r="P11645" s="17" t="s">
        <v>24083</v>
      </c>
      <c r="Q11645" s="17"/>
      <c r="R11645" s="25" t="str">
        <f>HYPERLINK("https://ictv.global/taxonomy/taxondetails?taxnode_id=202309719","Culicidavirus culicis")</f>
        <v>Culicidavirus culicis</v>
      </c>
      <c r="S11645" s="18" t="s">
        <v>30</v>
      </c>
      <c r="T11645" s="18" t="s">
        <v>24088</v>
      </c>
      <c r="U11645" s="18" t="s">
        <v>24089</v>
      </c>
      <c r="V11645" s="18" t="s">
        <v>24090</v>
      </c>
      <c r="W11645" s="18" t="s">
        <v>24091</v>
      </c>
      <c r="X11645" s="18" t="s">
        <v>42</v>
      </c>
      <c r="Y11645" s="18" t="s">
        <v>23964</v>
      </c>
      <c r="Z11645" s="18" t="s">
        <v>10790</v>
      </c>
      <c r="AA11645" s="21" t="str">
        <f>HYPERLINK("https://www.ncbi.nlm.nih.gov/nuccore/MH188036","NCBI Nucleotide")</f>
        <v>NCBI Nucleotide</v>
      </c>
    </row>
    <row r="11646" spans="1:27" x14ac:dyDescent="0.35">
      <c r="A11646">
        <v>1010428</v>
      </c>
      <c r="B11646">
        <v>10961</v>
      </c>
      <c r="C11646">
        <v>1</v>
      </c>
      <c r="D11646" s="17" t="s">
        <v>17166</v>
      </c>
      <c r="E11646" s="17"/>
      <c r="F11646" s="17" t="s">
        <v>17246</v>
      </c>
      <c r="G11646" s="17"/>
      <c r="H11646" s="17" t="s">
        <v>23950</v>
      </c>
      <c r="I11646" s="17" t="s">
        <v>23956</v>
      </c>
      <c r="J11646" s="17" t="s">
        <v>24017</v>
      </c>
      <c r="K11646" s="17"/>
      <c r="L11646" s="17" t="s">
        <v>24018</v>
      </c>
      <c r="M11646" s="17"/>
      <c r="N11646" s="17" t="s">
        <v>24067</v>
      </c>
      <c r="O11646" s="17"/>
      <c r="P11646" s="17" t="s">
        <v>24083</v>
      </c>
      <c r="Q11646" s="17"/>
      <c r="R11646" s="25" t="str">
        <f>HYPERLINK("https://ictv.global/taxonomy/taxondetails?taxnode_id=202306057","Culicidavirus imjinense")</f>
        <v>Culicidavirus imjinense</v>
      </c>
      <c r="S11646" s="18" t="s">
        <v>30</v>
      </c>
      <c r="T11646" s="18" t="s">
        <v>24092</v>
      </c>
      <c r="U11646" s="18" t="s">
        <v>24093</v>
      </c>
      <c r="V11646" s="18" t="s">
        <v>24094</v>
      </c>
      <c r="W11646" s="18" t="s">
        <v>24095</v>
      </c>
      <c r="X11646" s="18" t="s">
        <v>42</v>
      </c>
      <c r="Y11646" s="18" t="s">
        <v>23964</v>
      </c>
      <c r="Z11646" s="18" t="s">
        <v>10790</v>
      </c>
      <c r="AA11646" s="21" t="str">
        <f>HYPERLINK("https://www.ncbi.nlm.nih.gov/nuccore/KU095839","NCBI Nucleotide")</f>
        <v>NCBI Nucleotide</v>
      </c>
    </row>
    <row r="11647" spans="1:27" x14ac:dyDescent="0.35">
      <c r="A11647">
        <v>1010429</v>
      </c>
      <c r="B11647">
        <v>10962</v>
      </c>
      <c r="C11647">
        <v>1</v>
      </c>
      <c r="D11647" s="17" t="s">
        <v>17166</v>
      </c>
      <c r="E11647" s="17"/>
      <c r="F11647" s="17" t="s">
        <v>17246</v>
      </c>
      <c r="G11647" s="17"/>
      <c r="H11647" s="17" t="s">
        <v>23950</v>
      </c>
      <c r="I11647" s="17" t="s">
        <v>23956</v>
      </c>
      <c r="J11647" s="17" t="s">
        <v>24017</v>
      </c>
      <c r="K11647" s="17"/>
      <c r="L11647" s="17" t="s">
        <v>24018</v>
      </c>
      <c r="M11647" s="17"/>
      <c r="N11647" s="17" t="s">
        <v>24067</v>
      </c>
      <c r="O11647" s="17"/>
      <c r="P11647" s="17" t="s">
        <v>24083</v>
      </c>
      <c r="Q11647" s="17"/>
      <c r="R11647" s="25" t="str">
        <f>HYPERLINK("https://ictv.global/taxonomy/taxondetails?taxnode_id=202309720","Culicidavirus quitotaense")</f>
        <v>Culicidavirus quitotaense</v>
      </c>
      <c r="S11647" s="18" t="s">
        <v>30</v>
      </c>
      <c r="T11647" s="18" t="s">
        <v>24096</v>
      </c>
      <c r="U11647" s="18" t="s">
        <v>24097</v>
      </c>
      <c r="V11647" s="18" t="s">
        <v>24098</v>
      </c>
      <c r="W11647" s="18" t="s">
        <v>24099</v>
      </c>
      <c r="X11647" s="18" t="s">
        <v>42</v>
      </c>
      <c r="Y11647" s="18" t="s">
        <v>23964</v>
      </c>
      <c r="Z11647" s="18" t="s">
        <v>10790</v>
      </c>
      <c r="AA11647" s="21" t="str">
        <f>HYPERLINK("https://www.ncbi.nlm.nih.gov/nuccore/MH188031","NCBI Nucleotide")</f>
        <v>NCBI Nucleotide</v>
      </c>
    </row>
    <row r="11648" spans="1:27" x14ac:dyDescent="0.35">
      <c r="A11648">
        <v>1010430</v>
      </c>
      <c r="B11648">
        <v>10963</v>
      </c>
      <c r="C11648">
        <v>1</v>
      </c>
      <c r="D11648" s="17" t="s">
        <v>17166</v>
      </c>
      <c r="E11648" s="17"/>
      <c r="F11648" s="17" t="s">
        <v>17246</v>
      </c>
      <c r="G11648" s="17"/>
      <c r="H11648" s="17" t="s">
        <v>23950</v>
      </c>
      <c r="I11648" s="17" t="s">
        <v>23956</v>
      </c>
      <c r="J11648" s="17" t="s">
        <v>24017</v>
      </c>
      <c r="K11648" s="17"/>
      <c r="L11648" s="17" t="s">
        <v>24018</v>
      </c>
      <c r="M11648" s="17"/>
      <c r="N11648" s="17" t="s">
        <v>24067</v>
      </c>
      <c r="O11648" s="17"/>
      <c r="P11648" s="17" t="s">
        <v>24100</v>
      </c>
      <c r="Q11648" s="17"/>
      <c r="R11648" s="25" t="str">
        <f>HYPERLINK("https://ictv.global/taxonomy/taxondetails?taxnode_id=202309715","Demapteravirus dermapteri")</f>
        <v>Demapteravirus dermapteri</v>
      </c>
      <c r="S11648" s="18" t="s">
        <v>30</v>
      </c>
      <c r="T11648" s="18" t="s">
        <v>24101</v>
      </c>
      <c r="U11648" s="18" t="s">
        <v>24102</v>
      </c>
      <c r="V11648" s="18" t="s">
        <v>24103</v>
      </c>
      <c r="W11648" s="18" t="s">
        <v>50777</v>
      </c>
      <c r="X11648" s="18" t="s">
        <v>35</v>
      </c>
      <c r="Y11648" s="18" t="s">
        <v>23964</v>
      </c>
      <c r="Z11648" s="18" t="s">
        <v>10790</v>
      </c>
      <c r="AA11648" s="21" t="str">
        <f>HYPERLINK("https://www.ncbi.nlm.nih.gov/nuccore/MT153506,MT153494","NCBI Nucleotide")</f>
        <v>NCBI Nucleotide</v>
      </c>
    </row>
    <row r="11649" spans="1:27" x14ac:dyDescent="0.35">
      <c r="A11649">
        <v>1010431</v>
      </c>
      <c r="B11649">
        <v>10964</v>
      </c>
      <c r="C11649">
        <v>1</v>
      </c>
      <c r="D11649" s="17" t="s">
        <v>17166</v>
      </c>
      <c r="E11649" s="17"/>
      <c r="F11649" s="17" t="s">
        <v>17246</v>
      </c>
      <c r="G11649" s="17"/>
      <c r="H11649" s="17" t="s">
        <v>23950</v>
      </c>
      <c r="I11649" s="17" t="s">
        <v>23956</v>
      </c>
      <c r="J11649" s="17" t="s">
        <v>24017</v>
      </c>
      <c r="K11649" s="17"/>
      <c r="L11649" s="17" t="s">
        <v>24018</v>
      </c>
      <c r="M11649" s="17"/>
      <c r="N11649" s="17" t="s">
        <v>24067</v>
      </c>
      <c r="O11649" s="17"/>
      <c r="P11649" s="17" t="s">
        <v>24104</v>
      </c>
      <c r="Q11649" s="17"/>
      <c r="R11649" s="25" t="str">
        <f>HYPERLINK("https://ictv.global/taxonomy/taxondetails?taxnode_id=202309722","Doliuvirus culisetae")</f>
        <v>Doliuvirus culisetae</v>
      </c>
      <c r="S11649" s="18" t="s">
        <v>30</v>
      </c>
      <c r="T11649" s="18" t="s">
        <v>24105</v>
      </c>
      <c r="U11649" s="18" t="s">
        <v>24106</v>
      </c>
      <c r="V11649" s="18" t="s">
        <v>24107</v>
      </c>
      <c r="W11649" s="18" t="s">
        <v>50549</v>
      </c>
      <c r="X11649" s="18" t="s">
        <v>35</v>
      </c>
      <c r="Y11649" s="18" t="s">
        <v>23964</v>
      </c>
      <c r="Z11649" s="18" t="s">
        <v>10790</v>
      </c>
      <c r="AA11649" s="21" t="str">
        <f>HYPERLINK("https://www.ncbi.nlm.nih.gov/nuccore/KX924630,KX924631","NCBI Nucleotide")</f>
        <v>NCBI Nucleotide</v>
      </c>
    </row>
    <row r="11650" spans="1:27" x14ac:dyDescent="0.35">
      <c r="A11650">
        <v>1010432</v>
      </c>
      <c r="B11650">
        <v>10965</v>
      </c>
      <c r="C11650">
        <v>1</v>
      </c>
      <c r="D11650" s="17" t="s">
        <v>17166</v>
      </c>
      <c r="E11650" s="17"/>
      <c r="F11650" s="17" t="s">
        <v>17246</v>
      </c>
      <c r="G11650" s="17"/>
      <c r="H11650" s="17" t="s">
        <v>23950</v>
      </c>
      <c r="I11650" s="17" t="s">
        <v>23956</v>
      </c>
      <c r="J11650" s="17" t="s">
        <v>24017</v>
      </c>
      <c r="K11650" s="17"/>
      <c r="L11650" s="17" t="s">
        <v>24018</v>
      </c>
      <c r="M11650" s="17"/>
      <c r="N11650" s="17" t="s">
        <v>24067</v>
      </c>
      <c r="O11650" s="17"/>
      <c r="P11650" s="17" t="s">
        <v>24108</v>
      </c>
      <c r="Q11650" s="17"/>
      <c r="R11650" s="25" t="str">
        <f>HYPERLINK("https://ictv.global/taxonomy/taxondetails?taxnode_id=202306060","Mivirus amblyommae")</f>
        <v>Mivirus amblyommae</v>
      </c>
      <c r="S11650" s="18" t="s">
        <v>30</v>
      </c>
      <c r="T11650" s="18" t="s">
        <v>24109</v>
      </c>
      <c r="U11650" s="18" t="s">
        <v>24110</v>
      </c>
      <c r="V11650" s="18" t="s">
        <v>24111</v>
      </c>
      <c r="W11650" s="18" t="s">
        <v>24112</v>
      </c>
      <c r="X11650" s="18" t="s">
        <v>42</v>
      </c>
      <c r="Y11650" s="18" t="s">
        <v>23964</v>
      </c>
      <c r="Z11650" s="18" t="s">
        <v>10790</v>
      </c>
      <c r="AA11650" s="21" t="str">
        <f>HYPERLINK("https://www.ncbi.nlm.nih.gov/nuccore/KU230451","NCBI Nucleotide")</f>
        <v>NCBI Nucleotide</v>
      </c>
    </row>
    <row r="11651" spans="1:27" x14ac:dyDescent="0.35">
      <c r="A11651">
        <v>1010433</v>
      </c>
      <c r="B11651">
        <v>10966</v>
      </c>
      <c r="C11651">
        <v>1</v>
      </c>
      <c r="D11651" s="17" t="s">
        <v>17166</v>
      </c>
      <c r="E11651" s="17"/>
      <c r="F11651" s="17" t="s">
        <v>17246</v>
      </c>
      <c r="G11651" s="17"/>
      <c r="H11651" s="17" t="s">
        <v>23950</v>
      </c>
      <c r="I11651" s="17" t="s">
        <v>23956</v>
      </c>
      <c r="J11651" s="17" t="s">
        <v>24017</v>
      </c>
      <c r="K11651" s="17"/>
      <c r="L11651" s="17" t="s">
        <v>24018</v>
      </c>
      <c r="M11651" s="17"/>
      <c r="N11651" s="17" t="s">
        <v>24067</v>
      </c>
      <c r="O11651" s="17"/>
      <c r="P11651" s="17" t="s">
        <v>24108</v>
      </c>
      <c r="Q11651" s="17"/>
      <c r="R11651" s="25" t="str">
        <f>HYPERLINK("https://ictv.global/taxonomy/taxondetails?taxnode_id=202314136","Mivirus belostomatis")</f>
        <v>Mivirus belostomatis</v>
      </c>
      <c r="S11651" s="18" t="s">
        <v>30</v>
      </c>
      <c r="T11651" s="18" t="s">
        <v>24113</v>
      </c>
      <c r="U11651" s="18" t="s">
        <v>24114</v>
      </c>
      <c r="V11651" s="18" t="s">
        <v>24115</v>
      </c>
      <c r="W11651" s="18" t="s">
        <v>50895</v>
      </c>
      <c r="X11651" s="18" t="s">
        <v>42</v>
      </c>
      <c r="Y11651" s="18" t="s">
        <v>23964</v>
      </c>
      <c r="Z11651" s="18" t="s">
        <v>10790</v>
      </c>
      <c r="AA11651" s="21" t="str">
        <f>HYPERLINK("https://www.ncbi.nlm.nih.gov/nuccore/BK061669,BK061544","NCBI Nucleotide")</f>
        <v>NCBI Nucleotide</v>
      </c>
    </row>
    <row r="11652" spans="1:27" x14ac:dyDescent="0.35">
      <c r="A11652">
        <v>1010434</v>
      </c>
      <c r="B11652">
        <v>10967</v>
      </c>
      <c r="C11652">
        <v>1</v>
      </c>
      <c r="D11652" s="17" t="s">
        <v>17166</v>
      </c>
      <c r="E11652" s="17"/>
      <c r="F11652" s="17" t="s">
        <v>17246</v>
      </c>
      <c r="G11652" s="17"/>
      <c r="H11652" s="17" t="s">
        <v>23950</v>
      </c>
      <c r="I11652" s="17" t="s">
        <v>23956</v>
      </c>
      <c r="J11652" s="17" t="s">
        <v>24017</v>
      </c>
      <c r="K11652" s="17"/>
      <c r="L11652" s="17" t="s">
        <v>24018</v>
      </c>
      <c r="M11652" s="17"/>
      <c r="N11652" s="17" t="s">
        <v>24067</v>
      </c>
      <c r="O11652" s="17"/>
      <c r="P11652" s="17" t="s">
        <v>24108</v>
      </c>
      <c r="Q11652" s="17"/>
      <c r="R11652" s="25" t="str">
        <f>HYPERLINK("https://ictv.global/taxonomy/taxondetails?taxnode_id=202306044","Mivirus boleense")</f>
        <v>Mivirus boleense</v>
      </c>
      <c r="S11652" s="18" t="s">
        <v>30</v>
      </c>
      <c r="T11652" s="18" t="s">
        <v>24116</v>
      </c>
      <c r="U11652" s="18" t="s">
        <v>24117</v>
      </c>
      <c r="V11652" s="18" t="s">
        <v>24118</v>
      </c>
      <c r="W11652" s="18" t="s">
        <v>24119</v>
      </c>
      <c r="X11652" s="18" t="s">
        <v>42</v>
      </c>
      <c r="Y11652" s="18" t="s">
        <v>23964</v>
      </c>
      <c r="Z11652" s="18" t="s">
        <v>10790</v>
      </c>
      <c r="AA11652" s="21" t="str">
        <f>HYPERLINK("https://www.ncbi.nlm.nih.gov/nuccore/KM817593","NCBI Nucleotide")</f>
        <v>NCBI Nucleotide</v>
      </c>
    </row>
    <row r="11653" spans="1:27" x14ac:dyDescent="0.35">
      <c r="A11653">
        <v>1010435</v>
      </c>
      <c r="B11653">
        <v>10968</v>
      </c>
      <c r="C11653">
        <v>1</v>
      </c>
      <c r="D11653" s="17" t="s">
        <v>17166</v>
      </c>
      <c r="E11653" s="17"/>
      <c r="F11653" s="17" t="s">
        <v>17246</v>
      </c>
      <c r="G11653" s="17"/>
      <c r="H11653" s="17" t="s">
        <v>23950</v>
      </c>
      <c r="I11653" s="17" t="s">
        <v>23956</v>
      </c>
      <c r="J11653" s="17" t="s">
        <v>24017</v>
      </c>
      <c r="K11653" s="17"/>
      <c r="L11653" s="17" t="s">
        <v>24018</v>
      </c>
      <c r="M11653" s="17"/>
      <c r="N11653" s="17" t="s">
        <v>24067</v>
      </c>
      <c r="O11653" s="17"/>
      <c r="P11653" s="17" t="s">
        <v>24108</v>
      </c>
      <c r="Q11653" s="17"/>
      <c r="R11653" s="25" t="str">
        <f>HYPERLINK("https://ictv.global/taxonomy/taxondetails?taxnode_id=202306046","Mivirus changpingense")</f>
        <v>Mivirus changpingense</v>
      </c>
      <c r="S11653" s="18" t="s">
        <v>30</v>
      </c>
      <c r="T11653" s="18" t="s">
        <v>24120</v>
      </c>
      <c r="U11653" s="18" t="s">
        <v>24121</v>
      </c>
      <c r="V11653" s="18" t="s">
        <v>24122</v>
      </c>
      <c r="W11653" s="18" t="s">
        <v>24123</v>
      </c>
      <c r="X11653" s="18" t="s">
        <v>42</v>
      </c>
      <c r="Y11653" s="18" t="s">
        <v>23964</v>
      </c>
      <c r="Z11653" s="18" t="s">
        <v>10790</v>
      </c>
      <c r="AA11653" s="21" t="str">
        <f>HYPERLINK("https://www.ncbi.nlm.nih.gov/nuccore/KM817594","NCBI Nucleotide")</f>
        <v>NCBI Nucleotide</v>
      </c>
    </row>
    <row r="11654" spans="1:27" x14ac:dyDescent="0.35">
      <c r="A11654">
        <v>1010436</v>
      </c>
      <c r="B11654">
        <v>10969</v>
      </c>
      <c r="C11654">
        <v>1</v>
      </c>
      <c r="D11654" s="17" t="s">
        <v>17166</v>
      </c>
      <c r="E11654" s="17"/>
      <c r="F11654" s="17" t="s">
        <v>17246</v>
      </c>
      <c r="G11654" s="17"/>
      <c r="H11654" s="17" t="s">
        <v>23950</v>
      </c>
      <c r="I11654" s="17" t="s">
        <v>23956</v>
      </c>
      <c r="J11654" s="17" t="s">
        <v>24017</v>
      </c>
      <c r="K11654" s="17"/>
      <c r="L11654" s="17" t="s">
        <v>24018</v>
      </c>
      <c r="M11654" s="17"/>
      <c r="N11654" s="17" t="s">
        <v>24067</v>
      </c>
      <c r="O11654" s="17"/>
      <c r="P11654" s="17" t="s">
        <v>24108</v>
      </c>
      <c r="Q11654" s="17"/>
      <c r="R11654" s="25" t="str">
        <f>HYPERLINK("https://ictv.global/taxonomy/taxondetails?taxnode_id=202306051","Mivirus dermacentoris")</f>
        <v>Mivirus dermacentoris</v>
      </c>
      <c r="S11654" s="18" t="s">
        <v>30</v>
      </c>
      <c r="T11654" s="18" t="s">
        <v>24124</v>
      </c>
      <c r="U11654" s="18" t="s">
        <v>24125</v>
      </c>
      <c r="V11654" s="18" t="s">
        <v>24126</v>
      </c>
      <c r="W11654" s="18" t="s">
        <v>24127</v>
      </c>
      <c r="X11654" s="18" t="s">
        <v>42</v>
      </c>
      <c r="Y11654" s="18" t="s">
        <v>23964</v>
      </c>
      <c r="Z11654" s="18" t="s">
        <v>10790</v>
      </c>
      <c r="AA11654" s="21" t="str">
        <f>HYPERLINK("https://www.ncbi.nlm.nih.gov/nuccore/KM817595","NCBI Nucleotide")</f>
        <v>NCBI Nucleotide</v>
      </c>
    </row>
    <row r="11655" spans="1:27" x14ac:dyDescent="0.35">
      <c r="A11655">
        <v>1012852</v>
      </c>
      <c r="B11655">
        <v>10969</v>
      </c>
      <c r="C11655">
        <v>2</v>
      </c>
      <c r="D11655" s="17" t="s">
        <v>17166</v>
      </c>
      <c r="E11655" s="17"/>
      <c r="F11655" s="17" t="s">
        <v>17246</v>
      </c>
      <c r="G11655" s="17"/>
      <c r="H11655" s="17" t="s">
        <v>23950</v>
      </c>
      <c r="I11655" s="17" t="s">
        <v>23956</v>
      </c>
      <c r="J11655" s="17" t="s">
        <v>24017</v>
      </c>
      <c r="K11655" s="17"/>
      <c r="L11655" s="17" t="s">
        <v>24018</v>
      </c>
      <c r="M11655" s="17"/>
      <c r="N11655" s="17" t="s">
        <v>24067</v>
      </c>
      <c r="O11655" s="17"/>
      <c r="P11655" s="17" t="s">
        <v>24108</v>
      </c>
      <c r="Q11655" s="17"/>
      <c r="R11655" s="25" t="str">
        <f>HYPERLINK("https://ictv.global/taxonomy/taxondetails?taxnode_id=202306051","Mivirus dermacentoris")</f>
        <v>Mivirus dermacentoris</v>
      </c>
      <c r="S11655" s="18" t="s">
        <v>8141</v>
      </c>
      <c r="T11655" s="18" t="s">
        <v>35281</v>
      </c>
      <c r="U11655" s="18" t="s">
        <v>35282</v>
      </c>
      <c r="V11655" s="18" t="s">
        <v>35283</v>
      </c>
      <c r="W11655" s="18" t="s">
        <v>49408</v>
      </c>
      <c r="X11655" s="18" t="s">
        <v>42</v>
      </c>
      <c r="Y11655" s="18" t="s">
        <v>23964</v>
      </c>
      <c r="Z11655" s="18" t="s">
        <v>10790</v>
      </c>
      <c r="AA11655" s="21" t="str">
        <f>HYPERLINK("https://www.ncbi.nlm.nih.gov/nuccore/KM817600","NCBI Nucleotide")</f>
        <v>NCBI Nucleotide</v>
      </c>
    </row>
    <row r="11656" spans="1:27" x14ac:dyDescent="0.35">
      <c r="A11656">
        <v>1010437</v>
      </c>
      <c r="B11656">
        <v>10970</v>
      </c>
      <c r="C11656">
        <v>1</v>
      </c>
      <c r="D11656" s="17" t="s">
        <v>17166</v>
      </c>
      <c r="E11656" s="17"/>
      <c r="F11656" s="17" t="s">
        <v>17246</v>
      </c>
      <c r="G11656" s="17"/>
      <c r="H11656" s="17" t="s">
        <v>23950</v>
      </c>
      <c r="I11656" s="17" t="s">
        <v>23956</v>
      </c>
      <c r="J11656" s="17" t="s">
        <v>24017</v>
      </c>
      <c r="K11656" s="17"/>
      <c r="L11656" s="17" t="s">
        <v>24018</v>
      </c>
      <c r="M11656" s="17"/>
      <c r="N11656" s="17" t="s">
        <v>24067</v>
      </c>
      <c r="O11656" s="17"/>
      <c r="P11656" s="17" t="s">
        <v>24108</v>
      </c>
      <c r="Q11656" s="17"/>
      <c r="R11656" s="25" t="str">
        <f>HYPERLINK("https://ictv.global/taxonomy/taxondetails?taxnode_id=202309723","Mivirus genovaense")</f>
        <v>Mivirus genovaense</v>
      </c>
      <c r="S11656" s="18" t="s">
        <v>30</v>
      </c>
      <c r="T11656" s="18" t="s">
        <v>24128</v>
      </c>
      <c r="U11656" s="18" t="s">
        <v>24129</v>
      </c>
      <c r="V11656" s="18"/>
      <c r="W11656" s="18" t="s">
        <v>24130</v>
      </c>
      <c r="X11656" s="18" t="s">
        <v>35</v>
      </c>
      <c r="Y11656" s="18" t="s">
        <v>23964</v>
      </c>
      <c r="Z11656" s="18" t="s">
        <v>10790</v>
      </c>
      <c r="AA11656" s="21" t="str">
        <f>HYPERLINK("https://www.ncbi.nlm.nih.gov/nuccore/MK026591","NCBI Nucleotide")</f>
        <v>NCBI Nucleotide</v>
      </c>
    </row>
    <row r="11657" spans="1:27" x14ac:dyDescent="0.35">
      <c r="A11657">
        <v>1010438</v>
      </c>
      <c r="B11657">
        <v>10971</v>
      </c>
      <c r="C11657">
        <v>1</v>
      </c>
      <c r="D11657" s="17" t="s">
        <v>17166</v>
      </c>
      <c r="E11657" s="17"/>
      <c r="F11657" s="17" t="s">
        <v>17246</v>
      </c>
      <c r="G11657" s="17"/>
      <c r="H11657" s="17" t="s">
        <v>23950</v>
      </c>
      <c r="I11657" s="17" t="s">
        <v>23956</v>
      </c>
      <c r="J11657" s="17" t="s">
        <v>24017</v>
      </c>
      <c r="K11657" s="17"/>
      <c r="L11657" s="17" t="s">
        <v>24018</v>
      </c>
      <c r="M11657" s="17"/>
      <c r="N11657" s="17" t="s">
        <v>24067</v>
      </c>
      <c r="O11657" s="17"/>
      <c r="P11657" s="17" t="s">
        <v>24108</v>
      </c>
      <c r="Q11657" s="17"/>
      <c r="R11657" s="25" t="str">
        <f>HYPERLINK("https://ictv.global/taxonomy/taxondetails?taxnode_id=202309724","Mivirus karukeraense")</f>
        <v>Mivirus karukeraense</v>
      </c>
      <c r="S11657" s="18" t="s">
        <v>30</v>
      </c>
      <c r="T11657" s="18" t="s">
        <v>24131</v>
      </c>
      <c r="U11657" s="18" t="s">
        <v>24132</v>
      </c>
      <c r="V11657" s="18" t="s">
        <v>24133</v>
      </c>
      <c r="W11657" s="18" t="s">
        <v>24134</v>
      </c>
      <c r="X11657" s="18" t="s">
        <v>42</v>
      </c>
      <c r="Y11657" s="18" t="s">
        <v>23964</v>
      </c>
      <c r="Z11657" s="18" t="s">
        <v>10790</v>
      </c>
      <c r="AA11657" s="21" t="str">
        <f>HYPERLINK("https://www.ncbi.nlm.nih.gov/nuccore/MN599998","NCBI Nucleotide")</f>
        <v>NCBI Nucleotide</v>
      </c>
    </row>
    <row r="11658" spans="1:27" x14ac:dyDescent="0.35">
      <c r="A11658">
        <v>1010439</v>
      </c>
      <c r="B11658">
        <v>10972</v>
      </c>
      <c r="C11658">
        <v>1</v>
      </c>
      <c r="D11658" s="17" t="s">
        <v>17166</v>
      </c>
      <c r="E11658" s="17"/>
      <c r="F11658" s="17" t="s">
        <v>17246</v>
      </c>
      <c r="G11658" s="17"/>
      <c r="H11658" s="17" t="s">
        <v>23950</v>
      </c>
      <c r="I11658" s="17" t="s">
        <v>23956</v>
      </c>
      <c r="J11658" s="17" t="s">
        <v>24017</v>
      </c>
      <c r="K11658" s="17"/>
      <c r="L11658" s="17" t="s">
        <v>24018</v>
      </c>
      <c r="M11658" s="17"/>
      <c r="N11658" s="17" t="s">
        <v>24067</v>
      </c>
      <c r="O11658" s="17"/>
      <c r="P11658" s="17" t="s">
        <v>24108</v>
      </c>
      <c r="Q11658" s="17"/>
      <c r="R11658" s="25" t="str">
        <f>HYPERLINK("https://ictv.global/taxonomy/taxondetails?taxnode_id=202309725","Mivirus rhipicephali")</f>
        <v>Mivirus rhipicephali</v>
      </c>
      <c r="S11658" s="18" t="s">
        <v>30</v>
      </c>
      <c r="T11658" s="18" t="s">
        <v>24135</v>
      </c>
      <c r="U11658" s="18" t="s">
        <v>24136</v>
      </c>
      <c r="V11658" s="18" t="s">
        <v>24137</v>
      </c>
      <c r="W11658" s="18" t="s">
        <v>24138</v>
      </c>
      <c r="X11658" s="18" t="s">
        <v>42</v>
      </c>
      <c r="Y11658" s="18" t="s">
        <v>23964</v>
      </c>
      <c r="Z11658" s="18" t="s">
        <v>10790</v>
      </c>
      <c r="AA11658" s="21" t="str">
        <f>HYPERLINK("https://www.ncbi.nlm.nih.gov/nuccore/MN025520","NCBI Nucleotide")</f>
        <v>NCBI Nucleotide</v>
      </c>
    </row>
    <row r="11659" spans="1:27" x14ac:dyDescent="0.35">
      <c r="A11659">
        <v>1010440</v>
      </c>
      <c r="B11659">
        <v>10973</v>
      </c>
      <c r="C11659">
        <v>1</v>
      </c>
      <c r="D11659" s="17" t="s">
        <v>17166</v>
      </c>
      <c r="E11659" s="17"/>
      <c r="F11659" s="17" t="s">
        <v>17246</v>
      </c>
      <c r="G11659" s="17"/>
      <c r="H11659" s="17" t="s">
        <v>23950</v>
      </c>
      <c r="I11659" s="17" t="s">
        <v>23956</v>
      </c>
      <c r="J11659" s="17" t="s">
        <v>24017</v>
      </c>
      <c r="K11659" s="17"/>
      <c r="L11659" s="17" t="s">
        <v>24018</v>
      </c>
      <c r="M11659" s="17"/>
      <c r="N11659" s="17" t="s">
        <v>24067</v>
      </c>
      <c r="O11659" s="17"/>
      <c r="P11659" s="17" t="s">
        <v>24108</v>
      </c>
      <c r="Q11659" s="17"/>
      <c r="R11659" s="25" t="str">
        <f>HYPERLINK("https://ictv.global/taxonomy/taxondetails?taxnode_id=202306067","Mivirus suffolkense")</f>
        <v>Mivirus suffolkense</v>
      </c>
      <c r="S11659" s="18" t="s">
        <v>30</v>
      </c>
      <c r="T11659" s="18" t="s">
        <v>24139</v>
      </c>
      <c r="U11659" s="18" t="s">
        <v>24140</v>
      </c>
      <c r="V11659" s="18" t="s">
        <v>24141</v>
      </c>
      <c r="W11659" s="18" t="s">
        <v>24142</v>
      </c>
      <c r="X11659" s="18" t="s">
        <v>42</v>
      </c>
      <c r="Y11659" s="18" t="s">
        <v>23964</v>
      </c>
      <c r="Z11659" s="18" t="s">
        <v>10790</v>
      </c>
      <c r="AA11659" s="21" t="str">
        <f>HYPERLINK("https://www.ncbi.nlm.nih.gov/nuccore/KM460042","NCBI Nucleotide")</f>
        <v>NCBI Nucleotide</v>
      </c>
    </row>
    <row r="11660" spans="1:27" x14ac:dyDescent="0.35">
      <c r="A11660">
        <v>1010441</v>
      </c>
      <c r="B11660">
        <v>10974</v>
      </c>
      <c r="C11660">
        <v>1</v>
      </c>
      <c r="D11660" s="17" t="s">
        <v>17166</v>
      </c>
      <c r="E11660" s="17"/>
      <c r="F11660" s="17" t="s">
        <v>17246</v>
      </c>
      <c r="G11660" s="17"/>
      <c r="H11660" s="17" t="s">
        <v>23950</v>
      </c>
      <c r="I11660" s="17" t="s">
        <v>23956</v>
      </c>
      <c r="J11660" s="17" t="s">
        <v>24017</v>
      </c>
      <c r="K11660" s="17"/>
      <c r="L11660" s="17" t="s">
        <v>24018</v>
      </c>
      <c r="M11660" s="17"/>
      <c r="N11660" s="17" t="s">
        <v>24067</v>
      </c>
      <c r="O11660" s="17"/>
      <c r="P11660" s="17" t="s">
        <v>24108</v>
      </c>
      <c r="Q11660" s="17"/>
      <c r="R11660" s="25" t="str">
        <f>HYPERLINK("https://ictv.global/taxonomy/taxondetails?taxnode_id=202306069","Mivirus wuhanense")</f>
        <v>Mivirus wuhanense</v>
      </c>
      <c r="S11660" s="18" t="s">
        <v>30</v>
      </c>
      <c r="T11660" s="18" t="s">
        <v>24143</v>
      </c>
      <c r="U11660" s="18" t="s">
        <v>24144</v>
      </c>
      <c r="V11660" s="18" t="s">
        <v>24145</v>
      </c>
      <c r="W11660" s="18" t="s">
        <v>24146</v>
      </c>
      <c r="X11660" s="18" t="s">
        <v>42</v>
      </c>
      <c r="Y11660" s="18" t="s">
        <v>23964</v>
      </c>
      <c r="Z11660" s="18" t="s">
        <v>10790</v>
      </c>
      <c r="AA11660" s="21" t="str">
        <f>HYPERLINK("https://www.ncbi.nlm.nih.gov/nuccore/KM817611","NCBI Nucleotide")</f>
        <v>NCBI Nucleotide</v>
      </c>
    </row>
    <row r="11661" spans="1:27" x14ac:dyDescent="0.35">
      <c r="A11661">
        <v>1010442</v>
      </c>
      <c r="B11661">
        <v>10975</v>
      </c>
      <c r="C11661">
        <v>1</v>
      </c>
      <c r="D11661" s="17" t="s">
        <v>17166</v>
      </c>
      <c r="E11661" s="17"/>
      <c r="F11661" s="17" t="s">
        <v>17246</v>
      </c>
      <c r="G11661" s="17"/>
      <c r="H11661" s="17" t="s">
        <v>23950</v>
      </c>
      <c r="I11661" s="17" t="s">
        <v>23956</v>
      </c>
      <c r="J11661" s="17" t="s">
        <v>24017</v>
      </c>
      <c r="K11661" s="17"/>
      <c r="L11661" s="17" t="s">
        <v>24018</v>
      </c>
      <c r="M11661" s="17"/>
      <c r="N11661" s="17" t="s">
        <v>24067</v>
      </c>
      <c r="O11661" s="17"/>
      <c r="P11661" s="17" t="s">
        <v>24147</v>
      </c>
      <c r="Q11661" s="17"/>
      <c r="R11661" s="25" t="str">
        <f>HYPERLINK("https://ictv.global/taxonomy/taxondetails?taxnode_id=202306041","Morsusvirus argatis")</f>
        <v>Morsusvirus argatis</v>
      </c>
      <c r="S11661" s="18" t="s">
        <v>30</v>
      </c>
      <c r="T11661" s="18" t="s">
        <v>24148</v>
      </c>
      <c r="U11661" s="18" t="s">
        <v>24149</v>
      </c>
      <c r="V11661" s="18" t="s">
        <v>24150</v>
      </c>
      <c r="W11661" s="18" t="s">
        <v>24151</v>
      </c>
      <c r="X11661" s="18" t="s">
        <v>42</v>
      </c>
      <c r="Y11661" s="18" t="s">
        <v>23964</v>
      </c>
      <c r="Z11661" s="18" t="s">
        <v>10790</v>
      </c>
      <c r="AA11661" s="21" t="str">
        <f>HYPERLINK("https://www.ncbi.nlm.nih.gov/nuccore/KM817599","NCBI Nucleotide")</f>
        <v>NCBI Nucleotide</v>
      </c>
    </row>
    <row r="11662" spans="1:27" x14ac:dyDescent="0.35">
      <c r="A11662">
        <v>1010443</v>
      </c>
      <c r="B11662">
        <v>10976</v>
      </c>
      <c r="C11662">
        <v>1</v>
      </c>
      <c r="D11662" s="17" t="s">
        <v>17166</v>
      </c>
      <c r="E11662" s="17"/>
      <c r="F11662" s="17" t="s">
        <v>17246</v>
      </c>
      <c r="G11662" s="17"/>
      <c r="H11662" s="17" t="s">
        <v>23950</v>
      </c>
      <c r="I11662" s="17" t="s">
        <v>23956</v>
      </c>
      <c r="J11662" s="17" t="s">
        <v>24017</v>
      </c>
      <c r="K11662" s="17"/>
      <c r="L11662" s="17" t="s">
        <v>24018</v>
      </c>
      <c r="M11662" s="17"/>
      <c r="N11662" s="17" t="s">
        <v>24067</v>
      </c>
      <c r="O11662" s="17"/>
      <c r="P11662" s="17" t="s">
        <v>24152</v>
      </c>
      <c r="Q11662" s="17"/>
      <c r="R11662" s="25" t="str">
        <f>HYPERLINK("https://ictv.global/taxonomy/taxondetails?taxnode_id=202309728","Nigecruvirus ixodes")</f>
        <v>Nigecruvirus ixodes</v>
      </c>
      <c r="S11662" s="18" t="s">
        <v>30</v>
      </c>
      <c r="T11662" s="18" t="s">
        <v>24153</v>
      </c>
      <c r="U11662" s="18" t="s">
        <v>24154</v>
      </c>
      <c r="V11662" s="18" t="s">
        <v>24155</v>
      </c>
      <c r="W11662" s="18" t="s">
        <v>24156</v>
      </c>
      <c r="X11662" s="18" t="s">
        <v>42</v>
      </c>
      <c r="Y11662" s="18" t="s">
        <v>23964</v>
      </c>
      <c r="Z11662" s="18" t="s">
        <v>10790</v>
      </c>
      <c r="AA11662" s="21" t="str">
        <f>HYPERLINK("https://www.ncbi.nlm.nih.gov/nuccore/MF360789","NCBI Nucleotide")</f>
        <v>NCBI Nucleotide</v>
      </c>
    </row>
    <row r="11663" spans="1:27" x14ac:dyDescent="0.35">
      <c r="A11663">
        <v>1010444</v>
      </c>
      <c r="B11663">
        <v>10977</v>
      </c>
      <c r="C11663">
        <v>1</v>
      </c>
      <c r="D11663" s="17" t="s">
        <v>17166</v>
      </c>
      <c r="E11663" s="17"/>
      <c r="F11663" s="17" t="s">
        <v>17246</v>
      </c>
      <c r="G11663" s="17"/>
      <c r="H11663" s="17" t="s">
        <v>23950</v>
      </c>
      <c r="I11663" s="17" t="s">
        <v>23956</v>
      </c>
      <c r="J11663" s="17" t="s">
        <v>24017</v>
      </c>
      <c r="K11663" s="17"/>
      <c r="L11663" s="17" t="s">
        <v>24018</v>
      </c>
      <c r="M11663" s="17"/>
      <c r="N11663" s="17" t="s">
        <v>24067</v>
      </c>
      <c r="O11663" s="17"/>
      <c r="P11663" s="17" t="s">
        <v>24152</v>
      </c>
      <c r="Q11663" s="17"/>
      <c r="R11663" s="25" t="str">
        <f>HYPERLINK("https://ictv.global/taxonomy/taxondetails?taxnode_id=202314137","Nigecruvirus periplanetae")</f>
        <v>Nigecruvirus periplanetae</v>
      </c>
      <c r="S11663" s="18" t="s">
        <v>30</v>
      </c>
      <c r="T11663" s="18" t="s">
        <v>24157</v>
      </c>
      <c r="U11663" s="18" t="s">
        <v>24158</v>
      </c>
      <c r="V11663" s="18" t="s">
        <v>24159</v>
      </c>
      <c r="W11663" s="18" t="s">
        <v>24160</v>
      </c>
      <c r="X11663" s="18" t="s">
        <v>42</v>
      </c>
      <c r="Y11663" s="18" t="s">
        <v>23964</v>
      </c>
      <c r="Z11663" s="18" t="s">
        <v>10790</v>
      </c>
      <c r="AA11663" s="21" t="str">
        <f>HYPERLINK("https://www.ncbi.nlm.nih.gov/nuccore/BK061547","NCBI Nucleotide")</f>
        <v>NCBI Nucleotide</v>
      </c>
    </row>
    <row r="11664" spans="1:27" x14ac:dyDescent="0.35">
      <c r="A11664">
        <v>1010445</v>
      </c>
      <c r="B11664">
        <v>10978</v>
      </c>
      <c r="C11664">
        <v>1</v>
      </c>
      <c r="D11664" s="17" t="s">
        <v>17166</v>
      </c>
      <c r="E11664" s="17"/>
      <c r="F11664" s="17" t="s">
        <v>17246</v>
      </c>
      <c r="G11664" s="17"/>
      <c r="H11664" s="17" t="s">
        <v>23950</v>
      </c>
      <c r="I11664" s="17" t="s">
        <v>23956</v>
      </c>
      <c r="J11664" s="17" t="s">
        <v>24017</v>
      </c>
      <c r="K11664" s="17"/>
      <c r="L11664" s="17" t="s">
        <v>24018</v>
      </c>
      <c r="M11664" s="17"/>
      <c r="N11664" s="17" t="s">
        <v>24067</v>
      </c>
      <c r="O11664" s="17"/>
      <c r="P11664" s="17" t="s">
        <v>24161</v>
      </c>
      <c r="Q11664" s="17"/>
      <c r="R11664" s="25" t="str">
        <f>HYPERLINK("https://ictv.global/taxonomy/taxondetails?taxnode_id=202309730","Odonatavirus draconis")</f>
        <v>Odonatavirus draconis</v>
      </c>
      <c r="S11664" s="18" t="s">
        <v>30</v>
      </c>
      <c r="T11664" s="18" t="s">
        <v>24162</v>
      </c>
      <c r="U11664" s="18" t="s">
        <v>24163</v>
      </c>
      <c r="V11664" s="18" t="s">
        <v>24164</v>
      </c>
      <c r="W11664" s="18" t="s">
        <v>24165</v>
      </c>
      <c r="X11664" s="18" t="s">
        <v>35</v>
      </c>
      <c r="Y11664" s="18" t="s">
        <v>23964</v>
      </c>
      <c r="Z11664" s="18" t="s">
        <v>10790</v>
      </c>
      <c r="AA11664" s="21" t="str">
        <f>HYPERLINK("https://www.ncbi.nlm.nih.gov/nuccore/MW291695","NCBI Nucleotide")</f>
        <v>NCBI Nucleotide</v>
      </c>
    </row>
    <row r="11665" spans="1:27" x14ac:dyDescent="0.35">
      <c r="A11665">
        <v>1010446</v>
      </c>
      <c r="B11665">
        <v>10979</v>
      </c>
      <c r="C11665">
        <v>1</v>
      </c>
      <c r="D11665" s="17" t="s">
        <v>17166</v>
      </c>
      <c r="E11665" s="17"/>
      <c r="F11665" s="17" t="s">
        <v>17246</v>
      </c>
      <c r="G11665" s="17"/>
      <c r="H11665" s="17" t="s">
        <v>23950</v>
      </c>
      <c r="I11665" s="17" t="s">
        <v>23956</v>
      </c>
      <c r="J11665" s="17" t="s">
        <v>24017</v>
      </c>
      <c r="K11665" s="17"/>
      <c r="L11665" s="17" t="s">
        <v>24018</v>
      </c>
      <c r="M11665" s="17"/>
      <c r="N11665" s="17" t="s">
        <v>24067</v>
      </c>
      <c r="O11665" s="17"/>
      <c r="P11665" s="17" t="s">
        <v>24161</v>
      </c>
      <c r="Q11665" s="17"/>
      <c r="R11665" s="25" t="str">
        <f>HYPERLINK("https://ictv.global/taxonomy/taxondetails?taxnode_id=202306064","Odonatavirus fabricii")</f>
        <v>Odonatavirus fabricii</v>
      </c>
      <c r="S11665" s="18" t="s">
        <v>30</v>
      </c>
      <c r="T11665" s="18" t="s">
        <v>24166</v>
      </c>
      <c r="U11665" s="18" t="s">
        <v>24167</v>
      </c>
      <c r="V11665" s="18" t="s">
        <v>24168</v>
      </c>
      <c r="W11665" s="18" t="s">
        <v>24169</v>
      </c>
      <c r="X11665" s="18" t="s">
        <v>42</v>
      </c>
      <c r="Y11665" s="18" t="s">
        <v>23964</v>
      </c>
      <c r="Z11665" s="18" t="s">
        <v>10790</v>
      </c>
      <c r="AA11665" s="21" t="str">
        <f>HYPERLINK("https://www.ncbi.nlm.nih.gov/nuccore/KX884419","NCBI Nucleotide")</f>
        <v>NCBI Nucleotide</v>
      </c>
    </row>
    <row r="11666" spans="1:27" x14ac:dyDescent="0.35">
      <c r="A11666">
        <v>1010447</v>
      </c>
      <c r="B11666">
        <v>10980</v>
      </c>
      <c r="C11666">
        <v>1</v>
      </c>
      <c r="D11666" s="17" t="s">
        <v>17166</v>
      </c>
      <c r="E11666" s="17"/>
      <c r="F11666" s="17" t="s">
        <v>17246</v>
      </c>
      <c r="G11666" s="17"/>
      <c r="H11666" s="17" t="s">
        <v>23950</v>
      </c>
      <c r="I11666" s="17" t="s">
        <v>23956</v>
      </c>
      <c r="J11666" s="17" t="s">
        <v>24017</v>
      </c>
      <c r="K11666" s="17"/>
      <c r="L11666" s="17" t="s">
        <v>24018</v>
      </c>
      <c r="M11666" s="17"/>
      <c r="N11666" s="17" t="s">
        <v>24067</v>
      </c>
      <c r="O11666" s="17"/>
      <c r="P11666" s="17" t="s">
        <v>24161</v>
      </c>
      <c r="Q11666" s="17"/>
      <c r="R11666" s="25" t="str">
        <f>HYPERLINK("https://ictv.global/taxonomy/taxondetails?taxnode_id=202309731","Odonatavirus odontis")</f>
        <v>Odonatavirus odontis</v>
      </c>
      <c r="S11666" s="18" t="s">
        <v>30</v>
      </c>
      <c r="T11666" s="18" t="s">
        <v>24170</v>
      </c>
      <c r="U11666" s="18" t="s">
        <v>24171</v>
      </c>
      <c r="V11666" s="18" t="s">
        <v>24172</v>
      </c>
      <c r="W11666" s="18" t="s">
        <v>24173</v>
      </c>
      <c r="X11666" s="18" t="s">
        <v>35</v>
      </c>
      <c r="Y11666" s="18" t="s">
        <v>23964</v>
      </c>
      <c r="Z11666" s="18" t="s">
        <v>10790</v>
      </c>
      <c r="AA11666" s="21" t="str">
        <f>HYPERLINK("https://www.ncbi.nlm.nih.gov/nuccore/MW291694","NCBI Nucleotide")</f>
        <v>NCBI Nucleotide</v>
      </c>
    </row>
    <row r="11667" spans="1:27" x14ac:dyDescent="0.35">
      <c r="A11667">
        <v>1010448</v>
      </c>
      <c r="B11667">
        <v>10981</v>
      </c>
      <c r="C11667">
        <v>1</v>
      </c>
      <c r="D11667" s="17" t="s">
        <v>17166</v>
      </c>
      <c r="E11667" s="17"/>
      <c r="F11667" s="17" t="s">
        <v>17246</v>
      </c>
      <c r="G11667" s="17"/>
      <c r="H11667" s="17" t="s">
        <v>23950</v>
      </c>
      <c r="I11667" s="17" t="s">
        <v>23956</v>
      </c>
      <c r="J11667" s="17" t="s">
        <v>24017</v>
      </c>
      <c r="K11667" s="17"/>
      <c r="L11667" s="17" t="s">
        <v>24018</v>
      </c>
      <c r="M11667" s="17"/>
      <c r="N11667" s="17" t="s">
        <v>24067</v>
      </c>
      <c r="O11667" s="17"/>
      <c r="P11667" s="17" t="s">
        <v>24174</v>
      </c>
      <c r="Q11667" s="17"/>
      <c r="R11667" s="25" t="str">
        <f>HYPERLINK("https://ictv.global/taxonomy/taxondetails?taxnode_id=202306042","Pediavirus cirripedis")</f>
        <v>Pediavirus cirripedis</v>
      </c>
      <c r="S11667" s="18" t="s">
        <v>30</v>
      </c>
      <c r="T11667" s="18" t="s">
        <v>24175</v>
      </c>
      <c r="U11667" s="18" t="s">
        <v>24176</v>
      </c>
      <c r="V11667" s="18" t="s">
        <v>24177</v>
      </c>
      <c r="W11667" s="18" t="s">
        <v>24178</v>
      </c>
      <c r="X11667" s="18" t="s">
        <v>42</v>
      </c>
      <c r="Y11667" s="18" t="s">
        <v>23964</v>
      </c>
      <c r="Z11667" s="18" t="s">
        <v>10790</v>
      </c>
      <c r="AA11667" s="21" t="str">
        <f>HYPERLINK("https://www.ncbi.nlm.nih.gov/nuccore/KX884409","NCBI Nucleotide")</f>
        <v>NCBI Nucleotide</v>
      </c>
    </row>
    <row r="11668" spans="1:27" x14ac:dyDescent="0.35">
      <c r="A11668">
        <v>1010449</v>
      </c>
      <c r="B11668">
        <v>10982</v>
      </c>
      <c r="C11668">
        <v>1</v>
      </c>
      <c r="D11668" s="17" t="s">
        <v>17166</v>
      </c>
      <c r="E11668" s="17"/>
      <c r="F11668" s="17" t="s">
        <v>17246</v>
      </c>
      <c r="G11668" s="17"/>
      <c r="H11668" s="17" t="s">
        <v>23950</v>
      </c>
      <c r="I11668" s="17" t="s">
        <v>23956</v>
      </c>
      <c r="J11668" s="17" t="s">
        <v>24017</v>
      </c>
      <c r="K11668" s="17"/>
      <c r="L11668" s="17" t="s">
        <v>24018</v>
      </c>
      <c r="M11668" s="17"/>
      <c r="N11668" s="17" t="s">
        <v>24067</v>
      </c>
      <c r="O11668" s="17"/>
      <c r="P11668" s="17" t="s">
        <v>24179</v>
      </c>
      <c r="Q11668" s="17"/>
      <c r="R11668" s="25" t="str">
        <f>HYPERLINK("https://ictv.global/taxonomy/taxondetails?taxnode_id=202314138","Piscichuvirus craterocephali")</f>
        <v>Piscichuvirus craterocephali</v>
      </c>
      <c r="S11668" s="18" t="s">
        <v>30</v>
      </c>
      <c r="T11668" s="18" t="s">
        <v>24180</v>
      </c>
      <c r="U11668" s="18" t="s">
        <v>24181</v>
      </c>
      <c r="V11668" s="18" t="s">
        <v>24182</v>
      </c>
      <c r="W11668" s="18" t="s">
        <v>46355</v>
      </c>
      <c r="X11668" s="18" t="s">
        <v>35</v>
      </c>
      <c r="Y11668" s="18" t="s">
        <v>23964</v>
      </c>
      <c r="Z11668" s="18" t="s">
        <v>166</v>
      </c>
      <c r="AA11668" s="21" t="str">
        <f>HYPERLINK("https://www.ncbi.nlm.nih.gov/nuccore/MW645030,MW645031,MW645032","NCBI Nucleotide")</f>
        <v>NCBI Nucleotide</v>
      </c>
    </row>
    <row r="11669" spans="1:27" x14ac:dyDescent="0.35">
      <c r="A11669">
        <v>1010450</v>
      </c>
      <c r="B11669">
        <v>10983</v>
      </c>
      <c r="C11669">
        <v>1</v>
      </c>
      <c r="D11669" s="17" t="s">
        <v>17166</v>
      </c>
      <c r="E11669" s="17"/>
      <c r="F11669" s="17" t="s">
        <v>17246</v>
      </c>
      <c r="G11669" s="17"/>
      <c r="H11669" s="17" t="s">
        <v>23950</v>
      </c>
      <c r="I11669" s="17" t="s">
        <v>23956</v>
      </c>
      <c r="J11669" s="17" t="s">
        <v>24017</v>
      </c>
      <c r="K11669" s="17"/>
      <c r="L11669" s="17" t="s">
        <v>24018</v>
      </c>
      <c r="M11669" s="17"/>
      <c r="N11669" s="17" t="s">
        <v>24067</v>
      </c>
      <c r="O11669" s="17"/>
      <c r="P11669" s="17" t="s">
        <v>24179</v>
      </c>
      <c r="Q11669" s="17"/>
      <c r="R11669" s="25" t="str">
        <f>HYPERLINK("https://ictv.global/taxonomy/taxondetails?taxnode_id=202309734","Piscichuvirus franki")</f>
        <v>Piscichuvirus franki</v>
      </c>
      <c r="S11669" s="18" t="s">
        <v>30</v>
      </c>
      <c r="T11669" s="18" t="s">
        <v>24183</v>
      </c>
      <c r="U11669" s="18" t="s">
        <v>24184</v>
      </c>
      <c r="V11669" s="18" t="s">
        <v>24185</v>
      </c>
      <c r="W11669" s="18" t="s">
        <v>24186</v>
      </c>
      <c r="X11669" s="18" t="s">
        <v>42</v>
      </c>
      <c r="Y11669" s="18" t="s">
        <v>23964</v>
      </c>
      <c r="Z11669" s="18" t="s">
        <v>166</v>
      </c>
      <c r="AA11669" s="21" t="str">
        <f>HYPERLINK("https://www.ncbi.nlm.nih.gov/nuccore/MN567051","NCBI Nucleotide")</f>
        <v>NCBI Nucleotide</v>
      </c>
    </row>
    <row r="11670" spans="1:27" x14ac:dyDescent="0.35">
      <c r="A11670">
        <v>1010451</v>
      </c>
      <c r="B11670">
        <v>10984</v>
      </c>
      <c r="C11670">
        <v>1</v>
      </c>
      <c r="D11670" s="17" t="s">
        <v>17166</v>
      </c>
      <c r="E11670" s="17"/>
      <c r="F11670" s="17" t="s">
        <v>17246</v>
      </c>
      <c r="G11670" s="17"/>
      <c r="H11670" s="17" t="s">
        <v>23950</v>
      </c>
      <c r="I11670" s="17" t="s">
        <v>23956</v>
      </c>
      <c r="J11670" s="17" t="s">
        <v>24017</v>
      </c>
      <c r="K11670" s="17"/>
      <c r="L11670" s="17" t="s">
        <v>24018</v>
      </c>
      <c r="M11670" s="17"/>
      <c r="N11670" s="17" t="s">
        <v>24067</v>
      </c>
      <c r="O11670" s="17"/>
      <c r="P11670" s="17" t="s">
        <v>24179</v>
      </c>
      <c r="Q11670" s="17"/>
      <c r="R11670" s="25" t="str">
        <f>HYPERLINK("https://ictv.global/taxonomy/taxondetails?taxnode_id=202309735","Piscichuvirus lycodontis")</f>
        <v>Piscichuvirus lycodontis</v>
      </c>
      <c r="S11670" s="18" t="s">
        <v>30</v>
      </c>
      <c r="T11670" s="18" t="s">
        <v>24187</v>
      </c>
      <c r="U11670" s="18" t="s">
        <v>24188</v>
      </c>
      <c r="V11670" s="18" t="s">
        <v>24189</v>
      </c>
      <c r="W11670" s="18" t="s">
        <v>24190</v>
      </c>
      <c r="X11670" s="18" t="s">
        <v>35</v>
      </c>
      <c r="Y11670" s="18" t="s">
        <v>23964</v>
      </c>
      <c r="Z11670" s="18" t="s">
        <v>10790</v>
      </c>
      <c r="AA11670" s="21" t="str">
        <f>HYPERLINK("https://www.ncbi.nlm.nih.gov/nuccore/MG600009","NCBI Nucleotide")</f>
        <v>NCBI Nucleotide</v>
      </c>
    </row>
    <row r="11671" spans="1:27" x14ac:dyDescent="0.35">
      <c r="A11671">
        <v>1010452</v>
      </c>
      <c r="B11671">
        <v>10985</v>
      </c>
      <c r="C11671">
        <v>1</v>
      </c>
      <c r="D11671" s="17" t="s">
        <v>17166</v>
      </c>
      <c r="E11671" s="17"/>
      <c r="F11671" s="17" t="s">
        <v>17246</v>
      </c>
      <c r="G11671" s="17"/>
      <c r="H11671" s="17" t="s">
        <v>23950</v>
      </c>
      <c r="I11671" s="17" t="s">
        <v>23956</v>
      </c>
      <c r="J11671" s="17" t="s">
        <v>24017</v>
      </c>
      <c r="K11671" s="17"/>
      <c r="L11671" s="17" t="s">
        <v>24018</v>
      </c>
      <c r="M11671" s="17"/>
      <c r="N11671" s="17" t="s">
        <v>24067</v>
      </c>
      <c r="O11671" s="17"/>
      <c r="P11671" s="17" t="s">
        <v>24179</v>
      </c>
      <c r="Q11671" s="17"/>
      <c r="R11671" s="25" t="str">
        <f>HYPERLINK("https://ictv.global/taxonomy/taxondetails?taxnode_id=202306065","Piscichuvirus sanxiaense")</f>
        <v>Piscichuvirus sanxiaense</v>
      </c>
      <c r="S11671" s="18" t="s">
        <v>30</v>
      </c>
      <c r="T11671" s="18" t="s">
        <v>24191</v>
      </c>
      <c r="U11671" s="18" t="s">
        <v>24192</v>
      </c>
      <c r="V11671" s="18" t="s">
        <v>24193</v>
      </c>
      <c r="W11671" s="18" t="s">
        <v>24194</v>
      </c>
      <c r="X11671" s="18" t="s">
        <v>42</v>
      </c>
      <c r="Y11671" s="18" t="s">
        <v>23964</v>
      </c>
      <c r="Z11671" s="18" t="s">
        <v>10790</v>
      </c>
      <c r="AA11671" s="21" t="str">
        <f>HYPERLINK("https://www.ncbi.nlm.nih.gov/nuccore/KX884439","NCBI Nucleotide")</f>
        <v>NCBI Nucleotide</v>
      </c>
    </row>
    <row r="11672" spans="1:27" x14ac:dyDescent="0.35">
      <c r="A11672">
        <v>1010453</v>
      </c>
      <c r="B11672">
        <v>10986</v>
      </c>
      <c r="C11672">
        <v>1</v>
      </c>
      <c r="D11672" s="17" t="s">
        <v>17166</v>
      </c>
      <c r="E11672" s="17"/>
      <c r="F11672" s="17" t="s">
        <v>17246</v>
      </c>
      <c r="G11672" s="17"/>
      <c r="H11672" s="17" t="s">
        <v>23950</v>
      </c>
      <c r="I11672" s="17" t="s">
        <v>23956</v>
      </c>
      <c r="J11672" s="17" t="s">
        <v>24017</v>
      </c>
      <c r="K11672" s="17"/>
      <c r="L11672" s="17" t="s">
        <v>24018</v>
      </c>
      <c r="M11672" s="17"/>
      <c r="N11672" s="17" t="s">
        <v>24067</v>
      </c>
      <c r="O11672" s="17"/>
      <c r="P11672" s="17" t="s">
        <v>24179</v>
      </c>
      <c r="Q11672" s="17"/>
      <c r="R11672" s="25" t="str">
        <f>HYPERLINK("https://ictv.global/taxonomy/taxondetails?taxnode_id=202309736","Piscichuvirus wenlingense")</f>
        <v>Piscichuvirus wenlingense</v>
      </c>
      <c r="S11672" s="18" t="s">
        <v>30</v>
      </c>
      <c r="T11672" s="18" t="s">
        <v>24195</v>
      </c>
      <c r="U11672" s="18" t="s">
        <v>24196</v>
      </c>
      <c r="V11672" s="18" t="s">
        <v>24197</v>
      </c>
      <c r="W11672" s="18" t="s">
        <v>24198</v>
      </c>
      <c r="X11672" s="18" t="s">
        <v>35</v>
      </c>
      <c r="Y11672" s="18" t="s">
        <v>23964</v>
      </c>
      <c r="Z11672" s="18" t="s">
        <v>166</v>
      </c>
      <c r="AA11672" s="21" t="str">
        <f>HYPERLINK("https://www.ncbi.nlm.nih.gov/nuccore/MG600010","NCBI Nucleotide")</f>
        <v>NCBI Nucleotide</v>
      </c>
    </row>
    <row r="11673" spans="1:27" x14ac:dyDescent="0.35">
      <c r="A11673">
        <v>1010454</v>
      </c>
      <c r="B11673">
        <v>10987</v>
      </c>
      <c r="C11673">
        <v>1</v>
      </c>
      <c r="D11673" s="17" t="s">
        <v>17166</v>
      </c>
      <c r="E11673" s="17"/>
      <c r="F11673" s="17" t="s">
        <v>17246</v>
      </c>
      <c r="G11673" s="17"/>
      <c r="H11673" s="17" t="s">
        <v>23950</v>
      </c>
      <c r="I11673" s="17" t="s">
        <v>23956</v>
      </c>
      <c r="J11673" s="17" t="s">
        <v>24017</v>
      </c>
      <c r="K11673" s="17"/>
      <c r="L11673" s="17" t="s">
        <v>24018</v>
      </c>
      <c r="M11673" s="17"/>
      <c r="N11673" s="17" t="s">
        <v>24067</v>
      </c>
      <c r="O11673" s="17"/>
      <c r="P11673" s="17" t="s">
        <v>24199</v>
      </c>
      <c r="Q11673" s="17"/>
      <c r="R11673" s="25" t="str">
        <f>HYPERLINK("https://ictv.global/taxonomy/taxondetails?taxnode_id=202309738","Pterovirus chulinense")</f>
        <v>Pterovirus chulinense</v>
      </c>
      <c r="S11673" s="18" t="s">
        <v>30</v>
      </c>
      <c r="T11673" s="18" t="s">
        <v>24200</v>
      </c>
      <c r="U11673" s="18" t="s">
        <v>24201</v>
      </c>
      <c r="V11673" s="18" t="s">
        <v>24202</v>
      </c>
      <c r="W11673" s="18" t="s">
        <v>50550</v>
      </c>
      <c r="X11673" s="18" t="s">
        <v>35</v>
      </c>
      <c r="Y11673" s="18" t="s">
        <v>23964</v>
      </c>
      <c r="Z11673" s="18" t="s">
        <v>10790</v>
      </c>
      <c r="AA11673" s="21" t="str">
        <f>HYPERLINK("https://www.ncbi.nlm.nih.gov/nuccore/MW039257,MW039258","NCBI Nucleotide")</f>
        <v>NCBI Nucleotide</v>
      </c>
    </row>
    <row r="11674" spans="1:27" x14ac:dyDescent="0.35">
      <c r="A11674">
        <v>1010455</v>
      </c>
      <c r="B11674">
        <v>10988</v>
      </c>
      <c r="C11674">
        <v>1</v>
      </c>
      <c r="D11674" s="17" t="s">
        <v>17166</v>
      </c>
      <c r="E11674" s="17"/>
      <c r="F11674" s="17" t="s">
        <v>17246</v>
      </c>
      <c r="G11674" s="17"/>
      <c r="H11674" s="17" t="s">
        <v>23950</v>
      </c>
      <c r="I11674" s="17" t="s">
        <v>23956</v>
      </c>
      <c r="J11674" s="17" t="s">
        <v>24017</v>
      </c>
      <c r="K11674" s="17"/>
      <c r="L11674" s="17" t="s">
        <v>24018</v>
      </c>
      <c r="M11674" s="17"/>
      <c r="N11674" s="17" t="s">
        <v>24067</v>
      </c>
      <c r="O11674" s="17"/>
      <c r="P11674" s="17" t="s">
        <v>24203</v>
      </c>
      <c r="Q11674" s="17"/>
      <c r="R11674" s="25" t="str">
        <f>HYPERLINK("https://ictv.global/taxonomy/taxondetails?taxnode_id=202314132","Rochuvirus chalcocoris")</f>
        <v>Rochuvirus chalcocoris</v>
      </c>
      <c r="S11674" s="18" t="s">
        <v>30</v>
      </c>
      <c r="T11674" s="18" t="s">
        <v>24204</v>
      </c>
      <c r="U11674" s="18" t="s">
        <v>24205</v>
      </c>
      <c r="V11674" s="18" t="s">
        <v>24206</v>
      </c>
      <c r="W11674" s="18" t="s">
        <v>24207</v>
      </c>
      <c r="X11674" s="18" t="s">
        <v>42</v>
      </c>
      <c r="Y11674" s="18" t="s">
        <v>23964</v>
      </c>
      <c r="Z11674" s="18" t="s">
        <v>10790</v>
      </c>
      <c r="AA11674" s="21" t="str">
        <f>HYPERLINK("https://www.ncbi.nlm.nih.gov/nuccore/BK061671","NCBI Nucleotide")</f>
        <v>NCBI Nucleotide</v>
      </c>
    </row>
    <row r="11675" spans="1:27" x14ac:dyDescent="0.35">
      <c r="A11675">
        <v>1010456</v>
      </c>
      <c r="B11675">
        <v>10989</v>
      </c>
      <c r="C11675">
        <v>1</v>
      </c>
      <c r="D11675" s="17" t="s">
        <v>17166</v>
      </c>
      <c r="E11675" s="17"/>
      <c r="F11675" s="17" t="s">
        <v>17246</v>
      </c>
      <c r="G11675" s="17"/>
      <c r="H11675" s="17" t="s">
        <v>23950</v>
      </c>
      <c r="I11675" s="17" t="s">
        <v>23956</v>
      </c>
      <c r="J11675" s="17" t="s">
        <v>24017</v>
      </c>
      <c r="K11675" s="17"/>
      <c r="L11675" s="17" t="s">
        <v>24018</v>
      </c>
      <c r="M11675" s="17"/>
      <c r="N11675" s="17" t="s">
        <v>24067</v>
      </c>
      <c r="O11675" s="17"/>
      <c r="P11675" s="17" t="s">
        <v>24208</v>
      </c>
      <c r="Q11675" s="17"/>
      <c r="R11675" s="25" t="str">
        <f>HYPERLINK("https://ictv.global/taxonomy/taxondetails?taxnode_id=202306048","Scarabeuvirus blattae")</f>
        <v>Scarabeuvirus blattae</v>
      </c>
      <c r="S11675" s="18" t="s">
        <v>30</v>
      </c>
      <c r="T11675" s="18" t="s">
        <v>24209</v>
      </c>
      <c r="U11675" s="18" t="s">
        <v>24210</v>
      </c>
      <c r="V11675" s="18" t="s">
        <v>24211</v>
      </c>
      <c r="W11675" s="18" t="s">
        <v>50551</v>
      </c>
      <c r="X11675" s="18" t="s">
        <v>42</v>
      </c>
      <c r="Y11675" s="18" t="s">
        <v>23964</v>
      </c>
      <c r="Z11675" s="18" t="s">
        <v>10790</v>
      </c>
      <c r="AA11675" s="21" t="str">
        <f>HYPERLINK("https://www.ncbi.nlm.nih.gov/nuccore/KM817604,KM817605","NCBI Nucleotide")</f>
        <v>NCBI Nucleotide</v>
      </c>
    </row>
    <row r="11676" spans="1:27" x14ac:dyDescent="0.35">
      <c r="A11676">
        <v>1010457</v>
      </c>
      <c r="B11676">
        <v>10990</v>
      </c>
      <c r="C11676">
        <v>1</v>
      </c>
      <c r="D11676" s="17" t="s">
        <v>17166</v>
      </c>
      <c r="E11676" s="17"/>
      <c r="F11676" s="17" t="s">
        <v>17246</v>
      </c>
      <c r="G11676" s="17"/>
      <c r="H11676" s="17" t="s">
        <v>23950</v>
      </c>
      <c r="I11676" s="17" t="s">
        <v>23956</v>
      </c>
      <c r="J11676" s="17" t="s">
        <v>24017</v>
      </c>
      <c r="K11676" s="17"/>
      <c r="L11676" s="17" t="s">
        <v>24018</v>
      </c>
      <c r="M11676" s="17"/>
      <c r="N11676" s="17" t="s">
        <v>24067</v>
      </c>
      <c r="O11676" s="17"/>
      <c r="P11676" s="17" t="s">
        <v>24208</v>
      </c>
      <c r="Q11676" s="17"/>
      <c r="R11676" s="25" t="str">
        <f>HYPERLINK("https://ictv.global/taxonomy/taxondetails?taxnode_id=202306056","Scarabeuvirus dentati")</f>
        <v>Scarabeuvirus dentati</v>
      </c>
      <c r="S11676" s="18" t="s">
        <v>30</v>
      </c>
      <c r="T11676" s="18" t="s">
        <v>24212</v>
      </c>
      <c r="U11676" s="18" t="s">
        <v>24213</v>
      </c>
      <c r="V11676" s="18" t="s">
        <v>24214</v>
      </c>
      <c r="W11676" s="18" t="s">
        <v>24215</v>
      </c>
      <c r="X11676" s="18" t="s">
        <v>42</v>
      </c>
      <c r="Y11676" s="18" t="s">
        <v>23964</v>
      </c>
      <c r="Z11676" s="18" t="s">
        <v>10790</v>
      </c>
      <c r="AA11676" s="21" t="str">
        <f>HYPERLINK("https://www.ncbi.nlm.nih.gov/nuccore/KX884427","NCBI Nucleotide")</f>
        <v>NCBI Nucleotide</v>
      </c>
    </row>
    <row r="11677" spans="1:27" x14ac:dyDescent="0.35">
      <c r="A11677">
        <v>1010458</v>
      </c>
      <c r="B11677">
        <v>10991</v>
      </c>
      <c r="C11677">
        <v>1</v>
      </c>
      <c r="D11677" s="17" t="s">
        <v>17166</v>
      </c>
      <c r="E11677" s="17"/>
      <c r="F11677" s="17" t="s">
        <v>17246</v>
      </c>
      <c r="G11677" s="17"/>
      <c r="H11677" s="17" t="s">
        <v>23950</v>
      </c>
      <c r="I11677" s="17" t="s">
        <v>23956</v>
      </c>
      <c r="J11677" s="17" t="s">
        <v>24017</v>
      </c>
      <c r="K11677" s="17"/>
      <c r="L11677" s="17" t="s">
        <v>24018</v>
      </c>
      <c r="M11677" s="17"/>
      <c r="N11677" s="17" t="s">
        <v>24067</v>
      </c>
      <c r="O11677" s="17"/>
      <c r="P11677" s="17" t="s">
        <v>24208</v>
      </c>
      <c r="Q11677" s="17"/>
      <c r="R11677" s="25" t="str">
        <f>HYPERLINK("https://ictv.global/taxonomy/taxondetails?taxnode_id=202306055","Scarabeuvirus hubeiense")</f>
        <v>Scarabeuvirus hubeiense</v>
      </c>
      <c r="S11677" s="18" t="s">
        <v>30</v>
      </c>
      <c r="T11677" s="18" t="s">
        <v>24216</v>
      </c>
      <c r="U11677" s="18" t="s">
        <v>24217</v>
      </c>
      <c r="V11677" s="18" t="s">
        <v>24218</v>
      </c>
      <c r="W11677" s="18" t="s">
        <v>24219</v>
      </c>
      <c r="X11677" s="18" t="s">
        <v>42</v>
      </c>
      <c r="Y11677" s="18" t="s">
        <v>23964</v>
      </c>
      <c r="Z11677" s="18" t="s">
        <v>10790</v>
      </c>
      <c r="AA11677" s="21" t="str">
        <f>HYPERLINK("https://www.ncbi.nlm.nih.gov/nuccore/KX884424,KX884425","NCBI Nucleotide")</f>
        <v>NCBI Nucleotide</v>
      </c>
    </row>
    <row r="11678" spans="1:27" x14ac:dyDescent="0.35">
      <c r="A11678">
        <v>1010459</v>
      </c>
      <c r="B11678">
        <v>10992</v>
      </c>
      <c r="C11678">
        <v>1</v>
      </c>
      <c r="D11678" s="17" t="s">
        <v>17166</v>
      </c>
      <c r="E11678" s="17"/>
      <c r="F11678" s="17" t="s">
        <v>17246</v>
      </c>
      <c r="G11678" s="17"/>
      <c r="H11678" s="17" t="s">
        <v>23950</v>
      </c>
      <c r="I11678" s="17" t="s">
        <v>23956</v>
      </c>
      <c r="J11678" s="17" t="s">
        <v>24017</v>
      </c>
      <c r="K11678" s="17"/>
      <c r="L11678" s="17" t="s">
        <v>24018</v>
      </c>
      <c r="M11678" s="17"/>
      <c r="N11678" s="17" t="s">
        <v>24067</v>
      </c>
      <c r="O11678" s="17"/>
      <c r="P11678" s="17" t="s">
        <v>24208</v>
      </c>
      <c r="Q11678" s="17"/>
      <c r="R11678" s="25" t="str">
        <f>HYPERLINK("https://ictv.global/taxonomy/taxondetails?taxnode_id=202309740","Scarabeuvirus lampyris")</f>
        <v>Scarabeuvirus lampyris</v>
      </c>
      <c r="S11678" s="18" t="s">
        <v>30</v>
      </c>
      <c r="T11678" s="18" t="s">
        <v>24220</v>
      </c>
      <c r="U11678" s="18" t="s">
        <v>24221</v>
      </c>
      <c r="V11678" s="18" t="s">
        <v>24222</v>
      </c>
      <c r="W11678" s="18" t="s">
        <v>50552</v>
      </c>
      <c r="X11678" s="18" t="s">
        <v>35</v>
      </c>
      <c r="Y11678" s="18" t="s">
        <v>23964</v>
      </c>
      <c r="Z11678" s="18" t="s">
        <v>10790</v>
      </c>
      <c r="AA11678" s="21" t="str">
        <f>HYPERLINK("https://www.ncbi.nlm.nih.gov/nuccore/MH620818,MH620819","NCBI Nucleotide")</f>
        <v>NCBI Nucleotide</v>
      </c>
    </row>
    <row r="11679" spans="1:27" x14ac:dyDescent="0.35">
      <c r="A11679">
        <v>1010460</v>
      </c>
      <c r="B11679">
        <v>10993</v>
      </c>
      <c r="C11679">
        <v>1</v>
      </c>
      <c r="D11679" s="17" t="s">
        <v>17166</v>
      </c>
      <c r="E11679" s="17"/>
      <c r="F11679" s="17" t="s">
        <v>17246</v>
      </c>
      <c r="G11679" s="17"/>
      <c r="H11679" s="17" t="s">
        <v>23950</v>
      </c>
      <c r="I11679" s="17" t="s">
        <v>23956</v>
      </c>
      <c r="J11679" s="17" t="s">
        <v>24017</v>
      </c>
      <c r="K11679" s="17"/>
      <c r="L11679" s="17" t="s">
        <v>24018</v>
      </c>
      <c r="M11679" s="17"/>
      <c r="N11679" s="17" t="s">
        <v>24067</v>
      </c>
      <c r="O11679" s="17"/>
      <c r="P11679" s="17" t="s">
        <v>24208</v>
      </c>
      <c r="Q11679" s="17"/>
      <c r="R11679" s="25" t="str">
        <f>HYPERLINK("https://ictv.global/taxonomy/taxondetails?taxnode_id=202306059","Scarabeuvirus lishiense")</f>
        <v>Scarabeuvirus lishiense</v>
      </c>
      <c r="S11679" s="18" t="s">
        <v>30</v>
      </c>
      <c r="T11679" s="18" t="s">
        <v>24223</v>
      </c>
      <c r="U11679" s="18" t="s">
        <v>24224</v>
      </c>
      <c r="V11679" s="18" t="s">
        <v>24225</v>
      </c>
      <c r="W11679" s="18" t="s">
        <v>50778</v>
      </c>
      <c r="X11679" s="18" t="s">
        <v>42</v>
      </c>
      <c r="Y11679" s="18" t="s">
        <v>23964</v>
      </c>
      <c r="Z11679" s="18" t="s">
        <v>10790</v>
      </c>
      <c r="AA11679" s="21" t="str">
        <f>HYPERLINK("https://www.ncbi.nlm.nih.gov/nuccore/KM817597,KM817596","NCBI Nucleotide")</f>
        <v>NCBI Nucleotide</v>
      </c>
    </row>
    <row r="11680" spans="1:27" x14ac:dyDescent="0.35">
      <c r="A11680">
        <v>1010461</v>
      </c>
      <c r="B11680">
        <v>10994</v>
      </c>
      <c r="C11680">
        <v>1</v>
      </c>
      <c r="D11680" s="17" t="s">
        <v>17166</v>
      </c>
      <c r="E11680" s="17"/>
      <c r="F11680" s="17" t="s">
        <v>17246</v>
      </c>
      <c r="G11680" s="17"/>
      <c r="H11680" s="17" t="s">
        <v>23950</v>
      </c>
      <c r="I11680" s="17" t="s">
        <v>23956</v>
      </c>
      <c r="J11680" s="17" t="s">
        <v>24017</v>
      </c>
      <c r="K11680" s="17"/>
      <c r="L11680" s="17" t="s">
        <v>24018</v>
      </c>
      <c r="M11680" s="17"/>
      <c r="N11680" s="17" t="s">
        <v>24067</v>
      </c>
      <c r="O11680" s="17"/>
      <c r="P11680" s="17" t="s">
        <v>24208</v>
      </c>
      <c r="Q11680" s="17"/>
      <c r="R11680" s="25" t="str">
        <f>HYPERLINK("https://ictv.global/taxonomy/taxondetails?taxnode_id=202314133","Scarabeuvirus supellae")</f>
        <v>Scarabeuvirus supellae</v>
      </c>
      <c r="S11680" s="18" t="s">
        <v>30</v>
      </c>
      <c r="T11680" s="18" t="s">
        <v>24226</v>
      </c>
      <c r="U11680" s="18" t="s">
        <v>24227</v>
      </c>
      <c r="V11680" s="18" t="s">
        <v>24228</v>
      </c>
      <c r="W11680" s="18" t="s">
        <v>24229</v>
      </c>
      <c r="X11680" s="18" t="s">
        <v>154</v>
      </c>
      <c r="Y11680" s="18" t="s">
        <v>23964</v>
      </c>
      <c r="Z11680" s="18" t="s">
        <v>10790</v>
      </c>
      <c r="AA11680" s="21" t="str">
        <f>HYPERLINK("https://www.ncbi.nlm.nih.gov/nuccore/BK061672","NCBI Nucleotide")</f>
        <v>NCBI Nucleotide</v>
      </c>
    </row>
    <row r="11681" spans="1:27" x14ac:dyDescent="0.35">
      <c r="A11681">
        <v>1010462</v>
      </c>
      <c r="B11681">
        <v>10995</v>
      </c>
      <c r="C11681">
        <v>1</v>
      </c>
      <c r="D11681" s="17" t="s">
        <v>17166</v>
      </c>
      <c r="E11681" s="17"/>
      <c r="F11681" s="17" t="s">
        <v>17246</v>
      </c>
      <c r="G11681" s="17"/>
      <c r="H11681" s="17" t="s">
        <v>23950</v>
      </c>
      <c r="I11681" s="17" t="s">
        <v>23956</v>
      </c>
      <c r="J11681" s="17" t="s">
        <v>24017</v>
      </c>
      <c r="K11681" s="17"/>
      <c r="L11681" s="17" t="s">
        <v>24018</v>
      </c>
      <c r="M11681" s="17"/>
      <c r="N11681" s="17" t="s">
        <v>24067</v>
      </c>
      <c r="O11681" s="17"/>
      <c r="P11681" s="17" t="s">
        <v>24208</v>
      </c>
      <c r="Q11681" s="17"/>
      <c r="R11681" s="25" t="str">
        <f>HYPERLINK("https://ictv.global/taxonomy/taxondetails?taxnode_id=202314135","Scarabeuvirus trichopriae")</f>
        <v>Scarabeuvirus trichopriae</v>
      </c>
      <c r="S11681" s="18" t="s">
        <v>30</v>
      </c>
      <c r="T11681" s="18" t="s">
        <v>24230</v>
      </c>
      <c r="U11681" s="18" t="s">
        <v>24231</v>
      </c>
      <c r="V11681" s="18" t="s">
        <v>24232</v>
      </c>
      <c r="W11681" s="18" t="s">
        <v>24233</v>
      </c>
      <c r="X11681" s="18" t="s">
        <v>154</v>
      </c>
      <c r="Y11681" s="18" t="s">
        <v>23964</v>
      </c>
      <c r="Z11681" s="18" t="s">
        <v>10790</v>
      </c>
      <c r="AA11681" s="21" t="str">
        <f>HYPERLINK("https://www.ncbi.nlm.nih.gov/nuccore/BK061670","NCBI Nucleotide")</f>
        <v>NCBI Nucleotide</v>
      </c>
    </row>
    <row r="11682" spans="1:27" x14ac:dyDescent="0.35">
      <c r="A11682">
        <v>1010463</v>
      </c>
      <c r="B11682">
        <v>10996</v>
      </c>
      <c r="C11682">
        <v>1</v>
      </c>
      <c r="D11682" s="17" t="s">
        <v>17166</v>
      </c>
      <c r="E11682" s="17"/>
      <c r="F11682" s="17" t="s">
        <v>17246</v>
      </c>
      <c r="G11682" s="17"/>
      <c r="H11682" s="17" t="s">
        <v>23950</v>
      </c>
      <c r="I11682" s="17" t="s">
        <v>23956</v>
      </c>
      <c r="J11682" s="17" t="s">
        <v>24017</v>
      </c>
      <c r="K11682" s="17"/>
      <c r="L11682" s="17" t="s">
        <v>24018</v>
      </c>
      <c r="M11682" s="17"/>
      <c r="N11682" s="17" t="s">
        <v>24067</v>
      </c>
      <c r="O11682" s="17"/>
      <c r="P11682" s="17" t="s">
        <v>24234</v>
      </c>
      <c r="Q11682" s="17"/>
      <c r="R11682" s="25" t="str">
        <f>HYPERLINK("https://ictv.global/taxonomy/taxondetails?taxnode_id=202306068","Taceavirus wenlingense")</f>
        <v>Taceavirus wenlingense</v>
      </c>
      <c r="S11682" s="18" t="s">
        <v>30</v>
      </c>
      <c r="T11682" s="18" t="s">
        <v>24235</v>
      </c>
      <c r="U11682" s="18" t="s">
        <v>24236</v>
      </c>
      <c r="V11682" s="18" t="s">
        <v>24237</v>
      </c>
      <c r="W11682" s="18" t="s">
        <v>24238</v>
      </c>
      <c r="X11682" s="18" t="s">
        <v>42</v>
      </c>
      <c r="Y11682" s="18" t="s">
        <v>23964</v>
      </c>
      <c r="Z11682" s="18" t="s">
        <v>10790</v>
      </c>
      <c r="AA11682" s="21" t="str">
        <f>HYPERLINK("https://www.ncbi.nlm.nih.gov/nuccore/KX884458","NCBI Nucleotide")</f>
        <v>NCBI Nucleotide</v>
      </c>
    </row>
    <row r="11683" spans="1:27" x14ac:dyDescent="0.35">
      <c r="A11683">
        <v>1010464</v>
      </c>
      <c r="B11683">
        <v>10997</v>
      </c>
      <c r="C11683">
        <v>1</v>
      </c>
      <c r="D11683" s="17" t="s">
        <v>17166</v>
      </c>
      <c r="E11683" s="17"/>
      <c r="F11683" s="17" t="s">
        <v>17246</v>
      </c>
      <c r="G11683" s="17"/>
      <c r="H11683" s="17" t="s">
        <v>23950</v>
      </c>
      <c r="I11683" s="17" t="s">
        <v>23956</v>
      </c>
      <c r="J11683" s="17" t="s">
        <v>24017</v>
      </c>
      <c r="K11683" s="17"/>
      <c r="L11683" s="17" t="s">
        <v>24018</v>
      </c>
      <c r="M11683" s="17"/>
      <c r="N11683" s="17" t="s">
        <v>24067</v>
      </c>
      <c r="O11683" s="17"/>
      <c r="P11683" s="17" t="s">
        <v>24239</v>
      </c>
      <c r="Q11683" s="17"/>
      <c r="R11683" s="25" t="str">
        <f>HYPERLINK("https://ictv.global/taxonomy/taxondetails?taxnode_id=202314134","Vapochuvirus trialeurodis")</f>
        <v>Vapochuvirus trialeurodis</v>
      </c>
      <c r="S11683" s="18" t="s">
        <v>30</v>
      </c>
      <c r="T11683" s="18" t="s">
        <v>24240</v>
      </c>
      <c r="U11683" s="18" t="s">
        <v>24241</v>
      </c>
      <c r="V11683" s="18" t="s">
        <v>24242</v>
      </c>
      <c r="W11683" s="18" t="s">
        <v>24243</v>
      </c>
      <c r="X11683" s="18" t="s">
        <v>42</v>
      </c>
      <c r="Y11683" s="18" t="s">
        <v>23964</v>
      </c>
      <c r="Z11683" s="18" t="s">
        <v>10790</v>
      </c>
      <c r="AA11683" s="21" t="str">
        <f>HYPERLINK("https://www.ncbi.nlm.nih.gov/nuccore/BK061673","NCBI Nucleotide")</f>
        <v>NCBI Nucleotide</v>
      </c>
    </row>
    <row r="11684" spans="1:27" x14ac:dyDescent="0.35">
      <c r="A11684">
        <v>1010465</v>
      </c>
      <c r="B11684">
        <v>10998</v>
      </c>
      <c r="C11684">
        <v>1</v>
      </c>
      <c r="D11684" s="17" t="s">
        <v>17166</v>
      </c>
      <c r="E11684" s="17"/>
      <c r="F11684" s="17" t="s">
        <v>17246</v>
      </c>
      <c r="G11684" s="17"/>
      <c r="H11684" s="17" t="s">
        <v>23950</v>
      </c>
      <c r="I11684" s="17" t="s">
        <v>23956</v>
      </c>
      <c r="J11684" s="17" t="s">
        <v>24017</v>
      </c>
      <c r="K11684" s="17"/>
      <c r="L11684" s="17" t="s">
        <v>24018</v>
      </c>
      <c r="M11684" s="17"/>
      <c r="N11684" s="17" t="s">
        <v>24244</v>
      </c>
      <c r="O11684" s="17"/>
      <c r="P11684" s="17" t="s">
        <v>24245</v>
      </c>
      <c r="Q11684" s="17"/>
      <c r="R11684" s="25" t="str">
        <f>HYPERLINK("https://ictv.global/taxonomy/taxondetails?taxnode_id=202309711","Aqualaruvirus sialis")</f>
        <v>Aqualaruvirus sialis</v>
      </c>
      <c r="S11684" s="18" t="s">
        <v>30</v>
      </c>
      <c r="T11684" s="18" t="s">
        <v>24246</v>
      </c>
      <c r="U11684" s="18" t="s">
        <v>24247</v>
      </c>
      <c r="V11684" s="18" t="s">
        <v>24248</v>
      </c>
      <c r="W11684" s="18" t="s">
        <v>24249</v>
      </c>
      <c r="X11684" s="18" t="s">
        <v>35</v>
      </c>
      <c r="Y11684" s="18" t="s">
        <v>23964</v>
      </c>
      <c r="Z11684" s="18" t="s">
        <v>10790</v>
      </c>
      <c r="AA11684" s="21" t="str">
        <f>HYPERLINK("https://www.ncbi.nlm.nih.gov/nuccore/MW039261","NCBI Nucleotide")</f>
        <v>NCBI Nucleotide</v>
      </c>
    </row>
    <row r="11685" spans="1:27" x14ac:dyDescent="0.35">
      <c r="A11685">
        <v>1010466</v>
      </c>
      <c r="B11685">
        <v>10999</v>
      </c>
      <c r="C11685">
        <v>1</v>
      </c>
      <c r="D11685" s="17" t="s">
        <v>17166</v>
      </c>
      <c r="E11685" s="17"/>
      <c r="F11685" s="17" t="s">
        <v>17246</v>
      </c>
      <c r="G11685" s="17"/>
      <c r="H11685" s="17" t="s">
        <v>23950</v>
      </c>
      <c r="I11685" s="17" t="s">
        <v>23956</v>
      </c>
      <c r="J11685" s="17" t="s">
        <v>24017</v>
      </c>
      <c r="K11685" s="17"/>
      <c r="L11685" s="17" t="s">
        <v>24018</v>
      </c>
      <c r="M11685" s="17"/>
      <c r="N11685" s="17" t="s">
        <v>24250</v>
      </c>
      <c r="O11685" s="17"/>
      <c r="P11685" s="17" t="s">
        <v>24251</v>
      </c>
      <c r="Q11685" s="17"/>
      <c r="R11685" s="25" t="str">
        <f>HYPERLINK("https://ictv.global/taxonomy/taxondetails?taxnode_id=202306063","Myriavirus myriapedis")</f>
        <v>Myriavirus myriapedis</v>
      </c>
      <c r="S11685" s="18" t="s">
        <v>30</v>
      </c>
      <c r="T11685" s="18" t="s">
        <v>24252</v>
      </c>
      <c r="U11685" s="18" t="s">
        <v>24253</v>
      </c>
      <c r="V11685" s="18" t="s">
        <v>24254</v>
      </c>
      <c r="W11685" s="18" t="s">
        <v>24255</v>
      </c>
      <c r="X11685" s="18" t="s">
        <v>42</v>
      </c>
      <c r="Y11685" s="18" t="s">
        <v>23964</v>
      </c>
      <c r="Z11685" s="18" t="s">
        <v>10790</v>
      </c>
      <c r="AA11685" s="21" t="str">
        <f>HYPERLINK("https://www.ncbi.nlm.nih.gov/nuccore/KX884444","NCBI Nucleotide")</f>
        <v>NCBI Nucleotide</v>
      </c>
    </row>
    <row r="11686" spans="1:27" x14ac:dyDescent="0.35">
      <c r="A11686">
        <v>1010467</v>
      </c>
      <c r="B11686">
        <v>11000</v>
      </c>
      <c r="C11686">
        <v>1</v>
      </c>
      <c r="D11686" s="17" t="s">
        <v>17166</v>
      </c>
      <c r="E11686" s="17"/>
      <c r="F11686" s="17" t="s">
        <v>17246</v>
      </c>
      <c r="G11686" s="17"/>
      <c r="H11686" s="17" t="s">
        <v>23950</v>
      </c>
      <c r="I11686" s="17" t="s">
        <v>23956</v>
      </c>
      <c r="J11686" s="17" t="s">
        <v>24017</v>
      </c>
      <c r="K11686" s="17"/>
      <c r="L11686" s="17" t="s">
        <v>24018</v>
      </c>
      <c r="M11686" s="17"/>
      <c r="N11686" s="17" t="s">
        <v>24256</v>
      </c>
      <c r="O11686" s="17"/>
      <c r="P11686" s="17" t="s">
        <v>24257</v>
      </c>
      <c r="Q11686" s="17"/>
      <c r="R11686" s="25" t="str">
        <f>HYPERLINK("https://ictv.global/taxonomy/taxondetails?taxnode_id=202306047","Charybdivirus charybdis")</f>
        <v>Charybdivirus charybdis</v>
      </c>
      <c r="S11686" s="18" t="s">
        <v>30</v>
      </c>
      <c r="T11686" s="18" t="s">
        <v>24258</v>
      </c>
      <c r="U11686" s="18" t="s">
        <v>24259</v>
      </c>
      <c r="V11686" s="18" t="s">
        <v>24260</v>
      </c>
      <c r="W11686" s="18" t="s">
        <v>24261</v>
      </c>
      <c r="X11686" s="18" t="s">
        <v>42</v>
      </c>
      <c r="Y11686" s="18" t="s">
        <v>23964</v>
      </c>
      <c r="Z11686" s="18" t="s">
        <v>10790</v>
      </c>
      <c r="AA11686" s="21" t="str">
        <f>HYPERLINK("https://www.ncbi.nlm.nih.gov/nuccore/KM817603","NCBI Nucleotide")</f>
        <v>NCBI Nucleotide</v>
      </c>
    </row>
    <row r="11687" spans="1:27" x14ac:dyDescent="0.35">
      <c r="A11687">
        <v>1010468</v>
      </c>
      <c r="B11687">
        <v>11001</v>
      </c>
      <c r="C11687">
        <v>1</v>
      </c>
      <c r="D11687" s="17" t="s">
        <v>17166</v>
      </c>
      <c r="E11687" s="17"/>
      <c r="F11687" s="17" t="s">
        <v>17246</v>
      </c>
      <c r="G11687" s="17"/>
      <c r="H11687" s="17" t="s">
        <v>23950</v>
      </c>
      <c r="I11687" s="17" t="s">
        <v>23956</v>
      </c>
      <c r="J11687" s="17" t="s">
        <v>24017</v>
      </c>
      <c r="K11687" s="17"/>
      <c r="L11687" s="17" t="s">
        <v>24262</v>
      </c>
      <c r="M11687" s="17"/>
      <c r="N11687" s="17" t="s">
        <v>24263</v>
      </c>
      <c r="O11687" s="17"/>
      <c r="P11687" s="17" t="s">
        <v>24264</v>
      </c>
      <c r="Q11687" s="17"/>
      <c r="R11687" s="25" t="str">
        <f>HYPERLINK("https://ictv.global/taxonomy/taxondetails?taxnode_id=202306269","Hexartovirus cirripedis")</f>
        <v>Hexartovirus cirripedis</v>
      </c>
      <c r="S11687" s="18" t="s">
        <v>30</v>
      </c>
      <c r="T11687" s="18" t="s">
        <v>24265</v>
      </c>
      <c r="U11687" s="18" t="s">
        <v>24266</v>
      </c>
      <c r="V11687" s="18"/>
      <c r="W11687" s="18" t="s">
        <v>24267</v>
      </c>
      <c r="X11687" s="18" t="s">
        <v>35</v>
      </c>
      <c r="Y11687" s="18" t="s">
        <v>23964</v>
      </c>
      <c r="Z11687" s="18" t="s">
        <v>10790</v>
      </c>
      <c r="AA11687" s="21" t="str">
        <f>HYPERLINK("https://www.ncbi.nlm.nih.gov/nuccore/KX884410","NCBI Nucleotide")</f>
        <v>NCBI Nucleotide</v>
      </c>
    </row>
    <row r="11688" spans="1:27" x14ac:dyDescent="0.35">
      <c r="A11688">
        <v>1010469</v>
      </c>
      <c r="B11688">
        <v>11002</v>
      </c>
      <c r="C11688">
        <v>1</v>
      </c>
      <c r="D11688" s="17" t="s">
        <v>17166</v>
      </c>
      <c r="E11688" s="17"/>
      <c r="F11688" s="17" t="s">
        <v>17246</v>
      </c>
      <c r="G11688" s="17"/>
      <c r="H11688" s="17" t="s">
        <v>23950</v>
      </c>
      <c r="I11688" s="17" t="s">
        <v>23956</v>
      </c>
      <c r="J11688" s="17" t="s">
        <v>24017</v>
      </c>
      <c r="K11688" s="17"/>
      <c r="L11688" s="17" t="s">
        <v>24262</v>
      </c>
      <c r="M11688" s="17"/>
      <c r="N11688" s="17" t="s">
        <v>24263</v>
      </c>
      <c r="O11688" s="17"/>
      <c r="P11688" s="17" t="s">
        <v>24264</v>
      </c>
      <c r="Q11688" s="17"/>
      <c r="R11688" s="25" t="str">
        <f>HYPERLINK("https://ictv.global/taxonomy/taxondetails?taxnode_id=202307514","Hexartovirus lepeophtheiri")</f>
        <v>Hexartovirus lepeophtheiri</v>
      </c>
      <c r="S11688" s="18" t="s">
        <v>30</v>
      </c>
      <c r="T11688" s="18" t="s">
        <v>24268</v>
      </c>
      <c r="U11688" s="18" t="s">
        <v>24269</v>
      </c>
      <c r="V11688" s="18" t="s">
        <v>24270</v>
      </c>
      <c r="W11688" s="18" t="s">
        <v>24271</v>
      </c>
      <c r="X11688" s="18" t="s">
        <v>42</v>
      </c>
      <c r="Y11688" s="18" t="s">
        <v>23964</v>
      </c>
      <c r="Z11688" s="18" t="s">
        <v>10790</v>
      </c>
      <c r="AA11688" s="21" t="str">
        <f>HYPERLINK("https://www.ncbi.nlm.nih.gov/nuccore/MG489864","NCBI Nucleotide")</f>
        <v>NCBI Nucleotide</v>
      </c>
    </row>
    <row r="11689" spans="1:27" x14ac:dyDescent="0.35">
      <c r="A11689">
        <v>1010470</v>
      </c>
      <c r="B11689">
        <v>11003</v>
      </c>
      <c r="C11689">
        <v>1</v>
      </c>
      <c r="D11689" s="17" t="s">
        <v>17166</v>
      </c>
      <c r="E11689" s="17"/>
      <c r="F11689" s="17" t="s">
        <v>17246</v>
      </c>
      <c r="G11689" s="17"/>
      <c r="H11689" s="17" t="s">
        <v>23950</v>
      </c>
      <c r="I11689" s="17" t="s">
        <v>23956</v>
      </c>
      <c r="J11689" s="17" t="s">
        <v>24017</v>
      </c>
      <c r="K11689" s="17"/>
      <c r="L11689" s="17" t="s">
        <v>24262</v>
      </c>
      <c r="M11689" s="17"/>
      <c r="N11689" s="17" t="s">
        <v>24263</v>
      </c>
      <c r="O11689" s="17"/>
      <c r="P11689" s="17" t="s">
        <v>24272</v>
      </c>
      <c r="Q11689" s="17"/>
      <c r="R11689" s="25" t="str">
        <f>HYPERLINK("https://ictv.global/taxonomy/taxondetails?taxnode_id=202306272","Peropuvirus beihaiense")</f>
        <v>Peropuvirus beihaiense</v>
      </c>
      <c r="S11689" s="18" t="s">
        <v>30</v>
      </c>
      <c r="T11689" s="18" t="s">
        <v>24273</v>
      </c>
      <c r="U11689" s="18" t="s">
        <v>24274</v>
      </c>
      <c r="V11689" s="18" t="s">
        <v>24275</v>
      </c>
      <c r="W11689" s="18" t="s">
        <v>24276</v>
      </c>
      <c r="X11689" s="18" t="s">
        <v>35</v>
      </c>
      <c r="Y11689" s="18" t="s">
        <v>23964</v>
      </c>
      <c r="Z11689" s="18" t="s">
        <v>10790</v>
      </c>
      <c r="AA11689" s="21" t="str">
        <f>HYPERLINK("https://www.ncbi.nlm.nih.gov/nuccore/KX884412","NCBI Nucleotide")</f>
        <v>NCBI Nucleotide</v>
      </c>
    </row>
    <row r="11690" spans="1:27" x14ac:dyDescent="0.35">
      <c r="A11690">
        <v>1010471</v>
      </c>
      <c r="B11690">
        <v>11004</v>
      </c>
      <c r="C11690">
        <v>1</v>
      </c>
      <c r="D11690" s="17" t="s">
        <v>17166</v>
      </c>
      <c r="E11690" s="17"/>
      <c r="F11690" s="17" t="s">
        <v>17246</v>
      </c>
      <c r="G11690" s="17"/>
      <c r="H11690" s="17" t="s">
        <v>23950</v>
      </c>
      <c r="I11690" s="17" t="s">
        <v>23956</v>
      </c>
      <c r="J11690" s="17" t="s">
        <v>24017</v>
      </c>
      <c r="K11690" s="17"/>
      <c r="L11690" s="17" t="s">
        <v>24262</v>
      </c>
      <c r="M11690" s="17"/>
      <c r="N11690" s="17" t="s">
        <v>24263</v>
      </c>
      <c r="O11690" s="17"/>
      <c r="P11690" s="17" t="s">
        <v>24272</v>
      </c>
      <c r="Q11690" s="17"/>
      <c r="R11690" s="25" t="str">
        <f>HYPERLINK("https://ictv.global/taxonomy/taxondetails?taxnode_id=202306270","Peropuvirus dentati")</f>
        <v>Peropuvirus dentati</v>
      </c>
      <c r="S11690" s="18" t="s">
        <v>30</v>
      </c>
      <c r="T11690" s="18" t="s">
        <v>24277</v>
      </c>
      <c r="U11690" s="18" t="s">
        <v>24278</v>
      </c>
      <c r="V11690" s="18" t="s">
        <v>24279</v>
      </c>
      <c r="W11690" s="18" t="s">
        <v>24280</v>
      </c>
      <c r="X11690" s="18" t="s">
        <v>2018</v>
      </c>
      <c r="Y11690" s="18" t="s">
        <v>23964</v>
      </c>
      <c r="Z11690" s="18" t="s">
        <v>10790</v>
      </c>
      <c r="AA11690" s="21" t="str">
        <f>HYPERLINK("https://www.ncbi.nlm.nih.gov/nuccore/KX884420","NCBI Nucleotide")</f>
        <v>NCBI Nucleotide</v>
      </c>
    </row>
    <row r="11691" spans="1:27" x14ac:dyDescent="0.35">
      <c r="A11691">
        <v>1010472</v>
      </c>
      <c r="B11691">
        <v>11005</v>
      </c>
      <c r="C11691">
        <v>1</v>
      </c>
      <c r="D11691" s="17" t="s">
        <v>17166</v>
      </c>
      <c r="E11691" s="17"/>
      <c r="F11691" s="17" t="s">
        <v>17246</v>
      </c>
      <c r="G11691" s="17"/>
      <c r="H11691" s="17" t="s">
        <v>23950</v>
      </c>
      <c r="I11691" s="17" t="s">
        <v>23956</v>
      </c>
      <c r="J11691" s="17" t="s">
        <v>24017</v>
      </c>
      <c r="K11691" s="17"/>
      <c r="L11691" s="17" t="s">
        <v>24262</v>
      </c>
      <c r="M11691" s="17"/>
      <c r="N11691" s="17" t="s">
        <v>24263</v>
      </c>
      <c r="O11691" s="17"/>
      <c r="P11691" s="17" t="s">
        <v>24272</v>
      </c>
      <c r="Q11691" s="17"/>
      <c r="R11691" s="25" t="str">
        <f>HYPERLINK("https://ictv.global/taxonomy/taxondetails?taxnode_id=202306271","Peropuvirus hubeiense")</f>
        <v>Peropuvirus hubeiense</v>
      </c>
      <c r="S11691" s="18" t="s">
        <v>30</v>
      </c>
      <c r="T11691" s="18" t="s">
        <v>24281</v>
      </c>
      <c r="U11691" s="18" t="s">
        <v>24282</v>
      </c>
      <c r="V11691" s="18" t="s">
        <v>24283</v>
      </c>
      <c r="W11691" s="18" t="s">
        <v>24284</v>
      </c>
      <c r="X11691" s="18" t="s">
        <v>2018</v>
      </c>
      <c r="Y11691" s="18" t="s">
        <v>23964</v>
      </c>
      <c r="Z11691" s="18" t="s">
        <v>10790</v>
      </c>
      <c r="AA11691" s="21" t="str">
        <f>HYPERLINK("https://www.ncbi.nlm.nih.gov/nuccore/KX884421","NCBI Nucleotide")</f>
        <v>NCBI Nucleotide</v>
      </c>
    </row>
    <row r="11692" spans="1:27" x14ac:dyDescent="0.35">
      <c r="A11692">
        <v>1010473</v>
      </c>
      <c r="B11692">
        <v>11006</v>
      </c>
      <c r="C11692">
        <v>1</v>
      </c>
      <c r="D11692" s="17" t="s">
        <v>17166</v>
      </c>
      <c r="E11692" s="17"/>
      <c r="F11692" s="17" t="s">
        <v>17246</v>
      </c>
      <c r="G11692" s="17"/>
      <c r="H11692" s="17" t="s">
        <v>23950</v>
      </c>
      <c r="I11692" s="17" t="s">
        <v>23956</v>
      </c>
      <c r="J11692" s="17" t="s">
        <v>24017</v>
      </c>
      <c r="K11692" s="17"/>
      <c r="L11692" s="17" t="s">
        <v>24262</v>
      </c>
      <c r="M11692" s="17"/>
      <c r="N11692" s="17" t="s">
        <v>24263</v>
      </c>
      <c r="O11692" s="17"/>
      <c r="P11692" s="17" t="s">
        <v>24272</v>
      </c>
      <c r="Q11692" s="17"/>
      <c r="R11692" s="25" t="str">
        <f>HYPERLINK("https://ictv.global/taxonomy/taxondetails?taxnode_id=202306274","Peropuvirus juli")</f>
        <v>Peropuvirus juli</v>
      </c>
      <c r="S11692" s="18" t="s">
        <v>30</v>
      </c>
      <c r="T11692" s="18" t="s">
        <v>24285</v>
      </c>
      <c r="U11692" s="18" t="s">
        <v>24286</v>
      </c>
      <c r="V11692" s="18" t="s">
        <v>24287</v>
      </c>
      <c r="W11692" s="18" t="s">
        <v>24288</v>
      </c>
      <c r="X11692" s="18" t="s">
        <v>2018</v>
      </c>
      <c r="Y11692" s="18" t="s">
        <v>23964</v>
      </c>
      <c r="Z11692" s="18" t="s">
        <v>10790</v>
      </c>
      <c r="AA11692" s="21" t="str">
        <f>HYPERLINK("https://www.ncbi.nlm.nih.gov/nuccore/KX884446","NCBI Nucleotide")</f>
        <v>NCBI Nucleotide</v>
      </c>
    </row>
    <row r="11693" spans="1:27" x14ac:dyDescent="0.35">
      <c r="A11693">
        <v>1010474</v>
      </c>
      <c r="B11693">
        <v>11007</v>
      </c>
      <c r="C11693">
        <v>1</v>
      </c>
      <c r="D11693" s="17" t="s">
        <v>17166</v>
      </c>
      <c r="E11693" s="17"/>
      <c r="F11693" s="17" t="s">
        <v>17246</v>
      </c>
      <c r="G11693" s="17"/>
      <c r="H11693" s="17" t="s">
        <v>23950</v>
      </c>
      <c r="I11693" s="17" t="s">
        <v>23956</v>
      </c>
      <c r="J11693" s="17" t="s">
        <v>24017</v>
      </c>
      <c r="K11693" s="17"/>
      <c r="L11693" s="17" t="s">
        <v>24262</v>
      </c>
      <c r="M11693" s="17"/>
      <c r="N11693" s="17" t="s">
        <v>24263</v>
      </c>
      <c r="O11693" s="17"/>
      <c r="P11693" s="17" t="s">
        <v>24272</v>
      </c>
      <c r="Q11693" s="17"/>
      <c r="R11693" s="25" t="str">
        <f>HYPERLINK("https://ictv.global/taxonomy/taxondetails?taxnode_id=202306273","Peropuvirus lignarii")</f>
        <v>Peropuvirus lignarii</v>
      </c>
      <c r="S11693" s="18" t="s">
        <v>30</v>
      </c>
      <c r="T11693" s="18" t="s">
        <v>24289</v>
      </c>
      <c r="U11693" s="18" t="s">
        <v>24290</v>
      </c>
      <c r="V11693" s="18" t="s">
        <v>24291</v>
      </c>
      <c r="W11693" s="18" t="s">
        <v>24292</v>
      </c>
      <c r="X11693" s="18" t="s">
        <v>35</v>
      </c>
      <c r="Y11693" s="18" t="s">
        <v>23964</v>
      </c>
      <c r="Z11693" s="18" t="s">
        <v>10790</v>
      </c>
      <c r="AA11693" s="21" t="str">
        <f>HYPERLINK("https://www.ncbi.nlm.nih.gov/nuccore/KX884413","NCBI Nucleotide")</f>
        <v>NCBI Nucleotide</v>
      </c>
    </row>
    <row r="11694" spans="1:27" x14ac:dyDescent="0.35">
      <c r="A11694">
        <v>1010475</v>
      </c>
      <c r="B11694">
        <v>11008</v>
      </c>
      <c r="C11694">
        <v>1</v>
      </c>
      <c r="D11694" s="17" t="s">
        <v>17166</v>
      </c>
      <c r="E11694" s="17"/>
      <c r="F11694" s="17" t="s">
        <v>17246</v>
      </c>
      <c r="G11694" s="17"/>
      <c r="H11694" s="17" t="s">
        <v>23950</v>
      </c>
      <c r="I11694" s="17" t="s">
        <v>23956</v>
      </c>
      <c r="J11694" s="17" t="s">
        <v>24017</v>
      </c>
      <c r="K11694" s="17"/>
      <c r="L11694" s="17" t="s">
        <v>24262</v>
      </c>
      <c r="M11694" s="17"/>
      <c r="N11694" s="17" t="s">
        <v>24263</v>
      </c>
      <c r="O11694" s="17"/>
      <c r="P11694" s="17" t="s">
        <v>24272</v>
      </c>
      <c r="Q11694" s="17"/>
      <c r="R11694" s="25" t="str">
        <f>HYPERLINK("https://ictv.global/taxonomy/taxondetails?taxnode_id=202312237","Peropuvirus melongenae")</f>
        <v>Peropuvirus melongenae</v>
      </c>
      <c r="S11694" s="18" t="s">
        <v>30</v>
      </c>
      <c r="T11694" s="18" t="s">
        <v>24293</v>
      </c>
      <c r="U11694" s="18" t="s">
        <v>24294</v>
      </c>
      <c r="V11694" s="18" t="s">
        <v>24295</v>
      </c>
      <c r="W11694" s="18" t="s">
        <v>24296</v>
      </c>
      <c r="X11694" s="18" t="s">
        <v>42</v>
      </c>
      <c r="Y11694" s="18" t="s">
        <v>23964</v>
      </c>
      <c r="Z11694" s="18" t="s">
        <v>13441</v>
      </c>
      <c r="AA11694" s="21" t="str">
        <f>HYPERLINK("https://www.ncbi.nlm.nih.gov/nuccore/MN831436","NCBI Nucleotide")</f>
        <v>NCBI Nucleotide</v>
      </c>
    </row>
    <row r="11695" spans="1:27" x14ac:dyDescent="0.35">
      <c r="A11695">
        <v>1010476</v>
      </c>
      <c r="B11695">
        <v>11009</v>
      </c>
      <c r="C11695">
        <v>1</v>
      </c>
      <c r="D11695" s="17" t="s">
        <v>17166</v>
      </c>
      <c r="E11695" s="17"/>
      <c r="F11695" s="17" t="s">
        <v>17246</v>
      </c>
      <c r="G11695" s="17"/>
      <c r="H11695" s="17" t="s">
        <v>23950</v>
      </c>
      <c r="I11695" s="17" t="s">
        <v>23956</v>
      </c>
      <c r="J11695" s="17" t="s">
        <v>24017</v>
      </c>
      <c r="K11695" s="17"/>
      <c r="L11695" s="17" t="s">
        <v>24262</v>
      </c>
      <c r="M11695" s="17"/>
      <c r="N11695" s="17" t="s">
        <v>24263</v>
      </c>
      <c r="O11695" s="17"/>
      <c r="P11695" s="17" t="s">
        <v>24272</v>
      </c>
      <c r="Q11695" s="17"/>
      <c r="R11695" s="25" t="str">
        <f>HYPERLINK("https://ictv.global/taxonomy/taxondetails?taxnode_id=202301583","Peropuvirus pteromali")</f>
        <v>Peropuvirus pteromali</v>
      </c>
      <c r="S11695" s="18" t="s">
        <v>30</v>
      </c>
      <c r="T11695" s="18" t="s">
        <v>24297</v>
      </c>
      <c r="U11695" s="18" t="s">
        <v>24298</v>
      </c>
      <c r="V11695" s="18">
        <v>1</v>
      </c>
      <c r="W11695" s="18" t="s">
        <v>24299</v>
      </c>
      <c r="X11695" s="18" t="s">
        <v>42</v>
      </c>
      <c r="Y11695" s="18" t="s">
        <v>23964</v>
      </c>
      <c r="Z11695" s="18" t="s">
        <v>10790</v>
      </c>
      <c r="AA11695" s="21" t="str">
        <f>HYPERLINK("https://www.ncbi.nlm.nih.gov/nuccore/KX431032","NCBI Nucleotide")</f>
        <v>NCBI Nucleotide</v>
      </c>
    </row>
    <row r="11696" spans="1:27" x14ac:dyDescent="0.35">
      <c r="A11696">
        <v>1010477</v>
      </c>
      <c r="B11696">
        <v>11010</v>
      </c>
      <c r="C11696">
        <v>1</v>
      </c>
      <c r="D11696" s="17" t="s">
        <v>17166</v>
      </c>
      <c r="E11696" s="17"/>
      <c r="F11696" s="17" t="s">
        <v>17246</v>
      </c>
      <c r="G11696" s="17"/>
      <c r="H11696" s="17" t="s">
        <v>23950</v>
      </c>
      <c r="I11696" s="17" t="s">
        <v>23956</v>
      </c>
      <c r="J11696" s="17" t="s">
        <v>24017</v>
      </c>
      <c r="K11696" s="17"/>
      <c r="L11696" s="17" t="s">
        <v>24262</v>
      </c>
      <c r="M11696" s="17"/>
      <c r="N11696" s="17" t="s">
        <v>24300</v>
      </c>
      <c r="O11696" s="17"/>
      <c r="P11696" s="17" t="s">
        <v>24301</v>
      </c>
      <c r="Q11696" s="17"/>
      <c r="R11696" s="25" t="str">
        <f>HYPERLINK("https://ictv.global/taxonomy/taxondetails?taxnode_id=202305571","Carbovirus queenslandense")</f>
        <v>Carbovirus queenslandense</v>
      </c>
      <c r="S11696" s="18" t="s">
        <v>30</v>
      </c>
      <c r="T11696" s="18" t="s">
        <v>24302</v>
      </c>
      <c r="U11696" s="18" t="s">
        <v>24303</v>
      </c>
      <c r="V11696" s="18">
        <v>1</v>
      </c>
      <c r="W11696" s="18" t="s">
        <v>24304</v>
      </c>
      <c r="X11696" s="18" t="s">
        <v>35</v>
      </c>
      <c r="Y11696" s="18" t="s">
        <v>23964</v>
      </c>
      <c r="Z11696" s="18" t="s">
        <v>166</v>
      </c>
      <c r="AA11696" s="21" t="str">
        <f>HYPERLINK("https://www.ncbi.nlm.nih.gov/nuccore/MF135780","NCBI Nucleotide")</f>
        <v>NCBI Nucleotide</v>
      </c>
    </row>
    <row r="11697" spans="1:27" x14ac:dyDescent="0.35">
      <c r="A11697">
        <v>1010478</v>
      </c>
      <c r="B11697">
        <v>11011</v>
      </c>
      <c r="C11697">
        <v>1</v>
      </c>
      <c r="D11697" s="17" t="s">
        <v>17166</v>
      </c>
      <c r="E11697" s="17"/>
      <c r="F11697" s="17" t="s">
        <v>17246</v>
      </c>
      <c r="G11697" s="17"/>
      <c r="H11697" s="17" t="s">
        <v>23950</v>
      </c>
      <c r="I11697" s="17" t="s">
        <v>23956</v>
      </c>
      <c r="J11697" s="17" t="s">
        <v>24017</v>
      </c>
      <c r="K11697" s="17"/>
      <c r="L11697" s="17" t="s">
        <v>24262</v>
      </c>
      <c r="M11697" s="17"/>
      <c r="N11697" s="17" t="s">
        <v>24300</v>
      </c>
      <c r="O11697" s="17"/>
      <c r="P11697" s="17" t="s">
        <v>24301</v>
      </c>
      <c r="Q11697" s="17"/>
      <c r="R11697" s="25" t="str">
        <f>HYPERLINK("https://ictv.global/taxonomy/taxondetails?taxnode_id=202305572","Carbovirus tapeti")</f>
        <v>Carbovirus tapeti</v>
      </c>
      <c r="S11697" s="18" t="s">
        <v>30</v>
      </c>
      <c r="T11697" s="18" t="s">
        <v>24305</v>
      </c>
      <c r="U11697" s="18" t="s">
        <v>24306</v>
      </c>
      <c r="V11697" s="18">
        <v>1</v>
      </c>
      <c r="W11697" s="18" t="s">
        <v>24307</v>
      </c>
      <c r="X11697" s="18" t="s">
        <v>35</v>
      </c>
      <c r="Y11697" s="18" t="s">
        <v>23964</v>
      </c>
      <c r="Z11697" s="18" t="s">
        <v>166</v>
      </c>
      <c r="AA11697" s="21" t="str">
        <f>HYPERLINK("https://www.ncbi.nlm.nih.gov/nuccore/MF135781","NCBI Nucleotide")</f>
        <v>NCBI Nucleotide</v>
      </c>
    </row>
    <row r="11698" spans="1:27" x14ac:dyDescent="0.35">
      <c r="A11698">
        <v>1027610</v>
      </c>
      <c r="B11698">
        <v>11012</v>
      </c>
      <c r="C11698">
        <v>1</v>
      </c>
      <c r="D11698" s="17" t="s">
        <v>17166</v>
      </c>
      <c r="E11698" s="17"/>
      <c r="F11698" s="17" t="s">
        <v>17246</v>
      </c>
      <c r="G11698" s="17"/>
      <c r="H11698" s="17" t="s">
        <v>23950</v>
      </c>
      <c r="I11698" s="17" t="s">
        <v>23956</v>
      </c>
      <c r="J11698" s="17" t="s">
        <v>24017</v>
      </c>
      <c r="K11698" s="17"/>
      <c r="L11698" s="17" t="s">
        <v>24262</v>
      </c>
      <c r="M11698" s="17"/>
      <c r="N11698" s="17" t="s">
        <v>24300</v>
      </c>
      <c r="O11698" s="17"/>
      <c r="P11698" s="17" t="s">
        <v>46356</v>
      </c>
      <c r="Q11698" s="17"/>
      <c r="R11698" s="25" t="str">
        <f>HYPERLINK("https://ictv.global/taxonomy/taxondetails?taxnode_id=202317817","Cartilovirus plani")</f>
        <v>Cartilovirus plani</v>
      </c>
      <c r="S11698" s="18" t="s">
        <v>30</v>
      </c>
      <c r="T11698" s="18" t="s">
        <v>46357</v>
      </c>
      <c r="U11698" s="18" t="s">
        <v>46358</v>
      </c>
      <c r="V11698" s="18" t="s">
        <v>46359</v>
      </c>
      <c r="W11698" s="18" t="s">
        <v>46360</v>
      </c>
      <c r="X11698" s="18" t="s">
        <v>42</v>
      </c>
      <c r="Y11698" s="18" t="s">
        <v>23964</v>
      </c>
      <c r="Z11698" s="18" t="s">
        <v>166</v>
      </c>
      <c r="AA11698" s="21" t="str">
        <f>HYPERLINK("https://www.ncbi.nlm.nih.gov/nuccore/BK063518","NCBI Nucleotide")</f>
        <v>NCBI Nucleotide</v>
      </c>
    </row>
    <row r="11699" spans="1:27" x14ac:dyDescent="0.35">
      <c r="A11699">
        <v>1027577</v>
      </c>
      <c r="B11699">
        <v>11013</v>
      </c>
      <c r="C11699">
        <v>1</v>
      </c>
      <c r="D11699" s="17" t="s">
        <v>17166</v>
      </c>
      <c r="E11699" s="17"/>
      <c r="F11699" s="17" t="s">
        <v>17246</v>
      </c>
      <c r="G11699" s="17"/>
      <c r="H11699" s="17" t="s">
        <v>23950</v>
      </c>
      <c r="I11699" s="17" t="s">
        <v>23956</v>
      </c>
      <c r="J11699" s="17" t="s">
        <v>24017</v>
      </c>
      <c r="K11699" s="17"/>
      <c r="L11699" s="17" t="s">
        <v>24262</v>
      </c>
      <c r="M11699" s="17"/>
      <c r="N11699" s="17" t="s">
        <v>24300</v>
      </c>
      <c r="O11699" s="17"/>
      <c r="P11699" s="17" t="s">
        <v>24308</v>
      </c>
      <c r="Q11699" s="17"/>
      <c r="R11699" s="25" t="str">
        <f>HYPERLINK("https://ictv.global/taxonomy/taxondetails?taxnode_id=202317815","Cultervirus electrophori")</f>
        <v>Cultervirus electrophori</v>
      </c>
      <c r="S11699" s="18" t="s">
        <v>30</v>
      </c>
      <c r="T11699" s="18" t="s">
        <v>46361</v>
      </c>
      <c r="U11699" s="18" t="s">
        <v>46362</v>
      </c>
      <c r="V11699" s="18" t="s">
        <v>46363</v>
      </c>
      <c r="W11699" s="18" t="s">
        <v>46364</v>
      </c>
      <c r="X11699" s="18" t="s">
        <v>42</v>
      </c>
      <c r="Y11699" s="18" t="s">
        <v>23964</v>
      </c>
      <c r="Z11699" s="18" t="s">
        <v>166</v>
      </c>
      <c r="AA11699" s="21" t="str">
        <f>HYPERLINK("https://www.ncbi.nlm.nih.gov/nuccore/BK063519","NCBI Nucleotide")</f>
        <v>NCBI Nucleotide</v>
      </c>
    </row>
    <row r="11700" spans="1:27" x14ac:dyDescent="0.35">
      <c r="A11700">
        <v>1010479</v>
      </c>
      <c r="B11700">
        <v>11014</v>
      </c>
      <c r="C11700">
        <v>1</v>
      </c>
      <c r="D11700" s="17" t="s">
        <v>17166</v>
      </c>
      <c r="E11700" s="17"/>
      <c r="F11700" s="17" t="s">
        <v>17246</v>
      </c>
      <c r="G11700" s="17"/>
      <c r="H11700" s="17" t="s">
        <v>23950</v>
      </c>
      <c r="I11700" s="17" t="s">
        <v>23956</v>
      </c>
      <c r="J11700" s="17" t="s">
        <v>24017</v>
      </c>
      <c r="K11700" s="17"/>
      <c r="L11700" s="17" t="s">
        <v>24262</v>
      </c>
      <c r="M11700" s="17"/>
      <c r="N11700" s="17" t="s">
        <v>24300</v>
      </c>
      <c r="O11700" s="17"/>
      <c r="P11700" s="17" t="s">
        <v>24308</v>
      </c>
      <c r="Q11700" s="17"/>
      <c r="R11700" s="25" t="str">
        <f>HYPERLINK("https://ictv.global/taxonomy/taxondetails?taxnode_id=202306589","Cultervirus hemicultri")</f>
        <v>Cultervirus hemicultri</v>
      </c>
      <c r="S11700" s="18" t="s">
        <v>30</v>
      </c>
      <c r="T11700" s="18" t="s">
        <v>24309</v>
      </c>
      <c r="U11700" s="18" t="s">
        <v>24310</v>
      </c>
      <c r="V11700" s="18" t="s">
        <v>24311</v>
      </c>
      <c r="W11700" s="18" t="s">
        <v>24312</v>
      </c>
      <c r="X11700" s="18" t="s">
        <v>35</v>
      </c>
      <c r="Y11700" s="18" t="s">
        <v>23964</v>
      </c>
      <c r="Z11700" s="18" t="s">
        <v>166</v>
      </c>
      <c r="AA11700" s="21" t="str">
        <f>HYPERLINK("https://www.ncbi.nlm.nih.gov/nuccore/MG599939","NCBI Nucleotide")</f>
        <v>NCBI Nucleotide</v>
      </c>
    </row>
    <row r="11701" spans="1:27" x14ac:dyDescent="0.35">
      <c r="A11701">
        <v>1027578</v>
      </c>
      <c r="B11701">
        <v>11015</v>
      </c>
      <c r="C11701">
        <v>1</v>
      </c>
      <c r="D11701" s="17" t="s">
        <v>17166</v>
      </c>
      <c r="E11701" s="17"/>
      <c r="F11701" s="17" t="s">
        <v>17246</v>
      </c>
      <c r="G11701" s="17"/>
      <c r="H11701" s="17" t="s">
        <v>23950</v>
      </c>
      <c r="I11701" s="17" t="s">
        <v>23956</v>
      </c>
      <c r="J11701" s="17" t="s">
        <v>24017</v>
      </c>
      <c r="K11701" s="17"/>
      <c r="L11701" s="17" t="s">
        <v>24262</v>
      </c>
      <c r="M11701" s="17"/>
      <c r="N11701" s="17" t="s">
        <v>24300</v>
      </c>
      <c r="O11701" s="17"/>
      <c r="P11701" s="17" t="s">
        <v>24308</v>
      </c>
      <c r="Q11701" s="17"/>
      <c r="R11701" s="25" t="str">
        <f>HYPERLINK("https://ictv.global/taxonomy/taxondetails?taxnode_id=202317816","Cultervirus inflati")</f>
        <v>Cultervirus inflati</v>
      </c>
      <c r="S11701" s="18" t="s">
        <v>30</v>
      </c>
      <c r="T11701" s="18" t="s">
        <v>46365</v>
      </c>
      <c r="U11701" s="18" t="s">
        <v>46366</v>
      </c>
      <c r="V11701" s="18" t="s">
        <v>46367</v>
      </c>
      <c r="W11701" s="18" t="s">
        <v>46368</v>
      </c>
      <c r="X11701" s="18" t="s">
        <v>42</v>
      </c>
      <c r="Y11701" s="18" t="s">
        <v>23964</v>
      </c>
      <c r="Z11701" s="18" t="s">
        <v>166</v>
      </c>
      <c r="AA11701" s="21" t="str">
        <f>HYPERLINK("https://www.ncbi.nlm.nih.gov/nuccore/BK063517","NCBI Nucleotide")</f>
        <v>NCBI Nucleotide</v>
      </c>
    </row>
    <row r="11702" spans="1:27" x14ac:dyDescent="0.35">
      <c r="A11702">
        <v>1010480</v>
      </c>
      <c r="B11702">
        <v>11016</v>
      </c>
      <c r="C11702">
        <v>1</v>
      </c>
      <c r="D11702" s="17" t="s">
        <v>17166</v>
      </c>
      <c r="E11702" s="17"/>
      <c r="F11702" s="17" t="s">
        <v>17246</v>
      </c>
      <c r="G11702" s="17"/>
      <c r="H11702" s="17" t="s">
        <v>23950</v>
      </c>
      <c r="I11702" s="17" t="s">
        <v>23956</v>
      </c>
      <c r="J11702" s="17" t="s">
        <v>24017</v>
      </c>
      <c r="K11702" s="17"/>
      <c r="L11702" s="17" t="s">
        <v>24262</v>
      </c>
      <c r="M11702" s="17"/>
      <c r="N11702" s="17" t="s">
        <v>24300</v>
      </c>
      <c r="O11702" s="17"/>
      <c r="P11702" s="17" t="s">
        <v>24313</v>
      </c>
      <c r="Q11702" s="17"/>
      <c r="R11702" s="25" t="str">
        <f>HYPERLINK("https://ictv.global/taxonomy/taxondetails?taxnode_id=202301557","Orthobornavirus alphapsittaciforme")</f>
        <v>Orthobornavirus alphapsittaciforme</v>
      </c>
      <c r="S11702" s="18" t="s">
        <v>30</v>
      </c>
      <c r="T11702" s="18" t="s">
        <v>24314</v>
      </c>
      <c r="U11702" s="18" t="s">
        <v>24315</v>
      </c>
      <c r="V11702" s="18">
        <v>6578</v>
      </c>
      <c r="W11702" s="18" t="s">
        <v>24316</v>
      </c>
      <c r="X11702" s="18" t="s">
        <v>42</v>
      </c>
      <c r="Y11702" s="18" t="s">
        <v>23964</v>
      </c>
      <c r="Z11702" s="18" t="s">
        <v>166</v>
      </c>
      <c r="AA11702" s="21" t="str">
        <f>HYPERLINK("https://www.ncbi.nlm.nih.gov/nuccore/JX065209","NCBI Nucleotide")</f>
        <v>NCBI Nucleotide</v>
      </c>
    </row>
    <row r="11703" spans="1:27" x14ac:dyDescent="0.35">
      <c r="A11703">
        <v>1012853</v>
      </c>
      <c r="B11703">
        <v>11016</v>
      </c>
      <c r="C11703">
        <v>2</v>
      </c>
      <c r="D11703" s="17" t="s">
        <v>17166</v>
      </c>
      <c r="E11703" s="17"/>
      <c r="F11703" s="17" t="s">
        <v>17246</v>
      </c>
      <c r="G11703" s="17"/>
      <c r="H11703" s="17" t="s">
        <v>23950</v>
      </c>
      <c r="I11703" s="17" t="s">
        <v>23956</v>
      </c>
      <c r="J11703" s="17" t="s">
        <v>24017</v>
      </c>
      <c r="K11703" s="17"/>
      <c r="L11703" s="17" t="s">
        <v>24262</v>
      </c>
      <c r="M11703" s="17"/>
      <c r="N11703" s="17" t="s">
        <v>24300</v>
      </c>
      <c r="O11703" s="17"/>
      <c r="P11703" s="17" t="s">
        <v>24313</v>
      </c>
      <c r="Q11703" s="17"/>
      <c r="R11703" s="25" t="str">
        <f>HYPERLINK("https://ictv.global/taxonomy/taxondetails?taxnode_id=202301557","Orthobornavirus alphapsittaciforme")</f>
        <v>Orthobornavirus alphapsittaciforme</v>
      </c>
      <c r="S11703" s="18" t="s">
        <v>8141</v>
      </c>
      <c r="T11703" s="18" t="s">
        <v>24317</v>
      </c>
      <c r="U11703" s="18" t="s">
        <v>24318</v>
      </c>
      <c r="V11703" s="18">
        <v>16234</v>
      </c>
      <c r="W11703" s="18" t="s">
        <v>49409</v>
      </c>
      <c r="X11703" s="18" t="s">
        <v>35</v>
      </c>
      <c r="Y11703" s="18" t="s">
        <v>23964</v>
      </c>
      <c r="Z11703" s="18" t="s">
        <v>166</v>
      </c>
      <c r="AA11703" s="21" t="str">
        <f>HYPERLINK("https://www.ncbi.nlm.nih.gov/nuccore/JX065207","NCBI Nucleotide")</f>
        <v>NCBI Nucleotide</v>
      </c>
    </row>
    <row r="11704" spans="1:27" x14ac:dyDescent="0.35">
      <c r="A11704">
        <v>1012854</v>
      </c>
      <c r="B11704">
        <v>11016</v>
      </c>
      <c r="C11704">
        <v>3</v>
      </c>
      <c r="D11704" s="17" t="s">
        <v>17166</v>
      </c>
      <c r="E11704" s="17"/>
      <c r="F11704" s="17" t="s">
        <v>17246</v>
      </c>
      <c r="G11704" s="17"/>
      <c r="H11704" s="17" t="s">
        <v>23950</v>
      </c>
      <c r="I11704" s="17" t="s">
        <v>23956</v>
      </c>
      <c r="J11704" s="17" t="s">
        <v>24017</v>
      </c>
      <c r="K11704" s="17"/>
      <c r="L11704" s="17" t="s">
        <v>24262</v>
      </c>
      <c r="M11704" s="17"/>
      <c r="N11704" s="17" t="s">
        <v>24300</v>
      </c>
      <c r="O11704" s="17"/>
      <c r="P11704" s="17" t="s">
        <v>24313</v>
      </c>
      <c r="Q11704" s="17"/>
      <c r="R11704" s="25" t="str">
        <f>HYPERLINK("https://ictv.global/taxonomy/taxondetails?taxnode_id=202301557","Orthobornavirus alphapsittaciforme")</f>
        <v>Orthobornavirus alphapsittaciforme</v>
      </c>
      <c r="S11704" s="18" t="s">
        <v>8141</v>
      </c>
      <c r="T11704" s="18" t="s">
        <v>24319</v>
      </c>
      <c r="U11704" s="18" t="s">
        <v>24320</v>
      </c>
      <c r="V11704" s="18" t="s">
        <v>24321</v>
      </c>
      <c r="W11704" s="18" t="s">
        <v>49410</v>
      </c>
      <c r="X11704" s="18" t="s">
        <v>42</v>
      </c>
      <c r="Y11704" s="18" t="s">
        <v>23964</v>
      </c>
      <c r="Z11704" s="18" t="s">
        <v>166</v>
      </c>
      <c r="AA11704" s="21" t="str">
        <f>HYPERLINK("https://www.ncbi.nlm.nih.gov/nuccore/EU781967","NCBI Nucleotide")</f>
        <v>NCBI Nucleotide</v>
      </c>
    </row>
    <row r="11705" spans="1:27" x14ac:dyDescent="0.35">
      <c r="A11705">
        <v>1012855</v>
      </c>
      <c r="B11705">
        <v>11016</v>
      </c>
      <c r="C11705">
        <v>4</v>
      </c>
      <c r="D11705" s="17" t="s">
        <v>17166</v>
      </c>
      <c r="E11705" s="17"/>
      <c r="F11705" s="17" t="s">
        <v>17246</v>
      </c>
      <c r="G11705" s="17"/>
      <c r="H11705" s="17" t="s">
        <v>23950</v>
      </c>
      <c r="I11705" s="17" t="s">
        <v>23956</v>
      </c>
      <c r="J11705" s="17" t="s">
        <v>24017</v>
      </c>
      <c r="K11705" s="17"/>
      <c r="L11705" s="17" t="s">
        <v>24262</v>
      </c>
      <c r="M11705" s="17"/>
      <c r="N11705" s="17" t="s">
        <v>24300</v>
      </c>
      <c r="O11705" s="17"/>
      <c r="P11705" s="17" t="s">
        <v>24313</v>
      </c>
      <c r="Q11705" s="17"/>
      <c r="R11705" s="25" t="str">
        <f>HYPERLINK("https://ictv.global/taxonomy/taxondetails?taxnode_id=202301557","Orthobornavirus alphapsittaciforme")</f>
        <v>Orthobornavirus alphapsittaciforme</v>
      </c>
      <c r="S11705" s="18" t="s">
        <v>8141</v>
      </c>
      <c r="T11705" s="18" t="s">
        <v>24322</v>
      </c>
      <c r="U11705" s="18" t="s">
        <v>24323</v>
      </c>
      <c r="V11705" s="18">
        <v>1367</v>
      </c>
      <c r="W11705" s="18" t="s">
        <v>49411</v>
      </c>
      <c r="X11705" s="18" t="s">
        <v>154</v>
      </c>
      <c r="Y11705" s="18" t="s">
        <v>23964</v>
      </c>
      <c r="Z11705" s="18" t="s">
        <v>166</v>
      </c>
      <c r="AA11705" s="21" t="str">
        <f>HYPERLINK("https://www.ncbi.nlm.nih.gov/nuccore/FJ169440","NCBI Nucleotide")</f>
        <v>NCBI Nucleotide</v>
      </c>
    </row>
    <row r="11706" spans="1:27" x14ac:dyDescent="0.35">
      <c r="A11706">
        <v>1012856</v>
      </c>
      <c r="B11706">
        <v>11016</v>
      </c>
      <c r="C11706">
        <v>5</v>
      </c>
      <c r="D11706" s="17" t="s">
        <v>17166</v>
      </c>
      <c r="E11706" s="17"/>
      <c r="F11706" s="17" t="s">
        <v>17246</v>
      </c>
      <c r="G11706" s="17"/>
      <c r="H11706" s="17" t="s">
        <v>23950</v>
      </c>
      <c r="I11706" s="17" t="s">
        <v>23956</v>
      </c>
      <c r="J11706" s="17" t="s">
        <v>24017</v>
      </c>
      <c r="K11706" s="17"/>
      <c r="L11706" s="17" t="s">
        <v>24262</v>
      </c>
      <c r="M11706" s="17"/>
      <c r="N11706" s="17" t="s">
        <v>24300</v>
      </c>
      <c r="O11706" s="17"/>
      <c r="P11706" s="17" t="s">
        <v>24313</v>
      </c>
      <c r="Q11706" s="17"/>
      <c r="R11706" s="25" t="str">
        <f>HYPERLINK("https://ictv.global/taxonomy/taxondetails?taxnode_id=202301557","Orthobornavirus alphapsittaciforme")</f>
        <v>Orthobornavirus alphapsittaciforme</v>
      </c>
      <c r="S11706" s="18" t="s">
        <v>8141</v>
      </c>
      <c r="T11706" s="18" t="s">
        <v>24324</v>
      </c>
      <c r="U11706" s="18" t="s">
        <v>24325</v>
      </c>
      <c r="V11706" s="18" t="s">
        <v>24326</v>
      </c>
      <c r="W11706" s="18" t="s">
        <v>49412</v>
      </c>
      <c r="X11706" s="18" t="s">
        <v>42</v>
      </c>
      <c r="Y11706" s="18" t="s">
        <v>23964</v>
      </c>
      <c r="Z11706" s="18" t="s">
        <v>166</v>
      </c>
      <c r="AA11706" s="21" t="str">
        <f>HYPERLINK("https://www.ncbi.nlm.nih.gov/nuccore/JX065210","NCBI Nucleotide")</f>
        <v>NCBI Nucleotide</v>
      </c>
    </row>
    <row r="11707" spans="1:27" x14ac:dyDescent="0.35">
      <c r="A11707">
        <v>1010481</v>
      </c>
      <c r="B11707">
        <v>11017</v>
      </c>
      <c r="C11707">
        <v>1</v>
      </c>
      <c r="D11707" s="17" t="s">
        <v>17166</v>
      </c>
      <c r="E11707" s="17"/>
      <c r="F11707" s="17" t="s">
        <v>17246</v>
      </c>
      <c r="G11707" s="17"/>
      <c r="H11707" s="17" t="s">
        <v>23950</v>
      </c>
      <c r="I11707" s="17" t="s">
        <v>23956</v>
      </c>
      <c r="J11707" s="17" t="s">
        <v>24017</v>
      </c>
      <c r="K11707" s="17"/>
      <c r="L11707" s="17" t="s">
        <v>24262</v>
      </c>
      <c r="M11707" s="17"/>
      <c r="N11707" s="17" t="s">
        <v>24300</v>
      </c>
      <c r="O11707" s="17"/>
      <c r="P11707" s="17" t="s">
        <v>24313</v>
      </c>
      <c r="Q11707" s="17"/>
      <c r="R11707" s="25" t="str">
        <f>HYPERLINK("https://ictv.global/taxonomy/taxondetails?taxnode_id=202301559","Orthobornavirus avisaquaticae")</f>
        <v>Orthobornavirus avisaquaticae</v>
      </c>
      <c r="S11707" s="18" t="s">
        <v>30</v>
      </c>
      <c r="T11707" s="18" t="s">
        <v>24327</v>
      </c>
      <c r="U11707" s="18" t="s">
        <v>24328</v>
      </c>
      <c r="V11707" s="18" t="s">
        <v>24329</v>
      </c>
      <c r="W11707" s="18" t="s">
        <v>24330</v>
      </c>
      <c r="X11707" s="18" t="s">
        <v>35</v>
      </c>
      <c r="Y11707" s="18" t="s">
        <v>23964</v>
      </c>
      <c r="Z11707" s="18" t="s">
        <v>166</v>
      </c>
      <c r="AA11707" s="21" t="str">
        <f>HYPERLINK("https://www.ncbi.nlm.nih.gov/nuccore/KF578398","NCBI Nucleotide")</f>
        <v>NCBI Nucleotide</v>
      </c>
    </row>
    <row r="11708" spans="1:27" x14ac:dyDescent="0.35">
      <c r="A11708">
        <v>1012857</v>
      </c>
      <c r="B11708">
        <v>11017</v>
      </c>
      <c r="C11708">
        <v>2</v>
      </c>
      <c r="D11708" s="17" t="s">
        <v>17166</v>
      </c>
      <c r="E11708" s="17"/>
      <c r="F11708" s="17" t="s">
        <v>17246</v>
      </c>
      <c r="G11708" s="17"/>
      <c r="H11708" s="17" t="s">
        <v>23950</v>
      </c>
      <c r="I11708" s="17" t="s">
        <v>23956</v>
      </c>
      <c r="J11708" s="17" t="s">
        <v>24017</v>
      </c>
      <c r="K11708" s="17"/>
      <c r="L11708" s="17" t="s">
        <v>24262</v>
      </c>
      <c r="M11708" s="17"/>
      <c r="N11708" s="17" t="s">
        <v>24300</v>
      </c>
      <c r="O11708" s="17"/>
      <c r="P11708" s="17" t="s">
        <v>24313</v>
      </c>
      <c r="Q11708" s="17"/>
      <c r="R11708" s="25" t="str">
        <f>HYPERLINK("https://ictv.global/taxonomy/taxondetails?taxnode_id=202301559","Orthobornavirus avisaquaticae")</f>
        <v>Orthobornavirus avisaquaticae</v>
      </c>
      <c r="S11708" s="18" t="s">
        <v>8141</v>
      </c>
      <c r="T11708" s="18" t="s">
        <v>24331</v>
      </c>
      <c r="U11708" s="18" t="s">
        <v>24332</v>
      </c>
      <c r="V11708" s="18" t="s">
        <v>24333</v>
      </c>
      <c r="W11708" s="18" t="s">
        <v>49413</v>
      </c>
      <c r="X11708" s="18" t="s">
        <v>35</v>
      </c>
      <c r="Y11708" s="18" t="s">
        <v>23964</v>
      </c>
      <c r="Z11708" s="18" t="s">
        <v>166</v>
      </c>
      <c r="AA11708" s="21" t="str">
        <f>HYPERLINK("https://www.ncbi.nlm.nih.gov/nuccore/KJ756399","NCBI Nucleotide")</f>
        <v>NCBI Nucleotide</v>
      </c>
    </row>
    <row r="11709" spans="1:27" x14ac:dyDescent="0.35">
      <c r="A11709">
        <v>1010482</v>
      </c>
      <c r="B11709">
        <v>11018</v>
      </c>
      <c r="C11709">
        <v>1</v>
      </c>
      <c r="D11709" s="17" t="s">
        <v>17166</v>
      </c>
      <c r="E11709" s="17"/>
      <c r="F11709" s="17" t="s">
        <v>17246</v>
      </c>
      <c r="G11709" s="17"/>
      <c r="H11709" s="17" t="s">
        <v>23950</v>
      </c>
      <c r="I11709" s="17" t="s">
        <v>23956</v>
      </c>
      <c r="J11709" s="17" t="s">
        <v>24017</v>
      </c>
      <c r="K11709" s="17"/>
      <c r="L11709" s="17" t="s">
        <v>24262</v>
      </c>
      <c r="M11709" s="17"/>
      <c r="N11709" s="17" t="s">
        <v>24300</v>
      </c>
      <c r="O11709" s="17"/>
      <c r="P11709" s="17" t="s">
        <v>24313</v>
      </c>
      <c r="Q11709" s="17"/>
      <c r="R11709" s="25" t="str">
        <f>HYPERLINK("https://ictv.global/taxonomy/taxondetails?taxnode_id=202301558","Orthobornavirus betapsittaciforme")</f>
        <v>Orthobornavirus betapsittaciforme</v>
      </c>
      <c r="S11709" s="18" t="s">
        <v>30</v>
      </c>
      <c r="T11709" s="18" t="s">
        <v>24334</v>
      </c>
      <c r="U11709" s="18" t="s">
        <v>24335</v>
      </c>
      <c r="V11709" s="18" t="s">
        <v>24336</v>
      </c>
      <c r="W11709" s="18" t="s">
        <v>24337</v>
      </c>
      <c r="X11709" s="18" t="s">
        <v>35</v>
      </c>
      <c r="Y11709" s="18" t="s">
        <v>23964</v>
      </c>
      <c r="Z11709" s="18" t="s">
        <v>166</v>
      </c>
      <c r="AA11709" s="21" t="str">
        <f>HYPERLINK("https://www.ncbi.nlm.nih.gov/nuccore/KR612223","NCBI Nucleotide")</f>
        <v>NCBI Nucleotide</v>
      </c>
    </row>
    <row r="11710" spans="1:27" x14ac:dyDescent="0.35">
      <c r="A11710">
        <v>1010483</v>
      </c>
      <c r="B11710">
        <v>11019</v>
      </c>
      <c r="C11710">
        <v>1</v>
      </c>
      <c r="D11710" s="17" t="s">
        <v>17166</v>
      </c>
      <c r="E11710" s="17"/>
      <c r="F11710" s="17" t="s">
        <v>17246</v>
      </c>
      <c r="G11710" s="17"/>
      <c r="H11710" s="17" t="s">
        <v>23950</v>
      </c>
      <c r="I11710" s="17" t="s">
        <v>23956</v>
      </c>
      <c r="J11710" s="17" t="s">
        <v>24017</v>
      </c>
      <c r="K11710" s="17"/>
      <c r="L11710" s="17" t="s">
        <v>24262</v>
      </c>
      <c r="M11710" s="17"/>
      <c r="N11710" s="17" t="s">
        <v>24300</v>
      </c>
      <c r="O11710" s="17"/>
      <c r="P11710" s="17" t="s">
        <v>24313</v>
      </c>
      <c r="Q11710" s="17"/>
      <c r="R11710" s="25" t="str">
        <f>HYPERLINK("https://ictv.global/taxonomy/taxondetails?taxnode_id=202301553","Orthobornavirus bornaense")</f>
        <v>Orthobornavirus bornaense</v>
      </c>
      <c r="S11710" s="18" t="s">
        <v>30</v>
      </c>
      <c r="T11710" s="18" t="s">
        <v>24338</v>
      </c>
      <c r="U11710" s="18" t="s">
        <v>24339</v>
      </c>
      <c r="V11710" s="18" t="s">
        <v>18166</v>
      </c>
      <c r="W11710" s="18" t="s">
        <v>24340</v>
      </c>
      <c r="X11710" s="18" t="s">
        <v>42</v>
      </c>
      <c r="Y11710" s="18" t="s">
        <v>23964</v>
      </c>
      <c r="Z11710" s="18" t="s">
        <v>166</v>
      </c>
      <c r="AA11710" s="21" t="str">
        <f>HYPERLINK("https://www.ncbi.nlm.nih.gov/nuccore/U04608","NCBI Nucleotide")</f>
        <v>NCBI Nucleotide</v>
      </c>
    </row>
    <row r="11711" spans="1:27" x14ac:dyDescent="0.35">
      <c r="A11711">
        <v>1012858</v>
      </c>
      <c r="B11711">
        <v>11019</v>
      </c>
      <c r="C11711">
        <v>2</v>
      </c>
      <c r="D11711" s="17" t="s">
        <v>17166</v>
      </c>
      <c r="E11711" s="17"/>
      <c r="F11711" s="17" t="s">
        <v>17246</v>
      </c>
      <c r="G11711" s="17"/>
      <c r="H11711" s="17" t="s">
        <v>23950</v>
      </c>
      <c r="I11711" s="17" t="s">
        <v>23956</v>
      </c>
      <c r="J11711" s="17" t="s">
        <v>24017</v>
      </c>
      <c r="K11711" s="17"/>
      <c r="L11711" s="17" t="s">
        <v>24262</v>
      </c>
      <c r="M11711" s="17"/>
      <c r="N11711" s="17" t="s">
        <v>24300</v>
      </c>
      <c r="O11711" s="17"/>
      <c r="P11711" s="17" t="s">
        <v>24313</v>
      </c>
      <c r="Q11711" s="17"/>
      <c r="R11711" s="25" t="str">
        <f>HYPERLINK("https://ictv.global/taxonomy/taxondetails?taxnode_id=202301553","Orthobornavirus bornaense")</f>
        <v>Orthobornavirus bornaense</v>
      </c>
      <c r="S11711" s="18" t="s">
        <v>8141</v>
      </c>
      <c r="T11711" s="18" t="s">
        <v>24341</v>
      </c>
      <c r="U11711" s="18" t="s">
        <v>24342</v>
      </c>
      <c r="V11711" s="18" t="s">
        <v>24343</v>
      </c>
      <c r="W11711" s="18" t="s">
        <v>49414</v>
      </c>
      <c r="X11711" s="18" t="s">
        <v>42</v>
      </c>
      <c r="Y11711" s="18" t="s">
        <v>23964</v>
      </c>
      <c r="Z11711" s="18" t="s">
        <v>166</v>
      </c>
      <c r="AA11711" s="21" t="str">
        <f>HYPERLINK("https://www.ncbi.nlm.nih.gov/nuccore/AJ311524","NCBI Nucleotide")</f>
        <v>NCBI Nucleotide</v>
      </c>
    </row>
    <row r="11712" spans="1:27" x14ac:dyDescent="0.35">
      <c r="A11712">
        <v>1010484</v>
      </c>
      <c r="B11712">
        <v>11020</v>
      </c>
      <c r="C11712">
        <v>1</v>
      </c>
      <c r="D11712" s="17" t="s">
        <v>17166</v>
      </c>
      <c r="E11712" s="17"/>
      <c r="F11712" s="17" t="s">
        <v>17246</v>
      </c>
      <c r="G11712" s="17"/>
      <c r="H11712" s="17" t="s">
        <v>23950</v>
      </c>
      <c r="I11712" s="17" t="s">
        <v>23956</v>
      </c>
      <c r="J11712" s="17" t="s">
        <v>24017</v>
      </c>
      <c r="K11712" s="17"/>
      <c r="L11712" s="17" t="s">
        <v>24262</v>
      </c>
      <c r="M11712" s="17"/>
      <c r="N11712" s="17" t="s">
        <v>24300</v>
      </c>
      <c r="O11712" s="17"/>
      <c r="P11712" s="17" t="s">
        <v>24313</v>
      </c>
      <c r="Q11712" s="17"/>
      <c r="R11712" s="25" t="str">
        <f>HYPERLINK("https://ictv.global/taxonomy/taxondetails?taxnode_id=202312226","Orthobornavirus caenophidiae")</f>
        <v>Orthobornavirus caenophidiae</v>
      </c>
      <c r="S11712" s="18" t="s">
        <v>30</v>
      </c>
      <c r="T11712" s="18" t="s">
        <v>24344</v>
      </c>
      <c r="U11712" s="18" t="s">
        <v>24345</v>
      </c>
      <c r="V11712" s="18" t="s">
        <v>24346</v>
      </c>
      <c r="W11712" s="18" t="s">
        <v>24347</v>
      </c>
      <c r="X11712" s="18" t="s">
        <v>42</v>
      </c>
      <c r="Y11712" s="18" t="s">
        <v>23964</v>
      </c>
      <c r="Z11712" s="18" t="s">
        <v>166</v>
      </c>
      <c r="AA11712" s="21" t="str">
        <f>HYPERLINK("https://www.ncbi.nlm.nih.gov/nuccore/BK014572","NCBI Nucleotide")</f>
        <v>NCBI Nucleotide</v>
      </c>
    </row>
    <row r="11713" spans="1:27" x14ac:dyDescent="0.35">
      <c r="A11713">
        <v>1012859</v>
      </c>
      <c r="B11713">
        <v>11020</v>
      </c>
      <c r="C11713">
        <v>2</v>
      </c>
      <c r="D11713" s="17" t="s">
        <v>17166</v>
      </c>
      <c r="E11713" s="17"/>
      <c r="F11713" s="17" t="s">
        <v>17246</v>
      </c>
      <c r="G11713" s="17"/>
      <c r="H11713" s="17" t="s">
        <v>23950</v>
      </c>
      <c r="I11713" s="17" t="s">
        <v>23956</v>
      </c>
      <c r="J11713" s="17" t="s">
        <v>24017</v>
      </c>
      <c r="K11713" s="17"/>
      <c r="L11713" s="17" t="s">
        <v>24262</v>
      </c>
      <c r="M11713" s="17"/>
      <c r="N11713" s="17" t="s">
        <v>24300</v>
      </c>
      <c r="O11713" s="17"/>
      <c r="P11713" s="17" t="s">
        <v>24313</v>
      </c>
      <c r="Q11713" s="17"/>
      <c r="R11713" s="25" t="str">
        <f>HYPERLINK("https://ictv.global/taxonomy/taxondetails?taxnode_id=202312226","Orthobornavirus caenophidiae")</f>
        <v>Orthobornavirus caenophidiae</v>
      </c>
      <c r="S11713" s="18" t="s">
        <v>8141</v>
      </c>
      <c r="T11713" s="18" t="s">
        <v>35284</v>
      </c>
      <c r="U11713" s="18" t="s">
        <v>35285</v>
      </c>
      <c r="V11713" s="18" t="s">
        <v>24346</v>
      </c>
      <c r="W11713" s="18" t="s">
        <v>49415</v>
      </c>
      <c r="X11713" s="18" t="s">
        <v>42</v>
      </c>
      <c r="Y11713" s="18" t="s">
        <v>23964</v>
      </c>
      <c r="Z11713" s="18" t="s">
        <v>166</v>
      </c>
      <c r="AA11713" s="21" t="str">
        <f>HYPERLINK("https://www.ncbi.nlm.nih.gov/nuccore/BK014571","NCBI Nucleotide")</f>
        <v>NCBI Nucleotide</v>
      </c>
    </row>
    <row r="11714" spans="1:27" x14ac:dyDescent="0.35">
      <c r="A11714">
        <v>1010485</v>
      </c>
      <c r="B11714">
        <v>11021</v>
      </c>
      <c r="C11714">
        <v>1</v>
      </c>
      <c r="D11714" s="17" t="s">
        <v>17166</v>
      </c>
      <c r="E11714" s="17"/>
      <c r="F11714" s="17" t="s">
        <v>17246</v>
      </c>
      <c r="G11714" s="17"/>
      <c r="H11714" s="17" t="s">
        <v>23950</v>
      </c>
      <c r="I11714" s="17" t="s">
        <v>23956</v>
      </c>
      <c r="J11714" s="17" t="s">
        <v>24017</v>
      </c>
      <c r="K11714" s="17"/>
      <c r="L11714" s="17" t="s">
        <v>24262</v>
      </c>
      <c r="M11714" s="17"/>
      <c r="N11714" s="17" t="s">
        <v>24300</v>
      </c>
      <c r="O11714" s="17"/>
      <c r="P11714" s="17" t="s">
        <v>24313</v>
      </c>
      <c r="Q11714" s="17"/>
      <c r="R11714" s="25" t="str">
        <f>HYPERLINK("https://ictv.global/taxonomy/taxondetails?taxnode_id=202301552","Orthobornavirus elapsoideae")</f>
        <v>Orthobornavirus elapsoideae</v>
      </c>
      <c r="S11714" s="18" t="s">
        <v>30</v>
      </c>
      <c r="T11714" s="18" t="s">
        <v>24348</v>
      </c>
      <c r="U11714" s="18" t="s">
        <v>24349</v>
      </c>
      <c r="V11714" s="18">
        <v>251327</v>
      </c>
      <c r="W11714" s="18" t="s">
        <v>24350</v>
      </c>
      <c r="X11714" s="18" t="s">
        <v>42</v>
      </c>
      <c r="Y11714" s="18" t="s">
        <v>23964</v>
      </c>
      <c r="Z11714" s="18" t="s">
        <v>166</v>
      </c>
      <c r="AA11714" s="21" t="str">
        <f>HYPERLINK("https://www.ncbi.nlm.nih.gov/nuccore/KM114265","NCBI Nucleotide")</f>
        <v>NCBI Nucleotide</v>
      </c>
    </row>
    <row r="11715" spans="1:27" x14ac:dyDescent="0.35">
      <c r="A11715">
        <v>1010486</v>
      </c>
      <c r="B11715">
        <v>11022</v>
      </c>
      <c r="C11715">
        <v>1</v>
      </c>
      <c r="D11715" s="17" t="s">
        <v>17166</v>
      </c>
      <c r="E11715" s="17"/>
      <c r="F11715" s="17" t="s">
        <v>17246</v>
      </c>
      <c r="G11715" s="17"/>
      <c r="H11715" s="17" t="s">
        <v>23950</v>
      </c>
      <c r="I11715" s="17" t="s">
        <v>23956</v>
      </c>
      <c r="J11715" s="17" t="s">
        <v>24017</v>
      </c>
      <c r="K11715" s="17"/>
      <c r="L11715" s="17" t="s">
        <v>24262</v>
      </c>
      <c r="M11715" s="17"/>
      <c r="N11715" s="17" t="s">
        <v>24300</v>
      </c>
      <c r="O11715" s="17"/>
      <c r="P11715" s="17" t="s">
        <v>24313</v>
      </c>
      <c r="Q11715" s="17"/>
      <c r="R11715" s="25" t="str">
        <f>HYPERLINK("https://ictv.global/taxonomy/taxondetails?taxnode_id=202301556","Orthobornavirus estrildidae")</f>
        <v>Orthobornavirus estrildidae</v>
      </c>
      <c r="S11715" s="18" t="s">
        <v>30</v>
      </c>
      <c r="T11715" s="18" t="s">
        <v>24351</v>
      </c>
      <c r="U11715" s="18" t="s">
        <v>24352</v>
      </c>
      <c r="V11715" s="18" t="s">
        <v>24353</v>
      </c>
      <c r="W11715" s="18" t="s">
        <v>24354</v>
      </c>
      <c r="X11715" s="18" t="s">
        <v>154</v>
      </c>
      <c r="Y11715" s="18" t="s">
        <v>23964</v>
      </c>
      <c r="Z11715" s="18" t="s">
        <v>166</v>
      </c>
      <c r="AA11715" s="21" t="str">
        <f>HYPERLINK("https://www.ncbi.nlm.nih.gov/nuccore/KF680099","NCBI Nucleotide")</f>
        <v>NCBI Nucleotide</v>
      </c>
    </row>
    <row r="11716" spans="1:27" x14ac:dyDescent="0.35">
      <c r="A11716">
        <v>1010487</v>
      </c>
      <c r="B11716">
        <v>11023</v>
      </c>
      <c r="C11716">
        <v>1</v>
      </c>
      <c r="D11716" s="17" t="s">
        <v>17166</v>
      </c>
      <c r="E11716" s="17"/>
      <c r="F11716" s="17" t="s">
        <v>17246</v>
      </c>
      <c r="G11716" s="17"/>
      <c r="H11716" s="17" t="s">
        <v>23950</v>
      </c>
      <c r="I11716" s="17" t="s">
        <v>23956</v>
      </c>
      <c r="J11716" s="17" t="s">
        <v>24017</v>
      </c>
      <c r="K11716" s="17"/>
      <c r="L11716" s="17" t="s">
        <v>24262</v>
      </c>
      <c r="M11716" s="17"/>
      <c r="N11716" s="17" t="s">
        <v>24300</v>
      </c>
      <c r="O11716" s="17"/>
      <c r="P11716" s="17" t="s">
        <v>24313</v>
      </c>
      <c r="Q11716" s="17"/>
      <c r="R11716" s="25" t="str">
        <f>HYPERLINK("https://ictv.global/taxonomy/taxondetails?taxnode_id=202301554","Orthobornavirus sciuri")</f>
        <v>Orthobornavirus sciuri</v>
      </c>
      <c r="S11716" s="18" t="s">
        <v>30</v>
      </c>
      <c r="T11716" s="18" t="s">
        <v>24355</v>
      </c>
      <c r="U11716" s="18" t="s">
        <v>24356</v>
      </c>
      <c r="V11716" s="18" t="s">
        <v>24357</v>
      </c>
      <c r="W11716" s="18" t="s">
        <v>24358</v>
      </c>
      <c r="X11716" s="18" t="s">
        <v>35</v>
      </c>
      <c r="Y11716" s="18" t="s">
        <v>23964</v>
      </c>
      <c r="Z11716" s="18" t="s">
        <v>166</v>
      </c>
      <c r="AA11716" s="21" t="str">
        <f>HYPERLINK("https://www.ncbi.nlm.nih.gov/nuccore/LN713680","NCBI Nucleotide")</f>
        <v>NCBI Nucleotide</v>
      </c>
    </row>
    <row r="11717" spans="1:27" x14ac:dyDescent="0.35">
      <c r="A11717">
        <v>1010488</v>
      </c>
      <c r="B11717">
        <v>11024</v>
      </c>
      <c r="C11717">
        <v>1</v>
      </c>
      <c r="D11717" s="17" t="s">
        <v>17166</v>
      </c>
      <c r="E11717" s="17"/>
      <c r="F11717" s="17" t="s">
        <v>17246</v>
      </c>
      <c r="G11717" s="17"/>
      <c r="H11717" s="17" t="s">
        <v>23950</v>
      </c>
      <c r="I11717" s="17" t="s">
        <v>23956</v>
      </c>
      <c r="J11717" s="17" t="s">
        <v>24017</v>
      </c>
      <c r="K11717" s="17"/>
      <c r="L11717" s="17" t="s">
        <v>24262</v>
      </c>
      <c r="M11717" s="17"/>
      <c r="N11717" s="17" t="s">
        <v>24300</v>
      </c>
      <c r="O11717" s="17"/>
      <c r="P11717" s="17" t="s">
        <v>24313</v>
      </c>
      <c r="Q11717" s="17"/>
      <c r="R11717" s="25" t="str">
        <f>HYPERLINK("https://ictv.global/taxonomy/taxondetails?taxnode_id=202301555","Orthobornavirus serini")</f>
        <v>Orthobornavirus serini</v>
      </c>
      <c r="S11717" s="18" t="s">
        <v>30</v>
      </c>
      <c r="T11717" s="18" t="s">
        <v>24359</v>
      </c>
      <c r="U11717" s="18" t="s">
        <v>24360</v>
      </c>
      <c r="V11717" s="18">
        <v>7293</v>
      </c>
      <c r="W11717" s="18" t="s">
        <v>24361</v>
      </c>
      <c r="X11717" s="18" t="s">
        <v>35</v>
      </c>
      <c r="Y11717" s="18" t="s">
        <v>23964</v>
      </c>
      <c r="Z11717" s="18" t="s">
        <v>166</v>
      </c>
      <c r="AA11717" s="21" t="str">
        <f>HYPERLINK("https://www.ncbi.nlm.nih.gov/nuccore/KC464471","NCBI Nucleotide")</f>
        <v>NCBI Nucleotide</v>
      </c>
    </row>
    <row r="11718" spans="1:27" x14ac:dyDescent="0.35">
      <c r="A11718">
        <v>1012860</v>
      </c>
      <c r="B11718">
        <v>11024</v>
      </c>
      <c r="C11718">
        <v>2</v>
      </c>
      <c r="D11718" s="17" t="s">
        <v>17166</v>
      </c>
      <c r="E11718" s="17"/>
      <c r="F11718" s="17" t="s">
        <v>17246</v>
      </c>
      <c r="G11718" s="17"/>
      <c r="H11718" s="17" t="s">
        <v>23950</v>
      </c>
      <c r="I11718" s="17" t="s">
        <v>23956</v>
      </c>
      <c r="J11718" s="17" t="s">
        <v>24017</v>
      </c>
      <c r="K11718" s="17"/>
      <c r="L11718" s="17" t="s">
        <v>24262</v>
      </c>
      <c r="M11718" s="17"/>
      <c r="N11718" s="17" t="s">
        <v>24300</v>
      </c>
      <c r="O11718" s="17"/>
      <c r="P11718" s="17" t="s">
        <v>24313</v>
      </c>
      <c r="Q11718" s="17"/>
      <c r="R11718" s="25" t="str">
        <f>HYPERLINK("https://ictv.global/taxonomy/taxondetails?taxnode_id=202301555","Orthobornavirus serini")</f>
        <v>Orthobornavirus serini</v>
      </c>
      <c r="S11718" s="18" t="s">
        <v>8141</v>
      </c>
      <c r="T11718" s="18" t="s">
        <v>24362</v>
      </c>
      <c r="U11718" s="18" t="s">
        <v>24363</v>
      </c>
      <c r="V11718" s="18">
        <v>15864</v>
      </c>
      <c r="W11718" s="18" t="s">
        <v>49416</v>
      </c>
      <c r="X11718" s="18" t="s">
        <v>35</v>
      </c>
      <c r="Y11718" s="18" t="s">
        <v>23964</v>
      </c>
      <c r="Z11718" s="18" t="s">
        <v>166</v>
      </c>
      <c r="AA11718" s="21" t="str">
        <f>HYPERLINK("https://www.ncbi.nlm.nih.gov/nuccore/KC464478","NCBI Nucleotide")</f>
        <v>NCBI Nucleotide</v>
      </c>
    </row>
    <row r="11719" spans="1:27" x14ac:dyDescent="0.35">
      <c r="A11719">
        <v>1012861</v>
      </c>
      <c r="B11719">
        <v>11024</v>
      </c>
      <c r="C11719">
        <v>3</v>
      </c>
      <c r="D11719" s="17" t="s">
        <v>17166</v>
      </c>
      <c r="E11719" s="17"/>
      <c r="F11719" s="17" t="s">
        <v>17246</v>
      </c>
      <c r="G11719" s="17"/>
      <c r="H11719" s="17" t="s">
        <v>23950</v>
      </c>
      <c r="I11719" s="17" t="s">
        <v>23956</v>
      </c>
      <c r="J11719" s="17" t="s">
        <v>24017</v>
      </c>
      <c r="K11719" s="17"/>
      <c r="L11719" s="17" t="s">
        <v>24262</v>
      </c>
      <c r="M11719" s="17"/>
      <c r="N11719" s="17" t="s">
        <v>24300</v>
      </c>
      <c r="O11719" s="17"/>
      <c r="P11719" s="17" t="s">
        <v>24313</v>
      </c>
      <c r="Q11719" s="17"/>
      <c r="R11719" s="25" t="str">
        <f>HYPERLINK("https://ictv.global/taxonomy/taxondetails?taxnode_id=202301555","Orthobornavirus serini")</f>
        <v>Orthobornavirus serini</v>
      </c>
      <c r="S11719" s="18" t="s">
        <v>8141</v>
      </c>
      <c r="T11719" s="18" t="s">
        <v>24364</v>
      </c>
      <c r="U11719" s="18" t="s">
        <v>24365</v>
      </c>
      <c r="V11719" s="18" t="s">
        <v>24366</v>
      </c>
      <c r="W11719" s="18" t="s">
        <v>49417</v>
      </c>
      <c r="X11719" s="18" t="s">
        <v>35</v>
      </c>
      <c r="Y11719" s="18" t="s">
        <v>23964</v>
      </c>
      <c r="Z11719" s="18" t="s">
        <v>166</v>
      </c>
      <c r="AA11719" s="21" t="str">
        <f>HYPERLINK("https://www.ncbi.nlm.nih.gov/nuccore/KC595273","NCBI Nucleotide")</f>
        <v>NCBI Nucleotide</v>
      </c>
    </row>
    <row r="11720" spans="1:27" x14ac:dyDescent="0.35">
      <c r="A11720">
        <v>1010489</v>
      </c>
      <c r="B11720">
        <v>11025</v>
      </c>
      <c r="C11720">
        <v>1</v>
      </c>
      <c r="D11720" s="17" t="s">
        <v>17166</v>
      </c>
      <c r="E11720" s="17"/>
      <c r="F11720" s="17" t="s">
        <v>17246</v>
      </c>
      <c r="G11720" s="17"/>
      <c r="H11720" s="17" t="s">
        <v>23950</v>
      </c>
      <c r="I11720" s="17" t="s">
        <v>23956</v>
      </c>
      <c r="J11720" s="17" t="s">
        <v>24017</v>
      </c>
      <c r="K11720" s="17"/>
      <c r="L11720" s="17" t="s">
        <v>24262</v>
      </c>
      <c r="M11720" s="17"/>
      <c r="N11720" s="17" t="s">
        <v>24367</v>
      </c>
      <c r="O11720" s="17"/>
      <c r="P11720" s="17" t="s">
        <v>24368</v>
      </c>
      <c r="Q11720" s="17"/>
      <c r="R11720" s="25" t="str">
        <f>HYPERLINK("https://ictv.global/taxonomy/taxondetails?taxnode_id=202301563","Cuevavirus lloviuense")</f>
        <v>Cuevavirus lloviuense</v>
      </c>
      <c r="S11720" s="18" t="s">
        <v>30</v>
      </c>
      <c r="T11720" s="18" t="s">
        <v>24369</v>
      </c>
      <c r="U11720" s="18" t="s">
        <v>24370</v>
      </c>
      <c r="V11720" s="18" t="s">
        <v>46369</v>
      </c>
      <c r="W11720" s="18" t="s">
        <v>46370</v>
      </c>
      <c r="X11720" s="18" t="s">
        <v>35</v>
      </c>
      <c r="Y11720" s="18" t="s">
        <v>23964</v>
      </c>
      <c r="Z11720" s="18" t="s">
        <v>166</v>
      </c>
      <c r="AA11720" s="21" t="str">
        <f>HYPERLINK("https://www.ncbi.nlm.nih.gov/nuccore/MW775011","NCBI Nucleotide")</f>
        <v>NCBI Nucleotide</v>
      </c>
    </row>
    <row r="11721" spans="1:27" x14ac:dyDescent="0.35">
      <c r="A11721">
        <v>1010490</v>
      </c>
      <c r="B11721">
        <v>11026</v>
      </c>
      <c r="C11721">
        <v>1</v>
      </c>
      <c r="D11721" s="17" t="s">
        <v>17166</v>
      </c>
      <c r="E11721" s="17"/>
      <c r="F11721" s="17" t="s">
        <v>17246</v>
      </c>
      <c r="G11721" s="17"/>
      <c r="H11721" s="17" t="s">
        <v>23950</v>
      </c>
      <c r="I11721" s="17" t="s">
        <v>23956</v>
      </c>
      <c r="J11721" s="17" t="s">
        <v>24017</v>
      </c>
      <c r="K11721" s="17"/>
      <c r="L11721" s="17" t="s">
        <v>24262</v>
      </c>
      <c r="M11721" s="17"/>
      <c r="N11721" s="17" t="s">
        <v>24367</v>
      </c>
      <c r="O11721" s="17"/>
      <c r="P11721" s="17" t="s">
        <v>24371</v>
      </c>
      <c r="Q11721" s="17"/>
      <c r="R11721" s="25" t="str">
        <f>HYPERLINK("https://ictv.global/taxonomy/taxondetails?taxnode_id=202307367","Dianlovirus menglaense")</f>
        <v>Dianlovirus menglaense</v>
      </c>
      <c r="S11721" s="18" t="s">
        <v>30</v>
      </c>
      <c r="T11721" s="18" t="s">
        <v>24372</v>
      </c>
      <c r="U11721" s="18" t="s">
        <v>24373</v>
      </c>
      <c r="V11721" s="18" t="s">
        <v>24374</v>
      </c>
      <c r="W11721" s="18" t="s">
        <v>24375</v>
      </c>
      <c r="X11721" s="18" t="s">
        <v>35</v>
      </c>
      <c r="Y11721" s="18" t="s">
        <v>23964</v>
      </c>
      <c r="Z11721" s="18" t="s">
        <v>166</v>
      </c>
      <c r="AA11721" s="21" t="str">
        <f>HYPERLINK("https://www.ncbi.nlm.nih.gov/nuccore/KX371887","NCBI Nucleotide")</f>
        <v>NCBI Nucleotide</v>
      </c>
    </row>
    <row r="11722" spans="1:27" x14ac:dyDescent="0.35">
      <c r="A11722">
        <v>1027775</v>
      </c>
      <c r="B11722">
        <v>11027</v>
      </c>
      <c r="C11722">
        <v>1</v>
      </c>
      <c r="D11722" s="17" t="s">
        <v>17166</v>
      </c>
      <c r="E11722" s="17"/>
      <c r="F11722" s="17" t="s">
        <v>17246</v>
      </c>
      <c r="G11722" s="17"/>
      <c r="H11722" s="17" t="s">
        <v>23950</v>
      </c>
      <c r="I11722" s="17" t="s">
        <v>23956</v>
      </c>
      <c r="J11722" s="17" t="s">
        <v>24017</v>
      </c>
      <c r="K11722" s="17"/>
      <c r="L11722" s="17" t="s">
        <v>24262</v>
      </c>
      <c r="M11722" s="17"/>
      <c r="N11722" s="17" t="s">
        <v>24367</v>
      </c>
      <c r="O11722" s="17"/>
      <c r="P11722" s="17" t="s">
        <v>46371</v>
      </c>
      <c r="Q11722" s="17"/>
      <c r="R11722" s="25" t="str">
        <f>HYPERLINK("https://ictv.global/taxonomy/taxondetails?taxnode_id=202318978","Loebevirus percae")</f>
        <v>Loebevirus percae</v>
      </c>
      <c r="S11722" s="18" t="s">
        <v>30</v>
      </c>
      <c r="T11722" s="18" t="s">
        <v>46372</v>
      </c>
      <c r="U11722" s="18" t="s">
        <v>46373</v>
      </c>
      <c r="V11722" s="18" t="s">
        <v>24379</v>
      </c>
      <c r="W11722" s="18" t="s">
        <v>46374</v>
      </c>
      <c r="X11722" s="18" t="s">
        <v>154</v>
      </c>
      <c r="Y11722" s="18" t="s">
        <v>23964</v>
      </c>
      <c r="Z11722" s="18" t="s">
        <v>166</v>
      </c>
      <c r="AA11722" s="21" t="str">
        <f>HYPERLINK("https://www.ncbi.nlm.nih.gov/nuccore/OQ186623","NCBI Nucleotide")</f>
        <v>NCBI Nucleotide</v>
      </c>
    </row>
    <row r="11723" spans="1:27" x14ac:dyDescent="0.35">
      <c r="A11723">
        <v>1010491</v>
      </c>
      <c r="B11723">
        <v>11028</v>
      </c>
      <c r="C11723">
        <v>1</v>
      </c>
      <c r="D11723" s="17" t="s">
        <v>17166</v>
      </c>
      <c r="E11723" s="17"/>
      <c r="F11723" s="17" t="s">
        <v>17246</v>
      </c>
      <c r="G11723" s="17"/>
      <c r="H11723" s="17" t="s">
        <v>23950</v>
      </c>
      <c r="I11723" s="17" t="s">
        <v>23956</v>
      </c>
      <c r="J11723" s="17" t="s">
        <v>24017</v>
      </c>
      <c r="K11723" s="17"/>
      <c r="L11723" s="17" t="s">
        <v>24262</v>
      </c>
      <c r="M11723" s="17"/>
      <c r="N11723" s="17" t="s">
        <v>24367</v>
      </c>
      <c r="O11723" s="17"/>
      <c r="P11723" s="17" t="s">
        <v>24376</v>
      </c>
      <c r="Q11723" s="17"/>
      <c r="R11723" s="25" t="str">
        <f>HYPERLINK("https://ictv.global/taxonomy/taxondetails?taxnode_id=202313343","Oblavirus percae")</f>
        <v>Oblavirus percae</v>
      </c>
      <c r="S11723" s="18" t="s">
        <v>30</v>
      </c>
      <c r="T11723" s="18" t="s">
        <v>24377</v>
      </c>
      <c r="U11723" s="18" t="s">
        <v>24378</v>
      </c>
      <c r="V11723" s="18" t="s">
        <v>24379</v>
      </c>
      <c r="W11723" s="18" t="s">
        <v>24380</v>
      </c>
      <c r="X11723" s="18" t="s">
        <v>154</v>
      </c>
      <c r="Y11723" s="18" t="s">
        <v>23964</v>
      </c>
      <c r="Z11723" s="18" t="s">
        <v>166</v>
      </c>
      <c r="AA11723" s="21" t="str">
        <f>HYPERLINK("https://www.ncbi.nlm.nih.gov/nuccore/MN510773","NCBI Nucleotide")</f>
        <v>NCBI Nucleotide</v>
      </c>
    </row>
    <row r="11724" spans="1:27" x14ac:dyDescent="0.35">
      <c r="A11724">
        <v>1010492</v>
      </c>
      <c r="B11724">
        <v>11029</v>
      </c>
      <c r="C11724">
        <v>1</v>
      </c>
      <c r="D11724" s="17" t="s">
        <v>17166</v>
      </c>
      <c r="E11724" s="17"/>
      <c r="F11724" s="17" t="s">
        <v>17246</v>
      </c>
      <c r="G11724" s="17"/>
      <c r="H11724" s="17" t="s">
        <v>23950</v>
      </c>
      <c r="I11724" s="17" t="s">
        <v>23956</v>
      </c>
      <c r="J11724" s="17" t="s">
        <v>24017</v>
      </c>
      <c r="K11724" s="17"/>
      <c r="L11724" s="17" t="s">
        <v>24262</v>
      </c>
      <c r="M11724" s="17"/>
      <c r="N11724" s="17" t="s">
        <v>24367</v>
      </c>
      <c r="O11724" s="17"/>
      <c r="P11724" s="17" t="s">
        <v>24381</v>
      </c>
      <c r="Q11724" s="17"/>
      <c r="R11724" s="25" t="str">
        <f>HYPERLINK("https://ictv.global/taxonomy/taxondetails?taxnode_id=202307261","Orthoebolavirus bombaliense")</f>
        <v>Orthoebolavirus bombaliense</v>
      </c>
      <c r="S11724" s="18" t="s">
        <v>30</v>
      </c>
      <c r="T11724" s="18" t="s">
        <v>24382</v>
      </c>
      <c r="U11724" s="18" t="s">
        <v>24383</v>
      </c>
      <c r="V11724" s="18" t="s">
        <v>24384</v>
      </c>
      <c r="W11724" s="18" t="s">
        <v>24385</v>
      </c>
      <c r="X11724" s="18" t="s">
        <v>42</v>
      </c>
      <c r="Y11724" s="18" t="s">
        <v>23964</v>
      </c>
      <c r="Z11724" s="18" t="s">
        <v>166</v>
      </c>
      <c r="AA11724" s="21" t="str">
        <f>HYPERLINK("https://www.ncbi.nlm.nih.gov/nuccore/MF319185","NCBI Nucleotide")</f>
        <v>NCBI Nucleotide</v>
      </c>
    </row>
    <row r="11725" spans="1:27" x14ac:dyDescent="0.35">
      <c r="A11725">
        <v>1010493</v>
      </c>
      <c r="B11725">
        <v>11030</v>
      </c>
      <c r="C11725">
        <v>1</v>
      </c>
      <c r="D11725" s="17" t="s">
        <v>17166</v>
      </c>
      <c r="E11725" s="17"/>
      <c r="F11725" s="17" t="s">
        <v>17246</v>
      </c>
      <c r="G11725" s="17"/>
      <c r="H11725" s="17" t="s">
        <v>23950</v>
      </c>
      <c r="I11725" s="17" t="s">
        <v>23956</v>
      </c>
      <c r="J11725" s="17" t="s">
        <v>24017</v>
      </c>
      <c r="K11725" s="17"/>
      <c r="L11725" s="17" t="s">
        <v>24262</v>
      </c>
      <c r="M11725" s="17"/>
      <c r="N11725" s="17" t="s">
        <v>24367</v>
      </c>
      <c r="O11725" s="17"/>
      <c r="P11725" s="17" t="s">
        <v>24381</v>
      </c>
      <c r="Q11725" s="17"/>
      <c r="R11725" s="25" t="str">
        <f>HYPERLINK("https://ictv.global/taxonomy/taxondetails?taxnode_id=202301565","Orthoebolavirus bundibugyoense")</f>
        <v>Orthoebolavirus bundibugyoense</v>
      </c>
      <c r="S11725" s="18" t="s">
        <v>30</v>
      </c>
      <c r="T11725" s="18" t="s">
        <v>24386</v>
      </c>
      <c r="U11725" s="18" t="s">
        <v>24387</v>
      </c>
      <c r="V11725" s="18" t="s">
        <v>24388</v>
      </c>
      <c r="W11725" s="18" t="s">
        <v>24389</v>
      </c>
      <c r="X11725" s="18" t="s">
        <v>42</v>
      </c>
      <c r="Y11725" s="18" t="s">
        <v>23964</v>
      </c>
      <c r="Z11725" s="18" t="s">
        <v>166</v>
      </c>
      <c r="AA11725" s="21" t="str">
        <f>HYPERLINK("https://www.ncbi.nlm.nih.gov/nuccore/FJ217161","NCBI Nucleotide")</f>
        <v>NCBI Nucleotide</v>
      </c>
    </row>
    <row r="11726" spans="1:27" x14ac:dyDescent="0.35">
      <c r="A11726">
        <v>1010494</v>
      </c>
      <c r="B11726">
        <v>11031</v>
      </c>
      <c r="C11726">
        <v>1</v>
      </c>
      <c r="D11726" s="17" t="s">
        <v>17166</v>
      </c>
      <c r="E11726" s="17"/>
      <c r="F11726" s="17" t="s">
        <v>17246</v>
      </c>
      <c r="G11726" s="17"/>
      <c r="H11726" s="17" t="s">
        <v>23950</v>
      </c>
      <c r="I11726" s="17" t="s">
        <v>23956</v>
      </c>
      <c r="J11726" s="17" t="s">
        <v>24017</v>
      </c>
      <c r="K11726" s="17"/>
      <c r="L11726" s="17" t="s">
        <v>24262</v>
      </c>
      <c r="M11726" s="17"/>
      <c r="N11726" s="17" t="s">
        <v>24367</v>
      </c>
      <c r="O11726" s="17"/>
      <c r="P11726" s="17" t="s">
        <v>24381</v>
      </c>
      <c r="Q11726" s="17"/>
      <c r="R11726" s="25" t="str">
        <f>HYPERLINK("https://ictv.global/taxonomy/taxondetails?taxnode_id=202301566","Orthoebolavirus restonense")</f>
        <v>Orthoebolavirus restonense</v>
      </c>
      <c r="S11726" s="18" t="s">
        <v>30</v>
      </c>
      <c r="T11726" s="18" t="s">
        <v>24390</v>
      </c>
      <c r="U11726" s="18" t="s">
        <v>24391</v>
      </c>
      <c r="V11726" s="18" t="s">
        <v>24392</v>
      </c>
      <c r="W11726" s="18" t="s">
        <v>24393</v>
      </c>
      <c r="X11726" s="18" t="s">
        <v>42</v>
      </c>
      <c r="Y11726" s="18" t="s">
        <v>23964</v>
      </c>
      <c r="Z11726" s="18" t="s">
        <v>166</v>
      </c>
      <c r="AA11726" s="21" t="str">
        <f>HYPERLINK("https://www.ncbi.nlm.nih.gov/nuccore/AF522874","NCBI Nucleotide")</f>
        <v>NCBI Nucleotide</v>
      </c>
    </row>
    <row r="11727" spans="1:27" x14ac:dyDescent="0.35">
      <c r="A11727">
        <v>1010495</v>
      </c>
      <c r="B11727">
        <v>11032</v>
      </c>
      <c r="C11727">
        <v>1</v>
      </c>
      <c r="D11727" s="17" t="s">
        <v>17166</v>
      </c>
      <c r="E11727" s="17"/>
      <c r="F11727" s="17" t="s">
        <v>17246</v>
      </c>
      <c r="G11727" s="17"/>
      <c r="H11727" s="17" t="s">
        <v>23950</v>
      </c>
      <c r="I11727" s="17" t="s">
        <v>23956</v>
      </c>
      <c r="J11727" s="17" t="s">
        <v>24017</v>
      </c>
      <c r="K11727" s="17"/>
      <c r="L11727" s="17" t="s">
        <v>24262</v>
      </c>
      <c r="M11727" s="17"/>
      <c r="N11727" s="17" t="s">
        <v>24367</v>
      </c>
      <c r="O11727" s="17"/>
      <c r="P11727" s="17" t="s">
        <v>24381</v>
      </c>
      <c r="Q11727" s="17"/>
      <c r="R11727" s="25" t="str">
        <f>HYPERLINK("https://ictv.global/taxonomy/taxondetails?taxnode_id=202301567","Orthoebolavirus sudanense")</f>
        <v>Orthoebolavirus sudanense</v>
      </c>
      <c r="S11727" s="18" t="s">
        <v>30</v>
      </c>
      <c r="T11727" s="18" t="s">
        <v>24394</v>
      </c>
      <c r="U11727" s="18" t="s">
        <v>24395</v>
      </c>
      <c r="V11727" s="18" t="s">
        <v>24396</v>
      </c>
      <c r="W11727" s="18" t="s">
        <v>24397</v>
      </c>
      <c r="X11727" s="18" t="s">
        <v>42</v>
      </c>
      <c r="Y11727" s="18" t="s">
        <v>23964</v>
      </c>
      <c r="Z11727" s="18" t="s">
        <v>166</v>
      </c>
      <c r="AA11727" s="21" t="str">
        <f>HYPERLINK("https://www.ncbi.nlm.nih.gov/nuccore/AY729654","NCBI Nucleotide")</f>
        <v>NCBI Nucleotide</v>
      </c>
    </row>
    <row r="11728" spans="1:27" x14ac:dyDescent="0.35">
      <c r="A11728">
        <v>1010496</v>
      </c>
      <c r="B11728">
        <v>11033</v>
      </c>
      <c r="C11728">
        <v>1</v>
      </c>
      <c r="D11728" s="17" t="s">
        <v>17166</v>
      </c>
      <c r="E11728" s="17"/>
      <c r="F11728" s="17" t="s">
        <v>17246</v>
      </c>
      <c r="G11728" s="17"/>
      <c r="H11728" s="17" t="s">
        <v>23950</v>
      </c>
      <c r="I11728" s="17" t="s">
        <v>23956</v>
      </c>
      <c r="J11728" s="17" t="s">
        <v>24017</v>
      </c>
      <c r="K11728" s="17"/>
      <c r="L11728" s="17" t="s">
        <v>24262</v>
      </c>
      <c r="M11728" s="17"/>
      <c r="N11728" s="17" t="s">
        <v>24367</v>
      </c>
      <c r="O11728" s="17"/>
      <c r="P11728" s="17" t="s">
        <v>24381</v>
      </c>
      <c r="Q11728" s="17"/>
      <c r="R11728" s="25" t="str">
        <f>HYPERLINK("https://ictv.global/taxonomy/taxondetails?taxnode_id=202301568","Orthoebolavirus taiense")</f>
        <v>Orthoebolavirus taiense</v>
      </c>
      <c r="S11728" s="18" t="s">
        <v>30</v>
      </c>
      <c r="T11728" s="18" t="s">
        <v>24398</v>
      </c>
      <c r="U11728" s="18" t="s">
        <v>24399</v>
      </c>
      <c r="V11728" s="18" t="s">
        <v>24400</v>
      </c>
      <c r="W11728" s="18" t="s">
        <v>24401</v>
      </c>
      <c r="X11728" s="18" t="s">
        <v>35</v>
      </c>
      <c r="Y11728" s="18" t="s">
        <v>23964</v>
      </c>
      <c r="Z11728" s="18" t="s">
        <v>166</v>
      </c>
      <c r="AA11728" s="21" t="str">
        <f>HYPERLINK("https://www.ncbi.nlm.nih.gov/nuccore/FJ217162","NCBI Nucleotide")</f>
        <v>NCBI Nucleotide</v>
      </c>
    </row>
    <row r="11729" spans="1:27" x14ac:dyDescent="0.35">
      <c r="A11729">
        <v>1010497</v>
      </c>
      <c r="B11729">
        <v>11034</v>
      </c>
      <c r="C11729">
        <v>1</v>
      </c>
      <c r="D11729" s="17" t="s">
        <v>17166</v>
      </c>
      <c r="E11729" s="17"/>
      <c r="F11729" s="17" t="s">
        <v>17246</v>
      </c>
      <c r="G11729" s="17"/>
      <c r="H11729" s="17" t="s">
        <v>23950</v>
      </c>
      <c r="I11729" s="17" t="s">
        <v>23956</v>
      </c>
      <c r="J11729" s="17" t="s">
        <v>24017</v>
      </c>
      <c r="K11729" s="17"/>
      <c r="L11729" s="17" t="s">
        <v>24262</v>
      </c>
      <c r="M11729" s="17"/>
      <c r="N11729" s="17" t="s">
        <v>24367</v>
      </c>
      <c r="O11729" s="17"/>
      <c r="P11729" s="17" t="s">
        <v>24381</v>
      </c>
      <c r="Q11729" s="17"/>
      <c r="R11729" s="25" t="str">
        <f>HYPERLINK("https://ictv.global/taxonomy/taxondetails?taxnode_id=202301569","Orthoebolavirus zairense")</f>
        <v>Orthoebolavirus zairense</v>
      </c>
      <c r="S11729" s="18" t="s">
        <v>30</v>
      </c>
      <c r="T11729" s="18" t="s">
        <v>24402</v>
      </c>
      <c r="U11729" s="18" t="s">
        <v>24403</v>
      </c>
      <c r="V11729" s="18" t="s">
        <v>24404</v>
      </c>
      <c r="W11729" s="18" t="s">
        <v>24405</v>
      </c>
      <c r="X11729" s="18" t="s">
        <v>42</v>
      </c>
      <c r="Y11729" s="18" t="s">
        <v>23964</v>
      </c>
      <c r="Z11729" s="18" t="s">
        <v>166</v>
      </c>
      <c r="AA11729" s="21" t="str">
        <f>HYPERLINK("https://www.ncbi.nlm.nih.gov/nuccore/AF086833","NCBI Nucleotide")</f>
        <v>NCBI Nucleotide</v>
      </c>
    </row>
    <row r="11730" spans="1:27" x14ac:dyDescent="0.35">
      <c r="A11730">
        <v>1010498</v>
      </c>
      <c r="B11730">
        <v>11035</v>
      </c>
      <c r="C11730">
        <v>1</v>
      </c>
      <c r="D11730" s="17" t="s">
        <v>17166</v>
      </c>
      <c r="E11730" s="17"/>
      <c r="F11730" s="17" t="s">
        <v>17246</v>
      </c>
      <c r="G11730" s="17"/>
      <c r="H11730" s="17" t="s">
        <v>23950</v>
      </c>
      <c r="I11730" s="17" t="s">
        <v>23956</v>
      </c>
      <c r="J11730" s="17" t="s">
        <v>24017</v>
      </c>
      <c r="K11730" s="17"/>
      <c r="L11730" s="17" t="s">
        <v>24262</v>
      </c>
      <c r="M11730" s="17"/>
      <c r="N11730" s="17" t="s">
        <v>24367</v>
      </c>
      <c r="O11730" s="17"/>
      <c r="P11730" s="17" t="s">
        <v>24406</v>
      </c>
      <c r="Q11730" s="17"/>
      <c r="R11730" s="25" t="str">
        <f>HYPERLINK("https://ictv.global/taxonomy/taxondetails?taxnode_id=202301571","Orthomarburgvirus marburgense")</f>
        <v>Orthomarburgvirus marburgense</v>
      </c>
      <c r="S11730" s="18" t="s">
        <v>30</v>
      </c>
      <c r="T11730" s="18" t="s">
        <v>24407</v>
      </c>
      <c r="U11730" s="18" t="s">
        <v>24408</v>
      </c>
      <c r="V11730" s="18" t="s">
        <v>24409</v>
      </c>
      <c r="W11730" s="18" t="s">
        <v>24410</v>
      </c>
      <c r="X11730" s="18" t="s">
        <v>42</v>
      </c>
      <c r="Y11730" s="18" t="s">
        <v>23964</v>
      </c>
      <c r="Z11730" s="18" t="s">
        <v>166</v>
      </c>
      <c r="AA11730" s="21" t="str">
        <f>HYPERLINK("https://www.ncbi.nlm.nih.gov/nuccore/DQ217792","NCBI Nucleotide")</f>
        <v>NCBI Nucleotide</v>
      </c>
    </row>
    <row r="11731" spans="1:27" x14ac:dyDescent="0.35">
      <c r="A11731">
        <v>1012862</v>
      </c>
      <c r="B11731">
        <v>11035</v>
      </c>
      <c r="C11731">
        <v>2</v>
      </c>
      <c r="D11731" s="17" t="s">
        <v>17166</v>
      </c>
      <c r="E11731" s="17"/>
      <c r="F11731" s="17" t="s">
        <v>17246</v>
      </c>
      <c r="G11731" s="17"/>
      <c r="H11731" s="17" t="s">
        <v>23950</v>
      </c>
      <c r="I11731" s="17" t="s">
        <v>23956</v>
      </c>
      <c r="J11731" s="17" t="s">
        <v>24017</v>
      </c>
      <c r="K11731" s="17"/>
      <c r="L11731" s="17" t="s">
        <v>24262</v>
      </c>
      <c r="M11731" s="17"/>
      <c r="N11731" s="17" t="s">
        <v>24367</v>
      </c>
      <c r="O11731" s="17"/>
      <c r="P11731" s="17" t="s">
        <v>24406</v>
      </c>
      <c r="Q11731" s="17"/>
      <c r="R11731" s="25" t="str">
        <f>HYPERLINK("https://ictv.global/taxonomy/taxondetails?taxnode_id=202301571","Orthomarburgvirus marburgense")</f>
        <v>Orthomarburgvirus marburgense</v>
      </c>
      <c r="S11731" s="18" t="s">
        <v>8141</v>
      </c>
      <c r="T11731" s="18" t="s">
        <v>24411</v>
      </c>
      <c r="U11731" s="18" t="s">
        <v>24412</v>
      </c>
      <c r="V11731" s="18" t="s">
        <v>24413</v>
      </c>
      <c r="W11731" s="18" t="s">
        <v>49418</v>
      </c>
      <c r="X11731" s="18" t="s">
        <v>35</v>
      </c>
      <c r="Y11731" s="18" t="s">
        <v>23964</v>
      </c>
      <c r="Z11731" s="18" t="s">
        <v>166</v>
      </c>
      <c r="AA11731" s="21" t="str">
        <f>HYPERLINK("https://www.ncbi.nlm.nih.gov/nuccore/DQ447649","NCBI Nucleotide")</f>
        <v>NCBI Nucleotide</v>
      </c>
    </row>
    <row r="11732" spans="1:27" x14ac:dyDescent="0.35">
      <c r="A11732">
        <v>1010499</v>
      </c>
      <c r="B11732">
        <v>11036</v>
      </c>
      <c r="C11732">
        <v>1</v>
      </c>
      <c r="D11732" s="17" t="s">
        <v>17166</v>
      </c>
      <c r="E11732" s="17"/>
      <c r="F11732" s="17" t="s">
        <v>17246</v>
      </c>
      <c r="G11732" s="17"/>
      <c r="H11732" s="17" t="s">
        <v>23950</v>
      </c>
      <c r="I11732" s="17" t="s">
        <v>23956</v>
      </c>
      <c r="J11732" s="17" t="s">
        <v>24017</v>
      </c>
      <c r="K11732" s="17"/>
      <c r="L11732" s="17" t="s">
        <v>24262</v>
      </c>
      <c r="M11732" s="17"/>
      <c r="N11732" s="17" t="s">
        <v>24367</v>
      </c>
      <c r="O11732" s="17"/>
      <c r="P11732" s="17" t="s">
        <v>24414</v>
      </c>
      <c r="Q11732" s="17"/>
      <c r="R11732" s="25" t="str">
        <f>HYPERLINK("https://ictv.global/taxonomy/taxondetails?taxnode_id=202306582","Striavirus antennarii")</f>
        <v>Striavirus antennarii</v>
      </c>
      <c r="S11732" s="18" t="s">
        <v>30</v>
      </c>
      <c r="T11732" s="18" t="s">
        <v>24415</v>
      </c>
      <c r="U11732" s="18" t="s">
        <v>24416</v>
      </c>
      <c r="V11732" s="18" t="s">
        <v>24417</v>
      </c>
      <c r="W11732" s="18" t="s">
        <v>24418</v>
      </c>
      <c r="X11732" s="18" t="s">
        <v>35</v>
      </c>
      <c r="Y11732" s="18" t="s">
        <v>23964</v>
      </c>
      <c r="Z11732" s="18" t="s">
        <v>166</v>
      </c>
      <c r="AA11732" s="21" t="str">
        <f>HYPERLINK("https://www.ncbi.nlm.nih.gov/nuccore/MG599980","NCBI Nucleotide")</f>
        <v>NCBI Nucleotide</v>
      </c>
    </row>
    <row r="11733" spans="1:27" x14ac:dyDescent="0.35">
      <c r="A11733">
        <v>1010500</v>
      </c>
      <c r="B11733">
        <v>11037</v>
      </c>
      <c r="C11733">
        <v>1</v>
      </c>
      <c r="D11733" s="17" t="s">
        <v>17166</v>
      </c>
      <c r="E11733" s="17"/>
      <c r="F11733" s="17" t="s">
        <v>17246</v>
      </c>
      <c r="G11733" s="17"/>
      <c r="H11733" s="17" t="s">
        <v>23950</v>
      </c>
      <c r="I11733" s="17" t="s">
        <v>23956</v>
      </c>
      <c r="J11733" s="17" t="s">
        <v>24017</v>
      </c>
      <c r="K11733" s="17"/>
      <c r="L11733" s="17" t="s">
        <v>24262</v>
      </c>
      <c r="M11733" s="17"/>
      <c r="N11733" s="17" t="s">
        <v>24367</v>
      </c>
      <c r="O11733" s="17"/>
      <c r="P11733" s="17" t="s">
        <v>24419</v>
      </c>
      <c r="Q11733" s="17"/>
      <c r="R11733" s="25" t="str">
        <f>HYPERLINK("https://ictv.global/taxonomy/taxondetails?taxnode_id=202313337","Tapjovirus bothropis")</f>
        <v>Tapjovirus bothropis</v>
      </c>
      <c r="S11733" s="18" t="s">
        <v>30</v>
      </c>
      <c r="T11733" s="18" t="s">
        <v>24420</v>
      </c>
      <c r="U11733" s="18" t="s">
        <v>24421</v>
      </c>
      <c r="V11733" s="18" t="s">
        <v>46375</v>
      </c>
      <c r="W11733" s="18" t="s">
        <v>24422</v>
      </c>
      <c r="X11733" s="18" t="s">
        <v>35</v>
      </c>
      <c r="Y11733" s="18" t="s">
        <v>23964</v>
      </c>
      <c r="Z11733" s="18" t="s">
        <v>166</v>
      </c>
      <c r="AA11733" s="21" t="str">
        <f>HYPERLINK("https://www.ncbi.nlm.nih.gov/nuccore/BR001752","NCBI Nucleotide")</f>
        <v>NCBI Nucleotide</v>
      </c>
    </row>
    <row r="11734" spans="1:27" x14ac:dyDescent="0.35">
      <c r="A11734">
        <v>1010501</v>
      </c>
      <c r="B11734">
        <v>11038</v>
      </c>
      <c r="C11734">
        <v>1</v>
      </c>
      <c r="D11734" s="17" t="s">
        <v>17166</v>
      </c>
      <c r="E11734" s="17"/>
      <c r="F11734" s="17" t="s">
        <v>17246</v>
      </c>
      <c r="G11734" s="17"/>
      <c r="H11734" s="17" t="s">
        <v>23950</v>
      </c>
      <c r="I11734" s="17" t="s">
        <v>23956</v>
      </c>
      <c r="J11734" s="17" t="s">
        <v>24017</v>
      </c>
      <c r="K11734" s="17"/>
      <c r="L11734" s="17" t="s">
        <v>24262</v>
      </c>
      <c r="M11734" s="17"/>
      <c r="N11734" s="17" t="s">
        <v>24367</v>
      </c>
      <c r="O11734" s="17"/>
      <c r="P11734" s="17" t="s">
        <v>24423</v>
      </c>
      <c r="Q11734" s="17"/>
      <c r="R11734" s="25" t="str">
        <f>HYPERLINK("https://ictv.global/taxonomy/taxondetails?taxnode_id=202313341","Thamnovirus kanderense")</f>
        <v>Thamnovirus kanderense</v>
      </c>
      <c r="S11734" s="18" t="s">
        <v>30</v>
      </c>
      <c r="T11734" s="18" t="s">
        <v>24424</v>
      </c>
      <c r="U11734" s="18" t="s">
        <v>24425</v>
      </c>
      <c r="V11734" s="18" t="s">
        <v>24379</v>
      </c>
      <c r="W11734" s="18" t="s">
        <v>24426</v>
      </c>
      <c r="X11734" s="18" t="s">
        <v>154</v>
      </c>
      <c r="Y11734" s="18" t="s">
        <v>23964</v>
      </c>
      <c r="Z11734" s="18" t="s">
        <v>166</v>
      </c>
      <c r="AA11734" s="21" t="str">
        <f>HYPERLINK("https://www.ncbi.nlm.nih.gov/nuccore/MW093492","NCBI Nucleotide")</f>
        <v>NCBI Nucleotide</v>
      </c>
    </row>
    <row r="11735" spans="1:27" x14ac:dyDescent="0.35">
      <c r="A11735">
        <v>1010502</v>
      </c>
      <c r="B11735">
        <v>11039</v>
      </c>
      <c r="C11735">
        <v>1</v>
      </c>
      <c r="D11735" s="17" t="s">
        <v>17166</v>
      </c>
      <c r="E11735" s="17"/>
      <c r="F11735" s="17" t="s">
        <v>17246</v>
      </c>
      <c r="G11735" s="17"/>
      <c r="H11735" s="17" t="s">
        <v>23950</v>
      </c>
      <c r="I11735" s="17" t="s">
        <v>23956</v>
      </c>
      <c r="J11735" s="17" t="s">
        <v>24017</v>
      </c>
      <c r="K11735" s="17"/>
      <c r="L11735" s="17" t="s">
        <v>24262</v>
      </c>
      <c r="M11735" s="17"/>
      <c r="N11735" s="17" t="s">
        <v>24367</v>
      </c>
      <c r="O11735" s="17"/>
      <c r="P11735" s="17" t="s">
        <v>24423</v>
      </c>
      <c r="Q11735" s="17"/>
      <c r="R11735" s="25" t="str">
        <f>HYPERLINK("https://ictv.global/taxonomy/taxondetails?taxnode_id=202313340","Thamnovirus percae")</f>
        <v>Thamnovirus percae</v>
      </c>
      <c r="S11735" s="18" t="s">
        <v>30</v>
      </c>
      <c r="T11735" s="18" t="s">
        <v>24427</v>
      </c>
      <c r="U11735" s="18" t="s">
        <v>24428</v>
      </c>
      <c r="V11735" s="18" t="s">
        <v>24379</v>
      </c>
      <c r="W11735" s="18" t="s">
        <v>24429</v>
      </c>
      <c r="X11735" s="18" t="s">
        <v>42</v>
      </c>
      <c r="Y11735" s="18" t="s">
        <v>23964</v>
      </c>
      <c r="Z11735" s="18" t="s">
        <v>166</v>
      </c>
      <c r="AA11735" s="21" t="str">
        <f>HYPERLINK("https://www.ncbi.nlm.nih.gov/nuccore/MN510772","NCBI Nucleotide")</f>
        <v>NCBI Nucleotide</v>
      </c>
    </row>
    <row r="11736" spans="1:27" x14ac:dyDescent="0.35">
      <c r="A11736">
        <v>1010503</v>
      </c>
      <c r="B11736">
        <v>11040</v>
      </c>
      <c r="C11736">
        <v>1</v>
      </c>
      <c r="D11736" s="17" t="s">
        <v>17166</v>
      </c>
      <c r="E11736" s="17"/>
      <c r="F11736" s="17" t="s">
        <v>17246</v>
      </c>
      <c r="G11736" s="17"/>
      <c r="H11736" s="17" t="s">
        <v>23950</v>
      </c>
      <c r="I11736" s="17" t="s">
        <v>23956</v>
      </c>
      <c r="J11736" s="17" t="s">
        <v>24017</v>
      </c>
      <c r="K11736" s="17"/>
      <c r="L11736" s="17" t="s">
        <v>24262</v>
      </c>
      <c r="M11736" s="17"/>
      <c r="N11736" s="17" t="s">
        <v>24367</v>
      </c>
      <c r="O11736" s="17"/>
      <c r="P11736" s="17" t="s">
        <v>24423</v>
      </c>
      <c r="Q11736" s="17"/>
      <c r="R11736" s="25" t="str">
        <f>HYPERLINK("https://ictv.global/taxonomy/taxondetails?taxnode_id=202306584","Thamnovirus thamnaconi")</f>
        <v>Thamnovirus thamnaconi</v>
      </c>
      <c r="S11736" s="18" t="s">
        <v>30</v>
      </c>
      <c r="T11736" s="18" t="s">
        <v>24430</v>
      </c>
      <c r="U11736" s="18" t="s">
        <v>24431</v>
      </c>
      <c r="V11736" s="18" t="s">
        <v>24432</v>
      </c>
      <c r="W11736" s="18" t="s">
        <v>24433</v>
      </c>
      <c r="X11736" s="18" t="s">
        <v>35</v>
      </c>
      <c r="Y11736" s="18" t="s">
        <v>23964</v>
      </c>
      <c r="Z11736" s="18" t="s">
        <v>166</v>
      </c>
      <c r="AA11736" s="21" t="str">
        <f>HYPERLINK("https://www.ncbi.nlm.nih.gov/nuccore/MG599981","NCBI Nucleotide")</f>
        <v>NCBI Nucleotide</v>
      </c>
    </row>
    <row r="11737" spans="1:27" x14ac:dyDescent="0.35">
      <c r="A11737">
        <v>1010504</v>
      </c>
      <c r="B11737">
        <v>11041</v>
      </c>
      <c r="C11737">
        <v>1</v>
      </c>
      <c r="D11737" s="17" t="s">
        <v>17166</v>
      </c>
      <c r="E11737" s="17"/>
      <c r="F11737" s="17" t="s">
        <v>17246</v>
      </c>
      <c r="G11737" s="17"/>
      <c r="H11737" s="17" t="s">
        <v>23950</v>
      </c>
      <c r="I11737" s="17" t="s">
        <v>23956</v>
      </c>
      <c r="J11737" s="17" t="s">
        <v>24017</v>
      </c>
      <c r="K11737" s="17"/>
      <c r="L11737" s="17" t="s">
        <v>24262</v>
      </c>
      <c r="M11737" s="17"/>
      <c r="N11737" s="17" t="s">
        <v>24434</v>
      </c>
      <c r="O11737" s="17"/>
      <c r="P11737" s="17" t="s">
        <v>24435</v>
      </c>
      <c r="Q11737" s="17"/>
      <c r="R11737" s="25" t="str">
        <f>HYPERLINK("https://ictv.global/taxonomy/taxondetails?taxnode_id=202314190","Acridvirus hangzhouense")</f>
        <v>Acridvirus hangzhouense</v>
      </c>
      <c r="S11737" s="18" t="s">
        <v>30</v>
      </c>
      <c r="T11737" s="18" t="s">
        <v>24436</v>
      </c>
      <c r="U11737" s="18" t="s">
        <v>24437</v>
      </c>
      <c r="V11737" s="18" t="s">
        <v>24438</v>
      </c>
      <c r="W11737" s="18" t="s">
        <v>24439</v>
      </c>
      <c r="X11737" s="18" t="s">
        <v>35</v>
      </c>
      <c r="Y11737" s="18" t="s">
        <v>23964</v>
      </c>
      <c r="Z11737" s="18" t="s">
        <v>10790</v>
      </c>
      <c r="AA11737" s="21" t="str">
        <f>HYPERLINK("https://www.ncbi.nlm.nih.gov/nuccore/MZ209654","NCBI Nucleotide")</f>
        <v>NCBI Nucleotide</v>
      </c>
    </row>
    <row r="11738" spans="1:27" x14ac:dyDescent="0.35">
      <c r="A11738">
        <v>1010505</v>
      </c>
      <c r="B11738">
        <v>11042</v>
      </c>
      <c r="C11738">
        <v>1</v>
      </c>
      <c r="D11738" s="17" t="s">
        <v>17166</v>
      </c>
      <c r="E11738" s="17"/>
      <c r="F11738" s="17" t="s">
        <v>17246</v>
      </c>
      <c r="G11738" s="17"/>
      <c r="H11738" s="17" t="s">
        <v>23950</v>
      </c>
      <c r="I11738" s="17" t="s">
        <v>23956</v>
      </c>
      <c r="J11738" s="17" t="s">
        <v>24017</v>
      </c>
      <c r="K11738" s="17"/>
      <c r="L11738" s="17" t="s">
        <v>24262</v>
      </c>
      <c r="M11738" s="17"/>
      <c r="N11738" s="17" t="s">
        <v>24434</v>
      </c>
      <c r="O11738" s="17"/>
      <c r="P11738" s="17" t="s">
        <v>24440</v>
      </c>
      <c r="Q11738" s="17"/>
      <c r="R11738" s="25" t="str">
        <f>HYPERLINK("https://ictv.global/taxonomy/taxondetails?taxnode_id=202314194","Aleyavirus fuyangense")</f>
        <v>Aleyavirus fuyangense</v>
      </c>
      <c r="S11738" s="18" t="s">
        <v>30</v>
      </c>
      <c r="T11738" s="18" t="s">
        <v>24441</v>
      </c>
      <c r="U11738" s="18" t="s">
        <v>24442</v>
      </c>
      <c r="V11738" s="18" t="s">
        <v>24443</v>
      </c>
      <c r="W11738" s="18" t="s">
        <v>24444</v>
      </c>
      <c r="X11738" s="18" t="s">
        <v>35</v>
      </c>
      <c r="Y11738" s="18" t="s">
        <v>23964</v>
      </c>
      <c r="Z11738" s="18" t="s">
        <v>10790</v>
      </c>
      <c r="AA11738" s="21" t="str">
        <f>HYPERLINK("https://www.ncbi.nlm.nih.gov/nuccore/MW256666","NCBI Nucleotide")</f>
        <v>NCBI Nucleotide</v>
      </c>
    </row>
    <row r="11739" spans="1:27" x14ac:dyDescent="0.35">
      <c r="A11739">
        <v>1010506</v>
      </c>
      <c r="B11739">
        <v>11043</v>
      </c>
      <c r="C11739">
        <v>1</v>
      </c>
      <c r="D11739" s="17" t="s">
        <v>17166</v>
      </c>
      <c r="E11739" s="17"/>
      <c r="F11739" s="17" t="s">
        <v>17246</v>
      </c>
      <c r="G11739" s="17"/>
      <c r="H11739" s="17" t="s">
        <v>23950</v>
      </c>
      <c r="I11739" s="17" t="s">
        <v>23956</v>
      </c>
      <c r="J11739" s="17" t="s">
        <v>24017</v>
      </c>
      <c r="K11739" s="17"/>
      <c r="L11739" s="17" t="s">
        <v>24262</v>
      </c>
      <c r="M11739" s="17"/>
      <c r="N11739" s="17" t="s">
        <v>24434</v>
      </c>
      <c r="O11739" s="17"/>
      <c r="P11739" s="17" t="s">
        <v>24445</v>
      </c>
      <c r="Q11739" s="17"/>
      <c r="R11739" s="25" t="str">
        <f>HYPERLINK("https://ictv.global/taxonomy/taxondetails?taxnode_id=202314195","Aleybvirus fuyangense")</f>
        <v>Aleybvirus fuyangense</v>
      </c>
      <c r="S11739" s="18" t="s">
        <v>30</v>
      </c>
      <c r="T11739" s="18" t="s">
        <v>24446</v>
      </c>
      <c r="U11739" s="18" t="s">
        <v>24447</v>
      </c>
      <c r="V11739" s="18" t="s">
        <v>24448</v>
      </c>
      <c r="W11739" s="18" t="s">
        <v>24449</v>
      </c>
      <c r="X11739" s="18" t="s">
        <v>35</v>
      </c>
      <c r="Y11739" s="18" t="s">
        <v>23964</v>
      </c>
      <c r="Z11739" s="18" t="s">
        <v>10790</v>
      </c>
      <c r="AA11739" s="21" t="str">
        <f>HYPERLINK("https://www.ncbi.nlm.nih.gov/nuccore/MW256667","NCBI Nucleotide")</f>
        <v>NCBI Nucleotide</v>
      </c>
    </row>
    <row r="11740" spans="1:27" x14ac:dyDescent="0.35">
      <c r="A11740">
        <v>1010507</v>
      </c>
      <c r="B11740">
        <v>11044</v>
      </c>
      <c r="C11740">
        <v>1</v>
      </c>
      <c r="D11740" s="17" t="s">
        <v>17166</v>
      </c>
      <c r="E11740" s="17"/>
      <c r="F11740" s="17" t="s">
        <v>17246</v>
      </c>
      <c r="G11740" s="17"/>
      <c r="H11740" s="17" t="s">
        <v>23950</v>
      </c>
      <c r="I11740" s="17" t="s">
        <v>23956</v>
      </c>
      <c r="J11740" s="17" t="s">
        <v>24017</v>
      </c>
      <c r="K11740" s="17"/>
      <c r="L11740" s="17" t="s">
        <v>24262</v>
      </c>
      <c r="M11740" s="17"/>
      <c r="N11740" s="17" t="s">
        <v>24434</v>
      </c>
      <c r="O11740" s="17"/>
      <c r="P11740" s="17" t="s">
        <v>24450</v>
      </c>
      <c r="Q11740" s="17"/>
      <c r="R11740" s="25" t="str">
        <f>HYPERLINK("https://ictv.global/taxonomy/taxondetails?taxnode_id=202313371","Anicalvirus hangzhouense")</f>
        <v>Anicalvirus hangzhouense</v>
      </c>
      <c r="S11740" s="18" t="s">
        <v>30</v>
      </c>
      <c r="T11740" s="18" t="s">
        <v>24451</v>
      </c>
      <c r="U11740" s="18" t="s">
        <v>24452</v>
      </c>
      <c r="V11740" s="18">
        <v>2</v>
      </c>
      <c r="W11740" s="18" t="s">
        <v>24453</v>
      </c>
      <c r="X11740" s="18" t="s">
        <v>35</v>
      </c>
      <c r="Y11740" s="18" t="s">
        <v>23964</v>
      </c>
      <c r="Z11740" s="18" t="s">
        <v>10790</v>
      </c>
      <c r="AA11740" s="21" t="str">
        <f>HYPERLINK("https://www.ncbi.nlm.nih.gov/nuccore/MW864603","NCBI Nucleotide")</f>
        <v>NCBI Nucleotide</v>
      </c>
    </row>
    <row r="11741" spans="1:27" x14ac:dyDescent="0.35">
      <c r="A11741">
        <v>1027613</v>
      </c>
      <c r="B11741">
        <v>11045</v>
      </c>
      <c r="C11741">
        <v>1</v>
      </c>
      <c r="D11741" s="17" t="s">
        <v>17166</v>
      </c>
      <c r="E11741" s="17"/>
      <c r="F11741" s="17" t="s">
        <v>17246</v>
      </c>
      <c r="G11741" s="17"/>
      <c r="H11741" s="17" t="s">
        <v>23950</v>
      </c>
      <c r="I11741" s="17" t="s">
        <v>23956</v>
      </c>
      <c r="J11741" s="17" t="s">
        <v>24017</v>
      </c>
      <c r="K11741" s="17"/>
      <c r="L11741" s="17" t="s">
        <v>24262</v>
      </c>
      <c r="M11741" s="17"/>
      <c r="N11741" s="17" t="s">
        <v>24434</v>
      </c>
      <c r="O11741" s="17"/>
      <c r="P11741" s="17" t="s">
        <v>24450</v>
      </c>
      <c r="Q11741" s="17"/>
      <c r="R11741" s="25" t="str">
        <f>HYPERLINK("https://ictv.global/taxonomy/taxondetails?taxnode_id=202318028","Anicalvirus hesdarense")</f>
        <v>Anicalvirus hesdarense</v>
      </c>
      <c r="S11741" s="18" t="s">
        <v>30</v>
      </c>
      <c r="T11741" s="18" t="s">
        <v>46376</v>
      </c>
      <c r="U11741" s="18" t="s">
        <v>46377</v>
      </c>
      <c r="V11741" s="18" t="s">
        <v>46378</v>
      </c>
      <c r="W11741" s="18" t="s">
        <v>46379</v>
      </c>
      <c r="X11741" s="18" t="s">
        <v>154</v>
      </c>
      <c r="Y11741" s="18" t="s">
        <v>23964</v>
      </c>
      <c r="Z11741" s="18" t="s">
        <v>10790</v>
      </c>
      <c r="AA11741" s="21" t="str">
        <f>HYPERLINK("https://www.ncbi.nlm.nih.gov/nuccore/MW288216","NCBI Nucleotide")</f>
        <v>NCBI Nucleotide</v>
      </c>
    </row>
    <row r="11742" spans="1:27" x14ac:dyDescent="0.35">
      <c r="A11742">
        <v>1010508</v>
      </c>
      <c r="B11742">
        <v>11046</v>
      </c>
      <c r="C11742">
        <v>1</v>
      </c>
      <c r="D11742" s="17" t="s">
        <v>17166</v>
      </c>
      <c r="E11742" s="17"/>
      <c r="F11742" s="17" t="s">
        <v>17246</v>
      </c>
      <c r="G11742" s="17"/>
      <c r="H11742" s="17" t="s">
        <v>23950</v>
      </c>
      <c r="I11742" s="17" t="s">
        <v>23956</v>
      </c>
      <c r="J11742" s="17" t="s">
        <v>24017</v>
      </c>
      <c r="K11742" s="17"/>
      <c r="L11742" s="17" t="s">
        <v>24262</v>
      </c>
      <c r="M11742" s="17"/>
      <c r="N11742" s="17" t="s">
        <v>24434</v>
      </c>
      <c r="O11742" s="17"/>
      <c r="P11742" s="17" t="s">
        <v>24454</v>
      </c>
      <c r="Q11742" s="17"/>
      <c r="R11742" s="25" t="str">
        <f>HYPERLINK("https://ictv.global/taxonomy/taxondetails?taxnode_id=202313367","Anidravirus hangzhouense")</f>
        <v>Anidravirus hangzhouense</v>
      </c>
      <c r="S11742" s="18" t="s">
        <v>30</v>
      </c>
      <c r="T11742" s="18" t="s">
        <v>24455</v>
      </c>
      <c r="U11742" s="18" t="s">
        <v>24456</v>
      </c>
      <c r="V11742" s="18">
        <v>1</v>
      </c>
      <c r="W11742" s="18" t="s">
        <v>24457</v>
      </c>
      <c r="X11742" s="18" t="s">
        <v>35</v>
      </c>
      <c r="Y11742" s="18" t="s">
        <v>23964</v>
      </c>
      <c r="Z11742" s="18" t="s">
        <v>10790</v>
      </c>
      <c r="AA11742" s="21" t="str">
        <f>HYPERLINK("https://www.ncbi.nlm.nih.gov/nuccore/MW864602","NCBI Nucleotide")</f>
        <v>NCBI Nucleotide</v>
      </c>
    </row>
    <row r="11743" spans="1:27" x14ac:dyDescent="0.35">
      <c r="A11743">
        <v>1010509</v>
      </c>
      <c r="B11743">
        <v>11047</v>
      </c>
      <c r="C11743">
        <v>1</v>
      </c>
      <c r="D11743" s="17" t="s">
        <v>17166</v>
      </c>
      <c r="E11743" s="17"/>
      <c r="F11743" s="17" t="s">
        <v>17246</v>
      </c>
      <c r="G11743" s="17"/>
      <c r="H11743" s="17" t="s">
        <v>23950</v>
      </c>
      <c r="I11743" s="17" t="s">
        <v>23956</v>
      </c>
      <c r="J11743" s="17" t="s">
        <v>24017</v>
      </c>
      <c r="K11743" s="17"/>
      <c r="L11743" s="17" t="s">
        <v>24262</v>
      </c>
      <c r="M11743" s="17"/>
      <c r="N11743" s="17" t="s">
        <v>24434</v>
      </c>
      <c r="O11743" s="17"/>
      <c r="P11743" s="17" t="s">
        <v>24458</v>
      </c>
      <c r="Q11743" s="17"/>
      <c r="R11743" s="25" t="str">
        <f>HYPERLINK("https://ictv.global/taxonomy/taxondetails?taxnode_id=202314191","Aranavirus guiyangense")</f>
        <v>Aranavirus guiyangense</v>
      </c>
      <c r="S11743" s="18" t="s">
        <v>30</v>
      </c>
      <c r="T11743" s="18" t="s">
        <v>24459</v>
      </c>
      <c r="U11743" s="18" t="s">
        <v>24460</v>
      </c>
      <c r="V11743" s="18" t="s">
        <v>24461</v>
      </c>
      <c r="W11743" s="18" t="s">
        <v>24462</v>
      </c>
      <c r="X11743" s="18" t="s">
        <v>35</v>
      </c>
      <c r="Y11743" s="18" t="s">
        <v>23964</v>
      </c>
      <c r="Z11743" s="18" t="s">
        <v>10790</v>
      </c>
      <c r="AA11743" s="21" t="str">
        <f>HYPERLINK("https://www.ncbi.nlm.nih.gov/nuccore/MZ209771","NCBI Nucleotide")</f>
        <v>NCBI Nucleotide</v>
      </c>
    </row>
    <row r="11744" spans="1:27" x14ac:dyDescent="0.35">
      <c r="A11744">
        <v>1010510</v>
      </c>
      <c r="B11744">
        <v>11048</v>
      </c>
      <c r="C11744">
        <v>1</v>
      </c>
      <c r="D11744" s="17" t="s">
        <v>17166</v>
      </c>
      <c r="E11744" s="17"/>
      <c r="F11744" s="17" t="s">
        <v>17246</v>
      </c>
      <c r="G11744" s="17"/>
      <c r="H11744" s="17" t="s">
        <v>23950</v>
      </c>
      <c r="I11744" s="17" t="s">
        <v>23956</v>
      </c>
      <c r="J11744" s="17" t="s">
        <v>24017</v>
      </c>
      <c r="K11744" s="17"/>
      <c r="L11744" s="17" t="s">
        <v>24262</v>
      </c>
      <c r="M11744" s="17"/>
      <c r="N11744" s="17" t="s">
        <v>24434</v>
      </c>
      <c r="O11744" s="17"/>
      <c r="P11744" s="17" t="s">
        <v>24463</v>
      </c>
      <c r="Q11744" s="17"/>
      <c r="R11744" s="25" t="str">
        <f>HYPERLINK("https://ictv.global/taxonomy/taxondetails?taxnode_id=202314192","Aranbvirus guiyangense")</f>
        <v>Aranbvirus guiyangense</v>
      </c>
      <c r="S11744" s="18" t="s">
        <v>30</v>
      </c>
      <c r="T11744" s="18" t="s">
        <v>24464</v>
      </c>
      <c r="U11744" s="18" t="s">
        <v>24465</v>
      </c>
      <c r="V11744" s="18" t="s">
        <v>24466</v>
      </c>
      <c r="W11744" s="18" t="s">
        <v>24467</v>
      </c>
      <c r="X11744" s="18" t="s">
        <v>35</v>
      </c>
      <c r="Y11744" s="18" t="s">
        <v>23964</v>
      </c>
      <c r="Z11744" s="18" t="s">
        <v>10790</v>
      </c>
      <c r="AA11744" s="21" t="str">
        <f>HYPERLINK("https://www.ncbi.nlm.nih.gov/nuccore/MZ209782","NCBI Nucleotide")</f>
        <v>NCBI Nucleotide</v>
      </c>
    </row>
    <row r="11745" spans="1:27" x14ac:dyDescent="0.35">
      <c r="A11745">
        <v>1010511</v>
      </c>
      <c r="B11745">
        <v>11049</v>
      </c>
      <c r="C11745">
        <v>1</v>
      </c>
      <c r="D11745" s="17" t="s">
        <v>17166</v>
      </c>
      <c r="E11745" s="17"/>
      <c r="F11745" s="17" t="s">
        <v>17246</v>
      </c>
      <c r="G11745" s="17"/>
      <c r="H11745" s="17" t="s">
        <v>23950</v>
      </c>
      <c r="I11745" s="17" t="s">
        <v>23956</v>
      </c>
      <c r="J11745" s="17" t="s">
        <v>24017</v>
      </c>
      <c r="K11745" s="17"/>
      <c r="L11745" s="17" t="s">
        <v>24262</v>
      </c>
      <c r="M11745" s="17"/>
      <c r="N11745" s="17" t="s">
        <v>24434</v>
      </c>
      <c r="O11745" s="17"/>
      <c r="P11745" s="17" t="s">
        <v>24468</v>
      </c>
      <c r="Q11745" s="17"/>
      <c r="R11745" s="25" t="str">
        <f>HYPERLINK("https://ictv.global/taxonomy/taxondetails?taxnode_id=202301814","Arlivirus arachnae")</f>
        <v>Arlivirus arachnae</v>
      </c>
      <c r="S11745" s="18" t="s">
        <v>30</v>
      </c>
      <c r="T11745" s="18" t="s">
        <v>24469</v>
      </c>
      <c r="U11745" s="18" t="s">
        <v>24470</v>
      </c>
      <c r="V11745" s="18" t="s">
        <v>24471</v>
      </c>
      <c r="W11745" s="18" t="s">
        <v>24472</v>
      </c>
      <c r="X11745" s="18" t="s">
        <v>35</v>
      </c>
      <c r="Y11745" s="18" t="s">
        <v>23964</v>
      </c>
      <c r="Z11745" s="18" t="s">
        <v>10790</v>
      </c>
      <c r="AA11745" s="21" t="str">
        <f>HYPERLINK("https://www.ncbi.nlm.nih.gov/nuccore/KM817632","NCBI Nucleotide")</f>
        <v>NCBI Nucleotide</v>
      </c>
    </row>
    <row r="11746" spans="1:27" x14ac:dyDescent="0.35">
      <c r="A11746">
        <v>1010512</v>
      </c>
      <c r="B11746">
        <v>11050</v>
      </c>
      <c r="C11746">
        <v>1</v>
      </c>
      <c r="D11746" s="17" t="s">
        <v>17166</v>
      </c>
      <c r="E11746" s="17"/>
      <c r="F11746" s="17" t="s">
        <v>17246</v>
      </c>
      <c r="G11746" s="17"/>
      <c r="H11746" s="17" t="s">
        <v>23950</v>
      </c>
      <c r="I11746" s="17" t="s">
        <v>23956</v>
      </c>
      <c r="J11746" s="17" t="s">
        <v>24017</v>
      </c>
      <c r="K11746" s="17"/>
      <c r="L11746" s="17" t="s">
        <v>24262</v>
      </c>
      <c r="M11746" s="17"/>
      <c r="N11746" s="17" t="s">
        <v>24434</v>
      </c>
      <c r="O11746" s="17"/>
      <c r="P11746" s="17" t="s">
        <v>24468</v>
      </c>
      <c r="Q11746" s="17"/>
      <c r="R11746" s="25" t="str">
        <f>HYPERLINK("https://ictv.global/taxonomy/taxondetails?taxnode_id=202314200","Arlivirus hangzhouense")</f>
        <v>Arlivirus hangzhouense</v>
      </c>
      <c r="S11746" s="18" t="s">
        <v>30</v>
      </c>
      <c r="T11746" s="18" t="s">
        <v>24473</v>
      </c>
      <c r="U11746" s="18" t="s">
        <v>24474</v>
      </c>
      <c r="V11746" s="18" t="s">
        <v>24475</v>
      </c>
      <c r="W11746" s="18" t="s">
        <v>24476</v>
      </c>
      <c r="X11746" s="18" t="s">
        <v>35</v>
      </c>
      <c r="Y11746" s="18" t="s">
        <v>23964</v>
      </c>
      <c r="Z11746" s="18" t="s">
        <v>10790</v>
      </c>
      <c r="AA11746" s="21" t="str">
        <f>HYPERLINK("https://www.ncbi.nlm.nih.gov/nuccore/MZ209613","NCBI Nucleotide")</f>
        <v>NCBI Nucleotide</v>
      </c>
    </row>
    <row r="11747" spans="1:27" x14ac:dyDescent="0.35">
      <c r="A11747">
        <v>1010513</v>
      </c>
      <c r="B11747">
        <v>11051</v>
      </c>
      <c r="C11747">
        <v>1</v>
      </c>
      <c r="D11747" s="17" t="s">
        <v>17166</v>
      </c>
      <c r="E11747" s="17"/>
      <c r="F11747" s="17" t="s">
        <v>17246</v>
      </c>
      <c r="G11747" s="17"/>
      <c r="H11747" s="17" t="s">
        <v>23950</v>
      </c>
      <c r="I11747" s="17" t="s">
        <v>23956</v>
      </c>
      <c r="J11747" s="17" t="s">
        <v>24017</v>
      </c>
      <c r="K11747" s="17"/>
      <c r="L11747" s="17" t="s">
        <v>24262</v>
      </c>
      <c r="M11747" s="17"/>
      <c r="N11747" s="17" t="s">
        <v>24434</v>
      </c>
      <c r="O11747" s="17"/>
      <c r="P11747" s="17" t="s">
        <v>24468</v>
      </c>
      <c r="Q11747" s="17"/>
      <c r="R11747" s="25" t="str">
        <f>HYPERLINK("https://ictv.global/taxonomy/taxondetails?taxnode_id=202314199","Arlivirus ningboense")</f>
        <v>Arlivirus ningboense</v>
      </c>
      <c r="S11747" s="18" t="s">
        <v>30</v>
      </c>
      <c r="T11747" s="18" t="s">
        <v>24477</v>
      </c>
      <c r="U11747" s="18" t="s">
        <v>24478</v>
      </c>
      <c r="V11747" s="18" t="s">
        <v>24479</v>
      </c>
      <c r="W11747" s="18" t="s">
        <v>24480</v>
      </c>
      <c r="X11747" s="18" t="s">
        <v>35</v>
      </c>
      <c r="Y11747" s="18" t="s">
        <v>23964</v>
      </c>
      <c r="Z11747" s="18" t="s">
        <v>10790</v>
      </c>
      <c r="AA11747" s="21" t="str">
        <f>HYPERLINK("https://www.ncbi.nlm.nih.gov/nuccore/OL377732","NCBI Nucleotide")</f>
        <v>NCBI Nucleotide</v>
      </c>
    </row>
    <row r="11748" spans="1:27" x14ac:dyDescent="0.35">
      <c r="A11748">
        <v>1010514</v>
      </c>
      <c r="B11748">
        <v>11052</v>
      </c>
      <c r="C11748">
        <v>1</v>
      </c>
      <c r="D11748" s="17" t="s">
        <v>17166</v>
      </c>
      <c r="E11748" s="17"/>
      <c r="F11748" s="17" t="s">
        <v>17246</v>
      </c>
      <c r="G11748" s="17"/>
      <c r="H11748" s="17" t="s">
        <v>23950</v>
      </c>
      <c r="I11748" s="17" t="s">
        <v>23956</v>
      </c>
      <c r="J11748" s="17" t="s">
        <v>24017</v>
      </c>
      <c r="K11748" s="17"/>
      <c r="L11748" s="17" t="s">
        <v>24262</v>
      </c>
      <c r="M11748" s="17"/>
      <c r="N11748" s="17" t="s">
        <v>24434</v>
      </c>
      <c r="O11748" s="17"/>
      <c r="P11748" s="17" t="s">
        <v>24481</v>
      </c>
      <c r="Q11748" s="17"/>
      <c r="R11748" s="25" t="str">
        <f>HYPERLINK("https://ictv.global/taxonomy/taxondetails?taxnode_id=202314193","Avesvirus sinense")</f>
        <v>Avesvirus sinense</v>
      </c>
      <c r="S11748" s="18" t="s">
        <v>30</v>
      </c>
      <c r="T11748" s="18" t="s">
        <v>24482</v>
      </c>
      <c r="U11748" s="18" t="s">
        <v>24483</v>
      </c>
      <c r="V11748" s="18" t="s">
        <v>24484</v>
      </c>
      <c r="W11748" s="18" t="s">
        <v>24485</v>
      </c>
      <c r="X11748" s="18" t="s">
        <v>35</v>
      </c>
      <c r="Y11748" s="18" t="s">
        <v>23964</v>
      </c>
      <c r="Z11748" s="18" t="s">
        <v>10790</v>
      </c>
      <c r="AA11748" s="21" t="str">
        <f>HYPERLINK("https://www.ncbi.nlm.nih.gov/nuccore/MW826497","NCBI Nucleotide")</f>
        <v>NCBI Nucleotide</v>
      </c>
    </row>
    <row r="11749" spans="1:27" x14ac:dyDescent="0.35">
      <c r="A11749">
        <v>1027639</v>
      </c>
      <c r="B11749">
        <v>11053</v>
      </c>
      <c r="C11749">
        <v>1</v>
      </c>
      <c r="D11749" s="17" t="s">
        <v>17166</v>
      </c>
      <c r="E11749" s="17"/>
      <c r="F11749" s="17" t="s">
        <v>17246</v>
      </c>
      <c r="G11749" s="17"/>
      <c r="H11749" s="17" t="s">
        <v>23950</v>
      </c>
      <c r="I11749" s="17" t="s">
        <v>23956</v>
      </c>
      <c r="J11749" s="17" t="s">
        <v>24017</v>
      </c>
      <c r="K11749" s="17"/>
      <c r="L11749" s="17" t="s">
        <v>24262</v>
      </c>
      <c r="M11749" s="17"/>
      <c r="N11749" s="17" t="s">
        <v>24434</v>
      </c>
      <c r="O11749" s="17"/>
      <c r="P11749" s="17" t="s">
        <v>46380</v>
      </c>
      <c r="Q11749" s="17"/>
      <c r="R11749" s="25" t="str">
        <f>HYPERLINK("https://ictv.global/taxonomy/taxondetails?taxnode_id=202318027","Birfecvirus tibetense")</f>
        <v>Birfecvirus tibetense</v>
      </c>
      <c r="S11749" s="18" t="s">
        <v>30</v>
      </c>
      <c r="T11749" s="18" t="s">
        <v>50553</v>
      </c>
      <c r="U11749" s="18" t="s">
        <v>24483</v>
      </c>
      <c r="V11749" s="18"/>
      <c r="W11749" s="18" t="s">
        <v>50554</v>
      </c>
      <c r="X11749" s="18" t="s">
        <v>35</v>
      </c>
      <c r="Y11749" s="18" t="s">
        <v>23964</v>
      </c>
      <c r="Z11749" s="18" t="s">
        <v>166</v>
      </c>
      <c r="AA11749" s="21" t="str">
        <f>HYPERLINK("https://www.ncbi.nlm.nih.gov/nuccore/MW864073","NCBI Nucleotide")</f>
        <v>NCBI Nucleotide</v>
      </c>
    </row>
    <row r="11750" spans="1:27" x14ac:dyDescent="0.35">
      <c r="A11750">
        <v>1027595</v>
      </c>
      <c r="B11750">
        <v>11054</v>
      </c>
      <c r="C11750">
        <v>1</v>
      </c>
      <c r="D11750" s="17" t="s">
        <v>17166</v>
      </c>
      <c r="E11750" s="17"/>
      <c r="F11750" s="17" t="s">
        <v>17246</v>
      </c>
      <c r="G11750" s="17"/>
      <c r="H11750" s="17" t="s">
        <v>23950</v>
      </c>
      <c r="I11750" s="17" t="s">
        <v>23956</v>
      </c>
      <c r="J11750" s="17" t="s">
        <v>24017</v>
      </c>
      <c r="K11750" s="17"/>
      <c r="L11750" s="17" t="s">
        <v>24262</v>
      </c>
      <c r="M11750" s="17"/>
      <c r="N11750" s="17" t="s">
        <v>24434</v>
      </c>
      <c r="O11750" s="17"/>
      <c r="P11750" s="17" t="s">
        <v>24486</v>
      </c>
      <c r="Q11750" s="17"/>
      <c r="R11750" s="25" t="str">
        <f>HYPERLINK("https://ictv.global/taxonomy/taxondetails?taxnode_id=202318026","Copasivirus cattienense")</f>
        <v>Copasivirus cattienense</v>
      </c>
      <c r="S11750" s="18" t="s">
        <v>30</v>
      </c>
      <c r="T11750" s="18" t="s">
        <v>46381</v>
      </c>
      <c r="U11750" s="18" t="s">
        <v>27539</v>
      </c>
      <c r="V11750" s="18" t="s">
        <v>46382</v>
      </c>
      <c r="W11750" s="18" t="s">
        <v>46383</v>
      </c>
      <c r="X11750" s="18" t="s">
        <v>35</v>
      </c>
      <c r="Y11750" s="18" t="s">
        <v>23964</v>
      </c>
      <c r="Z11750" s="18" t="s">
        <v>10790</v>
      </c>
      <c r="AA11750" s="21" t="str">
        <f>HYPERLINK("https://www.ncbi.nlm.nih.gov/nuccore/ON082763","NCBI Nucleotide")</f>
        <v>NCBI Nucleotide</v>
      </c>
    </row>
    <row r="11751" spans="1:27" x14ac:dyDescent="0.35">
      <c r="A11751">
        <v>1010515</v>
      </c>
      <c r="B11751">
        <v>11055</v>
      </c>
      <c r="C11751">
        <v>1</v>
      </c>
      <c r="D11751" s="17" t="s">
        <v>17166</v>
      </c>
      <c r="E11751" s="17"/>
      <c r="F11751" s="17" t="s">
        <v>17246</v>
      </c>
      <c r="G11751" s="17"/>
      <c r="H11751" s="17" t="s">
        <v>23950</v>
      </c>
      <c r="I11751" s="17" t="s">
        <v>23956</v>
      </c>
      <c r="J11751" s="17" t="s">
        <v>24017</v>
      </c>
      <c r="K11751" s="17"/>
      <c r="L11751" s="17" t="s">
        <v>24262</v>
      </c>
      <c r="M11751" s="17"/>
      <c r="N11751" s="17" t="s">
        <v>24434</v>
      </c>
      <c r="O11751" s="17"/>
      <c r="P11751" s="17" t="s">
        <v>24486</v>
      </c>
      <c r="Q11751" s="17"/>
      <c r="R11751" s="25" t="str">
        <f>HYPERLINK("https://ictv.global/taxonomy/taxondetails?taxnode_id=202313359","Copasivirus ivindoense")</f>
        <v>Copasivirus ivindoense</v>
      </c>
      <c r="S11751" s="18" t="s">
        <v>30</v>
      </c>
      <c r="T11751" s="18" t="s">
        <v>24487</v>
      </c>
      <c r="U11751" s="18" t="s">
        <v>24488</v>
      </c>
      <c r="V11751" s="18" t="s">
        <v>24489</v>
      </c>
      <c r="W11751" s="18" t="s">
        <v>24490</v>
      </c>
      <c r="X11751" s="18" t="s">
        <v>35</v>
      </c>
      <c r="Y11751" s="18" t="s">
        <v>23964</v>
      </c>
      <c r="Z11751" s="18" t="s">
        <v>10790</v>
      </c>
      <c r="AA11751" s="21" t="str">
        <f>HYPERLINK("https://www.ncbi.nlm.nih.gov/nuccore/MT153546","NCBI Nucleotide")</f>
        <v>NCBI Nucleotide</v>
      </c>
    </row>
    <row r="11752" spans="1:27" x14ac:dyDescent="0.35">
      <c r="A11752">
        <v>1010516</v>
      </c>
      <c r="B11752">
        <v>11056</v>
      </c>
      <c r="C11752">
        <v>1</v>
      </c>
      <c r="D11752" s="17" t="s">
        <v>17166</v>
      </c>
      <c r="E11752" s="17"/>
      <c r="F11752" s="17" t="s">
        <v>17246</v>
      </c>
      <c r="G11752" s="17"/>
      <c r="H11752" s="17" t="s">
        <v>23950</v>
      </c>
      <c r="I11752" s="17" t="s">
        <v>23956</v>
      </c>
      <c r="J11752" s="17" t="s">
        <v>24017</v>
      </c>
      <c r="K11752" s="17"/>
      <c r="L11752" s="17" t="s">
        <v>24262</v>
      </c>
      <c r="M11752" s="17"/>
      <c r="N11752" s="17" t="s">
        <v>24434</v>
      </c>
      <c r="O11752" s="17"/>
      <c r="P11752" s="17" t="s">
        <v>24486</v>
      </c>
      <c r="Q11752" s="17"/>
      <c r="R11752" s="25" t="str">
        <f>HYPERLINK("https://ictv.global/taxonomy/taxondetails?taxnode_id=202313358","Copasivirus manlyvaleense")</f>
        <v>Copasivirus manlyvaleense</v>
      </c>
      <c r="S11752" s="18" t="s">
        <v>30</v>
      </c>
      <c r="T11752" s="18" t="s">
        <v>24491</v>
      </c>
      <c r="U11752" s="18" t="s">
        <v>24492</v>
      </c>
      <c r="V11752" s="18" t="s">
        <v>24493</v>
      </c>
      <c r="W11752" s="18" t="s">
        <v>24494</v>
      </c>
      <c r="X11752" s="18" t="s">
        <v>35</v>
      </c>
      <c r="Y11752" s="18" t="s">
        <v>23964</v>
      </c>
      <c r="Z11752" s="18" t="s">
        <v>10790</v>
      </c>
      <c r="AA11752" s="21" t="str">
        <f>HYPERLINK("https://www.ncbi.nlm.nih.gov/nuccore/MW052080","NCBI Nucleotide")</f>
        <v>NCBI Nucleotide</v>
      </c>
    </row>
    <row r="11753" spans="1:27" x14ac:dyDescent="0.35">
      <c r="A11753">
        <v>1010517</v>
      </c>
      <c r="B11753">
        <v>11057</v>
      </c>
      <c r="C11753">
        <v>1</v>
      </c>
      <c r="D11753" s="17" t="s">
        <v>17166</v>
      </c>
      <c r="E11753" s="17"/>
      <c r="F11753" s="17" t="s">
        <v>17246</v>
      </c>
      <c r="G11753" s="17"/>
      <c r="H11753" s="17" t="s">
        <v>23950</v>
      </c>
      <c r="I11753" s="17" t="s">
        <v>23956</v>
      </c>
      <c r="J11753" s="17" t="s">
        <v>24017</v>
      </c>
      <c r="K11753" s="17"/>
      <c r="L11753" s="17" t="s">
        <v>24262</v>
      </c>
      <c r="M11753" s="17"/>
      <c r="N11753" s="17" t="s">
        <v>24434</v>
      </c>
      <c r="O11753" s="17"/>
      <c r="P11753" s="17" t="s">
        <v>24495</v>
      </c>
      <c r="Q11753" s="17"/>
      <c r="R11753" s="25" t="str">
        <f>HYPERLINK("https://ictv.global/taxonomy/taxondetails?taxnode_id=202313365","Cybitervirus niederense")</f>
        <v>Cybitervirus niederense</v>
      </c>
      <c r="S11753" s="18" t="s">
        <v>30</v>
      </c>
      <c r="T11753" s="18" t="s">
        <v>24496</v>
      </c>
      <c r="U11753" s="18" t="s">
        <v>24497</v>
      </c>
      <c r="V11753" s="18" t="s">
        <v>24498</v>
      </c>
      <c r="W11753" s="18" t="s">
        <v>24499</v>
      </c>
      <c r="X11753" s="18" t="s">
        <v>35</v>
      </c>
      <c r="Y11753" s="18" t="s">
        <v>23964</v>
      </c>
      <c r="Z11753" s="18" t="s">
        <v>10790</v>
      </c>
      <c r="AA11753" s="21" t="str">
        <f>HYPERLINK("https://www.ncbi.nlm.nih.gov/nuccore/MT153516","NCBI Nucleotide")</f>
        <v>NCBI Nucleotide</v>
      </c>
    </row>
    <row r="11754" spans="1:27" x14ac:dyDescent="0.35">
      <c r="A11754">
        <v>1010518</v>
      </c>
      <c r="B11754">
        <v>11058</v>
      </c>
      <c r="C11754">
        <v>1</v>
      </c>
      <c r="D11754" s="17" t="s">
        <v>17166</v>
      </c>
      <c r="E11754" s="17"/>
      <c r="F11754" s="17" t="s">
        <v>17246</v>
      </c>
      <c r="G11754" s="17"/>
      <c r="H11754" s="17" t="s">
        <v>23950</v>
      </c>
      <c r="I11754" s="17" t="s">
        <v>23956</v>
      </c>
      <c r="J11754" s="17" t="s">
        <v>24017</v>
      </c>
      <c r="K11754" s="17"/>
      <c r="L11754" s="17" t="s">
        <v>24262</v>
      </c>
      <c r="M11754" s="17"/>
      <c r="N11754" s="17" t="s">
        <v>24434</v>
      </c>
      <c r="O11754" s="17"/>
      <c r="P11754" s="17" t="s">
        <v>24500</v>
      </c>
      <c r="Q11754" s="17"/>
      <c r="R11754" s="25" t="str">
        <f>HYPERLINK("https://ictv.global/taxonomy/taxondetails?taxnode_id=202306268","Damravirus dentatis")</f>
        <v>Damravirus dentatis</v>
      </c>
      <c r="S11754" s="18" t="s">
        <v>30</v>
      </c>
      <c r="T11754" s="18" t="s">
        <v>24501</v>
      </c>
      <c r="U11754" s="18" t="s">
        <v>24502</v>
      </c>
      <c r="V11754" s="18" t="s">
        <v>24503</v>
      </c>
      <c r="W11754" s="18" t="s">
        <v>24504</v>
      </c>
      <c r="X11754" s="18" t="s">
        <v>35</v>
      </c>
      <c r="Y11754" s="18" t="s">
        <v>23964</v>
      </c>
      <c r="Z11754" s="18" t="s">
        <v>10790</v>
      </c>
      <c r="AA11754" s="21" t="str">
        <f>HYPERLINK("https://www.ncbi.nlm.nih.gov/nuccore/KX884418","NCBI Nucleotide")</f>
        <v>NCBI Nucleotide</v>
      </c>
    </row>
    <row r="11755" spans="1:27" x14ac:dyDescent="0.35">
      <c r="A11755">
        <v>1010519</v>
      </c>
      <c r="B11755">
        <v>11059</v>
      </c>
      <c r="C11755">
        <v>1</v>
      </c>
      <c r="D11755" s="17" t="s">
        <v>17166</v>
      </c>
      <c r="E11755" s="17"/>
      <c r="F11755" s="17" t="s">
        <v>17246</v>
      </c>
      <c r="G11755" s="17"/>
      <c r="H11755" s="17" t="s">
        <v>23950</v>
      </c>
      <c r="I11755" s="17" t="s">
        <v>23956</v>
      </c>
      <c r="J11755" s="17" t="s">
        <v>24017</v>
      </c>
      <c r="K11755" s="17"/>
      <c r="L11755" s="17" t="s">
        <v>24262</v>
      </c>
      <c r="M11755" s="17"/>
      <c r="N11755" s="17" t="s">
        <v>24434</v>
      </c>
      <c r="O11755" s="17"/>
      <c r="P11755" s="17" t="s">
        <v>24500</v>
      </c>
      <c r="Q11755" s="17"/>
      <c r="R11755" s="25" t="str">
        <f>HYPERLINK("https://ictv.global/taxonomy/taxondetails?taxnode_id=202314198","Damravirus fushunense")</f>
        <v>Damravirus fushunense</v>
      </c>
      <c r="S11755" s="18" t="s">
        <v>30</v>
      </c>
      <c r="T11755" s="18" t="s">
        <v>24505</v>
      </c>
      <c r="U11755" s="18" t="s">
        <v>24506</v>
      </c>
      <c r="V11755" s="18" t="s">
        <v>24507</v>
      </c>
      <c r="W11755" s="18" t="s">
        <v>24508</v>
      </c>
      <c r="X11755" s="18" t="s">
        <v>35</v>
      </c>
      <c r="Y11755" s="18" t="s">
        <v>23964</v>
      </c>
      <c r="Z11755" s="18" t="s">
        <v>10790</v>
      </c>
      <c r="AA11755" s="21" t="str">
        <f>HYPERLINK("https://www.ncbi.nlm.nih.gov/nuccore/MZ210022","NCBI Nucleotide")</f>
        <v>NCBI Nucleotide</v>
      </c>
    </row>
    <row r="11756" spans="1:27" x14ac:dyDescent="0.35">
      <c r="A11756">
        <v>1027594</v>
      </c>
      <c r="B11756">
        <v>11060</v>
      </c>
      <c r="C11756">
        <v>1</v>
      </c>
      <c r="D11756" s="17" t="s">
        <v>17166</v>
      </c>
      <c r="E11756" s="17"/>
      <c r="F11756" s="17" t="s">
        <v>17246</v>
      </c>
      <c r="G11756" s="17"/>
      <c r="H11756" s="17" t="s">
        <v>23950</v>
      </c>
      <c r="I11756" s="17" t="s">
        <v>23956</v>
      </c>
      <c r="J11756" s="17" t="s">
        <v>24017</v>
      </c>
      <c r="K11756" s="17"/>
      <c r="L11756" s="17" t="s">
        <v>24262</v>
      </c>
      <c r="M11756" s="17"/>
      <c r="N11756" s="17" t="s">
        <v>24434</v>
      </c>
      <c r="O11756" s="17"/>
      <c r="P11756" s="17" t="s">
        <v>24509</v>
      </c>
      <c r="Q11756" s="17"/>
      <c r="R11756" s="25" t="str">
        <f>HYPERLINK("https://ictv.global/taxonomy/taxondetails?taxnode_id=202318029","Ganiavirus fuyunense")</f>
        <v>Ganiavirus fuyunense</v>
      </c>
      <c r="S11756" s="18" t="s">
        <v>30</v>
      </c>
      <c r="T11756" s="18" t="s">
        <v>50896</v>
      </c>
      <c r="U11756" s="18" t="s">
        <v>46384</v>
      </c>
      <c r="V11756" s="18" t="s">
        <v>46385</v>
      </c>
      <c r="W11756" s="18" t="s">
        <v>46386</v>
      </c>
      <c r="X11756" s="18" t="s">
        <v>154</v>
      </c>
      <c r="Y11756" s="18" t="s">
        <v>23964</v>
      </c>
      <c r="Z11756" s="18" t="s">
        <v>10790</v>
      </c>
      <c r="AA11756" s="21" t="str">
        <f>HYPERLINK("https://www.ncbi.nlm.nih.gov/nuccore/OP313018","NCBI Nucleotide")</f>
        <v>NCBI Nucleotide</v>
      </c>
    </row>
    <row r="11757" spans="1:27" x14ac:dyDescent="0.35">
      <c r="A11757">
        <v>1010520</v>
      </c>
      <c r="B11757">
        <v>11061</v>
      </c>
      <c r="C11757">
        <v>1</v>
      </c>
      <c r="D11757" s="17" t="s">
        <v>17166</v>
      </c>
      <c r="E11757" s="17"/>
      <c r="F11757" s="17" t="s">
        <v>17246</v>
      </c>
      <c r="G11757" s="17"/>
      <c r="H11757" s="17" t="s">
        <v>23950</v>
      </c>
      <c r="I11757" s="17" t="s">
        <v>23956</v>
      </c>
      <c r="J11757" s="17" t="s">
        <v>24017</v>
      </c>
      <c r="K11757" s="17"/>
      <c r="L11757" s="17" t="s">
        <v>24262</v>
      </c>
      <c r="M11757" s="17"/>
      <c r="N11757" s="17" t="s">
        <v>24434</v>
      </c>
      <c r="O11757" s="17"/>
      <c r="P11757" s="17" t="s">
        <v>24509</v>
      </c>
      <c r="Q11757" s="17"/>
      <c r="R11757" s="25" t="str">
        <f>HYPERLINK("https://ictv.global/taxonomy/taxondetails?taxnode_id=202301816","Ganiavirus tachengense")</f>
        <v>Ganiavirus tachengense</v>
      </c>
      <c r="S11757" s="18" t="s">
        <v>30</v>
      </c>
      <c r="T11757" s="18" t="s">
        <v>24510</v>
      </c>
      <c r="U11757" s="18" t="s">
        <v>24511</v>
      </c>
      <c r="V11757" s="18" t="s">
        <v>24512</v>
      </c>
      <c r="W11757" s="18" t="s">
        <v>24513</v>
      </c>
      <c r="X11757" s="18" t="s">
        <v>35</v>
      </c>
      <c r="Y11757" s="18" t="s">
        <v>23964</v>
      </c>
      <c r="Z11757" s="18" t="s">
        <v>10790</v>
      </c>
      <c r="AA11757" s="21" t="str">
        <f>HYPERLINK("https://www.ncbi.nlm.nih.gov/nuccore/KM817641","NCBI Nucleotide")</f>
        <v>NCBI Nucleotide</v>
      </c>
    </row>
    <row r="11758" spans="1:27" x14ac:dyDescent="0.35">
      <c r="A11758">
        <v>1010521</v>
      </c>
      <c r="B11758">
        <v>11062</v>
      </c>
      <c r="C11758">
        <v>1</v>
      </c>
      <c r="D11758" s="17" t="s">
        <v>17166</v>
      </c>
      <c r="E11758" s="17"/>
      <c r="F11758" s="17" t="s">
        <v>17246</v>
      </c>
      <c r="G11758" s="17"/>
      <c r="H11758" s="17" t="s">
        <v>23950</v>
      </c>
      <c r="I11758" s="17" t="s">
        <v>23956</v>
      </c>
      <c r="J11758" s="17" t="s">
        <v>24017</v>
      </c>
      <c r="K11758" s="17"/>
      <c r="L11758" s="17" t="s">
        <v>24262</v>
      </c>
      <c r="M11758" s="17"/>
      <c r="N11758" s="17" t="s">
        <v>24434</v>
      </c>
      <c r="O11758" s="17"/>
      <c r="P11758" s="17" t="s">
        <v>24514</v>
      </c>
      <c r="Q11758" s="17"/>
      <c r="R11758" s="25" t="str">
        <f>HYPERLINK("https://ictv.global/taxonomy/taxondetails?taxnode_id=202314196","Hemipvirus scuti")</f>
        <v>Hemipvirus scuti</v>
      </c>
      <c r="S11758" s="18" t="s">
        <v>30</v>
      </c>
      <c r="T11758" s="18" t="s">
        <v>24515</v>
      </c>
      <c r="U11758" s="18" t="s">
        <v>24516</v>
      </c>
      <c r="V11758" s="18" t="s">
        <v>24517</v>
      </c>
      <c r="W11758" s="18" t="s">
        <v>24518</v>
      </c>
      <c r="X11758" s="18" t="s">
        <v>35</v>
      </c>
      <c r="Y11758" s="18" t="s">
        <v>23964</v>
      </c>
      <c r="Z11758" s="18" t="s">
        <v>10790</v>
      </c>
      <c r="AA11758" s="21" t="str">
        <f>HYPERLINK("https://www.ncbi.nlm.nih.gov/nuccore/MZ209652","NCBI Nucleotide")</f>
        <v>NCBI Nucleotide</v>
      </c>
    </row>
    <row r="11759" spans="1:27" x14ac:dyDescent="0.35">
      <c r="A11759">
        <v>1010522</v>
      </c>
      <c r="B11759">
        <v>11063</v>
      </c>
      <c r="C11759">
        <v>1</v>
      </c>
      <c r="D11759" s="17" t="s">
        <v>17166</v>
      </c>
      <c r="E11759" s="17"/>
      <c r="F11759" s="17" t="s">
        <v>17246</v>
      </c>
      <c r="G11759" s="17"/>
      <c r="H11759" s="17" t="s">
        <v>23950</v>
      </c>
      <c r="I11759" s="17" t="s">
        <v>23956</v>
      </c>
      <c r="J11759" s="17" t="s">
        <v>24017</v>
      </c>
      <c r="K11759" s="17"/>
      <c r="L11759" s="17" t="s">
        <v>24262</v>
      </c>
      <c r="M11759" s="17"/>
      <c r="N11759" s="17" t="s">
        <v>24434</v>
      </c>
      <c r="O11759" s="17"/>
      <c r="P11759" s="17" t="s">
        <v>24514</v>
      </c>
      <c r="Q11759" s="17"/>
      <c r="R11759" s="25" t="str">
        <f>HYPERLINK("https://ictv.global/taxonomy/taxondetails?taxnode_id=202314197","Hemipvirus veri")</f>
        <v>Hemipvirus veri</v>
      </c>
      <c r="S11759" s="18" t="s">
        <v>30</v>
      </c>
      <c r="T11759" s="18" t="s">
        <v>24519</v>
      </c>
      <c r="U11759" s="18" t="s">
        <v>24520</v>
      </c>
      <c r="V11759" s="18" t="s">
        <v>24521</v>
      </c>
      <c r="W11759" s="18" t="s">
        <v>24522</v>
      </c>
      <c r="X11759" s="18" t="s">
        <v>35</v>
      </c>
      <c r="Y11759" s="18" t="s">
        <v>23964</v>
      </c>
      <c r="Z11759" s="18" t="s">
        <v>10790</v>
      </c>
      <c r="AA11759" s="21" t="str">
        <f>HYPERLINK("https://www.ncbi.nlm.nih.gov/nuccore/MZ209674","NCBI Nucleotide")</f>
        <v>NCBI Nucleotide</v>
      </c>
    </row>
    <row r="11760" spans="1:27" x14ac:dyDescent="0.35">
      <c r="A11760">
        <v>1010523</v>
      </c>
      <c r="B11760">
        <v>11064</v>
      </c>
      <c r="C11760">
        <v>1</v>
      </c>
      <c r="D11760" s="17" t="s">
        <v>17166</v>
      </c>
      <c r="E11760" s="17"/>
      <c r="F11760" s="17" t="s">
        <v>17246</v>
      </c>
      <c r="G11760" s="17"/>
      <c r="H11760" s="17" t="s">
        <v>23950</v>
      </c>
      <c r="I11760" s="17" t="s">
        <v>23956</v>
      </c>
      <c r="J11760" s="17" t="s">
        <v>24017</v>
      </c>
      <c r="K11760" s="17"/>
      <c r="L11760" s="17" t="s">
        <v>24262</v>
      </c>
      <c r="M11760" s="17"/>
      <c r="N11760" s="17" t="s">
        <v>24434</v>
      </c>
      <c r="O11760" s="17"/>
      <c r="P11760" s="17" t="s">
        <v>24523</v>
      </c>
      <c r="Q11760" s="17"/>
      <c r="R11760" s="25" t="str">
        <f>HYPERLINK("https://ictv.global/taxonomy/taxondetails?taxnode_id=202306266","Leocovirus coleopteris")</f>
        <v>Leocovirus coleopteris</v>
      </c>
      <c r="S11760" s="18" t="s">
        <v>30</v>
      </c>
      <c r="T11760" s="18" t="s">
        <v>24524</v>
      </c>
      <c r="U11760" s="18" t="s">
        <v>24525</v>
      </c>
      <c r="V11760" s="18" t="s">
        <v>24526</v>
      </c>
      <c r="W11760" s="18" t="s">
        <v>24527</v>
      </c>
      <c r="X11760" s="18" t="s">
        <v>35</v>
      </c>
      <c r="Y11760" s="18" t="s">
        <v>23964</v>
      </c>
      <c r="Z11760" s="18" t="s">
        <v>10790</v>
      </c>
      <c r="AA11760" s="21" t="str">
        <f>HYPERLINK("https://www.ncbi.nlm.nih.gov/nuccore/KX884417","NCBI Nucleotide")</f>
        <v>NCBI Nucleotide</v>
      </c>
    </row>
    <row r="11761" spans="1:27" x14ac:dyDescent="0.35">
      <c r="A11761">
        <v>1010524</v>
      </c>
      <c r="B11761">
        <v>11065</v>
      </c>
      <c r="C11761">
        <v>1</v>
      </c>
      <c r="D11761" s="17" t="s">
        <v>17166</v>
      </c>
      <c r="E11761" s="17"/>
      <c r="F11761" s="17" t="s">
        <v>17246</v>
      </c>
      <c r="G11761" s="17"/>
      <c r="H11761" s="17" t="s">
        <v>23950</v>
      </c>
      <c r="I11761" s="17" t="s">
        <v>23956</v>
      </c>
      <c r="J11761" s="17" t="s">
        <v>24017</v>
      </c>
      <c r="K11761" s="17"/>
      <c r="L11761" s="17" t="s">
        <v>24262</v>
      </c>
      <c r="M11761" s="17"/>
      <c r="N11761" s="17" t="s">
        <v>24434</v>
      </c>
      <c r="O11761" s="17"/>
      <c r="P11761" s="17" t="s">
        <v>24528</v>
      </c>
      <c r="Q11761" s="17"/>
      <c r="R11761" s="25" t="str">
        <f>HYPERLINK("https://ictv.global/taxonomy/taxondetails?taxnode_id=202306267","Nematovirus wuchangense")</f>
        <v>Nematovirus wuchangense</v>
      </c>
      <c r="S11761" s="18" t="s">
        <v>30</v>
      </c>
      <c r="T11761" s="18" t="s">
        <v>24529</v>
      </c>
      <c r="U11761" s="18" t="s">
        <v>24530</v>
      </c>
      <c r="V11761" s="18" t="s">
        <v>24531</v>
      </c>
      <c r="W11761" s="18" t="s">
        <v>24532</v>
      </c>
      <c r="X11761" s="18" t="s">
        <v>35</v>
      </c>
      <c r="Y11761" s="18" t="s">
        <v>23964</v>
      </c>
      <c r="Z11761" s="18" t="s">
        <v>10790</v>
      </c>
      <c r="AA11761" s="21" t="str">
        <f>HYPERLINK("https://www.ncbi.nlm.nih.gov/nuccore/KX884441","NCBI Nucleotide")</f>
        <v>NCBI Nucleotide</v>
      </c>
    </row>
    <row r="11762" spans="1:27" x14ac:dyDescent="0.35">
      <c r="A11762">
        <v>1010525</v>
      </c>
      <c r="B11762">
        <v>11066</v>
      </c>
      <c r="C11762">
        <v>1</v>
      </c>
      <c r="D11762" s="17" t="s">
        <v>17166</v>
      </c>
      <c r="E11762" s="17"/>
      <c r="F11762" s="17" t="s">
        <v>17246</v>
      </c>
      <c r="G11762" s="17"/>
      <c r="H11762" s="17" t="s">
        <v>23950</v>
      </c>
      <c r="I11762" s="17" t="s">
        <v>23956</v>
      </c>
      <c r="J11762" s="17" t="s">
        <v>24017</v>
      </c>
      <c r="K11762" s="17"/>
      <c r="L11762" s="17" t="s">
        <v>24262</v>
      </c>
      <c r="M11762" s="17"/>
      <c r="N11762" s="17" t="s">
        <v>24434</v>
      </c>
      <c r="O11762" s="17"/>
      <c r="P11762" s="17" t="s">
        <v>24533</v>
      </c>
      <c r="Q11762" s="17"/>
      <c r="R11762" s="25" t="str">
        <f>HYPERLINK("https://ictv.global/taxonomy/taxondetails?taxnode_id=202313369","Phelinovirus aphidis")</f>
        <v>Phelinovirus aphidis</v>
      </c>
      <c r="S11762" s="18" t="s">
        <v>30</v>
      </c>
      <c r="T11762" s="18" t="s">
        <v>24534</v>
      </c>
      <c r="U11762" s="18" t="s">
        <v>24535</v>
      </c>
      <c r="V11762" s="18" t="s">
        <v>24536</v>
      </c>
      <c r="W11762" s="18" t="s">
        <v>24537</v>
      </c>
      <c r="X11762" s="18" t="s">
        <v>35</v>
      </c>
      <c r="Y11762" s="18" t="s">
        <v>23964</v>
      </c>
      <c r="Z11762" s="18" t="s">
        <v>10790</v>
      </c>
      <c r="AA11762" s="21" t="str">
        <f>HYPERLINK("https://www.ncbi.nlm.nih.gov/nuccore/MW288203","NCBI Nucleotide")</f>
        <v>NCBI Nucleotide</v>
      </c>
    </row>
    <row r="11763" spans="1:27" x14ac:dyDescent="0.35">
      <c r="A11763">
        <v>1010526</v>
      </c>
      <c r="B11763">
        <v>11067</v>
      </c>
      <c r="C11763">
        <v>1</v>
      </c>
      <c r="D11763" s="17" t="s">
        <v>17166</v>
      </c>
      <c r="E11763" s="17"/>
      <c r="F11763" s="17" t="s">
        <v>17246</v>
      </c>
      <c r="G11763" s="17"/>
      <c r="H11763" s="17" t="s">
        <v>23950</v>
      </c>
      <c r="I11763" s="17" t="s">
        <v>23956</v>
      </c>
      <c r="J11763" s="17" t="s">
        <v>24017</v>
      </c>
      <c r="K11763" s="17"/>
      <c r="L11763" s="17" t="s">
        <v>24262</v>
      </c>
      <c r="M11763" s="17"/>
      <c r="N11763" s="17" t="s">
        <v>24434</v>
      </c>
      <c r="O11763" s="17"/>
      <c r="P11763" s="17" t="s">
        <v>24538</v>
      </c>
      <c r="Q11763" s="17"/>
      <c r="R11763" s="25" t="str">
        <f>HYPERLINK("https://ictv.global/taxonomy/taxondetails?taxnode_id=202312218","Rivapovirus aleyrodidae")</f>
        <v>Rivapovirus aleyrodidae</v>
      </c>
      <c r="S11763" s="18" t="s">
        <v>30</v>
      </c>
      <c r="T11763" s="18" t="s">
        <v>24539</v>
      </c>
      <c r="U11763" s="18" t="s">
        <v>24540</v>
      </c>
      <c r="V11763" s="18" t="s">
        <v>24541</v>
      </c>
      <c r="W11763" s="18" t="s">
        <v>24542</v>
      </c>
      <c r="X11763" s="18" t="s">
        <v>35</v>
      </c>
      <c r="Y11763" s="18" t="s">
        <v>23964</v>
      </c>
      <c r="Z11763" s="18" t="s">
        <v>10790</v>
      </c>
      <c r="AA11763" s="21" t="str">
        <f>HYPERLINK("https://www.ncbi.nlm.nih.gov/nuccore/MT153547","NCBI Nucleotide")</f>
        <v>NCBI Nucleotide</v>
      </c>
    </row>
    <row r="11764" spans="1:27" x14ac:dyDescent="0.35">
      <c r="A11764">
        <v>1010527</v>
      </c>
      <c r="B11764">
        <v>11068</v>
      </c>
      <c r="C11764">
        <v>1</v>
      </c>
      <c r="D11764" s="17" t="s">
        <v>17166</v>
      </c>
      <c r="E11764" s="17"/>
      <c r="F11764" s="17" t="s">
        <v>17246</v>
      </c>
      <c r="G11764" s="17"/>
      <c r="H11764" s="17" t="s">
        <v>23950</v>
      </c>
      <c r="I11764" s="17" t="s">
        <v>23956</v>
      </c>
      <c r="J11764" s="17" t="s">
        <v>24017</v>
      </c>
      <c r="K11764" s="17"/>
      <c r="L11764" s="17" t="s">
        <v>24262</v>
      </c>
      <c r="M11764" s="17"/>
      <c r="N11764" s="17" t="s">
        <v>24434</v>
      </c>
      <c r="O11764" s="17"/>
      <c r="P11764" s="17" t="s">
        <v>24543</v>
      </c>
      <c r="Q11764" s="17"/>
      <c r="R11764" s="25" t="str">
        <f>HYPERLINK("https://ictv.global/taxonomy/taxondetails?taxnode_id=202301820","Sanstrivirus gerridis")</f>
        <v>Sanstrivirus gerridis</v>
      </c>
      <c r="S11764" s="18" t="s">
        <v>30</v>
      </c>
      <c r="T11764" s="18" t="s">
        <v>24544</v>
      </c>
      <c r="U11764" s="18" t="s">
        <v>24545</v>
      </c>
      <c r="V11764" s="18" t="s">
        <v>24546</v>
      </c>
      <c r="W11764" s="18" t="s">
        <v>24547</v>
      </c>
      <c r="X11764" s="18" t="s">
        <v>35</v>
      </c>
      <c r="Y11764" s="18" t="s">
        <v>23964</v>
      </c>
      <c r="Z11764" s="18" t="s">
        <v>10790</v>
      </c>
      <c r="AA11764" s="21" t="str">
        <f>HYPERLINK("https://www.ncbi.nlm.nih.gov/nuccore/KM817633","NCBI Nucleotide")</f>
        <v>NCBI Nucleotide</v>
      </c>
    </row>
    <row r="11765" spans="1:27" x14ac:dyDescent="0.35">
      <c r="A11765">
        <v>1010528</v>
      </c>
      <c r="B11765">
        <v>11069</v>
      </c>
      <c r="C11765">
        <v>1</v>
      </c>
      <c r="D11765" s="17" t="s">
        <v>17166</v>
      </c>
      <c r="E11765" s="17"/>
      <c r="F11765" s="17" t="s">
        <v>17246</v>
      </c>
      <c r="G11765" s="17"/>
      <c r="H11765" s="17" t="s">
        <v>23950</v>
      </c>
      <c r="I11765" s="17" t="s">
        <v>23956</v>
      </c>
      <c r="J11765" s="17" t="s">
        <v>24017</v>
      </c>
      <c r="K11765" s="17"/>
      <c r="L11765" s="17" t="s">
        <v>24262</v>
      </c>
      <c r="M11765" s="17"/>
      <c r="N11765" s="17" t="s">
        <v>24434</v>
      </c>
      <c r="O11765" s="17"/>
      <c r="P11765" s="17" t="s">
        <v>24548</v>
      </c>
      <c r="Q11765" s="17"/>
      <c r="R11765" s="25" t="str">
        <f>HYPERLINK("https://ictv.global/taxonomy/taxondetails?taxnode_id=202313363","Stylovirus niederense")</f>
        <v>Stylovirus niederense</v>
      </c>
      <c r="S11765" s="18" t="s">
        <v>30</v>
      </c>
      <c r="T11765" s="18" t="s">
        <v>24549</v>
      </c>
      <c r="U11765" s="18" t="s">
        <v>24550</v>
      </c>
      <c r="V11765" s="18" t="s">
        <v>24551</v>
      </c>
      <c r="W11765" s="18" t="s">
        <v>24552</v>
      </c>
      <c r="X11765" s="18" t="s">
        <v>35</v>
      </c>
      <c r="Y11765" s="18" t="s">
        <v>23964</v>
      </c>
      <c r="Z11765" s="18" t="s">
        <v>10790</v>
      </c>
      <c r="AA11765" s="21" t="str">
        <f>HYPERLINK("https://www.ncbi.nlm.nih.gov/nuccore/MT153499","NCBI Nucleotide")</f>
        <v>NCBI Nucleotide</v>
      </c>
    </row>
    <row r="11766" spans="1:27" x14ac:dyDescent="0.35">
      <c r="A11766">
        <v>1010529</v>
      </c>
      <c r="B11766">
        <v>11070</v>
      </c>
      <c r="C11766">
        <v>1</v>
      </c>
      <c r="D11766" s="17" t="s">
        <v>17166</v>
      </c>
      <c r="E11766" s="17"/>
      <c r="F11766" s="17" t="s">
        <v>17246</v>
      </c>
      <c r="G11766" s="17"/>
      <c r="H11766" s="17" t="s">
        <v>23950</v>
      </c>
      <c r="I11766" s="17" t="s">
        <v>23956</v>
      </c>
      <c r="J11766" s="17" t="s">
        <v>24017</v>
      </c>
      <c r="K11766" s="17"/>
      <c r="L11766" s="17" t="s">
        <v>24262</v>
      </c>
      <c r="M11766" s="17"/>
      <c r="N11766" s="17" t="s">
        <v>24434</v>
      </c>
      <c r="O11766" s="17"/>
      <c r="P11766" s="17" t="s">
        <v>24553</v>
      </c>
      <c r="Q11766" s="17"/>
      <c r="R11766" s="25" t="str">
        <f>HYPERLINK("https://ictv.global/taxonomy/taxondetails?taxnode_id=202313361","Supelovirus thailandense")</f>
        <v>Supelovirus thailandense</v>
      </c>
      <c r="S11766" s="18" t="s">
        <v>30</v>
      </c>
      <c r="T11766" s="18" t="s">
        <v>24554</v>
      </c>
      <c r="U11766" s="18" t="s">
        <v>24555</v>
      </c>
      <c r="V11766" s="18" t="s">
        <v>24556</v>
      </c>
      <c r="W11766" s="18" t="s">
        <v>24557</v>
      </c>
      <c r="X11766" s="18" t="s">
        <v>35</v>
      </c>
      <c r="Y11766" s="18" t="s">
        <v>23964</v>
      </c>
      <c r="Z11766" s="18" t="s">
        <v>10790</v>
      </c>
      <c r="AA11766" s="21" t="str">
        <f>HYPERLINK("https://www.ncbi.nlm.nih.gov/nuccore/MT153457","NCBI Nucleotide")</f>
        <v>NCBI Nucleotide</v>
      </c>
    </row>
    <row r="11767" spans="1:27" x14ac:dyDescent="0.35">
      <c r="A11767">
        <v>1010530</v>
      </c>
      <c r="B11767">
        <v>11071</v>
      </c>
      <c r="C11767">
        <v>1</v>
      </c>
      <c r="D11767" s="17" t="s">
        <v>17166</v>
      </c>
      <c r="E11767" s="17"/>
      <c r="F11767" s="17" t="s">
        <v>17246</v>
      </c>
      <c r="G11767" s="17"/>
      <c r="H11767" s="17" t="s">
        <v>23950</v>
      </c>
      <c r="I11767" s="17" t="s">
        <v>23956</v>
      </c>
      <c r="J11767" s="17" t="s">
        <v>24017</v>
      </c>
      <c r="K11767" s="17"/>
      <c r="L11767" s="17" t="s">
        <v>24262</v>
      </c>
      <c r="M11767" s="17"/>
      <c r="N11767" s="17" t="s">
        <v>24434</v>
      </c>
      <c r="O11767" s="17"/>
      <c r="P11767" s="17" t="s">
        <v>24558</v>
      </c>
      <c r="Q11767" s="17"/>
      <c r="R11767" s="25" t="str">
        <f>HYPERLINK("https://ictv.global/taxonomy/taxondetails?taxnode_id=202312216","Synelinevirus bonnense")</f>
        <v>Synelinevirus bonnense</v>
      </c>
      <c r="S11767" s="18" t="s">
        <v>30</v>
      </c>
      <c r="T11767" s="18" t="s">
        <v>24559</v>
      </c>
      <c r="U11767" s="18" t="s">
        <v>24560</v>
      </c>
      <c r="V11767" s="18" t="s">
        <v>24561</v>
      </c>
      <c r="W11767" s="18" t="s">
        <v>24562</v>
      </c>
      <c r="X11767" s="18" t="s">
        <v>35</v>
      </c>
      <c r="Y11767" s="18" t="s">
        <v>23964</v>
      </c>
      <c r="Z11767" s="18" t="s">
        <v>10790</v>
      </c>
      <c r="AA11767" s="21" t="str">
        <f>HYPERLINK("https://www.ncbi.nlm.nih.gov/nuccore/MW288166","NCBI Nucleotide")</f>
        <v>NCBI Nucleotide</v>
      </c>
    </row>
    <row r="11768" spans="1:27" x14ac:dyDescent="0.35">
      <c r="A11768">
        <v>1010531</v>
      </c>
      <c r="B11768">
        <v>11072</v>
      </c>
      <c r="C11768">
        <v>1</v>
      </c>
      <c r="D11768" s="17" t="s">
        <v>17166</v>
      </c>
      <c r="E11768" s="17"/>
      <c r="F11768" s="17" t="s">
        <v>17246</v>
      </c>
      <c r="G11768" s="17"/>
      <c r="H11768" s="17" t="s">
        <v>23950</v>
      </c>
      <c r="I11768" s="17" t="s">
        <v>23956</v>
      </c>
      <c r="J11768" s="17" t="s">
        <v>24017</v>
      </c>
      <c r="K11768" s="17"/>
      <c r="L11768" s="17" t="s">
        <v>24262</v>
      </c>
      <c r="M11768" s="17"/>
      <c r="N11768" s="17" t="s">
        <v>24434</v>
      </c>
      <c r="O11768" s="17"/>
      <c r="P11768" s="17" t="s">
        <v>24558</v>
      </c>
      <c r="Q11768" s="17"/>
      <c r="R11768" s="25" t="str">
        <f>HYPERLINK("https://ictv.global/taxonomy/taxondetails?taxnode_id=202313373","Synelinevirus paranaense")</f>
        <v>Synelinevirus paranaense</v>
      </c>
      <c r="S11768" s="18" t="s">
        <v>30</v>
      </c>
      <c r="T11768" s="18" t="s">
        <v>24563</v>
      </c>
      <c r="U11768" s="18" t="s">
        <v>24564</v>
      </c>
      <c r="V11768" s="18" t="s">
        <v>24565</v>
      </c>
      <c r="W11768" s="18" t="s">
        <v>24566</v>
      </c>
      <c r="X11768" s="18" t="s">
        <v>35</v>
      </c>
      <c r="Y11768" s="18" t="s">
        <v>23964</v>
      </c>
      <c r="Z11768" s="18" t="s">
        <v>10790</v>
      </c>
      <c r="AA11768" s="21" t="str">
        <f>HYPERLINK("https://www.ncbi.nlm.nih.gov/nuccore/MH213246","NCBI Nucleotide")</f>
        <v>NCBI Nucleotide</v>
      </c>
    </row>
    <row r="11769" spans="1:27" x14ac:dyDescent="0.35">
      <c r="A11769">
        <v>1010532</v>
      </c>
      <c r="B11769">
        <v>11073</v>
      </c>
      <c r="C11769">
        <v>1</v>
      </c>
      <c r="D11769" s="17" t="s">
        <v>17166</v>
      </c>
      <c r="E11769" s="17"/>
      <c r="F11769" s="17" t="s">
        <v>17246</v>
      </c>
      <c r="G11769" s="17"/>
      <c r="H11769" s="17" t="s">
        <v>23950</v>
      </c>
      <c r="I11769" s="17" t="s">
        <v>23956</v>
      </c>
      <c r="J11769" s="17" t="s">
        <v>24017</v>
      </c>
      <c r="K11769" s="17"/>
      <c r="L11769" s="17" t="s">
        <v>24262</v>
      </c>
      <c r="M11769" s="17"/>
      <c r="N11769" s="17" t="s">
        <v>24434</v>
      </c>
      <c r="O11769" s="17"/>
      <c r="P11769" s="17" t="s">
        <v>24567</v>
      </c>
      <c r="Q11769" s="17"/>
      <c r="R11769" s="25" t="str">
        <f>HYPERLINK("https://ictv.global/taxonomy/taxondetails?taxnode_id=202312222","Usmuvirus newyorkense")</f>
        <v>Usmuvirus newyorkense</v>
      </c>
      <c r="S11769" s="18" t="s">
        <v>30</v>
      </c>
      <c r="T11769" s="18" t="s">
        <v>24568</v>
      </c>
      <c r="U11769" s="18" t="s">
        <v>24569</v>
      </c>
      <c r="V11769" s="18" t="s">
        <v>24570</v>
      </c>
      <c r="W11769" s="18" t="s">
        <v>24571</v>
      </c>
      <c r="X11769" s="18" t="s">
        <v>35</v>
      </c>
      <c r="Y11769" s="18" t="s">
        <v>23964</v>
      </c>
      <c r="Z11769" s="18" t="s">
        <v>10790</v>
      </c>
      <c r="AA11769" s="21" t="str">
        <f>HYPERLINK("https://www.ncbi.nlm.nih.gov/nuccore/MK618655","NCBI Nucleotide")</f>
        <v>NCBI Nucleotide</v>
      </c>
    </row>
    <row r="11770" spans="1:27" x14ac:dyDescent="0.35">
      <c r="A11770">
        <v>1010533</v>
      </c>
      <c r="B11770">
        <v>11074</v>
      </c>
      <c r="C11770">
        <v>1</v>
      </c>
      <c r="D11770" s="17" t="s">
        <v>17166</v>
      </c>
      <c r="E11770" s="17"/>
      <c r="F11770" s="17" t="s">
        <v>17246</v>
      </c>
      <c r="G11770" s="17"/>
      <c r="H11770" s="17" t="s">
        <v>23950</v>
      </c>
      <c r="I11770" s="17" t="s">
        <v>23956</v>
      </c>
      <c r="J11770" s="17" t="s">
        <v>24017</v>
      </c>
      <c r="K11770" s="17"/>
      <c r="L11770" s="17" t="s">
        <v>24262</v>
      </c>
      <c r="M11770" s="17"/>
      <c r="N11770" s="17" t="s">
        <v>24434</v>
      </c>
      <c r="O11770" s="17"/>
      <c r="P11770" s="17" t="s">
        <v>24572</v>
      </c>
      <c r="Q11770" s="17"/>
      <c r="R11770" s="25" t="str">
        <f>HYPERLINK("https://ictv.global/taxonomy/taxondetails?taxnode_id=202312220","Xenophyvirus mathesonense")</f>
        <v>Xenophyvirus mathesonense</v>
      </c>
      <c r="S11770" s="18" t="s">
        <v>30</v>
      </c>
      <c r="T11770" s="18" t="s">
        <v>24573</v>
      </c>
      <c r="U11770" s="18" t="s">
        <v>24574</v>
      </c>
      <c r="V11770" s="18" t="s">
        <v>24575</v>
      </c>
      <c r="W11770" s="18" t="s">
        <v>24576</v>
      </c>
      <c r="X11770" s="18" t="s">
        <v>35</v>
      </c>
      <c r="Y11770" s="18" t="s">
        <v>23964</v>
      </c>
      <c r="Z11770" s="18" t="s">
        <v>10790</v>
      </c>
      <c r="AA11770" s="21" t="str">
        <f>HYPERLINK("https://www.ncbi.nlm.nih.gov/nuccore/MW288170","NCBI Nucleotide")</f>
        <v>NCBI Nucleotide</v>
      </c>
    </row>
    <row r="11771" spans="1:27" x14ac:dyDescent="0.35">
      <c r="A11771">
        <v>1010534</v>
      </c>
      <c r="B11771">
        <v>11075</v>
      </c>
      <c r="C11771">
        <v>1</v>
      </c>
      <c r="D11771" s="17" t="s">
        <v>17166</v>
      </c>
      <c r="E11771" s="17"/>
      <c r="F11771" s="17" t="s">
        <v>17246</v>
      </c>
      <c r="G11771" s="17"/>
      <c r="H11771" s="17" t="s">
        <v>23950</v>
      </c>
      <c r="I11771" s="17" t="s">
        <v>23956</v>
      </c>
      <c r="J11771" s="17" t="s">
        <v>24017</v>
      </c>
      <c r="K11771" s="17"/>
      <c r="L11771" s="17" t="s">
        <v>24262</v>
      </c>
      <c r="M11771" s="17"/>
      <c r="N11771" s="17" t="s">
        <v>24577</v>
      </c>
      <c r="O11771" s="17"/>
      <c r="P11771" s="17" t="s">
        <v>24578</v>
      </c>
      <c r="Q11771" s="17"/>
      <c r="R11771" s="25" t="str">
        <f>HYPERLINK("https://ictv.global/taxonomy/taxondetails?taxnode_id=202314202","Auricularimonavirus armillariae")</f>
        <v>Auricularimonavirus armillariae</v>
      </c>
      <c r="S11771" s="18" t="s">
        <v>30</v>
      </c>
      <c r="T11771" s="18" t="s">
        <v>24579</v>
      </c>
      <c r="U11771" s="18" t="s">
        <v>24580</v>
      </c>
      <c r="V11771" s="18" t="s">
        <v>24581</v>
      </c>
      <c r="W11771" s="18" t="s">
        <v>24582</v>
      </c>
      <c r="X11771" s="18" t="s">
        <v>42</v>
      </c>
      <c r="Y11771" s="18" t="s">
        <v>23964</v>
      </c>
      <c r="Z11771" s="18" t="s">
        <v>16721</v>
      </c>
      <c r="AA11771" s="21" t="str">
        <f>HYPERLINK("https://www.ncbi.nlm.nih.gov/nuccore/BK014417","NCBI Nucleotide")</f>
        <v>NCBI Nucleotide</v>
      </c>
    </row>
    <row r="11772" spans="1:27" x14ac:dyDescent="0.35">
      <c r="A11772">
        <v>1010535</v>
      </c>
      <c r="B11772">
        <v>11076</v>
      </c>
      <c r="C11772">
        <v>1</v>
      </c>
      <c r="D11772" s="17" t="s">
        <v>17166</v>
      </c>
      <c r="E11772" s="17"/>
      <c r="F11772" s="17" t="s">
        <v>17246</v>
      </c>
      <c r="G11772" s="17"/>
      <c r="H11772" s="17" t="s">
        <v>23950</v>
      </c>
      <c r="I11772" s="17" t="s">
        <v>23956</v>
      </c>
      <c r="J11772" s="17" t="s">
        <v>24017</v>
      </c>
      <c r="K11772" s="17"/>
      <c r="L11772" s="17" t="s">
        <v>24262</v>
      </c>
      <c r="M11772" s="17"/>
      <c r="N11772" s="17" t="s">
        <v>24577</v>
      </c>
      <c r="O11772" s="17"/>
      <c r="P11772" s="17" t="s">
        <v>24578</v>
      </c>
      <c r="Q11772" s="17"/>
      <c r="R11772" s="25" t="str">
        <f>HYPERLINK("https://ictv.global/taxonomy/taxondetails?taxnode_id=202308901","Auricularimonavirus auriculariae")</f>
        <v>Auricularimonavirus auriculariae</v>
      </c>
      <c r="S11772" s="18" t="s">
        <v>30</v>
      </c>
      <c r="T11772" s="18" t="s">
        <v>24583</v>
      </c>
      <c r="U11772" s="18" t="s">
        <v>24584</v>
      </c>
      <c r="V11772" s="18" t="s">
        <v>24585</v>
      </c>
      <c r="W11772" s="18" t="s">
        <v>24586</v>
      </c>
      <c r="X11772" s="18" t="s">
        <v>42</v>
      </c>
      <c r="Y11772" s="18" t="s">
        <v>23964</v>
      </c>
      <c r="Z11772" s="18" t="s">
        <v>16721</v>
      </c>
      <c r="AA11772" s="21" t="str">
        <f>HYPERLINK("https://www.ncbi.nlm.nih.gov/nuccore/MT259204","NCBI Nucleotide")</f>
        <v>NCBI Nucleotide</v>
      </c>
    </row>
    <row r="11773" spans="1:27" x14ac:dyDescent="0.35">
      <c r="A11773">
        <v>1010536</v>
      </c>
      <c r="B11773">
        <v>11077</v>
      </c>
      <c r="C11773">
        <v>1</v>
      </c>
      <c r="D11773" s="17" t="s">
        <v>17166</v>
      </c>
      <c r="E11773" s="17"/>
      <c r="F11773" s="17" t="s">
        <v>17246</v>
      </c>
      <c r="G11773" s="17"/>
      <c r="H11773" s="17" t="s">
        <v>23950</v>
      </c>
      <c r="I11773" s="17" t="s">
        <v>23956</v>
      </c>
      <c r="J11773" s="17" t="s">
        <v>24017</v>
      </c>
      <c r="K11773" s="17"/>
      <c r="L11773" s="17" t="s">
        <v>24262</v>
      </c>
      <c r="M11773" s="17"/>
      <c r="N11773" s="17" t="s">
        <v>24577</v>
      </c>
      <c r="O11773" s="17"/>
      <c r="P11773" s="17" t="s">
        <v>24578</v>
      </c>
      <c r="Q11773" s="17"/>
      <c r="R11773" s="25" t="str">
        <f>HYPERLINK("https://ictv.global/taxonomy/taxondetails?taxnode_id=202312965","Auricularimonavirus bondarzewiae")</f>
        <v>Auricularimonavirus bondarzewiae</v>
      </c>
      <c r="S11773" s="18" t="s">
        <v>30</v>
      </c>
      <c r="T11773" s="18" t="s">
        <v>24587</v>
      </c>
      <c r="U11773" s="18" t="s">
        <v>24588</v>
      </c>
      <c r="V11773" s="18" t="s">
        <v>24589</v>
      </c>
      <c r="W11773" s="18" t="s">
        <v>24590</v>
      </c>
      <c r="X11773" s="18" t="s">
        <v>42</v>
      </c>
      <c r="Y11773" s="18" t="s">
        <v>23964</v>
      </c>
      <c r="Z11773" s="18" t="s">
        <v>16721</v>
      </c>
      <c r="AA11773" s="21" t="str">
        <f>HYPERLINK("https://www.ncbi.nlm.nih.gov/nuccore/MT447187","NCBI Nucleotide")</f>
        <v>NCBI Nucleotide</v>
      </c>
    </row>
    <row r="11774" spans="1:27" x14ac:dyDescent="0.35">
      <c r="A11774">
        <v>1010537</v>
      </c>
      <c r="B11774">
        <v>11078</v>
      </c>
      <c r="C11774">
        <v>1</v>
      </c>
      <c r="D11774" s="17" t="s">
        <v>17166</v>
      </c>
      <c r="E11774" s="17"/>
      <c r="F11774" s="17" t="s">
        <v>17246</v>
      </c>
      <c r="G11774" s="17"/>
      <c r="H11774" s="17" t="s">
        <v>23950</v>
      </c>
      <c r="I11774" s="17" t="s">
        <v>23956</v>
      </c>
      <c r="J11774" s="17" t="s">
        <v>24017</v>
      </c>
      <c r="K11774" s="17"/>
      <c r="L11774" s="17" t="s">
        <v>24262</v>
      </c>
      <c r="M11774" s="17"/>
      <c r="N11774" s="17" t="s">
        <v>24577</v>
      </c>
      <c r="O11774" s="17"/>
      <c r="P11774" s="17" t="s">
        <v>24591</v>
      </c>
      <c r="Q11774" s="17"/>
      <c r="R11774" s="25" t="str">
        <f>HYPERLINK("https://ictv.global/taxonomy/taxondetails?taxnode_id=202312966","Botrytimonavirus alphabotrytidis")</f>
        <v>Botrytimonavirus alphabotrytidis</v>
      </c>
      <c r="S11774" s="18" t="s">
        <v>30</v>
      </c>
      <c r="T11774" s="18" t="s">
        <v>24592</v>
      </c>
      <c r="U11774" s="18" t="s">
        <v>24593</v>
      </c>
      <c r="V11774" s="18" t="s">
        <v>24594</v>
      </c>
      <c r="W11774" s="18" t="s">
        <v>24595</v>
      </c>
      <c r="X11774" s="18" t="s">
        <v>35</v>
      </c>
      <c r="Y11774" s="18" t="s">
        <v>23964</v>
      </c>
      <c r="Z11774" s="18" t="s">
        <v>16721</v>
      </c>
      <c r="AA11774" s="21" t="str">
        <f>HYPERLINK("https://www.ncbi.nlm.nih.gov/nuccore/MN617152","NCBI Nucleotide")</f>
        <v>NCBI Nucleotide</v>
      </c>
    </row>
    <row r="11775" spans="1:27" x14ac:dyDescent="0.35">
      <c r="A11775">
        <v>1012863</v>
      </c>
      <c r="B11775">
        <v>11078</v>
      </c>
      <c r="C11775">
        <v>2</v>
      </c>
      <c r="D11775" s="17" t="s">
        <v>17166</v>
      </c>
      <c r="E11775" s="17"/>
      <c r="F11775" s="17" t="s">
        <v>17246</v>
      </c>
      <c r="G11775" s="17"/>
      <c r="H11775" s="17" t="s">
        <v>23950</v>
      </c>
      <c r="I11775" s="17" t="s">
        <v>23956</v>
      </c>
      <c r="J11775" s="17" t="s">
        <v>24017</v>
      </c>
      <c r="K11775" s="17"/>
      <c r="L11775" s="17" t="s">
        <v>24262</v>
      </c>
      <c r="M11775" s="17"/>
      <c r="N11775" s="17" t="s">
        <v>24577</v>
      </c>
      <c r="O11775" s="17"/>
      <c r="P11775" s="17" t="s">
        <v>24591</v>
      </c>
      <c r="Q11775" s="17"/>
      <c r="R11775" s="25" t="str">
        <f>HYPERLINK("https://ictv.global/taxonomy/taxondetails?taxnode_id=202312966","Botrytimonavirus alphabotrytidis")</f>
        <v>Botrytimonavirus alphabotrytidis</v>
      </c>
      <c r="S11775" s="18" t="s">
        <v>8141</v>
      </c>
      <c r="T11775" s="18" t="s">
        <v>24596</v>
      </c>
      <c r="U11775" s="18" t="s">
        <v>24597</v>
      </c>
      <c r="V11775" s="18" t="s">
        <v>24598</v>
      </c>
      <c r="W11775" s="18" t="s">
        <v>49419</v>
      </c>
      <c r="X11775" s="18" t="s">
        <v>154</v>
      </c>
      <c r="Y11775" s="18" t="s">
        <v>23964</v>
      </c>
      <c r="Z11775" s="18" t="s">
        <v>16721</v>
      </c>
      <c r="AA11775" s="21" t="str">
        <f>HYPERLINK("https://www.ncbi.nlm.nih.gov/nuccore/MT646378","NCBI Nucleotide")</f>
        <v>NCBI Nucleotide</v>
      </c>
    </row>
    <row r="11776" spans="1:27" x14ac:dyDescent="0.35">
      <c r="A11776">
        <v>1010538</v>
      </c>
      <c r="B11776">
        <v>11079</v>
      </c>
      <c r="C11776">
        <v>1</v>
      </c>
      <c r="D11776" s="17" t="s">
        <v>17166</v>
      </c>
      <c r="E11776" s="17"/>
      <c r="F11776" s="17" t="s">
        <v>17246</v>
      </c>
      <c r="G11776" s="17"/>
      <c r="H11776" s="17" t="s">
        <v>23950</v>
      </c>
      <c r="I11776" s="17" t="s">
        <v>23956</v>
      </c>
      <c r="J11776" s="17" t="s">
        <v>24017</v>
      </c>
      <c r="K11776" s="17"/>
      <c r="L11776" s="17" t="s">
        <v>24262</v>
      </c>
      <c r="M11776" s="17"/>
      <c r="N11776" s="17" t="s">
        <v>24577</v>
      </c>
      <c r="O11776" s="17"/>
      <c r="P11776" s="17" t="s">
        <v>24591</v>
      </c>
      <c r="Q11776" s="17"/>
      <c r="R11776" s="25" t="str">
        <f>HYPERLINK("https://ictv.global/taxonomy/taxondetails?taxnode_id=202308886","Botrytimonavirus botrytidis")</f>
        <v>Botrytimonavirus botrytidis</v>
      </c>
      <c r="S11776" s="18" t="s">
        <v>30</v>
      </c>
      <c r="T11776" s="18" t="s">
        <v>24599</v>
      </c>
      <c r="U11776" s="18" t="s">
        <v>24600</v>
      </c>
      <c r="V11776" s="18" t="s">
        <v>24601</v>
      </c>
      <c r="W11776" s="18" t="s">
        <v>24602</v>
      </c>
      <c r="X11776" s="18" t="s">
        <v>35</v>
      </c>
      <c r="Y11776" s="18" t="s">
        <v>23964</v>
      </c>
      <c r="Z11776" s="18" t="s">
        <v>16721</v>
      </c>
      <c r="AA11776" s="21" t="str">
        <f>HYPERLINK("https://www.ncbi.nlm.nih.gov/nuccore/MT157413","NCBI Nucleotide")</f>
        <v>NCBI Nucleotide</v>
      </c>
    </row>
    <row r="11777" spans="1:27" x14ac:dyDescent="0.35">
      <c r="A11777">
        <v>1012864</v>
      </c>
      <c r="B11777">
        <v>11079</v>
      </c>
      <c r="C11777">
        <v>2</v>
      </c>
      <c r="D11777" s="17" t="s">
        <v>17166</v>
      </c>
      <c r="E11777" s="17"/>
      <c r="F11777" s="17" t="s">
        <v>17246</v>
      </c>
      <c r="G11777" s="17"/>
      <c r="H11777" s="17" t="s">
        <v>23950</v>
      </c>
      <c r="I11777" s="17" t="s">
        <v>23956</v>
      </c>
      <c r="J11777" s="17" t="s">
        <v>24017</v>
      </c>
      <c r="K11777" s="17"/>
      <c r="L11777" s="17" t="s">
        <v>24262</v>
      </c>
      <c r="M11777" s="17"/>
      <c r="N11777" s="17" t="s">
        <v>24577</v>
      </c>
      <c r="O11777" s="17"/>
      <c r="P11777" s="17" t="s">
        <v>24591</v>
      </c>
      <c r="Q11777" s="17"/>
      <c r="R11777" s="25" t="str">
        <f>HYPERLINK("https://ictv.global/taxonomy/taxondetails?taxnode_id=202308886","Botrytimonavirus botrytidis")</f>
        <v>Botrytimonavirus botrytidis</v>
      </c>
      <c r="S11777" s="18" t="s">
        <v>8141</v>
      </c>
      <c r="T11777" s="18" t="s">
        <v>24603</v>
      </c>
      <c r="U11777" s="18" t="s">
        <v>24604</v>
      </c>
      <c r="V11777" s="18" t="s">
        <v>24605</v>
      </c>
      <c r="W11777" s="18" t="s">
        <v>49420</v>
      </c>
      <c r="X11777" s="18" t="s">
        <v>154</v>
      </c>
      <c r="Y11777" s="18" t="s">
        <v>23964</v>
      </c>
      <c r="Z11777" s="18" t="s">
        <v>16721</v>
      </c>
      <c r="AA11777" s="21" t="str">
        <f>HYPERLINK("https://www.ncbi.nlm.nih.gov/nuccore/MT646406","NCBI Nucleotide")</f>
        <v>NCBI Nucleotide</v>
      </c>
    </row>
    <row r="11778" spans="1:27" x14ac:dyDescent="0.35">
      <c r="A11778">
        <v>1010539</v>
      </c>
      <c r="B11778">
        <v>11080</v>
      </c>
      <c r="C11778">
        <v>1</v>
      </c>
      <c r="D11778" s="17" t="s">
        <v>17166</v>
      </c>
      <c r="E11778" s="17"/>
      <c r="F11778" s="17" t="s">
        <v>17246</v>
      </c>
      <c r="G11778" s="17"/>
      <c r="H11778" s="17" t="s">
        <v>23950</v>
      </c>
      <c r="I11778" s="17" t="s">
        <v>23956</v>
      </c>
      <c r="J11778" s="17" t="s">
        <v>24017</v>
      </c>
      <c r="K11778" s="17"/>
      <c r="L11778" s="17" t="s">
        <v>24262</v>
      </c>
      <c r="M11778" s="17"/>
      <c r="N11778" s="17" t="s">
        <v>24577</v>
      </c>
      <c r="O11778" s="17"/>
      <c r="P11778" s="17" t="s">
        <v>24591</v>
      </c>
      <c r="Q11778" s="17"/>
      <c r="R11778" s="25" t="str">
        <f>HYPERLINK("https://ictv.global/taxonomy/taxondetails?taxnode_id=202306247","Botrytimonavirus glycinis")</f>
        <v>Botrytimonavirus glycinis</v>
      </c>
      <c r="S11778" s="18" t="s">
        <v>30</v>
      </c>
      <c r="T11778" s="18" t="s">
        <v>24606</v>
      </c>
      <c r="U11778" s="18" t="s">
        <v>24607</v>
      </c>
      <c r="V11778" s="18">
        <v>1</v>
      </c>
      <c r="W11778" s="18" t="s">
        <v>24608</v>
      </c>
      <c r="X11778" s="18" t="s">
        <v>154</v>
      </c>
      <c r="Y11778" s="18" t="s">
        <v>23964</v>
      </c>
      <c r="Z11778" s="18" t="s">
        <v>24609</v>
      </c>
      <c r="AA11778" s="21" t="str">
        <f>HYPERLINK("https://www.ncbi.nlm.nih.gov/nuccore/KT598228","NCBI Nucleotide")</f>
        <v>NCBI Nucleotide</v>
      </c>
    </row>
    <row r="11779" spans="1:27" x14ac:dyDescent="0.35">
      <c r="A11779">
        <v>1010540</v>
      </c>
      <c r="B11779">
        <v>11081</v>
      </c>
      <c r="C11779">
        <v>1</v>
      </c>
      <c r="D11779" s="17" t="s">
        <v>17166</v>
      </c>
      <c r="E11779" s="17"/>
      <c r="F11779" s="17" t="s">
        <v>17246</v>
      </c>
      <c r="G11779" s="17"/>
      <c r="H11779" s="17" t="s">
        <v>23950</v>
      </c>
      <c r="I11779" s="17" t="s">
        <v>23956</v>
      </c>
      <c r="J11779" s="17" t="s">
        <v>24017</v>
      </c>
      <c r="K11779" s="17"/>
      <c r="L11779" s="17" t="s">
        <v>24262</v>
      </c>
      <c r="M11779" s="17"/>
      <c r="N11779" s="17" t="s">
        <v>24577</v>
      </c>
      <c r="O11779" s="17"/>
      <c r="P11779" s="17" t="s">
        <v>24591</v>
      </c>
      <c r="Q11779" s="17"/>
      <c r="R11779" s="25" t="str">
        <f>HYPERLINK("https://ictv.global/taxonomy/taxondetails?taxnode_id=202306248","Botrytimonavirus sclerotiniae")</f>
        <v>Botrytimonavirus sclerotiniae</v>
      </c>
      <c r="S11779" s="18" t="s">
        <v>30</v>
      </c>
      <c r="T11779" s="18" t="s">
        <v>24610</v>
      </c>
      <c r="U11779" s="18" t="s">
        <v>24611</v>
      </c>
      <c r="V11779" s="18" t="s">
        <v>24612</v>
      </c>
      <c r="W11779" s="18" t="s">
        <v>24613</v>
      </c>
      <c r="X11779" s="18" t="s">
        <v>35</v>
      </c>
      <c r="Y11779" s="18" t="s">
        <v>23964</v>
      </c>
      <c r="Z11779" s="18" t="s">
        <v>16721</v>
      </c>
      <c r="AA11779" s="21" t="str">
        <f>HYPERLINK("https://www.ncbi.nlm.nih.gov/nuccore/MF444279","NCBI Nucleotide")</f>
        <v>NCBI Nucleotide</v>
      </c>
    </row>
    <row r="11780" spans="1:27" x14ac:dyDescent="0.35">
      <c r="A11780">
        <v>1012865</v>
      </c>
      <c r="B11780">
        <v>11081</v>
      </c>
      <c r="C11780">
        <v>2</v>
      </c>
      <c r="D11780" s="17" t="s">
        <v>17166</v>
      </c>
      <c r="E11780" s="17"/>
      <c r="F11780" s="17" t="s">
        <v>17246</v>
      </c>
      <c r="G11780" s="17"/>
      <c r="H11780" s="17" t="s">
        <v>23950</v>
      </c>
      <c r="I11780" s="17" t="s">
        <v>23956</v>
      </c>
      <c r="J11780" s="17" t="s">
        <v>24017</v>
      </c>
      <c r="K11780" s="17"/>
      <c r="L11780" s="17" t="s">
        <v>24262</v>
      </c>
      <c r="M11780" s="17"/>
      <c r="N11780" s="17" t="s">
        <v>24577</v>
      </c>
      <c r="O11780" s="17"/>
      <c r="P11780" s="17" t="s">
        <v>24591</v>
      </c>
      <c r="Q11780" s="17"/>
      <c r="R11780" s="25" t="str">
        <f>HYPERLINK("https://ictv.global/taxonomy/taxondetails?taxnode_id=202306248","Botrytimonavirus sclerotiniae")</f>
        <v>Botrytimonavirus sclerotiniae</v>
      </c>
      <c r="S11780" s="18" t="s">
        <v>8141</v>
      </c>
      <c r="T11780" s="18" t="s">
        <v>24614</v>
      </c>
      <c r="U11780" s="18" t="s">
        <v>24615</v>
      </c>
      <c r="V11780" s="18">
        <v>500</v>
      </c>
      <c r="W11780" s="18" t="s">
        <v>49421</v>
      </c>
      <c r="X11780" s="18" t="s">
        <v>35</v>
      </c>
      <c r="Y11780" s="18" t="s">
        <v>23964</v>
      </c>
      <c r="Z11780" s="18" t="s">
        <v>16721</v>
      </c>
      <c r="AA11780" s="21" t="str">
        <f>HYPERLINK("https://www.ncbi.nlm.nih.gov/nuccore/KP900931","NCBI Nucleotide")</f>
        <v>NCBI Nucleotide</v>
      </c>
    </row>
    <row r="11781" spans="1:27" x14ac:dyDescent="0.35">
      <c r="A11781">
        <v>1012867</v>
      </c>
      <c r="B11781">
        <v>11081</v>
      </c>
      <c r="C11781">
        <v>3</v>
      </c>
      <c r="D11781" s="17" t="s">
        <v>17166</v>
      </c>
      <c r="E11781" s="17"/>
      <c r="F11781" s="17" t="s">
        <v>17246</v>
      </c>
      <c r="G11781" s="17"/>
      <c r="H11781" s="17" t="s">
        <v>23950</v>
      </c>
      <c r="I11781" s="17" t="s">
        <v>23956</v>
      </c>
      <c r="J11781" s="17" t="s">
        <v>24017</v>
      </c>
      <c r="K11781" s="17"/>
      <c r="L11781" s="17" t="s">
        <v>24262</v>
      </c>
      <c r="M11781" s="17"/>
      <c r="N11781" s="17" t="s">
        <v>24577</v>
      </c>
      <c r="O11781" s="17"/>
      <c r="P11781" s="17" t="s">
        <v>24591</v>
      </c>
      <c r="Q11781" s="17"/>
      <c r="R11781" s="25" t="str">
        <f>HYPERLINK("https://ictv.global/taxonomy/taxondetails?taxnode_id=202306248","Botrytimonavirus sclerotiniae")</f>
        <v>Botrytimonavirus sclerotiniae</v>
      </c>
      <c r="S11781" s="18" t="s">
        <v>8141</v>
      </c>
      <c r="T11781" s="18" t="s">
        <v>24618</v>
      </c>
      <c r="U11781" s="18" t="s">
        <v>24619</v>
      </c>
      <c r="V11781" s="18">
        <v>257</v>
      </c>
      <c r="W11781" s="18" t="s">
        <v>49422</v>
      </c>
      <c r="X11781" s="18" t="s">
        <v>35</v>
      </c>
      <c r="Y11781" s="18" t="s">
        <v>23964</v>
      </c>
      <c r="Z11781" s="18" t="s">
        <v>16721</v>
      </c>
      <c r="AA11781" s="21" t="str">
        <f>HYPERLINK("https://www.ncbi.nlm.nih.gov/nuccore/KP900930","NCBI Nucleotide")</f>
        <v>NCBI Nucleotide</v>
      </c>
    </row>
    <row r="11782" spans="1:27" x14ac:dyDescent="0.35">
      <c r="A11782">
        <v>1012866</v>
      </c>
      <c r="B11782">
        <v>11081</v>
      </c>
      <c r="C11782">
        <v>4</v>
      </c>
      <c r="D11782" s="17" t="s">
        <v>17166</v>
      </c>
      <c r="E11782" s="17"/>
      <c r="F11782" s="17" t="s">
        <v>17246</v>
      </c>
      <c r="G11782" s="17"/>
      <c r="H11782" s="17" t="s">
        <v>23950</v>
      </c>
      <c r="I11782" s="17" t="s">
        <v>23956</v>
      </c>
      <c r="J11782" s="17" t="s">
        <v>24017</v>
      </c>
      <c r="K11782" s="17"/>
      <c r="L11782" s="17" t="s">
        <v>24262</v>
      </c>
      <c r="M11782" s="17"/>
      <c r="N11782" s="17" t="s">
        <v>24577</v>
      </c>
      <c r="O11782" s="17"/>
      <c r="P11782" s="17" t="s">
        <v>24591</v>
      </c>
      <c r="Q11782" s="17"/>
      <c r="R11782" s="25" t="str">
        <f>HYPERLINK("https://ictv.global/taxonomy/taxondetails?taxnode_id=202306248","Botrytimonavirus sclerotiniae")</f>
        <v>Botrytimonavirus sclerotiniae</v>
      </c>
      <c r="S11782" s="18" t="s">
        <v>8141</v>
      </c>
      <c r="T11782" s="18" t="s">
        <v>24616</v>
      </c>
      <c r="U11782" s="18" t="s">
        <v>24617</v>
      </c>
      <c r="V11782" s="18"/>
      <c r="W11782" s="18" t="s">
        <v>49423</v>
      </c>
      <c r="X11782" s="18" t="s">
        <v>154</v>
      </c>
      <c r="Y11782" s="18" t="s">
        <v>23964</v>
      </c>
      <c r="Z11782" s="18" t="s">
        <v>16721</v>
      </c>
      <c r="AA11782" s="21" t="str">
        <f>HYPERLINK("https://www.ncbi.nlm.nih.gov/nuccore/MF444282","NCBI Nucleotide")</f>
        <v>NCBI Nucleotide</v>
      </c>
    </row>
    <row r="11783" spans="1:27" x14ac:dyDescent="0.35">
      <c r="A11783">
        <v>1010541</v>
      </c>
      <c r="B11783">
        <v>11082</v>
      </c>
      <c r="C11783">
        <v>1</v>
      </c>
      <c r="D11783" s="17" t="s">
        <v>17166</v>
      </c>
      <c r="E11783" s="17"/>
      <c r="F11783" s="17" t="s">
        <v>17246</v>
      </c>
      <c r="G11783" s="17"/>
      <c r="H11783" s="17" t="s">
        <v>23950</v>
      </c>
      <c r="I11783" s="17" t="s">
        <v>23956</v>
      </c>
      <c r="J11783" s="17" t="s">
        <v>24017</v>
      </c>
      <c r="K11783" s="17"/>
      <c r="L11783" s="17" t="s">
        <v>24262</v>
      </c>
      <c r="M11783" s="17"/>
      <c r="N11783" s="17" t="s">
        <v>24577</v>
      </c>
      <c r="O11783" s="17"/>
      <c r="P11783" s="17" t="s">
        <v>24620</v>
      </c>
      <c r="Q11783" s="17"/>
      <c r="R11783" s="25" t="str">
        <f>HYPERLINK("https://ictv.global/taxonomy/taxondetails?taxnode_id=202314203","Hubramonavirus fusarii")</f>
        <v>Hubramonavirus fusarii</v>
      </c>
      <c r="S11783" s="18" t="s">
        <v>30</v>
      </c>
      <c r="T11783" s="18" t="s">
        <v>24621</v>
      </c>
      <c r="U11783" s="18" t="s">
        <v>24622</v>
      </c>
      <c r="V11783" s="18" t="s">
        <v>24623</v>
      </c>
      <c r="W11783" s="18" t="s">
        <v>24624</v>
      </c>
      <c r="X11783" s="18" t="s">
        <v>42</v>
      </c>
      <c r="Y11783" s="18" t="s">
        <v>23964</v>
      </c>
      <c r="Z11783" s="18" t="s">
        <v>16721</v>
      </c>
      <c r="AA11783" s="21" t="str">
        <f>HYPERLINK("https://www.ncbi.nlm.nih.gov/nuccore/OM049502","NCBI Nucleotide")</f>
        <v>NCBI Nucleotide</v>
      </c>
    </row>
    <row r="11784" spans="1:27" x14ac:dyDescent="0.35">
      <c r="A11784">
        <v>1010542</v>
      </c>
      <c r="B11784">
        <v>11083</v>
      </c>
      <c r="C11784">
        <v>1</v>
      </c>
      <c r="D11784" s="17" t="s">
        <v>17166</v>
      </c>
      <c r="E11784" s="17"/>
      <c r="F11784" s="17" t="s">
        <v>17246</v>
      </c>
      <c r="G11784" s="17"/>
      <c r="H11784" s="17" t="s">
        <v>23950</v>
      </c>
      <c r="I11784" s="17" t="s">
        <v>23956</v>
      </c>
      <c r="J11784" s="17" t="s">
        <v>24017</v>
      </c>
      <c r="K11784" s="17"/>
      <c r="L11784" s="17" t="s">
        <v>24262</v>
      </c>
      <c r="M11784" s="17"/>
      <c r="N11784" s="17" t="s">
        <v>24577</v>
      </c>
      <c r="O11784" s="17"/>
      <c r="P11784" s="17" t="s">
        <v>24620</v>
      </c>
      <c r="Q11784" s="17"/>
      <c r="R11784" s="25" t="str">
        <f>HYPERLINK("https://ictv.global/taxonomy/taxondetails?taxnode_id=202314205","Hubramonavirus golovinomycesae")</f>
        <v>Hubramonavirus golovinomycesae</v>
      </c>
      <c r="S11784" s="18" t="s">
        <v>30</v>
      </c>
      <c r="T11784" s="18" t="s">
        <v>24625</v>
      </c>
      <c r="U11784" s="18" t="s">
        <v>24626</v>
      </c>
      <c r="V11784" s="18" t="s">
        <v>24627</v>
      </c>
      <c r="W11784" s="18" t="s">
        <v>24628</v>
      </c>
      <c r="X11784" s="18" t="s">
        <v>42</v>
      </c>
      <c r="Y11784" s="18" t="s">
        <v>23964</v>
      </c>
      <c r="Z11784" s="18" t="s">
        <v>16721</v>
      </c>
      <c r="AA11784" s="21" t="str">
        <f>HYPERLINK("https://www.ncbi.nlm.nih.gov/nuccore/MCBQ01018032","NCBI Nucleotide")</f>
        <v>NCBI Nucleotide</v>
      </c>
    </row>
    <row r="11785" spans="1:27" x14ac:dyDescent="0.35">
      <c r="A11785">
        <v>1010543</v>
      </c>
      <c r="B11785">
        <v>11084</v>
      </c>
      <c r="C11785">
        <v>1</v>
      </c>
      <c r="D11785" s="17" t="s">
        <v>17166</v>
      </c>
      <c r="E11785" s="17"/>
      <c r="F11785" s="17" t="s">
        <v>17246</v>
      </c>
      <c r="G11785" s="17"/>
      <c r="H11785" s="17" t="s">
        <v>23950</v>
      </c>
      <c r="I11785" s="17" t="s">
        <v>23956</v>
      </c>
      <c r="J11785" s="17" t="s">
        <v>24017</v>
      </c>
      <c r="K11785" s="17"/>
      <c r="L11785" s="17" t="s">
        <v>24262</v>
      </c>
      <c r="M11785" s="17"/>
      <c r="N11785" s="17" t="s">
        <v>24577</v>
      </c>
      <c r="O11785" s="17"/>
      <c r="P11785" s="17" t="s">
        <v>24620</v>
      </c>
      <c r="Q11785" s="17"/>
      <c r="R11785" s="25" t="str">
        <f>HYPERLINK("https://ictv.global/taxonomy/taxondetails?taxnode_id=202308670","Hubramonavirus hubeiense")</f>
        <v>Hubramonavirus hubeiense</v>
      </c>
      <c r="S11785" s="18" t="s">
        <v>30</v>
      </c>
      <c r="T11785" s="18" t="s">
        <v>24629</v>
      </c>
      <c r="U11785" s="18" t="s">
        <v>24630</v>
      </c>
      <c r="V11785" s="18" t="s">
        <v>24631</v>
      </c>
      <c r="W11785" s="18" t="s">
        <v>24632</v>
      </c>
      <c r="X11785" s="18" t="s">
        <v>154</v>
      </c>
      <c r="Y11785" s="18" t="s">
        <v>23964</v>
      </c>
      <c r="Z11785" s="18" t="s">
        <v>17413</v>
      </c>
      <c r="AA11785" s="21" t="str">
        <f>HYPERLINK("https://www.ncbi.nlm.nih.gov/nuccore/KX884403","NCBI Nucleotide")</f>
        <v>NCBI Nucleotide</v>
      </c>
    </row>
    <row r="11786" spans="1:27" x14ac:dyDescent="0.35">
      <c r="A11786">
        <v>1010544</v>
      </c>
      <c r="B11786">
        <v>11085</v>
      </c>
      <c r="C11786">
        <v>1</v>
      </c>
      <c r="D11786" s="17" t="s">
        <v>17166</v>
      </c>
      <c r="E11786" s="17"/>
      <c r="F11786" s="17" t="s">
        <v>17246</v>
      </c>
      <c r="G11786" s="17"/>
      <c r="H11786" s="17" t="s">
        <v>23950</v>
      </c>
      <c r="I11786" s="17" t="s">
        <v>23956</v>
      </c>
      <c r="J11786" s="17" t="s">
        <v>24017</v>
      </c>
      <c r="K11786" s="17"/>
      <c r="L11786" s="17" t="s">
        <v>24262</v>
      </c>
      <c r="M11786" s="17"/>
      <c r="N11786" s="17" t="s">
        <v>24577</v>
      </c>
      <c r="O11786" s="17"/>
      <c r="P11786" s="17" t="s">
        <v>24620</v>
      </c>
      <c r="Q11786" s="17"/>
      <c r="R11786" s="25" t="str">
        <f>HYPERLINK("https://ictv.global/taxonomy/taxondetails?taxnode_id=202308884","Hubramonavirus terrae")</f>
        <v>Hubramonavirus terrae</v>
      </c>
      <c r="S11786" s="18" t="s">
        <v>30</v>
      </c>
      <c r="T11786" s="18" t="s">
        <v>24633</v>
      </c>
      <c r="U11786" s="18" t="s">
        <v>24634</v>
      </c>
      <c r="V11786" s="18" t="s">
        <v>24635</v>
      </c>
      <c r="W11786" s="18" t="s">
        <v>24636</v>
      </c>
      <c r="X11786" s="18" t="s">
        <v>35</v>
      </c>
      <c r="Y11786" s="18" t="s">
        <v>23964</v>
      </c>
      <c r="Z11786" s="18" t="s">
        <v>24637</v>
      </c>
      <c r="AA11786" s="21" t="str">
        <f>HYPERLINK("https://www.ncbi.nlm.nih.gov/nuccore/MN034260","NCBI Nucleotide")</f>
        <v>NCBI Nucleotide</v>
      </c>
    </row>
    <row r="11787" spans="1:27" x14ac:dyDescent="0.35">
      <c r="A11787">
        <v>1010545</v>
      </c>
      <c r="B11787">
        <v>11086</v>
      </c>
      <c r="C11787">
        <v>1</v>
      </c>
      <c r="D11787" s="17" t="s">
        <v>17166</v>
      </c>
      <c r="E11787" s="17"/>
      <c r="F11787" s="17" t="s">
        <v>17246</v>
      </c>
      <c r="G11787" s="17"/>
      <c r="H11787" s="17" t="s">
        <v>23950</v>
      </c>
      <c r="I11787" s="17" t="s">
        <v>23956</v>
      </c>
      <c r="J11787" s="17" t="s">
        <v>24017</v>
      </c>
      <c r="K11787" s="17"/>
      <c r="L11787" s="17" t="s">
        <v>24262</v>
      </c>
      <c r="M11787" s="17"/>
      <c r="N11787" s="17" t="s">
        <v>24577</v>
      </c>
      <c r="O11787" s="17"/>
      <c r="P11787" s="17" t="s">
        <v>24620</v>
      </c>
      <c r="Q11787" s="17"/>
      <c r="R11787" s="25" t="str">
        <f>HYPERLINK("https://ictv.global/taxonomy/taxondetails?taxnode_id=202314204","Hubramonavirus vitis")</f>
        <v>Hubramonavirus vitis</v>
      </c>
      <c r="S11787" s="18" t="s">
        <v>30</v>
      </c>
      <c r="T11787" s="18" t="s">
        <v>24638</v>
      </c>
      <c r="U11787" s="18" t="s">
        <v>24639</v>
      </c>
      <c r="V11787" s="18"/>
      <c r="W11787" s="18" t="s">
        <v>24640</v>
      </c>
      <c r="X11787" s="18" t="s">
        <v>42</v>
      </c>
      <c r="Y11787" s="18" t="s">
        <v>23964</v>
      </c>
      <c r="Z11787" s="18" t="s">
        <v>24609</v>
      </c>
      <c r="AA11787" s="21" t="str">
        <f>HYPERLINK("https://www.ncbi.nlm.nih.gov/nuccore/MW648481","NCBI Nucleotide")</f>
        <v>NCBI Nucleotide</v>
      </c>
    </row>
    <row r="11788" spans="1:27" x14ac:dyDescent="0.35">
      <c r="A11788">
        <v>1010546</v>
      </c>
      <c r="B11788">
        <v>11087</v>
      </c>
      <c r="C11788">
        <v>1</v>
      </c>
      <c r="D11788" s="17" t="s">
        <v>17166</v>
      </c>
      <c r="E11788" s="17"/>
      <c r="F11788" s="17" t="s">
        <v>17246</v>
      </c>
      <c r="G11788" s="17"/>
      <c r="H11788" s="17" t="s">
        <v>23950</v>
      </c>
      <c r="I11788" s="17" t="s">
        <v>23956</v>
      </c>
      <c r="J11788" s="17" t="s">
        <v>24017</v>
      </c>
      <c r="K11788" s="17"/>
      <c r="L11788" s="17" t="s">
        <v>24262</v>
      </c>
      <c r="M11788" s="17"/>
      <c r="N11788" s="17" t="s">
        <v>24577</v>
      </c>
      <c r="O11788" s="17"/>
      <c r="P11788" s="17" t="s">
        <v>24641</v>
      </c>
      <c r="Q11788" s="17"/>
      <c r="R11788" s="25" t="str">
        <f>HYPERLINK("https://ictv.global/taxonomy/taxondetails?taxnode_id=202314206","Lentimonavirus armillariae")</f>
        <v>Lentimonavirus armillariae</v>
      </c>
      <c r="S11788" s="18" t="s">
        <v>30</v>
      </c>
      <c r="T11788" s="18" t="s">
        <v>24642</v>
      </c>
      <c r="U11788" s="18" t="s">
        <v>24643</v>
      </c>
      <c r="V11788" s="18" t="s">
        <v>23575</v>
      </c>
      <c r="W11788" s="18" t="s">
        <v>24644</v>
      </c>
      <c r="X11788" s="18" t="s">
        <v>42</v>
      </c>
      <c r="Y11788" s="18" t="s">
        <v>23964</v>
      </c>
      <c r="Z11788" s="18" t="s">
        <v>16721</v>
      </c>
      <c r="AA11788" s="21" t="str">
        <f>HYPERLINK("https://www.ncbi.nlm.nih.gov/nuccore/MW423801","NCBI Nucleotide")</f>
        <v>NCBI Nucleotide</v>
      </c>
    </row>
    <row r="11789" spans="1:27" x14ac:dyDescent="0.35">
      <c r="A11789">
        <v>1010547</v>
      </c>
      <c r="B11789">
        <v>11088</v>
      </c>
      <c r="C11789">
        <v>1</v>
      </c>
      <c r="D11789" s="17" t="s">
        <v>17166</v>
      </c>
      <c r="E11789" s="17"/>
      <c r="F11789" s="17" t="s">
        <v>17246</v>
      </c>
      <c r="G11789" s="17"/>
      <c r="H11789" s="17" t="s">
        <v>23950</v>
      </c>
      <c r="I11789" s="17" t="s">
        <v>23956</v>
      </c>
      <c r="J11789" s="17" t="s">
        <v>24017</v>
      </c>
      <c r="K11789" s="17"/>
      <c r="L11789" s="17" t="s">
        <v>24262</v>
      </c>
      <c r="M11789" s="17"/>
      <c r="N11789" s="17" t="s">
        <v>24577</v>
      </c>
      <c r="O11789" s="17"/>
      <c r="P11789" s="17" t="s">
        <v>24641</v>
      </c>
      <c r="Q11789" s="17"/>
      <c r="R11789" s="25" t="str">
        <f>HYPERLINK("https://ictv.global/taxonomy/taxondetails?taxnode_id=202308671","Lentimonavirus lentinulae")</f>
        <v>Lentimonavirus lentinulae</v>
      </c>
      <c r="S11789" s="18" t="s">
        <v>30</v>
      </c>
      <c r="T11789" s="18" t="s">
        <v>24645</v>
      </c>
      <c r="U11789" s="18" t="s">
        <v>24646</v>
      </c>
      <c r="V11789" s="18" t="s">
        <v>24647</v>
      </c>
      <c r="W11789" s="18" t="s">
        <v>24648</v>
      </c>
      <c r="X11789" s="18" t="s">
        <v>42</v>
      </c>
      <c r="Y11789" s="18" t="s">
        <v>23964</v>
      </c>
      <c r="Z11789" s="18" t="s">
        <v>16721</v>
      </c>
      <c r="AA11789" s="21" t="str">
        <f>HYPERLINK("https://www.ncbi.nlm.nih.gov/nuccore/LC466007","NCBI Nucleotide")</f>
        <v>NCBI Nucleotide</v>
      </c>
    </row>
    <row r="11790" spans="1:27" x14ac:dyDescent="0.35">
      <c r="A11790">
        <v>1010548</v>
      </c>
      <c r="B11790">
        <v>11089</v>
      </c>
      <c r="C11790">
        <v>1</v>
      </c>
      <c r="D11790" s="17" t="s">
        <v>17166</v>
      </c>
      <c r="E11790" s="17"/>
      <c r="F11790" s="17" t="s">
        <v>17246</v>
      </c>
      <c r="G11790" s="17"/>
      <c r="H11790" s="17" t="s">
        <v>23950</v>
      </c>
      <c r="I11790" s="17" t="s">
        <v>23956</v>
      </c>
      <c r="J11790" s="17" t="s">
        <v>24017</v>
      </c>
      <c r="K11790" s="17"/>
      <c r="L11790" s="17" t="s">
        <v>24262</v>
      </c>
      <c r="M11790" s="17"/>
      <c r="N11790" s="17" t="s">
        <v>24577</v>
      </c>
      <c r="O11790" s="17"/>
      <c r="P11790" s="17" t="s">
        <v>24649</v>
      </c>
      <c r="Q11790" s="17"/>
      <c r="R11790" s="25" t="str">
        <f>HYPERLINK("https://ictv.global/taxonomy/taxondetails?taxnode_id=202314208","Penicillimonavirus alphaerysiphe")</f>
        <v>Penicillimonavirus alphaerysiphe</v>
      </c>
      <c r="S11790" s="18" t="s">
        <v>30</v>
      </c>
      <c r="T11790" s="18" t="s">
        <v>24650</v>
      </c>
      <c r="U11790" s="18" t="s">
        <v>24651</v>
      </c>
      <c r="V11790" s="18" t="s">
        <v>24652</v>
      </c>
      <c r="W11790" s="18" t="s">
        <v>24653</v>
      </c>
      <c r="X11790" s="18" t="s">
        <v>35</v>
      </c>
      <c r="Y11790" s="18" t="s">
        <v>23964</v>
      </c>
      <c r="Z11790" s="18" t="s">
        <v>16721</v>
      </c>
      <c r="AA11790" s="21" t="str">
        <f>HYPERLINK("https://www.ncbi.nlm.nih.gov/nuccore/MN617061","NCBI Nucleotide")</f>
        <v>NCBI Nucleotide</v>
      </c>
    </row>
    <row r="11791" spans="1:27" x14ac:dyDescent="0.35">
      <c r="A11791">
        <v>1010549</v>
      </c>
      <c r="B11791">
        <v>11090</v>
      </c>
      <c r="C11791">
        <v>1</v>
      </c>
      <c r="D11791" s="17" t="s">
        <v>17166</v>
      </c>
      <c r="E11791" s="17"/>
      <c r="F11791" s="17" t="s">
        <v>17246</v>
      </c>
      <c r="G11791" s="17"/>
      <c r="H11791" s="17" t="s">
        <v>23950</v>
      </c>
      <c r="I11791" s="17" t="s">
        <v>23956</v>
      </c>
      <c r="J11791" s="17" t="s">
        <v>24017</v>
      </c>
      <c r="K11791" s="17"/>
      <c r="L11791" s="17" t="s">
        <v>24262</v>
      </c>
      <c r="M11791" s="17"/>
      <c r="N11791" s="17" t="s">
        <v>24577</v>
      </c>
      <c r="O11791" s="17"/>
      <c r="P11791" s="17" t="s">
        <v>24649</v>
      </c>
      <c r="Q11791" s="17"/>
      <c r="R11791" s="25" t="str">
        <f>HYPERLINK("https://ictv.global/taxonomy/taxondetails?taxnode_id=202308888","Penicillimonavirus alphapenicillii")</f>
        <v>Penicillimonavirus alphapenicillii</v>
      </c>
      <c r="S11791" s="18" t="s">
        <v>30</v>
      </c>
      <c r="T11791" s="18" t="s">
        <v>24654</v>
      </c>
      <c r="U11791" s="18" t="s">
        <v>24655</v>
      </c>
      <c r="V11791" s="18" t="s">
        <v>24656</v>
      </c>
      <c r="W11791" s="18" t="s">
        <v>24657</v>
      </c>
      <c r="X11791" s="18" t="s">
        <v>154</v>
      </c>
      <c r="Y11791" s="18" t="s">
        <v>23964</v>
      </c>
      <c r="Z11791" s="18" t="s">
        <v>16721</v>
      </c>
      <c r="AA11791" s="21" t="str">
        <f>HYPERLINK("https://www.ncbi.nlm.nih.gov/nuccore/MK584858","NCBI Nucleotide")</f>
        <v>NCBI Nucleotide</v>
      </c>
    </row>
    <row r="11792" spans="1:27" x14ac:dyDescent="0.35">
      <c r="A11792">
        <v>1010550</v>
      </c>
      <c r="B11792">
        <v>11091</v>
      </c>
      <c r="C11792">
        <v>1</v>
      </c>
      <c r="D11792" s="17" t="s">
        <v>17166</v>
      </c>
      <c r="E11792" s="17"/>
      <c r="F11792" s="17" t="s">
        <v>17246</v>
      </c>
      <c r="G11792" s="17"/>
      <c r="H11792" s="17" t="s">
        <v>23950</v>
      </c>
      <c r="I11792" s="17" t="s">
        <v>23956</v>
      </c>
      <c r="J11792" s="17" t="s">
        <v>24017</v>
      </c>
      <c r="K11792" s="17"/>
      <c r="L11792" s="17" t="s">
        <v>24262</v>
      </c>
      <c r="M11792" s="17"/>
      <c r="N11792" s="17" t="s">
        <v>24577</v>
      </c>
      <c r="O11792" s="17"/>
      <c r="P11792" s="17" t="s">
        <v>24649</v>
      </c>
      <c r="Q11792" s="17"/>
      <c r="R11792" s="25" t="str">
        <f>HYPERLINK("https://ictv.global/taxonomy/taxondetails?taxnode_id=202308890","Penicillimonavirus alphaplasmoparae")</f>
        <v>Penicillimonavirus alphaplasmoparae</v>
      </c>
      <c r="S11792" s="18" t="s">
        <v>30</v>
      </c>
      <c r="T11792" s="18" t="s">
        <v>24658</v>
      </c>
      <c r="U11792" s="18" t="s">
        <v>24659</v>
      </c>
      <c r="V11792" s="18" t="s">
        <v>24660</v>
      </c>
      <c r="W11792" s="18" t="s">
        <v>24661</v>
      </c>
      <c r="X11792" s="18" t="s">
        <v>154</v>
      </c>
      <c r="Y11792" s="18" t="s">
        <v>23964</v>
      </c>
      <c r="Z11792" s="18" t="s">
        <v>17496</v>
      </c>
      <c r="AA11792" s="21" t="str">
        <f>HYPERLINK("https://www.ncbi.nlm.nih.gov/nuccore/MN556995","NCBI Nucleotide")</f>
        <v>NCBI Nucleotide</v>
      </c>
    </row>
    <row r="11793" spans="1:27" x14ac:dyDescent="0.35">
      <c r="A11793">
        <v>1010551</v>
      </c>
      <c r="B11793">
        <v>11092</v>
      </c>
      <c r="C11793">
        <v>1</v>
      </c>
      <c r="D11793" s="17" t="s">
        <v>17166</v>
      </c>
      <c r="E11793" s="17"/>
      <c r="F11793" s="17" t="s">
        <v>17246</v>
      </c>
      <c r="G11793" s="17"/>
      <c r="H11793" s="17" t="s">
        <v>23950</v>
      </c>
      <c r="I11793" s="17" t="s">
        <v>23956</v>
      </c>
      <c r="J11793" s="17" t="s">
        <v>24017</v>
      </c>
      <c r="K11793" s="17"/>
      <c r="L11793" s="17" t="s">
        <v>24262</v>
      </c>
      <c r="M11793" s="17"/>
      <c r="N11793" s="17" t="s">
        <v>24577</v>
      </c>
      <c r="O11793" s="17"/>
      <c r="P11793" s="17" t="s">
        <v>24649</v>
      </c>
      <c r="Q11793" s="17"/>
      <c r="R11793" s="25" t="str">
        <f>HYPERLINK("https://ictv.global/taxonomy/taxondetails?taxnode_id=202314209","Penicillimonavirus betaerysiphe")</f>
        <v>Penicillimonavirus betaerysiphe</v>
      </c>
      <c r="S11793" s="18" t="s">
        <v>30</v>
      </c>
      <c r="T11793" s="18" t="s">
        <v>24662</v>
      </c>
      <c r="U11793" s="18" t="s">
        <v>24663</v>
      </c>
      <c r="V11793" s="18" t="s">
        <v>24664</v>
      </c>
      <c r="W11793" s="18" t="s">
        <v>24665</v>
      </c>
      <c r="X11793" s="18" t="s">
        <v>35</v>
      </c>
      <c r="Y11793" s="18" t="s">
        <v>23964</v>
      </c>
      <c r="Z11793" s="18" t="s">
        <v>16721</v>
      </c>
      <c r="AA11793" s="21" t="str">
        <f>HYPERLINK("https://www.ncbi.nlm.nih.gov/nuccore/MN617042","NCBI Nucleotide")</f>
        <v>NCBI Nucleotide</v>
      </c>
    </row>
    <row r="11794" spans="1:27" x14ac:dyDescent="0.35">
      <c r="A11794">
        <v>1010552</v>
      </c>
      <c r="B11794">
        <v>11093</v>
      </c>
      <c r="C11794">
        <v>1</v>
      </c>
      <c r="D11794" s="17" t="s">
        <v>17166</v>
      </c>
      <c r="E11794" s="17"/>
      <c r="F11794" s="17" t="s">
        <v>17246</v>
      </c>
      <c r="G11794" s="17"/>
      <c r="H11794" s="17" t="s">
        <v>23950</v>
      </c>
      <c r="I11794" s="17" t="s">
        <v>23956</v>
      </c>
      <c r="J11794" s="17" t="s">
        <v>24017</v>
      </c>
      <c r="K11794" s="17"/>
      <c r="L11794" s="17" t="s">
        <v>24262</v>
      </c>
      <c r="M11794" s="17"/>
      <c r="N11794" s="17" t="s">
        <v>24577</v>
      </c>
      <c r="O11794" s="17"/>
      <c r="P11794" s="17" t="s">
        <v>24649</v>
      </c>
      <c r="Q11794" s="17"/>
      <c r="R11794" s="25" t="str">
        <f>HYPERLINK("https://ictv.global/taxonomy/taxondetails?taxnode_id=202308889","Penicillimonavirus betapenicillii")</f>
        <v>Penicillimonavirus betapenicillii</v>
      </c>
      <c r="S11794" s="18" t="s">
        <v>30</v>
      </c>
      <c r="T11794" s="18" t="s">
        <v>24666</v>
      </c>
      <c r="U11794" s="18" t="s">
        <v>24667</v>
      </c>
      <c r="V11794" s="18" t="s">
        <v>24668</v>
      </c>
      <c r="W11794" s="18" t="s">
        <v>24669</v>
      </c>
      <c r="X11794" s="18" t="s">
        <v>154</v>
      </c>
      <c r="Y11794" s="18" t="s">
        <v>23964</v>
      </c>
      <c r="Z11794" s="18" t="s">
        <v>16721</v>
      </c>
      <c r="AA11794" s="21" t="str">
        <f>HYPERLINK("https://www.ncbi.nlm.nih.gov/nuccore/MK584853","NCBI Nucleotide")</f>
        <v>NCBI Nucleotide</v>
      </c>
    </row>
    <row r="11795" spans="1:27" x14ac:dyDescent="0.35">
      <c r="A11795">
        <v>1010553</v>
      </c>
      <c r="B11795">
        <v>11094</v>
      </c>
      <c r="C11795">
        <v>1</v>
      </c>
      <c r="D11795" s="17" t="s">
        <v>17166</v>
      </c>
      <c r="E11795" s="17"/>
      <c r="F11795" s="17" t="s">
        <v>17246</v>
      </c>
      <c r="G11795" s="17"/>
      <c r="H11795" s="17" t="s">
        <v>23950</v>
      </c>
      <c r="I11795" s="17" t="s">
        <v>23956</v>
      </c>
      <c r="J11795" s="17" t="s">
        <v>24017</v>
      </c>
      <c r="K11795" s="17"/>
      <c r="L11795" s="17" t="s">
        <v>24262</v>
      </c>
      <c r="M11795" s="17"/>
      <c r="N11795" s="17" t="s">
        <v>24577</v>
      </c>
      <c r="O11795" s="17"/>
      <c r="P11795" s="17" t="s">
        <v>24649</v>
      </c>
      <c r="Q11795" s="17"/>
      <c r="R11795" s="25" t="str">
        <f>HYPERLINK("https://ictv.global/taxonomy/taxondetails?taxnode_id=202308891","Penicillimonavirus betaplasmoparae")</f>
        <v>Penicillimonavirus betaplasmoparae</v>
      </c>
      <c r="S11795" s="18" t="s">
        <v>30</v>
      </c>
      <c r="T11795" s="18" t="s">
        <v>24670</v>
      </c>
      <c r="U11795" s="18" t="s">
        <v>24671</v>
      </c>
      <c r="V11795" s="18" t="s">
        <v>24672</v>
      </c>
      <c r="W11795" s="18" t="s">
        <v>24673</v>
      </c>
      <c r="X11795" s="18" t="s">
        <v>154</v>
      </c>
      <c r="Y11795" s="18" t="s">
        <v>23964</v>
      </c>
      <c r="Z11795" s="18" t="s">
        <v>17496</v>
      </c>
      <c r="AA11795" s="21" t="str">
        <f>HYPERLINK("https://www.ncbi.nlm.nih.gov/nuccore/MN556999","NCBI Nucleotide")</f>
        <v>NCBI Nucleotide</v>
      </c>
    </row>
    <row r="11796" spans="1:27" x14ac:dyDescent="0.35">
      <c r="A11796">
        <v>1012868</v>
      </c>
      <c r="B11796">
        <v>11094</v>
      </c>
      <c r="C11796">
        <v>2</v>
      </c>
      <c r="D11796" s="17" t="s">
        <v>17166</v>
      </c>
      <c r="E11796" s="17"/>
      <c r="F11796" s="17" t="s">
        <v>17246</v>
      </c>
      <c r="G11796" s="17"/>
      <c r="H11796" s="17" t="s">
        <v>23950</v>
      </c>
      <c r="I11796" s="17" t="s">
        <v>23956</v>
      </c>
      <c r="J11796" s="17" t="s">
        <v>24017</v>
      </c>
      <c r="K11796" s="17"/>
      <c r="L11796" s="17" t="s">
        <v>24262</v>
      </c>
      <c r="M11796" s="17"/>
      <c r="N11796" s="17" t="s">
        <v>24577</v>
      </c>
      <c r="O11796" s="17"/>
      <c r="P11796" s="17" t="s">
        <v>24649</v>
      </c>
      <c r="Q11796" s="17"/>
      <c r="R11796" s="25" t="str">
        <f>HYPERLINK("https://ictv.global/taxonomy/taxondetails?taxnode_id=202308891","Penicillimonavirus betaplasmoparae")</f>
        <v>Penicillimonavirus betaplasmoparae</v>
      </c>
      <c r="S11796" s="18" t="s">
        <v>8141</v>
      </c>
      <c r="T11796" s="18" t="s">
        <v>35286</v>
      </c>
      <c r="U11796" s="18" t="s">
        <v>24759</v>
      </c>
      <c r="V11796" s="18" t="s">
        <v>35287</v>
      </c>
      <c r="W11796" s="18" t="s">
        <v>49424</v>
      </c>
      <c r="X11796" s="18" t="s">
        <v>154</v>
      </c>
      <c r="Y11796" s="18" t="s">
        <v>23964</v>
      </c>
      <c r="Z11796" s="18" t="s">
        <v>17496</v>
      </c>
      <c r="AA11796" s="21" t="str">
        <f>HYPERLINK("https://www.ncbi.nlm.nih.gov/nuccore/MN556997","NCBI Nucleotide")</f>
        <v>NCBI Nucleotide</v>
      </c>
    </row>
    <row r="11797" spans="1:27" x14ac:dyDescent="0.35">
      <c r="A11797">
        <v>1027683</v>
      </c>
      <c r="B11797">
        <v>11095</v>
      </c>
      <c r="C11797">
        <v>1</v>
      </c>
      <c r="D11797" s="17" t="s">
        <v>17166</v>
      </c>
      <c r="E11797" s="17"/>
      <c r="F11797" s="17" t="s">
        <v>17246</v>
      </c>
      <c r="G11797" s="17"/>
      <c r="H11797" s="17" t="s">
        <v>23950</v>
      </c>
      <c r="I11797" s="17" t="s">
        <v>23956</v>
      </c>
      <c r="J11797" s="17" t="s">
        <v>24017</v>
      </c>
      <c r="K11797" s="17"/>
      <c r="L11797" s="17" t="s">
        <v>24262</v>
      </c>
      <c r="M11797" s="17"/>
      <c r="N11797" s="17" t="s">
        <v>24577</v>
      </c>
      <c r="O11797" s="17"/>
      <c r="P11797" s="17" t="s">
        <v>24649</v>
      </c>
      <c r="Q11797" s="17"/>
      <c r="R11797" s="25" t="str">
        <f>HYPERLINK("https://ictv.global/taxonomy/taxondetails?taxnode_id=202318265","Penicillimonavirus cercosporae")</f>
        <v>Penicillimonavirus cercosporae</v>
      </c>
      <c r="S11797" s="18" t="s">
        <v>30</v>
      </c>
      <c r="T11797" s="18" t="s">
        <v>46387</v>
      </c>
      <c r="U11797" s="18" t="s">
        <v>46388</v>
      </c>
      <c r="V11797" s="18" t="s">
        <v>46389</v>
      </c>
      <c r="W11797" s="18" t="s">
        <v>46390</v>
      </c>
      <c r="X11797" s="18" t="s">
        <v>35</v>
      </c>
      <c r="Y11797" s="18" t="s">
        <v>23964</v>
      </c>
      <c r="Z11797" s="18" t="s">
        <v>16721</v>
      </c>
      <c r="AA11797" s="21" t="str">
        <f>HYPERLINK("https://www.ncbi.nlm.nih.gov/nuccore/MZ599588","NCBI Nucleotide")</f>
        <v>NCBI Nucleotide</v>
      </c>
    </row>
    <row r="11798" spans="1:27" x14ac:dyDescent="0.35">
      <c r="A11798">
        <v>1010554</v>
      </c>
      <c r="B11798">
        <v>11096</v>
      </c>
      <c r="C11798">
        <v>1</v>
      </c>
      <c r="D11798" s="17" t="s">
        <v>17166</v>
      </c>
      <c r="E11798" s="17"/>
      <c r="F11798" s="17" t="s">
        <v>17246</v>
      </c>
      <c r="G11798" s="17"/>
      <c r="H11798" s="17" t="s">
        <v>23950</v>
      </c>
      <c r="I11798" s="17" t="s">
        <v>23956</v>
      </c>
      <c r="J11798" s="17" t="s">
        <v>24017</v>
      </c>
      <c r="K11798" s="17"/>
      <c r="L11798" s="17" t="s">
        <v>24262</v>
      </c>
      <c r="M11798" s="17"/>
      <c r="N11798" s="17" t="s">
        <v>24577</v>
      </c>
      <c r="O11798" s="17"/>
      <c r="P11798" s="17" t="s">
        <v>24649</v>
      </c>
      <c r="Q11798" s="17"/>
      <c r="R11798" s="25" t="str">
        <f>HYPERLINK("https://ictv.global/taxonomy/taxondetails?taxnode_id=202308893","Penicillimonavirus deltaplasmoparae")</f>
        <v>Penicillimonavirus deltaplasmoparae</v>
      </c>
      <c r="S11798" s="18" t="s">
        <v>30</v>
      </c>
      <c r="T11798" s="18" t="s">
        <v>24674</v>
      </c>
      <c r="U11798" s="18" t="s">
        <v>24675</v>
      </c>
      <c r="V11798" s="18" t="s">
        <v>24676</v>
      </c>
      <c r="W11798" s="18" t="s">
        <v>24677</v>
      </c>
      <c r="X11798" s="18" t="s">
        <v>154</v>
      </c>
      <c r="Y11798" s="18" t="s">
        <v>23964</v>
      </c>
      <c r="Z11798" s="18" t="s">
        <v>17496</v>
      </c>
      <c r="AA11798" s="21" t="str">
        <f>HYPERLINK("https://www.ncbi.nlm.nih.gov/nuccore/MN557000","NCBI Nucleotide")</f>
        <v>NCBI Nucleotide</v>
      </c>
    </row>
    <row r="11799" spans="1:27" x14ac:dyDescent="0.35">
      <c r="A11799">
        <v>1010555</v>
      </c>
      <c r="B11799">
        <v>11097</v>
      </c>
      <c r="C11799">
        <v>1</v>
      </c>
      <c r="D11799" s="17" t="s">
        <v>17166</v>
      </c>
      <c r="E11799" s="17"/>
      <c r="F11799" s="17" t="s">
        <v>17246</v>
      </c>
      <c r="G11799" s="17"/>
      <c r="H11799" s="17" t="s">
        <v>23950</v>
      </c>
      <c r="I11799" s="17" t="s">
        <v>23956</v>
      </c>
      <c r="J11799" s="17" t="s">
        <v>24017</v>
      </c>
      <c r="K11799" s="17"/>
      <c r="L11799" s="17" t="s">
        <v>24262</v>
      </c>
      <c r="M11799" s="17"/>
      <c r="N11799" s="17" t="s">
        <v>24577</v>
      </c>
      <c r="O11799" s="17"/>
      <c r="P11799" s="17" t="s">
        <v>24649</v>
      </c>
      <c r="Q11799" s="17"/>
      <c r="R11799" s="25" t="str">
        <f>HYPERLINK("https://ictv.global/taxonomy/taxondetails?taxnode_id=202308894","Penicillimonavirus epsilonplasmoparae")</f>
        <v>Penicillimonavirus epsilonplasmoparae</v>
      </c>
      <c r="S11799" s="18" t="s">
        <v>30</v>
      </c>
      <c r="T11799" s="18" t="s">
        <v>24678</v>
      </c>
      <c r="U11799" s="18" t="s">
        <v>24679</v>
      </c>
      <c r="V11799" s="18" t="s">
        <v>24680</v>
      </c>
      <c r="W11799" s="18" t="s">
        <v>24681</v>
      </c>
      <c r="X11799" s="18" t="s">
        <v>154</v>
      </c>
      <c r="Y11799" s="18" t="s">
        <v>23964</v>
      </c>
      <c r="Z11799" s="18" t="s">
        <v>17496</v>
      </c>
      <c r="AA11799" s="21" t="str">
        <f>HYPERLINK("https://www.ncbi.nlm.nih.gov/nuccore/MN557001","NCBI Nucleotide")</f>
        <v>NCBI Nucleotide</v>
      </c>
    </row>
    <row r="11800" spans="1:27" x14ac:dyDescent="0.35">
      <c r="A11800">
        <v>1010556</v>
      </c>
      <c r="B11800">
        <v>11098</v>
      </c>
      <c r="C11800">
        <v>1</v>
      </c>
      <c r="D11800" s="17" t="s">
        <v>17166</v>
      </c>
      <c r="E11800" s="17"/>
      <c r="F11800" s="17" t="s">
        <v>17246</v>
      </c>
      <c r="G11800" s="17"/>
      <c r="H11800" s="17" t="s">
        <v>23950</v>
      </c>
      <c r="I11800" s="17" t="s">
        <v>23956</v>
      </c>
      <c r="J11800" s="17" t="s">
        <v>24017</v>
      </c>
      <c r="K11800" s="17"/>
      <c r="L11800" s="17" t="s">
        <v>24262</v>
      </c>
      <c r="M11800" s="17"/>
      <c r="N11800" s="17" t="s">
        <v>24577</v>
      </c>
      <c r="O11800" s="17"/>
      <c r="P11800" s="17" t="s">
        <v>24649</v>
      </c>
      <c r="Q11800" s="17"/>
      <c r="R11800" s="25" t="str">
        <f>HYPERLINK("https://ictv.global/taxonomy/taxondetails?taxnode_id=202308896","Penicillimonavirus etaplasmoparae")</f>
        <v>Penicillimonavirus etaplasmoparae</v>
      </c>
      <c r="S11800" s="18" t="s">
        <v>30</v>
      </c>
      <c r="T11800" s="18" t="s">
        <v>24682</v>
      </c>
      <c r="U11800" s="18" t="s">
        <v>24683</v>
      </c>
      <c r="V11800" s="18" t="s">
        <v>24684</v>
      </c>
      <c r="W11800" s="18" t="s">
        <v>24685</v>
      </c>
      <c r="X11800" s="18" t="s">
        <v>154</v>
      </c>
      <c r="Y11800" s="18" t="s">
        <v>23964</v>
      </c>
      <c r="Z11800" s="18" t="s">
        <v>17496</v>
      </c>
      <c r="AA11800" s="21" t="str">
        <f>HYPERLINK("https://www.ncbi.nlm.nih.gov/nuccore/MN557005","NCBI Nucleotide")</f>
        <v>NCBI Nucleotide</v>
      </c>
    </row>
    <row r="11801" spans="1:27" x14ac:dyDescent="0.35">
      <c r="A11801">
        <v>1010557</v>
      </c>
      <c r="B11801">
        <v>11099</v>
      </c>
      <c r="C11801">
        <v>1</v>
      </c>
      <c r="D11801" s="17" t="s">
        <v>17166</v>
      </c>
      <c r="E11801" s="17"/>
      <c r="F11801" s="17" t="s">
        <v>17246</v>
      </c>
      <c r="G11801" s="17"/>
      <c r="H11801" s="17" t="s">
        <v>23950</v>
      </c>
      <c r="I11801" s="17" t="s">
        <v>23956</v>
      </c>
      <c r="J11801" s="17" t="s">
        <v>24017</v>
      </c>
      <c r="K11801" s="17"/>
      <c r="L11801" s="17" t="s">
        <v>24262</v>
      </c>
      <c r="M11801" s="17"/>
      <c r="N11801" s="17" t="s">
        <v>24577</v>
      </c>
      <c r="O11801" s="17"/>
      <c r="P11801" s="17" t="s">
        <v>24649</v>
      </c>
      <c r="Q11801" s="17"/>
      <c r="R11801" s="25" t="str">
        <f>HYPERLINK("https://ictv.global/taxonomy/taxondetails?taxnode_id=202314210","Penicillimonavirus gammaerysiphe")</f>
        <v>Penicillimonavirus gammaerysiphe</v>
      </c>
      <c r="S11801" s="18" t="s">
        <v>30</v>
      </c>
      <c r="T11801" s="18" t="s">
        <v>24686</v>
      </c>
      <c r="U11801" s="18" t="s">
        <v>24687</v>
      </c>
      <c r="V11801" s="18" t="s">
        <v>24688</v>
      </c>
      <c r="W11801" s="18" t="s">
        <v>24689</v>
      </c>
      <c r="X11801" s="18" t="s">
        <v>35</v>
      </c>
      <c r="Y11801" s="18" t="s">
        <v>23964</v>
      </c>
      <c r="Z11801" s="18" t="s">
        <v>16721</v>
      </c>
      <c r="AA11801" s="21" t="str">
        <f>HYPERLINK("https://www.ncbi.nlm.nih.gov/nuccore/MN617052","NCBI Nucleotide")</f>
        <v>NCBI Nucleotide</v>
      </c>
    </row>
    <row r="11802" spans="1:27" x14ac:dyDescent="0.35">
      <c r="A11802">
        <v>1010558</v>
      </c>
      <c r="B11802">
        <v>11100</v>
      </c>
      <c r="C11802">
        <v>1</v>
      </c>
      <c r="D11802" s="17" t="s">
        <v>17166</v>
      </c>
      <c r="E11802" s="17"/>
      <c r="F11802" s="17" t="s">
        <v>17246</v>
      </c>
      <c r="G11802" s="17"/>
      <c r="H11802" s="17" t="s">
        <v>23950</v>
      </c>
      <c r="I11802" s="17" t="s">
        <v>23956</v>
      </c>
      <c r="J11802" s="17" t="s">
        <v>24017</v>
      </c>
      <c r="K11802" s="17"/>
      <c r="L11802" s="17" t="s">
        <v>24262</v>
      </c>
      <c r="M11802" s="17"/>
      <c r="N11802" s="17" t="s">
        <v>24577</v>
      </c>
      <c r="O11802" s="17"/>
      <c r="P11802" s="17" t="s">
        <v>24649</v>
      </c>
      <c r="Q11802" s="17"/>
      <c r="R11802" s="25" t="str">
        <f>HYPERLINK("https://ictv.global/taxonomy/taxondetails?taxnode_id=202308892","Penicillimonavirus gammaplasmopara")</f>
        <v>Penicillimonavirus gammaplasmopara</v>
      </c>
      <c r="S11802" s="18" t="s">
        <v>30</v>
      </c>
      <c r="T11802" s="18" t="s">
        <v>24690</v>
      </c>
      <c r="U11802" s="18" t="s">
        <v>24691</v>
      </c>
      <c r="V11802" s="18" t="s">
        <v>24692</v>
      </c>
      <c r="W11802" s="18" t="s">
        <v>24693</v>
      </c>
      <c r="X11802" s="18" t="s">
        <v>154</v>
      </c>
      <c r="Y11802" s="18" t="s">
        <v>23964</v>
      </c>
      <c r="Z11802" s="18" t="s">
        <v>17496</v>
      </c>
      <c r="AA11802" s="21" t="str">
        <f>HYPERLINK("https://www.ncbi.nlm.nih.gov/nuccore/MN556998","NCBI Nucleotide")</f>
        <v>NCBI Nucleotide</v>
      </c>
    </row>
    <row r="11803" spans="1:27" x14ac:dyDescent="0.35">
      <c r="A11803">
        <v>1010559</v>
      </c>
      <c r="B11803">
        <v>11101</v>
      </c>
      <c r="C11803">
        <v>1</v>
      </c>
      <c r="D11803" s="17" t="s">
        <v>17166</v>
      </c>
      <c r="E11803" s="17"/>
      <c r="F11803" s="17" t="s">
        <v>17246</v>
      </c>
      <c r="G11803" s="17"/>
      <c r="H11803" s="17" t="s">
        <v>23950</v>
      </c>
      <c r="I11803" s="17" t="s">
        <v>23956</v>
      </c>
      <c r="J11803" s="17" t="s">
        <v>24017</v>
      </c>
      <c r="K11803" s="17"/>
      <c r="L11803" s="17" t="s">
        <v>24262</v>
      </c>
      <c r="M11803" s="17"/>
      <c r="N11803" s="17" t="s">
        <v>24577</v>
      </c>
      <c r="O11803" s="17"/>
      <c r="P11803" s="17" t="s">
        <v>24649</v>
      </c>
      <c r="Q11803" s="17"/>
      <c r="R11803" s="25" t="str">
        <f>HYPERLINK("https://ictv.global/taxonomy/taxondetails?taxnode_id=202308897","Penicillimonavirus kilnbarnense")</f>
        <v>Penicillimonavirus kilnbarnense</v>
      </c>
      <c r="S11803" s="18" t="s">
        <v>30</v>
      </c>
      <c r="T11803" s="18" t="s">
        <v>24694</v>
      </c>
      <c r="U11803" s="18" t="s">
        <v>24695</v>
      </c>
      <c r="V11803" s="18" t="s">
        <v>24696</v>
      </c>
      <c r="W11803" s="18" t="s">
        <v>24697</v>
      </c>
      <c r="X11803" s="18" t="s">
        <v>154</v>
      </c>
      <c r="Y11803" s="18" t="s">
        <v>23964</v>
      </c>
      <c r="Z11803" s="18" t="s">
        <v>10790</v>
      </c>
      <c r="AA11803" s="21" t="str">
        <f>HYPERLINK("https://www.ncbi.nlm.nih.gov/nuccore/MF893248","NCBI Nucleotide")</f>
        <v>NCBI Nucleotide</v>
      </c>
    </row>
    <row r="11804" spans="1:27" x14ac:dyDescent="0.35">
      <c r="A11804">
        <v>1010560</v>
      </c>
      <c r="B11804">
        <v>11102</v>
      </c>
      <c r="C11804">
        <v>1</v>
      </c>
      <c r="D11804" s="17" t="s">
        <v>17166</v>
      </c>
      <c r="E11804" s="17"/>
      <c r="F11804" s="17" t="s">
        <v>17246</v>
      </c>
      <c r="G11804" s="17"/>
      <c r="H11804" s="17" t="s">
        <v>23950</v>
      </c>
      <c r="I11804" s="17" t="s">
        <v>23956</v>
      </c>
      <c r="J11804" s="17" t="s">
        <v>24017</v>
      </c>
      <c r="K11804" s="17"/>
      <c r="L11804" s="17" t="s">
        <v>24262</v>
      </c>
      <c r="M11804" s="17"/>
      <c r="N11804" s="17" t="s">
        <v>24577</v>
      </c>
      <c r="O11804" s="17"/>
      <c r="P11804" s="17" t="s">
        <v>24649</v>
      </c>
      <c r="Q11804" s="17"/>
      <c r="R11804" s="25" t="str">
        <f>HYPERLINK("https://ictv.global/taxonomy/taxondetails?taxnode_id=202314207","Penicillimonavirus magnaporthe")</f>
        <v>Penicillimonavirus magnaporthe</v>
      </c>
      <c r="S11804" s="18" t="s">
        <v>30</v>
      </c>
      <c r="T11804" s="18" t="s">
        <v>24698</v>
      </c>
      <c r="U11804" s="18" t="s">
        <v>24699</v>
      </c>
      <c r="V11804" s="18" t="s">
        <v>24700</v>
      </c>
      <c r="W11804" s="18" t="s">
        <v>24701</v>
      </c>
      <c r="X11804" s="18" t="s">
        <v>35</v>
      </c>
      <c r="Y11804" s="18" t="s">
        <v>23964</v>
      </c>
      <c r="Z11804" s="18" t="s">
        <v>16721</v>
      </c>
      <c r="AA11804" s="21" t="str">
        <f>HYPERLINK("https://www.ncbi.nlm.nih.gov/nuccore/MW752165","NCBI Nucleotide")</f>
        <v>NCBI Nucleotide</v>
      </c>
    </row>
    <row r="11805" spans="1:27" x14ac:dyDescent="0.35">
      <c r="A11805">
        <v>1010561</v>
      </c>
      <c r="B11805">
        <v>11103</v>
      </c>
      <c r="C11805">
        <v>1</v>
      </c>
      <c r="D11805" s="17" t="s">
        <v>17166</v>
      </c>
      <c r="E11805" s="17"/>
      <c r="F11805" s="17" t="s">
        <v>17246</v>
      </c>
      <c r="G11805" s="17"/>
      <c r="H11805" s="17" t="s">
        <v>23950</v>
      </c>
      <c r="I11805" s="17" t="s">
        <v>23956</v>
      </c>
      <c r="J11805" s="17" t="s">
        <v>24017</v>
      </c>
      <c r="K11805" s="17"/>
      <c r="L11805" s="17" t="s">
        <v>24262</v>
      </c>
      <c r="M11805" s="17"/>
      <c r="N11805" s="17" t="s">
        <v>24577</v>
      </c>
      <c r="O11805" s="17"/>
      <c r="P11805" s="17" t="s">
        <v>24649</v>
      </c>
      <c r="Q11805" s="17"/>
      <c r="R11805" s="25" t="str">
        <f>HYPERLINK("https://ictv.global/taxonomy/taxondetails?taxnode_id=202308895","Penicillimonavirus zetaplasmoparae")</f>
        <v>Penicillimonavirus zetaplasmoparae</v>
      </c>
      <c r="S11805" s="18" t="s">
        <v>30</v>
      </c>
      <c r="T11805" s="18" t="s">
        <v>24702</v>
      </c>
      <c r="U11805" s="18" t="s">
        <v>24703</v>
      </c>
      <c r="V11805" s="18" t="s">
        <v>24704</v>
      </c>
      <c r="W11805" s="18" t="s">
        <v>24705</v>
      </c>
      <c r="X11805" s="18" t="s">
        <v>154</v>
      </c>
      <c r="Y11805" s="18" t="s">
        <v>23964</v>
      </c>
      <c r="Z11805" s="18" t="s">
        <v>17496</v>
      </c>
      <c r="AA11805" s="21" t="str">
        <f>HYPERLINK("https://www.ncbi.nlm.nih.gov/nuccore/MN557003","NCBI Nucleotide")</f>
        <v>NCBI Nucleotide</v>
      </c>
    </row>
    <row r="11806" spans="1:27" x14ac:dyDescent="0.35">
      <c r="A11806">
        <v>1027689</v>
      </c>
      <c r="B11806">
        <v>11104</v>
      </c>
      <c r="C11806">
        <v>1</v>
      </c>
      <c r="D11806" s="17" t="s">
        <v>17166</v>
      </c>
      <c r="E11806" s="17"/>
      <c r="F11806" s="17" t="s">
        <v>17246</v>
      </c>
      <c r="G11806" s="17"/>
      <c r="H11806" s="17" t="s">
        <v>23950</v>
      </c>
      <c r="I11806" s="17" t="s">
        <v>23956</v>
      </c>
      <c r="J11806" s="17" t="s">
        <v>24017</v>
      </c>
      <c r="K11806" s="17"/>
      <c r="L11806" s="17" t="s">
        <v>24262</v>
      </c>
      <c r="M11806" s="17"/>
      <c r="N11806" s="17" t="s">
        <v>24577</v>
      </c>
      <c r="O11806" s="17"/>
      <c r="P11806" s="17" t="s">
        <v>24706</v>
      </c>
      <c r="Q11806" s="17"/>
      <c r="R11806" s="25" t="str">
        <f>HYPERLINK("https://ictv.global/taxonomy/taxondetails?taxnode_id=202318266","Phyllomonavirus culicis")</f>
        <v>Phyllomonavirus culicis</v>
      </c>
      <c r="S11806" s="18" t="s">
        <v>30</v>
      </c>
      <c r="T11806" s="18" t="s">
        <v>46391</v>
      </c>
      <c r="U11806" s="18"/>
      <c r="V11806" s="18" t="s">
        <v>46392</v>
      </c>
      <c r="W11806" s="18" t="s">
        <v>46393</v>
      </c>
      <c r="X11806" s="18" t="s">
        <v>35</v>
      </c>
      <c r="Y11806" s="18" t="s">
        <v>23964</v>
      </c>
      <c r="Z11806" s="18" t="s">
        <v>10790</v>
      </c>
      <c r="AA11806" s="21" t="str">
        <f>HYPERLINK("https://www.ncbi.nlm.nih.gov/nuccore/OL700132","NCBI Nucleotide")</f>
        <v>NCBI Nucleotide</v>
      </c>
    </row>
    <row r="11807" spans="1:27" x14ac:dyDescent="0.35">
      <c r="A11807">
        <v>1010562</v>
      </c>
      <c r="B11807">
        <v>11105</v>
      </c>
      <c r="C11807">
        <v>1</v>
      </c>
      <c r="D11807" s="17" t="s">
        <v>17166</v>
      </c>
      <c r="E11807" s="17"/>
      <c r="F11807" s="17" t="s">
        <v>17246</v>
      </c>
      <c r="G11807" s="17"/>
      <c r="H11807" s="17" t="s">
        <v>23950</v>
      </c>
      <c r="I11807" s="17" t="s">
        <v>23956</v>
      </c>
      <c r="J11807" s="17" t="s">
        <v>24017</v>
      </c>
      <c r="K11807" s="17"/>
      <c r="L11807" s="17" t="s">
        <v>24262</v>
      </c>
      <c r="M11807" s="17"/>
      <c r="N11807" s="17" t="s">
        <v>24577</v>
      </c>
      <c r="O11807" s="17"/>
      <c r="P11807" s="17" t="s">
        <v>24706</v>
      </c>
      <c r="Q11807" s="17"/>
      <c r="R11807" s="25" t="str">
        <f>HYPERLINK("https://ictv.global/taxonomy/taxondetails?taxnode_id=202308903","Phyllomonavirus gysingense")</f>
        <v>Phyllomonavirus gysingense</v>
      </c>
      <c r="S11807" s="18" t="s">
        <v>30</v>
      </c>
      <c r="T11807" s="18" t="s">
        <v>24707</v>
      </c>
      <c r="U11807" s="18" t="s">
        <v>24708</v>
      </c>
      <c r="V11807" s="18" t="s">
        <v>24709</v>
      </c>
      <c r="W11807" s="18" t="s">
        <v>24710</v>
      </c>
      <c r="X11807" s="18" t="s">
        <v>154</v>
      </c>
      <c r="Y11807" s="18" t="s">
        <v>23964</v>
      </c>
      <c r="Z11807" s="18" t="s">
        <v>10790</v>
      </c>
      <c r="AA11807" s="21" t="str">
        <f>HYPERLINK("https://www.ncbi.nlm.nih.gov/nuccore/MK440629","NCBI Nucleotide")</f>
        <v>NCBI Nucleotide</v>
      </c>
    </row>
    <row r="11808" spans="1:27" x14ac:dyDescent="0.35">
      <c r="A11808">
        <v>1010563</v>
      </c>
      <c r="B11808">
        <v>11106</v>
      </c>
      <c r="C11808">
        <v>1</v>
      </c>
      <c r="D11808" s="17" t="s">
        <v>17166</v>
      </c>
      <c r="E11808" s="17"/>
      <c r="F11808" s="17" t="s">
        <v>17246</v>
      </c>
      <c r="G11808" s="17"/>
      <c r="H11808" s="17" t="s">
        <v>23950</v>
      </c>
      <c r="I11808" s="17" t="s">
        <v>23956</v>
      </c>
      <c r="J11808" s="17" t="s">
        <v>24017</v>
      </c>
      <c r="K11808" s="17"/>
      <c r="L11808" s="17" t="s">
        <v>24262</v>
      </c>
      <c r="M11808" s="17"/>
      <c r="N11808" s="17" t="s">
        <v>24577</v>
      </c>
      <c r="O11808" s="17"/>
      <c r="P11808" s="17" t="s">
        <v>24706</v>
      </c>
      <c r="Q11808" s="17"/>
      <c r="R11808" s="25" t="str">
        <f>HYPERLINK("https://ictv.global/taxonomy/taxondetails?taxnode_id=202306245","Phyllomonavirus phyllospherae")</f>
        <v>Phyllomonavirus phyllospherae</v>
      </c>
      <c r="S11808" s="18" t="s">
        <v>30</v>
      </c>
      <c r="T11808" s="18" t="s">
        <v>24711</v>
      </c>
      <c r="U11808" s="18" t="s">
        <v>24712</v>
      </c>
      <c r="V11808" s="19">
        <v>1</v>
      </c>
      <c r="W11808" s="18" t="s">
        <v>24713</v>
      </c>
      <c r="X11808" s="18" t="s">
        <v>154</v>
      </c>
      <c r="Y11808" s="18" t="s">
        <v>23964</v>
      </c>
      <c r="Z11808" s="18" t="s">
        <v>24609</v>
      </c>
      <c r="AA11808" s="21" t="str">
        <f>HYPERLINK("https://www.ncbi.nlm.nih.gov/nuccore/KT598229","NCBI Nucleotide")</f>
        <v>NCBI Nucleotide</v>
      </c>
    </row>
    <row r="11809" spans="1:27" x14ac:dyDescent="0.35">
      <c r="A11809">
        <v>1027721</v>
      </c>
      <c r="B11809">
        <v>11107</v>
      </c>
      <c r="C11809">
        <v>1</v>
      </c>
      <c r="D11809" s="17" t="s">
        <v>17166</v>
      </c>
      <c r="E11809" s="17"/>
      <c r="F11809" s="17" t="s">
        <v>17246</v>
      </c>
      <c r="G11809" s="17"/>
      <c r="H11809" s="17" t="s">
        <v>23950</v>
      </c>
      <c r="I11809" s="17" t="s">
        <v>23956</v>
      </c>
      <c r="J11809" s="17" t="s">
        <v>24017</v>
      </c>
      <c r="K11809" s="17"/>
      <c r="L11809" s="17" t="s">
        <v>24262</v>
      </c>
      <c r="M11809" s="17"/>
      <c r="N11809" s="17" t="s">
        <v>24577</v>
      </c>
      <c r="O11809" s="17"/>
      <c r="P11809" s="17" t="s">
        <v>24714</v>
      </c>
      <c r="Q11809" s="17"/>
      <c r="R11809" s="25" t="str">
        <f>HYPERLINK("https://ictv.global/taxonomy/taxondetails?taxnode_id=202318267","Plasmopamonavirus alphatrichodermae")</f>
        <v>Plasmopamonavirus alphatrichodermae</v>
      </c>
      <c r="S11809" s="18" t="s">
        <v>30</v>
      </c>
      <c r="T11809" s="18" t="s">
        <v>46394</v>
      </c>
      <c r="U11809" s="18" t="s">
        <v>46395</v>
      </c>
      <c r="V11809" s="19" t="s">
        <v>46396</v>
      </c>
      <c r="W11809" s="18" t="s">
        <v>46397</v>
      </c>
      <c r="X11809" s="18" t="s">
        <v>42</v>
      </c>
      <c r="Y11809" s="18" t="s">
        <v>23964</v>
      </c>
      <c r="Z11809" s="18" t="s">
        <v>16721</v>
      </c>
      <c r="AA11809" s="21" t="str">
        <f>HYPERLINK("https://www.ncbi.nlm.nih.gov/nuccore/OQ463847","NCBI Nucleotide")</f>
        <v>NCBI Nucleotide</v>
      </c>
    </row>
    <row r="11810" spans="1:27" x14ac:dyDescent="0.35">
      <c r="A11810">
        <v>1027722</v>
      </c>
      <c r="B11810">
        <v>11108</v>
      </c>
      <c r="C11810">
        <v>1</v>
      </c>
      <c r="D11810" s="17" t="s">
        <v>17166</v>
      </c>
      <c r="E11810" s="17"/>
      <c r="F11810" s="17" t="s">
        <v>17246</v>
      </c>
      <c r="G11810" s="17"/>
      <c r="H11810" s="17" t="s">
        <v>23950</v>
      </c>
      <c r="I11810" s="17" t="s">
        <v>23956</v>
      </c>
      <c r="J11810" s="17" t="s">
        <v>24017</v>
      </c>
      <c r="K11810" s="17"/>
      <c r="L11810" s="17" t="s">
        <v>24262</v>
      </c>
      <c r="M11810" s="17"/>
      <c r="N11810" s="17" t="s">
        <v>24577</v>
      </c>
      <c r="O11810" s="17"/>
      <c r="P11810" s="17" t="s">
        <v>24714</v>
      </c>
      <c r="Q11810" s="17"/>
      <c r="R11810" s="25" t="str">
        <f>HYPERLINK("https://ictv.global/taxonomy/taxondetails?taxnode_id=202318268","Plasmopamonavirus betatrichodermae")</f>
        <v>Plasmopamonavirus betatrichodermae</v>
      </c>
      <c r="S11810" s="18" t="s">
        <v>30</v>
      </c>
      <c r="T11810" s="18" t="s">
        <v>46398</v>
      </c>
      <c r="U11810" s="18" t="s">
        <v>46399</v>
      </c>
      <c r="V11810" s="19">
        <v>45563</v>
      </c>
      <c r="W11810" s="18" t="s">
        <v>46400</v>
      </c>
      <c r="X11810" s="18" t="s">
        <v>42</v>
      </c>
      <c r="Y11810" s="18" t="s">
        <v>23964</v>
      </c>
      <c r="Z11810" s="18" t="s">
        <v>16721</v>
      </c>
      <c r="AA11810" s="21" t="str">
        <f>HYPERLINK("https://www.ncbi.nlm.nih.gov/nuccore/OQ463848","NCBI Nucleotide")</f>
        <v>NCBI Nucleotide</v>
      </c>
    </row>
    <row r="11811" spans="1:27" x14ac:dyDescent="0.35">
      <c r="A11811">
        <v>1010564</v>
      </c>
      <c r="B11811">
        <v>11109</v>
      </c>
      <c r="C11811">
        <v>1</v>
      </c>
      <c r="D11811" s="17" t="s">
        <v>17166</v>
      </c>
      <c r="E11811" s="17"/>
      <c r="F11811" s="17" t="s">
        <v>17246</v>
      </c>
      <c r="G11811" s="17"/>
      <c r="H11811" s="17" t="s">
        <v>23950</v>
      </c>
      <c r="I11811" s="17" t="s">
        <v>23956</v>
      </c>
      <c r="J11811" s="17" t="s">
        <v>24017</v>
      </c>
      <c r="K11811" s="17"/>
      <c r="L11811" s="17" t="s">
        <v>24262</v>
      </c>
      <c r="M11811" s="17"/>
      <c r="N11811" s="17" t="s">
        <v>24577</v>
      </c>
      <c r="O11811" s="17"/>
      <c r="P11811" s="17" t="s">
        <v>24714</v>
      </c>
      <c r="Q11811" s="17"/>
      <c r="R11811" s="25" t="str">
        <f>HYPERLINK("https://ictv.global/taxonomy/taxondetails?taxnode_id=202314211","Plasmopamonavirus erysiphe")</f>
        <v>Plasmopamonavirus erysiphe</v>
      </c>
      <c r="S11811" s="18" t="s">
        <v>30</v>
      </c>
      <c r="T11811" s="18" t="s">
        <v>24715</v>
      </c>
      <c r="U11811" s="18" t="s">
        <v>24716</v>
      </c>
      <c r="V11811" s="18" t="s">
        <v>24717</v>
      </c>
      <c r="W11811" s="18" t="s">
        <v>24718</v>
      </c>
      <c r="X11811" s="18" t="s">
        <v>35</v>
      </c>
      <c r="Y11811" s="18" t="s">
        <v>23964</v>
      </c>
      <c r="Z11811" s="18" t="s">
        <v>16721</v>
      </c>
      <c r="AA11811" s="21" t="str">
        <f>HYPERLINK("https://www.ncbi.nlm.nih.gov/nuccore/MN617053","NCBI Nucleotide")</f>
        <v>NCBI Nucleotide</v>
      </c>
    </row>
    <row r="11812" spans="1:27" x14ac:dyDescent="0.35">
      <c r="A11812">
        <v>1010565</v>
      </c>
      <c r="B11812">
        <v>11110</v>
      </c>
      <c r="C11812">
        <v>1</v>
      </c>
      <c r="D11812" s="17" t="s">
        <v>17166</v>
      </c>
      <c r="E11812" s="17"/>
      <c r="F11812" s="17" t="s">
        <v>17246</v>
      </c>
      <c r="G11812" s="17"/>
      <c r="H11812" s="17" t="s">
        <v>23950</v>
      </c>
      <c r="I11812" s="17" t="s">
        <v>23956</v>
      </c>
      <c r="J11812" s="17" t="s">
        <v>24017</v>
      </c>
      <c r="K11812" s="17"/>
      <c r="L11812" s="17" t="s">
        <v>24262</v>
      </c>
      <c r="M11812" s="17"/>
      <c r="N11812" s="17" t="s">
        <v>24577</v>
      </c>
      <c r="O11812" s="17"/>
      <c r="P11812" s="17" t="s">
        <v>24714</v>
      </c>
      <c r="Q11812" s="17"/>
      <c r="R11812" s="25" t="str">
        <f>HYPERLINK("https://ictv.global/taxonomy/taxondetails?taxnode_id=202308899","Plasmopamonavirus plasmoparae")</f>
        <v>Plasmopamonavirus plasmoparae</v>
      </c>
      <c r="S11812" s="18" t="s">
        <v>30</v>
      </c>
      <c r="T11812" s="18" t="s">
        <v>24719</v>
      </c>
      <c r="U11812" s="18" t="s">
        <v>24720</v>
      </c>
      <c r="V11812" s="18" t="s">
        <v>24721</v>
      </c>
      <c r="W11812" s="18" t="s">
        <v>24722</v>
      </c>
      <c r="X11812" s="18" t="s">
        <v>154</v>
      </c>
      <c r="Y11812" s="18" t="s">
        <v>23964</v>
      </c>
      <c r="Z11812" s="18" t="s">
        <v>17496</v>
      </c>
      <c r="AA11812" s="21" t="str">
        <f>HYPERLINK("https://www.ncbi.nlm.nih.gov/nuccore/MN557004","NCBI Nucleotide")</f>
        <v>NCBI Nucleotide</v>
      </c>
    </row>
    <row r="11813" spans="1:27" x14ac:dyDescent="0.35">
      <c r="A11813">
        <v>1010566</v>
      </c>
      <c r="B11813">
        <v>11111</v>
      </c>
      <c r="C11813">
        <v>1</v>
      </c>
      <c r="D11813" s="17" t="s">
        <v>17166</v>
      </c>
      <c r="E11813" s="17"/>
      <c r="F11813" s="17" t="s">
        <v>17246</v>
      </c>
      <c r="G11813" s="17"/>
      <c r="H11813" s="17" t="s">
        <v>23950</v>
      </c>
      <c r="I11813" s="17" t="s">
        <v>23956</v>
      </c>
      <c r="J11813" s="17" t="s">
        <v>24017</v>
      </c>
      <c r="K11813" s="17"/>
      <c r="L11813" s="17" t="s">
        <v>24262</v>
      </c>
      <c r="M11813" s="17"/>
      <c r="N11813" s="17" t="s">
        <v>24577</v>
      </c>
      <c r="O11813" s="17"/>
      <c r="P11813" s="17" t="s">
        <v>24723</v>
      </c>
      <c r="Q11813" s="17"/>
      <c r="R11813" s="25" t="str">
        <f>HYPERLINK("https://ictv.global/taxonomy/taxondetails?taxnode_id=202308905","Rhizomonavirus mali")</f>
        <v>Rhizomonavirus mali</v>
      </c>
      <c r="S11813" s="18" t="s">
        <v>30</v>
      </c>
      <c r="T11813" s="18" t="s">
        <v>24724</v>
      </c>
      <c r="U11813" s="18" t="s">
        <v>24725</v>
      </c>
      <c r="V11813" s="18" t="s">
        <v>23646</v>
      </c>
      <c r="W11813" s="18" t="s">
        <v>24726</v>
      </c>
      <c r="X11813" s="18" t="s">
        <v>35</v>
      </c>
      <c r="Y11813" s="18" t="s">
        <v>23964</v>
      </c>
      <c r="Z11813" s="18" t="s">
        <v>24609</v>
      </c>
      <c r="AA11813" s="21" t="str">
        <f>HYPERLINK("https://www.ncbi.nlm.nih.gov/nuccore/MN386971","NCBI Nucleotide")</f>
        <v>NCBI Nucleotide</v>
      </c>
    </row>
    <row r="11814" spans="1:27" x14ac:dyDescent="0.35">
      <c r="A11814">
        <v>1027729</v>
      </c>
      <c r="B11814">
        <v>11112</v>
      </c>
      <c r="C11814">
        <v>1</v>
      </c>
      <c r="D11814" s="17" t="s">
        <v>17166</v>
      </c>
      <c r="E11814" s="17"/>
      <c r="F11814" s="17" t="s">
        <v>17246</v>
      </c>
      <c r="G11814" s="17"/>
      <c r="H11814" s="17" t="s">
        <v>23950</v>
      </c>
      <c r="I11814" s="17" t="s">
        <v>23956</v>
      </c>
      <c r="J11814" s="17" t="s">
        <v>24017</v>
      </c>
      <c r="K11814" s="17"/>
      <c r="L11814" s="17" t="s">
        <v>24262</v>
      </c>
      <c r="M11814" s="17"/>
      <c r="N11814" s="17" t="s">
        <v>24577</v>
      </c>
      <c r="O11814" s="17"/>
      <c r="P11814" s="17" t="s">
        <v>24727</v>
      </c>
      <c r="Q11814" s="17"/>
      <c r="R11814" s="25" t="str">
        <f>HYPERLINK("https://ictv.global/taxonomy/taxondetails?taxnode_id=202318273","Sclerotimonavirus alphaalternariae")</f>
        <v>Sclerotimonavirus alphaalternariae</v>
      </c>
      <c r="S11814" s="18" t="s">
        <v>30</v>
      </c>
      <c r="T11814" s="18" t="s">
        <v>46401</v>
      </c>
      <c r="U11814" s="18" t="s">
        <v>46402</v>
      </c>
      <c r="V11814" s="18" t="s">
        <v>46403</v>
      </c>
      <c r="W11814" s="18" t="s">
        <v>46404</v>
      </c>
      <c r="X11814" s="18" t="s">
        <v>35</v>
      </c>
      <c r="Y11814" s="18" t="s">
        <v>23964</v>
      </c>
      <c r="Z11814" s="18" t="s">
        <v>16721</v>
      </c>
      <c r="AA11814" s="21" t="str">
        <f>HYPERLINK("https://www.ncbi.nlm.nih.gov/nuccore/ON843764","NCBI Nucleotide")</f>
        <v>NCBI Nucleotide</v>
      </c>
    </row>
    <row r="11815" spans="1:27" x14ac:dyDescent="0.35">
      <c r="A11815">
        <v>1010567</v>
      </c>
      <c r="B11815">
        <v>11113</v>
      </c>
      <c r="C11815">
        <v>1</v>
      </c>
      <c r="D11815" s="17" t="s">
        <v>17166</v>
      </c>
      <c r="E11815" s="17"/>
      <c r="F11815" s="17" t="s">
        <v>17246</v>
      </c>
      <c r="G11815" s="17"/>
      <c r="H11815" s="17" t="s">
        <v>23950</v>
      </c>
      <c r="I11815" s="17" t="s">
        <v>23956</v>
      </c>
      <c r="J11815" s="17" t="s">
        <v>24017</v>
      </c>
      <c r="K11815" s="17"/>
      <c r="L11815" s="17" t="s">
        <v>24262</v>
      </c>
      <c r="M11815" s="17"/>
      <c r="N11815" s="17" t="s">
        <v>24577</v>
      </c>
      <c r="O11815" s="17"/>
      <c r="P11815" s="17" t="s">
        <v>24727</v>
      </c>
      <c r="Q11815" s="17"/>
      <c r="R11815" s="25" t="str">
        <f>HYPERLINK("https://ictv.global/taxonomy/taxondetails?taxnode_id=202312962","Sclerotimonavirus alphabotrytidis")</f>
        <v>Sclerotimonavirus alphabotrytidis</v>
      </c>
      <c r="S11815" s="18" t="s">
        <v>30</v>
      </c>
      <c r="T11815" s="18" t="s">
        <v>24728</v>
      </c>
      <c r="U11815" s="18" t="s">
        <v>24729</v>
      </c>
      <c r="V11815" s="18" t="s">
        <v>24730</v>
      </c>
      <c r="W11815" s="18" t="s">
        <v>24731</v>
      </c>
      <c r="X11815" s="18" t="s">
        <v>42</v>
      </c>
      <c r="Y11815" s="18" t="s">
        <v>23964</v>
      </c>
      <c r="Z11815" s="18" t="s">
        <v>16721</v>
      </c>
      <c r="AA11815" s="21" t="str">
        <f>HYPERLINK("https://www.ncbi.nlm.nih.gov/nuccore/MN617150","NCBI Nucleotide")</f>
        <v>NCBI Nucleotide</v>
      </c>
    </row>
    <row r="11816" spans="1:27" x14ac:dyDescent="0.35">
      <c r="A11816">
        <v>1012869</v>
      </c>
      <c r="B11816">
        <v>11113</v>
      </c>
      <c r="C11816">
        <v>2</v>
      </c>
      <c r="D11816" s="17" t="s">
        <v>17166</v>
      </c>
      <c r="E11816" s="17"/>
      <c r="F11816" s="17" t="s">
        <v>17246</v>
      </c>
      <c r="G11816" s="17"/>
      <c r="H11816" s="17" t="s">
        <v>23950</v>
      </c>
      <c r="I11816" s="17" t="s">
        <v>23956</v>
      </c>
      <c r="J11816" s="17" t="s">
        <v>24017</v>
      </c>
      <c r="K11816" s="17"/>
      <c r="L11816" s="17" t="s">
        <v>24262</v>
      </c>
      <c r="M11816" s="17"/>
      <c r="N11816" s="17" t="s">
        <v>24577</v>
      </c>
      <c r="O11816" s="17"/>
      <c r="P11816" s="17" t="s">
        <v>24727</v>
      </c>
      <c r="Q11816" s="17"/>
      <c r="R11816" s="25" t="str">
        <f>HYPERLINK("https://ictv.global/taxonomy/taxondetails?taxnode_id=202312962","Sclerotimonavirus alphabotrytidis")</f>
        <v>Sclerotimonavirus alphabotrytidis</v>
      </c>
      <c r="S11816" s="18" t="s">
        <v>8141</v>
      </c>
      <c r="T11816" s="18" t="s">
        <v>24732</v>
      </c>
      <c r="U11816" s="18" t="s">
        <v>24733</v>
      </c>
      <c r="V11816" s="18" t="s">
        <v>24734</v>
      </c>
      <c r="W11816" s="18" t="s">
        <v>49425</v>
      </c>
      <c r="X11816" s="18" t="s">
        <v>154</v>
      </c>
      <c r="Y11816" s="18" t="s">
        <v>23964</v>
      </c>
      <c r="Z11816" s="18" t="s">
        <v>16721</v>
      </c>
      <c r="AA11816" s="21" t="str">
        <f>HYPERLINK("https://www.ncbi.nlm.nih.gov/nuccore/MT646386","NCBI Nucleotide")</f>
        <v>NCBI Nucleotide</v>
      </c>
    </row>
    <row r="11817" spans="1:27" x14ac:dyDescent="0.35">
      <c r="A11817">
        <v>1010568</v>
      </c>
      <c r="B11817">
        <v>11114</v>
      </c>
      <c r="C11817">
        <v>1</v>
      </c>
      <c r="D11817" s="17" t="s">
        <v>17166</v>
      </c>
      <c r="E11817" s="17"/>
      <c r="F11817" s="17" t="s">
        <v>17246</v>
      </c>
      <c r="G11817" s="17"/>
      <c r="H11817" s="17" t="s">
        <v>23950</v>
      </c>
      <c r="I11817" s="17" t="s">
        <v>23956</v>
      </c>
      <c r="J11817" s="17" t="s">
        <v>24017</v>
      </c>
      <c r="K11817" s="17"/>
      <c r="L11817" s="17" t="s">
        <v>24262</v>
      </c>
      <c r="M11817" s="17"/>
      <c r="N11817" s="17" t="s">
        <v>24577</v>
      </c>
      <c r="O11817" s="17"/>
      <c r="P11817" s="17" t="s">
        <v>24727</v>
      </c>
      <c r="Q11817" s="17"/>
      <c r="R11817" s="25" t="str">
        <f>HYPERLINK("https://ictv.global/taxonomy/taxondetails?taxnode_id=202308882","Sclerotimonavirus alphaclarireediae")</f>
        <v>Sclerotimonavirus alphaclarireediae</v>
      </c>
      <c r="S11817" s="18" t="s">
        <v>30</v>
      </c>
      <c r="T11817" s="18" t="s">
        <v>24735</v>
      </c>
      <c r="U11817" s="18" t="s">
        <v>24736</v>
      </c>
      <c r="V11817" s="18"/>
      <c r="W11817" s="18" t="s">
        <v>24737</v>
      </c>
      <c r="X11817" s="18" t="s">
        <v>154</v>
      </c>
      <c r="Y11817" s="18" t="s">
        <v>23964</v>
      </c>
      <c r="Z11817" s="18" t="s">
        <v>16721</v>
      </c>
      <c r="AA11817" s="21" t="str">
        <f>HYPERLINK("https://www.ncbi.nlm.nih.gov/nuccore/JU091017","NCBI Nucleotide")</f>
        <v>NCBI Nucleotide</v>
      </c>
    </row>
    <row r="11818" spans="1:27" x14ac:dyDescent="0.35">
      <c r="A11818">
        <v>1012870</v>
      </c>
      <c r="B11818">
        <v>11114</v>
      </c>
      <c r="C11818">
        <v>2</v>
      </c>
      <c r="D11818" s="17" t="s">
        <v>17166</v>
      </c>
      <c r="E11818" s="17"/>
      <c r="F11818" s="17" t="s">
        <v>17246</v>
      </c>
      <c r="G11818" s="17"/>
      <c r="H11818" s="17" t="s">
        <v>23950</v>
      </c>
      <c r="I11818" s="17" t="s">
        <v>23956</v>
      </c>
      <c r="J11818" s="17" t="s">
        <v>24017</v>
      </c>
      <c r="K11818" s="17"/>
      <c r="L11818" s="17" t="s">
        <v>24262</v>
      </c>
      <c r="M11818" s="17"/>
      <c r="N11818" s="17" t="s">
        <v>24577</v>
      </c>
      <c r="O11818" s="17"/>
      <c r="P11818" s="17" t="s">
        <v>24727</v>
      </c>
      <c r="Q11818" s="17"/>
      <c r="R11818" s="25" t="str">
        <f>HYPERLINK("https://ictv.global/taxonomy/taxondetails?taxnode_id=202308882","Sclerotimonavirus alphaclarireediae")</f>
        <v>Sclerotimonavirus alphaclarireediae</v>
      </c>
      <c r="S11818" s="18" t="s">
        <v>8141</v>
      </c>
      <c r="T11818" s="18" t="s">
        <v>24738</v>
      </c>
      <c r="U11818" s="18" t="s">
        <v>24739</v>
      </c>
      <c r="V11818" s="18"/>
      <c r="W11818" s="18" t="s">
        <v>49426</v>
      </c>
      <c r="X11818" s="18" t="s">
        <v>154</v>
      </c>
      <c r="Y11818" s="18" t="s">
        <v>23964</v>
      </c>
      <c r="Z11818" s="18" t="s">
        <v>16721</v>
      </c>
      <c r="AA11818" s="21" t="str">
        <f>HYPERLINK("https://www.ncbi.nlm.nih.gov/nuccore/JW826636","NCBI Nucleotide")</f>
        <v>NCBI Nucleotide</v>
      </c>
    </row>
    <row r="11819" spans="1:27" x14ac:dyDescent="0.35">
      <c r="A11819">
        <v>1010569</v>
      </c>
      <c r="B11819">
        <v>11115</v>
      </c>
      <c r="C11819">
        <v>1</v>
      </c>
      <c r="D11819" s="17" t="s">
        <v>17166</v>
      </c>
      <c r="E11819" s="17"/>
      <c r="F11819" s="17" t="s">
        <v>17246</v>
      </c>
      <c r="G11819" s="17"/>
      <c r="H11819" s="17" t="s">
        <v>23950</v>
      </c>
      <c r="I11819" s="17" t="s">
        <v>23956</v>
      </c>
      <c r="J11819" s="17" t="s">
        <v>24017</v>
      </c>
      <c r="K11819" s="17"/>
      <c r="L11819" s="17" t="s">
        <v>24262</v>
      </c>
      <c r="M11819" s="17"/>
      <c r="N11819" s="17" t="s">
        <v>24577</v>
      </c>
      <c r="O11819" s="17"/>
      <c r="P11819" s="17" t="s">
        <v>24727</v>
      </c>
      <c r="Q11819" s="17"/>
      <c r="R11819" s="25" t="str">
        <f>HYPERLINK("https://ictv.global/taxonomy/taxondetails?taxnode_id=202308879","Sclerotimonavirus alphaplasmoparae")</f>
        <v>Sclerotimonavirus alphaplasmoparae</v>
      </c>
      <c r="S11819" s="18" t="s">
        <v>30</v>
      </c>
      <c r="T11819" s="18" t="s">
        <v>24740</v>
      </c>
      <c r="U11819" s="18" t="s">
        <v>24659</v>
      </c>
      <c r="V11819" s="18" t="s">
        <v>24741</v>
      </c>
      <c r="W11819" s="18" t="s">
        <v>24742</v>
      </c>
      <c r="X11819" s="18" t="s">
        <v>154</v>
      </c>
      <c r="Y11819" s="18" t="s">
        <v>23964</v>
      </c>
      <c r="Z11819" s="18" t="s">
        <v>17496</v>
      </c>
      <c r="AA11819" s="21" t="str">
        <f>HYPERLINK("https://www.ncbi.nlm.nih.gov/nuccore/MN557002","NCBI Nucleotide")</f>
        <v>NCBI Nucleotide</v>
      </c>
    </row>
    <row r="11820" spans="1:27" x14ac:dyDescent="0.35">
      <c r="A11820">
        <v>1027730</v>
      </c>
      <c r="B11820">
        <v>11116</v>
      </c>
      <c r="C11820">
        <v>1</v>
      </c>
      <c r="D11820" s="17" t="s">
        <v>17166</v>
      </c>
      <c r="E11820" s="17"/>
      <c r="F11820" s="17" t="s">
        <v>17246</v>
      </c>
      <c r="G11820" s="17"/>
      <c r="H11820" s="17" t="s">
        <v>23950</v>
      </c>
      <c r="I11820" s="17" t="s">
        <v>23956</v>
      </c>
      <c r="J11820" s="17" t="s">
        <v>24017</v>
      </c>
      <c r="K11820" s="17"/>
      <c r="L11820" s="17" t="s">
        <v>24262</v>
      </c>
      <c r="M11820" s="17"/>
      <c r="N11820" s="17" t="s">
        <v>24577</v>
      </c>
      <c r="O11820" s="17"/>
      <c r="P11820" s="17" t="s">
        <v>24727</v>
      </c>
      <c r="Q11820" s="17"/>
      <c r="R11820" s="25" t="str">
        <f>HYPERLINK("https://ictv.global/taxonomy/taxondetails?taxnode_id=202318271","Sclerotimonavirus alpharhipicephali")</f>
        <v>Sclerotimonavirus alpharhipicephali</v>
      </c>
      <c r="S11820" s="18" t="s">
        <v>30</v>
      </c>
      <c r="T11820" s="18" t="s">
        <v>46405</v>
      </c>
      <c r="U11820" s="18"/>
      <c r="V11820" s="18" t="s">
        <v>46406</v>
      </c>
      <c r="W11820" s="18" t="s">
        <v>46407</v>
      </c>
      <c r="X11820" s="18" t="s">
        <v>42</v>
      </c>
      <c r="Y11820" s="18" t="s">
        <v>23964</v>
      </c>
      <c r="Z11820" s="18" t="s">
        <v>16721</v>
      </c>
      <c r="AA11820" s="21" t="str">
        <f>HYPERLINK("https://www.ncbi.nlm.nih.gov/nuccore/ON746412","NCBI Nucleotide")</f>
        <v>NCBI Nucleotide</v>
      </c>
    </row>
    <row r="11821" spans="1:27" x14ac:dyDescent="0.35">
      <c r="A11821">
        <v>1010570</v>
      </c>
      <c r="B11821">
        <v>11117</v>
      </c>
      <c r="C11821">
        <v>1</v>
      </c>
      <c r="D11821" s="17" t="s">
        <v>17166</v>
      </c>
      <c r="E11821" s="17"/>
      <c r="F11821" s="17" t="s">
        <v>17246</v>
      </c>
      <c r="G11821" s="17"/>
      <c r="H11821" s="17" t="s">
        <v>23950</v>
      </c>
      <c r="I11821" s="17" t="s">
        <v>23956</v>
      </c>
      <c r="J11821" s="17" t="s">
        <v>24017</v>
      </c>
      <c r="K11821" s="17"/>
      <c r="L11821" s="17" t="s">
        <v>24262</v>
      </c>
      <c r="M11821" s="17"/>
      <c r="N11821" s="17" t="s">
        <v>24577</v>
      </c>
      <c r="O11821" s="17"/>
      <c r="P11821" s="17" t="s">
        <v>24727</v>
      </c>
      <c r="Q11821" s="17"/>
      <c r="R11821" s="25" t="str">
        <f>HYPERLINK("https://ictv.global/taxonomy/taxondetails?taxnode_id=202308876","Sclerotimonavirus alternariae")</f>
        <v>Sclerotimonavirus alternariae</v>
      </c>
      <c r="S11821" s="18" t="s">
        <v>30</v>
      </c>
      <c r="T11821" s="18" t="s">
        <v>24743</v>
      </c>
      <c r="U11821" s="18" t="s">
        <v>24744</v>
      </c>
      <c r="V11821" s="18" t="s">
        <v>24745</v>
      </c>
      <c r="W11821" s="18" t="s">
        <v>24746</v>
      </c>
      <c r="X11821" s="18" t="s">
        <v>154</v>
      </c>
      <c r="Y11821" s="18" t="s">
        <v>23964</v>
      </c>
      <c r="Z11821" s="18" t="s">
        <v>16721</v>
      </c>
      <c r="AA11821" s="21" t="str">
        <f>HYPERLINK("https://www.ncbi.nlm.nih.gov/nuccore/MK584852","NCBI Nucleotide")</f>
        <v>NCBI Nucleotide</v>
      </c>
    </row>
    <row r="11822" spans="1:27" x14ac:dyDescent="0.35">
      <c r="A11822">
        <v>1010571</v>
      </c>
      <c r="B11822">
        <v>11118</v>
      </c>
      <c r="C11822">
        <v>1</v>
      </c>
      <c r="D11822" s="17" t="s">
        <v>17166</v>
      </c>
      <c r="E11822" s="17"/>
      <c r="F11822" s="17" t="s">
        <v>17246</v>
      </c>
      <c r="G11822" s="17"/>
      <c r="H11822" s="17" t="s">
        <v>23950</v>
      </c>
      <c r="I11822" s="17" t="s">
        <v>23956</v>
      </c>
      <c r="J11822" s="17" t="s">
        <v>24017</v>
      </c>
      <c r="K11822" s="17"/>
      <c r="L11822" s="17" t="s">
        <v>24262</v>
      </c>
      <c r="M11822" s="17"/>
      <c r="N11822" s="17" t="s">
        <v>24577</v>
      </c>
      <c r="O11822" s="17"/>
      <c r="P11822" s="17" t="s">
        <v>24727</v>
      </c>
      <c r="Q11822" s="17"/>
      <c r="R11822" s="25" t="str">
        <f>HYPERLINK("https://ictv.global/taxonomy/taxondetails?taxnode_id=202314212","Sclerotimonavirus asiafusarii")</f>
        <v>Sclerotimonavirus asiafusarii</v>
      </c>
      <c r="S11822" s="18" t="s">
        <v>30</v>
      </c>
      <c r="T11822" s="18" t="s">
        <v>24747</v>
      </c>
      <c r="U11822" s="18" t="s">
        <v>24748</v>
      </c>
      <c r="V11822" s="18" t="s">
        <v>24749</v>
      </c>
      <c r="W11822" s="18" t="s">
        <v>24750</v>
      </c>
      <c r="X11822" s="18" t="s">
        <v>42</v>
      </c>
      <c r="Y11822" s="18" t="s">
        <v>23964</v>
      </c>
      <c r="Z11822" s="18" t="s">
        <v>16721</v>
      </c>
      <c r="AA11822" s="21" t="str">
        <f>HYPERLINK("https://www.ncbi.nlm.nih.gov/nuccore/MZ969066","NCBI Nucleotide")</f>
        <v>NCBI Nucleotide</v>
      </c>
    </row>
    <row r="11823" spans="1:27" x14ac:dyDescent="0.35">
      <c r="A11823">
        <v>1027731</v>
      </c>
      <c r="B11823">
        <v>11119</v>
      </c>
      <c r="C11823">
        <v>1</v>
      </c>
      <c r="D11823" s="17" t="s">
        <v>17166</v>
      </c>
      <c r="E11823" s="17"/>
      <c r="F11823" s="17" t="s">
        <v>17246</v>
      </c>
      <c r="G11823" s="17"/>
      <c r="H11823" s="17" t="s">
        <v>23950</v>
      </c>
      <c r="I11823" s="17" t="s">
        <v>23956</v>
      </c>
      <c r="J11823" s="17" t="s">
        <v>24017</v>
      </c>
      <c r="K11823" s="17"/>
      <c r="L11823" s="17" t="s">
        <v>24262</v>
      </c>
      <c r="M11823" s="17"/>
      <c r="N11823" s="17" t="s">
        <v>24577</v>
      </c>
      <c r="O11823" s="17"/>
      <c r="P11823" s="17" t="s">
        <v>24727</v>
      </c>
      <c r="Q11823" s="17"/>
      <c r="R11823" s="25" t="str">
        <f>HYPERLINK("https://ictv.global/taxonomy/taxondetails?taxnode_id=202318274","Sclerotimonavirus betaalternariae")</f>
        <v>Sclerotimonavirus betaalternariae</v>
      </c>
      <c r="S11823" s="18" t="s">
        <v>30</v>
      </c>
      <c r="T11823" s="18" t="s">
        <v>46408</v>
      </c>
      <c r="U11823" s="18" t="s">
        <v>46409</v>
      </c>
      <c r="V11823" s="18" t="s">
        <v>46410</v>
      </c>
      <c r="W11823" s="18" t="s">
        <v>46411</v>
      </c>
      <c r="X11823" s="18" t="s">
        <v>42</v>
      </c>
      <c r="Y11823" s="18" t="s">
        <v>23964</v>
      </c>
      <c r="Z11823" s="18" t="s">
        <v>16721</v>
      </c>
      <c r="AA11823" s="21" t="str">
        <f>HYPERLINK("https://www.ncbi.nlm.nih.gov/nuccore/OP566533","NCBI Nucleotide")</f>
        <v>NCBI Nucleotide</v>
      </c>
    </row>
    <row r="11824" spans="1:27" x14ac:dyDescent="0.35">
      <c r="A11824">
        <v>1010572</v>
      </c>
      <c r="B11824">
        <v>11120</v>
      </c>
      <c r="C11824">
        <v>1</v>
      </c>
      <c r="D11824" s="17" t="s">
        <v>17166</v>
      </c>
      <c r="E11824" s="17"/>
      <c r="F11824" s="17" t="s">
        <v>17246</v>
      </c>
      <c r="G11824" s="17"/>
      <c r="H11824" s="17" t="s">
        <v>23950</v>
      </c>
      <c r="I11824" s="17" t="s">
        <v>23956</v>
      </c>
      <c r="J11824" s="17" t="s">
        <v>24017</v>
      </c>
      <c r="K11824" s="17"/>
      <c r="L11824" s="17" t="s">
        <v>24262</v>
      </c>
      <c r="M11824" s="17"/>
      <c r="N11824" s="17" t="s">
        <v>24577</v>
      </c>
      <c r="O11824" s="17"/>
      <c r="P11824" s="17" t="s">
        <v>24727</v>
      </c>
      <c r="Q11824" s="17"/>
      <c r="R11824" s="25" t="str">
        <f>HYPERLINK("https://ictv.global/taxonomy/taxondetails?taxnode_id=202312963","Sclerotimonavirus betabotrytidis")</f>
        <v>Sclerotimonavirus betabotrytidis</v>
      </c>
      <c r="S11824" s="18" t="s">
        <v>30</v>
      </c>
      <c r="T11824" s="18" t="s">
        <v>24751</v>
      </c>
      <c r="U11824" s="18" t="s">
        <v>24752</v>
      </c>
      <c r="V11824" s="18" t="s">
        <v>24753</v>
      </c>
      <c r="W11824" s="18" t="s">
        <v>24754</v>
      </c>
      <c r="X11824" s="18" t="s">
        <v>42</v>
      </c>
      <c r="Y11824" s="18" t="s">
        <v>23964</v>
      </c>
      <c r="Z11824" s="18" t="s">
        <v>16721</v>
      </c>
      <c r="AA11824" s="21" t="str">
        <f>HYPERLINK("https://www.ncbi.nlm.nih.gov/nuccore/MN617151","NCBI Nucleotide")</f>
        <v>NCBI Nucleotide</v>
      </c>
    </row>
    <row r="11825" spans="1:27" x14ac:dyDescent="0.35">
      <c r="A11825">
        <v>1010573</v>
      </c>
      <c r="B11825">
        <v>11121</v>
      </c>
      <c r="C11825">
        <v>1</v>
      </c>
      <c r="D11825" s="17" t="s">
        <v>17166</v>
      </c>
      <c r="E11825" s="17"/>
      <c r="F11825" s="17" t="s">
        <v>17246</v>
      </c>
      <c r="G11825" s="17"/>
      <c r="H11825" s="17" t="s">
        <v>23950</v>
      </c>
      <c r="I11825" s="17" t="s">
        <v>23956</v>
      </c>
      <c r="J11825" s="17" t="s">
        <v>24017</v>
      </c>
      <c r="K11825" s="17"/>
      <c r="L11825" s="17" t="s">
        <v>24262</v>
      </c>
      <c r="M11825" s="17"/>
      <c r="N11825" s="17" t="s">
        <v>24577</v>
      </c>
      <c r="O11825" s="17"/>
      <c r="P11825" s="17" t="s">
        <v>24727</v>
      </c>
      <c r="Q11825" s="17"/>
      <c r="R11825" s="25" t="str">
        <f>HYPERLINK("https://ictv.global/taxonomy/taxondetails?taxnode_id=202308883","Sclerotimonavirus betaclarireediae")</f>
        <v>Sclerotimonavirus betaclarireediae</v>
      </c>
      <c r="S11825" s="18" t="s">
        <v>30</v>
      </c>
      <c r="T11825" s="18" t="s">
        <v>24755</v>
      </c>
      <c r="U11825" s="18" t="s">
        <v>24756</v>
      </c>
      <c r="V11825" s="18"/>
      <c r="W11825" s="18" t="s">
        <v>24757</v>
      </c>
      <c r="X11825" s="18" t="s">
        <v>154</v>
      </c>
      <c r="Y11825" s="18" t="s">
        <v>23964</v>
      </c>
      <c r="Z11825" s="18" t="s">
        <v>16721</v>
      </c>
      <c r="AA11825" s="21" t="str">
        <f>HYPERLINK("https://www.ncbi.nlm.nih.gov/nuccore/JW828891","NCBI Nucleotide")</f>
        <v>NCBI Nucleotide</v>
      </c>
    </row>
    <row r="11826" spans="1:27" x14ac:dyDescent="0.35">
      <c r="A11826">
        <v>1010574</v>
      </c>
      <c r="B11826">
        <v>11122</v>
      </c>
      <c r="C11826">
        <v>1</v>
      </c>
      <c r="D11826" s="17" t="s">
        <v>17166</v>
      </c>
      <c r="E11826" s="17"/>
      <c r="F11826" s="17" t="s">
        <v>17246</v>
      </c>
      <c r="G11826" s="17"/>
      <c r="H11826" s="17" t="s">
        <v>23950</v>
      </c>
      <c r="I11826" s="17" t="s">
        <v>23956</v>
      </c>
      <c r="J11826" s="17" t="s">
        <v>24017</v>
      </c>
      <c r="K11826" s="17"/>
      <c r="L11826" s="17" t="s">
        <v>24262</v>
      </c>
      <c r="M11826" s="17"/>
      <c r="N11826" s="17" t="s">
        <v>24577</v>
      </c>
      <c r="O11826" s="17"/>
      <c r="P11826" s="17" t="s">
        <v>24727</v>
      </c>
      <c r="Q11826" s="17"/>
      <c r="R11826" s="25" t="str">
        <f>HYPERLINK("https://ictv.global/taxonomy/taxondetails?taxnode_id=202308880","Sclerotimonavirus betaplasmoparae")</f>
        <v>Sclerotimonavirus betaplasmoparae</v>
      </c>
      <c r="S11826" s="18" t="s">
        <v>30</v>
      </c>
      <c r="T11826" s="18" t="s">
        <v>24758</v>
      </c>
      <c r="U11826" s="18" t="s">
        <v>24759</v>
      </c>
      <c r="V11826" s="18" t="s">
        <v>24760</v>
      </c>
      <c r="W11826" s="18" t="s">
        <v>24761</v>
      </c>
      <c r="X11826" s="18" t="s">
        <v>154</v>
      </c>
      <c r="Y11826" s="18" t="s">
        <v>23964</v>
      </c>
      <c r="Z11826" s="18" t="s">
        <v>17496</v>
      </c>
      <c r="AA11826" s="21" t="str">
        <f>HYPERLINK("https://www.ncbi.nlm.nih.gov/nuccore/MN557006","NCBI Nucleotide")</f>
        <v>NCBI Nucleotide</v>
      </c>
    </row>
    <row r="11827" spans="1:27" x14ac:dyDescent="0.35">
      <c r="A11827">
        <v>1027732</v>
      </c>
      <c r="B11827">
        <v>11123</v>
      </c>
      <c r="C11827">
        <v>1</v>
      </c>
      <c r="D11827" s="17" t="s">
        <v>17166</v>
      </c>
      <c r="E11827" s="17"/>
      <c r="F11827" s="17" t="s">
        <v>17246</v>
      </c>
      <c r="G11827" s="17"/>
      <c r="H11827" s="17" t="s">
        <v>23950</v>
      </c>
      <c r="I11827" s="17" t="s">
        <v>23956</v>
      </c>
      <c r="J11827" s="17" t="s">
        <v>24017</v>
      </c>
      <c r="K11827" s="17"/>
      <c r="L11827" s="17" t="s">
        <v>24262</v>
      </c>
      <c r="M11827" s="17"/>
      <c r="N11827" s="17" t="s">
        <v>24577</v>
      </c>
      <c r="O11827" s="17"/>
      <c r="P11827" s="17" t="s">
        <v>24727</v>
      </c>
      <c r="Q11827" s="17"/>
      <c r="R11827" s="25" t="str">
        <f>HYPERLINK("https://ictv.global/taxonomy/taxondetails?taxnode_id=202318272","Sclerotimonavirus betarhipicephali")</f>
        <v>Sclerotimonavirus betarhipicephali</v>
      </c>
      <c r="S11827" s="18" t="s">
        <v>30</v>
      </c>
      <c r="T11827" s="18" t="s">
        <v>46412</v>
      </c>
      <c r="U11827" s="18"/>
      <c r="V11827" s="18" t="s">
        <v>46413</v>
      </c>
      <c r="W11827" s="18" t="s">
        <v>46414</v>
      </c>
      <c r="X11827" s="18" t="s">
        <v>42</v>
      </c>
      <c r="Y11827" s="18" t="s">
        <v>23964</v>
      </c>
      <c r="Z11827" s="18" t="s">
        <v>16721</v>
      </c>
      <c r="AA11827" s="21" t="str">
        <f>HYPERLINK("https://www.ncbi.nlm.nih.gov/nuccore/ON746413","NCBI Nucleotide")</f>
        <v>NCBI Nucleotide</v>
      </c>
    </row>
    <row r="11828" spans="1:27" x14ac:dyDescent="0.35">
      <c r="A11828">
        <v>1010575</v>
      </c>
      <c r="B11828">
        <v>11124</v>
      </c>
      <c r="C11828">
        <v>1</v>
      </c>
      <c r="D11828" s="17" t="s">
        <v>17166</v>
      </c>
      <c r="E11828" s="17"/>
      <c r="F11828" s="17" t="s">
        <v>17246</v>
      </c>
      <c r="G11828" s="17"/>
      <c r="H11828" s="17" t="s">
        <v>23950</v>
      </c>
      <c r="I11828" s="17" t="s">
        <v>23956</v>
      </c>
      <c r="J11828" s="17" t="s">
        <v>24017</v>
      </c>
      <c r="K11828" s="17"/>
      <c r="L11828" s="17" t="s">
        <v>24262</v>
      </c>
      <c r="M11828" s="17"/>
      <c r="N11828" s="17" t="s">
        <v>24577</v>
      </c>
      <c r="O11828" s="17"/>
      <c r="P11828" s="17" t="s">
        <v>24727</v>
      </c>
      <c r="Q11828" s="17"/>
      <c r="R11828" s="25" t="str">
        <f>HYPERLINK("https://ictv.global/taxonomy/taxondetails?taxnode_id=202308881","Sclerotimonavirus botrytidis")</f>
        <v>Sclerotimonavirus botrytidis</v>
      </c>
      <c r="S11828" s="18" t="s">
        <v>30</v>
      </c>
      <c r="T11828" s="18" t="s">
        <v>24762</v>
      </c>
      <c r="U11828" s="18" t="s">
        <v>24763</v>
      </c>
      <c r="V11828" s="18" t="s">
        <v>24764</v>
      </c>
      <c r="W11828" s="18" t="s">
        <v>24765</v>
      </c>
      <c r="X11828" s="18" t="s">
        <v>42</v>
      </c>
      <c r="Y11828" s="18" t="s">
        <v>23964</v>
      </c>
      <c r="Z11828" s="18" t="s">
        <v>16721</v>
      </c>
      <c r="AA11828" s="21" t="str">
        <f>HYPERLINK("https://www.ncbi.nlm.nih.gov/nuccore/MH648611","NCBI Nucleotide")</f>
        <v>NCBI Nucleotide</v>
      </c>
    </row>
    <row r="11829" spans="1:27" x14ac:dyDescent="0.35">
      <c r="A11829">
        <v>1012871</v>
      </c>
      <c r="B11829">
        <v>11124</v>
      </c>
      <c r="C11829">
        <v>2</v>
      </c>
      <c r="D11829" s="17" t="s">
        <v>17166</v>
      </c>
      <c r="E11829" s="17"/>
      <c r="F11829" s="17" t="s">
        <v>17246</v>
      </c>
      <c r="G11829" s="17"/>
      <c r="H11829" s="17" t="s">
        <v>23950</v>
      </c>
      <c r="I11829" s="17" t="s">
        <v>23956</v>
      </c>
      <c r="J11829" s="17" t="s">
        <v>24017</v>
      </c>
      <c r="K11829" s="17"/>
      <c r="L11829" s="17" t="s">
        <v>24262</v>
      </c>
      <c r="M11829" s="17"/>
      <c r="N11829" s="17" t="s">
        <v>24577</v>
      </c>
      <c r="O11829" s="17"/>
      <c r="P11829" s="17" t="s">
        <v>24727</v>
      </c>
      <c r="Q11829" s="17"/>
      <c r="R11829" s="25" t="str">
        <f>HYPERLINK("https://ictv.global/taxonomy/taxondetails?taxnode_id=202308881","Sclerotimonavirus botrytidis")</f>
        <v>Sclerotimonavirus botrytidis</v>
      </c>
      <c r="S11829" s="18" t="s">
        <v>8141</v>
      </c>
      <c r="T11829" s="18" t="s">
        <v>24766</v>
      </c>
      <c r="U11829" s="18" t="s">
        <v>24767</v>
      </c>
      <c r="V11829" s="18"/>
      <c r="W11829" s="18" t="s">
        <v>49427</v>
      </c>
      <c r="X11829" s="18" t="s">
        <v>35</v>
      </c>
      <c r="Y11829" s="18" t="s">
        <v>23964</v>
      </c>
      <c r="Z11829" s="18" t="s">
        <v>16721</v>
      </c>
      <c r="AA11829" s="21" t="str">
        <f>HYPERLINK("https://www.ncbi.nlm.nih.gov/nuccore/MF444285","NCBI Nucleotide")</f>
        <v>NCBI Nucleotide</v>
      </c>
    </row>
    <row r="11830" spans="1:27" x14ac:dyDescent="0.35">
      <c r="A11830">
        <v>1027733</v>
      </c>
      <c r="B11830">
        <v>11125</v>
      </c>
      <c r="C11830">
        <v>1</v>
      </c>
      <c r="D11830" s="17" t="s">
        <v>17166</v>
      </c>
      <c r="E11830" s="17"/>
      <c r="F11830" s="17" t="s">
        <v>17246</v>
      </c>
      <c r="G11830" s="17"/>
      <c r="H11830" s="17" t="s">
        <v>23950</v>
      </c>
      <c r="I11830" s="17" t="s">
        <v>23956</v>
      </c>
      <c r="J11830" s="17" t="s">
        <v>24017</v>
      </c>
      <c r="K11830" s="17"/>
      <c r="L11830" s="17" t="s">
        <v>24262</v>
      </c>
      <c r="M11830" s="17"/>
      <c r="N11830" s="17" t="s">
        <v>24577</v>
      </c>
      <c r="O11830" s="17"/>
      <c r="P11830" s="17" t="s">
        <v>24727</v>
      </c>
      <c r="Q11830" s="17"/>
      <c r="R11830" s="25" t="str">
        <f>HYPERLINK("https://ictv.global/taxonomy/taxondetails?taxnode_id=202318270","Sclerotimonavirus ceratocystis")</f>
        <v>Sclerotimonavirus ceratocystis</v>
      </c>
      <c r="S11830" s="18" t="s">
        <v>30</v>
      </c>
      <c r="T11830" s="18" t="s">
        <v>46415</v>
      </c>
      <c r="U11830" s="18" t="s">
        <v>46416</v>
      </c>
      <c r="V11830" s="18" t="s">
        <v>46417</v>
      </c>
      <c r="W11830" s="18" t="s">
        <v>46418</v>
      </c>
      <c r="X11830" s="18" t="s">
        <v>35</v>
      </c>
      <c r="Y11830" s="18" t="s">
        <v>23964</v>
      </c>
      <c r="Z11830" s="18" t="s">
        <v>16721</v>
      </c>
      <c r="AA11830" s="21" t="str">
        <f>HYPERLINK("https://www.ncbi.nlm.nih.gov/nuccore/BK062943","NCBI Nucleotide")</f>
        <v>NCBI Nucleotide</v>
      </c>
    </row>
    <row r="11831" spans="1:27" x14ac:dyDescent="0.35">
      <c r="A11831">
        <v>1010576</v>
      </c>
      <c r="B11831">
        <v>11126</v>
      </c>
      <c r="C11831">
        <v>1</v>
      </c>
      <c r="D11831" s="17" t="s">
        <v>17166</v>
      </c>
      <c r="E11831" s="17"/>
      <c r="F11831" s="17" t="s">
        <v>17246</v>
      </c>
      <c r="G11831" s="17"/>
      <c r="H11831" s="17" t="s">
        <v>23950</v>
      </c>
      <c r="I11831" s="17" t="s">
        <v>23956</v>
      </c>
      <c r="J11831" s="17" t="s">
        <v>24017</v>
      </c>
      <c r="K11831" s="17"/>
      <c r="L11831" s="17" t="s">
        <v>24262</v>
      </c>
      <c r="M11831" s="17"/>
      <c r="N11831" s="17" t="s">
        <v>24577</v>
      </c>
      <c r="O11831" s="17"/>
      <c r="P11831" s="17" t="s">
        <v>24727</v>
      </c>
      <c r="Q11831" s="17"/>
      <c r="R11831" s="25" t="str">
        <f>HYPERLINK("https://ictv.global/taxonomy/taxondetails?taxnode_id=202312964","Sclerotimonavirus cryphonectriae")</f>
        <v>Sclerotimonavirus cryphonectriae</v>
      </c>
      <c r="S11831" s="18" t="s">
        <v>30</v>
      </c>
      <c r="T11831" s="18" t="s">
        <v>24768</v>
      </c>
      <c r="U11831" s="18" t="s">
        <v>24769</v>
      </c>
      <c r="V11831" s="18" t="s">
        <v>24770</v>
      </c>
      <c r="W11831" s="18" t="s">
        <v>24771</v>
      </c>
      <c r="X11831" s="18" t="s">
        <v>42</v>
      </c>
      <c r="Y11831" s="18" t="s">
        <v>23964</v>
      </c>
      <c r="Z11831" s="18" t="s">
        <v>16721</v>
      </c>
      <c r="AA11831" s="21" t="str">
        <f>HYPERLINK("https://www.ncbi.nlm.nih.gov/nuccore/MT354565","NCBI Nucleotide")</f>
        <v>NCBI Nucleotide</v>
      </c>
    </row>
    <row r="11832" spans="1:27" x14ac:dyDescent="0.35">
      <c r="A11832">
        <v>1010577</v>
      </c>
      <c r="B11832">
        <v>11127</v>
      </c>
      <c r="C11832">
        <v>1</v>
      </c>
      <c r="D11832" s="17" t="s">
        <v>17166</v>
      </c>
      <c r="E11832" s="17"/>
      <c r="F11832" s="17" t="s">
        <v>17246</v>
      </c>
      <c r="G11832" s="17"/>
      <c r="H11832" s="17" t="s">
        <v>23950</v>
      </c>
      <c r="I11832" s="17" t="s">
        <v>23956</v>
      </c>
      <c r="J11832" s="17" t="s">
        <v>24017</v>
      </c>
      <c r="K11832" s="17"/>
      <c r="L11832" s="17" t="s">
        <v>24262</v>
      </c>
      <c r="M11832" s="17"/>
      <c r="N11832" s="17" t="s">
        <v>24577</v>
      </c>
      <c r="O11832" s="17"/>
      <c r="P11832" s="17" t="s">
        <v>24727</v>
      </c>
      <c r="Q11832" s="17"/>
      <c r="R11832" s="25" t="str">
        <f>HYPERLINK("https://ictv.global/taxonomy/taxondetails?taxnode_id=202306243","Sclerotimonavirus fusarii")</f>
        <v>Sclerotimonavirus fusarii</v>
      </c>
      <c r="S11832" s="18" t="s">
        <v>30</v>
      </c>
      <c r="T11832" s="18" t="s">
        <v>24772</v>
      </c>
      <c r="U11832" s="18" t="s">
        <v>24773</v>
      </c>
      <c r="V11832" s="18">
        <v>0</v>
      </c>
      <c r="W11832" s="18" t="s">
        <v>24774</v>
      </c>
      <c r="X11832" s="18" t="s">
        <v>154</v>
      </c>
      <c r="Y11832" s="18" t="s">
        <v>23964</v>
      </c>
      <c r="Z11832" s="18" t="s">
        <v>24609</v>
      </c>
      <c r="AA11832" s="21" t="str">
        <f>HYPERLINK("https://www.ncbi.nlm.nih.gov/nuccore/KT598225","NCBI Nucleotide")</f>
        <v>NCBI Nucleotide</v>
      </c>
    </row>
    <row r="11833" spans="1:27" x14ac:dyDescent="0.35">
      <c r="A11833">
        <v>1012872</v>
      </c>
      <c r="B11833">
        <v>11127</v>
      </c>
      <c r="C11833">
        <v>2</v>
      </c>
      <c r="D11833" s="17" t="s">
        <v>17166</v>
      </c>
      <c r="E11833" s="17"/>
      <c r="F11833" s="17" t="s">
        <v>17246</v>
      </c>
      <c r="G11833" s="17"/>
      <c r="H11833" s="17" t="s">
        <v>23950</v>
      </c>
      <c r="I11833" s="17" t="s">
        <v>23956</v>
      </c>
      <c r="J11833" s="17" t="s">
        <v>24017</v>
      </c>
      <c r="K11833" s="17"/>
      <c r="L11833" s="17" t="s">
        <v>24262</v>
      </c>
      <c r="M11833" s="17"/>
      <c r="N11833" s="17" t="s">
        <v>24577</v>
      </c>
      <c r="O11833" s="17"/>
      <c r="P11833" s="17" t="s">
        <v>24727</v>
      </c>
      <c r="Q11833" s="17"/>
      <c r="R11833" s="25" t="str">
        <f>HYPERLINK("https://ictv.global/taxonomy/taxondetails?taxnode_id=202306243","Sclerotimonavirus fusarii")</f>
        <v>Sclerotimonavirus fusarii</v>
      </c>
      <c r="S11833" s="18" t="s">
        <v>8141</v>
      </c>
      <c r="T11833" s="18" t="s">
        <v>24775</v>
      </c>
      <c r="U11833" s="18" t="s">
        <v>24776</v>
      </c>
      <c r="V11833" s="18" t="s">
        <v>24777</v>
      </c>
      <c r="W11833" s="18" t="s">
        <v>49428</v>
      </c>
      <c r="X11833" s="18" t="s">
        <v>42</v>
      </c>
      <c r="Y11833" s="18" t="s">
        <v>23964</v>
      </c>
      <c r="Z11833" s="18" t="s">
        <v>24609</v>
      </c>
      <c r="AA11833" s="21" t="str">
        <f>HYPERLINK("https://www.ncbi.nlm.nih.gov/nuccore/MF276904","NCBI Nucleotide")</f>
        <v>NCBI Nucleotide</v>
      </c>
    </row>
    <row r="11834" spans="1:27" x14ac:dyDescent="0.35">
      <c r="A11834">
        <v>1010578</v>
      </c>
      <c r="B11834">
        <v>11128</v>
      </c>
      <c r="C11834">
        <v>1</v>
      </c>
      <c r="D11834" s="17" t="s">
        <v>17166</v>
      </c>
      <c r="E11834" s="17"/>
      <c r="F11834" s="17" t="s">
        <v>17246</v>
      </c>
      <c r="G11834" s="17"/>
      <c r="H11834" s="17" t="s">
        <v>23950</v>
      </c>
      <c r="I11834" s="17" t="s">
        <v>23956</v>
      </c>
      <c r="J11834" s="17" t="s">
        <v>24017</v>
      </c>
      <c r="K11834" s="17"/>
      <c r="L11834" s="17" t="s">
        <v>24262</v>
      </c>
      <c r="M11834" s="17"/>
      <c r="N11834" s="17" t="s">
        <v>24577</v>
      </c>
      <c r="O11834" s="17"/>
      <c r="P11834" s="17" t="s">
        <v>24727</v>
      </c>
      <c r="Q11834" s="17"/>
      <c r="R11834" s="25" t="str">
        <f>HYPERLINK("https://ictv.global/taxonomy/taxondetails?taxnode_id=202306244","Sclerotimonavirus illinoisense")</f>
        <v>Sclerotimonavirus illinoisense</v>
      </c>
      <c r="S11834" s="18" t="s">
        <v>30</v>
      </c>
      <c r="T11834" s="18" t="s">
        <v>24778</v>
      </c>
      <c r="U11834" s="18" t="s">
        <v>24779</v>
      </c>
      <c r="V11834" s="18">
        <v>0</v>
      </c>
      <c r="W11834" s="18" t="s">
        <v>24780</v>
      </c>
      <c r="X11834" s="18" t="s">
        <v>154</v>
      </c>
      <c r="Y11834" s="18" t="s">
        <v>23964</v>
      </c>
      <c r="Z11834" s="18" t="s">
        <v>24609</v>
      </c>
      <c r="AA11834" s="21" t="str">
        <f>HYPERLINK("https://www.ncbi.nlm.nih.gov/nuccore/KT598227","NCBI Nucleotide")</f>
        <v>NCBI Nucleotide</v>
      </c>
    </row>
    <row r="11835" spans="1:27" x14ac:dyDescent="0.35">
      <c r="A11835">
        <v>1010579</v>
      </c>
      <c r="B11835">
        <v>11129</v>
      </c>
      <c r="C11835">
        <v>1</v>
      </c>
      <c r="D11835" s="17" t="s">
        <v>17166</v>
      </c>
      <c r="E11835" s="17"/>
      <c r="F11835" s="17" t="s">
        <v>17246</v>
      </c>
      <c r="G11835" s="17"/>
      <c r="H11835" s="17" t="s">
        <v>23950</v>
      </c>
      <c r="I11835" s="17" t="s">
        <v>23956</v>
      </c>
      <c r="J11835" s="17" t="s">
        <v>24017</v>
      </c>
      <c r="K11835" s="17"/>
      <c r="L11835" s="17" t="s">
        <v>24262</v>
      </c>
      <c r="M11835" s="17"/>
      <c r="N11835" s="17" t="s">
        <v>24577</v>
      </c>
      <c r="O11835" s="17"/>
      <c r="P11835" s="17" t="s">
        <v>24727</v>
      </c>
      <c r="Q11835" s="17"/>
      <c r="R11835" s="25" t="str">
        <f>HYPERLINK("https://ictv.global/taxonomy/taxondetails?taxnode_id=202308878","Sclerotimonavirus penicillii")</f>
        <v>Sclerotimonavirus penicillii</v>
      </c>
      <c r="S11835" s="18" t="s">
        <v>30</v>
      </c>
      <c r="T11835" s="18" t="s">
        <v>24781</v>
      </c>
      <c r="U11835" s="18" t="s">
        <v>24782</v>
      </c>
      <c r="V11835" s="18" t="s">
        <v>24783</v>
      </c>
      <c r="W11835" s="18" t="s">
        <v>24784</v>
      </c>
      <c r="X11835" s="18" t="s">
        <v>154</v>
      </c>
      <c r="Y11835" s="18" t="s">
        <v>23964</v>
      </c>
      <c r="Z11835" s="18" t="s">
        <v>16721</v>
      </c>
      <c r="AA11835" s="21" t="str">
        <f>HYPERLINK("https://www.ncbi.nlm.nih.gov/nuccore/MK584851","NCBI Nucleotide")</f>
        <v>NCBI Nucleotide</v>
      </c>
    </row>
    <row r="11836" spans="1:27" x14ac:dyDescent="0.35">
      <c r="A11836">
        <v>1027734</v>
      </c>
      <c r="B11836">
        <v>11130</v>
      </c>
      <c r="C11836">
        <v>1</v>
      </c>
      <c r="D11836" s="17" t="s">
        <v>17166</v>
      </c>
      <c r="E11836" s="17"/>
      <c r="F11836" s="17" t="s">
        <v>17246</v>
      </c>
      <c r="G11836" s="17"/>
      <c r="H11836" s="17" t="s">
        <v>23950</v>
      </c>
      <c r="I11836" s="17" t="s">
        <v>23956</v>
      </c>
      <c r="J11836" s="17" t="s">
        <v>24017</v>
      </c>
      <c r="K11836" s="17"/>
      <c r="L11836" s="17" t="s">
        <v>24262</v>
      </c>
      <c r="M11836" s="17"/>
      <c r="N11836" s="17" t="s">
        <v>24577</v>
      </c>
      <c r="O11836" s="17"/>
      <c r="P11836" s="17" t="s">
        <v>24727</v>
      </c>
      <c r="Q11836" s="17"/>
      <c r="R11836" s="25" t="str">
        <f>HYPERLINK("https://ictv.global/taxonomy/taxondetails?taxnode_id=202318269","Sclerotimonavirus prolifusarii")</f>
        <v>Sclerotimonavirus prolifusarii</v>
      </c>
      <c r="S11836" s="18" t="s">
        <v>30</v>
      </c>
      <c r="T11836" s="18" t="s">
        <v>46419</v>
      </c>
      <c r="U11836" s="18"/>
      <c r="V11836" s="18" t="s">
        <v>46420</v>
      </c>
      <c r="W11836" s="18" t="s">
        <v>46421</v>
      </c>
      <c r="X11836" s="18" t="s">
        <v>42</v>
      </c>
      <c r="Y11836" s="18" t="s">
        <v>23964</v>
      </c>
      <c r="Z11836" s="18" t="s">
        <v>16721</v>
      </c>
      <c r="AA11836" s="21" t="str">
        <f>HYPERLINK("https://www.ncbi.nlm.nih.gov/nuccore/OK524200","NCBI Nucleotide")</f>
        <v>NCBI Nucleotide</v>
      </c>
    </row>
    <row r="11837" spans="1:27" x14ac:dyDescent="0.35">
      <c r="A11837">
        <v>1010580</v>
      </c>
      <c r="B11837">
        <v>11131</v>
      </c>
      <c r="C11837">
        <v>1</v>
      </c>
      <c r="D11837" s="17" t="s">
        <v>17166</v>
      </c>
      <c r="E11837" s="17"/>
      <c r="F11837" s="17" t="s">
        <v>17246</v>
      </c>
      <c r="G11837" s="17"/>
      <c r="H11837" s="17" t="s">
        <v>23950</v>
      </c>
      <c r="I11837" s="17" t="s">
        <v>23956</v>
      </c>
      <c r="J11837" s="17" t="s">
        <v>24017</v>
      </c>
      <c r="K11837" s="17"/>
      <c r="L11837" s="17" t="s">
        <v>24262</v>
      </c>
      <c r="M11837" s="17"/>
      <c r="N11837" s="17" t="s">
        <v>24577</v>
      </c>
      <c r="O11837" s="17"/>
      <c r="P11837" s="17" t="s">
        <v>24727</v>
      </c>
      <c r="Q11837" s="17"/>
      <c r="R11837" s="25" t="str">
        <f>HYPERLINK("https://ictv.global/taxonomy/taxondetails?taxnode_id=202301575","Sclerotimonavirus sclerotiniae")</f>
        <v>Sclerotimonavirus sclerotiniae</v>
      </c>
      <c r="S11837" s="18" t="s">
        <v>30</v>
      </c>
      <c r="T11837" s="18" t="s">
        <v>24785</v>
      </c>
      <c r="U11837" s="18" t="s">
        <v>24786</v>
      </c>
      <c r="V11837" s="18" t="s">
        <v>24787</v>
      </c>
      <c r="W11837" s="18" t="s">
        <v>24788</v>
      </c>
      <c r="X11837" s="18" t="s">
        <v>42</v>
      </c>
      <c r="Y11837" s="18" t="s">
        <v>23964</v>
      </c>
      <c r="Z11837" s="18" t="s">
        <v>16721</v>
      </c>
      <c r="AA11837" s="21" t="str">
        <f>HYPERLINK("https://www.ncbi.nlm.nih.gov/nuccore/KJ186782","NCBI Nucleotide")</f>
        <v>NCBI Nucleotide</v>
      </c>
    </row>
    <row r="11838" spans="1:27" x14ac:dyDescent="0.35">
      <c r="A11838">
        <v>1012874</v>
      </c>
      <c r="B11838">
        <v>11131</v>
      </c>
      <c r="C11838">
        <v>2</v>
      </c>
      <c r="D11838" s="17" t="s">
        <v>17166</v>
      </c>
      <c r="E11838" s="17"/>
      <c r="F11838" s="17" t="s">
        <v>17246</v>
      </c>
      <c r="G11838" s="17"/>
      <c r="H11838" s="17" t="s">
        <v>23950</v>
      </c>
      <c r="I11838" s="17" t="s">
        <v>23956</v>
      </c>
      <c r="J11838" s="17" t="s">
        <v>24017</v>
      </c>
      <c r="K11838" s="17"/>
      <c r="L11838" s="17" t="s">
        <v>24262</v>
      </c>
      <c r="M11838" s="17"/>
      <c r="N11838" s="17" t="s">
        <v>24577</v>
      </c>
      <c r="O11838" s="17"/>
      <c r="P11838" s="17" t="s">
        <v>24727</v>
      </c>
      <c r="Q11838" s="17"/>
      <c r="R11838" s="25" t="str">
        <f>HYPERLINK("https://ictv.global/taxonomy/taxondetails?taxnode_id=202301575","Sclerotimonavirus sclerotiniae")</f>
        <v>Sclerotimonavirus sclerotiniae</v>
      </c>
      <c r="S11838" s="18" t="s">
        <v>8141</v>
      </c>
      <c r="T11838" s="18" t="s">
        <v>24791</v>
      </c>
      <c r="U11838" s="18" t="s">
        <v>24792</v>
      </c>
      <c r="V11838" s="18" t="s">
        <v>24793</v>
      </c>
      <c r="W11838" s="18" t="s">
        <v>49429</v>
      </c>
      <c r="X11838" s="18" t="s">
        <v>35</v>
      </c>
      <c r="Y11838" s="18" t="s">
        <v>23964</v>
      </c>
      <c r="Z11838" s="18" t="s">
        <v>16721</v>
      </c>
      <c r="AA11838" s="21" t="str">
        <f>HYPERLINK("https://www.ncbi.nlm.nih.gov/nuccore/KC601997","NCBI Nucleotide")</f>
        <v>NCBI Nucleotide</v>
      </c>
    </row>
    <row r="11839" spans="1:27" x14ac:dyDescent="0.35">
      <c r="A11839">
        <v>1012873</v>
      </c>
      <c r="B11839">
        <v>11131</v>
      </c>
      <c r="C11839">
        <v>3</v>
      </c>
      <c r="D11839" s="17" t="s">
        <v>17166</v>
      </c>
      <c r="E11839" s="17"/>
      <c r="F11839" s="17" t="s">
        <v>17246</v>
      </c>
      <c r="G11839" s="17"/>
      <c r="H11839" s="17" t="s">
        <v>23950</v>
      </c>
      <c r="I11839" s="17" t="s">
        <v>23956</v>
      </c>
      <c r="J11839" s="17" t="s">
        <v>24017</v>
      </c>
      <c r="K11839" s="17"/>
      <c r="L11839" s="17" t="s">
        <v>24262</v>
      </c>
      <c r="M11839" s="17"/>
      <c r="N11839" s="17" t="s">
        <v>24577</v>
      </c>
      <c r="O11839" s="17"/>
      <c r="P11839" s="17" t="s">
        <v>24727</v>
      </c>
      <c r="Q11839" s="17"/>
      <c r="R11839" s="25" t="str">
        <f>HYPERLINK("https://ictv.global/taxonomy/taxondetails?taxnode_id=202301575","Sclerotimonavirus sclerotiniae")</f>
        <v>Sclerotimonavirus sclerotiniae</v>
      </c>
      <c r="S11839" s="18" t="s">
        <v>8141</v>
      </c>
      <c r="T11839" s="18" t="s">
        <v>24789</v>
      </c>
      <c r="U11839" s="18" t="s">
        <v>24790</v>
      </c>
      <c r="V11839" s="18"/>
      <c r="W11839" s="18" t="s">
        <v>49430</v>
      </c>
      <c r="X11839" s="18" t="s">
        <v>154</v>
      </c>
      <c r="Y11839" s="18" t="s">
        <v>23964</v>
      </c>
      <c r="Z11839" s="18" t="s">
        <v>16721</v>
      </c>
      <c r="AA11839" s="21" t="str">
        <f>HYPERLINK("https://www.ncbi.nlm.nih.gov/nuccore/MF444277","NCBI Nucleotide")</f>
        <v>NCBI Nucleotide</v>
      </c>
    </row>
    <row r="11840" spans="1:27" x14ac:dyDescent="0.35">
      <c r="A11840">
        <v>1012875</v>
      </c>
      <c r="B11840">
        <v>11131</v>
      </c>
      <c r="C11840">
        <v>4</v>
      </c>
      <c r="D11840" s="17" t="s">
        <v>17166</v>
      </c>
      <c r="E11840" s="17"/>
      <c r="F11840" s="17" t="s">
        <v>17246</v>
      </c>
      <c r="G11840" s="17"/>
      <c r="H11840" s="17" t="s">
        <v>23950</v>
      </c>
      <c r="I11840" s="17" t="s">
        <v>23956</v>
      </c>
      <c r="J11840" s="17" t="s">
        <v>24017</v>
      </c>
      <c r="K11840" s="17"/>
      <c r="L11840" s="17" t="s">
        <v>24262</v>
      </c>
      <c r="M11840" s="17"/>
      <c r="N11840" s="17" t="s">
        <v>24577</v>
      </c>
      <c r="O11840" s="17"/>
      <c r="P11840" s="17" t="s">
        <v>24727</v>
      </c>
      <c r="Q11840" s="17"/>
      <c r="R11840" s="25" t="str">
        <f>HYPERLINK("https://ictv.global/taxonomy/taxondetails?taxnode_id=202301575","Sclerotimonavirus sclerotiniae")</f>
        <v>Sclerotimonavirus sclerotiniae</v>
      </c>
      <c r="S11840" s="18" t="s">
        <v>8141</v>
      </c>
      <c r="T11840" s="18" t="s">
        <v>24794</v>
      </c>
      <c r="U11840" s="18" t="s">
        <v>24795</v>
      </c>
      <c r="V11840" s="18"/>
      <c r="W11840" s="18" t="s">
        <v>49431</v>
      </c>
      <c r="X11840" s="18" t="s">
        <v>35</v>
      </c>
      <c r="Y11840" s="18" t="s">
        <v>23964</v>
      </c>
      <c r="Z11840" s="18" t="s">
        <v>16721</v>
      </c>
      <c r="AA11840" s="21" t="str">
        <f>HYPERLINK("https://www.ncbi.nlm.nih.gov/nuccore/MF444280","NCBI Nucleotide")</f>
        <v>NCBI Nucleotide</v>
      </c>
    </row>
    <row r="11841" spans="1:27" x14ac:dyDescent="0.35">
      <c r="A11841">
        <v>1010581</v>
      </c>
      <c r="B11841">
        <v>11132</v>
      </c>
      <c r="C11841">
        <v>1</v>
      </c>
      <c r="D11841" s="17" t="s">
        <v>17166</v>
      </c>
      <c r="E11841" s="17"/>
      <c r="F11841" s="17" t="s">
        <v>17246</v>
      </c>
      <c r="G11841" s="17"/>
      <c r="H11841" s="17" t="s">
        <v>23950</v>
      </c>
      <c r="I11841" s="17" t="s">
        <v>23956</v>
      </c>
      <c r="J11841" s="17" t="s">
        <v>24017</v>
      </c>
      <c r="K11841" s="17"/>
      <c r="L11841" s="17" t="s">
        <v>24262</v>
      </c>
      <c r="M11841" s="17"/>
      <c r="N11841" s="17" t="s">
        <v>24577</v>
      </c>
      <c r="O11841" s="17"/>
      <c r="P11841" s="17" t="s">
        <v>24727</v>
      </c>
      <c r="Q11841" s="17"/>
      <c r="R11841" s="25" t="str">
        <f>HYPERLINK("https://ictv.global/taxonomy/taxondetails?taxnode_id=202308877","Sclerotimonavirus terrae")</f>
        <v>Sclerotimonavirus terrae</v>
      </c>
      <c r="S11841" s="18" t="s">
        <v>30</v>
      </c>
      <c r="T11841" s="18" t="s">
        <v>24796</v>
      </c>
      <c r="U11841" s="18" t="s">
        <v>24797</v>
      </c>
      <c r="V11841" s="18" t="s">
        <v>24798</v>
      </c>
      <c r="W11841" s="18" t="s">
        <v>24799</v>
      </c>
      <c r="X11841" s="18" t="s">
        <v>154</v>
      </c>
      <c r="Y11841" s="18" t="s">
        <v>23964</v>
      </c>
      <c r="Z11841" s="18" t="s">
        <v>24637</v>
      </c>
      <c r="AA11841" s="21" t="str">
        <f>HYPERLINK("https://www.ncbi.nlm.nih.gov/nuccore/MN035745","NCBI Nucleotide")</f>
        <v>NCBI Nucleotide</v>
      </c>
    </row>
    <row r="11842" spans="1:27" x14ac:dyDescent="0.35">
      <c r="A11842">
        <v>1027735</v>
      </c>
      <c r="B11842">
        <v>11133</v>
      </c>
      <c r="C11842">
        <v>1</v>
      </c>
      <c r="D11842" s="17" t="s">
        <v>17166</v>
      </c>
      <c r="E11842" s="17"/>
      <c r="F11842" s="17" t="s">
        <v>17246</v>
      </c>
      <c r="G11842" s="17"/>
      <c r="H11842" s="17" t="s">
        <v>23950</v>
      </c>
      <c r="I11842" s="17" t="s">
        <v>23956</v>
      </c>
      <c r="J11842" s="17" t="s">
        <v>24017</v>
      </c>
      <c r="K11842" s="17"/>
      <c r="L11842" s="17" t="s">
        <v>24262</v>
      </c>
      <c r="M11842" s="17"/>
      <c r="N11842" s="17" t="s">
        <v>24577</v>
      </c>
      <c r="O11842" s="17"/>
      <c r="P11842" s="17" t="s">
        <v>24727</v>
      </c>
      <c r="Q11842" s="17"/>
      <c r="R11842" s="25" t="str">
        <f>HYPERLINK("https://ictv.global/taxonomy/taxondetails?taxnode_id=202318275","Sclerotimonavirus trichodermae")</f>
        <v>Sclerotimonavirus trichodermae</v>
      </c>
      <c r="S11842" s="18" t="s">
        <v>30</v>
      </c>
      <c r="T11842" s="18" t="s">
        <v>46422</v>
      </c>
      <c r="U11842" s="18" t="s">
        <v>46423</v>
      </c>
      <c r="V11842" s="18" t="s">
        <v>46424</v>
      </c>
      <c r="W11842" s="18" t="s">
        <v>46425</v>
      </c>
      <c r="X11842" s="18" t="s">
        <v>42</v>
      </c>
      <c r="Y11842" s="18" t="s">
        <v>23964</v>
      </c>
      <c r="Z11842" s="18" t="s">
        <v>16721</v>
      </c>
      <c r="AA11842" s="21" t="str">
        <f>HYPERLINK("https://www.ncbi.nlm.nih.gov/nuccore/OQ463851","NCBI Nucleotide")</f>
        <v>NCBI Nucleotide</v>
      </c>
    </row>
    <row r="11843" spans="1:27" x14ac:dyDescent="0.35">
      <c r="A11843">
        <v>1010582</v>
      </c>
      <c r="B11843">
        <v>11134</v>
      </c>
      <c r="C11843">
        <v>1</v>
      </c>
      <c r="D11843" s="17" t="s">
        <v>17166</v>
      </c>
      <c r="E11843" s="17"/>
      <c r="F11843" s="17" t="s">
        <v>17246</v>
      </c>
      <c r="G11843" s="17"/>
      <c r="H11843" s="17" t="s">
        <v>23950</v>
      </c>
      <c r="I11843" s="17" t="s">
        <v>23956</v>
      </c>
      <c r="J11843" s="17" t="s">
        <v>24017</v>
      </c>
      <c r="K11843" s="17"/>
      <c r="L11843" s="17" t="s">
        <v>24262</v>
      </c>
      <c r="M11843" s="17"/>
      <c r="N11843" s="17" t="s">
        <v>24577</v>
      </c>
      <c r="O11843" s="17"/>
      <c r="P11843" s="17" t="s">
        <v>24727</v>
      </c>
      <c r="Q11843" s="17"/>
      <c r="R11843" s="25" t="str">
        <f>HYPERLINK("https://ictv.global/taxonomy/taxondetails?taxnode_id=202314213","Sclerotimonavirus xinjiangense")</f>
        <v>Sclerotimonavirus xinjiangense</v>
      </c>
      <c r="S11843" s="18" t="s">
        <v>30</v>
      </c>
      <c r="T11843" s="18" t="s">
        <v>24800</v>
      </c>
      <c r="U11843" s="18" t="s">
        <v>24801</v>
      </c>
      <c r="V11843" s="18" t="s">
        <v>24802</v>
      </c>
      <c r="W11843" s="18" t="s">
        <v>24803</v>
      </c>
      <c r="X11843" s="18" t="s">
        <v>35</v>
      </c>
      <c r="Y11843" s="18" t="s">
        <v>23964</v>
      </c>
      <c r="Z11843" s="18" t="s">
        <v>24637</v>
      </c>
      <c r="AA11843" s="21" t="str">
        <f>HYPERLINK("https://www.ncbi.nlm.nih.gov/nuccore/MW897041","NCBI Nucleotide")</f>
        <v>NCBI Nucleotide</v>
      </c>
    </row>
    <row r="11844" spans="1:27" x14ac:dyDescent="0.35">
      <c r="A11844">
        <v>1010583</v>
      </c>
      <c r="B11844">
        <v>11135</v>
      </c>
      <c r="C11844">
        <v>1</v>
      </c>
      <c r="D11844" s="17" t="s">
        <v>17166</v>
      </c>
      <c r="E11844" s="17"/>
      <c r="F11844" s="17" t="s">
        <v>17246</v>
      </c>
      <c r="G11844" s="17"/>
      <c r="H11844" s="17" t="s">
        <v>23950</v>
      </c>
      <c r="I11844" s="17" t="s">
        <v>23956</v>
      </c>
      <c r="J11844" s="17" t="s">
        <v>24017</v>
      </c>
      <c r="K11844" s="17"/>
      <c r="L11844" s="17" t="s">
        <v>24262</v>
      </c>
      <c r="M11844" s="17"/>
      <c r="N11844" s="17" t="s">
        <v>24577</v>
      </c>
      <c r="O11844" s="17"/>
      <c r="P11844" s="17" t="s">
        <v>24727</v>
      </c>
      <c r="Q11844" s="17"/>
      <c r="R11844" s="25" t="str">
        <f>HYPERLINK("https://ictv.global/taxonomy/taxondetails?taxnode_id=202314214","Sclerotimonavirus yunnanense")</f>
        <v>Sclerotimonavirus yunnanense</v>
      </c>
      <c r="S11844" s="18" t="s">
        <v>30</v>
      </c>
      <c r="T11844" s="18" t="s">
        <v>24804</v>
      </c>
      <c r="U11844" s="18" t="s">
        <v>24805</v>
      </c>
      <c r="V11844" s="18" t="s">
        <v>24806</v>
      </c>
      <c r="W11844" s="18" t="s">
        <v>24807</v>
      </c>
      <c r="X11844" s="18" t="s">
        <v>35</v>
      </c>
      <c r="Y11844" s="18" t="s">
        <v>23964</v>
      </c>
      <c r="Z11844" s="18" t="s">
        <v>24637</v>
      </c>
      <c r="AA11844" s="21" t="str">
        <f>HYPERLINK("https://www.ncbi.nlm.nih.gov/nuccore/MW897022","NCBI Nucleotide")</f>
        <v>NCBI Nucleotide</v>
      </c>
    </row>
    <row r="11845" spans="1:27" x14ac:dyDescent="0.35">
      <c r="A11845">
        <v>1027649</v>
      </c>
      <c r="B11845">
        <v>11136</v>
      </c>
      <c r="C11845">
        <v>1</v>
      </c>
      <c r="D11845" s="17" t="s">
        <v>17166</v>
      </c>
      <c r="E11845" s="17"/>
      <c r="F11845" s="17" t="s">
        <v>17246</v>
      </c>
      <c r="G11845" s="17"/>
      <c r="H11845" s="17" t="s">
        <v>23950</v>
      </c>
      <c r="I11845" s="17" t="s">
        <v>23956</v>
      </c>
      <c r="J11845" s="17" t="s">
        <v>24017</v>
      </c>
      <c r="K11845" s="17"/>
      <c r="L11845" s="17" t="s">
        <v>24262</v>
      </c>
      <c r="M11845" s="17"/>
      <c r="N11845" s="17" t="s">
        <v>24808</v>
      </c>
      <c r="O11845" s="17"/>
      <c r="P11845" s="17" t="s">
        <v>24809</v>
      </c>
      <c r="Q11845" s="17"/>
      <c r="R11845" s="25" t="str">
        <f>HYPERLINK("https://ictv.global/taxonomy/taxondetails?taxnode_id=202319051","Berhavirus alphagirardiae")</f>
        <v>Berhavirus alphagirardiae</v>
      </c>
      <c r="S11845" s="18" t="s">
        <v>30</v>
      </c>
      <c r="T11845" s="18" t="s">
        <v>46426</v>
      </c>
      <c r="U11845" s="18" t="s">
        <v>46427</v>
      </c>
      <c r="V11845" s="18" t="s">
        <v>46428</v>
      </c>
      <c r="W11845" s="18" t="s">
        <v>46429</v>
      </c>
      <c r="X11845" s="18" t="s">
        <v>35</v>
      </c>
      <c r="Y11845" s="18" t="s">
        <v>23964</v>
      </c>
      <c r="Z11845" s="18" t="s">
        <v>10790</v>
      </c>
      <c r="AA11845" s="21" t="str">
        <f>HYPERLINK("https://www.ncbi.nlm.nih.gov/nuccore/BK059719","NCBI Nucleotide")</f>
        <v>NCBI Nucleotide</v>
      </c>
    </row>
    <row r="11846" spans="1:27" x14ac:dyDescent="0.35">
      <c r="A11846">
        <v>1010584</v>
      </c>
      <c r="B11846">
        <v>11137</v>
      </c>
      <c r="C11846">
        <v>1</v>
      </c>
      <c r="D11846" s="17" t="s">
        <v>17166</v>
      </c>
      <c r="E11846" s="17"/>
      <c r="F11846" s="17" t="s">
        <v>17246</v>
      </c>
      <c r="G11846" s="17"/>
      <c r="H11846" s="17" t="s">
        <v>23950</v>
      </c>
      <c r="I11846" s="17" t="s">
        <v>23956</v>
      </c>
      <c r="J11846" s="17" t="s">
        <v>24017</v>
      </c>
      <c r="K11846" s="17"/>
      <c r="L11846" s="17" t="s">
        <v>24262</v>
      </c>
      <c r="M11846" s="17"/>
      <c r="N11846" s="17" t="s">
        <v>24808</v>
      </c>
      <c r="O11846" s="17"/>
      <c r="P11846" s="17" t="s">
        <v>24809</v>
      </c>
      <c r="Q11846" s="17"/>
      <c r="R11846" s="25" t="str">
        <f>HYPERLINK("https://ictv.global/taxonomy/taxondetails?taxnode_id=202306257","Berhavirus beihaiense")</f>
        <v>Berhavirus beihaiense</v>
      </c>
      <c r="S11846" s="18" t="s">
        <v>30</v>
      </c>
      <c r="T11846" s="18" t="s">
        <v>24810</v>
      </c>
      <c r="U11846" s="18" t="s">
        <v>24811</v>
      </c>
      <c r="V11846" s="18" t="s">
        <v>24812</v>
      </c>
      <c r="W11846" s="18" t="s">
        <v>24813</v>
      </c>
      <c r="X11846" s="18" t="s">
        <v>35</v>
      </c>
      <c r="Y11846" s="18" t="s">
        <v>23964</v>
      </c>
      <c r="Z11846" s="18" t="s">
        <v>10790</v>
      </c>
      <c r="AA11846" s="21" t="str">
        <f>HYPERLINK("https://www.ncbi.nlm.nih.gov/nuccore/KX884406","NCBI Nucleotide")</f>
        <v>NCBI Nucleotide</v>
      </c>
    </row>
    <row r="11847" spans="1:27" x14ac:dyDescent="0.35">
      <c r="A11847">
        <v>1027650</v>
      </c>
      <c r="B11847">
        <v>11138</v>
      </c>
      <c r="C11847">
        <v>1</v>
      </c>
      <c r="D11847" s="17" t="s">
        <v>17166</v>
      </c>
      <c r="E11847" s="17"/>
      <c r="F11847" s="17" t="s">
        <v>17246</v>
      </c>
      <c r="G11847" s="17"/>
      <c r="H11847" s="17" t="s">
        <v>23950</v>
      </c>
      <c r="I11847" s="17" t="s">
        <v>23956</v>
      </c>
      <c r="J11847" s="17" t="s">
        <v>24017</v>
      </c>
      <c r="K11847" s="17"/>
      <c r="L11847" s="17" t="s">
        <v>24262</v>
      </c>
      <c r="M11847" s="17"/>
      <c r="N11847" s="17" t="s">
        <v>24808</v>
      </c>
      <c r="O11847" s="17"/>
      <c r="P11847" s="17" t="s">
        <v>24809</v>
      </c>
      <c r="Q11847" s="17"/>
      <c r="R11847" s="25" t="str">
        <f>HYPERLINK("https://ictv.global/taxonomy/taxondetails?taxnode_id=202319052","Berhavirus betagirardiae")</f>
        <v>Berhavirus betagirardiae</v>
      </c>
      <c r="S11847" s="18" t="s">
        <v>30</v>
      </c>
      <c r="T11847" s="18" t="s">
        <v>46430</v>
      </c>
      <c r="U11847" s="18" t="s">
        <v>46431</v>
      </c>
      <c r="V11847" s="18" t="s">
        <v>46428</v>
      </c>
      <c r="W11847" s="18" t="s">
        <v>46432</v>
      </c>
      <c r="X11847" s="18" t="s">
        <v>35</v>
      </c>
      <c r="Y11847" s="18" t="s">
        <v>23964</v>
      </c>
      <c r="Z11847" s="18" t="s">
        <v>10790</v>
      </c>
      <c r="AA11847" s="21" t="str">
        <f>HYPERLINK("https://www.ncbi.nlm.nih.gov/nuccore/BK059720","NCBI Nucleotide")</f>
        <v>NCBI Nucleotide</v>
      </c>
    </row>
    <row r="11848" spans="1:27" x14ac:dyDescent="0.35">
      <c r="A11848">
        <v>1027651</v>
      </c>
      <c r="B11848">
        <v>11139</v>
      </c>
      <c r="C11848">
        <v>1</v>
      </c>
      <c r="D11848" s="17" t="s">
        <v>17166</v>
      </c>
      <c r="E11848" s="17"/>
      <c r="F11848" s="17" t="s">
        <v>17246</v>
      </c>
      <c r="G11848" s="17"/>
      <c r="H11848" s="17" t="s">
        <v>23950</v>
      </c>
      <c r="I11848" s="17" t="s">
        <v>23956</v>
      </c>
      <c r="J11848" s="17" t="s">
        <v>24017</v>
      </c>
      <c r="K11848" s="17"/>
      <c r="L11848" s="17" t="s">
        <v>24262</v>
      </c>
      <c r="M11848" s="17"/>
      <c r="N11848" s="17" t="s">
        <v>24808</v>
      </c>
      <c r="O11848" s="17"/>
      <c r="P11848" s="17" t="s">
        <v>24809</v>
      </c>
      <c r="Q11848" s="17"/>
      <c r="R11848" s="25" t="str">
        <f>HYPERLINK("https://ictv.global/taxonomy/taxondetails?taxnode_id=202319053","Berhavirus gammagirardiae")</f>
        <v>Berhavirus gammagirardiae</v>
      </c>
      <c r="S11848" s="18" t="s">
        <v>30</v>
      </c>
      <c r="T11848" s="18" t="s">
        <v>46433</v>
      </c>
      <c r="U11848" s="18" t="s">
        <v>46434</v>
      </c>
      <c r="V11848" s="18" t="s">
        <v>46428</v>
      </c>
      <c r="W11848" s="18" t="s">
        <v>46435</v>
      </c>
      <c r="X11848" s="18" t="s">
        <v>35</v>
      </c>
      <c r="Y11848" s="18" t="s">
        <v>23964</v>
      </c>
      <c r="Z11848" s="18" t="s">
        <v>10790</v>
      </c>
      <c r="AA11848" s="21" t="str">
        <f>HYPERLINK("https://www.ncbi.nlm.nih.gov/nuccore/BK059721","NCBI Nucleotide")</f>
        <v>NCBI Nucleotide</v>
      </c>
    </row>
    <row r="11849" spans="1:27" x14ac:dyDescent="0.35">
      <c r="A11849">
        <v>1027652</v>
      </c>
      <c r="B11849">
        <v>11140</v>
      </c>
      <c r="C11849">
        <v>1</v>
      </c>
      <c r="D11849" s="17" t="s">
        <v>17166</v>
      </c>
      <c r="E11849" s="17"/>
      <c r="F11849" s="17" t="s">
        <v>17246</v>
      </c>
      <c r="G11849" s="17"/>
      <c r="H11849" s="17" t="s">
        <v>23950</v>
      </c>
      <c r="I11849" s="17" t="s">
        <v>23956</v>
      </c>
      <c r="J11849" s="17" t="s">
        <v>24017</v>
      </c>
      <c r="K11849" s="17"/>
      <c r="L11849" s="17" t="s">
        <v>24262</v>
      </c>
      <c r="M11849" s="17"/>
      <c r="N11849" s="17" t="s">
        <v>24808</v>
      </c>
      <c r="O11849" s="17"/>
      <c r="P11849" s="17" t="s">
        <v>24809</v>
      </c>
      <c r="Q11849" s="17"/>
      <c r="R11849" s="25" t="str">
        <f>HYPERLINK("https://ictv.global/taxonomy/taxondetails?taxnode_id=202319054","Berhavirus macrostomi")</f>
        <v>Berhavirus macrostomi</v>
      </c>
      <c r="S11849" s="18" t="s">
        <v>30</v>
      </c>
      <c r="T11849" s="18" t="s">
        <v>46436</v>
      </c>
      <c r="U11849" s="18" t="s">
        <v>46437</v>
      </c>
      <c r="V11849" s="18" t="s">
        <v>46438</v>
      </c>
      <c r="W11849" s="18" t="s">
        <v>46439</v>
      </c>
      <c r="X11849" s="18" t="s">
        <v>35</v>
      </c>
      <c r="Y11849" s="18" t="s">
        <v>23964</v>
      </c>
      <c r="Z11849" s="18" t="s">
        <v>10790</v>
      </c>
      <c r="AA11849" s="21" t="str">
        <f>HYPERLINK("https://www.ncbi.nlm.nih.gov/nuccore/BK059722","NCBI Nucleotide")</f>
        <v>NCBI Nucleotide</v>
      </c>
    </row>
    <row r="11850" spans="1:27" x14ac:dyDescent="0.35">
      <c r="A11850">
        <v>1010585</v>
      </c>
      <c r="B11850">
        <v>11141</v>
      </c>
      <c r="C11850">
        <v>1</v>
      </c>
      <c r="D11850" s="17" t="s">
        <v>17166</v>
      </c>
      <c r="E11850" s="17"/>
      <c r="F11850" s="17" t="s">
        <v>17246</v>
      </c>
      <c r="G11850" s="17"/>
      <c r="H11850" s="17" t="s">
        <v>23950</v>
      </c>
      <c r="I11850" s="17" t="s">
        <v>23956</v>
      </c>
      <c r="J11850" s="17" t="s">
        <v>24017</v>
      </c>
      <c r="K11850" s="17"/>
      <c r="L11850" s="17" t="s">
        <v>24262</v>
      </c>
      <c r="M11850" s="17"/>
      <c r="N11850" s="17" t="s">
        <v>24808</v>
      </c>
      <c r="O11850" s="17"/>
      <c r="P11850" s="17" t="s">
        <v>24809</v>
      </c>
      <c r="Q11850" s="17"/>
      <c r="R11850" s="25" t="str">
        <f>HYPERLINK("https://ictv.global/taxonomy/taxondetails?taxnode_id=202306258","Berhavirus radialis")</f>
        <v>Berhavirus radialis</v>
      </c>
      <c r="S11850" s="18" t="s">
        <v>30</v>
      </c>
      <c r="T11850" s="18" t="s">
        <v>24814</v>
      </c>
      <c r="U11850" s="18" t="s">
        <v>24815</v>
      </c>
      <c r="V11850" s="18" t="s">
        <v>24816</v>
      </c>
      <c r="W11850" s="18" t="s">
        <v>24817</v>
      </c>
      <c r="X11850" s="18" t="s">
        <v>35</v>
      </c>
      <c r="Y11850" s="18" t="s">
        <v>23964</v>
      </c>
      <c r="Z11850" s="18" t="s">
        <v>10790</v>
      </c>
      <c r="AA11850" s="21" t="str">
        <f>HYPERLINK("https://www.ncbi.nlm.nih.gov/nuccore/KX884407","NCBI Nucleotide")</f>
        <v>NCBI Nucleotide</v>
      </c>
    </row>
    <row r="11851" spans="1:27" x14ac:dyDescent="0.35">
      <c r="A11851">
        <v>1010586</v>
      </c>
      <c r="B11851">
        <v>11142</v>
      </c>
      <c r="C11851">
        <v>1</v>
      </c>
      <c r="D11851" s="17" t="s">
        <v>17166</v>
      </c>
      <c r="E11851" s="17"/>
      <c r="F11851" s="17" t="s">
        <v>17246</v>
      </c>
      <c r="G11851" s="17"/>
      <c r="H11851" s="17" t="s">
        <v>23950</v>
      </c>
      <c r="I11851" s="17" t="s">
        <v>23956</v>
      </c>
      <c r="J11851" s="17" t="s">
        <v>24017</v>
      </c>
      <c r="K11851" s="17"/>
      <c r="L11851" s="17" t="s">
        <v>24262</v>
      </c>
      <c r="M11851" s="17"/>
      <c r="N11851" s="17" t="s">
        <v>24808</v>
      </c>
      <c r="O11851" s="17"/>
      <c r="P11851" s="17" t="s">
        <v>24809</v>
      </c>
      <c r="Q11851" s="17"/>
      <c r="R11851" s="25" t="str">
        <f>HYPERLINK("https://ictv.global/taxonomy/taxondetails?taxnode_id=202306256","Berhavirus sipunculi")</f>
        <v>Berhavirus sipunculi</v>
      </c>
      <c r="S11851" s="18" t="s">
        <v>30</v>
      </c>
      <c r="T11851" s="18" t="s">
        <v>24818</v>
      </c>
      <c r="U11851" s="18" t="s">
        <v>24819</v>
      </c>
      <c r="V11851" s="18" t="s">
        <v>24820</v>
      </c>
      <c r="W11851" s="18" t="s">
        <v>24821</v>
      </c>
      <c r="X11851" s="18" t="s">
        <v>154</v>
      </c>
      <c r="Y11851" s="18" t="s">
        <v>23964</v>
      </c>
      <c r="Z11851" s="18" t="s">
        <v>10790</v>
      </c>
      <c r="AA11851" s="21" t="str">
        <f>HYPERLINK("https://www.ncbi.nlm.nih.gov/nuccore/KX884408","NCBI Nucleotide")</f>
        <v>NCBI Nucleotide</v>
      </c>
    </row>
    <row r="11852" spans="1:27" x14ac:dyDescent="0.35">
      <c r="A11852">
        <v>1010587</v>
      </c>
      <c r="B11852">
        <v>11143</v>
      </c>
      <c r="C11852">
        <v>1</v>
      </c>
      <c r="D11852" s="17" t="s">
        <v>17166</v>
      </c>
      <c r="E11852" s="17"/>
      <c r="F11852" s="17" t="s">
        <v>17246</v>
      </c>
      <c r="G11852" s="17"/>
      <c r="H11852" s="17" t="s">
        <v>23950</v>
      </c>
      <c r="I11852" s="17" t="s">
        <v>23956</v>
      </c>
      <c r="J11852" s="17" t="s">
        <v>24017</v>
      </c>
      <c r="K11852" s="17"/>
      <c r="L11852" s="17" t="s">
        <v>24262</v>
      </c>
      <c r="M11852" s="17"/>
      <c r="N11852" s="17" t="s">
        <v>24808</v>
      </c>
      <c r="O11852" s="17"/>
      <c r="P11852" s="17" t="s">
        <v>24822</v>
      </c>
      <c r="Q11852" s="17"/>
      <c r="R11852" s="25" t="str">
        <f>HYPERLINK("https://ictv.global/taxonomy/taxondetails?taxnode_id=202306250","Crustavirus beihaiense")</f>
        <v>Crustavirus beihaiense</v>
      </c>
      <c r="S11852" s="18" t="s">
        <v>30</v>
      </c>
      <c r="T11852" s="18" t="s">
        <v>24823</v>
      </c>
      <c r="U11852" s="18" t="s">
        <v>24824</v>
      </c>
      <c r="V11852" s="18" t="s">
        <v>24825</v>
      </c>
      <c r="W11852" s="18" t="s">
        <v>24826</v>
      </c>
      <c r="X11852" s="18" t="s">
        <v>35</v>
      </c>
      <c r="Y11852" s="18" t="s">
        <v>23964</v>
      </c>
      <c r="Z11852" s="18" t="s">
        <v>10790</v>
      </c>
      <c r="AA11852" s="21" t="str">
        <f>HYPERLINK("https://www.ncbi.nlm.nih.gov/nuccore/KX884405","NCBI Nucleotide")</f>
        <v>NCBI Nucleotide</v>
      </c>
    </row>
    <row r="11853" spans="1:27" x14ac:dyDescent="0.35">
      <c r="A11853">
        <v>1010588</v>
      </c>
      <c r="B11853">
        <v>11144</v>
      </c>
      <c r="C11853">
        <v>1</v>
      </c>
      <c r="D11853" s="17" t="s">
        <v>17166</v>
      </c>
      <c r="E11853" s="17"/>
      <c r="F11853" s="17" t="s">
        <v>17246</v>
      </c>
      <c r="G11853" s="17"/>
      <c r="H11853" s="17" t="s">
        <v>23950</v>
      </c>
      <c r="I11853" s="17" t="s">
        <v>23956</v>
      </c>
      <c r="J11853" s="17" t="s">
        <v>24017</v>
      </c>
      <c r="K11853" s="17"/>
      <c r="L11853" s="17" t="s">
        <v>24262</v>
      </c>
      <c r="M11853" s="17"/>
      <c r="N11853" s="17" t="s">
        <v>24808</v>
      </c>
      <c r="O11853" s="17"/>
      <c r="P11853" s="17" t="s">
        <v>24822</v>
      </c>
      <c r="Q11853" s="17"/>
      <c r="R11853" s="25" t="str">
        <f>HYPERLINK("https://ictv.global/taxonomy/taxondetails?taxnode_id=202306249","Crustavirus wenlingense")</f>
        <v>Crustavirus wenlingense</v>
      </c>
      <c r="S11853" s="18" t="s">
        <v>30</v>
      </c>
      <c r="T11853" s="18" t="s">
        <v>24827</v>
      </c>
      <c r="U11853" s="18" t="s">
        <v>24828</v>
      </c>
      <c r="V11853" s="18" t="s">
        <v>24829</v>
      </c>
      <c r="W11853" s="18" t="s">
        <v>24830</v>
      </c>
      <c r="X11853" s="18" t="s">
        <v>35</v>
      </c>
      <c r="Y11853" s="18" t="s">
        <v>23964</v>
      </c>
      <c r="Z11853" s="18" t="s">
        <v>10790</v>
      </c>
      <c r="AA11853" s="21" t="str">
        <f>HYPERLINK("https://www.ncbi.nlm.nih.gov/nuccore/KX884457","NCBI Nucleotide")</f>
        <v>NCBI Nucleotide</v>
      </c>
    </row>
    <row r="11854" spans="1:27" x14ac:dyDescent="0.35">
      <c r="A11854">
        <v>1010589</v>
      </c>
      <c r="B11854">
        <v>11145</v>
      </c>
      <c r="C11854">
        <v>1</v>
      </c>
      <c r="D11854" s="17" t="s">
        <v>17166</v>
      </c>
      <c r="E11854" s="17"/>
      <c r="F11854" s="17" t="s">
        <v>17246</v>
      </c>
      <c r="G11854" s="17"/>
      <c r="H11854" s="17" t="s">
        <v>23950</v>
      </c>
      <c r="I11854" s="17" t="s">
        <v>23956</v>
      </c>
      <c r="J11854" s="17" t="s">
        <v>24017</v>
      </c>
      <c r="K11854" s="17"/>
      <c r="L11854" s="17" t="s">
        <v>24262</v>
      </c>
      <c r="M11854" s="17"/>
      <c r="N11854" s="17" t="s">
        <v>24808</v>
      </c>
      <c r="O11854" s="17"/>
      <c r="P11854" s="17" t="s">
        <v>24822</v>
      </c>
      <c r="Q11854" s="17"/>
      <c r="R11854" s="25" t="str">
        <f>HYPERLINK("https://ictv.global/taxonomy/taxondetails?taxnode_id=202301818","Crustavirus wenzhouense")</f>
        <v>Crustavirus wenzhouense</v>
      </c>
      <c r="S11854" s="18" t="s">
        <v>30</v>
      </c>
      <c r="T11854" s="18" t="s">
        <v>24831</v>
      </c>
      <c r="U11854" s="18" t="s">
        <v>24832</v>
      </c>
      <c r="V11854" s="18" t="s">
        <v>24833</v>
      </c>
      <c r="W11854" s="18" t="s">
        <v>24834</v>
      </c>
      <c r="X11854" s="18" t="s">
        <v>35</v>
      </c>
      <c r="Y11854" s="18" t="s">
        <v>23964</v>
      </c>
      <c r="Z11854" s="18" t="s">
        <v>10790</v>
      </c>
      <c r="AA11854" s="21" t="str">
        <f>HYPERLINK("https://www.ncbi.nlm.nih.gov/nuccore/KM817644","NCBI Nucleotide")</f>
        <v>NCBI Nucleotide</v>
      </c>
    </row>
    <row r="11855" spans="1:27" x14ac:dyDescent="0.35">
      <c r="A11855">
        <v>1010590</v>
      </c>
      <c r="B11855">
        <v>11146</v>
      </c>
      <c r="C11855">
        <v>1</v>
      </c>
      <c r="D11855" s="17" t="s">
        <v>17166</v>
      </c>
      <c r="E11855" s="17"/>
      <c r="F11855" s="17" t="s">
        <v>17246</v>
      </c>
      <c r="G11855" s="17"/>
      <c r="H11855" s="17" t="s">
        <v>23950</v>
      </c>
      <c r="I11855" s="17" t="s">
        <v>23956</v>
      </c>
      <c r="J11855" s="17" t="s">
        <v>24017</v>
      </c>
      <c r="K11855" s="17"/>
      <c r="L11855" s="17" t="s">
        <v>24262</v>
      </c>
      <c r="M11855" s="17"/>
      <c r="N11855" s="17" t="s">
        <v>24808</v>
      </c>
      <c r="O11855" s="17"/>
      <c r="P11855" s="17" t="s">
        <v>24835</v>
      </c>
      <c r="Q11855" s="17"/>
      <c r="R11855" s="25" t="str">
        <f>HYPERLINK("https://ictv.global/taxonomy/taxondetails?taxnode_id=202309665","Formivirus angliae")</f>
        <v>Formivirus angliae</v>
      </c>
      <c r="S11855" s="18" t="s">
        <v>30</v>
      </c>
      <c r="T11855" s="18" t="s">
        <v>24836</v>
      </c>
      <c r="U11855" s="18" t="s">
        <v>24837</v>
      </c>
      <c r="V11855" s="18"/>
      <c r="W11855" s="18" t="s">
        <v>24838</v>
      </c>
      <c r="X11855" s="18" t="s">
        <v>42</v>
      </c>
      <c r="Y11855" s="18" t="s">
        <v>23964</v>
      </c>
      <c r="Z11855" s="18" t="s">
        <v>10790</v>
      </c>
      <c r="AA11855" s="21" t="str">
        <f>HYPERLINK("https://www.ncbi.nlm.nih.gov/nuccore/MH477287","NCBI Nucleotide")</f>
        <v>NCBI Nucleotide</v>
      </c>
    </row>
    <row r="11856" spans="1:27" x14ac:dyDescent="0.35">
      <c r="A11856">
        <v>1010591</v>
      </c>
      <c r="B11856">
        <v>11147</v>
      </c>
      <c r="C11856">
        <v>1</v>
      </c>
      <c r="D11856" s="17" t="s">
        <v>17166</v>
      </c>
      <c r="E11856" s="17"/>
      <c r="F11856" s="17" t="s">
        <v>17246</v>
      </c>
      <c r="G11856" s="17"/>
      <c r="H11856" s="17" t="s">
        <v>23950</v>
      </c>
      <c r="I11856" s="17" t="s">
        <v>23956</v>
      </c>
      <c r="J11856" s="17" t="s">
        <v>24017</v>
      </c>
      <c r="K11856" s="17"/>
      <c r="L11856" s="17" t="s">
        <v>24262</v>
      </c>
      <c r="M11856" s="17"/>
      <c r="N11856" s="17" t="s">
        <v>24808</v>
      </c>
      <c r="O11856" s="17"/>
      <c r="P11856" s="17" t="s">
        <v>24835</v>
      </c>
      <c r="Q11856" s="17"/>
      <c r="R11856" s="25" t="str">
        <f>HYPERLINK("https://ictv.global/taxonomy/taxondetails?taxnode_id=202309668","Formivirus chalybii")</f>
        <v>Formivirus chalybii</v>
      </c>
      <c r="S11856" s="18" t="s">
        <v>30</v>
      </c>
      <c r="T11856" s="18" t="s">
        <v>24839</v>
      </c>
      <c r="U11856" s="18" t="s">
        <v>24840</v>
      </c>
      <c r="V11856" s="18" t="s">
        <v>24841</v>
      </c>
      <c r="W11856" s="18" t="s">
        <v>24842</v>
      </c>
      <c r="X11856" s="18" t="s">
        <v>35</v>
      </c>
      <c r="Y11856" s="18" t="s">
        <v>23964</v>
      </c>
      <c r="Z11856" s="18" t="s">
        <v>10790</v>
      </c>
      <c r="AA11856" s="21" t="str">
        <f>HYPERLINK("https://www.ncbi.nlm.nih.gov/nuccore/MT153386","NCBI Nucleotide")</f>
        <v>NCBI Nucleotide</v>
      </c>
    </row>
    <row r="11857" spans="1:27" x14ac:dyDescent="0.35">
      <c r="A11857">
        <v>1010592</v>
      </c>
      <c r="B11857">
        <v>11148</v>
      </c>
      <c r="C11857">
        <v>1</v>
      </c>
      <c r="D11857" s="17" t="s">
        <v>17166</v>
      </c>
      <c r="E11857" s="17"/>
      <c r="F11857" s="17" t="s">
        <v>17246</v>
      </c>
      <c r="G11857" s="17"/>
      <c r="H11857" s="17" t="s">
        <v>23950</v>
      </c>
      <c r="I11857" s="17" t="s">
        <v>23956</v>
      </c>
      <c r="J11857" s="17" t="s">
        <v>24017</v>
      </c>
      <c r="K11857" s="17"/>
      <c r="L11857" s="17" t="s">
        <v>24262</v>
      </c>
      <c r="M11857" s="17"/>
      <c r="N11857" s="17" t="s">
        <v>24808</v>
      </c>
      <c r="O11857" s="17"/>
      <c r="P11857" s="17" t="s">
        <v>24835</v>
      </c>
      <c r="Q11857" s="17"/>
      <c r="R11857" s="25" t="str">
        <f>HYPERLINK("https://ictv.global/taxonomy/taxondetails?taxnode_id=202309666","Formivirus finnoniae")</f>
        <v>Formivirus finnoniae</v>
      </c>
      <c r="S11857" s="18" t="s">
        <v>30</v>
      </c>
      <c r="T11857" s="18" t="s">
        <v>24843</v>
      </c>
      <c r="U11857" s="18" t="s">
        <v>24844</v>
      </c>
      <c r="V11857" s="18"/>
      <c r="W11857" s="18" t="s">
        <v>24845</v>
      </c>
      <c r="X11857" s="18" t="s">
        <v>42</v>
      </c>
      <c r="Y11857" s="18" t="s">
        <v>23964</v>
      </c>
      <c r="Z11857" s="18" t="s">
        <v>10790</v>
      </c>
      <c r="AA11857" s="21" t="str">
        <f>HYPERLINK("https://www.ncbi.nlm.nih.gov/nuccore/MF287670","NCBI Nucleotide")</f>
        <v>NCBI Nucleotide</v>
      </c>
    </row>
    <row r="11858" spans="1:27" x14ac:dyDescent="0.35">
      <c r="A11858">
        <v>1010593</v>
      </c>
      <c r="B11858">
        <v>11149</v>
      </c>
      <c r="C11858">
        <v>1</v>
      </c>
      <c r="D11858" s="17" t="s">
        <v>17166</v>
      </c>
      <c r="E11858" s="17"/>
      <c r="F11858" s="17" t="s">
        <v>17246</v>
      </c>
      <c r="G11858" s="17"/>
      <c r="H11858" s="17" t="s">
        <v>23950</v>
      </c>
      <c r="I11858" s="17" t="s">
        <v>23956</v>
      </c>
      <c r="J11858" s="17" t="s">
        <v>24017</v>
      </c>
      <c r="K11858" s="17"/>
      <c r="L11858" s="17" t="s">
        <v>24262</v>
      </c>
      <c r="M11858" s="17"/>
      <c r="N11858" s="17" t="s">
        <v>24808</v>
      </c>
      <c r="O11858" s="17"/>
      <c r="P11858" s="17" t="s">
        <v>24835</v>
      </c>
      <c r="Q11858" s="17"/>
      <c r="R11858" s="25" t="str">
        <f>HYPERLINK("https://ictv.global/taxonomy/taxondetails?taxnode_id=202309667","Formivirus gorytis")</f>
        <v>Formivirus gorytis</v>
      </c>
      <c r="S11858" s="18" t="s">
        <v>30</v>
      </c>
      <c r="T11858" s="18" t="s">
        <v>24846</v>
      </c>
      <c r="U11858" s="18" t="s">
        <v>24847</v>
      </c>
      <c r="V11858" s="18" t="s">
        <v>24848</v>
      </c>
      <c r="W11858" s="18" t="s">
        <v>24849</v>
      </c>
      <c r="X11858" s="18" t="s">
        <v>35</v>
      </c>
      <c r="Y11858" s="18" t="s">
        <v>23964</v>
      </c>
      <c r="Z11858" s="18" t="s">
        <v>10790</v>
      </c>
      <c r="AA11858" s="21" t="str">
        <f>HYPERLINK("https://www.ncbi.nlm.nih.gov/nuccore/MW039259","NCBI Nucleotide")</f>
        <v>NCBI Nucleotide</v>
      </c>
    </row>
    <row r="11859" spans="1:27" x14ac:dyDescent="0.35">
      <c r="A11859">
        <v>1027587</v>
      </c>
      <c r="B11859">
        <v>11150</v>
      </c>
      <c r="C11859">
        <v>1</v>
      </c>
      <c r="D11859" s="17" t="s">
        <v>17166</v>
      </c>
      <c r="E11859" s="17"/>
      <c r="F11859" s="17" t="s">
        <v>17246</v>
      </c>
      <c r="G11859" s="17"/>
      <c r="H11859" s="17" t="s">
        <v>23950</v>
      </c>
      <c r="I11859" s="17" t="s">
        <v>23956</v>
      </c>
      <c r="J11859" s="17" t="s">
        <v>24017</v>
      </c>
      <c r="K11859" s="17"/>
      <c r="L11859" s="17" t="s">
        <v>24262</v>
      </c>
      <c r="M11859" s="17"/>
      <c r="N11859" s="17" t="s">
        <v>24808</v>
      </c>
      <c r="O11859" s="17"/>
      <c r="P11859" s="17" t="s">
        <v>24835</v>
      </c>
      <c r="Q11859" s="17"/>
      <c r="R11859" s="25" t="str">
        <f>HYPERLINK("https://ictv.global/taxonomy/taxondetails?taxnode_id=202319048","Formivirus ixodis")</f>
        <v>Formivirus ixodis</v>
      </c>
      <c r="S11859" s="18" t="s">
        <v>30</v>
      </c>
      <c r="T11859" s="18" t="s">
        <v>46440</v>
      </c>
      <c r="U11859" s="18" t="s">
        <v>46441</v>
      </c>
      <c r="V11859" s="18" t="s">
        <v>46442</v>
      </c>
      <c r="W11859" s="18" t="s">
        <v>46443</v>
      </c>
      <c r="X11859" s="18" t="s">
        <v>35</v>
      </c>
      <c r="Y11859" s="18" t="s">
        <v>23964</v>
      </c>
      <c r="Z11859" s="18" t="s">
        <v>10790</v>
      </c>
      <c r="AA11859" s="21" t="str">
        <f>HYPERLINK("https://www.ncbi.nlm.nih.gov/nuccore/ON684369","NCBI Nucleotide")</f>
        <v>NCBI Nucleotide</v>
      </c>
    </row>
    <row r="11860" spans="1:27" x14ac:dyDescent="0.35">
      <c r="A11860">
        <v>1010594</v>
      </c>
      <c r="B11860">
        <v>11151</v>
      </c>
      <c r="C11860">
        <v>1</v>
      </c>
      <c r="D11860" s="17" t="s">
        <v>17166</v>
      </c>
      <c r="E11860" s="17"/>
      <c r="F11860" s="17" t="s">
        <v>17246</v>
      </c>
      <c r="G11860" s="17"/>
      <c r="H11860" s="17" t="s">
        <v>23950</v>
      </c>
      <c r="I11860" s="17" t="s">
        <v>23956</v>
      </c>
      <c r="J11860" s="17" t="s">
        <v>24017</v>
      </c>
      <c r="K11860" s="17"/>
      <c r="L11860" s="17" t="s">
        <v>24262</v>
      </c>
      <c r="M11860" s="17"/>
      <c r="N11860" s="17" t="s">
        <v>24808</v>
      </c>
      <c r="O11860" s="17"/>
      <c r="P11860" s="17" t="s">
        <v>24835</v>
      </c>
      <c r="Q11860" s="17"/>
      <c r="R11860" s="25" t="str">
        <f>HYPERLINK("https://ictv.global/taxonomy/taxondetails?taxnode_id=202314220","Formivirus pollinis")</f>
        <v>Formivirus pollinis</v>
      </c>
      <c r="S11860" s="18" t="s">
        <v>30</v>
      </c>
      <c r="T11860" s="18" t="s">
        <v>24850</v>
      </c>
      <c r="U11860" s="18" t="s">
        <v>24851</v>
      </c>
      <c r="V11860" s="18" t="s">
        <v>24852</v>
      </c>
      <c r="W11860" s="18" t="s">
        <v>24853</v>
      </c>
      <c r="X11860" s="18" t="s">
        <v>35</v>
      </c>
      <c r="Y11860" s="18" t="s">
        <v>23964</v>
      </c>
      <c r="Z11860" s="18" t="s">
        <v>10790</v>
      </c>
      <c r="AA11860" s="21" t="str">
        <f>HYPERLINK("https://www.ncbi.nlm.nih.gov/nuccore/OK491485","NCBI Nucleotide")</f>
        <v>NCBI Nucleotide</v>
      </c>
    </row>
    <row r="11861" spans="1:27" x14ac:dyDescent="0.35">
      <c r="A11861">
        <v>1010595</v>
      </c>
      <c r="B11861">
        <v>11152</v>
      </c>
      <c r="C11861">
        <v>1</v>
      </c>
      <c r="D11861" s="17" t="s">
        <v>17166</v>
      </c>
      <c r="E11861" s="17"/>
      <c r="F11861" s="17" t="s">
        <v>17246</v>
      </c>
      <c r="G11861" s="17"/>
      <c r="H11861" s="17" t="s">
        <v>23950</v>
      </c>
      <c r="I11861" s="17" t="s">
        <v>23956</v>
      </c>
      <c r="J11861" s="17" t="s">
        <v>24017</v>
      </c>
      <c r="K11861" s="17"/>
      <c r="L11861" s="17" t="s">
        <v>24262</v>
      </c>
      <c r="M11861" s="17"/>
      <c r="N11861" s="17" t="s">
        <v>24808</v>
      </c>
      <c r="O11861" s="17"/>
      <c r="P11861" s="17" t="s">
        <v>24835</v>
      </c>
      <c r="Q11861" s="17"/>
      <c r="R11861" s="25" t="str">
        <f>HYPERLINK("https://ictv.global/taxonomy/taxondetails?taxnode_id=202312225","Formivirus solenopsi")</f>
        <v>Formivirus solenopsi</v>
      </c>
      <c r="S11861" s="18" t="s">
        <v>30</v>
      </c>
      <c r="T11861" s="18" t="s">
        <v>24854</v>
      </c>
      <c r="U11861" s="18" t="s">
        <v>24855</v>
      </c>
      <c r="V11861" s="18"/>
      <c r="W11861" s="18" t="s">
        <v>24856</v>
      </c>
      <c r="X11861" s="18" t="s">
        <v>35</v>
      </c>
      <c r="Y11861" s="18" t="s">
        <v>23964</v>
      </c>
      <c r="Z11861" s="18" t="s">
        <v>10790</v>
      </c>
      <c r="AA11861" s="21" t="str">
        <f>HYPERLINK("https://www.ncbi.nlm.nih.gov/nuccore/MT860232","NCBI Nucleotide")</f>
        <v>NCBI Nucleotide</v>
      </c>
    </row>
    <row r="11862" spans="1:27" x14ac:dyDescent="0.35">
      <c r="A11862">
        <v>1010596</v>
      </c>
      <c r="B11862">
        <v>11153</v>
      </c>
      <c r="C11862">
        <v>1</v>
      </c>
      <c r="D11862" s="17" t="s">
        <v>17166</v>
      </c>
      <c r="E11862" s="17"/>
      <c r="F11862" s="17" t="s">
        <v>17246</v>
      </c>
      <c r="G11862" s="17"/>
      <c r="H11862" s="17" t="s">
        <v>23950</v>
      </c>
      <c r="I11862" s="17" t="s">
        <v>23956</v>
      </c>
      <c r="J11862" s="17" t="s">
        <v>24017</v>
      </c>
      <c r="K11862" s="17"/>
      <c r="L11862" s="17" t="s">
        <v>24262</v>
      </c>
      <c r="M11862" s="17"/>
      <c r="N11862" s="17" t="s">
        <v>24808</v>
      </c>
      <c r="O11862" s="17"/>
      <c r="P11862" s="17" t="s">
        <v>24857</v>
      </c>
      <c r="Q11862" s="17"/>
      <c r="R11862" s="25" t="str">
        <f>HYPERLINK("https://ictv.global/taxonomy/taxondetails?taxnode_id=202312223","Nyavirus argatis")</f>
        <v>Nyavirus argatis</v>
      </c>
      <c r="S11862" s="18" t="s">
        <v>30</v>
      </c>
      <c r="T11862" s="18" t="s">
        <v>24858</v>
      </c>
      <c r="U11862" s="18" t="s">
        <v>24859</v>
      </c>
      <c r="V11862" s="18"/>
      <c r="W11862" s="18" t="s">
        <v>24860</v>
      </c>
      <c r="X11862" s="18" t="s">
        <v>42</v>
      </c>
      <c r="Y11862" s="18" t="s">
        <v>23964</v>
      </c>
      <c r="Z11862" s="18" t="s">
        <v>10790</v>
      </c>
      <c r="AA11862" s="21" t="str">
        <f>HYPERLINK("https://www.ncbi.nlm.nih.gov/nuccore/LC585887","NCBI Nucleotide")</f>
        <v>NCBI Nucleotide</v>
      </c>
    </row>
    <row r="11863" spans="1:27" x14ac:dyDescent="0.35">
      <c r="A11863">
        <v>1027695</v>
      </c>
      <c r="B11863">
        <v>11154</v>
      </c>
      <c r="C11863">
        <v>1</v>
      </c>
      <c r="D11863" s="17" t="s">
        <v>17166</v>
      </c>
      <c r="E11863" s="17"/>
      <c r="F11863" s="17" t="s">
        <v>17246</v>
      </c>
      <c r="G11863" s="17"/>
      <c r="H11863" s="17" t="s">
        <v>23950</v>
      </c>
      <c r="I11863" s="17" t="s">
        <v>23956</v>
      </c>
      <c r="J11863" s="17" t="s">
        <v>24017</v>
      </c>
      <c r="K11863" s="17"/>
      <c r="L11863" s="17" t="s">
        <v>24262</v>
      </c>
      <c r="M11863" s="17"/>
      <c r="N11863" s="17" t="s">
        <v>24808</v>
      </c>
      <c r="O11863" s="17"/>
      <c r="P11863" s="17" t="s">
        <v>24857</v>
      </c>
      <c r="Q11863" s="17"/>
      <c r="R11863" s="25" t="str">
        <f>HYPERLINK("https://ictv.global/taxonomy/taxondetails?taxnode_id=202319049","Nyavirus gerbillisci")</f>
        <v>Nyavirus gerbillisci</v>
      </c>
      <c r="S11863" s="18" t="s">
        <v>30</v>
      </c>
      <c r="T11863" s="18" t="s">
        <v>46444</v>
      </c>
      <c r="U11863" s="18" t="s">
        <v>46445</v>
      </c>
      <c r="V11863" s="18" t="s">
        <v>46446</v>
      </c>
      <c r="W11863" s="18" t="s">
        <v>46447</v>
      </c>
      <c r="X11863" s="18" t="s">
        <v>35</v>
      </c>
      <c r="Y11863" s="18" t="s">
        <v>23964</v>
      </c>
      <c r="Z11863" s="18" t="s">
        <v>166</v>
      </c>
      <c r="AA11863" s="21" t="str">
        <f>HYPERLINK("https://www.ncbi.nlm.nih.gov/nuccore/OL774864","NCBI Nucleotide")</f>
        <v>NCBI Nucleotide</v>
      </c>
    </row>
    <row r="11864" spans="1:27" x14ac:dyDescent="0.35">
      <c r="A11864">
        <v>1010597</v>
      </c>
      <c r="B11864">
        <v>11155</v>
      </c>
      <c r="C11864">
        <v>1</v>
      </c>
      <c r="D11864" s="17" t="s">
        <v>17166</v>
      </c>
      <c r="E11864" s="17"/>
      <c r="F11864" s="17" t="s">
        <v>17246</v>
      </c>
      <c r="G11864" s="17"/>
      <c r="H11864" s="17" t="s">
        <v>23950</v>
      </c>
      <c r="I11864" s="17" t="s">
        <v>23956</v>
      </c>
      <c r="J11864" s="17" t="s">
        <v>24017</v>
      </c>
      <c r="K11864" s="17"/>
      <c r="L11864" s="17" t="s">
        <v>24262</v>
      </c>
      <c r="M11864" s="17"/>
      <c r="N11864" s="17" t="s">
        <v>24808</v>
      </c>
      <c r="O11864" s="17"/>
      <c r="P11864" s="17" t="s">
        <v>24857</v>
      </c>
      <c r="Q11864" s="17"/>
      <c r="R11864" s="25" t="str">
        <f>HYPERLINK("https://ictv.global/taxonomy/taxondetails?taxnode_id=202301579","Nyavirus midwayense")</f>
        <v>Nyavirus midwayense</v>
      </c>
      <c r="S11864" s="18" t="s">
        <v>30</v>
      </c>
      <c r="T11864" s="18" t="s">
        <v>24861</v>
      </c>
      <c r="U11864" s="18" t="s">
        <v>24862</v>
      </c>
      <c r="V11864" s="18" t="s">
        <v>24863</v>
      </c>
      <c r="W11864" s="18" t="s">
        <v>24864</v>
      </c>
      <c r="X11864" s="18" t="s">
        <v>42</v>
      </c>
      <c r="Y11864" s="18" t="s">
        <v>23964</v>
      </c>
      <c r="Z11864" s="18" t="s">
        <v>10790</v>
      </c>
      <c r="AA11864" s="21" t="str">
        <f>HYPERLINK("https://www.ncbi.nlm.nih.gov/nuccore/FJ554525","NCBI Nucleotide")</f>
        <v>NCBI Nucleotide</v>
      </c>
    </row>
    <row r="11865" spans="1:27" x14ac:dyDescent="0.35">
      <c r="A11865">
        <v>1010598</v>
      </c>
      <c r="B11865">
        <v>11156</v>
      </c>
      <c r="C11865">
        <v>1</v>
      </c>
      <c r="D11865" s="17" t="s">
        <v>17166</v>
      </c>
      <c r="E11865" s="17"/>
      <c r="F11865" s="17" t="s">
        <v>17246</v>
      </c>
      <c r="G11865" s="17"/>
      <c r="H11865" s="17" t="s">
        <v>23950</v>
      </c>
      <c r="I11865" s="17" t="s">
        <v>23956</v>
      </c>
      <c r="J11865" s="17" t="s">
        <v>24017</v>
      </c>
      <c r="K11865" s="17"/>
      <c r="L11865" s="17" t="s">
        <v>24262</v>
      </c>
      <c r="M11865" s="17"/>
      <c r="N11865" s="17" t="s">
        <v>24808</v>
      </c>
      <c r="O11865" s="17"/>
      <c r="P11865" s="17" t="s">
        <v>24857</v>
      </c>
      <c r="Q11865" s="17"/>
      <c r="R11865" s="25" t="str">
        <f>HYPERLINK("https://ictv.global/taxonomy/taxondetails?taxnode_id=202301580","Nyavirus nyamaniniense")</f>
        <v>Nyavirus nyamaniniense</v>
      </c>
      <c r="S11865" s="18" t="s">
        <v>30</v>
      </c>
      <c r="T11865" s="18" t="s">
        <v>24865</v>
      </c>
      <c r="U11865" s="18" t="s">
        <v>24866</v>
      </c>
      <c r="V11865" s="18" t="s">
        <v>24867</v>
      </c>
      <c r="W11865" s="18" t="s">
        <v>24868</v>
      </c>
      <c r="X11865" s="18" t="s">
        <v>42</v>
      </c>
      <c r="Y11865" s="18" t="s">
        <v>23964</v>
      </c>
      <c r="Z11865" s="18" t="s">
        <v>12289</v>
      </c>
      <c r="AA11865" s="21" t="str">
        <f>HYPERLINK("https://www.ncbi.nlm.nih.gov/nuccore/FJ554526","NCBI Nucleotide")</f>
        <v>NCBI Nucleotide</v>
      </c>
    </row>
    <row r="11866" spans="1:27" x14ac:dyDescent="0.35">
      <c r="A11866">
        <v>1010599</v>
      </c>
      <c r="B11866">
        <v>11157</v>
      </c>
      <c r="C11866">
        <v>1</v>
      </c>
      <c r="D11866" s="17" t="s">
        <v>17166</v>
      </c>
      <c r="E11866" s="17"/>
      <c r="F11866" s="17" t="s">
        <v>17246</v>
      </c>
      <c r="G11866" s="17"/>
      <c r="H11866" s="17" t="s">
        <v>23950</v>
      </c>
      <c r="I11866" s="17" t="s">
        <v>23956</v>
      </c>
      <c r="J11866" s="17" t="s">
        <v>24017</v>
      </c>
      <c r="K11866" s="17"/>
      <c r="L11866" s="17" t="s">
        <v>24262</v>
      </c>
      <c r="M11866" s="17"/>
      <c r="N11866" s="17" t="s">
        <v>24808</v>
      </c>
      <c r="O11866" s="17"/>
      <c r="P11866" s="17" t="s">
        <v>24857</v>
      </c>
      <c r="Q11866" s="17"/>
      <c r="R11866" s="25" t="str">
        <f>HYPERLINK("https://ictv.global/taxonomy/taxondetails?taxnode_id=202309663","Nyavirus sanjacintoense")</f>
        <v>Nyavirus sanjacintoense</v>
      </c>
      <c r="S11866" s="18" t="s">
        <v>30</v>
      </c>
      <c r="T11866" s="18" t="s">
        <v>24869</v>
      </c>
      <c r="U11866" s="18" t="s">
        <v>24870</v>
      </c>
      <c r="V11866" s="18" t="s">
        <v>24871</v>
      </c>
      <c r="W11866" s="18" t="s">
        <v>24872</v>
      </c>
      <c r="X11866" s="18" t="s">
        <v>35</v>
      </c>
      <c r="Y11866" s="18" t="s">
        <v>23964</v>
      </c>
      <c r="Z11866" s="18" t="s">
        <v>166</v>
      </c>
      <c r="AA11866" s="21" t="str">
        <f>HYPERLINK("https://www.ncbi.nlm.nih.gov/nuccore/MK971153","NCBI Nucleotide")</f>
        <v>NCBI Nucleotide</v>
      </c>
    </row>
    <row r="11867" spans="1:27" x14ac:dyDescent="0.35">
      <c r="A11867">
        <v>1010600</v>
      </c>
      <c r="B11867">
        <v>11158</v>
      </c>
      <c r="C11867">
        <v>1</v>
      </c>
      <c r="D11867" s="17" t="s">
        <v>17166</v>
      </c>
      <c r="E11867" s="17"/>
      <c r="F11867" s="17" t="s">
        <v>17246</v>
      </c>
      <c r="G11867" s="17"/>
      <c r="H11867" s="17" t="s">
        <v>23950</v>
      </c>
      <c r="I11867" s="17" t="s">
        <v>23956</v>
      </c>
      <c r="J11867" s="17" t="s">
        <v>24017</v>
      </c>
      <c r="K11867" s="17"/>
      <c r="L11867" s="17" t="s">
        <v>24262</v>
      </c>
      <c r="M11867" s="17"/>
      <c r="N11867" s="17" t="s">
        <v>24808</v>
      </c>
      <c r="O11867" s="17"/>
      <c r="P11867" s="17" t="s">
        <v>24857</v>
      </c>
      <c r="Q11867" s="17"/>
      <c r="R11867" s="25" t="str">
        <f>HYPERLINK("https://ictv.global/taxonomy/taxondetails?taxnode_id=202301581","Nyavirus sierranevadaense")</f>
        <v>Nyavirus sierranevadaense</v>
      </c>
      <c r="S11867" s="18" t="s">
        <v>30</v>
      </c>
      <c r="T11867" s="18" t="s">
        <v>24873</v>
      </c>
      <c r="U11867" s="18" t="s">
        <v>24874</v>
      </c>
      <c r="V11867" s="18"/>
      <c r="W11867" s="18" t="s">
        <v>24875</v>
      </c>
      <c r="X11867" s="18" t="s">
        <v>42</v>
      </c>
      <c r="Y11867" s="18" t="s">
        <v>23964</v>
      </c>
      <c r="Z11867" s="18" t="s">
        <v>10790</v>
      </c>
      <c r="AA11867" s="21" t="str">
        <f>HYPERLINK("https://www.ncbi.nlm.nih.gov/nuccore/KF530058","NCBI Nucleotide")</f>
        <v>NCBI Nucleotide</v>
      </c>
    </row>
    <row r="11868" spans="1:27" x14ac:dyDescent="0.35">
      <c r="A11868">
        <v>1010601</v>
      </c>
      <c r="B11868">
        <v>11159</v>
      </c>
      <c r="C11868">
        <v>1</v>
      </c>
      <c r="D11868" s="17" t="s">
        <v>17166</v>
      </c>
      <c r="E11868" s="17"/>
      <c r="F11868" s="17" t="s">
        <v>17246</v>
      </c>
      <c r="G11868" s="17"/>
      <c r="H11868" s="17" t="s">
        <v>23950</v>
      </c>
      <c r="I11868" s="17" t="s">
        <v>23956</v>
      </c>
      <c r="J11868" s="17" t="s">
        <v>24017</v>
      </c>
      <c r="K11868" s="17"/>
      <c r="L11868" s="17" t="s">
        <v>24262</v>
      </c>
      <c r="M11868" s="17"/>
      <c r="N11868" s="17" t="s">
        <v>24808</v>
      </c>
      <c r="O11868" s="17"/>
      <c r="P11868" s="17" t="s">
        <v>24857</v>
      </c>
      <c r="Q11868" s="17"/>
      <c r="R11868" s="25" t="str">
        <f>HYPERLINK("https://ictv.global/taxonomy/taxondetails?taxnode_id=202312224","Nyavirus somateriae")</f>
        <v>Nyavirus somateriae</v>
      </c>
      <c r="S11868" s="18" t="s">
        <v>30</v>
      </c>
      <c r="T11868" s="18" t="s">
        <v>24876</v>
      </c>
      <c r="U11868" s="18" t="s">
        <v>24877</v>
      </c>
      <c r="V11868" s="18"/>
      <c r="W11868" s="18" t="s">
        <v>24878</v>
      </c>
      <c r="X11868" s="18" t="s">
        <v>42</v>
      </c>
      <c r="Y11868" s="18" t="s">
        <v>23964</v>
      </c>
      <c r="Z11868" s="18" t="s">
        <v>12289</v>
      </c>
      <c r="AA11868" s="21" t="str">
        <f>HYPERLINK("https://www.ncbi.nlm.nih.gov/nuccore/MN045233","NCBI Nucleotide")</f>
        <v>NCBI Nucleotide</v>
      </c>
    </row>
    <row r="11869" spans="1:27" x14ac:dyDescent="0.35">
      <c r="A11869">
        <v>1010602</v>
      </c>
      <c r="B11869">
        <v>11160</v>
      </c>
      <c r="C11869">
        <v>1</v>
      </c>
      <c r="D11869" s="17" t="s">
        <v>17166</v>
      </c>
      <c r="E11869" s="17"/>
      <c r="F11869" s="17" t="s">
        <v>17246</v>
      </c>
      <c r="G11869" s="17"/>
      <c r="H11869" s="17" t="s">
        <v>23950</v>
      </c>
      <c r="I11869" s="17" t="s">
        <v>23956</v>
      </c>
      <c r="J11869" s="17" t="s">
        <v>24017</v>
      </c>
      <c r="K11869" s="17"/>
      <c r="L11869" s="17" t="s">
        <v>24262</v>
      </c>
      <c r="M11869" s="17"/>
      <c r="N11869" s="17" t="s">
        <v>24808</v>
      </c>
      <c r="O11869" s="17"/>
      <c r="P11869" s="17" t="s">
        <v>24879</v>
      </c>
      <c r="Q11869" s="17"/>
      <c r="R11869" s="25" t="str">
        <f>HYPERLINK("https://ictv.global/taxonomy/taxondetails?taxnode_id=202306252","Orinovirus pasiphilae")</f>
        <v>Orinovirus pasiphilae</v>
      </c>
      <c r="S11869" s="18" t="s">
        <v>30</v>
      </c>
      <c r="T11869" s="18" t="s">
        <v>24880</v>
      </c>
      <c r="U11869" s="18" t="s">
        <v>24881</v>
      </c>
      <c r="V11869" s="18" t="s">
        <v>24882</v>
      </c>
      <c r="W11869" s="18" t="s">
        <v>24883</v>
      </c>
      <c r="X11869" s="18" t="s">
        <v>154</v>
      </c>
      <c r="Y11869" s="18" t="s">
        <v>23964</v>
      </c>
      <c r="Z11869" s="18" t="s">
        <v>10790</v>
      </c>
      <c r="AA11869" s="21" t="str">
        <f>HYPERLINK("https://www.ncbi.nlm.nih.gov/nuccore/KX257488","NCBI Nucleotide")</f>
        <v>NCBI Nucleotide</v>
      </c>
    </row>
    <row r="11870" spans="1:27" x14ac:dyDescent="0.35">
      <c r="A11870">
        <v>1010603</v>
      </c>
      <c r="B11870">
        <v>11161</v>
      </c>
      <c r="C11870">
        <v>1</v>
      </c>
      <c r="D11870" s="17" t="s">
        <v>17166</v>
      </c>
      <c r="E11870" s="17"/>
      <c r="F11870" s="17" t="s">
        <v>17246</v>
      </c>
      <c r="G11870" s="17"/>
      <c r="H11870" s="17" t="s">
        <v>23950</v>
      </c>
      <c r="I11870" s="17" t="s">
        <v>23956</v>
      </c>
      <c r="J11870" s="17" t="s">
        <v>24017</v>
      </c>
      <c r="K11870" s="17"/>
      <c r="L11870" s="17" t="s">
        <v>24262</v>
      </c>
      <c r="M11870" s="17"/>
      <c r="N11870" s="17" t="s">
        <v>24808</v>
      </c>
      <c r="O11870" s="17"/>
      <c r="P11870" s="17" t="s">
        <v>24879</v>
      </c>
      <c r="Q11870" s="17"/>
      <c r="R11870" s="25" t="str">
        <f>HYPERLINK("https://ictv.global/taxonomy/taxondetails?taxnode_id=202314219","Orinovirus sanyae")</f>
        <v>Orinovirus sanyae</v>
      </c>
      <c r="S11870" s="18" t="s">
        <v>30</v>
      </c>
      <c r="T11870" s="18" t="s">
        <v>24884</v>
      </c>
      <c r="U11870" s="18" t="s">
        <v>24885</v>
      </c>
      <c r="V11870" s="18" t="s">
        <v>24886</v>
      </c>
      <c r="W11870" s="18" t="s">
        <v>24887</v>
      </c>
      <c r="X11870" s="18" t="s">
        <v>42</v>
      </c>
      <c r="Y11870" s="18" t="s">
        <v>23964</v>
      </c>
      <c r="Z11870" s="18" t="s">
        <v>10790</v>
      </c>
      <c r="AA11870" s="21" t="str">
        <f>HYPERLINK("https://www.ncbi.nlm.nih.gov/nuccore/MZ209903","NCBI Nucleotide")</f>
        <v>NCBI Nucleotide</v>
      </c>
    </row>
    <row r="11871" spans="1:27" x14ac:dyDescent="0.35">
      <c r="A11871">
        <v>1010604</v>
      </c>
      <c r="B11871">
        <v>11162</v>
      </c>
      <c r="C11871">
        <v>1</v>
      </c>
      <c r="D11871" s="17" t="s">
        <v>17166</v>
      </c>
      <c r="E11871" s="17"/>
      <c r="F11871" s="17" t="s">
        <v>17246</v>
      </c>
      <c r="G11871" s="17"/>
      <c r="H11871" s="17" t="s">
        <v>23950</v>
      </c>
      <c r="I11871" s="17" t="s">
        <v>23956</v>
      </c>
      <c r="J11871" s="17" t="s">
        <v>24017</v>
      </c>
      <c r="K11871" s="17"/>
      <c r="L11871" s="17" t="s">
        <v>24262</v>
      </c>
      <c r="M11871" s="17"/>
      <c r="N11871" s="17" t="s">
        <v>24808</v>
      </c>
      <c r="O11871" s="17"/>
      <c r="P11871" s="17" t="s">
        <v>24888</v>
      </c>
      <c r="Q11871" s="17"/>
      <c r="R11871" s="25" t="str">
        <f>HYPERLINK("https://ictv.global/taxonomy/taxondetails?taxnode_id=202301585","Socyvirus heteroderae")</f>
        <v>Socyvirus heteroderae</v>
      </c>
      <c r="S11871" s="18" t="s">
        <v>30</v>
      </c>
      <c r="T11871" s="18" t="s">
        <v>24889</v>
      </c>
      <c r="U11871" s="18" t="s">
        <v>24890</v>
      </c>
      <c r="V11871" s="18"/>
      <c r="W11871" s="18" t="s">
        <v>24891</v>
      </c>
      <c r="X11871" s="18" t="s">
        <v>42</v>
      </c>
      <c r="Y11871" s="18" t="s">
        <v>23964</v>
      </c>
      <c r="Z11871" s="18" t="s">
        <v>10790</v>
      </c>
      <c r="AA11871" s="21" t="str">
        <f>HYPERLINK("https://www.ncbi.nlm.nih.gov/nuccore/HM849038","NCBI Nucleotide")</f>
        <v>NCBI Nucleotide</v>
      </c>
    </row>
    <row r="11872" spans="1:27" x14ac:dyDescent="0.35">
      <c r="A11872">
        <v>1010605</v>
      </c>
      <c r="B11872">
        <v>11163</v>
      </c>
      <c r="C11872">
        <v>1</v>
      </c>
      <c r="D11872" s="17" t="s">
        <v>17166</v>
      </c>
      <c r="E11872" s="17"/>
      <c r="F11872" s="17" t="s">
        <v>17246</v>
      </c>
      <c r="G11872" s="17"/>
      <c r="H11872" s="17" t="s">
        <v>23950</v>
      </c>
      <c r="I11872" s="17" t="s">
        <v>23956</v>
      </c>
      <c r="J11872" s="17" t="s">
        <v>24017</v>
      </c>
      <c r="K11872" s="17"/>
      <c r="L11872" s="17" t="s">
        <v>24262</v>
      </c>
      <c r="M11872" s="17"/>
      <c r="N11872" s="17" t="s">
        <v>24808</v>
      </c>
      <c r="O11872" s="17"/>
      <c r="P11872" s="17" t="s">
        <v>24892</v>
      </c>
      <c r="Q11872" s="17"/>
      <c r="R11872" s="25" t="str">
        <f>HYPERLINK("https://ictv.global/taxonomy/taxondetails?taxnode_id=202306254","Tapwovirus cesti")</f>
        <v>Tapwovirus cesti</v>
      </c>
      <c r="S11872" s="18" t="s">
        <v>30</v>
      </c>
      <c r="T11872" s="18" t="s">
        <v>24893</v>
      </c>
      <c r="U11872" s="18" t="s">
        <v>24894</v>
      </c>
      <c r="V11872" s="18" t="s">
        <v>24895</v>
      </c>
      <c r="W11872" s="18" t="s">
        <v>24896</v>
      </c>
      <c r="X11872" s="18" t="s">
        <v>35</v>
      </c>
      <c r="Y11872" s="18" t="s">
        <v>23964</v>
      </c>
      <c r="Z11872" s="18" t="s">
        <v>10790</v>
      </c>
      <c r="AA11872" s="21" t="str">
        <f>HYPERLINK("https://www.ncbi.nlm.nih.gov/nuccore/KX884436,KX884437","NCBI Nucleotide")</f>
        <v>NCBI Nucleotide</v>
      </c>
    </row>
    <row r="11873" spans="1:27" x14ac:dyDescent="0.35">
      <c r="A11873">
        <v>1027738</v>
      </c>
      <c r="B11873">
        <v>11164</v>
      </c>
      <c r="C11873">
        <v>1</v>
      </c>
      <c r="D11873" s="17" t="s">
        <v>17166</v>
      </c>
      <c r="E11873" s="17"/>
      <c r="F11873" s="17" t="s">
        <v>17246</v>
      </c>
      <c r="G11873" s="17"/>
      <c r="H11873" s="17" t="s">
        <v>23950</v>
      </c>
      <c r="I11873" s="17" t="s">
        <v>23956</v>
      </c>
      <c r="J11873" s="17" t="s">
        <v>24017</v>
      </c>
      <c r="K11873" s="17"/>
      <c r="L11873" s="17" t="s">
        <v>24262</v>
      </c>
      <c r="M11873" s="17"/>
      <c r="N11873" s="17" t="s">
        <v>24808</v>
      </c>
      <c r="O11873" s="17"/>
      <c r="P11873" s="17" t="s">
        <v>24892</v>
      </c>
      <c r="Q11873" s="17"/>
      <c r="R11873" s="25" t="str">
        <f>HYPERLINK("https://ictv.global/taxonomy/taxondetails?taxnode_id=202319050","Tapwovirus taeniae")</f>
        <v>Tapwovirus taeniae</v>
      </c>
      <c r="S11873" s="18" t="s">
        <v>30</v>
      </c>
      <c r="T11873" s="18" t="s">
        <v>46448</v>
      </c>
      <c r="U11873" s="18" t="s">
        <v>46449</v>
      </c>
      <c r="V11873" s="18" t="s">
        <v>46450</v>
      </c>
      <c r="W11873" s="18" t="s">
        <v>46451</v>
      </c>
      <c r="X11873" s="18" t="s">
        <v>35</v>
      </c>
      <c r="Y11873" s="18" t="s">
        <v>23964</v>
      </c>
      <c r="Z11873" s="18" t="s">
        <v>10790</v>
      </c>
      <c r="AA11873" s="21" t="str">
        <f>HYPERLINK("https://www.ncbi.nlm.nih.gov/nuccore/BK059762,BK059763","NCBI Nucleotide")</f>
        <v>NCBI Nucleotide</v>
      </c>
    </row>
    <row r="11874" spans="1:27" x14ac:dyDescent="0.35">
      <c r="A11874">
        <v>1027766</v>
      </c>
      <c r="B11874">
        <v>11165</v>
      </c>
      <c r="C11874">
        <v>1</v>
      </c>
      <c r="D11874" s="17" t="s">
        <v>17166</v>
      </c>
      <c r="E11874" s="17"/>
      <c r="F11874" s="17" t="s">
        <v>17246</v>
      </c>
      <c r="G11874" s="17"/>
      <c r="H11874" s="17" t="s">
        <v>23950</v>
      </c>
      <c r="I11874" s="17" t="s">
        <v>23956</v>
      </c>
      <c r="J11874" s="17" t="s">
        <v>24017</v>
      </c>
      <c r="K11874" s="17"/>
      <c r="L11874" s="17" t="s">
        <v>24262</v>
      </c>
      <c r="M11874" s="17"/>
      <c r="N11874" s="17" t="s">
        <v>24897</v>
      </c>
      <c r="O11874" s="17" t="s">
        <v>24913</v>
      </c>
      <c r="P11874" s="17" t="s">
        <v>24914</v>
      </c>
      <c r="Q11874" s="17"/>
      <c r="R11874" s="25" t="str">
        <f>HYPERLINK("https://ictv.global/taxonomy/taxondetails?taxnode_id=202318318","Metaavulavirus bangorense")</f>
        <v>Metaavulavirus bangorense</v>
      </c>
      <c r="S11874" s="18" t="s">
        <v>30</v>
      </c>
      <c r="T11874" s="18" t="s">
        <v>24955</v>
      </c>
      <c r="U11874" s="18"/>
      <c r="V11874" s="18" t="s">
        <v>46452</v>
      </c>
      <c r="W11874" s="18" t="s">
        <v>48635</v>
      </c>
      <c r="X11874" s="18" t="s">
        <v>42</v>
      </c>
      <c r="Y11874" s="18" t="s">
        <v>23964</v>
      </c>
      <c r="Z11874" s="18" t="s">
        <v>166</v>
      </c>
      <c r="AA11874" s="21" t="str">
        <f>HYPERLINK("https://www.ncbi.nlm.nih.gov/nuccore/HM159995","NCBI Nucleotide")</f>
        <v>NCBI Nucleotide</v>
      </c>
    </row>
    <row r="11875" spans="1:27" x14ac:dyDescent="0.35">
      <c r="A11875">
        <v>1027767</v>
      </c>
      <c r="B11875">
        <v>11166</v>
      </c>
      <c r="C11875">
        <v>1</v>
      </c>
      <c r="D11875" s="17" t="s">
        <v>17166</v>
      </c>
      <c r="E11875" s="17"/>
      <c r="F11875" s="17" t="s">
        <v>17246</v>
      </c>
      <c r="G11875" s="17"/>
      <c r="H11875" s="17" t="s">
        <v>23950</v>
      </c>
      <c r="I11875" s="17" t="s">
        <v>23956</v>
      </c>
      <c r="J11875" s="17" t="s">
        <v>24017</v>
      </c>
      <c r="K11875" s="17"/>
      <c r="L11875" s="17" t="s">
        <v>24262</v>
      </c>
      <c r="M11875" s="17"/>
      <c r="N11875" s="17" t="s">
        <v>24897</v>
      </c>
      <c r="O11875" s="17" t="s">
        <v>24913</v>
      </c>
      <c r="P11875" s="17" t="s">
        <v>24914</v>
      </c>
      <c r="Q11875" s="17"/>
      <c r="R11875" s="25" t="str">
        <f>HYPERLINK("https://ictv.global/taxonomy/taxondetails?taxnode_id=202318319","Metaavulavirus calidris")</f>
        <v>Metaavulavirus calidris</v>
      </c>
      <c r="S11875" s="18" t="s">
        <v>30</v>
      </c>
      <c r="T11875" s="18" t="s">
        <v>46453</v>
      </c>
      <c r="U11875" s="18"/>
      <c r="V11875" s="18" t="s">
        <v>46454</v>
      </c>
      <c r="W11875" s="18" t="s">
        <v>48636</v>
      </c>
      <c r="X11875" s="18" t="s">
        <v>42</v>
      </c>
      <c r="Y11875" s="18" t="s">
        <v>23964</v>
      </c>
      <c r="Z11875" s="18" t="s">
        <v>166</v>
      </c>
      <c r="AA11875" s="21" t="str">
        <f>HYPERLINK("https://www.ncbi.nlm.nih.gov/nuccore/AB759118","NCBI Nucleotide")</f>
        <v>NCBI Nucleotide</v>
      </c>
    </row>
    <row r="11876" spans="1:27" x14ac:dyDescent="0.35">
      <c r="A11876">
        <v>1010606</v>
      </c>
      <c r="B11876">
        <v>11167</v>
      </c>
      <c r="C11876">
        <v>1</v>
      </c>
      <c r="D11876" s="17" t="s">
        <v>17166</v>
      </c>
      <c r="E11876" s="17"/>
      <c r="F11876" s="17" t="s">
        <v>17246</v>
      </c>
      <c r="G11876" s="17"/>
      <c r="H11876" s="17" t="s">
        <v>23950</v>
      </c>
      <c r="I11876" s="17" t="s">
        <v>23956</v>
      </c>
      <c r="J11876" s="17" t="s">
        <v>24017</v>
      </c>
      <c r="K11876" s="17"/>
      <c r="L11876" s="17" t="s">
        <v>24262</v>
      </c>
      <c r="M11876" s="17"/>
      <c r="N11876" s="17" t="s">
        <v>24897</v>
      </c>
      <c r="O11876" s="17" t="s">
        <v>24913</v>
      </c>
      <c r="P11876" s="17" t="s">
        <v>24914</v>
      </c>
      <c r="Q11876" s="17"/>
      <c r="R11876" s="25" t="str">
        <f>HYPERLINK("https://ictv.global/taxonomy/taxondetails?taxnode_id=202301598","Metaavulavirus delawarense")</f>
        <v>Metaavulavirus delawarense</v>
      </c>
      <c r="S11876" s="18" t="s">
        <v>30</v>
      </c>
      <c r="T11876" s="18" t="s">
        <v>24915</v>
      </c>
      <c r="U11876" s="18" t="s">
        <v>24916</v>
      </c>
      <c r="V11876" s="18" t="s">
        <v>24917</v>
      </c>
      <c r="W11876" s="18" t="s">
        <v>24918</v>
      </c>
      <c r="X11876" s="18" t="s">
        <v>42</v>
      </c>
      <c r="Y11876" s="18" t="s">
        <v>23964</v>
      </c>
      <c r="Z11876" s="18" t="s">
        <v>166</v>
      </c>
      <c r="AA11876" s="21" t="str">
        <f>HYPERLINK("https://www.ncbi.nlm.nih.gov/nuccore/FJ215863","NCBI Nucleotide")</f>
        <v>NCBI Nucleotide</v>
      </c>
    </row>
    <row r="11877" spans="1:27" x14ac:dyDescent="0.35">
      <c r="A11877">
        <v>1010607</v>
      </c>
      <c r="B11877">
        <v>11168</v>
      </c>
      <c r="C11877">
        <v>1</v>
      </c>
      <c r="D11877" s="17" t="s">
        <v>17166</v>
      </c>
      <c r="E11877" s="17"/>
      <c r="F11877" s="17" t="s">
        <v>17246</v>
      </c>
      <c r="G11877" s="17"/>
      <c r="H11877" s="17" t="s">
        <v>23950</v>
      </c>
      <c r="I11877" s="17" t="s">
        <v>23956</v>
      </c>
      <c r="J11877" s="17" t="s">
        <v>24017</v>
      </c>
      <c r="K11877" s="17"/>
      <c r="L11877" s="17" t="s">
        <v>24262</v>
      </c>
      <c r="M11877" s="17"/>
      <c r="N11877" s="17" t="s">
        <v>24897</v>
      </c>
      <c r="O11877" s="17" t="s">
        <v>24913</v>
      </c>
      <c r="P11877" s="17" t="s">
        <v>24914</v>
      </c>
      <c r="Q11877" s="17"/>
      <c r="R11877" s="25" t="str">
        <f>HYPERLINK("https://ictv.global/taxonomy/taxondetails?taxnode_id=202301600","Metaavulavirus falklandense")</f>
        <v>Metaavulavirus falklandense</v>
      </c>
      <c r="S11877" s="18" t="s">
        <v>30</v>
      </c>
      <c r="T11877" s="18" t="s">
        <v>24919</v>
      </c>
      <c r="U11877" s="18" t="s">
        <v>24920</v>
      </c>
      <c r="V11877" s="18" t="s">
        <v>24921</v>
      </c>
      <c r="W11877" s="18" t="s">
        <v>24922</v>
      </c>
      <c r="X11877" s="18" t="s">
        <v>42</v>
      </c>
      <c r="Y11877" s="18" t="s">
        <v>23964</v>
      </c>
      <c r="Z11877" s="18" t="s">
        <v>166</v>
      </c>
      <c r="AA11877" s="21" t="str">
        <f>HYPERLINK("https://www.ncbi.nlm.nih.gov/nuccore/HM147142","NCBI Nucleotide")</f>
        <v>NCBI Nucleotide</v>
      </c>
    </row>
    <row r="11878" spans="1:27" x14ac:dyDescent="0.35">
      <c r="A11878">
        <v>1010608</v>
      </c>
      <c r="B11878">
        <v>11169</v>
      </c>
      <c r="C11878">
        <v>1</v>
      </c>
      <c r="D11878" s="17" t="s">
        <v>17166</v>
      </c>
      <c r="E11878" s="17"/>
      <c r="F11878" s="17" t="s">
        <v>17246</v>
      </c>
      <c r="G11878" s="17"/>
      <c r="H11878" s="17" t="s">
        <v>23950</v>
      </c>
      <c r="I11878" s="17" t="s">
        <v>23956</v>
      </c>
      <c r="J11878" s="17" t="s">
        <v>24017</v>
      </c>
      <c r="K11878" s="17"/>
      <c r="L11878" s="17" t="s">
        <v>24262</v>
      </c>
      <c r="M11878" s="17"/>
      <c r="N11878" s="17" t="s">
        <v>24897</v>
      </c>
      <c r="O11878" s="17" t="s">
        <v>24913</v>
      </c>
      <c r="P11878" s="17" t="s">
        <v>24914</v>
      </c>
      <c r="Q11878" s="17"/>
      <c r="R11878" s="25" t="str">
        <f>HYPERLINK("https://ictv.global/taxonomy/taxondetails?taxnode_id=202301601","Metaavulavirus galliense")</f>
        <v>Metaavulavirus galliense</v>
      </c>
      <c r="S11878" s="18" t="s">
        <v>30</v>
      </c>
      <c r="T11878" s="18" t="s">
        <v>24923</v>
      </c>
      <c r="U11878" s="18" t="s">
        <v>24924</v>
      </c>
      <c r="V11878" s="18" t="s">
        <v>24925</v>
      </c>
      <c r="W11878" s="18" t="s">
        <v>24926</v>
      </c>
      <c r="X11878" s="18" t="s">
        <v>42</v>
      </c>
      <c r="Y11878" s="18" t="s">
        <v>23964</v>
      </c>
      <c r="Z11878" s="18" t="s">
        <v>166</v>
      </c>
      <c r="AA11878" s="21" t="str">
        <f>HYPERLINK("https://www.ncbi.nlm.nih.gov/nuccore/JQ886184","NCBI Nucleotide")</f>
        <v>NCBI Nucleotide</v>
      </c>
    </row>
    <row r="11879" spans="1:27" x14ac:dyDescent="0.35">
      <c r="A11879">
        <v>1010609</v>
      </c>
      <c r="B11879">
        <v>11170</v>
      </c>
      <c r="C11879">
        <v>1</v>
      </c>
      <c r="D11879" s="17" t="s">
        <v>17166</v>
      </c>
      <c r="E11879" s="17"/>
      <c r="F11879" s="17" t="s">
        <v>17246</v>
      </c>
      <c r="G11879" s="17"/>
      <c r="H11879" s="17" t="s">
        <v>23950</v>
      </c>
      <c r="I11879" s="17" t="s">
        <v>23956</v>
      </c>
      <c r="J11879" s="17" t="s">
        <v>24017</v>
      </c>
      <c r="K11879" s="17"/>
      <c r="L11879" s="17" t="s">
        <v>24262</v>
      </c>
      <c r="M11879" s="17"/>
      <c r="N11879" s="17" t="s">
        <v>24897</v>
      </c>
      <c r="O11879" s="17" t="s">
        <v>24913</v>
      </c>
      <c r="P11879" s="17" t="s">
        <v>24914</v>
      </c>
      <c r="Q11879" s="17"/>
      <c r="R11879" s="25" t="str">
        <f>HYPERLINK("https://ictv.global/taxonomy/taxondetails?taxnode_id=202301596","Metaavulavirus hongkongense")</f>
        <v>Metaavulavirus hongkongense</v>
      </c>
      <c r="S11879" s="18" t="s">
        <v>30</v>
      </c>
      <c r="T11879" s="18" t="s">
        <v>24927</v>
      </c>
      <c r="U11879" s="18" t="s">
        <v>24928</v>
      </c>
      <c r="V11879" s="18" t="s">
        <v>24929</v>
      </c>
      <c r="W11879" s="18" t="s">
        <v>24930</v>
      </c>
      <c r="X11879" s="18" t="s">
        <v>42</v>
      </c>
      <c r="Y11879" s="18" t="s">
        <v>23964</v>
      </c>
      <c r="Z11879" s="18" t="s">
        <v>166</v>
      </c>
      <c r="AA11879" s="21" t="str">
        <f>HYPERLINK("https://www.ncbi.nlm.nih.gov/nuccore/EF569970","NCBI Nucleotide")</f>
        <v>NCBI Nucleotide</v>
      </c>
    </row>
    <row r="11880" spans="1:27" x14ac:dyDescent="0.35">
      <c r="A11880">
        <v>1010610</v>
      </c>
      <c r="B11880">
        <v>11171</v>
      </c>
      <c r="C11880">
        <v>1</v>
      </c>
      <c r="D11880" s="17" t="s">
        <v>17166</v>
      </c>
      <c r="E11880" s="17"/>
      <c r="F11880" s="17" t="s">
        <v>17246</v>
      </c>
      <c r="G11880" s="17"/>
      <c r="H11880" s="17" t="s">
        <v>23950</v>
      </c>
      <c r="I11880" s="17" t="s">
        <v>23956</v>
      </c>
      <c r="J11880" s="17" t="s">
        <v>24017</v>
      </c>
      <c r="K11880" s="17"/>
      <c r="L11880" s="17" t="s">
        <v>24262</v>
      </c>
      <c r="M11880" s="17"/>
      <c r="N11880" s="17" t="s">
        <v>24897</v>
      </c>
      <c r="O11880" s="17" t="s">
        <v>24913</v>
      </c>
      <c r="P11880" s="17" t="s">
        <v>24914</v>
      </c>
      <c r="Q11880" s="17"/>
      <c r="R11880" s="25" t="str">
        <f>HYPERLINK("https://ictv.global/taxonomy/taxondetails?taxnode_id=202305574","Metaavulavirus japanense")</f>
        <v>Metaavulavirus japanense</v>
      </c>
      <c r="S11880" s="18" t="s">
        <v>30</v>
      </c>
      <c r="T11880" s="18" t="s">
        <v>24931</v>
      </c>
      <c r="U11880" s="18" t="s">
        <v>24932</v>
      </c>
      <c r="V11880" s="18" t="s">
        <v>24933</v>
      </c>
      <c r="W11880" s="18" t="s">
        <v>24934</v>
      </c>
      <c r="X11880" s="18" t="s">
        <v>42</v>
      </c>
      <c r="Y11880" s="18" t="s">
        <v>23964</v>
      </c>
      <c r="Z11880" s="18" t="s">
        <v>166</v>
      </c>
      <c r="AA11880" s="21" t="str">
        <f>HYPERLINK("https://www.ncbi.nlm.nih.gov/nuccore/KX258200","NCBI Nucleotide")</f>
        <v>NCBI Nucleotide</v>
      </c>
    </row>
    <row r="11881" spans="1:27" x14ac:dyDescent="0.35">
      <c r="A11881">
        <v>1010611</v>
      </c>
      <c r="B11881">
        <v>11172</v>
      </c>
      <c r="C11881">
        <v>1</v>
      </c>
      <c r="D11881" s="17" t="s">
        <v>17166</v>
      </c>
      <c r="E11881" s="17"/>
      <c r="F11881" s="17" t="s">
        <v>17246</v>
      </c>
      <c r="G11881" s="17"/>
      <c r="H11881" s="17" t="s">
        <v>23950</v>
      </c>
      <c r="I11881" s="17" t="s">
        <v>23956</v>
      </c>
      <c r="J11881" s="17" t="s">
        <v>24017</v>
      </c>
      <c r="K11881" s="17"/>
      <c r="L11881" s="17" t="s">
        <v>24262</v>
      </c>
      <c r="M11881" s="17"/>
      <c r="N11881" s="17" t="s">
        <v>24897</v>
      </c>
      <c r="O11881" s="17" t="s">
        <v>24913</v>
      </c>
      <c r="P11881" s="17" t="s">
        <v>24914</v>
      </c>
      <c r="Q11881" s="17"/>
      <c r="R11881" s="25" t="str">
        <f>HYPERLINK("https://ictv.global/taxonomy/taxondetails?taxnode_id=202306448","Metaavulavirus kazakhstanense")</f>
        <v>Metaavulavirus kazakhstanense</v>
      </c>
      <c r="S11881" s="18" t="s">
        <v>30</v>
      </c>
      <c r="T11881" s="18" t="s">
        <v>24935</v>
      </c>
      <c r="U11881" s="18" t="s">
        <v>24936</v>
      </c>
      <c r="V11881" s="18" t="s">
        <v>24937</v>
      </c>
      <c r="W11881" s="18" t="s">
        <v>24938</v>
      </c>
      <c r="X11881" s="18" t="s">
        <v>42</v>
      </c>
      <c r="Y11881" s="18" t="s">
        <v>23964</v>
      </c>
      <c r="Z11881" s="18" t="s">
        <v>166</v>
      </c>
      <c r="AA11881" s="21" t="str">
        <f>HYPERLINK("https://www.ncbi.nlm.nih.gov/nuccore/MF033136","NCBI Nucleotide")</f>
        <v>NCBI Nucleotide</v>
      </c>
    </row>
    <row r="11882" spans="1:27" x14ac:dyDescent="0.35">
      <c r="A11882">
        <v>1010612</v>
      </c>
      <c r="B11882">
        <v>11173</v>
      </c>
      <c r="C11882">
        <v>1</v>
      </c>
      <c r="D11882" s="17" t="s">
        <v>17166</v>
      </c>
      <c r="E11882" s="17"/>
      <c r="F11882" s="17" t="s">
        <v>17246</v>
      </c>
      <c r="G11882" s="17"/>
      <c r="H11882" s="17" t="s">
        <v>23950</v>
      </c>
      <c r="I11882" s="17" t="s">
        <v>23956</v>
      </c>
      <c r="J11882" s="17" t="s">
        <v>24017</v>
      </c>
      <c r="K11882" s="17"/>
      <c r="L11882" s="17" t="s">
        <v>24262</v>
      </c>
      <c r="M11882" s="17"/>
      <c r="N11882" s="17" t="s">
        <v>24897</v>
      </c>
      <c r="O11882" s="17" t="s">
        <v>24913</v>
      </c>
      <c r="P11882" s="17" t="s">
        <v>24914</v>
      </c>
      <c r="Q11882" s="17"/>
      <c r="R11882" s="25" t="str">
        <f>HYPERLINK("https://ictv.global/taxonomy/taxondetails?taxnode_id=202301595","Metaavulavirus kunitachiense")</f>
        <v>Metaavulavirus kunitachiense</v>
      </c>
      <c r="S11882" s="18" t="s">
        <v>30</v>
      </c>
      <c r="T11882" s="18" t="s">
        <v>24939</v>
      </c>
      <c r="U11882" s="18" t="s">
        <v>24940</v>
      </c>
      <c r="V11882" s="18" t="s">
        <v>24941</v>
      </c>
      <c r="W11882" s="18" t="s">
        <v>24942</v>
      </c>
      <c r="X11882" s="18" t="s">
        <v>42</v>
      </c>
      <c r="Y11882" s="18" t="s">
        <v>23964</v>
      </c>
      <c r="Z11882" s="18" t="s">
        <v>166</v>
      </c>
      <c r="AA11882" s="21" t="str">
        <f>HYPERLINK("https://www.ncbi.nlm.nih.gov/nuccore/GU206351","NCBI Nucleotide")</f>
        <v>NCBI Nucleotide</v>
      </c>
    </row>
    <row r="11883" spans="1:27" x14ac:dyDescent="0.35">
      <c r="A11883">
        <v>1010613</v>
      </c>
      <c r="B11883">
        <v>11174</v>
      </c>
      <c r="C11883">
        <v>1</v>
      </c>
      <c r="D11883" s="17" t="s">
        <v>17166</v>
      </c>
      <c r="E11883" s="17"/>
      <c r="F11883" s="17" t="s">
        <v>17246</v>
      </c>
      <c r="G11883" s="17"/>
      <c r="H11883" s="17" t="s">
        <v>23950</v>
      </c>
      <c r="I11883" s="17" t="s">
        <v>23956</v>
      </c>
      <c r="J11883" s="17" t="s">
        <v>24017</v>
      </c>
      <c r="K11883" s="17"/>
      <c r="L11883" s="17" t="s">
        <v>24262</v>
      </c>
      <c r="M11883" s="17"/>
      <c r="N11883" s="17" t="s">
        <v>24897</v>
      </c>
      <c r="O11883" s="17" t="s">
        <v>24913</v>
      </c>
      <c r="P11883" s="17" t="s">
        <v>24914</v>
      </c>
      <c r="Q11883" s="17"/>
      <c r="R11883" s="25" t="str">
        <f>HYPERLINK("https://ictv.global/taxonomy/taxondetails?taxnode_id=202305575","Metaavulavirus peixense")</f>
        <v>Metaavulavirus peixense</v>
      </c>
      <c r="S11883" s="18" t="s">
        <v>30</v>
      </c>
      <c r="T11883" s="18" t="s">
        <v>24943</v>
      </c>
      <c r="U11883" s="18" t="s">
        <v>24944</v>
      </c>
      <c r="V11883" s="18" t="s">
        <v>24945</v>
      </c>
      <c r="W11883" s="18" t="s">
        <v>24946</v>
      </c>
      <c r="X11883" s="18" t="s">
        <v>35</v>
      </c>
      <c r="Y11883" s="18" t="s">
        <v>23964</v>
      </c>
      <c r="Z11883" s="18" t="s">
        <v>166</v>
      </c>
      <c r="AA11883" s="21" t="str">
        <f>HYPERLINK("https://www.ncbi.nlm.nih.gov/nuccore/KX932454","NCBI Nucleotide")</f>
        <v>NCBI Nucleotide</v>
      </c>
    </row>
    <row r="11884" spans="1:27" x14ac:dyDescent="0.35">
      <c r="A11884">
        <v>1027768</v>
      </c>
      <c r="B11884">
        <v>11175</v>
      </c>
      <c r="C11884">
        <v>1</v>
      </c>
      <c r="D11884" s="17" t="s">
        <v>17166</v>
      </c>
      <c r="E11884" s="17"/>
      <c r="F11884" s="17" t="s">
        <v>17246</v>
      </c>
      <c r="G11884" s="17"/>
      <c r="H11884" s="17" t="s">
        <v>23950</v>
      </c>
      <c r="I11884" s="17" t="s">
        <v>23956</v>
      </c>
      <c r="J11884" s="17" t="s">
        <v>24017</v>
      </c>
      <c r="K11884" s="17"/>
      <c r="L11884" s="17" t="s">
        <v>24262</v>
      </c>
      <c r="M11884" s="17"/>
      <c r="N11884" s="17" t="s">
        <v>24897</v>
      </c>
      <c r="O11884" s="17" t="s">
        <v>24913</v>
      </c>
      <c r="P11884" s="17" t="s">
        <v>24914</v>
      </c>
      <c r="Q11884" s="17"/>
      <c r="R11884" s="25" t="str">
        <f>HYPERLINK("https://ictv.global/taxonomy/taxondetails?taxnode_id=202318317","Metaavulavirus procarduelis")</f>
        <v>Metaavulavirus procarduelis</v>
      </c>
      <c r="S11884" s="18" t="s">
        <v>30</v>
      </c>
      <c r="T11884" s="18" t="s">
        <v>46455</v>
      </c>
      <c r="U11884" s="18"/>
      <c r="V11884" s="18" t="s">
        <v>46456</v>
      </c>
      <c r="W11884" s="18" t="s">
        <v>48637</v>
      </c>
      <c r="X11884" s="18" t="s">
        <v>42</v>
      </c>
      <c r="Y11884" s="18" t="s">
        <v>23964</v>
      </c>
      <c r="Z11884" s="18" t="s">
        <v>166</v>
      </c>
      <c r="AA11884" s="21" t="str">
        <f>HYPERLINK("https://www.ncbi.nlm.nih.gov/nuccore/KT071755","NCBI Nucleotide")</f>
        <v>NCBI Nucleotide</v>
      </c>
    </row>
    <row r="11885" spans="1:27" x14ac:dyDescent="0.35">
      <c r="A11885">
        <v>1010614</v>
      </c>
      <c r="B11885">
        <v>11176</v>
      </c>
      <c r="C11885">
        <v>1</v>
      </c>
      <c r="D11885" s="17" t="s">
        <v>17166</v>
      </c>
      <c r="E11885" s="17"/>
      <c r="F11885" s="17" t="s">
        <v>17246</v>
      </c>
      <c r="G11885" s="17"/>
      <c r="H11885" s="17" t="s">
        <v>23950</v>
      </c>
      <c r="I11885" s="17" t="s">
        <v>23956</v>
      </c>
      <c r="J11885" s="17" t="s">
        <v>24017</v>
      </c>
      <c r="K11885" s="17"/>
      <c r="L11885" s="17" t="s">
        <v>24262</v>
      </c>
      <c r="M11885" s="17"/>
      <c r="N11885" s="17" t="s">
        <v>24897</v>
      </c>
      <c r="O11885" s="17" t="s">
        <v>24913</v>
      </c>
      <c r="P11885" s="17" t="s">
        <v>24914</v>
      </c>
      <c r="Q11885" s="17"/>
      <c r="R11885" s="25" t="str">
        <f>HYPERLINK("https://ictv.global/taxonomy/taxondetails?taxnode_id=202309286","Metaavulavirus taiwanense")</f>
        <v>Metaavulavirus taiwanense</v>
      </c>
      <c r="S11885" s="18" t="s">
        <v>30</v>
      </c>
      <c r="T11885" s="18" t="s">
        <v>24947</v>
      </c>
      <c r="U11885" s="18" t="s">
        <v>24948</v>
      </c>
      <c r="V11885" s="18" t="s">
        <v>24949</v>
      </c>
      <c r="W11885" s="18" t="s">
        <v>24950</v>
      </c>
      <c r="X11885" s="18" t="s">
        <v>42</v>
      </c>
      <c r="Y11885" s="18" t="s">
        <v>23964</v>
      </c>
      <c r="Z11885" s="18" t="s">
        <v>166</v>
      </c>
      <c r="AA11885" s="21" t="str">
        <f>HYPERLINK("https://www.ncbi.nlm.nih.gov/nuccore/MK677430","NCBI Nucleotide")</f>
        <v>NCBI Nucleotide</v>
      </c>
    </row>
    <row r="11886" spans="1:27" x14ac:dyDescent="0.35">
      <c r="A11886">
        <v>1010615</v>
      </c>
      <c r="B11886">
        <v>11177</v>
      </c>
      <c r="C11886">
        <v>1</v>
      </c>
      <c r="D11886" s="17" t="s">
        <v>17166</v>
      </c>
      <c r="E11886" s="17"/>
      <c r="F11886" s="17" t="s">
        <v>17246</v>
      </c>
      <c r="G11886" s="17"/>
      <c r="H11886" s="17" t="s">
        <v>23950</v>
      </c>
      <c r="I11886" s="17" t="s">
        <v>23956</v>
      </c>
      <c r="J11886" s="17" t="s">
        <v>24017</v>
      </c>
      <c r="K11886" s="17"/>
      <c r="L11886" s="17" t="s">
        <v>24262</v>
      </c>
      <c r="M11886" s="17"/>
      <c r="N11886" s="17" t="s">
        <v>24897</v>
      </c>
      <c r="O11886" s="17" t="s">
        <v>24913</v>
      </c>
      <c r="P11886" s="17" t="s">
        <v>24914</v>
      </c>
      <c r="Q11886" s="17"/>
      <c r="R11886" s="25" t="str">
        <f>HYPERLINK("https://ictv.global/taxonomy/taxondetails?taxnode_id=202301597","Metaavulavirus tennessense")</f>
        <v>Metaavulavirus tennessense</v>
      </c>
      <c r="S11886" s="18" t="s">
        <v>30</v>
      </c>
      <c r="T11886" s="18" t="s">
        <v>24951</v>
      </c>
      <c r="U11886" s="18" t="s">
        <v>24952</v>
      </c>
      <c r="V11886" s="18" t="s">
        <v>24953</v>
      </c>
      <c r="W11886" s="18" t="s">
        <v>24954</v>
      </c>
      <c r="X11886" s="18" t="s">
        <v>42</v>
      </c>
      <c r="Y11886" s="18" t="s">
        <v>23964</v>
      </c>
      <c r="Z11886" s="18" t="s">
        <v>166</v>
      </c>
      <c r="AA11886" s="21" t="str">
        <f>HYPERLINK("https://www.ncbi.nlm.nih.gov/nuccore/FJ231524","NCBI Nucleotide")</f>
        <v>NCBI Nucleotide</v>
      </c>
    </row>
    <row r="11887" spans="1:27" x14ac:dyDescent="0.35">
      <c r="A11887">
        <v>1010616</v>
      </c>
      <c r="B11887">
        <v>11178</v>
      </c>
      <c r="C11887">
        <v>1</v>
      </c>
      <c r="D11887" s="17" t="s">
        <v>17166</v>
      </c>
      <c r="E11887" s="17"/>
      <c r="F11887" s="17" t="s">
        <v>17246</v>
      </c>
      <c r="G11887" s="17"/>
      <c r="H11887" s="17" t="s">
        <v>23950</v>
      </c>
      <c r="I11887" s="17" t="s">
        <v>23956</v>
      </c>
      <c r="J11887" s="17" t="s">
        <v>24017</v>
      </c>
      <c r="K11887" s="17"/>
      <c r="L11887" s="17" t="s">
        <v>24262</v>
      </c>
      <c r="M11887" s="17"/>
      <c r="N11887" s="17" t="s">
        <v>24897</v>
      </c>
      <c r="O11887" s="17" t="s">
        <v>24913</v>
      </c>
      <c r="P11887" s="17" t="s">
        <v>24914</v>
      </c>
      <c r="Q11887" s="17"/>
      <c r="R11887" s="25" t="str">
        <f>HYPERLINK("https://ictv.global/taxonomy/taxondetails?taxnode_id=202301592","Metaavulavirus yucaipaense")</f>
        <v>Metaavulavirus yucaipaense</v>
      </c>
      <c r="S11887" s="18" t="s">
        <v>30</v>
      </c>
      <c r="T11887" s="18" t="s">
        <v>24955</v>
      </c>
      <c r="U11887" s="18" t="s">
        <v>24956</v>
      </c>
      <c r="V11887" s="18" t="s">
        <v>24957</v>
      </c>
      <c r="W11887" s="18" t="s">
        <v>24958</v>
      </c>
      <c r="X11887" s="18" t="s">
        <v>42</v>
      </c>
      <c r="Y11887" s="18" t="s">
        <v>23964</v>
      </c>
      <c r="Z11887" s="18" t="s">
        <v>166</v>
      </c>
      <c r="AA11887" s="21" t="str">
        <f>HYPERLINK("https://www.ncbi.nlm.nih.gov/nuccore/EU338414","NCBI Nucleotide")</f>
        <v>NCBI Nucleotide</v>
      </c>
    </row>
    <row r="11888" spans="1:27" x14ac:dyDescent="0.35">
      <c r="A11888">
        <v>1027697</v>
      </c>
      <c r="B11888">
        <v>11179</v>
      </c>
      <c r="C11888">
        <v>1</v>
      </c>
      <c r="D11888" s="17" t="s">
        <v>17166</v>
      </c>
      <c r="E11888" s="17"/>
      <c r="F11888" s="17" t="s">
        <v>17246</v>
      </c>
      <c r="G11888" s="17"/>
      <c r="H11888" s="17" t="s">
        <v>23950</v>
      </c>
      <c r="I11888" s="17" t="s">
        <v>23956</v>
      </c>
      <c r="J11888" s="17" t="s">
        <v>24017</v>
      </c>
      <c r="K11888" s="17"/>
      <c r="L11888" s="17" t="s">
        <v>24262</v>
      </c>
      <c r="M11888" s="17"/>
      <c r="N11888" s="17" t="s">
        <v>24897</v>
      </c>
      <c r="O11888" s="17" t="s">
        <v>24913</v>
      </c>
      <c r="P11888" s="17" t="s">
        <v>24959</v>
      </c>
      <c r="Q11888" s="17"/>
      <c r="R11888" s="25" t="str">
        <f>HYPERLINK("https://ictv.global/taxonomy/taxondetails?taxnode_id=202318315","Orthoavulavirus arenariae")</f>
        <v>Orthoavulavirus arenariae</v>
      </c>
      <c r="S11888" s="18" t="s">
        <v>30</v>
      </c>
      <c r="T11888" s="18" t="s">
        <v>46457</v>
      </c>
      <c r="U11888" s="18"/>
      <c r="V11888" s="18" t="s">
        <v>46458</v>
      </c>
      <c r="W11888" s="18" t="s">
        <v>48638</v>
      </c>
      <c r="X11888" s="18" t="s">
        <v>42</v>
      </c>
      <c r="Y11888" s="18" t="s">
        <v>23964</v>
      </c>
      <c r="Z11888" s="18" t="s">
        <v>166</v>
      </c>
      <c r="AA11888" s="21" t="str">
        <f>HYPERLINK("https://www.ncbi.nlm.nih.gov/nuccore/MZ926778","NCBI Nucleotide")</f>
        <v>NCBI Nucleotide</v>
      </c>
    </row>
    <row r="11889" spans="1:27" x14ac:dyDescent="0.35">
      <c r="A11889">
        <v>1010617</v>
      </c>
      <c r="B11889">
        <v>11180</v>
      </c>
      <c r="C11889">
        <v>1</v>
      </c>
      <c r="D11889" s="17" t="s">
        <v>17166</v>
      </c>
      <c r="E11889" s="17"/>
      <c r="F11889" s="17" t="s">
        <v>17246</v>
      </c>
      <c r="G11889" s="17"/>
      <c r="H11889" s="17" t="s">
        <v>23950</v>
      </c>
      <c r="I11889" s="17" t="s">
        <v>23956</v>
      </c>
      <c r="J11889" s="17" t="s">
        <v>24017</v>
      </c>
      <c r="K11889" s="17"/>
      <c r="L11889" s="17" t="s">
        <v>24262</v>
      </c>
      <c r="M11889" s="17"/>
      <c r="N11889" s="17" t="s">
        <v>24897</v>
      </c>
      <c r="O11889" s="17" t="s">
        <v>24913</v>
      </c>
      <c r="P11889" s="17" t="s">
        <v>24959</v>
      </c>
      <c r="Q11889" s="17"/>
      <c r="R11889" s="25" t="str">
        <f>HYPERLINK("https://ictv.global/taxonomy/taxondetails?taxnode_id=202305577","Orthoavulavirus borisense")</f>
        <v>Orthoavulavirus borisense</v>
      </c>
      <c r="S11889" s="18" t="s">
        <v>30</v>
      </c>
      <c r="T11889" s="18" t="s">
        <v>24960</v>
      </c>
      <c r="U11889" s="18" t="s">
        <v>24961</v>
      </c>
      <c r="V11889" s="18">
        <v>1</v>
      </c>
      <c r="W11889" s="18" t="s">
        <v>24962</v>
      </c>
      <c r="X11889" s="18" t="s">
        <v>35</v>
      </c>
      <c r="Y11889" s="18" t="s">
        <v>23964</v>
      </c>
      <c r="Z11889" s="18" t="s">
        <v>166</v>
      </c>
      <c r="AA11889" s="21" t="str">
        <f>HYPERLINK("https://www.ncbi.nlm.nih.gov/nuccore/KY452442","NCBI Nucleotide")</f>
        <v>NCBI Nucleotide</v>
      </c>
    </row>
    <row r="11890" spans="1:27" x14ac:dyDescent="0.35">
      <c r="A11890">
        <v>1010618</v>
      </c>
      <c r="B11890">
        <v>11181</v>
      </c>
      <c r="C11890">
        <v>1</v>
      </c>
      <c r="D11890" s="17" t="s">
        <v>17166</v>
      </c>
      <c r="E11890" s="17"/>
      <c r="F11890" s="17" t="s">
        <v>17246</v>
      </c>
      <c r="G11890" s="17"/>
      <c r="H11890" s="17" t="s">
        <v>23950</v>
      </c>
      <c r="I11890" s="17" t="s">
        <v>23956</v>
      </c>
      <c r="J11890" s="17" t="s">
        <v>24017</v>
      </c>
      <c r="K11890" s="17"/>
      <c r="L11890" s="17" t="s">
        <v>24262</v>
      </c>
      <c r="M11890" s="17"/>
      <c r="N11890" s="17" t="s">
        <v>24897</v>
      </c>
      <c r="O11890" s="17" t="s">
        <v>24913</v>
      </c>
      <c r="P11890" s="17" t="s">
        <v>24959</v>
      </c>
      <c r="Q11890" s="17"/>
      <c r="R11890" s="25" t="str">
        <f>HYPERLINK("https://ictv.global/taxonomy/taxondetails?taxnode_id=202301602","Orthoavulavirus italiense")</f>
        <v>Orthoavulavirus italiense</v>
      </c>
      <c r="S11890" s="18" t="s">
        <v>30</v>
      </c>
      <c r="T11890" s="18" t="s">
        <v>24963</v>
      </c>
      <c r="U11890" s="18" t="s">
        <v>24964</v>
      </c>
      <c r="V11890" s="18" t="s">
        <v>24965</v>
      </c>
      <c r="W11890" s="18" t="s">
        <v>24966</v>
      </c>
      <c r="X11890" s="18" t="s">
        <v>42</v>
      </c>
      <c r="Y11890" s="18" t="s">
        <v>23964</v>
      </c>
      <c r="Z11890" s="18" t="s">
        <v>166</v>
      </c>
      <c r="AA11890" s="21" t="str">
        <f>HYPERLINK("https://www.ncbi.nlm.nih.gov/nuccore/KC333050","NCBI Nucleotide")</f>
        <v>NCBI Nucleotide</v>
      </c>
    </row>
    <row r="11891" spans="1:27" x14ac:dyDescent="0.35">
      <c r="A11891">
        <v>1010619</v>
      </c>
      <c r="B11891">
        <v>11182</v>
      </c>
      <c r="C11891">
        <v>1</v>
      </c>
      <c r="D11891" s="17" t="s">
        <v>17166</v>
      </c>
      <c r="E11891" s="17"/>
      <c r="F11891" s="17" t="s">
        <v>17246</v>
      </c>
      <c r="G11891" s="17"/>
      <c r="H11891" s="17" t="s">
        <v>23950</v>
      </c>
      <c r="I11891" s="17" t="s">
        <v>23956</v>
      </c>
      <c r="J11891" s="17" t="s">
        <v>24017</v>
      </c>
      <c r="K11891" s="17"/>
      <c r="L11891" s="17" t="s">
        <v>24262</v>
      </c>
      <c r="M11891" s="17"/>
      <c r="N11891" s="17" t="s">
        <v>24897</v>
      </c>
      <c r="O11891" s="17" t="s">
        <v>24913</v>
      </c>
      <c r="P11891" s="17" t="s">
        <v>24959</v>
      </c>
      <c r="Q11891" s="17"/>
      <c r="R11891" s="25" t="str">
        <f>HYPERLINK("https://ictv.global/taxonomy/taxondetails?taxnode_id=202301603","Orthoavulavirus japanense")</f>
        <v>Orthoavulavirus japanense</v>
      </c>
      <c r="S11891" s="18" t="s">
        <v>30</v>
      </c>
      <c r="T11891" s="18" t="s">
        <v>24967</v>
      </c>
      <c r="U11891" s="18" t="s">
        <v>24968</v>
      </c>
      <c r="V11891" s="18" t="s">
        <v>24969</v>
      </c>
      <c r="W11891" s="18" t="s">
        <v>24970</v>
      </c>
      <c r="X11891" s="18" t="s">
        <v>42</v>
      </c>
      <c r="Y11891" s="18" t="s">
        <v>23964</v>
      </c>
      <c r="Z11891" s="18" t="s">
        <v>166</v>
      </c>
      <c r="AA11891" s="21" t="str">
        <f>HYPERLINK("https://www.ncbi.nlm.nih.gov/nuccore/LC041132","NCBI Nucleotide")</f>
        <v>NCBI Nucleotide</v>
      </c>
    </row>
    <row r="11892" spans="1:27" x14ac:dyDescent="0.35">
      <c r="A11892">
        <v>1010620</v>
      </c>
      <c r="B11892">
        <v>11183</v>
      </c>
      <c r="C11892">
        <v>1</v>
      </c>
      <c r="D11892" s="17" t="s">
        <v>17166</v>
      </c>
      <c r="E11892" s="17"/>
      <c r="F11892" s="17" t="s">
        <v>17246</v>
      </c>
      <c r="G11892" s="17"/>
      <c r="H11892" s="17" t="s">
        <v>23950</v>
      </c>
      <c r="I11892" s="17" t="s">
        <v>23956</v>
      </c>
      <c r="J11892" s="17" t="s">
        <v>24017</v>
      </c>
      <c r="K11892" s="17"/>
      <c r="L11892" s="17" t="s">
        <v>24262</v>
      </c>
      <c r="M11892" s="17"/>
      <c r="N11892" s="17" t="s">
        <v>24897</v>
      </c>
      <c r="O11892" s="17" t="s">
        <v>24913</v>
      </c>
      <c r="P11892" s="17" t="s">
        <v>24959</v>
      </c>
      <c r="Q11892" s="17"/>
      <c r="R11892" s="25" t="str">
        <f>HYPERLINK("https://ictv.global/taxonomy/taxondetails?taxnode_id=202301591","Orthoavulavirus javaense")</f>
        <v>Orthoavulavirus javaense</v>
      </c>
      <c r="S11892" s="18" t="s">
        <v>30</v>
      </c>
      <c r="T11892" s="18" t="s">
        <v>24971</v>
      </c>
      <c r="U11892" s="18" t="s">
        <v>24972</v>
      </c>
      <c r="V11892" s="18" t="s">
        <v>24973</v>
      </c>
      <c r="W11892" s="18" t="s">
        <v>24974</v>
      </c>
      <c r="X11892" s="18" t="s">
        <v>42</v>
      </c>
      <c r="Y11892" s="18" t="s">
        <v>23964</v>
      </c>
      <c r="Z11892" s="18" t="s">
        <v>166</v>
      </c>
      <c r="AA11892" s="21" t="str">
        <f>HYPERLINK("https://www.ncbi.nlm.nih.gov/nuccore/AY562991","NCBI Nucleotide")</f>
        <v>NCBI Nucleotide</v>
      </c>
    </row>
    <row r="11893" spans="1:27" x14ac:dyDescent="0.35">
      <c r="A11893">
        <v>1010621</v>
      </c>
      <c r="B11893">
        <v>11184</v>
      </c>
      <c r="C11893">
        <v>1</v>
      </c>
      <c r="D11893" s="17" t="s">
        <v>17166</v>
      </c>
      <c r="E11893" s="17"/>
      <c r="F11893" s="17" t="s">
        <v>17246</v>
      </c>
      <c r="G11893" s="17"/>
      <c r="H11893" s="17" t="s">
        <v>23950</v>
      </c>
      <c r="I11893" s="17" t="s">
        <v>23956</v>
      </c>
      <c r="J11893" s="17" t="s">
        <v>24017</v>
      </c>
      <c r="K11893" s="17"/>
      <c r="L11893" s="17" t="s">
        <v>24262</v>
      </c>
      <c r="M11893" s="17"/>
      <c r="N11893" s="17" t="s">
        <v>24897</v>
      </c>
      <c r="O11893" s="17" t="s">
        <v>24913</v>
      </c>
      <c r="P11893" s="17" t="s">
        <v>24959</v>
      </c>
      <c r="Q11893" s="17"/>
      <c r="R11893" s="25" t="str">
        <f>HYPERLINK("https://ictv.global/taxonomy/taxondetails?taxnode_id=202305578","Orthoavulavirus kopaiticense")</f>
        <v>Orthoavulavirus kopaiticense</v>
      </c>
      <c r="S11893" s="18" t="s">
        <v>30</v>
      </c>
      <c r="T11893" s="18" t="s">
        <v>24975</v>
      </c>
      <c r="U11893" s="18" t="s">
        <v>24976</v>
      </c>
      <c r="V11893" s="18">
        <v>2</v>
      </c>
      <c r="W11893" s="18" t="s">
        <v>24977</v>
      </c>
      <c r="X11893" s="18" t="s">
        <v>35</v>
      </c>
      <c r="Y11893" s="18" t="s">
        <v>23964</v>
      </c>
      <c r="Z11893" s="18" t="s">
        <v>166</v>
      </c>
      <c r="AA11893" s="21" t="str">
        <f>HYPERLINK("https://www.ncbi.nlm.nih.gov/nuccore/KY452443","NCBI Nucleotide")</f>
        <v>NCBI Nucleotide</v>
      </c>
    </row>
    <row r="11894" spans="1:27" x14ac:dyDescent="0.35">
      <c r="A11894">
        <v>1010622</v>
      </c>
      <c r="B11894">
        <v>11185</v>
      </c>
      <c r="C11894">
        <v>1</v>
      </c>
      <c r="D11894" s="17" t="s">
        <v>17166</v>
      </c>
      <c r="E11894" s="17"/>
      <c r="F11894" s="17" t="s">
        <v>17246</v>
      </c>
      <c r="G11894" s="17"/>
      <c r="H11894" s="17" t="s">
        <v>23950</v>
      </c>
      <c r="I11894" s="17" t="s">
        <v>23956</v>
      </c>
      <c r="J11894" s="17" t="s">
        <v>24017</v>
      </c>
      <c r="K11894" s="17"/>
      <c r="L11894" s="17" t="s">
        <v>24262</v>
      </c>
      <c r="M11894" s="17"/>
      <c r="N11894" s="17" t="s">
        <v>24897</v>
      </c>
      <c r="O11894" s="17" t="s">
        <v>24913</v>
      </c>
      <c r="P11894" s="17" t="s">
        <v>24959</v>
      </c>
      <c r="Q11894" s="17"/>
      <c r="R11894" s="25" t="str">
        <f>HYPERLINK("https://ictv.global/taxonomy/taxondetails?taxnode_id=202307416","Orthoavulavirus koreaense")</f>
        <v>Orthoavulavirus koreaense</v>
      </c>
      <c r="S11894" s="18" t="s">
        <v>30</v>
      </c>
      <c r="T11894" s="18" t="s">
        <v>24978</v>
      </c>
      <c r="U11894" s="18" t="s">
        <v>24979</v>
      </c>
      <c r="V11894" s="18" t="s">
        <v>24980</v>
      </c>
      <c r="W11894" s="18" t="s">
        <v>24981</v>
      </c>
      <c r="X11894" s="18" t="s">
        <v>42</v>
      </c>
      <c r="Y11894" s="18" t="s">
        <v>23964</v>
      </c>
      <c r="Z11894" s="18" t="s">
        <v>166</v>
      </c>
      <c r="AA11894" s="21" t="str">
        <f>HYPERLINK("https://www.ncbi.nlm.nih.gov/nuccore/MF594598","NCBI Nucleotide")</f>
        <v>NCBI Nucleotide</v>
      </c>
    </row>
    <row r="11895" spans="1:27" x14ac:dyDescent="0.35">
      <c r="A11895">
        <v>1010623</v>
      </c>
      <c r="B11895">
        <v>11186</v>
      </c>
      <c r="C11895">
        <v>1</v>
      </c>
      <c r="D11895" s="17" t="s">
        <v>17166</v>
      </c>
      <c r="E11895" s="17"/>
      <c r="F11895" s="17" t="s">
        <v>17246</v>
      </c>
      <c r="G11895" s="17"/>
      <c r="H11895" s="17" t="s">
        <v>23950</v>
      </c>
      <c r="I11895" s="17" t="s">
        <v>23956</v>
      </c>
      <c r="J11895" s="17" t="s">
        <v>24017</v>
      </c>
      <c r="K11895" s="17"/>
      <c r="L11895" s="17" t="s">
        <v>24262</v>
      </c>
      <c r="M11895" s="17"/>
      <c r="N11895" s="17" t="s">
        <v>24897</v>
      </c>
      <c r="O11895" s="17" t="s">
        <v>24913</v>
      </c>
      <c r="P11895" s="17" t="s">
        <v>24959</v>
      </c>
      <c r="Q11895" s="17"/>
      <c r="R11895" s="25" t="str">
        <f>HYPERLINK("https://ictv.global/taxonomy/taxondetails?taxnode_id=202301599","Orthoavulavirus newyorkense")</f>
        <v>Orthoavulavirus newyorkense</v>
      </c>
      <c r="S11895" s="18" t="s">
        <v>30</v>
      </c>
      <c r="T11895" s="18" t="s">
        <v>24982</v>
      </c>
      <c r="U11895" s="18" t="s">
        <v>24983</v>
      </c>
      <c r="V11895" s="18" t="s">
        <v>24984</v>
      </c>
      <c r="W11895" s="18" t="s">
        <v>24985</v>
      </c>
      <c r="X11895" s="18" t="s">
        <v>42</v>
      </c>
      <c r="Y11895" s="18" t="s">
        <v>23964</v>
      </c>
      <c r="Z11895" s="18" t="s">
        <v>166</v>
      </c>
      <c r="AA11895" s="21" t="str">
        <f>HYPERLINK("https://www.ncbi.nlm.nih.gov/nuccore/EU910942","NCBI Nucleotide")</f>
        <v>NCBI Nucleotide</v>
      </c>
    </row>
    <row r="11896" spans="1:27" x14ac:dyDescent="0.35">
      <c r="A11896">
        <v>1010624</v>
      </c>
      <c r="B11896">
        <v>11187</v>
      </c>
      <c r="C11896">
        <v>1</v>
      </c>
      <c r="D11896" s="17" t="s">
        <v>17166</v>
      </c>
      <c r="E11896" s="17"/>
      <c r="F11896" s="17" t="s">
        <v>17246</v>
      </c>
      <c r="G11896" s="17"/>
      <c r="H11896" s="17" t="s">
        <v>23950</v>
      </c>
      <c r="I11896" s="17" t="s">
        <v>23956</v>
      </c>
      <c r="J11896" s="17" t="s">
        <v>24017</v>
      </c>
      <c r="K11896" s="17"/>
      <c r="L11896" s="17" t="s">
        <v>24262</v>
      </c>
      <c r="M11896" s="17"/>
      <c r="N11896" s="17" t="s">
        <v>24897</v>
      </c>
      <c r="O11896" s="17" t="s">
        <v>24913</v>
      </c>
      <c r="P11896" s="17" t="s">
        <v>24959</v>
      </c>
      <c r="Q11896" s="17"/>
      <c r="R11896" s="25" t="str">
        <f>HYPERLINK("https://ictv.global/taxonomy/taxondetails?taxnode_id=202305579","Orthoavulavirus oneillense")</f>
        <v>Orthoavulavirus oneillense</v>
      </c>
      <c r="S11896" s="18" t="s">
        <v>30</v>
      </c>
      <c r="T11896" s="18" t="s">
        <v>24986</v>
      </c>
      <c r="U11896" s="18" t="s">
        <v>24987</v>
      </c>
      <c r="V11896" s="18">
        <v>3</v>
      </c>
      <c r="W11896" s="18" t="s">
        <v>24988</v>
      </c>
      <c r="X11896" s="18" t="s">
        <v>35</v>
      </c>
      <c r="Y11896" s="18" t="s">
        <v>23964</v>
      </c>
      <c r="Z11896" s="18" t="s">
        <v>166</v>
      </c>
      <c r="AA11896" s="21" t="str">
        <f>HYPERLINK("https://www.ncbi.nlm.nih.gov/nuccore/KY452444","NCBI Nucleotide")</f>
        <v>NCBI Nucleotide</v>
      </c>
    </row>
    <row r="11897" spans="1:27" x14ac:dyDescent="0.35">
      <c r="A11897">
        <v>1027698</v>
      </c>
      <c r="B11897">
        <v>11188</v>
      </c>
      <c r="C11897">
        <v>1</v>
      </c>
      <c r="D11897" s="17" t="s">
        <v>17166</v>
      </c>
      <c r="E11897" s="17"/>
      <c r="F11897" s="17" t="s">
        <v>17246</v>
      </c>
      <c r="G11897" s="17"/>
      <c r="H11897" s="17" t="s">
        <v>23950</v>
      </c>
      <c r="I11897" s="17" t="s">
        <v>23956</v>
      </c>
      <c r="J11897" s="17" t="s">
        <v>24017</v>
      </c>
      <c r="K11897" s="17"/>
      <c r="L11897" s="17" t="s">
        <v>24262</v>
      </c>
      <c r="M11897" s="17"/>
      <c r="N11897" s="17" t="s">
        <v>24897</v>
      </c>
      <c r="O11897" s="17" t="s">
        <v>24913</v>
      </c>
      <c r="P11897" s="17" t="s">
        <v>24959</v>
      </c>
      <c r="Q11897" s="17"/>
      <c r="R11897" s="25" t="str">
        <f>HYPERLINK("https://ictv.global/taxonomy/taxondetails?taxnode_id=202318314","Orthoavulavirus taiwanense")</f>
        <v>Orthoavulavirus taiwanense</v>
      </c>
      <c r="S11897" s="18" t="s">
        <v>30</v>
      </c>
      <c r="T11897" s="18" t="s">
        <v>46459</v>
      </c>
      <c r="U11897" s="18"/>
      <c r="V11897" s="18" t="s">
        <v>46460</v>
      </c>
      <c r="W11897" s="18" t="s">
        <v>48639</v>
      </c>
      <c r="X11897" s="18" t="s">
        <v>42</v>
      </c>
      <c r="Y11897" s="18" t="s">
        <v>23964</v>
      </c>
      <c r="Z11897" s="18" t="s">
        <v>166</v>
      </c>
      <c r="AA11897" s="21" t="str">
        <f>HYPERLINK("https://www.ncbi.nlm.nih.gov/nuccore/MZ802804","NCBI Nucleotide")</f>
        <v>NCBI Nucleotide</v>
      </c>
    </row>
    <row r="11898" spans="1:27" x14ac:dyDescent="0.35">
      <c r="A11898">
        <v>1010625</v>
      </c>
      <c r="B11898">
        <v>11189</v>
      </c>
      <c r="C11898">
        <v>1</v>
      </c>
      <c r="D11898" s="17" t="s">
        <v>17166</v>
      </c>
      <c r="E11898" s="17"/>
      <c r="F11898" s="17" t="s">
        <v>17246</v>
      </c>
      <c r="G11898" s="17"/>
      <c r="H11898" s="17" t="s">
        <v>23950</v>
      </c>
      <c r="I11898" s="17" t="s">
        <v>23956</v>
      </c>
      <c r="J11898" s="17" t="s">
        <v>24017</v>
      </c>
      <c r="K11898" s="17"/>
      <c r="L11898" s="17" t="s">
        <v>24262</v>
      </c>
      <c r="M11898" s="17"/>
      <c r="N11898" s="17" t="s">
        <v>24897</v>
      </c>
      <c r="O11898" s="17" t="s">
        <v>24913</v>
      </c>
      <c r="P11898" s="17" t="s">
        <v>24959</v>
      </c>
      <c r="Q11898" s="17"/>
      <c r="R11898" s="25" t="str">
        <f>HYPERLINK("https://ictv.global/taxonomy/taxondetails?taxnode_id=202305576","Orthoavulavirus upoense")</f>
        <v>Orthoavulavirus upoense</v>
      </c>
      <c r="S11898" s="18" t="s">
        <v>30</v>
      </c>
      <c r="T11898" s="18" t="s">
        <v>24989</v>
      </c>
      <c r="U11898" s="18" t="s">
        <v>24990</v>
      </c>
      <c r="V11898" s="18" t="s">
        <v>24991</v>
      </c>
      <c r="W11898" s="18" t="s">
        <v>24992</v>
      </c>
      <c r="X11898" s="18" t="s">
        <v>42</v>
      </c>
      <c r="Y11898" s="18" t="s">
        <v>23964</v>
      </c>
      <c r="Z11898" s="18" t="s">
        <v>166</v>
      </c>
      <c r="AA11898" s="21" t="str">
        <f>HYPERLINK("https://www.ncbi.nlm.nih.gov/nuccore/KY511044","NCBI Nucleotide")</f>
        <v>NCBI Nucleotide</v>
      </c>
    </row>
    <row r="11899" spans="1:27" x14ac:dyDescent="0.35">
      <c r="A11899">
        <v>1010626</v>
      </c>
      <c r="B11899">
        <v>11190</v>
      </c>
      <c r="C11899">
        <v>1</v>
      </c>
      <c r="D11899" s="17" t="s">
        <v>17166</v>
      </c>
      <c r="E11899" s="17"/>
      <c r="F11899" s="17" t="s">
        <v>17246</v>
      </c>
      <c r="G11899" s="17"/>
      <c r="H11899" s="17" t="s">
        <v>23950</v>
      </c>
      <c r="I11899" s="17" t="s">
        <v>23956</v>
      </c>
      <c r="J11899" s="17" t="s">
        <v>24017</v>
      </c>
      <c r="K11899" s="17"/>
      <c r="L11899" s="17" t="s">
        <v>24262</v>
      </c>
      <c r="M11899" s="17"/>
      <c r="N11899" s="17" t="s">
        <v>24897</v>
      </c>
      <c r="O11899" s="17" t="s">
        <v>24913</v>
      </c>
      <c r="P11899" s="17" t="s">
        <v>24993</v>
      </c>
      <c r="Q11899" s="17"/>
      <c r="R11899" s="25" t="str">
        <f>HYPERLINK("https://ictv.global/taxonomy/taxondetails?taxnode_id=202301594","Paraavulavirus hongkongense")</f>
        <v>Paraavulavirus hongkongense</v>
      </c>
      <c r="S11899" s="18" t="s">
        <v>30</v>
      </c>
      <c r="T11899" s="18" t="s">
        <v>24994</v>
      </c>
      <c r="U11899" s="18" t="s">
        <v>24995</v>
      </c>
      <c r="V11899" s="18" t="s">
        <v>24996</v>
      </c>
      <c r="W11899" s="18" t="s">
        <v>24997</v>
      </c>
      <c r="X11899" s="18" t="s">
        <v>42</v>
      </c>
      <c r="Y11899" s="18" t="s">
        <v>23964</v>
      </c>
      <c r="Z11899" s="18" t="s">
        <v>166</v>
      </c>
      <c r="AA11899" s="21" t="str">
        <f>HYPERLINK("https://www.ncbi.nlm.nih.gov/nuccore/EU877976","NCBI Nucleotide")</f>
        <v>NCBI Nucleotide</v>
      </c>
    </row>
    <row r="11900" spans="1:27" x14ac:dyDescent="0.35">
      <c r="A11900">
        <v>1027653</v>
      </c>
      <c r="B11900">
        <v>11191</v>
      </c>
      <c r="C11900">
        <v>1</v>
      </c>
      <c r="D11900" s="17" t="s">
        <v>17166</v>
      </c>
      <c r="E11900" s="17"/>
      <c r="F11900" s="17" t="s">
        <v>17246</v>
      </c>
      <c r="G11900" s="17"/>
      <c r="H11900" s="17" t="s">
        <v>23950</v>
      </c>
      <c r="I11900" s="17" t="s">
        <v>23956</v>
      </c>
      <c r="J11900" s="17" t="s">
        <v>24017</v>
      </c>
      <c r="K11900" s="17"/>
      <c r="L11900" s="17" t="s">
        <v>24262</v>
      </c>
      <c r="M11900" s="17"/>
      <c r="N11900" s="17" t="s">
        <v>24897</v>
      </c>
      <c r="O11900" s="17" t="s">
        <v>24913</v>
      </c>
      <c r="P11900" s="17" t="s">
        <v>24993</v>
      </c>
      <c r="Q11900" s="17"/>
      <c r="R11900" s="25" t="str">
        <f>HYPERLINK("https://ictv.global/taxonomy/taxondetails?taxnode_id=202318316","Paraavulavirus neophemae")</f>
        <v>Paraavulavirus neophemae</v>
      </c>
      <c r="S11900" s="18" t="s">
        <v>30</v>
      </c>
      <c r="T11900" s="18" t="s">
        <v>24998</v>
      </c>
      <c r="U11900" s="18"/>
      <c r="V11900" s="18" t="s">
        <v>46461</v>
      </c>
      <c r="W11900" s="18" t="s">
        <v>48640</v>
      </c>
      <c r="X11900" s="18" t="s">
        <v>42</v>
      </c>
      <c r="Y11900" s="18" t="s">
        <v>23964</v>
      </c>
      <c r="Z11900" s="18" t="s">
        <v>166</v>
      </c>
      <c r="AA11900" s="21" t="str">
        <f>HYPERLINK("https://www.ncbi.nlm.nih.gov/nuccore/EU403085","NCBI Nucleotide")</f>
        <v>NCBI Nucleotide</v>
      </c>
    </row>
    <row r="11901" spans="1:27" x14ac:dyDescent="0.35">
      <c r="A11901">
        <v>1010627</v>
      </c>
      <c r="B11901">
        <v>11192</v>
      </c>
      <c r="C11901">
        <v>1</v>
      </c>
      <c r="D11901" s="17" t="s">
        <v>17166</v>
      </c>
      <c r="E11901" s="17"/>
      <c r="F11901" s="17" t="s">
        <v>17246</v>
      </c>
      <c r="G11901" s="17"/>
      <c r="H11901" s="17" t="s">
        <v>23950</v>
      </c>
      <c r="I11901" s="17" t="s">
        <v>23956</v>
      </c>
      <c r="J11901" s="17" t="s">
        <v>24017</v>
      </c>
      <c r="K11901" s="17"/>
      <c r="L11901" s="17" t="s">
        <v>24262</v>
      </c>
      <c r="M11901" s="17"/>
      <c r="N11901" s="17" t="s">
        <v>24897</v>
      </c>
      <c r="O11901" s="17" t="s">
        <v>24913</v>
      </c>
      <c r="P11901" s="17" t="s">
        <v>24993</v>
      </c>
      <c r="Q11901" s="17"/>
      <c r="R11901" s="25" t="str">
        <f>HYPERLINK("https://ictv.global/taxonomy/taxondetails?taxnode_id=202301593","Paraavulavirus wisconsinense")</f>
        <v>Paraavulavirus wisconsinense</v>
      </c>
      <c r="S11901" s="18" t="s">
        <v>30</v>
      </c>
      <c r="T11901" s="18" t="s">
        <v>24998</v>
      </c>
      <c r="U11901" s="18" t="s">
        <v>24999</v>
      </c>
      <c r="V11901" s="18" t="s">
        <v>25000</v>
      </c>
      <c r="W11901" s="18" t="s">
        <v>25001</v>
      </c>
      <c r="X11901" s="18" t="s">
        <v>42</v>
      </c>
      <c r="Y11901" s="18" t="s">
        <v>23964</v>
      </c>
      <c r="Z11901" s="18" t="s">
        <v>166</v>
      </c>
      <c r="AA11901" s="21" t="str">
        <f>HYPERLINK("https://www.ncbi.nlm.nih.gov/nuccore/EU782025","NCBI Nucleotide")</f>
        <v>NCBI Nucleotide</v>
      </c>
    </row>
    <row r="11902" spans="1:27" x14ac:dyDescent="0.35">
      <c r="A11902">
        <v>1010629</v>
      </c>
      <c r="B11902">
        <v>11193</v>
      </c>
      <c r="C11902">
        <v>1</v>
      </c>
      <c r="D11902" s="17" t="s">
        <v>17166</v>
      </c>
      <c r="E11902" s="17"/>
      <c r="F11902" s="17" t="s">
        <v>17246</v>
      </c>
      <c r="G11902" s="17"/>
      <c r="H11902" s="17" t="s">
        <v>23950</v>
      </c>
      <c r="I11902" s="17" t="s">
        <v>23956</v>
      </c>
      <c r="J11902" s="17" t="s">
        <v>24017</v>
      </c>
      <c r="K11902" s="17"/>
      <c r="L11902" s="17" t="s">
        <v>24262</v>
      </c>
      <c r="M11902" s="17"/>
      <c r="N11902" s="17" t="s">
        <v>24897</v>
      </c>
      <c r="O11902" s="17" t="s">
        <v>46462</v>
      </c>
      <c r="P11902" s="17" t="s">
        <v>25009</v>
      </c>
      <c r="Q11902" s="17"/>
      <c r="R11902" s="25" t="str">
        <f>HYPERLINK("https://ictv.global/taxonomy/taxondetails?taxnode_id=202307559","Aquaparamyxovirus oregonense")</f>
        <v>Aquaparamyxovirus oregonense</v>
      </c>
      <c r="S11902" s="18" t="s">
        <v>30</v>
      </c>
      <c r="T11902" s="18" t="s">
        <v>25010</v>
      </c>
      <c r="U11902" s="18" t="s">
        <v>25011</v>
      </c>
      <c r="V11902" s="18" t="s">
        <v>25012</v>
      </c>
      <c r="W11902" s="18" t="s">
        <v>25013</v>
      </c>
      <c r="X11902" s="18" t="s">
        <v>42</v>
      </c>
      <c r="Y11902" s="18" t="s">
        <v>23964</v>
      </c>
      <c r="Z11902" s="18" t="s">
        <v>166</v>
      </c>
      <c r="AA11902" s="21" t="str">
        <f>HYPERLINK("https://www.ncbi.nlm.nih.gov/nuccore/MH900516","NCBI Nucleotide")</f>
        <v>NCBI Nucleotide</v>
      </c>
    </row>
    <row r="11903" spans="1:27" x14ac:dyDescent="0.35">
      <c r="A11903">
        <v>1010630</v>
      </c>
      <c r="B11903">
        <v>11194</v>
      </c>
      <c r="C11903">
        <v>1</v>
      </c>
      <c r="D11903" s="17" t="s">
        <v>17166</v>
      </c>
      <c r="E11903" s="17"/>
      <c r="F11903" s="17" t="s">
        <v>17246</v>
      </c>
      <c r="G11903" s="17"/>
      <c r="H11903" s="17" t="s">
        <v>23950</v>
      </c>
      <c r="I11903" s="17" t="s">
        <v>23956</v>
      </c>
      <c r="J11903" s="17" t="s">
        <v>24017</v>
      </c>
      <c r="K11903" s="17"/>
      <c r="L11903" s="17" t="s">
        <v>24262</v>
      </c>
      <c r="M11903" s="17"/>
      <c r="N11903" s="17" t="s">
        <v>24897</v>
      </c>
      <c r="O11903" s="17" t="s">
        <v>46462</v>
      </c>
      <c r="P11903" s="17" t="s">
        <v>25009</v>
      </c>
      <c r="Q11903" s="17"/>
      <c r="R11903" s="25" t="str">
        <f>HYPERLINK("https://ictv.global/taxonomy/taxondetails?taxnode_id=202301589","Aquaparamyxovirus salmonis")</f>
        <v>Aquaparamyxovirus salmonis</v>
      </c>
      <c r="S11903" s="18" t="s">
        <v>30</v>
      </c>
      <c r="T11903" s="18" t="s">
        <v>25014</v>
      </c>
      <c r="U11903" s="18" t="s">
        <v>19527</v>
      </c>
      <c r="V11903" s="18" t="s">
        <v>25015</v>
      </c>
      <c r="W11903" s="18" t="s">
        <v>25016</v>
      </c>
      <c r="X11903" s="18" t="s">
        <v>42</v>
      </c>
      <c r="Y11903" s="18" t="s">
        <v>23964</v>
      </c>
      <c r="Z11903" s="18" t="s">
        <v>166</v>
      </c>
      <c r="AA11903" s="21" t="str">
        <f>HYPERLINK("https://www.ncbi.nlm.nih.gov/nuccore/EU156171","NCBI Nucleotide")</f>
        <v>NCBI Nucleotide</v>
      </c>
    </row>
    <row r="11904" spans="1:27" x14ac:dyDescent="0.35">
      <c r="A11904">
        <v>1010631</v>
      </c>
      <c r="B11904">
        <v>11195</v>
      </c>
      <c r="C11904">
        <v>1</v>
      </c>
      <c r="D11904" s="17" t="s">
        <v>17166</v>
      </c>
      <c r="E11904" s="17"/>
      <c r="F11904" s="17" t="s">
        <v>17246</v>
      </c>
      <c r="G11904" s="17"/>
      <c r="H11904" s="17" t="s">
        <v>23950</v>
      </c>
      <c r="I11904" s="17" t="s">
        <v>23956</v>
      </c>
      <c r="J11904" s="17" t="s">
        <v>24017</v>
      </c>
      <c r="K11904" s="17"/>
      <c r="L11904" s="17" t="s">
        <v>24262</v>
      </c>
      <c r="M11904" s="17"/>
      <c r="N11904" s="17" t="s">
        <v>24897</v>
      </c>
      <c r="O11904" s="17" t="s">
        <v>46462</v>
      </c>
      <c r="P11904" s="17" t="s">
        <v>25017</v>
      </c>
      <c r="Q11904" s="17"/>
      <c r="R11904" s="25" t="str">
        <f>HYPERLINK("https://ictv.global/taxonomy/taxondetails?taxnode_id=202301605","Ferlavirus reptilis")</f>
        <v>Ferlavirus reptilis</v>
      </c>
      <c r="S11904" s="18" t="s">
        <v>30</v>
      </c>
      <c r="T11904" s="18" t="s">
        <v>25018</v>
      </c>
      <c r="U11904" s="18" t="s">
        <v>25019</v>
      </c>
      <c r="V11904" s="18" t="s">
        <v>25020</v>
      </c>
      <c r="W11904" s="18" t="s">
        <v>25021</v>
      </c>
      <c r="X11904" s="18" t="s">
        <v>42</v>
      </c>
      <c r="Y11904" s="18" t="s">
        <v>23964</v>
      </c>
      <c r="Z11904" s="18" t="s">
        <v>166</v>
      </c>
      <c r="AA11904" s="21" t="str">
        <f>HYPERLINK("https://www.ncbi.nlm.nih.gov/nuccore/AY141760","NCBI Nucleotide")</f>
        <v>NCBI Nucleotide</v>
      </c>
    </row>
    <row r="11905" spans="1:27" x14ac:dyDescent="0.35">
      <c r="A11905">
        <v>1010663</v>
      </c>
      <c r="B11905">
        <v>11196</v>
      </c>
      <c r="C11905">
        <v>1</v>
      </c>
      <c r="D11905" s="17" t="s">
        <v>17166</v>
      </c>
      <c r="E11905" s="17"/>
      <c r="F11905" s="17" t="s">
        <v>17246</v>
      </c>
      <c r="G11905" s="17"/>
      <c r="H11905" s="17" t="s">
        <v>23950</v>
      </c>
      <c r="I11905" s="17" t="s">
        <v>23956</v>
      </c>
      <c r="J11905" s="17" t="s">
        <v>24017</v>
      </c>
      <c r="K11905" s="17"/>
      <c r="L11905" s="17" t="s">
        <v>24262</v>
      </c>
      <c r="M11905" s="17"/>
      <c r="N11905" s="17" t="s">
        <v>24897</v>
      </c>
      <c r="O11905" s="17" t="s">
        <v>46462</v>
      </c>
      <c r="P11905" s="17" t="s">
        <v>25131</v>
      </c>
      <c r="Q11905" s="17"/>
      <c r="R11905" s="25" t="str">
        <f>HYPERLINK("https://ictv.global/taxonomy/taxondetails?taxnode_id=202301621","Respirovirus bovis")</f>
        <v>Respirovirus bovis</v>
      </c>
      <c r="S11905" s="18" t="s">
        <v>30</v>
      </c>
      <c r="T11905" s="18" t="s">
        <v>25132</v>
      </c>
      <c r="U11905" s="18" t="s">
        <v>25133</v>
      </c>
      <c r="V11905" s="18" t="s">
        <v>25134</v>
      </c>
      <c r="W11905" s="18" t="s">
        <v>25135</v>
      </c>
      <c r="X11905" s="18" t="s">
        <v>42</v>
      </c>
      <c r="Y11905" s="18" t="s">
        <v>23964</v>
      </c>
      <c r="Z11905" s="18" t="s">
        <v>166</v>
      </c>
      <c r="AA11905" s="21" t="str">
        <f>HYPERLINK("https://www.ncbi.nlm.nih.gov/nuccore/AF178654","NCBI Nucleotide")</f>
        <v>NCBI Nucleotide</v>
      </c>
    </row>
    <row r="11906" spans="1:27" x14ac:dyDescent="0.35">
      <c r="A11906">
        <v>1010664</v>
      </c>
      <c r="B11906">
        <v>11197</v>
      </c>
      <c r="C11906">
        <v>1</v>
      </c>
      <c r="D11906" s="17" t="s">
        <v>17166</v>
      </c>
      <c r="E11906" s="17"/>
      <c r="F11906" s="17" t="s">
        <v>17246</v>
      </c>
      <c r="G11906" s="17"/>
      <c r="H11906" s="17" t="s">
        <v>23950</v>
      </c>
      <c r="I11906" s="17" t="s">
        <v>23956</v>
      </c>
      <c r="J11906" s="17" t="s">
        <v>24017</v>
      </c>
      <c r="K11906" s="17"/>
      <c r="L11906" s="17" t="s">
        <v>24262</v>
      </c>
      <c r="M11906" s="17"/>
      <c r="N11906" s="17" t="s">
        <v>24897</v>
      </c>
      <c r="O11906" s="17" t="s">
        <v>46462</v>
      </c>
      <c r="P11906" s="17" t="s">
        <v>25131</v>
      </c>
      <c r="Q11906" s="17"/>
      <c r="R11906" s="25" t="str">
        <f>HYPERLINK("https://ictv.global/taxonomy/taxondetails?taxnode_id=202306464","Respirovirus caprae")</f>
        <v>Respirovirus caprae</v>
      </c>
      <c r="S11906" s="18" t="s">
        <v>30</v>
      </c>
      <c r="T11906" s="18" t="s">
        <v>25136</v>
      </c>
      <c r="U11906" s="18" t="s">
        <v>25137</v>
      </c>
      <c r="V11906" s="18" t="s">
        <v>25138</v>
      </c>
      <c r="W11906" s="18" t="s">
        <v>25139</v>
      </c>
      <c r="X11906" s="18" t="s">
        <v>42</v>
      </c>
      <c r="Y11906" s="18" t="s">
        <v>23964</v>
      </c>
      <c r="Z11906" s="18" t="s">
        <v>166</v>
      </c>
      <c r="AA11906" s="21" t="str">
        <f>HYPERLINK("https://www.ncbi.nlm.nih.gov/nuccore/KT215610","NCBI Nucleotide")</f>
        <v>NCBI Nucleotide</v>
      </c>
    </row>
    <row r="11907" spans="1:27" x14ac:dyDescent="0.35">
      <c r="A11907">
        <v>1027736</v>
      </c>
      <c r="B11907">
        <v>11198</v>
      </c>
      <c r="C11907">
        <v>1</v>
      </c>
      <c r="D11907" s="17" t="s">
        <v>17166</v>
      </c>
      <c r="E11907" s="17"/>
      <c r="F11907" s="17" t="s">
        <v>17246</v>
      </c>
      <c r="G11907" s="17"/>
      <c r="H11907" s="17" t="s">
        <v>23950</v>
      </c>
      <c r="I11907" s="17" t="s">
        <v>23956</v>
      </c>
      <c r="J11907" s="17" t="s">
        <v>24017</v>
      </c>
      <c r="K11907" s="17"/>
      <c r="L11907" s="17" t="s">
        <v>24262</v>
      </c>
      <c r="M11907" s="17"/>
      <c r="N11907" s="17" t="s">
        <v>24897</v>
      </c>
      <c r="O11907" s="17" t="s">
        <v>46462</v>
      </c>
      <c r="P11907" s="17" t="s">
        <v>25131</v>
      </c>
      <c r="Q11907" s="17"/>
      <c r="R11907" s="25" t="str">
        <f>HYPERLINK("https://ictv.global/taxonomy/taxondetails?taxnode_id=202318312","Respirovirus henanense")</f>
        <v>Respirovirus henanense</v>
      </c>
      <c r="S11907" s="18" t="s">
        <v>30</v>
      </c>
      <c r="T11907" s="18" t="s">
        <v>46463</v>
      </c>
      <c r="U11907" s="18"/>
      <c r="V11907" s="18" t="s">
        <v>46464</v>
      </c>
      <c r="W11907" s="18" t="s">
        <v>48641</v>
      </c>
      <c r="X11907" s="18" t="s">
        <v>42</v>
      </c>
      <c r="Y11907" s="18" t="s">
        <v>23964</v>
      </c>
      <c r="Z11907" s="18" t="s">
        <v>166</v>
      </c>
      <c r="AA11907" s="21" t="str">
        <f>HYPERLINK("https://www.ncbi.nlm.nih.gov/nuccore/OK044775","NCBI Nucleotide")</f>
        <v>NCBI Nucleotide</v>
      </c>
    </row>
    <row r="11908" spans="1:27" x14ac:dyDescent="0.35">
      <c r="A11908">
        <v>1010665</v>
      </c>
      <c r="B11908">
        <v>11199</v>
      </c>
      <c r="C11908">
        <v>1</v>
      </c>
      <c r="D11908" s="17" t="s">
        <v>17166</v>
      </c>
      <c r="E11908" s="17"/>
      <c r="F11908" s="17" t="s">
        <v>17246</v>
      </c>
      <c r="G11908" s="17"/>
      <c r="H11908" s="17" t="s">
        <v>23950</v>
      </c>
      <c r="I11908" s="17" t="s">
        <v>23956</v>
      </c>
      <c r="J11908" s="17" t="s">
        <v>24017</v>
      </c>
      <c r="K11908" s="17"/>
      <c r="L11908" s="17" t="s">
        <v>24262</v>
      </c>
      <c r="M11908" s="17"/>
      <c r="N11908" s="17" t="s">
        <v>24897</v>
      </c>
      <c r="O11908" s="17" t="s">
        <v>46462</v>
      </c>
      <c r="P11908" s="17" t="s">
        <v>25131</v>
      </c>
      <c r="Q11908" s="17"/>
      <c r="R11908" s="25" t="str">
        <f>HYPERLINK("https://ictv.global/taxonomy/taxondetails?taxnode_id=202301622","Respirovirus laryngotracheitidis")</f>
        <v>Respirovirus laryngotracheitidis</v>
      </c>
      <c r="S11908" s="18" t="s">
        <v>30</v>
      </c>
      <c r="T11908" s="18" t="s">
        <v>25140</v>
      </c>
      <c r="U11908" s="18" t="s">
        <v>25141</v>
      </c>
      <c r="V11908" s="18" t="s">
        <v>25142</v>
      </c>
      <c r="W11908" s="18" t="s">
        <v>25143</v>
      </c>
      <c r="X11908" s="18" t="s">
        <v>42</v>
      </c>
      <c r="Y11908" s="18" t="s">
        <v>23964</v>
      </c>
      <c r="Z11908" s="18" t="s">
        <v>166</v>
      </c>
      <c r="AA11908" s="21" t="str">
        <f>HYPERLINK("https://www.ncbi.nlm.nih.gov/nuccore/AF457102","NCBI Nucleotide")</f>
        <v>NCBI Nucleotide</v>
      </c>
    </row>
    <row r="11909" spans="1:27" x14ac:dyDescent="0.35">
      <c r="A11909">
        <v>1010666</v>
      </c>
      <c r="B11909">
        <v>11200</v>
      </c>
      <c r="C11909">
        <v>1</v>
      </c>
      <c r="D11909" s="17" t="s">
        <v>17166</v>
      </c>
      <c r="E11909" s="17"/>
      <c r="F11909" s="17" t="s">
        <v>17246</v>
      </c>
      <c r="G11909" s="17"/>
      <c r="H11909" s="17" t="s">
        <v>23950</v>
      </c>
      <c r="I11909" s="17" t="s">
        <v>23956</v>
      </c>
      <c r="J11909" s="17" t="s">
        <v>24017</v>
      </c>
      <c r="K11909" s="17"/>
      <c r="L11909" s="17" t="s">
        <v>24262</v>
      </c>
      <c r="M11909" s="17"/>
      <c r="N11909" s="17" t="s">
        <v>24897</v>
      </c>
      <c r="O11909" s="17" t="s">
        <v>46462</v>
      </c>
      <c r="P11909" s="17" t="s">
        <v>25131</v>
      </c>
      <c r="Q11909" s="17"/>
      <c r="R11909" s="25" t="str">
        <f>HYPERLINK("https://ictv.global/taxonomy/taxondetails?taxnode_id=202301624","Respirovirus muris")</f>
        <v>Respirovirus muris</v>
      </c>
      <c r="S11909" s="18" t="s">
        <v>30</v>
      </c>
      <c r="T11909" s="18" t="s">
        <v>25144</v>
      </c>
      <c r="U11909" s="18" t="s">
        <v>25145</v>
      </c>
      <c r="V11909" s="18" t="s">
        <v>25146</v>
      </c>
      <c r="W11909" s="18" t="s">
        <v>25147</v>
      </c>
      <c r="X11909" s="18" t="s">
        <v>42</v>
      </c>
      <c r="Y11909" s="18" t="s">
        <v>23964</v>
      </c>
      <c r="Z11909" s="18" t="s">
        <v>166</v>
      </c>
      <c r="AA11909" s="21" t="str">
        <f>HYPERLINK("https://www.ncbi.nlm.nih.gov/nuccore/AB195968","NCBI Nucleotide")</f>
        <v>NCBI Nucleotide</v>
      </c>
    </row>
    <row r="11910" spans="1:27" x14ac:dyDescent="0.35">
      <c r="A11910">
        <v>1010667</v>
      </c>
      <c r="B11910">
        <v>11201</v>
      </c>
      <c r="C11910">
        <v>1</v>
      </c>
      <c r="D11910" s="17" t="s">
        <v>17166</v>
      </c>
      <c r="E11910" s="17"/>
      <c r="F11910" s="17" t="s">
        <v>17246</v>
      </c>
      <c r="G11910" s="17"/>
      <c r="H11910" s="17" t="s">
        <v>23950</v>
      </c>
      <c r="I11910" s="17" t="s">
        <v>23956</v>
      </c>
      <c r="J11910" s="17" t="s">
        <v>24017</v>
      </c>
      <c r="K11910" s="17"/>
      <c r="L11910" s="17" t="s">
        <v>24262</v>
      </c>
      <c r="M11910" s="17"/>
      <c r="N11910" s="17" t="s">
        <v>24897</v>
      </c>
      <c r="O11910" s="17" t="s">
        <v>46462</v>
      </c>
      <c r="P11910" s="17" t="s">
        <v>25131</v>
      </c>
      <c r="Q11910" s="17"/>
      <c r="R11910" s="25" t="str">
        <f>HYPERLINK("https://ictv.global/taxonomy/taxondetails?taxnode_id=202301623","Respirovirus pneumoniae")</f>
        <v>Respirovirus pneumoniae</v>
      </c>
      <c r="S11910" s="18" t="s">
        <v>30</v>
      </c>
      <c r="T11910" s="18" t="s">
        <v>25148</v>
      </c>
      <c r="U11910" s="18" t="s">
        <v>25149</v>
      </c>
      <c r="V11910" s="18" t="s">
        <v>25150</v>
      </c>
      <c r="W11910" s="18" t="s">
        <v>25151</v>
      </c>
      <c r="X11910" s="18" t="s">
        <v>42</v>
      </c>
      <c r="Y11910" s="18" t="s">
        <v>23964</v>
      </c>
      <c r="Z11910" s="18" t="s">
        <v>166</v>
      </c>
      <c r="AA11910" s="21" t="str">
        <f>HYPERLINK("https://www.ncbi.nlm.nih.gov/nuccore/EU326526","NCBI Nucleotide")</f>
        <v>NCBI Nucleotide</v>
      </c>
    </row>
    <row r="11911" spans="1:27" x14ac:dyDescent="0.35">
      <c r="A11911">
        <v>1010668</v>
      </c>
      <c r="B11911">
        <v>11202</v>
      </c>
      <c r="C11911">
        <v>1</v>
      </c>
      <c r="D11911" s="17" t="s">
        <v>17166</v>
      </c>
      <c r="E11911" s="17"/>
      <c r="F11911" s="17" t="s">
        <v>17246</v>
      </c>
      <c r="G11911" s="17"/>
      <c r="H11911" s="17" t="s">
        <v>23950</v>
      </c>
      <c r="I11911" s="17" t="s">
        <v>23956</v>
      </c>
      <c r="J11911" s="17" t="s">
        <v>24017</v>
      </c>
      <c r="K11911" s="17"/>
      <c r="L11911" s="17" t="s">
        <v>24262</v>
      </c>
      <c r="M11911" s="17"/>
      <c r="N11911" s="17" t="s">
        <v>24897</v>
      </c>
      <c r="O11911" s="17" t="s">
        <v>46462</v>
      </c>
      <c r="P11911" s="17" t="s">
        <v>25131</v>
      </c>
      <c r="Q11911" s="17"/>
      <c r="R11911" s="25" t="str">
        <f>HYPERLINK("https://ictv.global/taxonomy/taxondetails?taxnode_id=202307454","Respirovirus ratufae")</f>
        <v>Respirovirus ratufae</v>
      </c>
      <c r="S11911" s="18" t="s">
        <v>30</v>
      </c>
      <c r="T11911" s="18" t="s">
        <v>25152</v>
      </c>
      <c r="U11911" s="18" t="s">
        <v>25153</v>
      </c>
      <c r="V11911" s="18" t="s">
        <v>25154</v>
      </c>
      <c r="W11911" s="18" t="s">
        <v>25155</v>
      </c>
      <c r="X11911" s="18" t="s">
        <v>42</v>
      </c>
      <c r="Y11911" s="18" t="s">
        <v>23964</v>
      </c>
      <c r="Z11911" s="18" t="s">
        <v>166</v>
      </c>
      <c r="AA11911" s="21" t="str">
        <f>HYPERLINK("https://www.ncbi.nlm.nih.gov/nuccore/LS992584","NCBI Nucleotide")</f>
        <v>NCBI Nucleotide</v>
      </c>
    </row>
    <row r="11912" spans="1:27" x14ac:dyDescent="0.35">
      <c r="A11912">
        <v>1027737</v>
      </c>
      <c r="B11912">
        <v>11203</v>
      </c>
      <c r="C11912">
        <v>1</v>
      </c>
      <c r="D11912" s="17" t="s">
        <v>17166</v>
      </c>
      <c r="E11912" s="17"/>
      <c r="F11912" s="17" t="s">
        <v>17246</v>
      </c>
      <c r="G11912" s="17"/>
      <c r="H11912" s="17" t="s">
        <v>23950</v>
      </c>
      <c r="I11912" s="17" t="s">
        <v>23956</v>
      </c>
      <c r="J11912" s="17" t="s">
        <v>24017</v>
      </c>
      <c r="K11912" s="17"/>
      <c r="L11912" s="17" t="s">
        <v>24262</v>
      </c>
      <c r="M11912" s="17"/>
      <c r="N11912" s="17" t="s">
        <v>24897</v>
      </c>
      <c r="O11912" s="17" t="s">
        <v>46462</v>
      </c>
      <c r="P11912" s="17" t="s">
        <v>25131</v>
      </c>
      <c r="Q11912" s="17"/>
      <c r="R11912" s="25" t="str">
        <f>HYPERLINK("https://ictv.global/taxonomy/taxondetails?taxnode_id=202318311","Respirovirus rupicaprae")</f>
        <v>Respirovirus rupicaprae</v>
      </c>
      <c r="S11912" s="18" t="s">
        <v>30</v>
      </c>
      <c r="T11912" s="18" t="s">
        <v>46465</v>
      </c>
      <c r="U11912" s="18"/>
      <c r="V11912" s="18" t="s">
        <v>46466</v>
      </c>
      <c r="W11912" s="18" t="s">
        <v>48642</v>
      </c>
      <c r="X11912" s="18" t="s">
        <v>35</v>
      </c>
      <c r="Y11912" s="18" t="s">
        <v>23964</v>
      </c>
      <c r="Z11912" s="18" t="s">
        <v>166</v>
      </c>
      <c r="AA11912" s="21" t="str">
        <f>HYPERLINK("https://www.ncbi.nlm.nih.gov/nuccore/MT180123","NCBI Nucleotide")</f>
        <v>NCBI Nucleotide</v>
      </c>
    </row>
    <row r="11913" spans="1:27" x14ac:dyDescent="0.35">
      <c r="A11913">
        <v>1010669</v>
      </c>
      <c r="B11913">
        <v>11204</v>
      </c>
      <c r="C11913">
        <v>1</v>
      </c>
      <c r="D11913" s="17" t="s">
        <v>17166</v>
      </c>
      <c r="E11913" s="17"/>
      <c r="F11913" s="17" t="s">
        <v>17246</v>
      </c>
      <c r="G11913" s="17"/>
      <c r="H11913" s="17" t="s">
        <v>23950</v>
      </c>
      <c r="I11913" s="17" t="s">
        <v>23956</v>
      </c>
      <c r="J11913" s="17" t="s">
        <v>24017</v>
      </c>
      <c r="K11913" s="17"/>
      <c r="L11913" s="17" t="s">
        <v>24262</v>
      </c>
      <c r="M11913" s="17"/>
      <c r="N11913" s="17" t="s">
        <v>24897</v>
      </c>
      <c r="O11913" s="17" t="s">
        <v>46462</v>
      </c>
      <c r="P11913" s="17" t="s">
        <v>25131</v>
      </c>
      <c r="Q11913" s="17"/>
      <c r="R11913" s="25" t="str">
        <f>HYPERLINK("https://ictv.global/taxonomy/taxondetails?taxnode_id=202301625","Respirovirus suis")</f>
        <v>Respirovirus suis</v>
      </c>
      <c r="S11913" s="18" t="s">
        <v>30</v>
      </c>
      <c r="T11913" s="18" t="s">
        <v>25156</v>
      </c>
      <c r="U11913" s="18" t="s">
        <v>25157</v>
      </c>
      <c r="V11913" s="18" t="s">
        <v>25158</v>
      </c>
      <c r="W11913" s="18" t="s">
        <v>25159</v>
      </c>
      <c r="X11913" s="18" t="s">
        <v>42</v>
      </c>
      <c r="Y11913" s="18" t="s">
        <v>23964</v>
      </c>
      <c r="Z11913" s="18" t="s">
        <v>166</v>
      </c>
      <c r="AA11913" s="21" t="str">
        <f>HYPERLINK("https://www.ncbi.nlm.nih.gov/nuccore/JX857409","NCBI Nucleotide")</f>
        <v>NCBI Nucleotide</v>
      </c>
    </row>
    <row r="11914" spans="1:27" x14ac:dyDescent="0.35">
      <c r="A11914">
        <v>1010689</v>
      </c>
      <c r="B11914">
        <v>11205</v>
      </c>
      <c r="C11914">
        <v>1</v>
      </c>
      <c r="D11914" s="17" t="s">
        <v>17166</v>
      </c>
      <c r="E11914" s="17"/>
      <c r="F11914" s="17" t="s">
        <v>17246</v>
      </c>
      <c r="G11914" s="17"/>
      <c r="H11914" s="17" t="s">
        <v>23950</v>
      </c>
      <c r="I11914" s="17" t="s">
        <v>23956</v>
      </c>
      <c r="J11914" s="17" t="s">
        <v>24017</v>
      </c>
      <c r="K11914" s="17"/>
      <c r="L11914" s="17" t="s">
        <v>24262</v>
      </c>
      <c r="M11914" s="17"/>
      <c r="N11914" s="17" t="s">
        <v>24897</v>
      </c>
      <c r="O11914" s="17" t="s">
        <v>46467</v>
      </c>
      <c r="P11914" s="17" t="s">
        <v>24898</v>
      </c>
      <c r="Q11914" s="17"/>
      <c r="R11914" s="25" t="str">
        <f>HYPERLINK("https://ictv.global/taxonomy/taxondetails?taxnode_id=202306473","Cynoglossusvirus cynoglossi")</f>
        <v>Cynoglossusvirus cynoglossi</v>
      </c>
      <c r="S11914" s="18" t="s">
        <v>30</v>
      </c>
      <c r="T11914" s="18" t="s">
        <v>24899</v>
      </c>
      <c r="U11914" s="18" t="s">
        <v>24900</v>
      </c>
      <c r="V11914" s="18" t="s">
        <v>24901</v>
      </c>
      <c r="W11914" s="18" t="s">
        <v>24902</v>
      </c>
      <c r="X11914" s="18" t="s">
        <v>35</v>
      </c>
      <c r="Y11914" s="18" t="s">
        <v>23964</v>
      </c>
      <c r="Z11914" s="18" t="s">
        <v>166</v>
      </c>
      <c r="AA11914" s="21" t="str">
        <f>HYPERLINK("https://www.ncbi.nlm.nih.gov/nuccore/MG600059","NCBI Nucleotide")</f>
        <v>NCBI Nucleotide</v>
      </c>
    </row>
    <row r="11915" spans="1:27" x14ac:dyDescent="0.35">
      <c r="A11915">
        <v>1010690</v>
      </c>
      <c r="B11915">
        <v>11206</v>
      </c>
      <c r="C11915">
        <v>1</v>
      </c>
      <c r="D11915" s="17" t="s">
        <v>17166</v>
      </c>
      <c r="E11915" s="17"/>
      <c r="F11915" s="17" t="s">
        <v>17246</v>
      </c>
      <c r="G11915" s="17"/>
      <c r="H11915" s="17" t="s">
        <v>23950</v>
      </c>
      <c r="I11915" s="17" t="s">
        <v>23956</v>
      </c>
      <c r="J11915" s="17" t="s">
        <v>24017</v>
      </c>
      <c r="K11915" s="17"/>
      <c r="L11915" s="17" t="s">
        <v>24262</v>
      </c>
      <c r="M11915" s="17"/>
      <c r="N11915" s="17" t="s">
        <v>24897</v>
      </c>
      <c r="O11915" s="17" t="s">
        <v>46468</v>
      </c>
      <c r="P11915" s="17" t="s">
        <v>24903</v>
      </c>
      <c r="Q11915" s="17"/>
      <c r="R11915" s="25" t="str">
        <f>HYPERLINK("https://ictv.global/taxonomy/taxondetails?taxnode_id=202306474","Hoplichthysvirus hoplichthysis")</f>
        <v>Hoplichthysvirus hoplichthysis</v>
      </c>
      <c r="S11915" s="18" t="s">
        <v>30</v>
      </c>
      <c r="T11915" s="18" t="s">
        <v>24904</v>
      </c>
      <c r="U11915" s="18" t="s">
        <v>24905</v>
      </c>
      <c r="V11915" s="18" t="s">
        <v>24906</v>
      </c>
      <c r="W11915" s="18" t="s">
        <v>24907</v>
      </c>
      <c r="X11915" s="18" t="s">
        <v>35</v>
      </c>
      <c r="Y11915" s="18" t="s">
        <v>23964</v>
      </c>
      <c r="Z11915" s="18" t="s">
        <v>166</v>
      </c>
      <c r="AA11915" s="21" t="str">
        <f>HYPERLINK("https://www.ncbi.nlm.nih.gov/nuccore/MG600062","NCBI Nucleotide")</f>
        <v>NCBI Nucleotide</v>
      </c>
    </row>
    <row r="11916" spans="1:27" x14ac:dyDescent="0.35">
      <c r="A11916">
        <v>1027801</v>
      </c>
      <c r="B11916">
        <v>11207</v>
      </c>
      <c r="C11916">
        <v>1</v>
      </c>
      <c r="D11916" s="17" t="s">
        <v>17166</v>
      </c>
      <c r="E11916" s="17"/>
      <c r="F11916" s="17" t="s">
        <v>17246</v>
      </c>
      <c r="G11916" s="17"/>
      <c r="H11916" s="17" t="s">
        <v>23950</v>
      </c>
      <c r="I11916" s="17" t="s">
        <v>23956</v>
      </c>
      <c r="J11916" s="17" t="s">
        <v>24017</v>
      </c>
      <c r="K11916" s="17"/>
      <c r="L11916" s="17" t="s">
        <v>24262</v>
      </c>
      <c r="M11916" s="17"/>
      <c r="N11916" s="17" t="s">
        <v>24897</v>
      </c>
      <c r="O11916" s="17" t="s">
        <v>46469</v>
      </c>
      <c r="P11916" s="17" t="s">
        <v>46470</v>
      </c>
      <c r="Q11916" s="17"/>
      <c r="R11916" s="25" t="str">
        <f>HYPERLINK("https://ictv.global/taxonomy/taxondetails?taxnode_id=202318313","Hippocavirus hippocampi")</f>
        <v>Hippocavirus hippocampi</v>
      </c>
      <c r="S11916" s="18" t="s">
        <v>30</v>
      </c>
      <c r="T11916" s="18" t="s">
        <v>46471</v>
      </c>
      <c r="U11916" s="18"/>
      <c r="V11916" s="18" t="s">
        <v>46472</v>
      </c>
      <c r="W11916" s="18" t="s">
        <v>46473</v>
      </c>
      <c r="X11916" s="18" t="s">
        <v>35</v>
      </c>
      <c r="Y11916" s="18" t="s">
        <v>23964</v>
      </c>
      <c r="Z11916" s="18" t="s">
        <v>166</v>
      </c>
      <c r="AA11916" s="21" t="str">
        <f>HYPERLINK("https://www.ncbi.nlm.nih.gov/nuccore/OQ030201","NCBI Nucleotide")</f>
        <v>NCBI Nucleotide</v>
      </c>
    </row>
    <row r="11917" spans="1:27" x14ac:dyDescent="0.35">
      <c r="A11917">
        <v>1010628</v>
      </c>
      <c r="B11917">
        <v>11208</v>
      </c>
      <c r="C11917">
        <v>1</v>
      </c>
      <c r="D11917" s="17" t="s">
        <v>17166</v>
      </c>
      <c r="E11917" s="17"/>
      <c r="F11917" s="17" t="s">
        <v>17246</v>
      </c>
      <c r="G11917" s="17"/>
      <c r="H11917" s="17" t="s">
        <v>23950</v>
      </c>
      <c r="I11917" s="17" t="s">
        <v>23956</v>
      </c>
      <c r="J11917" s="17" t="s">
        <v>24017</v>
      </c>
      <c r="K11917" s="17"/>
      <c r="L11917" s="17" t="s">
        <v>24262</v>
      </c>
      <c r="M11917" s="17"/>
      <c r="N11917" s="17" t="s">
        <v>24897</v>
      </c>
      <c r="O11917" s="17" t="s">
        <v>25002</v>
      </c>
      <c r="P11917" s="17" t="s">
        <v>25003</v>
      </c>
      <c r="Q11917" s="17"/>
      <c r="R11917" s="25" t="str">
        <f>HYPERLINK("https://ictv.global/taxonomy/taxondetails?taxnode_id=202306472","Synodonvirus synodi")</f>
        <v>Synodonvirus synodi</v>
      </c>
      <c r="S11917" s="18" t="s">
        <v>30</v>
      </c>
      <c r="T11917" s="18" t="s">
        <v>25004</v>
      </c>
      <c r="U11917" s="18" t="s">
        <v>25005</v>
      </c>
      <c r="V11917" s="18" t="s">
        <v>25006</v>
      </c>
      <c r="W11917" s="18" t="s">
        <v>25007</v>
      </c>
      <c r="X11917" s="18" t="s">
        <v>35</v>
      </c>
      <c r="Y11917" s="18" t="s">
        <v>23964</v>
      </c>
      <c r="Z11917" s="18" t="s">
        <v>166</v>
      </c>
      <c r="AA11917" s="21" t="str">
        <f>HYPERLINK("https://www.ncbi.nlm.nih.gov/nuccore/MG600058","NCBI Nucleotide")</f>
        <v>NCBI Nucleotide</v>
      </c>
    </row>
    <row r="11918" spans="1:27" x14ac:dyDescent="0.35">
      <c r="A11918">
        <v>1027611</v>
      </c>
      <c r="B11918">
        <v>11209</v>
      </c>
      <c r="C11918">
        <v>1</v>
      </c>
      <c r="D11918" s="17" t="s">
        <v>17166</v>
      </c>
      <c r="E11918" s="17"/>
      <c r="F11918" s="17" t="s">
        <v>17246</v>
      </c>
      <c r="G11918" s="17"/>
      <c r="H11918" s="17" t="s">
        <v>23950</v>
      </c>
      <c r="I11918" s="17" t="s">
        <v>23956</v>
      </c>
      <c r="J11918" s="17" t="s">
        <v>24017</v>
      </c>
      <c r="K11918" s="17"/>
      <c r="L11918" s="17" t="s">
        <v>24262</v>
      </c>
      <c r="M11918" s="17"/>
      <c r="N11918" s="17" t="s">
        <v>24897</v>
      </c>
      <c r="O11918" s="17" t="s">
        <v>25008</v>
      </c>
      <c r="P11918" s="17" t="s">
        <v>46474</v>
      </c>
      <c r="Q11918" s="17"/>
      <c r="R11918" s="25" t="str">
        <f>HYPERLINK("https://ictv.global/taxonomy/taxondetails?taxnode_id=202318322","Bovinavirus bovis")</f>
        <v>Bovinavirus bovis</v>
      </c>
      <c r="S11918" s="18" t="s">
        <v>30</v>
      </c>
      <c r="T11918" s="18" t="s">
        <v>46475</v>
      </c>
      <c r="U11918" s="18"/>
      <c r="V11918" s="18" t="s">
        <v>46476</v>
      </c>
      <c r="W11918" s="18" t="s">
        <v>46477</v>
      </c>
      <c r="X11918" s="18" t="s">
        <v>35</v>
      </c>
      <c r="Y11918" s="18" t="s">
        <v>23964</v>
      </c>
      <c r="Z11918" s="18" t="s">
        <v>166</v>
      </c>
      <c r="AA11918" s="21" t="str">
        <f>HYPERLINK("https://www.ncbi.nlm.nih.gov/nuccore/ON861830","NCBI Nucleotide")</f>
        <v>NCBI Nucleotide</v>
      </c>
    </row>
    <row r="11919" spans="1:27" x14ac:dyDescent="0.35">
      <c r="A11919">
        <v>1027574</v>
      </c>
      <c r="B11919">
        <v>11210</v>
      </c>
      <c r="C11919">
        <v>1</v>
      </c>
      <c r="D11919" s="17" t="s">
        <v>17166</v>
      </c>
      <c r="E11919" s="17"/>
      <c r="F11919" s="17" t="s">
        <v>17246</v>
      </c>
      <c r="G11919" s="17"/>
      <c r="H11919" s="17" t="s">
        <v>23950</v>
      </c>
      <c r="I11919" s="17" t="s">
        <v>23956</v>
      </c>
      <c r="J11919" s="17" t="s">
        <v>24017</v>
      </c>
      <c r="K11919" s="17"/>
      <c r="L11919" s="17" t="s">
        <v>24262</v>
      </c>
      <c r="M11919" s="17"/>
      <c r="N11919" s="17" t="s">
        <v>24897</v>
      </c>
      <c r="O11919" s="17" t="s">
        <v>25008</v>
      </c>
      <c r="P11919" s="17" t="s">
        <v>25022</v>
      </c>
      <c r="Q11919" s="17"/>
      <c r="R11919" s="25" t="str">
        <f>HYPERLINK("https://ictv.global/taxonomy/taxondetails?taxnode_id=202318326","Henipavirus angavokelyense")</f>
        <v>Henipavirus angavokelyense</v>
      </c>
      <c r="S11919" s="18" t="s">
        <v>30</v>
      </c>
      <c r="T11919" s="18" t="s">
        <v>46478</v>
      </c>
      <c r="U11919" s="18"/>
      <c r="V11919" s="18"/>
      <c r="W11919" s="18" t="s">
        <v>48643</v>
      </c>
      <c r="X11919" s="18" t="s">
        <v>35</v>
      </c>
      <c r="Y11919" s="18" t="s">
        <v>23964</v>
      </c>
      <c r="Z11919" s="18" t="s">
        <v>166</v>
      </c>
      <c r="AA11919" s="21" t="str">
        <f>HYPERLINK("https://www.ncbi.nlm.nih.gov/nuccore/ON613535","NCBI Nucleotide")</f>
        <v>NCBI Nucleotide</v>
      </c>
    </row>
    <row r="11920" spans="1:27" x14ac:dyDescent="0.35">
      <c r="A11920">
        <v>1010632</v>
      </c>
      <c r="B11920">
        <v>11211</v>
      </c>
      <c r="C11920">
        <v>1</v>
      </c>
      <c r="D11920" s="17" t="s">
        <v>17166</v>
      </c>
      <c r="E11920" s="17"/>
      <c r="F11920" s="17" t="s">
        <v>17246</v>
      </c>
      <c r="G11920" s="17"/>
      <c r="H11920" s="17" t="s">
        <v>23950</v>
      </c>
      <c r="I11920" s="17" t="s">
        <v>23956</v>
      </c>
      <c r="J11920" s="17" t="s">
        <v>24017</v>
      </c>
      <c r="K11920" s="17"/>
      <c r="L11920" s="17" t="s">
        <v>24262</v>
      </c>
      <c r="M11920" s="17"/>
      <c r="N11920" s="17" t="s">
        <v>24897</v>
      </c>
      <c r="O11920" s="17" t="s">
        <v>25008</v>
      </c>
      <c r="P11920" s="17" t="s">
        <v>25022</v>
      </c>
      <c r="Q11920" s="17"/>
      <c r="R11920" s="25" t="str">
        <f>HYPERLINK("https://ictv.global/taxonomy/taxondetails?taxnode_id=202301607","Henipavirus cedarense")</f>
        <v>Henipavirus cedarense</v>
      </c>
      <c r="S11920" s="18" t="s">
        <v>30</v>
      </c>
      <c r="T11920" s="18" t="s">
        <v>25023</v>
      </c>
      <c r="U11920" s="18" t="s">
        <v>25024</v>
      </c>
      <c r="V11920" s="18" t="s">
        <v>25025</v>
      </c>
      <c r="W11920" s="18" t="s">
        <v>25026</v>
      </c>
      <c r="X11920" s="18" t="s">
        <v>42</v>
      </c>
      <c r="Y11920" s="18" t="s">
        <v>23964</v>
      </c>
      <c r="Z11920" s="18" t="s">
        <v>166</v>
      </c>
      <c r="AA11920" s="21" t="str">
        <f>HYPERLINK("https://www.ncbi.nlm.nih.gov/nuccore/JQ001776","NCBI Nucleotide")</f>
        <v>NCBI Nucleotide</v>
      </c>
    </row>
    <row r="11921" spans="1:27" x14ac:dyDescent="0.35">
      <c r="A11921">
        <v>1010633</v>
      </c>
      <c r="B11921">
        <v>11212</v>
      </c>
      <c r="C11921">
        <v>1</v>
      </c>
      <c r="D11921" s="17" t="s">
        <v>17166</v>
      </c>
      <c r="E11921" s="17"/>
      <c r="F11921" s="17" t="s">
        <v>17246</v>
      </c>
      <c r="G11921" s="17"/>
      <c r="H11921" s="17" t="s">
        <v>23950</v>
      </c>
      <c r="I11921" s="17" t="s">
        <v>23956</v>
      </c>
      <c r="J11921" s="17" t="s">
        <v>24017</v>
      </c>
      <c r="K11921" s="17"/>
      <c r="L11921" s="17" t="s">
        <v>24262</v>
      </c>
      <c r="M11921" s="17"/>
      <c r="N11921" s="17" t="s">
        <v>24897</v>
      </c>
      <c r="O11921" s="17" t="s">
        <v>25008</v>
      </c>
      <c r="P11921" s="17" t="s">
        <v>25022</v>
      </c>
      <c r="Q11921" s="17"/>
      <c r="R11921" s="25" t="str">
        <f>HYPERLINK("https://ictv.global/taxonomy/taxondetails?taxnode_id=202301608","Henipavirus ghanaense")</f>
        <v>Henipavirus ghanaense</v>
      </c>
      <c r="S11921" s="18" t="s">
        <v>30</v>
      </c>
      <c r="T11921" s="18" t="s">
        <v>25027</v>
      </c>
      <c r="U11921" s="18" t="s">
        <v>25028</v>
      </c>
      <c r="V11921" s="18" t="s">
        <v>25029</v>
      </c>
      <c r="W11921" s="18" t="s">
        <v>25030</v>
      </c>
      <c r="X11921" s="18" t="s">
        <v>42</v>
      </c>
      <c r="Y11921" s="18" t="s">
        <v>23964</v>
      </c>
      <c r="Z11921" s="18" t="s">
        <v>166</v>
      </c>
      <c r="AA11921" s="21" t="str">
        <f>HYPERLINK("https://www.ncbi.nlm.nih.gov/nuccore/HQ660129","NCBI Nucleotide")</f>
        <v>NCBI Nucleotide</v>
      </c>
    </row>
    <row r="11922" spans="1:27" x14ac:dyDescent="0.35">
      <c r="A11922">
        <v>1010634</v>
      </c>
      <c r="B11922">
        <v>11213</v>
      </c>
      <c r="C11922">
        <v>1</v>
      </c>
      <c r="D11922" s="17" t="s">
        <v>17166</v>
      </c>
      <c r="E11922" s="17"/>
      <c r="F11922" s="17" t="s">
        <v>17246</v>
      </c>
      <c r="G11922" s="17"/>
      <c r="H11922" s="17" t="s">
        <v>23950</v>
      </c>
      <c r="I11922" s="17" t="s">
        <v>23956</v>
      </c>
      <c r="J11922" s="17" t="s">
        <v>24017</v>
      </c>
      <c r="K11922" s="17"/>
      <c r="L11922" s="17" t="s">
        <v>24262</v>
      </c>
      <c r="M11922" s="17"/>
      <c r="N11922" s="17" t="s">
        <v>24897</v>
      </c>
      <c r="O11922" s="17" t="s">
        <v>25008</v>
      </c>
      <c r="P11922" s="17" t="s">
        <v>25022</v>
      </c>
      <c r="Q11922" s="17"/>
      <c r="R11922" s="25" t="str">
        <f>HYPERLINK("https://ictv.global/taxonomy/taxondetails?taxnode_id=202301609","Henipavirus hendraense")</f>
        <v>Henipavirus hendraense</v>
      </c>
      <c r="S11922" s="18" t="s">
        <v>30</v>
      </c>
      <c r="T11922" s="18" t="s">
        <v>25031</v>
      </c>
      <c r="U11922" s="18" t="s">
        <v>25032</v>
      </c>
      <c r="V11922" s="18" t="s">
        <v>25033</v>
      </c>
      <c r="W11922" s="18" t="s">
        <v>25034</v>
      </c>
      <c r="X11922" s="18" t="s">
        <v>42</v>
      </c>
      <c r="Y11922" s="18" t="s">
        <v>23964</v>
      </c>
      <c r="Z11922" s="18" t="s">
        <v>166</v>
      </c>
      <c r="AA11922" s="21" t="str">
        <f>HYPERLINK("https://www.ncbi.nlm.nih.gov/nuccore/AF017149","NCBI Nucleotide")</f>
        <v>NCBI Nucleotide</v>
      </c>
    </row>
    <row r="11923" spans="1:27" x14ac:dyDescent="0.35">
      <c r="A11923">
        <v>1010636</v>
      </c>
      <c r="B11923">
        <v>11214</v>
      </c>
      <c r="C11923">
        <v>1</v>
      </c>
      <c r="D11923" s="17" t="s">
        <v>17166</v>
      </c>
      <c r="E11923" s="17"/>
      <c r="F11923" s="17" t="s">
        <v>17246</v>
      </c>
      <c r="G11923" s="17"/>
      <c r="H11923" s="17" t="s">
        <v>23950</v>
      </c>
      <c r="I11923" s="17" t="s">
        <v>23956</v>
      </c>
      <c r="J11923" s="17" t="s">
        <v>24017</v>
      </c>
      <c r="K11923" s="17"/>
      <c r="L11923" s="17" t="s">
        <v>24262</v>
      </c>
      <c r="M11923" s="17"/>
      <c r="N11923" s="17" t="s">
        <v>24897</v>
      </c>
      <c r="O11923" s="17" t="s">
        <v>25008</v>
      </c>
      <c r="P11923" s="17" t="s">
        <v>25022</v>
      </c>
      <c r="Q11923" s="17"/>
      <c r="R11923" s="25" t="str">
        <f>HYPERLINK("https://ictv.global/taxonomy/taxondetails?taxnode_id=202301611","Henipavirus nipahense")</f>
        <v>Henipavirus nipahense</v>
      </c>
      <c r="S11923" s="18" t="s">
        <v>30</v>
      </c>
      <c r="T11923" s="18" t="s">
        <v>25039</v>
      </c>
      <c r="U11923" s="18" t="s">
        <v>25040</v>
      </c>
      <c r="V11923" s="18">
        <v>2001</v>
      </c>
      <c r="W11923" s="18" t="s">
        <v>25041</v>
      </c>
      <c r="X11923" s="18" t="s">
        <v>42</v>
      </c>
      <c r="Y11923" s="18" t="s">
        <v>23964</v>
      </c>
      <c r="Z11923" s="18" t="s">
        <v>166</v>
      </c>
      <c r="AA11923" s="21" t="str">
        <f>HYPERLINK("https://www.ncbi.nlm.nih.gov/nuccore/AF212302","NCBI Nucleotide")</f>
        <v>NCBI Nucleotide</v>
      </c>
    </row>
    <row r="11924" spans="1:27" x14ac:dyDescent="0.35">
      <c r="A11924">
        <v>1010638</v>
      </c>
      <c r="B11924">
        <v>11215</v>
      </c>
      <c r="C11924">
        <v>1</v>
      </c>
      <c r="D11924" s="17" t="s">
        <v>17166</v>
      </c>
      <c r="E11924" s="17"/>
      <c r="F11924" s="17" t="s">
        <v>17246</v>
      </c>
      <c r="G11924" s="17"/>
      <c r="H11924" s="17" t="s">
        <v>23950</v>
      </c>
      <c r="I11924" s="17" t="s">
        <v>23956</v>
      </c>
      <c r="J11924" s="17" t="s">
        <v>24017</v>
      </c>
      <c r="K11924" s="17"/>
      <c r="L11924" s="17" t="s">
        <v>24262</v>
      </c>
      <c r="M11924" s="17"/>
      <c r="N11924" s="17" t="s">
        <v>24897</v>
      </c>
      <c r="O11924" s="17" t="s">
        <v>25008</v>
      </c>
      <c r="P11924" s="17" t="s">
        <v>25042</v>
      </c>
      <c r="Q11924" s="17"/>
      <c r="R11924" s="25" t="str">
        <f>HYPERLINK("https://ictv.global/taxonomy/taxondetails?taxnode_id=202313346","Jeilongvirus apodemi")</f>
        <v>Jeilongvirus apodemi</v>
      </c>
      <c r="S11924" s="18" t="s">
        <v>30</v>
      </c>
      <c r="T11924" s="18" t="s">
        <v>25043</v>
      </c>
      <c r="U11924" s="18" t="s">
        <v>25044</v>
      </c>
      <c r="V11924" s="18" t="s">
        <v>25045</v>
      </c>
      <c r="W11924" s="18" t="s">
        <v>25046</v>
      </c>
      <c r="X11924" s="18" t="s">
        <v>42</v>
      </c>
      <c r="Y11924" s="18" t="s">
        <v>23964</v>
      </c>
      <c r="Z11924" s="18" t="s">
        <v>166</v>
      </c>
      <c r="AA11924" s="21" t="str">
        <f>HYPERLINK("https://www.ncbi.nlm.nih.gov/nuccore/KY370098","NCBI Nucleotide")</f>
        <v>NCBI Nucleotide</v>
      </c>
    </row>
    <row r="11925" spans="1:27" x14ac:dyDescent="0.35">
      <c r="A11925">
        <v>1010639</v>
      </c>
      <c r="B11925">
        <v>11216</v>
      </c>
      <c r="C11925">
        <v>1</v>
      </c>
      <c r="D11925" s="17" t="s">
        <v>17166</v>
      </c>
      <c r="E11925" s="17"/>
      <c r="F11925" s="17" t="s">
        <v>17246</v>
      </c>
      <c r="G11925" s="17"/>
      <c r="H11925" s="17" t="s">
        <v>23950</v>
      </c>
      <c r="I11925" s="17" t="s">
        <v>23956</v>
      </c>
      <c r="J11925" s="17" t="s">
        <v>24017</v>
      </c>
      <c r="K11925" s="17"/>
      <c r="L11925" s="17" t="s">
        <v>24262</v>
      </c>
      <c r="M11925" s="17"/>
      <c r="N11925" s="17" t="s">
        <v>24897</v>
      </c>
      <c r="O11925" s="17" t="s">
        <v>25008</v>
      </c>
      <c r="P11925" s="17" t="s">
        <v>25042</v>
      </c>
      <c r="Q11925" s="17"/>
      <c r="R11925" s="25" t="str">
        <f>HYPERLINK("https://ictv.global/taxonomy/taxondetails?taxnode_id=202306453","Jeilongvirus beilongi")</f>
        <v>Jeilongvirus beilongi</v>
      </c>
      <c r="S11925" s="18" t="s">
        <v>30</v>
      </c>
      <c r="T11925" s="18" t="s">
        <v>25047</v>
      </c>
      <c r="U11925" s="18" t="s">
        <v>25048</v>
      </c>
      <c r="V11925" s="18"/>
      <c r="W11925" s="18" t="s">
        <v>25049</v>
      </c>
      <c r="X11925" s="18" t="s">
        <v>42</v>
      </c>
      <c r="Y11925" s="18" t="s">
        <v>23964</v>
      </c>
      <c r="Z11925" s="18" t="s">
        <v>166</v>
      </c>
      <c r="AA11925" s="21" t="str">
        <f>HYPERLINK("https://www.ncbi.nlm.nih.gov/nuccore/DQ100461","NCBI Nucleotide")</f>
        <v>NCBI Nucleotide</v>
      </c>
    </row>
    <row r="11926" spans="1:27" x14ac:dyDescent="0.35">
      <c r="A11926">
        <v>1027777</v>
      </c>
      <c r="B11926">
        <v>11217</v>
      </c>
      <c r="C11926">
        <v>1</v>
      </c>
      <c r="D11926" s="17" t="s">
        <v>17166</v>
      </c>
      <c r="E11926" s="17"/>
      <c r="F11926" s="17" t="s">
        <v>17246</v>
      </c>
      <c r="G11926" s="17"/>
      <c r="H11926" s="17" t="s">
        <v>23950</v>
      </c>
      <c r="I11926" s="17" t="s">
        <v>23956</v>
      </c>
      <c r="J11926" s="17" t="s">
        <v>24017</v>
      </c>
      <c r="K11926" s="17"/>
      <c r="L11926" s="17" t="s">
        <v>24262</v>
      </c>
      <c r="M11926" s="17"/>
      <c r="N11926" s="17" t="s">
        <v>24897</v>
      </c>
      <c r="O11926" s="17" t="s">
        <v>25008</v>
      </c>
      <c r="P11926" s="17" t="s">
        <v>25042</v>
      </c>
      <c r="Q11926" s="17"/>
      <c r="R11926" s="25" t="str">
        <f>HYPERLINK("https://ictv.global/taxonomy/taxondetails?taxnode_id=202318354","Jeilongvirus chaetodipodis")</f>
        <v>Jeilongvirus chaetodipodis</v>
      </c>
      <c r="S11926" s="18" t="s">
        <v>30</v>
      </c>
      <c r="T11926" s="18" t="s">
        <v>46479</v>
      </c>
      <c r="U11926" s="18"/>
      <c r="V11926" s="18" t="s">
        <v>46480</v>
      </c>
      <c r="W11926" s="18" t="s">
        <v>48644</v>
      </c>
      <c r="X11926" s="18" t="s">
        <v>35</v>
      </c>
      <c r="Y11926" s="18" t="s">
        <v>23964</v>
      </c>
      <c r="Z11926" s="18" t="s">
        <v>166</v>
      </c>
      <c r="AA11926" s="21" t="str">
        <f>HYPERLINK("https://www.ncbi.nlm.nih.gov/nuccore/OK210078","NCBI Nucleotide")</f>
        <v>NCBI Nucleotide</v>
      </c>
    </row>
    <row r="11927" spans="1:27" x14ac:dyDescent="0.35">
      <c r="A11927">
        <v>1027778</v>
      </c>
      <c r="B11927">
        <v>11218</v>
      </c>
      <c r="C11927">
        <v>1</v>
      </c>
      <c r="D11927" s="17" t="s">
        <v>17166</v>
      </c>
      <c r="E11927" s="17"/>
      <c r="F11927" s="17" t="s">
        <v>17246</v>
      </c>
      <c r="G11927" s="17"/>
      <c r="H11927" s="17" t="s">
        <v>23950</v>
      </c>
      <c r="I11927" s="17" t="s">
        <v>23956</v>
      </c>
      <c r="J11927" s="17" t="s">
        <v>24017</v>
      </c>
      <c r="K11927" s="17"/>
      <c r="L11927" s="17" t="s">
        <v>24262</v>
      </c>
      <c r="M11927" s="17"/>
      <c r="N11927" s="17" t="s">
        <v>24897</v>
      </c>
      <c r="O11927" s="17" t="s">
        <v>25008</v>
      </c>
      <c r="P11927" s="17" t="s">
        <v>25042</v>
      </c>
      <c r="Q11927" s="17"/>
      <c r="R11927" s="25" t="str">
        <f>HYPERLINK("https://ictv.global/taxonomy/taxondetails?taxnode_id=202318362","Jeilongvirus eothenomysis")</f>
        <v>Jeilongvirus eothenomysis</v>
      </c>
      <c r="S11927" s="18" t="s">
        <v>30</v>
      </c>
      <c r="T11927" s="18" t="s">
        <v>46481</v>
      </c>
      <c r="U11927" s="18"/>
      <c r="V11927" s="18" t="s">
        <v>46482</v>
      </c>
      <c r="W11927" s="18" t="s">
        <v>48645</v>
      </c>
      <c r="X11927" s="18" t="s">
        <v>35</v>
      </c>
      <c r="Y11927" s="18" t="s">
        <v>23964</v>
      </c>
      <c r="Z11927" s="18" t="s">
        <v>166</v>
      </c>
      <c r="AA11927" s="21" t="str">
        <f>HYPERLINK("https://www.ncbi.nlm.nih.gov/nuccore/OM030330","NCBI Nucleotide")</f>
        <v>NCBI Nucleotide</v>
      </c>
    </row>
    <row r="11928" spans="1:27" x14ac:dyDescent="0.35">
      <c r="A11928">
        <v>1027779</v>
      </c>
      <c r="B11928">
        <v>11219</v>
      </c>
      <c r="C11928">
        <v>1</v>
      </c>
      <c r="D11928" s="17" t="s">
        <v>17166</v>
      </c>
      <c r="E11928" s="17"/>
      <c r="F11928" s="17" t="s">
        <v>17246</v>
      </c>
      <c r="G11928" s="17"/>
      <c r="H11928" s="17" t="s">
        <v>23950</v>
      </c>
      <c r="I11928" s="17" t="s">
        <v>23956</v>
      </c>
      <c r="J11928" s="17" t="s">
        <v>24017</v>
      </c>
      <c r="K11928" s="17"/>
      <c r="L11928" s="17" t="s">
        <v>24262</v>
      </c>
      <c r="M11928" s="17"/>
      <c r="N11928" s="17" t="s">
        <v>24897</v>
      </c>
      <c r="O11928" s="17" t="s">
        <v>25008</v>
      </c>
      <c r="P11928" s="17" t="s">
        <v>25042</v>
      </c>
      <c r="Q11928" s="17"/>
      <c r="R11928" s="25" t="str">
        <f>HYPERLINK("https://ictv.global/taxonomy/taxondetails?taxnode_id=202318359","Jeilongvirus gueckedouense")</f>
        <v>Jeilongvirus gueckedouense</v>
      </c>
      <c r="S11928" s="18" t="s">
        <v>30</v>
      </c>
      <c r="T11928" s="18" t="s">
        <v>46483</v>
      </c>
      <c r="U11928" s="18" t="s">
        <v>46484</v>
      </c>
      <c r="V11928" s="18" t="s">
        <v>46485</v>
      </c>
      <c r="W11928" s="18" t="s">
        <v>48646</v>
      </c>
      <c r="X11928" s="18" t="s">
        <v>42</v>
      </c>
      <c r="Y11928" s="18" t="s">
        <v>23964</v>
      </c>
      <c r="Z11928" s="18" t="s">
        <v>166</v>
      </c>
      <c r="AA11928" s="21" t="str">
        <f>HYPERLINK("https://www.ncbi.nlm.nih.gov/nuccore/OK623363","NCBI Nucleotide")</f>
        <v>NCBI Nucleotide</v>
      </c>
    </row>
    <row r="11929" spans="1:27" x14ac:dyDescent="0.35">
      <c r="A11929">
        <v>1027780</v>
      </c>
      <c r="B11929">
        <v>11220</v>
      </c>
      <c r="C11929">
        <v>1</v>
      </c>
      <c r="D11929" s="17" t="s">
        <v>17166</v>
      </c>
      <c r="E11929" s="17"/>
      <c r="F11929" s="17" t="s">
        <v>17246</v>
      </c>
      <c r="G11929" s="17"/>
      <c r="H11929" s="17" t="s">
        <v>23950</v>
      </c>
      <c r="I11929" s="17" t="s">
        <v>23956</v>
      </c>
      <c r="J11929" s="17" t="s">
        <v>24017</v>
      </c>
      <c r="K11929" s="17"/>
      <c r="L11929" s="17" t="s">
        <v>24262</v>
      </c>
      <c r="M11929" s="17"/>
      <c r="N11929" s="17" t="s">
        <v>24897</v>
      </c>
      <c r="O11929" s="17" t="s">
        <v>25008</v>
      </c>
      <c r="P11929" s="17" t="s">
        <v>25042</v>
      </c>
      <c r="Q11929" s="17"/>
      <c r="R11929" s="25" t="str">
        <f>HYPERLINK("https://ictv.global/taxonomy/taxondetails?taxnode_id=202318350","Jeilongvirus lishuiense")</f>
        <v>Jeilongvirus lishuiense</v>
      </c>
      <c r="S11929" s="18" t="s">
        <v>30</v>
      </c>
      <c r="T11929" s="18" t="s">
        <v>46486</v>
      </c>
      <c r="U11929" s="18"/>
      <c r="V11929" s="18"/>
      <c r="W11929" s="18" t="s">
        <v>48647</v>
      </c>
      <c r="X11929" s="18" t="s">
        <v>35</v>
      </c>
      <c r="Y11929" s="18" t="s">
        <v>23964</v>
      </c>
      <c r="Z11929" s="18" t="s">
        <v>166</v>
      </c>
      <c r="AA11929" s="21" t="str">
        <f>HYPERLINK("https://www.ncbi.nlm.nih.gov/nuccore/MZ328280","NCBI Nucleotide")</f>
        <v>NCBI Nucleotide</v>
      </c>
    </row>
    <row r="11930" spans="1:27" x14ac:dyDescent="0.35">
      <c r="A11930">
        <v>1027781</v>
      </c>
      <c r="B11930">
        <v>11221</v>
      </c>
      <c r="C11930">
        <v>1</v>
      </c>
      <c r="D11930" s="17" t="s">
        <v>17166</v>
      </c>
      <c r="E11930" s="17"/>
      <c r="F11930" s="17" t="s">
        <v>17246</v>
      </c>
      <c r="G11930" s="17"/>
      <c r="H11930" s="17" t="s">
        <v>23950</v>
      </c>
      <c r="I11930" s="17" t="s">
        <v>23956</v>
      </c>
      <c r="J11930" s="17" t="s">
        <v>24017</v>
      </c>
      <c r="K11930" s="17"/>
      <c r="L11930" s="17" t="s">
        <v>24262</v>
      </c>
      <c r="M11930" s="17"/>
      <c r="N11930" s="17" t="s">
        <v>24897</v>
      </c>
      <c r="O11930" s="17" t="s">
        <v>25008</v>
      </c>
      <c r="P11930" s="17" t="s">
        <v>25042</v>
      </c>
      <c r="Q11930" s="17"/>
      <c r="R11930" s="25" t="str">
        <f>HYPERLINK("https://ictv.global/taxonomy/taxondetails?taxnode_id=202318349","Jeilongvirus longquanense")</f>
        <v>Jeilongvirus longquanense</v>
      </c>
      <c r="S11930" s="18" t="s">
        <v>30</v>
      </c>
      <c r="T11930" s="18" t="s">
        <v>46487</v>
      </c>
      <c r="U11930" s="18"/>
      <c r="V11930" s="18"/>
      <c r="W11930" s="18" t="s">
        <v>48648</v>
      </c>
      <c r="X11930" s="18" t="s">
        <v>35</v>
      </c>
      <c r="Y11930" s="18" t="s">
        <v>23964</v>
      </c>
      <c r="Z11930" s="18" t="s">
        <v>166</v>
      </c>
      <c r="AA11930" s="21" t="str">
        <f>HYPERLINK("https://www.ncbi.nlm.nih.gov/nuccore/MZ328279","NCBI Nucleotide")</f>
        <v>NCBI Nucleotide</v>
      </c>
    </row>
    <row r="11931" spans="1:27" x14ac:dyDescent="0.35">
      <c r="A11931">
        <v>1010643</v>
      </c>
      <c r="B11931">
        <v>11222</v>
      </c>
      <c r="C11931">
        <v>1</v>
      </c>
      <c r="D11931" s="17" t="s">
        <v>17166</v>
      </c>
      <c r="E11931" s="17"/>
      <c r="F11931" s="17" t="s">
        <v>17246</v>
      </c>
      <c r="G11931" s="17"/>
      <c r="H11931" s="17" t="s">
        <v>23950</v>
      </c>
      <c r="I11931" s="17" t="s">
        <v>23956</v>
      </c>
      <c r="J11931" s="17" t="s">
        <v>24017</v>
      </c>
      <c r="K11931" s="17"/>
      <c r="L11931" s="17" t="s">
        <v>24262</v>
      </c>
      <c r="M11931" s="17"/>
      <c r="N11931" s="17" t="s">
        <v>24897</v>
      </c>
      <c r="O11931" s="17" t="s">
        <v>25008</v>
      </c>
      <c r="P11931" s="17" t="s">
        <v>25042</v>
      </c>
      <c r="Q11931" s="17"/>
      <c r="R11931" s="25" t="str">
        <f>HYPERLINK("https://ictv.global/taxonomy/taxondetails?taxnode_id=202306455","Jeilongvirus lophuromysis")</f>
        <v>Jeilongvirus lophuromysis</v>
      </c>
      <c r="S11931" s="18" t="s">
        <v>30</v>
      </c>
      <c r="T11931" s="18" t="s">
        <v>25058</v>
      </c>
      <c r="U11931" s="18" t="s">
        <v>25059</v>
      </c>
      <c r="V11931" s="18" t="s">
        <v>25060</v>
      </c>
      <c r="W11931" s="18" t="s">
        <v>25061</v>
      </c>
      <c r="X11931" s="18" t="s">
        <v>42</v>
      </c>
      <c r="Y11931" s="18" t="s">
        <v>23964</v>
      </c>
      <c r="Z11931" s="18" t="s">
        <v>166</v>
      </c>
      <c r="AA11931" s="21" t="str">
        <f>HYPERLINK("https://www.ncbi.nlm.nih.gov/nuccore/MG573140","NCBI Nucleotide")</f>
        <v>NCBI Nucleotide</v>
      </c>
    </row>
    <row r="11932" spans="1:27" x14ac:dyDescent="0.35">
      <c r="A11932">
        <v>1010644</v>
      </c>
      <c r="B11932">
        <v>11223</v>
      </c>
      <c r="C11932">
        <v>1</v>
      </c>
      <c r="D11932" s="17" t="s">
        <v>17166</v>
      </c>
      <c r="E11932" s="17"/>
      <c r="F11932" s="17" t="s">
        <v>17246</v>
      </c>
      <c r="G11932" s="17"/>
      <c r="H11932" s="17" t="s">
        <v>23950</v>
      </c>
      <c r="I11932" s="17" t="s">
        <v>23956</v>
      </c>
      <c r="J11932" s="17" t="s">
        <v>24017</v>
      </c>
      <c r="K11932" s="17"/>
      <c r="L11932" s="17" t="s">
        <v>24262</v>
      </c>
      <c r="M11932" s="17"/>
      <c r="N11932" s="17" t="s">
        <v>24897</v>
      </c>
      <c r="O11932" s="17" t="s">
        <v>25008</v>
      </c>
      <c r="P11932" s="17" t="s">
        <v>25042</v>
      </c>
      <c r="Q11932" s="17"/>
      <c r="R11932" s="25" t="str">
        <f>HYPERLINK("https://ictv.global/taxonomy/taxondetails?taxnode_id=202306456","Jeilongvirus mabuense")</f>
        <v>Jeilongvirus mabuense</v>
      </c>
      <c r="S11932" s="18" t="s">
        <v>30</v>
      </c>
      <c r="T11932" s="18" t="s">
        <v>25062</v>
      </c>
      <c r="U11932" s="18" t="s">
        <v>25063</v>
      </c>
      <c r="V11932" s="18" t="s">
        <v>25064</v>
      </c>
      <c r="W11932" s="18" t="s">
        <v>25065</v>
      </c>
      <c r="X11932" s="18" t="s">
        <v>42</v>
      </c>
      <c r="Y11932" s="18" t="s">
        <v>23964</v>
      </c>
      <c r="Z11932" s="18" t="s">
        <v>166</v>
      </c>
      <c r="AA11932" s="21" t="str">
        <f>HYPERLINK("https://www.ncbi.nlm.nih.gov/nuccore/MG573141","NCBI Nucleotide")</f>
        <v>NCBI Nucleotide</v>
      </c>
    </row>
    <row r="11933" spans="1:27" x14ac:dyDescent="0.35">
      <c r="A11933">
        <v>1027782</v>
      </c>
      <c r="B11933">
        <v>11224</v>
      </c>
      <c r="C11933">
        <v>1</v>
      </c>
      <c r="D11933" s="17" t="s">
        <v>17166</v>
      </c>
      <c r="E11933" s="17"/>
      <c r="F11933" s="17" t="s">
        <v>17246</v>
      </c>
      <c r="G11933" s="17"/>
      <c r="H11933" s="17" t="s">
        <v>23950</v>
      </c>
      <c r="I11933" s="17" t="s">
        <v>23956</v>
      </c>
      <c r="J11933" s="17" t="s">
        <v>24017</v>
      </c>
      <c r="K11933" s="17"/>
      <c r="L11933" s="17" t="s">
        <v>24262</v>
      </c>
      <c r="M11933" s="17"/>
      <c r="N11933" s="17" t="s">
        <v>24897</v>
      </c>
      <c r="O11933" s="17" t="s">
        <v>25008</v>
      </c>
      <c r="P11933" s="17" t="s">
        <v>25042</v>
      </c>
      <c r="Q11933" s="17"/>
      <c r="R11933" s="25" t="str">
        <f>HYPERLINK("https://ictv.global/taxonomy/taxondetails?taxnode_id=202318353","Jeilongvirus mastomysis")</f>
        <v>Jeilongvirus mastomysis</v>
      </c>
      <c r="S11933" s="18" t="s">
        <v>30</v>
      </c>
      <c r="T11933" s="18" t="s">
        <v>46488</v>
      </c>
      <c r="U11933" s="18" t="s">
        <v>46489</v>
      </c>
      <c r="V11933" s="18" t="s">
        <v>46490</v>
      </c>
      <c r="W11933" s="18" t="s">
        <v>46491</v>
      </c>
      <c r="X11933" s="18" t="s">
        <v>42</v>
      </c>
      <c r="Y11933" s="18" t="s">
        <v>23964</v>
      </c>
      <c r="Z11933" s="18" t="s">
        <v>166</v>
      </c>
      <c r="AA11933" s="21" t="str">
        <f>HYPERLINK("https://www.ncbi.nlm.nih.gov/nuccore/OQ438287","NCBI Nucleotide")</f>
        <v>NCBI Nucleotide</v>
      </c>
    </row>
    <row r="11934" spans="1:27" x14ac:dyDescent="0.35">
      <c r="A11934">
        <v>1027783</v>
      </c>
      <c r="B11934">
        <v>11225</v>
      </c>
      <c r="C11934">
        <v>1</v>
      </c>
      <c r="D11934" s="17" t="s">
        <v>17166</v>
      </c>
      <c r="E11934" s="17"/>
      <c r="F11934" s="17" t="s">
        <v>17246</v>
      </c>
      <c r="G11934" s="17"/>
      <c r="H11934" s="17" t="s">
        <v>23950</v>
      </c>
      <c r="I11934" s="17" t="s">
        <v>23956</v>
      </c>
      <c r="J11934" s="17" t="s">
        <v>24017</v>
      </c>
      <c r="K11934" s="17"/>
      <c r="L11934" s="17" t="s">
        <v>24262</v>
      </c>
      <c r="M11934" s="17"/>
      <c r="N11934" s="17" t="s">
        <v>24897</v>
      </c>
      <c r="O11934" s="17" t="s">
        <v>25008</v>
      </c>
      <c r="P11934" s="17" t="s">
        <v>25042</v>
      </c>
      <c r="Q11934" s="17"/>
      <c r="R11934" s="25" t="str">
        <f>HYPERLINK("https://ictv.global/taxonomy/taxondetails?taxnode_id=202318360","Jeilongvirus meliandouense")</f>
        <v>Jeilongvirus meliandouense</v>
      </c>
      <c r="S11934" s="18" t="s">
        <v>30</v>
      </c>
      <c r="T11934" s="18" t="s">
        <v>46492</v>
      </c>
      <c r="U11934" s="18" t="s">
        <v>46493</v>
      </c>
      <c r="V11934" s="18" t="s">
        <v>46494</v>
      </c>
      <c r="W11934" s="18" t="s">
        <v>48649</v>
      </c>
      <c r="X11934" s="18" t="s">
        <v>42</v>
      </c>
      <c r="Y11934" s="18" t="s">
        <v>23964</v>
      </c>
      <c r="Z11934" s="18" t="s">
        <v>166</v>
      </c>
      <c r="AA11934" s="21" t="str">
        <f>HYPERLINK("https://www.ncbi.nlm.nih.gov/nuccore/OK623364","NCBI Nucleotide")</f>
        <v>NCBI Nucleotide</v>
      </c>
    </row>
    <row r="11935" spans="1:27" x14ac:dyDescent="0.35">
      <c r="A11935">
        <v>1027784</v>
      </c>
      <c r="B11935">
        <v>11226</v>
      </c>
      <c r="C11935">
        <v>1</v>
      </c>
      <c r="D11935" s="17" t="s">
        <v>17166</v>
      </c>
      <c r="E11935" s="17"/>
      <c r="F11935" s="17" t="s">
        <v>17246</v>
      </c>
      <c r="G11935" s="17"/>
      <c r="H11935" s="17" t="s">
        <v>23950</v>
      </c>
      <c r="I11935" s="17" t="s">
        <v>23956</v>
      </c>
      <c r="J11935" s="17" t="s">
        <v>24017</v>
      </c>
      <c r="K11935" s="17"/>
      <c r="L11935" s="17" t="s">
        <v>24262</v>
      </c>
      <c r="M11935" s="17"/>
      <c r="N11935" s="17" t="s">
        <v>24897</v>
      </c>
      <c r="O11935" s="17" t="s">
        <v>25008</v>
      </c>
      <c r="P11935" s="17" t="s">
        <v>25042</v>
      </c>
      <c r="Q11935" s="17"/>
      <c r="R11935" s="25" t="str">
        <f>HYPERLINK("https://ictv.global/taxonomy/taxondetails?taxnode_id=202318361","Jeilongvirus merionis")</f>
        <v>Jeilongvirus merionis</v>
      </c>
      <c r="S11935" s="18" t="s">
        <v>30</v>
      </c>
      <c r="T11935" s="18" t="s">
        <v>46495</v>
      </c>
      <c r="U11935" s="18"/>
      <c r="V11935" s="18" t="s">
        <v>46496</v>
      </c>
      <c r="W11935" s="18" t="s">
        <v>48650</v>
      </c>
      <c r="X11935" s="18" t="s">
        <v>35</v>
      </c>
      <c r="Y11935" s="18" t="s">
        <v>23964</v>
      </c>
      <c r="Z11935" s="18" t="s">
        <v>166</v>
      </c>
      <c r="AA11935" s="21" t="str">
        <f>HYPERLINK("https://www.ncbi.nlm.nih.gov/nuccore/OL409126","NCBI Nucleotide")</f>
        <v>NCBI Nucleotide</v>
      </c>
    </row>
    <row r="11936" spans="1:27" x14ac:dyDescent="0.35">
      <c r="A11936">
        <v>1027785</v>
      </c>
      <c r="B11936">
        <v>11227</v>
      </c>
      <c r="C11936">
        <v>1</v>
      </c>
      <c r="D11936" s="17" t="s">
        <v>17166</v>
      </c>
      <c r="E11936" s="17"/>
      <c r="F11936" s="17" t="s">
        <v>17246</v>
      </c>
      <c r="G11936" s="17"/>
      <c r="H11936" s="17" t="s">
        <v>23950</v>
      </c>
      <c r="I11936" s="17" t="s">
        <v>23956</v>
      </c>
      <c r="J11936" s="17" t="s">
        <v>24017</v>
      </c>
      <c r="K11936" s="17"/>
      <c r="L11936" s="17" t="s">
        <v>24262</v>
      </c>
      <c r="M11936" s="17"/>
      <c r="N11936" s="17" t="s">
        <v>24897</v>
      </c>
      <c r="O11936" s="17" t="s">
        <v>25008</v>
      </c>
      <c r="P11936" s="17" t="s">
        <v>25042</v>
      </c>
      <c r="Q11936" s="17"/>
      <c r="R11936" s="25" t="str">
        <f>HYPERLINK("https://ictv.global/taxonomy/taxondetails?taxnode_id=202318356","Jeilongvirus microti")</f>
        <v>Jeilongvirus microti</v>
      </c>
      <c r="S11936" s="18" t="s">
        <v>30</v>
      </c>
      <c r="T11936" s="18" t="s">
        <v>46497</v>
      </c>
      <c r="U11936" s="18" t="s">
        <v>46498</v>
      </c>
      <c r="V11936" s="18" t="s">
        <v>46499</v>
      </c>
      <c r="W11936" s="18" t="s">
        <v>48651</v>
      </c>
      <c r="X11936" s="18" t="s">
        <v>42</v>
      </c>
      <c r="Y11936" s="18" t="s">
        <v>23964</v>
      </c>
      <c r="Z11936" s="18" t="s">
        <v>166</v>
      </c>
      <c r="AA11936" s="21" t="str">
        <f>HYPERLINK("https://www.ncbi.nlm.nih.gov/nuccore/OK623355","NCBI Nucleotide")</f>
        <v>NCBI Nucleotide</v>
      </c>
    </row>
    <row r="11937" spans="1:27" x14ac:dyDescent="0.35">
      <c r="A11937">
        <v>1010648</v>
      </c>
      <c r="B11937">
        <v>11228</v>
      </c>
      <c r="C11937">
        <v>1</v>
      </c>
      <c r="D11937" s="17" t="s">
        <v>17166</v>
      </c>
      <c r="E11937" s="17"/>
      <c r="F11937" s="17" t="s">
        <v>17246</v>
      </c>
      <c r="G11937" s="17"/>
      <c r="H11937" s="17" t="s">
        <v>23950</v>
      </c>
      <c r="I11937" s="17" t="s">
        <v>23956</v>
      </c>
      <c r="J11937" s="17" t="s">
        <v>24017</v>
      </c>
      <c r="K11937" s="17"/>
      <c r="L11937" s="17" t="s">
        <v>24262</v>
      </c>
      <c r="M11937" s="17"/>
      <c r="N11937" s="17" t="s">
        <v>24897</v>
      </c>
      <c r="O11937" s="17" t="s">
        <v>25008</v>
      </c>
      <c r="P11937" s="17" t="s">
        <v>25042</v>
      </c>
      <c r="Q11937" s="17"/>
      <c r="R11937" s="25" t="str">
        <f>HYPERLINK("https://ictv.global/taxonomy/taxondetails?taxnode_id=202306457","Jeilongvirus myodesis")</f>
        <v>Jeilongvirus myodesis</v>
      </c>
      <c r="S11937" s="18" t="s">
        <v>30</v>
      </c>
      <c r="T11937" s="18" t="s">
        <v>25075</v>
      </c>
      <c r="U11937" s="18" t="s">
        <v>25076</v>
      </c>
      <c r="V11937" s="18" t="s">
        <v>25077</v>
      </c>
      <c r="W11937" s="18" t="s">
        <v>25078</v>
      </c>
      <c r="X11937" s="18" t="s">
        <v>42</v>
      </c>
      <c r="Y11937" s="18" t="s">
        <v>23964</v>
      </c>
      <c r="Z11937" s="18" t="s">
        <v>166</v>
      </c>
      <c r="AA11937" s="21" t="str">
        <f>HYPERLINK("https://www.ncbi.nlm.nih.gov/nuccore/MG516455","NCBI Nucleotide")</f>
        <v>NCBI Nucleotide</v>
      </c>
    </row>
    <row r="11938" spans="1:27" x14ac:dyDescent="0.35">
      <c r="A11938">
        <v>1027786</v>
      </c>
      <c r="B11938">
        <v>11229</v>
      </c>
      <c r="C11938">
        <v>1</v>
      </c>
      <c r="D11938" s="17" t="s">
        <v>17166</v>
      </c>
      <c r="E11938" s="17"/>
      <c r="F11938" s="17" t="s">
        <v>17246</v>
      </c>
      <c r="G11938" s="17"/>
      <c r="H11938" s="17" t="s">
        <v>23950</v>
      </c>
      <c r="I11938" s="17" t="s">
        <v>23956</v>
      </c>
      <c r="J11938" s="17" t="s">
        <v>24017</v>
      </c>
      <c r="K11938" s="17"/>
      <c r="L11938" s="17" t="s">
        <v>24262</v>
      </c>
      <c r="M11938" s="17"/>
      <c r="N11938" s="17" t="s">
        <v>24897</v>
      </c>
      <c r="O11938" s="17" t="s">
        <v>25008</v>
      </c>
      <c r="P11938" s="17" t="s">
        <v>25042</v>
      </c>
      <c r="Q11938" s="17"/>
      <c r="R11938" s="25" t="str">
        <f>HYPERLINK("https://ictv.global/taxonomy/taxondetails?taxnode_id=202318355","Jeilongvirus neotomae")</f>
        <v>Jeilongvirus neotomae</v>
      </c>
      <c r="S11938" s="18" t="s">
        <v>30</v>
      </c>
      <c r="T11938" s="18" t="s">
        <v>46479</v>
      </c>
      <c r="U11938" s="18"/>
      <c r="V11938" s="18" t="s">
        <v>46500</v>
      </c>
      <c r="W11938" s="18" t="s">
        <v>48652</v>
      </c>
      <c r="X11938" s="18" t="s">
        <v>35</v>
      </c>
      <c r="Y11938" s="18" t="s">
        <v>23964</v>
      </c>
      <c r="Z11938" s="18" t="s">
        <v>166</v>
      </c>
      <c r="AA11938" s="21" t="str">
        <f>HYPERLINK("https://www.ncbi.nlm.nih.gov/nuccore/OK210080","NCBI Nucleotide")</f>
        <v>NCBI Nucleotide</v>
      </c>
    </row>
    <row r="11939" spans="1:27" x14ac:dyDescent="0.35">
      <c r="A11939">
        <v>1027787</v>
      </c>
      <c r="B11939">
        <v>11230</v>
      </c>
      <c r="C11939">
        <v>1</v>
      </c>
      <c r="D11939" s="17" t="s">
        <v>17166</v>
      </c>
      <c r="E11939" s="17"/>
      <c r="F11939" s="17" t="s">
        <v>17246</v>
      </c>
      <c r="G11939" s="17"/>
      <c r="H11939" s="17" t="s">
        <v>23950</v>
      </c>
      <c r="I11939" s="17" t="s">
        <v>23956</v>
      </c>
      <c r="J11939" s="17" t="s">
        <v>24017</v>
      </c>
      <c r="K11939" s="17"/>
      <c r="L11939" s="17" t="s">
        <v>24262</v>
      </c>
      <c r="M11939" s="17"/>
      <c r="N11939" s="17" t="s">
        <v>24897</v>
      </c>
      <c r="O11939" s="17" t="s">
        <v>25008</v>
      </c>
      <c r="P11939" s="17" t="s">
        <v>25042</v>
      </c>
      <c r="Q11939" s="17"/>
      <c r="R11939" s="25" t="str">
        <f>HYPERLINK("https://ictv.global/taxonomy/taxondetails?taxnode_id=202318352","Jeilongvirus ninovense")</f>
        <v>Jeilongvirus ninovense</v>
      </c>
      <c r="S11939" s="18" t="s">
        <v>30</v>
      </c>
      <c r="T11939" s="18" t="s">
        <v>46501</v>
      </c>
      <c r="U11939" s="18" t="s">
        <v>46502</v>
      </c>
      <c r="V11939" s="18" t="s">
        <v>46503</v>
      </c>
      <c r="W11939" s="18" t="s">
        <v>46504</v>
      </c>
      <c r="X11939" s="18" t="s">
        <v>42</v>
      </c>
      <c r="Y11939" s="18" t="s">
        <v>23964</v>
      </c>
      <c r="Z11939" s="18" t="s">
        <v>166</v>
      </c>
      <c r="AA11939" s="21" t="str">
        <f>HYPERLINK("https://www.ncbi.nlm.nih.gov/nuccore/OQ438284","NCBI Nucleotide")</f>
        <v>NCBI Nucleotide</v>
      </c>
    </row>
    <row r="11940" spans="1:27" x14ac:dyDescent="0.35">
      <c r="A11940">
        <v>1027788</v>
      </c>
      <c r="B11940">
        <v>11231</v>
      </c>
      <c r="C11940">
        <v>1</v>
      </c>
      <c r="D11940" s="17" t="s">
        <v>17166</v>
      </c>
      <c r="E11940" s="17"/>
      <c r="F11940" s="17" t="s">
        <v>17246</v>
      </c>
      <c r="G11940" s="17"/>
      <c r="H11940" s="17" t="s">
        <v>23950</v>
      </c>
      <c r="I11940" s="17" t="s">
        <v>23956</v>
      </c>
      <c r="J11940" s="17" t="s">
        <v>24017</v>
      </c>
      <c r="K11940" s="17"/>
      <c r="L11940" s="17" t="s">
        <v>24262</v>
      </c>
      <c r="M11940" s="17"/>
      <c r="N11940" s="17" t="s">
        <v>24897</v>
      </c>
      <c r="O11940" s="17" t="s">
        <v>25008</v>
      </c>
      <c r="P11940" s="17" t="s">
        <v>25042</v>
      </c>
      <c r="Q11940" s="17"/>
      <c r="R11940" s="25" t="str">
        <f>HYPERLINK("https://ictv.global/taxonomy/taxondetails?taxnode_id=202318348","Jeilongvirus niviventris")</f>
        <v>Jeilongvirus niviventris</v>
      </c>
      <c r="S11940" s="18" t="s">
        <v>30</v>
      </c>
      <c r="T11940" s="18" t="s">
        <v>46505</v>
      </c>
      <c r="U11940" s="18"/>
      <c r="V11940" s="18"/>
      <c r="W11940" s="18" t="s">
        <v>48653</v>
      </c>
      <c r="X11940" s="18" t="s">
        <v>35</v>
      </c>
      <c r="Y11940" s="18" t="s">
        <v>23964</v>
      </c>
      <c r="Z11940" s="18" t="s">
        <v>166</v>
      </c>
      <c r="AA11940" s="21" t="str">
        <f>HYPERLINK("https://www.ncbi.nlm.nih.gov/nuccore/MZ328278","NCBI Nucleotide")</f>
        <v>NCBI Nucleotide</v>
      </c>
    </row>
    <row r="11941" spans="1:27" x14ac:dyDescent="0.35">
      <c r="A11941">
        <v>1027789</v>
      </c>
      <c r="B11941">
        <v>11232</v>
      </c>
      <c r="C11941">
        <v>1</v>
      </c>
      <c r="D11941" s="17" t="s">
        <v>17166</v>
      </c>
      <c r="E11941" s="17"/>
      <c r="F11941" s="17" t="s">
        <v>17246</v>
      </c>
      <c r="G11941" s="17"/>
      <c r="H11941" s="17" t="s">
        <v>23950</v>
      </c>
      <c r="I11941" s="17" t="s">
        <v>23956</v>
      </c>
      <c r="J11941" s="17" t="s">
        <v>24017</v>
      </c>
      <c r="K11941" s="17"/>
      <c r="L11941" s="17" t="s">
        <v>24262</v>
      </c>
      <c r="M11941" s="17"/>
      <c r="N11941" s="17" t="s">
        <v>24897</v>
      </c>
      <c r="O11941" s="17" t="s">
        <v>25008</v>
      </c>
      <c r="P11941" s="17" t="s">
        <v>25042</v>
      </c>
      <c r="Q11941" s="17"/>
      <c r="R11941" s="25" t="str">
        <f>HYPERLINK("https://ictv.global/taxonomy/taxondetails?taxnode_id=202318357","Jeilongvirus nzerekorense")</f>
        <v>Jeilongvirus nzerekorense</v>
      </c>
      <c r="S11941" s="18" t="s">
        <v>30</v>
      </c>
      <c r="T11941" s="18" t="s">
        <v>46506</v>
      </c>
      <c r="U11941" s="18" t="s">
        <v>46507</v>
      </c>
      <c r="V11941" s="18" t="s">
        <v>46508</v>
      </c>
      <c r="W11941" s="18" t="s">
        <v>48654</v>
      </c>
      <c r="X11941" s="18" t="s">
        <v>42</v>
      </c>
      <c r="Y11941" s="18" t="s">
        <v>23964</v>
      </c>
      <c r="Z11941" s="18" t="s">
        <v>166</v>
      </c>
      <c r="AA11941" s="21" t="str">
        <f>HYPERLINK("https://www.ncbi.nlm.nih.gov/nuccore/OK623361","NCBI Nucleotide")</f>
        <v>NCBI Nucleotide</v>
      </c>
    </row>
    <row r="11942" spans="1:27" x14ac:dyDescent="0.35">
      <c r="A11942">
        <v>1027790</v>
      </c>
      <c r="B11942">
        <v>11233</v>
      </c>
      <c r="C11942">
        <v>1</v>
      </c>
      <c r="D11942" s="17" t="s">
        <v>17166</v>
      </c>
      <c r="E11942" s="17"/>
      <c r="F11942" s="17" t="s">
        <v>17246</v>
      </c>
      <c r="G11942" s="17"/>
      <c r="H11942" s="17" t="s">
        <v>23950</v>
      </c>
      <c r="I11942" s="17" t="s">
        <v>23956</v>
      </c>
      <c r="J11942" s="17" t="s">
        <v>24017</v>
      </c>
      <c r="K11942" s="17"/>
      <c r="L11942" s="17" t="s">
        <v>24262</v>
      </c>
      <c r="M11942" s="17"/>
      <c r="N11942" s="17" t="s">
        <v>24897</v>
      </c>
      <c r="O11942" s="17" t="s">
        <v>25008</v>
      </c>
      <c r="P11942" s="17" t="s">
        <v>25042</v>
      </c>
      <c r="Q11942" s="17"/>
      <c r="R11942" s="25" t="str">
        <f>HYPERLINK("https://ictv.global/taxonomy/taxondetails?taxnode_id=202318366","Jeilongvirus ochotonae")</f>
        <v>Jeilongvirus ochotonae</v>
      </c>
      <c r="S11942" s="18" t="s">
        <v>30</v>
      </c>
      <c r="T11942" s="18" t="s">
        <v>46509</v>
      </c>
      <c r="U11942" s="18"/>
      <c r="V11942" s="18" t="s">
        <v>46510</v>
      </c>
      <c r="W11942" s="18" t="s">
        <v>46511</v>
      </c>
      <c r="X11942" s="18" t="s">
        <v>35</v>
      </c>
      <c r="Y11942" s="18" t="s">
        <v>23964</v>
      </c>
      <c r="Z11942" s="18" t="s">
        <v>166</v>
      </c>
      <c r="AA11942" s="21" t="str">
        <f>HYPERLINK("https://www.ncbi.nlm.nih.gov/nuccore/OQ236117","NCBI Nucleotide")</f>
        <v>NCBI Nucleotide</v>
      </c>
    </row>
    <row r="11943" spans="1:27" x14ac:dyDescent="0.35">
      <c r="A11943">
        <v>1027791</v>
      </c>
      <c r="B11943">
        <v>11234</v>
      </c>
      <c r="C11943">
        <v>1</v>
      </c>
      <c r="D11943" s="17" t="s">
        <v>17166</v>
      </c>
      <c r="E11943" s="17"/>
      <c r="F11943" s="17" t="s">
        <v>17246</v>
      </c>
      <c r="G11943" s="17"/>
      <c r="H11943" s="17" t="s">
        <v>23950</v>
      </c>
      <c r="I11943" s="17" t="s">
        <v>23956</v>
      </c>
      <c r="J11943" s="17" t="s">
        <v>24017</v>
      </c>
      <c r="K11943" s="17"/>
      <c r="L11943" s="17" t="s">
        <v>24262</v>
      </c>
      <c r="M11943" s="17"/>
      <c r="N11943" s="17" t="s">
        <v>24897</v>
      </c>
      <c r="O11943" s="17" t="s">
        <v>25008</v>
      </c>
      <c r="P11943" s="17" t="s">
        <v>25042</v>
      </c>
      <c r="Q11943" s="17"/>
      <c r="R11943" s="25" t="str">
        <f>HYPERLINK("https://ictv.global/taxonomy/taxondetails?taxnode_id=202318347","Jeilongvirus oujiangense")</f>
        <v>Jeilongvirus oujiangense</v>
      </c>
      <c r="S11943" s="18" t="s">
        <v>30</v>
      </c>
      <c r="T11943" s="18" t="s">
        <v>46512</v>
      </c>
      <c r="U11943" s="18"/>
      <c r="V11943" s="18"/>
      <c r="W11943" s="18" t="s">
        <v>48655</v>
      </c>
      <c r="X11943" s="18" t="s">
        <v>35</v>
      </c>
      <c r="Y11943" s="18" t="s">
        <v>23964</v>
      </c>
      <c r="Z11943" s="18" t="s">
        <v>166</v>
      </c>
      <c r="AA11943" s="21" t="str">
        <f>HYPERLINK("https://www.ncbi.nlm.nih.gov/nuccore/MZ328277","NCBI Nucleotide")</f>
        <v>NCBI Nucleotide</v>
      </c>
    </row>
    <row r="11944" spans="1:27" x14ac:dyDescent="0.35">
      <c r="A11944">
        <v>1027792</v>
      </c>
      <c r="B11944">
        <v>11235</v>
      </c>
      <c r="C11944">
        <v>1</v>
      </c>
      <c r="D11944" s="17" t="s">
        <v>17166</v>
      </c>
      <c r="E11944" s="17"/>
      <c r="F11944" s="17" t="s">
        <v>17246</v>
      </c>
      <c r="G11944" s="17"/>
      <c r="H11944" s="17" t="s">
        <v>23950</v>
      </c>
      <c r="I11944" s="17" t="s">
        <v>23956</v>
      </c>
      <c r="J11944" s="17" t="s">
        <v>24017</v>
      </c>
      <c r="K11944" s="17"/>
      <c r="L11944" s="17" t="s">
        <v>24262</v>
      </c>
      <c r="M11944" s="17"/>
      <c r="N11944" s="17" t="s">
        <v>24897</v>
      </c>
      <c r="O11944" s="17" t="s">
        <v>25008</v>
      </c>
      <c r="P11944" s="17" t="s">
        <v>25042</v>
      </c>
      <c r="Q11944" s="17"/>
      <c r="R11944" s="25" t="str">
        <f>HYPERLINK("https://ictv.global/taxonomy/taxondetails?taxnode_id=202318345","Jeilongvirus pajuense")</f>
        <v>Jeilongvirus pajuense</v>
      </c>
      <c r="S11944" s="18" t="s">
        <v>30</v>
      </c>
      <c r="T11944" s="18" t="s">
        <v>46513</v>
      </c>
      <c r="U11944" s="18"/>
      <c r="V11944" s="18" t="s">
        <v>46514</v>
      </c>
      <c r="W11944" s="18" t="s">
        <v>48656</v>
      </c>
      <c r="X11944" s="18" t="s">
        <v>42</v>
      </c>
      <c r="Y11944" s="18" t="s">
        <v>23964</v>
      </c>
      <c r="Z11944" s="18" t="s">
        <v>166</v>
      </c>
      <c r="AA11944" s="21" t="str">
        <f>HYPERLINK("https://www.ncbi.nlm.nih.gov/nuccore/MT823459","NCBI Nucleotide")</f>
        <v>NCBI Nucleotide</v>
      </c>
    </row>
    <row r="11945" spans="1:27" x14ac:dyDescent="0.35">
      <c r="A11945">
        <v>1027793</v>
      </c>
      <c r="B11945">
        <v>11236</v>
      </c>
      <c r="C11945">
        <v>1</v>
      </c>
      <c r="D11945" s="17" t="s">
        <v>17166</v>
      </c>
      <c r="E11945" s="17"/>
      <c r="F11945" s="17" t="s">
        <v>17246</v>
      </c>
      <c r="G11945" s="17"/>
      <c r="H11945" s="17" t="s">
        <v>23950</v>
      </c>
      <c r="I11945" s="17" t="s">
        <v>23956</v>
      </c>
      <c r="J11945" s="17" t="s">
        <v>24017</v>
      </c>
      <c r="K11945" s="17"/>
      <c r="L11945" s="17" t="s">
        <v>24262</v>
      </c>
      <c r="M11945" s="17"/>
      <c r="N11945" s="17" t="s">
        <v>24897</v>
      </c>
      <c r="O11945" s="17" t="s">
        <v>25008</v>
      </c>
      <c r="P11945" s="17" t="s">
        <v>25042</v>
      </c>
      <c r="Q11945" s="17"/>
      <c r="R11945" s="25" t="str">
        <f>HYPERLINK("https://ictv.global/taxonomy/taxondetails?taxnode_id=202318358","Jeilongvirus praomysis")</f>
        <v>Jeilongvirus praomysis</v>
      </c>
      <c r="S11945" s="18" t="s">
        <v>30</v>
      </c>
      <c r="T11945" s="18" t="s">
        <v>46515</v>
      </c>
      <c r="U11945" s="18" t="s">
        <v>46516</v>
      </c>
      <c r="V11945" s="18" t="s">
        <v>46517</v>
      </c>
      <c r="W11945" s="18" t="s">
        <v>48657</v>
      </c>
      <c r="X11945" s="18" t="s">
        <v>42</v>
      </c>
      <c r="Y11945" s="18" t="s">
        <v>23964</v>
      </c>
      <c r="Z11945" s="18" t="s">
        <v>166</v>
      </c>
      <c r="AA11945" s="21" t="str">
        <f>HYPERLINK("https://www.ncbi.nlm.nih.gov/nuccore/OK623362","NCBI Nucleotide")</f>
        <v>NCBI Nucleotide</v>
      </c>
    </row>
    <row r="11946" spans="1:27" x14ac:dyDescent="0.35">
      <c r="A11946">
        <v>1010649</v>
      </c>
      <c r="B11946">
        <v>11237</v>
      </c>
      <c r="C11946">
        <v>1</v>
      </c>
      <c r="D11946" s="17" t="s">
        <v>17166</v>
      </c>
      <c r="E11946" s="17"/>
      <c r="F11946" s="17" t="s">
        <v>17246</v>
      </c>
      <c r="G11946" s="17"/>
      <c r="H11946" s="17" t="s">
        <v>23950</v>
      </c>
      <c r="I11946" s="17" t="s">
        <v>23956</v>
      </c>
      <c r="J11946" s="17" t="s">
        <v>24017</v>
      </c>
      <c r="K11946" s="17"/>
      <c r="L11946" s="17" t="s">
        <v>24262</v>
      </c>
      <c r="M11946" s="17"/>
      <c r="N11946" s="17" t="s">
        <v>24897</v>
      </c>
      <c r="O11946" s="17" t="s">
        <v>25008</v>
      </c>
      <c r="P11946" s="17" t="s">
        <v>25042</v>
      </c>
      <c r="Q11946" s="17"/>
      <c r="R11946" s="25" t="str">
        <f>HYPERLINK("https://ictv.global/taxonomy/taxondetails?taxnode_id=202306454","Jeilongvirus queenslandense")</f>
        <v>Jeilongvirus queenslandense</v>
      </c>
      <c r="S11946" s="18" t="s">
        <v>30</v>
      </c>
      <c r="T11946" s="18" t="s">
        <v>25079</v>
      </c>
      <c r="U11946" s="18" t="s">
        <v>25080</v>
      </c>
      <c r="V11946" s="18"/>
      <c r="W11946" s="18" t="s">
        <v>25081</v>
      </c>
      <c r="X11946" s="18" t="s">
        <v>42</v>
      </c>
      <c r="Y11946" s="18" t="s">
        <v>23964</v>
      </c>
      <c r="Z11946" s="18" t="s">
        <v>166</v>
      </c>
      <c r="AA11946" s="21" t="str">
        <f>HYPERLINK("https://www.ncbi.nlm.nih.gov/nuccore/AY900001","NCBI Nucleotide")</f>
        <v>NCBI Nucleotide</v>
      </c>
    </row>
    <row r="11947" spans="1:27" x14ac:dyDescent="0.35">
      <c r="A11947">
        <v>1027794</v>
      </c>
      <c r="B11947">
        <v>11238</v>
      </c>
      <c r="C11947">
        <v>1</v>
      </c>
      <c r="D11947" s="17" t="s">
        <v>17166</v>
      </c>
      <c r="E11947" s="17"/>
      <c r="F11947" s="17" t="s">
        <v>17246</v>
      </c>
      <c r="G11947" s="17"/>
      <c r="H11947" s="17" t="s">
        <v>23950</v>
      </c>
      <c r="I11947" s="17" t="s">
        <v>23956</v>
      </c>
      <c r="J11947" s="17" t="s">
        <v>24017</v>
      </c>
      <c r="K11947" s="17"/>
      <c r="L11947" s="17" t="s">
        <v>24262</v>
      </c>
      <c r="M11947" s="17"/>
      <c r="N11947" s="17" t="s">
        <v>24897</v>
      </c>
      <c r="O11947" s="17" t="s">
        <v>25008</v>
      </c>
      <c r="P11947" s="17" t="s">
        <v>25042</v>
      </c>
      <c r="Q11947" s="17"/>
      <c r="R11947" s="25" t="str">
        <f>HYPERLINK("https://ictv.global/taxonomy/taxondetails?taxnode_id=202318365","Jeilongvirus ratti")</f>
        <v>Jeilongvirus ratti</v>
      </c>
      <c r="S11947" s="18" t="s">
        <v>30</v>
      </c>
      <c r="T11947" s="18" t="s">
        <v>46518</v>
      </c>
      <c r="U11947" s="18"/>
      <c r="V11947" s="18" t="s">
        <v>46519</v>
      </c>
      <c r="W11947" s="18" t="s">
        <v>48658</v>
      </c>
      <c r="X11947" s="18" t="s">
        <v>35</v>
      </c>
      <c r="Y11947" s="18" t="s">
        <v>23964</v>
      </c>
      <c r="Z11947" s="18" t="s">
        <v>166</v>
      </c>
      <c r="AA11947" s="21" t="str">
        <f>HYPERLINK("https://www.ncbi.nlm.nih.gov/nuccore/OM030338","NCBI Nucleotide")</f>
        <v>NCBI Nucleotide</v>
      </c>
    </row>
    <row r="11948" spans="1:27" x14ac:dyDescent="0.35">
      <c r="A11948">
        <v>1010650</v>
      </c>
      <c r="B11948">
        <v>11239</v>
      </c>
      <c r="C11948">
        <v>1</v>
      </c>
      <c r="D11948" s="17" t="s">
        <v>17166</v>
      </c>
      <c r="E11948" s="17"/>
      <c r="F11948" s="17" t="s">
        <v>17246</v>
      </c>
      <c r="G11948" s="17"/>
      <c r="H11948" s="17" t="s">
        <v>23950</v>
      </c>
      <c r="I11948" s="17" t="s">
        <v>23956</v>
      </c>
      <c r="J11948" s="17" t="s">
        <v>24017</v>
      </c>
      <c r="K11948" s="17"/>
      <c r="L11948" s="17" t="s">
        <v>24262</v>
      </c>
      <c r="M11948" s="17"/>
      <c r="N11948" s="17" t="s">
        <v>24897</v>
      </c>
      <c r="O11948" s="17" t="s">
        <v>25008</v>
      </c>
      <c r="P11948" s="17" t="s">
        <v>25042</v>
      </c>
      <c r="Q11948" s="17"/>
      <c r="R11948" s="25" t="str">
        <f>HYPERLINK("https://ictv.global/taxonomy/taxondetails?taxnode_id=202313344","Jeilongvirus rungweense")</f>
        <v>Jeilongvirus rungweense</v>
      </c>
      <c r="S11948" s="18" t="s">
        <v>30</v>
      </c>
      <c r="T11948" s="18" t="s">
        <v>25082</v>
      </c>
      <c r="U11948" s="18" t="s">
        <v>25083</v>
      </c>
      <c r="V11948" s="18" t="s">
        <v>25084</v>
      </c>
      <c r="W11948" s="18" t="s">
        <v>25085</v>
      </c>
      <c r="X11948" s="18" t="s">
        <v>42</v>
      </c>
      <c r="Y11948" s="18" t="s">
        <v>23964</v>
      </c>
      <c r="Z11948" s="18" t="s">
        <v>166</v>
      </c>
      <c r="AA11948" s="21" t="str">
        <f>HYPERLINK("https://www.ncbi.nlm.nih.gov/nuccore/MW579602","NCBI Nucleotide")</f>
        <v>NCBI Nucleotide</v>
      </c>
    </row>
    <row r="11949" spans="1:27" x14ac:dyDescent="0.35">
      <c r="A11949">
        <v>1027795</v>
      </c>
      <c r="B11949">
        <v>11240</v>
      </c>
      <c r="C11949">
        <v>1</v>
      </c>
      <c r="D11949" s="17" t="s">
        <v>17166</v>
      </c>
      <c r="E11949" s="17"/>
      <c r="F11949" s="17" t="s">
        <v>17246</v>
      </c>
      <c r="G11949" s="17"/>
      <c r="H11949" s="17" t="s">
        <v>23950</v>
      </c>
      <c r="I11949" s="17" t="s">
        <v>23956</v>
      </c>
      <c r="J11949" s="17" t="s">
        <v>24017</v>
      </c>
      <c r="K11949" s="17"/>
      <c r="L11949" s="17" t="s">
        <v>24262</v>
      </c>
      <c r="M11949" s="17"/>
      <c r="N11949" s="17" t="s">
        <v>24897</v>
      </c>
      <c r="O11949" s="17" t="s">
        <v>25008</v>
      </c>
      <c r="P11949" s="17" t="s">
        <v>25042</v>
      </c>
      <c r="Q11949" s="17"/>
      <c r="R11949" s="25" t="str">
        <f>HYPERLINK("https://ictv.global/taxonomy/taxondetails?taxnode_id=202318367","Jeilongvirus sichuanense")</f>
        <v>Jeilongvirus sichuanense</v>
      </c>
      <c r="S11949" s="18" t="s">
        <v>30</v>
      </c>
      <c r="T11949" s="18" t="s">
        <v>46520</v>
      </c>
      <c r="U11949" s="18"/>
      <c r="V11949" s="18" t="s">
        <v>46521</v>
      </c>
      <c r="W11949" s="18" t="s">
        <v>46522</v>
      </c>
      <c r="X11949" s="18" t="s">
        <v>35</v>
      </c>
      <c r="Y11949" s="18" t="s">
        <v>23964</v>
      </c>
      <c r="Z11949" s="18" t="s">
        <v>166</v>
      </c>
      <c r="AA11949" s="21" t="str">
        <f>HYPERLINK("https://www.ncbi.nlm.nih.gov/nuccore/OQ236153","NCBI Nucleotide")</f>
        <v>NCBI Nucleotide</v>
      </c>
    </row>
    <row r="11950" spans="1:27" x14ac:dyDescent="0.35">
      <c r="A11950">
        <v>1027796</v>
      </c>
      <c r="B11950">
        <v>11241</v>
      </c>
      <c r="C11950">
        <v>1</v>
      </c>
      <c r="D11950" s="17" t="s">
        <v>17166</v>
      </c>
      <c r="E11950" s="17"/>
      <c r="F11950" s="17" t="s">
        <v>17246</v>
      </c>
      <c r="G11950" s="17"/>
      <c r="H11950" s="17" t="s">
        <v>23950</v>
      </c>
      <c r="I11950" s="17" t="s">
        <v>23956</v>
      </c>
      <c r="J11950" s="17" t="s">
        <v>24017</v>
      </c>
      <c r="K11950" s="17"/>
      <c r="L11950" s="17" t="s">
        <v>24262</v>
      </c>
      <c r="M11950" s="17"/>
      <c r="N11950" s="17" t="s">
        <v>24897</v>
      </c>
      <c r="O11950" s="17" t="s">
        <v>25008</v>
      </c>
      <c r="P11950" s="17" t="s">
        <v>25042</v>
      </c>
      <c r="Q11950" s="17"/>
      <c r="R11950" s="25" t="str">
        <f>HYPERLINK("https://ictv.global/taxonomy/taxondetails?taxnode_id=202318351","Jeilongvirus taichungense")</f>
        <v>Jeilongvirus taichungense</v>
      </c>
      <c r="S11950" s="18" t="s">
        <v>30</v>
      </c>
      <c r="T11950" s="18" t="s">
        <v>46523</v>
      </c>
      <c r="U11950" s="18"/>
      <c r="V11950" s="18"/>
      <c r="W11950" s="18" t="s">
        <v>48659</v>
      </c>
      <c r="X11950" s="18" t="s">
        <v>35</v>
      </c>
      <c r="Y11950" s="18" t="s">
        <v>23964</v>
      </c>
      <c r="Z11950" s="18" t="s">
        <v>166</v>
      </c>
      <c r="AA11950" s="21" t="str">
        <f>HYPERLINK("https://www.ncbi.nlm.nih.gov/nuccore/MZ328283","NCBI Nucleotide")</f>
        <v>NCBI Nucleotide</v>
      </c>
    </row>
    <row r="11951" spans="1:27" x14ac:dyDescent="0.35">
      <c r="A11951">
        <v>1010651</v>
      </c>
      <c r="B11951">
        <v>11242</v>
      </c>
      <c r="C11951">
        <v>1</v>
      </c>
      <c r="D11951" s="17" t="s">
        <v>17166</v>
      </c>
      <c r="E11951" s="17"/>
      <c r="F11951" s="17" t="s">
        <v>17246</v>
      </c>
      <c r="G11951" s="17"/>
      <c r="H11951" s="17" t="s">
        <v>23950</v>
      </c>
      <c r="I11951" s="17" t="s">
        <v>23956</v>
      </c>
      <c r="J11951" s="17" t="s">
        <v>24017</v>
      </c>
      <c r="K11951" s="17"/>
      <c r="L11951" s="17" t="s">
        <v>24262</v>
      </c>
      <c r="M11951" s="17"/>
      <c r="N11951" s="17" t="s">
        <v>24897</v>
      </c>
      <c r="O11951" s="17" t="s">
        <v>25008</v>
      </c>
      <c r="P11951" s="17" t="s">
        <v>25042</v>
      </c>
      <c r="Q11951" s="17"/>
      <c r="R11951" s="25" t="str">
        <f>HYPERLINK("https://ictv.global/taxonomy/taxondetails?taxnode_id=202306458","Jeilongvirus tailamense")</f>
        <v>Jeilongvirus tailamense</v>
      </c>
      <c r="S11951" s="18" t="s">
        <v>30</v>
      </c>
      <c r="T11951" s="18" t="s">
        <v>25086</v>
      </c>
      <c r="U11951" s="18" t="s">
        <v>25087</v>
      </c>
      <c r="V11951" s="18" t="s">
        <v>25088</v>
      </c>
      <c r="W11951" s="18" t="s">
        <v>25089</v>
      </c>
      <c r="X11951" s="18" t="s">
        <v>42</v>
      </c>
      <c r="Y11951" s="18" t="s">
        <v>23964</v>
      </c>
      <c r="Z11951" s="18" t="s">
        <v>166</v>
      </c>
      <c r="AA11951" s="21" t="str">
        <f>HYPERLINK("https://www.ncbi.nlm.nih.gov/nuccore/JN689227","NCBI Nucleotide")</f>
        <v>NCBI Nucleotide</v>
      </c>
    </row>
    <row r="11952" spans="1:27" x14ac:dyDescent="0.35">
      <c r="A11952">
        <v>1027797</v>
      </c>
      <c r="B11952">
        <v>11243</v>
      </c>
      <c r="C11952">
        <v>1</v>
      </c>
      <c r="D11952" s="17" t="s">
        <v>17166</v>
      </c>
      <c r="E11952" s="17"/>
      <c r="F11952" s="17" t="s">
        <v>17246</v>
      </c>
      <c r="G11952" s="17"/>
      <c r="H11952" s="17" t="s">
        <v>23950</v>
      </c>
      <c r="I11952" s="17" t="s">
        <v>23956</v>
      </c>
      <c r="J11952" s="17" t="s">
        <v>24017</v>
      </c>
      <c r="K11952" s="17"/>
      <c r="L11952" s="17" t="s">
        <v>24262</v>
      </c>
      <c r="M11952" s="17"/>
      <c r="N11952" s="17" t="s">
        <v>24897</v>
      </c>
      <c r="O11952" s="17" t="s">
        <v>25008</v>
      </c>
      <c r="P11952" s="17" t="s">
        <v>25042</v>
      </c>
      <c r="Q11952" s="17"/>
      <c r="R11952" s="25" t="str">
        <f>HYPERLINK("https://ictv.global/taxonomy/taxondetails?taxnode_id=202318363","Jeilongvirus typhlomysis")</f>
        <v>Jeilongvirus typhlomysis</v>
      </c>
      <c r="S11952" s="18" t="s">
        <v>30</v>
      </c>
      <c r="T11952" s="18" t="s">
        <v>46524</v>
      </c>
      <c r="U11952" s="18"/>
      <c r="V11952" s="18" t="s">
        <v>46525</v>
      </c>
      <c r="W11952" s="18" t="s">
        <v>48660</v>
      </c>
      <c r="X11952" s="18" t="s">
        <v>35</v>
      </c>
      <c r="Y11952" s="18" t="s">
        <v>23964</v>
      </c>
      <c r="Z11952" s="18" t="s">
        <v>166</v>
      </c>
      <c r="AA11952" s="21" t="str">
        <f>HYPERLINK("https://www.ncbi.nlm.nih.gov/nuccore/OM030331","NCBI Nucleotide")</f>
        <v>NCBI Nucleotide</v>
      </c>
    </row>
    <row r="11953" spans="1:27" x14ac:dyDescent="0.35">
      <c r="A11953">
        <v>1027798</v>
      </c>
      <c r="B11953">
        <v>11244</v>
      </c>
      <c r="C11953">
        <v>1</v>
      </c>
      <c r="D11953" s="17" t="s">
        <v>17166</v>
      </c>
      <c r="E11953" s="17"/>
      <c r="F11953" s="17" t="s">
        <v>17246</v>
      </c>
      <c r="G11953" s="17"/>
      <c r="H11953" s="17" t="s">
        <v>23950</v>
      </c>
      <c r="I11953" s="17" t="s">
        <v>23956</v>
      </c>
      <c r="J11953" s="17" t="s">
        <v>24017</v>
      </c>
      <c r="K11953" s="17"/>
      <c r="L11953" s="17" t="s">
        <v>24262</v>
      </c>
      <c r="M11953" s="17"/>
      <c r="N11953" s="17" t="s">
        <v>24897</v>
      </c>
      <c r="O11953" s="17" t="s">
        <v>25008</v>
      </c>
      <c r="P11953" s="17" t="s">
        <v>25042</v>
      </c>
      <c r="Q11953" s="17"/>
      <c r="R11953" s="25" t="str">
        <f>HYPERLINK("https://ictv.global/taxonomy/taxondetails?taxnode_id=202318344","Jeilongvirus winnikense")</f>
        <v>Jeilongvirus winnikense</v>
      </c>
      <c r="S11953" s="18" t="s">
        <v>30</v>
      </c>
      <c r="T11953" s="18" t="s">
        <v>46526</v>
      </c>
      <c r="U11953" s="18" t="s">
        <v>46527</v>
      </c>
      <c r="V11953" s="18" t="s">
        <v>46528</v>
      </c>
      <c r="W11953" s="18" t="s">
        <v>46529</v>
      </c>
      <c r="X11953" s="18" t="s">
        <v>42</v>
      </c>
      <c r="Y11953" s="18" t="s">
        <v>23964</v>
      </c>
      <c r="Z11953" s="18" t="s">
        <v>166</v>
      </c>
      <c r="AA11953" s="21" t="str">
        <f>HYPERLINK("https://www.ncbi.nlm.nih.gov/nuccore/OQ438285","NCBI Nucleotide")</f>
        <v>NCBI Nucleotide</v>
      </c>
    </row>
    <row r="11954" spans="1:27" x14ac:dyDescent="0.35">
      <c r="A11954">
        <v>1027799</v>
      </c>
      <c r="B11954">
        <v>11245</v>
      </c>
      <c r="C11954">
        <v>1</v>
      </c>
      <c r="D11954" s="17" t="s">
        <v>17166</v>
      </c>
      <c r="E11954" s="17"/>
      <c r="F11954" s="17" t="s">
        <v>17246</v>
      </c>
      <c r="G11954" s="17"/>
      <c r="H11954" s="17" t="s">
        <v>23950</v>
      </c>
      <c r="I11954" s="17" t="s">
        <v>23956</v>
      </c>
      <c r="J11954" s="17" t="s">
        <v>24017</v>
      </c>
      <c r="K11954" s="17"/>
      <c r="L11954" s="17" t="s">
        <v>24262</v>
      </c>
      <c r="M11954" s="17"/>
      <c r="N11954" s="17" t="s">
        <v>24897</v>
      </c>
      <c r="O11954" s="17" t="s">
        <v>25008</v>
      </c>
      <c r="P11954" s="17" t="s">
        <v>25042</v>
      </c>
      <c r="Q11954" s="17"/>
      <c r="R11954" s="25" t="str">
        <f>HYPERLINK("https://ictv.global/taxonomy/taxondetails?taxnode_id=202318364","Jeilongvirus wufengense")</f>
        <v>Jeilongvirus wufengense</v>
      </c>
      <c r="S11954" s="18" t="s">
        <v>30</v>
      </c>
      <c r="T11954" s="18" t="s">
        <v>46530</v>
      </c>
      <c r="U11954" s="18"/>
      <c r="V11954" s="18" t="s">
        <v>46531</v>
      </c>
      <c r="W11954" s="18" t="s">
        <v>48661</v>
      </c>
      <c r="X11954" s="18" t="s">
        <v>35</v>
      </c>
      <c r="Y11954" s="18" t="s">
        <v>23964</v>
      </c>
      <c r="Z11954" s="18" t="s">
        <v>166</v>
      </c>
      <c r="AA11954" s="21" t="str">
        <f>HYPERLINK("https://www.ncbi.nlm.nih.gov/nuccore/OM030332","NCBI Nucleotide")</f>
        <v>NCBI Nucleotide</v>
      </c>
    </row>
    <row r="11955" spans="1:27" x14ac:dyDescent="0.35">
      <c r="A11955">
        <v>1027800</v>
      </c>
      <c r="B11955">
        <v>11246</v>
      </c>
      <c r="C11955">
        <v>1</v>
      </c>
      <c r="D11955" s="17" t="s">
        <v>17166</v>
      </c>
      <c r="E11955" s="17"/>
      <c r="F11955" s="17" t="s">
        <v>17246</v>
      </c>
      <c r="G11955" s="17"/>
      <c r="H11955" s="17" t="s">
        <v>23950</v>
      </c>
      <c r="I11955" s="17" t="s">
        <v>23956</v>
      </c>
      <c r="J11955" s="17" t="s">
        <v>24017</v>
      </c>
      <c r="K11955" s="17"/>
      <c r="L11955" s="17" t="s">
        <v>24262</v>
      </c>
      <c r="M11955" s="17"/>
      <c r="N11955" s="17" t="s">
        <v>24897</v>
      </c>
      <c r="O11955" s="17" t="s">
        <v>25008</v>
      </c>
      <c r="P11955" s="17" t="s">
        <v>25042</v>
      </c>
      <c r="Q11955" s="17"/>
      <c r="R11955" s="25" t="str">
        <f>HYPERLINK("https://ictv.global/taxonomy/taxondetails?taxnode_id=202318346","Jeilongvirus yeoncheonense")</f>
        <v>Jeilongvirus yeoncheonense</v>
      </c>
      <c r="S11955" s="18" t="s">
        <v>30</v>
      </c>
      <c r="T11955" s="18" t="s">
        <v>46532</v>
      </c>
      <c r="U11955" s="18"/>
      <c r="V11955" s="18" t="s">
        <v>46533</v>
      </c>
      <c r="W11955" s="18" t="s">
        <v>48662</v>
      </c>
      <c r="X11955" s="18" t="s">
        <v>35</v>
      </c>
      <c r="Y11955" s="18" t="s">
        <v>23964</v>
      </c>
      <c r="Z11955" s="18" t="s">
        <v>166</v>
      </c>
      <c r="AA11955" s="21" t="str">
        <f>HYPERLINK("https://www.ncbi.nlm.nih.gov/nuccore/MT823463","NCBI Nucleotide")</f>
        <v>NCBI Nucleotide</v>
      </c>
    </row>
    <row r="11956" spans="1:27" x14ac:dyDescent="0.35">
      <c r="A11956">
        <v>1010652</v>
      </c>
      <c r="B11956">
        <v>11247</v>
      </c>
      <c r="C11956">
        <v>1</v>
      </c>
      <c r="D11956" s="17" t="s">
        <v>17166</v>
      </c>
      <c r="E11956" s="17"/>
      <c r="F11956" s="17" t="s">
        <v>17246</v>
      </c>
      <c r="G11956" s="17"/>
      <c r="H11956" s="17" t="s">
        <v>23950</v>
      </c>
      <c r="I11956" s="17" t="s">
        <v>23956</v>
      </c>
      <c r="J11956" s="17" t="s">
        <v>24017</v>
      </c>
      <c r="K11956" s="17"/>
      <c r="L11956" s="17" t="s">
        <v>24262</v>
      </c>
      <c r="M11956" s="17"/>
      <c r="N11956" s="17" t="s">
        <v>24897</v>
      </c>
      <c r="O11956" s="17" t="s">
        <v>25008</v>
      </c>
      <c r="P11956" s="17" t="s">
        <v>25090</v>
      </c>
      <c r="Q11956" s="17"/>
      <c r="R11956" s="25" t="str">
        <f>HYPERLINK("https://ictv.global/taxonomy/taxondetails?taxnode_id=202301613","Morbillivirus canis")</f>
        <v>Morbillivirus canis</v>
      </c>
      <c r="S11956" s="18" t="s">
        <v>30</v>
      </c>
      <c r="T11956" s="18" t="s">
        <v>25091</v>
      </c>
      <c r="U11956" s="18" t="s">
        <v>25092</v>
      </c>
      <c r="V11956" s="18" t="s">
        <v>25093</v>
      </c>
      <c r="W11956" s="18" t="s">
        <v>25094</v>
      </c>
      <c r="X11956" s="18" t="s">
        <v>42</v>
      </c>
      <c r="Y11956" s="18" t="s">
        <v>23964</v>
      </c>
      <c r="Z11956" s="18" t="s">
        <v>166</v>
      </c>
      <c r="AA11956" s="21" t="str">
        <f>HYPERLINK("https://www.ncbi.nlm.nih.gov/nuccore/AF014953","NCBI Nucleotide")</f>
        <v>NCBI Nucleotide</v>
      </c>
    </row>
    <row r="11957" spans="1:27" x14ac:dyDescent="0.35">
      <c r="A11957">
        <v>1010653</v>
      </c>
      <c r="B11957">
        <v>11248</v>
      </c>
      <c r="C11957">
        <v>1</v>
      </c>
      <c r="D11957" s="17" t="s">
        <v>17166</v>
      </c>
      <c r="E11957" s="17"/>
      <c r="F11957" s="17" t="s">
        <v>17246</v>
      </c>
      <c r="G11957" s="17"/>
      <c r="H11957" s="17" t="s">
        <v>23950</v>
      </c>
      <c r="I11957" s="17" t="s">
        <v>23956</v>
      </c>
      <c r="J11957" s="17" t="s">
        <v>24017</v>
      </c>
      <c r="K11957" s="17"/>
      <c r="L11957" s="17" t="s">
        <v>24262</v>
      </c>
      <c r="M11957" s="17"/>
      <c r="N11957" s="17" t="s">
        <v>24897</v>
      </c>
      <c r="O11957" s="17" t="s">
        <v>25008</v>
      </c>
      <c r="P11957" s="17" t="s">
        <v>25090</v>
      </c>
      <c r="Q11957" s="17"/>
      <c r="R11957" s="25" t="str">
        <f>HYPERLINK("https://ictv.global/taxonomy/taxondetails?taxnode_id=202301619","Morbillivirus caprinae")</f>
        <v>Morbillivirus caprinae</v>
      </c>
      <c r="S11957" s="18" t="s">
        <v>30</v>
      </c>
      <c r="T11957" s="18" t="s">
        <v>25095</v>
      </c>
      <c r="U11957" s="18" t="s">
        <v>25096</v>
      </c>
      <c r="V11957" s="18" t="s">
        <v>25097</v>
      </c>
      <c r="W11957" s="18" t="s">
        <v>25098</v>
      </c>
      <c r="X11957" s="18" t="s">
        <v>42</v>
      </c>
      <c r="Y11957" s="18" t="s">
        <v>23964</v>
      </c>
      <c r="Z11957" s="18" t="s">
        <v>166</v>
      </c>
      <c r="AA11957" s="21" t="str">
        <f>HYPERLINK("https://www.ncbi.nlm.nih.gov/nuccore/AJ849636","NCBI Nucleotide")</f>
        <v>NCBI Nucleotide</v>
      </c>
    </row>
    <row r="11958" spans="1:27" x14ac:dyDescent="0.35">
      <c r="A11958">
        <v>1010654</v>
      </c>
      <c r="B11958">
        <v>11249</v>
      </c>
      <c r="C11958">
        <v>1</v>
      </c>
      <c r="D11958" s="17" t="s">
        <v>17166</v>
      </c>
      <c r="E11958" s="17"/>
      <c r="F11958" s="17" t="s">
        <v>17246</v>
      </c>
      <c r="G11958" s="17"/>
      <c r="H11958" s="17" t="s">
        <v>23950</v>
      </c>
      <c r="I11958" s="17" t="s">
        <v>23956</v>
      </c>
      <c r="J11958" s="17" t="s">
        <v>24017</v>
      </c>
      <c r="K11958" s="17"/>
      <c r="L11958" s="17" t="s">
        <v>24262</v>
      </c>
      <c r="M11958" s="17"/>
      <c r="N11958" s="17" t="s">
        <v>24897</v>
      </c>
      <c r="O11958" s="17" t="s">
        <v>25008</v>
      </c>
      <c r="P11958" s="17" t="s">
        <v>25090</v>
      </c>
      <c r="Q11958" s="17"/>
      <c r="R11958" s="25" t="str">
        <f>HYPERLINK("https://ictv.global/taxonomy/taxondetails?taxnode_id=202301614","Morbillivirus ceti")</f>
        <v>Morbillivirus ceti</v>
      </c>
      <c r="S11958" s="18" t="s">
        <v>30</v>
      </c>
      <c r="T11958" s="18" t="s">
        <v>25099</v>
      </c>
      <c r="U11958" s="18" t="s">
        <v>21310</v>
      </c>
      <c r="V11958" s="18"/>
      <c r="W11958" s="18" t="s">
        <v>25100</v>
      </c>
      <c r="X11958" s="18" t="s">
        <v>42</v>
      </c>
      <c r="Y11958" s="18" t="s">
        <v>23964</v>
      </c>
      <c r="Z11958" s="18" t="s">
        <v>166</v>
      </c>
      <c r="AA11958" s="21" t="str">
        <f>HYPERLINK("https://www.ncbi.nlm.nih.gov/nuccore/AJ608288","NCBI Nucleotide")</f>
        <v>NCBI Nucleotide</v>
      </c>
    </row>
    <row r="11959" spans="1:27" x14ac:dyDescent="0.35">
      <c r="A11959">
        <v>1010655</v>
      </c>
      <c r="B11959">
        <v>11250</v>
      </c>
      <c r="C11959">
        <v>1</v>
      </c>
      <c r="D11959" s="17" t="s">
        <v>17166</v>
      </c>
      <c r="E11959" s="17"/>
      <c r="F11959" s="17" t="s">
        <v>17246</v>
      </c>
      <c r="G11959" s="17"/>
      <c r="H11959" s="17" t="s">
        <v>23950</v>
      </c>
      <c r="I11959" s="17" t="s">
        <v>23956</v>
      </c>
      <c r="J11959" s="17" t="s">
        <v>24017</v>
      </c>
      <c r="K11959" s="17"/>
      <c r="L11959" s="17" t="s">
        <v>24262</v>
      </c>
      <c r="M11959" s="17"/>
      <c r="N11959" s="17" t="s">
        <v>24897</v>
      </c>
      <c r="O11959" s="17" t="s">
        <v>25008</v>
      </c>
      <c r="P11959" s="17" t="s">
        <v>25090</v>
      </c>
      <c r="Q11959" s="17"/>
      <c r="R11959" s="25" t="str">
        <f>HYPERLINK("https://ictv.global/taxonomy/taxondetails?taxnode_id=202301615","Morbillivirus felis")</f>
        <v>Morbillivirus felis</v>
      </c>
      <c r="S11959" s="18" t="s">
        <v>30</v>
      </c>
      <c r="T11959" s="18" t="s">
        <v>25101</v>
      </c>
      <c r="U11959" s="18" t="s">
        <v>25102</v>
      </c>
      <c r="V11959" s="18" t="s">
        <v>25103</v>
      </c>
      <c r="W11959" s="18" t="s">
        <v>25104</v>
      </c>
      <c r="X11959" s="18" t="s">
        <v>42</v>
      </c>
      <c r="Y11959" s="18" t="s">
        <v>23964</v>
      </c>
      <c r="Z11959" s="18" t="s">
        <v>166</v>
      </c>
      <c r="AA11959" s="21" t="str">
        <f>HYPERLINK("https://www.ncbi.nlm.nih.gov/nuccore/JQ411014","NCBI Nucleotide")</f>
        <v>NCBI Nucleotide</v>
      </c>
    </row>
    <row r="11960" spans="1:27" x14ac:dyDescent="0.35">
      <c r="A11960">
        <v>1010656</v>
      </c>
      <c r="B11960">
        <v>11251</v>
      </c>
      <c r="C11960">
        <v>1</v>
      </c>
      <c r="D11960" s="17" t="s">
        <v>17166</v>
      </c>
      <c r="E11960" s="17"/>
      <c r="F11960" s="17" t="s">
        <v>17246</v>
      </c>
      <c r="G11960" s="17"/>
      <c r="H11960" s="17" t="s">
        <v>23950</v>
      </c>
      <c r="I11960" s="17" t="s">
        <v>23956</v>
      </c>
      <c r="J11960" s="17" t="s">
        <v>24017</v>
      </c>
      <c r="K11960" s="17"/>
      <c r="L11960" s="17" t="s">
        <v>24262</v>
      </c>
      <c r="M11960" s="17"/>
      <c r="N11960" s="17" t="s">
        <v>24897</v>
      </c>
      <c r="O11960" s="17" t="s">
        <v>25008</v>
      </c>
      <c r="P11960" s="17" t="s">
        <v>25090</v>
      </c>
      <c r="Q11960" s="17"/>
      <c r="R11960" s="25" t="str">
        <f>HYPERLINK("https://ictv.global/taxonomy/taxondetails?taxnode_id=202301616","Morbillivirus hominis")</f>
        <v>Morbillivirus hominis</v>
      </c>
      <c r="S11960" s="18" t="s">
        <v>30</v>
      </c>
      <c r="T11960" s="18" t="s">
        <v>25105</v>
      </c>
      <c r="U11960" s="18" t="s">
        <v>25106</v>
      </c>
      <c r="V11960" s="18" t="s">
        <v>25107</v>
      </c>
      <c r="W11960" s="18" t="s">
        <v>25108</v>
      </c>
      <c r="X11960" s="18" t="s">
        <v>42</v>
      </c>
      <c r="Y11960" s="18" t="s">
        <v>23964</v>
      </c>
      <c r="Z11960" s="18" t="s">
        <v>166</v>
      </c>
      <c r="AA11960" s="21" t="str">
        <f>HYPERLINK("https://www.ncbi.nlm.nih.gov/nuccore/AB016162","NCBI Nucleotide")</f>
        <v>NCBI Nucleotide</v>
      </c>
    </row>
    <row r="11961" spans="1:27" x14ac:dyDescent="0.35">
      <c r="A11961">
        <v>1027759</v>
      </c>
      <c r="B11961">
        <v>11252</v>
      </c>
      <c r="C11961">
        <v>1</v>
      </c>
      <c r="D11961" s="17" t="s">
        <v>17166</v>
      </c>
      <c r="E11961" s="17"/>
      <c r="F11961" s="17" t="s">
        <v>17246</v>
      </c>
      <c r="G11961" s="17"/>
      <c r="H11961" s="17" t="s">
        <v>23950</v>
      </c>
      <c r="I11961" s="17" t="s">
        <v>23956</v>
      </c>
      <c r="J11961" s="17" t="s">
        <v>24017</v>
      </c>
      <c r="K11961" s="17"/>
      <c r="L11961" s="17" t="s">
        <v>24262</v>
      </c>
      <c r="M11961" s="17"/>
      <c r="N11961" s="17" t="s">
        <v>24897</v>
      </c>
      <c r="O11961" s="17" t="s">
        <v>25008</v>
      </c>
      <c r="P11961" s="17" t="s">
        <v>25090</v>
      </c>
      <c r="Q11961" s="17"/>
      <c r="R11961" s="25" t="str">
        <f>HYPERLINK("https://ictv.global/taxonomy/taxondetails?taxnode_id=202318338","Morbillivirus myotis")</f>
        <v>Morbillivirus myotis</v>
      </c>
      <c r="S11961" s="18" t="s">
        <v>30</v>
      </c>
      <c r="T11961" s="18" t="s">
        <v>46534</v>
      </c>
      <c r="U11961" s="18"/>
      <c r="V11961" s="18" t="s">
        <v>46535</v>
      </c>
      <c r="W11961" s="18" t="s">
        <v>48663</v>
      </c>
      <c r="X11961" s="18" t="s">
        <v>42</v>
      </c>
      <c r="Y11961" s="18" t="s">
        <v>23964</v>
      </c>
      <c r="Z11961" s="18" t="s">
        <v>166</v>
      </c>
      <c r="AA11961" s="21" t="str">
        <f>HYPERLINK("https://www.ncbi.nlm.nih.gov/nuccore/MW557651","NCBI Nucleotide")</f>
        <v>NCBI Nucleotide</v>
      </c>
    </row>
    <row r="11962" spans="1:27" x14ac:dyDescent="0.35">
      <c r="A11962">
        <v>1010657</v>
      </c>
      <c r="B11962">
        <v>11253</v>
      </c>
      <c r="C11962">
        <v>1</v>
      </c>
      <c r="D11962" s="17" t="s">
        <v>17166</v>
      </c>
      <c r="E11962" s="17"/>
      <c r="F11962" s="17" t="s">
        <v>17246</v>
      </c>
      <c r="G11962" s="17"/>
      <c r="H11962" s="17" t="s">
        <v>23950</v>
      </c>
      <c r="I11962" s="17" t="s">
        <v>23956</v>
      </c>
      <c r="J11962" s="17" t="s">
        <v>24017</v>
      </c>
      <c r="K11962" s="17"/>
      <c r="L11962" s="17" t="s">
        <v>24262</v>
      </c>
      <c r="M11962" s="17"/>
      <c r="N11962" s="17" t="s">
        <v>24897</v>
      </c>
      <c r="O11962" s="17" t="s">
        <v>25008</v>
      </c>
      <c r="P11962" s="17" t="s">
        <v>25090</v>
      </c>
      <c r="Q11962" s="17"/>
      <c r="R11962" s="25" t="str">
        <f>HYPERLINK("https://ictv.global/taxonomy/taxondetails?taxnode_id=202301618","Morbillivirus pecoris")</f>
        <v>Morbillivirus pecoris</v>
      </c>
      <c r="S11962" s="18" t="s">
        <v>30</v>
      </c>
      <c r="T11962" s="18" t="s">
        <v>25109</v>
      </c>
      <c r="U11962" s="18" t="s">
        <v>25110</v>
      </c>
      <c r="V11962" s="18" t="s">
        <v>25111</v>
      </c>
      <c r="W11962" s="18" t="s">
        <v>25112</v>
      </c>
      <c r="X11962" s="18" t="s">
        <v>42</v>
      </c>
      <c r="Y11962" s="18" t="s">
        <v>23964</v>
      </c>
      <c r="Z11962" s="18" t="s">
        <v>166</v>
      </c>
      <c r="AA11962" s="21" t="str">
        <f>HYPERLINK("https://www.ncbi.nlm.nih.gov/nuccore/X98291","NCBI Nucleotide")</f>
        <v>NCBI Nucleotide</v>
      </c>
    </row>
    <row r="11963" spans="1:27" x14ac:dyDescent="0.35">
      <c r="A11963">
        <v>1010658</v>
      </c>
      <c r="B11963">
        <v>11254</v>
      </c>
      <c r="C11963">
        <v>1</v>
      </c>
      <c r="D11963" s="17" t="s">
        <v>17166</v>
      </c>
      <c r="E11963" s="17"/>
      <c r="F11963" s="17" t="s">
        <v>17246</v>
      </c>
      <c r="G11963" s="17"/>
      <c r="H11963" s="17" t="s">
        <v>23950</v>
      </c>
      <c r="I11963" s="17" t="s">
        <v>23956</v>
      </c>
      <c r="J11963" s="17" t="s">
        <v>24017</v>
      </c>
      <c r="K11963" s="17"/>
      <c r="L11963" s="17" t="s">
        <v>24262</v>
      </c>
      <c r="M11963" s="17"/>
      <c r="N11963" s="17" t="s">
        <v>24897</v>
      </c>
      <c r="O11963" s="17" t="s">
        <v>25008</v>
      </c>
      <c r="P11963" s="17" t="s">
        <v>25090</v>
      </c>
      <c r="Q11963" s="17"/>
      <c r="R11963" s="25" t="str">
        <f>HYPERLINK("https://ictv.global/taxonomy/taxondetails?taxnode_id=202301617","Morbillivirus phocae")</f>
        <v>Morbillivirus phocae</v>
      </c>
      <c r="S11963" s="18" t="s">
        <v>30</v>
      </c>
      <c r="T11963" s="18" t="s">
        <v>25113</v>
      </c>
      <c r="U11963" s="18" t="s">
        <v>18219</v>
      </c>
      <c r="V11963" s="18" t="s">
        <v>25114</v>
      </c>
      <c r="W11963" s="18" t="s">
        <v>25115</v>
      </c>
      <c r="X11963" s="18" t="s">
        <v>42</v>
      </c>
      <c r="Y11963" s="18" t="s">
        <v>23964</v>
      </c>
      <c r="Z11963" s="18" t="s">
        <v>166</v>
      </c>
      <c r="AA11963" s="21" t="str">
        <f>HYPERLINK("https://www.ncbi.nlm.nih.gov/nuccore/KC802221","NCBI Nucleotide")</f>
        <v>NCBI Nucleotide</v>
      </c>
    </row>
    <row r="11964" spans="1:27" x14ac:dyDescent="0.35">
      <c r="A11964">
        <v>1027760</v>
      </c>
      <c r="B11964">
        <v>11255</v>
      </c>
      <c r="C11964">
        <v>1</v>
      </c>
      <c r="D11964" s="17" t="s">
        <v>17166</v>
      </c>
      <c r="E11964" s="17"/>
      <c r="F11964" s="17" t="s">
        <v>17246</v>
      </c>
      <c r="G11964" s="17"/>
      <c r="H11964" s="17" t="s">
        <v>23950</v>
      </c>
      <c r="I11964" s="17" t="s">
        <v>23956</v>
      </c>
      <c r="J11964" s="17" t="s">
        <v>24017</v>
      </c>
      <c r="K11964" s="17"/>
      <c r="L11964" s="17" t="s">
        <v>24262</v>
      </c>
      <c r="M11964" s="17"/>
      <c r="N11964" s="17" t="s">
        <v>24897</v>
      </c>
      <c r="O11964" s="17" t="s">
        <v>25008</v>
      </c>
      <c r="P11964" s="17" t="s">
        <v>25090</v>
      </c>
      <c r="Q11964" s="17"/>
      <c r="R11964" s="25" t="str">
        <f>HYPERLINK("https://ictv.global/taxonomy/taxondetails?taxnode_id=202318339","Morbillivirus phyllostomi")</f>
        <v>Morbillivirus phyllostomi</v>
      </c>
      <c r="S11964" s="18" t="s">
        <v>30</v>
      </c>
      <c r="T11964" s="18" t="s">
        <v>46536</v>
      </c>
      <c r="U11964" s="18"/>
      <c r="V11964" s="18" t="s">
        <v>46537</v>
      </c>
      <c r="W11964" s="18" t="s">
        <v>48664</v>
      </c>
      <c r="X11964" s="18" t="s">
        <v>42</v>
      </c>
      <c r="Y11964" s="18" t="s">
        <v>23964</v>
      </c>
      <c r="Z11964" s="18" t="s">
        <v>166</v>
      </c>
      <c r="AA11964" s="21" t="str">
        <f>HYPERLINK("https://www.ncbi.nlm.nih.gov/nuccore/MZ312422","NCBI Nucleotide")</f>
        <v>NCBI Nucleotide</v>
      </c>
    </row>
    <row r="11965" spans="1:27" x14ac:dyDescent="0.35">
      <c r="A11965">
        <v>1027761</v>
      </c>
      <c r="B11965">
        <v>11256</v>
      </c>
      <c r="C11965">
        <v>1</v>
      </c>
      <c r="D11965" s="17" t="s">
        <v>17166</v>
      </c>
      <c r="E11965" s="17"/>
      <c r="F11965" s="17" t="s">
        <v>17246</v>
      </c>
      <c r="G11965" s="17"/>
      <c r="H11965" s="17" t="s">
        <v>23950</v>
      </c>
      <c r="I11965" s="17" t="s">
        <v>23956</v>
      </c>
      <c r="J11965" s="17" t="s">
        <v>24017</v>
      </c>
      <c r="K11965" s="17"/>
      <c r="L11965" s="17" t="s">
        <v>24262</v>
      </c>
      <c r="M11965" s="17"/>
      <c r="N11965" s="17" t="s">
        <v>24897</v>
      </c>
      <c r="O11965" s="17" t="s">
        <v>25008</v>
      </c>
      <c r="P11965" s="17" t="s">
        <v>25090</v>
      </c>
      <c r="Q11965" s="17"/>
      <c r="R11965" s="25" t="str">
        <f>HYPERLINK("https://ictv.global/taxonomy/taxondetails?taxnode_id=202318337","Morbillivirus suis")</f>
        <v>Morbillivirus suis</v>
      </c>
      <c r="S11965" s="18" t="s">
        <v>30</v>
      </c>
      <c r="T11965" s="18" t="s">
        <v>46538</v>
      </c>
      <c r="U11965" s="18"/>
      <c r="V11965" s="18" t="s">
        <v>46539</v>
      </c>
      <c r="W11965" s="18" t="s">
        <v>48665</v>
      </c>
      <c r="X11965" s="18" t="s">
        <v>35</v>
      </c>
      <c r="Y11965" s="18" t="s">
        <v>23964</v>
      </c>
      <c r="Z11965" s="18" t="s">
        <v>166</v>
      </c>
      <c r="AA11965" s="21" t="str">
        <f>HYPERLINK("https://www.ncbi.nlm.nih.gov/nuccore/MT511667","NCBI Nucleotide")</f>
        <v>NCBI Nucleotide</v>
      </c>
    </row>
    <row r="11966" spans="1:27" x14ac:dyDescent="0.35">
      <c r="A11966">
        <v>1027691</v>
      </c>
      <c r="B11966">
        <v>11257</v>
      </c>
      <c r="C11966">
        <v>1</v>
      </c>
      <c r="D11966" s="17" t="s">
        <v>17166</v>
      </c>
      <c r="E11966" s="17"/>
      <c r="F11966" s="17" t="s">
        <v>17246</v>
      </c>
      <c r="G11966" s="17"/>
      <c r="H11966" s="17" t="s">
        <v>23950</v>
      </c>
      <c r="I11966" s="17" t="s">
        <v>23956</v>
      </c>
      <c r="J11966" s="17" t="s">
        <v>24017</v>
      </c>
      <c r="K11966" s="17"/>
      <c r="L11966" s="17" t="s">
        <v>24262</v>
      </c>
      <c r="M11966" s="17"/>
      <c r="N11966" s="17" t="s">
        <v>24897</v>
      </c>
      <c r="O11966" s="17" t="s">
        <v>25008</v>
      </c>
      <c r="P11966" s="17" t="s">
        <v>25116</v>
      </c>
      <c r="Q11966" s="17"/>
      <c r="R11966" s="25" t="str">
        <f>HYPERLINK("https://ictv.global/taxonomy/taxondetails?taxnode_id=202318325","Narmovirus meliandouense")</f>
        <v>Narmovirus meliandouense</v>
      </c>
      <c r="S11966" s="18" t="s">
        <v>30</v>
      </c>
      <c r="T11966" s="18" t="s">
        <v>46540</v>
      </c>
      <c r="U11966" s="18" t="s">
        <v>46541</v>
      </c>
      <c r="V11966" s="18" t="s">
        <v>46542</v>
      </c>
      <c r="W11966" s="18" t="s">
        <v>48666</v>
      </c>
      <c r="X11966" s="18" t="s">
        <v>35</v>
      </c>
      <c r="Y11966" s="18" t="s">
        <v>23964</v>
      </c>
      <c r="Z11966" s="18" t="s">
        <v>166</v>
      </c>
      <c r="AA11966" s="21" t="str">
        <f>HYPERLINK("https://www.ncbi.nlm.nih.gov/nuccore/OK623365","NCBI Nucleotide")</f>
        <v>NCBI Nucleotide</v>
      </c>
    </row>
    <row r="11967" spans="1:27" x14ac:dyDescent="0.35">
      <c r="A11967">
        <v>1027692</v>
      </c>
      <c r="B11967">
        <v>11258</v>
      </c>
      <c r="C11967">
        <v>1</v>
      </c>
      <c r="D11967" s="17" t="s">
        <v>17166</v>
      </c>
      <c r="E11967" s="17"/>
      <c r="F11967" s="17" t="s">
        <v>17246</v>
      </c>
      <c r="G11967" s="17"/>
      <c r="H11967" s="17" t="s">
        <v>23950</v>
      </c>
      <c r="I11967" s="17" t="s">
        <v>23956</v>
      </c>
      <c r="J11967" s="17" t="s">
        <v>24017</v>
      </c>
      <c r="K11967" s="17"/>
      <c r="L11967" s="17" t="s">
        <v>24262</v>
      </c>
      <c r="M11967" s="17"/>
      <c r="N11967" s="17" t="s">
        <v>24897</v>
      </c>
      <c r="O11967" s="17" t="s">
        <v>25008</v>
      </c>
      <c r="P11967" s="17" t="s">
        <v>25116</v>
      </c>
      <c r="Q11967" s="17"/>
      <c r="R11967" s="25" t="str">
        <f>HYPERLINK("https://ictv.global/taxonomy/taxondetails?taxnode_id=202318324","Narmovirus microti")</f>
        <v>Narmovirus microti</v>
      </c>
      <c r="S11967" s="18" t="s">
        <v>30</v>
      </c>
      <c r="T11967" s="18" t="s">
        <v>46543</v>
      </c>
      <c r="U11967" s="18" t="s">
        <v>46544</v>
      </c>
      <c r="V11967" s="18" t="s">
        <v>46545</v>
      </c>
      <c r="W11967" s="18" t="s">
        <v>48667</v>
      </c>
      <c r="X11967" s="18" t="s">
        <v>42</v>
      </c>
      <c r="Y11967" s="18" t="s">
        <v>23964</v>
      </c>
      <c r="Z11967" s="18" t="s">
        <v>166</v>
      </c>
      <c r="AA11967" s="21" t="str">
        <f>HYPERLINK("https://www.ncbi.nlm.nih.gov/nuccore/OK623360","NCBI Nucleotide")</f>
        <v>NCBI Nucleotide</v>
      </c>
    </row>
    <row r="11968" spans="1:27" x14ac:dyDescent="0.35">
      <c r="A11968">
        <v>1010659</v>
      </c>
      <c r="B11968">
        <v>11259</v>
      </c>
      <c r="C11968">
        <v>1</v>
      </c>
      <c r="D11968" s="17" t="s">
        <v>17166</v>
      </c>
      <c r="E11968" s="17"/>
      <c r="F11968" s="17" t="s">
        <v>17246</v>
      </c>
      <c r="G11968" s="17"/>
      <c r="H11968" s="17" t="s">
        <v>23950</v>
      </c>
      <c r="I11968" s="17" t="s">
        <v>23956</v>
      </c>
      <c r="J11968" s="17" t="s">
        <v>24017</v>
      </c>
      <c r="K11968" s="17"/>
      <c r="L11968" s="17" t="s">
        <v>24262</v>
      </c>
      <c r="M11968" s="17"/>
      <c r="N11968" s="17" t="s">
        <v>24897</v>
      </c>
      <c r="O11968" s="17" t="s">
        <v>25008</v>
      </c>
      <c r="P11968" s="17" t="s">
        <v>25116</v>
      </c>
      <c r="Q11968" s="17"/>
      <c r="R11968" s="25" t="str">
        <f>HYPERLINK("https://ictv.global/taxonomy/taxondetails?taxnode_id=202306460","Narmovirus mossmanense")</f>
        <v>Narmovirus mossmanense</v>
      </c>
      <c r="S11968" s="18" t="s">
        <v>30</v>
      </c>
      <c r="T11968" s="18" t="s">
        <v>25117</v>
      </c>
      <c r="U11968" s="18" t="s">
        <v>25118</v>
      </c>
      <c r="V11968" s="18"/>
      <c r="W11968" s="18" t="s">
        <v>25119</v>
      </c>
      <c r="X11968" s="18" t="s">
        <v>42</v>
      </c>
      <c r="Y11968" s="18" t="s">
        <v>23964</v>
      </c>
      <c r="Z11968" s="18" t="s">
        <v>166</v>
      </c>
      <c r="AA11968" s="21" t="str">
        <f>HYPERLINK("https://www.ncbi.nlm.nih.gov/nuccore/AY286409","NCBI Nucleotide")</f>
        <v>NCBI Nucleotide</v>
      </c>
    </row>
    <row r="11969" spans="1:27" x14ac:dyDescent="0.35">
      <c r="A11969">
        <v>1010660</v>
      </c>
      <c r="B11969">
        <v>11260</v>
      </c>
      <c r="C11969">
        <v>1</v>
      </c>
      <c r="D11969" s="17" t="s">
        <v>17166</v>
      </c>
      <c r="E11969" s="17"/>
      <c r="F11969" s="17" t="s">
        <v>17246</v>
      </c>
      <c r="G11969" s="17"/>
      <c r="H11969" s="17" t="s">
        <v>23950</v>
      </c>
      <c r="I11969" s="17" t="s">
        <v>23956</v>
      </c>
      <c r="J11969" s="17" t="s">
        <v>24017</v>
      </c>
      <c r="K11969" s="17"/>
      <c r="L11969" s="17" t="s">
        <v>24262</v>
      </c>
      <c r="M11969" s="17"/>
      <c r="N11969" s="17" t="s">
        <v>24897</v>
      </c>
      <c r="O11969" s="17" t="s">
        <v>25008</v>
      </c>
      <c r="P11969" s="17" t="s">
        <v>25116</v>
      </c>
      <c r="Q11969" s="17"/>
      <c r="R11969" s="25" t="str">
        <f>HYPERLINK("https://ictv.global/taxonomy/taxondetails?taxnode_id=202306461","Narmovirus myodesis")</f>
        <v>Narmovirus myodesis</v>
      </c>
      <c r="S11969" s="18" t="s">
        <v>30</v>
      </c>
      <c r="T11969" s="18" t="s">
        <v>25120</v>
      </c>
      <c r="U11969" s="18" t="s">
        <v>25121</v>
      </c>
      <c r="V11969" s="18" t="s">
        <v>25122</v>
      </c>
      <c r="W11969" s="18" t="s">
        <v>25123</v>
      </c>
      <c r="X11969" s="18" t="s">
        <v>42</v>
      </c>
      <c r="Y11969" s="18" t="s">
        <v>23964</v>
      </c>
      <c r="Z11969" s="18" t="s">
        <v>166</v>
      </c>
      <c r="AA11969" s="21" t="str">
        <f>HYPERLINK("https://www.ncbi.nlm.nih.gov/nuccore/MF943130","NCBI Nucleotide")</f>
        <v>NCBI Nucleotide</v>
      </c>
    </row>
    <row r="11970" spans="1:27" x14ac:dyDescent="0.35">
      <c r="A11970">
        <v>1010661</v>
      </c>
      <c r="B11970">
        <v>11261</v>
      </c>
      <c r="C11970">
        <v>1</v>
      </c>
      <c r="D11970" s="17" t="s">
        <v>17166</v>
      </c>
      <c r="E11970" s="17"/>
      <c r="F11970" s="17" t="s">
        <v>17246</v>
      </c>
      <c r="G11970" s="17"/>
      <c r="H11970" s="17" t="s">
        <v>23950</v>
      </c>
      <c r="I11970" s="17" t="s">
        <v>23956</v>
      </c>
      <c r="J11970" s="17" t="s">
        <v>24017</v>
      </c>
      <c r="K11970" s="17"/>
      <c r="L11970" s="17" t="s">
        <v>24262</v>
      </c>
      <c r="M11970" s="17"/>
      <c r="N11970" s="17" t="s">
        <v>24897</v>
      </c>
      <c r="O11970" s="17" t="s">
        <v>25008</v>
      </c>
      <c r="P11970" s="17" t="s">
        <v>25116</v>
      </c>
      <c r="Q11970" s="17"/>
      <c r="R11970" s="25" t="str">
        <f>HYPERLINK("https://ictv.global/taxonomy/taxondetails?taxnode_id=202306462","Narmovirus narivaense")</f>
        <v>Narmovirus narivaense</v>
      </c>
      <c r="S11970" s="18" t="s">
        <v>30</v>
      </c>
      <c r="T11970" s="18" t="s">
        <v>25124</v>
      </c>
      <c r="U11970" s="18" t="s">
        <v>25125</v>
      </c>
      <c r="V11970" s="18" t="s">
        <v>25126</v>
      </c>
      <c r="W11970" s="18" t="s">
        <v>25127</v>
      </c>
      <c r="X11970" s="18" t="s">
        <v>42</v>
      </c>
      <c r="Y11970" s="18" t="s">
        <v>23964</v>
      </c>
      <c r="Z11970" s="18" t="s">
        <v>166</v>
      </c>
      <c r="AA11970" s="21" t="str">
        <f>HYPERLINK("https://www.ncbi.nlm.nih.gov/nuccore/FJ362497","NCBI Nucleotide")</f>
        <v>NCBI Nucleotide</v>
      </c>
    </row>
    <row r="11971" spans="1:27" x14ac:dyDescent="0.35">
      <c r="A11971">
        <v>1027693</v>
      </c>
      <c r="B11971">
        <v>11262</v>
      </c>
      <c r="C11971">
        <v>1</v>
      </c>
      <c r="D11971" s="17" t="s">
        <v>17166</v>
      </c>
      <c r="E11971" s="17"/>
      <c r="F11971" s="17" t="s">
        <v>17246</v>
      </c>
      <c r="G11971" s="17"/>
      <c r="H11971" s="17" t="s">
        <v>23950</v>
      </c>
      <c r="I11971" s="17" t="s">
        <v>23956</v>
      </c>
      <c r="J11971" s="17" t="s">
        <v>24017</v>
      </c>
      <c r="K11971" s="17"/>
      <c r="L11971" s="17" t="s">
        <v>24262</v>
      </c>
      <c r="M11971" s="17"/>
      <c r="N11971" s="17" t="s">
        <v>24897</v>
      </c>
      <c r="O11971" s="17" t="s">
        <v>25008</v>
      </c>
      <c r="P11971" s="17" t="s">
        <v>25116</v>
      </c>
      <c r="Q11971" s="17"/>
      <c r="R11971" s="25" t="str">
        <f>HYPERLINK("https://ictv.global/taxonomy/taxondetails?taxnode_id=202318323","Narmovirus ninovense")</f>
        <v>Narmovirus ninovense</v>
      </c>
      <c r="S11971" s="18" t="s">
        <v>30</v>
      </c>
      <c r="T11971" s="18" t="s">
        <v>46546</v>
      </c>
      <c r="U11971" s="18" t="s">
        <v>46547</v>
      </c>
      <c r="V11971" s="18" t="s">
        <v>46548</v>
      </c>
      <c r="W11971" s="18" t="s">
        <v>48668</v>
      </c>
      <c r="X11971" s="18" t="s">
        <v>42</v>
      </c>
      <c r="Y11971" s="18" t="s">
        <v>23964</v>
      </c>
      <c r="Z11971" s="18" t="s">
        <v>166</v>
      </c>
      <c r="AA11971" s="21" t="str">
        <f>HYPERLINK("https://www.ncbi.nlm.nih.gov/nuccore/OK623359","NCBI Nucleotide")</f>
        <v>NCBI Nucleotide</v>
      </c>
    </row>
    <row r="11972" spans="1:27" x14ac:dyDescent="0.35">
      <c r="A11972">
        <v>1027654</v>
      </c>
      <c r="B11972">
        <v>11263</v>
      </c>
      <c r="C11972">
        <v>1</v>
      </c>
      <c r="D11972" s="17" t="s">
        <v>17166</v>
      </c>
      <c r="E11972" s="17"/>
      <c r="F11972" s="17" t="s">
        <v>17246</v>
      </c>
      <c r="G11972" s="17"/>
      <c r="H11972" s="17" t="s">
        <v>23950</v>
      </c>
      <c r="I11972" s="17" t="s">
        <v>23956</v>
      </c>
      <c r="J11972" s="17" t="s">
        <v>24017</v>
      </c>
      <c r="K11972" s="17"/>
      <c r="L11972" s="17" t="s">
        <v>24262</v>
      </c>
      <c r="M11972" s="17"/>
      <c r="N11972" s="17" t="s">
        <v>24897</v>
      </c>
      <c r="O11972" s="17" t="s">
        <v>25008</v>
      </c>
      <c r="P11972" s="17" t="s">
        <v>46549</v>
      </c>
      <c r="Q11972" s="17"/>
      <c r="R11972" s="25" t="str">
        <f>HYPERLINK("https://ictv.global/taxonomy/taxondetails?taxnode_id=202318334","Parahenipavirus chodsigoae")</f>
        <v>Parahenipavirus chodsigoae</v>
      </c>
      <c r="S11972" s="18" t="s">
        <v>30</v>
      </c>
      <c r="T11972" s="18" t="s">
        <v>46550</v>
      </c>
      <c r="U11972" s="18"/>
      <c r="V11972" s="18" t="s">
        <v>46551</v>
      </c>
      <c r="W11972" s="18" t="s">
        <v>48669</v>
      </c>
      <c r="X11972" s="18" t="s">
        <v>35</v>
      </c>
      <c r="Y11972" s="18" t="s">
        <v>23964</v>
      </c>
      <c r="Z11972" s="18" t="s">
        <v>166</v>
      </c>
      <c r="AA11972" s="21" t="str">
        <f>HYPERLINK("https://www.ncbi.nlm.nih.gov/nuccore/OM030316","NCBI Nucleotide")</f>
        <v>NCBI Nucleotide</v>
      </c>
    </row>
    <row r="11973" spans="1:27" x14ac:dyDescent="0.35">
      <c r="A11973">
        <v>1027655</v>
      </c>
      <c r="B11973">
        <v>11264</v>
      </c>
      <c r="C11973">
        <v>1</v>
      </c>
      <c r="D11973" s="17" t="s">
        <v>17166</v>
      </c>
      <c r="E11973" s="17"/>
      <c r="F11973" s="17" t="s">
        <v>17246</v>
      </c>
      <c r="G11973" s="17"/>
      <c r="H11973" s="17" t="s">
        <v>23950</v>
      </c>
      <c r="I11973" s="17" t="s">
        <v>23956</v>
      </c>
      <c r="J11973" s="17" t="s">
        <v>24017</v>
      </c>
      <c r="K11973" s="17"/>
      <c r="L11973" s="17" t="s">
        <v>24262</v>
      </c>
      <c r="M11973" s="17"/>
      <c r="N11973" s="17" t="s">
        <v>24897</v>
      </c>
      <c r="O11973" s="17" t="s">
        <v>25008</v>
      </c>
      <c r="P11973" s="17" t="s">
        <v>46549</v>
      </c>
      <c r="Q11973" s="17"/>
      <c r="R11973" s="25" t="str">
        <f>HYPERLINK("https://ictv.global/taxonomy/taxondetails?taxnode_id=202318335","Parahenipavirus crocidurae")</f>
        <v>Parahenipavirus crocidurae</v>
      </c>
      <c r="S11973" s="18" t="s">
        <v>30</v>
      </c>
      <c r="T11973" s="18" t="s">
        <v>46552</v>
      </c>
      <c r="U11973" s="18"/>
      <c r="V11973" s="18" t="s">
        <v>46553</v>
      </c>
      <c r="W11973" s="18" t="s">
        <v>48670</v>
      </c>
      <c r="X11973" s="18" t="s">
        <v>35</v>
      </c>
      <c r="Y11973" s="18" t="s">
        <v>23964</v>
      </c>
      <c r="Z11973" s="18" t="s">
        <v>166</v>
      </c>
      <c r="AA11973" s="21" t="str">
        <f>HYPERLINK("https://www.ncbi.nlm.nih.gov/nuccore/OM030317","NCBI Nucleotide")</f>
        <v>NCBI Nucleotide</v>
      </c>
    </row>
    <row r="11974" spans="1:27" x14ac:dyDescent="0.35">
      <c r="A11974">
        <v>1027656</v>
      </c>
      <c r="B11974">
        <v>11265</v>
      </c>
      <c r="C11974">
        <v>1</v>
      </c>
      <c r="D11974" s="17" t="s">
        <v>17166</v>
      </c>
      <c r="E11974" s="17"/>
      <c r="F11974" s="17" t="s">
        <v>17246</v>
      </c>
      <c r="G11974" s="17"/>
      <c r="H11974" s="17" t="s">
        <v>23950</v>
      </c>
      <c r="I11974" s="17" t="s">
        <v>23956</v>
      </c>
      <c r="J11974" s="17" t="s">
        <v>24017</v>
      </c>
      <c r="K11974" s="17"/>
      <c r="L11974" s="17" t="s">
        <v>24262</v>
      </c>
      <c r="M11974" s="17"/>
      <c r="N11974" s="17" t="s">
        <v>24897</v>
      </c>
      <c r="O11974" s="17" t="s">
        <v>25008</v>
      </c>
      <c r="P11974" s="17" t="s">
        <v>46549</v>
      </c>
      <c r="Q11974" s="17"/>
      <c r="R11974" s="25" t="str">
        <f>HYPERLINK("https://ictv.global/taxonomy/taxondetails?taxnode_id=202318329","Parahenipavirus daeryongense")</f>
        <v>Parahenipavirus daeryongense</v>
      </c>
      <c r="S11974" s="18" t="s">
        <v>30</v>
      </c>
      <c r="T11974" s="18" t="s">
        <v>46554</v>
      </c>
      <c r="U11974" s="18"/>
      <c r="V11974" s="18" t="s">
        <v>46555</v>
      </c>
      <c r="W11974" s="18" t="s">
        <v>48671</v>
      </c>
      <c r="X11974" s="18" t="s">
        <v>35</v>
      </c>
      <c r="Y11974" s="18" t="s">
        <v>23964</v>
      </c>
      <c r="Z11974" s="18" t="s">
        <v>166</v>
      </c>
      <c r="AA11974" s="21" t="str">
        <f>HYPERLINK("https://www.ncbi.nlm.nih.gov/nuccore/MZ574409","NCBI Nucleotide")</f>
        <v>NCBI Nucleotide</v>
      </c>
    </row>
    <row r="11975" spans="1:27" x14ac:dyDescent="0.35">
      <c r="A11975">
        <v>1027657</v>
      </c>
      <c r="B11975">
        <v>11266</v>
      </c>
      <c r="C11975">
        <v>1</v>
      </c>
      <c r="D11975" s="17" t="s">
        <v>17166</v>
      </c>
      <c r="E11975" s="17"/>
      <c r="F11975" s="17" t="s">
        <v>17246</v>
      </c>
      <c r="G11975" s="17"/>
      <c r="H11975" s="17" t="s">
        <v>23950</v>
      </c>
      <c r="I11975" s="17" t="s">
        <v>23956</v>
      </c>
      <c r="J11975" s="17" t="s">
        <v>24017</v>
      </c>
      <c r="K11975" s="17"/>
      <c r="L11975" s="17" t="s">
        <v>24262</v>
      </c>
      <c r="M11975" s="17"/>
      <c r="N11975" s="17" t="s">
        <v>24897</v>
      </c>
      <c r="O11975" s="17" t="s">
        <v>25008</v>
      </c>
      <c r="P11975" s="17" t="s">
        <v>46549</v>
      </c>
      <c r="Q11975" s="17"/>
      <c r="R11975" s="25" t="str">
        <f>HYPERLINK("https://ictv.global/taxonomy/taxondetails?taxnode_id=202318328","Parahenipavirus gamakense")</f>
        <v>Parahenipavirus gamakense</v>
      </c>
      <c r="S11975" s="18" t="s">
        <v>30</v>
      </c>
      <c r="T11975" s="18" t="s">
        <v>46556</v>
      </c>
      <c r="U11975" s="18"/>
      <c r="V11975" s="18" t="s">
        <v>46557</v>
      </c>
      <c r="W11975" s="18" t="s">
        <v>48672</v>
      </c>
      <c r="X11975" s="18" t="s">
        <v>35</v>
      </c>
      <c r="Y11975" s="18" t="s">
        <v>23964</v>
      </c>
      <c r="Z11975" s="18" t="s">
        <v>166</v>
      </c>
      <c r="AA11975" s="21" t="str">
        <f>HYPERLINK("https://www.ncbi.nlm.nih.gov/nuccore/MZ574407","NCBI Nucleotide")</f>
        <v>NCBI Nucleotide</v>
      </c>
    </row>
    <row r="11976" spans="1:27" x14ac:dyDescent="0.35">
      <c r="A11976">
        <v>1027658</v>
      </c>
      <c r="B11976">
        <v>11267</v>
      </c>
      <c r="C11976">
        <v>1</v>
      </c>
      <c r="D11976" s="17" t="s">
        <v>17166</v>
      </c>
      <c r="E11976" s="17"/>
      <c r="F11976" s="17" t="s">
        <v>17246</v>
      </c>
      <c r="G11976" s="17"/>
      <c r="H11976" s="17" t="s">
        <v>23950</v>
      </c>
      <c r="I11976" s="17" t="s">
        <v>23956</v>
      </c>
      <c r="J11976" s="17" t="s">
        <v>24017</v>
      </c>
      <c r="K11976" s="17"/>
      <c r="L11976" s="17" t="s">
        <v>24262</v>
      </c>
      <c r="M11976" s="17"/>
      <c r="N11976" s="17" t="s">
        <v>24897</v>
      </c>
      <c r="O11976" s="17" t="s">
        <v>25008</v>
      </c>
      <c r="P11976" s="17" t="s">
        <v>46549</v>
      </c>
      <c r="Q11976" s="17"/>
      <c r="R11976" s="25" t="str">
        <f>HYPERLINK("https://ictv.global/taxonomy/taxondetails?taxnode_id=202318333","Parahenipavirus jingmenense")</f>
        <v>Parahenipavirus jingmenense</v>
      </c>
      <c r="S11976" s="18" t="s">
        <v>30</v>
      </c>
      <c r="T11976" s="18" t="s">
        <v>46558</v>
      </c>
      <c r="U11976" s="18"/>
      <c r="V11976" s="18" t="s">
        <v>46559</v>
      </c>
      <c r="W11976" s="18" t="s">
        <v>48673</v>
      </c>
      <c r="X11976" s="18" t="s">
        <v>35</v>
      </c>
      <c r="Y11976" s="18" t="s">
        <v>23964</v>
      </c>
      <c r="Z11976" s="18" t="s">
        <v>166</v>
      </c>
      <c r="AA11976" s="21" t="str">
        <f>HYPERLINK("https://www.ncbi.nlm.nih.gov/nuccore/OM030314","NCBI Nucleotide")</f>
        <v>NCBI Nucleotide</v>
      </c>
    </row>
    <row r="11977" spans="1:27" x14ac:dyDescent="0.35">
      <c r="A11977">
        <v>1027659</v>
      </c>
      <c r="B11977">
        <v>11268</v>
      </c>
      <c r="C11977">
        <v>1</v>
      </c>
      <c r="D11977" s="17" t="s">
        <v>17166</v>
      </c>
      <c r="E11977" s="17"/>
      <c r="F11977" s="17" t="s">
        <v>17246</v>
      </c>
      <c r="G11977" s="17"/>
      <c r="H11977" s="17" t="s">
        <v>23950</v>
      </c>
      <c r="I11977" s="17" t="s">
        <v>23956</v>
      </c>
      <c r="J11977" s="17" t="s">
        <v>24017</v>
      </c>
      <c r="K11977" s="17"/>
      <c r="L11977" s="17" t="s">
        <v>24262</v>
      </c>
      <c r="M11977" s="17"/>
      <c r="N11977" s="17" t="s">
        <v>24897</v>
      </c>
      <c r="O11977" s="17" t="s">
        <v>25008</v>
      </c>
      <c r="P11977" s="17" t="s">
        <v>46549</v>
      </c>
      <c r="Q11977" s="17"/>
      <c r="R11977" s="25" t="str">
        <f>HYPERLINK("https://ictv.global/taxonomy/taxondetails?taxnode_id=202318336","Parahenipavirus langyaense")</f>
        <v>Parahenipavirus langyaense</v>
      </c>
      <c r="S11977" s="18" t="s">
        <v>30</v>
      </c>
      <c r="T11977" s="18" t="s">
        <v>46560</v>
      </c>
      <c r="U11977" s="18" t="s">
        <v>46561</v>
      </c>
      <c r="V11977" s="18" t="s">
        <v>46562</v>
      </c>
      <c r="W11977" s="18" t="s">
        <v>48674</v>
      </c>
      <c r="X11977" s="18" t="s">
        <v>35</v>
      </c>
      <c r="Y11977" s="18" t="s">
        <v>23964</v>
      </c>
      <c r="Z11977" s="18" t="s">
        <v>166</v>
      </c>
      <c r="AA11977" s="21" t="str">
        <f>HYPERLINK("https://www.ncbi.nlm.nih.gov/nuccore/OM101125","NCBI Nucleotide")</f>
        <v>NCBI Nucleotide</v>
      </c>
    </row>
    <row r="11978" spans="1:27" x14ac:dyDescent="0.35">
      <c r="A11978">
        <v>1027660</v>
      </c>
      <c r="B11978">
        <v>11269</v>
      </c>
      <c r="C11978">
        <v>1</v>
      </c>
      <c r="D11978" s="17" t="s">
        <v>17166</v>
      </c>
      <c r="E11978" s="17"/>
      <c r="F11978" s="17" t="s">
        <v>17246</v>
      </c>
      <c r="G11978" s="17"/>
      <c r="H11978" s="17" t="s">
        <v>23950</v>
      </c>
      <c r="I11978" s="17" t="s">
        <v>23956</v>
      </c>
      <c r="J11978" s="17" t="s">
        <v>24017</v>
      </c>
      <c r="K11978" s="17"/>
      <c r="L11978" s="17" t="s">
        <v>24262</v>
      </c>
      <c r="M11978" s="17"/>
      <c r="N11978" s="17" t="s">
        <v>24897</v>
      </c>
      <c r="O11978" s="17" t="s">
        <v>25008</v>
      </c>
      <c r="P11978" s="17" t="s">
        <v>46549</v>
      </c>
      <c r="Q11978" s="17"/>
      <c r="R11978" s="25" t="str">
        <f>HYPERLINK("https://ictv.global/taxonomy/taxondetails?taxnode_id=202318331","Parahenipavirus meliandouense")</f>
        <v>Parahenipavirus meliandouense</v>
      </c>
      <c r="S11978" s="18" t="s">
        <v>30</v>
      </c>
      <c r="T11978" s="18" t="s">
        <v>46563</v>
      </c>
      <c r="U11978" s="18" t="s">
        <v>46564</v>
      </c>
      <c r="V11978" s="18" t="s">
        <v>46565</v>
      </c>
      <c r="W11978" s="18" t="s">
        <v>48675</v>
      </c>
      <c r="X11978" s="18" t="s">
        <v>42</v>
      </c>
      <c r="Y11978" s="18" t="s">
        <v>23964</v>
      </c>
      <c r="Z11978" s="18" t="s">
        <v>166</v>
      </c>
      <c r="AA11978" s="21" t="str">
        <f>HYPERLINK("https://www.ncbi.nlm.nih.gov/nuccore/OK623353","NCBI Nucleotide")</f>
        <v>NCBI Nucleotide</v>
      </c>
    </row>
    <row r="11979" spans="1:27" x14ac:dyDescent="0.35">
      <c r="A11979">
        <v>1010635</v>
      </c>
      <c r="B11979">
        <v>11270</v>
      </c>
      <c r="C11979">
        <v>1</v>
      </c>
      <c r="D11979" s="17" t="s">
        <v>17166</v>
      </c>
      <c r="E11979" s="17"/>
      <c r="F11979" s="17" t="s">
        <v>17246</v>
      </c>
      <c r="G11979" s="17"/>
      <c r="H11979" s="17" t="s">
        <v>23950</v>
      </c>
      <c r="I11979" s="17" t="s">
        <v>23956</v>
      </c>
      <c r="J11979" s="17" t="s">
        <v>24017</v>
      </c>
      <c r="K11979" s="17"/>
      <c r="L11979" s="17" t="s">
        <v>24262</v>
      </c>
      <c r="M11979" s="17"/>
      <c r="N11979" s="17" t="s">
        <v>24897</v>
      </c>
      <c r="O11979" s="17" t="s">
        <v>25008</v>
      </c>
      <c r="P11979" s="17" t="s">
        <v>46549</v>
      </c>
      <c r="Q11979" s="17"/>
      <c r="R11979" s="25" t="str">
        <f>HYPERLINK("https://ictv.global/taxonomy/taxondetails?taxnode_id=202301610","Parahenipavirus mojiangense")</f>
        <v>Parahenipavirus mojiangense</v>
      </c>
      <c r="S11979" s="18" t="s">
        <v>30</v>
      </c>
      <c r="T11979" s="18" t="s">
        <v>25035</v>
      </c>
      <c r="U11979" s="18" t="s">
        <v>25036</v>
      </c>
      <c r="V11979" s="18" t="s">
        <v>25037</v>
      </c>
      <c r="W11979" s="18" t="s">
        <v>25038</v>
      </c>
      <c r="X11979" s="18" t="s">
        <v>42</v>
      </c>
      <c r="Y11979" s="18" t="s">
        <v>23964</v>
      </c>
      <c r="Z11979" s="18" t="s">
        <v>166</v>
      </c>
      <c r="AA11979" s="21" t="str">
        <f>HYPERLINK("https://www.ncbi.nlm.nih.gov/nuccore/KF278639","NCBI Nucleotide")</f>
        <v>NCBI Nucleotide</v>
      </c>
    </row>
    <row r="11980" spans="1:27" x14ac:dyDescent="0.35">
      <c r="A11980">
        <v>1027661</v>
      </c>
      <c r="B11980">
        <v>11271</v>
      </c>
      <c r="C11980">
        <v>1</v>
      </c>
      <c r="D11980" s="17" t="s">
        <v>17166</v>
      </c>
      <c r="E11980" s="17"/>
      <c r="F11980" s="17" t="s">
        <v>17246</v>
      </c>
      <c r="G11980" s="17"/>
      <c r="H11980" s="17" t="s">
        <v>23950</v>
      </c>
      <c r="I11980" s="17" t="s">
        <v>23956</v>
      </c>
      <c r="J11980" s="17" t="s">
        <v>24017</v>
      </c>
      <c r="K11980" s="17"/>
      <c r="L11980" s="17" t="s">
        <v>24262</v>
      </c>
      <c r="M11980" s="17"/>
      <c r="N11980" s="17" t="s">
        <v>24897</v>
      </c>
      <c r="O11980" s="17" t="s">
        <v>25008</v>
      </c>
      <c r="P11980" s="17" t="s">
        <v>46549</v>
      </c>
      <c r="Q11980" s="17"/>
      <c r="R11980" s="25" t="str">
        <f>HYPERLINK("https://ictv.global/taxonomy/taxondetails?taxnode_id=202318330","Parahenipavirus soricis")</f>
        <v>Parahenipavirus soricis</v>
      </c>
      <c r="S11980" s="18" t="s">
        <v>30</v>
      </c>
      <c r="T11980" s="18" t="s">
        <v>46566</v>
      </c>
      <c r="U11980" s="18" t="s">
        <v>46567</v>
      </c>
      <c r="V11980" s="18" t="s">
        <v>46568</v>
      </c>
      <c r="W11980" s="18" t="s">
        <v>46569</v>
      </c>
      <c r="X11980" s="18" t="s">
        <v>42</v>
      </c>
      <c r="Y11980" s="18" t="s">
        <v>23964</v>
      </c>
      <c r="Z11980" s="18" t="s">
        <v>166</v>
      </c>
      <c r="AA11980" s="21" t="str">
        <f>HYPERLINK("https://www.ncbi.nlm.nih.gov/nuccore/OQ438286","NCBI Nucleotide")</f>
        <v>NCBI Nucleotide</v>
      </c>
    </row>
    <row r="11981" spans="1:27" x14ac:dyDescent="0.35">
      <c r="A11981">
        <v>1027662</v>
      </c>
      <c r="B11981">
        <v>11272</v>
      </c>
      <c r="C11981">
        <v>1</v>
      </c>
      <c r="D11981" s="17" t="s">
        <v>17166</v>
      </c>
      <c r="E11981" s="17"/>
      <c r="F11981" s="17" t="s">
        <v>17246</v>
      </c>
      <c r="G11981" s="17"/>
      <c r="H11981" s="17" t="s">
        <v>23950</v>
      </c>
      <c r="I11981" s="17" t="s">
        <v>23956</v>
      </c>
      <c r="J11981" s="17" t="s">
        <v>24017</v>
      </c>
      <c r="K11981" s="17"/>
      <c r="L11981" s="17" t="s">
        <v>24262</v>
      </c>
      <c r="M11981" s="17"/>
      <c r="N11981" s="17" t="s">
        <v>24897</v>
      </c>
      <c r="O11981" s="17" t="s">
        <v>25008</v>
      </c>
      <c r="P11981" s="17" t="s">
        <v>46549</v>
      </c>
      <c r="Q11981" s="17"/>
      <c r="R11981" s="25" t="str">
        <f>HYPERLINK("https://ictv.global/taxonomy/taxondetails?taxnode_id=202318327","Parahenipavirus wenzhouense")</f>
        <v>Parahenipavirus wenzhouense</v>
      </c>
      <c r="S11981" s="18" t="s">
        <v>30</v>
      </c>
      <c r="T11981" s="18" t="s">
        <v>46570</v>
      </c>
      <c r="U11981" s="18"/>
      <c r="V11981" s="18"/>
      <c r="W11981" s="18" t="s">
        <v>48676</v>
      </c>
      <c r="X11981" s="18" t="s">
        <v>35</v>
      </c>
      <c r="Y11981" s="18" t="s">
        <v>23964</v>
      </c>
      <c r="Z11981" s="18" t="s">
        <v>166</v>
      </c>
      <c r="AA11981" s="21" t="str">
        <f>HYPERLINK("https://www.ncbi.nlm.nih.gov/nuccore/MZ328275","NCBI Nucleotide")</f>
        <v>NCBI Nucleotide</v>
      </c>
    </row>
    <row r="11982" spans="1:27" x14ac:dyDescent="0.35">
      <c r="A11982">
        <v>1027663</v>
      </c>
      <c r="B11982">
        <v>11273</v>
      </c>
      <c r="C11982">
        <v>1</v>
      </c>
      <c r="D11982" s="17" t="s">
        <v>17166</v>
      </c>
      <c r="E11982" s="17"/>
      <c r="F11982" s="17" t="s">
        <v>17246</v>
      </c>
      <c r="G11982" s="17"/>
      <c r="H11982" s="17" t="s">
        <v>23950</v>
      </c>
      <c r="I11982" s="17" t="s">
        <v>23956</v>
      </c>
      <c r="J11982" s="17" t="s">
        <v>24017</v>
      </c>
      <c r="K11982" s="17"/>
      <c r="L11982" s="17" t="s">
        <v>24262</v>
      </c>
      <c r="M11982" s="17"/>
      <c r="N11982" s="17" t="s">
        <v>24897</v>
      </c>
      <c r="O11982" s="17" t="s">
        <v>25008</v>
      </c>
      <c r="P11982" s="17" t="s">
        <v>46549</v>
      </c>
      <c r="Q11982" s="17"/>
      <c r="R11982" s="25" t="str">
        <f>HYPERLINK("https://ictv.global/taxonomy/taxondetails?taxnode_id=202318332","Parahenipavirus winnikense")</f>
        <v>Parahenipavirus winnikense</v>
      </c>
      <c r="S11982" s="18" t="s">
        <v>30</v>
      </c>
      <c r="T11982" s="18" t="s">
        <v>46571</v>
      </c>
      <c r="U11982" s="18" t="s">
        <v>46572</v>
      </c>
      <c r="V11982" s="18" t="s">
        <v>46573</v>
      </c>
      <c r="W11982" s="18" t="s">
        <v>48677</v>
      </c>
      <c r="X11982" s="18" t="s">
        <v>42</v>
      </c>
      <c r="Y11982" s="18" t="s">
        <v>23964</v>
      </c>
      <c r="Z11982" s="18" t="s">
        <v>166</v>
      </c>
      <c r="AA11982" s="21" t="str">
        <f>HYPERLINK("https://www.ncbi.nlm.nih.gov/nuccore/OK623354","NCBI Nucleotide")</f>
        <v>NCBI Nucleotide</v>
      </c>
    </row>
    <row r="11983" spans="1:27" x14ac:dyDescent="0.35">
      <c r="A11983">
        <v>1027664</v>
      </c>
      <c r="B11983">
        <v>11274</v>
      </c>
      <c r="C11983">
        <v>1</v>
      </c>
      <c r="D11983" s="17" t="s">
        <v>17166</v>
      </c>
      <c r="E11983" s="17"/>
      <c r="F11983" s="17" t="s">
        <v>17246</v>
      </c>
      <c r="G11983" s="17"/>
      <c r="H11983" s="17" t="s">
        <v>23950</v>
      </c>
      <c r="I11983" s="17" t="s">
        <v>23956</v>
      </c>
      <c r="J11983" s="17" t="s">
        <v>24017</v>
      </c>
      <c r="K11983" s="17"/>
      <c r="L11983" s="17" t="s">
        <v>24262</v>
      </c>
      <c r="M11983" s="17"/>
      <c r="N11983" s="17" t="s">
        <v>24897</v>
      </c>
      <c r="O11983" s="17" t="s">
        <v>25008</v>
      </c>
      <c r="P11983" s="17" t="s">
        <v>46574</v>
      </c>
      <c r="Q11983" s="17"/>
      <c r="R11983" s="25" t="str">
        <f>HYPERLINK("https://ictv.global/taxonomy/taxondetails?taxnode_id=202318371","Parajeilongvirus brazilense")</f>
        <v>Parajeilongvirus brazilense</v>
      </c>
      <c r="S11983" s="18" t="s">
        <v>30</v>
      </c>
      <c r="T11983" s="18" t="s">
        <v>46575</v>
      </c>
      <c r="U11983" s="18"/>
      <c r="V11983" s="18" t="s">
        <v>46576</v>
      </c>
      <c r="W11983" s="18" t="s">
        <v>48678</v>
      </c>
      <c r="X11983" s="18" t="s">
        <v>35</v>
      </c>
      <c r="Y11983" s="18" t="s">
        <v>23964</v>
      </c>
      <c r="Z11983" s="18" t="s">
        <v>166</v>
      </c>
      <c r="AA11983" s="21" t="str">
        <f>HYPERLINK("https://www.ncbi.nlm.nih.gov/nuccore/MZ312426","NCBI Nucleotide")</f>
        <v>NCBI Nucleotide</v>
      </c>
    </row>
    <row r="11984" spans="1:27" x14ac:dyDescent="0.35">
      <c r="A11984">
        <v>1027665</v>
      </c>
      <c r="B11984">
        <v>11275</v>
      </c>
      <c r="C11984">
        <v>1</v>
      </c>
      <c r="D11984" s="17" t="s">
        <v>17166</v>
      </c>
      <c r="E11984" s="17"/>
      <c r="F11984" s="17" t="s">
        <v>17246</v>
      </c>
      <c r="G11984" s="17"/>
      <c r="H11984" s="17" t="s">
        <v>23950</v>
      </c>
      <c r="I11984" s="17" t="s">
        <v>23956</v>
      </c>
      <c r="J11984" s="17" t="s">
        <v>24017</v>
      </c>
      <c r="K11984" s="17"/>
      <c r="L11984" s="17" t="s">
        <v>24262</v>
      </c>
      <c r="M11984" s="17"/>
      <c r="N11984" s="17" t="s">
        <v>24897</v>
      </c>
      <c r="O11984" s="17" t="s">
        <v>25008</v>
      </c>
      <c r="P11984" s="17" t="s">
        <v>46574</v>
      </c>
      <c r="Q11984" s="17"/>
      <c r="R11984" s="25" t="str">
        <f>HYPERLINK("https://ictv.global/taxonomy/taxondetails?taxnode_id=202318368","Parajeilongvirus carolliae")</f>
        <v>Parajeilongvirus carolliae</v>
      </c>
      <c r="S11984" s="18" t="s">
        <v>30</v>
      </c>
      <c r="T11984" s="18" t="s">
        <v>46577</v>
      </c>
      <c r="U11984" s="18"/>
      <c r="V11984" s="18" t="s">
        <v>46578</v>
      </c>
      <c r="W11984" s="18" t="s">
        <v>48679</v>
      </c>
      <c r="X11984" s="18" t="s">
        <v>35</v>
      </c>
      <c r="Y11984" s="18" t="s">
        <v>23964</v>
      </c>
      <c r="Z11984" s="18" t="s">
        <v>166</v>
      </c>
      <c r="AA11984" s="21" t="str">
        <f>HYPERLINK("https://www.ncbi.nlm.nih.gov/nuccore/MZ312420","NCBI Nucleotide")</f>
        <v>NCBI Nucleotide</v>
      </c>
    </row>
    <row r="11985" spans="1:27" x14ac:dyDescent="0.35">
      <c r="A11985">
        <v>1010640</v>
      </c>
      <c r="B11985">
        <v>11276</v>
      </c>
      <c r="C11985">
        <v>1</v>
      </c>
      <c r="D11985" s="17" t="s">
        <v>17166</v>
      </c>
      <c r="E11985" s="17"/>
      <c r="F11985" s="17" t="s">
        <v>17246</v>
      </c>
      <c r="G11985" s="17"/>
      <c r="H11985" s="17" t="s">
        <v>23950</v>
      </c>
      <c r="I11985" s="17" t="s">
        <v>23956</v>
      </c>
      <c r="J11985" s="17" t="s">
        <v>24017</v>
      </c>
      <c r="K11985" s="17"/>
      <c r="L11985" s="17" t="s">
        <v>24262</v>
      </c>
      <c r="M11985" s="17"/>
      <c r="N11985" s="17" t="s">
        <v>24897</v>
      </c>
      <c r="O11985" s="17" t="s">
        <v>25008</v>
      </c>
      <c r="P11985" s="17" t="s">
        <v>46574</v>
      </c>
      <c r="Q11985" s="17"/>
      <c r="R11985" s="25" t="str">
        <f>HYPERLINK("https://ictv.global/taxonomy/taxondetails?taxnode_id=202313347","Parajeilongvirus comorosense")</f>
        <v>Parajeilongvirus comorosense</v>
      </c>
      <c r="S11985" s="18" t="s">
        <v>30</v>
      </c>
      <c r="T11985" s="18" t="s">
        <v>25050</v>
      </c>
      <c r="U11985" s="18" t="s">
        <v>25051</v>
      </c>
      <c r="V11985" s="18" t="s">
        <v>25052</v>
      </c>
      <c r="W11985" s="18" t="s">
        <v>25053</v>
      </c>
      <c r="X11985" s="18" t="s">
        <v>42</v>
      </c>
      <c r="Y11985" s="18" t="s">
        <v>23964</v>
      </c>
      <c r="Z11985" s="18" t="s">
        <v>166</v>
      </c>
      <c r="AA11985" s="21" t="str">
        <f>HYPERLINK("https://www.ncbi.nlm.nih.gov/nuccore/MG203877","NCBI Nucleotide")</f>
        <v>NCBI Nucleotide</v>
      </c>
    </row>
    <row r="11986" spans="1:27" x14ac:dyDescent="0.35">
      <c r="A11986">
        <v>1027666</v>
      </c>
      <c r="B11986">
        <v>11277</v>
      </c>
      <c r="C11986">
        <v>1</v>
      </c>
      <c r="D11986" s="17" t="s">
        <v>17166</v>
      </c>
      <c r="E11986" s="17"/>
      <c r="F11986" s="17" t="s">
        <v>17246</v>
      </c>
      <c r="G11986" s="17"/>
      <c r="H11986" s="17" t="s">
        <v>23950</v>
      </c>
      <c r="I11986" s="17" t="s">
        <v>23956</v>
      </c>
      <c r="J11986" s="17" t="s">
        <v>24017</v>
      </c>
      <c r="K11986" s="17"/>
      <c r="L11986" s="17" t="s">
        <v>24262</v>
      </c>
      <c r="M11986" s="17"/>
      <c r="N11986" s="17" t="s">
        <v>24897</v>
      </c>
      <c r="O11986" s="17" t="s">
        <v>25008</v>
      </c>
      <c r="P11986" s="17" t="s">
        <v>46574</v>
      </c>
      <c r="Q11986" s="17"/>
      <c r="R11986" s="25" t="str">
        <f>HYPERLINK("https://ictv.global/taxonomy/taxondetails?taxnode_id=202318374","Parajeilongvirus desmodi")</f>
        <v>Parajeilongvirus desmodi</v>
      </c>
      <c r="S11986" s="18" t="s">
        <v>30</v>
      </c>
      <c r="T11986" s="18" t="s">
        <v>46579</v>
      </c>
      <c r="U11986" s="18"/>
      <c r="V11986" s="18"/>
      <c r="W11986" s="18" t="s">
        <v>48680</v>
      </c>
      <c r="X11986" s="18" t="s">
        <v>35</v>
      </c>
      <c r="Y11986" s="18" t="s">
        <v>23964</v>
      </c>
      <c r="Z11986" s="18" t="s">
        <v>166</v>
      </c>
      <c r="AA11986" s="21" t="str">
        <f>HYPERLINK("https://www.ncbi.nlm.nih.gov/nuccore/MZ753810","NCBI Nucleotide")</f>
        <v>NCBI Nucleotide</v>
      </c>
    </row>
    <row r="11987" spans="1:27" x14ac:dyDescent="0.35">
      <c r="A11987">
        <v>1027667</v>
      </c>
      <c r="B11987">
        <v>11278</v>
      </c>
      <c r="C11987">
        <v>1</v>
      </c>
      <c r="D11987" s="17" t="s">
        <v>17166</v>
      </c>
      <c r="E11987" s="17"/>
      <c r="F11987" s="17" t="s">
        <v>17246</v>
      </c>
      <c r="G11987" s="17"/>
      <c r="H11987" s="17" t="s">
        <v>23950</v>
      </c>
      <c r="I11987" s="17" t="s">
        <v>23956</v>
      </c>
      <c r="J11987" s="17" t="s">
        <v>24017</v>
      </c>
      <c r="K11987" s="17"/>
      <c r="L11987" s="17" t="s">
        <v>24262</v>
      </c>
      <c r="M11987" s="17"/>
      <c r="N11987" s="17" t="s">
        <v>24897</v>
      </c>
      <c r="O11987" s="17" t="s">
        <v>25008</v>
      </c>
      <c r="P11987" s="17" t="s">
        <v>46574</v>
      </c>
      <c r="Q11987" s="17"/>
      <c r="R11987" s="25" t="str">
        <f>HYPERLINK("https://ictv.global/taxonomy/taxondetails?taxnode_id=202318370","Parajeilongvirus diaemi")</f>
        <v>Parajeilongvirus diaemi</v>
      </c>
      <c r="S11987" s="18" t="s">
        <v>30</v>
      </c>
      <c r="T11987" s="18" t="s">
        <v>46575</v>
      </c>
      <c r="U11987" s="18"/>
      <c r="V11987" s="18" t="s">
        <v>46580</v>
      </c>
      <c r="W11987" s="18" t="s">
        <v>48681</v>
      </c>
      <c r="X11987" s="18" t="s">
        <v>35</v>
      </c>
      <c r="Y11987" s="18" t="s">
        <v>23964</v>
      </c>
      <c r="Z11987" s="18" t="s">
        <v>166</v>
      </c>
      <c r="AA11987" s="21" t="str">
        <f>HYPERLINK("https://www.ncbi.nlm.nih.gov/nuccore/MZ312424","NCBI Nucleotide")</f>
        <v>NCBI Nucleotide</v>
      </c>
    </row>
    <row r="11988" spans="1:27" x14ac:dyDescent="0.35">
      <c r="A11988">
        <v>1010641</v>
      </c>
      <c r="B11988">
        <v>11279</v>
      </c>
      <c r="C11988">
        <v>1</v>
      </c>
      <c r="D11988" s="17" t="s">
        <v>17166</v>
      </c>
      <c r="E11988" s="17"/>
      <c r="F11988" s="17" t="s">
        <v>17246</v>
      </c>
      <c r="G11988" s="17"/>
      <c r="H11988" s="17" t="s">
        <v>23950</v>
      </c>
      <c r="I11988" s="17" t="s">
        <v>23956</v>
      </c>
      <c r="J11988" s="17" t="s">
        <v>24017</v>
      </c>
      <c r="K11988" s="17"/>
      <c r="L11988" s="17" t="s">
        <v>24262</v>
      </c>
      <c r="M11988" s="17"/>
      <c r="N11988" s="17" t="s">
        <v>24897</v>
      </c>
      <c r="O11988" s="17" t="s">
        <v>25008</v>
      </c>
      <c r="P11988" s="17" t="s">
        <v>46574</v>
      </c>
      <c r="Q11988" s="17"/>
      <c r="R11988" s="25" t="str">
        <f>HYPERLINK("https://ictv.global/taxonomy/taxondetails?taxnode_id=202313345","Parajeilongvirus erinacei")</f>
        <v>Parajeilongvirus erinacei</v>
      </c>
      <c r="S11988" s="18" t="s">
        <v>30</v>
      </c>
      <c r="T11988" s="18" t="s">
        <v>25054</v>
      </c>
      <c r="U11988" s="18" t="s">
        <v>25055</v>
      </c>
      <c r="V11988" s="18" t="s">
        <v>25056</v>
      </c>
      <c r="W11988" s="18" t="s">
        <v>25057</v>
      </c>
      <c r="X11988" s="18" t="s">
        <v>42</v>
      </c>
      <c r="Y11988" s="18" t="s">
        <v>23964</v>
      </c>
      <c r="Z11988" s="18" t="s">
        <v>166</v>
      </c>
      <c r="AA11988" s="21" t="str">
        <f>HYPERLINK("https://www.ncbi.nlm.nih.gov/nuccore/MN561699","NCBI Nucleotide")</f>
        <v>NCBI Nucleotide</v>
      </c>
    </row>
    <row r="11989" spans="1:27" x14ac:dyDescent="0.35">
      <c r="A11989">
        <v>1027668</v>
      </c>
      <c r="B11989">
        <v>11280</v>
      </c>
      <c r="C11989">
        <v>1</v>
      </c>
      <c r="D11989" s="17" t="s">
        <v>17166</v>
      </c>
      <c r="E11989" s="17"/>
      <c r="F11989" s="17" t="s">
        <v>17246</v>
      </c>
      <c r="G11989" s="17"/>
      <c r="H11989" s="17" t="s">
        <v>23950</v>
      </c>
      <c r="I11989" s="17" t="s">
        <v>23956</v>
      </c>
      <c r="J11989" s="17" t="s">
        <v>24017</v>
      </c>
      <c r="K11989" s="17"/>
      <c r="L11989" s="17" t="s">
        <v>24262</v>
      </c>
      <c r="M11989" s="17"/>
      <c r="N11989" s="17" t="s">
        <v>24897</v>
      </c>
      <c r="O11989" s="17" t="s">
        <v>25008</v>
      </c>
      <c r="P11989" s="17" t="s">
        <v>46574</v>
      </c>
      <c r="Q11989" s="17"/>
      <c r="R11989" s="25" t="str">
        <f>HYPERLINK("https://ictv.global/taxonomy/taxondetails?taxnode_id=202318375","Parajeilongvirus hainanense")</f>
        <v>Parajeilongvirus hainanense</v>
      </c>
      <c r="S11989" s="18" t="s">
        <v>30</v>
      </c>
      <c r="T11989" s="18" t="s">
        <v>25074</v>
      </c>
      <c r="U11989" s="18"/>
      <c r="V11989" s="18"/>
      <c r="W11989" s="18" t="s">
        <v>48682</v>
      </c>
      <c r="X11989" s="18" t="s">
        <v>35</v>
      </c>
      <c r="Y11989" s="18" t="s">
        <v>23964</v>
      </c>
      <c r="Z11989" s="18" t="s">
        <v>166</v>
      </c>
      <c r="AA11989" s="21" t="str">
        <f>HYPERLINK("https://www.ncbi.nlm.nih.gov/nuccore/OL630969","NCBI Nucleotide")</f>
        <v>NCBI Nucleotide</v>
      </c>
    </row>
    <row r="11990" spans="1:27" x14ac:dyDescent="0.35">
      <c r="A11990">
        <v>1027669</v>
      </c>
      <c r="B11990">
        <v>11281</v>
      </c>
      <c r="C11990">
        <v>1</v>
      </c>
      <c r="D11990" s="17" t="s">
        <v>17166</v>
      </c>
      <c r="E11990" s="17"/>
      <c r="F11990" s="17" t="s">
        <v>17246</v>
      </c>
      <c r="G11990" s="17"/>
      <c r="H11990" s="17" t="s">
        <v>23950</v>
      </c>
      <c r="I11990" s="17" t="s">
        <v>23956</v>
      </c>
      <c r="J11990" s="17" t="s">
        <v>24017</v>
      </c>
      <c r="K11990" s="17"/>
      <c r="L11990" s="17" t="s">
        <v>24262</v>
      </c>
      <c r="M11990" s="17"/>
      <c r="N11990" s="17" t="s">
        <v>24897</v>
      </c>
      <c r="O11990" s="17" t="s">
        <v>25008</v>
      </c>
      <c r="P11990" s="17" t="s">
        <v>46574</v>
      </c>
      <c r="Q11990" s="17"/>
      <c r="R11990" s="25" t="str">
        <f>HYPERLINK("https://ictv.global/taxonomy/taxondetails?taxnode_id=202318369","Parajeilongvirus hipposideri")</f>
        <v>Parajeilongvirus hipposideri</v>
      </c>
      <c r="S11990" s="18" t="s">
        <v>30</v>
      </c>
      <c r="T11990" s="18" t="s">
        <v>46581</v>
      </c>
      <c r="U11990" s="18"/>
      <c r="V11990" s="18" t="s">
        <v>46582</v>
      </c>
      <c r="W11990" s="18" t="s">
        <v>48683</v>
      </c>
      <c r="X11990" s="18" t="s">
        <v>35</v>
      </c>
      <c r="Y11990" s="18" t="s">
        <v>23964</v>
      </c>
      <c r="Z11990" s="18" t="s">
        <v>166</v>
      </c>
      <c r="AA11990" s="21" t="str">
        <f>HYPERLINK("https://www.ncbi.nlm.nih.gov/nuccore/MZ312421","NCBI Nucleotide")</f>
        <v>NCBI Nucleotide</v>
      </c>
    </row>
    <row r="11991" spans="1:27" x14ac:dyDescent="0.35">
      <c r="A11991">
        <v>1027670</v>
      </c>
      <c r="B11991">
        <v>11282</v>
      </c>
      <c r="C11991">
        <v>1</v>
      </c>
      <c r="D11991" s="17" t="s">
        <v>17166</v>
      </c>
      <c r="E11991" s="17"/>
      <c r="F11991" s="17" t="s">
        <v>17246</v>
      </c>
      <c r="G11991" s="17"/>
      <c r="H11991" s="17" t="s">
        <v>23950</v>
      </c>
      <c r="I11991" s="17" t="s">
        <v>23956</v>
      </c>
      <c r="J11991" s="17" t="s">
        <v>24017</v>
      </c>
      <c r="K11991" s="17"/>
      <c r="L11991" s="17" t="s">
        <v>24262</v>
      </c>
      <c r="M11991" s="17"/>
      <c r="N11991" s="17" t="s">
        <v>24897</v>
      </c>
      <c r="O11991" s="17" t="s">
        <v>25008</v>
      </c>
      <c r="P11991" s="17" t="s">
        <v>46574</v>
      </c>
      <c r="Q11991" s="17"/>
      <c r="R11991" s="25" t="str">
        <f>HYPERLINK("https://ictv.global/taxonomy/taxondetails?taxnode_id=202318372","Parajeilongvirus hubeiense")</f>
        <v>Parajeilongvirus hubeiense</v>
      </c>
      <c r="S11991" s="18" t="s">
        <v>30</v>
      </c>
      <c r="T11991" s="18" t="s">
        <v>46583</v>
      </c>
      <c r="U11991" s="18"/>
      <c r="V11991" s="18"/>
      <c r="W11991" s="18" t="s">
        <v>48684</v>
      </c>
      <c r="X11991" s="18" t="s">
        <v>35</v>
      </c>
      <c r="Y11991" s="18" t="s">
        <v>23964</v>
      </c>
      <c r="Z11991" s="18" t="s">
        <v>166</v>
      </c>
      <c r="AA11991" s="21" t="str">
        <f>HYPERLINK("https://www.ncbi.nlm.nih.gov/nuccore/MZ328288","NCBI Nucleotide")</f>
        <v>NCBI Nucleotide</v>
      </c>
    </row>
    <row r="11992" spans="1:27" x14ac:dyDescent="0.35">
      <c r="A11992">
        <v>1027671</v>
      </c>
      <c r="B11992">
        <v>11283</v>
      </c>
      <c r="C11992">
        <v>1</v>
      </c>
      <c r="D11992" s="17" t="s">
        <v>17166</v>
      </c>
      <c r="E11992" s="17"/>
      <c r="F11992" s="17" t="s">
        <v>17246</v>
      </c>
      <c r="G11992" s="17"/>
      <c r="H11992" s="17" t="s">
        <v>23950</v>
      </c>
      <c r="I11992" s="17" t="s">
        <v>23956</v>
      </c>
      <c r="J11992" s="17" t="s">
        <v>24017</v>
      </c>
      <c r="K11992" s="17"/>
      <c r="L11992" s="17" t="s">
        <v>24262</v>
      </c>
      <c r="M11992" s="17"/>
      <c r="N11992" s="17" t="s">
        <v>24897</v>
      </c>
      <c r="O11992" s="17" t="s">
        <v>25008</v>
      </c>
      <c r="P11992" s="17" t="s">
        <v>46574</v>
      </c>
      <c r="Q11992" s="17"/>
      <c r="R11992" s="25" t="str">
        <f>HYPERLINK("https://ictv.global/taxonomy/taxondetails?taxnode_id=202318377","Parajeilongvirus jingmenense")</f>
        <v>Parajeilongvirus jingmenense</v>
      </c>
      <c r="S11992" s="18" t="s">
        <v>30</v>
      </c>
      <c r="T11992" s="18" t="s">
        <v>46584</v>
      </c>
      <c r="U11992" s="18"/>
      <c r="V11992" s="18" t="s">
        <v>46585</v>
      </c>
      <c r="W11992" s="18" t="s">
        <v>48685</v>
      </c>
      <c r="X11992" s="18" t="s">
        <v>35</v>
      </c>
      <c r="Y11992" s="18" t="s">
        <v>23964</v>
      </c>
      <c r="Z11992" s="18" t="s">
        <v>166</v>
      </c>
      <c r="AA11992" s="21" t="str">
        <f>HYPERLINK("https://www.ncbi.nlm.nih.gov/nuccore/OM030334","NCBI Nucleotide")</f>
        <v>NCBI Nucleotide</v>
      </c>
    </row>
    <row r="11993" spans="1:27" x14ac:dyDescent="0.35">
      <c r="A11993">
        <v>1010645</v>
      </c>
      <c r="B11993">
        <v>11284</v>
      </c>
      <c r="C11993">
        <v>1</v>
      </c>
      <c r="D11993" s="17" t="s">
        <v>17166</v>
      </c>
      <c r="E11993" s="17"/>
      <c r="F11993" s="17" t="s">
        <v>17246</v>
      </c>
      <c r="G11993" s="17"/>
      <c r="H11993" s="17" t="s">
        <v>23950</v>
      </c>
      <c r="I11993" s="17" t="s">
        <v>23956</v>
      </c>
      <c r="J11993" s="17" t="s">
        <v>24017</v>
      </c>
      <c r="K11993" s="17"/>
      <c r="L11993" s="17" t="s">
        <v>24262</v>
      </c>
      <c r="M11993" s="17"/>
      <c r="N11993" s="17" t="s">
        <v>24897</v>
      </c>
      <c r="O11993" s="17" t="s">
        <v>25008</v>
      </c>
      <c r="P11993" s="17" t="s">
        <v>46574</v>
      </c>
      <c r="Q11993" s="17"/>
      <c r="R11993" s="25" t="str">
        <f>HYPERLINK("https://ictv.global/taxonomy/taxondetails?taxnode_id=202313348","Parajeilongvirus madagascarense")</f>
        <v>Parajeilongvirus madagascarense</v>
      </c>
      <c r="S11993" s="18" t="s">
        <v>30</v>
      </c>
      <c r="T11993" s="18" t="s">
        <v>25066</v>
      </c>
      <c r="U11993" s="18" t="s">
        <v>25067</v>
      </c>
      <c r="V11993" s="18" t="s">
        <v>25068</v>
      </c>
      <c r="W11993" s="18" t="s">
        <v>25069</v>
      </c>
      <c r="X11993" s="18" t="s">
        <v>42</v>
      </c>
      <c r="Y11993" s="18" t="s">
        <v>23964</v>
      </c>
      <c r="Z11993" s="18" t="s">
        <v>166</v>
      </c>
      <c r="AA11993" s="21" t="str">
        <f>HYPERLINK("https://www.ncbi.nlm.nih.gov/nuccore/MG203878","NCBI Nucleotide")</f>
        <v>NCBI Nucleotide</v>
      </c>
    </row>
    <row r="11994" spans="1:27" x14ac:dyDescent="0.35">
      <c r="A11994">
        <v>1010646</v>
      </c>
      <c r="B11994">
        <v>11285</v>
      </c>
      <c r="C11994">
        <v>1</v>
      </c>
      <c r="D11994" s="17" t="s">
        <v>17166</v>
      </c>
      <c r="E11994" s="17"/>
      <c r="F11994" s="17" t="s">
        <v>17246</v>
      </c>
      <c r="G11994" s="17"/>
      <c r="H11994" s="17" t="s">
        <v>23950</v>
      </c>
      <c r="I11994" s="17" t="s">
        <v>23956</v>
      </c>
      <c r="J11994" s="17" t="s">
        <v>24017</v>
      </c>
      <c r="K11994" s="17"/>
      <c r="L11994" s="17" t="s">
        <v>24262</v>
      </c>
      <c r="M11994" s="17"/>
      <c r="N11994" s="17" t="s">
        <v>24897</v>
      </c>
      <c r="O11994" s="17" t="s">
        <v>25008</v>
      </c>
      <c r="P11994" s="17" t="s">
        <v>46574</v>
      </c>
      <c r="Q11994" s="17"/>
      <c r="R11994" s="25" t="str">
        <f>HYPERLINK("https://ictv.global/taxonomy/taxondetails?taxnode_id=202307560","Parajeilongvirus miniopteri")</f>
        <v>Parajeilongvirus miniopteri</v>
      </c>
      <c r="S11994" s="18" t="s">
        <v>30</v>
      </c>
      <c r="T11994" s="18" t="s">
        <v>25070</v>
      </c>
      <c r="U11994" s="18" t="s">
        <v>25071</v>
      </c>
      <c r="V11994" s="18" t="s">
        <v>25072</v>
      </c>
      <c r="W11994" s="18" t="s">
        <v>25073</v>
      </c>
      <c r="X11994" s="18" t="s">
        <v>154</v>
      </c>
      <c r="Y11994" s="18" t="s">
        <v>23964</v>
      </c>
      <c r="Z11994" s="18" t="s">
        <v>166</v>
      </c>
      <c r="AA11994" s="21" t="str">
        <f>HYPERLINK("https://www.ncbi.nlm.nih.gov/nuccore/MG230624","NCBI Nucleotide")</f>
        <v>NCBI Nucleotide</v>
      </c>
    </row>
    <row r="11995" spans="1:27" x14ac:dyDescent="0.35">
      <c r="A11995">
        <v>1027672</v>
      </c>
      <c r="B11995">
        <v>11286</v>
      </c>
      <c r="C11995">
        <v>1</v>
      </c>
      <c r="D11995" s="17" t="s">
        <v>17166</v>
      </c>
      <c r="E11995" s="17"/>
      <c r="F11995" s="17" t="s">
        <v>17246</v>
      </c>
      <c r="G11995" s="17"/>
      <c r="H11995" s="17" t="s">
        <v>23950</v>
      </c>
      <c r="I11995" s="17" t="s">
        <v>23956</v>
      </c>
      <c r="J11995" s="17" t="s">
        <v>24017</v>
      </c>
      <c r="K11995" s="17"/>
      <c r="L11995" s="17" t="s">
        <v>24262</v>
      </c>
      <c r="M11995" s="17"/>
      <c r="N11995" s="17" t="s">
        <v>24897</v>
      </c>
      <c r="O11995" s="17" t="s">
        <v>25008</v>
      </c>
      <c r="P11995" s="17" t="s">
        <v>46574</v>
      </c>
      <c r="Q11995" s="17"/>
      <c r="R11995" s="25" t="str">
        <f>HYPERLINK("https://ictv.global/taxonomy/taxondetails?taxnode_id=202318376","Parajeilongvirus myotis")</f>
        <v>Parajeilongvirus myotis</v>
      </c>
      <c r="S11995" s="18" t="s">
        <v>30</v>
      </c>
      <c r="T11995" s="18" t="s">
        <v>46586</v>
      </c>
      <c r="U11995" s="18"/>
      <c r="V11995" s="18" t="s">
        <v>46587</v>
      </c>
      <c r="W11995" s="18" t="s">
        <v>48686</v>
      </c>
      <c r="X11995" s="18" t="s">
        <v>35</v>
      </c>
      <c r="Y11995" s="18" t="s">
        <v>23964</v>
      </c>
      <c r="Z11995" s="18" t="s">
        <v>166</v>
      </c>
      <c r="AA11995" s="21" t="str">
        <f>HYPERLINK("https://www.ncbi.nlm.nih.gov/nuccore/OM030333","NCBI Nucleotide")</f>
        <v>NCBI Nucleotide</v>
      </c>
    </row>
    <row r="11996" spans="1:27" x14ac:dyDescent="0.35">
      <c r="A11996">
        <v>1027673</v>
      </c>
      <c r="B11996">
        <v>11287</v>
      </c>
      <c r="C11996">
        <v>1</v>
      </c>
      <c r="D11996" s="17" t="s">
        <v>17166</v>
      </c>
      <c r="E11996" s="17"/>
      <c r="F11996" s="17" t="s">
        <v>17246</v>
      </c>
      <c r="G11996" s="17"/>
      <c r="H11996" s="17" t="s">
        <v>23950</v>
      </c>
      <c r="I11996" s="17" t="s">
        <v>23956</v>
      </c>
      <c r="J11996" s="17" t="s">
        <v>24017</v>
      </c>
      <c r="K11996" s="17"/>
      <c r="L11996" s="17" t="s">
        <v>24262</v>
      </c>
      <c r="M11996" s="17"/>
      <c r="N11996" s="17" t="s">
        <v>24897</v>
      </c>
      <c r="O11996" s="17" t="s">
        <v>25008</v>
      </c>
      <c r="P11996" s="17" t="s">
        <v>46574</v>
      </c>
      <c r="Q11996" s="17"/>
      <c r="R11996" s="25" t="str">
        <f>HYPERLINK("https://ictv.global/taxonomy/taxondetails?taxnode_id=202318380","Parajeilongvirus pipistrelli")</f>
        <v>Parajeilongvirus pipistrelli</v>
      </c>
      <c r="S11996" s="18" t="s">
        <v>30</v>
      </c>
      <c r="T11996" s="18" t="s">
        <v>46588</v>
      </c>
      <c r="U11996" s="18" t="s">
        <v>46589</v>
      </c>
      <c r="V11996" s="18" t="s">
        <v>46590</v>
      </c>
      <c r="W11996" s="18" t="s">
        <v>46591</v>
      </c>
      <c r="X11996" s="18" t="s">
        <v>42</v>
      </c>
      <c r="Y11996" s="18" t="s">
        <v>23964</v>
      </c>
      <c r="Z11996" s="18" t="s">
        <v>166</v>
      </c>
      <c r="AA11996" s="21" t="str">
        <f>HYPERLINK("https://www.ncbi.nlm.nih.gov/nuccore/OQ438288","NCBI Nucleotide")</f>
        <v>NCBI Nucleotide</v>
      </c>
    </row>
    <row r="11997" spans="1:27" x14ac:dyDescent="0.35">
      <c r="A11997">
        <v>1027674</v>
      </c>
      <c r="B11997">
        <v>11288</v>
      </c>
      <c r="C11997">
        <v>1</v>
      </c>
      <c r="D11997" s="17" t="s">
        <v>17166</v>
      </c>
      <c r="E11997" s="17"/>
      <c r="F11997" s="17" t="s">
        <v>17246</v>
      </c>
      <c r="G11997" s="17"/>
      <c r="H11997" s="17" t="s">
        <v>23950</v>
      </c>
      <c r="I11997" s="17" t="s">
        <v>23956</v>
      </c>
      <c r="J11997" s="17" t="s">
        <v>24017</v>
      </c>
      <c r="K11997" s="17"/>
      <c r="L11997" s="17" t="s">
        <v>24262</v>
      </c>
      <c r="M11997" s="17"/>
      <c r="N11997" s="17" t="s">
        <v>24897</v>
      </c>
      <c r="O11997" s="17" t="s">
        <v>25008</v>
      </c>
      <c r="P11997" s="17" t="s">
        <v>46574</v>
      </c>
      <c r="Q11997" s="17"/>
      <c r="R11997" s="25" t="str">
        <f>HYPERLINK("https://ictv.global/taxonomy/taxondetails?taxnode_id=202318381","Parajeilongvirus plecoti")</f>
        <v>Parajeilongvirus plecoti</v>
      </c>
      <c r="S11997" s="18" t="s">
        <v>30</v>
      </c>
      <c r="T11997" s="18" t="s">
        <v>46592</v>
      </c>
      <c r="U11997" s="18" t="s">
        <v>46593</v>
      </c>
      <c r="V11997" s="18" t="s">
        <v>46594</v>
      </c>
      <c r="W11997" s="18" t="s">
        <v>46595</v>
      </c>
      <c r="X11997" s="18" t="s">
        <v>42</v>
      </c>
      <c r="Y11997" s="18" t="s">
        <v>23964</v>
      </c>
      <c r="Z11997" s="18" t="s">
        <v>166</v>
      </c>
      <c r="AA11997" s="21" t="str">
        <f>HYPERLINK("https://www.ncbi.nlm.nih.gov/nuccore/OQ438289","NCBI Nucleotide")</f>
        <v>NCBI Nucleotide</v>
      </c>
    </row>
    <row r="11998" spans="1:27" x14ac:dyDescent="0.35">
      <c r="A11998">
        <v>1027675</v>
      </c>
      <c r="B11998">
        <v>11289</v>
      </c>
      <c r="C11998">
        <v>1</v>
      </c>
      <c r="D11998" s="17" t="s">
        <v>17166</v>
      </c>
      <c r="E11998" s="17"/>
      <c r="F11998" s="17" t="s">
        <v>17246</v>
      </c>
      <c r="G11998" s="17"/>
      <c r="H11998" s="17" t="s">
        <v>23950</v>
      </c>
      <c r="I11998" s="17" t="s">
        <v>23956</v>
      </c>
      <c r="J11998" s="17" t="s">
        <v>24017</v>
      </c>
      <c r="K11998" s="17"/>
      <c r="L11998" s="17" t="s">
        <v>24262</v>
      </c>
      <c r="M11998" s="17"/>
      <c r="N11998" s="17" t="s">
        <v>24897</v>
      </c>
      <c r="O11998" s="17" t="s">
        <v>25008</v>
      </c>
      <c r="P11998" s="17" t="s">
        <v>46574</v>
      </c>
      <c r="Q11998" s="17"/>
      <c r="R11998" s="25" t="str">
        <f>HYPERLINK("https://ictv.global/taxonomy/taxondetails?taxnode_id=202318373","Parajeilongvirus rhinolophi")</f>
        <v>Parajeilongvirus rhinolophi</v>
      </c>
      <c r="S11998" s="18" t="s">
        <v>30</v>
      </c>
      <c r="T11998" s="18" t="s">
        <v>46596</v>
      </c>
      <c r="U11998" s="18"/>
      <c r="V11998" s="18"/>
      <c r="W11998" s="18" t="s">
        <v>48687</v>
      </c>
      <c r="X11998" s="18" t="s">
        <v>35</v>
      </c>
      <c r="Y11998" s="18" t="s">
        <v>23964</v>
      </c>
      <c r="Z11998" s="18" t="s">
        <v>166</v>
      </c>
      <c r="AA11998" s="21" t="str">
        <f>HYPERLINK("https://www.ncbi.nlm.nih.gov/nuccore/MZ328290","NCBI Nucleotide")</f>
        <v>NCBI Nucleotide</v>
      </c>
    </row>
    <row r="11999" spans="1:27" x14ac:dyDescent="0.35">
      <c r="A11999">
        <v>1027676</v>
      </c>
      <c r="B11999">
        <v>11290</v>
      </c>
      <c r="C11999">
        <v>1</v>
      </c>
      <c r="D11999" s="17" t="s">
        <v>17166</v>
      </c>
      <c r="E11999" s="17"/>
      <c r="F11999" s="17" t="s">
        <v>17246</v>
      </c>
      <c r="G11999" s="17"/>
      <c r="H11999" s="17" t="s">
        <v>23950</v>
      </c>
      <c r="I11999" s="17" t="s">
        <v>23956</v>
      </c>
      <c r="J11999" s="17" t="s">
        <v>24017</v>
      </c>
      <c r="K11999" s="17"/>
      <c r="L11999" s="17" t="s">
        <v>24262</v>
      </c>
      <c r="M11999" s="17"/>
      <c r="N11999" s="17" t="s">
        <v>24897</v>
      </c>
      <c r="O11999" s="17" t="s">
        <v>25008</v>
      </c>
      <c r="P11999" s="17" t="s">
        <v>46574</v>
      </c>
      <c r="Q11999" s="17"/>
      <c r="R11999" s="25" t="str">
        <f>HYPERLINK("https://ictv.global/taxonomy/taxondetails?taxnode_id=202318378","Parajeilongvirus wenzhouense")</f>
        <v>Parajeilongvirus wenzhouense</v>
      </c>
      <c r="S11999" s="18" t="s">
        <v>30</v>
      </c>
      <c r="T11999" s="18" t="s">
        <v>46597</v>
      </c>
      <c r="U11999" s="18"/>
      <c r="V11999" s="18" t="s">
        <v>46598</v>
      </c>
      <c r="W11999" s="18" t="s">
        <v>48688</v>
      </c>
      <c r="X11999" s="18" t="s">
        <v>35</v>
      </c>
      <c r="Y11999" s="18" t="s">
        <v>23964</v>
      </c>
      <c r="Z11999" s="18" t="s">
        <v>166</v>
      </c>
      <c r="AA11999" s="21" t="str">
        <f>HYPERLINK("https://www.ncbi.nlm.nih.gov/nuccore/OM030335","NCBI Nucleotide")</f>
        <v>NCBI Nucleotide</v>
      </c>
    </row>
    <row r="12000" spans="1:27" x14ac:dyDescent="0.35">
      <c r="A12000">
        <v>1027677</v>
      </c>
      <c r="B12000">
        <v>11291</v>
      </c>
      <c r="C12000">
        <v>1</v>
      </c>
      <c r="D12000" s="17" t="s">
        <v>17166</v>
      </c>
      <c r="E12000" s="17"/>
      <c r="F12000" s="17" t="s">
        <v>17246</v>
      </c>
      <c r="G12000" s="17"/>
      <c r="H12000" s="17" t="s">
        <v>23950</v>
      </c>
      <c r="I12000" s="17" t="s">
        <v>23956</v>
      </c>
      <c r="J12000" s="17" t="s">
        <v>24017</v>
      </c>
      <c r="K12000" s="17"/>
      <c r="L12000" s="17" t="s">
        <v>24262</v>
      </c>
      <c r="M12000" s="17"/>
      <c r="N12000" s="17" t="s">
        <v>24897</v>
      </c>
      <c r="O12000" s="17" t="s">
        <v>25008</v>
      </c>
      <c r="P12000" s="17" t="s">
        <v>46574</v>
      </c>
      <c r="Q12000" s="17"/>
      <c r="R12000" s="25" t="str">
        <f>HYPERLINK("https://ictv.global/taxonomy/taxondetails?taxnode_id=202318379","Parajeilongvirus zhejiangense")</f>
        <v>Parajeilongvirus zhejiangense</v>
      </c>
      <c r="S12000" s="18" t="s">
        <v>30</v>
      </c>
      <c r="T12000" s="18" t="s">
        <v>46599</v>
      </c>
      <c r="U12000" s="18"/>
      <c r="V12000" s="18" t="s">
        <v>46598</v>
      </c>
      <c r="W12000" s="18" t="s">
        <v>48689</v>
      </c>
      <c r="X12000" s="18" t="s">
        <v>35</v>
      </c>
      <c r="Y12000" s="18" t="s">
        <v>23964</v>
      </c>
      <c r="Z12000" s="18" t="s">
        <v>166</v>
      </c>
      <c r="AA12000" s="21" t="str">
        <f>HYPERLINK("https://www.ncbi.nlm.nih.gov/nuccore/OM030336","NCBI Nucleotide")</f>
        <v>NCBI Nucleotide</v>
      </c>
    </row>
    <row r="12001" spans="1:27" x14ac:dyDescent="0.35">
      <c r="A12001">
        <v>1027678</v>
      </c>
      <c r="B12001">
        <v>11292</v>
      </c>
      <c r="C12001">
        <v>1</v>
      </c>
      <c r="D12001" s="17" t="s">
        <v>17166</v>
      </c>
      <c r="E12001" s="17"/>
      <c r="F12001" s="17" t="s">
        <v>17246</v>
      </c>
      <c r="G12001" s="17"/>
      <c r="H12001" s="17" t="s">
        <v>23950</v>
      </c>
      <c r="I12001" s="17" t="s">
        <v>23956</v>
      </c>
      <c r="J12001" s="17" t="s">
        <v>24017</v>
      </c>
      <c r="K12001" s="17"/>
      <c r="L12001" s="17" t="s">
        <v>24262</v>
      </c>
      <c r="M12001" s="17"/>
      <c r="N12001" s="17" t="s">
        <v>24897</v>
      </c>
      <c r="O12001" s="17" t="s">
        <v>25008</v>
      </c>
      <c r="P12001" s="17" t="s">
        <v>46600</v>
      </c>
      <c r="Q12001" s="17"/>
      <c r="R12001" s="25" t="str">
        <f>HYPERLINK("https://ictv.global/taxonomy/taxondetails?taxnode_id=202318341","Paramorbillivirus berylmysis")</f>
        <v>Paramorbillivirus berylmysis</v>
      </c>
      <c r="S12001" s="18" t="s">
        <v>30</v>
      </c>
      <c r="T12001" s="18" t="s">
        <v>46601</v>
      </c>
      <c r="U12001" s="18"/>
      <c r="V12001" s="18"/>
      <c r="W12001" s="18" t="s">
        <v>48690</v>
      </c>
      <c r="X12001" s="18" t="s">
        <v>35</v>
      </c>
      <c r="Y12001" s="18" t="s">
        <v>23964</v>
      </c>
      <c r="Z12001" s="18" t="s">
        <v>166</v>
      </c>
      <c r="AA12001" s="21" t="str">
        <f>HYPERLINK("https://www.ncbi.nlm.nih.gov/nuccore/MZ328284","NCBI Nucleotide")</f>
        <v>NCBI Nucleotide</v>
      </c>
    </row>
    <row r="12002" spans="1:27" x14ac:dyDescent="0.35">
      <c r="A12002">
        <v>1027679</v>
      </c>
      <c r="B12002">
        <v>11293</v>
      </c>
      <c r="C12002">
        <v>1</v>
      </c>
      <c r="D12002" s="17" t="s">
        <v>17166</v>
      </c>
      <c r="E12002" s="17"/>
      <c r="F12002" s="17" t="s">
        <v>17246</v>
      </c>
      <c r="G12002" s="17"/>
      <c r="H12002" s="17" t="s">
        <v>23950</v>
      </c>
      <c r="I12002" s="17" t="s">
        <v>23956</v>
      </c>
      <c r="J12002" s="17" t="s">
        <v>24017</v>
      </c>
      <c r="K12002" s="17"/>
      <c r="L12002" s="17" t="s">
        <v>24262</v>
      </c>
      <c r="M12002" s="17"/>
      <c r="N12002" s="17" t="s">
        <v>24897</v>
      </c>
      <c r="O12002" s="17" t="s">
        <v>25008</v>
      </c>
      <c r="P12002" s="17" t="s">
        <v>46600</v>
      </c>
      <c r="Q12002" s="17"/>
      <c r="R12002" s="25" t="str">
        <f>HYPERLINK("https://ictv.global/taxonomy/taxondetails?taxnode_id=202318343","Paramorbillivirus gierlense")</f>
        <v>Paramorbillivirus gierlense</v>
      </c>
      <c r="S12002" s="18" t="s">
        <v>30</v>
      </c>
      <c r="T12002" s="18" t="s">
        <v>46602</v>
      </c>
      <c r="U12002" s="18" t="s">
        <v>46603</v>
      </c>
      <c r="V12002" s="18" t="s">
        <v>46604</v>
      </c>
      <c r="W12002" s="18" t="s">
        <v>48691</v>
      </c>
      <c r="X12002" s="18" t="s">
        <v>42</v>
      </c>
      <c r="Y12002" s="18" t="s">
        <v>23964</v>
      </c>
      <c r="Z12002" s="18" t="s">
        <v>166</v>
      </c>
      <c r="AA12002" s="21" t="str">
        <f>HYPERLINK("https://www.ncbi.nlm.nih.gov/nuccore/OK623356","NCBI Nucleotide")</f>
        <v>NCBI Nucleotide</v>
      </c>
    </row>
    <row r="12003" spans="1:27" x14ac:dyDescent="0.35">
      <c r="A12003">
        <v>1027680</v>
      </c>
      <c r="B12003">
        <v>11294</v>
      </c>
      <c r="C12003">
        <v>1</v>
      </c>
      <c r="D12003" s="17" t="s">
        <v>17166</v>
      </c>
      <c r="E12003" s="17"/>
      <c r="F12003" s="17" t="s">
        <v>17246</v>
      </c>
      <c r="G12003" s="17"/>
      <c r="H12003" s="17" t="s">
        <v>23950</v>
      </c>
      <c r="I12003" s="17" t="s">
        <v>23956</v>
      </c>
      <c r="J12003" s="17" t="s">
        <v>24017</v>
      </c>
      <c r="K12003" s="17"/>
      <c r="L12003" s="17" t="s">
        <v>24262</v>
      </c>
      <c r="M12003" s="17"/>
      <c r="N12003" s="17" t="s">
        <v>24897</v>
      </c>
      <c r="O12003" s="17" t="s">
        <v>25008</v>
      </c>
      <c r="P12003" s="17" t="s">
        <v>46600</v>
      </c>
      <c r="Q12003" s="17"/>
      <c r="R12003" s="25" t="str">
        <f>HYPERLINK("https://ictv.global/taxonomy/taxondetails?taxnode_id=202318342","Paramorbillivirus niviventris")</f>
        <v>Paramorbillivirus niviventris</v>
      </c>
      <c r="S12003" s="18" t="s">
        <v>30</v>
      </c>
      <c r="T12003" s="18" t="s">
        <v>46605</v>
      </c>
      <c r="U12003" s="18"/>
      <c r="V12003" s="18"/>
      <c r="W12003" s="18" t="s">
        <v>48692</v>
      </c>
      <c r="X12003" s="18" t="s">
        <v>35</v>
      </c>
      <c r="Y12003" s="18" t="s">
        <v>23964</v>
      </c>
      <c r="Z12003" s="18" t="s">
        <v>166</v>
      </c>
      <c r="AA12003" s="21" t="str">
        <f>HYPERLINK("https://www.ncbi.nlm.nih.gov/nuccore/MZ328285","NCBI Nucleotide")</f>
        <v>NCBI Nucleotide</v>
      </c>
    </row>
    <row r="12004" spans="1:27" x14ac:dyDescent="0.35">
      <c r="A12004">
        <v>1027681</v>
      </c>
      <c r="B12004">
        <v>11295</v>
      </c>
      <c r="C12004">
        <v>1</v>
      </c>
      <c r="D12004" s="17" t="s">
        <v>17166</v>
      </c>
      <c r="E12004" s="17"/>
      <c r="F12004" s="17" t="s">
        <v>17246</v>
      </c>
      <c r="G12004" s="17"/>
      <c r="H12004" s="17" t="s">
        <v>23950</v>
      </c>
      <c r="I12004" s="17" t="s">
        <v>23956</v>
      </c>
      <c r="J12004" s="17" t="s">
        <v>24017</v>
      </c>
      <c r="K12004" s="17"/>
      <c r="L12004" s="17" t="s">
        <v>24262</v>
      </c>
      <c r="M12004" s="17"/>
      <c r="N12004" s="17" t="s">
        <v>24897</v>
      </c>
      <c r="O12004" s="17" t="s">
        <v>25008</v>
      </c>
      <c r="P12004" s="17" t="s">
        <v>46600</v>
      </c>
      <c r="Q12004" s="17"/>
      <c r="R12004" s="25" t="str">
        <f>HYPERLINK("https://ictv.global/taxonomy/taxondetails?taxnode_id=202318340","Paramorbillivirus pueyrredonense")</f>
        <v>Paramorbillivirus pueyrredonense</v>
      </c>
      <c r="S12004" s="18" t="s">
        <v>30</v>
      </c>
      <c r="T12004" s="18" t="s">
        <v>46606</v>
      </c>
      <c r="U12004" s="18"/>
      <c r="V12004" s="18" t="s">
        <v>46607</v>
      </c>
      <c r="W12004" s="18" t="s">
        <v>48693</v>
      </c>
      <c r="X12004" s="18" t="s">
        <v>35</v>
      </c>
      <c r="Y12004" s="18" t="s">
        <v>23964</v>
      </c>
      <c r="Z12004" s="18" t="s">
        <v>166</v>
      </c>
      <c r="AA12004" s="21" t="str">
        <f>HYPERLINK("https://www.ncbi.nlm.nih.gov/nuccore/BK061229","NCBI Nucleotide")</f>
        <v>NCBI Nucleotide</v>
      </c>
    </row>
    <row r="12005" spans="1:27" x14ac:dyDescent="0.35">
      <c r="A12005">
        <v>1010670</v>
      </c>
      <c r="B12005">
        <v>11296</v>
      </c>
      <c r="C12005">
        <v>1</v>
      </c>
      <c r="D12005" s="17" t="s">
        <v>17166</v>
      </c>
      <c r="E12005" s="17"/>
      <c r="F12005" s="17" t="s">
        <v>17246</v>
      </c>
      <c r="G12005" s="17"/>
      <c r="H12005" s="17" t="s">
        <v>23950</v>
      </c>
      <c r="I12005" s="17" t="s">
        <v>23956</v>
      </c>
      <c r="J12005" s="17" t="s">
        <v>24017</v>
      </c>
      <c r="K12005" s="17"/>
      <c r="L12005" s="17" t="s">
        <v>24262</v>
      </c>
      <c r="M12005" s="17"/>
      <c r="N12005" s="17" t="s">
        <v>24897</v>
      </c>
      <c r="O12005" s="17" t="s">
        <v>25008</v>
      </c>
      <c r="P12005" s="17" t="s">
        <v>25160</v>
      </c>
      <c r="Q12005" s="17"/>
      <c r="R12005" s="25" t="str">
        <f>HYPERLINK("https://ictv.global/taxonomy/taxondetails?taxnode_id=202306466","Salemvirus salemense")</f>
        <v>Salemvirus salemense</v>
      </c>
      <c r="S12005" s="18" t="s">
        <v>30</v>
      </c>
      <c r="T12005" s="18" t="s">
        <v>25161</v>
      </c>
      <c r="U12005" s="18" t="s">
        <v>25162</v>
      </c>
      <c r="V12005" s="18" t="s">
        <v>25163</v>
      </c>
      <c r="W12005" s="18" t="s">
        <v>25164</v>
      </c>
      <c r="X12005" s="18" t="s">
        <v>42</v>
      </c>
      <c r="Y12005" s="18" t="s">
        <v>23964</v>
      </c>
      <c r="Z12005" s="18" t="s">
        <v>166</v>
      </c>
      <c r="AA12005" s="21" t="str">
        <f>HYPERLINK("https://www.ncbi.nlm.nih.gov/nuccore/JQ697837","NCBI Nucleotide")</f>
        <v>NCBI Nucleotide</v>
      </c>
    </row>
    <row r="12006" spans="1:27" x14ac:dyDescent="0.35">
      <c r="A12006">
        <v>1010662</v>
      </c>
      <c r="B12006">
        <v>11297</v>
      </c>
      <c r="C12006">
        <v>1</v>
      </c>
      <c r="D12006" s="17" t="s">
        <v>17166</v>
      </c>
      <c r="E12006" s="17"/>
      <c r="F12006" s="17" t="s">
        <v>17246</v>
      </c>
      <c r="G12006" s="17"/>
      <c r="H12006" s="17" t="s">
        <v>23950</v>
      </c>
      <c r="I12006" s="17" t="s">
        <v>23956</v>
      </c>
      <c r="J12006" s="17" t="s">
        <v>24017</v>
      </c>
      <c r="K12006" s="17"/>
      <c r="L12006" s="17" t="s">
        <v>24262</v>
      </c>
      <c r="M12006" s="17"/>
      <c r="N12006" s="17" t="s">
        <v>24897</v>
      </c>
      <c r="O12006" s="17" t="s">
        <v>25008</v>
      </c>
      <c r="P12006" s="17" t="s">
        <v>46608</v>
      </c>
      <c r="Q12006" s="17"/>
      <c r="R12006" s="25" t="str">
        <f>HYPERLINK("https://ictv.global/taxonomy/taxondetails?taxnode_id=202306463","Tupaivirus tupaiae")</f>
        <v>Tupaivirus tupaiae</v>
      </c>
      <c r="S12006" s="18" t="s">
        <v>30</v>
      </c>
      <c r="T12006" s="18" t="s">
        <v>25128</v>
      </c>
      <c r="U12006" s="18" t="s">
        <v>25129</v>
      </c>
      <c r="V12006" s="18"/>
      <c r="W12006" s="18" t="s">
        <v>25130</v>
      </c>
      <c r="X12006" s="18" t="s">
        <v>42</v>
      </c>
      <c r="Y12006" s="18" t="s">
        <v>23964</v>
      </c>
      <c r="Z12006" s="18" t="s">
        <v>166</v>
      </c>
      <c r="AA12006" s="21" t="str">
        <f>HYPERLINK("https://www.ncbi.nlm.nih.gov/nuccore/AF079780","NCBI Nucleotide")</f>
        <v>NCBI Nucleotide</v>
      </c>
    </row>
    <row r="12007" spans="1:27" x14ac:dyDescent="0.35">
      <c r="A12007">
        <v>1010672</v>
      </c>
      <c r="B12007">
        <v>11298</v>
      </c>
      <c r="C12007">
        <v>1</v>
      </c>
      <c r="D12007" s="17" t="s">
        <v>17166</v>
      </c>
      <c r="E12007" s="17"/>
      <c r="F12007" s="17" t="s">
        <v>17246</v>
      </c>
      <c r="G12007" s="17"/>
      <c r="H12007" s="17" t="s">
        <v>23950</v>
      </c>
      <c r="I12007" s="17" t="s">
        <v>23956</v>
      </c>
      <c r="J12007" s="17" t="s">
        <v>24017</v>
      </c>
      <c r="K12007" s="17"/>
      <c r="L12007" s="17" t="s">
        <v>24262</v>
      </c>
      <c r="M12007" s="17"/>
      <c r="N12007" s="17" t="s">
        <v>24897</v>
      </c>
      <c r="O12007" s="17" t="s">
        <v>25165</v>
      </c>
      <c r="P12007" s="17" t="s">
        <v>25166</v>
      </c>
      <c r="Q12007" s="17"/>
      <c r="R12007" s="25" t="str">
        <f>HYPERLINK("https://ictv.global/taxonomy/taxondetails?taxnode_id=202301631","Orthorubulavirus hominis")</f>
        <v>Orthorubulavirus hominis</v>
      </c>
      <c r="S12007" s="18" t="s">
        <v>30</v>
      </c>
      <c r="T12007" s="18" t="s">
        <v>25167</v>
      </c>
      <c r="U12007" s="18" t="s">
        <v>25168</v>
      </c>
      <c r="V12007" s="18" t="s">
        <v>25169</v>
      </c>
      <c r="W12007" s="18" t="s">
        <v>25170</v>
      </c>
      <c r="X12007" s="18" t="s">
        <v>42</v>
      </c>
      <c r="Y12007" s="18" t="s">
        <v>23964</v>
      </c>
      <c r="Z12007" s="18" t="s">
        <v>166</v>
      </c>
      <c r="AA12007" s="21" t="str">
        <f>HYPERLINK("https://www.ncbi.nlm.nih.gov/nuccore/AB543336","NCBI Nucleotide")</f>
        <v>NCBI Nucleotide</v>
      </c>
    </row>
    <row r="12008" spans="1:27" x14ac:dyDescent="0.35">
      <c r="A12008">
        <v>1012876</v>
      </c>
      <c r="B12008">
        <v>11298</v>
      </c>
      <c r="C12008">
        <v>2</v>
      </c>
      <c r="D12008" s="17" t="s">
        <v>17166</v>
      </c>
      <c r="E12008" s="17"/>
      <c r="F12008" s="17" t="s">
        <v>17246</v>
      </c>
      <c r="G12008" s="17"/>
      <c r="H12008" s="17" t="s">
        <v>23950</v>
      </c>
      <c r="I12008" s="17" t="s">
        <v>23956</v>
      </c>
      <c r="J12008" s="17" t="s">
        <v>24017</v>
      </c>
      <c r="K12008" s="17"/>
      <c r="L12008" s="17" t="s">
        <v>24262</v>
      </c>
      <c r="M12008" s="17"/>
      <c r="N12008" s="17" t="s">
        <v>24897</v>
      </c>
      <c r="O12008" s="17" t="s">
        <v>25165</v>
      </c>
      <c r="P12008" s="17" t="s">
        <v>25166</v>
      </c>
      <c r="Q12008" s="17"/>
      <c r="R12008" s="25" t="str">
        <f>HYPERLINK("https://ictv.global/taxonomy/taxondetails?taxnode_id=202301631","Orthorubulavirus hominis")</f>
        <v>Orthorubulavirus hominis</v>
      </c>
      <c r="S12008" s="18" t="s">
        <v>8141</v>
      </c>
      <c r="T12008" s="18" t="s">
        <v>25193</v>
      </c>
      <c r="U12008" s="18" t="s">
        <v>25194</v>
      </c>
      <c r="V12008" s="18" t="s">
        <v>25195</v>
      </c>
      <c r="W12008" s="18" t="s">
        <v>49432</v>
      </c>
      <c r="X12008" s="18" t="s">
        <v>42</v>
      </c>
      <c r="Y12008" s="18" t="s">
        <v>23964</v>
      </c>
      <c r="Z12008" s="18" t="s">
        <v>166</v>
      </c>
      <c r="AA12008" s="21" t="str">
        <f>HYPERLINK("https://www.ncbi.nlm.nih.gov/nuccore/AB543337","NCBI Nucleotide")</f>
        <v>NCBI Nucleotide</v>
      </c>
    </row>
    <row r="12009" spans="1:27" x14ac:dyDescent="0.35">
      <c r="A12009">
        <v>1010673</v>
      </c>
      <c r="B12009">
        <v>11299</v>
      </c>
      <c r="C12009">
        <v>1</v>
      </c>
      <c r="D12009" s="17" t="s">
        <v>17166</v>
      </c>
      <c r="E12009" s="17"/>
      <c r="F12009" s="17" t="s">
        <v>17246</v>
      </c>
      <c r="G12009" s="17"/>
      <c r="H12009" s="17" t="s">
        <v>23950</v>
      </c>
      <c r="I12009" s="17" t="s">
        <v>23956</v>
      </c>
      <c r="J12009" s="17" t="s">
        <v>24017</v>
      </c>
      <c r="K12009" s="17"/>
      <c r="L12009" s="17" t="s">
        <v>24262</v>
      </c>
      <c r="M12009" s="17"/>
      <c r="N12009" s="17" t="s">
        <v>24897</v>
      </c>
      <c r="O12009" s="17" t="s">
        <v>25165</v>
      </c>
      <c r="P12009" s="17" t="s">
        <v>25166</v>
      </c>
      <c r="Q12009" s="17"/>
      <c r="R12009" s="25" t="str">
        <f>HYPERLINK("https://ictv.global/taxonomy/taxondetails?taxnode_id=202301630","Orthorubulavirus laryngotracheitidis")</f>
        <v>Orthorubulavirus laryngotracheitidis</v>
      </c>
      <c r="S12009" s="18" t="s">
        <v>30</v>
      </c>
      <c r="T12009" s="18" t="s">
        <v>25171</v>
      </c>
      <c r="U12009" s="18" t="s">
        <v>25172</v>
      </c>
      <c r="V12009" s="18"/>
      <c r="W12009" s="18" t="s">
        <v>25173</v>
      </c>
      <c r="X12009" s="18" t="s">
        <v>42</v>
      </c>
      <c r="Y12009" s="18" t="s">
        <v>23964</v>
      </c>
      <c r="Z12009" s="18" t="s">
        <v>166</v>
      </c>
      <c r="AA12009" s="21" t="str">
        <f>HYPERLINK("https://www.ncbi.nlm.nih.gov/nuccore/X57559","NCBI Nucleotide")</f>
        <v>NCBI Nucleotide</v>
      </c>
    </row>
    <row r="12010" spans="1:27" x14ac:dyDescent="0.35">
      <c r="A12010">
        <v>1010674</v>
      </c>
      <c r="B12010">
        <v>11300</v>
      </c>
      <c r="C12010">
        <v>1</v>
      </c>
      <c r="D12010" s="17" t="s">
        <v>17166</v>
      </c>
      <c r="E12010" s="17"/>
      <c r="F12010" s="17" t="s">
        <v>17246</v>
      </c>
      <c r="G12010" s="17"/>
      <c r="H12010" s="17" t="s">
        <v>23950</v>
      </c>
      <c r="I12010" s="17" t="s">
        <v>23956</v>
      </c>
      <c r="J12010" s="17" t="s">
        <v>24017</v>
      </c>
      <c r="K12010" s="17"/>
      <c r="L12010" s="17" t="s">
        <v>24262</v>
      </c>
      <c r="M12010" s="17"/>
      <c r="N12010" s="17" t="s">
        <v>24897</v>
      </c>
      <c r="O12010" s="17" t="s">
        <v>25165</v>
      </c>
      <c r="P12010" s="17" t="s">
        <v>25166</v>
      </c>
      <c r="Q12010" s="17"/>
      <c r="R12010" s="25" t="str">
        <f>HYPERLINK("https://ictv.global/taxonomy/taxondetails?taxnode_id=202301632","Orthorubulavirus mammalis")</f>
        <v>Orthorubulavirus mammalis</v>
      </c>
      <c r="S12010" s="18" t="s">
        <v>30</v>
      </c>
      <c r="T12010" s="18" t="s">
        <v>25174</v>
      </c>
      <c r="U12010" s="18" t="s">
        <v>25175</v>
      </c>
      <c r="V12010" s="18" t="s">
        <v>25176</v>
      </c>
      <c r="W12010" s="18" t="s">
        <v>25177</v>
      </c>
      <c r="X12010" s="18" t="s">
        <v>42</v>
      </c>
      <c r="Y12010" s="18" t="s">
        <v>23964</v>
      </c>
      <c r="Z12010" s="18" t="s">
        <v>166</v>
      </c>
      <c r="AA12010" s="21" t="str">
        <f>HYPERLINK("https://www.ncbi.nlm.nih.gov/nuccore/AF052755","NCBI Nucleotide")</f>
        <v>NCBI Nucleotide</v>
      </c>
    </row>
    <row r="12011" spans="1:27" x14ac:dyDescent="0.35">
      <c r="A12011">
        <v>1010675</v>
      </c>
      <c r="B12011">
        <v>11301</v>
      </c>
      <c r="C12011">
        <v>1</v>
      </c>
      <c r="D12011" s="17" t="s">
        <v>17166</v>
      </c>
      <c r="E12011" s="17"/>
      <c r="F12011" s="17" t="s">
        <v>17246</v>
      </c>
      <c r="G12011" s="17"/>
      <c r="H12011" s="17" t="s">
        <v>23950</v>
      </c>
      <c r="I12011" s="17" t="s">
        <v>23956</v>
      </c>
      <c r="J12011" s="17" t="s">
        <v>24017</v>
      </c>
      <c r="K12011" s="17"/>
      <c r="L12011" s="17" t="s">
        <v>24262</v>
      </c>
      <c r="M12011" s="17"/>
      <c r="N12011" s="17" t="s">
        <v>24897</v>
      </c>
      <c r="O12011" s="17" t="s">
        <v>25165</v>
      </c>
      <c r="P12011" s="17" t="s">
        <v>25166</v>
      </c>
      <c r="Q12011" s="17"/>
      <c r="R12011" s="25" t="str">
        <f>HYPERLINK("https://ictv.global/taxonomy/taxondetails?taxnode_id=202301633","Orthorubulavirus mapueraense")</f>
        <v>Orthorubulavirus mapueraense</v>
      </c>
      <c r="S12011" s="18" t="s">
        <v>30</v>
      </c>
      <c r="T12011" s="18" t="s">
        <v>25178</v>
      </c>
      <c r="U12011" s="18" t="s">
        <v>25179</v>
      </c>
      <c r="V12011" s="18" t="s">
        <v>25180</v>
      </c>
      <c r="W12011" s="18" t="s">
        <v>25181</v>
      </c>
      <c r="X12011" s="18" t="s">
        <v>42</v>
      </c>
      <c r="Y12011" s="18" t="s">
        <v>23964</v>
      </c>
      <c r="Z12011" s="18" t="s">
        <v>166</v>
      </c>
      <c r="AA12011" s="21" t="str">
        <f>HYPERLINK("https://www.ncbi.nlm.nih.gov/nuccore/EF095490","NCBI Nucleotide")</f>
        <v>NCBI Nucleotide</v>
      </c>
    </row>
    <row r="12012" spans="1:27" x14ac:dyDescent="0.35">
      <c r="A12012">
        <v>1010676</v>
      </c>
      <c r="B12012">
        <v>11302</v>
      </c>
      <c r="C12012">
        <v>1</v>
      </c>
      <c r="D12012" s="17" t="s">
        <v>17166</v>
      </c>
      <c r="E12012" s="17"/>
      <c r="F12012" s="17" t="s">
        <v>17246</v>
      </c>
      <c r="G12012" s="17"/>
      <c r="H12012" s="17" t="s">
        <v>23950</v>
      </c>
      <c r="I12012" s="17" t="s">
        <v>23956</v>
      </c>
      <c r="J12012" s="17" t="s">
        <v>24017</v>
      </c>
      <c r="K12012" s="17"/>
      <c r="L12012" s="17" t="s">
        <v>24262</v>
      </c>
      <c r="M12012" s="17"/>
      <c r="N12012" s="17" t="s">
        <v>24897</v>
      </c>
      <c r="O12012" s="17" t="s">
        <v>25165</v>
      </c>
      <c r="P12012" s="17" t="s">
        <v>25166</v>
      </c>
      <c r="Q12012" s="17"/>
      <c r="R12012" s="25" t="str">
        <f>HYPERLINK("https://ictv.global/taxonomy/taxondetails?taxnode_id=202301635","Orthorubulavirus parotitidis")</f>
        <v>Orthorubulavirus parotitidis</v>
      </c>
      <c r="S12012" s="18" t="s">
        <v>30</v>
      </c>
      <c r="T12012" s="18" t="s">
        <v>25182</v>
      </c>
      <c r="U12012" s="18" t="s">
        <v>25183</v>
      </c>
      <c r="V12012" s="18" t="s">
        <v>25184</v>
      </c>
      <c r="W12012" s="18" t="s">
        <v>25185</v>
      </c>
      <c r="X12012" s="18" t="s">
        <v>42</v>
      </c>
      <c r="Y12012" s="18" t="s">
        <v>23964</v>
      </c>
      <c r="Z12012" s="18" t="s">
        <v>166</v>
      </c>
      <c r="AA12012" s="21" t="str">
        <f>HYPERLINK("https://www.ncbi.nlm.nih.gov/nuccore/AB040874","NCBI Nucleotide")</f>
        <v>NCBI Nucleotide</v>
      </c>
    </row>
    <row r="12013" spans="1:27" x14ac:dyDescent="0.35">
      <c r="A12013">
        <v>1027688</v>
      </c>
      <c r="B12013">
        <v>11303</v>
      </c>
      <c r="C12013">
        <v>1</v>
      </c>
      <c r="D12013" s="17" t="s">
        <v>17166</v>
      </c>
      <c r="E12013" s="17"/>
      <c r="F12013" s="17" t="s">
        <v>17246</v>
      </c>
      <c r="G12013" s="17"/>
      <c r="H12013" s="17" t="s">
        <v>23950</v>
      </c>
      <c r="I12013" s="17" t="s">
        <v>23956</v>
      </c>
      <c r="J12013" s="17" t="s">
        <v>24017</v>
      </c>
      <c r="K12013" s="17"/>
      <c r="L12013" s="17" t="s">
        <v>24262</v>
      </c>
      <c r="M12013" s="17"/>
      <c r="N12013" s="17" t="s">
        <v>24897</v>
      </c>
      <c r="O12013" s="17" t="s">
        <v>25165</v>
      </c>
      <c r="P12013" s="17" t="s">
        <v>25166</v>
      </c>
      <c r="Q12013" s="17"/>
      <c r="R12013" s="25" t="str">
        <f>HYPERLINK("https://ictv.global/taxonomy/taxondetails?taxnode_id=202318321","Orthorubulavirus rhinolophi")</f>
        <v>Orthorubulavirus rhinolophi</v>
      </c>
      <c r="S12013" s="18" t="s">
        <v>30</v>
      </c>
      <c r="T12013" s="18" t="s">
        <v>46609</v>
      </c>
      <c r="U12013" s="18"/>
      <c r="V12013" s="18"/>
      <c r="W12013" s="18" t="s">
        <v>48694</v>
      </c>
      <c r="X12013" s="18" t="s">
        <v>35</v>
      </c>
      <c r="Y12013" s="18" t="s">
        <v>23964</v>
      </c>
      <c r="Z12013" s="18" t="s">
        <v>166</v>
      </c>
      <c r="AA12013" s="21" t="str">
        <f>HYPERLINK("https://www.ncbi.nlm.nih.gov/nuccore/MZ328287","NCBI Nucleotide")</f>
        <v>NCBI Nucleotide</v>
      </c>
    </row>
    <row r="12014" spans="1:27" x14ac:dyDescent="0.35">
      <c r="A12014">
        <v>1010677</v>
      </c>
      <c r="B12014">
        <v>11304</v>
      </c>
      <c r="C12014">
        <v>1</v>
      </c>
      <c r="D12014" s="17" t="s">
        <v>17166</v>
      </c>
      <c r="E12014" s="17"/>
      <c r="F12014" s="17" t="s">
        <v>17246</v>
      </c>
      <c r="G12014" s="17"/>
      <c r="H12014" s="17" t="s">
        <v>23950</v>
      </c>
      <c r="I12014" s="17" t="s">
        <v>23956</v>
      </c>
      <c r="J12014" s="17" t="s">
        <v>24017</v>
      </c>
      <c r="K12014" s="17"/>
      <c r="L12014" s="17" t="s">
        <v>24262</v>
      </c>
      <c r="M12014" s="17"/>
      <c r="N12014" s="17" t="s">
        <v>24897</v>
      </c>
      <c r="O12014" s="17" t="s">
        <v>25165</v>
      </c>
      <c r="P12014" s="17" t="s">
        <v>25166</v>
      </c>
      <c r="Q12014" s="17"/>
      <c r="R12014" s="25" t="str">
        <f>HYPERLINK("https://ictv.global/taxonomy/taxondetails?taxnode_id=202301637","Orthorubulavirus simiae")</f>
        <v>Orthorubulavirus simiae</v>
      </c>
      <c r="S12014" s="18" t="s">
        <v>30</v>
      </c>
      <c r="T12014" s="18" t="s">
        <v>25186</v>
      </c>
      <c r="U12014" s="18" t="s">
        <v>25187</v>
      </c>
      <c r="V12014" s="18" t="s">
        <v>25188</v>
      </c>
      <c r="W12014" s="18" t="s">
        <v>25189</v>
      </c>
      <c r="X12014" s="18" t="s">
        <v>42</v>
      </c>
      <c r="Y12014" s="18" t="s">
        <v>23964</v>
      </c>
      <c r="Z12014" s="18" t="s">
        <v>166</v>
      </c>
      <c r="AA12014" s="21" t="str">
        <f>HYPERLINK("https://www.ncbi.nlm.nih.gov/nuccore/X64275","NCBI Nucleotide")</f>
        <v>NCBI Nucleotide</v>
      </c>
    </row>
    <row r="12015" spans="1:27" x14ac:dyDescent="0.35">
      <c r="A12015">
        <v>1010678</v>
      </c>
      <c r="B12015">
        <v>11305</v>
      </c>
      <c r="C12015">
        <v>1</v>
      </c>
      <c r="D12015" s="17" t="s">
        <v>17166</v>
      </c>
      <c r="E12015" s="17"/>
      <c r="F12015" s="17" t="s">
        <v>17246</v>
      </c>
      <c r="G12015" s="17"/>
      <c r="H12015" s="17" t="s">
        <v>23950</v>
      </c>
      <c r="I12015" s="17" t="s">
        <v>23956</v>
      </c>
      <c r="J12015" s="17" t="s">
        <v>24017</v>
      </c>
      <c r="K12015" s="17"/>
      <c r="L12015" s="17" t="s">
        <v>24262</v>
      </c>
      <c r="M12015" s="17"/>
      <c r="N12015" s="17" t="s">
        <v>24897</v>
      </c>
      <c r="O12015" s="17" t="s">
        <v>25165</v>
      </c>
      <c r="P12015" s="17" t="s">
        <v>25166</v>
      </c>
      <c r="Q12015" s="17"/>
      <c r="R12015" s="25" t="str">
        <f>HYPERLINK("https://ictv.global/taxonomy/taxondetails?taxnode_id=202301636","Orthorubulavirus suis")</f>
        <v>Orthorubulavirus suis</v>
      </c>
      <c r="S12015" s="18" t="s">
        <v>30</v>
      </c>
      <c r="T12015" s="18" t="s">
        <v>25190</v>
      </c>
      <c r="U12015" s="18" t="s">
        <v>25191</v>
      </c>
      <c r="V12015" s="18"/>
      <c r="W12015" s="18" t="s">
        <v>25192</v>
      </c>
      <c r="X12015" s="18" t="s">
        <v>42</v>
      </c>
      <c r="Y12015" s="18" t="s">
        <v>23964</v>
      </c>
      <c r="Z12015" s="18" t="s">
        <v>166</v>
      </c>
      <c r="AA12015" s="21" t="str">
        <f>HYPERLINK("https://www.ncbi.nlm.nih.gov/nuccore/BK005918","NCBI Nucleotide")</f>
        <v>NCBI Nucleotide</v>
      </c>
    </row>
    <row r="12016" spans="1:27" x14ac:dyDescent="0.35">
      <c r="A12016">
        <v>1010679</v>
      </c>
      <c r="B12016">
        <v>11306</v>
      </c>
      <c r="C12016">
        <v>1</v>
      </c>
      <c r="D12016" s="17" t="s">
        <v>17166</v>
      </c>
      <c r="E12016" s="17"/>
      <c r="F12016" s="17" t="s">
        <v>17246</v>
      </c>
      <c r="G12016" s="17"/>
      <c r="H12016" s="17" t="s">
        <v>23950</v>
      </c>
      <c r="I12016" s="17" t="s">
        <v>23956</v>
      </c>
      <c r="J12016" s="17" t="s">
        <v>24017</v>
      </c>
      <c r="K12016" s="17"/>
      <c r="L12016" s="17" t="s">
        <v>24262</v>
      </c>
      <c r="M12016" s="17"/>
      <c r="N12016" s="17" t="s">
        <v>24897</v>
      </c>
      <c r="O12016" s="17" t="s">
        <v>25165</v>
      </c>
      <c r="P12016" s="17" t="s">
        <v>25196</v>
      </c>
      <c r="Q12016" s="17"/>
      <c r="R12016" s="25" t="str">
        <f>HYPERLINK("https://ictv.global/taxonomy/taxondetails?taxnode_id=202301628","Pararubulavirus accraense")</f>
        <v>Pararubulavirus accraense</v>
      </c>
      <c r="S12016" s="18" t="s">
        <v>30</v>
      </c>
      <c r="T12016" s="18" t="s">
        <v>25197</v>
      </c>
      <c r="U12016" s="18" t="s">
        <v>25198</v>
      </c>
      <c r="V12016" s="18"/>
      <c r="W12016" s="18" t="s">
        <v>25199</v>
      </c>
      <c r="X12016" s="18" t="s">
        <v>42</v>
      </c>
      <c r="Y12016" s="18" t="s">
        <v>23964</v>
      </c>
      <c r="Z12016" s="18" t="s">
        <v>166</v>
      </c>
      <c r="AA12016" s="21" t="str">
        <f>HYPERLINK("https://www.ncbi.nlm.nih.gov/nuccore/JX051320","NCBI Nucleotide")</f>
        <v>NCBI Nucleotide</v>
      </c>
    </row>
    <row r="12017" spans="1:27" x14ac:dyDescent="0.35">
      <c r="A12017">
        <v>1010680</v>
      </c>
      <c r="B12017">
        <v>11307</v>
      </c>
      <c r="C12017">
        <v>1</v>
      </c>
      <c r="D12017" s="17" t="s">
        <v>17166</v>
      </c>
      <c r="E12017" s="17"/>
      <c r="F12017" s="17" t="s">
        <v>17246</v>
      </c>
      <c r="G12017" s="17"/>
      <c r="H12017" s="17" t="s">
        <v>23950</v>
      </c>
      <c r="I12017" s="17" t="s">
        <v>23956</v>
      </c>
      <c r="J12017" s="17" t="s">
        <v>24017</v>
      </c>
      <c r="K12017" s="17"/>
      <c r="L12017" s="17" t="s">
        <v>24262</v>
      </c>
      <c r="M12017" s="17"/>
      <c r="N12017" s="17" t="s">
        <v>24897</v>
      </c>
      <c r="O12017" s="17" t="s">
        <v>25165</v>
      </c>
      <c r="P12017" s="17" t="s">
        <v>25196</v>
      </c>
      <c r="Q12017" s="17"/>
      <c r="R12017" s="25" t="str">
        <f>HYPERLINK("https://ictv.global/taxonomy/taxondetails?taxnode_id=202301627","Pararubulavirus achimotaense")</f>
        <v>Pararubulavirus achimotaense</v>
      </c>
      <c r="S12017" s="18" t="s">
        <v>30</v>
      </c>
      <c r="T12017" s="18" t="s">
        <v>25200</v>
      </c>
      <c r="U12017" s="18" t="s">
        <v>25201</v>
      </c>
      <c r="V12017" s="18"/>
      <c r="W12017" s="18" t="s">
        <v>25202</v>
      </c>
      <c r="X12017" s="18" t="s">
        <v>42</v>
      </c>
      <c r="Y12017" s="18" t="s">
        <v>23964</v>
      </c>
      <c r="Z12017" s="18" t="s">
        <v>166</v>
      </c>
      <c r="AA12017" s="21" t="str">
        <f>HYPERLINK("https://www.ncbi.nlm.nih.gov/nuccore/JX051319","NCBI Nucleotide")</f>
        <v>NCBI Nucleotide</v>
      </c>
    </row>
    <row r="12018" spans="1:27" x14ac:dyDescent="0.35">
      <c r="A12018">
        <v>1010681</v>
      </c>
      <c r="B12018">
        <v>11308</v>
      </c>
      <c r="C12018">
        <v>1</v>
      </c>
      <c r="D12018" s="17" t="s">
        <v>17166</v>
      </c>
      <c r="E12018" s="17"/>
      <c r="F12018" s="17" t="s">
        <v>17246</v>
      </c>
      <c r="G12018" s="17"/>
      <c r="H12018" s="17" t="s">
        <v>23950</v>
      </c>
      <c r="I12018" s="17" t="s">
        <v>23956</v>
      </c>
      <c r="J12018" s="17" t="s">
        <v>24017</v>
      </c>
      <c r="K12018" s="17"/>
      <c r="L12018" s="17" t="s">
        <v>24262</v>
      </c>
      <c r="M12018" s="17"/>
      <c r="N12018" s="17" t="s">
        <v>24897</v>
      </c>
      <c r="O12018" s="17" t="s">
        <v>25165</v>
      </c>
      <c r="P12018" s="17" t="s">
        <v>25196</v>
      </c>
      <c r="Q12018" s="17"/>
      <c r="R12018" s="25" t="str">
        <f>HYPERLINK("https://ictv.global/taxonomy/taxondetails?taxnode_id=202301642","Pararubulavirus cantonense")</f>
        <v>Pararubulavirus cantonense</v>
      </c>
      <c r="S12018" s="18" t="s">
        <v>30</v>
      </c>
      <c r="T12018" s="18" t="s">
        <v>25203</v>
      </c>
      <c r="U12018" s="18" t="s">
        <v>25204</v>
      </c>
      <c r="V12018" s="18"/>
      <c r="W12018" s="18" t="s">
        <v>25205</v>
      </c>
      <c r="X12018" s="18" t="s">
        <v>42</v>
      </c>
      <c r="Y12018" s="18" t="s">
        <v>23964</v>
      </c>
      <c r="Z12018" s="18" t="s">
        <v>166</v>
      </c>
      <c r="AA12018" s="21" t="str">
        <f>HYPERLINK("https://www.ncbi.nlm.nih.gov/nuccore/GU128081","NCBI Nucleotide")</f>
        <v>NCBI Nucleotide</v>
      </c>
    </row>
    <row r="12019" spans="1:27" x14ac:dyDescent="0.35">
      <c r="A12019">
        <v>1027682</v>
      </c>
      <c r="B12019">
        <v>11309</v>
      </c>
      <c r="C12019">
        <v>1</v>
      </c>
      <c r="D12019" s="17" t="s">
        <v>17166</v>
      </c>
      <c r="E12019" s="17"/>
      <c r="F12019" s="17" t="s">
        <v>17246</v>
      </c>
      <c r="G12019" s="17"/>
      <c r="H12019" s="17" t="s">
        <v>23950</v>
      </c>
      <c r="I12019" s="17" t="s">
        <v>23956</v>
      </c>
      <c r="J12019" s="17" t="s">
        <v>24017</v>
      </c>
      <c r="K12019" s="17"/>
      <c r="L12019" s="17" t="s">
        <v>24262</v>
      </c>
      <c r="M12019" s="17"/>
      <c r="N12019" s="17" t="s">
        <v>24897</v>
      </c>
      <c r="O12019" s="17" t="s">
        <v>25165</v>
      </c>
      <c r="P12019" s="17" t="s">
        <v>25196</v>
      </c>
      <c r="Q12019" s="17"/>
      <c r="R12019" s="25" t="str">
        <f>HYPERLINK("https://ictv.global/taxonomy/taxondetails?taxnode_id=202318320","Pararubulavirus eidoli")</f>
        <v>Pararubulavirus eidoli</v>
      </c>
      <c r="S12019" s="18" t="s">
        <v>30</v>
      </c>
      <c r="T12019" s="18" t="s">
        <v>46610</v>
      </c>
      <c r="U12019" s="18"/>
      <c r="V12019" s="18" t="s">
        <v>46611</v>
      </c>
      <c r="W12019" s="18" t="s">
        <v>48695</v>
      </c>
      <c r="X12019" s="18" t="s">
        <v>42</v>
      </c>
      <c r="Y12019" s="18" t="s">
        <v>23964</v>
      </c>
      <c r="Z12019" s="18" t="s">
        <v>166</v>
      </c>
      <c r="AA12019" s="21" t="str">
        <f>HYPERLINK("https://www.ncbi.nlm.nih.gov/nuccore/MT062420","NCBI Nucleotide")</f>
        <v>NCBI Nucleotide</v>
      </c>
    </row>
    <row r="12020" spans="1:27" x14ac:dyDescent="0.35">
      <c r="A12020">
        <v>1010682</v>
      </c>
      <c r="B12020">
        <v>11310</v>
      </c>
      <c r="C12020">
        <v>1</v>
      </c>
      <c r="D12020" s="17" t="s">
        <v>17166</v>
      </c>
      <c r="E12020" s="17"/>
      <c r="F12020" s="17" t="s">
        <v>17246</v>
      </c>
      <c r="G12020" s="17"/>
      <c r="H12020" s="17" t="s">
        <v>23950</v>
      </c>
      <c r="I12020" s="17" t="s">
        <v>23956</v>
      </c>
      <c r="J12020" s="17" t="s">
        <v>24017</v>
      </c>
      <c r="K12020" s="17"/>
      <c r="L12020" s="17" t="s">
        <v>24262</v>
      </c>
      <c r="M12020" s="17"/>
      <c r="N12020" s="17" t="s">
        <v>24897</v>
      </c>
      <c r="O12020" s="17" t="s">
        <v>25165</v>
      </c>
      <c r="P12020" s="17" t="s">
        <v>25196</v>
      </c>
      <c r="Q12020" s="17"/>
      <c r="R12020" s="25" t="str">
        <f>HYPERLINK("https://ictv.global/taxonomy/taxondetails?taxnode_id=202301641","Pararubulavirus guangdongense")</f>
        <v>Pararubulavirus guangdongense</v>
      </c>
      <c r="S12020" s="18" t="s">
        <v>30</v>
      </c>
      <c r="T12020" s="18" t="s">
        <v>25206</v>
      </c>
      <c r="U12020" s="18" t="s">
        <v>25207</v>
      </c>
      <c r="V12020" s="18"/>
      <c r="W12020" s="18" t="s">
        <v>25208</v>
      </c>
      <c r="X12020" s="18" t="s">
        <v>42</v>
      </c>
      <c r="Y12020" s="18" t="s">
        <v>23964</v>
      </c>
      <c r="Z12020" s="18" t="s">
        <v>166</v>
      </c>
      <c r="AA12020" s="21" t="str">
        <f>HYPERLINK("https://www.ncbi.nlm.nih.gov/nuccore/GU128080","NCBI Nucleotide")</f>
        <v>NCBI Nucleotide</v>
      </c>
    </row>
    <row r="12021" spans="1:27" x14ac:dyDescent="0.35">
      <c r="A12021">
        <v>1010683</v>
      </c>
      <c r="B12021">
        <v>11311</v>
      </c>
      <c r="C12021">
        <v>1</v>
      </c>
      <c r="D12021" s="17" t="s">
        <v>17166</v>
      </c>
      <c r="E12021" s="17"/>
      <c r="F12021" s="17" t="s">
        <v>17246</v>
      </c>
      <c r="G12021" s="17"/>
      <c r="H12021" s="17" t="s">
        <v>23950</v>
      </c>
      <c r="I12021" s="17" t="s">
        <v>23956</v>
      </c>
      <c r="J12021" s="17" t="s">
        <v>24017</v>
      </c>
      <c r="K12021" s="17"/>
      <c r="L12021" s="17" t="s">
        <v>24262</v>
      </c>
      <c r="M12021" s="17"/>
      <c r="N12021" s="17" t="s">
        <v>24897</v>
      </c>
      <c r="O12021" s="17" t="s">
        <v>25165</v>
      </c>
      <c r="P12021" s="17" t="s">
        <v>25196</v>
      </c>
      <c r="Q12021" s="17"/>
      <c r="R12021" s="25" t="str">
        <f>HYPERLINK("https://ictv.global/taxonomy/taxondetails?taxnode_id=202307558","Pararubulavirus herveyense")</f>
        <v>Pararubulavirus herveyense</v>
      </c>
      <c r="S12021" s="18" t="s">
        <v>30</v>
      </c>
      <c r="T12021" s="18" t="s">
        <v>25209</v>
      </c>
      <c r="U12021" s="18" t="s">
        <v>25210</v>
      </c>
      <c r="V12021" s="18"/>
      <c r="W12021" s="18" t="s">
        <v>25211</v>
      </c>
      <c r="X12021" s="18" t="s">
        <v>42</v>
      </c>
      <c r="Y12021" s="18" t="s">
        <v>23964</v>
      </c>
      <c r="Z12021" s="18" t="s">
        <v>166</v>
      </c>
      <c r="AA12021" s="21" t="str">
        <f>HYPERLINK("https://www.ncbi.nlm.nih.gov/nuccore/KU672593","NCBI Nucleotide")</f>
        <v>NCBI Nucleotide</v>
      </c>
    </row>
    <row r="12022" spans="1:27" x14ac:dyDescent="0.35">
      <c r="A12022">
        <v>1010684</v>
      </c>
      <c r="B12022">
        <v>11312</v>
      </c>
      <c r="C12022">
        <v>1</v>
      </c>
      <c r="D12022" s="17" t="s">
        <v>17166</v>
      </c>
      <c r="E12022" s="17"/>
      <c r="F12022" s="17" t="s">
        <v>17246</v>
      </c>
      <c r="G12022" s="17"/>
      <c r="H12022" s="17" t="s">
        <v>23950</v>
      </c>
      <c r="I12022" s="17" t="s">
        <v>23956</v>
      </c>
      <c r="J12022" s="17" t="s">
        <v>24017</v>
      </c>
      <c r="K12022" s="17"/>
      <c r="L12022" s="17" t="s">
        <v>24262</v>
      </c>
      <c r="M12022" s="17"/>
      <c r="N12022" s="17" t="s">
        <v>24897</v>
      </c>
      <c r="O12022" s="17" t="s">
        <v>25165</v>
      </c>
      <c r="P12022" s="17" t="s">
        <v>25196</v>
      </c>
      <c r="Q12022" s="17"/>
      <c r="R12022" s="25" t="str">
        <f>HYPERLINK("https://ictv.global/taxonomy/taxondetails?taxnode_id=202301643","Pararubulavirus hongkongi")</f>
        <v>Pararubulavirus hongkongi</v>
      </c>
      <c r="S12022" s="18" t="s">
        <v>30</v>
      </c>
      <c r="T12022" s="18" t="s">
        <v>25212</v>
      </c>
      <c r="U12022" s="18" t="s">
        <v>25213</v>
      </c>
      <c r="V12022" s="18"/>
      <c r="W12022" s="18" t="s">
        <v>25214</v>
      </c>
      <c r="X12022" s="18" t="s">
        <v>42</v>
      </c>
      <c r="Y12022" s="18" t="s">
        <v>23964</v>
      </c>
      <c r="Z12022" s="18" t="s">
        <v>166</v>
      </c>
      <c r="AA12022" s="21" t="str">
        <f>HYPERLINK("https://www.ncbi.nlm.nih.gov/nuccore/GU128082","NCBI Nucleotide")</f>
        <v>NCBI Nucleotide</v>
      </c>
    </row>
    <row r="12023" spans="1:27" x14ac:dyDescent="0.35">
      <c r="A12023">
        <v>1010685</v>
      </c>
      <c r="B12023">
        <v>11313</v>
      </c>
      <c r="C12023">
        <v>1</v>
      </c>
      <c r="D12023" s="17" t="s">
        <v>17166</v>
      </c>
      <c r="E12023" s="17"/>
      <c r="F12023" s="17" t="s">
        <v>17246</v>
      </c>
      <c r="G12023" s="17"/>
      <c r="H12023" s="17" t="s">
        <v>23950</v>
      </c>
      <c r="I12023" s="17" t="s">
        <v>23956</v>
      </c>
      <c r="J12023" s="17" t="s">
        <v>24017</v>
      </c>
      <c r="K12023" s="17"/>
      <c r="L12023" s="17" t="s">
        <v>24262</v>
      </c>
      <c r="M12023" s="17"/>
      <c r="N12023" s="17" t="s">
        <v>24897</v>
      </c>
      <c r="O12023" s="17" t="s">
        <v>25165</v>
      </c>
      <c r="P12023" s="17" t="s">
        <v>25196</v>
      </c>
      <c r="Q12023" s="17"/>
      <c r="R12023" s="25" t="str">
        <f>HYPERLINK("https://ictv.global/taxonomy/taxondetails?taxnode_id=202301634","Pararubulavirus menangleense")</f>
        <v>Pararubulavirus menangleense</v>
      </c>
      <c r="S12023" s="18" t="s">
        <v>30</v>
      </c>
      <c r="T12023" s="18" t="s">
        <v>25215</v>
      </c>
      <c r="U12023" s="18" t="s">
        <v>25216</v>
      </c>
      <c r="V12023" s="18" t="s">
        <v>25217</v>
      </c>
      <c r="W12023" s="18" t="s">
        <v>25218</v>
      </c>
      <c r="X12023" s="18" t="s">
        <v>42</v>
      </c>
      <c r="Y12023" s="18" t="s">
        <v>23964</v>
      </c>
      <c r="Z12023" s="18" t="s">
        <v>166</v>
      </c>
      <c r="AA12023" s="21" t="str">
        <f>HYPERLINK("https://www.ncbi.nlm.nih.gov/nuccore/JX112711","NCBI Nucleotide")</f>
        <v>NCBI Nucleotide</v>
      </c>
    </row>
    <row r="12024" spans="1:27" x14ac:dyDescent="0.35">
      <c r="A12024">
        <v>1010686</v>
      </c>
      <c r="B12024">
        <v>11314</v>
      </c>
      <c r="C12024">
        <v>1</v>
      </c>
      <c r="D12024" s="17" t="s">
        <v>17166</v>
      </c>
      <c r="E12024" s="17"/>
      <c r="F12024" s="17" t="s">
        <v>17246</v>
      </c>
      <c r="G12024" s="17"/>
      <c r="H12024" s="17" t="s">
        <v>23950</v>
      </c>
      <c r="I12024" s="17" t="s">
        <v>23956</v>
      </c>
      <c r="J12024" s="17" t="s">
        <v>24017</v>
      </c>
      <c r="K12024" s="17"/>
      <c r="L12024" s="17" t="s">
        <v>24262</v>
      </c>
      <c r="M12024" s="17"/>
      <c r="N12024" s="17" t="s">
        <v>24897</v>
      </c>
      <c r="O12024" s="17" t="s">
        <v>25165</v>
      </c>
      <c r="P12024" s="17" t="s">
        <v>25196</v>
      </c>
      <c r="Q12024" s="17"/>
      <c r="R12024" s="25" t="str">
        <f>HYPERLINK("https://ictv.global/taxonomy/taxondetails?taxnode_id=202301638","Pararubulavirus sosugaense")</f>
        <v>Pararubulavirus sosugaense</v>
      </c>
      <c r="S12024" s="18" t="s">
        <v>30</v>
      </c>
      <c r="T12024" s="18" t="s">
        <v>25219</v>
      </c>
      <c r="U12024" s="18" t="s">
        <v>25220</v>
      </c>
      <c r="V12024" s="18">
        <v>2012</v>
      </c>
      <c r="W12024" s="18" t="s">
        <v>25221</v>
      </c>
      <c r="X12024" s="18" t="s">
        <v>42</v>
      </c>
      <c r="Y12024" s="18" t="s">
        <v>23964</v>
      </c>
      <c r="Z12024" s="18" t="s">
        <v>166</v>
      </c>
      <c r="AA12024" s="21" t="str">
        <f>HYPERLINK("https://www.ncbi.nlm.nih.gov/nuccore/KF774436","NCBI Nucleotide")</f>
        <v>NCBI Nucleotide</v>
      </c>
    </row>
    <row r="12025" spans="1:27" x14ac:dyDescent="0.35">
      <c r="A12025">
        <v>1010687</v>
      </c>
      <c r="B12025">
        <v>11315</v>
      </c>
      <c r="C12025">
        <v>1</v>
      </c>
      <c r="D12025" s="17" t="s">
        <v>17166</v>
      </c>
      <c r="E12025" s="17"/>
      <c r="F12025" s="17" t="s">
        <v>17246</v>
      </c>
      <c r="G12025" s="17"/>
      <c r="H12025" s="17" t="s">
        <v>23950</v>
      </c>
      <c r="I12025" s="17" t="s">
        <v>23956</v>
      </c>
      <c r="J12025" s="17" t="s">
        <v>24017</v>
      </c>
      <c r="K12025" s="17"/>
      <c r="L12025" s="17" t="s">
        <v>24262</v>
      </c>
      <c r="M12025" s="17"/>
      <c r="N12025" s="17" t="s">
        <v>24897</v>
      </c>
      <c r="O12025" s="17" t="s">
        <v>25165</v>
      </c>
      <c r="P12025" s="17" t="s">
        <v>25196</v>
      </c>
      <c r="Q12025" s="17"/>
      <c r="R12025" s="25" t="str">
        <f>HYPERLINK("https://ictv.global/taxonomy/taxondetails?taxnode_id=202301639","Pararubulavirus teviotense")</f>
        <v>Pararubulavirus teviotense</v>
      </c>
      <c r="S12025" s="18" t="s">
        <v>30</v>
      </c>
      <c r="T12025" s="18" t="s">
        <v>25222</v>
      </c>
      <c r="U12025" s="18" t="s">
        <v>25223</v>
      </c>
      <c r="V12025" s="18" t="s">
        <v>25224</v>
      </c>
      <c r="W12025" s="18" t="s">
        <v>25225</v>
      </c>
      <c r="X12025" s="18" t="s">
        <v>42</v>
      </c>
      <c r="Y12025" s="18" t="s">
        <v>23964</v>
      </c>
      <c r="Z12025" s="18" t="s">
        <v>166</v>
      </c>
      <c r="AA12025" s="21" t="str">
        <f>HYPERLINK("https://www.ncbi.nlm.nih.gov/nuccore/KP271124","NCBI Nucleotide")</f>
        <v>NCBI Nucleotide</v>
      </c>
    </row>
    <row r="12026" spans="1:27" x14ac:dyDescent="0.35">
      <c r="A12026">
        <v>1010688</v>
      </c>
      <c r="B12026">
        <v>11316</v>
      </c>
      <c r="C12026">
        <v>1</v>
      </c>
      <c r="D12026" s="17" t="s">
        <v>17166</v>
      </c>
      <c r="E12026" s="17"/>
      <c r="F12026" s="17" t="s">
        <v>17246</v>
      </c>
      <c r="G12026" s="17"/>
      <c r="H12026" s="17" t="s">
        <v>23950</v>
      </c>
      <c r="I12026" s="17" t="s">
        <v>23956</v>
      </c>
      <c r="J12026" s="17" t="s">
        <v>24017</v>
      </c>
      <c r="K12026" s="17"/>
      <c r="L12026" s="17" t="s">
        <v>24262</v>
      </c>
      <c r="M12026" s="17"/>
      <c r="N12026" s="17" t="s">
        <v>24897</v>
      </c>
      <c r="O12026" s="17" t="s">
        <v>25165</v>
      </c>
      <c r="P12026" s="17" t="s">
        <v>25196</v>
      </c>
      <c r="Q12026" s="17"/>
      <c r="R12026" s="25" t="str">
        <f>HYPERLINK("https://ictv.global/taxonomy/taxondetails?taxnode_id=202301640","Pararubulavirus tiomanense")</f>
        <v>Pararubulavirus tiomanense</v>
      </c>
      <c r="S12026" s="18" t="s">
        <v>30</v>
      </c>
      <c r="T12026" s="18" t="s">
        <v>25226</v>
      </c>
      <c r="U12026" s="18" t="s">
        <v>25227</v>
      </c>
      <c r="V12026" s="18"/>
      <c r="W12026" s="18" t="s">
        <v>25228</v>
      </c>
      <c r="X12026" s="18" t="s">
        <v>42</v>
      </c>
      <c r="Y12026" s="18" t="s">
        <v>23964</v>
      </c>
      <c r="Z12026" s="18" t="s">
        <v>166</v>
      </c>
      <c r="AA12026" s="21" t="str">
        <f>HYPERLINK("https://www.ncbi.nlm.nih.gov/nuccore/AF298895","NCBI Nucleotide")</f>
        <v>NCBI Nucleotide</v>
      </c>
    </row>
    <row r="12027" spans="1:27" x14ac:dyDescent="0.35">
      <c r="A12027">
        <v>1010691</v>
      </c>
      <c r="B12027">
        <v>11317</v>
      </c>
      <c r="C12027">
        <v>1</v>
      </c>
      <c r="D12027" s="17" t="s">
        <v>17166</v>
      </c>
      <c r="E12027" s="17"/>
      <c r="F12027" s="17" t="s">
        <v>17246</v>
      </c>
      <c r="G12027" s="17"/>
      <c r="H12027" s="17" t="s">
        <v>23950</v>
      </c>
      <c r="I12027" s="17" t="s">
        <v>23956</v>
      </c>
      <c r="J12027" s="17" t="s">
        <v>24017</v>
      </c>
      <c r="K12027" s="17"/>
      <c r="L12027" s="17" t="s">
        <v>24262</v>
      </c>
      <c r="M12027" s="17"/>
      <c r="N12027" s="17" t="s">
        <v>24897</v>
      </c>
      <c r="O12027" s="17" t="s">
        <v>46612</v>
      </c>
      <c r="P12027" s="17" t="s">
        <v>24908</v>
      </c>
      <c r="Q12027" s="17"/>
      <c r="R12027" s="25" t="str">
        <f>HYPERLINK("https://ictv.global/taxonomy/taxondetails?taxnode_id=202306475","Scoliodonvirus scoliodontis")</f>
        <v>Scoliodonvirus scoliodontis</v>
      </c>
      <c r="S12027" s="18" t="s">
        <v>30</v>
      </c>
      <c r="T12027" s="18" t="s">
        <v>24909</v>
      </c>
      <c r="U12027" s="18" t="s">
        <v>24910</v>
      </c>
      <c r="V12027" s="18" t="s">
        <v>24911</v>
      </c>
      <c r="W12027" s="18" t="s">
        <v>24912</v>
      </c>
      <c r="X12027" s="18" t="s">
        <v>35</v>
      </c>
      <c r="Y12027" s="18" t="s">
        <v>23964</v>
      </c>
      <c r="Z12027" s="18" t="s">
        <v>166</v>
      </c>
      <c r="AA12027" s="21" t="str">
        <f>HYPERLINK("https://www.ncbi.nlm.nih.gov/nuccore/MG600057","NCBI Nucleotide")</f>
        <v>NCBI Nucleotide</v>
      </c>
    </row>
    <row r="12028" spans="1:27" x14ac:dyDescent="0.35">
      <c r="A12028">
        <v>1010692</v>
      </c>
      <c r="B12028">
        <v>11318</v>
      </c>
      <c r="C12028">
        <v>1</v>
      </c>
      <c r="D12028" s="17" t="s">
        <v>17166</v>
      </c>
      <c r="E12028" s="17"/>
      <c r="F12028" s="17" t="s">
        <v>17246</v>
      </c>
      <c r="G12028" s="17"/>
      <c r="H12028" s="17" t="s">
        <v>23950</v>
      </c>
      <c r="I12028" s="17" t="s">
        <v>23956</v>
      </c>
      <c r="J12028" s="17" t="s">
        <v>24017</v>
      </c>
      <c r="K12028" s="17"/>
      <c r="L12028" s="17" t="s">
        <v>24262</v>
      </c>
      <c r="M12028" s="17"/>
      <c r="N12028" s="17" t="s">
        <v>25229</v>
      </c>
      <c r="O12028" s="17"/>
      <c r="P12028" s="17" t="s">
        <v>25230</v>
      </c>
      <c r="Q12028" s="17"/>
      <c r="R12028" s="25" t="str">
        <f>HYPERLINK("https://ictv.global/taxonomy/taxondetails?taxnode_id=202301647","Metapneumovirus avis")</f>
        <v>Metapneumovirus avis</v>
      </c>
      <c r="S12028" s="18" t="s">
        <v>30</v>
      </c>
      <c r="T12028" s="18" t="s">
        <v>25231</v>
      </c>
      <c r="U12028" s="18" t="s">
        <v>25232</v>
      </c>
      <c r="V12028" s="18" t="s">
        <v>25233</v>
      </c>
      <c r="W12028" s="18" t="s">
        <v>25234</v>
      </c>
      <c r="X12028" s="18" t="s">
        <v>42</v>
      </c>
      <c r="Y12028" s="18" t="s">
        <v>23964</v>
      </c>
      <c r="Z12028" s="18" t="s">
        <v>166</v>
      </c>
      <c r="AA12028" s="21" t="str">
        <f>HYPERLINK("https://www.ncbi.nlm.nih.gov/nuccore/AY640317","NCBI Nucleotide")</f>
        <v>NCBI Nucleotide</v>
      </c>
    </row>
    <row r="12029" spans="1:27" x14ac:dyDescent="0.35">
      <c r="A12029">
        <v>1010693</v>
      </c>
      <c r="B12029">
        <v>11319</v>
      </c>
      <c r="C12029">
        <v>1</v>
      </c>
      <c r="D12029" s="17" t="s">
        <v>17166</v>
      </c>
      <c r="E12029" s="17"/>
      <c r="F12029" s="17" t="s">
        <v>17246</v>
      </c>
      <c r="G12029" s="17"/>
      <c r="H12029" s="17" t="s">
        <v>23950</v>
      </c>
      <c r="I12029" s="17" t="s">
        <v>23956</v>
      </c>
      <c r="J12029" s="17" t="s">
        <v>24017</v>
      </c>
      <c r="K12029" s="17"/>
      <c r="L12029" s="17" t="s">
        <v>24262</v>
      </c>
      <c r="M12029" s="17"/>
      <c r="N12029" s="17" t="s">
        <v>25229</v>
      </c>
      <c r="O12029" s="17"/>
      <c r="P12029" s="17" t="s">
        <v>25230</v>
      </c>
      <c r="Q12029" s="17"/>
      <c r="R12029" s="25" t="str">
        <f>HYPERLINK("https://ictv.global/taxonomy/taxondetails?taxnode_id=202301648","Metapneumovirus hominis")</f>
        <v>Metapneumovirus hominis</v>
      </c>
      <c r="S12029" s="18" t="s">
        <v>30</v>
      </c>
      <c r="T12029" s="18" t="s">
        <v>25235</v>
      </c>
      <c r="U12029" s="18" t="s">
        <v>25236</v>
      </c>
      <c r="V12029" s="18" t="s">
        <v>25237</v>
      </c>
      <c r="W12029" s="18" t="s">
        <v>25238</v>
      </c>
      <c r="X12029" s="18" t="s">
        <v>42</v>
      </c>
      <c r="Y12029" s="18" t="s">
        <v>23964</v>
      </c>
      <c r="Z12029" s="18" t="s">
        <v>166</v>
      </c>
      <c r="AA12029" s="21" t="str">
        <f>HYPERLINK("https://www.ncbi.nlm.nih.gov/nuccore/AF371337","NCBI Nucleotide")</f>
        <v>NCBI Nucleotide</v>
      </c>
    </row>
    <row r="12030" spans="1:27" x14ac:dyDescent="0.35">
      <c r="A12030">
        <v>1010694</v>
      </c>
      <c r="B12030">
        <v>11320</v>
      </c>
      <c r="C12030">
        <v>1</v>
      </c>
      <c r="D12030" s="17" t="s">
        <v>17166</v>
      </c>
      <c r="E12030" s="17"/>
      <c r="F12030" s="17" t="s">
        <v>17246</v>
      </c>
      <c r="G12030" s="17"/>
      <c r="H12030" s="17" t="s">
        <v>23950</v>
      </c>
      <c r="I12030" s="17" t="s">
        <v>23956</v>
      </c>
      <c r="J12030" s="17" t="s">
        <v>24017</v>
      </c>
      <c r="K12030" s="17"/>
      <c r="L12030" s="17" t="s">
        <v>24262</v>
      </c>
      <c r="M12030" s="17"/>
      <c r="N12030" s="17" t="s">
        <v>25229</v>
      </c>
      <c r="O12030" s="17"/>
      <c r="P12030" s="17" t="s">
        <v>25239</v>
      </c>
      <c r="Q12030" s="17"/>
      <c r="R12030" s="25" t="str">
        <f>HYPERLINK("https://ictv.global/taxonomy/taxondetails?taxnode_id=202301650","Orthopneumovirus bovis")</f>
        <v>Orthopneumovirus bovis</v>
      </c>
      <c r="S12030" s="18" t="s">
        <v>30</v>
      </c>
      <c r="T12030" s="18" t="s">
        <v>25240</v>
      </c>
      <c r="U12030" s="18" t="s">
        <v>25241</v>
      </c>
      <c r="V12030" s="18" t="s">
        <v>25242</v>
      </c>
      <c r="W12030" s="18" t="s">
        <v>25243</v>
      </c>
      <c r="X12030" s="18" t="s">
        <v>42</v>
      </c>
      <c r="Y12030" s="18" t="s">
        <v>23964</v>
      </c>
      <c r="Z12030" s="18" t="s">
        <v>166</v>
      </c>
      <c r="AA12030" s="21" t="str">
        <f>HYPERLINK("https://www.ncbi.nlm.nih.gov/nuccore/AF295543","NCBI Nucleotide")</f>
        <v>NCBI Nucleotide</v>
      </c>
    </row>
    <row r="12031" spans="1:27" x14ac:dyDescent="0.35">
      <c r="A12031">
        <v>1010695</v>
      </c>
      <c r="B12031">
        <v>11321</v>
      </c>
      <c r="C12031">
        <v>1</v>
      </c>
      <c r="D12031" s="17" t="s">
        <v>17166</v>
      </c>
      <c r="E12031" s="17"/>
      <c r="F12031" s="17" t="s">
        <v>17246</v>
      </c>
      <c r="G12031" s="17"/>
      <c r="H12031" s="17" t="s">
        <v>23950</v>
      </c>
      <c r="I12031" s="17" t="s">
        <v>23956</v>
      </c>
      <c r="J12031" s="17" t="s">
        <v>24017</v>
      </c>
      <c r="K12031" s="17"/>
      <c r="L12031" s="17" t="s">
        <v>24262</v>
      </c>
      <c r="M12031" s="17"/>
      <c r="N12031" s="17" t="s">
        <v>25229</v>
      </c>
      <c r="O12031" s="17"/>
      <c r="P12031" s="17" t="s">
        <v>25239</v>
      </c>
      <c r="Q12031" s="17"/>
      <c r="R12031" s="25" t="str">
        <f>HYPERLINK("https://ictv.global/taxonomy/taxondetails?taxnode_id=202301651","Orthopneumovirus hominis")</f>
        <v>Orthopneumovirus hominis</v>
      </c>
      <c r="S12031" s="18" t="s">
        <v>30</v>
      </c>
      <c r="T12031" s="18" t="s">
        <v>25244</v>
      </c>
      <c r="U12031" s="18" t="s">
        <v>25245</v>
      </c>
      <c r="V12031" s="18" t="s">
        <v>24612</v>
      </c>
      <c r="W12031" s="18" t="s">
        <v>25246</v>
      </c>
      <c r="X12031" s="18" t="s">
        <v>42</v>
      </c>
      <c r="Y12031" s="18" t="s">
        <v>23964</v>
      </c>
      <c r="Z12031" s="18" t="s">
        <v>166</v>
      </c>
      <c r="AA12031" s="21" t="str">
        <f>HYPERLINK("https://www.ncbi.nlm.nih.gov/nuccore/M74568","NCBI Nucleotide")</f>
        <v>NCBI Nucleotide</v>
      </c>
    </row>
    <row r="12032" spans="1:27" x14ac:dyDescent="0.35">
      <c r="A12032">
        <v>1010696</v>
      </c>
      <c r="B12032">
        <v>11322</v>
      </c>
      <c r="C12032">
        <v>1</v>
      </c>
      <c r="D12032" s="17" t="s">
        <v>17166</v>
      </c>
      <c r="E12032" s="17"/>
      <c r="F12032" s="17" t="s">
        <v>17246</v>
      </c>
      <c r="G12032" s="17"/>
      <c r="H12032" s="17" t="s">
        <v>23950</v>
      </c>
      <c r="I12032" s="17" t="s">
        <v>23956</v>
      </c>
      <c r="J12032" s="17" t="s">
        <v>24017</v>
      </c>
      <c r="K12032" s="17"/>
      <c r="L12032" s="17" t="s">
        <v>24262</v>
      </c>
      <c r="M12032" s="17"/>
      <c r="N12032" s="17" t="s">
        <v>25229</v>
      </c>
      <c r="O12032" s="17"/>
      <c r="P12032" s="17" t="s">
        <v>25239</v>
      </c>
      <c r="Q12032" s="17"/>
      <c r="R12032" s="25" t="str">
        <f>HYPERLINK("https://ictv.global/taxonomy/taxondetails?taxnode_id=202301652","Orthopneumovirus muris")</f>
        <v>Orthopneumovirus muris</v>
      </c>
      <c r="S12032" s="18" t="s">
        <v>30</v>
      </c>
      <c r="T12032" s="18" t="s">
        <v>25247</v>
      </c>
      <c r="U12032" s="18" t="s">
        <v>20821</v>
      </c>
      <c r="V12032" s="18">
        <v>15</v>
      </c>
      <c r="W12032" s="18" t="s">
        <v>25248</v>
      </c>
      <c r="X12032" s="18" t="s">
        <v>42</v>
      </c>
      <c r="Y12032" s="18" t="s">
        <v>23964</v>
      </c>
      <c r="Z12032" s="18" t="s">
        <v>166</v>
      </c>
      <c r="AA12032" s="21" t="str">
        <f>HYPERLINK("https://www.ncbi.nlm.nih.gov/nuccore/AY729016","NCBI Nucleotide")</f>
        <v>NCBI Nucleotide</v>
      </c>
    </row>
    <row r="12033" spans="1:27" x14ac:dyDescent="0.35">
      <c r="A12033">
        <v>1010697</v>
      </c>
      <c r="B12033">
        <v>11323</v>
      </c>
      <c r="C12033">
        <v>1</v>
      </c>
      <c r="D12033" s="17" t="s">
        <v>17166</v>
      </c>
      <c r="E12033" s="17"/>
      <c r="F12033" s="17" t="s">
        <v>17246</v>
      </c>
      <c r="G12033" s="17"/>
      <c r="H12033" s="17" t="s">
        <v>23950</v>
      </c>
      <c r="I12033" s="17" t="s">
        <v>23956</v>
      </c>
      <c r="J12033" s="17" t="s">
        <v>24017</v>
      </c>
      <c r="K12033" s="17"/>
      <c r="L12033" s="17" t="s">
        <v>24262</v>
      </c>
      <c r="M12033" s="17"/>
      <c r="N12033" s="17" t="s">
        <v>25249</v>
      </c>
      <c r="O12033" s="17" t="s">
        <v>25320</v>
      </c>
      <c r="P12033" s="17" t="s">
        <v>25321</v>
      </c>
      <c r="Q12033" s="17"/>
      <c r="R12033" s="25" t="str">
        <f>HYPERLINK("https://ictv.global/taxonomy/taxondetails?taxnode_id=202301659","Almendravirus almendras")</f>
        <v>Almendravirus almendras</v>
      </c>
      <c r="S12033" s="18" t="s">
        <v>30</v>
      </c>
      <c r="T12033" s="18" t="s">
        <v>25322</v>
      </c>
      <c r="U12033" s="18" t="s">
        <v>25323</v>
      </c>
      <c r="V12033" s="18" t="s">
        <v>25324</v>
      </c>
      <c r="W12033" s="18" t="s">
        <v>25325</v>
      </c>
      <c r="X12033" s="18" t="s">
        <v>42</v>
      </c>
      <c r="Y12033" s="18" t="s">
        <v>23964</v>
      </c>
      <c r="Z12033" s="18" t="s">
        <v>10790</v>
      </c>
      <c r="AA12033" s="21" t="str">
        <f>HYPERLINK("https://www.ncbi.nlm.nih.gov/nuccore/KF534749","NCBI Nucleotide")</f>
        <v>NCBI Nucleotide</v>
      </c>
    </row>
    <row r="12034" spans="1:27" x14ac:dyDescent="0.35">
      <c r="A12034">
        <v>1010698</v>
      </c>
      <c r="B12034">
        <v>11324</v>
      </c>
      <c r="C12034">
        <v>1</v>
      </c>
      <c r="D12034" s="17" t="s">
        <v>17166</v>
      </c>
      <c r="E12034" s="17"/>
      <c r="F12034" s="17" t="s">
        <v>17246</v>
      </c>
      <c r="G12034" s="17"/>
      <c r="H12034" s="17" t="s">
        <v>23950</v>
      </c>
      <c r="I12034" s="17" t="s">
        <v>23956</v>
      </c>
      <c r="J12034" s="17" t="s">
        <v>24017</v>
      </c>
      <c r="K12034" s="17"/>
      <c r="L12034" s="17" t="s">
        <v>24262</v>
      </c>
      <c r="M12034" s="17"/>
      <c r="N12034" s="17" t="s">
        <v>25249</v>
      </c>
      <c r="O12034" s="17" t="s">
        <v>25320</v>
      </c>
      <c r="P12034" s="17" t="s">
        <v>25321</v>
      </c>
      <c r="Q12034" s="17"/>
      <c r="R12034" s="25" t="str">
        <f>HYPERLINK("https://ictv.global/taxonomy/taxondetails?taxnode_id=202301656","Almendravirus arboretum")</f>
        <v>Almendravirus arboretum</v>
      </c>
      <c r="S12034" s="18" t="s">
        <v>30</v>
      </c>
      <c r="T12034" s="18" t="s">
        <v>25326</v>
      </c>
      <c r="U12034" s="18" t="s">
        <v>13882</v>
      </c>
      <c r="V12034" s="18" t="s">
        <v>25327</v>
      </c>
      <c r="W12034" s="18" t="s">
        <v>25328</v>
      </c>
      <c r="X12034" s="18" t="s">
        <v>42</v>
      </c>
      <c r="Y12034" s="18" t="s">
        <v>23964</v>
      </c>
      <c r="Z12034" s="18" t="s">
        <v>10790</v>
      </c>
      <c r="AA12034" s="21" t="str">
        <f>HYPERLINK("https://www.ncbi.nlm.nih.gov/nuccore/KC994644","NCBI Nucleotide")</f>
        <v>NCBI Nucleotide</v>
      </c>
    </row>
    <row r="12035" spans="1:27" x14ac:dyDescent="0.35">
      <c r="A12035">
        <v>1010699</v>
      </c>
      <c r="B12035">
        <v>11325</v>
      </c>
      <c r="C12035">
        <v>1</v>
      </c>
      <c r="D12035" s="17" t="s">
        <v>17166</v>
      </c>
      <c r="E12035" s="17"/>
      <c r="F12035" s="17" t="s">
        <v>17246</v>
      </c>
      <c r="G12035" s="17"/>
      <c r="H12035" s="17" t="s">
        <v>23950</v>
      </c>
      <c r="I12035" s="17" t="s">
        <v>23956</v>
      </c>
      <c r="J12035" s="17" t="s">
        <v>24017</v>
      </c>
      <c r="K12035" s="17"/>
      <c r="L12035" s="17" t="s">
        <v>24262</v>
      </c>
      <c r="M12035" s="17"/>
      <c r="N12035" s="17" t="s">
        <v>25249</v>
      </c>
      <c r="O12035" s="17" t="s">
        <v>25320</v>
      </c>
      <c r="P12035" s="17" t="s">
        <v>25321</v>
      </c>
      <c r="Q12035" s="17"/>
      <c r="R12035" s="25" t="str">
        <f>HYPERLINK("https://ictv.global/taxonomy/taxondetails?taxnode_id=202301657","Almendravirus balsa")</f>
        <v>Almendravirus balsa</v>
      </c>
      <c r="S12035" s="18" t="s">
        <v>30</v>
      </c>
      <c r="T12035" s="18" t="s">
        <v>25329</v>
      </c>
      <c r="U12035" s="18" t="s">
        <v>25330</v>
      </c>
      <c r="V12035" s="18" t="s">
        <v>25331</v>
      </c>
      <c r="W12035" s="18" t="s">
        <v>25332</v>
      </c>
      <c r="X12035" s="18" t="s">
        <v>42</v>
      </c>
      <c r="Y12035" s="18" t="s">
        <v>23964</v>
      </c>
      <c r="Z12035" s="18" t="s">
        <v>10790</v>
      </c>
      <c r="AA12035" s="21" t="str">
        <f>HYPERLINK("https://www.ncbi.nlm.nih.gov/nuccore/KX228198","NCBI Nucleotide")</f>
        <v>NCBI Nucleotide</v>
      </c>
    </row>
    <row r="12036" spans="1:27" x14ac:dyDescent="0.35">
      <c r="A12036">
        <v>1010700</v>
      </c>
      <c r="B12036">
        <v>11326</v>
      </c>
      <c r="C12036">
        <v>1</v>
      </c>
      <c r="D12036" s="17" t="s">
        <v>17166</v>
      </c>
      <c r="E12036" s="17"/>
      <c r="F12036" s="17" t="s">
        <v>17246</v>
      </c>
      <c r="G12036" s="17"/>
      <c r="H12036" s="17" t="s">
        <v>23950</v>
      </c>
      <c r="I12036" s="17" t="s">
        <v>23956</v>
      </c>
      <c r="J12036" s="17" t="s">
        <v>24017</v>
      </c>
      <c r="K12036" s="17"/>
      <c r="L12036" s="17" t="s">
        <v>24262</v>
      </c>
      <c r="M12036" s="17"/>
      <c r="N12036" s="17" t="s">
        <v>25249</v>
      </c>
      <c r="O12036" s="17" t="s">
        <v>25320</v>
      </c>
      <c r="P12036" s="17" t="s">
        <v>25321</v>
      </c>
      <c r="Q12036" s="17"/>
      <c r="R12036" s="25" t="str">
        <f>HYPERLINK("https://ictv.global/taxonomy/taxondetails?taxnode_id=202301660","Almendravirus chico")</f>
        <v>Almendravirus chico</v>
      </c>
      <c r="S12036" s="18" t="s">
        <v>30</v>
      </c>
      <c r="T12036" s="18" t="s">
        <v>25333</v>
      </c>
      <c r="U12036" s="18" t="s">
        <v>25334</v>
      </c>
      <c r="V12036" s="18" t="s">
        <v>25335</v>
      </c>
      <c r="W12036" s="18" t="s">
        <v>25336</v>
      </c>
      <c r="X12036" s="18" t="s">
        <v>42</v>
      </c>
      <c r="Y12036" s="18" t="s">
        <v>23964</v>
      </c>
      <c r="Z12036" s="18" t="s">
        <v>10790</v>
      </c>
      <c r="AA12036" s="21" t="str">
        <f>HYPERLINK("https://www.ncbi.nlm.nih.gov/nuccore/KX228197","NCBI Nucleotide")</f>
        <v>NCBI Nucleotide</v>
      </c>
    </row>
    <row r="12037" spans="1:27" x14ac:dyDescent="0.35">
      <c r="A12037">
        <v>1010701</v>
      </c>
      <c r="B12037">
        <v>11327</v>
      </c>
      <c r="C12037">
        <v>1</v>
      </c>
      <c r="D12037" s="17" t="s">
        <v>17166</v>
      </c>
      <c r="E12037" s="17"/>
      <c r="F12037" s="17" t="s">
        <v>17246</v>
      </c>
      <c r="G12037" s="17"/>
      <c r="H12037" s="17" t="s">
        <v>23950</v>
      </c>
      <c r="I12037" s="17" t="s">
        <v>23956</v>
      </c>
      <c r="J12037" s="17" t="s">
        <v>24017</v>
      </c>
      <c r="K12037" s="17"/>
      <c r="L12037" s="17" t="s">
        <v>24262</v>
      </c>
      <c r="M12037" s="17"/>
      <c r="N12037" s="17" t="s">
        <v>25249</v>
      </c>
      <c r="O12037" s="17" t="s">
        <v>25320</v>
      </c>
      <c r="P12037" s="17" t="s">
        <v>25321</v>
      </c>
      <c r="Q12037" s="17"/>
      <c r="R12037" s="25" t="str">
        <f>HYPERLINK("https://ictv.global/taxonomy/taxondetails?taxnode_id=202301658","Almendravirus cootbay")</f>
        <v>Almendravirus cootbay</v>
      </c>
      <c r="S12037" s="18" t="s">
        <v>30</v>
      </c>
      <c r="T12037" s="18" t="s">
        <v>25337</v>
      </c>
      <c r="U12037" s="18" t="s">
        <v>25338</v>
      </c>
      <c r="V12037" s="18" t="s">
        <v>25339</v>
      </c>
      <c r="W12037" s="18" t="s">
        <v>25340</v>
      </c>
      <c r="X12037" s="18" t="s">
        <v>42</v>
      </c>
      <c r="Y12037" s="18" t="s">
        <v>23964</v>
      </c>
      <c r="Z12037" s="18" t="s">
        <v>10790</v>
      </c>
      <c r="AA12037" s="21" t="str">
        <f>HYPERLINK("https://www.ncbi.nlm.nih.gov/nuccore/KX228196","NCBI Nucleotide")</f>
        <v>NCBI Nucleotide</v>
      </c>
    </row>
    <row r="12038" spans="1:27" x14ac:dyDescent="0.35">
      <c r="A12038">
        <v>1010702</v>
      </c>
      <c r="B12038">
        <v>11328</v>
      </c>
      <c r="C12038">
        <v>1</v>
      </c>
      <c r="D12038" s="17" t="s">
        <v>17166</v>
      </c>
      <c r="E12038" s="17"/>
      <c r="F12038" s="17" t="s">
        <v>17246</v>
      </c>
      <c r="G12038" s="17"/>
      <c r="H12038" s="17" t="s">
        <v>23950</v>
      </c>
      <c r="I12038" s="17" t="s">
        <v>23956</v>
      </c>
      <c r="J12038" s="17" t="s">
        <v>24017</v>
      </c>
      <c r="K12038" s="17"/>
      <c r="L12038" s="17" t="s">
        <v>24262</v>
      </c>
      <c r="M12038" s="17"/>
      <c r="N12038" s="17" t="s">
        <v>25249</v>
      </c>
      <c r="O12038" s="17" t="s">
        <v>25320</v>
      </c>
      <c r="P12038" s="17" t="s">
        <v>25321</v>
      </c>
      <c r="Q12038" s="17"/>
      <c r="R12038" s="25" t="str">
        <f>HYPERLINK("https://ictv.global/taxonomy/taxondetails?taxnode_id=202307700","Almendravirus menghai")</f>
        <v>Almendravirus menghai</v>
      </c>
      <c r="S12038" s="18" t="s">
        <v>30</v>
      </c>
      <c r="T12038" s="18" t="s">
        <v>50897</v>
      </c>
      <c r="U12038" s="18" t="s">
        <v>25341</v>
      </c>
      <c r="V12038" s="18"/>
      <c r="W12038" s="18" t="s">
        <v>25342</v>
      </c>
      <c r="X12038" s="18" t="s">
        <v>42</v>
      </c>
      <c r="Y12038" s="18" t="s">
        <v>23964</v>
      </c>
      <c r="Z12038" s="18" t="s">
        <v>10790</v>
      </c>
      <c r="AA12038" s="21" t="str">
        <f>HYPERLINK("https://www.ncbi.nlm.nih.gov/nuccore/KX785335","NCBI Nucleotide")</f>
        <v>NCBI Nucleotide</v>
      </c>
    </row>
    <row r="12039" spans="1:27" x14ac:dyDescent="0.35">
      <c r="A12039">
        <v>1027626</v>
      </c>
      <c r="B12039">
        <v>11329</v>
      </c>
      <c r="C12039">
        <v>1</v>
      </c>
      <c r="D12039" s="17" t="s">
        <v>17166</v>
      </c>
      <c r="E12039" s="17"/>
      <c r="F12039" s="17" t="s">
        <v>17246</v>
      </c>
      <c r="G12039" s="17"/>
      <c r="H12039" s="17" t="s">
        <v>23950</v>
      </c>
      <c r="I12039" s="17" t="s">
        <v>23956</v>
      </c>
      <c r="J12039" s="17" t="s">
        <v>24017</v>
      </c>
      <c r="K12039" s="17"/>
      <c r="L12039" s="17" t="s">
        <v>24262</v>
      </c>
      <c r="M12039" s="17"/>
      <c r="N12039" s="17" t="s">
        <v>25249</v>
      </c>
      <c r="O12039" s="17" t="s">
        <v>25320</v>
      </c>
      <c r="P12039" s="17" t="s">
        <v>25321</v>
      </c>
      <c r="Q12039" s="17"/>
      <c r="R12039" s="25" t="str">
        <f>HYPERLINK("https://ictv.global/taxonomy/taxondetails?taxnode_id=202317783","Almendravirus shanxi")</f>
        <v>Almendravirus shanxi</v>
      </c>
      <c r="S12039" s="18" t="s">
        <v>30</v>
      </c>
      <c r="T12039" s="18" t="s">
        <v>46613</v>
      </c>
      <c r="U12039" s="18" t="s">
        <v>46614</v>
      </c>
      <c r="V12039" s="18" t="s">
        <v>46615</v>
      </c>
      <c r="W12039" s="18" t="s">
        <v>46616</v>
      </c>
      <c r="X12039" s="18" t="s">
        <v>35</v>
      </c>
      <c r="Y12039" s="18" t="s">
        <v>23964</v>
      </c>
      <c r="Z12039" s="18" t="s">
        <v>10790</v>
      </c>
      <c r="AA12039" s="21" t="str">
        <f>HYPERLINK("https://www.ncbi.nlm.nih.gov/nuccore/MW890015","NCBI Nucleotide")</f>
        <v>NCBI Nucleotide</v>
      </c>
    </row>
    <row r="12040" spans="1:27" x14ac:dyDescent="0.35">
      <c r="A12040">
        <v>1010703</v>
      </c>
      <c r="B12040">
        <v>11330</v>
      </c>
      <c r="C12040">
        <v>1</v>
      </c>
      <c r="D12040" s="17" t="s">
        <v>17166</v>
      </c>
      <c r="E12040" s="17"/>
      <c r="F12040" s="17" t="s">
        <v>17246</v>
      </c>
      <c r="G12040" s="17"/>
      <c r="H12040" s="17" t="s">
        <v>23950</v>
      </c>
      <c r="I12040" s="17" t="s">
        <v>23956</v>
      </c>
      <c r="J12040" s="17" t="s">
        <v>24017</v>
      </c>
      <c r="K12040" s="17"/>
      <c r="L12040" s="17" t="s">
        <v>24262</v>
      </c>
      <c r="M12040" s="17"/>
      <c r="N12040" s="17" t="s">
        <v>25249</v>
      </c>
      <c r="O12040" s="17" t="s">
        <v>25320</v>
      </c>
      <c r="P12040" s="17" t="s">
        <v>25321</v>
      </c>
      <c r="Q12040" s="17"/>
      <c r="R12040" s="25" t="str">
        <f>HYPERLINK("https://ictv.global/taxonomy/taxondetails?taxnode_id=202314154","Almendravirus xiangshan")</f>
        <v>Almendravirus xiangshan</v>
      </c>
      <c r="S12040" s="18" t="s">
        <v>30</v>
      </c>
      <c r="T12040" s="18" t="s">
        <v>25343</v>
      </c>
      <c r="U12040" s="18" t="s">
        <v>25344</v>
      </c>
      <c r="V12040" s="18" t="s">
        <v>25345</v>
      </c>
      <c r="W12040" s="18" t="s">
        <v>25346</v>
      </c>
      <c r="X12040" s="18" t="s">
        <v>35</v>
      </c>
      <c r="Y12040" s="18" t="s">
        <v>23964</v>
      </c>
      <c r="Z12040" s="18" t="s">
        <v>10790</v>
      </c>
      <c r="AA12040" s="21" t="str">
        <f>HYPERLINK("https://www.ncbi.nlm.nih.gov/nuccore/OK491499","NCBI Nucleotide")</f>
        <v>NCBI Nucleotide</v>
      </c>
    </row>
    <row r="12041" spans="1:27" x14ac:dyDescent="0.35">
      <c r="A12041">
        <v>1010704</v>
      </c>
      <c r="B12041">
        <v>11331</v>
      </c>
      <c r="C12041">
        <v>1</v>
      </c>
      <c r="D12041" s="17" t="s">
        <v>17166</v>
      </c>
      <c r="E12041" s="17"/>
      <c r="F12041" s="17" t="s">
        <v>17246</v>
      </c>
      <c r="G12041" s="17"/>
      <c r="H12041" s="17" t="s">
        <v>23950</v>
      </c>
      <c r="I12041" s="17" t="s">
        <v>23956</v>
      </c>
      <c r="J12041" s="17" t="s">
        <v>24017</v>
      </c>
      <c r="K12041" s="17"/>
      <c r="L12041" s="17" t="s">
        <v>24262</v>
      </c>
      <c r="M12041" s="17"/>
      <c r="N12041" s="17" t="s">
        <v>25249</v>
      </c>
      <c r="O12041" s="17" t="s">
        <v>25320</v>
      </c>
      <c r="P12041" s="17" t="s">
        <v>25347</v>
      </c>
      <c r="Q12041" s="17"/>
      <c r="R12041" s="25" t="str">
        <f>HYPERLINK("https://ictv.global/taxonomy/taxondetails?taxnode_id=202314151","Alphanemrhavirus bangkok")</f>
        <v>Alphanemrhavirus bangkok</v>
      </c>
      <c r="S12041" s="18" t="s">
        <v>30</v>
      </c>
      <c r="T12041" s="18" t="s">
        <v>25348</v>
      </c>
      <c r="U12041" s="18" t="s">
        <v>25349</v>
      </c>
      <c r="V12041" s="18" t="s">
        <v>25350</v>
      </c>
      <c r="W12041" s="18" t="s">
        <v>25351</v>
      </c>
      <c r="X12041" s="18" t="s">
        <v>35</v>
      </c>
      <c r="Y12041" s="18" t="s">
        <v>23964</v>
      </c>
      <c r="Z12041" s="18" t="s">
        <v>166</v>
      </c>
      <c r="AA12041" s="21" t="str">
        <f>HYPERLINK("https://www.ncbi.nlm.nih.gov/nuccore/MT085340","NCBI Nucleotide")</f>
        <v>NCBI Nucleotide</v>
      </c>
    </row>
    <row r="12042" spans="1:27" x14ac:dyDescent="0.35">
      <c r="A12042">
        <v>1010705</v>
      </c>
      <c r="B12042">
        <v>11332</v>
      </c>
      <c r="C12042">
        <v>1</v>
      </c>
      <c r="D12042" s="17" t="s">
        <v>17166</v>
      </c>
      <c r="E12042" s="17"/>
      <c r="F12042" s="17" t="s">
        <v>17246</v>
      </c>
      <c r="G12042" s="17"/>
      <c r="H12042" s="17" t="s">
        <v>23950</v>
      </c>
      <c r="I12042" s="17" t="s">
        <v>23956</v>
      </c>
      <c r="J12042" s="17" t="s">
        <v>24017</v>
      </c>
      <c r="K12042" s="17"/>
      <c r="L12042" s="17" t="s">
        <v>24262</v>
      </c>
      <c r="M12042" s="17"/>
      <c r="N12042" s="17" t="s">
        <v>25249</v>
      </c>
      <c r="O12042" s="17" t="s">
        <v>25320</v>
      </c>
      <c r="P12042" s="17" t="s">
        <v>25347</v>
      </c>
      <c r="Q12042" s="17"/>
      <c r="R12042" s="25" t="str">
        <f>HYPERLINK("https://ictv.global/taxonomy/taxondetails?taxnode_id=202314150","Alphanemrhavirus sodak")</f>
        <v>Alphanemrhavirus sodak</v>
      </c>
      <c r="S12042" s="18" t="s">
        <v>30</v>
      </c>
      <c r="T12042" s="18" t="s">
        <v>25352</v>
      </c>
      <c r="U12042" s="18" t="s">
        <v>25353</v>
      </c>
      <c r="V12042" s="18" t="s">
        <v>25354</v>
      </c>
      <c r="W12042" s="18" t="s">
        <v>25355</v>
      </c>
      <c r="X12042" s="18" t="s">
        <v>35</v>
      </c>
      <c r="Y12042" s="18" t="s">
        <v>23964</v>
      </c>
      <c r="Z12042" s="18" t="s">
        <v>166</v>
      </c>
      <c r="AA12042" s="21" t="str">
        <f>HYPERLINK("https://www.ncbi.nlm.nih.gov/nuccore/MT875151","NCBI Nucleotide")</f>
        <v>NCBI Nucleotide</v>
      </c>
    </row>
    <row r="12043" spans="1:27" x14ac:dyDescent="0.35">
      <c r="A12043">
        <v>1010706</v>
      </c>
      <c r="B12043">
        <v>11333</v>
      </c>
      <c r="C12043">
        <v>1</v>
      </c>
      <c r="D12043" s="17" t="s">
        <v>17166</v>
      </c>
      <c r="E12043" s="17"/>
      <c r="F12043" s="17" t="s">
        <v>17246</v>
      </c>
      <c r="G12043" s="17"/>
      <c r="H12043" s="17" t="s">
        <v>23950</v>
      </c>
      <c r="I12043" s="17" t="s">
        <v>23956</v>
      </c>
      <c r="J12043" s="17" t="s">
        <v>24017</v>
      </c>
      <c r="K12043" s="17"/>
      <c r="L12043" s="17" t="s">
        <v>24262</v>
      </c>
      <c r="M12043" s="17"/>
      <c r="N12043" s="17" t="s">
        <v>25249</v>
      </c>
      <c r="O12043" s="17" t="s">
        <v>25320</v>
      </c>
      <c r="P12043" s="17" t="s">
        <v>25347</v>
      </c>
      <c r="Q12043" s="17"/>
      <c r="R12043" s="25" t="str">
        <f>HYPERLINK("https://ictv.global/taxonomy/taxondetails?taxnode_id=202306519","Alphanemrhavirus xingshan")</f>
        <v>Alphanemrhavirus xingshan</v>
      </c>
      <c r="S12043" s="18" t="s">
        <v>30</v>
      </c>
      <c r="T12043" s="18" t="s">
        <v>25356</v>
      </c>
      <c r="U12043" s="18" t="s">
        <v>25357</v>
      </c>
      <c r="V12043" s="18" t="s">
        <v>25358</v>
      </c>
      <c r="W12043" s="18" t="s">
        <v>25359</v>
      </c>
      <c r="X12043" s="18" t="s">
        <v>35</v>
      </c>
      <c r="Y12043" s="18" t="s">
        <v>23964</v>
      </c>
      <c r="Z12043" s="18" t="s">
        <v>10790</v>
      </c>
      <c r="AA12043" s="21" t="str">
        <f>HYPERLINK("https://www.ncbi.nlm.nih.gov/nuccore/KX884459","NCBI Nucleotide")</f>
        <v>NCBI Nucleotide</v>
      </c>
    </row>
    <row r="12044" spans="1:27" x14ac:dyDescent="0.35">
      <c r="A12044">
        <v>1010707</v>
      </c>
      <c r="B12044">
        <v>11334</v>
      </c>
      <c r="C12044">
        <v>1</v>
      </c>
      <c r="D12044" s="17" t="s">
        <v>17166</v>
      </c>
      <c r="E12044" s="17"/>
      <c r="F12044" s="17" t="s">
        <v>17246</v>
      </c>
      <c r="G12044" s="17"/>
      <c r="H12044" s="17" t="s">
        <v>23950</v>
      </c>
      <c r="I12044" s="17" t="s">
        <v>23956</v>
      </c>
      <c r="J12044" s="17" t="s">
        <v>24017</v>
      </c>
      <c r="K12044" s="17"/>
      <c r="L12044" s="17" t="s">
        <v>24262</v>
      </c>
      <c r="M12044" s="17"/>
      <c r="N12044" s="17" t="s">
        <v>25249</v>
      </c>
      <c r="O12044" s="17" t="s">
        <v>25320</v>
      </c>
      <c r="P12044" s="17" t="s">
        <v>25347</v>
      </c>
      <c r="Q12044" s="17"/>
      <c r="R12044" s="25" t="str">
        <f>HYPERLINK("https://ictv.global/taxonomy/taxondetails?taxnode_id=202306520","Alphanemrhavirus xinzhou")</f>
        <v>Alphanemrhavirus xinzhou</v>
      </c>
      <c r="S12044" s="18" t="s">
        <v>30</v>
      </c>
      <c r="T12044" s="18" t="s">
        <v>25360</v>
      </c>
      <c r="U12044" s="18" t="s">
        <v>25361</v>
      </c>
      <c r="V12044" s="18" t="s">
        <v>25362</v>
      </c>
      <c r="W12044" s="18" t="s">
        <v>25363</v>
      </c>
      <c r="X12044" s="18" t="s">
        <v>35</v>
      </c>
      <c r="Y12044" s="18" t="s">
        <v>23964</v>
      </c>
      <c r="Z12044" s="18" t="s">
        <v>10790</v>
      </c>
      <c r="AA12044" s="21" t="str">
        <f>HYPERLINK("https://www.ncbi.nlm.nih.gov/nuccore/KX884462","NCBI Nucleotide")</f>
        <v>NCBI Nucleotide</v>
      </c>
    </row>
    <row r="12045" spans="1:27" x14ac:dyDescent="0.35">
      <c r="A12045">
        <v>1010708</v>
      </c>
      <c r="B12045">
        <v>11335</v>
      </c>
      <c r="C12045">
        <v>1</v>
      </c>
      <c r="D12045" s="17" t="s">
        <v>17166</v>
      </c>
      <c r="E12045" s="17"/>
      <c r="F12045" s="17" t="s">
        <v>17246</v>
      </c>
      <c r="G12045" s="17"/>
      <c r="H12045" s="17" t="s">
        <v>23950</v>
      </c>
      <c r="I12045" s="17" t="s">
        <v>23956</v>
      </c>
      <c r="J12045" s="17" t="s">
        <v>24017</v>
      </c>
      <c r="K12045" s="17"/>
      <c r="L12045" s="17" t="s">
        <v>24262</v>
      </c>
      <c r="M12045" s="17"/>
      <c r="N12045" s="17" t="s">
        <v>25249</v>
      </c>
      <c r="O12045" s="17" t="s">
        <v>25320</v>
      </c>
      <c r="P12045" s="17" t="s">
        <v>25364</v>
      </c>
      <c r="Q12045" s="17"/>
      <c r="R12045" s="25" t="str">
        <f>HYPERLINK("https://ictv.global/taxonomy/taxondetails?taxnode_id=202308751","Alphapaprhavirus hubei")</f>
        <v>Alphapaprhavirus hubei</v>
      </c>
      <c r="S12045" s="18" t="s">
        <v>30</v>
      </c>
      <c r="T12045" s="18" t="s">
        <v>25365</v>
      </c>
      <c r="U12045" s="18" t="s">
        <v>25366</v>
      </c>
      <c r="V12045" s="18" t="s">
        <v>25367</v>
      </c>
      <c r="W12045" s="18" t="s">
        <v>25368</v>
      </c>
      <c r="X12045" s="18" t="s">
        <v>35</v>
      </c>
      <c r="Y12045" s="18" t="s">
        <v>23964</v>
      </c>
      <c r="Z12045" s="18" t="s">
        <v>10790</v>
      </c>
      <c r="AA12045" s="21" t="str">
        <f>HYPERLINK("https://www.ncbi.nlm.nih.gov/nuccore/KX884415","NCBI Nucleotide")</f>
        <v>NCBI Nucleotide</v>
      </c>
    </row>
    <row r="12046" spans="1:27" x14ac:dyDescent="0.35">
      <c r="A12046">
        <v>1010709</v>
      </c>
      <c r="B12046">
        <v>11336</v>
      </c>
      <c r="C12046">
        <v>1</v>
      </c>
      <c r="D12046" s="17" t="s">
        <v>17166</v>
      </c>
      <c r="E12046" s="17"/>
      <c r="F12046" s="17" t="s">
        <v>17246</v>
      </c>
      <c r="G12046" s="17"/>
      <c r="H12046" s="17" t="s">
        <v>23950</v>
      </c>
      <c r="I12046" s="17" t="s">
        <v>23956</v>
      </c>
      <c r="J12046" s="17" t="s">
        <v>24017</v>
      </c>
      <c r="K12046" s="17"/>
      <c r="L12046" s="17" t="s">
        <v>24262</v>
      </c>
      <c r="M12046" s="17"/>
      <c r="N12046" s="17" t="s">
        <v>25249</v>
      </c>
      <c r="O12046" s="17" t="s">
        <v>25320</v>
      </c>
      <c r="P12046" s="17" t="s">
        <v>25364</v>
      </c>
      <c r="Q12046" s="17"/>
      <c r="R12046" s="25" t="str">
        <f>HYPERLINK("https://ictv.global/taxonomy/taxondetails?taxnode_id=202308750","Alphapaprhavirus pararge")</f>
        <v>Alphapaprhavirus pararge</v>
      </c>
      <c r="S12046" s="18" t="s">
        <v>30</v>
      </c>
      <c r="T12046" s="18" t="s">
        <v>25369</v>
      </c>
      <c r="U12046" s="18" t="s">
        <v>25370</v>
      </c>
      <c r="V12046" s="18"/>
      <c r="W12046" s="18" t="s">
        <v>25371</v>
      </c>
      <c r="X12046" s="18" t="s">
        <v>35</v>
      </c>
      <c r="Y12046" s="18" t="s">
        <v>23964</v>
      </c>
      <c r="Z12046" s="18" t="s">
        <v>10790</v>
      </c>
      <c r="AA12046" s="21" t="str">
        <f>HYPERLINK("https://www.ncbi.nlm.nih.gov/nuccore/KR822826","NCBI Nucleotide")</f>
        <v>NCBI Nucleotide</v>
      </c>
    </row>
    <row r="12047" spans="1:27" x14ac:dyDescent="0.35">
      <c r="A12047">
        <v>1027614</v>
      </c>
      <c r="B12047">
        <v>11337</v>
      </c>
      <c r="C12047">
        <v>1</v>
      </c>
      <c r="D12047" s="17" t="s">
        <v>17166</v>
      </c>
      <c r="E12047" s="17"/>
      <c r="F12047" s="17" t="s">
        <v>17246</v>
      </c>
      <c r="G12047" s="17"/>
      <c r="H12047" s="17" t="s">
        <v>23950</v>
      </c>
      <c r="I12047" s="17" t="s">
        <v>23956</v>
      </c>
      <c r="J12047" s="17" t="s">
        <v>24017</v>
      </c>
      <c r="K12047" s="17"/>
      <c r="L12047" s="17" t="s">
        <v>24262</v>
      </c>
      <c r="M12047" s="17"/>
      <c r="N12047" s="17" t="s">
        <v>25249</v>
      </c>
      <c r="O12047" s="17" t="s">
        <v>25320</v>
      </c>
      <c r="P12047" s="17" t="s">
        <v>25372</v>
      </c>
      <c r="Q12047" s="17"/>
      <c r="R12047" s="25" t="str">
        <f>HYPERLINK("https://ictv.global/taxonomy/taxondetails?taxnode_id=202318256","Alpharicinrhavirus bancrofti")</f>
        <v>Alpharicinrhavirus bancrofti</v>
      </c>
      <c r="S12047" s="18" t="s">
        <v>30</v>
      </c>
      <c r="T12047" s="18" t="s">
        <v>50898</v>
      </c>
      <c r="U12047" s="18" t="s">
        <v>46617</v>
      </c>
      <c r="V12047" s="18" t="s">
        <v>46618</v>
      </c>
      <c r="W12047" s="18" t="s">
        <v>50899</v>
      </c>
      <c r="X12047" s="18" t="s">
        <v>35</v>
      </c>
      <c r="Y12047" s="18" t="s">
        <v>23964</v>
      </c>
      <c r="Z12047" s="18" t="s">
        <v>17413</v>
      </c>
      <c r="AA12047" s="21" t="str">
        <f>HYPERLINK("https://www.ncbi.nlm.nih.gov/nuccore/OK128265","NCBI Nucleotide")</f>
        <v>NCBI Nucleotide</v>
      </c>
    </row>
    <row r="12048" spans="1:27" x14ac:dyDescent="0.35">
      <c r="A12048">
        <v>1010710</v>
      </c>
      <c r="B12048">
        <v>11338</v>
      </c>
      <c r="C12048">
        <v>1</v>
      </c>
      <c r="D12048" s="17" t="s">
        <v>17166</v>
      </c>
      <c r="E12048" s="17"/>
      <c r="F12048" s="17" t="s">
        <v>17246</v>
      </c>
      <c r="G12048" s="17"/>
      <c r="H12048" s="17" t="s">
        <v>23950</v>
      </c>
      <c r="I12048" s="17" t="s">
        <v>23956</v>
      </c>
      <c r="J12048" s="17" t="s">
        <v>24017</v>
      </c>
      <c r="K12048" s="17"/>
      <c r="L12048" s="17" t="s">
        <v>24262</v>
      </c>
      <c r="M12048" s="17"/>
      <c r="N12048" s="17" t="s">
        <v>25249</v>
      </c>
      <c r="O12048" s="17" t="s">
        <v>25320</v>
      </c>
      <c r="P12048" s="17" t="s">
        <v>25372</v>
      </c>
      <c r="Q12048" s="17"/>
      <c r="R12048" s="25" t="str">
        <f>HYPERLINK("https://ictv.global/taxonomy/taxondetails?taxnode_id=202308755","Alpharicinrhavirus blanchseco")</f>
        <v>Alpharicinrhavirus blanchseco</v>
      </c>
      <c r="S12048" s="18" t="s">
        <v>30</v>
      </c>
      <c r="T12048" s="18" t="s">
        <v>25373</v>
      </c>
      <c r="U12048" s="18" t="s">
        <v>25374</v>
      </c>
      <c r="V12048" s="18" t="s">
        <v>25375</v>
      </c>
      <c r="W12048" s="18" t="s">
        <v>25376</v>
      </c>
      <c r="X12048" s="18" t="s">
        <v>35</v>
      </c>
      <c r="Y12048" s="18" t="s">
        <v>23964</v>
      </c>
      <c r="Z12048" s="18" t="s">
        <v>10790</v>
      </c>
      <c r="AA12048" s="21" t="str">
        <f>HYPERLINK("https://www.ncbi.nlm.nih.gov/nuccore/MN025503","NCBI Nucleotide")</f>
        <v>NCBI Nucleotide</v>
      </c>
    </row>
    <row r="12049" spans="1:27" x14ac:dyDescent="0.35">
      <c r="A12049">
        <v>1010711</v>
      </c>
      <c r="B12049">
        <v>11339</v>
      </c>
      <c r="C12049">
        <v>1</v>
      </c>
      <c r="D12049" s="17" t="s">
        <v>17166</v>
      </c>
      <c r="E12049" s="17"/>
      <c r="F12049" s="17" t="s">
        <v>17246</v>
      </c>
      <c r="G12049" s="17"/>
      <c r="H12049" s="17" t="s">
        <v>23950</v>
      </c>
      <c r="I12049" s="17" t="s">
        <v>23956</v>
      </c>
      <c r="J12049" s="17" t="s">
        <v>24017</v>
      </c>
      <c r="K12049" s="17"/>
      <c r="L12049" s="17" t="s">
        <v>24262</v>
      </c>
      <c r="M12049" s="17"/>
      <c r="N12049" s="17" t="s">
        <v>25249</v>
      </c>
      <c r="O12049" s="17" t="s">
        <v>25320</v>
      </c>
      <c r="P12049" s="17" t="s">
        <v>25372</v>
      </c>
      <c r="Q12049" s="17"/>
      <c r="R12049" s="25" t="str">
        <f>HYPERLINK("https://ictv.global/taxonomy/taxondetails?taxnode_id=202308753","Alpharicinrhavirus bole")</f>
        <v>Alpharicinrhavirus bole</v>
      </c>
      <c r="S12049" s="18" t="s">
        <v>30</v>
      </c>
      <c r="T12049" s="18" t="s">
        <v>25377</v>
      </c>
      <c r="U12049" s="18" t="s">
        <v>25378</v>
      </c>
      <c r="V12049" s="18" t="s">
        <v>25379</v>
      </c>
      <c r="W12049" s="18" t="s">
        <v>25380</v>
      </c>
      <c r="X12049" s="18" t="s">
        <v>35</v>
      </c>
      <c r="Y12049" s="18" t="s">
        <v>23964</v>
      </c>
      <c r="Z12049" s="18" t="s">
        <v>10790</v>
      </c>
      <c r="AA12049" s="21" t="str">
        <f>HYPERLINK("https://www.ncbi.nlm.nih.gov/nuccore/KM817629","NCBI Nucleotide")</f>
        <v>NCBI Nucleotide</v>
      </c>
    </row>
    <row r="12050" spans="1:27" x14ac:dyDescent="0.35">
      <c r="A12050">
        <v>1027615</v>
      </c>
      <c r="B12050">
        <v>11340</v>
      </c>
      <c r="C12050">
        <v>1</v>
      </c>
      <c r="D12050" s="17" t="s">
        <v>17166</v>
      </c>
      <c r="E12050" s="17"/>
      <c r="F12050" s="17" t="s">
        <v>17246</v>
      </c>
      <c r="G12050" s="17"/>
      <c r="H12050" s="17" t="s">
        <v>23950</v>
      </c>
      <c r="I12050" s="17" t="s">
        <v>23956</v>
      </c>
      <c r="J12050" s="17" t="s">
        <v>24017</v>
      </c>
      <c r="K12050" s="17"/>
      <c r="L12050" s="17" t="s">
        <v>24262</v>
      </c>
      <c r="M12050" s="17"/>
      <c r="N12050" s="17" t="s">
        <v>25249</v>
      </c>
      <c r="O12050" s="17" t="s">
        <v>25320</v>
      </c>
      <c r="P12050" s="17" t="s">
        <v>25372</v>
      </c>
      <c r="Q12050" s="17"/>
      <c r="R12050" s="25" t="str">
        <f>HYPERLINK("https://ictv.global/taxonomy/taxondetails?taxnode_id=202318260","Alpharicinrhavirus huanggang")</f>
        <v>Alpharicinrhavirus huanggang</v>
      </c>
      <c r="S12050" s="18" t="s">
        <v>30</v>
      </c>
      <c r="T12050" s="18" t="s">
        <v>46619</v>
      </c>
      <c r="U12050" s="18" t="s">
        <v>46620</v>
      </c>
      <c r="V12050" s="18" t="s">
        <v>46621</v>
      </c>
      <c r="W12050" s="18" t="s">
        <v>50900</v>
      </c>
      <c r="X12050" s="18" t="s">
        <v>35</v>
      </c>
      <c r="Y12050" s="18" t="s">
        <v>23964</v>
      </c>
      <c r="Z12050" s="18" t="s">
        <v>17413</v>
      </c>
      <c r="AA12050" s="21" t="str">
        <f>HYPERLINK("https://www.ncbi.nlm.nih.gov/nuccore/ON746518","NCBI Nucleotide")</f>
        <v>NCBI Nucleotide</v>
      </c>
    </row>
    <row r="12051" spans="1:27" x14ac:dyDescent="0.35">
      <c r="A12051">
        <v>1027616</v>
      </c>
      <c r="B12051">
        <v>11341</v>
      </c>
      <c r="C12051">
        <v>1</v>
      </c>
      <c r="D12051" s="17" t="s">
        <v>17166</v>
      </c>
      <c r="E12051" s="17"/>
      <c r="F12051" s="17" t="s">
        <v>17246</v>
      </c>
      <c r="G12051" s="17"/>
      <c r="H12051" s="17" t="s">
        <v>23950</v>
      </c>
      <c r="I12051" s="17" t="s">
        <v>23956</v>
      </c>
      <c r="J12051" s="17" t="s">
        <v>24017</v>
      </c>
      <c r="K12051" s="17"/>
      <c r="L12051" s="17" t="s">
        <v>24262</v>
      </c>
      <c r="M12051" s="17"/>
      <c r="N12051" s="17" t="s">
        <v>25249</v>
      </c>
      <c r="O12051" s="17" t="s">
        <v>25320</v>
      </c>
      <c r="P12051" s="17" t="s">
        <v>25372</v>
      </c>
      <c r="Q12051" s="17"/>
      <c r="R12051" s="25" t="str">
        <f>HYPERLINK("https://ictv.global/taxonomy/taxondetails?taxnode_id=202318257","Alpharicinrhavirus huangpi")</f>
        <v>Alpharicinrhavirus huangpi</v>
      </c>
      <c r="S12051" s="18" t="s">
        <v>30</v>
      </c>
      <c r="T12051" s="18" t="s">
        <v>46622</v>
      </c>
      <c r="U12051" s="18" t="s">
        <v>46623</v>
      </c>
      <c r="V12051" s="18" t="s">
        <v>46624</v>
      </c>
      <c r="W12051" s="18" t="s">
        <v>50901</v>
      </c>
      <c r="X12051" s="18" t="s">
        <v>35</v>
      </c>
      <c r="Y12051" s="18" t="s">
        <v>23964</v>
      </c>
      <c r="Z12051" s="18" t="s">
        <v>17413</v>
      </c>
      <c r="AA12051" s="21" t="str">
        <f>HYPERLINK("https://www.ncbi.nlm.nih.gov/nuccore/KM817630","NCBI Nucleotide")</f>
        <v>NCBI Nucleotide</v>
      </c>
    </row>
    <row r="12052" spans="1:27" x14ac:dyDescent="0.35">
      <c r="A12052">
        <v>1010712</v>
      </c>
      <c r="B12052">
        <v>11342</v>
      </c>
      <c r="C12052">
        <v>1</v>
      </c>
      <c r="D12052" s="17" t="s">
        <v>17166</v>
      </c>
      <c r="E12052" s="17"/>
      <c r="F12052" s="17" t="s">
        <v>17246</v>
      </c>
      <c r="G12052" s="17"/>
      <c r="H12052" s="17" t="s">
        <v>23950</v>
      </c>
      <c r="I12052" s="17" t="s">
        <v>23956</v>
      </c>
      <c r="J12052" s="17" t="s">
        <v>24017</v>
      </c>
      <c r="K12052" s="17"/>
      <c r="L12052" s="17" t="s">
        <v>24262</v>
      </c>
      <c r="M12052" s="17"/>
      <c r="N12052" s="17" t="s">
        <v>25249</v>
      </c>
      <c r="O12052" s="17" t="s">
        <v>25320</v>
      </c>
      <c r="P12052" s="17" t="s">
        <v>25372</v>
      </c>
      <c r="Q12052" s="17"/>
      <c r="R12052" s="25" t="str">
        <f>HYPERLINK("https://ictv.global/taxonomy/taxondetails?taxnode_id=202314153","Alpharicinrhavirus hubei")</f>
        <v>Alpharicinrhavirus hubei</v>
      </c>
      <c r="S12052" s="18" t="s">
        <v>30</v>
      </c>
      <c r="T12052" s="18" t="s">
        <v>25381</v>
      </c>
      <c r="U12052" s="18" t="s">
        <v>25382</v>
      </c>
      <c r="V12052" s="18" t="s">
        <v>25383</v>
      </c>
      <c r="W12052" s="18" t="s">
        <v>25384</v>
      </c>
      <c r="X12052" s="18" t="s">
        <v>35</v>
      </c>
      <c r="Y12052" s="18" t="s">
        <v>23964</v>
      </c>
      <c r="Z12052" s="18" t="s">
        <v>10790</v>
      </c>
      <c r="AA12052" s="21" t="str">
        <f>HYPERLINK("https://www.ncbi.nlm.nih.gov/nuccore/MW721934","NCBI Nucleotide")</f>
        <v>NCBI Nucleotide</v>
      </c>
    </row>
    <row r="12053" spans="1:27" x14ac:dyDescent="0.35">
      <c r="A12053">
        <v>1027617</v>
      </c>
      <c r="B12053">
        <v>11343</v>
      </c>
      <c r="C12053">
        <v>1</v>
      </c>
      <c r="D12053" s="17" t="s">
        <v>17166</v>
      </c>
      <c r="E12053" s="17"/>
      <c r="F12053" s="17" t="s">
        <v>17246</v>
      </c>
      <c r="G12053" s="17"/>
      <c r="H12053" s="17" t="s">
        <v>23950</v>
      </c>
      <c r="I12053" s="17" t="s">
        <v>23956</v>
      </c>
      <c r="J12053" s="17" t="s">
        <v>24017</v>
      </c>
      <c r="K12053" s="17"/>
      <c r="L12053" s="17" t="s">
        <v>24262</v>
      </c>
      <c r="M12053" s="17"/>
      <c r="N12053" s="17" t="s">
        <v>25249</v>
      </c>
      <c r="O12053" s="17" t="s">
        <v>25320</v>
      </c>
      <c r="P12053" s="17" t="s">
        <v>25372</v>
      </c>
      <c r="Q12053" s="17"/>
      <c r="R12053" s="25" t="str">
        <f>HYPERLINK("https://ictv.global/taxonomy/taxondetails?taxnode_id=202318255","Alpharicinrhavirus jilin")</f>
        <v>Alpharicinrhavirus jilin</v>
      </c>
      <c r="S12053" s="18" t="s">
        <v>30</v>
      </c>
      <c r="T12053" s="18" t="s">
        <v>46625</v>
      </c>
      <c r="U12053" s="18" t="s">
        <v>46626</v>
      </c>
      <c r="V12053" s="18" t="s">
        <v>46627</v>
      </c>
      <c r="W12053" s="18" t="s">
        <v>50902</v>
      </c>
      <c r="X12053" s="18" t="s">
        <v>35</v>
      </c>
      <c r="Y12053" s="18" t="s">
        <v>23964</v>
      </c>
      <c r="Z12053" s="18" t="s">
        <v>17413</v>
      </c>
      <c r="AA12053" s="21" t="str">
        <f>HYPERLINK("https://www.ncbi.nlm.nih.gov/nuccore/ON746520","NCBI Nucleotide")</f>
        <v>NCBI Nucleotide</v>
      </c>
    </row>
    <row r="12054" spans="1:27" x14ac:dyDescent="0.35">
      <c r="A12054">
        <v>1027618</v>
      </c>
      <c r="B12054">
        <v>11344</v>
      </c>
      <c r="C12054">
        <v>1</v>
      </c>
      <c r="D12054" s="17" t="s">
        <v>17166</v>
      </c>
      <c r="E12054" s="17"/>
      <c r="F12054" s="17" t="s">
        <v>17246</v>
      </c>
      <c r="G12054" s="17"/>
      <c r="H12054" s="17" t="s">
        <v>23950</v>
      </c>
      <c r="I12054" s="17" t="s">
        <v>23956</v>
      </c>
      <c r="J12054" s="17" t="s">
        <v>24017</v>
      </c>
      <c r="K12054" s="17"/>
      <c r="L12054" s="17" t="s">
        <v>24262</v>
      </c>
      <c r="M12054" s="17"/>
      <c r="N12054" s="17" t="s">
        <v>25249</v>
      </c>
      <c r="O12054" s="17" t="s">
        <v>25320</v>
      </c>
      <c r="P12054" s="17" t="s">
        <v>25372</v>
      </c>
      <c r="Q12054" s="17"/>
      <c r="R12054" s="25" t="str">
        <f>HYPERLINK("https://ictv.global/taxonomy/taxondetails?taxnode_id=202318259","Alpharicinrhavirus nanning")</f>
        <v>Alpharicinrhavirus nanning</v>
      </c>
      <c r="S12054" s="18" t="s">
        <v>30</v>
      </c>
      <c r="T12054" s="18" t="s">
        <v>46628</v>
      </c>
      <c r="U12054" s="18" t="s">
        <v>46629</v>
      </c>
      <c r="V12054" s="18" t="s">
        <v>46630</v>
      </c>
      <c r="W12054" s="18" t="s">
        <v>50903</v>
      </c>
      <c r="X12054" s="18" t="s">
        <v>35</v>
      </c>
      <c r="Y12054" s="18" t="s">
        <v>23964</v>
      </c>
      <c r="Z12054" s="18" t="s">
        <v>17413</v>
      </c>
      <c r="AA12054" s="21" t="str">
        <f>HYPERLINK("https://www.ncbi.nlm.nih.gov/nuccore/ON746519","NCBI Nucleotide")</f>
        <v>NCBI Nucleotide</v>
      </c>
    </row>
    <row r="12055" spans="1:27" x14ac:dyDescent="0.35">
      <c r="A12055">
        <v>1027619</v>
      </c>
      <c r="B12055">
        <v>11345</v>
      </c>
      <c r="C12055">
        <v>1</v>
      </c>
      <c r="D12055" s="17" t="s">
        <v>17166</v>
      </c>
      <c r="E12055" s="17"/>
      <c r="F12055" s="17" t="s">
        <v>17246</v>
      </c>
      <c r="G12055" s="17"/>
      <c r="H12055" s="17" t="s">
        <v>23950</v>
      </c>
      <c r="I12055" s="17" t="s">
        <v>23956</v>
      </c>
      <c r="J12055" s="17" t="s">
        <v>24017</v>
      </c>
      <c r="K12055" s="17"/>
      <c r="L12055" s="17" t="s">
        <v>24262</v>
      </c>
      <c r="M12055" s="17"/>
      <c r="N12055" s="17" t="s">
        <v>25249</v>
      </c>
      <c r="O12055" s="17" t="s">
        <v>25320</v>
      </c>
      <c r="P12055" s="17" t="s">
        <v>25372</v>
      </c>
      <c r="Q12055" s="17"/>
      <c r="R12055" s="25" t="str">
        <f>HYPERLINK("https://ictv.global/taxonomy/taxondetails?taxnode_id=202318263","Alpharicinrhavirus ningxia")</f>
        <v>Alpharicinrhavirus ningxia</v>
      </c>
      <c r="S12055" s="18" t="s">
        <v>30</v>
      </c>
      <c r="T12055" s="18" t="s">
        <v>46631</v>
      </c>
      <c r="U12055" s="18" t="s">
        <v>46632</v>
      </c>
      <c r="V12055" s="18" t="s">
        <v>46633</v>
      </c>
      <c r="W12055" s="18" t="s">
        <v>50904</v>
      </c>
      <c r="X12055" s="18" t="s">
        <v>35</v>
      </c>
      <c r="Y12055" s="18" t="s">
        <v>23964</v>
      </c>
      <c r="Z12055" s="18" t="s">
        <v>17413</v>
      </c>
      <c r="AA12055" s="21" t="str">
        <f>HYPERLINK("https://www.ncbi.nlm.nih.gov/nuccore/ON746521","NCBI Nucleotide")</f>
        <v>NCBI Nucleotide</v>
      </c>
    </row>
    <row r="12056" spans="1:27" x14ac:dyDescent="0.35">
      <c r="A12056">
        <v>1027620</v>
      </c>
      <c r="B12056">
        <v>11346</v>
      </c>
      <c r="C12056">
        <v>1</v>
      </c>
      <c r="D12056" s="17" t="s">
        <v>17166</v>
      </c>
      <c r="E12056" s="17"/>
      <c r="F12056" s="17" t="s">
        <v>17246</v>
      </c>
      <c r="G12056" s="17"/>
      <c r="H12056" s="17" t="s">
        <v>23950</v>
      </c>
      <c r="I12056" s="17" t="s">
        <v>23956</v>
      </c>
      <c r="J12056" s="17" t="s">
        <v>24017</v>
      </c>
      <c r="K12056" s="17"/>
      <c r="L12056" s="17" t="s">
        <v>24262</v>
      </c>
      <c r="M12056" s="17"/>
      <c r="N12056" s="17" t="s">
        <v>25249</v>
      </c>
      <c r="O12056" s="17" t="s">
        <v>25320</v>
      </c>
      <c r="P12056" s="17" t="s">
        <v>25372</v>
      </c>
      <c r="Q12056" s="17"/>
      <c r="R12056" s="25" t="str">
        <f>HYPERLINK("https://ictv.global/taxonomy/taxondetails?taxnode_id=202318262","Alpharicinrhavirus qinghai")</f>
        <v>Alpharicinrhavirus qinghai</v>
      </c>
      <c r="S12056" s="18" t="s">
        <v>30</v>
      </c>
      <c r="T12056" s="18" t="s">
        <v>46634</v>
      </c>
      <c r="U12056" s="18" t="s">
        <v>46635</v>
      </c>
      <c r="V12056" s="18" t="s">
        <v>46630</v>
      </c>
      <c r="W12056" s="18" t="s">
        <v>50905</v>
      </c>
      <c r="X12056" s="18" t="s">
        <v>35</v>
      </c>
      <c r="Y12056" s="18" t="s">
        <v>23964</v>
      </c>
      <c r="Z12056" s="18" t="s">
        <v>17413</v>
      </c>
      <c r="AA12056" s="21" t="str">
        <f>HYPERLINK("https://www.ncbi.nlm.nih.gov/nuccore/ON746530","NCBI Nucleotide")</f>
        <v>NCBI Nucleotide</v>
      </c>
    </row>
    <row r="12057" spans="1:27" x14ac:dyDescent="0.35">
      <c r="A12057">
        <v>1027621</v>
      </c>
      <c r="B12057">
        <v>11347</v>
      </c>
      <c r="C12057">
        <v>1</v>
      </c>
      <c r="D12057" s="17" t="s">
        <v>17166</v>
      </c>
      <c r="E12057" s="17"/>
      <c r="F12057" s="17" t="s">
        <v>17246</v>
      </c>
      <c r="G12057" s="17"/>
      <c r="H12057" s="17" t="s">
        <v>23950</v>
      </c>
      <c r="I12057" s="17" t="s">
        <v>23956</v>
      </c>
      <c r="J12057" s="17" t="s">
        <v>24017</v>
      </c>
      <c r="K12057" s="17"/>
      <c r="L12057" s="17" t="s">
        <v>24262</v>
      </c>
      <c r="M12057" s="17"/>
      <c r="N12057" s="17" t="s">
        <v>25249</v>
      </c>
      <c r="O12057" s="17" t="s">
        <v>25320</v>
      </c>
      <c r="P12057" s="17" t="s">
        <v>25372</v>
      </c>
      <c r="Q12057" s="17"/>
      <c r="R12057" s="25" t="str">
        <f>HYPERLINK("https://ictv.global/taxonomy/taxondetails?taxnode_id=202318261","Alpharicinrhavirus reticulatus")</f>
        <v>Alpharicinrhavirus reticulatus</v>
      </c>
      <c r="S12057" s="18" t="s">
        <v>30</v>
      </c>
      <c r="T12057" s="18" t="s">
        <v>46636</v>
      </c>
      <c r="U12057" s="18" t="s">
        <v>46637</v>
      </c>
      <c r="V12057" s="18" t="s">
        <v>46638</v>
      </c>
      <c r="W12057" s="18" t="s">
        <v>50906</v>
      </c>
      <c r="X12057" s="18" t="s">
        <v>35</v>
      </c>
      <c r="Y12057" s="18" t="s">
        <v>23964</v>
      </c>
      <c r="Z12057" s="18" t="s">
        <v>17413</v>
      </c>
      <c r="AA12057" s="21" t="str">
        <f>HYPERLINK("https://www.ncbi.nlm.nih.gov/nuccore/ON684361","NCBI Nucleotide")</f>
        <v>NCBI Nucleotide</v>
      </c>
    </row>
    <row r="12058" spans="1:27" x14ac:dyDescent="0.35">
      <c r="A12058">
        <v>1027622</v>
      </c>
      <c r="B12058">
        <v>11348</v>
      </c>
      <c r="C12058">
        <v>1</v>
      </c>
      <c r="D12058" s="17" t="s">
        <v>17166</v>
      </c>
      <c r="E12058" s="17"/>
      <c r="F12058" s="17" t="s">
        <v>17246</v>
      </c>
      <c r="G12058" s="17"/>
      <c r="H12058" s="17" t="s">
        <v>23950</v>
      </c>
      <c r="I12058" s="17" t="s">
        <v>23956</v>
      </c>
      <c r="J12058" s="17" t="s">
        <v>24017</v>
      </c>
      <c r="K12058" s="17"/>
      <c r="L12058" s="17" t="s">
        <v>24262</v>
      </c>
      <c r="M12058" s="17"/>
      <c r="N12058" s="17" t="s">
        <v>25249</v>
      </c>
      <c r="O12058" s="17" t="s">
        <v>25320</v>
      </c>
      <c r="P12058" s="17" t="s">
        <v>25372</v>
      </c>
      <c r="Q12058" s="17"/>
      <c r="R12058" s="25" t="str">
        <f>HYPERLINK("https://ictv.global/taxonomy/taxondetails?taxnode_id=202318254","Alpharicinrhavirus skanevik")</f>
        <v>Alpharicinrhavirus skanevik</v>
      </c>
      <c r="S12058" s="18" t="s">
        <v>30</v>
      </c>
      <c r="T12058" s="18" t="s">
        <v>46639</v>
      </c>
      <c r="U12058" s="18" t="s">
        <v>46640</v>
      </c>
      <c r="V12058" s="18" t="s">
        <v>46641</v>
      </c>
      <c r="W12058" s="18" t="s">
        <v>50907</v>
      </c>
      <c r="X12058" s="18" t="s">
        <v>35</v>
      </c>
      <c r="Y12058" s="18" t="s">
        <v>23964</v>
      </c>
      <c r="Z12058" s="18" t="s">
        <v>17413</v>
      </c>
      <c r="AA12058" s="21" t="str">
        <f>HYPERLINK("https://www.ncbi.nlm.nih.gov/nuccore/MF141072","NCBI Nucleotide")</f>
        <v>NCBI Nucleotide</v>
      </c>
    </row>
    <row r="12059" spans="1:27" x14ac:dyDescent="0.35">
      <c r="A12059">
        <v>1027623</v>
      </c>
      <c r="B12059">
        <v>11349</v>
      </c>
      <c r="C12059">
        <v>1</v>
      </c>
      <c r="D12059" s="17" t="s">
        <v>17166</v>
      </c>
      <c r="E12059" s="17"/>
      <c r="F12059" s="17" t="s">
        <v>17246</v>
      </c>
      <c r="G12059" s="17"/>
      <c r="H12059" s="17" t="s">
        <v>23950</v>
      </c>
      <c r="I12059" s="17" t="s">
        <v>23956</v>
      </c>
      <c r="J12059" s="17" t="s">
        <v>24017</v>
      </c>
      <c r="K12059" s="17"/>
      <c r="L12059" s="17" t="s">
        <v>24262</v>
      </c>
      <c r="M12059" s="17"/>
      <c r="N12059" s="17" t="s">
        <v>25249</v>
      </c>
      <c r="O12059" s="17" t="s">
        <v>25320</v>
      </c>
      <c r="P12059" s="17" t="s">
        <v>25372</v>
      </c>
      <c r="Q12059" s="17"/>
      <c r="R12059" s="25" t="str">
        <f>HYPERLINK("https://ictv.global/taxonomy/taxondetails?taxnode_id=202318258","Alpharicinrhavirus tahe")</f>
        <v>Alpharicinrhavirus tahe</v>
      </c>
      <c r="S12059" s="18" t="s">
        <v>30</v>
      </c>
      <c r="T12059" s="18" t="s">
        <v>46642</v>
      </c>
      <c r="U12059" s="18" t="s">
        <v>46643</v>
      </c>
      <c r="V12059" s="18" t="s">
        <v>46644</v>
      </c>
      <c r="W12059" s="18" t="s">
        <v>50908</v>
      </c>
      <c r="X12059" s="18" t="s">
        <v>35</v>
      </c>
      <c r="Y12059" s="18" t="s">
        <v>23964</v>
      </c>
      <c r="Z12059" s="18" t="s">
        <v>17413</v>
      </c>
      <c r="AA12059" s="21" t="str">
        <f>HYPERLINK("https://www.ncbi.nlm.nih.gov/nuccore/ON408166","NCBI Nucleotide")</f>
        <v>NCBI Nucleotide</v>
      </c>
    </row>
    <row r="12060" spans="1:27" x14ac:dyDescent="0.35">
      <c r="A12060">
        <v>1027624</v>
      </c>
      <c r="B12060">
        <v>11350</v>
      </c>
      <c r="C12060">
        <v>1</v>
      </c>
      <c r="D12060" s="17" t="s">
        <v>17166</v>
      </c>
      <c r="E12060" s="17"/>
      <c r="F12060" s="17" t="s">
        <v>17246</v>
      </c>
      <c r="G12060" s="17"/>
      <c r="H12060" s="17" t="s">
        <v>23950</v>
      </c>
      <c r="I12060" s="17" t="s">
        <v>23956</v>
      </c>
      <c r="J12060" s="17" t="s">
        <v>24017</v>
      </c>
      <c r="K12060" s="17"/>
      <c r="L12060" s="17" t="s">
        <v>24262</v>
      </c>
      <c r="M12060" s="17"/>
      <c r="N12060" s="17" t="s">
        <v>25249</v>
      </c>
      <c r="O12060" s="17" t="s">
        <v>25320</v>
      </c>
      <c r="P12060" s="17" t="s">
        <v>25372</v>
      </c>
      <c r="Q12060" s="17"/>
      <c r="R12060" s="25" t="str">
        <f>HYPERLINK("https://ictv.global/taxonomy/taxondetails?taxnode_id=202318253","Alpharicinrhavirus taishun")</f>
        <v>Alpharicinrhavirus taishun</v>
      </c>
      <c r="S12060" s="18" t="s">
        <v>30</v>
      </c>
      <c r="T12060" s="18" t="s">
        <v>46645</v>
      </c>
      <c r="U12060" s="18" t="s">
        <v>46646</v>
      </c>
      <c r="V12060" s="18" t="s">
        <v>46647</v>
      </c>
      <c r="W12060" s="18" t="s">
        <v>50909</v>
      </c>
      <c r="X12060" s="18" t="s">
        <v>35</v>
      </c>
      <c r="Y12060" s="18" t="s">
        <v>23964</v>
      </c>
      <c r="Z12060" s="18" t="s">
        <v>17413</v>
      </c>
      <c r="AA12060" s="21" t="str">
        <f>HYPERLINK("https://www.ncbi.nlm.nih.gov/nuccore/KM817643","NCBI Nucleotide")</f>
        <v>NCBI Nucleotide</v>
      </c>
    </row>
    <row r="12061" spans="1:27" x14ac:dyDescent="0.35">
      <c r="A12061">
        <v>1010713</v>
      </c>
      <c r="B12061">
        <v>11351</v>
      </c>
      <c r="C12061">
        <v>1</v>
      </c>
      <c r="D12061" s="17" t="s">
        <v>17166</v>
      </c>
      <c r="E12061" s="17"/>
      <c r="F12061" s="17" t="s">
        <v>17246</v>
      </c>
      <c r="G12061" s="17"/>
      <c r="H12061" s="17" t="s">
        <v>23950</v>
      </c>
      <c r="I12061" s="17" t="s">
        <v>23956</v>
      </c>
      <c r="J12061" s="17" t="s">
        <v>24017</v>
      </c>
      <c r="K12061" s="17"/>
      <c r="L12061" s="17" t="s">
        <v>24262</v>
      </c>
      <c r="M12061" s="17"/>
      <c r="N12061" s="17" t="s">
        <v>25249</v>
      </c>
      <c r="O12061" s="17" t="s">
        <v>25320</v>
      </c>
      <c r="P12061" s="17" t="s">
        <v>25372</v>
      </c>
      <c r="Q12061" s="17"/>
      <c r="R12061" s="25" t="str">
        <f>HYPERLINK("https://ictv.global/taxonomy/taxondetails?taxnode_id=202308754","Alpharicinrhavirus wuhan")</f>
        <v>Alpharicinrhavirus wuhan</v>
      </c>
      <c r="S12061" s="18" t="s">
        <v>30</v>
      </c>
      <c r="T12061" s="18" t="s">
        <v>25385</v>
      </c>
      <c r="U12061" s="18" t="s">
        <v>25386</v>
      </c>
      <c r="V12061" s="18" t="s">
        <v>25387</v>
      </c>
      <c r="W12061" s="18" t="s">
        <v>25388</v>
      </c>
      <c r="X12061" s="18" t="s">
        <v>35</v>
      </c>
      <c r="Y12061" s="18" t="s">
        <v>23964</v>
      </c>
      <c r="Z12061" s="18" t="s">
        <v>10790</v>
      </c>
      <c r="AA12061" s="21" t="str">
        <f>HYPERLINK("https://www.ncbi.nlm.nih.gov/nuccore/KM817660","NCBI Nucleotide")</f>
        <v>NCBI Nucleotide</v>
      </c>
    </row>
    <row r="12062" spans="1:27" x14ac:dyDescent="0.35">
      <c r="A12062">
        <v>1027625</v>
      </c>
      <c r="B12062">
        <v>11352</v>
      </c>
      <c r="C12062">
        <v>1</v>
      </c>
      <c r="D12062" s="17" t="s">
        <v>17166</v>
      </c>
      <c r="E12062" s="17"/>
      <c r="F12062" s="17" t="s">
        <v>17246</v>
      </c>
      <c r="G12062" s="17"/>
      <c r="H12062" s="17" t="s">
        <v>23950</v>
      </c>
      <c r="I12062" s="17" t="s">
        <v>23956</v>
      </c>
      <c r="J12062" s="17" t="s">
        <v>24017</v>
      </c>
      <c r="K12062" s="17"/>
      <c r="L12062" s="17" t="s">
        <v>24262</v>
      </c>
      <c r="M12062" s="17"/>
      <c r="N12062" s="17" t="s">
        <v>25249</v>
      </c>
      <c r="O12062" s="17" t="s">
        <v>25320</v>
      </c>
      <c r="P12062" s="17" t="s">
        <v>25372</v>
      </c>
      <c r="Q12062" s="17"/>
      <c r="R12062" s="25" t="str">
        <f>HYPERLINK("https://ictv.global/taxonomy/taxondetails?taxnode_id=202318252","Alpharicinrhavirus zhangjiakou")</f>
        <v>Alpharicinrhavirus zhangjiakou</v>
      </c>
      <c r="S12062" s="18" t="s">
        <v>30</v>
      </c>
      <c r="T12062" s="18" t="s">
        <v>46648</v>
      </c>
      <c r="U12062" s="18" t="s">
        <v>46649</v>
      </c>
      <c r="V12062" s="18" t="s">
        <v>46650</v>
      </c>
      <c r="W12062" s="18" t="s">
        <v>50910</v>
      </c>
      <c r="X12062" s="18" t="s">
        <v>35</v>
      </c>
      <c r="Y12062" s="18" t="s">
        <v>23964</v>
      </c>
      <c r="Z12062" s="18" t="s">
        <v>17413</v>
      </c>
      <c r="AA12062" s="21" t="str">
        <f>HYPERLINK("https://www.ncbi.nlm.nih.gov/nuccore/ON746531","NCBI Nucleotide")</f>
        <v>NCBI Nucleotide</v>
      </c>
    </row>
    <row r="12063" spans="1:27" x14ac:dyDescent="0.35">
      <c r="A12063">
        <v>1010714</v>
      </c>
      <c r="B12063">
        <v>11353</v>
      </c>
      <c r="C12063">
        <v>1</v>
      </c>
      <c r="D12063" s="17" t="s">
        <v>17166</v>
      </c>
      <c r="E12063" s="17"/>
      <c r="F12063" s="17" t="s">
        <v>17246</v>
      </c>
      <c r="G12063" s="17"/>
      <c r="H12063" s="17" t="s">
        <v>23950</v>
      </c>
      <c r="I12063" s="17" t="s">
        <v>23956</v>
      </c>
      <c r="J12063" s="17" t="s">
        <v>24017</v>
      </c>
      <c r="K12063" s="17"/>
      <c r="L12063" s="17" t="s">
        <v>24262</v>
      </c>
      <c r="M12063" s="17"/>
      <c r="N12063" s="17" t="s">
        <v>25249</v>
      </c>
      <c r="O12063" s="17" t="s">
        <v>25320</v>
      </c>
      <c r="P12063" s="17" t="s">
        <v>25389</v>
      </c>
      <c r="Q12063" s="17"/>
      <c r="R12063" s="25" t="str">
        <f>HYPERLINK("https://ictv.global/taxonomy/taxondetails?taxnode_id=202312249","Amplylivirus cinereus")</f>
        <v>Amplylivirus cinereus</v>
      </c>
      <c r="S12063" s="18" t="s">
        <v>30</v>
      </c>
      <c r="T12063" s="18" t="s">
        <v>25390</v>
      </c>
      <c r="U12063" s="18" t="s">
        <v>25391</v>
      </c>
      <c r="V12063" s="18" t="s">
        <v>25392</v>
      </c>
      <c r="W12063" s="18" t="s">
        <v>25393</v>
      </c>
      <c r="X12063" s="18" t="s">
        <v>35</v>
      </c>
      <c r="Y12063" s="18" t="s">
        <v>23964</v>
      </c>
      <c r="Z12063" s="18" t="s">
        <v>166</v>
      </c>
      <c r="AA12063" s="21" t="str">
        <f>HYPERLINK("https://www.ncbi.nlm.nih.gov/nuccore/MK473367","NCBI Nucleotide")</f>
        <v>NCBI Nucleotide</v>
      </c>
    </row>
    <row r="12064" spans="1:27" x14ac:dyDescent="0.35">
      <c r="A12064">
        <v>1027612</v>
      </c>
      <c r="B12064">
        <v>11354</v>
      </c>
      <c r="C12064">
        <v>1</v>
      </c>
      <c r="D12064" s="17" t="s">
        <v>17166</v>
      </c>
      <c r="E12064" s="17"/>
      <c r="F12064" s="17" t="s">
        <v>17246</v>
      </c>
      <c r="G12064" s="17"/>
      <c r="H12064" s="17" t="s">
        <v>23950</v>
      </c>
      <c r="I12064" s="17" t="s">
        <v>23956</v>
      </c>
      <c r="J12064" s="17" t="s">
        <v>24017</v>
      </c>
      <c r="K12064" s="17"/>
      <c r="L12064" s="17" t="s">
        <v>24262</v>
      </c>
      <c r="M12064" s="17"/>
      <c r="N12064" s="17" t="s">
        <v>25249</v>
      </c>
      <c r="O12064" s="17" t="s">
        <v>25320</v>
      </c>
      <c r="P12064" s="17" t="s">
        <v>25389</v>
      </c>
      <c r="Q12064" s="17"/>
      <c r="R12064" s="25" t="str">
        <f>HYPERLINK("https://ictv.global/taxonomy/taxondetails?taxnode_id=202318251","Amplylivirus pugnax")</f>
        <v>Amplylivirus pugnax</v>
      </c>
      <c r="S12064" s="18" t="s">
        <v>30</v>
      </c>
      <c r="T12064" s="18" t="s">
        <v>46651</v>
      </c>
      <c r="U12064" s="18" t="s">
        <v>46652</v>
      </c>
      <c r="V12064" s="18" t="s">
        <v>46653</v>
      </c>
      <c r="W12064" s="18" t="s">
        <v>50911</v>
      </c>
      <c r="X12064" s="18" t="s">
        <v>35</v>
      </c>
      <c r="Y12064" s="18" t="s">
        <v>23964</v>
      </c>
      <c r="Z12064" s="18" t="s">
        <v>17413</v>
      </c>
      <c r="AA12064" s="21" t="str">
        <f>HYPERLINK("https://www.ncbi.nlm.nih.gov/nuccore/MZ682616","NCBI Nucleotide")</f>
        <v>NCBI Nucleotide</v>
      </c>
    </row>
    <row r="12065" spans="1:27" x14ac:dyDescent="0.35">
      <c r="A12065">
        <v>1010715</v>
      </c>
      <c r="B12065">
        <v>11355</v>
      </c>
      <c r="C12065">
        <v>1</v>
      </c>
      <c r="D12065" s="17" t="s">
        <v>17166</v>
      </c>
      <c r="E12065" s="17"/>
      <c r="F12065" s="17" t="s">
        <v>17246</v>
      </c>
      <c r="G12065" s="17"/>
      <c r="H12065" s="17" t="s">
        <v>23950</v>
      </c>
      <c r="I12065" s="17" t="s">
        <v>23956</v>
      </c>
      <c r="J12065" s="17" t="s">
        <v>24017</v>
      </c>
      <c r="K12065" s="17"/>
      <c r="L12065" s="17" t="s">
        <v>24262</v>
      </c>
      <c r="M12065" s="17"/>
      <c r="N12065" s="17" t="s">
        <v>25249</v>
      </c>
      <c r="O12065" s="17" t="s">
        <v>25320</v>
      </c>
      <c r="P12065" s="17" t="s">
        <v>25394</v>
      </c>
      <c r="Q12065" s="17"/>
      <c r="R12065" s="25" t="str">
        <f>HYPERLINK("https://ictv.global/taxonomy/taxondetails?taxnode_id=202307241","Arurhavirus aruac")</f>
        <v>Arurhavirus aruac</v>
      </c>
      <c r="S12065" s="18" t="s">
        <v>30</v>
      </c>
      <c r="T12065" s="18" t="s">
        <v>25395</v>
      </c>
      <c r="U12065" s="18" t="s">
        <v>25396</v>
      </c>
      <c r="V12065" s="18" t="s">
        <v>25397</v>
      </c>
      <c r="W12065" s="18" t="s">
        <v>25398</v>
      </c>
      <c r="X12065" s="18" t="s">
        <v>35</v>
      </c>
      <c r="Y12065" s="18" t="s">
        <v>23964</v>
      </c>
      <c r="Z12065" s="18" t="s">
        <v>10790</v>
      </c>
      <c r="AA12065" s="21" t="str">
        <f>HYPERLINK("https://www.ncbi.nlm.nih.gov/nuccore/KM204987","NCBI Nucleotide")</f>
        <v>NCBI Nucleotide</v>
      </c>
    </row>
    <row r="12066" spans="1:27" x14ac:dyDescent="0.35">
      <c r="A12066">
        <v>1010716</v>
      </c>
      <c r="B12066">
        <v>11356</v>
      </c>
      <c r="C12066">
        <v>1</v>
      </c>
      <c r="D12066" s="17" t="s">
        <v>17166</v>
      </c>
      <c r="E12066" s="17"/>
      <c r="F12066" s="17" t="s">
        <v>17246</v>
      </c>
      <c r="G12066" s="17"/>
      <c r="H12066" s="17" t="s">
        <v>23950</v>
      </c>
      <c r="I12066" s="17" t="s">
        <v>23956</v>
      </c>
      <c r="J12066" s="17" t="s">
        <v>24017</v>
      </c>
      <c r="K12066" s="17"/>
      <c r="L12066" s="17" t="s">
        <v>24262</v>
      </c>
      <c r="M12066" s="17"/>
      <c r="N12066" s="17" t="s">
        <v>25249</v>
      </c>
      <c r="O12066" s="17" t="s">
        <v>25320</v>
      </c>
      <c r="P12066" s="17" t="s">
        <v>25394</v>
      </c>
      <c r="Q12066" s="17"/>
      <c r="R12066" s="25" t="str">
        <f>HYPERLINK("https://ictv.global/taxonomy/taxondetails?taxnode_id=202307243","Arurhavirus inhangapi")</f>
        <v>Arurhavirus inhangapi</v>
      </c>
      <c r="S12066" s="18" t="s">
        <v>30</v>
      </c>
      <c r="T12066" s="18" t="s">
        <v>25399</v>
      </c>
      <c r="U12066" s="18" t="s">
        <v>25400</v>
      </c>
      <c r="V12066" s="18" t="s">
        <v>25401</v>
      </c>
      <c r="W12066" s="18" t="s">
        <v>25402</v>
      </c>
      <c r="X12066" s="18" t="s">
        <v>42</v>
      </c>
      <c r="Y12066" s="18" t="s">
        <v>23964</v>
      </c>
      <c r="Z12066" s="18" t="s">
        <v>10790</v>
      </c>
      <c r="AA12066" s="21" t="str">
        <f>HYPERLINK("https://www.ncbi.nlm.nih.gov/nuccore/KM204991","NCBI Nucleotide")</f>
        <v>NCBI Nucleotide</v>
      </c>
    </row>
    <row r="12067" spans="1:27" x14ac:dyDescent="0.35">
      <c r="A12067">
        <v>1010717</v>
      </c>
      <c r="B12067">
        <v>11357</v>
      </c>
      <c r="C12067">
        <v>1</v>
      </c>
      <c r="D12067" s="17" t="s">
        <v>17166</v>
      </c>
      <c r="E12067" s="17"/>
      <c r="F12067" s="17" t="s">
        <v>17246</v>
      </c>
      <c r="G12067" s="17"/>
      <c r="H12067" s="17" t="s">
        <v>23950</v>
      </c>
      <c r="I12067" s="17" t="s">
        <v>23956</v>
      </c>
      <c r="J12067" s="17" t="s">
        <v>24017</v>
      </c>
      <c r="K12067" s="17"/>
      <c r="L12067" s="17" t="s">
        <v>24262</v>
      </c>
      <c r="M12067" s="17"/>
      <c r="N12067" s="17" t="s">
        <v>25249</v>
      </c>
      <c r="O12067" s="17" t="s">
        <v>25320</v>
      </c>
      <c r="P12067" s="17" t="s">
        <v>25394</v>
      </c>
      <c r="Q12067" s="17"/>
      <c r="R12067" s="25" t="str">
        <f>HYPERLINK("https://ictv.global/taxonomy/taxondetails?taxnode_id=202307244","Arurhavirus santabarbara")</f>
        <v>Arurhavirus santabarbara</v>
      </c>
      <c r="S12067" s="18" t="s">
        <v>30</v>
      </c>
      <c r="T12067" s="18" t="s">
        <v>25403</v>
      </c>
      <c r="U12067" s="18" t="s">
        <v>25404</v>
      </c>
      <c r="V12067" s="18" t="s">
        <v>25405</v>
      </c>
      <c r="W12067" s="18" t="s">
        <v>25406</v>
      </c>
      <c r="X12067" s="18" t="s">
        <v>35</v>
      </c>
      <c r="Y12067" s="18" t="s">
        <v>23964</v>
      </c>
      <c r="Z12067" s="18" t="s">
        <v>10790</v>
      </c>
      <c r="AA12067" s="21" t="str">
        <f>HYPERLINK("https://www.ncbi.nlm.nih.gov/nuccore/KM350503","NCBI Nucleotide")</f>
        <v>NCBI Nucleotide</v>
      </c>
    </row>
    <row r="12068" spans="1:27" x14ac:dyDescent="0.35">
      <c r="A12068">
        <v>1010718</v>
      </c>
      <c r="B12068">
        <v>11358</v>
      </c>
      <c r="C12068">
        <v>1</v>
      </c>
      <c r="D12068" s="17" t="s">
        <v>17166</v>
      </c>
      <c r="E12068" s="17"/>
      <c r="F12068" s="17" t="s">
        <v>17246</v>
      </c>
      <c r="G12068" s="17"/>
      <c r="H12068" s="17" t="s">
        <v>23950</v>
      </c>
      <c r="I12068" s="17" t="s">
        <v>23956</v>
      </c>
      <c r="J12068" s="17" t="s">
        <v>24017</v>
      </c>
      <c r="K12068" s="17"/>
      <c r="L12068" s="17" t="s">
        <v>24262</v>
      </c>
      <c r="M12068" s="17"/>
      <c r="N12068" s="17" t="s">
        <v>25249</v>
      </c>
      <c r="O12068" s="17" t="s">
        <v>25320</v>
      </c>
      <c r="P12068" s="17" t="s">
        <v>25394</v>
      </c>
      <c r="Q12068" s="17"/>
      <c r="R12068" s="25" t="str">
        <f>HYPERLINK("https://ictv.global/taxonomy/taxondetails?taxnode_id=202307242","Arurhavirus xiburema")</f>
        <v>Arurhavirus xiburema</v>
      </c>
      <c r="S12068" s="18" t="s">
        <v>30</v>
      </c>
      <c r="T12068" s="18" t="s">
        <v>25407</v>
      </c>
      <c r="U12068" s="18" t="s">
        <v>25408</v>
      </c>
      <c r="V12068" s="18" t="s">
        <v>25409</v>
      </c>
      <c r="W12068" s="18" t="s">
        <v>25410</v>
      </c>
      <c r="X12068" s="18" t="s">
        <v>35</v>
      </c>
      <c r="Y12068" s="18" t="s">
        <v>23964</v>
      </c>
      <c r="Z12068" s="18" t="s">
        <v>10790</v>
      </c>
      <c r="AA12068" s="21" t="str">
        <f>HYPERLINK("https://www.ncbi.nlm.nih.gov/nuccore/KJ636781","NCBI Nucleotide")</f>
        <v>NCBI Nucleotide</v>
      </c>
    </row>
    <row r="12069" spans="1:27" x14ac:dyDescent="0.35">
      <c r="A12069">
        <v>1010719</v>
      </c>
      <c r="B12069">
        <v>11359</v>
      </c>
      <c r="C12069">
        <v>1</v>
      </c>
      <c r="D12069" s="17" t="s">
        <v>17166</v>
      </c>
      <c r="E12069" s="17"/>
      <c r="F12069" s="17" t="s">
        <v>17246</v>
      </c>
      <c r="G12069" s="17"/>
      <c r="H12069" s="17" t="s">
        <v>23950</v>
      </c>
      <c r="I12069" s="17" t="s">
        <v>23956</v>
      </c>
      <c r="J12069" s="17" t="s">
        <v>24017</v>
      </c>
      <c r="K12069" s="17"/>
      <c r="L12069" s="17" t="s">
        <v>24262</v>
      </c>
      <c r="M12069" s="17"/>
      <c r="N12069" s="17" t="s">
        <v>25249</v>
      </c>
      <c r="O12069" s="17" t="s">
        <v>25320</v>
      </c>
      <c r="P12069" s="17" t="s">
        <v>25411</v>
      </c>
      <c r="Q12069" s="17"/>
      <c r="R12069" s="25" t="str">
        <f>HYPERLINK("https://ictv.global/taxonomy/taxondetails?taxnode_id=202307393","Barhavirus bahia")</f>
        <v>Barhavirus bahia</v>
      </c>
      <c r="S12069" s="18" t="s">
        <v>30</v>
      </c>
      <c r="T12069" s="18" t="s">
        <v>25412</v>
      </c>
      <c r="U12069" s="18" t="s">
        <v>25413</v>
      </c>
      <c r="V12069" s="18" t="s">
        <v>25414</v>
      </c>
      <c r="W12069" s="18" t="s">
        <v>25415</v>
      </c>
      <c r="X12069" s="18" t="s">
        <v>42</v>
      </c>
      <c r="Y12069" s="18" t="s">
        <v>23964</v>
      </c>
      <c r="Z12069" s="18" t="s">
        <v>10790</v>
      </c>
      <c r="AA12069" s="21" t="str">
        <f>HYPERLINK("https://www.ncbi.nlm.nih.gov/nuccore/KM205018","NCBI Nucleotide")</f>
        <v>NCBI Nucleotide</v>
      </c>
    </row>
    <row r="12070" spans="1:27" x14ac:dyDescent="0.35">
      <c r="A12070">
        <v>1012877</v>
      </c>
      <c r="B12070">
        <v>11359</v>
      </c>
      <c r="C12070">
        <v>2</v>
      </c>
      <c r="D12070" s="17" t="s">
        <v>17166</v>
      </c>
      <c r="E12070" s="17"/>
      <c r="F12070" s="17" t="s">
        <v>17246</v>
      </c>
      <c r="G12070" s="17"/>
      <c r="H12070" s="17" t="s">
        <v>23950</v>
      </c>
      <c r="I12070" s="17" t="s">
        <v>23956</v>
      </c>
      <c r="J12070" s="17" t="s">
        <v>24017</v>
      </c>
      <c r="K12070" s="17"/>
      <c r="L12070" s="17" t="s">
        <v>24262</v>
      </c>
      <c r="M12070" s="17"/>
      <c r="N12070" s="17" t="s">
        <v>25249</v>
      </c>
      <c r="O12070" s="17" t="s">
        <v>25320</v>
      </c>
      <c r="P12070" s="17" t="s">
        <v>25411</v>
      </c>
      <c r="Q12070" s="17"/>
      <c r="R12070" s="25" t="str">
        <f>HYPERLINK("https://ictv.global/taxonomy/taxondetails?taxnode_id=202307393","Barhavirus bahia")</f>
        <v>Barhavirus bahia</v>
      </c>
      <c r="S12070" s="18" t="s">
        <v>8141</v>
      </c>
      <c r="T12070" s="18" t="s">
        <v>25420</v>
      </c>
      <c r="U12070" s="18" t="s">
        <v>25421</v>
      </c>
      <c r="V12070" s="18" t="s">
        <v>25422</v>
      </c>
      <c r="W12070" s="18" t="s">
        <v>49433</v>
      </c>
      <c r="X12070" s="18" t="s">
        <v>42</v>
      </c>
      <c r="Y12070" s="18" t="s">
        <v>23964</v>
      </c>
      <c r="Z12070" s="18" t="s">
        <v>10790</v>
      </c>
      <c r="AA12070" s="21" t="str">
        <f>HYPERLINK("https://www.ncbi.nlm.nih.gov/nuccore/KM205003","NCBI Nucleotide")</f>
        <v>NCBI Nucleotide</v>
      </c>
    </row>
    <row r="12071" spans="1:27" x14ac:dyDescent="0.35">
      <c r="A12071">
        <v>1010720</v>
      </c>
      <c r="B12071">
        <v>11360</v>
      </c>
      <c r="C12071">
        <v>1</v>
      </c>
      <c r="D12071" s="17" t="s">
        <v>17166</v>
      </c>
      <c r="E12071" s="17"/>
      <c r="F12071" s="17" t="s">
        <v>17246</v>
      </c>
      <c r="G12071" s="17"/>
      <c r="H12071" s="17" t="s">
        <v>23950</v>
      </c>
      <c r="I12071" s="17" t="s">
        <v>23956</v>
      </c>
      <c r="J12071" s="17" t="s">
        <v>24017</v>
      </c>
      <c r="K12071" s="17"/>
      <c r="L12071" s="17" t="s">
        <v>24262</v>
      </c>
      <c r="M12071" s="17"/>
      <c r="N12071" s="17" t="s">
        <v>25249</v>
      </c>
      <c r="O12071" s="17" t="s">
        <v>25320</v>
      </c>
      <c r="P12071" s="17" t="s">
        <v>25411</v>
      </c>
      <c r="Q12071" s="17"/>
      <c r="R12071" s="25" t="str">
        <f>HYPERLINK("https://ictv.global/taxonomy/taxondetails?taxnode_id=202307394","Barhavirus muir")</f>
        <v>Barhavirus muir</v>
      </c>
      <c r="S12071" s="18" t="s">
        <v>30</v>
      </c>
      <c r="T12071" s="18" t="s">
        <v>25416</v>
      </c>
      <c r="U12071" s="18" t="s">
        <v>25417</v>
      </c>
      <c r="V12071" s="18" t="s">
        <v>25418</v>
      </c>
      <c r="W12071" s="18" t="s">
        <v>25419</v>
      </c>
      <c r="X12071" s="18" t="s">
        <v>42</v>
      </c>
      <c r="Y12071" s="18" t="s">
        <v>23964</v>
      </c>
      <c r="Z12071" s="18" t="s">
        <v>10790</v>
      </c>
      <c r="AA12071" s="21" t="str">
        <f>HYPERLINK("https://www.ncbi.nlm.nih.gov/nuccore/KM204990","NCBI Nucleotide")</f>
        <v>NCBI Nucleotide</v>
      </c>
    </row>
    <row r="12072" spans="1:27" x14ac:dyDescent="0.35">
      <c r="A12072">
        <v>1010721</v>
      </c>
      <c r="B12072">
        <v>11361</v>
      </c>
      <c r="C12072">
        <v>1</v>
      </c>
      <c r="D12072" s="17" t="s">
        <v>17166</v>
      </c>
      <c r="E12072" s="17"/>
      <c r="F12072" s="17" t="s">
        <v>17246</v>
      </c>
      <c r="G12072" s="17"/>
      <c r="H12072" s="17" t="s">
        <v>23950</v>
      </c>
      <c r="I12072" s="17" t="s">
        <v>23956</v>
      </c>
      <c r="J12072" s="17" t="s">
        <v>24017</v>
      </c>
      <c r="K12072" s="17"/>
      <c r="L12072" s="17" t="s">
        <v>24262</v>
      </c>
      <c r="M12072" s="17"/>
      <c r="N12072" s="17" t="s">
        <v>25249</v>
      </c>
      <c r="O12072" s="17" t="s">
        <v>25320</v>
      </c>
      <c r="P12072" s="17" t="s">
        <v>25423</v>
      </c>
      <c r="Q12072" s="17"/>
      <c r="R12072" s="25" t="str">
        <f>HYPERLINK("https://ictv.global/taxonomy/taxondetails?taxnode_id=202306556","Caligrhavirus caligus")</f>
        <v>Caligrhavirus caligus</v>
      </c>
      <c r="S12072" s="18" t="s">
        <v>30</v>
      </c>
      <c r="T12072" s="18" t="s">
        <v>25424</v>
      </c>
      <c r="U12072" s="18" t="s">
        <v>25425</v>
      </c>
      <c r="V12072" s="18" t="s">
        <v>25426</v>
      </c>
      <c r="W12072" s="18" t="s">
        <v>25427</v>
      </c>
      <c r="X12072" s="18" t="s">
        <v>35</v>
      </c>
      <c r="Y12072" s="18" t="s">
        <v>23964</v>
      </c>
      <c r="Z12072" s="18" t="s">
        <v>10790</v>
      </c>
      <c r="AA12072" s="21" t="str">
        <f>HYPERLINK("https://www.ncbi.nlm.nih.gov/nuccore/KY203909","NCBI Nucleotide")</f>
        <v>NCBI Nucleotide</v>
      </c>
    </row>
    <row r="12073" spans="1:27" x14ac:dyDescent="0.35">
      <c r="A12073">
        <v>1010722</v>
      </c>
      <c r="B12073">
        <v>11362</v>
      </c>
      <c r="C12073">
        <v>1</v>
      </c>
      <c r="D12073" s="17" t="s">
        <v>17166</v>
      </c>
      <c r="E12073" s="17"/>
      <c r="F12073" s="17" t="s">
        <v>17246</v>
      </c>
      <c r="G12073" s="17"/>
      <c r="H12073" s="17" t="s">
        <v>23950</v>
      </c>
      <c r="I12073" s="17" t="s">
        <v>23956</v>
      </c>
      <c r="J12073" s="17" t="s">
        <v>24017</v>
      </c>
      <c r="K12073" s="17"/>
      <c r="L12073" s="17" t="s">
        <v>24262</v>
      </c>
      <c r="M12073" s="17"/>
      <c r="N12073" s="17" t="s">
        <v>25249</v>
      </c>
      <c r="O12073" s="17" t="s">
        <v>25320</v>
      </c>
      <c r="P12073" s="17" t="s">
        <v>25423</v>
      </c>
      <c r="Q12073" s="17"/>
      <c r="R12073" s="25" t="str">
        <f>HYPERLINK("https://ictv.global/taxonomy/taxondetails?taxnode_id=202306554","Caligrhavirus lepeophtheirus")</f>
        <v>Caligrhavirus lepeophtheirus</v>
      </c>
      <c r="S12073" s="18" t="s">
        <v>30</v>
      </c>
      <c r="T12073" s="18" t="s">
        <v>25428</v>
      </c>
      <c r="U12073" s="18" t="s">
        <v>25429</v>
      </c>
      <c r="V12073" s="18" t="s">
        <v>25430</v>
      </c>
      <c r="W12073" s="18" t="s">
        <v>25431</v>
      </c>
      <c r="X12073" s="18" t="s">
        <v>35</v>
      </c>
      <c r="Y12073" s="18" t="s">
        <v>23964</v>
      </c>
      <c r="Z12073" s="18" t="s">
        <v>10790</v>
      </c>
      <c r="AA12073" s="21" t="str">
        <f>HYPERLINK("https://www.ncbi.nlm.nih.gov/nuccore/KJ958536","NCBI Nucleotide")</f>
        <v>NCBI Nucleotide</v>
      </c>
    </row>
    <row r="12074" spans="1:27" x14ac:dyDescent="0.35">
      <c r="A12074">
        <v>1010723</v>
      </c>
      <c r="B12074">
        <v>11363</v>
      </c>
      <c r="C12074">
        <v>1</v>
      </c>
      <c r="D12074" s="17" t="s">
        <v>17166</v>
      </c>
      <c r="E12074" s="17"/>
      <c r="F12074" s="17" t="s">
        <v>17246</v>
      </c>
      <c r="G12074" s="17"/>
      <c r="H12074" s="17" t="s">
        <v>23950</v>
      </c>
      <c r="I12074" s="17" t="s">
        <v>23956</v>
      </c>
      <c r="J12074" s="17" t="s">
        <v>24017</v>
      </c>
      <c r="K12074" s="17"/>
      <c r="L12074" s="17" t="s">
        <v>24262</v>
      </c>
      <c r="M12074" s="17"/>
      <c r="N12074" s="17" t="s">
        <v>25249</v>
      </c>
      <c r="O12074" s="17" t="s">
        <v>25320</v>
      </c>
      <c r="P12074" s="17" t="s">
        <v>25423</v>
      </c>
      <c r="Q12074" s="17"/>
      <c r="R12074" s="25" t="str">
        <f>HYPERLINK("https://ictv.global/taxonomy/taxondetails?taxnode_id=202306555","Caligrhavirus salmonlouse")</f>
        <v>Caligrhavirus salmonlouse</v>
      </c>
      <c r="S12074" s="18" t="s">
        <v>30</v>
      </c>
      <c r="T12074" s="18" t="s">
        <v>25432</v>
      </c>
      <c r="U12074" s="18" t="s">
        <v>25433</v>
      </c>
      <c r="V12074" s="18" t="s">
        <v>25434</v>
      </c>
      <c r="W12074" s="18" t="s">
        <v>25435</v>
      </c>
      <c r="X12074" s="18" t="s">
        <v>35</v>
      </c>
      <c r="Y12074" s="18" t="s">
        <v>23964</v>
      </c>
      <c r="Z12074" s="18" t="s">
        <v>10790</v>
      </c>
      <c r="AA12074" s="21" t="str">
        <f>HYPERLINK("https://www.ncbi.nlm.nih.gov/nuccore/KJ958535","NCBI Nucleotide")</f>
        <v>NCBI Nucleotide</v>
      </c>
    </row>
    <row r="12075" spans="1:27" x14ac:dyDescent="0.35">
      <c r="A12075">
        <v>1010724</v>
      </c>
      <c r="B12075">
        <v>11364</v>
      </c>
      <c r="C12075">
        <v>1</v>
      </c>
      <c r="D12075" s="17" t="s">
        <v>17166</v>
      </c>
      <c r="E12075" s="17"/>
      <c r="F12075" s="17" t="s">
        <v>17246</v>
      </c>
      <c r="G12075" s="17"/>
      <c r="H12075" s="17" t="s">
        <v>23950</v>
      </c>
      <c r="I12075" s="17" t="s">
        <v>23956</v>
      </c>
      <c r="J12075" s="17" t="s">
        <v>24017</v>
      </c>
      <c r="K12075" s="17"/>
      <c r="L12075" s="17" t="s">
        <v>24262</v>
      </c>
      <c r="M12075" s="17"/>
      <c r="N12075" s="17" t="s">
        <v>25249</v>
      </c>
      <c r="O12075" s="17" t="s">
        <v>25320</v>
      </c>
      <c r="P12075" s="17" t="s">
        <v>25436</v>
      </c>
      <c r="Q12075" s="17"/>
      <c r="R12075" s="25" t="str">
        <f>HYPERLINK("https://ictv.global/taxonomy/taxondetails?taxnode_id=202313315","Cetarhavirus laganorhynchus")</f>
        <v>Cetarhavirus laganorhynchus</v>
      </c>
      <c r="S12075" s="18" t="s">
        <v>30</v>
      </c>
      <c r="T12075" s="18" t="s">
        <v>25437</v>
      </c>
      <c r="U12075" s="18" t="s">
        <v>25438</v>
      </c>
      <c r="V12075" s="18" t="s">
        <v>25439</v>
      </c>
      <c r="W12075" s="18" t="s">
        <v>25440</v>
      </c>
      <c r="X12075" s="18" t="s">
        <v>42</v>
      </c>
      <c r="Y12075" s="18" t="s">
        <v>23964</v>
      </c>
      <c r="Z12075" s="18" t="s">
        <v>166</v>
      </c>
      <c r="AA12075" s="21" t="str">
        <f>HYPERLINK("https://www.ncbi.nlm.nih.gov/nuccore/KF958252","NCBI Nucleotide")</f>
        <v>NCBI Nucleotide</v>
      </c>
    </row>
    <row r="12076" spans="1:27" x14ac:dyDescent="0.35">
      <c r="A12076">
        <v>1010725</v>
      </c>
      <c r="B12076">
        <v>11365</v>
      </c>
      <c r="C12076">
        <v>1</v>
      </c>
      <c r="D12076" s="17" t="s">
        <v>17166</v>
      </c>
      <c r="E12076" s="17"/>
      <c r="F12076" s="17" t="s">
        <v>17246</v>
      </c>
      <c r="G12076" s="17"/>
      <c r="H12076" s="17" t="s">
        <v>23950</v>
      </c>
      <c r="I12076" s="17" t="s">
        <v>23956</v>
      </c>
      <c r="J12076" s="17" t="s">
        <v>24017</v>
      </c>
      <c r="K12076" s="17"/>
      <c r="L12076" s="17" t="s">
        <v>24262</v>
      </c>
      <c r="M12076" s="17"/>
      <c r="N12076" s="17" t="s">
        <v>25249</v>
      </c>
      <c r="O12076" s="17" t="s">
        <v>25320</v>
      </c>
      <c r="P12076" s="17" t="s">
        <v>25436</v>
      </c>
      <c r="Q12076" s="17"/>
      <c r="R12076" s="25" t="str">
        <f>HYPERLINK("https://ictv.global/taxonomy/taxondetails?taxnode_id=202313316","Cetarhavirus phocoena")</f>
        <v>Cetarhavirus phocoena</v>
      </c>
      <c r="S12076" s="18" t="s">
        <v>30</v>
      </c>
      <c r="T12076" s="18" t="s">
        <v>25441</v>
      </c>
      <c r="U12076" s="18" t="s">
        <v>25442</v>
      </c>
      <c r="V12076" s="18" t="s">
        <v>25443</v>
      </c>
      <c r="W12076" s="18" t="s">
        <v>25444</v>
      </c>
      <c r="X12076" s="18" t="s">
        <v>35</v>
      </c>
      <c r="Y12076" s="18" t="s">
        <v>23964</v>
      </c>
      <c r="Z12076" s="18" t="s">
        <v>166</v>
      </c>
      <c r="AA12076" s="21" t="str">
        <f>HYPERLINK("https://www.ncbi.nlm.nih.gov/nuccore/MN103537","NCBI Nucleotide")</f>
        <v>NCBI Nucleotide</v>
      </c>
    </row>
    <row r="12077" spans="1:27" x14ac:dyDescent="0.35">
      <c r="A12077">
        <v>1010726</v>
      </c>
      <c r="B12077">
        <v>11366</v>
      </c>
      <c r="C12077">
        <v>1</v>
      </c>
      <c r="D12077" s="17" t="s">
        <v>17166</v>
      </c>
      <c r="E12077" s="17"/>
      <c r="F12077" s="17" t="s">
        <v>17246</v>
      </c>
      <c r="G12077" s="17"/>
      <c r="H12077" s="17" t="s">
        <v>23950</v>
      </c>
      <c r="I12077" s="17" t="s">
        <v>23956</v>
      </c>
      <c r="J12077" s="17" t="s">
        <v>24017</v>
      </c>
      <c r="K12077" s="17"/>
      <c r="L12077" s="17" t="s">
        <v>24262</v>
      </c>
      <c r="M12077" s="17"/>
      <c r="N12077" s="17" t="s">
        <v>25249</v>
      </c>
      <c r="O12077" s="17" t="s">
        <v>25320</v>
      </c>
      <c r="P12077" s="17" t="s">
        <v>25445</v>
      </c>
      <c r="Q12077" s="17"/>
      <c r="R12077" s="25" t="str">
        <f>HYPERLINK("https://ictv.global/taxonomy/taxondetails?taxnode_id=202301662","Curiovirus curionopolis")</f>
        <v>Curiovirus curionopolis</v>
      </c>
      <c r="S12077" s="18" t="s">
        <v>30</v>
      </c>
      <c r="T12077" s="18" t="s">
        <v>25446</v>
      </c>
      <c r="U12077" s="18" t="s">
        <v>25447</v>
      </c>
      <c r="V12077" s="18" t="s">
        <v>25448</v>
      </c>
      <c r="W12077" s="18" t="s">
        <v>25449</v>
      </c>
      <c r="X12077" s="18" t="s">
        <v>42</v>
      </c>
      <c r="Y12077" s="18" t="s">
        <v>23964</v>
      </c>
      <c r="Z12077" s="18" t="s">
        <v>10790</v>
      </c>
      <c r="AA12077" s="21" t="str">
        <f>HYPERLINK("https://www.ncbi.nlm.nih.gov/nuccore/KM204994","NCBI Nucleotide")</f>
        <v>NCBI Nucleotide</v>
      </c>
    </row>
    <row r="12078" spans="1:27" x14ac:dyDescent="0.35">
      <c r="A12078">
        <v>1010727</v>
      </c>
      <c r="B12078">
        <v>11367</v>
      </c>
      <c r="C12078">
        <v>1</v>
      </c>
      <c r="D12078" s="17" t="s">
        <v>17166</v>
      </c>
      <c r="E12078" s="17"/>
      <c r="F12078" s="17" t="s">
        <v>17246</v>
      </c>
      <c r="G12078" s="17"/>
      <c r="H12078" s="17" t="s">
        <v>23950</v>
      </c>
      <c r="I12078" s="17" t="s">
        <v>23956</v>
      </c>
      <c r="J12078" s="17" t="s">
        <v>24017</v>
      </c>
      <c r="K12078" s="17"/>
      <c r="L12078" s="17" t="s">
        <v>24262</v>
      </c>
      <c r="M12078" s="17"/>
      <c r="N12078" s="17" t="s">
        <v>25249</v>
      </c>
      <c r="O12078" s="17" t="s">
        <v>25320</v>
      </c>
      <c r="P12078" s="17" t="s">
        <v>25445</v>
      </c>
      <c r="Q12078" s="17"/>
      <c r="R12078" s="25" t="str">
        <f>HYPERLINK("https://ictv.global/taxonomy/taxondetails?taxnode_id=202301663","Curiovirus iriri")</f>
        <v>Curiovirus iriri</v>
      </c>
      <c r="S12078" s="18" t="s">
        <v>30</v>
      </c>
      <c r="T12078" s="18" t="s">
        <v>25450</v>
      </c>
      <c r="U12078" s="18" t="s">
        <v>25451</v>
      </c>
      <c r="V12078" s="18" t="s">
        <v>25452</v>
      </c>
      <c r="W12078" s="18" t="s">
        <v>25453</v>
      </c>
      <c r="X12078" s="18" t="s">
        <v>35</v>
      </c>
      <c r="Y12078" s="18" t="s">
        <v>23964</v>
      </c>
      <c r="Z12078" s="18" t="s">
        <v>10790</v>
      </c>
      <c r="AA12078" s="21" t="str">
        <f>HYPERLINK("https://www.ncbi.nlm.nih.gov/nuccore/KM204995","NCBI Nucleotide")</f>
        <v>NCBI Nucleotide</v>
      </c>
    </row>
    <row r="12079" spans="1:27" x14ac:dyDescent="0.35">
      <c r="A12079">
        <v>1010728</v>
      </c>
      <c r="B12079">
        <v>11368</v>
      </c>
      <c r="C12079">
        <v>1</v>
      </c>
      <c r="D12079" s="17" t="s">
        <v>17166</v>
      </c>
      <c r="E12079" s="17"/>
      <c r="F12079" s="17" t="s">
        <v>17246</v>
      </c>
      <c r="G12079" s="17"/>
      <c r="H12079" s="17" t="s">
        <v>23950</v>
      </c>
      <c r="I12079" s="17" t="s">
        <v>23956</v>
      </c>
      <c r="J12079" s="17" t="s">
        <v>24017</v>
      </c>
      <c r="K12079" s="17"/>
      <c r="L12079" s="17" t="s">
        <v>24262</v>
      </c>
      <c r="M12079" s="17"/>
      <c r="N12079" s="17" t="s">
        <v>25249</v>
      </c>
      <c r="O12079" s="17" t="s">
        <v>25320</v>
      </c>
      <c r="P12079" s="17" t="s">
        <v>25445</v>
      </c>
      <c r="Q12079" s="17"/>
      <c r="R12079" s="25" t="str">
        <f>HYPERLINK("https://ictv.global/taxonomy/taxondetails?taxnode_id=202301664","Curiovirus itacaiunas")</f>
        <v>Curiovirus itacaiunas</v>
      </c>
      <c r="S12079" s="18" t="s">
        <v>30</v>
      </c>
      <c r="T12079" s="18" t="s">
        <v>25454</v>
      </c>
      <c r="U12079" s="18" t="s">
        <v>25455</v>
      </c>
      <c r="V12079" s="18" t="s">
        <v>25456</v>
      </c>
      <c r="W12079" s="18" t="s">
        <v>25457</v>
      </c>
      <c r="X12079" s="18" t="s">
        <v>35</v>
      </c>
      <c r="Y12079" s="18" t="s">
        <v>23964</v>
      </c>
      <c r="Z12079" s="18" t="s">
        <v>10790</v>
      </c>
      <c r="AA12079" s="21" t="str">
        <f>HYPERLINK("https://www.ncbi.nlm.nih.gov/nuccore/KM204984","NCBI Nucleotide")</f>
        <v>NCBI Nucleotide</v>
      </c>
    </row>
    <row r="12080" spans="1:27" x14ac:dyDescent="0.35">
      <c r="A12080">
        <v>1010729</v>
      </c>
      <c r="B12080">
        <v>11369</v>
      </c>
      <c r="C12080">
        <v>1</v>
      </c>
      <c r="D12080" s="17" t="s">
        <v>17166</v>
      </c>
      <c r="E12080" s="17"/>
      <c r="F12080" s="17" t="s">
        <v>17246</v>
      </c>
      <c r="G12080" s="17"/>
      <c r="H12080" s="17" t="s">
        <v>23950</v>
      </c>
      <c r="I12080" s="17" t="s">
        <v>23956</v>
      </c>
      <c r="J12080" s="17" t="s">
        <v>24017</v>
      </c>
      <c r="K12080" s="17"/>
      <c r="L12080" s="17" t="s">
        <v>24262</v>
      </c>
      <c r="M12080" s="17"/>
      <c r="N12080" s="17" t="s">
        <v>25249</v>
      </c>
      <c r="O12080" s="17" t="s">
        <v>25320</v>
      </c>
      <c r="P12080" s="17" t="s">
        <v>25445</v>
      </c>
      <c r="Q12080" s="17"/>
      <c r="R12080" s="25" t="str">
        <f>HYPERLINK("https://ictv.global/taxonomy/taxondetails?taxnode_id=202301665","Curiovirus rochambeau")</f>
        <v>Curiovirus rochambeau</v>
      </c>
      <c r="S12080" s="18" t="s">
        <v>30</v>
      </c>
      <c r="T12080" s="18" t="s">
        <v>25458</v>
      </c>
      <c r="U12080" s="18" t="s">
        <v>25459</v>
      </c>
      <c r="V12080" s="18" t="s">
        <v>25460</v>
      </c>
      <c r="W12080" s="18" t="s">
        <v>25461</v>
      </c>
      <c r="X12080" s="18" t="s">
        <v>35</v>
      </c>
      <c r="Y12080" s="18" t="s">
        <v>23964</v>
      </c>
      <c r="Z12080" s="18" t="s">
        <v>10790</v>
      </c>
      <c r="AA12080" s="21" t="str">
        <f>HYPERLINK("https://www.ncbi.nlm.nih.gov/nuccore/KM205012","NCBI Nucleotide")</f>
        <v>NCBI Nucleotide</v>
      </c>
    </row>
    <row r="12081" spans="1:27" x14ac:dyDescent="0.35">
      <c r="A12081">
        <v>1010730</v>
      </c>
      <c r="B12081">
        <v>11370</v>
      </c>
      <c r="C12081">
        <v>1</v>
      </c>
      <c r="D12081" s="17" t="s">
        <v>17166</v>
      </c>
      <c r="E12081" s="17"/>
      <c r="F12081" s="17" t="s">
        <v>17246</v>
      </c>
      <c r="G12081" s="17"/>
      <c r="H12081" s="17" t="s">
        <v>23950</v>
      </c>
      <c r="I12081" s="17" t="s">
        <v>23956</v>
      </c>
      <c r="J12081" s="17" t="s">
        <v>24017</v>
      </c>
      <c r="K12081" s="17"/>
      <c r="L12081" s="17" t="s">
        <v>24262</v>
      </c>
      <c r="M12081" s="17"/>
      <c r="N12081" s="17" t="s">
        <v>25249</v>
      </c>
      <c r="O12081" s="17" t="s">
        <v>25320</v>
      </c>
      <c r="P12081" s="17" t="s">
        <v>25462</v>
      </c>
      <c r="Q12081" s="17"/>
      <c r="R12081" s="25" t="str">
        <f>HYPERLINK("https://ictv.global/taxonomy/taxondetails?taxnode_id=202301682","Ephemerovirus adelaide")</f>
        <v>Ephemerovirus adelaide</v>
      </c>
      <c r="S12081" s="18" t="s">
        <v>30</v>
      </c>
      <c r="T12081" s="18" t="s">
        <v>25463</v>
      </c>
      <c r="U12081" s="18" t="s">
        <v>25464</v>
      </c>
      <c r="V12081" s="18" t="s">
        <v>25465</v>
      </c>
      <c r="W12081" s="18" t="s">
        <v>25466</v>
      </c>
      <c r="X12081" s="18" t="s">
        <v>42</v>
      </c>
      <c r="Y12081" s="18" t="s">
        <v>23964</v>
      </c>
      <c r="Z12081" s="18" t="s">
        <v>12289</v>
      </c>
      <c r="AA12081" s="21" t="str">
        <f>HYPERLINK("https://www.ncbi.nlm.nih.gov/nuccore/JN935380","NCBI Nucleotide")</f>
        <v>NCBI Nucleotide</v>
      </c>
    </row>
    <row r="12082" spans="1:27" x14ac:dyDescent="0.35">
      <c r="A12082">
        <v>1010731</v>
      </c>
      <c r="B12082">
        <v>11371</v>
      </c>
      <c r="C12082">
        <v>1</v>
      </c>
      <c r="D12082" s="17" t="s">
        <v>17166</v>
      </c>
      <c r="E12082" s="17"/>
      <c r="F12082" s="17" t="s">
        <v>17246</v>
      </c>
      <c r="G12082" s="17"/>
      <c r="H12082" s="17" t="s">
        <v>23950</v>
      </c>
      <c r="I12082" s="17" t="s">
        <v>23956</v>
      </c>
      <c r="J12082" s="17" t="s">
        <v>24017</v>
      </c>
      <c r="K12082" s="17"/>
      <c r="L12082" s="17" t="s">
        <v>24262</v>
      </c>
      <c r="M12082" s="17"/>
      <c r="N12082" s="17" t="s">
        <v>25249</v>
      </c>
      <c r="O12082" s="17" t="s">
        <v>25320</v>
      </c>
      <c r="P12082" s="17" t="s">
        <v>25462</v>
      </c>
      <c r="Q12082" s="17"/>
      <c r="R12082" s="25" t="str">
        <f>HYPERLINK("https://ictv.global/taxonomy/taxondetails?taxnode_id=202301683","Ephemerovirus berrimah")</f>
        <v>Ephemerovirus berrimah</v>
      </c>
      <c r="S12082" s="18" t="s">
        <v>30</v>
      </c>
      <c r="T12082" s="18" t="s">
        <v>25467</v>
      </c>
      <c r="U12082" s="18" t="s">
        <v>25468</v>
      </c>
      <c r="V12082" s="18" t="s">
        <v>25469</v>
      </c>
      <c r="W12082" s="18" t="s">
        <v>25470</v>
      </c>
      <c r="X12082" s="18" t="s">
        <v>42</v>
      </c>
      <c r="Y12082" s="18" t="s">
        <v>23964</v>
      </c>
      <c r="Z12082" s="18" t="s">
        <v>12289</v>
      </c>
      <c r="AA12082" s="21" t="str">
        <f>HYPERLINK("https://www.ncbi.nlm.nih.gov/nuccore/HM461974","NCBI Nucleotide")</f>
        <v>NCBI Nucleotide</v>
      </c>
    </row>
    <row r="12083" spans="1:27" x14ac:dyDescent="0.35">
      <c r="A12083">
        <v>1010732</v>
      </c>
      <c r="B12083">
        <v>11372</v>
      </c>
      <c r="C12083">
        <v>1</v>
      </c>
      <c r="D12083" s="17" t="s">
        <v>17166</v>
      </c>
      <c r="E12083" s="17"/>
      <c r="F12083" s="17" t="s">
        <v>17246</v>
      </c>
      <c r="G12083" s="17"/>
      <c r="H12083" s="17" t="s">
        <v>23950</v>
      </c>
      <c r="I12083" s="17" t="s">
        <v>23956</v>
      </c>
      <c r="J12083" s="17" t="s">
        <v>24017</v>
      </c>
      <c r="K12083" s="17"/>
      <c r="L12083" s="17" t="s">
        <v>24262</v>
      </c>
      <c r="M12083" s="17"/>
      <c r="N12083" s="17" t="s">
        <v>25249</v>
      </c>
      <c r="O12083" s="17" t="s">
        <v>25320</v>
      </c>
      <c r="P12083" s="17" t="s">
        <v>25462</v>
      </c>
      <c r="Q12083" s="17"/>
      <c r="R12083" s="25" t="str">
        <f>HYPERLINK("https://ictv.global/taxonomy/taxondetails?taxnode_id=202301684","Ephemerovirus febris")</f>
        <v>Ephemerovirus febris</v>
      </c>
      <c r="S12083" s="18" t="s">
        <v>30</v>
      </c>
      <c r="T12083" s="18" t="s">
        <v>25471</v>
      </c>
      <c r="U12083" s="18" t="s">
        <v>25472</v>
      </c>
      <c r="V12083" s="18" t="s">
        <v>25473</v>
      </c>
      <c r="W12083" s="18" t="s">
        <v>25474</v>
      </c>
      <c r="X12083" s="18" t="s">
        <v>42</v>
      </c>
      <c r="Y12083" s="18" t="s">
        <v>23964</v>
      </c>
      <c r="Z12083" s="18" t="s">
        <v>12289</v>
      </c>
      <c r="AA12083" s="21" t="str">
        <f>HYPERLINK("https://www.ncbi.nlm.nih.gov/nuccore/AF234533","NCBI Nucleotide")</f>
        <v>NCBI Nucleotide</v>
      </c>
    </row>
    <row r="12084" spans="1:27" x14ac:dyDescent="0.35">
      <c r="A12084">
        <v>1010733</v>
      </c>
      <c r="B12084">
        <v>11373</v>
      </c>
      <c r="C12084">
        <v>1</v>
      </c>
      <c r="D12084" s="17" t="s">
        <v>17166</v>
      </c>
      <c r="E12084" s="17"/>
      <c r="F12084" s="17" t="s">
        <v>17246</v>
      </c>
      <c r="G12084" s="17"/>
      <c r="H12084" s="17" t="s">
        <v>23950</v>
      </c>
      <c r="I12084" s="17" t="s">
        <v>23956</v>
      </c>
      <c r="J12084" s="17" t="s">
        <v>24017</v>
      </c>
      <c r="K12084" s="17"/>
      <c r="L12084" s="17" t="s">
        <v>24262</v>
      </c>
      <c r="M12084" s="17"/>
      <c r="N12084" s="17" t="s">
        <v>25249</v>
      </c>
      <c r="O12084" s="17" t="s">
        <v>25320</v>
      </c>
      <c r="P12084" s="17" t="s">
        <v>25462</v>
      </c>
      <c r="Q12084" s="17"/>
      <c r="R12084" s="25" t="str">
        <f>HYPERLINK("https://ictv.global/taxonomy/taxondetails?taxnode_id=202314177","Ephemerovirus guangdong")</f>
        <v>Ephemerovirus guangdong</v>
      </c>
      <c r="S12084" s="18" t="s">
        <v>30</v>
      </c>
      <c r="T12084" s="18" t="s">
        <v>25475</v>
      </c>
      <c r="U12084" s="18" t="s">
        <v>25476</v>
      </c>
      <c r="V12084" s="18" t="s">
        <v>25477</v>
      </c>
      <c r="W12084" s="18" t="s">
        <v>25478</v>
      </c>
      <c r="X12084" s="18" t="s">
        <v>154</v>
      </c>
      <c r="Y12084" s="18" t="s">
        <v>23964</v>
      </c>
      <c r="Z12084" s="18" t="s">
        <v>166</v>
      </c>
      <c r="AA12084" s="21" t="str">
        <f>HYPERLINK("https://www.ncbi.nlm.nih.gov/nuccore/OK086698","NCBI Nucleotide")</f>
        <v>NCBI Nucleotide</v>
      </c>
    </row>
    <row r="12085" spans="1:27" x14ac:dyDescent="0.35">
      <c r="A12085">
        <v>1010734</v>
      </c>
      <c r="B12085">
        <v>11374</v>
      </c>
      <c r="C12085">
        <v>1</v>
      </c>
      <c r="D12085" s="17" t="s">
        <v>17166</v>
      </c>
      <c r="E12085" s="17"/>
      <c r="F12085" s="17" t="s">
        <v>17246</v>
      </c>
      <c r="G12085" s="17"/>
      <c r="H12085" s="17" t="s">
        <v>23950</v>
      </c>
      <c r="I12085" s="17" t="s">
        <v>23956</v>
      </c>
      <c r="J12085" s="17" t="s">
        <v>24017</v>
      </c>
      <c r="K12085" s="17"/>
      <c r="L12085" s="17" t="s">
        <v>24262</v>
      </c>
      <c r="M12085" s="17"/>
      <c r="N12085" s="17" t="s">
        <v>25249</v>
      </c>
      <c r="O12085" s="17" t="s">
        <v>25320</v>
      </c>
      <c r="P12085" s="17" t="s">
        <v>25462</v>
      </c>
      <c r="Q12085" s="17"/>
      <c r="R12085" s="25" t="str">
        <f>HYPERLINK("https://ictv.global/taxonomy/taxondetails?taxnode_id=202309101","Ephemerovirus hayes")</f>
        <v>Ephemerovirus hayes</v>
      </c>
      <c r="S12085" s="18" t="s">
        <v>30</v>
      </c>
      <c r="T12085" s="18" t="s">
        <v>25479</v>
      </c>
      <c r="U12085" s="18" t="s">
        <v>25480</v>
      </c>
      <c r="V12085" s="18" t="s">
        <v>25481</v>
      </c>
      <c r="W12085" s="18" t="s">
        <v>25482</v>
      </c>
      <c r="X12085" s="18" t="s">
        <v>42</v>
      </c>
      <c r="Y12085" s="18" t="s">
        <v>23964</v>
      </c>
      <c r="Z12085" s="18" t="s">
        <v>166</v>
      </c>
      <c r="AA12085" s="21" t="str">
        <f>HYPERLINK("https://www.ncbi.nlm.nih.gov/nuccore/MH507506","NCBI Nucleotide")</f>
        <v>NCBI Nucleotide</v>
      </c>
    </row>
    <row r="12086" spans="1:27" x14ac:dyDescent="0.35">
      <c r="A12086">
        <v>1010735</v>
      </c>
      <c r="B12086">
        <v>11375</v>
      </c>
      <c r="C12086">
        <v>1</v>
      </c>
      <c r="D12086" s="17" t="s">
        <v>17166</v>
      </c>
      <c r="E12086" s="17"/>
      <c r="F12086" s="17" t="s">
        <v>17246</v>
      </c>
      <c r="G12086" s="17"/>
      <c r="H12086" s="17" t="s">
        <v>23950</v>
      </c>
      <c r="I12086" s="17" t="s">
        <v>23956</v>
      </c>
      <c r="J12086" s="17" t="s">
        <v>24017</v>
      </c>
      <c r="K12086" s="17"/>
      <c r="L12086" s="17" t="s">
        <v>24262</v>
      </c>
      <c r="M12086" s="17"/>
      <c r="N12086" s="17" t="s">
        <v>25249</v>
      </c>
      <c r="O12086" s="17" t="s">
        <v>25320</v>
      </c>
      <c r="P12086" s="17" t="s">
        <v>25462</v>
      </c>
      <c r="Q12086" s="17"/>
      <c r="R12086" s="25" t="str">
        <f>HYPERLINK("https://ictv.global/taxonomy/taxondetails?taxnode_id=202314176","Ephemerovirus henan")</f>
        <v>Ephemerovirus henan</v>
      </c>
      <c r="S12086" s="18" t="s">
        <v>30</v>
      </c>
      <c r="T12086" s="18" t="s">
        <v>25483</v>
      </c>
      <c r="U12086" s="18" t="s">
        <v>25484</v>
      </c>
      <c r="V12086" s="18" t="s">
        <v>25485</v>
      </c>
      <c r="W12086" s="18" t="s">
        <v>25486</v>
      </c>
      <c r="X12086" s="18" t="s">
        <v>35</v>
      </c>
      <c r="Y12086" s="18" t="s">
        <v>23964</v>
      </c>
      <c r="Z12086" s="18" t="s">
        <v>166</v>
      </c>
      <c r="AA12086" s="21" t="str">
        <f>HYPERLINK("https://www.ncbi.nlm.nih.gov/nuccore/OK086697","NCBI Nucleotide")</f>
        <v>NCBI Nucleotide</v>
      </c>
    </row>
    <row r="12087" spans="1:27" x14ac:dyDescent="0.35">
      <c r="A12087">
        <v>1027583</v>
      </c>
      <c r="B12087">
        <v>11376</v>
      </c>
      <c r="C12087">
        <v>1</v>
      </c>
      <c r="D12087" s="17" t="s">
        <v>17166</v>
      </c>
      <c r="E12087" s="17"/>
      <c r="F12087" s="17" t="s">
        <v>17246</v>
      </c>
      <c r="G12087" s="17"/>
      <c r="H12087" s="17" t="s">
        <v>23950</v>
      </c>
      <c r="I12087" s="17" t="s">
        <v>23956</v>
      </c>
      <c r="J12087" s="17" t="s">
        <v>24017</v>
      </c>
      <c r="K12087" s="17"/>
      <c r="L12087" s="17" t="s">
        <v>24262</v>
      </c>
      <c r="M12087" s="17"/>
      <c r="N12087" s="17" t="s">
        <v>25249</v>
      </c>
      <c r="O12087" s="17" t="s">
        <v>25320</v>
      </c>
      <c r="P12087" s="17" t="s">
        <v>25462</v>
      </c>
      <c r="Q12087" s="17"/>
      <c r="R12087" s="25" t="str">
        <f>HYPERLINK("https://ictv.global/taxonomy/taxondetails?taxnode_id=202317949","Ephemerovirus huanggang")</f>
        <v>Ephemerovirus huanggang</v>
      </c>
      <c r="S12087" s="18" t="s">
        <v>30</v>
      </c>
      <c r="T12087" s="18" t="s">
        <v>46654</v>
      </c>
      <c r="U12087" s="18" t="s">
        <v>46655</v>
      </c>
      <c r="V12087" s="18" t="s">
        <v>46406</v>
      </c>
      <c r="W12087" s="18" t="s">
        <v>46656</v>
      </c>
      <c r="X12087" s="18" t="s">
        <v>35</v>
      </c>
      <c r="Y12087" s="18" t="s">
        <v>23964</v>
      </c>
      <c r="Z12087" s="18" t="s">
        <v>17413</v>
      </c>
      <c r="AA12087" s="21" t="str">
        <f>HYPERLINK("https://www.ncbi.nlm.nih.gov/nuccore/ON746527","NCBI Nucleotide")</f>
        <v>NCBI Nucleotide</v>
      </c>
    </row>
    <row r="12088" spans="1:27" x14ac:dyDescent="0.35">
      <c r="A12088">
        <v>1010736</v>
      </c>
      <c r="B12088">
        <v>11377</v>
      </c>
      <c r="C12088">
        <v>1</v>
      </c>
      <c r="D12088" s="17" t="s">
        <v>17166</v>
      </c>
      <c r="E12088" s="17"/>
      <c r="F12088" s="17" t="s">
        <v>17246</v>
      </c>
      <c r="G12088" s="17"/>
      <c r="H12088" s="17" t="s">
        <v>23950</v>
      </c>
      <c r="I12088" s="17" t="s">
        <v>23956</v>
      </c>
      <c r="J12088" s="17" t="s">
        <v>24017</v>
      </c>
      <c r="K12088" s="17"/>
      <c r="L12088" s="17" t="s">
        <v>24262</v>
      </c>
      <c r="M12088" s="17"/>
      <c r="N12088" s="17" t="s">
        <v>25249</v>
      </c>
      <c r="O12088" s="17" t="s">
        <v>25320</v>
      </c>
      <c r="P12088" s="17" t="s">
        <v>25462</v>
      </c>
      <c r="Q12088" s="17"/>
      <c r="R12088" s="25" t="str">
        <f>HYPERLINK("https://ictv.global/taxonomy/taxondetails?taxnode_id=202309103","Ephemerovirus kent")</f>
        <v>Ephemerovirus kent</v>
      </c>
      <c r="S12088" s="18" t="s">
        <v>30</v>
      </c>
      <c r="T12088" s="18" t="s">
        <v>25487</v>
      </c>
      <c r="U12088" s="18" t="s">
        <v>25488</v>
      </c>
      <c r="V12088" s="18" t="s">
        <v>24155</v>
      </c>
      <c r="W12088" s="18" t="s">
        <v>25489</v>
      </c>
      <c r="X12088" s="18" t="s">
        <v>35</v>
      </c>
      <c r="Y12088" s="18" t="s">
        <v>23964</v>
      </c>
      <c r="Z12088" s="18" t="s">
        <v>10790</v>
      </c>
      <c r="AA12088" s="21" t="str">
        <f>HYPERLINK("https://www.ncbi.nlm.nih.gov/nuccore/MF615270","NCBI Nucleotide")</f>
        <v>NCBI Nucleotide</v>
      </c>
    </row>
    <row r="12089" spans="1:27" x14ac:dyDescent="0.35">
      <c r="A12089">
        <v>1010737</v>
      </c>
      <c r="B12089">
        <v>11378</v>
      </c>
      <c r="C12089">
        <v>1</v>
      </c>
      <c r="D12089" s="17" t="s">
        <v>17166</v>
      </c>
      <c r="E12089" s="17"/>
      <c r="F12089" s="17" t="s">
        <v>17246</v>
      </c>
      <c r="G12089" s="17"/>
      <c r="H12089" s="17" t="s">
        <v>23950</v>
      </c>
      <c r="I12089" s="17" t="s">
        <v>23956</v>
      </c>
      <c r="J12089" s="17" t="s">
        <v>24017</v>
      </c>
      <c r="K12089" s="17"/>
      <c r="L12089" s="17" t="s">
        <v>24262</v>
      </c>
      <c r="M12089" s="17"/>
      <c r="N12089" s="17" t="s">
        <v>25249</v>
      </c>
      <c r="O12089" s="17" t="s">
        <v>25320</v>
      </c>
      <c r="P12089" s="17" t="s">
        <v>25462</v>
      </c>
      <c r="Q12089" s="17"/>
      <c r="R12089" s="25" t="str">
        <f>HYPERLINK("https://ictv.global/taxonomy/taxondetails?taxnode_id=202301685","Ephemerovirus kimberley")</f>
        <v>Ephemerovirus kimberley</v>
      </c>
      <c r="S12089" s="18" t="s">
        <v>30</v>
      </c>
      <c r="T12089" s="18" t="s">
        <v>25490</v>
      </c>
      <c r="U12089" s="18" t="s">
        <v>25491</v>
      </c>
      <c r="V12089" s="18" t="s">
        <v>25492</v>
      </c>
      <c r="W12089" s="18" t="s">
        <v>25493</v>
      </c>
      <c r="X12089" s="18" t="s">
        <v>42</v>
      </c>
      <c r="Y12089" s="18" t="s">
        <v>23964</v>
      </c>
      <c r="Z12089" s="18" t="s">
        <v>12289</v>
      </c>
      <c r="AA12089" s="21" t="str">
        <f>HYPERLINK("https://www.ncbi.nlm.nih.gov/nuccore/JQ941664","NCBI Nucleotide")</f>
        <v>NCBI Nucleotide</v>
      </c>
    </row>
    <row r="12090" spans="1:27" x14ac:dyDescent="0.35">
      <c r="A12090">
        <v>1012878</v>
      </c>
      <c r="B12090">
        <v>11378</v>
      </c>
      <c r="C12090">
        <v>2</v>
      </c>
      <c r="D12090" s="17" t="s">
        <v>17166</v>
      </c>
      <c r="E12090" s="17"/>
      <c r="F12090" s="17" t="s">
        <v>17246</v>
      </c>
      <c r="G12090" s="17"/>
      <c r="H12090" s="17" t="s">
        <v>23950</v>
      </c>
      <c r="I12090" s="17" t="s">
        <v>23956</v>
      </c>
      <c r="J12090" s="17" t="s">
        <v>24017</v>
      </c>
      <c r="K12090" s="17"/>
      <c r="L12090" s="17" t="s">
        <v>24262</v>
      </c>
      <c r="M12090" s="17"/>
      <c r="N12090" s="17" t="s">
        <v>25249</v>
      </c>
      <c r="O12090" s="17" t="s">
        <v>25320</v>
      </c>
      <c r="P12090" s="17" t="s">
        <v>25462</v>
      </c>
      <c r="Q12090" s="17"/>
      <c r="R12090" s="25" t="str">
        <f>HYPERLINK("https://ictv.global/taxonomy/taxondetails?taxnode_id=202301685","Ephemerovirus kimberley")</f>
        <v>Ephemerovirus kimberley</v>
      </c>
      <c r="S12090" s="18" t="s">
        <v>8141</v>
      </c>
      <c r="T12090" s="18" t="s">
        <v>25514</v>
      </c>
      <c r="U12090" s="18" t="s">
        <v>25515</v>
      </c>
      <c r="V12090" s="18" t="s">
        <v>25516</v>
      </c>
      <c r="W12090" s="18" t="s">
        <v>49434</v>
      </c>
      <c r="X12090" s="18" t="s">
        <v>42</v>
      </c>
      <c r="Y12090" s="18" t="s">
        <v>23964</v>
      </c>
      <c r="Z12090" s="18" t="s">
        <v>12289</v>
      </c>
      <c r="AA12090" s="21" t="str">
        <f>HYPERLINK("https://www.ncbi.nlm.nih.gov/nuccore/JQ941707","NCBI Nucleotide")</f>
        <v>NCBI Nucleotide</v>
      </c>
    </row>
    <row r="12091" spans="1:27" x14ac:dyDescent="0.35">
      <c r="A12091">
        <v>1010738</v>
      </c>
      <c r="B12091">
        <v>11379</v>
      </c>
      <c r="C12091">
        <v>1</v>
      </c>
      <c r="D12091" s="17" t="s">
        <v>17166</v>
      </c>
      <c r="E12091" s="17"/>
      <c r="F12091" s="17" t="s">
        <v>17246</v>
      </c>
      <c r="G12091" s="17"/>
      <c r="H12091" s="17" t="s">
        <v>23950</v>
      </c>
      <c r="I12091" s="17" t="s">
        <v>23956</v>
      </c>
      <c r="J12091" s="17" t="s">
        <v>24017</v>
      </c>
      <c r="K12091" s="17"/>
      <c r="L12091" s="17" t="s">
        <v>24262</v>
      </c>
      <c r="M12091" s="17"/>
      <c r="N12091" s="17" t="s">
        <v>25249</v>
      </c>
      <c r="O12091" s="17" t="s">
        <v>25320</v>
      </c>
      <c r="P12091" s="17" t="s">
        <v>25462</v>
      </c>
      <c r="Q12091" s="17"/>
      <c r="R12091" s="25" t="str">
        <f>HYPERLINK("https://ictv.global/taxonomy/taxondetails?taxnode_id=202301686","Ephemerovirus koolpinyah")</f>
        <v>Ephemerovirus koolpinyah</v>
      </c>
      <c r="S12091" s="18" t="s">
        <v>30</v>
      </c>
      <c r="T12091" s="18" t="s">
        <v>25494</v>
      </c>
      <c r="U12091" s="18" t="s">
        <v>25495</v>
      </c>
      <c r="V12091" s="18" t="s">
        <v>25496</v>
      </c>
      <c r="W12091" s="18" t="s">
        <v>25497</v>
      </c>
      <c r="X12091" s="18" t="s">
        <v>42</v>
      </c>
      <c r="Y12091" s="18" t="s">
        <v>23964</v>
      </c>
      <c r="Z12091" s="18" t="s">
        <v>166</v>
      </c>
      <c r="AA12091" s="21" t="str">
        <f>HYPERLINK("https://www.ncbi.nlm.nih.gov/nuccore/KM085029","NCBI Nucleotide")</f>
        <v>NCBI Nucleotide</v>
      </c>
    </row>
    <row r="12092" spans="1:27" x14ac:dyDescent="0.35">
      <c r="A12092">
        <v>1010739</v>
      </c>
      <c r="B12092">
        <v>11380</v>
      </c>
      <c r="C12092">
        <v>1</v>
      </c>
      <c r="D12092" s="17" t="s">
        <v>17166</v>
      </c>
      <c r="E12092" s="17"/>
      <c r="F12092" s="17" t="s">
        <v>17246</v>
      </c>
      <c r="G12092" s="17"/>
      <c r="H12092" s="17" t="s">
        <v>23950</v>
      </c>
      <c r="I12092" s="17" t="s">
        <v>23956</v>
      </c>
      <c r="J12092" s="17" t="s">
        <v>24017</v>
      </c>
      <c r="K12092" s="17"/>
      <c r="L12092" s="17" t="s">
        <v>24262</v>
      </c>
      <c r="M12092" s="17"/>
      <c r="N12092" s="17" t="s">
        <v>25249</v>
      </c>
      <c r="O12092" s="17" t="s">
        <v>25320</v>
      </c>
      <c r="P12092" s="17" t="s">
        <v>25462</v>
      </c>
      <c r="Q12092" s="17"/>
      <c r="R12092" s="25" t="str">
        <f>HYPERLINK("https://ictv.global/taxonomy/taxondetails?taxnode_id=202301687","Ephemerovirus kotonkan")</f>
        <v>Ephemerovirus kotonkan</v>
      </c>
      <c r="S12092" s="18" t="s">
        <v>30</v>
      </c>
      <c r="T12092" s="18" t="s">
        <v>25498</v>
      </c>
      <c r="U12092" s="18" t="s">
        <v>25499</v>
      </c>
      <c r="V12092" s="18" t="s">
        <v>25500</v>
      </c>
      <c r="W12092" s="18" t="s">
        <v>25501</v>
      </c>
      <c r="X12092" s="18" t="s">
        <v>42</v>
      </c>
      <c r="Y12092" s="18" t="s">
        <v>23964</v>
      </c>
      <c r="Z12092" s="18" t="s">
        <v>12289</v>
      </c>
      <c r="AA12092" s="21" t="str">
        <f>HYPERLINK("https://www.ncbi.nlm.nih.gov/nuccore/HM474855","NCBI Nucleotide")</f>
        <v>NCBI Nucleotide</v>
      </c>
    </row>
    <row r="12093" spans="1:27" x14ac:dyDescent="0.35">
      <c r="A12093">
        <v>1010740</v>
      </c>
      <c r="B12093">
        <v>11381</v>
      </c>
      <c r="C12093">
        <v>1</v>
      </c>
      <c r="D12093" s="17" t="s">
        <v>17166</v>
      </c>
      <c r="E12093" s="17"/>
      <c r="F12093" s="17" t="s">
        <v>17246</v>
      </c>
      <c r="G12093" s="17"/>
      <c r="H12093" s="17" t="s">
        <v>23950</v>
      </c>
      <c r="I12093" s="17" t="s">
        <v>23956</v>
      </c>
      <c r="J12093" s="17" t="s">
        <v>24017</v>
      </c>
      <c r="K12093" s="17"/>
      <c r="L12093" s="17" t="s">
        <v>24262</v>
      </c>
      <c r="M12093" s="17"/>
      <c r="N12093" s="17" t="s">
        <v>25249</v>
      </c>
      <c r="O12093" s="17" t="s">
        <v>25320</v>
      </c>
      <c r="P12093" s="17" t="s">
        <v>25462</v>
      </c>
      <c r="Q12093" s="17"/>
      <c r="R12093" s="25" t="str">
        <f>HYPERLINK("https://ictv.global/taxonomy/taxondetails?taxnode_id=202301688","Ephemerovirus obodhiang")</f>
        <v>Ephemerovirus obodhiang</v>
      </c>
      <c r="S12093" s="18" t="s">
        <v>30</v>
      </c>
      <c r="T12093" s="18" t="s">
        <v>25502</v>
      </c>
      <c r="U12093" s="18" t="s">
        <v>25503</v>
      </c>
      <c r="V12093" s="18" t="s">
        <v>25504</v>
      </c>
      <c r="W12093" s="18" t="s">
        <v>25505</v>
      </c>
      <c r="X12093" s="18" t="s">
        <v>42</v>
      </c>
      <c r="Y12093" s="18" t="s">
        <v>23964</v>
      </c>
      <c r="Z12093" s="18" t="s">
        <v>10790</v>
      </c>
      <c r="AA12093" s="21" t="str">
        <f>HYPERLINK("https://www.ncbi.nlm.nih.gov/nuccore/HM856902","NCBI Nucleotide")</f>
        <v>NCBI Nucleotide</v>
      </c>
    </row>
    <row r="12094" spans="1:27" x14ac:dyDescent="0.35">
      <c r="A12094">
        <v>1010741</v>
      </c>
      <c r="B12094">
        <v>11382</v>
      </c>
      <c r="C12094">
        <v>1</v>
      </c>
      <c r="D12094" s="17" t="s">
        <v>17166</v>
      </c>
      <c r="E12094" s="17"/>
      <c r="F12094" s="17" t="s">
        <v>17246</v>
      </c>
      <c r="G12094" s="17"/>
      <c r="H12094" s="17" t="s">
        <v>23950</v>
      </c>
      <c r="I12094" s="17" t="s">
        <v>23956</v>
      </c>
      <c r="J12094" s="17" t="s">
        <v>24017</v>
      </c>
      <c r="K12094" s="17"/>
      <c r="L12094" s="17" t="s">
        <v>24262</v>
      </c>
      <c r="M12094" s="17"/>
      <c r="N12094" s="17" t="s">
        <v>25249</v>
      </c>
      <c r="O12094" s="17" t="s">
        <v>25320</v>
      </c>
      <c r="P12094" s="17" t="s">
        <v>25462</v>
      </c>
      <c r="Q12094" s="17"/>
      <c r="R12094" s="25" t="str">
        <f>HYPERLINK("https://ictv.global/taxonomy/taxondetails?taxnode_id=202309102","Ephemerovirus puchong")</f>
        <v>Ephemerovirus puchong</v>
      </c>
      <c r="S12094" s="18" t="s">
        <v>30</v>
      </c>
      <c r="T12094" s="18" t="s">
        <v>25506</v>
      </c>
      <c r="U12094" s="18" t="s">
        <v>25507</v>
      </c>
      <c r="V12094" s="18" t="s">
        <v>25508</v>
      </c>
      <c r="W12094" s="18" t="s">
        <v>25509</v>
      </c>
      <c r="X12094" s="18" t="s">
        <v>42</v>
      </c>
      <c r="Y12094" s="18" t="s">
        <v>23964</v>
      </c>
      <c r="Z12094" s="18" t="s">
        <v>10790</v>
      </c>
      <c r="AA12094" s="21" t="str">
        <f>HYPERLINK("https://www.ncbi.nlm.nih.gov/nuccore/MH507505","NCBI Nucleotide")</f>
        <v>NCBI Nucleotide</v>
      </c>
    </row>
    <row r="12095" spans="1:27" x14ac:dyDescent="0.35">
      <c r="A12095">
        <v>1010742</v>
      </c>
      <c r="B12095">
        <v>11383</v>
      </c>
      <c r="C12095">
        <v>1</v>
      </c>
      <c r="D12095" s="17" t="s">
        <v>17166</v>
      </c>
      <c r="E12095" s="17"/>
      <c r="F12095" s="17" t="s">
        <v>17246</v>
      </c>
      <c r="G12095" s="17"/>
      <c r="H12095" s="17" t="s">
        <v>23950</v>
      </c>
      <c r="I12095" s="17" t="s">
        <v>23956</v>
      </c>
      <c r="J12095" s="17" t="s">
        <v>24017</v>
      </c>
      <c r="K12095" s="17"/>
      <c r="L12095" s="17" t="s">
        <v>24262</v>
      </c>
      <c r="M12095" s="17"/>
      <c r="N12095" s="17" t="s">
        <v>25249</v>
      </c>
      <c r="O12095" s="17" t="s">
        <v>25320</v>
      </c>
      <c r="P12095" s="17" t="s">
        <v>25462</v>
      </c>
      <c r="Q12095" s="17"/>
      <c r="R12095" s="25" t="str">
        <f>HYPERLINK("https://ictv.global/taxonomy/taxondetails?taxnode_id=202301689","Ephemerovirus yata")</f>
        <v>Ephemerovirus yata</v>
      </c>
      <c r="S12095" s="18" t="s">
        <v>30</v>
      </c>
      <c r="T12095" s="18" t="s">
        <v>25510</v>
      </c>
      <c r="U12095" s="18" t="s">
        <v>25511</v>
      </c>
      <c r="V12095" s="18" t="s">
        <v>25512</v>
      </c>
      <c r="W12095" s="18" t="s">
        <v>25513</v>
      </c>
      <c r="X12095" s="18" t="s">
        <v>42</v>
      </c>
      <c r="Y12095" s="18" t="s">
        <v>23964</v>
      </c>
      <c r="Z12095" s="18" t="s">
        <v>10790</v>
      </c>
      <c r="AA12095" s="21" t="str">
        <f>HYPERLINK("https://www.ncbi.nlm.nih.gov/nuccore/KM085030","NCBI Nucleotide")</f>
        <v>NCBI Nucleotide</v>
      </c>
    </row>
    <row r="12096" spans="1:27" x14ac:dyDescent="0.35">
      <c r="A12096">
        <v>1010743</v>
      </c>
      <c r="B12096">
        <v>11384</v>
      </c>
      <c r="C12096">
        <v>1</v>
      </c>
      <c r="D12096" s="17" t="s">
        <v>17166</v>
      </c>
      <c r="E12096" s="17"/>
      <c r="F12096" s="17" t="s">
        <v>17246</v>
      </c>
      <c r="G12096" s="17"/>
      <c r="H12096" s="17" t="s">
        <v>23950</v>
      </c>
      <c r="I12096" s="17" t="s">
        <v>23956</v>
      </c>
      <c r="J12096" s="17" t="s">
        <v>24017</v>
      </c>
      <c r="K12096" s="17"/>
      <c r="L12096" s="17" t="s">
        <v>24262</v>
      </c>
      <c r="M12096" s="17"/>
      <c r="N12096" s="17" t="s">
        <v>25249</v>
      </c>
      <c r="O12096" s="17" t="s">
        <v>25320</v>
      </c>
      <c r="P12096" s="17" t="s">
        <v>25517</v>
      </c>
      <c r="Q12096" s="17"/>
      <c r="R12096" s="25" t="str">
        <f>HYPERLINK("https://ictv.global/taxonomy/taxondetails?taxnode_id=202313335","Hapavirus bangoran")</f>
        <v>Hapavirus bangoran</v>
      </c>
      <c r="S12096" s="18" t="s">
        <v>30</v>
      </c>
      <c r="T12096" s="18" t="s">
        <v>25518</v>
      </c>
      <c r="U12096" s="18" t="s">
        <v>25519</v>
      </c>
      <c r="V12096" s="18" t="s">
        <v>25520</v>
      </c>
      <c r="W12096" s="18" t="s">
        <v>25521</v>
      </c>
      <c r="X12096" s="18" t="s">
        <v>35</v>
      </c>
      <c r="Y12096" s="18" t="s">
        <v>23964</v>
      </c>
      <c r="Z12096" s="18" t="s">
        <v>12289</v>
      </c>
      <c r="AA12096" s="21" t="str">
        <f>HYPERLINK("https://www.ncbi.nlm.nih.gov/nuccore/MW491752","NCBI Nucleotide")</f>
        <v>NCBI Nucleotide</v>
      </c>
    </row>
    <row r="12097" spans="1:27" x14ac:dyDescent="0.35">
      <c r="A12097">
        <v>1010744</v>
      </c>
      <c r="B12097">
        <v>11385</v>
      </c>
      <c r="C12097">
        <v>1</v>
      </c>
      <c r="D12097" s="17" t="s">
        <v>17166</v>
      </c>
      <c r="E12097" s="17"/>
      <c r="F12097" s="17" t="s">
        <v>17246</v>
      </c>
      <c r="G12097" s="17"/>
      <c r="H12097" s="17" t="s">
        <v>23950</v>
      </c>
      <c r="I12097" s="17" t="s">
        <v>23956</v>
      </c>
      <c r="J12097" s="17" t="s">
        <v>24017</v>
      </c>
      <c r="K12097" s="17"/>
      <c r="L12097" s="17" t="s">
        <v>24262</v>
      </c>
      <c r="M12097" s="17"/>
      <c r="N12097" s="17" t="s">
        <v>25249</v>
      </c>
      <c r="O12097" s="17" t="s">
        <v>25320</v>
      </c>
      <c r="P12097" s="17" t="s">
        <v>25517</v>
      </c>
      <c r="Q12097" s="17"/>
      <c r="R12097" s="25" t="str">
        <f>HYPERLINK("https://ictv.global/taxonomy/taxondetails?taxnode_id=202301691","Hapavirus flanders")</f>
        <v>Hapavirus flanders</v>
      </c>
      <c r="S12097" s="18" t="s">
        <v>30</v>
      </c>
      <c r="T12097" s="18" t="s">
        <v>25522</v>
      </c>
      <c r="U12097" s="18" t="s">
        <v>25523</v>
      </c>
      <c r="V12097" s="18" t="s">
        <v>25524</v>
      </c>
      <c r="W12097" s="18" t="s">
        <v>25525</v>
      </c>
      <c r="X12097" s="18" t="s">
        <v>35</v>
      </c>
      <c r="Y12097" s="18" t="s">
        <v>23964</v>
      </c>
      <c r="Z12097" s="18" t="s">
        <v>12289</v>
      </c>
      <c r="AA12097" s="21" t="str">
        <f>HYPERLINK("https://www.ncbi.nlm.nih.gov/nuccore/KM205002","NCBI Nucleotide")</f>
        <v>NCBI Nucleotide</v>
      </c>
    </row>
    <row r="12098" spans="1:27" x14ac:dyDescent="0.35">
      <c r="A12098">
        <v>1010745</v>
      </c>
      <c r="B12098">
        <v>11386</v>
      </c>
      <c r="C12098">
        <v>1</v>
      </c>
      <c r="D12098" s="17" t="s">
        <v>17166</v>
      </c>
      <c r="E12098" s="17"/>
      <c r="F12098" s="17" t="s">
        <v>17246</v>
      </c>
      <c r="G12098" s="17"/>
      <c r="H12098" s="17" t="s">
        <v>23950</v>
      </c>
      <c r="I12098" s="17" t="s">
        <v>23956</v>
      </c>
      <c r="J12098" s="17" t="s">
        <v>24017</v>
      </c>
      <c r="K12098" s="17"/>
      <c r="L12098" s="17" t="s">
        <v>24262</v>
      </c>
      <c r="M12098" s="17"/>
      <c r="N12098" s="17" t="s">
        <v>25249</v>
      </c>
      <c r="O12098" s="17" t="s">
        <v>25320</v>
      </c>
      <c r="P12098" s="17" t="s">
        <v>25517</v>
      </c>
      <c r="Q12098" s="17"/>
      <c r="R12098" s="25" t="str">
        <f>HYPERLINK("https://ictv.global/taxonomy/taxondetails?taxnode_id=202301692","Hapavirus graylodge")</f>
        <v>Hapavirus graylodge</v>
      </c>
      <c r="S12098" s="18" t="s">
        <v>30</v>
      </c>
      <c r="T12098" s="18" t="s">
        <v>25526</v>
      </c>
      <c r="U12098" s="18" t="s">
        <v>25527</v>
      </c>
      <c r="V12098" s="18" t="s">
        <v>25528</v>
      </c>
      <c r="W12098" s="18" t="s">
        <v>25529</v>
      </c>
      <c r="X12098" s="18" t="s">
        <v>42</v>
      </c>
      <c r="Y12098" s="18" t="s">
        <v>23964</v>
      </c>
      <c r="Z12098" s="18" t="s">
        <v>12289</v>
      </c>
      <c r="AA12098" s="21" t="str">
        <f>HYPERLINK("https://www.ncbi.nlm.nih.gov/nuccore/KM205022","NCBI Nucleotide")</f>
        <v>NCBI Nucleotide</v>
      </c>
    </row>
    <row r="12099" spans="1:27" x14ac:dyDescent="0.35">
      <c r="A12099">
        <v>1010746</v>
      </c>
      <c r="B12099">
        <v>11387</v>
      </c>
      <c r="C12099">
        <v>1</v>
      </c>
      <c r="D12099" s="17" t="s">
        <v>17166</v>
      </c>
      <c r="E12099" s="17"/>
      <c r="F12099" s="17" t="s">
        <v>17246</v>
      </c>
      <c r="G12099" s="17"/>
      <c r="H12099" s="17" t="s">
        <v>23950</v>
      </c>
      <c r="I12099" s="17" t="s">
        <v>23956</v>
      </c>
      <c r="J12099" s="17" t="s">
        <v>24017</v>
      </c>
      <c r="K12099" s="17"/>
      <c r="L12099" s="17" t="s">
        <v>24262</v>
      </c>
      <c r="M12099" s="17"/>
      <c r="N12099" s="17" t="s">
        <v>25249</v>
      </c>
      <c r="O12099" s="17" t="s">
        <v>25320</v>
      </c>
      <c r="P12099" s="17" t="s">
        <v>25517</v>
      </c>
      <c r="Q12099" s="17"/>
      <c r="R12099" s="25" t="str">
        <f>HYPERLINK("https://ictv.global/taxonomy/taxondetails?taxnode_id=202301693","Hapavirus hartpark")</f>
        <v>Hapavirus hartpark</v>
      </c>
      <c r="S12099" s="18" t="s">
        <v>30</v>
      </c>
      <c r="T12099" s="18" t="s">
        <v>25530</v>
      </c>
      <c r="U12099" s="18" t="s">
        <v>25531</v>
      </c>
      <c r="V12099" s="18" t="s">
        <v>25532</v>
      </c>
      <c r="W12099" s="18" t="s">
        <v>25533</v>
      </c>
      <c r="X12099" s="18" t="s">
        <v>42</v>
      </c>
      <c r="Y12099" s="18" t="s">
        <v>23964</v>
      </c>
      <c r="Z12099" s="18" t="s">
        <v>12289</v>
      </c>
      <c r="AA12099" s="21" t="str">
        <f>HYPERLINK("https://www.ncbi.nlm.nih.gov/nuccore/KM205011","NCBI Nucleotide")</f>
        <v>NCBI Nucleotide</v>
      </c>
    </row>
    <row r="12100" spans="1:27" x14ac:dyDescent="0.35">
      <c r="A12100">
        <v>1010747</v>
      </c>
      <c r="B12100">
        <v>11388</v>
      </c>
      <c r="C12100">
        <v>1</v>
      </c>
      <c r="D12100" s="17" t="s">
        <v>17166</v>
      </c>
      <c r="E12100" s="17"/>
      <c r="F12100" s="17" t="s">
        <v>17246</v>
      </c>
      <c r="G12100" s="17"/>
      <c r="H12100" s="17" t="s">
        <v>23950</v>
      </c>
      <c r="I12100" s="17" t="s">
        <v>23956</v>
      </c>
      <c r="J12100" s="17" t="s">
        <v>24017</v>
      </c>
      <c r="K12100" s="17"/>
      <c r="L12100" s="17" t="s">
        <v>24262</v>
      </c>
      <c r="M12100" s="17"/>
      <c r="N12100" s="17" t="s">
        <v>25249</v>
      </c>
      <c r="O12100" s="17" t="s">
        <v>25320</v>
      </c>
      <c r="P12100" s="17" t="s">
        <v>25517</v>
      </c>
      <c r="Q12100" s="17"/>
      <c r="R12100" s="25" t="str">
        <f>HYPERLINK("https://ictv.global/taxonomy/taxondetails?taxnode_id=202307103","Hapavirus holmes")</f>
        <v>Hapavirus holmes</v>
      </c>
      <c r="S12100" s="18" t="s">
        <v>30</v>
      </c>
      <c r="T12100" s="18" t="s">
        <v>25534</v>
      </c>
      <c r="U12100" s="18" t="s">
        <v>25535</v>
      </c>
      <c r="V12100" s="18" t="s">
        <v>25536</v>
      </c>
      <c r="W12100" s="18" t="s">
        <v>25537</v>
      </c>
      <c r="X12100" s="18" t="s">
        <v>42</v>
      </c>
      <c r="Y12100" s="18" t="s">
        <v>23964</v>
      </c>
      <c r="Z12100" s="18" t="s">
        <v>12289</v>
      </c>
      <c r="AA12100" s="21" t="str">
        <f>HYPERLINK("https://www.ncbi.nlm.nih.gov/nuccore/KY421919","NCBI Nucleotide")</f>
        <v>NCBI Nucleotide</v>
      </c>
    </row>
    <row r="12101" spans="1:27" x14ac:dyDescent="0.35">
      <c r="A12101">
        <v>1010748</v>
      </c>
      <c r="B12101">
        <v>11389</v>
      </c>
      <c r="C12101">
        <v>1</v>
      </c>
      <c r="D12101" s="17" t="s">
        <v>17166</v>
      </c>
      <c r="E12101" s="17"/>
      <c r="F12101" s="17" t="s">
        <v>17246</v>
      </c>
      <c r="G12101" s="17"/>
      <c r="H12101" s="17" t="s">
        <v>23950</v>
      </c>
      <c r="I12101" s="17" t="s">
        <v>23956</v>
      </c>
      <c r="J12101" s="17" t="s">
        <v>24017</v>
      </c>
      <c r="K12101" s="17"/>
      <c r="L12101" s="17" t="s">
        <v>24262</v>
      </c>
      <c r="M12101" s="17"/>
      <c r="N12101" s="17" t="s">
        <v>25249</v>
      </c>
      <c r="O12101" s="17" t="s">
        <v>25320</v>
      </c>
      <c r="P12101" s="17" t="s">
        <v>25517</v>
      </c>
      <c r="Q12101" s="17"/>
      <c r="R12101" s="25" t="str">
        <f>HYPERLINK("https://ictv.global/taxonomy/taxondetails?taxnode_id=202301694","Hapavirus joinjakaka")</f>
        <v>Hapavirus joinjakaka</v>
      </c>
      <c r="S12101" s="18" t="s">
        <v>30</v>
      </c>
      <c r="T12101" s="18" t="s">
        <v>25538</v>
      </c>
      <c r="U12101" s="18" t="s">
        <v>25539</v>
      </c>
      <c r="V12101" s="18" t="s">
        <v>25540</v>
      </c>
      <c r="W12101" s="18" t="s">
        <v>25541</v>
      </c>
      <c r="X12101" s="18" t="s">
        <v>42</v>
      </c>
      <c r="Y12101" s="18" t="s">
        <v>23964</v>
      </c>
      <c r="Z12101" s="18" t="s">
        <v>12289</v>
      </c>
      <c r="AA12101" s="21" t="str">
        <f>HYPERLINK("https://www.ncbi.nlm.nih.gov/nuccore/KM205016","NCBI Nucleotide")</f>
        <v>NCBI Nucleotide</v>
      </c>
    </row>
    <row r="12102" spans="1:27" x14ac:dyDescent="0.35">
      <c r="A12102">
        <v>1010749</v>
      </c>
      <c r="B12102">
        <v>11390</v>
      </c>
      <c r="C12102">
        <v>1</v>
      </c>
      <c r="D12102" s="17" t="s">
        <v>17166</v>
      </c>
      <c r="E12102" s="17"/>
      <c r="F12102" s="17" t="s">
        <v>17246</v>
      </c>
      <c r="G12102" s="17"/>
      <c r="H12102" s="17" t="s">
        <v>23950</v>
      </c>
      <c r="I12102" s="17" t="s">
        <v>23956</v>
      </c>
      <c r="J12102" s="17" t="s">
        <v>24017</v>
      </c>
      <c r="K12102" s="17"/>
      <c r="L12102" s="17" t="s">
        <v>24262</v>
      </c>
      <c r="M12102" s="17"/>
      <c r="N12102" s="17" t="s">
        <v>25249</v>
      </c>
      <c r="O12102" s="17" t="s">
        <v>25320</v>
      </c>
      <c r="P12102" s="17" t="s">
        <v>25517</v>
      </c>
      <c r="Q12102" s="17"/>
      <c r="R12102" s="25" t="str">
        <f>HYPERLINK("https://ictv.global/taxonomy/taxondetails?taxnode_id=202301695","Hapavirus kamese")</f>
        <v>Hapavirus kamese</v>
      </c>
      <c r="S12102" s="18" t="s">
        <v>30</v>
      </c>
      <c r="T12102" s="18" t="s">
        <v>25542</v>
      </c>
      <c r="U12102" s="18" t="s">
        <v>25543</v>
      </c>
      <c r="V12102" s="18" t="s">
        <v>25544</v>
      </c>
      <c r="W12102" s="18" t="s">
        <v>25545</v>
      </c>
      <c r="X12102" s="18" t="s">
        <v>35</v>
      </c>
      <c r="Y12102" s="18" t="s">
        <v>23964</v>
      </c>
      <c r="Z12102" s="18" t="s">
        <v>12289</v>
      </c>
      <c r="AA12102" s="21" t="str">
        <f>HYPERLINK("https://www.ncbi.nlm.nih.gov/nuccore/KM204989","NCBI Nucleotide")</f>
        <v>NCBI Nucleotide</v>
      </c>
    </row>
    <row r="12103" spans="1:27" x14ac:dyDescent="0.35">
      <c r="A12103">
        <v>1010750</v>
      </c>
      <c r="B12103">
        <v>11391</v>
      </c>
      <c r="C12103">
        <v>1</v>
      </c>
      <c r="D12103" s="17" t="s">
        <v>17166</v>
      </c>
      <c r="E12103" s="17"/>
      <c r="F12103" s="17" t="s">
        <v>17246</v>
      </c>
      <c r="G12103" s="17"/>
      <c r="H12103" s="17" t="s">
        <v>23950</v>
      </c>
      <c r="I12103" s="17" t="s">
        <v>23956</v>
      </c>
      <c r="J12103" s="17" t="s">
        <v>24017</v>
      </c>
      <c r="K12103" s="17"/>
      <c r="L12103" s="17" t="s">
        <v>24262</v>
      </c>
      <c r="M12103" s="17"/>
      <c r="N12103" s="17" t="s">
        <v>25249</v>
      </c>
      <c r="O12103" s="17" t="s">
        <v>25320</v>
      </c>
      <c r="P12103" s="17" t="s">
        <v>25517</v>
      </c>
      <c r="Q12103" s="17"/>
      <c r="R12103" s="25" t="str">
        <f>HYPERLINK("https://ictv.global/taxonomy/taxondetails?taxnode_id=202301696","Hapavirus lajoya")</f>
        <v>Hapavirus lajoya</v>
      </c>
      <c r="S12103" s="18" t="s">
        <v>30</v>
      </c>
      <c r="T12103" s="18" t="s">
        <v>25546</v>
      </c>
      <c r="U12103" s="18" t="s">
        <v>25547</v>
      </c>
      <c r="V12103" s="18" t="s">
        <v>25548</v>
      </c>
      <c r="W12103" s="18" t="s">
        <v>25549</v>
      </c>
      <c r="X12103" s="18" t="s">
        <v>42</v>
      </c>
      <c r="Y12103" s="18" t="s">
        <v>23964</v>
      </c>
      <c r="Z12103" s="18" t="s">
        <v>12289</v>
      </c>
      <c r="AA12103" s="21" t="str">
        <f>HYPERLINK("https://www.ncbi.nlm.nih.gov/nuccore/KM204986","NCBI Nucleotide")</f>
        <v>NCBI Nucleotide</v>
      </c>
    </row>
    <row r="12104" spans="1:27" x14ac:dyDescent="0.35">
      <c r="A12104">
        <v>1010751</v>
      </c>
      <c r="B12104">
        <v>11392</v>
      </c>
      <c r="C12104">
        <v>1</v>
      </c>
      <c r="D12104" s="17" t="s">
        <v>17166</v>
      </c>
      <c r="E12104" s="17"/>
      <c r="F12104" s="17" t="s">
        <v>17246</v>
      </c>
      <c r="G12104" s="17"/>
      <c r="H12104" s="17" t="s">
        <v>23950</v>
      </c>
      <c r="I12104" s="17" t="s">
        <v>23956</v>
      </c>
      <c r="J12104" s="17" t="s">
        <v>24017</v>
      </c>
      <c r="K12104" s="17"/>
      <c r="L12104" s="17" t="s">
        <v>24262</v>
      </c>
      <c r="M12104" s="17"/>
      <c r="N12104" s="17" t="s">
        <v>25249</v>
      </c>
      <c r="O12104" s="17" t="s">
        <v>25320</v>
      </c>
      <c r="P12104" s="17" t="s">
        <v>25517</v>
      </c>
      <c r="Q12104" s="17"/>
      <c r="R12104" s="25" t="str">
        <f>HYPERLINK("https://ictv.global/taxonomy/taxondetails?taxnode_id=202301697","Hapavirus landjia")</f>
        <v>Hapavirus landjia</v>
      </c>
      <c r="S12104" s="18" t="s">
        <v>30</v>
      </c>
      <c r="T12104" s="18" t="s">
        <v>25550</v>
      </c>
      <c r="U12104" s="18" t="s">
        <v>50966</v>
      </c>
      <c r="V12104" s="18" t="s">
        <v>25551</v>
      </c>
      <c r="W12104" s="18" t="s">
        <v>25552</v>
      </c>
      <c r="X12104" s="18" t="s">
        <v>35</v>
      </c>
      <c r="Y12104" s="18" t="s">
        <v>23964</v>
      </c>
      <c r="Z12104" s="18" t="s">
        <v>12289</v>
      </c>
      <c r="AA12104" s="21" t="str">
        <f>HYPERLINK("https://www.ncbi.nlm.nih.gov/nuccore/KM205010","NCBI Nucleotide")</f>
        <v>NCBI Nucleotide</v>
      </c>
    </row>
    <row r="12105" spans="1:27" x14ac:dyDescent="0.35">
      <c r="A12105">
        <v>1010752</v>
      </c>
      <c r="B12105">
        <v>11393</v>
      </c>
      <c r="C12105">
        <v>1</v>
      </c>
      <c r="D12105" s="17" t="s">
        <v>17166</v>
      </c>
      <c r="E12105" s="17"/>
      <c r="F12105" s="17" t="s">
        <v>17246</v>
      </c>
      <c r="G12105" s="17"/>
      <c r="H12105" s="17" t="s">
        <v>23950</v>
      </c>
      <c r="I12105" s="17" t="s">
        <v>23956</v>
      </c>
      <c r="J12105" s="17" t="s">
        <v>24017</v>
      </c>
      <c r="K12105" s="17"/>
      <c r="L12105" s="17" t="s">
        <v>24262</v>
      </c>
      <c r="M12105" s="17"/>
      <c r="N12105" s="17" t="s">
        <v>25249</v>
      </c>
      <c r="O12105" s="17" t="s">
        <v>25320</v>
      </c>
      <c r="P12105" s="17" t="s">
        <v>25517</v>
      </c>
      <c r="Q12105" s="17"/>
      <c r="R12105" s="25" t="str">
        <f>HYPERLINK("https://ictv.global/taxonomy/taxondetails?taxnode_id=202301698","Hapavirus manitoba")</f>
        <v>Hapavirus manitoba</v>
      </c>
      <c r="S12105" s="18" t="s">
        <v>30</v>
      </c>
      <c r="T12105" s="18" t="s">
        <v>25553</v>
      </c>
      <c r="U12105" s="18" t="s">
        <v>50967</v>
      </c>
      <c r="V12105" s="18" t="s">
        <v>25554</v>
      </c>
      <c r="W12105" s="18" t="s">
        <v>25555</v>
      </c>
      <c r="X12105" s="18" t="s">
        <v>35</v>
      </c>
      <c r="Y12105" s="18" t="s">
        <v>23964</v>
      </c>
      <c r="Z12105" s="18" t="s">
        <v>12289</v>
      </c>
      <c r="AA12105" s="21" t="str">
        <f>HYPERLINK("https://www.ncbi.nlm.nih.gov/nuccore/KM205008","NCBI Nucleotide")</f>
        <v>NCBI Nucleotide</v>
      </c>
    </row>
    <row r="12106" spans="1:27" x14ac:dyDescent="0.35">
      <c r="A12106">
        <v>1010753</v>
      </c>
      <c r="B12106">
        <v>11394</v>
      </c>
      <c r="C12106">
        <v>1</v>
      </c>
      <c r="D12106" s="17" t="s">
        <v>17166</v>
      </c>
      <c r="E12106" s="17"/>
      <c r="F12106" s="17" t="s">
        <v>17246</v>
      </c>
      <c r="G12106" s="17"/>
      <c r="H12106" s="17" t="s">
        <v>23950</v>
      </c>
      <c r="I12106" s="17" t="s">
        <v>23956</v>
      </c>
      <c r="J12106" s="17" t="s">
        <v>24017</v>
      </c>
      <c r="K12106" s="17"/>
      <c r="L12106" s="17" t="s">
        <v>24262</v>
      </c>
      <c r="M12106" s="17"/>
      <c r="N12106" s="17" t="s">
        <v>25249</v>
      </c>
      <c r="O12106" s="17" t="s">
        <v>25320</v>
      </c>
      <c r="P12106" s="17" t="s">
        <v>25517</v>
      </c>
      <c r="Q12106" s="17"/>
      <c r="R12106" s="25" t="str">
        <f>HYPERLINK("https://ictv.global/taxonomy/taxondetails?taxnode_id=202301699","Hapavirus marco")</f>
        <v>Hapavirus marco</v>
      </c>
      <c r="S12106" s="18" t="s">
        <v>30</v>
      </c>
      <c r="T12106" s="18" t="s">
        <v>25556</v>
      </c>
      <c r="U12106" s="18" t="s">
        <v>25557</v>
      </c>
      <c r="V12106" s="18" t="s">
        <v>25558</v>
      </c>
      <c r="W12106" s="18" t="s">
        <v>25559</v>
      </c>
      <c r="X12106" s="18" t="s">
        <v>35</v>
      </c>
      <c r="Y12106" s="18" t="s">
        <v>23964</v>
      </c>
      <c r="Z12106" s="18" t="s">
        <v>12289</v>
      </c>
      <c r="AA12106" s="21" t="str">
        <f>HYPERLINK("https://www.ncbi.nlm.nih.gov/nuccore/KM205005","NCBI Nucleotide")</f>
        <v>NCBI Nucleotide</v>
      </c>
    </row>
    <row r="12107" spans="1:27" x14ac:dyDescent="0.35">
      <c r="A12107">
        <v>1010754</v>
      </c>
      <c r="B12107">
        <v>11395</v>
      </c>
      <c r="C12107">
        <v>1</v>
      </c>
      <c r="D12107" s="17" t="s">
        <v>17166</v>
      </c>
      <c r="E12107" s="17"/>
      <c r="F12107" s="17" t="s">
        <v>17246</v>
      </c>
      <c r="G12107" s="17"/>
      <c r="H12107" s="17" t="s">
        <v>23950</v>
      </c>
      <c r="I12107" s="17" t="s">
        <v>23956</v>
      </c>
      <c r="J12107" s="17" t="s">
        <v>24017</v>
      </c>
      <c r="K12107" s="17"/>
      <c r="L12107" s="17" t="s">
        <v>24262</v>
      </c>
      <c r="M12107" s="17"/>
      <c r="N12107" s="17" t="s">
        <v>25249</v>
      </c>
      <c r="O12107" s="17" t="s">
        <v>25320</v>
      </c>
      <c r="P12107" s="17" t="s">
        <v>25517</v>
      </c>
      <c r="Q12107" s="17"/>
      <c r="R12107" s="25" t="str">
        <f>HYPERLINK("https://ictv.global/taxonomy/taxondetails?taxnode_id=202301700","Hapavirus mosqueiro")</f>
        <v>Hapavirus mosqueiro</v>
      </c>
      <c r="S12107" s="18" t="s">
        <v>30</v>
      </c>
      <c r="T12107" s="18" t="s">
        <v>25560</v>
      </c>
      <c r="U12107" s="18" t="s">
        <v>25561</v>
      </c>
      <c r="V12107" s="18" t="s">
        <v>25562</v>
      </c>
      <c r="W12107" s="18" t="s">
        <v>25563</v>
      </c>
      <c r="X12107" s="18" t="s">
        <v>42</v>
      </c>
      <c r="Y12107" s="18" t="s">
        <v>23964</v>
      </c>
      <c r="Z12107" s="18" t="s">
        <v>12289</v>
      </c>
      <c r="AA12107" s="21" t="str">
        <f>HYPERLINK("https://www.ncbi.nlm.nih.gov/nuccore/KM205014","NCBI Nucleotide")</f>
        <v>NCBI Nucleotide</v>
      </c>
    </row>
    <row r="12108" spans="1:27" x14ac:dyDescent="0.35">
      <c r="A12108">
        <v>1010755</v>
      </c>
      <c r="B12108">
        <v>11396</v>
      </c>
      <c r="C12108">
        <v>1</v>
      </c>
      <c r="D12108" s="17" t="s">
        <v>17166</v>
      </c>
      <c r="E12108" s="17"/>
      <c r="F12108" s="17" t="s">
        <v>17246</v>
      </c>
      <c r="G12108" s="17"/>
      <c r="H12108" s="17" t="s">
        <v>23950</v>
      </c>
      <c r="I12108" s="17" t="s">
        <v>23956</v>
      </c>
      <c r="J12108" s="17" t="s">
        <v>24017</v>
      </c>
      <c r="K12108" s="17"/>
      <c r="L12108" s="17" t="s">
        <v>24262</v>
      </c>
      <c r="M12108" s="17"/>
      <c r="N12108" s="17" t="s">
        <v>25249</v>
      </c>
      <c r="O12108" s="17" t="s">
        <v>25320</v>
      </c>
      <c r="P12108" s="17" t="s">
        <v>25517</v>
      </c>
      <c r="Q12108" s="17"/>
      <c r="R12108" s="25" t="str">
        <f>HYPERLINK("https://ictv.global/taxonomy/taxondetails?taxnode_id=202301701","Hapavirus mossuril")</f>
        <v>Hapavirus mossuril</v>
      </c>
      <c r="S12108" s="18" t="s">
        <v>30</v>
      </c>
      <c r="T12108" s="18" t="s">
        <v>25564</v>
      </c>
      <c r="U12108" s="18" t="s">
        <v>25565</v>
      </c>
      <c r="V12108" s="18" t="s">
        <v>25566</v>
      </c>
      <c r="W12108" s="18" t="s">
        <v>25567</v>
      </c>
      <c r="X12108" s="18" t="s">
        <v>35</v>
      </c>
      <c r="Y12108" s="18" t="s">
        <v>23964</v>
      </c>
      <c r="Z12108" s="18" t="s">
        <v>12289</v>
      </c>
      <c r="AA12108" s="21" t="str">
        <f>HYPERLINK("https://www.ncbi.nlm.nih.gov/nuccore/KM204993","NCBI Nucleotide")</f>
        <v>NCBI Nucleotide</v>
      </c>
    </row>
    <row r="12109" spans="1:27" x14ac:dyDescent="0.35">
      <c r="A12109">
        <v>1010756</v>
      </c>
      <c r="B12109">
        <v>11397</v>
      </c>
      <c r="C12109">
        <v>1</v>
      </c>
      <c r="D12109" s="17" t="s">
        <v>17166</v>
      </c>
      <c r="E12109" s="17"/>
      <c r="F12109" s="17" t="s">
        <v>17246</v>
      </c>
      <c r="G12109" s="17"/>
      <c r="H12109" s="17" t="s">
        <v>23950</v>
      </c>
      <c r="I12109" s="17" t="s">
        <v>23956</v>
      </c>
      <c r="J12109" s="17" t="s">
        <v>24017</v>
      </c>
      <c r="K12109" s="17"/>
      <c r="L12109" s="17" t="s">
        <v>24262</v>
      </c>
      <c r="M12109" s="17"/>
      <c r="N12109" s="17" t="s">
        <v>25249</v>
      </c>
      <c r="O12109" s="17" t="s">
        <v>25320</v>
      </c>
      <c r="P12109" s="17" t="s">
        <v>25517</v>
      </c>
      <c r="Q12109" s="17"/>
      <c r="R12109" s="25" t="str">
        <f>HYPERLINK("https://ictv.global/taxonomy/taxondetails?taxnode_id=202301702","Hapavirus ngaingan")</f>
        <v>Hapavirus ngaingan</v>
      </c>
      <c r="S12109" s="18" t="s">
        <v>30</v>
      </c>
      <c r="T12109" s="18" t="s">
        <v>25568</v>
      </c>
      <c r="U12109" s="18" t="s">
        <v>25569</v>
      </c>
      <c r="V12109" s="18" t="s">
        <v>25570</v>
      </c>
      <c r="W12109" s="18" t="s">
        <v>25571</v>
      </c>
      <c r="X12109" s="18" t="s">
        <v>42</v>
      </c>
      <c r="Y12109" s="18" t="s">
        <v>23964</v>
      </c>
      <c r="Z12109" s="18" t="s">
        <v>12289</v>
      </c>
      <c r="AA12109" s="21" t="str">
        <f>HYPERLINK("https://www.ncbi.nlm.nih.gov/nuccore/FJ715959","NCBI Nucleotide")</f>
        <v>NCBI Nucleotide</v>
      </c>
    </row>
    <row r="12110" spans="1:27" x14ac:dyDescent="0.35">
      <c r="A12110">
        <v>1010757</v>
      </c>
      <c r="B12110">
        <v>11398</v>
      </c>
      <c r="C12110">
        <v>1</v>
      </c>
      <c r="D12110" s="17" t="s">
        <v>17166</v>
      </c>
      <c r="E12110" s="17"/>
      <c r="F12110" s="17" t="s">
        <v>17246</v>
      </c>
      <c r="G12110" s="17"/>
      <c r="H12110" s="17" t="s">
        <v>23950</v>
      </c>
      <c r="I12110" s="17" t="s">
        <v>23956</v>
      </c>
      <c r="J12110" s="17" t="s">
        <v>24017</v>
      </c>
      <c r="K12110" s="17"/>
      <c r="L12110" s="17" t="s">
        <v>24262</v>
      </c>
      <c r="M12110" s="17"/>
      <c r="N12110" s="17" t="s">
        <v>25249</v>
      </c>
      <c r="O12110" s="17" t="s">
        <v>25320</v>
      </c>
      <c r="P12110" s="17" t="s">
        <v>25517</v>
      </c>
      <c r="Q12110" s="17"/>
      <c r="R12110" s="25" t="str">
        <f>HYPERLINK("https://ictv.global/taxonomy/taxondetails?taxnode_id=202301703","Hapavirus ord")</f>
        <v>Hapavirus ord</v>
      </c>
      <c r="S12110" s="18" t="s">
        <v>30</v>
      </c>
      <c r="T12110" s="18" t="s">
        <v>25572</v>
      </c>
      <c r="U12110" s="18" t="s">
        <v>25573</v>
      </c>
      <c r="V12110" s="18" t="s">
        <v>25574</v>
      </c>
      <c r="W12110" s="18" t="s">
        <v>25575</v>
      </c>
      <c r="X12110" s="18" t="s">
        <v>35</v>
      </c>
      <c r="Y12110" s="18" t="s">
        <v>23964</v>
      </c>
      <c r="Z12110" s="18" t="s">
        <v>10790</v>
      </c>
      <c r="AA12110" s="21" t="str">
        <f>HYPERLINK("https://www.ncbi.nlm.nih.gov/nuccore/KM205025","NCBI Nucleotide")</f>
        <v>NCBI Nucleotide</v>
      </c>
    </row>
    <row r="12111" spans="1:27" x14ac:dyDescent="0.35">
      <c r="A12111">
        <v>1010758</v>
      </c>
      <c r="B12111">
        <v>11399</v>
      </c>
      <c r="C12111">
        <v>1</v>
      </c>
      <c r="D12111" s="17" t="s">
        <v>17166</v>
      </c>
      <c r="E12111" s="17"/>
      <c r="F12111" s="17" t="s">
        <v>17246</v>
      </c>
      <c r="G12111" s="17"/>
      <c r="H12111" s="17" t="s">
        <v>23950</v>
      </c>
      <c r="I12111" s="17" t="s">
        <v>23956</v>
      </c>
      <c r="J12111" s="17" t="s">
        <v>24017</v>
      </c>
      <c r="K12111" s="17"/>
      <c r="L12111" s="17" t="s">
        <v>24262</v>
      </c>
      <c r="M12111" s="17"/>
      <c r="N12111" s="17" t="s">
        <v>25249</v>
      </c>
      <c r="O12111" s="17" t="s">
        <v>25320</v>
      </c>
      <c r="P12111" s="17" t="s">
        <v>25517</v>
      </c>
      <c r="Q12111" s="17"/>
      <c r="R12111" s="25" t="str">
        <f>HYPERLINK("https://ictv.global/taxonomy/taxondetails?taxnode_id=202301704","Hapavirus parry")</f>
        <v>Hapavirus parry</v>
      </c>
      <c r="S12111" s="18" t="s">
        <v>30</v>
      </c>
      <c r="T12111" s="18" t="s">
        <v>25576</v>
      </c>
      <c r="U12111" s="18" t="s">
        <v>18858</v>
      </c>
      <c r="V12111" s="18" t="s">
        <v>25577</v>
      </c>
      <c r="W12111" s="18" t="s">
        <v>25578</v>
      </c>
      <c r="X12111" s="18" t="s">
        <v>35</v>
      </c>
      <c r="Y12111" s="18" t="s">
        <v>23964</v>
      </c>
      <c r="Z12111" s="18" t="s">
        <v>10790</v>
      </c>
      <c r="AA12111" s="21" t="str">
        <f>HYPERLINK("https://www.ncbi.nlm.nih.gov/nuccore/KM204988","NCBI Nucleotide")</f>
        <v>NCBI Nucleotide</v>
      </c>
    </row>
    <row r="12112" spans="1:27" x14ac:dyDescent="0.35">
      <c r="A12112">
        <v>1010759</v>
      </c>
      <c r="B12112">
        <v>11400</v>
      </c>
      <c r="C12112">
        <v>1</v>
      </c>
      <c r="D12112" s="17" t="s">
        <v>17166</v>
      </c>
      <c r="E12112" s="17"/>
      <c r="F12112" s="17" t="s">
        <v>17246</v>
      </c>
      <c r="G12112" s="17"/>
      <c r="H12112" s="17" t="s">
        <v>23950</v>
      </c>
      <c r="I12112" s="17" t="s">
        <v>23956</v>
      </c>
      <c r="J12112" s="17" t="s">
        <v>24017</v>
      </c>
      <c r="K12112" s="17"/>
      <c r="L12112" s="17" t="s">
        <v>24262</v>
      </c>
      <c r="M12112" s="17"/>
      <c r="N12112" s="17" t="s">
        <v>25249</v>
      </c>
      <c r="O12112" s="17" t="s">
        <v>25320</v>
      </c>
      <c r="P12112" s="17" t="s">
        <v>25517</v>
      </c>
      <c r="Q12112" s="17"/>
      <c r="R12112" s="25" t="str">
        <f>HYPERLINK("https://ictv.global/taxonomy/taxondetails?taxnode_id=202313334","Hapavirus porton")</f>
        <v>Hapavirus porton</v>
      </c>
      <c r="S12112" s="18" t="s">
        <v>30</v>
      </c>
      <c r="T12112" s="18" t="s">
        <v>25579</v>
      </c>
      <c r="U12112" s="18" t="s">
        <v>25580</v>
      </c>
      <c r="V12112" s="18" t="s">
        <v>25581</v>
      </c>
      <c r="W12112" s="18" t="s">
        <v>25582</v>
      </c>
      <c r="X12112" s="18" t="s">
        <v>35</v>
      </c>
      <c r="Y12112" s="18" t="s">
        <v>23964</v>
      </c>
      <c r="Z12112" s="18" t="s">
        <v>10790</v>
      </c>
      <c r="AA12112" s="21" t="str">
        <f>HYPERLINK("https://www.ncbi.nlm.nih.gov/nuccore/MW491751","NCBI Nucleotide")</f>
        <v>NCBI Nucleotide</v>
      </c>
    </row>
    <row r="12113" spans="1:27" x14ac:dyDescent="0.35">
      <c r="A12113">
        <v>1010760</v>
      </c>
      <c r="B12113">
        <v>11401</v>
      </c>
      <c r="C12113">
        <v>1</v>
      </c>
      <c r="D12113" s="17" t="s">
        <v>17166</v>
      </c>
      <c r="E12113" s="17"/>
      <c r="F12113" s="17" t="s">
        <v>17246</v>
      </c>
      <c r="G12113" s="17"/>
      <c r="H12113" s="17" t="s">
        <v>23950</v>
      </c>
      <c r="I12113" s="17" t="s">
        <v>23956</v>
      </c>
      <c r="J12113" s="17" t="s">
        <v>24017</v>
      </c>
      <c r="K12113" s="17"/>
      <c r="L12113" s="17" t="s">
        <v>24262</v>
      </c>
      <c r="M12113" s="17"/>
      <c r="N12113" s="17" t="s">
        <v>25249</v>
      </c>
      <c r="O12113" s="17" t="s">
        <v>25320</v>
      </c>
      <c r="P12113" s="17" t="s">
        <v>25517</v>
      </c>
      <c r="Q12113" s="17"/>
      <c r="R12113" s="25" t="str">
        <f>HYPERLINK("https://ictv.global/taxonomy/taxondetails?taxnode_id=202301705","Hapavirus wongabel")</f>
        <v>Hapavirus wongabel</v>
      </c>
      <c r="S12113" s="18" t="s">
        <v>30</v>
      </c>
      <c r="T12113" s="18" t="s">
        <v>25583</v>
      </c>
      <c r="U12113" s="18" t="s">
        <v>25584</v>
      </c>
      <c r="V12113" s="18" t="s">
        <v>25585</v>
      </c>
      <c r="W12113" s="18" t="s">
        <v>25586</v>
      </c>
      <c r="X12113" s="18" t="s">
        <v>42</v>
      </c>
      <c r="Y12113" s="18" t="s">
        <v>23964</v>
      </c>
      <c r="Z12113" s="18" t="s">
        <v>10790</v>
      </c>
      <c r="AA12113" s="21" t="str">
        <f>HYPERLINK("https://www.ncbi.nlm.nih.gov/nuccore/EF612701","NCBI Nucleotide")</f>
        <v>NCBI Nucleotide</v>
      </c>
    </row>
    <row r="12114" spans="1:27" x14ac:dyDescent="0.35">
      <c r="A12114">
        <v>1010761</v>
      </c>
      <c r="B12114">
        <v>11402</v>
      </c>
      <c r="C12114">
        <v>1</v>
      </c>
      <c r="D12114" s="17" t="s">
        <v>17166</v>
      </c>
      <c r="E12114" s="17"/>
      <c r="F12114" s="17" t="s">
        <v>17246</v>
      </c>
      <c r="G12114" s="17"/>
      <c r="H12114" s="17" t="s">
        <v>23950</v>
      </c>
      <c r="I12114" s="17" t="s">
        <v>23956</v>
      </c>
      <c r="J12114" s="17" t="s">
        <v>24017</v>
      </c>
      <c r="K12114" s="17"/>
      <c r="L12114" s="17" t="s">
        <v>24262</v>
      </c>
      <c r="M12114" s="17"/>
      <c r="N12114" s="17" t="s">
        <v>25249</v>
      </c>
      <c r="O12114" s="17" t="s">
        <v>25320</v>
      </c>
      <c r="P12114" s="17" t="s">
        <v>25587</v>
      </c>
      <c r="Q12114" s="17"/>
      <c r="R12114" s="25" t="str">
        <f>HYPERLINK("https://ictv.global/taxonomy/taxondetails?taxnode_id=202301707","Ledantevirus barur")</f>
        <v>Ledantevirus barur</v>
      </c>
      <c r="S12114" s="18" t="s">
        <v>30</v>
      </c>
      <c r="T12114" s="18" t="s">
        <v>25588</v>
      </c>
      <c r="U12114" s="18" t="s">
        <v>25589</v>
      </c>
      <c r="V12114" s="18">
        <v>6235</v>
      </c>
      <c r="W12114" s="18" t="s">
        <v>25590</v>
      </c>
      <c r="X12114" s="18" t="s">
        <v>35</v>
      </c>
      <c r="Y12114" s="18" t="s">
        <v>23964</v>
      </c>
      <c r="Z12114" s="18" t="s">
        <v>12289</v>
      </c>
      <c r="AA12114" s="21" t="str">
        <f>HYPERLINK("https://www.ncbi.nlm.nih.gov/nuccore/KM204983","NCBI Nucleotide")</f>
        <v>NCBI Nucleotide</v>
      </c>
    </row>
    <row r="12115" spans="1:27" x14ac:dyDescent="0.35">
      <c r="A12115">
        <v>1010762</v>
      </c>
      <c r="B12115">
        <v>11403</v>
      </c>
      <c r="C12115">
        <v>1</v>
      </c>
      <c r="D12115" s="17" t="s">
        <v>17166</v>
      </c>
      <c r="E12115" s="17"/>
      <c r="F12115" s="17" t="s">
        <v>17246</v>
      </c>
      <c r="G12115" s="17"/>
      <c r="H12115" s="17" t="s">
        <v>23950</v>
      </c>
      <c r="I12115" s="17" t="s">
        <v>23956</v>
      </c>
      <c r="J12115" s="17" t="s">
        <v>24017</v>
      </c>
      <c r="K12115" s="17"/>
      <c r="L12115" s="17" t="s">
        <v>24262</v>
      </c>
      <c r="M12115" s="17"/>
      <c r="N12115" s="17" t="s">
        <v>25249</v>
      </c>
      <c r="O12115" s="17" t="s">
        <v>25320</v>
      </c>
      <c r="P12115" s="17" t="s">
        <v>25587</v>
      </c>
      <c r="Q12115" s="17"/>
      <c r="R12115" s="25" t="str">
        <f>HYPERLINK("https://ictv.global/taxonomy/taxondetails?taxnode_id=202309617","Ledantevirus bughendera")</f>
        <v>Ledantevirus bughendera</v>
      </c>
      <c r="S12115" s="18" t="s">
        <v>30</v>
      </c>
      <c r="T12115" s="18" t="s">
        <v>25591</v>
      </c>
      <c r="U12115" s="18" t="s">
        <v>25592</v>
      </c>
      <c r="V12115" s="18" t="s">
        <v>25593</v>
      </c>
      <c r="W12115" s="18" t="s">
        <v>25594</v>
      </c>
      <c r="X12115" s="18" t="s">
        <v>35</v>
      </c>
      <c r="Y12115" s="18" t="s">
        <v>23964</v>
      </c>
      <c r="Z12115" s="18" t="s">
        <v>10790</v>
      </c>
      <c r="AA12115" s="21" t="str">
        <f>HYPERLINK("https://www.ncbi.nlm.nih.gov/nuccore/MT325641","NCBI Nucleotide")</f>
        <v>NCBI Nucleotide</v>
      </c>
    </row>
    <row r="12116" spans="1:27" x14ac:dyDescent="0.35">
      <c r="A12116">
        <v>1010763</v>
      </c>
      <c r="B12116">
        <v>11404</v>
      </c>
      <c r="C12116">
        <v>1</v>
      </c>
      <c r="D12116" s="17" t="s">
        <v>17166</v>
      </c>
      <c r="E12116" s="17"/>
      <c r="F12116" s="17" t="s">
        <v>17246</v>
      </c>
      <c r="G12116" s="17"/>
      <c r="H12116" s="17" t="s">
        <v>23950</v>
      </c>
      <c r="I12116" s="17" t="s">
        <v>23956</v>
      </c>
      <c r="J12116" s="17" t="s">
        <v>24017</v>
      </c>
      <c r="K12116" s="17"/>
      <c r="L12116" s="17" t="s">
        <v>24262</v>
      </c>
      <c r="M12116" s="17"/>
      <c r="N12116" s="17" t="s">
        <v>25249</v>
      </c>
      <c r="O12116" s="17" t="s">
        <v>25320</v>
      </c>
      <c r="P12116" s="17" t="s">
        <v>25587</v>
      </c>
      <c r="Q12116" s="17"/>
      <c r="R12116" s="25" t="str">
        <f>HYPERLINK("https://ictv.global/taxonomy/taxondetails?taxnode_id=202301715","Ledantevirus elgon")</f>
        <v>Ledantevirus elgon</v>
      </c>
      <c r="S12116" s="18" t="s">
        <v>30</v>
      </c>
      <c r="T12116" s="18" t="s">
        <v>25595</v>
      </c>
      <c r="U12116" s="18" t="s">
        <v>25596</v>
      </c>
      <c r="V12116" s="18" t="s">
        <v>25597</v>
      </c>
      <c r="W12116" s="18" t="s">
        <v>25598</v>
      </c>
      <c r="X12116" s="18" t="s">
        <v>35</v>
      </c>
      <c r="Y12116" s="18" t="s">
        <v>23964</v>
      </c>
      <c r="Z12116" s="18" t="s">
        <v>166</v>
      </c>
      <c r="AA12116" s="21" t="str">
        <f>HYPERLINK("https://www.ncbi.nlm.nih.gov/nuccore/KM205026","NCBI Nucleotide")</f>
        <v>NCBI Nucleotide</v>
      </c>
    </row>
    <row r="12117" spans="1:27" x14ac:dyDescent="0.35">
      <c r="A12117">
        <v>1010764</v>
      </c>
      <c r="B12117">
        <v>11405</v>
      </c>
      <c r="C12117">
        <v>1</v>
      </c>
      <c r="D12117" s="17" t="s">
        <v>17166</v>
      </c>
      <c r="E12117" s="17"/>
      <c r="F12117" s="17" t="s">
        <v>17246</v>
      </c>
      <c r="G12117" s="17"/>
      <c r="H12117" s="17" t="s">
        <v>23950</v>
      </c>
      <c r="I12117" s="17" t="s">
        <v>23956</v>
      </c>
      <c r="J12117" s="17" t="s">
        <v>24017</v>
      </c>
      <c r="K12117" s="17"/>
      <c r="L12117" s="17" t="s">
        <v>24262</v>
      </c>
      <c r="M12117" s="17"/>
      <c r="N12117" s="17" t="s">
        <v>25249</v>
      </c>
      <c r="O12117" s="17" t="s">
        <v>25320</v>
      </c>
      <c r="P12117" s="17" t="s">
        <v>25587</v>
      </c>
      <c r="Q12117" s="17"/>
      <c r="R12117" s="25" t="str">
        <f>HYPERLINK("https://ictv.global/taxonomy/taxondetails?taxnode_id=202301708","Ledantevirus fikirini")</f>
        <v>Ledantevirus fikirini</v>
      </c>
      <c r="S12117" s="18" t="s">
        <v>30</v>
      </c>
      <c r="T12117" s="18" t="s">
        <v>25599</v>
      </c>
      <c r="U12117" s="18" t="s">
        <v>25600</v>
      </c>
      <c r="V12117" s="18" t="s">
        <v>25601</v>
      </c>
      <c r="W12117" s="18" t="s">
        <v>25602</v>
      </c>
      <c r="X12117" s="18" t="s">
        <v>35</v>
      </c>
      <c r="Y12117" s="18" t="s">
        <v>23964</v>
      </c>
      <c r="Z12117" s="18" t="s">
        <v>166</v>
      </c>
      <c r="AA12117" s="21" t="str">
        <f>HYPERLINK("https://www.ncbi.nlm.nih.gov/nuccore/KC676792","NCBI Nucleotide")</f>
        <v>NCBI Nucleotide</v>
      </c>
    </row>
    <row r="12118" spans="1:27" x14ac:dyDescent="0.35">
      <c r="A12118">
        <v>1010765</v>
      </c>
      <c r="B12118">
        <v>11406</v>
      </c>
      <c r="C12118">
        <v>1</v>
      </c>
      <c r="D12118" s="17" t="s">
        <v>17166</v>
      </c>
      <c r="E12118" s="17"/>
      <c r="F12118" s="17" t="s">
        <v>17246</v>
      </c>
      <c r="G12118" s="17"/>
      <c r="H12118" s="17" t="s">
        <v>23950</v>
      </c>
      <c r="I12118" s="17" t="s">
        <v>23956</v>
      </c>
      <c r="J12118" s="17" t="s">
        <v>24017</v>
      </c>
      <c r="K12118" s="17"/>
      <c r="L12118" s="17" t="s">
        <v>24262</v>
      </c>
      <c r="M12118" s="17"/>
      <c r="N12118" s="17" t="s">
        <v>25249</v>
      </c>
      <c r="O12118" s="17" t="s">
        <v>25320</v>
      </c>
      <c r="P12118" s="17" t="s">
        <v>25587</v>
      </c>
      <c r="Q12118" s="17"/>
      <c r="R12118" s="25" t="str">
        <f>HYPERLINK("https://ictv.global/taxonomy/taxondetails?taxnode_id=202301709","Ledantevirus fukuoka")</f>
        <v>Ledantevirus fukuoka</v>
      </c>
      <c r="S12118" s="18" t="s">
        <v>30</v>
      </c>
      <c r="T12118" s="18" t="s">
        <v>25603</v>
      </c>
      <c r="U12118" s="18" t="s">
        <v>25604</v>
      </c>
      <c r="V12118" s="18" t="s">
        <v>25605</v>
      </c>
      <c r="W12118" s="18" t="s">
        <v>25606</v>
      </c>
      <c r="X12118" s="18" t="s">
        <v>42</v>
      </c>
      <c r="Y12118" s="18" t="s">
        <v>23964</v>
      </c>
      <c r="Z12118" s="18" t="s">
        <v>10790</v>
      </c>
      <c r="AA12118" s="21" t="str">
        <f>HYPERLINK("https://www.ncbi.nlm.nih.gov/nuccore/KM205001","NCBI Nucleotide")</f>
        <v>NCBI Nucleotide</v>
      </c>
    </row>
    <row r="12119" spans="1:27" x14ac:dyDescent="0.35">
      <c r="A12119">
        <v>1010766</v>
      </c>
      <c r="B12119">
        <v>11407</v>
      </c>
      <c r="C12119">
        <v>1</v>
      </c>
      <c r="D12119" s="17" t="s">
        <v>17166</v>
      </c>
      <c r="E12119" s="17"/>
      <c r="F12119" s="17" t="s">
        <v>17246</v>
      </c>
      <c r="G12119" s="17"/>
      <c r="H12119" s="17" t="s">
        <v>23950</v>
      </c>
      <c r="I12119" s="17" t="s">
        <v>23956</v>
      </c>
      <c r="J12119" s="17" t="s">
        <v>24017</v>
      </c>
      <c r="K12119" s="17"/>
      <c r="L12119" s="17" t="s">
        <v>24262</v>
      </c>
      <c r="M12119" s="17"/>
      <c r="N12119" s="17" t="s">
        <v>25249</v>
      </c>
      <c r="O12119" s="17" t="s">
        <v>25320</v>
      </c>
      <c r="P12119" s="17" t="s">
        <v>25587</v>
      </c>
      <c r="Q12119" s="17"/>
      <c r="R12119" s="25" t="str">
        <f>HYPERLINK("https://ictv.global/taxonomy/taxondetails?taxnode_id=202305580","Ledantevirus kanyawara")</f>
        <v>Ledantevirus kanyawara</v>
      </c>
      <c r="S12119" s="18" t="s">
        <v>30</v>
      </c>
      <c r="T12119" s="18" t="s">
        <v>25607</v>
      </c>
      <c r="U12119" s="18" t="s">
        <v>25608</v>
      </c>
      <c r="V12119" s="18" t="s">
        <v>25609</v>
      </c>
      <c r="W12119" s="18" t="s">
        <v>25610</v>
      </c>
      <c r="X12119" s="18" t="s">
        <v>35</v>
      </c>
      <c r="Y12119" s="18" t="s">
        <v>23964</v>
      </c>
      <c r="Z12119" s="18" t="s">
        <v>10790</v>
      </c>
      <c r="AA12119" s="21" t="str">
        <f>HYPERLINK("https://www.ncbi.nlm.nih.gov/nuccore/KY385390","NCBI Nucleotide")</f>
        <v>NCBI Nucleotide</v>
      </c>
    </row>
    <row r="12120" spans="1:27" x14ac:dyDescent="0.35">
      <c r="A12120">
        <v>1010767</v>
      </c>
      <c r="B12120">
        <v>11408</v>
      </c>
      <c r="C12120">
        <v>1</v>
      </c>
      <c r="D12120" s="17" t="s">
        <v>17166</v>
      </c>
      <c r="E12120" s="17"/>
      <c r="F12120" s="17" t="s">
        <v>17246</v>
      </c>
      <c r="G12120" s="17"/>
      <c r="H12120" s="17" t="s">
        <v>23950</v>
      </c>
      <c r="I12120" s="17" t="s">
        <v>23956</v>
      </c>
      <c r="J12120" s="17" t="s">
        <v>24017</v>
      </c>
      <c r="K12120" s="17"/>
      <c r="L12120" s="17" t="s">
        <v>24262</v>
      </c>
      <c r="M12120" s="17"/>
      <c r="N12120" s="17" t="s">
        <v>25249</v>
      </c>
      <c r="O12120" s="17" t="s">
        <v>25320</v>
      </c>
      <c r="P12120" s="17" t="s">
        <v>25587</v>
      </c>
      <c r="Q12120" s="17"/>
      <c r="R12120" s="25" t="str">
        <f>HYPERLINK("https://ictv.global/taxonomy/taxondetails?taxnode_id=202301710","Ledantevirus kern")</f>
        <v>Ledantevirus kern</v>
      </c>
      <c r="S12120" s="18" t="s">
        <v>30</v>
      </c>
      <c r="T12120" s="18" t="s">
        <v>25611</v>
      </c>
      <c r="U12120" s="18" t="s">
        <v>25612</v>
      </c>
      <c r="V12120" s="18" t="s">
        <v>25613</v>
      </c>
      <c r="W12120" s="18" t="s">
        <v>25614</v>
      </c>
      <c r="X12120" s="18" t="s">
        <v>35</v>
      </c>
      <c r="Y12120" s="18" t="s">
        <v>23964</v>
      </c>
      <c r="Z12120" s="18" t="s">
        <v>166</v>
      </c>
      <c r="AA12120" s="21" t="str">
        <f>HYPERLINK("https://www.ncbi.nlm.nih.gov/nuccore/KM204992","NCBI Nucleotide")</f>
        <v>NCBI Nucleotide</v>
      </c>
    </row>
    <row r="12121" spans="1:27" x14ac:dyDescent="0.35">
      <c r="A12121">
        <v>1010768</v>
      </c>
      <c r="B12121">
        <v>11409</v>
      </c>
      <c r="C12121">
        <v>1</v>
      </c>
      <c r="D12121" s="17" t="s">
        <v>17166</v>
      </c>
      <c r="E12121" s="17"/>
      <c r="F12121" s="17" t="s">
        <v>17246</v>
      </c>
      <c r="G12121" s="17"/>
      <c r="H12121" s="17" t="s">
        <v>23950</v>
      </c>
      <c r="I12121" s="17" t="s">
        <v>23956</v>
      </c>
      <c r="J12121" s="17" t="s">
        <v>24017</v>
      </c>
      <c r="K12121" s="17"/>
      <c r="L12121" s="17" t="s">
        <v>24262</v>
      </c>
      <c r="M12121" s="17"/>
      <c r="N12121" s="17" t="s">
        <v>25249</v>
      </c>
      <c r="O12121" s="17" t="s">
        <v>25320</v>
      </c>
      <c r="P12121" s="17" t="s">
        <v>25587</v>
      </c>
      <c r="Q12121" s="17"/>
      <c r="R12121" s="25" t="str">
        <f>HYPERLINK("https://ictv.global/taxonomy/taxondetails?taxnode_id=202301711","Ledantevirus keuraliba")</f>
        <v>Ledantevirus keuraliba</v>
      </c>
      <c r="S12121" s="18" t="s">
        <v>30</v>
      </c>
      <c r="T12121" s="18" t="s">
        <v>25615</v>
      </c>
      <c r="U12121" s="18" t="s">
        <v>25616</v>
      </c>
      <c r="V12121" s="18" t="s">
        <v>25617</v>
      </c>
      <c r="W12121" s="18" t="s">
        <v>25618</v>
      </c>
      <c r="X12121" s="18" t="s">
        <v>35</v>
      </c>
      <c r="Y12121" s="18" t="s">
        <v>23964</v>
      </c>
      <c r="Z12121" s="18" t="s">
        <v>12289</v>
      </c>
      <c r="AA12121" s="21" t="str">
        <f>HYPERLINK("https://www.ncbi.nlm.nih.gov/nuccore/KM205021","NCBI Nucleotide")</f>
        <v>NCBI Nucleotide</v>
      </c>
    </row>
    <row r="12122" spans="1:27" x14ac:dyDescent="0.35">
      <c r="A12122">
        <v>1010769</v>
      </c>
      <c r="B12122">
        <v>11410</v>
      </c>
      <c r="C12122">
        <v>1</v>
      </c>
      <c r="D12122" s="17" t="s">
        <v>17166</v>
      </c>
      <c r="E12122" s="17"/>
      <c r="F12122" s="17" t="s">
        <v>17246</v>
      </c>
      <c r="G12122" s="17"/>
      <c r="H12122" s="17" t="s">
        <v>23950</v>
      </c>
      <c r="I12122" s="17" t="s">
        <v>23956</v>
      </c>
      <c r="J12122" s="17" t="s">
        <v>24017</v>
      </c>
      <c r="K12122" s="17"/>
      <c r="L12122" s="17" t="s">
        <v>24262</v>
      </c>
      <c r="M12122" s="17"/>
      <c r="N12122" s="17" t="s">
        <v>25249</v>
      </c>
      <c r="O12122" s="17" t="s">
        <v>25320</v>
      </c>
      <c r="P12122" s="17" t="s">
        <v>25587</v>
      </c>
      <c r="Q12122" s="17"/>
      <c r="R12122" s="25" t="str">
        <f>HYPERLINK("https://ictv.global/taxonomy/taxondetails?taxnode_id=202301712","Ledantevirus kolente")</f>
        <v>Ledantevirus kolente</v>
      </c>
      <c r="S12122" s="18" t="s">
        <v>30</v>
      </c>
      <c r="T12122" s="18" t="s">
        <v>25619</v>
      </c>
      <c r="U12122" s="18" t="s">
        <v>25620</v>
      </c>
      <c r="V12122" s="18" t="s">
        <v>25621</v>
      </c>
      <c r="W12122" s="18" t="s">
        <v>25622</v>
      </c>
      <c r="X12122" s="18" t="s">
        <v>42</v>
      </c>
      <c r="Y12122" s="18" t="s">
        <v>23964</v>
      </c>
      <c r="Z12122" s="18" t="s">
        <v>166</v>
      </c>
      <c r="AA12122" s="21" t="str">
        <f>HYPERLINK("https://www.ncbi.nlm.nih.gov/nuccore/KC984953","NCBI Nucleotide")</f>
        <v>NCBI Nucleotide</v>
      </c>
    </row>
    <row r="12123" spans="1:27" x14ac:dyDescent="0.35">
      <c r="A12123">
        <v>1010770</v>
      </c>
      <c r="B12123">
        <v>11411</v>
      </c>
      <c r="C12123">
        <v>1</v>
      </c>
      <c r="D12123" s="17" t="s">
        <v>17166</v>
      </c>
      <c r="E12123" s="17"/>
      <c r="F12123" s="17" t="s">
        <v>17246</v>
      </c>
      <c r="G12123" s="17"/>
      <c r="H12123" s="17" t="s">
        <v>23950</v>
      </c>
      <c r="I12123" s="17" t="s">
        <v>23956</v>
      </c>
      <c r="J12123" s="17" t="s">
        <v>24017</v>
      </c>
      <c r="K12123" s="17"/>
      <c r="L12123" s="17" t="s">
        <v>24262</v>
      </c>
      <c r="M12123" s="17"/>
      <c r="N12123" s="17" t="s">
        <v>25249</v>
      </c>
      <c r="O12123" s="17" t="s">
        <v>25320</v>
      </c>
      <c r="P12123" s="17" t="s">
        <v>25587</v>
      </c>
      <c r="Q12123" s="17"/>
      <c r="R12123" s="25" t="str">
        <f>HYPERLINK("https://ictv.global/taxonomy/taxondetails?taxnode_id=202301713","Ledantevirus kumasi")</f>
        <v>Ledantevirus kumasi</v>
      </c>
      <c r="S12123" s="18" t="s">
        <v>30</v>
      </c>
      <c r="T12123" s="18" t="s">
        <v>25623</v>
      </c>
      <c r="U12123" s="18" t="s">
        <v>25624</v>
      </c>
      <c r="V12123" s="18" t="s">
        <v>25625</v>
      </c>
      <c r="W12123" s="18" t="s">
        <v>25626</v>
      </c>
      <c r="X12123" s="18" t="s">
        <v>35</v>
      </c>
      <c r="Y12123" s="18" t="s">
        <v>23964</v>
      </c>
      <c r="Z12123" s="18" t="s">
        <v>166</v>
      </c>
      <c r="AA12123" s="21" t="str">
        <f>HYPERLINK("https://www.ncbi.nlm.nih.gov/nuccore/KJ179955","NCBI Nucleotide")</f>
        <v>NCBI Nucleotide</v>
      </c>
    </row>
    <row r="12124" spans="1:27" x14ac:dyDescent="0.35">
      <c r="A12124">
        <v>1010771</v>
      </c>
      <c r="B12124">
        <v>11412</v>
      </c>
      <c r="C12124">
        <v>1</v>
      </c>
      <c r="D12124" s="17" t="s">
        <v>17166</v>
      </c>
      <c r="E12124" s="17"/>
      <c r="F12124" s="17" t="s">
        <v>17246</v>
      </c>
      <c r="G12124" s="17"/>
      <c r="H12124" s="17" t="s">
        <v>23950</v>
      </c>
      <c r="I12124" s="17" t="s">
        <v>23956</v>
      </c>
      <c r="J12124" s="17" t="s">
        <v>24017</v>
      </c>
      <c r="K12124" s="17"/>
      <c r="L12124" s="17" t="s">
        <v>24262</v>
      </c>
      <c r="M12124" s="17"/>
      <c r="N12124" s="17" t="s">
        <v>25249</v>
      </c>
      <c r="O12124" s="17" t="s">
        <v>25320</v>
      </c>
      <c r="P12124" s="17" t="s">
        <v>25587</v>
      </c>
      <c r="Q12124" s="17"/>
      <c r="R12124" s="25" t="str">
        <f>HYPERLINK("https://ictv.global/taxonomy/taxondetails?taxnode_id=202301714","Ledantevirus ledantec")</f>
        <v>Ledantevirus ledantec</v>
      </c>
      <c r="S12124" s="18" t="s">
        <v>30</v>
      </c>
      <c r="T12124" s="18" t="s">
        <v>25627</v>
      </c>
      <c r="U12124" s="18" t="s">
        <v>25628</v>
      </c>
      <c r="V12124" s="18" t="s">
        <v>25629</v>
      </c>
      <c r="W12124" s="18" t="s">
        <v>25630</v>
      </c>
      <c r="X12124" s="18" t="s">
        <v>35</v>
      </c>
      <c r="Y12124" s="18" t="s">
        <v>23964</v>
      </c>
      <c r="Z12124" s="18" t="s">
        <v>12289</v>
      </c>
      <c r="AA12124" s="21" t="str">
        <f>HYPERLINK("https://www.ncbi.nlm.nih.gov/nuccore/KM205006","NCBI Nucleotide")</f>
        <v>NCBI Nucleotide</v>
      </c>
    </row>
    <row r="12125" spans="1:27" x14ac:dyDescent="0.35">
      <c r="A12125">
        <v>1010772</v>
      </c>
      <c r="B12125">
        <v>11413</v>
      </c>
      <c r="C12125">
        <v>1</v>
      </c>
      <c r="D12125" s="17" t="s">
        <v>17166</v>
      </c>
      <c r="E12125" s="17"/>
      <c r="F12125" s="17" t="s">
        <v>17246</v>
      </c>
      <c r="G12125" s="17"/>
      <c r="H12125" s="17" t="s">
        <v>23950</v>
      </c>
      <c r="I12125" s="17" t="s">
        <v>23956</v>
      </c>
      <c r="J12125" s="17" t="s">
        <v>24017</v>
      </c>
      <c r="K12125" s="17"/>
      <c r="L12125" s="17" t="s">
        <v>24262</v>
      </c>
      <c r="M12125" s="17"/>
      <c r="N12125" s="17" t="s">
        <v>25249</v>
      </c>
      <c r="O12125" s="17" t="s">
        <v>25320</v>
      </c>
      <c r="P12125" s="17" t="s">
        <v>25587</v>
      </c>
      <c r="Q12125" s="17"/>
      <c r="R12125" s="25" t="str">
        <f>HYPERLINK("https://ictv.global/taxonomy/taxondetails?taxnode_id=202314156","Ledantevirus longquan")</f>
        <v>Ledantevirus longquan</v>
      </c>
      <c r="S12125" s="18" t="s">
        <v>30</v>
      </c>
      <c r="T12125" s="18" t="s">
        <v>25631</v>
      </c>
      <c r="U12125" s="18" t="s">
        <v>25632</v>
      </c>
      <c r="V12125" s="18" t="s">
        <v>25633</v>
      </c>
      <c r="W12125" s="18" t="s">
        <v>25634</v>
      </c>
      <c r="X12125" s="18" t="s">
        <v>35</v>
      </c>
      <c r="Y12125" s="18" t="s">
        <v>23964</v>
      </c>
      <c r="Z12125" s="18" t="s">
        <v>166</v>
      </c>
      <c r="AA12125" s="21" t="str">
        <f>HYPERLINK("https://www.ncbi.nlm.nih.gov/nuccore/MZ328293","NCBI Nucleotide")</f>
        <v>NCBI Nucleotide</v>
      </c>
    </row>
    <row r="12126" spans="1:27" x14ac:dyDescent="0.35">
      <c r="A12126">
        <v>1010773</v>
      </c>
      <c r="B12126">
        <v>11414</v>
      </c>
      <c r="C12126">
        <v>1</v>
      </c>
      <c r="D12126" s="17" t="s">
        <v>17166</v>
      </c>
      <c r="E12126" s="17"/>
      <c r="F12126" s="17" t="s">
        <v>17246</v>
      </c>
      <c r="G12126" s="17"/>
      <c r="H12126" s="17" t="s">
        <v>23950</v>
      </c>
      <c r="I12126" s="17" t="s">
        <v>23956</v>
      </c>
      <c r="J12126" s="17" t="s">
        <v>24017</v>
      </c>
      <c r="K12126" s="17"/>
      <c r="L12126" s="17" t="s">
        <v>24262</v>
      </c>
      <c r="M12126" s="17"/>
      <c r="N12126" s="17" t="s">
        <v>25249</v>
      </c>
      <c r="O12126" s="17" t="s">
        <v>25320</v>
      </c>
      <c r="P12126" s="17" t="s">
        <v>25587</v>
      </c>
      <c r="Q12126" s="17"/>
      <c r="R12126" s="25" t="str">
        <f>HYPERLINK("https://ictv.global/taxonomy/taxondetails?taxnode_id=202301716","Ledantevirus nishimuro")</f>
        <v>Ledantevirus nishimuro</v>
      </c>
      <c r="S12126" s="18" t="s">
        <v>30</v>
      </c>
      <c r="T12126" s="18" t="s">
        <v>25635</v>
      </c>
      <c r="U12126" s="18" t="s">
        <v>25636</v>
      </c>
      <c r="V12126" s="18"/>
      <c r="W12126" s="18" t="s">
        <v>25637</v>
      </c>
      <c r="X12126" s="18" t="s">
        <v>35</v>
      </c>
      <c r="Y12126" s="18" t="s">
        <v>23964</v>
      </c>
      <c r="Z12126" s="18" t="s">
        <v>166</v>
      </c>
      <c r="AA12126" s="21" t="str">
        <f>HYPERLINK("https://www.ncbi.nlm.nih.gov/nuccore/AB609604","NCBI Nucleotide")</f>
        <v>NCBI Nucleotide</v>
      </c>
    </row>
    <row r="12127" spans="1:27" x14ac:dyDescent="0.35">
      <c r="A12127">
        <v>1010774</v>
      </c>
      <c r="B12127">
        <v>11415</v>
      </c>
      <c r="C12127">
        <v>1</v>
      </c>
      <c r="D12127" s="17" t="s">
        <v>17166</v>
      </c>
      <c r="E12127" s="17"/>
      <c r="F12127" s="17" t="s">
        <v>17246</v>
      </c>
      <c r="G12127" s="17"/>
      <c r="H12127" s="17" t="s">
        <v>23950</v>
      </c>
      <c r="I12127" s="17" t="s">
        <v>23956</v>
      </c>
      <c r="J12127" s="17" t="s">
        <v>24017</v>
      </c>
      <c r="K12127" s="17"/>
      <c r="L12127" s="17" t="s">
        <v>24262</v>
      </c>
      <c r="M12127" s="17"/>
      <c r="N12127" s="17" t="s">
        <v>25249</v>
      </c>
      <c r="O12127" s="17" t="s">
        <v>25320</v>
      </c>
      <c r="P12127" s="17" t="s">
        <v>25587</v>
      </c>
      <c r="Q12127" s="17"/>
      <c r="R12127" s="25" t="str">
        <f>HYPERLINK("https://ictv.global/taxonomy/taxondetails?taxnode_id=202301717","Ledantevirus nkolbisson")</f>
        <v>Ledantevirus nkolbisson</v>
      </c>
      <c r="S12127" s="18" t="s">
        <v>30</v>
      </c>
      <c r="T12127" s="18" t="s">
        <v>25638</v>
      </c>
      <c r="U12127" s="18" t="s">
        <v>25639</v>
      </c>
      <c r="V12127" s="18" t="s">
        <v>25640</v>
      </c>
      <c r="W12127" s="18" t="s">
        <v>25641</v>
      </c>
      <c r="X12127" s="18" t="s">
        <v>35</v>
      </c>
      <c r="Y12127" s="18" t="s">
        <v>23964</v>
      </c>
      <c r="Z12127" s="18" t="s">
        <v>12289</v>
      </c>
      <c r="AA12127" s="21" t="str">
        <f>HYPERLINK("https://www.ncbi.nlm.nih.gov/nuccore/KM205017","NCBI Nucleotide")</f>
        <v>NCBI Nucleotide</v>
      </c>
    </row>
    <row r="12128" spans="1:27" x14ac:dyDescent="0.35">
      <c r="A12128">
        <v>1010775</v>
      </c>
      <c r="B12128">
        <v>11416</v>
      </c>
      <c r="C12128">
        <v>1</v>
      </c>
      <c r="D12128" s="17" t="s">
        <v>17166</v>
      </c>
      <c r="E12128" s="17"/>
      <c r="F12128" s="17" t="s">
        <v>17246</v>
      </c>
      <c r="G12128" s="17"/>
      <c r="H12128" s="17" t="s">
        <v>23950</v>
      </c>
      <c r="I12128" s="17" t="s">
        <v>23956</v>
      </c>
      <c r="J12128" s="17" t="s">
        <v>24017</v>
      </c>
      <c r="K12128" s="17"/>
      <c r="L12128" s="17" t="s">
        <v>24262</v>
      </c>
      <c r="M12128" s="17"/>
      <c r="N12128" s="17" t="s">
        <v>25249</v>
      </c>
      <c r="O12128" s="17" t="s">
        <v>25320</v>
      </c>
      <c r="P12128" s="17" t="s">
        <v>25587</v>
      </c>
      <c r="Q12128" s="17"/>
      <c r="R12128" s="25" t="str">
        <f>HYPERLINK("https://ictv.global/taxonomy/taxondetails?taxnode_id=202301718","Ledantevirus oita")</f>
        <v>Ledantevirus oita</v>
      </c>
      <c r="S12128" s="18" t="s">
        <v>30</v>
      </c>
      <c r="T12128" s="18" t="s">
        <v>25642</v>
      </c>
      <c r="U12128" s="18" t="s">
        <v>25643</v>
      </c>
      <c r="V12128" s="18" t="s">
        <v>25644</v>
      </c>
      <c r="W12128" s="18" t="s">
        <v>25645</v>
      </c>
      <c r="X12128" s="18" t="s">
        <v>35</v>
      </c>
      <c r="Y12128" s="18" t="s">
        <v>23964</v>
      </c>
      <c r="Z12128" s="18" t="s">
        <v>166</v>
      </c>
      <c r="AA12128" s="21" t="str">
        <f>HYPERLINK("https://www.ncbi.nlm.nih.gov/nuccore/KM204998","NCBI Nucleotide")</f>
        <v>NCBI Nucleotide</v>
      </c>
    </row>
    <row r="12129" spans="1:27" x14ac:dyDescent="0.35">
      <c r="A12129">
        <v>1010776</v>
      </c>
      <c r="B12129">
        <v>11417</v>
      </c>
      <c r="C12129">
        <v>1</v>
      </c>
      <c r="D12129" s="17" t="s">
        <v>17166</v>
      </c>
      <c r="E12129" s="17"/>
      <c r="F12129" s="17" t="s">
        <v>17246</v>
      </c>
      <c r="G12129" s="17"/>
      <c r="H12129" s="17" t="s">
        <v>23950</v>
      </c>
      <c r="I12129" s="17" t="s">
        <v>23956</v>
      </c>
      <c r="J12129" s="17" t="s">
        <v>24017</v>
      </c>
      <c r="K12129" s="17"/>
      <c r="L12129" s="17" t="s">
        <v>24262</v>
      </c>
      <c r="M12129" s="17"/>
      <c r="N12129" s="17" t="s">
        <v>25249</v>
      </c>
      <c r="O12129" s="17" t="s">
        <v>25320</v>
      </c>
      <c r="P12129" s="17" t="s">
        <v>25587</v>
      </c>
      <c r="Q12129" s="17"/>
      <c r="R12129" s="25" t="str">
        <f>HYPERLINK("https://ictv.global/taxonomy/taxondetails?taxnode_id=202313325","Ledantevirus taiyi")</f>
        <v>Ledantevirus taiyi</v>
      </c>
      <c r="S12129" s="18" t="s">
        <v>30</v>
      </c>
      <c r="T12129" s="18" t="s">
        <v>25646</v>
      </c>
      <c r="U12129" s="18" t="s">
        <v>25647</v>
      </c>
      <c r="V12129" s="18">
        <v>958</v>
      </c>
      <c r="W12129" s="18" t="s">
        <v>25648</v>
      </c>
      <c r="X12129" s="18" t="s">
        <v>35</v>
      </c>
      <c r="Y12129" s="18" t="s">
        <v>23964</v>
      </c>
      <c r="Z12129" s="18" t="s">
        <v>166</v>
      </c>
      <c r="AA12129" s="21" t="str">
        <f>HYPERLINK("https://www.ncbi.nlm.nih.gov/nuccore/MN607592","NCBI Nucleotide")</f>
        <v>NCBI Nucleotide</v>
      </c>
    </row>
    <row r="12130" spans="1:27" x14ac:dyDescent="0.35">
      <c r="A12130">
        <v>1027776</v>
      </c>
      <c r="B12130">
        <v>11418</v>
      </c>
      <c r="C12130">
        <v>1</v>
      </c>
      <c r="D12130" s="17" t="s">
        <v>17166</v>
      </c>
      <c r="E12130" s="17"/>
      <c r="F12130" s="17" t="s">
        <v>17246</v>
      </c>
      <c r="G12130" s="17"/>
      <c r="H12130" s="17" t="s">
        <v>23950</v>
      </c>
      <c r="I12130" s="17" t="s">
        <v>23956</v>
      </c>
      <c r="J12130" s="17" t="s">
        <v>24017</v>
      </c>
      <c r="K12130" s="17"/>
      <c r="L12130" s="17" t="s">
        <v>24262</v>
      </c>
      <c r="M12130" s="17"/>
      <c r="N12130" s="17" t="s">
        <v>25249</v>
      </c>
      <c r="O12130" s="17" t="s">
        <v>25320</v>
      </c>
      <c r="P12130" s="17" t="s">
        <v>25587</v>
      </c>
      <c r="Q12130" s="17"/>
      <c r="R12130" s="25" t="str">
        <f>HYPERLINK("https://ictv.global/taxonomy/taxondetails?taxnode_id=202317778","Ledantevirus tongren")</f>
        <v>Ledantevirus tongren</v>
      </c>
      <c r="S12130" s="18" t="s">
        <v>30</v>
      </c>
      <c r="T12130" s="18" t="s">
        <v>50912</v>
      </c>
      <c r="U12130" s="18" t="s">
        <v>46657</v>
      </c>
      <c r="V12130" s="18" t="s">
        <v>46413</v>
      </c>
      <c r="W12130" s="18" t="s">
        <v>46658</v>
      </c>
      <c r="X12130" s="18" t="s">
        <v>35</v>
      </c>
      <c r="Y12130" s="18" t="s">
        <v>23964</v>
      </c>
      <c r="Z12130" s="18" t="s">
        <v>17413</v>
      </c>
      <c r="AA12130" s="21" t="str">
        <f>HYPERLINK("https://www.ncbi.nlm.nih.gov/nuccore/ON746534","NCBI Nucleotide")</f>
        <v>NCBI Nucleotide</v>
      </c>
    </row>
    <row r="12131" spans="1:27" x14ac:dyDescent="0.35">
      <c r="A12131">
        <v>1010777</v>
      </c>
      <c r="B12131">
        <v>11419</v>
      </c>
      <c r="C12131">
        <v>1</v>
      </c>
      <c r="D12131" s="17" t="s">
        <v>17166</v>
      </c>
      <c r="E12131" s="17"/>
      <c r="F12131" s="17" t="s">
        <v>17246</v>
      </c>
      <c r="G12131" s="17"/>
      <c r="H12131" s="17" t="s">
        <v>23950</v>
      </c>
      <c r="I12131" s="17" t="s">
        <v>23956</v>
      </c>
      <c r="J12131" s="17" t="s">
        <v>24017</v>
      </c>
      <c r="K12131" s="17"/>
      <c r="L12131" s="17" t="s">
        <v>24262</v>
      </c>
      <c r="M12131" s="17"/>
      <c r="N12131" s="17" t="s">
        <v>25249</v>
      </c>
      <c r="O12131" s="17" t="s">
        <v>25320</v>
      </c>
      <c r="P12131" s="17" t="s">
        <v>25587</v>
      </c>
      <c r="Q12131" s="17"/>
      <c r="R12131" s="25" t="str">
        <f>HYPERLINK("https://ictv.global/taxonomy/taxondetails?taxnode_id=202306313","Ledantevirus vaprio")</f>
        <v>Ledantevirus vaprio</v>
      </c>
      <c r="S12131" s="18" t="s">
        <v>30</v>
      </c>
      <c r="T12131" s="18" t="s">
        <v>25649</v>
      </c>
      <c r="U12131" s="18" t="s">
        <v>25650</v>
      </c>
      <c r="V12131" s="18" t="s">
        <v>25651</v>
      </c>
      <c r="W12131" s="18" t="s">
        <v>25652</v>
      </c>
      <c r="X12131" s="18" t="s">
        <v>42</v>
      </c>
      <c r="Y12131" s="18" t="s">
        <v>23964</v>
      </c>
      <c r="Z12131" s="18" t="s">
        <v>166</v>
      </c>
      <c r="AA12131" s="21" t="str">
        <f>HYPERLINK("https://www.ncbi.nlm.nih.gov/nuccore/MG021441","NCBI Nucleotide")</f>
        <v>NCBI Nucleotide</v>
      </c>
    </row>
    <row r="12132" spans="1:27" x14ac:dyDescent="0.35">
      <c r="A12132">
        <v>1010778</v>
      </c>
      <c r="B12132">
        <v>11420</v>
      </c>
      <c r="C12132">
        <v>1</v>
      </c>
      <c r="D12132" s="17" t="s">
        <v>17166</v>
      </c>
      <c r="E12132" s="17"/>
      <c r="F12132" s="17" t="s">
        <v>17246</v>
      </c>
      <c r="G12132" s="17"/>
      <c r="H12132" s="17" t="s">
        <v>23950</v>
      </c>
      <c r="I12132" s="17" t="s">
        <v>23956</v>
      </c>
      <c r="J12132" s="17" t="s">
        <v>24017</v>
      </c>
      <c r="K12132" s="17"/>
      <c r="L12132" s="17" t="s">
        <v>24262</v>
      </c>
      <c r="M12132" s="17"/>
      <c r="N12132" s="17" t="s">
        <v>25249</v>
      </c>
      <c r="O12132" s="17" t="s">
        <v>25320</v>
      </c>
      <c r="P12132" s="17" t="s">
        <v>25587</v>
      </c>
      <c r="Q12132" s="17"/>
      <c r="R12132" s="25" t="str">
        <f>HYPERLINK("https://ictv.global/taxonomy/taxondetails?taxnode_id=202314155","Ledantevirus wenzhou")</f>
        <v>Ledantevirus wenzhou</v>
      </c>
      <c r="S12132" s="18" t="s">
        <v>30</v>
      </c>
      <c r="T12132" s="18" t="s">
        <v>25653</v>
      </c>
      <c r="U12132" s="18" t="s">
        <v>25654</v>
      </c>
      <c r="V12132" s="18" t="s">
        <v>25655</v>
      </c>
      <c r="W12132" s="18" t="s">
        <v>25656</v>
      </c>
      <c r="X12132" s="18" t="s">
        <v>35</v>
      </c>
      <c r="Y12132" s="18" t="s">
        <v>23964</v>
      </c>
      <c r="Z12132" s="18" t="s">
        <v>166</v>
      </c>
      <c r="AA12132" s="21" t="str">
        <f>HYPERLINK("https://www.ncbi.nlm.nih.gov/nuccore/OM030289","NCBI Nucleotide")</f>
        <v>NCBI Nucleotide</v>
      </c>
    </row>
    <row r="12133" spans="1:27" x14ac:dyDescent="0.35">
      <c r="A12133">
        <v>1010779</v>
      </c>
      <c r="B12133">
        <v>11421</v>
      </c>
      <c r="C12133">
        <v>1</v>
      </c>
      <c r="D12133" s="17" t="s">
        <v>17166</v>
      </c>
      <c r="E12133" s="17"/>
      <c r="F12133" s="17" t="s">
        <v>17246</v>
      </c>
      <c r="G12133" s="17"/>
      <c r="H12133" s="17" t="s">
        <v>23950</v>
      </c>
      <c r="I12133" s="17" t="s">
        <v>23956</v>
      </c>
      <c r="J12133" s="17" t="s">
        <v>24017</v>
      </c>
      <c r="K12133" s="17"/>
      <c r="L12133" s="17" t="s">
        <v>24262</v>
      </c>
      <c r="M12133" s="17"/>
      <c r="N12133" s="17" t="s">
        <v>25249</v>
      </c>
      <c r="O12133" s="17" t="s">
        <v>25320</v>
      </c>
      <c r="P12133" s="17" t="s">
        <v>25587</v>
      </c>
      <c r="Q12133" s="17"/>
      <c r="R12133" s="25" t="str">
        <f>HYPERLINK("https://ictv.global/taxonomy/taxondetails?taxnode_id=202301719","Ledantevirus wuhan")</f>
        <v>Ledantevirus wuhan</v>
      </c>
      <c r="S12133" s="18" t="s">
        <v>30</v>
      </c>
      <c r="T12133" s="18" t="s">
        <v>25657</v>
      </c>
      <c r="U12133" s="18" t="s">
        <v>25658</v>
      </c>
      <c r="V12133" s="18" t="s">
        <v>25659</v>
      </c>
      <c r="W12133" s="18" t="s">
        <v>25660</v>
      </c>
      <c r="X12133" s="18" t="s">
        <v>35</v>
      </c>
      <c r="Y12133" s="18" t="s">
        <v>23964</v>
      </c>
      <c r="Z12133" s="18" t="s">
        <v>10790</v>
      </c>
      <c r="AA12133" s="21" t="str">
        <f>HYPERLINK("https://www.ncbi.nlm.nih.gov/nuccore/KM817654","NCBI Nucleotide")</f>
        <v>NCBI Nucleotide</v>
      </c>
    </row>
    <row r="12134" spans="1:27" x14ac:dyDescent="0.35">
      <c r="A12134">
        <v>1010780</v>
      </c>
      <c r="B12134">
        <v>11422</v>
      </c>
      <c r="C12134">
        <v>1</v>
      </c>
      <c r="D12134" s="17" t="s">
        <v>17166</v>
      </c>
      <c r="E12134" s="17"/>
      <c r="F12134" s="17" t="s">
        <v>17246</v>
      </c>
      <c r="G12134" s="17"/>
      <c r="H12134" s="17" t="s">
        <v>23950</v>
      </c>
      <c r="I12134" s="17" t="s">
        <v>23956</v>
      </c>
      <c r="J12134" s="17" t="s">
        <v>24017</v>
      </c>
      <c r="K12134" s="17"/>
      <c r="L12134" s="17" t="s">
        <v>24262</v>
      </c>
      <c r="M12134" s="17"/>
      <c r="N12134" s="17" t="s">
        <v>25249</v>
      </c>
      <c r="O12134" s="17" t="s">
        <v>25320</v>
      </c>
      <c r="P12134" s="17" t="s">
        <v>25587</v>
      </c>
      <c r="Q12134" s="17"/>
      <c r="R12134" s="25" t="str">
        <f>HYPERLINK("https://ictv.global/taxonomy/taxondetails?taxnode_id=202301720","Ledantevirus yongjia")</f>
        <v>Ledantevirus yongjia</v>
      </c>
      <c r="S12134" s="18" t="s">
        <v>30</v>
      </c>
      <c r="T12134" s="18" t="s">
        <v>25661</v>
      </c>
      <c r="U12134" s="18" t="s">
        <v>25662</v>
      </c>
      <c r="V12134" s="18" t="s">
        <v>25663</v>
      </c>
      <c r="W12134" s="18" t="s">
        <v>25664</v>
      </c>
      <c r="X12134" s="18" t="s">
        <v>35</v>
      </c>
      <c r="Y12134" s="18" t="s">
        <v>23964</v>
      </c>
      <c r="Z12134" s="18" t="s">
        <v>10790</v>
      </c>
      <c r="AA12134" s="21" t="str">
        <f>HYPERLINK("https://www.ncbi.nlm.nih.gov/nuccore/KM817662","NCBI Nucleotide")</f>
        <v>NCBI Nucleotide</v>
      </c>
    </row>
    <row r="12135" spans="1:27" x14ac:dyDescent="0.35">
      <c r="A12135">
        <v>1027771</v>
      </c>
      <c r="B12135">
        <v>11423</v>
      </c>
      <c r="C12135">
        <v>1</v>
      </c>
      <c r="D12135" s="17" t="s">
        <v>17166</v>
      </c>
      <c r="E12135" s="17"/>
      <c r="F12135" s="17" t="s">
        <v>17246</v>
      </c>
      <c r="G12135" s="17"/>
      <c r="H12135" s="17" t="s">
        <v>23950</v>
      </c>
      <c r="I12135" s="17" t="s">
        <v>23956</v>
      </c>
      <c r="J12135" s="17" t="s">
        <v>24017</v>
      </c>
      <c r="K12135" s="17"/>
      <c r="L12135" s="17" t="s">
        <v>24262</v>
      </c>
      <c r="M12135" s="17"/>
      <c r="N12135" s="17" t="s">
        <v>25249</v>
      </c>
      <c r="O12135" s="17" t="s">
        <v>25320</v>
      </c>
      <c r="P12135" s="17" t="s">
        <v>25665</v>
      </c>
      <c r="Q12135" s="17"/>
      <c r="R12135" s="25" t="str">
        <f>HYPERLINK("https://ictv.global/taxonomy/taxondetails?taxnode_id=202317779","Lostrhavirus alxa")</f>
        <v>Lostrhavirus alxa</v>
      </c>
      <c r="S12135" s="18" t="s">
        <v>30</v>
      </c>
      <c r="T12135" s="18" t="s">
        <v>46659</v>
      </c>
      <c r="U12135" s="18" t="s">
        <v>46660</v>
      </c>
      <c r="V12135" s="18" t="s">
        <v>46661</v>
      </c>
      <c r="W12135" s="18" t="s">
        <v>46662</v>
      </c>
      <c r="X12135" s="18" t="s">
        <v>35</v>
      </c>
      <c r="Y12135" s="18" t="s">
        <v>23964</v>
      </c>
      <c r="Z12135" s="18" t="s">
        <v>17413</v>
      </c>
      <c r="AA12135" s="21" t="str">
        <f>HYPERLINK("https://www.ncbi.nlm.nih.gov/nuccore/OP313011","NCBI Nucleotide")</f>
        <v>NCBI Nucleotide</v>
      </c>
    </row>
    <row r="12136" spans="1:27" x14ac:dyDescent="0.35">
      <c r="A12136">
        <v>1010781</v>
      </c>
      <c r="B12136">
        <v>11424</v>
      </c>
      <c r="C12136">
        <v>1</v>
      </c>
      <c r="D12136" s="17" t="s">
        <v>17166</v>
      </c>
      <c r="E12136" s="17"/>
      <c r="F12136" s="17" t="s">
        <v>17246</v>
      </c>
      <c r="G12136" s="17"/>
      <c r="H12136" s="17" t="s">
        <v>23950</v>
      </c>
      <c r="I12136" s="17" t="s">
        <v>23956</v>
      </c>
      <c r="J12136" s="17" t="s">
        <v>24017</v>
      </c>
      <c r="K12136" s="17"/>
      <c r="L12136" s="17" t="s">
        <v>24262</v>
      </c>
      <c r="M12136" s="17"/>
      <c r="N12136" s="17" t="s">
        <v>25249</v>
      </c>
      <c r="O12136" s="17" t="s">
        <v>25320</v>
      </c>
      <c r="P12136" s="17" t="s">
        <v>25665</v>
      </c>
      <c r="Q12136" s="17"/>
      <c r="R12136" s="25" t="str">
        <f>HYPERLINK("https://ictv.global/taxonomy/taxondetails?taxnode_id=202309258","Lostrhavirus hyalomma")</f>
        <v>Lostrhavirus hyalomma</v>
      </c>
      <c r="S12136" s="18" t="s">
        <v>30</v>
      </c>
      <c r="T12136" s="18" t="s">
        <v>25666</v>
      </c>
      <c r="U12136" s="18" t="s">
        <v>25667</v>
      </c>
      <c r="V12136" s="18" t="s">
        <v>25668</v>
      </c>
      <c r="W12136" s="18" t="s">
        <v>25669</v>
      </c>
      <c r="X12136" s="18" t="s">
        <v>35</v>
      </c>
      <c r="Y12136" s="18" t="s">
        <v>23964</v>
      </c>
      <c r="Z12136" s="18" t="s">
        <v>10790</v>
      </c>
      <c r="AA12136" s="21" t="str">
        <f>HYPERLINK("https://www.ncbi.nlm.nih.gov/nuccore/MH688524","NCBI Nucleotide")</f>
        <v>NCBI Nucleotide</v>
      </c>
    </row>
    <row r="12137" spans="1:27" x14ac:dyDescent="0.35">
      <c r="A12137">
        <v>1010782</v>
      </c>
      <c r="B12137">
        <v>11425</v>
      </c>
      <c r="C12137">
        <v>1</v>
      </c>
      <c r="D12137" s="17" t="s">
        <v>17166</v>
      </c>
      <c r="E12137" s="17"/>
      <c r="F12137" s="17" t="s">
        <v>17246</v>
      </c>
      <c r="G12137" s="17"/>
      <c r="H12137" s="17" t="s">
        <v>23950</v>
      </c>
      <c r="I12137" s="17" t="s">
        <v>23956</v>
      </c>
      <c r="J12137" s="17" t="s">
        <v>24017</v>
      </c>
      <c r="K12137" s="17"/>
      <c r="L12137" s="17" t="s">
        <v>24262</v>
      </c>
      <c r="M12137" s="17"/>
      <c r="N12137" s="17" t="s">
        <v>25249</v>
      </c>
      <c r="O12137" s="17" t="s">
        <v>25320</v>
      </c>
      <c r="P12137" s="17" t="s">
        <v>25665</v>
      </c>
      <c r="Q12137" s="17"/>
      <c r="R12137" s="25" t="str">
        <f>HYPERLINK("https://ictv.global/taxonomy/taxondetails?taxnode_id=202307391","Lostrhavirus lonestar")</f>
        <v>Lostrhavirus lonestar</v>
      </c>
      <c r="S12137" s="18" t="s">
        <v>30</v>
      </c>
      <c r="T12137" s="18" t="s">
        <v>25670</v>
      </c>
      <c r="U12137" s="18" t="s">
        <v>25671</v>
      </c>
      <c r="V12137" s="18" t="s">
        <v>25672</v>
      </c>
      <c r="W12137" s="18" t="s">
        <v>25673</v>
      </c>
      <c r="X12137" s="18" t="s">
        <v>35</v>
      </c>
      <c r="Y12137" s="18" t="s">
        <v>23964</v>
      </c>
      <c r="Z12137" s="18" t="s">
        <v>10790</v>
      </c>
      <c r="AA12137" s="21" t="str">
        <f>HYPERLINK("https://www.ncbi.nlm.nih.gov/nuccore/KU127239","NCBI Nucleotide")</f>
        <v>NCBI Nucleotide</v>
      </c>
    </row>
    <row r="12138" spans="1:27" x14ac:dyDescent="0.35">
      <c r="A12138">
        <v>1010783</v>
      </c>
      <c r="B12138">
        <v>11426</v>
      </c>
      <c r="C12138">
        <v>1</v>
      </c>
      <c r="D12138" s="17" t="s">
        <v>17166</v>
      </c>
      <c r="E12138" s="17"/>
      <c r="F12138" s="17" t="s">
        <v>17246</v>
      </c>
      <c r="G12138" s="17"/>
      <c r="H12138" s="17" t="s">
        <v>23950</v>
      </c>
      <c r="I12138" s="17" t="s">
        <v>23956</v>
      </c>
      <c r="J12138" s="17" t="s">
        <v>24017</v>
      </c>
      <c r="K12138" s="17"/>
      <c r="L12138" s="17" t="s">
        <v>24262</v>
      </c>
      <c r="M12138" s="17"/>
      <c r="N12138" s="17" t="s">
        <v>25249</v>
      </c>
      <c r="O12138" s="17" t="s">
        <v>25320</v>
      </c>
      <c r="P12138" s="17" t="s">
        <v>25674</v>
      </c>
      <c r="Q12138" s="17"/>
      <c r="R12138" s="25" t="str">
        <f>HYPERLINK("https://ictv.global/taxonomy/taxondetails?taxnode_id=202301722","Lyssavirus aravan")</f>
        <v>Lyssavirus aravan</v>
      </c>
      <c r="S12138" s="18" t="s">
        <v>30</v>
      </c>
      <c r="T12138" s="18" t="s">
        <v>25675</v>
      </c>
      <c r="U12138" s="18" t="s">
        <v>25676</v>
      </c>
      <c r="V12138" s="18"/>
      <c r="W12138" s="18" t="s">
        <v>25677</v>
      </c>
      <c r="X12138" s="18" t="s">
        <v>42</v>
      </c>
      <c r="Y12138" s="18" t="s">
        <v>23964</v>
      </c>
      <c r="Z12138" s="18" t="s">
        <v>166</v>
      </c>
      <c r="AA12138" s="21" t="str">
        <f>HYPERLINK("https://www.ncbi.nlm.nih.gov/nuccore/EF614259","NCBI Nucleotide")</f>
        <v>NCBI Nucleotide</v>
      </c>
    </row>
    <row r="12139" spans="1:27" x14ac:dyDescent="0.35">
      <c r="A12139">
        <v>1010784</v>
      </c>
      <c r="B12139">
        <v>11427</v>
      </c>
      <c r="C12139">
        <v>1</v>
      </c>
      <c r="D12139" s="17" t="s">
        <v>17166</v>
      </c>
      <c r="E12139" s="17"/>
      <c r="F12139" s="17" t="s">
        <v>17246</v>
      </c>
      <c r="G12139" s="17"/>
      <c r="H12139" s="17" t="s">
        <v>23950</v>
      </c>
      <c r="I12139" s="17" t="s">
        <v>23956</v>
      </c>
      <c r="J12139" s="17" t="s">
        <v>24017</v>
      </c>
      <c r="K12139" s="17"/>
      <c r="L12139" s="17" t="s">
        <v>24262</v>
      </c>
      <c r="M12139" s="17"/>
      <c r="N12139" s="17" t="s">
        <v>25249</v>
      </c>
      <c r="O12139" s="17" t="s">
        <v>25320</v>
      </c>
      <c r="P12139" s="17" t="s">
        <v>25674</v>
      </c>
      <c r="Q12139" s="17"/>
      <c r="R12139" s="25" t="str">
        <f>HYPERLINK("https://ictv.global/taxonomy/taxondetails?taxnode_id=202301723","Lyssavirus australis")</f>
        <v>Lyssavirus australis</v>
      </c>
      <c r="S12139" s="18" t="s">
        <v>30</v>
      </c>
      <c r="T12139" s="18" t="s">
        <v>25678</v>
      </c>
      <c r="U12139" s="18" t="s">
        <v>25679</v>
      </c>
      <c r="V12139" s="18" t="s">
        <v>25680</v>
      </c>
      <c r="W12139" s="18" t="s">
        <v>25681</v>
      </c>
      <c r="X12139" s="18" t="s">
        <v>35</v>
      </c>
      <c r="Y12139" s="18" t="s">
        <v>23964</v>
      </c>
      <c r="Z12139" s="18" t="s">
        <v>166</v>
      </c>
      <c r="AA12139" s="21" t="str">
        <f>HYPERLINK("https://www.ncbi.nlm.nih.gov/nuccore/AF081020","NCBI Nucleotide")</f>
        <v>NCBI Nucleotide</v>
      </c>
    </row>
    <row r="12140" spans="1:27" x14ac:dyDescent="0.35">
      <c r="A12140">
        <v>1010785</v>
      </c>
      <c r="B12140">
        <v>11428</v>
      </c>
      <c r="C12140">
        <v>1</v>
      </c>
      <c r="D12140" s="17" t="s">
        <v>17166</v>
      </c>
      <c r="E12140" s="17"/>
      <c r="F12140" s="17" t="s">
        <v>17246</v>
      </c>
      <c r="G12140" s="17"/>
      <c r="H12140" s="17" t="s">
        <v>23950</v>
      </c>
      <c r="I12140" s="17" t="s">
        <v>23956</v>
      </c>
      <c r="J12140" s="17" t="s">
        <v>24017</v>
      </c>
      <c r="K12140" s="17"/>
      <c r="L12140" s="17" t="s">
        <v>24262</v>
      </c>
      <c r="M12140" s="17"/>
      <c r="N12140" s="17" t="s">
        <v>25249</v>
      </c>
      <c r="O12140" s="17" t="s">
        <v>25320</v>
      </c>
      <c r="P12140" s="17" t="s">
        <v>25674</v>
      </c>
      <c r="Q12140" s="17"/>
      <c r="R12140" s="25" t="str">
        <f>HYPERLINK("https://ictv.global/taxonomy/taxondetails?taxnode_id=202301724","Lyssavirus bokeloh")</f>
        <v>Lyssavirus bokeloh</v>
      </c>
      <c r="S12140" s="18" t="s">
        <v>30</v>
      </c>
      <c r="T12140" s="18" t="s">
        <v>25682</v>
      </c>
      <c r="U12140" s="18" t="s">
        <v>25683</v>
      </c>
      <c r="V12140" s="18">
        <v>21961</v>
      </c>
      <c r="W12140" s="18" t="s">
        <v>25684</v>
      </c>
      <c r="X12140" s="18" t="s">
        <v>42</v>
      </c>
      <c r="Y12140" s="18" t="s">
        <v>23964</v>
      </c>
      <c r="Z12140" s="18" t="s">
        <v>166</v>
      </c>
      <c r="AA12140" s="21" t="str">
        <f>HYPERLINK("https://www.ncbi.nlm.nih.gov/nuccore/JF311903","NCBI Nucleotide")</f>
        <v>NCBI Nucleotide</v>
      </c>
    </row>
    <row r="12141" spans="1:27" x14ac:dyDescent="0.35">
      <c r="A12141">
        <v>1010786</v>
      </c>
      <c r="B12141">
        <v>11429</v>
      </c>
      <c r="C12141">
        <v>1</v>
      </c>
      <c r="D12141" s="17" t="s">
        <v>17166</v>
      </c>
      <c r="E12141" s="17"/>
      <c r="F12141" s="17" t="s">
        <v>17246</v>
      </c>
      <c r="G12141" s="17"/>
      <c r="H12141" s="17" t="s">
        <v>23950</v>
      </c>
      <c r="I12141" s="17" t="s">
        <v>23956</v>
      </c>
      <c r="J12141" s="17" t="s">
        <v>24017</v>
      </c>
      <c r="K12141" s="17"/>
      <c r="L12141" s="17" t="s">
        <v>24262</v>
      </c>
      <c r="M12141" s="17"/>
      <c r="N12141" s="17" t="s">
        <v>25249</v>
      </c>
      <c r="O12141" s="17" t="s">
        <v>25320</v>
      </c>
      <c r="P12141" s="17" t="s">
        <v>25674</v>
      </c>
      <c r="Q12141" s="17"/>
      <c r="R12141" s="25" t="str">
        <f>HYPERLINK("https://ictv.global/taxonomy/taxondetails?taxnode_id=202301735","Lyssavirus caucasicus")</f>
        <v>Lyssavirus caucasicus</v>
      </c>
      <c r="S12141" s="18" t="s">
        <v>30</v>
      </c>
      <c r="T12141" s="18" t="s">
        <v>25685</v>
      </c>
      <c r="U12141" s="18" t="s">
        <v>25686</v>
      </c>
      <c r="V12141" s="18"/>
      <c r="W12141" s="18" t="s">
        <v>25687</v>
      </c>
      <c r="X12141" s="18" t="s">
        <v>42</v>
      </c>
      <c r="Y12141" s="18" t="s">
        <v>23964</v>
      </c>
      <c r="Z12141" s="18" t="s">
        <v>166</v>
      </c>
      <c r="AA12141" s="21" t="str">
        <f>HYPERLINK("https://www.ncbi.nlm.nih.gov/nuccore/EF614258","NCBI Nucleotide")</f>
        <v>NCBI Nucleotide</v>
      </c>
    </row>
    <row r="12142" spans="1:27" x14ac:dyDescent="0.35">
      <c r="A12142">
        <v>1010787</v>
      </c>
      <c r="B12142">
        <v>11430</v>
      </c>
      <c r="C12142">
        <v>1</v>
      </c>
      <c r="D12142" s="17" t="s">
        <v>17166</v>
      </c>
      <c r="E12142" s="17"/>
      <c r="F12142" s="17" t="s">
        <v>17246</v>
      </c>
      <c r="G12142" s="17"/>
      <c r="H12142" s="17" t="s">
        <v>23950</v>
      </c>
      <c r="I12142" s="17" t="s">
        <v>23956</v>
      </c>
      <c r="J12142" s="17" t="s">
        <v>24017</v>
      </c>
      <c r="K12142" s="17"/>
      <c r="L12142" s="17" t="s">
        <v>24262</v>
      </c>
      <c r="M12142" s="17"/>
      <c r="N12142" s="17" t="s">
        <v>25249</v>
      </c>
      <c r="O12142" s="17" t="s">
        <v>25320</v>
      </c>
      <c r="P12142" s="17" t="s">
        <v>25674</v>
      </c>
      <c r="Q12142" s="17"/>
      <c r="R12142" s="25" t="str">
        <f>HYPERLINK("https://ictv.global/taxonomy/taxondetails?taxnode_id=202301725","Lyssavirus duvenhage")</f>
        <v>Lyssavirus duvenhage</v>
      </c>
      <c r="S12142" s="18" t="s">
        <v>30</v>
      </c>
      <c r="T12142" s="18" t="s">
        <v>25688</v>
      </c>
      <c r="U12142" s="18" t="s">
        <v>25689</v>
      </c>
      <c r="V12142" s="18" t="s">
        <v>25690</v>
      </c>
      <c r="W12142" s="18" t="s">
        <v>25691</v>
      </c>
      <c r="X12142" s="18" t="s">
        <v>42</v>
      </c>
      <c r="Y12142" s="18" t="s">
        <v>23964</v>
      </c>
      <c r="Z12142" s="18" t="s">
        <v>166</v>
      </c>
      <c r="AA12142" s="21" t="str">
        <f>HYPERLINK("https://www.ncbi.nlm.nih.gov/nuccore/EU293119","NCBI Nucleotide")</f>
        <v>NCBI Nucleotide</v>
      </c>
    </row>
    <row r="12143" spans="1:27" x14ac:dyDescent="0.35">
      <c r="A12143">
        <v>1010788</v>
      </c>
      <c r="B12143">
        <v>11431</v>
      </c>
      <c r="C12143">
        <v>1</v>
      </c>
      <c r="D12143" s="17" t="s">
        <v>17166</v>
      </c>
      <c r="E12143" s="17"/>
      <c r="F12143" s="17" t="s">
        <v>17246</v>
      </c>
      <c r="G12143" s="17"/>
      <c r="H12143" s="17" t="s">
        <v>23950</v>
      </c>
      <c r="I12143" s="17" t="s">
        <v>23956</v>
      </c>
      <c r="J12143" s="17" t="s">
        <v>24017</v>
      </c>
      <c r="K12143" s="17"/>
      <c r="L12143" s="17" t="s">
        <v>24262</v>
      </c>
      <c r="M12143" s="17"/>
      <c r="N12143" s="17" t="s">
        <v>25249</v>
      </c>
      <c r="O12143" s="17" t="s">
        <v>25320</v>
      </c>
      <c r="P12143" s="17" t="s">
        <v>25674</v>
      </c>
      <c r="Q12143" s="17"/>
      <c r="R12143" s="25" t="str">
        <f>HYPERLINK("https://ictv.global/taxonomy/taxondetails?taxnode_id=202308672","Lyssavirus formosa")</f>
        <v>Lyssavirus formosa</v>
      </c>
      <c r="S12143" s="18" t="s">
        <v>30</v>
      </c>
      <c r="T12143" s="18" t="s">
        <v>25692</v>
      </c>
      <c r="U12143" s="18" t="s">
        <v>25693</v>
      </c>
      <c r="V12143" s="18" t="s">
        <v>25694</v>
      </c>
      <c r="W12143" s="18" t="s">
        <v>25695</v>
      </c>
      <c r="X12143" s="18" t="s">
        <v>42</v>
      </c>
      <c r="Y12143" s="18" t="s">
        <v>23964</v>
      </c>
      <c r="Z12143" s="18" t="s">
        <v>166</v>
      </c>
      <c r="AA12143" s="21" t="str">
        <f>HYPERLINK("https://www.ncbi.nlm.nih.gov/nuccore/MF472710","NCBI Nucleotide")</f>
        <v>NCBI Nucleotide</v>
      </c>
    </row>
    <row r="12144" spans="1:27" x14ac:dyDescent="0.35">
      <c r="A12144">
        <v>1010789</v>
      </c>
      <c r="B12144">
        <v>11432</v>
      </c>
      <c r="C12144">
        <v>1</v>
      </c>
      <c r="D12144" s="17" t="s">
        <v>17166</v>
      </c>
      <c r="E12144" s="17"/>
      <c r="F12144" s="17" t="s">
        <v>17246</v>
      </c>
      <c r="G12144" s="17"/>
      <c r="H12144" s="17" t="s">
        <v>23950</v>
      </c>
      <c r="I12144" s="17" t="s">
        <v>23956</v>
      </c>
      <c r="J12144" s="17" t="s">
        <v>24017</v>
      </c>
      <c r="K12144" s="17"/>
      <c r="L12144" s="17" t="s">
        <v>24262</v>
      </c>
      <c r="M12144" s="17"/>
      <c r="N12144" s="17" t="s">
        <v>25249</v>
      </c>
      <c r="O12144" s="17" t="s">
        <v>25320</v>
      </c>
      <c r="P12144" s="17" t="s">
        <v>25674</v>
      </c>
      <c r="Q12144" s="17"/>
      <c r="R12144" s="25" t="str">
        <f>HYPERLINK("https://ictv.global/taxonomy/taxondetails?taxnode_id=202305581","Lyssavirus gannoruwa")</f>
        <v>Lyssavirus gannoruwa</v>
      </c>
      <c r="S12144" s="18" t="s">
        <v>30</v>
      </c>
      <c r="T12144" s="18" t="s">
        <v>25696</v>
      </c>
      <c r="U12144" s="18" t="s">
        <v>25697</v>
      </c>
      <c r="V12144" s="18" t="s">
        <v>25698</v>
      </c>
      <c r="W12144" s="18" t="s">
        <v>25699</v>
      </c>
      <c r="X12144" s="18" t="s">
        <v>42</v>
      </c>
      <c r="Y12144" s="18" t="s">
        <v>23964</v>
      </c>
      <c r="Z12144" s="18" t="s">
        <v>166</v>
      </c>
      <c r="AA12144" s="21" t="str">
        <f>HYPERLINK("https://www.ncbi.nlm.nih.gov/nuccore/KU244266","NCBI Nucleotide")</f>
        <v>NCBI Nucleotide</v>
      </c>
    </row>
    <row r="12145" spans="1:27" x14ac:dyDescent="0.35">
      <c r="A12145">
        <v>1010790</v>
      </c>
      <c r="B12145">
        <v>11433</v>
      </c>
      <c r="C12145">
        <v>1</v>
      </c>
      <c r="D12145" s="17" t="s">
        <v>17166</v>
      </c>
      <c r="E12145" s="17"/>
      <c r="F12145" s="17" t="s">
        <v>17246</v>
      </c>
      <c r="G12145" s="17"/>
      <c r="H12145" s="17" t="s">
        <v>23950</v>
      </c>
      <c r="I12145" s="17" t="s">
        <v>23956</v>
      </c>
      <c r="J12145" s="17" t="s">
        <v>24017</v>
      </c>
      <c r="K12145" s="17"/>
      <c r="L12145" s="17" t="s">
        <v>24262</v>
      </c>
      <c r="M12145" s="17"/>
      <c r="N12145" s="17" t="s">
        <v>25249</v>
      </c>
      <c r="O12145" s="17" t="s">
        <v>25320</v>
      </c>
      <c r="P12145" s="17" t="s">
        <v>25674</v>
      </c>
      <c r="Q12145" s="17"/>
      <c r="R12145" s="25" t="str">
        <f>HYPERLINK("https://ictv.global/taxonomy/taxondetails?taxnode_id=202301726","Lyssavirus hamburg")</f>
        <v>Lyssavirus hamburg</v>
      </c>
      <c r="S12145" s="18" t="s">
        <v>30</v>
      </c>
      <c r="T12145" s="18" t="s">
        <v>25700</v>
      </c>
      <c r="U12145" s="18" t="s">
        <v>25701</v>
      </c>
      <c r="V12145" s="18" t="s">
        <v>25702</v>
      </c>
      <c r="W12145" s="18" t="s">
        <v>25703</v>
      </c>
      <c r="X12145" s="18" t="s">
        <v>42</v>
      </c>
      <c r="Y12145" s="18" t="s">
        <v>23964</v>
      </c>
      <c r="Z12145" s="18" t="s">
        <v>166</v>
      </c>
      <c r="AA12145" s="21" t="str">
        <f>HYPERLINK("https://www.ncbi.nlm.nih.gov/nuccore/EF157976","NCBI Nucleotide")</f>
        <v>NCBI Nucleotide</v>
      </c>
    </row>
    <row r="12146" spans="1:27" x14ac:dyDescent="0.35">
      <c r="A12146">
        <v>1010791</v>
      </c>
      <c r="B12146">
        <v>11434</v>
      </c>
      <c r="C12146">
        <v>1</v>
      </c>
      <c r="D12146" s="17" t="s">
        <v>17166</v>
      </c>
      <c r="E12146" s="17"/>
      <c r="F12146" s="17" t="s">
        <v>17246</v>
      </c>
      <c r="G12146" s="17"/>
      <c r="H12146" s="17" t="s">
        <v>23950</v>
      </c>
      <c r="I12146" s="17" t="s">
        <v>23956</v>
      </c>
      <c r="J12146" s="17" t="s">
        <v>24017</v>
      </c>
      <c r="K12146" s="17"/>
      <c r="L12146" s="17" t="s">
        <v>24262</v>
      </c>
      <c r="M12146" s="17"/>
      <c r="N12146" s="17" t="s">
        <v>25249</v>
      </c>
      <c r="O12146" s="17" t="s">
        <v>25320</v>
      </c>
      <c r="P12146" s="17" t="s">
        <v>25674</v>
      </c>
      <c r="Q12146" s="17"/>
      <c r="R12146" s="25" t="str">
        <f>HYPERLINK("https://ictv.global/taxonomy/taxondetails?taxnode_id=202301727","Lyssavirus helsinki")</f>
        <v>Lyssavirus helsinki</v>
      </c>
      <c r="S12146" s="18" t="s">
        <v>30</v>
      </c>
      <c r="T12146" s="18" t="s">
        <v>25704</v>
      </c>
      <c r="U12146" s="18" t="s">
        <v>25705</v>
      </c>
      <c r="V12146" s="18" t="s">
        <v>25706</v>
      </c>
      <c r="W12146" s="18" t="s">
        <v>25707</v>
      </c>
      <c r="X12146" s="18" t="s">
        <v>42</v>
      </c>
      <c r="Y12146" s="18" t="s">
        <v>23964</v>
      </c>
      <c r="Z12146" s="18" t="s">
        <v>166</v>
      </c>
      <c r="AA12146" s="21" t="str">
        <f>HYPERLINK("https://www.ncbi.nlm.nih.gov/nuccore/EF157977","NCBI Nucleotide")</f>
        <v>NCBI Nucleotide</v>
      </c>
    </row>
    <row r="12147" spans="1:27" x14ac:dyDescent="0.35">
      <c r="A12147">
        <v>1010792</v>
      </c>
      <c r="B12147">
        <v>11435</v>
      </c>
      <c r="C12147">
        <v>1</v>
      </c>
      <c r="D12147" s="17" t="s">
        <v>17166</v>
      </c>
      <c r="E12147" s="17"/>
      <c r="F12147" s="17" t="s">
        <v>17246</v>
      </c>
      <c r="G12147" s="17"/>
      <c r="H12147" s="17" t="s">
        <v>23950</v>
      </c>
      <c r="I12147" s="17" t="s">
        <v>23956</v>
      </c>
      <c r="J12147" s="17" t="s">
        <v>24017</v>
      </c>
      <c r="K12147" s="17"/>
      <c r="L12147" s="17" t="s">
        <v>24262</v>
      </c>
      <c r="M12147" s="17"/>
      <c r="N12147" s="17" t="s">
        <v>25249</v>
      </c>
      <c r="O12147" s="17" t="s">
        <v>25320</v>
      </c>
      <c r="P12147" s="17" t="s">
        <v>25674</v>
      </c>
      <c r="Q12147" s="17"/>
      <c r="R12147" s="25" t="str">
        <f>HYPERLINK("https://ictv.global/taxonomy/taxondetails?taxnode_id=202301728","Lyssavirus ikoma")</f>
        <v>Lyssavirus ikoma</v>
      </c>
      <c r="S12147" s="18" t="s">
        <v>30</v>
      </c>
      <c r="T12147" s="18" t="s">
        <v>25708</v>
      </c>
      <c r="U12147" s="18" t="s">
        <v>25709</v>
      </c>
      <c r="V12147" s="18" t="s">
        <v>25710</v>
      </c>
      <c r="W12147" s="18" t="s">
        <v>25711</v>
      </c>
      <c r="X12147" s="18" t="s">
        <v>42</v>
      </c>
      <c r="Y12147" s="18" t="s">
        <v>23964</v>
      </c>
      <c r="Z12147" s="18" t="s">
        <v>166</v>
      </c>
      <c r="AA12147" s="21" t="str">
        <f>HYPERLINK("https://www.ncbi.nlm.nih.gov/nuccore/JX193798","NCBI Nucleotide")</f>
        <v>NCBI Nucleotide</v>
      </c>
    </row>
    <row r="12148" spans="1:27" x14ac:dyDescent="0.35">
      <c r="A12148">
        <v>1010793</v>
      </c>
      <c r="B12148">
        <v>11436</v>
      </c>
      <c r="C12148">
        <v>1</v>
      </c>
      <c r="D12148" s="17" t="s">
        <v>17166</v>
      </c>
      <c r="E12148" s="17"/>
      <c r="F12148" s="17" t="s">
        <v>17246</v>
      </c>
      <c r="G12148" s="17"/>
      <c r="H12148" s="17" t="s">
        <v>23950</v>
      </c>
      <c r="I12148" s="17" t="s">
        <v>23956</v>
      </c>
      <c r="J12148" s="17" t="s">
        <v>24017</v>
      </c>
      <c r="K12148" s="17"/>
      <c r="L12148" s="17" t="s">
        <v>24262</v>
      </c>
      <c r="M12148" s="17"/>
      <c r="N12148" s="17" t="s">
        <v>25249</v>
      </c>
      <c r="O12148" s="17" t="s">
        <v>25320</v>
      </c>
      <c r="P12148" s="17" t="s">
        <v>25674</v>
      </c>
      <c r="Q12148" s="17"/>
      <c r="R12148" s="25" t="str">
        <f>HYPERLINK("https://ictv.global/taxonomy/taxondetails?taxnode_id=202301729","Lyssavirus irkut")</f>
        <v>Lyssavirus irkut</v>
      </c>
      <c r="S12148" s="18" t="s">
        <v>30</v>
      </c>
      <c r="T12148" s="18" t="s">
        <v>25712</v>
      </c>
      <c r="U12148" s="18" t="s">
        <v>25713</v>
      </c>
      <c r="V12148" s="18"/>
      <c r="W12148" s="18" t="s">
        <v>25714</v>
      </c>
      <c r="X12148" s="18" t="s">
        <v>42</v>
      </c>
      <c r="Y12148" s="18" t="s">
        <v>23964</v>
      </c>
      <c r="Z12148" s="18" t="s">
        <v>166</v>
      </c>
      <c r="AA12148" s="21" t="str">
        <f>HYPERLINK("https://www.ncbi.nlm.nih.gov/nuccore/EF614260","NCBI Nucleotide")</f>
        <v>NCBI Nucleotide</v>
      </c>
    </row>
    <row r="12149" spans="1:27" x14ac:dyDescent="0.35">
      <c r="A12149">
        <v>1010794</v>
      </c>
      <c r="B12149">
        <v>11437</v>
      </c>
      <c r="C12149">
        <v>1</v>
      </c>
      <c r="D12149" s="17" t="s">
        <v>17166</v>
      </c>
      <c r="E12149" s="17"/>
      <c r="F12149" s="17" t="s">
        <v>17246</v>
      </c>
      <c r="G12149" s="17"/>
      <c r="H12149" s="17" t="s">
        <v>23950</v>
      </c>
      <c r="I12149" s="17" t="s">
        <v>23956</v>
      </c>
      <c r="J12149" s="17" t="s">
        <v>24017</v>
      </c>
      <c r="K12149" s="17"/>
      <c r="L12149" s="17" t="s">
        <v>24262</v>
      </c>
      <c r="M12149" s="17"/>
      <c r="N12149" s="17" t="s">
        <v>25249</v>
      </c>
      <c r="O12149" s="17" t="s">
        <v>25320</v>
      </c>
      <c r="P12149" s="17" t="s">
        <v>25674</v>
      </c>
      <c r="Q12149" s="17"/>
      <c r="R12149" s="25" t="str">
        <f>HYPERLINK("https://ictv.global/taxonomy/taxondetails?taxnode_id=202301730","Lyssavirus khujand")</f>
        <v>Lyssavirus khujand</v>
      </c>
      <c r="S12149" s="18" t="s">
        <v>30</v>
      </c>
      <c r="T12149" s="18" t="s">
        <v>25715</v>
      </c>
      <c r="U12149" s="18" t="s">
        <v>25716</v>
      </c>
      <c r="V12149" s="18"/>
      <c r="W12149" s="18" t="s">
        <v>25717</v>
      </c>
      <c r="X12149" s="18" t="s">
        <v>42</v>
      </c>
      <c r="Y12149" s="18" t="s">
        <v>23964</v>
      </c>
      <c r="Z12149" s="18" t="s">
        <v>166</v>
      </c>
      <c r="AA12149" s="21" t="str">
        <f>HYPERLINK("https://www.ncbi.nlm.nih.gov/nuccore/EF614261","NCBI Nucleotide")</f>
        <v>NCBI Nucleotide</v>
      </c>
    </row>
    <row r="12150" spans="1:27" x14ac:dyDescent="0.35">
      <c r="A12150">
        <v>1027773</v>
      </c>
      <c r="B12150">
        <v>11438</v>
      </c>
      <c r="C12150">
        <v>1</v>
      </c>
      <c r="D12150" s="17" t="s">
        <v>17166</v>
      </c>
      <c r="E12150" s="17"/>
      <c r="F12150" s="17" t="s">
        <v>17246</v>
      </c>
      <c r="G12150" s="17"/>
      <c r="H12150" s="17" t="s">
        <v>23950</v>
      </c>
      <c r="I12150" s="17" t="s">
        <v>23956</v>
      </c>
      <c r="J12150" s="17" t="s">
        <v>24017</v>
      </c>
      <c r="K12150" s="17"/>
      <c r="L12150" s="17" t="s">
        <v>24262</v>
      </c>
      <c r="M12150" s="17"/>
      <c r="N12150" s="17" t="s">
        <v>25249</v>
      </c>
      <c r="O12150" s="17" t="s">
        <v>25320</v>
      </c>
      <c r="P12150" s="17" t="s">
        <v>25674</v>
      </c>
      <c r="Q12150" s="17"/>
      <c r="R12150" s="25" t="str">
        <f>HYPERLINK("https://ictv.global/taxonomy/taxondetails?taxnode_id=202318059","Lyssavirus kotalahti")</f>
        <v>Lyssavirus kotalahti</v>
      </c>
      <c r="S12150" s="18" t="s">
        <v>30</v>
      </c>
      <c r="T12150" s="18" t="s">
        <v>46663</v>
      </c>
      <c r="U12150" s="18" t="s">
        <v>46664</v>
      </c>
      <c r="V12150" s="18"/>
      <c r="W12150" s="18" t="s">
        <v>48696</v>
      </c>
      <c r="X12150" s="18" t="s">
        <v>35</v>
      </c>
      <c r="Y12150" s="18" t="s">
        <v>23964</v>
      </c>
      <c r="Z12150" s="18" t="s">
        <v>166</v>
      </c>
      <c r="AA12150" s="21" t="str">
        <f>HYPERLINK("https://www.ncbi.nlm.nih.gov/nuccore/LR994545","NCBI Nucleotide")</f>
        <v>NCBI Nucleotide</v>
      </c>
    </row>
    <row r="12151" spans="1:27" x14ac:dyDescent="0.35">
      <c r="A12151">
        <v>1010795</v>
      </c>
      <c r="B12151">
        <v>11439</v>
      </c>
      <c r="C12151">
        <v>1</v>
      </c>
      <c r="D12151" s="17" t="s">
        <v>17166</v>
      </c>
      <c r="E12151" s="17"/>
      <c r="F12151" s="17" t="s">
        <v>17246</v>
      </c>
      <c r="G12151" s="17"/>
      <c r="H12151" s="17" t="s">
        <v>23950</v>
      </c>
      <c r="I12151" s="17" t="s">
        <v>23956</v>
      </c>
      <c r="J12151" s="17" t="s">
        <v>24017</v>
      </c>
      <c r="K12151" s="17"/>
      <c r="L12151" s="17" t="s">
        <v>24262</v>
      </c>
      <c r="M12151" s="17"/>
      <c r="N12151" s="17" t="s">
        <v>25249</v>
      </c>
      <c r="O12151" s="17" t="s">
        <v>25320</v>
      </c>
      <c r="P12151" s="17" t="s">
        <v>25674</v>
      </c>
      <c r="Q12151" s="17"/>
      <c r="R12151" s="25" t="str">
        <f>HYPERLINK("https://ictv.global/taxonomy/taxondetails?taxnode_id=202301731","Lyssavirus lagos")</f>
        <v>Lyssavirus lagos</v>
      </c>
      <c r="S12151" s="18" t="s">
        <v>30</v>
      </c>
      <c r="T12151" s="18" t="s">
        <v>25718</v>
      </c>
      <c r="U12151" s="18" t="s">
        <v>25719</v>
      </c>
      <c r="V12151" s="18" t="s">
        <v>25720</v>
      </c>
      <c r="W12151" s="18" t="s">
        <v>25721</v>
      </c>
      <c r="X12151" s="18" t="s">
        <v>42</v>
      </c>
      <c r="Y12151" s="18" t="s">
        <v>23964</v>
      </c>
      <c r="Z12151" s="18" t="s">
        <v>166</v>
      </c>
      <c r="AA12151" s="21" t="str">
        <f>HYPERLINK("https://www.ncbi.nlm.nih.gov/nuccore/EU293108","NCBI Nucleotide")</f>
        <v>NCBI Nucleotide</v>
      </c>
    </row>
    <row r="12152" spans="1:27" x14ac:dyDescent="0.35">
      <c r="A12152">
        <v>1010796</v>
      </c>
      <c r="B12152">
        <v>11440</v>
      </c>
      <c r="C12152">
        <v>1</v>
      </c>
      <c r="D12152" s="17" t="s">
        <v>17166</v>
      </c>
      <c r="E12152" s="17"/>
      <c r="F12152" s="17" t="s">
        <v>17246</v>
      </c>
      <c r="G12152" s="17"/>
      <c r="H12152" s="17" t="s">
        <v>23950</v>
      </c>
      <c r="I12152" s="17" t="s">
        <v>23956</v>
      </c>
      <c r="J12152" s="17" t="s">
        <v>24017</v>
      </c>
      <c r="K12152" s="17"/>
      <c r="L12152" s="17" t="s">
        <v>24262</v>
      </c>
      <c r="M12152" s="17"/>
      <c r="N12152" s="17" t="s">
        <v>25249</v>
      </c>
      <c r="O12152" s="17" t="s">
        <v>25320</v>
      </c>
      <c r="P12152" s="17" t="s">
        <v>25674</v>
      </c>
      <c r="Q12152" s="17"/>
      <c r="R12152" s="25" t="str">
        <f>HYPERLINK("https://ictv.global/taxonomy/taxondetails?taxnode_id=202305582","Lyssavirus lleida")</f>
        <v>Lyssavirus lleida</v>
      </c>
      <c r="S12152" s="18" t="s">
        <v>30</v>
      </c>
      <c r="T12152" s="18" t="s">
        <v>25722</v>
      </c>
      <c r="U12152" s="18" t="s">
        <v>25723</v>
      </c>
      <c r="V12152" s="18" t="s">
        <v>25724</v>
      </c>
      <c r="W12152" s="18" t="s">
        <v>25725</v>
      </c>
      <c r="X12152" s="18" t="s">
        <v>42</v>
      </c>
      <c r="Y12152" s="18" t="s">
        <v>23964</v>
      </c>
      <c r="Z12152" s="18" t="s">
        <v>166</v>
      </c>
      <c r="AA12152" s="21" t="str">
        <f>HYPERLINK("https://www.ncbi.nlm.nih.gov/nuccore/KY006983","NCBI Nucleotide")</f>
        <v>NCBI Nucleotide</v>
      </c>
    </row>
    <row r="12153" spans="1:27" x14ac:dyDescent="0.35">
      <c r="A12153">
        <v>1010797</v>
      </c>
      <c r="B12153">
        <v>11441</v>
      </c>
      <c r="C12153">
        <v>1</v>
      </c>
      <c r="D12153" s="17" t="s">
        <v>17166</v>
      </c>
      <c r="E12153" s="17"/>
      <c r="F12153" s="17" t="s">
        <v>17246</v>
      </c>
      <c r="G12153" s="17"/>
      <c r="H12153" s="17" t="s">
        <v>23950</v>
      </c>
      <c r="I12153" s="17" t="s">
        <v>23956</v>
      </c>
      <c r="J12153" s="17" t="s">
        <v>24017</v>
      </c>
      <c r="K12153" s="17"/>
      <c r="L12153" s="17" t="s">
        <v>24262</v>
      </c>
      <c r="M12153" s="17"/>
      <c r="N12153" s="17" t="s">
        <v>25249</v>
      </c>
      <c r="O12153" s="17" t="s">
        <v>25320</v>
      </c>
      <c r="P12153" s="17" t="s">
        <v>25674</v>
      </c>
      <c r="Q12153" s="17"/>
      <c r="R12153" s="25" t="str">
        <f>HYPERLINK("https://ictv.global/taxonomy/taxondetails?taxnode_id=202301732","Lyssavirus mokola")</f>
        <v>Lyssavirus mokola</v>
      </c>
      <c r="S12153" s="18" t="s">
        <v>30</v>
      </c>
      <c r="T12153" s="18" t="s">
        <v>25726</v>
      </c>
      <c r="U12153" s="18" t="s">
        <v>25727</v>
      </c>
      <c r="V12153" s="18"/>
      <c r="W12153" s="18" t="s">
        <v>25728</v>
      </c>
      <c r="X12153" s="18" t="s">
        <v>42</v>
      </c>
      <c r="Y12153" s="18" t="s">
        <v>23964</v>
      </c>
      <c r="Z12153" s="18" t="s">
        <v>166</v>
      </c>
      <c r="AA12153" s="21" t="str">
        <f>HYPERLINK("https://www.ncbi.nlm.nih.gov/nuccore/Y09762","NCBI Nucleotide")</f>
        <v>NCBI Nucleotide</v>
      </c>
    </row>
    <row r="12154" spans="1:27" x14ac:dyDescent="0.35">
      <c r="A12154">
        <v>1010798</v>
      </c>
      <c r="B12154">
        <v>11442</v>
      </c>
      <c r="C12154">
        <v>1</v>
      </c>
      <c r="D12154" s="17" t="s">
        <v>17166</v>
      </c>
      <c r="E12154" s="17"/>
      <c r="F12154" s="17" t="s">
        <v>17246</v>
      </c>
      <c r="G12154" s="17"/>
      <c r="H12154" s="17" t="s">
        <v>23950</v>
      </c>
      <c r="I12154" s="17" t="s">
        <v>23956</v>
      </c>
      <c r="J12154" s="17" t="s">
        <v>24017</v>
      </c>
      <c r="K12154" s="17"/>
      <c r="L12154" s="17" t="s">
        <v>24262</v>
      </c>
      <c r="M12154" s="17"/>
      <c r="N12154" s="17" t="s">
        <v>25249</v>
      </c>
      <c r="O12154" s="17" t="s">
        <v>25320</v>
      </c>
      <c r="P12154" s="17" t="s">
        <v>25674</v>
      </c>
      <c r="Q12154" s="17"/>
      <c r="R12154" s="25" t="str">
        <f>HYPERLINK("https://ictv.global/taxonomy/taxondetails?taxnode_id=202301733","Lyssavirus rabies")</f>
        <v>Lyssavirus rabies</v>
      </c>
      <c r="S12154" s="18" t="s">
        <v>30</v>
      </c>
      <c r="T12154" s="18" t="s">
        <v>25729</v>
      </c>
      <c r="U12154" s="18" t="s">
        <v>25730</v>
      </c>
      <c r="V12154" s="18"/>
      <c r="W12154" s="18" t="s">
        <v>25731</v>
      </c>
      <c r="X12154" s="18" t="s">
        <v>42</v>
      </c>
      <c r="Y12154" s="18" t="s">
        <v>23964</v>
      </c>
      <c r="Z12154" s="18" t="s">
        <v>166</v>
      </c>
      <c r="AA12154" s="21" t="str">
        <f>HYPERLINK("https://www.ncbi.nlm.nih.gov/nuccore/M13215","NCBI Nucleotide")</f>
        <v>NCBI Nucleotide</v>
      </c>
    </row>
    <row r="12155" spans="1:27" x14ac:dyDescent="0.35">
      <c r="A12155">
        <v>1010799</v>
      </c>
      <c r="B12155">
        <v>11443</v>
      </c>
      <c r="C12155">
        <v>1</v>
      </c>
      <c r="D12155" s="17" t="s">
        <v>17166</v>
      </c>
      <c r="E12155" s="17"/>
      <c r="F12155" s="17" t="s">
        <v>17246</v>
      </c>
      <c r="G12155" s="17"/>
      <c r="H12155" s="17" t="s">
        <v>23950</v>
      </c>
      <c r="I12155" s="17" t="s">
        <v>23956</v>
      </c>
      <c r="J12155" s="17" t="s">
        <v>24017</v>
      </c>
      <c r="K12155" s="17"/>
      <c r="L12155" s="17" t="s">
        <v>24262</v>
      </c>
      <c r="M12155" s="17"/>
      <c r="N12155" s="17" t="s">
        <v>25249</v>
      </c>
      <c r="O12155" s="17" t="s">
        <v>25320</v>
      </c>
      <c r="P12155" s="17" t="s">
        <v>25674</v>
      </c>
      <c r="Q12155" s="17"/>
      <c r="R12155" s="25" t="str">
        <f>HYPERLINK("https://ictv.global/taxonomy/taxondetails?taxnode_id=202301734","Lyssavirus shimoni")</f>
        <v>Lyssavirus shimoni</v>
      </c>
      <c r="S12155" s="18" t="s">
        <v>30</v>
      </c>
      <c r="T12155" s="18" t="s">
        <v>25732</v>
      </c>
      <c r="U12155" s="18" t="s">
        <v>25733</v>
      </c>
      <c r="V12155" s="18" t="s">
        <v>25734</v>
      </c>
      <c r="W12155" s="18" t="s">
        <v>25735</v>
      </c>
      <c r="X12155" s="18" t="s">
        <v>42</v>
      </c>
      <c r="Y12155" s="18" t="s">
        <v>23964</v>
      </c>
      <c r="Z12155" s="18" t="s">
        <v>166</v>
      </c>
      <c r="AA12155" s="21" t="str">
        <f>HYPERLINK("https://www.ncbi.nlm.nih.gov/nuccore/GU170201","NCBI Nucleotide")</f>
        <v>NCBI Nucleotide</v>
      </c>
    </row>
    <row r="12156" spans="1:27" x14ac:dyDescent="0.35">
      <c r="A12156">
        <v>1027763</v>
      </c>
      <c r="B12156">
        <v>11444</v>
      </c>
      <c r="C12156">
        <v>1</v>
      </c>
      <c r="D12156" s="17" t="s">
        <v>17166</v>
      </c>
      <c r="E12156" s="17"/>
      <c r="F12156" s="17" t="s">
        <v>17246</v>
      </c>
      <c r="G12156" s="17"/>
      <c r="H12156" s="17" t="s">
        <v>23950</v>
      </c>
      <c r="I12156" s="17" t="s">
        <v>23956</v>
      </c>
      <c r="J12156" s="17" t="s">
        <v>24017</v>
      </c>
      <c r="K12156" s="17"/>
      <c r="L12156" s="17" t="s">
        <v>24262</v>
      </c>
      <c r="M12156" s="17"/>
      <c r="N12156" s="17" t="s">
        <v>25249</v>
      </c>
      <c r="O12156" s="17" t="s">
        <v>25320</v>
      </c>
      <c r="P12156" s="17" t="s">
        <v>25736</v>
      </c>
      <c r="Q12156" s="17"/>
      <c r="R12156" s="25" t="str">
        <f>HYPERLINK("https://ictv.global/taxonomy/taxondetails?taxnode_id=202318247","Merhavirus formosus")</f>
        <v>Merhavirus formosus</v>
      </c>
      <c r="S12156" s="18" t="s">
        <v>30</v>
      </c>
      <c r="T12156" s="18" t="s">
        <v>46665</v>
      </c>
      <c r="U12156" s="18" t="s">
        <v>46666</v>
      </c>
      <c r="V12156" s="18" t="s">
        <v>46667</v>
      </c>
      <c r="W12156" s="18" t="s">
        <v>50913</v>
      </c>
      <c r="X12156" s="18" t="s">
        <v>35</v>
      </c>
      <c r="Y12156" s="18" t="s">
        <v>23964</v>
      </c>
      <c r="Z12156" s="18" t="s">
        <v>17413</v>
      </c>
      <c r="AA12156" s="21" t="str">
        <f>HYPERLINK("https://www.ncbi.nlm.nih.gov/nuccore/BK059424","NCBI Nucleotide")</f>
        <v>NCBI Nucleotide</v>
      </c>
    </row>
    <row r="12157" spans="1:27" x14ac:dyDescent="0.35">
      <c r="A12157">
        <v>1027764</v>
      </c>
      <c r="B12157">
        <v>11445</v>
      </c>
      <c r="C12157">
        <v>1</v>
      </c>
      <c r="D12157" s="17" t="s">
        <v>17166</v>
      </c>
      <c r="E12157" s="17"/>
      <c r="F12157" s="17" t="s">
        <v>17246</v>
      </c>
      <c r="G12157" s="17"/>
      <c r="H12157" s="17" t="s">
        <v>23950</v>
      </c>
      <c r="I12157" s="17" t="s">
        <v>23956</v>
      </c>
      <c r="J12157" s="17" t="s">
        <v>24017</v>
      </c>
      <c r="K12157" s="17"/>
      <c r="L12157" s="17" t="s">
        <v>24262</v>
      </c>
      <c r="M12157" s="17"/>
      <c r="N12157" s="17" t="s">
        <v>25249</v>
      </c>
      <c r="O12157" s="17" t="s">
        <v>25320</v>
      </c>
      <c r="P12157" s="17" t="s">
        <v>25736</v>
      </c>
      <c r="Q12157" s="17"/>
      <c r="R12157" s="25" t="str">
        <f>HYPERLINK("https://ictv.global/taxonomy/taxondetails?taxnode_id=202318248","Merhavirus hattula")</f>
        <v>Merhavirus hattula</v>
      </c>
      <c r="S12157" s="18" t="s">
        <v>30</v>
      </c>
      <c r="T12157" s="18" t="s">
        <v>46668</v>
      </c>
      <c r="U12157" s="18" t="s">
        <v>46669</v>
      </c>
      <c r="V12157" s="18" t="s">
        <v>46670</v>
      </c>
      <c r="W12157" s="18" t="s">
        <v>50914</v>
      </c>
      <c r="X12157" s="18" t="s">
        <v>35</v>
      </c>
      <c r="Y12157" s="18" t="s">
        <v>23964</v>
      </c>
      <c r="Z12157" s="18" t="s">
        <v>17413</v>
      </c>
      <c r="AA12157" s="21" t="str">
        <f>HYPERLINK("https://www.ncbi.nlm.nih.gov/nuccore/ON955142","NCBI Nucleotide")</f>
        <v>NCBI Nucleotide</v>
      </c>
    </row>
    <row r="12158" spans="1:27" x14ac:dyDescent="0.35">
      <c r="A12158">
        <v>1027765</v>
      </c>
      <c r="B12158">
        <v>11446</v>
      </c>
      <c r="C12158">
        <v>1</v>
      </c>
      <c r="D12158" s="17" t="s">
        <v>17166</v>
      </c>
      <c r="E12158" s="17"/>
      <c r="F12158" s="17" t="s">
        <v>17246</v>
      </c>
      <c r="G12158" s="17"/>
      <c r="H12158" s="17" t="s">
        <v>23950</v>
      </c>
      <c r="I12158" s="17" t="s">
        <v>23956</v>
      </c>
      <c r="J12158" s="17" t="s">
        <v>24017</v>
      </c>
      <c r="K12158" s="17"/>
      <c r="L12158" s="17" t="s">
        <v>24262</v>
      </c>
      <c r="M12158" s="17"/>
      <c r="N12158" s="17" t="s">
        <v>25249</v>
      </c>
      <c r="O12158" s="17" t="s">
        <v>25320</v>
      </c>
      <c r="P12158" s="17" t="s">
        <v>25736</v>
      </c>
      <c r="Q12158" s="17"/>
      <c r="R12158" s="25" t="str">
        <f>HYPERLINK("https://ictv.global/taxonomy/taxondetails?taxnode_id=202318249","Merhavirus inari")</f>
        <v>Merhavirus inari</v>
      </c>
      <c r="S12158" s="18" t="s">
        <v>30</v>
      </c>
      <c r="T12158" s="18" t="s">
        <v>46671</v>
      </c>
      <c r="U12158" s="18" t="s">
        <v>46672</v>
      </c>
      <c r="V12158" s="18" t="s">
        <v>46673</v>
      </c>
      <c r="W12158" s="18" t="s">
        <v>50915</v>
      </c>
      <c r="X12158" s="18" t="s">
        <v>35</v>
      </c>
      <c r="Y12158" s="18" t="s">
        <v>23964</v>
      </c>
      <c r="Z12158" s="18" t="s">
        <v>17413</v>
      </c>
      <c r="AA12158" s="21" t="str">
        <f>HYPERLINK("https://www.ncbi.nlm.nih.gov/nuccore/ON955143","NCBI Nucleotide")</f>
        <v>NCBI Nucleotide</v>
      </c>
    </row>
    <row r="12159" spans="1:27" x14ac:dyDescent="0.35">
      <c r="A12159">
        <v>1010800</v>
      </c>
      <c r="B12159">
        <v>11447</v>
      </c>
      <c r="C12159">
        <v>1</v>
      </c>
      <c r="D12159" s="17" t="s">
        <v>17166</v>
      </c>
      <c r="E12159" s="17"/>
      <c r="F12159" s="17" t="s">
        <v>17246</v>
      </c>
      <c r="G12159" s="17"/>
      <c r="H12159" s="17" t="s">
        <v>23950</v>
      </c>
      <c r="I12159" s="17" t="s">
        <v>23956</v>
      </c>
      <c r="J12159" s="17" t="s">
        <v>24017</v>
      </c>
      <c r="K12159" s="17"/>
      <c r="L12159" s="17" t="s">
        <v>24262</v>
      </c>
      <c r="M12159" s="17"/>
      <c r="N12159" s="17" t="s">
        <v>25249</v>
      </c>
      <c r="O12159" s="17" t="s">
        <v>25320</v>
      </c>
      <c r="P12159" s="17" t="s">
        <v>25736</v>
      </c>
      <c r="Q12159" s="17"/>
      <c r="R12159" s="25" t="str">
        <f>HYPERLINK("https://ictv.global/taxonomy/taxondetails?taxnode_id=202308757","Merhavirus merida")</f>
        <v>Merhavirus merida</v>
      </c>
      <c r="S12159" s="18" t="s">
        <v>30</v>
      </c>
      <c r="T12159" s="18" t="s">
        <v>25737</v>
      </c>
      <c r="U12159" s="18" t="s">
        <v>25738</v>
      </c>
      <c r="V12159" s="18" t="s">
        <v>25739</v>
      </c>
      <c r="W12159" s="18" t="s">
        <v>25740</v>
      </c>
      <c r="X12159" s="18" t="s">
        <v>42</v>
      </c>
      <c r="Y12159" s="18" t="s">
        <v>23964</v>
      </c>
      <c r="Z12159" s="18" t="s">
        <v>10790</v>
      </c>
      <c r="AA12159" s="21" t="str">
        <f>HYPERLINK("https://www.ncbi.nlm.nih.gov/nuccore/KU194360","NCBI Nucleotide")</f>
        <v>NCBI Nucleotide</v>
      </c>
    </row>
    <row r="12160" spans="1:27" x14ac:dyDescent="0.35">
      <c r="A12160">
        <v>1010801</v>
      </c>
      <c r="B12160">
        <v>11448</v>
      </c>
      <c r="C12160">
        <v>1</v>
      </c>
      <c r="D12160" s="17" t="s">
        <v>17166</v>
      </c>
      <c r="E12160" s="17"/>
      <c r="F12160" s="17" t="s">
        <v>17246</v>
      </c>
      <c r="G12160" s="17"/>
      <c r="H12160" s="17" t="s">
        <v>23950</v>
      </c>
      <c r="I12160" s="17" t="s">
        <v>23956</v>
      </c>
      <c r="J12160" s="17" t="s">
        <v>24017</v>
      </c>
      <c r="K12160" s="17"/>
      <c r="L12160" s="17" t="s">
        <v>24262</v>
      </c>
      <c r="M12160" s="17"/>
      <c r="N12160" s="17" t="s">
        <v>25249</v>
      </c>
      <c r="O12160" s="17" t="s">
        <v>25320</v>
      </c>
      <c r="P12160" s="17" t="s">
        <v>25736</v>
      </c>
      <c r="Q12160" s="17"/>
      <c r="R12160" s="25" t="str">
        <f>HYPERLINK("https://ictv.global/taxonomy/taxondetails?taxnode_id=202308758","Merhavirus tritaeniorhynchus")</f>
        <v>Merhavirus tritaeniorhynchus</v>
      </c>
      <c r="S12160" s="18" t="s">
        <v>30</v>
      </c>
      <c r="T12160" s="18" t="s">
        <v>25741</v>
      </c>
      <c r="U12160" s="18" t="s">
        <v>25742</v>
      </c>
      <c r="V12160" s="18" t="s">
        <v>25743</v>
      </c>
      <c r="W12160" s="18" t="s">
        <v>25744</v>
      </c>
      <c r="X12160" s="18" t="s">
        <v>42</v>
      </c>
      <c r="Y12160" s="18" t="s">
        <v>23964</v>
      </c>
      <c r="Z12160" s="18" t="s">
        <v>10790</v>
      </c>
      <c r="AA12160" s="21" t="str">
        <f>HYPERLINK("https://www.ncbi.nlm.nih.gov/nuccore/AB604791","NCBI Nucleotide")</f>
        <v>NCBI Nucleotide</v>
      </c>
    </row>
    <row r="12161" spans="1:27" x14ac:dyDescent="0.35">
      <c r="A12161">
        <v>1010802</v>
      </c>
      <c r="B12161">
        <v>11449</v>
      </c>
      <c r="C12161">
        <v>1</v>
      </c>
      <c r="D12161" s="17" t="s">
        <v>17166</v>
      </c>
      <c r="E12161" s="17"/>
      <c r="F12161" s="17" t="s">
        <v>17246</v>
      </c>
      <c r="G12161" s="17"/>
      <c r="H12161" s="17" t="s">
        <v>23950</v>
      </c>
      <c r="I12161" s="17" t="s">
        <v>23956</v>
      </c>
      <c r="J12161" s="17" t="s">
        <v>24017</v>
      </c>
      <c r="K12161" s="17"/>
      <c r="L12161" s="17" t="s">
        <v>24262</v>
      </c>
      <c r="M12161" s="17"/>
      <c r="N12161" s="17" t="s">
        <v>25249</v>
      </c>
      <c r="O12161" s="17" t="s">
        <v>25320</v>
      </c>
      <c r="P12161" s="17" t="s">
        <v>25745</v>
      </c>
      <c r="Q12161" s="17"/>
      <c r="R12161" s="25" t="str">
        <f>HYPERLINK("https://ictv.global/taxonomy/taxondetails?taxnode_id=202301785","Mousrhavirus moussa")</f>
        <v>Mousrhavirus moussa</v>
      </c>
      <c r="S12161" s="18" t="s">
        <v>30</v>
      </c>
      <c r="T12161" s="18" t="s">
        <v>25746</v>
      </c>
      <c r="U12161" s="18" t="s">
        <v>25747</v>
      </c>
      <c r="V12161" s="18" t="s">
        <v>25748</v>
      </c>
      <c r="W12161" s="18" t="s">
        <v>25749</v>
      </c>
      <c r="X12161" s="18" t="s">
        <v>42</v>
      </c>
      <c r="Y12161" s="18" t="s">
        <v>23964</v>
      </c>
      <c r="Z12161" s="18" t="s">
        <v>10790</v>
      </c>
      <c r="AA12161" s="21" t="str">
        <f>HYPERLINK("https://www.ncbi.nlm.nih.gov/nuccore/FJ985748","NCBI Nucleotide")</f>
        <v>NCBI Nucleotide</v>
      </c>
    </row>
    <row r="12162" spans="1:27" x14ac:dyDescent="0.35">
      <c r="A12162">
        <v>1027694</v>
      </c>
      <c r="B12162">
        <v>11450</v>
      </c>
      <c r="C12162">
        <v>1</v>
      </c>
      <c r="D12162" s="17" t="s">
        <v>17166</v>
      </c>
      <c r="E12162" s="17"/>
      <c r="F12162" s="17" t="s">
        <v>17246</v>
      </c>
      <c r="G12162" s="17"/>
      <c r="H12162" s="17" t="s">
        <v>23950</v>
      </c>
      <c r="I12162" s="17" t="s">
        <v>23956</v>
      </c>
      <c r="J12162" s="17" t="s">
        <v>24017</v>
      </c>
      <c r="K12162" s="17"/>
      <c r="L12162" s="17" t="s">
        <v>24262</v>
      </c>
      <c r="M12162" s="17"/>
      <c r="N12162" s="17" t="s">
        <v>25249</v>
      </c>
      <c r="O12162" s="17" t="s">
        <v>25320</v>
      </c>
      <c r="P12162" s="17" t="s">
        <v>25750</v>
      </c>
      <c r="Q12162" s="17"/>
      <c r="R12162" s="25" t="str">
        <f>HYPERLINK("https://ictv.global/taxonomy/taxondetails?taxnode_id=202318250","Ohlsrhavirus adumi")</f>
        <v>Ohlsrhavirus adumi</v>
      </c>
      <c r="S12162" s="18" t="s">
        <v>30</v>
      </c>
      <c r="T12162" s="18" t="s">
        <v>46674</v>
      </c>
      <c r="U12162" s="18" t="s">
        <v>46675</v>
      </c>
      <c r="V12162" s="18" t="s">
        <v>46676</v>
      </c>
      <c r="W12162" s="18" t="s">
        <v>50916</v>
      </c>
      <c r="X12162" s="18" t="s">
        <v>35</v>
      </c>
      <c r="Y12162" s="18" t="s">
        <v>23964</v>
      </c>
      <c r="Z12162" s="18" t="s">
        <v>17413</v>
      </c>
      <c r="AA12162" s="21" t="str">
        <f>HYPERLINK("https://www.ncbi.nlm.nih.gov/nuccore/OQ077989","NCBI Nucleotide")</f>
        <v>NCBI Nucleotide</v>
      </c>
    </row>
    <row r="12163" spans="1:27" x14ac:dyDescent="0.35">
      <c r="A12163">
        <v>1010803</v>
      </c>
      <c r="B12163">
        <v>11451</v>
      </c>
      <c r="C12163">
        <v>1</v>
      </c>
      <c r="D12163" s="17" t="s">
        <v>17166</v>
      </c>
      <c r="E12163" s="17"/>
      <c r="F12163" s="17" t="s">
        <v>17246</v>
      </c>
      <c r="G12163" s="17"/>
      <c r="H12163" s="17" t="s">
        <v>23950</v>
      </c>
      <c r="I12163" s="17" t="s">
        <v>23956</v>
      </c>
      <c r="J12163" s="17" t="s">
        <v>24017</v>
      </c>
      <c r="K12163" s="17"/>
      <c r="L12163" s="17" t="s">
        <v>24262</v>
      </c>
      <c r="M12163" s="17"/>
      <c r="N12163" s="17" t="s">
        <v>25249</v>
      </c>
      <c r="O12163" s="17" t="s">
        <v>25320</v>
      </c>
      <c r="P12163" s="17" t="s">
        <v>25750</v>
      </c>
      <c r="Q12163" s="17"/>
      <c r="R12163" s="25" t="str">
        <f>HYPERLINK("https://ictv.global/taxonomy/taxondetails?taxnode_id=202309154","Ohlsrhavirus angeles")</f>
        <v>Ohlsrhavirus angeles</v>
      </c>
      <c r="S12163" s="18" t="s">
        <v>30</v>
      </c>
      <c r="T12163" s="18" t="s">
        <v>25751</v>
      </c>
      <c r="U12163" s="18" t="s">
        <v>25752</v>
      </c>
      <c r="V12163" s="18"/>
      <c r="W12163" s="18" t="s">
        <v>25753</v>
      </c>
      <c r="X12163" s="18" t="s">
        <v>35</v>
      </c>
      <c r="Y12163" s="18" t="s">
        <v>23964</v>
      </c>
      <c r="Z12163" s="18" t="s">
        <v>10790</v>
      </c>
      <c r="AA12163" s="21" t="str">
        <f>HYPERLINK("https://www.ncbi.nlm.nih.gov/nuccore/MH188003","NCBI Nucleotide")</f>
        <v>NCBI Nucleotide</v>
      </c>
    </row>
    <row r="12164" spans="1:27" x14ac:dyDescent="0.35">
      <c r="A12164">
        <v>1010804</v>
      </c>
      <c r="B12164">
        <v>11452</v>
      </c>
      <c r="C12164">
        <v>1</v>
      </c>
      <c r="D12164" s="17" t="s">
        <v>17166</v>
      </c>
      <c r="E12164" s="17"/>
      <c r="F12164" s="17" t="s">
        <v>17246</v>
      </c>
      <c r="G12164" s="17"/>
      <c r="H12164" s="17" t="s">
        <v>23950</v>
      </c>
      <c r="I12164" s="17" t="s">
        <v>23956</v>
      </c>
      <c r="J12164" s="17" t="s">
        <v>24017</v>
      </c>
      <c r="K12164" s="17"/>
      <c r="L12164" s="17" t="s">
        <v>24262</v>
      </c>
      <c r="M12164" s="17"/>
      <c r="N12164" s="17" t="s">
        <v>25249</v>
      </c>
      <c r="O12164" s="17" t="s">
        <v>25320</v>
      </c>
      <c r="P12164" s="17" t="s">
        <v>25750</v>
      </c>
      <c r="Q12164" s="17"/>
      <c r="R12164" s="25" t="str">
        <f>HYPERLINK("https://ictv.global/taxonomy/taxondetails?taxnode_id=202307696","Ohlsrhavirus culex")</f>
        <v>Ohlsrhavirus culex</v>
      </c>
      <c r="S12164" s="18" t="s">
        <v>30</v>
      </c>
      <c r="T12164" s="18" t="s">
        <v>25754</v>
      </c>
      <c r="U12164" s="18" t="s">
        <v>25755</v>
      </c>
      <c r="V12164" s="18" t="s">
        <v>25756</v>
      </c>
      <c r="W12164" s="18" t="s">
        <v>25757</v>
      </c>
      <c r="X12164" s="18" t="s">
        <v>35</v>
      </c>
      <c r="Y12164" s="18" t="s">
        <v>23964</v>
      </c>
      <c r="Z12164" s="18" t="s">
        <v>10790</v>
      </c>
      <c r="AA12164" s="21" t="str">
        <f>HYPERLINK("https://www.ncbi.nlm.nih.gov/nuccore/MF176333","NCBI Nucleotide")</f>
        <v>NCBI Nucleotide</v>
      </c>
    </row>
    <row r="12165" spans="1:27" x14ac:dyDescent="0.35">
      <c r="A12165">
        <v>1010805</v>
      </c>
      <c r="B12165">
        <v>11453</v>
      </c>
      <c r="C12165">
        <v>1</v>
      </c>
      <c r="D12165" s="17" t="s">
        <v>17166</v>
      </c>
      <c r="E12165" s="17"/>
      <c r="F12165" s="17" t="s">
        <v>17246</v>
      </c>
      <c r="G12165" s="17"/>
      <c r="H12165" s="17" t="s">
        <v>23950</v>
      </c>
      <c r="I12165" s="17" t="s">
        <v>23956</v>
      </c>
      <c r="J12165" s="17" t="s">
        <v>24017</v>
      </c>
      <c r="K12165" s="17"/>
      <c r="L12165" s="17" t="s">
        <v>24262</v>
      </c>
      <c r="M12165" s="17"/>
      <c r="N12165" s="17" t="s">
        <v>25249</v>
      </c>
      <c r="O12165" s="17" t="s">
        <v>25320</v>
      </c>
      <c r="P12165" s="17" t="s">
        <v>25750</v>
      </c>
      <c r="Q12165" s="17"/>
      <c r="R12165" s="25" t="str">
        <f>HYPERLINK("https://ictv.global/taxonomy/taxondetails?taxnode_id=202309155","Ohlsrhavirus lobeira")</f>
        <v>Ohlsrhavirus lobeira</v>
      </c>
      <c r="S12165" s="18" t="s">
        <v>30</v>
      </c>
      <c r="T12165" s="18" t="s">
        <v>25758</v>
      </c>
      <c r="U12165" s="18" t="s">
        <v>25759</v>
      </c>
      <c r="V12165" s="18" t="s">
        <v>25760</v>
      </c>
      <c r="W12165" s="18" t="s">
        <v>25761</v>
      </c>
      <c r="X12165" s="18" t="s">
        <v>154</v>
      </c>
      <c r="Y12165" s="18" t="s">
        <v>23964</v>
      </c>
      <c r="Z12165" s="18" t="s">
        <v>10790</v>
      </c>
      <c r="AA12165" s="21" t="str">
        <f>HYPERLINK("https://www.ncbi.nlm.nih.gov/nuccore/MK780203","NCBI Nucleotide")</f>
        <v>NCBI Nucleotide</v>
      </c>
    </row>
    <row r="12166" spans="1:27" x14ac:dyDescent="0.35">
      <c r="A12166">
        <v>1010806</v>
      </c>
      <c r="B12166">
        <v>11454</v>
      </c>
      <c r="C12166">
        <v>1</v>
      </c>
      <c r="D12166" s="17" t="s">
        <v>17166</v>
      </c>
      <c r="E12166" s="17"/>
      <c r="F12166" s="17" t="s">
        <v>17246</v>
      </c>
      <c r="G12166" s="17"/>
      <c r="H12166" s="17" t="s">
        <v>23950</v>
      </c>
      <c r="I12166" s="17" t="s">
        <v>23956</v>
      </c>
      <c r="J12166" s="17" t="s">
        <v>24017</v>
      </c>
      <c r="K12166" s="17"/>
      <c r="L12166" s="17" t="s">
        <v>24262</v>
      </c>
      <c r="M12166" s="17"/>
      <c r="N12166" s="17" t="s">
        <v>25249</v>
      </c>
      <c r="O12166" s="17" t="s">
        <v>25320</v>
      </c>
      <c r="P12166" s="17" t="s">
        <v>25750</v>
      </c>
      <c r="Q12166" s="17"/>
      <c r="R12166" s="25" t="str">
        <f>HYPERLINK("https://ictv.global/taxonomy/taxondetails?taxnode_id=202307697","Ohlsrhavirus northcreek")</f>
        <v>Ohlsrhavirus northcreek</v>
      </c>
      <c r="S12166" s="18" t="s">
        <v>30</v>
      </c>
      <c r="T12166" s="18" t="s">
        <v>25762</v>
      </c>
      <c r="U12166" s="18" t="s">
        <v>25763</v>
      </c>
      <c r="V12166" s="18">
        <v>954</v>
      </c>
      <c r="W12166" s="18" t="s">
        <v>25764</v>
      </c>
      <c r="X12166" s="18" t="s">
        <v>154</v>
      </c>
      <c r="Y12166" s="18" t="s">
        <v>23964</v>
      </c>
      <c r="Z12166" s="18" t="s">
        <v>10790</v>
      </c>
      <c r="AA12166" s="21" t="str">
        <f>HYPERLINK("https://www.ncbi.nlm.nih.gov/nuccore/KF360970,KF360971,KF360972,KF360973","NCBI Nucleotide")</f>
        <v>NCBI Nucleotide</v>
      </c>
    </row>
    <row r="12167" spans="1:27" x14ac:dyDescent="0.35">
      <c r="A12167">
        <v>1010807</v>
      </c>
      <c r="B12167">
        <v>11455</v>
      </c>
      <c r="C12167">
        <v>1</v>
      </c>
      <c r="D12167" s="17" t="s">
        <v>17166</v>
      </c>
      <c r="E12167" s="17"/>
      <c r="F12167" s="17" t="s">
        <v>17246</v>
      </c>
      <c r="G12167" s="17"/>
      <c r="H12167" s="17" t="s">
        <v>23950</v>
      </c>
      <c r="I12167" s="17" t="s">
        <v>23956</v>
      </c>
      <c r="J12167" s="17" t="s">
        <v>24017</v>
      </c>
      <c r="K12167" s="17"/>
      <c r="L12167" s="17" t="s">
        <v>24262</v>
      </c>
      <c r="M12167" s="17"/>
      <c r="N12167" s="17" t="s">
        <v>25249</v>
      </c>
      <c r="O12167" s="17" t="s">
        <v>25320</v>
      </c>
      <c r="P12167" s="17" t="s">
        <v>25750</v>
      </c>
      <c r="Q12167" s="17"/>
      <c r="R12167" s="25" t="str">
        <f>HYPERLINK("https://ictv.global/taxonomy/taxondetails?taxnode_id=202307693","Ohlsrhavirus ohlsdorf")</f>
        <v>Ohlsrhavirus ohlsdorf</v>
      </c>
      <c r="S12167" s="18" t="s">
        <v>30</v>
      </c>
      <c r="T12167" s="18" t="s">
        <v>25765</v>
      </c>
      <c r="U12167" s="18" t="s">
        <v>25766</v>
      </c>
      <c r="V12167" s="18" t="s">
        <v>25767</v>
      </c>
      <c r="W12167" s="18" t="s">
        <v>25768</v>
      </c>
      <c r="X12167" s="18" t="s">
        <v>35</v>
      </c>
      <c r="Y12167" s="18" t="s">
        <v>23964</v>
      </c>
      <c r="Z12167" s="18" t="s">
        <v>10790</v>
      </c>
      <c r="AA12167" s="21" t="str">
        <f>HYPERLINK("https://www.ncbi.nlm.nih.gov/nuccore/KY768856","NCBI Nucleotide")</f>
        <v>NCBI Nucleotide</v>
      </c>
    </row>
    <row r="12168" spans="1:27" x14ac:dyDescent="0.35">
      <c r="A12168">
        <v>1010808</v>
      </c>
      <c r="B12168">
        <v>11456</v>
      </c>
      <c r="C12168">
        <v>1</v>
      </c>
      <c r="D12168" s="17" t="s">
        <v>17166</v>
      </c>
      <c r="E12168" s="17"/>
      <c r="F12168" s="17" t="s">
        <v>17246</v>
      </c>
      <c r="G12168" s="17"/>
      <c r="H12168" s="17" t="s">
        <v>23950</v>
      </c>
      <c r="I12168" s="17" t="s">
        <v>23956</v>
      </c>
      <c r="J12168" s="17" t="s">
        <v>24017</v>
      </c>
      <c r="K12168" s="17"/>
      <c r="L12168" s="17" t="s">
        <v>24262</v>
      </c>
      <c r="M12168" s="17"/>
      <c r="N12168" s="17" t="s">
        <v>25249</v>
      </c>
      <c r="O12168" s="17" t="s">
        <v>25320</v>
      </c>
      <c r="P12168" s="17" t="s">
        <v>25750</v>
      </c>
      <c r="Q12168" s="17"/>
      <c r="R12168" s="25" t="str">
        <f>HYPERLINK("https://ictv.global/taxonomy/taxondetails?taxnode_id=202309153","Ohlsrhavirus pseudovishnui")</f>
        <v>Ohlsrhavirus pseudovishnui</v>
      </c>
      <c r="S12168" s="18" t="s">
        <v>30</v>
      </c>
      <c r="T12168" s="18" t="s">
        <v>25769</v>
      </c>
      <c r="U12168" s="18" t="s">
        <v>16124</v>
      </c>
      <c r="V12168" s="18" t="s">
        <v>25770</v>
      </c>
      <c r="W12168" s="18" t="s">
        <v>25771</v>
      </c>
      <c r="X12168" s="18" t="s">
        <v>35</v>
      </c>
      <c r="Y12168" s="18" t="s">
        <v>23964</v>
      </c>
      <c r="Z12168" s="18" t="s">
        <v>10790</v>
      </c>
      <c r="AA12168" s="21" t="str">
        <f>HYPERLINK("https://www.ncbi.nlm.nih.gov/nuccore/LC514057","NCBI Nucleotide")</f>
        <v>NCBI Nucleotide</v>
      </c>
    </row>
    <row r="12169" spans="1:27" x14ac:dyDescent="0.35">
      <c r="A12169">
        <v>1010809</v>
      </c>
      <c r="B12169">
        <v>11457</v>
      </c>
      <c r="C12169">
        <v>1</v>
      </c>
      <c r="D12169" s="17" t="s">
        <v>17166</v>
      </c>
      <c r="E12169" s="17"/>
      <c r="F12169" s="17" t="s">
        <v>17246</v>
      </c>
      <c r="G12169" s="17"/>
      <c r="H12169" s="17" t="s">
        <v>23950</v>
      </c>
      <c r="I12169" s="17" t="s">
        <v>23956</v>
      </c>
      <c r="J12169" s="17" t="s">
        <v>24017</v>
      </c>
      <c r="K12169" s="17"/>
      <c r="L12169" s="17" t="s">
        <v>24262</v>
      </c>
      <c r="M12169" s="17"/>
      <c r="N12169" s="17" t="s">
        <v>25249</v>
      </c>
      <c r="O12169" s="17" t="s">
        <v>25320</v>
      </c>
      <c r="P12169" s="17" t="s">
        <v>25750</v>
      </c>
      <c r="Q12169" s="17"/>
      <c r="R12169" s="25" t="str">
        <f>HYPERLINK("https://ictv.global/taxonomy/taxondetails?taxnode_id=202307695","Ohlsrhavirus riverside")</f>
        <v>Ohlsrhavirus riverside</v>
      </c>
      <c r="S12169" s="18" t="s">
        <v>30</v>
      </c>
      <c r="T12169" s="18" t="s">
        <v>50942</v>
      </c>
      <c r="U12169" s="18" t="s">
        <v>25772</v>
      </c>
      <c r="V12169" s="18" t="s">
        <v>25773</v>
      </c>
      <c r="W12169" s="18" t="s">
        <v>25774</v>
      </c>
      <c r="X12169" s="18" t="s">
        <v>35</v>
      </c>
      <c r="Y12169" s="18" t="s">
        <v>23964</v>
      </c>
      <c r="Z12169" s="18" t="s">
        <v>10790</v>
      </c>
      <c r="AA12169" s="21" t="str">
        <f>HYPERLINK("https://www.ncbi.nlm.nih.gov/nuccore/KU248085","NCBI Nucleotide")</f>
        <v>NCBI Nucleotide</v>
      </c>
    </row>
    <row r="12170" spans="1:27" x14ac:dyDescent="0.35">
      <c r="A12170">
        <v>1010810</v>
      </c>
      <c r="B12170">
        <v>11458</v>
      </c>
      <c r="C12170">
        <v>1</v>
      </c>
      <c r="D12170" s="17" t="s">
        <v>17166</v>
      </c>
      <c r="E12170" s="17"/>
      <c r="F12170" s="17" t="s">
        <v>17246</v>
      </c>
      <c r="G12170" s="17"/>
      <c r="H12170" s="17" t="s">
        <v>23950</v>
      </c>
      <c r="I12170" s="17" t="s">
        <v>23956</v>
      </c>
      <c r="J12170" s="17" t="s">
        <v>24017</v>
      </c>
      <c r="K12170" s="17"/>
      <c r="L12170" s="17" t="s">
        <v>24262</v>
      </c>
      <c r="M12170" s="17"/>
      <c r="N12170" s="17" t="s">
        <v>25249</v>
      </c>
      <c r="O12170" s="17" t="s">
        <v>25320</v>
      </c>
      <c r="P12170" s="17" t="s">
        <v>25750</v>
      </c>
      <c r="Q12170" s="17"/>
      <c r="R12170" s="25" t="str">
        <f>HYPERLINK("https://ictv.global/taxonomy/taxondetails?taxnode_id=202307694","Ohlsrhavirus tongilchon")</f>
        <v>Ohlsrhavirus tongilchon</v>
      </c>
      <c r="S12170" s="18" t="s">
        <v>30</v>
      </c>
      <c r="T12170" s="18" t="s">
        <v>25775</v>
      </c>
      <c r="U12170" s="18" t="s">
        <v>25776</v>
      </c>
      <c r="V12170" s="18" t="s">
        <v>25777</v>
      </c>
      <c r="W12170" s="18" t="s">
        <v>25778</v>
      </c>
      <c r="X12170" s="18" t="s">
        <v>35</v>
      </c>
      <c r="Y12170" s="18" t="s">
        <v>23964</v>
      </c>
      <c r="Z12170" s="18" t="s">
        <v>10790</v>
      </c>
      <c r="AA12170" s="21" t="str">
        <f>HYPERLINK("https://www.ncbi.nlm.nih.gov/nuccore/KU095840","NCBI Nucleotide")</f>
        <v>NCBI Nucleotide</v>
      </c>
    </row>
    <row r="12171" spans="1:27" x14ac:dyDescent="0.35">
      <c r="A12171">
        <v>1010811</v>
      </c>
      <c r="B12171">
        <v>11459</v>
      </c>
      <c r="C12171">
        <v>1</v>
      </c>
      <c r="D12171" s="17" t="s">
        <v>17166</v>
      </c>
      <c r="E12171" s="17"/>
      <c r="F12171" s="17" t="s">
        <v>17246</v>
      </c>
      <c r="G12171" s="17"/>
      <c r="H12171" s="17" t="s">
        <v>23950</v>
      </c>
      <c r="I12171" s="17" t="s">
        <v>23956</v>
      </c>
      <c r="J12171" s="17" t="s">
        <v>24017</v>
      </c>
      <c r="K12171" s="17"/>
      <c r="L12171" s="17" t="s">
        <v>24262</v>
      </c>
      <c r="M12171" s="17"/>
      <c r="N12171" s="17" t="s">
        <v>25249</v>
      </c>
      <c r="O12171" s="17" t="s">
        <v>25320</v>
      </c>
      <c r="P12171" s="17" t="s">
        <v>25779</v>
      </c>
      <c r="Q12171" s="17"/>
      <c r="R12171" s="25" t="str">
        <f>HYPERLINK("https://ictv.global/taxonomy/taxondetails?taxnode_id=202301753","Perhabdovirus anguilla")</f>
        <v>Perhabdovirus anguilla</v>
      </c>
      <c r="S12171" s="18" t="s">
        <v>30</v>
      </c>
      <c r="T12171" s="18" t="s">
        <v>25780</v>
      </c>
      <c r="U12171" s="18" t="s">
        <v>25781</v>
      </c>
      <c r="V12171" s="18" t="s">
        <v>25782</v>
      </c>
      <c r="W12171" s="18" t="s">
        <v>25783</v>
      </c>
      <c r="X12171" s="18" t="s">
        <v>42</v>
      </c>
      <c r="Y12171" s="18" t="s">
        <v>23964</v>
      </c>
      <c r="Z12171" s="18" t="s">
        <v>166</v>
      </c>
      <c r="AA12171" s="21" t="str">
        <f>HYPERLINK("https://www.ncbi.nlm.nih.gov/nuccore/FN557213","NCBI Nucleotide")</f>
        <v>NCBI Nucleotide</v>
      </c>
    </row>
    <row r="12172" spans="1:27" x14ac:dyDescent="0.35">
      <c r="A12172">
        <v>1012879</v>
      </c>
      <c r="B12172">
        <v>11459</v>
      </c>
      <c r="C12172">
        <v>2</v>
      </c>
      <c r="D12172" s="17" t="s">
        <v>17166</v>
      </c>
      <c r="E12172" s="17"/>
      <c r="F12172" s="17" t="s">
        <v>17246</v>
      </c>
      <c r="G12172" s="17"/>
      <c r="H12172" s="17" t="s">
        <v>23950</v>
      </c>
      <c r="I12172" s="17" t="s">
        <v>23956</v>
      </c>
      <c r="J12172" s="17" t="s">
        <v>24017</v>
      </c>
      <c r="K12172" s="17"/>
      <c r="L12172" s="17" t="s">
        <v>24262</v>
      </c>
      <c r="M12172" s="17"/>
      <c r="N12172" s="17" t="s">
        <v>25249</v>
      </c>
      <c r="O12172" s="17" t="s">
        <v>25320</v>
      </c>
      <c r="P12172" s="17" t="s">
        <v>25779</v>
      </c>
      <c r="Q12172" s="17"/>
      <c r="R12172" s="25" t="str">
        <f>HYPERLINK("https://ictv.global/taxonomy/taxondetails?taxnode_id=202301753","Perhabdovirus anguilla")</f>
        <v>Perhabdovirus anguilla</v>
      </c>
      <c r="S12172" s="18" t="s">
        <v>8141</v>
      </c>
      <c r="T12172" s="18" t="s">
        <v>25784</v>
      </c>
      <c r="U12172" s="18" t="s">
        <v>25785</v>
      </c>
      <c r="V12172" s="18" t="s">
        <v>25786</v>
      </c>
      <c r="W12172" s="18" t="s">
        <v>49435</v>
      </c>
      <c r="X12172" s="18" t="s">
        <v>154</v>
      </c>
      <c r="Y12172" s="18" t="s">
        <v>23964</v>
      </c>
      <c r="Z12172" s="18" t="s">
        <v>166</v>
      </c>
      <c r="AA12172" s="21" t="str">
        <f>HYPERLINK("https://www.ncbi.nlm.nih.gov/nuccore/KC608035","NCBI Nucleotide")</f>
        <v>NCBI Nucleotide</v>
      </c>
    </row>
    <row r="12173" spans="1:27" x14ac:dyDescent="0.35">
      <c r="A12173">
        <v>1010812</v>
      </c>
      <c r="B12173">
        <v>11460</v>
      </c>
      <c r="C12173">
        <v>1</v>
      </c>
      <c r="D12173" s="17" t="s">
        <v>17166</v>
      </c>
      <c r="E12173" s="17"/>
      <c r="F12173" s="17" t="s">
        <v>17246</v>
      </c>
      <c r="G12173" s="17"/>
      <c r="H12173" s="17" t="s">
        <v>23950</v>
      </c>
      <c r="I12173" s="17" t="s">
        <v>23956</v>
      </c>
      <c r="J12173" s="17" t="s">
        <v>24017</v>
      </c>
      <c r="K12173" s="17"/>
      <c r="L12173" s="17" t="s">
        <v>24262</v>
      </c>
      <c r="M12173" s="17"/>
      <c r="N12173" s="17" t="s">
        <v>25249</v>
      </c>
      <c r="O12173" s="17" t="s">
        <v>25320</v>
      </c>
      <c r="P12173" s="17" t="s">
        <v>25779</v>
      </c>
      <c r="Q12173" s="17"/>
      <c r="R12173" s="25" t="str">
        <f>HYPERLINK("https://ictv.global/taxonomy/taxondetails?taxnode_id=202313313","Perhabdovirus leman")</f>
        <v>Perhabdovirus leman</v>
      </c>
      <c r="S12173" s="18" t="s">
        <v>30</v>
      </c>
      <c r="T12173" s="18" t="s">
        <v>25787</v>
      </c>
      <c r="U12173" s="18" t="s">
        <v>25788</v>
      </c>
      <c r="V12173" s="18" t="s">
        <v>25789</v>
      </c>
      <c r="W12173" s="18" t="s">
        <v>25790</v>
      </c>
      <c r="X12173" s="18" t="s">
        <v>42</v>
      </c>
      <c r="Y12173" s="18" t="s">
        <v>23964</v>
      </c>
      <c r="Z12173" s="18" t="s">
        <v>166</v>
      </c>
      <c r="AA12173" s="21" t="str">
        <f>HYPERLINK("https://www.ncbi.nlm.nih.gov/nuccore/MN963996","NCBI Nucleotide")</f>
        <v>NCBI Nucleotide</v>
      </c>
    </row>
    <row r="12174" spans="1:27" x14ac:dyDescent="0.35">
      <c r="A12174">
        <v>1010813</v>
      </c>
      <c r="B12174">
        <v>11461</v>
      </c>
      <c r="C12174">
        <v>1</v>
      </c>
      <c r="D12174" s="17" t="s">
        <v>17166</v>
      </c>
      <c r="E12174" s="17"/>
      <c r="F12174" s="17" t="s">
        <v>17246</v>
      </c>
      <c r="G12174" s="17"/>
      <c r="H12174" s="17" t="s">
        <v>23950</v>
      </c>
      <c r="I12174" s="17" t="s">
        <v>23956</v>
      </c>
      <c r="J12174" s="17" t="s">
        <v>24017</v>
      </c>
      <c r="K12174" s="17"/>
      <c r="L12174" s="17" t="s">
        <v>24262</v>
      </c>
      <c r="M12174" s="17"/>
      <c r="N12174" s="17" t="s">
        <v>25249</v>
      </c>
      <c r="O12174" s="17" t="s">
        <v>25320</v>
      </c>
      <c r="P12174" s="17" t="s">
        <v>25779</v>
      </c>
      <c r="Q12174" s="17"/>
      <c r="R12174" s="25" t="str">
        <f>HYPERLINK("https://ictv.global/taxonomy/taxondetails?taxnode_id=202301754","Perhabdovirus perca")</f>
        <v>Perhabdovirus perca</v>
      </c>
      <c r="S12174" s="18" t="s">
        <v>30</v>
      </c>
      <c r="T12174" s="18" t="s">
        <v>25791</v>
      </c>
      <c r="U12174" s="18" t="s">
        <v>17946</v>
      </c>
      <c r="V12174" s="18"/>
      <c r="W12174" s="18" t="s">
        <v>25792</v>
      </c>
      <c r="X12174" s="18" t="s">
        <v>35</v>
      </c>
      <c r="Y12174" s="18" t="s">
        <v>23964</v>
      </c>
      <c r="Z12174" s="18" t="s">
        <v>166</v>
      </c>
      <c r="AA12174" s="21" t="str">
        <f>HYPERLINK("https://www.ncbi.nlm.nih.gov/nuccore/JX679246","NCBI Nucleotide")</f>
        <v>NCBI Nucleotide</v>
      </c>
    </row>
    <row r="12175" spans="1:27" x14ac:dyDescent="0.35">
      <c r="A12175">
        <v>1010814</v>
      </c>
      <c r="B12175">
        <v>11462</v>
      </c>
      <c r="C12175">
        <v>1</v>
      </c>
      <c r="D12175" s="17" t="s">
        <v>17166</v>
      </c>
      <c r="E12175" s="17"/>
      <c r="F12175" s="17" t="s">
        <v>17246</v>
      </c>
      <c r="G12175" s="17"/>
      <c r="H12175" s="17" t="s">
        <v>23950</v>
      </c>
      <c r="I12175" s="17" t="s">
        <v>23956</v>
      </c>
      <c r="J12175" s="17" t="s">
        <v>24017</v>
      </c>
      <c r="K12175" s="17"/>
      <c r="L12175" s="17" t="s">
        <v>24262</v>
      </c>
      <c r="M12175" s="17"/>
      <c r="N12175" s="17" t="s">
        <v>25249</v>
      </c>
      <c r="O12175" s="17" t="s">
        <v>25320</v>
      </c>
      <c r="P12175" s="17" t="s">
        <v>25779</v>
      </c>
      <c r="Q12175" s="17"/>
      <c r="R12175" s="25" t="str">
        <f>HYPERLINK("https://ictv.global/taxonomy/taxondetails?taxnode_id=202301755","Perhabdovirus trutta")</f>
        <v>Perhabdovirus trutta</v>
      </c>
      <c r="S12175" s="18" t="s">
        <v>30</v>
      </c>
      <c r="T12175" s="18" t="s">
        <v>25793</v>
      </c>
      <c r="U12175" s="18" t="s">
        <v>25794</v>
      </c>
      <c r="V12175" s="18" t="s">
        <v>50917</v>
      </c>
      <c r="W12175" s="18" t="s">
        <v>50918</v>
      </c>
      <c r="X12175" s="18" t="s">
        <v>42</v>
      </c>
      <c r="Y12175" s="18" t="s">
        <v>23964</v>
      </c>
      <c r="Z12175" s="18" t="s">
        <v>166</v>
      </c>
      <c r="AA12175" s="21" t="str">
        <f>HYPERLINK("https://www.ncbi.nlm.nih.gov/nuccore/MN963997","NCBI Nucleotide")</f>
        <v>NCBI Nucleotide</v>
      </c>
    </row>
    <row r="12176" spans="1:27" x14ac:dyDescent="0.35">
      <c r="A12176">
        <v>1010815</v>
      </c>
      <c r="B12176">
        <v>11463</v>
      </c>
      <c r="C12176">
        <v>1</v>
      </c>
      <c r="D12176" s="17" t="s">
        <v>17166</v>
      </c>
      <c r="E12176" s="17"/>
      <c r="F12176" s="17" t="s">
        <v>17246</v>
      </c>
      <c r="G12176" s="17"/>
      <c r="H12176" s="17" t="s">
        <v>23950</v>
      </c>
      <c r="I12176" s="17" t="s">
        <v>23956</v>
      </c>
      <c r="J12176" s="17" t="s">
        <v>24017</v>
      </c>
      <c r="K12176" s="17"/>
      <c r="L12176" s="17" t="s">
        <v>24262</v>
      </c>
      <c r="M12176" s="17"/>
      <c r="N12176" s="17" t="s">
        <v>25249</v>
      </c>
      <c r="O12176" s="17" t="s">
        <v>25320</v>
      </c>
      <c r="P12176" s="17" t="s">
        <v>25795</v>
      </c>
      <c r="Q12176" s="17"/>
      <c r="R12176" s="25" t="str">
        <f>HYPERLINK("https://ictv.global/taxonomy/taxondetails?taxnode_id=202312251","Replylivirus allogus")</f>
        <v>Replylivirus allogus</v>
      </c>
      <c r="S12176" s="18" t="s">
        <v>30</v>
      </c>
      <c r="T12176" s="18" t="s">
        <v>25796</v>
      </c>
      <c r="U12176" s="18" t="s">
        <v>25797</v>
      </c>
      <c r="V12176" s="18" t="s">
        <v>25798</v>
      </c>
      <c r="W12176" s="18" t="s">
        <v>25799</v>
      </c>
      <c r="X12176" s="18" t="s">
        <v>35</v>
      </c>
      <c r="Y12176" s="18" t="s">
        <v>23964</v>
      </c>
      <c r="Z12176" s="18" t="s">
        <v>166</v>
      </c>
      <c r="AA12176" s="21" t="str">
        <f>HYPERLINK("https://www.ncbi.nlm.nih.gov/nuccore/BR001666","NCBI Nucleotide")</f>
        <v>NCBI Nucleotide</v>
      </c>
    </row>
    <row r="12177" spans="1:27" x14ac:dyDescent="0.35">
      <c r="A12177">
        <v>1010816</v>
      </c>
      <c r="B12177">
        <v>11464</v>
      </c>
      <c r="C12177">
        <v>1</v>
      </c>
      <c r="D12177" s="17" t="s">
        <v>17166</v>
      </c>
      <c r="E12177" s="17"/>
      <c r="F12177" s="17" t="s">
        <v>17246</v>
      </c>
      <c r="G12177" s="17"/>
      <c r="H12177" s="17" t="s">
        <v>23950</v>
      </c>
      <c r="I12177" s="17" t="s">
        <v>23956</v>
      </c>
      <c r="J12177" s="17" t="s">
        <v>24017</v>
      </c>
      <c r="K12177" s="17"/>
      <c r="L12177" s="17" t="s">
        <v>24262</v>
      </c>
      <c r="M12177" s="17"/>
      <c r="N12177" s="17" t="s">
        <v>25249</v>
      </c>
      <c r="O12177" s="17" t="s">
        <v>25320</v>
      </c>
      <c r="P12177" s="17" t="s">
        <v>25800</v>
      </c>
      <c r="Q12177" s="17"/>
      <c r="R12177" s="25" t="str">
        <f>HYPERLINK("https://ictv.global/taxonomy/taxondetails?taxnode_id=202307386","Sawgrhavirus connecticut")</f>
        <v>Sawgrhavirus connecticut</v>
      </c>
      <c r="S12177" s="18" t="s">
        <v>30</v>
      </c>
      <c r="T12177" s="18" t="s">
        <v>25801</v>
      </c>
      <c r="U12177" s="18" t="s">
        <v>25802</v>
      </c>
      <c r="V12177" s="18" t="s">
        <v>25803</v>
      </c>
      <c r="W12177" s="18" t="s">
        <v>25804</v>
      </c>
      <c r="X12177" s="18" t="s">
        <v>35</v>
      </c>
      <c r="Y12177" s="18" t="s">
        <v>23964</v>
      </c>
      <c r="Z12177" s="18" t="s">
        <v>10790</v>
      </c>
      <c r="AA12177" s="21" t="str">
        <f>HYPERLINK("https://www.ncbi.nlm.nih.gov/nuccore/KM205020","NCBI Nucleotide")</f>
        <v>NCBI Nucleotide</v>
      </c>
    </row>
    <row r="12178" spans="1:27" x14ac:dyDescent="0.35">
      <c r="A12178">
        <v>1010817</v>
      </c>
      <c r="B12178">
        <v>11465</v>
      </c>
      <c r="C12178">
        <v>1</v>
      </c>
      <c r="D12178" s="17" t="s">
        <v>17166</v>
      </c>
      <c r="E12178" s="17"/>
      <c r="F12178" s="17" t="s">
        <v>17246</v>
      </c>
      <c r="G12178" s="17"/>
      <c r="H12178" s="17" t="s">
        <v>23950</v>
      </c>
      <c r="I12178" s="17" t="s">
        <v>23956</v>
      </c>
      <c r="J12178" s="17" t="s">
        <v>24017</v>
      </c>
      <c r="K12178" s="17"/>
      <c r="L12178" s="17" t="s">
        <v>24262</v>
      </c>
      <c r="M12178" s="17"/>
      <c r="N12178" s="17" t="s">
        <v>25249</v>
      </c>
      <c r="O12178" s="17" t="s">
        <v>25320</v>
      </c>
      <c r="P12178" s="17" t="s">
        <v>25800</v>
      </c>
      <c r="Q12178" s="17"/>
      <c r="R12178" s="25" t="str">
        <f>HYPERLINK("https://ictv.global/taxonomy/taxondetails?taxnode_id=202307387","Sawgrhavirus longisland")</f>
        <v>Sawgrhavirus longisland</v>
      </c>
      <c r="S12178" s="18" t="s">
        <v>30</v>
      </c>
      <c r="T12178" s="18" t="s">
        <v>25805</v>
      </c>
      <c r="U12178" s="18" t="s">
        <v>25671</v>
      </c>
      <c r="V12178" s="18" t="s">
        <v>25806</v>
      </c>
      <c r="W12178" s="18" t="s">
        <v>25807</v>
      </c>
      <c r="X12178" s="18" t="s">
        <v>42</v>
      </c>
      <c r="Y12178" s="18" t="s">
        <v>23964</v>
      </c>
      <c r="Z12178" s="18" t="s">
        <v>10790</v>
      </c>
      <c r="AA12178" s="21" t="str">
        <f>HYPERLINK("https://www.ncbi.nlm.nih.gov/nuccore/KJ396935","NCBI Nucleotide")</f>
        <v>NCBI Nucleotide</v>
      </c>
    </row>
    <row r="12179" spans="1:27" x14ac:dyDescent="0.35">
      <c r="A12179">
        <v>1010818</v>
      </c>
      <c r="B12179">
        <v>11466</v>
      </c>
      <c r="C12179">
        <v>1</v>
      </c>
      <c r="D12179" s="17" t="s">
        <v>17166</v>
      </c>
      <c r="E12179" s="17"/>
      <c r="F12179" s="17" t="s">
        <v>17246</v>
      </c>
      <c r="G12179" s="17"/>
      <c r="H12179" s="17" t="s">
        <v>23950</v>
      </c>
      <c r="I12179" s="17" t="s">
        <v>23956</v>
      </c>
      <c r="J12179" s="17" t="s">
        <v>24017</v>
      </c>
      <c r="K12179" s="17"/>
      <c r="L12179" s="17" t="s">
        <v>24262</v>
      </c>
      <c r="M12179" s="17"/>
      <c r="N12179" s="17" t="s">
        <v>25249</v>
      </c>
      <c r="O12179" s="17" t="s">
        <v>25320</v>
      </c>
      <c r="P12179" s="17" t="s">
        <v>25800</v>
      </c>
      <c r="Q12179" s="17"/>
      <c r="R12179" s="25" t="str">
        <f>HYPERLINK("https://ictv.global/taxonomy/taxondetails?taxnode_id=202307385","Sawgrhavirus minto")</f>
        <v>Sawgrhavirus minto</v>
      </c>
      <c r="S12179" s="18" t="s">
        <v>30</v>
      </c>
      <c r="T12179" s="18" t="s">
        <v>25808</v>
      </c>
      <c r="U12179" s="18" t="s">
        <v>19175</v>
      </c>
      <c r="V12179" s="18">
        <v>579</v>
      </c>
      <c r="W12179" s="18" t="s">
        <v>25809</v>
      </c>
      <c r="X12179" s="18" t="s">
        <v>35</v>
      </c>
      <c r="Y12179" s="18" t="s">
        <v>23964</v>
      </c>
      <c r="Z12179" s="18" t="s">
        <v>10790</v>
      </c>
      <c r="AA12179" s="21" t="str">
        <f>HYPERLINK("https://www.ncbi.nlm.nih.gov/nuccore/KM205009","NCBI Nucleotide")</f>
        <v>NCBI Nucleotide</v>
      </c>
    </row>
    <row r="12180" spans="1:27" x14ac:dyDescent="0.35">
      <c r="A12180">
        <v>1010819</v>
      </c>
      <c r="B12180">
        <v>11467</v>
      </c>
      <c r="C12180">
        <v>1</v>
      </c>
      <c r="D12180" s="17" t="s">
        <v>17166</v>
      </c>
      <c r="E12180" s="17"/>
      <c r="F12180" s="17" t="s">
        <v>17246</v>
      </c>
      <c r="G12180" s="17"/>
      <c r="H12180" s="17" t="s">
        <v>23950</v>
      </c>
      <c r="I12180" s="17" t="s">
        <v>23956</v>
      </c>
      <c r="J12180" s="17" t="s">
        <v>24017</v>
      </c>
      <c r="K12180" s="17"/>
      <c r="L12180" s="17" t="s">
        <v>24262</v>
      </c>
      <c r="M12180" s="17"/>
      <c r="N12180" s="17" t="s">
        <v>25249</v>
      </c>
      <c r="O12180" s="17" t="s">
        <v>25320</v>
      </c>
      <c r="P12180" s="17" t="s">
        <v>25800</v>
      </c>
      <c r="Q12180" s="17"/>
      <c r="R12180" s="25" t="str">
        <f>HYPERLINK("https://ictv.global/taxonomy/taxondetails?taxnode_id=202307384","Sawgrhavirus sawgrass")</f>
        <v>Sawgrhavirus sawgrass</v>
      </c>
      <c r="S12180" s="18" t="s">
        <v>30</v>
      </c>
      <c r="T12180" s="18" t="s">
        <v>25810</v>
      </c>
      <c r="U12180" s="18" t="s">
        <v>25811</v>
      </c>
      <c r="V12180" s="18" t="s">
        <v>25812</v>
      </c>
      <c r="W12180" s="18" t="s">
        <v>25813</v>
      </c>
      <c r="X12180" s="18" t="s">
        <v>42</v>
      </c>
      <c r="Y12180" s="18" t="s">
        <v>23964</v>
      </c>
      <c r="Z12180" s="18" t="s">
        <v>10790</v>
      </c>
      <c r="AA12180" s="21" t="str">
        <f>HYPERLINK("https://www.ncbi.nlm.nih.gov/nuccore/KM205013","NCBI Nucleotide")</f>
        <v>NCBI Nucleotide</v>
      </c>
    </row>
    <row r="12181" spans="1:27" x14ac:dyDescent="0.35">
      <c r="A12181">
        <v>1010820</v>
      </c>
      <c r="B12181">
        <v>11468</v>
      </c>
      <c r="C12181">
        <v>1</v>
      </c>
      <c r="D12181" s="17" t="s">
        <v>17166</v>
      </c>
      <c r="E12181" s="17"/>
      <c r="F12181" s="17" t="s">
        <v>17246</v>
      </c>
      <c r="G12181" s="17"/>
      <c r="H12181" s="17" t="s">
        <v>23950</v>
      </c>
      <c r="I12181" s="17" t="s">
        <v>23956</v>
      </c>
      <c r="J12181" s="17" t="s">
        <v>24017</v>
      </c>
      <c r="K12181" s="17"/>
      <c r="L12181" s="17" t="s">
        <v>24262</v>
      </c>
      <c r="M12181" s="17"/>
      <c r="N12181" s="17" t="s">
        <v>25249</v>
      </c>
      <c r="O12181" s="17" t="s">
        <v>25320</v>
      </c>
      <c r="P12181" s="17" t="s">
        <v>25814</v>
      </c>
      <c r="Q12181" s="17"/>
      <c r="R12181" s="25" t="str">
        <f>HYPERLINK("https://ictv.global/taxonomy/taxondetails?taxnode_id=202313322","Scophrhavirus chanodychthys")</f>
        <v>Scophrhavirus chanodychthys</v>
      </c>
      <c r="S12181" s="18" t="s">
        <v>30</v>
      </c>
      <c r="T12181" s="18" t="s">
        <v>25815</v>
      </c>
      <c r="U12181" s="18" t="s">
        <v>25816</v>
      </c>
      <c r="V12181" s="18" t="s">
        <v>25817</v>
      </c>
      <c r="W12181" s="18" t="s">
        <v>25818</v>
      </c>
      <c r="X12181" s="18" t="s">
        <v>35</v>
      </c>
      <c r="Y12181" s="18" t="s">
        <v>23964</v>
      </c>
      <c r="Z12181" s="18" t="s">
        <v>166</v>
      </c>
      <c r="AA12181" s="21" t="str">
        <f>HYPERLINK("https://www.ncbi.nlm.nih.gov/nuccore/MG600013","NCBI Nucleotide")</f>
        <v>NCBI Nucleotide</v>
      </c>
    </row>
    <row r="12182" spans="1:27" x14ac:dyDescent="0.35">
      <c r="A12182">
        <v>1010821</v>
      </c>
      <c r="B12182">
        <v>11469</v>
      </c>
      <c r="C12182">
        <v>1</v>
      </c>
      <c r="D12182" s="17" t="s">
        <v>17166</v>
      </c>
      <c r="E12182" s="17"/>
      <c r="F12182" s="17" t="s">
        <v>17246</v>
      </c>
      <c r="G12182" s="17"/>
      <c r="H12182" s="17" t="s">
        <v>23950</v>
      </c>
      <c r="I12182" s="17" t="s">
        <v>23956</v>
      </c>
      <c r="J12182" s="17" t="s">
        <v>24017</v>
      </c>
      <c r="K12182" s="17"/>
      <c r="L12182" s="17" t="s">
        <v>24262</v>
      </c>
      <c r="M12182" s="17"/>
      <c r="N12182" s="17" t="s">
        <v>25249</v>
      </c>
      <c r="O12182" s="17" t="s">
        <v>25320</v>
      </c>
      <c r="P12182" s="17" t="s">
        <v>25814</v>
      </c>
      <c r="Q12182" s="17"/>
      <c r="R12182" s="25" t="str">
        <f>HYPERLINK("https://ictv.global/taxonomy/taxondetails?taxnode_id=202313321","Scophrhavirus maximus")</f>
        <v>Scophrhavirus maximus</v>
      </c>
      <c r="S12182" s="18" t="s">
        <v>30</v>
      </c>
      <c r="T12182" s="18" t="s">
        <v>25819</v>
      </c>
      <c r="U12182" s="18" t="s">
        <v>25820</v>
      </c>
      <c r="V12182" s="18"/>
      <c r="W12182" s="18" t="s">
        <v>25821</v>
      </c>
      <c r="X12182" s="18" t="s">
        <v>42</v>
      </c>
      <c r="Y12182" s="18" t="s">
        <v>23964</v>
      </c>
      <c r="Z12182" s="18" t="s">
        <v>166</v>
      </c>
      <c r="AA12182" s="21" t="str">
        <f>HYPERLINK("https://www.ncbi.nlm.nih.gov/nuccore/HQ003891","NCBI Nucleotide")</f>
        <v>NCBI Nucleotide</v>
      </c>
    </row>
    <row r="12183" spans="1:27" x14ac:dyDescent="0.35">
      <c r="A12183">
        <v>1010822</v>
      </c>
      <c r="B12183">
        <v>11470</v>
      </c>
      <c r="C12183">
        <v>1</v>
      </c>
      <c r="D12183" s="17" t="s">
        <v>17166</v>
      </c>
      <c r="E12183" s="17"/>
      <c r="F12183" s="17" t="s">
        <v>17246</v>
      </c>
      <c r="G12183" s="17"/>
      <c r="H12183" s="17" t="s">
        <v>23950</v>
      </c>
      <c r="I12183" s="17" t="s">
        <v>23956</v>
      </c>
      <c r="J12183" s="17" t="s">
        <v>24017</v>
      </c>
      <c r="K12183" s="17"/>
      <c r="L12183" s="17" t="s">
        <v>24262</v>
      </c>
      <c r="M12183" s="17"/>
      <c r="N12183" s="17" t="s">
        <v>25249</v>
      </c>
      <c r="O12183" s="17" t="s">
        <v>25320</v>
      </c>
      <c r="P12183" s="17" t="s">
        <v>25822</v>
      </c>
      <c r="Q12183" s="17"/>
      <c r="R12183" s="25" t="str">
        <f>HYPERLINK("https://ictv.global/taxonomy/taxondetails?taxnode_id=202301757","Sigmavirus affinis")</f>
        <v>Sigmavirus affinis</v>
      </c>
      <c r="S12183" s="18" t="s">
        <v>30</v>
      </c>
      <c r="T12183" s="18" t="s">
        <v>25823</v>
      </c>
      <c r="U12183" s="18" t="s">
        <v>25824</v>
      </c>
      <c r="V12183" s="18">
        <v>10</v>
      </c>
      <c r="W12183" s="18" t="s">
        <v>25825</v>
      </c>
      <c r="X12183" s="18" t="s">
        <v>35</v>
      </c>
      <c r="Y12183" s="18" t="s">
        <v>23964</v>
      </c>
      <c r="Z12183" s="18" t="s">
        <v>10790</v>
      </c>
      <c r="AA12183" s="21" t="str">
        <f>HYPERLINK("https://www.ncbi.nlm.nih.gov/nuccore/KR822811","NCBI Nucleotide")</f>
        <v>NCBI Nucleotide</v>
      </c>
    </row>
    <row r="12184" spans="1:27" x14ac:dyDescent="0.35">
      <c r="A12184">
        <v>1010823</v>
      </c>
      <c r="B12184">
        <v>11471</v>
      </c>
      <c r="C12184">
        <v>1</v>
      </c>
      <c r="D12184" s="17" t="s">
        <v>17166</v>
      </c>
      <c r="E12184" s="17"/>
      <c r="F12184" s="17" t="s">
        <v>17246</v>
      </c>
      <c r="G12184" s="17"/>
      <c r="H12184" s="17" t="s">
        <v>23950</v>
      </c>
      <c r="I12184" s="17" t="s">
        <v>23956</v>
      </c>
      <c r="J12184" s="17" t="s">
        <v>24017</v>
      </c>
      <c r="K12184" s="17"/>
      <c r="L12184" s="17" t="s">
        <v>24262</v>
      </c>
      <c r="M12184" s="17"/>
      <c r="N12184" s="17" t="s">
        <v>25249</v>
      </c>
      <c r="O12184" s="17" t="s">
        <v>25320</v>
      </c>
      <c r="P12184" s="17" t="s">
        <v>25822</v>
      </c>
      <c r="Q12184" s="17"/>
      <c r="R12184" s="25" t="str">
        <f>HYPERLINK("https://ictv.global/taxonomy/taxondetails?taxnode_id=202301758","Sigmavirus ananassae")</f>
        <v>Sigmavirus ananassae</v>
      </c>
      <c r="S12184" s="18" t="s">
        <v>30</v>
      </c>
      <c r="T12184" s="18" t="s">
        <v>25826</v>
      </c>
      <c r="U12184" s="18" t="s">
        <v>25827</v>
      </c>
      <c r="V12184" s="18" t="s">
        <v>25828</v>
      </c>
      <c r="W12184" s="18" t="s">
        <v>25829</v>
      </c>
      <c r="X12184" s="18" t="s">
        <v>35</v>
      </c>
      <c r="Y12184" s="18" t="s">
        <v>23964</v>
      </c>
      <c r="Z12184" s="18" t="s">
        <v>10790</v>
      </c>
      <c r="AA12184" s="21" t="str">
        <f>HYPERLINK("https://www.ncbi.nlm.nih.gov/nuccore/KR822812","NCBI Nucleotide")</f>
        <v>NCBI Nucleotide</v>
      </c>
    </row>
    <row r="12185" spans="1:27" x14ac:dyDescent="0.35">
      <c r="A12185">
        <v>1010824</v>
      </c>
      <c r="B12185">
        <v>11472</v>
      </c>
      <c r="C12185">
        <v>1</v>
      </c>
      <c r="D12185" s="17" t="s">
        <v>17166</v>
      </c>
      <c r="E12185" s="17"/>
      <c r="F12185" s="17" t="s">
        <v>17246</v>
      </c>
      <c r="G12185" s="17"/>
      <c r="H12185" s="17" t="s">
        <v>23950</v>
      </c>
      <c r="I12185" s="17" t="s">
        <v>23956</v>
      </c>
      <c r="J12185" s="17" t="s">
        <v>24017</v>
      </c>
      <c r="K12185" s="17"/>
      <c r="L12185" s="17" t="s">
        <v>24262</v>
      </c>
      <c r="M12185" s="17"/>
      <c r="N12185" s="17" t="s">
        <v>25249</v>
      </c>
      <c r="O12185" s="17" t="s">
        <v>25320</v>
      </c>
      <c r="P12185" s="17" t="s">
        <v>25822</v>
      </c>
      <c r="Q12185" s="17"/>
      <c r="R12185" s="25" t="str">
        <f>HYPERLINK("https://ictv.global/taxonomy/taxondetails?taxnode_id=202308829","Sigmavirus capitata")</f>
        <v>Sigmavirus capitata</v>
      </c>
      <c r="S12185" s="18" t="s">
        <v>30</v>
      </c>
      <c r="T12185" s="18" t="s">
        <v>25830</v>
      </c>
      <c r="U12185" s="18" t="s">
        <v>25831</v>
      </c>
      <c r="V12185" s="18" t="s">
        <v>25832</v>
      </c>
      <c r="W12185" s="18" t="s">
        <v>25833</v>
      </c>
      <c r="X12185" s="18" t="s">
        <v>35</v>
      </c>
      <c r="Y12185" s="18" t="s">
        <v>23964</v>
      </c>
      <c r="Z12185" s="18" t="s">
        <v>10790</v>
      </c>
      <c r="AA12185" s="21" t="str">
        <f>HYPERLINK("https://www.ncbi.nlm.nih.gov/nuccore/KR822825","NCBI Nucleotide")</f>
        <v>NCBI Nucleotide</v>
      </c>
    </row>
    <row r="12186" spans="1:27" x14ac:dyDescent="0.35">
      <c r="A12186">
        <v>1010825</v>
      </c>
      <c r="B12186">
        <v>11473</v>
      </c>
      <c r="C12186">
        <v>1</v>
      </c>
      <c r="D12186" s="17" t="s">
        <v>17166</v>
      </c>
      <c r="E12186" s="17"/>
      <c r="F12186" s="17" t="s">
        <v>17246</v>
      </c>
      <c r="G12186" s="17"/>
      <c r="H12186" s="17" t="s">
        <v>23950</v>
      </c>
      <c r="I12186" s="17" t="s">
        <v>23956</v>
      </c>
      <c r="J12186" s="17" t="s">
        <v>24017</v>
      </c>
      <c r="K12186" s="17"/>
      <c r="L12186" s="17" t="s">
        <v>24262</v>
      </c>
      <c r="M12186" s="17"/>
      <c r="N12186" s="17" t="s">
        <v>25249</v>
      </c>
      <c r="O12186" s="17" t="s">
        <v>25320</v>
      </c>
      <c r="P12186" s="17" t="s">
        <v>25822</v>
      </c>
      <c r="Q12186" s="17"/>
      <c r="R12186" s="25" t="str">
        <f>HYPERLINK("https://ictv.global/taxonomy/taxondetails?taxnode_id=202308833","Sigmavirus domestica")</f>
        <v>Sigmavirus domestica</v>
      </c>
      <c r="S12186" s="18" t="s">
        <v>30</v>
      </c>
      <c r="T12186" s="18" t="s">
        <v>25834</v>
      </c>
      <c r="U12186" s="18" t="s">
        <v>25835</v>
      </c>
      <c r="V12186" s="18" t="s">
        <v>25836</v>
      </c>
      <c r="W12186" s="18" t="s">
        <v>25837</v>
      </c>
      <c r="X12186" s="18" t="s">
        <v>35</v>
      </c>
      <c r="Y12186" s="18" t="s">
        <v>23964</v>
      </c>
      <c r="Z12186" s="18" t="s">
        <v>10790</v>
      </c>
      <c r="AA12186" s="21" t="str">
        <f>HYPERLINK("https://www.ncbi.nlm.nih.gov/nuccore/KM817646","NCBI Nucleotide")</f>
        <v>NCBI Nucleotide</v>
      </c>
    </row>
    <row r="12187" spans="1:27" x14ac:dyDescent="0.35">
      <c r="A12187">
        <v>1010826</v>
      </c>
      <c r="B12187">
        <v>11474</v>
      </c>
      <c r="C12187">
        <v>1</v>
      </c>
      <c r="D12187" s="17" t="s">
        <v>17166</v>
      </c>
      <c r="E12187" s="17"/>
      <c r="F12187" s="17" t="s">
        <v>17246</v>
      </c>
      <c r="G12187" s="17"/>
      <c r="H12187" s="17" t="s">
        <v>23950</v>
      </c>
      <c r="I12187" s="17" t="s">
        <v>23956</v>
      </c>
      <c r="J12187" s="17" t="s">
        <v>24017</v>
      </c>
      <c r="K12187" s="17"/>
      <c r="L12187" s="17" t="s">
        <v>24262</v>
      </c>
      <c r="M12187" s="17"/>
      <c r="N12187" s="17" t="s">
        <v>25249</v>
      </c>
      <c r="O12187" s="17" t="s">
        <v>25320</v>
      </c>
      <c r="P12187" s="17" t="s">
        <v>25822</v>
      </c>
      <c r="Q12187" s="17"/>
      <c r="R12187" s="25" t="str">
        <f>HYPERLINK("https://ictv.global/taxonomy/taxondetails?taxnode_id=202308824","Sigmavirus hippoboscid")</f>
        <v>Sigmavirus hippoboscid</v>
      </c>
      <c r="S12187" s="18" t="s">
        <v>30</v>
      </c>
      <c r="T12187" s="18" t="s">
        <v>25838</v>
      </c>
      <c r="U12187" s="18" t="s">
        <v>25839</v>
      </c>
      <c r="V12187" s="18" t="s">
        <v>25840</v>
      </c>
      <c r="W12187" s="18" t="s">
        <v>25841</v>
      </c>
      <c r="X12187" s="18" t="s">
        <v>35</v>
      </c>
      <c r="Y12187" s="18" t="s">
        <v>23964</v>
      </c>
      <c r="Z12187" s="18" t="s">
        <v>10790</v>
      </c>
      <c r="AA12187" s="21" t="str">
        <f>HYPERLINK("https://www.ncbi.nlm.nih.gov/nuccore/KM817656","NCBI Nucleotide")</f>
        <v>NCBI Nucleotide</v>
      </c>
    </row>
    <row r="12188" spans="1:27" x14ac:dyDescent="0.35">
      <c r="A12188">
        <v>1010827</v>
      </c>
      <c r="B12188">
        <v>11475</v>
      </c>
      <c r="C12188">
        <v>1</v>
      </c>
      <c r="D12188" s="17" t="s">
        <v>17166</v>
      </c>
      <c r="E12188" s="17"/>
      <c r="F12188" s="17" t="s">
        <v>17246</v>
      </c>
      <c r="G12188" s="17"/>
      <c r="H12188" s="17" t="s">
        <v>23950</v>
      </c>
      <c r="I12188" s="17" t="s">
        <v>23956</v>
      </c>
      <c r="J12188" s="17" t="s">
        <v>24017</v>
      </c>
      <c r="K12188" s="17"/>
      <c r="L12188" s="17" t="s">
        <v>24262</v>
      </c>
      <c r="M12188" s="17"/>
      <c r="N12188" s="17" t="s">
        <v>25249</v>
      </c>
      <c r="O12188" s="17" t="s">
        <v>25320</v>
      </c>
      <c r="P12188" s="17" t="s">
        <v>25822</v>
      </c>
      <c r="Q12188" s="17"/>
      <c r="R12188" s="25" t="str">
        <f>HYPERLINK("https://ictv.global/taxonomy/taxondetails?taxnode_id=202308827","Sigmavirus hubei")</f>
        <v>Sigmavirus hubei</v>
      </c>
      <c r="S12188" s="18" t="s">
        <v>30</v>
      </c>
      <c r="T12188" s="18" t="s">
        <v>25842</v>
      </c>
      <c r="U12188" s="18" t="s">
        <v>25843</v>
      </c>
      <c r="V12188" s="18" t="s">
        <v>25844</v>
      </c>
      <c r="W12188" s="18" t="s">
        <v>25845</v>
      </c>
      <c r="X12188" s="18" t="s">
        <v>35</v>
      </c>
      <c r="Y12188" s="18" t="s">
        <v>23964</v>
      </c>
      <c r="Z12188" s="18" t="s">
        <v>10790</v>
      </c>
      <c r="AA12188" s="21" t="str">
        <f>HYPERLINK("https://www.ncbi.nlm.nih.gov/nuccore/KX884429","NCBI Nucleotide")</f>
        <v>NCBI Nucleotide</v>
      </c>
    </row>
    <row r="12189" spans="1:27" x14ac:dyDescent="0.35">
      <c r="A12189">
        <v>1010828</v>
      </c>
      <c r="B12189">
        <v>11476</v>
      </c>
      <c r="C12189">
        <v>1</v>
      </c>
      <c r="D12189" s="17" t="s">
        <v>17166</v>
      </c>
      <c r="E12189" s="17"/>
      <c r="F12189" s="17" t="s">
        <v>17246</v>
      </c>
      <c r="G12189" s="17"/>
      <c r="H12189" s="17" t="s">
        <v>23950</v>
      </c>
      <c r="I12189" s="17" t="s">
        <v>23956</v>
      </c>
      <c r="J12189" s="17" t="s">
        <v>24017</v>
      </c>
      <c r="K12189" s="17"/>
      <c r="L12189" s="17" t="s">
        <v>24262</v>
      </c>
      <c r="M12189" s="17"/>
      <c r="N12189" s="17" t="s">
        <v>25249</v>
      </c>
      <c r="O12189" s="17" t="s">
        <v>25320</v>
      </c>
      <c r="P12189" s="17" t="s">
        <v>25822</v>
      </c>
      <c r="Q12189" s="17"/>
      <c r="R12189" s="25" t="str">
        <f>HYPERLINK("https://ictv.global/taxonomy/taxondetails?taxnode_id=202301759","Sigmavirus immigrans")</f>
        <v>Sigmavirus immigrans</v>
      </c>
      <c r="S12189" s="18" t="s">
        <v>30</v>
      </c>
      <c r="T12189" s="18" t="s">
        <v>25846</v>
      </c>
      <c r="U12189" s="18" t="s">
        <v>25847</v>
      </c>
      <c r="V12189" s="18" t="s">
        <v>25848</v>
      </c>
      <c r="W12189" s="18" t="s">
        <v>25849</v>
      </c>
      <c r="X12189" s="18" t="s">
        <v>35</v>
      </c>
      <c r="Y12189" s="18" t="s">
        <v>23964</v>
      </c>
      <c r="Z12189" s="18" t="s">
        <v>10790</v>
      </c>
      <c r="AA12189" s="21" t="str">
        <f>HYPERLINK("https://www.ncbi.nlm.nih.gov/nuccore/KX884434","NCBI Nucleotide")</f>
        <v>NCBI Nucleotide</v>
      </c>
    </row>
    <row r="12190" spans="1:27" x14ac:dyDescent="0.35">
      <c r="A12190">
        <v>1027739</v>
      </c>
      <c r="B12190">
        <v>11477</v>
      </c>
      <c r="C12190">
        <v>1</v>
      </c>
      <c r="D12190" s="17" t="s">
        <v>17166</v>
      </c>
      <c r="E12190" s="17"/>
      <c r="F12190" s="17" t="s">
        <v>17246</v>
      </c>
      <c r="G12190" s="17"/>
      <c r="H12190" s="17" t="s">
        <v>23950</v>
      </c>
      <c r="I12190" s="17" t="s">
        <v>23956</v>
      </c>
      <c r="J12190" s="17" t="s">
        <v>24017</v>
      </c>
      <c r="K12190" s="17"/>
      <c r="L12190" s="17" t="s">
        <v>24262</v>
      </c>
      <c r="M12190" s="17"/>
      <c r="N12190" s="17" t="s">
        <v>25249</v>
      </c>
      <c r="O12190" s="17" t="s">
        <v>25320</v>
      </c>
      <c r="P12190" s="17" t="s">
        <v>25822</v>
      </c>
      <c r="Q12190" s="17"/>
      <c r="R12190" s="25" t="str">
        <f>HYPERLINK("https://ictv.global/taxonomy/taxondetails?taxnode_id=202317784","Sigmavirus jopcycgri")</f>
        <v>Sigmavirus jopcycgri</v>
      </c>
      <c r="S12190" s="18" t="s">
        <v>30</v>
      </c>
      <c r="T12190" s="18" t="s">
        <v>46677</v>
      </c>
      <c r="U12190" s="18" t="s">
        <v>46678</v>
      </c>
      <c r="V12190" s="18" t="s">
        <v>46679</v>
      </c>
      <c r="W12190" s="18" t="s">
        <v>46680</v>
      </c>
      <c r="X12190" s="18" t="s">
        <v>35</v>
      </c>
      <c r="Y12190" s="18" t="s">
        <v>23964</v>
      </c>
      <c r="Z12190" s="18" t="s">
        <v>17413</v>
      </c>
      <c r="AA12190" s="21" t="str">
        <f>HYPERLINK("https://www.ncbi.nlm.nih.gov/nuccore/ON324119","NCBI Nucleotide")</f>
        <v>NCBI Nucleotide</v>
      </c>
    </row>
    <row r="12191" spans="1:27" x14ac:dyDescent="0.35">
      <c r="A12191">
        <v>1010829</v>
      </c>
      <c r="B12191">
        <v>11478</v>
      </c>
      <c r="C12191">
        <v>1</v>
      </c>
      <c r="D12191" s="17" t="s">
        <v>17166</v>
      </c>
      <c r="E12191" s="17"/>
      <c r="F12191" s="17" t="s">
        <v>17246</v>
      </c>
      <c r="G12191" s="17"/>
      <c r="H12191" s="17" t="s">
        <v>23950</v>
      </c>
      <c r="I12191" s="17" t="s">
        <v>23956</v>
      </c>
      <c r="J12191" s="17" t="s">
        <v>24017</v>
      </c>
      <c r="K12191" s="17"/>
      <c r="L12191" s="17" t="s">
        <v>24262</v>
      </c>
      <c r="M12191" s="17"/>
      <c r="N12191" s="17" t="s">
        <v>25249</v>
      </c>
      <c r="O12191" s="17" t="s">
        <v>25320</v>
      </c>
      <c r="P12191" s="17" t="s">
        <v>25822</v>
      </c>
      <c r="Q12191" s="17"/>
      <c r="R12191" s="25" t="str">
        <f>HYPERLINK("https://ictv.global/taxonomy/taxondetails?taxnode_id=202308825","Sigmavirus lousefly")</f>
        <v>Sigmavirus lousefly</v>
      </c>
      <c r="S12191" s="18" t="s">
        <v>30</v>
      </c>
      <c r="T12191" s="18" t="s">
        <v>25850</v>
      </c>
      <c r="U12191" s="18" t="s">
        <v>25851</v>
      </c>
      <c r="V12191" s="18" t="s">
        <v>25852</v>
      </c>
      <c r="W12191" s="18" t="s">
        <v>25853</v>
      </c>
      <c r="X12191" s="18" t="s">
        <v>35</v>
      </c>
      <c r="Y12191" s="18" t="s">
        <v>23964</v>
      </c>
      <c r="Z12191" s="18" t="s">
        <v>10790</v>
      </c>
      <c r="AA12191" s="21" t="str">
        <f>HYPERLINK("https://www.ncbi.nlm.nih.gov/nuccore/KM817657","NCBI Nucleotide")</f>
        <v>NCBI Nucleotide</v>
      </c>
    </row>
    <row r="12192" spans="1:27" x14ac:dyDescent="0.35">
      <c r="A12192">
        <v>1010830</v>
      </c>
      <c r="B12192">
        <v>11479</v>
      </c>
      <c r="C12192">
        <v>1</v>
      </c>
      <c r="D12192" s="17" t="s">
        <v>17166</v>
      </c>
      <c r="E12192" s="17"/>
      <c r="F12192" s="17" t="s">
        <v>17246</v>
      </c>
      <c r="G12192" s="17"/>
      <c r="H12192" s="17" t="s">
        <v>23950</v>
      </c>
      <c r="I12192" s="17" t="s">
        <v>23956</v>
      </c>
      <c r="J12192" s="17" t="s">
        <v>24017</v>
      </c>
      <c r="K12192" s="17"/>
      <c r="L12192" s="17" t="s">
        <v>24262</v>
      </c>
      <c r="M12192" s="17"/>
      <c r="N12192" s="17" t="s">
        <v>25249</v>
      </c>
      <c r="O12192" s="17" t="s">
        <v>25320</v>
      </c>
      <c r="P12192" s="17" t="s">
        <v>25822</v>
      </c>
      <c r="Q12192" s="17"/>
      <c r="R12192" s="25" t="str">
        <f>HYPERLINK("https://ictv.global/taxonomy/taxondetails?taxnode_id=202301760","Sigmavirus melanogaster")</f>
        <v>Sigmavirus melanogaster</v>
      </c>
      <c r="S12192" s="18" t="s">
        <v>30</v>
      </c>
      <c r="T12192" s="18" t="s">
        <v>25854</v>
      </c>
      <c r="U12192" s="18" t="s">
        <v>25855</v>
      </c>
      <c r="V12192" s="18" t="s">
        <v>25856</v>
      </c>
      <c r="W12192" s="18" t="s">
        <v>25857</v>
      </c>
      <c r="X12192" s="18" t="s">
        <v>35</v>
      </c>
      <c r="Y12192" s="18" t="s">
        <v>23964</v>
      </c>
      <c r="Z12192" s="18" t="s">
        <v>10790</v>
      </c>
      <c r="AA12192" s="21" t="str">
        <f>HYPERLINK("https://www.ncbi.nlm.nih.gov/nuccore/GQ375258","NCBI Nucleotide")</f>
        <v>NCBI Nucleotide</v>
      </c>
    </row>
    <row r="12193" spans="1:27" x14ac:dyDescent="0.35">
      <c r="A12193">
        <v>1010831</v>
      </c>
      <c r="B12193">
        <v>11480</v>
      </c>
      <c r="C12193">
        <v>1</v>
      </c>
      <c r="D12193" s="17" t="s">
        <v>17166</v>
      </c>
      <c r="E12193" s="17"/>
      <c r="F12193" s="17" t="s">
        <v>17246</v>
      </c>
      <c r="G12193" s="17"/>
      <c r="H12193" s="17" t="s">
        <v>23950</v>
      </c>
      <c r="I12193" s="17" t="s">
        <v>23956</v>
      </c>
      <c r="J12193" s="17" t="s">
        <v>24017</v>
      </c>
      <c r="K12193" s="17"/>
      <c r="L12193" s="17" t="s">
        <v>24262</v>
      </c>
      <c r="M12193" s="17"/>
      <c r="N12193" s="17" t="s">
        <v>25249</v>
      </c>
      <c r="O12193" s="17" t="s">
        <v>25320</v>
      </c>
      <c r="P12193" s="17" t="s">
        <v>25822</v>
      </c>
      <c r="Q12193" s="17"/>
      <c r="R12193" s="25" t="str">
        <f>HYPERLINK("https://ictv.global/taxonomy/taxondetails?taxnode_id=202301763","Sigmavirus muscina")</f>
        <v>Sigmavirus muscina</v>
      </c>
      <c r="S12193" s="18" t="s">
        <v>30</v>
      </c>
      <c r="T12193" s="18" t="s">
        <v>25858</v>
      </c>
      <c r="U12193" s="18" t="s">
        <v>25859</v>
      </c>
      <c r="V12193" s="18" t="s">
        <v>25860</v>
      </c>
      <c r="W12193" s="18" t="s">
        <v>25861</v>
      </c>
      <c r="X12193" s="18" t="s">
        <v>154</v>
      </c>
      <c r="Y12193" s="18" t="s">
        <v>23964</v>
      </c>
      <c r="Z12193" s="18" t="s">
        <v>10790</v>
      </c>
      <c r="AA12193" s="21" t="str">
        <f>HYPERLINK("https://www.ncbi.nlm.nih.gov/nuccore/JF311402","NCBI Nucleotide")</f>
        <v>NCBI Nucleotide</v>
      </c>
    </row>
    <row r="12194" spans="1:27" x14ac:dyDescent="0.35">
      <c r="A12194">
        <v>1010832</v>
      </c>
      <c r="B12194">
        <v>11481</v>
      </c>
      <c r="C12194">
        <v>1</v>
      </c>
      <c r="D12194" s="17" t="s">
        <v>17166</v>
      </c>
      <c r="E12194" s="17"/>
      <c r="F12194" s="17" t="s">
        <v>17246</v>
      </c>
      <c r="G12194" s="17"/>
      <c r="H12194" s="17" t="s">
        <v>23950</v>
      </c>
      <c r="I12194" s="17" t="s">
        <v>23956</v>
      </c>
      <c r="J12194" s="17" t="s">
        <v>24017</v>
      </c>
      <c r="K12194" s="17"/>
      <c r="L12194" s="17" t="s">
        <v>24262</v>
      </c>
      <c r="M12194" s="17"/>
      <c r="N12194" s="17" t="s">
        <v>25249</v>
      </c>
      <c r="O12194" s="17" t="s">
        <v>25320</v>
      </c>
      <c r="P12194" s="17" t="s">
        <v>25822</v>
      </c>
      <c r="Q12194" s="17"/>
      <c r="R12194" s="25" t="str">
        <f>HYPERLINK("https://ictv.global/taxonomy/taxondetails?taxnode_id=202308828","Sigmavirus myga")</f>
        <v>Sigmavirus myga</v>
      </c>
      <c r="S12194" s="18" t="s">
        <v>30</v>
      </c>
      <c r="T12194" s="18" t="s">
        <v>25862</v>
      </c>
      <c r="U12194" s="18" t="s">
        <v>25863</v>
      </c>
      <c r="V12194" s="18" t="s">
        <v>25864</v>
      </c>
      <c r="W12194" s="18" t="s">
        <v>25865</v>
      </c>
      <c r="X12194" s="18" t="s">
        <v>35</v>
      </c>
      <c r="Y12194" s="18" t="s">
        <v>23964</v>
      </c>
      <c r="Z12194" s="18" t="s">
        <v>10790</v>
      </c>
      <c r="AA12194" s="21" t="str">
        <f>HYPERLINK("https://www.ncbi.nlm.nih.gov/nuccore/KX884433","NCBI Nucleotide")</f>
        <v>NCBI Nucleotide</v>
      </c>
    </row>
    <row r="12195" spans="1:27" x14ac:dyDescent="0.35">
      <c r="A12195">
        <v>1010833</v>
      </c>
      <c r="B12195">
        <v>11482</v>
      </c>
      <c r="C12195">
        <v>1</v>
      </c>
      <c r="D12195" s="17" t="s">
        <v>17166</v>
      </c>
      <c r="E12195" s="17"/>
      <c r="F12195" s="17" t="s">
        <v>17246</v>
      </c>
      <c r="G12195" s="17"/>
      <c r="H12195" s="17" t="s">
        <v>23950</v>
      </c>
      <c r="I12195" s="17" t="s">
        <v>23956</v>
      </c>
      <c r="J12195" s="17" t="s">
        <v>24017</v>
      </c>
      <c r="K12195" s="17"/>
      <c r="L12195" s="17" t="s">
        <v>24262</v>
      </c>
      <c r="M12195" s="17"/>
      <c r="N12195" s="17" t="s">
        <v>25249</v>
      </c>
      <c r="O12195" s="17" t="s">
        <v>25320</v>
      </c>
      <c r="P12195" s="17" t="s">
        <v>25822</v>
      </c>
      <c r="Q12195" s="17"/>
      <c r="R12195" s="25" t="str">
        <f>HYPERLINK("https://ictv.global/taxonomy/taxondetails?taxnode_id=202301761","Sigmavirus obscura")</f>
        <v>Sigmavirus obscura</v>
      </c>
      <c r="S12195" s="18" t="s">
        <v>30</v>
      </c>
      <c r="T12195" s="18" t="s">
        <v>25866</v>
      </c>
      <c r="U12195" s="18" t="s">
        <v>25867</v>
      </c>
      <c r="V12195" s="18" t="s">
        <v>25868</v>
      </c>
      <c r="W12195" s="18" t="s">
        <v>25869</v>
      </c>
      <c r="X12195" s="18" t="s">
        <v>35</v>
      </c>
      <c r="Y12195" s="18" t="s">
        <v>23964</v>
      </c>
      <c r="Z12195" s="18" t="s">
        <v>10790</v>
      </c>
      <c r="AA12195" s="21" t="str">
        <f>HYPERLINK("https://www.ncbi.nlm.nih.gov/nuccore/GQ410979","NCBI Nucleotide")</f>
        <v>NCBI Nucleotide</v>
      </c>
    </row>
    <row r="12196" spans="1:27" x14ac:dyDescent="0.35">
      <c r="A12196">
        <v>1010834</v>
      </c>
      <c r="B12196">
        <v>11483</v>
      </c>
      <c r="C12196">
        <v>1</v>
      </c>
      <c r="D12196" s="17" t="s">
        <v>17166</v>
      </c>
      <c r="E12196" s="17"/>
      <c r="F12196" s="17" t="s">
        <v>17246</v>
      </c>
      <c r="G12196" s="17"/>
      <c r="H12196" s="17" t="s">
        <v>23950</v>
      </c>
      <c r="I12196" s="17" t="s">
        <v>23956</v>
      </c>
      <c r="J12196" s="17" t="s">
        <v>24017</v>
      </c>
      <c r="K12196" s="17"/>
      <c r="L12196" s="17" t="s">
        <v>24262</v>
      </c>
      <c r="M12196" s="17"/>
      <c r="N12196" s="17" t="s">
        <v>25249</v>
      </c>
      <c r="O12196" s="17" t="s">
        <v>25320</v>
      </c>
      <c r="P12196" s="17" t="s">
        <v>25822</v>
      </c>
      <c r="Q12196" s="17"/>
      <c r="R12196" s="25" t="str">
        <f>HYPERLINK("https://ictv.global/taxonomy/taxondetails?taxnode_id=202308831","Sigmavirus shayang")</f>
        <v>Sigmavirus shayang</v>
      </c>
      <c r="S12196" s="18" t="s">
        <v>30</v>
      </c>
      <c r="T12196" s="18" t="s">
        <v>25870</v>
      </c>
      <c r="U12196" s="18" t="s">
        <v>25871</v>
      </c>
      <c r="V12196" s="18" t="s">
        <v>25872</v>
      </c>
      <c r="W12196" s="18" t="s">
        <v>25873</v>
      </c>
      <c r="X12196" s="18" t="s">
        <v>35</v>
      </c>
      <c r="Y12196" s="18" t="s">
        <v>23964</v>
      </c>
      <c r="Z12196" s="18" t="s">
        <v>10790</v>
      </c>
      <c r="AA12196" s="21" t="str">
        <f>HYPERLINK("https://www.ncbi.nlm.nih.gov/nuccore/KM817635","NCBI Nucleotide")</f>
        <v>NCBI Nucleotide</v>
      </c>
    </row>
    <row r="12197" spans="1:27" x14ac:dyDescent="0.35">
      <c r="A12197">
        <v>1010835</v>
      </c>
      <c r="B12197">
        <v>11484</v>
      </c>
      <c r="C12197">
        <v>1</v>
      </c>
      <c r="D12197" s="17" t="s">
        <v>17166</v>
      </c>
      <c r="E12197" s="17"/>
      <c r="F12197" s="17" t="s">
        <v>17246</v>
      </c>
      <c r="G12197" s="17"/>
      <c r="H12197" s="17" t="s">
        <v>23950</v>
      </c>
      <c r="I12197" s="17" t="s">
        <v>23956</v>
      </c>
      <c r="J12197" s="17" t="s">
        <v>24017</v>
      </c>
      <c r="K12197" s="17"/>
      <c r="L12197" s="17" t="s">
        <v>24262</v>
      </c>
      <c r="M12197" s="17"/>
      <c r="N12197" s="17" t="s">
        <v>25249</v>
      </c>
      <c r="O12197" s="17" t="s">
        <v>25320</v>
      </c>
      <c r="P12197" s="17" t="s">
        <v>25822</v>
      </c>
      <c r="Q12197" s="17"/>
      <c r="R12197" s="25" t="str">
        <f>HYPERLINK("https://ictv.global/taxonomy/taxondetails?taxnode_id=202314158","Sigmavirus sichuan")</f>
        <v>Sigmavirus sichuan</v>
      </c>
      <c r="S12197" s="18" t="s">
        <v>30</v>
      </c>
      <c r="T12197" s="18" t="s">
        <v>25874</v>
      </c>
      <c r="U12197" s="18" t="s">
        <v>25875</v>
      </c>
      <c r="V12197" s="18" t="s">
        <v>25876</v>
      </c>
      <c r="W12197" s="18" t="s">
        <v>25877</v>
      </c>
      <c r="X12197" s="18" t="s">
        <v>35</v>
      </c>
      <c r="Y12197" s="18" t="s">
        <v>23964</v>
      </c>
      <c r="Z12197" s="18" t="s">
        <v>10790</v>
      </c>
      <c r="AA12197" s="21" t="str">
        <f>HYPERLINK("https://www.ncbi.nlm.nih.gov/nuccore/MZ822104","NCBI Nucleotide")</f>
        <v>NCBI Nucleotide</v>
      </c>
    </row>
    <row r="12198" spans="1:27" x14ac:dyDescent="0.35">
      <c r="A12198">
        <v>1010836</v>
      </c>
      <c r="B12198">
        <v>11485</v>
      </c>
      <c r="C12198">
        <v>1</v>
      </c>
      <c r="D12198" s="17" t="s">
        <v>17166</v>
      </c>
      <c r="E12198" s="17"/>
      <c r="F12198" s="17" t="s">
        <v>17246</v>
      </c>
      <c r="G12198" s="17"/>
      <c r="H12198" s="17" t="s">
        <v>23950</v>
      </c>
      <c r="I12198" s="17" t="s">
        <v>23956</v>
      </c>
      <c r="J12198" s="17" t="s">
        <v>24017</v>
      </c>
      <c r="K12198" s="17"/>
      <c r="L12198" s="17" t="s">
        <v>24262</v>
      </c>
      <c r="M12198" s="17"/>
      <c r="N12198" s="17" t="s">
        <v>25249</v>
      </c>
      <c r="O12198" s="17" t="s">
        <v>25320</v>
      </c>
      <c r="P12198" s="17" t="s">
        <v>25822</v>
      </c>
      <c r="Q12198" s="17"/>
      <c r="R12198" s="25" t="str">
        <f>HYPERLINK("https://ictv.global/taxonomy/taxondetails?taxnode_id=202308830","Sigmavirus sturtevanti")</f>
        <v>Sigmavirus sturtevanti</v>
      </c>
      <c r="S12198" s="18" t="s">
        <v>30</v>
      </c>
      <c r="T12198" s="18" t="s">
        <v>25878</v>
      </c>
      <c r="U12198" s="18" t="s">
        <v>25879</v>
      </c>
      <c r="V12198" s="18">
        <v>1</v>
      </c>
      <c r="W12198" s="18" t="s">
        <v>25880</v>
      </c>
      <c r="X12198" s="18" t="s">
        <v>35</v>
      </c>
      <c r="Y12198" s="18" t="s">
        <v>23964</v>
      </c>
      <c r="Z12198" s="18" t="s">
        <v>10790</v>
      </c>
      <c r="AA12198" s="21" t="str">
        <f>HYPERLINK("https://www.ncbi.nlm.nih.gov/nuccore/KR822816","NCBI Nucleotide")</f>
        <v>NCBI Nucleotide</v>
      </c>
    </row>
    <row r="12199" spans="1:27" x14ac:dyDescent="0.35">
      <c r="A12199">
        <v>1010837</v>
      </c>
      <c r="B12199">
        <v>11486</v>
      </c>
      <c r="C12199">
        <v>1</v>
      </c>
      <c r="D12199" s="17" t="s">
        <v>17166</v>
      </c>
      <c r="E12199" s="17"/>
      <c r="F12199" s="17" t="s">
        <v>17246</v>
      </c>
      <c r="G12199" s="17"/>
      <c r="H12199" s="17" t="s">
        <v>23950</v>
      </c>
      <c r="I12199" s="17" t="s">
        <v>23956</v>
      </c>
      <c r="J12199" s="17" t="s">
        <v>24017</v>
      </c>
      <c r="K12199" s="17"/>
      <c r="L12199" s="17" t="s">
        <v>24262</v>
      </c>
      <c r="M12199" s="17"/>
      <c r="N12199" s="17" t="s">
        <v>25249</v>
      </c>
      <c r="O12199" s="17" t="s">
        <v>25320</v>
      </c>
      <c r="P12199" s="17" t="s">
        <v>25822</v>
      </c>
      <c r="Q12199" s="17"/>
      <c r="R12199" s="25" t="str">
        <f>HYPERLINK("https://ictv.global/taxonomy/taxondetails?taxnode_id=202301762","Sigmavirus tristis")</f>
        <v>Sigmavirus tristis</v>
      </c>
      <c r="S12199" s="18" t="s">
        <v>30</v>
      </c>
      <c r="T12199" s="18" t="s">
        <v>25881</v>
      </c>
      <c r="U12199" s="18" t="s">
        <v>25882</v>
      </c>
      <c r="V12199" s="18" t="s">
        <v>25883</v>
      </c>
      <c r="W12199" s="18" t="s">
        <v>25884</v>
      </c>
      <c r="X12199" s="18" t="s">
        <v>154</v>
      </c>
      <c r="Y12199" s="18" t="s">
        <v>23964</v>
      </c>
      <c r="Z12199" s="18" t="s">
        <v>10790</v>
      </c>
      <c r="AA12199" s="21" t="str">
        <f>HYPERLINK("https://www.ncbi.nlm.nih.gov/nuccore/KR822818","NCBI Nucleotide")</f>
        <v>NCBI Nucleotide</v>
      </c>
    </row>
    <row r="12200" spans="1:27" x14ac:dyDescent="0.35">
      <c r="A12200">
        <v>1027740</v>
      </c>
      <c r="B12200">
        <v>11487</v>
      </c>
      <c r="C12200">
        <v>1</v>
      </c>
      <c r="D12200" s="17" t="s">
        <v>17166</v>
      </c>
      <c r="E12200" s="17"/>
      <c r="F12200" s="17" t="s">
        <v>17246</v>
      </c>
      <c r="G12200" s="17"/>
      <c r="H12200" s="17" t="s">
        <v>23950</v>
      </c>
      <c r="I12200" s="17" t="s">
        <v>23956</v>
      </c>
      <c r="J12200" s="17" t="s">
        <v>24017</v>
      </c>
      <c r="K12200" s="17"/>
      <c r="L12200" s="17" t="s">
        <v>24262</v>
      </c>
      <c r="M12200" s="17"/>
      <c r="N12200" s="17" t="s">
        <v>25249</v>
      </c>
      <c r="O12200" s="17" t="s">
        <v>25320</v>
      </c>
      <c r="P12200" s="17" t="s">
        <v>25822</v>
      </c>
      <c r="Q12200" s="17"/>
      <c r="R12200" s="25" t="str">
        <f>HYPERLINK("https://ictv.global/taxonomy/taxondetails?taxnode_id=202317785","Sigmavirus tryoni")</f>
        <v>Sigmavirus tryoni</v>
      </c>
      <c r="S12200" s="18" t="s">
        <v>30</v>
      </c>
      <c r="T12200" s="18" t="s">
        <v>46681</v>
      </c>
      <c r="U12200" s="18" t="s">
        <v>46682</v>
      </c>
      <c r="V12200" s="18" t="s">
        <v>46683</v>
      </c>
      <c r="W12200" s="18" t="s">
        <v>46684</v>
      </c>
      <c r="X12200" s="18" t="s">
        <v>35</v>
      </c>
      <c r="Y12200" s="18" t="s">
        <v>23964</v>
      </c>
      <c r="Z12200" s="18" t="s">
        <v>17413</v>
      </c>
      <c r="AA12200" s="21" t="str">
        <f>HYPERLINK("https://www.ncbi.nlm.nih.gov/nuccore/MW208811","NCBI Nucleotide")</f>
        <v>NCBI Nucleotide</v>
      </c>
    </row>
    <row r="12201" spans="1:27" x14ac:dyDescent="0.35">
      <c r="A12201">
        <v>1010838</v>
      </c>
      <c r="B12201">
        <v>11488</v>
      </c>
      <c r="C12201">
        <v>1</v>
      </c>
      <c r="D12201" s="17" t="s">
        <v>17166</v>
      </c>
      <c r="E12201" s="17"/>
      <c r="F12201" s="17" t="s">
        <v>17246</v>
      </c>
      <c r="G12201" s="17"/>
      <c r="H12201" s="17" t="s">
        <v>23950</v>
      </c>
      <c r="I12201" s="17" t="s">
        <v>23956</v>
      </c>
      <c r="J12201" s="17" t="s">
        <v>24017</v>
      </c>
      <c r="K12201" s="17"/>
      <c r="L12201" s="17" t="s">
        <v>24262</v>
      </c>
      <c r="M12201" s="17"/>
      <c r="N12201" s="17" t="s">
        <v>25249</v>
      </c>
      <c r="O12201" s="17" t="s">
        <v>25320</v>
      </c>
      <c r="P12201" s="17" t="s">
        <v>25822</v>
      </c>
      <c r="Q12201" s="17"/>
      <c r="R12201" s="25" t="str">
        <f>HYPERLINK("https://ictv.global/taxonomy/taxondetails?taxnode_id=202314159","Sigmavirus tuva")</f>
        <v>Sigmavirus tuva</v>
      </c>
      <c r="S12201" s="18" t="s">
        <v>30</v>
      </c>
      <c r="T12201" s="18" t="s">
        <v>25885</v>
      </c>
      <c r="U12201" s="18" t="s">
        <v>25886</v>
      </c>
      <c r="V12201" s="18">
        <v>13577</v>
      </c>
      <c r="W12201" s="18" t="s">
        <v>25887</v>
      </c>
      <c r="X12201" s="18" t="s">
        <v>35</v>
      </c>
      <c r="Y12201" s="18" t="s">
        <v>23964</v>
      </c>
      <c r="Z12201" s="18" t="s">
        <v>10790</v>
      </c>
      <c r="AA12201" s="21" t="str">
        <f>HYPERLINK("https://www.ncbi.nlm.nih.gov/nuccore/OL420709","NCBI Nucleotide")</f>
        <v>NCBI Nucleotide</v>
      </c>
    </row>
    <row r="12202" spans="1:27" x14ac:dyDescent="0.35">
      <c r="A12202">
        <v>1010839</v>
      </c>
      <c r="B12202">
        <v>11489</v>
      </c>
      <c r="C12202">
        <v>1</v>
      </c>
      <c r="D12202" s="17" t="s">
        <v>17166</v>
      </c>
      <c r="E12202" s="17"/>
      <c r="F12202" s="17" t="s">
        <v>17246</v>
      </c>
      <c r="G12202" s="17"/>
      <c r="H12202" s="17" t="s">
        <v>23950</v>
      </c>
      <c r="I12202" s="17" t="s">
        <v>23956</v>
      </c>
      <c r="J12202" s="17" t="s">
        <v>24017</v>
      </c>
      <c r="K12202" s="17"/>
      <c r="L12202" s="17" t="s">
        <v>24262</v>
      </c>
      <c r="M12202" s="17"/>
      <c r="N12202" s="17" t="s">
        <v>25249</v>
      </c>
      <c r="O12202" s="17" t="s">
        <v>25320</v>
      </c>
      <c r="P12202" s="17" t="s">
        <v>25822</v>
      </c>
      <c r="Q12202" s="17"/>
      <c r="R12202" s="25" t="str">
        <f>HYPERLINK("https://ictv.global/taxonomy/taxondetails?taxnode_id=202308832","Sigmavirus wuhan")</f>
        <v>Sigmavirus wuhan</v>
      </c>
      <c r="S12202" s="18" t="s">
        <v>30</v>
      </c>
      <c r="T12202" s="18" t="s">
        <v>25888</v>
      </c>
      <c r="U12202" s="18" t="s">
        <v>25889</v>
      </c>
      <c r="V12202" s="18" t="s">
        <v>25890</v>
      </c>
      <c r="W12202" s="18" t="s">
        <v>25891</v>
      </c>
      <c r="X12202" s="18" t="s">
        <v>35</v>
      </c>
      <c r="Y12202" s="18" t="s">
        <v>23964</v>
      </c>
      <c r="Z12202" s="18" t="s">
        <v>10790</v>
      </c>
      <c r="AA12202" s="21" t="str">
        <f>HYPERLINK("https://www.ncbi.nlm.nih.gov/nuccore/KM817648","NCBI Nucleotide")</f>
        <v>NCBI Nucleotide</v>
      </c>
    </row>
    <row r="12203" spans="1:27" x14ac:dyDescent="0.35">
      <c r="A12203">
        <v>1010840</v>
      </c>
      <c r="B12203">
        <v>11490</v>
      </c>
      <c r="C12203">
        <v>1</v>
      </c>
      <c r="D12203" s="17" t="s">
        <v>17166</v>
      </c>
      <c r="E12203" s="17"/>
      <c r="F12203" s="17" t="s">
        <v>17246</v>
      </c>
      <c r="G12203" s="17"/>
      <c r="H12203" s="17" t="s">
        <v>23950</v>
      </c>
      <c r="I12203" s="17" t="s">
        <v>23956</v>
      </c>
      <c r="J12203" s="17" t="s">
        <v>24017</v>
      </c>
      <c r="K12203" s="17"/>
      <c r="L12203" s="17" t="s">
        <v>24262</v>
      </c>
      <c r="M12203" s="17"/>
      <c r="N12203" s="17" t="s">
        <v>25249</v>
      </c>
      <c r="O12203" s="17" t="s">
        <v>25320</v>
      </c>
      <c r="P12203" s="17" t="s">
        <v>25822</v>
      </c>
      <c r="Q12203" s="17"/>
      <c r="R12203" s="25" t="str">
        <f>HYPERLINK("https://ictv.global/taxonomy/taxondetails?taxnode_id=202308826","Sigmavirus ying")</f>
        <v>Sigmavirus ying</v>
      </c>
      <c r="S12203" s="18" t="s">
        <v>30</v>
      </c>
      <c r="T12203" s="18" t="s">
        <v>25892</v>
      </c>
      <c r="U12203" s="18" t="s">
        <v>25893</v>
      </c>
      <c r="V12203" s="18" t="s">
        <v>25894</v>
      </c>
      <c r="W12203" s="18" t="s">
        <v>25895</v>
      </c>
      <c r="X12203" s="18" t="s">
        <v>35</v>
      </c>
      <c r="Y12203" s="18" t="s">
        <v>23964</v>
      </c>
      <c r="Z12203" s="18" t="s">
        <v>166</v>
      </c>
      <c r="AA12203" s="21" t="str">
        <f>HYPERLINK("https://www.ncbi.nlm.nih.gov/nuccore/KX884431","NCBI Nucleotide")</f>
        <v>NCBI Nucleotide</v>
      </c>
    </row>
    <row r="12204" spans="1:27" x14ac:dyDescent="0.35">
      <c r="A12204">
        <v>1010841</v>
      </c>
      <c r="B12204">
        <v>11491</v>
      </c>
      <c r="C12204">
        <v>1</v>
      </c>
      <c r="D12204" s="17" t="s">
        <v>17166</v>
      </c>
      <c r="E12204" s="17"/>
      <c r="F12204" s="17" t="s">
        <v>17246</v>
      </c>
      <c r="G12204" s="17"/>
      <c r="H12204" s="17" t="s">
        <v>23950</v>
      </c>
      <c r="I12204" s="17" t="s">
        <v>23956</v>
      </c>
      <c r="J12204" s="17" t="s">
        <v>24017</v>
      </c>
      <c r="K12204" s="17"/>
      <c r="L12204" s="17" t="s">
        <v>24262</v>
      </c>
      <c r="M12204" s="17"/>
      <c r="N12204" s="17" t="s">
        <v>25249</v>
      </c>
      <c r="O12204" s="17" t="s">
        <v>25320</v>
      </c>
      <c r="P12204" s="17" t="s">
        <v>25822</v>
      </c>
      <c r="Q12204" s="17"/>
      <c r="R12204" s="25" t="str">
        <f>HYPERLINK("https://ictv.global/taxonomy/taxondetails?taxnode_id=202314157","Sigmavirus yushu")</f>
        <v>Sigmavirus yushu</v>
      </c>
      <c r="S12204" s="18" t="s">
        <v>30</v>
      </c>
      <c r="T12204" s="18" t="s">
        <v>25896</v>
      </c>
      <c r="U12204" s="18" t="s">
        <v>25897</v>
      </c>
      <c r="V12204" s="18" t="s">
        <v>25898</v>
      </c>
      <c r="W12204" s="18" t="s">
        <v>25899</v>
      </c>
      <c r="X12204" s="18" t="s">
        <v>35</v>
      </c>
      <c r="Y12204" s="18" t="s">
        <v>23964</v>
      </c>
      <c r="Z12204" s="18" t="s">
        <v>166</v>
      </c>
      <c r="AA12204" s="21" t="str">
        <f>HYPERLINK("https://www.ncbi.nlm.nih.gov/nuccore/MW826525","NCBI Nucleotide")</f>
        <v>NCBI Nucleotide</v>
      </c>
    </row>
    <row r="12205" spans="1:27" x14ac:dyDescent="0.35">
      <c r="A12205">
        <v>1010842</v>
      </c>
      <c r="B12205">
        <v>11492</v>
      </c>
      <c r="C12205">
        <v>1</v>
      </c>
      <c r="D12205" s="17" t="s">
        <v>17166</v>
      </c>
      <c r="E12205" s="17"/>
      <c r="F12205" s="17" t="s">
        <v>17246</v>
      </c>
      <c r="G12205" s="17"/>
      <c r="H12205" s="17" t="s">
        <v>23950</v>
      </c>
      <c r="I12205" s="17" t="s">
        <v>23956</v>
      </c>
      <c r="J12205" s="17" t="s">
        <v>24017</v>
      </c>
      <c r="K12205" s="17"/>
      <c r="L12205" s="17" t="s">
        <v>24262</v>
      </c>
      <c r="M12205" s="17"/>
      <c r="N12205" s="17" t="s">
        <v>25249</v>
      </c>
      <c r="O12205" s="17" t="s">
        <v>25320</v>
      </c>
      <c r="P12205" s="17" t="s">
        <v>25900</v>
      </c>
      <c r="Q12205" s="17"/>
      <c r="R12205" s="25" t="str">
        <f>HYPERLINK("https://ictv.global/taxonomy/taxondetails?taxnode_id=202313319","Siniperhavirus chuatsi")</f>
        <v>Siniperhavirus chuatsi</v>
      </c>
      <c r="S12205" s="18" t="s">
        <v>30</v>
      </c>
      <c r="T12205" s="18" t="s">
        <v>25901</v>
      </c>
      <c r="U12205" s="18" t="s">
        <v>17669</v>
      </c>
      <c r="V12205" s="18"/>
      <c r="W12205" s="18" t="s">
        <v>25902</v>
      </c>
      <c r="X12205" s="18" t="s">
        <v>42</v>
      </c>
      <c r="Y12205" s="18" t="s">
        <v>23964</v>
      </c>
      <c r="Z12205" s="18" t="s">
        <v>166</v>
      </c>
      <c r="AA12205" s="21" t="str">
        <f>HYPERLINK("https://www.ncbi.nlm.nih.gov/nuccore/DQ399789","NCBI Nucleotide")</f>
        <v>NCBI Nucleotide</v>
      </c>
    </row>
    <row r="12206" spans="1:27" x14ac:dyDescent="0.35">
      <c r="A12206">
        <v>1012880</v>
      </c>
      <c r="B12206">
        <v>11492</v>
      </c>
      <c r="C12206">
        <v>2</v>
      </c>
      <c r="D12206" s="17" t="s">
        <v>17166</v>
      </c>
      <c r="E12206" s="17"/>
      <c r="F12206" s="17" t="s">
        <v>17246</v>
      </c>
      <c r="G12206" s="17"/>
      <c r="H12206" s="17" t="s">
        <v>23950</v>
      </c>
      <c r="I12206" s="17" t="s">
        <v>23956</v>
      </c>
      <c r="J12206" s="17" t="s">
        <v>24017</v>
      </c>
      <c r="K12206" s="17"/>
      <c r="L12206" s="17" t="s">
        <v>24262</v>
      </c>
      <c r="M12206" s="17"/>
      <c r="N12206" s="17" t="s">
        <v>25249</v>
      </c>
      <c r="O12206" s="17" t="s">
        <v>25320</v>
      </c>
      <c r="P12206" s="17" t="s">
        <v>25900</v>
      </c>
      <c r="Q12206" s="17"/>
      <c r="R12206" s="25" t="str">
        <f>HYPERLINK("https://ictv.global/taxonomy/taxondetails?taxnode_id=202313319","Siniperhavirus chuatsi")</f>
        <v>Siniperhavirus chuatsi</v>
      </c>
      <c r="S12206" s="18" t="s">
        <v>8141</v>
      </c>
      <c r="T12206" s="18" t="s">
        <v>25907</v>
      </c>
      <c r="U12206" s="18" t="s">
        <v>25908</v>
      </c>
      <c r="V12206" s="18"/>
      <c r="W12206" s="18" t="s">
        <v>49436</v>
      </c>
      <c r="X12206" s="18" t="s">
        <v>42</v>
      </c>
      <c r="Y12206" s="18" t="s">
        <v>23964</v>
      </c>
      <c r="Z12206" s="18" t="s">
        <v>166</v>
      </c>
      <c r="AA12206" s="21" t="str">
        <f>HYPERLINK("https://www.ncbi.nlm.nih.gov/nuccore/MH319839","NCBI Nucleotide")</f>
        <v>NCBI Nucleotide</v>
      </c>
    </row>
    <row r="12207" spans="1:27" x14ac:dyDescent="0.35">
      <c r="A12207">
        <v>1012881</v>
      </c>
      <c r="B12207">
        <v>11492</v>
      </c>
      <c r="C12207">
        <v>3</v>
      </c>
      <c r="D12207" s="17" t="s">
        <v>17166</v>
      </c>
      <c r="E12207" s="17"/>
      <c r="F12207" s="17" t="s">
        <v>17246</v>
      </c>
      <c r="G12207" s="17"/>
      <c r="H12207" s="17" t="s">
        <v>23950</v>
      </c>
      <c r="I12207" s="17" t="s">
        <v>23956</v>
      </c>
      <c r="J12207" s="17" t="s">
        <v>24017</v>
      </c>
      <c r="K12207" s="17"/>
      <c r="L12207" s="17" t="s">
        <v>24262</v>
      </c>
      <c r="M12207" s="17"/>
      <c r="N12207" s="17" t="s">
        <v>25249</v>
      </c>
      <c r="O12207" s="17" t="s">
        <v>25320</v>
      </c>
      <c r="P12207" s="17" t="s">
        <v>25900</v>
      </c>
      <c r="Q12207" s="17"/>
      <c r="R12207" s="25" t="str">
        <f>HYPERLINK("https://ictv.global/taxonomy/taxondetails?taxnode_id=202313319","Siniperhavirus chuatsi")</f>
        <v>Siniperhavirus chuatsi</v>
      </c>
      <c r="S12207" s="18" t="s">
        <v>8141</v>
      </c>
      <c r="T12207" s="18" t="s">
        <v>25909</v>
      </c>
      <c r="U12207" s="18" t="s">
        <v>25910</v>
      </c>
      <c r="V12207" s="18" t="s">
        <v>25911</v>
      </c>
      <c r="W12207" s="18" t="s">
        <v>49437</v>
      </c>
      <c r="X12207" s="18" t="s">
        <v>42</v>
      </c>
      <c r="Y12207" s="18" t="s">
        <v>23964</v>
      </c>
      <c r="Z12207" s="18" t="s">
        <v>166</v>
      </c>
      <c r="AA12207" s="21" t="str">
        <f>HYPERLINK("https://www.ncbi.nlm.nih.gov/nuccore/KC519324","NCBI Nucleotide")</f>
        <v>NCBI Nucleotide</v>
      </c>
    </row>
    <row r="12208" spans="1:27" x14ac:dyDescent="0.35">
      <c r="A12208">
        <v>1012882</v>
      </c>
      <c r="B12208">
        <v>11492</v>
      </c>
      <c r="C12208">
        <v>4</v>
      </c>
      <c r="D12208" s="17" t="s">
        <v>17166</v>
      </c>
      <c r="E12208" s="17"/>
      <c r="F12208" s="17" t="s">
        <v>17246</v>
      </c>
      <c r="G12208" s="17"/>
      <c r="H12208" s="17" t="s">
        <v>23950</v>
      </c>
      <c r="I12208" s="17" t="s">
        <v>23956</v>
      </c>
      <c r="J12208" s="17" t="s">
        <v>24017</v>
      </c>
      <c r="K12208" s="17"/>
      <c r="L12208" s="17" t="s">
        <v>24262</v>
      </c>
      <c r="M12208" s="17"/>
      <c r="N12208" s="17" t="s">
        <v>25249</v>
      </c>
      <c r="O12208" s="17" t="s">
        <v>25320</v>
      </c>
      <c r="P12208" s="17" t="s">
        <v>25900</v>
      </c>
      <c r="Q12208" s="17"/>
      <c r="R12208" s="25" t="str">
        <f>HYPERLINK("https://ictv.global/taxonomy/taxondetails?taxnode_id=202313319","Siniperhavirus chuatsi")</f>
        <v>Siniperhavirus chuatsi</v>
      </c>
      <c r="S12208" s="18" t="s">
        <v>8141</v>
      </c>
      <c r="T12208" s="18" t="s">
        <v>25912</v>
      </c>
      <c r="U12208" s="18" t="s">
        <v>16177</v>
      </c>
      <c r="V12208" s="18" t="s">
        <v>25913</v>
      </c>
      <c r="W12208" s="18" t="s">
        <v>49438</v>
      </c>
      <c r="X12208" s="18" t="s">
        <v>42</v>
      </c>
      <c r="Y12208" s="18" t="s">
        <v>23964</v>
      </c>
      <c r="Z12208" s="18" t="s">
        <v>166</v>
      </c>
      <c r="AA12208" s="21" t="str">
        <f>HYPERLINK("https://www.ncbi.nlm.nih.gov/nuccore/MK397811","NCBI Nucleotide")</f>
        <v>NCBI Nucleotide</v>
      </c>
    </row>
    <row r="12209" spans="1:27" x14ac:dyDescent="0.35">
      <c r="A12209">
        <v>1010843</v>
      </c>
      <c r="B12209">
        <v>11493</v>
      </c>
      <c r="C12209">
        <v>1</v>
      </c>
      <c r="D12209" s="17" t="s">
        <v>17166</v>
      </c>
      <c r="E12209" s="17"/>
      <c r="F12209" s="17" t="s">
        <v>17246</v>
      </c>
      <c r="G12209" s="17"/>
      <c r="H12209" s="17" t="s">
        <v>23950</v>
      </c>
      <c r="I12209" s="17" t="s">
        <v>23956</v>
      </c>
      <c r="J12209" s="17" t="s">
        <v>24017</v>
      </c>
      <c r="K12209" s="17"/>
      <c r="L12209" s="17" t="s">
        <v>24262</v>
      </c>
      <c r="M12209" s="17"/>
      <c r="N12209" s="17" t="s">
        <v>25249</v>
      </c>
      <c r="O12209" s="17" t="s">
        <v>25320</v>
      </c>
      <c r="P12209" s="17" t="s">
        <v>25900</v>
      </c>
      <c r="Q12209" s="17"/>
      <c r="R12209" s="25" t="str">
        <f>HYPERLINK("https://ictv.global/taxonomy/taxondetails?taxnode_id=202313318","Siniperhavirus zoarces")</f>
        <v>Siniperhavirus zoarces</v>
      </c>
      <c r="S12209" s="18" t="s">
        <v>30</v>
      </c>
      <c r="T12209" s="18" t="s">
        <v>25903</v>
      </c>
      <c r="U12209" s="18" t="s">
        <v>25904</v>
      </c>
      <c r="V12209" s="18" t="s">
        <v>25905</v>
      </c>
      <c r="W12209" s="18" t="s">
        <v>25906</v>
      </c>
      <c r="X12209" s="18" t="s">
        <v>35</v>
      </c>
      <c r="Y12209" s="18" t="s">
        <v>23964</v>
      </c>
      <c r="Z12209" s="18" t="s">
        <v>166</v>
      </c>
      <c r="AA12209" s="21" t="str">
        <f>HYPERLINK("https://www.ncbi.nlm.nih.gov/nuccore/KR612230","NCBI Nucleotide")</f>
        <v>NCBI Nucleotide</v>
      </c>
    </row>
    <row r="12210" spans="1:27" x14ac:dyDescent="0.35">
      <c r="A12210">
        <v>1010844</v>
      </c>
      <c r="B12210">
        <v>11494</v>
      </c>
      <c r="C12210">
        <v>1</v>
      </c>
      <c r="D12210" s="17" t="s">
        <v>17166</v>
      </c>
      <c r="E12210" s="17"/>
      <c r="F12210" s="17" t="s">
        <v>17246</v>
      </c>
      <c r="G12210" s="17"/>
      <c r="H12210" s="17" t="s">
        <v>23950</v>
      </c>
      <c r="I12210" s="17" t="s">
        <v>23956</v>
      </c>
      <c r="J12210" s="17" t="s">
        <v>24017</v>
      </c>
      <c r="K12210" s="17"/>
      <c r="L12210" s="17" t="s">
        <v>24262</v>
      </c>
      <c r="M12210" s="17"/>
      <c r="N12210" s="17" t="s">
        <v>25249</v>
      </c>
      <c r="O12210" s="17" t="s">
        <v>25320</v>
      </c>
      <c r="P12210" s="17" t="s">
        <v>25914</v>
      </c>
      <c r="Q12210" s="17"/>
      <c r="R12210" s="25" t="str">
        <f>HYPERLINK("https://ictv.global/taxonomy/taxondetails?taxnode_id=202301765","Sprivivirus cyprinus")</f>
        <v>Sprivivirus cyprinus</v>
      </c>
      <c r="S12210" s="18" t="s">
        <v>30</v>
      </c>
      <c r="T12210" s="18" t="s">
        <v>25915</v>
      </c>
      <c r="U12210" s="18" t="s">
        <v>25916</v>
      </c>
      <c r="V12210" s="18" t="s">
        <v>25917</v>
      </c>
      <c r="W12210" s="18" t="s">
        <v>25918</v>
      </c>
      <c r="X12210" s="18" t="s">
        <v>42</v>
      </c>
      <c r="Y12210" s="18" t="s">
        <v>23964</v>
      </c>
      <c r="Z12210" s="18" t="s">
        <v>166</v>
      </c>
      <c r="AA12210" s="21" t="str">
        <f>HYPERLINK("https://www.ncbi.nlm.nih.gov/nuccore/U18101","NCBI Nucleotide")</f>
        <v>NCBI Nucleotide</v>
      </c>
    </row>
    <row r="12211" spans="1:27" x14ac:dyDescent="0.35">
      <c r="A12211">
        <v>1010845</v>
      </c>
      <c r="B12211">
        <v>11495</v>
      </c>
      <c r="C12211">
        <v>1</v>
      </c>
      <c r="D12211" s="17" t="s">
        <v>17166</v>
      </c>
      <c r="E12211" s="17"/>
      <c r="F12211" s="17" t="s">
        <v>17246</v>
      </c>
      <c r="G12211" s="17"/>
      <c r="H12211" s="17" t="s">
        <v>23950</v>
      </c>
      <c r="I12211" s="17" t="s">
        <v>23956</v>
      </c>
      <c r="J12211" s="17" t="s">
        <v>24017</v>
      </c>
      <c r="K12211" s="17"/>
      <c r="L12211" s="17" t="s">
        <v>24262</v>
      </c>
      <c r="M12211" s="17"/>
      <c r="N12211" s="17" t="s">
        <v>25249</v>
      </c>
      <c r="O12211" s="17" t="s">
        <v>25320</v>
      </c>
      <c r="P12211" s="17" t="s">
        <v>25914</v>
      </c>
      <c r="Q12211" s="17"/>
      <c r="R12211" s="25" t="str">
        <f>HYPERLINK("https://ictv.global/taxonomy/taxondetails?taxnode_id=202301766","Sprivivirus esox")</f>
        <v>Sprivivirus esox</v>
      </c>
      <c r="S12211" s="18" t="s">
        <v>30</v>
      </c>
      <c r="T12211" s="18" t="s">
        <v>25919</v>
      </c>
      <c r="U12211" s="18" t="s">
        <v>25920</v>
      </c>
      <c r="V12211" s="18" t="s">
        <v>25921</v>
      </c>
      <c r="W12211" s="18" t="s">
        <v>25922</v>
      </c>
      <c r="X12211" s="18" t="s">
        <v>42</v>
      </c>
      <c r="Y12211" s="18" t="s">
        <v>23964</v>
      </c>
      <c r="Z12211" s="18" t="s">
        <v>166</v>
      </c>
      <c r="AA12211" s="21" t="str">
        <f>HYPERLINK("https://www.ncbi.nlm.nih.gov/nuccore/FJ872827","NCBI Nucleotide")</f>
        <v>NCBI Nucleotide</v>
      </c>
    </row>
    <row r="12212" spans="1:27" x14ac:dyDescent="0.35">
      <c r="A12212">
        <v>1012883</v>
      </c>
      <c r="B12212">
        <v>11495</v>
      </c>
      <c r="C12212">
        <v>2</v>
      </c>
      <c r="D12212" s="17" t="s">
        <v>17166</v>
      </c>
      <c r="E12212" s="17"/>
      <c r="F12212" s="17" t="s">
        <v>17246</v>
      </c>
      <c r="G12212" s="17"/>
      <c r="H12212" s="17" t="s">
        <v>23950</v>
      </c>
      <c r="I12212" s="17" t="s">
        <v>23956</v>
      </c>
      <c r="J12212" s="17" t="s">
        <v>24017</v>
      </c>
      <c r="K12212" s="17"/>
      <c r="L12212" s="17" t="s">
        <v>24262</v>
      </c>
      <c r="M12212" s="17"/>
      <c r="N12212" s="17" t="s">
        <v>25249</v>
      </c>
      <c r="O12212" s="17" t="s">
        <v>25320</v>
      </c>
      <c r="P12212" s="17" t="s">
        <v>25914</v>
      </c>
      <c r="Q12212" s="17"/>
      <c r="R12212" s="25" t="str">
        <f>HYPERLINK("https://ictv.global/taxonomy/taxondetails?taxnode_id=202301766","Sprivivirus esox")</f>
        <v>Sprivivirus esox</v>
      </c>
      <c r="S12212" s="18" t="s">
        <v>8141</v>
      </c>
      <c r="T12212" s="18" t="s">
        <v>25923</v>
      </c>
      <c r="U12212" s="18" t="s">
        <v>25924</v>
      </c>
      <c r="V12212" s="18" t="s">
        <v>25925</v>
      </c>
      <c r="W12212" s="18" t="s">
        <v>49439</v>
      </c>
      <c r="X12212" s="18" t="s">
        <v>42</v>
      </c>
      <c r="Y12212" s="18" t="s">
        <v>23964</v>
      </c>
      <c r="Z12212" s="18" t="s">
        <v>166</v>
      </c>
      <c r="AA12212" s="21" t="str">
        <f>HYPERLINK("https://www.ncbi.nlm.nih.gov/nuccore/KC113518","NCBI Nucleotide")</f>
        <v>NCBI Nucleotide</v>
      </c>
    </row>
    <row r="12213" spans="1:27" x14ac:dyDescent="0.35">
      <c r="A12213">
        <v>1012884</v>
      </c>
      <c r="B12213">
        <v>11495</v>
      </c>
      <c r="C12213">
        <v>3</v>
      </c>
      <c r="D12213" s="17" t="s">
        <v>17166</v>
      </c>
      <c r="E12213" s="17"/>
      <c r="F12213" s="17" t="s">
        <v>17246</v>
      </c>
      <c r="G12213" s="17"/>
      <c r="H12213" s="17" t="s">
        <v>23950</v>
      </c>
      <c r="I12213" s="17" t="s">
        <v>23956</v>
      </c>
      <c r="J12213" s="17" t="s">
        <v>24017</v>
      </c>
      <c r="K12213" s="17"/>
      <c r="L12213" s="17" t="s">
        <v>24262</v>
      </c>
      <c r="M12213" s="17"/>
      <c r="N12213" s="17" t="s">
        <v>25249</v>
      </c>
      <c r="O12213" s="17" t="s">
        <v>25320</v>
      </c>
      <c r="P12213" s="17" t="s">
        <v>25914</v>
      </c>
      <c r="Q12213" s="17"/>
      <c r="R12213" s="25" t="str">
        <f>HYPERLINK("https://ictv.global/taxonomy/taxondetails?taxnode_id=202301766","Sprivivirus esox")</f>
        <v>Sprivivirus esox</v>
      </c>
      <c r="S12213" s="18" t="s">
        <v>8141</v>
      </c>
      <c r="T12213" s="18" t="s">
        <v>25926</v>
      </c>
      <c r="U12213" s="18" t="s">
        <v>25927</v>
      </c>
      <c r="V12213" s="18" t="s">
        <v>25928</v>
      </c>
      <c r="W12213" s="18" t="s">
        <v>49440</v>
      </c>
      <c r="X12213" s="18" t="s">
        <v>42</v>
      </c>
      <c r="Y12213" s="18" t="s">
        <v>23964</v>
      </c>
      <c r="Z12213" s="18" t="s">
        <v>166</v>
      </c>
      <c r="AA12213" s="21" t="str">
        <f>HYPERLINK("https://www.ncbi.nlm.nih.gov/nuccore/KC113517","NCBI Nucleotide")</f>
        <v>NCBI Nucleotide</v>
      </c>
    </row>
    <row r="12214" spans="1:27" x14ac:dyDescent="0.35">
      <c r="A12214">
        <v>1010846</v>
      </c>
      <c r="B12214">
        <v>11496</v>
      </c>
      <c r="C12214">
        <v>1</v>
      </c>
      <c r="D12214" s="17" t="s">
        <v>17166</v>
      </c>
      <c r="E12214" s="17"/>
      <c r="F12214" s="17" t="s">
        <v>17246</v>
      </c>
      <c r="G12214" s="17"/>
      <c r="H12214" s="17" t="s">
        <v>23950</v>
      </c>
      <c r="I12214" s="17" t="s">
        <v>23956</v>
      </c>
      <c r="J12214" s="17" t="s">
        <v>24017</v>
      </c>
      <c r="K12214" s="17"/>
      <c r="L12214" s="17" t="s">
        <v>24262</v>
      </c>
      <c r="M12214" s="17"/>
      <c r="N12214" s="17" t="s">
        <v>25249</v>
      </c>
      <c r="O12214" s="17" t="s">
        <v>25320</v>
      </c>
      <c r="P12214" s="17" t="s">
        <v>25929</v>
      </c>
      <c r="Q12214" s="17"/>
      <c r="R12214" s="25" t="str">
        <f>HYPERLINK("https://ictv.global/taxonomy/taxondetails?taxnode_id=202301768","Sripuvirus almpiwar")</f>
        <v>Sripuvirus almpiwar</v>
      </c>
      <c r="S12214" s="18" t="s">
        <v>30</v>
      </c>
      <c r="T12214" s="18" t="s">
        <v>25930</v>
      </c>
      <c r="U12214" s="18" t="s">
        <v>25931</v>
      </c>
      <c r="V12214" s="18" t="s">
        <v>25932</v>
      </c>
      <c r="W12214" s="18" t="s">
        <v>25933</v>
      </c>
      <c r="X12214" s="18" t="s">
        <v>42</v>
      </c>
      <c r="Y12214" s="18" t="s">
        <v>23964</v>
      </c>
      <c r="Z12214" s="18" t="s">
        <v>12289</v>
      </c>
      <c r="AA12214" s="21" t="str">
        <f>HYPERLINK("https://www.ncbi.nlm.nih.gov/nuccore/KJ399977","NCBI Nucleotide")</f>
        <v>NCBI Nucleotide</v>
      </c>
    </row>
    <row r="12215" spans="1:27" x14ac:dyDescent="0.35">
      <c r="A12215">
        <v>1010847</v>
      </c>
      <c r="B12215">
        <v>11497</v>
      </c>
      <c r="C12215">
        <v>1</v>
      </c>
      <c r="D12215" s="17" t="s">
        <v>17166</v>
      </c>
      <c r="E12215" s="17"/>
      <c r="F12215" s="17" t="s">
        <v>17246</v>
      </c>
      <c r="G12215" s="17"/>
      <c r="H12215" s="17" t="s">
        <v>23950</v>
      </c>
      <c r="I12215" s="17" t="s">
        <v>23956</v>
      </c>
      <c r="J12215" s="17" t="s">
        <v>24017</v>
      </c>
      <c r="K12215" s="17"/>
      <c r="L12215" s="17" t="s">
        <v>24262</v>
      </c>
      <c r="M12215" s="17"/>
      <c r="N12215" s="17" t="s">
        <v>25249</v>
      </c>
      <c r="O12215" s="17" t="s">
        <v>25320</v>
      </c>
      <c r="P12215" s="17" t="s">
        <v>25929</v>
      </c>
      <c r="Q12215" s="17"/>
      <c r="R12215" s="25" t="str">
        <f>HYPERLINK("https://ictv.global/taxonomy/taxondetails?taxnode_id=202301769","Sripuvirus chaco")</f>
        <v>Sripuvirus chaco</v>
      </c>
      <c r="S12215" s="18" t="s">
        <v>30</v>
      </c>
      <c r="T12215" s="18" t="s">
        <v>25934</v>
      </c>
      <c r="U12215" s="18" t="s">
        <v>25935</v>
      </c>
      <c r="V12215" s="18" t="s">
        <v>25936</v>
      </c>
      <c r="W12215" s="18" t="s">
        <v>25937</v>
      </c>
      <c r="X12215" s="18" t="s">
        <v>35</v>
      </c>
      <c r="Y12215" s="18" t="s">
        <v>23964</v>
      </c>
      <c r="Z12215" s="18" t="s">
        <v>12289</v>
      </c>
      <c r="AA12215" s="21" t="str">
        <f>HYPERLINK("https://www.ncbi.nlm.nih.gov/nuccore/KM205000","NCBI Nucleotide")</f>
        <v>NCBI Nucleotide</v>
      </c>
    </row>
    <row r="12216" spans="1:27" x14ac:dyDescent="0.35">
      <c r="A12216">
        <v>1010848</v>
      </c>
      <c r="B12216">
        <v>11498</v>
      </c>
      <c r="C12216">
        <v>1</v>
      </c>
      <c r="D12216" s="17" t="s">
        <v>17166</v>
      </c>
      <c r="E12216" s="17"/>
      <c r="F12216" s="17" t="s">
        <v>17246</v>
      </c>
      <c r="G12216" s="17"/>
      <c r="H12216" s="17" t="s">
        <v>23950</v>
      </c>
      <c r="I12216" s="17" t="s">
        <v>23956</v>
      </c>
      <c r="J12216" s="17" t="s">
        <v>24017</v>
      </c>
      <c r="K12216" s="17"/>
      <c r="L12216" s="17" t="s">
        <v>24262</v>
      </c>
      <c r="M12216" s="17"/>
      <c r="N12216" s="17" t="s">
        <v>25249</v>
      </c>
      <c r="O12216" s="17" t="s">
        <v>25320</v>
      </c>
      <c r="P12216" s="17" t="s">
        <v>25929</v>
      </c>
      <c r="Q12216" s="17"/>
      <c r="R12216" s="25" t="str">
        <f>HYPERLINK("https://ictv.global/taxonomy/taxondetails?taxnode_id=202307405","Sripuvirus charleville")</f>
        <v>Sripuvirus charleville</v>
      </c>
      <c r="S12216" s="18" t="s">
        <v>30</v>
      </c>
      <c r="T12216" s="18" t="s">
        <v>25938</v>
      </c>
      <c r="U12216" s="18" t="s">
        <v>25939</v>
      </c>
      <c r="V12216" s="18" t="s">
        <v>25940</v>
      </c>
      <c r="W12216" s="18" t="s">
        <v>25941</v>
      </c>
      <c r="X12216" s="18" t="s">
        <v>35</v>
      </c>
      <c r="Y12216" s="18" t="s">
        <v>23964</v>
      </c>
      <c r="Z12216" s="18" t="s">
        <v>12289</v>
      </c>
      <c r="AA12216" s="21" t="str">
        <f>HYPERLINK("https://www.ncbi.nlm.nih.gov/nuccore/MH899109","NCBI Nucleotide")</f>
        <v>NCBI Nucleotide</v>
      </c>
    </row>
    <row r="12217" spans="1:27" x14ac:dyDescent="0.35">
      <c r="A12217">
        <v>1010849</v>
      </c>
      <c r="B12217">
        <v>11499</v>
      </c>
      <c r="C12217">
        <v>1</v>
      </c>
      <c r="D12217" s="17" t="s">
        <v>17166</v>
      </c>
      <c r="E12217" s="17"/>
      <c r="F12217" s="17" t="s">
        <v>17246</v>
      </c>
      <c r="G12217" s="17"/>
      <c r="H12217" s="17" t="s">
        <v>23950</v>
      </c>
      <c r="I12217" s="17" t="s">
        <v>23956</v>
      </c>
      <c r="J12217" s="17" t="s">
        <v>24017</v>
      </c>
      <c r="K12217" s="17"/>
      <c r="L12217" s="17" t="s">
        <v>24262</v>
      </c>
      <c r="M12217" s="17"/>
      <c r="N12217" s="17" t="s">
        <v>25249</v>
      </c>
      <c r="O12217" s="17" t="s">
        <v>25320</v>
      </c>
      <c r="P12217" s="17" t="s">
        <v>25929</v>
      </c>
      <c r="Q12217" s="17"/>
      <c r="R12217" s="25" t="str">
        <f>HYPERLINK("https://ictv.global/taxonomy/taxondetails?taxnode_id=202307406","Sripuvirus cuiaba")</f>
        <v>Sripuvirus cuiaba</v>
      </c>
      <c r="S12217" s="18" t="s">
        <v>30</v>
      </c>
      <c r="T12217" s="18" t="s">
        <v>25942</v>
      </c>
      <c r="U12217" s="18" t="s">
        <v>25943</v>
      </c>
      <c r="V12217" s="18" t="s">
        <v>25944</v>
      </c>
      <c r="W12217" s="18" t="s">
        <v>25945</v>
      </c>
      <c r="X12217" s="18" t="s">
        <v>42</v>
      </c>
      <c r="Y12217" s="18" t="s">
        <v>23964</v>
      </c>
      <c r="Z12217" s="18" t="s">
        <v>12289</v>
      </c>
      <c r="AA12217" s="21" t="str">
        <f>HYPERLINK("https://www.ncbi.nlm.nih.gov/nuccore/MH899110","NCBI Nucleotide")</f>
        <v>NCBI Nucleotide</v>
      </c>
    </row>
    <row r="12218" spans="1:27" x14ac:dyDescent="0.35">
      <c r="A12218">
        <v>1010850</v>
      </c>
      <c r="B12218">
        <v>11500</v>
      </c>
      <c r="C12218">
        <v>1</v>
      </c>
      <c r="D12218" s="17" t="s">
        <v>17166</v>
      </c>
      <c r="E12218" s="17"/>
      <c r="F12218" s="17" t="s">
        <v>17246</v>
      </c>
      <c r="G12218" s="17"/>
      <c r="H12218" s="17" t="s">
        <v>23950</v>
      </c>
      <c r="I12218" s="17" t="s">
        <v>23956</v>
      </c>
      <c r="J12218" s="17" t="s">
        <v>24017</v>
      </c>
      <c r="K12218" s="17"/>
      <c r="L12218" s="17" t="s">
        <v>24262</v>
      </c>
      <c r="M12218" s="17"/>
      <c r="N12218" s="17" t="s">
        <v>25249</v>
      </c>
      <c r="O12218" s="17" t="s">
        <v>25320</v>
      </c>
      <c r="P12218" s="17" t="s">
        <v>25929</v>
      </c>
      <c r="Q12218" s="17"/>
      <c r="R12218" s="25" t="str">
        <f>HYPERLINK("https://ictv.global/taxonomy/taxondetails?taxnode_id=202307407","Sripuvirus hainan")</f>
        <v>Sripuvirus hainan</v>
      </c>
      <c r="S12218" s="18" t="s">
        <v>30</v>
      </c>
      <c r="T12218" s="18" t="s">
        <v>25946</v>
      </c>
      <c r="U12218" s="18" t="s">
        <v>25947</v>
      </c>
      <c r="V12218" s="18" t="s">
        <v>25948</v>
      </c>
      <c r="W12218" s="18" t="s">
        <v>25949</v>
      </c>
      <c r="X12218" s="18" t="s">
        <v>35</v>
      </c>
      <c r="Y12218" s="18" t="s">
        <v>23964</v>
      </c>
      <c r="Z12218" s="18" t="s">
        <v>12289</v>
      </c>
      <c r="AA12218" s="21" t="str">
        <f>HYPERLINK("https://www.ncbi.nlm.nih.gov/nuccore/MG600016","NCBI Nucleotide")</f>
        <v>NCBI Nucleotide</v>
      </c>
    </row>
    <row r="12219" spans="1:27" x14ac:dyDescent="0.35">
      <c r="A12219">
        <v>1010851</v>
      </c>
      <c r="B12219">
        <v>11501</v>
      </c>
      <c r="C12219">
        <v>1</v>
      </c>
      <c r="D12219" s="17" t="s">
        <v>17166</v>
      </c>
      <c r="E12219" s="17"/>
      <c r="F12219" s="17" t="s">
        <v>17246</v>
      </c>
      <c r="G12219" s="17"/>
      <c r="H12219" s="17" t="s">
        <v>23950</v>
      </c>
      <c r="I12219" s="17" t="s">
        <v>23956</v>
      </c>
      <c r="J12219" s="17" t="s">
        <v>24017</v>
      </c>
      <c r="K12219" s="17"/>
      <c r="L12219" s="17" t="s">
        <v>24262</v>
      </c>
      <c r="M12219" s="17"/>
      <c r="N12219" s="17" t="s">
        <v>25249</v>
      </c>
      <c r="O12219" s="17" t="s">
        <v>25320</v>
      </c>
      <c r="P12219" s="17" t="s">
        <v>25929</v>
      </c>
      <c r="Q12219" s="17"/>
      <c r="R12219" s="25" t="str">
        <f>HYPERLINK("https://ictv.global/taxonomy/taxondetails?taxnode_id=202301771","Sripuvirus madureira")</f>
        <v>Sripuvirus madureira</v>
      </c>
      <c r="S12219" s="18" t="s">
        <v>30</v>
      </c>
      <c r="T12219" s="18" t="s">
        <v>25950</v>
      </c>
      <c r="U12219" s="18" t="s">
        <v>25951</v>
      </c>
      <c r="V12219" s="18" t="s">
        <v>25952</v>
      </c>
      <c r="W12219" s="18" t="s">
        <v>25953</v>
      </c>
      <c r="X12219" s="18" t="s">
        <v>35</v>
      </c>
      <c r="Y12219" s="18" t="s">
        <v>23964</v>
      </c>
      <c r="Z12219" s="18" t="s">
        <v>12289</v>
      </c>
      <c r="AA12219" s="21" t="str">
        <f>HYPERLINK("https://www.ncbi.nlm.nih.gov/nuccore/KM205004","NCBI Nucleotide")</f>
        <v>NCBI Nucleotide</v>
      </c>
    </row>
    <row r="12220" spans="1:27" x14ac:dyDescent="0.35">
      <c r="A12220">
        <v>1010852</v>
      </c>
      <c r="B12220">
        <v>11502</v>
      </c>
      <c r="C12220">
        <v>1</v>
      </c>
      <c r="D12220" s="17" t="s">
        <v>17166</v>
      </c>
      <c r="E12220" s="17"/>
      <c r="F12220" s="17" t="s">
        <v>17246</v>
      </c>
      <c r="G12220" s="17"/>
      <c r="H12220" s="17" t="s">
        <v>23950</v>
      </c>
      <c r="I12220" s="17" t="s">
        <v>23956</v>
      </c>
      <c r="J12220" s="17" t="s">
        <v>24017</v>
      </c>
      <c r="K12220" s="17"/>
      <c r="L12220" s="17" t="s">
        <v>24262</v>
      </c>
      <c r="M12220" s="17"/>
      <c r="N12220" s="17" t="s">
        <v>25249</v>
      </c>
      <c r="O12220" s="17" t="s">
        <v>25320</v>
      </c>
      <c r="P12220" s="17" t="s">
        <v>25929</v>
      </c>
      <c r="Q12220" s="17"/>
      <c r="R12220" s="25" t="str">
        <f>HYPERLINK("https://ictv.global/taxonomy/taxondetails?taxnode_id=202301770","Sripuvirus niakha")</f>
        <v>Sripuvirus niakha</v>
      </c>
      <c r="S12220" s="18" t="s">
        <v>30</v>
      </c>
      <c r="T12220" s="18" t="s">
        <v>25954</v>
      </c>
      <c r="U12220" s="18" t="s">
        <v>25955</v>
      </c>
      <c r="V12220" s="18" t="s">
        <v>25956</v>
      </c>
      <c r="W12220" s="18" t="s">
        <v>25957</v>
      </c>
      <c r="X12220" s="18" t="s">
        <v>42</v>
      </c>
      <c r="Y12220" s="18" t="s">
        <v>23964</v>
      </c>
      <c r="Z12220" s="18" t="s">
        <v>12289</v>
      </c>
      <c r="AA12220" s="21" t="str">
        <f>HYPERLINK("https://www.ncbi.nlm.nih.gov/nuccore/KC585008","NCBI Nucleotide")</f>
        <v>NCBI Nucleotide</v>
      </c>
    </row>
    <row r="12221" spans="1:27" x14ac:dyDescent="0.35">
      <c r="A12221">
        <v>1010853</v>
      </c>
      <c r="B12221">
        <v>11503</v>
      </c>
      <c r="C12221">
        <v>1</v>
      </c>
      <c r="D12221" s="17" t="s">
        <v>17166</v>
      </c>
      <c r="E12221" s="17"/>
      <c r="F12221" s="17" t="s">
        <v>17246</v>
      </c>
      <c r="G12221" s="17"/>
      <c r="H12221" s="17" t="s">
        <v>23950</v>
      </c>
      <c r="I12221" s="17" t="s">
        <v>23956</v>
      </c>
      <c r="J12221" s="17" t="s">
        <v>24017</v>
      </c>
      <c r="K12221" s="17"/>
      <c r="L12221" s="17" t="s">
        <v>24262</v>
      </c>
      <c r="M12221" s="17"/>
      <c r="N12221" s="17" t="s">
        <v>25249</v>
      </c>
      <c r="O12221" s="17" t="s">
        <v>25320</v>
      </c>
      <c r="P12221" s="17" t="s">
        <v>25929</v>
      </c>
      <c r="Q12221" s="17"/>
      <c r="R12221" s="25" t="str">
        <f>HYPERLINK("https://ictv.global/taxonomy/taxondetails?taxnode_id=202301772","Sripuvirus sripur")</f>
        <v>Sripuvirus sripur</v>
      </c>
      <c r="S12221" s="18" t="s">
        <v>30</v>
      </c>
      <c r="T12221" s="18" t="s">
        <v>25958</v>
      </c>
      <c r="U12221" s="18" t="s">
        <v>25959</v>
      </c>
      <c r="V12221" s="18">
        <v>733646</v>
      </c>
      <c r="W12221" s="18" t="s">
        <v>25960</v>
      </c>
      <c r="X12221" s="18" t="s">
        <v>35</v>
      </c>
      <c r="Y12221" s="18" t="s">
        <v>23964</v>
      </c>
      <c r="Z12221" s="18" t="s">
        <v>12289</v>
      </c>
      <c r="AA12221" s="21" t="str">
        <f>HYPERLINK("https://www.ncbi.nlm.nih.gov/nuccore/KM205023","NCBI Nucleotide")</f>
        <v>NCBI Nucleotide</v>
      </c>
    </row>
    <row r="12222" spans="1:27" x14ac:dyDescent="0.35">
      <c r="A12222">
        <v>1010854</v>
      </c>
      <c r="B12222">
        <v>11504</v>
      </c>
      <c r="C12222">
        <v>1</v>
      </c>
      <c r="D12222" s="17" t="s">
        <v>17166</v>
      </c>
      <c r="E12222" s="17"/>
      <c r="F12222" s="17" t="s">
        <v>17246</v>
      </c>
      <c r="G12222" s="17"/>
      <c r="H12222" s="17" t="s">
        <v>23950</v>
      </c>
      <c r="I12222" s="17" t="s">
        <v>23956</v>
      </c>
      <c r="J12222" s="17" t="s">
        <v>24017</v>
      </c>
      <c r="K12222" s="17"/>
      <c r="L12222" s="17" t="s">
        <v>24262</v>
      </c>
      <c r="M12222" s="17"/>
      <c r="N12222" s="17" t="s">
        <v>25249</v>
      </c>
      <c r="O12222" s="17" t="s">
        <v>25320</v>
      </c>
      <c r="P12222" s="17" t="s">
        <v>25961</v>
      </c>
      <c r="Q12222" s="17"/>
      <c r="R12222" s="25" t="str">
        <f>HYPERLINK("https://ictv.global/taxonomy/taxondetails?taxnode_id=202313332","Sunrhavirus alexandria")</f>
        <v>Sunrhavirus alexandria</v>
      </c>
      <c r="S12222" s="18" t="s">
        <v>30</v>
      </c>
      <c r="T12222" s="18" t="s">
        <v>25962</v>
      </c>
      <c r="U12222" s="18" t="s">
        <v>25963</v>
      </c>
      <c r="V12222" s="18" t="s">
        <v>25964</v>
      </c>
      <c r="W12222" s="18" t="s">
        <v>25965</v>
      </c>
      <c r="X12222" s="18" t="s">
        <v>35</v>
      </c>
      <c r="Y12222" s="18" t="s">
        <v>23964</v>
      </c>
      <c r="Z12222" s="18" t="s">
        <v>166</v>
      </c>
      <c r="AA12222" s="21" t="str">
        <f>HYPERLINK("https://www.ncbi.nlm.nih.gov/nuccore/MW491759","NCBI Nucleotide")</f>
        <v>NCBI Nucleotide</v>
      </c>
    </row>
    <row r="12223" spans="1:27" x14ac:dyDescent="0.35">
      <c r="A12223">
        <v>1010855</v>
      </c>
      <c r="B12223">
        <v>11505</v>
      </c>
      <c r="C12223">
        <v>1</v>
      </c>
      <c r="D12223" s="17" t="s">
        <v>17166</v>
      </c>
      <c r="E12223" s="17"/>
      <c r="F12223" s="17" t="s">
        <v>17246</v>
      </c>
      <c r="G12223" s="17"/>
      <c r="H12223" s="17" t="s">
        <v>23950</v>
      </c>
      <c r="I12223" s="17" t="s">
        <v>23956</v>
      </c>
      <c r="J12223" s="17" t="s">
        <v>24017</v>
      </c>
      <c r="K12223" s="17"/>
      <c r="L12223" s="17" t="s">
        <v>24262</v>
      </c>
      <c r="M12223" s="17"/>
      <c r="N12223" s="17" t="s">
        <v>25249</v>
      </c>
      <c r="O12223" s="17" t="s">
        <v>25320</v>
      </c>
      <c r="P12223" s="17" t="s">
        <v>25961</v>
      </c>
      <c r="Q12223" s="17"/>
      <c r="R12223" s="25" t="str">
        <f>HYPERLINK("https://ictv.global/taxonomy/taxondetails?taxnode_id=202313329","Sunrhavirus bimbo")</f>
        <v>Sunrhavirus bimbo</v>
      </c>
      <c r="S12223" s="18" t="s">
        <v>30</v>
      </c>
      <c r="T12223" s="18" t="s">
        <v>25966</v>
      </c>
      <c r="U12223" s="18" t="s">
        <v>25967</v>
      </c>
      <c r="V12223" s="18" t="s">
        <v>25968</v>
      </c>
      <c r="W12223" s="18" t="s">
        <v>25969</v>
      </c>
      <c r="X12223" s="18" t="s">
        <v>35</v>
      </c>
      <c r="Y12223" s="18" t="s">
        <v>23964</v>
      </c>
      <c r="Z12223" s="18" t="s">
        <v>166</v>
      </c>
      <c r="AA12223" s="21" t="str">
        <f>HYPERLINK("https://www.ncbi.nlm.nih.gov/nuccore/MW491756","NCBI Nucleotide")</f>
        <v>NCBI Nucleotide</v>
      </c>
    </row>
    <row r="12224" spans="1:27" x14ac:dyDescent="0.35">
      <c r="A12224">
        <v>1010856</v>
      </c>
      <c r="B12224">
        <v>11506</v>
      </c>
      <c r="C12224">
        <v>1</v>
      </c>
      <c r="D12224" s="17" t="s">
        <v>17166</v>
      </c>
      <c r="E12224" s="17"/>
      <c r="F12224" s="17" t="s">
        <v>17246</v>
      </c>
      <c r="G12224" s="17"/>
      <c r="H12224" s="17" t="s">
        <v>23950</v>
      </c>
      <c r="I12224" s="17" t="s">
        <v>23956</v>
      </c>
      <c r="J12224" s="17" t="s">
        <v>24017</v>
      </c>
      <c r="K12224" s="17"/>
      <c r="L12224" s="17" t="s">
        <v>24262</v>
      </c>
      <c r="M12224" s="17"/>
      <c r="N12224" s="17" t="s">
        <v>25249</v>
      </c>
      <c r="O12224" s="17" t="s">
        <v>25320</v>
      </c>
      <c r="P12224" s="17" t="s">
        <v>25961</v>
      </c>
      <c r="Q12224" s="17"/>
      <c r="R12224" s="25" t="str">
        <f>HYPERLINK("https://ictv.global/taxonomy/taxondetails?taxnode_id=202313328","Sunrhavirus boteke")</f>
        <v>Sunrhavirus boteke</v>
      </c>
      <c r="S12224" s="18" t="s">
        <v>30</v>
      </c>
      <c r="T12224" s="18" t="s">
        <v>25970</v>
      </c>
      <c r="U12224" s="18" t="s">
        <v>25971</v>
      </c>
      <c r="V12224" s="18" t="s">
        <v>25972</v>
      </c>
      <c r="W12224" s="18" t="s">
        <v>25973</v>
      </c>
      <c r="X12224" s="18" t="s">
        <v>35</v>
      </c>
      <c r="Y12224" s="18" t="s">
        <v>23964</v>
      </c>
      <c r="Z12224" s="18" t="s">
        <v>10790</v>
      </c>
      <c r="AA12224" s="21" t="str">
        <f>HYPERLINK("https://www.ncbi.nlm.nih.gov/nuccore/MW491753","NCBI Nucleotide")</f>
        <v>NCBI Nucleotide</v>
      </c>
    </row>
    <row r="12225" spans="1:27" x14ac:dyDescent="0.35">
      <c r="A12225">
        <v>1010857</v>
      </c>
      <c r="B12225">
        <v>11507</v>
      </c>
      <c r="C12225">
        <v>1</v>
      </c>
      <c r="D12225" s="17" t="s">
        <v>17166</v>
      </c>
      <c r="E12225" s="17"/>
      <c r="F12225" s="17" t="s">
        <v>17246</v>
      </c>
      <c r="G12225" s="17"/>
      <c r="H12225" s="17" t="s">
        <v>23950</v>
      </c>
      <c r="I12225" s="17" t="s">
        <v>23956</v>
      </c>
      <c r="J12225" s="17" t="s">
        <v>24017</v>
      </c>
      <c r="K12225" s="17"/>
      <c r="L12225" s="17" t="s">
        <v>24262</v>
      </c>
      <c r="M12225" s="17"/>
      <c r="N12225" s="17" t="s">
        <v>25249</v>
      </c>
      <c r="O12225" s="17" t="s">
        <v>25320</v>
      </c>
      <c r="P12225" s="17" t="s">
        <v>25961</v>
      </c>
      <c r="Q12225" s="17"/>
      <c r="R12225" s="25" t="str">
        <f>HYPERLINK("https://ictv.global/taxonomy/taxondetails?taxnode_id=202309167","Sunrhavirus dillard")</f>
        <v>Sunrhavirus dillard</v>
      </c>
      <c r="S12225" s="18" t="s">
        <v>30</v>
      </c>
      <c r="T12225" s="18" t="s">
        <v>25974</v>
      </c>
      <c r="U12225" s="18" t="s">
        <v>25975</v>
      </c>
      <c r="V12225" s="18" t="s">
        <v>25976</v>
      </c>
      <c r="W12225" s="18" t="s">
        <v>25977</v>
      </c>
      <c r="X12225" s="18" t="s">
        <v>35</v>
      </c>
      <c r="Y12225" s="18" t="s">
        <v>23964</v>
      </c>
      <c r="Z12225" s="18" t="s">
        <v>10790</v>
      </c>
      <c r="AA12225" s="21" t="str">
        <f>HYPERLINK("https://www.ncbi.nlm.nih.gov/nuccore/MG251664","NCBI Nucleotide")</f>
        <v>NCBI Nucleotide</v>
      </c>
    </row>
    <row r="12226" spans="1:27" x14ac:dyDescent="0.35">
      <c r="A12226">
        <v>1010858</v>
      </c>
      <c r="B12226">
        <v>11508</v>
      </c>
      <c r="C12226">
        <v>1</v>
      </c>
      <c r="D12226" s="17" t="s">
        <v>17166</v>
      </c>
      <c r="E12226" s="17"/>
      <c r="F12226" s="17" t="s">
        <v>17246</v>
      </c>
      <c r="G12226" s="17"/>
      <c r="H12226" s="17" t="s">
        <v>23950</v>
      </c>
      <c r="I12226" s="17" t="s">
        <v>23956</v>
      </c>
      <c r="J12226" s="17" t="s">
        <v>24017</v>
      </c>
      <c r="K12226" s="17"/>
      <c r="L12226" s="17" t="s">
        <v>24262</v>
      </c>
      <c r="M12226" s="17"/>
      <c r="N12226" s="17" t="s">
        <v>25249</v>
      </c>
      <c r="O12226" s="17" t="s">
        <v>25320</v>
      </c>
      <c r="P12226" s="17" t="s">
        <v>25961</v>
      </c>
      <c r="Q12226" s="17"/>
      <c r="R12226" s="25" t="str">
        <f>HYPERLINK("https://ictv.global/taxonomy/taxondetails?taxnode_id=202307125","Sunrhavirus garba")</f>
        <v>Sunrhavirus garba</v>
      </c>
      <c r="S12226" s="18" t="s">
        <v>30</v>
      </c>
      <c r="T12226" s="18" t="s">
        <v>25978</v>
      </c>
      <c r="U12226" s="18" t="s">
        <v>25979</v>
      </c>
      <c r="V12226" s="18" t="s">
        <v>25980</v>
      </c>
      <c r="W12226" s="18" t="s">
        <v>25981</v>
      </c>
      <c r="X12226" s="18" t="s">
        <v>35</v>
      </c>
      <c r="Y12226" s="18" t="s">
        <v>23964</v>
      </c>
      <c r="Z12226" s="18" t="s">
        <v>166</v>
      </c>
      <c r="AA12226" s="21" t="str">
        <f>HYPERLINK("https://www.ncbi.nlm.nih.gov/nuccore/KM204982","NCBI Nucleotide")</f>
        <v>NCBI Nucleotide</v>
      </c>
    </row>
    <row r="12227" spans="1:27" x14ac:dyDescent="0.35">
      <c r="A12227">
        <v>1010859</v>
      </c>
      <c r="B12227">
        <v>11509</v>
      </c>
      <c r="C12227">
        <v>1</v>
      </c>
      <c r="D12227" s="17" t="s">
        <v>17166</v>
      </c>
      <c r="E12227" s="17"/>
      <c r="F12227" s="17" t="s">
        <v>17246</v>
      </c>
      <c r="G12227" s="17"/>
      <c r="H12227" s="17" t="s">
        <v>23950</v>
      </c>
      <c r="I12227" s="17" t="s">
        <v>23956</v>
      </c>
      <c r="J12227" s="17" t="s">
        <v>24017</v>
      </c>
      <c r="K12227" s="17"/>
      <c r="L12227" s="17" t="s">
        <v>24262</v>
      </c>
      <c r="M12227" s="17"/>
      <c r="N12227" s="17" t="s">
        <v>25249</v>
      </c>
      <c r="O12227" s="17" t="s">
        <v>25320</v>
      </c>
      <c r="P12227" s="17" t="s">
        <v>25961</v>
      </c>
      <c r="Q12227" s="17"/>
      <c r="R12227" s="25" t="str">
        <f>HYPERLINK("https://ictv.global/taxonomy/taxondetails?taxnode_id=202307126","Sunrhavirus harrison")</f>
        <v>Sunrhavirus harrison</v>
      </c>
      <c r="S12227" s="18" t="s">
        <v>30</v>
      </c>
      <c r="T12227" s="18" t="s">
        <v>25982</v>
      </c>
      <c r="U12227" s="18" t="s">
        <v>25983</v>
      </c>
      <c r="V12227" s="18" t="s">
        <v>25984</v>
      </c>
      <c r="W12227" s="18" t="s">
        <v>25985</v>
      </c>
      <c r="X12227" s="18" t="s">
        <v>35</v>
      </c>
      <c r="Y12227" s="18" t="s">
        <v>23964</v>
      </c>
      <c r="Z12227" s="18" t="s">
        <v>10790</v>
      </c>
      <c r="AA12227" s="21" t="str">
        <f>HYPERLINK("https://www.ncbi.nlm.nih.gov/nuccore/KJ432573","NCBI Nucleotide")</f>
        <v>NCBI Nucleotide</v>
      </c>
    </row>
    <row r="12228" spans="1:27" x14ac:dyDescent="0.35">
      <c r="A12228">
        <v>1010860</v>
      </c>
      <c r="B12228">
        <v>11510</v>
      </c>
      <c r="C12228">
        <v>1</v>
      </c>
      <c r="D12228" s="17" t="s">
        <v>17166</v>
      </c>
      <c r="E12228" s="17"/>
      <c r="F12228" s="17" t="s">
        <v>17246</v>
      </c>
      <c r="G12228" s="17"/>
      <c r="H12228" s="17" t="s">
        <v>23950</v>
      </c>
      <c r="I12228" s="17" t="s">
        <v>23956</v>
      </c>
      <c r="J12228" s="17" t="s">
        <v>24017</v>
      </c>
      <c r="K12228" s="17"/>
      <c r="L12228" s="17" t="s">
        <v>24262</v>
      </c>
      <c r="M12228" s="17"/>
      <c r="N12228" s="17" t="s">
        <v>25249</v>
      </c>
      <c r="O12228" s="17" t="s">
        <v>25320</v>
      </c>
      <c r="P12228" s="17" t="s">
        <v>25961</v>
      </c>
      <c r="Q12228" s="17"/>
      <c r="R12228" s="25" t="str">
        <f>HYPERLINK("https://ictv.global/taxonomy/taxondetails?taxnode_id=202313330","Sunrhavirus kolongo")</f>
        <v>Sunrhavirus kolongo</v>
      </c>
      <c r="S12228" s="18" t="s">
        <v>30</v>
      </c>
      <c r="T12228" s="18" t="s">
        <v>25986</v>
      </c>
      <c r="U12228" s="18" t="s">
        <v>25987</v>
      </c>
      <c r="V12228" s="18" t="s">
        <v>25988</v>
      </c>
      <c r="W12228" s="18" t="s">
        <v>25989</v>
      </c>
      <c r="X12228" s="18" t="s">
        <v>35</v>
      </c>
      <c r="Y12228" s="18" t="s">
        <v>23964</v>
      </c>
      <c r="Z12228" s="18" t="s">
        <v>166</v>
      </c>
      <c r="AA12228" s="21" t="str">
        <f>HYPERLINK("https://www.ncbi.nlm.nih.gov/nuccore/MW491757","NCBI Nucleotide")</f>
        <v>NCBI Nucleotide</v>
      </c>
    </row>
    <row r="12229" spans="1:27" x14ac:dyDescent="0.35">
      <c r="A12229">
        <v>1010861</v>
      </c>
      <c r="B12229">
        <v>11511</v>
      </c>
      <c r="C12229">
        <v>1</v>
      </c>
      <c r="D12229" s="17" t="s">
        <v>17166</v>
      </c>
      <c r="E12229" s="17"/>
      <c r="F12229" s="17" t="s">
        <v>17246</v>
      </c>
      <c r="G12229" s="17"/>
      <c r="H12229" s="17" t="s">
        <v>23950</v>
      </c>
      <c r="I12229" s="17" t="s">
        <v>23956</v>
      </c>
      <c r="J12229" s="17" t="s">
        <v>24017</v>
      </c>
      <c r="K12229" s="17"/>
      <c r="L12229" s="17" t="s">
        <v>24262</v>
      </c>
      <c r="M12229" s="17"/>
      <c r="N12229" s="17" t="s">
        <v>25249</v>
      </c>
      <c r="O12229" s="17" t="s">
        <v>25320</v>
      </c>
      <c r="P12229" s="17" t="s">
        <v>25961</v>
      </c>
      <c r="Q12229" s="17"/>
      <c r="R12229" s="25" t="str">
        <f>HYPERLINK("https://ictv.global/taxonomy/taxondetails?taxnode_id=202307128","Sunrhavirus kwatta")</f>
        <v>Sunrhavirus kwatta</v>
      </c>
      <c r="S12229" s="18" t="s">
        <v>30</v>
      </c>
      <c r="T12229" s="18" t="s">
        <v>25990</v>
      </c>
      <c r="U12229" s="18" t="s">
        <v>25991</v>
      </c>
      <c r="V12229" s="18" t="s">
        <v>25992</v>
      </c>
      <c r="W12229" s="18" t="s">
        <v>25993</v>
      </c>
      <c r="X12229" s="18" t="s">
        <v>35</v>
      </c>
      <c r="Y12229" s="18" t="s">
        <v>23964</v>
      </c>
      <c r="Z12229" s="18" t="s">
        <v>12289</v>
      </c>
      <c r="AA12229" s="21" t="str">
        <f>HYPERLINK("https://www.ncbi.nlm.nih.gov/nuccore/KM204985","NCBI Nucleotide")</f>
        <v>NCBI Nucleotide</v>
      </c>
    </row>
    <row r="12230" spans="1:27" x14ac:dyDescent="0.35">
      <c r="A12230">
        <v>1010862</v>
      </c>
      <c r="B12230">
        <v>11512</v>
      </c>
      <c r="C12230">
        <v>1</v>
      </c>
      <c r="D12230" s="17" t="s">
        <v>17166</v>
      </c>
      <c r="E12230" s="17"/>
      <c r="F12230" s="17" t="s">
        <v>17246</v>
      </c>
      <c r="G12230" s="17"/>
      <c r="H12230" s="17" t="s">
        <v>23950</v>
      </c>
      <c r="I12230" s="17" t="s">
        <v>23956</v>
      </c>
      <c r="J12230" s="17" t="s">
        <v>24017</v>
      </c>
      <c r="K12230" s="17"/>
      <c r="L12230" s="17" t="s">
        <v>24262</v>
      </c>
      <c r="M12230" s="17"/>
      <c r="N12230" s="17" t="s">
        <v>25249</v>
      </c>
      <c r="O12230" s="17" t="s">
        <v>25320</v>
      </c>
      <c r="P12230" s="17" t="s">
        <v>25961</v>
      </c>
      <c r="Q12230" s="17"/>
      <c r="R12230" s="25" t="str">
        <f>HYPERLINK("https://ictv.global/taxonomy/taxondetails?taxnode_id=202313333","Sunrhavirus matariya")</f>
        <v>Sunrhavirus matariya</v>
      </c>
      <c r="S12230" s="18" t="s">
        <v>30</v>
      </c>
      <c r="T12230" s="18" t="s">
        <v>25994</v>
      </c>
      <c r="U12230" s="18" t="s">
        <v>25995</v>
      </c>
      <c r="V12230" s="18" t="s">
        <v>25996</v>
      </c>
      <c r="W12230" s="18" t="s">
        <v>25997</v>
      </c>
      <c r="X12230" s="18" t="s">
        <v>35</v>
      </c>
      <c r="Y12230" s="18" t="s">
        <v>23964</v>
      </c>
      <c r="Z12230" s="18" t="s">
        <v>166</v>
      </c>
      <c r="AA12230" s="21" t="str">
        <f>HYPERLINK("https://www.ncbi.nlm.nih.gov/nuccore/MW491760","NCBI Nucleotide")</f>
        <v>NCBI Nucleotide</v>
      </c>
    </row>
    <row r="12231" spans="1:27" x14ac:dyDescent="0.35">
      <c r="A12231">
        <v>1010863</v>
      </c>
      <c r="B12231">
        <v>11513</v>
      </c>
      <c r="C12231">
        <v>1</v>
      </c>
      <c r="D12231" s="17" t="s">
        <v>17166</v>
      </c>
      <c r="E12231" s="17"/>
      <c r="F12231" s="17" t="s">
        <v>17246</v>
      </c>
      <c r="G12231" s="17"/>
      <c r="H12231" s="17" t="s">
        <v>23950</v>
      </c>
      <c r="I12231" s="17" t="s">
        <v>23956</v>
      </c>
      <c r="J12231" s="17" t="s">
        <v>24017</v>
      </c>
      <c r="K12231" s="17"/>
      <c r="L12231" s="17" t="s">
        <v>24262</v>
      </c>
      <c r="M12231" s="17"/>
      <c r="N12231" s="17" t="s">
        <v>25249</v>
      </c>
      <c r="O12231" s="17" t="s">
        <v>25320</v>
      </c>
      <c r="P12231" s="17" t="s">
        <v>25961</v>
      </c>
      <c r="Q12231" s="17"/>
      <c r="R12231" s="25" t="str">
        <f>HYPERLINK("https://ictv.global/taxonomy/taxondetails?taxnode_id=202313327","Sunrhavirus nasoule")</f>
        <v>Sunrhavirus nasoule</v>
      </c>
      <c r="S12231" s="18" t="s">
        <v>30</v>
      </c>
      <c r="T12231" s="18" t="s">
        <v>25998</v>
      </c>
      <c r="U12231" s="18" t="s">
        <v>25999</v>
      </c>
      <c r="V12231" s="18" t="s">
        <v>26000</v>
      </c>
      <c r="W12231" s="18" t="s">
        <v>26001</v>
      </c>
      <c r="X12231" s="18" t="s">
        <v>35</v>
      </c>
      <c r="Y12231" s="18" t="s">
        <v>23964</v>
      </c>
      <c r="Z12231" s="18" t="s">
        <v>166</v>
      </c>
      <c r="AA12231" s="21" t="str">
        <f>HYPERLINK("https://www.ncbi.nlm.nih.gov/nuccore/MW491755","NCBI Nucleotide")</f>
        <v>NCBI Nucleotide</v>
      </c>
    </row>
    <row r="12232" spans="1:27" x14ac:dyDescent="0.35">
      <c r="A12232">
        <v>1010864</v>
      </c>
      <c r="B12232">
        <v>11514</v>
      </c>
      <c r="C12232">
        <v>1</v>
      </c>
      <c r="D12232" s="17" t="s">
        <v>17166</v>
      </c>
      <c r="E12232" s="17"/>
      <c r="F12232" s="17" t="s">
        <v>17246</v>
      </c>
      <c r="G12232" s="17"/>
      <c r="H12232" s="17" t="s">
        <v>23950</v>
      </c>
      <c r="I12232" s="17" t="s">
        <v>23956</v>
      </c>
      <c r="J12232" s="17" t="s">
        <v>24017</v>
      </c>
      <c r="K12232" s="17"/>
      <c r="L12232" s="17" t="s">
        <v>24262</v>
      </c>
      <c r="M12232" s="17"/>
      <c r="N12232" s="17" t="s">
        <v>25249</v>
      </c>
      <c r="O12232" s="17" t="s">
        <v>25320</v>
      </c>
      <c r="P12232" s="17" t="s">
        <v>25961</v>
      </c>
      <c r="Q12232" s="17"/>
      <c r="R12232" s="25" t="str">
        <f>HYPERLINK("https://ictv.global/taxonomy/taxondetails?taxnode_id=202307129","Sunrhavirus oakvale")</f>
        <v>Sunrhavirus oakvale</v>
      </c>
      <c r="S12232" s="18" t="s">
        <v>30</v>
      </c>
      <c r="T12232" s="18" t="s">
        <v>26002</v>
      </c>
      <c r="U12232" s="18" t="s">
        <v>26003</v>
      </c>
      <c r="V12232" s="18" t="s">
        <v>26004</v>
      </c>
      <c r="W12232" s="18" t="s">
        <v>26005</v>
      </c>
      <c r="X12232" s="18" t="s">
        <v>42</v>
      </c>
      <c r="Y12232" s="18" t="s">
        <v>23964</v>
      </c>
      <c r="Z12232" s="18" t="s">
        <v>10790</v>
      </c>
      <c r="AA12232" s="21" t="str">
        <f>HYPERLINK("https://www.ncbi.nlm.nih.gov/nuccore/JF705876","NCBI Nucleotide")</f>
        <v>NCBI Nucleotide</v>
      </c>
    </row>
    <row r="12233" spans="1:27" x14ac:dyDescent="0.35">
      <c r="A12233">
        <v>1010865</v>
      </c>
      <c r="B12233">
        <v>11515</v>
      </c>
      <c r="C12233">
        <v>1</v>
      </c>
      <c r="D12233" s="17" t="s">
        <v>17166</v>
      </c>
      <c r="E12233" s="17"/>
      <c r="F12233" s="17" t="s">
        <v>17246</v>
      </c>
      <c r="G12233" s="17"/>
      <c r="H12233" s="17" t="s">
        <v>23950</v>
      </c>
      <c r="I12233" s="17" t="s">
        <v>23956</v>
      </c>
      <c r="J12233" s="17" t="s">
        <v>24017</v>
      </c>
      <c r="K12233" s="17"/>
      <c r="L12233" s="17" t="s">
        <v>24262</v>
      </c>
      <c r="M12233" s="17"/>
      <c r="N12233" s="17" t="s">
        <v>25249</v>
      </c>
      <c r="O12233" s="17" t="s">
        <v>25320</v>
      </c>
      <c r="P12233" s="17" t="s">
        <v>25961</v>
      </c>
      <c r="Q12233" s="17"/>
      <c r="R12233" s="25" t="str">
        <f>HYPERLINK("https://ictv.global/taxonomy/taxondetails?taxnode_id=202313331","Sunrhavirus ouango")</f>
        <v>Sunrhavirus ouango</v>
      </c>
      <c r="S12233" s="18" t="s">
        <v>30</v>
      </c>
      <c r="T12233" s="18" t="s">
        <v>26006</v>
      </c>
      <c r="U12233" s="18" t="s">
        <v>26007</v>
      </c>
      <c r="V12233" s="18" t="s">
        <v>26008</v>
      </c>
      <c r="W12233" s="18" t="s">
        <v>26009</v>
      </c>
      <c r="X12233" s="18" t="s">
        <v>35</v>
      </c>
      <c r="Y12233" s="18" t="s">
        <v>23964</v>
      </c>
      <c r="Z12233" s="18" t="s">
        <v>166</v>
      </c>
      <c r="AA12233" s="21" t="str">
        <f>HYPERLINK("https://www.ncbi.nlm.nih.gov/nuccore/MW491758","NCBI Nucleotide")</f>
        <v>NCBI Nucleotide</v>
      </c>
    </row>
    <row r="12234" spans="1:27" x14ac:dyDescent="0.35">
      <c r="A12234">
        <v>1010866</v>
      </c>
      <c r="B12234">
        <v>11516</v>
      </c>
      <c r="C12234">
        <v>1</v>
      </c>
      <c r="D12234" s="17" t="s">
        <v>17166</v>
      </c>
      <c r="E12234" s="17"/>
      <c r="F12234" s="17" t="s">
        <v>17246</v>
      </c>
      <c r="G12234" s="17"/>
      <c r="H12234" s="17" t="s">
        <v>23950</v>
      </c>
      <c r="I12234" s="17" t="s">
        <v>23956</v>
      </c>
      <c r="J12234" s="17" t="s">
        <v>24017</v>
      </c>
      <c r="K12234" s="17"/>
      <c r="L12234" s="17" t="s">
        <v>24262</v>
      </c>
      <c r="M12234" s="17"/>
      <c r="N12234" s="17" t="s">
        <v>25249</v>
      </c>
      <c r="O12234" s="17" t="s">
        <v>25320</v>
      </c>
      <c r="P12234" s="17" t="s">
        <v>25961</v>
      </c>
      <c r="Q12234" s="17"/>
      <c r="R12234" s="25" t="str">
        <f>HYPERLINK("https://ictv.global/taxonomy/taxondetails?taxnode_id=202313326","Sunrhavirus sandjimba")</f>
        <v>Sunrhavirus sandjimba</v>
      </c>
      <c r="S12234" s="18" t="s">
        <v>30</v>
      </c>
      <c r="T12234" s="18" t="s">
        <v>26010</v>
      </c>
      <c r="U12234" s="18" t="s">
        <v>26011</v>
      </c>
      <c r="V12234" s="18" t="s">
        <v>26012</v>
      </c>
      <c r="W12234" s="18" t="s">
        <v>26013</v>
      </c>
      <c r="X12234" s="18" t="s">
        <v>35</v>
      </c>
      <c r="Y12234" s="18" t="s">
        <v>23964</v>
      </c>
      <c r="Z12234" s="18" t="s">
        <v>166</v>
      </c>
      <c r="AA12234" s="21" t="str">
        <f>HYPERLINK("https://www.ncbi.nlm.nih.gov/nuccore/MW491754","NCBI Nucleotide")</f>
        <v>NCBI Nucleotide</v>
      </c>
    </row>
    <row r="12235" spans="1:27" x14ac:dyDescent="0.35">
      <c r="A12235">
        <v>1010867</v>
      </c>
      <c r="B12235">
        <v>11517</v>
      </c>
      <c r="C12235">
        <v>1</v>
      </c>
      <c r="D12235" s="17" t="s">
        <v>17166</v>
      </c>
      <c r="E12235" s="17"/>
      <c r="F12235" s="17" t="s">
        <v>17246</v>
      </c>
      <c r="G12235" s="17"/>
      <c r="H12235" s="17" t="s">
        <v>23950</v>
      </c>
      <c r="I12235" s="17" t="s">
        <v>23956</v>
      </c>
      <c r="J12235" s="17" t="s">
        <v>24017</v>
      </c>
      <c r="K12235" s="17"/>
      <c r="L12235" s="17" t="s">
        <v>24262</v>
      </c>
      <c r="M12235" s="17"/>
      <c r="N12235" s="17" t="s">
        <v>25249</v>
      </c>
      <c r="O12235" s="17" t="s">
        <v>25320</v>
      </c>
      <c r="P12235" s="17" t="s">
        <v>25961</v>
      </c>
      <c r="Q12235" s="17"/>
      <c r="R12235" s="25" t="str">
        <f>HYPERLINK("https://ictv.global/taxonomy/taxondetails?taxnode_id=202307124","Sunrhavirus sunguru")</f>
        <v>Sunrhavirus sunguru</v>
      </c>
      <c r="S12235" s="18" t="s">
        <v>30</v>
      </c>
      <c r="T12235" s="18" t="s">
        <v>26014</v>
      </c>
      <c r="U12235" s="18" t="s">
        <v>26015</v>
      </c>
      <c r="V12235" s="18" t="s">
        <v>26016</v>
      </c>
      <c r="W12235" s="18" t="s">
        <v>26017</v>
      </c>
      <c r="X12235" s="18" t="s">
        <v>42</v>
      </c>
      <c r="Y12235" s="18" t="s">
        <v>23964</v>
      </c>
      <c r="Z12235" s="18" t="s">
        <v>166</v>
      </c>
      <c r="AA12235" s="21" t="str">
        <f>HYPERLINK("https://www.ncbi.nlm.nih.gov/nuccore/KF395226","NCBI Nucleotide")</f>
        <v>NCBI Nucleotide</v>
      </c>
    </row>
    <row r="12236" spans="1:27" x14ac:dyDescent="0.35">
      <c r="A12236">
        <v>1010868</v>
      </c>
      <c r="B12236">
        <v>11518</v>
      </c>
      <c r="C12236">
        <v>1</v>
      </c>
      <c r="D12236" s="17" t="s">
        <v>17166</v>
      </c>
      <c r="E12236" s="17"/>
      <c r="F12236" s="17" t="s">
        <v>17246</v>
      </c>
      <c r="G12236" s="17"/>
      <c r="H12236" s="17" t="s">
        <v>23950</v>
      </c>
      <c r="I12236" s="17" t="s">
        <v>23956</v>
      </c>
      <c r="J12236" s="17" t="s">
        <v>24017</v>
      </c>
      <c r="K12236" s="17"/>
      <c r="L12236" s="17" t="s">
        <v>24262</v>
      </c>
      <c r="M12236" s="17"/>
      <c r="N12236" s="17" t="s">
        <v>25249</v>
      </c>
      <c r="O12236" s="17" t="s">
        <v>25320</v>
      </c>
      <c r="P12236" s="17" t="s">
        <v>25961</v>
      </c>
      <c r="Q12236" s="17"/>
      <c r="R12236" s="25" t="str">
        <f>HYPERLINK("https://ictv.global/taxonomy/taxondetails?taxnode_id=202307127","Sunrhavirus walkabout")</f>
        <v>Sunrhavirus walkabout</v>
      </c>
      <c r="S12236" s="18" t="s">
        <v>30</v>
      </c>
      <c r="T12236" s="18" t="s">
        <v>26018</v>
      </c>
      <c r="U12236" s="18" t="s">
        <v>26019</v>
      </c>
      <c r="V12236" s="18" t="s">
        <v>26020</v>
      </c>
      <c r="W12236" s="18" t="s">
        <v>26021</v>
      </c>
      <c r="X12236" s="18" t="s">
        <v>42</v>
      </c>
      <c r="Y12236" s="18" t="s">
        <v>23964</v>
      </c>
      <c r="Z12236" s="18" t="s">
        <v>10790</v>
      </c>
      <c r="AA12236" s="21" t="str">
        <f>HYPERLINK("https://www.ncbi.nlm.nih.gov/nuccore/KJ432572","NCBI Nucleotide")</f>
        <v>NCBI Nucleotide</v>
      </c>
    </row>
    <row r="12237" spans="1:27" x14ac:dyDescent="0.35">
      <c r="A12237">
        <v>1010869</v>
      </c>
      <c r="B12237">
        <v>11519</v>
      </c>
      <c r="C12237">
        <v>1</v>
      </c>
      <c r="D12237" s="17" t="s">
        <v>17166</v>
      </c>
      <c r="E12237" s="17"/>
      <c r="F12237" s="17" t="s">
        <v>17246</v>
      </c>
      <c r="G12237" s="17"/>
      <c r="H12237" s="17" t="s">
        <v>23950</v>
      </c>
      <c r="I12237" s="17" t="s">
        <v>23956</v>
      </c>
      <c r="J12237" s="17" t="s">
        <v>24017</v>
      </c>
      <c r="K12237" s="17"/>
      <c r="L12237" s="17" t="s">
        <v>24262</v>
      </c>
      <c r="M12237" s="17"/>
      <c r="N12237" s="17" t="s">
        <v>25249</v>
      </c>
      <c r="O12237" s="17" t="s">
        <v>25320</v>
      </c>
      <c r="P12237" s="17" t="s">
        <v>26022</v>
      </c>
      <c r="Q12237" s="17"/>
      <c r="R12237" s="25" t="str">
        <f>HYPERLINK("https://ictv.global/taxonomy/taxondetails?taxnode_id=202314147","Thriprhavirus intonsa")</f>
        <v>Thriprhavirus intonsa</v>
      </c>
      <c r="S12237" s="18" t="s">
        <v>30</v>
      </c>
      <c r="T12237" s="18" t="s">
        <v>26023</v>
      </c>
      <c r="U12237" s="18" t="s">
        <v>26024</v>
      </c>
      <c r="V12237" s="18" t="s">
        <v>26025</v>
      </c>
      <c r="W12237" s="18" t="s">
        <v>26026</v>
      </c>
      <c r="X12237" s="18" t="s">
        <v>35</v>
      </c>
      <c r="Y12237" s="18" t="s">
        <v>23964</v>
      </c>
      <c r="Z12237" s="18" t="s">
        <v>10790</v>
      </c>
      <c r="AA12237" s="21" t="str">
        <f>HYPERLINK("https://www.ncbi.nlm.nih.gov/nuccore/MZ209657","NCBI Nucleotide")</f>
        <v>NCBI Nucleotide</v>
      </c>
    </row>
    <row r="12238" spans="1:27" x14ac:dyDescent="0.35">
      <c r="A12238">
        <v>1010870</v>
      </c>
      <c r="B12238">
        <v>11520</v>
      </c>
      <c r="C12238">
        <v>1</v>
      </c>
      <c r="D12238" s="17" t="s">
        <v>17166</v>
      </c>
      <c r="E12238" s="17"/>
      <c r="F12238" s="17" t="s">
        <v>17246</v>
      </c>
      <c r="G12238" s="17"/>
      <c r="H12238" s="17" t="s">
        <v>23950</v>
      </c>
      <c r="I12238" s="17" t="s">
        <v>23956</v>
      </c>
      <c r="J12238" s="17" t="s">
        <v>24017</v>
      </c>
      <c r="K12238" s="17"/>
      <c r="L12238" s="17" t="s">
        <v>24262</v>
      </c>
      <c r="M12238" s="17"/>
      <c r="N12238" s="17" t="s">
        <v>25249</v>
      </c>
      <c r="O12238" s="17" t="s">
        <v>25320</v>
      </c>
      <c r="P12238" s="17" t="s">
        <v>26022</v>
      </c>
      <c r="Q12238" s="17"/>
      <c r="R12238" s="25" t="str">
        <f>HYPERLINK("https://ictv.global/taxonomy/taxondetails?taxnode_id=202314146","Thriprhavirus tabaci")</f>
        <v>Thriprhavirus tabaci</v>
      </c>
      <c r="S12238" s="18" t="s">
        <v>30</v>
      </c>
      <c r="T12238" s="18" t="s">
        <v>26027</v>
      </c>
      <c r="U12238" s="18" t="s">
        <v>26028</v>
      </c>
      <c r="V12238" s="18" t="s">
        <v>26029</v>
      </c>
      <c r="W12238" s="18" t="s">
        <v>26030</v>
      </c>
      <c r="X12238" s="18" t="s">
        <v>35</v>
      </c>
      <c r="Y12238" s="18" t="s">
        <v>23964</v>
      </c>
      <c r="Z12238" s="18" t="s">
        <v>10790</v>
      </c>
      <c r="AA12238" s="21" t="str">
        <f>HYPERLINK("https://www.ncbi.nlm.nih.gov/nuccore/MN714687","NCBI Nucleotide")</f>
        <v>NCBI Nucleotide</v>
      </c>
    </row>
    <row r="12239" spans="1:27" x14ac:dyDescent="0.35">
      <c r="A12239">
        <v>1010871</v>
      </c>
      <c r="B12239">
        <v>11521</v>
      </c>
      <c r="C12239">
        <v>1</v>
      </c>
      <c r="D12239" s="17" t="s">
        <v>17166</v>
      </c>
      <c r="E12239" s="17"/>
      <c r="F12239" s="17" t="s">
        <v>17246</v>
      </c>
      <c r="G12239" s="17"/>
      <c r="H12239" s="17" t="s">
        <v>23950</v>
      </c>
      <c r="I12239" s="17" t="s">
        <v>23956</v>
      </c>
      <c r="J12239" s="17" t="s">
        <v>24017</v>
      </c>
      <c r="K12239" s="17"/>
      <c r="L12239" s="17" t="s">
        <v>24262</v>
      </c>
      <c r="M12239" s="17"/>
      <c r="N12239" s="17" t="s">
        <v>25249</v>
      </c>
      <c r="O12239" s="17" t="s">
        <v>25320</v>
      </c>
      <c r="P12239" s="17" t="s">
        <v>26031</v>
      </c>
      <c r="Q12239" s="17"/>
      <c r="R12239" s="25" t="str">
        <f>HYPERLINK("https://ictv.global/taxonomy/taxondetails?taxnode_id=202301776","Tibrovirus alphaekpoma")</f>
        <v>Tibrovirus alphaekpoma</v>
      </c>
      <c r="S12239" s="18" t="s">
        <v>30</v>
      </c>
      <c r="T12239" s="18" t="s">
        <v>26032</v>
      </c>
      <c r="U12239" s="18" t="s">
        <v>26033</v>
      </c>
      <c r="V12239" s="18"/>
      <c r="W12239" s="18" t="s">
        <v>26034</v>
      </c>
      <c r="X12239" s="18" t="s">
        <v>154</v>
      </c>
      <c r="Y12239" s="18" t="s">
        <v>23964</v>
      </c>
      <c r="Z12239" s="18" t="s">
        <v>166</v>
      </c>
      <c r="AA12239" s="21" t="str">
        <f>HYPERLINK("https://www.ncbi.nlm.nih.gov/nuccore/KP324827","NCBI Nucleotide")</f>
        <v>NCBI Nucleotide</v>
      </c>
    </row>
    <row r="12240" spans="1:27" x14ac:dyDescent="0.35">
      <c r="A12240">
        <v>1010872</v>
      </c>
      <c r="B12240">
        <v>11522</v>
      </c>
      <c r="C12240">
        <v>1</v>
      </c>
      <c r="D12240" s="17" t="s">
        <v>17166</v>
      </c>
      <c r="E12240" s="17"/>
      <c r="F12240" s="17" t="s">
        <v>17246</v>
      </c>
      <c r="G12240" s="17"/>
      <c r="H12240" s="17" t="s">
        <v>23950</v>
      </c>
      <c r="I12240" s="17" t="s">
        <v>23956</v>
      </c>
      <c r="J12240" s="17" t="s">
        <v>24017</v>
      </c>
      <c r="K12240" s="17"/>
      <c r="L12240" s="17" t="s">
        <v>24262</v>
      </c>
      <c r="M12240" s="17"/>
      <c r="N12240" s="17" t="s">
        <v>25249</v>
      </c>
      <c r="O12240" s="17" t="s">
        <v>25320</v>
      </c>
      <c r="P12240" s="17" t="s">
        <v>26031</v>
      </c>
      <c r="Q12240" s="17"/>
      <c r="R12240" s="25" t="str">
        <f>HYPERLINK("https://ictv.global/taxonomy/taxondetails?taxnode_id=202305583","Tibrovirus beatrice")</f>
        <v>Tibrovirus beatrice</v>
      </c>
      <c r="S12240" s="18" t="s">
        <v>30</v>
      </c>
      <c r="T12240" s="18" t="s">
        <v>26035</v>
      </c>
      <c r="U12240" s="18" t="s">
        <v>26036</v>
      </c>
      <c r="V12240" s="18" t="s">
        <v>26037</v>
      </c>
      <c r="W12240" s="18" t="s">
        <v>26038</v>
      </c>
      <c r="X12240" s="18" t="s">
        <v>42</v>
      </c>
      <c r="Y12240" s="18" t="s">
        <v>23964</v>
      </c>
      <c r="Z12240" s="18" t="s">
        <v>10790</v>
      </c>
      <c r="AA12240" s="21" t="str">
        <f>HYPERLINK("https://www.ncbi.nlm.nih.gov/nuccore/KY073493","NCBI Nucleotide")</f>
        <v>NCBI Nucleotide</v>
      </c>
    </row>
    <row r="12241" spans="1:27" x14ac:dyDescent="0.35">
      <c r="A12241">
        <v>1010873</v>
      </c>
      <c r="B12241">
        <v>11523</v>
      </c>
      <c r="C12241">
        <v>1</v>
      </c>
      <c r="D12241" s="17" t="s">
        <v>17166</v>
      </c>
      <c r="E12241" s="17"/>
      <c r="F12241" s="17" t="s">
        <v>17246</v>
      </c>
      <c r="G12241" s="17"/>
      <c r="H12241" s="17" t="s">
        <v>23950</v>
      </c>
      <c r="I12241" s="17" t="s">
        <v>23956</v>
      </c>
      <c r="J12241" s="17" t="s">
        <v>24017</v>
      </c>
      <c r="K12241" s="17"/>
      <c r="L12241" s="17" t="s">
        <v>24262</v>
      </c>
      <c r="M12241" s="17"/>
      <c r="N12241" s="17" t="s">
        <v>25249</v>
      </c>
      <c r="O12241" s="17" t="s">
        <v>25320</v>
      </c>
      <c r="P12241" s="17" t="s">
        <v>26031</v>
      </c>
      <c r="Q12241" s="17"/>
      <c r="R12241" s="25" t="str">
        <f>HYPERLINK("https://ictv.global/taxonomy/taxondetails?taxnode_id=202301777","Tibrovirus betaekpoma")</f>
        <v>Tibrovirus betaekpoma</v>
      </c>
      <c r="S12241" s="18" t="s">
        <v>30</v>
      </c>
      <c r="T12241" s="18" t="s">
        <v>26039</v>
      </c>
      <c r="U12241" s="18" t="s">
        <v>26040</v>
      </c>
      <c r="V12241" s="18"/>
      <c r="W12241" s="18" t="s">
        <v>26041</v>
      </c>
      <c r="X12241" s="18" t="s">
        <v>35</v>
      </c>
      <c r="Y12241" s="18" t="s">
        <v>23964</v>
      </c>
      <c r="Z12241" s="18" t="s">
        <v>166</v>
      </c>
      <c r="AA12241" s="21" t="str">
        <f>HYPERLINK("https://www.ncbi.nlm.nih.gov/nuccore/KP324828","NCBI Nucleotide")</f>
        <v>NCBI Nucleotide</v>
      </c>
    </row>
    <row r="12242" spans="1:27" x14ac:dyDescent="0.35">
      <c r="A12242">
        <v>1010874</v>
      </c>
      <c r="B12242">
        <v>11524</v>
      </c>
      <c r="C12242">
        <v>1</v>
      </c>
      <c r="D12242" s="17" t="s">
        <v>17166</v>
      </c>
      <c r="E12242" s="17"/>
      <c r="F12242" s="17" t="s">
        <v>17246</v>
      </c>
      <c r="G12242" s="17"/>
      <c r="H12242" s="17" t="s">
        <v>23950</v>
      </c>
      <c r="I12242" s="17" t="s">
        <v>23956</v>
      </c>
      <c r="J12242" s="17" t="s">
        <v>24017</v>
      </c>
      <c r="K12242" s="17"/>
      <c r="L12242" s="17" t="s">
        <v>24262</v>
      </c>
      <c r="M12242" s="17"/>
      <c r="N12242" s="17" t="s">
        <v>25249</v>
      </c>
      <c r="O12242" s="17" t="s">
        <v>25320</v>
      </c>
      <c r="P12242" s="17" t="s">
        <v>26031</v>
      </c>
      <c r="Q12242" s="17"/>
      <c r="R12242" s="25" t="str">
        <f>HYPERLINK("https://ictv.global/taxonomy/taxondetails?taxnode_id=202301775","Tibrovirus coastal")</f>
        <v>Tibrovirus coastal</v>
      </c>
      <c r="S12242" s="18" t="s">
        <v>30</v>
      </c>
      <c r="T12242" s="18" t="s">
        <v>26042</v>
      </c>
      <c r="U12242" s="18" t="s">
        <v>12807</v>
      </c>
      <c r="V12242" s="18" t="s">
        <v>26043</v>
      </c>
      <c r="W12242" s="18" t="s">
        <v>26044</v>
      </c>
      <c r="X12242" s="18" t="s">
        <v>42</v>
      </c>
      <c r="Y12242" s="18" t="s">
        <v>23964</v>
      </c>
      <c r="Z12242" s="18" t="s">
        <v>12289</v>
      </c>
      <c r="AA12242" s="21" t="str">
        <f>HYPERLINK("https://www.ncbi.nlm.nih.gov/nuccore/GQ294473","NCBI Nucleotide")</f>
        <v>NCBI Nucleotide</v>
      </c>
    </row>
    <row r="12243" spans="1:27" x14ac:dyDescent="0.35">
      <c r="A12243">
        <v>1010875</v>
      </c>
      <c r="B12243">
        <v>11525</v>
      </c>
      <c r="C12243">
        <v>1</v>
      </c>
      <c r="D12243" s="17" t="s">
        <v>17166</v>
      </c>
      <c r="E12243" s="17"/>
      <c r="F12243" s="17" t="s">
        <v>17246</v>
      </c>
      <c r="G12243" s="17"/>
      <c r="H12243" s="17" t="s">
        <v>23950</v>
      </c>
      <c r="I12243" s="17" t="s">
        <v>23956</v>
      </c>
      <c r="J12243" s="17" t="s">
        <v>24017</v>
      </c>
      <c r="K12243" s="17"/>
      <c r="L12243" s="17" t="s">
        <v>24262</v>
      </c>
      <c r="M12243" s="17"/>
      <c r="N12243" s="17" t="s">
        <v>25249</v>
      </c>
      <c r="O12243" s="17" t="s">
        <v>25320</v>
      </c>
      <c r="P12243" s="17" t="s">
        <v>26031</v>
      </c>
      <c r="Q12243" s="17"/>
      <c r="R12243" s="25" t="str">
        <f>HYPERLINK("https://ictv.global/taxonomy/taxondetails?taxnode_id=202301774","Tibrovirus congo")</f>
        <v>Tibrovirus congo</v>
      </c>
      <c r="S12243" s="18" t="s">
        <v>30</v>
      </c>
      <c r="T12243" s="18" t="s">
        <v>26045</v>
      </c>
      <c r="U12243" s="18" t="s">
        <v>26046</v>
      </c>
      <c r="V12243" s="18">
        <v>1</v>
      </c>
      <c r="W12243" s="18" t="s">
        <v>26047</v>
      </c>
      <c r="X12243" s="18" t="s">
        <v>154</v>
      </c>
      <c r="Y12243" s="18" t="s">
        <v>23964</v>
      </c>
      <c r="Z12243" s="18" t="s">
        <v>166</v>
      </c>
      <c r="AA12243" s="21" t="str">
        <f>HYPERLINK("https://www.ncbi.nlm.nih.gov/nuccore/JX297815","NCBI Nucleotide")</f>
        <v>NCBI Nucleotide</v>
      </c>
    </row>
    <row r="12244" spans="1:27" x14ac:dyDescent="0.35">
      <c r="A12244">
        <v>1010876</v>
      </c>
      <c r="B12244">
        <v>11526</v>
      </c>
      <c r="C12244">
        <v>1</v>
      </c>
      <c r="D12244" s="17" t="s">
        <v>17166</v>
      </c>
      <c r="E12244" s="17"/>
      <c r="F12244" s="17" t="s">
        <v>17246</v>
      </c>
      <c r="G12244" s="17"/>
      <c r="H12244" s="17" t="s">
        <v>23950</v>
      </c>
      <c r="I12244" s="17" t="s">
        <v>23956</v>
      </c>
      <c r="J12244" s="17" t="s">
        <v>24017</v>
      </c>
      <c r="K12244" s="17"/>
      <c r="L12244" s="17" t="s">
        <v>24262</v>
      </c>
      <c r="M12244" s="17"/>
      <c r="N12244" s="17" t="s">
        <v>25249</v>
      </c>
      <c r="O12244" s="17" t="s">
        <v>25320</v>
      </c>
      <c r="P12244" s="17" t="s">
        <v>26031</v>
      </c>
      <c r="Q12244" s="17"/>
      <c r="R12244" s="25" t="str">
        <f>HYPERLINK("https://ictv.global/taxonomy/taxondetails?taxnode_id=202314152","Tibrovirus mundri")</f>
        <v>Tibrovirus mundri</v>
      </c>
      <c r="S12244" s="18" t="s">
        <v>30</v>
      </c>
      <c r="T12244" s="18" t="s">
        <v>26048</v>
      </c>
      <c r="U12244" s="18" t="s">
        <v>26049</v>
      </c>
      <c r="V12244" s="18" t="s">
        <v>26050</v>
      </c>
      <c r="W12244" s="18" t="s">
        <v>26051</v>
      </c>
      <c r="X12244" s="18" t="s">
        <v>35</v>
      </c>
      <c r="Y12244" s="18" t="s">
        <v>23964</v>
      </c>
      <c r="Z12244" s="18" t="s">
        <v>166</v>
      </c>
      <c r="AA12244" s="21" t="str">
        <f>HYPERLINK("https://www.ncbi.nlm.nih.gov/nuccore/OM320812","NCBI Nucleotide")</f>
        <v>NCBI Nucleotide</v>
      </c>
    </row>
    <row r="12245" spans="1:27" x14ac:dyDescent="0.35">
      <c r="A12245">
        <v>1010877</v>
      </c>
      <c r="B12245">
        <v>11527</v>
      </c>
      <c r="C12245">
        <v>1</v>
      </c>
      <c r="D12245" s="17" t="s">
        <v>17166</v>
      </c>
      <c r="E12245" s="17"/>
      <c r="F12245" s="17" t="s">
        <v>17246</v>
      </c>
      <c r="G12245" s="17"/>
      <c r="H12245" s="17" t="s">
        <v>23950</v>
      </c>
      <c r="I12245" s="17" t="s">
        <v>23956</v>
      </c>
      <c r="J12245" s="17" t="s">
        <v>24017</v>
      </c>
      <c r="K12245" s="17"/>
      <c r="L12245" s="17" t="s">
        <v>24262</v>
      </c>
      <c r="M12245" s="17"/>
      <c r="N12245" s="17" t="s">
        <v>25249</v>
      </c>
      <c r="O12245" s="17" t="s">
        <v>25320</v>
      </c>
      <c r="P12245" s="17" t="s">
        <v>26031</v>
      </c>
      <c r="Q12245" s="17"/>
      <c r="R12245" s="25" t="str">
        <f>HYPERLINK("https://ictv.global/taxonomy/taxondetails?taxnode_id=202301778","Tibrovirus sweetwater")</f>
        <v>Tibrovirus sweetwater</v>
      </c>
      <c r="S12245" s="18" t="s">
        <v>30</v>
      </c>
      <c r="T12245" s="18" t="s">
        <v>26052</v>
      </c>
      <c r="U12245" s="18" t="s">
        <v>20841</v>
      </c>
      <c r="V12245" s="18" t="s">
        <v>26053</v>
      </c>
      <c r="W12245" s="18" t="s">
        <v>26054</v>
      </c>
      <c r="X12245" s="18" t="s">
        <v>35</v>
      </c>
      <c r="Y12245" s="18" t="s">
        <v>23964</v>
      </c>
      <c r="Z12245" s="18" t="s">
        <v>10790</v>
      </c>
      <c r="AA12245" s="21" t="str">
        <f>HYPERLINK("https://www.ncbi.nlm.nih.gov/nuccore/KM204997","NCBI Nucleotide")</f>
        <v>NCBI Nucleotide</v>
      </c>
    </row>
    <row r="12246" spans="1:27" x14ac:dyDescent="0.35">
      <c r="A12246">
        <v>1010878</v>
      </c>
      <c r="B12246">
        <v>11528</v>
      </c>
      <c r="C12246">
        <v>1</v>
      </c>
      <c r="D12246" s="17" t="s">
        <v>17166</v>
      </c>
      <c r="E12246" s="17"/>
      <c r="F12246" s="17" t="s">
        <v>17246</v>
      </c>
      <c r="G12246" s="17"/>
      <c r="H12246" s="17" t="s">
        <v>23950</v>
      </c>
      <c r="I12246" s="17" t="s">
        <v>23956</v>
      </c>
      <c r="J12246" s="17" t="s">
        <v>24017</v>
      </c>
      <c r="K12246" s="17"/>
      <c r="L12246" s="17" t="s">
        <v>24262</v>
      </c>
      <c r="M12246" s="17"/>
      <c r="N12246" s="17" t="s">
        <v>25249</v>
      </c>
      <c r="O12246" s="17" t="s">
        <v>25320</v>
      </c>
      <c r="P12246" s="17" t="s">
        <v>26031</v>
      </c>
      <c r="Q12246" s="17"/>
      <c r="R12246" s="25" t="str">
        <f>HYPERLINK("https://ictv.global/taxonomy/taxondetails?taxnode_id=202301779","Tibrovirus tibrogargan")</f>
        <v>Tibrovirus tibrogargan</v>
      </c>
      <c r="S12246" s="18" t="s">
        <v>30</v>
      </c>
      <c r="T12246" s="18" t="s">
        <v>26055</v>
      </c>
      <c r="U12246" s="18" t="s">
        <v>26056</v>
      </c>
      <c r="V12246" s="18" t="s">
        <v>26057</v>
      </c>
      <c r="W12246" s="18" t="s">
        <v>26058</v>
      </c>
      <c r="X12246" s="18" t="s">
        <v>42</v>
      </c>
      <c r="Y12246" s="18" t="s">
        <v>23964</v>
      </c>
      <c r="Z12246" s="18" t="s">
        <v>12289</v>
      </c>
      <c r="AA12246" s="21" t="str">
        <f>HYPERLINK("https://www.ncbi.nlm.nih.gov/nuccore/GQ294472","NCBI Nucleotide")</f>
        <v>NCBI Nucleotide</v>
      </c>
    </row>
    <row r="12247" spans="1:27" x14ac:dyDescent="0.35">
      <c r="A12247">
        <v>1012885</v>
      </c>
      <c r="B12247">
        <v>11528</v>
      </c>
      <c r="C12247">
        <v>2</v>
      </c>
      <c r="D12247" s="17" t="s">
        <v>17166</v>
      </c>
      <c r="E12247" s="17"/>
      <c r="F12247" s="17" t="s">
        <v>17246</v>
      </c>
      <c r="G12247" s="17"/>
      <c r="H12247" s="17" t="s">
        <v>23950</v>
      </c>
      <c r="I12247" s="17" t="s">
        <v>23956</v>
      </c>
      <c r="J12247" s="17" t="s">
        <v>24017</v>
      </c>
      <c r="K12247" s="17"/>
      <c r="L12247" s="17" t="s">
        <v>24262</v>
      </c>
      <c r="M12247" s="17"/>
      <c r="N12247" s="17" t="s">
        <v>25249</v>
      </c>
      <c r="O12247" s="17" t="s">
        <v>25320</v>
      </c>
      <c r="P12247" s="17" t="s">
        <v>26031</v>
      </c>
      <c r="Q12247" s="17"/>
      <c r="R12247" s="25" t="str">
        <f>HYPERLINK("https://ictv.global/taxonomy/taxondetails?taxnode_id=202301779","Tibrovirus tibrogargan")</f>
        <v>Tibrovirus tibrogargan</v>
      </c>
      <c r="S12247" s="18" t="s">
        <v>8141</v>
      </c>
      <c r="T12247" s="18" t="s">
        <v>26059</v>
      </c>
      <c r="U12247" s="18" t="s">
        <v>17734</v>
      </c>
      <c r="V12247" s="18" t="s">
        <v>26060</v>
      </c>
      <c r="W12247" s="18" t="s">
        <v>49441</v>
      </c>
      <c r="X12247" s="18" t="s">
        <v>42</v>
      </c>
      <c r="Y12247" s="18" t="s">
        <v>23964</v>
      </c>
      <c r="Z12247" s="18" t="s">
        <v>12289</v>
      </c>
      <c r="AA12247" s="21" t="str">
        <f>HYPERLINK("https://www.ncbi.nlm.nih.gov/nuccore/KP688373","NCBI Nucleotide")</f>
        <v>NCBI Nucleotide</v>
      </c>
    </row>
    <row r="12248" spans="1:27" x14ac:dyDescent="0.35">
      <c r="A12248">
        <v>1010879</v>
      </c>
      <c r="B12248">
        <v>11529</v>
      </c>
      <c r="C12248">
        <v>1</v>
      </c>
      <c r="D12248" s="17" t="s">
        <v>17166</v>
      </c>
      <c r="E12248" s="17"/>
      <c r="F12248" s="17" t="s">
        <v>17246</v>
      </c>
      <c r="G12248" s="17"/>
      <c r="H12248" s="17" t="s">
        <v>23950</v>
      </c>
      <c r="I12248" s="17" t="s">
        <v>23956</v>
      </c>
      <c r="J12248" s="17" t="s">
        <v>24017</v>
      </c>
      <c r="K12248" s="17"/>
      <c r="L12248" s="17" t="s">
        <v>24262</v>
      </c>
      <c r="M12248" s="17"/>
      <c r="N12248" s="17" t="s">
        <v>25249</v>
      </c>
      <c r="O12248" s="17" t="s">
        <v>25320</v>
      </c>
      <c r="P12248" s="17" t="s">
        <v>26061</v>
      </c>
      <c r="Q12248" s="17"/>
      <c r="R12248" s="25" t="str">
        <f>HYPERLINK("https://ictv.global/taxonomy/taxondetails?taxnode_id=202301781","Tupavirus durham")</f>
        <v>Tupavirus durham</v>
      </c>
      <c r="S12248" s="18" t="s">
        <v>30</v>
      </c>
      <c r="T12248" s="18" t="s">
        <v>26062</v>
      </c>
      <c r="U12248" s="18" t="s">
        <v>26063</v>
      </c>
      <c r="V12248" s="18"/>
      <c r="W12248" s="18" t="s">
        <v>26064</v>
      </c>
      <c r="X12248" s="18" t="s">
        <v>42</v>
      </c>
      <c r="Y12248" s="18" t="s">
        <v>23964</v>
      </c>
      <c r="Z12248" s="18" t="s">
        <v>166</v>
      </c>
      <c r="AA12248" s="21" t="str">
        <f>HYPERLINK("https://www.ncbi.nlm.nih.gov/nuccore/FJ952155","NCBI Nucleotide")</f>
        <v>NCBI Nucleotide</v>
      </c>
    </row>
    <row r="12249" spans="1:27" x14ac:dyDescent="0.35">
      <c r="A12249">
        <v>1027756</v>
      </c>
      <c r="B12249">
        <v>11530</v>
      </c>
      <c r="C12249">
        <v>1</v>
      </c>
      <c r="D12249" s="17" t="s">
        <v>17166</v>
      </c>
      <c r="E12249" s="17"/>
      <c r="F12249" s="17" t="s">
        <v>17246</v>
      </c>
      <c r="G12249" s="17"/>
      <c r="H12249" s="17" t="s">
        <v>23950</v>
      </c>
      <c r="I12249" s="17" t="s">
        <v>23956</v>
      </c>
      <c r="J12249" s="17" t="s">
        <v>24017</v>
      </c>
      <c r="K12249" s="17"/>
      <c r="L12249" s="17" t="s">
        <v>24262</v>
      </c>
      <c r="M12249" s="17"/>
      <c r="N12249" s="17" t="s">
        <v>25249</v>
      </c>
      <c r="O12249" s="17" t="s">
        <v>25320</v>
      </c>
      <c r="P12249" s="17" t="s">
        <v>26061</v>
      </c>
      <c r="Q12249" s="17"/>
      <c r="R12249" s="25" t="str">
        <f>HYPERLINK("https://ictv.global/taxonomy/taxondetails?taxnode_id=202317780","Tupavirus incomtus")</f>
        <v>Tupavirus incomtus</v>
      </c>
      <c r="S12249" s="18" t="s">
        <v>30</v>
      </c>
      <c r="T12249" s="18" t="s">
        <v>46685</v>
      </c>
      <c r="U12249" s="18" t="s">
        <v>46686</v>
      </c>
      <c r="V12249" s="18"/>
      <c r="W12249" s="18" t="s">
        <v>46687</v>
      </c>
      <c r="X12249" s="18" t="s">
        <v>35</v>
      </c>
      <c r="Y12249" s="18" t="s">
        <v>23964</v>
      </c>
      <c r="Z12249" s="18" t="s">
        <v>166</v>
      </c>
      <c r="AA12249" s="21" t="str">
        <f>HYPERLINK("https://www.ncbi.nlm.nih.gov/nuccore/OL774829","NCBI Nucleotide")</f>
        <v>NCBI Nucleotide</v>
      </c>
    </row>
    <row r="12250" spans="1:27" x14ac:dyDescent="0.35">
      <c r="A12250">
        <v>1010880</v>
      </c>
      <c r="B12250">
        <v>11531</v>
      </c>
      <c r="C12250">
        <v>1</v>
      </c>
      <c r="D12250" s="17" t="s">
        <v>17166</v>
      </c>
      <c r="E12250" s="17"/>
      <c r="F12250" s="17" t="s">
        <v>17246</v>
      </c>
      <c r="G12250" s="17"/>
      <c r="H12250" s="17" t="s">
        <v>23950</v>
      </c>
      <c r="I12250" s="17" t="s">
        <v>23956</v>
      </c>
      <c r="J12250" s="17" t="s">
        <v>24017</v>
      </c>
      <c r="K12250" s="17"/>
      <c r="L12250" s="17" t="s">
        <v>24262</v>
      </c>
      <c r="M12250" s="17"/>
      <c r="N12250" s="17" t="s">
        <v>25249</v>
      </c>
      <c r="O12250" s="17" t="s">
        <v>25320</v>
      </c>
      <c r="P12250" s="17" t="s">
        <v>26061</v>
      </c>
      <c r="Q12250" s="17"/>
      <c r="R12250" s="25" t="str">
        <f>HYPERLINK("https://ictv.global/taxonomy/taxondetails?taxnode_id=202301782","Tupavirus klamath")</f>
        <v>Tupavirus klamath</v>
      </c>
      <c r="S12250" s="18" t="s">
        <v>30</v>
      </c>
      <c r="T12250" s="18" t="s">
        <v>26065</v>
      </c>
      <c r="U12250" s="18" t="s">
        <v>26066</v>
      </c>
      <c r="V12250" s="18" t="s">
        <v>26067</v>
      </c>
      <c r="W12250" s="18" t="s">
        <v>26068</v>
      </c>
      <c r="X12250" s="18" t="s">
        <v>35</v>
      </c>
      <c r="Y12250" s="18" t="s">
        <v>23964</v>
      </c>
      <c r="Z12250" s="18" t="s">
        <v>12289</v>
      </c>
      <c r="AA12250" s="21" t="str">
        <f>HYPERLINK("https://www.ncbi.nlm.nih.gov/nuccore/KM204999","NCBI Nucleotide")</f>
        <v>NCBI Nucleotide</v>
      </c>
    </row>
    <row r="12251" spans="1:27" x14ac:dyDescent="0.35">
      <c r="A12251">
        <v>1010881</v>
      </c>
      <c r="B12251">
        <v>11532</v>
      </c>
      <c r="C12251">
        <v>1</v>
      </c>
      <c r="D12251" s="17" t="s">
        <v>17166</v>
      </c>
      <c r="E12251" s="17"/>
      <c r="F12251" s="17" t="s">
        <v>17246</v>
      </c>
      <c r="G12251" s="17"/>
      <c r="H12251" s="17" t="s">
        <v>23950</v>
      </c>
      <c r="I12251" s="17" t="s">
        <v>23956</v>
      </c>
      <c r="J12251" s="17" t="s">
        <v>24017</v>
      </c>
      <c r="K12251" s="17"/>
      <c r="L12251" s="17" t="s">
        <v>24262</v>
      </c>
      <c r="M12251" s="17"/>
      <c r="N12251" s="17" t="s">
        <v>25249</v>
      </c>
      <c r="O12251" s="17" t="s">
        <v>25320</v>
      </c>
      <c r="P12251" s="17" t="s">
        <v>26061</v>
      </c>
      <c r="Q12251" s="17"/>
      <c r="R12251" s="25" t="str">
        <f>HYPERLINK("https://ictv.global/taxonomy/taxondetails?taxnode_id=202314149","Tupavirus laniger")</f>
        <v>Tupavirus laniger</v>
      </c>
      <c r="S12251" s="18" t="s">
        <v>30</v>
      </c>
      <c r="T12251" s="18" t="s">
        <v>26069</v>
      </c>
      <c r="U12251" s="18" t="s">
        <v>26070</v>
      </c>
      <c r="V12251" s="18" t="s">
        <v>26071</v>
      </c>
      <c r="W12251" s="18" t="s">
        <v>26072</v>
      </c>
      <c r="X12251" s="18" t="s">
        <v>35</v>
      </c>
      <c r="Y12251" s="18" t="s">
        <v>23964</v>
      </c>
      <c r="Z12251" s="18" t="s">
        <v>166</v>
      </c>
      <c r="AA12251" s="21" t="str">
        <f>HYPERLINK("https://www.ncbi.nlm.nih.gov/nuccore/OM030290","NCBI Nucleotide")</f>
        <v>NCBI Nucleotide</v>
      </c>
    </row>
    <row r="12252" spans="1:27" x14ac:dyDescent="0.35">
      <c r="A12252">
        <v>1010882</v>
      </c>
      <c r="B12252">
        <v>11533</v>
      </c>
      <c r="C12252">
        <v>1</v>
      </c>
      <c r="D12252" s="17" t="s">
        <v>17166</v>
      </c>
      <c r="E12252" s="17"/>
      <c r="F12252" s="17" t="s">
        <v>17246</v>
      </c>
      <c r="G12252" s="17"/>
      <c r="H12252" s="17" t="s">
        <v>23950</v>
      </c>
      <c r="I12252" s="17" t="s">
        <v>23956</v>
      </c>
      <c r="J12252" s="17" t="s">
        <v>24017</v>
      </c>
      <c r="K12252" s="17"/>
      <c r="L12252" s="17" t="s">
        <v>24262</v>
      </c>
      <c r="M12252" s="17"/>
      <c r="N12252" s="17" t="s">
        <v>25249</v>
      </c>
      <c r="O12252" s="17" t="s">
        <v>25320</v>
      </c>
      <c r="P12252" s="17" t="s">
        <v>26061</v>
      </c>
      <c r="Q12252" s="17"/>
      <c r="R12252" s="25" t="str">
        <f>HYPERLINK("https://ictv.global/taxonomy/taxondetails?taxnode_id=202314148","Tupavirus pearsonii")</f>
        <v>Tupavirus pearsonii</v>
      </c>
      <c r="S12252" s="18" t="s">
        <v>30</v>
      </c>
      <c r="T12252" s="18" t="s">
        <v>26073</v>
      </c>
      <c r="U12252" s="18" t="s">
        <v>26074</v>
      </c>
      <c r="V12252" s="18" t="s">
        <v>26075</v>
      </c>
      <c r="W12252" s="18" t="s">
        <v>26076</v>
      </c>
      <c r="X12252" s="18" t="s">
        <v>35</v>
      </c>
      <c r="Y12252" s="18" t="s">
        <v>23964</v>
      </c>
      <c r="Z12252" s="18" t="s">
        <v>166</v>
      </c>
      <c r="AA12252" s="21" t="str">
        <f>HYPERLINK("https://www.ncbi.nlm.nih.gov/nuccore/MZ328291","NCBI Nucleotide")</f>
        <v>NCBI Nucleotide</v>
      </c>
    </row>
    <row r="12253" spans="1:27" x14ac:dyDescent="0.35">
      <c r="A12253">
        <v>1027757</v>
      </c>
      <c r="B12253">
        <v>11534</v>
      </c>
      <c r="C12253">
        <v>1</v>
      </c>
      <c r="D12253" s="17" t="s">
        <v>17166</v>
      </c>
      <c r="E12253" s="17"/>
      <c r="F12253" s="17" t="s">
        <v>17246</v>
      </c>
      <c r="G12253" s="17"/>
      <c r="H12253" s="17" t="s">
        <v>23950</v>
      </c>
      <c r="I12253" s="17" t="s">
        <v>23956</v>
      </c>
      <c r="J12253" s="17" t="s">
        <v>24017</v>
      </c>
      <c r="K12253" s="17"/>
      <c r="L12253" s="17" t="s">
        <v>24262</v>
      </c>
      <c r="M12253" s="17"/>
      <c r="N12253" s="17" t="s">
        <v>25249</v>
      </c>
      <c r="O12253" s="17" t="s">
        <v>25320</v>
      </c>
      <c r="P12253" s="17" t="s">
        <v>26061</v>
      </c>
      <c r="Q12253" s="17"/>
      <c r="R12253" s="25" t="str">
        <f>HYPERLINK("https://ictv.global/taxonomy/taxondetails?taxnode_id=202317781","Tupavirus stheno")</f>
        <v>Tupavirus stheno</v>
      </c>
      <c r="S12253" s="18" t="s">
        <v>30</v>
      </c>
      <c r="T12253" s="18" t="s">
        <v>46688</v>
      </c>
      <c r="U12253" s="18" t="s">
        <v>46689</v>
      </c>
      <c r="V12253" s="18" t="s">
        <v>46690</v>
      </c>
      <c r="W12253" s="18" t="s">
        <v>46691</v>
      </c>
      <c r="X12253" s="18" t="s">
        <v>35</v>
      </c>
      <c r="Y12253" s="18" t="s">
        <v>23964</v>
      </c>
      <c r="Z12253" s="18" t="s">
        <v>166</v>
      </c>
      <c r="AA12253" s="21" t="str">
        <f>HYPERLINK("https://www.ncbi.nlm.nih.gov/nuccore/OQ709183","NCBI Nucleotide")</f>
        <v>NCBI Nucleotide</v>
      </c>
    </row>
    <row r="12254" spans="1:27" x14ac:dyDescent="0.35">
      <c r="A12254">
        <v>1027758</v>
      </c>
      <c r="B12254">
        <v>11535</v>
      </c>
      <c r="C12254">
        <v>1</v>
      </c>
      <c r="D12254" s="17" t="s">
        <v>17166</v>
      </c>
      <c r="E12254" s="17"/>
      <c r="F12254" s="17" t="s">
        <v>17246</v>
      </c>
      <c r="G12254" s="17"/>
      <c r="H12254" s="17" t="s">
        <v>23950</v>
      </c>
      <c r="I12254" s="17" t="s">
        <v>23956</v>
      </c>
      <c r="J12254" s="17" t="s">
        <v>24017</v>
      </c>
      <c r="K12254" s="17"/>
      <c r="L12254" s="17" t="s">
        <v>24262</v>
      </c>
      <c r="M12254" s="17"/>
      <c r="N12254" s="17" t="s">
        <v>25249</v>
      </c>
      <c r="O12254" s="17" t="s">
        <v>25320</v>
      </c>
      <c r="P12254" s="17" t="s">
        <v>26061</v>
      </c>
      <c r="Q12254" s="17"/>
      <c r="R12254" s="25" t="str">
        <f>HYPERLINK("https://ictv.global/taxonomy/taxondetails?taxnode_id=202317782","Tupavirus stoliczkanus")</f>
        <v>Tupavirus stoliczkanus</v>
      </c>
      <c r="S12254" s="18" t="s">
        <v>30</v>
      </c>
      <c r="T12254" s="18" t="s">
        <v>46692</v>
      </c>
      <c r="U12254" s="18" t="s">
        <v>46693</v>
      </c>
      <c r="V12254" s="18" t="s">
        <v>46694</v>
      </c>
      <c r="W12254" s="18" t="s">
        <v>46695</v>
      </c>
      <c r="X12254" s="18" t="s">
        <v>35</v>
      </c>
      <c r="Y12254" s="18" t="s">
        <v>23964</v>
      </c>
      <c r="Z12254" s="18" t="s">
        <v>166</v>
      </c>
      <c r="AA12254" s="21" t="str">
        <f>HYPERLINK("https://www.ncbi.nlm.nih.gov/nuccore/OQ709184","NCBI Nucleotide")</f>
        <v>NCBI Nucleotide</v>
      </c>
    </row>
    <row r="12255" spans="1:27" x14ac:dyDescent="0.35">
      <c r="A12255">
        <v>1010883</v>
      </c>
      <c r="B12255">
        <v>11536</v>
      </c>
      <c r="C12255">
        <v>1</v>
      </c>
      <c r="D12255" s="17" t="s">
        <v>17166</v>
      </c>
      <c r="E12255" s="17"/>
      <c r="F12255" s="17" t="s">
        <v>17246</v>
      </c>
      <c r="G12255" s="17"/>
      <c r="H12255" s="17" t="s">
        <v>23950</v>
      </c>
      <c r="I12255" s="17" t="s">
        <v>23956</v>
      </c>
      <c r="J12255" s="17" t="s">
        <v>24017</v>
      </c>
      <c r="K12255" s="17"/>
      <c r="L12255" s="17" t="s">
        <v>24262</v>
      </c>
      <c r="M12255" s="17"/>
      <c r="N12255" s="17" t="s">
        <v>25249</v>
      </c>
      <c r="O12255" s="17" t="s">
        <v>25320</v>
      </c>
      <c r="P12255" s="17" t="s">
        <v>26061</v>
      </c>
      <c r="Q12255" s="17"/>
      <c r="R12255" s="25" t="str">
        <f>HYPERLINK("https://ictv.global/taxonomy/taxondetails?taxnode_id=202301783","Tupavirus tupaia")</f>
        <v>Tupavirus tupaia</v>
      </c>
      <c r="S12255" s="18" t="s">
        <v>30</v>
      </c>
      <c r="T12255" s="18" t="s">
        <v>26077</v>
      </c>
      <c r="U12255" s="18" t="s">
        <v>26078</v>
      </c>
      <c r="V12255" s="18"/>
      <c r="W12255" s="18" t="s">
        <v>26079</v>
      </c>
      <c r="X12255" s="18" t="s">
        <v>42</v>
      </c>
      <c r="Y12255" s="18" t="s">
        <v>23964</v>
      </c>
      <c r="Z12255" s="18" t="s">
        <v>166</v>
      </c>
      <c r="AA12255" s="21" t="str">
        <f>HYPERLINK("https://www.ncbi.nlm.nih.gov/nuccore/AY840978","NCBI Nucleotide")</f>
        <v>NCBI Nucleotide</v>
      </c>
    </row>
    <row r="12256" spans="1:27" x14ac:dyDescent="0.35">
      <c r="A12256">
        <v>1027754</v>
      </c>
      <c r="B12256">
        <v>11537</v>
      </c>
      <c r="C12256">
        <v>1</v>
      </c>
      <c r="D12256" s="17" t="s">
        <v>17166</v>
      </c>
      <c r="E12256" s="17"/>
      <c r="F12256" s="17" t="s">
        <v>17246</v>
      </c>
      <c r="G12256" s="17"/>
      <c r="H12256" s="17" t="s">
        <v>23950</v>
      </c>
      <c r="I12256" s="17" t="s">
        <v>23956</v>
      </c>
      <c r="J12256" s="17" t="s">
        <v>24017</v>
      </c>
      <c r="K12256" s="17"/>
      <c r="L12256" s="17" t="s">
        <v>24262</v>
      </c>
      <c r="M12256" s="17"/>
      <c r="N12256" s="17" t="s">
        <v>25249</v>
      </c>
      <c r="O12256" s="17" t="s">
        <v>25320</v>
      </c>
      <c r="P12256" s="17" t="s">
        <v>46696</v>
      </c>
      <c r="Q12256" s="17"/>
      <c r="R12256" s="25" t="str">
        <f>HYPERLINK("https://ictv.global/taxonomy/taxondetails?taxnode_id=202317750","Uniorhavirus killamcar")</f>
        <v>Uniorhavirus killamcar</v>
      </c>
      <c r="S12256" s="18" t="s">
        <v>30</v>
      </c>
      <c r="T12256" s="18" t="s">
        <v>46697</v>
      </c>
      <c r="U12256" s="18" t="s">
        <v>46698</v>
      </c>
      <c r="V12256" s="18" t="s">
        <v>46699</v>
      </c>
      <c r="W12256" s="18" t="s">
        <v>46700</v>
      </c>
      <c r="X12256" s="18" t="s">
        <v>35</v>
      </c>
      <c r="Y12256" s="18" t="s">
        <v>23964</v>
      </c>
      <c r="Z12256" s="18" t="s">
        <v>10790</v>
      </c>
      <c r="AA12256" s="21" t="str">
        <f>HYPERLINK("https://www.ncbi.nlm.nih.gov/nuccore/OQ368743","NCBI Nucleotide")</f>
        <v>NCBI Nucleotide</v>
      </c>
    </row>
    <row r="12257" spans="1:27" x14ac:dyDescent="0.35">
      <c r="A12257">
        <v>1010884</v>
      </c>
      <c r="B12257">
        <v>11538</v>
      </c>
      <c r="C12257">
        <v>1</v>
      </c>
      <c r="D12257" s="17" t="s">
        <v>17166</v>
      </c>
      <c r="E12257" s="17"/>
      <c r="F12257" s="17" t="s">
        <v>17246</v>
      </c>
      <c r="G12257" s="17"/>
      <c r="H12257" s="17" t="s">
        <v>23950</v>
      </c>
      <c r="I12257" s="17" t="s">
        <v>23956</v>
      </c>
      <c r="J12257" s="17" t="s">
        <v>24017</v>
      </c>
      <c r="K12257" s="17"/>
      <c r="L12257" s="17" t="s">
        <v>24262</v>
      </c>
      <c r="M12257" s="17"/>
      <c r="N12257" s="17" t="s">
        <v>25249</v>
      </c>
      <c r="O12257" s="17" t="s">
        <v>25320</v>
      </c>
      <c r="P12257" s="17" t="s">
        <v>26080</v>
      </c>
      <c r="Q12257" s="17"/>
      <c r="R12257" s="25" t="str">
        <f>HYPERLINK("https://ictv.global/taxonomy/taxondetails?taxnode_id=202301789","Vesiculovirus alagoas")</f>
        <v>Vesiculovirus alagoas</v>
      </c>
      <c r="S12257" s="18" t="s">
        <v>30</v>
      </c>
      <c r="T12257" s="18" t="s">
        <v>26081</v>
      </c>
      <c r="U12257" s="18" t="s">
        <v>26082</v>
      </c>
      <c r="V12257" s="18" t="s">
        <v>26083</v>
      </c>
      <c r="W12257" s="18" t="s">
        <v>26084</v>
      </c>
      <c r="X12257" s="18" t="s">
        <v>42</v>
      </c>
      <c r="Y12257" s="18" t="s">
        <v>23964</v>
      </c>
      <c r="Z12257" s="18" t="s">
        <v>12289</v>
      </c>
      <c r="AA12257" s="21" t="str">
        <f>HYPERLINK("https://www.ncbi.nlm.nih.gov/nuccore/EU373658","NCBI Nucleotide")</f>
        <v>NCBI Nucleotide</v>
      </c>
    </row>
    <row r="12258" spans="1:27" x14ac:dyDescent="0.35">
      <c r="A12258">
        <v>1010885</v>
      </c>
      <c r="B12258">
        <v>11539</v>
      </c>
      <c r="C12258">
        <v>1</v>
      </c>
      <c r="D12258" s="17" t="s">
        <v>17166</v>
      </c>
      <c r="E12258" s="17"/>
      <c r="F12258" s="17" t="s">
        <v>17246</v>
      </c>
      <c r="G12258" s="17"/>
      <c r="H12258" s="17" t="s">
        <v>23950</v>
      </c>
      <c r="I12258" s="17" t="s">
        <v>23956</v>
      </c>
      <c r="J12258" s="17" t="s">
        <v>24017</v>
      </c>
      <c r="K12258" s="17"/>
      <c r="L12258" s="17" t="s">
        <v>24262</v>
      </c>
      <c r="M12258" s="17"/>
      <c r="N12258" s="17" t="s">
        <v>25249</v>
      </c>
      <c r="O12258" s="17" t="s">
        <v>25320</v>
      </c>
      <c r="P12258" s="17" t="s">
        <v>26080</v>
      </c>
      <c r="Q12258" s="17"/>
      <c r="R12258" s="25" t="str">
        <f>HYPERLINK("https://ictv.global/taxonomy/taxondetails?taxnode_id=202301804","Vesiculovirus bogdanovac")</f>
        <v>Vesiculovirus bogdanovac</v>
      </c>
      <c r="S12258" s="18" t="s">
        <v>30</v>
      </c>
      <c r="T12258" s="18" t="s">
        <v>26085</v>
      </c>
      <c r="U12258" s="18" t="s">
        <v>26086</v>
      </c>
      <c r="V12258" s="18" t="s">
        <v>26087</v>
      </c>
      <c r="W12258" s="18" t="s">
        <v>26088</v>
      </c>
      <c r="X12258" s="18" t="s">
        <v>35</v>
      </c>
      <c r="Y12258" s="18" t="s">
        <v>23964</v>
      </c>
      <c r="Z12258" s="18" t="s">
        <v>12289</v>
      </c>
      <c r="AA12258" s="21" t="str">
        <f>HYPERLINK("https://www.ncbi.nlm.nih.gov/nuccore/JF911700","NCBI Nucleotide")</f>
        <v>NCBI Nucleotide</v>
      </c>
    </row>
    <row r="12259" spans="1:27" x14ac:dyDescent="0.35">
      <c r="A12259">
        <v>1010886</v>
      </c>
      <c r="B12259">
        <v>11540</v>
      </c>
      <c r="C12259">
        <v>1</v>
      </c>
      <c r="D12259" s="17" t="s">
        <v>17166</v>
      </c>
      <c r="E12259" s="17"/>
      <c r="F12259" s="17" t="s">
        <v>17246</v>
      </c>
      <c r="G12259" s="17"/>
      <c r="H12259" s="17" t="s">
        <v>23950</v>
      </c>
      <c r="I12259" s="17" t="s">
        <v>23956</v>
      </c>
      <c r="J12259" s="17" t="s">
        <v>24017</v>
      </c>
      <c r="K12259" s="17"/>
      <c r="L12259" s="17" t="s">
        <v>24262</v>
      </c>
      <c r="M12259" s="17"/>
      <c r="N12259" s="17" t="s">
        <v>25249</v>
      </c>
      <c r="O12259" s="17" t="s">
        <v>25320</v>
      </c>
      <c r="P12259" s="17" t="s">
        <v>26080</v>
      </c>
      <c r="Q12259" s="17"/>
      <c r="R12259" s="25" t="str">
        <f>HYPERLINK("https://ictv.global/taxonomy/taxondetails?taxnode_id=202301791","Vesiculovirus carajas")</f>
        <v>Vesiculovirus carajas</v>
      </c>
      <c r="S12259" s="18" t="s">
        <v>30</v>
      </c>
      <c r="T12259" s="18" t="s">
        <v>26089</v>
      </c>
      <c r="U12259" s="18" t="s">
        <v>26090</v>
      </c>
      <c r="V12259" s="18" t="s">
        <v>26091</v>
      </c>
      <c r="W12259" s="18" t="s">
        <v>26092</v>
      </c>
      <c r="X12259" s="18" t="s">
        <v>35</v>
      </c>
      <c r="Y12259" s="18" t="s">
        <v>23964</v>
      </c>
      <c r="Z12259" s="18" t="s">
        <v>10790</v>
      </c>
      <c r="AA12259" s="21" t="str">
        <f>HYPERLINK("https://www.ncbi.nlm.nih.gov/nuccore/KM205015","NCBI Nucleotide")</f>
        <v>NCBI Nucleotide</v>
      </c>
    </row>
    <row r="12260" spans="1:27" x14ac:dyDescent="0.35">
      <c r="A12260">
        <v>1010887</v>
      </c>
      <c r="B12260">
        <v>11541</v>
      </c>
      <c r="C12260">
        <v>1</v>
      </c>
      <c r="D12260" s="17" t="s">
        <v>17166</v>
      </c>
      <c r="E12260" s="17"/>
      <c r="F12260" s="17" t="s">
        <v>17246</v>
      </c>
      <c r="G12260" s="17"/>
      <c r="H12260" s="17" t="s">
        <v>23950</v>
      </c>
      <c r="I12260" s="17" t="s">
        <v>23956</v>
      </c>
      <c r="J12260" s="17" t="s">
        <v>24017</v>
      </c>
      <c r="K12260" s="17"/>
      <c r="L12260" s="17" t="s">
        <v>24262</v>
      </c>
      <c r="M12260" s="17"/>
      <c r="N12260" s="17" t="s">
        <v>25249</v>
      </c>
      <c r="O12260" s="17" t="s">
        <v>25320</v>
      </c>
      <c r="P12260" s="17" t="s">
        <v>26080</v>
      </c>
      <c r="Q12260" s="17"/>
      <c r="R12260" s="25" t="str">
        <f>HYPERLINK("https://ictv.global/taxonomy/taxondetails?taxnode_id=202301792","Vesiculovirus chandipura")</f>
        <v>Vesiculovirus chandipura</v>
      </c>
      <c r="S12260" s="18" t="s">
        <v>30</v>
      </c>
      <c r="T12260" s="18" t="s">
        <v>26093</v>
      </c>
      <c r="U12260" s="18" t="s">
        <v>26094</v>
      </c>
      <c r="V12260" s="18" t="s">
        <v>26095</v>
      </c>
      <c r="W12260" s="18" t="s">
        <v>26096</v>
      </c>
      <c r="X12260" s="18" t="s">
        <v>35</v>
      </c>
      <c r="Y12260" s="18" t="s">
        <v>23964</v>
      </c>
      <c r="Z12260" s="18" t="s">
        <v>12289</v>
      </c>
      <c r="AA12260" s="21" t="str">
        <f>HYPERLINK("https://www.ncbi.nlm.nih.gov/nuccore/GU212856","NCBI Nucleotide")</f>
        <v>NCBI Nucleotide</v>
      </c>
    </row>
    <row r="12261" spans="1:27" x14ac:dyDescent="0.35">
      <c r="A12261">
        <v>1010888</v>
      </c>
      <c r="B12261">
        <v>11542</v>
      </c>
      <c r="C12261">
        <v>1</v>
      </c>
      <c r="D12261" s="17" t="s">
        <v>17166</v>
      </c>
      <c r="E12261" s="17"/>
      <c r="F12261" s="17" t="s">
        <v>17246</v>
      </c>
      <c r="G12261" s="17"/>
      <c r="H12261" s="17" t="s">
        <v>23950</v>
      </c>
      <c r="I12261" s="17" t="s">
        <v>23956</v>
      </c>
      <c r="J12261" s="17" t="s">
        <v>24017</v>
      </c>
      <c r="K12261" s="17"/>
      <c r="L12261" s="17" t="s">
        <v>24262</v>
      </c>
      <c r="M12261" s="17"/>
      <c r="N12261" s="17" t="s">
        <v>25249</v>
      </c>
      <c r="O12261" s="17" t="s">
        <v>25320</v>
      </c>
      <c r="P12261" s="17" t="s">
        <v>26080</v>
      </c>
      <c r="Q12261" s="17"/>
      <c r="R12261" s="25" t="str">
        <f>HYPERLINK("https://ictv.global/taxonomy/taxondetails?taxnode_id=202301793","Vesiculovirus cocal")</f>
        <v>Vesiculovirus cocal</v>
      </c>
      <c r="S12261" s="18" t="s">
        <v>30</v>
      </c>
      <c r="T12261" s="18" t="s">
        <v>26097</v>
      </c>
      <c r="U12261" s="18" t="s">
        <v>26098</v>
      </c>
      <c r="V12261" s="18" t="s">
        <v>26099</v>
      </c>
      <c r="W12261" s="18" t="s">
        <v>26100</v>
      </c>
      <c r="X12261" s="18" t="s">
        <v>42</v>
      </c>
      <c r="Y12261" s="18" t="s">
        <v>23964</v>
      </c>
      <c r="Z12261" s="18" t="s">
        <v>12289</v>
      </c>
      <c r="AA12261" s="21" t="str">
        <f>HYPERLINK("https://www.ncbi.nlm.nih.gov/nuccore/EU373657","NCBI Nucleotide")</f>
        <v>NCBI Nucleotide</v>
      </c>
    </row>
    <row r="12262" spans="1:27" x14ac:dyDescent="0.35">
      <c r="A12262">
        <v>1010889</v>
      </c>
      <c r="B12262">
        <v>11543</v>
      </c>
      <c r="C12262">
        <v>1</v>
      </c>
      <c r="D12262" s="17" t="s">
        <v>17166</v>
      </c>
      <c r="E12262" s="17"/>
      <c r="F12262" s="17" t="s">
        <v>17246</v>
      </c>
      <c r="G12262" s="17"/>
      <c r="H12262" s="17" t="s">
        <v>23950</v>
      </c>
      <c r="I12262" s="17" t="s">
        <v>23956</v>
      </c>
      <c r="J12262" s="17" t="s">
        <v>24017</v>
      </c>
      <c r="K12262" s="17"/>
      <c r="L12262" s="17" t="s">
        <v>24262</v>
      </c>
      <c r="M12262" s="17"/>
      <c r="N12262" s="17" t="s">
        <v>25249</v>
      </c>
      <c r="O12262" s="17" t="s">
        <v>25320</v>
      </c>
      <c r="P12262" s="17" t="s">
        <v>26080</v>
      </c>
      <c r="Q12262" s="17"/>
      <c r="R12262" s="25" t="str">
        <f>HYPERLINK("https://ictv.global/taxonomy/taxondetails?taxnode_id=202301790","Vesiculovirus eptesicus")</f>
        <v>Vesiculovirus eptesicus</v>
      </c>
      <c r="S12262" s="18" t="s">
        <v>30</v>
      </c>
      <c r="T12262" s="18" t="s">
        <v>26101</v>
      </c>
      <c r="U12262" s="18" t="s">
        <v>26102</v>
      </c>
      <c r="V12262" s="18" t="s">
        <v>26103</v>
      </c>
      <c r="W12262" s="18" t="s">
        <v>26104</v>
      </c>
      <c r="X12262" s="18" t="s">
        <v>42</v>
      </c>
      <c r="Y12262" s="18" t="s">
        <v>23964</v>
      </c>
      <c r="Z12262" s="18" t="s">
        <v>166</v>
      </c>
      <c r="AA12262" s="21" t="str">
        <f>HYPERLINK("https://www.ncbi.nlm.nih.gov/nuccore/JX569193","NCBI Nucleotide")</f>
        <v>NCBI Nucleotide</v>
      </c>
    </row>
    <row r="12263" spans="1:27" x14ac:dyDescent="0.35">
      <c r="A12263">
        <v>1010890</v>
      </c>
      <c r="B12263">
        <v>11544</v>
      </c>
      <c r="C12263">
        <v>1</v>
      </c>
      <c r="D12263" s="17" t="s">
        <v>17166</v>
      </c>
      <c r="E12263" s="17"/>
      <c r="F12263" s="17" t="s">
        <v>17246</v>
      </c>
      <c r="G12263" s="17"/>
      <c r="H12263" s="17" t="s">
        <v>23950</v>
      </c>
      <c r="I12263" s="17" t="s">
        <v>23956</v>
      </c>
      <c r="J12263" s="17" t="s">
        <v>24017</v>
      </c>
      <c r="K12263" s="17"/>
      <c r="L12263" s="17" t="s">
        <v>24262</v>
      </c>
      <c r="M12263" s="17"/>
      <c r="N12263" s="17" t="s">
        <v>25249</v>
      </c>
      <c r="O12263" s="17" t="s">
        <v>25320</v>
      </c>
      <c r="P12263" s="17" t="s">
        <v>26080</v>
      </c>
      <c r="Q12263" s="17"/>
      <c r="R12263" s="25" t="str">
        <f>HYPERLINK("https://ictv.global/taxonomy/taxondetails?taxnode_id=202301794","Vesiculovirus indiana")</f>
        <v>Vesiculovirus indiana</v>
      </c>
      <c r="S12263" s="18" t="s">
        <v>30</v>
      </c>
      <c r="T12263" s="18" t="s">
        <v>26105</v>
      </c>
      <c r="U12263" s="18" t="s">
        <v>26106</v>
      </c>
      <c r="V12263" s="18" t="s">
        <v>26107</v>
      </c>
      <c r="W12263" s="18" t="s">
        <v>26108</v>
      </c>
      <c r="X12263" s="18" t="s">
        <v>42</v>
      </c>
      <c r="Y12263" s="18" t="s">
        <v>23964</v>
      </c>
      <c r="Z12263" s="18" t="s">
        <v>12289</v>
      </c>
      <c r="AA12263" s="21" t="str">
        <f>HYPERLINK("https://www.ncbi.nlm.nih.gov/nuccore/AF473864","NCBI Nucleotide")</f>
        <v>NCBI Nucleotide</v>
      </c>
    </row>
    <row r="12264" spans="1:27" x14ac:dyDescent="0.35">
      <c r="A12264">
        <v>1010891</v>
      </c>
      <c r="B12264">
        <v>11545</v>
      </c>
      <c r="C12264">
        <v>1</v>
      </c>
      <c r="D12264" s="17" t="s">
        <v>17166</v>
      </c>
      <c r="E12264" s="17"/>
      <c r="F12264" s="17" t="s">
        <v>17246</v>
      </c>
      <c r="G12264" s="17"/>
      <c r="H12264" s="17" t="s">
        <v>23950</v>
      </c>
      <c r="I12264" s="17" t="s">
        <v>23956</v>
      </c>
      <c r="J12264" s="17" t="s">
        <v>24017</v>
      </c>
      <c r="K12264" s="17"/>
      <c r="L12264" s="17" t="s">
        <v>24262</v>
      </c>
      <c r="M12264" s="17"/>
      <c r="N12264" s="17" t="s">
        <v>25249</v>
      </c>
      <c r="O12264" s="17" t="s">
        <v>25320</v>
      </c>
      <c r="P12264" s="17" t="s">
        <v>26080</v>
      </c>
      <c r="Q12264" s="17"/>
      <c r="R12264" s="25" t="str">
        <f>HYPERLINK("https://ictv.global/taxonomy/taxondetails?taxnode_id=202301795","Vesiculovirus isfahan")</f>
        <v>Vesiculovirus isfahan</v>
      </c>
      <c r="S12264" s="18" t="s">
        <v>30</v>
      </c>
      <c r="T12264" s="18" t="s">
        <v>26109</v>
      </c>
      <c r="U12264" s="18" t="s">
        <v>26110</v>
      </c>
      <c r="V12264" s="18" t="s">
        <v>26111</v>
      </c>
      <c r="W12264" s="18" t="s">
        <v>26112</v>
      </c>
      <c r="X12264" s="18" t="s">
        <v>42</v>
      </c>
      <c r="Y12264" s="18" t="s">
        <v>23964</v>
      </c>
      <c r="Z12264" s="18" t="s">
        <v>12289</v>
      </c>
      <c r="AA12264" s="21" t="str">
        <f>HYPERLINK("https://www.ncbi.nlm.nih.gov/nuccore/AJ810084","NCBI Nucleotide")</f>
        <v>NCBI Nucleotide</v>
      </c>
    </row>
    <row r="12265" spans="1:27" x14ac:dyDescent="0.35">
      <c r="A12265">
        <v>1010892</v>
      </c>
      <c r="B12265">
        <v>11546</v>
      </c>
      <c r="C12265">
        <v>1</v>
      </c>
      <c r="D12265" s="17" t="s">
        <v>17166</v>
      </c>
      <c r="E12265" s="17"/>
      <c r="F12265" s="17" t="s">
        <v>17246</v>
      </c>
      <c r="G12265" s="17"/>
      <c r="H12265" s="17" t="s">
        <v>23950</v>
      </c>
      <c r="I12265" s="17" t="s">
        <v>23956</v>
      </c>
      <c r="J12265" s="17" t="s">
        <v>24017</v>
      </c>
      <c r="K12265" s="17"/>
      <c r="L12265" s="17" t="s">
        <v>24262</v>
      </c>
      <c r="M12265" s="17"/>
      <c r="N12265" s="17" t="s">
        <v>25249</v>
      </c>
      <c r="O12265" s="17" t="s">
        <v>25320</v>
      </c>
      <c r="P12265" s="17" t="s">
        <v>26080</v>
      </c>
      <c r="Q12265" s="17"/>
      <c r="R12265" s="25" t="str">
        <f>HYPERLINK("https://ictv.global/taxonomy/taxondetails?taxnode_id=202301796","Vesiculovirus jurona")</f>
        <v>Vesiculovirus jurona</v>
      </c>
      <c r="S12265" s="18" t="s">
        <v>30</v>
      </c>
      <c r="T12265" s="18" t="s">
        <v>26113</v>
      </c>
      <c r="U12265" s="18" t="s">
        <v>26114</v>
      </c>
      <c r="V12265" s="18" t="s">
        <v>26115</v>
      </c>
      <c r="W12265" s="18" t="s">
        <v>26116</v>
      </c>
      <c r="X12265" s="18" t="s">
        <v>35</v>
      </c>
      <c r="Y12265" s="18" t="s">
        <v>23964</v>
      </c>
      <c r="Z12265" s="18" t="s">
        <v>12289</v>
      </c>
      <c r="AA12265" s="21" t="str">
        <f>HYPERLINK("https://www.ncbi.nlm.nih.gov/nuccore/KM204996","NCBI Nucleotide")</f>
        <v>NCBI Nucleotide</v>
      </c>
    </row>
    <row r="12266" spans="1:27" x14ac:dyDescent="0.35">
      <c r="A12266">
        <v>1010893</v>
      </c>
      <c r="B12266">
        <v>11547</v>
      </c>
      <c r="C12266">
        <v>1</v>
      </c>
      <c r="D12266" s="17" t="s">
        <v>17166</v>
      </c>
      <c r="E12266" s="17"/>
      <c r="F12266" s="17" t="s">
        <v>17246</v>
      </c>
      <c r="G12266" s="17"/>
      <c r="H12266" s="17" t="s">
        <v>23950</v>
      </c>
      <c r="I12266" s="17" t="s">
        <v>23956</v>
      </c>
      <c r="J12266" s="17" t="s">
        <v>24017</v>
      </c>
      <c r="K12266" s="17"/>
      <c r="L12266" s="17" t="s">
        <v>24262</v>
      </c>
      <c r="M12266" s="17"/>
      <c r="N12266" s="17" t="s">
        <v>25249</v>
      </c>
      <c r="O12266" s="17" t="s">
        <v>25320</v>
      </c>
      <c r="P12266" s="17" t="s">
        <v>26080</v>
      </c>
      <c r="Q12266" s="17"/>
      <c r="R12266" s="25" t="str">
        <f>HYPERLINK("https://ictv.global/taxonomy/taxondetails?taxnode_id=202301797","Vesiculovirus malpais")</f>
        <v>Vesiculovirus malpais</v>
      </c>
      <c r="S12266" s="18" t="s">
        <v>30</v>
      </c>
      <c r="T12266" s="18" t="s">
        <v>26117</v>
      </c>
      <c r="U12266" s="18" t="s">
        <v>26118</v>
      </c>
      <c r="V12266" s="18" t="s">
        <v>26119</v>
      </c>
      <c r="W12266" s="18" t="s">
        <v>26120</v>
      </c>
      <c r="X12266" s="18" t="s">
        <v>42</v>
      </c>
      <c r="Y12266" s="18" t="s">
        <v>23964</v>
      </c>
      <c r="Z12266" s="18" t="s">
        <v>10790</v>
      </c>
      <c r="AA12266" s="21" t="str">
        <f>HYPERLINK("https://www.ncbi.nlm.nih.gov/nuccore/KC412247","NCBI Nucleotide")</f>
        <v>NCBI Nucleotide</v>
      </c>
    </row>
    <row r="12267" spans="1:27" x14ac:dyDescent="0.35">
      <c r="A12267">
        <v>1010894</v>
      </c>
      <c r="B12267">
        <v>11548</v>
      </c>
      <c r="C12267">
        <v>1</v>
      </c>
      <c r="D12267" s="17" t="s">
        <v>17166</v>
      </c>
      <c r="E12267" s="17"/>
      <c r="F12267" s="17" t="s">
        <v>17246</v>
      </c>
      <c r="G12267" s="17"/>
      <c r="H12267" s="17" t="s">
        <v>23950</v>
      </c>
      <c r="I12267" s="17" t="s">
        <v>23956</v>
      </c>
      <c r="J12267" s="17" t="s">
        <v>24017</v>
      </c>
      <c r="K12267" s="17"/>
      <c r="L12267" s="17" t="s">
        <v>24262</v>
      </c>
      <c r="M12267" s="17"/>
      <c r="N12267" s="17" t="s">
        <v>25249</v>
      </c>
      <c r="O12267" s="17" t="s">
        <v>25320</v>
      </c>
      <c r="P12267" s="17" t="s">
        <v>26080</v>
      </c>
      <c r="Q12267" s="17"/>
      <c r="R12267" s="25" t="str">
        <f>HYPERLINK("https://ictv.global/taxonomy/taxondetails?taxnode_id=202301798","Vesiculovirus maraba")</f>
        <v>Vesiculovirus maraba</v>
      </c>
      <c r="S12267" s="18" t="s">
        <v>30</v>
      </c>
      <c r="T12267" s="18" t="s">
        <v>26121</v>
      </c>
      <c r="U12267" s="18" t="s">
        <v>26122</v>
      </c>
      <c r="V12267" s="18" t="s">
        <v>26123</v>
      </c>
      <c r="W12267" s="18" t="s">
        <v>26124</v>
      </c>
      <c r="X12267" s="18" t="s">
        <v>42</v>
      </c>
      <c r="Y12267" s="18" t="s">
        <v>23964</v>
      </c>
      <c r="Z12267" s="18" t="s">
        <v>166</v>
      </c>
      <c r="AA12267" s="21" t="str">
        <f>HYPERLINK("https://www.ncbi.nlm.nih.gov/nuccore/HQ660076","NCBI Nucleotide")</f>
        <v>NCBI Nucleotide</v>
      </c>
    </row>
    <row r="12268" spans="1:27" x14ac:dyDescent="0.35">
      <c r="A12268">
        <v>1010895</v>
      </c>
      <c r="B12268">
        <v>11549</v>
      </c>
      <c r="C12268">
        <v>1</v>
      </c>
      <c r="D12268" s="17" t="s">
        <v>17166</v>
      </c>
      <c r="E12268" s="17"/>
      <c r="F12268" s="17" t="s">
        <v>17246</v>
      </c>
      <c r="G12268" s="17"/>
      <c r="H12268" s="17" t="s">
        <v>23950</v>
      </c>
      <c r="I12268" s="17" t="s">
        <v>23956</v>
      </c>
      <c r="J12268" s="17" t="s">
        <v>24017</v>
      </c>
      <c r="K12268" s="17"/>
      <c r="L12268" s="17" t="s">
        <v>24262</v>
      </c>
      <c r="M12268" s="17"/>
      <c r="N12268" s="17" t="s">
        <v>25249</v>
      </c>
      <c r="O12268" s="17" t="s">
        <v>25320</v>
      </c>
      <c r="P12268" s="17" t="s">
        <v>26080</v>
      </c>
      <c r="Q12268" s="17"/>
      <c r="R12268" s="25" t="str">
        <f>HYPERLINK("https://ictv.global/taxonomy/taxondetails?taxnode_id=202313323","Vesiculovirus mediterranean")</f>
        <v>Vesiculovirus mediterranean</v>
      </c>
      <c r="S12268" s="18" t="s">
        <v>30</v>
      </c>
      <c r="T12268" s="18" t="s">
        <v>26125</v>
      </c>
      <c r="U12268" s="18" t="s">
        <v>26126</v>
      </c>
      <c r="V12268" s="18" t="s">
        <v>26127</v>
      </c>
      <c r="W12268" s="18" t="s">
        <v>26128</v>
      </c>
      <c r="X12268" s="18" t="s">
        <v>35</v>
      </c>
      <c r="Y12268" s="18" t="s">
        <v>23964</v>
      </c>
      <c r="Z12268" s="18" t="s">
        <v>166</v>
      </c>
      <c r="AA12268" s="21" t="str">
        <f>HYPERLINK("https://www.ncbi.nlm.nih.gov/nuccore/MW557336","NCBI Nucleotide")</f>
        <v>NCBI Nucleotide</v>
      </c>
    </row>
    <row r="12269" spans="1:27" x14ac:dyDescent="0.35">
      <c r="A12269">
        <v>1010896</v>
      </c>
      <c r="B12269">
        <v>11550</v>
      </c>
      <c r="C12269">
        <v>1</v>
      </c>
      <c r="D12269" s="17" t="s">
        <v>17166</v>
      </c>
      <c r="E12269" s="17"/>
      <c r="F12269" s="17" t="s">
        <v>17246</v>
      </c>
      <c r="G12269" s="17"/>
      <c r="H12269" s="17" t="s">
        <v>23950</v>
      </c>
      <c r="I12269" s="17" t="s">
        <v>23956</v>
      </c>
      <c r="J12269" s="17" t="s">
        <v>24017</v>
      </c>
      <c r="K12269" s="17"/>
      <c r="L12269" s="17" t="s">
        <v>24262</v>
      </c>
      <c r="M12269" s="17"/>
      <c r="N12269" s="17" t="s">
        <v>25249</v>
      </c>
      <c r="O12269" s="17" t="s">
        <v>25320</v>
      </c>
      <c r="P12269" s="17" t="s">
        <v>26080</v>
      </c>
      <c r="Q12269" s="17"/>
      <c r="R12269" s="25" t="str">
        <f>HYPERLINK("https://ictv.global/taxonomy/taxondetails?taxnode_id=202314276","Vesiculovirus mejal")</f>
        <v>Vesiculovirus mejal</v>
      </c>
      <c r="S12269" s="18" t="s">
        <v>30</v>
      </c>
      <c r="T12269" s="18" t="s">
        <v>26129</v>
      </c>
      <c r="U12269" s="18" t="s">
        <v>26130</v>
      </c>
      <c r="V12269" s="18" t="s">
        <v>26131</v>
      </c>
      <c r="W12269" s="18" t="s">
        <v>26132</v>
      </c>
      <c r="X12269" s="18" t="s">
        <v>35</v>
      </c>
      <c r="Y12269" s="18" t="s">
        <v>23964</v>
      </c>
      <c r="Z12269" s="18" t="s">
        <v>10790</v>
      </c>
      <c r="AA12269" s="21" t="str">
        <f>HYPERLINK("https://www.ncbi.nlm.nih.gov/nuccore/MW798173","NCBI Nucleotide")</f>
        <v>NCBI Nucleotide</v>
      </c>
    </row>
    <row r="12270" spans="1:27" x14ac:dyDescent="0.35">
      <c r="A12270">
        <v>1010897</v>
      </c>
      <c r="B12270">
        <v>11551</v>
      </c>
      <c r="C12270">
        <v>1</v>
      </c>
      <c r="D12270" s="17" t="s">
        <v>17166</v>
      </c>
      <c r="E12270" s="17"/>
      <c r="F12270" s="17" t="s">
        <v>17246</v>
      </c>
      <c r="G12270" s="17"/>
      <c r="H12270" s="17" t="s">
        <v>23950</v>
      </c>
      <c r="I12270" s="17" t="s">
        <v>23956</v>
      </c>
      <c r="J12270" s="17" t="s">
        <v>24017</v>
      </c>
      <c r="K12270" s="17"/>
      <c r="L12270" s="17" t="s">
        <v>24262</v>
      </c>
      <c r="M12270" s="17"/>
      <c r="N12270" s="17" t="s">
        <v>25249</v>
      </c>
      <c r="O12270" s="17" t="s">
        <v>25320</v>
      </c>
      <c r="P12270" s="17" t="s">
        <v>26080</v>
      </c>
      <c r="Q12270" s="17"/>
      <c r="R12270" s="25" t="str">
        <f>HYPERLINK("https://ictv.global/taxonomy/taxondetails?taxnode_id=202301799","Vesiculovirus morreton")</f>
        <v>Vesiculovirus morreton</v>
      </c>
      <c r="S12270" s="18" t="s">
        <v>30</v>
      </c>
      <c r="T12270" s="18" t="s">
        <v>26133</v>
      </c>
      <c r="U12270" s="18" t="s">
        <v>26134</v>
      </c>
      <c r="V12270" s="18" t="s">
        <v>26135</v>
      </c>
      <c r="W12270" s="18" t="s">
        <v>26136</v>
      </c>
      <c r="X12270" s="18" t="s">
        <v>35</v>
      </c>
      <c r="Y12270" s="18" t="s">
        <v>23964</v>
      </c>
      <c r="Z12270" s="18" t="s">
        <v>10790</v>
      </c>
      <c r="AA12270" s="21" t="str">
        <f>HYPERLINK("https://www.ncbi.nlm.nih.gov/nuccore/KM205007","NCBI Nucleotide")</f>
        <v>NCBI Nucleotide</v>
      </c>
    </row>
    <row r="12271" spans="1:27" x14ac:dyDescent="0.35">
      <c r="A12271">
        <v>1010898</v>
      </c>
      <c r="B12271">
        <v>11552</v>
      </c>
      <c r="C12271">
        <v>1</v>
      </c>
      <c r="D12271" s="17" t="s">
        <v>17166</v>
      </c>
      <c r="E12271" s="17"/>
      <c r="F12271" s="17" t="s">
        <v>17246</v>
      </c>
      <c r="G12271" s="17"/>
      <c r="H12271" s="17" t="s">
        <v>23950</v>
      </c>
      <c r="I12271" s="17" t="s">
        <v>23956</v>
      </c>
      <c r="J12271" s="17" t="s">
        <v>24017</v>
      </c>
      <c r="K12271" s="17"/>
      <c r="L12271" s="17" t="s">
        <v>24262</v>
      </c>
      <c r="M12271" s="17"/>
      <c r="N12271" s="17" t="s">
        <v>25249</v>
      </c>
      <c r="O12271" s="17" t="s">
        <v>25320</v>
      </c>
      <c r="P12271" s="17" t="s">
        <v>26080</v>
      </c>
      <c r="Q12271" s="17"/>
      <c r="R12271" s="25" t="str">
        <f>HYPERLINK("https://ictv.global/taxonomy/taxondetails?taxnode_id=202301800","Vesiculovirus newjersey")</f>
        <v>Vesiculovirus newjersey</v>
      </c>
      <c r="S12271" s="18" t="s">
        <v>30</v>
      </c>
      <c r="T12271" s="18" t="s">
        <v>26137</v>
      </c>
      <c r="U12271" s="18" t="s">
        <v>26138</v>
      </c>
      <c r="V12271" s="18" t="s">
        <v>26139</v>
      </c>
      <c r="W12271" s="18" t="s">
        <v>26140</v>
      </c>
      <c r="X12271" s="18" t="s">
        <v>42</v>
      </c>
      <c r="Y12271" s="18" t="s">
        <v>23964</v>
      </c>
      <c r="Z12271" s="18" t="s">
        <v>12289</v>
      </c>
      <c r="AA12271" s="21" t="str">
        <f>HYPERLINK("https://www.ncbi.nlm.nih.gov/nuccore/JX121109","NCBI Nucleotide")</f>
        <v>NCBI Nucleotide</v>
      </c>
    </row>
    <row r="12272" spans="1:27" x14ac:dyDescent="0.35">
      <c r="A12272">
        <v>1010899</v>
      </c>
      <c r="B12272">
        <v>11553</v>
      </c>
      <c r="C12272">
        <v>1</v>
      </c>
      <c r="D12272" s="17" t="s">
        <v>17166</v>
      </c>
      <c r="E12272" s="17"/>
      <c r="F12272" s="17" t="s">
        <v>17246</v>
      </c>
      <c r="G12272" s="17"/>
      <c r="H12272" s="17" t="s">
        <v>23950</v>
      </c>
      <c r="I12272" s="17" t="s">
        <v>23956</v>
      </c>
      <c r="J12272" s="17" t="s">
        <v>24017</v>
      </c>
      <c r="K12272" s="17"/>
      <c r="L12272" s="17" t="s">
        <v>24262</v>
      </c>
      <c r="M12272" s="17"/>
      <c r="N12272" s="17" t="s">
        <v>25249</v>
      </c>
      <c r="O12272" s="17" t="s">
        <v>25320</v>
      </c>
      <c r="P12272" s="17" t="s">
        <v>26080</v>
      </c>
      <c r="Q12272" s="17"/>
      <c r="R12272" s="25" t="str">
        <f>HYPERLINK("https://ictv.global/taxonomy/taxondetails?taxnode_id=202301801","Vesiculovirus perinet")</f>
        <v>Vesiculovirus perinet</v>
      </c>
      <c r="S12272" s="18" t="s">
        <v>30</v>
      </c>
      <c r="T12272" s="18" t="s">
        <v>26141</v>
      </c>
      <c r="U12272" s="18" t="s">
        <v>26142</v>
      </c>
      <c r="V12272" s="18" t="s">
        <v>26143</v>
      </c>
      <c r="W12272" s="18" t="s">
        <v>26144</v>
      </c>
      <c r="X12272" s="18" t="s">
        <v>35</v>
      </c>
      <c r="Y12272" s="18" t="s">
        <v>23964</v>
      </c>
      <c r="Z12272" s="18" t="s">
        <v>12289</v>
      </c>
      <c r="AA12272" s="21" t="str">
        <f>HYPERLINK("https://www.ncbi.nlm.nih.gov/nuccore/HM566195","NCBI Nucleotide")</f>
        <v>NCBI Nucleotide</v>
      </c>
    </row>
    <row r="12273" spans="1:27" x14ac:dyDescent="0.35">
      <c r="A12273">
        <v>1010900</v>
      </c>
      <c r="B12273">
        <v>11554</v>
      </c>
      <c r="C12273">
        <v>1</v>
      </c>
      <c r="D12273" s="17" t="s">
        <v>17166</v>
      </c>
      <c r="E12273" s="17"/>
      <c r="F12273" s="17" t="s">
        <v>17246</v>
      </c>
      <c r="G12273" s="17"/>
      <c r="H12273" s="17" t="s">
        <v>23950</v>
      </c>
      <c r="I12273" s="17" t="s">
        <v>23956</v>
      </c>
      <c r="J12273" s="17" t="s">
        <v>24017</v>
      </c>
      <c r="K12273" s="17"/>
      <c r="L12273" s="17" t="s">
        <v>24262</v>
      </c>
      <c r="M12273" s="17"/>
      <c r="N12273" s="17" t="s">
        <v>25249</v>
      </c>
      <c r="O12273" s="17" t="s">
        <v>25320</v>
      </c>
      <c r="P12273" s="17" t="s">
        <v>26080</v>
      </c>
      <c r="Q12273" s="17"/>
      <c r="R12273" s="25" t="str">
        <f>HYPERLINK("https://ictv.global/taxonomy/taxondetails?taxnode_id=202301802","Vesiculovirus piry")</f>
        <v>Vesiculovirus piry</v>
      </c>
      <c r="S12273" s="18" t="s">
        <v>30</v>
      </c>
      <c r="T12273" s="18" t="s">
        <v>26145</v>
      </c>
      <c r="U12273" s="18" t="s">
        <v>26146</v>
      </c>
      <c r="V12273" s="18" t="s">
        <v>26147</v>
      </c>
      <c r="W12273" s="18" t="s">
        <v>26148</v>
      </c>
      <c r="X12273" s="18" t="s">
        <v>35</v>
      </c>
      <c r="Y12273" s="18" t="s">
        <v>23964</v>
      </c>
      <c r="Z12273" s="18" t="s">
        <v>12289</v>
      </c>
      <c r="AA12273" s="21" t="str">
        <f>HYPERLINK("https://www.ncbi.nlm.nih.gov/nuccore/KU178986","NCBI Nucleotide")</f>
        <v>NCBI Nucleotide</v>
      </c>
    </row>
    <row r="12274" spans="1:27" x14ac:dyDescent="0.35">
      <c r="A12274">
        <v>1010901</v>
      </c>
      <c r="B12274">
        <v>11555</v>
      </c>
      <c r="C12274">
        <v>1</v>
      </c>
      <c r="D12274" s="17" t="s">
        <v>17166</v>
      </c>
      <c r="E12274" s="17"/>
      <c r="F12274" s="17" t="s">
        <v>17246</v>
      </c>
      <c r="G12274" s="17"/>
      <c r="H12274" s="17" t="s">
        <v>23950</v>
      </c>
      <c r="I12274" s="17" t="s">
        <v>23956</v>
      </c>
      <c r="J12274" s="17" t="s">
        <v>24017</v>
      </c>
      <c r="K12274" s="17"/>
      <c r="L12274" s="17" t="s">
        <v>24262</v>
      </c>
      <c r="M12274" s="17"/>
      <c r="N12274" s="17" t="s">
        <v>25249</v>
      </c>
      <c r="O12274" s="17" t="s">
        <v>25320</v>
      </c>
      <c r="P12274" s="17" t="s">
        <v>26080</v>
      </c>
      <c r="Q12274" s="17"/>
      <c r="R12274" s="25" t="str">
        <f>HYPERLINK("https://ictv.global/taxonomy/taxondetails?taxnode_id=202301803","Vesiculovirus radi")</f>
        <v>Vesiculovirus radi</v>
      </c>
      <c r="S12274" s="18" t="s">
        <v>30</v>
      </c>
      <c r="T12274" s="18" t="s">
        <v>26149</v>
      </c>
      <c r="U12274" s="18" t="s">
        <v>26150</v>
      </c>
      <c r="V12274" s="18" t="s">
        <v>26151</v>
      </c>
      <c r="W12274" s="18" t="s">
        <v>26152</v>
      </c>
      <c r="X12274" s="18" t="s">
        <v>35</v>
      </c>
      <c r="Y12274" s="18" t="s">
        <v>23964</v>
      </c>
      <c r="Z12274" s="18" t="s">
        <v>12289</v>
      </c>
      <c r="AA12274" s="21" t="str">
        <f>HYPERLINK("https://www.ncbi.nlm.nih.gov/nuccore/KM205024","NCBI Nucleotide")</f>
        <v>NCBI Nucleotide</v>
      </c>
    </row>
    <row r="12275" spans="1:27" x14ac:dyDescent="0.35">
      <c r="A12275">
        <v>1010902</v>
      </c>
      <c r="B12275">
        <v>11556</v>
      </c>
      <c r="C12275">
        <v>1</v>
      </c>
      <c r="D12275" s="17" t="s">
        <v>17166</v>
      </c>
      <c r="E12275" s="17"/>
      <c r="F12275" s="17" t="s">
        <v>17246</v>
      </c>
      <c r="G12275" s="17"/>
      <c r="H12275" s="17" t="s">
        <v>23950</v>
      </c>
      <c r="I12275" s="17" t="s">
        <v>23956</v>
      </c>
      <c r="J12275" s="17" t="s">
        <v>24017</v>
      </c>
      <c r="K12275" s="17"/>
      <c r="L12275" s="17" t="s">
        <v>24262</v>
      </c>
      <c r="M12275" s="17"/>
      <c r="N12275" s="17" t="s">
        <v>25249</v>
      </c>
      <c r="O12275" s="17" t="s">
        <v>25320</v>
      </c>
      <c r="P12275" s="17" t="s">
        <v>26080</v>
      </c>
      <c r="Q12275" s="17"/>
      <c r="R12275" s="25" t="str">
        <f>HYPERLINK("https://ictv.global/taxonomy/taxondetails?taxnode_id=202309186","Vesiculovirus rhinolophus")</f>
        <v>Vesiculovirus rhinolophus</v>
      </c>
      <c r="S12275" s="18" t="s">
        <v>30</v>
      </c>
      <c r="T12275" s="18" t="s">
        <v>26153</v>
      </c>
      <c r="U12275" s="18" t="s">
        <v>26154</v>
      </c>
      <c r="V12275" s="18" t="s">
        <v>26155</v>
      </c>
      <c r="W12275" s="18" t="s">
        <v>26156</v>
      </c>
      <c r="X12275" s="18" t="s">
        <v>35</v>
      </c>
      <c r="Y12275" s="18" t="s">
        <v>23964</v>
      </c>
      <c r="Z12275" s="18" t="s">
        <v>166</v>
      </c>
      <c r="AA12275" s="21" t="str">
        <f>HYPERLINK("https://www.ncbi.nlm.nih.gov/nuccore/MF279192","NCBI Nucleotide")</f>
        <v>NCBI Nucleotide</v>
      </c>
    </row>
    <row r="12276" spans="1:27" x14ac:dyDescent="0.35">
      <c r="A12276">
        <v>1012886</v>
      </c>
      <c r="B12276">
        <v>11556</v>
      </c>
      <c r="C12276">
        <v>2</v>
      </c>
      <c r="D12276" s="17" t="s">
        <v>17166</v>
      </c>
      <c r="E12276" s="17"/>
      <c r="F12276" s="17" t="s">
        <v>17246</v>
      </c>
      <c r="G12276" s="17"/>
      <c r="H12276" s="17" t="s">
        <v>23950</v>
      </c>
      <c r="I12276" s="17" t="s">
        <v>23956</v>
      </c>
      <c r="J12276" s="17" t="s">
        <v>24017</v>
      </c>
      <c r="K12276" s="17"/>
      <c r="L12276" s="17" t="s">
        <v>24262</v>
      </c>
      <c r="M12276" s="17"/>
      <c r="N12276" s="17" t="s">
        <v>25249</v>
      </c>
      <c r="O12276" s="17" t="s">
        <v>25320</v>
      </c>
      <c r="P12276" s="17" t="s">
        <v>26080</v>
      </c>
      <c r="Q12276" s="17"/>
      <c r="R12276" s="25" t="str">
        <f>HYPERLINK("https://ictv.global/taxonomy/taxondetails?taxnode_id=202309186","Vesiculovirus rhinolophus")</f>
        <v>Vesiculovirus rhinolophus</v>
      </c>
      <c r="S12276" s="18" t="s">
        <v>8141</v>
      </c>
      <c r="T12276" s="18" t="s">
        <v>26164</v>
      </c>
      <c r="U12276" s="18" t="s">
        <v>26165</v>
      </c>
      <c r="V12276" s="18">
        <v>1127</v>
      </c>
      <c r="W12276" s="18" t="s">
        <v>49442</v>
      </c>
      <c r="X12276" s="18" t="s">
        <v>35</v>
      </c>
      <c r="Y12276" s="18" t="s">
        <v>23964</v>
      </c>
      <c r="Z12276" s="18" t="s">
        <v>166</v>
      </c>
      <c r="AA12276" s="21" t="str">
        <f>HYPERLINK("https://www.ncbi.nlm.nih.gov/nuccore/MN607593","NCBI Nucleotide")</f>
        <v>NCBI Nucleotide</v>
      </c>
    </row>
    <row r="12277" spans="1:27" x14ac:dyDescent="0.35">
      <c r="A12277">
        <v>1010903</v>
      </c>
      <c r="B12277">
        <v>11557</v>
      </c>
      <c r="C12277">
        <v>1</v>
      </c>
      <c r="D12277" s="17" t="s">
        <v>17166</v>
      </c>
      <c r="E12277" s="17"/>
      <c r="F12277" s="17" t="s">
        <v>17246</v>
      </c>
      <c r="G12277" s="17"/>
      <c r="H12277" s="17" t="s">
        <v>23950</v>
      </c>
      <c r="I12277" s="17" t="s">
        <v>23956</v>
      </c>
      <c r="J12277" s="17" t="s">
        <v>24017</v>
      </c>
      <c r="K12277" s="17"/>
      <c r="L12277" s="17" t="s">
        <v>24262</v>
      </c>
      <c r="M12277" s="17"/>
      <c r="N12277" s="17" t="s">
        <v>25249</v>
      </c>
      <c r="O12277" s="17" t="s">
        <v>25320</v>
      </c>
      <c r="P12277" s="17" t="s">
        <v>26080</v>
      </c>
      <c r="Q12277" s="17"/>
      <c r="R12277" s="25" t="str">
        <f>HYPERLINK("https://ictv.global/taxonomy/taxondetails?taxnode_id=202314275","Vesiculovirus wufeng")</f>
        <v>Vesiculovirus wufeng</v>
      </c>
      <c r="S12277" s="18" t="s">
        <v>30</v>
      </c>
      <c r="T12277" s="18" t="s">
        <v>26157</v>
      </c>
      <c r="U12277" s="18" t="s">
        <v>26158</v>
      </c>
      <c r="V12277" s="18" t="s">
        <v>26159</v>
      </c>
      <c r="W12277" s="18" t="s">
        <v>26160</v>
      </c>
      <c r="X12277" s="18" t="s">
        <v>35</v>
      </c>
      <c r="Y12277" s="18" t="s">
        <v>23964</v>
      </c>
      <c r="Z12277" s="18" t="s">
        <v>166</v>
      </c>
      <c r="AA12277" s="21" t="str">
        <f>HYPERLINK("https://www.ncbi.nlm.nih.gov/nuccore/OM030292","NCBI Nucleotide")</f>
        <v>NCBI Nucleotide</v>
      </c>
    </row>
    <row r="12278" spans="1:27" x14ac:dyDescent="0.35">
      <c r="A12278">
        <v>1010904</v>
      </c>
      <c r="B12278">
        <v>11558</v>
      </c>
      <c r="C12278">
        <v>1</v>
      </c>
      <c r="D12278" s="17" t="s">
        <v>17166</v>
      </c>
      <c r="E12278" s="17"/>
      <c r="F12278" s="17" t="s">
        <v>17246</v>
      </c>
      <c r="G12278" s="17"/>
      <c r="H12278" s="17" t="s">
        <v>23950</v>
      </c>
      <c r="I12278" s="17" t="s">
        <v>23956</v>
      </c>
      <c r="J12278" s="17" t="s">
        <v>24017</v>
      </c>
      <c r="K12278" s="17"/>
      <c r="L12278" s="17" t="s">
        <v>24262</v>
      </c>
      <c r="M12278" s="17"/>
      <c r="N12278" s="17" t="s">
        <v>25249</v>
      </c>
      <c r="O12278" s="17" t="s">
        <v>25320</v>
      </c>
      <c r="P12278" s="17" t="s">
        <v>26080</v>
      </c>
      <c r="Q12278" s="17"/>
      <c r="R12278" s="25" t="str">
        <f>HYPERLINK("https://ictv.global/taxonomy/taxondetails?taxnode_id=202313324","Vesiculovirus yinshui")</f>
        <v>Vesiculovirus yinshui</v>
      </c>
      <c r="S12278" s="18" t="s">
        <v>30</v>
      </c>
      <c r="T12278" s="18" t="s">
        <v>26161</v>
      </c>
      <c r="U12278" s="18" t="s">
        <v>26162</v>
      </c>
      <c r="V12278" s="18">
        <v>1017</v>
      </c>
      <c r="W12278" s="18" t="s">
        <v>26163</v>
      </c>
      <c r="X12278" s="18" t="s">
        <v>35</v>
      </c>
      <c r="Y12278" s="18" t="s">
        <v>23964</v>
      </c>
      <c r="Z12278" s="18" t="s">
        <v>166</v>
      </c>
      <c r="AA12278" s="21" t="str">
        <f>HYPERLINK("https://www.ncbi.nlm.nih.gov/nuccore/MN607594","NCBI Nucleotide")</f>
        <v>NCBI Nucleotide</v>
      </c>
    </row>
    <row r="12279" spans="1:27" x14ac:dyDescent="0.35">
      <c r="A12279">
        <v>1010905</v>
      </c>
      <c r="B12279">
        <v>11559</v>
      </c>
      <c r="C12279">
        <v>1</v>
      </c>
      <c r="D12279" s="17" t="s">
        <v>17166</v>
      </c>
      <c r="E12279" s="17"/>
      <c r="F12279" s="17" t="s">
        <v>17246</v>
      </c>
      <c r="G12279" s="17"/>
      <c r="H12279" s="17" t="s">
        <v>23950</v>
      </c>
      <c r="I12279" s="17" t="s">
        <v>23956</v>
      </c>
      <c r="J12279" s="17" t="s">
        <v>24017</v>
      </c>
      <c r="K12279" s="17"/>
      <c r="L12279" s="17" t="s">
        <v>24262</v>
      </c>
      <c r="M12279" s="17"/>
      <c r="N12279" s="17" t="s">
        <v>25249</v>
      </c>
      <c r="O12279" s="17" t="s">
        <v>25320</v>
      </c>
      <c r="P12279" s="17" t="s">
        <v>26166</v>
      </c>
      <c r="Q12279" s="17"/>
      <c r="R12279" s="25" t="str">
        <f>HYPERLINK("https://ictv.global/taxonomy/taxondetails?taxnode_id=202307389","Zarhavirus zahedan")</f>
        <v>Zarhavirus zahedan</v>
      </c>
      <c r="S12279" s="18" t="s">
        <v>30</v>
      </c>
      <c r="T12279" s="18" t="s">
        <v>26167</v>
      </c>
      <c r="U12279" s="18" t="s">
        <v>26168</v>
      </c>
      <c r="V12279" s="18" t="s">
        <v>26169</v>
      </c>
      <c r="W12279" s="18" t="s">
        <v>26170</v>
      </c>
      <c r="X12279" s="18" t="s">
        <v>42</v>
      </c>
      <c r="Y12279" s="18" t="s">
        <v>23964</v>
      </c>
      <c r="Z12279" s="18" t="s">
        <v>10790</v>
      </c>
      <c r="AA12279" s="21" t="str">
        <f>HYPERLINK("https://www.ncbi.nlm.nih.gov/nuccore/KJ830812","NCBI Nucleotide")</f>
        <v>NCBI Nucleotide</v>
      </c>
    </row>
    <row r="12280" spans="1:27" x14ac:dyDescent="0.35">
      <c r="A12280">
        <v>1027627</v>
      </c>
      <c r="B12280">
        <v>11560</v>
      </c>
      <c r="C12280">
        <v>1</v>
      </c>
      <c r="D12280" s="17" t="s">
        <v>17166</v>
      </c>
      <c r="E12280" s="17"/>
      <c r="F12280" s="17" t="s">
        <v>17246</v>
      </c>
      <c r="G12280" s="17"/>
      <c r="H12280" s="17" t="s">
        <v>23950</v>
      </c>
      <c r="I12280" s="17" t="s">
        <v>23956</v>
      </c>
      <c r="J12280" s="17" t="s">
        <v>24017</v>
      </c>
      <c r="K12280" s="17"/>
      <c r="L12280" s="17" t="s">
        <v>24262</v>
      </c>
      <c r="M12280" s="17"/>
      <c r="N12280" s="17" t="s">
        <v>25249</v>
      </c>
      <c r="O12280" s="17" t="s">
        <v>26171</v>
      </c>
      <c r="P12280" s="17" t="s">
        <v>46701</v>
      </c>
      <c r="Q12280" s="17"/>
      <c r="R12280" s="25" t="str">
        <f>HYPERLINK("https://ictv.global/taxonomy/taxondetails?taxnode_id=202317788","Alphagymnorhavirus abietis")</f>
        <v>Alphagymnorhavirus abietis</v>
      </c>
      <c r="S12280" s="18" t="s">
        <v>30</v>
      </c>
      <c r="T12280" s="18" t="s">
        <v>46702</v>
      </c>
      <c r="U12280" s="18" t="s">
        <v>46703</v>
      </c>
      <c r="V12280" s="18" t="s">
        <v>46704</v>
      </c>
      <c r="W12280" s="18" t="s">
        <v>46705</v>
      </c>
      <c r="X12280" s="18" t="s">
        <v>35</v>
      </c>
      <c r="Y12280" s="18" t="s">
        <v>23964</v>
      </c>
      <c r="Z12280" s="18" t="s">
        <v>13441</v>
      </c>
      <c r="AA12280" s="21" t="str">
        <f>HYPERLINK("https://www.ncbi.nlm.nih.gov/nuccore/BK061731","NCBI Nucleotide")</f>
        <v>NCBI Nucleotide</v>
      </c>
    </row>
    <row r="12281" spans="1:27" x14ac:dyDescent="0.35">
      <c r="A12281">
        <v>1027628</v>
      </c>
      <c r="B12281">
        <v>11561</v>
      </c>
      <c r="C12281">
        <v>1</v>
      </c>
      <c r="D12281" s="17" t="s">
        <v>17166</v>
      </c>
      <c r="E12281" s="17"/>
      <c r="F12281" s="17" t="s">
        <v>17246</v>
      </c>
      <c r="G12281" s="17"/>
      <c r="H12281" s="17" t="s">
        <v>23950</v>
      </c>
      <c r="I12281" s="17" t="s">
        <v>23956</v>
      </c>
      <c r="J12281" s="17" t="s">
        <v>24017</v>
      </c>
      <c r="K12281" s="17"/>
      <c r="L12281" s="17" t="s">
        <v>24262</v>
      </c>
      <c r="M12281" s="17"/>
      <c r="N12281" s="17" t="s">
        <v>25249</v>
      </c>
      <c r="O12281" s="17" t="s">
        <v>26171</v>
      </c>
      <c r="P12281" s="17" t="s">
        <v>46701</v>
      </c>
      <c r="Q12281" s="17"/>
      <c r="R12281" s="25" t="str">
        <f>HYPERLINK("https://ictv.global/taxonomy/taxondetails?taxnode_id=202317789","Alphagymnorhavirus amentotaxi")</f>
        <v>Alphagymnorhavirus amentotaxi</v>
      </c>
      <c r="S12281" s="18" t="s">
        <v>30</v>
      </c>
      <c r="T12281" s="18" t="s">
        <v>46706</v>
      </c>
      <c r="U12281" s="18" t="s">
        <v>46707</v>
      </c>
      <c r="V12281" s="18" t="s">
        <v>46708</v>
      </c>
      <c r="W12281" s="18" t="s">
        <v>46709</v>
      </c>
      <c r="X12281" s="18" t="s">
        <v>35</v>
      </c>
      <c r="Y12281" s="18" t="s">
        <v>23964</v>
      </c>
      <c r="Z12281" s="18" t="s">
        <v>13441</v>
      </c>
      <c r="AA12281" s="21" t="str">
        <f>HYPERLINK("https://www.ncbi.nlm.nih.gov/nuccore/BK061736","NCBI Nucleotide")</f>
        <v>NCBI Nucleotide</v>
      </c>
    </row>
    <row r="12282" spans="1:27" x14ac:dyDescent="0.35">
      <c r="A12282">
        <v>1027629</v>
      </c>
      <c r="B12282">
        <v>11562</v>
      </c>
      <c r="C12282">
        <v>1</v>
      </c>
      <c r="D12282" s="17" t="s">
        <v>17166</v>
      </c>
      <c r="E12282" s="17"/>
      <c r="F12282" s="17" t="s">
        <v>17246</v>
      </c>
      <c r="G12282" s="17"/>
      <c r="H12282" s="17" t="s">
        <v>23950</v>
      </c>
      <c r="I12282" s="17" t="s">
        <v>23956</v>
      </c>
      <c r="J12282" s="17" t="s">
        <v>24017</v>
      </c>
      <c r="K12282" s="17"/>
      <c r="L12282" s="17" t="s">
        <v>24262</v>
      </c>
      <c r="M12282" s="17"/>
      <c r="N12282" s="17" t="s">
        <v>25249</v>
      </c>
      <c r="O12282" s="17" t="s">
        <v>26171</v>
      </c>
      <c r="P12282" s="17" t="s">
        <v>46701</v>
      </c>
      <c r="Q12282" s="17"/>
      <c r="R12282" s="25" t="str">
        <f>HYPERLINK("https://ictv.global/taxonomy/taxondetails?taxnode_id=202317790","Alphagymnorhavirus cupressi")</f>
        <v>Alphagymnorhavirus cupressi</v>
      </c>
      <c r="S12282" s="18" t="s">
        <v>30</v>
      </c>
      <c r="T12282" s="18" t="s">
        <v>46710</v>
      </c>
      <c r="U12282" s="18" t="s">
        <v>46711</v>
      </c>
      <c r="V12282" s="18" t="s">
        <v>46712</v>
      </c>
      <c r="W12282" s="18" t="s">
        <v>46713</v>
      </c>
      <c r="X12282" s="18" t="s">
        <v>35</v>
      </c>
      <c r="Y12282" s="18" t="s">
        <v>23964</v>
      </c>
      <c r="Z12282" s="18" t="s">
        <v>13441</v>
      </c>
      <c r="AA12282" s="21" t="str">
        <f>HYPERLINK("https://www.ncbi.nlm.nih.gov/nuccore/BK061763","NCBI Nucleotide")</f>
        <v>NCBI Nucleotide</v>
      </c>
    </row>
    <row r="12283" spans="1:27" x14ac:dyDescent="0.35">
      <c r="A12283">
        <v>1027630</v>
      </c>
      <c r="B12283">
        <v>11563</v>
      </c>
      <c r="C12283">
        <v>1</v>
      </c>
      <c r="D12283" s="17" t="s">
        <v>17166</v>
      </c>
      <c r="E12283" s="17"/>
      <c r="F12283" s="17" t="s">
        <v>17246</v>
      </c>
      <c r="G12283" s="17"/>
      <c r="H12283" s="17" t="s">
        <v>23950</v>
      </c>
      <c r="I12283" s="17" t="s">
        <v>23956</v>
      </c>
      <c r="J12283" s="17" t="s">
        <v>24017</v>
      </c>
      <c r="K12283" s="17"/>
      <c r="L12283" s="17" t="s">
        <v>24262</v>
      </c>
      <c r="M12283" s="17"/>
      <c r="N12283" s="17" t="s">
        <v>25249</v>
      </c>
      <c r="O12283" s="17" t="s">
        <v>26171</v>
      </c>
      <c r="P12283" s="17" t="s">
        <v>46701</v>
      </c>
      <c r="Q12283" s="17"/>
      <c r="R12283" s="25" t="str">
        <f>HYPERLINK("https://ictv.global/taxonomy/taxondetails?taxnode_id=202317791","Alphagymnorhavirus piceae")</f>
        <v>Alphagymnorhavirus piceae</v>
      </c>
      <c r="S12283" s="18" t="s">
        <v>30</v>
      </c>
      <c r="T12283" s="18" t="s">
        <v>46714</v>
      </c>
      <c r="U12283" s="18" t="s">
        <v>46715</v>
      </c>
      <c r="V12283" s="18" t="s">
        <v>46716</v>
      </c>
      <c r="W12283" s="18" t="s">
        <v>46717</v>
      </c>
      <c r="X12283" s="18" t="s">
        <v>35</v>
      </c>
      <c r="Y12283" s="18" t="s">
        <v>23964</v>
      </c>
      <c r="Z12283" s="18" t="s">
        <v>13441</v>
      </c>
      <c r="AA12283" s="21" t="str">
        <f>HYPERLINK("https://www.ncbi.nlm.nih.gov/nuccore/BK061792","NCBI Nucleotide")</f>
        <v>NCBI Nucleotide</v>
      </c>
    </row>
    <row r="12284" spans="1:27" x14ac:dyDescent="0.35">
      <c r="A12284">
        <v>1027631</v>
      </c>
      <c r="B12284">
        <v>11564</v>
      </c>
      <c r="C12284">
        <v>1</v>
      </c>
      <c r="D12284" s="17" t="s">
        <v>17166</v>
      </c>
      <c r="E12284" s="17"/>
      <c r="F12284" s="17" t="s">
        <v>17246</v>
      </c>
      <c r="G12284" s="17"/>
      <c r="H12284" s="17" t="s">
        <v>23950</v>
      </c>
      <c r="I12284" s="17" t="s">
        <v>23956</v>
      </c>
      <c r="J12284" s="17" t="s">
        <v>24017</v>
      </c>
      <c r="K12284" s="17"/>
      <c r="L12284" s="17" t="s">
        <v>24262</v>
      </c>
      <c r="M12284" s="17"/>
      <c r="N12284" s="17" t="s">
        <v>25249</v>
      </c>
      <c r="O12284" s="17" t="s">
        <v>26171</v>
      </c>
      <c r="P12284" s="17" t="s">
        <v>46701</v>
      </c>
      <c r="Q12284" s="17"/>
      <c r="R12284" s="25" t="str">
        <f>HYPERLINK("https://ictv.global/taxonomy/taxondetails?taxnode_id=202317792","Alphagymnorhavirus pinibanksiae")</f>
        <v>Alphagymnorhavirus pinibanksiae</v>
      </c>
      <c r="S12284" s="18" t="s">
        <v>30</v>
      </c>
      <c r="T12284" s="18" t="s">
        <v>46718</v>
      </c>
      <c r="U12284" s="18" t="s">
        <v>46719</v>
      </c>
      <c r="V12284" s="18" t="s">
        <v>46720</v>
      </c>
      <c r="W12284" s="18" t="s">
        <v>46721</v>
      </c>
      <c r="X12284" s="18" t="s">
        <v>35</v>
      </c>
      <c r="Y12284" s="18" t="s">
        <v>23964</v>
      </c>
      <c r="Z12284" s="18" t="s">
        <v>13441</v>
      </c>
      <c r="AA12284" s="21" t="str">
        <f>HYPERLINK("https://www.ncbi.nlm.nih.gov/nuccore/BK061793","NCBI Nucleotide")</f>
        <v>NCBI Nucleotide</v>
      </c>
    </row>
    <row r="12285" spans="1:27" x14ac:dyDescent="0.35">
      <c r="A12285">
        <v>1010990</v>
      </c>
      <c r="B12285">
        <v>11565</v>
      </c>
      <c r="C12285">
        <v>1</v>
      </c>
      <c r="D12285" s="17" t="s">
        <v>17166</v>
      </c>
      <c r="E12285" s="17"/>
      <c r="F12285" s="17" t="s">
        <v>17246</v>
      </c>
      <c r="G12285" s="17"/>
      <c r="H12285" s="17" t="s">
        <v>23950</v>
      </c>
      <c r="I12285" s="17" t="s">
        <v>23956</v>
      </c>
      <c r="J12285" s="17" t="s">
        <v>24017</v>
      </c>
      <c r="K12285" s="17"/>
      <c r="L12285" s="17" t="s">
        <v>24262</v>
      </c>
      <c r="M12285" s="17"/>
      <c r="N12285" s="17" t="s">
        <v>25249</v>
      </c>
      <c r="O12285" s="17" t="s">
        <v>26171</v>
      </c>
      <c r="P12285" s="17" t="s">
        <v>46701</v>
      </c>
      <c r="Q12285" s="17"/>
      <c r="R12285" s="25" t="str">
        <f>HYPERLINK("https://ictv.global/taxonomy/taxondetails?taxnode_id=202314271","Alphagymnorhavirus piniflexilis")</f>
        <v>Alphagymnorhavirus piniflexilis</v>
      </c>
      <c r="S12285" s="18" t="s">
        <v>30</v>
      </c>
      <c r="T12285" s="18" t="s">
        <v>26487</v>
      </c>
      <c r="U12285" s="18" t="s">
        <v>26488</v>
      </c>
      <c r="V12285" s="18" t="s">
        <v>26489</v>
      </c>
      <c r="W12285" s="18" t="s">
        <v>26490</v>
      </c>
      <c r="X12285" s="18" t="s">
        <v>35</v>
      </c>
      <c r="Y12285" s="18" t="s">
        <v>23964</v>
      </c>
      <c r="Z12285" s="18" t="s">
        <v>13441</v>
      </c>
      <c r="AA12285" s="21" t="str">
        <f>HYPERLINK("https://www.ncbi.nlm.nih.gov/nuccore/BK014316","NCBI Nucleotide")</f>
        <v>NCBI Nucleotide</v>
      </c>
    </row>
    <row r="12286" spans="1:27" x14ac:dyDescent="0.35">
      <c r="A12286">
        <v>1027632</v>
      </c>
      <c r="B12286">
        <v>11566</v>
      </c>
      <c r="C12286">
        <v>1</v>
      </c>
      <c r="D12286" s="17" t="s">
        <v>17166</v>
      </c>
      <c r="E12286" s="17"/>
      <c r="F12286" s="17" t="s">
        <v>17246</v>
      </c>
      <c r="G12286" s="17"/>
      <c r="H12286" s="17" t="s">
        <v>23950</v>
      </c>
      <c r="I12286" s="17" t="s">
        <v>23956</v>
      </c>
      <c r="J12286" s="17" t="s">
        <v>24017</v>
      </c>
      <c r="K12286" s="17"/>
      <c r="L12286" s="17" t="s">
        <v>24262</v>
      </c>
      <c r="M12286" s="17"/>
      <c r="N12286" s="17" t="s">
        <v>25249</v>
      </c>
      <c r="O12286" s="17" t="s">
        <v>26171</v>
      </c>
      <c r="P12286" s="17" t="s">
        <v>46701</v>
      </c>
      <c r="Q12286" s="17"/>
      <c r="R12286" s="25" t="str">
        <f>HYPERLINK("https://ictv.global/taxonomy/taxondetails?taxnode_id=202317793","Alphagymnorhavirus piniyunannensis")</f>
        <v>Alphagymnorhavirus piniyunannensis</v>
      </c>
      <c r="S12286" s="18" t="s">
        <v>30</v>
      </c>
      <c r="T12286" s="18" t="s">
        <v>46722</v>
      </c>
      <c r="U12286" s="18" t="s">
        <v>46723</v>
      </c>
      <c r="V12286" s="18" t="s">
        <v>46724</v>
      </c>
      <c r="W12286" s="18" t="s">
        <v>46725</v>
      </c>
      <c r="X12286" s="18" t="s">
        <v>35</v>
      </c>
      <c r="Y12286" s="18" t="s">
        <v>23964</v>
      </c>
      <c r="Z12286" s="18" t="s">
        <v>13441</v>
      </c>
      <c r="AA12286" s="21" t="str">
        <f>HYPERLINK("https://www.ncbi.nlm.nih.gov/nuccore/BK061794","NCBI Nucleotide")</f>
        <v>NCBI Nucleotide</v>
      </c>
    </row>
    <row r="12287" spans="1:27" x14ac:dyDescent="0.35">
      <c r="A12287">
        <v>1027633</v>
      </c>
      <c r="B12287">
        <v>11567</v>
      </c>
      <c r="C12287">
        <v>1</v>
      </c>
      <c r="D12287" s="17" t="s">
        <v>17166</v>
      </c>
      <c r="E12287" s="17"/>
      <c r="F12287" s="17" t="s">
        <v>17246</v>
      </c>
      <c r="G12287" s="17"/>
      <c r="H12287" s="17" t="s">
        <v>23950</v>
      </c>
      <c r="I12287" s="17" t="s">
        <v>23956</v>
      </c>
      <c r="J12287" s="17" t="s">
        <v>24017</v>
      </c>
      <c r="K12287" s="17"/>
      <c r="L12287" s="17" t="s">
        <v>24262</v>
      </c>
      <c r="M12287" s="17"/>
      <c r="N12287" s="17" t="s">
        <v>25249</v>
      </c>
      <c r="O12287" s="17" t="s">
        <v>26171</v>
      </c>
      <c r="P12287" s="17" t="s">
        <v>46701</v>
      </c>
      <c r="Q12287" s="17"/>
      <c r="R12287" s="25" t="str">
        <f>HYPERLINK("https://ictv.global/taxonomy/taxondetails?taxnode_id=202317794","Alphagymnorhavirus sciadopitysis")</f>
        <v>Alphagymnorhavirus sciadopitysis</v>
      </c>
      <c r="S12287" s="18" t="s">
        <v>30</v>
      </c>
      <c r="T12287" s="18" t="s">
        <v>46726</v>
      </c>
      <c r="U12287" s="18" t="s">
        <v>46727</v>
      </c>
      <c r="V12287" s="18" t="s">
        <v>50919</v>
      </c>
      <c r="W12287" s="18" t="s">
        <v>46728</v>
      </c>
      <c r="X12287" s="18" t="s">
        <v>35</v>
      </c>
      <c r="Y12287" s="18" t="s">
        <v>23964</v>
      </c>
      <c r="Z12287" s="18" t="s">
        <v>13441</v>
      </c>
      <c r="AA12287" s="21" t="str">
        <f>HYPERLINK("https://www.ncbi.nlm.nih.gov/nuccore/BK061804","NCBI Nucleotide")</f>
        <v>NCBI Nucleotide</v>
      </c>
    </row>
    <row r="12288" spans="1:27" x14ac:dyDescent="0.35">
      <c r="A12288">
        <v>1027634</v>
      </c>
      <c r="B12288">
        <v>11568</v>
      </c>
      <c r="C12288">
        <v>1</v>
      </c>
      <c r="D12288" s="17" t="s">
        <v>17166</v>
      </c>
      <c r="E12288" s="17"/>
      <c r="F12288" s="17" t="s">
        <v>17246</v>
      </c>
      <c r="G12288" s="17"/>
      <c r="H12288" s="17" t="s">
        <v>23950</v>
      </c>
      <c r="I12288" s="17" t="s">
        <v>23956</v>
      </c>
      <c r="J12288" s="17" t="s">
        <v>24017</v>
      </c>
      <c r="K12288" s="17"/>
      <c r="L12288" s="17" t="s">
        <v>24262</v>
      </c>
      <c r="M12288" s="17"/>
      <c r="N12288" s="17" t="s">
        <v>25249</v>
      </c>
      <c r="O12288" s="17" t="s">
        <v>26171</v>
      </c>
      <c r="P12288" s="17" t="s">
        <v>46701</v>
      </c>
      <c r="Q12288" s="17"/>
      <c r="R12288" s="25" t="str">
        <f>HYPERLINK("https://ictv.global/taxonomy/taxondetails?taxnode_id=202317795","Alphagymnorhavirus taxi")</f>
        <v>Alphagymnorhavirus taxi</v>
      </c>
      <c r="S12288" s="18" t="s">
        <v>30</v>
      </c>
      <c r="T12288" s="18" t="s">
        <v>46729</v>
      </c>
      <c r="U12288" s="18" t="s">
        <v>46730</v>
      </c>
      <c r="V12288" s="18" t="s">
        <v>46731</v>
      </c>
      <c r="W12288" s="18" t="s">
        <v>46732</v>
      </c>
      <c r="X12288" s="18" t="s">
        <v>35</v>
      </c>
      <c r="Y12288" s="18" t="s">
        <v>23964</v>
      </c>
      <c r="Z12288" s="18" t="s">
        <v>13441</v>
      </c>
      <c r="AA12288" s="21" t="str">
        <f>HYPERLINK("https://www.ncbi.nlm.nih.gov/nuccore/BK061817","NCBI Nucleotide")</f>
        <v>NCBI Nucleotide</v>
      </c>
    </row>
    <row r="12289" spans="1:27" x14ac:dyDescent="0.35">
      <c r="A12289">
        <v>1010906</v>
      </c>
      <c r="B12289">
        <v>11569</v>
      </c>
      <c r="C12289">
        <v>1</v>
      </c>
      <c r="D12289" s="17" t="s">
        <v>17166</v>
      </c>
      <c r="E12289" s="17"/>
      <c r="F12289" s="17" t="s">
        <v>17246</v>
      </c>
      <c r="G12289" s="17"/>
      <c r="H12289" s="17" t="s">
        <v>23950</v>
      </c>
      <c r="I12289" s="17" t="s">
        <v>23956</v>
      </c>
      <c r="J12289" s="17" t="s">
        <v>24017</v>
      </c>
      <c r="K12289" s="17"/>
      <c r="L12289" s="17" t="s">
        <v>24262</v>
      </c>
      <c r="M12289" s="17"/>
      <c r="N12289" s="17" t="s">
        <v>25249</v>
      </c>
      <c r="O12289" s="17" t="s">
        <v>26171</v>
      </c>
      <c r="P12289" s="17" t="s">
        <v>26172</v>
      </c>
      <c r="Q12289" s="17"/>
      <c r="R12289" s="25" t="str">
        <f>HYPERLINK("https://ictv.global/taxonomy/taxondetails?taxnode_id=202314139","Alphanucleorhabdovirus agavis")</f>
        <v>Alphanucleorhabdovirus agavis</v>
      </c>
      <c r="S12289" s="18" t="s">
        <v>30</v>
      </c>
      <c r="T12289" s="18" t="s">
        <v>26173</v>
      </c>
      <c r="U12289" s="18" t="s">
        <v>26174</v>
      </c>
      <c r="V12289" s="18" t="s">
        <v>26175</v>
      </c>
      <c r="W12289" s="18" t="s">
        <v>26176</v>
      </c>
      <c r="X12289" s="18" t="s">
        <v>35</v>
      </c>
      <c r="Y12289" s="18" t="s">
        <v>23964</v>
      </c>
      <c r="Z12289" s="18" t="s">
        <v>13441</v>
      </c>
      <c r="AA12289" s="21" t="str">
        <f>HYPERLINK("https://www.ncbi.nlm.nih.gov/nuccore/BK014297","NCBI Nucleotide")</f>
        <v>NCBI Nucleotide</v>
      </c>
    </row>
    <row r="12290" spans="1:27" x14ac:dyDescent="0.35">
      <c r="A12290">
        <v>1010907</v>
      </c>
      <c r="B12290">
        <v>11570</v>
      </c>
      <c r="C12290">
        <v>1</v>
      </c>
      <c r="D12290" s="17" t="s">
        <v>17166</v>
      </c>
      <c r="E12290" s="17"/>
      <c r="F12290" s="17" t="s">
        <v>17246</v>
      </c>
      <c r="G12290" s="17"/>
      <c r="H12290" s="17" t="s">
        <v>23950</v>
      </c>
      <c r="I12290" s="17" t="s">
        <v>23956</v>
      </c>
      <c r="J12290" s="17" t="s">
        <v>24017</v>
      </c>
      <c r="K12290" s="17"/>
      <c r="L12290" s="17" t="s">
        <v>24262</v>
      </c>
      <c r="M12290" s="17"/>
      <c r="N12290" s="17" t="s">
        <v>25249</v>
      </c>
      <c r="O12290" s="17" t="s">
        <v>26171</v>
      </c>
      <c r="P12290" s="17" t="s">
        <v>26172</v>
      </c>
      <c r="Q12290" s="17"/>
      <c r="R12290" s="25" t="str">
        <f>HYPERLINK("https://ictv.global/taxonomy/taxondetails?taxnode_id=202314140","Alphanucleorhabdovirus artemisiae")</f>
        <v>Alphanucleorhabdovirus artemisiae</v>
      </c>
      <c r="S12290" s="18" t="s">
        <v>30</v>
      </c>
      <c r="T12290" s="18" t="s">
        <v>26177</v>
      </c>
      <c r="U12290" s="18" t="s">
        <v>26178</v>
      </c>
      <c r="V12290" s="18" t="s">
        <v>26179</v>
      </c>
      <c r="W12290" s="18" t="s">
        <v>26180</v>
      </c>
      <c r="X12290" s="18" t="s">
        <v>35</v>
      </c>
      <c r="Y12290" s="18" t="s">
        <v>23964</v>
      </c>
      <c r="Z12290" s="18" t="s">
        <v>13441</v>
      </c>
      <c r="AA12290" s="21" t="str">
        <f>HYPERLINK("https://www.ncbi.nlm.nih.gov/nuccore/OM372677","NCBI Nucleotide")</f>
        <v>NCBI Nucleotide</v>
      </c>
    </row>
    <row r="12291" spans="1:27" x14ac:dyDescent="0.35">
      <c r="A12291">
        <v>1010908</v>
      </c>
      <c r="B12291">
        <v>11571</v>
      </c>
      <c r="C12291">
        <v>1</v>
      </c>
      <c r="D12291" s="17" t="s">
        <v>17166</v>
      </c>
      <c r="E12291" s="17"/>
      <c r="F12291" s="17" t="s">
        <v>17246</v>
      </c>
      <c r="G12291" s="17"/>
      <c r="H12291" s="17" t="s">
        <v>23950</v>
      </c>
      <c r="I12291" s="17" t="s">
        <v>23956</v>
      </c>
      <c r="J12291" s="17" t="s">
        <v>24017</v>
      </c>
      <c r="K12291" s="17"/>
      <c r="L12291" s="17" t="s">
        <v>24262</v>
      </c>
      <c r="M12291" s="17"/>
      <c r="N12291" s="17" t="s">
        <v>25249</v>
      </c>
      <c r="O12291" s="17" t="s">
        <v>26171</v>
      </c>
      <c r="P12291" s="17" t="s">
        <v>26172</v>
      </c>
      <c r="Q12291" s="17"/>
      <c r="R12291" s="25" t="str">
        <f>HYPERLINK("https://ictv.global/taxonomy/taxondetails?taxnode_id=202301751","Alphanucleorhabdovirus colocasiae")</f>
        <v>Alphanucleorhabdovirus colocasiae</v>
      </c>
      <c r="S12291" s="18" t="s">
        <v>30</v>
      </c>
      <c r="T12291" s="18" t="s">
        <v>26181</v>
      </c>
      <c r="U12291" s="18" t="s">
        <v>26182</v>
      </c>
      <c r="V12291" s="18" t="s">
        <v>26183</v>
      </c>
      <c r="W12291" s="18" t="s">
        <v>26184</v>
      </c>
      <c r="X12291" s="18" t="s">
        <v>42</v>
      </c>
      <c r="Y12291" s="18" t="s">
        <v>23964</v>
      </c>
      <c r="Z12291" s="18" t="s">
        <v>13441</v>
      </c>
      <c r="AA12291" s="21" t="str">
        <f>HYPERLINK("https://www.ncbi.nlm.nih.gov/nuccore/AY674964","NCBI Nucleotide")</f>
        <v>NCBI Nucleotide</v>
      </c>
    </row>
    <row r="12292" spans="1:27" x14ac:dyDescent="0.35">
      <c r="A12292">
        <v>1010909</v>
      </c>
      <c r="B12292">
        <v>11572</v>
      </c>
      <c r="C12292">
        <v>1</v>
      </c>
      <c r="D12292" s="17" t="s">
        <v>17166</v>
      </c>
      <c r="E12292" s="17"/>
      <c r="F12292" s="17" t="s">
        <v>17246</v>
      </c>
      <c r="G12292" s="17"/>
      <c r="H12292" s="17" t="s">
        <v>23950</v>
      </c>
      <c r="I12292" s="17" t="s">
        <v>23956</v>
      </c>
      <c r="J12292" s="17" t="s">
        <v>24017</v>
      </c>
      <c r="K12292" s="17"/>
      <c r="L12292" s="17" t="s">
        <v>24262</v>
      </c>
      <c r="M12292" s="17"/>
      <c r="N12292" s="17" t="s">
        <v>25249</v>
      </c>
      <c r="O12292" s="17" t="s">
        <v>26171</v>
      </c>
      <c r="P12292" s="17" t="s">
        <v>26172</v>
      </c>
      <c r="Q12292" s="17"/>
      <c r="R12292" s="25" t="str">
        <f>HYPERLINK("https://ictv.global/taxonomy/taxondetails?taxnode_id=202309365","Alphanucleorhabdovirus constrictae")</f>
        <v>Alphanucleorhabdovirus constrictae</v>
      </c>
      <c r="S12292" s="18" t="s">
        <v>30</v>
      </c>
      <c r="T12292" s="18" t="s">
        <v>26185</v>
      </c>
      <c r="U12292" s="18" t="s">
        <v>26186</v>
      </c>
      <c r="V12292" s="18" t="s">
        <v>26187</v>
      </c>
      <c r="W12292" s="18" t="s">
        <v>26188</v>
      </c>
      <c r="X12292" s="18" t="s">
        <v>42</v>
      </c>
      <c r="Y12292" s="18" t="s">
        <v>23964</v>
      </c>
      <c r="Z12292" s="18" t="s">
        <v>13441</v>
      </c>
      <c r="AA12292" s="21" t="str">
        <f>HYPERLINK("https://www.ncbi.nlm.nih.gov/nuccore/KY549567","NCBI Nucleotide")</f>
        <v>NCBI Nucleotide</v>
      </c>
    </row>
    <row r="12293" spans="1:27" x14ac:dyDescent="0.35">
      <c r="A12293">
        <v>1010910</v>
      </c>
      <c r="B12293">
        <v>11573</v>
      </c>
      <c r="C12293">
        <v>1</v>
      </c>
      <c r="D12293" s="17" t="s">
        <v>17166</v>
      </c>
      <c r="E12293" s="17"/>
      <c r="F12293" s="17" t="s">
        <v>17246</v>
      </c>
      <c r="G12293" s="17"/>
      <c r="H12293" s="17" t="s">
        <v>23950</v>
      </c>
      <c r="I12293" s="17" t="s">
        <v>23956</v>
      </c>
      <c r="J12293" s="17" t="s">
        <v>24017</v>
      </c>
      <c r="K12293" s="17"/>
      <c r="L12293" s="17" t="s">
        <v>24262</v>
      </c>
      <c r="M12293" s="17"/>
      <c r="N12293" s="17" t="s">
        <v>25249</v>
      </c>
      <c r="O12293" s="17" t="s">
        <v>26171</v>
      </c>
      <c r="P12293" s="17" t="s">
        <v>26172</v>
      </c>
      <c r="Q12293" s="17"/>
      <c r="R12293" s="25" t="str">
        <f>HYPERLINK("https://ictv.global/taxonomy/taxondetails?taxnode_id=202313306","Alphanucleorhabdovirus joa")</f>
        <v>Alphanucleorhabdovirus joa</v>
      </c>
      <c r="S12293" s="18" t="s">
        <v>30</v>
      </c>
      <c r="T12293" s="18" t="s">
        <v>26189</v>
      </c>
      <c r="U12293" s="18" t="s">
        <v>26190</v>
      </c>
      <c r="V12293" s="18" t="s">
        <v>26191</v>
      </c>
      <c r="W12293" s="18" t="s">
        <v>26192</v>
      </c>
      <c r="X12293" s="18" t="s">
        <v>42</v>
      </c>
      <c r="Y12293" s="18" t="s">
        <v>23964</v>
      </c>
      <c r="Z12293" s="18" t="s">
        <v>13441</v>
      </c>
      <c r="AA12293" s="21" t="str">
        <f>HYPERLINK("https://www.ncbi.nlm.nih.gov/nuccore/MW014292","NCBI Nucleotide")</f>
        <v>NCBI Nucleotide</v>
      </c>
    </row>
    <row r="12294" spans="1:27" x14ac:dyDescent="0.35">
      <c r="A12294">
        <v>1027637</v>
      </c>
      <c r="B12294">
        <v>11574</v>
      </c>
      <c r="C12294">
        <v>1</v>
      </c>
      <c r="D12294" s="17" t="s">
        <v>17166</v>
      </c>
      <c r="E12294" s="17"/>
      <c r="F12294" s="17" t="s">
        <v>17246</v>
      </c>
      <c r="G12294" s="17"/>
      <c r="H12294" s="17" t="s">
        <v>23950</v>
      </c>
      <c r="I12294" s="17" t="s">
        <v>23956</v>
      </c>
      <c r="J12294" s="17" t="s">
        <v>24017</v>
      </c>
      <c r="K12294" s="17"/>
      <c r="L12294" s="17" t="s">
        <v>24262</v>
      </c>
      <c r="M12294" s="17"/>
      <c r="N12294" s="17" t="s">
        <v>25249</v>
      </c>
      <c r="O12294" s="17" t="s">
        <v>26171</v>
      </c>
      <c r="P12294" s="17" t="s">
        <v>26172</v>
      </c>
      <c r="Q12294" s="17"/>
      <c r="R12294" s="25" t="str">
        <f>HYPERLINK("https://ictv.global/taxonomy/taxondetails?taxnode_id=202318284","Alphanucleorhabdovirus lycopersici")</f>
        <v>Alphanucleorhabdovirus lycopersici</v>
      </c>
      <c r="S12294" s="18" t="s">
        <v>30</v>
      </c>
      <c r="T12294" s="18" t="s">
        <v>46733</v>
      </c>
      <c r="U12294" s="18" t="s">
        <v>46734</v>
      </c>
      <c r="V12294" s="18" t="s">
        <v>46735</v>
      </c>
      <c r="W12294" s="18" t="s">
        <v>46736</v>
      </c>
      <c r="X12294" s="18" t="s">
        <v>35</v>
      </c>
      <c r="Y12294" s="18" t="s">
        <v>23964</v>
      </c>
      <c r="Z12294" s="18" t="s">
        <v>13441</v>
      </c>
      <c r="AA12294" s="21" t="str">
        <f>HYPERLINK("https://www.ncbi.nlm.nih.gov/nuccore/OL472126","NCBI Nucleotide")</f>
        <v>NCBI Nucleotide</v>
      </c>
    </row>
    <row r="12295" spans="1:27" x14ac:dyDescent="0.35">
      <c r="A12295">
        <v>1010911</v>
      </c>
      <c r="B12295">
        <v>11575</v>
      </c>
      <c r="C12295">
        <v>1</v>
      </c>
      <c r="D12295" s="17" t="s">
        <v>17166</v>
      </c>
      <c r="E12295" s="17"/>
      <c r="F12295" s="17" t="s">
        <v>17246</v>
      </c>
      <c r="G12295" s="17"/>
      <c r="H12295" s="17" t="s">
        <v>23950</v>
      </c>
      <c r="I12295" s="17" t="s">
        <v>23956</v>
      </c>
      <c r="J12295" s="17" t="s">
        <v>24017</v>
      </c>
      <c r="K12295" s="17"/>
      <c r="L12295" s="17" t="s">
        <v>24262</v>
      </c>
      <c r="M12295" s="17"/>
      <c r="N12295" s="17" t="s">
        <v>25249</v>
      </c>
      <c r="O12295" s="17" t="s">
        <v>26171</v>
      </c>
      <c r="P12295" s="17" t="s">
        <v>26172</v>
      </c>
      <c r="Q12295" s="17"/>
      <c r="R12295" s="25" t="str">
        <f>HYPERLINK("https://ictv.global/taxonomy/taxondetails?taxnode_id=202301746","Alphanucleorhabdovirus maydis")</f>
        <v>Alphanucleorhabdovirus maydis</v>
      </c>
      <c r="S12295" s="18" t="s">
        <v>30</v>
      </c>
      <c r="T12295" s="18" t="s">
        <v>26193</v>
      </c>
      <c r="U12295" s="18" t="s">
        <v>26194</v>
      </c>
      <c r="V12295" s="18" t="s">
        <v>18179</v>
      </c>
      <c r="W12295" s="18" t="s">
        <v>26195</v>
      </c>
      <c r="X12295" s="18" t="s">
        <v>42</v>
      </c>
      <c r="Y12295" s="18" t="s">
        <v>23964</v>
      </c>
      <c r="Z12295" s="18" t="s">
        <v>13441</v>
      </c>
      <c r="AA12295" s="21" t="str">
        <f>HYPERLINK("https://www.ncbi.nlm.nih.gov/nuccore/AY618418","NCBI Nucleotide")</f>
        <v>NCBI Nucleotide</v>
      </c>
    </row>
    <row r="12296" spans="1:27" x14ac:dyDescent="0.35">
      <c r="A12296">
        <v>1010912</v>
      </c>
      <c r="B12296">
        <v>11576</v>
      </c>
      <c r="C12296">
        <v>1</v>
      </c>
      <c r="D12296" s="17" t="s">
        <v>17166</v>
      </c>
      <c r="E12296" s="17"/>
      <c r="F12296" s="17" t="s">
        <v>17246</v>
      </c>
      <c r="G12296" s="17"/>
      <c r="H12296" s="17" t="s">
        <v>23950</v>
      </c>
      <c r="I12296" s="17" t="s">
        <v>23956</v>
      </c>
      <c r="J12296" s="17" t="s">
        <v>24017</v>
      </c>
      <c r="K12296" s="17"/>
      <c r="L12296" s="17" t="s">
        <v>24262</v>
      </c>
      <c r="M12296" s="17"/>
      <c r="N12296" s="17" t="s">
        <v>25249</v>
      </c>
      <c r="O12296" s="17" t="s">
        <v>26171</v>
      </c>
      <c r="P12296" s="17" t="s">
        <v>26172</v>
      </c>
      <c r="Q12296" s="17"/>
      <c r="R12296" s="25" t="str">
        <f>HYPERLINK("https://ictv.global/taxonomy/taxondetails?taxnode_id=202301743","Alphanucleorhabdovirus melongenae")</f>
        <v>Alphanucleorhabdovirus melongenae</v>
      </c>
      <c r="S12296" s="18" t="s">
        <v>30</v>
      </c>
      <c r="T12296" s="18" t="s">
        <v>26196</v>
      </c>
      <c r="U12296" s="18" t="s">
        <v>26197</v>
      </c>
      <c r="V12296" s="18" t="s">
        <v>26198</v>
      </c>
      <c r="W12296" s="18" t="s">
        <v>26199</v>
      </c>
      <c r="X12296" s="18" t="s">
        <v>42</v>
      </c>
      <c r="Y12296" s="18" t="s">
        <v>23964</v>
      </c>
      <c r="Z12296" s="18" t="s">
        <v>13441</v>
      </c>
      <c r="AA12296" s="21" t="str">
        <f>HYPERLINK("https://www.ncbi.nlm.nih.gov/nuccore/KJ082087","NCBI Nucleotide")</f>
        <v>NCBI Nucleotide</v>
      </c>
    </row>
    <row r="12297" spans="1:27" x14ac:dyDescent="0.35">
      <c r="A12297">
        <v>1010913</v>
      </c>
      <c r="B12297">
        <v>11577</v>
      </c>
      <c r="C12297">
        <v>1</v>
      </c>
      <c r="D12297" s="17" t="s">
        <v>17166</v>
      </c>
      <c r="E12297" s="17"/>
      <c r="F12297" s="17" t="s">
        <v>17246</v>
      </c>
      <c r="G12297" s="17"/>
      <c r="H12297" s="17" t="s">
        <v>23950</v>
      </c>
      <c r="I12297" s="17" t="s">
        <v>23956</v>
      </c>
      <c r="J12297" s="17" t="s">
        <v>24017</v>
      </c>
      <c r="K12297" s="17"/>
      <c r="L12297" s="17" t="s">
        <v>24262</v>
      </c>
      <c r="M12297" s="17"/>
      <c r="N12297" s="17" t="s">
        <v>25249</v>
      </c>
      <c r="O12297" s="17" t="s">
        <v>26171</v>
      </c>
      <c r="P12297" s="17" t="s">
        <v>26172</v>
      </c>
      <c r="Q12297" s="17"/>
      <c r="R12297" s="25" t="str">
        <f>HYPERLINK("https://ictv.global/taxonomy/taxondetails?taxnode_id=202307683","Alphanucleorhabdovirus morogoromaydis")</f>
        <v>Alphanucleorhabdovirus morogoromaydis</v>
      </c>
      <c r="S12297" s="18" t="s">
        <v>30</v>
      </c>
      <c r="T12297" s="18" t="s">
        <v>26200</v>
      </c>
      <c r="U12297" s="18" t="s">
        <v>26201</v>
      </c>
      <c r="V12297" s="18" t="s">
        <v>26202</v>
      </c>
      <c r="W12297" s="18" t="s">
        <v>26203</v>
      </c>
      <c r="X12297" s="18" t="s">
        <v>42</v>
      </c>
      <c r="Y12297" s="18" t="s">
        <v>23964</v>
      </c>
      <c r="Z12297" s="18" t="s">
        <v>13441</v>
      </c>
      <c r="AA12297" s="21" t="str">
        <f>HYPERLINK("https://www.ncbi.nlm.nih.gov/nuccore/MK063878","NCBI Nucleotide")</f>
        <v>NCBI Nucleotide</v>
      </c>
    </row>
    <row r="12298" spans="1:27" x14ac:dyDescent="0.35">
      <c r="A12298">
        <v>1010914</v>
      </c>
      <c r="B12298">
        <v>11578</v>
      </c>
      <c r="C12298">
        <v>1</v>
      </c>
      <c r="D12298" s="17" t="s">
        <v>17166</v>
      </c>
      <c r="E12298" s="17"/>
      <c r="F12298" s="17" t="s">
        <v>17246</v>
      </c>
      <c r="G12298" s="17"/>
      <c r="H12298" s="17" t="s">
        <v>23950</v>
      </c>
      <c r="I12298" s="17" t="s">
        <v>23956</v>
      </c>
      <c r="J12298" s="17" t="s">
        <v>24017</v>
      </c>
      <c r="K12298" s="17"/>
      <c r="L12298" s="17" t="s">
        <v>24262</v>
      </c>
      <c r="M12298" s="17"/>
      <c r="N12298" s="17" t="s">
        <v>25249</v>
      </c>
      <c r="O12298" s="17" t="s">
        <v>26171</v>
      </c>
      <c r="P12298" s="17" t="s">
        <v>26172</v>
      </c>
      <c r="Q12298" s="17"/>
      <c r="R12298" s="25" t="str">
        <f>HYPERLINK("https://ictv.global/taxonomy/taxondetails?taxnode_id=202301748","Alphanucleorhabdovirus oryzae")</f>
        <v>Alphanucleorhabdovirus oryzae</v>
      </c>
      <c r="S12298" s="18" t="s">
        <v>30</v>
      </c>
      <c r="T12298" s="18" t="s">
        <v>26204</v>
      </c>
      <c r="U12298" s="18" t="s">
        <v>26205</v>
      </c>
      <c r="V12298" s="18" t="s">
        <v>17234</v>
      </c>
      <c r="W12298" s="18" t="s">
        <v>26206</v>
      </c>
      <c r="X12298" s="18" t="s">
        <v>42</v>
      </c>
      <c r="Y12298" s="18" t="s">
        <v>23964</v>
      </c>
      <c r="Z12298" s="18" t="s">
        <v>13441</v>
      </c>
      <c r="AA12298" s="21" t="str">
        <f>HYPERLINK("https://www.ncbi.nlm.nih.gov/nuccore/AB011257","NCBI Nucleotide")</f>
        <v>NCBI Nucleotide</v>
      </c>
    </row>
    <row r="12299" spans="1:27" x14ac:dyDescent="0.35">
      <c r="A12299">
        <v>1012887</v>
      </c>
      <c r="B12299">
        <v>11578</v>
      </c>
      <c r="C12299">
        <v>2</v>
      </c>
      <c r="D12299" s="17" t="s">
        <v>17166</v>
      </c>
      <c r="E12299" s="17"/>
      <c r="F12299" s="17" t="s">
        <v>17246</v>
      </c>
      <c r="G12299" s="17"/>
      <c r="H12299" s="17" t="s">
        <v>23950</v>
      </c>
      <c r="I12299" s="17" t="s">
        <v>23956</v>
      </c>
      <c r="J12299" s="17" t="s">
        <v>24017</v>
      </c>
      <c r="K12299" s="17"/>
      <c r="L12299" s="17" t="s">
        <v>24262</v>
      </c>
      <c r="M12299" s="17"/>
      <c r="N12299" s="17" t="s">
        <v>25249</v>
      </c>
      <c r="O12299" s="17" t="s">
        <v>26171</v>
      </c>
      <c r="P12299" s="17" t="s">
        <v>26172</v>
      </c>
      <c r="Q12299" s="17"/>
      <c r="R12299" s="25" t="str">
        <f>HYPERLINK("https://ictv.global/taxonomy/taxondetails?taxnode_id=202301748","Alphanucleorhabdovirus oryzae")</f>
        <v>Alphanucleorhabdovirus oryzae</v>
      </c>
      <c r="S12299" s="18" t="s">
        <v>8141</v>
      </c>
      <c r="T12299" s="18" t="s">
        <v>26227</v>
      </c>
      <c r="U12299" s="18" t="s">
        <v>26228</v>
      </c>
      <c r="V12299" s="18"/>
      <c r="W12299" s="18" t="s">
        <v>49443</v>
      </c>
      <c r="X12299" s="18" t="s">
        <v>42</v>
      </c>
      <c r="Y12299" s="18" t="s">
        <v>23964</v>
      </c>
      <c r="Z12299" s="18" t="s">
        <v>13441</v>
      </c>
      <c r="AA12299" s="21" t="str">
        <f>HYPERLINK("https://www.ncbi.nlm.nih.gov/nuccore/AB516283","NCBI Nucleotide")</f>
        <v>NCBI Nucleotide</v>
      </c>
    </row>
    <row r="12300" spans="1:27" x14ac:dyDescent="0.35">
      <c r="A12300">
        <v>1010915</v>
      </c>
      <c r="B12300">
        <v>11579</v>
      </c>
      <c r="C12300">
        <v>1</v>
      </c>
      <c r="D12300" s="17" t="s">
        <v>17166</v>
      </c>
      <c r="E12300" s="17"/>
      <c r="F12300" s="17" t="s">
        <v>17246</v>
      </c>
      <c r="G12300" s="17"/>
      <c r="H12300" s="17" t="s">
        <v>23950</v>
      </c>
      <c r="I12300" s="17" t="s">
        <v>23956</v>
      </c>
      <c r="J12300" s="17" t="s">
        <v>24017</v>
      </c>
      <c r="K12300" s="17"/>
      <c r="L12300" s="17" t="s">
        <v>24262</v>
      </c>
      <c r="M12300" s="17"/>
      <c r="N12300" s="17" t="s">
        <v>25249</v>
      </c>
      <c r="O12300" s="17" t="s">
        <v>26171</v>
      </c>
      <c r="P12300" s="17" t="s">
        <v>26172</v>
      </c>
      <c r="Q12300" s="17"/>
      <c r="R12300" s="25" t="str">
        <f>HYPERLINK("https://ictv.global/taxonomy/taxondetails?taxnode_id=202307684","Alphanucleorhabdovirus physostegiae")</f>
        <v>Alphanucleorhabdovirus physostegiae</v>
      </c>
      <c r="S12300" s="18" t="s">
        <v>30</v>
      </c>
      <c r="T12300" s="18" t="s">
        <v>26207</v>
      </c>
      <c r="U12300" s="18" t="s">
        <v>26208</v>
      </c>
      <c r="V12300" s="18" t="s">
        <v>26209</v>
      </c>
      <c r="W12300" s="18" t="s">
        <v>26210</v>
      </c>
      <c r="X12300" s="18" t="s">
        <v>42</v>
      </c>
      <c r="Y12300" s="18" t="s">
        <v>23964</v>
      </c>
      <c r="Z12300" s="18" t="s">
        <v>13441</v>
      </c>
      <c r="AA12300" s="21" t="str">
        <f>HYPERLINK("https://www.ncbi.nlm.nih.gov/nuccore/KX636164","NCBI Nucleotide")</f>
        <v>NCBI Nucleotide</v>
      </c>
    </row>
    <row r="12301" spans="1:27" x14ac:dyDescent="0.35">
      <c r="A12301">
        <v>1010916</v>
      </c>
      <c r="B12301">
        <v>11580</v>
      </c>
      <c r="C12301">
        <v>1</v>
      </c>
      <c r="D12301" s="17" t="s">
        <v>17166</v>
      </c>
      <c r="E12301" s="17"/>
      <c r="F12301" s="17" t="s">
        <v>17246</v>
      </c>
      <c r="G12301" s="17"/>
      <c r="H12301" s="17" t="s">
        <v>23950</v>
      </c>
      <c r="I12301" s="17" t="s">
        <v>23956</v>
      </c>
      <c r="J12301" s="17" t="s">
        <v>24017</v>
      </c>
      <c r="K12301" s="17"/>
      <c r="L12301" s="17" t="s">
        <v>24262</v>
      </c>
      <c r="M12301" s="17"/>
      <c r="N12301" s="17" t="s">
        <v>25249</v>
      </c>
      <c r="O12301" s="17" t="s">
        <v>26171</v>
      </c>
      <c r="P12301" s="17" t="s">
        <v>26172</v>
      </c>
      <c r="Q12301" s="17"/>
      <c r="R12301" s="25" t="str">
        <f>HYPERLINK("https://ictv.global/taxonomy/taxondetails?taxnode_id=202309364","Alphanucleorhabdovirus pruni")</f>
        <v>Alphanucleorhabdovirus pruni</v>
      </c>
      <c r="S12301" s="18" t="s">
        <v>30</v>
      </c>
      <c r="T12301" s="18" t="s">
        <v>26211</v>
      </c>
      <c r="U12301" s="18" t="s">
        <v>26212</v>
      </c>
      <c r="V12301" s="18" t="s">
        <v>26213</v>
      </c>
      <c r="W12301" s="18" t="s">
        <v>26214</v>
      </c>
      <c r="X12301" s="18" t="s">
        <v>42</v>
      </c>
      <c r="Y12301" s="18" t="s">
        <v>23964</v>
      </c>
      <c r="Z12301" s="18" t="s">
        <v>13441</v>
      </c>
      <c r="AA12301" s="21" t="str">
        <f>HYPERLINK("https://www.ncbi.nlm.nih.gov/nuccore/MN520414","NCBI Nucleotide")</f>
        <v>NCBI Nucleotide</v>
      </c>
    </row>
    <row r="12302" spans="1:27" x14ac:dyDescent="0.35">
      <c r="A12302">
        <v>1010917</v>
      </c>
      <c r="B12302">
        <v>11581</v>
      </c>
      <c r="C12302">
        <v>1</v>
      </c>
      <c r="D12302" s="17" t="s">
        <v>17166</v>
      </c>
      <c r="E12302" s="17"/>
      <c r="F12302" s="17" t="s">
        <v>17246</v>
      </c>
      <c r="G12302" s="17"/>
      <c r="H12302" s="17" t="s">
        <v>23950</v>
      </c>
      <c r="I12302" s="17" t="s">
        <v>23956</v>
      </c>
      <c r="J12302" s="17" t="s">
        <v>24017</v>
      </c>
      <c r="K12302" s="17"/>
      <c r="L12302" s="17" t="s">
        <v>24262</v>
      </c>
      <c r="M12302" s="17"/>
      <c r="N12302" s="17" t="s">
        <v>25249</v>
      </c>
      <c r="O12302" s="17" t="s">
        <v>26171</v>
      </c>
      <c r="P12302" s="17" t="s">
        <v>26172</v>
      </c>
      <c r="Q12302" s="17"/>
      <c r="R12302" s="25" t="str">
        <f>HYPERLINK("https://ictv.global/taxonomy/taxondetails?taxnode_id=202307682","Alphanucleorhabdovirus tritici")</f>
        <v>Alphanucleorhabdovirus tritici</v>
      </c>
      <c r="S12302" s="18" t="s">
        <v>30</v>
      </c>
      <c r="T12302" s="18" t="s">
        <v>26215</v>
      </c>
      <c r="U12302" s="18" t="s">
        <v>26216</v>
      </c>
      <c r="V12302" s="18" t="s">
        <v>26217</v>
      </c>
      <c r="W12302" s="18" t="s">
        <v>26218</v>
      </c>
      <c r="X12302" s="18" t="s">
        <v>42</v>
      </c>
      <c r="Y12302" s="18" t="s">
        <v>23964</v>
      </c>
      <c r="Z12302" s="18" t="s">
        <v>13441</v>
      </c>
      <c r="AA12302" s="21" t="str">
        <f>HYPERLINK("https://www.ncbi.nlm.nih.gov/nuccore/MG604920","NCBI Nucleotide")</f>
        <v>NCBI Nucleotide</v>
      </c>
    </row>
    <row r="12303" spans="1:27" x14ac:dyDescent="0.35">
      <c r="A12303">
        <v>1010918</v>
      </c>
      <c r="B12303">
        <v>11582</v>
      </c>
      <c r="C12303">
        <v>1</v>
      </c>
      <c r="D12303" s="17" t="s">
        <v>17166</v>
      </c>
      <c r="E12303" s="17"/>
      <c r="F12303" s="17" t="s">
        <v>17246</v>
      </c>
      <c r="G12303" s="17"/>
      <c r="H12303" s="17" t="s">
        <v>23950</v>
      </c>
      <c r="I12303" s="17" t="s">
        <v>23956</v>
      </c>
      <c r="J12303" s="17" t="s">
        <v>24017</v>
      </c>
      <c r="K12303" s="17"/>
      <c r="L12303" s="17" t="s">
        <v>24262</v>
      </c>
      <c r="M12303" s="17"/>
      <c r="N12303" s="17" t="s">
        <v>25249</v>
      </c>
      <c r="O12303" s="17" t="s">
        <v>26171</v>
      </c>
      <c r="P12303" s="17" t="s">
        <v>26172</v>
      </c>
      <c r="Q12303" s="17"/>
      <c r="R12303" s="25" t="str">
        <f>HYPERLINK("https://ictv.global/taxonomy/taxondetails?taxnode_id=202301747","Alphanucleorhabdovirus tuberosum")</f>
        <v>Alphanucleorhabdovirus tuberosum</v>
      </c>
      <c r="S12303" s="18" t="s">
        <v>30</v>
      </c>
      <c r="T12303" s="18" t="s">
        <v>26219</v>
      </c>
      <c r="U12303" s="18" t="s">
        <v>26220</v>
      </c>
      <c r="V12303" s="18" t="s">
        <v>26221</v>
      </c>
      <c r="W12303" s="18" t="s">
        <v>26222</v>
      </c>
      <c r="X12303" s="18" t="s">
        <v>42</v>
      </c>
      <c r="Y12303" s="18" t="s">
        <v>23964</v>
      </c>
      <c r="Z12303" s="18" t="s">
        <v>13441</v>
      </c>
      <c r="AA12303" s="21" t="str">
        <f>HYPERLINK("https://www.ncbi.nlm.nih.gov/nuccore/GU734660","NCBI Nucleotide")</f>
        <v>NCBI Nucleotide</v>
      </c>
    </row>
    <row r="12304" spans="1:27" x14ac:dyDescent="0.35">
      <c r="A12304">
        <v>1027638</v>
      </c>
      <c r="B12304">
        <v>11583</v>
      </c>
      <c r="C12304">
        <v>1</v>
      </c>
      <c r="D12304" s="17" t="s">
        <v>17166</v>
      </c>
      <c r="E12304" s="17"/>
      <c r="F12304" s="17" t="s">
        <v>17246</v>
      </c>
      <c r="G12304" s="17"/>
      <c r="H12304" s="17" t="s">
        <v>23950</v>
      </c>
      <c r="I12304" s="17" t="s">
        <v>23956</v>
      </c>
      <c r="J12304" s="17" t="s">
        <v>24017</v>
      </c>
      <c r="K12304" s="17"/>
      <c r="L12304" s="17" t="s">
        <v>24262</v>
      </c>
      <c r="M12304" s="17"/>
      <c r="N12304" s="17" t="s">
        <v>25249</v>
      </c>
      <c r="O12304" s="17" t="s">
        <v>26171</v>
      </c>
      <c r="P12304" s="17" t="s">
        <v>26172</v>
      </c>
      <c r="Q12304" s="17"/>
      <c r="R12304" s="25" t="str">
        <f>HYPERLINK("https://ictv.global/taxonomy/taxondetails?taxnode_id=202318285","Alphanucleorhabdovirus xinjianensis")</f>
        <v>Alphanucleorhabdovirus xinjianensis</v>
      </c>
      <c r="S12304" s="18" t="s">
        <v>30</v>
      </c>
      <c r="T12304" s="18" t="s">
        <v>46737</v>
      </c>
      <c r="U12304" s="18" t="s">
        <v>46738</v>
      </c>
      <c r="V12304" s="18" t="s">
        <v>46739</v>
      </c>
      <c r="W12304" s="18" t="s">
        <v>46740</v>
      </c>
      <c r="X12304" s="18" t="s">
        <v>35</v>
      </c>
      <c r="Y12304" s="18" t="s">
        <v>23964</v>
      </c>
      <c r="Z12304" s="18" t="s">
        <v>24637</v>
      </c>
      <c r="AA12304" s="21" t="str">
        <f>HYPERLINK("https://www.ncbi.nlm.nih.gov/nuccore/MW897039","NCBI Nucleotide")</f>
        <v>NCBI Nucleotide</v>
      </c>
    </row>
    <row r="12305" spans="1:27" x14ac:dyDescent="0.35">
      <c r="A12305">
        <v>1010919</v>
      </c>
      <c r="B12305">
        <v>11584</v>
      </c>
      <c r="C12305">
        <v>1</v>
      </c>
      <c r="D12305" s="17" t="s">
        <v>17166</v>
      </c>
      <c r="E12305" s="17"/>
      <c r="F12305" s="17" t="s">
        <v>17246</v>
      </c>
      <c r="G12305" s="17"/>
      <c r="H12305" s="17" t="s">
        <v>23950</v>
      </c>
      <c r="I12305" s="17" t="s">
        <v>23956</v>
      </c>
      <c r="J12305" s="17" t="s">
        <v>24017</v>
      </c>
      <c r="K12305" s="17"/>
      <c r="L12305" s="17" t="s">
        <v>24262</v>
      </c>
      <c r="M12305" s="17"/>
      <c r="N12305" s="17" t="s">
        <v>25249</v>
      </c>
      <c r="O12305" s="17" t="s">
        <v>26171</v>
      </c>
      <c r="P12305" s="17" t="s">
        <v>26172</v>
      </c>
      <c r="Q12305" s="17"/>
      <c r="R12305" s="25" t="str">
        <f>HYPERLINK("https://ictv.global/taxonomy/taxondetails?taxnode_id=202301745","Alphanucleorhabdovirus zeairanense")</f>
        <v>Alphanucleorhabdovirus zeairanense</v>
      </c>
      <c r="S12305" s="18" t="s">
        <v>30</v>
      </c>
      <c r="T12305" s="18" t="s">
        <v>26223</v>
      </c>
      <c r="U12305" s="18" t="s">
        <v>26224</v>
      </c>
      <c r="V12305" s="18" t="s">
        <v>26225</v>
      </c>
      <c r="W12305" s="18" t="s">
        <v>26226</v>
      </c>
      <c r="X12305" s="18" t="s">
        <v>42</v>
      </c>
      <c r="Y12305" s="18" t="s">
        <v>23964</v>
      </c>
      <c r="Z12305" s="18" t="s">
        <v>13441</v>
      </c>
      <c r="AA12305" s="21" t="str">
        <f>HYPERLINK("https://www.ncbi.nlm.nih.gov/nuccore/MF102281","NCBI Nucleotide")</f>
        <v>NCBI Nucleotide</v>
      </c>
    </row>
    <row r="12306" spans="1:27" x14ac:dyDescent="0.35">
      <c r="A12306">
        <v>1027640</v>
      </c>
      <c r="B12306">
        <v>11585</v>
      </c>
      <c r="C12306">
        <v>1</v>
      </c>
      <c r="D12306" s="17" t="s">
        <v>17166</v>
      </c>
      <c r="E12306" s="17"/>
      <c r="F12306" s="17" t="s">
        <v>17246</v>
      </c>
      <c r="G12306" s="17"/>
      <c r="H12306" s="17" t="s">
        <v>23950</v>
      </c>
      <c r="I12306" s="17" t="s">
        <v>23956</v>
      </c>
      <c r="J12306" s="17" t="s">
        <v>24017</v>
      </c>
      <c r="K12306" s="17"/>
      <c r="L12306" s="17" t="s">
        <v>24262</v>
      </c>
      <c r="M12306" s="17"/>
      <c r="N12306" s="17" t="s">
        <v>25249</v>
      </c>
      <c r="O12306" s="17" t="s">
        <v>26171</v>
      </c>
      <c r="P12306" s="17" t="s">
        <v>46741</v>
      </c>
      <c r="Q12306" s="17"/>
      <c r="R12306" s="25" t="str">
        <f>HYPERLINK("https://ictv.global/taxonomy/taxondetails?taxnode_id=202317796","Betagymnorhavirus torreyae")</f>
        <v>Betagymnorhavirus torreyae</v>
      </c>
      <c r="S12306" s="18" t="s">
        <v>30</v>
      </c>
      <c r="T12306" s="18" t="s">
        <v>46742</v>
      </c>
      <c r="U12306" s="18" t="s">
        <v>46743</v>
      </c>
      <c r="V12306" s="18" t="s">
        <v>46744</v>
      </c>
      <c r="W12306" s="18" t="s">
        <v>46745</v>
      </c>
      <c r="X12306" s="18" t="s">
        <v>35</v>
      </c>
      <c r="Y12306" s="18" t="s">
        <v>23964</v>
      </c>
      <c r="Z12306" s="18" t="s">
        <v>13441</v>
      </c>
      <c r="AA12306" s="21" t="str">
        <f>HYPERLINK("https://www.ncbi.nlm.nih.gov/nuccore/BK061818","NCBI Nucleotide")</f>
        <v>NCBI Nucleotide</v>
      </c>
    </row>
    <row r="12307" spans="1:27" x14ac:dyDescent="0.35">
      <c r="A12307">
        <v>1027642</v>
      </c>
      <c r="B12307">
        <v>11586</v>
      </c>
      <c r="C12307">
        <v>1</v>
      </c>
      <c r="D12307" s="17" t="s">
        <v>17166</v>
      </c>
      <c r="E12307" s="17"/>
      <c r="F12307" s="17" t="s">
        <v>17246</v>
      </c>
      <c r="G12307" s="17"/>
      <c r="H12307" s="17" t="s">
        <v>23950</v>
      </c>
      <c r="I12307" s="17" t="s">
        <v>23956</v>
      </c>
      <c r="J12307" s="17" t="s">
        <v>24017</v>
      </c>
      <c r="K12307" s="17"/>
      <c r="L12307" s="17" t="s">
        <v>24262</v>
      </c>
      <c r="M12307" s="17"/>
      <c r="N12307" s="17" t="s">
        <v>25249</v>
      </c>
      <c r="O12307" s="17" t="s">
        <v>26171</v>
      </c>
      <c r="P12307" s="17" t="s">
        <v>26229</v>
      </c>
      <c r="Q12307" s="17"/>
      <c r="R12307" s="25" t="str">
        <f>HYPERLINK("https://ictv.global/taxonomy/taxondetails?taxnode_id=202318288","Betanucleorhabdovirus alphalycopersici")</f>
        <v>Betanucleorhabdovirus alphalycopersici</v>
      </c>
      <c r="S12307" s="18" t="s">
        <v>30</v>
      </c>
      <c r="T12307" s="18" t="s">
        <v>46746</v>
      </c>
      <c r="U12307" s="18" t="s">
        <v>46747</v>
      </c>
      <c r="V12307" s="18" t="s">
        <v>46748</v>
      </c>
      <c r="W12307" s="18" t="s">
        <v>46749</v>
      </c>
      <c r="X12307" s="18" t="s">
        <v>35</v>
      </c>
      <c r="Y12307" s="18" t="s">
        <v>23964</v>
      </c>
      <c r="Z12307" s="18" t="s">
        <v>13441</v>
      </c>
      <c r="AA12307" s="21" t="str">
        <f>HYPERLINK("https://www.ncbi.nlm.nih.gov/nuccore/OL472119","NCBI Nucleotide")</f>
        <v>NCBI Nucleotide</v>
      </c>
    </row>
    <row r="12308" spans="1:27" x14ac:dyDescent="0.35">
      <c r="A12308">
        <v>1010920</v>
      </c>
      <c r="B12308">
        <v>11587</v>
      </c>
      <c r="C12308">
        <v>1</v>
      </c>
      <c r="D12308" s="17" t="s">
        <v>17166</v>
      </c>
      <c r="E12308" s="17"/>
      <c r="F12308" s="17" t="s">
        <v>17246</v>
      </c>
      <c r="G12308" s="17"/>
      <c r="H12308" s="17" t="s">
        <v>23950</v>
      </c>
      <c r="I12308" s="17" t="s">
        <v>23956</v>
      </c>
      <c r="J12308" s="17" t="s">
        <v>24017</v>
      </c>
      <c r="K12308" s="17"/>
      <c r="L12308" s="17" t="s">
        <v>24262</v>
      </c>
      <c r="M12308" s="17"/>
      <c r="N12308" s="17" t="s">
        <v>25249</v>
      </c>
      <c r="O12308" s="17" t="s">
        <v>26171</v>
      </c>
      <c r="P12308" s="17" t="s">
        <v>26229</v>
      </c>
      <c r="Q12308" s="17"/>
      <c r="R12308" s="25" t="str">
        <f>HYPERLINK("https://ictv.global/taxonomy/taxondetails?taxnode_id=202314141","Betanucleorhabdovirus asclepiadis")</f>
        <v>Betanucleorhabdovirus asclepiadis</v>
      </c>
      <c r="S12308" s="18" t="s">
        <v>30</v>
      </c>
      <c r="T12308" s="18" t="s">
        <v>26230</v>
      </c>
      <c r="U12308" s="18" t="s">
        <v>26231</v>
      </c>
      <c r="V12308" s="18" t="s">
        <v>26232</v>
      </c>
      <c r="W12308" s="18" t="s">
        <v>26233</v>
      </c>
      <c r="X12308" s="18" t="s">
        <v>35</v>
      </c>
      <c r="Y12308" s="18" t="s">
        <v>23964</v>
      </c>
      <c r="Z12308" s="18" t="s">
        <v>13441</v>
      </c>
      <c r="AA12308" s="21" t="str">
        <f>HYPERLINK("https://www.ncbi.nlm.nih.gov/nuccore/BK014299","NCBI Nucleotide")</f>
        <v>NCBI Nucleotide</v>
      </c>
    </row>
    <row r="12309" spans="1:27" x14ac:dyDescent="0.35">
      <c r="A12309">
        <v>1010921</v>
      </c>
      <c r="B12309">
        <v>11588</v>
      </c>
      <c r="C12309">
        <v>1</v>
      </c>
      <c r="D12309" s="17" t="s">
        <v>17166</v>
      </c>
      <c r="E12309" s="17"/>
      <c r="F12309" s="17" t="s">
        <v>17246</v>
      </c>
      <c r="G12309" s="17"/>
      <c r="H12309" s="17" t="s">
        <v>23950</v>
      </c>
      <c r="I12309" s="17" t="s">
        <v>23956</v>
      </c>
      <c r="J12309" s="17" t="s">
        <v>24017</v>
      </c>
      <c r="K12309" s="17"/>
      <c r="L12309" s="17" t="s">
        <v>24262</v>
      </c>
      <c r="M12309" s="17"/>
      <c r="N12309" s="17" t="s">
        <v>25249</v>
      </c>
      <c r="O12309" s="17" t="s">
        <v>26171</v>
      </c>
      <c r="P12309" s="17" t="s">
        <v>26229</v>
      </c>
      <c r="Q12309" s="17"/>
      <c r="R12309" s="25" t="str">
        <f>HYPERLINK("https://ictv.global/taxonomy/taxondetails?taxnode_id=202313307","Betanucleorhabdovirus bacopae")</f>
        <v>Betanucleorhabdovirus bacopae</v>
      </c>
      <c r="S12309" s="18" t="s">
        <v>30</v>
      </c>
      <c r="T12309" s="18" t="s">
        <v>26234</v>
      </c>
      <c r="U12309" s="18" t="s">
        <v>26235</v>
      </c>
      <c r="V12309" s="18" t="s">
        <v>26236</v>
      </c>
      <c r="W12309" s="18" t="s">
        <v>26237</v>
      </c>
      <c r="X12309" s="18" t="s">
        <v>35</v>
      </c>
      <c r="Y12309" s="18" t="s">
        <v>23964</v>
      </c>
      <c r="Z12309" s="18" t="s">
        <v>13441</v>
      </c>
      <c r="AA12309" s="21" t="str">
        <f>HYPERLINK("https://www.ncbi.nlm.nih.gov/nuccore/BK014480","NCBI Nucleotide")</f>
        <v>NCBI Nucleotide</v>
      </c>
    </row>
    <row r="12310" spans="1:27" x14ac:dyDescent="0.35">
      <c r="A12310">
        <v>1027643</v>
      </c>
      <c r="B12310">
        <v>11589</v>
      </c>
      <c r="C12310">
        <v>1</v>
      </c>
      <c r="D12310" s="17" t="s">
        <v>17166</v>
      </c>
      <c r="E12310" s="17"/>
      <c r="F12310" s="17" t="s">
        <v>17246</v>
      </c>
      <c r="G12310" s="17"/>
      <c r="H12310" s="17" t="s">
        <v>23950</v>
      </c>
      <c r="I12310" s="17" t="s">
        <v>23956</v>
      </c>
      <c r="J12310" s="17" t="s">
        <v>24017</v>
      </c>
      <c r="K12310" s="17"/>
      <c r="L12310" s="17" t="s">
        <v>24262</v>
      </c>
      <c r="M12310" s="17"/>
      <c r="N12310" s="17" t="s">
        <v>25249</v>
      </c>
      <c r="O12310" s="17" t="s">
        <v>26171</v>
      </c>
      <c r="P12310" s="17" t="s">
        <v>26229</v>
      </c>
      <c r="Q12310" s="17"/>
      <c r="R12310" s="25" t="str">
        <f>HYPERLINK("https://ictv.global/taxonomy/taxondetails?taxnode_id=202318289","Betanucleorhabdovirus betalycopersici")</f>
        <v>Betanucleorhabdovirus betalycopersici</v>
      </c>
      <c r="S12310" s="18" t="s">
        <v>30</v>
      </c>
      <c r="T12310" s="18" t="s">
        <v>46750</v>
      </c>
      <c r="U12310" s="18" t="s">
        <v>46751</v>
      </c>
      <c r="V12310" s="18" t="s">
        <v>46752</v>
      </c>
      <c r="W12310" s="18" t="s">
        <v>46753</v>
      </c>
      <c r="X12310" s="18" t="s">
        <v>35</v>
      </c>
      <c r="Y12310" s="18" t="s">
        <v>23964</v>
      </c>
      <c r="Z12310" s="18" t="s">
        <v>13441</v>
      </c>
      <c r="AA12310" s="21" t="str">
        <f>HYPERLINK("https://www.ncbi.nlm.nih.gov/nuccore/OL472114","NCBI Nucleotide")</f>
        <v>NCBI Nucleotide</v>
      </c>
    </row>
    <row r="12311" spans="1:27" x14ac:dyDescent="0.35">
      <c r="A12311">
        <v>1010922</v>
      </c>
      <c r="B12311">
        <v>11590</v>
      </c>
      <c r="C12311">
        <v>1</v>
      </c>
      <c r="D12311" s="17" t="s">
        <v>17166</v>
      </c>
      <c r="E12311" s="17"/>
      <c r="F12311" s="17" t="s">
        <v>17246</v>
      </c>
      <c r="G12311" s="17"/>
      <c r="H12311" s="17" t="s">
        <v>23950</v>
      </c>
      <c r="I12311" s="17" t="s">
        <v>23956</v>
      </c>
      <c r="J12311" s="17" t="s">
        <v>24017</v>
      </c>
      <c r="K12311" s="17"/>
      <c r="L12311" s="17" t="s">
        <v>24262</v>
      </c>
      <c r="M12311" s="17"/>
      <c r="N12311" s="17" t="s">
        <v>25249</v>
      </c>
      <c r="O12311" s="17" t="s">
        <v>26171</v>
      </c>
      <c r="P12311" s="17" t="s">
        <v>26229</v>
      </c>
      <c r="Q12311" s="17"/>
      <c r="R12311" s="25" t="str">
        <f>HYPERLINK("https://ictv.global/taxonomy/taxondetails?taxnode_id=202309366","Betanucleorhabdovirus cardamomi")</f>
        <v>Betanucleorhabdovirus cardamomi</v>
      </c>
      <c r="S12311" s="18" t="s">
        <v>30</v>
      </c>
      <c r="T12311" s="18" t="s">
        <v>26238</v>
      </c>
      <c r="U12311" s="18" t="s">
        <v>26239</v>
      </c>
      <c r="V12311" s="18" t="s">
        <v>26240</v>
      </c>
      <c r="W12311" s="18" t="s">
        <v>26241</v>
      </c>
      <c r="X12311" s="18" t="s">
        <v>35</v>
      </c>
      <c r="Y12311" s="18" t="s">
        <v>23964</v>
      </c>
      <c r="Z12311" s="18" t="s">
        <v>13441</v>
      </c>
      <c r="AA12311" s="21" t="str">
        <f>HYPERLINK("https://www.ncbi.nlm.nih.gov/nuccore/MN273311","NCBI Nucleotide")</f>
        <v>NCBI Nucleotide</v>
      </c>
    </row>
    <row r="12312" spans="1:27" x14ac:dyDescent="0.35">
      <c r="A12312">
        <v>1010923</v>
      </c>
      <c r="B12312">
        <v>11591</v>
      </c>
      <c r="C12312">
        <v>1</v>
      </c>
      <c r="D12312" s="17" t="s">
        <v>17166</v>
      </c>
      <c r="E12312" s="17"/>
      <c r="F12312" s="17" t="s">
        <v>17246</v>
      </c>
      <c r="G12312" s="17"/>
      <c r="H12312" s="17" t="s">
        <v>23950</v>
      </c>
      <c r="I12312" s="17" t="s">
        <v>23956</v>
      </c>
      <c r="J12312" s="17" t="s">
        <v>24017</v>
      </c>
      <c r="K12312" s="17"/>
      <c r="L12312" s="17" t="s">
        <v>24262</v>
      </c>
      <c r="M12312" s="17"/>
      <c r="N12312" s="17" t="s">
        <v>25249</v>
      </c>
      <c r="O12312" s="17" t="s">
        <v>26171</v>
      </c>
      <c r="P12312" s="17" t="s">
        <v>26229</v>
      </c>
      <c r="Q12312" s="17"/>
      <c r="R12312" s="25" t="str">
        <f>HYPERLINK("https://ictv.global/taxonomy/taxondetails?taxnode_id=202314142","Betanucleorhabdovirus cnidii")</f>
        <v>Betanucleorhabdovirus cnidii</v>
      </c>
      <c r="S12312" s="18" t="s">
        <v>30</v>
      </c>
      <c r="T12312" s="18" t="s">
        <v>26242</v>
      </c>
      <c r="U12312" s="18" t="s">
        <v>26243</v>
      </c>
      <c r="V12312" s="18" t="s">
        <v>19294</v>
      </c>
      <c r="W12312" s="18" t="s">
        <v>26244</v>
      </c>
      <c r="X12312" s="18" t="s">
        <v>42</v>
      </c>
      <c r="Y12312" s="18" t="s">
        <v>23964</v>
      </c>
      <c r="Z12312" s="18" t="s">
        <v>13441</v>
      </c>
      <c r="AA12312" s="21" t="str">
        <f>HYPERLINK("https://www.ncbi.nlm.nih.gov/nuccore/MZ983390","NCBI Nucleotide")</f>
        <v>NCBI Nucleotide</v>
      </c>
    </row>
    <row r="12313" spans="1:27" x14ac:dyDescent="0.35">
      <c r="A12313">
        <v>1010924</v>
      </c>
      <c r="B12313">
        <v>11592</v>
      </c>
      <c r="C12313">
        <v>1</v>
      </c>
      <c r="D12313" s="17" t="s">
        <v>17166</v>
      </c>
      <c r="E12313" s="17"/>
      <c r="F12313" s="17" t="s">
        <v>17246</v>
      </c>
      <c r="G12313" s="17"/>
      <c r="H12313" s="17" t="s">
        <v>23950</v>
      </c>
      <c r="I12313" s="17" t="s">
        <v>23956</v>
      </c>
      <c r="J12313" s="17" t="s">
        <v>24017</v>
      </c>
      <c r="K12313" s="17"/>
      <c r="L12313" s="17" t="s">
        <v>24262</v>
      </c>
      <c r="M12313" s="17"/>
      <c r="N12313" s="17" t="s">
        <v>25249</v>
      </c>
      <c r="O12313" s="17" t="s">
        <v>26171</v>
      </c>
      <c r="P12313" s="17" t="s">
        <v>26229</v>
      </c>
      <c r="Q12313" s="17"/>
      <c r="R12313" s="25" t="str">
        <f>HYPERLINK("https://ictv.global/taxonomy/taxondetails?taxnode_id=202301742","Betanucleorhabdovirus daturae")</f>
        <v>Betanucleorhabdovirus daturae</v>
      </c>
      <c r="S12313" s="18" t="s">
        <v>30</v>
      </c>
      <c r="T12313" s="18" t="s">
        <v>26245</v>
      </c>
      <c r="U12313" s="18" t="s">
        <v>26246</v>
      </c>
      <c r="V12313" s="18" t="s">
        <v>13887</v>
      </c>
      <c r="W12313" s="18" t="s">
        <v>26247</v>
      </c>
      <c r="X12313" s="18" t="s">
        <v>42</v>
      </c>
      <c r="Y12313" s="18" t="s">
        <v>23964</v>
      </c>
      <c r="Z12313" s="18" t="s">
        <v>13441</v>
      </c>
      <c r="AA12313" s="21" t="str">
        <f>HYPERLINK("https://www.ncbi.nlm.nih.gov/nuccore/KM823531","NCBI Nucleotide")</f>
        <v>NCBI Nucleotide</v>
      </c>
    </row>
    <row r="12314" spans="1:27" x14ac:dyDescent="0.35">
      <c r="A12314">
        <v>1010925</v>
      </c>
      <c r="B12314">
        <v>11593</v>
      </c>
      <c r="C12314">
        <v>1</v>
      </c>
      <c r="D12314" s="17" t="s">
        <v>17166</v>
      </c>
      <c r="E12314" s="17"/>
      <c r="F12314" s="17" t="s">
        <v>17246</v>
      </c>
      <c r="G12314" s="17"/>
      <c r="H12314" s="17" t="s">
        <v>23950</v>
      </c>
      <c r="I12314" s="17" t="s">
        <v>23956</v>
      </c>
      <c r="J12314" s="17" t="s">
        <v>24017</v>
      </c>
      <c r="K12314" s="17"/>
      <c r="L12314" s="17" t="s">
        <v>24262</v>
      </c>
      <c r="M12314" s="17"/>
      <c r="N12314" s="17" t="s">
        <v>25249</v>
      </c>
      <c r="O12314" s="17" t="s">
        <v>26171</v>
      </c>
      <c r="P12314" s="17" t="s">
        <v>26229</v>
      </c>
      <c r="Q12314" s="17"/>
      <c r="R12314" s="25" t="str">
        <f>HYPERLINK("https://ictv.global/taxonomy/taxondetails?taxnode_id=202307687","Betanucleorhabdovirus loti")</f>
        <v>Betanucleorhabdovirus loti</v>
      </c>
      <c r="S12314" s="18" t="s">
        <v>30</v>
      </c>
      <c r="T12314" s="18" t="s">
        <v>26248</v>
      </c>
      <c r="U12314" s="18" t="s">
        <v>26249</v>
      </c>
      <c r="V12314" s="18" t="s">
        <v>26250</v>
      </c>
      <c r="W12314" s="18" t="s">
        <v>26251</v>
      </c>
      <c r="X12314" s="18" t="s">
        <v>42</v>
      </c>
      <c r="Y12314" s="18" t="s">
        <v>23964</v>
      </c>
      <c r="Z12314" s="18" t="s">
        <v>13441</v>
      </c>
      <c r="AA12314" s="21" t="str">
        <f>HYPERLINK("https://www.ncbi.nlm.nih.gov/nuccore/BK010826","NCBI Nucleotide")</f>
        <v>NCBI Nucleotide</v>
      </c>
    </row>
    <row r="12315" spans="1:27" x14ac:dyDescent="0.35">
      <c r="A12315">
        <v>1010926</v>
      </c>
      <c r="B12315">
        <v>11594</v>
      </c>
      <c r="C12315">
        <v>1</v>
      </c>
      <c r="D12315" s="17" t="s">
        <v>17166</v>
      </c>
      <c r="E12315" s="17"/>
      <c r="F12315" s="17" t="s">
        <v>17246</v>
      </c>
      <c r="G12315" s="17"/>
      <c r="H12315" s="17" t="s">
        <v>23950</v>
      </c>
      <c r="I12315" s="17" t="s">
        <v>23956</v>
      </c>
      <c r="J12315" s="17" t="s">
        <v>24017</v>
      </c>
      <c r="K12315" s="17"/>
      <c r="L12315" s="17" t="s">
        <v>24262</v>
      </c>
      <c r="M12315" s="17"/>
      <c r="N12315" s="17" t="s">
        <v>25249</v>
      </c>
      <c r="O12315" s="17" t="s">
        <v>26171</v>
      </c>
      <c r="P12315" s="17" t="s">
        <v>26229</v>
      </c>
      <c r="Q12315" s="17"/>
      <c r="R12315" s="25" t="str">
        <f>HYPERLINK("https://ictv.global/taxonomy/taxondetails?taxnode_id=202309367","Betanucleorhabdovirus mali")</f>
        <v>Betanucleorhabdovirus mali</v>
      </c>
      <c r="S12315" s="18" t="s">
        <v>30</v>
      </c>
      <c r="T12315" s="18" t="s">
        <v>26252</v>
      </c>
      <c r="U12315" s="18" t="s">
        <v>26253</v>
      </c>
      <c r="V12315" s="18"/>
      <c r="W12315" s="18" t="s">
        <v>26254</v>
      </c>
      <c r="X12315" s="18" t="s">
        <v>42</v>
      </c>
      <c r="Y12315" s="18" t="s">
        <v>23964</v>
      </c>
      <c r="Z12315" s="18" t="s">
        <v>13441</v>
      </c>
      <c r="AA12315" s="21" t="str">
        <f>HYPERLINK("https://www.ncbi.nlm.nih.gov/nuccore/MH778545","NCBI Nucleotide")</f>
        <v>NCBI Nucleotide</v>
      </c>
    </row>
    <row r="12316" spans="1:27" x14ac:dyDescent="0.35">
      <c r="A12316">
        <v>1010927</v>
      </c>
      <c r="B12316">
        <v>11595</v>
      </c>
      <c r="C12316">
        <v>1</v>
      </c>
      <c r="D12316" s="17" t="s">
        <v>17166</v>
      </c>
      <c r="E12316" s="17"/>
      <c r="F12316" s="17" t="s">
        <v>17246</v>
      </c>
      <c r="G12316" s="17"/>
      <c r="H12316" s="17" t="s">
        <v>23950</v>
      </c>
      <c r="I12316" s="17" t="s">
        <v>23956</v>
      </c>
      <c r="J12316" s="17" t="s">
        <v>24017</v>
      </c>
      <c r="K12316" s="17"/>
      <c r="L12316" s="17" t="s">
        <v>24262</v>
      </c>
      <c r="M12316" s="17"/>
      <c r="N12316" s="17" t="s">
        <v>25249</v>
      </c>
      <c r="O12316" s="17" t="s">
        <v>26171</v>
      </c>
      <c r="P12316" s="17" t="s">
        <v>26229</v>
      </c>
      <c r="Q12316" s="17"/>
      <c r="R12316" s="25" t="str">
        <f>HYPERLINK("https://ictv.global/taxonomy/taxondetails?taxnode_id=202307688","Betanucleorhabdovirus medicagonis")</f>
        <v>Betanucleorhabdovirus medicagonis</v>
      </c>
      <c r="S12316" s="18" t="s">
        <v>30</v>
      </c>
      <c r="T12316" s="18" t="s">
        <v>26255</v>
      </c>
      <c r="U12316" s="18" t="s">
        <v>26256</v>
      </c>
      <c r="V12316" s="18" t="s">
        <v>26257</v>
      </c>
      <c r="W12316" s="18" t="s">
        <v>26258</v>
      </c>
      <c r="X12316" s="18" t="s">
        <v>42</v>
      </c>
      <c r="Y12316" s="18" t="s">
        <v>23964</v>
      </c>
      <c r="Z12316" s="18" t="s">
        <v>13441</v>
      </c>
      <c r="AA12316" s="21" t="str">
        <f>HYPERLINK("https://www.ncbi.nlm.nih.gov/nuccore/MG948563","NCBI Nucleotide")</f>
        <v>NCBI Nucleotide</v>
      </c>
    </row>
    <row r="12317" spans="1:27" x14ac:dyDescent="0.35">
      <c r="A12317">
        <v>1027644</v>
      </c>
      <c r="B12317">
        <v>11596</v>
      </c>
      <c r="C12317">
        <v>1</v>
      </c>
      <c r="D12317" s="17" t="s">
        <v>17166</v>
      </c>
      <c r="E12317" s="17"/>
      <c r="F12317" s="17" t="s">
        <v>17246</v>
      </c>
      <c r="G12317" s="17"/>
      <c r="H12317" s="17" t="s">
        <v>23950</v>
      </c>
      <c r="I12317" s="17" t="s">
        <v>23956</v>
      </c>
      <c r="J12317" s="17" t="s">
        <v>24017</v>
      </c>
      <c r="K12317" s="17"/>
      <c r="L12317" s="17" t="s">
        <v>24262</v>
      </c>
      <c r="M12317" s="17"/>
      <c r="N12317" s="17" t="s">
        <v>25249</v>
      </c>
      <c r="O12317" s="17" t="s">
        <v>26171</v>
      </c>
      <c r="P12317" s="17" t="s">
        <v>26229</v>
      </c>
      <c r="Q12317" s="17"/>
      <c r="R12317" s="25" t="str">
        <f>HYPERLINK("https://ictv.global/taxonomy/taxondetails?taxnode_id=202318286","Betanucleorhabdovirus picridis")</f>
        <v>Betanucleorhabdovirus picridis</v>
      </c>
      <c r="S12317" s="18" t="s">
        <v>30</v>
      </c>
      <c r="T12317" s="18" t="s">
        <v>46754</v>
      </c>
      <c r="U12317" s="18" t="s">
        <v>46755</v>
      </c>
      <c r="V12317" s="18" t="s">
        <v>46756</v>
      </c>
      <c r="W12317" s="18" t="s">
        <v>46757</v>
      </c>
      <c r="X12317" s="18" t="s">
        <v>35</v>
      </c>
      <c r="Y12317" s="18" t="s">
        <v>23964</v>
      </c>
      <c r="Z12317" s="18" t="s">
        <v>13441</v>
      </c>
      <c r="AA12317" s="21" t="str">
        <f>HYPERLINK("https://www.ncbi.nlm.nih.gov/nuccore/OL472117","NCBI Nucleotide")</f>
        <v>NCBI Nucleotide</v>
      </c>
    </row>
    <row r="12318" spans="1:27" x14ac:dyDescent="0.35">
      <c r="A12318">
        <v>1010928</v>
      </c>
      <c r="B12318">
        <v>11597</v>
      </c>
      <c r="C12318">
        <v>1</v>
      </c>
      <c r="D12318" s="17" t="s">
        <v>17166</v>
      </c>
      <c r="E12318" s="17"/>
      <c r="F12318" s="17" t="s">
        <v>17246</v>
      </c>
      <c r="G12318" s="17"/>
      <c r="H12318" s="17" t="s">
        <v>23950</v>
      </c>
      <c r="I12318" s="17" t="s">
        <v>23956</v>
      </c>
      <c r="J12318" s="17" t="s">
        <v>24017</v>
      </c>
      <c r="K12318" s="17"/>
      <c r="L12318" s="17" t="s">
        <v>24262</v>
      </c>
      <c r="M12318" s="17"/>
      <c r="N12318" s="17" t="s">
        <v>25249</v>
      </c>
      <c r="O12318" s="17" t="s">
        <v>26171</v>
      </c>
      <c r="P12318" s="17" t="s">
        <v>26229</v>
      </c>
      <c r="Q12318" s="17"/>
      <c r="R12318" s="25" t="str">
        <f>HYPERLINK("https://ictv.global/taxonomy/taxondetails?taxnode_id=202314143","Betanucleorhabdovirus plectranthi")</f>
        <v>Betanucleorhabdovirus plectranthi</v>
      </c>
      <c r="S12318" s="18" t="s">
        <v>30</v>
      </c>
      <c r="T12318" s="18" t="s">
        <v>26259</v>
      </c>
      <c r="U12318" s="18" t="s">
        <v>26260</v>
      </c>
      <c r="V12318" s="18" t="s">
        <v>26261</v>
      </c>
      <c r="W12318" s="18" t="s">
        <v>26262</v>
      </c>
      <c r="X12318" s="18" t="s">
        <v>35</v>
      </c>
      <c r="Y12318" s="18" t="s">
        <v>23964</v>
      </c>
      <c r="Z12318" s="18" t="s">
        <v>13441</v>
      </c>
      <c r="AA12318" s="21" t="str">
        <f>HYPERLINK("https://www.ncbi.nlm.nih.gov/nuccore/BK014300","NCBI Nucleotide")</f>
        <v>NCBI Nucleotide</v>
      </c>
    </row>
    <row r="12319" spans="1:27" x14ac:dyDescent="0.35">
      <c r="A12319">
        <v>1010929</v>
      </c>
      <c r="B12319">
        <v>11598</v>
      </c>
      <c r="C12319">
        <v>1</v>
      </c>
      <c r="D12319" s="17" t="s">
        <v>17166</v>
      </c>
      <c r="E12319" s="17"/>
      <c r="F12319" s="17" t="s">
        <v>17246</v>
      </c>
      <c r="G12319" s="17"/>
      <c r="H12319" s="17" t="s">
        <v>23950</v>
      </c>
      <c r="I12319" s="17" t="s">
        <v>23956</v>
      </c>
      <c r="J12319" s="17" t="s">
        <v>24017</v>
      </c>
      <c r="K12319" s="17"/>
      <c r="L12319" s="17" t="s">
        <v>24262</v>
      </c>
      <c r="M12319" s="17"/>
      <c r="N12319" s="17" t="s">
        <v>25249</v>
      </c>
      <c r="O12319" s="17" t="s">
        <v>26171</v>
      </c>
      <c r="P12319" s="17" t="s">
        <v>26229</v>
      </c>
      <c r="Q12319" s="17"/>
      <c r="R12319" s="25" t="str">
        <f>HYPERLINK("https://ictv.global/taxonomy/taxondetails?taxnode_id=202301749","Betanucleorhabdovirus retesonchi")</f>
        <v>Betanucleorhabdovirus retesonchi</v>
      </c>
      <c r="S12319" s="18" t="s">
        <v>30</v>
      </c>
      <c r="T12319" s="18" t="s">
        <v>26263</v>
      </c>
      <c r="U12319" s="18" t="s">
        <v>26264</v>
      </c>
      <c r="V12319" s="18" t="s">
        <v>18179</v>
      </c>
      <c r="W12319" s="18" t="s">
        <v>26265</v>
      </c>
      <c r="X12319" s="18" t="s">
        <v>42</v>
      </c>
      <c r="Y12319" s="18" t="s">
        <v>23964</v>
      </c>
      <c r="Z12319" s="18" t="s">
        <v>13441</v>
      </c>
      <c r="AA12319" s="21" t="str">
        <f>HYPERLINK("https://www.ncbi.nlm.nih.gov/nuccore/L32603","NCBI Nucleotide")</f>
        <v>NCBI Nucleotide</v>
      </c>
    </row>
    <row r="12320" spans="1:27" x14ac:dyDescent="0.35">
      <c r="A12320">
        <v>1010930</v>
      </c>
      <c r="B12320">
        <v>11599</v>
      </c>
      <c r="C12320">
        <v>1</v>
      </c>
      <c r="D12320" s="17" t="s">
        <v>17166</v>
      </c>
      <c r="E12320" s="17"/>
      <c r="F12320" s="17" t="s">
        <v>17246</v>
      </c>
      <c r="G12320" s="17"/>
      <c r="H12320" s="17" t="s">
        <v>23950</v>
      </c>
      <c r="I12320" s="17" t="s">
        <v>23956</v>
      </c>
      <c r="J12320" s="17" t="s">
        <v>24017</v>
      </c>
      <c r="K12320" s="17"/>
      <c r="L12320" s="17" t="s">
        <v>24262</v>
      </c>
      <c r="M12320" s="17"/>
      <c r="N12320" s="17" t="s">
        <v>25249</v>
      </c>
      <c r="O12320" s="17" t="s">
        <v>26171</v>
      </c>
      <c r="P12320" s="17" t="s">
        <v>26229</v>
      </c>
      <c r="Q12320" s="17"/>
      <c r="R12320" s="25" t="str">
        <f>HYPERLINK("https://ictv.global/taxonomy/taxondetails?taxnode_id=202314144","Betanucleorhabdovirus rhododendri")</f>
        <v>Betanucleorhabdovirus rhododendri</v>
      </c>
      <c r="S12320" s="18" t="s">
        <v>30</v>
      </c>
      <c r="T12320" s="18" t="s">
        <v>26266</v>
      </c>
      <c r="U12320" s="18" t="s">
        <v>26267</v>
      </c>
      <c r="V12320" s="18" t="s">
        <v>26268</v>
      </c>
      <c r="W12320" s="18" t="s">
        <v>26269</v>
      </c>
      <c r="X12320" s="18" t="s">
        <v>35</v>
      </c>
      <c r="Y12320" s="18" t="s">
        <v>23964</v>
      </c>
      <c r="Z12320" s="18" t="s">
        <v>13441</v>
      </c>
      <c r="AA12320" s="21" t="str">
        <f>HYPERLINK("https://www.ncbi.nlm.nih.gov/nuccore/BK014301","NCBI Nucleotide")</f>
        <v>NCBI Nucleotide</v>
      </c>
    </row>
    <row r="12321" spans="1:27" x14ac:dyDescent="0.35">
      <c r="A12321">
        <v>1010931</v>
      </c>
      <c r="B12321">
        <v>11600</v>
      </c>
      <c r="C12321">
        <v>1</v>
      </c>
      <c r="D12321" s="17" t="s">
        <v>17166</v>
      </c>
      <c r="E12321" s="17"/>
      <c r="F12321" s="17" t="s">
        <v>17246</v>
      </c>
      <c r="G12321" s="17"/>
      <c r="H12321" s="17" t="s">
        <v>23950</v>
      </c>
      <c r="I12321" s="17" t="s">
        <v>23956</v>
      </c>
      <c r="J12321" s="17" t="s">
        <v>24017</v>
      </c>
      <c r="K12321" s="17"/>
      <c r="L12321" s="17" t="s">
        <v>24262</v>
      </c>
      <c r="M12321" s="17"/>
      <c r="N12321" s="17" t="s">
        <v>25249</v>
      </c>
      <c r="O12321" s="17" t="s">
        <v>26171</v>
      </c>
      <c r="P12321" s="17" t="s">
        <v>26229</v>
      </c>
      <c r="Q12321" s="17"/>
      <c r="R12321" s="25" t="str">
        <f>HYPERLINK("https://ictv.global/taxonomy/taxondetails?taxnode_id=202307686","Betanucleorhabdovirus ribes")</f>
        <v>Betanucleorhabdovirus ribes</v>
      </c>
      <c r="S12321" s="18" t="s">
        <v>30</v>
      </c>
      <c r="T12321" s="18" t="s">
        <v>26270</v>
      </c>
      <c r="U12321" s="18" t="s">
        <v>26271</v>
      </c>
      <c r="V12321" s="18" t="s">
        <v>26272</v>
      </c>
      <c r="W12321" s="18" t="s">
        <v>26273</v>
      </c>
      <c r="X12321" s="18" t="s">
        <v>42</v>
      </c>
      <c r="Y12321" s="18" t="s">
        <v>23964</v>
      </c>
      <c r="Z12321" s="18" t="s">
        <v>13441</v>
      </c>
      <c r="AA12321" s="21" t="str">
        <f>HYPERLINK("https://www.ncbi.nlm.nih.gov/nuccore/MF543022","NCBI Nucleotide")</f>
        <v>NCBI Nucleotide</v>
      </c>
    </row>
    <row r="12322" spans="1:27" x14ac:dyDescent="0.35">
      <c r="A12322">
        <v>1027645</v>
      </c>
      <c r="B12322">
        <v>11601</v>
      </c>
      <c r="C12322">
        <v>1</v>
      </c>
      <c r="D12322" s="17" t="s">
        <v>17166</v>
      </c>
      <c r="E12322" s="17"/>
      <c r="F12322" s="17" t="s">
        <v>17246</v>
      </c>
      <c r="G12322" s="17"/>
      <c r="H12322" s="17" t="s">
        <v>23950</v>
      </c>
      <c r="I12322" s="17" t="s">
        <v>23956</v>
      </c>
      <c r="J12322" s="17" t="s">
        <v>24017</v>
      </c>
      <c r="K12322" s="17"/>
      <c r="L12322" s="17" t="s">
        <v>24262</v>
      </c>
      <c r="M12322" s="17"/>
      <c r="N12322" s="17" t="s">
        <v>25249</v>
      </c>
      <c r="O12322" s="17" t="s">
        <v>26171</v>
      </c>
      <c r="P12322" s="17" t="s">
        <v>26229</v>
      </c>
      <c r="Q12322" s="17"/>
      <c r="R12322" s="25" t="str">
        <f>HYPERLINK("https://ictv.global/taxonomy/taxondetails?taxnode_id=202318287","Betanucleorhabdovirus taraxi")</f>
        <v>Betanucleorhabdovirus taraxi</v>
      </c>
      <c r="S12322" s="18" t="s">
        <v>30</v>
      </c>
      <c r="T12322" s="18" t="s">
        <v>46758</v>
      </c>
      <c r="U12322" s="18" t="s">
        <v>46759</v>
      </c>
      <c r="V12322" s="18" t="s">
        <v>46760</v>
      </c>
      <c r="W12322" s="18" t="s">
        <v>46761</v>
      </c>
      <c r="X12322" s="18" t="s">
        <v>35</v>
      </c>
      <c r="Y12322" s="18" t="s">
        <v>23964</v>
      </c>
      <c r="Z12322" s="18" t="s">
        <v>13441</v>
      </c>
      <c r="AA12322" s="21" t="str">
        <f>HYPERLINK("https://www.ncbi.nlm.nih.gov/nuccore/OL472118","NCBI Nucleotide")</f>
        <v>NCBI Nucleotide</v>
      </c>
    </row>
    <row r="12323" spans="1:27" x14ac:dyDescent="0.35">
      <c r="A12323">
        <v>1010932</v>
      </c>
      <c r="B12323">
        <v>11602</v>
      </c>
      <c r="C12323">
        <v>1</v>
      </c>
      <c r="D12323" s="17" t="s">
        <v>17166</v>
      </c>
      <c r="E12323" s="17"/>
      <c r="F12323" s="17" t="s">
        <v>17246</v>
      </c>
      <c r="G12323" s="17"/>
      <c r="H12323" s="17" t="s">
        <v>23950</v>
      </c>
      <c r="I12323" s="17" t="s">
        <v>23956</v>
      </c>
      <c r="J12323" s="17" t="s">
        <v>24017</v>
      </c>
      <c r="K12323" s="17"/>
      <c r="L12323" s="17" t="s">
        <v>24262</v>
      </c>
      <c r="M12323" s="17"/>
      <c r="N12323" s="17" t="s">
        <v>25249</v>
      </c>
      <c r="O12323" s="17" t="s">
        <v>26171</v>
      </c>
      <c r="P12323" s="17" t="s">
        <v>26229</v>
      </c>
      <c r="Q12323" s="17"/>
      <c r="R12323" s="25" t="str">
        <f>HYPERLINK("https://ictv.global/taxonomy/taxondetails?taxnode_id=202301750","Betanucleorhabdovirus venasonchi")</f>
        <v>Betanucleorhabdovirus venasonchi</v>
      </c>
      <c r="S12323" s="18" t="s">
        <v>30</v>
      </c>
      <c r="T12323" s="18" t="s">
        <v>26274</v>
      </c>
      <c r="U12323" s="18" t="s">
        <v>26275</v>
      </c>
      <c r="V12323" s="18" t="s">
        <v>26276</v>
      </c>
      <c r="W12323" s="18" t="s">
        <v>26277</v>
      </c>
      <c r="X12323" s="18" t="s">
        <v>42</v>
      </c>
      <c r="Y12323" s="18" t="s">
        <v>23964</v>
      </c>
      <c r="Z12323" s="18" t="s">
        <v>13441</v>
      </c>
      <c r="AA12323" s="21" t="str">
        <f>HYPERLINK("https://www.ncbi.nlm.nih.gov/nuccore/MT185675","NCBI Nucleotide")</f>
        <v>NCBI Nucleotide</v>
      </c>
    </row>
    <row r="12324" spans="1:27" x14ac:dyDescent="0.35">
      <c r="A12324">
        <v>1010933</v>
      </c>
      <c r="B12324">
        <v>11603</v>
      </c>
      <c r="C12324">
        <v>1</v>
      </c>
      <c r="D12324" s="17" t="s">
        <v>17166</v>
      </c>
      <c r="E12324" s="17"/>
      <c r="F12324" s="17" t="s">
        <v>17246</v>
      </c>
      <c r="G12324" s="17"/>
      <c r="H12324" s="17" t="s">
        <v>23950</v>
      </c>
      <c r="I12324" s="17" t="s">
        <v>23956</v>
      </c>
      <c r="J12324" s="17" t="s">
        <v>24017</v>
      </c>
      <c r="K12324" s="17"/>
      <c r="L12324" s="17" t="s">
        <v>24262</v>
      </c>
      <c r="M12324" s="17"/>
      <c r="N12324" s="17" t="s">
        <v>25249</v>
      </c>
      <c r="O12324" s="17" t="s">
        <v>26171</v>
      </c>
      <c r="P12324" s="17" t="s">
        <v>26229</v>
      </c>
      <c r="Q12324" s="17"/>
      <c r="R12324" s="25" t="str">
        <f>HYPERLINK("https://ictv.global/taxonomy/taxondetails?taxnode_id=202309368","Betanucleorhabdovirus zanthoxyli")</f>
        <v>Betanucleorhabdovirus zanthoxyli</v>
      </c>
      <c r="S12324" s="18" t="s">
        <v>30</v>
      </c>
      <c r="T12324" s="18" t="s">
        <v>26278</v>
      </c>
      <c r="U12324" s="18" t="s">
        <v>26279</v>
      </c>
      <c r="V12324" s="18" t="s">
        <v>26280</v>
      </c>
      <c r="W12324" s="18" t="s">
        <v>26281</v>
      </c>
      <c r="X12324" s="18" t="s">
        <v>42</v>
      </c>
      <c r="Y12324" s="18" t="s">
        <v>23964</v>
      </c>
      <c r="Z12324" s="18" t="s">
        <v>13441</v>
      </c>
      <c r="AA12324" s="21" t="str">
        <f>HYPERLINK("https://www.ncbi.nlm.nih.gov/nuccore/MH323437","NCBI Nucleotide")</f>
        <v>NCBI Nucleotide</v>
      </c>
    </row>
    <row r="12325" spans="1:27" x14ac:dyDescent="0.35">
      <c r="A12325">
        <v>1010934</v>
      </c>
      <c r="B12325">
        <v>11604</v>
      </c>
      <c r="C12325">
        <v>1</v>
      </c>
      <c r="D12325" s="17" t="s">
        <v>17166</v>
      </c>
      <c r="E12325" s="17"/>
      <c r="F12325" s="17" t="s">
        <v>17246</v>
      </c>
      <c r="G12325" s="17"/>
      <c r="H12325" s="17" t="s">
        <v>23950</v>
      </c>
      <c r="I12325" s="17" t="s">
        <v>23956</v>
      </c>
      <c r="J12325" s="17" t="s">
        <v>24017</v>
      </c>
      <c r="K12325" s="17"/>
      <c r="L12325" s="17" t="s">
        <v>24262</v>
      </c>
      <c r="M12325" s="17"/>
      <c r="N12325" s="17" t="s">
        <v>25249</v>
      </c>
      <c r="O12325" s="17" t="s">
        <v>26171</v>
      </c>
      <c r="P12325" s="17" t="s">
        <v>26282</v>
      </c>
      <c r="Q12325" s="17"/>
      <c r="R12325" s="25" t="str">
        <f>HYPERLINK("https://ictv.global/taxonomy/taxondetails?taxnode_id=202314166","Cytorhabdovirus actinidiae")</f>
        <v>Cytorhabdovirus actinidiae</v>
      </c>
      <c r="S12325" s="18" t="s">
        <v>30</v>
      </c>
      <c r="T12325" s="18" t="s">
        <v>26283</v>
      </c>
      <c r="U12325" s="18" t="s">
        <v>26284</v>
      </c>
      <c r="V12325" s="18" t="s">
        <v>26285</v>
      </c>
      <c r="W12325" s="18" t="s">
        <v>26286</v>
      </c>
      <c r="X12325" s="18" t="s">
        <v>42</v>
      </c>
      <c r="Y12325" s="18" t="s">
        <v>23964</v>
      </c>
      <c r="Z12325" s="18" t="s">
        <v>13441</v>
      </c>
      <c r="AA12325" s="21" t="str">
        <f>HYPERLINK("https://www.ncbi.nlm.nih.gov/nuccore/MW550041","NCBI Nucleotide")</f>
        <v>NCBI Nucleotide</v>
      </c>
    </row>
    <row r="12326" spans="1:27" x14ac:dyDescent="0.35">
      <c r="A12326">
        <v>1010935</v>
      </c>
      <c r="B12326">
        <v>11605</v>
      </c>
      <c r="C12326">
        <v>1</v>
      </c>
      <c r="D12326" s="17" t="s">
        <v>17166</v>
      </c>
      <c r="E12326" s="17"/>
      <c r="F12326" s="17" t="s">
        <v>17246</v>
      </c>
      <c r="G12326" s="17"/>
      <c r="H12326" s="17" t="s">
        <v>23950</v>
      </c>
      <c r="I12326" s="17" t="s">
        <v>23956</v>
      </c>
      <c r="J12326" s="17" t="s">
        <v>24017</v>
      </c>
      <c r="K12326" s="17"/>
      <c r="L12326" s="17" t="s">
        <v>24262</v>
      </c>
      <c r="M12326" s="17"/>
      <c r="N12326" s="17" t="s">
        <v>25249</v>
      </c>
      <c r="O12326" s="17" t="s">
        <v>26171</v>
      </c>
      <c r="P12326" s="17" t="s">
        <v>26282</v>
      </c>
      <c r="Q12326" s="17"/>
      <c r="R12326" s="25" t="str">
        <f>HYPERLINK("https://ictv.global/taxonomy/taxondetails?taxnode_id=202308908","Cytorhabdovirus alphatrifolii")</f>
        <v>Cytorhabdovirus alphatrifolii</v>
      </c>
      <c r="S12326" s="18" t="s">
        <v>30</v>
      </c>
      <c r="T12326" s="18" t="s">
        <v>26287</v>
      </c>
      <c r="U12326" s="18" t="s">
        <v>26288</v>
      </c>
      <c r="V12326" s="18" t="s">
        <v>26289</v>
      </c>
      <c r="W12326" s="18" t="s">
        <v>26290</v>
      </c>
      <c r="X12326" s="18" t="s">
        <v>42</v>
      </c>
      <c r="Y12326" s="18" t="s">
        <v>23964</v>
      </c>
      <c r="Z12326" s="18" t="s">
        <v>13441</v>
      </c>
      <c r="AA12326" s="21" t="str">
        <f>HYPERLINK("https://www.ncbi.nlm.nih.gov/nuccore/MH982250","NCBI Nucleotide")</f>
        <v>NCBI Nucleotide</v>
      </c>
    </row>
    <row r="12327" spans="1:27" x14ac:dyDescent="0.35">
      <c r="A12327">
        <v>1010936</v>
      </c>
      <c r="B12327">
        <v>11606</v>
      </c>
      <c r="C12327">
        <v>1</v>
      </c>
      <c r="D12327" s="17" t="s">
        <v>17166</v>
      </c>
      <c r="E12327" s="17"/>
      <c r="F12327" s="17" t="s">
        <v>17246</v>
      </c>
      <c r="G12327" s="17"/>
      <c r="H12327" s="17" t="s">
        <v>23950</v>
      </c>
      <c r="I12327" s="17" t="s">
        <v>23956</v>
      </c>
      <c r="J12327" s="17" t="s">
        <v>24017</v>
      </c>
      <c r="K12327" s="17"/>
      <c r="L12327" s="17" t="s">
        <v>24262</v>
      </c>
      <c r="M12327" s="17"/>
      <c r="N12327" s="17" t="s">
        <v>25249</v>
      </c>
      <c r="O12327" s="17" t="s">
        <v>26171</v>
      </c>
      <c r="P12327" s="17" t="s">
        <v>26282</v>
      </c>
      <c r="Q12327" s="17"/>
      <c r="R12327" s="25" t="str">
        <f>HYPERLINK("https://ictv.global/taxonomy/taxondetails?taxnode_id=202307675","Cytorhabdovirus alphawuhaninsectum")</f>
        <v>Cytorhabdovirus alphawuhaninsectum</v>
      </c>
      <c r="S12327" s="18" t="s">
        <v>30</v>
      </c>
      <c r="T12327" s="18" t="s">
        <v>26291</v>
      </c>
      <c r="U12327" s="18" t="s">
        <v>26292</v>
      </c>
      <c r="V12327" s="18" t="s">
        <v>26293</v>
      </c>
      <c r="W12327" s="18" t="s">
        <v>26294</v>
      </c>
      <c r="X12327" s="18" t="s">
        <v>35</v>
      </c>
      <c r="Y12327" s="18" t="s">
        <v>23964</v>
      </c>
      <c r="Z12327" s="18" t="s">
        <v>10790</v>
      </c>
      <c r="AA12327" s="21" t="str">
        <f>HYPERLINK("https://www.ncbi.nlm.nih.gov/nuccore/KM817650","NCBI Nucleotide")</f>
        <v>NCBI Nucleotide</v>
      </c>
    </row>
    <row r="12328" spans="1:27" x14ac:dyDescent="0.35">
      <c r="A12328">
        <v>1010937</v>
      </c>
      <c r="B12328">
        <v>11607</v>
      </c>
      <c r="C12328">
        <v>1</v>
      </c>
      <c r="D12328" s="17" t="s">
        <v>17166</v>
      </c>
      <c r="E12328" s="17"/>
      <c r="F12328" s="17" t="s">
        <v>17246</v>
      </c>
      <c r="G12328" s="17"/>
      <c r="H12328" s="17" t="s">
        <v>23950</v>
      </c>
      <c r="I12328" s="17" t="s">
        <v>23956</v>
      </c>
      <c r="J12328" s="17" t="s">
        <v>24017</v>
      </c>
      <c r="K12328" s="17"/>
      <c r="L12328" s="17" t="s">
        <v>24262</v>
      </c>
      <c r="M12328" s="17"/>
      <c r="N12328" s="17" t="s">
        <v>25249</v>
      </c>
      <c r="O12328" s="17" t="s">
        <v>26171</v>
      </c>
      <c r="P12328" s="17" t="s">
        <v>26282</v>
      </c>
      <c r="Q12328" s="17"/>
      <c r="R12328" s="25" t="str">
        <f>HYPERLINK("https://ictv.global/taxonomy/taxondetails?taxnode_id=202314167","Cytorhabdovirus anthurii")</f>
        <v>Cytorhabdovirus anthurii</v>
      </c>
      <c r="S12328" s="18" t="s">
        <v>30</v>
      </c>
      <c r="T12328" s="18" t="s">
        <v>26295</v>
      </c>
      <c r="U12328" s="18" t="s">
        <v>26296</v>
      </c>
      <c r="V12328" s="18" t="s">
        <v>26297</v>
      </c>
      <c r="W12328" s="18" t="s">
        <v>26298</v>
      </c>
      <c r="X12328" s="18" t="s">
        <v>35</v>
      </c>
      <c r="Y12328" s="18" t="s">
        <v>23964</v>
      </c>
      <c r="Z12328" s="18" t="s">
        <v>13441</v>
      </c>
      <c r="AA12328" s="21" t="str">
        <f>HYPERLINK("https://www.ncbi.nlm.nih.gov/nuccore/BK014302","NCBI Nucleotide")</f>
        <v>NCBI Nucleotide</v>
      </c>
    </row>
    <row r="12329" spans="1:27" x14ac:dyDescent="0.35">
      <c r="A12329">
        <v>1010938</v>
      </c>
      <c r="B12329">
        <v>11608</v>
      </c>
      <c r="C12329">
        <v>1</v>
      </c>
      <c r="D12329" s="17" t="s">
        <v>17166</v>
      </c>
      <c r="E12329" s="17"/>
      <c r="F12329" s="17" t="s">
        <v>17246</v>
      </c>
      <c r="G12329" s="17"/>
      <c r="H12329" s="17" t="s">
        <v>23950</v>
      </c>
      <c r="I12329" s="17" t="s">
        <v>23956</v>
      </c>
      <c r="J12329" s="17" t="s">
        <v>24017</v>
      </c>
      <c r="K12329" s="17"/>
      <c r="L12329" s="17" t="s">
        <v>24262</v>
      </c>
      <c r="M12329" s="17"/>
      <c r="N12329" s="17" t="s">
        <v>25249</v>
      </c>
      <c r="O12329" s="17" t="s">
        <v>26171</v>
      </c>
      <c r="P12329" s="17" t="s">
        <v>26282</v>
      </c>
      <c r="Q12329" s="17"/>
      <c r="R12329" s="25" t="str">
        <f>HYPERLINK("https://ictv.global/taxonomy/taxondetails?taxnode_id=202314168","Cytorhabdovirus asclepiadis")</f>
        <v>Cytorhabdovirus asclepiadis</v>
      </c>
      <c r="S12329" s="18" t="s">
        <v>30</v>
      </c>
      <c r="T12329" s="18" t="s">
        <v>26299</v>
      </c>
      <c r="U12329" s="18" t="s">
        <v>26300</v>
      </c>
      <c r="V12329" s="18" t="s">
        <v>26301</v>
      </c>
      <c r="W12329" s="18" t="s">
        <v>26302</v>
      </c>
      <c r="X12329" s="18" t="s">
        <v>35</v>
      </c>
      <c r="Y12329" s="18" t="s">
        <v>23964</v>
      </c>
      <c r="Z12329" s="18" t="s">
        <v>13441</v>
      </c>
      <c r="AA12329" s="21" t="str">
        <f>HYPERLINK("https://www.ncbi.nlm.nih.gov/nuccore/BK014298","NCBI Nucleotide")</f>
        <v>NCBI Nucleotide</v>
      </c>
    </row>
    <row r="12330" spans="1:27" x14ac:dyDescent="0.35">
      <c r="A12330">
        <v>1010939</v>
      </c>
      <c r="B12330">
        <v>11609</v>
      </c>
      <c r="C12330">
        <v>1</v>
      </c>
      <c r="D12330" s="17" t="s">
        <v>17166</v>
      </c>
      <c r="E12330" s="17"/>
      <c r="F12330" s="17" t="s">
        <v>17246</v>
      </c>
      <c r="G12330" s="17"/>
      <c r="H12330" s="17" t="s">
        <v>23950</v>
      </c>
      <c r="I12330" s="17" t="s">
        <v>23956</v>
      </c>
      <c r="J12330" s="17" t="s">
        <v>24017</v>
      </c>
      <c r="K12330" s="17"/>
      <c r="L12330" s="17" t="s">
        <v>24262</v>
      </c>
      <c r="M12330" s="17"/>
      <c r="N12330" s="17" t="s">
        <v>25249</v>
      </c>
      <c r="O12330" s="17" t="s">
        <v>26171</v>
      </c>
      <c r="P12330" s="17" t="s">
        <v>26282</v>
      </c>
      <c r="Q12330" s="17"/>
      <c r="R12330" s="25" t="str">
        <f>HYPERLINK("https://ictv.global/taxonomy/taxondetails?taxnode_id=202313308","Cytorhabdovirus bacopae")</f>
        <v>Cytorhabdovirus bacopae</v>
      </c>
      <c r="S12330" s="18" t="s">
        <v>30</v>
      </c>
      <c r="T12330" s="18" t="s">
        <v>26303</v>
      </c>
      <c r="U12330" s="18" t="s">
        <v>26304</v>
      </c>
      <c r="V12330" s="18" t="s">
        <v>26236</v>
      </c>
      <c r="W12330" s="18" t="s">
        <v>26305</v>
      </c>
      <c r="X12330" s="18" t="s">
        <v>35</v>
      </c>
      <c r="Y12330" s="18" t="s">
        <v>23964</v>
      </c>
      <c r="Z12330" s="18" t="s">
        <v>13441</v>
      </c>
      <c r="AA12330" s="21" t="str">
        <f>HYPERLINK("https://www.ncbi.nlm.nih.gov/nuccore/BK014479","NCBI Nucleotide")</f>
        <v>NCBI Nucleotide</v>
      </c>
    </row>
    <row r="12331" spans="1:27" x14ac:dyDescent="0.35">
      <c r="A12331">
        <v>1010940</v>
      </c>
      <c r="B12331">
        <v>11610</v>
      </c>
      <c r="C12331">
        <v>1</v>
      </c>
      <c r="D12331" s="17" t="s">
        <v>17166</v>
      </c>
      <c r="E12331" s="17"/>
      <c r="F12331" s="17" t="s">
        <v>17246</v>
      </c>
      <c r="G12331" s="17"/>
      <c r="H12331" s="17" t="s">
        <v>23950</v>
      </c>
      <c r="I12331" s="17" t="s">
        <v>23956</v>
      </c>
      <c r="J12331" s="17" t="s">
        <v>24017</v>
      </c>
      <c r="K12331" s="17"/>
      <c r="L12331" s="17" t="s">
        <v>24262</v>
      </c>
      <c r="M12331" s="17"/>
      <c r="N12331" s="17" t="s">
        <v>25249</v>
      </c>
      <c r="O12331" s="17" t="s">
        <v>26171</v>
      </c>
      <c r="P12331" s="17" t="s">
        <v>26282</v>
      </c>
      <c r="Q12331" s="17"/>
      <c r="R12331" s="25" t="str">
        <f>HYPERLINK("https://ictv.global/taxonomy/taxondetails?taxnode_id=202314169","Cytorhabdovirus bemisiae")</f>
        <v>Cytorhabdovirus bemisiae</v>
      </c>
      <c r="S12331" s="18" t="s">
        <v>30</v>
      </c>
      <c r="T12331" s="18" t="s">
        <v>26306</v>
      </c>
      <c r="U12331" s="18" t="s">
        <v>26307</v>
      </c>
      <c r="V12331" s="18" t="s">
        <v>26308</v>
      </c>
      <c r="W12331" s="18" t="s">
        <v>26309</v>
      </c>
      <c r="X12331" s="18" t="s">
        <v>35</v>
      </c>
      <c r="Y12331" s="18" t="s">
        <v>23964</v>
      </c>
      <c r="Z12331" s="18" t="s">
        <v>10790</v>
      </c>
      <c r="AA12331" s="21" t="str">
        <f>HYPERLINK("https://www.ncbi.nlm.nih.gov/nuccore/BK014303","NCBI Nucleotide")</f>
        <v>NCBI Nucleotide</v>
      </c>
    </row>
    <row r="12332" spans="1:27" x14ac:dyDescent="0.35">
      <c r="A12332">
        <v>1027597</v>
      </c>
      <c r="B12332">
        <v>11611</v>
      </c>
      <c r="C12332">
        <v>1</v>
      </c>
      <c r="D12332" s="17" t="s">
        <v>17166</v>
      </c>
      <c r="E12332" s="17"/>
      <c r="F12332" s="17" t="s">
        <v>17246</v>
      </c>
      <c r="G12332" s="17"/>
      <c r="H12332" s="17" t="s">
        <v>23950</v>
      </c>
      <c r="I12332" s="17" t="s">
        <v>23956</v>
      </c>
      <c r="J12332" s="17" t="s">
        <v>24017</v>
      </c>
      <c r="K12332" s="17"/>
      <c r="L12332" s="17" t="s">
        <v>24262</v>
      </c>
      <c r="M12332" s="17"/>
      <c r="N12332" s="17" t="s">
        <v>25249</v>
      </c>
      <c r="O12332" s="17" t="s">
        <v>26171</v>
      </c>
      <c r="P12332" s="17" t="s">
        <v>26282</v>
      </c>
      <c r="Q12332" s="17"/>
      <c r="R12332" s="25" t="str">
        <f>HYPERLINK("https://ictv.global/taxonomy/taxondetails?taxnode_id=202317923","Cytorhabdovirus betafragariae")</f>
        <v>Cytorhabdovirus betafragariae</v>
      </c>
      <c r="S12332" s="18" t="s">
        <v>30</v>
      </c>
      <c r="T12332" s="18" t="s">
        <v>46762</v>
      </c>
      <c r="U12332" s="18" t="s">
        <v>46763</v>
      </c>
      <c r="V12332" s="18" t="s">
        <v>46764</v>
      </c>
      <c r="W12332" s="18" t="s">
        <v>46765</v>
      </c>
      <c r="X12332" s="18" t="s">
        <v>42</v>
      </c>
      <c r="Y12332" s="18" t="s">
        <v>23964</v>
      </c>
      <c r="Z12332" s="18" t="s">
        <v>13441</v>
      </c>
      <c r="AA12332" s="21" t="str">
        <f>HYPERLINK("https://www.ncbi.nlm.nih.gov/nuccore/MW480851","NCBI Nucleotide")</f>
        <v>NCBI Nucleotide</v>
      </c>
    </row>
    <row r="12333" spans="1:27" x14ac:dyDescent="0.35">
      <c r="A12333">
        <v>1027598</v>
      </c>
      <c r="B12333">
        <v>11612</v>
      </c>
      <c r="C12333">
        <v>1</v>
      </c>
      <c r="D12333" s="17" t="s">
        <v>17166</v>
      </c>
      <c r="E12333" s="17"/>
      <c r="F12333" s="17" t="s">
        <v>17246</v>
      </c>
      <c r="G12333" s="17"/>
      <c r="H12333" s="17" t="s">
        <v>23950</v>
      </c>
      <c r="I12333" s="17" t="s">
        <v>23956</v>
      </c>
      <c r="J12333" s="17" t="s">
        <v>24017</v>
      </c>
      <c r="K12333" s="17"/>
      <c r="L12333" s="17" t="s">
        <v>24262</v>
      </c>
      <c r="M12333" s="17"/>
      <c r="N12333" s="17" t="s">
        <v>25249</v>
      </c>
      <c r="O12333" s="17" t="s">
        <v>26171</v>
      </c>
      <c r="P12333" s="17" t="s">
        <v>26282</v>
      </c>
      <c r="Q12333" s="17"/>
      <c r="R12333" s="25" t="str">
        <f>HYPERLINK("https://ictv.global/taxonomy/taxondetails?taxnode_id=202317919","Cytorhabdovirus betarosae")</f>
        <v>Cytorhabdovirus betarosae</v>
      </c>
      <c r="S12333" s="18" t="s">
        <v>30</v>
      </c>
      <c r="T12333" s="18" t="s">
        <v>46766</v>
      </c>
      <c r="U12333" s="18" t="s">
        <v>13157</v>
      </c>
      <c r="V12333" s="18" t="s">
        <v>46767</v>
      </c>
      <c r="W12333" s="18" t="s">
        <v>46768</v>
      </c>
      <c r="X12333" s="18" t="s">
        <v>42</v>
      </c>
      <c r="Y12333" s="18" t="s">
        <v>23964</v>
      </c>
      <c r="Z12333" s="18" t="s">
        <v>13441</v>
      </c>
      <c r="AA12333" s="21" t="str">
        <f>HYPERLINK("https://www.ncbi.nlm.nih.gov/nuccore/ON762421","NCBI Nucleotide")</f>
        <v>NCBI Nucleotide</v>
      </c>
    </row>
    <row r="12334" spans="1:27" x14ac:dyDescent="0.35">
      <c r="A12334">
        <v>1010941</v>
      </c>
      <c r="B12334">
        <v>11613</v>
      </c>
      <c r="C12334">
        <v>1</v>
      </c>
      <c r="D12334" s="17" t="s">
        <v>17166</v>
      </c>
      <c r="E12334" s="17"/>
      <c r="F12334" s="17" t="s">
        <v>17246</v>
      </c>
      <c r="G12334" s="17"/>
      <c r="H12334" s="17" t="s">
        <v>23950</v>
      </c>
      <c r="I12334" s="17" t="s">
        <v>23956</v>
      </c>
      <c r="J12334" s="17" t="s">
        <v>24017</v>
      </c>
      <c r="K12334" s="17"/>
      <c r="L12334" s="17" t="s">
        <v>24262</v>
      </c>
      <c r="M12334" s="17"/>
      <c r="N12334" s="17" t="s">
        <v>25249</v>
      </c>
      <c r="O12334" s="17" t="s">
        <v>26171</v>
      </c>
      <c r="P12334" s="17" t="s">
        <v>26282</v>
      </c>
      <c r="Q12334" s="17"/>
      <c r="R12334" s="25" t="str">
        <f>HYPERLINK("https://ictv.global/taxonomy/taxondetails?taxnode_id=202308909","Cytorhabdovirus betatrifolii")</f>
        <v>Cytorhabdovirus betatrifolii</v>
      </c>
      <c r="S12334" s="18" t="s">
        <v>30</v>
      </c>
      <c r="T12334" s="18" t="s">
        <v>26310</v>
      </c>
      <c r="U12334" s="18" t="s">
        <v>26311</v>
      </c>
      <c r="V12334" s="18">
        <v>44940</v>
      </c>
      <c r="W12334" s="18" t="s">
        <v>26312</v>
      </c>
      <c r="X12334" s="18" t="s">
        <v>35</v>
      </c>
      <c r="Y12334" s="18" t="s">
        <v>23964</v>
      </c>
      <c r="Z12334" s="18" t="s">
        <v>13441</v>
      </c>
      <c r="AA12334" s="21" t="str">
        <f>HYPERLINK("https://www.ncbi.nlm.nih.gov/nuccore/MH982249","NCBI Nucleotide")</f>
        <v>NCBI Nucleotide</v>
      </c>
    </row>
    <row r="12335" spans="1:27" x14ac:dyDescent="0.35">
      <c r="A12335">
        <v>1010942</v>
      </c>
      <c r="B12335">
        <v>11614</v>
      </c>
      <c r="C12335">
        <v>1</v>
      </c>
      <c r="D12335" s="17" t="s">
        <v>17166</v>
      </c>
      <c r="E12335" s="17"/>
      <c r="F12335" s="17" t="s">
        <v>17246</v>
      </c>
      <c r="G12335" s="17"/>
      <c r="H12335" s="17" t="s">
        <v>23950</v>
      </c>
      <c r="I12335" s="17" t="s">
        <v>23956</v>
      </c>
      <c r="J12335" s="17" t="s">
        <v>24017</v>
      </c>
      <c r="K12335" s="17"/>
      <c r="L12335" s="17" t="s">
        <v>24262</v>
      </c>
      <c r="M12335" s="17"/>
      <c r="N12335" s="17" t="s">
        <v>25249</v>
      </c>
      <c r="O12335" s="17" t="s">
        <v>26171</v>
      </c>
      <c r="P12335" s="17" t="s">
        <v>26282</v>
      </c>
      <c r="Q12335" s="17"/>
      <c r="R12335" s="25" t="str">
        <f>HYPERLINK("https://ictv.global/taxonomy/taxondetails?taxnode_id=202307676","Cytorhabdovirus betawuhaninsectum")</f>
        <v>Cytorhabdovirus betawuhaninsectum</v>
      </c>
      <c r="S12335" s="18" t="s">
        <v>30</v>
      </c>
      <c r="T12335" s="18" t="s">
        <v>26313</v>
      </c>
      <c r="U12335" s="18" t="s">
        <v>26314</v>
      </c>
      <c r="V12335" s="18" t="s">
        <v>26315</v>
      </c>
      <c r="W12335" s="18" t="s">
        <v>26316</v>
      </c>
      <c r="X12335" s="18" t="s">
        <v>35</v>
      </c>
      <c r="Y12335" s="18" t="s">
        <v>23964</v>
      </c>
      <c r="Z12335" s="18" t="s">
        <v>10790</v>
      </c>
      <c r="AA12335" s="21" t="str">
        <f>HYPERLINK("https://www.ncbi.nlm.nih.gov/nuccore/KM817651","NCBI Nucleotide")</f>
        <v>NCBI Nucleotide</v>
      </c>
    </row>
    <row r="12336" spans="1:27" x14ac:dyDescent="0.35">
      <c r="A12336">
        <v>1010943</v>
      </c>
      <c r="B12336">
        <v>11615</v>
      </c>
      <c r="C12336">
        <v>1</v>
      </c>
      <c r="D12336" s="17" t="s">
        <v>17166</v>
      </c>
      <c r="E12336" s="17"/>
      <c r="F12336" s="17" t="s">
        <v>17246</v>
      </c>
      <c r="G12336" s="17"/>
      <c r="H12336" s="17" t="s">
        <v>23950</v>
      </c>
      <c r="I12336" s="17" t="s">
        <v>23956</v>
      </c>
      <c r="J12336" s="17" t="s">
        <v>24017</v>
      </c>
      <c r="K12336" s="17"/>
      <c r="L12336" s="17" t="s">
        <v>24262</v>
      </c>
      <c r="M12336" s="17"/>
      <c r="N12336" s="17" t="s">
        <v>25249</v>
      </c>
      <c r="O12336" s="17" t="s">
        <v>26171</v>
      </c>
      <c r="P12336" s="17" t="s">
        <v>26282</v>
      </c>
      <c r="Q12336" s="17"/>
      <c r="R12336" s="25" t="str">
        <f>HYPERLINK("https://ictv.global/taxonomy/taxondetails?taxnode_id=202301669","Cytorhabdovirus brassicae")</f>
        <v>Cytorhabdovirus brassicae</v>
      </c>
      <c r="S12336" s="18" t="s">
        <v>30</v>
      </c>
      <c r="T12336" s="18" t="s">
        <v>26317</v>
      </c>
      <c r="U12336" s="18" t="s">
        <v>26318</v>
      </c>
      <c r="V12336" s="18"/>
      <c r="W12336" s="18"/>
      <c r="X12336" s="18" t="s">
        <v>3311</v>
      </c>
      <c r="Y12336" s="18" t="s">
        <v>23964</v>
      </c>
      <c r="Z12336" s="18" t="s">
        <v>15964</v>
      </c>
      <c r="AA12336" s="21"/>
    </row>
    <row r="12337" spans="1:27" x14ac:dyDescent="0.35">
      <c r="A12337">
        <v>1010944</v>
      </c>
      <c r="B12337">
        <v>11616</v>
      </c>
      <c r="C12337">
        <v>1</v>
      </c>
      <c r="D12337" s="17" t="s">
        <v>17166</v>
      </c>
      <c r="E12337" s="17"/>
      <c r="F12337" s="17" t="s">
        <v>17246</v>
      </c>
      <c r="G12337" s="17"/>
      <c r="H12337" s="17" t="s">
        <v>23950</v>
      </c>
      <c r="I12337" s="17" t="s">
        <v>23956</v>
      </c>
      <c r="J12337" s="17" t="s">
        <v>24017</v>
      </c>
      <c r="K12337" s="17"/>
      <c r="L12337" s="17" t="s">
        <v>24262</v>
      </c>
      <c r="M12337" s="17"/>
      <c r="N12337" s="17" t="s">
        <v>25249</v>
      </c>
      <c r="O12337" s="17" t="s">
        <v>26171</v>
      </c>
      <c r="P12337" s="17" t="s">
        <v>26282</v>
      </c>
      <c r="Q12337" s="17"/>
      <c r="R12337" s="25" t="str">
        <f>HYPERLINK("https://ictv.global/taxonomy/taxondetails?taxnode_id=202307666","Cytorhabdovirus brassicicolae")</f>
        <v>Cytorhabdovirus brassicicolae</v>
      </c>
      <c r="S12337" s="18" t="s">
        <v>30</v>
      </c>
      <c r="T12337" s="18" t="s">
        <v>26319</v>
      </c>
      <c r="U12337" s="18" t="s">
        <v>26320</v>
      </c>
      <c r="V12337" s="18" t="s">
        <v>26321</v>
      </c>
      <c r="W12337" s="18" t="s">
        <v>26322</v>
      </c>
      <c r="X12337" s="18" t="s">
        <v>35</v>
      </c>
      <c r="Y12337" s="18" t="s">
        <v>23964</v>
      </c>
      <c r="Z12337" s="18" t="s">
        <v>15964</v>
      </c>
      <c r="AA12337" s="21" t="str">
        <f>HYPERLINK("https://www.ncbi.nlm.nih.gov/nuccore/KY810772","NCBI Nucleotide")</f>
        <v>NCBI Nucleotide</v>
      </c>
    </row>
    <row r="12338" spans="1:27" x14ac:dyDescent="0.35">
      <c r="A12338">
        <v>1010945</v>
      </c>
      <c r="B12338">
        <v>11617</v>
      </c>
      <c r="C12338">
        <v>1</v>
      </c>
      <c r="D12338" s="17" t="s">
        <v>17166</v>
      </c>
      <c r="E12338" s="17"/>
      <c r="F12338" s="17" t="s">
        <v>17246</v>
      </c>
      <c r="G12338" s="17"/>
      <c r="H12338" s="17" t="s">
        <v>23950</v>
      </c>
      <c r="I12338" s="17" t="s">
        <v>23956</v>
      </c>
      <c r="J12338" s="17" t="s">
        <v>24017</v>
      </c>
      <c r="K12338" s="17"/>
      <c r="L12338" s="17" t="s">
        <v>24262</v>
      </c>
      <c r="M12338" s="17"/>
      <c r="N12338" s="17" t="s">
        <v>25249</v>
      </c>
      <c r="O12338" s="17" t="s">
        <v>26171</v>
      </c>
      <c r="P12338" s="17" t="s">
        <v>26282</v>
      </c>
      <c r="Q12338" s="17"/>
      <c r="R12338" s="25" t="str">
        <f>HYPERLINK("https://ictv.global/taxonomy/taxondetails?taxnode_id=202313311","Cytorhabdovirus broussonetiae")</f>
        <v>Cytorhabdovirus broussonetiae</v>
      </c>
      <c r="S12338" s="18" t="s">
        <v>30</v>
      </c>
      <c r="T12338" s="18" t="s">
        <v>26323</v>
      </c>
      <c r="U12338" s="18" t="s">
        <v>26324</v>
      </c>
      <c r="V12338" s="18" t="s">
        <v>16020</v>
      </c>
      <c r="W12338" s="18" t="s">
        <v>26325</v>
      </c>
      <c r="X12338" s="18" t="s">
        <v>42</v>
      </c>
      <c r="Y12338" s="18" t="s">
        <v>23964</v>
      </c>
      <c r="Z12338" s="18" t="s">
        <v>13441</v>
      </c>
      <c r="AA12338" s="21" t="str">
        <f>HYPERLINK("https://www.ncbi.nlm.nih.gov/nuccore/MN872813","NCBI Nucleotide")</f>
        <v>NCBI Nucleotide</v>
      </c>
    </row>
    <row r="12339" spans="1:27" x14ac:dyDescent="0.35">
      <c r="A12339">
        <v>1010946</v>
      </c>
      <c r="B12339">
        <v>11618</v>
      </c>
      <c r="C12339">
        <v>1</v>
      </c>
      <c r="D12339" s="17" t="s">
        <v>17166</v>
      </c>
      <c r="E12339" s="17"/>
      <c r="F12339" s="17" t="s">
        <v>17246</v>
      </c>
      <c r="G12339" s="17"/>
      <c r="H12339" s="17" t="s">
        <v>23950</v>
      </c>
      <c r="I12339" s="17" t="s">
        <v>23956</v>
      </c>
      <c r="J12339" s="17" t="s">
        <v>24017</v>
      </c>
      <c r="K12339" s="17"/>
      <c r="L12339" s="17" t="s">
        <v>24262</v>
      </c>
      <c r="M12339" s="17"/>
      <c r="N12339" s="17" t="s">
        <v>25249</v>
      </c>
      <c r="O12339" s="17" t="s">
        <v>26171</v>
      </c>
      <c r="P12339" s="17" t="s">
        <v>26282</v>
      </c>
      <c r="Q12339" s="17"/>
      <c r="R12339" s="25" t="str">
        <f>HYPERLINK("https://ictv.global/taxonomy/taxondetails?taxnode_id=202307669","Cytorhabdovirus caricae")</f>
        <v>Cytorhabdovirus caricae</v>
      </c>
      <c r="S12339" s="18" t="s">
        <v>30</v>
      </c>
      <c r="T12339" s="18" t="s">
        <v>26326</v>
      </c>
      <c r="U12339" s="18" t="s">
        <v>26327</v>
      </c>
      <c r="V12339" s="18" t="s">
        <v>26328</v>
      </c>
      <c r="W12339" s="18" t="s">
        <v>26329</v>
      </c>
      <c r="X12339" s="18" t="s">
        <v>42</v>
      </c>
      <c r="Y12339" s="18" t="s">
        <v>23964</v>
      </c>
      <c r="Z12339" s="18" t="s">
        <v>15964</v>
      </c>
      <c r="AA12339" s="21" t="str">
        <f>HYPERLINK("https://www.ncbi.nlm.nih.gov/nuccore/MH282832","NCBI Nucleotide")</f>
        <v>NCBI Nucleotide</v>
      </c>
    </row>
    <row r="12340" spans="1:27" x14ac:dyDescent="0.35">
      <c r="A12340">
        <v>1010947</v>
      </c>
      <c r="B12340">
        <v>11619</v>
      </c>
      <c r="C12340">
        <v>1</v>
      </c>
      <c r="D12340" s="17" t="s">
        <v>17166</v>
      </c>
      <c r="E12340" s="17"/>
      <c r="F12340" s="17" t="s">
        <v>17246</v>
      </c>
      <c r="G12340" s="17"/>
      <c r="H12340" s="17" t="s">
        <v>23950</v>
      </c>
      <c r="I12340" s="17" t="s">
        <v>23956</v>
      </c>
      <c r="J12340" s="17" t="s">
        <v>24017</v>
      </c>
      <c r="K12340" s="17"/>
      <c r="L12340" s="17" t="s">
        <v>24262</v>
      </c>
      <c r="M12340" s="17"/>
      <c r="N12340" s="17" t="s">
        <v>25249</v>
      </c>
      <c r="O12340" s="17" t="s">
        <v>26171</v>
      </c>
      <c r="P12340" s="17" t="s">
        <v>26282</v>
      </c>
      <c r="Q12340" s="17"/>
      <c r="R12340" s="25" t="str">
        <f>HYPERLINK("https://ictv.global/taxonomy/taxondetails?taxnode_id=202313309","Cytorhabdovirus chrysanthemi")</f>
        <v>Cytorhabdovirus chrysanthemi</v>
      </c>
      <c r="S12340" s="18" t="s">
        <v>30</v>
      </c>
      <c r="T12340" s="18" t="s">
        <v>26330</v>
      </c>
      <c r="U12340" s="18" t="s">
        <v>26331</v>
      </c>
      <c r="V12340" s="18" t="s">
        <v>26332</v>
      </c>
      <c r="W12340" s="18" t="s">
        <v>26333</v>
      </c>
      <c r="X12340" s="18" t="s">
        <v>42</v>
      </c>
      <c r="Y12340" s="18" t="s">
        <v>23964</v>
      </c>
      <c r="Z12340" s="18" t="s">
        <v>13441</v>
      </c>
      <c r="AA12340" s="21" t="str">
        <f>HYPERLINK("https://www.ncbi.nlm.nih.gov/nuccore/MW039593","NCBI Nucleotide")</f>
        <v>NCBI Nucleotide</v>
      </c>
    </row>
    <row r="12341" spans="1:27" x14ac:dyDescent="0.35">
      <c r="A12341">
        <v>1010948</v>
      </c>
      <c r="B12341">
        <v>11620</v>
      </c>
      <c r="C12341">
        <v>1</v>
      </c>
      <c r="D12341" s="17" t="s">
        <v>17166</v>
      </c>
      <c r="E12341" s="17"/>
      <c r="F12341" s="17" t="s">
        <v>17246</v>
      </c>
      <c r="G12341" s="17"/>
      <c r="H12341" s="17" t="s">
        <v>23950</v>
      </c>
      <c r="I12341" s="17" t="s">
        <v>23956</v>
      </c>
      <c r="J12341" s="17" t="s">
        <v>24017</v>
      </c>
      <c r="K12341" s="17"/>
      <c r="L12341" s="17" t="s">
        <v>24262</v>
      </c>
      <c r="M12341" s="17"/>
      <c r="N12341" s="17" t="s">
        <v>25249</v>
      </c>
      <c r="O12341" s="17" t="s">
        <v>26171</v>
      </c>
      <c r="P12341" s="17" t="s">
        <v>26282</v>
      </c>
      <c r="Q12341" s="17"/>
      <c r="R12341" s="25" t="str">
        <f>HYPERLINK("https://ictv.global/taxonomy/taxondetails?taxnode_id=202301670","Cytorhabdovirus colocasiae")</f>
        <v>Cytorhabdovirus colocasiae</v>
      </c>
      <c r="S12341" s="18" t="s">
        <v>30</v>
      </c>
      <c r="T12341" s="18" t="s">
        <v>26334</v>
      </c>
      <c r="U12341" s="18" t="s">
        <v>26335</v>
      </c>
      <c r="V12341" s="18" t="s">
        <v>26336</v>
      </c>
      <c r="W12341" s="18" t="s">
        <v>26337</v>
      </c>
      <c r="X12341" s="18" t="s">
        <v>42</v>
      </c>
      <c r="Y12341" s="18" t="s">
        <v>23964</v>
      </c>
      <c r="Z12341" s="18" t="s">
        <v>13441</v>
      </c>
      <c r="AA12341" s="21" t="str">
        <f>HYPERLINK("https://www.ncbi.nlm.nih.gov/nuccore/KT381973","NCBI Nucleotide")</f>
        <v>NCBI Nucleotide</v>
      </c>
    </row>
    <row r="12342" spans="1:27" x14ac:dyDescent="0.35">
      <c r="A12342">
        <v>1010949</v>
      </c>
      <c r="B12342">
        <v>11621</v>
      </c>
      <c r="C12342">
        <v>1</v>
      </c>
      <c r="D12342" s="17" t="s">
        <v>17166</v>
      </c>
      <c r="E12342" s="17"/>
      <c r="F12342" s="17" t="s">
        <v>17246</v>
      </c>
      <c r="G12342" s="17"/>
      <c r="H12342" s="17" t="s">
        <v>23950</v>
      </c>
      <c r="I12342" s="17" t="s">
        <v>23956</v>
      </c>
      <c r="J12342" s="17" t="s">
        <v>24017</v>
      </c>
      <c r="K12342" s="17"/>
      <c r="L12342" s="17" t="s">
        <v>24262</v>
      </c>
      <c r="M12342" s="17"/>
      <c r="N12342" s="17" t="s">
        <v>25249</v>
      </c>
      <c r="O12342" s="17" t="s">
        <v>26171</v>
      </c>
      <c r="P12342" s="17" t="s">
        <v>26282</v>
      </c>
      <c r="Q12342" s="17"/>
      <c r="R12342" s="25" t="str">
        <f>HYPERLINK("https://ictv.global/taxonomy/taxondetails?taxnode_id=202313310","Cytorhabdovirus cucurbitae")</f>
        <v>Cytorhabdovirus cucurbitae</v>
      </c>
      <c r="S12342" s="18" t="s">
        <v>30</v>
      </c>
      <c r="T12342" s="18" t="s">
        <v>26338</v>
      </c>
      <c r="U12342" s="18" t="s">
        <v>26339</v>
      </c>
      <c r="V12342" s="18" t="s">
        <v>26340</v>
      </c>
      <c r="W12342" s="18" t="s">
        <v>26341</v>
      </c>
      <c r="X12342" s="18" t="s">
        <v>42</v>
      </c>
      <c r="Y12342" s="18" t="s">
        <v>23964</v>
      </c>
      <c r="Z12342" s="18" t="s">
        <v>13441</v>
      </c>
      <c r="AA12342" s="21" t="str">
        <f>HYPERLINK("https://www.ncbi.nlm.nih.gov/nuccore/MT381995","NCBI Nucleotide")</f>
        <v>NCBI Nucleotide</v>
      </c>
    </row>
    <row r="12343" spans="1:27" x14ac:dyDescent="0.35">
      <c r="A12343">
        <v>1027599</v>
      </c>
      <c r="B12343">
        <v>11622</v>
      </c>
      <c r="C12343">
        <v>1</v>
      </c>
      <c r="D12343" s="17" t="s">
        <v>17166</v>
      </c>
      <c r="E12343" s="17"/>
      <c r="F12343" s="17" t="s">
        <v>17246</v>
      </c>
      <c r="G12343" s="17"/>
      <c r="H12343" s="17" t="s">
        <v>23950</v>
      </c>
      <c r="I12343" s="17" t="s">
        <v>23956</v>
      </c>
      <c r="J12343" s="17" t="s">
        <v>24017</v>
      </c>
      <c r="K12343" s="17"/>
      <c r="L12343" s="17" t="s">
        <v>24262</v>
      </c>
      <c r="M12343" s="17"/>
      <c r="N12343" s="17" t="s">
        <v>25249</v>
      </c>
      <c r="O12343" s="17" t="s">
        <v>26171</v>
      </c>
      <c r="P12343" s="17" t="s">
        <v>26282</v>
      </c>
      <c r="Q12343" s="17"/>
      <c r="R12343" s="25" t="str">
        <f>HYPERLINK("https://ictv.global/taxonomy/taxondetails?taxnode_id=202317915","Cytorhabdovirus daphnis")</f>
        <v>Cytorhabdovirus daphnis</v>
      </c>
      <c r="S12343" s="18" t="s">
        <v>30</v>
      </c>
      <c r="T12343" s="18" t="s">
        <v>46769</v>
      </c>
      <c r="U12343" s="18" t="s">
        <v>46770</v>
      </c>
      <c r="V12343" s="18" t="s">
        <v>19294</v>
      </c>
      <c r="W12343" s="18" t="s">
        <v>46771</v>
      </c>
      <c r="X12343" s="18" t="s">
        <v>42</v>
      </c>
      <c r="Y12343" s="18" t="s">
        <v>23964</v>
      </c>
      <c r="Z12343" s="18" t="s">
        <v>13441</v>
      </c>
      <c r="AA12343" s="21" t="str">
        <f>HYPERLINK("https://www.ncbi.nlm.nih.gov/nuccore/OP180101","NCBI Nucleotide")</f>
        <v>NCBI Nucleotide</v>
      </c>
    </row>
    <row r="12344" spans="1:27" x14ac:dyDescent="0.35">
      <c r="A12344">
        <v>1010950</v>
      </c>
      <c r="B12344">
        <v>11623</v>
      </c>
      <c r="C12344">
        <v>1</v>
      </c>
      <c r="D12344" s="17" t="s">
        <v>17166</v>
      </c>
      <c r="E12344" s="17"/>
      <c r="F12344" s="17" t="s">
        <v>17246</v>
      </c>
      <c r="G12344" s="17"/>
      <c r="H12344" s="17" t="s">
        <v>23950</v>
      </c>
      <c r="I12344" s="17" t="s">
        <v>23956</v>
      </c>
      <c r="J12344" s="17" t="s">
        <v>24017</v>
      </c>
      <c r="K12344" s="17"/>
      <c r="L12344" s="17" t="s">
        <v>24262</v>
      </c>
      <c r="M12344" s="17"/>
      <c r="N12344" s="17" t="s">
        <v>25249</v>
      </c>
      <c r="O12344" s="17" t="s">
        <v>26171</v>
      </c>
      <c r="P12344" s="17" t="s">
        <v>26282</v>
      </c>
      <c r="Q12344" s="17"/>
      <c r="R12344" s="25" t="str">
        <f>HYPERLINK("https://ictv.global/taxonomy/taxondetails?taxnode_id=202301671","Cytorhabdovirus festucae")</f>
        <v>Cytorhabdovirus festucae</v>
      </c>
      <c r="S12344" s="18" t="s">
        <v>30</v>
      </c>
      <c r="T12344" s="18" t="s">
        <v>26342</v>
      </c>
      <c r="U12344" s="18" t="s">
        <v>26343</v>
      </c>
      <c r="V12344" s="18"/>
      <c r="W12344" s="18"/>
      <c r="X12344" s="18" t="s">
        <v>3311</v>
      </c>
      <c r="Y12344" s="18" t="s">
        <v>23964</v>
      </c>
      <c r="Z12344" s="18" t="s">
        <v>15964</v>
      </c>
      <c r="AA12344" s="21"/>
    </row>
    <row r="12345" spans="1:27" x14ac:dyDescent="0.35">
      <c r="A12345">
        <v>1010951</v>
      </c>
      <c r="B12345">
        <v>11624</v>
      </c>
      <c r="C12345">
        <v>1</v>
      </c>
      <c r="D12345" s="17" t="s">
        <v>17166</v>
      </c>
      <c r="E12345" s="17"/>
      <c r="F12345" s="17" t="s">
        <v>17246</v>
      </c>
      <c r="G12345" s="17"/>
      <c r="H12345" s="17" t="s">
        <v>23950</v>
      </c>
      <c r="I12345" s="17" t="s">
        <v>23956</v>
      </c>
      <c r="J12345" s="17" t="s">
        <v>24017</v>
      </c>
      <c r="K12345" s="17"/>
      <c r="L12345" s="17" t="s">
        <v>24262</v>
      </c>
      <c r="M12345" s="17"/>
      <c r="N12345" s="17" t="s">
        <v>25249</v>
      </c>
      <c r="O12345" s="17" t="s">
        <v>26171</v>
      </c>
      <c r="P12345" s="17" t="s">
        <v>26282</v>
      </c>
      <c r="Q12345" s="17"/>
      <c r="R12345" s="25" t="str">
        <f>HYPERLINK("https://ictv.global/taxonomy/taxondetails?taxnode_id=202307674","Cytorhabdovirus flaviyerbamate")</f>
        <v>Cytorhabdovirus flaviyerbamate</v>
      </c>
      <c r="S12345" s="18" t="s">
        <v>30</v>
      </c>
      <c r="T12345" s="18" t="s">
        <v>26344</v>
      </c>
      <c r="U12345" s="18" t="s">
        <v>26345</v>
      </c>
      <c r="V12345" s="18" t="s">
        <v>26346</v>
      </c>
      <c r="W12345" s="18" t="s">
        <v>26347</v>
      </c>
      <c r="X12345" s="18" t="s">
        <v>42</v>
      </c>
      <c r="Y12345" s="18" t="s">
        <v>23964</v>
      </c>
      <c r="Z12345" s="18" t="s">
        <v>15964</v>
      </c>
      <c r="AA12345" s="21" t="str">
        <f>HYPERLINK("https://www.ncbi.nlm.nih.gov/nuccore/KY366322","NCBI Nucleotide")</f>
        <v>NCBI Nucleotide</v>
      </c>
    </row>
    <row r="12346" spans="1:27" x14ac:dyDescent="0.35">
      <c r="A12346">
        <v>1010952</v>
      </c>
      <c r="B12346">
        <v>11625</v>
      </c>
      <c r="C12346">
        <v>1</v>
      </c>
      <c r="D12346" s="17" t="s">
        <v>17166</v>
      </c>
      <c r="E12346" s="17"/>
      <c r="F12346" s="17" t="s">
        <v>17246</v>
      </c>
      <c r="G12346" s="17"/>
      <c r="H12346" s="17" t="s">
        <v>23950</v>
      </c>
      <c r="I12346" s="17" t="s">
        <v>23956</v>
      </c>
      <c r="J12346" s="17" t="s">
        <v>24017</v>
      </c>
      <c r="K12346" s="17"/>
      <c r="L12346" s="17" t="s">
        <v>24262</v>
      </c>
      <c r="M12346" s="17"/>
      <c r="N12346" s="17" t="s">
        <v>25249</v>
      </c>
      <c r="O12346" s="17" t="s">
        <v>26171</v>
      </c>
      <c r="P12346" s="17" t="s">
        <v>26282</v>
      </c>
      <c r="Q12346" s="17"/>
      <c r="R12346" s="25" t="str">
        <f>HYPERLINK("https://ictv.global/taxonomy/taxondetails?taxnode_id=202308907","Cytorhabdovirus fragariae")</f>
        <v>Cytorhabdovirus fragariae</v>
      </c>
      <c r="S12346" s="18" t="s">
        <v>30</v>
      </c>
      <c r="T12346" s="18" t="s">
        <v>26348</v>
      </c>
      <c r="U12346" s="18" t="s">
        <v>26349</v>
      </c>
      <c r="V12346" s="18" t="s">
        <v>26350</v>
      </c>
      <c r="W12346" s="18" t="s">
        <v>26351</v>
      </c>
      <c r="X12346" s="18" t="s">
        <v>42</v>
      </c>
      <c r="Y12346" s="18" t="s">
        <v>23964</v>
      </c>
      <c r="Z12346" s="18" t="s">
        <v>13441</v>
      </c>
      <c r="AA12346" s="21" t="str">
        <f>HYPERLINK("https://www.ncbi.nlm.nih.gov/nuccore/MK211271","NCBI Nucleotide")</f>
        <v>NCBI Nucleotide</v>
      </c>
    </row>
    <row r="12347" spans="1:27" x14ac:dyDescent="0.35">
      <c r="A12347">
        <v>1012888</v>
      </c>
      <c r="B12347">
        <v>11625</v>
      </c>
      <c r="C12347">
        <v>2</v>
      </c>
      <c r="D12347" s="17" t="s">
        <v>17166</v>
      </c>
      <c r="E12347" s="17"/>
      <c r="F12347" s="17" t="s">
        <v>17246</v>
      </c>
      <c r="G12347" s="17"/>
      <c r="H12347" s="17" t="s">
        <v>23950</v>
      </c>
      <c r="I12347" s="17" t="s">
        <v>23956</v>
      </c>
      <c r="J12347" s="17" t="s">
        <v>24017</v>
      </c>
      <c r="K12347" s="17"/>
      <c r="L12347" s="17" t="s">
        <v>24262</v>
      </c>
      <c r="M12347" s="17"/>
      <c r="N12347" s="17" t="s">
        <v>25249</v>
      </c>
      <c r="O12347" s="17" t="s">
        <v>26171</v>
      </c>
      <c r="P12347" s="17" t="s">
        <v>26282</v>
      </c>
      <c r="Q12347" s="17"/>
      <c r="R12347" s="25" t="str">
        <f>HYPERLINK("https://ictv.global/taxonomy/taxondetails?taxnode_id=202308907","Cytorhabdovirus fragariae")</f>
        <v>Cytorhabdovirus fragariae</v>
      </c>
      <c r="S12347" s="18" t="s">
        <v>8141</v>
      </c>
      <c r="T12347" s="18" t="s">
        <v>26436</v>
      </c>
      <c r="U12347" s="18" t="s">
        <v>26437</v>
      </c>
      <c r="V12347" s="18"/>
      <c r="W12347" s="18" t="s">
        <v>49444</v>
      </c>
      <c r="X12347" s="18" t="s">
        <v>42</v>
      </c>
      <c r="Y12347" s="18" t="s">
        <v>23964</v>
      </c>
      <c r="Z12347" s="18" t="s">
        <v>13441</v>
      </c>
      <c r="AA12347" s="21" t="str">
        <f>HYPERLINK("https://www.ncbi.nlm.nih.gov/nuccore/MK159261","NCBI Nucleotide")</f>
        <v>NCBI Nucleotide</v>
      </c>
    </row>
    <row r="12348" spans="1:27" x14ac:dyDescent="0.35">
      <c r="A12348">
        <v>1010953</v>
      </c>
      <c r="B12348">
        <v>11626</v>
      </c>
      <c r="C12348">
        <v>1</v>
      </c>
      <c r="D12348" s="17" t="s">
        <v>17166</v>
      </c>
      <c r="E12348" s="17"/>
      <c r="F12348" s="17" t="s">
        <v>17246</v>
      </c>
      <c r="G12348" s="17"/>
      <c r="H12348" s="17" t="s">
        <v>23950</v>
      </c>
      <c r="I12348" s="17" t="s">
        <v>23956</v>
      </c>
      <c r="J12348" s="17" t="s">
        <v>24017</v>
      </c>
      <c r="K12348" s="17"/>
      <c r="L12348" s="17" t="s">
        <v>24262</v>
      </c>
      <c r="M12348" s="17"/>
      <c r="N12348" s="17" t="s">
        <v>25249</v>
      </c>
      <c r="O12348" s="17" t="s">
        <v>26171</v>
      </c>
      <c r="P12348" s="17" t="s">
        <v>26282</v>
      </c>
      <c r="Q12348" s="17"/>
      <c r="R12348" s="25" t="str">
        <f>HYPERLINK("https://ictv.global/taxonomy/taxondetails?taxnode_id=202301676","Cytorhabdovirus fragariarugosus")</f>
        <v>Cytorhabdovirus fragariarugosus</v>
      </c>
      <c r="S12348" s="18" t="s">
        <v>30</v>
      </c>
      <c r="T12348" s="18" t="s">
        <v>26352</v>
      </c>
      <c r="U12348" s="18" t="s">
        <v>26353</v>
      </c>
      <c r="V12348" s="18" t="s">
        <v>8141</v>
      </c>
      <c r="W12348" s="18" t="s">
        <v>26354</v>
      </c>
      <c r="X12348" s="18" t="s">
        <v>42</v>
      </c>
      <c r="Y12348" s="18" t="s">
        <v>23964</v>
      </c>
      <c r="Z12348" s="18" t="s">
        <v>15964</v>
      </c>
      <c r="AA12348" s="21" t="str">
        <f>HYPERLINK("https://www.ncbi.nlm.nih.gov/nuccore/MH129615","NCBI Nucleotide")</f>
        <v>NCBI Nucleotide</v>
      </c>
    </row>
    <row r="12349" spans="1:27" x14ac:dyDescent="0.35">
      <c r="A12349">
        <v>1010954</v>
      </c>
      <c r="B12349">
        <v>11627</v>
      </c>
      <c r="C12349">
        <v>1</v>
      </c>
      <c r="D12349" s="17" t="s">
        <v>17166</v>
      </c>
      <c r="E12349" s="17"/>
      <c r="F12349" s="17" t="s">
        <v>17246</v>
      </c>
      <c r="G12349" s="17"/>
      <c r="H12349" s="17" t="s">
        <v>23950</v>
      </c>
      <c r="I12349" s="17" t="s">
        <v>23956</v>
      </c>
      <c r="J12349" s="17" t="s">
        <v>24017</v>
      </c>
      <c r="K12349" s="17"/>
      <c r="L12349" s="17" t="s">
        <v>24262</v>
      </c>
      <c r="M12349" s="17"/>
      <c r="N12349" s="17" t="s">
        <v>25249</v>
      </c>
      <c r="O12349" s="17" t="s">
        <v>26171</v>
      </c>
      <c r="P12349" s="17" t="s">
        <v>26282</v>
      </c>
      <c r="Q12349" s="17"/>
      <c r="R12349" s="25" t="str">
        <f>HYPERLINK("https://ictv.global/taxonomy/taxondetails?taxnode_id=202307677","Cytorhabdovirus gammawuhaninsectum")</f>
        <v>Cytorhabdovirus gammawuhaninsectum</v>
      </c>
      <c r="S12349" s="18" t="s">
        <v>30</v>
      </c>
      <c r="T12349" s="18" t="s">
        <v>26355</v>
      </c>
      <c r="U12349" s="18" t="s">
        <v>26356</v>
      </c>
      <c r="V12349" s="18" t="s">
        <v>26357</v>
      </c>
      <c r="W12349" s="18" t="s">
        <v>26358</v>
      </c>
      <c r="X12349" s="18" t="s">
        <v>35</v>
      </c>
      <c r="Y12349" s="18" t="s">
        <v>23964</v>
      </c>
      <c r="Z12349" s="18" t="s">
        <v>10790</v>
      </c>
      <c r="AA12349" s="21" t="str">
        <f>HYPERLINK("https://www.ncbi.nlm.nih.gov/nuccore/KM817652","NCBI Nucleotide")</f>
        <v>NCBI Nucleotide</v>
      </c>
    </row>
    <row r="12350" spans="1:27" x14ac:dyDescent="0.35">
      <c r="A12350">
        <v>1010955</v>
      </c>
      <c r="B12350">
        <v>11628</v>
      </c>
      <c r="C12350">
        <v>1</v>
      </c>
      <c r="D12350" s="17" t="s">
        <v>17166</v>
      </c>
      <c r="E12350" s="17"/>
      <c r="F12350" s="17" t="s">
        <v>17246</v>
      </c>
      <c r="G12350" s="17"/>
      <c r="H12350" s="17" t="s">
        <v>23950</v>
      </c>
      <c r="I12350" s="17" t="s">
        <v>23956</v>
      </c>
      <c r="J12350" s="17" t="s">
        <v>24017</v>
      </c>
      <c r="K12350" s="17"/>
      <c r="L12350" s="17" t="s">
        <v>24262</v>
      </c>
      <c r="M12350" s="17"/>
      <c r="N12350" s="17" t="s">
        <v>25249</v>
      </c>
      <c r="O12350" s="17" t="s">
        <v>26171</v>
      </c>
      <c r="P12350" s="17" t="s">
        <v>26282</v>
      </c>
      <c r="Q12350" s="17"/>
      <c r="R12350" s="25" t="str">
        <f>HYPERLINK("https://ictv.global/taxonomy/taxondetails?taxnode_id=202314170","Cytorhabdovirus glehniae")</f>
        <v>Cytorhabdovirus glehniae</v>
      </c>
      <c r="S12350" s="18" t="s">
        <v>30</v>
      </c>
      <c r="T12350" s="18" t="s">
        <v>26359</v>
      </c>
      <c r="U12350" s="18" t="s">
        <v>26360</v>
      </c>
      <c r="V12350" s="18" t="s">
        <v>26361</v>
      </c>
      <c r="W12350" s="18" t="s">
        <v>26362</v>
      </c>
      <c r="X12350" s="18" t="s">
        <v>35</v>
      </c>
      <c r="Y12350" s="18" t="s">
        <v>23964</v>
      </c>
      <c r="Z12350" s="18" t="s">
        <v>13441</v>
      </c>
      <c r="AA12350" s="21" t="str">
        <f>HYPERLINK("https://www.ncbi.nlm.nih.gov/nuccore/BK014304","NCBI Nucleotide")</f>
        <v>NCBI Nucleotide</v>
      </c>
    </row>
    <row r="12351" spans="1:27" x14ac:dyDescent="0.35">
      <c r="A12351">
        <v>1027600</v>
      </c>
      <c r="B12351">
        <v>11629</v>
      </c>
      <c r="C12351">
        <v>1</v>
      </c>
      <c r="D12351" s="17" t="s">
        <v>17166</v>
      </c>
      <c r="E12351" s="17"/>
      <c r="F12351" s="17" t="s">
        <v>17246</v>
      </c>
      <c r="G12351" s="17"/>
      <c r="H12351" s="17" t="s">
        <v>23950</v>
      </c>
      <c r="I12351" s="17" t="s">
        <v>23956</v>
      </c>
      <c r="J12351" s="17" t="s">
        <v>24017</v>
      </c>
      <c r="K12351" s="17"/>
      <c r="L12351" s="17" t="s">
        <v>24262</v>
      </c>
      <c r="M12351" s="17"/>
      <c r="N12351" s="17" t="s">
        <v>25249</v>
      </c>
      <c r="O12351" s="17" t="s">
        <v>26171</v>
      </c>
      <c r="P12351" s="17" t="s">
        <v>26282</v>
      </c>
      <c r="Q12351" s="17"/>
      <c r="R12351" s="25" t="str">
        <f>HYPERLINK("https://ictv.global/taxonomy/taxondetails?taxnode_id=202317922","Cytorhabdovirus glycinis")</f>
        <v>Cytorhabdovirus glycinis</v>
      </c>
      <c r="S12351" s="18" t="s">
        <v>30</v>
      </c>
      <c r="T12351" s="18" t="s">
        <v>46772</v>
      </c>
      <c r="U12351" s="18" t="s">
        <v>15269</v>
      </c>
      <c r="V12351" s="18" t="s">
        <v>46773</v>
      </c>
      <c r="W12351" s="18" t="s">
        <v>46774</v>
      </c>
      <c r="X12351" s="18" t="s">
        <v>42</v>
      </c>
      <c r="Y12351" s="18" t="s">
        <v>23964</v>
      </c>
      <c r="Z12351" s="18" t="s">
        <v>13441</v>
      </c>
      <c r="AA12351" s="21" t="str">
        <f>HYPERLINK("https://www.ncbi.nlm.nih.gov/nuccore/OM681518","NCBI Nucleotide")</f>
        <v>NCBI Nucleotide</v>
      </c>
    </row>
    <row r="12352" spans="1:27" x14ac:dyDescent="0.35">
      <c r="A12352">
        <v>1010956</v>
      </c>
      <c r="B12352">
        <v>11630</v>
      </c>
      <c r="C12352">
        <v>1</v>
      </c>
      <c r="D12352" s="17" t="s">
        <v>17166</v>
      </c>
      <c r="E12352" s="17"/>
      <c r="F12352" s="17" t="s">
        <v>17246</v>
      </c>
      <c r="G12352" s="17"/>
      <c r="H12352" s="17" t="s">
        <v>23950</v>
      </c>
      <c r="I12352" s="17" t="s">
        <v>23956</v>
      </c>
      <c r="J12352" s="17" t="s">
        <v>24017</v>
      </c>
      <c r="K12352" s="17"/>
      <c r="L12352" s="17" t="s">
        <v>24262</v>
      </c>
      <c r="M12352" s="17"/>
      <c r="N12352" s="17" t="s">
        <v>25249</v>
      </c>
      <c r="O12352" s="17" t="s">
        <v>26171</v>
      </c>
      <c r="P12352" s="17" t="s">
        <v>26282</v>
      </c>
      <c r="Q12352" s="17"/>
      <c r="R12352" s="25" t="str">
        <f>HYPERLINK("https://ictv.global/taxonomy/taxondetails?taxnode_id=202301674","Cytorhabdovirus gramineae")</f>
        <v>Cytorhabdovirus gramineae</v>
      </c>
      <c r="S12352" s="18" t="s">
        <v>30</v>
      </c>
      <c r="T12352" s="18" t="s">
        <v>26363</v>
      </c>
      <c r="U12352" s="18" t="s">
        <v>26364</v>
      </c>
      <c r="V12352" s="18" t="s">
        <v>26365</v>
      </c>
      <c r="W12352" s="18" t="s">
        <v>26366</v>
      </c>
      <c r="X12352" s="18" t="s">
        <v>42</v>
      </c>
      <c r="Y12352" s="18" t="s">
        <v>23964</v>
      </c>
      <c r="Z12352" s="18" t="s">
        <v>15964</v>
      </c>
      <c r="AA12352" s="21" t="str">
        <f>HYPERLINK("https://www.ncbi.nlm.nih.gov/nuccore/AB030277","NCBI Nucleotide")</f>
        <v>NCBI Nucleotide</v>
      </c>
    </row>
    <row r="12353" spans="1:27" x14ac:dyDescent="0.35">
      <c r="A12353">
        <v>1010957</v>
      </c>
      <c r="B12353">
        <v>11631</v>
      </c>
      <c r="C12353">
        <v>1</v>
      </c>
      <c r="D12353" s="17" t="s">
        <v>17166</v>
      </c>
      <c r="E12353" s="17"/>
      <c r="F12353" s="17" t="s">
        <v>17246</v>
      </c>
      <c r="G12353" s="17"/>
      <c r="H12353" s="17" t="s">
        <v>23950</v>
      </c>
      <c r="I12353" s="17" t="s">
        <v>23956</v>
      </c>
      <c r="J12353" s="17" t="s">
        <v>24017</v>
      </c>
      <c r="K12353" s="17"/>
      <c r="L12353" s="17" t="s">
        <v>24262</v>
      </c>
      <c r="M12353" s="17"/>
      <c r="N12353" s="17" t="s">
        <v>25249</v>
      </c>
      <c r="O12353" s="17" t="s">
        <v>26171</v>
      </c>
      <c r="P12353" s="17" t="s">
        <v>26282</v>
      </c>
      <c r="Q12353" s="17"/>
      <c r="R12353" s="25" t="str">
        <f>HYPERLINK("https://ictv.global/taxonomy/taxondetails?taxnode_id=202301668","Cytorhabdovirus hordei")</f>
        <v>Cytorhabdovirus hordei</v>
      </c>
      <c r="S12353" s="18" t="s">
        <v>30</v>
      </c>
      <c r="T12353" s="18" t="s">
        <v>26367</v>
      </c>
      <c r="U12353" s="18" t="s">
        <v>26368</v>
      </c>
      <c r="V12353" s="18" t="s">
        <v>26365</v>
      </c>
      <c r="W12353" s="18" t="s">
        <v>26369</v>
      </c>
      <c r="X12353" s="18" t="s">
        <v>42</v>
      </c>
      <c r="Y12353" s="18" t="s">
        <v>23964</v>
      </c>
      <c r="Z12353" s="18" t="s">
        <v>15964</v>
      </c>
      <c r="AA12353" s="21" t="str">
        <f>HYPERLINK("https://www.ncbi.nlm.nih.gov/nuccore/KM213865","NCBI Nucleotide")</f>
        <v>NCBI Nucleotide</v>
      </c>
    </row>
    <row r="12354" spans="1:27" x14ac:dyDescent="0.35">
      <c r="A12354">
        <v>1027601</v>
      </c>
      <c r="B12354">
        <v>11632</v>
      </c>
      <c r="C12354">
        <v>1</v>
      </c>
      <c r="D12354" s="17" t="s">
        <v>17166</v>
      </c>
      <c r="E12354" s="17"/>
      <c r="F12354" s="17" t="s">
        <v>17246</v>
      </c>
      <c r="G12354" s="17"/>
      <c r="H12354" s="17" t="s">
        <v>23950</v>
      </c>
      <c r="I12354" s="17" t="s">
        <v>23956</v>
      </c>
      <c r="J12354" s="17" t="s">
        <v>24017</v>
      </c>
      <c r="K12354" s="17"/>
      <c r="L12354" s="17" t="s">
        <v>24262</v>
      </c>
      <c r="M12354" s="17"/>
      <c r="N12354" s="17" t="s">
        <v>25249</v>
      </c>
      <c r="O12354" s="17" t="s">
        <v>26171</v>
      </c>
      <c r="P12354" s="17" t="s">
        <v>26282</v>
      </c>
      <c r="Q12354" s="17"/>
      <c r="R12354" s="25" t="str">
        <f>HYPERLINK("https://ictv.global/taxonomy/taxondetails?taxnode_id=202317916","Cytorhabdovirus hyptisis")</f>
        <v>Cytorhabdovirus hyptisis</v>
      </c>
      <c r="S12354" s="18" t="s">
        <v>30</v>
      </c>
      <c r="T12354" s="18" t="s">
        <v>46775</v>
      </c>
      <c r="U12354" s="18" t="s">
        <v>19405</v>
      </c>
      <c r="V12354" s="18" t="s">
        <v>46776</v>
      </c>
      <c r="W12354" s="18" t="s">
        <v>46777</v>
      </c>
      <c r="X12354" s="18" t="s">
        <v>42</v>
      </c>
      <c r="Y12354" s="18" t="s">
        <v>23964</v>
      </c>
      <c r="Z12354" s="18" t="s">
        <v>13441</v>
      </c>
      <c r="AA12354" s="21" t="str">
        <f>HYPERLINK("https://www.ncbi.nlm.nih.gov/nuccore/ON073823","NCBI Nucleotide")</f>
        <v>NCBI Nucleotide</v>
      </c>
    </row>
    <row r="12355" spans="1:27" x14ac:dyDescent="0.35">
      <c r="A12355">
        <v>1010958</v>
      </c>
      <c r="B12355">
        <v>11633</v>
      </c>
      <c r="C12355">
        <v>1</v>
      </c>
      <c r="D12355" s="17" t="s">
        <v>17166</v>
      </c>
      <c r="E12355" s="17"/>
      <c r="F12355" s="17" t="s">
        <v>17246</v>
      </c>
      <c r="G12355" s="17"/>
      <c r="H12355" s="17" t="s">
        <v>23950</v>
      </c>
      <c r="I12355" s="17" t="s">
        <v>23956</v>
      </c>
      <c r="J12355" s="17" t="s">
        <v>24017</v>
      </c>
      <c r="K12355" s="17"/>
      <c r="L12355" s="17" t="s">
        <v>24262</v>
      </c>
      <c r="M12355" s="17"/>
      <c r="N12355" s="17" t="s">
        <v>25249</v>
      </c>
      <c r="O12355" s="17" t="s">
        <v>26171</v>
      </c>
      <c r="P12355" s="17" t="s">
        <v>26282</v>
      </c>
      <c r="Q12355" s="17"/>
      <c r="R12355" s="25" t="str">
        <f>HYPERLINK("https://ictv.global/taxonomy/taxondetails?taxnode_id=202314172","Cytorhabdovirus kenyatuberosum")</f>
        <v>Cytorhabdovirus kenyatuberosum</v>
      </c>
      <c r="S12355" s="18" t="s">
        <v>30</v>
      </c>
      <c r="T12355" s="18" t="s">
        <v>26370</v>
      </c>
      <c r="U12355" s="18" t="s">
        <v>26371</v>
      </c>
      <c r="V12355" s="18" t="s">
        <v>26372</v>
      </c>
      <c r="W12355" s="18" t="s">
        <v>26373</v>
      </c>
      <c r="X12355" s="18" t="s">
        <v>35</v>
      </c>
      <c r="Y12355" s="18" t="s">
        <v>23964</v>
      </c>
      <c r="Z12355" s="18" t="s">
        <v>13441</v>
      </c>
      <c r="AA12355" s="21" t="str">
        <f>HYPERLINK("https://www.ncbi.nlm.nih.gov/nuccore/MN689395","NCBI Nucleotide")</f>
        <v>NCBI Nucleotide</v>
      </c>
    </row>
    <row r="12356" spans="1:27" x14ac:dyDescent="0.35">
      <c r="A12356">
        <v>1010959</v>
      </c>
      <c r="B12356">
        <v>11634</v>
      </c>
      <c r="C12356">
        <v>1</v>
      </c>
      <c r="D12356" s="17" t="s">
        <v>17166</v>
      </c>
      <c r="E12356" s="17"/>
      <c r="F12356" s="17" t="s">
        <v>17246</v>
      </c>
      <c r="G12356" s="17"/>
      <c r="H12356" s="17" t="s">
        <v>23950</v>
      </c>
      <c r="I12356" s="17" t="s">
        <v>23956</v>
      </c>
      <c r="J12356" s="17" t="s">
        <v>24017</v>
      </c>
      <c r="K12356" s="17"/>
      <c r="L12356" s="17" t="s">
        <v>24262</v>
      </c>
      <c r="M12356" s="17"/>
      <c r="N12356" s="17" t="s">
        <v>25249</v>
      </c>
      <c r="O12356" s="17" t="s">
        <v>26171</v>
      </c>
      <c r="P12356" s="17" t="s">
        <v>26282</v>
      </c>
      <c r="Q12356" s="17"/>
      <c r="R12356" s="25" t="str">
        <f>HYPERLINK("https://ictv.global/taxonomy/taxondetails?taxnode_id=202301673","Cytorhabdovirus lactucamaculante")</f>
        <v>Cytorhabdovirus lactucamaculante</v>
      </c>
      <c r="S12356" s="18" t="s">
        <v>30</v>
      </c>
      <c r="T12356" s="18" t="s">
        <v>26374</v>
      </c>
      <c r="U12356" s="18" t="s">
        <v>26375</v>
      </c>
      <c r="V12356" s="18"/>
      <c r="W12356" s="18" t="s">
        <v>26376</v>
      </c>
      <c r="X12356" s="18" t="s">
        <v>42</v>
      </c>
      <c r="Y12356" s="18" t="s">
        <v>23964</v>
      </c>
      <c r="Z12356" s="18" t="s">
        <v>15964</v>
      </c>
      <c r="AA12356" s="21" t="str">
        <f>HYPERLINK("https://www.ncbi.nlm.nih.gov/nuccore/EF687738","NCBI Nucleotide")</f>
        <v>NCBI Nucleotide</v>
      </c>
    </row>
    <row r="12357" spans="1:27" x14ac:dyDescent="0.35">
      <c r="A12357">
        <v>1010960</v>
      </c>
      <c r="B12357">
        <v>11635</v>
      </c>
      <c r="C12357">
        <v>1</v>
      </c>
      <c r="D12357" s="17" t="s">
        <v>17166</v>
      </c>
      <c r="E12357" s="17"/>
      <c r="F12357" s="17" t="s">
        <v>17246</v>
      </c>
      <c r="G12357" s="17"/>
      <c r="H12357" s="17" t="s">
        <v>23950</v>
      </c>
      <c r="I12357" s="17" t="s">
        <v>23956</v>
      </c>
      <c r="J12357" s="17" t="s">
        <v>24017</v>
      </c>
      <c r="K12357" s="17"/>
      <c r="L12357" s="17" t="s">
        <v>24262</v>
      </c>
      <c r="M12357" s="17"/>
      <c r="N12357" s="17" t="s">
        <v>25249</v>
      </c>
      <c r="O12357" s="17" t="s">
        <v>26171</v>
      </c>
      <c r="P12357" s="17" t="s">
        <v>26282</v>
      </c>
      <c r="Q12357" s="17"/>
      <c r="R12357" s="25" t="str">
        <f>HYPERLINK("https://ictv.global/taxonomy/taxondetails?taxnode_id=202301672","Cytorhabdovirus lactucanecante")</f>
        <v>Cytorhabdovirus lactucanecante</v>
      </c>
      <c r="S12357" s="18" t="s">
        <v>30</v>
      </c>
      <c r="T12357" s="18" t="s">
        <v>26377</v>
      </c>
      <c r="U12357" s="18" t="s">
        <v>26378</v>
      </c>
      <c r="V12357" s="18">
        <v>318</v>
      </c>
      <c r="W12357" s="18" t="s">
        <v>26379</v>
      </c>
      <c r="X12357" s="18" t="s">
        <v>42</v>
      </c>
      <c r="Y12357" s="18" t="s">
        <v>23964</v>
      </c>
      <c r="Z12357" s="18" t="s">
        <v>15964</v>
      </c>
      <c r="AA12357" s="21" t="str">
        <f>HYPERLINK("https://www.ncbi.nlm.nih.gov/nuccore/AJ867584","NCBI Nucleotide")</f>
        <v>NCBI Nucleotide</v>
      </c>
    </row>
    <row r="12358" spans="1:27" x14ac:dyDescent="0.35">
      <c r="A12358">
        <v>1010961</v>
      </c>
      <c r="B12358">
        <v>11636</v>
      </c>
      <c r="C12358">
        <v>1</v>
      </c>
      <c r="D12358" s="17" t="s">
        <v>17166</v>
      </c>
      <c r="E12358" s="17"/>
      <c r="F12358" s="17" t="s">
        <v>17246</v>
      </c>
      <c r="G12358" s="17"/>
      <c r="H12358" s="17" t="s">
        <v>23950</v>
      </c>
      <c r="I12358" s="17" t="s">
        <v>23956</v>
      </c>
      <c r="J12358" s="17" t="s">
        <v>24017</v>
      </c>
      <c r="K12358" s="17"/>
      <c r="L12358" s="17" t="s">
        <v>24262</v>
      </c>
      <c r="M12358" s="17"/>
      <c r="N12358" s="17" t="s">
        <v>25249</v>
      </c>
      <c r="O12358" s="17" t="s">
        <v>26171</v>
      </c>
      <c r="P12358" s="17" t="s">
        <v>26282</v>
      </c>
      <c r="Q12358" s="17"/>
      <c r="R12358" s="25" t="str">
        <f>HYPERLINK("https://ictv.global/taxonomy/taxondetails?taxnode_id=202307673","Cytorhabdovirus lycopersici")</f>
        <v>Cytorhabdovirus lycopersici</v>
      </c>
      <c r="S12358" s="18" t="s">
        <v>30</v>
      </c>
      <c r="T12358" s="18" t="s">
        <v>26380</v>
      </c>
      <c r="U12358" s="18" t="s">
        <v>26381</v>
      </c>
      <c r="V12358" s="18" t="s">
        <v>17234</v>
      </c>
      <c r="W12358" s="18" t="s">
        <v>26382</v>
      </c>
      <c r="X12358" s="18" t="s">
        <v>35</v>
      </c>
      <c r="Y12358" s="18" t="s">
        <v>23964</v>
      </c>
      <c r="Z12358" s="18" t="s">
        <v>15964</v>
      </c>
      <c r="AA12358" s="21" t="str">
        <f>HYPERLINK("https://www.ncbi.nlm.nih.gov/nuccore/KY075646","NCBI Nucleotide")</f>
        <v>NCBI Nucleotide</v>
      </c>
    </row>
    <row r="12359" spans="1:27" x14ac:dyDescent="0.35">
      <c r="A12359">
        <v>1010962</v>
      </c>
      <c r="B12359">
        <v>11637</v>
      </c>
      <c r="C12359">
        <v>1</v>
      </c>
      <c r="D12359" s="17" t="s">
        <v>17166</v>
      </c>
      <c r="E12359" s="17"/>
      <c r="F12359" s="17" t="s">
        <v>17246</v>
      </c>
      <c r="G12359" s="17"/>
      <c r="H12359" s="17" t="s">
        <v>23950</v>
      </c>
      <c r="I12359" s="17" t="s">
        <v>23956</v>
      </c>
      <c r="J12359" s="17" t="s">
        <v>24017</v>
      </c>
      <c r="K12359" s="17"/>
      <c r="L12359" s="17" t="s">
        <v>24262</v>
      </c>
      <c r="M12359" s="17"/>
      <c r="N12359" s="17" t="s">
        <v>25249</v>
      </c>
      <c r="O12359" s="17" t="s">
        <v>26171</v>
      </c>
      <c r="P12359" s="17" t="s">
        <v>26282</v>
      </c>
      <c r="Q12359" s="17"/>
      <c r="R12359" s="25" t="str">
        <f>HYPERLINK("https://ictv.global/taxonomy/taxondetails?taxnode_id=202307667","Cytorhabdovirus maydis")</f>
        <v>Cytorhabdovirus maydis</v>
      </c>
      <c r="S12359" s="18" t="s">
        <v>30</v>
      </c>
      <c r="T12359" s="18" t="s">
        <v>26383</v>
      </c>
      <c r="U12359" s="18" t="s">
        <v>26384</v>
      </c>
      <c r="V12359" s="18" t="s">
        <v>660</v>
      </c>
      <c r="W12359" s="18" t="s">
        <v>26385</v>
      </c>
      <c r="X12359" s="18" t="s">
        <v>35</v>
      </c>
      <c r="Y12359" s="18" t="s">
        <v>23964</v>
      </c>
      <c r="Z12359" s="18" t="s">
        <v>15964</v>
      </c>
      <c r="AA12359" s="21" t="str">
        <f>HYPERLINK("https://www.ncbi.nlm.nih.gov/nuccore/KY965147","NCBI Nucleotide")</f>
        <v>NCBI Nucleotide</v>
      </c>
    </row>
    <row r="12360" spans="1:27" x14ac:dyDescent="0.35">
      <c r="A12360">
        <v>1010963</v>
      </c>
      <c r="B12360">
        <v>11638</v>
      </c>
      <c r="C12360">
        <v>1</v>
      </c>
      <c r="D12360" s="17" t="s">
        <v>17166</v>
      </c>
      <c r="E12360" s="17"/>
      <c r="F12360" s="17" t="s">
        <v>17246</v>
      </c>
      <c r="G12360" s="17"/>
      <c r="H12360" s="17" t="s">
        <v>23950</v>
      </c>
      <c r="I12360" s="17" t="s">
        <v>23956</v>
      </c>
      <c r="J12360" s="17" t="s">
        <v>24017</v>
      </c>
      <c r="K12360" s="17"/>
      <c r="L12360" s="17" t="s">
        <v>24262</v>
      </c>
      <c r="M12360" s="17"/>
      <c r="N12360" s="17" t="s">
        <v>25249</v>
      </c>
      <c r="O12360" s="17" t="s">
        <v>26171</v>
      </c>
      <c r="P12360" s="17" t="s">
        <v>26282</v>
      </c>
      <c r="Q12360" s="17"/>
      <c r="R12360" s="25" t="str">
        <f>HYPERLINK("https://ictv.global/taxonomy/taxondetails?taxnode_id=202307668","Cytorhabdovirus maysflavostriatis")</f>
        <v>Cytorhabdovirus maysflavostriatis</v>
      </c>
      <c r="S12360" s="18" t="s">
        <v>30</v>
      </c>
      <c r="T12360" s="18" t="s">
        <v>26386</v>
      </c>
      <c r="U12360" s="18" t="s">
        <v>26387</v>
      </c>
      <c r="V12360" s="18" t="s">
        <v>17858</v>
      </c>
      <c r="W12360" s="18" t="s">
        <v>26388</v>
      </c>
      <c r="X12360" s="18" t="s">
        <v>42</v>
      </c>
      <c r="Y12360" s="18" t="s">
        <v>23964</v>
      </c>
      <c r="Z12360" s="18" t="s">
        <v>15964</v>
      </c>
      <c r="AA12360" s="21" t="str">
        <f>HYPERLINK("https://www.ncbi.nlm.nih.gov/nuccore/KY884303","NCBI Nucleotide")</f>
        <v>NCBI Nucleotide</v>
      </c>
    </row>
    <row r="12361" spans="1:27" x14ac:dyDescent="0.35">
      <c r="A12361">
        <v>1010964</v>
      </c>
      <c r="B12361">
        <v>11639</v>
      </c>
      <c r="C12361">
        <v>1</v>
      </c>
      <c r="D12361" s="17" t="s">
        <v>17166</v>
      </c>
      <c r="E12361" s="17"/>
      <c r="F12361" s="17" t="s">
        <v>17246</v>
      </c>
      <c r="G12361" s="17"/>
      <c r="H12361" s="17" t="s">
        <v>23950</v>
      </c>
      <c r="I12361" s="17" t="s">
        <v>23956</v>
      </c>
      <c r="J12361" s="17" t="s">
        <v>24017</v>
      </c>
      <c r="K12361" s="17"/>
      <c r="L12361" s="17" t="s">
        <v>24262</v>
      </c>
      <c r="M12361" s="17"/>
      <c r="N12361" s="17" t="s">
        <v>25249</v>
      </c>
      <c r="O12361" s="17" t="s">
        <v>26171</v>
      </c>
      <c r="P12361" s="17" t="s">
        <v>26282</v>
      </c>
      <c r="Q12361" s="17"/>
      <c r="R12361" s="25" t="str">
        <f>HYPERLINK("https://ictv.global/taxonomy/taxondetails?taxnode_id=202301667","Cytorhabdovirus medicagonis")</f>
        <v>Cytorhabdovirus medicagonis</v>
      </c>
      <c r="S12361" s="18" t="s">
        <v>30</v>
      </c>
      <c r="T12361" s="18" t="s">
        <v>26389</v>
      </c>
      <c r="U12361" s="18" t="s">
        <v>12548</v>
      </c>
      <c r="V12361" s="18" t="s">
        <v>26390</v>
      </c>
      <c r="W12361" s="18" t="s">
        <v>26391</v>
      </c>
      <c r="X12361" s="18" t="s">
        <v>42</v>
      </c>
      <c r="Y12361" s="18" t="s">
        <v>23964</v>
      </c>
      <c r="Z12361" s="18" t="s">
        <v>13441</v>
      </c>
      <c r="AA12361" s="21" t="str">
        <f>HYPERLINK("https://www.ncbi.nlm.nih.gov/nuccore/KP205452","NCBI Nucleotide")</f>
        <v>NCBI Nucleotide</v>
      </c>
    </row>
    <row r="12362" spans="1:27" x14ac:dyDescent="0.35">
      <c r="A12362">
        <v>1010965</v>
      </c>
      <c r="B12362">
        <v>11640</v>
      </c>
      <c r="C12362">
        <v>1</v>
      </c>
      <c r="D12362" s="17" t="s">
        <v>17166</v>
      </c>
      <c r="E12362" s="17"/>
      <c r="F12362" s="17" t="s">
        <v>17246</v>
      </c>
      <c r="G12362" s="17"/>
      <c r="H12362" s="17" t="s">
        <v>23950</v>
      </c>
      <c r="I12362" s="17" t="s">
        <v>23956</v>
      </c>
      <c r="J12362" s="17" t="s">
        <v>24017</v>
      </c>
      <c r="K12362" s="17"/>
      <c r="L12362" s="17" t="s">
        <v>24262</v>
      </c>
      <c r="M12362" s="17"/>
      <c r="N12362" s="17" t="s">
        <v>25249</v>
      </c>
      <c r="O12362" s="17" t="s">
        <v>26171</v>
      </c>
      <c r="P12362" s="17" t="s">
        <v>26282</v>
      </c>
      <c r="Q12362" s="17"/>
      <c r="R12362" s="25" t="str">
        <f>HYPERLINK("https://ictv.global/taxonomy/taxondetails?taxnode_id=202314173","Cytorhabdovirus nymphaeae")</f>
        <v>Cytorhabdovirus nymphaeae</v>
      </c>
      <c r="S12362" s="18" t="s">
        <v>30</v>
      </c>
      <c r="T12362" s="18" t="s">
        <v>26392</v>
      </c>
      <c r="U12362" s="18" t="s">
        <v>26393</v>
      </c>
      <c r="V12362" s="18" t="s">
        <v>26394</v>
      </c>
      <c r="W12362" s="18" t="s">
        <v>26395</v>
      </c>
      <c r="X12362" s="18" t="s">
        <v>35</v>
      </c>
      <c r="Y12362" s="18" t="s">
        <v>23964</v>
      </c>
      <c r="Z12362" s="18" t="s">
        <v>13441</v>
      </c>
      <c r="AA12362" s="21" t="str">
        <f>HYPERLINK("https://www.ncbi.nlm.nih.gov/nuccore/BK014307","NCBI Nucleotide")</f>
        <v>NCBI Nucleotide</v>
      </c>
    </row>
    <row r="12363" spans="1:27" x14ac:dyDescent="0.35">
      <c r="A12363">
        <v>1010966</v>
      </c>
      <c r="B12363">
        <v>11641</v>
      </c>
      <c r="C12363">
        <v>1</v>
      </c>
      <c r="D12363" s="17" t="s">
        <v>17166</v>
      </c>
      <c r="E12363" s="17"/>
      <c r="F12363" s="17" t="s">
        <v>17246</v>
      </c>
      <c r="G12363" s="17"/>
      <c r="H12363" s="17" t="s">
        <v>23950</v>
      </c>
      <c r="I12363" s="17" t="s">
        <v>23956</v>
      </c>
      <c r="J12363" s="17" t="s">
        <v>24017</v>
      </c>
      <c r="K12363" s="17"/>
      <c r="L12363" s="17" t="s">
        <v>24262</v>
      </c>
      <c r="M12363" s="17"/>
      <c r="N12363" s="17" t="s">
        <v>25249</v>
      </c>
      <c r="O12363" s="17" t="s">
        <v>26171</v>
      </c>
      <c r="P12363" s="17" t="s">
        <v>26282</v>
      </c>
      <c r="Q12363" s="17"/>
      <c r="R12363" s="25" t="str">
        <f>HYPERLINK("https://ictv.global/taxonomy/taxondetails?taxnode_id=202314171","Cytorhabdovirus orchidaceae")</f>
        <v>Cytorhabdovirus orchidaceae</v>
      </c>
      <c r="S12363" s="18" t="s">
        <v>30</v>
      </c>
      <c r="T12363" s="18" t="s">
        <v>26396</v>
      </c>
      <c r="U12363" s="18" t="s">
        <v>26397</v>
      </c>
      <c r="V12363" s="18" t="s">
        <v>26398</v>
      </c>
      <c r="W12363" s="18" t="s">
        <v>26399</v>
      </c>
      <c r="X12363" s="18" t="s">
        <v>35</v>
      </c>
      <c r="Y12363" s="18" t="s">
        <v>23964</v>
      </c>
      <c r="Z12363" s="18" t="s">
        <v>13441</v>
      </c>
      <c r="AA12363" s="21" t="str">
        <f>HYPERLINK("https://www.ncbi.nlm.nih.gov/nuccore/BK014305","NCBI Nucleotide")</f>
        <v>NCBI Nucleotide</v>
      </c>
    </row>
    <row r="12364" spans="1:27" x14ac:dyDescent="0.35">
      <c r="A12364">
        <v>1010967</v>
      </c>
      <c r="B12364">
        <v>11642</v>
      </c>
      <c r="C12364">
        <v>1</v>
      </c>
      <c r="D12364" s="17" t="s">
        <v>17166</v>
      </c>
      <c r="E12364" s="17"/>
      <c r="F12364" s="17" t="s">
        <v>17246</v>
      </c>
      <c r="G12364" s="17"/>
      <c r="H12364" s="17" t="s">
        <v>23950</v>
      </c>
      <c r="I12364" s="17" t="s">
        <v>23956</v>
      </c>
      <c r="J12364" s="17" t="s">
        <v>24017</v>
      </c>
      <c r="K12364" s="17"/>
      <c r="L12364" s="17" t="s">
        <v>24262</v>
      </c>
      <c r="M12364" s="17"/>
      <c r="N12364" s="17" t="s">
        <v>25249</v>
      </c>
      <c r="O12364" s="17" t="s">
        <v>26171</v>
      </c>
      <c r="P12364" s="17" t="s">
        <v>26282</v>
      </c>
      <c r="Q12364" s="17"/>
      <c r="R12364" s="25" t="str">
        <f>HYPERLINK("https://ictv.global/taxonomy/taxondetails?taxnode_id=202307672","Cytorhabdovirus oryzae")</f>
        <v>Cytorhabdovirus oryzae</v>
      </c>
      <c r="S12364" s="18" t="s">
        <v>30</v>
      </c>
      <c r="T12364" s="18" t="s">
        <v>26400</v>
      </c>
      <c r="U12364" s="18" t="s">
        <v>26401</v>
      </c>
      <c r="V12364" s="18" t="s">
        <v>26402</v>
      </c>
      <c r="W12364" s="18" t="s">
        <v>26403</v>
      </c>
      <c r="X12364" s="18" t="s">
        <v>42</v>
      </c>
      <c r="Y12364" s="18" t="s">
        <v>23964</v>
      </c>
      <c r="Z12364" s="18" t="s">
        <v>15964</v>
      </c>
      <c r="AA12364" s="21" t="str">
        <f>HYPERLINK("https://www.ncbi.nlm.nih.gov/nuccore/KX525586","NCBI Nucleotide")</f>
        <v>NCBI Nucleotide</v>
      </c>
    </row>
    <row r="12365" spans="1:27" x14ac:dyDescent="0.35">
      <c r="A12365">
        <v>1027602</v>
      </c>
      <c r="B12365">
        <v>11643</v>
      </c>
      <c r="C12365">
        <v>1</v>
      </c>
      <c r="D12365" s="17" t="s">
        <v>17166</v>
      </c>
      <c r="E12365" s="17"/>
      <c r="F12365" s="17" t="s">
        <v>17246</v>
      </c>
      <c r="G12365" s="17"/>
      <c r="H12365" s="17" t="s">
        <v>23950</v>
      </c>
      <c r="I12365" s="17" t="s">
        <v>23956</v>
      </c>
      <c r="J12365" s="17" t="s">
        <v>24017</v>
      </c>
      <c r="K12365" s="17"/>
      <c r="L12365" s="17" t="s">
        <v>24262</v>
      </c>
      <c r="M12365" s="17"/>
      <c r="N12365" s="17" t="s">
        <v>25249</v>
      </c>
      <c r="O12365" s="17" t="s">
        <v>26171</v>
      </c>
      <c r="P12365" s="17" t="s">
        <v>26282</v>
      </c>
      <c r="Q12365" s="17"/>
      <c r="R12365" s="25" t="str">
        <f>HYPERLINK("https://ictv.global/taxonomy/taxondetails?taxnode_id=202317917","Cytorhabdovirus pastinacae")</f>
        <v>Cytorhabdovirus pastinacae</v>
      </c>
      <c r="S12365" s="18" t="s">
        <v>30</v>
      </c>
      <c r="T12365" s="18" t="s">
        <v>46778</v>
      </c>
      <c r="U12365" s="18" t="s">
        <v>46779</v>
      </c>
      <c r="V12365" s="18" t="s">
        <v>46780</v>
      </c>
      <c r="W12365" s="18" t="s">
        <v>46781</v>
      </c>
      <c r="X12365" s="18" t="s">
        <v>35</v>
      </c>
      <c r="Y12365" s="18" t="s">
        <v>23964</v>
      </c>
      <c r="Z12365" s="18" t="s">
        <v>10790</v>
      </c>
      <c r="AA12365" s="21" t="str">
        <f>HYPERLINK("https://www.ncbi.nlm.nih.gov/nuccore/OL472112","NCBI Nucleotide")</f>
        <v>NCBI Nucleotide</v>
      </c>
    </row>
    <row r="12366" spans="1:27" x14ac:dyDescent="0.35">
      <c r="A12366">
        <v>1010968</v>
      </c>
      <c r="B12366">
        <v>11644</v>
      </c>
      <c r="C12366">
        <v>1</v>
      </c>
      <c r="D12366" s="17" t="s">
        <v>17166</v>
      </c>
      <c r="E12366" s="17"/>
      <c r="F12366" s="17" t="s">
        <v>17246</v>
      </c>
      <c r="G12366" s="17"/>
      <c r="H12366" s="17" t="s">
        <v>23950</v>
      </c>
      <c r="I12366" s="17" t="s">
        <v>23956</v>
      </c>
      <c r="J12366" s="17" t="s">
        <v>24017</v>
      </c>
      <c r="K12366" s="17"/>
      <c r="L12366" s="17" t="s">
        <v>24262</v>
      </c>
      <c r="M12366" s="17"/>
      <c r="N12366" s="17" t="s">
        <v>25249</v>
      </c>
      <c r="O12366" s="17" t="s">
        <v>26171</v>
      </c>
      <c r="P12366" s="17" t="s">
        <v>26282</v>
      </c>
      <c r="Q12366" s="17"/>
      <c r="R12366" s="25" t="str">
        <f>HYPERLINK("https://ictv.global/taxonomy/taxondetails?taxnode_id=202307670","Cytorhabdovirus persimmon")</f>
        <v>Cytorhabdovirus persimmon</v>
      </c>
      <c r="S12366" s="18" t="s">
        <v>30</v>
      </c>
      <c r="T12366" s="18" t="s">
        <v>26404</v>
      </c>
      <c r="U12366" s="18" t="s">
        <v>26405</v>
      </c>
      <c r="V12366" s="18" t="s">
        <v>26406</v>
      </c>
      <c r="W12366" s="18" t="s">
        <v>26407</v>
      </c>
      <c r="X12366" s="18" t="s">
        <v>42</v>
      </c>
      <c r="Y12366" s="18" t="s">
        <v>23964</v>
      </c>
      <c r="Z12366" s="18" t="s">
        <v>15964</v>
      </c>
      <c r="AA12366" s="21" t="str">
        <f>HYPERLINK("https://www.ncbi.nlm.nih.gov/nuccore/AB735628","NCBI Nucleotide")</f>
        <v>NCBI Nucleotide</v>
      </c>
    </row>
    <row r="12367" spans="1:27" x14ac:dyDescent="0.35">
      <c r="A12367">
        <v>1027603</v>
      </c>
      <c r="B12367">
        <v>11645</v>
      </c>
      <c r="C12367">
        <v>1</v>
      </c>
      <c r="D12367" s="17" t="s">
        <v>17166</v>
      </c>
      <c r="E12367" s="17"/>
      <c r="F12367" s="17" t="s">
        <v>17246</v>
      </c>
      <c r="G12367" s="17"/>
      <c r="H12367" s="17" t="s">
        <v>23950</v>
      </c>
      <c r="I12367" s="17" t="s">
        <v>23956</v>
      </c>
      <c r="J12367" s="17" t="s">
        <v>24017</v>
      </c>
      <c r="K12367" s="17"/>
      <c r="L12367" s="17" t="s">
        <v>24262</v>
      </c>
      <c r="M12367" s="17"/>
      <c r="N12367" s="17" t="s">
        <v>25249</v>
      </c>
      <c r="O12367" s="17" t="s">
        <v>26171</v>
      </c>
      <c r="P12367" s="17" t="s">
        <v>26282</v>
      </c>
      <c r="Q12367" s="17"/>
      <c r="R12367" s="25" t="str">
        <f>HYPERLINK("https://ictv.global/taxonomy/taxondetails?taxnode_id=202317918","Cytorhabdovirus pogostemi")</f>
        <v>Cytorhabdovirus pogostemi</v>
      </c>
      <c r="S12367" s="18" t="s">
        <v>30</v>
      </c>
      <c r="T12367" s="18" t="s">
        <v>46782</v>
      </c>
      <c r="U12367" s="18" t="s">
        <v>46783</v>
      </c>
      <c r="V12367" s="18" t="s">
        <v>33914</v>
      </c>
      <c r="W12367" s="18" t="s">
        <v>46784</v>
      </c>
      <c r="X12367" s="18" t="s">
        <v>42</v>
      </c>
      <c r="Y12367" s="18" t="s">
        <v>23964</v>
      </c>
      <c r="Z12367" s="18" t="s">
        <v>13441</v>
      </c>
      <c r="AA12367" s="21" t="str">
        <f>HYPERLINK("https://www.ncbi.nlm.nih.gov/nuccore/ON409991","NCBI Nucleotide")</f>
        <v>NCBI Nucleotide</v>
      </c>
    </row>
    <row r="12368" spans="1:27" x14ac:dyDescent="0.35">
      <c r="A12368">
        <v>1027604</v>
      </c>
      <c r="B12368">
        <v>11646</v>
      </c>
      <c r="C12368">
        <v>1</v>
      </c>
      <c r="D12368" s="17" t="s">
        <v>17166</v>
      </c>
      <c r="E12368" s="17"/>
      <c r="F12368" s="17" t="s">
        <v>17246</v>
      </c>
      <c r="G12368" s="17"/>
      <c r="H12368" s="17" t="s">
        <v>23950</v>
      </c>
      <c r="I12368" s="17" t="s">
        <v>23956</v>
      </c>
      <c r="J12368" s="17" t="s">
        <v>24017</v>
      </c>
      <c r="K12368" s="17"/>
      <c r="L12368" s="17" t="s">
        <v>24262</v>
      </c>
      <c r="M12368" s="17"/>
      <c r="N12368" s="17" t="s">
        <v>25249</v>
      </c>
      <c r="O12368" s="17" t="s">
        <v>26171</v>
      </c>
      <c r="P12368" s="17" t="s">
        <v>26282</v>
      </c>
      <c r="Q12368" s="17"/>
      <c r="R12368" s="25" t="str">
        <f>HYPERLINK("https://ictv.global/taxonomy/taxondetails?taxnode_id=202317914","Cytorhabdovirus ribes")</f>
        <v>Cytorhabdovirus ribes</v>
      </c>
      <c r="S12368" s="18" t="s">
        <v>30</v>
      </c>
      <c r="T12368" s="18" t="s">
        <v>46785</v>
      </c>
      <c r="U12368" s="18" t="s">
        <v>46786</v>
      </c>
      <c r="V12368" s="18" t="s">
        <v>46787</v>
      </c>
      <c r="W12368" s="18" t="s">
        <v>46788</v>
      </c>
      <c r="X12368" s="18" t="s">
        <v>42</v>
      </c>
      <c r="Y12368" s="18" t="s">
        <v>23964</v>
      </c>
      <c r="Z12368" s="18" t="s">
        <v>13441</v>
      </c>
      <c r="AA12368" s="21" t="str">
        <f>HYPERLINK("https://www.ncbi.nlm.nih.gov/nuccore/OP352885","NCBI Nucleotide")</f>
        <v>NCBI Nucleotide</v>
      </c>
    </row>
    <row r="12369" spans="1:27" x14ac:dyDescent="0.35">
      <c r="A12369">
        <v>1010969</v>
      </c>
      <c r="B12369">
        <v>11647</v>
      </c>
      <c r="C12369">
        <v>1</v>
      </c>
      <c r="D12369" s="17" t="s">
        <v>17166</v>
      </c>
      <c r="E12369" s="17"/>
      <c r="F12369" s="17" t="s">
        <v>17246</v>
      </c>
      <c r="G12369" s="17"/>
      <c r="H12369" s="17" t="s">
        <v>23950</v>
      </c>
      <c r="I12369" s="17" t="s">
        <v>23956</v>
      </c>
      <c r="J12369" s="17" t="s">
        <v>24017</v>
      </c>
      <c r="K12369" s="17"/>
      <c r="L12369" s="17" t="s">
        <v>24262</v>
      </c>
      <c r="M12369" s="17"/>
      <c r="N12369" s="17" t="s">
        <v>25249</v>
      </c>
      <c r="O12369" s="17" t="s">
        <v>26171</v>
      </c>
      <c r="P12369" s="17" t="s">
        <v>26282</v>
      </c>
      <c r="Q12369" s="17"/>
      <c r="R12369" s="25" t="str">
        <f>HYPERLINK("https://ictv.global/taxonomy/taxondetails?taxnode_id=202313312","Cytorhabdovirus rosae")</f>
        <v>Cytorhabdovirus rosae</v>
      </c>
      <c r="S12369" s="18" t="s">
        <v>30</v>
      </c>
      <c r="T12369" s="18" t="s">
        <v>26408</v>
      </c>
      <c r="U12369" s="18" t="s">
        <v>26409</v>
      </c>
      <c r="V12369" s="18" t="s">
        <v>26410</v>
      </c>
      <c r="W12369" s="18" t="s">
        <v>26411</v>
      </c>
      <c r="X12369" s="18" t="s">
        <v>42</v>
      </c>
      <c r="Y12369" s="18" t="s">
        <v>23964</v>
      </c>
      <c r="Z12369" s="18" t="s">
        <v>13441</v>
      </c>
      <c r="AA12369" s="21" t="str">
        <f>HYPERLINK("https://www.ncbi.nlm.nih.gov/nuccore/MT952336","NCBI Nucleotide")</f>
        <v>NCBI Nucleotide</v>
      </c>
    </row>
    <row r="12370" spans="1:27" x14ac:dyDescent="0.35">
      <c r="A12370">
        <v>1010970</v>
      </c>
      <c r="B12370">
        <v>11648</v>
      </c>
      <c r="C12370">
        <v>1</v>
      </c>
      <c r="D12370" s="17" t="s">
        <v>17166</v>
      </c>
      <c r="E12370" s="17"/>
      <c r="F12370" s="17" t="s">
        <v>17246</v>
      </c>
      <c r="G12370" s="17"/>
      <c r="H12370" s="17" t="s">
        <v>23950</v>
      </c>
      <c r="I12370" s="17" t="s">
        <v>23956</v>
      </c>
      <c r="J12370" s="17" t="s">
        <v>24017</v>
      </c>
      <c r="K12370" s="17"/>
      <c r="L12370" s="17" t="s">
        <v>24262</v>
      </c>
      <c r="M12370" s="17"/>
      <c r="N12370" s="17" t="s">
        <v>25249</v>
      </c>
      <c r="O12370" s="17" t="s">
        <v>26171</v>
      </c>
      <c r="P12370" s="17" t="s">
        <v>26282</v>
      </c>
      <c r="Q12370" s="17"/>
      <c r="R12370" s="25" t="str">
        <f>HYPERLINK("https://ictv.global/taxonomy/taxondetails?taxnode_id=202307671","Cytorhabdovirus rubus")</f>
        <v>Cytorhabdovirus rubus</v>
      </c>
      <c r="S12370" s="18" t="s">
        <v>30</v>
      </c>
      <c r="T12370" s="18" t="s">
        <v>26412</v>
      </c>
      <c r="U12370" s="18" t="s">
        <v>26413</v>
      </c>
      <c r="V12370" s="18" t="s">
        <v>26414</v>
      </c>
      <c r="W12370" s="18" t="s">
        <v>26415</v>
      </c>
      <c r="X12370" s="18" t="s">
        <v>42</v>
      </c>
      <c r="Y12370" s="18" t="s">
        <v>23964</v>
      </c>
      <c r="Z12370" s="18" t="s">
        <v>15964</v>
      </c>
      <c r="AA12370" s="21" t="str">
        <f>HYPERLINK("https://www.ncbi.nlm.nih.gov/nuccore/MK240091","NCBI Nucleotide")</f>
        <v>NCBI Nucleotide</v>
      </c>
    </row>
    <row r="12371" spans="1:27" x14ac:dyDescent="0.35">
      <c r="A12371">
        <v>1027605</v>
      </c>
      <c r="B12371">
        <v>11649</v>
      </c>
      <c r="C12371">
        <v>1</v>
      </c>
      <c r="D12371" s="17" t="s">
        <v>17166</v>
      </c>
      <c r="E12371" s="17"/>
      <c r="F12371" s="17" t="s">
        <v>17246</v>
      </c>
      <c r="G12371" s="17"/>
      <c r="H12371" s="17" t="s">
        <v>23950</v>
      </c>
      <c r="I12371" s="17" t="s">
        <v>23956</v>
      </c>
      <c r="J12371" s="17" t="s">
        <v>24017</v>
      </c>
      <c r="K12371" s="17"/>
      <c r="L12371" s="17" t="s">
        <v>24262</v>
      </c>
      <c r="M12371" s="17"/>
      <c r="N12371" s="17" t="s">
        <v>25249</v>
      </c>
      <c r="O12371" s="17" t="s">
        <v>26171</v>
      </c>
      <c r="P12371" s="17" t="s">
        <v>26282</v>
      </c>
      <c r="Q12371" s="17"/>
      <c r="R12371" s="25" t="str">
        <f>HYPERLINK("https://ictv.global/taxonomy/taxondetails?taxnode_id=202317920","Cytorhabdovirus rudbeckiae")</f>
        <v>Cytorhabdovirus rudbeckiae</v>
      </c>
      <c r="S12371" s="18" t="s">
        <v>30</v>
      </c>
      <c r="T12371" s="18" t="s">
        <v>46789</v>
      </c>
      <c r="U12371" s="18" t="s">
        <v>46790</v>
      </c>
      <c r="V12371" s="18" t="s">
        <v>46791</v>
      </c>
      <c r="W12371" s="18" t="s">
        <v>46792</v>
      </c>
      <c r="X12371" s="18" t="s">
        <v>42</v>
      </c>
      <c r="Y12371" s="18" t="s">
        <v>23964</v>
      </c>
      <c r="Z12371" s="18" t="s">
        <v>13441</v>
      </c>
      <c r="AA12371" s="21" t="str">
        <f>HYPERLINK("https://www.ncbi.nlm.nih.gov/nuccore/ON185810","NCBI Nucleotide")</f>
        <v>NCBI Nucleotide</v>
      </c>
    </row>
    <row r="12372" spans="1:27" x14ac:dyDescent="0.35">
      <c r="A12372">
        <v>1027606</v>
      </c>
      <c r="B12372">
        <v>11650</v>
      </c>
      <c r="C12372">
        <v>1</v>
      </c>
      <c r="D12372" s="17" t="s">
        <v>17166</v>
      </c>
      <c r="E12372" s="17"/>
      <c r="F12372" s="17" t="s">
        <v>17246</v>
      </c>
      <c r="G12372" s="17"/>
      <c r="H12372" s="17" t="s">
        <v>23950</v>
      </c>
      <c r="I12372" s="17" t="s">
        <v>23956</v>
      </c>
      <c r="J12372" s="17" t="s">
        <v>24017</v>
      </c>
      <c r="K12372" s="17"/>
      <c r="L12372" s="17" t="s">
        <v>24262</v>
      </c>
      <c r="M12372" s="17"/>
      <c r="N12372" s="17" t="s">
        <v>25249</v>
      </c>
      <c r="O12372" s="17" t="s">
        <v>26171</v>
      </c>
      <c r="P12372" s="17" t="s">
        <v>26282</v>
      </c>
      <c r="Q12372" s="17"/>
      <c r="R12372" s="25" t="str">
        <f>HYPERLINK("https://ictv.global/taxonomy/taxondetails?taxnode_id=202317921","Cytorhabdovirus sambuci")</f>
        <v>Cytorhabdovirus sambuci</v>
      </c>
      <c r="S12372" s="18" t="s">
        <v>30</v>
      </c>
      <c r="T12372" s="18" t="s">
        <v>46793</v>
      </c>
      <c r="U12372" s="18" t="s">
        <v>26437</v>
      </c>
      <c r="V12372" s="18" t="s">
        <v>18138</v>
      </c>
      <c r="W12372" s="18" t="s">
        <v>46794</v>
      </c>
      <c r="X12372" s="18" t="s">
        <v>42</v>
      </c>
      <c r="Y12372" s="18" t="s">
        <v>23964</v>
      </c>
      <c r="Z12372" s="18" t="s">
        <v>13441</v>
      </c>
      <c r="AA12372" s="21" t="str">
        <f>HYPERLINK("https://www.ncbi.nlm.nih.gov/nuccore/OM523356","NCBI Nucleotide")</f>
        <v>NCBI Nucleotide</v>
      </c>
    </row>
    <row r="12373" spans="1:27" x14ac:dyDescent="0.35">
      <c r="A12373">
        <v>1010971</v>
      </c>
      <c r="B12373">
        <v>11651</v>
      </c>
      <c r="C12373">
        <v>1</v>
      </c>
      <c r="D12373" s="17" t="s">
        <v>17166</v>
      </c>
      <c r="E12373" s="17"/>
      <c r="F12373" s="17" t="s">
        <v>17246</v>
      </c>
      <c r="G12373" s="17"/>
      <c r="H12373" s="17" t="s">
        <v>23950</v>
      </c>
      <c r="I12373" s="17" t="s">
        <v>23956</v>
      </c>
      <c r="J12373" s="17" t="s">
        <v>24017</v>
      </c>
      <c r="K12373" s="17"/>
      <c r="L12373" s="17" t="s">
        <v>24262</v>
      </c>
      <c r="M12373" s="17"/>
      <c r="N12373" s="17" t="s">
        <v>25249</v>
      </c>
      <c r="O12373" s="17" t="s">
        <v>26171</v>
      </c>
      <c r="P12373" s="17" t="s">
        <v>26282</v>
      </c>
      <c r="Q12373" s="17"/>
      <c r="R12373" s="25" t="str">
        <f>HYPERLINK("https://ictv.global/taxonomy/taxondetails?taxnode_id=202301675","Cytorhabdovirus sonchi")</f>
        <v>Cytorhabdovirus sonchi</v>
      </c>
      <c r="S12373" s="18" t="s">
        <v>30</v>
      </c>
      <c r="T12373" s="18" t="s">
        <v>26416</v>
      </c>
      <c r="U12373" s="18" t="s">
        <v>26417</v>
      </c>
      <c r="V12373" s="18"/>
      <c r="W12373" s="18"/>
      <c r="X12373" s="18" t="s">
        <v>3311</v>
      </c>
      <c r="Y12373" s="18" t="s">
        <v>23964</v>
      </c>
      <c r="Z12373" s="18" t="s">
        <v>15964</v>
      </c>
      <c r="AA12373" s="21"/>
    </row>
    <row r="12374" spans="1:27" x14ac:dyDescent="0.35">
      <c r="A12374">
        <v>1010972</v>
      </c>
      <c r="B12374">
        <v>11652</v>
      </c>
      <c r="C12374">
        <v>1</v>
      </c>
      <c r="D12374" s="17" t="s">
        <v>17166</v>
      </c>
      <c r="E12374" s="17"/>
      <c r="F12374" s="17" t="s">
        <v>17246</v>
      </c>
      <c r="G12374" s="17"/>
      <c r="H12374" s="17" t="s">
        <v>23950</v>
      </c>
      <c r="I12374" s="17" t="s">
        <v>23956</v>
      </c>
      <c r="J12374" s="17" t="s">
        <v>24017</v>
      </c>
      <c r="K12374" s="17"/>
      <c r="L12374" s="17" t="s">
        <v>24262</v>
      </c>
      <c r="M12374" s="17"/>
      <c r="N12374" s="17" t="s">
        <v>25249</v>
      </c>
      <c r="O12374" s="17" t="s">
        <v>26171</v>
      </c>
      <c r="P12374" s="17" t="s">
        <v>26282</v>
      </c>
      <c r="Q12374" s="17"/>
      <c r="R12374" s="25" t="str">
        <f>HYPERLINK("https://ictv.global/taxonomy/taxondetails?taxnode_id=202314174","Cytorhabdovirus tagetis")</f>
        <v>Cytorhabdovirus tagetis</v>
      </c>
      <c r="S12374" s="18" t="s">
        <v>30</v>
      </c>
      <c r="T12374" s="18" t="s">
        <v>26418</v>
      </c>
      <c r="U12374" s="18" t="s">
        <v>26419</v>
      </c>
      <c r="V12374" s="18" t="s">
        <v>26420</v>
      </c>
      <c r="W12374" s="18" t="s">
        <v>26421</v>
      </c>
      <c r="X12374" s="18" t="s">
        <v>35</v>
      </c>
      <c r="Y12374" s="18" t="s">
        <v>23964</v>
      </c>
      <c r="Z12374" s="18" t="s">
        <v>13441</v>
      </c>
      <c r="AA12374" s="21" t="str">
        <f>HYPERLINK("https://www.ncbi.nlm.nih.gov/nuccore/BK014308","NCBI Nucleotide")</f>
        <v>NCBI Nucleotide</v>
      </c>
    </row>
    <row r="12375" spans="1:27" x14ac:dyDescent="0.35">
      <c r="A12375">
        <v>1027607</v>
      </c>
      <c r="B12375">
        <v>11653</v>
      </c>
      <c r="C12375">
        <v>1</v>
      </c>
      <c r="D12375" s="17" t="s">
        <v>17166</v>
      </c>
      <c r="E12375" s="17"/>
      <c r="F12375" s="17" t="s">
        <v>17246</v>
      </c>
      <c r="G12375" s="17"/>
      <c r="H12375" s="17" t="s">
        <v>23950</v>
      </c>
      <c r="I12375" s="17" t="s">
        <v>23956</v>
      </c>
      <c r="J12375" s="17" t="s">
        <v>24017</v>
      </c>
      <c r="K12375" s="17"/>
      <c r="L12375" s="17" t="s">
        <v>24262</v>
      </c>
      <c r="M12375" s="17"/>
      <c r="N12375" s="17" t="s">
        <v>25249</v>
      </c>
      <c r="O12375" s="17" t="s">
        <v>26171</v>
      </c>
      <c r="P12375" s="17" t="s">
        <v>26282</v>
      </c>
      <c r="Q12375" s="17"/>
      <c r="R12375" s="25" t="str">
        <f>HYPERLINK("https://ictv.global/taxonomy/taxondetails?taxnode_id=202317924","Cytorhabdovirus taraxaci")</f>
        <v>Cytorhabdovirus taraxaci</v>
      </c>
      <c r="S12375" s="18" t="s">
        <v>30</v>
      </c>
      <c r="T12375" s="18" t="s">
        <v>46795</v>
      </c>
      <c r="U12375" s="18" t="s">
        <v>46796</v>
      </c>
      <c r="V12375" s="18" t="s">
        <v>46797</v>
      </c>
      <c r="W12375" s="18" t="s">
        <v>46798</v>
      </c>
      <c r="X12375" s="18" t="s">
        <v>35</v>
      </c>
      <c r="Y12375" s="18" t="s">
        <v>23964</v>
      </c>
      <c r="Z12375" s="18" t="s">
        <v>13441</v>
      </c>
      <c r="AA12375" s="21" t="str">
        <f>HYPERLINK("https://www.ncbi.nlm.nih.gov/nuccore/OL472125","NCBI Nucleotide")</f>
        <v>NCBI Nucleotide</v>
      </c>
    </row>
    <row r="12376" spans="1:27" x14ac:dyDescent="0.35">
      <c r="A12376">
        <v>1027608</v>
      </c>
      <c r="B12376">
        <v>11654</v>
      </c>
      <c r="C12376">
        <v>1</v>
      </c>
      <c r="D12376" s="17" t="s">
        <v>17166</v>
      </c>
      <c r="E12376" s="17"/>
      <c r="F12376" s="17" t="s">
        <v>17246</v>
      </c>
      <c r="G12376" s="17"/>
      <c r="H12376" s="17" t="s">
        <v>23950</v>
      </c>
      <c r="I12376" s="17" t="s">
        <v>23956</v>
      </c>
      <c r="J12376" s="17" t="s">
        <v>24017</v>
      </c>
      <c r="K12376" s="17"/>
      <c r="L12376" s="17" t="s">
        <v>24262</v>
      </c>
      <c r="M12376" s="17"/>
      <c r="N12376" s="17" t="s">
        <v>25249</v>
      </c>
      <c r="O12376" s="17" t="s">
        <v>26171</v>
      </c>
      <c r="P12376" s="17" t="s">
        <v>26282</v>
      </c>
      <c r="Q12376" s="17"/>
      <c r="R12376" s="25" t="str">
        <f>HYPERLINK("https://ictv.global/taxonomy/taxondetails?taxnode_id=202317925","Cytorhabdovirus tiliae")</f>
        <v>Cytorhabdovirus tiliae</v>
      </c>
      <c r="S12376" s="18" t="s">
        <v>30</v>
      </c>
      <c r="T12376" s="18" t="s">
        <v>46799</v>
      </c>
      <c r="U12376" s="18" t="s">
        <v>46800</v>
      </c>
      <c r="V12376" s="18" t="s">
        <v>46801</v>
      </c>
      <c r="W12376" s="18" t="s">
        <v>46802</v>
      </c>
      <c r="X12376" s="18" t="s">
        <v>35</v>
      </c>
      <c r="Y12376" s="18" t="s">
        <v>23964</v>
      </c>
      <c r="Z12376" s="18" t="s">
        <v>13441</v>
      </c>
      <c r="AA12376" s="21" t="str">
        <f>HYPERLINK("https://www.ncbi.nlm.nih.gov/nuccore/OX411436","NCBI Nucleotide")</f>
        <v>NCBI Nucleotide</v>
      </c>
    </row>
    <row r="12377" spans="1:27" x14ac:dyDescent="0.35">
      <c r="A12377">
        <v>1010973</v>
      </c>
      <c r="B12377">
        <v>11655</v>
      </c>
      <c r="C12377">
        <v>1</v>
      </c>
      <c r="D12377" s="17" t="s">
        <v>17166</v>
      </c>
      <c r="E12377" s="17"/>
      <c r="F12377" s="17" t="s">
        <v>17246</v>
      </c>
      <c r="G12377" s="17"/>
      <c r="H12377" s="17" t="s">
        <v>23950</v>
      </c>
      <c r="I12377" s="17" t="s">
        <v>23956</v>
      </c>
      <c r="J12377" s="17" t="s">
        <v>24017</v>
      </c>
      <c r="K12377" s="17"/>
      <c r="L12377" s="17" t="s">
        <v>24262</v>
      </c>
      <c r="M12377" s="17"/>
      <c r="N12377" s="17" t="s">
        <v>25249</v>
      </c>
      <c r="O12377" s="17" t="s">
        <v>26171</v>
      </c>
      <c r="P12377" s="17" t="s">
        <v>26282</v>
      </c>
      <c r="Q12377" s="17"/>
      <c r="R12377" s="25" t="str">
        <f>HYPERLINK("https://ictv.global/taxonomy/taxondetails?taxnode_id=202314175","Cytorhabdovirus trachyspermi")</f>
        <v>Cytorhabdovirus trachyspermi</v>
      </c>
      <c r="S12377" s="18" t="s">
        <v>30</v>
      </c>
      <c r="T12377" s="18" t="s">
        <v>26422</v>
      </c>
      <c r="U12377" s="18" t="s">
        <v>26423</v>
      </c>
      <c r="V12377" s="18" t="s">
        <v>26424</v>
      </c>
      <c r="W12377" s="18" t="s">
        <v>26425</v>
      </c>
      <c r="X12377" s="18" t="s">
        <v>35</v>
      </c>
      <c r="Y12377" s="18" t="s">
        <v>23964</v>
      </c>
      <c r="Z12377" s="18" t="s">
        <v>13441</v>
      </c>
      <c r="AA12377" s="21" t="str">
        <f>HYPERLINK("https://www.ncbi.nlm.nih.gov/nuccore/BK014309","NCBI Nucleotide")</f>
        <v>NCBI Nucleotide</v>
      </c>
    </row>
    <row r="12378" spans="1:27" x14ac:dyDescent="0.35">
      <c r="A12378">
        <v>1010974</v>
      </c>
      <c r="B12378">
        <v>11656</v>
      </c>
      <c r="C12378">
        <v>1</v>
      </c>
      <c r="D12378" s="17" t="s">
        <v>17166</v>
      </c>
      <c r="E12378" s="17"/>
      <c r="F12378" s="17" t="s">
        <v>17246</v>
      </c>
      <c r="G12378" s="17"/>
      <c r="H12378" s="17" t="s">
        <v>23950</v>
      </c>
      <c r="I12378" s="17" t="s">
        <v>23956</v>
      </c>
      <c r="J12378" s="17" t="s">
        <v>24017</v>
      </c>
      <c r="K12378" s="17"/>
      <c r="L12378" s="17" t="s">
        <v>24262</v>
      </c>
      <c r="M12378" s="17"/>
      <c r="N12378" s="17" t="s">
        <v>25249</v>
      </c>
      <c r="O12378" s="17" t="s">
        <v>26171</v>
      </c>
      <c r="P12378" s="17" t="s">
        <v>26282</v>
      </c>
      <c r="Q12378" s="17"/>
      <c r="R12378" s="25" t="str">
        <f>HYPERLINK("https://ictv.global/taxonomy/taxondetails?taxnode_id=202309363","Cytorhabdovirus trichosanthei")</f>
        <v>Cytorhabdovirus trichosanthei</v>
      </c>
      <c r="S12378" s="18" t="s">
        <v>30</v>
      </c>
      <c r="T12378" s="18" t="s">
        <v>26426</v>
      </c>
      <c r="U12378" s="18" t="s">
        <v>26427</v>
      </c>
      <c r="V12378" s="18" t="s">
        <v>26428</v>
      </c>
      <c r="W12378" s="18" t="s">
        <v>26429</v>
      </c>
      <c r="X12378" s="18" t="s">
        <v>35</v>
      </c>
      <c r="Y12378" s="18" t="s">
        <v>23964</v>
      </c>
      <c r="Z12378" s="18" t="s">
        <v>13441</v>
      </c>
      <c r="AA12378" s="21" t="str">
        <f>HYPERLINK("https://www.ncbi.nlm.nih.gov/nuccore/BK011194","NCBI Nucleotide")</f>
        <v>NCBI Nucleotide</v>
      </c>
    </row>
    <row r="12379" spans="1:27" x14ac:dyDescent="0.35">
      <c r="A12379">
        <v>1010975</v>
      </c>
      <c r="B12379">
        <v>11657</v>
      </c>
      <c r="C12379">
        <v>1</v>
      </c>
      <c r="D12379" s="17" t="s">
        <v>17166</v>
      </c>
      <c r="E12379" s="17"/>
      <c r="F12379" s="17" t="s">
        <v>17246</v>
      </c>
      <c r="G12379" s="17"/>
      <c r="H12379" s="17" t="s">
        <v>23950</v>
      </c>
      <c r="I12379" s="17" t="s">
        <v>23956</v>
      </c>
      <c r="J12379" s="17" t="s">
        <v>24017</v>
      </c>
      <c r="K12379" s="17"/>
      <c r="L12379" s="17" t="s">
        <v>24262</v>
      </c>
      <c r="M12379" s="17"/>
      <c r="N12379" s="17" t="s">
        <v>25249</v>
      </c>
      <c r="O12379" s="17" t="s">
        <v>26171</v>
      </c>
      <c r="P12379" s="17" t="s">
        <v>26282</v>
      </c>
      <c r="Q12379" s="17"/>
      <c r="R12379" s="25" t="str">
        <f>HYPERLINK("https://ictv.global/taxonomy/taxondetails?taxnode_id=202301677","Cytorhabdovirus tritici")</f>
        <v>Cytorhabdovirus tritici</v>
      </c>
      <c r="S12379" s="18" t="s">
        <v>30</v>
      </c>
      <c r="T12379" s="18" t="s">
        <v>26430</v>
      </c>
      <c r="U12379" s="18" t="s">
        <v>26431</v>
      </c>
      <c r="V12379" s="18"/>
      <c r="W12379" s="18"/>
      <c r="X12379" s="18" t="s">
        <v>3311</v>
      </c>
      <c r="Y12379" s="18" t="s">
        <v>23964</v>
      </c>
      <c r="Z12379" s="18" t="s">
        <v>15964</v>
      </c>
      <c r="AA12379" s="21"/>
    </row>
    <row r="12380" spans="1:27" x14ac:dyDescent="0.35">
      <c r="A12380">
        <v>1010976</v>
      </c>
      <c r="B12380">
        <v>11658</v>
      </c>
      <c r="C12380">
        <v>1</v>
      </c>
      <c r="D12380" s="17" t="s">
        <v>17166</v>
      </c>
      <c r="E12380" s="17"/>
      <c r="F12380" s="17" t="s">
        <v>17246</v>
      </c>
      <c r="G12380" s="17"/>
      <c r="H12380" s="17" t="s">
        <v>23950</v>
      </c>
      <c r="I12380" s="17" t="s">
        <v>23956</v>
      </c>
      <c r="J12380" s="17" t="s">
        <v>24017</v>
      </c>
      <c r="K12380" s="17"/>
      <c r="L12380" s="17" t="s">
        <v>24262</v>
      </c>
      <c r="M12380" s="17"/>
      <c r="N12380" s="17" t="s">
        <v>25249</v>
      </c>
      <c r="O12380" s="17" t="s">
        <v>26171</v>
      </c>
      <c r="P12380" s="17" t="s">
        <v>26282</v>
      </c>
      <c r="Q12380" s="17"/>
      <c r="R12380" s="25" t="str">
        <f>HYPERLINK("https://ictv.global/taxonomy/taxondetails?taxnode_id=202309362","Cytorhabdovirus yerbamate")</f>
        <v>Cytorhabdovirus yerbamate</v>
      </c>
      <c r="S12380" s="18" t="s">
        <v>30</v>
      </c>
      <c r="T12380" s="18" t="s">
        <v>26432</v>
      </c>
      <c r="U12380" s="18" t="s">
        <v>26433</v>
      </c>
      <c r="V12380" s="18" t="s">
        <v>26434</v>
      </c>
      <c r="W12380" s="18" t="s">
        <v>26435</v>
      </c>
      <c r="X12380" s="18" t="s">
        <v>42</v>
      </c>
      <c r="Y12380" s="18" t="s">
        <v>23964</v>
      </c>
      <c r="Z12380" s="18" t="s">
        <v>10790</v>
      </c>
      <c r="AA12380" s="21" t="str">
        <f>HYPERLINK("https://www.ncbi.nlm.nih.gov/nuccore/MN781667","NCBI Nucleotide")</f>
        <v>NCBI Nucleotide</v>
      </c>
    </row>
    <row r="12381" spans="1:27" x14ac:dyDescent="0.35">
      <c r="A12381">
        <v>1027579</v>
      </c>
      <c r="B12381">
        <v>11659</v>
      </c>
      <c r="C12381">
        <v>1</v>
      </c>
      <c r="D12381" s="17" t="s">
        <v>17166</v>
      </c>
      <c r="E12381" s="17"/>
      <c r="F12381" s="17" t="s">
        <v>17246</v>
      </c>
      <c r="G12381" s="17"/>
      <c r="H12381" s="17" t="s">
        <v>23950</v>
      </c>
      <c r="I12381" s="17" t="s">
        <v>23956</v>
      </c>
      <c r="J12381" s="17" t="s">
        <v>24017</v>
      </c>
      <c r="K12381" s="17"/>
      <c r="L12381" s="17" t="s">
        <v>24262</v>
      </c>
      <c r="M12381" s="17"/>
      <c r="N12381" s="17" t="s">
        <v>25249</v>
      </c>
      <c r="O12381" s="17" t="s">
        <v>26171</v>
      </c>
      <c r="P12381" s="17" t="s">
        <v>46803</v>
      </c>
      <c r="Q12381" s="17"/>
      <c r="R12381" s="25" t="str">
        <f>HYPERLINK("https://ictv.global/taxonomy/taxondetails?taxnode_id=202318292","Deltanucleorhabdovirus fragariae")</f>
        <v>Deltanucleorhabdovirus fragariae</v>
      </c>
      <c r="S12381" s="18" t="s">
        <v>30</v>
      </c>
      <c r="T12381" s="18" t="s">
        <v>46804</v>
      </c>
      <c r="U12381" s="18" t="s">
        <v>46805</v>
      </c>
      <c r="V12381" s="18" t="s">
        <v>46806</v>
      </c>
      <c r="W12381" s="18" t="s">
        <v>46807</v>
      </c>
      <c r="X12381" s="18" t="s">
        <v>42</v>
      </c>
      <c r="Y12381" s="18" t="s">
        <v>23964</v>
      </c>
      <c r="Z12381" s="18" t="s">
        <v>13441</v>
      </c>
      <c r="AA12381" s="21" t="str">
        <f>HYPERLINK("https://www.ncbi.nlm.nih.gov/nuccore/MW503935","NCBI Nucleotide")</f>
        <v>NCBI Nucleotide</v>
      </c>
    </row>
    <row r="12382" spans="1:27" x14ac:dyDescent="0.35">
      <c r="A12382">
        <v>1027580</v>
      </c>
      <c r="B12382">
        <v>11660</v>
      </c>
      <c r="C12382">
        <v>1</v>
      </c>
      <c r="D12382" s="17" t="s">
        <v>17166</v>
      </c>
      <c r="E12382" s="17"/>
      <c r="F12382" s="17" t="s">
        <v>17246</v>
      </c>
      <c r="G12382" s="17"/>
      <c r="H12382" s="17" t="s">
        <v>23950</v>
      </c>
      <c r="I12382" s="17" t="s">
        <v>23956</v>
      </c>
      <c r="J12382" s="17" t="s">
        <v>24017</v>
      </c>
      <c r="K12382" s="17"/>
      <c r="L12382" s="17" t="s">
        <v>24262</v>
      </c>
      <c r="M12382" s="17"/>
      <c r="N12382" s="17" t="s">
        <v>25249</v>
      </c>
      <c r="O12382" s="17" t="s">
        <v>26171</v>
      </c>
      <c r="P12382" s="17" t="s">
        <v>46803</v>
      </c>
      <c r="Q12382" s="17"/>
      <c r="R12382" s="25" t="str">
        <f>HYPERLINK("https://ictv.global/taxonomy/taxondetails?taxnode_id=202318291","Deltanucleorhabdovirus medicagonis")</f>
        <v>Deltanucleorhabdovirus medicagonis</v>
      </c>
      <c r="S12382" s="18" t="s">
        <v>30</v>
      </c>
      <c r="T12382" s="18" t="s">
        <v>46808</v>
      </c>
      <c r="U12382" s="18" t="s">
        <v>46809</v>
      </c>
      <c r="V12382" s="18" t="s">
        <v>46810</v>
      </c>
      <c r="W12382" s="18" t="s">
        <v>46811</v>
      </c>
      <c r="X12382" s="18" t="s">
        <v>35</v>
      </c>
      <c r="Y12382" s="18" t="s">
        <v>23964</v>
      </c>
      <c r="Z12382" s="18" t="s">
        <v>13441</v>
      </c>
      <c r="AA12382" s="21" t="str">
        <f>HYPERLINK("https://www.ncbi.nlm.nih.gov/nuccore/ON246246","NCBI Nucleotide")</f>
        <v>NCBI Nucleotide</v>
      </c>
    </row>
    <row r="12383" spans="1:27" x14ac:dyDescent="0.35">
      <c r="A12383">
        <v>1027609</v>
      </c>
      <c r="B12383">
        <v>11661</v>
      </c>
      <c r="C12383">
        <v>1</v>
      </c>
      <c r="D12383" s="17" t="s">
        <v>17166</v>
      </c>
      <c r="E12383" s="17"/>
      <c r="F12383" s="17" t="s">
        <v>17246</v>
      </c>
      <c r="G12383" s="17"/>
      <c r="H12383" s="17" t="s">
        <v>23950</v>
      </c>
      <c r="I12383" s="17" t="s">
        <v>23956</v>
      </c>
      <c r="J12383" s="17" t="s">
        <v>24017</v>
      </c>
      <c r="K12383" s="17"/>
      <c r="L12383" s="17" t="s">
        <v>24262</v>
      </c>
      <c r="M12383" s="17"/>
      <c r="N12383" s="17" t="s">
        <v>25249</v>
      </c>
      <c r="O12383" s="17" t="s">
        <v>26171</v>
      </c>
      <c r="P12383" s="17" t="s">
        <v>26438</v>
      </c>
      <c r="Q12383" s="17"/>
      <c r="R12383" s="25" t="str">
        <f>HYPERLINK("https://ictv.global/taxonomy/taxondetails?taxnode_id=202317933","Dichorhavirus australis")</f>
        <v>Dichorhavirus australis</v>
      </c>
      <c r="S12383" s="18" t="s">
        <v>30</v>
      </c>
      <c r="T12383" s="18" t="s">
        <v>46812</v>
      </c>
      <c r="U12383" s="18" t="s">
        <v>46813</v>
      </c>
      <c r="V12383" s="18" t="s">
        <v>46814</v>
      </c>
      <c r="W12383" s="18" t="s">
        <v>46815</v>
      </c>
      <c r="X12383" s="18" t="s">
        <v>42</v>
      </c>
      <c r="Y12383" s="18" t="s">
        <v>23964</v>
      </c>
      <c r="Z12383" s="18" t="s">
        <v>15964</v>
      </c>
      <c r="AA12383" s="21" t="str">
        <f>HYPERLINK("https://www.ncbi.nlm.nih.gov/nuccore/MZ773933,MZ773938","NCBI Nucleotide")</f>
        <v>NCBI Nucleotide</v>
      </c>
    </row>
    <row r="12384" spans="1:27" x14ac:dyDescent="0.35">
      <c r="A12384">
        <v>1010977</v>
      </c>
      <c r="B12384">
        <v>11662</v>
      </c>
      <c r="C12384">
        <v>1</v>
      </c>
      <c r="D12384" s="17" t="s">
        <v>17166</v>
      </c>
      <c r="E12384" s="17"/>
      <c r="F12384" s="17" t="s">
        <v>17246</v>
      </c>
      <c r="G12384" s="17"/>
      <c r="H12384" s="17" t="s">
        <v>23950</v>
      </c>
      <c r="I12384" s="17" t="s">
        <v>23956</v>
      </c>
      <c r="J12384" s="17" t="s">
        <v>24017</v>
      </c>
      <c r="K12384" s="17"/>
      <c r="L12384" s="17" t="s">
        <v>24262</v>
      </c>
      <c r="M12384" s="17"/>
      <c r="N12384" s="17" t="s">
        <v>25249</v>
      </c>
      <c r="O12384" s="17" t="s">
        <v>26171</v>
      </c>
      <c r="P12384" s="17" t="s">
        <v>26438</v>
      </c>
      <c r="Q12384" s="17"/>
      <c r="R12384" s="25" t="str">
        <f>HYPERLINK("https://ictv.global/taxonomy/taxondetails?taxnode_id=202306289","Dichorhavirus citri")</f>
        <v>Dichorhavirus citri</v>
      </c>
      <c r="S12384" s="18" t="s">
        <v>30</v>
      </c>
      <c r="T12384" s="18" t="s">
        <v>26439</v>
      </c>
      <c r="U12384" s="18" t="s">
        <v>26440</v>
      </c>
      <c r="V12384" s="18" t="s">
        <v>26441</v>
      </c>
      <c r="W12384" s="18" t="s">
        <v>50555</v>
      </c>
      <c r="X12384" s="18" t="s">
        <v>42</v>
      </c>
      <c r="Y12384" s="18" t="s">
        <v>23964</v>
      </c>
      <c r="Z12384" s="18" t="s">
        <v>15964</v>
      </c>
      <c r="AA12384" s="21" t="str">
        <f>HYPERLINK("https://www.ncbi.nlm.nih.gov/nuccore/KY700686,KY700685","NCBI Nucleotide")</f>
        <v>NCBI Nucleotide</v>
      </c>
    </row>
    <row r="12385" spans="1:27" x14ac:dyDescent="0.35">
      <c r="A12385">
        <v>1010978</v>
      </c>
      <c r="B12385">
        <v>11663</v>
      </c>
      <c r="C12385">
        <v>1</v>
      </c>
      <c r="D12385" s="17" t="s">
        <v>17166</v>
      </c>
      <c r="E12385" s="17"/>
      <c r="F12385" s="17" t="s">
        <v>17246</v>
      </c>
      <c r="G12385" s="17"/>
      <c r="H12385" s="17" t="s">
        <v>23950</v>
      </c>
      <c r="I12385" s="17" t="s">
        <v>23956</v>
      </c>
      <c r="J12385" s="17" t="s">
        <v>24017</v>
      </c>
      <c r="K12385" s="17"/>
      <c r="L12385" s="17" t="s">
        <v>24262</v>
      </c>
      <c r="M12385" s="17"/>
      <c r="N12385" s="17" t="s">
        <v>25249</v>
      </c>
      <c r="O12385" s="17" t="s">
        <v>26171</v>
      </c>
      <c r="P12385" s="17" t="s">
        <v>26438</v>
      </c>
      <c r="Q12385" s="17"/>
      <c r="R12385" s="25" t="str">
        <f>HYPERLINK("https://ictv.global/taxonomy/taxondetails?taxnode_id=202306288","Dichorhavirus clerodendri")</f>
        <v>Dichorhavirus clerodendri</v>
      </c>
      <c r="S12385" s="18" t="s">
        <v>30</v>
      </c>
      <c r="T12385" s="18" t="s">
        <v>26442</v>
      </c>
      <c r="U12385" s="18" t="s">
        <v>26443</v>
      </c>
      <c r="V12385" s="18" t="s">
        <v>26444</v>
      </c>
      <c r="W12385" s="18" t="s">
        <v>26445</v>
      </c>
      <c r="X12385" s="18" t="s">
        <v>42</v>
      </c>
      <c r="Y12385" s="18" t="s">
        <v>23964</v>
      </c>
      <c r="Z12385" s="18" t="s">
        <v>15964</v>
      </c>
      <c r="AA12385" s="21" t="str">
        <f>HYPERLINK("https://www.ncbi.nlm.nih.gov/nuccore/MG938506,MG938507","NCBI Nucleotide")</f>
        <v>NCBI Nucleotide</v>
      </c>
    </row>
    <row r="12386" spans="1:27" x14ac:dyDescent="0.35">
      <c r="A12386">
        <v>1010979</v>
      </c>
      <c r="B12386">
        <v>11664</v>
      </c>
      <c r="C12386">
        <v>1</v>
      </c>
      <c r="D12386" s="17" t="s">
        <v>17166</v>
      </c>
      <c r="E12386" s="17"/>
      <c r="F12386" s="17" t="s">
        <v>17246</v>
      </c>
      <c r="G12386" s="17"/>
      <c r="H12386" s="17" t="s">
        <v>23950</v>
      </c>
      <c r="I12386" s="17" t="s">
        <v>23956</v>
      </c>
      <c r="J12386" s="17" t="s">
        <v>24017</v>
      </c>
      <c r="K12386" s="17"/>
      <c r="L12386" s="17" t="s">
        <v>24262</v>
      </c>
      <c r="M12386" s="17"/>
      <c r="N12386" s="17" t="s">
        <v>25249</v>
      </c>
      <c r="O12386" s="17" t="s">
        <v>26171</v>
      </c>
      <c r="P12386" s="17" t="s">
        <v>26438</v>
      </c>
      <c r="Q12386" s="17"/>
      <c r="R12386" s="25" t="str">
        <f>HYPERLINK("https://ictv.global/taxonomy/taxondetails?taxnode_id=202301679","Dichorhavirus coffeae")</f>
        <v>Dichorhavirus coffeae</v>
      </c>
      <c r="S12386" s="18" t="s">
        <v>30</v>
      </c>
      <c r="T12386" s="18" t="s">
        <v>26446</v>
      </c>
      <c r="U12386" s="18" t="s">
        <v>26447</v>
      </c>
      <c r="V12386" s="18" t="s">
        <v>26448</v>
      </c>
      <c r="W12386" s="18" t="s">
        <v>26449</v>
      </c>
      <c r="X12386" s="18" t="s">
        <v>42</v>
      </c>
      <c r="Y12386" s="18" t="s">
        <v>23964</v>
      </c>
      <c r="Z12386" s="18" t="s">
        <v>15964</v>
      </c>
      <c r="AA12386" s="21" t="str">
        <f>HYPERLINK("https://www.ncbi.nlm.nih.gov/nuccore/KF812525,KF812526","NCBI Nucleotide")</f>
        <v>NCBI Nucleotide</v>
      </c>
    </row>
    <row r="12387" spans="1:27" x14ac:dyDescent="0.35">
      <c r="A12387">
        <v>1010980</v>
      </c>
      <c r="B12387">
        <v>11665</v>
      </c>
      <c r="C12387">
        <v>1</v>
      </c>
      <c r="D12387" s="17" t="s">
        <v>17166</v>
      </c>
      <c r="E12387" s="17"/>
      <c r="F12387" s="17" t="s">
        <v>17246</v>
      </c>
      <c r="G12387" s="17"/>
      <c r="H12387" s="17" t="s">
        <v>23950</v>
      </c>
      <c r="I12387" s="17" t="s">
        <v>23956</v>
      </c>
      <c r="J12387" s="17" t="s">
        <v>24017</v>
      </c>
      <c r="K12387" s="17"/>
      <c r="L12387" s="17" t="s">
        <v>24262</v>
      </c>
      <c r="M12387" s="17"/>
      <c r="N12387" s="17" t="s">
        <v>25249</v>
      </c>
      <c r="O12387" s="17" t="s">
        <v>26171</v>
      </c>
      <c r="P12387" s="17" t="s">
        <v>26438</v>
      </c>
      <c r="Q12387" s="17"/>
      <c r="R12387" s="25" t="str">
        <f>HYPERLINK("https://ictv.global/taxonomy/taxondetails?taxnode_id=202306287","Dichorhavirus leprosis")</f>
        <v>Dichorhavirus leprosis</v>
      </c>
      <c r="S12387" s="18" t="s">
        <v>30</v>
      </c>
      <c r="T12387" s="18" t="s">
        <v>26450</v>
      </c>
      <c r="U12387" s="18" t="s">
        <v>26451</v>
      </c>
      <c r="V12387" s="18" t="s">
        <v>26452</v>
      </c>
      <c r="W12387" s="18" t="s">
        <v>26453</v>
      </c>
      <c r="X12387" s="18" t="s">
        <v>42</v>
      </c>
      <c r="Y12387" s="18" t="s">
        <v>23964</v>
      </c>
      <c r="Z12387" s="18" t="s">
        <v>15964</v>
      </c>
      <c r="AA12387" s="21" t="str">
        <f>HYPERLINK("https://www.ncbi.nlm.nih.gov/nuccore/KX982176,KX982179","NCBI Nucleotide")</f>
        <v>NCBI Nucleotide</v>
      </c>
    </row>
    <row r="12388" spans="1:27" x14ac:dyDescent="0.35">
      <c r="A12388">
        <v>1010981</v>
      </c>
      <c r="B12388">
        <v>11666</v>
      </c>
      <c r="C12388">
        <v>1</v>
      </c>
      <c r="D12388" s="17" t="s">
        <v>17166</v>
      </c>
      <c r="E12388" s="17"/>
      <c r="F12388" s="17" t="s">
        <v>17246</v>
      </c>
      <c r="G12388" s="17"/>
      <c r="H12388" s="17" t="s">
        <v>23950</v>
      </c>
      <c r="I12388" s="17" t="s">
        <v>23956</v>
      </c>
      <c r="J12388" s="17" t="s">
        <v>24017</v>
      </c>
      <c r="K12388" s="17"/>
      <c r="L12388" s="17" t="s">
        <v>24262</v>
      </c>
      <c r="M12388" s="17"/>
      <c r="N12388" s="17" t="s">
        <v>25249</v>
      </c>
      <c r="O12388" s="17" t="s">
        <v>26171</v>
      </c>
      <c r="P12388" s="17" t="s">
        <v>26438</v>
      </c>
      <c r="Q12388" s="17"/>
      <c r="R12388" s="25" t="str">
        <f>HYPERLINK("https://ictv.global/taxonomy/taxondetails?taxnode_id=202301680","Dichorhavirus orchidaceae")</f>
        <v>Dichorhavirus orchidaceae</v>
      </c>
      <c r="S12388" s="18" t="s">
        <v>30</v>
      </c>
      <c r="T12388" s="18" t="s">
        <v>26454</v>
      </c>
      <c r="U12388" s="18" t="s">
        <v>26455</v>
      </c>
      <c r="V12388" s="18" t="s">
        <v>26456</v>
      </c>
      <c r="W12388" s="18" t="s">
        <v>26457</v>
      </c>
      <c r="X12388" s="18" t="s">
        <v>42</v>
      </c>
      <c r="Y12388" s="18" t="s">
        <v>23964</v>
      </c>
      <c r="Z12388" s="18" t="s">
        <v>15964</v>
      </c>
      <c r="AA12388" s="21" t="str">
        <f>HYPERLINK("https://www.ncbi.nlm.nih.gov/nuccore/AB244417,AB244418","NCBI Nucleotide")</f>
        <v>NCBI Nucleotide</v>
      </c>
    </row>
    <row r="12389" spans="1:27" x14ac:dyDescent="0.35">
      <c r="A12389">
        <v>1027591</v>
      </c>
      <c r="B12389">
        <v>11667</v>
      </c>
      <c r="C12389">
        <v>1</v>
      </c>
      <c r="D12389" s="17" t="s">
        <v>17166</v>
      </c>
      <c r="E12389" s="17"/>
      <c r="F12389" s="17" t="s">
        <v>17246</v>
      </c>
      <c r="G12389" s="17"/>
      <c r="H12389" s="17" t="s">
        <v>23950</v>
      </c>
      <c r="I12389" s="17" t="s">
        <v>23956</v>
      </c>
      <c r="J12389" s="17" t="s">
        <v>24017</v>
      </c>
      <c r="K12389" s="17"/>
      <c r="L12389" s="17" t="s">
        <v>24262</v>
      </c>
      <c r="M12389" s="17"/>
      <c r="N12389" s="17" t="s">
        <v>25249</v>
      </c>
      <c r="O12389" s="17" t="s">
        <v>26171</v>
      </c>
      <c r="P12389" s="17" t="s">
        <v>26458</v>
      </c>
      <c r="Q12389" s="17"/>
      <c r="R12389" s="25" t="str">
        <f>HYPERLINK("https://ictv.global/taxonomy/taxondetails?taxnode_id=202318290","Gammanucleorhabdovirus cerealis")</f>
        <v>Gammanucleorhabdovirus cerealis</v>
      </c>
      <c r="S12389" s="18" t="s">
        <v>30</v>
      </c>
      <c r="T12389" s="18" t="s">
        <v>46816</v>
      </c>
      <c r="U12389" s="18" t="s">
        <v>46817</v>
      </c>
      <c r="V12389" s="18" t="s">
        <v>29007</v>
      </c>
      <c r="W12389" s="18" t="s">
        <v>46818</v>
      </c>
      <c r="X12389" s="18" t="s">
        <v>42</v>
      </c>
      <c r="Y12389" s="18" t="s">
        <v>23964</v>
      </c>
      <c r="Z12389" s="18" t="s">
        <v>13441</v>
      </c>
      <c r="AA12389" s="21" t="str">
        <f>HYPERLINK("https://www.ncbi.nlm.nih.gov/nuccore/MW731536","NCBI Nucleotide")</f>
        <v>NCBI Nucleotide</v>
      </c>
    </row>
    <row r="12390" spans="1:27" x14ac:dyDescent="0.35">
      <c r="A12390">
        <v>1010982</v>
      </c>
      <c r="B12390">
        <v>11668</v>
      </c>
      <c r="C12390">
        <v>1</v>
      </c>
      <c r="D12390" s="17" t="s">
        <v>17166</v>
      </c>
      <c r="E12390" s="17"/>
      <c r="F12390" s="17" t="s">
        <v>17246</v>
      </c>
      <c r="G12390" s="17"/>
      <c r="H12390" s="17" t="s">
        <v>23950</v>
      </c>
      <c r="I12390" s="17" t="s">
        <v>23956</v>
      </c>
      <c r="J12390" s="17" t="s">
        <v>24017</v>
      </c>
      <c r="K12390" s="17"/>
      <c r="L12390" s="17" t="s">
        <v>24262</v>
      </c>
      <c r="M12390" s="17"/>
      <c r="N12390" s="17" t="s">
        <v>25249</v>
      </c>
      <c r="O12390" s="17" t="s">
        <v>26171</v>
      </c>
      <c r="P12390" s="17" t="s">
        <v>26458</v>
      </c>
      <c r="Q12390" s="17"/>
      <c r="R12390" s="25" t="str">
        <f>HYPERLINK("https://ictv.global/taxonomy/taxondetails?taxnode_id=202301744","Gammanucleorhabdovirus maydis")</f>
        <v>Gammanucleorhabdovirus maydis</v>
      </c>
      <c r="S12390" s="18" t="s">
        <v>30</v>
      </c>
      <c r="T12390" s="18" t="s">
        <v>26459</v>
      </c>
      <c r="U12390" s="18" t="s">
        <v>26460</v>
      </c>
      <c r="V12390" s="18" t="s">
        <v>18179</v>
      </c>
      <c r="W12390" s="18" t="s">
        <v>26461</v>
      </c>
      <c r="X12390" s="18" t="s">
        <v>42</v>
      </c>
      <c r="Y12390" s="18" t="s">
        <v>23964</v>
      </c>
      <c r="Z12390" s="18" t="s">
        <v>13441</v>
      </c>
      <c r="AA12390" s="21" t="str">
        <f>HYPERLINK("https://www.ncbi.nlm.nih.gov/nuccore/AY618417","NCBI Nucleotide")</f>
        <v>NCBI Nucleotide</v>
      </c>
    </row>
    <row r="12391" spans="1:27" x14ac:dyDescent="0.35">
      <c r="A12391">
        <v>1027751</v>
      </c>
      <c r="B12391">
        <v>11669</v>
      </c>
      <c r="C12391">
        <v>1</v>
      </c>
      <c r="D12391" s="17" t="s">
        <v>17166</v>
      </c>
      <c r="E12391" s="17"/>
      <c r="F12391" s="17" t="s">
        <v>17246</v>
      </c>
      <c r="G12391" s="17"/>
      <c r="H12391" s="17" t="s">
        <v>23950</v>
      </c>
      <c r="I12391" s="17" t="s">
        <v>23956</v>
      </c>
      <c r="J12391" s="17" t="s">
        <v>24017</v>
      </c>
      <c r="K12391" s="17"/>
      <c r="L12391" s="17" t="s">
        <v>24262</v>
      </c>
      <c r="M12391" s="17"/>
      <c r="N12391" s="17" t="s">
        <v>25249</v>
      </c>
      <c r="O12391" s="17" t="s">
        <v>26171</v>
      </c>
      <c r="P12391" s="17" t="s">
        <v>26462</v>
      </c>
      <c r="Q12391" s="17"/>
      <c r="R12391" s="25" t="str">
        <f>HYPERLINK("https://ictv.global/taxonomy/taxondetails?taxnode_id=202318590","Varicosavirus aconiti")</f>
        <v>Varicosavirus aconiti</v>
      </c>
      <c r="S12391" s="18" t="s">
        <v>30</v>
      </c>
      <c r="T12391" s="18" t="s">
        <v>46819</v>
      </c>
      <c r="U12391" s="18" t="s">
        <v>46820</v>
      </c>
      <c r="V12391" s="18" t="s">
        <v>46821</v>
      </c>
      <c r="W12391" s="18" t="s">
        <v>46822</v>
      </c>
      <c r="X12391" s="18" t="s">
        <v>35</v>
      </c>
      <c r="Y12391" s="18" t="s">
        <v>23964</v>
      </c>
      <c r="Z12391" s="18" t="s">
        <v>13441</v>
      </c>
      <c r="AA12391" s="21" t="str">
        <f>HYPERLINK("https://www.ncbi.nlm.nih.gov/nuccore/BK061734,BK061735","NCBI Nucleotide")</f>
        <v>NCBI Nucleotide</v>
      </c>
    </row>
    <row r="12392" spans="1:27" x14ac:dyDescent="0.35">
      <c r="A12392">
        <v>1010983</v>
      </c>
      <c r="B12392">
        <v>11670</v>
      </c>
      <c r="C12392">
        <v>1</v>
      </c>
      <c r="D12392" s="17" t="s">
        <v>17166</v>
      </c>
      <c r="E12392" s="17"/>
      <c r="F12392" s="17" t="s">
        <v>17246</v>
      </c>
      <c r="G12392" s="17"/>
      <c r="H12392" s="17" t="s">
        <v>23950</v>
      </c>
      <c r="I12392" s="17" t="s">
        <v>23956</v>
      </c>
      <c r="J12392" s="17" t="s">
        <v>24017</v>
      </c>
      <c r="K12392" s="17"/>
      <c r="L12392" s="17" t="s">
        <v>24262</v>
      </c>
      <c r="M12392" s="17"/>
      <c r="N12392" s="17" t="s">
        <v>25249</v>
      </c>
      <c r="O12392" s="17" t="s">
        <v>26171</v>
      </c>
      <c r="P12392" s="17" t="s">
        <v>26462</v>
      </c>
      <c r="Q12392" s="17"/>
      <c r="R12392" s="25" t="str">
        <f>HYPERLINK("https://ictv.global/taxonomy/taxondetails?taxnode_id=202314266","Varicosavirus allii")</f>
        <v>Varicosavirus allii</v>
      </c>
      <c r="S12392" s="18" t="s">
        <v>30</v>
      </c>
      <c r="T12392" s="18" t="s">
        <v>26463</v>
      </c>
      <c r="U12392" s="18" t="s">
        <v>26464</v>
      </c>
      <c r="V12392" s="18" t="s">
        <v>26465</v>
      </c>
      <c r="W12392" s="18" t="s">
        <v>26466</v>
      </c>
      <c r="X12392" s="18" t="s">
        <v>35</v>
      </c>
      <c r="Y12392" s="18" t="s">
        <v>23964</v>
      </c>
      <c r="Z12392" s="18" t="s">
        <v>13441</v>
      </c>
      <c r="AA12392" s="21" t="str">
        <f>HYPERLINK("https://www.ncbi.nlm.nih.gov/nuccore/BK059208,BK059209","NCBI Nucleotide")</f>
        <v>NCBI Nucleotide</v>
      </c>
    </row>
    <row r="12393" spans="1:27" x14ac:dyDescent="0.35">
      <c r="A12393">
        <v>1010984</v>
      </c>
      <c r="B12393">
        <v>11671</v>
      </c>
      <c r="C12393">
        <v>1</v>
      </c>
      <c r="D12393" s="17" t="s">
        <v>17166</v>
      </c>
      <c r="E12393" s="17"/>
      <c r="F12393" s="17" t="s">
        <v>17246</v>
      </c>
      <c r="G12393" s="17"/>
      <c r="H12393" s="17" t="s">
        <v>23950</v>
      </c>
      <c r="I12393" s="17" t="s">
        <v>23956</v>
      </c>
      <c r="J12393" s="17" t="s">
        <v>24017</v>
      </c>
      <c r="K12393" s="17"/>
      <c r="L12393" s="17" t="s">
        <v>24262</v>
      </c>
      <c r="M12393" s="17"/>
      <c r="N12393" s="17" t="s">
        <v>25249</v>
      </c>
      <c r="O12393" s="17" t="s">
        <v>26171</v>
      </c>
      <c r="P12393" s="17" t="s">
        <v>26462</v>
      </c>
      <c r="Q12393" s="17"/>
      <c r="R12393" s="25" t="str">
        <f>HYPERLINK("https://ictv.global/taxonomy/taxondetails?taxnode_id=202309370","Varicosavirus alopecuri")</f>
        <v>Varicosavirus alopecuri</v>
      </c>
      <c r="S12393" s="18" t="s">
        <v>30</v>
      </c>
      <c r="T12393" s="18" t="s">
        <v>26467</v>
      </c>
      <c r="U12393" s="18" t="s">
        <v>26468</v>
      </c>
      <c r="V12393" s="18"/>
      <c r="W12393" s="18" t="s">
        <v>26469</v>
      </c>
      <c r="X12393" s="18" t="s">
        <v>35</v>
      </c>
      <c r="Y12393" s="18" t="s">
        <v>23964</v>
      </c>
      <c r="Z12393" s="18" t="s">
        <v>13441</v>
      </c>
      <c r="AA12393" s="21" t="str">
        <f>HYPERLINK("https://www.ncbi.nlm.nih.gov/nuccore/LN713933,LN713934","NCBI Nucleotide")</f>
        <v>NCBI Nucleotide</v>
      </c>
    </row>
    <row r="12394" spans="1:27" x14ac:dyDescent="0.35">
      <c r="A12394">
        <v>1010985</v>
      </c>
      <c r="B12394">
        <v>11672</v>
      </c>
      <c r="C12394">
        <v>1</v>
      </c>
      <c r="D12394" s="17" t="s">
        <v>17166</v>
      </c>
      <c r="E12394" s="17"/>
      <c r="F12394" s="17" t="s">
        <v>17246</v>
      </c>
      <c r="G12394" s="17"/>
      <c r="H12394" s="17" t="s">
        <v>23950</v>
      </c>
      <c r="I12394" s="17" t="s">
        <v>23956</v>
      </c>
      <c r="J12394" s="17" t="s">
        <v>24017</v>
      </c>
      <c r="K12394" s="17"/>
      <c r="L12394" s="17" t="s">
        <v>24262</v>
      </c>
      <c r="M12394" s="17"/>
      <c r="N12394" s="17" t="s">
        <v>25249</v>
      </c>
      <c r="O12394" s="17" t="s">
        <v>26171</v>
      </c>
      <c r="P12394" s="17" t="s">
        <v>26462</v>
      </c>
      <c r="Q12394" s="17"/>
      <c r="R12394" s="25" t="str">
        <f>HYPERLINK("https://ictv.global/taxonomy/taxondetails?taxnode_id=202314267","Varicosavirus alphabrassicae")</f>
        <v>Varicosavirus alphabrassicae</v>
      </c>
      <c r="S12394" s="18" t="s">
        <v>30</v>
      </c>
      <c r="T12394" s="18" t="s">
        <v>26470</v>
      </c>
      <c r="U12394" s="18" t="s">
        <v>26471</v>
      </c>
      <c r="V12394" s="18" t="s">
        <v>17912</v>
      </c>
      <c r="W12394" s="18" t="s">
        <v>26472</v>
      </c>
      <c r="X12394" s="18" t="s">
        <v>35</v>
      </c>
      <c r="Y12394" s="18" t="s">
        <v>23964</v>
      </c>
      <c r="Z12394" s="18" t="s">
        <v>13441</v>
      </c>
      <c r="AA12394" s="21" t="str">
        <f>HYPERLINK("https://www.ncbi.nlm.nih.gov/nuccore/BK014310,BK014311","NCBI Nucleotide")</f>
        <v>NCBI Nucleotide</v>
      </c>
    </row>
    <row r="12395" spans="1:27" x14ac:dyDescent="0.35">
      <c r="A12395">
        <v>1027752</v>
      </c>
      <c r="B12395">
        <v>11673</v>
      </c>
      <c r="C12395">
        <v>1</v>
      </c>
      <c r="D12395" s="17" t="s">
        <v>17166</v>
      </c>
      <c r="E12395" s="17"/>
      <c r="F12395" s="17" t="s">
        <v>17246</v>
      </c>
      <c r="G12395" s="17"/>
      <c r="H12395" s="17" t="s">
        <v>23950</v>
      </c>
      <c r="I12395" s="17" t="s">
        <v>23956</v>
      </c>
      <c r="J12395" s="17" t="s">
        <v>24017</v>
      </c>
      <c r="K12395" s="17"/>
      <c r="L12395" s="17" t="s">
        <v>24262</v>
      </c>
      <c r="M12395" s="17"/>
      <c r="N12395" s="17" t="s">
        <v>25249</v>
      </c>
      <c r="O12395" s="17" t="s">
        <v>26171</v>
      </c>
      <c r="P12395" s="17" t="s">
        <v>26462</v>
      </c>
      <c r="Q12395" s="17"/>
      <c r="R12395" s="25" t="str">
        <f>HYPERLINK("https://ictv.global/taxonomy/taxondetails?taxnode_id=202318591","Varicosavirus aperae")</f>
        <v>Varicosavirus aperae</v>
      </c>
      <c r="S12395" s="18" t="s">
        <v>30</v>
      </c>
      <c r="T12395" s="18" t="s">
        <v>46823</v>
      </c>
      <c r="U12395" s="18" t="s">
        <v>46824</v>
      </c>
      <c r="V12395" s="18" t="s">
        <v>46825</v>
      </c>
      <c r="W12395" s="18" t="s">
        <v>46826</v>
      </c>
      <c r="X12395" s="18" t="s">
        <v>35</v>
      </c>
      <c r="Y12395" s="18" t="s">
        <v>23964</v>
      </c>
      <c r="Z12395" s="18" t="s">
        <v>13441</v>
      </c>
      <c r="AA12395" s="21" t="str">
        <f>HYPERLINK("https://www.ncbi.nlm.nih.gov/nuccore/BK061737,BK061738","NCBI Nucleotide")</f>
        <v>NCBI Nucleotide</v>
      </c>
    </row>
    <row r="12396" spans="1:27" x14ac:dyDescent="0.35">
      <c r="A12396">
        <v>1027753</v>
      </c>
      <c r="B12396">
        <v>11674</v>
      </c>
      <c r="C12396">
        <v>1</v>
      </c>
      <c r="D12396" s="17" t="s">
        <v>17166</v>
      </c>
      <c r="E12396" s="17"/>
      <c r="F12396" s="17" t="s">
        <v>17246</v>
      </c>
      <c r="G12396" s="17"/>
      <c r="H12396" s="17" t="s">
        <v>23950</v>
      </c>
      <c r="I12396" s="17" t="s">
        <v>23956</v>
      </c>
      <c r="J12396" s="17" t="s">
        <v>24017</v>
      </c>
      <c r="K12396" s="17"/>
      <c r="L12396" s="17" t="s">
        <v>24262</v>
      </c>
      <c r="M12396" s="17"/>
      <c r="N12396" s="17" t="s">
        <v>25249</v>
      </c>
      <c r="O12396" s="17" t="s">
        <v>26171</v>
      </c>
      <c r="P12396" s="17" t="s">
        <v>26462</v>
      </c>
      <c r="Q12396" s="17"/>
      <c r="R12396" s="25" t="str">
        <f>HYPERLINK("https://ictv.global/taxonomy/taxondetails?taxnode_id=202318592","Varicosavirus aponogeti")</f>
        <v>Varicosavirus aponogeti</v>
      </c>
      <c r="S12396" s="18" t="s">
        <v>30</v>
      </c>
      <c r="T12396" s="18" t="s">
        <v>46827</v>
      </c>
      <c r="U12396" s="18" t="s">
        <v>46828</v>
      </c>
      <c r="V12396" s="18" t="s">
        <v>46829</v>
      </c>
      <c r="W12396" s="18" t="s">
        <v>46830</v>
      </c>
      <c r="X12396" s="18" t="s">
        <v>35</v>
      </c>
      <c r="Y12396" s="18" t="s">
        <v>23964</v>
      </c>
      <c r="Z12396" s="18" t="s">
        <v>13441</v>
      </c>
      <c r="AA12396" s="21" t="str">
        <f>HYPERLINK("https://www.ncbi.nlm.nih.gov/nuccore/BK061739,BK061740","NCBI Nucleotide")</f>
        <v>NCBI Nucleotide</v>
      </c>
    </row>
    <row r="12397" spans="1:27" x14ac:dyDescent="0.35">
      <c r="A12397">
        <v>1027802</v>
      </c>
      <c r="B12397">
        <v>11675</v>
      </c>
      <c r="C12397">
        <v>1</v>
      </c>
      <c r="D12397" s="17" t="s">
        <v>17166</v>
      </c>
      <c r="E12397" s="17"/>
      <c r="F12397" s="17" t="s">
        <v>17246</v>
      </c>
      <c r="G12397" s="17"/>
      <c r="H12397" s="17" t="s">
        <v>23950</v>
      </c>
      <c r="I12397" s="17" t="s">
        <v>23956</v>
      </c>
      <c r="J12397" s="17" t="s">
        <v>24017</v>
      </c>
      <c r="K12397" s="17"/>
      <c r="L12397" s="17" t="s">
        <v>24262</v>
      </c>
      <c r="M12397" s="17"/>
      <c r="N12397" s="17" t="s">
        <v>25249</v>
      </c>
      <c r="O12397" s="17" t="s">
        <v>26171</v>
      </c>
      <c r="P12397" s="17" t="s">
        <v>26462</v>
      </c>
      <c r="Q12397" s="17"/>
      <c r="R12397" s="25" t="str">
        <f>HYPERLINK("https://ictv.global/taxonomy/taxondetails?taxnode_id=202318593","Varicosavirus arceuthobii")</f>
        <v>Varicosavirus arceuthobii</v>
      </c>
      <c r="S12397" s="18" t="s">
        <v>30</v>
      </c>
      <c r="T12397" s="18" t="s">
        <v>46831</v>
      </c>
      <c r="U12397" s="18" t="s">
        <v>46832</v>
      </c>
      <c r="V12397" s="18" t="s">
        <v>46833</v>
      </c>
      <c r="W12397" s="18" t="s">
        <v>46834</v>
      </c>
      <c r="X12397" s="18" t="s">
        <v>35</v>
      </c>
      <c r="Y12397" s="18" t="s">
        <v>23964</v>
      </c>
      <c r="Z12397" s="18" t="s">
        <v>13441</v>
      </c>
      <c r="AA12397" s="21" t="str">
        <f>HYPERLINK("https://www.ncbi.nlm.nih.gov/nuccore/BK061732,BK061733","NCBI Nucleotide")</f>
        <v>NCBI Nucleotide</v>
      </c>
    </row>
    <row r="12398" spans="1:27" x14ac:dyDescent="0.35">
      <c r="A12398">
        <v>1027803</v>
      </c>
      <c r="B12398">
        <v>11676</v>
      </c>
      <c r="C12398">
        <v>1</v>
      </c>
      <c r="D12398" s="17" t="s">
        <v>17166</v>
      </c>
      <c r="E12398" s="17"/>
      <c r="F12398" s="17" t="s">
        <v>17246</v>
      </c>
      <c r="G12398" s="17"/>
      <c r="H12398" s="17" t="s">
        <v>23950</v>
      </c>
      <c r="I12398" s="17" t="s">
        <v>23956</v>
      </c>
      <c r="J12398" s="17" t="s">
        <v>24017</v>
      </c>
      <c r="K12398" s="17"/>
      <c r="L12398" s="17" t="s">
        <v>24262</v>
      </c>
      <c r="M12398" s="17"/>
      <c r="N12398" s="17" t="s">
        <v>25249</v>
      </c>
      <c r="O12398" s="17" t="s">
        <v>26171</v>
      </c>
      <c r="P12398" s="17" t="s">
        <v>26462</v>
      </c>
      <c r="Q12398" s="17"/>
      <c r="R12398" s="25" t="str">
        <f>HYPERLINK("https://ictv.global/taxonomy/taxondetails?taxnode_id=202318594","Varicosavirus artemisiae")</f>
        <v>Varicosavirus artemisiae</v>
      </c>
      <c r="S12398" s="18" t="s">
        <v>30</v>
      </c>
      <c r="T12398" s="18" t="s">
        <v>46835</v>
      </c>
      <c r="U12398" s="18" t="s">
        <v>46836</v>
      </c>
      <c r="V12398" s="18" t="s">
        <v>46837</v>
      </c>
      <c r="W12398" s="18" t="s">
        <v>46838</v>
      </c>
      <c r="X12398" s="18" t="s">
        <v>35</v>
      </c>
      <c r="Y12398" s="18" t="s">
        <v>23964</v>
      </c>
      <c r="Z12398" s="18" t="s">
        <v>13441</v>
      </c>
      <c r="AA12398" s="21" t="str">
        <f>HYPERLINK("https://www.ncbi.nlm.nih.gov/nuccore/BK061741,BK061742","NCBI Nucleotide")</f>
        <v>NCBI Nucleotide</v>
      </c>
    </row>
    <row r="12399" spans="1:27" x14ac:dyDescent="0.35">
      <c r="A12399">
        <v>1027804</v>
      </c>
      <c r="B12399">
        <v>11677</v>
      </c>
      <c r="C12399">
        <v>1</v>
      </c>
      <c r="D12399" s="17" t="s">
        <v>17166</v>
      </c>
      <c r="E12399" s="17"/>
      <c r="F12399" s="17" t="s">
        <v>17246</v>
      </c>
      <c r="G12399" s="17"/>
      <c r="H12399" s="17" t="s">
        <v>23950</v>
      </c>
      <c r="I12399" s="17" t="s">
        <v>23956</v>
      </c>
      <c r="J12399" s="17" t="s">
        <v>24017</v>
      </c>
      <c r="K12399" s="17"/>
      <c r="L12399" s="17" t="s">
        <v>24262</v>
      </c>
      <c r="M12399" s="17"/>
      <c r="N12399" s="17" t="s">
        <v>25249</v>
      </c>
      <c r="O12399" s="17" t="s">
        <v>26171</v>
      </c>
      <c r="P12399" s="17" t="s">
        <v>26462</v>
      </c>
      <c r="Q12399" s="17"/>
      <c r="R12399" s="25" t="str">
        <f>HYPERLINK("https://ictv.global/taxonomy/taxondetails?taxnode_id=202318595","Varicosavirus asclepiadis")</f>
        <v>Varicosavirus asclepiadis</v>
      </c>
      <c r="S12399" s="18" t="s">
        <v>30</v>
      </c>
      <c r="T12399" s="18" t="s">
        <v>46839</v>
      </c>
      <c r="U12399" s="18" t="s">
        <v>46840</v>
      </c>
      <c r="V12399" s="18" t="s">
        <v>46841</v>
      </c>
      <c r="W12399" s="18" t="s">
        <v>46842</v>
      </c>
      <c r="X12399" s="18" t="s">
        <v>35</v>
      </c>
      <c r="Y12399" s="18" t="s">
        <v>23964</v>
      </c>
      <c r="Z12399" s="18" t="s">
        <v>13441</v>
      </c>
      <c r="AA12399" s="21" t="str">
        <f>HYPERLINK("https://www.ncbi.nlm.nih.gov/nuccore/BK061743,BK061744","NCBI Nucleotide")</f>
        <v>NCBI Nucleotide</v>
      </c>
    </row>
    <row r="12400" spans="1:27" x14ac:dyDescent="0.35">
      <c r="A12400">
        <v>1027805</v>
      </c>
      <c r="B12400">
        <v>11678</v>
      </c>
      <c r="C12400">
        <v>1</v>
      </c>
      <c r="D12400" s="17" t="s">
        <v>17166</v>
      </c>
      <c r="E12400" s="17"/>
      <c r="F12400" s="17" t="s">
        <v>17246</v>
      </c>
      <c r="G12400" s="17"/>
      <c r="H12400" s="17" t="s">
        <v>23950</v>
      </c>
      <c r="I12400" s="17" t="s">
        <v>23956</v>
      </c>
      <c r="J12400" s="17" t="s">
        <v>24017</v>
      </c>
      <c r="K12400" s="17"/>
      <c r="L12400" s="17" t="s">
        <v>24262</v>
      </c>
      <c r="M12400" s="17"/>
      <c r="N12400" s="17" t="s">
        <v>25249</v>
      </c>
      <c r="O12400" s="17" t="s">
        <v>26171</v>
      </c>
      <c r="P12400" s="17" t="s">
        <v>26462</v>
      </c>
      <c r="Q12400" s="17"/>
      <c r="R12400" s="25" t="str">
        <f>HYPERLINK("https://ictv.global/taxonomy/taxondetails?taxnode_id=202318596","Varicosavirus betabrassicae")</f>
        <v>Varicosavirus betabrassicae</v>
      </c>
      <c r="S12400" s="18" t="s">
        <v>30</v>
      </c>
      <c r="T12400" s="18" t="s">
        <v>46843</v>
      </c>
      <c r="U12400" s="18" t="s">
        <v>46844</v>
      </c>
      <c r="V12400" s="18" t="s">
        <v>46845</v>
      </c>
      <c r="W12400" s="18" t="s">
        <v>46846</v>
      </c>
      <c r="X12400" s="18" t="s">
        <v>35</v>
      </c>
      <c r="Y12400" s="18" t="s">
        <v>23964</v>
      </c>
      <c r="Z12400" s="18" t="s">
        <v>13441</v>
      </c>
      <c r="AA12400" s="21" t="str">
        <f>HYPERLINK("https://www.ncbi.nlm.nih.gov/nuccore/BK061747,BK061748","NCBI Nucleotide")</f>
        <v>NCBI Nucleotide</v>
      </c>
    </row>
    <row r="12401" spans="1:27" x14ac:dyDescent="0.35">
      <c r="A12401">
        <v>1027806</v>
      </c>
      <c r="B12401">
        <v>11679</v>
      </c>
      <c r="C12401">
        <v>1</v>
      </c>
      <c r="D12401" s="17" t="s">
        <v>17166</v>
      </c>
      <c r="E12401" s="17"/>
      <c r="F12401" s="17" t="s">
        <v>17246</v>
      </c>
      <c r="G12401" s="17"/>
      <c r="H12401" s="17" t="s">
        <v>23950</v>
      </c>
      <c r="I12401" s="17" t="s">
        <v>23956</v>
      </c>
      <c r="J12401" s="17" t="s">
        <v>24017</v>
      </c>
      <c r="K12401" s="17"/>
      <c r="L12401" s="17" t="s">
        <v>24262</v>
      </c>
      <c r="M12401" s="17"/>
      <c r="N12401" s="17" t="s">
        <v>25249</v>
      </c>
      <c r="O12401" s="17" t="s">
        <v>26171</v>
      </c>
      <c r="P12401" s="17" t="s">
        <v>26462</v>
      </c>
      <c r="Q12401" s="17"/>
      <c r="R12401" s="25" t="str">
        <f>HYPERLINK("https://ictv.global/taxonomy/taxondetails?taxnode_id=202318597","Varicosavirus caladeniae")</f>
        <v>Varicosavirus caladeniae</v>
      </c>
      <c r="S12401" s="18" t="s">
        <v>30</v>
      </c>
      <c r="T12401" s="18" t="s">
        <v>46847</v>
      </c>
      <c r="U12401" s="18" t="s">
        <v>46848</v>
      </c>
      <c r="V12401" s="18" t="s">
        <v>46849</v>
      </c>
      <c r="W12401" s="18" t="s">
        <v>46850</v>
      </c>
      <c r="X12401" s="18" t="s">
        <v>35</v>
      </c>
      <c r="Y12401" s="18" t="s">
        <v>23964</v>
      </c>
      <c r="Z12401" s="18" t="s">
        <v>13441</v>
      </c>
      <c r="AA12401" s="21" t="str">
        <f>HYPERLINK("https://www.ncbi.nlm.nih.gov/nuccore/BK061755,BK061756","NCBI Nucleotide")</f>
        <v>NCBI Nucleotide</v>
      </c>
    </row>
    <row r="12402" spans="1:27" x14ac:dyDescent="0.35">
      <c r="A12402">
        <v>1027807</v>
      </c>
      <c r="B12402">
        <v>11680</v>
      </c>
      <c r="C12402">
        <v>1</v>
      </c>
      <c r="D12402" s="17" t="s">
        <v>17166</v>
      </c>
      <c r="E12402" s="17"/>
      <c r="F12402" s="17" t="s">
        <v>17246</v>
      </c>
      <c r="G12402" s="17"/>
      <c r="H12402" s="17" t="s">
        <v>23950</v>
      </c>
      <c r="I12402" s="17" t="s">
        <v>23956</v>
      </c>
      <c r="J12402" s="17" t="s">
        <v>24017</v>
      </c>
      <c r="K12402" s="17"/>
      <c r="L12402" s="17" t="s">
        <v>24262</v>
      </c>
      <c r="M12402" s="17"/>
      <c r="N12402" s="17" t="s">
        <v>25249</v>
      </c>
      <c r="O12402" s="17" t="s">
        <v>26171</v>
      </c>
      <c r="P12402" s="17" t="s">
        <v>26462</v>
      </c>
      <c r="Q12402" s="17"/>
      <c r="R12402" s="25" t="str">
        <f>HYPERLINK("https://ictv.global/taxonomy/taxondetails?taxnode_id=202318598","Varicosavirus centaurea")</f>
        <v>Varicosavirus centaurea</v>
      </c>
      <c r="S12402" s="18" t="s">
        <v>30</v>
      </c>
      <c r="T12402" s="18" t="s">
        <v>46851</v>
      </c>
      <c r="U12402" s="18" t="s">
        <v>46852</v>
      </c>
      <c r="V12402" s="18" t="s">
        <v>46853</v>
      </c>
      <c r="W12402" s="18" t="s">
        <v>46854</v>
      </c>
      <c r="X12402" s="18" t="s">
        <v>35</v>
      </c>
      <c r="Y12402" s="18" t="s">
        <v>23964</v>
      </c>
      <c r="Z12402" s="18" t="s">
        <v>13441</v>
      </c>
      <c r="AA12402" s="21" t="str">
        <f>HYPERLINK("https://www.ncbi.nlm.nih.gov/nuccore/BK061757,BK061758","NCBI Nucleotide")</f>
        <v>NCBI Nucleotide</v>
      </c>
    </row>
    <row r="12403" spans="1:27" x14ac:dyDescent="0.35">
      <c r="A12403">
        <v>1027808</v>
      </c>
      <c r="B12403">
        <v>11681</v>
      </c>
      <c r="C12403">
        <v>1</v>
      </c>
      <c r="D12403" s="17" t="s">
        <v>17166</v>
      </c>
      <c r="E12403" s="17"/>
      <c r="F12403" s="17" t="s">
        <v>17246</v>
      </c>
      <c r="G12403" s="17"/>
      <c r="H12403" s="17" t="s">
        <v>23950</v>
      </c>
      <c r="I12403" s="17" t="s">
        <v>23956</v>
      </c>
      <c r="J12403" s="17" t="s">
        <v>24017</v>
      </c>
      <c r="K12403" s="17"/>
      <c r="L12403" s="17" t="s">
        <v>24262</v>
      </c>
      <c r="M12403" s="17"/>
      <c r="N12403" s="17" t="s">
        <v>25249</v>
      </c>
      <c r="O12403" s="17" t="s">
        <v>26171</v>
      </c>
      <c r="P12403" s="17" t="s">
        <v>26462</v>
      </c>
      <c r="Q12403" s="17"/>
      <c r="R12403" s="25" t="str">
        <f>HYPERLINK("https://ictv.global/taxonomy/taxondetails?taxnode_id=202318599","Varicosavirus cucumis")</f>
        <v>Varicosavirus cucumis</v>
      </c>
      <c r="S12403" s="18" t="s">
        <v>30</v>
      </c>
      <c r="T12403" s="18" t="s">
        <v>46855</v>
      </c>
      <c r="U12403" s="18" t="s">
        <v>46856</v>
      </c>
      <c r="V12403" s="18" t="s">
        <v>46857</v>
      </c>
      <c r="W12403" s="18" t="s">
        <v>46858</v>
      </c>
      <c r="X12403" s="18" t="s">
        <v>35</v>
      </c>
      <c r="Y12403" s="18" t="s">
        <v>23964</v>
      </c>
      <c r="Z12403" s="18" t="s">
        <v>13441</v>
      </c>
      <c r="AA12403" s="21" t="str">
        <f>HYPERLINK("https://www.ncbi.nlm.nih.gov/nuccore/BK061761,BK061762","NCBI Nucleotide")</f>
        <v>NCBI Nucleotide</v>
      </c>
    </row>
    <row r="12404" spans="1:27" x14ac:dyDescent="0.35">
      <c r="A12404">
        <v>1027809</v>
      </c>
      <c r="B12404">
        <v>11682</v>
      </c>
      <c r="C12404">
        <v>1</v>
      </c>
      <c r="D12404" s="17" t="s">
        <v>17166</v>
      </c>
      <c r="E12404" s="17"/>
      <c r="F12404" s="17" t="s">
        <v>17246</v>
      </c>
      <c r="G12404" s="17"/>
      <c r="H12404" s="17" t="s">
        <v>23950</v>
      </c>
      <c r="I12404" s="17" t="s">
        <v>23956</v>
      </c>
      <c r="J12404" s="17" t="s">
        <v>24017</v>
      </c>
      <c r="K12404" s="17"/>
      <c r="L12404" s="17" t="s">
        <v>24262</v>
      </c>
      <c r="M12404" s="17"/>
      <c r="N12404" s="17" t="s">
        <v>25249</v>
      </c>
      <c r="O12404" s="17" t="s">
        <v>26171</v>
      </c>
      <c r="P12404" s="17" t="s">
        <v>26462</v>
      </c>
      <c r="Q12404" s="17"/>
      <c r="R12404" s="25" t="str">
        <f>HYPERLINK("https://ictv.global/taxonomy/taxondetails?taxnode_id=202318600","Varicosavirus didymochlaenae")</f>
        <v>Varicosavirus didymochlaenae</v>
      </c>
      <c r="S12404" s="18" t="s">
        <v>30</v>
      </c>
      <c r="T12404" s="18" t="s">
        <v>46859</v>
      </c>
      <c r="U12404" s="18" t="s">
        <v>46860</v>
      </c>
      <c r="V12404" s="18" t="s">
        <v>46861</v>
      </c>
      <c r="W12404" s="18" t="s">
        <v>46862</v>
      </c>
      <c r="X12404" s="18" t="s">
        <v>35</v>
      </c>
      <c r="Y12404" s="18" t="s">
        <v>23964</v>
      </c>
      <c r="Z12404" s="18" t="s">
        <v>13441</v>
      </c>
      <c r="AA12404" s="21" t="str">
        <f>HYPERLINK("https://www.ncbi.nlm.nih.gov/nuccore/BK061764,BK061765","NCBI Nucleotide")</f>
        <v>NCBI Nucleotide</v>
      </c>
    </row>
    <row r="12405" spans="1:27" x14ac:dyDescent="0.35">
      <c r="A12405">
        <v>1027810</v>
      </c>
      <c r="B12405">
        <v>11683</v>
      </c>
      <c r="C12405">
        <v>1</v>
      </c>
      <c r="D12405" s="17" t="s">
        <v>17166</v>
      </c>
      <c r="E12405" s="17"/>
      <c r="F12405" s="17" t="s">
        <v>17246</v>
      </c>
      <c r="G12405" s="17"/>
      <c r="H12405" s="17" t="s">
        <v>23950</v>
      </c>
      <c r="I12405" s="17" t="s">
        <v>23956</v>
      </c>
      <c r="J12405" s="17" t="s">
        <v>24017</v>
      </c>
      <c r="K12405" s="17"/>
      <c r="L12405" s="17" t="s">
        <v>24262</v>
      </c>
      <c r="M12405" s="17"/>
      <c r="N12405" s="17" t="s">
        <v>25249</v>
      </c>
      <c r="O12405" s="17" t="s">
        <v>26171</v>
      </c>
      <c r="P12405" s="17" t="s">
        <v>26462</v>
      </c>
      <c r="Q12405" s="17"/>
      <c r="R12405" s="25" t="str">
        <f>HYPERLINK("https://ictv.global/taxonomy/taxondetails?taxnode_id=202318601","Varicosavirus erysimi")</f>
        <v>Varicosavirus erysimi</v>
      </c>
      <c r="S12405" s="18" t="s">
        <v>30</v>
      </c>
      <c r="T12405" s="18" t="s">
        <v>46863</v>
      </c>
      <c r="U12405" s="18" t="s">
        <v>46864</v>
      </c>
      <c r="V12405" s="18" t="s">
        <v>46865</v>
      </c>
      <c r="W12405" s="18" t="s">
        <v>46866</v>
      </c>
      <c r="X12405" s="18" t="s">
        <v>35</v>
      </c>
      <c r="Y12405" s="18" t="s">
        <v>23964</v>
      </c>
      <c r="Z12405" s="18" t="s">
        <v>13441</v>
      </c>
      <c r="AA12405" s="21" t="str">
        <f>HYPERLINK("https://www.ncbi.nlm.nih.gov/nuccore/BK061766,BK061767","NCBI Nucleotide")</f>
        <v>NCBI Nucleotide</v>
      </c>
    </row>
    <row r="12406" spans="1:27" x14ac:dyDescent="0.35">
      <c r="A12406">
        <v>1027811</v>
      </c>
      <c r="B12406">
        <v>11684</v>
      </c>
      <c r="C12406">
        <v>1</v>
      </c>
      <c r="D12406" s="17" t="s">
        <v>17166</v>
      </c>
      <c r="E12406" s="17"/>
      <c r="F12406" s="17" t="s">
        <v>17246</v>
      </c>
      <c r="G12406" s="17"/>
      <c r="H12406" s="17" t="s">
        <v>23950</v>
      </c>
      <c r="I12406" s="17" t="s">
        <v>23956</v>
      </c>
      <c r="J12406" s="17" t="s">
        <v>24017</v>
      </c>
      <c r="K12406" s="17"/>
      <c r="L12406" s="17" t="s">
        <v>24262</v>
      </c>
      <c r="M12406" s="17"/>
      <c r="N12406" s="17" t="s">
        <v>25249</v>
      </c>
      <c r="O12406" s="17" t="s">
        <v>26171</v>
      </c>
      <c r="P12406" s="17" t="s">
        <v>26462</v>
      </c>
      <c r="Q12406" s="17"/>
      <c r="R12406" s="25" t="str">
        <f>HYPERLINK("https://ictv.global/taxonomy/taxondetails?taxnode_id=202318602","Varicosavirus frullaniae")</f>
        <v>Varicosavirus frullaniae</v>
      </c>
      <c r="S12406" s="18" t="s">
        <v>30</v>
      </c>
      <c r="T12406" s="18" t="s">
        <v>46867</v>
      </c>
      <c r="U12406" s="18" t="s">
        <v>46868</v>
      </c>
      <c r="V12406" s="18" t="s">
        <v>46869</v>
      </c>
      <c r="W12406" s="18" t="s">
        <v>46870</v>
      </c>
      <c r="X12406" s="18" t="s">
        <v>35</v>
      </c>
      <c r="Y12406" s="18" t="s">
        <v>23964</v>
      </c>
      <c r="Z12406" s="18" t="s">
        <v>13441</v>
      </c>
      <c r="AA12406" s="21" t="str">
        <f>HYPERLINK("https://www.ncbi.nlm.nih.gov/nuccore/BK061768,BK061769","NCBI Nucleotide")</f>
        <v>NCBI Nucleotide</v>
      </c>
    </row>
    <row r="12407" spans="1:27" x14ac:dyDescent="0.35">
      <c r="A12407">
        <v>1027812</v>
      </c>
      <c r="B12407">
        <v>11685</v>
      </c>
      <c r="C12407">
        <v>1</v>
      </c>
      <c r="D12407" s="17" t="s">
        <v>17166</v>
      </c>
      <c r="E12407" s="17"/>
      <c r="F12407" s="17" t="s">
        <v>17246</v>
      </c>
      <c r="G12407" s="17"/>
      <c r="H12407" s="17" t="s">
        <v>23950</v>
      </c>
      <c r="I12407" s="17" t="s">
        <v>23956</v>
      </c>
      <c r="J12407" s="17" t="s">
        <v>24017</v>
      </c>
      <c r="K12407" s="17"/>
      <c r="L12407" s="17" t="s">
        <v>24262</v>
      </c>
      <c r="M12407" s="17"/>
      <c r="N12407" s="17" t="s">
        <v>25249</v>
      </c>
      <c r="O12407" s="17" t="s">
        <v>26171</v>
      </c>
      <c r="P12407" s="17" t="s">
        <v>26462</v>
      </c>
      <c r="Q12407" s="17"/>
      <c r="R12407" s="25" t="str">
        <f>HYPERLINK("https://ictv.global/taxonomy/taxondetails?taxnode_id=202318603","Varicosavirus guizotiae")</f>
        <v>Varicosavirus guizotiae</v>
      </c>
      <c r="S12407" s="18" t="s">
        <v>30</v>
      </c>
      <c r="T12407" s="18" t="s">
        <v>46871</v>
      </c>
      <c r="U12407" s="18" t="s">
        <v>46872</v>
      </c>
      <c r="V12407" s="18" t="s">
        <v>46873</v>
      </c>
      <c r="W12407" s="18" t="s">
        <v>46874</v>
      </c>
      <c r="X12407" s="18" t="s">
        <v>35</v>
      </c>
      <c r="Y12407" s="18" t="s">
        <v>23964</v>
      </c>
      <c r="Z12407" s="18" t="s">
        <v>13441</v>
      </c>
      <c r="AA12407" s="21" t="str">
        <f>HYPERLINK("https://www.ncbi.nlm.nih.gov/nuccore/BK061770,BK061771","NCBI Nucleotide")</f>
        <v>NCBI Nucleotide</v>
      </c>
    </row>
    <row r="12408" spans="1:27" x14ac:dyDescent="0.35">
      <c r="A12408">
        <v>1027813</v>
      </c>
      <c r="B12408">
        <v>11686</v>
      </c>
      <c r="C12408">
        <v>1</v>
      </c>
      <c r="D12408" s="17" t="s">
        <v>17166</v>
      </c>
      <c r="E12408" s="17"/>
      <c r="F12408" s="17" t="s">
        <v>17246</v>
      </c>
      <c r="G12408" s="17"/>
      <c r="H12408" s="17" t="s">
        <v>23950</v>
      </c>
      <c r="I12408" s="17" t="s">
        <v>23956</v>
      </c>
      <c r="J12408" s="17" t="s">
        <v>24017</v>
      </c>
      <c r="K12408" s="17"/>
      <c r="L12408" s="17" t="s">
        <v>24262</v>
      </c>
      <c r="M12408" s="17"/>
      <c r="N12408" s="17" t="s">
        <v>25249</v>
      </c>
      <c r="O12408" s="17" t="s">
        <v>26171</v>
      </c>
      <c r="P12408" s="17" t="s">
        <v>26462</v>
      </c>
      <c r="Q12408" s="17"/>
      <c r="R12408" s="25" t="str">
        <f>HYPERLINK("https://ictv.global/taxonomy/taxondetails?taxnode_id=202318604","Varicosavirus holci")</f>
        <v>Varicosavirus holci</v>
      </c>
      <c r="S12408" s="18" t="s">
        <v>30</v>
      </c>
      <c r="T12408" s="18" t="s">
        <v>46875</v>
      </c>
      <c r="U12408" s="18" t="s">
        <v>46876</v>
      </c>
      <c r="V12408" s="18" t="s">
        <v>46877</v>
      </c>
      <c r="W12408" s="18" t="s">
        <v>46878</v>
      </c>
      <c r="X12408" s="18" t="s">
        <v>35</v>
      </c>
      <c r="Y12408" s="18" t="s">
        <v>23964</v>
      </c>
      <c r="Z12408" s="18" t="s">
        <v>13441</v>
      </c>
      <c r="AA12408" s="21" t="str">
        <f>HYPERLINK("https://www.ncbi.nlm.nih.gov/nuccore/BK061772,BK061773","NCBI Nucleotide")</f>
        <v>NCBI Nucleotide</v>
      </c>
    </row>
    <row r="12409" spans="1:27" x14ac:dyDescent="0.35">
      <c r="A12409">
        <v>1010986</v>
      </c>
      <c r="B12409">
        <v>11687</v>
      </c>
      <c r="C12409">
        <v>1</v>
      </c>
      <c r="D12409" s="17" t="s">
        <v>17166</v>
      </c>
      <c r="E12409" s="17"/>
      <c r="F12409" s="17" t="s">
        <v>17246</v>
      </c>
      <c r="G12409" s="17"/>
      <c r="H12409" s="17" t="s">
        <v>23950</v>
      </c>
      <c r="I12409" s="17" t="s">
        <v>23956</v>
      </c>
      <c r="J12409" s="17" t="s">
        <v>24017</v>
      </c>
      <c r="K12409" s="17"/>
      <c r="L12409" s="17" t="s">
        <v>24262</v>
      </c>
      <c r="M12409" s="17"/>
      <c r="N12409" s="17" t="s">
        <v>25249</v>
      </c>
      <c r="O12409" s="17" t="s">
        <v>26171</v>
      </c>
      <c r="P12409" s="17" t="s">
        <v>26462</v>
      </c>
      <c r="Q12409" s="17"/>
      <c r="R12409" s="25" t="str">
        <f>HYPERLINK("https://ictv.global/taxonomy/taxondetails?taxnode_id=202314270","Varicosavirus ipomoeae")</f>
        <v>Varicosavirus ipomoeae</v>
      </c>
      <c r="S12409" s="18" t="s">
        <v>30</v>
      </c>
      <c r="T12409" s="18" t="s">
        <v>26473</v>
      </c>
      <c r="U12409" s="18" t="s">
        <v>26474</v>
      </c>
      <c r="V12409" s="18" t="s">
        <v>26475</v>
      </c>
      <c r="W12409" s="18" t="s">
        <v>26476</v>
      </c>
      <c r="X12409" s="18" t="s">
        <v>42</v>
      </c>
      <c r="Y12409" s="18" t="s">
        <v>23964</v>
      </c>
      <c r="Z12409" s="18" t="s">
        <v>13441</v>
      </c>
      <c r="AA12409" s="21" t="str">
        <f>HYPERLINK("https://www.ncbi.nlm.nih.gov/nuccore/MW922438,MW922439","NCBI Nucleotide")</f>
        <v>NCBI Nucleotide</v>
      </c>
    </row>
    <row r="12410" spans="1:27" x14ac:dyDescent="0.35">
      <c r="A12410">
        <v>1010987</v>
      </c>
      <c r="B12410">
        <v>11688</v>
      </c>
      <c r="C12410">
        <v>1</v>
      </c>
      <c r="D12410" s="17" t="s">
        <v>17166</v>
      </c>
      <c r="E12410" s="17"/>
      <c r="F12410" s="17" t="s">
        <v>17246</v>
      </c>
      <c r="G12410" s="17"/>
      <c r="H12410" s="17" t="s">
        <v>23950</v>
      </c>
      <c r="I12410" s="17" t="s">
        <v>23956</v>
      </c>
      <c r="J12410" s="17" t="s">
        <v>24017</v>
      </c>
      <c r="K12410" s="17"/>
      <c r="L12410" s="17" t="s">
        <v>24262</v>
      </c>
      <c r="M12410" s="17"/>
      <c r="N12410" s="17" t="s">
        <v>25249</v>
      </c>
      <c r="O12410" s="17" t="s">
        <v>26171</v>
      </c>
      <c r="P12410" s="17" t="s">
        <v>26462</v>
      </c>
      <c r="Q12410" s="17"/>
      <c r="R12410" s="25" t="str">
        <f>HYPERLINK("https://ictv.global/taxonomy/taxondetails?taxnode_id=202301787","Varicosavirus lactucae")</f>
        <v>Varicosavirus lactucae</v>
      </c>
      <c r="S12410" s="18" t="s">
        <v>30</v>
      </c>
      <c r="T12410" s="18" t="s">
        <v>26477</v>
      </c>
      <c r="U12410" s="18" t="s">
        <v>26478</v>
      </c>
      <c r="V12410" s="18"/>
      <c r="W12410" s="18" t="s">
        <v>26479</v>
      </c>
      <c r="X12410" s="18" t="s">
        <v>35</v>
      </c>
      <c r="Y12410" s="18" t="s">
        <v>23964</v>
      </c>
      <c r="Z12410" s="18" t="s">
        <v>13441</v>
      </c>
      <c r="AA12410" s="21" t="str">
        <f>HYPERLINK("https://www.ncbi.nlm.nih.gov/nuccore/AB075039,AB114138","NCBI Nucleotide")</f>
        <v>NCBI Nucleotide</v>
      </c>
    </row>
    <row r="12411" spans="1:27" x14ac:dyDescent="0.35">
      <c r="A12411">
        <v>1027814</v>
      </c>
      <c r="B12411">
        <v>11689</v>
      </c>
      <c r="C12411">
        <v>1</v>
      </c>
      <c r="D12411" s="17" t="s">
        <v>17166</v>
      </c>
      <c r="E12411" s="17"/>
      <c r="F12411" s="17" t="s">
        <v>17246</v>
      </c>
      <c r="G12411" s="17"/>
      <c r="H12411" s="17" t="s">
        <v>23950</v>
      </c>
      <c r="I12411" s="17" t="s">
        <v>23956</v>
      </c>
      <c r="J12411" s="17" t="s">
        <v>24017</v>
      </c>
      <c r="K12411" s="17"/>
      <c r="L12411" s="17" t="s">
        <v>24262</v>
      </c>
      <c r="M12411" s="17"/>
      <c r="N12411" s="17" t="s">
        <v>25249</v>
      </c>
      <c r="O12411" s="17" t="s">
        <v>26171</v>
      </c>
      <c r="P12411" s="17" t="s">
        <v>26462</v>
      </c>
      <c r="Q12411" s="17"/>
      <c r="R12411" s="25" t="str">
        <f>HYPERLINK("https://ictv.global/taxonomy/taxondetails?taxnode_id=202318605","Varicosavirus leucanthemi")</f>
        <v>Varicosavirus leucanthemi</v>
      </c>
      <c r="S12411" s="18" t="s">
        <v>30</v>
      </c>
      <c r="T12411" s="18" t="s">
        <v>46879</v>
      </c>
      <c r="U12411" s="18" t="s">
        <v>46880</v>
      </c>
      <c r="V12411" s="18" t="s">
        <v>46881</v>
      </c>
      <c r="W12411" s="18" t="s">
        <v>46882</v>
      </c>
      <c r="X12411" s="18" t="s">
        <v>35</v>
      </c>
      <c r="Y12411" s="18" t="s">
        <v>23964</v>
      </c>
      <c r="Z12411" s="18" t="s">
        <v>13441</v>
      </c>
      <c r="AA12411" s="21" t="str">
        <f>HYPERLINK("https://www.ncbi.nlm.nih.gov/nuccore/BK061774,BK061775","NCBI Nucleotide")</f>
        <v>NCBI Nucleotide</v>
      </c>
    </row>
    <row r="12412" spans="1:27" x14ac:dyDescent="0.35">
      <c r="A12412">
        <v>1010988</v>
      </c>
      <c r="B12412">
        <v>11690</v>
      </c>
      <c r="C12412">
        <v>1</v>
      </c>
      <c r="D12412" s="17" t="s">
        <v>17166</v>
      </c>
      <c r="E12412" s="17"/>
      <c r="F12412" s="17" t="s">
        <v>17246</v>
      </c>
      <c r="G12412" s="17"/>
      <c r="H12412" s="17" t="s">
        <v>23950</v>
      </c>
      <c r="I12412" s="17" t="s">
        <v>23956</v>
      </c>
      <c r="J12412" s="17" t="s">
        <v>24017</v>
      </c>
      <c r="K12412" s="17"/>
      <c r="L12412" s="17" t="s">
        <v>24262</v>
      </c>
      <c r="M12412" s="17"/>
      <c r="N12412" s="17" t="s">
        <v>25249</v>
      </c>
      <c r="O12412" s="17" t="s">
        <v>26171</v>
      </c>
      <c r="P12412" s="17" t="s">
        <v>26462</v>
      </c>
      <c r="Q12412" s="17"/>
      <c r="R12412" s="25" t="str">
        <f>HYPERLINK("https://ictv.global/taxonomy/taxondetails?taxnode_id=202314268","Varicosavirus lolii")</f>
        <v>Varicosavirus lolii</v>
      </c>
      <c r="S12412" s="18" t="s">
        <v>30</v>
      </c>
      <c r="T12412" s="18" t="s">
        <v>26480</v>
      </c>
      <c r="U12412" s="18" t="s">
        <v>26481</v>
      </c>
      <c r="V12412" s="18" t="s">
        <v>26482</v>
      </c>
      <c r="W12412" s="18" t="s">
        <v>26483</v>
      </c>
      <c r="X12412" s="18" t="s">
        <v>35</v>
      </c>
      <c r="Y12412" s="18" t="s">
        <v>23964</v>
      </c>
      <c r="Z12412" s="18" t="s">
        <v>13441</v>
      </c>
      <c r="AA12412" s="21" t="str">
        <f>HYPERLINK("https://www.ncbi.nlm.nih.gov/nuccore/BK014312,BK014313","NCBI Nucleotide")</f>
        <v>NCBI Nucleotide</v>
      </c>
    </row>
    <row r="12413" spans="1:27" x14ac:dyDescent="0.35">
      <c r="A12413">
        <v>1027815</v>
      </c>
      <c r="B12413">
        <v>11691</v>
      </c>
      <c r="C12413">
        <v>1</v>
      </c>
      <c r="D12413" s="17" t="s">
        <v>17166</v>
      </c>
      <c r="E12413" s="17"/>
      <c r="F12413" s="17" t="s">
        <v>17246</v>
      </c>
      <c r="G12413" s="17"/>
      <c r="H12413" s="17" t="s">
        <v>23950</v>
      </c>
      <c r="I12413" s="17" t="s">
        <v>23956</v>
      </c>
      <c r="J12413" s="17" t="s">
        <v>24017</v>
      </c>
      <c r="K12413" s="17"/>
      <c r="L12413" s="17" t="s">
        <v>24262</v>
      </c>
      <c r="M12413" s="17"/>
      <c r="N12413" s="17" t="s">
        <v>25249</v>
      </c>
      <c r="O12413" s="17" t="s">
        <v>26171</v>
      </c>
      <c r="P12413" s="17" t="s">
        <v>26462</v>
      </c>
      <c r="Q12413" s="17"/>
      <c r="R12413" s="25" t="str">
        <f>HYPERLINK("https://ictv.global/taxonomy/taxondetails?taxnode_id=202318606","Varicosavirus luffae")</f>
        <v>Varicosavirus luffae</v>
      </c>
      <c r="S12413" s="18" t="s">
        <v>30</v>
      </c>
      <c r="T12413" s="18" t="s">
        <v>46883</v>
      </c>
      <c r="U12413" s="18" t="s">
        <v>46884</v>
      </c>
      <c r="V12413" s="18" t="s">
        <v>46885</v>
      </c>
      <c r="W12413" s="18" t="s">
        <v>46886</v>
      </c>
      <c r="X12413" s="18" t="s">
        <v>35</v>
      </c>
      <c r="Y12413" s="18" t="s">
        <v>23964</v>
      </c>
      <c r="Z12413" s="18" t="s">
        <v>13441</v>
      </c>
      <c r="AA12413" s="21" t="str">
        <f>HYPERLINK("https://www.ncbi.nlm.nih.gov/nuccore/BK061780,BK061781","NCBI Nucleotide")</f>
        <v>NCBI Nucleotide</v>
      </c>
    </row>
    <row r="12414" spans="1:27" x14ac:dyDescent="0.35">
      <c r="A12414">
        <v>1010989</v>
      </c>
      <c r="B12414">
        <v>11692</v>
      </c>
      <c r="C12414">
        <v>1</v>
      </c>
      <c r="D12414" s="17" t="s">
        <v>17166</v>
      </c>
      <c r="E12414" s="17"/>
      <c r="F12414" s="17" t="s">
        <v>17246</v>
      </c>
      <c r="G12414" s="17"/>
      <c r="H12414" s="17" t="s">
        <v>23950</v>
      </c>
      <c r="I12414" s="17" t="s">
        <v>23956</v>
      </c>
      <c r="J12414" s="17" t="s">
        <v>24017</v>
      </c>
      <c r="K12414" s="17"/>
      <c r="L12414" s="17" t="s">
        <v>24262</v>
      </c>
      <c r="M12414" s="17"/>
      <c r="N12414" s="17" t="s">
        <v>25249</v>
      </c>
      <c r="O12414" s="17" t="s">
        <v>26171</v>
      </c>
      <c r="P12414" s="17" t="s">
        <v>26462</v>
      </c>
      <c r="Q12414" s="17"/>
      <c r="R12414" s="25" t="str">
        <f>HYPERLINK("https://ictv.global/taxonomy/taxondetails?taxnode_id=202314269","Varicosavirus melampyri")</f>
        <v>Varicosavirus melampyri</v>
      </c>
      <c r="S12414" s="18" t="s">
        <v>30</v>
      </c>
      <c r="T12414" s="18" t="s">
        <v>26484</v>
      </c>
      <c r="U12414" s="18" t="s">
        <v>26485</v>
      </c>
      <c r="V12414" s="18" t="s">
        <v>25341</v>
      </c>
      <c r="W12414" s="18" t="s">
        <v>26486</v>
      </c>
      <c r="X12414" s="18" t="s">
        <v>35</v>
      </c>
      <c r="Y12414" s="18" t="s">
        <v>23964</v>
      </c>
      <c r="Z12414" s="18" t="s">
        <v>13441</v>
      </c>
      <c r="AA12414" s="21" t="str">
        <f>HYPERLINK("https://www.ncbi.nlm.nih.gov/nuccore/BK014314,BK014315","NCBI Nucleotide")</f>
        <v>NCBI Nucleotide</v>
      </c>
    </row>
    <row r="12415" spans="1:27" x14ac:dyDescent="0.35">
      <c r="A12415">
        <v>1027816</v>
      </c>
      <c r="B12415">
        <v>11693</v>
      </c>
      <c r="C12415">
        <v>1</v>
      </c>
      <c r="D12415" s="17" t="s">
        <v>17166</v>
      </c>
      <c r="E12415" s="17"/>
      <c r="F12415" s="17" t="s">
        <v>17246</v>
      </c>
      <c r="G12415" s="17"/>
      <c r="H12415" s="17" t="s">
        <v>23950</v>
      </c>
      <c r="I12415" s="17" t="s">
        <v>23956</v>
      </c>
      <c r="J12415" s="17" t="s">
        <v>24017</v>
      </c>
      <c r="K12415" s="17"/>
      <c r="L12415" s="17" t="s">
        <v>24262</v>
      </c>
      <c r="M12415" s="17"/>
      <c r="N12415" s="17" t="s">
        <v>25249</v>
      </c>
      <c r="O12415" s="17" t="s">
        <v>26171</v>
      </c>
      <c r="P12415" s="17" t="s">
        <v>26462</v>
      </c>
      <c r="Q12415" s="17"/>
      <c r="R12415" s="25" t="str">
        <f>HYPERLINK("https://ictv.global/taxonomy/taxondetails?taxnode_id=202318607","Varicosavirus meliloti")</f>
        <v>Varicosavirus meliloti</v>
      </c>
      <c r="S12415" s="18" t="s">
        <v>30</v>
      </c>
      <c r="T12415" s="18" t="s">
        <v>46887</v>
      </c>
      <c r="U12415" s="18" t="s">
        <v>46888</v>
      </c>
      <c r="V12415" s="18" t="s">
        <v>46889</v>
      </c>
      <c r="W12415" s="18" t="s">
        <v>46890</v>
      </c>
      <c r="X12415" s="18" t="s">
        <v>35</v>
      </c>
      <c r="Y12415" s="18" t="s">
        <v>23964</v>
      </c>
      <c r="Z12415" s="18" t="s">
        <v>13441</v>
      </c>
      <c r="AA12415" s="21" t="str">
        <f>HYPERLINK("https://www.ncbi.nlm.nih.gov/nuccore/BK061784,BK061785","NCBI Nucleotide")</f>
        <v>NCBI Nucleotide</v>
      </c>
    </row>
    <row r="12416" spans="1:27" x14ac:dyDescent="0.35">
      <c r="A12416">
        <v>1027817</v>
      </c>
      <c r="B12416">
        <v>11694</v>
      </c>
      <c r="C12416">
        <v>1</v>
      </c>
      <c r="D12416" s="17" t="s">
        <v>17166</v>
      </c>
      <c r="E12416" s="17"/>
      <c r="F12416" s="17" t="s">
        <v>17246</v>
      </c>
      <c r="G12416" s="17"/>
      <c r="H12416" s="17" t="s">
        <v>23950</v>
      </c>
      <c r="I12416" s="17" t="s">
        <v>23956</v>
      </c>
      <c r="J12416" s="17" t="s">
        <v>24017</v>
      </c>
      <c r="K12416" s="17"/>
      <c r="L12416" s="17" t="s">
        <v>24262</v>
      </c>
      <c r="M12416" s="17"/>
      <c r="N12416" s="17" t="s">
        <v>25249</v>
      </c>
      <c r="O12416" s="17" t="s">
        <v>26171</v>
      </c>
      <c r="P12416" s="17" t="s">
        <v>26462</v>
      </c>
      <c r="Q12416" s="17"/>
      <c r="R12416" s="25" t="str">
        <f>HYPERLINK("https://ictv.global/taxonomy/taxondetails?taxnode_id=202318608","Varicosavirus monocleae")</f>
        <v>Varicosavirus monocleae</v>
      </c>
      <c r="S12416" s="18" t="s">
        <v>30</v>
      </c>
      <c r="T12416" s="18" t="s">
        <v>46891</v>
      </c>
      <c r="U12416" s="18" t="s">
        <v>46892</v>
      </c>
      <c r="V12416" s="18" t="s">
        <v>46893</v>
      </c>
      <c r="W12416" s="18" t="s">
        <v>46894</v>
      </c>
      <c r="X12416" s="18" t="s">
        <v>35</v>
      </c>
      <c r="Y12416" s="18" t="s">
        <v>23964</v>
      </c>
      <c r="Z12416" s="18" t="s">
        <v>13441</v>
      </c>
      <c r="AA12416" s="21" t="str">
        <f>HYPERLINK("https://www.ncbi.nlm.nih.gov/nuccore/OX380363,OX380364","NCBI Nucleotide")</f>
        <v>NCBI Nucleotide</v>
      </c>
    </row>
    <row r="12417" spans="1:27" x14ac:dyDescent="0.35">
      <c r="A12417">
        <v>1027818</v>
      </c>
      <c r="B12417">
        <v>11695</v>
      </c>
      <c r="C12417">
        <v>1</v>
      </c>
      <c r="D12417" s="17" t="s">
        <v>17166</v>
      </c>
      <c r="E12417" s="17"/>
      <c r="F12417" s="17" t="s">
        <v>17246</v>
      </c>
      <c r="G12417" s="17"/>
      <c r="H12417" s="17" t="s">
        <v>23950</v>
      </c>
      <c r="I12417" s="17" t="s">
        <v>23956</v>
      </c>
      <c r="J12417" s="17" t="s">
        <v>24017</v>
      </c>
      <c r="K12417" s="17"/>
      <c r="L12417" s="17" t="s">
        <v>24262</v>
      </c>
      <c r="M12417" s="17"/>
      <c r="N12417" s="17" t="s">
        <v>25249</v>
      </c>
      <c r="O12417" s="17" t="s">
        <v>26171</v>
      </c>
      <c r="P12417" s="17" t="s">
        <v>26462</v>
      </c>
      <c r="Q12417" s="17"/>
      <c r="R12417" s="25" t="str">
        <f>HYPERLINK("https://ictv.global/taxonomy/taxondetails?taxnode_id=202318609","Varicosavirus penniseti")</f>
        <v>Varicosavirus penniseti</v>
      </c>
      <c r="S12417" s="18" t="s">
        <v>30</v>
      </c>
      <c r="T12417" s="18" t="s">
        <v>46895</v>
      </c>
      <c r="U12417" s="18" t="s">
        <v>46896</v>
      </c>
      <c r="V12417" s="18" t="s">
        <v>46897</v>
      </c>
      <c r="W12417" s="18" t="s">
        <v>46898</v>
      </c>
      <c r="X12417" s="18" t="s">
        <v>35</v>
      </c>
      <c r="Y12417" s="18" t="s">
        <v>23964</v>
      </c>
      <c r="Z12417" s="18" t="s">
        <v>13441</v>
      </c>
      <c r="AA12417" s="21" t="str">
        <f>HYPERLINK("https://www.ncbi.nlm.nih.gov/nuccore/BK061790,BK061791","NCBI Nucleotide")</f>
        <v>NCBI Nucleotide</v>
      </c>
    </row>
    <row r="12418" spans="1:27" x14ac:dyDescent="0.35">
      <c r="A12418">
        <v>1027819</v>
      </c>
      <c r="B12418">
        <v>11696</v>
      </c>
      <c r="C12418">
        <v>1</v>
      </c>
      <c r="D12418" s="17" t="s">
        <v>17166</v>
      </c>
      <c r="E12418" s="17"/>
      <c r="F12418" s="17" t="s">
        <v>17246</v>
      </c>
      <c r="G12418" s="17"/>
      <c r="H12418" s="17" t="s">
        <v>23950</v>
      </c>
      <c r="I12418" s="17" t="s">
        <v>23956</v>
      </c>
      <c r="J12418" s="17" t="s">
        <v>24017</v>
      </c>
      <c r="K12418" s="17"/>
      <c r="L12418" s="17" t="s">
        <v>24262</v>
      </c>
      <c r="M12418" s="17"/>
      <c r="N12418" s="17" t="s">
        <v>25249</v>
      </c>
      <c r="O12418" s="17" t="s">
        <v>26171</v>
      </c>
      <c r="P12418" s="17" t="s">
        <v>26462</v>
      </c>
      <c r="Q12418" s="17"/>
      <c r="R12418" s="25" t="str">
        <f>HYPERLINK("https://ictv.global/taxonomy/taxondetails?taxnode_id=202318610","Varicosavirus primulae")</f>
        <v>Varicosavirus primulae</v>
      </c>
      <c r="S12418" s="18" t="s">
        <v>30</v>
      </c>
      <c r="T12418" s="18" t="s">
        <v>46899</v>
      </c>
      <c r="U12418" s="18" t="s">
        <v>46900</v>
      </c>
      <c r="V12418" s="18" t="s">
        <v>46901</v>
      </c>
      <c r="W12418" s="18" t="s">
        <v>46902</v>
      </c>
      <c r="X12418" s="18" t="s">
        <v>35</v>
      </c>
      <c r="Y12418" s="18" t="s">
        <v>23964</v>
      </c>
      <c r="Z12418" s="18" t="s">
        <v>13441</v>
      </c>
      <c r="AA12418" s="21" t="str">
        <f>HYPERLINK("https://www.ncbi.nlm.nih.gov/nuccore/BK061795,BK061796","NCBI Nucleotide")</f>
        <v>NCBI Nucleotide</v>
      </c>
    </row>
    <row r="12419" spans="1:27" x14ac:dyDescent="0.35">
      <c r="A12419">
        <v>1027820</v>
      </c>
      <c r="B12419">
        <v>11697</v>
      </c>
      <c r="C12419">
        <v>1</v>
      </c>
      <c r="D12419" s="17" t="s">
        <v>17166</v>
      </c>
      <c r="E12419" s="17"/>
      <c r="F12419" s="17" t="s">
        <v>17246</v>
      </c>
      <c r="G12419" s="17"/>
      <c r="H12419" s="17" t="s">
        <v>23950</v>
      </c>
      <c r="I12419" s="17" t="s">
        <v>23956</v>
      </c>
      <c r="J12419" s="17" t="s">
        <v>24017</v>
      </c>
      <c r="K12419" s="17"/>
      <c r="L12419" s="17" t="s">
        <v>24262</v>
      </c>
      <c r="M12419" s="17"/>
      <c r="N12419" s="17" t="s">
        <v>25249</v>
      </c>
      <c r="O12419" s="17" t="s">
        <v>26171</v>
      </c>
      <c r="P12419" s="17" t="s">
        <v>26462</v>
      </c>
      <c r="Q12419" s="17"/>
      <c r="R12419" s="25" t="str">
        <f>HYPERLINK("https://ictv.global/taxonomy/taxondetails?taxnode_id=202318611","Varicosavirus ranunculi")</f>
        <v>Varicosavirus ranunculi</v>
      </c>
      <c r="S12419" s="18" t="s">
        <v>30</v>
      </c>
      <c r="T12419" s="18" t="s">
        <v>46903</v>
      </c>
      <c r="U12419" s="18" t="s">
        <v>46904</v>
      </c>
      <c r="V12419" s="18" t="s">
        <v>46905</v>
      </c>
      <c r="W12419" s="18" t="s">
        <v>46906</v>
      </c>
      <c r="X12419" s="18" t="s">
        <v>35</v>
      </c>
      <c r="Y12419" s="18" t="s">
        <v>23964</v>
      </c>
      <c r="Z12419" s="18" t="s">
        <v>13441</v>
      </c>
      <c r="AA12419" s="21" t="str">
        <f>HYPERLINK("https://www.ncbi.nlm.nih.gov/nuccore/BK061797,BK061798","NCBI Nucleotide")</f>
        <v>NCBI Nucleotide</v>
      </c>
    </row>
    <row r="12420" spans="1:27" x14ac:dyDescent="0.35">
      <c r="A12420">
        <v>1027821</v>
      </c>
      <c r="B12420">
        <v>11698</v>
      </c>
      <c r="C12420">
        <v>1</v>
      </c>
      <c r="D12420" s="17" t="s">
        <v>17166</v>
      </c>
      <c r="E12420" s="17"/>
      <c r="F12420" s="17" t="s">
        <v>17246</v>
      </c>
      <c r="G12420" s="17"/>
      <c r="H12420" s="17" t="s">
        <v>23950</v>
      </c>
      <c r="I12420" s="17" t="s">
        <v>23956</v>
      </c>
      <c r="J12420" s="17" t="s">
        <v>24017</v>
      </c>
      <c r="K12420" s="17"/>
      <c r="L12420" s="17" t="s">
        <v>24262</v>
      </c>
      <c r="M12420" s="17"/>
      <c r="N12420" s="17" t="s">
        <v>25249</v>
      </c>
      <c r="O12420" s="17" t="s">
        <v>26171</v>
      </c>
      <c r="P12420" s="17" t="s">
        <v>26462</v>
      </c>
      <c r="Q12420" s="17"/>
      <c r="R12420" s="25" t="str">
        <f>HYPERLINK("https://ictv.global/taxonomy/taxondetails?taxnode_id=202318612","Varicosavirus raphani")</f>
        <v>Varicosavirus raphani</v>
      </c>
      <c r="S12420" s="18" t="s">
        <v>30</v>
      </c>
      <c r="T12420" s="18" t="s">
        <v>46907</v>
      </c>
      <c r="U12420" s="18" t="s">
        <v>46908</v>
      </c>
      <c r="V12420" s="18" t="s">
        <v>46909</v>
      </c>
      <c r="W12420" s="18" t="s">
        <v>46910</v>
      </c>
      <c r="X12420" s="18" t="s">
        <v>35</v>
      </c>
      <c r="Y12420" s="18" t="s">
        <v>23964</v>
      </c>
      <c r="Z12420" s="18" t="s">
        <v>13441</v>
      </c>
      <c r="AA12420" s="21" t="str">
        <f>HYPERLINK("https://www.ncbi.nlm.nih.gov/nuccore/BK061799,BK061800","NCBI Nucleotide")</f>
        <v>NCBI Nucleotide</v>
      </c>
    </row>
    <row r="12421" spans="1:27" x14ac:dyDescent="0.35">
      <c r="A12421">
        <v>1027822</v>
      </c>
      <c r="B12421">
        <v>11699</v>
      </c>
      <c r="C12421">
        <v>1</v>
      </c>
      <c r="D12421" s="17" t="s">
        <v>17166</v>
      </c>
      <c r="E12421" s="17"/>
      <c r="F12421" s="17" t="s">
        <v>17246</v>
      </c>
      <c r="G12421" s="17"/>
      <c r="H12421" s="17" t="s">
        <v>23950</v>
      </c>
      <c r="I12421" s="17" t="s">
        <v>23956</v>
      </c>
      <c r="J12421" s="17" t="s">
        <v>24017</v>
      </c>
      <c r="K12421" s="17"/>
      <c r="L12421" s="17" t="s">
        <v>24262</v>
      </c>
      <c r="M12421" s="17"/>
      <c r="N12421" s="17" t="s">
        <v>25249</v>
      </c>
      <c r="O12421" s="17" t="s">
        <v>26171</v>
      </c>
      <c r="P12421" s="17" t="s">
        <v>26462</v>
      </c>
      <c r="Q12421" s="17"/>
      <c r="R12421" s="25" t="str">
        <f>HYPERLINK("https://ictv.global/taxonomy/taxondetails?taxnode_id=202318613","Varicosavirus ribes")</f>
        <v>Varicosavirus ribes</v>
      </c>
      <c r="S12421" s="18" t="s">
        <v>30</v>
      </c>
      <c r="T12421" s="18" t="s">
        <v>46911</v>
      </c>
      <c r="U12421" s="18" t="s">
        <v>46912</v>
      </c>
      <c r="V12421" s="18" t="s">
        <v>46913</v>
      </c>
      <c r="W12421" s="18" t="s">
        <v>46914</v>
      </c>
      <c r="X12421" s="18" t="s">
        <v>35</v>
      </c>
      <c r="Y12421" s="18" t="s">
        <v>23964</v>
      </c>
      <c r="Z12421" s="18" t="s">
        <v>13441</v>
      </c>
      <c r="AA12421" s="21" t="str">
        <f>HYPERLINK("https://www.ncbi.nlm.nih.gov/nuccore/BK061801,BK061802","NCBI Nucleotide")</f>
        <v>NCBI Nucleotide</v>
      </c>
    </row>
    <row r="12422" spans="1:27" x14ac:dyDescent="0.35">
      <c r="A12422">
        <v>1027823</v>
      </c>
      <c r="B12422">
        <v>11700</v>
      </c>
      <c r="C12422">
        <v>1</v>
      </c>
      <c r="D12422" s="17" t="s">
        <v>17166</v>
      </c>
      <c r="E12422" s="17"/>
      <c r="F12422" s="17" t="s">
        <v>17246</v>
      </c>
      <c r="G12422" s="17"/>
      <c r="H12422" s="17" t="s">
        <v>23950</v>
      </c>
      <c r="I12422" s="17" t="s">
        <v>23956</v>
      </c>
      <c r="J12422" s="17" t="s">
        <v>24017</v>
      </c>
      <c r="K12422" s="17"/>
      <c r="L12422" s="17" t="s">
        <v>24262</v>
      </c>
      <c r="M12422" s="17"/>
      <c r="N12422" s="17" t="s">
        <v>25249</v>
      </c>
      <c r="O12422" s="17" t="s">
        <v>26171</v>
      </c>
      <c r="P12422" s="17" t="s">
        <v>26462</v>
      </c>
      <c r="Q12422" s="17"/>
      <c r="R12422" s="25" t="str">
        <f>HYPERLINK("https://ictv.global/taxonomy/taxondetails?taxnode_id=202318614","Varicosavirus silenis")</f>
        <v>Varicosavirus silenis</v>
      </c>
      <c r="S12422" s="18" t="s">
        <v>30</v>
      </c>
      <c r="T12422" s="18" t="s">
        <v>46915</v>
      </c>
      <c r="U12422" s="18" t="s">
        <v>46916</v>
      </c>
      <c r="V12422" s="18" t="s">
        <v>46917</v>
      </c>
      <c r="W12422" s="18" t="s">
        <v>46918</v>
      </c>
      <c r="X12422" s="18" t="s">
        <v>35</v>
      </c>
      <c r="Y12422" s="18" t="s">
        <v>23964</v>
      </c>
      <c r="Z12422" s="18" t="s">
        <v>13441</v>
      </c>
      <c r="AA12422" s="21" t="str">
        <f>HYPERLINK("https://www.ncbi.nlm.nih.gov/nuccore/BK061807,BK061808","NCBI Nucleotide")</f>
        <v>NCBI Nucleotide</v>
      </c>
    </row>
    <row r="12423" spans="1:27" x14ac:dyDescent="0.35">
      <c r="A12423">
        <v>1027824</v>
      </c>
      <c r="B12423">
        <v>11701</v>
      </c>
      <c r="C12423">
        <v>1</v>
      </c>
      <c r="D12423" s="17" t="s">
        <v>17166</v>
      </c>
      <c r="E12423" s="17"/>
      <c r="F12423" s="17" t="s">
        <v>17246</v>
      </c>
      <c r="G12423" s="17"/>
      <c r="H12423" s="17" t="s">
        <v>23950</v>
      </c>
      <c r="I12423" s="17" t="s">
        <v>23956</v>
      </c>
      <c r="J12423" s="17" t="s">
        <v>24017</v>
      </c>
      <c r="K12423" s="17"/>
      <c r="L12423" s="17" t="s">
        <v>24262</v>
      </c>
      <c r="M12423" s="17"/>
      <c r="N12423" s="17" t="s">
        <v>25249</v>
      </c>
      <c r="O12423" s="17" t="s">
        <v>26171</v>
      </c>
      <c r="P12423" s="17" t="s">
        <v>26462</v>
      </c>
      <c r="Q12423" s="17"/>
      <c r="R12423" s="25" t="str">
        <f>HYPERLINK("https://ictv.global/taxonomy/taxondetails?taxnode_id=202318615","Varicosavirus streptoglossae")</f>
        <v>Varicosavirus streptoglossae</v>
      </c>
      <c r="S12423" s="18" t="s">
        <v>30</v>
      </c>
      <c r="T12423" s="18" t="s">
        <v>46919</v>
      </c>
      <c r="U12423" s="18" t="s">
        <v>26349</v>
      </c>
      <c r="V12423" s="18" t="s">
        <v>46920</v>
      </c>
      <c r="W12423" s="18" t="s">
        <v>46921</v>
      </c>
      <c r="X12423" s="18" t="s">
        <v>35</v>
      </c>
      <c r="Y12423" s="18" t="s">
        <v>23964</v>
      </c>
      <c r="Z12423" s="18" t="s">
        <v>13441</v>
      </c>
      <c r="AA12423" s="21" t="str">
        <f>HYPERLINK("https://www.ncbi.nlm.nih.gov/nuccore/BK061813,BK061814","NCBI Nucleotide")</f>
        <v>NCBI Nucleotide</v>
      </c>
    </row>
    <row r="12424" spans="1:27" x14ac:dyDescent="0.35">
      <c r="A12424">
        <v>1027825</v>
      </c>
      <c r="B12424">
        <v>11702</v>
      </c>
      <c r="C12424">
        <v>1</v>
      </c>
      <c r="D12424" s="17" t="s">
        <v>17166</v>
      </c>
      <c r="E12424" s="17"/>
      <c r="F12424" s="17" t="s">
        <v>17246</v>
      </c>
      <c r="G12424" s="17"/>
      <c r="H12424" s="17" t="s">
        <v>23950</v>
      </c>
      <c r="I12424" s="17" t="s">
        <v>23956</v>
      </c>
      <c r="J12424" s="17" t="s">
        <v>24017</v>
      </c>
      <c r="K12424" s="17"/>
      <c r="L12424" s="17" t="s">
        <v>24262</v>
      </c>
      <c r="M12424" s="17"/>
      <c r="N12424" s="17" t="s">
        <v>25249</v>
      </c>
      <c r="O12424" s="17" t="s">
        <v>26171</v>
      </c>
      <c r="P12424" s="17" t="s">
        <v>26462</v>
      </c>
      <c r="Q12424" s="17"/>
      <c r="R12424" s="25" t="str">
        <f>HYPERLINK("https://ictv.global/taxonomy/taxondetails?taxnode_id=202318616","Varicosavirus tanaceti")</f>
        <v>Varicosavirus tanaceti</v>
      </c>
      <c r="S12424" s="18" t="s">
        <v>30</v>
      </c>
      <c r="T12424" s="18" t="s">
        <v>46922</v>
      </c>
      <c r="U12424" s="18" t="s">
        <v>46923</v>
      </c>
      <c r="V12424" s="18" t="s">
        <v>46924</v>
      </c>
      <c r="W12424" s="18" t="s">
        <v>46925</v>
      </c>
      <c r="X12424" s="18" t="s">
        <v>35</v>
      </c>
      <c r="Y12424" s="18" t="s">
        <v>23964</v>
      </c>
      <c r="Z12424" s="18" t="s">
        <v>13441</v>
      </c>
      <c r="AA12424" s="21" t="str">
        <f>HYPERLINK("https://www.ncbi.nlm.nih.gov/nuccore/BK061815,BK061816","NCBI Nucleotide")</f>
        <v>NCBI Nucleotide</v>
      </c>
    </row>
    <row r="12425" spans="1:27" x14ac:dyDescent="0.35">
      <c r="A12425">
        <v>1027826</v>
      </c>
      <c r="B12425">
        <v>11703</v>
      </c>
      <c r="C12425">
        <v>1</v>
      </c>
      <c r="D12425" s="17" t="s">
        <v>17166</v>
      </c>
      <c r="E12425" s="17"/>
      <c r="F12425" s="17" t="s">
        <v>17246</v>
      </c>
      <c r="G12425" s="17"/>
      <c r="H12425" s="17" t="s">
        <v>23950</v>
      </c>
      <c r="I12425" s="17" t="s">
        <v>23956</v>
      </c>
      <c r="J12425" s="17" t="s">
        <v>24017</v>
      </c>
      <c r="K12425" s="17"/>
      <c r="L12425" s="17" t="s">
        <v>24262</v>
      </c>
      <c r="M12425" s="17"/>
      <c r="N12425" s="17" t="s">
        <v>25249</v>
      </c>
      <c r="O12425" s="17" t="s">
        <v>26171</v>
      </c>
      <c r="P12425" s="17" t="s">
        <v>26462</v>
      </c>
      <c r="Q12425" s="17"/>
      <c r="R12425" s="25" t="str">
        <f>HYPERLINK("https://ictv.global/taxonomy/taxondetails?taxnode_id=202318617","Varicosavirus thrysopteris")</f>
        <v>Varicosavirus thrysopteris</v>
      </c>
      <c r="S12425" s="18" t="s">
        <v>30</v>
      </c>
      <c r="T12425" s="18" t="s">
        <v>46926</v>
      </c>
      <c r="U12425" s="18" t="s">
        <v>46927</v>
      </c>
      <c r="V12425" s="18" t="s">
        <v>46928</v>
      </c>
      <c r="W12425" s="18" t="s">
        <v>46929</v>
      </c>
      <c r="X12425" s="18" t="s">
        <v>35</v>
      </c>
      <c r="Y12425" s="18" t="s">
        <v>23964</v>
      </c>
      <c r="Z12425" s="18" t="s">
        <v>13441</v>
      </c>
      <c r="AA12425" s="21" t="str">
        <f>HYPERLINK("https://www.ncbi.nlm.nih.gov/nuccore/OW528630,OW528632","NCBI Nucleotide")</f>
        <v>NCBI Nucleotide</v>
      </c>
    </row>
    <row r="12426" spans="1:27" x14ac:dyDescent="0.35">
      <c r="A12426">
        <v>1027827</v>
      </c>
      <c r="B12426">
        <v>11704</v>
      </c>
      <c r="C12426">
        <v>1</v>
      </c>
      <c r="D12426" s="17" t="s">
        <v>17166</v>
      </c>
      <c r="E12426" s="17"/>
      <c r="F12426" s="17" t="s">
        <v>17246</v>
      </c>
      <c r="G12426" s="17"/>
      <c r="H12426" s="17" t="s">
        <v>23950</v>
      </c>
      <c r="I12426" s="17" t="s">
        <v>23956</v>
      </c>
      <c r="J12426" s="17" t="s">
        <v>24017</v>
      </c>
      <c r="K12426" s="17"/>
      <c r="L12426" s="17" t="s">
        <v>24262</v>
      </c>
      <c r="M12426" s="17"/>
      <c r="N12426" s="17" t="s">
        <v>25249</v>
      </c>
      <c r="O12426" s="17" t="s">
        <v>26171</v>
      </c>
      <c r="P12426" s="17" t="s">
        <v>26462</v>
      </c>
      <c r="Q12426" s="17"/>
      <c r="R12426" s="25" t="str">
        <f>HYPERLINK("https://ictv.global/taxonomy/taxondetails?taxnode_id=202318618","Varicosavirus treubiae")</f>
        <v>Varicosavirus treubiae</v>
      </c>
      <c r="S12426" s="18" t="s">
        <v>30</v>
      </c>
      <c r="T12426" s="18" t="s">
        <v>46930</v>
      </c>
      <c r="U12426" s="18" t="s">
        <v>46931</v>
      </c>
      <c r="V12426" s="18" t="s">
        <v>46932</v>
      </c>
      <c r="W12426" s="18" t="s">
        <v>46933</v>
      </c>
      <c r="X12426" s="18" t="s">
        <v>35</v>
      </c>
      <c r="Y12426" s="18" t="s">
        <v>23964</v>
      </c>
      <c r="Z12426" s="18" t="s">
        <v>13441</v>
      </c>
      <c r="AA12426" s="21" t="str">
        <f>HYPERLINK("https://www.ncbi.nlm.nih.gov/nuccore/BK061819,BK061820","NCBI Nucleotide")</f>
        <v>NCBI Nucleotide</v>
      </c>
    </row>
    <row r="12427" spans="1:27" x14ac:dyDescent="0.35">
      <c r="A12427">
        <v>1010991</v>
      </c>
      <c r="B12427">
        <v>11705</v>
      </c>
      <c r="C12427">
        <v>1</v>
      </c>
      <c r="D12427" s="17" t="s">
        <v>17166</v>
      </c>
      <c r="E12427" s="17"/>
      <c r="F12427" s="17" t="s">
        <v>17246</v>
      </c>
      <c r="G12427" s="17"/>
      <c r="H12427" s="17" t="s">
        <v>23950</v>
      </c>
      <c r="I12427" s="17" t="s">
        <v>23956</v>
      </c>
      <c r="J12427" s="17" t="s">
        <v>24017</v>
      </c>
      <c r="K12427" s="17"/>
      <c r="L12427" s="17" t="s">
        <v>24262</v>
      </c>
      <c r="M12427" s="17"/>
      <c r="N12427" s="17" t="s">
        <v>25249</v>
      </c>
      <c r="O12427" s="17" t="s">
        <v>26171</v>
      </c>
      <c r="P12427" s="17" t="s">
        <v>26462</v>
      </c>
      <c r="Q12427" s="17"/>
      <c r="R12427" s="25" t="str">
        <f>HYPERLINK("https://ictv.global/taxonomy/taxondetails?taxnode_id=202309369","Varicosavirus trifolii")</f>
        <v>Varicosavirus trifolii</v>
      </c>
      <c r="S12427" s="18" t="s">
        <v>30</v>
      </c>
      <c r="T12427" s="18" t="s">
        <v>26491</v>
      </c>
      <c r="U12427" s="18" t="s">
        <v>26492</v>
      </c>
      <c r="V12427" s="18" t="s">
        <v>26493</v>
      </c>
      <c r="W12427" s="18" t="s">
        <v>26494</v>
      </c>
      <c r="X12427" s="18" t="s">
        <v>42</v>
      </c>
      <c r="Y12427" s="18" t="s">
        <v>23964</v>
      </c>
      <c r="Z12427" s="18" t="s">
        <v>13441</v>
      </c>
      <c r="AA12427" s="21" t="str">
        <f>HYPERLINK("https://www.ncbi.nlm.nih.gov/nuccore/MF918568,MF918569","NCBI Nucleotide")</f>
        <v>NCBI Nucleotide</v>
      </c>
    </row>
    <row r="12428" spans="1:27" x14ac:dyDescent="0.35">
      <c r="A12428">
        <v>1027828</v>
      </c>
      <c r="B12428">
        <v>11706</v>
      </c>
      <c r="C12428">
        <v>1</v>
      </c>
      <c r="D12428" s="17" t="s">
        <v>17166</v>
      </c>
      <c r="E12428" s="17"/>
      <c r="F12428" s="17" t="s">
        <v>17246</v>
      </c>
      <c r="G12428" s="17"/>
      <c r="H12428" s="17" t="s">
        <v>23950</v>
      </c>
      <c r="I12428" s="17" t="s">
        <v>23956</v>
      </c>
      <c r="J12428" s="17" t="s">
        <v>24017</v>
      </c>
      <c r="K12428" s="17"/>
      <c r="L12428" s="17" t="s">
        <v>24262</v>
      </c>
      <c r="M12428" s="17"/>
      <c r="N12428" s="17" t="s">
        <v>25249</v>
      </c>
      <c r="O12428" s="17" t="s">
        <v>26171</v>
      </c>
      <c r="P12428" s="17" t="s">
        <v>26462</v>
      </c>
      <c r="Q12428" s="17"/>
      <c r="R12428" s="25" t="str">
        <f>HYPERLINK("https://ictv.global/taxonomy/taxondetails?taxnode_id=202318619","Varicosavirus tritici")</f>
        <v>Varicosavirus tritici</v>
      </c>
      <c r="S12428" s="18" t="s">
        <v>30</v>
      </c>
      <c r="T12428" s="18" t="s">
        <v>46934</v>
      </c>
      <c r="U12428" s="18" t="s">
        <v>46935</v>
      </c>
      <c r="V12428" s="18" t="s">
        <v>46936</v>
      </c>
      <c r="W12428" s="18" t="s">
        <v>46937</v>
      </c>
      <c r="X12428" s="18" t="s">
        <v>35</v>
      </c>
      <c r="Y12428" s="18" t="s">
        <v>23964</v>
      </c>
      <c r="Z12428" s="18" t="s">
        <v>13441</v>
      </c>
      <c r="AA12428" s="21" t="str">
        <f>HYPERLINK("https://www.ncbi.nlm.nih.gov/nuccore/BK061821,BK061822","NCBI Nucleotide")</f>
        <v>NCBI Nucleotide</v>
      </c>
    </row>
    <row r="12429" spans="1:27" x14ac:dyDescent="0.35">
      <c r="A12429">
        <v>1027829</v>
      </c>
      <c r="B12429">
        <v>11707</v>
      </c>
      <c r="C12429">
        <v>1</v>
      </c>
      <c r="D12429" s="17" t="s">
        <v>17166</v>
      </c>
      <c r="E12429" s="17"/>
      <c r="F12429" s="17" t="s">
        <v>17246</v>
      </c>
      <c r="G12429" s="17"/>
      <c r="H12429" s="17" t="s">
        <v>23950</v>
      </c>
      <c r="I12429" s="17" t="s">
        <v>23956</v>
      </c>
      <c r="J12429" s="17" t="s">
        <v>24017</v>
      </c>
      <c r="K12429" s="17"/>
      <c r="L12429" s="17" t="s">
        <v>24262</v>
      </c>
      <c r="M12429" s="17"/>
      <c r="N12429" s="17" t="s">
        <v>25249</v>
      </c>
      <c r="O12429" s="17" t="s">
        <v>26171</v>
      </c>
      <c r="P12429" s="17" t="s">
        <v>26462</v>
      </c>
      <c r="Q12429" s="17"/>
      <c r="R12429" s="25" t="str">
        <f>HYPERLINK("https://ictv.global/taxonomy/taxondetails?taxnode_id=202318620","Varicosavirus vincetoxici")</f>
        <v>Varicosavirus vincetoxici</v>
      </c>
      <c r="S12429" s="18" t="s">
        <v>30</v>
      </c>
      <c r="T12429" s="18" t="s">
        <v>46938</v>
      </c>
      <c r="U12429" s="18" t="s">
        <v>46939</v>
      </c>
      <c r="V12429" s="18" t="s">
        <v>46940</v>
      </c>
      <c r="W12429" s="18" t="s">
        <v>46941</v>
      </c>
      <c r="X12429" s="18" t="s">
        <v>35</v>
      </c>
      <c r="Y12429" s="18" t="s">
        <v>23964</v>
      </c>
      <c r="Z12429" s="18" t="s">
        <v>13441</v>
      </c>
      <c r="AA12429" s="21" t="str">
        <f>HYPERLINK("https://www.ncbi.nlm.nih.gov/nuccore/BK061823,BK061824","NCBI Nucleotide")</f>
        <v>NCBI Nucleotide</v>
      </c>
    </row>
    <row r="12430" spans="1:27" x14ac:dyDescent="0.35">
      <c r="A12430">
        <v>1010992</v>
      </c>
      <c r="B12430">
        <v>11708</v>
      </c>
      <c r="C12430">
        <v>1</v>
      </c>
      <c r="D12430" s="17" t="s">
        <v>17166</v>
      </c>
      <c r="E12430" s="17"/>
      <c r="F12430" s="17" t="s">
        <v>17246</v>
      </c>
      <c r="G12430" s="17"/>
      <c r="H12430" s="17" t="s">
        <v>23950</v>
      </c>
      <c r="I12430" s="17" t="s">
        <v>23956</v>
      </c>
      <c r="J12430" s="17" t="s">
        <v>24017</v>
      </c>
      <c r="K12430" s="17"/>
      <c r="L12430" s="17" t="s">
        <v>24262</v>
      </c>
      <c r="M12430" s="17"/>
      <c r="N12430" s="17" t="s">
        <v>25249</v>
      </c>
      <c r="O12430" s="17" t="s">
        <v>26171</v>
      </c>
      <c r="P12430" s="17" t="s">
        <v>26462</v>
      </c>
      <c r="Q12430" s="17"/>
      <c r="R12430" s="25" t="str">
        <f>HYPERLINK("https://ictv.global/taxonomy/taxondetails?taxnode_id=202314272","Varicosavirus vitis")</f>
        <v>Varicosavirus vitis</v>
      </c>
      <c r="S12430" s="18" t="s">
        <v>30</v>
      </c>
      <c r="T12430" s="18" t="s">
        <v>26495</v>
      </c>
      <c r="U12430" s="18" t="s">
        <v>26496</v>
      </c>
      <c r="V12430" s="18" t="s">
        <v>26497</v>
      </c>
      <c r="W12430" s="18" t="s">
        <v>26498</v>
      </c>
      <c r="X12430" s="18" t="s">
        <v>35</v>
      </c>
      <c r="Y12430" s="18" t="s">
        <v>23964</v>
      </c>
      <c r="Z12430" s="18" t="s">
        <v>13441</v>
      </c>
      <c r="AA12430" s="21" t="str">
        <f>HYPERLINK("https://www.ncbi.nlm.nih.gov/nuccore/LC604719,LC604720","NCBI Nucleotide")</f>
        <v>NCBI Nucleotide</v>
      </c>
    </row>
    <row r="12431" spans="1:27" x14ac:dyDescent="0.35">
      <c r="A12431">
        <v>1010993</v>
      </c>
      <c r="B12431">
        <v>11709</v>
      </c>
      <c r="C12431">
        <v>1</v>
      </c>
      <c r="D12431" s="17" t="s">
        <v>17166</v>
      </c>
      <c r="E12431" s="17"/>
      <c r="F12431" s="17" t="s">
        <v>17246</v>
      </c>
      <c r="G12431" s="17"/>
      <c r="H12431" s="17" t="s">
        <v>23950</v>
      </c>
      <c r="I12431" s="17" t="s">
        <v>23956</v>
      </c>
      <c r="J12431" s="17" t="s">
        <v>24017</v>
      </c>
      <c r="K12431" s="17"/>
      <c r="L12431" s="17" t="s">
        <v>24262</v>
      </c>
      <c r="M12431" s="17"/>
      <c r="N12431" s="17" t="s">
        <v>25249</v>
      </c>
      <c r="O12431" s="17" t="s">
        <v>26171</v>
      </c>
      <c r="P12431" s="17" t="s">
        <v>26462</v>
      </c>
      <c r="Q12431" s="17"/>
      <c r="R12431" s="25" t="str">
        <f>HYPERLINK("https://ictv.global/taxonomy/taxondetails?taxnode_id=202314273","Varicosavirus xinjiangense")</f>
        <v>Varicosavirus xinjiangense</v>
      </c>
      <c r="S12431" s="18" t="s">
        <v>30</v>
      </c>
      <c r="T12431" s="18" t="s">
        <v>26499</v>
      </c>
      <c r="U12431" s="18" t="s">
        <v>26500</v>
      </c>
      <c r="V12431" s="18" t="s">
        <v>26501</v>
      </c>
      <c r="W12431" s="18" t="s">
        <v>26502</v>
      </c>
      <c r="X12431" s="18" t="s">
        <v>35</v>
      </c>
      <c r="Y12431" s="18" t="s">
        <v>23964</v>
      </c>
      <c r="Z12431" s="18" t="s">
        <v>24637</v>
      </c>
      <c r="AA12431" s="21" t="str">
        <f>HYPERLINK("https://www.ncbi.nlm.nih.gov/nuccore/MW897032,MW897033","NCBI Nucleotide")</f>
        <v>NCBI Nucleotide</v>
      </c>
    </row>
    <row r="12432" spans="1:27" x14ac:dyDescent="0.35">
      <c r="A12432">
        <v>1027830</v>
      </c>
      <c r="B12432">
        <v>11710</v>
      </c>
      <c r="C12432">
        <v>1</v>
      </c>
      <c r="D12432" s="17" t="s">
        <v>17166</v>
      </c>
      <c r="E12432" s="17"/>
      <c r="F12432" s="17" t="s">
        <v>17246</v>
      </c>
      <c r="G12432" s="17"/>
      <c r="H12432" s="17" t="s">
        <v>23950</v>
      </c>
      <c r="I12432" s="17" t="s">
        <v>23956</v>
      </c>
      <c r="J12432" s="17" t="s">
        <v>24017</v>
      </c>
      <c r="K12432" s="17"/>
      <c r="L12432" s="17" t="s">
        <v>24262</v>
      </c>
      <c r="M12432" s="17"/>
      <c r="N12432" s="17" t="s">
        <v>25249</v>
      </c>
      <c r="O12432" s="17" t="s">
        <v>26171</v>
      </c>
      <c r="P12432" s="17" t="s">
        <v>26462</v>
      </c>
      <c r="Q12432" s="17"/>
      <c r="R12432" s="25" t="str">
        <f>HYPERLINK("https://ictv.global/taxonomy/taxondetails?taxnode_id=202318621","Varicosavirus zea")</f>
        <v>Varicosavirus zea</v>
      </c>
      <c r="S12432" s="18" t="s">
        <v>30</v>
      </c>
      <c r="T12432" s="18" t="s">
        <v>46942</v>
      </c>
      <c r="U12432" s="18" t="s">
        <v>46943</v>
      </c>
      <c r="V12432" s="18" t="s">
        <v>46944</v>
      </c>
      <c r="W12432" s="18" t="s">
        <v>46945</v>
      </c>
      <c r="X12432" s="18" t="s">
        <v>35</v>
      </c>
      <c r="Y12432" s="18" t="s">
        <v>23964</v>
      </c>
      <c r="Z12432" s="18" t="s">
        <v>13441</v>
      </c>
      <c r="AA12432" s="21" t="str">
        <f>HYPERLINK("https://www.ncbi.nlm.nih.gov/nuccore/BK061825,BK061826","NCBI Nucleotide")</f>
        <v>NCBI Nucleotide</v>
      </c>
    </row>
    <row r="12433" spans="1:27" x14ac:dyDescent="0.35">
      <c r="A12433">
        <v>1010994</v>
      </c>
      <c r="B12433">
        <v>11711</v>
      </c>
      <c r="C12433">
        <v>1</v>
      </c>
      <c r="D12433" s="17" t="s">
        <v>17166</v>
      </c>
      <c r="E12433" s="17"/>
      <c r="F12433" s="17" t="s">
        <v>17246</v>
      </c>
      <c r="G12433" s="17"/>
      <c r="H12433" s="17" t="s">
        <v>23950</v>
      </c>
      <c r="I12433" s="17" t="s">
        <v>23956</v>
      </c>
      <c r="J12433" s="17" t="s">
        <v>24017</v>
      </c>
      <c r="K12433" s="17"/>
      <c r="L12433" s="17" t="s">
        <v>24262</v>
      </c>
      <c r="M12433" s="17"/>
      <c r="N12433" s="17" t="s">
        <v>25249</v>
      </c>
      <c r="O12433" s="17" t="s">
        <v>26171</v>
      </c>
      <c r="P12433" s="17" t="s">
        <v>26462</v>
      </c>
      <c r="Q12433" s="17"/>
      <c r="R12433" s="25" t="str">
        <f>HYPERLINK("https://ictv.global/taxonomy/taxondetails?taxnode_id=202314274","Varicosavirus zosterae")</f>
        <v>Varicosavirus zosterae</v>
      </c>
      <c r="S12433" s="18" t="s">
        <v>30</v>
      </c>
      <c r="T12433" s="18" t="s">
        <v>26503</v>
      </c>
      <c r="U12433" s="18" t="s">
        <v>26504</v>
      </c>
      <c r="V12433" s="18" t="s">
        <v>26505</v>
      </c>
      <c r="W12433" s="18" t="s">
        <v>26506</v>
      </c>
      <c r="X12433" s="18" t="s">
        <v>35</v>
      </c>
      <c r="Y12433" s="18" t="s">
        <v>23964</v>
      </c>
      <c r="Z12433" s="18" t="s">
        <v>13441</v>
      </c>
      <c r="AA12433" s="21" t="str">
        <f>HYPERLINK("https://www.ncbi.nlm.nih.gov/nuccore/BK014484,BK014485","NCBI Nucleotide")</f>
        <v>NCBI Nucleotide</v>
      </c>
    </row>
    <row r="12434" spans="1:27" x14ac:dyDescent="0.35">
      <c r="A12434">
        <v>1010999</v>
      </c>
      <c r="B12434">
        <v>11712</v>
      </c>
      <c r="C12434">
        <v>1</v>
      </c>
      <c r="D12434" s="17" t="s">
        <v>17166</v>
      </c>
      <c r="E12434" s="17"/>
      <c r="F12434" s="17" t="s">
        <v>17246</v>
      </c>
      <c r="G12434" s="17"/>
      <c r="H12434" s="17" t="s">
        <v>23950</v>
      </c>
      <c r="I12434" s="17" t="s">
        <v>23956</v>
      </c>
      <c r="J12434" s="17" t="s">
        <v>24017</v>
      </c>
      <c r="K12434" s="17"/>
      <c r="L12434" s="17" t="s">
        <v>24262</v>
      </c>
      <c r="M12434" s="17"/>
      <c r="N12434" s="17" t="s">
        <v>25249</v>
      </c>
      <c r="O12434" s="17" t="s">
        <v>46946</v>
      </c>
      <c r="P12434" s="17" t="s">
        <v>25250</v>
      </c>
      <c r="Q12434" s="17"/>
      <c r="R12434" s="25" t="str">
        <f>HYPERLINK("https://ictv.global/taxonomy/taxondetails?taxnode_id=202309636","Alphacrustrhavirus wenling")</f>
        <v>Alphacrustrhavirus wenling</v>
      </c>
      <c r="S12434" s="18" t="s">
        <v>30</v>
      </c>
      <c r="T12434" s="18" t="s">
        <v>25251</v>
      </c>
      <c r="U12434" s="18" t="s">
        <v>25252</v>
      </c>
      <c r="V12434" s="18" t="s">
        <v>25253</v>
      </c>
      <c r="W12434" s="18" t="s">
        <v>25254</v>
      </c>
      <c r="X12434" s="18" t="s">
        <v>35</v>
      </c>
      <c r="Y12434" s="18" t="s">
        <v>23964</v>
      </c>
      <c r="Z12434" s="18" t="s">
        <v>10790</v>
      </c>
      <c r="AA12434" s="21" t="str">
        <f>HYPERLINK("https://www.ncbi.nlm.nih.gov/nuccore/KX884450","NCBI Nucleotide")</f>
        <v>NCBI Nucleotide</v>
      </c>
    </row>
    <row r="12435" spans="1:27" x14ac:dyDescent="0.35">
      <c r="A12435">
        <v>1011000</v>
      </c>
      <c r="B12435">
        <v>11713</v>
      </c>
      <c r="C12435">
        <v>1</v>
      </c>
      <c r="D12435" s="17" t="s">
        <v>17166</v>
      </c>
      <c r="E12435" s="17"/>
      <c r="F12435" s="17" t="s">
        <v>17246</v>
      </c>
      <c r="G12435" s="17"/>
      <c r="H12435" s="17" t="s">
        <v>23950</v>
      </c>
      <c r="I12435" s="17" t="s">
        <v>23956</v>
      </c>
      <c r="J12435" s="17" t="s">
        <v>24017</v>
      </c>
      <c r="K12435" s="17"/>
      <c r="L12435" s="17" t="s">
        <v>24262</v>
      </c>
      <c r="M12435" s="17"/>
      <c r="N12435" s="17" t="s">
        <v>25249</v>
      </c>
      <c r="O12435" s="17" t="s">
        <v>46946</v>
      </c>
      <c r="P12435" s="17" t="s">
        <v>25250</v>
      </c>
      <c r="Q12435" s="17"/>
      <c r="R12435" s="25" t="str">
        <f>HYPERLINK("https://ictv.global/taxonomy/taxondetails?taxnode_id=202309637","Alphacrustrhavirus zhejiang")</f>
        <v>Alphacrustrhavirus zhejiang</v>
      </c>
      <c r="S12435" s="18" t="s">
        <v>30</v>
      </c>
      <c r="T12435" s="18" t="s">
        <v>25255</v>
      </c>
      <c r="U12435" s="18" t="s">
        <v>25256</v>
      </c>
      <c r="V12435" s="18" t="s">
        <v>25257</v>
      </c>
      <c r="W12435" s="18" t="s">
        <v>25258</v>
      </c>
      <c r="X12435" s="18" t="s">
        <v>35</v>
      </c>
      <c r="Y12435" s="18" t="s">
        <v>23964</v>
      </c>
      <c r="Z12435" s="18" t="s">
        <v>10790</v>
      </c>
      <c r="AA12435" s="21" t="str">
        <f>HYPERLINK("https://www.ncbi.nlm.nih.gov/nuccore/KX884456","NCBI Nucleotide")</f>
        <v>NCBI Nucleotide</v>
      </c>
    </row>
    <row r="12436" spans="1:27" x14ac:dyDescent="0.35">
      <c r="A12436">
        <v>1011001</v>
      </c>
      <c r="B12436">
        <v>11714</v>
      </c>
      <c r="C12436">
        <v>1</v>
      </c>
      <c r="D12436" s="17" t="s">
        <v>17166</v>
      </c>
      <c r="E12436" s="17"/>
      <c r="F12436" s="17" t="s">
        <v>17246</v>
      </c>
      <c r="G12436" s="17"/>
      <c r="H12436" s="17" t="s">
        <v>23950</v>
      </c>
      <c r="I12436" s="17" t="s">
        <v>23956</v>
      </c>
      <c r="J12436" s="17" t="s">
        <v>24017</v>
      </c>
      <c r="K12436" s="17"/>
      <c r="L12436" s="17" t="s">
        <v>24262</v>
      </c>
      <c r="M12436" s="17"/>
      <c r="N12436" s="17" t="s">
        <v>25249</v>
      </c>
      <c r="O12436" s="17" t="s">
        <v>46946</v>
      </c>
      <c r="P12436" s="17" t="s">
        <v>25259</v>
      </c>
      <c r="Q12436" s="17"/>
      <c r="R12436" s="25" t="str">
        <f>HYPERLINK("https://ictv.global/taxonomy/taxondetails?taxnode_id=202309640","Alphadrosrhavirus hubei")</f>
        <v>Alphadrosrhavirus hubei</v>
      </c>
      <c r="S12436" s="18" t="s">
        <v>30</v>
      </c>
      <c r="T12436" s="18" t="s">
        <v>25260</v>
      </c>
      <c r="U12436" s="18" t="s">
        <v>25261</v>
      </c>
      <c r="V12436" s="18" t="s">
        <v>25262</v>
      </c>
      <c r="W12436" s="18" t="s">
        <v>25263</v>
      </c>
      <c r="X12436" s="18" t="s">
        <v>35</v>
      </c>
      <c r="Y12436" s="18" t="s">
        <v>23964</v>
      </c>
      <c r="Z12436" s="18" t="s">
        <v>10790</v>
      </c>
      <c r="AA12436" s="21" t="str">
        <f>HYPERLINK("https://www.ncbi.nlm.nih.gov/nuccore/KM817649","NCBI Nucleotide")</f>
        <v>NCBI Nucleotide</v>
      </c>
    </row>
    <row r="12437" spans="1:27" x14ac:dyDescent="0.35">
      <c r="A12437">
        <v>1011002</v>
      </c>
      <c r="B12437">
        <v>11715</v>
      </c>
      <c r="C12437">
        <v>1</v>
      </c>
      <c r="D12437" s="17" t="s">
        <v>17166</v>
      </c>
      <c r="E12437" s="17"/>
      <c r="F12437" s="17" t="s">
        <v>17246</v>
      </c>
      <c r="G12437" s="17"/>
      <c r="H12437" s="17" t="s">
        <v>23950</v>
      </c>
      <c r="I12437" s="17" t="s">
        <v>23956</v>
      </c>
      <c r="J12437" s="17" t="s">
        <v>24017</v>
      </c>
      <c r="K12437" s="17"/>
      <c r="L12437" s="17" t="s">
        <v>24262</v>
      </c>
      <c r="M12437" s="17"/>
      <c r="N12437" s="17" t="s">
        <v>25249</v>
      </c>
      <c r="O12437" s="17" t="s">
        <v>46946</v>
      </c>
      <c r="P12437" s="17" t="s">
        <v>25259</v>
      </c>
      <c r="Q12437" s="17"/>
      <c r="R12437" s="25" t="str">
        <f>HYPERLINK("https://ictv.global/taxonomy/taxondetails?taxnode_id=202309639","Alphadrosrhavirus shayang")</f>
        <v>Alphadrosrhavirus shayang</v>
      </c>
      <c r="S12437" s="18" t="s">
        <v>30</v>
      </c>
      <c r="T12437" s="18" t="s">
        <v>25264</v>
      </c>
      <c r="U12437" s="18" t="s">
        <v>25265</v>
      </c>
      <c r="V12437" s="18" t="s">
        <v>25266</v>
      </c>
      <c r="W12437" s="18" t="s">
        <v>25267</v>
      </c>
      <c r="X12437" s="18" t="s">
        <v>35</v>
      </c>
      <c r="Y12437" s="18" t="s">
        <v>23964</v>
      </c>
      <c r="Z12437" s="18" t="s">
        <v>10790</v>
      </c>
      <c r="AA12437" s="21" t="str">
        <f>HYPERLINK("https://www.ncbi.nlm.nih.gov/nuccore/KM817636","NCBI Nucleotide")</f>
        <v>NCBI Nucleotide</v>
      </c>
    </row>
    <row r="12438" spans="1:27" x14ac:dyDescent="0.35">
      <c r="A12438">
        <v>1011003</v>
      </c>
      <c r="B12438">
        <v>11716</v>
      </c>
      <c r="C12438">
        <v>1</v>
      </c>
      <c r="D12438" s="17" t="s">
        <v>17166</v>
      </c>
      <c r="E12438" s="17"/>
      <c r="F12438" s="17" t="s">
        <v>17246</v>
      </c>
      <c r="G12438" s="17"/>
      <c r="H12438" s="17" t="s">
        <v>23950</v>
      </c>
      <c r="I12438" s="17" t="s">
        <v>23956</v>
      </c>
      <c r="J12438" s="17" t="s">
        <v>24017</v>
      </c>
      <c r="K12438" s="17"/>
      <c r="L12438" s="17" t="s">
        <v>24262</v>
      </c>
      <c r="M12438" s="17"/>
      <c r="N12438" s="17" t="s">
        <v>25249</v>
      </c>
      <c r="O12438" s="17" t="s">
        <v>46946</v>
      </c>
      <c r="P12438" s="17" t="s">
        <v>25268</v>
      </c>
      <c r="Q12438" s="17"/>
      <c r="R12438" s="25" t="str">
        <f>HYPERLINK("https://ictv.global/taxonomy/taxondetails?taxnode_id=202309643","Alphahymrhavirus cinereus")</f>
        <v>Alphahymrhavirus cinereus</v>
      </c>
      <c r="S12438" s="18" t="s">
        <v>30</v>
      </c>
      <c r="T12438" s="18" t="s">
        <v>25269</v>
      </c>
      <c r="U12438" s="18" t="s">
        <v>25270</v>
      </c>
      <c r="V12438" s="18" t="s">
        <v>25271</v>
      </c>
      <c r="W12438" s="18" t="s">
        <v>25272</v>
      </c>
      <c r="X12438" s="18" t="s">
        <v>35</v>
      </c>
      <c r="Y12438" s="18" t="s">
        <v>23964</v>
      </c>
      <c r="Z12438" s="18" t="s">
        <v>10790</v>
      </c>
      <c r="AA12438" s="21" t="str">
        <f>HYPERLINK("https://www.ncbi.nlm.nih.gov/nuccore/MT153454","NCBI Nucleotide")</f>
        <v>NCBI Nucleotide</v>
      </c>
    </row>
    <row r="12439" spans="1:27" x14ac:dyDescent="0.35">
      <c r="A12439">
        <v>1027635</v>
      </c>
      <c r="B12439">
        <v>11717</v>
      </c>
      <c r="C12439">
        <v>1</v>
      </c>
      <c r="D12439" s="17" t="s">
        <v>17166</v>
      </c>
      <c r="E12439" s="17"/>
      <c r="F12439" s="17" t="s">
        <v>17246</v>
      </c>
      <c r="G12439" s="17"/>
      <c r="H12439" s="17" t="s">
        <v>23950</v>
      </c>
      <c r="I12439" s="17" t="s">
        <v>23956</v>
      </c>
      <c r="J12439" s="17" t="s">
        <v>24017</v>
      </c>
      <c r="K12439" s="17"/>
      <c r="L12439" s="17" t="s">
        <v>24262</v>
      </c>
      <c r="M12439" s="17"/>
      <c r="N12439" s="17" t="s">
        <v>25249</v>
      </c>
      <c r="O12439" s="17" t="s">
        <v>46946</v>
      </c>
      <c r="P12439" s="17" t="s">
        <v>25268</v>
      </c>
      <c r="Q12439" s="17"/>
      <c r="R12439" s="25" t="str">
        <f>HYPERLINK("https://ictv.global/taxonomy/taxondetails?taxnode_id=202318549","Alphahymrhavirus distinguendus")</f>
        <v>Alphahymrhavirus distinguendus</v>
      </c>
      <c r="S12439" s="18" t="s">
        <v>30</v>
      </c>
      <c r="T12439" s="18" t="s">
        <v>46947</v>
      </c>
      <c r="U12439" s="18" t="s">
        <v>46948</v>
      </c>
      <c r="V12439" s="18"/>
      <c r="W12439" s="18" t="s">
        <v>46949</v>
      </c>
      <c r="X12439" s="18" t="s">
        <v>35</v>
      </c>
      <c r="Y12439" s="18" t="s">
        <v>23964</v>
      </c>
      <c r="Z12439" s="18" t="s">
        <v>17413</v>
      </c>
      <c r="AA12439" s="21" t="str">
        <f>HYPERLINK("https://www.ncbi.nlm.nih.gov/nuccore/MW864604","NCBI Nucleotide")</f>
        <v>NCBI Nucleotide</v>
      </c>
    </row>
    <row r="12440" spans="1:27" x14ac:dyDescent="0.35">
      <c r="A12440">
        <v>1011004</v>
      </c>
      <c r="B12440">
        <v>11718</v>
      </c>
      <c r="C12440">
        <v>1</v>
      </c>
      <c r="D12440" s="17" t="s">
        <v>17166</v>
      </c>
      <c r="E12440" s="17"/>
      <c r="F12440" s="17" t="s">
        <v>17246</v>
      </c>
      <c r="G12440" s="17"/>
      <c r="H12440" s="17" t="s">
        <v>23950</v>
      </c>
      <c r="I12440" s="17" t="s">
        <v>23956</v>
      </c>
      <c r="J12440" s="17" t="s">
        <v>24017</v>
      </c>
      <c r="K12440" s="17"/>
      <c r="L12440" s="17" t="s">
        <v>24262</v>
      </c>
      <c r="M12440" s="17"/>
      <c r="N12440" s="17" t="s">
        <v>25249</v>
      </c>
      <c r="O12440" s="17" t="s">
        <v>46946</v>
      </c>
      <c r="P12440" s="17" t="s">
        <v>25268</v>
      </c>
      <c r="Q12440" s="17"/>
      <c r="R12440" s="25" t="str">
        <f>HYPERLINK("https://ictv.global/taxonomy/taxondetails?taxnode_id=202309645","Alphahymrhavirus hirtum")</f>
        <v>Alphahymrhavirus hirtum</v>
      </c>
      <c r="S12440" s="18" t="s">
        <v>30</v>
      </c>
      <c r="T12440" s="18" t="s">
        <v>25273</v>
      </c>
      <c r="U12440" s="18" t="s">
        <v>25274</v>
      </c>
      <c r="V12440" s="18" t="s">
        <v>25275</v>
      </c>
      <c r="W12440" s="18" t="s">
        <v>25276</v>
      </c>
      <c r="X12440" s="18" t="s">
        <v>35</v>
      </c>
      <c r="Y12440" s="18" t="s">
        <v>23964</v>
      </c>
      <c r="Z12440" s="18" t="s">
        <v>10790</v>
      </c>
      <c r="AA12440" s="21" t="str">
        <f>HYPERLINK("https://www.ncbi.nlm.nih.gov/nuccore/MT153372","NCBI Nucleotide")</f>
        <v>NCBI Nucleotide</v>
      </c>
    </row>
    <row r="12441" spans="1:27" x14ac:dyDescent="0.35">
      <c r="A12441">
        <v>1011005</v>
      </c>
      <c r="B12441">
        <v>11719</v>
      </c>
      <c r="C12441">
        <v>1</v>
      </c>
      <c r="D12441" s="17" t="s">
        <v>17166</v>
      </c>
      <c r="E12441" s="17"/>
      <c r="F12441" s="17" t="s">
        <v>17246</v>
      </c>
      <c r="G12441" s="17"/>
      <c r="H12441" s="17" t="s">
        <v>23950</v>
      </c>
      <c r="I12441" s="17" t="s">
        <v>23956</v>
      </c>
      <c r="J12441" s="17" t="s">
        <v>24017</v>
      </c>
      <c r="K12441" s="17"/>
      <c r="L12441" s="17" t="s">
        <v>24262</v>
      </c>
      <c r="M12441" s="17"/>
      <c r="N12441" s="17" t="s">
        <v>25249</v>
      </c>
      <c r="O12441" s="17" t="s">
        <v>46946</v>
      </c>
      <c r="P12441" s="17" t="s">
        <v>25268</v>
      </c>
      <c r="Q12441" s="17"/>
      <c r="R12441" s="25" t="str">
        <f>HYPERLINK("https://ictv.global/taxonomy/taxondetails?taxnode_id=202309642","Alphahymrhavirus neglectus")</f>
        <v>Alphahymrhavirus neglectus</v>
      </c>
      <c r="S12441" s="18" t="s">
        <v>30</v>
      </c>
      <c r="T12441" s="18" t="s">
        <v>25277</v>
      </c>
      <c r="U12441" s="18" t="s">
        <v>25278</v>
      </c>
      <c r="V12441" s="18" t="s">
        <v>25279</v>
      </c>
      <c r="W12441" s="18" t="s">
        <v>25280</v>
      </c>
      <c r="X12441" s="18" t="s">
        <v>42</v>
      </c>
      <c r="Y12441" s="18" t="s">
        <v>23964</v>
      </c>
      <c r="Z12441" s="18" t="s">
        <v>10790</v>
      </c>
      <c r="AA12441" s="21" t="str">
        <f>HYPERLINK("https://www.ncbi.nlm.nih.gov/nuccore/MH477288","NCBI Nucleotide")</f>
        <v>NCBI Nucleotide</v>
      </c>
    </row>
    <row r="12442" spans="1:27" x14ac:dyDescent="0.35">
      <c r="A12442">
        <v>1011006</v>
      </c>
      <c r="B12442">
        <v>11720</v>
      </c>
      <c r="C12442">
        <v>1</v>
      </c>
      <c r="D12442" s="17" t="s">
        <v>17166</v>
      </c>
      <c r="E12442" s="17"/>
      <c r="F12442" s="17" t="s">
        <v>17246</v>
      </c>
      <c r="G12442" s="17"/>
      <c r="H12442" s="17" t="s">
        <v>23950</v>
      </c>
      <c r="I12442" s="17" t="s">
        <v>23956</v>
      </c>
      <c r="J12442" s="17" t="s">
        <v>24017</v>
      </c>
      <c r="K12442" s="17"/>
      <c r="L12442" s="17" t="s">
        <v>24262</v>
      </c>
      <c r="M12442" s="17"/>
      <c r="N12442" s="17" t="s">
        <v>25249</v>
      </c>
      <c r="O12442" s="17" t="s">
        <v>46946</v>
      </c>
      <c r="P12442" s="17" t="s">
        <v>25268</v>
      </c>
      <c r="Q12442" s="17"/>
      <c r="R12442" s="25" t="str">
        <f>HYPERLINK("https://ictv.global/taxonomy/taxondetails?taxnode_id=202309644","Alphahymrhavirus radians")</f>
        <v>Alphahymrhavirus radians</v>
      </c>
      <c r="S12442" s="18" t="s">
        <v>30</v>
      </c>
      <c r="T12442" s="18" t="s">
        <v>25281</v>
      </c>
      <c r="U12442" s="18" t="s">
        <v>25282</v>
      </c>
      <c r="V12442" s="18" t="s">
        <v>25283</v>
      </c>
      <c r="W12442" s="18" t="s">
        <v>25284</v>
      </c>
      <c r="X12442" s="18" t="s">
        <v>35</v>
      </c>
      <c r="Y12442" s="18" t="s">
        <v>23964</v>
      </c>
      <c r="Z12442" s="18" t="s">
        <v>10790</v>
      </c>
      <c r="AA12442" s="21" t="str">
        <f>HYPERLINK("https://www.ncbi.nlm.nih.gov/nuccore/MW314718","NCBI Nucleotide")</f>
        <v>NCBI Nucleotide</v>
      </c>
    </row>
    <row r="12443" spans="1:27" x14ac:dyDescent="0.35">
      <c r="A12443">
        <v>1027636</v>
      </c>
      <c r="B12443">
        <v>11721</v>
      </c>
      <c r="C12443">
        <v>1</v>
      </c>
      <c r="D12443" s="17" t="s">
        <v>17166</v>
      </c>
      <c r="E12443" s="17"/>
      <c r="F12443" s="17" t="s">
        <v>17246</v>
      </c>
      <c r="G12443" s="17"/>
      <c r="H12443" s="17" t="s">
        <v>23950</v>
      </c>
      <c r="I12443" s="17" t="s">
        <v>23956</v>
      </c>
      <c r="J12443" s="17" t="s">
        <v>24017</v>
      </c>
      <c r="K12443" s="17"/>
      <c r="L12443" s="17" t="s">
        <v>24262</v>
      </c>
      <c r="M12443" s="17"/>
      <c r="N12443" s="17" t="s">
        <v>25249</v>
      </c>
      <c r="O12443" s="17" t="s">
        <v>46946</v>
      </c>
      <c r="P12443" s="17" t="s">
        <v>25268</v>
      </c>
      <c r="Q12443" s="17"/>
      <c r="R12443" s="25" t="str">
        <f>HYPERLINK("https://ictv.global/taxonomy/taxondetails?taxnode_id=202318550","Alphahymrhavirus xiangshan")</f>
        <v>Alphahymrhavirus xiangshan</v>
      </c>
      <c r="S12443" s="18" t="s">
        <v>30</v>
      </c>
      <c r="T12443" s="18" t="s">
        <v>46950</v>
      </c>
      <c r="U12443" s="18" t="s">
        <v>46951</v>
      </c>
      <c r="V12443" s="18" t="s">
        <v>46952</v>
      </c>
      <c r="W12443" s="18" t="s">
        <v>46953</v>
      </c>
      <c r="X12443" s="18" t="s">
        <v>35</v>
      </c>
      <c r="Y12443" s="18" t="s">
        <v>23964</v>
      </c>
      <c r="Z12443" s="18" t="s">
        <v>17413</v>
      </c>
      <c r="AA12443" s="21" t="str">
        <f>HYPERLINK("https://www.ncbi.nlm.nih.gov/nuccore/OK491501","NCBI Nucleotide")</f>
        <v>NCBI Nucleotide</v>
      </c>
    </row>
    <row r="12444" spans="1:27" x14ac:dyDescent="0.35">
      <c r="A12444">
        <v>1011007</v>
      </c>
      <c r="B12444">
        <v>11722</v>
      </c>
      <c r="C12444">
        <v>1</v>
      </c>
      <c r="D12444" s="17" t="s">
        <v>17166</v>
      </c>
      <c r="E12444" s="17"/>
      <c r="F12444" s="17" t="s">
        <v>17246</v>
      </c>
      <c r="G12444" s="17"/>
      <c r="H12444" s="17" t="s">
        <v>23950</v>
      </c>
      <c r="I12444" s="17" t="s">
        <v>23956</v>
      </c>
      <c r="J12444" s="17" t="s">
        <v>24017</v>
      </c>
      <c r="K12444" s="17"/>
      <c r="L12444" s="17" t="s">
        <v>24262</v>
      </c>
      <c r="M12444" s="17"/>
      <c r="N12444" s="17" t="s">
        <v>25249</v>
      </c>
      <c r="O12444" s="17" t="s">
        <v>46946</v>
      </c>
      <c r="P12444" s="17" t="s">
        <v>25285</v>
      </c>
      <c r="Q12444" s="17"/>
      <c r="R12444" s="25" t="str">
        <f>HYPERLINK("https://ictv.global/taxonomy/taxondetails?taxnode_id=202309647","Betahymrhavirus austriaca")</f>
        <v>Betahymrhavirus austriaca</v>
      </c>
      <c r="S12444" s="18" t="s">
        <v>30</v>
      </c>
      <c r="T12444" s="18" t="s">
        <v>25286</v>
      </c>
      <c r="U12444" s="18" t="s">
        <v>25287</v>
      </c>
      <c r="V12444" s="18" t="s">
        <v>25288</v>
      </c>
      <c r="W12444" s="18" t="s">
        <v>25289</v>
      </c>
      <c r="X12444" s="18" t="s">
        <v>35</v>
      </c>
      <c r="Y12444" s="18" t="s">
        <v>23964</v>
      </c>
      <c r="Z12444" s="18" t="s">
        <v>10790</v>
      </c>
      <c r="AA12444" s="21" t="str">
        <f>HYPERLINK("https://www.ncbi.nlm.nih.gov/nuccore/MW314717","NCBI Nucleotide")</f>
        <v>NCBI Nucleotide</v>
      </c>
    </row>
    <row r="12445" spans="1:27" x14ac:dyDescent="0.35">
      <c r="A12445">
        <v>1011008</v>
      </c>
      <c r="B12445">
        <v>11723</v>
      </c>
      <c r="C12445">
        <v>1</v>
      </c>
      <c r="D12445" s="17" t="s">
        <v>17166</v>
      </c>
      <c r="E12445" s="17"/>
      <c r="F12445" s="17" t="s">
        <v>17246</v>
      </c>
      <c r="G12445" s="17"/>
      <c r="H12445" s="17" t="s">
        <v>23950</v>
      </c>
      <c r="I12445" s="17" t="s">
        <v>23956</v>
      </c>
      <c r="J12445" s="17" t="s">
        <v>24017</v>
      </c>
      <c r="K12445" s="17"/>
      <c r="L12445" s="17" t="s">
        <v>24262</v>
      </c>
      <c r="M12445" s="17"/>
      <c r="N12445" s="17" t="s">
        <v>25249</v>
      </c>
      <c r="O12445" s="17" t="s">
        <v>46946</v>
      </c>
      <c r="P12445" s="17" t="s">
        <v>25285</v>
      </c>
      <c r="Q12445" s="17"/>
      <c r="R12445" s="25" t="str">
        <f>HYPERLINK("https://ictv.global/taxonomy/taxondetails?taxnode_id=202309648","Betahymrhavirus heterodontonyx")</f>
        <v>Betahymrhavirus heterodontonyx</v>
      </c>
      <c r="S12445" s="18" t="s">
        <v>30</v>
      </c>
      <c r="T12445" s="18" t="s">
        <v>25290</v>
      </c>
      <c r="U12445" s="18" t="s">
        <v>25291</v>
      </c>
      <c r="V12445" s="18" t="s">
        <v>25292</v>
      </c>
      <c r="W12445" s="18" t="s">
        <v>25293</v>
      </c>
      <c r="X12445" s="18" t="s">
        <v>35</v>
      </c>
      <c r="Y12445" s="18" t="s">
        <v>23964</v>
      </c>
      <c r="Z12445" s="18" t="s">
        <v>10790</v>
      </c>
      <c r="AA12445" s="21" t="str">
        <f>HYPERLINK("https://www.ncbi.nlm.nih.gov/nuccore/MW039260","NCBI Nucleotide")</f>
        <v>NCBI Nucleotide</v>
      </c>
    </row>
    <row r="12446" spans="1:27" x14ac:dyDescent="0.35">
      <c r="A12446">
        <v>1027641</v>
      </c>
      <c r="B12446">
        <v>11724</v>
      </c>
      <c r="C12446">
        <v>1</v>
      </c>
      <c r="D12446" s="17" t="s">
        <v>17166</v>
      </c>
      <c r="E12446" s="17"/>
      <c r="F12446" s="17" t="s">
        <v>17246</v>
      </c>
      <c r="G12446" s="17"/>
      <c r="H12446" s="17" t="s">
        <v>23950</v>
      </c>
      <c r="I12446" s="17" t="s">
        <v>23956</v>
      </c>
      <c r="J12446" s="17" t="s">
        <v>24017</v>
      </c>
      <c r="K12446" s="17"/>
      <c r="L12446" s="17" t="s">
        <v>24262</v>
      </c>
      <c r="M12446" s="17"/>
      <c r="N12446" s="17" t="s">
        <v>25249</v>
      </c>
      <c r="O12446" s="17" t="s">
        <v>46946</v>
      </c>
      <c r="P12446" s="17" t="s">
        <v>25285</v>
      </c>
      <c r="Q12446" s="17"/>
      <c r="R12446" s="25" t="str">
        <f>HYPERLINK("https://ictv.global/taxonomy/taxondetails?taxnode_id=202318551","Betahymrhavirus xiangshan")</f>
        <v>Betahymrhavirus xiangshan</v>
      </c>
      <c r="S12446" s="18" t="s">
        <v>30</v>
      </c>
      <c r="T12446" s="18" t="s">
        <v>46954</v>
      </c>
      <c r="U12446" s="18" t="s">
        <v>46955</v>
      </c>
      <c r="V12446" s="18" t="s">
        <v>46956</v>
      </c>
      <c r="W12446" s="18" t="s">
        <v>46957</v>
      </c>
      <c r="X12446" s="18" t="s">
        <v>35</v>
      </c>
      <c r="Y12446" s="18" t="s">
        <v>23964</v>
      </c>
      <c r="Z12446" s="18" t="s">
        <v>17413</v>
      </c>
      <c r="AA12446" s="21" t="str">
        <f>HYPERLINK("https://www.ncbi.nlm.nih.gov/nuccore/OK491502","NCBI Nucleotide")</f>
        <v>NCBI Nucleotide</v>
      </c>
    </row>
    <row r="12447" spans="1:27" x14ac:dyDescent="0.35">
      <c r="A12447">
        <v>1011009</v>
      </c>
      <c r="B12447">
        <v>11725</v>
      </c>
      <c r="C12447">
        <v>1</v>
      </c>
      <c r="D12447" s="17" t="s">
        <v>17166</v>
      </c>
      <c r="E12447" s="17"/>
      <c r="F12447" s="17" t="s">
        <v>17246</v>
      </c>
      <c r="G12447" s="17"/>
      <c r="H12447" s="17" t="s">
        <v>23950</v>
      </c>
      <c r="I12447" s="17" t="s">
        <v>23956</v>
      </c>
      <c r="J12447" s="17" t="s">
        <v>24017</v>
      </c>
      <c r="K12447" s="17"/>
      <c r="L12447" s="17" t="s">
        <v>24262</v>
      </c>
      <c r="M12447" s="17"/>
      <c r="N12447" s="17" t="s">
        <v>25249</v>
      </c>
      <c r="O12447" s="17" t="s">
        <v>46946</v>
      </c>
      <c r="P12447" s="17" t="s">
        <v>25294</v>
      </c>
      <c r="Q12447" s="17"/>
      <c r="R12447" s="25" t="str">
        <f>HYPERLINK("https://ictv.global/taxonomy/taxondetails?taxnode_id=202309651","Betanemrhavirus hubei")</f>
        <v>Betanemrhavirus hubei</v>
      </c>
      <c r="S12447" s="18" t="s">
        <v>30</v>
      </c>
      <c r="T12447" s="18" t="s">
        <v>25295</v>
      </c>
      <c r="U12447" s="18" t="s">
        <v>25296</v>
      </c>
      <c r="V12447" s="18" t="s">
        <v>25297</v>
      </c>
      <c r="W12447" s="18" t="s">
        <v>25298</v>
      </c>
      <c r="X12447" s="18" t="s">
        <v>35</v>
      </c>
      <c r="Y12447" s="18" t="s">
        <v>23964</v>
      </c>
      <c r="Z12447" s="18" t="s">
        <v>10790</v>
      </c>
      <c r="AA12447" s="21" t="str">
        <f>HYPERLINK("https://www.ncbi.nlm.nih.gov/nuccore/KX884448","NCBI Nucleotide")</f>
        <v>NCBI Nucleotide</v>
      </c>
    </row>
    <row r="12448" spans="1:27" x14ac:dyDescent="0.35">
      <c r="A12448">
        <v>1011010</v>
      </c>
      <c r="B12448">
        <v>11726</v>
      </c>
      <c r="C12448">
        <v>1</v>
      </c>
      <c r="D12448" s="17" t="s">
        <v>17166</v>
      </c>
      <c r="E12448" s="17"/>
      <c r="F12448" s="17" t="s">
        <v>17246</v>
      </c>
      <c r="G12448" s="17"/>
      <c r="H12448" s="17" t="s">
        <v>23950</v>
      </c>
      <c r="I12448" s="17" t="s">
        <v>23956</v>
      </c>
      <c r="J12448" s="17" t="s">
        <v>24017</v>
      </c>
      <c r="K12448" s="17"/>
      <c r="L12448" s="17" t="s">
        <v>24262</v>
      </c>
      <c r="M12448" s="17"/>
      <c r="N12448" s="17" t="s">
        <v>25249</v>
      </c>
      <c r="O12448" s="17" t="s">
        <v>46946</v>
      </c>
      <c r="P12448" s="17" t="s">
        <v>25294</v>
      </c>
      <c r="Q12448" s="17"/>
      <c r="R12448" s="25" t="str">
        <f>HYPERLINK("https://ictv.global/taxonomy/taxondetails?taxnode_id=202309650","Betanemrhavirus shayang")</f>
        <v>Betanemrhavirus shayang</v>
      </c>
      <c r="S12448" s="18" t="s">
        <v>30</v>
      </c>
      <c r="T12448" s="18" t="s">
        <v>25299</v>
      </c>
      <c r="U12448" s="18" t="s">
        <v>25300</v>
      </c>
      <c r="V12448" s="18" t="s">
        <v>25301</v>
      </c>
      <c r="W12448" s="18" t="s">
        <v>25302</v>
      </c>
      <c r="X12448" s="18" t="s">
        <v>35</v>
      </c>
      <c r="Y12448" s="18" t="s">
        <v>23964</v>
      </c>
      <c r="Z12448" s="18" t="s">
        <v>10790</v>
      </c>
      <c r="AA12448" s="21" t="str">
        <f>HYPERLINK("https://www.ncbi.nlm.nih.gov/nuccore/KX884414","NCBI Nucleotide")</f>
        <v>NCBI Nucleotide</v>
      </c>
    </row>
    <row r="12449" spans="1:27" x14ac:dyDescent="0.35">
      <c r="A12449">
        <v>1011011</v>
      </c>
      <c r="B12449">
        <v>11727</v>
      </c>
      <c r="C12449">
        <v>1</v>
      </c>
      <c r="D12449" s="17" t="s">
        <v>17166</v>
      </c>
      <c r="E12449" s="17"/>
      <c r="F12449" s="17" t="s">
        <v>17246</v>
      </c>
      <c r="G12449" s="17"/>
      <c r="H12449" s="17" t="s">
        <v>23950</v>
      </c>
      <c r="I12449" s="17" t="s">
        <v>23956</v>
      </c>
      <c r="J12449" s="17" t="s">
        <v>24017</v>
      </c>
      <c r="K12449" s="17"/>
      <c r="L12449" s="17" t="s">
        <v>24262</v>
      </c>
      <c r="M12449" s="17"/>
      <c r="N12449" s="17" t="s">
        <v>25249</v>
      </c>
      <c r="O12449" s="17" t="s">
        <v>46946</v>
      </c>
      <c r="P12449" s="17" t="s">
        <v>25303</v>
      </c>
      <c r="Q12449" s="17"/>
      <c r="R12449" s="25" t="str">
        <f>HYPERLINK("https://ictv.global/taxonomy/taxondetails?taxnode_id=202309653","Betapaprhavirus frugiperda")</f>
        <v>Betapaprhavirus frugiperda</v>
      </c>
      <c r="S12449" s="18" t="s">
        <v>30</v>
      </c>
      <c r="T12449" s="18" t="s">
        <v>25304</v>
      </c>
      <c r="U12449" s="18" t="s">
        <v>25305</v>
      </c>
      <c r="V12449" s="18" t="s">
        <v>25306</v>
      </c>
      <c r="W12449" s="18" t="s">
        <v>25307</v>
      </c>
      <c r="X12449" s="18" t="s">
        <v>35</v>
      </c>
      <c r="Y12449" s="18" t="s">
        <v>23964</v>
      </c>
      <c r="Z12449" s="18" t="s">
        <v>10790</v>
      </c>
      <c r="AA12449" s="21" t="str">
        <f>HYPERLINK("https://www.ncbi.nlm.nih.gov/nuccore/KF947078","NCBI Nucleotide")</f>
        <v>NCBI Nucleotide</v>
      </c>
    </row>
    <row r="12450" spans="1:27" x14ac:dyDescent="0.35">
      <c r="A12450">
        <v>1011012</v>
      </c>
      <c r="B12450">
        <v>11728</v>
      </c>
      <c r="C12450">
        <v>1</v>
      </c>
      <c r="D12450" s="17" t="s">
        <v>17166</v>
      </c>
      <c r="E12450" s="17"/>
      <c r="F12450" s="17" t="s">
        <v>17246</v>
      </c>
      <c r="G12450" s="17"/>
      <c r="H12450" s="17" t="s">
        <v>23950</v>
      </c>
      <c r="I12450" s="17" t="s">
        <v>23956</v>
      </c>
      <c r="J12450" s="17" t="s">
        <v>24017</v>
      </c>
      <c r="K12450" s="17"/>
      <c r="L12450" s="17" t="s">
        <v>24262</v>
      </c>
      <c r="M12450" s="17"/>
      <c r="N12450" s="17" t="s">
        <v>25249</v>
      </c>
      <c r="O12450" s="17" t="s">
        <v>46946</v>
      </c>
      <c r="P12450" s="17" t="s">
        <v>25303</v>
      </c>
      <c r="Q12450" s="17"/>
      <c r="R12450" s="25" t="str">
        <f>HYPERLINK("https://ictv.global/taxonomy/taxondetails?taxnode_id=202309654","Betapaprhavirus sylvina")</f>
        <v>Betapaprhavirus sylvina</v>
      </c>
      <c r="S12450" s="18" t="s">
        <v>30</v>
      </c>
      <c r="T12450" s="18" t="s">
        <v>25308</v>
      </c>
      <c r="U12450" s="18" t="s">
        <v>25309</v>
      </c>
      <c r="V12450" s="18" t="s">
        <v>25310</v>
      </c>
      <c r="W12450" s="18" t="s">
        <v>25311</v>
      </c>
      <c r="X12450" s="18" t="s">
        <v>35</v>
      </c>
      <c r="Y12450" s="18" t="s">
        <v>23964</v>
      </c>
      <c r="Z12450" s="18" t="s">
        <v>10790</v>
      </c>
      <c r="AA12450" s="21" t="str">
        <f>HYPERLINK("https://www.ncbi.nlm.nih.gov/nuccore/MT153466","NCBI Nucleotide")</f>
        <v>NCBI Nucleotide</v>
      </c>
    </row>
    <row r="12451" spans="1:27" x14ac:dyDescent="0.35">
      <c r="A12451">
        <v>1011013</v>
      </c>
      <c r="B12451">
        <v>11729</v>
      </c>
      <c r="C12451">
        <v>1</v>
      </c>
      <c r="D12451" s="17" t="s">
        <v>17166</v>
      </c>
      <c r="E12451" s="17"/>
      <c r="F12451" s="17" t="s">
        <v>17246</v>
      </c>
      <c r="G12451" s="17"/>
      <c r="H12451" s="17" t="s">
        <v>23950</v>
      </c>
      <c r="I12451" s="17" t="s">
        <v>23956</v>
      </c>
      <c r="J12451" s="17" t="s">
        <v>24017</v>
      </c>
      <c r="K12451" s="17"/>
      <c r="L12451" s="17" t="s">
        <v>24262</v>
      </c>
      <c r="M12451" s="17"/>
      <c r="N12451" s="17" t="s">
        <v>25249</v>
      </c>
      <c r="O12451" s="17" t="s">
        <v>46946</v>
      </c>
      <c r="P12451" s="17" t="s">
        <v>25312</v>
      </c>
      <c r="Q12451" s="17"/>
      <c r="R12451" s="25" t="str">
        <f>HYPERLINK("https://ictv.global/taxonomy/taxondetails?taxnode_id=202309656","Betaricinrhavirus chimay")</f>
        <v>Betaricinrhavirus chimay</v>
      </c>
      <c r="S12451" s="18" t="s">
        <v>30</v>
      </c>
      <c r="T12451" s="18" t="s">
        <v>25313</v>
      </c>
      <c r="U12451" s="18" t="s">
        <v>20115</v>
      </c>
      <c r="V12451" s="18" t="s">
        <v>25314</v>
      </c>
      <c r="W12451" s="18" t="s">
        <v>25315</v>
      </c>
      <c r="X12451" s="18" t="s">
        <v>35</v>
      </c>
      <c r="Y12451" s="18" t="s">
        <v>23964</v>
      </c>
      <c r="Z12451" s="18" t="s">
        <v>10790</v>
      </c>
      <c r="AA12451" s="21" t="str">
        <f>HYPERLINK("https://www.ncbi.nlm.nih.gov/nuccore/MF975531","NCBI Nucleotide")</f>
        <v>NCBI Nucleotide</v>
      </c>
    </row>
    <row r="12452" spans="1:27" x14ac:dyDescent="0.35">
      <c r="A12452">
        <v>1027646</v>
      </c>
      <c r="B12452">
        <v>11730</v>
      </c>
      <c r="C12452">
        <v>1</v>
      </c>
      <c r="D12452" s="17" t="s">
        <v>17166</v>
      </c>
      <c r="E12452" s="17"/>
      <c r="F12452" s="17" t="s">
        <v>17246</v>
      </c>
      <c r="G12452" s="17"/>
      <c r="H12452" s="17" t="s">
        <v>23950</v>
      </c>
      <c r="I12452" s="17" t="s">
        <v>23956</v>
      </c>
      <c r="J12452" s="17" t="s">
        <v>24017</v>
      </c>
      <c r="K12452" s="17"/>
      <c r="L12452" s="17" t="s">
        <v>24262</v>
      </c>
      <c r="M12452" s="17"/>
      <c r="N12452" s="17" t="s">
        <v>25249</v>
      </c>
      <c r="O12452" s="17" t="s">
        <v>46946</v>
      </c>
      <c r="P12452" s="17" t="s">
        <v>25312</v>
      </c>
      <c r="Q12452" s="17"/>
      <c r="R12452" s="25" t="str">
        <f>HYPERLINK("https://ictv.global/taxonomy/taxondetails?taxnode_id=202318552","Betaricinrhavirus mudanjiang")</f>
        <v>Betaricinrhavirus mudanjiang</v>
      </c>
      <c r="S12452" s="18" t="s">
        <v>30</v>
      </c>
      <c r="T12452" s="18" t="s">
        <v>46958</v>
      </c>
      <c r="U12452" s="18" t="s">
        <v>46959</v>
      </c>
      <c r="V12452" s="18" t="s">
        <v>46650</v>
      </c>
      <c r="W12452" s="18" t="s">
        <v>46960</v>
      </c>
      <c r="X12452" s="18" t="s">
        <v>35</v>
      </c>
      <c r="Y12452" s="18" t="s">
        <v>23964</v>
      </c>
      <c r="Z12452" s="18" t="s">
        <v>17413</v>
      </c>
      <c r="AA12452" s="21" t="str">
        <f>HYPERLINK("https://www.ncbi.nlm.nih.gov/nuccore/ON746525","NCBI Nucleotide")</f>
        <v>NCBI Nucleotide</v>
      </c>
    </row>
    <row r="12453" spans="1:27" x14ac:dyDescent="0.35">
      <c r="A12453">
        <v>1011014</v>
      </c>
      <c r="B12453">
        <v>11731</v>
      </c>
      <c r="C12453">
        <v>1</v>
      </c>
      <c r="D12453" s="17" t="s">
        <v>17166</v>
      </c>
      <c r="E12453" s="17"/>
      <c r="F12453" s="17" t="s">
        <v>17246</v>
      </c>
      <c r="G12453" s="17"/>
      <c r="H12453" s="17" t="s">
        <v>23950</v>
      </c>
      <c r="I12453" s="17" t="s">
        <v>23956</v>
      </c>
      <c r="J12453" s="17" t="s">
        <v>24017</v>
      </c>
      <c r="K12453" s="17"/>
      <c r="L12453" s="17" t="s">
        <v>24262</v>
      </c>
      <c r="M12453" s="17"/>
      <c r="N12453" s="17" t="s">
        <v>25249</v>
      </c>
      <c r="O12453" s="17" t="s">
        <v>46946</v>
      </c>
      <c r="P12453" s="17" t="s">
        <v>25312</v>
      </c>
      <c r="Q12453" s="17"/>
      <c r="R12453" s="25" t="str">
        <f>HYPERLINK("https://ictv.global/taxonomy/taxondetails?taxnode_id=202309657","Betaricinrhavirus scapularis")</f>
        <v>Betaricinrhavirus scapularis</v>
      </c>
      <c r="S12453" s="18" t="s">
        <v>30</v>
      </c>
      <c r="T12453" s="18" t="s">
        <v>25316</v>
      </c>
      <c r="U12453" s="18" t="s">
        <v>25317</v>
      </c>
      <c r="V12453" s="18" t="s">
        <v>25318</v>
      </c>
      <c r="W12453" s="18" t="s">
        <v>25319</v>
      </c>
      <c r="X12453" s="18" t="s">
        <v>35</v>
      </c>
      <c r="Y12453" s="18" t="s">
        <v>23964</v>
      </c>
      <c r="Z12453" s="18" t="s">
        <v>10790</v>
      </c>
      <c r="AA12453" s="21" t="str">
        <f>HYPERLINK("https://www.ncbi.nlm.nih.gov/nuccore/MF360790","NCBI Nucleotide")</f>
        <v>NCBI Nucleotide</v>
      </c>
    </row>
    <row r="12454" spans="1:27" x14ac:dyDescent="0.35">
      <c r="A12454">
        <v>1027647</v>
      </c>
      <c r="B12454">
        <v>11732</v>
      </c>
      <c r="C12454">
        <v>1</v>
      </c>
      <c r="D12454" s="17" t="s">
        <v>17166</v>
      </c>
      <c r="E12454" s="17"/>
      <c r="F12454" s="17" t="s">
        <v>17246</v>
      </c>
      <c r="G12454" s="17"/>
      <c r="H12454" s="17" t="s">
        <v>23950</v>
      </c>
      <c r="I12454" s="17" t="s">
        <v>23956</v>
      </c>
      <c r="J12454" s="17" t="s">
        <v>24017</v>
      </c>
      <c r="K12454" s="17"/>
      <c r="L12454" s="17" t="s">
        <v>24262</v>
      </c>
      <c r="M12454" s="17"/>
      <c r="N12454" s="17" t="s">
        <v>25249</v>
      </c>
      <c r="O12454" s="17" t="s">
        <v>46946</v>
      </c>
      <c r="P12454" s="17" t="s">
        <v>25312</v>
      </c>
      <c r="Q12454" s="17"/>
      <c r="R12454" s="25" t="str">
        <f>HYPERLINK("https://ictv.global/taxonomy/taxondetails?taxnode_id=202318553","Betaricinrhavirus tongren")</f>
        <v>Betaricinrhavirus tongren</v>
      </c>
      <c r="S12454" s="18" t="s">
        <v>30</v>
      </c>
      <c r="T12454" s="18" t="s">
        <v>46961</v>
      </c>
      <c r="U12454" s="18" t="s">
        <v>46962</v>
      </c>
      <c r="V12454" s="18" t="s">
        <v>46630</v>
      </c>
      <c r="W12454" s="18" t="s">
        <v>46963</v>
      </c>
      <c r="X12454" s="18" t="s">
        <v>35</v>
      </c>
      <c r="Y12454" s="18" t="s">
        <v>23964</v>
      </c>
      <c r="Z12454" s="18" t="s">
        <v>17413</v>
      </c>
      <c r="AA12454" s="21" t="str">
        <f>HYPERLINK("https://www.ncbi.nlm.nih.gov/nuccore/ON746523","NCBI Nucleotide")</f>
        <v>NCBI Nucleotide</v>
      </c>
    </row>
    <row r="12455" spans="1:27" x14ac:dyDescent="0.35">
      <c r="A12455">
        <v>1027648</v>
      </c>
      <c r="B12455">
        <v>11733</v>
      </c>
      <c r="C12455">
        <v>1</v>
      </c>
      <c r="D12455" s="17" t="s">
        <v>17166</v>
      </c>
      <c r="E12455" s="17"/>
      <c r="F12455" s="17" t="s">
        <v>17246</v>
      </c>
      <c r="G12455" s="17"/>
      <c r="H12455" s="17" t="s">
        <v>23950</v>
      </c>
      <c r="I12455" s="17" t="s">
        <v>23956</v>
      </c>
      <c r="J12455" s="17" t="s">
        <v>24017</v>
      </c>
      <c r="K12455" s="17"/>
      <c r="L12455" s="17" t="s">
        <v>24262</v>
      </c>
      <c r="M12455" s="17"/>
      <c r="N12455" s="17" t="s">
        <v>25249</v>
      </c>
      <c r="O12455" s="17" t="s">
        <v>46946</v>
      </c>
      <c r="P12455" s="17" t="s">
        <v>25312</v>
      </c>
      <c r="Q12455" s="17"/>
      <c r="R12455" s="25" t="str">
        <f>HYPERLINK("https://ictv.global/taxonomy/taxondetails?taxnode_id=202318554","Betaricinrhavirus yanbian")</f>
        <v>Betaricinrhavirus yanbian</v>
      </c>
      <c r="S12455" s="18" t="s">
        <v>30</v>
      </c>
      <c r="T12455" s="18" t="s">
        <v>46964</v>
      </c>
      <c r="U12455" s="18" t="s">
        <v>46965</v>
      </c>
      <c r="V12455" s="18" t="s">
        <v>46630</v>
      </c>
      <c r="W12455" s="18" t="s">
        <v>46966</v>
      </c>
      <c r="X12455" s="18" t="s">
        <v>35</v>
      </c>
      <c r="Y12455" s="18" t="s">
        <v>23964</v>
      </c>
      <c r="Z12455" s="18" t="s">
        <v>17413</v>
      </c>
      <c r="AA12455" s="21" t="str">
        <f>HYPERLINK("https://www.ncbi.nlm.nih.gov/nuccore/ON746524","NCBI Nucleotide")</f>
        <v>NCBI Nucleotide</v>
      </c>
    </row>
    <row r="12456" spans="1:27" x14ac:dyDescent="0.35">
      <c r="A12456">
        <v>1027588</v>
      </c>
      <c r="B12456">
        <v>11734</v>
      </c>
      <c r="C12456">
        <v>1</v>
      </c>
      <c r="D12456" s="17" t="s">
        <v>17166</v>
      </c>
      <c r="E12456" s="17"/>
      <c r="F12456" s="17" t="s">
        <v>17246</v>
      </c>
      <c r="G12456" s="17"/>
      <c r="H12456" s="17" t="s">
        <v>23950</v>
      </c>
      <c r="I12456" s="17" t="s">
        <v>23956</v>
      </c>
      <c r="J12456" s="17" t="s">
        <v>24017</v>
      </c>
      <c r="K12456" s="17"/>
      <c r="L12456" s="17" t="s">
        <v>24262</v>
      </c>
      <c r="M12456" s="17"/>
      <c r="N12456" s="17" t="s">
        <v>25249</v>
      </c>
      <c r="O12456" s="17" t="s">
        <v>46946</v>
      </c>
      <c r="P12456" s="17" t="s">
        <v>46967</v>
      </c>
      <c r="Q12456" s="17"/>
      <c r="R12456" s="25" t="str">
        <f>HYPERLINK("https://ictv.global/taxonomy/taxondetails?taxnode_id=202318538","Gammahymrhavirus cerana")</f>
        <v>Gammahymrhavirus cerana</v>
      </c>
      <c r="S12456" s="18" t="s">
        <v>30</v>
      </c>
      <c r="T12456" s="18" t="s">
        <v>46968</v>
      </c>
      <c r="U12456" s="18" t="s">
        <v>46969</v>
      </c>
      <c r="V12456" s="18" t="s">
        <v>46970</v>
      </c>
      <c r="W12456" s="18" t="s">
        <v>46971</v>
      </c>
      <c r="X12456" s="18" t="s">
        <v>35</v>
      </c>
      <c r="Y12456" s="18" t="s">
        <v>23964</v>
      </c>
      <c r="Z12456" s="18" t="s">
        <v>17413</v>
      </c>
      <c r="AA12456" s="21" t="str">
        <f>HYPERLINK("https://www.ncbi.nlm.nih.gov/nuccore/MZ822106","NCBI Nucleotide")</f>
        <v>NCBI Nucleotide</v>
      </c>
    </row>
    <row r="12457" spans="1:27" x14ac:dyDescent="0.35">
      <c r="A12457">
        <v>1027589</v>
      </c>
      <c r="B12457">
        <v>11735</v>
      </c>
      <c r="C12457">
        <v>1</v>
      </c>
      <c r="D12457" s="17" t="s">
        <v>17166</v>
      </c>
      <c r="E12457" s="17"/>
      <c r="F12457" s="17" t="s">
        <v>17246</v>
      </c>
      <c r="G12457" s="17"/>
      <c r="H12457" s="17" t="s">
        <v>23950</v>
      </c>
      <c r="I12457" s="17" t="s">
        <v>23956</v>
      </c>
      <c r="J12457" s="17" t="s">
        <v>24017</v>
      </c>
      <c r="K12457" s="17"/>
      <c r="L12457" s="17" t="s">
        <v>24262</v>
      </c>
      <c r="M12457" s="17"/>
      <c r="N12457" s="17" t="s">
        <v>25249</v>
      </c>
      <c r="O12457" s="17" t="s">
        <v>46946</v>
      </c>
      <c r="P12457" s="17" t="s">
        <v>46967</v>
      </c>
      <c r="Q12457" s="17"/>
      <c r="R12457" s="25" t="str">
        <f>HYPERLINK("https://ictv.global/taxonomy/taxondetails?taxnode_id=202318539","Gammahymrhavirus longicaudata")</f>
        <v>Gammahymrhavirus longicaudata</v>
      </c>
      <c r="S12457" s="18" t="s">
        <v>30</v>
      </c>
      <c r="T12457" s="18" t="s">
        <v>46972</v>
      </c>
      <c r="U12457" s="18" t="s">
        <v>46973</v>
      </c>
      <c r="V12457" s="18" t="s">
        <v>46974</v>
      </c>
      <c r="W12457" s="18" t="s">
        <v>46975</v>
      </c>
      <c r="X12457" s="18" t="s">
        <v>35</v>
      </c>
      <c r="Y12457" s="18" t="s">
        <v>23964</v>
      </c>
      <c r="Z12457" s="18" t="s">
        <v>17413</v>
      </c>
      <c r="AA12457" s="21" t="str">
        <f>HYPERLINK("https://www.ncbi.nlm.nih.gov/nuccore/KP735609","NCBI Nucleotide")</f>
        <v>NCBI Nucleotide</v>
      </c>
    </row>
    <row r="12458" spans="1:27" x14ac:dyDescent="0.35">
      <c r="A12458">
        <v>1027590</v>
      </c>
      <c r="B12458">
        <v>11736</v>
      </c>
      <c r="C12458">
        <v>1</v>
      </c>
      <c r="D12458" s="17" t="s">
        <v>17166</v>
      </c>
      <c r="E12458" s="17"/>
      <c r="F12458" s="17" t="s">
        <v>17246</v>
      </c>
      <c r="G12458" s="17"/>
      <c r="H12458" s="17" t="s">
        <v>23950</v>
      </c>
      <c r="I12458" s="17" t="s">
        <v>23956</v>
      </c>
      <c r="J12458" s="17" t="s">
        <v>24017</v>
      </c>
      <c r="K12458" s="17"/>
      <c r="L12458" s="17" t="s">
        <v>24262</v>
      </c>
      <c r="M12458" s="17"/>
      <c r="N12458" s="17" t="s">
        <v>25249</v>
      </c>
      <c r="O12458" s="17" t="s">
        <v>46946</v>
      </c>
      <c r="P12458" s="17" t="s">
        <v>46967</v>
      </c>
      <c r="Q12458" s="17"/>
      <c r="R12458" s="25" t="str">
        <f>HYPERLINK("https://ictv.global/taxonomy/taxondetails?taxnode_id=202318537","Gammahymrhavirus mellifera")</f>
        <v>Gammahymrhavirus mellifera</v>
      </c>
      <c r="S12458" s="18" t="s">
        <v>30</v>
      </c>
      <c r="T12458" s="18" t="s">
        <v>46976</v>
      </c>
      <c r="U12458" s="18" t="s">
        <v>46977</v>
      </c>
      <c r="V12458" s="18" t="s">
        <v>46978</v>
      </c>
      <c r="W12458" s="18" t="s">
        <v>46979</v>
      </c>
      <c r="X12458" s="18" t="s">
        <v>35</v>
      </c>
      <c r="Y12458" s="18" t="s">
        <v>23964</v>
      </c>
      <c r="Z12458" s="18" t="s">
        <v>17413</v>
      </c>
      <c r="AA12458" s="21" t="str">
        <f>HYPERLINK("https://www.ncbi.nlm.nih.gov/nuccore/MZ822105","NCBI Nucleotide")</f>
        <v>NCBI Nucleotide</v>
      </c>
    </row>
    <row r="12459" spans="1:27" x14ac:dyDescent="0.35">
      <c r="A12459">
        <v>1027592</v>
      </c>
      <c r="B12459">
        <v>11737</v>
      </c>
      <c r="C12459">
        <v>1</v>
      </c>
      <c r="D12459" s="17" t="s">
        <v>17166</v>
      </c>
      <c r="E12459" s="17"/>
      <c r="F12459" s="17" t="s">
        <v>17246</v>
      </c>
      <c r="G12459" s="17"/>
      <c r="H12459" s="17" t="s">
        <v>23950</v>
      </c>
      <c r="I12459" s="17" t="s">
        <v>23956</v>
      </c>
      <c r="J12459" s="17" t="s">
        <v>24017</v>
      </c>
      <c r="K12459" s="17"/>
      <c r="L12459" s="17" t="s">
        <v>24262</v>
      </c>
      <c r="M12459" s="17"/>
      <c r="N12459" s="17" t="s">
        <v>25249</v>
      </c>
      <c r="O12459" s="17" t="s">
        <v>46946</v>
      </c>
      <c r="P12459" s="17" t="s">
        <v>46980</v>
      </c>
      <c r="Q12459" s="17"/>
      <c r="R12459" s="25" t="str">
        <f>HYPERLINK("https://ictv.global/taxonomy/taxondetails?taxnode_id=202318540","Gammaricinrhavirus fuyun")</f>
        <v>Gammaricinrhavirus fuyun</v>
      </c>
      <c r="S12459" s="18" t="s">
        <v>30</v>
      </c>
      <c r="T12459" s="18" t="s">
        <v>46981</v>
      </c>
      <c r="U12459" s="18" t="s">
        <v>46982</v>
      </c>
      <c r="V12459" s="18" t="s">
        <v>46983</v>
      </c>
      <c r="W12459" s="18" t="s">
        <v>46984</v>
      </c>
      <c r="X12459" s="18" t="s">
        <v>35</v>
      </c>
      <c r="Y12459" s="18" t="s">
        <v>23964</v>
      </c>
      <c r="Z12459" s="18" t="s">
        <v>17413</v>
      </c>
      <c r="AA12459" s="21" t="str">
        <f>HYPERLINK("https://www.ncbi.nlm.nih.gov/nuccore/OP313012","NCBI Nucleotide")</f>
        <v>NCBI Nucleotide</v>
      </c>
    </row>
    <row r="12460" spans="1:27" x14ac:dyDescent="0.35">
      <c r="A12460">
        <v>1027593</v>
      </c>
      <c r="B12460">
        <v>11738</v>
      </c>
      <c r="C12460">
        <v>1</v>
      </c>
      <c r="D12460" s="17" t="s">
        <v>17166</v>
      </c>
      <c r="E12460" s="17"/>
      <c r="F12460" s="17" t="s">
        <v>17246</v>
      </c>
      <c r="G12460" s="17"/>
      <c r="H12460" s="17" t="s">
        <v>23950</v>
      </c>
      <c r="I12460" s="17" t="s">
        <v>23956</v>
      </c>
      <c r="J12460" s="17" t="s">
        <v>24017</v>
      </c>
      <c r="K12460" s="17"/>
      <c r="L12460" s="17" t="s">
        <v>24262</v>
      </c>
      <c r="M12460" s="17"/>
      <c r="N12460" s="17" t="s">
        <v>25249</v>
      </c>
      <c r="O12460" s="17" t="s">
        <v>46946</v>
      </c>
      <c r="P12460" s="17" t="s">
        <v>46980</v>
      </c>
      <c r="Q12460" s="17"/>
      <c r="R12460" s="25" t="str">
        <f>HYPERLINK("https://ictv.global/taxonomy/taxondetails?taxnode_id=202318541","Gammaricinrhavirus tacheng")</f>
        <v>Gammaricinrhavirus tacheng</v>
      </c>
      <c r="S12460" s="18" t="s">
        <v>30</v>
      </c>
      <c r="T12460" s="18" t="s">
        <v>46985</v>
      </c>
      <c r="U12460" s="18" t="s">
        <v>46986</v>
      </c>
      <c r="V12460" s="18" t="s">
        <v>46987</v>
      </c>
      <c r="W12460" s="18" t="s">
        <v>46988</v>
      </c>
      <c r="X12460" s="18" t="s">
        <v>35</v>
      </c>
      <c r="Y12460" s="18" t="s">
        <v>23964</v>
      </c>
      <c r="Z12460" s="18" t="s">
        <v>17413</v>
      </c>
      <c r="AA12460" s="21" t="str">
        <f>HYPERLINK("https://www.ncbi.nlm.nih.gov/nuccore/KM817642","NCBI Nucleotide")</f>
        <v>NCBI Nucleotide</v>
      </c>
    </row>
    <row r="12461" spans="1:27" x14ac:dyDescent="0.35">
      <c r="A12461">
        <v>1027716</v>
      </c>
      <c r="B12461">
        <v>11739</v>
      </c>
      <c r="C12461">
        <v>1</v>
      </c>
      <c r="D12461" s="17" t="s">
        <v>17166</v>
      </c>
      <c r="E12461" s="17"/>
      <c r="F12461" s="17" t="s">
        <v>17246</v>
      </c>
      <c r="G12461" s="17"/>
      <c r="H12461" s="17" t="s">
        <v>23950</v>
      </c>
      <c r="I12461" s="17" t="s">
        <v>23956</v>
      </c>
      <c r="J12461" s="17" t="s">
        <v>24017</v>
      </c>
      <c r="K12461" s="17"/>
      <c r="L12461" s="17" t="s">
        <v>24262</v>
      </c>
      <c r="M12461" s="17"/>
      <c r="N12461" s="17" t="s">
        <v>25249</v>
      </c>
      <c r="O12461" s="17" t="s">
        <v>46946</v>
      </c>
      <c r="P12461" s="17" t="s">
        <v>46989</v>
      </c>
      <c r="Q12461" s="17"/>
      <c r="R12461" s="25" t="str">
        <f>HYPERLINK("https://ictv.global/taxonomy/taxondetails?taxnode_id=202318548","Primrhavirus atrato")</f>
        <v>Primrhavirus atrato</v>
      </c>
      <c r="S12461" s="18" t="s">
        <v>30</v>
      </c>
      <c r="T12461" s="18" t="s">
        <v>46990</v>
      </c>
      <c r="U12461" s="18" t="s">
        <v>46991</v>
      </c>
      <c r="V12461" s="18" t="s">
        <v>46992</v>
      </c>
      <c r="W12461" s="18" t="s">
        <v>46993</v>
      </c>
      <c r="X12461" s="18" t="s">
        <v>35</v>
      </c>
      <c r="Y12461" s="18" t="s">
        <v>23964</v>
      </c>
      <c r="Z12461" s="18" t="s">
        <v>17413</v>
      </c>
      <c r="AA12461" s="21" t="str">
        <f>HYPERLINK("https://www.ncbi.nlm.nih.gov/nuccore/MN661034","NCBI Nucleotide")</f>
        <v>NCBI Nucleotide</v>
      </c>
    </row>
    <row r="12462" spans="1:27" x14ac:dyDescent="0.35">
      <c r="A12462">
        <v>1027717</v>
      </c>
      <c r="B12462">
        <v>11740</v>
      </c>
      <c r="C12462">
        <v>1</v>
      </c>
      <c r="D12462" s="17" t="s">
        <v>17166</v>
      </c>
      <c r="E12462" s="17"/>
      <c r="F12462" s="17" t="s">
        <v>17246</v>
      </c>
      <c r="G12462" s="17"/>
      <c r="H12462" s="17" t="s">
        <v>23950</v>
      </c>
      <c r="I12462" s="17" t="s">
        <v>23956</v>
      </c>
      <c r="J12462" s="17" t="s">
        <v>24017</v>
      </c>
      <c r="K12462" s="17"/>
      <c r="L12462" s="17" t="s">
        <v>24262</v>
      </c>
      <c r="M12462" s="17"/>
      <c r="N12462" s="17" t="s">
        <v>25249</v>
      </c>
      <c r="O12462" s="17" t="s">
        <v>46946</v>
      </c>
      <c r="P12462" s="17" t="s">
        <v>46989</v>
      </c>
      <c r="Q12462" s="17"/>
      <c r="R12462" s="25" t="str">
        <f>HYPERLINK("https://ictv.global/taxonomy/taxondetails?taxnode_id=202318547","Primrhavirus gabriel")</f>
        <v>Primrhavirus gabriel</v>
      </c>
      <c r="S12462" s="18" t="s">
        <v>30</v>
      </c>
      <c r="T12462" s="18" t="s">
        <v>46994</v>
      </c>
      <c r="U12462" s="18" t="s">
        <v>46995</v>
      </c>
      <c r="V12462" s="18" t="s">
        <v>46996</v>
      </c>
      <c r="W12462" s="18" t="s">
        <v>46997</v>
      </c>
      <c r="X12462" s="18" t="s">
        <v>35</v>
      </c>
      <c r="Y12462" s="18" t="s">
        <v>23964</v>
      </c>
      <c r="Z12462" s="18" t="s">
        <v>17413</v>
      </c>
      <c r="AA12462" s="21" t="str">
        <f>HYPERLINK("https://www.ncbi.nlm.nih.gov/nuccore/BK059423","NCBI Nucleotide")</f>
        <v>NCBI Nucleotide</v>
      </c>
    </row>
    <row r="12463" spans="1:27" x14ac:dyDescent="0.35">
      <c r="A12463">
        <v>1027718</v>
      </c>
      <c r="B12463">
        <v>11741</v>
      </c>
      <c r="C12463">
        <v>1</v>
      </c>
      <c r="D12463" s="17" t="s">
        <v>17166</v>
      </c>
      <c r="E12463" s="17"/>
      <c r="F12463" s="17" t="s">
        <v>17246</v>
      </c>
      <c r="G12463" s="17"/>
      <c r="H12463" s="17" t="s">
        <v>23950</v>
      </c>
      <c r="I12463" s="17" t="s">
        <v>23956</v>
      </c>
      <c r="J12463" s="17" t="s">
        <v>24017</v>
      </c>
      <c r="K12463" s="17"/>
      <c r="L12463" s="17" t="s">
        <v>24262</v>
      </c>
      <c r="M12463" s="17"/>
      <c r="N12463" s="17" t="s">
        <v>25249</v>
      </c>
      <c r="O12463" s="17" t="s">
        <v>46946</v>
      </c>
      <c r="P12463" s="17" t="s">
        <v>46989</v>
      </c>
      <c r="Q12463" s="17"/>
      <c r="R12463" s="25" t="str">
        <f>HYPERLINK("https://ictv.global/taxonomy/taxondetails?taxnode_id=202318546","Primrhavirus primus")</f>
        <v>Primrhavirus primus</v>
      </c>
      <c r="S12463" s="18" t="s">
        <v>30</v>
      </c>
      <c r="T12463" s="18" t="s">
        <v>46998</v>
      </c>
      <c r="U12463" s="18" t="s">
        <v>46999</v>
      </c>
      <c r="V12463" s="18" t="s">
        <v>47000</v>
      </c>
      <c r="W12463" s="18" t="s">
        <v>47001</v>
      </c>
      <c r="X12463" s="18" t="s">
        <v>35</v>
      </c>
      <c r="Y12463" s="18" t="s">
        <v>23964</v>
      </c>
      <c r="Z12463" s="18" t="s">
        <v>17413</v>
      </c>
      <c r="AA12463" s="21" t="str">
        <f>HYPERLINK("https://www.ncbi.nlm.nih.gov/nuccore/MN567480","NCBI Nucleotide")</f>
        <v>NCBI Nucleotide</v>
      </c>
    </row>
    <row r="12464" spans="1:27" x14ac:dyDescent="0.35">
      <c r="A12464">
        <v>1027742</v>
      </c>
      <c r="B12464">
        <v>11742</v>
      </c>
      <c r="C12464">
        <v>1</v>
      </c>
      <c r="D12464" s="17" t="s">
        <v>17166</v>
      </c>
      <c r="E12464" s="17"/>
      <c r="F12464" s="17" t="s">
        <v>17246</v>
      </c>
      <c r="G12464" s="17"/>
      <c r="H12464" s="17" t="s">
        <v>23950</v>
      </c>
      <c r="I12464" s="17" t="s">
        <v>23956</v>
      </c>
      <c r="J12464" s="17" t="s">
        <v>24017</v>
      </c>
      <c r="K12464" s="17"/>
      <c r="L12464" s="17" t="s">
        <v>24262</v>
      </c>
      <c r="M12464" s="17"/>
      <c r="N12464" s="17" t="s">
        <v>25249</v>
      </c>
      <c r="O12464" s="17" t="s">
        <v>46946</v>
      </c>
      <c r="P12464" s="17" t="s">
        <v>47002</v>
      </c>
      <c r="Q12464" s="17"/>
      <c r="R12464" s="25" t="str">
        <f>HYPERLINK("https://ictv.global/taxonomy/taxondetails?taxnode_id=202318543","Stangrhavirus elisy")</f>
        <v>Stangrhavirus elisy</v>
      </c>
      <c r="S12464" s="18" t="s">
        <v>30</v>
      </c>
      <c r="T12464" s="18" t="s">
        <v>47003</v>
      </c>
      <c r="U12464" s="18" t="s">
        <v>47004</v>
      </c>
      <c r="V12464" s="18" t="s">
        <v>47005</v>
      </c>
      <c r="W12464" s="18" t="s">
        <v>47006</v>
      </c>
      <c r="X12464" s="18" t="s">
        <v>35</v>
      </c>
      <c r="Y12464" s="18" t="s">
        <v>23964</v>
      </c>
      <c r="Z12464" s="18" t="s">
        <v>17413</v>
      </c>
      <c r="AA12464" s="21" t="str">
        <f>HYPERLINK("https://www.ncbi.nlm.nih.gov/nuccore/MW434768","NCBI Nucleotide")</f>
        <v>NCBI Nucleotide</v>
      </c>
    </row>
    <row r="12465" spans="1:27" x14ac:dyDescent="0.35">
      <c r="A12465">
        <v>1027743</v>
      </c>
      <c r="B12465">
        <v>11743</v>
      </c>
      <c r="C12465">
        <v>1</v>
      </c>
      <c r="D12465" s="17" t="s">
        <v>17166</v>
      </c>
      <c r="E12465" s="17"/>
      <c r="F12465" s="17" t="s">
        <v>17246</v>
      </c>
      <c r="G12465" s="17"/>
      <c r="H12465" s="17" t="s">
        <v>23950</v>
      </c>
      <c r="I12465" s="17" t="s">
        <v>23956</v>
      </c>
      <c r="J12465" s="17" t="s">
        <v>24017</v>
      </c>
      <c r="K12465" s="17"/>
      <c r="L12465" s="17" t="s">
        <v>24262</v>
      </c>
      <c r="M12465" s="17"/>
      <c r="N12465" s="17" t="s">
        <v>25249</v>
      </c>
      <c r="O12465" s="17" t="s">
        <v>46946</v>
      </c>
      <c r="P12465" s="17" t="s">
        <v>47002</v>
      </c>
      <c r="Q12465" s="17"/>
      <c r="R12465" s="25" t="str">
        <f>HYPERLINK("https://ictv.global/taxonomy/taxondetails?taxnode_id=202318545","Stangrhavirus guadeloupe")</f>
        <v>Stangrhavirus guadeloupe</v>
      </c>
      <c r="S12465" s="18" t="s">
        <v>30</v>
      </c>
      <c r="T12465" s="18" t="s">
        <v>47007</v>
      </c>
      <c r="U12465" s="18" t="s">
        <v>47008</v>
      </c>
      <c r="V12465" s="18" t="s">
        <v>47009</v>
      </c>
      <c r="W12465" s="18" t="s">
        <v>47010</v>
      </c>
      <c r="X12465" s="18" t="s">
        <v>35</v>
      </c>
      <c r="Y12465" s="18" t="s">
        <v>23964</v>
      </c>
      <c r="Z12465" s="18" t="s">
        <v>17413</v>
      </c>
      <c r="AA12465" s="21" t="str">
        <f>HYPERLINK("https://www.ncbi.nlm.nih.gov/nuccore/MN013386","NCBI Nucleotide")</f>
        <v>NCBI Nucleotide</v>
      </c>
    </row>
    <row r="12466" spans="1:27" x14ac:dyDescent="0.35">
      <c r="A12466">
        <v>1027744</v>
      </c>
      <c r="B12466">
        <v>11744</v>
      </c>
      <c r="C12466">
        <v>1</v>
      </c>
      <c r="D12466" s="17" t="s">
        <v>17166</v>
      </c>
      <c r="E12466" s="17"/>
      <c r="F12466" s="17" t="s">
        <v>17246</v>
      </c>
      <c r="G12466" s="17"/>
      <c r="H12466" s="17" t="s">
        <v>23950</v>
      </c>
      <c r="I12466" s="17" t="s">
        <v>23956</v>
      </c>
      <c r="J12466" s="17" t="s">
        <v>24017</v>
      </c>
      <c r="K12466" s="17"/>
      <c r="L12466" s="17" t="s">
        <v>24262</v>
      </c>
      <c r="M12466" s="17"/>
      <c r="N12466" s="17" t="s">
        <v>25249</v>
      </c>
      <c r="O12466" s="17" t="s">
        <v>46946</v>
      </c>
      <c r="P12466" s="17" t="s">
        <v>47002</v>
      </c>
      <c r="Q12466" s="17"/>
      <c r="R12466" s="25" t="str">
        <f>HYPERLINK("https://ictv.global/taxonomy/taxondetails?taxnode_id=202318542","Stangrhavirus stang")</f>
        <v>Stangrhavirus stang</v>
      </c>
      <c r="S12466" s="18" t="s">
        <v>30</v>
      </c>
      <c r="T12466" s="18" t="s">
        <v>47011</v>
      </c>
      <c r="U12466" s="18" t="s">
        <v>47012</v>
      </c>
      <c r="V12466" s="18" t="s">
        <v>47013</v>
      </c>
      <c r="W12466" s="18" t="s">
        <v>47014</v>
      </c>
      <c r="X12466" s="18" t="s">
        <v>35</v>
      </c>
      <c r="Y12466" s="18" t="s">
        <v>23964</v>
      </c>
      <c r="Z12466" s="18" t="s">
        <v>17413</v>
      </c>
      <c r="AA12466" s="21" t="str">
        <f>HYPERLINK("https://www.ncbi.nlm.nih.gov/nuccore/MW434775","NCBI Nucleotide")</f>
        <v>NCBI Nucleotide</v>
      </c>
    </row>
    <row r="12467" spans="1:27" x14ac:dyDescent="0.35">
      <c r="A12467">
        <v>1027745</v>
      </c>
      <c r="B12467">
        <v>11745</v>
      </c>
      <c r="C12467">
        <v>1</v>
      </c>
      <c r="D12467" s="17" t="s">
        <v>17166</v>
      </c>
      <c r="E12467" s="17"/>
      <c r="F12467" s="17" t="s">
        <v>17246</v>
      </c>
      <c r="G12467" s="17"/>
      <c r="H12467" s="17" t="s">
        <v>23950</v>
      </c>
      <c r="I12467" s="17" t="s">
        <v>23956</v>
      </c>
      <c r="J12467" s="17" t="s">
        <v>24017</v>
      </c>
      <c r="K12467" s="17"/>
      <c r="L12467" s="17" t="s">
        <v>24262</v>
      </c>
      <c r="M12467" s="17"/>
      <c r="N12467" s="17" t="s">
        <v>25249</v>
      </c>
      <c r="O12467" s="17" t="s">
        <v>46946</v>
      </c>
      <c r="P12467" s="17" t="s">
        <v>47002</v>
      </c>
      <c r="Q12467" s="17"/>
      <c r="R12467" s="25" t="str">
        <f>HYPERLINK("https://ictv.global/taxonomy/taxondetails?taxnode_id=202318544","Stangrhavirus wuhan")</f>
        <v>Stangrhavirus wuhan</v>
      </c>
      <c r="S12467" s="18" t="s">
        <v>30</v>
      </c>
      <c r="T12467" s="18" t="s">
        <v>47015</v>
      </c>
      <c r="U12467" s="18" t="s">
        <v>47016</v>
      </c>
      <c r="V12467" s="18" t="s">
        <v>47017</v>
      </c>
      <c r="W12467" s="18" t="s">
        <v>47018</v>
      </c>
      <c r="X12467" s="18" t="s">
        <v>35</v>
      </c>
      <c r="Y12467" s="18" t="s">
        <v>23964</v>
      </c>
      <c r="Z12467" s="18" t="s">
        <v>17413</v>
      </c>
      <c r="AA12467" s="21" t="str">
        <f>HYPERLINK("https://www.ncbi.nlm.nih.gov/nuccore/OL700091","NCBI Nucleotide")</f>
        <v>NCBI Nucleotide</v>
      </c>
    </row>
    <row r="12468" spans="1:27" x14ac:dyDescent="0.35">
      <c r="A12468">
        <v>1027770</v>
      </c>
      <c r="B12468">
        <v>11746</v>
      </c>
      <c r="C12468">
        <v>1</v>
      </c>
      <c r="D12468" s="17" t="s">
        <v>17166</v>
      </c>
      <c r="E12468" s="17"/>
      <c r="F12468" s="17" t="s">
        <v>17246</v>
      </c>
      <c r="G12468" s="17"/>
      <c r="H12468" s="17" t="s">
        <v>23950</v>
      </c>
      <c r="I12468" s="17" t="s">
        <v>23956</v>
      </c>
      <c r="J12468" s="17" t="s">
        <v>24017</v>
      </c>
      <c r="K12468" s="17"/>
      <c r="L12468" s="17" t="s">
        <v>24262</v>
      </c>
      <c r="M12468" s="17"/>
      <c r="N12468" s="17" t="s">
        <v>25249</v>
      </c>
      <c r="O12468" s="17" t="s">
        <v>26507</v>
      </c>
      <c r="P12468" s="17" t="s">
        <v>47019</v>
      </c>
      <c r="Q12468" s="17"/>
      <c r="R12468" s="25" t="str">
        <f>HYPERLINK("https://ictv.global/taxonomy/taxondetails?taxnode_id=202317751","Margarhavirus chemarfal")</f>
        <v>Margarhavirus chemarfal</v>
      </c>
      <c r="S12468" s="18" t="s">
        <v>30</v>
      </c>
      <c r="T12468" s="18" t="s">
        <v>47020</v>
      </c>
      <c r="U12468" s="18" t="s">
        <v>47021</v>
      </c>
      <c r="V12468" s="18" t="s">
        <v>47022</v>
      </c>
      <c r="W12468" s="18" t="s">
        <v>47023</v>
      </c>
      <c r="X12468" s="18" t="s">
        <v>35</v>
      </c>
      <c r="Y12468" s="18" t="s">
        <v>23964</v>
      </c>
      <c r="Z12468" s="18" t="s">
        <v>10790</v>
      </c>
      <c r="AA12468" s="21" t="str">
        <f>HYPERLINK("https://www.ncbi.nlm.nih.gov/nuccore/OQ368744","NCBI Nucleotide")</f>
        <v>NCBI Nucleotide</v>
      </c>
    </row>
    <row r="12469" spans="1:27" x14ac:dyDescent="0.35">
      <c r="A12469">
        <v>1010995</v>
      </c>
      <c r="B12469">
        <v>11747</v>
      </c>
      <c r="C12469">
        <v>1</v>
      </c>
      <c r="D12469" s="17" t="s">
        <v>17166</v>
      </c>
      <c r="E12469" s="17"/>
      <c r="F12469" s="17" t="s">
        <v>17246</v>
      </c>
      <c r="G12469" s="17"/>
      <c r="H12469" s="17" t="s">
        <v>23950</v>
      </c>
      <c r="I12469" s="17" t="s">
        <v>23956</v>
      </c>
      <c r="J12469" s="17" t="s">
        <v>24017</v>
      </c>
      <c r="K12469" s="17"/>
      <c r="L12469" s="17" t="s">
        <v>24262</v>
      </c>
      <c r="M12469" s="17"/>
      <c r="N12469" s="17" t="s">
        <v>25249</v>
      </c>
      <c r="O12469" s="17" t="s">
        <v>26507</v>
      </c>
      <c r="P12469" s="17" t="s">
        <v>26508</v>
      </c>
      <c r="Q12469" s="17"/>
      <c r="R12469" s="25" t="str">
        <f>HYPERLINK("https://ictv.global/taxonomy/taxondetails?taxnode_id=202301737","Novirhabdovirus hirame")</f>
        <v>Novirhabdovirus hirame</v>
      </c>
      <c r="S12469" s="18" t="s">
        <v>30</v>
      </c>
      <c r="T12469" s="18" t="s">
        <v>26509</v>
      </c>
      <c r="U12469" s="18" t="s">
        <v>50968</v>
      </c>
      <c r="V12469" s="18" t="s">
        <v>26510</v>
      </c>
      <c r="W12469" s="18" t="s">
        <v>26511</v>
      </c>
      <c r="X12469" s="18" t="s">
        <v>42</v>
      </c>
      <c r="Y12469" s="18" t="s">
        <v>23964</v>
      </c>
      <c r="Z12469" s="18" t="s">
        <v>166</v>
      </c>
      <c r="AA12469" s="21" t="str">
        <f>HYPERLINK("https://www.ncbi.nlm.nih.gov/nuccore/AF104985","NCBI Nucleotide")</f>
        <v>NCBI Nucleotide</v>
      </c>
    </row>
    <row r="12470" spans="1:27" x14ac:dyDescent="0.35">
      <c r="A12470">
        <v>1010996</v>
      </c>
      <c r="B12470">
        <v>11748</v>
      </c>
      <c r="C12470">
        <v>1</v>
      </c>
      <c r="D12470" s="17" t="s">
        <v>17166</v>
      </c>
      <c r="E12470" s="17"/>
      <c r="F12470" s="17" t="s">
        <v>17246</v>
      </c>
      <c r="G12470" s="17"/>
      <c r="H12470" s="17" t="s">
        <v>23950</v>
      </c>
      <c r="I12470" s="17" t="s">
        <v>23956</v>
      </c>
      <c r="J12470" s="17" t="s">
        <v>24017</v>
      </c>
      <c r="K12470" s="17"/>
      <c r="L12470" s="17" t="s">
        <v>24262</v>
      </c>
      <c r="M12470" s="17"/>
      <c r="N12470" s="17" t="s">
        <v>25249</v>
      </c>
      <c r="O12470" s="17" t="s">
        <v>26507</v>
      </c>
      <c r="P12470" s="17" t="s">
        <v>26508</v>
      </c>
      <c r="Q12470" s="17"/>
      <c r="R12470" s="25" t="str">
        <f>HYPERLINK("https://ictv.global/taxonomy/taxondetails?taxnode_id=202301738","Novirhabdovirus piscine")</f>
        <v>Novirhabdovirus piscine</v>
      </c>
      <c r="S12470" s="18" t="s">
        <v>30</v>
      </c>
      <c r="T12470" s="18" t="s">
        <v>26512</v>
      </c>
      <c r="U12470" s="18" t="s">
        <v>26513</v>
      </c>
      <c r="V12470" s="18" t="s">
        <v>26514</v>
      </c>
      <c r="W12470" s="18" t="s">
        <v>26515</v>
      </c>
      <c r="X12470" s="18" t="s">
        <v>42</v>
      </c>
      <c r="Y12470" s="18" t="s">
        <v>23964</v>
      </c>
      <c r="Z12470" s="18" t="s">
        <v>166</v>
      </c>
      <c r="AA12470" s="21" t="str">
        <f>HYPERLINK("https://www.ncbi.nlm.nih.gov/nuccore/Y18263","NCBI Nucleotide")</f>
        <v>NCBI Nucleotide</v>
      </c>
    </row>
    <row r="12471" spans="1:27" x14ac:dyDescent="0.35">
      <c r="A12471">
        <v>1010997</v>
      </c>
      <c r="B12471">
        <v>11749</v>
      </c>
      <c r="C12471">
        <v>1</v>
      </c>
      <c r="D12471" s="17" t="s">
        <v>17166</v>
      </c>
      <c r="E12471" s="17"/>
      <c r="F12471" s="17" t="s">
        <v>17246</v>
      </c>
      <c r="G12471" s="17"/>
      <c r="H12471" s="17" t="s">
        <v>23950</v>
      </c>
      <c r="I12471" s="17" t="s">
        <v>23956</v>
      </c>
      <c r="J12471" s="17" t="s">
        <v>24017</v>
      </c>
      <c r="K12471" s="17"/>
      <c r="L12471" s="17" t="s">
        <v>24262</v>
      </c>
      <c r="M12471" s="17"/>
      <c r="N12471" s="17" t="s">
        <v>25249</v>
      </c>
      <c r="O12471" s="17" t="s">
        <v>26507</v>
      </c>
      <c r="P12471" s="17" t="s">
        <v>26508</v>
      </c>
      <c r="Q12471" s="17"/>
      <c r="R12471" s="25" t="str">
        <f>HYPERLINK("https://ictv.global/taxonomy/taxondetails?taxnode_id=202301739","Novirhabdovirus salmonid")</f>
        <v>Novirhabdovirus salmonid</v>
      </c>
      <c r="S12471" s="18" t="s">
        <v>30</v>
      </c>
      <c r="T12471" s="18" t="s">
        <v>26516</v>
      </c>
      <c r="U12471" s="18" t="s">
        <v>26517</v>
      </c>
      <c r="V12471" s="18" t="s">
        <v>26518</v>
      </c>
      <c r="W12471" s="18" t="s">
        <v>26519</v>
      </c>
      <c r="X12471" s="18" t="s">
        <v>42</v>
      </c>
      <c r="Y12471" s="18" t="s">
        <v>23964</v>
      </c>
      <c r="Z12471" s="18" t="s">
        <v>166</v>
      </c>
      <c r="AA12471" s="21" t="str">
        <f>HYPERLINK("https://www.ncbi.nlm.nih.gov/nuccore/L40883","NCBI Nucleotide")</f>
        <v>NCBI Nucleotide</v>
      </c>
    </row>
    <row r="12472" spans="1:27" x14ac:dyDescent="0.35">
      <c r="A12472">
        <v>1010998</v>
      </c>
      <c r="B12472">
        <v>11750</v>
      </c>
      <c r="C12472">
        <v>1</v>
      </c>
      <c r="D12472" s="17" t="s">
        <v>17166</v>
      </c>
      <c r="E12472" s="17"/>
      <c r="F12472" s="17" t="s">
        <v>17246</v>
      </c>
      <c r="G12472" s="17"/>
      <c r="H12472" s="17" t="s">
        <v>23950</v>
      </c>
      <c r="I12472" s="17" t="s">
        <v>23956</v>
      </c>
      <c r="J12472" s="17" t="s">
        <v>24017</v>
      </c>
      <c r="K12472" s="17"/>
      <c r="L12472" s="17" t="s">
        <v>24262</v>
      </c>
      <c r="M12472" s="17"/>
      <c r="N12472" s="17" t="s">
        <v>25249</v>
      </c>
      <c r="O12472" s="17" t="s">
        <v>26507</v>
      </c>
      <c r="P12472" s="17" t="s">
        <v>26508</v>
      </c>
      <c r="Q12472" s="17"/>
      <c r="R12472" s="25" t="str">
        <f>HYPERLINK("https://ictv.global/taxonomy/taxondetails?taxnode_id=202301740","Novirhabdovirus snakehead")</f>
        <v>Novirhabdovirus snakehead</v>
      </c>
      <c r="S12472" s="18" t="s">
        <v>30</v>
      </c>
      <c r="T12472" s="18" t="s">
        <v>26520</v>
      </c>
      <c r="U12472" s="18" t="s">
        <v>26521</v>
      </c>
      <c r="V12472" s="18"/>
      <c r="W12472" s="18" t="s">
        <v>26522</v>
      </c>
      <c r="X12472" s="18" t="s">
        <v>42</v>
      </c>
      <c r="Y12472" s="18" t="s">
        <v>23964</v>
      </c>
      <c r="Z12472" s="18" t="s">
        <v>166</v>
      </c>
      <c r="AA12472" s="21" t="str">
        <f>HYPERLINK("https://www.ncbi.nlm.nih.gov/nuccore/AF147498","NCBI Nucleotide")</f>
        <v>NCBI Nucleotide</v>
      </c>
    </row>
    <row r="12473" spans="1:27" x14ac:dyDescent="0.35">
      <c r="A12473">
        <v>1027723</v>
      </c>
      <c r="B12473">
        <v>11751</v>
      </c>
      <c r="C12473">
        <v>1</v>
      </c>
      <c r="D12473" s="17" t="s">
        <v>17166</v>
      </c>
      <c r="E12473" s="17"/>
      <c r="F12473" s="17" t="s">
        <v>17246</v>
      </c>
      <c r="G12473" s="17"/>
      <c r="H12473" s="17" t="s">
        <v>23950</v>
      </c>
      <c r="I12473" s="17" t="s">
        <v>23956</v>
      </c>
      <c r="J12473" s="17" t="s">
        <v>24017</v>
      </c>
      <c r="K12473" s="17"/>
      <c r="L12473" s="17" t="s">
        <v>24262</v>
      </c>
      <c r="M12473" s="17"/>
      <c r="N12473" s="17" t="s">
        <v>25249</v>
      </c>
      <c r="O12473" s="17"/>
      <c r="P12473" s="17" t="s">
        <v>47024</v>
      </c>
      <c r="Q12473" s="17"/>
      <c r="R12473" s="25" t="str">
        <f>HYPERLINK("https://ictv.global/taxonomy/taxondetails?taxnode_id=202318556","Platrhavirus microphallus")</f>
        <v>Platrhavirus microphallus</v>
      </c>
      <c r="S12473" s="18" t="s">
        <v>30</v>
      </c>
      <c r="T12473" s="18" t="s">
        <v>47025</v>
      </c>
      <c r="U12473" s="18" t="s">
        <v>47026</v>
      </c>
      <c r="V12473" s="18" t="s">
        <v>47027</v>
      </c>
      <c r="W12473" s="18" t="s">
        <v>47028</v>
      </c>
      <c r="X12473" s="18" t="s">
        <v>35</v>
      </c>
      <c r="Y12473" s="18" t="s">
        <v>23964</v>
      </c>
      <c r="Z12473" s="18" t="s">
        <v>17413</v>
      </c>
      <c r="AA12473" s="21" t="str">
        <f>HYPERLINK("https://www.ncbi.nlm.nih.gov/nuccore/BK059723","NCBI Nucleotide")</f>
        <v>NCBI Nucleotide</v>
      </c>
    </row>
    <row r="12474" spans="1:27" x14ac:dyDescent="0.35">
      <c r="A12474">
        <v>1027724</v>
      </c>
      <c r="B12474">
        <v>11752</v>
      </c>
      <c r="C12474">
        <v>1</v>
      </c>
      <c r="D12474" s="17" t="s">
        <v>17166</v>
      </c>
      <c r="E12474" s="17"/>
      <c r="F12474" s="17" t="s">
        <v>17246</v>
      </c>
      <c r="G12474" s="17"/>
      <c r="H12474" s="17" t="s">
        <v>23950</v>
      </c>
      <c r="I12474" s="17" t="s">
        <v>23956</v>
      </c>
      <c r="J12474" s="17" t="s">
        <v>24017</v>
      </c>
      <c r="K12474" s="17"/>
      <c r="L12474" s="17" t="s">
        <v>24262</v>
      </c>
      <c r="M12474" s="17"/>
      <c r="N12474" s="17" t="s">
        <v>25249</v>
      </c>
      <c r="O12474" s="17"/>
      <c r="P12474" s="17" t="s">
        <v>47024</v>
      </c>
      <c r="Q12474" s="17"/>
      <c r="R12474" s="25" t="str">
        <f>HYPERLINK("https://ictv.global/taxonomy/taxondetails?taxnode_id=202318555","Platrhavirus nodulosis")</f>
        <v>Platrhavirus nodulosis</v>
      </c>
      <c r="S12474" s="18" t="s">
        <v>30</v>
      </c>
      <c r="T12474" s="18" t="s">
        <v>47029</v>
      </c>
      <c r="U12474" s="18" t="s">
        <v>47030</v>
      </c>
      <c r="V12474" s="18" t="s">
        <v>32076</v>
      </c>
      <c r="W12474" s="18" t="s">
        <v>47031</v>
      </c>
      <c r="X12474" s="18" t="s">
        <v>35</v>
      </c>
      <c r="Y12474" s="18" t="s">
        <v>23964</v>
      </c>
      <c r="Z12474" s="18" t="s">
        <v>17413</v>
      </c>
      <c r="AA12474" s="21" t="str">
        <f>HYPERLINK("https://www.ncbi.nlm.nih.gov/nuccore/BK059681","NCBI Nucleotide")</f>
        <v>NCBI Nucleotide</v>
      </c>
    </row>
    <row r="12475" spans="1:27" x14ac:dyDescent="0.35">
      <c r="A12475">
        <v>1027725</v>
      </c>
      <c r="B12475">
        <v>11753</v>
      </c>
      <c r="C12475">
        <v>1</v>
      </c>
      <c r="D12475" s="17" t="s">
        <v>17166</v>
      </c>
      <c r="E12475" s="17"/>
      <c r="F12475" s="17" t="s">
        <v>17246</v>
      </c>
      <c r="G12475" s="17"/>
      <c r="H12475" s="17" t="s">
        <v>23950</v>
      </c>
      <c r="I12475" s="17" t="s">
        <v>23956</v>
      </c>
      <c r="J12475" s="17" t="s">
        <v>24017</v>
      </c>
      <c r="K12475" s="17"/>
      <c r="L12475" s="17" t="s">
        <v>24262</v>
      </c>
      <c r="M12475" s="17"/>
      <c r="N12475" s="17" t="s">
        <v>25249</v>
      </c>
      <c r="O12475" s="17"/>
      <c r="P12475" s="17" t="s">
        <v>47024</v>
      </c>
      <c r="Q12475" s="17"/>
      <c r="R12475" s="25" t="str">
        <f>HYPERLINK("https://ictv.global/taxonomy/taxondetails?taxnode_id=202318559","Platrhavirus orientalis")</f>
        <v>Platrhavirus orientalis</v>
      </c>
      <c r="S12475" s="18" t="s">
        <v>30</v>
      </c>
      <c r="T12475" s="18" t="s">
        <v>47032</v>
      </c>
      <c r="U12475" s="18" t="s">
        <v>47033</v>
      </c>
      <c r="V12475" s="18" t="s">
        <v>47034</v>
      </c>
      <c r="W12475" s="18" t="s">
        <v>47035</v>
      </c>
      <c r="X12475" s="18" t="s">
        <v>35</v>
      </c>
      <c r="Y12475" s="18" t="s">
        <v>23964</v>
      </c>
      <c r="Z12475" s="18" t="s">
        <v>17413</v>
      </c>
      <c r="AA12475" s="21" t="str">
        <f>HYPERLINK("https://www.ncbi.nlm.nih.gov/nuccore/BK059676","NCBI Nucleotide")</f>
        <v>NCBI Nucleotide</v>
      </c>
    </row>
    <row r="12476" spans="1:27" x14ac:dyDescent="0.35">
      <c r="A12476">
        <v>1027726</v>
      </c>
      <c r="B12476">
        <v>11754</v>
      </c>
      <c r="C12476">
        <v>1</v>
      </c>
      <c r="D12476" s="17" t="s">
        <v>17166</v>
      </c>
      <c r="E12476" s="17"/>
      <c r="F12476" s="17" t="s">
        <v>17246</v>
      </c>
      <c r="G12476" s="17"/>
      <c r="H12476" s="17" t="s">
        <v>23950</v>
      </c>
      <c r="I12476" s="17" t="s">
        <v>23956</v>
      </c>
      <c r="J12476" s="17" t="s">
        <v>24017</v>
      </c>
      <c r="K12476" s="17"/>
      <c r="L12476" s="17" t="s">
        <v>24262</v>
      </c>
      <c r="M12476" s="17"/>
      <c r="N12476" s="17" t="s">
        <v>25249</v>
      </c>
      <c r="O12476" s="17"/>
      <c r="P12476" s="17" t="s">
        <v>47024</v>
      </c>
      <c r="Q12476" s="17"/>
      <c r="R12476" s="25" t="str">
        <f>HYPERLINK("https://ictv.global/taxonomy/taxondetails?taxnode_id=202318557","Platrhavirus pseudoglobulus")</f>
        <v>Platrhavirus pseudoglobulus</v>
      </c>
      <c r="S12476" s="18" t="s">
        <v>30</v>
      </c>
      <c r="T12476" s="18" t="s">
        <v>47036</v>
      </c>
      <c r="U12476" s="18" t="s">
        <v>47037</v>
      </c>
      <c r="V12476" s="18"/>
      <c r="W12476" s="18" t="s">
        <v>47038</v>
      </c>
      <c r="X12476" s="18" t="s">
        <v>35</v>
      </c>
      <c r="Y12476" s="18" t="s">
        <v>23964</v>
      </c>
      <c r="Z12476" s="18" t="s">
        <v>17413</v>
      </c>
      <c r="AA12476" s="21" t="str">
        <f>HYPERLINK("https://www.ncbi.nlm.nih.gov/nuccore/BK059662","NCBI Nucleotide")</f>
        <v>NCBI Nucleotide</v>
      </c>
    </row>
    <row r="12477" spans="1:27" x14ac:dyDescent="0.35">
      <c r="A12477">
        <v>1027727</v>
      </c>
      <c r="B12477">
        <v>11755</v>
      </c>
      <c r="C12477">
        <v>1</v>
      </c>
      <c r="D12477" s="17" t="s">
        <v>17166</v>
      </c>
      <c r="E12477" s="17"/>
      <c r="F12477" s="17" t="s">
        <v>17246</v>
      </c>
      <c r="G12477" s="17"/>
      <c r="H12477" s="17" t="s">
        <v>23950</v>
      </c>
      <c r="I12477" s="17" t="s">
        <v>23956</v>
      </c>
      <c r="J12477" s="17" t="s">
        <v>24017</v>
      </c>
      <c r="K12477" s="17"/>
      <c r="L12477" s="17" t="s">
        <v>24262</v>
      </c>
      <c r="M12477" s="17"/>
      <c r="N12477" s="17" t="s">
        <v>25249</v>
      </c>
      <c r="O12477" s="17"/>
      <c r="P12477" s="17" t="s">
        <v>47024</v>
      </c>
      <c r="Q12477" s="17"/>
      <c r="R12477" s="25" t="str">
        <f>HYPERLINK("https://ictv.global/taxonomy/taxondetails?taxnode_id=202318558","Platrhavirus turkestanicum")</f>
        <v>Platrhavirus turkestanicum</v>
      </c>
      <c r="S12477" s="18" t="s">
        <v>30</v>
      </c>
      <c r="T12477" s="18" t="s">
        <v>47039</v>
      </c>
      <c r="U12477" s="18" t="s">
        <v>47040</v>
      </c>
      <c r="V12477" s="18" t="s">
        <v>47041</v>
      </c>
      <c r="W12477" s="18" t="s">
        <v>47042</v>
      </c>
      <c r="X12477" s="18" t="s">
        <v>35</v>
      </c>
      <c r="Y12477" s="18" t="s">
        <v>23964</v>
      </c>
      <c r="Z12477" s="18" t="s">
        <v>17413</v>
      </c>
      <c r="AA12477" s="21" t="str">
        <f>HYPERLINK("https://www.ncbi.nlm.nih.gov/nuccore/BK059758","NCBI Nucleotide")</f>
        <v>NCBI Nucleotide</v>
      </c>
    </row>
    <row r="12478" spans="1:27" x14ac:dyDescent="0.35">
      <c r="A12478">
        <v>1027728</v>
      </c>
      <c r="B12478">
        <v>11756</v>
      </c>
      <c r="C12478">
        <v>1</v>
      </c>
      <c r="D12478" s="17" t="s">
        <v>17166</v>
      </c>
      <c r="E12478" s="17"/>
      <c r="F12478" s="17" t="s">
        <v>17246</v>
      </c>
      <c r="G12478" s="17"/>
      <c r="H12478" s="17" t="s">
        <v>23950</v>
      </c>
      <c r="I12478" s="17" t="s">
        <v>23956</v>
      </c>
      <c r="J12478" s="17" t="s">
        <v>24017</v>
      </c>
      <c r="K12478" s="17"/>
      <c r="L12478" s="17" t="s">
        <v>24262</v>
      </c>
      <c r="M12478" s="17"/>
      <c r="N12478" s="17" t="s">
        <v>25249</v>
      </c>
      <c r="O12478" s="17"/>
      <c r="P12478" s="17" t="s">
        <v>47024</v>
      </c>
      <c r="Q12478" s="17"/>
      <c r="R12478" s="25" t="str">
        <f>HYPERLINK("https://ictv.global/taxonomy/taxondetails?taxnode_id=202318560","Platrhavirus vulpes")</f>
        <v>Platrhavirus vulpes</v>
      </c>
      <c r="S12478" s="18" t="s">
        <v>30</v>
      </c>
      <c r="T12478" s="18" t="s">
        <v>47043</v>
      </c>
      <c r="U12478" s="18" t="s">
        <v>47044</v>
      </c>
      <c r="V12478" s="18" t="s">
        <v>47045</v>
      </c>
      <c r="W12478" s="18" t="s">
        <v>47046</v>
      </c>
      <c r="X12478" s="18" t="s">
        <v>35</v>
      </c>
      <c r="Y12478" s="18" t="s">
        <v>23964</v>
      </c>
      <c r="Z12478" s="18" t="s">
        <v>17413</v>
      </c>
      <c r="AA12478" s="21" t="str">
        <f>HYPERLINK("https://www.ncbi.nlm.nih.gov/nuccore/KF823814","NCBI Nucleotide")</f>
        <v>NCBI Nucleotide</v>
      </c>
    </row>
    <row r="12479" spans="1:27" x14ac:dyDescent="0.35">
      <c r="A12479">
        <v>1011015</v>
      </c>
      <c r="B12479">
        <v>11757</v>
      </c>
      <c r="C12479">
        <v>1</v>
      </c>
      <c r="D12479" s="17" t="s">
        <v>17166</v>
      </c>
      <c r="E12479" s="17"/>
      <c r="F12479" s="17" t="s">
        <v>17246</v>
      </c>
      <c r="G12479" s="17"/>
      <c r="H12479" s="17" t="s">
        <v>23950</v>
      </c>
      <c r="I12479" s="17" t="s">
        <v>23956</v>
      </c>
      <c r="J12479" s="17" t="s">
        <v>24017</v>
      </c>
      <c r="K12479" s="17"/>
      <c r="L12479" s="17" t="s">
        <v>24262</v>
      </c>
      <c r="M12479" s="17"/>
      <c r="N12479" s="17" t="s">
        <v>26523</v>
      </c>
      <c r="O12479" s="17"/>
      <c r="P12479" s="17" t="s">
        <v>26524</v>
      </c>
      <c r="Q12479" s="17"/>
      <c r="R12479" s="25" t="str">
        <f>HYPERLINK("https://ictv.global/taxonomy/taxondetails?taxnode_id=202301808","Sunshinevirus reptilis")</f>
        <v>Sunshinevirus reptilis</v>
      </c>
      <c r="S12479" s="18" t="s">
        <v>30</v>
      </c>
      <c r="T12479" s="18" t="s">
        <v>26525</v>
      </c>
      <c r="U12479" s="18" t="s">
        <v>26526</v>
      </c>
      <c r="V12479" s="18"/>
      <c r="W12479" s="18" t="s">
        <v>26527</v>
      </c>
      <c r="X12479" s="18" t="s">
        <v>35</v>
      </c>
      <c r="Y12479" s="18" t="s">
        <v>23964</v>
      </c>
      <c r="Z12479" s="18" t="s">
        <v>166</v>
      </c>
      <c r="AA12479" s="21" t="str">
        <f>HYPERLINK("https://www.ncbi.nlm.nih.gov/nuccore/JN192445","NCBI Nucleotide")</f>
        <v>NCBI Nucleotide</v>
      </c>
    </row>
    <row r="12480" spans="1:27" x14ac:dyDescent="0.35">
      <c r="A12480">
        <v>1011016</v>
      </c>
      <c r="B12480">
        <v>11758</v>
      </c>
      <c r="C12480">
        <v>1</v>
      </c>
      <c r="D12480" s="17" t="s">
        <v>17166</v>
      </c>
      <c r="E12480" s="17"/>
      <c r="F12480" s="17" t="s">
        <v>17246</v>
      </c>
      <c r="G12480" s="17"/>
      <c r="H12480" s="17" t="s">
        <v>23950</v>
      </c>
      <c r="I12480" s="17" t="s">
        <v>23956</v>
      </c>
      <c r="J12480" s="17" t="s">
        <v>24017</v>
      </c>
      <c r="K12480" s="17"/>
      <c r="L12480" s="17" t="s">
        <v>24262</v>
      </c>
      <c r="M12480" s="17"/>
      <c r="N12480" s="17" t="s">
        <v>26528</v>
      </c>
      <c r="O12480" s="17"/>
      <c r="P12480" s="17" t="s">
        <v>26529</v>
      </c>
      <c r="Q12480" s="17"/>
      <c r="R12480" s="25" t="str">
        <f>HYPERLINK("https://ictv.global/taxonomy/taxondetails?taxnode_id=202306265","Alasvirus muscae")</f>
        <v>Alasvirus muscae</v>
      </c>
      <c r="S12480" s="18" t="s">
        <v>30</v>
      </c>
      <c r="T12480" s="18" t="s">
        <v>26530</v>
      </c>
      <c r="U12480" s="18" t="s">
        <v>26531</v>
      </c>
      <c r="V12480" s="18" t="s">
        <v>26532</v>
      </c>
      <c r="W12480" s="18" t="s">
        <v>26533</v>
      </c>
      <c r="X12480" s="18" t="s">
        <v>35</v>
      </c>
      <c r="Y12480" s="18" t="s">
        <v>23964</v>
      </c>
      <c r="Z12480" s="18" t="s">
        <v>10790</v>
      </c>
      <c r="AA12480" s="21" t="str">
        <f>HYPERLINK("https://www.ncbi.nlm.nih.gov/nuccore/KX884430","NCBI Nucleotide")</f>
        <v>NCBI Nucleotide</v>
      </c>
    </row>
    <row r="12481" spans="1:27" x14ac:dyDescent="0.35">
      <c r="A12481">
        <v>1011017</v>
      </c>
      <c r="B12481">
        <v>11759</v>
      </c>
      <c r="C12481">
        <v>1</v>
      </c>
      <c r="D12481" s="17" t="s">
        <v>17166</v>
      </c>
      <c r="E12481" s="17"/>
      <c r="F12481" s="17" t="s">
        <v>17246</v>
      </c>
      <c r="G12481" s="17"/>
      <c r="H12481" s="17" t="s">
        <v>23950</v>
      </c>
      <c r="I12481" s="17" t="s">
        <v>23956</v>
      </c>
      <c r="J12481" s="17" t="s">
        <v>24017</v>
      </c>
      <c r="K12481" s="17"/>
      <c r="L12481" s="17" t="s">
        <v>24262</v>
      </c>
      <c r="M12481" s="17"/>
      <c r="N12481" s="17" t="s">
        <v>26528</v>
      </c>
      <c r="O12481" s="17"/>
      <c r="P12481" s="17" t="s">
        <v>26534</v>
      </c>
      <c r="Q12481" s="17"/>
      <c r="R12481" s="25" t="str">
        <f>HYPERLINK("https://ictv.global/taxonomy/taxondetails?taxnode_id=202301812","Anphevirus xinchengense")</f>
        <v>Anphevirus xinchengense</v>
      </c>
      <c r="S12481" s="18" t="s">
        <v>30</v>
      </c>
      <c r="T12481" s="18" t="s">
        <v>26535</v>
      </c>
      <c r="U12481" s="18" t="s">
        <v>26536</v>
      </c>
      <c r="V12481" s="18" t="s">
        <v>26537</v>
      </c>
      <c r="W12481" s="18" t="s">
        <v>26538</v>
      </c>
      <c r="X12481" s="18" t="s">
        <v>35</v>
      </c>
      <c r="Y12481" s="18" t="s">
        <v>23964</v>
      </c>
      <c r="Z12481" s="18" t="s">
        <v>10790</v>
      </c>
      <c r="AA12481" s="21" t="str">
        <f>HYPERLINK("https://www.ncbi.nlm.nih.gov/nuccore/KM817661","NCBI Nucleotide")</f>
        <v>NCBI Nucleotide</v>
      </c>
    </row>
    <row r="12482" spans="1:27" x14ac:dyDescent="0.35">
      <c r="A12482">
        <v>1027596</v>
      </c>
      <c r="B12482">
        <v>11760</v>
      </c>
      <c r="C12482">
        <v>1</v>
      </c>
      <c r="D12482" s="17" t="s">
        <v>17166</v>
      </c>
      <c r="E12482" s="17"/>
      <c r="F12482" s="17" t="s">
        <v>17246</v>
      </c>
      <c r="G12482" s="17"/>
      <c r="H12482" s="17" t="s">
        <v>23950</v>
      </c>
      <c r="I12482" s="17" t="s">
        <v>23956</v>
      </c>
      <c r="J12482" s="17" t="s">
        <v>24017</v>
      </c>
      <c r="K12482" s="17"/>
      <c r="L12482" s="17" t="s">
        <v>24262</v>
      </c>
      <c r="M12482" s="17"/>
      <c r="N12482" s="17" t="s">
        <v>26528</v>
      </c>
      <c r="O12482" s="17"/>
      <c r="P12482" s="17" t="s">
        <v>47047</v>
      </c>
      <c r="Q12482" s="17"/>
      <c r="R12482" s="25" t="str">
        <f>HYPERLINK("https://ictv.global/taxonomy/taxondetails?taxnode_id=202318783","Corulvirus hangzhouense")</f>
        <v>Corulvirus hangzhouense</v>
      </c>
      <c r="S12482" s="18" t="s">
        <v>30</v>
      </c>
      <c r="T12482" s="18" t="s">
        <v>47048</v>
      </c>
      <c r="U12482" s="18" t="s">
        <v>47049</v>
      </c>
      <c r="V12482" s="18" t="s">
        <v>47050</v>
      </c>
      <c r="W12482" s="18" t="s">
        <v>47051</v>
      </c>
      <c r="X12482" s="18" t="s">
        <v>35</v>
      </c>
      <c r="Y12482" s="18" t="s">
        <v>23964</v>
      </c>
      <c r="Z12482" s="18" t="s">
        <v>10790</v>
      </c>
      <c r="AA12482" s="21" t="str">
        <f>HYPERLINK("https://www.ncbi.nlm.nih.gov/nuccore/MZ209710","NCBI Nucleotide")</f>
        <v>NCBI Nucleotide</v>
      </c>
    </row>
    <row r="12483" spans="1:27" x14ac:dyDescent="0.35">
      <c r="A12483">
        <v>1027575</v>
      </c>
      <c r="B12483">
        <v>11761</v>
      </c>
      <c r="C12483">
        <v>1</v>
      </c>
      <c r="D12483" s="17" t="s">
        <v>17166</v>
      </c>
      <c r="E12483" s="17"/>
      <c r="F12483" s="17" t="s">
        <v>17246</v>
      </c>
      <c r="G12483" s="17"/>
      <c r="H12483" s="17" t="s">
        <v>23950</v>
      </c>
      <c r="I12483" s="17" t="s">
        <v>23956</v>
      </c>
      <c r="J12483" s="17" t="s">
        <v>24017</v>
      </c>
      <c r="K12483" s="17"/>
      <c r="L12483" s="17" t="s">
        <v>24262</v>
      </c>
      <c r="M12483" s="17"/>
      <c r="N12483" s="17" t="s">
        <v>26528</v>
      </c>
      <c r="O12483" s="17"/>
      <c r="P12483" s="17" t="s">
        <v>47052</v>
      </c>
      <c r="Q12483" s="17"/>
      <c r="R12483" s="25" t="str">
        <f>HYPERLINK("https://ictv.global/taxonomy/taxondetails?taxnode_id=202318779","Culivirus belgradiense")</f>
        <v>Culivirus belgradiense</v>
      </c>
      <c r="S12483" s="18" t="s">
        <v>30</v>
      </c>
      <c r="T12483" s="18" t="s">
        <v>47053</v>
      </c>
      <c r="U12483" s="18" t="s">
        <v>47054</v>
      </c>
      <c r="V12483" s="18"/>
      <c r="W12483" s="18" t="s">
        <v>47055</v>
      </c>
      <c r="X12483" s="18" t="s">
        <v>35</v>
      </c>
      <c r="Y12483" s="18" t="s">
        <v>23964</v>
      </c>
      <c r="Z12483" s="18" t="s">
        <v>10790</v>
      </c>
      <c r="AA12483" s="21" t="str">
        <f>HYPERLINK("https://www.ncbi.nlm.nih.gov/nuccore/MT822181","NCBI Nucleotide")</f>
        <v>NCBI Nucleotide</v>
      </c>
    </row>
    <row r="12484" spans="1:27" x14ac:dyDescent="0.35">
      <c r="A12484">
        <v>1027576</v>
      </c>
      <c r="B12484">
        <v>11762</v>
      </c>
      <c r="C12484">
        <v>1</v>
      </c>
      <c r="D12484" s="17" t="s">
        <v>17166</v>
      </c>
      <c r="E12484" s="17"/>
      <c r="F12484" s="17" t="s">
        <v>17246</v>
      </c>
      <c r="G12484" s="17"/>
      <c r="H12484" s="17" t="s">
        <v>23950</v>
      </c>
      <c r="I12484" s="17" t="s">
        <v>23956</v>
      </c>
      <c r="J12484" s="17" t="s">
        <v>24017</v>
      </c>
      <c r="K12484" s="17"/>
      <c r="L12484" s="17" t="s">
        <v>24262</v>
      </c>
      <c r="M12484" s="17"/>
      <c r="N12484" s="17" t="s">
        <v>26528</v>
      </c>
      <c r="O12484" s="17"/>
      <c r="P12484" s="17" t="s">
        <v>47052</v>
      </c>
      <c r="Q12484" s="17"/>
      <c r="R12484" s="25" t="str">
        <f>HYPERLINK("https://ictv.global/taxonomy/taxondetails?taxnode_id=202318780","Culivirus dunyae")</f>
        <v>Culivirus dunyae</v>
      </c>
      <c r="S12484" s="18" t="s">
        <v>30</v>
      </c>
      <c r="T12484" s="18" t="s">
        <v>47056</v>
      </c>
      <c r="U12484" s="18" t="s">
        <v>47057</v>
      </c>
      <c r="V12484" s="18" t="s">
        <v>18179</v>
      </c>
      <c r="W12484" s="18" t="s">
        <v>47058</v>
      </c>
      <c r="X12484" s="18" t="s">
        <v>35</v>
      </c>
      <c r="Y12484" s="18" t="s">
        <v>23964</v>
      </c>
      <c r="Z12484" s="18" t="s">
        <v>10790</v>
      </c>
      <c r="AA12484" s="21" t="str">
        <f>HYPERLINK("https://www.ncbi.nlm.nih.gov/nuccore/MW147277","NCBI Nucleotide")</f>
        <v>NCBI Nucleotide</v>
      </c>
    </row>
    <row r="12485" spans="1:27" x14ac:dyDescent="0.35">
      <c r="A12485">
        <v>1011018</v>
      </c>
      <c r="B12485">
        <v>11763</v>
      </c>
      <c r="C12485">
        <v>1</v>
      </c>
      <c r="D12485" s="17" t="s">
        <v>17166</v>
      </c>
      <c r="E12485" s="17"/>
      <c r="F12485" s="17" t="s">
        <v>17246</v>
      </c>
      <c r="G12485" s="17"/>
      <c r="H12485" s="17" t="s">
        <v>23950</v>
      </c>
      <c r="I12485" s="17" t="s">
        <v>23956</v>
      </c>
      <c r="J12485" s="17" t="s">
        <v>24017</v>
      </c>
      <c r="K12485" s="17"/>
      <c r="L12485" s="17" t="s">
        <v>24262</v>
      </c>
      <c r="M12485" s="17"/>
      <c r="N12485" s="17" t="s">
        <v>26528</v>
      </c>
      <c r="O12485" s="17"/>
      <c r="P12485" s="17" t="s">
        <v>26539</v>
      </c>
      <c r="Q12485" s="17"/>
      <c r="R12485" s="25" t="str">
        <f>HYPERLINK("https://ictv.global/taxonomy/taxondetails?taxnode_id=202312935","Doupovirus australiaense")</f>
        <v>Doupovirus australiaense</v>
      </c>
      <c r="S12485" s="18" t="s">
        <v>30</v>
      </c>
      <c r="T12485" s="18" t="s">
        <v>26540</v>
      </c>
      <c r="U12485" s="18" t="s">
        <v>26541</v>
      </c>
      <c r="V12485" s="18" t="s">
        <v>26542</v>
      </c>
      <c r="W12485" s="18" t="s">
        <v>26543</v>
      </c>
      <c r="X12485" s="18" t="s">
        <v>35</v>
      </c>
      <c r="Y12485" s="18" t="s">
        <v>23964</v>
      </c>
      <c r="Z12485" s="18" t="s">
        <v>10790</v>
      </c>
      <c r="AA12485" s="21" t="str">
        <f>HYPERLINK("https://www.ncbi.nlm.nih.gov/nuccore/MF176268","NCBI Nucleotide")</f>
        <v>NCBI Nucleotide</v>
      </c>
    </row>
    <row r="12486" spans="1:27" x14ac:dyDescent="0.35">
      <c r="A12486">
        <v>1011019</v>
      </c>
      <c r="B12486">
        <v>11764</v>
      </c>
      <c r="C12486">
        <v>1</v>
      </c>
      <c r="D12486" s="17" t="s">
        <v>17166</v>
      </c>
      <c r="E12486" s="17"/>
      <c r="F12486" s="17" t="s">
        <v>17246</v>
      </c>
      <c r="G12486" s="17"/>
      <c r="H12486" s="17" t="s">
        <v>23950</v>
      </c>
      <c r="I12486" s="17" t="s">
        <v>23956</v>
      </c>
      <c r="J12486" s="17" t="s">
        <v>24017</v>
      </c>
      <c r="K12486" s="17"/>
      <c r="L12486" s="17" t="s">
        <v>24262</v>
      </c>
      <c r="M12486" s="17"/>
      <c r="N12486" s="17" t="s">
        <v>26528</v>
      </c>
      <c r="O12486" s="17"/>
      <c r="P12486" s="17" t="s">
        <v>26544</v>
      </c>
      <c r="Q12486" s="17"/>
      <c r="R12486" s="25" t="str">
        <f>HYPERLINK("https://ictv.global/taxonomy/taxondetails?taxnode_id=202306261","Draselvirus dentati")</f>
        <v>Draselvirus dentati</v>
      </c>
      <c r="S12486" s="18" t="s">
        <v>30</v>
      </c>
      <c r="T12486" s="18" t="s">
        <v>26545</v>
      </c>
      <c r="U12486" s="18" t="s">
        <v>26546</v>
      </c>
      <c r="V12486" s="18" t="s">
        <v>26547</v>
      </c>
      <c r="W12486" s="18" t="s">
        <v>26548</v>
      </c>
      <c r="X12486" s="18" t="s">
        <v>35</v>
      </c>
      <c r="Y12486" s="18" t="s">
        <v>23964</v>
      </c>
      <c r="Z12486" s="18" t="s">
        <v>10790</v>
      </c>
      <c r="AA12486" s="21" t="str">
        <f>HYPERLINK("https://www.ncbi.nlm.nih.gov/nuccore/KX884428","NCBI Nucleotide")</f>
        <v>NCBI Nucleotide</v>
      </c>
    </row>
    <row r="12487" spans="1:27" x14ac:dyDescent="0.35">
      <c r="A12487">
        <v>1011020</v>
      </c>
      <c r="B12487">
        <v>11765</v>
      </c>
      <c r="C12487">
        <v>1</v>
      </c>
      <c r="D12487" s="17" t="s">
        <v>17166</v>
      </c>
      <c r="E12487" s="17"/>
      <c r="F12487" s="17" t="s">
        <v>17246</v>
      </c>
      <c r="G12487" s="17"/>
      <c r="H12487" s="17" t="s">
        <v>23950</v>
      </c>
      <c r="I12487" s="17" t="s">
        <v>23956</v>
      </c>
      <c r="J12487" s="17" t="s">
        <v>24017</v>
      </c>
      <c r="K12487" s="17"/>
      <c r="L12487" s="17" t="s">
        <v>24262</v>
      </c>
      <c r="M12487" s="17"/>
      <c r="N12487" s="17" t="s">
        <v>26528</v>
      </c>
      <c r="O12487" s="17"/>
      <c r="P12487" s="17" t="s">
        <v>26549</v>
      </c>
      <c r="Q12487" s="17"/>
      <c r="R12487" s="25" t="str">
        <f>HYPERLINK("https://ictv.global/taxonomy/taxondetails?taxnode_id=202306263","Drunivirus chambonense")</f>
        <v>Drunivirus chambonense</v>
      </c>
      <c r="S12487" s="18" t="s">
        <v>30</v>
      </c>
      <c r="T12487" s="18" t="s">
        <v>26550</v>
      </c>
      <c r="U12487" s="18" t="s">
        <v>26551</v>
      </c>
      <c r="V12487" s="18"/>
      <c r="W12487" s="18" t="s">
        <v>26552</v>
      </c>
      <c r="X12487" s="18" t="s">
        <v>35</v>
      </c>
      <c r="Y12487" s="18" t="s">
        <v>23964</v>
      </c>
      <c r="Z12487" s="18" t="s">
        <v>10790</v>
      </c>
      <c r="AA12487" s="21" t="str">
        <f>HYPERLINK("https://www.ncbi.nlm.nih.gov/nuccore/KR822819","NCBI Nucleotide")</f>
        <v>NCBI Nucleotide</v>
      </c>
    </row>
    <row r="12488" spans="1:27" x14ac:dyDescent="0.35">
      <c r="A12488">
        <v>1011021</v>
      </c>
      <c r="B12488">
        <v>11766</v>
      </c>
      <c r="C12488">
        <v>1</v>
      </c>
      <c r="D12488" s="17" t="s">
        <v>17166</v>
      </c>
      <c r="E12488" s="17"/>
      <c r="F12488" s="17" t="s">
        <v>17246</v>
      </c>
      <c r="G12488" s="17"/>
      <c r="H12488" s="17" t="s">
        <v>23950</v>
      </c>
      <c r="I12488" s="17" t="s">
        <v>23956</v>
      </c>
      <c r="J12488" s="17" t="s">
        <v>24017</v>
      </c>
      <c r="K12488" s="17"/>
      <c r="L12488" s="17" t="s">
        <v>24262</v>
      </c>
      <c r="M12488" s="17"/>
      <c r="N12488" s="17" t="s">
        <v>26528</v>
      </c>
      <c r="O12488" s="17"/>
      <c r="P12488" s="17" t="s">
        <v>26553</v>
      </c>
      <c r="Q12488" s="17"/>
      <c r="R12488" s="25" t="str">
        <f>HYPERLINK("https://ictv.global/taxonomy/taxondetails?taxnode_id=202306262","Gambievirus bolahunense")</f>
        <v>Gambievirus bolahunense</v>
      </c>
      <c r="S12488" s="18" t="s">
        <v>30</v>
      </c>
      <c r="T12488" s="18" t="s">
        <v>26554</v>
      </c>
      <c r="U12488" s="18" t="s">
        <v>26555</v>
      </c>
      <c r="V12488" s="18"/>
      <c r="W12488" s="18" t="s">
        <v>26556</v>
      </c>
      <c r="X12488" s="18" t="s">
        <v>35</v>
      </c>
      <c r="Y12488" s="18" t="s">
        <v>23964</v>
      </c>
      <c r="Z12488" s="18" t="s">
        <v>10790</v>
      </c>
      <c r="AA12488" s="21" t="str">
        <f>HYPERLINK("https://www.ncbi.nlm.nih.gov/nuccore/KX148552","NCBI Nucleotide")</f>
        <v>NCBI Nucleotide</v>
      </c>
    </row>
    <row r="12489" spans="1:27" x14ac:dyDescent="0.35">
      <c r="A12489">
        <v>1011022</v>
      </c>
      <c r="B12489">
        <v>11767</v>
      </c>
      <c r="C12489">
        <v>1</v>
      </c>
      <c r="D12489" s="17" t="s">
        <v>17166</v>
      </c>
      <c r="E12489" s="17"/>
      <c r="F12489" s="17" t="s">
        <v>17246</v>
      </c>
      <c r="G12489" s="17"/>
      <c r="H12489" s="17" t="s">
        <v>23950</v>
      </c>
      <c r="I12489" s="17" t="s">
        <v>23956</v>
      </c>
      <c r="J12489" s="17" t="s">
        <v>24017</v>
      </c>
      <c r="K12489" s="17"/>
      <c r="L12489" s="17" t="s">
        <v>24262</v>
      </c>
      <c r="M12489" s="17"/>
      <c r="N12489" s="17" t="s">
        <v>26528</v>
      </c>
      <c r="O12489" s="17"/>
      <c r="P12489" s="17" t="s">
        <v>26553</v>
      </c>
      <c r="Q12489" s="17"/>
      <c r="R12489" s="25" t="str">
        <f>HYPERLINK("https://ictv.global/taxonomy/taxondetails?taxnode_id=202312939","Gambievirus senegalense")</f>
        <v>Gambievirus senegalense</v>
      </c>
      <c r="S12489" s="18" t="s">
        <v>30</v>
      </c>
      <c r="T12489" s="18" t="s">
        <v>26557</v>
      </c>
      <c r="U12489" s="18" t="s">
        <v>26558</v>
      </c>
      <c r="V12489" s="18">
        <v>1</v>
      </c>
      <c r="W12489" s="18" t="s">
        <v>26559</v>
      </c>
      <c r="X12489" s="18" t="s">
        <v>35</v>
      </c>
      <c r="Y12489" s="18" t="s">
        <v>23964</v>
      </c>
      <c r="Z12489" s="18" t="s">
        <v>10790</v>
      </c>
      <c r="AA12489" s="21" t="str">
        <f>HYPERLINK("https://www.ncbi.nlm.nih.gov/nuccore/KX148553","NCBI Nucleotide")</f>
        <v>NCBI Nucleotide</v>
      </c>
    </row>
    <row r="12490" spans="1:27" x14ac:dyDescent="0.35">
      <c r="A12490">
        <v>1027582</v>
      </c>
      <c r="B12490">
        <v>11768</v>
      </c>
      <c r="C12490">
        <v>1</v>
      </c>
      <c r="D12490" s="17" t="s">
        <v>17166</v>
      </c>
      <c r="E12490" s="17"/>
      <c r="F12490" s="17" t="s">
        <v>17246</v>
      </c>
      <c r="G12490" s="17"/>
      <c r="H12490" s="17" t="s">
        <v>23950</v>
      </c>
      <c r="I12490" s="17" t="s">
        <v>23956</v>
      </c>
      <c r="J12490" s="17" t="s">
        <v>24017</v>
      </c>
      <c r="K12490" s="17"/>
      <c r="L12490" s="17" t="s">
        <v>24262</v>
      </c>
      <c r="M12490" s="17"/>
      <c r="N12490" s="17" t="s">
        <v>26528</v>
      </c>
      <c r="O12490" s="17"/>
      <c r="P12490" s="17" t="s">
        <v>47059</v>
      </c>
      <c r="Q12490" s="17"/>
      <c r="R12490" s="25" t="str">
        <f>HYPERLINK("https://ictv.global/taxonomy/taxondetails?taxnode_id=202318781","Gordisvirus californiense")</f>
        <v>Gordisvirus californiense</v>
      </c>
      <c r="S12490" s="18" t="s">
        <v>30</v>
      </c>
      <c r="T12490" s="18" t="s">
        <v>47060</v>
      </c>
      <c r="U12490" s="18" t="s">
        <v>47061</v>
      </c>
      <c r="V12490" s="18" t="s">
        <v>47062</v>
      </c>
      <c r="W12490" s="18" t="s">
        <v>47063</v>
      </c>
      <c r="X12490" s="18" t="s">
        <v>35</v>
      </c>
      <c r="Y12490" s="18" t="s">
        <v>23964</v>
      </c>
      <c r="Z12490" s="18" t="s">
        <v>10790</v>
      </c>
      <c r="AA12490" s="21" t="str">
        <f>HYPERLINK("https://www.ncbi.nlm.nih.gov/nuccore/MW435019","NCBI Nucleotide")</f>
        <v>NCBI Nucleotide</v>
      </c>
    </row>
    <row r="12491" spans="1:27" x14ac:dyDescent="0.35">
      <c r="A12491">
        <v>1027573</v>
      </c>
      <c r="B12491">
        <v>11769</v>
      </c>
      <c r="C12491">
        <v>1</v>
      </c>
      <c r="D12491" s="17" t="s">
        <v>17166</v>
      </c>
      <c r="E12491" s="17"/>
      <c r="F12491" s="17" t="s">
        <v>17246</v>
      </c>
      <c r="G12491" s="17"/>
      <c r="H12491" s="17" t="s">
        <v>23950</v>
      </c>
      <c r="I12491" s="17" t="s">
        <v>23956</v>
      </c>
      <c r="J12491" s="17" t="s">
        <v>24017</v>
      </c>
      <c r="K12491" s="17"/>
      <c r="L12491" s="17" t="s">
        <v>24262</v>
      </c>
      <c r="M12491" s="17"/>
      <c r="N12491" s="17" t="s">
        <v>26528</v>
      </c>
      <c r="O12491" s="17"/>
      <c r="P12491" s="17" t="s">
        <v>47064</v>
      </c>
      <c r="Q12491" s="17"/>
      <c r="R12491" s="25" t="str">
        <f>HYPERLINK("https://ictv.global/taxonomy/taxondetails?taxnode_id=202318778","Gudgevirus namadgii")</f>
        <v>Gudgevirus namadgii</v>
      </c>
      <c r="S12491" s="18" t="s">
        <v>30</v>
      </c>
      <c r="T12491" s="18" t="s">
        <v>47065</v>
      </c>
      <c r="U12491" s="18" t="s">
        <v>47066</v>
      </c>
      <c r="V12491" s="18" t="s">
        <v>47067</v>
      </c>
      <c r="W12491" s="18" t="s">
        <v>47068</v>
      </c>
      <c r="X12491" s="18" t="s">
        <v>35</v>
      </c>
      <c r="Y12491" s="18" t="s">
        <v>23964</v>
      </c>
      <c r="Z12491" s="18" t="s">
        <v>10790</v>
      </c>
      <c r="AA12491" s="21" t="str">
        <f>HYPERLINK("https://www.ncbi.nlm.nih.gov/nuccore/MT129693","NCBI Nucleotide")</f>
        <v>NCBI Nucleotide</v>
      </c>
    </row>
    <row r="12492" spans="1:27" x14ac:dyDescent="0.35">
      <c r="A12492">
        <v>1011023</v>
      </c>
      <c r="B12492">
        <v>11770</v>
      </c>
      <c r="C12492">
        <v>1</v>
      </c>
      <c r="D12492" s="17" t="s">
        <v>17166</v>
      </c>
      <c r="E12492" s="17"/>
      <c r="F12492" s="17" t="s">
        <v>17246</v>
      </c>
      <c r="G12492" s="17"/>
      <c r="H12492" s="17" t="s">
        <v>23950</v>
      </c>
      <c r="I12492" s="17" t="s">
        <v>23956</v>
      </c>
      <c r="J12492" s="17" t="s">
        <v>24017</v>
      </c>
      <c r="K12492" s="17"/>
      <c r="L12492" s="17" t="s">
        <v>24262</v>
      </c>
      <c r="M12492" s="17"/>
      <c r="N12492" s="17" t="s">
        <v>26528</v>
      </c>
      <c r="O12492" s="17"/>
      <c r="P12492" s="17" t="s">
        <v>26560</v>
      </c>
      <c r="Q12492" s="17"/>
      <c r="R12492" s="25" t="str">
        <f>HYPERLINK("https://ictv.global/taxonomy/taxondetails?taxnode_id=202312941","Gylbovirus aagae")</f>
        <v>Gylbovirus aagae</v>
      </c>
      <c r="S12492" s="18" t="s">
        <v>30</v>
      </c>
      <c r="T12492" s="18" t="s">
        <v>26561</v>
      </c>
      <c r="U12492" s="18" t="s">
        <v>26562</v>
      </c>
      <c r="V12492" s="18" t="s">
        <v>26563</v>
      </c>
      <c r="W12492" s="18" t="s">
        <v>26564</v>
      </c>
      <c r="X12492" s="18" t="s">
        <v>35</v>
      </c>
      <c r="Y12492" s="18" t="s">
        <v>23964</v>
      </c>
      <c r="Z12492" s="18" t="s">
        <v>10790</v>
      </c>
      <c r="AA12492" s="21" t="str">
        <f>HYPERLINK("https://www.ncbi.nlm.nih.gov/nuccore/MH037149","NCBI Nucleotide")</f>
        <v>NCBI Nucleotide</v>
      </c>
    </row>
    <row r="12493" spans="1:27" x14ac:dyDescent="0.35">
      <c r="A12493">
        <v>1011024</v>
      </c>
      <c r="B12493">
        <v>11771</v>
      </c>
      <c r="C12493">
        <v>1</v>
      </c>
      <c r="D12493" s="17" t="s">
        <v>17166</v>
      </c>
      <c r="E12493" s="17"/>
      <c r="F12493" s="17" t="s">
        <v>17246</v>
      </c>
      <c r="G12493" s="17"/>
      <c r="H12493" s="17" t="s">
        <v>23950</v>
      </c>
      <c r="I12493" s="17" t="s">
        <v>23956</v>
      </c>
      <c r="J12493" s="17" t="s">
        <v>24017</v>
      </c>
      <c r="K12493" s="17"/>
      <c r="L12493" s="17" t="s">
        <v>24262</v>
      </c>
      <c r="M12493" s="17"/>
      <c r="N12493" s="17" t="s">
        <v>26528</v>
      </c>
      <c r="O12493" s="17"/>
      <c r="P12493" s="17" t="s">
        <v>26565</v>
      </c>
      <c r="Q12493" s="17"/>
      <c r="R12493" s="25" t="str">
        <f>HYPERLINK("https://ictv.global/taxonomy/taxondetails?taxnode_id=202306260","Hoptevirus orthopteris")</f>
        <v>Hoptevirus orthopteris</v>
      </c>
      <c r="S12493" s="18" t="s">
        <v>30</v>
      </c>
      <c r="T12493" s="18" t="s">
        <v>26566</v>
      </c>
      <c r="U12493" s="18" t="s">
        <v>26567</v>
      </c>
      <c r="V12493" s="18" t="s">
        <v>26568</v>
      </c>
      <c r="W12493" s="18" t="s">
        <v>26569</v>
      </c>
      <c r="X12493" s="18" t="s">
        <v>35</v>
      </c>
      <c r="Y12493" s="18" t="s">
        <v>23964</v>
      </c>
      <c r="Z12493" s="18" t="s">
        <v>10790</v>
      </c>
      <c r="AA12493" s="21" t="str">
        <f>HYPERLINK("https://www.ncbi.nlm.nih.gov/nuccore/KX884463","NCBI Nucleotide")</f>
        <v>NCBI Nucleotide</v>
      </c>
    </row>
    <row r="12494" spans="1:27" x14ac:dyDescent="0.35">
      <c r="A12494">
        <v>1027774</v>
      </c>
      <c r="B12494">
        <v>11772</v>
      </c>
      <c r="C12494">
        <v>1</v>
      </c>
      <c r="D12494" s="17" t="s">
        <v>17166</v>
      </c>
      <c r="E12494" s="17"/>
      <c r="F12494" s="17" t="s">
        <v>17246</v>
      </c>
      <c r="G12494" s="17"/>
      <c r="H12494" s="17" t="s">
        <v>23950</v>
      </c>
      <c r="I12494" s="17" t="s">
        <v>23956</v>
      </c>
      <c r="J12494" s="17" t="s">
        <v>24017</v>
      </c>
      <c r="K12494" s="17"/>
      <c r="L12494" s="17" t="s">
        <v>24262</v>
      </c>
      <c r="M12494" s="17"/>
      <c r="N12494" s="17" t="s">
        <v>26528</v>
      </c>
      <c r="O12494" s="17"/>
      <c r="P12494" s="17" t="s">
        <v>47069</v>
      </c>
      <c r="Q12494" s="17"/>
      <c r="R12494" s="25" t="str">
        <f>HYPERLINK("https://ictv.global/taxonomy/taxondetails?taxnode_id=202318786","Laumovirus liaoningense")</f>
        <v>Laumovirus liaoningense</v>
      </c>
      <c r="S12494" s="18" t="s">
        <v>30</v>
      </c>
      <c r="T12494" s="18" t="s">
        <v>47070</v>
      </c>
      <c r="U12494" s="18" t="s">
        <v>47071</v>
      </c>
      <c r="V12494" s="18" t="s">
        <v>47072</v>
      </c>
      <c r="W12494" s="18" t="s">
        <v>47073</v>
      </c>
      <c r="X12494" s="18" t="s">
        <v>35</v>
      </c>
      <c r="Y12494" s="18" t="s">
        <v>23964</v>
      </c>
      <c r="Z12494" s="18" t="s">
        <v>10790</v>
      </c>
      <c r="AA12494" s="21" t="str">
        <f>HYPERLINK("https://www.ncbi.nlm.nih.gov/nuccore/MZ210031","NCBI Nucleotide")</f>
        <v>NCBI Nucleotide</v>
      </c>
    </row>
    <row r="12495" spans="1:27" x14ac:dyDescent="0.35">
      <c r="A12495">
        <v>1011025</v>
      </c>
      <c r="B12495">
        <v>11773</v>
      </c>
      <c r="C12495">
        <v>1</v>
      </c>
      <c r="D12495" s="17" t="s">
        <v>17166</v>
      </c>
      <c r="E12495" s="17"/>
      <c r="F12495" s="17" t="s">
        <v>17246</v>
      </c>
      <c r="G12495" s="17"/>
      <c r="H12495" s="17" t="s">
        <v>23950</v>
      </c>
      <c r="I12495" s="17" t="s">
        <v>23956</v>
      </c>
      <c r="J12495" s="17" t="s">
        <v>24017</v>
      </c>
      <c r="K12495" s="17"/>
      <c r="L12495" s="17" t="s">
        <v>24262</v>
      </c>
      <c r="M12495" s="17"/>
      <c r="N12495" s="17" t="s">
        <v>26528</v>
      </c>
      <c r="O12495" s="17"/>
      <c r="P12495" s="17" t="s">
        <v>26570</v>
      </c>
      <c r="Q12495" s="17"/>
      <c r="R12495" s="25" t="str">
        <f>HYPERLINK("https://ictv.global/taxonomy/taxondetails?taxnode_id=202312944","Madalivirus amapaense")</f>
        <v>Madalivirus amapaense</v>
      </c>
      <c r="S12495" s="18" t="s">
        <v>30</v>
      </c>
      <c r="T12495" s="18" t="s">
        <v>26571</v>
      </c>
      <c r="U12495" s="18" t="s">
        <v>26572</v>
      </c>
      <c r="V12495" s="18" t="s">
        <v>26573</v>
      </c>
      <c r="W12495" s="18" t="s">
        <v>26574</v>
      </c>
      <c r="X12495" s="18" t="s">
        <v>35</v>
      </c>
      <c r="Y12495" s="18" t="s">
        <v>23964</v>
      </c>
      <c r="Z12495" s="18" t="s">
        <v>10790</v>
      </c>
      <c r="AA12495" s="21" t="str">
        <f>HYPERLINK("https://www.ncbi.nlm.nih.gov/nuccore/MH822965","NCBI Nucleotide")</f>
        <v>NCBI Nucleotide</v>
      </c>
    </row>
    <row r="12496" spans="1:27" x14ac:dyDescent="0.35">
      <c r="A12496">
        <v>1011026</v>
      </c>
      <c r="B12496">
        <v>11774</v>
      </c>
      <c r="C12496">
        <v>1</v>
      </c>
      <c r="D12496" s="17" t="s">
        <v>17166</v>
      </c>
      <c r="E12496" s="17"/>
      <c r="F12496" s="17" t="s">
        <v>17246</v>
      </c>
      <c r="G12496" s="17"/>
      <c r="H12496" s="17" t="s">
        <v>23950</v>
      </c>
      <c r="I12496" s="17" t="s">
        <v>23956</v>
      </c>
      <c r="J12496" s="17" t="s">
        <v>24017</v>
      </c>
      <c r="K12496" s="17"/>
      <c r="L12496" s="17" t="s">
        <v>24262</v>
      </c>
      <c r="M12496" s="17"/>
      <c r="N12496" s="17" t="s">
        <v>26528</v>
      </c>
      <c r="O12496" s="17"/>
      <c r="P12496" s="17" t="s">
        <v>26570</v>
      </c>
      <c r="Q12496" s="17"/>
      <c r="R12496" s="25" t="str">
        <f>HYPERLINK("https://ictv.global/taxonomy/taxondetails?taxnode_id=202312945","Madalivirus amazonaense")</f>
        <v>Madalivirus amazonaense</v>
      </c>
      <c r="S12496" s="18" t="s">
        <v>30</v>
      </c>
      <c r="T12496" s="18" t="s">
        <v>26575</v>
      </c>
      <c r="U12496" s="18" t="s">
        <v>26576</v>
      </c>
      <c r="V12496" s="18"/>
      <c r="W12496" s="18" t="s">
        <v>26577</v>
      </c>
      <c r="X12496" s="18" t="s">
        <v>35</v>
      </c>
      <c r="Y12496" s="18" t="s">
        <v>23964</v>
      </c>
      <c r="Z12496" s="18" t="s">
        <v>10790</v>
      </c>
      <c r="AA12496" s="21" t="str">
        <f>HYPERLINK("https://www.ncbi.nlm.nih.gov/nuccore/MH822964","NCBI Nucleotide")</f>
        <v>NCBI Nucleotide</v>
      </c>
    </row>
    <row r="12497" spans="1:27" x14ac:dyDescent="0.35">
      <c r="A12497">
        <v>1027762</v>
      </c>
      <c r="B12497">
        <v>11775</v>
      </c>
      <c r="C12497">
        <v>1</v>
      </c>
      <c r="D12497" s="17" t="s">
        <v>17166</v>
      </c>
      <c r="E12497" s="17"/>
      <c r="F12497" s="17" t="s">
        <v>17246</v>
      </c>
      <c r="G12497" s="17"/>
      <c r="H12497" s="17" t="s">
        <v>23950</v>
      </c>
      <c r="I12497" s="17" t="s">
        <v>23956</v>
      </c>
      <c r="J12497" s="17" t="s">
        <v>24017</v>
      </c>
      <c r="K12497" s="17"/>
      <c r="L12497" s="17" t="s">
        <v>24262</v>
      </c>
      <c r="M12497" s="17"/>
      <c r="N12497" s="17" t="s">
        <v>26528</v>
      </c>
      <c r="O12497" s="17"/>
      <c r="P12497" s="17" t="s">
        <v>47074</v>
      </c>
      <c r="Q12497" s="17"/>
      <c r="R12497" s="25" t="str">
        <f>HYPERLINK("https://ictv.global/taxonomy/taxondetails?taxnode_id=202318785","Molauvirus liaoningense")</f>
        <v>Molauvirus liaoningense</v>
      </c>
      <c r="S12497" s="18" t="s">
        <v>30</v>
      </c>
      <c r="T12497" s="18" t="s">
        <v>47075</v>
      </c>
      <c r="U12497" s="18" t="s">
        <v>47076</v>
      </c>
      <c r="V12497" s="18" t="s">
        <v>47077</v>
      </c>
      <c r="W12497" s="18" t="s">
        <v>47078</v>
      </c>
      <c r="X12497" s="18" t="s">
        <v>154</v>
      </c>
      <c r="Y12497" s="18" t="s">
        <v>23964</v>
      </c>
      <c r="Z12497" s="18" t="s">
        <v>10790</v>
      </c>
      <c r="AA12497" s="21" t="str">
        <f>HYPERLINK("https://www.ncbi.nlm.nih.gov/nuccore/MZ210030","NCBI Nucleotide")</f>
        <v>NCBI Nucleotide</v>
      </c>
    </row>
    <row r="12498" spans="1:27" x14ac:dyDescent="0.35">
      <c r="A12498">
        <v>1027690</v>
      </c>
      <c r="B12498">
        <v>11776</v>
      </c>
      <c r="C12498">
        <v>1</v>
      </c>
      <c r="D12498" s="17" t="s">
        <v>17166</v>
      </c>
      <c r="E12498" s="17"/>
      <c r="F12498" s="17" t="s">
        <v>17246</v>
      </c>
      <c r="G12498" s="17"/>
      <c r="H12498" s="17" t="s">
        <v>23950</v>
      </c>
      <c r="I12498" s="17" t="s">
        <v>23956</v>
      </c>
      <c r="J12498" s="17" t="s">
        <v>24017</v>
      </c>
      <c r="K12498" s="17"/>
      <c r="L12498" s="17" t="s">
        <v>24262</v>
      </c>
      <c r="M12498" s="17"/>
      <c r="N12498" s="17" t="s">
        <v>26528</v>
      </c>
      <c r="O12498" s="17"/>
      <c r="P12498" s="17" t="s">
        <v>47079</v>
      </c>
      <c r="Q12498" s="17"/>
      <c r="R12498" s="25" t="str">
        <f>HYPERLINK("https://ictv.global/taxonomy/taxondetails?taxnode_id=202318784","Nurnegvirus hainanense")</f>
        <v>Nurnegvirus hainanense</v>
      </c>
      <c r="S12498" s="18" t="s">
        <v>30</v>
      </c>
      <c r="T12498" s="18" t="s">
        <v>47080</v>
      </c>
      <c r="U12498" s="18" t="s">
        <v>47081</v>
      </c>
      <c r="V12498" s="18" t="s">
        <v>47082</v>
      </c>
      <c r="W12498" s="18" t="s">
        <v>47083</v>
      </c>
      <c r="X12498" s="18" t="s">
        <v>35</v>
      </c>
      <c r="Y12498" s="18" t="s">
        <v>23964</v>
      </c>
      <c r="Z12498" s="18" t="s">
        <v>10790</v>
      </c>
      <c r="AA12498" s="21" t="str">
        <f>HYPERLINK("https://www.ncbi.nlm.nih.gov/nuccore/MZ209914","NCBI Nucleotide")</f>
        <v>NCBI Nucleotide</v>
      </c>
    </row>
    <row r="12499" spans="1:27" x14ac:dyDescent="0.35">
      <c r="A12499">
        <v>1011027</v>
      </c>
      <c r="B12499">
        <v>11777</v>
      </c>
      <c r="C12499">
        <v>1</v>
      </c>
      <c r="D12499" s="17" t="s">
        <v>17166</v>
      </c>
      <c r="E12499" s="17"/>
      <c r="F12499" s="17" t="s">
        <v>17246</v>
      </c>
      <c r="G12499" s="17"/>
      <c r="H12499" s="17" t="s">
        <v>23950</v>
      </c>
      <c r="I12499" s="17" t="s">
        <v>23956</v>
      </c>
      <c r="J12499" s="17" t="s">
        <v>24017</v>
      </c>
      <c r="K12499" s="17"/>
      <c r="L12499" s="17" t="s">
        <v>24262</v>
      </c>
      <c r="M12499" s="17"/>
      <c r="N12499" s="17" t="s">
        <v>26528</v>
      </c>
      <c r="O12499" s="17"/>
      <c r="P12499" s="17" t="s">
        <v>26578</v>
      </c>
      <c r="Q12499" s="17"/>
      <c r="R12499" s="25" t="str">
        <f>HYPERLINK("https://ictv.global/taxonomy/taxondetails?taxnode_id=202312947","Pelmivirus eymattense")</f>
        <v>Pelmivirus eymattense</v>
      </c>
      <c r="S12499" s="18" t="s">
        <v>30</v>
      </c>
      <c r="T12499" s="18" t="s">
        <v>26579</v>
      </c>
      <c r="U12499" s="18" t="s">
        <v>26580</v>
      </c>
      <c r="V12499" s="18" t="s">
        <v>26581</v>
      </c>
      <c r="W12499" s="18" t="s">
        <v>26582</v>
      </c>
      <c r="X12499" s="18" t="s">
        <v>35</v>
      </c>
      <c r="Y12499" s="18" t="s">
        <v>23964</v>
      </c>
      <c r="Z12499" s="18" t="s">
        <v>10790</v>
      </c>
      <c r="AA12499" s="21" t="str">
        <f>HYPERLINK("https://www.ncbi.nlm.nih.gov/nuccore/MW288226","NCBI Nucleotide")</f>
        <v>NCBI Nucleotide</v>
      </c>
    </row>
    <row r="12500" spans="1:27" x14ac:dyDescent="0.35">
      <c r="A12500">
        <v>1027719</v>
      </c>
      <c r="B12500">
        <v>11778</v>
      </c>
      <c r="C12500">
        <v>1</v>
      </c>
      <c r="D12500" s="17" t="s">
        <v>17166</v>
      </c>
      <c r="E12500" s="17"/>
      <c r="F12500" s="17" t="s">
        <v>17246</v>
      </c>
      <c r="G12500" s="17"/>
      <c r="H12500" s="17" t="s">
        <v>23950</v>
      </c>
      <c r="I12500" s="17" t="s">
        <v>23956</v>
      </c>
      <c r="J12500" s="17" t="s">
        <v>24017</v>
      </c>
      <c r="K12500" s="17"/>
      <c r="L12500" s="17" t="s">
        <v>24262</v>
      </c>
      <c r="M12500" s="17"/>
      <c r="N12500" s="17" t="s">
        <v>26528</v>
      </c>
      <c r="O12500" s="17"/>
      <c r="P12500" s="17" t="s">
        <v>47084</v>
      </c>
      <c r="Q12500" s="17"/>
      <c r="R12500" s="25" t="str">
        <f>HYPERLINK("https://ictv.global/taxonomy/taxondetails?taxnode_id=202318782","Puclevirus hangzhouense")</f>
        <v>Puclevirus hangzhouense</v>
      </c>
      <c r="S12500" s="18" t="s">
        <v>30</v>
      </c>
      <c r="T12500" s="18" t="s">
        <v>47085</v>
      </c>
      <c r="U12500" s="18" t="s">
        <v>47086</v>
      </c>
      <c r="V12500" s="18" t="s">
        <v>47087</v>
      </c>
      <c r="W12500" s="18" t="s">
        <v>47088</v>
      </c>
      <c r="X12500" s="18" t="s">
        <v>35</v>
      </c>
      <c r="Y12500" s="18" t="s">
        <v>23964</v>
      </c>
      <c r="Z12500" s="18" t="s">
        <v>10790</v>
      </c>
      <c r="AA12500" s="21" t="str">
        <f>HYPERLINK("https://www.ncbi.nlm.nih.gov/nuccore/MZ209673","NCBI Nucleotide")</f>
        <v>NCBI Nucleotide</v>
      </c>
    </row>
    <row r="12501" spans="1:27" x14ac:dyDescent="0.35">
      <c r="A12501">
        <v>1027750</v>
      </c>
      <c r="B12501">
        <v>11779</v>
      </c>
      <c r="C12501">
        <v>1</v>
      </c>
      <c r="D12501" s="17" t="s">
        <v>17166</v>
      </c>
      <c r="E12501" s="17"/>
      <c r="F12501" s="17" t="s">
        <v>17246</v>
      </c>
      <c r="G12501" s="17"/>
      <c r="H12501" s="17" t="s">
        <v>23950</v>
      </c>
      <c r="I12501" s="17" t="s">
        <v>23956</v>
      </c>
      <c r="J12501" s="17" t="s">
        <v>24017</v>
      </c>
      <c r="K12501" s="17"/>
      <c r="L12501" s="17" t="s">
        <v>24262</v>
      </c>
      <c r="M12501" s="17"/>
      <c r="N12501" s="17" t="s">
        <v>26528</v>
      </c>
      <c r="O12501" s="17"/>
      <c r="P12501" s="17" t="s">
        <v>47089</v>
      </c>
      <c r="Q12501" s="17"/>
      <c r="R12501" s="25" t="str">
        <f>HYPERLINK("https://ictv.global/taxonomy/taxondetails?taxnode_id=202318787","Tecephavirus sydneyense")</f>
        <v>Tecephavirus sydneyense</v>
      </c>
      <c r="S12501" s="18" t="s">
        <v>30</v>
      </c>
      <c r="T12501" s="18" t="s">
        <v>47090</v>
      </c>
      <c r="U12501" s="18" t="s">
        <v>47091</v>
      </c>
      <c r="V12501" s="18" t="s">
        <v>47092</v>
      </c>
      <c r="W12501" s="18" t="s">
        <v>47093</v>
      </c>
      <c r="X12501" s="18" t="s">
        <v>35</v>
      </c>
      <c r="Y12501" s="18" t="s">
        <v>23964</v>
      </c>
      <c r="Z12501" s="18" t="s">
        <v>40828</v>
      </c>
      <c r="AA12501" s="21" t="str">
        <f>HYPERLINK("https://www.ncbi.nlm.nih.gov/nuccore/ON872562","NCBI Nucleotide")</f>
        <v>NCBI Nucleotide</v>
      </c>
    </row>
    <row r="12502" spans="1:27" x14ac:dyDescent="0.35">
      <c r="A12502">
        <v>1011028</v>
      </c>
      <c r="B12502">
        <v>11780</v>
      </c>
      <c r="C12502">
        <v>1</v>
      </c>
      <c r="D12502" s="17" t="s">
        <v>17166</v>
      </c>
      <c r="E12502" s="17"/>
      <c r="F12502" s="17" t="s">
        <v>17246</v>
      </c>
      <c r="G12502" s="17"/>
      <c r="H12502" s="17" t="s">
        <v>23950</v>
      </c>
      <c r="I12502" s="17" t="s">
        <v>23956</v>
      </c>
      <c r="J12502" s="17" t="s">
        <v>24017</v>
      </c>
      <c r="K12502" s="17"/>
      <c r="L12502" s="17" t="s">
        <v>24262</v>
      </c>
      <c r="M12502" s="17"/>
      <c r="N12502" s="17" t="s">
        <v>26528</v>
      </c>
      <c r="O12502" s="17"/>
      <c r="P12502" s="17" t="s">
        <v>26583</v>
      </c>
      <c r="Q12502" s="17"/>
      <c r="R12502" s="25" t="str">
        <f>HYPERLINK("https://ictv.global/taxonomy/taxondetails?taxnode_id=202312949","Triniovirus yonagoense")</f>
        <v>Triniovirus yonagoense</v>
      </c>
      <c r="S12502" s="18" t="s">
        <v>30</v>
      </c>
      <c r="T12502" s="18" t="s">
        <v>26584</v>
      </c>
      <c r="U12502" s="18" t="s">
        <v>26585</v>
      </c>
      <c r="V12502" s="18" t="s">
        <v>26586</v>
      </c>
      <c r="W12502" s="18" t="s">
        <v>26587</v>
      </c>
      <c r="X12502" s="18" t="s">
        <v>35</v>
      </c>
      <c r="Y12502" s="18" t="s">
        <v>23964</v>
      </c>
      <c r="Z12502" s="18" t="s">
        <v>10790</v>
      </c>
      <c r="AA12502" s="21" t="str">
        <f>HYPERLINK("https://www.ncbi.nlm.nih.gov/nuccore/LC514055","NCBI Nucleotide")</f>
        <v>NCBI Nucleotide</v>
      </c>
    </row>
    <row r="12503" spans="1:27" x14ac:dyDescent="0.35">
      <c r="A12503">
        <v>1027755</v>
      </c>
      <c r="B12503">
        <v>11781</v>
      </c>
      <c r="C12503">
        <v>1</v>
      </c>
      <c r="D12503" s="17" t="s">
        <v>17166</v>
      </c>
      <c r="E12503" s="17"/>
      <c r="F12503" s="17" t="s">
        <v>17246</v>
      </c>
      <c r="G12503" s="17"/>
      <c r="H12503" s="17" t="s">
        <v>23950</v>
      </c>
      <c r="I12503" s="17" t="s">
        <v>23956</v>
      </c>
      <c r="J12503" s="17" t="s">
        <v>24017</v>
      </c>
      <c r="K12503" s="17"/>
      <c r="L12503" s="17" t="s">
        <v>24262</v>
      </c>
      <c r="M12503" s="17"/>
      <c r="N12503" s="17" t="s">
        <v>26528</v>
      </c>
      <c r="O12503" s="17"/>
      <c r="P12503" s="17" t="s">
        <v>47094</v>
      </c>
      <c r="Q12503" s="17"/>
      <c r="R12503" s="25" t="str">
        <f>HYPERLINK("https://ictv.global/taxonomy/taxondetails?taxnode_id=202318777","Trocevirus haikouense")</f>
        <v>Trocevirus haikouense</v>
      </c>
      <c r="S12503" s="18" t="s">
        <v>30</v>
      </c>
      <c r="T12503" s="18" t="s">
        <v>47095</v>
      </c>
      <c r="U12503" s="18" t="s">
        <v>47096</v>
      </c>
      <c r="V12503" s="18"/>
      <c r="W12503" s="18" t="s">
        <v>47097</v>
      </c>
      <c r="X12503" s="18" t="s">
        <v>35</v>
      </c>
      <c r="Y12503" s="18" t="s">
        <v>23964</v>
      </c>
      <c r="Z12503" s="18" t="s">
        <v>10790</v>
      </c>
      <c r="AA12503" s="21" t="str">
        <f>HYPERLINK("https://www.ncbi.nlm.nih.gov/nuccore/HG994135","NCBI Nucleotide")</f>
        <v>NCBI Nucleotide</v>
      </c>
    </row>
    <row r="12504" spans="1:27" x14ac:dyDescent="0.35">
      <c r="A12504">
        <v>1011029</v>
      </c>
      <c r="B12504">
        <v>11782</v>
      </c>
      <c r="C12504">
        <v>1</v>
      </c>
      <c r="D12504" s="17" t="s">
        <v>17166</v>
      </c>
      <c r="E12504" s="17"/>
      <c r="F12504" s="17" t="s">
        <v>17246</v>
      </c>
      <c r="G12504" s="17"/>
      <c r="H12504" s="17" t="s">
        <v>23950</v>
      </c>
      <c r="I12504" s="17" t="s">
        <v>23956</v>
      </c>
      <c r="J12504" s="17" t="s">
        <v>24017</v>
      </c>
      <c r="K12504" s="17"/>
      <c r="L12504" s="17" t="s">
        <v>24262</v>
      </c>
      <c r="M12504" s="17"/>
      <c r="N12504" s="17" t="s">
        <v>26528</v>
      </c>
      <c r="O12504" s="17"/>
      <c r="P12504" s="17" t="s">
        <v>26588</v>
      </c>
      <c r="Q12504" s="17"/>
      <c r="R12504" s="25" t="str">
        <f>HYPERLINK("https://ictv.global/taxonomy/taxondetails?taxnode_id=202312951","Ulegvirus freckenfeldense")</f>
        <v>Ulegvirus freckenfeldense</v>
      </c>
      <c r="S12504" s="18" t="s">
        <v>30</v>
      </c>
      <c r="T12504" s="18" t="s">
        <v>26589</v>
      </c>
      <c r="U12504" s="18" t="s">
        <v>26590</v>
      </c>
      <c r="V12504" s="18" t="s">
        <v>26591</v>
      </c>
      <c r="W12504" s="18" t="s">
        <v>26592</v>
      </c>
      <c r="X12504" s="18" t="s">
        <v>35</v>
      </c>
      <c r="Y12504" s="18" t="s">
        <v>23964</v>
      </c>
      <c r="Z12504" s="18" t="s">
        <v>10790</v>
      </c>
      <c r="AA12504" s="21" t="str">
        <f>HYPERLINK("https://www.ncbi.nlm.nih.gov/nuccore/MT153376","NCBI Nucleotide")</f>
        <v>NCBI Nucleotide</v>
      </c>
    </row>
    <row r="12505" spans="1:27" x14ac:dyDescent="0.35">
      <c r="A12505">
        <v>1011030</v>
      </c>
      <c r="B12505">
        <v>11783</v>
      </c>
      <c r="C12505">
        <v>1</v>
      </c>
      <c r="D12505" s="17" t="s">
        <v>17166</v>
      </c>
      <c r="E12505" s="17"/>
      <c r="F12505" s="17" t="s">
        <v>17246</v>
      </c>
      <c r="G12505" s="17"/>
      <c r="H12505" s="17" t="s">
        <v>23950</v>
      </c>
      <c r="I12505" s="17" t="s">
        <v>23956</v>
      </c>
      <c r="J12505" s="17" t="s">
        <v>26593</v>
      </c>
      <c r="K12505" s="17"/>
      <c r="L12505" s="17" t="s">
        <v>26594</v>
      </c>
      <c r="M12505" s="17"/>
      <c r="N12505" s="17" t="s">
        <v>26595</v>
      </c>
      <c r="O12505" s="17"/>
      <c r="P12505" s="17" t="s">
        <v>26596</v>
      </c>
      <c r="Q12505" s="17"/>
      <c r="R12505" s="25" t="str">
        <f>HYPERLINK("https://ictv.global/taxonomy/taxondetails?taxnode_id=202306075","Yuyuevirus beihaiense")</f>
        <v>Yuyuevirus beihaiense</v>
      </c>
      <c r="S12505" s="18" t="s">
        <v>30</v>
      </c>
      <c r="T12505" s="18" t="s">
        <v>26597</v>
      </c>
      <c r="U12505" s="18" t="s">
        <v>26598</v>
      </c>
      <c r="V12505" s="18" t="s">
        <v>26599</v>
      </c>
      <c r="W12505" s="18" t="s">
        <v>26600</v>
      </c>
      <c r="X12505" s="18" t="s">
        <v>35</v>
      </c>
      <c r="Y12505" s="18" t="s">
        <v>23964</v>
      </c>
      <c r="Z12505" s="18" t="s">
        <v>10790</v>
      </c>
      <c r="AA12505" s="21" t="str">
        <f>HYPERLINK("https://www.ncbi.nlm.nih.gov/nuccore/KX884032,KX884033","NCBI Nucleotide")</f>
        <v>NCBI Nucleotide</v>
      </c>
    </row>
    <row r="12506" spans="1:27" x14ac:dyDescent="0.35">
      <c r="A12506">
        <v>1011031</v>
      </c>
      <c r="B12506">
        <v>11784</v>
      </c>
      <c r="C12506">
        <v>1</v>
      </c>
      <c r="D12506" s="17" t="s">
        <v>17166</v>
      </c>
      <c r="E12506" s="17"/>
      <c r="F12506" s="17" t="s">
        <v>17246</v>
      </c>
      <c r="G12506" s="17"/>
      <c r="H12506" s="17" t="s">
        <v>23950</v>
      </c>
      <c r="I12506" s="17" t="s">
        <v>23956</v>
      </c>
      <c r="J12506" s="17" t="s">
        <v>26593</v>
      </c>
      <c r="K12506" s="17"/>
      <c r="L12506" s="17" t="s">
        <v>26594</v>
      </c>
      <c r="M12506" s="17"/>
      <c r="N12506" s="17" t="s">
        <v>26595</v>
      </c>
      <c r="O12506" s="17"/>
      <c r="P12506" s="17" t="s">
        <v>26596</v>
      </c>
      <c r="Q12506" s="17"/>
      <c r="R12506" s="25" t="str">
        <f>HYPERLINK("https://ictv.global/taxonomy/taxondetails?taxnode_id=202306076","Yuyuevirus shaheense")</f>
        <v>Yuyuevirus shaheense</v>
      </c>
      <c r="S12506" s="18" t="s">
        <v>30</v>
      </c>
      <c r="T12506" s="18" t="s">
        <v>47098</v>
      </c>
      <c r="U12506" s="18" t="s">
        <v>26601</v>
      </c>
      <c r="V12506" s="18" t="s">
        <v>26602</v>
      </c>
      <c r="W12506" s="18" t="s">
        <v>26603</v>
      </c>
      <c r="X12506" s="18" t="s">
        <v>35</v>
      </c>
      <c r="Y12506" s="18" t="s">
        <v>23964</v>
      </c>
      <c r="Z12506" s="18" t="s">
        <v>10790</v>
      </c>
      <c r="AA12506" s="21" t="str">
        <f>HYPERLINK("https://www.ncbi.nlm.nih.gov/nuccore/KX884034,KX884035","NCBI Nucleotide")</f>
        <v>NCBI Nucleotide</v>
      </c>
    </row>
    <row r="12507" spans="1:27" x14ac:dyDescent="0.35">
      <c r="A12507">
        <v>1027772</v>
      </c>
      <c r="B12507">
        <v>11785</v>
      </c>
      <c r="C12507">
        <v>1</v>
      </c>
      <c r="D12507" s="17" t="s">
        <v>17166</v>
      </c>
      <c r="E12507" s="17"/>
      <c r="F12507" s="17" t="s">
        <v>17246</v>
      </c>
      <c r="G12507" s="17"/>
      <c r="H12507" s="17" t="s">
        <v>23950</v>
      </c>
      <c r="I12507" s="17" t="s">
        <v>26604</v>
      </c>
      <c r="J12507" s="17" t="s">
        <v>47099</v>
      </c>
      <c r="K12507" s="17"/>
      <c r="L12507" s="17" t="s">
        <v>47100</v>
      </c>
      <c r="M12507" s="17"/>
      <c r="N12507" s="17" t="s">
        <v>26835</v>
      </c>
      <c r="O12507" s="17"/>
      <c r="P12507" s="17" t="s">
        <v>26836</v>
      </c>
      <c r="Q12507" s="17"/>
      <c r="R12507" s="25" t="str">
        <f>HYPERLINK("https://ictv.global/taxonomy/taxondetails?taxnode_id=202318850","Lincruvirus braziliense")</f>
        <v>Lincruvirus braziliense</v>
      </c>
      <c r="S12507" s="18" t="s">
        <v>30</v>
      </c>
      <c r="T12507" s="18" t="s">
        <v>47101</v>
      </c>
      <c r="U12507" s="18" t="s">
        <v>47102</v>
      </c>
      <c r="V12507" s="18" t="s">
        <v>47103</v>
      </c>
      <c r="W12507" s="18" t="s">
        <v>50875</v>
      </c>
      <c r="X12507" s="18" t="s">
        <v>35</v>
      </c>
      <c r="Y12507" s="18" t="s">
        <v>23964</v>
      </c>
      <c r="Z12507" s="18" t="s">
        <v>10790</v>
      </c>
      <c r="AA12507" s="21" t="str">
        <f>HYPERLINK("https://www.ncbi.nlm.nih.gov/nuccore/MZ508290,MZ508291,MZ508292","NCBI Nucleotide")</f>
        <v>NCBI Nucleotide</v>
      </c>
    </row>
    <row r="12508" spans="1:27" x14ac:dyDescent="0.35">
      <c r="A12508">
        <v>1011092</v>
      </c>
      <c r="B12508">
        <v>11786</v>
      </c>
      <c r="C12508">
        <v>1</v>
      </c>
      <c r="D12508" s="17" t="s">
        <v>17166</v>
      </c>
      <c r="E12508" s="17"/>
      <c r="F12508" s="17" t="s">
        <v>17246</v>
      </c>
      <c r="G12508" s="17"/>
      <c r="H12508" s="17" t="s">
        <v>23950</v>
      </c>
      <c r="I12508" s="17" t="s">
        <v>26604</v>
      </c>
      <c r="J12508" s="17" t="s">
        <v>47099</v>
      </c>
      <c r="K12508" s="17"/>
      <c r="L12508" s="17" t="s">
        <v>47100</v>
      </c>
      <c r="M12508" s="17"/>
      <c r="N12508" s="17" t="s">
        <v>26835</v>
      </c>
      <c r="O12508" s="17"/>
      <c r="P12508" s="17" t="s">
        <v>26836</v>
      </c>
      <c r="Q12508" s="17"/>
      <c r="R12508" s="25" t="str">
        <f>HYPERLINK("https://ictv.global/taxonomy/taxondetails?taxnode_id=202308791","Lincruvirus europense")</f>
        <v>Lincruvirus europense</v>
      </c>
      <c r="S12508" s="18" t="s">
        <v>30</v>
      </c>
      <c r="T12508" s="18" t="s">
        <v>26837</v>
      </c>
      <c r="U12508" s="18" t="s">
        <v>26838</v>
      </c>
      <c r="V12508" s="18" t="s">
        <v>26839</v>
      </c>
      <c r="W12508" s="18" t="s">
        <v>26840</v>
      </c>
      <c r="X12508" s="18" t="s">
        <v>42</v>
      </c>
      <c r="Y12508" s="18" t="s">
        <v>23964</v>
      </c>
      <c r="Z12508" s="18" t="s">
        <v>10790</v>
      </c>
      <c r="AA12508" s="21" t="str">
        <f>HYPERLINK("https://www.ncbi.nlm.nih.gov/nuccore/MK861116,MK861117,MK861118","NCBI Nucleotide")</f>
        <v>NCBI Nucleotide</v>
      </c>
    </row>
    <row r="12509" spans="1:27" x14ac:dyDescent="0.35">
      <c r="A12509">
        <v>1011093</v>
      </c>
      <c r="B12509">
        <v>11787</v>
      </c>
      <c r="C12509">
        <v>1</v>
      </c>
      <c r="D12509" s="17" t="s">
        <v>17166</v>
      </c>
      <c r="E12509" s="17"/>
      <c r="F12509" s="17" t="s">
        <v>17246</v>
      </c>
      <c r="G12509" s="17"/>
      <c r="H12509" s="17" t="s">
        <v>23950</v>
      </c>
      <c r="I12509" s="17" t="s">
        <v>26604</v>
      </c>
      <c r="J12509" s="17" t="s">
        <v>47099</v>
      </c>
      <c r="K12509" s="17"/>
      <c r="L12509" s="17" t="s">
        <v>47100</v>
      </c>
      <c r="M12509" s="17"/>
      <c r="N12509" s="17" t="s">
        <v>26835</v>
      </c>
      <c r="O12509" s="17"/>
      <c r="P12509" s="17" t="s">
        <v>26836</v>
      </c>
      <c r="Q12509" s="17"/>
      <c r="R12509" s="25" t="str">
        <f>HYPERLINK("https://ictv.global/taxonomy/taxondetails?taxnode_id=202308792","Lincruvirus sinense")</f>
        <v>Lincruvirus sinense</v>
      </c>
      <c r="S12509" s="18" t="s">
        <v>30</v>
      </c>
      <c r="T12509" s="18" t="s">
        <v>26841</v>
      </c>
      <c r="U12509" s="18" t="s">
        <v>26842</v>
      </c>
      <c r="V12509" s="18">
        <v>1</v>
      </c>
      <c r="W12509" s="18" t="s">
        <v>26843</v>
      </c>
      <c r="X12509" s="18" t="s">
        <v>42</v>
      </c>
      <c r="Y12509" s="18" t="s">
        <v>23964</v>
      </c>
      <c r="Z12509" s="18" t="s">
        <v>10790</v>
      </c>
      <c r="AA12509" s="21" t="str">
        <f>HYPERLINK("https://www.ncbi.nlm.nih.gov/nuccore/MH717874,MH717875,MH717876","NCBI Nucleotide")</f>
        <v>NCBI Nucleotide</v>
      </c>
    </row>
    <row r="12510" spans="1:27" x14ac:dyDescent="0.35">
      <c r="A12510">
        <v>1011094</v>
      </c>
      <c r="B12510">
        <v>11788</v>
      </c>
      <c r="C12510">
        <v>1</v>
      </c>
      <c r="D12510" s="17" t="s">
        <v>17166</v>
      </c>
      <c r="E12510" s="17"/>
      <c r="F12510" s="17" t="s">
        <v>17246</v>
      </c>
      <c r="G12510" s="17"/>
      <c r="H12510" s="17" t="s">
        <v>23950</v>
      </c>
      <c r="I12510" s="17" t="s">
        <v>26604</v>
      </c>
      <c r="J12510" s="17" t="s">
        <v>47099</v>
      </c>
      <c r="K12510" s="17"/>
      <c r="L12510" s="17" t="s">
        <v>47100</v>
      </c>
      <c r="M12510" s="17"/>
      <c r="N12510" s="17" t="s">
        <v>26835</v>
      </c>
      <c r="O12510" s="17"/>
      <c r="P12510" s="17" t="s">
        <v>26836</v>
      </c>
      <c r="Q12510" s="17"/>
      <c r="R12510" s="25" t="str">
        <f>HYPERLINK("https://ictv.global/taxonomy/taxondetails?taxnode_id=202306209","Lincruvirus wenlingense")</f>
        <v>Lincruvirus wenlingense</v>
      </c>
      <c r="S12510" s="18" t="s">
        <v>30</v>
      </c>
      <c r="T12510" s="18" t="s">
        <v>26844</v>
      </c>
      <c r="U12510" s="18" t="s">
        <v>26845</v>
      </c>
      <c r="V12510" s="18" t="s">
        <v>26846</v>
      </c>
      <c r="W12510" s="18" t="s">
        <v>26847</v>
      </c>
      <c r="X12510" s="18" t="s">
        <v>35</v>
      </c>
      <c r="Y12510" s="18" t="s">
        <v>23964</v>
      </c>
      <c r="Z12510" s="18" t="s">
        <v>10790</v>
      </c>
      <c r="AA12510" s="21" t="str">
        <f>HYPERLINK("https://www.ncbi.nlm.nih.gov/nuccore/KX884856,KX884857,KX884858","NCBI Nucleotide")</f>
        <v>NCBI Nucleotide</v>
      </c>
    </row>
    <row r="12511" spans="1:27" x14ac:dyDescent="0.35">
      <c r="A12511">
        <v>1011100</v>
      </c>
      <c r="B12511">
        <v>11789</v>
      </c>
      <c r="C12511">
        <v>1</v>
      </c>
      <c r="D12511" s="17" t="s">
        <v>17166</v>
      </c>
      <c r="E12511" s="17"/>
      <c r="F12511" s="17" t="s">
        <v>17246</v>
      </c>
      <c r="G12511" s="17"/>
      <c r="H12511" s="17" t="s">
        <v>23950</v>
      </c>
      <c r="I12511" s="17" t="s">
        <v>26604</v>
      </c>
      <c r="J12511" s="17" t="s">
        <v>47099</v>
      </c>
      <c r="K12511" s="17"/>
      <c r="L12511" s="17" t="s">
        <v>47100</v>
      </c>
      <c r="M12511" s="17"/>
      <c r="N12511" s="17" t="s">
        <v>26864</v>
      </c>
      <c r="O12511" s="17"/>
      <c r="P12511" s="17" t="s">
        <v>26865</v>
      </c>
      <c r="Q12511" s="17"/>
      <c r="R12511" s="25" t="str">
        <f>HYPERLINK("https://ictv.global/taxonomy/taxondetails?taxnode_id=202313864","Emaravirus aceris")</f>
        <v>Emaravirus aceris</v>
      </c>
      <c r="S12511" s="18" t="s">
        <v>30</v>
      </c>
      <c r="T12511" s="18" t="s">
        <v>26866</v>
      </c>
      <c r="U12511" s="18" t="s">
        <v>26867</v>
      </c>
      <c r="V12511" s="18" t="s">
        <v>26868</v>
      </c>
      <c r="W12511" s="18" t="s">
        <v>26869</v>
      </c>
      <c r="X12511" s="18" t="s">
        <v>35</v>
      </c>
      <c r="Y12511" s="18" t="s">
        <v>23964</v>
      </c>
      <c r="Z12511" s="18" t="s">
        <v>13441</v>
      </c>
      <c r="AA12511" s="21" t="str">
        <f>HYPERLINK("https://www.ncbi.nlm.nih.gov/nuccore/MT879190,MT879191,MT879192,MT879193,MT879194,MT879195","NCBI Nucleotide")</f>
        <v>NCBI Nucleotide</v>
      </c>
    </row>
    <row r="12512" spans="1:27" x14ac:dyDescent="0.35">
      <c r="A12512">
        <v>1011101</v>
      </c>
      <c r="B12512">
        <v>11790</v>
      </c>
      <c r="C12512">
        <v>1</v>
      </c>
      <c r="D12512" s="17" t="s">
        <v>17166</v>
      </c>
      <c r="E12512" s="17"/>
      <c r="F12512" s="17" t="s">
        <v>17246</v>
      </c>
      <c r="G12512" s="17"/>
      <c r="H12512" s="17" t="s">
        <v>23950</v>
      </c>
      <c r="I12512" s="17" t="s">
        <v>26604</v>
      </c>
      <c r="J12512" s="17" t="s">
        <v>47099</v>
      </c>
      <c r="K12512" s="17"/>
      <c r="L12512" s="17" t="s">
        <v>47100</v>
      </c>
      <c r="M12512" s="17"/>
      <c r="N12512" s="17" t="s">
        <v>26864</v>
      </c>
      <c r="O12512" s="17"/>
      <c r="P12512" s="17" t="s">
        <v>26865</v>
      </c>
      <c r="Q12512" s="17"/>
      <c r="R12512" s="25" t="str">
        <f>HYPERLINK("https://ictv.global/taxonomy/taxondetails?taxnode_id=202300009","Emaravirus actinidiae")</f>
        <v>Emaravirus actinidiae</v>
      </c>
      <c r="S12512" s="18" t="s">
        <v>30</v>
      </c>
      <c r="T12512" s="18" t="s">
        <v>26870</v>
      </c>
      <c r="U12512" s="18" t="s">
        <v>26871</v>
      </c>
      <c r="V12512" s="18" t="s">
        <v>26872</v>
      </c>
      <c r="W12512" s="18" t="s">
        <v>26873</v>
      </c>
      <c r="X12512" s="18" t="s">
        <v>42</v>
      </c>
      <c r="Y12512" s="18" t="s">
        <v>23964</v>
      </c>
      <c r="Z12512" s="18" t="s">
        <v>13441</v>
      </c>
      <c r="AA12512" s="21" t="str">
        <f>HYPERLINK("https://www.ncbi.nlm.nih.gov/nuccore/KT861481,KT861482,KT861483,KT861484,KT861485","NCBI Nucleotide")</f>
        <v>NCBI Nucleotide</v>
      </c>
    </row>
    <row r="12513" spans="1:27" x14ac:dyDescent="0.35">
      <c r="A12513">
        <v>1027584</v>
      </c>
      <c r="B12513">
        <v>11791</v>
      </c>
      <c r="C12513">
        <v>1</v>
      </c>
      <c r="D12513" s="17" t="s">
        <v>17166</v>
      </c>
      <c r="E12513" s="17"/>
      <c r="F12513" s="17" t="s">
        <v>17246</v>
      </c>
      <c r="G12513" s="17"/>
      <c r="H12513" s="17" t="s">
        <v>23950</v>
      </c>
      <c r="I12513" s="17" t="s">
        <v>26604</v>
      </c>
      <c r="J12513" s="17" t="s">
        <v>47099</v>
      </c>
      <c r="K12513" s="17"/>
      <c r="L12513" s="17" t="s">
        <v>47100</v>
      </c>
      <c r="M12513" s="17"/>
      <c r="N12513" s="17" t="s">
        <v>26864</v>
      </c>
      <c r="O12513" s="17"/>
      <c r="P12513" s="17" t="s">
        <v>26865</v>
      </c>
      <c r="Q12513" s="17"/>
      <c r="R12513" s="25" t="str">
        <f>HYPERLINK("https://ictv.global/taxonomy/taxondetails?taxnode_id=202318030","Emaravirus ailanthi")</f>
        <v>Emaravirus ailanthi</v>
      </c>
      <c r="S12513" s="18" t="s">
        <v>30</v>
      </c>
      <c r="T12513" s="18" t="s">
        <v>47104</v>
      </c>
      <c r="U12513" s="18" t="s">
        <v>47105</v>
      </c>
      <c r="V12513" s="18" t="s">
        <v>50920</v>
      </c>
      <c r="W12513" s="18" t="s">
        <v>50556</v>
      </c>
      <c r="X12513" s="18" t="s">
        <v>42</v>
      </c>
      <c r="Y12513" s="18" t="s">
        <v>23964</v>
      </c>
      <c r="Z12513" s="18" t="s">
        <v>13441</v>
      </c>
      <c r="AA12513" s="21" t="str">
        <f>HYPERLINK("https://www.ncbi.nlm.nih.gov/nuccore/OM687517,OM687518,OM687519,OM687520","NCBI Nucleotide")</f>
        <v>NCBI Nucleotide</v>
      </c>
    </row>
    <row r="12514" spans="1:27" x14ac:dyDescent="0.35">
      <c r="A12514">
        <v>1027585</v>
      </c>
      <c r="B12514">
        <v>11792</v>
      </c>
      <c r="C12514">
        <v>1</v>
      </c>
      <c r="D12514" s="17" t="s">
        <v>17166</v>
      </c>
      <c r="E12514" s="17"/>
      <c r="F12514" s="17" t="s">
        <v>17246</v>
      </c>
      <c r="G12514" s="17"/>
      <c r="H12514" s="17" t="s">
        <v>23950</v>
      </c>
      <c r="I12514" s="17" t="s">
        <v>26604</v>
      </c>
      <c r="J12514" s="17" t="s">
        <v>47099</v>
      </c>
      <c r="K12514" s="17"/>
      <c r="L12514" s="17" t="s">
        <v>47100</v>
      </c>
      <c r="M12514" s="17"/>
      <c r="N12514" s="17" t="s">
        <v>26864</v>
      </c>
      <c r="O12514" s="17"/>
      <c r="P12514" s="17" t="s">
        <v>26865</v>
      </c>
      <c r="Q12514" s="17"/>
      <c r="R12514" s="25" t="str">
        <f>HYPERLINK("https://ictv.global/taxonomy/taxondetails?taxnode_id=202317950","Emaravirus artemisiae")</f>
        <v>Emaravirus artemisiae</v>
      </c>
      <c r="S12514" s="18" t="s">
        <v>30</v>
      </c>
      <c r="T12514" s="18" t="s">
        <v>47106</v>
      </c>
      <c r="U12514" s="18" t="s">
        <v>46836</v>
      </c>
      <c r="V12514" s="18" t="s">
        <v>47107</v>
      </c>
      <c r="W12514" s="18" t="s">
        <v>50557</v>
      </c>
      <c r="X12514" s="18" t="s">
        <v>42</v>
      </c>
      <c r="Y12514" s="18" t="s">
        <v>23964</v>
      </c>
      <c r="Z12514" s="18" t="s">
        <v>13441</v>
      </c>
      <c r="AA12514" s="21" t="str">
        <f>HYPERLINK("https://www.ncbi.nlm.nih.gov/nuccore/OL471978,OL471979,OL471980,OL471981,OL471982,OP441764","NCBI Nucleotide")</f>
        <v>NCBI Nucleotide</v>
      </c>
    </row>
    <row r="12515" spans="1:27" x14ac:dyDescent="0.35">
      <c r="A12515">
        <v>1011102</v>
      </c>
      <c r="B12515">
        <v>11793</v>
      </c>
      <c r="C12515">
        <v>1</v>
      </c>
      <c r="D12515" s="17" t="s">
        <v>17166</v>
      </c>
      <c r="E12515" s="17"/>
      <c r="F12515" s="17" t="s">
        <v>17246</v>
      </c>
      <c r="G12515" s="17"/>
      <c r="H12515" s="17" t="s">
        <v>23950</v>
      </c>
      <c r="I12515" s="17" t="s">
        <v>26604</v>
      </c>
      <c r="J12515" s="17" t="s">
        <v>47099</v>
      </c>
      <c r="K12515" s="17"/>
      <c r="L12515" s="17" t="s">
        <v>47100</v>
      </c>
      <c r="M12515" s="17"/>
      <c r="N12515" s="17" t="s">
        <v>26864</v>
      </c>
      <c r="O12515" s="17"/>
      <c r="P12515" s="17" t="s">
        <v>26865</v>
      </c>
      <c r="Q12515" s="17"/>
      <c r="R12515" s="25" t="str">
        <f>HYPERLINK("https://ictv.global/taxonomy/taxondetails?taxnode_id=202300013","Emaravirus cajani")</f>
        <v>Emaravirus cajani</v>
      </c>
      <c r="S12515" s="18" t="s">
        <v>30</v>
      </c>
      <c r="T12515" s="18" t="s">
        <v>26874</v>
      </c>
      <c r="U12515" s="18" t="s">
        <v>26875</v>
      </c>
      <c r="V12515" s="18" t="s">
        <v>14447</v>
      </c>
      <c r="W12515" s="18" t="s">
        <v>50558</v>
      </c>
      <c r="X12515" s="18" t="s">
        <v>42</v>
      </c>
      <c r="Y12515" s="18" t="s">
        <v>23964</v>
      </c>
      <c r="Z12515" s="18" t="s">
        <v>13441</v>
      </c>
      <c r="AA12515" s="21" t="str">
        <f>HYPERLINK("https://www.ncbi.nlm.nih.gov/nuccore/HF568801,HF568802,HF568803,HF568804,HF945448","NCBI Nucleotide")</f>
        <v>NCBI Nucleotide</v>
      </c>
    </row>
    <row r="12516" spans="1:27" x14ac:dyDescent="0.35">
      <c r="A12516">
        <v>1011103</v>
      </c>
      <c r="B12516">
        <v>11794</v>
      </c>
      <c r="C12516">
        <v>1</v>
      </c>
      <c r="D12516" s="17" t="s">
        <v>17166</v>
      </c>
      <c r="E12516" s="17"/>
      <c r="F12516" s="17" t="s">
        <v>17246</v>
      </c>
      <c r="G12516" s="17"/>
      <c r="H12516" s="17" t="s">
        <v>23950</v>
      </c>
      <c r="I12516" s="17" t="s">
        <v>26604</v>
      </c>
      <c r="J12516" s="17" t="s">
        <v>47099</v>
      </c>
      <c r="K12516" s="17"/>
      <c r="L12516" s="17" t="s">
        <v>47100</v>
      </c>
      <c r="M12516" s="17"/>
      <c r="N12516" s="17" t="s">
        <v>26864</v>
      </c>
      <c r="O12516" s="17"/>
      <c r="P12516" s="17" t="s">
        <v>26865</v>
      </c>
      <c r="Q12516" s="17"/>
      <c r="R12516" s="25" t="str">
        <f>HYPERLINK("https://ictv.global/taxonomy/taxondetails?taxnode_id=202309578","Emaravirus camelliae")</f>
        <v>Emaravirus camelliae</v>
      </c>
      <c r="S12516" s="18" t="s">
        <v>30</v>
      </c>
      <c r="T12516" s="18" t="s">
        <v>26876</v>
      </c>
      <c r="U12516" s="18" t="s">
        <v>26877</v>
      </c>
      <c r="V12516" s="18" t="s">
        <v>26878</v>
      </c>
      <c r="W12516" s="18" t="s">
        <v>26879</v>
      </c>
      <c r="X12516" s="18" t="s">
        <v>42</v>
      </c>
      <c r="Y12516" s="18" t="s">
        <v>23964</v>
      </c>
      <c r="Z12516" s="18" t="s">
        <v>13441</v>
      </c>
      <c r="AA12516" s="21" t="str">
        <f>HYPERLINK("https://www.ncbi.nlm.nih.gov/nuccore/MN385573,MN385574,MN385575,MN385576,MN557024,MN557025,MN557026,MN557027,MN557028","NCBI Nucleotide")</f>
        <v>NCBI Nucleotide</v>
      </c>
    </row>
    <row r="12517" spans="1:27" x14ac:dyDescent="0.35">
      <c r="A12517">
        <v>1011104</v>
      </c>
      <c r="B12517">
        <v>11795</v>
      </c>
      <c r="C12517">
        <v>1</v>
      </c>
      <c r="D12517" s="17" t="s">
        <v>17166</v>
      </c>
      <c r="E12517" s="17"/>
      <c r="F12517" s="17" t="s">
        <v>17246</v>
      </c>
      <c r="G12517" s="17"/>
      <c r="H12517" s="17" t="s">
        <v>23950</v>
      </c>
      <c r="I12517" s="17" t="s">
        <v>26604</v>
      </c>
      <c r="J12517" s="17" t="s">
        <v>47099</v>
      </c>
      <c r="K12517" s="17"/>
      <c r="L12517" s="17" t="s">
        <v>47100</v>
      </c>
      <c r="M12517" s="17"/>
      <c r="N12517" s="17" t="s">
        <v>26864</v>
      </c>
      <c r="O12517" s="17"/>
      <c r="P12517" s="17" t="s">
        <v>26865</v>
      </c>
      <c r="Q12517" s="17"/>
      <c r="R12517" s="25" t="str">
        <f>HYPERLINK("https://ictv.global/taxonomy/taxondetails?taxnode_id=202300016","Emaravirus cercidis")</f>
        <v>Emaravirus cercidis</v>
      </c>
      <c r="S12517" s="18" t="s">
        <v>30</v>
      </c>
      <c r="T12517" s="18" t="s">
        <v>26880</v>
      </c>
      <c r="U12517" s="18" t="s">
        <v>26881</v>
      </c>
      <c r="V12517" s="18" t="s">
        <v>19744</v>
      </c>
      <c r="W12517" s="18" t="s">
        <v>26882</v>
      </c>
      <c r="X12517" s="18" t="s">
        <v>154</v>
      </c>
      <c r="Y12517" s="18" t="s">
        <v>23964</v>
      </c>
      <c r="Z12517" s="18" t="s">
        <v>13441</v>
      </c>
      <c r="AA12517" s="21" t="str">
        <f>HYPERLINK("https://www.ncbi.nlm.nih.gov/nuccore/JF795479,JF795480,JF795481,JF795482,KU904300","NCBI Nucleotide")</f>
        <v>NCBI Nucleotide</v>
      </c>
    </row>
    <row r="12518" spans="1:27" x14ac:dyDescent="0.35">
      <c r="A12518">
        <v>1011105</v>
      </c>
      <c r="B12518">
        <v>11796</v>
      </c>
      <c r="C12518">
        <v>1</v>
      </c>
      <c r="D12518" s="17" t="s">
        <v>17166</v>
      </c>
      <c r="E12518" s="17"/>
      <c r="F12518" s="17" t="s">
        <v>17246</v>
      </c>
      <c r="G12518" s="17"/>
      <c r="H12518" s="17" t="s">
        <v>23950</v>
      </c>
      <c r="I12518" s="17" t="s">
        <v>26604</v>
      </c>
      <c r="J12518" s="17" t="s">
        <v>47099</v>
      </c>
      <c r="K12518" s="17"/>
      <c r="L12518" s="17" t="s">
        <v>47100</v>
      </c>
      <c r="M12518" s="17"/>
      <c r="N12518" s="17" t="s">
        <v>26864</v>
      </c>
      <c r="O12518" s="17"/>
      <c r="P12518" s="17" t="s">
        <v>26865</v>
      </c>
      <c r="Q12518" s="17"/>
      <c r="R12518" s="25" t="str">
        <f>HYPERLINK("https://ictv.global/taxonomy/taxondetails?taxnode_id=202313865","Emaravirus chrysanthemi")</f>
        <v>Emaravirus chrysanthemi</v>
      </c>
      <c r="S12518" s="18" t="s">
        <v>30</v>
      </c>
      <c r="T12518" s="18" t="s">
        <v>26883</v>
      </c>
      <c r="U12518" s="18" t="s">
        <v>26884</v>
      </c>
      <c r="V12518" s="18" t="s">
        <v>26885</v>
      </c>
      <c r="W12518" s="18" t="s">
        <v>26886</v>
      </c>
      <c r="X12518" s="18" t="s">
        <v>35</v>
      </c>
      <c r="Y12518" s="18" t="s">
        <v>23964</v>
      </c>
      <c r="Z12518" s="18" t="s">
        <v>13441</v>
      </c>
      <c r="AA12518" s="21" t="str">
        <f>HYPERLINK("https://www.ncbi.nlm.nih.gov/nuccore/LC576445,LC576446,LC576447,LC576448,LC576449,LC576450,LC576451","NCBI Nucleotide")</f>
        <v>NCBI Nucleotide</v>
      </c>
    </row>
    <row r="12519" spans="1:27" x14ac:dyDescent="0.35">
      <c r="A12519">
        <v>1011106</v>
      </c>
      <c r="B12519">
        <v>11797</v>
      </c>
      <c r="C12519">
        <v>1</v>
      </c>
      <c r="D12519" s="17" t="s">
        <v>17166</v>
      </c>
      <c r="E12519" s="17"/>
      <c r="F12519" s="17" t="s">
        <v>17246</v>
      </c>
      <c r="G12519" s="17"/>
      <c r="H12519" s="17" t="s">
        <v>23950</v>
      </c>
      <c r="I12519" s="17" t="s">
        <v>26604</v>
      </c>
      <c r="J12519" s="17" t="s">
        <v>47099</v>
      </c>
      <c r="K12519" s="17"/>
      <c r="L12519" s="17" t="s">
        <v>47100</v>
      </c>
      <c r="M12519" s="17"/>
      <c r="N12519" s="17" t="s">
        <v>26864</v>
      </c>
      <c r="O12519" s="17"/>
      <c r="P12519" s="17" t="s">
        <v>26865</v>
      </c>
      <c r="Q12519" s="17"/>
      <c r="R12519" s="25" t="str">
        <f>HYPERLINK("https://ictv.global/taxonomy/taxondetails?taxnode_id=202309551","Emaravirus cordylinae")</f>
        <v>Emaravirus cordylinae</v>
      </c>
      <c r="S12519" s="18" t="s">
        <v>30</v>
      </c>
      <c r="T12519" s="18" t="s">
        <v>26887</v>
      </c>
      <c r="U12519" s="18" t="s">
        <v>26888</v>
      </c>
      <c r="V12519" s="18" t="s">
        <v>26889</v>
      </c>
      <c r="W12519" s="18" t="s">
        <v>26890</v>
      </c>
      <c r="X12519" s="18" t="s">
        <v>35</v>
      </c>
      <c r="Y12519" s="18" t="s">
        <v>23964</v>
      </c>
      <c r="Z12519" s="18" t="s">
        <v>13441</v>
      </c>
      <c r="AA12519" s="21" t="str">
        <f>HYPERLINK("https://www.ncbi.nlm.nih.gov/nuccore/MH223635,MH223636,MH223637,MH223638,MH223639","NCBI Nucleotide")</f>
        <v>NCBI Nucleotide</v>
      </c>
    </row>
    <row r="12520" spans="1:27" x14ac:dyDescent="0.35">
      <c r="A12520">
        <v>1011107</v>
      </c>
      <c r="B12520">
        <v>11798</v>
      </c>
      <c r="C12520">
        <v>1</v>
      </c>
      <c r="D12520" s="17" t="s">
        <v>17166</v>
      </c>
      <c r="E12520" s="17"/>
      <c r="F12520" s="17" t="s">
        <v>17246</v>
      </c>
      <c r="G12520" s="17"/>
      <c r="H12520" s="17" t="s">
        <v>23950</v>
      </c>
      <c r="I12520" s="17" t="s">
        <v>26604</v>
      </c>
      <c r="J12520" s="17" t="s">
        <v>47099</v>
      </c>
      <c r="K12520" s="17"/>
      <c r="L12520" s="17" t="s">
        <v>47100</v>
      </c>
      <c r="M12520" s="17"/>
      <c r="N12520" s="17" t="s">
        <v>26864</v>
      </c>
      <c r="O12520" s="17"/>
      <c r="P12520" s="17" t="s">
        <v>26865</v>
      </c>
      <c r="Q12520" s="17"/>
      <c r="R12520" s="25" t="str">
        <f>HYPERLINK("https://ictv.global/taxonomy/taxondetails?taxnode_id=202315125","Emaravirus corynocarpi")</f>
        <v>Emaravirus corynocarpi</v>
      </c>
      <c r="S12520" s="18" t="s">
        <v>30</v>
      </c>
      <c r="T12520" s="18" t="s">
        <v>26891</v>
      </c>
      <c r="U12520" s="18" t="s">
        <v>26892</v>
      </c>
      <c r="V12520" s="18"/>
      <c r="W12520" s="18" t="s">
        <v>26893</v>
      </c>
      <c r="X12520" s="18" t="s">
        <v>42</v>
      </c>
      <c r="Y12520" s="18" t="s">
        <v>23964</v>
      </c>
      <c r="Z12520" s="18" t="s">
        <v>13441</v>
      </c>
      <c r="AA12520" s="21" t="str">
        <f>HYPERLINK("https://www.ncbi.nlm.nih.gov/nuccore/MZ391827,MZ391828,MZ391829,MZ391830,MZ391831","NCBI Nucleotide")</f>
        <v>NCBI Nucleotide</v>
      </c>
    </row>
    <row r="12521" spans="1:27" x14ac:dyDescent="0.35">
      <c r="A12521">
        <v>1011108</v>
      </c>
      <c r="B12521">
        <v>11799</v>
      </c>
      <c r="C12521">
        <v>1</v>
      </c>
      <c r="D12521" s="17" t="s">
        <v>17166</v>
      </c>
      <c r="E12521" s="17"/>
      <c r="F12521" s="17" t="s">
        <v>17246</v>
      </c>
      <c r="G12521" s="17"/>
      <c r="H12521" s="17" t="s">
        <v>23950</v>
      </c>
      <c r="I12521" s="17" t="s">
        <v>26604</v>
      </c>
      <c r="J12521" s="17" t="s">
        <v>47099</v>
      </c>
      <c r="K12521" s="17"/>
      <c r="L12521" s="17" t="s">
        <v>47100</v>
      </c>
      <c r="M12521" s="17"/>
      <c r="N12521" s="17" t="s">
        <v>26864</v>
      </c>
      <c r="O12521" s="17"/>
      <c r="P12521" s="17" t="s">
        <v>26865</v>
      </c>
      <c r="Q12521" s="17"/>
      <c r="R12521" s="25" t="str">
        <f>HYPERLINK("https://ictv.global/taxonomy/taxondetails?taxnode_id=202300011","Emaravirus fici")</f>
        <v>Emaravirus fici</v>
      </c>
      <c r="S12521" s="18" t="s">
        <v>30</v>
      </c>
      <c r="T12521" s="18" t="s">
        <v>26894</v>
      </c>
      <c r="U12521" s="18" t="s">
        <v>18682</v>
      </c>
      <c r="V12521" s="18" t="s">
        <v>26895</v>
      </c>
      <c r="W12521" s="18" t="s">
        <v>50559</v>
      </c>
      <c r="X12521" s="18" t="s">
        <v>42</v>
      </c>
      <c r="Y12521" s="18" t="s">
        <v>23964</v>
      </c>
      <c r="Z12521" s="18" t="s">
        <v>13441</v>
      </c>
      <c r="AA12521" s="21" t="str">
        <f>HYPERLINK("https://www.ncbi.nlm.nih.gov/nuccore/AM941711,FM864225,FM991954,FM992851,HE803826,HE803827","NCBI Nucleotide")</f>
        <v>NCBI Nucleotide</v>
      </c>
    </row>
    <row r="12522" spans="1:27" x14ac:dyDescent="0.35">
      <c r="A12522">
        <v>1011109</v>
      </c>
      <c r="B12522">
        <v>11800</v>
      </c>
      <c r="C12522">
        <v>1</v>
      </c>
      <c r="D12522" s="17" t="s">
        <v>17166</v>
      </c>
      <c r="E12522" s="17"/>
      <c r="F12522" s="17" t="s">
        <v>17246</v>
      </c>
      <c r="G12522" s="17"/>
      <c r="H12522" s="17" t="s">
        <v>23950</v>
      </c>
      <c r="I12522" s="17" t="s">
        <v>26604</v>
      </c>
      <c r="J12522" s="17" t="s">
        <v>47099</v>
      </c>
      <c r="K12522" s="17"/>
      <c r="L12522" s="17" t="s">
        <v>47100</v>
      </c>
      <c r="M12522" s="17"/>
      <c r="N12522" s="17" t="s">
        <v>26864</v>
      </c>
      <c r="O12522" s="17"/>
      <c r="P12522" s="17" t="s">
        <v>26865</v>
      </c>
      <c r="Q12522" s="17"/>
      <c r="R12522" s="25" t="str">
        <f>HYPERLINK("https://ictv.global/taxonomy/taxondetails?taxnode_id=202315122","Emaravirus fraxini")</f>
        <v>Emaravirus fraxini</v>
      </c>
      <c r="S12522" s="18" t="s">
        <v>30</v>
      </c>
      <c r="T12522" s="18" t="s">
        <v>26896</v>
      </c>
      <c r="U12522" s="18" t="s">
        <v>26897</v>
      </c>
      <c r="V12522" s="18"/>
      <c r="W12522" s="18" t="s">
        <v>47108</v>
      </c>
      <c r="X12522" s="18" t="s">
        <v>42</v>
      </c>
      <c r="Y12522" s="18" t="s">
        <v>23964</v>
      </c>
      <c r="Z12522" s="18" t="s">
        <v>13441</v>
      </c>
      <c r="AA12522" s="21" t="str">
        <f>HYPERLINK("https://www.ncbi.nlm.nih.gov/nuccore/OU466880,OU466881,OU466882,OU466883,OU466884","NCBI Nucleotide")</f>
        <v>NCBI Nucleotide</v>
      </c>
    </row>
    <row r="12523" spans="1:27" x14ac:dyDescent="0.35">
      <c r="A12523">
        <v>1011110</v>
      </c>
      <c r="B12523">
        <v>11801</v>
      </c>
      <c r="C12523">
        <v>1</v>
      </c>
      <c r="D12523" s="17" t="s">
        <v>17166</v>
      </c>
      <c r="E12523" s="17"/>
      <c r="F12523" s="17" t="s">
        <v>17246</v>
      </c>
      <c r="G12523" s="17"/>
      <c r="H12523" s="17" t="s">
        <v>23950</v>
      </c>
      <c r="I12523" s="17" t="s">
        <v>26604</v>
      </c>
      <c r="J12523" s="17" t="s">
        <v>47099</v>
      </c>
      <c r="K12523" s="17"/>
      <c r="L12523" s="17" t="s">
        <v>47100</v>
      </c>
      <c r="M12523" s="17"/>
      <c r="N12523" s="17" t="s">
        <v>26864</v>
      </c>
      <c r="O12523" s="17"/>
      <c r="P12523" s="17" t="s">
        <v>26865</v>
      </c>
      <c r="Q12523" s="17"/>
      <c r="R12523" s="25" t="str">
        <f>HYPERLINK("https://ictv.global/taxonomy/taxondetails?taxnode_id=202300015","Emaravirus idaeobati")</f>
        <v>Emaravirus idaeobati</v>
      </c>
      <c r="S12523" s="18" t="s">
        <v>30</v>
      </c>
      <c r="T12523" s="18" t="s">
        <v>26898</v>
      </c>
      <c r="U12523" s="18" t="s">
        <v>26899</v>
      </c>
      <c r="V12523" s="18" t="s">
        <v>26900</v>
      </c>
      <c r="W12523" s="18" t="s">
        <v>50560</v>
      </c>
      <c r="X12523" s="18" t="s">
        <v>42</v>
      </c>
      <c r="Y12523" s="18" t="s">
        <v>23964</v>
      </c>
      <c r="Z12523" s="18" t="s">
        <v>13441</v>
      </c>
      <c r="AA12523" s="21" t="str">
        <f>HYPERLINK("https://www.ncbi.nlm.nih.gov/nuccore/FR823299,FR823300,FR823301,FR823302,FR823303,KP970121,KP970122,KP970123","NCBI Nucleotide")</f>
        <v>NCBI Nucleotide</v>
      </c>
    </row>
    <row r="12524" spans="1:27" x14ac:dyDescent="0.35">
      <c r="A12524">
        <v>1011111</v>
      </c>
      <c r="B12524">
        <v>11802</v>
      </c>
      <c r="C12524">
        <v>1</v>
      </c>
      <c r="D12524" s="17" t="s">
        <v>17166</v>
      </c>
      <c r="E12524" s="17"/>
      <c r="F12524" s="17" t="s">
        <v>17246</v>
      </c>
      <c r="G12524" s="17"/>
      <c r="H12524" s="17" t="s">
        <v>23950</v>
      </c>
      <c r="I12524" s="17" t="s">
        <v>26604</v>
      </c>
      <c r="J12524" s="17" t="s">
        <v>47099</v>
      </c>
      <c r="K12524" s="17"/>
      <c r="L12524" s="17" t="s">
        <v>47100</v>
      </c>
      <c r="M12524" s="17"/>
      <c r="N12524" s="17" t="s">
        <v>26864</v>
      </c>
      <c r="O12524" s="17"/>
      <c r="P12524" s="17" t="s">
        <v>26865</v>
      </c>
      <c r="Q12524" s="17"/>
      <c r="R12524" s="25" t="str">
        <f>HYPERLINK("https://ictv.global/taxonomy/taxondetails?taxnode_id=202315124","Emaravirus illicii")</f>
        <v>Emaravirus illicii</v>
      </c>
      <c r="S12524" s="18" t="s">
        <v>30</v>
      </c>
      <c r="T12524" s="18" t="s">
        <v>26901</v>
      </c>
      <c r="U12524" s="18" t="s">
        <v>26902</v>
      </c>
      <c r="V12524" s="18"/>
      <c r="W12524" s="18" t="s">
        <v>26903</v>
      </c>
      <c r="X12524" s="18" t="s">
        <v>42</v>
      </c>
      <c r="Y12524" s="18" t="s">
        <v>23964</v>
      </c>
      <c r="Z12524" s="18" t="s">
        <v>13441</v>
      </c>
      <c r="AA12524" s="21" t="str">
        <f>HYPERLINK("https://www.ncbi.nlm.nih.gov/nuccore/LC597437,LC597438,LC597439,LC597440,LC597441","NCBI Nucleotide")</f>
        <v>NCBI Nucleotide</v>
      </c>
    </row>
    <row r="12525" spans="1:27" x14ac:dyDescent="0.35">
      <c r="A12525">
        <v>1011112</v>
      </c>
      <c r="B12525">
        <v>11803</v>
      </c>
      <c r="C12525">
        <v>1</v>
      </c>
      <c r="D12525" s="17" t="s">
        <v>17166</v>
      </c>
      <c r="E12525" s="17"/>
      <c r="F12525" s="17" t="s">
        <v>17246</v>
      </c>
      <c r="G12525" s="17"/>
      <c r="H12525" s="17" t="s">
        <v>23950</v>
      </c>
      <c r="I12525" s="17" t="s">
        <v>26604</v>
      </c>
      <c r="J12525" s="17" t="s">
        <v>47099</v>
      </c>
      <c r="K12525" s="17"/>
      <c r="L12525" s="17" t="s">
        <v>47100</v>
      </c>
      <c r="M12525" s="17"/>
      <c r="N12525" s="17" t="s">
        <v>26864</v>
      </c>
      <c r="O12525" s="17"/>
      <c r="P12525" s="17" t="s">
        <v>26865</v>
      </c>
      <c r="Q12525" s="17"/>
      <c r="R12525" s="25" t="str">
        <f>HYPERLINK("https://ictv.global/taxonomy/taxondetails?taxnode_id=202309331","Emaravirus kiwii")</f>
        <v>Emaravirus kiwii</v>
      </c>
      <c r="S12525" s="18" t="s">
        <v>30</v>
      </c>
      <c r="T12525" s="18" t="s">
        <v>26904</v>
      </c>
      <c r="U12525" s="18" t="s">
        <v>26905</v>
      </c>
      <c r="V12525" s="18" t="s">
        <v>26906</v>
      </c>
      <c r="W12525" s="18" t="s">
        <v>26907</v>
      </c>
      <c r="X12525" s="18" t="s">
        <v>35</v>
      </c>
      <c r="Y12525" s="18" t="s">
        <v>23964</v>
      </c>
      <c r="Z12525" s="18" t="s">
        <v>13441</v>
      </c>
      <c r="AA12525" s="21" t="str">
        <f>HYPERLINK("https://www.ncbi.nlm.nih.gov/nuccore/MK602171,MK602172,MK602173,MK602174,MK602175,MK602176","NCBI Nucleotide")</f>
        <v>NCBI Nucleotide</v>
      </c>
    </row>
    <row r="12526" spans="1:27" x14ac:dyDescent="0.35">
      <c r="A12526">
        <v>1027586</v>
      </c>
      <c r="B12526">
        <v>11804</v>
      </c>
      <c r="C12526">
        <v>1</v>
      </c>
      <c r="D12526" s="17" t="s">
        <v>17166</v>
      </c>
      <c r="E12526" s="17"/>
      <c r="F12526" s="17" t="s">
        <v>17246</v>
      </c>
      <c r="G12526" s="17"/>
      <c r="H12526" s="17" t="s">
        <v>23950</v>
      </c>
      <c r="I12526" s="17" t="s">
        <v>26604</v>
      </c>
      <c r="J12526" s="17" t="s">
        <v>47099</v>
      </c>
      <c r="K12526" s="17"/>
      <c r="L12526" s="17" t="s">
        <v>47100</v>
      </c>
      <c r="M12526" s="17"/>
      <c r="N12526" s="17" t="s">
        <v>26864</v>
      </c>
      <c r="O12526" s="17"/>
      <c r="P12526" s="17" t="s">
        <v>26865</v>
      </c>
      <c r="Q12526" s="17"/>
      <c r="R12526" s="25" t="str">
        <f>HYPERLINK("https://ictv.global/taxonomy/taxondetails?taxnode_id=202317934","Emaravirus kudzu")</f>
        <v>Emaravirus kudzu</v>
      </c>
      <c r="S12526" s="18" t="s">
        <v>30</v>
      </c>
      <c r="T12526" s="18" t="s">
        <v>47109</v>
      </c>
      <c r="U12526" s="18" t="s">
        <v>47110</v>
      </c>
      <c r="V12526" s="18" t="s">
        <v>50921</v>
      </c>
      <c r="W12526" s="18" t="s">
        <v>50561</v>
      </c>
      <c r="X12526" s="18" t="s">
        <v>42</v>
      </c>
      <c r="Y12526" s="18" t="s">
        <v>23964</v>
      </c>
      <c r="Z12526" s="18" t="s">
        <v>13441</v>
      </c>
      <c r="AA12526" s="21" t="str">
        <f>HYPERLINK("https://www.ncbi.nlm.nih.gov/nuccore/ON181430,ON181431,ON181432,ON181433,ON181434","NCBI Nucleotide")</f>
        <v>NCBI Nucleotide</v>
      </c>
    </row>
    <row r="12527" spans="1:27" x14ac:dyDescent="0.35">
      <c r="A12527">
        <v>1011113</v>
      </c>
      <c r="B12527">
        <v>11805</v>
      </c>
      <c r="C12527">
        <v>1</v>
      </c>
      <c r="D12527" s="17" t="s">
        <v>17166</v>
      </c>
      <c r="E12527" s="17"/>
      <c r="F12527" s="17" t="s">
        <v>17246</v>
      </c>
      <c r="G12527" s="17"/>
      <c r="H12527" s="17" t="s">
        <v>23950</v>
      </c>
      <c r="I12527" s="17" t="s">
        <v>26604</v>
      </c>
      <c r="J12527" s="17" t="s">
        <v>47099</v>
      </c>
      <c r="K12527" s="17"/>
      <c r="L12527" s="17" t="s">
        <v>47100</v>
      </c>
      <c r="M12527" s="17"/>
      <c r="N12527" s="17" t="s">
        <v>26864</v>
      </c>
      <c r="O12527" s="17"/>
      <c r="P12527" s="17" t="s">
        <v>26865</v>
      </c>
      <c r="Q12527" s="17"/>
      <c r="R12527" s="25" t="str">
        <f>HYPERLINK("https://ictv.global/taxonomy/taxondetails?taxnode_id=202309489","Emaravirus parkinsoniae")</f>
        <v>Emaravirus parkinsoniae</v>
      </c>
      <c r="S12527" s="18" t="s">
        <v>30</v>
      </c>
      <c r="T12527" s="18" t="s">
        <v>26908</v>
      </c>
      <c r="U12527" s="18" t="s">
        <v>26909</v>
      </c>
      <c r="V12527" s="18" t="s">
        <v>26910</v>
      </c>
      <c r="W12527" s="18" t="s">
        <v>26911</v>
      </c>
      <c r="X12527" s="18" t="s">
        <v>35</v>
      </c>
      <c r="Y12527" s="18" t="s">
        <v>23964</v>
      </c>
      <c r="Z12527" s="18" t="s">
        <v>13441</v>
      </c>
      <c r="AA12527" s="21" t="str">
        <f>HYPERLINK("https://www.ncbi.nlm.nih.gov/nuccore/MF766025,MF766030,MF766035,MF766040","NCBI Nucleotide")</f>
        <v>NCBI Nucleotide</v>
      </c>
    </row>
    <row r="12528" spans="1:27" x14ac:dyDescent="0.35">
      <c r="A12528">
        <v>1011114</v>
      </c>
      <c r="B12528">
        <v>11806</v>
      </c>
      <c r="C12528">
        <v>1</v>
      </c>
      <c r="D12528" s="17" t="s">
        <v>17166</v>
      </c>
      <c r="E12528" s="17"/>
      <c r="F12528" s="17" t="s">
        <v>17246</v>
      </c>
      <c r="G12528" s="17"/>
      <c r="H12528" s="17" t="s">
        <v>23950</v>
      </c>
      <c r="I12528" s="17" t="s">
        <v>26604</v>
      </c>
      <c r="J12528" s="17" t="s">
        <v>47099</v>
      </c>
      <c r="K12528" s="17"/>
      <c r="L12528" s="17" t="s">
        <v>47100</v>
      </c>
      <c r="M12528" s="17"/>
      <c r="N12528" s="17" t="s">
        <v>26864</v>
      </c>
      <c r="O12528" s="17"/>
      <c r="P12528" s="17" t="s">
        <v>26865</v>
      </c>
      <c r="Q12528" s="17"/>
      <c r="R12528" s="25" t="str">
        <f>HYPERLINK("https://ictv.global/taxonomy/taxondetails?taxnode_id=202309618","Emaravirus perillae")</f>
        <v>Emaravirus perillae</v>
      </c>
      <c r="S12528" s="18" t="s">
        <v>30</v>
      </c>
      <c r="T12528" s="18" t="s">
        <v>26912</v>
      </c>
      <c r="U12528" s="18" t="s">
        <v>26913</v>
      </c>
      <c r="V12528" s="18" t="s">
        <v>26914</v>
      </c>
      <c r="W12528" s="18" t="s">
        <v>26915</v>
      </c>
      <c r="X12528" s="18" t="s">
        <v>35</v>
      </c>
      <c r="Y12528" s="18" t="s">
        <v>23964</v>
      </c>
      <c r="Z12528" s="18" t="s">
        <v>13441</v>
      </c>
      <c r="AA12528" s="21" t="str">
        <f>HYPERLINK("https://www.ncbi.nlm.nih.gov/nuccore/LC496090,LC496091,LC496092,LC496093,LC496094,LC496095,LC496096,LC496097,LC496098,LC496099","NCBI Nucleotide")</f>
        <v>NCBI Nucleotide</v>
      </c>
    </row>
    <row r="12529" spans="1:27" x14ac:dyDescent="0.35">
      <c r="A12529">
        <v>1011115</v>
      </c>
      <c r="B12529">
        <v>11807</v>
      </c>
      <c r="C12529">
        <v>1</v>
      </c>
      <c r="D12529" s="17" t="s">
        <v>17166</v>
      </c>
      <c r="E12529" s="17"/>
      <c r="F12529" s="17" t="s">
        <v>17246</v>
      </c>
      <c r="G12529" s="17"/>
      <c r="H12529" s="17" t="s">
        <v>23950</v>
      </c>
      <c r="I12529" s="17" t="s">
        <v>26604</v>
      </c>
      <c r="J12529" s="17" t="s">
        <v>47099</v>
      </c>
      <c r="K12529" s="17"/>
      <c r="L12529" s="17" t="s">
        <v>47100</v>
      </c>
      <c r="M12529" s="17"/>
      <c r="N12529" s="17" t="s">
        <v>26864</v>
      </c>
      <c r="O12529" s="17"/>
      <c r="P12529" s="17" t="s">
        <v>26865</v>
      </c>
      <c r="Q12529" s="17"/>
      <c r="R12529" s="25" t="str">
        <f>HYPERLINK("https://ictv.global/taxonomy/taxondetails?taxnode_id=202307368","Emaravirus pistaciae")</f>
        <v>Emaravirus pistaciae</v>
      </c>
      <c r="S12529" s="18" t="s">
        <v>30</v>
      </c>
      <c r="T12529" s="18" t="s">
        <v>26916</v>
      </c>
      <c r="U12529" s="18" t="s">
        <v>26917</v>
      </c>
      <c r="V12529" s="18">
        <v>55</v>
      </c>
      <c r="W12529" s="18" t="s">
        <v>26918</v>
      </c>
      <c r="X12529" s="18" t="s">
        <v>42</v>
      </c>
      <c r="Y12529" s="18" t="s">
        <v>23964</v>
      </c>
      <c r="Z12529" s="18" t="s">
        <v>13441</v>
      </c>
      <c r="AA12529" s="21" t="str">
        <f>HYPERLINK("https://www.ncbi.nlm.nih.gov/nuccore/MH727572,MH727573,MH727574,MH727575,MH727576,MH727577,MH727578,MH727579","NCBI Nucleotide")</f>
        <v>NCBI Nucleotide</v>
      </c>
    </row>
    <row r="12530" spans="1:27" x14ac:dyDescent="0.35">
      <c r="A12530">
        <v>1011116</v>
      </c>
      <c r="B12530">
        <v>11808</v>
      </c>
      <c r="C12530">
        <v>1</v>
      </c>
      <c r="D12530" s="17" t="s">
        <v>17166</v>
      </c>
      <c r="E12530" s="17"/>
      <c r="F12530" s="17" t="s">
        <v>17246</v>
      </c>
      <c r="G12530" s="17"/>
      <c r="H12530" s="17" t="s">
        <v>23950</v>
      </c>
      <c r="I12530" s="17" t="s">
        <v>26604</v>
      </c>
      <c r="J12530" s="17" t="s">
        <v>47099</v>
      </c>
      <c r="K12530" s="17"/>
      <c r="L12530" s="17" t="s">
        <v>47100</v>
      </c>
      <c r="M12530" s="17"/>
      <c r="N12530" s="17" t="s">
        <v>26864</v>
      </c>
      <c r="O12530" s="17"/>
      <c r="P12530" s="17" t="s">
        <v>26865</v>
      </c>
      <c r="Q12530" s="17"/>
      <c r="R12530" s="25" t="str">
        <f>HYPERLINK("https://ictv.global/taxonomy/taxondetails?taxnode_id=202309371","Emaravirus populi")</f>
        <v>Emaravirus populi</v>
      </c>
      <c r="S12530" s="18" t="s">
        <v>30</v>
      </c>
      <c r="T12530" s="18" t="s">
        <v>26919</v>
      </c>
      <c r="U12530" s="18" t="s">
        <v>26920</v>
      </c>
      <c r="V12530" s="18" t="s">
        <v>26921</v>
      </c>
      <c r="W12530" s="18" t="s">
        <v>26922</v>
      </c>
      <c r="X12530" s="18" t="s">
        <v>35</v>
      </c>
      <c r="Y12530" s="18" t="s">
        <v>23964</v>
      </c>
      <c r="Z12530" s="18" t="s">
        <v>13441</v>
      </c>
      <c r="AA12530" s="21" t="str">
        <f>HYPERLINK("https://www.ncbi.nlm.nih.gov/nuccore/LR742461,LR742462,LR742463,LR742464,LR742465","NCBI Nucleotide")</f>
        <v>NCBI Nucleotide</v>
      </c>
    </row>
    <row r="12531" spans="1:27" x14ac:dyDescent="0.35">
      <c r="A12531">
        <v>1011117</v>
      </c>
      <c r="B12531">
        <v>11809</v>
      </c>
      <c r="C12531">
        <v>1</v>
      </c>
      <c r="D12531" s="17" t="s">
        <v>17166</v>
      </c>
      <c r="E12531" s="17"/>
      <c r="F12531" s="17" t="s">
        <v>17246</v>
      </c>
      <c r="G12531" s="17"/>
      <c r="H12531" s="17" t="s">
        <v>23950</v>
      </c>
      <c r="I12531" s="17" t="s">
        <v>26604</v>
      </c>
      <c r="J12531" s="17" t="s">
        <v>47099</v>
      </c>
      <c r="K12531" s="17"/>
      <c r="L12531" s="17" t="s">
        <v>47100</v>
      </c>
      <c r="M12531" s="17"/>
      <c r="N12531" s="17" t="s">
        <v>26864</v>
      </c>
      <c r="O12531" s="17"/>
      <c r="P12531" s="17" t="s">
        <v>26865</v>
      </c>
      <c r="Q12531" s="17"/>
      <c r="R12531" s="25" t="str">
        <f>HYPERLINK("https://ictv.global/taxonomy/taxondetails?taxnode_id=202309546","Emaravirus pyri")</f>
        <v>Emaravirus pyri</v>
      </c>
      <c r="S12531" s="18" t="s">
        <v>30</v>
      </c>
      <c r="T12531" s="18" t="s">
        <v>26923</v>
      </c>
      <c r="U12531" s="18" t="s">
        <v>26924</v>
      </c>
      <c r="V12531" s="18" t="s">
        <v>26925</v>
      </c>
      <c r="W12531" s="18" t="s">
        <v>26926</v>
      </c>
      <c r="X12531" s="18" t="s">
        <v>42</v>
      </c>
      <c r="Y12531" s="18" t="s">
        <v>23964</v>
      </c>
      <c r="Z12531" s="18" t="s">
        <v>13441</v>
      </c>
      <c r="AA12531" s="21" t="str">
        <f>HYPERLINK("https://www.ncbi.nlm.nih.gov/nuccore/MK602177,MK602178,MK602179,MK602180,MK602181","NCBI Nucleotide")</f>
        <v>NCBI Nucleotide</v>
      </c>
    </row>
    <row r="12532" spans="1:27" x14ac:dyDescent="0.35">
      <c r="A12532">
        <v>1011118</v>
      </c>
      <c r="B12532">
        <v>11810</v>
      </c>
      <c r="C12532">
        <v>1</v>
      </c>
      <c r="D12532" s="17" t="s">
        <v>17166</v>
      </c>
      <c r="E12532" s="17"/>
      <c r="F12532" s="17" t="s">
        <v>17246</v>
      </c>
      <c r="G12532" s="17"/>
      <c r="H12532" s="17" t="s">
        <v>23950</v>
      </c>
      <c r="I12532" s="17" t="s">
        <v>26604</v>
      </c>
      <c r="J12532" s="17" t="s">
        <v>47099</v>
      </c>
      <c r="K12532" s="17"/>
      <c r="L12532" s="17" t="s">
        <v>47100</v>
      </c>
      <c r="M12532" s="17"/>
      <c r="N12532" s="17" t="s">
        <v>26864</v>
      </c>
      <c r="O12532" s="17"/>
      <c r="P12532" s="17" t="s">
        <v>26865</v>
      </c>
      <c r="Q12532" s="17"/>
      <c r="R12532" s="25" t="str">
        <f>HYPERLINK("https://ictv.global/taxonomy/taxondetails?taxnode_id=202313866","Emaravirus quercus")</f>
        <v>Emaravirus quercus</v>
      </c>
      <c r="S12532" s="18" t="s">
        <v>30</v>
      </c>
      <c r="T12532" s="18" t="s">
        <v>26927</v>
      </c>
      <c r="U12532" s="18" t="s">
        <v>26928</v>
      </c>
      <c r="V12532" s="18" t="s">
        <v>26929</v>
      </c>
      <c r="W12532" s="18" t="s">
        <v>26930</v>
      </c>
      <c r="X12532" s="18" t="s">
        <v>35</v>
      </c>
      <c r="Y12532" s="18" t="s">
        <v>23964</v>
      </c>
      <c r="Z12532" s="18" t="s">
        <v>13441</v>
      </c>
      <c r="AA12532" s="21" t="str">
        <f>HYPERLINK("https://www.ncbi.nlm.nih.gov/nuccore/LR828198,LR828199,LR828200,LR828201,LR828202","NCBI Nucleotide")</f>
        <v>NCBI Nucleotide</v>
      </c>
    </row>
    <row r="12533" spans="1:27" x14ac:dyDescent="0.35">
      <c r="A12533">
        <v>1011119</v>
      </c>
      <c r="B12533">
        <v>11811</v>
      </c>
      <c r="C12533">
        <v>1</v>
      </c>
      <c r="D12533" s="17" t="s">
        <v>17166</v>
      </c>
      <c r="E12533" s="17"/>
      <c r="F12533" s="17" t="s">
        <v>17246</v>
      </c>
      <c r="G12533" s="17"/>
      <c r="H12533" s="17" t="s">
        <v>23950</v>
      </c>
      <c r="I12533" s="17" t="s">
        <v>26604</v>
      </c>
      <c r="J12533" s="17" t="s">
        <v>47099</v>
      </c>
      <c r="K12533" s="17"/>
      <c r="L12533" s="17" t="s">
        <v>47100</v>
      </c>
      <c r="M12533" s="17"/>
      <c r="N12533" s="17" t="s">
        <v>26864</v>
      </c>
      <c r="O12533" s="17"/>
      <c r="P12533" s="17" t="s">
        <v>26865</v>
      </c>
      <c r="Q12533" s="17"/>
      <c r="R12533" s="25" t="str">
        <f>HYPERLINK("https://ictv.global/taxonomy/taxondetails?taxnode_id=202300017","Emaravirus rosae")</f>
        <v>Emaravirus rosae</v>
      </c>
      <c r="S12533" s="18" t="s">
        <v>30</v>
      </c>
      <c r="T12533" s="18" t="s">
        <v>26931</v>
      </c>
      <c r="U12533" s="18" t="s">
        <v>18740</v>
      </c>
      <c r="V12533" s="18" t="s">
        <v>26932</v>
      </c>
      <c r="W12533" s="18" t="s">
        <v>26933</v>
      </c>
      <c r="X12533" s="18" t="s">
        <v>42</v>
      </c>
      <c r="Y12533" s="18" t="s">
        <v>23964</v>
      </c>
      <c r="Z12533" s="18" t="s">
        <v>13441</v>
      </c>
      <c r="AA12533" s="21" t="str">
        <f>HYPERLINK("https://www.ncbi.nlm.nih.gov/nuccore/HQ871942,HQ871943,HQ871944,HQ871945,KM007081,KM007082,KM007083","NCBI Nucleotide")</f>
        <v>NCBI Nucleotide</v>
      </c>
    </row>
    <row r="12534" spans="1:27" x14ac:dyDescent="0.35">
      <c r="A12534">
        <v>1011120</v>
      </c>
      <c r="B12534">
        <v>11812</v>
      </c>
      <c r="C12534">
        <v>1</v>
      </c>
      <c r="D12534" s="17" t="s">
        <v>17166</v>
      </c>
      <c r="E12534" s="17"/>
      <c r="F12534" s="17" t="s">
        <v>17246</v>
      </c>
      <c r="G12534" s="17"/>
      <c r="H12534" s="17" t="s">
        <v>23950</v>
      </c>
      <c r="I12534" s="17" t="s">
        <v>26604</v>
      </c>
      <c r="J12534" s="17" t="s">
        <v>47099</v>
      </c>
      <c r="K12534" s="17"/>
      <c r="L12534" s="17" t="s">
        <v>47100</v>
      </c>
      <c r="M12534" s="17"/>
      <c r="N12534" s="17" t="s">
        <v>26864</v>
      </c>
      <c r="O12534" s="17"/>
      <c r="P12534" s="17" t="s">
        <v>26865</v>
      </c>
      <c r="Q12534" s="17"/>
      <c r="R12534" s="25" t="str">
        <f>HYPERLINK("https://ictv.global/taxonomy/taxondetails?taxnode_id=202307357","Emaravirus rubi")</f>
        <v>Emaravirus rubi</v>
      </c>
      <c r="S12534" s="18" t="s">
        <v>30</v>
      </c>
      <c r="T12534" s="18" t="s">
        <v>26934</v>
      </c>
      <c r="U12534" s="18" t="s">
        <v>26935</v>
      </c>
      <c r="V12534" s="18" t="s">
        <v>19744</v>
      </c>
      <c r="W12534" s="18" t="s">
        <v>26936</v>
      </c>
      <c r="X12534" s="18" t="s">
        <v>42</v>
      </c>
      <c r="Y12534" s="18" t="s">
        <v>23964</v>
      </c>
      <c r="Z12534" s="18" t="s">
        <v>13441</v>
      </c>
      <c r="AA12534" s="21" t="str">
        <f>HYPERLINK("https://www.ncbi.nlm.nih.gov/nuccore/KY056657,KY056658,KY056659,KY056660,KY056661","NCBI Nucleotide")</f>
        <v>NCBI Nucleotide</v>
      </c>
    </row>
    <row r="12535" spans="1:27" x14ac:dyDescent="0.35">
      <c r="A12535">
        <v>1011121</v>
      </c>
      <c r="B12535">
        <v>11813</v>
      </c>
      <c r="C12535">
        <v>1</v>
      </c>
      <c r="D12535" s="17" t="s">
        <v>17166</v>
      </c>
      <c r="E12535" s="17"/>
      <c r="F12535" s="17" t="s">
        <v>17246</v>
      </c>
      <c r="G12535" s="17"/>
      <c r="H12535" s="17" t="s">
        <v>23950</v>
      </c>
      <c r="I12535" s="17" t="s">
        <v>26604</v>
      </c>
      <c r="J12535" s="17" t="s">
        <v>47099</v>
      </c>
      <c r="K12535" s="17"/>
      <c r="L12535" s="17" t="s">
        <v>47100</v>
      </c>
      <c r="M12535" s="17"/>
      <c r="N12535" s="17" t="s">
        <v>26864</v>
      </c>
      <c r="O12535" s="17"/>
      <c r="P12535" s="17" t="s">
        <v>26865</v>
      </c>
      <c r="Q12535" s="17"/>
      <c r="R12535" s="25" t="str">
        <f>HYPERLINK("https://ictv.global/taxonomy/taxondetails?taxnode_id=202300010","Emaravirus sorbi")</f>
        <v>Emaravirus sorbi</v>
      </c>
      <c r="S12535" s="18" t="s">
        <v>30</v>
      </c>
      <c r="T12535" s="18" t="s">
        <v>26937</v>
      </c>
      <c r="U12535" s="18" t="s">
        <v>26938</v>
      </c>
      <c r="V12535" s="18" t="s">
        <v>26939</v>
      </c>
      <c r="W12535" s="18" t="s">
        <v>50562</v>
      </c>
      <c r="X12535" s="18" t="s">
        <v>42</v>
      </c>
      <c r="Y12535" s="18" t="s">
        <v>23964</v>
      </c>
      <c r="Z12535" s="18" t="s">
        <v>13441</v>
      </c>
      <c r="AA12535" s="21" t="str">
        <f>HYPERLINK("https://www.ncbi.nlm.nih.gov/nuccore/AY563040,AY563041,DQ831831,DQ831828","NCBI Nucleotide")</f>
        <v>NCBI Nucleotide</v>
      </c>
    </row>
    <row r="12536" spans="1:27" x14ac:dyDescent="0.35">
      <c r="A12536">
        <v>1011122</v>
      </c>
      <c r="B12536">
        <v>11814</v>
      </c>
      <c r="C12536">
        <v>1</v>
      </c>
      <c r="D12536" s="17" t="s">
        <v>17166</v>
      </c>
      <c r="E12536" s="17"/>
      <c r="F12536" s="17" t="s">
        <v>17246</v>
      </c>
      <c r="G12536" s="17"/>
      <c r="H12536" s="17" t="s">
        <v>23950</v>
      </c>
      <c r="I12536" s="17" t="s">
        <v>26604</v>
      </c>
      <c r="J12536" s="17" t="s">
        <v>47099</v>
      </c>
      <c r="K12536" s="17"/>
      <c r="L12536" s="17" t="s">
        <v>47100</v>
      </c>
      <c r="M12536" s="17"/>
      <c r="N12536" s="17" t="s">
        <v>26864</v>
      </c>
      <c r="O12536" s="17"/>
      <c r="P12536" s="17" t="s">
        <v>26865</v>
      </c>
      <c r="Q12536" s="17"/>
      <c r="R12536" s="25" t="str">
        <f>HYPERLINK("https://ictv.global/taxonomy/taxondetails?taxnode_id=202309383","Emaravirus syringae")</f>
        <v>Emaravirus syringae</v>
      </c>
      <c r="S12536" s="18" t="s">
        <v>30</v>
      </c>
      <c r="T12536" s="18" t="s">
        <v>26940</v>
      </c>
      <c r="U12536" s="18" t="s">
        <v>26941</v>
      </c>
      <c r="V12536" s="18" t="s">
        <v>26942</v>
      </c>
      <c r="W12536" s="18" t="s">
        <v>26943</v>
      </c>
      <c r="X12536" s="18" t="s">
        <v>35</v>
      </c>
      <c r="Y12536" s="18" t="s">
        <v>23964</v>
      </c>
      <c r="Z12536" s="18" t="s">
        <v>13441</v>
      </c>
      <c r="AA12536" s="21" t="str">
        <f>HYPERLINK("https://www.ncbi.nlm.nih.gov/nuccore/MT112174,MT112175,MT112176,MT112177,MT112178","NCBI Nucleotide")</f>
        <v>NCBI Nucleotide</v>
      </c>
    </row>
    <row r="12537" spans="1:27" x14ac:dyDescent="0.35">
      <c r="A12537">
        <v>1011123</v>
      </c>
      <c r="B12537">
        <v>11815</v>
      </c>
      <c r="C12537">
        <v>1</v>
      </c>
      <c r="D12537" s="17" t="s">
        <v>17166</v>
      </c>
      <c r="E12537" s="17"/>
      <c r="F12537" s="17" t="s">
        <v>17246</v>
      </c>
      <c r="G12537" s="17"/>
      <c r="H12537" s="17" t="s">
        <v>23950</v>
      </c>
      <c r="I12537" s="17" t="s">
        <v>26604</v>
      </c>
      <c r="J12537" s="17" t="s">
        <v>47099</v>
      </c>
      <c r="K12537" s="17"/>
      <c r="L12537" s="17" t="s">
        <v>47100</v>
      </c>
      <c r="M12537" s="17"/>
      <c r="N12537" s="17" t="s">
        <v>26864</v>
      </c>
      <c r="O12537" s="17"/>
      <c r="P12537" s="17" t="s">
        <v>26865</v>
      </c>
      <c r="Q12537" s="17"/>
      <c r="R12537" s="25" t="str">
        <f>HYPERLINK("https://ictv.global/taxonomy/taxondetails?taxnode_id=202300014","Emaravirus toordali")</f>
        <v>Emaravirus toordali</v>
      </c>
      <c r="S12537" s="18" t="s">
        <v>30</v>
      </c>
      <c r="T12537" s="18" t="s">
        <v>26944</v>
      </c>
      <c r="U12537" s="18" t="s">
        <v>26945</v>
      </c>
      <c r="V12537" s="18" t="s">
        <v>26946</v>
      </c>
      <c r="W12537" s="18" t="s">
        <v>26947</v>
      </c>
      <c r="X12537" s="18" t="s">
        <v>42</v>
      </c>
      <c r="Y12537" s="18" t="s">
        <v>23964</v>
      </c>
      <c r="Z12537" s="18" t="s">
        <v>13441</v>
      </c>
      <c r="AA12537" s="21" t="str">
        <f>HYPERLINK("https://www.ncbi.nlm.nih.gov/nuccore/HF912243,HF912244,HF912245,HF912246,HG939489,HG939490","NCBI Nucleotide")</f>
        <v>NCBI Nucleotide</v>
      </c>
    </row>
    <row r="12538" spans="1:27" x14ac:dyDescent="0.35">
      <c r="A12538">
        <v>1011124</v>
      </c>
      <c r="B12538">
        <v>11816</v>
      </c>
      <c r="C12538">
        <v>1</v>
      </c>
      <c r="D12538" s="17" t="s">
        <v>17166</v>
      </c>
      <c r="E12538" s="17"/>
      <c r="F12538" s="17" t="s">
        <v>17246</v>
      </c>
      <c r="G12538" s="17"/>
      <c r="H12538" s="17" t="s">
        <v>23950</v>
      </c>
      <c r="I12538" s="17" t="s">
        <v>26604</v>
      </c>
      <c r="J12538" s="17" t="s">
        <v>47099</v>
      </c>
      <c r="K12538" s="17"/>
      <c r="L12538" s="17" t="s">
        <v>47100</v>
      </c>
      <c r="M12538" s="17"/>
      <c r="N12538" s="17" t="s">
        <v>26864</v>
      </c>
      <c r="O12538" s="17"/>
      <c r="P12538" s="17" t="s">
        <v>26865</v>
      </c>
      <c r="Q12538" s="17"/>
      <c r="R12538" s="25" t="str">
        <f>HYPERLINK("https://ictv.global/taxonomy/taxondetails?taxnode_id=202300012","Emaravirus tritici")</f>
        <v>Emaravirus tritici</v>
      </c>
      <c r="S12538" s="18" t="s">
        <v>30</v>
      </c>
      <c r="T12538" s="18" t="s">
        <v>26948</v>
      </c>
      <c r="U12538" s="18" t="s">
        <v>26949</v>
      </c>
      <c r="V12538" s="18" t="s">
        <v>26950</v>
      </c>
      <c r="W12538" s="18" t="s">
        <v>26951</v>
      </c>
      <c r="X12538" s="18" t="s">
        <v>42</v>
      </c>
      <c r="Y12538" s="18" t="s">
        <v>23964</v>
      </c>
      <c r="Z12538" s="18" t="s">
        <v>13441</v>
      </c>
      <c r="AA12538" s="21" t="str">
        <f>HYPERLINK("https://www.ncbi.nlm.nih.gov/nuccore/KJ939623,KJ939624,KJ939626,KJ939627,KJ939628,KJ939629,KJ939630,KJ939631","NCBI Nucleotide")</f>
        <v>NCBI Nucleotide</v>
      </c>
    </row>
    <row r="12539" spans="1:27" x14ac:dyDescent="0.35">
      <c r="A12539">
        <v>1011125</v>
      </c>
      <c r="B12539">
        <v>11817</v>
      </c>
      <c r="C12539">
        <v>1</v>
      </c>
      <c r="D12539" s="17" t="s">
        <v>17166</v>
      </c>
      <c r="E12539" s="17"/>
      <c r="F12539" s="17" t="s">
        <v>17246</v>
      </c>
      <c r="G12539" s="17"/>
      <c r="H12539" s="17" t="s">
        <v>23950</v>
      </c>
      <c r="I12539" s="17" t="s">
        <v>26604</v>
      </c>
      <c r="J12539" s="17" t="s">
        <v>47099</v>
      </c>
      <c r="K12539" s="17"/>
      <c r="L12539" s="17" t="s">
        <v>47100</v>
      </c>
      <c r="M12539" s="17"/>
      <c r="N12539" s="17" t="s">
        <v>26864</v>
      </c>
      <c r="O12539" s="17"/>
      <c r="P12539" s="17" t="s">
        <v>26865</v>
      </c>
      <c r="Q12539" s="17"/>
      <c r="R12539" s="25" t="str">
        <f>HYPERLINK("https://ictv.global/taxonomy/taxondetails?taxnode_id=202309601","Emaravirus verbanni")</f>
        <v>Emaravirus verbanni</v>
      </c>
      <c r="S12539" s="18" t="s">
        <v>30</v>
      </c>
      <c r="T12539" s="18" t="s">
        <v>26952</v>
      </c>
      <c r="U12539" s="18" t="s">
        <v>26953</v>
      </c>
      <c r="V12539" s="18" t="s">
        <v>26878</v>
      </c>
      <c r="W12539" s="18" t="s">
        <v>26954</v>
      </c>
      <c r="X12539" s="18" t="s">
        <v>35</v>
      </c>
      <c r="Y12539" s="18" t="s">
        <v>23964</v>
      </c>
      <c r="Z12539" s="18" t="s">
        <v>13441</v>
      </c>
      <c r="AA12539" s="21" t="str">
        <f>HYPERLINK("https://www.ncbi.nlm.nih.gov/nuccore/MN385577,MN385578,MN385579,MN385580","NCBI Nucleotide")</f>
        <v>NCBI Nucleotide</v>
      </c>
    </row>
    <row r="12540" spans="1:27" x14ac:dyDescent="0.35">
      <c r="A12540">
        <v>1011126</v>
      </c>
      <c r="B12540">
        <v>11818</v>
      </c>
      <c r="C12540">
        <v>1</v>
      </c>
      <c r="D12540" s="17" t="s">
        <v>17166</v>
      </c>
      <c r="E12540" s="17"/>
      <c r="F12540" s="17" t="s">
        <v>17246</v>
      </c>
      <c r="G12540" s="17"/>
      <c r="H12540" s="17" t="s">
        <v>23950</v>
      </c>
      <c r="I12540" s="17" t="s">
        <v>26604</v>
      </c>
      <c r="J12540" s="17" t="s">
        <v>47099</v>
      </c>
      <c r="K12540" s="17"/>
      <c r="L12540" s="17" t="s">
        <v>47100</v>
      </c>
      <c r="M12540" s="17"/>
      <c r="N12540" s="17" t="s">
        <v>26864</v>
      </c>
      <c r="O12540" s="17"/>
      <c r="P12540" s="17" t="s">
        <v>26865</v>
      </c>
      <c r="Q12540" s="17"/>
      <c r="R12540" s="25" t="str">
        <f>HYPERLINK("https://ictv.global/taxonomy/taxondetails?taxnode_id=202315121","Emaravirus visci")</f>
        <v>Emaravirus visci</v>
      </c>
      <c r="S12540" s="18" t="s">
        <v>30</v>
      </c>
      <c r="T12540" s="18" t="s">
        <v>26955</v>
      </c>
      <c r="U12540" s="18" t="s">
        <v>26956</v>
      </c>
      <c r="V12540" s="18"/>
      <c r="W12540" s="18" t="s">
        <v>26957</v>
      </c>
      <c r="X12540" s="18" t="s">
        <v>42</v>
      </c>
      <c r="Y12540" s="18" t="s">
        <v>23964</v>
      </c>
      <c r="Z12540" s="18" t="s">
        <v>13441</v>
      </c>
      <c r="AA12540" s="21" t="str">
        <f>HYPERLINK("https://www.ncbi.nlm.nih.gov/nuccore/BK059263,BK059264,BK059265,BK059266,BK059267","NCBI Nucleotide")</f>
        <v>NCBI Nucleotide</v>
      </c>
    </row>
    <row r="12541" spans="1:27" x14ac:dyDescent="0.35">
      <c r="A12541">
        <v>1011127</v>
      </c>
      <c r="B12541">
        <v>11819</v>
      </c>
      <c r="C12541">
        <v>1</v>
      </c>
      <c r="D12541" s="17" t="s">
        <v>17166</v>
      </c>
      <c r="E12541" s="17"/>
      <c r="F12541" s="17" t="s">
        <v>17246</v>
      </c>
      <c r="G12541" s="17"/>
      <c r="H12541" s="17" t="s">
        <v>23950</v>
      </c>
      <c r="I12541" s="17" t="s">
        <v>26604</v>
      </c>
      <c r="J12541" s="17" t="s">
        <v>47099</v>
      </c>
      <c r="K12541" s="17"/>
      <c r="L12541" s="17" t="s">
        <v>47100</v>
      </c>
      <c r="M12541" s="17"/>
      <c r="N12541" s="17" t="s">
        <v>26864</v>
      </c>
      <c r="O12541" s="17"/>
      <c r="P12541" s="17" t="s">
        <v>26865</v>
      </c>
      <c r="Q12541" s="17"/>
      <c r="R12541" s="25" t="str">
        <f>HYPERLINK("https://ictv.global/taxonomy/taxondetails?taxnode_id=202315123","Emaravirus vitis")</f>
        <v>Emaravirus vitis</v>
      </c>
      <c r="S12541" s="18" t="s">
        <v>30</v>
      </c>
      <c r="T12541" s="18" t="s">
        <v>26958</v>
      </c>
      <c r="U12541" s="18" t="s">
        <v>26959</v>
      </c>
      <c r="V12541" s="18"/>
      <c r="W12541" s="18" t="s">
        <v>26960</v>
      </c>
      <c r="X12541" s="18" t="s">
        <v>42</v>
      </c>
      <c r="Y12541" s="18" t="s">
        <v>23964</v>
      </c>
      <c r="Z12541" s="18" t="s">
        <v>13441</v>
      </c>
      <c r="AA12541" s="21" t="str">
        <f>HYPERLINK("https://www.ncbi.nlm.nih.gov/nuccore/LC604727,LC604728,LC604729,LC604730,LC604731","NCBI Nucleotide")</f>
        <v>NCBI Nucleotide</v>
      </c>
    </row>
    <row r="12542" spans="1:27" x14ac:dyDescent="0.35">
      <c r="A12542">
        <v>1011128</v>
      </c>
      <c r="B12542">
        <v>11820</v>
      </c>
      <c r="C12542">
        <v>1</v>
      </c>
      <c r="D12542" s="17" t="s">
        <v>17166</v>
      </c>
      <c r="E12542" s="17"/>
      <c r="F12542" s="17" t="s">
        <v>17246</v>
      </c>
      <c r="G12542" s="17"/>
      <c r="H12542" s="17" t="s">
        <v>23950</v>
      </c>
      <c r="I12542" s="17" t="s">
        <v>26604</v>
      </c>
      <c r="J12542" s="17" t="s">
        <v>47099</v>
      </c>
      <c r="K12542" s="17"/>
      <c r="L12542" s="17" t="s">
        <v>47100</v>
      </c>
      <c r="M12542" s="17"/>
      <c r="N12542" s="17" t="s">
        <v>26864</v>
      </c>
      <c r="O12542" s="17"/>
      <c r="P12542" s="17" t="s">
        <v>26865</v>
      </c>
      <c r="Q12542" s="17"/>
      <c r="R12542" s="25" t="str">
        <f>HYPERLINK("https://ictv.global/taxonomy/taxondetails?taxnode_id=202309614","Emaravirus ziziphi")</f>
        <v>Emaravirus ziziphi</v>
      </c>
      <c r="S12542" s="18" t="s">
        <v>30</v>
      </c>
      <c r="T12542" s="18" t="s">
        <v>26961</v>
      </c>
      <c r="U12542" s="18" t="s">
        <v>26962</v>
      </c>
      <c r="V12542" s="18" t="s">
        <v>26963</v>
      </c>
      <c r="W12542" s="18" t="s">
        <v>26964</v>
      </c>
      <c r="X12542" s="18" t="s">
        <v>35</v>
      </c>
      <c r="Y12542" s="18" t="s">
        <v>23964</v>
      </c>
      <c r="Z12542" s="18" t="s">
        <v>13441</v>
      </c>
      <c r="AA12542" s="21" t="str">
        <f>HYPERLINK("https://www.ncbi.nlm.nih.gov/nuccore/MK305894,MK305895,MK305896,MK305897,MK305898,MK305899","NCBI Nucleotide")</f>
        <v>NCBI Nucleotide</v>
      </c>
    </row>
    <row r="12543" spans="1:27" x14ac:dyDescent="0.35">
      <c r="A12543">
        <v>1011129</v>
      </c>
      <c r="B12543">
        <v>11821</v>
      </c>
      <c r="C12543">
        <v>1</v>
      </c>
      <c r="D12543" s="17" t="s">
        <v>17166</v>
      </c>
      <c r="E12543" s="17"/>
      <c r="F12543" s="17" t="s">
        <v>17246</v>
      </c>
      <c r="G12543" s="17"/>
      <c r="H12543" s="17" t="s">
        <v>23950</v>
      </c>
      <c r="I12543" s="17" t="s">
        <v>26604</v>
      </c>
      <c r="J12543" s="17" t="s">
        <v>47099</v>
      </c>
      <c r="K12543" s="17"/>
      <c r="L12543" s="17" t="s">
        <v>47100</v>
      </c>
      <c r="M12543" s="17"/>
      <c r="N12543" s="17" t="s">
        <v>26965</v>
      </c>
      <c r="O12543" s="17" t="s">
        <v>26966</v>
      </c>
      <c r="P12543" s="17" t="s">
        <v>26967</v>
      </c>
      <c r="Q12543" s="17"/>
      <c r="R12543" s="25" t="str">
        <f>HYPERLINK("https://ictv.global/taxonomy/taxondetails?taxnode_id=202309699","Actinovirus bernense")</f>
        <v>Actinovirus bernense</v>
      </c>
      <c r="S12543" s="18" t="s">
        <v>30</v>
      </c>
      <c r="T12543" s="18" t="s">
        <v>26968</v>
      </c>
      <c r="U12543" s="18" t="s">
        <v>26969</v>
      </c>
      <c r="V12543" s="18" t="s">
        <v>26970</v>
      </c>
      <c r="W12543" s="18" t="s">
        <v>26971</v>
      </c>
      <c r="X12543" s="18" t="s">
        <v>42</v>
      </c>
      <c r="Y12543" s="18" t="s">
        <v>23964</v>
      </c>
      <c r="Z12543" s="18" t="s">
        <v>166</v>
      </c>
      <c r="AA12543" s="21" t="str">
        <f>HYPERLINK("https://www.ncbi.nlm.nih.gov/nuccore/MN510769,MN510770,MN510771","NCBI Nucleotide")</f>
        <v>NCBI Nucleotide</v>
      </c>
    </row>
    <row r="12544" spans="1:27" x14ac:dyDescent="0.35">
      <c r="A12544">
        <v>1011130</v>
      </c>
      <c r="B12544">
        <v>11822</v>
      </c>
      <c r="C12544">
        <v>1</v>
      </c>
      <c r="D12544" s="17" t="s">
        <v>17166</v>
      </c>
      <c r="E12544" s="17"/>
      <c r="F12544" s="17" t="s">
        <v>17246</v>
      </c>
      <c r="G12544" s="17"/>
      <c r="H12544" s="17" t="s">
        <v>23950</v>
      </c>
      <c r="I12544" s="17" t="s">
        <v>26604</v>
      </c>
      <c r="J12544" s="17" t="s">
        <v>47099</v>
      </c>
      <c r="K12544" s="17"/>
      <c r="L12544" s="17" t="s">
        <v>47100</v>
      </c>
      <c r="M12544" s="17"/>
      <c r="N12544" s="17" t="s">
        <v>26965</v>
      </c>
      <c r="O12544" s="17" t="s">
        <v>26966</v>
      </c>
      <c r="P12544" s="17" t="s">
        <v>26967</v>
      </c>
      <c r="Q12544" s="17"/>
      <c r="R12544" s="25" t="str">
        <f>HYPERLINK("https://ictv.global/taxonomy/taxondetails?taxnode_id=202306428","Actinovirus halieutaeae")</f>
        <v>Actinovirus halieutaeae</v>
      </c>
      <c r="S12544" s="18" t="s">
        <v>30</v>
      </c>
      <c r="T12544" s="18" t="s">
        <v>26972</v>
      </c>
      <c r="U12544" s="18" t="s">
        <v>26973</v>
      </c>
      <c r="V12544" s="18" t="s">
        <v>26974</v>
      </c>
      <c r="W12544" s="18" t="s">
        <v>50782</v>
      </c>
      <c r="X12544" s="18" t="s">
        <v>154</v>
      </c>
      <c r="Y12544" s="18" t="s">
        <v>23964</v>
      </c>
      <c r="Z12544" s="18" t="s">
        <v>166</v>
      </c>
      <c r="AA12544" s="21" t="str">
        <f>HYPERLINK("https://www.ncbi.nlm.nih.gov/nuccore/MG599943,MG599944,MG599945","NCBI Nucleotide")</f>
        <v>NCBI Nucleotide</v>
      </c>
    </row>
    <row r="12545" spans="1:27" x14ac:dyDescent="0.35">
      <c r="A12545">
        <v>1011132</v>
      </c>
      <c r="B12545">
        <v>11823</v>
      </c>
      <c r="C12545">
        <v>1</v>
      </c>
      <c r="D12545" s="17" t="s">
        <v>17166</v>
      </c>
      <c r="E12545" s="17"/>
      <c r="F12545" s="17" t="s">
        <v>17246</v>
      </c>
      <c r="G12545" s="17"/>
      <c r="H12545" s="17" t="s">
        <v>23950</v>
      </c>
      <c r="I12545" s="17" t="s">
        <v>26604</v>
      </c>
      <c r="J12545" s="17" t="s">
        <v>47099</v>
      </c>
      <c r="K12545" s="17"/>
      <c r="L12545" s="17" t="s">
        <v>47100</v>
      </c>
      <c r="M12545" s="17"/>
      <c r="N12545" s="17" t="s">
        <v>26965</v>
      </c>
      <c r="O12545" s="17" t="s">
        <v>26966</v>
      </c>
      <c r="P12545" s="17" t="s">
        <v>26967</v>
      </c>
      <c r="Q12545" s="17"/>
      <c r="R12545" s="25" t="str">
        <f>HYPERLINK("https://ictv.global/taxonomy/taxondetails?taxnode_id=202306429","Actinovirus triacanthodis")</f>
        <v>Actinovirus triacanthodis</v>
      </c>
      <c r="S12545" s="18" t="s">
        <v>30</v>
      </c>
      <c r="T12545" s="18" t="s">
        <v>26978</v>
      </c>
      <c r="U12545" s="18" t="s">
        <v>26979</v>
      </c>
      <c r="V12545" s="18" t="s">
        <v>26980</v>
      </c>
      <c r="W12545" s="18" t="s">
        <v>50784</v>
      </c>
      <c r="X12545" s="18" t="s">
        <v>42</v>
      </c>
      <c r="Y12545" s="18" t="s">
        <v>23964</v>
      </c>
      <c r="Z12545" s="18" t="s">
        <v>166</v>
      </c>
      <c r="AA12545" s="21" t="str">
        <f>HYPERLINK("https://www.ncbi.nlm.nih.gov/nuccore/MG599949,MG599950,MG599951","NCBI Nucleotide")</f>
        <v>NCBI Nucleotide</v>
      </c>
    </row>
    <row r="12546" spans="1:27" x14ac:dyDescent="0.35">
      <c r="A12546">
        <v>1027684</v>
      </c>
      <c r="B12546">
        <v>11824</v>
      </c>
      <c r="C12546">
        <v>1</v>
      </c>
      <c r="D12546" s="17" t="s">
        <v>17166</v>
      </c>
      <c r="E12546" s="17"/>
      <c r="F12546" s="17" t="s">
        <v>17246</v>
      </c>
      <c r="G12546" s="17"/>
      <c r="H12546" s="17" t="s">
        <v>23950</v>
      </c>
      <c r="I12546" s="17" t="s">
        <v>26604</v>
      </c>
      <c r="J12546" s="17" t="s">
        <v>47099</v>
      </c>
      <c r="K12546" s="17"/>
      <c r="L12546" s="17" t="s">
        <v>47100</v>
      </c>
      <c r="M12546" s="17"/>
      <c r="N12546" s="17" t="s">
        <v>26965</v>
      </c>
      <c r="O12546" s="17" t="s">
        <v>26966</v>
      </c>
      <c r="P12546" s="17" t="s">
        <v>47111</v>
      </c>
      <c r="Q12546" s="17"/>
      <c r="R12546" s="25" t="str">
        <f>HYPERLINK("https://ictv.global/taxonomy/taxondetails?taxnode_id=202319091","Percilovirus gobii")</f>
        <v>Percilovirus gobii</v>
      </c>
      <c r="S12546" s="18" t="s">
        <v>30</v>
      </c>
      <c r="T12546" s="18" t="s">
        <v>47112</v>
      </c>
      <c r="U12546" s="18" t="s">
        <v>47113</v>
      </c>
      <c r="V12546" s="18" t="s">
        <v>47114</v>
      </c>
      <c r="W12546" s="18" t="s">
        <v>50872</v>
      </c>
      <c r="X12546" s="18" t="s">
        <v>42</v>
      </c>
      <c r="Y12546" s="18" t="s">
        <v>23964</v>
      </c>
      <c r="Z12546" s="18" t="s">
        <v>166</v>
      </c>
      <c r="AA12546" s="21" t="str">
        <f>HYPERLINK("https://www.ncbi.nlm.nih.gov/nuccore/ON595961,ON595962,ON595963","NCBI Nucleotide")</f>
        <v>NCBI Nucleotide</v>
      </c>
    </row>
    <row r="12547" spans="1:27" x14ac:dyDescent="0.35">
      <c r="A12547">
        <v>1011131</v>
      </c>
      <c r="B12547">
        <v>11825</v>
      </c>
      <c r="C12547">
        <v>1</v>
      </c>
      <c r="D12547" s="17" t="s">
        <v>17166</v>
      </c>
      <c r="E12547" s="17"/>
      <c r="F12547" s="17" t="s">
        <v>17246</v>
      </c>
      <c r="G12547" s="17"/>
      <c r="H12547" s="17" t="s">
        <v>23950</v>
      </c>
      <c r="I12547" s="17" t="s">
        <v>26604</v>
      </c>
      <c r="J12547" s="17" t="s">
        <v>47099</v>
      </c>
      <c r="K12547" s="17"/>
      <c r="L12547" s="17" t="s">
        <v>47100</v>
      </c>
      <c r="M12547" s="17"/>
      <c r="N12547" s="17" t="s">
        <v>26965</v>
      </c>
      <c r="O12547" s="17" t="s">
        <v>26966</v>
      </c>
      <c r="P12547" s="17" t="s">
        <v>47111</v>
      </c>
      <c r="Q12547" s="17"/>
      <c r="R12547" s="25" t="str">
        <f>HYPERLINK("https://ictv.global/taxonomy/taxondetails?taxnode_id=202306430","Percilovirus lophii")</f>
        <v>Percilovirus lophii</v>
      </c>
      <c r="S12547" s="18" t="s">
        <v>30</v>
      </c>
      <c r="T12547" s="18" t="s">
        <v>26975</v>
      </c>
      <c r="U12547" s="18" t="s">
        <v>26976</v>
      </c>
      <c r="V12547" s="18" t="s">
        <v>26977</v>
      </c>
      <c r="W12547" s="18" t="s">
        <v>50783</v>
      </c>
      <c r="X12547" s="18" t="s">
        <v>42</v>
      </c>
      <c r="Y12547" s="18" t="s">
        <v>23964</v>
      </c>
      <c r="Z12547" s="18" t="s">
        <v>166</v>
      </c>
      <c r="AA12547" s="21" t="str">
        <f>HYPERLINK("https://www.ncbi.nlm.nih.gov/nuccore/MG599946,MG599947,MG599948","NCBI Nucleotide")</f>
        <v>NCBI Nucleotide</v>
      </c>
    </row>
    <row r="12548" spans="1:27" x14ac:dyDescent="0.35">
      <c r="A12548">
        <v>1011133</v>
      </c>
      <c r="B12548">
        <v>11826</v>
      </c>
      <c r="C12548">
        <v>1</v>
      </c>
      <c r="D12548" s="17" t="s">
        <v>17166</v>
      </c>
      <c r="E12548" s="17"/>
      <c r="F12548" s="17" t="s">
        <v>17246</v>
      </c>
      <c r="G12548" s="17"/>
      <c r="H12548" s="17" t="s">
        <v>23950</v>
      </c>
      <c r="I12548" s="17" t="s">
        <v>26604</v>
      </c>
      <c r="J12548" s="17" t="s">
        <v>47099</v>
      </c>
      <c r="K12548" s="17"/>
      <c r="L12548" s="17" t="s">
        <v>47100</v>
      </c>
      <c r="M12548" s="17"/>
      <c r="N12548" s="17" t="s">
        <v>26965</v>
      </c>
      <c r="O12548" s="17" t="s">
        <v>26981</v>
      </c>
      <c r="P12548" s="17" t="s">
        <v>26982</v>
      </c>
      <c r="Q12548" s="17"/>
      <c r="R12548" s="25" t="str">
        <f>HYPERLINK("https://ictv.global/taxonomy/taxondetails?taxnode_id=202306433","Agnathovirus eptatreti")</f>
        <v>Agnathovirus eptatreti</v>
      </c>
      <c r="S12548" s="18" t="s">
        <v>30</v>
      </c>
      <c r="T12548" s="18" t="s">
        <v>26983</v>
      </c>
      <c r="U12548" s="18" t="s">
        <v>26984</v>
      </c>
      <c r="V12548" s="18" t="s">
        <v>26985</v>
      </c>
      <c r="W12548" s="18" t="s">
        <v>50785</v>
      </c>
      <c r="X12548" s="18" t="s">
        <v>42</v>
      </c>
      <c r="Y12548" s="18" t="s">
        <v>23964</v>
      </c>
      <c r="Z12548" s="18" t="s">
        <v>166</v>
      </c>
      <c r="AA12548" s="21" t="str">
        <f>HYPERLINK("https://www.ncbi.nlm.nih.gov/nuccore/MG599952,MG599953,MG599954","NCBI Nucleotide")</f>
        <v>NCBI Nucleotide</v>
      </c>
    </row>
    <row r="12549" spans="1:27" x14ac:dyDescent="0.35">
      <c r="A12549">
        <v>1011134</v>
      </c>
      <c r="B12549">
        <v>11827</v>
      </c>
      <c r="C12549">
        <v>1</v>
      </c>
      <c r="D12549" s="17" t="s">
        <v>17166</v>
      </c>
      <c r="E12549" s="17"/>
      <c r="F12549" s="17" t="s">
        <v>17246</v>
      </c>
      <c r="G12549" s="17"/>
      <c r="H12549" s="17" t="s">
        <v>23950</v>
      </c>
      <c r="I12549" s="17" t="s">
        <v>26604</v>
      </c>
      <c r="J12549" s="17" t="s">
        <v>47099</v>
      </c>
      <c r="K12549" s="17"/>
      <c r="L12549" s="17" t="s">
        <v>47100</v>
      </c>
      <c r="M12549" s="17"/>
      <c r="N12549" s="17" t="s">
        <v>26965</v>
      </c>
      <c r="O12549" s="17" t="s">
        <v>26986</v>
      </c>
      <c r="P12549" s="17" t="s">
        <v>26987</v>
      </c>
      <c r="Q12549" s="17"/>
      <c r="R12549" s="25" t="str">
        <f>HYPERLINK("https://ictv.global/taxonomy/taxondetails?taxnode_id=202307442","Loanvirus brunaense")</f>
        <v>Loanvirus brunaense</v>
      </c>
      <c r="S12549" s="18" t="s">
        <v>30</v>
      </c>
      <c r="T12549" s="18" t="s">
        <v>26988</v>
      </c>
      <c r="U12549" s="18" t="s">
        <v>26989</v>
      </c>
      <c r="V12549" s="18" t="s">
        <v>26990</v>
      </c>
      <c r="W12549" s="18" t="s">
        <v>50563</v>
      </c>
      <c r="X12549" s="18" t="s">
        <v>35</v>
      </c>
      <c r="Y12549" s="18" t="s">
        <v>23964</v>
      </c>
      <c r="Z12549" s="18" t="s">
        <v>166</v>
      </c>
      <c r="AA12549" s="21" t="str">
        <f>HYPERLINK("https://www.ncbi.nlm.nih.gov/nuccore/KX845680,KX845679,KX845678","NCBI Nucleotide")</f>
        <v>NCBI Nucleotide</v>
      </c>
    </row>
    <row r="12550" spans="1:27" x14ac:dyDescent="0.35">
      <c r="A12550">
        <v>1011135</v>
      </c>
      <c r="B12550">
        <v>11828</v>
      </c>
      <c r="C12550">
        <v>1</v>
      </c>
      <c r="D12550" s="17" t="s">
        <v>17166</v>
      </c>
      <c r="E12550" s="17"/>
      <c r="F12550" s="17" t="s">
        <v>17246</v>
      </c>
      <c r="G12550" s="17"/>
      <c r="H12550" s="17" t="s">
        <v>23950</v>
      </c>
      <c r="I12550" s="17" t="s">
        <v>26604</v>
      </c>
      <c r="J12550" s="17" t="s">
        <v>47099</v>
      </c>
      <c r="K12550" s="17"/>
      <c r="L12550" s="17" t="s">
        <v>47100</v>
      </c>
      <c r="M12550" s="17"/>
      <c r="N12550" s="17" t="s">
        <v>26965</v>
      </c>
      <c r="O12550" s="17" t="s">
        <v>26986</v>
      </c>
      <c r="P12550" s="17" t="s">
        <v>26987</v>
      </c>
      <c r="Q12550" s="17"/>
      <c r="R12550" s="25" t="str">
        <f>HYPERLINK("https://ictv.global/taxonomy/taxondetails?taxnode_id=202300044","Loanvirus longquanense")</f>
        <v>Loanvirus longquanense</v>
      </c>
      <c r="S12550" s="18" t="s">
        <v>30</v>
      </c>
      <c r="T12550" s="18" t="s">
        <v>26991</v>
      </c>
      <c r="U12550" s="18" t="s">
        <v>26992</v>
      </c>
      <c r="V12550" s="18" t="s">
        <v>26993</v>
      </c>
      <c r="W12550" s="18" t="s">
        <v>26994</v>
      </c>
      <c r="X12550" s="18" t="s">
        <v>154</v>
      </c>
      <c r="Y12550" s="18" t="s">
        <v>23964</v>
      </c>
      <c r="Z12550" s="18" t="s">
        <v>166</v>
      </c>
      <c r="AA12550" s="21" t="str">
        <f>HYPERLINK("https://www.ncbi.nlm.nih.gov/nuccore/JX465388,JX465402,JX465422","NCBI Nucleotide")</f>
        <v>NCBI Nucleotide</v>
      </c>
    </row>
    <row r="12551" spans="1:27" x14ac:dyDescent="0.35">
      <c r="A12551">
        <v>1027769</v>
      </c>
      <c r="B12551">
        <v>11829</v>
      </c>
      <c r="C12551">
        <v>1</v>
      </c>
      <c r="D12551" s="17" t="s">
        <v>17166</v>
      </c>
      <c r="E12551" s="17"/>
      <c r="F12551" s="17" t="s">
        <v>17246</v>
      </c>
      <c r="G12551" s="17"/>
      <c r="H12551" s="17" t="s">
        <v>23950</v>
      </c>
      <c r="I12551" s="17" t="s">
        <v>26604</v>
      </c>
      <c r="J12551" s="17" t="s">
        <v>47099</v>
      </c>
      <c r="K12551" s="17"/>
      <c r="L12551" s="17" t="s">
        <v>47100</v>
      </c>
      <c r="M12551" s="17"/>
      <c r="N12551" s="17" t="s">
        <v>26965</v>
      </c>
      <c r="O12551" s="17" t="s">
        <v>26986</v>
      </c>
      <c r="P12551" s="17" t="s">
        <v>26995</v>
      </c>
      <c r="Q12551" s="17"/>
      <c r="R12551" s="25" t="str">
        <f>HYPERLINK("https://ictv.global/taxonomy/taxondetails?taxnode_id=202319087","Mobatvirus dakrongense")</f>
        <v>Mobatvirus dakrongense</v>
      </c>
      <c r="S12551" s="18" t="s">
        <v>30</v>
      </c>
      <c r="T12551" s="18" t="s">
        <v>47115</v>
      </c>
      <c r="U12551" s="18" t="s">
        <v>47116</v>
      </c>
      <c r="V12551" s="18" t="s">
        <v>47117</v>
      </c>
      <c r="W12551" s="18" t="s">
        <v>50874</v>
      </c>
      <c r="X12551" s="18" t="s">
        <v>42</v>
      </c>
      <c r="Y12551" s="18" t="s">
        <v>23964</v>
      </c>
      <c r="Z12551" s="18" t="s">
        <v>166</v>
      </c>
      <c r="AA12551" s="21" t="str">
        <f>HYPERLINK("https://www.ncbi.nlm.nih.gov/nuccore/MG663536,MG663535,MG663534","NCBI Nucleotide")</f>
        <v>NCBI Nucleotide</v>
      </c>
    </row>
    <row r="12552" spans="1:27" x14ac:dyDescent="0.35">
      <c r="A12552">
        <v>1011136</v>
      </c>
      <c r="B12552">
        <v>11830</v>
      </c>
      <c r="C12552">
        <v>1</v>
      </c>
      <c r="D12552" s="17" t="s">
        <v>17166</v>
      </c>
      <c r="E12552" s="17"/>
      <c r="F12552" s="17" t="s">
        <v>17246</v>
      </c>
      <c r="G12552" s="17"/>
      <c r="H12552" s="17" t="s">
        <v>23950</v>
      </c>
      <c r="I12552" s="17" t="s">
        <v>26604</v>
      </c>
      <c r="J12552" s="17" t="s">
        <v>47099</v>
      </c>
      <c r="K12552" s="17"/>
      <c r="L12552" s="17" t="s">
        <v>47100</v>
      </c>
      <c r="M12552" s="17"/>
      <c r="N12552" s="17" t="s">
        <v>26965</v>
      </c>
      <c r="O12552" s="17" t="s">
        <v>26986</v>
      </c>
      <c r="P12552" s="17" t="s">
        <v>26995</v>
      </c>
      <c r="Q12552" s="17"/>
      <c r="R12552" s="25" t="str">
        <f>HYPERLINK("https://ictv.global/taxonomy/taxondetails?taxnode_id=202300043","Mobatvirus laibinense")</f>
        <v>Mobatvirus laibinense</v>
      </c>
      <c r="S12552" s="18" t="s">
        <v>30</v>
      </c>
      <c r="T12552" s="18" t="s">
        <v>26996</v>
      </c>
      <c r="U12552" s="18" t="s">
        <v>26997</v>
      </c>
      <c r="V12552" s="18" t="s">
        <v>26998</v>
      </c>
      <c r="W12552" s="18" t="s">
        <v>50564</v>
      </c>
      <c r="X12552" s="18" t="s">
        <v>42</v>
      </c>
      <c r="Y12552" s="18" t="s">
        <v>23964</v>
      </c>
      <c r="Z12552" s="18" t="s">
        <v>166</v>
      </c>
      <c r="AA12552" s="21" t="str">
        <f>HYPERLINK("https://www.ncbi.nlm.nih.gov/nuccore/KM102249,KM102248,KM102247","NCBI Nucleotide")</f>
        <v>NCBI Nucleotide</v>
      </c>
    </row>
    <row r="12553" spans="1:27" x14ac:dyDescent="0.35">
      <c r="A12553">
        <v>1012904</v>
      </c>
      <c r="B12553">
        <v>11830</v>
      </c>
      <c r="C12553">
        <v>2</v>
      </c>
      <c r="D12553" s="17" t="s">
        <v>17166</v>
      </c>
      <c r="E12553" s="17"/>
      <c r="F12553" s="17" t="s">
        <v>17246</v>
      </c>
      <c r="G12553" s="17"/>
      <c r="H12553" s="17" t="s">
        <v>23950</v>
      </c>
      <c r="I12553" s="17" t="s">
        <v>26604</v>
      </c>
      <c r="J12553" s="17" t="s">
        <v>47099</v>
      </c>
      <c r="K12553" s="17"/>
      <c r="L12553" s="17" t="s">
        <v>47100</v>
      </c>
      <c r="M12553" s="17"/>
      <c r="N12553" s="17" t="s">
        <v>26965</v>
      </c>
      <c r="O12553" s="17" t="s">
        <v>26986</v>
      </c>
      <c r="P12553" s="17" t="s">
        <v>26995</v>
      </c>
      <c r="Q12553" s="17"/>
      <c r="R12553" s="25" t="str">
        <f>HYPERLINK("https://ictv.global/taxonomy/taxondetails?taxnode_id=202300043","Mobatvirus laibinense")</f>
        <v>Mobatvirus laibinense</v>
      </c>
      <c r="S12553" s="18" t="s">
        <v>8141</v>
      </c>
      <c r="T12553" s="18" t="s">
        <v>26996</v>
      </c>
      <c r="U12553" s="18" t="s">
        <v>26997</v>
      </c>
      <c r="V12553" s="18" t="s">
        <v>47118</v>
      </c>
      <c r="W12553" s="18" t="s">
        <v>49445</v>
      </c>
      <c r="X12553" s="18" t="s">
        <v>42</v>
      </c>
      <c r="Y12553" s="18" t="s">
        <v>23964</v>
      </c>
      <c r="Z12553" s="18" t="s">
        <v>166</v>
      </c>
      <c r="AA12553" s="21" t="str">
        <f>HYPERLINK("https://www.ncbi.nlm.nih.gov/nuccore/KY662266,KY662265,KY662264","NCBI Nucleotide")</f>
        <v>NCBI Nucleotide</v>
      </c>
    </row>
    <row r="12554" spans="1:27" x14ac:dyDescent="0.35">
      <c r="A12554">
        <v>1011137</v>
      </c>
      <c r="B12554">
        <v>11831</v>
      </c>
      <c r="C12554">
        <v>1</v>
      </c>
      <c r="D12554" s="17" t="s">
        <v>17166</v>
      </c>
      <c r="E12554" s="17"/>
      <c r="F12554" s="17" t="s">
        <v>17246</v>
      </c>
      <c r="G12554" s="17"/>
      <c r="H12554" s="17" t="s">
        <v>23950</v>
      </c>
      <c r="I12554" s="17" t="s">
        <v>26604</v>
      </c>
      <c r="J12554" s="17" t="s">
        <v>47099</v>
      </c>
      <c r="K12554" s="17"/>
      <c r="L12554" s="17" t="s">
        <v>47100</v>
      </c>
      <c r="M12554" s="17"/>
      <c r="N12554" s="17" t="s">
        <v>26965</v>
      </c>
      <c r="O12554" s="17" t="s">
        <v>26986</v>
      </c>
      <c r="P12554" s="17" t="s">
        <v>26995</v>
      </c>
      <c r="Q12554" s="17"/>
      <c r="R12554" s="25" t="str">
        <f>HYPERLINK("https://ictv.global/taxonomy/taxondetails?taxnode_id=202309700","Mobatvirus lenaense")</f>
        <v>Mobatvirus lenaense</v>
      </c>
      <c r="S12554" s="18" t="s">
        <v>30</v>
      </c>
      <c r="T12554" s="18" t="s">
        <v>26999</v>
      </c>
      <c r="U12554" s="18" t="s">
        <v>27000</v>
      </c>
      <c r="V12554" s="18" t="s">
        <v>27001</v>
      </c>
      <c r="W12554" s="18" t="s">
        <v>48714</v>
      </c>
      <c r="X12554" s="18" t="s">
        <v>42</v>
      </c>
      <c r="Y12554" s="18" t="s">
        <v>23964</v>
      </c>
      <c r="Z12554" s="18" t="s">
        <v>166</v>
      </c>
      <c r="AA12554" s="21" t="str">
        <f>HYPERLINK("https://www.ncbi.nlm.nih.gov/nuccore/MH499470,MH499471,MH499472","NCBI Nucleotide")</f>
        <v>NCBI Nucleotide</v>
      </c>
    </row>
    <row r="12555" spans="1:27" x14ac:dyDescent="0.35">
      <c r="A12555">
        <v>1011138</v>
      </c>
      <c r="B12555">
        <v>11832</v>
      </c>
      <c r="C12555">
        <v>1</v>
      </c>
      <c r="D12555" s="17" t="s">
        <v>17166</v>
      </c>
      <c r="E12555" s="17"/>
      <c r="F12555" s="17" t="s">
        <v>17246</v>
      </c>
      <c r="G12555" s="17"/>
      <c r="H12555" s="17" t="s">
        <v>23950</v>
      </c>
      <c r="I12555" s="17" t="s">
        <v>26604</v>
      </c>
      <c r="J12555" s="17" t="s">
        <v>47099</v>
      </c>
      <c r="K12555" s="17"/>
      <c r="L12555" s="17" t="s">
        <v>47100</v>
      </c>
      <c r="M12555" s="17"/>
      <c r="N12555" s="17" t="s">
        <v>26965</v>
      </c>
      <c r="O12555" s="17" t="s">
        <v>26986</v>
      </c>
      <c r="P12555" s="17" t="s">
        <v>26995</v>
      </c>
      <c r="Q12555" s="17"/>
      <c r="R12555" s="25" t="str">
        <f>HYPERLINK("https://ictv.global/taxonomy/taxondetails?taxnode_id=202300049","Mobatvirus novaense")</f>
        <v>Mobatvirus novaense</v>
      </c>
      <c r="S12555" s="18" t="s">
        <v>30</v>
      </c>
      <c r="T12555" s="18" t="s">
        <v>27002</v>
      </c>
      <c r="U12555" s="18" t="s">
        <v>27003</v>
      </c>
      <c r="V12555" s="18" t="s">
        <v>27004</v>
      </c>
      <c r="W12555" s="18" t="s">
        <v>50565</v>
      </c>
      <c r="X12555" s="18" t="s">
        <v>42</v>
      </c>
      <c r="Y12555" s="18" t="s">
        <v>23964</v>
      </c>
      <c r="Z12555" s="18" t="s">
        <v>166</v>
      </c>
      <c r="AA12555" s="21" t="str">
        <f>HYPERLINK("https://www.ncbi.nlm.nih.gov/nuccore/KR072623,KR072622,KR072621","NCBI Nucleotide")</f>
        <v>NCBI Nucleotide</v>
      </c>
    </row>
    <row r="12556" spans="1:27" x14ac:dyDescent="0.35">
      <c r="A12556">
        <v>1012905</v>
      </c>
      <c r="B12556">
        <v>11832</v>
      </c>
      <c r="C12556">
        <v>2</v>
      </c>
      <c r="D12556" s="17" t="s">
        <v>17166</v>
      </c>
      <c r="E12556" s="17"/>
      <c r="F12556" s="17" t="s">
        <v>17246</v>
      </c>
      <c r="G12556" s="17"/>
      <c r="H12556" s="17" t="s">
        <v>23950</v>
      </c>
      <c r="I12556" s="17" t="s">
        <v>26604</v>
      </c>
      <c r="J12556" s="17" t="s">
        <v>47099</v>
      </c>
      <c r="K12556" s="17"/>
      <c r="L12556" s="17" t="s">
        <v>47100</v>
      </c>
      <c r="M12556" s="17"/>
      <c r="N12556" s="17" t="s">
        <v>26965</v>
      </c>
      <c r="O12556" s="17" t="s">
        <v>26986</v>
      </c>
      <c r="P12556" s="17" t="s">
        <v>26995</v>
      </c>
      <c r="Q12556" s="17"/>
      <c r="R12556" s="25" t="str">
        <f>HYPERLINK("https://ictv.global/taxonomy/taxondetails?taxnode_id=202300049","Mobatvirus novaense")</f>
        <v>Mobatvirus novaense</v>
      </c>
      <c r="S12556" s="18" t="s">
        <v>8141</v>
      </c>
      <c r="T12556" s="18" t="s">
        <v>27002</v>
      </c>
      <c r="U12556" s="18" t="s">
        <v>27003</v>
      </c>
      <c r="V12556" s="18" t="s">
        <v>47119</v>
      </c>
      <c r="W12556" s="18" t="s">
        <v>49446</v>
      </c>
      <c r="X12556" s="18" t="s">
        <v>42</v>
      </c>
      <c r="Y12556" s="18" t="s">
        <v>23964</v>
      </c>
      <c r="Z12556" s="18" t="s">
        <v>166</v>
      </c>
      <c r="AA12556" s="21" t="str">
        <f>HYPERLINK("https://www.ncbi.nlm.nih.gov/nuccore/KY780088,KY780087,KY780086","NCBI Nucleotide")</f>
        <v>NCBI Nucleotide</v>
      </c>
    </row>
    <row r="12557" spans="1:27" x14ac:dyDescent="0.35">
      <c r="A12557">
        <v>1011139</v>
      </c>
      <c r="B12557">
        <v>11833</v>
      </c>
      <c r="C12557">
        <v>1</v>
      </c>
      <c r="D12557" s="17" t="s">
        <v>17166</v>
      </c>
      <c r="E12557" s="17"/>
      <c r="F12557" s="17" t="s">
        <v>17246</v>
      </c>
      <c r="G12557" s="17"/>
      <c r="H12557" s="17" t="s">
        <v>23950</v>
      </c>
      <c r="I12557" s="17" t="s">
        <v>26604</v>
      </c>
      <c r="J12557" s="17" t="s">
        <v>47099</v>
      </c>
      <c r="K12557" s="17"/>
      <c r="L12557" s="17" t="s">
        <v>47100</v>
      </c>
      <c r="M12557" s="17"/>
      <c r="N12557" s="17" t="s">
        <v>26965</v>
      </c>
      <c r="O12557" s="17" t="s">
        <v>26986</v>
      </c>
      <c r="P12557" s="17" t="s">
        <v>26995</v>
      </c>
      <c r="Q12557" s="17"/>
      <c r="R12557" s="25" t="str">
        <f>HYPERLINK("https://ictv.global/taxonomy/taxondetails?taxnode_id=202300053","Mobatvirus quezonense")</f>
        <v>Mobatvirus quezonense</v>
      </c>
      <c r="S12557" s="18" t="s">
        <v>30</v>
      </c>
      <c r="T12557" s="18" t="s">
        <v>27005</v>
      </c>
      <c r="U12557" s="18" t="s">
        <v>27006</v>
      </c>
      <c r="V12557" s="18" t="s">
        <v>27007</v>
      </c>
      <c r="W12557" s="18" t="s">
        <v>50566</v>
      </c>
      <c r="X12557" s="18" t="s">
        <v>42</v>
      </c>
      <c r="Y12557" s="18" t="s">
        <v>23964</v>
      </c>
      <c r="Z12557" s="18" t="s">
        <v>166</v>
      </c>
      <c r="AA12557" s="21" t="str">
        <f>HYPERLINK("https://www.ncbi.nlm.nih.gov/nuccore/KU950715,KU950714,KU950713","NCBI Nucleotide")</f>
        <v>NCBI Nucleotide</v>
      </c>
    </row>
    <row r="12558" spans="1:27" x14ac:dyDescent="0.35">
      <c r="A12558">
        <v>1011168</v>
      </c>
      <c r="B12558">
        <v>11834</v>
      </c>
      <c r="C12558">
        <v>1</v>
      </c>
      <c r="D12558" s="17" t="s">
        <v>17166</v>
      </c>
      <c r="E12558" s="17"/>
      <c r="F12558" s="17" t="s">
        <v>17246</v>
      </c>
      <c r="G12558" s="17"/>
      <c r="H12558" s="17" t="s">
        <v>23950</v>
      </c>
      <c r="I12558" s="17" t="s">
        <v>26604</v>
      </c>
      <c r="J12558" s="17" t="s">
        <v>47099</v>
      </c>
      <c r="K12558" s="17"/>
      <c r="L12558" s="17" t="s">
        <v>47100</v>
      </c>
      <c r="M12558" s="17"/>
      <c r="N12558" s="17" t="s">
        <v>26965</v>
      </c>
      <c r="O12558" s="17" t="s">
        <v>26986</v>
      </c>
      <c r="P12558" s="17" t="s">
        <v>26995</v>
      </c>
      <c r="Q12558" s="17"/>
      <c r="R12558" s="25" t="str">
        <f>HYPERLINK("https://ictv.global/taxonomy/taxondetails?taxnode_id=202309702","Mobatvirus robinaense")</f>
        <v>Mobatvirus robinaense</v>
      </c>
      <c r="S12558" s="18" t="s">
        <v>30</v>
      </c>
      <c r="T12558" s="18" t="s">
        <v>27078</v>
      </c>
      <c r="U12558" s="18" t="s">
        <v>27079</v>
      </c>
      <c r="V12558" s="18" t="s">
        <v>27080</v>
      </c>
      <c r="W12558" s="18" t="s">
        <v>27081</v>
      </c>
      <c r="X12558" s="18" t="s">
        <v>42</v>
      </c>
      <c r="Y12558" s="18" t="s">
        <v>23964</v>
      </c>
      <c r="Z12558" s="18" t="s">
        <v>166</v>
      </c>
      <c r="AA12558" s="21" t="str">
        <f>HYPERLINK("https://www.ncbi.nlm.nih.gov/nuccore/MK165653,MK165654,MK165655","NCBI Nucleotide")</f>
        <v>NCBI Nucleotide</v>
      </c>
    </row>
    <row r="12559" spans="1:27" x14ac:dyDescent="0.35">
      <c r="A12559">
        <v>1011140</v>
      </c>
      <c r="B12559">
        <v>11835</v>
      </c>
      <c r="C12559">
        <v>1</v>
      </c>
      <c r="D12559" s="17" t="s">
        <v>17166</v>
      </c>
      <c r="E12559" s="17"/>
      <c r="F12559" s="17" t="s">
        <v>17246</v>
      </c>
      <c r="G12559" s="17"/>
      <c r="H12559" s="17" t="s">
        <v>23950</v>
      </c>
      <c r="I12559" s="17" t="s">
        <v>26604</v>
      </c>
      <c r="J12559" s="17" t="s">
        <v>47099</v>
      </c>
      <c r="K12559" s="17"/>
      <c r="L12559" s="17" t="s">
        <v>47100</v>
      </c>
      <c r="M12559" s="17"/>
      <c r="N12559" s="17" t="s">
        <v>26965</v>
      </c>
      <c r="O12559" s="17" t="s">
        <v>26986</v>
      </c>
      <c r="P12559" s="17" t="s">
        <v>26995</v>
      </c>
      <c r="Q12559" s="17"/>
      <c r="R12559" s="25" t="str">
        <f>HYPERLINK("https://ictv.global/taxonomy/taxondetails?taxnode_id=202309701","Mobatvirus xuansonense")</f>
        <v>Mobatvirus xuansonense</v>
      </c>
      <c r="S12559" s="18" t="s">
        <v>30</v>
      </c>
      <c r="T12559" s="18" t="s">
        <v>27008</v>
      </c>
      <c r="U12559" s="18" t="s">
        <v>17231</v>
      </c>
      <c r="V12559" s="18" t="s">
        <v>27009</v>
      </c>
      <c r="W12559" s="18" t="s">
        <v>50786</v>
      </c>
      <c r="X12559" s="18" t="s">
        <v>42</v>
      </c>
      <c r="Y12559" s="18" t="s">
        <v>23964</v>
      </c>
      <c r="Z12559" s="18" t="s">
        <v>166</v>
      </c>
      <c r="AA12559" s="21" t="str">
        <f>HYPERLINK("https://www.ncbi.nlm.nih.gov/nuccore/KY662275,KY662274,KY662273","NCBI Nucleotide")</f>
        <v>NCBI Nucleotide</v>
      </c>
    </row>
    <row r="12560" spans="1:27" x14ac:dyDescent="0.35">
      <c r="A12560">
        <v>1012906</v>
      </c>
      <c r="B12560">
        <v>11835</v>
      </c>
      <c r="C12560">
        <v>2</v>
      </c>
      <c r="D12560" s="17" t="s">
        <v>17166</v>
      </c>
      <c r="E12560" s="17"/>
      <c r="F12560" s="17" t="s">
        <v>17246</v>
      </c>
      <c r="G12560" s="17"/>
      <c r="H12560" s="17" t="s">
        <v>23950</v>
      </c>
      <c r="I12560" s="17" t="s">
        <v>26604</v>
      </c>
      <c r="J12560" s="17" t="s">
        <v>47099</v>
      </c>
      <c r="K12560" s="17"/>
      <c r="L12560" s="17" t="s">
        <v>47100</v>
      </c>
      <c r="M12560" s="17"/>
      <c r="N12560" s="17" t="s">
        <v>26965</v>
      </c>
      <c r="O12560" s="17" t="s">
        <v>26986</v>
      </c>
      <c r="P12560" s="17" t="s">
        <v>26995</v>
      </c>
      <c r="Q12560" s="17"/>
      <c r="R12560" s="25" t="str">
        <f>HYPERLINK("https://ictv.global/taxonomy/taxondetails?taxnode_id=202309701","Mobatvirus xuansonense")</f>
        <v>Mobatvirus xuansonense</v>
      </c>
      <c r="S12560" s="18" t="s">
        <v>8141</v>
      </c>
      <c r="T12560" s="18" t="s">
        <v>27008</v>
      </c>
      <c r="U12560" s="18" t="s">
        <v>17231</v>
      </c>
      <c r="V12560" s="18" t="s">
        <v>47120</v>
      </c>
      <c r="W12560" s="18" t="s">
        <v>49447</v>
      </c>
      <c r="X12560" s="18" t="s">
        <v>154</v>
      </c>
      <c r="Y12560" s="18" t="s">
        <v>23964</v>
      </c>
      <c r="Z12560" s="18" t="s">
        <v>166</v>
      </c>
      <c r="AA12560" s="21" t="str">
        <f>HYPERLINK("https://www.ncbi.nlm.nih.gov/nuccore/OQ466078,OQ466086","NCBI Nucleotide")</f>
        <v>NCBI Nucleotide</v>
      </c>
    </row>
    <row r="12561" spans="1:27" x14ac:dyDescent="0.35">
      <c r="A12561">
        <v>1011141</v>
      </c>
      <c r="B12561">
        <v>11836</v>
      </c>
      <c r="C12561">
        <v>1</v>
      </c>
      <c r="D12561" s="17" t="s">
        <v>17166</v>
      </c>
      <c r="E12561" s="17"/>
      <c r="F12561" s="17" t="s">
        <v>17246</v>
      </c>
      <c r="G12561" s="17"/>
      <c r="H12561" s="17" t="s">
        <v>23950</v>
      </c>
      <c r="I12561" s="17" t="s">
        <v>26604</v>
      </c>
      <c r="J12561" s="17" t="s">
        <v>47099</v>
      </c>
      <c r="K12561" s="17"/>
      <c r="L12561" s="17" t="s">
        <v>47100</v>
      </c>
      <c r="M12561" s="17"/>
      <c r="N12561" s="17" t="s">
        <v>26965</v>
      </c>
      <c r="O12561" s="17" t="s">
        <v>26986</v>
      </c>
      <c r="P12561" s="17" t="s">
        <v>27010</v>
      </c>
      <c r="Q12561" s="17"/>
      <c r="R12561" s="25" t="str">
        <f>HYPERLINK("https://ictv.global/taxonomy/taxondetails?taxnode_id=202300022","Orthohantavirus andesense")</f>
        <v>Orthohantavirus andesense</v>
      </c>
      <c r="S12561" s="18" t="s">
        <v>30</v>
      </c>
      <c r="T12561" s="18" t="s">
        <v>27011</v>
      </c>
      <c r="U12561" s="18" t="s">
        <v>27012</v>
      </c>
      <c r="V12561" s="18" t="s">
        <v>27013</v>
      </c>
      <c r="W12561" s="18" t="s">
        <v>50567</v>
      </c>
      <c r="X12561" s="18" t="s">
        <v>42</v>
      </c>
      <c r="Y12561" s="18" t="s">
        <v>23964</v>
      </c>
      <c r="Z12561" s="18" t="s">
        <v>166</v>
      </c>
      <c r="AA12561" s="21" t="str">
        <f>HYPERLINK("https://www.ncbi.nlm.nih.gov/nuccore/AF291704,AF291703,AF291702","NCBI Nucleotide")</f>
        <v>NCBI Nucleotide</v>
      </c>
    </row>
    <row r="12562" spans="1:27" x14ac:dyDescent="0.35">
      <c r="A12562">
        <v>1012907</v>
      </c>
      <c r="B12562">
        <v>11836</v>
      </c>
      <c r="C12562">
        <v>2</v>
      </c>
      <c r="D12562" s="17" t="s">
        <v>17166</v>
      </c>
      <c r="E12562" s="17"/>
      <c r="F12562" s="17" t="s">
        <v>17246</v>
      </c>
      <c r="G12562" s="17"/>
      <c r="H12562" s="17" t="s">
        <v>23950</v>
      </c>
      <c r="I12562" s="17" t="s">
        <v>26604</v>
      </c>
      <c r="J12562" s="17" t="s">
        <v>47099</v>
      </c>
      <c r="K12562" s="17"/>
      <c r="L12562" s="17" t="s">
        <v>47100</v>
      </c>
      <c r="M12562" s="17"/>
      <c r="N12562" s="17" t="s">
        <v>26965</v>
      </c>
      <c r="O12562" s="17" t="s">
        <v>26986</v>
      </c>
      <c r="P12562" s="17" t="s">
        <v>27010</v>
      </c>
      <c r="Q12562" s="17"/>
      <c r="R12562" s="25" t="str">
        <f>HYPERLINK("https://ictv.global/taxonomy/taxondetails?taxnode_id=202300022","Orthohantavirus andesense")</f>
        <v>Orthohantavirus andesense</v>
      </c>
      <c r="S12562" s="18" t="s">
        <v>8141</v>
      </c>
      <c r="T12562" s="18" t="s">
        <v>27105</v>
      </c>
      <c r="U12562" s="18" t="s">
        <v>26820</v>
      </c>
      <c r="V12562" s="18">
        <v>769</v>
      </c>
      <c r="W12562" s="18" t="s">
        <v>49448</v>
      </c>
      <c r="X12562" s="18" t="s">
        <v>154</v>
      </c>
      <c r="Y12562" s="18" t="s">
        <v>23964</v>
      </c>
      <c r="Z12562" s="18" t="s">
        <v>166</v>
      </c>
      <c r="AA12562" s="21" t="str">
        <f>HYPERLINK("https://www.ncbi.nlm.nih.gov/nuccore/KF581136,KF581135,KF581134","NCBI Nucleotide")</f>
        <v>NCBI Nucleotide</v>
      </c>
    </row>
    <row r="12563" spans="1:27" x14ac:dyDescent="0.35">
      <c r="A12563">
        <v>1012908</v>
      </c>
      <c r="B12563">
        <v>11836</v>
      </c>
      <c r="C12563">
        <v>3</v>
      </c>
      <c r="D12563" s="17" t="s">
        <v>17166</v>
      </c>
      <c r="E12563" s="17"/>
      <c r="F12563" s="17" t="s">
        <v>17246</v>
      </c>
      <c r="G12563" s="17"/>
      <c r="H12563" s="17" t="s">
        <v>23950</v>
      </c>
      <c r="I12563" s="17" t="s">
        <v>26604</v>
      </c>
      <c r="J12563" s="17" t="s">
        <v>47099</v>
      </c>
      <c r="K12563" s="17"/>
      <c r="L12563" s="17" t="s">
        <v>47100</v>
      </c>
      <c r="M12563" s="17"/>
      <c r="N12563" s="17" t="s">
        <v>26965</v>
      </c>
      <c r="O12563" s="17" t="s">
        <v>26986</v>
      </c>
      <c r="P12563" s="17" t="s">
        <v>27010</v>
      </c>
      <c r="Q12563" s="17"/>
      <c r="R12563" s="25" t="str">
        <f>HYPERLINK("https://ictv.global/taxonomy/taxondetails?taxnode_id=202300022","Orthohantavirus andesense")</f>
        <v>Orthohantavirus andesense</v>
      </c>
      <c r="S12563" s="18" t="s">
        <v>8141</v>
      </c>
      <c r="T12563" s="18" t="s">
        <v>27106</v>
      </c>
      <c r="U12563" s="18" t="s">
        <v>47121</v>
      </c>
      <c r="V12563" s="18" t="s">
        <v>27107</v>
      </c>
      <c r="W12563" s="18" t="s">
        <v>49449</v>
      </c>
      <c r="X12563" s="18" t="s">
        <v>154</v>
      </c>
      <c r="Y12563" s="18" t="s">
        <v>23964</v>
      </c>
      <c r="Z12563" s="18" t="s">
        <v>166</v>
      </c>
      <c r="AA12563" s="21" t="str">
        <f>HYPERLINK("https://www.ncbi.nlm.nih.gov/nuccore/AF028022,AF482714","NCBI Nucleotide")</f>
        <v>NCBI Nucleotide</v>
      </c>
    </row>
    <row r="12564" spans="1:27" x14ac:dyDescent="0.35">
      <c r="A12564">
        <v>1012909</v>
      </c>
      <c r="B12564">
        <v>11836</v>
      </c>
      <c r="C12564">
        <v>4</v>
      </c>
      <c r="D12564" s="17" t="s">
        <v>17166</v>
      </c>
      <c r="E12564" s="17"/>
      <c r="F12564" s="17" t="s">
        <v>17246</v>
      </c>
      <c r="G12564" s="17"/>
      <c r="H12564" s="17" t="s">
        <v>23950</v>
      </c>
      <c r="I12564" s="17" t="s">
        <v>26604</v>
      </c>
      <c r="J12564" s="17" t="s">
        <v>47099</v>
      </c>
      <c r="K12564" s="17"/>
      <c r="L12564" s="17" t="s">
        <v>47100</v>
      </c>
      <c r="M12564" s="17"/>
      <c r="N12564" s="17" t="s">
        <v>26965</v>
      </c>
      <c r="O12564" s="17" t="s">
        <v>26986</v>
      </c>
      <c r="P12564" s="17" t="s">
        <v>27010</v>
      </c>
      <c r="Q12564" s="17"/>
      <c r="R12564" s="25" t="str">
        <f>HYPERLINK("https://ictv.global/taxonomy/taxondetails?taxnode_id=202300022","Orthohantavirus andesense")</f>
        <v>Orthohantavirus andesense</v>
      </c>
      <c r="S12564" s="18" t="s">
        <v>8141</v>
      </c>
      <c r="T12564" s="18" t="s">
        <v>27108</v>
      </c>
      <c r="U12564" s="18" t="s">
        <v>27109</v>
      </c>
      <c r="V12564" s="18" t="s">
        <v>27110</v>
      </c>
      <c r="W12564" s="18" t="s">
        <v>49450</v>
      </c>
      <c r="X12564" s="18" t="s">
        <v>154</v>
      </c>
      <c r="Y12564" s="18" t="s">
        <v>23964</v>
      </c>
      <c r="Z12564" s="18" t="s">
        <v>166</v>
      </c>
      <c r="AA12564" s="21" t="str">
        <f>HYPERLINK("https://www.ncbi.nlm.nih.gov/nuccore/AF028024,AF482715","NCBI Nucleotide")</f>
        <v>NCBI Nucleotide</v>
      </c>
    </row>
    <row r="12565" spans="1:27" x14ac:dyDescent="0.35">
      <c r="A12565">
        <v>1027713</v>
      </c>
      <c r="B12565">
        <v>11837</v>
      </c>
      <c r="C12565">
        <v>1</v>
      </c>
      <c r="D12565" s="17" t="s">
        <v>17166</v>
      </c>
      <c r="E12565" s="17"/>
      <c r="F12565" s="17" t="s">
        <v>17246</v>
      </c>
      <c r="G12565" s="17"/>
      <c r="H12565" s="17" t="s">
        <v>23950</v>
      </c>
      <c r="I12565" s="17" t="s">
        <v>26604</v>
      </c>
      <c r="J12565" s="17" t="s">
        <v>47099</v>
      </c>
      <c r="K12565" s="17"/>
      <c r="L12565" s="17" t="s">
        <v>47100</v>
      </c>
      <c r="M12565" s="17"/>
      <c r="N12565" s="17" t="s">
        <v>26965</v>
      </c>
      <c r="O12565" s="17" t="s">
        <v>26986</v>
      </c>
      <c r="P12565" s="17" t="s">
        <v>27010</v>
      </c>
      <c r="Q12565" s="17"/>
      <c r="R12565" s="25" t="str">
        <f>HYPERLINK("https://ictv.global/taxonomy/taxondetails?taxnode_id=202319088","Orthohantavirus artybashense")</f>
        <v>Orthohantavirus artybashense</v>
      </c>
      <c r="S12565" s="18" t="s">
        <v>30</v>
      </c>
      <c r="T12565" s="18" t="s">
        <v>47122</v>
      </c>
      <c r="U12565" s="18" t="s">
        <v>47123</v>
      </c>
      <c r="V12565" s="18" t="s">
        <v>47124</v>
      </c>
      <c r="W12565" s="18" t="s">
        <v>50873</v>
      </c>
      <c r="X12565" s="18" t="s">
        <v>42</v>
      </c>
      <c r="Y12565" s="18" t="s">
        <v>23964</v>
      </c>
      <c r="Z12565" s="18" t="s">
        <v>166</v>
      </c>
      <c r="AA12565" s="21" t="str">
        <f>HYPERLINK("https://www.ncbi.nlm.nih.gov/nuccore/MH499473,MG913806,MG888402","NCBI Nucleotide")</f>
        <v>NCBI Nucleotide</v>
      </c>
    </row>
    <row r="12566" spans="1:27" x14ac:dyDescent="0.35">
      <c r="A12566">
        <v>1011142</v>
      </c>
      <c r="B12566">
        <v>11838</v>
      </c>
      <c r="C12566">
        <v>1</v>
      </c>
      <c r="D12566" s="17" t="s">
        <v>17166</v>
      </c>
      <c r="E12566" s="17"/>
      <c r="F12566" s="17" t="s">
        <v>17246</v>
      </c>
      <c r="G12566" s="17"/>
      <c r="H12566" s="17" t="s">
        <v>23950</v>
      </c>
      <c r="I12566" s="17" t="s">
        <v>26604</v>
      </c>
      <c r="J12566" s="17" t="s">
        <v>47099</v>
      </c>
      <c r="K12566" s="17"/>
      <c r="L12566" s="17" t="s">
        <v>47100</v>
      </c>
      <c r="M12566" s="17"/>
      <c r="N12566" s="17" t="s">
        <v>26965</v>
      </c>
      <c r="O12566" s="17" t="s">
        <v>26986</v>
      </c>
      <c r="P12566" s="17" t="s">
        <v>27010</v>
      </c>
      <c r="Q12566" s="17"/>
      <c r="R12566" s="25" t="str">
        <f>HYPERLINK("https://ictv.global/taxonomy/taxondetails?taxnode_id=202300023","Orthohantavirus asamaense")</f>
        <v>Orthohantavirus asamaense</v>
      </c>
      <c r="S12566" s="18" t="s">
        <v>30</v>
      </c>
      <c r="T12566" s="18" t="s">
        <v>27014</v>
      </c>
      <c r="U12566" s="18" t="s">
        <v>27015</v>
      </c>
      <c r="V12566" s="18" t="s">
        <v>27016</v>
      </c>
      <c r="W12566" s="18" t="s">
        <v>50568</v>
      </c>
      <c r="X12566" s="18" t="s">
        <v>154</v>
      </c>
      <c r="Y12566" s="18" t="s">
        <v>23964</v>
      </c>
      <c r="Z12566" s="18" t="s">
        <v>166</v>
      </c>
      <c r="AA12566" s="21" t="str">
        <f>HYPERLINK("https://www.ncbi.nlm.nih.gov/nuccore/EU929075,EU929072","NCBI Nucleotide")</f>
        <v>NCBI Nucleotide</v>
      </c>
    </row>
    <row r="12567" spans="1:27" x14ac:dyDescent="0.35">
      <c r="A12567">
        <v>1011143</v>
      </c>
      <c r="B12567">
        <v>11839</v>
      </c>
      <c r="C12567">
        <v>1</v>
      </c>
      <c r="D12567" s="17" t="s">
        <v>17166</v>
      </c>
      <c r="E12567" s="17"/>
      <c r="F12567" s="17" t="s">
        <v>17246</v>
      </c>
      <c r="G12567" s="17"/>
      <c r="H12567" s="17" t="s">
        <v>23950</v>
      </c>
      <c r="I12567" s="17" t="s">
        <v>26604</v>
      </c>
      <c r="J12567" s="17" t="s">
        <v>47099</v>
      </c>
      <c r="K12567" s="17"/>
      <c r="L12567" s="17" t="s">
        <v>47100</v>
      </c>
      <c r="M12567" s="17"/>
      <c r="N12567" s="17" t="s">
        <v>26965</v>
      </c>
      <c r="O12567" s="17" t="s">
        <v>26986</v>
      </c>
      <c r="P12567" s="17" t="s">
        <v>27010</v>
      </c>
      <c r="Q12567" s="17"/>
      <c r="R12567" s="25" t="str">
        <f>HYPERLINK("https://ictv.global/taxonomy/taxondetails?taxnode_id=202300024","Orthohantavirus asikkalaense")</f>
        <v>Orthohantavirus asikkalaense</v>
      </c>
      <c r="S12567" s="18" t="s">
        <v>30</v>
      </c>
      <c r="T12567" s="18" t="s">
        <v>27017</v>
      </c>
      <c r="U12567" s="18" t="s">
        <v>27018</v>
      </c>
      <c r="V12567" s="18" t="s">
        <v>27019</v>
      </c>
      <c r="W12567" s="18" t="s">
        <v>50569</v>
      </c>
      <c r="X12567" s="18" t="s">
        <v>154</v>
      </c>
      <c r="Y12567" s="18" t="s">
        <v>23964</v>
      </c>
      <c r="Z12567" s="18" t="s">
        <v>166</v>
      </c>
      <c r="AA12567" s="21" t="str">
        <f>HYPERLINK("https://www.ncbi.nlm.nih.gov/nuccore/KC880347,KC880344,KC880341","NCBI Nucleotide")</f>
        <v>NCBI Nucleotide</v>
      </c>
    </row>
    <row r="12568" spans="1:27" x14ac:dyDescent="0.35">
      <c r="A12568">
        <v>1011144</v>
      </c>
      <c r="B12568">
        <v>11840</v>
      </c>
      <c r="C12568">
        <v>1</v>
      </c>
      <c r="D12568" s="17" t="s">
        <v>17166</v>
      </c>
      <c r="E12568" s="17"/>
      <c r="F12568" s="17" t="s">
        <v>17246</v>
      </c>
      <c r="G12568" s="17"/>
      <c r="H12568" s="17" t="s">
        <v>23950</v>
      </c>
      <c r="I12568" s="17" t="s">
        <v>26604</v>
      </c>
      <c r="J12568" s="17" t="s">
        <v>47099</v>
      </c>
      <c r="K12568" s="17"/>
      <c r="L12568" s="17" t="s">
        <v>47100</v>
      </c>
      <c r="M12568" s="17"/>
      <c r="N12568" s="17" t="s">
        <v>26965</v>
      </c>
      <c r="O12568" s="17" t="s">
        <v>26986</v>
      </c>
      <c r="P12568" s="17" t="s">
        <v>27010</v>
      </c>
      <c r="Q12568" s="17"/>
      <c r="R12568" s="25" t="str">
        <f>HYPERLINK("https://ictv.global/taxonomy/taxondetails?taxnode_id=202300025","Orthohantavirus bayoui")</f>
        <v>Orthohantavirus bayoui</v>
      </c>
      <c r="S12568" s="18" t="s">
        <v>30</v>
      </c>
      <c r="T12568" s="18" t="s">
        <v>27020</v>
      </c>
      <c r="U12568" s="18" t="s">
        <v>27021</v>
      </c>
      <c r="V12568" s="18" t="s">
        <v>27022</v>
      </c>
      <c r="W12568" s="18" t="s">
        <v>50787</v>
      </c>
      <c r="X12568" s="18" t="s">
        <v>42</v>
      </c>
      <c r="Y12568" s="18" t="s">
        <v>23964</v>
      </c>
      <c r="Z12568" s="18" t="s">
        <v>166</v>
      </c>
      <c r="AA12568" s="21" t="str">
        <f>HYPERLINK("https://www.ncbi.nlm.nih.gov/nuccore/GQ244526,GQ244521,GQ200820","NCBI Nucleotide")</f>
        <v>NCBI Nucleotide</v>
      </c>
    </row>
    <row r="12569" spans="1:27" x14ac:dyDescent="0.35">
      <c r="A12569">
        <v>1012910</v>
      </c>
      <c r="B12569">
        <v>11840</v>
      </c>
      <c r="C12569">
        <v>2</v>
      </c>
      <c r="D12569" s="17" t="s">
        <v>17166</v>
      </c>
      <c r="E12569" s="17"/>
      <c r="F12569" s="17" t="s">
        <v>17246</v>
      </c>
      <c r="G12569" s="17"/>
      <c r="H12569" s="17" t="s">
        <v>23950</v>
      </c>
      <c r="I12569" s="17" t="s">
        <v>26604</v>
      </c>
      <c r="J12569" s="17" t="s">
        <v>47099</v>
      </c>
      <c r="K12569" s="17"/>
      <c r="L12569" s="17" t="s">
        <v>47100</v>
      </c>
      <c r="M12569" s="17"/>
      <c r="N12569" s="17" t="s">
        <v>26965</v>
      </c>
      <c r="O12569" s="17" t="s">
        <v>26986</v>
      </c>
      <c r="P12569" s="17" t="s">
        <v>27010</v>
      </c>
      <c r="Q12569" s="17"/>
      <c r="R12569" s="25" t="str">
        <f>HYPERLINK("https://ictv.global/taxonomy/taxondetails?taxnode_id=202300025","Orthohantavirus bayoui")</f>
        <v>Orthohantavirus bayoui</v>
      </c>
      <c r="S12569" s="18" t="s">
        <v>8141</v>
      </c>
      <c r="T12569" s="18" t="s">
        <v>27020</v>
      </c>
      <c r="U12569" s="18" t="s">
        <v>27021</v>
      </c>
      <c r="V12569" s="18"/>
      <c r="W12569" s="18" t="s">
        <v>50570</v>
      </c>
      <c r="X12569" s="18" t="s">
        <v>154</v>
      </c>
      <c r="Y12569" s="18" t="s">
        <v>23964</v>
      </c>
      <c r="Z12569" s="18" t="s">
        <v>166</v>
      </c>
      <c r="AA12569" s="21" t="str">
        <f>HYPERLINK("https://www.ncbi.nlm.nih.gov/nuccore/L36930,L36929","NCBI Nucleotide")</f>
        <v>NCBI Nucleotide</v>
      </c>
    </row>
    <row r="12570" spans="1:27" x14ac:dyDescent="0.35">
      <c r="A12570">
        <v>1012911</v>
      </c>
      <c r="B12570">
        <v>11840</v>
      </c>
      <c r="C12570">
        <v>3</v>
      </c>
      <c r="D12570" s="17" t="s">
        <v>17166</v>
      </c>
      <c r="E12570" s="17"/>
      <c r="F12570" s="17" t="s">
        <v>17246</v>
      </c>
      <c r="G12570" s="17"/>
      <c r="H12570" s="17" t="s">
        <v>23950</v>
      </c>
      <c r="I12570" s="17" t="s">
        <v>26604</v>
      </c>
      <c r="J12570" s="17" t="s">
        <v>47099</v>
      </c>
      <c r="K12570" s="17"/>
      <c r="L12570" s="17" t="s">
        <v>47100</v>
      </c>
      <c r="M12570" s="17"/>
      <c r="N12570" s="17" t="s">
        <v>26965</v>
      </c>
      <c r="O12570" s="17" t="s">
        <v>26986</v>
      </c>
      <c r="P12570" s="17" t="s">
        <v>27010</v>
      </c>
      <c r="Q12570" s="17"/>
      <c r="R12570" s="25" t="str">
        <f>HYPERLINK("https://ictv.global/taxonomy/taxondetails?taxnode_id=202300025","Orthohantavirus bayoui")</f>
        <v>Orthohantavirus bayoui</v>
      </c>
      <c r="S12570" s="18" t="s">
        <v>8141</v>
      </c>
      <c r="T12570" s="18" t="s">
        <v>27111</v>
      </c>
      <c r="U12570" s="18" t="s">
        <v>27112</v>
      </c>
      <c r="V12570" s="18" t="s">
        <v>27113</v>
      </c>
      <c r="W12570" s="18" t="s">
        <v>49451</v>
      </c>
      <c r="X12570" s="18" t="s">
        <v>42</v>
      </c>
      <c r="Y12570" s="18" t="s">
        <v>23964</v>
      </c>
      <c r="Z12570" s="18" t="s">
        <v>166</v>
      </c>
      <c r="AA12570" s="21" t="str">
        <f>HYPERLINK("https://www.ncbi.nlm.nih.gov/nuccore/FJ858378,DQ177347,DQ256126","NCBI Nucleotide")</f>
        <v>NCBI Nucleotide</v>
      </c>
    </row>
    <row r="12571" spans="1:27" x14ac:dyDescent="0.35">
      <c r="A12571">
        <v>1011145</v>
      </c>
      <c r="B12571">
        <v>11841</v>
      </c>
      <c r="C12571">
        <v>1</v>
      </c>
      <c r="D12571" s="17" t="s">
        <v>17166</v>
      </c>
      <c r="E12571" s="17"/>
      <c r="F12571" s="17" t="s">
        <v>17246</v>
      </c>
      <c r="G12571" s="17"/>
      <c r="H12571" s="17" t="s">
        <v>23950</v>
      </c>
      <c r="I12571" s="17" t="s">
        <v>26604</v>
      </c>
      <c r="J12571" s="17" t="s">
        <v>47099</v>
      </c>
      <c r="K12571" s="17"/>
      <c r="L12571" s="17" t="s">
        <v>47100</v>
      </c>
      <c r="M12571" s="17"/>
      <c r="N12571" s="17" t="s">
        <v>26965</v>
      </c>
      <c r="O12571" s="17" t="s">
        <v>26986</v>
      </c>
      <c r="P12571" s="17" t="s">
        <v>27010</v>
      </c>
      <c r="Q12571" s="17"/>
      <c r="R12571" s="25" t="str">
        <f>HYPERLINK("https://ictv.global/taxonomy/taxondetails?taxnode_id=202300027","Orthohantavirus boweense")</f>
        <v>Orthohantavirus boweense</v>
      </c>
      <c r="S12571" s="18" t="s">
        <v>30</v>
      </c>
      <c r="T12571" s="18" t="s">
        <v>27023</v>
      </c>
      <c r="U12571" s="18" t="s">
        <v>27024</v>
      </c>
      <c r="V12571" s="18" t="s">
        <v>27025</v>
      </c>
      <c r="W12571" s="18" t="s">
        <v>50571</v>
      </c>
      <c r="X12571" s="18" t="s">
        <v>35</v>
      </c>
      <c r="Y12571" s="18" t="s">
        <v>23964</v>
      </c>
      <c r="Z12571" s="18" t="s">
        <v>166</v>
      </c>
      <c r="AA12571" s="21" t="str">
        <f>HYPERLINK("https://www.ncbi.nlm.nih.gov/nuccore/KC631784,KC631783,KC631782","NCBI Nucleotide")</f>
        <v>NCBI Nucleotide</v>
      </c>
    </row>
    <row r="12572" spans="1:27" x14ac:dyDescent="0.35">
      <c r="A12572">
        <v>1011146</v>
      </c>
      <c r="B12572">
        <v>11842</v>
      </c>
      <c r="C12572">
        <v>1</v>
      </c>
      <c r="D12572" s="17" t="s">
        <v>17166</v>
      </c>
      <c r="E12572" s="17"/>
      <c r="F12572" s="17" t="s">
        <v>17246</v>
      </c>
      <c r="G12572" s="17"/>
      <c r="H12572" s="17" t="s">
        <v>23950</v>
      </c>
      <c r="I12572" s="17" t="s">
        <v>26604</v>
      </c>
      <c r="J12572" s="17" t="s">
        <v>47099</v>
      </c>
      <c r="K12572" s="17"/>
      <c r="L12572" s="17" t="s">
        <v>47100</v>
      </c>
      <c r="M12572" s="17"/>
      <c r="N12572" s="17" t="s">
        <v>26965</v>
      </c>
      <c r="O12572" s="17" t="s">
        <v>26986</v>
      </c>
      <c r="P12572" s="17" t="s">
        <v>27010</v>
      </c>
      <c r="Q12572" s="17"/>
      <c r="R12572" s="25" t="str">
        <f>HYPERLINK("https://ictv.global/taxonomy/taxondetails?taxnode_id=202300028","Orthohantavirus brugesense")</f>
        <v>Orthohantavirus brugesense</v>
      </c>
      <c r="S12572" s="18" t="s">
        <v>30</v>
      </c>
      <c r="T12572" s="18" t="s">
        <v>27026</v>
      </c>
      <c r="U12572" s="18" t="s">
        <v>27027</v>
      </c>
      <c r="V12572" s="18" t="s">
        <v>27028</v>
      </c>
      <c r="W12572" s="18" t="s">
        <v>50572</v>
      </c>
      <c r="X12572" s="18" t="s">
        <v>35</v>
      </c>
      <c r="Y12572" s="18" t="s">
        <v>23964</v>
      </c>
      <c r="Z12572" s="18" t="s">
        <v>166</v>
      </c>
      <c r="AA12572" s="21" t="str">
        <f>HYPERLINK("https://www.ncbi.nlm.nih.gov/nuccore/KX551962,KX551961,KX551960","NCBI Nucleotide")</f>
        <v>NCBI Nucleotide</v>
      </c>
    </row>
    <row r="12573" spans="1:27" x14ac:dyDescent="0.35">
      <c r="A12573">
        <v>1011147</v>
      </c>
      <c r="B12573">
        <v>11843</v>
      </c>
      <c r="C12573">
        <v>1</v>
      </c>
      <c r="D12573" s="17" t="s">
        <v>17166</v>
      </c>
      <c r="E12573" s="17"/>
      <c r="F12573" s="17" t="s">
        <v>17246</v>
      </c>
      <c r="G12573" s="17"/>
      <c r="H12573" s="17" t="s">
        <v>23950</v>
      </c>
      <c r="I12573" s="17" t="s">
        <v>26604</v>
      </c>
      <c r="J12573" s="17" t="s">
        <v>47099</v>
      </c>
      <c r="K12573" s="17"/>
      <c r="L12573" s="17" t="s">
        <v>47100</v>
      </c>
      <c r="M12573" s="17"/>
      <c r="N12573" s="17" t="s">
        <v>26965</v>
      </c>
      <c r="O12573" s="17" t="s">
        <v>26986</v>
      </c>
      <c r="P12573" s="17" t="s">
        <v>27010</v>
      </c>
      <c r="Q12573" s="17"/>
      <c r="R12573" s="25" t="str">
        <f>HYPERLINK("https://ictv.global/taxonomy/taxondetails?taxnode_id=202300030","Orthohantavirus caobangense")</f>
        <v>Orthohantavirus caobangense</v>
      </c>
      <c r="S12573" s="18" t="s">
        <v>30</v>
      </c>
      <c r="T12573" s="18" t="s">
        <v>27029</v>
      </c>
      <c r="U12573" s="18" t="s">
        <v>27030</v>
      </c>
      <c r="V12573" s="18">
        <v>3</v>
      </c>
      <c r="W12573" s="18" t="s">
        <v>50573</v>
      </c>
      <c r="X12573" s="18" t="s">
        <v>42</v>
      </c>
      <c r="Y12573" s="18" t="s">
        <v>23964</v>
      </c>
      <c r="Z12573" s="18" t="s">
        <v>166</v>
      </c>
      <c r="AA12573" s="21" t="str">
        <f>HYPERLINK("https://www.ncbi.nlm.nih.gov/nuccore/EF543525,EF543526,EF543524","NCBI Nucleotide")</f>
        <v>NCBI Nucleotide</v>
      </c>
    </row>
    <row r="12574" spans="1:27" x14ac:dyDescent="0.35">
      <c r="A12574">
        <v>1012912</v>
      </c>
      <c r="B12574">
        <v>11843</v>
      </c>
      <c r="C12574">
        <v>2</v>
      </c>
      <c r="D12574" s="17" t="s">
        <v>17166</v>
      </c>
      <c r="E12574" s="17"/>
      <c r="F12574" s="17" t="s">
        <v>17246</v>
      </c>
      <c r="G12574" s="17"/>
      <c r="H12574" s="17" t="s">
        <v>23950</v>
      </c>
      <c r="I12574" s="17" t="s">
        <v>26604</v>
      </c>
      <c r="J12574" s="17" t="s">
        <v>47099</v>
      </c>
      <c r="K12574" s="17"/>
      <c r="L12574" s="17" t="s">
        <v>47100</v>
      </c>
      <c r="M12574" s="17"/>
      <c r="N12574" s="17" t="s">
        <v>26965</v>
      </c>
      <c r="O12574" s="17" t="s">
        <v>26986</v>
      </c>
      <c r="P12574" s="17" t="s">
        <v>27010</v>
      </c>
      <c r="Q12574" s="17"/>
      <c r="R12574" s="25" t="str">
        <f>HYPERLINK("https://ictv.global/taxonomy/taxondetails?taxnode_id=202300030","Orthohantavirus caobangense")</f>
        <v>Orthohantavirus caobangense</v>
      </c>
      <c r="S12574" s="18" t="s">
        <v>8141</v>
      </c>
      <c r="T12574" s="18" t="s">
        <v>27114</v>
      </c>
      <c r="U12574" s="18" t="s">
        <v>27115</v>
      </c>
      <c r="V12574" s="18" t="s">
        <v>27116</v>
      </c>
      <c r="W12574" s="18" t="s">
        <v>49452</v>
      </c>
      <c r="X12574" s="18" t="s">
        <v>154</v>
      </c>
      <c r="Y12574" s="18" t="s">
        <v>23964</v>
      </c>
      <c r="Z12574" s="18" t="s">
        <v>166</v>
      </c>
      <c r="AA12574" s="21" t="str">
        <f>HYPERLINK("https://www.ncbi.nlm.nih.gov/nuccore/JX465377,JX465395,JX465411","NCBI Nucleotide")</f>
        <v>NCBI Nucleotide</v>
      </c>
    </row>
    <row r="12575" spans="1:27" x14ac:dyDescent="0.35">
      <c r="A12575">
        <v>1011161</v>
      </c>
      <c r="B12575">
        <v>11844</v>
      </c>
      <c r="C12575">
        <v>1</v>
      </c>
      <c r="D12575" s="17" t="s">
        <v>17166</v>
      </c>
      <c r="E12575" s="17"/>
      <c r="F12575" s="17" t="s">
        <v>17246</v>
      </c>
      <c r="G12575" s="17"/>
      <c r="H12575" s="17" t="s">
        <v>23950</v>
      </c>
      <c r="I12575" s="17" t="s">
        <v>26604</v>
      </c>
      <c r="J12575" s="17" t="s">
        <v>47099</v>
      </c>
      <c r="K12575" s="17"/>
      <c r="L12575" s="17" t="s">
        <v>47100</v>
      </c>
      <c r="M12575" s="17"/>
      <c r="N12575" s="17" t="s">
        <v>26965</v>
      </c>
      <c r="O12575" s="17" t="s">
        <v>26986</v>
      </c>
      <c r="P12575" s="17" t="s">
        <v>27010</v>
      </c>
      <c r="Q12575" s="17"/>
      <c r="R12575" s="25" t="str">
        <f>HYPERLINK("https://ictv.global/taxonomy/taxondetails?taxnode_id=202300034","Orthohantavirus carrizalense")</f>
        <v>Orthohantavirus carrizalense</v>
      </c>
      <c r="S12575" s="18" t="s">
        <v>30</v>
      </c>
      <c r="T12575" s="18" t="s">
        <v>27133</v>
      </c>
      <c r="U12575" s="18" t="s">
        <v>26090</v>
      </c>
      <c r="V12575" s="18" t="s">
        <v>27134</v>
      </c>
      <c r="W12575" s="18" t="s">
        <v>27135</v>
      </c>
      <c r="X12575" s="18" t="s">
        <v>42</v>
      </c>
      <c r="Y12575" s="18" t="s">
        <v>23964</v>
      </c>
      <c r="Z12575" s="18" t="s">
        <v>166</v>
      </c>
      <c r="AA12575" s="21" t="str">
        <f>HYPERLINK("https://www.ncbi.nlm.nih.gov/nuccore/AB620105,AB620104,AB620103","NCBI Nucleotide")</f>
        <v>NCBI Nucleotide</v>
      </c>
    </row>
    <row r="12576" spans="1:27" x14ac:dyDescent="0.35">
      <c r="A12576">
        <v>1012925</v>
      </c>
      <c r="B12576">
        <v>11844</v>
      </c>
      <c r="C12576">
        <v>2</v>
      </c>
      <c r="D12576" s="17" t="s">
        <v>17166</v>
      </c>
      <c r="E12576" s="17"/>
      <c r="F12576" s="17" t="s">
        <v>17246</v>
      </c>
      <c r="G12576" s="17"/>
      <c r="H12576" s="17" t="s">
        <v>23950</v>
      </c>
      <c r="I12576" s="17" t="s">
        <v>26604</v>
      </c>
      <c r="J12576" s="17" t="s">
        <v>47099</v>
      </c>
      <c r="K12576" s="17"/>
      <c r="L12576" s="17" t="s">
        <v>47100</v>
      </c>
      <c r="M12576" s="17"/>
      <c r="N12576" s="17" t="s">
        <v>26965</v>
      </c>
      <c r="O12576" s="17" t="s">
        <v>26986</v>
      </c>
      <c r="P12576" s="17" t="s">
        <v>27010</v>
      </c>
      <c r="Q12576" s="17"/>
      <c r="R12576" s="25" t="str">
        <f>HYPERLINK("https://ictv.global/taxonomy/taxondetails?taxnode_id=202300034","Orthohantavirus carrizalense")</f>
        <v>Orthohantavirus carrizalense</v>
      </c>
      <c r="S12576" s="18" t="s">
        <v>8141</v>
      </c>
      <c r="T12576" s="18" t="s">
        <v>27136</v>
      </c>
      <c r="U12576" s="18" t="s">
        <v>27137</v>
      </c>
      <c r="V12576" s="18"/>
      <c r="W12576" s="18" t="s">
        <v>49453</v>
      </c>
      <c r="X12576" s="18" t="s">
        <v>42</v>
      </c>
      <c r="Y12576" s="18" t="s">
        <v>23964</v>
      </c>
      <c r="Z12576" s="18" t="s">
        <v>166</v>
      </c>
      <c r="AA12576" s="21" t="str">
        <f>HYPERLINK("https://www.ncbi.nlm.nih.gov/nuccore/AB620108,AB620107,AB620106","NCBI Nucleotide")</f>
        <v>NCBI Nucleotide</v>
      </c>
    </row>
    <row r="12577" spans="1:27" x14ac:dyDescent="0.35">
      <c r="A12577">
        <v>1011148</v>
      </c>
      <c r="B12577">
        <v>11845</v>
      </c>
      <c r="C12577">
        <v>1</v>
      </c>
      <c r="D12577" s="17" t="s">
        <v>17166</v>
      </c>
      <c r="E12577" s="17"/>
      <c r="F12577" s="17" t="s">
        <v>17246</v>
      </c>
      <c r="G12577" s="17"/>
      <c r="H12577" s="17" t="s">
        <v>23950</v>
      </c>
      <c r="I12577" s="17" t="s">
        <v>26604</v>
      </c>
      <c r="J12577" s="17" t="s">
        <v>47099</v>
      </c>
      <c r="K12577" s="17"/>
      <c r="L12577" s="17" t="s">
        <v>47100</v>
      </c>
      <c r="M12577" s="17"/>
      <c r="N12577" s="17" t="s">
        <v>26965</v>
      </c>
      <c r="O12577" s="17" t="s">
        <v>26986</v>
      </c>
      <c r="P12577" s="17" t="s">
        <v>27010</v>
      </c>
      <c r="Q12577" s="17"/>
      <c r="R12577" s="25" t="str">
        <f>HYPERLINK("https://ictv.global/taxonomy/taxondetails?taxnode_id=202300031","Orthohantavirus chocloense")</f>
        <v>Orthohantavirus chocloense</v>
      </c>
      <c r="S12577" s="18" t="s">
        <v>30</v>
      </c>
      <c r="T12577" s="18" t="s">
        <v>27031</v>
      </c>
      <c r="U12577" s="18" t="s">
        <v>25935</v>
      </c>
      <c r="V12577" s="18" t="s">
        <v>27032</v>
      </c>
      <c r="W12577" s="18" t="s">
        <v>47125</v>
      </c>
      <c r="X12577" s="18" t="s">
        <v>42</v>
      </c>
      <c r="Y12577" s="18" t="s">
        <v>23964</v>
      </c>
      <c r="Z12577" s="18" t="s">
        <v>166</v>
      </c>
      <c r="AA12577" s="21" t="str">
        <f>HYPERLINK("https://www.ncbi.nlm.nih.gov/nuccore/KT983773,KT983772,KT983771","NCBI Nucleotide")</f>
        <v>NCBI Nucleotide</v>
      </c>
    </row>
    <row r="12578" spans="1:27" x14ac:dyDescent="0.35">
      <c r="A12578">
        <v>1012913</v>
      </c>
      <c r="B12578">
        <v>11845</v>
      </c>
      <c r="C12578">
        <v>2</v>
      </c>
      <c r="D12578" s="17" t="s">
        <v>17166</v>
      </c>
      <c r="E12578" s="17"/>
      <c r="F12578" s="17" t="s">
        <v>17246</v>
      </c>
      <c r="G12578" s="17"/>
      <c r="H12578" s="17" t="s">
        <v>23950</v>
      </c>
      <c r="I12578" s="17" t="s">
        <v>26604</v>
      </c>
      <c r="J12578" s="17" t="s">
        <v>47099</v>
      </c>
      <c r="K12578" s="17"/>
      <c r="L12578" s="17" t="s">
        <v>47100</v>
      </c>
      <c r="M12578" s="17"/>
      <c r="N12578" s="17" t="s">
        <v>26965</v>
      </c>
      <c r="O12578" s="17" t="s">
        <v>26986</v>
      </c>
      <c r="P12578" s="17" t="s">
        <v>27010</v>
      </c>
      <c r="Q12578" s="17"/>
      <c r="R12578" s="25" t="str">
        <f>HYPERLINK("https://ictv.global/taxonomy/taxondetails?taxnode_id=202300031","Orthohantavirus chocloense")</f>
        <v>Orthohantavirus chocloense</v>
      </c>
      <c r="S12578" s="18" t="s">
        <v>8141</v>
      </c>
      <c r="T12578" s="18" t="s">
        <v>27031</v>
      </c>
      <c r="U12578" s="18" t="s">
        <v>25935</v>
      </c>
      <c r="V12578" s="18" t="s">
        <v>47126</v>
      </c>
      <c r="W12578" s="18" t="s">
        <v>49454</v>
      </c>
      <c r="X12578" s="18" t="s">
        <v>42</v>
      </c>
      <c r="Y12578" s="18" t="s">
        <v>23964</v>
      </c>
      <c r="Z12578" s="18" t="s">
        <v>166</v>
      </c>
      <c r="AA12578" s="21" t="str">
        <f>HYPERLINK("https://www.ncbi.nlm.nih.gov/nuccore/OR365538,OR365537,OR365536","NCBI Nucleotide")</f>
        <v>NCBI Nucleotide</v>
      </c>
    </row>
    <row r="12579" spans="1:27" x14ac:dyDescent="0.35">
      <c r="A12579">
        <v>1011149</v>
      </c>
      <c r="B12579">
        <v>11846</v>
      </c>
      <c r="C12579">
        <v>1</v>
      </c>
      <c r="D12579" s="17" t="s">
        <v>17166</v>
      </c>
      <c r="E12579" s="17"/>
      <c r="F12579" s="17" t="s">
        <v>17246</v>
      </c>
      <c r="G12579" s="17"/>
      <c r="H12579" s="17" t="s">
        <v>23950</v>
      </c>
      <c r="I12579" s="17" t="s">
        <v>26604</v>
      </c>
      <c r="J12579" s="17" t="s">
        <v>47099</v>
      </c>
      <c r="K12579" s="17"/>
      <c r="L12579" s="17" t="s">
        <v>47100</v>
      </c>
      <c r="M12579" s="17"/>
      <c r="N12579" s="17" t="s">
        <v>26965</v>
      </c>
      <c r="O12579" s="17" t="s">
        <v>26986</v>
      </c>
      <c r="P12579" s="17" t="s">
        <v>27010</v>
      </c>
      <c r="Q12579" s="17"/>
      <c r="R12579" s="25" t="str">
        <f>HYPERLINK("https://ictv.global/taxonomy/taxondetails?taxnode_id=202300032","Orthohantavirus dabieshanense")</f>
        <v>Orthohantavirus dabieshanense</v>
      </c>
      <c r="S12579" s="18" t="s">
        <v>30</v>
      </c>
      <c r="T12579" s="18" t="s">
        <v>27033</v>
      </c>
      <c r="U12579" s="18" t="s">
        <v>27034</v>
      </c>
      <c r="V12579" s="18" t="s">
        <v>47127</v>
      </c>
      <c r="W12579" s="18" t="s">
        <v>47128</v>
      </c>
      <c r="X12579" s="18" t="s">
        <v>42</v>
      </c>
      <c r="Y12579" s="18" t="s">
        <v>23964</v>
      </c>
      <c r="Z12579" s="18" t="s">
        <v>166</v>
      </c>
      <c r="AA12579" s="21" t="str">
        <f>HYPERLINK("https://www.ncbi.nlm.nih.gov/nuccore/OM030305,OM030306,OM030307","NCBI Nucleotide")</f>
        <v>NCBI Nucleotide</v>
      </c>
    </row>
    <row r="12580" spans="1:27" x14ac:dyDescent="0.35">
      <c r="A12580">
        <v>1012914</v>
      </c>
      <c r="B12580">
        <v>11846</v>
      </c>
      <c r="C12580">
        <v>2</v>
      </c>
      <c r="D12580" s="17" t="s">
        <v>17166</v>
      </c>
      <c r="E12580" s="17"/>
      <c r="F12580" s="17" t="s">
        <v>17246</v>
      </c>
      <c r="G12580" s="17"/>
      <c r="H12580" s="17" t="s">
        <v>23950</v>
      </c>
      <c r="I12580" s="17" t="s">
        <v>26604</v>
      </c>
      <c r="J12580" s="17" t="s">
        <v>47099</v>
      </c>
      <c r="K12580" s="17"/>
      <c r="L12580" s="17" t="s">
        <v>47100</v>
      </c>
      <c r="M12580" s="17"/>
      <c r="N12580" s="17" t="s">
        <v>26965</v>
      </c>
      <c r="O12580" s="17" t="s">
        <v>26986</v>
      </c>
      <c r="P12580" s="17" t="s">
        <v>27010</v>
      </c>
      <c r="Q12580" s="17"/>
      <c r="R12580" s="25" t="str">
        <f>HYPERLINK("https://ictv.global/taxonomy/taxondetails?taxnode_id=202300032","Orthohantavirus dabieshanense")</f>
        <v>Orthohantavirus dabieshanense</v>
      </c>
      <c r="S12580" s="18" t="s">
        <v>8141</v>
      </c>
      <c r="T12580" s="18" t="s">
        <v>27033</v>
      </c>
      <c r="U12580" s="18" t="s">
        <v>27034</v>
      </c>
      <c r="V12580" s="18" t="s">
        <v>27035</v>
      </c>
      <c r="W12580" s="18" t="s">
        <v>50788</v>
      </c>
      <c r="X12580" s="18" t="s">
        <v>154</v>
      </c>
      <c r="Y12580" s="18" t="s">
        <v>23964</v>
      </c>
      <c r="Z12580" s="18" t="s">
        <v>166</v>
      </c>
      <c r="AA12580" s="21" t="str">
        <f>HYPERLINK("https://www.ncbi.nlm.nih.gov/nuccore/JF796043,JF796036,JF796022","NCBI Nucleotide")</f>
        <v>NCBI Nucleotide</v>
      </c>
    </row>
    <row r="12581" spans="1:27" x14ac:dyDescent="0.35">
      <c r="A12581">
        <v>1011150</v>
      </c>
      <c r="B12581">
        <v>11847</v>
      </c>
      <c r="C12581">
        <v>1</v>
      </c>
      <c r="D12581" s="17" t="s">
        <v>17166</v>
      </c>
      <c r="E12581" s="17"/>
      <c r="F12581" s="17" t="s">
        <v>17246</v>
      </c>
      <c r="G12581" s="17"/>
      <c r="H12581" s="17" t="s">
        <v>23950</v>
      </c>
      <c r="I12581" s="17" t="s">
        <v>26604</v>
      </c>
      <c r="J12581" s="17" t="s">
        <v>47099</v>
      </c>
      <c r="K12581" s="17"/>
      <c r="L12581" s="17" t="s">
        <v>47100</v>
      </c>
      <c r="M12581" s="17"/>
      <c r="N12581" s="17" t="s">
        <v>26965</v>
      </c>
      <c r="O12581" s="17" t="s">
        <v>26986</v>
      </c>
      <c r="P12581" s="17" t="s">
        <v>27010</v>
      </c>
      <c r="Q12581" s="17"/>
      <c r="R12581" s="25" t="str">
        <f>HYPERLINK("https://ictv.global/taxonomy/taxondetails?taxnode_id=202300029","Orthohantavirus delgaditoense")</f>
        <v>Orthohantavirus delgaditoense</v>
      </c>
      <c r="S12581" s="18" t="s">
        <v>30</v>
      </c>
      <c r="T12581" s="18" t="s">
        <v>27037</v>
      </c>
      <c r="U12581" s="18" t="s">
        <v>27038</v>
      </c>
      <c r="V12581" s="18" t="s">
        <v>27039</v>
      </c>
      <c r="W12581" s="18" t="s">
        <v>50574</v>
      </c>
      <c r="X12581" s="18" t="s">
        <v>35</v>
      </c>
      <c r="Y12581" s="18" t="s">
        <v>23964</v>
      </c>
      <c r="Z12581" s="18" t="s">
        <v>166</v>
      </c>
      <c r="AA12581" s="21" t="str">
        <f>HYPERLINK("https://www.ncbi.nlm.nih.gov/nuccore/GQ200821,DQ284451,DQ285566","NCBI Nucleotide")</f>
        <v>NCBI Nucleotide</v>
      </c>
    </row>
    <row r="12582" spans="1:27" x14ac:dyDescent="0.35">
      <c r="A12582">
        <v>1011151</v>
      </c>
      <c r="B12582">
        <v>11848</v>
      </c>
      <c r="C12582">
        <v>1</v>
      </c>
      <c r="D12582" s="17" t="s">
        <v>17166</v>
      </c>
      <c r="E12582" s="17"/>
      <c r="F12582" s="17" t="s">
        <v>17246</v>
      </c>
      <c r="G12582" s="17"/>
      <c r="H12582" s="17" t="s">
        <v>23950</v>
      </c>
      <c r="I12582" s="17" t="s">
        <v>26604</v>
      </c>
      <c r="J12582" s="17" t="s">
        <v>47099</v>
      </c>
      <c r="K12582" s="17"/>
      <c r="L12582" s="17" t="s">
        <v>47100</v>
      </c>
      <c r="M12582" s="17"/>
      <c r="N12582" s="17" t="s">
        <v>26965</v>
      </c>
      <c r="O12582" s="17" t="s">
        <v>26986</v>
      </c>
      <c r="P12582" s="17" t="s">
        <v>27010</v>
      </c>
      <c r="Q12582" s="17"/>
      <c r="R12582" s="25" t="str">
        <f>HYPERLINK("https://ictv.global/taxonomy/taxondetails?taxnode_id=202300033","Orthohantavirus dobravaense")</f>
        <v>Orthohantavirus dobravaense</v>
      </c>
      <c r="S12582" s="18" t="s">
        <v>30</v>
      </c>
      <c r="T12582" s="18" t="s">
        <v>27040</v>
      </c>
      <c r="U12582" s="18" t="s">
        <v>27041</v>
      </c>
      <c r="V12582" s="18" t="s">
        <v>27042</v>
      </c>
      <c r="W12582" s="18" t="s">
        <v>50575</v>
      </c>
      <c r="X12582" s="18" t="s">
        <v>42</v>
      </c>
      <c r="Y12582" s="18" t="s">
        <v>23964</v>
      </c>
      <c r="Z12582" s="18" t="s">
        <v>166</v>
      </c>
      <c r="AA12582" s="21" t="str">
        <f>HYPERLINK("https://www.ncbi.nlm.nih.gov/nuccore/AJ410617,AJ410616,AJ410615","NCBI Nucleotide")</f>
        <v>NCBI Nucleotide</v>
      </c>
    </row>
    <row r="12583" spans="1:27" x14ac:dyDescent="0.35">
      <c r="A12583">
        <v>1012918</v>
      </c>
      <c r="B12583">
        <v>11848</v>
      </c>
      <c r="C12583">
        <v>2</v>
      </c>
      <c r="D12583" s="17" t="s">
        <v>17166</v>
      </c>
      <c r="E12583" s="17"/>
      <c r="F12583" s="17" t="s">
        <v>17246</v>
      </c>
      <c r="G12583" s="17"/>
      <c r="H12583" s="17" t="s">
        <v>23950</v>
      </c>
      <c r="I12583" s="17" t="s">
        <v>26604</v>
      </c>
      <c r="J12583" s="17" t="s">
        <v>47099</v>
      </c>
      <c r="K12583" s="17"/>
      <c r="L12583" s="17" t="s">
        <v>47100</v>
      </c>
      <c r="M12583" s="17"/>
      <c r="N12583" s="17" t="s">
        <v>26965</v>
      </c>
      <c r="O12583" s="17" t="s">
        <v>26986</v>
      </c>
      <c r="P12583" s="17" t="s">
        <v>27010</v>
      </c>
      <c r="Q12583" s="17"/>
      <c r="R12583" s="25" t="str">
        <f>HYPERLINK("https://ictv.global/taxonomy/taxondetails?taxnode_id=202300033","Orthohantavirus dobravaense")</f>
        <v>Orthohantavirus dobravaense</v>
      </c>
      <c r="S12583" s="18" t="s">
        <v>8141</v>
      </c>
      <c r="T12583" s="18" t="s">
        <v>27040</v>
      </c>
      <c r="U12583" s="18" t="s">
        <v>27041</v>
      </c>
      <c r="V12583" s="18" t="s">
        <v>39869</v>
      </c>
      <c r="W12583" s="18" t="s">
        <v>49455</v>
      </c>
      <c r="X12583" s="18" t="s">
        <v>35</v>
      </c>
      <c r="Y12583" s="18" t="s">
        <v>23964</v>
      </c>
      <c r="Z12583" s="18" t="s">
        <v>166</v>
      </c>
      <c r="AA12583" s="21" t="str">
        <f>HYPERLINK("https://www.ncbi.nlm.nih.gov/nuccore/GU904041,GU904034,GU904028","NCBI Nucleotide")</f>
        <v>NCBI Nucleotide</v>
      </c>
    </row>
    <row r="12584" spans="1:27" x14ac:dyDescent="0.35">
      <c r="A12584">
        <v>1012915</v>
      </c>
      <c r="B12584">
        <v>11848</v>
      </c>
      <c r="C12584">
        <v>3</v>
      </c>
      <c r="D12584" s="17" t="s">
        <v>17166</v>
      </c>
      <c r="E12584" s="17"/>
      <c r="F12584" s="17" t="s">
        <v>17246</v>
      </c>
      <c r="G12584" s="17"/>
      <c r="H12584" s="17" t="s">
        <v>23950</v>
      </c>
      <c r="I12584" s="17" t="s">
        <v>26604</v>
      </c>
      <c r="J12584" s="17" t="s">
        <v>47099</v>
      </c>
      <c r="K12584" s="17"/>
      <c r="L12584" s="17" t="s">
        <v>47100</v>
      </c>
      <c r="M12584" s="17"/>
      <c r="N12584" s="17" t="s">
        <v>26965</v>
      </c>
      <c r="O12584" s="17" t="s">
        <v>26986</v>
      </c>
      <c r="P12584" s="17" t="s">
        <v>27010</v>
      </c>
      <c r="Q12584" s="17"/>
      <c r="R12584" s="25" t="str">
        <f>HYPERLINK("https://ictv.global/taxonomy/taxondetails?taxnode_id=202300033","Orthohantavirus dobravaense")</f>
        <v>Orthohantavirus dobravaense</v>
      </c>
      <c r="S12584" s="18" t="s">
        <v>8141</v>
      </c>
      <c r="T12584" s="18" t="s">
        <v>27036</v>
      </c>
      <c r="U12584" s="18" t="s">
        <v>27117</v>
      </c>
      <c r="V12584" s="18" t="s">
        <v>27118</v>
      </c>
      <c r="W12584" s="18" t="s">
        <v>49456</v>
      </c>
      <c r="X12584" s="18" t="s">
        <v>154</v>
      </c>
      <c r="Y12584" s="18" t="s">
        <v>23964</v>
      </c>
      <c r="Z12584" s="18" t="s">
        <v>166</v>
      </c>
      <c r="AA12584" s="21" t="str">
        <f>HYPERLINK("https://www.ncbi.nlm.nih.gov/nuccore/GQ303582","NCBI Nucleotide")</f>
        <v>NCBI Nucleotide</v>
      </c>
    </row>
    <row r="12585" spans="1:27" x14ac:dyDescent="0.35">
      <c r="A12585">
        <v>1012916</v>
      </c>
      <c r="B12585">
        <v>11848</v>
      </c>
      <c r="C12585">
        <v>4</v>
      </c>
      <c r="D12585" s="17" t="s">
        <v>17166</v>
      </c>
      <c r="E12585" s="17"/>
      <c r="F12585" s="17" t="s">
        <v>17246</v>
      </c>
      <c r="G12585" s="17"/>
      <c r="H12585" s="17" t="s">
        <v>23950</v>
      </c>
      <c r="I12585" s="17" t="s">
        <v>26604</v>
      </c>
      <c r="J12585" s="17" t="s">
        <v>47099</v>
      </c>
      <c r="K12585" s="17"/>
      <c r="L12585" s="17" t="s">
        <v>47100</v>
      </c>
      <c r="M12585" s="17"/>
      <c r="N12585" s="17" t="s">
        <v>26965</v>
      </c>
      <c r="O12585" s="17" t="s">
        <v>26986</v>
      </c>
      <c r="P12585" s="17" t="s">
        <v>27010</v>
      </c>
      <c r="Q12585" s="17"/>
      <c r="R12585" s="25" t="str">
        <f>HYPERLINK("https://ictv.global/taxonomy/taxondetails?taxnode_id=202300033","Orthohantavirus dobravaense")</f>
        <v>Orthohantavirus dobravaense</v>
      </c>
      <c r="S12585" s="18" t="s">
        <v>8141</v>
      </c>
      <c r="T12585" s="18" t="s">
        <v>27119</v>
      </c>
      <c r="U12585" s="18" t="s">
        <v>12773</v>
      </c>
      <c r="V12585" s="18" t="s">
        <v>27120</v>
      </c>
      <c r="W12585" s="18" t="s">
        <v>49457</v>
      </c>
      <c r="X12585" s="18" t="s">
        <v>154</v>
      </c>
      <c r="Y12585" s="18" t="s">
        <v>23964</v>
      </c>
      <c r="Z12585" s="18" t="s">
        <v>166</v>
      </c>
      <c r="AA12585" s="21" t="str">
        <f>HYPERLINK("https://www.ncbi.nlm.nih.gov/nuccore/AJ410618","NCBI Nucleotide")</f>
        <v>NCBI Nucleotide</v>
      </c>
    </row>
    <row r="12586" spans="1:27" x14ac:dyDescent="0.35">
      <c r="A12586">
        <v>1012917</v>
      </c>
      <c r="B12586">
        <v>11848</v>
      </c>
      <c r="C12586">
        <v>5</v>
      </c>
      <c r="D12586" s="17" t="s">
        <v>17166</v>
      </c>
      <c r="E12586" s="17"/>
      <c r="F12586" s="17" t="s">
        <v>17246</v>
      </c>
      <c r="G12586" s="17"/>
      <c r="H12586" s="17" t="s">
        <v>23950</v>
      </c>
      <c r="I12586" s="17" t="s">
        <v>26604</v>
      </c>
      <c r="J12586" s="17" t="s">
        <v>47099</v>
      </c>
      <c r="K12586" s="17"/>
      <c r="L12586" s="17" t="s">
        <v>47100</v>
      </c>
      <c r="M12586" s="17"/>
      <c r="N12586" s="17" t="s">
        <v>26965</v>
      </c>
      <c r="O12586" s="17" t="s">
        <v>26986</v>
      </c>
      <c r="P12586" s="17" t="s">
        <v>27010</v>
      </c>
      <c r="Q12586" s="17"/>
      <c r="R12586" s="25" t="str">
        <f>HYPERLINK("https://ictv.global/taxonomy/taxondetails?taxnode_id=202300033","Orthohantavirus dobravaense")</f>
        <v>Orthohantavirus dobravaense</v>
      </c>
      <c r="S12586" s="18" t="s">
        <v>8141</v>
      </c>
      <c r="T12586" s="18" t="s">
        <v>27121</v>
      </c>
      <c r="U12586" s="18" t="s">
        <v>27122</v>
      </c>
      <c r="V12586" s="18" t="s">
        <v>27123</v>
      </c>
      <c r="W12586" s="18" t="s">
        <v>49458</v>
      </c>
      <c r="X12586" s="18" t="s">
        <v>42</v>
      </c>
      <c r="Y12586" s="18" t="s">
        <v>23964</v>
      </c>
      <c r="Z12586" s="18" t="s">
        <v>166</v>
      </c>
      <c r="AA12586" s="21" t="str">
        <f>HYPERLINK("https://www.ncbi.nlm.nih.gov/nuccore/JF920148,JF920149,JF920150","NCBI Nucleotide")</f>
        <v>NCBI Nucleotide</v>
      </c>
    </row>
    <row r="12587" spans="1:27" x14ac:dyDescent="0.35">
      <c r="A12587">
        <v>1011152</v>
      </c>
      <c r="B12587">
        <v>11849</v>
      </c>
      <c r="C12587">
        <v>1</v>
      </c>
      <c r="D12587" s="17" t="s">
        <v>17166</v>
      </c>
      <c r="E12587" s="17"/>
      <c r="F12587" s="17" t="s">
        <v>17246</v>
      </c>
      <c r="G12587" s="17"/>
      <c r="H12587" s="17" t="s">
        <v>23950</v>
      </c>
      <c r="I12587" s="17" t="s">
        <v>26604</v>
      </c>
      <c r="J12587" s="17" t="s">
        <v>47099</v>
      </c>
      <c r="K12587" s="17"/>
      <c r="L12587" s="17" t="s">
        <v>47100</v>
      </c>
      <c r="M12587" s="17"/>
      <c r="N12587" s="17" t="s">
        <v>26965</v>
      </c>
      <c r="O12587" s="17" t="s">
        <v>26986</v>
      </c>
      <c r="P12587" s="17" t="s">
        <v>27010</v>
      </c>
      <c r="Q12587" s="17"/>
      <c r="R12587" s="25" t="str">
        <f>HYPERLINK("https://ictv.global/taxonomy/taxondetails?taxnode_id=202300035","Orthohantavirus fugongense")</f>
        <v>Orthohantavirus fugongense</v>
      </c>
      <c r="S12587" s="18" t="s">
        <v>30</v>
      </c>
      <c r="T12587" s="18" t="s">
        <v>27043</v>
      </c>
      <c r="U12587" s="18" t="s">
        <v>27044</v>
      </c>
      <c r="V12587" s="18" t="s">
        <v>27045</v>
      </c>
      <c r="W12587" s="18" t="s">
        <v>50576</v>
      </c>
      <c r="X12587" s="18" t="s">
        <v>42</v>
      </c>
      <c r="Y12587" s="18" t="s">
        <v>23964</v>
      </c>
      <c r="Z12587" s="18" t="s">
        <v>166</v>
      </c>
      <c r="AA12587" s="21" t="str">
        <f>HYPERLINK("https://www.ncbi.nlm.nih.gov/nuccore/KT899703,KT899702,KT899701","NCBI Nucleotide")</f>
        <v>NCBI Nucleotide</v>
      </c>
    </row>
    <row r="12588" spans="1:27" x14ac:dyDescent="0.35">
      <c r="A12588">
        <v>1011154</v>
      </c>
      <c r="B12588">
        <v>11850</v>
      </c>
      <c r="C12588">
        <v>1</v>
      </c>
      <c r="D12588" s="17" t="s">
        <v>17166</v>
      </c>
      <c r="E12588" s="17"/>
      <c r="F12588" s="17" t="s">
        <v>17246</v>
      </c>
      <c r="G12588" s="17"/>
      <c r="H12588" s="17" t="s">
        <v>23950</v>
      </c>
      <c r="I12588" s="17" t="s">
        <v>26604</v>
      </c>
      <c r="J12588" s="17" t="s">
        <v>47099</v>
      </c>
      <c r="K12588" s="17"/>
      <c r="L12588" s="17" t="s">
        <v>47100</v>
      </c>
      <c r="M12588" s="17"/>
      <c r="N12588" s="17" t="s">
        <v>26965</v>
      </c>
      <c r="O12588" s="17" t="s">
        <v>26986</v>
      </c>
      <c r="P12588" s="17" t="s">
        <v>27010</v>
      </c>
      <c r="Q12588" s="17"/>
      <c r="R12588" s="25" t="str">
        <f>HYPERLINK("https://ictv.global/taxonomy/taxondetails?taxnode_id=202300037","Orthohantavirus hantanense")</f>
        <v>Orthohantavirus hantanense</v>
      </c>
      <c r="S12588" s="18" t="s">
        <v>30</v>
      </c>
      <c r="T12588" s="18" t="s">
        <v>27046</v>
      </c>
      <c r="U12588" s="18" t="s">
        <v>27047</v>
      </c>
      <c r="V12588" s="18" t="s">
        <v>27048</v>
      </c>
      <c r="W12588" s="18" t="s">
        <v>50577</v>
      </c>
      <c r="X12588" s="18" t="s">
        <v>42</v>
      </c>
      <c r="Y12588" s="18" t="s">
        <v>23964</v>
      </c>
      <c r="Z12588" s="18" t="s">
        <v>166</v>
      </c>
      <c r="AA12588" s="21" t="str">
        <f>HYPERLINK("https://www.ncbi.nlm.nih.gov/nuccore/X55901,M14627,M14626","NCBI Nucleotide")</f>
        <v>NCBI Nucleotide</v>
      </c>
    </row>
    <row r="12589" spans="1:27" x14ac:dyDescent="0.35">
      <c r="A12589">
        <v>1012919</v>
      </c>
      <c r="B12589">
        <v>11850</v>
      </c>
      <c r="C12589">
        <v>2</v>
      </c>
      <c r="D12589" s="17" t="s">
        <v>17166</v>
      </c>
      <c r="E12589" s="17"/>
      <c r="F12589" s="17" t="s">
        <v>17246</v>
      </c>
      <c r="G12589" s="17"/>
      <c r="H12589" s="17" t="s">
        <v>23950</v>
      </c>
      <c r="I12589" s="17" t="s">
        <v>26604</v>
      </c>
      <c r="J12589" s="17" t="s">
        <v>47099</v>
      </c>
      <c r="K12589" s="17"/>
      <c r="L12589" s="17" t="s">
        <v>47100</v>
      </c>
      <c r="M12589" s="17"/>
      <c r="N12589" s="17" t="s">
        <v>26965</v>
      </c>
      <c r="O12589" s="17" t="s">
        <v>26986</v>
      </c>
      <c r="P12589" s="17" t="s">
        <v>27010</v>
      </c>
      <c r="Q12589" s="17"/>
      <c r="R12589" s="25" t="str">
        <f>HYPERLINK("https://ictv.global/taxonomy/taxondetails?taxnode_id=202300037","Orthohantavirus hantanense")</f>
        <v>Orthohantavirus hantanense</v>
      </c>
      <c r="S12589" s="18" t="s">
        <v>8141</v>
      </c>
      <c r="T12589" s="18" t="s">
        <v>27124</v>
      </c>
      <c r="U12589" s="18" t="s">
        <v>27125</v>
      </c>
      <c r="V12589" s="18" t="s">
        <v>27126</v>
      </c>
      <c r="W12589" s="18" t="s">
        <v>49459</v>
      </c>
      <c r="X12589" s="18" t="s">
        <v>42</v>
      </c>
      <c r="Y12589" s="18" t="s">
        <v>23964</v>
      </c>
      <c r="Z12589" s="18" t="s">
        <v>166</v>
      </c>
      <c r="AA12589" s="21" t="str">
        <f>HYPERLINK("https://www.ncbi.nlm.nih.gov/nuccore/KC136242,KC136243,KC136244","NCBI Nucleotide")</f>
        <v>NCBI Nucleotide</v>
      </c>
    </row>
    <row r="12590" spans="1:27" x14ac:dyDescent="0.35">
      <c r="A12590">
        <v>1012921</v>
      </c>
      <c r="B12590">
        <v>11850</v>
      </c>
      <c r="C12590">
        <v>3</v>
      </c>
      <c r="D12590" s="17" t="s">
        <v>17166</v>
      </c>
      <c r="E12590" s="17"/>
      <c r="F12590" s="17" t="s">
        <v>17246</v>
      </c>
      <c r="G12590" s="17"/>
      <c r="H12590" s="17" t="s">
        <v>23950</v>
      </c>
      <c r="I12590" s="17" t="s">
        <v>26604</v>
      </c>
      <c r="J12590" s="17" t="s">
        <v>47099</v>
      </c>
      <c r="K12590" s="17"/>
      <c r="L12590" s="17" t="s">
        <v>47100</v>
      </c>
      <c r="M12590" s="17"/>
      <c r="N12590" s="17" t="s">
        <v>26965</v>
      </c>
      <c r="O12590" s="17" t="s">
        <v>26986</v>
      </c>
      <c r="P12590" s="17" t="s">
        <v>27010</v>
      </c>
      <c r="Q12590" s="17"/>
      <c r="R12590" s="25" t="str">
        <f>HYPERLINK("https://ictv.global/taxonomy/taxondetails?taxnode_id=202300037","Orthohantavirus hantanense")</f>
        <v>Orthohantavirus hantanense</v>
      </c>
      <c r="S12590" s="18" t="s">
        <v>8141</v>
      </c>
      <c r="T12590" s="18" t="s">
        <v>27046</v>
      </c>
      <c r="U12590" s="18" t="s">
        <v>27047</v>
      </c>
      <c r="V12590" s="18" t="s">
        <v>47129</v>
      </c>
      <c r="W12590" s="18" t="s">
        <v>49460</v>
      </c>
      <c r="X12590" s="18" t="s">
        <v>35</v>
      </c>
      <c r="Y12590" s="18" t="s">
        <v>23964</v>
      </c>
      <c r="Z12590" s="18" t="s">
        <v>166</v>
      </c>
      <c r="AA12590" s="21" t="str">
        <f>HYPERLINK("https://www.ncbi.nlm.nih.gov/nuccore/OR700523,OR700530,OR700537","NCBI Nucleotide")</f>
        <v>NCBI Nucleotide</v>
      </c>
    </row>
    <row r="12591" spans="1:27" x14ac:dyDescent="0.35">
      <c r="A12591">
        <v>1012920</v>
      </c>
      <c r="B12591">
        <v>11850</v>
      </c>
      <c r="C12591">
        <v>4</v>
      </c>
      <c r="D12591" s="17" t="s">
        <v>17166</v>
      </c>
      <c r="E12591" s="17"/>
      <c r="F12591" s="17" t="s">
        <v>17246</v>
      </c>
      <c r="G12591" s="17"/>
      <c r="H12591" s="17" t="s">
        <v>23950</v>
      </c>
      <c r="I12591" s="17" t="s">
        <v>26604</v>
      </c>
      <c r="J12591" s="17" t="s">
        <v>47099</v>
      </c>
      <c r="K12591" s="17"/>
      <c r="L12591" s="17" t="s">
        <v>47100</v>
      </c>
      <c r="M12591" s="17"/>
      <c r="N12591" s="17" t="s">
        <v>26965</v>
      </c>
      <c r="O12591" s="17" t="s">
        <v>26986</v>
      </c>
      <c r="P12591" s="17" t="s">
        <v>27010</v>
      </c>
      <c r="Q12591" s="17"/>
      <c r="R12591" s="25" t="str">
        <f>HYPERLINK("https://ictv.global/taxonomy/taxondetails?taxnode_id=202300037","Orthohantavirus hantanense")</f>
        <v>Orthohantavirus hantanense</v>
      </c>
      <c r="S12591" s="18" t="s">
        <v>8141</v>
      </c>
      <c r="T12591" s="18" t="s">
        <v>27127</v>
      </c>
      <c r="U12591" s="18" t="s">
        <v>27128</v>
      </c>
      <c r="V12591" s="18" t="s">
        <v>27129</v>
      </c>
      <c r="W12591" s="18" t="s">
        <v>49461</v>
      </c>
      <c r="X12591" s="18" t="s">
        <v>42</v>
      </c>
      <c r="Y12591" s="18" t="s">
        <v>23964</v>
      </c>
      <c r="Z12591" s="18" t="s">
        <v>166</v>
      </c>
      <c r="AA12591" s="21" t="str">
        <f>HYPERLINK("https://www.ncbi.nlm.nih.gov/nuccore/DQ056292,AY675353,AY675349","NCBI Nucleotide")</f>
        <v>NCBI Nucleotide</v>
      </c>
    </row>
    <row r="12592" spans="1:27" x14ac:dyDescent="0.35">
      <c r="A12592">
        <v>1011155</v>
      </c>
      <c r="B12592">
        <v>11851</v>
      </c>
      <c r="C12592">
        <v>1</v>
      </c>
      <c r="D12592" s="17" t="s">
        <v>17166</v>
      </c>
      <c r="E12592" s="17"/>
      <c r="F12592" s="17" t="s">
        <v>17246</v>
      </c>
      <c r="G12592" s="17"/>
      <c r="H12592" s="17" t="s">
        <v>23950</v>
      </c>
      <c r="I12592" s="17" t="s">
        <v>26604</v>
      </c>
      <c r="J12592" s="17" t="s">
        <v>47099</v>
      </c>
      <c r="K12592" s="17"/>
      <c r="L12592" s="17" t="s">
        <v>47100</v>
      </c>
      <c r="M12592" s="17"/>
      <c r="N12592" s="17" t="s">
        <v>26965</v>
      </c>
      <c r="O12592" s="17" t="s">
        <v>26986</v>
      </c>
      <c r="P12592" s="17" t="s">
        <v>27010</v>
      </c>
      <c r="Q12592" s="17"/>
      <c r="R12592" s="25" t="str">
        <f>HYPERLINK("https://ictv.global/taxonomy/taxondetails?taxnode_id=202300039","Orthohantavirus jejuense")</f>
        <v>Orthohantavirus jejuense</v>
      </c>
      <c r="S12592" s="18" t="s">
        <v>30</v>
      </c>
      <c r="T12592" s="18" t="s">
        <v>27049</v>
      </c>
      <c r="U12592" s="18" t="s">
        <v>47130</v>
      </c>
      <c r="V12592" s="18">
        <v>43779</v>
      </c>
      <c r="W12592" s="18" t="s">
        <v>50578</v>
      </c>
      <c r="X12592" s="18" t="s">
        <v>42</v>
      </c>
      <c r="Y12592" s="18" t="s">
        <v>23964</v>
      </c>
      <c r="Z12592" s="18" t="s">
        <v>166</v>
      </c>
      <c r="AA12592" s="21" t="str">
        <f>HYPERLINK("https://www.ncbi.nlm.nih.gov/nuccore/HQ834697,HQ834696,HQ834695","NCBI Nucleotide")</f>
        <v>NCBI Nucleotide</v>
      </c>
    </row>
    <row r="12593" spans="1:27" x14ac:dyDescent="0.35">
      <c r="A12593">
        <v>1012922</v>
      </c>
      <c r="B12593">
        <v>11851</v>
      </c>
      <c r="C12593">
        <v>2</v>
      </c>
      <c r="D12593" s="17" t="s">
        <v>17166</v>
      </c>
      <c r="E12593" s="17"/>
      <c r="F12593" s="17" t="s">
        <v>17246</v>
      </c>
      <c r="G12593" s="17"/>
      <c r="H12593" s="17" t="s">
        <v>23950</v>
      </c>
      <c r="I12593" s="17" t="s">
        <v>26604</v>
      </c>
      <c r="J12593" s="17" t="s">
        <v>47099</v>
      </c>
      <c r="K12593" s="17"/>
      <c r="L12593" s="17" t="s">
        <v>47100</v>
      </c>
      <c r="M12593" s="17"/>
      <c r="N12593" s="17" t="s">
        <v>26965</v>
      </c>
      <c r="O12593" s="17" t="s">
        <v>26986</v>
      </c>
      <c r="P12593" s="17" t="s">
        <v>27010</v>
      </c>
      <c r="Q12593" s="17"/>
      <c r="R12593" s="25" t="str">
        <f>HYPERLINK("https://ictv.global/taxonomy/taxondetails?taxnode_id=202300039","Orthohantavirus jejuense")</f>
        <v>Orthohantavirus jejuense</v>
      </c>
      <c r="S12593" s="18" t="s">
        <v>8141</v>
      </c>
      <c r="T12593" s="18" t="s">
        <v>27049</v>
      </c>
      <c r="U12593" s="18" t="s">
        <v>47130</v>
      </c>
      <c r="V12593" s="18" t="s">
        <v>47131</v>
      </c>
      <c r="W12593" s="18" t="s">
        <v>49462</v>
      </c>
      <c r="X12593" s="18" t="s">
        <v>42</v>
      </c>
      <c r="Y12593" s="18" t="s">
        <v>23964</v>
      </c>
      <c r="Z12593" s="18" t="s">
        <v>166</v>
      </c>
      <c r="AA12593" s="21" t="str">
        <f>HYPERLINK("https://www.ncbi.nlm.nih.gov/nuccore/MN295687,MN295685,MN295683","NCBI Nucleotide")</f>
        <v>NCBI Nucleotide</v>
      </c>
    </row>
    <row r="12594" spans="1:27" x14ac:dyDescent="0.35">
      <c r="A12594">
        <v>1011156</v>
      </c>
      <c r="B12594">
        <v>11852</v>
      </c>
      <c r="C12594">
        <v>1</v>
      </c>
      <c r="D12594" s="17" t="s">
        <v>17166</v>
      </c>
      <c r="E12594" s="17"/>
      <c r="F12594" s="17" t="s">
        <v>17246</v>
      </c>
      <c r="G12594" s="17"/>
      <c r="H12594" s="17" t="s">
        <v>23950</v>
      </c>
      <c r="I12594" s="17" t="s">
        <v>26604</v>
      </c>
      <c r="J12594" s="17" t="s">
        <v>47099</v>
      </c>
      <c r="K12594" s="17"/>
      <c r="L12594" s="17" t="s">
        <v>47100</v>
      </c>
      <c r="M12594" s="17"/>
      <c r="N12594" s="17" t="s">
        <v>26965</v>
      </c>
      <c r="O12594" s="17" t="s">
        <v>26986</v>
      </c>
      <c r="P12594" s="17" t="s">
        <v>27010</v>
      </c>
      <c r="Q12594" s="17"/>
      <c r="R12594" s="25" t="str">
        <f>HYPERLINK("https://ictv.global/taxonomy/taxondetails?taxnode_id=202300040","Orthohantavirus kenkemeense")</f>
        <v>Orthohantavirus kenkemeense</v>
      </c>
      <c r="S12594" s="18" t="s">
        <v>30</v>
      </c>
      <c r="T12594" s="18" t="s">
        <v>27050</v>
      </c>
      <c r="U12594" s="18" t="s">
        <v>27051</v>
      </c>
      <c r="V12594" s="18" t="s">
        <v>27052</v>
      </c>
      <c r="W12594" s="18" t="s">
        <v>27053</v>
      </c>
      <c r="X12594" s="18" t="s">
        <v>42</v>
      </c>
      <c r="Y12594" s="18" t="s">
        <v>23964</v>
      </c>
      <c r="Z12594" s="18" t="s">
        <v>166</v>
      </c>
      <c r="AA12594" s="21" t="str">
        <f>HYPERLINK("https://www.ncbi.nlm.nih.gov/nuccore/KJ857320,KJ857337,KJ857341","NCBI Nucleotide")</f>
        <v>NCBI Nucleotide</v>
      </c>
    </row>
    <row r="12595" spans="1:27" x14ac:dyDescent="0.35">
      <c r="A12595">
        <v>1011157</v>
      </c>
      <c r="B12595">
        <v>11853</v>
      </c>
      <c r="C12595">
        <v>1</v>
      </c>
      <c r="D12595" s="17" t="s">
        <v>17166</v>
      </c>
      <c r="E12595" s="17"/>
      <c r="F12595" s="17" t="s">
        <v>17246</v>
      </c>
      <c r="G12595" s="17"/>
      <c r="H12595" s="17" t="s">
        <v>23950</v>
      </c>
      <c r="I12595" s="17" t="s">
        <v>26604</v>
      </c>
      <c r="J12595" s="17" t="s">
        <v>47099</v>
      </c>
      <c r="K12595" s="17"/>
      <c r="L12595" s="17" t="s">
        <v>47100</v>
      </c>
      <c r="M12595" s="17"/>
      <c r="N12595" s="17" t="s">
        <v>26965</v>
      </c>
      <c r="O12595" s="17" t="s">
        <v>26986</v>
      </c>
      <c r="P12595" s="17" t="s">
        <v>27010</v>
      </c>
      <c r="Q12595" s="17"/>
      <c r="R12595" s="25" t="str">
        <f>HYPERLINK("https://ictv.global/taxonomy/taxondetails?taxnode_id=202300041","Orthohantavirus khabarovskense")</f>
        <v>Orthohantavirus khabarovskense</v>
      </c>
      <c r="S12595" s="18" t="s">
        <v>30</v>
      </c>
      <c r="T12595" s="18" t="s">
        <v>27054</v>
      </c>
      <c r="U12595" s="18" t="s">
        <v>27055</v>
      </c>
      <c r="V12595" s="18" t="s">
        <v>27056</v>
      </c>
      <c r="W12595" s="18" t="s">
        <v>27057</v>
      </c>
      <c r="X12595" s="18" t="s">
        <v>42</v>
      </c>
      <c r="Y12595" s="18" t="s">
        <v>23964</v>
      </c>
      <c r="Z12595" s="18" t="s">
        <v>166</v>
      </c>
      <c r="AA12595" s="21" t="str">
        <f>HYPERLINK("https://www.ncbi.nlm.nih.gov/nuccore/KJ857321,KJ857338,KJ857342","NCBI Nucleotide")</f>
        <v>NCBI Nucleotide</v>
      </c>
    </row>
    <row r="12596" spans="1:27" x14ac:dyDescent="0.35">
      <c r="A12596">
        <v>1012924</v>
      </c>
      <c r="B12596">
        <v>11853</v>
      </c>
      <c r="C12596">
        <v>2</v>
      </c>
      <c r="D12596" s="17" t="s">
        <v>17166</v>
      </c>
      <c r="E12596" s="17"/>
      <c r="F12596" s="17" t="s">
        <v>17246</v>
      </c>
      <c r="G12596" s="17"/>
      <c r="H12596" s="17" t="s">
        <v>23950</v>
      </c>
      <c r="I12596" s="17" t="s">
        <v>26604</v>
      </c>
      <c r="J12596" s="17" t="s">
        <v>47099</v>
      </c>
      <c r="K12596" s="17"/>
      <c r="L12596" s="17" t="s">
        <v>47100</v>
      </c>
      <c r="M12596" s="17"/>
      <c r="N12596" s="17" t="s">
        <v>26965</v>
      </c>
      <c r="O12596" s="17" t="s">
        <v>26986</v>
      </c>
      <c r="P12596" s="17" t="s">
        <v>27010</v>
      </c>
      <c r="Q12596" s="17"/>
      <c r="R12596" s="25" t="str">
        <f>HYPERLINK("https://ictv.global/taxonomy/taxondetails?taxnode_id=202300041","Orthohantavirus khabarovskense")</f>
        <v>Orthohantavirus khabarovskense</v>
      </c>
      <c r="S12596" s="18" t="s">
        <v>8141</v>
      </c>
      <c r="T12596" s="18" t="s">
        <v>27054</v>
      </c>
      <c r="U12596" s="18" t="s">
        <v>27055</v>
      </c>
      <c r="V12596" s="18" t="s">
        <v>47132</v>
      </c>
      <c r="W12596" s="18" t="s">
        <v>49463</v>
      </c>
      <c r="X12596" s="18" t="s">
        <v>35</v>
      </c>
      <c r="Y12596" s="18" t="s">
        <v>23964</v>
      </c>
      <c r="Z12596" s="18" t="s">
        <v>166</v>
      </c>
      <c r="AA12596" s="21" t="str">
        <f>HYPERLINK("https://www.ncbi.nlm.nih.gov/nuccore/KJ857311,KJ857340,KJ857344","NCBI Nucleotide")</f>
        <v>NCBI Nucleotide</v>
      </c>
    </row>
    <row r="12597" spans="1:27" x14ac:dyDescent="0.35">
      <c r="A12597">
        <v>1012923</v>
      </c>
      <c r="B12597">
        <v>11853</v>
      </c>
      <c r="C12597">
        <v>3</v>
      </c>
      <c r="D12597" s="17" t="s">
        <v>17166</v>
      </c>
      <c r="E12597" s="17"/>
      <c r="F12597" s="17" t="s">
        <v>17246</v>
      </c>
      <c r="G12597" s="17"/>
      <c r="H12597" s="17" t="s">
        <v>23950</v>
      </c>
      <c r="I12597" s="17" t="s">
        <v>26604</v>
      </c>
      <c r="J12597" s="17" t="s">
        <v>47099</v>
      </c>
      <c r="K12597" s="17"/>
      <c r="L12597" s="17" t="s">
        <v>47100</v>
      </c>
      <c r="M12597" s="17"/>
      <c r="N12597" s="17" t="s">
        <v>26965</v>
      </c>
      <c r="O12597" s="17" t="s">
        <v>26986</v>
      </c>
      <c r="P12597" s="17" t="s">
        <v>27010</v>
      </c>
      <c r="Q12597" s="17"/>
      <c r="R12597" s="25" t="str">
        <f>HYPERLINK("https://ictv.global/taxonomy/taxondetails?taxnode_id=202300041","Orthohantavirus khabarovskense")</f>
        <v>Orthohantavirus khabarovskense</v>
      </c>
      <c r="S12597" s="18" t="s">
        <v>8141</v>
      </c>
      <c r="T12597" s="18" t="s">
        <v>27130</v>
      </c>
      <c r="U12597" s="18" t="s">
        <v>27131</v>
      </c>
      <c r="V12597" s="18" t="s">
        <v>27132</v>
      </c>
      <c r="W12597" s="18" t="s">
        <v>49464</v>
      </c>
      <c r="X12597" s="18" t="s">
        <v>154</v>
      </c>
      <c r="Y12597" s="18" t="s">
        <v>23964</v>
      </c>
      <c r="Z12597" s="18" t="s">
        <v>166</v>
      </c>
      <c r="AA12597" s="21" t="str">
        <f>HYPERLINK("https://www.ncbi.nlm.nih.gov/nuccore/AJ011649,AJ011647,AJ011646","NCBI Nucleotide")</f>
        <v>NCBI Nucleotide</v>
      </c>
    </row>
    <row r="12598" spans="1:27" x14ac:dyDescent="0.35">
      <c r="A12598">
        <v>1027714</v>
      </c>
      <c r="B12598">
        <v>11854</v>
      </c>
      <c r="C12598">
        <v>1</v>
      </c>
      <c r="D12598" s="17" t="s">
        <v>17166</v>
      </c>
      <c r="E12598" s="17"/>
      <c r="F12598" s="17" t="s">
        <v>17246</v>
      </c>
      <c r="G12598" s="17"/>
      <c r="H12598" s="17" t="s">
        <v>23950</v>
      </c>
      <c r="I12598" s="17" t="s">
        <v>26604</v>
      </c>
      <c r="J12598" s="17" t="s">
        <v>47099</v>
      </c>
      <c r="K12598" s="17"/>
      <c r="L12598" s="17" t="s">
        <v>47100</v>
      </c>
      <c r="M12598" s="17"/>
      <c r="N12598" s="17" t="s">
        <v>26965</v>
      </c>
      <c r="O12598" s="17" t="s">
        <v>26986</v>
      </c>
      <c r="P12598" s="17" t="s">
        <v>27010</v>
      </c>
      <c r="Q12598" s="17"/>
      <c r="R12598" s="25" t="str">
        <f>HYPERLINK("https://ictv.global/taxonomy/taxondetails?taxnode_id=202319089","Orthohantavirus lankaense")</f>
        <v>Orthohantavirus lankaense</v>
      </c>
      <c r="S12598" s="18" t="s">
        <v>30</v>
      </c>
      <c r="T12598" s="18" t="s">
        <v>47133</v>
      </c>
      <c r="U12598" s="18" t="s">
        <v>26745</v>
      </c>
      <c r="V12598" s="18" t="s">
        <v>47134</v>
      </c>
      <c r="W12598" s="18" t="s">
        <v>50876</v>
      </c>
      <c r="X12598" s="18" t="s">
        <v>42</v>
      </c>
      <c r="Y12598" s="18" t="s">
        <v>23964</v>
      </c>
      <c r="Z12598" s="18" t="s">
        <v>166</v>
      </c>
      <c r="AA12598" s="21" t="str">
        <f>HYPERLINK("https://www.ncbi.nlm.nih.gov/nuccore/LC553718,LC553717,LC553716","NCBI Nucleotide")</f>
        <v>NCBI Nucleotide</v>
      </c>
    </row>
    <row r="12599" spans="1:27" x14ac:dyDescent="0.35">
      <c r="A12599">
        <v>1011158</v>
      </c>
      <c r="B12599">
        <v>11855</v>
      </c>
      <c r="C12599">
        <v>1</v>
      </c>
      <c r="D12599" s="17" t="s">
        <v>17166</v>
      </c>
      <c r="E12599" s="17"/>
      <c r="F12599" s="17" t="s">
        <v>17246</v>
      </c>
      <c r="G12599" s="17"/>
      <c r="H12599" s="17" t="s">
        <v>23950</v>
      </c>
      <c r="I12599" s="17" t="s">
        <v>26604</v>
      </c>
      <c r="J12599" s="17" t="s">
        <v>47099</v>
      </c>
      <c r="K12599" s="17"/>
      <c r="L12599" s="17" t="s">
        <v>47100</v>
      </c>
      <c r="M12599" s="17"/>
      <c r="N12599" s="17" t="s">
        <v>26965</v>
      </c>
      <c r="O12599" s="17" t="s">
        <v>26986</v>
      </c>
      <c r="P12599" s="17" t="s">
        <v>27010</v>
      </c>
      <c r="Q12599" s="17"/>
      <c r="R12599" s="25" t="str">
        <f>HYPERLINK("https://ictv.global/taxonomy/taxondetails?taxnode_id=202300045","Orthohantavirus luxiense")</f>
        <v>Orthohantavirus luxiense</v>
      </c>
      <c r="S12599" s="18" t="s">
        <v>30</v>
      </c>
      <c r="T12599" s="18" t="s">
        <v>27058</v>
      </c>
      <c r="U12599" s="18" t="s">
        <v>27059</v>
      </c>
      <c r="V12599" s="18" t="s">
        <v>27060</v>
      </c>
      <c r="W12599" s="18" t="s">
        <v>50579</v>
      </c>
      <c r="X12599" s="18" t="s">
        <v>42</v>
      </c>
      <c r="Y12599" s="18" t="s">
        <v>23964</v>
      </c>
      <c r="Z12599" s="18" t="s">
        <v>166</v>
      </c>
      <c r="AA12599" s="21" t="str">
        <f>HYPERLINK("https://www.ncbi.nlm.nih.gov/nuccore/HQ404253,HM756287,HM756286","NCBI Nucleotide")</f>
        <v>NCBI Nucleotide</v>
      </c>
    </row>
    <row r="12600" spans="1:27" x14ac:dyDescent="0.35">
      <c r="A12600">
        <v>1011163</v>
      </c>
      <c r="B12600">
        <v>11856</v>
      </c>
      <c r="C12600">
        <v>1</v>
      </c>
      <c r="D12600" s="17" t="s">
        <v>17166</v>
      </c>
      <c r="E12600" s="17"/>
      <c r="F12600" s="17" t="s">
        <v>17246</v>
      </c>
      <c r="G12600" s="17"/>
      <c r="H12600" s="17" t="s">
        <v>23950</v>
      </c>
      <c r="I12600" s="17" t="s">
        <v>26604</v>
      </c>
      <c r="J12600" s="17" t="s">
        <v>47099</v>
      </c>
      <c r="K12600" s="17"/>
      <c r="L12600" s="17" t="s">
        <v>47100</v>
      </c>
      <c r="M12600" s="17"/>
      <c r="N12600" s="17" t="s">
        <v>26965</v>
      </c>
      <c r="O12600" s="17" t="s">
        <v>26986</v>
      </c>
      <c r="P12600" s="17" t="s">
        <v>27010</v>
      </c>
      <c r="Q12600" s="17"/>
      <c r="R12600" s="25" t="str">
        <f>HYPERLINK("https://ictv.global/taxonomy/taxondetails?taxnode_id=202300042","Orthohantavirus mamorense")</f>
        <v>Orthohantavirus mamorense</v>
      </c>
      <c r="S12600" s="18" t="s">
        <v>30</v>
      </c>
      <c r="T12600" s="18" t="s">
        <v>27140</v>
      </c>
      <c r="U12600" s="18" t="s">
        <v>27141</v>
      </c>
      <c r="V12600" s="18" t="s">
        <v>27142</v>
      </c>
      <c r="W12600" s="18" t="s">
        <v>27143</v>
      </c>
      <c r="X12600" s="18" t="s">
        <v>42</v>
      </c>
      <c r="Y12600" s="18" t="s">
        <v>23964</v>
      </c>
      <c r="Z12600" s="18" t="s">
        <v>166</v>
      </c>
      <c r="AA12600" s="21" t="str">
        <f>HYPERLINK("https://www.ncbi.nlm.nih.gov/nuccore/FJ809772,FJ608550,FJ532244","NCBI Nucleotide")</f>
        <v>NCBI Nucleotide</v>
      </c>
    </row>
    <row r="12601" spans="1:27" x14ac:dyDescent="0.35">
      <c r="A12601">
        <v>1012927</v>
      </c>
      <c r="B12601">
        <v>11856</v>
      </c>
      <c r="C12601">
        <v>2</v>
      </c>
      <c r="D12601" s="17" t="s">
        <v>17166</v>
      </c>
      <c r="E12601" s="17"/>
      <c r="F12601" s="17" t="s">
        <v>17246</v>
      </c>
      <c r="G12601" s="17"/>
      <c r="H12601" s="17" t="s">
        <v>23950</v>
      </c>
      <c r="I12601" s="17" t="s">
        <v>26604</v>
      </c>
      <c r="J12601" s="17" t="s">
        <v>47099</v>
      </c>
      <c r="K12601" s="17"/>
      <c r="L12601" s="17" t="s">
        <v>47100</v>
      </c>
      <c r="M12601" s="17"/>
      <c r="N12601" s="17" t="s">
        <v>26965</v>
      </c>
      <c r="O12601" s="17" t="s">
        <v>26986</v>
      </c>
      <c r="P12601" s="17" t="s">
        <v>27010</v>
      </c>
      <c r="Q12601" s="17"/>
      <c r="R12601" s="25" t="str">
        <f>HYPERLINK("https://ictv.global/taxonomy/taxondetails?taxnode_id=202300042","Orthohantavirus mamorense")</f>
        <v>Orthohantavirus mamorense</v>
      </c>
      <c r="S12601" s="18" t="s">
        <v>8141</v>
      </c>
      <c r="T12601" s="18" t="s">
        <v>27066</v>
      </c>
      <c r="U12601" s="18" t="s">
        <v>27067</v>
      </c>
      <c r="V12601" s="18" t="s">
        <v>27068</v>
      </c>
      <c r="W12601" s="18" t="s">
        <v>50580</v>
      </c>
      <c r="X12601" s="18" t="s">
        <v>154</v>
      </c>
      <c r="Y12601" s="18" t="s">
        <v>23964</v>
      </c>
      <c r="Z12601" s="18" t="s">
        <v>166</v>
      </c>
      <c r="AA12601" s="21" t="str">
        <f>HYPERLINK("https://www.ncbi.nlm.nih.gov/nuccore/AF005728,AF005727","NCBI Nucleotide")</f>
        <v>NCBI Nucleotide</v>
      </c>
    </row>
    <row r="12602" spans="1:27" x14ac:dyDescent="0.35">
      <c r="A12602">
        <v>1012926</v>
      </c>
      <c r="B12602">
        <v>11856</v>
      </c>
      <c r="C12602">
        <v>3</v>
      </c>
      <c r="D12602" s="17" t="s">
        <v>17166</v>
      </c>
      <c r="E12602" s="17"/>
      <c r="F12602" s="17" t="s">
        <v>17246</v>
      </c>
      <c r="G12602" s="17"/>
      <c r="H12602" s="17" t="s">
        <v>23950</v>
      </c>
      <c r="I12602" s="17" t="s">
        <v>26604</v>
      </c>
      <c r="J12602" s="17" t="s">
        <v>47099</v>
      </c>
      <c r="K12602" s="17"/>
      <c r="L12602" s="17" t="s">
        <v>47100</v>
      </c>
      <c r="M12602" s="17"/>
      <c r="N12602" s="17" t="s">
        <v>26965</v>
      </c>
      <c r="O12602" s="17" t="s">
        <v>26986</v>
      </c>
      <c r="P12602" s="17" t="s">
        <v>27010</v>
      </c>
      <c r="Q12602" s="17"/>
      <c r="R12602" s="25" t="str">
        <f>HYPERLINK("https://ictv.global/taxonomy/taxondetails?taxnode_id=202300042","Orthohantavirus mamorense")</f>
        <v>Orthohantavirus mamorense</v>
      </c>
      <c r="S12602" s="18" t="s">
        <v>8141</v>
      </c>
      <c r="T12602" s="18" t="s">
        <v>27138</v>
      </c>
      <c r="U12602" s="18" t="s">
        <v>24408</v>
      </c>
      <c r="V12602" s="18" t="s">
        <v>27139</v>
      </c>
      <c r="W12602" s="18" t="s">
        <v>49465</v>
      </c>
      <c r="X12602" s="18" t="s">
        <v>42</v>
      </c>
      <c r="Y12602" s="18" t="s">
        <v>23964</v>
      </c>
      <c r="Z12602" s="18" t="s">
        <v>166</v>
      </c>
      <c r="AA12602" s="21" t="str">
        <f>HYPERLINK("https://www.ncbi.nlm.nih.gov/nuccore/JQ611713,JQ611714,JQ611712","NCBI Nucleotide")</f>
        <v>NCBI Nucleotide</v>
      </c>
    </row>
    <row r="12603" spans="1:27" x14ac:dyDescent="0.35">
      <c r="A12603">
        <v>1011159</v>
      </c>
      <c r="B12603">
        <v>11857</v>
      </c>
      <c r="C12603">
        <v>1</v>
      </c>
      <c r="D12603" s="17" t="s">
        <v>17166</v>
      </c>
      <c r="E12603" s="17"/>
      <c r="F12603" s="17" t="s">
        <v>17246</v>
      </c>
      <c r="G12603" s="17"/>
      <c r="H12603" s="17" t="s">
        <v>23950</v>
      </c>
      <c r="I12603" s="17" t="s">
        <v>26604</v>
      </c>
      <c r="J12603" s="17" t="s">
        <v>47099</v>
      </c>
      <c r="K12603" s="17"/>
      <c r="L12603" s="17" t="s">
        <v>47100</v>
      </c>
      <c r="M12603" s="17"/>
      <c r="N12603" s="17" t="s">
        <v>26965</v>
      </c>
      <c r="O12603" s="17" t="s">
        <v>26986</v>
      </c>
      <c r="P12603" s="17" t="s">
        <v>27010</v>
      </c>
      <c r="Q12603" s="17"/>
      <c r="R12603" s="25" t="str">
        <f>HYPERLINK("https://ictv.global/taxonomy/taxondetails?taxnode_id=202300046","Orthohantavirus maporalense")</f>
        <v>Orthohantavirus maporalense</v>
      </c>
      <c r="S12603" s="18" t="s">
        <v>30</v>
      </c>
      <c r="T12603" s="18" t="s">
        <v>27061</v>
      </c>
      <c r="U12603" s="18" t="s">
        <v>27062</v>
      </c>
      <c r="V12603" s="18" t="s">
        <v>27063</v>
      </c>
      <c r="W12603" s="18" t="s">
        <v>50581</v>
      </c>
      <c r="X12603" s="18" t="s">
        <v>42</v>
      </c>
      <c r="Y12603" s="18" t="s">
        <v>23964</v>
      </c>
      <c r="Z12603" s="18" t="s">
        <v>166</v>
      </c>
      <c r="AA12603" s="21" t="str">
        <f>HYPERLINK("https://www.ncbi.nlm.nih.gov/nuccore/EU788002,AY363179,AY267347","NCBI Nucleotide")</f>
        <v>NCBI Nucleotide</v>
      </c>
    </row>
    <row r="12604" spans="1:27" x14ac:dyDescent="0.35">
      <c r="A12604">
        <v>1011160</v>
      </c>
      <c r="B12604">
        <v>11858</v>
      </c>
      <c r="C12604">
        <v>1</v>
      </c>
      <c r="D12604" s="17" t="s">
        <v>17166</v>
      </c>
      <c r="E12604" s="17"/>
      <c r="F12604" s="17" t="s">
        <v>17246</v>
      </c>
      <c r="G12604" s="17"/>
      <c r="H12604" s="17" t="s">
        <v>23950</v>
      </c>
      <c r="I12604" s="17" t="s">
        <v>26604</v>
      </c>
      <c r="J12604" s="17" t="s">
        <v>47099</v>
      </c>
      <c r="K12604" s="17"/>
      <c r="L12604" s="17" t="s">
        <v>47100</v>
      </c>
      <c r="M12604" s="17"/>
      <c r="N12604" s="17" t="s">
        <v>26965</v>
      </c>
      <c r="O12604" s="17" t="s">
        <v>26986</v>
      </c>
      <c r="P12604" s="17" t="s">
        <v>27010</v>
      </c>
      <c r="Q12604" s="17"/>
      <c r="R12604" s="25" t="str">
        <f>HYPERLINK("https://ictv.global/taxonomy/taxondetails?taxnode_id=202300047","Orthohantavirus montanoense")</f>
        <v>Orthohantavirus montanoense</v>
      </c>
      <c r="S12604" s="18" t="s">
        <v>30</v>
      </c>
      <c r="T12604" s="18" t="s">
        <v>27064</v>
      </c>
      <c r="U12604" s="18" t="s">
        <v>47135</v>
      </c>
      <c r="V12604" s="18" t="s">
        <v>27065</v>
      </c>
      <c r="W12604" s="18" t="s">
        <v>50582</v>
      </c>
      <c r="X12604" s="18" t="s">
        <v>42</v>
      </c>
      <c r="Y12604" s="18" t="s">
        <v>23964</v>
      </c>
      <c r="Z12604" s="18" t="s">
        <v>166</v>
      </c>
      <c r="AA12604" s="21" t="str">
        <f>HYPERLINK("https://www.ncbi.nlm.nih.gov/nuccore/AB620102,AB620101,AB620100","NCBI Nucleotide")</f>
        <v>NCBI Nucleotide</v>
      </c>
    </row>
    <row r="12605" spans="1:27" x14ac:dyDescent="0.35">
      <c r="A12605">
        <v>1011164</v>
      </c>
      <c r="B12605">
        <v>11859</v>
      </c>
      <c r="C12605">
        <v>1</v>
      </c>
      <c r="D12605" s="17" t="s">
        <v>17166</v>
      </c>
      <c r="E12605" s="17"/>
      <c r="F12605" s="17" t="s">
        <v>17246</v>
      </c>
      <c r="G12605" s="17"/>
      <c r="H12605" s="17" t="s">
        <v>23950</v>
      </c>
      <c r="I12605" s="17" t="s">
        <v>26604</v>
      </c>
      <c r="J12605" s="17" t="s">
        <v>47099</v>
      </c>
      <c r="K12605" s="17"/>
      <c r="L12605" s="17" t="s">
        <v>47100</v>
      </c>
      <c r="M12605" s="17"/>
      <c r="N12605" s="17" t="s">
        <v>26965</v>
      </c>
      <c r="O12605" s="17" t="s">
        <v>26986</v>
      </c>
      <c r="P12605" s="17" t="s">
        <v>27010</v>
      </c>
      <c r="Q12605" s="17"/>
      <c r="R12605" s="25" t="str">
        <f>HYPERLINK("https://ictv.global/taxonomy/taxondetails?taxnode_id=202300026","Orthohantavirus nigrorivense")</f>
        <v>Orthohantavirus nigrorivense</v>
      </c>
      <c r="S12605" s="18" t="s">
        <v>30</v>
      </c>
      <c r="T12605" s="18" t="s">
        <v>27069</v>
      </c>
      <c r="U12605" s="18" t="s">
        <v>27070</v>
      </c>
      <c r="V12605" s="18"/>
      <c r="W12605" s="18" t="s">
        <v>50583</v>
      </c>
      <c r="X12605" s="18" t="s">
        <v>154</v>
      </c>
      <c r="Y12605" s="18" t="s">
        <v>23964</v>
      </c>
      <c r="Z12605" s="18" t="s">
        <v>166</v>
      </c>
      <c r="AA12605" s="21" t="str">
        <f>HYPERLINK("https://www.ncbi.nlm.nih.gov/nuccore/L39951,L39950,L39949","NCBI Nucleotide")</f>
        <v>NCBI Nucleotide</v>
      </c>
    </row>
    <row r="12606" spans="1:27" x14ac:dyDescent="0.35">
      <c r="A12606">
        <v>1011166</v>
      </c>
      <c r="B12606">
        <v>11860</v>
      </c>
      <c r="C12606">
        <v>1</v>
      </c>
      <c r="D12606" s="17" t="s">
        <v>17166</v>
      </c>
      <c r="E12606" s="17"/>
      <c r="F12606" s="17" t="s">
        <v>17246</v>
      </c>
      <c r="G12606" s="17"/>
      <c r="H12606" s="17" t="s">
        <v>23950</v>
      </c>
      <c r="I12606" s="17" t="s">
        <v>26604</v>
      </c>
      <c r="J12606" s="17" t="s">
        <v>47099</v>
      </c>
      <c r="K12606" s="17"/>
      <c r="L12606" s="17" t="s">
        <v>47100</v>
      </c>
      <c r="M12606" s="17"/>
      <c r="N12606" s="17" t="s">
        <v>26965</v>
      </c>
      <c r="O12606" s="17" t="s">
        <v>26986</v>
      </c>
      <c r="P12606" s="17" t="s">
        <v>27010</v>
      </c>
      <c r="Q12606" s="17"/>
      <c r="R12606" s="25" t="str">
        <f>HYPERLINK("https://ictv.global/taxonomy/taxondetails?taxnode_id=202300051","Orthohantavirus prospectense")</f>
        <v>Orthohantavirus prospectense</v>
      </c>
      <c r="S12606" s="18" t="s">
        <v>30</v>
      </c>
      <c r="T12606" s="18" t="s">
        <v>27071</v>
      </c>
      <c r="U12606" s="18" t="s">
        <v>27072</v>
      </c>
      <c r="V12606" s="18" t="s">
        <v>27073</v>
      </c>
      <c r="W12606" s="18" t="s">
        <v>27074</v>
      </c>
      <c r="X12606" s="18" t="s">
        <v>42</v>
      </c>
      <c r="Y12606" s="18" t="s">
        <v>23964</v>
      </c>
      <c r="Z12606" s="18" t="s">
        <v>166</v>
      </c>
      <c r="AA12606" s="21" t="str">
        <f>HYPERLINK("https://www.ncbi.nlm.nih.gov/nuccore/EF646763,X55129,Z49098","NCBI Nucleotide")</f>
        <v>NCBI Nucleotide</v>
      </c>
    </row>
    <row r="12607" spans="1:27" x14ac:dyDescent="0.35">
      <c r="A12607">
        <v>1011167</v>
      </c>
      <c r="B12607">
        <v>11861</v>
      </c>
      <c r="C12607">
        <v>1</v>
      </c>
      <c r="D12607" s="17" t="s">
        <v>17166</v>
      </c>
      <c r="E12607" s="17"/>
      <c r="F12607" s="17" t="s">
        <v>17246</v>
      </c>
      <c r="G12607" s="17"/>
      <c r="H12607" s="17" t="s">
        <v>23950</v>
      </c>
      <c r="I12607" s="17" t="s">
        <v>26604</v>
      </c>
      <c r="J12607" s="17" t="s">
        <v>47099</v>
      </c>
      <c r="K12607" s="17"/>
      <c r="L12607" s="17" t="s">
        <v>47100</v>
      </c>
      <c r="M12607" s="17"/>
      <c r="N12607" s="17" t="s">
        <v>26965</v>
      </c>
      <c r="O12607" s="17" t="s">
        <v>26986</v>
      </c>
      <c r="P12607" s="17" t="s">
        <v>27010</v>
      </c>
      <c r="Q12607" s="17"/>
      <c r="R12607" s="25" t="str">
        <f>HYPERLINK("https://ictv.global/taxonomy/taxondetails?taxnode_id=202300052","Orthohantavirus puumalaense")</f>
        <v>Orthohantavirus puumalaense</v>
      </c>
      <c r="S12607" s="18" t="s">
        <v>30</v>
      </c>
      <c r="T12607" s="18" t="s">
        <v>27075</v>
      </c>
      <c r="U12607" s="18" t="s">
        <v>27076</v>
      </c>
      <c r="V12607" s="19" t="s">
        <v>27077</v>
      </c>
      <c r="W12607" s="18" t="s">
        <v>50789</v>
      </c>
      <c r="X12607" s="18" t="s">
        <v>154</v>
      </c>
      <c r="Y12607" s="18" t="s">
        <v>23964</v>
      </c>
      <c r="Z12607" s="18" t="s">
        <v>166</v>
      </c>
      <c r="AA12607" s="21" t="str">
        <f>HYPERLINK("https://www.ncbi.nlm.nih.gov/nuccore/M63194,M29979,M32750","NCBI Nucleotide")</f>
        <v>NCBI Nucleotide</v>
      </c>
    </row>
    <row r="12608" spans="1:27" x14ac:dyDescent="0.35">
      <c r="A12608">
        <v>1012928</v>
      </c>
      <c r="B12608">
        <v>11861</v>
      </c>
      <c r="C12608">
        <v>2</v>
      </c>
      <c r="D12608" s="17" t="s">
        <v>17166</v>
      </c>
      <c r="E12608" s="17"/>
      <c r="F12608" s="17" t="s">
        <v>17246</v>
      </c>
      <c r="G12608" s="17"/>
      <c r="H12608" s="17" t="s">
        <v>23950</v>
      </c>
      <c r="I12608" s="17" t="s">
        <v>26604</v>
      </c>
      <c r="J12608" s="17" t="s">
        <v>47099</v>
      </c>
      <c r="K12608" s="17"/>
      <c r="L12608" s="17" t="s">
        <v>47100</v>
      </c>
      <c r="M12608" s="17"/>
      <c r="N12608" s="17" t="s">
        <v>26965</v>
      </c>
      <c r="O12608" s="17" t="s">
        <v>26986</v>
      </c>
      <c r="P12608" s="17" t="s">
        <v>27010</v>
      </c>
      <c r="Q12608" s="17"/>
      <c r="R12608" s="25" t="str">
        <f>HYPERLINK("https://ictv.global/taxonomy/taxondetails?taxnode_id=202300052","Orthohantavirus puumalaense")</f>
        <v>Orthohantavirus puumalaense</v>
      </c>
      <c r="S12608" s="18" t="s">
        <v>8141</v>
      </c>
      <c r="T12608" s="18" t="s">
        <v>27144</v>
      </c>
      <c r="U12608" s="18" t="s">
        <v>27145</v>
      </c>
      <c r="V12608" s="19" t="s">
        <v>27146</v>
      </c>
      <c r="W12608" s="18" t="s">
        <v>49466</v>
      </c>
      <c r="X12608" s="18" t="s">
        <v>42</v>
      </c>
      <c r="Y12608" s="18" t="s">
        <v>23964</v>
      </c>
      <c r="Z12608" s="18" t="s">
        <v>166</v>
      </c>
      <c r="AA12608" s="21" t="str">
        <f>HYPERLINK("https://www.ncbi.nlm.nih.gov/nuccore/AB712372,AB676848,AB675463","NCBI Nucleotide")</f>
        <v>NCBI Nucleotide</v>
      </c>
    </row>
    <row r="12609" spans="1:27" x14ac:dyDescent="0.35">
      <c r="A12609">
        <v>1012929</v>
      </c>
      <c r="B12609">
        <v>11861</v>
      </c>
      <c r="C12609">
        <v>3</v>
      </c>
      <c r="D12609" s="17" t="s">
        <v>17166</v>
      </c>
      <c r="E12609" s="17"/>
      <c r="F12609" s="17" t="s">
        <v>17246</v>
      </c>
      <c r="G12609" s="17"/>
      <c r="H12609" s="17" t="s">
        <v>23950</v>
      </c>
      <c r="I12609" s="17" t="s">
        <v>26604</v>
      </c>
      <c r="J12609" s="17" t="s">
        <v>47099</v>
      </c>
      <c r="K12609" s="17"/>
      <c r="L12609" s="17" t="s">
        <v>47100</v>
      </c>
      <c r="M12609" s="17"/>
      <c r="N12609" s="17" t="s">
        <v>26965</v>
      </c>
      <c r="O12609" s="17" t="s">
        <v>26986</v>
      </c>
      <c r="P12609" s="17" t="s">
        <v>27010</v>
      </c>
      <c r="Q12609" s="17"/>
      <c r="R12609" s="25" t="str">
        <f>HYPERLINK("https://ictv.global/taxonomy/taxondetails?taxnode_id=202300052","Orthohantavirus puumalaense")</f>
        <v>Orthohantavirus puumalaense</v>
      </c>
      <c r="S12609" s="18" t="s">
        <v>8141</v>
      </c>
      <c r="T12609" s="18" t="s">
        <v>27147</v>
      </c>
      <c r="U12609" s="18" t="s">
        <v>27148</v>
      </c>
      <c r="V12609" s="19">
        <v>45302</v>
      </c>
      <c r="W12609" s="18" t="s">
        <v>49467</v>
      </c>
      <c r="X12609" s="18" t="s">
        <v>42</v>
      </c>
      <c r="Y12609" s="18" t="s">
        <v>23964</v>
      </c>
      <c r="Z12609" s="18" t="s">
        <v>166</v>
      </c>
      <c r="AA12609" s="21" t="str">
        <f>HYPERLINK("https://www.ncbi.nlm.nih.gov/nuccore/JX028271,JX028272,JX028273","NCBI Nucleotide")</f>
        <v>NCBI Nucleotide</v>
      </c>
    </row>
    <row r="12610" spans="1:27" x14ac:dyDescent="0.35">
      <c r="A12610">
        <v>1012930</v>
      </c>
      <c r="B12610">
        <v>11861</v>
      </c>
      <c r="C12610">
        <v>4</v>
      </c>
      <c r="D12610" s="17" t="s">
        <v>17166</v>
      </c>
      <c r="E12610" s="17"/>
      <c r="F12610" s="17" t="s">
        <v>17246</v>
      </c>
      <c r="G12610" s="17"/>
      <c r="H12610" s="17" t="s">
        <v>23950</v>
      </c>
      <c r="I12610" s="17" t="s">
        <v>26604</v>
      </c>
      <c r="J12610" s="17" t="s">
        <v>47099</v>
      </c>
      <c r="K12610" s="17"/>
      <c r="L12610" s="17" t="s">
        <v>47100</v>
      </c>
      <c r="M12610" s="17"/>
      <c r="N12610" s="17" t="s">
        <v>26965</v>
      </c>
      <c r="O12610" s="17" t="s">
        <v>26986</v>
      </c>
      <c r="P12610" s="17" t="s">
        <v>27010</v>
      </c>
      <c r="Q12610" s="17"/>
      <c r="R12610" s="25" t="str">
        <f>HYPERLINK("https://ictv.global/taxonomy/taxondetails?taxnode_id=202300052","Orthohantavirus puumalaense")</f>
        <v>Orthohantavirus puumalaense</v>
      </c>
      <c r="S12610" s="18" t="s">
        <v>8141</v>
      </c>
      <c r="T12610" s="18" t="s">
        <v>27075</v>
      </c>
      <c r="U12610" s="18" t="s">
        <v>27076</v>
      </c>
      <c r="V12610" s="18" t="s">
        <v>47136</v>
      </c>
      <c r="W12610" s="18" t="s">
        <v>49468</v>
      </c>
      <c r="X12610" s="18" t="s">
        <v>42</v>
      </c>
      <c r="Y12610" s="18" t="s">
        <v>23964</v>
      </c>
      <c r="Z12610" s="18" t="s">
        <v>166</v>
      </c>
      <c r="AA12610" s="21" t="str">
        <f>HYPERLINK("https://www.ncbi.nlm.nih.gov/nuccore/MN832782,MN832783,MN832784","NCBI Nucleotide")</f>
        <v>NCBI Nucleotide</v>
      </c>
    </row>
    <row r="12611" spans="1:27" x14ac:dyDescent="0.35">
      <c r="A12611">
        <v>1011169</v>
      </c>
      <c r="B12611">
        <v>11862</v>
      </c>
      <c r="C12611">
        <v>1</v>
      </c>
      <c r="D12611" s="17" t="s">
        <v>17166</v>
      </c>
      <c r="E12611" s="17"/>
      <c r="F12611" s="17" t="s">
        <v>17246</v>
      </c>
      <c r="G12611" s="17"/>
      <c r="H12611" s="17" t="s">
        <v>23950</v>
      </c>
      <c r="I12611" s="17" t="s">
        <v>26604</v>
      </c>
      <c r="J12611" s="17" t="s">
        <v>47099</v>
      </c>
      <c r="K12611" s="17"/>
      <c r="L12611" s="17" t="s">
        <v>47100</v>
      </c>
      <c r="M12611" s="17"/>
      <c r="N12611" s="17" t="s">
        <v>26965</v>
      </c>
      <c r="O12611" s="17" t="s">
        <v>26986</v>
      </c>
      <c r="P12611" s="17" t="s">
        <v>27010</v>
      </c>
      <c r="Q12611" s="17"/>
      <c r="R12611" s="25" t="str">
        <f>HYPERLINK("https://ictv.global/taxonomy/taxondetails?taxnode_id=202300054","Orthohantavirus rockportense")</f>
        <v>Orthohantavirus rockportense</v>
      </c>
      <c r="S12611" s="18" t="s">
        <v>30</v>
      </c>
      <c r="T12611" s="18" t="s">
        <v>27082</v>
      </c>
      <c r="U12611" s="18" t="s">
        <v>27083</v>
      </c>
      <c r="V12611" s="18" t="s">
        <v>27084</v>
      </c>
      <c r="W12611" s="18" t="s">
        <v>50584</v>
      </c>
      <c r="X12611" s="18" t="s">
        <v>42</v>
      </c>
      <c r="Y12611" s="18" t="s">
        <v>23964</v>
      </c>
      <c r="Z12611" s="18" t="s">
        <v>166</v>
      </c>
      <c r="AA12611" s="21" t="str">
        <f>HYPERLINK("https://www.ncbi.nlm.nih.gov/nuccore/HM015221,HM015219,HM015223","NCBI Nucleotide")</f>
        <v>NCBI Nucleotide</v>
      </c>
    </row>
    <row r="12612" spans="1:27" x14ac:dyDescent="0.35">
      <c r="A12612">
        <v>1011170</v>
      </c>
      <c r="B12612">
        <v>11863</v>
      </c>
      <c r="C12612">
        <v>1</v>
      </c>
      <c r="D12612" s="17" t="s">
        <v>17166</v>
      </c>
      <c r="E12612" s="17"/>
      <c r="F12612" s="17" t="s">
        <v>17246</v>
      </c>
      <c r="G12612" s="17"/>
      <c r="H12612" s="17" t="s">
        <v>23950</v>
      </c>
      <c r="I12612" s="17" t="s">
        <v>26604</v>
      </c>
      <c r="J12612" s="17" t="s">
        <v>47099</v>
      </c>
      <c r="K12612" s="17"/>
      <c r="L12612" s="17" t="s">
        <v>47100</v>
      </c>
      <c r="M12612" s="17"/>
      <c r="N12612" s="17" t="s">
        <v>26965</v>
      </c>
      <c r="O12612" s="17" t="s">
        <v>26986</v>
      </c>
      <c r="P12612" s="17" t="s">
        <v>27010</v>
      </c>
      <c r="Q12612" s="17"/>
      <c r="R12612" s="25" t="str">
        <f>HYPERLINK("https://ictv.global/taxonomy/taxondetails?taxnode_id=202300055","Orthohantavirus sangassouense")</f>
        <v>Orthohantavirus sangassouense</v>
      </c>
      <c r="S12612" s="18" t="s">
        <v>30</v>
      </c>
      <c r="T12612" s="18" t="s">
        <v>27085</v>
      </c>
      <c r="U12612" s="18" t="s">
        <v>27086</v>
      </c>
      <c r="V12612" s="18" t="s">
        <v>27087</v>
      </c>
      <c r="W12612" s="18" t="s">
        <v>50585</v>
      </c>
      <c r="X12612" s="18" t="s">
        <v>42</v>
      </c>
      <c r="Y12612" s="18" t="s">
        <v>23964</v>
      </c>
      <c r="Z12612" s="18" t="s">
        <v>166</v>
      </c>
      <c r="AA12612" s="21" t="str">
        <f>HYPERLINK("https://www.ncbi.nlm.nih.gov/nuccore/JQ082302,JQ082301,JQ082300","NCBI Nucleotide")</f>
        <v>NCBI Nucleotide</v>
      </c>
    </row>
    <row r="12613" spans="1:27" x14ac:dyDescent="0.35">
      <c r="A12613">
        <v>1011172</v>
      </c>
      <c r="B12613">
        <v>11864</v>
      </c>
      <c r="C12613">
        <v>1</v>
      </c>
      <c r="D12613" s="17" t="s">
        <v>17166</v>
      </c>
      <c r="E12613" s="17"/>
      <c r="F12613" s="17" t="s">
        <v>17246</v>
      </c>
      <c r="G12613" s="17"/>
      <c r="H12613" s="17" t="s">
        <v>23950</v>
      </c>
      <c r="I12613" s="17" t="s">
        <v>26604</v>
      </c>
      <c r="J12613" s="17" t="s">
        <v>47099</v>
      </c>
      <c r="K12613" s="17"/>
      <c r="L12613" s="17" t="s">
        <v>47100</v>
      </c>
      <c r="M12613" s="17"/>
      <c r="N12613" s="17" t="s">
        <v>26965</v>
      </c>
      <c r="O12613" s="17" t="s">
        <v>26986</v>
      </c>
      <c r="P12613" s="17" t="s">
        <v>27010</v>
      </c>
      <c r="Q12613" s="17"/>
      <c r="R12613" s="25" t="str">
        <f>HYPERLINK("https://ictv.global/taxonomy/taxondetails?taxnode_id=202300056","Orthohantavirus seoulense")</f>
        <v>Orthohantavirus seoulense</v>
      </c>
      <c r="S12613" s="18" t="s">
        <v>30</v>
      </c>
      <c r="T12613" s="18" t="s">
        <v>27088</v>
      </c>
      <c r="U12613" s="18" t="s">
        <v>27089</v>
      </c>
      <c r="V12613" s="18" t="s">
        <v>27090</v>
      </c>
      <c r="W12613" s="18" t="s">
        <v>50586</v>
      </c>
      <c r="X12613" s="18" t="s">
        <v>42</v>
      </c>
      <c r="Y12613" s="18" t="s">
        <v>23964</v>
      </c>
      <c r="Z12613" s="18" t="s">
        <v>166</v>
      </c>
      <c r="AA12613" s="21" t="str">
        <f>HYPERLINK("https://www.ncbi.nlm.nih.gov/nuccore/X56492,S47716,AY273791","NCBI Nucleotide")</f>
        <v>NCBI Nucleotide</v>
      </c>
    </row>
    <row r="12614" spans="1:27" x14ac:dyDescent="0.35">
      <c r="A12614">
        <v>1012931</v>
      </c>
      <c r="B12614">
        <v>11864</v>
      </c>
      <c r="C12614">
        <v>2</v>
      </c>
      <c r="D12614" s="17" t="s">
        <v>17166</v>
      </c>
      <c r="E12614" s="17"/>
      <c r="F12614" s="17" t="s">
        <v>17246</v>
      </c>
      <c r="G12614" s="17"/>
      <c r="H12614" s="17" t="s">
        <v>23950</v>
      </c>
      <c r="I12614" s="17" t="s">
        <v>26604</v>
      </c>
      <c r="J12614" s="17" t="s">
        <v>47099</v>
      </c>
      <c r="K12614" s="17"/>
      <c r="L12614" s="17" t="s">
        <v>47100</v>
      </c>
      <c r="M12614" s="17"/>
      <c r="N12614" s="17" t="s">
        <v>26965</v>
      </c>
      <c r="O12614" s="17" t="s">
        <v>26986</v>
      </c>
      <c r="P12614" s="17" t="s">
        <v>27010</v>
      </c>
      <c r="Q12614" s="17"/>
      <c r="R12614" s="25" t="str">
        <f>HYPERLINK("https://ictv.global/taxonomy/taxondetails?taxnode_id=202300056","Orthohantavirus seoulense")</f>
        <v>Orthohantavirus seoulense</v>
      </c>
      <c r="S12614" s="18" t="s">
        <v>8141</v>
      </c>
      <c r="T12614" s="18" t="s">
        <v>27149</v>
      </c>
      <c r="U12614" s="18" t="s">
        <v>27150</v>
      </c>
      <c r="V12614" s="18" t="s">
        <v>27151</v>
      </c>
      <c r="W12614" s="18" t="s">
        <v>49469</v>
      </c>
      <c r="X12614" s="18" t="s">
        <v>154</v>
      </c>
      <c r="Y12614" s="18" t="s">
        <v>23964</v>
      </c>
      <c r="Z12614" s="18" t="s">
        <v>166</v>
      </c>
      <c r="AA12614" s="21" t="str">
        <f>HYPERLINK("https://www.ncbi.nlm.nih.gov/nuccore/KC344269,KC344252","NCBI Nucleotide")</f>
        <v>NCBI Nucleotide</v>
      </c>
    </row>
    <row r="12615" spans="1:27" x14ac:dyDescent="0.35">
      <c r="A12615">
        <v>1012932</v>
      </c>
      <c r="B12615">
        <v>11864</v>
      </c>
      <c r="C12615">
        <v>3</v>
      </c>
      <c r="D12615" s="17" t="s">
        <v>17166</v>
      </c>
      <c r="E12615" s="17"/>
      <c r="F12615" s="17" t="s">
        <v>17246</v>
      </c>
      <c r="G12615" s="17"/>
      <c r="H12615" s="17" t="s">
        <v>23950</v>
      </c>
      <c r="I12615" s="17" t="s">
        <v>26604</v>
      </c>
      <c r="J12615" s="17" t="s">
        <v>47099</v>
      </c>
      <c r="K12615" s="17"/>
      <c r="L12615" s="17" t="s">
        <v>47100</v>
      </c>
      <c r="M12615" s="17"/>
      <c r="N12615" s="17" t="s">
        <v>26965</v>
      </c>
      <c r="O12615" s="17" t="s">
        <v>26986</v>
      </c>
      <c r="P12615" s="17" t="s">
        <v>27010</v>
      </c>
      <c r="Q12615" s="17"/>
      <c r="R12615" s="25" t="str">
        <f>HYPERLINK("https://ictv.global/taxonomy/taxondetails?taxnode_id=202300056","Orthohantavirus seoulense")</f>
        <v>Orthohantavirus seoulense</v>
      </c>
      <c r="S12615" s="18" t="s">
        <v>8141</v>
      </c>
      <c r="T12615" s="18" t="s">
        <v>27088</v>
      </c>
      <c r="U12615" s="18" t="s">
        <v>27089</v>
      </c>
      <c r="V12615" s="18" t="s">
        <v>47137</v>
      </c>
      <c r="W12615" s="18" t="s">
        <v>49470</v>
      </c>
      <c r="X12615" s="18" t="s">
        <v>35</v>
      </c>
      <c r="Y12615" s="18" t="s">
        <v>23964</v>
      </c>
      <c r="Z12615" s="18" t="s">
        <v>166</v>
      </c>
      <c r="AA12615" s="21" t="str">
        <f>HYPERLINK("https://www.ncbi.nlm.nih.gov/nuccore/OP946511,OP946510,OP946509","NCBI Nucleotide")</f>
        <v>NCBI Nucleotide</v>
      </c>
    </row>
    <row r="12616" spans="1:27" x14ac:dyDescent="0.35">
      <c r="A12616">
        <v>1011173</v>
      </c>
      <c r="B12616">
        <v>11865</v>
      </c>
      <c r="C12616">
        <v>1</v>
      </c>
      <c r="D12616" s="17" t="s">
        <v>17166</v>
      </c>
      <c r="E12616" s="17"/>
      <c r="F12616" s="17" t="s">
        <v>17246</v>
      </c>
      <c r="G12616" s="17"/>
      <c r="H12616" s="17" t="s">
        <v>23950</v>
      </c>
      <c r="I12616" s="17" t="s">
        <v>26604</v>
      </c>
      <c r="J12616" s="17" t="s">
        <v>47099</v>
      </c>
      <c r="K12616" s="17"/>
      <c r="L12616" s="17" t="s">
        <v>47100</v>
      </c>
      <c r="M12616" s="17"/>
      <c r="N12616" s="17" t="s">
        <v>26965</v>
      </c>
      <c r="O12616" s="17" t="s">
        <v>26986</v>
      </c>
      <c r="P12616" s="17" t="s">
        <v>27010</v>
      </c>
      <c r="Q12616" s="17"/>
      <c r="R12616" s="25" t="str">
        <f>HYPERLINK("https://ictv.global/taxonomy/taxondetails?taxnode_id=202300057","Orthohantavirus sinnombreense")</f>
        <v>Orthohantavirus sinnombreense</v>
      </c>
      <c r="S12616" s="18" t="s">
        <v>30</v>
      </c>
      <c r="T12616" s="18" t="s">
        <v>47138</v>
      </c>
      <c r="U12616" s="18" t="s">
        <v>27091</v>
      </c>
      <c r="V12616" s="18" t="s">
        <v>27092</v>
      </c>
      <c r="W12616" s="18" t="s">
        <v>50587</v>
      </c>
      <c r="X12616" s="18" t="s">
        <v>42</v>
      </c>
      <c r="Y12616" s="18" t="s">
        <v>23964</v>
      </c>
      <c r="Z12616" s="18" t="s">
        <v>166</v>
      </c>
      <c r="AA12616" s="21" t="str">
        <f>HYPERLINK("https://www.ncbi.nlm.nih.gov/nuccore/L37902,L37903,L37904","NCBI Nucleotide")</f>
        <v>NCBI Nucleotide</v>
      </c>
    </row>
    <row r="12617" spans="1:27" x14ac:dyDescent="0.35">
      <c r="A12617">
        <v>1012933</v>
      </c>
      <c r="B12617">
        <v>11865</v>
      </c>
      <c r="C12617">
        <v>2</v>
      </c>
      <c r="D12617" s="17" t="s">
        <v>17166</v>
      </c>
      <c r="E12617" s="17"/>
      <c r="F12617" s="17" t="s">
        <v>17246</v>
      </c>
      <c r="G12617" s="17"/>
      <c r="H12617" s="17" t="s">
        <v>23950</v>
      </c>
      <c r="I12617" s="17" t="s">
        <v>26604</v>
      </c>
      <c r="J12617" s="17" t="s">
        <v>47099</v>
      </c>
      <c r="K12617" s="17"/>
      <c r="L12617" s="17" t="s">
        <v>47100</v>
      </c>
      <c r="M12617" s="17"/>
      <c r="N12617" s="17" t="s">
        <v>26965</v>
      </c>
      <c r="O12617" s="17" t="s">
        <v>26986</v>
      </c>
      <c r="P12617" s="17" t="s">
        <v>27010</v>
      </c>
      <c r="Q12617" s="17"/>
      <c r="R12617" s="25" t="str">
        <f>HYPERLINK("https://ictv.global/taxonomy/taxondetails?taxnode_id=202300057","Orthohantavirus sinnombreense")</f>
        <v>Orthohantavirus sinnombreense</v>
      </c>
      <c r="S12617" s="18" t="s">
        <v>8141</v>
      </c>
      <c r="T12617" s="18" t="s">
        <v>27152</v>
      </c>
      <c r="U12617" s="18" t="s">
        <v>27153</v>
      </c>
      <c r="V12617" s="18" t="s">
        <v>27154</v>
      </c>
      <c r="W12617" s="18" t="s">
        <v>49471</v>
      </c>
      <c r="X12617" s="18" t="s">
        <v>154</v>
      </c>
      <c r="Y12617" s="18" t="s">
        <v>23964</v>
      </c>
      <c r="Z12617" s="18" t="s">
        <v>166</v>
      </c>
      <c r="AA12617" s="21" t="str">
        <f>HYPERLINK("https://www.ncbi.nlm.nih.gov/nuccore/U36801,U09488","NCBI Nucleotide")</f>
        <v>NCBI Nucleotide</v>
      </c>
    </row>
    <row r="12618" spans="1:27" x14ac:dyDescent="0.35">
      <c r="A12618">
        <v>1012934</v>
      </c>
      <c r="B12618">
        <v>11865</v>
      </c>
      <c r="C12618">
        <v>3</v>
      </c>
      <c r="D12618" s="17" t="s">
        <v>17166</v>
      </c>
      <c r="E12618" s="17"/>
      <c r="F12618" s="17" t="s">
        <v>17246</v>
      </c>
      <c r="G12618" s="17"/>
      <c r="H12618" s="17" t="s">
        <v>23950</v>
      </c>
      <c r="I12618" s="17" t="s">
        <v>26604</v>
      </c>
      <c r="J12618" s="17" t="s">
        <v>47099</v>
      </c>
      <c r="K12618" s="17"/>
      <c r="L12618" s="17" t="s">
        <v>47100</v>
      </c>
      <c r="M12618" s="17"/>
      <c r="N12618" s="17" t="s">
        <v>26965</v>
      </c>
      <c r="O12618" s="17" t="s">
        <v>26986</v>
      </c>
      <c r="P12618" s="17" t="s">
        <v>27010</v>
      </c>
      <c r="Q12618" s="17"/>
      <c r="R12618" s="25" t="str">
        <f>HYPERLINK("https://ictv.global/taxonomy/taxondetails?taxnode_id=202300057","Orthohantavirus sinnombreense")</f>
        <v>Orthohantavirus sinnombreense</v>
      </c>
      <c r="S12618" s="18" t="s">
        <v>8141</v>
      </c>
      <c r="T12618" s="18" t="s">
        <v>47138</v>
      </c>
      <c r="U12618" s="18" t="s">
        <v>27091</v>
      </c>
      <c r="V12618" s="18" t="s">
        <v>47139</v>
      </c>
      <c r="W12618" s="18" t="s">
        <v>50944</v>
      </c>
      <c r="X12618" s="18" t="s">
        <v>154</v>
      </c>
      <c r="Y12618" s="18" t="s">
        <v>23964</v>
      </c>
      <c r="Z12618" s="18" t="s">
        <v>166</v>
      </c>
      <c r="AA12618" s="21" t="str">
        <f>HYPERLINK("https://www.ncbi.nlm.nih.gov/nuccore/L37901,L25783,L25784","NCBI Nucleotide")</f>
        <v>NCBI Nucleotide</v>
      </c>
    </row>
    <row r="12619" spans="1:27" x14ac:dyDescent="0.35">
      <c r="A12619">
        <v>1011174</v>
      </c>
      <c r="B12619">
        <v>11866</v>
      </c>
      <c r="C12619">
        <v>1</v>
      </c>
      <c r="D12619" s="17" t="s">
        <v>17166</v>
      </c>
      <c r="E12619" s="17"/>
      <c r="F12619" s="17" t="s">
        <v>17246</v>
      </c>
      <c r="G12619" s="17"/>
      <c r="H12619" s="17" t="s">
        <v>23950</v>
      </c>
      <c r="I12619" s="17" t="s">
        <v>26604</v>
      </c>
      <c r="J12619" s="17" t="s">
        <v>47099</v>
      </c>
      <c r="K12619" s="17"/>
      <c r="L12619" s="17" t="s">
        <v>47100</v>
      </c>
      <c r="M12619" s="17"/>
      <c r="N12619" s="17" t="s">
        <v>26965</v>
      </c>
      <c r="O12619" s="17" t="s">
        <v>26986</v>
      </c>
      <c r="P12619" s="17" t="s">
        <v>27010</v>
      </c>
      <c r="Q12619" s="17"/>
      <c r="R12619" s="25" t="str">
        <f>HYPERLINK("https://ictv.global/taxonomy/taxondetails?taxnode_id=202309703","Orthohantavirus tatenalense")</f>
        <v>Orthohantavirus tatenalense</v>
      </c>
      <c r="S12619" s="18" t="s">
        <v>30</v>
      </c>
      <c r="T12619" s="18" t="s">
        <v>27093</v>
      </c>
      <c r="U12619" s="18" t="s">
        <v>27094</v>
      </c>
      <c r="V12619" s="18" t="s">
        <v>27095</v>
      </c>
      <c r="W12619" s="18" t="s">
        <v>50588</v>
      </c>
      <c r="X12619" s="18" t="s">
        <v>42</v>
      </c>
      <c r="Y12619" s="18" t="s">
        <v>23964</v>
      </c>
      <c r="Z12619" s="18" t="s">
        <v>166</v>
      </c>
      <c r="AA12619" s="21" t="str">
        <f>HYPERLINK("https://www.ncbi.nlm.nih.gov/nuccore/MK883760,MK883758,MK883756","NCBI Nucleotide")</f>
        <v>NCBI Nucleotide</v>
      </c>
    </row>
    <row r="12620" spans="1:27" x14ac:dyDescent="0.35">
      <c r="A12620">
        <v>1011175</v>
      </c>
      <c r="B12620">
        <v>11867</v>
      </c>
      <c r="C12620">
        <v>1</v>
      </c>
      <c r="D12620" s="17" t="s">
        <v>17166</v>
      </c>
      <c r="E12620" s="17"/>
      <c r="F12620" s="17" t="s">
        <v>17246</v>
      </c>
      <c r="G12620" s="17"/>
      <c r="H12620" s="17" t="s">
        <v>23950</v>
      </c>
      <c r="I12620" s="17" t="s">
        <v>26604</v>
      </c>
      <c r="J12620" s="17" t="s">
        <v>47099</v>
      </c>
      <c r="K12620" s="17"/>
      <c r="L12620" s="17" t="s">
        <v>47100</v>
      </c>
      <c r="M12620" s="17"/>
      <c r="N12620" s="17" t="s">
        <v>26965</v>
      </c>
      <c r="O12620" s="17" t="s">
        <v>26986</v>
      </c>
      <c r="P12620" s="17" t="s">
        <v>27010</v>
      </c>
      <c r="Q12620" s="17"/>
      <c r="R12620" s="25" t="str">
        <f>HYPERLINK("https://ictv.global/taxonomy/taxondetails?taxnode_id=202300058","Orthohantavirus thailandense")</f>
        <v>Orthohantavirus thailandense</v>
      </c>
      <c r="S12620" s="18" t="s">
        <v>30</v>
      </c>
      <c r="T12620" s="18" t="s">
        <v>27096</v>
      </c>
      <c r="U12620" s="18" t="s">
        <v>27097</v>
      </c>
      <c r="V12620" s="18" t="s">
        <v>27098</v>
      </c>
      <c r="W12620" s="18" t="s">
        <v>50589</v>
      </c>
      <c r="X12620" s="18" t="s">
        <v>42</v>
      </c>
      <c r="Y12620" s="18" t="s">
        <v>23964</v>
      </c>
      <c r="Z12620" s="18" t="s">
        <v>166</v>
      </c>
      <c r="AA12620" s="21" t="str">
        <f>HYPERLINK("https://www.ncbi.nlm.nih.gov/nuccore/KC490922,KC490919,KC490918","NCBI Nucleotide")</f>
        <v>NCBI Nucleotide</v>
      </c>
    </row>
    <row r="12621" spans="1:27" x14ac:dyDescent="0.35">
      <c r="A12621">
        <v>1012935</v>
      </c>
      <c r="B12621">
        <v>11867</v>
      </c>
      <c r="C12621">
        <v>2</v>
      </c>
      <c r="D12621" s="17" t="s">
        <v>17166</v>
      </c>
      <c r="E12621" s="17"/>
      <c r="F12621" s="17" t="s">
        <v>17246</v>
      </c>
      <c r="G12621" s="17"/>
      <c r="H12621" s="17" t="s">
        <v>23950</v>
      </c>
      <c r="I12621" s="17" t="s">
        <v>26604</v>
      </c>
      <c r="J12621" s="17" t="s">
        <v>47099</v>
      </c>
      <c r="K12621" s="17"/>
      <c r="L12621" s="17" t="s">
        <v>47100</v>
      </c>
      <c r="M12621" s="17"/>
      <c r="N12621" s="17" t="s">
        <v>26965</v>
      </c>
      <c r="O12621" s="17" t="s">
        <v>26986</v>
      </c>
      <c r="P12621" s="17" t="s">
        <v>27010</v>
      </c>
      <c r="Q12621" s="17"/>
      <c r="R12621" s="25" t="str">
        <f>HYPERLINK("https://ictv.global/taxonomy/taxondetails?taxnode_id=202300058","Orthohantavirus thailandense")</f>
        <v>Orthohantavirus thailandense</v>
      </c>
      <c r="S12621" s="18" t="s">
        <v>8141</v>
      </c>
      <c r="T12621" s="18" t="s">
        <v>27155</v>
      </c>
      <c r="U12621" s="18" t="s">
        <v>27156</v>
      </c>
      <c r="V12621" s="18" t="s">
        <v>27157</v>
      </c>
      <c r="W12621" s="18" t="s">
        <v>49472</v>
      </c>
      <c r="X12621" s="18" t="s">
        <v>154</v>
      </c>
      <c r="Y12621" s="18" t="s">
        <v>23964</v>
      </c>
      <c r="Z12621" s="18" t="s">
        <v>166</v>
      </c>
      <c r="AA12621" s="21" t="str">
        <f>HYPERLINK("https://www.ncbi.nlm.nih.gov/nuccore/AM998806,AM998807,AM998808","NCBI Nucleotide")</f>
        <v>NCBI Nucleotide</v>
      </c>
    </row>
    <row r="12622" spans="1:27" x14ac:dyDescent="0.35">
      <c r="A12622">
        <v>1012936</v>
      </c>
      <c r="B12622">
        <v>11867</v>
      </c>
      <c r="C12622">
        <v>3</v>
      </c>
      <c r="D12622" s="17" t="s">
        <v>17166</v>
      </c>
      <c r="E12622" s="17"/>
      <c r="F12622" s="17" t="s">
        <v>17246</v>
      </c>
      <c r="G12622" s="17"/>
      <c r="H12622" s="17" t="s">
        <v>23950</v>
      </c>
      <c r="I12622" s="17" t="s">
        <v>26604</v>
      </c>
      <c r="J12622" s="17" t="s">
        <v>47099</v>
      </c>
      <c r="K12622" s="17"/>
      <c r="L12622" s="17" t="s">
        <v>47100</v>
      </c>
      <c r="M12622" s="17"/>
      <c r="N12622" s="17" t="s">
        <v>26965</v>
      </c>
      <c r="O12622" s="17" t="s">
        <v>26986</v>
      </c>
      <c r="P12622" s="17" t="s">
        <v>27010</v>
      </c>
      <c r="Q12622" s="17"/>
      <c r="R12622" s="25" t="str">
        <f>HYPERLINK("https://ictv.global/taxonomy/taxondetails?taxnode_id=202300058","Orthohantavirus thailandense")</f>
        <v>Orthohantavirus thailandense</v>
      </c>
      <c r="S12622" s="18" t="s">
        <v>8141</v>
      </c>
      <c r="T12622" s="18" t="s">
        <v>27158</v>
      </c>
      <c r="U12622" s="18" t="s">
        <v>27159</v>
      </c>
      <c r="V12622" s="18" t="s">
        <v>27160</v>
      </c>
      <c r="W12622" s="18" t="s">
        <v>49473</v>
      </c>
      <c r="X12622" s="18" t="s">
        <v>154</v>
      </c>
      <c r="Y12622" s="18" t="s">
        <v>23964</v>
      </c>
      <c r="Z12622" s="18" t="s">
        <v>166</v>
      </c>
      <c r="AA12622" s="21" t="str">
        <f>HYPERLINK("https://www.ncbi.nlm.nih.gov/nuccore/L08756","NCBI Nucleotide")</f>
        <v>NCBI Nucleotide</v>
      </c>
    </row>
    <row r="12623" spans="1:27" x14ac:dyDescent="0.35">
      <c r="A12623">
        <v>1012937</v>
      </c>
      <c r="B12623">
        <v>11867</v>
      </c>
      <c r="C12623">
        <v>4</v>
      </c>
      <c r="D12623" s="17" t="s">
        <v>17166</v>
      </c>
      <c r="E12623" s="17"/>
      <c r="F12623" s="17" t="s">
        <v>17246</v>
      </c>
      <c r="G12623" s="17"/>
      <c r="H12623" s="17" t="s">
        <v>23950</v>
      </c>
      <c r="I12623" s="17" t="s">
        <v>26604</v>
      </c>
      <c r="J12623" s="17" t="s">
        <v>47099</v>
      </c>
      <c r="K12623" s="17"/>
      <c r="L12623" s="17" t="s">
        <v>47100</v>
      </c>
      <c r="M12623" s="17"/>
      <c r="N12623" s="17" t="s">
        <v>26965</v>
      </c>
      <c r="O12623" s="17" t="s">
        <v>26986</v>
      </c>
      <c r="P12623" s="17" t="s">
        <v>27010</v>
      </c>
      <c r="Q12623" s="17"/>
      <c r="R12623" s="25" t="str">
        <f>HYPERLINK("https://ictv.global/taxonomy/taxondetails?taxnode_id=202300058","Orthohantavirus thailandense")</f>
        <v>Orthohantavirus thailandense</v>
      </c>
      <c r="S12623" s="18" t="s">
        <v>8141</v>
      </c>
      <c r="T12623" s="18" t="s">
        <v>27158</v>
      </c>
      <c r="U12623" s="18" t="s">
        <v>27159</v>
      </c>
      <c r="V12623" s="18" t="s">
        <v>47140</v>
      </c>
      <c r="W12623" s="18" t="s">
        <v>49474</v>
      </c>
      <c r="X12623" s="18" t="s">
        <v>35</v>
      </c>
      <c r="Y12623" s="18" t="s">
        <v>23964</v>
      </c>
      <c r="Z12623" s="18" t="s">
        <v>166</v>
      </c>
      <c r="AA12623" s="21" t="str">
        <f>HYPERLINK("https://www.ncbi.nlm.nih.gov/nuccore/MZ343362,MZ343361,MZ343360","NCBI Nucleotide")</f>
        <v>NCBI Nucleotide</v>
      </c>
    </row>
    <row r="12624" spans="1:27" x14ac:dyDescent="0.35">
      <c r="A12624">
        <v>1011176</v>
      </c>
      <c r="B12624">
        <v>11868</v>
      </c>
      <c r="C12624">
        <v>1</v>
      </c>
      <c r="D12624" s="17" t="s">
        <v>17166</v>
      </c>
      <c r="E12624" s="17"/>
      <c r="F12624" s="17" t="s">
        <v>17246</v>
      </c>
      <c r="G12624" s="17"/>
      <c r="H12624" s="17" t="s">
        <v>23950</v>
      </c>
      <c r="I12624" s="17" t="s">
        <v>26604</v>
      </c>
      <c r="J12624" s="17" t="s">
        <v>47099</v>
      </c>
      <c r="K12624" s="17"/>
      <c r="L12624" s="17" t="s">
        <v>47100</v>
      </c>
      <c r="M12624" s="17"/>
      <c r="N12624" s="17" t="s">
        <v>26965</v>
      </c>
      <c r="O12624" s="17" t="s">
        <v>26986</v>
      </c>
      <c r="P12624" s="17" t="s">
        <v>27010</v>
      </c>
      <c r="Q12624" s="17"/>
      <c r="R12624" s="25" t="str">
        <f>HYPERLINK("https://ictv.global/taxonomy/taxondetails?taxnode_id=202306435","Orthohantavirus tigrayense")</f>
        <v>Orthohantavirus tigrayense</v>
      </c>
      <c r="S12624" s="18" t="s">
        <v>30</v>
      </c>
      <c r="T12624" s="18" t="s">
        <v>27099</v>
      </c>
      <c r="U12624" s="18" t="s">
        <v>27100</v>
      </c>
      <c r="V12624" s="18" t="s">
        <v>27101</v>
      </c>
      <c r="W12624" s="18" t="s">
        <v>50790</v>
      </c>
      <c r="X12624" s="18" t="s">
        <v>154</v>
      </c>
      <c r="Y12624" s="18" t="s">
        <v>23964</v>
      </c>
      <c r="Z12624" s="18" t="s">
        <v>166</v>
      </c>
      <c r="AA12624" s="21" t="str">
        <f>HYPERLINK("https://www.ncbi.nlm.nih.gov/nuccore/KU934008,KU934009,KU934010","NCBI Nucleotide")</f>
        <v>NCBI Nucleotide</v>
      </c>
    </row>
    <row r="12625" spans="1:27" x14ac:dyDescent="0.35">
      <c r="A12625">
        <v>1011177</v>
      </c>
      <c r="B12625">
        <v>11869</v>
      </c>
      <c r="C12625">
        <v>1</v>
      </c>
      <c r="D12625" s="17" t="s">
        <v>17166</v>
      </c>
      <c r="E12625" s="17"/>
      <c r="F12625" s="17" t="s">
        <v>17246</v>
      </c>
      <c r="G12625" s="17"/>
      <c r="H12625" s="17" t="s">
        <v>23950</v>
      </c>
      <c r="I12625" s="17" t="s">
        <v>26604</v>
      </c>
      <c r="J12625" s="17" t="s">
        <v>47099</v>
      </c>
      <c r="K12625" s="17"/>
      <c r="L12625" s="17" t="s">
        <v>47100</v>
      </c>
      <c r="M12625" s="17"/>
      <c r="N12625" s="17" t="s">
        <v>26965</v>
      </c>
      <c r="O12625" s="17" t="s">
        <v>26986</v>
      </c>
      <c r="P12625" s="17" t="s">
        <v>27010</v>
      </c>
      <c r="Q12625" s="17"/>
      <c r="R12625" s="25" t="str">
        <f>HYPERLINK("https://ictv.global/taxonomy/taxondetails?taxnode_id=202300060","Orthohantavirus tulaense")</f>
        <v>Orthohantavirus tulaense</v>
      </c>
      <c r="S12625" s="18" t="s">
        <v>30</v>
      </c>
      <c r="T12625" s="18" t="s">
        <v>27102</v>
      </c>
      <c r="U12625" s="18" t="s">
        <v>27103</v>
      </c>
      <c r="V12625" s="18" t="s">
        <v>27104</v>
      </c>
      <c r="W12625" s="18" t="s">
        <v>50590</v>
      </c>
      <c r="X12625" s="18" t="s">
        <v>42</v>
      </c>
      <c r="Y12625" s="18" t="s">
        <v>23964</v>
      </c>
      <c r="Z12625" s="18" t="s">
        <v>166</v>
      </c>
      <c r="AA12625" s="21" t="str">
        <f>HYPERLINK("https://www.ncbi.nlm.nih.gov/nuccore/AJ005637,Z69993,Z49915","NCBI Nucleotide")</f>
        <v>NCBI Nucleotide</v>
      </c>
    </row>
    <row r="12626" spans="1:27" x14ac:dyDescent="0.35">
      <c r="A12626">
        <v>1012938</v>
      </c>
      <c r="B12626">
        <v>11869</v>
      </c>
      <c r="C12626">
        <v>2</v>
      </c>
      <c r="D12626" s="17" t="s">
        <v>17166</v>
      </c>
      <c r="E12626" s="17"/>
      <c r="F12626" s="17" t="s">
        <v>17246</v>
      </c>
      <c r="G12626" s="17"/>
      <c r="H12626" s="17" t="s">
        <v>23950</v>
      </c>
      <c r="I12626" s="17" t="s">
        <v>26604</v>
      </c>
      <c r="J12626" s="17" t="s">
        <v>47099</v>
      </c>
      <c r="K12626" s="17"/>
      <c r="L12626" s="17" t="s">
        <v>47100</v>
      </c>
      <c r="M12626" s="17"/>
      <c r="N12626" s="17" t="s">
        <v>26965</v>
      </c>
      <c r="O12626" s="17" t="s">
        <v>26986</v>
      </c>
      <c r="P12626" s="17" t="s">
        <v>27010</v>
      </c>
      <c r="Q12626" s="17"/>
      <c r="R12626" s="25" t="str">
        <f>HYPERLINK("https://ictv.global/taxonomy/taxondetails?taxnode_id=202300060","Orthohantavirus tulaense")</f>
        <v>Orthohantavirus tulaense</v>
      </c>
      <c r="S12626" s="18" t="s">
        <v>8141</v>
      </c>
      <c r="T12626" s="18" t="s">
        <v>27161</v>
      </c>
      <c r="U12626" s="18" t="s">
        <v>27162</v>
      </c>
      <c r="V12626" s="18"/>
      <c r="W12626" s="18" t="s">
        <v>49475</v>
      </c>
      <c r="X12626" s="18" t="s">
        <v>154</v>
      </c>
      <c r="Y12626" s="18" t="s">
        <v>23964</v>
      </c>
      <c r="Z12626" s="18" t="s">
        <v>166</v>
      </c>
      <c r="AA12626" s="21" t="str">
        <f>HYPERLINK("https://www.ncbi.nlm.nih.gov/nuccore/KP013556,KP013579,KP013568","NCBI Nucleotide")</f>
        <v>NCBI Nucleotide</v>
      </c>
    </row>
    <row r="12627" spans="1:27" x14ac:dyDescent="0.35">
      <c r="A12627">
        <v>1027715</v>
      </c>
      <c r="B12627">
        <v>11870</v>
      </c>
      <c r="C12627">
        <v>1</v>
      </c>
      <c r="D12627" s="17" t="s">
        <v>17166</v>
      </c>
      <c r="E12627" s="17"/>
      <c r="F12627" s="17" t="s">
        <v>17246</v>
      </c>
      <c r="G12627" s="17"/>
      <c r="H12627" s="17" t="s">
        <v>23950</v>
      </c>
      <c r="I12627" s="17" t="s">
        <v>26604</v>
      </c>
      <c r="J12627" s="17" t="s">
        <v>47099</v>
      </c>
      <c r="K12627" s="17"/>
      <c r="L12627" s="17" t="s">
        <v>47100</v>
      </c>
      <c r="M12627" s="17"/>
      <c r="N12627" s="17" t="s">
        <v>26965</v>
      </c>
      <c r="O12627" s="17" t="s">
        <v>26986</v>
      </c>
      <c r="P12627" s="17" t="s">
        <v>27010</v>
      </c>
      <c r="Q12627" s="17"/>
      <c r="R12627" s="25" t="str">
        <f>HYPERLINK("https://ictv.global/taxonomy/taxondetails?taxnode_id=202319090","Orthohantavirus wufangense")</f>
        <v>Orthohantavirus wufangense</v>
      </c>
      <c r="S12627" s="18" t="s">
        <v>30</v>
      </c>
      <c r="T12627" s="18" t="s">
        <v>47141</v>
      </c>
      <c r="U12627" s="18" t="s">
        <v>47142</v>
      </c>
      <c r="V12627" s="18" t="s">
        <v>46551</v>
      </c>
      <c r="W12627" s="18" t="s">
        <v>50877</v>
      </c>
      <c r="X12627" s="18" t="s">
        <v>42</v>
      </c>
      <c r="Y12627" s="18" t="s">
        <v>23964</v>
      </c>
      <c r="Z12627" s="18" t="s">
        <v>166</v>
      </c>
      <c r="AA12627" s="21" t="str">
        <f>HYPERLINK("https://www.ncbi.nlm.nih.gov/nuccore/OM030311,OM030312,OM030313","NCBI Nucleotide")</f>
        <v>NCBI Nucleotide</v>
      </c>
    </row>
    <row r="12628" spans="1:27" x14ac:dyDescent="0.35">
      <c r="A12628">
        <v>1011179</v>
      </c>
      <c r="B12628">
        <v>11871</v>
      </c>
      <c r="C12628">
        <v>1</v>
      </c>
      <c r="D12628" s="17" t="s">
        <v>17166</v>
      </c>
      <c r="E12628" s="17"/>
      <c r="F12628" s="17" t="s">
        <v>17246</v>
      </c>
      <c r="G12628" s="17"/>
      <c r="H12628" s="17" t="s">
        <v>23950</v>
      </c>
      <c r="I12628" s="17" t="s">
        <v>26604</v>
      </c>
      <c r="J12628" s="17" t="s">
        <v>47099</v>
      </c>
      <c r="K12628" s="17"/>
      <c r="L12628" s="17" t="s">
        <v>47100</v>
      </c>
      <c r="M12628" s="17"/>
      <c r="N12628" s="17" t="s">
        <v>26965</v>
      </c>
      <c r="O12628" s="17" t="s">
        <v>26986</v>
      </c>
      <c r="P12628" s="17" t="s">
        <v>27163</v>
      </c>
      <c r="Q12628" s="17"/>
      <c r="R12628" s="25" t="str">
        <f>HYPERLINK("https://ictv.global/taxonomy/taxondetails?taxnode_id=202300038","Thottimvirus imjinense")</f>
        <v>Thottimvirus imjinense</v>
      </c>
      <c r="S12628" s="18" t="s">
        <v>30</v>
      </c>
      <c r="T12628" s="18" t="s">
        <v>27164</v>
      </c>
      <c r="U12628" s="18" t="s">
        <v>27165</v>
      </c>
      <c r="V12628" s="18" t="s">
        <v>27166</v>
      </c>
      <c r="W12628" s="18" t="s">
        <v>50591</v>
      </c>
      <c r="X12628" s="18" t="s">
        <v>42</v>
      </c>
      <c r="Y12628" s="18" t="s">
        <v>23964</v>
      </c>
      <c r="Z12628" s="18" t="s">
        <v>166</v>
      </c>
      <c r="AA12628" s="21" t="str">
        <f>HYPERLINK("https://www.ncbi.nlm.nih.gov/nuccore/KJ420567,KJ420541,KJ420559","NCBI Nucleotide")</f>
        <v>NCBI Nucleotide</v>
      </c>
    </row>
    <row r="12629" spans="1:27" x14ac:dyDescent="0.35">
      <c r="A12629">
        <v>1012939</v>
      </c>
      <c r="B12629">
        <v>11871</v>
      </c>
      <c r="C12629">
        <v>2</v>
      </c>
      <c r="D12629" s="17" t="s">
        <v>17166</v>
      </c>
      <c r="E12629" s="17"/>
      <c r="F12629" s="17" t="s">
        <v>17246</v>
      </c>
      <c r="G12629" s="17"/>
      <c r="H12629" s="17" t="s">
        <v>23950</v>
      </c>
      <c r="I12629" s="17" t="s">
        <v>26604</v>
      </c>
      <c r="J12629" s="17" t="s">
        <v>47099</v>
      </c>
      <c r="K12629" s="17"/>
      <c r="L12629" s="17" t="s">
        <v>47100</v>
      </c>
      <c r="M12629" s="17"/>
      <c r="N12629" s="17" t="s">
        <v>26965</v>
      </c>
      <c r="O12629" s="17" t="s">
        <v>26986</v>
      </c>
      <c r="P12629" s="17" t="s">
        <v>27163</v>
      </c>
      <c r="Q12629" s="17"/>
      <c r="R12629" s="25" t="str">
        <f>HYPERLINK("https://ictv.global/taxonomy/taxondetails?taxnode_id=202300038","Thottimvirus imjinense")</f>
        <v>Thottimvirus imjinense</v>
      </c>
      <c r="S12629" s="18" t="s">
        <v>8141</v>
      </c>
      <c r="T12629" s="18" t="s">
        <v>27164</v>
      </c>
      <c r="U12629" s="18" t="s">
        <v>27165</v>
      </c>
      <c r="V12629" s="18" t="s">
        <v>47143</v>
      </c>
      <c r="W12629" s="18" t="s">
        <v>49476</v>
      </c>
      <c r="X12629" s="18" t="s">
        <v>35</v>
      </c>
      <c r="Y12629" s="18" t="s">
        <v>23964</v>
      </c>
      <c r="Z12629" s="18" t="s">
        <v>166</v>
      </c>
      <c r="AA12629" s="21" t="str">
        <f>HYPERLINK("https://www.ncbi.nlm.nih.gov/nuccore/EF641806,EF641798,EF641804","NCBI Nucleotide")</f>
        <v>NCBI Nucleotide</v>
      </c>
    </row>
    <row r="12630" spans="1:27" x14ac:dyDescent="0.35">
      <c r="A12630">
        <v>1011180</v>
      </c>
      <c r="B12630">
        <v>11872</v>
      </c>
      <c r="C12630">
        <v>1</v>
      </c>
      <c r="D12630" s="17" t="s">
        <v>17166</v>
      </c>
      <c r="E12630" s="17"/>
      <c r="F12630" s="17" t="s">
        <v>17246</v>
      </c>
      <c r="G12630" s="17"/>
      <c r="H12630" s="17" t="s">
        <v>23950</v>
      </c>
      <c r="I12630" s="17" t="s">
        <v>26604</v>
      </c>
      <c r="J12630" s="17" t="s">
        <v>47099</v>
      </c>
      <c r="K12630" s="17"/>
      <c r="L12630" s="17" t="s">
        <v>47100</v>
      </c>
      <c r="M12630" s="17"/>
      <c r="N12630" s="17" t="s">
        <v>26965</v>
      </c>
      <c r="O12630" s="17" t="s">
        <v>26986</v>
      </c>
      <c r="P12630" s="17" t="s">
        <v>27163</v>
      </c>
      <c r="Q12630" s="17"/>
      <c r="R12630" s="25" t="str">
        <f>HYPERLINK("https://ictv.global/taxonomy/taxondetails?taxnode_id=202300059","Thottimvirus thottapalayamense")</f>
        <v>Thottimvirus thottapalayamense</v>
      </c>
      <c r="S12630" s="18" t="s">
        <v>30</v>
      </c>
      <c r="T12630" s="18" t="s">
        <v>27167</v>
      </c>
      <c r="U12630" s="18" t="s">
        <v>27168</v>
      </c>
      <c r="V12630" s="18" t="s">
        <v>27169</v>
      </c>
      <c r="W12630" s="18" t="s">
        <v>50592</v>
      </c>
      <c r="X12630" s="18" t="s">
        <v>42</v>
      </c>
      <c r="Y12630" s="18" t="s">
        <v>23964</v>
      </c>
      <c r="Z12630" s="18" t="s">
        <v>166</v>
      </c>
      <c r="AA12630" s="21" t="str">
        <f>HYPERLINK("https://www.ncbi.nlm.nih.gov/nuccore/DQ825770,DQ825771,AY526097","NCBI Nucleotide")</f>
        <v>NCBI Nucleotide</v>
      </c>
    </row>
    <row r="12631" spans="1:27" x14ac:dyDescent="0.35">
      <c r="A12631">
        <v>1012940</v>
      </c>
      <c r="B12631">
        <v>11872</v>
      </c>
      <c r="C12631">
        <v>2</v>
      </c>
      <c r="D12631" s="17" t="s">
        <v>17166</v>
      </c>
      <c r="E12631" s="17"/>
      <c r="F12631" s="17" t="s">
        <v>17246</v>
      </c>
      <c r="G12631" s="17"/>
      <c r="H12631" s="17" t="s">
        <v>23950</v>
      </c>
      <c r="I12631" s="17" t="s">
        <v>26604</v>
      </c>
      <c r="J12631" s="17" t="s">
        <v>47099</v>
      </c>
      <c r="K12631" s="17"/>
      <c r="L12631" s="17" t="s">
        <v>47100</v>
      </c>
      <c r="M12631" s="17"/>
      <c r="N12631" s="17" t="s">
        <v>26965</v>
      </c>
      <c r="O12631" s="17" t="s">
        <v>26986</v>
      </c>
      <c r="P12631" s="17" t="s">
        <v>27163</v>
      </c>
      <c r="Q12631" s="17"/>
      <c r="R12631" s="25" t="str">
        <f>HYPERLINK("https://ictv.global/taxonomy/taxondetails?taxnode_id=202300059","Thottimvirus thottapalayamense")</f>
        <v>Thottimvirus thottapalayamense</v>
      </c>
      <c r="S12631" s="18" t="s">
        <v>8141</v>
      </c>
      <c r="T12631" s="18" t="s">
        <v>27167</v>
      </c>
      <c r="U12631" s="18" t="s">
        <v>27168</v>
      </c>
      <c r="V12631" s="18" t="s">
        <v>47144</v>
      </c>
      <c r="W12631" s="18" t="s">
        <v>49477</v>
      </c>
      <c r="X12631" s="18" t="s">
        <v>35</v>
      </c>
      <c r="Y12631" s="18" t="s">
        <v>23964</v>
      </c>
      <c r="Z12631" s="18" t="s">
        <v>166</v>
      </c>
      <c r="AA12631" s="21" t="str">
        <f>HYPERLINK("https://www.ncbi.nlm.nih.gov/nuccore/KJ420568,KJ420542,KJ420560","NCBI Nucleotide")</f>
        <v>NCBI Nucleotide</v>
      </c>
    </row>
    <row r="12632" spans="1:27" x14ac:dyDescent="0.35">
      <c r="A12632">
        <v>1011181</v>
      </c>
      <c r="B12632">
        <v>11873</v>
      </c>
      <c r="C12632">
        <v>1</v>
      </c>
      <c r="D12632" s="17" t="s">
        <v>17166</v>
      </c>
      <c r="E12632" s="17"/>
      <c r="F12632" s="17" t="s">
        <v>17246</v>
      </c>
      <c r="G12632" s="17"/>
      <c r="H12632" s="17" t="s">
        <v>23950</v>
      </c>
      <c r="I12632" s="17" t="s">
        <v>26604</v>
      </c>
      <c r="J12632" s="17" t="s">
        <v>47099</v>
      </c>
      <c r="K12632" s="17"/>
      <c r="L12632" s="17" t="s">
        <v>47100</v>
      </c>
      <c r="M12632" s="17"/>
      <c r="N12632" s="17" t="s">
        <v>26965</v>
      </c>
      <c r="O12632" s="17" t="s">
        <v>27170</v>
      </c>
      <c r="P12632" s="17" t="s">
        <v>27171</v>
      </c>
      <c r="Q12632" s="17"/>
      <c r="R12632" s="25" t="str">
        <f>HYPERLINK("https://ictv.global/taxonomy/taxondetails?taxnode_id=202306438","Reptillovirus hemidactyli")</f>
        <v>Reptillovirus hemidactyli</v>
      </c>
      <c r="S12632" s="18" t="s">
        <v>30</v>
      </c>
      <c r="T12632" s="18" t="s">
        <v>27172</v>
      </c>
      <c r="U12632" s="18" t="s">
        <v>27173</v>
      </c>
      <c r="V12632" s="18" t="s">
        <v>27174</v>
      </c>
      <c r="W12632" s="18" t="s">
        <v>50791</v>
      </c>
      <c r="X12632" s="18" t="s">
        <v>35</v>
      </c>
      <c r="Y12632" s="18" t="s">
        <v>23964</v>
      </c>
      <c r="Z12632" s="18" t="s">
        <v>166</v>
      </c>
      <c r="AA12632" s="21" t="str">
        <f>HYPERLINK("https://www.ncbi.nlm.nih.gov/nuccore/MG599940,MG599941,MG599942","NCBI Nucleotide")</f>
        <v>NCBI Nucleotide</v>
      </c>
    </row>
    <row r="12633" spans="1:27" x14ac:dyDescent="0.35">
      <c r="A12633">
        <v>1024456</v>
      </c>
      <c r="B12633">
        <v>11874</v>
      </c>
      <c r="C12633">
        <v>1</v>
      </c>
      <c r="D12633" s="17" t="s">
        <v>17166</v>
      </c>
      <c r="E12633" s="17"/>
      <c r="F12633" s="17" t="s">
        <v>17246</v>
      </c>
      <c r="G12633" s="17"/>
      <c r="H12633" s="17" t="s">
        <v>23950</v>
      </c>
      <c r="I12633" s="17" t="s">
        <v>26604</v>
      </c>
      <c r="J12633" s="17" t="s">
        <v>47099</v>
      </c>
      <c r="K12633" s="17"/>
      <c r="L12633" s="17" t="s">
        <v>47100</v>
      </c>
      <c r="M12633" s="17"/>
      <c r="N12633" s="17" t="s">
        <v>27392</v>
      </c>
      <c r="O12633" s="17"/>
      <c r="P12633" s="17" t="s">
        <v>47149</v>
      </c>
      <c r="Q12633" s="17"/>
      <c r="R12633" s="25" t="str">
        <f>HYPERLINK("https://ictv.global/taxonomy/taxondetails?taxnode_id=202319070","Gryffinivirus alamedaense")</f>
        <v>Gryffinivirus alamedaense</v>
      </c>
      <c r="S12633" s="18" t="s">
        <v>30</v>
      </c>
      <c r="T12633" s="18" t="s">
        <v>47150</v>
      </c>
      <c r="U12633" s="18" t="s">
        <v>47151</v>
      </c>
      <c r="V12633" s="18" t="s">
        <v>47152</v>
      </c>
      <c r="W12633" s="18" t="s">
        <v>47153</v>
      </c>
      <c r="X12633" s="18" t="s">
        <v>35</v>
      </c>
      <c r="Y12633" s="18" t="s">
        <v>23964</v>
      </c>
      <c r="Z12633" s="18" t="s">
        <v>10790</v>
      </c>
      <c r="AA12633" s="21" t="str">
        <f>HYPERLINK("https://www.ncbi.nlm.nih.gov/nuccore/MW434620,MW434618,MW434619","NCBI Nucleotide")</f>
        <v>NCBI Nucleotide</v>
      </c>
    </row>
    <row r="12634" spans="1:27" x14ac:dyDescent="0.35">
      <c r="A12634">
        <v>1024457</v>
      </c>
      <c r="B12634">
        <v>11875</v>
      </c>
      <c r="C12634">
        <v>1</v>
      </c>
      <c r="D12634" s="17" t="s">
        <v>17166</v>
      </c>
      <c r="E12634" s="17"/>
      <c r="F12634" s="17" t="s">
        <v>17246</v>
      </c>
      <c r="G12634" s="17"/>
      <c r="H12634" s="17" t="s">
        <v>23950</v>
      </c>
      <c r="I12634" s="17" t="s">
        <v>26604</v>
      </c>
      <c r="J12634" s="17" t="s">
        <v>47099</v>
      </c>
      <c r="K12634" s="17"/>
      <c r="L12634" s="17" t="s">
        <v>47100</v>
      </c>
      <c r="M12634" s="17"/>
      <c r="N12634" s="17" t="s">
        <v>27392</v>
      </c>
      <c r="O12634" s="17"/>
      <c r="P12634" s="17" t="s">
        <v>47149</v>
      </c>
      <c r="Q12634" s="17"/>
      <c r="R12634" s="25" t="str">
        <f>HYPERLINK("https://ictv.global/taxonomy/taxondetails?taxnode_id=202319069","Gryffinivirus hedwigae")</f>
        <v>Gryffinivirus hedwigae</v>
      </c>
      <c r="S12634" s="18" t="s">
        <v>30</v>
      </c>
      <c r="T12634" s="18" t="s">
        <v>47154</v>
      </c>
      <c r="U12634" s="18" t="s">
        <v>28432</v>
      </c>
      <c r="V12634" s="18" t="s">
        <v>47155</v>
      </c>
      <c r="W12634" s="18" t="s">
        <v>47156</v>
      </c>
      <c r="X12634" s="18" t="s">
        <v>35</v>
      </c>
      <c r="Y12634" s="18" t="s">
        <v>23964</v>
      </c>
      <c r="Z12634" s="18" t="s">
        <v>12289</v>
      </c>
      <c r="AA12634" s="21" t="str">
        <f>HYPERLINK("https://www.ncbi.nlm.nih.gov/nuccore/OV054445,OV054446,OV054447","NCBI Nucleotide")</f>
        <v>NCBI Nucleotide</v>
      </c>
    </row>
    <row r="12635" spans="1:27" x14ac:dyDescent="0.35">
      <c r="A12635">
        <v>1011235</v>
      </c>
      <c r="B12635">
        <v>11876</v>
      </c>
      <c r="C12635">
        <v>1</v>
      </c>
      <c r="D12635" s="17" t="s">
        <v>17166</v>
      </c>
      <c r="E12635" s="17"/>
      <c r="F12635" s="17" t="s">
        <v>17246</v>
      </c>
      <c r="G12635" s="17"/>
      <c r="H12635" s="17" t="s">
        <v>23950</v>
      </c>
      <c r="I12635" s="17" t="s">
        <v>26604</v>
      </c>
      <c r="J12635" s="17" t="s">
        <v>47099</v>
      </c>
      <c r="K12635" s="17"/>
      <c r="L12635" s="17" t="s">
        <v>47100</v>
      </c>
      <c r="M12635" s="17"/>
      <c r="N12635" s="17" t="s">
        <v>27392</v>
      </c>
      <c r="O12635" s="17"/>
      <c r="P12635" s="17" t="s">
        <v>27393</v>
      </c>
      <c r="Q12635" s="17"/>
      <c r="R12635" s="25" t="str">
        <f>HYPERLINK("https://ictv.global/taxonomy/taxondetails?taxnode_id=202300083","Herbevirus herberti")</f>
        <v>Herbevirus herberti</v>
      </c>
      <c r="S12635" s="18" t="s">
        <v>30</v>
      </c>
      <c r="T12635" s="18" t="s">
        <v>27394</v>
      </c>
      <c r="U12635" s="18" t="s">
        <v>27395</v>
      </c>
      <c r="V12635" s="18" t="s">
        <v>27396</v>
      </c>
      <c r="W12635" s="18" t="s">
        <v>50593</v>
      </c>
      <c r="X12635" s="18" t="s">
        <v>42</v>
      </c>
      <c r="Y12635" s="18" t="s">
        <v>23964</v>
      </c>
      <c r="Z12635" s="18" t="s">
        <v>10790</v>
      </c>
      <c r="AA12635" s="21" t="str">
        <f>HYPERLINK("https://www.ncbi.nlm.nih.gov/nuccore/JQ659256,JQ659257,JQ659258","NCBI Nucleotide")</f>
        <v>NCBI Nucleotide</v>
      </c>
    </row>
    <row r="12636" spans="1:27" x14ac:dyDescent="0.35">
      <c r="A12636">
        <v>1011236</v>
      </c>
      <c r="B12636">
        <v>11877</v>
      </c>
      <c r="C12636">
        <v>1</v>
      </c>
      <c r="D12636" s="17" t="s">
        <v>17166</v>
      </c>
      <c r="E12636" s="17"/>
      <c r="F12636" s="17" t="s">
        <v>17246</v>
      </c>
      <c r="G12636" s="17"/>
      <c r="H12636" s="17" t="s">
        <v>23950</v>
      </c>
      <c r="I12636" s="17" t="s">
        <v>26604</v>
      </c>
      <c r="J12636" s="17" t="s">
        <v>47099</v>
      </c>
      <c r="K12636" s="17"/>
      <c r="L12636" s="17" t="s">
        <v>47100</v>
      </c>
      <c r="M12636" s="17"/>
      <c r="N12636" s="17" t="s">
        <v>27392</v>
      </c>
      <c r="O12636" s="17"/>
      <c r="P12636" s="17" t="s">
        <v>27393</v>
      </c>
      <c r="Q12636" s="17"/>
      <c r="R12636" s="25" t="str">
        <f>HYPERLINK("https://ictv.global/taxonomy/taxondetails?taxnode_id=202300084","Herbevirus kibaleense")</f>
        <v>Herbevirus kibaleense</v>
      </c>
      <c r="S12636" s="18" t="s">
        <v>30</v>
      </c>
      <c r="T12636" s="18" t="s">
        <v>27397</v>
      </c>
      <c r="U12636" s="18" t="s">
        <v>27398</v>
      </c>
      <c r="V12636" s="18" t="s">
        <v>27399</v>
      </c>
      <c r="W12636" s="18" t="s">
        <v>50594</v>
      </c>
      <c r="X12636" s="18" t="s">
        <v>42</v>
      </c>
      <c r="Y12636" s="18" t="s">
        <v>23964</v>
      </c>
      <c r="Z12636" s="18" t="s">
        <v>10790</v>
      </c>
      <c r="AA12636" s="21" t="str">
        <f>HYPERLINK("https://www.ncbi.nlm.nih.gov/nuccore/KF590577,KF590576,KF590575","NCBI Nucleotide")</f>
        <v>NCBI Nucleotide</v>
      </c>
    </row>
    <row r="12637" spans="1:27" x14ac:dyDescent="0.35">
      <c r="A12637">
        <v>1011237</v>
      </c>
      <c r="B12637">
        <v>11878</v>
      </c>
      <c r="C12637">
        <v>1</v>
      </c>
      <c r="D12637" s="17" t="s">
        <v>17166</v>
      </c>
      <c r="E12637" s="17"/>
      <c r="F12637" s="17" t="s">
        <v>17246</v>
      </c>
      <c r="G12637" s="17"/>
      <c r="H12637" s="17" t="s">
        <v>23950</v>
      </c>
      <c r="I12637" s="17" t="s">
        <v>26604</v>
      </c>
      <c r="J12637" s="17" t="s">
        <v>47099</v>
      </c>
      <c r="K12637" s="17"/>
      <c r="L12637" s="17" t="s">
        <v>47100</v>
      </c>
      <c r="M12637" s="17"/>
      <c r="N12637" s="17" t="s">
        <v>27392</v>
      </c>
      <c r="O12637" s="17"/>
      <c r="P12637" s="17" t="s">
        <v>27393</v>
      </c>
      <c r="Q12637" s="17"/>
      <c r="R12637" s="25" t="str">
        <f>HYPERLINK("https://ictv.global/taxonomy/taxondetails?taxnode_id=202300086","Herbevirus taiense")</f>
        <v>Herbevirus taiense</v>
      </c>
      <c r="S12637" s="18" t="s">
        <v>30</v>
      </c>
      <c r="T12637" s="18" t="s">
        <v>27400</v>
      </c>
      <c r="U12637" s="18" t="s">
        <v>27401</v>
      </c>
      <c r="V12637" s="18" t="s">
        <v>27402</v>
      </c>
      <c r="W12637" s="18" t="s">
        <v>50595</v>
      </c>
      <c r="X12637" s="18" t="s">
        <v>42</v>
      </c>
      <c r="Y12637" s="18" t="s">
        <v>23964</v>
      </c>
      <c r="Z12637" s="18" t="s">
        <v>10790</v>
      </c>
      <c r="AA12637" s="21" t="str">
        <f>HYPERLINK("https://www.ncbi.nlm.nih.gov/nuccore/KF590574,KF590573,KF590572","NCBI Nucleotide")</f>
        <v>NCBI Nucleotide</v>
      </c>
    </row>
    <row r="12638" spans="1:27" x14ac:dyDescent="0.35">
      <c r="A12638">
        <v>1011238</v>
      </c>
      <c r="B12638">
        <v>11879</v>
      </c>
      <c r="C12638">
        <v>1</v>
      </c>
      <c r="D12638" s="17" t="s">
        <v>17166</v>
      </c>
      <c r="E12638" s="17"/>
      <c r="F12638" s="17" t="s">
        <v>17246</v>
      </c>
      <c r="G12638" s="17"/>
      <c r="H12638" s="17" t="s">
        <v>23950</v>
      </c>
      <c r="I12638" s="17" t="s">
        <v>26604</v>
      </c>
      <c r="J12638" s="17" t="s">
        <v>47099</v>
      </c>
      <c r="K12638" s="17"/>
      <c r="L12638" s="17" t="s">
        <v>47100</v>
      </c>
      <c r="M12638" s="17"/>
      <c r="N12638" s="17" t="s">
        <v>27392</v>
      </c>
      <c r="O12638" s="17"/>
      <c r="P12638" s="17" t="s">
        <v>27403</v>
      </c>
      <c r="Q12638" s="17"/>
      <c r="R12638" s="25" t="str">
        <f>HYPERLINK("https://ictv.global/taxonomy/taxondetails?taxnode_id=202312232","Khurdivirus volgaense")</f>
        <v>Khurdivirus volgaense</v>
      </c>
      <c r="S12638" s="18" t="s">
        <v>30</v>
      </c>
      <c r="T12638" s="18" t="s">
        <v>27404</v>
      </c>
      <c r="U12638" s="18" t="s">
        <v>27405</v>
      </c>
      <c r="V12638" s="18" t="s">
        <v>27406</v>
      </c>
      <c r="W12638" s="18" t="s">
        <v>27407</v>
      </c>
      <c r="X12638" s="18" t="s">
        <v>42</v>
      </c>
      <c r="Y12638" s="18" t="s">
        <v>23964</v>
      </c>
      <c r="Z12638" s="18" t="s">
        <v>12289</v>
      </c>
      <c r="AA12638" s="21" t="str">
        <f>HYPERLINK("https://www.ncbi.nlm.nih.gov/nuccore/KF981633,KF981634,KF981635","NCBI Nucleotide")</f>
        <v>NCBI Nucleotide</v>
      </c>
    </row>
    <row r="12639" spans="1:27" x14ac:dyDescent="0.35">
      <c r="A12639">
        <v>1011239</v>
      </c>
      <c r="B12639">
        <v>11880</v>
      </c>
      <c r="C12639">
        <v>1</v>
      </c>
      <c r="D12639" s="17" t="s">
        <v>17166</v>
      </c>
      <c r="E12639" s="17"/>
      <c r="F12639" s="17" t="s">
        <v>17246</v>
      </c>
      <c r="G12639" s="17"/>
      <c r="H12639" s="17" t="s">
        <v>23950</v>
      </c>
      <c r="I12639" s="17" t="s">
        <v>26604</v>
      </c>
      <c r="J12639" s="17" t="s">
        <v>47099</v>
      </c>
      <c r="K12639" s="17"/>
      <c r="L12639" s="17" t="s">
        <v>47100</v>
      </c>
      <c r="M12639" s="17"/>
      <c r="N12639" s="17" t="s">
        <v>27392</v>
      </c>
      <c r="O12639" s="17"/>
      <c r="P12639" s="17" t="s">
        <v>27408</v>
      </c>
      <c r="Q12639" s="17"/>
      <c r="R12639" s="25" t="str">
        <f>HYPERLINK("https://ictv.global/taxonomy/taxondetails?taxnode_id=202312234","Lakivirus lakamhaense")</f>
        <v>Lakivirus lakamhaense</v>
      </c>
      <c r="S12639" s="18" t="s">
        <v>30</v>
      </c>
      <c r="T12639" s="18" t="s">
        <v>27409</v>
      </c>
      <c r="U12639" s="18" t="s">
        <v>27410</v>
      </c>
      <c r="V12639" s="18" t="s">
        <v>27411</v>
      </c>
      <c r="W12639" s="18" t="s">
        <v>27412</v>
      </c>
      <c r="X12639" s="18" t="s">
        <v>42</v>
      </c>
      <c r="Y12639" s="18" t="s">
        <v>23964</v>
      </c>
      <c r="Z12639" s="18" t="s">
        <v>10790</v>
      </c>
      <c r="AA12639" s="21" t="str">
        <f>HYPERLINK("https://www.ncbi.nlm.nih.gov/nuccore/MN092355,MN092356,MN092357","NCBI Nucleotide")</f>
        <v>NCBI Nucleotide</v>
      </c>
    </row>
    <row r="12640" spans="1:27" x14ac:dyDescent="0.35">
      <c r="A12640">
        <v>1011240</v>
      </c>
      <c r="B12640">
        <v>11881</v>
      </c>
      <c r="C12640">
        <v>1</v>
      </c>
      <c r="D12640" s="17" t="s">
        <v>17166</v>
      </c>
      <c r="E12640" s="17"/>
      <c r="F12640" s="17" t="s">
        <v>17246</v>
      </c>
      <c r="G12640" s="17"/>
      <c r="H12640" s="17" t="s">
        <v>23950</v>
      </c>
      <c r="I12640" s="17" t="s">
        <v>26604</v>
      </c>
      <c r="J12640" s="17" t="s">
        <v>47099</v>
      </c>
      <c r="K12640" s="17"/>
      <c r="L12640" s="17" t="s">
        <v>47100</v>
      </c>
      <c r="M12640" s="17"/>
      <c r="N12640" s="17" t="s">
        <v>27392</v>
      </c>
      <c r="O12640" s="17"/>
      <c r="P12640" s="17" t="s">
        <v>27413</v>
      </c>
      <c r="Q12640" s="17"/>
      <c r="R12640" s="25" t="str">
        <f>HYPERLINK("https://ictv.global/taxonomy/taxondetails?taxnode_id=202312236","Lambavirus wisconsinense")</f>
        <v>Lambavirus wisconsinense</v>
      </c>
      <c r="S12640" s="18" t="s">
        <v>30</v>
      </c>
      <c r="T12640" s="18" t="s">
        <v>27414</v>
      </c>
      <c r="U12640" s="18" t="s">
        <v>27415</v>
      </c>
      <c r="V12640" s="18" t="s">
        <v>27416</v>
      </c>
      <c r="W12640" s="18" t="s">
        <v>27417</v>
      </c>
      <c r="X12640" s="18" t="s">
        <v>42</v>
      </c>
      <c r="Y12640" s="18" t="s">
        <v>23964</v>
      </c>
      <c r="Z12640" s="18" t="s">
        <v>166</v>
      </c>
      <c r="AA12640" s="21" t="str">
        <f>HYPERLINK("https://www.ncbi.nlm.nih.gov/nuccore/MN119734,MN119735,MN119736","NCBI Nucleotide")</f>
        <v>NCBI Nucleotide</v>
      </c>
    </row>
    <row r="12641" spans="1:27" x14ac:dyDescent="0.35">
      <c r="A12641">
        <v>1011241</v>
      </c>
      <c r="B12641">
        <v>11882</v>
      </c>
      <c r="C12641">
        <v>1</v>
      </c>
      <c r="D12641" s="17" t="s">
        <v>17166</v>
      </c>
      <c r="E12641" s="17"/>
      <c r="F12641" s="17" t="s">
        <v>17246</v>
      </c>
      <c r="G12641" s="17"/>
      <c r="H12641" s="17" t="s">
        <v>23950</v>
      </c>
      <c r="I12641" s="17" t="s">
        <v>26604</v>
      </c>
      <c r="J12641" s="17" t="s">
        <v>47099</v>
      </c>
      <c r="K12641" s="17"/>
      <c r="L12641" s="17" t="s">
        <v>47100</v>
      </c>
      <c r="M12641" s="17"/>
      <c r="N12641" s="17" t="s">
        <v>27392</v>
      </c>
      <c r="O12641" s="17"/>
      <c r="P12641" s="17" t="s">
        <v>27418</v>
      </c>
      <c r="Q12641" s="17"/>
      <c r="R12641" s="25" t="str">
        <f>HYPERLINK("https://ictv.global/taxonomy/taxondetails?taxnode_id=202309315","Orthobunyavirus abrasense")</f>
        <v>Orthobunyavirus abrasense</v>
      </c>
      <c r="S12641" s="18" t="s">
        <v>30</v>
      </c>
      <c r="T12641" s="18" t="s">
        <v>27419</v>
      </c>
      <c r="U12641" s="18" t="s">
        <v>27420</v>
      </c>
      <c r="V12641" s="18" t="s">
        <v>27421</v>
      </c>
      <c r="W12641" s="18" t="s">
        <v>50798</v>
      </c>
      <c r="X12641" s="18" t="s">
        <v>42</v>
      </c>
      <c r="Y12641" s="18" t="s">
        <v>23964</v>
      </c>
      <c r="Z12641" s="18" t="s">
        <v>10790</v>
      </c>
      <c r="AA12641" s="21" t="str">
        <f>HYPERLINK("https://www.ncbi.nlm.nih.gov/nuccore/MH017275,MH017281,MH017269","NCBI Nucleotide")</f>
        <v>NCBI Nucleotide</v>
      </c>
    </row>
    <row r="12642" spans="1:27" x14ac:dyDescent="0.35">
      <c r="A12642">
        <v>1011242</v>
      </c>
      <c r="B12642">
        <v>11883</v>
      </c>
      <c r="C12642">
        <v>1</v>
      </c>
      <c r="D12642" s="17" t="s">
        <v>17166</v>
      </c>
      <c r="E12642" s="17"/>
      <c r="F12642" s="17" t="s">
        <v>17246</v>
      </c>
      <c r="G12642" s="17"/>
      <c r="H12642" s="17" t="s">
        <v>23950</v>
      </c>
      <c r="I12642" s="17" t="s">
        <v>26604</v>
      </c>
      <c r="J12642" s="17" t="s">
        <v>47099</v>
      </c>
      <c r="K12642" s="17"/>
      <c r="L12642" s="17" t="s">
        <v>47100</v>
      </c>
      <c r="M12642" s="17"/>
      <c r="N12642" s="17" t="s">
        <v>27392</v>
      </c>
      <c r="O12642" s="17"/>
      <c r="P12642" s="17" t="s">
        <v>27418</v>
      </c>
      <c r="Q12642" s="17"/>
      <c r="R12642" s="25" t="str">
        <f>HYPERLINK("https://ictv.global/taxonomy/taxondetails?taxnode_id=202300089","Orthobunyavirus acaraense")</f>
        <v>Orthobunyavirus acaraense</v>
      </c>
      <c r="S12642" s="18" t="s">
        <v>30</v>
      </c>
      <c r="T12642" s="18" t="s">
        <v>27422</v>
      </c>
      <c r="U12642" s="18" t="s">
        <v>27423</v>
      </c>
      <c r="V12642" s="18"/>
      <c r="W12642" s="18" t="s">
        <v>50799</v>
      </c>
      <c r="X12642" s="18" t="s">
        <v>42</v>
      </c>
      <c r="Y12642" s="18" t="s">
        <v>23964</v>
      </c>
      <c r="Z12642" s="18" t="s">
        <v>12289</v>
      </c>
      <c r="AA12642" s="21" t="str">
        <f>HYPERLINK("https://www.ncbi.nlm.nih.gov/nuccore/MK896653,MK896652,MK896651","NCBI Nucleotide")</f>
        <v>NCBI Nucleotide</v>
      </c>
    </row>
    <row r="12643" spans="1:27" x14ac:dyDescent="0.35">
      <c r="A12643">
        <v>1012953</v>
      </c>
      <c r="B12643">
        <v>11883</v>
      </c>
      <c r="C12643">
        <v>2</v>
      </c>
      <c r="D12643" s="17" t="s">
        <v>17166</v>
      </c>
      <c r="E12643" s="17"/>
      <c r="F12643" s="17" t="s">
        <v>17246</v>
      </c>
      <c r="G12643" s="17"/>
      <c r="H12643" s="17" t="s">
        <v>23950</v>
      </c>
      <c r="I12643" s="17" t="s">
        <v>26604</v>
      </c>
      <c r="J12643" s="17" t="s">
        <v>47099</v>
      </c>
      <c r="K12643" s="17"/>
      <c r="L12643" s="17" t="s">
        <v>47100</v>
      </c>
      <c r="M12643" s="17"/>
      <c r="N12643" s="17" t="s">
        <v>27392</v>
      </c>
      <c r="O12643" s="17"/>
      <c r="P12643" s="17" t="s">
        <v>27418</v>
      </c>
      <c r="Q12643" s="17"/>
      <c r="R12643" s="25" t="str">
        <f>HYPERLINK("https://ictv.global/taxonomy/taxondetails?taxnode_id=202300089","Orthobunyavirus acaraense")</f>
        <v>Orthobunyavirus acaraense</v>
      </c>
      <c r="S12643" s="18" t="s">
        <v>8141</v>
      </c>
      <c r="T12643" s="18" t="s">
        <v>27424</v>
      </c>
      <c r="U12643" s="18" t="s">
        <v>50969</v>
      </c>
      <c r="V12643" s="18" t="s">
        <v>27425</v>
      </c>
      <c r="W12643" s="18" t="s">
        <v>49478</v>
      </c>
      <c r="X12643" s="18" t="s">
        <v>42</v>
      </c>
      <c r="Y12643" s="18" t="s">
        <v>23964</v>
      </c>
      <c r="Z12643" s="18" t="s">
        <v>12289</v>
      </c>
      <c r="AA12643" s="21" t="str">
        <f>HYPERLINK("https://www.ncbi.nlm.nih.gov/nuccore/MK896620,MK896619,MK896618","NCBI Nucleotide")</f>
        <v>NCBI Nucleotide</v>
      </c>
    </row>
    <row r="12644" spans="1:27" x14ac:dyDescent="0.35">
      <c r="A12644">
        <v>1011243</v>
      </c>
      <c r="B12644">
        <v>11884</v>
      </c>
      <c r="C12644">
        <v>1</v>
      </c>
      <c r="D12644" s="17" t="s">
        <v>17166</v>
      </c>
      <c r="E12644" s="17"/>
      <c r="F12644" s="17" t="s">
        <v>17246</v>
      </c>
      <c r="G12644" s="17"/>
      <c r="H12644" s="17" t="s">
        <v>23950</v>
      </c>
      <c r="I12644" s="17" t="s">
        <v>26604</v>
      </c>
      <c r="J12644" s="17" t="s">
        <v>47099</v>
      </c>
      <c r="K12644" s="17"/>
      <c r="L12644" s="17" t="s">
        <v>47100</v>
      </c>
      <c r="M12644" s="17"/>
      <c r="N12644" s="17" t="s">
        <v>27392</v>
      </c>
      <c r="O12644" s="17"/>
      <c r="P12644" s="17" t="s">
        <v>27418</v>
      </c>
      <c r="Q12644" s="17"/>
      <c r="R12644" s="25" t="str">
        <f>HYPERLINK("https://ictv.global/taxonomy/taxondetails?taxnode_id=202306373","Orthobunyavirus achiotei")</f>
        <v>Orthobunyavirus achiotei</v>
      </c>
      <c r="S12644" s="18" t="s">
        <v>30</v>
      </c>
      <c r="T12644" s="18" t="s">
        <v>27426</v>
      </c>
      <c r="U12644" s="18" t="s">
        <v>27427</v>
      </c>
      <c r="V12644" s="18" t="s">
        <v>27428</v>
      </c>
      <c r="W12644" s="18" t="s">
        <v>50596</v>
      </c>
      <c r="X12644" s="18" t="s">
        <v>42</v>
      </c>
      <c r="Y12644" s="18" t="s">
        <v>23964</v>
      </c>
      <c r="Z12644" s="18" t="s">
        <v>12289</v>
      </c>
      <c r="AA12644" s="21" t="str">
        <f>HYPERLINK("https://www.ncbi.nlm.nih.gov/nuccore/KR149249,KR149248,KR149247","NCBI Nucleotide")</f>
        <v>NCBI Nucleotide</v>
      </c>
    </row>
    <row r="12645" spans="1:27" x14ac:dyDescent="0.35">
      <c r="A12645">
        <v>1012954</v>
      </c>
      <c r="B12645">
        <v>11884</v>
      </c>
      <c r="C12645">
        <v>2</v>
      </c>
      <c r="D12645" s="17" t="s">
        <v>17166</v>
      </c>
      <c r="E12645" s="17"/>
      <c r="F12645" s="17" t="s">
        <v>17246</v>
      </c>
      <c r="G12645" s="17"/>
      <c r="H12645" s="17" t="s">
        <v>23950</v>
      </c>
      <c r="I12645" s="17" t="s">
        <v>26604</v>
      </c>
      <c r="J12645" s="17" t="s">
        <v>47099</v>
      </c>
      <c r="K12645" s="17"/>
      <c r="L12645" s="17" t="s">
        <v>47100</v>
      </c>
      <c r="M12645" s="17"/>
      <c r="N12645" s="17" t="s">
        <v>27392</v>
      </c>
      <c r="O12645" s="17"/>
      <c r="P12645" s="17" t="s">
        <v>27418</v>
      </c>
      <c r="Q12645" s="17"/>
      <c r="R12645" s="25" t="str">
        <f>HYPERLINK("https://ictv.global/taxonomy/taxondetails?taxnode_id=202306373","Orthobunyavirus achiotei")</f>
        <v>Orthobunyavirus achiotei</v>
      </c>
      <c r="S12645" s="18" t="s">
        <v>8141</v>
      </c>
      <c r="T12645" s="18" t="s">
        <v>27429</v>
      </c>
      <c r="U12645" s="18" t="s">
        <v>27430</v>
      </c>
      <c r="V12645" s="18" t="s">
        <v>27431</v>
      </c>
      <c r="W12645" s="18" t="s">
        <v>49479</v>
      </c>
      <c r="X12645" s="18" t="s">
        <v>42</v>
      </c>
      <c r="Y12645" s="18" t="s">
        <v>23964</v>
      </c>
      <c r="Z12645" s="18" t="s">
        <v>12289</v>
      </c>
      <c r="AA12645" s="21" t="str">
        <f>HYPERLINK("https://www.ncbi.nlm.nih.gov/nuccore/KY555808,KY555809,KY555810","NCBI Nucleotide")</f>
        <v>NCBI Nucleotide</v>
      </c>
    </row>
    <row r="12646" spans="1:27" x14ac:dyDescent="0.35">
      <c r="A12646">
        <v>1011244</v>
      </c>
      <c r="B12646">
        <v>11885</v>
      </c>
      <c r="C12646">
        <v>1</v>
      </c>
      <c r="D12646" s="17" t="s">
        <v>17166</v>
      </c>
      <c r="E12646" s="17"/>
      <c r="F12646" s="17" t="s">
        <v>17246</v>
      </c>
      <c r="G12646" s="17"/>
      <c r="H12646" s="17" t="s">
        <v>23950</v>
      </c>
      <c r="I12646" s="17" t="s">
        <v>26604</v>
      </c>
      <c r="J12646" s="17" t="s">
        <v>47099</v>
      </c>
      <c r="K12646" s="17"/>
      <c r="L12646" s="17" t="s">
        <v>47100</v>
      </c>
      <c r="M12646" s="17"/>
      <c r="N12646" s="17" t="s">
        <v>27392</v>
      </c>
      <c r="O12646" s="17"/>
      <c r="P12646" s="17" t="s">
        <v>27418</v>
      </c>
      <c r="Q12646" s="17"/>
      <c r="R12646" s="25" t="str">
        <f>HYPERLINK("https://ictv.global/taxonomy/taxondetails?taxnode_id=202306382","Orthobunyavirus ainoense")</f>
        <v>Orthobunyavirus ainoense</v>
      </c>
      <c r="S12646" s="18" t="s">
        <v>30</v>
      </c>
      <c r="T12646" s="18" t="s">
        <v>27432</v>
      </c>
      <c r="U12646" s="18" t="s">
        <v>27433</v>
      </c>
      <c r="V12646" s="18" t="s">
        <v>27434</v>
      </c>
      <c r="W12646" s="18" t="s">
        <v>27435</v>
      </c>
      <c r="X12646" s="18" t="s">
        <v>42</v>
      </c>
      <c r="Y12646" s="18" t="s">
        <v>23964</v>
      </c>
      <c r="Z12646" s="18" t="s">
        <v>12289</v>
      </c>
      <c r="AA12646" s="21" t="str">
        <f>HYPERLINK("https://www.ncbi.nlm.nih.gov/nuccore/HE795087,HE795088,HE795089","NCBI Nucleotide")</f>
        <v>NCBI Nucleotide</v>
      </c>
    </row>
    <row r="12647" spans="1:27" x14ac:dyDescent="0.35">
      <c r="A12647">
        <v>1011245</v>
      </c>
      <c r="B12647">
        <v>11886</v>
      </c>
      <c r="C12647">
        <v>1</v>
      </c>
      <c r="D12647" s="17" t="s">
        <v>17166</v>
      </c>
      <c r="E12647" s="17"/>
      <c r="F12647" s="17" t="s">
        <v>17246</v>
      </c>
      <c r="G12647" s="17"/>
      <c r="H12647" s="17" t="s">
        <v>23950</v>
      </c>
      <c r="I12647" s="17" t="s">
        <v>26604</v>
      </c>
      <c r="J12647" s="17" t="s">
        <v>47099</v>
      </c>
      <c r="K12647" s="17"/>
      <c r="L12647" s="17" t="s">
        <v>47100</v>
      </c>
      <c r="M12647" s="17"/>
      <c r="N12647" s="17" t="s">
        <v>27392</v>
      </c>
      <c r="O12647" s="17"/>
      <c r="P12647" s="17" t="s">
        <v>27418</v>
      </c>
      <c r="Q12647" s="17"/>
      <c r="R12647" s="25" t="str">
        <f>HYPERLINK("https://ictv.global/taxonomy/taxondetails?taxnode_id=202300090","Orthobunyavirus akabaneense")</f>
        <v>Orthobunyavirus akabaneense</v>
      </c>
      <c r="S12647" s="18" t="s">
        <v>30</v>
      </c>
      <c r="T12647" s="18" t="s">
        <v>27436</v>
      </c>
      <c r="U12647" s="18" t="s">
        <v>27437</v>
      </c>
      <c r="V12647" s="18" t="s">
        <v>27438</v>
      </c>
      <c r="W12647" s="18" t="s">
        <v>50597</v>
      </c>
      <c r="X12647" s="18" t="s">
        <v>42</v>
      </c>
      <c r="Y12647" s="18" t="s">
        <v>23964</v>
      </c>
      <c r="Z12647" s="18" t="s">
        <v>12289</v>
      </c>
      <c r="AA12647" s="21" t="str">
        <f>HYPERLINK("https://www.ncbi.nlm.nih.gov/nuccore/AB190458,AB100604,AB000851","NCBI Nucleotide")</f>
        <v>NCBI Nucleotide</v>
      </c>
    </row>
    <row r="12648" spans="1:27" x14ac:dyDescent="0.35">
      <c r="A12648">
        <v>1012955</v>
      </c>
      <c r="B12648">
        <v>11886</v>
      </c>
      <c r="C12648">
        <v>2</v>
      </c>
      <c r="D12648" s="17" t="s">
        <v>17166</v>
      </c>
      <c r="E12648" s="17"/>
      <c r="F12648" s="17" t="s">
        <v>17246</v>
      </c>
      <c r="G12648" s="17"/>
      <c r="H12648" s="17" t="s">
        <v>23950</v>
      </c>
      <c r="I12648" s="17" t="s">
        <v>26604</v>
      </c>
      <c r="J12648" s="17" t="s">
        <v>47099</v>
      </c>
      <c r="K12648" s="17"/>
      <c r="L12648" s="17" t="s">
        <v>47100</v>
      </c>
      <c r="M12648" s="17"/>
      <c r="N12648" s="17" t="s">
        <v>27392</v>
      </c>
      <c r="O12648" s="17"/>
      <c r="P12648" s="17" t="s">
        <v>27418</v>
      </c>
      <c r="Q12648" s="17"/>
      <c r="R12648" s="25" t="str">
        <f>HYPERLINK("https://ictv.global/taxonomy/taxondetails?taxnode_id=202300090","Orthobunyavirus akabaneense")</f>
        <v>Orthobunyavirus akabaneense</v>
      </c>
      <c r="S12648" s="18" t="s">
        <v>8141</v>
      </c>
      <c r="T12648" s="18" t="s">
        <v>27439</v>
      </c>
      <c r="U12648" s="18" t="s">
        <v>27440</v>
      </c>
      <c r="V12648" s="18" t="s">
        <v>27441</v>
      </c>
      <c r="W12648" s="18" t="s">
        <v>49480</v>
      </c>
      <c r="X12648" s="18" t="s">
        <v>42</v>
      </c>
      <c r="Y12648" s="18" t="s">
        <v>23964</v>
      </c>
      <c r="Z12648" s="18" t="s">
        <v>12289</v>
      </c>
      <c r="AA12648" s="21" t="str">
        <f>HYPERLINK("https://www.ncbi.nlm.nih.gov/nuccore/MH484339,MH484340,MH484341","NCBI Nucleotide")</f>
        <v>NCBI Nucleotide</v>
      </c>
    </row>
    <row r="12649" spans="1:27" x14ac:dyDescent="0.35">
      <c r="A12649">
        <v>1011246</v>
      </c>
      <c r="B12649">
        <v>11887</v>
      </c>
      <c r="C12649">
        <v>1</v>
      </c>
      <c r="D12649" s="17" t="s">
        <v>17166</v>
      </c>
      <c r="E12649" s="17"/>
      <c r="F12649" s="17" t="s">
        <v>17246</v>
      </c>
      <c r="G12649" s="17"/>
      <c r="H12649" s="17" t="s">
        <v>23950</v>
      </c>
      <c r="I12649" s="17" t="s">
        <v>26604</v>
      </c>
      <c r="J12649" s="17" t="s">
        <v>47099</v>
      </c>
      <c r="K12649" s="17"/>
      <c r="L12649" s="17" t="s">
        <v>47100</v>
      </c>
      <c r="M12649" s="17"/>
      <c r="N12649" s="17" t="s">
        <v>27392</v>
      </c>
      <c r="O12649" s="17"/>
      <c r="P12649" s="17" t="s">
        <v>27418</v>
      </c>
      <c r="Q12649" s="17"/>
      <c r="R12649" s="25" t="str">
        <f>HYPERLINK("https://ictv.global/taxonomy/taxondetails?taxnode_id=202306354","Orthobunyavirus anadyrense")</f>
        <v>Orthobunyavirus anadyrense</v>
      </c>
      <c r="S12649" s="18" t="s">
        <v>30</v>
      </c>
      <c r="T12649" s="18" t="s">
        <v>51013</v>
      </c>
      <c r="U12649" s="18" t="s">
        <v>27442</v>
      </c>
      <c r="V12649" s="18" t="s">
        <v>27443</v>
      </c>
      <c r="W12649" s="18" t="s">
        <v>50598</v>
      </c>
      <c r="X12649" s="18" t="s">
        <v>42</v>
      </c>
      <c r="Y12649" s="18" t="s">
        <v>23964</v>
      </c>
      <c r="Z12649" s="18" t="s">
        <v>10790</v>
      </c>
      <c r="AA12649" s="21" t="str">
        <f>HYPERLINK("https://www.ncbi.nlm.nih.gov/nuccore/KU159766,KU159765,KU159764","NCBI Nucleotide")</f>
        <v>NCBI Nucleotide</v>
      </c>
    </row>
    <row r="12650" spans="1:27" x14ac:dyDescent="0.35">
      <c r="A12650">
        <v>1011247</v>
      </c>
      <c r="B12650">
        <v>11888</v>
      </c>
      <c r="C12650">
        <v>1</v>
      </c>
      <c r="D12650" s="17" t="s">
        <v>17166</v>
      </c>
      <c r="E12650" s="17"/>
      <c r="F12650" s="17" t="s">
        <v>17246</v>
      </c>
      <c r="G12650" s="17"/>
      <c r="H12650" s="17" t="s">
        <v>23950</v>
      </c>
      <c r="I12650" s="17" t="s">
        <v>26604</v>
      </c>
      <c r="J12650" s="17" t="s">
        <v>47099</v>
      </c>
      <c r="K12650" s="17"/>
      <c r="L12650" s="17" t="s">
        <v>47100</v>
      </c>
      <c r="M12650" s="17"/>
      <c r="N12650" s="17" t="s">
        <v>27392</v>
      </c>
      <c r="O12650" s="17"/>
      <c r="P12650" s="17" t="s">
        <v>27418</v>
      </c>
      <c r="Q12650" s="17"/>
      <c r="R12650" s="25" t="str">
        <f>HYPERLINK("https://ictv.global/taxonomy/taxondetails?taxnode_id=202309316","Orthobunyavirus ananindeuaense")</f>
        <v>Orthobunyavirus ananindeuaense</v>
      </c>
      <c r="S12650" s="18" t="s">
        <v>30</v>
      </c>
      <c r="T12650" s="18" t="s">
        <v>27444</v>
      </c>
      <c r="U12650" s="18" t="s">
        <v>27445</v>
      </c>
      <c r="V12650" s="18" t="s">
        <v>27446</v>
      </c>
      <c r="W12650" s="18" t="s">
        <v>27447</v>
      </c>
      <c r="X12650" s="18" t="s">
        <v>42</v>
      </c>
      <c r="Y12650" s="18" t="s">
        <v>23964</v>
      </c>
      <c r="Z12650" s="18" t="s">
        <v>166</v>
      </c>
      <c r="AA12650" s="21" t="str">
        <f>HYPERLINK("https://www.ncbi.nlm.nih.gov/nuccore/MG821226,MG821227,MG821228","NCBI Nucleotide")</f>
        <v>NCBI Nucleotide</v>
      </c>
    </row>
    <row r="12651" spans="1:27" x14ac:dyDescent="0.35">
      <c r="A12651">
        <v>1011248</v>
      </c>
      <c r="B12651">
        <v>11889</v>
      </c>
      <c r="C12651">
        <v>1</v>
      </c>
      <c r="D12651" s="17" t="s">
        <v>17166</v>
      </c>
      <c r="E12651" s="17"/>
      <c r="F12651" s="17" t="s">
        <v>17246</v>
      </c>
      <c r="G12651" s="17"/>
      <c r="H12651" s="17" t="s">
        <v>23950</v>
      </c>
      <c r="I12651" s="17" t="s">
        <v>26604</v>
      </c>
      <c r="J12651" s="17" t="s">
        <v>47099</v>
      </c>
      <c r="K12651" s="17"/>
      <c r="L12651" s="17" t="s">
        <v>47100</v>
      </c>
      <c r="M12651" s="17"/>
      <c r="N12651" s="17" t="s">
        <v>27392</v>
      </c>
      <c r="O12651" s="17"/>
      <c r="P12651" s="17" t="s">
        <v>27418</v>
      </c>
      <c r="Q12651" s="17"/>
      <c r="R12651" s="25" t="str">
        <f>HYPERLINK("https://ictv.global/taxonomy/taxondetails?taxnode_id=202306369","Orthobunyavirus angeloense")</f>
        <v>Orthobunyavirus angeloense</v>
      </c>
      <c r="S12651" s="18" t="s">
        <v>30</v>
      </c>
      <c r="T12651" s="18" t="s">
        <v>27448</v>
      </c>
      <c r="U12651" s="18" t="s">
        <v>27449</v>
      </c>
      <c r="V12651" s="18">
        <v>20230</v>
      </c>
      <c r="W12651" s="18" t="s">
        <v>27450</v>
      </c>
      <c r="X12651" s="18" t="s">
        <v>42</v>
      </c>
      <c r="Y12651" s="18" t="s">
        <v>23964</v>
      </c>
      <c r="Z12651" s="18" t="s">
        <v>12289</v>
      </c>
      <c r="AA12651" s="21" t="str">
        <f>HYPERLINK("https://www.ncbi.nlm.nih.gov/nuccore/KX817330,KX817331,KX817332","NCBI Nucleotide")</f>
        <v>NCBI Nucleotide</v>
      </c>
    </row>
    <row r="12652" spans="1:27" x14ac:dyDescent="0.35">
      <c r="A12652">
        <v>1011249</v>
      </c>
      <c r="B12652">
        <v>11890</v>
      </c>
      <c r="C12652">
        <v>1</v>
      </c>
      <c r="D12652" s="17" t="s">
        <v>17166</v>
      </c>
      <c r="E12652" s="17"/>
      <c r="F12652" s="17" t="s">
        <v>17246</v>
      </c>
      <c r="G12652" s="17"/>
      <c r="H12652" s="17" t="s">
        <v>23950</v>
      </c>
      <c r="I12652" s="17" t="s">
        <v>26604</v>
      </c>
      <c r="J12652" s="17" t="s">
        <v>47099</v>
      </c>
      <c r="K12652" s="17"/>
      <c r="L12652" s="17" t="s">
        <v>47100</v>
      </c>
      <c r="M12652" s="17"/>
      <c r="N12652" s="17" t="s">
        <v>27392</v>
      </c>
      <c r="O12652" s="17"/>
      <c r="P12652" s="17" t="s">
        <v>27418</v>
      </c>
      <c r="Q12652" s="17"/>
      <c r="R12652" s="25" t="str">
        <f>HYPERLINK("https://ictv.global/taxonomy/taxondetails?taxnode_id=202306383","Orthobunyavirus anhembiense")</f>
        <v>Orthobunyavirus anhembiense</v>
      </c>
      <c r="S12652" s="18" t="s">
        <v>30</v>
      </c>
      <c r="T12652" s="18" t="s">
        <v>27451</v>
      </c>
      <c r="U12652" s="18" t="s">
        <v>27452</v>
      </c>
      <c r="V12652" s="18" t="s">
        <v>27453</v>
      </c>
      <c r="W12652" s="18" t="s">
        <v>50599</v>
      </c>
      <c r="X12652" s="18" t="s">
        <v>42</v>
      </c>
      <c r="Y12652" s="18" t="s">
        <v>23964</v>
      </c>
      <c r="Z12652" s="18" t="s">
        <v>12289</v>
      </c>
      <c r="AA12652" s="21" t="str">
        <f>HYPERLINK("https://www.ncbi.nlm.nih.gov/nuccore/JN572062,JN572063,JN572064","NCBI Nucleotide")</f>
        <v>NCBI Nucleotide</v>
      </c>
    </row>
    <row r="12653" spans="1:27" x14ac:dyDescent="0.35">
      <c r="A12653">
        <v>1011250</v>
      </c>
      <c r="B12653">
        <v>11891</v>
      </c>
      <c r="C12653">
        <v>1</v>
      </c>
      <c r="D12653" s="17" t="s">
        <v>17166</v>
      </c>
      <c r="E12653" s="17"/>
      <c r="F12653" s="17" t="s">
        <v>17246</v>
      </c>
      <c r="G12653" s="17"/>
      <c r="H12653" s="17" t="s">
        <v>23950</v>
      </c>
      <c r="I12653" s="17" t="s">
        <v>26604</v>
      </c>
      <c r="J12653" s="17" t="s">
        <v>47099</v>
      </c>
      <c r="K12653" s="17"/>
      <c r="L12653" s="17" t="s">
        <v>47100</v>
      </c>
      <c r="M12653" s="17"/>
      <c r="N12653" s="17" t="s">
        <v>27392</v>
      </c>
      <c r="O12653" s="17"/>
      <c r="P12653" s="17" t="s">
        <v>27418</v>
      </c>
      <c r="Q12653" s="17"/>
      <c r="R12653" s="25" t="str">
        <f>HYPERLINK("https://ictv.global/taxonomy/taxondetails?taxnode_id=202309317","Orthobunyavirus apeuense")</f>
        <v>Orthobunyavirus apeuense</v>
      </c>
      <c r="S12653" s="18" t="s">
        <v>30</v>
      </c>
      <c r="T12653" s="18" t="s">
        <v>27454</v>
      </c>
      <c r="U12653" s="18" t="s">
        <v>27455</v>
      </c>
      <c r="V12653" s="18" t="s">
        <v>27456</v>
      </c>
      <c r="W12653" s="18" t="s">
        <v>27457</v>
      </c>
      <c r="X12653" s="18" t="s">
        <v>42</v>
      </c>
      <c r="Y12653" s="18" t="s">
        <v>23964</v>
      </c>
      <c r="Z12653" s="18" t="s">
        <v>166</v>
      </c>
      <c r="AA12653" s="21" t="str">
        <f>HYPERLINK("https://www.ncbi.nlm.nih.gov/nuccore/MG029269,MG029270,MG029271","NCBI Nucleotide")</f>
        <v>NCBI Nucleotide</v>
      </c>
    </row>
    <row r="12654" spans="1:27" x14ac:dyDescent="0.35">
      <c r="A12654">
        <v>1011251</v>
      </c>
      <c r="B12654">
        <v>11892</v>
      </c>
      <c r="C12654">
        <v>1</v>
      </c>
      <c r="D12654" s="17" t="s">
        <v>17166</v>
      </c>
      <c r="E12654" s="17"/>
      <c r="F12654" s="17" t="s">
        <v>17246</v>
      </c>
      <c r="G12654" s="17"/>
      <c r="H12654" s="17" t="s">
        <v>23950</v>
      </c>
      <c r="I12654" s="17" t="s">
        <v>26604</v>
      </c>
      <c r="J12654" s="17" t="s">
        <v>47099</v>
      </c>
      <c r="K12654" s="17"/>
      <c r="L12654" s="17" t="s">
        <v>47100</v>
      </c>
      <c r="M12654" s="17"/>
      <c r="N12654" s="17" t="s">
        <v>27392</v>
      </c>
      <c r="O12654" s="17"/>
      <c r="P12654" s="17" t="s">
        <v>27418</v>
      </c>
      <c r="Q12654" s="17"/>
      <c r="R12654" s="25" t="str">
        <f>HYPERLINK("https://ictv.global/taxonomy/taxondetails?taxnode_id=202314235","Orthobunyavirus baakalense")</f>
        <v>Orthobunyavirus baakalense</v>
      </c>
      <c r="S12654" s="18" t="s">
        <v>30</v>
      </c>
      <c r="T12654" s="18" t="s">
        <v>27458</v>
      </c>
      <c r="U12654" s="18" t="s">
        <v>27459</v>
      </c>
      <c r="V12654" s="18" t="s">
        <v>27460</v>
      </c>
      <c r="W12654" s="18" t="s">
        <v>27461</v>
      </c>
      <c r="X12654" s="18" t="s">
        <v>35</v>
      </c>
      <c r="Y12654" s="18" t="s">
        <v>23964</v>
      </c>
      <c r="Z12654" s="18" t="s">
        <v>10790</v>
      </c>
      <c r="AA12654" s="21" t="str">
        <f>HYPERLINK("https://www.ncbi.nlm.nih.gov/nuccore/MN092352,MN092353,MN092354","NCBI Nucleotide")</f>
        <v>NCBI Nucleotide</v>
      </c>
    </row>
    <row r="12655" spans="1:27" x14ac:dyDescent="0.35">
      <c r="A12655">
        <v>1011252</v>
      </c>
      <c r="B12655">
        <v>11893</v>
      </c>
      <c r="C12655">
        <v>1</v>
      </c>
      <c r="D12655" s="17" t="s">
        <v>17166</v>
      </c>
      <c r="E12655" s="17"/>
      <c r="F12655" s="17" t="s">
        <v>17246</v>
      </c>
      <c r="G12655" s="17"/>
      <c r="H12655" s="17" t="s">
        <v>23950</v>
      </c>
      <c r="I12655" s="17" t="s">
        <v>26604</v>
      </c>
      <c r="J12655" s="17" t="s">
        <v>47099</v>
      </c>
      <c r="K12655" s="17"/>
      <c r="L12655" s="17" t="s">
        <v>47100</v>
      </c>
      <c r="M12655" s="17"/>
      <c r="N12655" s="17" t="s">
        <v>27392</v>
      </c>
      <c r="O12655" s="17"/>
      <c r="P12655" s="17" t="s">
        <v>27418</v>
      </c>
      <c r="Q12655" s="17"/>
      <c r="R12655" s="25" t="str">
        <f>HYPERLINK("https://ictv.global/taxonomy/taxondetails?taxnode_id=202300094","Orthobunyavirus bakauense")</f>
        <v>Orthobunyavirus bakauense</v>
      </c>
      <c r="S12655" s="18" t="s">
        <v>30</v>
      </c>
      <c r="T12655" s="18" t="s">
        <v>27462</v>
      </c>
      <c r="U12655" s="18" t="s">
        <v>27463</v>
      </c>
      <c r="V12655" s="18"/>
      <c r="W12655" s="18" t="s">
        <v>50800</v>
      </c>
      <c r="X12655" s="18" t="s">
        <v>42</v>
      </c>
      <c r="Y12655" s="18" t="s">
        <v>23964</v>
      </c>
      <c r="Z12655" s="18" t="s">
        <v>12289</v>
      </c>
      <c r="AA12655" s="21" t="str">
        <f>HYPERLINK("https://www.ncbi.nlm.nih.gov/nuccore/MK896635,MK896634,MK896633","NCBI Nucleotide")</f>
        <v>NCBI Nucleotide</v>
      </c>
    </row>
    <row r="12656" spans="1:27" x14ac:dyDescent="0.35">
      <c r="A12656">
        <v>1012956</v>
      </c>
      <c r="B12656">
        <v>11893</v>
      </c>
      <c r="C12656">
        <v>2</v>
      </c>
      <c r="D12656" s="17" t="s">
        <v>17166</v>
      </c>
      <c r="E12656" s="17"/>
      <c r="F12656" s="17" t="s">
        <v>17246</v>
      </c>
      <c r="G12656" s="17"/>
      <c r="H12656" s="17" t="s">
        <v>23950</v>
      </c>
      <c r="I12656" s="17" t="s">
        <v>26604</v>
      </c>
      <c r="J12656" s="17" t="s">
        <v>47099</v>
      </c>
      <c r="K12656" s="17"/>
      <c r="L12656" s="17" t="s">
        <v>47100</v>
      </c>
      <c r="M12656" s="17"/>
      <c r="N12656" s="17" t="s">
        <v>27392</v>
      </c>
      <c r="O12656" s="17"/>
      <c r="P12656" s="17" t="s">
        <v>27418</v>
      </c>
      <c r="Q12656" s="17"/>
      <c r="R12656" s="25" t="str">
        <f>HYPERLINK("https://ictv.global/taxonomy/taxondetails?taxnode_id=202300094","Orthobunyavirus bakauense")</f>
        <v>Orthobunyavirus bakauense</v>
      </c>
      <c r="S12656" s="18" t="s">
        <v>8141</v>
      </c>
      <c r="T12656" s="18" t="s">
        <v>27464</v>
      </c>
      <c r="U12656" s="18" t="s">
        <v>19022</v>
      </c>
      <c r="V12656" s="18"/>
      <c r="W12656" s="18"/>
      <c r="X12656" s="18" t="s">
        <v>3311</v>
      </c>
      <c r="Y12656" s="18" t="s">
        <v>23964</v>
      </c>
      <c r="Z12656" s="18" t="s">
        <v>12289</v>
      </c>
      <c r="AA12656" s="21"/>
    </row>
    <row r="12657" spans="1:27" x14ac:dyDescent="0.35">
      <c r="A12657">
        <v>1011253</v>
      </c>
      <c r="B12657">
        <v>11894</v>
      </c>
      <c r="C12657">
        <v>1</v>
      </c>
      <c r="D12657" s="17" t="s">
        <v>17166</v>
      </c>
      <c r="E12657" s="17"/>
      <c r="F12657" s="17" t="s">
        <v>17246</v>
      </c>
      <c r="G12657" s="17"/>
      <c r="H12657" s="17" t="s">
        <v>23950</v>
      </c>
      <c r="I12657" s="17" t="s">
        <v>26604</v>
      </c>
      <c r="J12657" s="17" t="s">
        <v>47099</v>
      </c>
      <c r="K12657" s="17"/>
      <c r="L12657" s="17" t="s">
        <v>47100</v>
      </c>
      <c r="M12657" s="17"/>
      <c r="N12657" s="17" t="s">
        <v>27392</v>
      </c>
      <c r="O12657" s="17"/>
      <c r="P12657" s="17" t="s">
        <v>27418</v>
      </c>
      <c r="Q12657" s="17"/>
      <c r="R12657" s="25" t="str">
        <f>HYPERLINK("https://ictv.global/taxonomy/taxondetails?taxnode_id=202314236","Orthobunyavirus balagoduense")</f>
        <v>Orthobunyavirus balagoduense</v>
      </c>
      <c r="S12657" s="18" t="s">
        <v>30</v>
      </c>
      <c r="T12657" s="18" t="s">
        <v>27465</v>
      </c>
      <c r="U12657" s="18" t="s">
        <v>27466</v>
      </c>
      <c r="V12657" s="18" t="s">
        <v>27467</v>
      </c>
      <c r="W12657" s="18" t="s">
        <v>27468</v>
      </c>
      <c r="X12657" s="18" t="s">
        <v>35</v>
      </c>
      <c r="Y12657" s="18" t="s">
        <v>23964</v>
      </c>
      <c r="Z12657" s="18" t="s">
        <v>10790</v>
      </c>
      <c r="AA12657" s="21" t="str">
        <f>HYPERLINK("https://www.ncbi.nlm.nih.gov/nuccore/MH507154,MH507155,MH507156","NCBI Nucleotide")</f>
        <v>NCBI Nucleotide</v>
      </c>
    </row>
    <row r="12658" spans="1:27" x14ac:dyDescent="0.35">
      <c r="A12658">
        <v>1027699</v>
      </c>
      <c r="B12658">
        <v>11895</v>
      </c>
      <c r="C12658">
        <v>1</v>
      </c>
      <c r="D12658" s="17" t="s">
        <v>17166</v>
      </c>
      <c r="E12658" s="17"/>
      <c r="F12658" s="17" t="s">
        <v>17246</v>
      </c>
      <c r="G12658" s="17"/>
      <c r="H12658" s="17" t="s">
        <v>23950</v>
      </c>
      <c r="I12658" s="17" t="s">
        <v>26604</v>
      </c>
      <c r="J12658" s="17" t="s">
        <v>47099</v>
      </c>
      <c r="K12658" s="17"/>
      <c r="L12658" s="17" t="s">
        <v>47100</v>
      </c>
      <c r="M12658" s="17"/>
      <c r="N12658" s="17" t="s">
        <v>27392</v>
      </c>
      <c r="O12658" s="17"/>
      <c r="P12658" s="17" t="s">
        <v>27418</v>
      </c>
      <c r="Q12658" s="17"/>
      <c r="R12658" s="25" t="str">
        <f>HYPERLINK("https://ictv.global/taxonomy/taxondetails?taxnode_id=202319068","Orthobunyavirus barritaense")</f>
        <v>Orthobunyavirus barritaense</v>
      </c>
      <c r="S12658" s="18" t="s">
        <v>30</v>
      </c>
      <c r="T12658" s="18" t="s">
        <v>47157</v>
      </c>
      <c r="U12658" s="18" t="s">
        <v>26674</v>
      </c>
      <c r="V12658" s="18" t="s">
        <v>47158</v>
      </c>
      <c r="W12658" s="18" t="s">
        <v>47159</v>
      </c>
      <c r="X12658" s="18" t="s">
        <v>42</v>
      </c>
      <c r="Y12658" s="18" t="s">
        <v>23964</v>
      </c>
      <c r="Z12658" s="18" t="s">
        <v>12289</v>
      </c>
      <c r="AA12658" s="21" t="str">
        <f>HYPERLINK("https://www.ncbi.nlm.nih.gov/nuccore/OP263038,OP263037,OP263036","NCBI Nucleotide")</f>
        <v>NCBI Nucleotide</v>
      </c>
    </row>
    <row r="12659" spans="1:27" x14ac:dyDescent="0.35">
      <c r="A12659">
        <v>1011254</v>
      </c>
      <c r="B12659">
        <v>11896</v>
      </c>
      <c r="C12659">
        <v>1</v>
      </c>
      <c r="D12659" s="17" t="s">
        <v>17166</v>
      </c>
      <c r="E12659" s="17"/>
      <c r="F12659" s="17" t="s">
        <v>17246</v>
      </c>
      <c r="G12659" s="17"/>
      <c r="H12659" s="17" t="s">
        <v>23950</v>
      </c>
      <c r="I12659" s="17" t="s">
        <v>26604</v>
      </c>
      <c r="J12659" s="17" t="s">
        <v>47099</v>
      </c>
      <c r="K12659" s="17"/>
      <c r="L12659" s="17" t="s">
        <v>47100</v>
      </c>
      <c r="M12659" s="17"/>
      <c r="N12659" s="17" t="s">
        <v>27392</v>
      </c>
      <c r="O12659" s="17"/>
      <c r="P12659" s="17" t="s">
        <v>27418</v>
      </c>
      <c r="Q12659" s="17"/>
      <c r="R12659" s="25" t="str">
        <f>HYPERLINK("https://ictv.global/taxonomy/taxondetails?taxnode_id=202306355","Orthobunyavirus bataiense")</f>
        <v>Orthobunyavirus bataiense</v>
      </c>
      <c r="S12659" s="18" t="s">
        <v>30</v>
      </c>
      <c r="T12659" s="18" t="s">
        <v>27469</v>
      </c>
      <c r="U12659" s="18" t="s">
        <v>27470</v>
      </c>
      <c r="V12659" s="18" t="s">
        <v>27471</v>
      </c>
      <c r="W12659" s="18" t="s">
        <v>50600</v>
      </c>
      <c r="X12659" s="18" t="s">
        <v>42</v>
      </c>
      <c r="Y12659" s="18" t="s">
        <v>23964</v>
      </c>
      <c r="Z12659" s="18" t="s">
        <v>12289</v>
      </c>
      <c r="AA12659" s="21" t="str">
        <f>HYPERLINK("https://www.ncbi.nlm.nih.gov/nuccore/JX846606,JX846605,JX846604","NCBI Nucleotide")</f>
        <v>NCBI Nucleotide</v>
      </c>
    </row>
    <row r="12660" spans="1:27" x14ac:dyDescent="0.35">
      <c r="A12660">
        <v>1011255</v>
      </c>
      <c r="B12660">
        <v>11897</v>
      </c>
      <c r="C12660">
        <v>1</v>
      </c>
      <c r="D12660" s="17" t="s">
        <v>17166</v>
      </c>
      <c r="E12660" s="17"/>
      <c r="F12660" s="17" t="s">
        <v>17246</v>
      </c>
      <c r="G12660" s="17"/>
      <c r="H12660" s="17" t="s">
        <v>23950</v>
      </c>
      <c r="I12660" s="17" t="s">
        <v>26604</v>
      </c>
      <c r="J12660" s="17" t="s">
        <v>47099</v>
      </c>
      <c r="K12660" s="17"/>
      <c r="L12660" s="17" t="s">
        <v>47100</v>
      </c>
      <c r="M12660" s="17"/>
      <c r="N12660" s="17" t="s">
        <v>27392</v>
      </c>
      <c r="O12660" s="17"/>
      <c r="P12660" s="17" t="s">
        <v>27418</v>
      </c>
      <c r="Q12660" s="17"/>
      <c r="R12660" s="25" t="str">
        <f>HYPERLINK("https://ictv.global/taxonomy/taxondetails?taxnode_id=202300095","Orthobunyavirus batamaense")</f>
        <v>Orthobunyavirus batamaense</v>
      </c>
      <c r="S12660" s="18" t="s">
        <v>30</v>
      </c>
      <c r="T12660" s="18" t="s">
        <v>27472</v>
      </c>
      <c r="U12660" s="18" t="s">
        <v>27473</v>
      </c>
      <c r="V12660" s="18" t="s">
        <v>27474</v>
      </c>
      <c r="W12660" s="18" t="s">
        <v>50801</v>
      </c>
      <c r="X12660" s="18" t="s">
        <v>154</v>
      </c>
      <c r="Y12660" s="18" t="s">
        <v>23964</v>
      </c>
      <c r="Z12660" s="18" t="s">
        <v>12289</v>
      </c>
      <c r="AA12660" s="21" t="str">
        <f>HYPERLINK("https://www.ncbi.nlm.nih.gov/nuccore/MK896626,MK896625,MK896624","NCBI Nucleotide")</f>
        <v>NCBI Nucleotide</v>
      </c>
    </row>
    <row r="12661" spans="1:27" x14ac:dyDescent="0.35">
      <c r="A12661">
        <v>1011256</v>
      </c>
      <c r="B12661">
        <v>11898</v>
      </c>
      <c r="C12661">
        <v>1</v>
      </c>
      <c r="D12661" s="17" t="s">
        <v>17166</v>
      </c>
      <c r="E12661" s="17"/>
      <c r="F12661" s="17" t="s">
        <v>17246</v>
      </c>
      <c r="G12661" s="17"/>
      <c r="H12661" s="17" t="s">
        <v>23950</v>
      </c>
      <c r="I12661" s="17" t="s">
        <v>26604</v>
      </c>
      <c r="J12661" s="17" t="s">
        <v>47099</v>
      </c>
      <c r="K12661" s="17"/>
      <c r="L12661" s="17" t="s">
        <v>47100</v>
      </c>
      <c r="M12661" s="17"/>
      <c r="N12661" s="17" t="s">
        <v>27392</v>
      </c>
      <c r="O12661" s="17"/>
      <c r="P12661" s="17" t="s">
        <v>27418</v>
      </c>
      <c r="Q12661" s="17"/>
      <c r="R12661" s="25" t="str">
        <f>HYPERLINK("https://ictv.global/taxonomy/taxondetails?taxnode_id=202314237","Orthobunyavirus belemense")</f>
        <v>Orthobunyavirus belemense</v>
      </c>
      <c r="S12661" s="18" t="s">
        <v>30</v>
      </c>
      <c r="T12661" s="18" t="s">
        <v>27475</v>
      </c>
      <c r="U12661" s="18" t="s">
        <v>27476</v>
      </c>
      <c r="V12661" s="18" t="s">
        <v>27477</v>
      </c>
      <c r="W12661" s="18" t="s">
        <v>50802</v>
      </c>
      <c r="X12661" s="18" t="s">
        <v>35</v>
      </c>
      <c r="Y12661" s="18" t="s">
        <v>23964</v>
      </c>
      <c r="Z12661" s="18" t="s">
        <v>10790</v>
      </c>
      <c r="AA12661" s="21" t="str">
        <f>HYPERLINK("https://www.ncbi.nlm.nih.gov/nuccore/MK896623,MK896622,MK896621","NCBI Nucleotide")</f>
        <v>NCBI Nucleotide</v>
      </c>
    </row>
    <row r="12662" spans="1:27" x14ac:dyDescent="0.35">
      <c r="A12662">
        <v>1011257</v>
      </c>
      <c r="B12662">
        <v>11899</v>
      </c>
      <c r="C12662">
        <v>1</v>
      </c>
      <c r="D12662" s="17" t="s">
        <v>17166</v>
      </c>
      <c r="E12662" s="17"/>
      <c r="F12662" s="17" t="s">
        <v>17246</v>
      </c>
      <c r="G12662" s="17"/>
      <c r="H12662" s="17" t="s">
        <v>23950</v>
      </c>
      <c r="I12662" s="17" t="s">
        <v>26604</v>
      </c>
      <c r="J12662" s="17" t="s">
        <v>47099</v>
      </c>
      <c r="K12662" s="17"/>
      <c r="L12662" s="17" t="s">
        <v>47100</v>
      </c>
      <c r="M12662" s="17"/>
      <c r="N12662" s="17" t="s">
        <v>27392</v>
      </c>
      <c r="O12662" s="17"/>
      <c r="P12662" s="17" t="s">
        <v>27418</v>
      </c>
      <c r="Q12662" s="17"/>
      <c r="R12662" s="25" t="str">
        <f>HYPERLINK("https://ictv.global/taxonomy/taxondetails?taxnode_id=202306596","Orthobunyavirus bellavistaense")</f>
        <v>Orthobunyavirus bellavistaense</v>
      </c>
      <c r="S12662" s="18" t="s">
        <v>30</v>
      </c>
      <c r="T12662" s="18" t="s">
        <v>28031</v>
      </c>
      <c r="U12662" s="18" t="s">
        <v>28032</v>
      </c>
      <c r="V12662" s="18" t="s">
        <v>28033</v>
      </c>
      <c r="W12662" s="18" t="s">
        <v>28034</v>
      </c>
      <c r="X12662" s="18" t="s">
        <v>42</v>
      </c>
      <c r="Y12662" s="18" t="s">
        <v>23964</v>
      </c>
      <c r="Z12662" s="18" t="s">
        <v>10790</v>
      </c>
      <c r="AA12662" s="21" t="str">
        <f>HYPERLINK("https://www.ncbi.nlm.nih.gov/nuccore/KX161718,KX161719,KX161720","NCBI Nucleotide")</f>
        <v>NCBI Nucleotide</v>
      </c>
    </row>
    <row r="12663" spans="1:27" x14ac:dyDescent="0.35">
      <c r="A12663">
        <v>1012957</v>
      </c>
      <c r="B12663">
        <v>11899</v>
      </c>
      <c r="C12663">
        <v>2</v>
      </c>
      <c r="D12663" s="17" t="s">
        <v>17166</v>
      </c>
      <c r="E12663" s="17"/>
      <c r="F12663" s="17" t="s">
        <v>17246</v>
      </c>
      <c r="G12663" s="17"/>
      <c r="H12663" s="17" t="s">
        <v>23950</v>
      </c>
      <c r="I12663" s="17" t="s">
        <v>26604</v>
      </c>
      <c r="J12663" s="17" t="s">
        <v>47099</v>
      </c>
      <c r="K12663" s="17"/>
      <c r="L12663" s="17" t="s">
        <v>47100</v>
      </c>
      <c r="M12663" s="17"/>
      <c r="N12663" s="17" t="s">
        <v>27392</v>
      </c>
      <c r="O12663" s="17"/>
      <c r="P12663" s="17" t="s">
        <v>27418</v>
      </c>
      <c r="Q12663" s="17"/>
      <c r="R12663" s="25" t="str">
        <f>HYPERLINK("https://ictv.global/taxonomy/taxondetails?taxnode_id=202306596","Orthobunyavirus bellavistaense")</f>
        <v>Orthobunyavirus bellavistaense</v>
      </c>
      <c r="S12663" s="18" t="s">
        <v>8141</v>
      </c>
      <c r="T12663" s="18" t="s">
        <v>28035</v>
      </c>
      <c r="U12663" s="18" t="s">
        <v>28036</v>
      </c>
      <c r="V12663" s="18" t="s">
        <v>28037</v>
      </c>
      <c r="W12663" s="18" t="s">
        <v>49481</v>
      </c>
      <c r="X12663" s="18" t="s">
        <v>42</v>
      </c>
      <c r="Y12663" s="18" t="s">
        <v>23964</v>
      </c>
      <c r="Z12663" s="18" t="s">
        <v>10790</v>
      </c>
      <c r="AA12663" s="21" t="str">
        <f>HYPERLINK("https://www.ncbi.nlm.nih.gov/nuccore/MK896641,MK896640,MK896639","NCBI Nucleotide")</f>
        <v>NCBI Nucleotide</v>
      </c>
    </row>
    <row r="12664" spans="1:27" x14ac:dyDescent="0.35">
      <c r="A12664">
        <v>1012958</v>
      </c>
      <c r="B12664">
        <v>11899</v>
      </c>
      <c r="C12664">
        <v>3</v>
      </c>
      <c r="D12664" s="17" t="s">
        <v>17166</v>
      </c>
      <c r="E12664" s="17"/>
      <c r="F12664" s="17" t="s">
        <v>17246</v>
      </c>
      <c r="G12664" s="17"/>
      <c r="H12664" s="17" t="s">
        <v>23950</v>
      </c>
      <c r="I12664" s="17" t="s">
        <v>26604</v>
      </c>
      <c r="J12664" s="17" t="s">
        <v>47099</v>
      </c>
      <c r="K12664" s="17"/>
      <c r="L12664" s="17" t="s">
        <v>47100</v>
      </c>
      <c r="M12664" s="17"/>
      <c r="N12664" s="17" t="s">
        <v>27392</v>
      </c>
      <c r="O12664" s="17"/>
      <c r="P12664" s="17" t="s">
        <v>27418</v>
      </c>
      <c r="Q12664" s="17"/>
      <c r="R12664" s="25" t="str">
        <f>HYPERLINK("https://ictv.global/taxonomy/taxondetails?taxnode_id=202306596","Orthobunyavirus bellavistaense")</f>
        <v>Orthobunyavirus bellavistaense</v>
      </c>
      <c r="S12664" s="18" t="s">
        <v>8141</v>
      </c>
      <c r="T12664" s="18" t="s">
        <v>28038</v>
      </c>
      <c r="U12664" s="18" t="s">
        <v>28039</v>
      </c>
      <c r="V12664" s="18" t="s">
        <v>28040</v>
      </c>
      <c r="W12664" s="18" t="s">
        <v>49482</v>
      </c>
      <c r="X12664" s="18" t="s">
        <v>42</v>
      </c>
      <c r="Y12664" s="18" t="s">
        <v>23964</v>
      </c>
      <c r="Z12664" s="18" t="s">
        <v>10790</v>
      </c>
      <c r="AA12664" s="21" t="str">
        <f>HYPERLINK("https://www.ncbi.nlm.nih.gov/nuccore/MK896629,MK896628,MK896627","NCBI Nucleotide")</f>
        <v>NCBI Nucleotide</v>
      </c>
    </row>
    <row r="12665" spans="1:27" x14ac:dyDescent="0.35">
      <c r="A12665">
        <v>1012959</v>
      </c>
      <c r="B12665">
        <v>11899</v>
      </c>
      <c r="C12665">
        <v>4</v>
      </c>
      <c r="D12665" s="17" t="s">
        <v>17166</v>
      </c>
      <c r="E12665" s="17"/>
      <c r="F12665" s="17" t="s">
        <v>17246</v>
      </c>
      <c r="G12665" s="17"/>
      <c r="H12665" s="17" t="s">
        <v>23950</v>
      </c>
      <c r="I12665" s="17" t="s">
        <v>26604</v>
      </c>
      <c r="J12665" s="17" t="s">
        <v>47099</v>
      </c>
      <c r="K12665" s="17"/>
      <c r="L12665" s="17" t="s">
        <v>47100</v>
      </c>
      <c r="M12665" s="17"/>
      <c r="N12665" s="17" t="s">
        <v>27392</v>
      </c>
      <c r="O12665" s="17"/>
      <c r="P12665" s="17" t="s">
        <v>27418</v>
      </c>
      <c r="Q12665" s="17"/>
      <c r="R12665" s="25" t="str">
        <f>HYPERLINK("https://ictv.global/taxonomy/taxondetails?taxnode_id=202306596","Orthobunyavirus bellavistaense")</f>
        <v>Orthobunyavirus bellavistaense</v>
      </c>
      <c r="S12665" s="18" t="s">
        <v>8141</v>
      </c>
      <c r="T12665" s="18" t="s">
        <v>28041</v>
      </c>
      <c r="U12665" s="18" t="s">
        <v>28042</v>
      </c>
      <c r="V12665" s="18" t="s">
        <v>28043</v>
      </c>
      <c r="W12665" s="18" t="s">
        <v>49483</v>
      </c>
      <c r="X12665" s="18" t="s">
        <v>42</v>
      </c>
      <c r="Y12665" s="18" t="s">
        <v>23964</v>
      </c>
      <c r="Z12665" s="18" t="s">
        <v>10790</v>
      </c>
      <c r="AA12665" s="21" t="str">
        <f>HYPERLINK("https://www.ncbi.nlm.nih.gov/nuccore/MK896480,MK896479,MK896478","NCBI Nucleotide")</f>
        <v>NCBI Nucleotide</v>
      </c>
    </row>
    <row r="12666" spans="1:27" x14ac:dyDescent="0.35">
      <c r="A12666">
        <v>1027700</v>
      </c>
      <c r="B12666">
        <v>11900</v>
      </c>
      <c r="C12666">
        <v>1</v>
      </c>
      <c r="D12666" s="17" t="s">
        <v>17166</v>
      </c>
      <c r="E12666" s="17"/>
      <c r="F12666" s="17" t="s">
        <v>17246</v>
      </c>
      <c r="G12666" s="17"/>
      <c r="H12666" s="17" t="s">
        <v>23950</v>
      </c>
      <c r="I12666" s="17" t="s">
        <v>26604</v>
      </c>
      <c r="J12666" s="17" t="s">
        <v>47099</v>
      </c>
      <c r="K12666" s="17"/>
      <c r="L12666" s="17" t="s">
        <v>47100</v>
      </c>
      <c r="M12666" s="17"/>
      <c r="N12666" s="17" t="s">
        <v>27392</v>
      </c>
      <c r="O12666" s="17"/>
      <c r="P12666" s="17" t="s">
        <v>27418</v>
      </c>
      <c r="Q12666" s="17"/>
      <c r="R12666" s="25" t="str">
        <f>HYPERLINK("https://ictv.global/taxonomy/taxondetails?taxnode_id=202319064","Orthobunyavirus belmontense")</f>
        <v>Orthobunyavirus belmontense</v>
      </c>
      <c r="S12666" s="18" t="s">
        <v>30</v>
      </c>
      <c r="T12666" s="18" t="s">
        <v>47160</v>
      </c>
      <c r="U12666" s="18" t="s">
        <v>19857</v>
      </c>
      <c r="V12666" s="18" t="s">
        <v>47161</v>
      </c>
      <c r="W12666" s="18" t="s">
        <v>47162</v>
      </c>
      <c r="X12666" s="18" t="s">
        <v>35</v>
      </c>
      <c r="Y12666" s="18" t="s">
        <v>23964</v>
      </c>
      <c r="Z12666" s="18" t="s">
        <v>12289</v>
      </c>
      <c r="AA12666" s="21" t="str">
        <f>HYPERLINK("https://www.ncbi.nlm.nih.gov/nuccore/OR077279,OR077280,OR077281","NCBI Nucleotide")</f>
        <v>NCBI Nucleotide</v>
      </c>
    </row>
    <row r="12667" spans="1:27" x14ac:dyDescent="0.35">
      <c r="A12667">
        <v>1011258</v>
      </c>
      <c r="B12667">
        <v>11901</v>
      </c>
      <c r="C12667">
        <v>1</v>
      </c>
      <c r="D12667" s="17" t="s">
        <v>17166</v>
      </c>
      <c r="E12667" s="17"/>
      <c r="F12667" s="17" t="s">
        <v>17246</v>
      </c>
      <c r="G12667" s="17"/>
      <c r="H12667" s="17" t="s">
        <v>23950</v>
      </c>
      <c r="I12667" s="17" t="s">
        <v>26604</v>
      </c>
      <c r="J12667" s="17" t="s">
        <v>47099</v>
      </c>
      <c r="K12667" s="17"/>
      <c r="L12667" s="17" t="s">
        <v>47100</v>
      </c>
      <c r="M12667" s="17"/>
      <c r="N12667" s="17" t="s">
        <v>27392</v>
      </c>
      <c r="O12667" s="17"/>
      <c r="P12667" s="17" t="s">
        <v>27418</v>
      </c>
      <c r="Q12667" s="17"/>
      <c r="R12667" s="25" t="str">
        <f>HYPERLINK("https://ictv.global/taxonomy/taxondetails?taxnode_id=202314229","Orthobunyavirus benficaense")</f>
        <v>Orthobunyavirus benficaense</v>
      </c>
      <c r="S12667" s="18" t="s">
        <v>30</v>
      </c>
      <c r="T12667" s="18" t="s">
        <v>27478</v>
      </c>
      <c r="U12667" s="18" t="s">
        <v>50970</v>
      </c>
      <c r="V12667" s="18" t="s">
        <v>27479</v>
      </c>
      <c r="W12667" s="18" t="s">
        <v>50803</v>
      </c>
      <c r="X12667" s="18" t="s">
        <v>35</v>
      </c>
      <c r="Y12667" s="18" t="s">
        <v>23964</v>
      </c>
      <c r="Z12667" s="18" t="s">
        <v>10790</v>
      </c>
      <c r="AA12667" s="21" t="str">
        <f>HYPERLINK("https://www.ncbi.nlm.nih.gov/nuccore/MK896617,MK896616,MK896615","NCBI Nucleotide")</f>
        <v>NCBI Nucleotide</v>
      </c>
    </row>
    <row r="12668" spans="1:27" x14ac:dyDescent="0.35">
      <c r="A12668">
        <v>1011259</v>
      </c>
      <c r="B12668">
        <v>11902</v>
      </c>
      <c r="C12668">
        <v>1</v>
      </c>
      <c r="D12668" s="17" t="s">
        <v>17166</v>
      </c>
      <c r="E12668" s="17"/>
      <c r="F12668" s="17" t="s">
        <v>17246</v>
      </c>
      <c r="G12668" s="17"/>
      <c r="H12668" s="17" t="s">
        <v>23950</v>
      </c>
      <c r="I12668" s="17" t="s">
        <v>26604</v>
      </c>
      <c r="J12668" s="17" t="s">
        <v>47099</v>
      </c>
      <c r="K12668" s="17"/>
      <c r="L12668" s="17" t="s">
        <v>47100</v>
      </c>
      <c r="M12668" s="17"/>
      <c r="N12668" s="17" t="s">
        <v>27392</v>
      </c>
      <c r="O12668" s="17"/>
      <c r="P12668" s="17" t="s">
        <v>27418</v>
      </c>
      <c r="Q12668" s="17"/>
      <c r="R12668" s="25" t="str">
        <f>HYPERLINK("https://ictv.global/taxonomy/taxondetails?taxnode_id=202300097","Orthobunyavirus bertiogaense")</f>
        <v>Orthobunyavirus bertiogaense</v>
      </c>
      <c r="S12668" s="18" t="s">
        <v>30</v>
      </c>
      <c r="T12668" s="18" t="s">
        <v>27480</v>
      </c>
      <c r="U12668" s="18" t="s">
        <v>27481</v>
      </c>
      <c r="V12668" s="18"/>
      <c r="W12668" s="18" t="s">
        <v>50804</v>
      </c>
      <c r="X12668" s="18" t="s">
        <v>42</v>
      </c>
      <c r="Y12668" s="18" t="s">
        <v>23964</v>
      </c>
      <c r="Z12668" s="18" t="s">
        <v>12289</v>
      </c>
      <c r="AA12668" s="21" t="str">
        <f>HYPERLINK("https://www.ncbi.nlm.nih.gov/nuccore/MK896614,MK896613,MK896612","NCBI Nucleotide")</f>
        <v>NCBI Nucleotide</v>
      </c>
    </row>
    <row r="12669" spans="1:27" x14ac:dyDescent="0.35">
      <c r="A12669">
        <v>1012960</v>
      </c>
      <c r="B12669">
        <v>11902</v>
      </c>
      <c r="C12669">
        <v>2</v>
      </c>
      <c r="D12669" s="17" t="s">
        <v>17166</v>
      </c>
      <c r="E12669" s="17"/>
      <c r="F12669" s="17" t="s">
        <v>17246</v>
      </c>
      <c r="G12669" s="17"/>
      <c r="H12669" s="17" t="s">
        <v>23950</v>
      </c>
      <c r="I12669" s="17" t="s">
        <v>26604</v>
      </c>
      <c r="J12669" s="17" t="s">
        <v>47099</v>
      </c>
      <c r="K12669" s="17"/>
      <c r="L12669" s="17" t="s">
        <v>47100</v>
      </c>
      <c r="M12669" s="17"/>
      <c r="N12669" s="17" t="s">
        <v>27392</v>
      </c>
      <c r="O12669" s="17"/>
      <c r="P12669" s="17" t="s">
        <v>27418</v>
      </c>
      <c r="Q12669" s="17"/>
      <c r="R12669" s="25" t="str">
        <f>HYPERLINK("https://ictv.global/taxonomy/taxondetails?taxnode_id=202300097","Orthobunyavirus bertiogaense")</f>
        <v>Orthobunyavirus bertiogaense</v>
      </c>
      <c r="S12669" s="18" t="s">
        <v>8141</v>
      </c>
      <c r="T12669" s="18" t="s">
        <v>27482</v>
      </c>
      <c r="U12669" s="18" t="s">
        <v>27483</v>
      </c>
      <c r="V12669" s="18" t="s">
        <v>27484</v>
      </c>
      <c r="W12669" s="18" t="s">
        <v>49484</v>
      </c>
      <c r="X12669" s="18" t="s">
        <v>42</v>
      </c>
      <c r="Y12669" s="18" t="s">
        <v>23964</v>
      </c>
      <c r="Z12669" s="18" t="s">
        <v>12289</v>
      </c>
      <c r="AA12669" s="21" t="str">
        <f>HYPERLINK("https://www.ncbi.nlm.nih.gov/nuccore/MK896591,MK896590,MK896589","NCBI Nucleotide")</f>
        <v>NCBI Nucleotide</v>
      </c>
    </row>
    <row r="12670" spans="1:27" x14ac:dyDescent="0.35">
      <c r="A12670">
        <v>1011260</v>
      </c>
      <c r="B12670">
        <v>11903</v>
      </c>
      <c r="C12670">
        <v>1</v>
      </c>
      <c r="D12670" s="17" t="s">
        <v>17166</v>
      </c>
      <c r="E12670" s="17"/>
      <c r="F12670" s="17" t="s">
        <v>17246</v>
      </c>
      <c r="G12670" s="17"/>
      <c r="H12670" s="17" t="s">
        <v>23950</v>
      </c>
      <c r="I12670" s="17" t="s">
        <v>26604</v>
      </c>
      <c r="J12670" s="17" t="s">
        <v>47099</v>
      </c>
      <c r="K12670" s="17"/>
      <c r="L12670" s="17" t="s">
        <v>47100</v>
      </c>
      <c r="M12670" s="17"/>
      <c r="N12670" s="17" t="s">
        <v>27392</v>
      </c>
      <c r="O12670" s="17"/>
      <c r="P12670" s="17" t="s">
        <v>27418</v>
      </c>
      <c r="Q12670" s="17"/>
      <c r="R12670" s="25" t="str">
        <f>HYPERLINK("https://ictv.global/taxonomy/taxondetails?taxnode_id=202306356","Orthobunyavirus biraoense")</f>
        <v>Orthobunyavirus biraoense</v>
      </c>
      <c r="S12670" s="18" t="s">
        <v>30</v>
      </c>
      <c r="T12670" s="18" t="s">
        <v>27485</v>
      </c>
      <c r="U12670" s="18" t="s">
        <v>27486</v>
      </c>
      <c r="V12670" s="18" t="s">
        <v>27487</v>
      </c>
      <c r="W12670" s="18" t="s">
        <v>27488</v>
      </c>
      <c r="X12670" s="18" t="s">
        <v>42</v>
      </c>
      <c r="Y12670" s="18" t="s">
        <v>23964</v>
      </c>
      <c r="Z12670" s="18" t="s">
        <v>12289</v>
      </c>
      <c r="AA12670" s="21" t="str">
        <f>HYPERLINK("https://www.ncbi.nlm.nih.gov/nuccore/MH370821,MH370822,MH370823","NCBI Nucleotide")</f>
        <v>NCBI Nucleotide</v>
      </c>
    </row>
    <row r="12671" spans="1:27" x14ac:dyDescent="0.35">
      <c r="A12671">
        <v>1011261</v>
      </c>
      <c r="B12671">
        <v>11904</v>
      </c>
      <c r="C12671">
        <v>1</v>
      </c>
      <c r="D12671" s="17" t="s">
        <v>17166</v>
      </c>
      <c r="E12671" s="17"/>
      <c r="F12671" s="17" t="s">
        <v>17246</v>
      </c>
      <c r="G12671" s="17"/>
      <c r="H12671" s="17" t="s">
        <v>23950</v>
      </c>
      <c r="I12671" s="17" t="s">
        <v>26604</v>
      </c>
      <c r="J12671" s="17" t="s">
        <v>47099</v>
      </c>
      <c r="K12671" s="17"/>
      <c r="L12671" s="17" t="s">
        <v>47100</v>
      </c>
      <c r="M12671" s="17"/>
      <c r="N12671" s="17" t="s">
        <v>27392</v>
      </c>
      <c r="O12671" s="17"/>
      <c r="P12671" s="17" t="s">
        <v>27418</v>
      </c>
      <c r="Q12671" s="17"/>
      <c r="R12671" s="25" t="str">
        <f>HYPERLINK("https://ictv.global/taxonomy/taxondetails?taxnode_id=202314238","Orthobunyavirus bobayaense")</f>
        <v>Orthobunyavirus bobayaense</v>
      </c>
      <c r="S12671" s="18" t="s">
        <v>30</v>
      </c>
      <c r="T12671" s="18" t="s">
        <v>27489</v>
      </c>
      <c r="U12671" s="18" t="s">
        <v>27490</v>
      </c>
      <c r="V12671" s="18" t="s">
        <v>27491</v>
      </c>
      <c r="W12671" s="18" t="s">
        <v>50805</v>
      </c>
      <c r="X12671" s="18" t="s">
        <v>35</v>
      </c>
      <c r="Y12671" s="18" t="s">
        <v>23964</v>
      </c>
      <c r="Z12671" s="18" t="s">
        <v>10790</v>
      </c>
      <c r="AA12671" s="21" t="str">
        <f>HYPERLINK("https://www.ncbi.nlm.nih.gov/nuccore/MW415981,MW415982,MW415980","NCBI Nucleotide")</f>
        <v>NCBI Nucleotide</v>
      </c>
    </row>
    <row r="12672" spans="1:27" x14ac:dyDescent="0.35">
      <c r="A12672">
        <v>1011262</v>
      </c>
      <c r="B12672">
        <v>11905</v>
      </c>
      <c r="C12672">
        <v>1</v>
      </c>
      <c r="D12672" s="17" t="s">
        <v>17166</v>
      </c>
      <c r="E12672" s="17"/>
      <c r="F12672" s="17" t="s">
        <v>17246</v>
      </c>
      <c r="G12672" s="17"/>
      <c r="H12672" s="17" t="s">
        <v>23950</v>
      </c>
      <c r="I12672" s="17" t="s">
        <v>26604</v>
      </c>
      <c r="J12672" s="17" t="s">
        <v>47099</v>
      </c>
      <c r="K12672" s="17"/>
      <c r="L12672" s="17" t="s">
        <v>47100</v>
      </c>
      <c r="M12672" s="17"/>
      <c r="N12672" s="17" t="s">
        <v>27392</v>
      </c>
      <c r="O12672" s="17"/>
      <c r="P12672" s="17" t="s">
        <v>27418</v>
      </c>
      <c r="Q12672" s="17"/>
      <c r="R12672" s="25" t="str">
        <f>HYPERLINK("https://ictv.global/taxonomy/taxondetails?taxnode_id=202314250","Orthobunyavirus boraceiaense")</f>
        <v>Orthobunyavirus boraceiaense</v>
      </c>
      <c r="S12672" s="18" t="s">
        <v>30</v>
      </c>
      <c r="T12672" s="18" t="s">
        <v>27492</v>
      </c>
      <c r="U12672" s="18" t="s">
        <v>27493</v>
      </c>
      <c r="V12672" s="18" t="s">
        <v>27494</v>
      </c>
      <c r="W12672" s="18" t="s">
        <v>50806</v>
      </c>
      <c r="X12672" s="18" t="s">
        <v>35</v>
      </c>
      <c r="Y12672" s="18" t="s">
        <v>23964</v>
      </c>
      <c r="Z12672" s="18" t="s">
        <v>10790</v>
      </c>
      <c r="AA12672" s="21" t="str">
        <f>HYPERLINK("https://www.ncbi.nlm.nih.gov/nuccore/MK896611,MK896610,MK896609","NCBI Nucleotide")</f>
        <v>NCBI Nucleotide</v>
      </c>
    </row>
    <row r="12673" spans="1:27" x14ac:dyDescent="0.35">
      <c r="A12673">
        <v>1011263</v>
      </c>
      <c r="B12673">
        <v>11906</v>
      </c>
      <c r="C12673">
        <v>1</v>
      </c>
      <c r="D12673" s="17" t="s">
        <v>17166</v>
      </c>
      <c r="E12673" s="17"/>
      <c r="F12673" s="17" t="s">
        <v>17246</v>
      </c>
      <c r="G12673" s="17"/>
      <c r="H12673" s="17" t="s">
        <v>23950</v>
      </c>
      <c r="I12673" s="17" t="s">
        <v>26604</v>
      </c>
      <c r="J12673" s="17" t="s">
        <v>47099</v>
      </c>
      <c r="K12673" s="17"/>
      <c r="L12673" s="17" t="s">
        <v>47100</v>
      </c>
      <c r="M12673" s="17"/>
      <c r="N12673" s="17" t="s">
        <v>27392</v>
      </c>
      <c r="O12673" s="17"/>
      <c r="P12673" s="17" t="s">
        <v>27418</v>
      </c>
      <c r="Q12673" s="17"/>
      <c r="R12673" s="25" t="str">
        <f>HYPERLINK("https://ictv.global/taxonomy/taxondetails?taxnode_id=202300099","Orthobunyavirus botambiense")</f>
        <v>Orthobunyavirus botambiense</v>
      </c>
      <c r="S12673" s="18" t="s">
        <v>30</v>
      </c>
      <c r="T12673" s="18" t="s">
        <v>27495</v>
      </c>
      <c r="U12673" s="18" t="s">
        <v>25971</v>
      </c>
      <c r="V12673" s="18" t="s">
        <v>27496</v>
      </c>
      <c r="W12673" s="18" t="s">
        <v>27497</v>
      </c>
      <c r="X12673" s="18" t="s">
        <v>35</v>
      </c>
      <c r="Y12673" s="18" t="s">
        <v>23964</v>
      </c>
      <c r="Z12673" s="18" t="s">
        <v>12289</v>
      </c>
      <c r="AA12673" s="21" t="str">
        <f>HYPERLINK("https://www.ncbi.nlm.nih.gov/nuccore/OL774846,OL774847,OL774848","NCBI Nucleotide")</f>
        <v>NCBI Nucleotide</v>
      </c>
    </row>
    <row r="12674" spans="1:27" x14ac:dyDescent="0.35">
      <c r="A12674">
        <v>1011264</v>
      </c>
      <c r="B12674">
        <v>11907</v>
      </c>
      <c r="C12674">
        <v>1</v>
      </c>
      <c r="D12674" s="17" t="s">
        <v>17166</v>
      </c>
      <c r="E12674" s="17"/>
      <c r="F12674" s="17" t="s">
        <v>17246</v>
      </c>
      <c r="G12674" s="17"/>
      <c r="H12674" s="17" t="s">
        <v>23950</v>
      </c>
      <c r="I12674" s="17" t="s">
        <v>26604</v>
      </c>
      <c r="J12674" s="17" t="s">
        <v>47099</v>
      </c>
      <c r="K12674" s="17"/>
      <c r="L12674" s="17" t="s">
        <v>47100</v>
      </c>
      <c r="M12674" s="17"/>
      <c r="N12674" s="17" t="s">
        <v>27392</v>
      </c>
      <c r="O12674" s="17"/>
      <c r="P12674" s="17" t="s">
        <v>27418</v>
      </c>
      <c r="Q12674" s="17"/>
      <c r="R12674" s="25" t="str">
        <f>HYPERLINK("https://ictv.global/taxonomy/taxondetails?taxnode_id=202306357","Orthobunyavirus bozoense")</f>
        <v>Orthobunyavirus bozoense</v>
      </c>
      <c r="S12674" s="18" t="s">
        <v>30</v>
      </c>
      <c r="T12674" s="18" t="s">
        <v>27498</v>
      </c>
      <c r="U12674" s="18" t="s">
        <v>27499</v>
      </c>
      <c r="V12674" s="18" t="s">
        <v>27500</v>
      </c>
      <c r="W12674" s="18" t="s">
        <v>27501</v>
      </c>
      <c r="X12674" s="18" t="s">
        <v>42</v>
      </c>
      <c r="Y12674" s="18" t="s">
        <v>23964</v>
      </c>
      <c r="Z12674" s="18" t="s">
        <v>12289</v>
      </c>
      <c r="AA12674" s="21" t="str">
        <f>HYPERLINK("https://www.ncbi.nlm.nih.gov/nuccore/MH370824,MH370825,MH370826","NCBI Nucleotide")</f>
        <v>NCBI Nucleotide</v>
      </c>
    </row>
    <row r="12675" spans="1:27" x14ac:dyDescent="0.35">
      <c r="A12675">
        <v>1011265</v>
      </c>
      <c r="B12675">
        <v>11908</v>
      </c>
      <c r="C12675">
        <v>1</v>
      </c>
      <c r="D12675" s="17" t="s">
        <v>17166</v>
      </c>
      <c r="E12675" s="17"/>
      <c r="F12675" s="17" t="s">
        <v>17246</v>
      </c>
      <c r="G12675" s="17"/>
      <c r="H12675" s="17" t="s">
        <v>23950</v>
      </c>
      <c r="I12675" s="17" t="s">
        <v>26604</v>
      </c>
      <c r="J12675" s="17" t="s">
        <v>47099</v>
      </c>
      <c r="K12675" s="17"/>
      <c r="L12675" s="17" t="s">
        <v>47100</v>
      </c>
      <c r="M12675" s="17"/>
      <c r="N12675" s="17" t="s">
        <v>27392</v>
      </c>
      <c r="O12675" s="17"/>
      <c r="P12675" s="17" t="s">
        <v>27418</v>
      </c>
      <c r="Q12675" s="17"/>
      <c r="R12675" s="25" t="str">
        <f>HYPERLINK("https://ictv.global/taxonomy/taxondetails?taxnode_id=202309318","Orthobunyavirus brazoriaense")</f>
        <v>Orthobunyavirus brazoriaense</v>
      </c>
      <c r="S12675" s="18" t="s">
        <v>30</v>
      </c>
      <c r="T12675" s="18" t="s">
        <v>27502</v>
      </c>
      <c r="U12675" s="18" t="s">
        <v>27503</v>
      </c>
      <c r="V12675" s="18" t="s">
        <v>27504</v>
      </c>
      <c r="W12675" s="18" t="s">
        <v>50601</v>
      </c>
      <c r="X12675" s="18" t="s">
        <v>42</v>
      </c>
      <c r="Y12675" s="18" t="s">
        <v>23964</v>
      </c>
      <c r="Z12675" s="18" t="s">
        <v>10790</v>
      </c>
      <c r="AA12675" s="21" t="str">
        <f>HYPERLINK("https://www.ncbi.nlm.nih.gov/nuccore/KC854418,KC854417,KC854416","NCBI Nucleotide")</f>
        <v>NCBI Nucleotide</v>
      </c>
    </row>
    <row r="12676" spans="1:27" x14ac:dyDescent="0.35">
      <c r="A12676">
        <v>1011266</v>
      </c>
      <c r="B12676">
        <v>11909</v>
      </c>
      <c r="C12676">
        <v>1</v>
      </c>
      <c r="D12676" s="17" t="s">
        <v>17166</v>
      </c>
      <c r="E12676" s="17"/>
      <c r="F12676" s="17" t="s">
        <v>17246</v>
      </c>
      <c r="G12676" s="17"/>
      <c r="H12676" s="17" t="s">
        <v>23950</v>
      </c>
      <c r="I12676" s="17" t="s">
        <v>26604</v>
      </c>
      <c r="J12676" s="17" t="s">
        <v>47099</v>
      </c>
      <c r="K12676" s="17"/>
      <c r="L12676" s="17" t="s">
        <v>47100</v>
      </c>
      <c r="M12676" s="17"/>
      <c r="N12676" s="17" t="s">
        <v>27392</v>
      </c>
      <c r="O12676" s="17"/>
      <c r="P12676" s="17" t="s">
        <v>27418</v>
      </c>
      <c r="Q12676" s="17"/>
      <c r="R12676" s="25" t="str">
        <f>HYPERLINK("https://ictv.global/taxonomy/taxondetails?taxnode_id=202309319","Orthobunyavirus bruconhaense")</f>
        <v>Orthobunyavirus bruconhaense</v>
      </c>
      <c r="S12676" s="18" t="s">
        <v>30</v>
      </c>
      <c r="T12676" s="18" t="s">
        <v>27505</v>
      </c>
      <c r="U12676" s="18" t="s">
        <v>27506</v>
      </c>
      <c r="V12676" s="18" t="s">
        <v>27507</v>
      </c>
      <c r="W12676" s="18" t="s">
        <v>50807</v>
      </c>
      <c r="X12676" s="18" t="s">
        <v>42</v>
      </c>
      <c r="Y12676" s="18" t="s">
        <v>23964</v>
      </c>
      <c r="Z12676" s="18" t="s">
        <v>166</v>
      </c>
      <c r="AA12676" s="21" t="str">
        <f>HYPERLINK("https://www.ncbi.nlm.nih.gov/nuccore/KM280929,KM280924,KM280937","NCBI Nucleotide")</f>
        <v>NCBI Nucleotide</v>
      </c>
    </row>
    <row r="12677" spans="1:27" x14ac:dyDescent="0.35">
      <c r="A12677">
        <v>1011267</v>
      </c>
      <c r="B12677">
        <v>11910</v>
      </c>
      <c r="C12677">
        <v>1</v>
      </c>
      <c r="D12677" s="17" t="s">
        <v>17166</v>
      </c>
      <c r="E12677" s="17"/>
      <c r="F12677" s="17" t="s">
        <v>17246</v>
      </c>
      <c r="G12677" s="17"/>
      <c r="H12677" s="17" t="s">
        <v>23950</v>
      </c>
      <c r="I12677" s="17" t="s">
        <v>26604</v>
      </c>
      <c r="J12677" s="17" t="s">
        <v>47099</v>
      </c>
      <c r="K12677" s="17"/>
      <c r="L12677" s="17" t="s">
        <v>47100</v>
      </c>
      <c r="M12677" s="17"/>
      <c r="N12677" s="17" t="s">
        <v>27392</v>
      </c>
      <c r="O12677" s="17"/>
      <c r="P12677" s="17" t="s">
        <v>27418</v>
      </c>
      <c r="Q12677" s="17"/>
      <c r="R12677" s="25" t="str">
        <f>HYPERLINK("https://ictv.global/taxonomy/taxondetails?taxnode_id=202309320","Orthobunyavirus buffaloense")</f>
        <v>Orthobunyavirus buffaloense</v>
      </c>
      <c r="S12677" s="18" t="s">
        <v>30</v>
      </c>
      <c r="T12677" s="18" t="s">
        <v>27508</v>
      </c>
      <c r="U12677" s="18" t="s">
        <v>27509</v>
      </c>
      <c r="V12677" s="18" t="s">
        <v>27510</v>
      </c>
      <c r="W12677" s="18" t="s">
        <v>50808</v>
      </c>
      <c r="X12677" s="18" t="s">
        <v>42</v>
      </c>
      <c r="Y12677" s="18" t="s">
        <v>23964</v>
      </c>
      <c r="Z12677" s="18" t="s">
        <v>10790</v>
      </c>
      <c r="AA12677" s="21" t="str">
        <f>HYPERLINK("https://www.ncbi.nlm.nih.gov/nuccore/KJ481929,KJ481928,KJ481927","NCBI Nucleotide")</f>
        <v>NCBI Nucleotide</v>
      </c>
    </row>
    <row r="12678" spans="1:27" x14ac:dyDescent="0.35">
      <c r="A12678">
        <v>1012961</v>
      </c>
      <c r="B12678">
        <v>11910</v>
      </c>
      <c r="C12678">
        <v>2</v>
      </c>
      <c r="D12678" s="17" t="s">
        <v>17166</v>
      </c>
      <c r="E12678" s="17"/>
      <c r="F12678" s="17" t="s">
        <v>17246</v>
      </c>
      <c r="G12678" s="17"/>
      <c r="H12678" s="17" t="s">
        <v>23950</v>
      </c>
      <c r="I12678" s="17" t="s">
        <v>26604</v>
      </c>
      <c r="J12678" s="17" t="s">
        <v>47099</v>
      </c>
      <c r="K12678" s="17"/>
      <c r="L12678" s="17" t="s">
        <v>47100</v>
      </c>
      <c r="M12678" s="17"/>
      <c r="N12678" s="17" t="s">
        <v>27392</v>
      </c>
      <c r="O12678" s="17"/>
      <c r="P12678" s="17" t="s">
        <v>27418</v>
      </c>
      <c r="Q12678" s="17"/>
      <c r="R12678" s="25" t="str">
        <f>HYPERLINK("https://ictv.global/taxonomy/taxondetails?taxnode_id=202309320","Orthobunyavirus buffaloense")</f>
        <v>Orthobunyavirus buffaloense</v>
      </c>
      <c r="S12678" s="18" t="s">
        <v>8141</v>
      </c>
      <c r="T12678" s="18" t="s">
        <v>27959</v>
      </c>
      <c r="U12678" s="18" t="s">
        <v>27960</v>
      </c>
      <c r="V12678" s="18">
        <v>934</v>
      </c>
      <c r="W12678" s="18" t="s">
        <v>49485</v>
      </c>
      <c r="X12678" s="18" t="s">
        <v>42</v>
      </c>
      <c r="Y12678" s="18" t="s">
        <v>23964</v>
      </c>
      <c r="Z12678" s="18" t="s">
        <v>10790</v>
      </c>
      <c r="AA12678" s="21" t="str">
        <f>HYPERLINK("https://www.ncbi.nlm.nih.gov/nuccore/KF234253,KF234254,KF234255","NCBI Nucleotide")</f>
        <v>NCBI Nucleotide</v>
      </c>
    </row>
    <row r="12679" spans="1:27" x14ac:dyDescent="0.35">
      <c r="A12679">
        <v>1012962</v>
      </c>
      <c r="B12679">
        <v>11910</v>
      </c>
      <c r="C12679">
        <v>3</v>
      </c>
      <c r="D12679" s="17" t="s">
        <v>17166</v>
      </c>
      <c r="E12679" s="17"/>
      <c r="F12679" s="17" t="s">
        <v>17246</v>
      </c>
      <c r="G12679" s="17"/>
      <c r="H12679" s="17" t="s">
        <v>23950</v>
      </c>
      <c r="I12679" s="17" t="s">
        <v>26604</v>
      </c>
      <c r="J12679" s="17" t="s">
        <v>47099</v>
      </c>
      <c r="K12679" s="17"/>
      <c r="L12679" s="17" t="s">
        <v>47100</v>
      </c>
      <c r="M12679" s="17"/>
      <c r="N12679" s="17" t="s">
        <v>27392</v>
      </c>
      <c r="O12679" s="17"/>
      <c r="P12679" s="17" t="s">
        <v>27418</v>
      </c>
      <c r="Q12679" s="17"/>
      <c r="R12679" s="25" t="str">
        <f>HYPERLINK("https://ictv.global/taxonomy/taxondetails?taxnode_id=202309320","Orthobunyavirus buffaloense")</f>
        <v>Orthobunyavirus buffaloense</v>
      </c>
      <c r="S12679" s="18" t="s">
        <v>8141</v>
      </c>
      <c r="T12679" s="18" t="s">
        <v>27961</v>
      </c>
      <c r="U12679" s="18" t="s">
        <v>27962</v>
      </c>
      <c r="V12679" s="18" t="s">
        <v>27963</v>
      </c>
      <c r="W12679" s="18" t="s">
        <v>49486</v>
      </c>
      <c r="X12679" s="18" t="s">
        <v>42</v>
      </c>
      <c r="Y12679" s="18" t="s">
        <v>23964</v>
      </c>
      <c r="Z12679" s="18" t="s">
        <v>10790</v>
      </c>
      <c r="AA12679" s="21" t="str">
        <f>HYPERLINK("https://www.ncbi.nlm.nih.gov/nuccore/KR013235,KR013236,KR013237","NCBI Nucleotide")</f>
        <v>NCBI Nucleotide</v>
      </c>
    </row>
    <row r="12680" spans="1:27" x14ac:dyDescent="0.35">
      <c r="A12680">
        <v>1011268</v>
      </c>
      <c r="B12680">
        <v>11911</v>
      </c>
      <c r="C12680">
        <v>1</v>
      </c>
      <c r="D12680" s="17" t="s">
        <v>17166</v>
      </c>
      <c r="E12680" s="17"/>
      <c r="F12680" s="17" t="s">
        <v>17246</v>
      </c>
      <c r="G12680" s="17"/>
      <c r="H12680" s="17" t="s">
        <v>23950</v>
      </c>
      <c r="I12680" s="17" t="s">
        <v>26604</v>
      </c>
      <c r="J12680" s="17" t="s">
        <v>47099</v>
      </c>
      <c r="K12680" s="17"/>
      <c r="L12680" s="17" t="s">
        <v>47100</v>
      </c>
      <c r="M12680" s="17"/>
      <c r="N12680" s="17" t="s">
        <v>27392</v>
      </c>
      <c r="O12680" s="17"/>
      <c r="P12680" s="17" t="s">
        <v>27418</v>
      </c>
      <c r="Q12680" s="17"/>
      <c r="R12680" s="25" t="str">
        <f t="shared" ref="R12680:R12685" si="35">HYPERLINK("https://ictv.global/taxonomy/taxondetails?taxnode_id=202300100","Orthobunyavirus bunyamweraense")</f>
        <v>Orthobunyavirus bunyamweraense</v>
      </c>
      <c r="S12680" s="18" t="s">
        <v>30</v>
      </c>
      <c r="T12680" s="18" t="s">
        <v>27511</v>
      </c>
      <c r="U12680" s="18" t="s">
        <v>27512</v>
      </c>
      <c r="V12680" s="18"/>
      <c r="W12680" s="18" t="s">
        <v>50602</v>
      </c>
      <c r="X12680" s="18" t="s">
        <v>42</v>
      </c>
      <c r="Y12680" s="18" t="s">
        <v>23964</v>
      </c>
      <c r="Z12680" s="18" t="s">
        <v>12289</v>
      </c>
      <c r="AA12680" s="21" t="str">
        <f>HYPERLINK("https://www.ncbi.nlm.nih.gov/nuccore/X14383,M11852,D00353","NCBI Nucleotide")</f>
        <v>NCBI Nucleotide</v>
      </c>
    </row>
    <row r="12681" spans="1:27" x14ac:dyDescent="0.35">
      <c r="A12681">
        <v>1012963</v>
      </c>
      <c r="B12681">
        <v>11911</v>
      </c>
      <c r="C12681">
        <v>2</v>
      </c>
      <c r="D12681" s="17" t="s">
        <v>17166</v>
      </c>
      <c r="E12681" s="17"/>
      <c r="F12681" s="17" t="s">
        <v>17246</v>
      </c>
      <c r="G12681" s="17"/>
      <c r="H12681" s="17" t="s">
        <v>23950</v>
      </c>
      <c r="I12681" s="17" t="s">
        <v>26604</v>
      </c>
      <c r="J12681" s="17" t="s">
        <v>47099</v>
      </c>
      <c r="K12681" s="17"/>
      <c r="L12681" s="17" t="s">
        <v>47100</v>
      </c>
      <c r="M12681" s="17"/>
      <c r="N12681" s="17" t="s">
        <v>27392</v>
      </c>
      <c r="O12681" s="17"/>
      <c r="P12681" s="17" t="s">
        <v>27418</v>
      </c>
      <c r="Q12681" s="17"/>
      <c r="R12681" s="25" t="str">
        <f t="shared" si="35"/>
        <v>Orthobunyavirus bunyamweraense</v>
      </c>
      <c r="S12681" s="18" t="s">
        <v>8141</v>
      </c>
      <c r="T12681" s="18" t="s">
        <v>27513</v>
      </c>
      <c r="U12681" s="18" t="s">
        <v>27322</v>
      </c>
      <c r="V12681" s="18"/>
      <c r="W12681" s="18" t="s">
        <v>49487</v>
      </c>
      <c r="X12681" s="18" t="s">
        <v>154</v>
      </c>
      <c r="Y12681" s="18" t="s">
        <v>23964</v>
      </c>
      <c r="Z12681" s="18" t="s">
        <v>12289</v>
      </c>
      <c r="AA12681" s="21" t="str">
        <f>HYPERLINK("https://www.ncbi.nlm.nih.gov/nuccore/M21951,M19420","NCBI Nucleotide")</f>
        <v>NCBI Nucleotide</v>
      </c>
    </row>
    <row r="12682" spans="1:27" x14ac:dyDescent="0.35">
      <c r="A12682">
        <v>1012964</v>
      </c>
      <c r="B12682">
        <v>11911</v>
      </c>
      <c r="C12682">
        <v>3</v>
      </c>
      <c r="D12682" s="17" t="s">
        <v>17166</v>
      </c>
      <c r="E12682" s="17"/>
      <c r="F12682" s="17" t="s">
        <v>17246</v>
      </c>
      <c r="G12682" s="17"/>
      <c r="H12682" s="17" t="s">
        <v>23950</v>
      </c>
      <c r="I12682" s="17" t="s">
        <v>26604</v>
      </c>
      <c r="J12682" s="17" t="s">
        <v>47099</v>
      </c>
      <c r="K12682" s="17"/>
      <c r="L12682" s="17" t="s">
        <v>47100</v>
      </c>
      <c r="M12682" s="17"/>
      <c r="N12682" s="17" t="s">
        <v>27392</v>
      </c>
      <c r="O12682" s="17"/>
      <c r="P12682" s="17" t="s">
        <v>27418</v>
      </c>
      <c r="Q12682" s="17"/>
      <c r="R12682" s="25" t="str">
        <f t="shared" si="35"/>
        <v>Orthobunyavirus bunyamweraense</v>
      </c>
      <c r="S12682" s="18" t="s">
        <v>8141</v>
      </c>
      <c r="T12682" s="18" t="s">
        <v>27514</v>
      </c>
      <c r="U12682" s="18" t="s">
        <v>27515</v>
      </c>
      <c r="V12682" s="18" t="s">
        <v>27516</v>
      </c>
      <c r="W12682" s="18" t="s">
        <v>49488</v>
      </c>
      <c r="X12682" s="18" t="s">
        <v>154</v>
      </c>
      <c r="Y12682" s="18" t="s">
        <v>23964</v>
      </c>
      <c r="Z12682" s="18" t="s">
        <v>12289</v>
      </c>
      <c r="AA12682" s="21" t="str">
        <f>HYPERLINK("https://www.ncbi.nlm.nih.gov/nuccore/AY593726,AY593731,AY593727","NCBI Nucleotide")</f>
        <v>NCBI Nucleotide</v>
      </c>
    </row>
    <row r="12683" spans="1:27" x14ac:dyDescent="0.35">
      <c r="A12683">
        <v>1012965</v>
      </c>
      <c r="B12683">
        <v>11911</v>
      </c>
      <c r="C12683">
        <v>4</v>
      </c>
      <c r="D12683" s="17" t="s">
        <v>17166</v>
      </c>
      <c r="E12683" s="17"/>
      <c r="F12683" s="17" t="s">
        <v>17246</v>
      </c>
      <c r="G12683" s="17"/>
      <c r="H12683" s="17" t="s">
        <v>23950</v>
      </c>
      <c r="I12683" s="17" t="s">
        <v>26604</v>
      </c>
      <c r="J12683" s="17" t="s">
        <v>47099</v>
      </c>
      <c r="K12683" s="17"/>
      <c r="L12683" s="17" t="s">
        <v>47100</v>
      </c>
      <c r="M12683" s="17"/>
      <c r="N12683" s="17" t="s">
        <v>27392</v>
      </c>
      <c r="O12683" s="17"/>
      <c r="P12683" s="17" t="s">
        <v>27418</v>
      </c>
      <c r="Q12683" s="17"/>
      <c r="R12683" s="25" t="str">
        <f t="shared" si="35"/>
        <v>Orthobunyavirus bunyamweraense</v>
      </c>
      <c r="S12683" s="18" t="s">
        <v>8141</v>
      </c>
      <c r="T12683" s="18" t="s">
        <v>27517</v>
      </c>
      <c r="U12683" s="18" t="s">
        <v>27518</v>
      </c>
      <c r="V12683" s="18" t="s">
        <v>27519</v>
      </c>
      <c r="W12683" s="18" t="s">
        <v>49489</v>
      </c>
      <c r="X12683" s="18" t="s">
        <v>42</v>
      </c>
      <c r="Y12683" s="18" t="s">
        <v>23964</v>
      </c>
      <c r="Z12683" s="18" t="s">
        <v>12289</v>
      </c>
      <c r="AA12683" s="21" t="str">
        <f>HYPERLINK("https://www.ncbi.nlm.nih.gov/nuccore/KC608152,KC608153,KC608154","NCBI Nucleotide")</f>
        <v>NCBI Nucleotide</v>
      </c>
    </row>
    <row r="12684" spans="1:27" x14ac:dyDescent="0.35">
      <c r="A12684">
        <v>1012966</v>
      </c>
      <c r="B12684">
        <v>11911</v>
      </c>
      <c r="C12684">
        <v>5</v>
      </c>
      <c r="D12684" s="17" t="s">
        <v>17166</v>
      </c>
      <c r="E12684" s="17"/>
      <c r="F12684" s="17" t="s">
        <v>17246</v>
      </c>
      <c r="G12684" s="17"/>
      <c r="H12684" s="17" t="s">
        <v>23950</v>
      </c>
      <c r="I12684" s="17" t="s">
        <v>26604</v>
      </c>
      <c r="J12684" s="17" t="s">
        <v>47099</v>
      </c>
      <c r="K12684" s="17"/>
      <c r="L12684" s="17" t="s">
        <v>47100</v>
      </c>
      <c r="M12684" s="17"/>
      <c r="N12684" s="17" t="s">
        <v>27392</v>
      </c>
      <c r="O12684" s="17"/>
      <c r="P12684" s="17" t="s">
        <v>27418</v>
      </c>
      <c r="Q12684" s="17"/>
      <c r="R12684" s="25" t="str">
        <f t="shared" si="35"/>
        <v>Orthobunyavirus bunyamweraense</v>
      </c>
      <c r="S12684" s="18" t="s">
        <v>8141</v>
      </c>
      <c r="T12684" s="18" t="s">
        <v>27520</v>
      </c>
      <c r="U12684" s="18" t="s">
        <v>27521</v>
      </c>
      <c r="V12684" s="18"/>
      <c r="W12684" s="18"/>
      <c r="X12684" s="18" t="s">
        <v>3311</v>
      </c>
      <c r="Y12684" s="18" t="s">
        <v>23964</v>
      </c>
      <c r="Z12684" s="18" t="s">
        <v>12289</v>
      </c>
      <c r="AA12684" s="21"/>
    </row>
    <row r="12685" spans="1:27" x14ac:dyDescent="0.35">
      <c r="A12685">
        <v>1012967</v>
      </c>
      <c r="B12685">
        <v>11911</v>
      </c>
      <c r="C12685">
        <v>6</v>
      </c>
      <c r="D12685" s="17" t="s">
        <v>17166</v>
      </c>
      <c r="E12685" s="17"/>
      <c r="F12685" s="17" t="s">
        <v>17246</v>
      </c>
      <c r="G12685" s="17"/>
      <c r="H12685" s="17" t="s">
        <v>23950</v>
      </c>
      <c r="I12685" s="17" t="s">
        <v>26604</v>
      </c>
      <c r="J12685" s="17" t="s">
        <v>47099</v>
      </c>
      <c r="K12685" s="17"/>
      <c r="L12685" s="17" t="s">
        <v>47100</v>
      </c>
      <c r="M12685" s="17"/>
      <c r="N12685" s="17" t="s">
        <v>27392</v>
      </c>
      <c r="O12685" s="17"/>
      <c r="P12685" s="17" t="s">
        <v>27418</v>
      </c>
      <c r="Q12685" s="17"/>
      <c r="R12685" s="25" t="str">
        <f t="shared" si="35"/>
        <v>Orthobunyavirus bunyamweraense</v>
      </c>
      <c r="S12685" s="18" t="s">
        <v>8141</v>
      </c>
      <c r="T12685" s="18" t="s">
        <v>27522</v>
      </c>
      <c r="U12685" s="18" t="s">
        <v>27523</v>
      </c>
      <c r="V12685" s="18" t="s">
        <v>27524</v>
      </c>
      <c r="W12685" s="18" t="s">
        <v>49490</v>
      </c>
      <c r="X12685" s="18" t="s">
        <v>154</v>
      </c>
      <c r="Y12685" s="18" t="s">
        <v>23964</v>
      </c>
      <c r="Z12685" s="18" t="s">
        <v>12289</v>
      </c>
      <c r="AA12685" s="21" t="str">
        <f>HYPERLINK("https://www.ncbi.nlm.nih.gov/nuccore/EU564830","NCBI Nucleotide")</f>
        <v>NCBI Nucleotide</v>
      </c>
    </row>
    <row r="12686" spans="1:27" x14ac:dyDescent="0.35">
      <c r="A12686">
        <v>1011269</v>
      </c>
      <c r="B12686">
        <v>11912</v>
      </c>
      <c r="C12686">
        <v>1</v>
      </c>
      <c r="D12686" s="17" t="s">
        <v>17166</v>
      </c>
      <c r="E12686" s="17"/>
      <c r="F12686" s="17" t="s">
        <v>17246</v>
      </c>
      <c r="G12686" s="17"/>
      <c r="H12686" s="17" t="s">
        <v>23950</v>
      </c>
      <c r="I12686" s="17" t="s">
        <v>26604</v>
      </c>
      <c r="J12686" s="17" t="s">
        <v>47099</v>
      </c>
      <c r="K12686" s="17"/>
      <c r="L12686" s="17" t="s">
        <v>47100</v>
      </c>
      <c r="M12686" s="17"/>
      <c r="N12686" s="17" t="s">
        <v>27392</v>
      </c>
      <c r="O12686" s="17"/>
      <c r="P12686" s="17" t="s">
        <v>27418</v>
      </c>
      <c r="Q12686" s="17"/>
      <c r="R12686" s="25" t="str">
        <f>HYPERLINK("https://ictv.global/taxonomy/taxondetails?taxnode_id=202300101","Orthobunyavirus bushbushense")</f>
        <v>Orthobunyavirus bushbushense</v>
      </c>
      <c r="S12686" s="18" t="s">
        <v>30</v>
      </c>
      <c r="T12686" s="18" t="s">
        <v>27525</v>
      </c>
      <c r="U12686" s="18" t="s">
        <v>18862</v>
      </c>
      <c r="V12686" s="18"/>
      <c r="W12686" s="18" t="s">
        <v>50809</v>
      </c>
      <c r="X12686" s="18" t="s">
        <v>42</v>
      </c>
      <c r="Y12686" s="18" t="s">
        <v>23964</v>
      </c>
      <c r="Z12686" s="18" t="s">
        <v>12289</v>
      </c>
      <c r="AA12686" s="21" t="str">
        <f>HYPERLINK("https://www.ncbi.nlm.nih.gov/nuccore/MK896599,MK896598,MK896597","NCBI Nucleotide")</f>
        <v>NCBI Nucleotide</v>
      </c>
    </row>
    <row r="12687" spans="1:27" x14ac:dyDescent="0.35">
      <c r="A12687">
        <v>1012968</v>
      </c>
      <c r="B12687">
        <v>11912</v>
      </c>
      <c r="C12687">
        <v>2</v>
      </c>
      <c r="D12687" s="17" t="s">
        <v>17166</v>
      </c>
      <c r="E12687" s="17"/>
      <c r="F12687" s="17" t="s">
        <v>17246</v>
      </c>
      <c r="G12687" s="17"/>
      <c r="H12687" s="17" t="s">
        <v>23950</v>
      </c>
      <c r="I12687" s="17" t="s">
        <v>26604</v>
      </c>
      <c r="J12687" s="17" t="s">
        <v>47099</v>
      </c>
      <c r="K12687" s="17"/>
      <c r="L12687" s="17" t="s">
        <v>47100</v>
      </c>
      <c r="M12687" s="17"/>
      <c r="N12687" s="17" t="s">
        <v>27392</v>
      </c>
      <c r="O12687" s="17"/>
      <c r="P12687" s="17" t="s">
        <v>27418</v>
      </c>
      <c r="Q12687" s="17"/>
      <c r="R12687" s="25" t="str">
        <f>HYPERLINK("https://ictv.global/taxonomy/taxondetails?taxnode_id=202300101","Orthobunyavirus bushbushense")</f>
        <v>Orthobunyavirus bushbushense</v>
      </c>
      <c r="S12687" s="18" t="s">
        <v>8141</v>
      </c>
      <c r="T12687" s="18" t="s">
        <v>27964</v>
      </c>
      <c r="U12687" s="18" t="s">
        <v>26134</v>
      </c>
      <c r="V12687" s="18" t="s">
        <v>27965</v>
      </c>
      <c r="W12687" s="18" t="s">
        <v>49491</v>
      </c>
      <c r="X12687" s="18" t="s">
        <v>42</v>
      </c>
      <c r="Y12687" s="18" t="s">
        <v>23964</v>
      </c>
      <c r="Z12687" s="18" t="s">
        <v>12289</v>
      </c>
      <c r="AA12687" s="21" t="str">
        <f>HYPERLINK("https://www.ncbi.nlm.nih.gov/nuccore/MK896521,MK896520,MK896519","NCBI Nucleotide")</f>
        <v>NCBI Nucleotide</v>
      </c>
    </row>
    <row r="12688" spans="1:27" x14ac:dyDescent="0.35">
      <c r="A12688">
        <v>1011270</v>
      </c>
      <c r="B12688">
        <v>11913</v>
      </c>
      <c r="C12688">
        <v>1</v>
      </c>
      <c r="D12688" s="17" t="s">
        <v>17166</v>
      </c>
      <c r="E12688" s="17"/>
      <c r="F12688" s="17" t="s">
        <v>17246</v>
      </c>
      <c r="G12688" s="17"/>
      <c r="H12688" s="17" t="s">
        <v>23950</v>
      </c>
      <c r="I12688" s="17" t="s">
        <v>26604</v>
      </c>
      <c r="J12688" s="17" t="s">
        <v>47099</v>
      </c>
      <c r="K12688" s="17"/>
      <c r="L12688" s="17" t="s">
        <v>47100</v>
      </c>
      <c r="M12688" s="17"/>
      <c r="N12688" s="17" t="s">
        <v>27392</v>
      </c>
      <c r="O12688" s="17"/>
      <c r="P12688" s="17" t="s">
        <v>27418</v>
      </c>
      <c r="Q12688" s="17"/>
      <c r="R12688" s="25" t="str">
        <f>HYPERLINK("https://ictv.global/taxonomy/taxondetails?taxnode_id=202306374","Orthobunyavirus buttonwillowense")</f>
        <v>Orthobunyavirus buttonwillowense</v>
      </c>
      <c r="S12688" s="18" t="s">
        <v>30</v>
      </c>
      <c r="T12688" s="18" t="s">
        <v>27526</v>
      </c>
      <c r="U12688" s="18" t="s">
        <v>27527</v>
      </c>
      <c r="V12688" s="18" t="s">
        <v>27528</v>
      </c>
      <c r="W12688" s="18" t="s">
        <v>27529</v>
      </c>
      <c r="X12688" s="18" t="s">
        <v>42</v>
      </c>
      <c r="Y12688" s="18" t="s">
        <v>23964</v>
      </c>
      <c r="Z12688" s="18" t="s">
        <v>12289</v>
      </c>
      <c r="AA12688" s="21" t="str">
        <f>HYPERLINK("https://www.ncbi.nlm.nih.gov/nuccore/KF697160,KF697161,KF697162","NCBI Nucleotide")</f>
        <v>NCBI Nucleotide</v>
      </c>
    </row>
    <row r="12689" spans="1:27" x14ac:dyDescent="0.35">
      <c r="A12689">
        <v>1011271</v>
      </c>
      <c r="B12689">
        <v>11914</v>
      </c>
      <c r="C12689">
        <v>1</v>
      </c>
      <c r="D12689" s="17" t="s">
        <v>17166</v>
      </c>
      <c r="E12689" s="17"/>
      <c r="F12689" s="17" t="s">
        <v>17246</v>
      </c>
      <c r="G12689" s="17"/>
      <c r="H12689" s="17" t="s">
        <v>23950</v>
      </c>
      <c r="I12689" s="17" t="s">
        <v>26604</v>
      </c>
      <c r="J12689" s="17" t="s">
        <v>47099</v>
      </c>
      <c r="K12689" s="17"/>
      <c r="L12689" s="17" t="s">
        <v>47100</v>
      </c>
      <c r="M12689" s="17"/>
      <c r="N12689" s="17" t="s">
        <v>27392</v>
      </c>
      <c r="O12689" s="17"/>
      <c r="P12689" s="17" t="s">
        <v>27418</v>
      </c>
      <c r="Q12689" s="17"/>
      <c r="R12689" s="25" t="str">
        <f>HYPERLINK("https://ictv.global/taxonomy/taxondetails?taxnode_id=202300102","Orthobunyavirus bwambaense")</f>
        <v>Orthobunyavirus bwambaense</v>
      </c>
      <c r="S12689" s="18" t="s">
        <v>30</v>
      </c>
      <c r="T12689" s="18" t="s">
        <v>27530</v>
      </c>
      <c r="U12689" s="18" t="s">
        <v>27531</v>
      </c>
      <c r="V12689" s="18" t="s">
        <v>27532</v>
      </c>
      <c r="W12689" s="18" t="s">
        <v>50603</v>
      </c>
      <c r="X12689" s="18" t="s">
        <v>42</v>
      </c>
      <c r="Y12689" s="18" t="s">
        <v>23964</v>
      </c>
      <c r="Z12689" s="18" t="s">
        <v>12289</v>
      </c>
      <c r="AA12689" s="21" t="str">
        <f>HYPERLINK("https://www.ncbi.nlm.nih.gov/nuccore/KJ867184,KJ867183,KJ867182","NCBI Nucleotide")</f>
        <v>NCBI Nucleotide</v>
      </c>
    </row>
    <row r="12690" spans="1:27" x14ac:dyDescent="0.35">
      <c r="A12690">
        <v>1012969</v>
      </c>
      <c r="B12690">
        <v>11914</v>
      </c>
      <c r="C12690">
        <v>2</v>
      </c>
      <c r="D12690" s="17" t="s">
        <v>17166</v>
      </c>
      <c r="E12690" s="17"/>
      <c r="F12690" s="17" t="s">
        <v>17246</v>
      </c>
      <c r="G12690" s="17"/>
      <c r="H12690" s="17" t="s">
        <v>23950</v>
      </c>
      <c r="I12690" s="17" t="s">
        <v>26604</v>
      </c>
      <c r="J12690" s="17" t="s">
        <v>47099</v>
      </c>
      <c r="K12690" s="17"/>
      <c r="L12690" s="17" t="s">
        <v>47100</v>
      </c>
      <c r="M12690" s="17"/>
      <c r="N12690" s="17" t="s">
        <v>27392</v>
      </c>
      <c r="O12690" s="17"/>
      <c r="P12690" s="17" t="s">
        <v>27418</v>
      </c>
      <c r="Q12690" s="17"/>
      <c r="R12690" s="25" t="str">
        <f>HYPERLINK("https://ictv.global/taxonomy/taxondetails?taxnode_id=202300102","Orthobunyavirus bwambaense")</f>
        <v>Orthobunyavirus bwambaense</v>
      </c>
      <c r="S12690" s="18" t="s">
        <v>8141</v>
      </c>
      <c r="T12690" s="18" t="s">
        <v>27533</v>
      </c>
      <c r="U12690" s="18" t="s">
        <v>27534</v>
      </c>
      <c r="V12690" s="18" t="s">
        <v>27535</v>
      </c>
      <c r="W12690" s="18" t="s">
        <v>49492</v>
      </c>
      <c r="X12690" s="18" t="s">
        <v>42</v>
      </c>
      <c r="Y12690" s="18" t="s">
        <v>23964</v>
      </c>
      <c r="Z12690" s="18" t="s">
        <v>12289</v>
      </c>
      <c r="AA12690" s="21" t="str">
        <f>HYPERLINK("https://www.ncbi.nlm.nih.gov/nuccore/KJ867178,KJ867177,EU564828","NCBI Nucleotide")</f>
        <v>NCBI Nucleotide</v>
      </c>
    </row>
    <row r="12691" spans="1:27" x14ac:dyDescent="0.35">
      <c r="A12691">
        <v>1011272</v>
      </c>
      <c r="B12691">
        <v>11915</v>
      </c>
      <c r="C12691">
        <v>1</v>
      </c>
      <c r="D12691" s="17" t="s">
        <v>17166</v>
      </c>
      <c r="E12691" s="17"/>
      <c r="F12691" s="17" t="s">
        <v>17246</v>
      </c>
      <c r="G12691" s="17"/>
      <c r="H12691" s="17" t="s">
        <v>23950</v>
      </c>
      <c r="I12691" s="17" t="s">
        <v>26604</v>
      </c>
      <c r="J12691" s="17" t="s">
        <v>47099</v>
      </c>
      <c r="K12691" s="17"/>
      <c r="L12691" s="17" t="s">
        <v>47100</v>
      </c>
      <c r="M12691" s="17"/>
      <c r="N12691" s="17" t="s">
        <v>27392</v>
      </c>
      <c r="O12691" s="17"/>
      <c r="P12691" s="17" t="s">
        <v>27418</v>
      </c>
      <c r="Q12691" s="17"/>
      <c r="R12691" s="25" t="str">
        <f>HYPERLINK("https://ictv.global/taxonomy/taxondetails?taxnode_id=202306358","Orthobunyavirus cacheense")</f>
        <v>Orthobunyavirus cacheense</v>
      </c>
      <c r="S12691" s="18" t="s">
        <v>30</v>
      </c>
      <c r="T12691" s="18" t="s">
        <v>27536</v>
      </c>
      <c r="U12691" s="18" t="s">
        <v>18192</v>
      </c>
      <c r="V12691" s="18" t="s">
        <v>27537</v>
      </c>
      <c r="W12691" s="18" t="s">
        <v>50604</v>
      </c>
      <c r="X12691" s="18" t="s">
        <v>42</v>
      </c>
      <c r="Y12691" s="18" t="s">
        <v>23964</v>
      </c>
      <c r="Z12691" s="18" t="s">
        <v>12289</v>
      </c>
      <c r="AA12691" s="21" t="str">
        <f>HYPERLINK("https://www.ncbi.nlm.nih.gov/nuccore/KX100135,KX100134,KX100133","NCBI Nucleotide")</f>
        <v>NCBI Nucleotide</v>
      </c>
    </row>
    <row r="12692" spans="1:27" x14ac:dyDescent="0.35">
      <c r="A12692">
        <v>1012970</v>
      </c>
      <c r="B12692">
        <v>11915</v>
      </c>
      <c r="C12692">
        <v>2</v>
      </c>
      <c r="D12692" s="17" t="s">
        <v>17166</v>
      </c>
      <c r="E12692" s="17"/>
      <c r="F12692" s="17" t="s">
        <v>17246</v>
      </c>
      <c r="G12692" s="17"/>
      <c r="H12692" s="17" t="s">
        <v>23950</v>
      </c>
      <c r="I12692" s="17" t="s">
        <v>26604</v>
      </c>
      <c r="J12692" s="17" t="s">
        <v>47099</v>
      </c>
      <c r="K12692" s="17"/>
      <c r="L12692" s="17" t="s">
        <v>47100</v>
      </c>
      <c r="M12692" s="17"/>
      <c r="N12692" s="17" t="s">
        <v>27392</v>
      </c>
      <c r="O12692" s="17"/>
      <c r="P12692" s="17" t="s">
        <v>27418</v>
      </c>
      <c r="Q12692" s="17"/>
      <c r="R12692" s="25" t="str">
        <f>HYPERLINK("https://ictv.global/taxonomy/taxondetails?taxnode_id=202306358","Orthobunyavirus cacheense")</f>
        <v>Orthobunyavirus cacheense</v>
      </c>
      <c r="S12692" s="18" t="s">
        <v>8141</v>
      </c>
      <c r="T12692" s="18" t="s">
        <v>27538</v>
      </c>
      <c r="U12692" s="18" t="s">
        <v>27539</v>
      </c>
      <c r="V12692" s="18" t="s">
        <v>27540</v>
      </c>
      <c r="W12692" s="18" t="s">
        <v>49493</v>
      </c>
      <c r="X12692" s="18" t="s">
        <v>154</v>
      </c>
      <c r="Y12692" s="18" t="s">
        <v>23964</v>
      </c>
      <c r="Z12692" s="18" t="s">
        <v>12289</v>
      </c>
      <c r="AA12692" s="21" t="str">
        <f>HYPERLINK("https://www.ncbi.nlm.nih.gov/nuccore/JN808311,JN808310,EU879062","NCBI Nucleotide")</f>
        <v>NCBI Nucleotide</v>
      </c>
    </row>
    <row r="12693" spans="1:27" x14ac:dyDescent="0.35">
      <c r="A12693">
        <v>1012972</v>
      </c>
      <c r="B12693">
        <v>11915</v>
      </c>
      <c r="C12693">
        <v>3</v>
      </c>
      <c r="D12693" s="17" t="s">
        <v>17166</v>
      </c>
      <c r="E12693" s="17"/>
      <c r="F12693" s="17" t="s">
        <v>17246</v>
      </c>
      <c r="G12693" s="17"/>
      <c r="H12693" s="17" t="s">
        <v>23950</v>
      </c>
      <c r="I12693" s="17" t="s">
        <v>26604</v>
      </c>
      <c r="J12693" s="17" t="s">
        <v>47099</v>
      </c>
      <c r="K12693" s="17"/>
      <c r="L12693" s="17" t="s">
        <v>47100</v>
      </c>
      <c r="M12693" s="17"/>
      <c r="N12693" s="17" t="s">
        <v>27392</v>
      </c>
      <c r="O12693" s="17"/>
      <c r="P12693" s="17" t="s">
        <v>27418</v>
      </c>
      <c r="Q12693" s="17"/>
      <c r="R12693" s="25" t="str">
        <f>HYPERLINK("https://ictv.global/taxonomy/taxondetails?taxnode_id=202306358","Orthobunyavirus cacheense")</f>
        <v>Orthobunyavirus cacheense</v>
      </c>
      <c r="S12693" s="18" t="s">
        <v>8141</v>
      </c>
      <c r="T12693" s="18" t="s">
        <v>27966</v>
      </c>
      <c r="U12693" s="18" t="s">
        <v>27967</v>
      </c>
      <c r="V12693" s="18" t="s">
        <v>27968</v>
      </c>
      <c r="W12693" s="18" t="s">
        <v>49494</v>
      </c>
      <c r="X12693" s="18" t="s">
        <v>42</v>
      </c>
      <c r="Y12693" s="18" t="s">
        <v>23964</v>
      </c>
      <c r="Z12693" s="18" t="s">
        <v>12289</v>
      </c>
      <c r="AA12693" s="21" t="str">
        <f>HYPERLINK("https://www.ncbi.nlm.nih.gov/nuccore/KX100129,KX100128,KX100127","NCBI Nucleotide")</f>
        <v>NCBI Nucleotide</v>
      </c>
    </row>
    <row r="12694" spans="1:27" x14ac:dyDescent="0.35">
      <c r="A12694">
        <v>1012971</v>
      </c>
      <c r="B12694">
        <v>11915</v>
      </c>
      <c r="C12694">
        <v>4</v>
      </c>
      <c r="D12694" s="17" t="s">
        <v>17166</v>
      </c>
      <c r="E12694" s="17"/>
      <c r="F12694" s="17" t="s">
        <v>17246</v>
      </c>
      <c r="G12694" s="17"/>
      <c r="H12694" s="17" t="s">
        <v>23950</v>
      </c>
      <c r="I12694" s="17" t="s">
        <v>26604</v>
      </c>
      <c r="J12694" s="17" t="s">
        <v>47099</v>
      </c>
      <c r="K12694" s="17"/>
      <c r="L12694" s="17" t="s">
        <v>47100</v>
      </c>
      <c r="M12694" s="17"/>
      <c r="N12694" s="17" t="s">
        <v>27392</v>
      </c>
      <c r="O12694" s="17"/>
      <c r="P12694" s="17" t="s">
        <v>27418</v>
      </c>
      <c r="Q12694" s="17"/>
      <c r="R12694" s="25" t="str">
        <f>HYPERLINK("https://ictv.global/taxonomy/taxondetails?taxnode_id=202306358","Orthobunyavirus cacheense")</f>
        <v>Orthobunyavirus cacheense</v>
      </c>
      <c r="S12694" s="18" t="s">
        <v>8141</v>
      </c>
      <c r="T12694" s="18" t="s">
        <v>27541</v>
      </c>
      <c r="U12694" s="18" t="s">
        <v>27542</v>
      </c>
      <c r="V12694" s="18" t="s">
        <v>27543</v>
      </c>
      <c r="W12694" s="18" t="s">
        <v>49495</v>
      </c>
      <c r="X12694" s="18" t="s">
        <v>42</v>
      </c>
      <c r="Y12694" s="18" t="s">
        <v>23964</v>
      </c>
      <c r="Z12694" s="18" t="s">
        <v>12289</v>
      </c>
      <c r="AA12694" s="21" t="str">
        <f>HYPERLINK("https://www.ncbi.nlm.nih.gov/nuccore/KX100120,KX100119,KX100118","NCBI Nucleotide")</f>
        <v>NCBI Nucleotide</v>
      </c>
    </row>
    <row r="12695" spans="1:27" x14ac:dyDescent="0.35">
      <c r="A12695">
        <v>1011273</v>
      </c>
      <c r="B12695">
        <v>11916</v>
      </c>
      <c r="C12695">
        <v>1</v>
      </c>
      <c r="D12695" s="17" t="s">
        <v>17166</v>
      </c>
      <c r="E12695" s="17"/>
      <c r="F12695" s="17" t="s">
        <v>17246</v>
      </c>
      <c r="G12695" s="17"/>
      <c r="H12695" s="17" t="s">
        <v>23950</v>
      </c>
      <c r="I12695" s="17" t="s">
        <v>26604</v>
      </c>
      <c r="J12695" s="17" t="s">
        <v>47099</v>
      </c>
      <c r="K12695" s="17"/>
      <c r="L12695" s="17" t="s">
        <v>47100</v>
      </c>
      <c r="M12695" s="17"/>
      <c r="N12695" s="17" t="s">
        <v>27392</v>
      </c>
      <c r="O12695" s="17"/>
      <c r="P12695" s="17" t="s">
        <v>27418</v>
      </c>
      <c r="Q12695" s="17"/>
      <c r="R12695" s="25" t="str">
        <f>HYPERLINK("https://ictv.global/taxonomy/taxondetails?taxnode_id=202300104","Orthobunyavirus capimense")</f>
        <v>Orthobunyavirus capimense</v>
      </c>
      <c r="S12695" s="18" t="s">
        <v>30</v>
      </c>
      <c r="T12695" s="18" t="s">
        <v>27544</v>
      </c>
      <c r="U12695" s="18" t="s">
        <v>27545</v>
      </c>
      <c r="V12695" s="18" t="s">
        <v>27546</v>
      </c>
      <c r="W12695" s="18" t="s">
        <v>27547</v>
      </c>
      <c r="X12695" s="18" t="s">
        <v>42</v>
      </c>
      <c r="Y12695" s="18" t="s">
        <v>23964</v>
      </c>
      <c r="Z12695" s="18" t="s">
        <v>12289</v>
      </c>
      <c r="AA12695" s="21" t="str">
        <f>HYPERLINK("https://www.ncbi.nlm.nih.gov/nuccore/KT160026,KT160027,KT160028","NCBI Nucleotide")</f>
        <v>NCBI Nucleotide</v>
      </c>
    </row>
    <row r="12696" spans="1:27" x14ac:dyDescent="0.35">
      <c r="A12696">
        <v>1000368</v>
      </c>
      <c r="B12696">
        <v>11917</v>
      </c>
      <c r="C12696">
        <v>1</v>
      </c>
      <c r="D12696" s="17" t="s">
        <v>17166</v>
      </c>
      <c r="E12696" s="17"/>
      <c r="F12696" s="17" t="s">
        <v>17246</v>
      </c>
      <c r="G12696" s="17"/>
      <c r="H12696" s="17" t="s">
        <v>23950</v>
      </c>
      <c r="I12696" s="17" t="s">
        <v>26604</v>
      </c>
      <c r="J12696" s="17" t="s">
        <v>47099</v>
      </c>
      <c r="K12696" s="17"/>
      <c r="L12696" s="17" t="s">
        <v>47100</v>
      </c>
      <c r="M12696" s="17"/>
      <c r="N12696" s="17" t="s">
        <v>27392</v>
      </c>
      <c r="O12696" s="17"/>
      <c r="P12696" s="17" t="s">
        <v>27418</v>
      </c>
      <c r="Q12696" s="17"/>
      <c r="R12696" s="25" t="str">
        <f>HYPERLINK("https://ictv.global/taxonomy/taxondetails?taxnode_id=202300105","Orthobunyavirus caraparuense")</f>
        <v>Orthobunyavirus caraparuense</v>
      </c>
      <c r="S12696" s="18" t="s">
        <v>30</v>
      </c>
      <c r="T12696" s="18" t="s">
        <v>27548</v>
      </c>
      <c r="U12696" s="18" t="s">
        <v>26090</v>
      </c>
      <c r="V12696" s="18" t="s">
        <v>27549</v>
      </c>
      <c r="W12696" s="18" t="s">
        <v>27550</v>
      </c>
      <c r="X12696" s="18" t="s">
        <v>42</v>
      </c>
      <c r="Y12696" s="18" t="s">
        <v>23964</v>
      </c>
      <c r="Z12696" s="18" t="s">
        <v>12289</v>
      </c>
      <c r="AA12696" s="21" t="str">
        <f>HYPERLINK("https://www.ncbi.nlm.nih.gov/nuccore/KF254776,KF254777,KF254778","NCBI Nucleotide")</f>
        <v>NCBI Nucleotide</v>
      </c>
    </row>
    <row r="12697" spans="1:27" x14ac:dyDescent="0.35">
      <c r="A12697">
        <v>1011274</v>
      </c>
      <c r="B12697">
        <v>11917</v>
      </c>
      <c r="C12697">
        <v>2</v>
      </c>
      <c r="D12697" s="17" t="s">
        <v>17166</v>
      </c>
      <c r="E12697" s="17"/>
      <c r="F12697" s="17" t="s">
        <v>17246</v>
      </c>
      <c r="G12697" s="17"/>
      <c r="H12697" s="17" t="s">
        <v>23950</v>
      </c>
      <c r="I12697" s="17" t="s">
        <v>26604</v>
      </c>
      <c r="J12697" s="17" t="s">
        <v>47099</v>
      </c>
      <c r="K12697" s="17"/>
      <c r="L12697" s="17" t="s">
        <v>47100</v>
      </c>
      <c r="M12697" s="17"/>
      <c r="N12697" s="17" t="s">
        <v>27392</v>
      </c>
      <c r="O12697" s="17"/>
      <c r="P12697" s="17" t="s">
        <v>27418</v>
      </c>
      <c r="Q12697" s="17"/>
      <c r="R12697" s="25" t="str">
        <f>HYPERLINK("https://ictv.global/taxonomy/taxondetails?taxnode_id=202300105","Orthobunyavirus caraparuense")</f>
        <v>Orthobunyavirus caraparuense</v>
      </c>
      <c r="S12697" s="18" t="s">
        <v>8141</v>
      </c>
      <c r="T12697" s="18" t="s">
        <v>27551</v>
      </c>
      <c r="U12697" s="18" t="s">
        <v>27552</v>
      </c>
      <c r="V12697" s="18" t="s">
        <v>27553</v>
      </c>
      <c r="W12697" s="18" t="s">
        <v>49496</v>
      </c>
      <c r="X12697" s="18" t="s">
        <v>154</v>
      </c>
      <c r="Y12697" s="18" t="s">
        <v>23964</v>
      </c>
      <c r="Z12697" s="18" t="s">
        <v>12289</v>
      </c>
      <c r="AA12697" s="21" t="str">
        <f>HYPERLINK("https://www.ncbi.nlm.nih.gov/nuccore/KT334540","NCBI Nucleotide")</f>
        <v>NCBI Nucleotide</v>
      </c>
    </row>
    <row r="12698" spans="1:27" x14ac:dyDescent="0.35">
      <c r="A12698">
        <v>1011276</v>
      </c>
      <c r="B12698">
        <v>11917</v>
      </c>
      <c r="C12698">
        <v>3</v>
      </c>
      <c r="D12698" s="17" t="s">
        <v>17166</v>
      </c>
      <c r="E12698" s="17"/>
      <c r="F12698" s="17" t="s">
        <v>17246</v>
      </c>
      <c r="G12698" s="17"/>
      <c r="H12698" s="17" t="s">
        <v>23950</v>
      </c>
      <c r="I12698" s="17" t="s">
        <v>26604</v>
      </c>
      <c r="J12698" s="17" t="s">
        <v>47099</v>
      </c>
      <c r="K12698" s="17"/>
      <c r="L12698" s="17" t="s">
        <v>47100</v>
      </c>
      <c r="M12698" s="17"/>
      <c r="N12698" s="17" t="s">
        <v>27392</v>
      </c>
      <c r="O12698" s="17"/>
      <c r="P12698" s="17" t="s">
        <v>27418</v>
      </c>
      <c r="Q12698" s="17"/>
      <c r="R12698" s="25" t="str">
        <f>HYPERLINK("https://ictv.global/taxonomy/taxondetails?taxnode_id=202300105","Orthobunyavirus caraparuense")</f>
        <v>Orthobunyavirus caraparuense</v>
      </c>
      <c r="S12698" s="18" t="s">
        <v>8141</v>
      </c>
      <c r="T12698" s="18" t="s">
        <v>27969</v>
      </c>
      <c r="U12698" s="18" t="s">
        <v>27970</v>
      </c>
      <c r="V12698" s="18" t="s">
        <v>27971</v>
      </c>
      <c r="W12698" s="18" t="s">
        <v>49497</v>
      </c>
      <c r="X12698" s="18" t="s">
        <v>42</v>
      </c>
      <c r="Y12698" s="18" t="s">
        <v>23964</v>
      </c>
      <c r="Z12698" s="18" t="s">
        <v>12289</v>
      </c>
      <c r="AA12698" s="21" t="str">
        <f>HYPERLINK("https://www.ncbi.nlm.nih.gov/nuccore/MG029275,MG029276,MG029277","NCBI Nucleotide")</f>
        <v>NCBI Nucleotide</v>
      </c>
    </row>
    <row r="12699" spans="1:27" x14ac:dyDescent="0.35">
      <c r="A12699">
        <v>1011275</v>
      </c>
      <c r="B12699">
        <v>11917</v>
      </c>
      <c r="C12699">
        <v>4</v>
      </c>
      <c r="D12699" s="17" t="s">
        <v>17166</v>
      </c>
      <c r="E12699" s="17"/>
      <c r="F12699" s="17" t="s">
        <v>17246</v>
      </c>
      <c r="G12699" s="17"/>
      <c r="H12699" s="17" t="s">
        <v>23950</v>
      </c>
      <c r="I12699" s="17" t="s">
        <v>26604</v>
      </c>
      <c r="J12699" s="17" t="s">
        <v>47099</v>
      </c>
      <c r="K12699" s="17"/>
      <c r="L12699" s="17" t="s">
        <v>47100</v>
      </c>
      <c r="M12699" s="17"/>
      <c r="N12699" s="17" t="s">
        <v>27392</v>
      </c>
      <c r="O12699" s="17"/>
      <c r="P12699" s="17" t="s">
        <v>27418</v>
      </c>
      <c r="Q12699" s="17"/>
      <c r="R12699" s="25" t="str">
        <f>HYPERLINK("https://ictv.global/taxonomy/taxondetails?taxnode_id=202300105","Orthobunyavirus caraparuense")</f>
        <v>Orthobunyavirus caraparuense</v>
      </c>
      <c r="S12699" s="18" t="s">
        <v>8141</v>
      </c>
      <c r="T12699" s="18" t="s">
        <v>27554</v>
      </c>
      <c r="U12699" s="18" t="s">
        <v>27555</v>
      </c>
      <c r="V12699" s="18" t="s">
        <v>27556</v>
      </c>
      <c r="W12699" s="18" t="s">
        <v>49498</v>
      </c>
      <c r="X12699" s="18" t="s">
        <v>42</v>
      </c>
      <c r="Y12699" s="18" t="s">
        <v>23964</v>
      </c>
      <c r="Z12699" s="18" t="s">
        <v>12289</v>
      </c>
      <c r="AA12699" s="21" t="str">
        <f>HYPERLINK("https://www.ncbi.nlm.nih.gov/nuccore/KM092512,KM092513,KM092514","NCBI Nucleotide")</f>
        <v>NCBI Nucleotide</v>
      </c>
    </row>
    <row r="12700" spans="1:27" x14ac:dyDescent="0.35">
      <c r="A12700">
        <v>1000369</v>
      </c>
      <c r="B12700">
        <v>11918</v>
      </c>
      <c r="C12700">
        <v>1</v>
      </c>
      <c r="D12700" s="17" t="s">
        <v>17166</v>
      </c>
      <c r="E12700" s="17"/>
      <c r="F12700" s="17" t="s">
        <v>17246</v>
      </c>
      <c r="G12700" s="17"/>
      <c r="H12700" s="17" t="s">
        <v>23950</v>
      </c>
      <c r="I12700" s="17" t="s">
        <v>26604</v>
      </c>
      <c r="J12700" s="17" t="s">
        <v>47099</v>
      </c>
      <c r="K12700" s="17"/>
      <c r="L12700" s="17" t="s">
        <v>47100</v>
      </c>
      <c r="M12700" s="17"/>
      <c r="N12700" s="17" t="s">
        <v>27392</v>
      </c>
      <c r="O12700" s="17"/>
      <c r="P12700" s="17" t="s">
        <v>27418</v>
      </c>
      <c r="Q12700" s="17"/>
      <c r="R12700" s="25" t="str">
        <f>HYPERLINK("https://ictv.global/taxonomy/taxondetails?taxnode_id=202306375","Orthobunyavirus catqueense")</f>
        <v>Orthobunyavirus catqueense</v>
      </c>
      <c r="S12700" s="18" t="s">
        <v>30</v>
      </c>
      <c r="T12700" s="18" t="s">
        <v>27557</v>
      </c>
      <c r="U12700" s="18" t="s">
        <v>27558</v>
      </c>
      <c r="V12700" s="18" t="s">
        <v>27559</v>
      </c>
      <c r="W12700" s="18" t="s">
        <v>27560</v>
      </c>
      <c r="X12700" s="18" t="s">
        <v>42</v>
      </c>
      <c r="Y12700" s="18" t="s">
        <v>23964</v>
      </c>
      <c r="Z12700" s="18" t="s">
        <v>12289</v>
      </c>
      <c r="AA12700" s="21" t="str">
        <f>HYPERLINK("https://www.ncbi.nlm.nih.gov/nuccore/JQ675598,JQ675599,JQ675600","NCBI Nucleotide")</f>
        <v>NCBI Nucleotide</v>
      </c>
    </row>
    <row r="12701" spans="1:27" x14ac:dyDescent="0.35">
      <c r="A12701">
        <v>1011277</v>
      </c>
      <c r="B12701">
        <v>11918</v>
      </c>
      <c r="C12701">
        <v>2</v>
      </c>
      <c r="D12701" s="17" t="s">
        <v>17166</v>
      </c>
      <c r="E12701" s="17"/>
      <c r="F12701" s="17" t="s">
        <v>17246</v>
      </c>
      <c r="G12701" s="17"/>
      <c r="H12701" s="17" t="s">
        <v>23950</v>
      </c>
      <c r="I12701" s="17" t="s">
        <v>26604</v>
      </c>
      <c r="J12701" s="17" t="s">
        <v>47099</v>
      </c>
      <c r="K12701" s="17"/>
      <c r="L12701" s="17" t="s">
        <v>47100</v>
      </c>
      <c r="M12701" s="17"/>
      <c r="N12701" s="17" t="s">
        <v>27392</v>
      </c>
      <c r="O12701" s="17"/>
      <c r="P12701" s="17" t="s">
        <v>27418</v>
      </c>
      <c r="Q12701" s="17"/>
      <c r="R12701" s="25" t="str">
        <f>HYPERLINK("https://ictv.global/taxonomy/taxondetails?taxnode_id=202306375","Orthobunyavirus catqueense")</f>
        <v>Orthobunyavirus catqueense</v>
      </c>
      <c r="S12701" s="18" t="s">
        <v>8141</v>
      </c>
      <c r="T12701" s="18" t="s">
        <v>27561</v>
      </c>
      <c r="U12701" s="18" t="s">
        <v>27562</v>
      </c>
      <c r="V12701" s="18" t="s">
        <v>27563</v>
      </c>
      <c r="W12701" s="18" t="s">
        <v>49499</v>
      </c>
      <c r="X12701" s="18" t="s">
        <v>42</v>
      </c>
      <c r="Y12701" s="18" t="s">
        <v>23964</v>
      </c>
      <c r="Z12701" s="18" t="s">
        <v>12289</v>
      </c>
      <c r="AA12701" s="21" t="str">
        <f>HYPERLINK("https://www.ncbi.nlm.nih.gov/nuccore/JX983194,JX983193,JX983192","NCBI Nucleotide")</f>
        <v>NCBI Nucleotide</v>
      </c>
    </row>
    <row r="12702" spans="1:27" x14ac:dyDescent="0.35">
      <c r="A12702">
        <v>1000370</v>
      </c>
      <c r="B12702">
        <v>11919</v>
      </c>
      <c r="C12702">
        <v>1</v>
      </c>
      <c r="D12702" s="17" t="s">
        <v>17166</v>
      </c>
      <c r="E12702" s="17"/>
      <c r="F12702" s="17" t="s">
        <v>17246</v>
      </c>
      <c r="G12702" s="17"/>
      <c r="H12702" s="17" t="s">
        <v>23950</v>
      </c>
      <c r="I12702" s="17" t="s">
        <v>26604</v>
      </c>
      <c r="J12702" s="17" t="s">
        <v>47099</v>
      </c>
      <c r="K12702" s="17"/>
      <c r="L12702" s="17" t="s">
        <v>47100</v>
      </c>
      <c r="M12702" s="17"/>
      <c r="N12702" s="17" t="s">
        <v>27392</v>
      </c>
      <c r="O12702" s="17"/>
      <c r="P12702" s="17" t="s">
        <v>27418</v>
      </c>
      <c r="Q12702" s="17"/>
      <c r="R12702" s="25" t="str">
        <f>HYPERLINK("https://ictv.global/taxonomy/taxondetails?taxnode_id=202300106","Orthobunyavirus catuense")</f>
        <v>Orthobunyavirus catuense</v>
      </c>
      <c r="S12702" s="18" t="s">
        <v>30</v>
      </c>
      <c r="T12702" s="18" t="s">
        <v>27564</v>
      </c>
      <c r="U12702" s="18" t="s">
        <v>27565</v>
      </c>
      <c r="V12702" s="18" t="s">
        <v>27566</v>
      </c>
      <c r="W12702" s="18" t="s">
        <v>50605</v>
      </c>
      <c r="X12702" s="18" t="s">
        <v>42</v>
      </c>
      <c r="Y12702" s="18" t="s">
        <v>23964</v>
      </c>
      <c r="Z12702" s="18" t="s">
        <v>12289</v>
      </c>
      <c r="AA12702" s="21" t="str">
        <f>HYPERLINK("https://www.ncbi.nlm.nih.gov/nuccore/KP792660,KP792659,KP792658","NCBI Nucleotide")</f>
        <v>NCBI Nucleotide</v>
      </c>
    </row>
    <row r="12703" spans="1:27" x14ac:dyDescent="0.35">
      <c r="A12703">
        <v>1011278</v>
      </c>
      <c r="B12703">
        <v>11919</v>
      </c>
      <c r="C12703">
        <v>2</v>
      </c>
      <c r="D12703" s="17" t="s">
        <v>17166</v>
      </c>
      <c r="E12703" s="17"/>
      <c r="F12703" s="17" t="s">
        <v>17246</v>
      </c>
      <c r="G12703" s="17"/>
      <c r="H12703" s="17" t="s">
        <v>23950</v>
      </c>
      <c r="I12703" s="17" t="s">
        <v>26604</v>
      </c>
      <c r="J12703" s="17" t="s">
        <v>47099</v>
      </c>
      <c r="K12703" s="17"/>
      <c r="L12703" s="17" t="s">
        <v>47100</v>
      </c>
      <c r="M12703" s="17"/>
      <c r="N12703" s="17" t="s">
        <v>27392</v>
      </c>
      <c r="O12703" s="17"/>
      <c r="P12703" s="17" t="s">
        <v>27418</v>
      </c>
      <c r="Q12703" s="17"/>
      <c r="R12703" s="25" t="str">
        <f>HYPERLINK("https://ictv.global/taxonomy/taxondetails?taxnode_id=202300106","Orthobunyavirus catuense")</f>
        <v>Orthobunyavirus catuense</v>
      </c>
      <c r="S12703" s="18" t="s">
        <v>8141</v>
      </c>
      <c r="T12703" s="18" t="s">
        <v>27972</v>
      </c>
      <c r="U12703" s="18" t="s">
        <v>27973</v>
      </c>
      <c r="V12703" s="18" t="s">
        <v>27974</v>
      </c>
      <c r="W12703" s="18" t="s">
        <v>49500</v>
      </c>
      <c r="X12703" s="18" t="s">
        <v>42</v>
      </c>
      <c r="Y12703" s="18" t="s">
        <v>23964</v>
      </c>
      <c r="Z12703" s="18" t="s">
        <v>12289</v>
      </c>
      <c r="AA12703" s="21" t="str">
        <f>HYPERLINK("https://www.ncbi.nlm.nih.gov/nuccore/KP792675,KP792674,KP792673","NCBI Nucleotide")</f>
        <v>NCBI Nucleotide</v>
      </c>
    </row>
    <row r="12704" spans="1:27" x14ac:dyDescent="0.35">
      <c r="A12704">
        <v>1000371</v>
      </c>
      <c r="B12704">
        <v>11920</v>
      </c>
      <c r="C12704">
        <v>1</v>
      </c>
      <c r="D12704" s="17" t="s">
        <v>17166</v>
      </c>
      <c r="E12704" s="17"/>
      <c r="F12704" s="17" t="s">
        <v>17246</v>
      </c>
      <c r="G12704" s="17"/>
      <c r="H12704" s="17" t="s">
        <v>23950</v>
      </c>
      <c r="I12704" s="17" t="s">
        <v>26604</v>
      </c>
      <c r="J12704" s="17" t="s">
        <v>47099</v>
      </c>
      <c r="K12704" s="17"/>
      <c r="L12704" s="17" t="s">
        <v>47100</v>
      </c>
      <c r="M12704" s="17"/>
      <c r="N12704" s="17" t="s">
        <v>27392</v>
      </c>
      <c r="O12704" s="17"/>
      <c r="P12704" s="17" t="s">
        <v>27418</v>
      </c>
      <c r="Q12704" s="17"/>
      <c r="R12704" s="25" t="str">
        <f>HYPERLINK("https://ictv.global/taxonomy/taxondetails?taxnode_id=202300093","Orthobunyavirus cuchillaense")</f>
        <v>Orthobunyavirus cuchillaense</v>
      </c>
      <c r="S12704" s="18" t="s">
        <v>30</v>
      </c>
      <c r="T12704" s="18" t="s">
        <v>27567</v>
      </c>
      <c r="U12704" s="18" t="s">
        <v>27568</v>
      </c>
      <c r="V12704" s="18"/>
      <c r="W12704" s="18" t="s">
        <v>50810</v>
      </c>
      <c r="X12704" s="18" t="s">
        <v>154</v>
      </c>
      <c r="Y12704" s="18" t="s">
        <v>23964</v>
      </c>
      <c r="Z12704" s="18" t="s">
        <v>12289</v>
      </c>
      <c r="AA12704" s="21" t="str">
        <f>HYPERLINK("https://www.ncbi.nlm.nih.gov/nuccore/MK896644,MK896643,MK896642","NCBI Nucleotide")</f>
        <v>NCBI Nucleotide</v>
      </c>
    </row>
    <row r="12705" spans="1:27" x14ac:dyDescent="0.35">
      <c r="A12705">
        <v>1000372</v>
      </c>
      <c r="B12705">
        <v>11921</v>
      </c>
      <c r="C12705">
        <v>1</v>
      </c>
      <c r="D12705" s="17" t="s">
        <v>17166</v>
      </c>
      <c r="E12705" s="17"/>
      <c r="F12705" s="17" t="s">
        <v>17246</v>
      </c>
      <c r="G12705" s="17"/>
      <c r="H12705" s="17" t="s">
        <v>23950</v>
      </c>
      <c r="I12705" s="17" t="s">
        <v>26604</v>
      </c>
      <c r="J12705" s="17" t="s">
        <v>47099</v>
      </c>
      <c r="K12705" s="17"/>
      <c r="L12705" s="17" t="s">
        <v>47100</v>
      </c>
      <c r="M12705" s="17"/>
      <c r="N12705" s="17" t="s">
        <v>27392</v>
      </c>
      <c r="O12705" s="17"/>
      <c r="P12705" s="17" t="s">
        <v>27418</v>
      </c>
      <c r="Q12705" s="17"/>
      <c r="R12705" s="25" t="str">
        <f>HYPERLINK("https://ictv.global/taxonomy/taxondetails?taxnode_id=202314221","Orthobunyavirus ebiense")</f>
        <v>Orthobunyavirus ebiense</v>
      </c>
      <c r="S12705" s="18" t="s">
        <v>30</v>
      </c>
      <c r="T12705" s="18" t="s">
        <v>27569</v>
      </c>
      <c r="U12705" s="18" t="s">
        <v>27570</v>
      </c>
      <c r="V12705" s="18" t="s">
        <v>27571</v>
      </c>
      <c r="W12705" s="18" t="s">
        <v>50811</v>
      </c>
      <c r="X12705" s="18" t="s">
        <v>35</v>
      </c>
      <c r="Y12705" s="18" t="s">
        <v>23964</v>
      </c>
      <c r="Z12705" s="18" t="s">
        <v>10790</v>
      </c>
      <c r="AA12705" s="21" t="str">
        <f>HYPERLINK("https://www.ncbi.nlm.nih.gov/nuccore/KJ710425,KJ710423,KJ710424","NCBI Nucleotide")</f>
        <v>NCBI Nucleotide</v>
      </c>
    </row>
    <row r="12706" spans="1:27" x14ac:dyDescent="0.35">
      <c r="A12706">
        <v>1000373</v>
      </c>
      <c r="B12706">
        <v>11922</v>
      </c>
      <c r="C12706">
        <v>1</v>
      </c>
      <c r="D12706" s="17" t="s">
        <v>17166</v>
      </c>
      <c r="E12706" s="17"/>
      <c r="F12706" s="17" t="s">
        <v>17246</v>
      </c>
      <c r="G12706" s="17"/>
      <c r="H12706" s="17" t="s">
        <v>23950</v>
      </c>
      <c r="I12706" s="17" t="s">
        <v>26604</v>
      </c>
      <c r="J12706" s="17" t="s">
        <v>47099</v>
      </c>
      <c r="K12706" s="17"/>
      <c r="L12706" s="17" t="s">
        <v>47100</v>
      </c>
      <c r="M12706" s="17"/>
      <c r="N12706" s="17" t="s">
        <v>27392</v>
      </c>
      <c r="O12706" s="17"/>
      <c r="P12706" s="17" t="s">
        <v>27418</v>
      </c>
      <c r="Q12706" s="17"/>
      <c r="R12706" s="25" t="str">
        <f>HYPERLINK("https://ictv.global/taxonomy/taxondetails?taxnode_id=202300103","Orthobunyavirus encephalitidis")</f>
        <v>Orthobunyavirus encephalitidis</v>
      </c>
      <c r="S12706" s="18" t="s">
        <v>30</v>
      </c>
      <c r="T12706" s="18" t="s">
        <v>27572</v>
      </c>
      <c r="U12706" s="18" t="s">
        <v>27573</v>
      </c>
      <c r="V12706" s="18" t="s">
        <v>27574</v>
      </c>
      <c r="W12706" s="18" t="s">
        <v>27575</v>
      </c>
      <c r="X12706" s="18" t="s">
        <v>42</v>
      </c>
      <c r="Y12706" s="18" t="s">
        <v>23964</v>
      </c>
      <c r="Z12706" s="18" t="s">
        <v>12289</v>
      </c>
      <c r="AA12706" s="21" t="str">
        <f>HYPERLINK("https://www.ncbi.nlm.nih.gov/nuccore/KX817312,KX817313,KX817314","NCBI Nucleotide")</f>
        <v>NCBI Nucleotide</v>
      </c>
    </row>
    <row r="12707" spans="1:27" x14ac:dyDescent="0.35">
      <c r="A12707">
        <v>1011279</v>
      </c>
      <c r="B12707">
        <v>11922</v>
      </c>
      <c r="C12707">
        <v>2</v>
      </c>
      <c r="D12707" s="17" t="s">
        <v>17166</v>
      </c>
      <c r="E12707" s="17"/>
      <c r="F12707" s="17" t="s">
        <v>17246</v>
      </c>
      <c r="G12707" s="17"/>
      <c r="H12707" s="17" t="s">
        <v>23950</v>
      </c>
      <c r="I12707" s="17" t="s">
        <v>26604</v>
      </c>
      <c r="J12707" s="17" t="s">
        <v>47099</v>
      </c>
      <c r="K12707" s="17"/>
      <c r="L12707" s="17" t="s">
        <v>47100</v>
      </c>
      <c r="M12707" s="17"/>
      <c r="N12707" s="17" t="s">
        <v>27392</v>
      </c>
      <c r="O12707" s="17"/>
      <c r="P12707" s="17" t="s">
        <v>27418</v>
      </c>
      <c r="Q12707" s="17"/>
      <c r="R12707" s="25" t="str">
        <f>HYPERLINK("https://ictv.global/taxonomy/taxondetails?taxnode_id=202300103","Orthobunyavirus encephalitidis")</f>
        <v>Orthobunyavirus encephalitidis</v>
      </c>
      <c r="S12707" s="18" t="s">
        <v>8141</v>
      </c>
      <c r="T12707" s="18" t="s">
        <v>27576</v>
      </c>
      <c r="U12707" s="18" t="s">
        <v>26126</v>
      </c>
      <c r="V12707" s="18" t="s">
        <v>27577</v>
      </c>
      <c r="W12707" s="18" t="s">
        <v>49501</v>
      </c>
      <c r="X12707" s="18" t="s">
        <v>154</v>
      </c>
      <c r="Y12707" s="18" t="s">
        <v>23964</v>
      </c>
      <c r="Z12707" s="18" t="s">
        <v>12289</v>
      </c>
      <c r="AA12707" s="21" t="str">
        <f>HYPERLINK("https://www.ncbi.nlm.nih.gov/nuccore/U31989","NCBI Nucleotide")</f>
        <v>NCBI Nucleotide</v>
      </c>
    </row>
    <row r="12708" spans="1:27" x14ac:dyDescent="0.35">
      <c r="A12708">
        <v>1000374</v>
      </c>
      <c r="B12708">
        <v>11923</v>
      </c>
      <c r="C12708">
        <v>1</v>
      </c>
      <c r="D12708" s="17" t="s">
        <v>17166</v>
      </c>
      <c r="E12708" s="17"/>
      <c r="F12708" s="17" t="s">
        <v>17246</v>
      </c>
      <c r="G12708" s="17"/>
      <c r="H12708" s="17" t="s">
        <v>23950</v>
      </c>
      <c r="I12708" s="17" t="s">
        <v>26604</v>
      </c>
      <c r="J12708" s="17" t="s">
        <v>47099</v>
      </c>
      <c r="K12708" s="17"/>
      <c r="L12708" s="17" t="s">
        <v>47100</v>
      </c>
      <c r="M12708" s="17"/>
      <c r="N12708" s="17" t="s">
        <v>27392</v>
      </c>
      <c r="O12708" s="17"/>
      <c r="P12708" s="17" t="s">
        <v>27418</v>
      </c>
      <c r="Q12708" s="17"/>
      <c r="R12708" s="25" t="str">
        <f>HYPERLINK("https://ictv.global/taxonomy/taxondetails?taxnode_id=202306597","Orthobunyavirus enseadaense")</f>
        <v>Orthobunyavirus enseadaense</v>
      </c>
      <c r="S12708" s="18" t="s">
        <v>30</v>
      </c>
      <c r="T12708" s="18" t="s">
        <v>27578</v>
      </c>
      <c r="U12708" s="18" t="s">
        <v>27579</v>
      </c>
      <c r="V12708" s="18" t="s">
        <v>27580</v>
      </c>
      <c r="W12708" s="18" t="s">
        <v>27581</v>
      </c>
      <c r="X12708" s="18" t="s">
        <v>42</v>
      </c>
      <c r="Y12708" s="18" t="s">
        <v>23964</v>
      </c>
      <c r="Z12708" s="18" t="s">
        <v>12289</v>
      </c>
      <c r="AA12708" s="21" t="str">
        <f>HYPERLINK("https://www.ncbi.nlm.nih.gov/nuccore/KU178983,KU178984,KU178985","NCBI Nucleotide")</f>
        <v>NCBI Nucleotide</v>
      </c>
    </row>
    <row r="12709" spans="1:27" x14ac:dyDescent="0.35">
      <c r="A12709">
        <v>1000375</v>
      </c>
      <c r="B12709">
        <v>11924</v>
      </c>
      <c r="C12709">
        <v>1</v>
      </c>
      <c r="D12709" s="17" t="s">
        <v>17166</v>
      </c>
      <c r="E12709" s="17"/>
      <c r="F12709" s="17" t="s">
        <v>17246</v>
      </c>
      <c r="G12709" s="17"/>
      <c r="H12709" s="17" t="s">
        <v>23950</v>
      </c>
      <c r="I12709" s="17" t="s">
        <v>26604</v>
      </c>
      <c r="J12709" s="17" t="s">
        <v>47099</v>
      </c>
      <c r="K12709" s="17"/>
      <c r="L12709" s="17" t="s">
        <v>47100</v>
      </c>
      <c r="M12709" s="17"/>
      <c r="N12709" s="17" t="s">
        <v>27392</v>
      </c>
      <c r="O12709" s="17"/>
      <c r="P12709" s="17" t="s">
        <v>27418</v>
      </c>
      <c r="Q12709" s="17"/>
      <c r="R12709" s="25" t="str">
        <f>HYPERLINK("https://ictv.global/taxonomy/taxondetails?taxnode_id=202306378","Orthobunyavirus faceyense")</f>
        <v>Orthobunyavirus faceyense</v>
      </c>
      <c r="S12709" s="18" t="s">
        <v>30</v>
      </c>
      <c r="T12709" s="18" t="s">
        <v>27582</v>
      </c>
      <c r="U12709" s="18" t="s">
        <v>27583</v>
      </c>
      <c r="V12709" s="18" t="s">
        <v>27584</v>
      </c>
      <c r="W12709" s="18" t="s">
        <v>50606</v>
      </c>
      <c r="X12709" s="18" t="s">
        <v>42</v>
      </c>
      <c r="Y12709" s="18" t="s">
        <v>23964</v>
      </c>
      <c r="Z12709" s="18" t="s">
        <v>10790</v>
      </c>
      <c r="AA12709" s="21" t="str">
        <f>HYPERLINK("https://www.ncbi.nlm.nih.gov/nuccore/KF697138,KF697137,KF697136","NCBI Nucleotide")</f>
        <v>NCBI Nucleotide</v>
      </c>
    </row>
    <row r="12710" spans="1:27" x14ac:dyDescent="0.35">
      <c r="A12710">
        <v>1000376</v>
      </c>
      <c r="B12710">
        <v>11925</v>
      </c>
      <c r="C12710">
        <v>1</v>
      </c>
      <c r="D12710" s="17" t="s">
        <v>17166</v>
      </c>
      <c r="E12710" s="17"/>
      <c r="F12710" s="17" t="s">
        <v>17246</v>
      </c>
      <c r="G12710" s="17"/>
      <c r="H12710" s="17" t="s">
        <v>23950</v>
      </c>
      <c r="I12710" s="17" t="s">
        <v>26604</v>
      </c>
      <c r="J12710" s="17" t="s">
        <v>47099</v>
      </c>
      <c r="K12710" s="17"/>
      <c r="L12710" s="17" t="s">
        <v>47100</v>
      </c>
      <c r="M12710" s="17"/>
      <c r="N12710" s="17" t="s">
        <v>27392</v>
      </c>
      <c r="O12710" s="17"/>
      <c r="P12710" s="17" t="s">
        <v>27418</v>
      </c>
      <c r="Q12710" s="17"/>
      <c r="R12710" s="25" t="str">
        <f>HYPERLINK("https://ictv.global/taxonomy/taxondetails?taxnode_id=202300108","Orthobunyavirus gamboaense")</f>
        <v>Orthobunyavirus gamboaense</v>
      </c>
      <c r="S12710" s="18" t="s">
        <v>30</v>
      </c>
      <c r="T12710" s="18" t="s">
        <v>27585</v>
      </c>
      <c r="U12710" s="18" t="s">
        <v>26558</v>
      </c>
      <c r="V12710" s="18" t="s">
        <v>27586</v>
      </c>
      <c r="W12710" s="18" t="s">
        <v>27587</v>
      </c>
      <c r="X12710" s="18" t="s">
        <v>42</v>
      </c>
      <c r="Y12710" s="18" t="s">
        <v>23964</v>
      </c>
      <c r="Z12710" s="18" t="s">
        <v>12289</v>
      </c>
      <c r="AA12710" s="21" t="str">
        <f>HYPERLINK("https://www.ncbi.nlm.nih.gov/nuccore/KM272174,KM272175,KM272176","NCBI Nucleotide")</f>
        <v>NCBI Nucleotide</v>
      </c>
    </row>
    <row r="12711" spans="1:27" x14ac:dyDescent="0.35">
      <c r="A12711">
        <v>1011282</v>
      </c>
      <c r="B12711">
        <v>11925</v>
      </c>
      <c r="C12711">
        <v>2</v>
      </c>
      <c r="D12711" s="17" t="s">
        <v>17166</v>
      </c>
      <c r="E12711" s="17"/>
      <c r="F12711" s="17" t="s">
        <v>17246</v>
      </c>
      <c r="G12711" s="17"/>
      <c r="H12711" s="17" t="s">
        <v>23950</v>
      </c>
      <c r="I12711" s="17" t="s">
        <v>26604</v>
      </c>
      <c r="J12711" s="17" t="s">
        <v>47099</v>
      </c>
      <c r="K12711" s="17"/>
      <c r="L12711" s="17" t="s">
        <v>47100</v>
      </c>
      <c r="M12711" s="17"/>
      <c r="N12711" s="17" t="s">
        <v>27392</v>
      </c>
      <c r="O12711" s="17"/>
      <c r="P12711" s="17" t="s">
        <v>27418</v>
      </c>
      <c r="Q12711" s="17"/>
      <c r="R12711" s="25" t="str">
        <f>HYPERLINK("https://ictv.global/taxonomy/taxondetails?taxnode_id=202300108","Orthobunyavirus gamboaense")</f>
        <v>Orthobunyavirus gamboaense</v>
      </c>
      <c r="S12711" s="18" t="s">
        <v>8141</v>
      </c>
      <c r="T12711" s="18" t="s">
        <v>27593</v>
      </c>
      <c r="U12711" s="18" t="s">
        <v>27594</v>
      </c>
      <c r="V12711" s="18" t="s">
        <v>27595</v>
      </c>
      <c r="W12711" s="18" t="s">
        <v>49502</v>
      </c>
      <c r="X12711" s="18" t="s">
        <v>42</v>
      </c>
      <c r="Y12711" s="18" t="s">
        <v>23964</v>
      </c>
      <c r="Z12711" s="18" t="s">
        <v>12289</v>
      </c>
      <c r="AA12711" s="21" t="str">
        <f>HYPERLINK("https://www.ncbi.nlm.nih.gov/nuccore/KM272186,KM272187,KM272188","NCBI Nucleotide")</f>
        <v>NCBI Nucleotide</v>
      </c>
    </row>
    <row r="12712" spans="1:27" x14ac:dyDescent="0.35">
      <c r="A12712">
        <v>1011280</v>
      </c>
      <c r="B12712">
        <v>11925</v>
      </c>
      <c r="C12712">
        <v>3</v>
      </c>
      <c r="D12712" s="17" t="s">
        <v>17166</v>
      </c>
      <c r="E12712" s="17"/>
      <c r="F12712" s="17" t="s">
        <v>17246</v>
      </c>
      <c r="G12712" s="17"/>
      <c r="H12712" s="17" t="s">
        <v>23950</v>
      </c>
      <c r="I12712" s="17" t="s">
        <v>26604</v>
      </c>
      <c r="J12712" s="17" t="s">
        <v>47099</v>
      </c>
      <c r="K12712" s="17"/>
      <c r="L12712" s="17" t="s">
        <v>47100</v>
      </c>
      <c r="M12712" s="17"/>
      <c r="N12712" s="17" t="s">
        <v>27392</v>
      </c>
      <c r="O12712" s="17"/>
      <c r="P12712" s="17" t="s">
        <v>27418</v>
      </c>
      <c r="Q12712" s="17"/>
      <c r="R12712" s="25" t="str">
        <f>HYPERLINK("https://ictv.global/taxonomy/taxondetails?taxnode_id=202300108","Orthobunyavirus gamboaense")</f>
        <v>Orthobunyavirus gamboaense</v>
      </c>
      <c r="S12712" s="18" t="s">
        <v>8141</v>
      </c>
      <c r="T12712" s="18" t="s">
        <v>27588</v>
      </c>
      <c r="U12712" s="18" t="s">
        <v>27589</v>
      </c>
      <c r="V12712" s="18"/>
      <c r="W12712" s="18"/>
      <c r="X12712" s="18" t="s">
        <v>3311</v>
      </c>
      <c r="Y12712" s="18" t="s">
        <v>23964</v>
      </c>
      <c r="Z12712" s="18" t="s">
        <v>12289</v>
      </c>
      <c r="AA12712" s="21"/>
    </row>
    <row r="12713" spans="1:27" x14ac:dyDescent="0.35">
      <c r="A12713">
        <v>1011281</v>
      </c>
      <c r="B12713">
        <v>11925</v>
      </c>
      <c r="C12713">
        <v>4</v>
      </c>
      <c r="D12713" s="17" t="s">
        <v>17166</v>
      </c>
      <c r="E12713" s="17"/>
      <c r="F12713" s="17" t="s">
        <v>17246</v>
      </c>
      <c r="G12713" s="17"/>
      <c r="H12713" s="17" t="s">
        <v>23950</v>
      </c>
      <c r="I12713" s="17" t="s">
        <v>26604</v>
      </c>
      <c r="J12713" s="17" t="s">
        <v>47099</v>
      </c>
      <c r="K12713" s="17"/>
      <c r="L12713" s="17" t="s">
        <v>47100</v>
      </c>
      <c r="M12713" s="17"/>
      <c r="N12713" s="17" t="s">
        <v>27392</v>
      </c>
      <c r="O12713" s="17"/>
      <c r="P12713" s="17" t="s">
        <v>27418</v>
      </c>
      <c r="Q12713" s="17"/>
      <c r="R12713" s="25" t="str">
        <f>HYPERLINK("https://ictv.global/taxonomy/taxondetails?taxnode_id=202300108","Orthobunyavirus gamboaense")</f>
        <v>Orthobunyavirus gamboaense</v>
      </c>
      <c r="S12713" s="18" t="s">
        <v>8141</v>
      </c>
      <c r="T12713" s="18" t="s">
        <v>27590</v>
      </c>
      <c r="U12713" s="18" t="s">
        <v>27591</v>
      </c>
      <c r="V12713" s="18" t="s">
        <v>27592</v>
      </c>
      <c r="W12713" s="18" t="s">
        <v>49503</v>
      </c>
      <c r="X12713" s="18" t="s">
        <v>42</v>
      </c>
      <c r="Y12713" s="18" t="s">
        <v>23964</v>
      </c>
      <c r="Z12713" s="18" t="s">
        <v>12289</v>
      </c>
      <c r="AA12713" s="21" t="str">
        <f>HYPERLINK("https://www.ncbi.nlm.nih.gov/nuccore/KM272183,KM272184,KM272185","NCBI Nucleotide")</f>
        <v>NCBI Nucleotide</v>
      </c>
    </row>
    <row r="12714" spans="1:27" x14ac:dyDescent="0.35">
      <c r="A12714">
        <v>1011283</v>
      </c>
      <c r="B12714">
        <v>11925</v>
      </c>
      <c r="C12714">
        <v>5</v>
      </c>
      <c r="D12714" s="17" t="s">
        <v>17166</v>
      </c>
      <c r="E12714" s="17"/>
      <c r="F12714" s="17" t="s">
        <v>17246</v>
      </c>
      <c r="G12714" s="17"/>
      <c r="H12714" s="17" t="s">
        <v>23950</v>
      </c>
      <c r="I12714" s="17" t="s">
        <v>26604</v>
      </c>
      <c r="J12714" s="17" t="s">
        <v>47099</v>
      </c>
      <c r="K12714" s="17"/>
      <c r="L12714" s="17" t="s">
        <v>47100</v>
      </c>
      <c r="M12714" s="17"/>
      <c r="N12714" s="17" t="s">
        <v>27392</v>
      </c>
      <c r="O12714" s="17"/>
      <c r="P12714" s="17" t="s">
        <v>27418</v>
      </c>
      <c r="Q12714" s="17"/>
      <c r="R12714" s="25" t="str">
        <f>HYPERLINK("https://ictv.global/taxonomy/taxondetails?taxnode_id=202300108","Orthobunyavirus gamboaense")</f>
        <v>Orthobunyavirus gamboaense</v>
      </c>
      <c r="S12714" s="18" t="s">
        <v>8141</v>
      </c>
      <c r="T12714" s="18" t="s">
        <v>27596</v>
      </c>
      <c r="U12714" s="18" t="s">
        <v>27597</v>
      </c>
      <c r="V12714" s="18"/>
      <c r="W12714" s="18"/>
      <c r="X12714" s="18" t="s">
        <v>3311</v>
      </c>
      <c r="Y12714" s="18" t="s">
        <v>23964</v>
      </c>
      <c r="Z12714" s="18" t="s">
        <v>12289</v>
      </c>
      <c r="AA12714" s="21"/>
    </row>
    <row r="12715" spans="1:27" x14ac:dyDescent="0.35">
      <c r="A12715">
        <v>1000377</v>
      </c>
      <c r="B12715">
        <v>11926</v>
      </c>
      <c r="C12715">
        <v>1</v>
      </c>
      <c r="D12715" s="17" t="s">
        <v>17166</v>
      </c>
      <c r="E12715" s="17"/>
      <c r="F12715" s="17" t="s">
        <v>17246</v>
      </c>
      <c r="G12715" s="17"/>
      <c r="H12715" s="17" t="s">
        <v>23950</v>
      </c>
      <c r="I12715" s="17" t="s">
        <v>26604</v>
      </c>
      <c r="J12715" s="17" t="s">
        <v>47099</v>
      </c>
      <c r="K12715" s="17"/>
      <c r="L12715" s="17" t="s">
        <v>47100</v>
      </c>
      <c r="M12715" s="17"/>
      <c r="N12715" s="17" t="s">
        <v>27392</v>
      </c>
      <c r="O12715" s="17"/>
      <c r="P12715" s="17" t="s">
        <v>27418</v>
      </c>
      <c r="Q12715" s="17"/>
      <c r="R12715" s="25" t="str">
        <f>HYPERLINK("https://ictv.global/taxonomy/taxondetails?taxnode_id=202309321","Orthobunyavirus ganganense")</f>
        <v>Orthobunyavirus ganganense</v>
      </c>
      <c r="S12715" s="18" t="s">
        <v>30</v>
      </c>
      <c r="T12715" s="18" t="s">
        <v>27598</v>
      </c>
      <c r="U12715" s="18" t="s">
        <v>27599</v>
      </c>
      <c r="V12715" s="18" t="s">
        <v>27600</v>
      </c>
      <c r="W12715" s="18" t="s">
        <v>27601</v>
      </c>
      <c r="X12715" s="18" t="s">
        <v>42</v>
      </c>
      <c r="Y12715" s="18" t="s">
        <v>23964</v>
      </c>
      <c r="Z12715" s="18" t="s">
        <v>10790</v>
      </c>
      <c r="AA12715" s="21" t="str">
        <f>HYPERLINK("https://www.ncbi.nlm.nih.gov/nuccore/KR013232,KR013233,KR013234","NCBI Nucleotide")</f>
        <v>NCBI Nucleotide</v>
      </c>
    </row>
    <row r="12716" spans="1:27" x14ac:dyDescent="0.35">
      <c r="A12716">
        <v>1011284</v>
      </c>
      <c r="B12716">
        <v>11926</v>
      </c>
      <c r="C12716">
        <v>2</v>
      </c>
      <c r="D12716" s="17" t="s">
        <v>17166</v>
      </c>
      <c r="E12716" s="17"/>
      <c r="F12716" s="17" t="s">
        <v>17246</v>
      </c>
      <c r="G12716" s="17"/>
      <c r="H12716" s="17" t="s">
        <v>23950</v>
      </c>
      <c r="I12716" s="17" t="s">
        <v>26604</v>
      </c>
      <c r="J12716" s="17" t="s">
        <v>47099</v>
      </c>
      <c r="K12716" s="17"/>
      <c r="L12716" s="17" t="s">
        <v>47100</v>
      </c>
      <c r="M12716" s="17"/>
      <c r="N12716" s="17" t="s">
        <v>27392</v>
      </c>
      <c r="O12716" s="17"/>
      <c r="P12716" s="17" t="s">
        <v>27418</v>
      </c>
      <c r="Q12716" s="17"/>
      <c r="R12716" s="25" t="str">
        <f>HYPERLINK("https://ictv.global/taxonomy/taxondetails?taxnode_id=202309321","Orthobunyavirus ganganense")</f>
        <v>Orthobunyavirus ganganense</v>
      </c>
      <c r="S12716" s="18" t="s">
        <v>8141</v>
      </c>
      <c r="T12716" s="18" t="s">
        <v>27975</v>
      </c>
      <c r="U12716" s="18" t="s">
        <v>27976</v>
      </c>
      <c r="V12716" s="18">
        <v>932</v>
      </c>
      <c r="W12716" s="18" t="s">
        <v>49504</v>
      </c>
      <c r="X12716" s="18" t="s">
        <v>154</v>
      </c>
      <c r="Y12716" s="18" t="s">
        <v>23964</v>
      </c>
      <c r="Z12716" s="18" t="s">
        <v>10790</v>
      </c>
      <c r="AA12716" s="21" t="str">
        <f>HYPERLINK("https://www.ncbi.nlm.nih.gov/nuccore/KF234256,KF234257,KF234258","NCBI Nucleotide")</f>
        <v>NCBI Nucleotide</v>
      </c>
    </row>
    <row r="12717" spans="1:27" x14ac:dyDescent="0.35">
      <c r="A12717">
        <v>1000378</v>
      </c>
      <c r="B12717">
        <v>11927</v>
      </c>
      <c r="C12717">
        <v>1</v>
      </c>
      <c r="D12717" s="17" t="s">
        <v>17166</v>
      </c>
      <c r="E12717" s="17"/>
      <c r="F12717" s="17" t="s">
        <v>17246</v>
      </c>
      <c r="G12717" s="17"/>
      <c r="H12717" s="17" t="s">
        <v>23950</v>
      </c>
      <c r="I12717" s="17" t="s">
        <v>26604</v>
      </c>
      <c r="J12717" s="17" t="s">
        <v>47099</v>
      </c>
      <c r="K12717" s="17"/>
      <c r="L12717" s="17" t="s">
        <v>47100</v>
      </c>
      <c r="M12717" s="17"/>
      <c r="N12717" s="17" t="s">
        <v>27392</v>
      </c>
      <c r="O12717" s="17"/>
      <c r="P12717" s="17" t="s">
        <v>27418</v>
      </c>
      <c r="Q12717" s="17"/>
      <c r="R12717" s="25" t="str">
        <f>HYPERLINK("https://ictv.global/taxonomy/taxondetails?taxnode_id=202300109","Orthobunyavirus guajaraense")</f>
        <v>Orthobunyavirus guajaraense</v>
      </c>
      <c r="S12717" s="18" t="s">
        <v>30</v>
      </c>
      <c r="T12717" s="18" t="s">
        <v>27602</v>
      </c>
      <c r="U12717" s="18" t="s">
        <v>27603</v>
      </c>
      <c r="V12717" s="18" t="s">
        <v>27604</v>
      </c>
      <c r="W12717" s="18" t="s">
        <v>50607</v>
      </c>
      <c r="X12717" s="18" t="s">
        <v>42</v>
      </c>
      <c r="Y12717" s="18" t="s">
        <v>23964</v>
      </c>
      <c r="Z12717" s="18" t="s">
        <v>12289</v>
      </c>
      <c r="AA12717" s="21" t="str">
        <f>HYPERLINK("https://www.ncbi.nlm.nih.gov/nuccore/KP792663,KP792662,KP792661","NCBI Nucleotide")</f>
        <v>NCBI Nucleotide</v>
      </c>
    </row>
    <row r="12718" spans="1:27" x14ac:dyDescent="0.35">
      <c r="A12718">
        <v>1000379</v>
      </c>
      <c r="B12718">
        <v>11928</v>
      </c>
      <c r="C12718">
        <v>1</v>
      </c>
      <c r="D12718" s="17" t="s">
        <v>17166</v>
      </c>
      <c r="E12718" s="17"/>
      <c r="F12718" s="17" t="s">
        <v>17246</v>
      </c>
      <c r="G12718" s="17"/>
      <c r="H12718" s="17" t="s">
        <v>23950</v>
      </c>
      <c r="I12718" s="17" t="s">
        <v>26604</v>
      </c>
      <c r="J12718" s="17" t="s">
        <v>47099</v>
      </c>
      <c r="K12718" s="17"/>
      <c r="L12718" s="17" t="s">
        <v>47100</v>
      </c>
      <c r="M12718" s="17"/>
      <c r="N12718" s="17" t="s">
        <v>27392</v>
      </c>
      <c r="O12718" s="17"/>
      <c r="P12718" s="17" t="s">
        <v>27418</v>
      </c>
      <c r="Q12718" s="17"/>
      <c r="R12718" s="25" t="str">
        <f>HYPERLINK("https://ictv.global/taxonomy/taxondetails?taxnode_id=202300110","Orthobunyavirus guamaense")</f>
        <v>Orthobunyavirus guamaense</v>
      </c>
      <c r="S12718" s="18" t="s">
        <v>30</v>
      </c>
      <c r="T12718" s="18" t="s">
        <v>27605</v>
      </c>
      <c r="U12718" s="18" t="s">
        <v>27606</v>
      </c>
      <c r="V12718" s="18" t="s">
        <v>27607</v>
      </c>
      <c r="W12718" s="18" t="s">
        <v>50608</v>
      </c>
      <c r="X12718" s="18" t="s">
        <v>42</v>
      </c>
      <c r="Y12718" s="18" t="s">
        <v>23964</v>
      </c>
      <c r="Z12718" s="18" t="s">
        <v>12289</v>
      </c>
      <c r="AA12718" s="21" t="str">
        <f>HYPERLINK("https://www.ncbi.nlm.nih.gov/nuccore/KP792666,KP792665,KP792664","NCBI Nucleotide")</f>
        <v>NCBI Nucleotide</v>
      </c>
    </row>
    <row r="12719" spans="1:27" x14ac:dyDescent="0.35">
      <c r="A12719">
        <v>1011285</v>
      </c>
      <c r="B12719">
        <v>11928</v>
      </c>
      <c r="C12719">
        <v>2</v>
      </c>
      <c r="D12719" s="17" t="s">
        <v>17166</v>
      </c>
      <c r="E12719" s="17"/>
      <c r="F12719" s="17" t="s">
        <v>17246</v>
      </c>
      <c r="G12719" s="17"/>
      <c r="H12719" s="17" t="s">
        <v>23950</v>
      </c>
      <c r="I12719" s="17" t="s">
        <v>26604</v>
      </c>
      <c r="J12719" s="17" t="s">
        <v>47099</v>
      </c>
      <c r="K12719" s="17"/>
      <c r="L12719" s="17" t="s">
        <v>47100</v>
      </c>
      <c r="M12719" s="17"/>
      <c r="N12719" s="17" t="s">
        <v>27392</v>
      </c>
      <c r="O12719" s="17"/>
      <c r="P12719" s="17" t="s">
        <v>27418</v>
      </c>
      <c r="Q12719" s="17"/>
      <c r="R12719" s="25" t="str">
        <f>HYPERLINK("https://ictv.global/taxonomy/taxondetails?taxnode_id=202300110","Orthobunyavirus guamaense")</f>
        <v>Orthobunyavirus guamaense</v>
      </c>
      <c r="S12719" s="18" t="s">
        <v>8141</v>
      </c>
      <c r="T12719" s="18" t="s">
        <v>27977</v>
      </c>
      <c r="U12719" s="18" t="s">
        <v>27978</v>
      </c>
      <c r="V12719" s="18" t="s">
        <v>27979</v>
      </c>
      <c r="W12719" s="18" t="s">
        <v>50609</v>
      </c>
      <c r="X12719" s="18" t="s">
        <v>42</v>
      </c>
      <c r="Y12719" s="18" t="s">
        <v>23964</v>
      </c>
      <c r="Z12719" s="18" t="s">
        <v>12289</v>
      </c>
      <c r="AA12719" s="21" t="str">
        <f>HYPERLINK("https://www.ncbi.nlm.nih.gov/nuccore/KP792657,KP792656,KP792655","NCBI Nucleotide")</f>
        <v>NCBI Nucleotide</v>
      </c>
    </row>
    <row r="12720" spans="1:27" x14ac:dyDescent="0.35">
      <c r="A12720">
        <v>1000380</v>
      </c>
      <c r="B12720">
        <v>11929</v>
      </c>
      <c r="C12720">
        <v>1</v>
      </c>
      <c r="D12720" s="17" t="s">
        <v>17166</v>
      </c>
      <c r="E12720" s="17"/>
      <c r="F12720" s="17" t="s">
        <v>17246</v>
      </c>
      <c r="G12720" s="17"/>
      <c r="H12720" s="17" t="s">
        <v>23950</v>
      </c>
      <c r="I12720" s="17" t="s">
        <v>26604</v>
      </c>
      <c r="J12720" s="17" t="s">
        <v>47099</v>
      </c>
      <c r="K12720" s="17"/>
      <c r="L12720" s="17" t="s">
        <v>47100</v>
      </c>
      <c r="M12720" s="17"/>
      <c r="N12720" s="17" t="s">
        <v>27392</v>
      </c>
      <c r="O12720" s="17"/>
      <c r="P12720" s="17" t="s">
        <v>27418</v>
      </c>
      <c r="Q12720" s="17"/>
      <c r="R12720" s="25" t="str">
        <f>HYPERLINK("https://ictv.global/taxonomy/taxondetails?taxnode_id=202314225","Orthobunyavirus guaratubaense")</f>
        <v>Orthobunyavirus guaratubaense</v>
      </c>
      <c r="S12720" s="18" t="s">
        <v>30</v>
      </c>
      <c r="T12720" s="18" t="s">
        <v>27980</v>
      </c>
      <c r="U12720" s="18" t="s">
        <v>27981</v>
      </c>
      <c r="V12720" s="18" t="s">
        <v>27982</v>
      </c>
      <c r="W12720" s="18" t="s">
        <v>50812</v>
      </c>
      <c r="X12720" s="18" t="s">
        <v>35</v>
      </c>
      <c r="Y12720" s="18" t="s">
        <v>23964</v>
      </c>
      <c r="Z12720" s="18" t="s">
        <v>10790</v>
      </c>
      <c r="AA12720" s="21" t="str">
        <f>HYPERLINK("https://www.ncbi.nlm.nih.gov/nuccore/MK896570,MK896569,MK896568","NCBI Nucleotide")</f>
        <v>NCBI Nucleotide</v>
      </c>
    </row>
    <row r="12721" spans="1:27" x14ac:dyDescent="0.35">
      <c r="A12721">
        <v>1011286</v>
      </c>
      <c r="B12721">
        <v>11929</v>
      </c>
      <c r="C12721">
        <v>2</v>
      </c>
      <c r="D12721" s="17" t="s">
        <v>17166</v>
      </c>
      <c r="E12721" s="17"/>
      <c r="F12721" s="17" t="s">
        <v>17246</v>
      </c>
      <c r="G12721" s="17"/>
      <c r="H12721" s="17" t="s">
        <v>23950</v>
      </c>
      <c r="I12721" s="17" t="s">
        <v>26604</v>
      </c>
      <c r="J12721" s="17" t="s">
        <v>47099</v>
      </c>
      <c r="K12721" s="17"/>
      <c r="L12721" s="17" t="s">
        <v>47100</v>
      </c>
      <c r="M12721" s="17"/>
      <c r="N12721" s="17" t="s">
        <v>27392</v>
      </c>
      <c r="O12721" s="17"/>
      <c r="P12721" s="17" t="s">
        <v>27418</v>
      </c>
      <c r="Q12721" s="17"/>
      <c r="R12721" s="25" t="str">
        <f>HYPERLINK("https://ictv.global/taxonomy/taxondetails?taxnode_id=202314225","Orthobunyavirus guaratubaense")</f>
        <v>Orthobunyavirus guaratubaense</v>
      </c>
      <c r="S12721" s="18" t="s">
        <v>8141</v>
      </c>
      <c r="T12721" s="18" t="s">
        <v>27983</v>
      </c>
      <c r="U12721" s="18" t="s">
        <v>27984</v>
      </c>
      <c r="V12721" s="18" t="s">
        <v>27985</v>
      </c>
      <c r="W12721" s="18" t="s">
        <v>49505</v>
      </c>
      <c r="X12721" s="18" t="s">
        <v>42</v>
      </c>
      <c r="Y12721" s="18" t="s">
        <v>23964</v>
      </c>
      <c r="Z12721" s="18" t="s">
        <v>10790</v>
      </c>
      <c r="AA12721" s="21" t="str">
        <f>HYPERLINK("https://www.ncbi.nlm.nih.gov/nuccore/MK896557,MK896556,MK896555","NCBI Nucleotide")</f>
        <v>NCBI Nucleotide</v>
      </c>
    </row>
    <row r="12722" spans="1:27" x14ac:dyDescent="0.35">
      <c r="A12722">
        <v>1000381</v>
      </c>
      <c r="B12722">
        <v>11930</v>
      </c>
      <c r="C12722">
        <v>1</v>
      </c>
      <c r="D12722" s="17" t="s">
        <v>17166</v>
      </c>
      <c r="E12722" s="17"/>
      <c r="F12722" s="17" t="s">
        <v>17246</v>
      </c>
      <c r="G12722" s="17"/>
      <c r="H12722" s="17" t="s">
        <v>23950</v>
      </c>
      <c r="I12722" s="17" t="s">
        <v>26604</v>
      </c>
      <c r="J12722" s="17" t="s">
        <v>47099</v>
      </c>
      <c r="K12722" s="17"/>
      <c r="L12722" s="17" t="s">
        <v>47100</v>
      </c>
      <c r="M12722" s="17"/>
      <c r="N12722" s="17" t="s">
        <v>27392</v>
      </c>
      <c r="O12722" s="17"/>
      <c r="P12722" s="17" t="s">
        <v>27418</v>
      </c>
      <c r="Q12722" s="17"/>
      <c r="R12722" s="25" t="str">
        <f>HYPERLINK("https://ictv.global/taxonomy/taxondetails?taxnode_id=202300111","Orthobunyavirus guaroaense")</f>
        <v>Orthobunyavirus guaroaense</v>
      </c>
      <c r="S12722" s="18" t="s">
        <v>30</v>
      </c>
      <c r="T12722" s="18" t="s">
        <v>27608</v>
      </c>
      <c r="U12722" s="18" t="s">
        <v>27609</v>
      </c>
      <c r="V12722" s="18" t="s">
        <v>27610</v>
      </c>
      <c r="W12722" s="18" t="s">
        <v>50610</v>
      </c>
      <c r="X12722" s="18" t="s">
        <v>42</v>
      </c>
      <c r="Y12722" s="18" t="s">
        <v>23964</v>
      </c>
      <c r="Z12722" s="18" t="s">
        <v>12289</v>
      </c>
      <c r="AA12722" s="21" t="str">
        <f>HYPERLINK("https://www.ncbi.nlm.nih.gov/nuccore/KM245524,KM245523,KM245522","NCBI Nucleotide")</f>
        <v>NCBI Nucleotide</v>
      </c>
    </row>
    <row r="12723" spans="1:27" x14ac:dyDescent="0.35">
      <c r="A12723">
        <v>1000382</v>
      </c>
      <c r="B12723">
        <v>11931</v>
      </c>
      <c r="C12723">
        <v>1</v>
      </c>
      <c r="D12723" s="17" t="s">
        <v>17166</v>
      </c>
      <c r="E12723" s="17"/>
      <c r="F12723" s="17" t="s">
        <v>17246</v>
      </c>
      <c r="G12723" s="17"/>
      <c r="H12723" s="17" t="s">
        <v>23950</v>
      </c>
      <c r="I12723" s="17" t="s">
        <v>26604</v>
      </c>
      <c r="J12723" s="17" t="s">
        <v>47099</v>
      </c>
      <c r="K12723" s="17"/>
      <c r="L12723" s="17" t="s">
        <v>47100</v>
      </c>
      <c r="M12723" s="17"/>
      <c r="N12723" s="17" t="s">
        <v>27392</v>
      </c>
      <c r="O12723" s="17"/>
      <c r="P12723" s="17" t="s">
        <v>27418</v>
      </c>
      <c r="Q12723" s="17"/>
      <c r="R12723" s="25" t="str">
        <f>HYPERLINK("https://ictv.global/taxonomy/taxondetails?taxnode_id=202314231","Orthobunyavirus gumbolimboense")</f>
        <v>Orthobunyavirus gumbolimboense</v>
      </c>
      <c r="S12723" s="18" t="s">
        <v>30</v>
      </c>
      <c r="T12723" s="18" t="s">
        <v>27986</v>
      </c>
      <c r="U12723" s="18" t="s">
        <v>17493</v>
      </c>
      <c r="V12723" s="18" t="s">
        <v>27987</v>
      </c>
      <c r="W12723" s="18" t="s">
        <v>50813</v>
      </c>
      <c r="X12723" s="18" t="s">
        <v>35</v>
      </c>
      <c r="Y12723" s="18" t="s">
        <v>23964</v>
      </c>
      <c r="Z12723" s="18" t="s">
        <v>10790</v>
      </c>
      <c r="AA12723" s="21" t="str">
        <f>HYPERLINK("https://www.ncbi.nlm.nih.gov/nuccore/MK896567,MK896566,MK896565","NCBI Nucleotide")</f>
        <v>NCBI Nucleotide</v>
      </c>
    </row>
    <row r="12724" spans="1:27" x14ac:dyDescent="0.35">
      <c r="A12724">
        <v>1000383</v>
      </c>
      <c r="B12724">
        <v>11932</v>
      </c>
      <c r="C12724">
        <v>1</v>
      </c>
      <c r="D12724" s="17" t="s">
        <v>17166</v>
      </c>
      <c r="E12724" s="17"/>
      <c r="F12724" s="17" t="s">
        <v>17246</v>
      </c>
      <c r="G12724" s="17"/>
      <c r="H12724" s="17" t="s">
        <v>23950</v>
      </c>
      <c r="I12724" s="17" t="s">
        <v>26604</v>
      </c>
      <c r="J12724" s="17" t="s">
        <v>47099</v>
      </c>
      <c r="K12724" s="17"/>
      <c r="L12724" s="17" t="s">
        <v>47100</v>
      </c>
      <c r="M12724" s="17"/>
      <c r="N12724" s="17" t="s">
        <v>27392</v>
      </c>
      <c r="O12724" s="17"/>
      <c r="P12724" s="17" t="s">
        <v>27418</v>
      </c>
      <c r="Q12724" s="17"/>
      <c r="R12724" s="25" t="str">
        <f>HYPERLINK("https://ictv.global/taxonomy/taxondetails?taxnode_id=202314246","Orthobunyavirus heptayabaense")</f>
        <v>Orthobunyavirus heptayabaense</v>
      </c>
      <c r="S12724" s="18" t="s">
        <v>30</v>
      </c>
      <c r="T12724" s="18" t="s">
        <v>27611</v>
      </c>
      <c r="U12724" s="18" t="s">
        <v>27612</v>
      </c>
      <c r="V12724" s="18" t="s">
        <v>27613</v>
      </c>
      <c r="W12724" s="18" t="s">
        <v>27614</v>
      </c>
      <c r="X12724" s="18" t="s">
        <v>35</v>
      </c>
      <c r="Y12724" s="18" t="s">
        <v>23964</v>
      </c>
      <c r="Z12724" s="18" t="s">
        <v>10790</v>
      </c>
      <c r="AA12724" s="21" t="str">
        <f>HYPERLINK("https://www.ncbi.nlm.nih.gov/nuccore/MH484348,MH484349,MH484350","NCBI Nucleotide")</f>
        <v>NCBI Nucleotide</v>
      </c>
    </row>
    <row r="12725" spans="1:27" x14ac:dyDescent="0.35">
      <c r="A12725">
        <v>1000384</v>
      </c>
      <c r="B12725">
        <v>11933</v>
      </c>
      <c r="C12725">
        <v>1</v>
      </c>
      <c r="D12725" s="17" t="s">
        <v>17166</v>
      </c>
      <c r="E12725" s="17"/>
      <c r="F12725" s="17" t="s">
        <v>17246</v>
      </c>
      <c r="G12725" s="17"/>
      <c r="H12725" s="17" t="s">
        <v>23950</v>
      </c>
      <c r="I12725" s="17" t="s">
        <v>26604</v>
      </c>
      <c r="J12725" s="17" t="s">
        <v>47099</v>
      </c>
      <c r="K12725" s="17"/>
      <c r="L12725" s="17" t="s">
        <v>47100</v>
      </c>
      <c r="M12725" s="17"/>
      <c r="N12725" s="17" t="s">
        <v>27392</v>
      </c>
      <c r="O12725" s="17"/>
      <c r="P12725" s="17" t="s">
        <v>27418</v>
      </c>
      <c r="Q12725" s="17"/>
      <c r="R12725" s="25" t="str">
        <f>HYPERLINK("https://ictv.global/taxonomy/taxondetails?taxnode_id=202300092","Orthobunyavirus horizonteense")</f>
        <v>Orthobunyavirus horizonteense</v>
      </c>
      <c r="S12725" s="18" t="s">
        <v>30</v>
      </c>
      <c r="T12725" s="18" t="s">
        <v>27615</v>
      </c>
      <c r="U12725" s="18" t="s">
        <v>27616</v>
      </c>
      <c r="V12725" s="18" t="s">
        <v>27504</v>
      </c>
      <c r="W12725" s="18" t="s">
        <v>27617</v>
      </c>
      <c r="X12725" s="18" t="s">
        <v>42</v>
      </c>
      <c r="Y12725" s="18" t="s">
        <v>23964</v>
      </c>
      <c r="Z12725" s="18" t="s">
        <v>12289</v>
      </c>
      <c r="AA12725" s="21" t="str">
        <f>HYPERLINK("https://www.ncbi.nlm.nih.gov/nuccore/KY793537,KY793538,KY793539","NCBI Nucleotide")</f>
        <v>NCBI Nucleotide</v>
      </c>
    </row>
    <row r="12726" spans="1:27" x14ac:dyDescent="0.35">
      <c r="A12726">
        <v>1011287</v>
      </c>
      <c r="B12726">
        <v>11933</v>
      </c>
      <c r="C12726">
        <v>2</v>
      </c>
      <c r="D12726" s="17" t="s">
        <v>17166</v>
      </c>
      <c r="E12726" s="17"/>
      <c r="F12726" s="17" t="s">
        <v>17246</v>
      </c>
      <c r="G12726" s="17"/>
      <c r="H12726" s="17" t="s">
        <v>23950</v>
      </c>
      <c r="I12726" s="17" t="s">
        <v>26604</v>
      </c>
      <c r="J12726" s="17" t="s">
        <v>47099</v>
      </c>
      <c r="K12726" s="17"/>
      <c r="L12726" s="17" t="s">
        <v>47100</v>
      </c>
      <c r="M12726" s="17"/>
      <c r="N12726" s="17" t="s">
        <v>27392</v>
      </c>
      <c r="O12726" s="17"/>
      <c r="P12726" s="17" t="s">
        <v>27418</v>
      </c>
      <c r="Q12726" s="17"/>
      <c r="R12726" s="25" t="str">
        <f>HYPERLINK("https://ictv.global/taxonomy/taxondetails?taxnode_id=202300092","Orthobunyavirus horizonteense")</f>
        <v>Orthobunyavirus horizonteense</v>
      </c>
      <c r="S12726" s="18" t="s">
        <v>8141</v>
      </c>
      <c r="T12726" s="18" t="s">
        <v>27618</v>
      </c>
      <c r="U12726" s="18" t="s">
        <v>50971</v>
      </c>
      <c r="V12726" s="18"/>
      <c r="W12726" s="18"/>
      <c r="X12726" s="18" t="s">
        <v>3311</v>
      </c>
      <c r="Y12726" s="18" t="s">
        <v>23964</v>
      </c>
      <c r="Z12726" s="18" t="s">
        <v>12289</v>
      </c>
      <c r="AA12726" s="21"/>
    </row>
    <row r="12727" spans="1:27" x14ac:dyDescent="0.35">
      <c r="A12727">
        <v>1011288</v>
      </c>
      <c r="B12727">
        <v>11933</v>
      </c>
      <c r="C12727">
        <v>3</v>
      </c>
      <c r="D12727" s="17" t="s">
        <v>17166</v>
      </c>
      <c r="E12727" s="17"/>
      <c r="F12727" s="17" t="s">
        <v>17246</v>
      </c>
      <c r="G12727" s="17"/>
      <c r="H12727" s="17" t="s">
        <v>23950</v>
      </c>
      <c r="I12727" s="17" t="s">
        <v>26604</v>
      </c>
      <c r="J12727" s="17" t="s">
        <v>47099</v>
      </c>
      <c r="K12727" s="17"/>
      <c r="L12727" s="17" t="s">
        <v>47100</v>
      </c>
      <c r="M12727" s="17"/>
      <c r="N12727" s="17" t="s">
        <v>27392</v>
      </c>
      <c r="O12727" s="17"/>
      <c r="P12727" s="17" t="s">
        <v>27418</v>
      </c>
      <c r="Q12727" s="17"/>
      <c r="R12727" s="25" t="str">
        <f>HYPERLINK("https://ictv.global/taxonomy/taxondetails?taxnode_id=202300092","Orthobunyavirus horizonteense")</f>
        <v>Orthobunyavirus horizonteense</v>
      </c>
      <c r="S12727" s="18" t="s">
        <v>8141</v>
      </c>
      <c r="T12727" s="18" t="s">
        <v>27619</v>
      </c>
      <c r="U12727" s="18" t="s">
        <v>50972</v>
      </c>
      <c r="V12727" s="18"/>
      <c r="W12727" s="18"/>
      <c r="X12727" s="18" t="s">
        <v>3311</v>
      </c>
      <c r="Y12727" s="18" t="s">
        <v>23964</v>
      </c>
      <c r="Z12727" s="18" t="s">
        <v>12289</v>
      </c>
      <c r="AA12727" s="21"/>
    </row>
    <row r="12728" spans="1:27" x14ac:dyDescent="0.35">
      <c r="A12728">
        <v>1011289</v>
      </c>
      <c r="B12728">
        <v>11933</v>
      </c>
      <c r="C12728">
        <v>4</v>
      </c>
      <c r="D12728" s="17" t="s">
        <v>17166</v>
      </c>
      <c r="E12728" s="17"/>
      <c r="F12728" s="17" t="s">
        <v>17246</v>
      </c>
      <c r="G12728" s="17"/>
      <c r="H12728" s="17" t="s">
        <v>23950</v>
      </c>
      <c r="I12728" s="17" t="s">
        <v>26604</v>
      </c>
      <c r="J12728" s="17" t="s">
        <v>47099</v>
      </c>
      <c r="K12728" s="17"/>
      <c r="L12728" s="17" t="s">
        <v>47100</v>
      </c>
      <c r="M12728" s="17"/>
      <c r="N12728" s="17" t="s">
        <v>27392</v>
      </c>
      <c r="O12728" s="17"/>
      <c r="P12728" s="17" t="s">
        <v>27418</v>
      </c>
      <c r="Q12728" s="17"/>
      <c r="R12728" s="25" t="str">
        <f>HYPERLINK("https://ictv.global/taxonomy/taxondetails?taxnode_id=202300092","Orthobunyavirus horizonteense")</f>
        <v>Orthobunyavirus horizonteense</v>
      </c>
      <c r="S12728" s="18" t="s">
        <v>8141</v>
      </c>
      <c r="T12728" s="18" t="s">
        <v>27620</v>
      </c>
      <c r="U12728" s="18" t="s">
        <v>19226</v>
      </c>
      <c r="V12728" s="18"/>
      <c r="W12728" s="18"/>
      <c r="X12728" s="18" t="s">
        <v>3311</v>
      </c>
      <c r="Y12728" s="18" t="s">
        <v>23964</v>
      </c>
      <c r="Z12728" s="18" t="s">
        <v>12289</v>
      </c>
      <c r="AA12728" s="21"/>
    </row>
    <row r="12729" spans="1:27" x14ac:dyDescent="0.35">
      <c r="A12729">
        <v>1011290</v>
      </c>
      <c r="B12729">
        <v>11933</v>
      </c>
      <c r="C12729">
        <v>5</v>
      </c>
      <c r="D12729" s="17" t="s">
        <v>17166</v>
      </c>
      <c r="E12729" s="17"/>
      <c r="F12729" s="17" t="s">
        <v>17246</v>
      </c>
      <c r="G12729" s="17"/>
      <c r="H12729" s="17" t="s">
        <v>23950</v>
      </c>
      <c r="I12729" s="17" t="s">
        <v>26604</v>
      </c>
      <c r="J12729" s="17" t="s">
        <v>47099</v>
      </c>
      <c r="K12729" s="17"/>
      <c r="L12729" s="17" t="s">
        <v>47100</v>
      </c>
      <c r="M12729" s="17"/>
      <c r="N12729" s="17" t="s">
        <v>27392</v>
      </c>
      <c r="O12729" s="17"/>
      <c r="P12729" s="17" t="s">
        <v>27418</v>
      </c>
      <c r="Q12729" s="17"/>
      <c r="R12729" s="25" t="str">
        <f>HYPERLINK("https://ictv.global/taxonomy/taxondetails?taxnode_id=202300092","Orthobunyavirus horizonteense")</f>
        <v>Orthobunyavirus horizonteense</v>
      </c>
      <c r="S12729" s="18" t="s">
        <v>8141</v>
      </c>
      <c r="T12729" s="18" t="s">
        <v>27621</v>
      </c>
      <c r="U12729" s="18" t="s">
        <v>50973</v>
      </c>
      <c r="V12729" s="18"/>
      <c r="W12729" s="18"/>
      <c r="X12729" s="18" t="s">
        <v>3311</v>
      </c>
      <c r="Y12729" s="18" t="s">
        <v>23964</v>
      </c>
      <c r="Z12729" s="18" t="s">
        <v>12289</v>
      </c>
      <c r="AA12729" s="21"/>
    </row>
    <row r="12730" spans="1:27" x14ac:dyDescent="0.35">
      <c r="A12730">
        <v>1000385</v>
      </c>
      <c r="B12730">
        <v>11934</v>
      </c>
      <c r="C12730">
        <v>1</v>
      </c>
      <c r="D12730" s="17" t="s">
        <v>17166</v>
      </c>
      <c r="E12730" s="17"/>
      <c r="F12730" s="17" t="s">
        <v>17246</v>
      </c>
      <c r="G12730" s="17"/>
      <c r="H12730" s="17" t="s">
        <v>23950</v>
      </c>
      <c r="I12730" s="17" t="s">
        <v>26604</v>
      </c>
      <c r="J12730" s="17" t="s">
        <v>47099</v>
      </c>
      <c r="K12730" s="17"/>
      <c r="L12730" s="17" t="s">
        <v>47100</v>
      </c>
      <c r="M12730" s="17"/>
      <c r="N12730" s="17" t="s">
        <v>27392</v>
      </c>
      <c r="O12730" s="17"/>
      <c r="P12730" s="17" t="s">
        <v>27418</v>
      </c>
      <c r="Q12730" s="17"/>
      <c r="R12730" s="25" t="str">
        <f>HYPERLINK("https://ictv.global/taxonomy/taxondetails?taxnode_id=202306385","Orthobunyavirus iacoense")</f>
        <v>Orthobunyavirus iacoense</v>
      </c>
      <c r="S12730" s="18" t="s">
        <v>30</v>
      </c>
      <c r="T12730" s="18" t="s">
        <v>27622</v>
      </c>
      <c r="U12730" s="18" t="s">
        <v>27623</v>
      </c>
      <c r="V12730" s="18" t="s">
        <v>27624</v>
      </c>
      <c r="W12730" s="18" t="s">
        <v>27625</v>
      </c>
      <c r="X12730" s="18" t="s">
        <v>42</v>
      </c>
      <c r="Y12730" s="18" t="s">
        <v>23964</v>
      </c>
      <c r="Z12730" s="18" t="s">
        <v>12289</v>
      </c>
      <c r="AA12730" s="21" t="str">
        <f>HYPERLINK("https://www.ncbi.nlm.nih.gov/nuccore/JN572065,JN572066,JN572067","NCBI Nucleotide")</f>
        <v>NCBI Nucleotide</v>
      </c>
    </row>
    <row r="12731" spans="1:27" x14ac:dyDescent="0.35">
      <c r="A12731">
        <v>1000386</v>
      </c>
      <c r="B12731">
        <v>11935</v>
      </c>
      <c r="C12731">
        <v>1</v>
      </c>
      <c r="D12731" s="17" t="s">
        <v>17166</v>
      </c>
      <c r="E12731" s="17"/>
      <c r="F12731" s="17" t="s">
        <v>17246</v>
      </c>
      <c r="G12731" s="17"/>
      <c r="H12731" s="17" t="s">
        <v>23950</v>
      </c>
      <c r="I12731" s="17" t="s">
        <v>26604</v>
      </c>
      <c r="J12731" s="17" t="s">
        <v>47099</v>
      </c>
      <c r="K12731" s="17"/>
      <c r="L12731" s="17" t="s">
        <v>47100</v>
      </c>
      <c r="M12731" s="17"/>
      <c r="N12731" s="17" t="s">
        <v>27392</v>
      </c>
      <c r="O12731" s="17"/>
      <c r="P12731" s="17" t="s">
        <v>27418</v>
      </c>
      <c r="Q12731" s="17"/>
      <c r="R12731" s="25" t="str">
        <f>HYPERLINK("https://ictv.global/taxonomy/taxondetails?taxnode_id=202306360","Orthobunyavirus ileshaense")</f>
        <v>Orthobunyavirus ileshaense</v>
      </c>
      <c r="S12731" s="18" t="s">
        <v>30</v>
      </c>
      <c r="T12731" s="18" t="s">
        <v>27626</v>
      </c>
      <c r="U12731" s="18" t="s">
        <v>27627</v>
      </c>
      <c r="V12731" s="18" t="s">
        <v>27628</v>
      </c>
      <c r="W12731" s="18" t="s">
        <v>50611</v>
      </c>
      <c r="X12731" s="18" t="s">
        <v>42</v>
      </c>
      <c r="Y12731" s="18" t="s">
        <v>23964</v>
      </c>
      <c r="Z12731" s="18" t="s">
        <v>12289</v>
      </c>
      <c r="AA12731" s="21" t="str">
        <f>HYPERLINK("https://www.ncbi.nlm.nih.gov/nuccore/KF234075,KF234074,KF234073","NCBI Nucleotide")</f>
        <v>NCBI Nucleotide</v>
      </c>
    </row>
    <row r="12732" spans="1:27" x14ac:dyDescent="0.35">
      <c r="A12732">
        <v>1000387</v>
      </c>
      <c r="B12732">
        <v>11936</v>
      </c>
      <c r="C12732">
        <v>1</v>
      </c>
      <c r="D12732" s="17" t="s">
        <v>17166</v>
      </c>
      <c r="E12732" s="17"/>
      <c r="F12732" s="17" t="s">
        <v>17246</v>
      </c>
      <c r="G12732" s="17"/>
      <c r="H12732" s="17" t="s">
        <v>23950</v>
      </c>
      <c r="I12732" s="17" t="s">
        <v>26604</v>
      </c>
      <c r="J12732" s="17" t="s">
        <v>47099</v>
      </c>
      <c r="K12732" s="17"/>
      <c r="L12732" s="17" t="s">
        <v>47100</v>
      </c>
      <c r="M12732" s="17"/>
      <c r="N12732" s="17" t="s">
        <v>27392</v>
      </c>
      <c r="O12732" s="17"/>
      <c r="P12732" s="17" t="s">
        <v>27418</v>
      </c>
      <c r="Q12732" s="17"/>
      <c r="R12732" s="25" t="str">
        <f>HYPERLINK("https://ictv.global/taxonomy/taxondetails?taxnode_id=202314245","Orthobunyavirus infirmati")</f>
        <v>Orthobunyavirus infirmati</v>
      </c>
      <c r="S12732" s="18" t="s">
        <v>30</v>
      </c>
      <c r="T12732" s="18" t="s">
        <v>27629</v>
      </c>
      <c r="U12732" s="18" t="s">
        <v>27630</v>
      </c>
      <c r="V12732" s="18" t="s">
        <v>27631</v>
      </c>
      <c r="W12732" s="18" t="s">
        <v>27632</v>
      </c>
      <c r="X12732" s="18" t="s">
        <v>35</v>
      </c>
      <c r="Y12732" s="18" t="s">
        <v>23964</v>
      </c>
      <c r="Z12732" s="18" t="s">
        <v>10790</v>
      </c>
      <c r="AA12732" s="21" t="str">
        <f>HYPERLINK("https://www.ncbi.nlm.nih.gov/nuccore/KY569262,KY569263,KY569264","NCBI Nucleotide")</f>
        <v>NCBI Nucleotide</v>
      </c>
    </row>
    <row r="12733" spans="1:27" x14ac:dyDescent="0.35">
      <c r="A12733">
        <v>1000388</v>
      </c>
      <c r="B12733">
        <v>11937</v>
      </c>
      <c r="C12733">
        <v>1</v>
      </c>
      <c r="D12733" s="17" t="s">
        <v>17166</v>
      </c>
      <c r="E12733" s="17"/>
      <c r="F12733" s="17" t="s">
        <v>17246</v>
      </c>
      <c r="G12733" s="17"/>
      <c r="H12733" s="17" t="s">
        <v>23950</v>
      </c>
      <c r="I12733" s="17" t="s">
        <v>26604</v>
      </c>
      <c r="J12733" s="17" t="s">
        <v>47099</v>
      </c>
      <c r="K12733" s="17"/>
      <c r="L12733" s="17" t="s">
        <v>47100</v>
      </c>
      <c r="M12733" s="17"/>
      <c r="N12733" s="17" t="s">
        <v>27392</v>
      </c>
      <c r="O12733" s="17"/>
      <c r="P12733" s="17" t="s">
        <v>27418</v>
      </c>
      <c r="Q12733" s="17"/>
      <c r="R12733" s="25" t="str">
        <f>HYPERLINK("https://ictv.global/taxonomy/taxondetails?taxnode_id=202306376","Orthobunyavirus ingwavumaense")</f>
        <v>Orthobunyavirus ingwavumaense</v>
      </c>
      <c r="S12733" s="18" t="s">
        <v>30</v>
      </c>
      <c r="T12733" s="18" t="s">
        <v>27633</v>
      </c>
      <c r="U12733" s="18" t="s">
        <v>27634</v>
      </c>
      <c r="V12733" s="18" t="s">
        <v>27635</v>
      </c>
      <c r="W12733" s="18" t="s">
        <v>27636</v>
      </c>
      <c r="X12733" s="18" t="s">
        <v>42</v>
      </c>
      <c r="Y12733" s="18" t="s">
        <v>23964</v>
      </c>
      <c r="Z12733" s="18" t="s">
        <v>12289</v>
      </c>
      <c r="AA12733" s="21" t="str">
        <f>HYPERLINK("https://www.ncbi.nlm.nih.gov/nuccore/KF697139,KF697140,KF697141","NCBI Nucleotide")</f>
        <v>NCBI Nucleotide</v>
      </c>
    </row>
    <row r="12734" spans="1:27" x14ac:dyDescent="0.35">
      <c r="A12734">
        <v>1000389</v>
      </c>
      <c r="B12734">
        <v>11938</v>
      </c>
      <c r="C12734">
        <v>1</v>
      </c>
      <c r="D12734" s="17" t="s">
        <v>17166</v>
      </c>
      <c r="E12734" s="17"/>
      <c r="F12734" s="17" t="s">
        <v>17246</v>
      </c>
      <c r="G12734" s="17"/>
      <c r="H12734" s="17" t="s">
        <v>23950</v>
      </c>
      <c r="I12734" s="17" t="s">
        <v>26604</v>
      </c>
      <c r="J12734" s="17" t="s">
        <v>47099</v>
      </c>
      <c r="K12734" s="17"/>
      <c r="L12734" s="17" t="s">
        <v>47100</v>
      </c>
      <c r="M12734" s="17"/>
      <c r="N12734" s="17" t="s">
        <v>27392</v>
      </c>
      <c r="O12734" s="17"/>
      <c r="P12734" s="17" t="s">
        <v>27418</v>
      </c>
      <c r="Q12734" s="17"/>
      <c r="R12734" s="25" t="str">
        <f>HYPERLINK("https://ictv.global/taxonomy/taxondetails?taxnode_id=202300113","Orthobunyavirus insulae")</f>
        <v>Orthobunyavirus insulae</v>
      </c>
      <c r="S12734" s="18" t="s">
        <v>30</v>
      </c>
      <c r="T12734" s="18" t="s">
        <v>27637</v>
      </c>
      <c r="U12734" s="18" t="s">
        <v>27638</v>
      </c>
      <c r="V12734" s="18" t="s">
        <v>27639</v>
      </c>
      <c r="W12734" s="18" t="s">
        <v>27640</v>
      </c>
      <c r="X12734" s="18" t="s">
        <v>42</v>
      </c>
      <c r="Y12734" s="18" t="s">
        <v>23964</v>
      </c>
      <c r="Z12734" s="18" t="s">
        <v>12289</v>
      </c>
      <c r="AA12734" s="21" t="str">
        <f>HYPERLINK("https://www.ncbi.nlm.nih.gov/nuccore/KR260738,KR260739,KR260740","NCBI Nucleotide")</f>
        <v>NCBI Nucleotide</v>
      </c>
    </row>
    <row r="12735" spans="1:27" x14ac:dyDescent="0.35">
      <c r="A12735">
        <v>1000390</v>
      </c>
      <c r="B12735">
        <v>11939</v>
      </c>
      <c r="C12735">
        <v>1</v>
      </c>
      <c r="D12735" s="17" t="s">
        <v>17166</v>
      </c>
      <c r="E12735" s="17"/>
      <c r="F12735" s="17" t="s">
        <v>17246</v>
      </c>
      <c r="G12735" s="17"/>
      <c r="H12735" s="17" t="s">
        <v>23950</v>
      </c>
      <c r="I12735" s="17" t="s">
        <v>26604</v>
      </c>
      <c r="J12735" s="17" t="s">
        <v>47099</v>
      </c>
      <c r="K12735" s="17"/>
      <c r="L12735" s="17" t="s">
        <v>47100</v>
      </c>
      <c r="M12735" s="17"/>
      <c r="N12735" s="17" t="s">
        <v>27392</v>
      </c>
      <c r="O12735" s="17"/>
      <c r="P12735" s="17" t="s">
        <v>27418</v>
      </c>
      <c r="Q12735" s="17"/>
      <c r="R12735" s="25" t="str">
        <f>HYPERLINK("https://ictv.global/taxonomy/taxondetails?taxnode_id=202306364","Orthobunyavirus jamestownense")</f>
        <v>Orthobunyavirus jamestownense</v>
      </c>
      <c r="S12735" s="18" t="s">
        <v>30</v>
      </c>
      <c r="T12735" s="18" t="s">
        <v>27641</v>
      </c>
      <c r="U12735" s="18" t="s">
        <v>27642</v>
      </c>
      <c r="V12735" s="18" t="s">
        <v>27643</v>
      </c>
      <c r="W12735" s="18" t="s">
        <v>50612</v>
      </c>
      <c r="X12735" s="18" t="s">
        <v>42</v>
      </c>
      <c r="Y12735" s="18" t="s">
        <v>23964</v>
      </c>
      <c r="Z12735" s="18" t="s">
        <v>12289</v>
      </c>
      <c r="AA12735" s="21" t="str">
        <f>HYPERLINK("https://www.ncbi.nlm.nih.gov/nuccore/HM007352,HM007351,HM007350","NCBI Nucleotide")</f>
        <v>NCBI Nucleotide</v>
      </c>
    </row>
    <row r="12736" spans="1:27" x14ac:dyDescent="0.35">
      <c r="A12736">
        <v>1011291</v>
      </c>
      <c r="B12736">
        <v>11939</v>
      </c>
      <c r="C12736">
        <v>2</v>
      </c>
      <c r="D12736" s="17" t="s">
        <v>17166</v>
      </c>
      <c r="E12736" s="17"/>
      <c r="F12736" s="17" t="s">
        <v>17246</v>
      </c>
      <c r="G12736" s="17"/>
      <c r="H12736" s="17" t="s">
        <v>23950</v>
      </c>
      <c r="I12736" s="17" t="s">
        <v>26604</v>
      </c>
      <c r="J12736" s="17" t="s">
        <v>47099</v>
      </c>
      <c r="K12736" s="17"/>
      <c r="L12736" s="17" t="s">
        <v>47100</v>
      </c>
      <c r="M12736" s="17"/>
      <c r="N12736" s="17" t="s">
        <v>27392</v>
      </c>
      <c r="O12736" s="17"/>
      <c r="P12736" s="17" t="s">
        <v>27418</v>
      </c>
      <c r="Q12736" s="17"/>
      <c r="R12736" s="25" t="str">
        <f>HYPERLINK("https://ictv.global/taxonomy/taxondetails?taxnode_id=202306364","Orthobunyavirus jamestownense")</f>
        <v>Orthobunyavirus jamestownense</v>
      </c>
      <c r="S12736" s="18" t="s">
        <v>8141</v>
      </c>
      <c r="T12736" s="18" t="s">
        <v>27644</v>
      </c>
      <c r="U12736" s="18" t="s">
        <v>27645</v>
      </c>
      <c r="V12736" s="18" t="s">
        <v>27646</v>
      </c>
      <c r="W12736" s="18" t="s">
        <v>49506</v>
      </c>
      <c r="X12736" s="18" t="s">
        <v>42</v>
      </c>
      <c r="Y12736" s="18" t="s">
        <v>23964</v>
      </c>
      <c r="Z12736" s="18" t="s">
        <v>12289</v>
      </c>
      <c r="AA12736" s="21" t="str">
        <f>HYPERLINK("https://www.ncbi.nlm.nih.gov/nuccore/EU789573,U88059,U47137","NCBI Nucleotide")</f>
        <v>NCBI Nucleotide</v>
      </c>
    </row>
    <row r="12737" spans="1:27" x14ac:dyDescent="0.35">
      <c r="A12737">
        <v>1011292</v>
      </c>
      <c r="B12737">
        <v>11939</v>
      </c>
      <c r="C12737">
        <v>3</v>
      </c>
      <c r="D12737" s="17" t="s">
        <v>17166</v>
      </c>
      <c r="E12737" s="17"/>
      <c r="F12737" s="17" t="s">
        <v>17246</v>
      </c>
      <c r="G12737" s="17"/>
      <c r="H12737" s="17" t="s">
        <v>23950</v>
      </c>
      <c r="I12737" s="17" t="s">
        <v>26604</v>
      </c>
      <c r="J12737" s="17" t="s">
        <v>47099</v>
      </c>
      <c r="K12737" s="17"/>
      <c r="L12737" s="17" t="s">
        <v>47100</v>
      </c>
      <c r="M12737" s="17"/>
      <c r="N12737" s="17" t="s">
        <v>27392</v>
      </c>
      <c r="O12737" s="17"/>
      <c r="P12737" s="17" t="s">
        <v>27418</v>
      </c>
      <c r="Q12737" s="17"/>
      <c r="R12737" s="25" t="str">
        <f>HYPERLINK("https://ictv.global/taxonomy/taxondetails?taxnode_id=202306364","Orthobunyavirus jamestownense")</f>
        <v>Orthobunyavirus jamestownense</v>
      </c>
      <c r="S12737" s="18" t="s">
        <v>8141</v>
      </c>
      <c r="T12737" s="18" t="s">
        <v>27647</v>
      </c>
      <c r="U12737" s="18" t="s">
        <v>27648</v>
      </c>
      <c r="V12737" s="18" t="s">
        <v>27649</v>
      </c>
      <c r="W12737" s="18" t="s">
        <v>49507</v>
      </c>
      <c r="X12737" s="18" t="s">
        <v>42</v>
      </c>
      <c r="Y12737" s="18" t="s">
        <v>23964</v>
      </c>
      <c r="Z12737" s="18" t="s">
        <v>12289</v>
      </c>
      <c r="AA12737" s="21" t="str">
        <f>HYPERLINK("https://www.ncbi.nlm.nih.gov/nuccore/KX817318,KX817319,KX817320","NCBI Nucleotide")</f>
        <v>NCBI Nucleotide</v>
      </c>
    </row>
    <row r="12738" spans="1:27" x14ac:dyDescent="0.35">
      <c r="A12738">
        <v>1011293</v>
      </c>
      <c r="B12738">
        <v>11939</v>
      </c>
      <c r="C12738">
        <v>4</v>
      </c>
      <c r="D12738" s="17" t="s">
        <v>17166</v>
      </c>
      <c r="E12738" s="17"/>
      <c r="F12738" s="17" t="s">
        <v>17246</v>
      </c>
      <c r="G12738" s="17"/>
      <c r="H12738" s="17" t="s">
        <v>23950</v>
      </c>
      <c r="I12738" s="17" t="s">
        <v>26604</v>
      </c>
      <c r="J12738" s="17" t="s">
        <v>47099</v>
      </c>
      <c r="K12738" s="17"/>
      <c r="L12738" s="17" t="s">
        <v>47100</v>
      </c>
      <c r="M12738" s="17"/>
      <c r="N12738" s="17" t="s">
        <v>27392</v>
      </c>
      <c r="O12738" s="17"/>
      <c r="P12738" s="17" t="s">
        <v>27418</v>
      </c>
      <c r="Q12738" s="17"/>
      <c r="R12738" s="25" t="str">
        <f>HYPERLINK("https://ictv.global/taxonomy/taxondetails?taxnode_id=202306364","Orthobunyavirus jamestownense")</f>
        <v>Orthobunyavirus jamestownense</v>
      </c>
      <c r="S12738" s="18" t="s">
        <v>8141</v>
      </c>
      <c r="T12738" s="18" t="s">
        <v>27650</v>
      </c>
      <c r="U12738" s="18" t="s">
        <v>27651</v>
      </c>
      <c r="V12738" s="18" t="s">
        <v>27652</v>
      </c>
      <c r="W12738" s="18" t="s">
        <v>49508</v>
      </c>
      <c r="X12738" s="18" t="s">
        <v>42</v>
      </c>
      <c r="Y12738" s="18" t="s">
        <v>23964</v>
      </c>
      <c r="Z12738" s="18" t="s">
        <v>12289</v>
      </c>
      <c r="AA12738" s="21" t="str">
        <f>HYPERLINK("https://www.ncbi.nlm.nih.gov/nuccore/KX817336,KX817337,KX817338","NCBI Nucleotide")</f>
        <v>NCBI Nucleotide</v>
      </c>
    </row>
    <row r="12739" spans="1:27" x14ac:dyDescent="0.35">
      <c r="A12739">
        <v>1000391</v>
      </c>
      <c r="B12739">
        <v>11940</v>
      </c>
      <c r="C12739">
        <v>1</v>
      </c>
      <c r="D12739" s="17" t="s">
        <v>17166</v>
      </c>
      <c r="E12739" s="17"/>
      <c r="F12739" s="17" t="s">
        <v>17246</v>
      </c>
      <c r="G12739" s="17"/>
      <c r="H12739" s="17" t="s">
        <v>23950</v>
      </c>
      <c r="I12739" s="17" t="s">
        <v>26604</v>
      </c>
      <c r="J12739" s="17" t="s">
        <v>47099</v>
      </c>
      <c r="K12739" s="17"/>
      <c r="L12739" s="17" t="s">
        <v>47100</v>
      </c>
      <c r="M12739" s="17"/>
      <c r="N12739" s="17" t="s">
        <v>27392</v>
      </c>
      <c r="O12739" s="17"/>
      <c r="P12739" s="17" t="s">
        <v>27418</v>
      </c>
      <c r="Q12739" s="17"/>
      <c r="R12739" s="25" t="str">
        <f>HYPERLINK("https://ictv.global/taxonomy/taxondetails?taxnode_id=202306388","Orthobunyavirus jatobalense")</f>
        <v>Orthobunyavirus jatobalense</v>
      </c>
      <c r="S12739" s="18" t="s">
        <v>30</v>
      </c>
      <c r="T12739" s="18" t="s">
        <v>27653</v>
      </c>
      <c r="U12739" s="18" t="s">
        <v>27654</v>
      </c>
      <c r="V12739" s="18" t="s">
        <v>27655</v>
      </c>
      <c r="W12739" s="18" t="s">
        <v>50613</v>
      </c>
      <c r="X12739" s="18" t="s">
        <v>42</v>
      </c>
      <c r="Y12739" s="18" t="s">
        <v>23964</v>
      </c>
      <c r="Z12739" s="18" t="s">
        <v>12289</v>
      </c>
      <c r="AA12739" s="21" t="str">
        <f>HYPERLINK("https://www.ncbi.nlm.nih.gov/nuccore/JQ675603,JQ675602,JQ675601","NCBI Nucleotide")</f>
        <v>NCBI Nucleotide</v>
      </c>
    </row>
    <row r="12740" spans="1:27" x14ac:dyDescent="0.35">
      <c r="A12740">
        <v>1000392</v>
      </c>
      <c r="B12740">
        <v>11941</v>
      </c>
      <c r="C12740">
        <v>1</v>
      </c>
      <c r="D12740" s="17" t="s">
        <v>17166</v>
      </c>
      <c r="E12740" s="17"/>
      <c r="F12740" s="17" t="s">
        <v>17246</v>
      </c>
      <c r="G12740" s="17"/>
      <c r="H12740" s="17" t="s">
        <v>23950</v>
      </c>
      <c r="I12740" s="17" t="s">
        <v>26604</v>
      </c>
      <c r="J12740" s="17" t="s">
        <v>47099</v>
      </c>
      <c r="K12740" s="17"/>
      <c r="L12740" s="17" t="s">
        <v>47100</v>
      </c>
      <c r="M12740" s="17"/>
      <c r="N12740" s="17" t="s">
        <v>27392</v>
      </c>
      <c r="O12740" s="17"/>
      <c r="P12740" s="17" t="s">
        <v>27418</v>
      </c>
      <c r="Q12740" s="17"/>
      <c r="R12740" s="25" t="str">
        <f>HYPERLINK("https://ictv.global/taxonomy/taxondetails?taxnode_id=202314230","Orthobunyavirus juandiazense")</f>
        <v>Orthobunyavirus juandiazense</v>
      </c>
      <c r="S12740" s="18" t="s">
        <v>30</v>
      </c>
      <c r="T12740" s="18" t="s">
        <v>27656</v>
      </c>
      <c r="U12740" s="18" t="s">
        <v>27657</v>
      </c>
      <c r="V12740" s="18" t="s">
        <v>27658</v>
      </c>
      <c r="W12740" s="18" t="s">
        <v>50814</v>
      </c>
      <c r="X12740" s="18" t="s">
        <v>35</v>
      </c>
      <c r="Y12740" s="18" t="s">
        <v>23964</v>
      </c>
      <c r="Z12740" s="18" t="s">
        <v>10790</v>
      </c>
      <c r="AA12740" s="21" t="str">
        <f>HYPERLINK("https://www.ncbi.nlm.nih.gov/nuccore/MK896554,MK896553,MK896552","NCBI Nucleotide")</f>
        <v>NCBI Nucleotide</v>
      </c>
    </row>
    <row r="12741" spans="1:27" x14ac:dyDescent="0.35">
      <c r="A12741">
        <v>1000393</v>
      </c>
      <c r="B12741">
        <v>11942</v>
      </c>
      <c r="C12741">
        <v>1</v>
      </c>
      <c r="D12741" s="17" t="s">
        <v>17166</v>
      </c>
      <c r="E12741" s="17"/>
      <c r="F12741" s="17" t="s">
        <v>17246</v>
      </c>
      <c r="G12741" s="17"/>
      <c r="H12741" s="17" t="s">
        <v>23950</v>
      </c>
      <c r="I12741" s="17" t="s">
        <v>26604</v>
      </c>
      <c r="J12741" s="17" t="s">
        <v>47099</v>
      </c>
      <c r="K12741" s="17"/>
      <c r="L12741" s="17" t="s">
        <v>47100</v>
      </c>
      <c r="M12741" s="17"/>
      <c r="N12741" s="17" t="s">
        <v>27392</v>
      </c>
      <c r="O12741" s="17"/>
      <c r="P12741" s="17" t="s">
        <v>27418</v>
      </c>
      <c r="Q12741" s="17"/>
      <c r="R12741" s="25" t="str">
        <f>HYPERLINK("https://ictv.global/taxonomy/taxondetails?taxnode_id=202300112","Orthobunyavirus kaengkhoiense")</f>
        <v>Orthobunyavirus kaengkhoiense</v>
      </c>
      <c r="S12741" s="18" t="s">
        <v>30</v>
      </c>
      <c r="T12741" s="18" t="s">
        <v>27659</v>
      </c>
      <c r="U12741" s="18" t="s">
        <v>27660</v>
      </c>
      <c r="V12741" s="18" t="s">
        <v>27661</v>
      </c>
      <c r="W12741" s="18" t="s">
        <v>50614</v>
      </c>
      <c r="X12741" s="18" t="s">
        <v>42</v>
      </c>
      <c r="Y12741" s="18" t="s">
        <v>23964</v>
      </c>
      <c r="Z12741" s="18" t="s">
        <v>12289</v>
      </c>
      <c r="AA12741" s="21" t="str">
        <f>HYPERLINK("https://www.ncbi.nlm.nih.gov/nuccore/KJ867205,KJ867204,KJ867203","NCBI Nucleotide")</f>
        <v>NCBI Nucleotide</v>
      </c>
    </row>
    <row r="12742" spans="1:27" x14ac:dyDescent="0.35">
      <c r="A12742">
        <v>1000394</v>
      </c>
      <c r="B12742">
        <v>11943</v>
      </c>
      <c r="C12742">
        <v>1</v>
      </c>
      <c r="D12742" s="17" t="s">
        <v>17166</v>
      </c>
      <c r="E12742" s="17"/>
      <c r="F12742" s="17" t="s">
        <v>17246</v>
      </c>
      <c r="G12742" s="17"/>
      <c r="H12742" s="17" t="s">
        <v>23950</v>
      </c>
      <c r="I12742" s="17" t="s">
        <v>26604</v>
      </c>
      <c r="J12742" s="17" t="s">
        <v>47099</v>
      </c>
      <c r="K12742" s="17"/>
      <c r="L12742" s="17" t="s">
        <v>47100</v>
      </c>
      <c r="M12742" s="17"/>
      <c r="N12742" s="17" t="s">
        <v>27392</v>
      </c>
      <c r="O12742" s="17"/>
      <c r="P12742" s="17" t="s">
        <v>27418</v>
      </c>
      <c r="Q12742" s="17"/>
      <c r="R12742" s="25" t="str">
        <f>HYPERLINK("https://ictv.global/taxonomy/taxondetails?taxnode_id=202300116","Orthobunyavirus kernense")</f>
        <v>Orthobunyavirus kernense</v>
      </c>
      <c r="S12742" s="18" t="s">
        <v>30</v>
      </c>
      <c r="T12742" s="18" t="s">
        <v>27662</v>
      </c>
      <c r="U12742" s="18" t="s">
        <v>13917</v>
      </c>
      <c r="V12742" s="18" t="s">
        <v>27663</v>
      </c>
      <c r="W12742" s="18" t="s">
        <v>27664</v>
      </c>
      <c r="X12742" s="18" t="s">
        <v>42</v>
      </c>
      <c r="Y12742" s="18" t="s">
        <v>23964</v>
      </c>
      <c r="Z12742" s="18" t="s">
        <v>12289</v>
      </c>
      <c r="AA12742" s="21" t="str">
        <f>HYPERLINK("https://www.ncbi.nlm.nih.gov/nuccore/MH484306,MH484307,MH484308","NCBI Nucleotide")</f>
        <v>NCBI Nucleotide</v>
      </c>
    </row>
    <row r="12743" spans="1:27" x14ac:dyDescent="0.35">
      <c r="A12743">
        <v>1011294</v>
      </c>
      <c r="B12743">
        <v>11943</v>
      </c>
      <c r="C12743">
        <v>2</v>
      </c>
      <c r="D12743" s="17" t="s">
        <v>17166</v>
      </c>
      <c r="E12743" s="17"/>
      <c r="F12743" s="17" t="s">
        <v>17246</v>
      </c>
      <c r="G12743" s="17"/>
      <c r="H12743" s="17" t="s">
        <v>23950</v>
      </c>
      <c r="I12743" s="17" t="s">
        <v>26604</v>
      </c>
      <c r="J12743" s="17" t="s">
        <v>47099</v>
      </c>
      <c r="K12743" s="17"/>
      <c r="L12743" s="17" t="s">
        <v>47100</v>
      </c>
      <c r="M12743" s="17"/>
      <c r="N12743" s="17" t="s">
        <v>27392</v>
      </c>
      <c r="O12743" s="17"/>
      <c r="P12743" s="17" t="s">
        <v>27418</v>
      </c>
      <c r="Q12743" s="17"/>
      <c r="R12743" s="25" t="str">
        <f>HYPERLINK("https://ictv.global/taxonomy/taxondetails?taxnode_id=202300116","Orthobunyavirus kernense")</f>
        <v>Orthobunyavirus kernense</v>
      </c>
      <c r="S12743" s="18" t="s">
        <v>8141</v>
      </c>
      <c r="T12743" s="18" t="s">
        <v>27988</v>
      </c>
      <c r="U12743" s="18" t="s">
        <v>27989</v>
      </c>
      <c r="V12743" s="18" t="s">
        <v>27990</v>
      </c>
      <c r="W12743" s="18" t="s">
        <v>49509</v>
      </c>
      <c r="X12743" s="18" t="s">
        <v>42</v>
      </c>
      <c r="Y12743" s="18" t="s">
        <v>23964</v>
      </c>
      <c r="Z12743" s="18" t="s">
        <v>12289</v>
      </c>
      <c r="AA12743" s="21" t="str">
        <f>HYPERLINK("https://www.ncbi.nlm.nih.gov/nuccore/MG828823,MG820264,MG696865","NCBI Nucleotide")</f>
        <v>NCBI Nucleotide</v>
      </c>
    </row>
    <row r="12744" spans="1:27" x14ac:dyDescent="0.35">
      <c r="A12744">
        <v>1011295</v>
      </c>
      <c r="B12744">
        <v>11943</v>
      </c>
      <c r="C12744">
        <v>3</v>
      </c>
      <c r="D12744" s="17" t="s">
        <v>17166</v>
      </c>
      <c r="E12744" s="17"/>
      <c r="F12744" s="17" t="s">
        <v>17246</v>
      </c>
      <c r="G12744" s="17"/>
      <c r="H12744" s="17" t="s">
        <v>23950</v>
      </c>
      <c r="I12744" s="17" t="s">
        <v>26604</v>
      </c>
      <c r="J12744" s="17" t="s">
        <v>47099</v>
      </c>
      <c r="K12744" s="17"/>
      <c r="L12744" s="17" t="s">
        <v>47100</v>
      </c>
      <c r="M12744" s="17"/>
      <c r="N12744" s="17" t="s">
        <v>27392</v>
      </c>
      <c r="O12744" s="17"/>
      <c r="P12744" s="17" t="s">
        <v>27418</v>
      </c>
      <c r="Q12744" s="17"/>
      <c r="R12744" s="25" t="str">
        <f>HYPERLINK("https://ictv.global/taxonomy/taxondetails?taxnode_id=202300116","Orthobunyavirus kernense")</f>
        <v>Orthobunyavirus kernense</v>
      </c>
      <c r="S12744" s="18" t="s">
        <v>8141</v>
      </c>
      <c r="T12744" s="18" t="s">
        <v>27991</v>
      </c>
      <c r="U12744" s="18" t="s">
        <v>27992</v>
      </c>
      <c r="V12744" s="18" t="s">
        <v>27993</v>
      </c>
      <c r="W12744" s="18" t="s">
        <v>49510</v>
      </c>
      <c r="X12744" s="18" t="s">
        <v>42</v>
      </c>
      <c r="Y12744" s="18" t="s">
        <v>23964</v>
      </c>
      <c r="Z12744" s="18" t="s">
        <v>12289</v>
      </c>
      <c r="AA12744" s="21" t="str">
        <f>HYPERLINK("https://www.ncbi.nlm.nih.gov/nuccore/MH484324,MH484325,MH484326","NCBI Nucleotide")</f>
        <v>NCBI Nucleotide</v>
      </c>
    </row>
    <row r="12745" spans="1:27" x14ac:dyDescent="0.35">
      <c r="A12745">
        <v>1000395</v>
      </c>
      <c r="B12745">
        <v>11944</v>
      </c>
      <c r="C12745">
        <v>1</v>
      </c>
      <c r="D12745" s="17" t="s">
        <v>17166</v>
      </c>
      <c r="E12745" s="17"/>
      <c r="F12745" s="17" t="s">
        <v>17246</v>
      </c>
      <c r="G12745" s="17"/>
      <c r="H12745" s="17" t="s">
        <v>23950</v>
      </c>
      <c r="I12745" s="17" t="s">
        <v>26604</v>
      </c>
      <c r="J12745" s="17" t="s">
        <v>47099</v>
      </c>
      <c r="K12745" s="17"/>
      <c r="L12745" s="17" t="s">
        <v>47100</v>
      </c>
      <c r="M12745" s="17"/>
      <c r="N12745" s="17" t="s">
        <v>27392</v>
      </c>
      <c r="O12745" s="17"/>
      <c r="P12745" s="17" t="s">
        <v>27418</v>
      </c>
      <c r="Q12745" s="17"/>
      <c r="R12745" s="25" t="str">
        <f>HYPERLINK("https://ictv.global/taxonomy/taxondetails?taxnode_id=202314222","Orthobunyavirus ketapangense")</f>
        <v>Orthobunyavirus ketapangense</v>
      </c>
      <c r="S12745" s="18" t="s">
        <v>30</v>
      </c>
      <c r="T12745" s="18" t="s">
        <v>27665</v>
      </c>
      <c r="U12745" s="18" t="s">
        <v>27666</v>
      </c>
      <c r="V12745" s="18" t="s">
        <v>27667</v>
      </c>
      <c r="W12745" s="18" t="s">
        <v>50815</v>
      </c>
      <c r="X12745" s="18" t="s">
        <v>35</v>
      </c>
      <c r="Y12745" s="18" t="s">
        <v>23964</v>
      </c>
      <c r="Z12745" s="18" t="s">
        <v>10790</v>
      </c>
      <c r="AA12745" s="21" t="str">
        <f>HYPERLINK("https://www.ncbi.nlm.nih.gov/nuccore/MK896548,MK896547,MK896546","NCBI Nucleotide")</f>
        <v>NCBI Nucleotide</v>
      </c>
    </row>
    <row r="12746" spans="1:27" x14ac:dyDescent="0.35">
      <c r="A12746">
        <v>1000396</v>
      </c>
      <c r="B12746">
        <v>11945</v>
      </c>
      <c r="C12746">
        <v>1</v>
      </c>
      <c r="D12746" s="17" t="s">
        <v>17166</v>
      </c>
      <c r="E12746" s="17"/>
      <c r="F12746" s="17" t="s">
        <v>17246</v>
      </c>
      <c r="G12746" s="17"/>
      <c r="H12746" s="17" t="s">
        <v>23950</v>
      </c>
      <c r="I12746" s="17" t="s">
        <v>26604</v>
      </c>
      <c r="J12746" s="17" t="s">
        <v>47099</v>
      </c>
      <c r="K12746" s="17"/>
      <c r="L12746" s="17" t="s">
        <v>47100</v>
      </c>
      <c r="M12746" s="17"/>
      <c r="N12746" s="17" t="s">
        <v>27392</v>
      </c>
      <c r="O12746" s="17"/>
      <c r="P12746" s="17" t="s">
        <v>27418</v>
      </c>
      <c r="Q12746" s="17"/>
      <c r="R12746" s="25" t="str">
        <f>HYPERLINK("https://ictv.global/taxonomy/taxondetails?taxnode_id=202306365","Orthobunyavirus keystoneense")</f>
        <v>Orthobunyavirus keystoneense</v>
      </c>
      <c r="S12746" s="18" t="s">
        <v>30</v>
      </c>
      <c r="T12746" s="18" t="s">
        <v>27668</v>
      </c>
      <c r="U12746" s="18" t="s">
        <v>27669</v>
      </c>
      <c r="V12746" s="18" t="s">
        <v>27670</v>
      </c>
      <c r="W12746" s="18" t="s">
        <v>27671</v>
      </c>
      <c r="X12746" s="18" t="s">
        <v>42</v>
      </c>
      <c r="Y12746" s="18" t="s">
        <v>23964</v>
      </c>
      <c r="Z12746" s="18" t="s">
        <v>12289</v>
      </c>
      <c r="AA12746" s="21" t="str">
        <f>HYPERLINK("https://www.ncbi.nlm.nih.gov/nuccore/KX817321,KX817322,KX817323","NCBI Nucleotide")</f>
        <v>NCBI Nucleotide</v>
      </c>
    </row>
    <row r="12747" spans="1:27" x14ac:dyDescent="0.35">
      <c r="A12747">
        <v>1000397</v>
      </c>
      <c r="B12747">
        <v>11946</v>
      </c>
      <c r="C12747">
        <v>1</v>
      </c>
      <c r="D12747" s="17" t="s">
        <v>17166</v>
      </c>
      <c r="E12747" s="17"/>
      <c r="F12747" s="17" t="s">
        <v>17246</v>
      </c>
      <c r="G12747" s="17"/>
      <c r="H12747" s="17" t="s">
        <v>23950</v>
      </c>
      <c r="I12747" s="17" t="s">
        <v>26604</v>
      </c>
      <c r="J12747" s="17" t="s">
        <v>47099</v>
      </c>
      <c r="K12747" s="17"/>
      <c r="L12747" s="17" t="s">
        <v>47100</v>
      </c>
      <c r="M12747" s="17"/>
      <c r="N12747" s="17" t="s">
        <v>27392</v>
      </c>
      <c r="O12747" s="17"/>
      <c r="P12747" s="17" t="s">
        <v>27418</v>
      </c>
      <c r="Q12747" s="17"/>
      <c r="R12747" s="25" t="str">
        <f>HYPERLINK("https://ictv.global/taxonomy/taxondetails?taxnode_id=202306371","Orthobunyavirus khatangaense")</f>
        <v>Orthobunyavirus khatangaense</v>
      </c>
      <c r="S12747" s="18" t="s">
        <v>30</v>
      </c>
      <c r="T12747" s="18" t="s">
        <v>27672</v>
      </c>
      <c r="U12747" s="18" t="s">
        <v>27673</v>
      </c>
      <c r="V12747" s="18"/>
      <c r="W12747" s="18" t="s">
        <v>27674</v>
      </c>
      <c r="X12747" s="18" t="s">
        <v>42</v>
      </c>
      <c r="Y12747" s="18" t="s">
        <v>23964</v>
      </c>
      <c r="Z12747" s="18" t="s">
        <v>12289</v>
      </c>
      <c r="AA12747" s="21" t="str">
        <f>HYPERLINK("https://www.ncbi.nlm.nih.gov/nuccore/EU203678,EU262553,EU294510","NCBI Nucleotide")</f>
        <v>NCBI Nucleotide</v>
      </c>
    </row>
    <row r="12748" spans="1:27" x14ac:dyDescent="0.35">
      <c r="A12748">
        <v>1011296</v>
      </c>
      <c r="B12748">
        <v>11946</v>
      </c>
      <c r="C12748">
        <v>2</v>
      </c>
      <c r="D12748" s="17" t="s">
        <v>17166</v>
      </c>
      <c r="E12748" s="17"/>
      <c r="F12748" s="17" t="s">
        <v>17246</v>
      </c>
      <c r="G12748" s="17"/>
      <c r="H12748" s="17" t="s">
        <v>23950</v>
      </c>
      <c r="I12748" s="17" t="s">
        <v>26604</v>
      </c>
      <c r="J12748" s="17" t="s">
        <v>47099</v>
      </c>
      <c r="K12748" s="17"/>
      <c r="L12748" s="17" t="s">
        <v>47100</v>
      </c>
      <c r="M12748" s="17"/>
      <c r="N12748" s="17" t="s">
        <v>27392</v>
      </c>
      <c r="O12748" s="17"/>
      <c r="P12748" s="17" t="s">
        <v>27418</v>
      </c>
      <c r="Q12748" s="17"/>
      <c r="R12748" s="25" t="str">
        <f>HYPERLINK("https://ictv.global/taxonomy/taxondetails?taxnode_id=202306371","Orthobunyavirus khatangaense")</f>
        <v>Orthobunyavirus khatangaense</v>
      </c>
      <c r="S12748" s="18" t="s">
        <v>8141</v>
      </c>
      <c r="T12748" s="18" t="s">
        <v>27675</v>
      </c>
      <c r="U12748" s="18" t="s">
        <v>27676</v>
      </c>
      <c r="V12748" s="18" t="s">
        <v>27677</v>
      </c>
      <c r="W12748" s="18" t="s">
        <v>49511</v>
      </c>
      <c r="X12748" s="18" t="s">
        <v>42</v>
      </c>
      <c r="Y12748" s="18" t="s">
        <v>23964</v>
      </c>
      <c r="Z12748" s="18" t="s">
        <v>12289</v>
      </c>
      <c r="AA12748" s="21" t="str">
        <f>HYPERLINK("https://www.ncbi.nlm.nih.gov/nuccore/HQ734817,HQ734821,HQ734824","NCBI Nucleotide")</f>
        <v>NCBI Nucleotide</v>
      </c>
    </row>
    <row r="12749" spans="1:27" x14ac:dyDescent="0.35">
      <c r="A12749">
        <v>1000398</v>
      </c>
      <c r="B12749">
        <v>11947</v>
      </c>
      <c r="C12749">
        <v>1</v>
      </c>
      <c r="D12749" s="17" t="s">
        <v>17166</v>
      </c>
      <c r="E12749" s="17"/>
      <c r="F12749" s="17" t="s">
        <v>17246</v>
      </c>
      <c r="G12749" s="17"/>
      <c r="H12749" s="17" t="s">
        <v>23950</v>
      </c>
      <c r="I12749" s="17" t="s">
        <v>26604</v>
      </c>
      <c r="J12749" s="17" t="s">
        <v>47099</v>
      </c>
      <c r="K12749" s="17"/>
      <c r="L12749" s="17" t="s">
        <v>47100</v>
      </c>
      <c r="M12749" s="17"/>
      <c r="N12749" s="17" t="s">
        <v>27392</v>
      </c>
      <c r="O12749" s="17"/>
      <c r="P12749" s="17" t="s">
        <v>27418</v>
      </c>
      <c r="Q12749" s="17"/>
      <c r="R12749" s="25" t="str">
        <f>HYPERLINK("https://ictv.global/taxonomy/taxondetails?taxnode_id=202300114","Orthobunyavirus koongoli")</f>
        <v>Orthobunyavirus koongoli</v>
      </c>
      <c r="S12749" s="18" t="s">
        <v>30</v>
      </c>
      <c r="T12749" s="18" t="s">
        <v>27678</v>
      </c>
      <c r="U12749" s="18" t="s">
        <v>27679</v>
      </c>
      <c r="V12749" s="18" t="s">
        <v>27680</v>
      </c>
      <c r="W12749" s="18" t="s">
        <v>50615</v>
      </c>
      <c r="X12749" s="18" t="s">
        <v>42</v>
      </c>
      <c r="Y12749" s="18" t="s">
        <v>23964</v>
      </c>
      <c r="Z12749" s="18" t="s">
        <v>12289</v>
      </c>
      <c r="AA12749" s="21" t="str">
        <f>HYPERLINK("https://www.ncbi.nlm.nih.gov/nuccore/KP792669,KP792668,KP792667","NCBI Nucleotide")</f>
        <v>NCBI Nucleotide</v>
      </c>
    </row>
    <row r="12750" spans="1:27" x14ac:dyDescent="0.35">
      <c r="A12750">
        <v>1011297</v>
      </c>
      <c r="B12750">
        <v>11947</v>
      </c>
      <c r="C12750">
        <v>2</v>
      </c>
      <c r="D12750" s="17" t="s">
        <v>17166</v>
      </c>
      <c r="E12750" s="17"/>
      <c r="F12750" s="17" t="s">
        <v>17246</v>
      </c>
      <c r="G12750" s="17"/>
      <c r="H12750" s="17" t="s">
        <v>23950</v>
      </c>
      <c r="I12750" s="17" t="s">
        <v>26604</v>
      </c>
      <c r="J12750" s="17" t="s">
        <v>47099</v>
      </c>
      <c r="K12750" s="17"/>
      <c r="L12750" s="17" t="s">
        <v>47100</v>
      </c>
      <c r="M12750" s="17"/>
      <c r="N12750" s="17" t="s">
        <v>27392</v>
      </c>
      <c r="O12750" s="17"/>
      <c r="P12750" s="17" t="s">
        <v>27418</v>
      </c>
      <c r="Q12750" s="17"/>
      <c r="R12750" s="25" t="str">
        <f>HYPERLINK("https://ictv.global/taxonomy/taxondetails?taxnode_id=202300114","Orthobunyavirus koongoli")</f>
        <v>Orthobunyavirus koongoli</v>
      </c>
      <c r="S12750" s="18" t="s">
        <v>8141</v>
      </c>
      <c r="T12750" s="18" t="s">
        <v>27681</v>
      </c>
      <c r="U12750" s="18" t="s">
        <v>25584</v>
      </c>
      <c r="V12750" s="18"/>
      <c r="W12750" s="18" t="s">
        <v>49512</v>
      </c>
      <c r="X12750" s="18" t="s">
        <v>42</v>
      </c>
      <c r="Y12750" s="18" t="s">
        <v>23964</v>
      </c>
      <c r="Z12750" s="18" t="s">
        <v>12289</v>
      </c>
      <c r="AA12750" s="21" t="str">
        <f>HYPERLINK("https://www.ncbi.nlm.nih.gov/nuccore/MK896432,MK896431,MK896430","NCBI Nucleotide")</f>
        <v>NCBI Nucleotide</v>
      </c>
    </row>
    <row r="12751" spans="1:27" x14ac:dyDescent="0.35">
      <c r="A12751">
        <v>1000399</v>
      </c>
      <c r="B12751">
        <v>11948</v>
      </c>
      <c r="C12751">
        <v>1</v>
      </c>
      <c r="D12751" s="17" t="s">
        <v>17166</v>
      </c>
      <c r="E12751" s="17"/>
      <c r="F12751" s="17" t="s">
        <v>17246</v>
      </c>
      <c r="G12751" s="17"/>
      <c r="H12751" s="17" t="s">
        <v>23950</v>
      </c>
      <c r="I12751" s="17" t="s">
        <v>26604</v>
      </c>
      <c r="J12751" s="17" t="s">
        <v>47099</v>
      </c>
      <c r="K12751" s="17"/>
      <c r="L12751" s="17" t="s">
        <v>47100</v>
      </c>
      <c r="M12751" s="17"/>
      <c r="N12751" s="17" t="s">
        <v>27392</v>
      </c>
      <c r="O12751" s="17"/>
      <c r="P12751" s="17" t="s">
        <v>27418</v>
      </c>
      <c r="Q12751" s="17"/>
      <c r="R12751" s="25" t="str">
        <f>HYPERLINK("https://ictv.global/taxonomy/taxondetails?taxnode_id=202314239","Orthobunyavirus kowanyamaense")</f>
        <v>Orthobunyavirus kowanyamaense</v>
      </c>
      <c r="S12751" s="18" t="s">
        <v>30</v>
      </c>
      <c r="T12751" s="18" t="s">
        <v>27682</v>
      </c>
      <c r="U12751" s="18" t="s">
        <v>27683</v>
      </c>
      <c r="V12751" s="18" t="s">
        <v>27684</v>
      </c>
      <c r="W12751" s="18" t="s">
        <v>27685</v>
      </c>
      <c r="X12751" s="18" t="s">
        <v>35</v>
      </c>
      <c r="Y12751" s="18" t="s">
        <v>23964</v>
      </c>
      <c r="Z12751" s="18" t="s">
        <v>10790</v>
      </c>
      <c r="AA12751" s="21" t="str">
        <f>HYPERLINK("https://www.ncbi.nlm.nih.gov/nuccore/KT820202,KT820203,KT820204","NCBI Nucleotide")</f>
        <v>NCBI Nucleotide</v>
      </c>
    </row>
    <row r="12752" spans="1:27" x14ac:dyDescent="0.35">
      <c r="A12752">
        <v>1000400</v>
      </c>
      <c r="B12752">
        <v>11949</v>
      </c>
      <c r="C12752">
        <v>1</v>
      </c>
      <c r="D12752" s="17" t="s">
        <v>17166</v>
      </c>
      <c r="E12752" s="17"/>
      <c r="F12752" s="17" t="s">
        <v>17246</v>
      </c>
      <c r="G12752" s="17"/>
      <c r="H12752" s="17" t="s">
        <v>23950</v>
      </c>
      <c r="I12752" s="17" t="s">
        <v>26604</v>
      </c>
      <c r="J12752" s="17" t="s">
        <v>47099</v>
      </c>
      <c r="K12752" s="17"/>
      <c r="L12752" s="17" t="s">
        <v>47100</v>
      </c>
      <c r="M12752" s="17"/>
      <c r="N12752" s="17" t="s">
        <v>27392</v>
      </c>
      <c r="O12752" s="17"/>
      <c r="P12752" s="17" t="s">
        <v>27418</v>
      </c>
      <c r="Q12752" s="17"/>
      <c r="R12752" s="25" t="str">
        <f>HYPERLINK("https://ictv.global/taxonomy/taxondetails?taxnode_id=202306366","Orthobunyavirus lacrosseense")</f>
        <v>Orthobunyavirus lacrosseense</v>
      </c>
      <c r="S12752" s="18" t="s">
        <v>30</v>
      </c>
      <c r="T12752" s="18" t="s">
        <v>27686</v>
      </c>
      <c r="U12752" s="18" t="s">
        <v>27687</v>
      </c>
      <c r="V12752" s="18" t="s">
        <v>27688</v>
      </c>
      <c r="W12752" s="18" t="s">
        <v>50816</v>
      </c>
      <c r="X12752" s="18" t="s">
        <v>42</v>
      </c>
      <c r="Y12752" s="18" t="s">
        <v>23964</v>
      </c>
      <c r="Z12752" s="18" t="s">
        <v>12289</v>
      </c>
      <c r="AA12752" s="21" t="str">
        <f>HYPERLINK("https://www.ncbi.nlm.nih.gov/nuccore/EF485032,EF485031,EF485030","NCBI Nucleotide")</f>
        <v>NCBI Nucleotide</v>
      </c>
    </row>
    <row r="12753" spans="1:27" x14ac:dyDescent="0.35">
      <c r="A12753">
        <v>1000401</v>
      </c>
      <c r="B12753">
        <v>11950</v>
      </c>
      <c r="C12753">
        <v>1</v>
      </c>
      <c r="D12753" s="17" t="s">
        <v>17166</v>
      </c>
      <c r="E12753" s="17"/>
      <c r="F12753" s="17" t="s">
        <v>17246</v>
      </c>
      <c r="G12753" s="17"/>
      <c r="H12753" s="17" t="s">
        <v>23950</v>
      </c>
      <c r="I12753" s="17" t="s">
        <v>26604</v>
      </c>
      <c r="J12753" s="17" t="s">
        <v>47099</v>
      </c>
      <c r="K12753" s="17"/>
      <c r="L12753" s="17" t="s">
        <v>47100</v>
      </c>
      <c r="M12753" s="17"/>
      <c r="N12753" s="17" t="s">
        <v>27392</v>
      </c>
      <c r="O12753" s="17"/>
      <c r="P12753" s="17" t="s">
        <v>27418</v>
      </c>
      <c r="Q12753" s="17"/>
      <c r="R12753" s="25" t="str">
        <f>HYPERLINK("https://ictv.global/taxonomy/taxondetails?taxnode_id=202314248","Orthobunyavirus lasmaloyasense")</f>
        <v>Orthobunyavirus lasmaloyasense</v>
      </c>
      <c r="S12753" s="18" t="s">
        <v>30</v>
      </c>
      <c r="T12753" s="18" t="s">
        <v>27689</v>
      </c>
      <c r="U12753" s="18" t="s">
        <v>27690</v>
      </c>
      <c r="V12753" s="18" t="s">
        <v>27691</v>
      </c>
      <c r="W12753" s="18" t="s">
        <v>50817</v>
      </c>
      <c r="X12753" s="18" t="s">
        <v>35</v>
      </c>
      <c r="Y12753" s="18" t="s">
        <v>23964</v>
      </c>
      <c r="Z12753" s="18" t="s">
        <v>10790</v>
      </c>
      <c r="AA12753" s="21" t="str">
        <f>HYPERLINK("https://www.ncbi.nlm.nih.gov/nuccore/MK896545,MK896544,MK896543","NCBI Nucleotide")</f>
        <v>NCBI Nucleotide</v>
      </c>
    </row>
    <row r="12754" spans="1:27" x14ac:dyDescent="0.35">
      <c r="A12754">
        <v>1000402</v>
      </c>
      <c r="B12754">
        <v>11951</v>
      </c>
      <c r="C12754">
        <v>1</v>
      </c>
      <c r="D12754" s="17" t="s">
        <v>17166</v>
      </c>
      <c r="E12754" s="17"/>
      <c r="F12754" s="17" t="s">
        <v>17246</v>
      </c>
      <c r="G12754" s="17"/>
      <c r="H12754" s="17" t="s">
        <v>23950</v>
      </c>
      <c r="I12754" s="17" t="s">
        <v>26604</v>
      </c>
      <c r="J12754" s="17" t="s">
        <v>47099</v>
      </c>
      <c r="K12754" s="17"/>
      <c r="L12754" s="17" t="s">
        <v>47100</v>
      </c>
      <c r="M12754" s="17"/>
      <c r="N12754" s="17" t="s">
        <v>27392</v>
      </c>
      <c r="O12754" s="17"/>
      <c r="P12754" s="17" t="s">
        <v>27418</v>
      </c>
      <c r="Q12754" s="17"/>
      <c r="R12754" s="25" t="str">
        <f>HYPERLINK("https://ictv.global/taxonomy/taxondetails?taxnode_id=202306389","Orthobunyavirus leanyerense")</f>
        <v>Orthobunyavirus leanyerense</v>
      </c>
      <c r="S12754" s="18" t="s">
        <v>30</v>
      </c>
      <c r="T12754" s="18" t="s">
        <v>27692</v>
      </c>
      <c r="U12754" s="18" t="s">
        <v>27693</v>
      </c>
      <c r="V12754" s="18" t="s">
        <v>27694</v>
      </c>
      <c r="W12754" s="18" t="s">
        <v>50616</v>
      </c>
      <c r="X12754" s="18" t="s">
        <v>42</v>
      </c>
      <c r="Y12754" s="18" t="s">
        <v>23964</v>
      </c>
      <c r="Z12754" s="18" t="s">
        <v>10790</v>
      </c>
      <c r="AA12754" s="21" t="str">
        <f>HYPERLINK("https://www.ncbi.nlm.nih.gov/nuccore/HM627178,HM627176,HM627177","NCBI Nucleotide")</f>
        <v>NCBI Nucleotide</v>
      </c>
    </row>
    <row r="12755" spans="1:27" x14ac:dyDescent="0.35">
      <c r="A12755">
        <v>1000403</v>
      </c>
      <c r="B12755">
        <v>11952</v>
      </c>
      <c r="C12755">
        <v>1</v>
      </c>
      <c r="D12755" s="17" t="s">
        <v>17166</v>
      </c>
      <c r="E12755" s="17"/>
      <c r="F12755" s="17" t="s">
        <v>17246</v>
      </c>
      <c r="G12755" s="17"/>
      <c r="H12755" s="17" t="s">
        <v>23950</v>
      </c>
      <c r="I12755" s="17" t="s">
        <v>26604</v>
      </c>
      <c r="J12755" s="17" t="s">
        <v>47099</v>
      </c>
      <c r="K12755" s="17"/>
      <c r="L12755" s="17" t="s">
        <v>47100</v>
      </c>
      <c r="M12755" s="17"/>
      <c r="N12755" s="17" t="s">
        <v>27392</v>
      </c>
      <c r="O12755" s="17"/>
      <c r="P12755" s="17" t="s">
        <v>27418</v>
      </c>
      <c r="Q12755" s="17"/>
      <c r="R12755" s="25" t="str">
        <f>HYPERLINK("https://ictv.global/taxonomy/taxondetails?taxnode_id=202314233","Orthobunyavirus ledniceense")</f>
        <v>Orthobunyavirus ledniceense</v>
      </c>
      <c r="S12755" s="18" t="s">
        <v>30</v>
      </c>
      <c r="T12755" s="18" t="s">
        <v>27695</v>
      </c>
      <c r="U12755" s="18" t="s">
        <v>27696</v>
      </c>
      <c r="V12755" s="18">
        <v>110</v>
      </c>
      <c r="W12755" s="18" t="s">
        <v>50818</v>
      </c>
      <c r="X12755" s="18" t="s">
        <v>35</v>
      </c>
      <c r="Y12755" s="18" t="s">
        <v>23964</v>
      </c>
      <c r="Z12755" s="18" t="s">
        <v>10790</v>
      </c>
      <c r="AA12755" s="21" t="str">
        <f>HYPERLINK("https://www.ncbi.nlm.nih.gov/nuccore/MK514125,MK514122,MK514119","NCBI Nucleotide")</f>
        <v>NCBI Nucleotide</v>
      </c>
    </row>
    <row r="12756" spans="1:27" x14ac:dyDescent="0.35">
      <c r="A12756">
        <v>1000404</v>
      </c>
      <c r="B12756">
        <v>11953</v>
      </c>
      <c r="C12756">
        <v>1</v>
      </c>
      <c r="D12756" s="17" t="s">
        <v>17166</v>
      </c>
      <c r="E12756" s="17"/>
      <c r="F12756" s="17" t="s">
        <v>17246</v>
      </c>
      <c r="G12756" s="17"/>
      <c r="H12756" s="17" t="s">
        <v>23950</v>
      </c>
      <c r="I12756" s="17" t="s">
        <v>26604</v>
      </c>
      <c r="J12756" s="17" t="s">
        <v>47099</v>
      </c>
      <c r="K12756" s="17"/>
      <c r="L12756" s="17" t="s">
        <v>47100</v>
      </c>
      <c r="M12756" s="17"/>
      <c r="N12756" s="17" t="s">
        <v>27392</v>
      </c>
      <c r="O12756" s="17"/>
      <c r="P12756" s="17" t="s">
        <v>27418</v>
      </c>
      <c r="Q12756" s="17"/>
      <c r="R12756" s="25" t="str">
        <f>HYPERLINK("https://ictv.global/taxonomy/taxondetails?taxnode_id=202314249","Orthobunyavirus lukuniense")</f>
        <v>Orthobunyavirus lukuniense</v>
      </c>
      <c r="S12756" s="18" t="s">
        <v>30</v>
      </c>
      <c r="T12756" s="18" t="s">
        <v>27697</v>
      </c>
      <c r="U12756" s="18" t="s">
        <v>27698</v>
      </c>
      <c r="V12756" s="18" t="s">
        <v>27699</v>
      </c>
      <c r="W12756" s="18" t="s">
        <v>50617</v>
      </c>
      <c r="X12756" s="18" t="s">
        <v>42</v>
      </c>
      <c r="Y12756" s="18" t="s">
        <v>23964</v>
      </c>
      <c r="Z12756" s="18" t="s">
        <v>12289</v>
      </c>
      <c r="AA12756" s="21" t="str">
        <f>HYPERLINK("https://www.ncbi.nlm.nih.gov/nuccore/KP792672,KP792671,KP792670","NCBI Nucleotide")</f>
        <v>NCBI Nucleotide</v>
      </c>
    </row>
    <row r="12757" spans="1:27" x14ac:dyDescent="0.35">
      <c r="A12757">
        <v>1000405</v>
      </c>
      <c r="B12757">
        <v>11954</v>
      </c>
      <c r="C12757">
        <v>1</v>
      </c>
      <c r="D12757" s="17" t="s">
        <v>17166</v>
      </c>
      <c r="E12757" s="17"/>
      <c r="F12757" s="17" t="s">
        <v>17246</v>
      </c>
      <c r="G12757" s="17"/>
      <c r="H12757" s="17" t="s">
        <v>23950</v>
      </c>
      <c r="I12757" s="17" t="s">
        <v>26604</v>
      </c>
      <c r="J12757" s="17" t="s">
        <v>47099</v>
      </c>
      <c r="K12757" s="17"/>
      <c r="L12757" s="17" t="s">
        <v>47100</v>
      </c>
      <c r="M12757" s="17"/>
      <c r="N12757" s="17" t="s">
        <v>27392</v>
      </c>
      <c r="O12757" s="17"/>
      <c r="P12757" s="17" t="s">
        <v>27418</v>
      </c>
      <c r="Q12757" s="17"/>
      <c r="R12757" s="25" t="str">
        <f>HYPERLINK("https://ictv.global/taxonomy/taxondetails?taxnode_id=202306367","Orthobunyavirus lumboense")</f>
        <v>Orthobunyavirus lumboense</v>
      </c>
      <c r="S12757" s="18" t="s">
        <v>30</v>
      </c>
      <c r="T12757" s="18" t="s">
        <v>27700</v>
      </c>
      <c r="U12757" s="18" t="s">
        <v>27701</v>
      </c>
      <c r="V12757" s="18" t="s">
        <v>27702</v>
      </c>
      <c r="W12757" s="18" t="s">
        <v>27703</v>
      </c>
      <c r="X12757" s="18" t="s">
        <v>42</v>
      </c>
      <c r="Y12757" s="18" t="s">
        <v>23964</v>
      </c>
      <c r="Z12757" s="18" t="s">
        <v>12289</v>
      </c>
      <c r="AA12757" s="21" t="str">
        <f>HYPERLINK("https://www.ncbi.nlm.nih.gov/nuccore/KX817324,KX817325,KX817326","NCBI Nucleotide")</f>
        <v>NCBI Nucleotide</v>
      </c>
    </row>
    <row r="12758" spans="1:27" x14ac:dyDescent="0.35">
      <c r="A12758">
        <v>1000406</v>
      </c>
      <c r="B12758">
        <v>11955</v>
      </c>
      <c r="C12758">
        <v>1</v>
      </c>
      <c r="D12758" s="17" t="s">
        <v>17166</v>
      </c>
      <c r="E12758" s="17"/>
      <c r="F12758" s="17" t="s">
        <v>17246</v>
      </c>
      <c r="G12758" s="17"/>
      <c r="H12758" s="17" t="s">
        <v>23950</v>
      </c>
      <c r="I12758" s="17" t="s">
        <v>26604</v>
      </c>
      <c r="J12758" s="17" t="s">
        <v>47099</v>
      </c>
      <c r="K12758" s="17"/>
      <c r="L12758" s="17" t="s">
        <v>47100</v>
      </c>
      <c r="M12758" s="17"/>
      <c r="N12758" s="17" t="s">
        <v>27392</v>
      </c>
      <c r="O12758" s="17"/>
      <c r="P12758" s="17" t="s">
        <v>27418</v>
      </c>
      <c r="Q12758" s="17"/>
      <c r="R12758" s="25" t="str">
        <f>HYPERLINK("https://ictv.global/taxonomy/taxondetails?taxnode_id=202306386","Orthobunyavirus macauaense")</f>
        <v>Orthobunyavirus macauaense</v>
      </c>
      <c r="S12758" s="18" t="s">
        <v>30</v>
      </c>
      <c r="T12758" s="18" t="s">
        <v>27704</v>
      </c>
      <c r="U12758" s="18" t="s">
        <v>27705</v>
      </c>
      <c r="V12758" s="18" t="s">
        <v>27706</v>
      </c>
      <c r="W12758" s="18" t="s">
        <v>27707</v>
      </c>
      <c r="X12758" s="18" t="s">
        <v>42</v>
      </c>
      <c r="Y12758" s="18" t="s">
        <v>23964</v>
      </c>
      <c r="Z12758" s="18" t="s">
        <v>12289</v>
      </c>
      <c r="AA12758" s="21" t="str">
        <f>HYPERLINK("https://www.ncbi.nlm.nih.gov/nuccore/JN572068,JN572069,JN572070","NCBI Nucleotide")</f>
        <v>NCBI Nucleotide</v>
      </c>
    </row>
    <row r="12759" spans="1:27" x14ac:dyDescent="0.35">
      <c r="A12759">
        <v>1000407</v>
      </c>
      <c r="B12759">
        <v>11956</v>
      </c>
      <c r="C12759">
        <v>1</v>
      </c>
      <c r="D12759" s="17" t="s">
        <v>17166</v>
      </c>
      <c r="E12759" s="17"/>
      <c r="F12759" s="17" t="s">
        <v>17246</v>
      </c>
      <c r="G12759" s="17"/>
      <c r="H12759" s="17" t="s">
        <v>23950</v>
      </c>
      <c r="I12759" s="17" t="s">
        <v>26604</v>
      </c>
      <c r="J12759" s="17" t="s">
        <v>47099</v>
      </c>
      <c r="K12759" s="17"/>
      <c r="L12759" s="17" t="s">
        <v>47100</v>
      </c>
      <c r="M12759" s="17"/>
      <c r="N12759" s="17" t="s">
        <v>27392</v>
      </c>
      <c r="O12759" s="17"/>
      <c r="P12759" s="17" t="s">
        <v>27418</v>
      </c>
      <c r="Q12759" s="17"/>
      <c r="R12759" s="25" t="str">
        <f>HYPERLINK("https://ictv.global/taxonomy/taxondetails?taxnode_id=202300115","Orthobunyavirus madridense")</f>
        <v>Orthobunyavirus madridense</v>
      </c>
      <c r="S12759" s="18" t="s">
        <v>30</v>
      </c>
      <c r="T12759" s="18" t="s">
        <v>27708</v>
      </c>
      <c r="U12759" s="18" t="s">
        <v>27709</v>
      </c>
      <c r="V12759" s="18" t="s">
        <v>27710</v>
      </c>
      <c r="W12759" s="18" t="s">
        <v>27711</v>
      </c>
      <c r="X12759" s="18" t="s">
        <v>42</v>
      </c>
      <c r="Y12759" s="18" t="s">
        <v>23964</v>
      </c>
      <c r="Z12759" s="18" t="s">
        <v>12289</v>
      </c>
      <c r="AA12759" s="21" t="str">
        <f>HYPERLINK("https://www.ncbi.nlm.nih.gov/nuccore/KF254779,KF254780,KF254781","NCBI Nucleotide")</f>
        <v>NCBI Nucleotide</v>
      </c>
    </row>
    <row r="12760" spans="1:27" x14ac:dyDescent="0.35">
      <c r="A12760">
        <v>1011298</v>
      </c>
      <c r="B12760">
        <v>11956</v>
      </c>
      <c r="C12760">
        <v>2</v>
      </c>
      <c r="D12760" s="17" t="s">
        <v>17166</v>
      </c>
      <c r="E12760" s="17"/>
      <c r="F12760" s="17" t="s">
        <v>17246</v>
      </c>
      <c r="G12760" s="17"/>
      <c r="H12760" s="17" t="s">
        <v>23950</v>
      </c>
      <c r="I12760" s="17" t="s">
        <v>26604</v>
      </c>
      <c r="J12760" s="17" t="s">
        <v>47099</v>
      </c>
      <c r="K12760" s="17"/>
      <c r="L12760" s="17" t="s">
        <v>47100</v>
      </c>
      <c r="M12760" s="17"/>
      <c r="N12760" s="17" t="s">
        <v>27392</v>
      </c>
      <c r="O12760" s="17"/>
      <c r="P12760" s="17" t="s">
        <v>27418</v>
      </c>
      <c r="Q12760" s="17"/>
      <c r="R12760" s="25" t="str">
        <f>HYPERLINK("https://ictv.global/taxonomy/taxondetails?taxnode_id=202300115","Orthobunyavirus madridense")</f>
        <v>Orthobunyavirus madridense</v>
      </c>
      <c r="S12760" s="18" t="s">
        <v>8141</v>
      </c>
      <c r="T12760" s="18" t="s">
        <v>27994</v>
      </c>
      <c r="U12760" s="18" t="s">
        <v>27995</v>
      </c>
      <c r="V12760" s="18">
        <v>24188</v>
      </c>
      <c r="W12760" s="18" t="s">
        <v>49513</v>
      </c>
      <c r="X12760" s="18" t="s">
        <v>42</v>
      </c>
      <c r="Y12760" s="18" t="s">
        <v>23964</v>
      </c>
      <c r="Z12760" s="18" t="s">
        <v>12289</v>
      </c>
      <c r="AA12760" s="21" t="str">
        <f>HYPERLINK("https://www.ncbi.nlm.nih.gov/nuccore/MK896441,MK896440,MK896439","NCBI Nucleotide")</f>
        <v>NCBI Nucleotide</v>
      </c>
    </row>
    <row r="12761" spans="1:27" x14ac:dyDescent="0.35">
      <c r="A12761">
        <v>1000408</v>
      </c>
      <c r="B12761">
        <v>11957</v>
      </c>
      <c r="C12761">
        <v>1</v>
      </c>
      <c r="D12761" s="17" t="s">
        <v>17166</v>
      </c>
      <c r="E12761" s="17"/>
      <c r="F12761" s="17" t="s">
        <v>17246</v>
      </c>
      <c r="G12761" s="17"/>
      <c r="H12761" s="17" t="s">
        <v>23950</v>
      </c>
      <c r="I12761" s="17" t="s">
        <v>26604</v>
      </c>
      <c r="J12761" s="17" t="s">
        <v>47099</v>
      </c>
      <c r="K12761" s="17"/>
      <c r="L12761" s="17" t="s">
        <v>47100</v>
      </c>
      <c r="M12761" s="17"/>
      <c r="N12761" s="17" t="s">
        <v>27392</v>
      </c>
      <c r="O12761" s="17"/>
      <c r="P12761" s="17" t="s">
        <v>27418</v>
      </c>
      <c r="Q12761" s="17"/>
      <c r="R12761" s="25" t="str">
        <f>HYPERLINK("https://ictv.global/taxonomy/taxondetails?taxnode_id=202306361","Orthobunyavirus maguariense")</f>
        <v>Orthobunyavirus maguariense</v>
      </c>
      <c r="S12761" s="18" t="s">
        <v>30</v>
      </c>
      <c r="T12761" s="18" t="s">
        <v>27712</v>
      </c>
      <c r="U12761" s="18" t="s">
        <v>27713</v>
      </c>
      <c r="V12761" s="18" t="s">
        <v>27714</v>
      </c>
      <c r="W12761" s="18" t="s">
        <v>27715</v>
      </c>
      <c r="X12761" s="18" t="s">
        <v>42</v>
      </c>
      <c r="Y12761" s="18" t="s">
        <v>23964</v>
      </c>
      <c r="Z12761" s="18" t="s">
        <v>12289</v>
      </c>
      <c r="AA12761" s="21" t="str">
        <f>HYPERLINK("https://www.ncbi.nlm.nih.gov/nuccore/KY910429,KY910430,KY910431","NCBI Nucleotide")</f>
        <v>NCBI Nucleotide</v>
      </c>
    </row>
    <row r="12762" spans="1:27" x14ac:dyDescent="0.35">
      <c r="A12762">
        <v>1000409</v>
      </c>
      <c r="B12762">
        <v>11958</v>
      </c>
      <c r="C12762">
        <v>1</v>
      </c>
      <c r="D12762" s="17" t="s">
        <v>17166</v>
      </c>
      <c r="E12762" s="17"/>
      <c r="F12762" s="17" t="s">
        <v>17246</v>
      </c>
      <c r="G12762" s="17"/>
      <c r="H12762" s="17" t="s">
        <v>23950</v>
      </c>
      <c r="I12762" s="17" t="s">
        <v>26604</v>
      </c>
      <c r="J12762" s="17" t="s">
        <v>47099</v>
      </c>
      <c r="K12762" s="17"/>
      <c r="L12762" s="17" t="s">
        <v>47100</v>
      </c>
      <c r="M12762" s="17"/>
      <c r="N12762" s="17" t="s">
        <v>27392</v>
      </c>
      <c r="O12762" s="17"/>
      <c r="P12762" s="17" t="s">
        <v>27418</v>
      </c>
      <c r="Q12762" s="17"/>
      <c r="R12762" s="25" t="str">
        <f>HYPERLINK("https://ictv.global/taxonomy/taxondetails?taxnode_id=202309322","Orthobunyavirus mahoganyense")</f>
        <v>Orthobunyavirus mahoganyense</v>
      </c>
      <c r="S12762" s="18" t="s">
        <v>30</v>
      </c>
      <c r="T12762" s="18" t="s">
        <v>27716</v>
      </c>
      <c r="U12762" s="18" t="s">
        <v>27717</v>
      </c>
      <c r="V12762" s="18" t="s">
        <v>27718</v>
      </c>
      <c r="W12762" s="18" t="s">
        <v>50819</v>
      </c>
      <c r="X12762" s="18" t="s">
        <v>42</v>
      </c>
      <c r="Y12762" s="18" t="s">
        <v>23964</v>
      </c>
      <c r="Z12762" s="18" t="s">
        <v>10790</v>
      </c>
      <c r="AA12762" s="21" t="str">
        <f>HYPERLINK("https://www.ncbi.nlm.nih.gov/nuccore/KP835520,KP835519,KP835518","NCBI Nucleotide")</f>
        <v>NCBI Nucleotide</v>
      </c>
    </row>
    <row r="12763" spans="1:27" x14ac:dyDescent="0.35">
      <c r="A12763">
        <v>1000410</v>
      </c>
      <c r="B12763">
        <v>11959</v>
      </c>
      <c r="C12763">
        <v>1</v>
      </c>
      <c r="D12763" s="17" t="s">
        <v>17166</v>
      </c>
      <c r="E12763" s="17"/>
      <c r="F12763" s="17" t="s">
        <v>17246</v>
      </c>
      <c r="G12763" s="17"/>
      <c r="H12763" s="17" t="s">
        <v>23950</v>
      </c>
      <c r="I12763" s="17" t="s">
        <v>26604</v>
      </c>
      <c r="J12763" s="17" t="s">
        <v>47099</v>
      </c>
      <c r="K12763" s="17"/>
      <c r="L12763" s="17" t="s">
        <v>47100</v>
      </c>
      <c r="M12763" s="17"/>
      <c r="N12763" s="17" t="s">
        <v>27392</v>
      </c>
      <c r="O12763" s="17"/>
      <c r="P12763" s="17" t="s">
        <v>27418</v>
      </c>
      <c r="Q12763" s="17"/>
      <c r="R12763" s="25" t="str">
        <f>HYPERLINK("https://ictv.global/taxonomy/taxondetails?taxnode_id=202300117","Orthobunyavirus manzanillaense")</f>
        <v>Orthobunyavirus manzanillaense</v>
      </c>
      <c r="S12763" s="18" t="s">
        <v>30</v>
      </c>
      <c r="T12763" s="18" t="s">
        <v>27719</v>
      </c>
      <c r="U12763" s="18" t="s">
        <v>27720</v>
      </c>
      <c r="V12763" s="18" t="s">
        <v>27721</v>
      </c>
      <c r="W12763" s="18" t="s">
        <v>50820</v>
      </c>
      <c r="X12763" s="18" t="s">
        <v>42</v>
      </c>
      <c r="Y12763" s="18" t="s">
        <v>23964</v>
      </c>
      <c r="Z12763" s="18" t="s">
        <v>12289</v>
      </c>
      <c r="AA12763" s="21" t="str">
        <f>HYPERLINK("https://www.ncbi.nlm.nih.gov/nuccore/KF697150,KF697149,KF697148","NCBI Nucleotide")</f>
        <v>NCBI Nucleotide</v>
      </c>
    </row>
    <row r="12764" spans="1:27" x14ac:dyDescent="0.35">
      <c r="A12764">
        <v>1011299</v>
      </c>
      <c r="B12764">
        <v>11959</v>
      </c>
      <c r="C12764">
        <v>2</v>
      </c>
      <c r="D12764" s="17" t="s">
        <v>17166</v>
      </c>
      <c r="E12764" s="17"/>
      <c r="F12764" s="17" t="s">
        <v>17246</v>
      </c>
      <c r="G12764" s="17"/>
      <c r="H12764" s="17" t="s">
        <v>23950</v>
      </c>
      <c r="I12764" s="17" t="s">
        <v>26604</v>
      </c>
      <c r="J12764" s="17" t="s">
        <v>47099</v>
      </c>
      <c r="K12764" s="17"/>
      <c r="L12764" s="17" t="s">
        <v>47100</v>
      </c>
      <c r="M12764" s="17"/>
      <c r="N12764" s="17" t="s">
        <v>27392</v>
      </c>
      <c r="O12764" s="17"/>
      <c r="P12764" s="17" t="s">
        <v>27418</v>
      </c>
      <c r="Q12764" s="17"/>
      <c r="R12764" s="25" t="str">
        <f>HYPERLINK("https://ictv.global/taxonomy/taxondetails?taxnode_id=202300117","Orthobunyavirus manzanillaense")</f>
        <v>Orthobunyavirus manzanillaense</v>
      </c>
      <c r="S12764" s="18" t="s">
        <v>8141</v>
      </c>
      <c r="T12764" s="18" t="s">
        <v>27722</v>
      </c>
      <c r="U12764" s="18" t="s">
        <v>27723</v>
      </c>
      <c r="V12764" s="18"/>
      <c r="W12764" s="18"/>
      <c r="X12764" s="18" t="s">
        <v>3311</v>
      </c>
      <c r="Y12764" s="18" t="s">
        <v>23964</v>
      </c>
      <c r="Z12764" s="18" t="s">
        <v>12289</v>
      </c>
      <c r="AA12764" s="21"/>
    </row>
    <row r="12765" spans="1:27" x14ac:dyDescent="0.35">
      <c r="A12765">
        <v>1000411</v>
      </c>
      <c r="B12765">
        <v>11960</v>
      </c>
      <c r="C12765">
        <v>1</v>
      </c>
      <c r="D12765" s="17" t="s">
        <v>17166</v>
      </c>
      <c r="E12765" s="17"/>
      <c r="F12765" s="17" t="s">
        <v>17246</v>
      </c>
      <c r="G12765" s="17"/>
      <c r="H12765" s="17" t="s">
        <v>23950</v>
      </c>
      <c r="I12765" s="17" t="s">
        <v>26604</v>
      </c>
      <c r="J12765" s="17" t="s">
        <v>47099</v>
      </c>
      <c r="K12765" s="17"/>
      <c r="L12765" s="17" t="s">
        <v>47100</v>
      </c>
      <c r="M12765" s="17"/>
      <c r="N12765" s="17" t="s">
        <v>27392</v>
      </c>
      <c r="O12765" s="17"/>
      <c r="P12765" s="17" t="s">
        <v>27418</v>
      </c>
      <c r="Q12765" s="17"/>
      <c r="R12765" s="25" t="str">
        <f>HYPERLINK("https://ictv.global/taxonomy/taxondetails?taxnode_id=202309324","Orthobunyavirus maprikense")</f>
        <v>Orthobunyavirus maprikense</v>
      </c>
      <c r="S12765" s="18" t="s">
        <v>30</v>
      </c>
      <c r="T12765" s="18" t="s">
        <v>27724</v>
      </c>
      <c r="U12765" s="18" t="s">
        <v>27725</v>
      </c>
      <c r="V12765" s="18" t="s">
        <v>27726</v>
      </c>
      <c r="W12765" s="18" t="s">
        <v>50618</v>
      </c>
      <c r="X12765" s="18" t="s">
        <v>42</v>
      </c>
      <c r="Y12765" s="18" t="s">
        <v>23964</v>
      </c>
      <c r="Z12765" s="18" t="s">
        <v>10790</v>
      </c>
      <c r="AA12765" s="21" t="str">
        <f>HYPERLINK("https://www.ncbi.nlm.nih.gov/nuccore/KJ481926,KJ481925,KJ481924","NCBI Nucleotide")</f>
        <v>NCBI Nucleotide</v>
      </c>
    </row>
    <row r="12766" spans="1:27" x14ac:dyDescent="0.35">
      <c r="A12766">
        <v>1000412</v>
      </c>
      <c r="B12766">
        <v>11961</v>
      </c>
      <c r="C12766">
        <v>1</v>
      </c>
      <c r="D12766" s="17" t="s">
        <v>17166</v>
      </c>
      <c r="E12766" s="17"/>
      <c r="F12766" s="17" t="s">
        <v>17246</v>
      </c>
      <c r="G12766" s="17"/>
      <c r="H12766" s="17" t="s">
        <v>23950</v>
      </c>
      <c r="I12766" s="17" t="s">
        <v>26604</v>
      </c>
      <c r="J12766" s="17" t="s">
        <v>47099</v>
      </c>
      <c r="K12766" s="17"/>
      <c r="L12766" s="17" t="s">
        <v>47100</v>
      </c>
      <c r="M12766" s="17"/>
      <c r="N12766" s="17" t="s">
        <v>27392</v>
      </c>
      <c r="O12766" s="17"/>
      <c r="P12766" s="17" t="s">
        <v>27418</v>
      </c>
      <c r="Q12766" s="17"/>
      <c r="R12766" s="25" t="str">
        <f>HYPERLINK("https://ictv.global/taxonomy/taxondetails?taxnode_id=202300118","Orthobunyavirus maritubaense")</f>
        <v>Orthobunyavirus maritubaense</v>
      </c>
      <c r="S12766" s="18" t="s">
        <v>30</v>
      </c>
      <c r="T12766" s="18" t="s">
        <v>27727</v>
      </c>
      <c r="U12766" s="18" t="s">
        <v>27728</v>
      </c>
      <c r="V12766" s="18" t="s">
        <v>27729</v>
      </c>
      <c r="W12766" s="18" t="s">
        <v>27730</v>
      </c>
      <c r="X12766" s="18" t="s">
        <v>42</v>
      </c>
      <c r="Y12766" s="18" t="s">
        <v>23964</v>
      </c>
      <c r="Z12766" s="18" t="s">
        <v>12289</v>
      </c>
      <c r="AA12766" s="21" t="str">
        <f>HYPERLINK("https://www.ncbi.nlm.nih.gov/nuccore/KF254770,KF254771,KF254772","NCBI Nucleotide")</f>
        <v>NCBI Nucleotide</v>
      </c>
    </row>
    <row r="12767" spans="1:27" x14ac:dyDescent="0.35">
      <c r="A12767">
        <v>1011300</v>
      </c>
      <c r="B12767">
        <v>11961</v>
      </c>
      <c r="C12767">
        <v>2</v>
      </c>
      <c r="D12767" s="17" t="s">
        <v>17166</v>
      </c>
      <c r="E12767" s="17"/>
      <c r="F12767" s="17" t="s">
        <v>17246</v>
      </c>
      <c r="G12767" s="17"/>
      <c r="H12767" s="17" t="s">
        <v>23950</v>
      </c>
      <c r="I12767" s="17" t="s">
        <v>26604</v>
      </c>
      <c r="J12767" s="17" t="s">
        <v>47099</v>
      </c>
      <c r="K12767" s="17"/>
      <c r="L12767" s="17" t="s">
        <v>47100</v>
      </c>
      <c r="M12767" s="17"/>
      <c r="N12767" s="17" t="s">
        <v>27392</v>
      </c>
      <c r="O12767" s="17"/>
      <c r="P12767" s="17" t="s">
        <v>27418</v>
      </c>
      <c r="Q12767" s="17"/>
      <c r="R12767" s="25" t="str">
        <f>HYPERLINK("https://ictv.global/taxonomy/taxondetails?taxnode_id=202300118","Orthobunyavirus maritubaense")</f>
        <v>Orthobunyavirus maritubaense</v>
      </c>
      <c r="S12767" s="18" t="s">
        <v>8141</v>
      </c>
      <c r="T12767" s="18" t="s">
        <v>27731</v>
      </c>
      <c r="U12767" s="18" t="s">
        <v>27732</v>
      </c>
      <c r="V12767" s="18"/>
      <c r="W12767" s="18"/>
      <c r="X12767" s="18" t="s">
        <v>3311</v>
      </c>
      <c r="Y12767" s="18" t="s">
        <v>23964</v>
      </c>
      <c r="Z12767" s="18" t="s">
        <v>12289</v>
      </c>
      <c r="AA12767" s="21"/>
    </row>
    <row r="12768" spans="1:27" x14ac:dyDescent="0.35">
      <c r="A12768">
        <v>1000413</v>
      </c>
      <c r="B12768">
        <v>11962</v>
      </c>
      <c r="C12768">
        <v>1</v>
      </c>
      <c r="D12768" s="17" t="s">
        <v>17166</v>
      </c>
      <c r="E12768" s="17"/>
      <c r="F12768" s="17" t="s">
        <v>17246</v>
      </c>
      <c r="G12768" s="17"/>
      <c r="H12768" s="17" t="s">
        <v>23950</v>
      </c>
      <c r="I12768" s="17" t="s">
        <v>26604</v>
      </c>
      <c r="J12768" s="17" t="s">
        <v>47099</v>
      </c>
      <c r="K12768" s="17"/>
      <c r="L12768" s="17" t="s">
        <v>47100</v>
      </c>
      <c r="M12768" s="17"/>
      <c r="N12768" s="17" t="s">
        <v>27392</v>
      </c>
      <c r="O12768" s="17"/>
      <c r="P12768" s="17" t="s">
        <v>27418</v>
      </c>
      <c r="Q12768" s="17"/>
      <c r="R12768" s="25" t="str">
        <f>HYPERLINK("https://ictv.global/taxonomy/taxondetails?taxnode_id=202309325","Orthobunyavirus matruhense")</f>
        <v>Orthobunyavirus matruhense</v>
      </c>
      <c r="S12768" s="18" t="s">
        <v>30</v>
      </c>
      <c r="T12768" s="18" t="s">
        <v>27733</v>
      </c>
      <c r="U12768" s="18" t="s">
        <v>27734</v>
      </c>
      <c r="V12768" s="18" t="s">
        <v>27735</v>
      </c>
      <c r="W12768" s="18" t="s">
        <v>50821</v>
      </c>
      <c r="X12768" s="18" t="s">
        <v>42</v>
      </c>
      <c r="Y12768" s="18" t="s">
        <v>23964</v>
      </c>
      <c r="Z12768" s="18" t="s">
        <v>166</v>
      </c>
      <c r="AA12768" s="21" t="str">
        <f>HYPERLINK("https://www.ncbi.nlm.nih.gov/nuccore/KP792693,KP792692,KP792691","NCBI Nucleotide")</f>
        <v>NCBI Nucleotide</v>
      </c>
    </row>
    <row r="12769" spans="1:27" x14ac:dyDescent="0.35">
      <c r="A12769">
        <v>1000414</v>
      </c>
      <c r="B12769">
        <v>11963</v>
      </c>
      <c r="C12769">
        <v>1</v>
      </c>
      <c r="D12769" s="17" t="s">
        <v>17166</v>
      </c>
      <c r="E12769" s="17"/>
      <c r="F12769" s="17" t="s">
        <v>17246</v>
      </c>
      <c r="G12769" s="17"/>
      <c r="H12769" s="17" t="s">
        <v>23950</v>
      </c>
      <c r="I12769" s="17" t="s">
        <v>26604</v>
      </c>
      <c r="J12769" s="17" t="s">
        <v>47099</v>
      </c>
      <c r="K12769" s="17"/>
      <c r="L12769" s="17" t="s">
        <v>47100</v>
      </c>
      <c r="M12769" s="17"/>
      <c r="N12769" s="17" t="s">
        <v>27392</v>
      </c>
      <c r="O12769" s="17"/>
      <c r="P12769" s="17" t="s">
        <v>27418</v>
      </c>
      <c r="Q12769" s="17"/>
      <c r="R12769" s="25" t="str">
        <f>HYPERLINK("https://ictv.global/taxonomy/taxondetails?taxnode_id=202306368","Orthobunyavirus melajoense")</f>
        <v>Orthobunyavirus melajoense</v>
      </c>
      <c r="S12769" s="18" t="s">
        <v>30</v>
      </c>
      <c r="T12769" s="18" t="s">
        <v>27736</v>
      </c>
      <c r="U12769" s="18" t="s">
        <v>27737</v>
      </c>
      <c r="V12769" s="18" t="s">
        <v>27738</v>
      </c>
      <c r="W12769" s="18" t="s">
        <v>27739</v>
      </c>
      <c r="X12769" s="18" t="s">
        <v>42</v>
      </c>
      <c r="Y12769" s="18" t="s">
        <v>23964</v>
      </c>
      <c r="Z12769" s="18" t="s">
        <v>12289</v>
      </c>
      <c r="AA12769" s="21" t="str">
        <f>HYPERLINK("https://www.ncbi.nlm.nih.gov/nuccore/KX817327,KX817328,KX817329","NCBI Nucleotide")</f>
        <v>NCBI Nucleotide</v>
      </c>
    </row>
    <row r="12770" spans="1:27" x14ac:dyDescent="0.35">
      <c r="A12770">
        <v>1000415</v>
      </c>
      <c r="B12770">
        <v>11964</v>
      </c>
      <c r="C12770">
        <v>1</v>
      </c>
      <c r="D12770" s="17" t="s">
        <v>17166</v>
      </c>
      <c r="E12770" s="17"/>
      <c r="F12770" s="17" t="s">
        <v>17246</v>
      </c>
      <c r="G12770" s="17"/>
      <c r="H12770" s="17" t="s">
        <v>23950</v>
      </c>
      <c r="I12770" s="17" t="s">
        <v>26604</v>
      </c>
      <c r="J12770" s="17" t="s">
        <v>47099</v>
      </c>
      <c r="K12770" s="17"/>
      <c r="L12770" s="17" t="s">
        <v>47100</v>
      </c>
      <c r="M12770" s="17"/>
      <c r="N12770" s="17" t="s">
        <v>27392</v>
      </c>
      <c r="O12770" s="17"/>
      <c r="P12770" s="17" t="s">
        <v>27418</v>
      </c>
      <c r="Q12770" s="17"/>
      <c r="R12770" s="25" t="str">
        <f>HYPERLINK("https://ictv.global/taxonomy/taxondetails?taxnode_id=202306377","Orthobunyavirus mermetense")</f>
        <v>Orthobunyavirus mermetense</v>
      </c>
      <c r="S12770" s="18" t="s">
        <v>30</v>
      </c>
      <c r="T12770" s="18" t="s">
        <v>27740</v>
      </c>
      <c r="U12770" s="18" t="s">
        <v>27741</v>
      </c>
      <c r="V12770" s="18" t="s">
        <v>27742</v>
      </c>
      <c r="W12770" s="18" t="s">
        <v>50619</v>
      </c>
      <c r="X12770" s="18" t="s">
        <v>42</v>
      </c>
      <c r="Y12770" s="18" t="s">
        <v>23964</v>
      </c>
      <c r="Z12770" s="18" t="s">
        <v>12289</v>
      </c>
      <c r="AA12770" s="21" t="str">
        <f>HYPERLINK("https://www.ncbi.nlm.nih.gov/nuccore/KF697153,KF697151,KF697152","NCBI Nucleotide")</f>
        <v>NCBI Nucleotide</v>
      </c>
    </row>
    <row r="12771" spans="1:27" x14ac:dyDescent="0.35">
      <c r="A12771">
        <v>1000416</v>
      </c>
      <c r="B12771">
        <v>11965</v>
      </c>
      <c r="C12771">
        <v>1</v>
      </c>
      <c r="D12771" s="17" t="s">
        <v>17166</v>
      </c>
      <c r="E12771" s="17"/>
      <c r="F12771" s="17" t="s">
        <v>17246</v>
      </c>
      <c r="G12771" s="17"/>
      <c r="H12771" s="17" t="s">
        <v>23950</v>
      </c>
      <c r="I12771" s="17" t="s">
        <v>26604</v>
      </c>
      <c r="J12771" s="17" t="s">
        <v>47099</v>
      </c>
      <c r="K12771" s="17"/>
      <c r="L12771" s="17" t="s">
        <v>47100</v>
      </c>
      <c r="M12771" s="17"/>
      <c r="N12771" s="17" t="s">
        <v>27392</v>
      </c>
      <c r="O12771" s="17"/>
      <c r="P12771" s="17" t="s">
        <v>27418</v>
      </c>
      <c r="Q12771" s="17"/>
      <c r="R12771" s="25" t="str">
        <f>HYPERLINK("https://ictv.global/taxonomy/taxondetails?taxnode_id=202300119","Orthobunyavirus minatitlanense")</f>
        <v>Orthobunyavirus minatitlanense</v>
      </c>
      <c r="S12771" s="18" t="s">
        <v>30</v>
      </c>
      <c r="T12771" s="18" t="s">
        <v>27743</v>
      </c>
      <c r="U12771" s="18" t="s">
        <v>27744</v>
      </c>
      <c r="V12771" s="18"/>
      <c r="W12771" s="18" t="s">
        <v>50822</v>
      </c>
      <c r="X12771" s="18" t="s">
        <v>42</v>
      </c>
      <c r="Y12771" s="18" t="s">
        <v>23964</v>
      </c>
      <c r="Z12771" s="18" t="s">
        <v>12289</v>
      </c>
      <c r="AA12771" s="21" t="str">
        <f>HYPERLINK("https://www.ncbi.nlm.nih.gov/nuccore/MK896527,MK896526,MK896525","NCBI Nucleotide")</f>
        <v>NCBI Nucleotide</v>
      </c>
    </row>
    <row r="12772" spans="1:27" x14ac:dyDescent="0.35">
      <c r="A12772">
        <v>1011301</v>
      </c>
      <c r="B12772">
        <v>11965</v>
      </c>
      <c r="C12772">
        <v>2</v>
      </c>
      <c r="D12772" s="17" t="s">
        <v>17166</v>
      </c>
      <c r="E12772" s="17"/>
      <c r="F12772" s="17" t="s">
        <v>17246</v>
      </c>
      <c r="G12772" s="17"/>
      <c r="H12772" s="17" t="s">
        <v>23950</v>
      </c>
      <c r="I12772" s="17" t="s">
        <v>26604</v>
      </c>
      <c r="J12772" s="17" t="s">
        <v>47099</v>
      </c>
      <c r="K12772" s="17"/>
      <c r="L12772" s="17" t="s">
        <v>47100</v>
      </c>
      <c r="M12772" s="17"/>
      <c r="N12772" s="17" t="s">
        <v>27392</v>
      </c>
      <c r="O12772" s="17"/>
      <c r="P12772" s="17" t="s">
        <v>27418</v>
      </c>
      <c r="Q12772" s="17"/>
      <c r="R12772" s="25" t="str">
        <f>HYPERLINK("https://ictv.global/taxonomy/taxondetails?taxnode_id=202300119","Orthobunyavirus minatitlanense")</f>
        <v>Orthobunyavirus minatitlanense</v>
      </c>
      <c r="S12772" s="18" t="s">
        <v>8141</v>
      </c>
      <c r="T12772" s="18" t="s">
        <v>27745</v>
      </c>
      <c r="U12772" s="18" t="s">
        <v>27746</v>
      </c>
      <c r="V12772" s="18"/>
      <c r="W12772" s="18"/>
      <c r="X12772" s="18" t="s">
        <v>3311</v>
      </c>
      <c r="Y12772" s="18" t="s">
        <v>23964</v>
      </c>
      <c r="Z12772" s="18" t="s">
        <v>12289</v>
      </c>
      <c r="AA12772" s="21"/>
    </row>
    <row r="12773" spans="1:27" x14ac:dyDescent="0.35">
      <c r="A12773">
        <v>1000417</v>
      </c>
      <c r="B12773">
        <v>11966</v>
      </c>
      <c r="C12773">
        <v>1</v>
      </c>
      <c r="D12773" s="17" t="s">
        <v>17166</v>
      </c>
      <c r="E12773" s="17"/>
      <c r="F12773" s="17" t="s">
        <v>17246</v>
      </c>
      <c r="G12773" s="17"/>
      <c r="H12773" s="17" t="s">
        <v>23950</v>
      </c>
      <c r="I12773" s="17" t="s">
        <v>26604</v>
      </c>
      <c r="J12773" s="17" t="s">
        <v>47099</v>
      </c>
      <c r="K12773" s="17"/>
      <c r="L12773" s="17" t="s">
        <v>47100</v>
      </c>
      <c r="M12773" s="17"/>
      <c r="N12773" s="17" t="s">
        <v>27392</v>
      </c>
      <c r="O12773" s="17"/>
      <c r="P12773" s="17" t="s">
        <v>27418</v>
      </c>
      <c r="Q12773" s="17"/>
      <c r="R12773" s="25" t="str">
        <f>HYPERLINK("https://ictv.global/taxonomy/taxondetails?taxnode_id=202314226","Orthobunyavirus mirimense")</f>
        <v>Orthobunyavirus mirimense</v>
      </c>
      <c r="S12773" s="18" t="s">
        <v>30</v>
      </c>
      <c r="T12773" s="18" t="s">
        <v>27747</v>
      </c>
      <c r="U12773" s="18" t="s">
        <v>27748</v>
      </c>
      <c r="V12773" s="18" t="s">
        <v>27749</v>
      </c>
      <c r="W12773" s="18" t="s">
        <v>27750</v>
      </c>
      <c r="X12773" s="18" t="s">
        <v>35</v>
      </c>
      <c r="Y12773" s="18" t="s">
        <v>23964</v>
      </c>
      <c r="Z12773" s="18" t="s">
        <v>10790</v>
      </c>
      <c r="AA12773" s="21" t="str">
        <f>HYPERLINK("https://www.ncbi.nlm.nih.gov/nuccore/KY013487,KY013488,KY013489","NCBI Nucleotide")</f>
        <v>NCBI Nucleotide</v>
      </c>
    </row>
    <row r="12774" spans="1:27" x14ac:dyDescent="0.35">
      <c r="A12774">
        <v>1000418</v>
      </c>
      <c r="B12774">
        <v>11967</v>
      </c>
      <c r="C12774">
        <v>1</v>
      </c>
      <c r="D12774" s="17" t="s">
        <v>17166</v>
      </c>
      <c r="E12774" s="17"/>
      <c r="F12774" s="17" t="s">
        <v>17246</v>
      </c>
      <c r="G12774" s="17"/>
      <c r="H12774" s="17" t="s">
        <v>23950</v>
      </c>
      <c r="I12774" s="17" t="s">
        <v>26604</v>
      </c>
      <c r="J12774" s="17" t="s">
        <v>47099</v>
      </c>
      <c r="K12774" s="17"/>
      <c r="L12774" s="17" t="s">
        <v>47100</v>
      </c>
      <c r="M12774" s="17"/>
      <c r="N12774" s="17" t="s">
        <v>27392</v>
      </c>
      <c r="O12774" s="17"/>
      <c r="P12774" s="17" t="s">
        <v>27418</v>
      </c>
      <c r="Q12774" s="17"/>
      <c r="R12774" s="25" t="str">
        <f>HYPERLINK("https://ictv.global/taxonomy/taxondetails?taxnode_id=202309323","Orthobunyavirus mitchellense")</f>
        <v>Orthobunyavirus mitchellense</v>
      </c>
      <c r="S12774" s="18" t="s">
        <v>30</v>
      </c>
      <c r="T12774" s="18" t="s">
        <v>27751</v>
      </c>
      <c r="U12774" s="18" t="s">
        <v>27062</v>
      </c>
      <c r="V12774" s="18" t="s">
        <v>27752</v>
      </c>
      <c r="W12774" s="18" t="s">
        <v>50823</v>
      </c>
      <c r="X12774" s="18" t="s">
        <v>42</v>
      </c>
      <c r="Y12774" s="18" t="s">
        <v>23964</v>
      </c>
      <c r="Z12774" s="18" t="s">
        <v>10790</v>
      </c>
      <c r="AA12774" s="21" t="str">
        <f>HYPERLINK("https://www.ncbi.nlm.nih.gov/nuccore/KJ481923,KJ481922,KJ481921","NCBI Nucleotide")</f>
        <v>NCBI Nucleotide</v>
      </c>
    </row>
    <row r="12775" spans="1:27" x14ac:dyDescent="0.35">
      <c r="A12775">
        <v>1000419</v>
      </c>
      <c r="B12775">
        <v>11968</v>
      </c>
      <c r="C12775">
        <v>1</v>
      </c>
      <c r="D12775" s="17" t="s">
        <v>17166</v>
      </c>
      <c r="E12775" s="17"/>
      <c r="F12775" s="17" t="s">
        <v>17246</v>
      </c>
      <c r="G12775" s="17"/>
      <c r="H12775" s="17" t="s">
        <v>23950</v>
      </c>
      <c r="I12775" s="17" t="s">
        <v>26604</v>
      </c>
      <c r="J12775" s="17" t="s">
        <v>47099</v>
      </c>
      <c r="K12775" s="17"/>
      <c r="L12775" s="17" t="s">
        <v>47100</v>
      </c>
      <c r="M12775" s="17"/>
      <c r="N12775" s="17" t="s">
        <v>27392</v>
      </c>
      <c r="O12775" s="17"/>
      <c r="P12775" s="17" t="s">
        <v>27418</v>
      </c>
      <c r="Q12775" s="17"/>
      <c r="R12775" s="25" t="str">
        <f>HYPERLINK("https://ictv.global/taxonomy/taxondetails?taxnode_id=202300120","Orthobunyavirus mpokoense")</f>
        <v>Orthobunyavirus mpokoense</v>
      </c>
      <c r="S12775" s="18" t="s">
        <v>30</v>
      </c>
      <c r="T12775" s="18" t="s">
        <v>27753</v>
      </c>
      <c r="U12775" s="18" t="s">
        <v>27754</v>
      </c>
      <c r="V12775" s="18" t="s">
        <v>27755</v>
      </c>
      <c r="W12775" s="18" t="s">
        <v>50824</v>
      </c>
      <c r="X12775" s="18" t="s">
        <v>42</v>
      </c>
      <c r="Y12775" s="18" t="s">
        <v>23964</v>
      </c>
      <c r="Z12775" s="18" t="s">
        <v>12289</v>
      </c>
      <c r="AA12775" s="21" t="str">
        <f>HYPERLINK("https://www.ncbi.nlm.nih.gov/nuccore/MK896536,MK896535,MK896534","NCBI Nucleotide")</f>
        <v>NCBI Nucleotide</v>
      </c>
    </row>
    <row r="12776" spans="1:27" x14ac:dyDescent="0.35">
      <c r="A12776">
        <v>1011302</v>
      </c>
      <c r="B12776">
        <v>11968</v>
      </c>
      <c r="C12776">
        <v>2</v>
      </c>
      <c r="D12776" s="17" t="s">
        <v>17166</v>
      </c>
      <c r="E12776" s="17"/>
      <c r="F12776" s="17" t="s">
        <v>17246</v>
      </c>
      <c r="G12776" s="17"/>
      <c r="H12776" s="17" t="s">
        <v>23950</v>
      </c>
      <c r="I12776" s="17" t="s">
        <v>26604</v>
      </c>
      <c r="J12776" s="17" t="s">
        <v>47099</v>
      </c>
      <c r="K12776" s="17"/>
      <c r="L12776" s="17" t="s">
        <v>47100</v>
      </c>
      <c r="M12776" s="17"/>
      <c r="N12776" s="17" t="s">
        <v>27392</v>
      </c>
      <c r="O12776" s="17"/>
      <c r="P12776" s="17" t="s">
        <v>27418</v>
      </c>
      <c r="Q12776" s="17"/>
      <c r="R12776" s="25" t="str">
        <f>HYPERLINK("https://ictv.global/taxonomy/taxondetails?taxnode_id=202300120","Orthobunyavirus mpokoense")</f>
        <v>Orthobunyavirus mpokoense</v>
      </c>
      <c r="S12776" s="18" t="s">
        <v>8141</v>
      </c>
      <c r="T12776" s="18" t="s">
        <v>27756</v>
      </c>
      <c r="U12776" s="18" t="s">
        <v>27757</v>
      </c>
      <c r="V12776" s="18"/>
      <c r="W12776" s="18"/>
      <c r="X12776" s="18" t="s">
        <v>3311</v>
      </c>
      <c r="Y12776" s="18" t="s">
        <v>23964</v>
      </c>
      <c r="Z12776" s="18" t="s">
        <v>12289</v>
      </c>
      <c r="AA12776" s="21"/>
    </row>
    <row r="12777" spans="1:27" x14ac:dyDescent="0.35">
      <c r="A12777">
        <v>1000420</v>
      </c>
      <c r="B12777">
        <v>11969</v>
      </c>
      <c r="C12777">
        <v>1</v>
      </c>
      <c r="D12777" s="17" t="s">
        <v>17166</v>
      </c>
      <c r="E12777" s="17"/>
      <c r="F12777" s="17" t="s">
        <v>17246</v>
      </c>
      <c r="G12777" s="17"/>
      <c r="H12777" s="17" t="s">
        <v>23950</v>
      </c>
      <c r="I12777" s="17" t="s">
        <v>26604</v>
      </c>
      <c r="J12777" s="17" t="s">
        <v>47099</v>
      </c>
      <c r="K12777" s="17"/>
      <c r="L12777" s="17" t="s">
        <v>47100</v>
      </c>
      <c r="M12777" s="17"/>
      <c r="N12777" s="17" t="s">
        <v>27392</v>
      </c>
      <c r="O12777" s="17"/>
      <c r="P12777" s="17" t="s">
        <v>27418</v>
      </c>
      <c r="Q12777" s="17"/>
      <c r="R12777" s="25" t="str">
        <f>HYPERLINK("https://ictv.global/taxonomy/taxondetails?taxnode_id=202306370","Orthobunyavirus navioense")</f>
        <v>Orthobunyavirus navioense</v>
      </c>
      <c r="S12777" s="18" t="s">
        <v>30</v>
      </c>
      <c r="T12777" s="18" t="s">
        <v>27758</v>
      </c>
      <c r="U12777" s="18" t="s">
        <v>27759</v>
      </c>
      <c r="V12777" s="18" t="s">
        <v>27760</v>
      </c>
      <c r="W12777" s="18" t="s">
        <v>27761</v>
      </c>
      <c r="X12777" s="18" t="s">
        <v>42</v>
      </c>
      <c r="Y12777" s="18" t="s">
        <v>23964</v>
      </c>
      <c r="Z12777" s="18" t="s">
        <v>12289</v>
      </c>
      <c r="AA12777" s="21" t="str">
        <f>HYPERLINK("https://www.ncbi.nlm.nih.gov/nuccore/KX817333,KX817334,KX817335","NCBI Nucleotide")</f>
        <v>NCBI Nucleotide</v>
      </c>
    </row>
    <row r="12778" spans="1:27" x14ac:dyDescent="0.35">
      <c r="A12778">
        <v>1000421</v>
      </c>
      <c r="B12778">
        <v>11970</v>
      </c>
      <c r="C12778">
        <v>1</v>
      </c>
      <c r="D12778" s="17" t="s">
        <v>17166</v>
      </c>
      <c r="E12778" s="17"/>
      <c r="F12778" s="17" t="s">
        <v>17246</v>
      </c>
      <c r="G12778" s="17"/>
      <c r="H12778" s="17" t="s">
        <v>23950</v>
      </c>
      <c r="I12778" s="17" t="s">
        <v>26604</v>
      </c>
      <c r="J12778" s="17" t="s">
        <v>47099</v>
      </c>
      <c r="K12778" s="17"/>
      <c r="L12778" s="17" t="s">
        <v>47100</v>
      </c>
      <c r="M12778" s="17"/>
      <c r="N12778" s="17" t="s">
        <v>27392</v>
      </c>
      <c r="O12778" s="17"/>
      <c r="P12778" s="17" t="s">
        <v>27418</v>
      </c>
      <c r="Q12778" s="17"/>
      <c r="R12778" s="25" t="str">
        <f>HYPERLINK("https://ictv.global/taxonomy/taxondetails?taxnode_id=202314232","Orthobunyavirus nepuyoi")</f>
        <v>Orthobunyavirus nepuyoi</v>
      </c>
      <c r="S12778" s="18" t="s">
        <v>30</v>
      </c>
      <c r="T12778" s="18" t="s">
        <v>27762</v>
      </c>
      <c r="U12778" s="18" t="s">
        <v>27763</v>
      </c>
      <c r="V12778" s="18" t="s">
        <v>27764</v>
      </c>
      <c r="W12778" s="18" t="s">
        <v>27765</v>
      </c>
      <c r="X12778" s="18" t="s">
        <v>35</v>
      </c>
      <c r="Y12778" s="18" t="s">
        <v>23964</v>
      </c>
      <c r="Z12778" s="18" t="s">
        <v>10790</v>
      </c>
      <c r="AA12778" s="21" t="str">
        <f>HYPERLINK("https://www.ncbi.nlm.nih.gov/nuccore/MG029287,MG029288,MG029289","NCBI Nucleotide")</f>
        <v>NCBI Nucleotide</v>
      </c>
    </row>
    <row r="12779" spans="1:27" x14ac:dyDescent="0.35">
      <c r="A12779">
        <v>1000422</v>
      </c>
      <c r="B12779">
        <v>11971</v>
      </c>
      <c r="C12779">
        <v>1</v>
      </c>
      <c r="D12779" s="17" t="s">
        <v>17166</v>
      </c>
      <c r="E12779" s="17"/>
      <c r="F12779" s="17" t="s">
        <v>17246</v>
      </c>
      <c r="G12779" s="17"/>
      <c r="H12779" s="17" t="s">
        <v>23950</v>
      </c>
      <c r="I12779" s="17" t="s">
        <v>26604</v>
      </c>
      <c r="J12779" s="17" t="s">
        <v>47099</v>
      </c>
      <c r="K12779" s="17"/>
      <c r="L12779" s="17" t="s">
        <v>47100</v>
      </c>
      <c r="M12779" s="17"/>
      <c r="N12779" s="17" t="s">
        <v>27392</v>
      </c>
      <c r="O12779" s="17"/>
      <c r="P12779" s="17" t="s">
        <v>27418</v>
      </c>
      <c r="Q12779" s="17"/>
      <c r="R12779" s="25" t="str">
        <f>HYPERLINK("https://ictv.global/taxonomy/taxondetails?taxnode_id=202314240","Orthobunyavirus nesszionaense")</f>
        <v>Orthobunyavirus nesszionaense</v>
      </c>
      <c r="S12779" s="18" t="s">
        <v>30</v>
      </c>
      <c r="T12779" s="18" t="s">
        <v>27766</v>
      </c>
      <c r="U12779" s="18" t="s">
        <v>27767</v>
      </c>
      <c r="V12779" s="18" t="s">
        <v>27768</v>
      </c>
      <c r="W12779" s="18" t="s">
        <v>27769</v>
      </c>
      <c r="X12779" s="18" t="s">
        <v>35</v>
      </c>
      <c r="Y12779" s="18" t="s">
        <v>23964</v>
      </c>
      <c r="Z12779" s="18" t="s">
        <v>10790</v>
      </c>
      <c r="AA12779" s="21" t="str">
        <f>HYPERLINK("https://www.ncbi.nlm.nih.gov/nuccore/MH018032,MH018033,MH018034","NCBI Nucleotide")</f>
        <v>NCBI Nucleotide</v>
      </c>
    </row>
    <row r="12780" spans="1:27" x14ac:dyDescent="0.35">
      <c r="A12780">
        <v>1000423</v>
      </c>
      <c r="B12780">
        <v>11972</v>
      </c>
      <c r="C12780">
        <v>1</v>
      </c>
      <c r="D12780" s="17" t="s">
        <v>17166</v>
      </c>
      <c r="E12780" s="17"/>
      <c r="F12780" s="17" t="s">
        <v>17246</v>
      </c>
      <c r="G12780" s="17"/>
      <c r="H12780" s="17" t="s">
        <v>23950</v>
      </c>
      <c r="I12780" s="17" t="s">
        <v>26604</v>
      </c>
      <c r="J12780" s="17" t="s">
        <v>47099</v>
      </c>
      <c r="K12780" s="17"/>
      <c r="L12780" s="17" t="s">
        <v>47100</v>
      </c>
      <c r="M12780" s="17"/>
      <c r="N12780" s="17" t="s">
        <v>27392</v>
      </c>
      <c r="O12780" s="17"/>
      <c r="P12780" s="17" t="s">
        <v>27418</v>
      </c>
      <c r="Q12780" s="17"/>
      <c r="R12780" s="25" t="str">
        <f>HYPERLINK("https://ictv.global/taxonomy/taxondetails?taxnode_id=202314223","Orthobunyavirus nolaense")</f>
        <v>Orthobunyavirus nolaense</v>
      </c>
      <c r="S12780" s="18" t="s">
        <v>30</v>
      </c>
      <c r="T12780" s="18" t="s">
        <v>27770</v>
      </c>
      <c r="U12780" s="18" t="s">
        <v>27771</v>
      </c>
      <c r="V12780" s="18" t="s">
        <v>27772</v>
      </c>
      <c r="W12780" s="18" t="s">
        <v>50825</v>
      </c>
      <c r="X12780" s="18" t="s">
        <v>35</v>
      </c>
      <c r="Y12780" s="18" t="s">
        <v>23964</v>
      </c>
      <c r="Z12780" s="18" t="s">
        <v>10790</v>
      </c>
      <c r="AA12780" s="21" t="str">
        <f>HYPERLINK("https://www.ncbi.nlm.nih.gov/nuccore/MK896512,MK896511,MK896510","NCBI Nucleotide")</f>
        <v>NCBI Nucleotide</v>
      </c>
    </row>
    <row r="12781" spans="1:27" x14ac:dyDescent="0.35">
      <c r="A12781">
        <v>1000424</v>
      </c>
      <c r="B12781">
        <v>11973</v>
      </c>
      <c r="C12781">
        <v>1</v>
      </c>
      <c r="D12781" s="17" t="s">
        <v>17166</v>
      </c>
      <c r="E12781" s="17"/>
      <c r="F12781" s="17" t="s">
        <v>17246</v>
      </c>
      <c r="G12781" s="17"/>
      <c r="H12781" s="17" t="s">
        <v>23950</v>
      </c>
      <c r="I12781" s="17" t="s">
        <v>26604</v>
      </c>
      <c r="J12781" s="17" t="s">
        <v>47099</v>
      </c>
      <c r="K12781" s="17"/>
      <c r="L12781" s="17" t="s">
        <v>47100</v>
      </c>
      <c r="M12781" s="17"/>
      <c r="N12781" s="17" t="s">
        <v>27392</v>
      </c>
      <c r="O12781" s="17"/>
      <c r="P12781" s="17" t="s">
        <v>27418</v>
      </c>
      <c r="Q12781" s="17"/>
      <c r="R12781" s="25" t="str">
        <f>HYPERLINK("https://ictv.global/taxonomy/taxondetails?taxnode_id=202314227","Orthobunyavirus northwayense")</f>
        <v>Orthobunyavirus northwayense</v>
      </c>
      <c r="S12781" s="18" t="s">
        <v>30</v>
      </c>
      <c r="T12781" s="18" t="s">
        <v>27773</v>
      </c>
      <c r="U12781" s="18" t="s">
        <v>27774</v>
      </c>
      <c r="V12781" s="18">
        <v>234</v>
      </c>
      <c r="W12781" s="18" t="s">
        <v>50826</v>
      </c>
      <c r="X12781" s="18" t="s">
        <v>35</v>
      </c>
      <c r="Y12781" s="18" t="s">
        <v>23964</v>
      </c>
      <c r="Z12781" s="18" t="s">
        <v>10790</v>
      </c>
      <c r="AA12781" s="21" t="str">
        <f>HYPERLINK("https://www.ncbi.nlm.nih.gov/nuccore/MH484312,MH102378,MH015350","NCBI Nucleotide")</f>
        <v>NCBI Nucleotide</v>
      </c>
    </row>
    <row r="12782" spans="1:27" x14ac:dyDescent="0.35">
      <c r="A12782">
        <v>1000425</v>
      </c>
      <c r="B12782">
        <v>11974</v>
      </c>
      <c r="C12782">
        <v>1</v>
      </c>
      <c r="D12782" s="17" t="s">
        <v>17166</v>
      </c>
      <c r="E12782" s="17"/>
      <c r="F12782" s="17" t="s">
        <v>17246</v>
      </c>
      <c r="G12782" s="17"/>
      <c r="H12782" s="17" t="s">
        <v>23950</v>
      </c>
      <c r="I12782" s="17" t="s">
        <v>26604</v>
      </c>
      <c r="J12782" s="17" t="s">
        <v>47099</v>
      </c>
      <c r="K12782" s="17"/>
      <c r="L12782" s="17" t="s">
        <v>47100</v>
      </c>
      <c r="M12782" s="17"/>
      <c r="N12782" s="17" t="s">
        <v>27392</v>
      </c>
      <c r="O12782" s="17"/>
      <c r="P12782" s="17" t="s">
        <v>27418</v>
      </c>
      <c r="Q12782" s="17"/>
      <c r="R12782" s="25" t="str">
        <f>HYPERLINK("https://ictv.global/taxonomy/taxondetails?taxnode_id=202300121","Orthobunyavirus nyandoense")</f>
        <v>Orthobunyavirus nyandoense</v>
      </c>
      <c r="S12782" s="18" t="s">
        <v>30</v>
      </c>
      <c r="T12782" s="18" t="s">
        <v>27775</v>
      </c>
      <c r="U12782" s="18" t="s">
        <v>27776</v>
      </c>
      <c r="V12782" s="18" t="s">
        <v>27777</v>
      </c>
      <c r="W12782" s="18" t="s">
        <v>50620</v>
      </c>
      <c r="X12782" s="18" t="s">
        <v>42</v>
      </c>
      <c r="Y12782" s="18" t="s">
        <v>23964</v>
      </c>
      <c r="Z12782" s="18" t="s">
        <v>12289</v>
      </c>
      <c r="AA12782" s="21" t="str">
        <f>HYPERLINK("https://www.ncbi.nlm.nih.gov/nuccore/KJ867190,KJ867189,KJ867188","NCBI Nucleotide")</f>
        <v>NCBI Nucleotide</v>
      </c>
    </row>
    <row r="12783" spans="1:27" x14ac:dyDescent="0.35">
      <c r="A12783">
        <v>1011303</v>
      </c>
      <c r="B12783">
        <v>11974</v>
      </c>
      <c r="C12783">
        <v>2</v>
      </c>
      <c r="D12783" s="17" t="s">
        <v>17166</v>
      </c>
      <c r="E12783" s="17"/>
      <c r="F12783" s="17" t="s">
        <v>17246</v>
      </c>
      <c r="G12783" s="17"/>
      <c r="H12783" s="17" t="s">
        <v>23950</v>
      </c>
      <c r="I12783" s="17" t="s">
        <v>26604</v>
      </c>
      <c r="J12783" s="17" t="s">
        <v>47099</v>
      </c>
      <c r="K12783" s="17"/>
      <c r="L12783" s="17" t="s">
        <v>47100</v>
      </c>
      <c r="M12783" s="17"/>
      <c r="N12783" s="17" t="s">
        <v>27392</v>
      </c>
      <c r="O12783" s="17"/>
      <c r="P12783" s="17" t="s">
        <v>27418</v>
      </c>
      <c r="Q12783" s="17"/>
      <c r="R12783" s="25" t="str">
        <f>HYPERLINK("https://ictv.global/taxonomy/taxondetails?taxnode_id=202300121","Orthobunyavirus nyandoense")</f>
        <v>Orthobunyavirus nyandoense</v>
      </c>
      <c r="S12783" s="18" t="s">
        <v>8141</v>
      </c>
      <c r="T12783" s="18" t="s">
        <v>27778</v>
      </c>
      <c r="U12783" s="18" t="s">
        <v>27779</v>
      </c>
      <c r="V12783" s="18"/>
      <c r="W12783" s="18"/>
      <c r="X12783" s="18" t="s">
        <v>3311</v>
      </c>
      <c r="Y12783" s="18" t="s">
        <v>23964</v>
      </c>
      <c r="Z12783" s="18" t="s">
        <v>12289</v>
      </c>
      <c r="AA12783" s="21"/>
    </row>
    <row r="12784" spans="1:27" x14ac:dyDescent="0.35">
      <c r="A12784">
        <v>1011304</v>
      </c>
      <c r="B12784">
        <v>11974</v>
      </c>
      <c r="C12784">
        <v>3</v>
      </c>
      <c r="D12784" s="17" t="s">
        <v>17166</v>
      </c>
      <c r="E12784" s="17"/>
      <c r="F12784" s="17" t="s">
        <v>17246</v>
      </c>
      <c r="G12784" s="17"/>
      <c r="H12784" s="17" t="s">
        <v>23950</v>
      </c>
      <c r="I12784" s="17" t="s">
        <v>26604</v>
      </c>
      <c r="J12784" s="17" t="s">
        <v>47099</v>
      </c>
      <c r="K12784" s="17"/>
      <c r="L12784" s="17" t="s">
        <v>47100</v>
      </c>
      <c r="M12784" s="17"/>
      <c r="N12784" s="17" t="s">
        <v>27392</v>
      </c>
      <c r="O12784" s="17"/>
      <c r="P12784" s="17" t="s">
        <v>27418</v>
      </c>
      <c r="Q12784" s="17"/>
      <c r="R12784" s="25" t="str">
        <f>HYPERLINK("https://ictv.global/taxonomy/taxondetails?taxnode_id=202300121","Orthobunyavirus nyandoense")</f>
        <v>Orthobunyavirus nyandoense</v>
      </c>
      <c r="S12784" s="18" t="s">
        <v>8141</v>
      </c>
      <c r="T12784" s="18" t="s">
        <v>27780</v>
      </c>
      <c r="U12784" s="18" t="s">
        <v>27781</v>
      </c>
      <c r="V12784" s="18" t="s">
        <v>27782</v>
      </c>
      <c r="W12784" s="18" t="s">
        <v>49514</v>
      </c>
      <c r="X12784" s="18" t="s">
        <v>42</v>
      </c>
      <c r="Y12784" s="18" t="s">
        <v>23964</v>
      </c>
      <c r="Z12784" s="18" t="s">
        <v>12289</v>
      </c>
      <c r="AA12784" s="21" t="str">
        <f>HYPERLINK("https://www.ncbi.nlm.nih.gov/nuccore/KJ867202,KJ867201,KJ867200","NCBI Nucleotide")</f>
        <v>NCBI Nucleotide</v>
      </c>
    </row>
    <row r="12785" spans="1:27" x14ac:dyDescent="0.35">
      <c r="A12785">
        <v>1000426</v>
      </c>
      <c r="B12785">
        <v>11975</v>
      </c>
      <c r="C12785">
        <v>1</v>
      </c>
      <c r="D12785" s="17" t="s">
        <v>17166</v>
      </c>
      <c r="E12785" s="17"/>
      <c r="F12785" s="17" t="s">
        <v>17246</v>
      </c>
      <c r="G12785" s="17"/>
      <c r="H12785" s="17" t="s">
        <v>23950</v>
      </c>
      <c r="I12785" s="17" t="s">
        <v>26604</v>
      </c>
      <c r="J12785" s="17" t="s">
        <v>47099</v>
      </c>
      <c r="K12785" s="17"/>
      <c r="L12785" s="17" t="s">
        <v>47100</v>
      </c>
      <c r="M12785" s="17"/>
      <c r="N12785" s="17" t="s">
        <v>27392</v>
      </c>
      <c r="O12785" s="17"/>
      <c r="P12785" s="17" t="s">
        <v>27418</v>
      </c>
      <c r="Q12785" s="17"/>
      <c r="R12785" s="25" t="str">
        <f>HYPERLINK("https://ictv.global/taxonomy/taxondetails?taxnode_id=202314241","Orthobunyavirus okolaense")</f>
        <v>Orthobunyavirus okolaense</v>
      </c>
      <c r="S12785" s="18" t="s">
        <v>30</v>
      </c>
      <c r="T12785" s="18" t="s">
        <v>27783</v>
      </c>
      <c r="U12785" s="18" t="s">
        <v>27784</v>
      </c>
      <c r="V12785" s="18" t="s">
        <v>27785</v>
      </c>
      <c r="W12785" s="18" t="s">
        <v>50827</v>
      </c>
      <c r="X12785" s="18" t="s">
        <v>35</v>
      </c>
      <c r="Y12785" s="18" t="s">
        <v>23964</v>
      </c>
      <c r="Z12785" s="18" t="s">
        <v>10790</v>
      </c>
      <c r="AA12785" s="21" t="str">
        <f>HYPERLINK("https://www.ncbi.nlm.nih.gov/nuccore/MK896509,MK896508,MK896507","NCBI Nucleotide")</f>
        <v>NCBI Nucleotide</v>
      </c>
    </row>
    <row r="12786" spans="1:27" x14ac:dyDescent="0.35">
      <c r="A12786">
        <v>1000427</v>
      </c>
      <c r="B12786">
        <v>11976</v>
      </c>
      <c r="C12786">
        <v>1</v>
      </c>
      <c r="D12786" s="17" t="s">
        <v>17166</v>
      </c>
      <c r="E12786" s="17"/>
      <c r="F12786" s="17" t="s">
        <v>17246</v>
      </c>
      <c r="G12786" s="17"/>
      <c r="H12786" s="17" t="s">
        <v>23950</v>
      </c>
      <c r="I12786" s="17" t="s">
        <v>26604</v>
      </c>
      <c r="J12786" s="17" t="s">
        <v>47099</v>
      </c>
      <c r="K12786" s="17"/>
      <c r="L12786" s="17" t="s">
        <v>47100</v>
      </c>
      <c r="M12786" s="17"/>
      <c r="N12786" s="17" t="s">
        <v>27392</v>
      </c>
      <c r="O12786" s="17"/>
      <c r="P12786" s="17" t="s">
        <v>27418</v>
      </c>
      <c r="Q12786" s="17"/>
      <c r="R12786" s="25" t="str">
        <f>HYPERLINK("https://ictv.global/taxonomy/taxondetails?taxnode_id=202300122","Orthobunyavirus olifantsvleiense")</f>
        <v>Orthobunyavirus olifantsvleiense</v>
      </c>
      <c r="S12786" s="18" t="s">
        <v>30</v>
      </c>
      <c r="T12786" s="18" t="s">
        <v>27786</v>
      </c>
      <c r="U12786" s="18" t="s">
        <v>27787</v>
      </c>
      <c r="V12786" s="18"/>
      <c r="W12786" s="18" t="s">
        <v>47163</v>
      </c>
      <c r="X12786" s="18" t="s">
        <v>154</v>
      </c>
      <c r="Y12786" s="18" t="s">
        <v>23964</v>
      </c>
      <c r="Z12786" s="18" t="s">
        <v>12289</v>
      </c>
      <c r="AA12786" s="21" t="str">
        <f>HYPERLINK("https://www.ncbi.nlm.nih.gov/nuccore/MW685514,MW685515,MW685516","NCBI Nucleotide")</f>
        <v>NCBI Nucleotide</v>
      </c>
    </row>
    <row r="12787" spans="1:27" x14ac:dyDescent="0.35">
      <c r="A12787">
        <v>1011305</v>
      </c>
      <c r="B12787">
        <v>11976</v>
      </c>
      <c r="C12787">
        <v>2</v>
      </c>
      <c r="D12787" s="17" t="s">
        <v>17166</v>
      </c>
      <c r="E12787" s="17"/>
      <c r="F12787" s="17" t="s">
        <v>17246</v>
      </c>
      <c r="G12787" s="17"/>
      <c r="H12787" s="17" t="s">
        <v>23950</v>
      </c>
      <c r="I12787" s="17" t="s">
        <v>26604</v>
      </c>
      <c r="J12787" s="17" t="s">
        <v>47099</v>
      </c>
      <c r="K12787" s="17"/>
      <c r="L12787" s="17" t="s">
        <v>47100</v>
      </c>
      <c r="M12787" s="17"/>
      <c r="N12787" s="17" t="s">
        <v>27392</v>
      </c>
      <c r="O12787" s="17"/>
      <c r="P12787" s="17" t="s">
        <v>27418</v>
      </c>
      <c r="Q12787" s="17"/>
      <c r="R12787" s="25" t="str">
        <f>HYPERLINK("https://ictv.global/taxonomy/taxondetails?taxnode_id=202300122","Orthobunyavirus olifantsvleiense")</f>
        <v>Orthobunyavirus olifantsvleiense</v>
      </c>
      <c r="S12787" s="18" t="s">
        <v>8141</v>
      </c>
      <c r="T12787" s="18" t="s">
        <v>27788</v>
      </c>
      <c r="U12787" s="18" t="s">
        <v>27789</v>
      </c>
      <c r="V12787" s="18"/>
      <c r="W12787" s="18"/>
      <c r="X12787" s="18" t="s">
        <v>3311</v>
      </c>
      <c r="Y12787" s="18" t="s">
        <v>23964</v>
      </c>
      <c r="Z12787" s="18" t="s">
        <v>12289</v>
      </c>
      <c r="AA12787" s="21"/>
    </row>
    <row r="12788" spans="1:27" x14ac:dyDescent="0.35">
      <c r="A12788">
        <v>1011306</v>
      </c>
      <c r="B12788">
        <v>11976</v>
      </c>
      <c r="C12788">
        <v>3</v>
      </c>
      <c r="D12788" s="17" t="s">
        <v>17166</v>
      </c>
      <c r="E12788" s="17"/>
      <c r="F12788" s="17" t="s">
        <v>17246</v>
      </c>
      <c r="G12788" s="17"/>
      <c r="H12788" s="17" t="s">
        <v>23950</v>
      </c>
      <c r="I12788" s="17" t="s">
        <v>26604</v>
      </c>
      <c r="J12788" s="17" t="s">
        <v>47099</v>
      </c>
      <c r="K12788" s="17"/>
      <c r="L12788" s="17" t="s">
        <v>47100</v>
      </c>
      <c r="M12788" s="17"/>
      <c r="N12788" s="17" t="s">
        <v>27392</v>
      </c>
      <c r="O12788" s="17"/>
      <c r="P12788" s="17" t="s">
        <v>27418</v>
      </c>
      <c r="Q12788" s="17"/>
      <c r="R12788" s="25" t="str">
        <f>HYPERLINK("https://ictv.global/taxonomy/taxondetails?taxnode_id=202300122","Orthobunyavirus olifantsvleiense")</f>
        <v>Orthobunyavirus olifantsvleiense</v>
      </c>
      <c r="S12788" s="18" t="s">
        <v>8141</v>
      </c>
      <c r="T12788" s="18" t="s">
        <v>27790</v>
      </c>
      <c r="U12788" s="18" t="s">
        <v>27791</v>
      </c>
      <c r="V12788" s="18"/>
      <c r="W12788" s="18"/>
      <c r="X12788" s="18" t="s">
        <v>3311</v>
      </c>
      <c r="Y12788" s="18" t="s">
        <v>23964</v>
      </c>
      <c r="Z12788" s="18" t="s">
        <v>12289</v>
      </c>
      <c r="AA12788" s="21"/>
    </row>
    <row r="12789" spans="1:27" x14ac:dyDescent="0.35">
      <c r="A12789">
        <v>1011307</v>
      </c>
      <c r="B12789">
        <v>11976</v>
      </c>
      <c r="C12789">
        <v>4</v>
      </c>
      <c r="D12789" s="17" t="s">
        <v>17166</v>
      </c>
      <c r="E12789" s="17"/>
      <c r="F12789" s="17" t="s">
        <v>17246</v>
      </c>
      <c r="G12789" s="17"/>
      <c r="H12789" s="17" t="s">
        <v>23950</v>
      </c>
      <c r="I12789" s="17" t="s">
        <v>26604</v>
      </c>
      <c r="J12789" s="17" t="s">
        <v>47099</v>
      </c>
      <c r="K12789" s="17"/>
      <c r="L12789" s="17" t="s">
        <v>47100</v>
      </c>
      <c r="M12789" s="17"/>
      <c r="N12789" s="17" t="s">
        <v>27392</v>
      </c>
      <c r="O12789" s="17"/>
      <c r="P12789" s="17" t="s">
        <v>27418</v>
      </c>
      <c r="Q12789" s="17"/>
      <c r="R12789" s="25" t="str">
        <f>HYPERLINK("https://ictv.global/taxonomy/taxondetails?taxnode_id=202300122","Orthobunyavirus olifantsvleiense")</f>
        <v>Orthobunyavirus olifantsvleiense</v>
      </c>
      <c r="S12789" s="18" t="s">
        <v>8141</v>
      </c>
      <c r="T12789" s="18" t="s">
        <v>27792</v>
      </c>
      <c r="U12789" s="18" t="s">
        <v>27793</v>
      </c>
      <c r="V12789" s="18"/>
      <c r="W12789" s="18"/>
      <c r="X12789" s="18" t="s">
        <v>3311</v>
      </c>
      <c r="Y12789" s="18" t="s">
        <v>23964</v>
      </c>
      <c r="Z12789" s="18" t="s">
        <v>12289</v>
      </c>
      <c r="AA12789" s="21"/>
    </row>
    <row r="12790" spans="1:27" x14ac:dyDescent="0.35">
      <c r="A12790">
        <v>1000428</v>
      </c>
      <c r="B12790">
        <v>11977</v>
      </c>
      <c r="C12790">
        <v>1</v>
      </c>
      <c r="D12790" s="17" t="s">
        <v>17166</v>
      </c>
      <c r="E12790" s="17"/>
      <c r="F12790" s="17" t="s">
        <v>17246</v>
      </c>
      <c r="G12790" s="17"/>
      <c r="H12790" s="17" t="s">
        <v>23950</v>
      </c>
      <c r="I12790" s="17" t="s">
        <v>26604</v>
      </c>
      <c r="J12790" s="17" t="s">
        <v>47099</v>
      </c>
      <c r="K12790" s="17"/>
      <c r="L12790" s="17" t="s">
        <v>47100</v>
      </c>
      <c r="M12790" s="17"/>
      <c r="N12790" s="17" t="s">
        <v>27392</v>
      </c>
      <c r="O12790" s="17"/>
      <c r="P12790" s="17" t="s">
        <v>27418</v>
      </c>
      <c r="Q12790" s="17"/>
      <c r="R12790" s="25" t="str">
        <f>HYPERLINK("https://ictv.global/taxonomy/taxondetails?taxnode_id=202300123","Orthobunyavirus oribocaense")</f>
        <v>Orthobunyavirus oribocaense</v>
      </c>
      <c r="S12790" s="18" t="s">
        <v>30</v>
      </c>
      <c r="T12790" s="18" t="s">
        <v>27794</v>
      </c>
      <c r="U12790" s="18" t="s">
        <v>27795</v>
      </c>
      <c r="V12790" s="18" t="s">
        <v>27796</v>
      </c>
      <c r="W12790" s="18" t="s">
        <v>27797</v>
      </c>
      <c r="X12790" s="18" t="s">
        <v>42</v>
      </c>
      <c r="Y12790" s="18" t="s">
        <v>23964</v>
      </c>
      <c r="Z12790" s="18" t="s">
        <v>12289</v>
      </c>
      <c r="AA12790" s="21" t="str">
        <f>HYPERLINK("https://www.ncbi.nlm.nih.gov/nuccore/KF254773,KF254774,KF254775","NCBI Nucleotide")</f>
        <v>NCBI Nucleotide</v>
      </c>
    </row>
    <row r="12791" spans="1:27" x14ac:dyDescent="0.35">
      <c r="A12791">
        <v>1011308</v>
      </c>
      <c r="B12791">
        <v>11977</v>
      </c>
      <c r="C12791">
        <v>2</v>
      </c>
      <c r="D12791" s="17" t="s">
        <v>17166</v>
      </c>
      <c r="E12791" s="17"/>
      <c r="F12791" s="17" t="s">
        <v>17246</v>
      </c>
      <c r="G12791" s="17"/>
      <c r="H12791" s="17" t="s">
        <v>23950</v>
      </c>
      <c r="I12791" s="17" t="s">
        <v>26604</v>
      </c>
      <c r="J12791" s="17" t="s">
        <v>47099</v>
      </c>
      <c r="K12791" s="17"/>
      <c r="L12791" s="17" t="s">
        <v>47100</v>
      </c>
      <c r="M12791" s="17"/>
      <c r="N12791" s="17" t="s">
        <v>27392</v>
      </c>
      <c r="O12791" s="17"/>
      <c r="P12791" s="17" t="s">
        <v>27418</v>
      </c>
      <c r="Q12791" s="17"/>
      <c r="R12791" s="25" t="str">
        <f>HYPERLINK("https://ictv.global/taxonomy/taxondetails?taxnode_id=202300123","Orthobunyavirus oribocaense")</f>
        <v>Orthobunyavirus oribocaense</v>
      </c>
      <c r="S12791" s="18" t="s">
        <v>8141</v>
      </c>
      <c r="T12791" s="18" t="s">
        <v>27996</v>
      </c>
      <c r="U12791" s="18" t="s">
        <v>27997</v>
      </c>
      <c r="V12791" s="18" t="s">
        <v>27998</v>
      </c>
      <c r="W12791" s="18" t="s">
        <v>49515</v>
      </c>
      <c r="X12791" s="18" t="s">
        <v>42</v>
      </c>
      <c r="Y12791" s="18" t="s">
        <v>23964</v>
      </c>
      <c r="Z12791" s="18" t="s">
        <v>12289</v>
      </c>
      <c r="AA12791" s="21" t="str">
        <f>HYPERLINK("https://www.ncbi.nlm.nih.gov/nuccore/MK896518,MK896517,MK896516","NCBI Nucleotide")</f>
        <v>NCBI Nucleotide</v>
      </c>
    </row>
    <row r="12792" spans="1:27" x14ac:dyDescent="0.35">
      <c r="A12792">
        <v>1011309</v>
      </c>
      <c r="B12792">
        <v>11977</v>
      </c>
      <c r="C12792">
        <v>3</v>
      </c>
      <c r="D12792" s="17" t="s">
        <v>17166</v>
      </c>
      <c r="E12792" s="17"/>
      <c r="F12792" s="17" t="s">
        <v>17246</v>
      </c>
      <c r="G12792" s="17"/>
      <c r="H12792" s="17" t="s">
        <v>23950</v>
      </c>
      <c r="I12792" s="17" t="s">
        <v>26604</v>
      </c>
      <c r="J12792" s="17" t="s">
        <v>47099</v>
      </c>
      <c r="K12792" s="17"/>
      <c r="L12792" s="17" t="s">
        <v>47100</v>
      </c>
      <c r="M12792" s="17"/>
      <c r="N12792" s="17" t="s">
        <v>27392</v>
      </c>
      <c r="O12792" s="17"/>
      <c r="P12792" s="17" t="s">
        <v>27418</v>
      </c>
      <c r="Q12792" s="17"/>
      <c r="R12792" s="25" t="str">
        <f>HYPERLINK("https://ictv.global/taxonomy/taxondetails?taxnode_id=202300123","Orthobunyavirus oribocaense")</f>
        <v>Orthobunyavirus oribocaense</v>
      </c>
      <c r="S12792" s="18" t="s">
        <v>8141</v>
      </c>
      <c r="T12792" s="18" t="s">
        <v>27999</v>
      </c>
      <c r="U12792" s="18" t="s">
        <v>28000</v>
      </c>
      <c r="V12792" s="18" t="s">
        <v>28001</v>
      </c>
      <c r="W12792" s="18" t="s">
        <v>49516</v>
      </c>
      <c r="X12792" s="18" t="s">
        <v>42</v>
      </c>
      <c r="Y12792" s="18" t="s">
        <v>23964</v>
      </c>
      <c r="Z12792" s="18" t="s">
        <v>12289</v>
      </c>
      <c r="AA12792" s="21" t="str">
        <f>HYPERLINK("https://www.ncbi.nlm.nih.gov/nuccore/MK896477,MK896476,MK896475","NCBI Nucleotide")</f>
        <v>NCBI Nucleotide</v>
      </c>
    </row>
    <row r="12793" spans="1:27" x14ac:dyDescent="0.35">
      <c r="A12793">
        <v>1000429</v>
      </c>
      <c r="B12793">
        <v>11978</v>
      </c>
      <c r="C12793">
        <v>1</v>
      </c>
      <c r="D12793" s="17" t="s">
        <v>17166</v>
      </c>
      <c r="E12793" s="17"/>
      <c r="F12793" s="17" t="s">
        <v>17246</v>
      </c>
      <c r="G12793" s="17"/>
      <c r="H12793" s="17" t="s">
        <v>23950</v>
      </c>
      <c r="I12793" s="17" t="s">
        <v>26604</v>
      </c>
      <c r="J12793" s="17" t="s">
        <v>47099</v>
      </c>
      <c r="K12793" s="17"/>
      <c r="L12793" s="17" t="s">
        <v>47100</v>
      </c>
      <c r="M12793" s="17"/>
      <c r="N12793" s="17" t="s">
        <v>27392</v>
      </c>
      <c r="O12793" s="17"/>
      <c r="P12793" s="17" t="s">
        <v>27418</v>
      </c>
      <c r="Q12793" s="17"/>
      <c r="R12793" s="25" t="str">
        <f>HYPERLINK("https://ictv.global/taxonomy/taxondetails?taxnode_id=202300124","Orthobunyavirus oropoucheense")</f>
        <v>Orthobunyavirus oropoucheense</v>
      </c>
      <c r="S12793" s="18" t="s">
        <v>30</v>
      </c>
      <c r="T12793" s="18" t="s">
        <v>27798</v>
      </c>
      <c r="U12793" s="18" t="s">
        <v>27799</v>
      </c>
      <c r="V12793" s="18"/>
      <c r="W12793" s="18" t="s">
        <v>50621</v>
      </c>
      <c r="X12793" s="18" t="s">
        <v>42</v>
      </c>
      <c r="Y12793" s="18" t="s">
        <v>23964</v>
      </c>
      <c r="Z12793" s="18" t="s">
        <v>12289</v>
      </c>
      <c r="AA12793" s="21" t="str">
        <f>HYPERLINK("https://www.ncbi.nlm.nih.gov/nuccore/AF484424,AF441119,AY237111","NCBI Nucleotide")</f>
        <v>NCBI Nucleotide</v>
      </c>
    </row>
    <row r="12794" spans="1:27" x14ac:dyDescent="0.35">
      <c r="A12794">
        <v>1011310</v>
      </c>
      <c r="B12794">
        <v>11978</v>
      </c>
      <c r="C12794">
        <v>2</v>
      </c>
      <c r="D12794" s="17" t="s">
        <v>17166</v>
      </c>
      <c r="E12794" s="17"/>
      <c r="F12794" s="17" t="s">
        <v>17246</v>
      </c>
      <c r="G12794" s="17"/>
      <c r="H12794" s="17" t="s">
        <v>23950</v>
      </c>
      <c r="I12794" s="17" t="s">
        <v>26604</v>
      </c>
      <c r="J12794" s="17" t="s">
        <v>47099</v>
      </c>
      <c r="K12794" s="17"/>
      <c r="L12794" s="17" t="s">
        <v>47100</v>
      </c>
      <c r="M12794" s="17"/>
      <c r="N12794" s="17" t="s">
        <v>27392</v>
      </c>
      <c r="O12794" s="17"/>
      <c r="P12794" s="17" t="s">
        <v>27418</v>
      </c>
      <c r="Q12794" s="17"/>
      <c r="R12794" s="25" t="str">
        <f>HYPERLINK("https://ictv.global/taxonomy/taxondetails?taxnode_id=202300124","Orthobunyavirus oropoucheense")</f>
        <v>Orthobunyavirus oropoucheense</v>
      </c>
      <c r="S12794" s="18" t="s">
        <v>8141</v>
      </c>
      <c r="T12794" s="18" t="s">
        <v>27800</v>
      </c>
      <c r="U12794" s="18" t="s">
        <v>27801</v>
      </c>
      <c r="V12794" s="18" t="s">
        <v>27802</v>
      </c>
      <c r="W12794" s="18" t="s">
        <v>49517</v>
      </c>
      <c r="X12794" s="18" t="s">
        <v>42</v>
      </c>
      <c r="Y12794" s="18" t="s">
        <v>23964</v>
      </c>
      <c r="Z12794" s="18" t="s">
        <v>12289</v>
      </c>
      <c r="AA12794" s="21" t="str">
        <f>HYPERLINK("https://www.ncbi.nlm.nih.gov/nuccore/KF697142,KF697143,KF697144","NCBI Nucleotide")</f>
        <v>NCBI Nucleotide</v>
      </c>
    </row>
    <row r="12795" spans="1:27" x14ac:dyDescent="0.35">
      <c r="A12795">
        <v>1011311</v>
      </c>
      <c r="B12795">
        <v>11978</v>
      </c>
      <c r="C12795">
        <v>3</v>
      </c>
      <c r="D12795" s="17" t="s">
        <v>17166</v>
      </c>
      <c r="E12795" s="17"/>
      <c r="F12795" s="17" t="s">
        <v>17246</v>
      </c>
      <c r="G12795" s="17"/>
      <c r="H12795" s="17" t="s">
        <v>23950</v>
      </c>
      <c r="I12795" s="17" t="s">
        <v>26604</v>
      </c>
      <c r="J12795" s="17" t="s">
        <v>47099</v>
      </c>
      <c r="K12795" s="17"/>
      <c r="L12795" s="17" t="s">
        <v>47100</v>
      </c>
      <c r="M12795" s="17"/>
      <c r="N12795" s="17" t="s">
        <v>27392</v>
      </c>
      <c r="O12795" s="17"/>
      <c r="P12795" s="17" t="s">
        <v>27418</v>
      </c>
      <c r="Q12795" s="17"/>
      <c r="R12795" s="25" t="str">
        <f>HYPERLINK("https://ictv.global/taxonomy/taxondetails?taxnode_id=202300124","Orthobunyavirus oropoucheense")</f>
        <v>Orthobunyavirus oropoucheense</v>
      </c>
      <c r="S12795" s="18" t="s">
        <v>8141</v>
      </c>
      <c r="T12795" s="18" t="s">
        <v>27803</v>
      </c>
      <c r="U12795" s="18" t="s">
        <v>27804</v>
      </c>
      <c r="V12795" s="18" t="s">
        <v>27805</v>
      </c>
      <c r="W12795" s="18" t="s">
        <v>49518</v>
      </c>
      <c r="X12795" s="18" t="s">
        <v>42</v>
      </c>
      <c r="Y12795" s="18" t="s">
        <v>23964</v>
      </c>
      <c r="Z12795" s="18" t="s">
        <v>12289</v>
      </c>
      <c r="AA12795" s="21" t="str">
        <f>HYPERLINK("https://www.ncbi.nlm.nih.gov/nuccore/KF697147,KF697145,KF697146","NCBI Nucleotide")</f>
        <v>NCBI Nucleotide</v>
      </c>
    </row>
    <row r="12796" spans="1:27" x14ac:dyDescent="0.35">
      <c r="A12796">
        <v>1011312</v>
      </c>
      <c r="B12796">
        <v>11978</v>
      </c>
      <c r="C12796">
        <v>4</v>
      </c>
      <c r="D12796" s="17" t="s">
        <v>17166</v>
      </c>
      <c r="E12796" s="17"/>
      <c r="F12796" s="17" t="s">
        <v>17246</v>
      </c>
      <c r="G12796" s="17"/>
      <c r="H12796" s="17" t="s">
        <v>23950</v>
      </c>
      <c r="I12796" s="17" t="s">
        <v>26604</v>
      </c>
      <c r="J12796" s="17" t="s">
        <v>47099</v>
      </c>
      <c r="K12796" s="17"/>
      <c r="L12796" s="17" t="s">
        <v>47100</v>
      </c>
      <c r="M12796" s="17"/>
      <c r="N12796" s="17" t="s">
        <v>27392</v>
      </c>
      <c r="O12796" s="17"/>
      <c r="P12796" s="17" t="s">
        <v>27418</v>
      </c>
      <c r="Q12796" s="17"/>
      <c r="R12796" s="25" t="str">
        <f>HYPERLINK("https://ictv.global/taxonomy/taxondetails?taxnode_id=202300124","Orthobunyavirus oropoucheense")</f>
        <v>Orthobunyavirus oropoucheense</v>
      </c>
      <c r="S12796" s="18" t="s">
        <v>8141</v>
      </c>
      <c r="T12796" s="18" t="s">
        <v>27806</v>
      </c>
      <c r="U12796" s="18" t="s">
        <v>27807</v>
      </c>
      <c r="V12796" s="18" t="s">
        <v>27808</v>
      </c>
      <c r="W12796" s="18" t="s">
        <v>49519</v>
      </c>
      <c r="X12796" s="18" t="s">
        <v>42</v>
      </c>
      <c r="Y12796" s="18" t="s">
        <v>23964</v>
      </c>
      <c r="Z12796" s="18" t="s">
        <v>12289</v>
      </c>
      <c r="AA12796" s="21" t="str">
        <f>HYPERLINK("https://www.ncbi.nlm.nih.gov/nuccore/KP691627,KP691628,KP691629","NCBI Nucleotide")</f>
        <v>NCBI Nucleotide</v>
      </c>
    </row>
    <row r="12797" spans="1:27" x14ac:dyDescent="0.35">
      <c r="A12797">
        <v>1011313</v>
      </c>
      <c r="B12797">
        <v>11978</v>
      </c>
      <c r="C12797">
        <v>5</v>
      </c>
      <c r="D12797" s="17" t="s">
        <v>17166</v>
      </c>
      <c r="E12797" s="17"/>
      <c r="F12797" s="17" t="s">
        <v>17246</v>
      </c>
      <c r="G12797" s="17"/>
      <c r="H12797" s="17" t="s">
        <v>23950</v>
      </c>
      <c r="I12797" s="17" t="s">
        <v>26604</v>
      </c>
      <c r="J12797" s="17" t="s">
        <v>47099</v>
      </c>
      <c r="K12797" s="17"/>
      <c r="L12797" s="17" t="s">
        <v>47100</v>
      </c>
      <c r="M12797" s="17"/>
      <c r="N12797" s="17" t="s">
        <v>27392</v>
      </c>
      <c r="O12797" s="17"/>
      <c r="P12797" s="17" t="s">
        <v>27418</v>
      </c>
      <c r="Q12797" s="17"/>
      <c r="R12797" s="25" t="str">
        <f>HYPERLINK("https://ictv.global/taxonomy/taxondetails?taxnode_id=202300124","Orthobunyavirus oropoucheense")</f>
        <v>Orthobunyavirus oropoucheense</v>
      </c>
      <c r="S12797" s="18" t="s">
        <v>8141</v>
      </c>
      <c r="T12797" s="18" t="s">
        <v>27809</v>
      </c>
      <c r="U12797" s="18" t="s">
        <v>27810</v>
      </c>
      <c r="V12797" s="18"/>
      <c r="W12797" s="18"/>
      <c r="X12797" s="18" t="s">
        <v>3311</v>
      </c>
      <c r="Y12797" s="18" t="s">
        <v>23964</v>
      </c>
      <c r="Z12797" s="18" t="s">
        <v>12289</v>
      </c>
      <c r="AA12797" s="21"/>
    </row>
    <row r="12798" spans="1:27" x14ac:dyDescent="0.35">
      <c r="A12798">
        <v>1000430</v>
      </c>
      <c r="B12798">
        <v>11979</v>
      </c>
      <c r="C12798">
        <v>1</v>
      </c>
      <c r="D12798" s="17" t="s">
        <v>17166</v>
      </c>
      <c r="E12798" s="17"/>
      <c r="F12798" s="17" t="s">
        <v>17246</v>
      </c>
      <c r="G12798" s="17"/>
      <c r="H12798" s="17" t="s">
        <v>23950</v>
      </c>
      <c r="I12798" s="17" t="s">
        <v>26604</v>
      </c>
      <c r="J12798" s="17" t="s">
        <v>47099</v>
      </c>
      <c r="K12798" s="17"/>
      <c r="L12798" s="17" t="s">
        <v>47100</v>
      </c>
      <c r="M12798" s="17"/>
      <c r="N12798" s="17" t="s">
        <v>27392</v>
      </c>
      <c r="O12798" s="17"/>
      <c r="P12798" s="17" t="s">
        <v>27418</v>
      </c>
      <c r="Q12798" s="17"/>
      <c r="R12798" s="25" t="str">
        <f>HYPERLINK("https://ictv.global/taxonomy/taxondetails?taxnode_id=202309327","Orthobunyavirus oyoense")</f>
        <v>Orthobunyavirus oyoense</v>
      </c>
      <c r="S12798" s="18" t="s">
        <v>30</v>
      </c>
      <c r="T12798" s="18" t="s">
        <v>27811</v>
      </c>
      <c r="U12798" s="18" t="s">
        <v>27812</v>
      </c>
      <c r="V12798" s="18" t="s">
        <v>27813</v>
      </c>
      <c r="W12798" s="18" t="s">
        <v>50828</v>
      </c>
      <c r="X12798" s="18" t="s">
        <v>42</v>
      </c>
      <c r="Y12798" s="18" t="s">
        <v>23964</v>
      </c>
      <c r="Z12798" s="18" t="s">
        <v>12289</v>
      </c>
      <c r="AA12798" s="21" t="str">
        <f>HYPERLINK("https://www.ncbi.nlm.nih.gov/nuccore/HM639780,HM639779,HM639778","NCBI Nucleotide")</f>
        <v>NCBI Nucleotide</v>
      </c>
    </row>
    <row r="12799" spans="1:27" x14ac:dyDescent="0.35">
      <c r="A12799">
        <v>1000431</v>
      </c>
      <c r="B12799">
        <v>11980</v>
      </c>
      <c r="C12799">
        <v>1</v>
      </c>
      <c r="D12799" s="17" t="s">
        <v>17166</v>
      </c>
      <c r="E12799" s="17"/>
      <c r="F12799" s="17" t="s">
        <v>17246</v>
      </c>
      <c r="G12799" s="17"/>
      <c r="H12799" s="17" t="s">
        <v>23950</v>
      </c>
      <c r="I12799" s="17" t="s">
        <v>26604</v>
      </c>
      <c r="J12799" s="17" t="s">
        <v>47099</v>
      </c>
      <c r="K12799" s="17"/>
      <c r="L12799" s="17" t="s">
        <v>47100</v>
      </c>
      <c r="M12799" s="17"/>
      <c r="N12799" s="17" t="s">
        <v>27392</v>
      </c>
      <c r="O12799" s="17"/>
      <c r="P12799" s="17" t="s">
        <v>27418</v>
      </c>
      <c r="Q12799" s="17"/>
      <c r="R12799" s="25" t="str">
        <f>HYPERLINK("https://ictv.global/taxonomy/taxondetails?taxnode_id=202314242","Orthobunyavirus pacoraense")</f>
        <v>Orthobunyavirus pacoraense</v>
      </c>
      <c r="S12799" s="18" t="s">
        <v>30</v>
      </c>
      <c r="T12799" s="18" t="s">
        <v>27814</v>
      </c>
      <c r="U12799" s="18" t="s">
        <v>27815</v>
      </c>
      <c r="V12799" s="18" t="s">
        <v>27816</v>
      </c>
      <c r="W12799" s="18" t="s">
        <v>50829</v>
      </c>
      <c r="X12799" s="18" t="s">
        <v>35</v>
      </c>
      <c r="Y12799" s="18" t="s">
        <v>23964</v>
      </c>
      <c r="Z12799" s="18" t="s">
        <v>10790</v>
      </c>
      <c r="AA12799" s="21" t="str">
        <f>HYPERLINK("https://www.ncbi.nlm.nih.gov/nuccore/MK896500,MK896499,MK896498","NCBI Nucleotide")</f>
        <v>NCBI Nucleotide</v>
      </c>
    </row>
    <row r="12800" spans="1:27" x14ac:dyDescent="0.35">
      <c r="A12800">
        <v>1027701</v>
      </c>
      <c r="B12800">
        <v>11981</v>
      </c>
      <c r="C12800">
        <v>1</v>
      </c>
      <c r="D12800" s="17" t="s">
        <v>17166</v>
      </c>
      <c r="E12800" s="17"/>
      <c r="F12800" s="17" t="s">
        <v>17246</v>
      </c>
      <c r="G12800" s="17"/>
      <c r="H12800" s="17" t="s">
        <v>23950</v>
      </c>
      <c r="I12800" s="17" t="s">
        <v>26604</v>
      </c>
      <c r="J12800" s="17" t="s">
        <v>47099</v>
      </c>
      <c r="K12800" s="17"/>
      <c r="L12800" s="17" t="s">
        <v>47100</v>
      </c>
      <c r="M12800" s="17"/>
      <c r="N12800" s="17" t="s">
        <v>27392</v>
      </c>
      <c r="O12800" s="17"/>
      <c r="P12800" s="17" t="s">
        <v>27418</v>
      </c>
      <c r="Q12800" s="17"/>
      <c r="R12800" s="25" t="str">
        <f>HYPERLINK("https://ictv.global/taxonomy/taxondetails?taxnode_id=202319065","Orthobunyavirus parkeri")</f>
        <v>Orthobunyavirus parkeri</v>
      </c>
      <c r="S12800" s="18" t="s">
        <v>30</v>
      </c>
      <c r="T12800" s="18" t="s">
        <v>47164</v>
      </c>
      <c r="U12800" s="18" t="s">
        <v>26489</v>
      </c>
      <c r="V12800" s="18" t="s">
        <v>47165</v>
      </c>
      <c r="W12800" s="18" t="s">
        <v>47166</v>
      </c>
      <c r="X12800" s="18" t="s">
        <v>35</v>
      </c>
      <c r="Y12800" s="18" t="s">
        <v>23964</v>
      </c>
      <c r="Z12800" s="18" t="s">
        <v>12289</v>
      </c>
      <c r="AA12800" s="21" t="str">
        <f>HYPERLINK("https://www.ncbi.nlm.nih.gov/nuccore/OR077285,OR077286,OR077287","NCBI Nucleotide")</f>
        <v>NCBI Nucleotide</v>
      </c>
    </row>
    <row r="12801" spans="1:27" x14ac:dyDescent="0.35">
      <c r="A12801">
        <v>1000432</v>
      </c>
      <c r="B12801">
        <v>11982</v>
      </c>
      <c r="C12801">
        <v>1</v>
      </c>
      <c r="D12801" s="17" t="s">
        <v>17166</v>
      </c>
      <c r="E12801" s="17"/>
      <c r="F12801" s="17" t="s">
        <v>17246</v>
      </c>
      <c r="G12801" s="17"/>
      <c r="H12801" s="17" t="s">
        <v>23950</v>
      </c>
      <c r="I12801" s="17" t="s">
        <v>26604</v>
      </c>
      <c r="J12801" s="17" t="s">
        <v>47099</v>
      </c>
      <c r="K12801" s="17"/>
      <c r="L12801" s="17" t="s">
        <v>47100</v>
      </c>
      <c r="M12801" s="17"/>
      <c r="N12801" s="17" t="s">
        <v>27392</v>
      </c>
      <c r="O12801" s="17"/>
      <c r="P12801" s="17" t="s">
        <v>27418</v>
      </c>
      <c r="Q12801" s="17"/>
      <c r="R12801" s="25" t="str">
        <f>HYPERLINK("https://ictv.global/taxonomy/taxondetails?taxnode_id=202300125","Orthobunyavirus patoisense")</f>
        <v>Orthobunyavirus patoisense</v>
      </c>
      <c r="S12801" s="18" t="s">
        <v>30</v>
      </c>
      <c r="T12801" s="18" t="s">
        <v>27817</v>
      </c>
      <c r="U12801" s="18" t="s">
        <v>27818</v>
      </c>
      <c r="V12801" s="18" t="s">
        <v>27819</v>
      </c>
      <c r="W12801" s="18" t="s">
        <v>50622</v>
      </c>
      <c r="X12801" s="18" t="s">
        <v>42</v>
      </c>
      <c r="Y12801" s="18" t="s">
        <v>23964</v>
      </c>
      <c r="Z12801" s="18" t="s">
        <v>12289</v>
      </c>
      <c r="AA12801" s="21" t="str">
        <f>HYPERLINK("https://www.ncbi.nlm.nih.gov/nuccore/MH017277,MH017283,MH017273","NCBI Nucleotide")</f>
        <v>NCBI Nucleotide</v>
      </c>
    </row>
    <row r="12802" spans="1:27" x14ac:dyDescent="0.35">
      <c r="A12802">
        <v>1011314</v>
      </c>
      <c r="B12802">
        <v>11982</v>
      </c>
      <c r="C12802">
        <v>2</v>
      </c>
      <c r="D12802" s="17" t="s">
        <v>17166</v>
      </c>
      <c r="E12802" s="17"/>
      <c r="F12802" s="17" t="s">
        <v>17246</v>
      </c>
      <c r="G12802" s="17"/>
      <c r="H12802" s="17" t="s">
        <v>23950</v>
      </c>
      <c r="I12802" s="17" t="s">
        <v>26604</v>
      </c>
      <c r="J12802" s="17" t="s">
        <v>47099</v>
      </c>
      <c r="K12802" s="17"/>
      <c r="L12802" s="17" t="s">
        <v>47100</v>
      </c>
      <c r="M12802" s="17"/>
      <c r="N12802" s="17" t="s">
        <v>27392</v>
      </c>
      <c r="O12802" s="17"/>
      <c r="P12802" s="17" t="s">
        <v>27418</v>
      </c>
      <c r="Q12802" s="17"/>
      <c r="R12802" s="25" t="str">
        <f>HYPERLINK("https://ictv.global/taxonomy/taxondetails?taxnode_id=202300125","Orthobunyavirus patoisense")</f>
        <v>Orthobunyavirus patoisense</v>
      </c>
      <c r="S12802" s="18" t="s">
        <v>8141</v>
      </c>
      <c r="T12802" s="18" t="s">
        <v>27820</v>
      </c>
      <c r="U12802" s="18" t="s">
        <v>27821</v>
      </c>
      <c r="V12802" s="18" t="s">
        <v>27822</v>
      </c>
      <c r="W12802" s="18" t="s">
        <v>49520</v>
      </c>
      <c r="X12802" s="18" t="s">
        <v>42</v>
      </c>
      <c r="Y12802" s="18" t="s">
        <v>23964</v>
      </c>
      <c r="Z12802" s="18" t="s">
        <v>12289</v>
      </c>
      <c r="AA12802" s="21" t="str">
        <f>HYPERLINK("https://www.ncbi.nlm.nih.gov/nuccore/MH017276,MH017282,MH017270","NCBI Nucleotide")</f>
        <v>NCBI Nucleotide</v>
      </c>
    </row>
    <row r="12803" spans="1:27" x14ac:dyDescent="0.35">
      <c r="A12803">
        <v>1011315</v>
      </c>
      <c r="B12803">
        <v>11982</v>
      </c>
      <c r="C12803">
        <v>3</v>
      </c>
      <c r="D12803" s="17" t="s">
        <v>17166</v>
      </c>
      <c r="E12803" s="17"/>
      <c r="F12803" s="17" t="s">
        <v>17246</v>
      </c>
      <c r="G12803" s="17"/>
      <c r="H12803" s="17" t="s">
        <v>23950</v>
      </c>
      <c r="I12803" s="17" t="s">
        <v>26604</v>
      </c>
      <c r="J12803" s="17" t="s">
        <v>47099</v>
      </c>
      <c r="K12803" s="17"/>
      <c r="L12803" s="17" t="s">
        <v>47100</v>
      </c>
      <c r="M12803" s="17"/>
      <c r="N12803" s="17" t="s">
        <v>27392</v>
      </c>
      <c r="O12803" s="17"/>
      <c r="P12803" s="17" t="s">
        <v>27418</v>
      </c>
      <c r="Q12803" s="17"/>
      <c r="R12803" s="25" t="str">
        <f>HYPERLINK("https://ictv.global/taxonomy/taxondetails?taxnode_id=202300125","Orthobunyavirus patoisense")</f>
        <v>Orthobunyavirus patoisense</v>
      </c>
      <c r="S12803" s="18" t="s">
        <v>8141</v>
      </c>
      <c r="T12803" s="18" t="s">
        <v>27823</v>
      </c>
      <c r="U12803" s="18" t="s">
        <v>27824</v>
      </c>
      <c r="V12803" s="18"/>
      <c r="W12803" s="18"/>
      <c r="X12803" s="18" t="s">
        <v>3311</v>
      </c>
      <c r="Y12803" s="18" t="s">
        <v>23964</v>
      </c>
      <c r="Z12803" s="18" t="s">
        <v>12289</v>
      </c>
      <c r="AA12803" s="21"/>
    </row>
    <row r="12804" spans="1:27" x14ac:dyDescent="0.35">
      <c r="A12804">
        <v>1000433</v>
      </c>
      <c r="B12804">
        <v>11983</v>
      </c>
      <c r="C12804">
        <v>1</v>
      </c>
      <c r="D12804" s="17" t="s">
        <v>17166</v>
      </c>
      <c r="E12804" s="17"/>
      <c r="F12804" s="17" t="s">
        <v>17246</v>
      </c>
      <c r="G12804" s="17"/>
      <c r="H12804" s="17" t="s">
        <v>23950</v>
      </c>
      <c r="I12804" s="17" t="s">
        <v>26604</v>
      </c>
      <c r="J12804" s="17" t="s">
        <v>47099</v>
      </c>
      <c r="K12804" s="17"/>
      <c r="L12804" s="17" t="s">
        <v>47100</v>
      </c>
      <c r="M12804" s="17"/>
      <c r="N12804" s="17" t="s">
        <v>27392</v>
      </c>
      <c r="O12804" s="17"/>
      <c r="P12804" s="17" t="s">
        <v>27418</v>
      </c>
      <c r="Q12804" s="17"/>
      <c r="R12804" s="25" t="str">
        <f>HYPERLINK("https://ictv.global/taxonomy/taxondetails?taxnode_id=202306380","Orthobunyavirus peachesterense")</f>
        <v>Orthobunyavirus peachesterense</v>
      </c>
      <c r="S12804" s="18" t="s">
        <v>30</v>
      </c>
      <c r="T12804" s="18" t="s">
        <v>27825</v>
      </c>
      <c r="U12804" s="18" t="s">
        <v>27826</v>
      </c>
      <c r="V12804" s="18" t="s">
        <v>27827</v>
      </c>
      <c r="W12804" s="18" t="s">
        <v>27828</v>
      </c>
      <c r="X12804" s="18" t="s">
        <v>42</v>
      </c>
      <c r="Y12804" s="18" t="s">
        <v>23964</v>
      </c>
      <c r="Z12804" s="18" t="s">
        <v>12289</v>
      </c>
      <c r="AA12804" s="21" t="str">
        <f>HYPERLINK("https://www.ncbi.nlm.nih.gov/nuccore/HE795093,HE795094,HE795095","NCBI Nucleotide")</f>
        <v>NCBI Nucleotide</v>
      </c>
    </row>
    <row r="12805" spans="1:27" x14ac:dyDescent="0.35">
      <c r="A12805">
        <v>1000434</v>
      </c>
      <c r="B12805">
        <v>11984</v>
      </c>
      <c r="C12805">
        <v>1</v>
      </c>
      <c r="D12805" s="17" t="s">
        <v>17166</v>
      </c>
      <c r="E12805" s="17"/>
      <c r="F12805" s="17" t="s">
        <v>17246</v>
      </c>
      <c r="G12805" s="17"/>
      <c r="H12805" s="17" t="s">
        <v>23950</v>
      </c>
      <c r="I12805" s="17" t="s">
        <v>26604</v>
      </c>
      <c r="J12805" s="17" t="s">
        <v>47099</v>
      </c>
      <c r="K12805" s="17"/>
      <c r="L12805" s="17" t="s">
        <v>47100</v>
      </c>
      <c r="M12805" s="17"/>
      <c r="N12805" s="17" t="s">
        <v>27392</v>
      </c>
      <c r="O12805" s="17"/>
      <c r="P12805" s="17" t="s">
        <v>27418</v>
      </c>
      <c r="Q12805" s="17"/>
      <c r="R12805" s="25" t="str">
        <f>HYPERLINK("https://ictv.global/taxonomy/taxondetails?taxnode_id=202306384","Orthobunyavirus porteiraense")</f>
        <v>Orthobunyavirus porteiraense</v>
      </c>
      <c r="S12805" s="18" t="s">
        <v>30</v>
      </c>
      <c r="T12805" s="18" t="s">
        <v>27829</v>
      </c>
      <c r="U12805" s="18" t="s">
        <v>27830</v>
      </c>
      <c r="V12805" s="18" t="s">
        <v>27831</v>
      </c>
      <c r="W12805" s="18" t="s">
        <v>27832</v>
      </c>
      <c r="X12805" s="18" t="s">
        <v>42</v>
      </c>
      <c r="Y12805" s="18" t="s">
        <v>23964</v>
      </c>
      <c r="Z12805" s="18" t="s">
        <v>10790</v>
      </c>
      <c r="AA12805" s="21" t="str">
        <f>HYPERLINK("https://www.ncbi.nlm.nih.gov/nuccore/JN968590,JN968591,JN968592","NCBI Nucleotide")</f>
        <v>NCBI Nucleotide</v>
      </c>
    </row>
    <row r="12806" spans="1:27" x14ac:dyDescent="0.35">
      <c r="A12806">
        <v>1000435</v>
      </c>
      <c r="B12806">
        <v>11985</v>
      </c>
      <c r="C12806">
        <v>1</v>
      </c>
      <c r="D12806" s="17" t="s">
        <v>17166</v>
      </c>
      <c r="E12806" s="17"/>
      <c r="F12806" s="17" t="s">
        <v>17246</v>
      </c>
      <c r="G12806" s="17"/>
      <c r="H12806" s="17" t="s">
        <v>23950</v>
      </c>
      <c r="I12806" s="17" t="s">
        <v>26604</v>
      </c>
      <c r="J12806" s="17" t="s">
        <v>47099</v>
      </c>
      <c r="K12806" s="17"/>
      <c r="L12806" s="17" t="s">
        <v>47100</v>
      </c>
      <c r="M12806" s="17"/>
      <c r="N12806" s="17" t="s">
        <v>27392</v>
      </c>
      <c r="O12806" s="17"/>
      <c r="P12806" s="17" t="s">
        <v>27418</v>
      </c>
      <c r="Q12806" s="17"/>
      <c r="R12806" s="25" t="str">
        <f>HYPERLINK("https://ictv.global/taxonomy/taxondetails?taxnode_id=202306362","Orthobunyavirus potosiense")</f>
        <v>Orthobunyavirus potosiense</v>
      </c>
      <c r="S12806" s="18" t="s">
        <v>30</v>
      </c>
      <c r="T12806" s="18" t="s">
        <v>27833</v>
      </c>
      <c r="U12806" s="18" t="s">
        <v>20288</v>
      </c>
      <c r="V12806" s="18" t="s">
        <v>27834</v>
      </c>
      <c r="W12806" s="18" t="s">
        <v>27835</v>
      </c>
      <c r="X12806" s="18" t="s">
        <v>42</v>
      </c>
      <c r="Y12806" s="18" t="s">
        <v>23964</v>
      </c>
      <c r="Z12806" s="18" t="s">
        <v>12289</v>
      </c>
      <c r="AA12806" s="21" t="str">
        <f>HYPERLINK("https://www.ncbi.nlm.nih.gov/nuccore/MF066368,MF066369,MF066370","NCBI Nucleotide")</f>
        <v>NCBI Nucleotide</v>
      </c>
    </row>
    <row r="12807" spans="1:27" x14ac:dyDescent="0.35">
      <c r="A12807">
        <v>1000436</v>
      </c>
      <c r="B12807">
        <v>11986</v>
      </c>
      <c r="C12807">
        <v>1</v>
      </c>
      <c r="D12807" s="17" t="s">
        <v>17166</v>
      </c>
      <c r="E12807" s="17"/>
      <c r="F12807" s="17" t="s">
        <v>17246</v>
      </c>
      <c r="G12807" s="17"/>
      <c r="H12807" s="17" t="s">
        <v>23950</v>
      </c>
      <c r="I12807" s="17" t="s">
        <v>26604</v>
      </c>
      <c r="J12807" s="17" t="s">
        <v>47099</v>
      </c>
      <c r="K12807" s="17"/>
      <c r="L12807" s="17" t="s">
        <v>47100</v>
      </c>
      <c r="M12807" s="17"/>
      <c r="N12807" s="17" t="s">
        <v>27392</v>
      </c>
      <c r="O12807" s="17"/>
      <c r="P12807" s="17" t="s">
        <v>27418</v>
      </c>
      <c r="Q12807" s="17"/>
      <c r="R12807" s="25" t="str">
        <f>HYPERLINK("https://ictv.global/taxonomy/taxondetails?taxnode_id=202306353","Orthobunyavirus saboense")</f>
        <v>Orthobunyavirus saboense</v>
      </c>
      <c r="S12807" s="18" t="s">
        <v>30</v>
      </c>
      <c r="T12807" s="18" t="s">
        <v>27836</v>
      </c>
      <c r="U12807" s="18" t="s">
        <v>27837</v>
      </c>
      <c r="V12807" s="18" t="s">
        <v>27838</v>
      </c>
      <c r="W12807" s="18" t="s">
        <v>27839</v>
      </c>
      <c r="X12807" s="18" t="s">
        <v>42</v>
      </c>
      <c r="Y12807" s="18" t="s">
        <v>23964</v>
      </c>
      <c r="Z12807" s="18" t="s">
        <v>12289</v>
      </c>
      <c r="AA12807" s="21" t="str">
        <f>HYPERLINK("https://www.ncbi.nlm.nih.gov/nuccore/HE795096,HE795097,HE795098","NCBI Nucleotide")</f>
        <v>NCBI Nucleotide</v>
      </c>
    </row>
    <row r="12808" spans="1:27" x14ac:dyDescent="0.35">
      <c r="A12808">
        <v>1000437</v>
      </c>
      <c r="B12808">
        <v>11987</v>
      </c>
      <c r="C12808">
        <v>1</v>
      </c>
      <c r="D12808" s="17" t="s">
        <v>17166</v>
      </c>
      <c r="E12808" s="17"/>
      <c r="F12808" s="17" t="s">
        <v>17246</v>
      </c>
      <c r="G12808" s="17"/>
      <c r="H12808" s="17" t="s">
        <v>23950</v>
      </c>
      <c r="I12808" s="17" t="s">
        <v>26604</v>
      </c>
      <c r="J12808" s="17" t="s">
        <v>47099</v>
      </c>
      <c r="K12808" s="17"/>
      <c r="L12808" s="17" t="s">
        <v>47100</v>
      </c>
      <c r="M12808" s="17"/>
      <c r="N12808" s="17" t="s">
        <v>27392</v>
      </c>
      <c r="O12808" s="17"/>
      <c r="P12808" s="17" t="s">
        <v>27418</v>
      </c>
      <c r="Q12808" s="17"/>
      <c r="R12808" s="25" t="str">
        <f>HYPERLINK("https://ictv.global/taxonomy/taxondetails?taxnode_id=202306381","Orthobunyavirus sangoense")</f>
        <v>Orthobunyavirus sangoense</v>
      </c>
      <c r="S12808" s="18" t="s">
        <v>30</v>
      </c>
      <c r="T12808" s="18" t="s">
        <v>27840</v>
      </c>
      <c r="U12808" s="18" t="s">
        <v>27841</v>
      </c>
      <c r="V12808" s="18" t="s">
        <v>27842</v>
      </c>
      <c r="W12808" s="18" t="s">
        <v>27843</v>
      </c>
      <c r="X12808" s="18" t="s">
        <v>42</v>
      </c>
      <c r="Y12808" s="18" t="s">
        <v>23964</v>
      </c>
      <c r="Z12808" s="18" t="s">
        <v>12289</v>
      </c>
      <c r="AA12808" s="21" t="str">
        <f>HYPERLINK("https://www.ncbi.nlm.nih.gov/nuccore/HE795099,HE795100,HE795101","NCBI Nucleotide")</f>
        <v>NCBI Nucleotide</v>
      </c>
    </row>
    <row r="12809" spans="1:27" x14ac:dyDescent="0.35">
      <c r="A12809">
        <v>1000438</v>
      </c>
      <c r="B12809">
        <v>11988</v>
      </c>
      <c r="C12809">
        <v>1</v>
      </c>
      <c r="D12809" s="17" t="s">
        <v>17166</v>
      </c>
      <c r="E12809" s="17"/>
      <c r="F12809" s="17" t="s">
        <v>17246</v>
      </c>
      <c r="G12809" s="17"/>
      <c r="H12809" s="17" t="s">
        <v>23950</v>
      </c>
      <c r="I12809" s="17" t="s">
        <v>26604</v>
      </c>
      <c r="J12809" s="17" t="s">
        <v>47099</v>
      </c>
      <c r="K12809" s="17"/>
      <c r="L12809" s="17" t="s">
        <v>47100</v>
      </c>
      <c r="M12809" s="17"/>
      <c r="N12809" s="17" t="s">
        <v>27392</v>
      </c>
      <c r="O12809" s="17"/>
      <c r="P12809" s="17" t="s">
        <v>27418</v>
      </c>
      <c r="Q12809" s="17"/>
      <c r="R12809" s="25" t="str">
        <f>HYPERLINK("https://ictv.global/taxonomy/taxondetails?taxnode_id=202314247","Orthobunyavirus sanjuanense")</f>
        <v>Orthobunyavirus sanjuanense</v>
      </c>
      <c r="S12809" s="18" t="s">
        <v>30</v>
      </c>
      <c r="T12809" s="18" t="s">
        <v>27844</v>
      </c>
      <c r="U12809" s="18" t="s">
        <v>27845</v>
      </c>
      <c r="V12809" s="18" t="s">
        <v>27846</v>
      </c>
      <c r="W12809" s="18" t="s">
        <v>50830</v>
      </c>
      <c r="X12809" s="18" t="s">
        <v>35</v>
      </c>
      <c r="Y12809" s="18" t="s">
        <v>23964</v>
      </c>
      <c r="Z12809" s="18" t="s">
        <v>10790</v>
      </c>
      <c r="AA12809" s="21" t="str">
        <f>HYPERLINK("https://www.ncbi.nlm.nih.gov/nuccore/MK896474,MK896473,MK896472","NCBI Nucleotide")</f>
        <v>NCBI Nucleotide</v>
      </c>
    </row>
    <row r="12810" spans="1:27" x14ac:dyDescent="0.35">
      <c r="A12810">
        <v>1011316</v>
      </c>
      <c r="B12810">
        <v>11988</v>
      </c>
      <c r="C12810">
        <v>2</v>
      </c>
      <c r="D12810" s="17" t="s">
        <v>17166</v>
      </c>
      <c r="E12810" s="17"/>
      <c r="F12810" s="17" t="s">
        <v>17246</v>
      </c>
      <c r="G12810" s="17"/>
      <c r="H12810" s="17" t="s">
        <v>23950</v>
      </c>
      <c r="I12810" s="17" t="s">
        <v>26604</v>
      </c>
      <c r="J12810" s="17" t="s">
        <v>47099</v>
      </c>
      <c r="K12810" s="17"/>
      <c r="L12810" s="17" t="s">
        <v>47100</v>
      </c>
      <c r="M12810" s="17"/>
      <c r="N12810" s="17" t="s">
        <v>27392</v>
      </c>
      <c r="O12810" s="17"/>
      <c r="P12810" s="17" t="s">
        <v>27418</v>
      </c>
      <c r="Q12810" s="17"/>
      <c r="R12810" s="25" t="str">
        <f>HYPERLINK("https://ictv.global/taxonomy/taxondetails?taxnode_id=202314247","Orthobunyavirus sanjuanense")</f>
        <v>Orthobunyavirus sanjuanense</v>
      </c>
      <c r="S12810" s="18" t="s">
        <v>8141</v>
      </c>
      <c r="T12810" s="18" t="s">
        <v>28002</v>
      </c>
      <c r="U12810" s="18" t="s">
        <v>28003</v>
      </c>
      <c r="V12810" s="18" t="s">
        <v>28004</v>
      </c>
      <c r="W12810" s="18" t="s">
        <v>49521</v>
      </c>
      <c r="X12810" s="18" t="s">
        <v>35</v>
      </c>
      <c r="Y12810" s="18" t="s">
        <v>23964</v>
      </c>
      <c r="Z12810" s="18" t="s">
        <v>10790</v>
      </c>
      <c r="AA12810" s="21" t="str">
        <f>HYPERLINK("https://www.ncbi.nlm.nih.gov/nuccore/MK896486,MK896485,MK896484","NCBI Nucleotide")</f>
        <v>NCBI Nucleotide</v>
      </c>
    </row>
    <row r="12811" spans="1:27" x14ac:dyDescent="0.35">
      <c r="A12811">
        <v>1000439</v>
      </c>
      <c r="B12811">
        <v>11989</v>
      </c>
      <c r="C12811">
        <v>1</v>
      </c>
      <c r="D12811" s="17" t="s">
        <v>17166</v>
      </c>
      <c r="E12811" s="17"/>
      <c r="F12811" s="17" t="s">
        <v>17246</v>
      </c>
      <c r="G12811" s="17"/>
      <c r="H12811" s="17" t="s">
        <v>23950</v>
      </c>
      <c r="I12811" s="17" t="s">
        <v>26604</v>
      </c>
      <c r="J12811" s="17" t="s">
        <v>47099</v>
      </c>
      <c r="K12811" s="17"/>
      <c r="L12811" s="17" t="s">
        <v>47100</v>
      </c>
      <c r="M12811" s="17"/>
      <c r="N12811" s="17" t="s">
        <v>27392</v>
      </c>
      <c r="O12811" s="17"/>
      <c r="P12811" s="17" t="s">
        <v>27418</v>
      </c>
      <c r="Q12811" s="17"/>
      <c r="R12811" s="25" t="str">
        <f>HYPERLINK("https://ictv.global/taxonomy/taxondetails?taxnode_id=202300126","Orthobunyavirus schmallenbergense")</f>
        <v>Orthobunyavirus schmallenbergense</v>
      </c>
      <c r="S12811" s="18" t="s">
        <v>30</v>
      </c>
      <c r="T12811" s="18" t="s">
        <v>27847</v>
      </c>
      <c r="U12811" s="18" t="s">
        <v>27375</v>
      </c>
      <c r="V12811" s="18" t="s">
        <v>27848</v>
      </c>
      <c r="W12811" s="18" t="s">
        <v>27849</v>
      </c>
      <c r="X12811" s="18" t="s">
        <v>42</v>
      </c>
      <c r="Y12811" s="18" t="s">
        <v>23964</v>
      </c>
      <c r="Z12811" s="18" t="s">
        <v>12289</v>
      </c>
      <c r="AA12811" s="21" t="str">
        <f>HYPERLINK("https://www.ncbi.nlm.nih.gov/nuccore/KC355457,KC355458,KC355459","NCBI Nucleotide")</f>
        <v>NCBI Nucleotide</v>
      </c>
    </row>
    <row r="12812" spans="1:27" x14ac:dyDescent="0.35">
      <c r="A12812">
        <v>1011317</v>
      </c>
      <c r="B12812">
        <v>11989</v>
      </c>
      <c r="C12812">
        <v>2</v>
      </c>
      <c r="D12812" s="17" t="s">
        <v>17166</v>
      </c>
      <c r="E12812" s="17"/>
      <c r="F12812" s="17" t="s">
        <v>17246</v>
      </c>
      <c r="G12812" s="17"/>
      <c r="H12812" s="17" t="s">
        <v>23950</v>
      </c>
      <c r="I12812" s="17" t="s">
        <v>26604</v>
      </c>
      <c r="J12812" s="17" t="s">
        <v>47099</v>
      </c>
      <c r="K12812" s="17"/>
      <c r="L12812" s="17" t="s">
        <v>47100</v>
      </c>
      <c r="M12812" s="17"/>
      <c r="N12812" s="17" t="s">
        <v>27392</v>
      </c>
      <c r="O12812" s="17"/>
      <c r="P12812" s="17" t="s">
        <v>27418</v>
      </c>
      <c r="Q12812" s="17"/>
      <c r="R12812" s="25" t="str">
        <f>HYPERLINK("https://ictv.global/taxonomy/taxondetails?taxnode_id=202300126","Orthobunyavirus schmallenbergense")</f>
        <v>Orthobunyavirus schmallenbergense</v>
      </c>
      <c r="S12812" s="18" t="s">
        <v>8141</v>
      </c>
      <c r="T12812" s="18" t="s">
        <v>27850</v>
      </c>
      <c r="U12812" s="18" t="s">
        <v>27851</v>
      </c>
      <c r="V12812" s="18" t="s">
        <v>27852</v>
      </c>
      <c r="W12812" s="18" t="s">
        <v>49522</v>
      </c>
      <c r="X12812" s="18" t="s">
        <v>42</v>
      </c>
      <c r="Y12812" s="18" t="s">
        <v>23964</v>
      </c>
      <c r="Z12812" s="18" t="s">
        <v>12289</v>
      </c>
      <c r="AA12812" s="21" t="str">
        <f>HYPERLINK("https://www.ncbi.nlm.nih.gov/nuccore/HE795090,HE795091,HE795092","NCBI Nucleotide")</f>
        <v>NCBI Nucleotide</v>
      </c>
    </row>
    <row r="12813" spans="1:27" x14ac:dyDescent="0.35">
      <c r="A12813">
        <v>1011318</v>
      </c>
      <c r="B12813">
        <v>11989</v>
      </c>
      <c r="C12813">
        <v>3</v>
      </c>
      <c r="D12813" s="17" t="s">
        <v>17166</v>
      </c>
      <c r="E12813" s="17"/>
      <c r="F12813" s="17" t="s">
        <v>17246</v>
      </c>
      <c r="G12813" s="17"/>
      <c r="H12813" s="17" t="s">
        <v>23950</v>
      </c>
      <c r="I12813" s="17" t="s">
        <v>26604</v>
      </c>
      <c r="J12813" s="17" t="s">
        <v>47099</v>
      </c>
      <c r="K12813" s="17"/>
      <c r="L12813" s="17" t="s">
        <v>47100</v>
      </c>
      <c r="M12813" s="17"/>
      <c r="N12813" s="17" t="s">
        <v>27392</v>
      </c>
      <c r="O12813" s="17"/>
      <c r="P12813" s="17" t="s">
        <v>27418</v>
      </c>
      <c r="Q12813" s="17"/>
      <c r="R12813" s="25" t="str">
        <f>HYPERLINK("https://ictv.global/taxonomy/taxondetails?taxnode_id=202300126","Orthobunyavirus schmallenbergense")</f>
        <v>Orthobunyavirus schmallenbergense</v>
      </c>
      <c r="S12813" s="18" t="s">
        <v>8141</v>
      </c>
      <c r="T12813" s="18" t="s">
        <v>27853</v>
      </c>
      <c r="U12813" s="18" t="s">
        <v>27854</v>
      </c>
      <c r="V12813" s="18"/>
      <c r="W12813" s="18" t="s">
        <v>49523</v>
      </c>
      <c r="X12813" s="18" t="s">
        <v>42</v>
      </c>
      <c r="Y12813" s="18" t="s">
        <v>23964</v>
      </c>
      <c r="Z12813" s="18" t="s">
        <v>12289</v>
      </c>
      <c r="AA12813" s="21" t="str">
        <f>HYPERLINK("https://www.ncbi.nlm.nih.gov/nuccore/HE795102,HE795103,HE795104","NCBI Nucleotide")</f>
        <v>NCBI Nucleotide</v>
      </c>
    </row>
    <row r="12814" spans="1:27" x14ac:dyDescent="0.35">
      <c r="A12814">
        <v>1011319</v>
      </c>
      <c r="B12814">
        <v>11989</v>
      </c>
      <c r="C12814">
        <v>4</v>
      </c>
      <c r="D12814" s="17" t="s">
        <v>17166</v>
      </c>
      <c r="E12814" s="17"/>
      <c r="F12814" s="17" t="s">
        <v>17246</v>
      </c>
      <c r="G12814" s="17"/>
      <c r="H12814" s="17" t="s">
        <v>23950</v>
      </c>
      <c r="I12814" s="17" t="s">
        <v>26604</v>
      </c>
      <c r="J12814" s="17" t="s">
        <v>47099</v>
      </c>
      <c r="K12814" s="17"/>
      <c r="L12814" s="17" t="s">
        <v>47100</v>
      </c>
      <c r="M12814" s="17"/>
      <c r="N12814" s="17" t="s">
        <v>27392</v>
      </c>
      <c r="O12814" s="17"/>
      <c r="P12814" s="17" t="s">
        <v>27418</v>
      </c>
      <c r="Q12814" s="17"/>
      <c r="R12814" s="25" t="str">
        <f>HYPERLINK("https://ictv.global/taxonomy/taxondetails?taxnode_id=202300126","Orthobunyavirus schmallenbergense")</f>
        <v>Orthobunyavirus schmallenbergense</v>
      </c>
      <c r="S12814" s="18" t="s">
        <v>8141</v>
      </c>
      <c r="T12814" s="18" t="s">
        <v>27855</v>
      </c>
      <c r="U12814" s="18" t="s">
        <v>27856</v>
      </c>
      <c r="V12814" s="18" t="s">
        <v>27857</v>
      </c>
      <c r="W12814" s="18" t="s">
        <v>49524</v>
      </c>
      <c r="X12814" s="18" t="s">
        <v>42</v>
      </c>
      <c r="Y12814" s="18" t="s">
        <v>23964</v>
      </c>
      <c r="Z12814" s="18" t="s">
        <v>12289</v>
      </c>
      <c r="AA12814" s="21" t="str">
        <f>HYPERLINK("https://www.ncbi.nlm.nih.gov/nuccore/HE795105,HE795106,HE795107","NCBI Nucleotide")</f>
        <v>NCBI Nucleotide</v>
      </c>
    </row>
    <row r="12815" spans="1:27" x14ac:dyDescent="0.35">
      <c r="A12815">
        <v>1000440</v>
      </c>
      <c r="B12815">
        <v>11990</v>
      </c>
      <c r="C12815">
        <v>1</v>
      </c>
      <c r="D12815" s="17" t="s">
        <v>17166</v>
      </c>
      <c r="E12815" s="17"/>
      <c r="F12815" s="17" t="s">
        <v>17246</v>
      </c>
      <c r="G12815" s="17"/>
      <c r="H12815" s="17" t="s">
        <v>23950</v>
      </c>
      <c r="I12815" s="17" t="s">
        <v>26604</v>
      </c>
      <c r="J12815" s="17" t="s">
        <v>47099</v>
      </c>
      <c r="K12815" s="17"/>
      <c r="L12815" s="17" t="s">
        <v>47100</v>
      </c>
      <c r="M12815" s="17"/>
      <c r="N12815" s="17" t="s">
        <v>27392</v>
      </c>
      <c r="O12815" s="17"/>
      <c r="P12815" s="17" t="s">
        <v>27418</v>
      </c>
      <c r="Q12815" s="17"/>
      <c r="R12815" s="25" t="str">
        <f>HYPERLINK("https://ictv.global/taxonomy/taxondetails?taxnode_id=202309328","Orthobunyavirus sedlecense")</f>
        <v>Orthobunyavirus sedlecense</v>
      </c>
      <c r="S12815" s="18" t="s">
        <v>30</v>
      </c>
      <c r="T12815" s="18" t="s">
        <v>27858</v>
      </c>
      <c r="U12815" s="18" t="s">
        <v>27859</v>
      </c>
      <c r="V12815" s="18" t="s">
        <v>27860</v>
      </c>
      <c r="W12815" s="18" t="s">
        <v>27861</v>
      </c>
      <c r="X12815" s="18" t="s">
        <v>35</v>
      </c>
      <c r="Y12815" s="18" t="s">
        <v>23964</v>
      </c>
      <c r="Z12815" s="18" t="s">
        <v>166</v>
      </c>
      <c r="AA12815" s="21" t="str">
        <f>HYPERLINK("https://www.ncbi.nlm.nih.gov/nuccore/MH484327,MH484328,MH484329","NCBI Nucleotide")</f>
        <v>NCBI Nucleotide</v>
      </c>
    </row>
    <row r="12816" spans="1:27" x14ac:dyDescent="0.35">
      <c r="A12816">
        <v>1000441</v>
      </c>
      <c r="B12816">
        <v>11991</v>
      </c>
      <c r="C12816">
        <v>1</v>
      </c>
      <c r="D12816" s="17" t="s">
        <v>17166</v>
      </c>
      <c r="E12816" s="17"/>
      <c r="F12816" s="17" t="s">
        <v>17246</v>
      </c>
      <c r="G12816" s="17"/>
      <c r="H12816" s="17" t="s">
        <v>23950</v>
      </c>
      <c r="I12816" s="17" t="s">
        <v>26604</v>
      </c>
      <c r="J12816" s="17" t="s">
        <v>47099</v>
      </c>
      <c r="K12816" s="17"/>
      <c r="L12816" s="17" t="s">
        <v>47100</v>
      </c>
      <c r="M12816" s="17"/>
      <c r="N12816" s="17" t="s">
        <v>27392</v>
      </c>
      <c r="O12816" s="17"/>
      <c r="P12816" s="17" t="s">
        <v>27418</v>
      </c>
      <c r="Q12816" s="17"/>
      <c r="R12816" s="25" t="str">
        <f>HYPERLINK("https://ictv.global/taxonomy/taxondetails?taxnode_id=202306359","Orthobunyavirus shermanense")</f>
        <v>Orthobunyavirus shermanense</v>
      </c>
      <c r="S12816" s="18" t="s">
        <v>30</v>
      </c>
      <c r="T12816" s="18" t="s">
        <v>27862</v>
      </c>
      <c r="U12816" s="18" t="s">
        <v>27863</v>
      </c>
      <c r="V12816" s="18" t="s">
        <v>27864</v>
      </c>
      <c r="W12816" s="18" t="s">
        <v>50623</v>
      </c>
      <c r="X12816" s="18" t="s">
        <v>42</v>
      </c>
      <c r="Y12816" s="18" t="s">
        <v>23964</v>
      </c>
      <c r="Z12816" s="18" t="s">
        <v>12289</v>
      </c>
      <c r="AA12816" s="21" t="str">
        <f>HYPERLINK("https://www.ncbi.nlm.nih.gov/nuccore/KX100132,KX100131,KX100130","NCBI Nucleotide")</f>
        <v>NCBI Nucleotide</v>
      </c>
    </row>
    <row r="12817" spans="1:27" x14ac:dyDescent="0.35">
      <c r="A12817">
        <v>1011320</v>
      </c>
      <c r="B12817">
        <v>11991</v>
      </c>
      <c r="C12817">
        <v>2</v>
      </c>
      <c r="D12817" s="17" t="s">
        <v>17166</v>
      </c>
      <c r="E12817" s="17"/>
      <c r="F12817" s="17" t="s">
        <v>17246</v>
      </c>
      <c r="G12817" s="17"/>
      <c r="H12817" s="17" t="s">
        <v>23950</v>
      </c>
      <c r="I12817" s="17" t="s">
        <v>26604</v>
      </c>
      <c r="J12817" s="17" t="s">
        <v>47099</v>
      </c>
      <c r="K12817" s="17"/>
      <c r="L12817" s="17" t="s">
        <v>47100</v>
      </c>
      <c r="M12817" s="17"/>
      <c r="N12817" s="17" t="s">
        <v>27392</v>
      </c>
      <c r="O12817" s="17"/>
      <c r="P12817" s="17" t="s">
        <v>27418</v>
      </c>
      <c r="Q12817" s="17"/>
      <c r="R12817" s="25" t="str">
        <f>HYPERLINK("https://ictv.global/taxonomy/taxondetails?taxnode_id=202306359","Orthobunyavirus shermanense")</f>
        <v>Orthobunyavirus shermanense</v>
      </c>
      <c r="S12817" s="18" t="s">
        <v>8141</v>
      </c>
      <c r="T12817" s="18" t="s">
        <v>27865</v>
      </c>
      <c r="U12817" s="18" t="s">
        <v>27866</v>
      </c>
      <c r="V12817" s="18" t="s">
        <v>27867</v>
      </c>
      <c r="W12817" s="18" t="s">
        <v>49525</v>
      </c>
      <c r="X12817" s="18" t="s">
        <v>42</v>
      </c>
      <c r="Y12817" s="18" t="s">
        <v>23964</v>
      </c>
      <c r="Z12817" s="18" t="s">
        <v>12289</v>
      </c>
      <c r="AA12817" s="21" t="str">
        <f>HYPERLINK("https://www.ncbi.nlm.nih.gov/nuccore/KX100111,KX100110,KX100109","NCBI Nucleotide")</f>
        <v>NCBI Nucleotide</v>
      </c>
    </row>
    <row r="12818" spans="1:27" x14ac:dyDescent="0.35">
      <c r="A12818">
        <v>1000442</v>
      </c>
      <c r="B12818">
        <v>11992</v>
      </c>
      <c r="C12818">
        <v>1</v>
      </c>
      <c r="D12818" s="17" t="s">
        <v>17166</v>
      </c>
      <c r="E12818" s="17"/>
      <c r="F12818" s="17" t="s">
        <v>17246</v>
      </c>
      <c r="G12818" s="17"/>
      <c r="H12818" s="17" t="s">
        <v>23950</v>
      </c>
      <c r="I12818" s="17" t="s">
        <v>26604</v>
      </c>
      <c r="J12818" s="17" t="s">
        <v>47099</v>
      </c>
      <c r="K12818" s="17"/>
      <c r="L12818" s="17" t="s">
        <v>47100</v>
      </c>
      <c r="M12818" s="17"/>
      <c r="N12818" s="17" t="s">
        <v>27392</v>
      </c>
      <c r="O12818" s="17"/>
      <c r="P12818" s="17" t="s">
        <v>27418</v>
      </c>
      <c r="Q12818" s="17"/>
      <c r="R12818" s="25" t="str">
        <f>HYPERLINK("https://ictv.global/taxonomy/taxondetails?taxnode_id=202314228","Orthobunyavirus shokweense")</f>
        <v>Orthobunyavirus shokweense</v>
      </c>
      <c r="S12818" s="18" t="s">
        <v>30</v>
      </c>
      <c r="T12818" s="18" t="s">
        <v>27868</v>
      </c>
      <c r="U12818" s="18" t="s">
        <v>27869</v>
      </c>
      <c r="V12818" s="18" t="s">
        <v>27870</v>
      </c>
      <c r="W12818" s="18" t="s">
        <v>27871</v>
      </c>
      <c r="X12818" s="18" t="s">
        <v>35</v>
      </c>
      <c r="Y12818" s="18" t="s">
        <v>23964</v>
      </c>
      <c r="Z12818" s="18" t="s">
        <v>10790</v>
      </c>
      <c r="AA12818" s="21" t="str">
        <f>HYPERLINK("https://www.ncbi.nlm.nih.gov/nuccore/MH484330,MH484331,MH484332","NCBI Nucleotide")</f>
        <v>NCBI Nucleotide</v>
      </c>
    </row>
    <row r="12819" spans="1:27" x14ac:dyDescent="0.35">
      <c r="A12819">
        <v>1000443</v>
      </c>
      <c r="B12819">
        <v>11993</v>
      </c>
      <c r="C12819">
        <v>1</v>
      </c>
      <c r="D12819" s="17" t="s">
        <v>17166</v>
      </c>
      <c r="E12819" s="17"/>
      <c r="F12819" s="17" t="s">
        <v>17246</v>
      </c>
      <c r="G12819" s="17"/>
      <c r="H12819" s="17" t="s">
        <v>23950</v>
      </c>
      <c r="I12819" s="17" t="s">
        <v>26604</v>
      </c>
      <c r="J12819" s="17" t="s">
        <v>47099</v>
      </c>
      <c r="K12819" s="17"/>
      <c r="L12819" s="17" t="s">
        <v>47100</v>
      </c>
      <c r="M12819" s="17"/>
      <c r="N12819" s="17" t="s">
        <v>27392</v>
      </c>
      <c r="O12819" s="17"/>
      <c r="P12819" s="17" t="s">
        <v>27418</v>
      </c>
      <c r="Q12819" s="17"/>
      <c r="R12819" s="25" t="str">
        <f>HYPERLINK("https://ictv.global/taxonomy/taxondetails?taxnode_id=202300128","Orthobunyavirus shuniense")</f>
        <v>Orthobunyavirus shuniense</v>
      </c>
      <c r="S12819" s="18" t="s">
        <v>30</v>
      </c>
      <c r="T12819" s="18" t="s">
        <v>27872</v>
      </c>
      <c r="U12819" s="18" t="s">
        <v>27873</v>
      </c>
      <c r="V12819" s="18" t="s">
        <v>27874</v>
      </c>
      <c r="W12819" s="18" t="s">
        <v>50624</v>
      </c>
      <c r="X12819" s="18" t="s">
        <v>42</v>
      </c>
      <c r="Y12819" s="18" t="s">
        <v>23964</v>
      </c>
      <c r="Z12819" s="18" t="s">
        <v>12289</v>
      </c>
      <c r="AA12819" s="21" t="str">
        <f>HYPERLINK("https://www.ncbi.nlm.nih.gov/nuccore/KF153118,KF153117,KC510272","NCBI Nucleotide")</f>
        <v>NCBI Nucleotide</v>
      </c>
    </row>
    <row r="12820" spans="1:27" x14ac:dyDescent="0.35">
      <c r="A12820">
        <v>1000444</v>
      </c>
      <c r="B12820">
        <v>11994</v>
      </c>
      <c r="C12820">
        <v>1</v>
      </c>
      <c r="D12820" s="17" t="s">
        <v>17166</v>
      </c>
      <c r="E12820" s="17"/>
      <c r="F12820" s="17" t="s">
        <v>17246</v>
      </c>
      <c r="G12820" s="17"/>
      <c r="H12820" s="17" t="s">
        <v>23950</v>
      </c>
      <c r="I12820" s="17" t="s">
        <v>26604</v>
      </c>
      <c r="J12820" s="17" t="s">
        <v>47099</v>
      </c>
      <c r="K12820" s="17"/>
      <c r="L12820" s="17" t="s">
        <v>47100</v>
      </c>
      <c r="M12820" s="17"/>
      <c r="N12820" s="17" t="s">
        <v>27392</v>
      </c>
      <c r="O12820" s="17"/>
      <c r="P12820" s="17" t="s">
        <v>27418</v>
      </c>
      <c r="Q12820" s="17"/>
      <c r="R12820" s="25" t="str">
        <f>HYPERLINK("https://ictv.global/taxonomy/taxondetails?taxnode_id=202300129","Orthobunyavirus simbuense")</f>
        <v>Orthobunyavirus simbuense</v>
      </c>
      <c r="S12820" s="18" t="s">
        <v>30</v>
      </c>
      <c r="T12820" s="18" t="s">
        <v>27875</v>
      </c>
      <c r="U12820" s="18" t="s">
        <v>27876</v>
      </c>
      <c r="V12820" s="18" t="s">
        <v>27877</v>
      </c>
      <c r="W12820" s="18" t="s">
        <v>27878</v>
      </c>
      <c r="X12820" s="18" t="s">
        <v>42</v>
      </c>
      <c r="Y12820" s="18" t="s">
        <v>23964</v>
      </c>
      <c r="Z12820" s="18" t="s">
        <v>12289</v>
      </c>
      <c r="AA12820" s="21" t="str">
        <f>HYPERLINK("https://www.ncbi.nlm.nih.gov/nuccore/HE795108,HE795109,HE795110","NCBI Nucleotide")</f>
        <v>NCBI Nucleotide</v>
      </c>
    </row>
    <row r="12821" spans="1:27" x14ac:dyDescent="0.35">
      <c r="A12821">
        <v>1011321</v>
      </c>
      <c r="B12821">
        <v>11994</v>
      </c>
      <c r="C12821">
        <v>2</v>
      </c>
      <c r="D12821" s="17" t="s">
        <v>17166</v>
      </c>
      <c r="E12821" s="17"/>
      <c r="F12821" s="17" t="s">
        <v>17246</v>
      </c>
      <c r="G12821" s="17"/>
      <c r="H12821" s="17" t="s">
        <v>23950</v>
      </c>
      <c r="I12821" s="17" t="s">
        <v>26604</v>
      </c>
      <c r="J12821" s="17" t="s">
        <v>47099</v>
      </c>
      <c r="K12821" s="17"/>
      <c r="L12821" s="17" t="s">
        <v>47100</v>
      </c>
      <c r="M12821" s="17"/>
      <c r="N12821" s="17" t="s">
        <v>27392</v>
      </c>
      <c r="O12821" s="17"/>
      <c r="P12821" s="17" t="s">
        <v>27418</v>
      </c>
      <c r="Q12821" s="17"/>
      <c r="R12821" s="25" t="str">
        <f>HYPERLINK("https://ictv.global/taxonomy/taxondetails?taxnode_id=202300129","Orthobunyavirus simbuense")</f>
        <v>Orthobunyavirus simbuense</v>
      </c>
      <c r="S12821" s="18" t="s">
        <v>8141</v>
      </c>
      <c r="T12821" s="18" t="s">
        <v>27879</v>
      </c>
      <c r="U12821" s="18" t="s">
        <v>27880</v>
      </c>
      <c r="V12821" s="18"/>
      <c r="W12821" s="18"/>
      <c r="X12821" s="18" t="s">
        <v>3311</v>
      </c>
      <c r="Y12821" s="18" t="s">
        <v>23964</v>
      </c>
      <c r="Z12821" s="18" t="s">
        <v>12289</v>
      </c>
      <c r="AA12821" s="21"/>
    </row>
    <row r="12822" spans="1:27" x14ac:dyDescent="0.35">
      <c r="A12822">
        <v>1000445</v>
      </c>
      <c r="B12822">
        <v>11995</v>
      </c>
      <c r="C12822">
        <v>1</v>
      </c>
      <c r="D12822" s="17" t="s">
        <v>17166</v>
      </c>
      <c r="E12822" s="17"/>
      <c r="F12822" s="17" t="s">
        <v>17246</v>
      </c>
      <c r="G12822" s="17"/>
      <c r="H12822" s="17" t="s">
        <v>23950</v>
      </c>
      <c r="I12822" s="17" t="s">
        <v>26604</v>
      </c>
      <c r="J12822" s="17" t="s">
        <v>47099</v>
      </c>
      <c r="K12822" s="17"/>
      <c r="L12822" s="17" t="s">
        <v>47100</v>
      </c>
      <c r="M12822" s="17"/>
      <c r="N12822" s="17" t="s">
        <v>27392</v>
      </c>
      <c r="O12822" s="17"/>
      <c r="P12822" s="17" t="s">
        <v>27418</v>
      </c>
      <c r="Q12822" s="17"/>
      <c r="R12822" s="25" t="str">
        <f>HYPERLINK("https://ictv.global/taxonomy/taxondetails?taxnode_id=202306387","Orthobunyavirus sororocaense")</f>
        <v>Orthobunyavirus sororocaense</v>
      </c>
      <c r="S12822" s="18" t="s">
        <v>30</v>
      </c>
      <c r="T12822" s="18" t="s">
        <v>27881</v>
      </c>
      <c r="U12822" s="18" t="s">
        <v>27651</v>
      </c>
      <c r="V12822" s="18" t="s">
        <v>27882</v>
      </c>
      <c r="W12822" s="18" t="s">
        <v>27883</v>
      </c>
      <c r="X12822" s="18" t="s">
        <v>42</v>
      </c>
      <c r="Y12822" s="18" t="s">
        <v>23964</v>
      </c>
      <c r="Z12822" s="18" t="s">
        <v>12289</v>
      </c>
      <c r="AA12822" s="21" t="str">
        <f>HYPERLINK("https://www.ncbi.nlm.nih.gov/nuccore/JN572071,JN572072,JN572073","NCBI Nucleotide")</f>
        <v>NCBI Nucleotide</v>
      </c>
    </row>
    <row r="12823" spans="1:27" x14ac:dyDescent="0.35">
      <c r="A12823">
        <v>1000446</v>
      </c>
      <c r="B12823">
        <v>11996</v>
      </c>
      <c r="C12823">
        <v>1</v>
      </c>
      <c r="D12823" s="17" t="s">
        <v>17166</v>
      </c>
      <c r="E12823" s="17"/>
      <c r="F12823" s="17" t="s">
        <v>17246</v>
      </c>
      <c r="G12823" s="17"/>
      <c r="H12823" s="17" t="s">
        <v>23950</v>
      </c>
      <c r="I12823" s="17" t="s">
        <v>26604</v>
      </c>
      <c r="J12823" s="17" t="s">
        <v>47099</v>
      </c>
      <c r="K12823" s="17"/>
      <c r="L12823" s="17" t="s">
        <v>47100</v>
      </c>
      <c r="M12823" s="17"/>
      <c r="N12823" s="17" t="s">
        <v>27392</v>
      </c>
      <c r="O12823" s="17"/>
      <c r="P12823" s="17" t="s">
        <v>27418</v>
      </c>
      <c r="Q12823" s="17"/>
      <c r="R12823" s="25" t="str">
        <f>HYPERLINK("https://ictv.global/taxonomy/taxondetails?taxnode_id=202309329","Orthobunyavirus squalofluvii")</f>
        <v>Orthobunyavirus squalofluvii</v>
      </c>
      <c r="S12823" s="18" t="s">
        <v>30</v>
      </c>
      <c r="T12823" s="18" t="s">
        <v>27884</v>
      </c>
      <c r="U12823" s="18" t="s">
        <v>73</v>
      </c>
      <c r="V12823" s="18" t="s">
        <v>27885</v>
      </c>
      <c r="W12823" s="18" t="s">
        <v>50831</v>
      </c>
      <c r="X12823" s="18" t="s">
        <v>35</v>
      </c>
      <c r="Y12823" s="18" t="s">
        <v>23964</v>
      </c>
      <c r="Z12823" s="18" t="s">
        <v>166</v>
      </c>
      <c r="AA12823" s="21" t="str">
        <f>HYPERLINK("https://www.ncbi.nlm.nih.gov/nuccore/MH017278,MH017284,MH017271","NCBI Nucleotide")</f>
        <v>NCBI Nucleotide</v>
      </c>
    </row>
    <row r="12824" spans="1:27" x14ac:dyDescent="0.35">
      <c r="A12824">
        <v>1027702</v>
      </c>
      <c r="B12824">
        <v>11997</v>
      </c>
      <c r="C12824">
        <v>1</v>
      </c>
      <c r="D12824" s="17" t="s">
        <v>17166</v>
      </c>
      <c r="E12824" s="17"/>
      <c r="F12824" s="17" t="s">
        <v>17246</v>
      </c>
      <c r="G12824" s="17"/>
      <c r="H12824" s="17" t="s">
        <v>23950</v>
      </c>
      <c r="I12824" s="17" t="s">
        <v>26604</v>
      </c>
      <c r="J12824" s="17" t="s">
        <v>47099</v>
      </c>
      <c r="K12824" s="17"/>
      <c r="L12824" s="17" t="s">
        <v>47100</v>
      </c>
      <c r="M12824" s="17"/>
      <c r="N12824" s="17" t="s">
        <v>27392</v>
      </c>
      <c r="O12824" s="17"/>
      <c r="P12824" s="17" t="s">
        <v>27418</v>
      </c>
      <c r="Q12824" s="17"/>
      <c r="R12824" s="25" t="str">
        <f>HYPERLINK("https://ictv.global/taxonomy/taxondetails?taxnode_id=202319066","Orthobunyavirus sussexense")</f>
        <v>Orthobunyavirus sussexense</v>
      </c>
      <c r="S12824" s="18" t="s">
        <v>30</v>
      </c>
      <c r="T12824" s="18" t="s">
        <v>47167</v>
      </c>
      <c r="U12824" s="18" t="s">
        <v>47168</v>
      </c>
      <c r="V12824" s="18" t="s">
        <v>47169</v>
      </c>
      <c r="W12824" s="18" t="s">
        <v>47170</v>
      </c>
      <c r="X12824" s="18" t="s">
        <v>35</v>
      </c>
      <c r="Y12824" s="18" t="s">
        <v>23964</v>
      </c>
      <c r="Z12824" s="18" t="s">
        <v>12289</v>
      </c>
      <c r="AA12824" s="21" t="str">
        <f>HYPERLINK("https://www.ncbi.nlm.nih.gov/nuccore/OR077282,OR077283,OR077284","NCBI Nucleotide")</f>
        <v>NCBI Nucleotide</v>
      </c>
    </row>
    <row r="12825" spans="1:27" x14ac:dyDescent="0.35">
      <c r="A12825">
        <v>1000447</v>
      </c>
      <c r="B12825">
        <v>11998</v>
      </c>
      <c r="C12825">
        <v>1</v>
      </c>
      <c r="D12825" s="17" t="s">
        <v>17166</v>
      </c>
      <c r="E12825" s="17"/>
      <c r="F12825" s="17" t="s">
        <v>17246</v>
      </c>
      <c r="G12825" s="17"/>
      <c r="H12825" s="17" t="s">
        <v>23950</v>
      </c>
      <c r="I12825" s="17" t="s">
        <v>26604</v>
      </c>
      <c r="J12825" s="17" t="s">
        <v>47099</v>
      </c>
      <c r="K12825" s="17"/>
      <c r="L12825" s="17" t="s">
        <v>47100</v>
      </c>
      <c r="M12825" s="17"/>
      <c r="N12825" s="17" t="s">
        <v>27392</v>
      </c>
      <c r="O12825" s="17"/>
      <c r="P12825" s="17" t="s">
        <v>27418</v>
      </c>
      <c r="Q12825" s="17"/>
      <c r="R12825" s="25" t="str">
        <f>HYPERLINK("https://ictv.global/taxonomy/taxondetails?taxnode_id=202300130","Orthobunyavirus tacaiumaense")</f>
        <v>Orthobunyavirus tacaiumaense</v>
      </c>
      <c r="S12825" s="18" t="s">
        <v>30</v>
      </c>
      <c r="T12825" s="18" t="s">
        <v>27886</v>
      </c>
      <c r="U12825" s="18" t="s">
        <v>27887</v>
      </c>
      <c r="V12825" s="18" t="s">
        <v>27888</v>
      </c>
      <c r="W12825" s="18" t="s">
        <v>50625</v>
      </c>
      <c r="X12825" s="18" t="s">
        <v>42</v>
      </c>
      <c r="Y12825" s="18" t="s">
        <v>23964</v>
      </c>
      <c r="Z12825" s="18" t="s">
        <v>12289</v>
      </c>
      <c r="AA12825" s="21" t="str">
        <f>HYPERLINK("https://www.ncbi.nlm.nih.gov/nuccore/MF497778,MF497776,MF497775","NCBI Nucleotide")</f>
        <v>NCBI Nucleotide</v>
      </c>
    </row>
    <row r="12826" spans="1:27" x14ac:dyDescent="0.35">
      <c r="A12826">
        <v>1011322</v>
      </c>
      <c r="B12826">
        <v>11998</v>
      </c>
      <c r="C12826">
        <v>2</v>
      </c>
      <c r="D12826" s="17" t="s">
        <v>17166</v>
      </c>
      <c r="E12826" s="17"/>
      <c r="F12826" s="17" t="s">
        <v>17246</v>
      </c>
      <c r="G12826" s="17"/>
      <c r="H12826" s="17" t="s">
        <v>23950</v>
      </c>
      <c r="I12826" s="17" t="s">
        <v>26604</v>
      </c>
      <c r="J12826" s="17" t="s">
        <v>47099</v>
      </c>
      <c r="K12826" s="17"/>
      <c r="L12826" s="17" t="s">
        <v>47100</v>
      </c>
      <c r="M12826" s="17"/>
      <c r="N12826" s="17" t="s">
        <v>27392</v>
      </c>
      <c r="O12826" s="17"/>
      <c r="P12826" s="17" t="s">
        <v>27418</v>
      </c>
      <c r="Q12826" s="17"/>
      <c r="R12826" s="25" t="str">
        <f>HYPERLINK("https://ictv.global/taxonomy/taxondetails?taxnode_id=202300130","Orthobunyavirus tacaiumaense")</f>
        <v>Orthobunyavirus tacaiumaense</v>
      </c>
      <c r="S12826" s="18" t="s">
        <v>8141</v>
      </c>
      <c r="T12826" s="18" t="s">
        <v>27889</v>
      </c>
      <c r="U12826" s="18" t="s">
        <v>27890</v>
      </c>
      <c r="V12826" s="18"/>
      <c r="W12826" s="18"/>
      <c r="X12826" s="18" t="s">
        <v>3311</v>
      </c>
      <c r="Y12826" s="18" t="s">
        <v>23964</v>
      </c>
      <c r="Z12826" s="18" t="s">
        <v>12289</v>
      </c>
      <c r="AA12826" s="21"/>
    </row>
    <row r="12827" spans="1:27" x14ac:dyDescent="0.35">
      <c r="A12827">
        <v>1011323</v>
      </c>
      <c r="B12827">
        <v>11998</v>
      </c>
      <c r="C12827">
        <v>3</v>
      </c>
      <c r="D12827" s="17" t="s">
        <v>17166</v>
      </c>
      <c r="E12827" s="17"/>
      <c r="F12827" s="17" t="s">
        <v>17246</v>
      </c>
      <c r="G12827" s="17"/>
      <c r="H12827" s="17" t="s">
        <v>23950</v>
      </c>
      <c r="I12827" s="17" t="s">
        <v>26604</v>
      </c>
      <c r="J12827" s="17" t="s">
        <v>47099</v>
      </c>
      <c r="K12827" s="17"/>
      <c r="L12827" s="17" t="s">
        <v>47100</v>
      </c>
      <c r="M12827" s="17"/>
      <c r="N12827" s="17" t="s">
        <v>27392</v>
      </c>
      <c r="O12827" s="17"/>
      <c r="P12827" s="17" t="s">
        <v>27418</v>
      </c>
      <c r="Q12827" s="17"/>
      <c r="R12827" s="25" t="str">
        <f>HYPERLINK("https://ictv.global/taxonomy/taxondetails?taxnode_id=202300130","Orthobunyavirus tacaiumaense")</f>
        <v>Orthobunyavirus tacaiumaense</v>
      </c>
      <c r="S12827" s="18" t="s">
        <v>8141</v>
      </c>
      <c r="T12827" s="18" t="s">
        <v>27891</v>
      </c>
      <c r="U12827" s="18" t="s">
        <v>27892</v>
      </c>
      <c r="V12827" s="18"/>
      <c r="W12827" s="18"/>
      <c r="X12827" s="18" t="s">
        <v>3311</v>
      </c>
      <c r="Y12827" s="18" t="s">
        <v>23964</v>
      </c>
      <c r="Z12827" s="18" t="s">
        <v>12289</v>
      </c>
      <c r="AA12827" s="21"/>
    </row>
    <row r="12828" spans="1:27" x14ac:dyDescent="0.35">
      <c r="A12828">
        <v>1011324</v>
      </c>
      <c r="B12828">
        <v>11998</v>
      </c>
      <c r="C12828">
        <v>4</v>
      </c>
      <c r="D12828" s="17" t="s">
        <v>17166</v>
      </c>
      <c r="E12828" s="17"/>
      <c r="F12828" s="17" t="s">
        <v>17246</v>
      </c>
      <c r="G12828" s="17"/>
      <c r="H12828" s="17" t="s">
        <v>23950</v>
      </c>
      <c r="I12828" s="17" t="s">
        <v>26604</v>
      </c>
      <c r="J12828" s="17" t="s">
        <v>47099</v>
      </c>
      <c r="K12828" s="17"/>
      <c r="L12828" s="17" t="s">
        <v>47100</v>
      </c>
      <c r="M12828" s="17"/>
      <c r="N12828" s="17" t="s">
        <v>27392</v>
      </c>
      <c r="O12828" s="17"/>
      <c r="P12828" s="17" t="s">
        <v>27418</v>
      </c>
      <c r="Q12828" s="17"/>
      <c r="R12828" s="25" t="str">
        <f>HYPERLINK("https://ictv.global/taxonomy/taxondetails?taxnode_id=202300130","Orthobunyavirus tacaiumaense")</f>
        <v>Orthobunyavirus tacaiumaense</v>
      </c>
      <c r="S12828" s="18" t="s">
        <v>8141</v>
      </c>
      <c r="T12828" s="18" t="s">
        <v>27893</v>
      </c>
      <c r="U12828" s="18" t="s">
        <v>27894</v>
      </c>
      <c r="V12828" s="18"/>
      <c r="W12828" s="18"/>
      <c r="X12828" s="18" t="s">
        <v>3311</v>
      </c>
      <c r="Y12828" s="18" t="s">
        <v>23964</v>
      </c>
      <c r="Z12828" s="18" t="s">
        <v>12289</v>
      </c>
      <c r="AA12828" s="21"/>
    </row>
    <row r="12829" spans="1:27" x14ac:dyDescent="0.35">
      <c r="A12829">
        <v>1000448</v>
      </c>
      <c r="B12829">
        <v>11999</v>
      </c>
      <c r="C12829">
        <v>1</v>
      </c>
      <c r="D12829" s="17" t="s">
        <v>17166</v>
      </c>
      <c r="E12829" s="17"/>
      <c r="F12829" s="17" t="s">
        <v>17246</v>
      </c>
      <c r="G12829" s="17"/>
      <c r="H12829" s="17" t="s">
        <v>23950</v>
      </c>
      <c r="I12829" s="17" t="s">
        <v>26604</v>
      </c>
      <c r="J12829" s="17" t="s">
        <v>47099</v>
      </c>
      <c r="K12829" s="17"/>
      <c r="L12829" s="17" t="s">
        <v>47100</v>
      </c>
      <c r="M12829" s="17"/>
      <c r="N12829" s="17" t="s">
        <v>27392</v>
      </c>
      <c r="O12829" s="17"/>
      <c r="P12829" s="17" t="s">
        <v>27418</v>
      </c>
      <c r="Q12829" s="17"/>
      <c r="R12829" s="25" t="str">
        <f>HYPERLINK("https://ictv.global/taxonomy/taxondetails?taxnode_id=202306372","Orthobunyavirus tahynaense")</f>
        <v>Orthobunyavirus tahynaense</v>
      </c>
      <c r="S12829" s="18" t="s">
        <v>30</v>
      </c>
      <c r="T12829" s="18" t="s">
        <v>27895</v>
      </c>
      <c r="U12829" s="18" t="s">
        <v>27896</v>
      </c>
      <c r="V12829" s="18" t="s">
        <v>27897</v>
      </c>
      <c r="W12829" s="18" t="s">
        <v>50626</v>
      </c>
      <c r="X12829" s="18" t="s">
        <v>42</v>
      </c>
      <c r="Y12829" s="18" t="s">
        <v>23964</v>
      </c>
      <c r="Z12829" s="18" t="s">
        <v>12289</v>
      </c>
      <c r="AA12829" s="21" t="str">
        <f>HYPERLINK("https://www.ncbi.nlm.nih.gov/nuccore/EU665255,EU622819,EU622820","NCBI Nucleotide")</f>
        <v>NCBI Nucleotide</v>
      </c>
    </row>
    <row r="12830" spans="1:27" x14ac:dyDescent="0.35">
      <c r="A12830">
        <v>1000449</v>
      </c>
      <c r="B12830">
        <v>12000</v>
      </c>
      <c r="C12830">
        <v>1</v>
      </c>
      <c r="D12830" s="17" t="s">
        <v>17166</v>
      </c>
      <c r="E12830" s="17"/>
      <c r="F12830" s="17" t="s">
        <v>17246</v>
      </c>
      <c r="G12830" s="17"/>
      <c r="H12830" s="17" t="s">
        <v>23950</v>
      </c>
      <c r="I12830" s="17" t="s">
        <v>26604</v>
      </c>
      <c r="J12830" s="17" t="s">
        <v>47099</v>
      </c>
      <c r="K12830" s="17"/>
      <c r="L12830" s="17" t="s">
        <v>47100</v>
      </c>
      <c r="M12830" s="17"/>
      <c r="N12830" s="17" t="s">
        <v>27392</v>
      </c>
      <c r="O12830" s="17"/>
      <c r="P12830" s="17" t="s">
        <v>27418</v>
      </c>
      <c r="Q12830" s="17"/>
      <c r="R12830" s="25" t="str">
        <f>HYPERLINK("https://ictv.global/taxonomy/taxondetails?taxnode_id=202314243","Orthobunyavirus tangaense")</f>
        <v>Orthobunyavirus tangaense</v>
      </c>
      <c r="S12830" s="18" t="s">
        <v>30</v>
      </c>
      <c r="T12830" s="18" t="s">
        <v>27898</v>
      </c>
      <c r="U12830" s="18" t="s">
        <v>27899</v>
      </c>
      <c r="V12830" s="18" t="s">
        <v>27900</v>
      </c>
      <c r="W12830" s="18" t="s">
        <v>50832</v>
      </c>
      <c r="X12830" s="18" t="s">
        <v>35</v>
      </c>
      <c r="Y12830" s="18" t="s">
        <v>23964</v>
      </c>
      <c r="Z12830" s="18" t="s">
        <v>10790</v>
      </c>
      <c r="AA12830" s="21" t="str">
        <f>HYPERLINK("https://www.ncbi.nlm.nih.gov/nuccore/MK896459,MK896458,MK896457","NCBI Nucleotide")</f>
        <v>NCBI Nucleotide</v>
      </c>
    </row>
    <row r="12831" spans="1:27" x14ac:dyDescent="0.35">
      <c r="A12831">
        <v>1000450</v>
      </c>
      <c r="B12831">
        <v>12001</v>
      </c>
      <c r="C12831">
        <v>1</v>
      </c>
      <c r="D12831" s="17" t="s">
        <v>17166</v>
      </c>
      <c r="E12831" s="17"/>
      <c r="F12831" s="17" t="s">
        <v>17246</v>
      </c>
      <c r="G12831" s="17"/>
      <c r="H12831" s="17" t="s">
        <v>23950</v>
      </c>
      <c r="I12831" s="17" t="s">
        <v>26604</v>
      </c>
      <c r="J12831" s="17" t="s">
        <v>47099</v>
      </c>
      <c r="K12831" s="17"/>
      <c r="L12831" s="17" t="s">
        <v>47100</v>
      </c>
      <c r="M12831" s="17"/>
      <c r="N12831" s="17" t="s">
        <v>27392</v>
      </c>
      <c r="O12831" s="17"/>
      <c r="P12831" s="17" t="s">
        <v>27418</v>
      </c>
      <c r="Q12831" s="17"/>
      <c r="R12831" s="25" t="str">
        <f>HYPERLINK("https://ictv.global/taxonomy/taxondetails?taxnode_id=202306598","Orthobunyavirus tataguineense")</f>
        <v>Orthobunyavirus tataguineense</v>
      </c>
      <c r="S12831" s="18" t="s">
        <v>30</v>
      </c>
      <c r="T12831" s="18" t="s">
        <v>27901</v>
      </c>
      <c r="U12831" s="18" t="s">
        <v>27094</v>
      </c>
      <c r="V12831" s="18" t="s">
        <v>27902</v>
      </c>
      <c r="W12831" s="18" t="s">
        <v>50627</v>
      </c>
      <c r="X12831" s="18" t="s">
        <v>42</v>
      </c>
      <c r="Y12831" s="18" t="s">
        <v>23964</v>
      </c>
      <c r="Z12831" s="18" t="s">
        <v>12289</v>
      </c>
      <c r="AA12831" s="21" t="str">
        <f>HYPERLINK("https://www.ncbi.nlm.nih.gov/nuccore/KP792678,KP792677,KP792676","NCBI Nucleotide")</f>
        <v>NCBI Nucleotide</v>
      </c>
    </row>
    <row r="12832" spans="1:27" x14ac:dyDescent="0.35">
      <c r="A12832">
        <v>1000451</v>
      </c>
      <c r="B12832">
        <v>12002</v>
      </c>
      <c r="C12832">
        <v>1</v>
      </c>
      <c r="D12832" s="17" t="s">
        <v>17166</v>
      </c>
      <c r="E12832" s="17"/>
      <c r="F12832" s="17" t="s">
        <v>17246</v>
      </c>
      <c r="G12832" s="17"/>
      <c r="H12832" s="17" t="s">
        <v>23950</v>
      </c>
      <c r="I12832" s="17" t="s">
        <v>26604</v>
      </c>
      <c r="J12832" s="17" t="s">
        <v>47099</v>
      </c>
      <c r="K12832" s="17"/>
      <c r="L12832" s="17" t="s">
        <v>47100</v>
      </c>
      <c r="M12832" s="17"/>
      <c r="N12832" s="17" t="s">
        <v>27392</v>
      </c>
      <c r="O12832" s="17"/>
      <c r="P12832" s="17" t="s">
        <v>27418</v>
      </c>
      <c r="Q12832" s="17"/>
      <c r="R12832" s="25" t="str">
        <f>HYPERLINK("https://ictv.global/taxonomy/taxondetails?taxnode_id=202314224","Orthobunyavirus telokense")</f>
        <v>Orthobunyavirus telokense</v>
      </c>
      <c r="S12832" s="18" t="s">
        <v>30</v>
      </c>
      <c r="T12832" s="18" t="s">
        <v>27903</v>
      </c>
      <c r="U12832" s="18" t="s">
        <v>27904</v>
      </c>
      <c r="V12832" s="18" t="s">
        <v>27905</v>
      </c>
      <c r="W12832" s="18" t="s">
        <v>50833</v>
      </c>
      <c r="X12832" s="18" t="s">
        <v>35</v>
      </c>
      <c r="Y12832" s="18" t="s">
        <v>23964</v>
      </c>
      <c r="Z12832" s="18" t="s">
        <v>10790</v>
      </c>
      <c r="AA12832" s="21" t="str">
        <f>HYPERLINK("https://www.ncbi.nlm.nih.gov/nuccore/MK896453,MK896452,MK896451","NCBI Nucleotide")</f>
        <v>NCBI Nucleotide</v>
      </c>
    </row>
    <row r="12833" spans="1:27" x14ac:dyDescent="0.35">
      <c r="A12833">
        <v>1000452</v>
      </c>
      <c r="B12833">
        <v>12003</v>
      </c>
      <c r="C12833">
        <v>1</v>
      </c>
      <c r="D12833" s="17" t="s">
        <v>17166</v>
      </c>
      <c r="E12833" s="17"/>
      <c r="F12833" s="17" t="s">
        <v>17246</v>
      </c>
      <c r="G12833" s="17"/>
      <c r="H12833" s="17" t="s">
        <v>23950</v>
      </c>
      <c r="I12833" s="17" t="s">
        <v>26604</v>
      </c>
      <c r="J12833" s="17" t="s">
        <v>47099</v>
      </c>
      <c r="K12833" s="17"/>
      <c r="L12833" s="17" t="s">
        <v>47100</v>
      </c>
      <c r="M12833" s="17"/>
      <c r="N12833" s="17" t="s">
        <v>27392</v>
      </c>
      <c r="O12833" s="17"/>
      <c r="P12833" s="17" t="s">
        <v>27418</v>
      </c>
      <c r="Q12833" s="17"/>
      <c r="R12833" s="25" t="str">
        <f>HYPERLINK("https://ictv.global/taxonomy/taxondetails?taxnode_id=202306363","Orthobunyavirus tensawense")</f>
        <v>Orthobunyavirus tensawense</v>
      </c>
      <c r="S12833" s="18" t="s">
        <v>30</v>
      </c>
      <c r="T12833" s="18" t="s">
        <v>27906</v>
      </c>
      <c r="U12833" s="18" t="s">
        <v>27907</v>
      </c>
      <c r="V12833" s="18" t="s">
        <v>27908</v>
      </c>
      <c r="W12833" s="18" t="s">
        <v>50628</v>
      </c>
      <c r="X12833" s="18" t="s">
        <v>42</v>
      </c>
      <c r="Y12833" s="18" t="s">
        <v>23964</v>
      </c>
      <c r="Z12833" s="18" t="s">
        <v>12289</v>
      </c>
      <c r="AA12833" s="21" t="str">
        <f>HYPERLINK("https://www.ncbi.nlm.nih.gov/nuccore/FJ943510,FJ943508,FJ943505","NCBI Nucleotide")</f>
        <v>NCBI Nucleotide</v>
      </c>
    </row>
    <row r="12834" spans="1:27" x14ac:dyDescent="0.35">
      <c r="A12834">
        <v>1000453</v>
      </c>
      <c r="B12834">
        <v>12004</v>
      </c>
      <c r="C12834">
        <v>1</v>
      </c>
      <c r="D12834" s="17" t="s">
        <v>17166</v>
      </c>
      <c r="E12834" s="17"/>
      <c r="F12834" s="17" t="s">
        <v>17246</v>
      </c>
      <c r="G12834" s="17"/>
      <c r="H12834" s="17" t="s">
        <v>23950</v>
      </c>
      <c r="I12834" s="17" t="s">
        <v>26604</v>
      </c>
      <c r="J12834" s="17" t="s">
        <v>47099</v>
      </c>
      <c r="K12834" s="17"/>
      <c r="L12834" s="17" t="s">
        <v>47100</v>
      </c>
      <c r="M12834" s="17"/>
      <c r="N12834" s="17" t="s">
        <v>27392</v>
      </c>
      <c r="O12834" s="17"/>
      <c r="P12834" s="17" t="s">
        <v>27418</v>
      </c>
      <c r="Q12834" s="17"/>
      <c r="R12834" s="25" t="str">
        <f>HYPERLINK("https://ictv.global/taxonomy/taxondetails?taxnode_id=202314244","Orthobunyavirus termeilense")</f>
        <v>Orthobunyavirus termeilense</v>
      </c>
      <c r="S12834" s="18" t="s">
        <v>30</v>
      </c>
      <c r="T12834" s="18" t="s">
        <v>27909</v>
      </c>
      <c r="U12834" s="18" t="s">
        <v>27910</v>
      </c>
      <c r="V12834" s="18" t="s">
        <v>27911</v>
      </c>
      <c r="W12834" s="18" t="s">
        <v>50834</v>
      </c>
      <c r="X12834" s="18" t="s">
        <v>35</v>
      </c>
      <c r="Y12834" s="18" t="s">
        <v>23964</v>
      </c>
      <c r="Z12834" s="18" t="s">
        <v>10790</v>
      </c>
      <c r="AA12834" s="21" t="str">
        <f>HYPERLINK("https://www.ncbi.nlm.nih.gov/nuccore/MK896450,MK896449,MK896448","NCBI Nucleotide")</f>
        <v>NCBI Nucleotide</v>
      </c>
    </row>
    <row r="12835" spans="1:27" x14ac:dyDescent="0.35">
      <c r="A12835">
        <v>1000454</v>
      </c>
      <c r="B12835">
        <v>12005</v>
      </c>
      <c r="C12835">
        <v>1</v>
      </c>
      <c r="D12835" s="17" t="s">
        <v>17166</v>
      </c>
      <c r="E12835" s="17"/>
      <c r="F12835" s="17" t="s">
        <v>17246</v>
      </c>
      <c r="G12835" s="17"/>
      <c r="H12835" s="17" t="s">
        <v>23950</v>
      </c>
      <c r="I12835" s="17" t="s">
        <v>26604</v>
      </c>
      <c r="J12835" s="17" t="s">
        <v>47099</v>
      </c>
      <c r="K12835" s="17"/>
      <c r="L12835" s="17" t="s">
        <v>47100</v>
      </c>
      <c r="M12835" s="17"/>
      <c r="N12835" s="17" t="s">
        <v>27392</v>
      </c>
      <c r="O12835" s="17"/>
      <c r="P12835" s="17" t="s">
        <v>27418</v>
      </c>
      <c r="Q12835" s="17"/>
      <c r="R12835" s="25" t="str">
        <f>HYPERLINK("https://ictv.global/taxonomy/taxondetails?taxnode_id=202300131","Orthobunyavirus teteense")</f>
        <v>Orthobunyavirus teteense</v>
      </c>
      <c r="S12835" s="18" t="s">
        <v>30</v>
      </c>
      <c r="T12835" s="18" t="s">
        <v>27912</v>
      </c>
      <c r="U12835" s="18" t="s">
        <v>27913</v>
      </c>
      <c r="V12835" s="18" t="s">
        <v>27914</v>
      </c>
      <c r="W12835" s="18" t="s">
        <v>50629</v>
      </c>
      <c r="X12835" s="18" t="s">
        <v>42</v>
      </c>
      <c r="Y12835" s="18" t="s">
        <v>23964</v>
      </c>
      <c r="Z12835" s="18" t="s">
        <v>12289</v>
      </c>
      <c r="AA12835" s="21" t="str">
        <f>HYPERLINK("https://www.ncbi.nlm.nih.gov/nuccore/KP792681,KP792680,KP792679","NCBI Nucleotide")</f>
        <v>NCBI Nucleotide</v>
      </c>
    </row>
    <row r="12836" spans="1:27" x14ac:dyDescent="0.35">
      <c r="A12836">
        <v>1011325</v>
      </c>
      <c r="B12836">
        <v>12005</v>
      </c>
      <c r="C12836">
        <v>2</v>
      </c>
      <c r="D12836" s="17" t="s">
        <v>17166</v>
      </c>
      <c r="E12836" s="17"/>
      <c r="F12836" s="17" t="s">
        <v>17246</v>
      </c>
      <c r="G12836" s="17"/>
      <c r="H12836" s="17" t="s">
        <v>23950</v>
      </c>
      <c r="I12836" s="17" t="s">
        <v>26604</v>
      </c>
      <c r="J12836" s="17" t="s">
        <v>47099</v>
      </c>
      <c r="K12836" s="17"/>
      <c r="L12836" s="17" t="s">
        <v>47100</v>
      </c>
      <c r="M12836" s="17"/>
      <c r="N12836" s="17" t="s">
        <v>27392</v>
      </c>
      <c r="O12836" s="17"/>
      <c r="P12836" s="17" t="s">
        <v>27418</v>
      </c>
      <c r="Q12836" s="17"/>
      <c r="R12836" s="25" t="str">
        <f>HYPERLINK("https://ictv.global/taxonomy/taxondetails?taxnode_id=202300131","Orthobunyavirus teteense")</f>
        <v>Orthobunyavirus teteense</v>
      </c>
      <c r="S12836" s="18" t="s">
        <v>8141</v>
      </c>
      <c r="T12836" s="18" t="s">
        <v>27915</v>
      </c>
      <c r="U12836" s="18" t="s">
        <v>27916</v>
      </c>
      <c r="V12836" s="18" t="s">
        <v>27917</v>
      </c>
      <c r="W12836" s="18" t="s">
        <v>49526</v>
      </c>
      <c r="X12836" s="18" t="s">
        <v>42</v>
      </c>
      <c r="Y12836" s="18" t="s">
        <v>23964</v>
      </c>
      <c r="Z12836" s="18" t="s">
        <v>12289</v>
      </c>
      <c r="AA12836" s="21" t="str">
        <f>HYPERLINK("https://www.ncbi.nlm.nih.gov/nuccore/KP792654,KP792653,KP792652","NCBI Nucleotide")</f>
        <v>NCBI Nucleotide</v>
      </c>
    </row>
    <row r="12837" spans="1:27" x14ac:dyDescent="0.35">
      <c r="A12837">
        <v>1011326</v>
      </c>
      <c r="B12837">
        <v>12005</v>
      </c>
      <c r="C12837">
        <v>3</v>
      </c>
      <c r="D12837" s="17" t="s">
        <v>17166</v>
      </c>
      <c r="E12837" s="17"/>
      <c r="F12837" s="17" t="s">
        <v>17246</v>
      </c>
      <c r="G12837" s="17"/>
      <c r="H12837" s="17" t="s">
        <v>23950</v>
      </c>
      <c r="I12837" s="17" t="s">
        <v>26604</v>
      </c>
      <c r="J12837" s="17" t="s">
        <v>47099</v>
      </c>
      <c r="K12837" s="17"/>
      <c r="L12837" s="17" t="s">
        <v>47100</v>
      </c>
      <c r="M12837" s="17"/>
      <c r="N12837" s="17" t="s">
        <v>27392</v>
      </c>
      <c r="O12837" s="17"/>
      <c r="P12837" s="17" t="s">
        <v>27418</v>
      </c>
      <c r="Q12837" s="17"/>
      <c r="R12837" s="25" t="str">
        <f>HYPERLINK("https://ictv.global/taxonomy/taxondetails?taxnode_id=202300131","Orthobunyavirus teteense")</f>
        <v>Orthobunyavirus teteense</v>
      </c>
      <c r="S12837" s="18" t="s">
        <v>8141</v>
      </c>
      <c r="T12837" s="18" t="s">
        <v>27918</v>
      </c>
      <c r="U12837" s="18" t="s">
        <v>27919</v>
      </c>
      <c r="V12837" s="18"/>
      <c r="W12837" s="18"/>
      <c r="X12837" s="18" t="s">
        <v>3311</v>
      </c>
      <c r="Y12837" s="18" t="s">
        <v>23964</v>
      </c>
      <c r="Z12837" s="18" t="s">
        <v>12289</v>
      </c>
      <c r="AA12837" s="21"/>
    </row>
    <row r="12838" spans="1:27" x14ac:dyDescent="0.35">
      <c r="A12838">
        <v>1011327</v>
      </c>
      <c r="B12838">
        <v>12005</v>
      </c>
      <c r="C12838">
        <v>4</v>
      </c>
      <c r="D12838" s="17" t="s">
        <v>17166</v>
      </c>
      <c r="E12838" s="17"/>
      <c r="F12838" s="17" t="s">
        <v>17246</v>
      </c>
      <c r="G12838" s="17"/>
      <c r="H12838" s="17" t="s">
        <v>23950</v>
      </c>
      <c r="I12838" s="17" t="s">
        <v>26604</v>
      </c>
      <c r="J12838" s="17" t="s">
        <v>47099</v>
      </c>
      <c r="K12838" s="17"/>
      <c r="L12838" s="17" t="s">
        <v>47100</v>
      </c>
      <c r="M12838" s="17"/>
      <c r="N12838" s="17" t="s">
        <v>27392</v>
      </c>
      <c r="O12838" s="17"/>
      <c r="P12838" s="17" t="s">
        <v>27418</v>
      </c>
      <c r="Q12838" s="17"/>
      <c r="R12838" s="25" t="str">
        <f>HYPERLINK("https://ictv.global/taxonomy/taxondetails?taxnode_id=202300131","Orthobunyavirus teteense")</f>
        <v>Orthobunyavirus teteense</v>
      </c>
      <c r="S12838" s="18" t="s">
        <v>8141</v>
      </c>
      <c r="T12838" s="18" t="s">
        <v>27920</v>
      </c>
      <c r="U12838" s="18" t="s">
        <v>27921</v>
      </c>
      <c r="V12838" s="18" t="s">
        <v>27922</v>
      </c>
      <c r="W12838" s="18" t="s">
        <v>49527</v>
      </c>
      <c r="X12838" s="18" t="s">
        <v>154</v>
      </c>
      <c r="Y12838" s="18" t="s">
        <v>23964</v>
      </c>
      <c r="Z12838" s="18" t="s">
        <v>12289</v>
      </c>
      <c r="AA12838" s="21" t="str">
        <f>HYPERLINK("https://www.ncbi.nlm.nih.gov/nuccore/EU409297","NCBI Nucleotide")</f>
        <v>NCBI Nucleotide</v>
      </c>
    </row>
    <row r="12839" spans="1:27" x14ac:dyDescent="0.35">
      <c r="A12839">
        <v>1000455</v>
      </c>
      <c r="B12839">
        <v>12006</v>
      </c>
      <c r="C12839">
        <v>1</v>
      </c>
      <c r="D12839" s="17" t="s">
        <v>17166</v>
      </c>
      <c r="E12839" s="17"/>
      <c r="F12839" s="17" t="s">
        <v>17246</v>
      </c>
      <c r="G12839" s="17"/>
      <c r="H12839" s="17" t="s">
        <v>23950</v>
      </c>
      <c r="I12839" s="17" t="s">
        <v>26604</v>
      </c>
      <c r="J12839" s="17" t="s">
        <v>47099</v>
      </c>
      <c r="K12839" s="17"/>
      <c r="L12839" s="17" t="s">
        <v>47100</v>
      </c>
      <c r="M12839" s="17"/>
      <c r="N12839" s="17" t="s">
        <v>27392</v>
      </c>
      <c r="O12839" s="17"/>
      <c r="P12839" s="17" t="s">
        <v>27418</v>
      </c>
      <c r="Q12839" s="17"/>
      <c r="R12839" s="25" t="str">
        <f>HYPERLINK("https://ictv.global/taxonomy/taxondetails?taxnode_id=202300132","Orthobunyavirus thimiriense")</f>
        <v>Orthobunyavirus thimiriense</v>
      </c>
      <c r="S12839" s="18" t="s">
        <v>30</v>
      </c>
      <c r="T12839" s="18" t="s">
        <v>27923</v>
      </c>
      <c r="U12839" s="18" t="s">
        <v>27924</v>
      </c>
      <c r="V12839" s="18" t="s">
        <v>27925</v>
      </c>
      <c r="W12839" s="18" t="s">
        <v>27926</v>
      </c>
      <c r="X12839" s="18" t="s">
        <v>42</v>
      </c>
      <c r="Y12839" s="18" t="s">
        <v>23964</v>
      </c>
      <c r="Z12839" s="18" t="s">
        <v>12289</v>
      </c>
      <c r="AA12839" s="21" t="str">
        <f>HYPERLINK("https://www.ncbi.nlm.nih.gov/nuccore/MH484336,MH484337,MH484338","NCBI Nucleotide")</f>
        <v>NCBI Nucleotide</v>
      </c>
    </row>
    <row r="12840" spans="1:27" x14ac:dyDescent="0.35">
      <c r="A12840">
        <v>1000456</v>
      </c>
      <c r="B12840">
        <v>12007</v>
      </c>
      <c r="C12840">
        <v>1</v>
      </c>
      <c r="D12840" s="17" t="s">
        <v>17166</v>
      </c>
      <c r="E12840" s="17"/>
      <c r="F12840" s="17" t="s">
        <v>17246</v>
      </c>
      <c r="G12840" s="17"/>
      <c r="H12840" s="17" t="s">
        <v>23950</v>
      </c>
      <c r="I12840" s="17" t="s">
        <v>26604</v>
      </c>
      <c r="J12840" s="17" t="s">
        <v>47099</v>
      </c>
      <c r="K12840" s="17"/>
      <c r="L12840" s="17" t="s">
        <v>47100</v>
      </c>
      <c r="M12840" s="17"/>
      <c r="N12840" s="17" t="s">
        <v>27392</v>
      </c>
      <c r="O12840" s="17"/>
      <c r="P12840" s="17" t="s">
        <v>27418</v>
      </c>
      <c r="Q12840" s="17"/>
      <c r="R12840" s="25" t="str">
        <f>HYPERLINK("https://ictv.global/taxonomy/taxondetails?taxnode_id=202300133","Orthobunyavirus timboteuaense")</f>
        <v>Orthobunyavirus timboteuaense</v>
      </c>
      <c r="S12840" s="18" t="s">
        <v>30</v>
      </c>
      <c r="T12840" s="18" t="s">
        <v>27927</v>
      </c>
      <c r="U12840" s="18" t="s">
        <v>20576</v>
      </c>
      <c r="V12840" s="18"/>
      <c r="W12840" s="18" t="s">
        <v>50835</v>
      </c>
      <c r="X12840" s="18" t="s">
        <v>42</v>
      </c>
      <c r="Y12840" s="18" t="s">
        <v>23964</v>
      </c>
      <c r="Z12840" s="18" t="s">
        <v>12289</v>
      </c>
      <c r="AA12840" s="21" t="str">
        <f>HYPERLINK("https://www.ncbi.nlm.nih.gov/nuccore/MK896447,MK896446,MK896445","NCBI Nucleotide")</f>
        <v>NCBI Nucleotide</v>
      </c>
    </row>
    <row r="12841" spans="1:27" x14ac:dyDescent="0.35">
      <c r="A12841">
        <v>1000457</v>
      </c>
      <c r="B12841">
        <v>12008</v>
      </c>
      <c r="C12841">
        <v>1</v>
      </c>
      <c r="D12841" s="17" t="s">
        <v>17166</v>
      </c>
      <c r="E12841" s="17"/>
      <c r="F12841" s="17" t="s">
        <v>17246</v>
      </c>
      <c r="G12841" s="17"/>
      <c r="H12841" s="17" t="s">
        <v>23950</v>
      </c>
      <c r="I12841" s="17" t="s">
        <v>26604</v>
      </c>
      <c r="J12841" s="17" t="s">
        <v>47099</v>
      </c>
      <c r="K12841" s="17"/>
      <c r="L12841" s="17" t="s">
        <v>47100</v>
      </c>
      <c r="M12841" s="17"/>
      <c r="N12841" s="17" t="s">
        <v>27392</v>
      </c>
      <c r="O12841" s="17"/>
      <c r="P12841" s="17" t="s">
        <v>27418</v>
      </c>
      <c r="Q12841" s="17"/>
      <c r="R12841" s="25" t="str">
        <f>HYPERLINK("https://ictv.global/taxonomy/taxondetails?taxnode_id=202309330","Orthobunyavirus trinitiense")</f>
        <v>Orthobunyavirus trinitiense</v>
      </c>
      <c r="S12841" s="18" t="s">
        <v>30</v>
      </c>
      <c r="T12841" s="18" t="s">
        <v>27928</v>
      </c>
      <c r="U12841" s="18" t="s">
        <v>27929</v>
      </c>
      <c r="V12841" s="18" t="s">
        <v>27930</v>
      </c>
      <c r="W12841" s="18" t="s">
        <v>27931</v>
      </c>
      <c r="X12841" s="18" t="s">
        <v>42</v>
      </c>
      <c r="Y12841" s="18" t="s">
        <v>23964</v>
      </c>
      <c r="Z12841" s="18" t="s">
        <v>10790</v>
      </c>
      <c r="AA12841" s="21" t="str">
        <f>HYPERLINK("https://www.ncbi.nlm.nih.gov/nuccore/MG792213,MG792214,MG792215","NCBI Nucleotide")</f>
        <v>NCBI Nucleotide</v>
      </c>
    </row>
    <row r="12842" spans="1:27" x14ac:dyDescent="0.35">
      <c r="A12842">
        <v>1000458</v>
      </c>
      <c r="B12842">
        <v>12009</v>
      </c>
      <c r="C12842">
        <v>1</v>
      </c>
      <c r="D12842" s="17" t="s">
        <v>17166</v>
      </c>
      <c r="E12842" s="17"/>
      <c r="F12842" s="17" t="s">
        <v>17246</v>
      </c>
      <c r="G12842" s="17"/>
      <c r="H12842" s="17" t="s">
        <v>23950</v>
      </c>
      <c r="I12842" s="17" t="s">
        <v>26604</v>
      </c>
      <c r="J12842" s="17" t="s">
        <v>47099</v>
      </c>
      <c r="K12842" s="17"/>
      <c r="L12842" s="17" t="s">
        <v>47100</v>
      </c>
      <c r="M12842" s="17"/>
      <c r="N12842" s="17" t="s">
        <v>27392</v>
      </c>
      <c r="O12842" s="17"/>
      <c r="P12842" s="17" t="s">
        <v>27418</v>
      </c>
      <c r="Q12842" s="17"/>
      <c r="R12842" s="25" t="str">
        <f>HYPERLINK("https://ictv.global/taxonomy/taxondetails?taxnode_id=202300134","Orthobunyavirus turlockense")</f>
        <v>Orthobunyavirus turlockense</v>
      </c>
      <c r="S12842" s="18" t="s">
        <v>30</v>
      </c>
      <c r="T12842" s="18" t="s">
        <v>27932</v>
      </c>
      <c r="U12842" s="18" t="s">
        <v>27933</v>
      </c>
      <c r="V12842" s="18" t="s">
        <v>27934</v>
      </c>
      <c r="W12842" s="18" t="s">
        <v>50836</v>
      </c>
      <c r="X12842" s="18" t="s">
        <v>42</v>
      </c>
      <c r="Y12842" s="18" t="s">
        <v>23964</v>
      </c>
      <c r="Z12842" s="18" t="s">
        <v>12289</v>
      </c>
      <c r="AA12842" s="21" t="str">
        <f>HYPERLINK("https://www.ncbi.nlm.nih.gov/nuccore/MK896444,MK896443,MK896442","NCBI Nucleotide")</f>
        <v>NCBI Nucleotide</v>
      </c>
    </row>
    <row r="12843" spans="1:27" x14ac:dyDescent="0.35">
      <c r="A12843">
        <v>1000459</v>
      </c>
      <c r="B12843">
        <v>12010</v>
      </c>
      <c r="C12843">
        <v>1</v>
      </c>
      <c r="D12843" s="17" t="s">
        <v>17166</v>
      </c>
      <c r="E12843" s="17"/>
      <c r="F12843" s="17" t="s">
        <v>17246</v>
      </c>
      <c r="G12843" s="17"/>
      <c r="H12843" s="17" t="s">
        <v>23950</v>
      </c>
      <c r="I12843" s="17" t="s">
        <v>26604</v>
      </c>
      <c r="J12843" s="17" t="s">
        <v>47099</v>
      </c>
      <c r="K12843" s="17"/>
      <c r="L12843" s="17" t="s">
        <v>47100</v>
      </c>
      <c r="M12843" s="17"/>
      <c r="N12843" s="17" t="s">
        <v>27392</v>
      </c>
      <c r="O12843" s="17"/>
      <c r="P12843" s="17" t="s">
        <v>27418</v>
      </c>
      <c r="Q12843" s="17"/>
      <c r="R12843" s="25" t="str">
        <f>HYPERLINK("https://ictv.global/taxonomy/taxondetails?taxnode_id=202314234","Orthobunyavirus umbreense")</f>
        <v>Orthobunyavirus umbreense</v>
      </c>
      <c r="S12843" s="18" t="s">
        <v>30</v>
      </c>
      <c r="T12843" s="18" t="s">
        <v>27935</v>
      </c>
      <c r="U12843" s="18" t="s">
        <v>27936</v>
      </c>
      <c r="V12843" s="18" t="s">
        <v>27937</v>
      </c>
      <c r="W12843" s="18" t="s">
        <v>27938</v>
      </c>
      <c r="X12843" s="18" t="s">
        <v>35</v>
      </c>
      <c r="Y12843" s="18" t="s">
        <v>23964</v>
      </c>
      <c r="Z12843" s="18" t="s">
        <v>12289</v>
      </c>
      <c r="AA12843" s="21" t="str">
        <f>HYPERLINK("https://www.ncbi.nlm.nih.gov/nuccore/MK330169,MK330170,MK330171","NCBI Nucleotide")</f>
        <v>NCBI Nucleotide</v>
      </c>
    </row>
    <row r="12844" spans="1:27" x14ac:dyDescent="0.35">
      <c r="A12844">
        <v>1000460</v>
      </c>
      <c r="B12844">
        <v>12011</v>
      </c>
      <c r="C12844">
        <v>1</v>
      </c>
      <c r="D12844" s="17" t="s">
        <v>17166</v>
      </c>
      <c r="E12844" s="17"/>
      <c r="F12844" s="17" t="s">
        <v>17246</v>
      </c>
      <c r="G12844" s="17"/>
      <c r="H12844" s="17" t="s">
        <v>23950</v>
      </c>
      <c r="I12844" s="17" t="s">
        <v>26604</v>
      </c>
      <c r="J12844" s="17" t="s">
        <v>47099</v>
      </c>
      <c r="K12844" s="17"/>
      <c r="L12844" s="17" t="s">
        <v>47100</v>
      </c>
      <c r="M12844" s="17"/>
      <c r="N12844" s="17" t="s">
        <v>27392</v>
      </c>
      <c r="O12844" s="17"/>
      <c r="P12844" s="17" t="s">
        <v>27418</v>
      </c>
      <c r="Q12844" s="17"/>
      <c r="R12844" s="25" t="str">
        <f>HYPERLINK("https://ictv.global/taxonomy/taxondetails?taxnode_id=202306379","Orthobunyavirus utingaense")</f>
        <v>Orthobunyavirus utingaense</v>
      </c>
      <c r="S12844" s="18" t="s">
        <v>30</v>
      </c>
      <c r="T12844" s="18" t="s">
        <v>27939</v>
      </c>
      <c r="U12844" s="18" t="s">
        <v>27940</v>
      </c>
      <c r="V12844" s="18" t="s">
        <v>27941</v>
      </c>
      <c r="W12844" s="18" t="s">
        <v>27942</v>
      </c>
      <c r="X12844" s="18" t="s">
        <v>42</v>
      </c>
      <c r="Y12844" s="18" t="s">
        <v>23964</v>
      </c>
      <c r="Z12844" s="18" t="s">
        <v>12289</v>
      </c>
      <c r="AA12844" s="21" t="str">
        <f>HYPERLINK("https://www.ncbi.nlm.nih.gov/nuccore/KF697154,KF697155,KF697156","NCBI Nucleotide")</f>
        <v>NCBI Nucleotide</v>
      </c>
    </row>
    <row r="12845" spans="1:27" x14ac:dyDescent="0.35">
      <c r="A12845">
        <v>1000461</v>
      </c>
      <c r="B12845">
        <v>12012</v>
      </c>
      <c r="C12845">
        <v>1</v>
      </c>
      <c r="D12845" s="17" t="s">
        <v>17166</v>
      </c>
      <c r="E12845" s="17"/>
      <c r="F12845" s="17" t="s">
        <v>17246</v>
      </c>
      <c r="G12845" s="17"/>
      <c r="H12845" s="17" t="s">
        <v>23950</v>
      </c>
      <c r="I12845" s="17" t="s">
        <v>26604</v>
      </c>
      <c r="J12845" s="17" t="s">
        <v>47099</v>
      </c>
      <c r="K12845" s="17"/>
      <c r="L12845" s="17" t="s">
        <v>47100</v>
      </c>
      <c r="M12845" s="17"/>
      <c r="N12845" s="17" t="s">
        <v>27392</v>
      </c>
      <c r="O12845" s="17"/>
      <c r="P12845" s="17" t="s">
        <v>27418</v>
      </c>
      <c r="Q12845" s="17"/>
      <c r="R12845" s="25" t="str">
        <f>HYPERLINK("https://ictv.global/taxonomy/taxondetails?taxnode_id=202306599","Orthobunyavirus witwatersrandense")</f>
        <v>Orthobunyavirus witwatersrandense</v>
      </c>
      <c r="S12845" s="18" t="s">
        <v>30</v>
      </c>
      <c r="T12845" s="18" t="s">
        <v>27943</v>
      </c>
      <c r="U12845" s="18" t="s">
        <v>27944</v>
      </c>
      <c r="V12845" s="18" t="s">
        <v>27945</v>
      </c>
      <c r="W12845" s="18" t="s">
        <v>50630</v>
      </c>
      <c r="X12845" s="18" t="s">
        <v>42</v>
      </c>
      <c r="Y12845" s="18" t="s">
        <v>23964</v>
      </c>
      <c r="Z12845" s="18" t="s">
        <v>12289</v>
      </c>
      <c r="AA12845" s="21" t="str">
        <f>HYPERLINK("https://www.ncbi.nlm.nih.gov/nuccore/KP792690,KP792689,KP792688","NCBI Nucleotide")</f>
        <v>NCBI Nucleotide</v>
      </c>
    </row>
    <row r="12846" spans="1:27" x14ac:dyDescent="0.35">
      <c r="A12846">
        <v>1000462</v>
      </c>
      <c r="B12846">
        <v>12013</v>
      </c>
      <c r="C12846">
        <v>1</v>
      </c>
      <c r="D12846" s="17" t="s">
        <v>17166</v>
      </c>
      <c r="E12846" s="17"/>
      <c r="F12846" s="17" t="s">
        <v>17246</v>
      </c>
      <c r="G12846" s="17"/>
      <c r="H12846" s="17" t="s">
        <v>23950</v>
      </c>
      <c r="I12846" s="17" t="s">
        <v>26604</v>
      </c>
      <c r="J12846" s="17" t="s">
        <v>47099</v>
      </c>
      <c r="K12846" s="17"/>
      <c r="L12846" s="17" t="s">
        <v>47100</v>
      </c>
      <c r="M12846" s="17"/>
      <c r="N12846" s="17" t="s">
        <v>27392</v>
      </c>
      <c r="O12846" s="17"/>
      <c r="P12846" s="17" t="s">
        <v>27418</v>
      </c>
      <c r="Q12846" s="17"/>
      <c r="R12846" s="25" t="str">
        <f>HYPERLINK("https://ictv.global/taxonomy/taxondetails?taxnode_id=202305464","Orthobunyavirus wolkbergense")</f>
        <v>Orthobunyavirus wolkbergense</v>
      </c>
      <c r="S12846" s="18" t="s">
        <v>30</v>
      </c>
      <c r="T12846" s="18" t="s">
        <v>27946</v>
      </c>
      <c r="U12846" s="18" t="s">
        <v>27947</v>
      </c>
      <c r="V12846" s="18" t="s">
        <v>27948</v>
      </c>
      <c r="W12846" s="18" t="s">
        <v>27949</v>
      </c>
      <c r="X12846" s="18" t="s">
        <v>42</v>
      </c>
      <c r="Y12846" s="18" t="s">
        <v>23964</v>
      </c>
      <c r="Z12846" s="18" t="s">
        <v>10790</v>
      </c>
      <c r="AA12846" s="21" t="str">
        <f>HYPERLINK("https://www.ncbi.nlm.nih.gov/nuccore/KX470551,KX470552,KX470553","NCBI Nucleotide")</f>
        <v>NCBI Nucleotide</v>
      </c>
    </row>
    <row r="12847" spans="1:27" x14ac:dyDescent="0.35">
      <c r="A12847">
        <v>1000463</v>
      </c>
      <c r="B12847">
        <v>12014</v>
      </c>
      <c r="C12847">
        <v>1</v>
      </c>
      <c r="D12847" s="17" t="s">
        <v>17166</v>
      </c>
      <c r="E12847" s="17"/>
      <c r="F12847" s="17" t="s">
        <v>17246</v>
      </c>
      <c r="G12847" s="17"/>
      <c r="H12847" s="17" t="s">
        <v>23950</v>
      </c>
      <c r="I12847" s="17" t="s">
        <v>26604</v>
      </c>
      <c r="J12847" s="17" t="s">
        <v>47099</v>
      </c>
      <c r="K12847" s="17"/>
      <c r="L12847" s="17" t="s">
        <v>47100</v>
      </c>
      <c r="M12847" s="17"/>
      <c r="N12847" s="17" t="s">
        <v>27392</v>
      </c>
      <c r="O12847" s="17"/>
      <c r="P12847" s="17" t="s">
        <v>27418</v>
      </c>
      <c r="Q12847" s="17"/>
      <c r="R12847" s="25" t="str">
        <f>HYPERLINK("https://ictv.global/taxonomy/taxondetails?taxnode_id=202300135","Orthobunyavirus wyeomyiae")</f>
        <v>Orthobunyavirus wyeomyiae</v>
      </c>
      <c r="S12847" s="18" t="s">
        <v>30</v>
      </c>
      <c r="T12847" s="18" t="s">
        <v>27950</v>
      </c>
      <c r="U12847" s="18" t="s">
        <v>27951</v>
      </c>
      <c r="V12847" s="18" t="s">
        <v>27504</v>
      </c>
      <c r="W12847" s="18" t="s">
        <v>27952</v>
      </c>
      <c r="X12847" s="18" t="s">
        <v>42</v>
      </c>
      <c r="Y12847" s="18" t="s">
        <v>23964</v>
      </c>
      <c r="Z12847" s="18" t="s">
        <v>12289</v>
      </c>
      <c r="AA12847" s="21" t="str">
        <f>HYPERLINK("https://www.ncbi.nlm.nih.gov/nuccore/JN572080,JN572081,JN572082","NCBI Nucleotide")</f>
        <v>NCBI Nucleotide</v>
      </c>
    </row>
    <row r="12848" spans="1:27" x14ac:dyDescent="0.35">
      <c r="A12848">
        <v>1011330</v>
      </c>
      <c r="B12848">
        <v>12014</v>
      </c>
      <c r="C12848">
        <v>2</v>
      </c>
      <c r="D12848" s="17" t="s">
        <v>17166</v>
      </c>
      <c r="E12848" s="17"/>
      <c r="F12848" s="17" t="s">
        <v>17246</v>
      </c>
      <c r="G12848" s="17"/>
      <c r="H12848" s="17" t="s">
        <v>23950</v>
      </c>
      <c r="I12848" s="17" t="s">
        <v>26604</v>
      </c>
      <c r="J12848" s="17" t="s">
        <v>47099</v>
      </c>
      <c r="K12848" s="17"/>
      <c r="L12848" s="17" t="s">
        <v>47100</v>
      </c>
      <c r="M12848" s="17"/>
      <c r="N12848" s="17" t="s">
        <v>27392</v>
      </c>
      <c r="O12848" s="17"/>
      <c r="P12848" s="17" t="s">
        <v>27418</v>
      </c>
      <c r="Q12848" s="17"/>
      <c r="R12848" s="25" t="str">
        <f>HYPERLINK("https://ictv.global/taxonomy/taxondetails?taxnode_id=202300135","Orthobunyavirus wyeomyiae")</f>
        <v>Orthobunyavirus wyeomyiae</v>
      </c>
      <c r="S12848" s="18" t="s">
        <v>8141</v>
      </c>
      <c r="T12848" s="18" t="s">
        <v>28005</v>
      </c>
      <c r="U12848" s="18"/>
      <c r="V12848" s="18"/>
      <c r="W12848" s="18"/>
      <c r="X12848" s="18" t="s">
        <v>3311</v>
      </c>
      <c r="Y12848" s="18" t="s">
        <v>23964</v>
      </c>
      <c r="Z12848" s="18" t="s">
        <v>12289</v>
      </c>
      <c r="AA12848" s="21"/>
    </row>
    <row r="12849" spans="1:27" x14ac:dyDescent="0.35">
      <c r="A12849">
        <v>1011328</v>
      </c>
      <c r="B12849">
        <v>12014</v>
      </c>
      <c r="C12849">
        <v>3</v>
      </c>
      <c r="D12849" s="17" t="s">
        <v>17166</v>
      </c>
      <c r="E12849" s="17"/>
      <c r="F12849" s="17" t="s">
        <v>17246</v>
      </c>
      <c r="G12849" s="17"/>
      <c r="H12849" s="17" t="s">
        <v>23950</v>
      </c>
      <c r="I12849" s="17" t="s">
        <v>26604</v>
      </c>
      <c r="J12849" s="17" t="s">
        <v>47099</v>
      </c>
      <c r="K12849" s="17"/>
      <c r="L12849" s="17" t="s">
        <v>47100</v>
      </c>
      <c r="M12849" s="17"/>
      <c r="N12849" s="17" t="s">
        <v>27392</v>
      </c>
      <c r="O12849" s="17"/>
      <c r="P12849" s="17" t="s">
        <v>27418</v>
      </c>
      <c r="Q12849" s="17"/>
      <c r="R12849" s="25" t="str">
        <f>HYPERLINK("https://ictv.global/taxonomy/taxondetails?taxnode_id=202300135","Orthobunyavirus wyeomyiae")</f>
        <v>Orthobunyavirus wyeomyiae</v>
      </c>
      <c r="S12849" s="18" t="s">
        <v>8141</v>
      </c>
      <c r="T12849" s="18" t="s">
        <v>27953</v>
      </c>
      <c r="U12849" s="18" t="s">
        <v>27954</v>
      </c>
      <c r="V12849" s="18" t="s">
        <v>27955</v>
      </c>
      <c r="W12849" s="18" t="s">
        <v>49528</v>
      </c>
      <c r="X12849" s="18" t="s">
        <v>42</v>
      </c>
      <c r="Y12849" s="18" t="s">
        <v>23964</v>
      </c>
      <c r="Z12849" s="18" t="s">
        <v>12289</v>
      </c>
      <c r="AA12849" s="21" t="str">
        <f>HYPERLINK("https://www.ncbi.nlm.nih.gov/nuccore/JN572074,JN572075,JN572076","NCBI Nucleotide")</f>
        <v>NCBI Nucleotide</v>
      </c>
    </row>
    <row r="12850" spans="1:27" x14ac:dyDescent="0.35">
      <c r="A12850">
        <v>1011329</v>
      </c>
      <c r="B12850">
        <v>12014</v>
      </c>
      <c r="C12850">
        <v>4</v>
      </c>
      <c r="D12850" s="17" t="s">
        <v>17166</v>
      </c>
      <c r="E12850" s="17"/>
      <c r="F12850" s="17" t="s">
        <v>17246</v>
      </c>
      <c r="G12850" s="17"/>
      <c r="H12850" s="17" t="s">
        <v>23950</v>
      </c>
      <c r="I12850" s="17" t="s">
        <v>26604</v>
      </c>
      <c r="J12850" s="17" t="s">
        <v>47099</v>
      </c>
      <c r="K12850" s="17"/>
      <c r="L12850" s="17" t="s">
        <v>47100</v>
      </c>
      <c r="M12850" s="17"/>
      <c r="N12850" s="17" t="s">
        <v>27392</v>
      </c>
      <c r="O12850" s="17"/>
      <c r="P12850" s="17" t="s">
        <v>27418</v>
      </c>
      <c r="Q12850" s="17"/>
      <c r="R12850" s="25" t="str">
        <f>HYPERLINK("https://ictv.global/taxonomy/taxondetails?taxnode_id=202300135","Orthobunyavirus wyeomyiae")</f>
        <v>Orthobunyavirus wyeomyiae</v>
      </c>
      <c r="S12850" s="18" t="s">
        <v>8141</v>
      </c>
      <c r="T12850" s="18" t="s">
        <v>27956</v>
      </c>
      <c r="U12850" s="18" t="s">
        <v>27957</v>
      </c>
      <c r="V12850" s="18" t="s">
        <v>27958</v>
      </c>
      <c r="W12850" s="18" t="s">
        <v>49529</v>
      </c>
      <c r="X12850" s="18" t="s">
        <v>42</v>
      </c>
      <c r="Y12850" s="18" t="s">
        <v>23964</v>
      </c>
      <c r="Z12850" s="18" t="s">
        <v>12289</v>
      </c>
      <c r="AA12850" s="21" t="str">
        <f>HYPERLINK("https://www.ncbi.nlm.nih.gov/nuccore/KX579499,KX579500,KX579501","NCBI Nucleotide")</f>
        <v>NCBI Nucleotide</v>
      </c>
    </row>
    <row r="12851" spans="1:27" x14ac:dyDescent="0.35">
      <c r="A12851">
        <v>1027703</v>
      </c>
      <c r="B12851">
        <v>12015</v>
      </c>
      <c r="C12851">
        <v>1</v>
      </c>
      <c r="D12851" s="17" t="s">
        <v>17166</v>
      </c>
      <c r="E12851" s="17"/>
      <c r="F12851" s="17" t="s">
        <v>17246</v>
      </c>
      <c r="G12851" s="17"/>
      <c r="H12851" s="17" t="s">
        <v>23950</v>
      </c>
      <c r="I12851" s="17" t="s">
        <v>26604</v>
      </c>
      <c r="J12851" s="17" t="s">
        <v>47099</v>
      </c>
      <c r="K12851" s="17"/>
      <c r="L12851" s="17" t="s">
        <v>47100</v>
      </c>
      <c r="M12851" s="17"/>
      <c r="N12851" s="17" t="s">
        <v>27392</v>
      </c>
      <c r="O12851" s="17"/>
      <c r="P12851" s="17" t="s">
        <v>27418</v>
      </c>
      <c r="Q12851" s="17"/>
      <c r="R12851" s="25" t="str">
        <f>HYPERLINK("https://ictv.global/taxonomy/taxondetails?taxnode_id=202319067","Orthobunyavirus yacaabaense")</f>
        <v>Orthobunyavirus yacaabaense</v>
      </c>
      <c r="S12851" s="18" t="s">
        <v>30</v>
      </c>
      <c r="T12851" s="18" t="s">
        <v>47171</v>
      </c>
      <c r="U12851" s="18" t="s">
        <v>47172</v>
      </c>
      <c r="V12851" s="18" t="s">
        <v>47173</v>
      </c>
      <c r="W12851" s="18" t="s">
        <v>47174</v>
      </c>
      <c r="X12851" s="18" t="s">
        <v>35</v>
      </c>
      <c r="Y12851" s="18" t="s">
        <v>23964</v>
      </c>
      <c r="Z12851" s="18" t="s">
        <v>12289</v>
      </c>
      <c r="AA12851" s="21" t="str">
        <f>HYPERLINK("https://www.ncbi.nlm.nih.gov/nuccore/OR077288,OR077289,OR077290","NCBI Nucleotide")</f>
        <v>NCBI Nucleotide</v>
      </c>
    </row>
    <row r="12852" spans="1:27" x14ac:dyDescent="0.35">
      <c r="A12852">
        <v>1000464</v>
      </c>
      <c r="B12852">
        <v>12016</v>
      </c>
      <c r="C12852">
        <v>1</v>
      </c>
      <c r="D12852" s="17" t="s">
        <v>17166</v>
      </c>
      <c r="E12852" s="17"/>
      <c r="F12852" s="17" t="s">
        <v>17246</v>
      </c>
      <c r="G12852" s="17"/>
      <c r="H12852" s="17" t="s">
        <v>23950</v>
      </c>
      <c r="I12852" s="17" t="s">
        <v>26604</v>
      </c>
      <c r="J12852" s="17" t="s">
        <v>47099</v>
      </c>
      <c r="K12852" s="17"/>
      <c r="L12852" s="17" t="s">
        <v>47100</v>
      </c>
      <c r="M12852" s="17"/>
      <c r="N12852" s="17" t="s">
        <v>27392</v>
      </c>
      <c r="O12852" s="17"/>
      <c r="P12852" s="17" t="s">
        <v>28006</v>
      </c>
      <c r="Q12852" s="17"/>
      <c r="R12852" s="25" t="str">
        <f>HYPERLINK("https://ictv.global/taxonomy/taxondetails?taxnode_id=202307517","Pacuvirus caimitoense")</f>
        <v>Pacuvirus caimitoense</v>
      </c>
      <c r="S12852" s="18" t="s">
        <v>30</v>
      </c>
      <c r="T12852" s="18" t="s">
        <v>28007</v>
      </c>
      <c r="U12852" s="18" t="s">
        <v>28008</v>
      </c>
      <c r="V12852" s="18" t="s">
        <v>28009</v>
      </c>
      <c r="W12852" s="18" t="s">
        <v>28010</v>
      </c>
      <c r="X12852" s="18" t="s">
        <v>42</v>
      </c>
      <c r="Y12852" s="18" t="s">
        <v>23964</v>
      </c>
      <c r="Z12852" s="18" t="s">
        <v>12289</v>
      </c>
      <c r="AA12852" s="21" t="str">
        <f>HYPERLINK("https://www.ncbi.nlm.nih.gov/nuccore/MK330759,MK330760,MK330761","NCBI Nucleotide")</f>
        <v>NCBI Nucleotide</v>
      </c>
    </row>
    <row r="12853" spans="1:27" x14ac:dyDescent="0.35">
      <c r="A12853">
        <v>1000465</v>
      </c>
      <c r="B12853">
        <v>12017</v>
      </c>
      <c r="C12853">
        <v>1</v>
      </c>
      <c r="D12853" s="17" t="s">
        <v>17166</v>
      </c>
      <c r="E12853" s="17"/>
      <c r="F12853" s="17" t="s">
        <v>17246</v>
      </c>
      <c r="G12853" s="17"/>
      <c r="H12853" s="17" t="s">
        <v>23950</v>
      </c>
      <c r="I12853" s="17" t="s">
        <v>26604</v>
      </c>
      <c r="J12853" s="17" t="s">
        <v>47099</v>
      </c>
      <c r="K12853" s="17"/>
      <c r="L12853" s="17" t="s">
        <v>47100</v>
      </c>
      <c r="M12853" s="17"/>
      <c r="N12853" s="17" t="s">
        <v>27392</v>
      </c>
      <c r="O12853" s="17"/>
      <c r="P12853" s="17" t="s">
        <v>28006</v>
      </c>
      <c r="Q12853" s="17"/>
      <c r="R12853" s="25" t="str">
        <f>HYPERLINK("https://ictv.global/taxonomy/taxondetails?taxnode_id=202300160","Pacuvirus chilibreense")</f>
        <v>Pacuvirus chilibreense</v>
      </c>
      <c r="S12853" s="18" t="s">
        <v>30</v>
      </c>
      <c r="T12853" s="18" t="s">
        <v>28011</v>
      </c>
      <c r="U12853" s="18" t="s">
        <v>28012</v>
      </c>
      <c r="V12853" s="18" t="s">
        <v>28013</v>
      </c>
      <c r="W12853" s="18" t="s">
        <v>28014</v>
      </c>
      <c r="X12853" s="18" t="s">
        <v>42</v>
      </c>
      <c r="Y12853" s="18" t="s">
        <v>23964</v>
      </c>
      <c r="Z12853" s="18" t="s">
        <v>12289</v>
      </c>
      <c r="AA12853" s="21" t="str">
        <f>HYPERLINK("https://www.ncbi.nlm.nih.gov/nuccore/MK330762,MK330763,MK330764","NCBI Nucleotide")</f>
        <v>NCBI Nucleotide</v>
      </c>
    </row>
    <row r="12854" spans="1:27" x14ac:dyDescent="0.35">
      <c r="A12854">
        <v>1000466</v>
      </c>
      <c r="B12854">
        <v>12018</v>
      </c>
      <c r="C12854">
        <v>1</v>
      </c>
      <c r="D12854" s="17" t="s">
        <v>17166</v>
      </c>
      <c r="E12854" s="17"/>
      <c r="F12854" s="17" t="s">
        <v>17246</v>
      </c>
      <c r="G12854" s="17"/>
      <c r="H12854" s="17" t="s">
        <v>23950</v>
      </c>
      <c r="I12854" s="17" t="s">
        <v>26604</v>
      </c>
      <c r="J12854" s="17" t="s">
        <v>47099</v>
      </c>
      <c r="K12854" s="17"/>
      <c r="L12854" s="17" t="s">
        <v>47100</v>
      </c>
      <c r="M12854" s="17"/>
      <c r="N12854" s="17" t="s">
        <v>27392</v>
      </c>
      <c r="O12854" s="17"/>
      <c r="P12854" s="17" t="s">
        <v>28006</v>
      </c>
      <c r="Q12854" s="17"/>
      <c r="R12854" s="25" t="str">
        <f>HYPERLINK("https://ictv.global/taxonomy/taxondetails?taxnode_id=202306602","Pacuvirus evaense")</f>
        <v>Pacuvirus evaense</v>
      </c>
      <c r="S12854" s="18" t="s">
        <v>30</v>
      </c>
      <c r="T12854" s="18" t="s">
        <v>28015</v>
      </c>
      <c r="U12854" s="18" t="s">
        <v>28016</v>
      </c>
      <c r="V12854" s="18" t="s">
        <v>28017</v>
      </c>
      <c r="W12854" s="18" t="s">
        <v>28018</v>
      </c>
      <c r="X12854" s="18" t="s">
        <v>42</v>
      </c>
      <c r="Y12854" s="18" t="s">
        <v>23964</v>
      </c>
      <c r="Z12854" s="18" t="s">
        <v>12289</v>
      </c>
      <c r="AA12854" s="21" t="str">
        <f>HYPERLINK("https://www.ncbi.nlm.nih.gov/nuccore/KM225257,KM225258,KM225259","NCBI Nucleotide")</f>
        <v>NCBI Nucleotide</v>
      </c>
    </row>
    <row r="12855" spans="1:27" x14ac:dyDescent="0.35">
      <c r="A12855">
        <v>1000467</v>
      </c>
      <c r="B12855">
        <v>12019</v>
      </c>
      <c r="C12855">
        <v>1</v>
      </c>
      <c r="D12855" s="17" t="s">
        <v>17166</v>
      </c>
      <c r="E12855" s="17"/>
      <c r="F12855" s="17" t="s">
        <v>17246</v>
      </c>
      <c r="G12855" s="17"/>
      <c r="H12855" s="17" t="s">
        <v>23950</v>
      </c>
      <c r="I12855" s="17" t="s">
        <v>26604</v>
      </c>
      <c r="J12855" s="17" t="s">
        <v>47099</v>
      </c>
      <c r="K12855" s="17"/>
      <c r="L12855" s="17" t="s">
        <v>47100</v>
      </c>
      <c r="M12855" s="17"/>
      <c r="N12855" s="17" t="s">
        <v>27392</v>
      </c>
      <c r="O12855" s="17"/>
      <c r="P12855" s="17" t="s">
        <v>28006</v>
      </c>
      <c r="Q12855" s="17"/>
      <c r="R12855" s="25" t="str">
        <f>HYPERLINK("https://ictv.global/taxonomy/taxondetails?taxnode_id=202306601","Pacuvirus pacuiense")</f>
        <v>Pacuvirus pacuiense</v>
      </c>
      <c r="S12855" s="18" t="s">
        <v>30</v>
      </c>
      <c r="T12855" s="18" t="s">
        <v>28019</v>
      </c>
      <c r="U12855" s="18" t="s">
        <v>28020</v>
      </c>
      <c r="V12855" s="18" t="s">
        <v>28021</v>
      </c>
      <c r="W12855" s="18" t="s">
        <v>28022</v>
      </c>
      <c r="X12855" s="18" t="s">
        <v>42</v>
      </c>
      <c r="Y12855" s="18" t="s">
        <v>23964</v>
      </c>
      <c r="Z12855" s="18" t="s">
        <v>12289</v>
      </c>
      <c r="AA12855" s="21" t="str">
        <f>HYPERLINK("https://www.ncbi.nlm.nih.gov/nuccore/KM225254,KM225255,KM225256","NCBI Nucleotide")</f>
        <v>NCBI Nucleotide</v>
      </c>
    </row>
    <row r="12856" spans="1:27" x14ac:dyDescent="0.35">
      <c r="A12856">
        <v>1000468</v>
      </c>
      <c r="B12856">
        <v>12020</v>
      </c>
      <c r="C12856">
        <v>1</v>
      </c>
      <c r="D12856" s="17" t="s">
        <v>17166</v>
      </c>
      <c r="E12856" s="17"/>
      <c r="F12856" s="17" t="s">
        <v>17246</v>
      </c>
      <c r="G12856" s="17"/>
      <c r="H12856" s="17" t="s">
        <v>23950</v>
      </c>
      <c r="I12856" s="17" t="s">
        <v>26604</v>
      </c>
      <c r="J12856" s="17" t="s">
        <v>47099</v>
      </c>
      <c r="K12856" s="17"/>
      <c r="L12856" s="17" t="s">
        <v>47100</v>
      </c>
      <c r="M12856" s="17"/>
      <c r="N12856" s="17" t="s">
        <v>27392</v>
      </c>
      <c r="O12856" s="17"/>
      <c r="P12856" s="17" t="s">
        <v>28006</v>
      </c>
      <c r="Q12856" s="17"/>
      <c r="R12856" s="25" t="str">
        <f>HYPERLINK("https://ictv.global/taxonomy/taxondetails?taxnode_id=202306603","Pacuvirus tapirapeense")</f>
        <v>Pacuvirus tapirapeense</v>
      </c>
      <c r="S12856" s="18" t="s">
        <v>30</v>
      </c>
      <c r="T12856" s="18" t="s">
        <v>28023</v>
      </c>
      <c r="U12856" s="18" t="s">
        <v>24421</v>
      </c>
      <c r="V12856" s="18" t="s">
        <v>28024</v>
      </c>
      <c r="W12856" s="18" t="s">
        <v>28025</v>
      </c>
      <c r="X12856" s="18" t="s">
        <v>42</v>
      </c>
      <c r="Y12856" s="18" t="s">
        <v>23964</v>
      </c>
      <c r="Z12856" s="18" t="s">
        <v>12289</v>
      </c>
      <c r="AA12856" s="21" t="str">
        <f>HYPERLINK("https://www.ncbi.nlm.nih.gov/nuccore/KM225260,KM225261,KM225262","NCBI Nucleotide")</f>
        <v>NCBI Nucleotide</v>
      </c>
    </row>
    <row r="12857" spans="1:27" x14ac:dyDescent="0.35">
      <c r="A12857">
        <v>1000469</v>
      </c>
      <c r="B12857">
        <v>12021</v>
      </c>
      <c r="C12857">
        <v>1</v>
      </c>
      <c r="D12857" s="17" t="s">
        <v>17166</v>
      </c>
      <c r="E12857" s="17"/>
      <c r="F12857" s="17" t="s">
        <v>17246</v>
      </c>
      <c r="G12857" s="17"/>
      <c r="H12857" s="17" t="s">
        <v>23950</v>
      </c>
      <c r="I12857" s="17" t="s">
        <v>26604</v>
      </c>
      <c r="J12857" s="17" t="s">
        <v>47099</v>
      </c>
      <c r="K12857" s="17"/>
      <c r="L12857" s="17" t="s">
        <v>47100</v>
      </c>
      <c r="M12857" s="17"/>
      <c r="N12857" s="17" t="s">
        <v>27392</v>
      </c>
      <c r="O12857" s="17"/>
      <c r="P12857" s="17" t="s">
        <v>28026</v>
      </c>
      <c r="Q12857" s="17"/>
      <c r="R12857" s="25" t="str">
        <f>HYPERLINK("https://ictv.global/taxonomy/taxondetails?taxnode_id=202300085","Shangavirus shuangaoense")</f>
        <v>Shangavirus shuangaoense</v>
      </c>
      <c r="S12857" s="18" t="s">
        <v>30</v>
      </c>
      <c r="T12857" s="18" t="s">
        <v>28027</v>
      </c>
      <c r="U12857" s="18" t="s">
        <v>28028</v>
      </c>
      <c r="V12857" s="18" t="s">
        <v>28029</v>
      </c>
      <c r="W12857" s="18" t="s">
        <v>28030</v>
      </c>
      <c r="X12857" s="18" t="s">
        <v>35</v>
      </c>
      <c r="Y12857" s="18" t="s">
        <v>23964</v>
      </c>
      <c r="Z12857" s="18" t="s">
        <v>10790</v>
      </c>
      <c r="AA12857" s="21" t="str">
        <f>HYPERLINK("https://www.ncbi.nlm.nih.gov/nuccore/KM817679,KM817714,KM817739","NCBI Nucleotide")</f>
        <v>NCBI Nucleotide</v>
      </c>
    </row>
    <row r="12858" spans="1:27" x14ac:dyDescent="0.35">
      <c r="A12858">
        <v>1000470</v>
      </c>
      <c r="B12858">
        <v>12022</v>
      </c>
      <c r="C12858">
        <v>1</v>
      </c>
      <c r="D12858" s="17" t="s">
        <v>17166</v>
      </c>
      <c r="E12858" s="17"/>
      <c r="F12858" s="17" t="s">
        <v>17246</v>
      </c>
      <c r="G12858" s="17"/>
      <c r="H12858" s="17" t="s">
        <v>23950</v>
      </c>
      <c r="I12858" s="17" t="s">
        <v>26604</v>
      </c>
      <c r="J12858" s="17" t="s">
        <v>47099</v>
      </c>
      <c r="K12858" s="17"/>
      <c r="L12858" s="17" t="s">
        <v>47100</v>
      </c>
      <c r="M12858" s="17"/>
      <c r="N12858" s="17" t="s">
        <v>28044</v>
      </c>
      <c r="O12858" s="17"/>
      <c r="P12858" s="17" t="s">
        <v>28045</v>
      </c>
      <c r="Q12858" s="17"/>
      <c r="R12858" s="25" t="str">
        <f>HYPERLINK("https://ictv.global/taxonomy/taxondetails?taxnode_id=202312243","Cicadellivirus scaphoidei")</f>
        <v>Cicadellivirus scaphoidei</v>
      </c>
      <c r="S12858" s="18" t="s">
        <v>30</v>
      </c>
      <c r="T12858" s="18" t="s">
        <v>28046</v>
      </c>
      <c r="U12858" s="18" t="s">
        <v>29241</v>
      </c>
      <c r="V12858" s="18" t="s">
        <v>50631</v>
      </c>
      <c r="W12858" s="18" t="s">
        <v>50632</v>
      </c>
      <c r="X12858" s="18" t="s">
        <v>35</v>
      </c>
      <c r="Y12858" s="18" t="s">
        <v>23964</v>
      </c>
      <c r="Z12858" s="18" t="s">
        <v>10790</v>
      </c>
      <c r="AA12858" s="21" t="str">
        <f>HYPERLINK("https://www.ncbi.nlm.nih.gov/nuccore/MN982386,MN982384,MN982385","NCBI Nucleotide")</f>
        <v>NCBI Nucleotide</v>
      </c>
    </row>
    <row r="12859" spans="1:27" x14ac:dyDescent="0.35">
      <c r="A12859">
        <v>1000471</v>
      </c>
      <c r="B12859">
        <v>12023</v>
      </c>
      <c r="C12859">
        <v>1</v>
      </c>
      <c r="D12859" s="17" t="s">
        <v>17166</v>
      </c>
      <c r="E12859" s="17"/>
      <c r="F12859" s="17" t="s">
        <v>17246</v>
      </c>
      <c r="G12859" s="17"/>
      <c r="H12859" s="17" t="s">
        <v>23950</v>
      </c>
      <c r="I12859" s="17" t="s">
        <v>26604</v>
      </c>
      <c r="J12859" s="17" t="s">
        <v>47099</v>
      </c>
      <c r="K12859" s="17"/>
      <c r="L12859" s="17" t="s">
        <v>47100</v>
      </c>
      <c r="M12859" s="17"/>
      <c r="N12859" s="17" t="s">
        <v>28044</v>
      </c>
      <c r="O12859" s="17"/>
      <c r="P12859" s="17" t="s">
        <v>28047</v>
      </c>
      <c r="Q12859" s="17"/>
      <c r="R12859" s="25" t="str">
        <f>HYPERLINK("https://ictv.global/taxonomy/taxondetails?taxnode_id=202300005","Feravirus ferakinum")</f>
        <v>Feravirus ferakinum</v>
      </c>
      <c r="S12859" s="18" t="s">
        <v>30</v>
      </c>
      <c r="T12859" s="18" t="s">
        <v>28048</v>
      </c>
      <c r="U12859" s="18" t="s">
        <v>28049</v>
      </c>
      <c r="V12859" s="18" t="s">
        <v>28050</v>
      </c>
      <c r="W12859" s="18" t="s">
        <v>28051</v>
      </c>
      <c r="X12859" s="18" t="s">
        <v>42</v>
      </c>
      <c r="Y12859" s="18" t="s">
        <v>23964</v>
      </c>
      <c r="Z12859" s="18" t="s">
        <v>10790</v>
      </c>
      <c r="AA12859" s="21" t="str">
        <f>HYPERLINK("https://www.ncbi.nlm.nih.gov/nuccore/KP710246,KP710264,KP710267","NCBI Nucleotide")</f>
        <v>NCBI Nucleotide</v>
      </c>
    </row>
    <row r="12860" spans="1:27" x14ac:dyDescent="0.35">
      <c r="A12860">
        <v>1000472</v>
      </c>
      <c r="B12860">
        <v>12024</v>
      </c>
      <c r="C12860">
        <v>1</v>
      </c>
      <c r="D12860" s="17" t="s">
        <v>17166</v>
      </c>
      <c r="E12860" s="17"/>
      <c r="F12860" s="17" t="s">
        <v>17246</v>
      </c>
      <c r="G12860" s="17"/>
      <c r="H12860" s="17" t="s">
        <v>23950</v>
      </c>
      <c r="I12860" s="17" t="s">
        <v>26604</v>
      </c>
      <c r="J12860" s="17" t="s">
        <v>47099</v>
      </c>
      <c r="K12860" s="17"/>
      <c r="L12860" s="17" t="s">
        <v>47100</v>
      </c>
      <c r="M12860" s="17"/>
      <c r="N12860" s="17" t="s">
        <v>28044</v>
      </c>
      <c r="O12860" s="17"/>
      <c r="P12860" s="17" t="s">
        <v>28047</v>
      </c>
      <c r="Q12860" s="17"/>
      <c r="R12860" s="25" t="str">
        <f>HYPERLINK("https://ictv.global/taxonomy/taxondetails?taxnode_id=202314253","Feravirus guaguaense")</f>
        <v>Feravirus guaguaense</v>
      </c>
      <c r="S12860" s="18" t="s">
        <v>30</v>
      </c>
      <c r="T12860" s="18" t="s">
        <v>28052</v>
      </c>
      <c r="U12860" s="18" t="s">
        <v>28053</v>
      </c>
      <c r="V12860" s="18"/>
      <c r="W12860" s="18" t="s">
        <v>50837</v>
      </c>
      <c r="X12860" s="18" t="s">
        <v>35</v>
      </c>
      <c r="Y12860" s="18" t="s">
        <v>23964</v>
      </c>
      <c r="Z12860" s="18" t="s">
        <v>10790</v>
      </c>
      <c r="AA12860" s="21" t="str">
        <f>HYPERLINK("https://www.ncbi.nlm.nih.gov/nuccore/MN661015,MN661017,MN661016","NCBI Nucleotide")</f>
        <v>NCBI Nucleotide</v>
      </c>
    </row>
    <row r="12861" spans="1:27" x14ac:dyDescent="0.35">
      <c r="A12861">
        <v>1000473</v>
      </c>
      <c r="B12861">
        <v>12025</v>
      </c>
      <c r="C12861">
        <v>1</v>
      </c>
      <c r="D12861" s="17" t="s">
        <v>17166</v>
      </c>
      <c r="E12861" s="17"/>
      <c r="F12861" s="17" t="s">
        <v>17246</v>
      </c>
      <c r="G12861" s="17"/>
      <c r="H12861" s="17" t="s">
        <v>23950</v>
      </c>
      <c r="I12861" s="17" t="s">
        <v>26604</v>
      </c>
      <c r="J12861" s="17" t="s">
        <v>47099</v>
      </c>
      <c r="K12861" s="17"/>
      <c r="L12861" s="17" t="s">
        <v>47100</v>
      </c>
      <c r="M12861" s="17"/>
      <c r="N12861" s="17" t="s">
        <v>28044</v>
      </c>
      <c r="O12861" s="17"/>
      <c r="P12861" s="17" t="s">
        <v>28047</v>
      </c>
      <c r="Q12861" s="17"/>
      <c r="R12861" s="25" t="str">
        <f>HYPERLINK("https://ictv.global/taxonomy/taxondetails?taxnode_id=202309613","Feravirus hemipterus")</f>
        <v>Feravirus hemipterus</v>
      </c>
      <c r="S12861" s="18" t="s">
        <v>30</v>
      </c>
      <c r="T12861" s="18" t="s">
        <v>28054</v>
      </c>
      <c r="U12861" s="18" t="s">
        <v>28055</v>
      </c>
      <c r="V12861" s="18"/>
      <c r="W12861" s="18" t="s">
        <v>50838</v>
      </c>
      <c r="X12861" s="18" t="s">
        <v>35</v>
      </c>
      <c r="Y12861" s="18" t="s">
        <v>23964</v>
      </c>
      <c r="Z12861" s="18" t="s">
        <v>10790</v>
      </c>
      <c r="AA12861" s="21" t="str">
        <f>HYPERLINK("https://www.ncbi.nlm.nih.gov/nuccore/MT153364,MT153439,MT153396","NCBI Nucleotide")</f>
        <v>NCBI Nucleotide</v>
      </c>
    </row>
    <row r="12862" spans="1:27" x14ac:dyDescent="0.35">
      <c r="A12862">
        <v>1000474</v>
      </c>
      <c r="B12862">
        <v>12026</v>
      </c>
      <c r="C12862">
        <v>1</v>
      </c>
      <c r="D12862" s="17" t="s">
        <v>17166</v>
      </c>
      <c r="E12862" s="17"/>
      <c r="F12862" s="17" t="s">
        <v>17246</v>
      </c>
      <c r="G12862" s="17"/>
      <c r="H12862" s="17" t="s">
        <v>23950</v>
      </c>
      <c r="I12862" s="17" t="s">
        <v>26604</v>
      </c>
      <c r="J12862" s="17" t="s">
        <v>47099</v>
      </c>
      <c r="K12862" s="17"/>
      <c r="L12862" s="17" t="s">
        <v>47100</v>
      </c>
      <c r="M12862" s="17"/>
      <c r="N12862" s="17" t="s">
        <v>28044</v>
      </c>
      <c r="O12862" s="17"/>
      <c r="P12862" s="17" t="s">
        <v>28047</v>
      </c>
      <c r="Q12862" s="17"/>
      <c r="R12862" s="25" t="str">
        <f>HYPERLINK("https://ictv.global/taxonomy/taxondetails?taxnode_id=202309612","Feravirus neuropterus")</f>
        <v>Feravirus neuropterus</v>
      </c>
      <c r="S12862" s="18" t="s">
        <v>30</v>
      </c>
      <c r="T12862" s="18" t="s">
        <v>28056</v>
      </c>
      <c r="U12862" s="18" t="s">
        <v>28057</v>
      </c>
      <c r="V12862" s="18"/>
      <c r="W12862" s="18" t="s">
        <v>28058</v>
      </c>
      <c r="X12862" s="18" t="s">
        <v>35</v>
      </c>
      <c r="Y12862" s="18" t="s">
        <v>23964</v>
      </c>
      <c r="Z12862" s="18" t="s">
        <v>10790</v>
      </c>
      <c r="AA12862" s="21" t="str">
        <f>HYPERLINK("https://www.ncbi.nlm.nih.gov/nuccore/MW039262,MW039263,MW039264","NCBI Nucleotide")</f>
        <v>NCBI Nucleotide</v>
      </c>
    </row>
    <row r="12863" spans="1:27" x14ac:dyDescent="0.35">
      <c r="A12863">
        <v>1000475</v>
      </c>
      <c r="B12863">
        <v>12027</v>
      </c>
      <c r="C12863">
        <v>1</v>
      </c>
      <c r="D12863" s="17" t="s">
        <v>17166</v>
      </c>
      <c r="E12863" s="17"/>
      <c r="F12863" s="17" t="s">
        <v>17246</v>
      </c>
      <c r="G12863" s="17"/>
      <c r="H12863" s="17" t="s">
        <v>23950</v>
      </c>
      <c r="I12863" s="17" t="s">
        <v>26604</v>
      </c>
      <c r="J12863" s="17" t="s">
        <v>47099</v>
      </c>
      <c r="K12863" s="17"/>
      <c r="L12863" s="17" t="s">
        <v>47100</v>
      </c>
      <c r="M12863" s="17"/>
      <c r="N12863" s="17" t="s">
        <v>28044</v>
      </c>
      <c r="O12863" s="17"/>
      <c r="P12863" s="17" t="s">
        <v>28059</v>
      </c>
      <c r="Q12863" s="17"/>
      <c r="R12863" s="25" t="str">
        <f>HYPERLINK("https://ictv.global/taxonomy/taxondetails?taxnode_id=202309611","Hymovirus chrysis")</f>
        <v>Hymovirus chrysis</v>
      </c>
      <c r="S12863" s="18" t="s">
        <v>30</v>
      </c>
      <c r="T12863" s="18" t="s">
        <v>28060</v>
      </c>
      <c r="U12863" s="18" t="s">
        <v>28061</v>
      </c>
      <c r="V12863" s="18"/>
      <c r="W12863" s="18" t="s">
        <v>50985</v>
      </c>
      <c r="X12863" s="18" t="s">
        <v>35</v>
      </c>
      <c r="Y12863" s="18" t="s">
        <v>23964</v>
      </c>
      <c r="Z12863" s="18" t="s">
        <v>10790</v>
      </c>
      <c r="AA12863" s="21" t="str">
        <f>HYPERLINK("https://www.ncbi.nlm.nih.gov/nuccore/MW274743,MW274744,MW274745","NCBI Nucleotide")</f>
        <v>NCBI Nucleotide</v>
      </c>
    </row>
    <row r="12864" spans="1:27" x14ac:dyDescent="0.35">
      <c r="A12864">
        <v>1000476</v>
      </c>
      <c r="B12864">
        <v>12028</v>
      </c>
      <c r="C12864">
        <v>1</v>
      </c>
      <c r="D12864" s="17" t="s">
        <v>17166</v>
      </c>
      <c r="E12864" s="17"/>
      <c r="F12864" s="17" t="s">
        <v>17246</v>
      </c>
      <c r="G12864" s="17"/>
      <c r="H12864" s="17" t="s">
        <v>23950</v>
      </c>
      <c r="I12864" s="17" t="s">
        <v>26604</v>
      </c>
      <c r="J12864" s="17" t="s">
        <v>47099</v>
      </c>
      <c r="K12864" s="17"/>
      <c r="L12864" s="17" t="s">
        <v>47100</v>
      </c>
      <c r="M12864" s="17"/>
      <c r="N12864" s="17" t="s">
        <v>28044</v>
      </c>
      <c r="O12864" s="17"/>
      <c r="P12864" s="17" t="s">
        <v>28059</v>
      </c>
      <c r="Q12864" s="17"/>
      <c r="R12864" s="25" t="str">
        <f>HYPERLINK("https://ictv.global/taxonomy/taxondetails?taxnode_id=202309610","Hymovirus chrysurae")</f>
        <v>Hymovirus chrysurae</v>
      </c>
      <c r="S12864" s="18" t="s">
        <v>30</v>
      </c>
      <c r="T12864" s="18" t="s">
        <v>28062</v>
      </c>
      <c r="U12864" s="18" t="s">
        <v>28063</v>
      </c>
      <c r="V12864" s="18"/>
      <c r="W12864" s="18" t="s">
        <v>50986</v>
      </c>
      <c r="X12864" s="18" t="s">
        <v>35</v>
      </c>
      <c r="Y12864" s="18" t="s">
        <v>23964</v>
      </c>
      <c r="Z12864" s="18" t="s">
        <v>10790</v>
      </c>
      <c r="AA12864" s="21" t="str">
        <f>HYPERLINK("https://www.ncbi.nlm.nih.gov/nuccore/MW274746,MW274747,MW274748","NCBI Nucleotide")</f>
        <v>NCBI Nucleotide</v>
      </c>
    </row>
    <row r="12865" spans="1:27" x14ac:dyDescent="0.35">
      <c r="A12865">
        <v>1000477</v>
      </c>
      <c r="B12865">
        <v>12029</v>
      </c>
      <c r="C12865">
        <v>1</v>
      </c>
      <c r="D12865" s="17" t="s">
        <v>17166</v>
      </c>
      <c r="E12865" s="17"/>
      <c r="F12865" s="17" t="s">
        <v>17246</v>
      </c>
      <c r="G12865" s="17"/>
      <c r="H12865" s="17" t="s">
        <v>23950</v>
      </c>
      <c r="I12865" s="17" t="s">
        <v>26604</v>
      </c>
      <c r="J12865" s="17" t="s">
        <v>47099</v>
      </c>
      <c r="K12865" s="17"/>
      <c r="L12865" s="17" t="s">
        <v>47100</v>
      </c>
      <c r="M12865" s="17"/>
      <c r="N12865" s="17" t="s">
        <v>28044</v>
      </c>
      <c r="O12865" s="17"/>
      <c r="P12865" s="17" t="s">
        <v>28064</v>
      </c>
      <c r="Q12865" s="17"/>
      <c r="R12865" s="25" t="str">
        <f>HYPERLINK("https://ictv.global/taxonomy/taxondetails?taxnode_id=202300065","Jonvirus eboris")</f>
        <v>Jonvirus eboris</v>
      </c>
      <c r="S12865" s="18" t="s">
        <v>30</v>
      </c>
      <c r="T12865" s="18" t="s">
        <v>28065</v>
      </c>
      <c r="U12865" s="18" t="s">
        <v>28066</v>
      </c>
      <c r="V12865" s="18" t="s">
        <v>28067</v>
      </c>
      <c r="W12865" s="18" t="s">
        <v>28068</v>
      </c>
      <c r="X12865" s="18" t="s">
        <v>42</v>
      </c>
      <c r="Y12865" s="18" t="s">
        <v>23964</v>
      </c>
      <c r="Z12865" s="18" t="s">
        <v>10790</v>
      </c>
      <c r="AA12865" s="21" t="str">
        <f>HYPERLINK("https://www.ncbi.nlm.nih.gov/nuccore/KP710232,KP710240,KP710243","NCBI Nucleotide")</f>
        <v>NCBI Nucleotide</v>
      </c>
    </row>
    <row r="12866" spans="1:27" x14ac:dyDescent="0.35">
      <c r="A12866">
        <v>1000478</v>
      </c>
      <c r="B12866">
        <v>12030</v>
      </c>
      <c r="C12866">
        <v>1</v>
      </c>
      <c r="D12866" s="17" t="s">
        <v>17166</v>
      </c>
      <c r="E12866" s="17"/>
      <c r="F12866" s="17" t="s">
        <v>17246</v>
      </c>
      <c r="G12866" s="17"/>
      <c r="H12866" s="17" t="s">
        <v>23950</v>
      </c>
      <c r="I12866" s="17" t="s">
        <v>26604</v>
      </c>
      <c r="J12866" s="17" t="s">
        <v>47099</v>
      </c>
      <c r="K12866" s="17"/>
      <c r="L12866" s="17" t="s">
        <v>47100</v>
      </c>
      <c r="M12866" s="17"/>
      <c r="N12866" s="17" t="s">
        <v>28044</v>
      </c>
      <c r="O12866" s="17"/>
      <c r="P12866" s="17" t="s">
        <v>28069</v>
      </c>
      <c r="Q12866" s="17"/>
      <c r="R12866" s="25" t="str">
        <f>HYPERLINK("https://ictv.global/taxonomy/taxondetails?taxnode_id=202300145","Orthophasmavirus aedis")</f>
        <v>Orthophasmavirus aedis</v>
      </c>
      <c r="S12866" s="18" t="s">
        <v>30</v>
      </c>
      <c r="T12866" s="18" t="s">
        <v>28070</v>
      </c>
      <c r="U12866" s="18" t="s">
        <v>28071</v>
      </c>
      <c r="V12866" s="18" t="s">
        <v>28072</v>
      </c>
      <c r="W12866" s="18" t="s">
        <v>28073</v>
      </c>
      <c r="X12866" s="18" t="s">
        <v>42</v>
      </c>
      <c r="Y12866" s="18" t="s">
        <v>23964</v>
      </c>
      <c r="Z12866" s="18" t="s">
        <v>10790</v>
      </c>
      <c r="AA12866" s="21" t="str">
        <f>HYPERLINK("https://www.ncbi.nlm.nih.gov/nuccore/KM817698,KM817727,KM817759","NCBI Nucleotide")</f>
        <v>NCBI Nucleotide</v>
      </c>
    </row>
    <row r="12867" spans="1:27" x14ac:dyDescent="0.35">
      <c r="A12867">
        <v>1000479</v>
      </c>
      <c r="B12867">
        <v>12031</v>
      </c>
      <c r="C12867">
        <v>1</v>
      </c>
      <c r="D12867" s="17" t="s">
        <v>17166</v>
      </c>
      <c r="E12867" s="17"/>
      <c r="F12867" s="17" t="s">
        <v>17246</v>
      </c>
      <c r="G12867" s="17"/>
      <c r="H12867" s="17" t="s">
        <v>23950</v>
      </c>
      <c r="I12867" s="17" t="s">
        <v>26604</v>
      </c>
      <c r="J12867" s="17" t="s">
        <v>47099</v>
      </c>
      <c r="K12867" s="17"/>
      <c r="L12867" s="17" t="s">
        <v>47100</v>
      </c>
      <c r="M12867" s="17"/>
      <c r="N12867" s="17" t="s">
        <v>28044</v>
      </c>
      <c r="O12867" s="17"/>
      <c r="P12867" s="17" t="s">
        <v>28069</v>
      </c>
      <c r="Q12867" s="17"/>
      <c r="R12867" s="25" t="str">
        <f>HYPERLINK("https://ictv.global/taxonomy/taxondetails?taxnode_id=202307659","Orthophasmavirus anophelae")</f>
        <v>Orthophasmavirus anophelae</v>
      </c>
      <c r="S12867" s="18" t="s">
        <v>30</v>
      </c>
      <c r="T12867" s="18" t="s">
        <v>28074</v>
      </c>
      <c r="U12867" s="18" t="s">
        <v>28075</v>
      </c>
      <c r="V12867" s="18"/>
      <c r="W12867" s="18" t="s">
        <v>28076</v>
      </c>
      <c r="X12867" s="18" t="s">
        <v>35</v>
      </c>
      <c r="Y12867" s="18" t="s">
        <v>23964</v>
      </c>
      <c r="Z12867" s="18" t="s">
        <v>10790</v>
      </c>
      <c r="AA12867" s="21" t="str">
        <f>HYPERLINK("https://www.ncbi.nlm.nih.gov/nuccore/MH822966,MH822967,MH822968","NCBI Nucleotide")</f>
        <v>NCBI Nucleotide</v>
      </c>
    </row>
    <row r="12868" spans="1:27" x14ac:dyDescent="0.35">
      <c r="A12868">
        <v>1000480</v>
      </c>
      <c r="B12868">
        <v>12032</v>
      </c>
      <c r="C12868">
        <v>1</v>
      </c>
      <c r="D12868" s="17" t="s">
        <v>17166</v>
      </c>
      <c r="E12868" s="17"/>
      <c r="F12868" s="17" t="s">
        <v>17246</v>
      </c>
      <c r="G12868" s="17"/>
      <c r="H12868" s="17" t="s">
        <v>23950</v>
      </c>
      <c r="I12868" s="17" t="s">
        <v>26604</v>
      </c>
      <c r="J12868" s="17" t="s">
        <v>47099</v>
      </c>
      <c r="K12868" s="17"/>
      <c r="L12868" s="17" t="s">
        <v>47100</v>
      </c>
      <c r="M12868" s="17"/>
      <c r="N12868" s="17" t="s">
        <v>28044</v>
      </c>
      <c r="O12868" s="17"/>
      <c r="P12868" s="17" t="s">
        <v>28069</v>
      </c>
      <c r="Q12868" s="17"/>
      <c r="R12868" s="25" t="str">
        <f>HYPERLINK("https://ictv.global/taxonomy/taxondetails?taxnode_id=202312239","Orthophasmavirus barstukasense")</f>
        <v>Orthophasmavirus barstukasense</v>
      </c>
      <c r="S12868" s="18" t="s">
        <v>30</v>
      </c>
      <c r="T12868" s="18" t="s">
        <v>28077</v>
      </c>
      <c r="U12868" s="18" t="s">
        <v>25589</v>
      </c>
      <c r="V12868" s="18" t="s">
        <v>50633</v>
      </c>
      <c r="W12868" s="18" t="s">
        <v>50987</v>
      </c>
      <c r="X12868" s="18" t="s">
        <v>35</v>
      </c>
      <c r="Y12868" s="18" t="s">
        <v>23964</v>
      </c>
      <c r="Z12868" s="18" t="s">
        <v>10790</v>
      </c>
      <c r="AA12868" s="21" t="str">
        <f>HYPERLINK("https://www.ncbi.nlm.nih.gov/nuccore/MW434660,MW434632,MW434647","NCBI Nucleotide")</f>
        <v>NCBI Nucleotide</v>
      </c>
    </row>
    <row r="12869" spans="1:27" x14ac:dyDescent="0.35">
      <c r="A12869">
        <v>1000481</v>
      </c>
      <c r="B12869">
        <v>12033</v>
      </c>
      <c r="C12869">
        <v>1</v>
      </c>
      <c r="D12869" s="17" t="s">
        <v>17166</v>
      </c>
      <c r="E12869" s="17"/>
      <c r="F12869" s="17" t="s">
        <v>17246</v>
      </c>
      <c r="G12869" s="17"/>
      <c r="H12869" s="17" t="s">
        <v>23950</v>
      </c>
      <c r="I12869" s="17" t="s">
        <v>26604</v>
      </c>
      <c r="J12869" s="17" t="s">
        <v>47099</v>
      </c>
      <c r="K12869" s="17"/>
      <c r="L12869" s="17" t="s">
        <v>47100</v>
      </c>
      <c r="M12869" s="17"/>
      <c r="N12869" s="17" t="s">
        <v>28044</v>
      </c>
      <c r="O12869" s="17"/>
      <c r="P12869" s="17" t="s">
        <v>28069</v>
      </c>
      <c r="Q12869" s="17"/>
      <c r="R12869" s="25" t="str">
        <f>HYPERLINK("https://ictv.global/taxonomy/taxondetails?taxnode_id=202309607","Orthophasmavirus chrysis")</f>
        <v>Orthophasmavirus chrysis</v>
      </c>
      <c r="S12869" s="18" t="s">
        <v>30</v>
      </c>
      <c r="T12869" s="18" t="s">
        <v>28078</v>
      </c>
      <c r="U12869" s="18" t="s">
        <v>28079</v>
      </c>
      <c r="V12869" s="18"/>
      <c r="W12869" s="18" t="s">
        <v>50988</v>
      </c>
      <c r="X12869" s="18" t="s">
        <v>35</v>
      </c>
      <c r="Y12869" s="18" t="s">
        <v>23964</v>
      </c>
      <c r="Z12869" s="18" t="s">
        <v>10790</v>
      </c>
      <c r="AA12869" s="21" t="str">
        <f>HYPERLINK("https://www.ncbi.nlm.nih.gov/nuccore/MW274737,MW274738,MW274739","NCBI Nucleotide")</f>
        <v>NCBI Nucleotide</v>
      </c>
    </row>
    <row r="12870" spans="1:27" x14ac:dyDescent="0.35">
      <c r="A12870">
        <v>1000482</v>
      </c>
      <c r="B12870">
        <v>12034</v>
      </c>
      <c r="C12870">
        <v>1</v>
      </c>
      <c r="D12870" s="17" t="s">
        <v>17166</v>
      </c>
      <c r="E12870" s="17"/>
      <c r="F12870" s="17" t="s">
        <v>17246</v>
      </c>
      <c r="G12870" s="17"/>
      <c r="H12870" s="17" t="s">
        <v>23950</v>
      </c>
      <c r="I12870" s="17" t="s">
        <v>26604</v>
      </c>
      <c r="J12870" s="17" t="s">
        <v>47099</v>
      </c>
      <c r="K12870" s="17"/>
      <c r="L12870" s="17" t="s">
        <v>47100</v>
      </c>
      <c r="M12870" s="17"/>
      <c r="N12870" s="17" t="s">
        <v>28044</v>
      </c>
      <c r="O12870" s="17"/>
      <c r="P12870" s="17" t="s">
        <v>28069</v>
      </c>
      <c r="Q12870" s="17"/>
      <c r="R12870" s="25" t="str">
        <f>HYPERLINK("https://ictv.global/taxonomy/taxondetails?taxnode_id=202309605","Orthophasmavirus coleopterus")</f>
        <v>Orthophasmavirus coleopterus</v>
      </c>
      <c r="S12870" s="18" t="s">
        <v>30</v>
      </c>
      <c r="T12870" s="18" t="s">
        <v>28080</v>
      </c>
      <c r="U12870" s="18" t="s">
        <v>28081</v>
      </c>
      <c r="V12870" s="18"/>
      <c r="W12870" s="18" t="s">
        <v>50839</v>
      </c>
      <c r="X12870" s="18" t="s">
        <v>35</v>
      </c>
      <c r="Y12870" s="18" t="s">
        <v>23964</v>
      </c>
      <c r="Z12870" s="18" t="s">
        <v>10790</v>
      </c>
      <c r="AA12870" s="21" t="str">
        <f>HYPERLINK("https://www.ncbi.nlm.nih.gov/nuccore/MT153542,MT153459,MT153483","NCBI Nucleotide")</f>
        <v>NCBI Nucleotide</v>
      </c>
    </row>
    <row r="12871" spans="1:27" x14ac:dyDescent="0.35">
      <c r="A12871">
        <v>1000483</v>
      </c>
      <c r="B12871">
        <v>12035</v>
      </c>
      <c r="C12871">
        <v>1</v>
      </c>
      <c r="D12871" s="17" t="s">
        <v>17166</v>
      </c>
      <c r="E12871" s="17"/>
      <c r="F12871" s="17" t="s">
        <v>17246</v>
      </c>
      <c r="G12871" s="17"/>
      <c r="H12871" s="17" t="s">
        <v>23950</v>
      </c>
      <c r="I12871" s="17" t="s">
        <v>26604</v>
      </c>
      <c r="J12871" s="17" t="s">
        <v>47099</v>
      </c>
      <c r="K12871" s="17"/>
      <c r="L12871" s="17" t="s">
        <v>47100</v>
      </c>
      <c r="M12871" s="17"/>
      <c r="N12871" s="17" t="s">
        <v>28044</v>
      </c>
      <c r="O12871" s="17"/>
      <c r="P12871" s="17" t="s">
        <v>28069</v>
      </c>
      <c r="Q12871" s="17"/>
      <c r="R12871" s="25" t="str">
        <f>HYPERLINK("https://ictv.global/taxonomy/taxondetails?taxnode_id=202312238","Orthophasmavirus coredoense")</f>
        <v>Orthophasmavirus coredoense</v>
      </c>
      <c r="S12871" s="18" t="s">
        <v>30</v>
      </c>
      <c r="T12871" s="18" t="s">
        <v>28082</v>
      </c>
      <c r="U12871" s="18" t="s">
        <v>17636</v>
      </c>
      <c r="V12871" s="18" t="s">
        <v>50634</v>
      </c>
      <c r="W12871" s="18" t="s">
        <v>50989</v>
      </c>
      <c r="X12871" s="18" t="s">
        <v>35</v>
      </c>
      <c r="Y12871" s="18" t="s">
        <v>23964</v>
      </c>
      <c r="Z12871" s="18" t="s">
        <v>10790</v>
      </c>
      <c r="AA12871" s="21" t="str">
        <f>HYPERLINK("https://www.ncbi.nlm.nih.gov/nuccore/MN661021,MN661023,MN661022","NCBI Nucleotide")</f>
        <v>NCBI Nucleotide</v>
      </c>
    </row>
    <row r="12872" spans="1:27" x14ac:dyDescent="0.35">
      <c r="A12872">
        <v>1000484</v>
      </c>
      <c r="B12872">
        <v>12036</v>
      </c>
      <c r="C12872">
        <v>1</v>
      </c>
      <c r="D12872" s="17" t="s">
        <v>17166</v>
      </c>
      <c r="E12872" s="17"/>
      <c r="F12872" s="17" t="s">
        <v>17246</v>
      </c>
      <c r="G12872" s="17"/>
      <c r="H12872" s="17" t="s">
        <v>23950</v>
      </c>
      <c r="I12872" s="17" t="s">
        <v>26604</v>
      </c>
      <c r="J12872" s="17" t="s">
        <v>47099</v>
      </c>
      <c r="K12872" s="17"/>
      <c r="L12872" s="17" t="s">
        <v>47100</v>
      </c>
      <c r="M12872" s="17"/>
      <c r="N12872" s="17" t="s">
        <v>28044</v>
      </c>
      <c r="O12872" s="17"/>
      <c r="P12872" s="17" t="s">
        <v>28069</v>
      </c>
      <c r="Q12872" s="17"/>
      <c r="R12872" s="25" t="str">
        <f>HYPERLINK("https://ictv.global/taxonomy/taxondetails?taxnode_id=202306413","Orthophasmavirus culicis")</f>
        <v>Orthophasmavirus culicis</v>
      </c>
      <c r="S12872" s="18" t="s">
        <v>30</v>
      </c>
      <c r="T12872" s="18" t="s">
        <v>28083</v>
      </c>
      <c r="U12872" s="18" t="s">
        <v>28084</v>
      </c>
      <c r="V12872" s="18" t="s">
        <v>28085</v>
      </c>
      <c r="W12872" s="18" t="s">
        <v>28086</v>
      </c>
      <c r="X12872" s="18" t="s">
        <v>35</v>
      </c>
      <c r="Y12872" s="18" t="s">
        <v>23964</v>
      </c>
      <c r="Z12872" s="18" t="s">
        <v>10790</v>
      </c>
      <c r="AA12872" s="21" t="str">
        <f>HYPERLINK("https://www.ncbi.nlm.nih.gov/nuccore/MF176242,MF176243,MF176244","NCBI Nucleotide")</f>
        <v>NCBI Nucleotide</v>
      </c>
    </row>
    <row r="12873" spans="1:27" x14ac:dyDescent="0.35">
      <c r="A12873">
        <v>1000485</v>
      </c>
      <c r="B12873">
        <v>12037</v>
      </c>
      <c r="C12873">
        <v>1</v>
      </c>
      <c r="D12873" s="17" t="s">
        <v>17166</v>
      </c>
      <c r="E12873" s="17"/>
      <c r="F12873" s="17" t="s">
        <v>17246</v>
      </c>
      <c r="G12873" s="17"/>
      <c r="H12873" s="17" t="s">
        <v>23950</v>
      </c>
      <c r="I12873" s="17" t="s">
        <v>26604</v>
      </c>
      <c r="J12873" s="17" t="s">
        <v>47099</v>
      </c>
      <c r="K12873" s="17"/>
      <c r="L12873" s="17" t="s">
        <v>47100</v>
      </c>
      <c r="M12873" s="17"/>
      <c r="N12873" s="17" t="s">
        <v>28044</v>
      </c>
      <c r="O12873" s="17"/>
      <c r="P12873" s="17" t="s">
        <v>28069</v>
      </c>
      <c r="Q12873" s="17"/>
      <c r="R12873" s="25" t="str">
        <f>HYPERLINK("https://ictv.global/taxonomy/taxondetails?taxnode_id=202312241","Orthophasmavirus flenense")</f>
        <v>Orthophasmavirus flenense</v>
      </c>
      <c r="S12873" s="18" t="s">
        <v>30</v>
      </c>
      <c r="T12873" s="18" t="s">
        <v>28087</v>
      </c>
      <c r="U12873" s="18" t="s">
        <v>28088</v>
      </c>
      <c r="V12873" s="18" t="s">
        <v>50635</v>
      </c>
      <c r="W12873" s="18" t="s">
        <v>50990</v>
      </c>
      <c r="X12873" s="18" t="s">
        <v>154</v>
      </c>
      <c r="Y12873" s="18" t="s">
        <v>23964</v>
      </c>
      <c r="Z12873" s="18" t="s">
        <v>10790</v>
      </c>
      <c r="AA12873" s="21" t="str">
        <f>HYPERLINK("https://www.ncbi.nlm.nih.gov/nuccore/MN513376,MN513375,MN513374","NCBI Nucleotide")</f>
        <v>NCBI Nucleotide</v>
      </c>
    </row>
    <row r="12874" spans="1:27" x14ac:dyDescent="0.35">
      <c r="A12874">
        <v>1000486</v>
      </c>
      <c r="B12874">
        <v>12038</v>
      </c>
      <c r="C12874">
        <v>1</v>
      </c>
      <c r="D12874" s="17" t="s">
        <v>17166</v>
      </c>
      <c r="E12874" s="17"/>
      <c r="F12874" s="17" t="s">
        <v>17246</v>
      </c>
      <c r="G12874" s="17"/>
      <c r="H12874" s="17" t="s">
        <v>23950</v>
      </c>
      <c r="I12874" s="17" t="s">
        <v>26604</v>
      </c>
      <c r="J12874" s="17" t="s">
        <v>47099</v>
      </c>
      <c r="K12874" s="17"/>
      <c r="L12874" s="17" t="s">
        <v>47100</v>
      </c>
      <c r="M12874" s="17"/>
      <c r="N12874" s="17" t="s">
        <v>28044</v>
      </c>
      <c r="O12874" s="17"/>
      <c r="P12874" s="17" t="s">
        <v>28069</v>
      </c>
      <c r="Q12874" s="17"/>
      <c r="R12874" s="25" t="str">
        <f>HYPERLINK("https://ictv.global/taxonomy/taxondetails?taxnode_id=202314251","Orthophasmavirus fushunense")</f>
        <v>Orthophasmavirus fushunense</v>
      </c>
      <c r="S12874" s="18" t="s">
        <v>30</v>
      </c>
      <c r="T12874" s="18" t="s">
        <v>28116</v>
      </c>
      <c r="U12874" s="18" t="s">
        <v>28117</v>
      </c>
      <c r="V12874" s="18" t="s">
        <v>47175</v>
      </c>
      <c r="W12874" s="18" t="s">
        <v>28118</v>
      </c>
      <c r="X12874" s="18" t="s">
        <v>35</v>
      </c>
      <c r="Y12874" s="18" t="s">
        <v>23964</v>
      </c>
      <c r="Z12874" s="18" t="s">
        <v>10790</v>
      </c>
      <c r="AA12874" s="21" t="str">
        <f>HYPERLINK("https://www.ncbi.nlm.nih.gov/nuccore/MZ210010,MZ210011,MZ210012","NCBI Nucleotide")</f>
        <v>NCBI Nucleotide</v>
      </c>
    </row>
    <row r="12875" spans="1:27" x14ac:dyDescent="0.35">
      <c r="A12875">
        <v>1000487</v>
      </c>
      <c r="B12875">
        <v>12039</v>
      </c>
      <c r="C12875">
        <v>1</v>
      </c>
      <c r="D12875" s="17" t="s">
        <v>17166</v>
      </c>
      <c r="E12875" s="17"/>
      <c r="F12875" s="17" t="s">
        <v>17246</v>
      </c>
      <c r="G12875" s="17"/>
      <c r="H12875" s="17" t="s">
        <v>23950</v>
      </c>
      <c r="I12875" s="17" t="s">
        <v>26604</v>
      </c>
      <c r="J12875" s="17" t="s">
        <v>47099</v>
      </c>
      <c r="K12875" s="17"/>
      <c r="L12875" s="17" t="s">
        <v>47100</v>
      </c>
      <c r="M12875" s="17"/>
      <c r="N12875" s="17" t="s">
        <v>28044</v>
      </c>
      <c r="O12875" s="17"/>
      <c r="P12875" s="17" t="s">
        <v>28069</v>
      </c>
      <c r="Q12875" s="17"/>
      <c r="R12875" s="25" t="str">
        <f>HYPERLINK("https://ictv.global/taxonomy/taxondetails?taxnode_id=202306416","Orthophasmavirus gandaense")</f>
        <v>Orthophasmavirus gandaense</v>
      </c>
      <c r="S12875" s="18" t="s">
        <v>30</v>
      </c>
      <c r="T12875" s="18" t="s">
        <v>28092</v>
      </c>
      <c r="U12875" s="18" t="s">
        <v>28093</v>
      </c>
      <c r="V12875" s="18" t="s">
        <v>28094</v>
      </c>
      <c r="W12875" s="18" t="s">
        <v>28095</v>
      </c>
      <c r="X12875" s="18" t="s">
        <v>35</v>
      </c>
      <c r="Y12875" s="18" t="s">
        <v>23964</v>
      </c>
      <c r="Z12875" s="18" t="s">
        <v>10790</v>
      </c>
      <c r="AA12875" s="21" t="str">
        <f>HYPERLINK("https://www.ncbi.nlm.nih.gov/nuccore/KY053854,KY053855,KY053856","NCBI Nucleotide")</f>
        <v>NCBI Nucleotide</v>
      </c>
    </row>
    <row r="12876" spans="1:27" x14ac:dyDescent="0.35">
      <c r="A12876">
        <v>1000488</v>
      </c>
      <c r="B12876">
        <v>12040</v>
      </c>
      <c r="C12876">
        <v>1</v>
      </c>
      <c r="D12876" s="17" t="s">
        <v>17166</v>
      </c>
      <c r="E12876" s="17"/>
      <c r="F12876" s="17" t="s">
        <v>17246</v>
      </c>
      <c r="G12876" s="17"/>
      <c r="H12876" s="17" t="s">
        <v>23950</v>
      </c>
      <c r="I12876" s="17" t="s">
        <v>26604</v>
      </c>
      <c r="J12876" s="17" t="s">
        <v>47099</v>
      </c>
      <c r="K12876" s="17"/>
      <c r="L12876" s="17" t="s">
        <v>47100</v>
      </c>
      <c r="M12876" s="17"/>
      <c r="N12876" s="17" t="s">
        <v>28044</v>
      </c>
      <c r="O12876" s="17"/>
      <c r="P12876" s="17" t="s">
        <v>28069</v>
      </c>
      <c r="Q12876" s="17"/>
      <c r="R12876" s="25" t="str">
        <f>HYPERLINK("https://ictv.global/taxonomy/taxondetails?taxnode_id=202306415","Orthophasmavirus hubeiense")</f>
        <v>Orthophasmavirus hubeiense</v>
      </c>
      <c r="S12876" s="18" t="s">
        <v>30</v>
      </c>
      <c r="T12876" s="18" t="s">
        <v>28096</v>
      </c>
      <c r="U12876" s="18" t="s">
        <v>28097</v>
      </c>
      <c r="V12876" s="18" t="s">
        <v>28098</v>
      </c>
      <c r="W12876" s="18" t="s">
        <v>28099</v>
      </c>
      <c r="X12876" s="18" t="s">
        <v>35</v>
      </c>
      <c r="Y12876" s="18" t="s">
        <v>23964</v>
      </c>
      <c r="Z12876" s="18" t="s">
        <v>10790</v>
      </c>
      <c r="AA12876" s="21" t="str">
        <f>HYPERLINK("https://www.ncbi.nlm.nih.gov/nuccore/KX884786,KX884787,KX884788","NCBI Nucleotide")</f>
        <v>NCBI Nucleotide</v>
      </c>
    </row>
    <row r="12877" spans="1:27" x14ac:dyDescent="0.35">
      <c r="A12877">
        <v>1000489</v>
      </c>
      <c r="B12877">
        <v>12041</v>
      </c>
      <c r="C12877">
        <v>1</v>
      </c>
      <c r="D12877" s="17" t="s">
        <v>17166</v>
      </c>
      <c r="E12877" s="17"/>
      <c r="F12877" s="17" t="s">
        <v>17246</v>
      </c>
      <c r="G12877" s="17"/>
      <c r="H12877" s="17" t="s">
        <v>23950</v>
      </c>
      <c r="I12877" s="17" t="s">
        <v>26604</v>
      </c>
      <c r="J12877" s="17" t="s">
        <v>47099</v>
      </c>
      <c r="K12877" s="17"/>
      <c r="L12877" s="17" t="s">
        <v>47100</v>
      </c>
      <c r="M12877" s="17"/>
      <c r="N12877" s="17" t="s">
        <v>28044</v>
      </c>
      <c r="O12877" s="17"/>
      <c r="P12877" s="17" t="s">
        <v>28069</v>
      </c>
      <c r="Q12877" s="17"/>
      <c r="R12877" s="25" t="str">
        <f>HYPERLINK("https://ictv.global/taxonomy/taxondetails?taxnode_id=202300140","Orthophasmavirus kigluaikense")</f>
        <v>Orthophasmavirus kigluaikense</v>
      </c>
      <c r="S12877" s="18" t="s">
        <v>30</v>
      </c>
      <c r="T12877" s="18" t="s">
        <v>28100</v>
      </c>
      <c r="U12877" s="18" t="s">
        <v>28101</v>
      </c>
      <c r="V12877" s="18" t="s">
        <v>28102</v>
      </c>
      <c r="W12877" s="18" t="s">
        <v>28103</v>
      </c>
      <c r="X12877" s="18" t="s">
        <v>42</v>
      </c>
      <c r="Y12877" s="18" t="s">
        <v>23964</v>
      </c>
      <c r="Z12877" s="18" t="s">
        <v>10790</v>
      </c>
      <c r="AA12877" s="21" t="str">
        <f>HYPERLINK("https://www.ncbi.nlm.nih.gov/nuccore/KJ434182,KJ434183,KJ434184","NCBI Nucleotide")</f>
        <v>NCBI Nucleotide</v>
      </c>
    </row>
    <row r="12878" spans="1:27" x14ac:dyDescent="0.35">
      <c r="A12878">
        <v>1000490</v>
      </c>
      <c r="B12878">
        <v>12042</v>
      </c>
      <c r="C12878">
        <v>1</v>
      </c>
      <c r="D12878" s="17" t="s">
        <v>17166</v>
      </c>
      <c r="E12878" s="17"/>
      <c r="F12878" s="17" t="s">
        <v>17246</v>
      </c>
      <c r="G12878" s="17"/>
      <c r="H12878" s="17" t="s">
        <v>23950</v>
      </c>
      <c r="I12878" s="17" t="s">
        <v>26604</v>
      </c>
      <c r="J12878" s="17" t="s">
        <v>47099</v>
      </c>
      <c r="K12878" s="17"/>
      <c r="L12878" s="17" t="s">
        <v>47100</v>
      </c>
      <c r="M12878" s="17"/>
      <c r="N12878" s="17" t="s">
        <v>28044</v>
      </c>
      <c r="O12878" s="17"/>
      <c r="P12878" s="17" t="s">
        <v>28069</v>
      </c>
      <c r="Q12878" s="17"/>
      <c r="R12878" s="25" t="str">
        <f>HYPERLINK("https://ictv.global/taxonomy/taxondetails?taxnode_id=202312240","Orthophasmavirus miglotasense")</f>
        <v>Orthophasmavirus miglotasense</v>
      </c>
      <c r="S12878" s="18" t="s">
        <v>30</v>
      </c>
      <c r="T12878" s="18" t="s">
        <v>28104</v>
      </c>
      <c r="U12878" s="18" t="s">
        <v>28105</v>
      </c>
      <c r="V12878" s="18" t="s">
        <v>50636</v>
      </c>
      <c r="W12878" s="18" t="s">
        <v>50991</v>
      </c>
      <c r="X12878" s="18" t="s">
        <v>35</v>
      </c>
      <c r="Y12878" s="18" t="s">
        <v>23964</v>
      </c>
      <c r="Z12878" s="18" t="s">
        <v>10790</v>
      </c>
      <c r="AA12878" s="21" t="str">
        <f>HYPERLINK("https://www.ncbi.nlm.nih.gov/nuccore/MW434703,MW434675,MW434690","NCBI Nucleotide")</f>
        <v>NCBI Nucleotide</v>
      </c>
    </row>
    <row r="12879" spans="1:27" x14ac:dyDescent="0.35">
      <c r="A12879">
        <v>1000491</v>
      </c>
      <c r="B12879">
        <v>12043</v>
      </c>
      <c r="C12879">
        <v>1</v>
      </c>
      <c r="D12879" s="17" t="s">
        <v>17166</v>
      </c>
      <c r="E12879" s="17"/>
      <c r="F12879" s="17" t="s">
        <v>17246</v>
      </c>
      <c r="G12879" s="17"/>
      <c r="H12879" s="17" t="s">
        <v>23950</v>
      </c>
      <c r="I12879" s="17" t="s">
        <v>26604</v>
      </c>
      <c r="J12879" s="17" t="s">
        <v>47099</v>
      </c>
      <c r="K12879" s="17"/>
      <c r="L12879" s="17" t="s">
        <v>47100</v>
      </c>
      <c r="M12879" s="17"/>
      <c r="N12879" s="17" t="s">
        <v>28044</v>
      </c>
      <c r="O12879" s="17"/>
      <c r="P12879" s="17" t="s">
        <v>28069</v>
      </c>
      <c r="Q12879" s="17"/>
      <c r="R12879" s="25" t="str">
        <f>HYPERLINK("https://ictv.global/taxonomy/taxondetails?taxnode_id=202309608","Orthophasmavirus niuklukense")</f>
        <v>Orthophasmavirus niuklukense</v>
      </c>
      <c r="S12879" s="18" t="s">
        <v>30</v>
      </c>
      <c r="T12879" s="18" t="s">
        <v>28106</v>
      </c>
      <c r="U12879" s="18" t="s">
        <v>28107</v>
      </c>
      <c r="V12879" s="18" t="s">
        <v>28108</v>
      </c>
      <c r="W12879" s="18" t="s">
        <v>28109</v>
      </c>
      <c r="X12879" s="18" t="s">
        <v>35</v>
      </c>
      <c r="Y12879" s="18" t="s">
        <v>23964</v>
      </c>
      <c r="Z12879" s="18" t="s">
        <v>10790</v>
      </c>
      <c r="AA12879" s="21" t="str">
        <f>HYPERLINK("https://www.ncbi.nlm.nih.gov/nuccore/MN168168,MN168169,MN168170","NCBI Nucleotide")</f>
        <v>NCBI Nucleotide</v>
      </c>
    </row>
    <row r="12880" spans="1:27" x14ac:dyDescent="0.35">
      <c r="A12880">
        <v>1000492</v>
      </c>
      <c r="B12880">
        <v>12044</v>
      </c>
      <c r="C12880">
        <v>1</v>
      </c>
      <c r="D12880" s="17" t="s">
        <v>17166</v>
      </c>
      <c r="E12880" s="17"/>
      <c r="F12880" s="17" t="s">
        <v>17246</v>
      </c>
      <c r="G12880" s="17"/>
      <c r="H12880" s="17" t="s">
        <v>23950</v>
      </c>
      <c r="I12880" s="17" t="s">
        <v>26604</v>
      </c>
      <c r="J12880" s="17" t="s">
        <v>47099</v>
      </c>
      <c r="K12880" s="17"/>
      <c r="L12880" s="17" t="s">
        <v>47100</v>
      </c>
      <c r="M12880" s="17"/>
      <c r="N12880" s="17" t="s">
        <v>28044</v>
      </c>
      <c r="O12880" s="17"/>
      <c r="P12880" s="17" t="s">
        <v>28069</v>
      </c>
      <c r="Q12880" s="17"/>
      <c r="R12880" s="25" t="str">
        <f>HYPERLINK("https://ictv.global/taxonomy/taxondetails?taxnode_id=202306414","Orthophasmavirus odonatus")</f>
        <v>Orthophasmavirus odonatus</v>
      </c>
      <c r="S12880" s="18" t="s">
        <v>30</v>
      </c>
      <c r="T12880" s="18" t="s">
        <v>28110</v>
      </c>
      <c r="U12880" s="18" t="s">
        <v>28111</v>
      </c>
      <c r="V12880" s="18" t="s">
        <v>28112</v>
      </c>
      <c r="W12880" s="18" t="s">
        <v>28113</v>
      </c>
      <c r="X12880" s="18" t="s">
        <v>35</v>
      </c>
      <c r="Y12880" s="18" t="s">
        <v>23964</v>
      </c>
      <c r="Z12880" s="18" t="s">
        <v>10790</v>
      </c>
      <c r="AA12880" s="21" t="str">
        <f>HYPERLINK("https://www.ncbi.nlm.nih.gov/nuccore/KX884775,KX884776,KX884777","NCBI Nucleotide")</f>
        <v>NCBI Nucleotide</v>
      </c>
    </row>
    <row r="12881" spans="1:27" x14ac:dyDescent="0.35">
      <c r="A12881">
        <v>1000493</v>
      </c>
      <c r="B12881">
        <v>12045</v>
      </c>
      <c r="C12881">
        <v>1</v>
      </c>
      <c r="D12881" s="17" t="s">
        <v>17166</v>
      </c>
      <c r="E12881" s="17"/>
      <c r="F12881" s="17" t="s">
        <v>17246</v>
      </c>
      <c r="G12881" s="17"/>
      <c r="H12881" s="17" t="s">
        <v>23950</v>
      </c>
      <c r="I12881" s="17" t="s">
        <v>26604</v>
      </c>
      <c r="J12881" s="17" t="s">
        <v>47099</v>
      </c>
      <c r="K12881" s="17"/>
      <c r="L12881" s="17" t="s">
        <v>47100</v>
      </c>
      <c r="M12881" s="17"/>
      <c r="N12881" s="17" t="s">
        <v>28044</v>
      </c>
      <c r="O12881" s="17"/>
      <c r="P12881" s="17" t="s">
        <v>28069</v>
      </c>
      <c r="Q12881" s="17"/>
      <c r="R12881" s="25" t="str">
        <f>HYPERLINK("https://ictv.global/taxonomy/taxondetails?taxnode_id=202309606","Orthophasmavirus philoctetis")</f>
        <v>Orthophasmavirus philoctetis</v>
      </c>
      <c r="S12881" s="18" t="s">
        <v>30</v>
      </c>
      <c r="T12881" s="18" t="s">
        <v>28114</v>
      </c>
      <c r="U12881" s="18" t="s">
        <v>28115</v>
      </c>
      <c r="V12881" s="18"/>
      <c r="W12881" s="18" t="s">
        <v>50992</v>
      </c>
      <c r="X12881" s="18" t="s">
        <v>35</v>
      </c>
      <c r="Y12881" s="18" t="s">
        <v>23964</v>
      </c>
      <c r="Z12881" s="18" t="s">
        <v>10790</v>
      </c>
      <c r="AA12881" s="21" t="str">
        <f>HYPERLINK("https://www.ncbi.nlm.nih.gov/nuccore/MW274740,MW274741,MW274742","NCBI Nucleotide")</f>
        <v>NCBI Nucleotide</v>
      </c>
    </row>
    <row r="12882" spans="1:27" x14ac:dyDescent="0.35">
      <c r="A12882">
        <v>1000494</v>
      </c>
      <c r="B12882">
        <v>12046</v>
      </c>
      <c r="C12882">
        <v>1</v>
      </c>
      <c r="D12882" s="17" t="s">
        <v>17166</v>
      </c>
      <c r="E12882" s="17"/>
      <c r="F12882" s="17" t="s">
        <v>17246</v>
      </c>
      <c r="G12882" s="17"/>
      <c r="H12882" s="17" t="s">
        <v>23950</v>
      </c>
      <c r="I12882" s="17" t="s">
        <v>26604</v>
      </c>
      <c r="J12882" s="17" t="s">
        <v>47099</v>
      </c>
      <c r="K12882" s="17"/>
      <c r="L12882" s="17" t="s">
        <v>47100</v>
      </c>
      <c r="M12882" s="17"/>
      <c r="N12882" s="17" t="s">
        <v>28044</v>
      </c>
      <c r="O12882" s="17"/>
      <c r="P12882" s="17" t="s">
        <v>28069</v>
      </c>
      <c r="Q12882" s="17"/>
      <c r="R12882" s="25" t="str">
        <f>HYPERLINK("https://ictv.global/taxonomy/taxondetails?taxnode_id=202314252","Orthophasmavirus sogatellae")</f>
        <v>Orthophasmavirus sogatellae</v>
      </c>
      <c r="S12882" s="18" t="s">
        <v>30</v>
      </c>
      <c r="T12882" s="18" t="s">
        <v>28089</v>
      </c>
      <c r="U12882" s="18" t="s">
        <v>28090</v>
      </c>
      <c r="V12882" s="18" t="s">
        <v>47176</v>
      </c>
      <c r="W12882" s="18" t="s">
        <v>28091</v>
      </c>
      <c r="X12882" s="18" t="s">
        <v>35</v>
      </c>
      <c r="Y12882" s="18" t="s">
        <v>23964</v>
      </c>
      <c r="Z12882" s="18" t="s">
        <v>10790</v>
      </c>
      <c r="AA12882" s="21" t="str">
        <f>HYPERLINK("https://www.ncbi.nlm.nih.gov/nuccore/MZ209987,MZ209988,MZ209989","NCBI Nucleotide")</f>
        <v>NCBI Nucleotide</v>
      </c>
    </row>
    <row r="12883" spans="1:27" x14ac:dyDescent="0.35">
      <c r="A12883">
        <v>1000495</v>
      </c>
      <c r="B12883">
        <v>12047</v>
      </c>
      <c r="C12883">
        <v>1</v>
      </c>
      <c r="D12883" s="17" t="s">
        <v>17166</v>
      </c>
      <c r="E12883" s="17"/>
      <c r="F12883" s="17" t="s">
        <v>17246</v>
      </c>
      <c r="G12883" s="17"/>
      <c r="H12883" s="17" t="s">
        <v>23950</v>
      </c>
      <c r="I12883" s="17" t="s">
        <v>26604</v>
      </c>
      <c r="J12883" s="17" t="s">
        <v>47099</v>
      </c>
      <c r="K12883" s="17"/>
      <c r="L12883" s="17" t="s">
        <v>47100</v>
      </c>
      <c r="M12883" s="17"/>
      <c r="N12883" s="17" t="s">
        <v>28044</v>
      </c>
      <c r="O12883" s="17"/>
      <c r="P12883" s="17" t="s">
        <v>28069</v>
      </c>
      <c r="Q12883" s="17"/>
      <c r="R12883" s="25" t="str">
        <f>HYPERLINK("https://ictv.global/taxonomy/taxondetails?taxnode_id=202300143","Orthophasmavirus wuchangense")</f>
        <v>Orthophasmavirus wuchangense</v>
      </c>
      <c r="S12883" s="18" t="s">
        <v>30</v>
      </c>
      <c r="T12883" s="18" t="s">
        <v>28119</v>
      </c>
      <c r="U12883" s="18" t="s">
        <v>28120</v>
      </c>
      <c r="V12883" s="18" t="s">
        <v>28121</v>
      </c>
      <c r="W12883" s="18" t="s">
        <v>28122</v>
      </c>
      <c r="X12883" s="18" t="s">
        <v>42</v>
      </c>
      <c r="Y12883" s="18" t="s">
        <v>23964</v>
      </c>
      <c r="Z12883" s="18" t="s">
        <v>10790</v>
      </c>
      <c r="AA12883" s="21" t="str">
        <f>HYPERLINK("https://www.ncbi.nlm.nih.gov/nuccore/KM817688,KM817721,KM817748","NCBI Nucleotide")</f>
        <v>NCBI Nucleotide</v>
      </c>
    </row>
    <row r="12884" spans="1:27" x14ac:dyDescent="0.35">
      <c r="A12884">
        <v>1000496</v>
      </c>
      <c r="B12884">
        <v>12048</v>
      </c>
      <c r="C12884">
        <v>1</v>
      </c>
      <c r="D12884" s="17" t="s">
        <v>17166</v>
      </c>
      <c r="E12884" s="17"/>
      <c r="F12884" s="17" t="s">
        <v>17246</v>
      </c>
      <c r="G12884" s="17"/>
      <c r="H12884" s="17" t="s">
        <v>23950</v>
      </c>
      <c r="I12884" s="17" t="s">
        <v>26604</v>
      </c>
      <c r="J12884" s="17" t="s">
        <v>47099</v>
      </c>
      <c r="K12884" s="17"/>
      <c r="L12884" s="17" t="s">
        <v>47100</v>
      </c>
      <c r="M12884" s="17"/>
      <c r="N12884" s="17" t="s">
        <v>28044</v>
      </c>
      <c r="O12884" s="17"/>
      <c r="P12884" s="17" t="s">
        <v>28069</v>
      </c>
      <c r="Q12884" s="17"/>
      <c r="R12884" s="25" t="str">
        <f>HYPERLINK("https://ictv.global/taxonomy/taxondetails?taxnode_id=202300144","Orthophasmavirus wuhanense")</f>
        <v>Orthophasmavirus wuhanense</v>
      </c>
      <c r="S12884" s="18" t="s">
        <v>30</v>
      </c>
      <c r="T12884" s="18" t="s">
        <v>28123</v>
      </c>
      <c r="U12884" s="18" t="s">
        <v>28124</v>
      </c>
      <c r="V12884" s="18" t="s">
        <v>28125</v>
      </c>
      <c r="W12884" s="18" t="s">
        <v>28126</v>
      </c>
      <c r="X12884" s="18" t="s">
        <v>42</v>
      </c>
      <c r="Y12884" s="18" t="s">
        <v>23964</v>
      </c>
      <c r="Z12884" s="18" t="s">
        <v>10790</v>
      </c>
      <c r="AA12884" s="21" t="str">
        <f>HYPERLINK("https://www.ncbi.nlm.nih.gov/nuccore/KM817697,KM817726,KM817758","NCBI Nucleotide")</f>
        <v>NCBI Nucleotide</v>
      </c>
    </row>
    <row r="12885" spans="1:27" x14ac:dyDescent="0.35">
      <c r="A12885">
        <v>1000497</v>
      </c>
      <c r="B12885">
        <v>12049</v>
      </c>
      <c r="C12885">
        <v>1</v>
      </c>
      <c r="D12885" s="17" t="s">
        <v>17166</v>
      </c>
      <c r="E12885" s="17"/>
      <c r="F12885" s="17" t="s">
        <v>17246</v>
      </c>
      <c r="G12885" s="17"/>
      <c r="H12885" s="17" t="s">
        <v>23950</v>
      </c>
      <c r="I12885" s="17" t="s">
        <v>26604</v>
      </c>
      <c r="J12885" s="17" t="s">
        <v>47099</v>
      </c>
      <c r="K12885" s="17"/>
      <c r="L12885" s="17" t="s">
        <v>47100</v>
      </c>
      <c r="M12885" s="17"/>
      <c r="N12885" s="17" t="s">
        <v>28044</v>
      </c>
      <c r="O12885" s="17"/>
      <c r="P12885" s="17" t="s">
        <v>28127</v>
      </c>
      <c r="Q12885" s="17"/>
      <c r="R12885" s="25" t="str">
        <f>HYPERLINK("https://ictv.global/taxonomy/taxondetails?taxnode_id=202306606","Sawastrivirus sanxiaense")</f>
        <v>Sawastrivirus sanxiaense</v>
      </c>
      <c r="S12885" s="18" t="s">
        <v>30</v>
      </c>
      <c r="T12885" s="18" t="s">
        <v>28128</v>
      </c>
      <c r="U12885" s="18" t="s">
        <v>28129</v>
      </c>
      <c r="V12885" s="18" t="s">
        <v>28130</v>
      </c>
      <c r="W12885" s="18" t="s">
        <v>28131</v>
      </c>
      <c r="X12885" s="18" t="s">
        <v>42</v>
      </c>
      <c r="Y12885" s="18" t="s">
        <v>23964</v>
      </c>
      <c r="Z12885" s="18" t="s">
        <v>10790</v>
      </c>
      <c r="AA12885" s="21" t="str">
        <f>HYPERLINK("https://www.ncbi.nlm.nih.gov/nuccore/KM817675,KX650646,KX650647","NCBI Nucleotide")</f>
        <v>NCBI Nucleotide</v>
      </c>
    </row>
    <row r="12886" spans="1:27" x14ac:dyDescent="0.35">
      <c r="A12886">
        <v>1000498</v>
      </c>
      <c r="B12886">
        <v>12050</v>
      </c>
      <c r="C12886">
        <v>1</v>
      </c>
      <c r="D12886" s="17" t="s">
        <v>17166</v>
      </c>
      <c r="E12886" s="17"/>
      <c r="F12886" s="17" t="s">
        <v>17246</v>
      </c>
      <c r="G12886" s="17"/>
      <c r="H12886" s="17" t="s">
        <v>23950</v>
      </c>
      <c r="I12886" s="17" t="s">
        <v>26604</v>
      </c>
      <c r="J12886" s="17" t="s">
        <v>47099</v>
      </c>
      <c r="K12886" s="17"/>
      <c r="L12886" s="17" t="s">
        <v>47100</v>
      </c>
      <c r="M12886" s="17"/>
      <c r="N12886" s="17" t="s">
        <v>28044</v>
      </c>
      <c r="O12886" s="17"/>
      <c r="P12886" s="17" t="s">
        <v>28132</v>
      </c>
      <c r="Q12886" s="17"/>
      <c r="R12886" s="25" t="str">
        <f>HYPERLINK("https://ictv.global/taxonomy/taxondetails?taxnode_id=202306223","Wuhivirus insecti")</f>
        <v>Wuhivirus insecti</v>
      </c>
      <c r="S12886" s="18" t="s">
        <v>30</v>
      </c>
      <c r="T12886" s="18" t="s">
        <v>28133</v>
      </c>
      <c r="U12886" s="18" t="s">
        <v>28134</v>
      </c>
      <c r="V12886" s="18" t="s">
        <v>28135</v>
      </c>
      <c r="W12886" s="18" t="s">
        <v>28136</v>
      </c>
      <c r="X12886" s="18" t="s">
        <v>35</v>
      </c>
      <c r="Y12886" s="18" t="s">
        <v>23964</v>
      </c>
      <c r="Z12886" s="18" t="s">
        <v>10790</v>
      </c>
      <c r="AA12886" s="21" t="str">
        <f>HYPERLINK("https://www.ncbi.nlm.nih.gov/nuccore/KM817692,KM817724,KM817753","NCBI Nucleotide")</f>
        <v>NCBI Nucleotide</v>
      </c>
    </row>
    <row r="12887" spans="1:27" x14ac:dyDescent="0.35">
      <c r="A12887">
        <v>1000650</v>
      </c>
      <c r="B12887">
        <v>12051</v>
      </c>
      <c r="C12887">
        <v>1</v>
      </c>
      <c r="D12887" s="17" t="s">
        <v>17166</v>
      </c>
      <c r="E12887" s="17"/>
      <c r="F12887" s="17" t="s">
        <v>17246</v>
      </c>
      <c r="G12887" s="17"/>
      <c r="H12887" s="17" t="s">
        <v>23950</v>
      </c>
      <c r="I12887" s="17" t="s">
        <v>26604</v>
      </c>
      <c r="J12887" s="17" t="s">
        <v>47099</v>
      </c>
      <c r="K12887" s="17"/>
      <c r="L12887" s="17" t="s">
        <v>47100</v>
      </c>
      <c r="M12887" s="17"/>
      <c r="N12887" s="17" t="s">
        <v>28740</v>
      </c>
      <c r="O12887" s="17"/>
      <c r="P12887" s="17" t="s">
        <v>28741</v>
      </c>
      <c r="Q12887" s="17"/>
      <c r="R12887" s="25" t="str">
        <f>HYPERLINK("https://ictv.global/taxonomy/taxondetails?taxnode_id=202307246","Orthotospovirus alstroemeriflavi")</f>
        <v>Orthotospovirus alstroemeriflavi</v>
      </c>
      <c r="S12887" s="18" t="s">
        <v>30</v>
      </c>
      <c r="T12887" s="18" t="s">
        <v>28742</v>
      </c>
      <c r="U12887" s="18" t="s">
        <v>28743</v>
      </c>
      <c r="V12887" s="18" t="s">
        <v>28744</v>
      </c>
      <c r="W12887" s="18" t="s">
        <v>28745</v>
      </c>
      <c r="X12887" s="18" t="s">
        <v>42</v>
      </c>
      <c r="Y12887" s="18" t="s">
        <v>23955</v>
      </c>
      <c r="Z12887" s="18" t="s">
        <v>15964</v>
      </c>
      <c r="AA12887" s="21" t="str">
        <f>HYPERLINK("https://www.ncbi.nlm.nih.gov/nuccore/MF469033,MF469034,MF469035","NCBI Nucleotide")</f>
        <v>NCBI Nucleotide</v>
      </c>
    </row>
    <row r="12888" spans="1:27" x14ac:dyDescent="0.35">
      <c r="A12888">
        <v>1000651</v>
      </c>
      <c r="B12888">
        <v>12052</v>
      </c>
      <c r="C12888">
        <v>1</v>
      </c>
      <c r="D12888" s="17" t="s">
        <v>17166</v>
      </c>
      <c r="E12888" s="17"/>
      <c r="F12888" s="17" t="s">
        <v>17246</v>
      </c>
      <c r="G12888" s="17"/>
      <c r="H12888" s="17" t="s">
        <v>23950</v>
      </c>
      <c r="I12888" s="17" t="s">
        <v>26604</v>
      </c>
      <c r="J12888" s="17" t="s">
        <v>47099</v>
      </c>
      <c r="K12888" s="17"/>
      <c r="L12888" s="17" t="s">
        <v>47100</v>
      </c>
      <c r="M12888" s="17"/>
      <c r="N12888" s="17" t="s">
        <v>28740</v>
      </c>
      <c r="O12888" s="17"/>
      <c r="P12888" s="17" t="s">
        <v>28741</v>
      </c>
      <c r="Q12888" s="17"/>
      <c r="R12888" s="25" t="str">
        <f>HYPERLINK("https://ictv.global/taxonomy/taxondetails?taxnode_id=202307245","Orthotospovirus alstroemerinecrosis")</f>
        <v>Orthotospovirus alstroemerinecrosis</v>
      </c>
      <c r="S12888" s="18" t="s">
        <v>30</v>
      </c>
      <c r="T12888" s="18" t="s">
        <v>28746</v>
      </c>
      <c r="U12888" s="18" t="s">
        <v>28747</v>
      </c>
      <c r="V12888" s="18" t="s">
        <v>28748</v>
      </c>
      <c r="W12888" s="18" t="s">
        <v>28749</v>
      </c>
      <c r="X12888" s="18" t="s">
        <v>35</v>
      </c>
      <c r="Y12888" s="18" t="s">
        <v>23955</v>
      </c>
      <c r="Z12888" s="18" t="s">
        <v>15964</v>
      </c>
      <c r="AA12888" s="21" t="str">
        <f>HYPERLINK("https://www.ncbi.nlm.nih.gov/nuccore/MG696851,MG696852,MG696853","NCBI Nucleotide")</f>
        <v>NCBI Nucleotide</v>
      </c>
    </row>
    <row r="12889" spans="1:27" x14ac:dyDescent="0.35">
      <c r="A12889">
        <v>1000652</v>
      </c>
      <c r="B12889">
        <v>12053</v>
      </c>
      <c r="C12889">
        <v>1</v>
      </c>
      <c r="D12889" s="17" t="s">
        <v>17166</v>
      </c>
      <c r="E12889" s="17"/>
      <c r="F12889" s="17" t="s">
        <v>17246</v>
      </c>
      <c r="G12889" s="17"/>
      <c r="H12889" s="17" t="s">
        <v>23950</v>
      </c>
      <c r="I12889" s="17" t="s">
        <v>26604</v>
      </c>
      <c r="J12889" s="17" t="s">
        <v>47099</v>
      </c>
      <c r="K12889" s="17"/>
      <c r="L12889" s="17" t="s">
        <v>47100</v>
      </c>
      <c r="M12889" s="17"/>
      <c r="N12889" s="17" t="s">
        <v>28740</v>
      </c>
      <c r="O12889" s="17"/>
      <c r="P12889" s="17" t="s">
        <v>28741</v>
      </c>
      <c r="Q12889" s="17"/>
      <c r="R12889" s="25" t="str">
        <f>HYPERLINK("https://ictv.global/taxonomy/taxondetails?taxnode_id=202300180","Orthotospovirus arachianuli")</f>
        <v>Orthotospovirus arachianuli</v>
      </c>
      <c r="S12889" s="18" t="s">
        <v>30</v>
      </c>
      <c r="T12889" s="18" t="s">
        <v>28750</v>
      </c>
      <c r="U12889" s="18" t="s">
        <v>27237</v>
      </c>
      <c r="V12889" s="18" t="s">
        <v>28751</v>
      </c>
      <c r="W12889" s="18" t="s">
        <v>28752</v>
      </c>
      <c r="X12889" s="18" t="s">
        <v>35</v>
      </c>
      <c r="Y12889" s="18" t="s">
        <v>23955</v>
      </c>
      <c r="Z12889" s="18" t="s">
        <v>15964</v>
      </c>
      <c r="AA12889" s="21" t="str">
        <f>HYPERLINK("https://www.ncbi.nlm.nih.gov/nuccore/KT972590,KT972592,KT972594","NCBI Nucleotide")</f>
        <v>NCBI Nucleotide</v>
      </c>
    </row>
    <row r="12890" spans="1:27" x14ac:dyDescent="0.35">
      <c r="A12890">
        <v>1000653</v>
      </c>
      <c r="B12890">
        <v>12054</v>
      </c>
      <c r="C12890">
        <v>1</v>
      </c>
      <c r="D12890" s="17" t="s">
        <v>17166</v>
      </c>
      <c r="E12890" s="17"/>
      <c r="F12890" s="17" t="s">
        <v>17246</v>
      </c>
      <c r="G12890" s="17"/>
      <c r="H12890" s="17" t="s">
        <v>23950</v>
      </c>
      <c r="I12890" s="17" t="s">
        <v>26604</v>
      </c>
      <c r="J12890" s="17" t="s">
        <v>47099</v>
      </c>
      <c r="K12890" s="17"/>
      <c r="L12890" s="17" t="s">
        <v>47100</v>
      </c>
      <c r="M12890" s="17"/>
      <c r="N12890" s="17" t="s">
        <v>28740</v>
      </c>
      <c r="O12890" s="17"/>
      <c r="P12890" s="17" t="s">
        <v>28741</v>
      </c>
      <c r="Q12890" s="17"/>
      <c r="R12890" s="25" t="str">
        <f>HYPERLINK("https://ictv.global/taxonomy/taxondetails?taxnode_id=202300181","Orthotospovirus arachiflavamaculae")</f>
        <v>Orthotospovirus arachiflavamaculae</v>
      </c>
      <c r="S12890" s="18" t="s">
        <v>30</v>
      </c>
      <c r="T12890" s="18" t="s">
        <v>28753</v>
      </c>
      <c r="U12890" s="18" t="s">
        <v>24708</v>
      </c>
      <c r="V12890" s="18" t="s">
        <v>28754</v>
      </c>
      <c r="W12890" s="18" t="s">
        <v>28755</v>
      </c>
      <c r="X12890" s="18" t="s">
        <v>154</v>
      </c>
      <c r="Y12890" s="18" t="s">
        <v>23955</v>
      </c>
      <c r="Z12890" s="18" t="s">
        <v>15964</v>
      </c>
      <c r="AA12890" s="21" t="str">
        <f>HYPERLINK("https://www.ncbi.nlm.nih.gov/nuccore/HQ402596","NCBI Nucleotide")</f>
        <v>NCBI Nucleotide</v>
      </c>
    </row>
    <row r="12891" spans="1:27" x14ac:dyDescent="0.35">
      <c r="A12891">
        <v>1000654</v>
      </c>
      <c r="B12891">
        <v>12055</v>
      </c>
      <c r="C12891">
        <v>1</v>
      </c>
      <c r="D12891" s="17" t="s">
        <v>17166</v>
      </c>
      <c r="E12891" s="17"/>
      <c r="F12891" s="17" t="s">
        <v>17246</v>
      </c>
      <c r="G12891" s="17"/>
      <c r="H12891" s="17" t="s">
        <v>23950</v>
      </c>
      <c r="I12891" s="17" t="s">
        <v>26604</v>
      </c>
      <c r="J12891" s="17" t="s">
        <v>47099</v>
      </c>
      <c r="K12891" s="17"/>
      <c r="L12891" s="17" t="s">
        <v>47100</v>
      </c>
      <c r="M12891" s="17"/>
      <c r="N12891" s="17" t="s">
        <v>28740</v>
      </c>
      <c r="O12891" s="17"/>
      <c r="P12891" s="17" t="s">
        <v>28741</v>
      </c>
      <c r="Q12891" s="17"/>
      <c r="R12891" s="25" t="str">
        <f>HYPERLINK("https://ictv.global/taxonomy/taxondetails?taxnode_id=202307247","Orthotospovirus arachiflavi")</f>
        <v>Orthotospovirus arachiflavi</v>
      </c>
      <c r="S12891" s="18" t="s">
        <v>30</v>
      </c>
      <c r="T12891" s="18" t="s">
        <v>28756</v>
      </c>
      <c r="U12891" s="18" t="s">
        <v>28757</v>
      </c>
      <c r="V12891" s="18" t="s">
        <v>28758</v>
      </c>
      <c r="W12891" s="18" t="s">
        <v>28759</v>
      </c>
      <c r="X12891" s="18" t="s">
        <v>154</v>
      </c>
      <c r="Y12891" s="18" t="s">
        <v>23955</v>
      </c>
      <c r="Z12891" s="18" t="s">
        <v>15964</v>
      </c>
      <c r="AA12891" s="21" t="str">
        <f>HYPERLINK("https://www.ncbi.nlm.nih.gov/nuccore/KP146140,KP146141","NCBI Nucleotide")</f>
        <v>NCBI Nucleotide</v>
      </c>
    </row>
    <row r="12892" spans="1:27" x14ac:dyDescent="0.35">
      <c r="A12892">
        <v>1000655</v>
      </c>
      <c r="B12892">
        <v>12056</v>
      </c>
      <c r="C12892">
        <v>1</v>
      </c>
      <c r="D12892" s="17" t="s">
        <v>17166</v>
      </c>
      <c r="E12892" s="17"/>
      <c r="F12892" s="17" t="s">
        <v>17246</v>
      </c>
      <c r="G12892" s="17"/>
      <c r="H12892" s="17" t="s">
        <v>23950</v>
      </c>
      <c r="I12892" s="17" t="s">
        <v>26604</v>
      </c>
      <c r="J12892" s="17" t="s">
        <v>47099</v>
      </c>
      <c r="K12892" s="17"/>
      <c r="L12892" s="17" t="s">
        <v>47100</v>
      </c>
      <c r="M12892" s="17"/>
      <c r="N12892" s="17" t="s">
        <v>28740</v>
      </c>
      <c r="O12892" s="17"/>
      <c r="P12892" s="17" t="s">
        <v>28741</v>
      </c>
      <c r="Q12892" s="17"/>
      <c r="R12892" s="25" t="str">
        <f>HYPERLINK("https://ictv.global/taxonomy/taxondetails?taxnode_id=202300179","Orthotospovirus arachinecrosis")</f>
        <v>Orthotospovirus arachinecrosis</v>
      </c>
      <c r="S12892" s="18" t="s">
        <v>30</v>
      </c>
      <c r="T12892" s="18" t="s">
        <v>28760</v>
      </c>
      <c r="U12892" s="18" t="s">
        <v>28761</v>
      </c>
      <c r="V12892" s="18"/>
      <c r="W12892" s="18" t="s">
        <v>50637</v>
      </c>
      <c r="X12892" s="18" t="s">
        <v>42</v>
      </c>
      <c r="Y12892" s="18" t="s">
        <v>23955</v>
      </c>
      <c r="Z12892" s="18" t="s">
        <v>15964</v>
      </c>
      <c r="AA12892" s="21" t="str">
        <f>HYPERLINK("https://www.ncbi.nlm.nih.gov/nuccore/AF025538,U42555,U27809","NCBI Nucleotide")</f>
        <v>NCBI Nucleotide</v>
      </c>
    </row>
    <row r="12893" spans="1:27" x14ac:dyDescent="0.35">
      <c r="A12893">
        <v>1001023</v>
      </c>
      <c r="B12893">
        <v>12057</v>
      </c>
      <c r="C12893">
        <v>1</v>
      </c>
      <c r="D12893" s="17" t="s">
        <v>17166</v>
      </c>
      <c r="E12893" s="17"/>
      <c r="F12893" s="17" t="s">
        <v>17246</v>
      </c>
      <c r="G12893" s="17"/>
      <c r="H12893" s="17" t="s">
        <v>23950</v>
      </c>
      <c r="I12893" s="17" t="s">
        <v>26604</v>
      </c>
      <c r="J12893" s="17" t="s">
        <v>47099</v>
      </c>
      <c r="K12893" s="17"/>
      <c r="L12893" s="17" t="s">
        <v>47100</v>
      </c>
      <c r="M12893" s="17"/>
      <c r="N12893" s="17" t="s">
        <v>28740</v>
      </c>
      <c r="O12893" s="17"/>
      <c r="P12893" s="17" t="s">
        <v>28741</v>
      </c>
      <c r="Q12893" s="17"/>
      <c r="R12893" s="25" t="str">
        <f>HYPERLINK("https://ictv.global/taxonomy/taxondetails?taxnode_id=202306662","Orthotospovirus callaflavi")</f>
        <v>Orthotospovirus callaflavi</v>
      </c>
      <c r="S12893" s="18" t="s">
        <v>30</v>
      </c>
      <c r="T12893" s="18" t="s">
        <v>28762</v>
      </c>
      <c r="U12893" s="18" t="s">
        <v>28763</v>
      </c>
      <c r="V12893" s="18" t="s">
        <v>28764</v>
      </c>
      <c r="W12893" s="18" t="s">
        <v>50852</v>
      </c>
      <c r="X12893" s="18" t="s">
        <v>42</v>
      </c>
      <c r="Y12893" s="18" t="s">
        <v>23955</v>
      </c>
      <c r="Z12893" s="18" t="s">
        <v>15964</v>
      </c>
      <c r="AA12893" s="21" t="str">
        <f>HYPERLINK("https://www.ncbi.nlm.nih.gov/nuccore/FJ822962,FJ822961,AY867502","NCBI Nucleotide")</f>
        <v>NCBI Nucleotide</v>
      </c>
    </row>
    <row r="12894" spans="1:27" x14ac:dyDescent="0.35">
      <c r="A12894">
        <v>1001024</v>
      </c>
      <c r="B12894">
        <v>12058</v>
      </c>
      <c r="C12894">
        <v>1</v>
      </c>
      <c r="D12894" s="17" t="s">
        <v>17166</v>
      </c>
      <c r="E12894" s="17"/>
      <c r="F12894" s="17" t="s">
        <v>17246</v>
      </c>
      <c r="G12894" s="17"/>
      <c r="H12894" s="17" t="s">
        <v>23950</v>
      </c>
      <c r="I12894" s="17" t="s">
        <v>26604</v>
      </c>
      <c r="J12894" s="17" t="s">
        <v>47099</v>
      </c>
      <c r="K12894" s="17"/>
      <c r="L12894" s="17" t="s">
        <v>47100</v>
      </c>
      <c r="M12894" s="17"/>
      <c r="N12894" s="17" t="s">
        <v>28740</v>
      </c>
      <c r="O12894" s="17"/>
      <c r="P12894" s="17" t="s">
        <v>28741</v>
      </c>
      <c r="Q12894" s="17"/>
      <c r="R12894" s="25" t="str">
        <f>HYPERLINK("https://ictv.global/taxonomy/taxondetails?taxnode_id=202306663","Orthotospovirus capsiciflavi")</f>
        <v>Orthotospovirus capsiciflavi</v>
      </c>
      <c r="S12894" s="18" t="s">
        <v>30</v>
      </c>
      <c r="T12894" s="18" t="s">
        <v>28765</v>
      </c>
      <c r="U12894" s="18" t="s">
        <v>13008</v>
      </c>
      <c r="V12894" s="18" t="s">
        <v>28766</v>
      </c>
      <c r="W12894" s="18" t="s">
        <v>50638</v>
      </c>
      <c r="X12894" s="18" t="s">
        <v>42</v>
      </c>
      <c r="Y12894" s="18" t="s">
        <v>23955</v>
      </c>
      <c r="Z12894" s="18" t="s">
        <v>15964</v>
      </c>
      <c r="AA12894" s="21" t="str">
        <f>HYPERLINK("https://www.ncbi.nlm.nih.gov/nuccore/DQ256124,DQ256125,DQ256123","NCBI Nucleotide")</f>
        <v>NCBI Nucleotide</v>
      </c>
    </row>
    <row r="12895" spans="1:27" x14ac:dyDescent="0.35">
      <c r="A12895">
        <v>1001025</v>
      </c>
      <c r="B12895">
        <v>12059</v>
      </c>
      <c r="C12895">
        <v>1</v>
      </c>
      <c r="D12895" s="17" t="s">
        <v>17166</v>
      </c>
      <c r="E12895" s="17"/>
      <c r="F12895" s="17" t="s">
        <v>17246</v>
      </c>
      <c r="G12895" s="17"/>
      <c r="H12895" s="17" t="s">
        <v>23950</v>
      </c>
      <c r="I12895" s="17" t="s">
        <v>26604</v>
      </c>
      <c r="J12895" s="17" t="s">
        <v>47099</v>
      </c>
      <c r="K12895" s="17"/>
      <c r="L12895" s="17" t="s">
        <v>47100</v>
      </c>
      <c r="M12895" s="17"/>
      <c r="N12895" s="17" t="s">
        <v>28740</v>
      </c>
      <c r="O12895" s="17"/>
      <c r="P12895" s="17" t="s">
        <v>28741</v>
      </c>
      <c r="Q12895" s="17"/>
      <c r="R12895" s="25" t="str">
        <f>HYPERLINK("https://ictv.global/taxonomy/taxondetails?taxnode_id=202307250","Orthotospovirus capsicimaculaflavi")</f>
        <v>Orthotospovirus capsicimaculaflavi</v>
      </c>
      <c r="S12895" s="18" t="s">
        <v>30</v>
      </c>
      <c r="T12895" s="18" t="s">
        <v>28767</v>
      </c>
      <c r="U12895" s="18" t="s">
        <v>28768</v>
      </c>
      <c r="V12895" s="18" t="s">
        <v>28769</v>
      </c>
      <c r="W12895" s="18" t="s">
        <v>50639</v>
      </c>
      <c r="X12895" s="18" t="s">
        <v>42</v>
      </c>
      <c r="Y12895" s="18" t="s">
        <v>23955</v>
      </c>
      <c r="Z12895" s="18" t="s">
        <v>15964</v>
      </c>
      <c r="AA12895" s="21" t="str">
        <f>HYPERLINK("https://www.ncbi.nlm.nih.gov/nuccore/KX247379,KX247378,KX247377","NCBI Nucleotide")</f>
        <v>NCBI Nucleotide</v>
      </c>
    </row>
    <row r="12896" spans="1:27" x14ac:dyDescent="0.35">
      <c r="A12896">
        <v>1001026</v>
      </c>
      <c r="B12896">
        <v>12060</v>
      </c>
      <c r="C12896">
        <v>1</v>
      </c>
      <c r="D12896" s="17" t="s">
        <v>17166</v>
      </c>
      <c r="E12896" s="17"/>
      <c r="F12896" s="17" t="s">
        <v>17246</v>
      </c>
      <c r="G12896" s="17"/>
      <c r="H12896" s="17" t="s">
        <v>23950</v>
      </c>
      <c r="I12896" s="17" t="s">
        <v>26604</v>
      </c>
      <c r="J12896" s="17" t="s">
        <v>47099</v>
      </c>
      <c r="K12896" s="17"/>
      <c r="L12896" s="17" t="s">
        <v>47100</v>
      </c>
      <c r="M12896" s="17"/>
      <c r="N12896" s="17" t="s">
        <v>28740</v>
      </c>
      <c r="O12896" s="17"/>
      <c r="P12896" s="17" t="s">
        <v>28741</v>
      </c>
      <c r="Q12896" s="17"/>
      <c r="R12896" s="25" t="str">
        <f>HYPERLINK("https://ictv.global/taxonomy/taxondetails?taxnode_id=202306664","Orthotospovirus chrysanthinecrocaulis")</f>
        <v>Orthotospovirus chrysanthinecrocaulis</v>
      </c>
      <c r="S12896" s="18" t="s">
        <v>30</v>
      </c>
      <c r="T12896" s="18" t="s">
        <v>28770</v>
      </c>
      <c r="U12896" s="18" t="s">
        <v>28771</v>
      </c>
      <c r="V12896" s="18" t="s">
        <v>28772</v>
      </c>
      <c r="W12896" s="18" t="s">
        <v>28773</v>
      </c>
      <c r="X12896" s="18" t="s">
        <v>42</v>
      </c>
      <c r="Y12896" s="18" t="s">
        <v>23955</v>
      </c>
      <c r="Z12896" s="18" t="s">
        <v>15964</v>
      </c>
      <c r="AA12896" s="21" t="str">
        <f>HYPERLINK("https://www.ncbi.nlm.nih.gov/nuccore/KM114546,KM114547,KM114548","NCBI Nucleotide")</f>
        <v>NCBI Nucleotide</v>
      </c>
    </row>
    <row r="12897" spans="1:27" x14ac:dyDescent="0.35">
      <c r="A12897">
        <v>1001027</v>
      </c>
      <c r="B12897">
        <v>12061</v>
      </c>
      <c r="C12897">
        <v>1</v>
      </c>
      <c r="D12897" s="17" t="s">
        <v>17166</v>
      </c>
      <c r="E12897" s="17"/>
      <c r="F12897" s="17" t="s">
        <v>17246</v>
      </c>
      <c r="G12897" s="17"/>
      <c r="H12897" s="17" t="s">
        <v>23950</v>
      </c>
      <c r="I12897" s="17" t="s">
        <v>26604</v>
      </c>
      <c r="J12897" s="17" t="s">
        <v>47099</v>
      </c>
      <c r="K12897" s="17"/>
      <c r="L12897" s="17" t="s">
        <v>47100</v>
      </c>
      <c r="M12897" s="17"/>
      <c r="N12897" s="17" t="s">
        <v>28740</v>
      </c>
      <c r="O12897" s="17"/>
      <c r="P12897" s="17" t="s">
        <v>28741</v>
      </c>
      <c r="Q12897" s="17"/>
      <c r="R12897" s="25" t="str">
        <f>HYPERLINK("https://ictv.global/taxonomy/taxondetails?taxnode_id=202300188","Orthotospovirus citrullomaculosi")</f>
        <v>Orthotospovirus citrullomaculosi</v>
      </c>
      <c r="S12897" s="18" t="s">
        <v>30</v>
      </c>
      <c r="T12897" s="18" t="s">
        <v>28774</v>
      </c>
      <c r="U12897" s="18" t="s">
        <v>28775</v>
      </c>
      <c r="V12897" s="18"/>
      <c r="W12897" s="18" t="s">
        <v>28776</v>
      </c>
      <c r="X12897" s="18" t="s">
        <v>42</v>
      </c>
      <c r="Y12897" s="18" t="s">
        <v>23955</v>
      </c>
      <c r="Z12897" s="18" t="s">
        <v>15964</v>
      </c>
      <c r="AA12897" s="21" t="str">
        <f>HYPERLINK("https://www.ncbi.nlm.nih.gov/nuccore/AF133128,U75379,U78734","NCBI Nucleotide")</f>
        <v>NCBI Nucleotide</v>
      </c>
    </row>
    <row r="12898" spans="1:27" x14ac:dyDescent="0.35">
      <c r="A12898">
        <v>1001028</v>
      </c>
      <c r="B12898">
        <v>12062</v>
      </c>
      <c r="C12898">
        <v>1</v>
      </c>
      <c r="D12898" s="17" t="s">
        <v>17166</v>
      </c>
      <c r="E12898" s="17"/>
      <c r="F12898" s="17" t="s">
        <v>17246</v>
      </c>
      <c r="G12898" s="17"/>
      <c r="H12898" s="17" t="s">
        <v>23950</v>
      </c>
      <c r="I12898" s="17" t="s">
        <v>26604</v>
      </c>
      <c r="J12898" s="17" t="s">
        <v>47099</v>
      </c>
      <c r="K12898" s="17"/>
      <c r="L12898" s="17" t="s">
        <v>47100</v>
      </c>
      <c r="M12898" s="17"/>
      <c r="N12898" s="17" t="s">
        <v>28740</v>
      </c>
      <c r="O12898" s="17"/>
      <c r="P12898" s="17" t="s">
        <v>28741</v>
      </c>
      <c r="Q12898" s="17"/>
      <c r="R12898" s="25" t="str">
        <f>HYPERLINK("https://ictv.global/taxonomy/taxondetails?taxnode_id=202300187","Orthotospovirus citrullonecrosis")</f>
        <v>Orthotospovirus citrullonecrosis</v>
      </c>
      <c r="S12898" s="18" t="s">
        <v>30</v>
      </c>
      <c r="T12898" s="18" t="s">
        <v>28777</v>
      </c>
      <c r="U12898" s="18" t="s">
        <v>28778</v>
      </c>
      <c r="V12898" s="18" t="s">
        <v>18810</v>
      </c>
      <c r="W12898" s="18" t="s">
        <v>50640</v>
      </c>
      <c r="X12898" s="18" t="s">
        <v>42</v>
      </c>
      <c r="Y12898" s="18" t="s">
        <v>23955</v>
      </c>
      <c r="Z12898" s="18" t="s">
        <v>15964</v>
      </c>
      <c r="AA12898" s="21" t="str">
        <f>HYPERLINK("https://www.ncbi.nlm.nih.gov/nuccore/GU735408,GU584185,GU584184","NCBI Nucleotide")</f>
        <v>NCBI Nucleotide</v>
      </c>
    </row>
    <row r="12899" spans="1:27" x14ac:dyDescent="0.35">
      <c r="A12899">
        <v>1001029</v>
      </c>
      <c r="B12899">
        <v>12063</v>
      </c>
      <c r="C12899">
        <v>1</v>
      </c>
      <c r="D12899" s="17" t="s">
        <v>17166</v>
      </c>
      <c r="E12899" s="17"/>
      <c r="F12899" s="17" t="s">
        <v>17246</v>
      </c>
      <c r="G12899" s="17"/>
      <c r="H12899" s="17" t="s">
        <v>23950</v>
      </c>
      <c r="I12899" s="17" t="s">
        <v>26604</v>
      </c>
      <c r="J12899" s="17" t="s">
        <v>47099</v>
      </c>
      <c r="K12899" s="17"/>
      <c r="L12899" s="17" t="s">
        <v>47100</v>
      </c>
      <c r="M12899" s="17"/>
      <c r="N12899" s="17" t="s">
        <v>28740</v>
      </c>
      <c r="O12899" s="17"/>
      <c r="P12899" s="17" t="s">
        <v>28741</v>
      </c>
      <c r="Q12899" s="17"/>
      <c r="R12899" s="25" t="str">
        <f>HYPERLINK("https://ictv.global/taxonomy/taxondetails?taxnode_id=202300189","Orthotospovirus cucurbichlorosis")</f>
        <v>Orthotospovirus cucurbichlorosis</v>
      </c>
      <c r="S12899" s="18" t="s">
        <v>30</v>
      </c>
      <c r="T12899" s="18" t="s">
        <v>28779</v>
      </c>
      <c r="U12899" s="18" t="s">
        <v>28780</v>
      </c>
      <c r="V12899" s="18" t="s">
        <v>28781</v>
      </c>
      <c r="W12899" s="18" t="s">
        <v>28782</v>
      </c>
      <c r="X12899" s="18" t="s">
        <v>42</v>
      </c>
      <c r="Y12899" s="18" t="s">
        <v>23955</v>
      </c>
      <c r="Z12899" s="18" t="s">
        <v>15964</v>
      </c>
      <c r="AA12899" s="21" t="str">
        <f>HYPERLINK("https://www.ncbi.nlm.nih.gov/nuccore/KU641378,KU641379,KU641380","NCBI Nucleotide")</f>
        <v>NCBI Nucleotide</v>
      </c>
    </row>
    <row r="12900" spans="1:27" x14ac:dyDescent="0.35">
      <c r="A12900">
        <v>1001030</v>
      </c>
      <c r="B12900">
        <v>12064</v>
      </c>
      <c r="C12900">
        <v>1</v>
      </c>
      <c r="D12900" s="17" t="s">
        <v>17166</v>
      </c>
      <c r="E12900" s="17"/>
      <c r="F12900" s="17" t="s">
        <v>17246</v>
      </c>
      <c r="G12900" s="17"/>
      <c r="H12900" s="17" t="s">
        <v>23950</v>
      </c>
      <c r="I12900" s="17" t="s">
        <v>26604</v>
      </c>
      <c r="J12900" s="17" t="s">
        <v>47099</v>
      </c>
      <c r="K12900" s="17"/>
      <c r="L12900" s="17" t="s">
        <v>47100</v>
      </c>
      <c r="M12900" s="17"/>
      <c r="N12900" s="17" t="s">
        <v>28740</v>
      </c>
      <c r="O12900" s="17"/>
      <c r="P12900" s="17" t="s">
        <v>28741</v>
      </c>
      <c r="Q12900" s="17"/>
      <c r="R12900" s="25" t="str">
        <f>HYPERLINK("https://ictv.global/taxonomy/taxondetails?taxnode_id=202306667","Orthotospovirus glycininecrovenae")</f>
        <v>Orthotospovirus glycininecrovenae</v>
      </c>
      <c r="S12900" s="18" t="s">
        <v>30</v>
      </c>
      <c r="T12900" s="18" t="s">
        <v>28783</v>
      </c>
      <c r="U12900" s="18" t="s">
        <v>28784</v>
      </c>
      <c r="V12900" s="18" t="s">
        <v>28159</v>
      </c>
      <c r="W12900" s="18" t="s">
        <v>28785</v>
      </c>
      <c r="X12900" s="18" t="s">
        <v>42</v>
      </c>
      <c r="Y12900" s="18" t="s">
        <v>23955</v>
      </c>
      <c r="Z12900" s="18" t="s">
        <v>15964</v>
      </c>
      <c r="AA12900" s="21" t="str">
        <f>HYPERLINK("https://www.ncbi.nlm.nih.gov/nuccore/HQ728385,HQ728386,HQ728387","NCBI Nucleotide")</f>
        <v>NCBI Nucleotide</v>
      </c>
    </row>
    <row r="12901" spans="1:27" x14ac:dyDescent="0.35">
      <c r="A12901">
        <v>1001031</v>
      </c>
      <c r="B12901">
        <v>12065</v>
      </c>
      <c r="C12901">
        <v>1</v>
      </c>
      <c r="D12901" s="17" t="s">
        <v>17166</v>
      </c>
      <c r="E12901" s="17"/>
      <c r="F12901" s="17" t="s">
        <v>17246</v>
      </c>
      <c r="G12901" s="17"/>
      <c r="H12901" s="17" t="s">
        <v>23950</v>
      </c>
      <c r="I12901" s="17" t="s">
        <v>26604</v>
      </c>
      <c r="J12901" s="17" t="s">
        <v>47099</v>
      </c>
      <c r="K12901" s="17"/>
      <c r="L12901" s="17" t="s">
        <v>47100</v>
      </c>
      <c r="M12901" s="17"/>
      <c r="N12901" s="17" t="s">
        <v>28740</v>
      </c>
      <c r="O12901" s="17"/>
      <c r="P12901" s="17" t="s">
        <v>28741</v>
      </c>
      <c r="Q12901" s="17"/>
      <c r="R12901" s="25" t="str">
        <f>HYPERLINK("https://ictv.global/taxonomy/taxondetails?taxnode_id=202307248","Orthotospovirus hippeflavi")</f>
        <v>Orthotospovirus hippeflavi</v>
      </c>
      <c r="S12901" s="18" t="s">
        <v>30</v>
      </c>
      <c r="T12901" s="18" t="s">
        <v>28786</v>
      </c>
      <c r="U12901" s="18" t="s">
        <v>28787</v>
      </c>
      <c r="V12901" s="18" t="s">
        <v>28788</v>
      </c>
      <c r="W12901" s="18" t="s">
        <v>50853</v>
      </c>
      <c r="X12901" s="18" t="s">
        <v>42</v>
      </c>
      <c r="Y12901" s="18" t="s">
        <v>23955</v>
      </c>
      <c r="Z12901" s="18" t="s">
        <v>15964</v>
      </c>
      <c r="AA12901" s="21" t="str">
        <f>HYPERLINK("https://www.ncbi.nlm.nih.gov/nuccore/HG763861,JX833565,JX833564","NCBI Nucleotide")</f>
        <v>NCBI Nucleotide</v>
      </c>
    </row>
    <row r="12902" spans="1:27" x14ac:dyDescent="0.35">
      <c r="A12902">
        <v>1001032</v>
      </c>
      <c r="B12902">
        <v>12066</v>
      </c>
      <c r="C12902">
        <v>1</v>
      </c>
      <c r="D12902" s="17" t="s">
        <v>17166</v>
      </c>
      <c r="E12902" s="17"/>
      <c r="F12902" s="17" t="s">
        <v>17246</v>
      </c>
      <c r="G12902" s="17"/>
      <c r="H12902" s="17" t="s">
        <v>23950</v>
      </c>
      <c r="I12902" s="17" t="s">
        <v>26604</v>
      </c>
      <c r="J12902" s="17" t="s">
        <v>47099</v>
      </c>
      <c r="K12902" s="17"/>
      <c r="L12902" s="17" t="s">
        <v>47100</v>
      </c>
      <c r="M12902" s="17"/>
      <c r="N12902" s="17" t="s">
        <v>28740</v>
      </c>
      <c r="O12902" s="17"/>
      <c r="P12902" s="17" t="s">
        <v>28741</v>
      </c>
      <c r="Q12902" s="17"/>
      <c r="R12902" s="25" t="str">
        <f>HYPERLINK("https://ictv.global/taxonomy/taxondetails?taxnode_id=202300182","Orthotospovirus impatiensnecromaculae")</f>
        <v>Orthotospovirus impatiensnecromaculae</v>
      </c>
      <c r="S12902" s="18" t="s">
        <v>30</v>
      </c>
      <c r="T12902" s="18" t="s">
        <v>28789</v>
      </c>
      <c r="U12902" s="18" t="s">
        <v>28790</v>
      </c>
      <c r="V12902" s="18" t="s">
        <v>28791</v>
      </c>
      <c r="W12902" s="18" t="s">
        <v>50641</v>
      </c>
      <c r="X12902" s="18" t="s">
        <v>42</v>
      </c>
      <c r="Y12902" s="18" t="s">
        <v>23955</v>
      </c>
      <c r="Z12902" s="18" t="s">
        <v>15964</v>
      </c>
      <c r="AA12902" s="21" t="str">
        <f>HYPERLINK("https://www.ncbi.nlm.nih.gov/nuccore/X93218,M74904,X66972","NCBI Nucleotide")</f>
        <v>NCBI Nucleotide</v>
      </c>
    </row>
    <row r="12903" spans="1:27" x14ac:dyDescent="0.35">
      <c r="A12903">
        <v>1001033</v>
      </c>
      <c r="B12903">
        <v>12067</v>
      </c>
      <c r="C12903">
        <v>1</v>
      </c>
      <c r="D12903" s="17" t="s">
        <v>17166</v>
      </c>
      <c r="E12903" s="17"/>
      <c r="F12903" s="17" t="s">
        <v>17246</v>
      </c>
      <c r="G12903" s="17"/>
      <c r="H12903" s="17" t="s">
        <v>23950</v>
      </c>
      <c r="I12903" s="17" t="s">
        <v>26604</v>
      </c>
      <c r="J12903" s="17" t="s">
        <v>47099</v>
      </c>
      <c r="K12903" s="17"/>
      <c r="L12903" s="17" t="s">
        <v>47100</v>
      </c>
      <c r="M12903" s="17"/>
      <c r="N12903" s="17" t="s">
        <v>28740</v>
      </c>
      <c r="O12903" s="17"/>
      <c r="P12903" s="17" t="s">
        <v>28741</v>
      </c>
      <c r="Q12903" s="17"/>
      <c r="R12903" s="25" t="str">
        <f>HYPERLINK("https://ictv.global/taxonomy/taxondetails?taxnode_id=202300183","Orthotospovirus iridimaculaflavi")</f>
        <v>Orthotospovirus iridimaculaflavi</v>
      </c>
      <c r="S12903" s="18" t="s">
        <v>30</v>
      </c>
      <c r="T12903" s="18" t="s">
        <v>28792</v>
      </c>
      <c r="U12903" s="18" t="s">
        <v>28793</v>
      </c>
      <c r="V12903" s="18"/>
      <c r="W12903" s="18" t="s">
        <v>50642</v>
      </c>
      <c r="X12903" s="18" t="s">
        <v>42</v>
      </c>
      <c r="Y12903" s="18" t="s">
        <v>23955</v>
      </c>
      <c r="Z12903" s="18" t="s">
        <v>15964</v>
      </c>
      <c r="AA12903" s="21" t="str">
        <f>HYPERLINK("https://www.ncbi.nlm.nih.gov/nuccore/FJ623474,AF214014,AF001387","NCBI Nucleotide")</f>
        <v>NCBI Nucleotide</v>
      </c>
    </row>
    <row r="12904" spans="1:27" x14ac:dyDescent="0.35">
      <c r="A12904">
        <v>1001034</v>
      </c>
      <c r="B12904">
        <v>12068</v>
      </c>
      <c r="C12904">
        <v>1</v>
      </c>
      <c r="D12904" s="17" t="s">
        <v>17166</v>
      </c>
      <c r="E12904" s="17"/>
      <c r="F12904" s="17" t="s">
        <v>17246</v>
      </c>
      <c r="G12904" s="17"/>
      <c r="H12904" s="17" t="s">
        <v>23950</v>
      </c>
      <c r="I12904" s="17" t="s">
        <v>26604</v>
      </c>
      <c r="J12904" s="17" t="s">
        <v>47099</v>
      </c>
      <c r="K12904" s="17"/>
      <c r="L12904" s="17" t="s">
        <v>47100</v>
      </c>
      <c r="M12904" s="17"/>
      <c r="N12904" s="17" t="s">
        <v>28740</v>
      </c>
      <c r="O12904" s="17"/>
      <c r="P12904" s="17" t="s">
        <v>28741</v>
      </c>
      <c r="Q12904" s="17"/>
      <c r="R12904" s="25" t="str">
        <f>HYPERLINK("https://ictv.global/taxonomy/taxondetails?taxnode_id=202306666","Orthotospovirus meloflavi")</f>
        <v>Orthotospovirus meloflavi</v>
      </c>
      <c r="S12904" s="18" t="s">
        <v>30</v>
      </c>
      <c r="T12904" s="18" t="s">
        <v>28794</v>
      </c>
      <c r="U12904" s="18" t="s">
        <v>26387</v>
      </c>
      <c r="V12904" s="18" t="s">
        <v>28795</v>
      </c>
      <c r="W12904" s="18" t="s">
        <v>50643</v>
      </c>
      <c r="X12904" s="18" t="s">
        <v>42</v>
      </c>
      <c r="Y12904" s="18" t="s">
        <v>23955</v>
      </c>
      <c r="Z12904" s="18" t="s">
        <v>15964</v>
      </c>
      <c r="AA12904" s="21" t="str">
        <f>HYPERLINK("https://www.ncbi.nlm.nih.gov/nuccore/AB061774,AB061773,AB038343","NCBI Nucleotide")</f>
        <v>NCBI Nucleotide</v>
      </c>
    </row>
    <row r="12905" spans="1:27" x14ac:dyDescent="0.35">
      <c r="A12905">
        <v>1001035</v>
      </c>
      <c r="B12905">
        <v>12069</v>
      </c>
      <c r="C12905">
        <v>1</v>
      </c>
      <c r="D12905" s="17" t="s">
        <v>17166</v>
      </c>
      <c r="E12905" s="17"/>
      <c r="F12905" s="17" t="s">
        <v>17246</v>
      </c>
      <c r="G12905" s="17"/>
      <c r="H12905" s="17" t="s">
        <v>23950</v>
      </c>
      <c r="I12905" s="17" t="s">
        <v>26604</v>
      </c>
      <c r="J12905" s="17" t="s">
        <v>47099</v>
      </c>
      <c r="K12905" s="17"/>
      <c r="L12905" s="17" t="s">
        <v>47100</v>
      </c>
      <c r="M12905" s="17"/>
      <c r="N12905" s="17" t="s">
        <v>28740</v>
      </c>
      <c r="O12905" s="17"/>
      <c r="P12905" s="17" t="s">
        <v>28741</v>
      </c>
      <c r="Q12905" s="17"/>
      <c r="R12905" s="25" t="str">
        <f>HYPERLINK("https://ictv.global/taxonomy/taxondetails?taxnode_id=202306665","Orthotospovirus melotessellati")</f>
        <v>Orthotospovirus melotessellati</v>
      </c>
      <c r="S12905" s="18" t="s">
        <v>30</v>
      </c>
      <c r="T12905" s="18" t="s">
        <v>28796</v>
      </c>
      <c r="U12905" s="18" t="s">
        <v>16205</v>
      </c>
      <c r="V12905" s="18" t="s">
        <v>28797</v>
      </c>
      <c r="W12905" s="18" t="s">
        <v>50644</v>
      </c>
      <c r="X12905" s="18" t="s">
        <v>42</v>
      </c>
      <c r="Y12905" s="18" t="s">
        <v>23955</v>
      </c>
      <c r="Z12905" s="18" t="s">
        <v>15964</v>
      </c>
      <c r="AA12905" s="21" t="str">
        <f>HYPERLINK("https://www.ncbi.nlm.nih.gov/nuccore/KX698424,KX698423,KX698422","NCBI Nucleotide")</f>
        <v>NCBI Nucleotide</v>
      </c>
    </row>
    <row r="12906" spans="1:27" x14ac:dyDescent="0.35">
      <c r="A12906">
        <v>1001036</v>
      </c>
      <c r="B12906">
        <v>12070</v>
      </c>
      <c r="C12906">
        <v>1</v>
      </c>
      <c r="D12906" s="17" t="s">
        <v>17166</v>
      </c>
      <c r="E12906" s="17"/>
      <c r="F12906" s="17" t="s">
        <v>17246</v>
      </c>
      <c r="G12906" s="17"/>
      <c r="H12906" s="17" t="s">
        <v>23950</v>
      </c>
      <c r="I12906" s="17" t="s">
        <v>26604</v>
      </c>
      <c r="J12906" s="17" t="s">
        <v>47099</v>
      </c>
      <c r="K12906" s="17"/>
      <c r="L12906" s="17" t="s">
        <v>47100</v>
      </c>
      <c r="M12906" s="17"/>
      <c r="N12906" s="17" t="s">
        <v>28740</v>
      </c>
      <c r="O12906" s="17"/>
      <c r="P12906" s="17" t="s">
        <v>28741</v>
      </c>
      <c r="Q12906" s="17"/>
      <c r="R12906" s="25" t="str">
        <f>HYPERLINK("https://ictv.global/taxonomy/taxondetails?taxnode_id=202307249","Orthotospovirus morivenae")</f>
        <v>Orthotospovirus morivenae</v>
      </c>
      <c r="S12906" s="18" t="s">
        <v>30</v>
      </c>
      <c r="T12906" s="18" t="s">
        <v>28798</v>
      </c>
      <c r="U12906" s="18" t="s">
        <v>18418</v>
      </c>
      <c r="V12906" s="18" t="s">
        <v>28799</v>
      </c>
      <c r="W12906" s="18" t="s">
        <v>28800</v>
      </c>
      <c r="X12906" s="18" t="s">
        <v>42</v>
      </c>
      <c r="Y12906" s="18" t="s">
        <v>23955</v>
      </c>
      <c r="Z12906" s="18" t="s">
        <v>15964</v>
      </c>
      <c r="AA12906" s="21" t="str">
        <f>HYPERLINK("https://www.ncbi.nlm.nih.gov/nuccore/KM819698,KM819699,KM819701","NCBI Nucleotide")</f>
        <v>NCBI Nucleotide</v>
      </c>
    </row>
    <row r="12907" spans="1:27" x14ac:dyDescent="0.35">
      <c r="A12907">
        <v>1001037</v>
      </c>
      <c r="B12907">
        <v>12071</v>
      </c>
      <c r="C12907">
        <v>1</v>
      </c>
      <c r="D12907" s="17" t="s">
        <v>17166</v>
      </c>
      <c r="E12907" s="17"/>
      <c r="F12907" s="17" t="s">
        <v>17246</v>
      </c>
      <c r="G12907" s="17"/>
      <c r="H12907" s="17" t="s">
        <v>23950</v>
      </c>
      <c r="I12907" s="17" t="s">
        <v>26604</v>
      </c>
      <c r="J12907" s="17" t="s">
        <v>47099</v>
      </c>
      <c r="K12907" s="17"/>
      <c r="L12907" s="17" t="s">
        <v>47100</v>
      </c>
      <c r="M12907" s="17"/>
      <c r="N12907" s="17" t="s">
        <v>28740</v>
      </c>
      <c r="O12907" s="17"/>
      <c r="P12907" s="17" t="s">
        <v>28741</v>
      </c>
      <c r="Q12907" s="17"/>
      <c r="R12907" s="25" t="str">
        <f>HYPERLINK("https://ictv.global/taxonomy/taxondetails?taxnode_id=202306661","Orthotospovirus phaseolinecrotessellati")</f>
        <v>Orthotospovirus phaseolinecrotessellati</v>
      </c>
      <c r="S12907" s="18" t="s">
        <v>30</v>
      </c>
      <c r="T12907" s="18" t="s">
        <v>28801</v>
      </c>
      <c r="U12907" s="18" t="s">
        <v>28802</v>
      </c>
      <c r="V12907" s="18" t="s">
        <v>28803</v>
      </c>
      <c r="W12907" s="18" t="s">
        <v>50645</v>
      </c>
      <c r="X12907" s="18" t="s">
        <v>42</v>
      </c>
      <c r="Y12907" s="18" t="s">
        <v>23955</v>
      </c>
      <c r="Z12907" s="18" t="s">
        <v>15964</v>
      </c>
      <c r="AA12907" s="21" t="str">
        <f>HYPERLINK("https://www.ncbi.nlm.nih.gov/nuccore/JF417980,JN587269,JN587268","NCBI Nucleotide")</f>
        <v>NCBI Nucleotide</v>
      </c>
    </row>
    <row r="12908" spans="1:27" x14ac:dyDescent="0.35">
      <c r="A12908">
        <v>1001038</v>
      </c>
      <c r="B12908">
        <v>12072</v>
      </c>
      <c r="C12908">
        <v>1</v>
      </c>
      <c r="D12908" s="17" t="s">
        <v>17166</v>
      </c>
      <c r="E12908" s="17"/>
      <c r="F12908" s="17" t="s">
        <v>17246</v>
      </c>
      <c r="G12908" s="17"/>
      <c r="H12908" s="17" t="s">
        <v>23950</v>
      </c>
      <c r="I12908" s="17" t="s">
        <v>26604</v>
      </c>
      <c r="J12908" s="17" t="s">
        <v>47099</v>
      </c>
      <c r="K12908" s="17"/>
      <c r="L12908" s="17" t="s">
        <v>47100</v>
      </c>
      <c r="M12908" s="17"/>
      <c r="N12908" s="17" t="s">
        <v>28740</v>
      </c>
      <c r="O12908" s="17"/>
      <c r="P12908" s="17" t="s">
        <v>28741</v>
      </c>
      <c r="Q12908" s="17"/>
      <c r="R12908" s="25" t="str">
        <f>HYPERLINK("https://ictv.global/taxonomy/taxondetails?taxnode_id=202300184","Orthotospovirus polygonianuli")</f>
        <v>Orthotospovirus polygonianuli</v>
      </c>
      <c r="S12908" s="18" t="s">
        <v>30</v>
      </c>
      <c r="T12908" s="18" t="s">
        <v>28804</v>
      </c>
      <c r="U12908" s="18" t="s">
        <v>28805</v>
      </c>
      <c r="V12908" s="18" t="s">
        <v>28806</v>
      </c>
      <c r="W12908" s="18" t="s">
        <v>50646</v>
      </c>
      <c r="X12908" s="18" t="s">
        <v>42</v>
      </c>
      <c r="Y12908" s="18" t="s">
        <v>23955</v>
      </c>
      <c r="Z12908" s="18" t="s">
        <v>15964</v>
      </c>
      <c r="AA12908" s="21" t="str">
        <f>HYPERLINK("https://www.ncbi.nlm.nih.gov/nuccore/KJ541746,KJ541745,KJ541744","NCBI Nucleotide")</f>
        <v>NCBI Nucleotide</v>
      </c>
    </row>
    <row r="12909" spans="1:27" x14ac:dyDescent="0.35">
      <c r="A12909">
        <v>1001039</v>
      </c>
      <c r="B12909">
        <v>12073</v>
      </c>
      <c r="C12909">
        <v>1</v>
      </c>
      <c r="D12909" s="17" t="s">
        <v>17166</v>
      </c>
      <c r="E12909" s="17"/>
      <c r="F12909" s="17" t="s">
        <v>17246</v>
      </c>
      <c r="G12909" s="17"/>
      <c r="H12909" s="17" t="s">
        <v>23950</v>
      </c>
      <c r="I12909" s="17" t="s">
        <v>26604</v>
      </c>
      <c r="J12909" s="17" t="s">
        <v>47099</v>
      </c>
      <c r="K12909" s="17"/>
      <c r="L12909" s="17" t="s">
        <v>47100</v>
      </c>
      <c r="M12909" s="17"/>
      <c r="N12909" s="17" t="s">
        <v>28740</v>
      </c>
      <c r="O12909" s="17"/>
      <c r="P12909" s="17" t="s">
        <v>28741</v>
      </c>
      <c r="Q12909" s="17"/>
      <c r="R12909" s="25" t="str">
        <f>HYPERLINK("https://ictv.global/taxonomy/taxondetails?taxnode_id=202307251","Orthotospovirus tomatanuli")</f>
        <v>Orthotospovirus tomatanuli</v>
      </c>
      <c r="S12909" s="18" t="s">
        <v>30</v>
      </c>
      <c r="T12909" s="18" t="s">
        <v>28807</v>
      </c>
      <c r="U12909" s="18" t="s">
        <v>28808</v>
      </c>
      <c r="V12909" s="18" t="s">
        <v>28809</v>
      </c>
      <c r="W12909" s="18" t="s">
        <v>50647</v>
      </c>
      <c r="X12909" s="18" t="s">
        <v>42</v>
      </c>
      <c r="Y12909" s="18" t="s">
        <v>23955</v>
      </c>
      <c r="Z12909" s="18" t="s">
        <v>15964</v>
      </c>
      <c r="AA12909" s="21" t="str">
        <f>HYPERLINK("https://www.ncbi.nlm.nih.gov/nuccore/JN560178,JN560177,AY686718","NCBI Nucleotide")</f>
        <v>NCBI Nucleotide</v>
      </c>
    </row>
    <row r="12910" spans="1:27" x14ac:dyDescent="0.35">
      <c r="A12910">
        <v>1001040</v>
      </c>
      <c r="B12910">
        <v>12074</v>
      </c>
      <c r="C12910">
        <v>1</v>
      </c>
      <c r="D12910" s="17" t="s">
        <v>17166</v>
      </c>
      <c r="E12910" s="17"/>
      <c r="F12910" s="17" t="s">
        <v>17246</v>
      </c>
      <c r="G12910" s="17"/>
      <c r="H12910" s="17" t="s">
        <v>23950</v>
      </c>
      <c r="I12910" s="17" t="s">
        <v>26604</v>
      </c>
      <c r="J12910" s="17" t="s">
        <v>47099</v>
      </c>
      <c r="K12910" s="17"/>
      <c r="L12910" s="17" t="s">
        <v>47100</v>
      </c>
      <c r="M12910" s="17"/>
      <c r="N12910" s="17" t="s">
        <v>28740</v>
      </c>
      <c r="O12910" s="17"/>
      <c r="P12910" s="17" t="s">
        <v>28741</v>
      </c>
      <c r="Q12910" s="17"/>
      <c r="R12910" s="25" t="str">
        <f>HYPERLINK("https://ictv.global/taxonomy/taxondetails?taxnode_id=202300185","Orthotospovirus tomatoflavi")</f>
        <v>Orthotospovirus tomatoflavi</v>
      </c>
      <c r="S12910" s="18" t="s">
        <v>30</v>
      </c>
      <c r="T12910" s="18" t="s">
        <v>28810</v>
      </c>
      <c r="U12910" s="18" t="s">
        <v>28811</v>
      </c>
      <c r="V12910" s="18" t="s">
        <v>28812</v>
      </c>
      <c r="W12910" s="18" t="s">
        <v>28813</v>
      </c>
      <c r="X12910" s="18" t="s">
        <v>154</v>
      </c>
      <c r="Y12910" s="18" t="s">
        <v>23955</v>
      </c>
      <c r="Z12910" s="18" t="s">
        <v>15964</v>
      </c>
      <c r="AA12910" s="21" t="str">
        <f>HYPERLINK("https://www.ncbi.nlm.nih.gov/nuccore/HQ700667","NCBI Nucleotide")</f>
        <v>NCBI Nucleotide</v>
      </c>
    </row>
    <row r="12911" spans="1:27" x14ac:dyDescent="0.35">
      <c r="A12911">
        <v>1001041</v>
      </c>
      <c r="B12911">
        <v>12075</v>
      </c>
      <c r="C12911">
        <v>1</v>
      </c>
      <c r="D12911" s="17" t="s">
        <v>17166</v>
      </c>
      <c r="E12911" s="17"/>
      <c r="F12911" s="17" t="s">
        <v>17246</v>
      </c>
      <c r="G12911" s="17"/>
      <c r="H12911" s="17" t="s">
        <v>23950</v>
      </c>
      <c r="I12911" s="17" t="s">
        <v>26604</v>
      </c>
      <c r="J12911" s="17" t="s">
        <v>47099</v>
      </c>
      <c r="K12911" s="17"/>
      <c r="L12911" s="17" t="s">
        <v>47100</v>
      </c>
      <c r="M12911" s="17"/>
      <c r="N12911" s="17" t="s">
        <v>28740</v>
      </c>
      <c r="O12911" s="17"/>
      <c r="P12911" s="17" t="s">
        <v>28741</v>
      </c>
      <c r="Q12911" s="17"/>
      <c r="R12911" s="25" t="str">
        <f>HYPERLINK("https://ictv.global/taxonomy/taxondetails?taxnode_id=202300186","Orthotospovirus tomatomaculae")</f>
        <v>Orthotospovirus tomatomaculae</v>
      </c>
      <c r="S12911" s="18" t="s">
        <v>30</v>
      </c>
      <c r="T12911" s="18" t="s">
        <v>28814</v>
      </c>
      <c r="U12911" s="18" t="s">
        <v>28815</v>
      </c>
      <c r="V12911" s="18" t="s">
        <v>28816</v>
      </c>
      <c r="W12911" s="18" t="s">
        <v>50648</v>
      </c>
      <c r="X12911" s="18" t="s">
        <v>42</v>
      </c>
      <c r="Y12911" s="18" t="s">
        <v>23955</v>
      </c>
      <c r="Z12911" s="18" t="s">
        <v>15964</v>
      </c>
      <c r="AA12911" s="21" t="str">
        <f>HYPERLINK("https://www.ncbi.nlm.nih.gov/nuccore/D10066,S48091,D00645","NCBI Nucleotide")</f>
        <v>NCBI Nucleotide</v>
      </c>
    </row>
    <row r="12912" spans="1:27" x14ac:dyDescent="0.35">
      <c r="A12912">
        <v>1001042</v>
      </c>
      <c r="B12912">
        <v>12076</v>
      </c>
      <c r="C12912">
        <v>1</v>
      </c>
      <c r="D12912" s="17" t="s">
        <v>17166</v>
      </c>
      <c r="E12912" s="17"/>
      <c r="F12912" s="17" t="s">
        <v>17246</v>
      </c>
      <c r="G12912" s="17"/>
      <c r="H12912" s="17" t="s">
        <v>23950</v>
      </c>
      <c r="I12912" s="17" t="s">
        <v>26604</v>
      </c>
      <c r="J12912" s="17" t="s">
        <v>47099</v>
      </c>
      <c r="K12912" s="17"/>
      <c r="L12912" s="17" t="s">
        <v>47100</v>
      </c>
      <c r="M12912" s="17"/>
      <c r="N12912" s="17" t="s">
        <v>28740</v>
      </c>
      <c r="O12912" s="17"/>
      <c r="P12912" s="17" t="s">
        <v>28741</v>
      </c>
      <c r="Q12912" s="17"/>
      <c r="R12912" s="25" t="str">
        <f>HYPERLINK("https://ictv.global/taxonomy/taxondetails?taxnode_id=202307252","Orthotospovirus tomatozonae")</f>
        <v>Orthotospovirus tomatozonae</v>
      </c>
      <c r="S12912" s="18" t="s">
        <v>30</v>
      </c>
      <c r="T12912" s="18" t="s">
        <v>28817</v>
      </c>
      <c r="U12912" s="18" t="s">
        <v>28818</v>
      </c>
      <c r="V12912" s="18" t="s">
        <v>28819</v>
      </c>
      <c r="W12912" s="18" t="s">
        <v>50649</v>
      </c>
      <c r="X12912" s="18" t="s">
        <v>42</v>
      </c>
      <c r="Y12912" s="18" t="s">
        <v>23955</v>
      </c>
      <c r="Z12912" s="18" t="s">
        <v>15964</v>
      </c>
      <c r="AA12912" s="21" t="str">
        <f>HYPERLINK("https://www.ncbi.nlm.nih.gov/nuccore/EF552435,EF552434,EF552433","NCBI Nucleotide")</f>
        <v>NCBI Nucleotide</v>
      </c>
    </row>
    <row r="12913" spans="1:27" x14ac:dyDescent="0.35">
      <c r="A12913">
        <v>1001043</v>
      </c>
      <c r="B12913">
        <v>12077</v>
      </c>
      <c r="C12913">
        <v>1</v>
      </c>
      <c r="D12913" s="17" t="s">
        <v>17166</v>
      </c>
      <c r="E12913" s="17"/>
      <c r="F12913" s="17" t="s">
        <v>17246</v>
      </c>
      <c r="G12913" s="17"/>
      <c r="H12913" s="17" t="s">
        <v>23950</v>
      </c>
      <c r="I12913" s="17" t="s">
        <v>26604</v>
      </c>
      <c r="J12913" s="17" t="s">
        <v>47099</v>
      </c>
      <c r="K12913" s="17"/>
      <c r="L12913" s="17" t="s">
        <v>47100</v>
      </c>
      <c r="M12913" s="17"/>
      <c r="N12913" s="17" t="s">
        <v>28820</v>
      </c>
      <c r="O12913" s="17"/>
      <c r="P12913" s="17" t="s">
        <v>28821</v>
      </c>
      <c r="Q12913" s="17"/>
      <c r="R12913" s="25" t="str">
        <f>HYPERLINK("https://ictv.global/taxonomy/taxondetails?taxnode_id=202312961","Orthotulasvirus tulasnellae")</f>
        <v>Orthotulasvirus tulasnellae</v>
      </c>
      <c r="S12913" s="18" t="s">
        <v>30</v>
      </c>
      <c r="T12913" s="18" t="s">
        <v>28822</v>
      </c>
      <c r="U12913" s="18" t="s">
        <v>28823</v>
      </c>
      <c r="V12913" s="18" t="s">
        <v>28824</v>
      </c>
      <c r="W12913" s="18" t="s">
        <v>28825</v>
      </c>
      <c r="X12913" s="18" t="s">
        <v>42</v>
      </c>
      <c r="Y12913" s="18" t="s">
        <v>23955</v>
      </c>
      <c r="Z12913" s="18" t="s">
        <v>16721</v>
      </c>
      <c r="AA12913" s="21" t="str">
        <f>HYPERLINK("https://www.ncbi.nlm.nih.gov/nuccore/MN793997","NCBI Nucleotide")</f>
        <v>NCBI Nucleotide</v>
      </c>
    </row>
    <row r="12914" spans="1:27" x14ac:dyDescent="0.35">
      <c r="A12914">
        <v>1024479</v>
      </c>
      <c r="B12914">
        <v>12078</v>
      </c>
      <c r="C12914">
        <v>1</v>
      </c>
      <c r="D12914" s="17" t="s">
        <v>17166</v>
      </c>
      <c r="E12914" s="17"/>
      <c r="F12914" s="17" t="s">
        <v>17246</v>
      </c>
      <c r="G12914" s="17"/>
      <c r="H12914" s="17" t="s">
        <v>23950</v>
      </c>
      <c r="I12914" s="17" t="s">
        <v>26604</v>
      </c>
      <c r="J12914" s="17" t="s">
        <v>47099</v>
      </c>
      <c r="K12914" s="17"/>
      <c r="L12914" s="17" t="s">
        <v>47100</v>
      </c>
      <c r="M12914" s="17"/>
      <c r="N12914" s="17" t="s">
        <v>28820</v>
      </c>
      <c r="O12914" s="17"/>
      <c r="P12914" s="17" t="s">
        <v>47177</v>
      </c>
      <c r="Q12914" s="17"/>
      <c r="R12914" s="25" t="str">
        <f>HYPERLINK("https://ictv.global/taxonomy/taxondetails?taxnode_id=202318851","Paratulasvirus agrocybes")</f>
        <v>Paratulasvirus agrocybes</v>
      </c>
      <c r="S12914" s="18" t="s">
        <v>30</v>
      </c>
      <c r="T12914" s="18" t="s">
        <v>47178</v>
      </c>
      <c r="U12914" s="18" t="s">
        <v>47179</v>
      </c>
      <c r="V12914" s="18" t="s">
        <v>47180</v>
      </c>
      <c r="W12914" s="18" t="s">
        <v>47181</v>
      </c>
      <c r="X12914" s="18" t="s">
        <v>35</v>
      </c>
      <c r="Y12914" s="18" t="s">
        <v>23955</v>
      </c>
      <c r="Z12914" s="18" t="s">
        <v>16721</v>
      </c>
      <c r="AA12914" s="21" t="str">
        <f>HYPERLINK("https://www.ncbi.nlm.nih.gov/nuccore/LC746218","NCBI Nucleotide")</f>
        <v>NCBI Nucleotide</v>
      </c>
    </row>
    <row r="12915" spans="1:27" x14ac:dyDescent="0.35">
      <c r="A12915">
        <v>1011032</v>
      </c>
      <c r="B12915">
        <v>12079</v>
      </c>
      <c r="C12915">
        <v>1</v>
      </c>
      <c r="D12915" s="17" t="s">
        <v>17166</v>
      </c>
      <c r="E12915" s="17"/>
      <c r="F12915" s="17" t="s">
        <v>17246</v>
      </c>
      <c r="G12915" s="17"/>
      <c r="H12915" s="17" t="s">
        <v>23950</v>
      </c>
      <c r="I12915" s="17" t="s">
        <v>26604</v>
      </c>
      <c r="J12915" s="17" t="s">
        <v>47099</v>
      </c>
      <c r="K12915" s="17"/>
      <c r="L12915" s="17" t="s">
        <v>47182</v>
      </c>
      <c r="M12915" s="17"/>
      <c r="N12915" s="17" t="s">
        <v>26605</v>
      </c>
      <c r="O12915" s="17"/>
      <c r="P12915" s="17" t="s">
        <v>26606</v>
      </c>
      <c r="Q12915" s="17"/>
      <c r="R12915" s="25" t="str">
        <f>HYPERLINK("https://ictv.global/taxonomy/taxondetails?taxnode_id=202306321","Antennavirus hirsutum")</f>
        <v>Antennavirus hirsutum</v>
      </c>
      <c r="S12915" s="18" t="s">
        <v>30</v>
      </c>
      <c r="T12915" s="18" t="s">
        <v>26607</v>
      </c>
      <c r="U12915" s="18" t="s">
        <v>26608</v>
      </c>
      <c r="V12915" s="18" t="s">
        <v>26609</v>
      </c>
      <c r="W12915" s="18" t="s">
        <v>50650</v>
      </c>
      <c r="X12915" s="18" t="s">
        <v>42</v>
      </c>
      <c r="Y12915" s="18" t="s">
        <v>50974</v>
      </c>
      <c r="Z12915" s="18" t="s">
        <v>166</v>
      </c>
      <c r="AA12915" s="21" t="str">
        <f>HYPERLINK("https://www.ncbi.nlm.nih.gov/nuccore/MG599866,MG599868,MG599867","NCBI Nucleotide")</f>
        <v>NCBI Nucleotide</v>
      </c>
    </row>
    <row r="12916" spans="1:27" x14ac:dyDescent="0.35">
      <c r="A12916">
        <v>1011033</v>
      </c>
      <c r="B12916">
        <v>12080</v>
      </c>
      <c r="C12916">
        <v>1</v>
      </c>
      <c r="D12916" s="17" t="s">
        <v>17166</v>
      </c>
      <c r="E12916" s="17"/>
      <c r="F12916" s="17" t="s">
        <v>17246</v>
      </c>
      <c r="G12916" s="17"/>
      <c r="H12916" s="17" t="s">
        <v>23950</v>
      </c>
      <c r="I12916" s="17" t="s">
        <v>26604</v>
      </c>
      <c r="J12916" s="17" t="s">
        <v>47099</v>
      </c>
      <c r="K12916" s="17"/>
      <c r="L12916" s="17" t="s">
        <v>47182</v>
      </c>
      <c r="M12916" s="17"/>
      <c r="N12916" s="17" t="s">
        <v>26605</v>
      </c>
      <c r="O12916" s="17"/>
      <c r="P12916" s="17" t="s">
        <v>26606</v>
      </c>
      <c r="Q12916" s="17"/>
      <c r="R12916" s="25" t="str">
        <f>HYPERLINK("https://ictv.global/taxonomy/taxondetails?taxnode_id=202309577","Antennavirus salmonis")</f>
        <v>Antennavirus salmonis</v>
      </c>
      <c r="S12916" s="18" t="s">
        <v>30</v>
      </c>
      <c r="T12916" s="18" t="s">
        <v>26610</v>
      </c>
      <c r="U12916" s="18" t="s">
        <v>26611</v>
      </c>
      <c r="V12916" s="18" t="s">
        <v>26612</v>
      </c>
      <c r="W12916" s="18" t="s">
        <v>26613</v>
      </c>
      <c r="X12916" s="18" t="s">
        <v>35</v>
      </c>
      <c r="Y12916" s="18" t="s">
        <v>23964</v>
      </c>
      <c r="Z12916" s="18" t="s">
        <v>166</v>
      </c>
      <c r="AA12916" s="21" t="str">
        <f>HYPERLINK("https://www.ncbi.nlm.nih.gov/nuccore/MK611982,MK611983,MK611984","NCBI Nucleotide")</f>
        <v>NCBI Nucleotide</v>
      </c>
    </row>
    <row r="12917" spans="1:27" x14ac:dyDescent="0.35">
      <c r="A12917">
        <v>1012889</v>
      </c>
      <c r="B12917">
        <v>12080</v>
      </c>
      <c r="C12917">
        <v>2</v>
      </c>
      <c r="D12917" s="17" t="s">
        <v>17166</v>
      </c>
      <c r="E12917" s="17"/>
      <c r="F12917" s="17" t="s">
        <v>17246</v>
      </c>
      <c r="G12917" s="17"/>
      <c r="H12917" s="17" t="s">
        <v>23950</v>
      </c>
      <c r="I12917" s="17" t="s">
        <v>26604</v>
      </c>
      <c r="J12917" s="17" t="s">
        <v>47099</v>
      </c>
      <c r="K12917" s="17"/>
      <c r="L12917" s="17" t="s">
        <v>47182</v>
      </c>
      <c r="M12917" s="17"/>
      <c r="N12917" s="17" t="s">
        <v>26605</v>
      </c>
      <c r="O12917" s="17"/>
      <c r="P12917" s="17" t="s">
        <v>26606</v>
      </c>
      <c r="Q12917" s="17"/>
      <c r="R12917" s="25" t="str">
        <f>HYPERLINK("https://ictv.global/taxonomy/taxondetails?taxnode_id=202309577","Antennavirus salmonis")</f>
        <v>Antennavirus salmonis</v>
      </c>
      <c r="S12917" s="18" t="s">
        <v>8141</v>
      </c>
      <c r="T12917" s="18" t="s">
        <v>26617</v>
      </c>
      <c r="U12917" s="18" t="s">
        <v>26618</v>
      </c>
      <c r="V12917" s="18" t="s">
        <v>26619</v>
      </c>
      <c r="W12917" s="18" t="s">
        <v>49530</v>
      </c>
      <c r="X12917" s="18" t="s">
        <v>35</v>
      </c>
      <c r="Y12917" s="18" t="s">
        <v>23964</v>
      </c>
      <c r="Z12917" s="18" t="s">
        <v>166</v>
      </c>
      <c r="AA12917" s="21" t="str">
        <f>HYPERLINK("https://www.ncbi.nlm.nih.gov/nuccore/MK611981,MK611979,MK611980","NCBI Nucleotide")</f>
        <v>NCBI Nucleotide</v>
      </c>
    </row>
    <row r="12918" spans="1:27" x14ac:dyDescent="0.35">
      <c r="A12918">
        <v>1011034</v>
      </c>
      <c r="B12918">
        <v>12081</v>
      </c>
      <c r="C12918">
        <v>1</v>
      </c>
      <c r="D12918" s="17" t="s">
        <v>17166</v>
      </c>
      <c r="E12918" s="17"/>
      <c r="F12918" s="17" t="s">
        <v>17246</v>
      </c>
      <c r="G12918" s="17"/>
      <c r="H12918" s="17" t="s">
        <v>23950</v>
      </c>
      <c r="I12918" s="17" t="s">
        <v>26604</v>
      </c>
      <c r="J12918" s="17" t="s">
        <v>47099</v>
      </c>
      <c r="K12918" s="17"/>
      <c r="L12918" s="17" t="s">
        <v>47182</v>
      </c>
      <c r="M12918" s="17"/>
      <c r="N12918" s="17" t="s">
        <v>26605</v>
      </c>
      <c r="O12918" s="17"/>
      <c r="P12918" s="17" t="s">
        <v>26606</v>
      </c>
      <c r="Q12918" s="17"/>
      <c r="R12918" s="25" t="str">
        <f>HYPERLINK("https://ictv.global/taxonomy/taxondetails?taxnode_id=202306320","Antennavirus striale")</f>
        <v>Antennavirus striale</v>
      </c>
      <c r="S12918" s="18" t="s">
        <v>30</v>
      </c>
      <c r="T12918" s="18" t="s">
        <v>26614</v>
      </c>
      <c r="U12918" s="18" t="s">
        <v>26615</v>
      </c>
      <c r="V12918" s="18" t="s">
        <v>26616</v>
      </c>
      <c r="W12918" s="18" t="s">
        <v>50651</v>
      </c>
      <c r="X12918" s="18" t="s">
        <v>42</v>
      </c>
      <c r="Y12918" s="18" t="s">
        <v>50974</v>
      </c>
      <c r="Z12918" s="18" t="s">
        <v>166</v>
      </c>
      <c r="AA12918" s="21" t="str">
        <f>HYPERLINK("https://www.ncbi.nlm.nih.gov/nuccore/MG599863,MG599865,MG599864","NCBI Nucleotide")</f>
        <v>NCBI Nucleotide</v>
      </c>
    </row>
    <row r="12919" spans="1:27" x14ac:dyDescent="0.35">
      <c r="A12919">
        <v>1011035</v>
      </c>
      <c r="B12919">
        <v>12082</v>
      </c>
      <c r="C12919">
        <v>1</v>
      </c>
      <c r="D12919" s="17" t="s">
        <v>17166</v>
      </c>
      <c r="E12919" s="17"/>
      <c r="F12919" s="17" t="s">
        <v>17246</v>
      </c>
      <c r="G12919" s="17"/>
      <c r="H12919" s="17" t="s">
        <v>23950</v>
      </c>
      <c r="I12919" s="17" t="s">
        <v>26604</v>
      </c>
      <c r="J12919" s="17" t="s">
        <v>47099</v>
      </c>
      <c r="K12919" s="17"/>
      <c r="L12919" s="17" t="s">
        <v>47182</v>
      </c>
      <c r="M12919" s="17"/>
      <c r="N12919" s="17" t="s">
        <v>26605</v>
      </c>
      <c r="O12919" s="17"/>
      <c r="P12919" s="17" t="s">
        <v>26620</v>
      </c>
      <c r="Q12919" s="17"/>
      <c r="R12919" s="25" t="str">
        <f>HYPERLINK("https://ictv.global/taxonomy/taxondetails?taxnode_id=202309599","Hartmanivirus brazilense")</f>
        <v>Hartmanivirus brazilense</v>
      </c>
      <c r="S12919" s="18" t="s">
        <v>30</v>
      </c>
      <c r="T12919" s="18" t="s">
        <v>26621</v>
      </c>
      <c r="U12919" s="18" t="s">
        <v>26622</v>
      </c>
      <c r="V12919" s="18"/>
      <c r="W12919" s="18" t="s">
        <v>50993</v>
      </c>
      <c r="X12919" s="18" t="s">
        <v>154</v>
      </c>
      <c r="Y12919" s="18" t="s">
        <v>50974</v>
      </c>
      <c r="Z12919" s="18" t="s">
        <v>166</v>
      </c>
      <c r="AA12919" s="21" t="str">
        <f>HYPERLINK("https://www.ncbi.nlm.nih.gov/nuccore/MN567049,MN567050,MN567048","NCBI Nucleotide")</f>
        <v>NCBI Nucleotide</v>
      </c>
    </row>
    <row r="12920" spans="1:27" x14ac:dyDescent="0.35">
      <c r="A12920">
        <v>1011036</v>
      </c>
      <c r="B12920">
        <v>12083</v>
      </c>
      <c r="C12920">
        <v>1</v>
      </c>
      <c r="D12920" s="17" t="s">
        <v>17166</v>
      </c>
      <c r="E12920" s="17"/>
      <c r="F12920" s="17" t="s">
        <v>17246</v>
      </c>
      <c r="G12920" s="17"/>
      <c r="H12920" s="17" t="s">
        <v>23950</v>
      </c>
      <c r="I12920" s="17" t="s">
        <v>26604</v>
      </c>
      <c r="J12920" s="17" t="s">
        <v>47099</v>
      </c>
      <c r="K12920" s="17"/>
      <c r="L12920" s="17" t="s">
        <v>47182</v>
      </c>
      <c r="M12920" s="17"/>
      <c r="N12920" s="17" t="s">
        <v>26605</v>
      </c>
      <c r="O12920" s="17"/>
      <c r="P12920" s="17" t="s">
        <v>26620</v>
      </c>
      <c r="Q12920" s="17"/>
      <c r="R12920" s="25" t="str">
        <f>HYPERLINK("https://ictv.global/taxonomy/taxondetails?taxnode_id=202305740","Hartmanivirus haartmani")</f>
        <v>Hartmanivirus haartmani</v>
      </c>
      <c r="S12920" s="18" t="s">
        <v>30</v>
      </c>
      <c r="T12920" s="18" t="s">
        <v>26623</v>
      </c>
      <c r="U12920" s="18" t="s">
        <v>26624</v>
      </c>
      <c r="V12920" s="18">
        <v>1</v>
      </c>
      <c r="W12920" s="18" t="s">
        <v>50652</v>
      </c>
      <c r="X12920" s="18" t="s">
        <v>35</v>
      </c>
      <c r="Y12920" s="18" t="s">
        <v>50974</v>
      </c>
      <c r="Z12920" s="18" t="s">
        <v>166</v>
      </c>
      <c r="AA12920" s="21" t="str">
        <f>HYPERLINK("https://www.ncbi.nlm.nih.gov/nuccore/KR870031,KR870017","NCBI Nucleotide")</f>
        <v>NCBI Nucleotide</v>
      </c>
    </row>
    <row r="12921" spans="1:27" x14ac:dyDescent="0.35">
      <c r="A12921">
        <v>1012890</v>
      </c>
      <c r="B12921">
        <v>12083</v>
      </c>
      <c r="C12921">
        <v>2</v>
      </c>
      <c r="D12921" s="17" t="s">
        <v>17166</v>
      </c>
      <c r="E12921" s="17"/>
      <c r="F12921" s="17" t="s">
        <v>17246</v>
      </c>
      <c r="G12921" s="17"/>
      <c r="H12921" s="17" t="s">
        <v>23950</v>
      </c>
      <c r="I12921" s="17" t="s">
        <v>26604</v>
      </c>
      <c r="J12921" s="17" t="s">
        <v>47099</v>
      </c>
      <c r="K12921" s="17"/>
      <c r="L12921" s="17" t="s">
        <v>47182</v>
      </c>
      <c r="M12921" s="17"/>
      <c r="N12921" s="17" t="s">
        <v>26605</v>
      </c>
      <c r="O12921" s="17"/>
      <c r="P12921" s="17" t="s">
        <v>26620</v>
      </c>
      <c r="Q12921" s="17"/>
      <c r="R12921" s="25" t="str">
        <f>HYPERLINK("https://ictv.global/taxonomy/taxondetails?taxnode_id=202305740","Hartmanivirus haartmani")</f>
        <v>Hartmanivirus haartmani</v>
      </c>
      <c r="S12921" s="18" t="s">
        <v>8141</v>
      </c>
      <c r="T12921" s="18" t="s">
        <v>26647</v>
      </c>
      <c r="U12921" s="18" t="s">
        <v>26648</v>
      </c>
      <c r="V12921" s="18" t="s">
        <v>26649</v>
      </c>
      <c r="W12921" s="18" t="s">
        <v>49531</v>
      </c>
      <c r="X12921" s="18" t="s">
        <v>35</v>
      </c>
      <c r="Y12921" s="18" t="s">
        <v>50974</v>
      </c>
      <c r="Z12921" s="18" t="s">
        <v>166</v>
      </c>
      <c r="AA12921" s="21" t="str">
        <f>HYPERLINK("https://www.ncbi.nlm.nih.gov/nuccore/MH483042,MH483041","NCBI Nucleotide")</f>
        <v>NCBI Nucleotide</v>
      </c>
    </row>
    <row r="12922" spans="1:27" x14ac:dyDescent="0.35">
      <c r="A12922">
        <v>1011037</v>
      </c>
      <c r="B12922">
        <v>12084</v>
      </c>
      <c r="C12922">
        <v>1</v>
      </c>
      <c r="D12922" s="17" t="s">
        <v>17166</v>
      </c>
      <c r="E12922" s="17"/>
      <c r="F12922" s="17" t="s">
        <v>17246</v>
      </c>
      <c r="G12922" s="17"/>
      <c r="H12922" s="17" t="s">
        <v>23950</v>
      </c>
      <c r="I12922" s="17" t="s">
        <v>26604</v>
      </c>
      <c r="J12922" s="17" t="s">
        <v>47099</v>
      </c>
      <c r="K12922" s="17"/>
      <c r="L12922" s="17" t="s">
        <v>47182</v>
      </c>
      <c r="M12922" s="17"/>
      <c r="N12922" s="17" t="s">
        <v>26605</v>
      </c>
      <c r="O12922" s="17"/>
      <c r="P12922" s="17" t="s">
        <v>26620</v>
      </c>
      <c r="Q12922" s="17"/>
      <c r="R12922" s="25" t="str">
        <f>HYPERLINK("https://ictv.global/taxonomy/taxondetails?taxnode_id=202307277","Hartmanivirus helvetiae")</f>
        <v>Hartmanivirus helvetiae</v>
      </c>
      <c r="S12922" s="18" t="s">
        <v>30</v>
      </c>
      <c r="T12922" s="18" t="s">
        <v>26625</v>
      </c>
      <c r="U12922" s="18" t="s">
        <v>26626</v>
      </c>
      <c r="V12922" s="18" t="s">
        <v>26627</v>
      </c>
      <c r="W12922" s="18" t="s">
        <v>50653</v>
      </c>
      <c r="X12922" s="18" t="s">
        <v>35</v>
      </c>
      <c r="Y12922" s="18" t="s">
        <v>50974</v>
      </c>
      <c r="Z12922" s="18" t="s">
        <v>166</v>
      </c>
      <c r="AA12922" s="21" t="str">
        <f>HYPERLINK("https://www.ncbi.nlm.nih.gov/nuccore/MH778629,MH483026","NCBI Nucleotide")</f>
        <v>NCBI Nucleotide</v>
      </c>
    </row>
    <row r="12923" spans="1:27" x14ac:dyDescent="0.35">
      <c r="A12923">
        <v>1011038</v>
      </c>
      <c r="B12923">
        <v>12085</v>
      </c>
      <c r="C12923">
        <v>1</v>
      </c>
      <c r="D12923" s="17" t="s">
        <v>17166</v>
      </c>
      <c r="E12923" s="17"/>
      <c r="F12923" s="17" t="s">
        <v>17246</v>
      </c>
      <c r="G12923" s="17"/>
      <c r="H12923" s="17" t="s">
        <v>23950</v>
      </c>
      <c r="I12923" s="17" t="s">
        <v>26604</v>
      </c>
      <c r="J12923" s="17" t="s">
        <v>47099</v>
      </c>
      <c r="K12923" s="17"/>
      <c r="L12923" s="17" t="s">
        <v>47182</v>
      </c>
      <c r="M12923" s="17"/>
      <c r="N12923" s="17" t="s">
        <v>26605</v>
      </c>
      <c r="O12923" s="17"/>
      <c r="P12923" s="17" t="s">
        <v>26620</v>
      </c>
      <c r="Q12923" s="17"/>
      <c r="R12923" s="25" t="str">
        <f>HYPERLINK("https://ictv.global/taxonomy/taxondetails?taxnode_id=202309600","Hartmanivirus patriae")</f>
        <v>Hartmanivirus patriae</v>
      </c>
      <c r="S12923" s="18" t="s">
        <v>30</v>
      </c>
      <c r="T12923" s="18" t="s">
        <v>26628</v>
      </c>
      <c r="U12923" s="18" t="s">
        <v>26629</v>
      </c>
      <c r="V12923" s="18"/>
      <c r="W12923" s="18" t="s">
        <v>50779</v>
      </c>
      <c r="X12923" s="18" t="s">
        <v>35</v>
      </c>
      <c r="Y12923" s="18" t="s">
        <v>50974</v>
      </c>
      <c r="Z12923" s="18" t="s">
        <v>166</v>
      </c>
      <c r="AA12923" s="21" t="str">
        <f>HYPERLINK("https://www.ncbi.nlm.nih.gov/nuccore/MN567062,MN567061","NCBI Nucleotide")</f>
        <v>NCBI Nucleotide</v>
      </c>
    </row>
    <row r="12924" spans="1:27" x14ac:dyDescent="0.35">
      <c r="A12924">
        <v>1011039</v>
      </c>
      <c r="B12924">
        <v>12086</v>
      </c>
      <c r="C12924">
        <v>1</v>
      </c>
      <c r="D12924" s="17" t="s">
        <v>17166</v>
      </c>
      <c r="E12924" s="17"/>
      <c r="F12924" s="17" t="s">
        <v>17246</v>
      </c>
      <c r="G12924" s="17"/>
      <c r="H12924" s="17" t="s">
        <v>23950</v>
      </c>
      <c r="I12924" s="17" t="s">
        <v>26604</v>
      </c>
      <c r="J12924" s="17" t="s">
        <v>47099</v>
      </c>
      <c r="K12924" s="17"/>
      <c r="L12924" s="17" t="s">
        <v>47182</v>
      </c>
      <c r="M12924" s="17"/>
      <c r="N12924" s="17" t="s">
        <v>26605</v>
      </c>
      <c r="O12924" s="17"/>
      <c r="P12924" s="17" t="s">
        <v>26620</v>
      </c>
      <c r="Q12924" s="17"/>
      <c r="R12924" s="25" t="str">
        <f>HYPERLINK("https://ictv.global/taxonomy/taxondetails?taxnode_id=202314182","Hartmanivirus quadrati")</f>
        <v>Hartmanivirus quadrati</v>
      </c>
      <c r="S12924" s="18" t="s">
        <v>30</v>
      </c>
      <c r="T12924" s="18" t="s">
        <v>26630</v>
      </c>
      <c r="U12924" s="18" t="s">
        <v>26631</v>
      </c>
      <c r="V12924" s="18" t="s">
        <v>26632</v>
      </c>
      <c r="W12924" s="18" t="s">
        <v>50780</v>
      </c>
      <c r="X12924" s="18" t="s">
        <v>35</v>
      </c>
      <c r="Y12924" s="18" t="s">
        <v>50974</v>
      </c>
      <c r="Z12924" s="18" t="s">
        <v>166</v>
      </c>
      <c r="AA12924" s="21" t="str">
        <f>HYPERLINK("https://www.ncbi.nlm.nih.gov/nuccore/OM456564,OM456563","NCBI Nucleotide")</f>
        <v>NCBI Nucleotide</v>
      </c>
    </row>
    <row r="12925" spans="1:27" x14ac:dyDescent="0.35">
      <c r="A12925">
        <v>1011040</v>
      </c>
      <c r="B12925">
        <v>12087</v>
      </c>
      <c r="C12925">
        <v>1</v>
      </c>
      <c r="D12925" s="17" t="s">
        <v>17166</v>
      </c>
      <c r="E12925" s="17"/>
      <c r="F12925" s="17" t="s">
        <v>17246</v>
      </c>
      <c r="G12925" s="17"/>
      <c r="H12925" s="17" t="s">
        <v>23950</v>
      </c>
      <c r="I12925" s="17" t="s">
        <v>26604</v>
      </c>
      <c r="J12925" s="17" t="s">
        <v>47099</v>
      </c>
      <c r="K12925" s="17"/>
      <c r="L12925" s="17" t="s">
        <v>47182</v>
      </c>
      <c r="M12925" s="17"/>
      <c r="N12925" s="17" t="s">
        <v>26605</v>
      </c>
      <c r="O12925" s="17"/>
      <c r="P12925" s="17" t="s">
        <v>26620</v>
      </c>
      <c r="Q12925" s="17"/>
      <c r="R12925" s="25" t="str">
        <f>HYPERLINK("https://ictv.global/taxonomy/taxondetails?taxnode_id=202307278","Hartmanivirus scholae")</f>
        <v>Hartmanivirus scholae</v>
      </c>
      <c r="S12925" s="18" t="s">
        <v>30</v>
      </c>
      <c r="T12925" s="18" t="s">
        <v>26633</v>
      </c>
      <c r="U12925" s="18" t="s">
        <v>26634</v>
      </c>
      <c r="V12925" s="18" t="s">
        <v>26635</v>
      </c>
      <c r="W12925" s="18" t="s">
        <v>50654</v>
      </c>
      <c r="X12925" s="18" t="s">
        <v>35</v>
      </c>
      <c r="Y12925" s="18" t="s">
        <v>50974</v>
      </c>
      <c r="Z12925" s="18" t="s">
        <v>166</v>
      </c>
      <c r="AA12925" s="21" t="str">
        <f>HYPERLINK("https://www.ncbi.nlm.nih.gov/nuccore/MH483025,MH483024","NCBI Nucleotide")</f>
        <v>NCBI Nucleotide</v>
      </c>
    </row>
    <row r="12926" spans="1:27" x14ac:dyDescent="0.35">
      <c r="A12926">
        <v>1012891</v>
      </c>
      <c r="B12926">
        <v>12087</v>
      </c>
      <c r="C12926">
        <v>2</v>
      </c>
      <c r="D12926" s="17" t="s">
        <v>17166</v>
      </c>
      <c r="E12926" s="17"/>
      <c r="F12926" s="17" t="s">
        <v>17246</v>
      </c>
      <c r="G12926" s="17"/>
      <c r="H12926" s="17" t="s">
        <v>23950</v>
      </c>
      <c r="I12926" s="17" t="s">
        <v>26604</v>
      </c>
      <c r="J12926" s="17" t="s">
        <v>47099</v>
      </c>
      <c r="K12926" s="17"/>
      <c r="L12926" s="17" t="s">
        <v>47182</v>
      </c>
      <c r="M12926" s="17"/>
      <c r="N12926" s="17" t="s">
        <v>26605</v>
      </c>
      <c r="O12926" s="17"/>
      <c r="P12926" s="17" t="s">
        <v>26620</v>
      </c>
      <c r="Q12926" s="17"/>
      <c r="R12926" s="25" t="str">
        <f>HYPERLINK("https://ictv.global/taxonomy/taxondetails?taxnode_id=202307278","Hartmanivirus scholae")</f>
        <v>Hartmanivirus scholae</v>
      </c>
      <c r="S12926" s="18" t="s">
        <v>8141</v>
      </c>
      <c r="T12926" s="18" t="s">
        <v>26636</v>
      </c>
      <c r="U12926" s="18" t="s">
        <v>26637</v>
      </c>
      <c r="V12926" s="18" t="s">
        <v>26638</v>
      </c>
      <c r="W12926" s="18" t="s">
        <v>49532</v>
      </c>
      <c r="X12926" s="18" t="s">
        <v>35</v>
      </c>
      <c r="Y12926" s="18" t="s">
        <v>50974</v>
      </c>
      <c r="Z12926" s="18" t="s">
        <v>166</v>
      </c>
      <c r="AA12926" s="21" t="str">
        <f>HYPERLINK("https://www.ncbi.nlm.nih.gov/nuccore/MH483030,MH483029","NCBI Nucleotide")</f>
        <v>NCBI Nucleotide</v>
      </c>
    </row>
    <row r="12927" spans="1:27" x14ac:dyDescent="0.35">
      <c r="A12927">
        <v>1011041</v>
      </c>
      <c r="B12927">
        <v>12088</v>
      </c>
      <c r="C12927">
        <v>1</v>
      </c>
      <c r="D12927" s="17" t="s">
        <v>17166</v>
      </c>
      <c r="E12927" s="17"/>
      <c r="F12927" s="17" t="s">
        <v>17246</v>
      </c>
      <c r="G12927" s="17"/>
      <c r="H12927" s="17" t="s">
        <v>23950</v>
      </c>
      <c r="I12927" s="17" t="s">
        <v>26604</v>
      </c>
      <c r="J12927" s="17" t="s">
        <v>47099</v>
      </c>
      <c r="K12927" s="17"/>
      <c r="L12927" s="17" t="s">
        <v>47182</v>
      </c>
      <c r="M12927" s="17"/>
      <c r="N12927" s="17" t="s">
        <v>26605</v>
      </c>
      <c r="O12927" s="17"/>
      <c r="P12927" s="17" t="s">
        <v>26620</v>
      </c>
      <c r="Q12927" s="17"/>
      <c r="R12927" s="25" t="str">
        <f>HYPERLINK("https://ictv.global/taxonomy/taxondetails?taxnode_id=202307279","Hartmanivirus turici")</f>
        <v>Hartmanivirus turici</v>
      </c>
      <c r="S12927" s="18" t="s">
        <v>30</v>
      </c>
      <c r="T12927" s="18" t="s">
        <v>26639</v>
      </c>
      <c r="U12927" s="18" t="s">
        <v>26640</v>
      </c>
      <c r="V12927" s="18" t="s">
        <v>26641</v>
      </c>
      <c r="W12927" s="18" t="s">
        <v>50655</v>
      </c>
      <c r="X12927" s="18" t="s">
        <v>35</v>
      </c>
      <c r="Y12927" s="18" t="s">
        <v>50974</v>
      </c>
      <c r="Z12927" s="18" t="s">
        <v>166</v>
      </c>
      <c r="AA12927" s="21" t="str">
        <f>HYPERLINK("https://www.ncbi.nlm.nih.gov/nuccore/MH483032,MH483031","NCBI Nucleotide")</f>
        <v>NCBI Nucleotide</v>
      </c>
    </row>
    <row r="12928" spans="1:27" x14ac:dyDescent="0.35">
      <c r="A12928">
        <v>1012892</v>
      </c>
      <c r="B12928">
        <v>12088</v>
      </c>
      <c r="C12928">
        <v>2</v>
      </c>
      <c r="D12928" s="17" t="s">
        <v>17166</v>
      </c>
      <c r="E12928" s="17"/>
      <c r="F12928" s="17" t="s">
        <v>17246</v>
      </c>
      <c r="G12928" s="17"/>
      <c r="H12928" s="17" t="s">
        <v>23950</v>
      </c>
      <c r="I12928" s="17" t="s">
        <v>26604</v>
      </c>
      <c r="J12928" s="17" t="s">
        <v>47099</v>
      </c>
      <c r="K12928" s="17"/>
      <c r="L12928" s="17" t="s">
        <v>47182</v>
      </c>
      <c r="M12928" s="17"/>
      <c r="N12928" s="17" t="s">
        <v>26605</v>
      </c>
      <c r="O12928" s="17"/>
      <c r="P12928" s="17" t="s">
        <v>26620</v>
      </c>
      <c r="Q12928" s="17"/>
      <c r="R12928" s="25" t="str">
        <f>HYPERLINK("https://ictv.global/taxonomy/taxondetails?taxnode_id=202307279","Hartmanivirus turici")</f>
        <v>Hartmanivirus turici</v>
      </c>
      <c r="S12928" s="18" t="s">
        <v>8141</v>
      </c>
      <c r="T12928" s="18" t="s">
        <v>26642</v>
      </c>
      <c r="U12928" s="18" t="s">
        <v>26643</v>
      </c>
      <c r="V12928" s="18" t="s">
        <v>26644</v>
      </c>
      <c r="W12928" s="18" t="s">
        <v>49533</v>
      </c>
      <c r="X12928" s="18" t="s">
        <v>35</v>
      </c>
      <c r="Y12928" s="18" t="s">
        <v>50974</v>
      </c>
      <c r="Z12928" s="18" t="s">
        <v>166</v>
      </c>
      <c r="AA12928" s="21" t="str">
        <f>HYPERLINK("https://www.ncbi.nlm.nih.gov/nuccore/MH483044,MH483043","NCBI Nucleotide")</f>
        <v>NCBI Nucleotide</v>
      </c>
    </row>
    <row r="12929" spans="1:27" x14ac:dyDescent="0.35">
      <c r="A12929">
        <v>1011042</v>
      </c>
      <c r="B12929">
        <v>12089</v>
      </c>
      <c r="C12929">
        <v>1</v>
      </c>
      <c r="D12929" s="17" t="s">
        <v>17166</v>
      </c>
      <c r="E12929" s="17"/>
      <c r="F12929" s="17" t="s">
        <v>17246</v>
      </c>
      <c r="G12929" s="17"/>
      <c r="H12929" s="17" t="s">
        <v>23950</v>
      </c>
      <c r="I12929" s="17" t="s">
        <v>26604</v>
      </c>
      <c r="J12929" s="17" t="s">
        <v>47099</v>
      </c>
      <c r="K12929" s="17"/>
      <c r="L12929" s="17" t="s">
        <v>47182</v>
      </c>
      <c r="M12929" s="17"/>
      <c r="N12929" s="17" t="s">
        <v>26605</v>
      </c>
      <c r="O12929" s="17"/>
      <c r="P12929" s="17" t="s">
        <v>26620</v>
      </c>
      <c r="Q12929" s="17"/>
      <c r="R12929" s="25" t="str">
        <f>HYPERLINK("https://ictv.global/taxonomy/taxondetails?taxnode_id=202314181","Hartmanivirus unni")</f>
        <v>Hartmanivirus unni</v>
      </c>
      <c r="S12929" s="18" t="s">
        <v>30</v>
      </c>
      <c r="T12929" s="18" t="s">
        <v>26645</v>
      </c>
      <c r="U12929" s="18" t="s">
        <v>26646</v>
      </c>
      <c r="V12929" s="18" t="s">
        <v>26632</v>
      </c>
      <c r="W12929" s="18" t="s">
        <v>47183</v>
      </c>
      <c r="X12929" s="18" t="s">
        <v>35</v>
      </c>
      <c r="Y12929" s="18" t="s">
        <v>50974</v>
      </c>
      <c r="Z12929" s="18" t="s">
        <v>166</v>
      </c>
      <c r="AA12929" s="21" t="str">
        <f>HYPERLINK("https://www.ncbi.nlm.nih.gov/nuccore/MW091472,MW091473","NCBI Nucleotide")</f>
        <v>NCBI Nucleotide</v>
      </c>
    </row>
    <row r="12930" spans="1:27" x14ac:dyDescent="0.35">
      <c r="A12930">
        <v>1011043</v>
      </c>
      <c r="B12930">
        <v>12090</v>
      </c>
      <c r="C12930">
        <v>1</v>
      </c>
      <c r="D12930" s="17" t="s">
        <v>17166</v>
      </c>
      <c r="E12930" s="17"/>
      <c r="F12930" s="17" t="s">
        <v>17246</v>
      </c>
      <c r="G12930" s="17"/>
      <c r="H12930" s="17" t="s">
        <v>23950</v>
      </c>
      <c r="I12930" s="17" t="s">
        <v>26604</v>
      </c>
      <c r="J12930" s="17" t="s">
        <v>47099</v>
      </c>
      <c r="K12930" s="17"/>
      <c r="L12930" s="17" t="s">
        <v>47182</v>
      </c>
      <c r="M12930" s="17"/>
      <c r="N12930" s="17" t="s">
        <v>26605</v>
      </c>
      <c r="O12930" s="17"/>
      <c r="P12930" s="17" t="s">
        <v>26650</v>
      </c>
      <c r="Q12930" s="17"/>
      <c r="R12930" s="25" t="str">
        <f>HYPERLINK("https://ictv.global/taxonomy/taxondetails?taxnode_id=202314161","Innmovirus hailarense")</f>
        <v>Innmovirus hailarense</v>
      </c>
      <c r="S12930" s="18" t="s">
        <v>30</v>
      </c>
      <c r="T12930" s="18" t="s">
        <v>26651</v>
      </c>
      <c r="U12930" s="18" t="s">
        <v>26652</v>
      </c>
      <c r="V12930" s="18" t="s">
        <v>26653</v>
      </c>
      <c r="W12930" s="18" t="s">
        <v>26654</v>
      </c>
      <c r="X12930" s="18" t="s">
        <v>35</v>
      </c>
      <c r="Y12930" s="18" t="s">
        <v>50974</v>
      </c>
      <c r="Z12930" s="18" t="s">
        <v>26655</v>
      </c>
      <c r="AA12930" s="21" t="str">
        <f>HYPERLINK("https://www.ncbi.nlm.nih.gov/nuccore/MW896845,MW896846,MW896847","NCBI Nucleotide")</f>
        <v>NCBI Nucleotide</v>
      </c>
    </row>
    <row r="12931" spans="1:27" x14ac:dyDescent="0.35">
      <c r="A12931">
        <v>1027990</v>
      </c>
      <c r="B12931">
        <v>12091</v>
      </c>
      <c r="C12931">
        <v>1</v>
      </c>
      <c r="D12931" s="17" t="s">
        <v>17166</v>
      </c>
      <c r="E12931" s="17"/>
      <c r="F12931" s="17" t="s">
        <v>17246</v>
      </c>
      <c r="G12931" s="17"/>
      <c r="H12931" s="17" t="s">
        <v>23950</v>
      </c>
      <c r="I12931" s="17" t="s">
        <v>26604</v>
      </c>
      <c r="J12931" s="17" t="s">
        <v>47099</v>
      </c>
      <c r="K12931" s="17"/>
      <c r="L12931" s="17" t="s">
        <v>47182</v>
      </c>
      <c r="M12931" s="17"/>
      <c r="N12931" s="17" t="s">
        <v>26605</v>
      </c>
      <c r="O12931" s="17"/>
      <c r="P12931" s="17" t="s">
        <v>26656</v>
      </c>
      <c r="Q12931" s="17"/>
      <c r="R12931" s="25" t="str">
        <f>HYPERLINK("https://ictv.global/taxonomy/taxondetails?taxnode_id=202319014","Mammarenavirus abaense")</f>
        <v>Mammarenavirus abaense</v>
      </c>
      <c r="S12931" s="18" t="s">
        <v>30</v>
      </c>
      <c r="T12931" s="18" t="s">
        <v>47184</v>
      </c>
      <c r="U12931" s="18" t="s">
        <v>47185</v>
      </c>
      <c r="V12931" s="18" t="s">
        <v>47186</v>
      </c>
      <c r="W12931" s="18" t="s">
        <v>50856</v>
      </c>
      <c r="X12931" s="18" t="s">
        <v>35</v>
      </c>
      <c r="Y12931" s="18" t="s">
        <v>23955</v>
      </c>
      <c r="Z12931" s="18" t="s">
        <v>166</v>
      </c>
      <c r="AA12931" s="21" t="str">
        <f>HYPERLINK("https://www.ncbi.nlm.nih.gov/nuccore/OQ348139,OQ348154","NCBI Nucleotide")</f>
        <v>NCBI Nucleotide</v>
      </c>
    </row>
    <row r="12932" spans="1:27" x14ac:dyDescent="0.35">
      <c r="A12932">
        <v>1011044</v>
      </c>
      <c r="B12932">
        <v>12092</v>
      </c>
      <c r="C12932">
        <v>1</v>
      </c>
      <c r="D12932" s="17" t="s">
        <v>17166</v>
      </c>
      <c r="E12932" s="17"/>
      <c r="F12932" s="17" t="s">
        <v>17246</v>
      </c>
      <c r="G12932" s="17"/>
      <c r="H12932" s="17" t="s">
        <v>23950</v>
      </c>
      <c r="I12932" s="17" t="s">
        <v>26604</v>
      </c>
      <c r="J12932" s="17" t="s">
        <v>47099</v>
      </c>
      <c r="K12932" s="17"/>
      <c r="L12932" s="17" t="s">
        <v>47182</v>
      </c>
      <c r="M12932" s="17"/>
      <c r="N12932" s="17" t="s">
        <v>26605</v>
      </c>
      <c r="O12932" s="17"/>
      <c r="P12932" s="17" t="s">
        <v>26656</v>
      </c>
      <c r="Q12932" s="17"/>
      <c r="R12932" s="25" t="str">
        <f>HYPERLINK("https://ictv.global/taxonomy/taxondetails?taxnode_id=202307461","Mammarenavirus alashanense")</f>
        <v>Mammarenavirus alashanense</v>
      </c>
      <c r="S12932" s="18" t="s">
        <v>30</v>
      </c>
      <c r="T12932" s="18" t="s">
        <v>26657</v>
      </c>
      <c r="U12932" s="18" t="s">
        <v>26658</v>
      </c>
      <c r="V12932" s="18" t="s">
        <v>26659</v>
      </c>
      <c r="W12932" s="18" t="s">
        <v>26660</v>
      </c>
      <c r="X12932" s="18" t="s">
        <v>35</v>
      </c>
      <c r="Y12932" s="18" t="s">
        <v>23955</v>
      </c>
      <c r="Z12932" s="18" t="s">
        <v>166</v>
      </c>
      <c r="AA12932" s="21" t="str">
        <f>HYPERLINK("https://www.ncbi.nlm.nih.gov/nuccore/KY432892,KY432893","NCBI Nucleotide")</f>
        <v>NCBI Nucleotide</v>
      </c>
    </row>
    <row r="12933" spans="1:27" x14ac:dyDescent="0.35">
      <c r="A12933">
        <v>1011045</v>
      </c>
      <c r="B12933">
        <v>12093</v>
      </c>
      <c r="C12933">
        <v>1</v>
      </c>
      <c r="D12933" s="17" t="s">
        <v>17166</v>
      </c>
      <c r="E12933" s="17"/>
      <c r="F12933" s="17" t="s">
        <v>17246</v>
      </c>
      <c r="G12933" s="17"/>
      <c r="H12933" s="17" t="s">
        <v>23950</v>
      </c>
      <c r="I12933" s="17" t="s">
        <v>26604</v>
      </c>
      <c r="J12933" s="17" t="s">
        <v>47099</v>
      </c>
      <c r="K12933" s="17"/>
      <c r="L12933" s="17" t="s">
        <v>47182</v>
      </c>
      <c r="M12933" s="17"/>
      <c r="N12933" s="17" t="s">
        <v>26605</v>
      </c>
      <c r="O12933" s="17"/>
      <c r="P12933" s="17" t="s">
        <v>26656</v>
      </c>
      <c r="Q12933" s="17"/>
      <c r="R12933" s="25" t="str">
        <f>HYPERLINK("https://ictv.global/taxonomy/taxondetails?taxnode_id=202302570","Mammarenavirus allpahuayoense")</f>
        <v>Mammarenavirus allpahuayoense</v>
      </c>
      <c r="S12933" s="18" t="s">
        <v>30</v>
      </c>
      <c r="T12933" s="18" t="s">
        <v>26661</v>
      </c>
      <c r="U12933" s="18" t="s">
        <v>26662</v>
      </c>
      <c r="V12933" s="18" t="s">
        <v>26663</v>
      </c>
      <c r="W12933" s="18" t="s">
        <v>50656</v>
      </c>
      <c r="X12933" s="18" t="s">
        <v>42</v>
      </c>
      <c r="Y12933" s="18" t="s">
        <v>23955</v>
      </c>
      <c r="Z12933" s="18" t="s">
        <v>166</v>
      </c>
      <c r="AA12933" s="21" t="str">
        <f>HYPERLINK("https://www.ncbi.nlm.nih.gov/nuccore/AY216502,AY012687","NCBI Nucleotide")</f>
        <v>NCBI Nucleotide</v>
      </c>
    </row>
    <row r="12934" spans="1:27" x14ac:dyDescent="0.35">
      <c r="A12934">
        <v>1011046</v>
      </c>
      <c r="B12934">
        <v>12094</v>
      </c>
      <c r="C12934">
        <v>1</v>
      </c>
      <c r="D12934" s="17" t="s">
        <v>17166</v>
      </c>
      <c r="E12934" s="17"/>
      <c r="F12934" s="17" t="s">
        <v>17246</v>
      </c>
      <c r="G12934" s="17"/>
      <c r="H12934" s="17" t="s">
        <v>23950</v>
      </c>
      <c r="I12934" s="17" t="s">
        <v>26604</v>
      </c>
      <c r="J12934" s="17" t="s">
        <v>47099</v>
      </c>
      <c r="K12934" s="17"/>
      <c r="L12934" s="17" t="s">
        <v>47182</v>
      </c>
      <c r="M12934" s="17"/>
      <c r="N12934" s="17" t="s">
        <v>26605</v>
      </c>
      <c r="O12934" s="17"/>
      <c r="P12934" s="17" t="s">
        <v>26656</v>
      </c>
      <c r="Q12934" s="17"/>
      <c r="R12934" s="25" t="str">
        <f>HYPERLINK("https://ictv.global/taxonomy/taxondetails?taxnode_id=202302571","Mammarenavirus amapariense")</f>
        <v>Mammarenavirus amapariense</v>
      </c>
      <c r="S12934" s="18" t="s">
        <v>30</v>
      </c>
      <c r="T12934" s="18" t="s">
        <v>26664</v>
      </c>
      <c r="U12934" s="18" t="s">
        <v>17333</v>
      </c>
      <c r="V12934" s="18" t="s">
        <v>26665</v>
      </c>
      <c r="W12934" s="18" t="s">
        <v>50657</v>
      </c>
      <c r="X12934" s="18" t="s">
        <v>42</v>
      </c>
      <c r="Y12934" s="18" t="s">
        <v>23955</v>
      </c>
      <c r="Z12934" s="18" t="s">
        <v>166</v>
      </c>
      <c r="AA12934" s="21" t="str">
        <f>HYPERLINK("https://www.ncbi.nlm.nih.gov/nuccore/AY216517,AF485256","NCBI Nucleotide")</f>
        <v>NCBI Nucleotide</v>
      </c>
    </row>
    <row r="12935" spans="1:27" x14ac:dyDescent="0.35">
      <c r="A12935">
        <v>1011047</v>
      </c>
      <c r="B12935">
        <v>12095</v>
      </c>
      <c r="C12935">
        <v>1</v>
      </c>
      <c r="D12935" s="17" t="s">
        <v>17166</v>
      </c>
      <c r="E12935" s="17"/>
      <c r="F12935" s="17" t="s">
        <v>17246</v>
      </c>
      <c r="G12935" s="17"/>
      <c r="H12935" s="17" t="s">
        <v>23950</v>
      </c>
      <c r="I12935" s="17" t="s">
        <v>26604</v>
      </c>
      <c r="J12935" s="17" t="s">
        <v>47099</v>
      </c>
      <c r="K12935" s="17"/>
      <c r="L12935" s="17" t="s">
        <v>47182</v>
      </c>
      <c r="M12935" s="17"/>
      <c r="N12935" s="17" t="s">
        <v>26605</v>
      </c>
      <c r="O12935" s="17"/>
      <c r="P12935" s="17" t="s">
        <v>26656</v>
      </c>
      <c r="Q12935" s="17"/>
      <c r="R12935" s="25" t="str">
        <f>HYPERLINK("https://ictv.global/taxonomy/taxondetails?taxnode_id=202307356","Mammarenavirus aporeense")</f>
        <v>Mammarenavirus aporeense</v>
      </c>
      <c r="S12935" s="18" t="s">
        <v>30</v>
      </c>
      <c r="T12935" s="18" t="s">
        <v>26666</v>
      </c>
      <c r="U12935" s="18" t="s">
        <v>26667</v>
      </c>
      <c r="V12935" s="18" t="s">
        <v>26668</v>
      </c>
      <c r="W12935" s="18" t="s">
        <v>50658</v>
      </c>
      <c r="X12935" s="18" t="s">
        <v>42</v>
      </c>
      <c r="Y12935" s="18" t="s">
        <v>23955</v>
      </c>
      <c r="Z12935" s="18" t="s">
        <v>166</v>
      </c>
      <c r="AA12935" s="21" t="str">
        <f>HYPERLINK("https://www.ncbi.nlm.nih.gov/nuccore/MF317491,MF317490","NCBI Nucleotide")</f>
        <v>NCBI Nucleotide</v>
      </c>
    </row>
    <row r="12936" spans="1:27" x14ac:dyDescent="0.35">
      <c r="A12936">
        <v>1027991</v>
      </c>
      <c r="B12936">
        <v>12096</v>
      </c>
      <c r="C12936">
        <v>1</v>
      </c>
      <c r="D12936" s="17" t="s">
        <v>17166</v>
      </c>
      <c r="E12936" s="17"/>
      <c r="F12936" s="17" t="s">
        <v>17246</v>
      </c>
      <c r="G12936" s="17"/>
      <c r="H12936" s="17" t="s">
        <v>23950</v>
      </c>
      <c r="I12936" s="17" t="s">
        <v>26604</v>
      </c>
      <c r="J12936" s="17" t="s">
        <v>47099</v>
      </c>
      <c r="K12936" s="17"/>
      <c r="L12936" s="17" t="s">
        <v>47182</v>
      </c>
      <c r="M12936" s="17"/>
      <c r="N12936" s="17" t="s">
        <v>26605</v>
      </c>
      <c r="O12936" s="17"/>
      <c r="P12936" s="17" t="s">
        <v>26656</v>
      </c>
      <c r="Q12936" s="17"/>
      <c r="R12936" s="25" t="str">
        <f>HYPERLINK("https://ictv.global/taxonomy/taxondetails?taxnode_id=202319010","Mammarenavirus batangense")</f>
        <v>Mammarenavirus batangense</v>
      </c>
      <c r="S12936" s="18" t="s">
        <v>30</v>
      </c>
      <c r="T12936" s="18" t="s">
        <v>47187</v>
      </c>
      <c r="U12936" s="18" t="s">
        <v>47188</v>
      </c>
      <c r="V12936" s="18" t="s">
        <v>47189</v>
      </c>
      <c r="W12936" s="18" t="s">
        <v>50857</v>
      </c>
      <c r="X12936" s="18" t="s">
        <v>35</v>
      </c>
      <c r="Y12936" s="18" t="s">
        <v>23955</v>
      </c>
      <c r="Z12936" s="18" t="s">
        <v>166</v>
      </c>
      <c r="AA12936" s="21" t="str">
        <f>HYPERLINK("https://www.ncbi.nlm.nih.gov/nuccore/MN443993,MN444013","NCBI Nucleotide")</f>
        <v>NCBI Nucleotide</v>
      </c>
    </row>
    <row r="12937" spans="1:27" x14ac:dyDescent="0.35">
      <c r="A12937">
        <v>1011048</v>
      </c>
      <c r="B12937">
        <v>12097</v>
      </c>
      <c r="C12937">
        <v>1</v>
      </c>
      <c r="D12937" s="17" t="s">
        <v>17166</v>
      </c>
      <c r="E12937" s="17"/>
      <c r="F12937" s="17" t="s">
        <v>17246</v>
      </c>
      <c r="G12937" s="17"/>
      <c r="H12937" s="17" t="s">
        <v>23950</v>
      </c>
      <c r="I12937" s="17" t="s">
        <v>26604</v>
      </c>
      <c r="J12937" s="17" t="s">
        <v>47099</v>
      </c>
      <c r="K12937" s="17"/>
      <c r="L12937" s="17" t="s">
        <v>47182</v>
      </c>
      <c r="M12937" s="17"/>
      <c r="N12937" s="17" t="s">
        <v>26605</v>
      </c>
      <c r="O12937" s="17"/>
      <c r="P12937" s="17" t="s">
        <v>26656</v>
      </c>
      <c r="Q12937" s="17"/>
      <c r="R12937" s="25" t="str">
        <f>HYPERLINK("https://ictv.global/taxonomy/taxondetails?taxnode_id=202302572","Mammarenavirus bearense")</f>
        <v>Mammarenavirus bearense</v>
      </c>
      <c r="S12937" s="18" t="s">
        <v>30</v>
      </c>
      <c r="T12937" s="18" t="s">
        <v>26669</v>
      </c>
      <c r="U12937" s="18" t="s">
        <v>26670</v>
      </c>
      <c r="V12937" s="18" t="s">
        <v>26671</v>
      </c>
      <c r="W12937" s="18" t="s">
        <v>26672</v>
      </c>
      <c r="X12937" s="18" t="s">
        <v>42</v>
      </c>
      <c r="Y12937" s="18" t="s">
        <v>23955</v>
      </c>
      <c r="Z12937" s="18" t="s">
        <v>166</v>
      </c>
      <c r="AA12937" s="21" t="str">
        <f>HYPERLINK("https://www.ncbi.nlm.nih.gov/nuccore/AY924390,AY924391","NCBI Nucleotide")</f>
        <v>NCBI Nucleotide</v>
      </c>
    </row>
    <row r="12938" spans="1:27" x14ac:dyDescent="0.35">
      <c r="A12938">
        <v>1027992</v>
      </c>
      <c r="B12938">
        <v>12098</v>
      </c>
      <c r="C12938">
        <v>1</v>
      </c>
      <c r="D12938" s="17" t="s">
        <v>17166</v>
      </c>
      <c r="E12938" s="17"/>
      <c r="F12938" s="17" t="s">
        <v>17246</v>
      </c>
      <c r="G12938" s="17"/>
      <c r="H12938" s="17" t="s">
        <v>23950</v>
      </c>
      <c r="I12938" s="17" t="s">
        <v>26604</v>
      </c>
      <c r="J12938" s="17" t="s">
        <v>47099</v>
      </c>
      <c r="K12938" s="17"/>
      <c r="L12938" s="17" t="s">
        <v>47182</v>
      </c>
      <c r="M12938" s="17"/>
      <c r="N12938" s="17" t="s">
        <v>26605</v>
      </c>
      <c r="O12938" s="17"/>
      <c r="P12938" s="17" t="s">
        <v>26656</v>
      </c>
      <c r="Q12938" s="17"/>
      <c r="R12938" s="25" t="str">
        <f>HYPERLINK("https://ictv.global/taxonomy/taxondetails?taxnode_id=202318093","Mammarenavirus beregaense")</f>
        <v>Mammarenavirus beregaense</v>
      </c>
      <c r="S12938" s="18" t="s">
        <v>30</v>
      </c>
      <c r="T12938" s="18" t="s">
        <v>47190</v>
      </c>
      <c r="U12938" s="18" t="s">
        <v>47191</v>
      </c>
      <c r="V12938" s="18" t="s">
        <v>47192</v>
      </c>
      <c r="W12938" s="18" t="s">
        <v>47193</v>
      </c>
      <c r="X12938" s="18" t="s">
        <v>35</v>
      </c>
      <c r="Y12938" s="18" t="s">
        <v>23955</v>
      </c>
      <c r="Z12938" s="18" t="s">
        <v>166</v>
      </c>
      <c r="AA12938" s="21" t="str">
        <f>HYPERLINK("https://www.ncbi.nlm.nih.gov/nuccore/OP775660,OP775661","NCBI Nucleotide")</f>
        <v>NCBI Nucleotide</v>
      </c>
    </row>
    <row r="12939" spans="1:27" x14ac:dyDescent="0.35">
      <c r="A12939">
        <v>1011049</v>
      </c>
      <c r="B12939">
        <v>12099</v>
      </c>
      <c r="C12939">
        <v>1</v>
      </c>
      <c r="D12939" s="17" t="s">
        <v>17166</v>
      </c>
      <c r="E12939" s="17"/>
      <c r="F12939" s="17" t="s">
        <v>17246</v>
      </c>
      <c r="G12939" s="17"/>
      <c r="H12939" s="17" t="s">
        <v>23950</v>
      </c>
      <c r="I12939" s="17" t="s">
        <v>26604</v>
      </c>
      <c r="J12939" s="17" t="s">
        <v>47099</v>
      </c>
      <c r="K12939" s="17"/>
      <c r="L12939" s="17" t="s">
        <v>47182</v>
      </c>
      <c r="M12939" s="17"/>
      <c r="N12939" s="17" t="s">
        <v>26605</v>
      </c>
      <c r="O12939" s="17"/>
      <c r="P12939" s="17" t="s">
        <v>26656</v>
      </c>
      <c r="Q12939" s="17"/>
      <c r="R12939" s="25" t="str">
        <f>HYPERLINK("https://ictv.global/taxonomy/taxondetails?taxnode_id=202313338","Mammarenavirus bituense")</f>
        <v>Mammarenavirus bituense</v>
      </c>
      <c r="S12939" s="18" t="s">
        <v>30</v>
      </c>
      <c r="T12939" s="18" t="s">
        <v>26673</v>
      </c>
      <c r="U12939" s="18" t="s">
        <v>26674</v>
      </c>
      <c r="V12939" s="18" t="s">
        <v>26675</v>
      </c>
      <c r="W12939" s="18" t="s">
        <v>47194</v>
      </c>
      <c r="X12939" s="18" t="s">
        <v>42</v>
      </c>
      <c r="Y12939" s="18" t="s">
        <v>23955</v>
      </c>
      <c r="Z12939" s="18" t="s">
        <v>166</v>
      </c>
      <c r="AA12939" s="21" t="str">
        <f>HYPERLINK("https://www.ncbi.nlm.nih.gov/nuccore/MZ065536,MZ065537","NCBI Nucleotide")</f>
        <v>NCBI Nucleotide</v>
      </c>
    </row>
    <row r="12940" spans="1:27" x14ac:dyDescent="0.35">
      <c r="A12940">
        <v>1011050</v>
      </c>
      <c r="B12940">
        <v>12100</v>
      </c>
      <c r="C12940">
        <v>1</v>
      </c>
      <c r="D12940" s="17" t="s">
        <v>17166</v>
      </c>
      <c r="E12940" s="17"/>
      <c r="F12940" s="17" t="s">
        <v>17246</v>
      </c>
      <c r="G12940" s="17"/>
      <c r="H12940" s="17" t="s">
        <v>23950</v>
      </c>
      <c r="I12940" s="17" t="s">
        <v>26604</v>
      </c>
      <c r="J12940" s="17" t="s">
        <v>47099</v>
      </c>
      <c r="K12940" s="17"/>
      <c r="L12940" s="17" t="s">
        <v>47182</v>
      </c>
      <c r="M12940" s="17"/>
      <c r="N12940" s="17" t="s">
        <v>26605</v>
      </c>
      <c r="O12940" s="17"/>
      <c r="P12940" s="17" t="s">
        <v>26656</v>
      </c>
      <c r="Q12940" s="17"/>
      <c r="R12940" s="25" t="str">
        <f>HYPERLINK("https://ictv.global/taxonomy/taxondetails?taxnode_id=202302597","Mammarenavirus brazilense")</f>
        <v>Mammarenavirus brazilense</v>
      </c>
      <c r="S12940" s="18" t="s">
        <v>30</v>
      </c>
      <c r="T12940" s="18" t="s">
        <v>26676</v>
      </c>
      <c r="U12940" s="18" t="s">
        <v>25404</v>
      </c>
      <c r="V12940" s="18" t="s">
        <v>26677</v>
      </c>
      <c r="W12940" s="18" t="s">
        <v>26678</v>
      </c>
      <c r="X12940" s="18" t="s">
        <v>42</v>
      </c>
      <c r="Y12940" s="18" t="s">
        <v>23955</v>
      </c>
      <c r="Z12940" s="18" t="s">
        <v>166</v>
      </c>
      <c r="AA12940" s="21" t="str">
        <f>HYPERLINK("https://www.ncbi.nlm.nih.gov/nuccore/AY358026,U41071","NCBI Nucleotide")</f>
        <v>NCBI Nucleotide</v>
      </c>
    </row>
    <row r="12941" spans="1:27" x14ac:dyDescent="0.35">
      <c r="A12941">
        <v>1011051</v>
      </c>
      <c r="B12941">
        <v>12101</v>
      </c>
      <c r="C12941">
        <v>1</v>
      </c>
      <c r="D12941" s="17" t="s">
        <v>17166</v>
      </c>
      <c r="E12941" s="17"/>
      <c r="F12941" s="17" t="s">
        <v>17246</v>
      </c>
      <c r="G12941" s="17"/>
      <c r="H12941" s="17" t="s">
        <v>23950</v>
      </c>
      <c r="I12941" s="17" t="s">
        <v>26604</v>
      </c>
      <c r="J12941" s="17" t="s">
        <v>47099</v>
      </c>
      <c r="K12941" s="17"/>
      <c r="L12941" s="17" t="s">
        <v>47182</v>
      </c>
      <c r="M12941" s="17"/>
      <c r="N12941" s="17" t="s">
        <v>26605</v>
      </c>
      <c r="O12941" s="17"/>
      <c r="P12941" s="17" t="s">
        <v>26656</v>
      </c>
      <c r="Q12941" s="17"/>
      <c r="R12941" s="25" t="str">
        <f>HYPERLINK("https://ictv.global/taxonomy/taxondetails?taxnode_id=202302595","Mammarenavirus caliense")</f>
        <v>Mammarenavirus caliense</v>
      </c>
      <c r="S12941" s="18" t="s">
        <v>30</v>
      </c>
      <c r="T12941" s="18" t="s">
        <v>26679</v>
      </c>
      <c r="U12941" s="18" t="s">
        <v>26680</v>
      </c>
      <c r="V12941" s="18" t="s">
        <v>26681</v>
      </c>
      <c r="W12941" s="18" t="s">
        <v>26682</v>
      </c>
      <c r="X12941" s="18" t="s">
        <v>42</v>
      </c>
      <c r="Y12941" s="18" t="s">
        <v>23955</v>
      </c>
      <c r="Z12941" s="18" t="s">
        <v>166</v>
      </c>
      <c r="AA12941" s="21" t="str">
        <f>HYPERLINK("https://www.ncbi.nlm.nih.gov/nuccore/AF427517,K02734","NCBI Nucleotide")</f>
        <v>NCBI Nucleotide</v>
      </c>
    </row>
    <row r="12942" spans="1:27" x14ac:dyDescent="0.35">
      <c r="A12942">
        <v>1011052</v>
      </c>
      <c r="B12942">
        <v>12102</v>
      </c>
      <c r="C12942">
        <v>1</v>
      </c>
      <c r="D12942" s="17" t="s">
        <v>17166</v>
      </c>
      <c r="E12942" s="17"/>
      <c r="F12942" s="17" t="s">
        <v>17246</v>
      </c>
      <c r="G12942" s="17"/>
      <c r="H12942" s="17" t="s">
        <v>23950</v>
      </c>
      <c r="I12942" s="17" t="s">
        <v>26604</v>
      </c>
      <c r="J12942" s="17" t="s">
        <v>47099</v>
      </c>
      <c r="K12942" s="17"/>
      <c r="L12942" s="17" t="s">
        <v>47182</v>
      </c>
      <c r="M12942" s="17"/>
      <c r="N12942" s="17" t="s">
        <v>26605</v>
      </c>
      <c r="O12942" s="17"/>
      <c r="P12942" s="17" t="s">
        <v>26656</v>
      </c>
      <c r="Q12942" s="17"/>
      <c r="R12942" s="25" t="str">
        <f>HYPERLINK("https://ictv.global/taxonomy/taxondetails?taxnode_id=202305743","Mammarenavirus cameroonense")</f>
        <v>Mammarenavirus cameroonense</v>
      </c>
      <c r="S12942" s="18" t="s">
        <v>30</v>
      </c>
      <c r="T12942" s="18" t="s">
        <v>26683</v>
      </c>
      <c r="U12942" s="18" t="s">
        <v>26684</v>
      </c>
      <c r="V12942" s="18" t="s">
        <v>26685</v>
      </c>
      <c r="W12942" s="18" t="s">
        <v>26686</v>
      </c>
      <c r="X12942" s="18" t="s">
        <v>42</v>
      </c>
      <c r="Y12942" s="18" t="s">
        <v>23955</v>
      </c>
      <c r="Z12942" s="18" t="s">
        <v>166</v>
      </c>
      <c r="AA12942" s="21" t="str">
        <f>HYPERLINK("https://www.ncbi.nlm.nih.gov/nuccore/KP050226,KP050227","NCBI Nucleotide")</f>
        <v>NCBI Nucleotide</v>
      </c>
    </row>
    <row r="12943" spans="1:27" x14ac:dyDescent="0.35">
      <c r="A12943">
        <v>1011053</v>
      </c>
      <c r="B12943">
        <v>12103</v>
      </c>
      <c r="C12943">
        <v>1</v>
      </c>
      <c r="D12943" s="17" t="s">
        <v>17166</v>
      </c>
      <c r="E12943" s="17"/>
      <c r="F12943" s="17" t="s">
        <v>17246</v>
      </c>
      <c r="G12943" s="17"/>
      <c r="H12943" s="17" t="s">
        <v>23950</v>
      </c>
      <c r="I12943" s="17" t="s">
        <v>26604</v>
      </c>
      <c r="J12943" s="17" t="s">
        <v>47099</v>
      </c>
      <c r="K12943" s="17"/>
      <c r="L12943" s="17" t="s">
        <v>47182</v>
      </c>
      <c r="M12943" s="17"/>
      <c r="N12943" s="17" t="s">
        <v>26605</v>
      </c>
      <c r="O12943" s="17"/>
      <c r="P12943" s="17" t="s">
        <v>26656</v>
      </c>
      <c r="Q12943" s="17"/>
      <c r="R12943" s="25" t="str">
        <f>HYPERLINK("https://ictv.global/taxonomy/taxondetails?taxnode_id=202302573","Mammarenavirus chapareense")</f>
        <v>Mammarenavirus chapareense</v>
      </c>
      <c r="S12943" s="18" t="s">
        <v>30</v>
      </c>
      <c r="T12943" s="18" t="s">
        <v>26687</v>
      </c>
      <c r="U12943" s="18" t="s">
        <v>26688</v>
      </c>
      <c r="V12943" s="18">
        <v>810419</v>
      </c>
      <c r="W12943" s="18" t="s">
        <v>50659</v>
      </c>
      <c r="X12943" s="18" t="s">
        <v>42</v>
      </c>
      <c r="Y12943" s="18" t="s">
        <v>23955</v>
      </c>
      <c r="Z12943" s="18" t="s">
        <v>166</v>
      </c>
      <c r="AA12943" s="21" t="str">
        <f>HYPERLINK("https://www.ncbi.nlm.nih.gov/nuccore/EU260464,EU260463","NCBI Nucleotide")</f>
        <v>NCBI Nucleotide</v>
      </c>
    </row>
    <row r="12944" spans="1:27" x14ac:dyDescent="0.35">
      <c r="A12944">
        <v>1011054</v>
      </c>
      <c r="B12944">
        <v>12104</v>
      </c>
      <c r="C12944">
        <v>1</v>
      </c>
      <c r="D12944" s="17" t="s">
        <v>17166</v>
      </c>
      <c r="E12944" s="17"/>
      <c r="F12944" s="17" t="s">
        <v>17246</v>
      </c>
      <c r="G12944" s="17"/>
      <c r="H12944" s="17" t="s">
        <v>23950</v>
      </c>
      <c r="I12944" s="17" t="s">
        <v>26604</v>
      </c>
      <c r="J12944" s="17" t="s">
        <v>47099</v>
      </c>
      <c r="K12944" s="17"/>
      <c r="L12944" s="17" t="s">
        <v>47182</v>
      </c>
      <c r="M12944" s="17"/>
      <c r="N12944" s="17" t="s">
        <v>26605</v>
      </c>
      <c r="O12944" s="17"/>
      <c r="P12944" s="17" t="s">
        <v>26656</v>
      </c>
      <c r="Q12944" s="17"/>
      <c r="R12944" s="25" t="str">
        <f>HYPERLINK("https://ictv.global/taxonomy/taxondetails?taxnode_id=202302586","Mammarenavirus choriomeningitidis")</f>
        <v>Mammarenavirus choriomeningitidis</v>
      </c>
      <c r="S12944" s="18" t="s">
        <v>30</v>
      </c>
      <c r="T12944" s="18" t="s">
        <v>26689</v>
      </c>
      <c r="U12944" s="18" t="s">
        <v>26690</v>
      </c>
      <c r="V12944" s="18" t="s">
        <v>26691</v>
      </c>
      <c r="W12944" s="18" t="s">
        <v>50781</v>
      </c>
      <c r="X12944" s="18" t="s">
        <v>42</v>
      </c>
      <c r="Y12944" s="18" t="s">
        <v>23955</v>
      </c>
      <c r="Z12944" s="18" t="s">
        <v>166</v>
      </c>
      <c r="AA12944" s="21" t="str">
        <f>HYPERLINK("https://www.ncbi.nlm.nih.gov/nuccore/AY847351,AY847350","NCBI Nucleotide")</f>
        <v>NCBI Nucleotide</v>
      </c>
    </row>
    <row r="12945" spans="1:27" x14ac:dyDescent="0.35">
      <c r="A12945">
        <v>1012893</v>
      </c>
      <c r="B12945">
        <v>12104</v>
      </c>
      <c r="C12945">
        <v>2</v>
      </c>
      <c r="D12945" s="17" t="s">
        <v>17166</v>
      </c>
      <c r="E12945" s="17"/>
      <c r="F12945" s="17" t="s">
        <v>17246</v>
      </c>
      <c r="G12945" s="17"/>
      <c r="H12945" s="17" t="s">
        <v>23950</v>
      </c>
      <c r="I12945" s="17" t="s">
        <v>26604</v>
      </c>
      <c r="J12945" s="17" t="s">
        <v>47099</v>
      </c>
      <c r="K12945" s="17"/>
      <c r="L12945" s="17" t="s">
        <v>47182</v>
      </c>
      <c r="M12945" s="17"/>
      <c r="N12945" s="17" t="s">
        <v>26605</v>
      </c>
      <c r="O12945" s="17"/>
      <c r="P12945" s="17" t="s">
        <v>26656</v>
      </c>
      <c r="Q12945" s="17"/>
      <c r="R12945" s="25" t="str">
        <f>HYPERLINK("https://ictv.global/taxonomy/taxondetails?taxnode_id=202302586","Mammarenavirus choriomeningitidis")</f>
        <v>Mammarenavirus choriomeningitidis</v>
      </c>
      <c r="S12945" s="18" t="s">
        <v>8141</v>
      </c>
      <c r="T12945" s="18" t="s">
        <v>26812</v>
      </c>
      <c r="U12945" s="18" t="s">
        <v>26813</v>
      </c>
      <c r="V12945" s="18" t="s">
        <v>26814</v>
      </c>
      <c r="W12945" s="18" t="s">
        <v>49534</v>
      </c>
      <c r="X12945" s="18" t="s">
        <v>42</v>
      </c>
      <c r="Y12945" s="18" t="s">
        <v>23955</v>
      </c>
      <c r="Z12945" s="18" t="s">
        <v>166</v>
      </c>
      <c r="AA12945" s="21" t="str">
        <f>HYPERLINK("https://www.ncbi.nlm.nih.gov/nuccore/EU136039,EU136038","NCBI Nucleotide")</f>
        <v>NCBI Nucleotide</v>
      </c>
    </row>
    <row r="12946" spans="1:27" x14ac:dyDescent="0.35">
      <c r="A12946">
        <v>1011055</v>
      </c>
      <c r="B12946">
        <v>12105</v>
      </c>
      <c r="C12946">
        <v>1</v>
      </c>
      <c r="D12946" s="17" t="s">
        <v>17166</v>
      </c>
      <c r="E12946" s="17"/>
      <c r="F12946" s="17" t="s">
        <v>17246</v>
      </c>
      <c r="G12946" s="17"/>
      <c r="H12946" s="17" t="s">
        <v>23950</v>
      </c>
      <c r="I12946" s="17" t="s">
        <v>26604</v>
      </c>
      <c r="J12946" s="17" t="s">
        <v>47099</v>
      </c>
      <c r="K12946" s="17"/>
      <c r="L12946" s="17" t="s">
        <v>47182</v>
      </c>
      <c r="M12946" s="17"/>
      <c r="N12946" s="17" t="s">
        <v>26605</v>
      </c>
      <c r="O12946" s="17"/>
      <c r="P12946" s="17" t="s">
        <v>26656</v>
      </c>
      <c r="Q12946" s="17"/>
      <c r="R12946" s="25" t="str">
        <f>HYPERLINK("https://ictv.global/taxonomy/taxondetails?taxnode_id=202302574","Mammarenavirus cupixiense")</f>
        <v>Mammarenavirus cupixiense</v>
      </c>
      <c r="S12946" s="18" t="s">
        <v>30</v>
      </c>
      <c r="T12946" s="18" t="s">
        <v>26692</v>
      </c>
      <c r="U12946" s="18" t="s">
        <v>26693</v>
      </c>
      <c r="V12946" s="18" t="s">
        <v>26694</v>
      </c>
      <c r="W12946" s="18" t="s">
        <v>50660</v>
      </c>
      <c r="X12946" s="18" t="s">
        <v>42</v>
      </c>
      <c r="Y12946" s="18" t="s">
        <v>23955</v>
      </c>
      <c r="Z12946" s="18" t="s">
        <v>166</v>
      </c>
      <c r="AA12946" s="21" t="str">
        <f>HYPERLINK("https://www.ncbi.nlm.nih.gov/nuccore/AY216519,AF512832","NCBI Nucleotide")</f>
        <v>NCBI Nucleotide</v>
      </c>
    </row>
    <row r="12947" spans="1:27" x14ac:dyDescent="0.35">
      <c r="A12947">
        <v>1011056</v>
      </c>
      <c r="B12947">
        <v>12106</v>
      </c>
      <c r="C12947">
        <v>1</v>
      </c>
      <c r="D12947" s="17" t="s">
        <v>17166</v>
      </c>
      <c r="E12947" s="17"/>
      <c r="F12947" s="17" t="s">
        <v>17246</v>
      </c>
      <c r="G12947" s="17"/>
      <c r="H12947" s="17" t="s">
        <v>23950</v>
      </c>
      <c r="I12947" s="17" t="s">
        <v>26604</v>
      </c>
      <c r="J12947" s="17" t="s">
        <v>47099</v>
      </c>
      <c r="K12947" s="17"/>
      <c r="L12947" s="17" t="s">
        <v>47182</v>
      </c>
      <c r="M12947" s="17"/>
      <c r="N12947" s="17" t="s">
        <v>26605</v>
      </c>
      <c r="O12947" s="17"/>
      <c r="P12947" s="17" t="s">
        <v>26656</v>
      </c>
      <c r="Q12947" s="17"/>
      <c r="R12947" s="25" t="str">
        <f>HYPERLINK("https://ictv.global/taxonomy/taxondetails?taxnode_id=202314201","Mammarenavirus dhati-welelense")</f>
        <v>Mammarenavirus dhati-welelense</v>
      </c>
      <c r="S12947" s="18" t="s">
        <v>30</v>
      </c>
      <c r="T12947" s="18" t="s">
        <v>26695</v>
      </c>
      <c r="U12947" s="18" t="s">
        <v>26696</v>
      </c>
      <c r="V12947" s="18" t="s">
        <v>26697</v>
      </c>
      <c r="W12947" s="18" t="s">
        <v>47195</v>
      </c>
      <c r="X12947" s="18" t="s">
        <v>35</v>
      </c>
      <c r="Y12947" s="18" t="s">
        <v>23955</v>
      </c>
      <c r="Z12947" s="18" t="s">
        <v>166</v>
      </c>
      <c r="AA12947" s="21" t="str">
        <f>HYPERLINK("https://www.ncbi.nlm.nih.gov/nuccore/MT078839,MT078838","NCBI Nucleotide")</f>
        <v>NCBI Nucleotide</v>
      </c>
    </row>
    <row r="12948" spans="1:27" x14ac:dyDescent="0.35">
      <c r="A12948">
        <v>1011057</v>
      </c>
      <c r="B12948">
        <v>12107</v>
      </c>
      <c r="C12948">
        <v>1</v>
      </c>
      <c r="D12948" s="17" t="s">
        <v>17166</v>
      </c>
      <c r="E12948" s="17"/>
      <c r="F12948" s="17" t="s">
        <v>17246</v>
      </c>
      <c r="G12948" s="17"/>
      <c r="H12948" s="17" t="s">
        <v>23950</v>
      </c>
      <c r="I12948" s="17" t="s">
        <v>26604</v>
      </c>
      <c r="J12948" s="17" t="s">
        <v>47099</v>
      </c>
      <c r="K12948" s="17"/>
      <c r="L12948" s="17" t="s">
        <v>47182</v>
      </c>
      <c r="M12948" s="17"/>
      <c r="N12948" s="17" t="s">
        <v>26605</v>
      </c>
      <c r="O12948" s="17"/>
      <c r="P12948" s="17" t="s">
        <v>26656</v>
      </c>
      <c r="Q12948" s="17"/>
      <c r="R12948" s="25" t="str">
        <f>HYPERLINK("https://ictv.global/taxonomy/taxondetails?taxnode_id=202302575","Mammarenavirus flexalense")</f>
        <v>Mammarenavirus flexalense</v>
      </c>
      <c r="S12948" s="18" t="s">
        <v>30</v>
      </c>
      <c r="T12948" s="18" t="s">
        <v>26698</v>
      </c>
      <c r="U12948" s="18" t="s">
        <v>26699</v>
      </c>
      <c r="V12948" s="18" t="s">
        <v>26700</v>
      </c>
      <c r="W12948" s="18" t="s">
        <v>50661</v>
      </c>
      <c r="X12948" s="18" t="s">
        <v>42</v>
      </c>
      <c r="Y12948" s="18" t="s">
        <v>23955</v>
      </c>
      <c r="Z12948" s="18" t="s">
        <v>166</v>
      </c>
      <c r="AA12948" s="21" t="str">
        <f>HYPERLINK("https://www.ncbi.nlm.nih.gov/nuccore/EU627611,AF512831","NCBI Nucleotide")</f>
        <v>NCBI Nucleotide</v>
      </c>
    </row>
    <row r="12949" spans="1:27" x14ac:dyDescent="0.35">
      <c r="A12949">
        <v>1011058</v>
      </c>
      <c r="B12949">
        <v>12108</v>
      </c>
      <c r="C12949">
        <v>1</v>
      </c>
      <c r="D12949" s="17" t="s">
        <v>17166</v>
      </c>
      <c r="E12949" s="17"/>
      <c r="F12949" s="17" t="s">
        <v>17246</v>
      </c>
      <c r="G12949" s="17"/>
      <c r="H12949" s="17" t="s">
        <v>23950</v>
      </c>
      <c r="I12949" s="17" t="s">
        <v>26604</v>
      </c>
      <c r="J12949" s="17" t="s">
        <v>47099</v>
      </c>
      <c r="K12949" s="17"/>
      <c r="L12949" s="17" t="s">
        <v>47182</v>
      </c>
      <c r="M12949" s="17"/>
      <c r="N12949" s="17" t="s">
        <v>26605</v>
      </c>
      <c r="O12949" s="17"/>
      <c r="P12949" s="17" t="s">
        <v>26656</v>
      </c>
      <c r="Q12949" s="17"/>
      <c r="R12949" s="25" t="str">
        <f>HYPERLINK("https://ictv.global/taxonomy/taxondetails?taxnode_id=202302576","Mammarenavirus gairoense")</f>
        <v>Mammarenavirus gairoense</v>
      </c>
      <c r="S12949" s="18" t="s">
        <v>30</v>
      </c>
      <c r="T12949" s="18" t="s">
        <v>26701</v>
      </c>
      <c r="U12949" s="18" t="s">
        <v>26702</v>
      </c>
      <c r="V12949" s="18" t="s">
        <v>26703</v>
      </c>
      <c r="W12949" s="18" t="s">
        <v>26704</v>
      </c>
      <c r="X12949" s="18" t="s">
        <v>42</v>
      </c>
      <c r="Y12949" s="18" t="s">
        <v>23955</v>
      </c>
      <c r="Z12949" s="18" t="s">
        <v>166</v>
      </c>
      <c r="AA12949" s="21" t="str">
        <f>HYPERLINK("https://www.ncbi.nlm.nih.gov/nuccore/KJ855307,KJ855308","NCBI Nucleotide")</f>
        <v>NCBI Nucleotide</v>
      </c>
    </row>
    <row r="12950" spans="1:27" x14ac:dyDescent="0.35">
      <c r="A12950">
        <v>1027993</v>
      </c>
      <c r="B12950">
        <v>12109</v>
      </c>
      <c r="C12950">
        <v>1</v>
      </c>
      <c r="D12950" s="17" t="s">
        <v>17166</v>
      </c>
      <c r="E12950" s="17"/>
      <c r="F12950" s="17" t="s">
        <v>17246</v>
      </c>
      <c r="G12950" s="17"/>
      <c r="H12950" s="17" t="s">
        <v>23950</v>
      </c>
      <c r="I12950" s="17" t="s">
        <v>26604</v>
      </c>
      <c r="J12950" s="17" t="s">
        <v>47099</v>
      </c>
      <c r="K12950" s="17"/>
      <c r="L12950" s="17" t="s">
        <v>47182</v>
      </c>
      <c r="M12950" s="17"/>
      <c r="N12950" s="17" t="s">
        <v>26605</v>
      </c>
      <c r="O12950" s="17"/>
      <c r="P12950" s="17" t="s">
        <v>26656</v>
      </c>
      <c r="Q12950" s="17"/>
      <c r="R12950" s="25" t="str">
        <f>HYPERLINK("https://ictv.global/taxonomy/taxondetails?taxnode_id=202319013","Mammarenavirus ganziense")</f>
        <v>Mammarenavirus ganziense</v>
      </c>
      <c r="S12950" s="18" t="s">
        <v>30</v>
      </c>
      <c r="T12950" s="18" t="s">
        <v>47196</v>
      </c>
      <c r="U12950" s="18" t="s">
        <v>47197</v>
      </c>
      <c r="V12950" s="18" t="s">
        <v>47198</v>
      </c>
      <c r="W12950" s="18" t="s">
        <v>50858</v>
      </c>
      <c r="X12950" s="18" t="s">
        <v>35</v>
      </c>
      <c r="Y12950" s="18" t="s">
        <v>23955</v>
      </c>
      <c r="Z12950" s="18" t="s">
        <v>166</v>
      </c>
      <c r="AA12950" s="21" t="str">
        <f>HYPERLINK("https://www.ncbi.nlm.nih.gov/nuccore/OQ348136,OQ348153","NCBI Nucleotide")</f>
        <v>NCBI Nucleotide</v>
      </c>
    </row>
    <row r="12951" spans="1:27" x14ac:dyDescent="0.35">
      <c r="A12951">
        <v>1011059</v>
      </c>
      <c r="B12951">
        <v>12110</v>
      </c>
      <c r="C12951">
        <v>1</v>
      </c>
      <c r="D12951" t="s">
        <v>17166</v>
      </c>
      <c r="F12951" t="s">
        <v>17246</v>
      </c>
      <c r="H12951" t="s">
        <v>23950</v>
      </c>
      <c r="I12951" t="s">
        <v>26604</v>
      </c>
      <c r="J12951" t="s">
        <v>47099</v>
      </c>
      <c r="L12951" t="s">
        <v>47182</v>
      </c>
      <c r="N12951" t="s">
        <v>26605</v>
      </c>
      <c r="P12951" t="s">
        <v>26656</v>
      </c>
      <c r="R12951" s="26" t="str">
        <f>HYPERLINK("https://ictv.global/taxonomy/taxondetails?taxnode_id=202302577","Mammarenavirus guanaritoense")</f>
        <v>Mammarenavirus guanaritoense</v>
      </c>
      <c r="S12951" t="s">
        <v>30</v>
      </c>
      <c r="T12951" t="s">
        <v>26705</v>
      </c>
      <c r="U12951" t="s">
        <v>26706</v>
      </c>
      <c r="V12951" t="s">
        <v>26707</v>
      </c>
      <c r="W12951" t="s">
        <v>50662</v>
      </c>
      <c r="X12951" t="s">
        <v>42</v>
      </c>
      <c r="Y12951" t="s">
        <v>23955</v>
      </c>
      <c r="Z12951" t="s">
        <v>166</v>
      </c>
      <c r="AA12951" s="22" t="str">
        <f>HYPERLINK("https://www.ncbi.nlm.nih.gov/nuccore/AY358024,AY129247","NCBI Nucleotide")</f>
        <v>NCBI Nucleotide</v>
      </c>
    </row>
    <row r="12952" spans="1:27" x14ac:dyDescent="0.35">
      <c r="A12952">
        <v>1011060</v>
      </c>
      <c r="B12952">
        <v>12111</v>
      </c>
      <c r="C12952">
        <v>1</v>
      </c>
      <c r="D12952" t="s">
        <v>17166</v>
      </c>
      <c r="F12952" t="s">
        <v>17246</v>
      </c>
      <c r="H12952" t="s">
        <v>23950</v>
      </c>
      <c r="I12952" t="s">
        <v>26604</v>
      </c>
      <c r="J12952" t="s">
        <v>47099</v>
      </c>
      <c r="L12952" t="s">
        <v>47182</v>
      </c>
      <c r="N12952" t="s">
        <v>26605</v>
      </c>
      <c r="P12952" t="s">
        <v>26656</v>
      </c>
      <c r="R12952" s="26" t="str">
        <f>HYPERLINK("https://ictv.global/taxonomy/taxondetails?taxnode_id=202302578","Mammarenavirus ippyense")</f>
        <v>Mammarenavirus ippyense</v>
      </c>
      <c r="S12952" t="s">
        <v>30</v>
      </c>
      <c r="T12952" t="s">
        <v>26708</v>
      </c>
      <c r="U12952" t="s">
        <v>26709</v>
      </c>
      <c r="V12952" t="s">
        <v>26710</v>
      </c>
      <c r="W12952" t="s">
        <v>50663</v>
      </c>
      <c r="X12952" t="s">
        <v>42</v>
      </c>
      <c r="Y12952" t="s">
        <v>23955</v>
      </c>
      <c r="Z12952" t="s">
        <v>166</v>
      </c>
      <c r="AA12952" s="22" t="str">
        <f>HYPERLINK("https://www.ncbi.nlm.nih.gov/nuccore/DQ328878,DQ328877","NCBI Nucleotide")</f>
        <v>NCBI Nucleotide</v>
      </c>
    </row>
    <row r="12953" spans="1:27" x14ac:dyDescent="0.35">
      <c r="A12953">
        <v>1011061</v>
      </c>
      <c r="B12953">
        <v>12112</v>
      </c>
      <c r="C12953">
        <v>1</v>
      </c>
      <c r="D12953" t="s">
        <v>17166</v>
      </c>
      <c r="F12953" t="s">
        <v>17246</v>
      </c>
      <c r="H12953" t="s">
        <v>23950</v>
      </c>
      <c r="I12953" t="s">
        <v>26604</v>
      </c>
      <c r="J12953" t="s">
        <v>47099</v>
      </c>
      <c r="L12953" t="s">
        <v>47182</v>
      </c>
      <c r="N12953" t="s">
        <v>26605</v>
      </c>
      <c r="P12953" t="s">
        <v>26656</v>
      </c>
      <c r="R12953" s="26" t="str">
        <f>HYPERLINK("https://ictv.global/taxonomy/taxondetails?taxnode_id=202302579","Mammarenavirus juninense")</f>
        <v>Mammarenavirus juninense</v>
      </c>
      <c r="S12953" t="s">
        <v>30</v>
      </c>
      <c r="T12953" t="s">
        <v>26711</v>
      </c>
      <c r="U12953" t="s">
        <v>26712</v>
      </c>
      <c r="V12953" t="s">
        <v>26713</v>
      </c>
      <c r="W12953" t="s">
        <v>26714</v>
      </c>
      <c r="X12953" t="s">
        <v>42</v>
      </c>
      <c r="Y12953" t="s">
        <v>23955</v>
      </c>
      <c r="Z12953" t="s">
        <v>166</v>
      </c>
      <c r="AA12953" s="22" t="str">
        <f>HYPERLINK("https://www.ncbi.nlm.nih.gov/nuccore/AY358022,AY358023","NCBI Nucleotide")</f>
        <v>NCBI Nucleotide</v>
      </c>
    </row>
    <row r="12954" spans="1:27" x14ac:dyDescent="0.35">
      <c r="A12954">
        <v>1011062</v>
      </c>
      <c r="B12954">
        <v>12113</v>
      </c>
      <c r="C12954">
        <v>1</v>
      </c>
      <c r="D12954" t="s">
        <v>17166</v>
      </c>
      <c r="F12954" t="s">
        <v>17246</v>
      </c>
      <c r="H12954" t="s">
        <v>23950</v>
      </c>
      <c r="I12954" t="s">
        <v>26604</v>
      </c>
      <c r="J12954" t="s">
        <v>47099</v>
      </c>
      <c r="L12954" t="s">
        <v>47182</v>
      </c>
      <c r="N12954" t="s">
        <v>26605</v>
      </c>
      <c r="P12954" t="s">
        <v>26656</v>
      </c>
      <c r="R12954" s="26" t="str">
        <f>HYPERLINK("https://ictv.global/taxonomy/taxondetails?taxnode_id=202309550","Mammarenavirus kitaleense")</f>
        <v>Mammarenavirus kitaleense</v>
      </c>
      <c r="S12954" t="s">
        <v>30</v>
      </c>
      <c r="T12954" t="s">
        <v>26715</v>
      </c>
      <c r="U12954" t="s">
        <v>26716</v>
      </c>
      <c r="V12954" t="s">
        <v>26717</v>
      </c>
      <c r="W12954" t="s">
        <v>26718</v>
      </c>
      <c r="X12954" t="s">
        <v>35</v>
      </c>
      <c r="Y12954" t="s">
        <v>23955</v>
      </c>
      <c r="Z12954" t="s">
        <v>166</v>
      </c>
      <c r="AA12954" s="22" t="str">
        <f>HYPERLINK("https://www.ncbi.nlm.nih.gov/nuccore/MK935152,MK935153","NCBI Nucleotide")</f>
        <v>NCBI Nucleotide</v>
      </c>
    </row>
    <row r="12955" spans="1:27" x14ac:dyDescent="0.35">
      <c r="A12955">
        <v>1011063</v>
      </c>
      <c r="B12955">
        <v>12114</v>
      </c>
      <c r="C12955">
        <v>1</v>
      </c>
      <c r="D12955" t="s">
        <v>17166</v>
      </c>
      <c r="F12955" t="s">
        <v>17246</v>
      </c>
      <c r="H12955" t="s">
        <v>23950</v>
      </c>
      <c r="I12955" t="s">
        <v>26604</v>
      </c>
      <c r="J12955" t="s">
        <v>47099</v>
      </c>
      <c r="L12955" t="s">
        <v>47182</v>
      </c>
      <c r="N12955" t="s">
        <v>26605</v>
      </c>
      <c r="P12955" t="s">
        <v>26656</v>
      </c>
      <c r="R12955" s="26" t="str">
        <f>HYPERLINK("https://ictv.global/taxonomy/taxondetails?taxnode_id=202313339","Mammarenavirus kwanzaense")</f>
        <v>Mammarenavirus kwanzaense</v>
      </c>
      <c r="S12955" t="s">
        <v>30</v>
      </c>
      <c r="T12955" t="s">
        <v>26719</v>
      </c>
      <c r="U12955" t="s">
        <v>25991</v>
      </c>
      <c r="V12955" t="s">
        <v>26720</v>
      </c>
      <c r="W12955" t="s">
        <v>47199</v>
      </c>
      <c r="X12955" t="s">
        <v>35</v>
      </c>
      <c r="Y12955" t="s">
        <v>23955</v>
      </c>
      <c r="Z12955" t="s">
        <v>166</v>
      </c>
      <c r="AA12955" s="22" t="str">
        <f>HYPERLINK("https://www.ncbi.nlm.nih.gov/nuccore/MZ065540,MZ065541","NCBI Nucleotide")</f>
        <v>NCBI Nucleotide</v>
      </c>
    </row>
    <row r="12956" spans="1:27" x14ac:dyDescent="0.35">
      <c r="A12956">
        <v>1011064</v>
      </c>
      <c r="B12956">
        <v>12115</v>
      </c>
      <c r="C12956">
        <v>1</v>
      </c>
      <c r="D12956" t="s">
        <v>17166</v>
      </c>
      <c r="F12956" t="s">
        <v>17246</v>
      </c>
      <c r="H12956" t="s">
        <v>23950</v>
      </c>
      <c r="I12956" t="s">
        <v>26604</v>
      </c>
      <c r="J12956" t="s">
        <v>47099</v>
      </c>
      <c r="L12956" t="s">
        <v>47182</v>
      </c>
      <c r="N12956" t="s">
        <v>26605</v>
      </c>
      <c r="P12956" t="s">
        <v>26656</v>
      </c>
      <c r="R12956" s="26" t="str">
        <f>HYPERLINK("https://ictv.global/taxonomy/taxondetails?taxnode_id=202302580","Mammarenavirus lassaense")</f>
        <v>Mammarenavirus lassaense</v>
      </c>
      <c r="S12956" t="s">
        <v>30</v>
      </c>
      <c r="T12956" t="s">
        <v>26721</v>
      </c>
      <c r="U12956" t="s">
        <v>26722</v>
      </c>
      <c r="V12956" t="s">
        <v>26723</v>
      </c>
      <c r="W12956" t="s">
        <v>50664</v>
      </c>
      <c r="X12956" t="s">
        <v>42</v>
      </c>
      <c r="Y12956" t="s">
        <v>23955</v>
      </c>
      <c r="Z12956" t="s">
        <v>166</v>
      </c>
      <c r="AA12956" s="22" t="str">
        <f>HYPERLINK("https://www.ncbi.nlm.nih.gov/nuccore/U73034,J04324","NCBI Nucleotide")</f>
        <v>NCBI Nucleotide</v>
      </c>
    </row>
    <row r="12957" spans="1:27" x14ac:dyDescent="0.35">
      <c r="A12957">
        <v>1011065</v>
      </c>
      <c r="B12957">
        <v>12116</v>
      </c>
      <c r="C12957">
        <v>1</v>
      </c>
      <c r="D12957" t="s">
        <v>17166</v>
      </c>
      <c r="F12957" t="s">
        <v>17246</v>
      </c>
      <c r="H12957" t="s">
        <v>23950</v>
      </c>
      <c r="I12957" t="s">
        <v>26604</v>
      </c>
      <c r="J12957" t="s">
        <v>47099</v>
      </c>
      <c r="L12957" t="s">
        <v>47182</v>
      </c>
      <c r="N12957" t="s">
        <v>26605</v>
      </c>
      <c r="P12957" t="s">
        <v>26656</v>
      </c>
      <c r="R12957" s="26" t="str">
        <f>HYPERLINK("https://ictv.global/taxonomy/taxondetails?taxnode_id=202302581","Mammarenavirus latinum")</f>
        <v>Mammarenavirus latinum</v>
      </c>
      <c r="S12957" t="s">
        <v>30</v>
      </c>
      <c r="T12957" t="s">
        <v>26724</v>
      </c>
      <c r="U12957" t="s">
        <v>26725</v>
      </c>
      <c r="V12957" t="s">
        <v>26726</v>
      </c>
      <c r="W12957" t="s">
        <v>50665</v>
      </c>
      <c r="X12957" t="s">
        <v>42</v>
      </c>
      <c r="Y12957" t="s">
        <v>23955</v>
      </c>
      <c r="Z12957" t="s">
        <v>166</v>
      </c>
      <c r="AA12957" s="22" t="str">
        <f>HYPERLINK("https://www.ncbi.nlm.nih.gov/nuccore/EU627612,AF512830","NCBI Nucleotide")</f>
        <v>NCBI Nucleotide</v>
      </c>
    </row>
    <row r="12958" spans="1:27" x14ac:dyDescent="0.35">
      <c r="A12958">
        <v>1011066</v>
      </c>
      <c r="B12958">
        <v>12117</v>
      </c>
      <c r="C12958">
        <v>1</v>
      </c>
      <c r="D12958" t="s">
        <v>17166</v>
      </c>
      <c r="F12958" t="s">
        <v>17246</v>
      </c>
      <c r="H12958" t="s">
        <v>23950</v>
      </c>
      <c r="I12958" t="s">
        <v>26604</v>
      </c>
      <c r="J12958" t="s">
        <v>47099</v>
      </c>
      <c r="L12958" t="s">
        <v>47182</v>
      </c>
      <c r="N12958" t="s">
        <v>26605</v>
      </c>
      <c r="P12958" t="s">
        <v>26656</v>
      </c>
      <c r="R12958" s="26" t="str">
        <f>HYPERLINK("https://ictv.global/taxonomy/taxondetails?taxnode_id=202307288","Mammarenavirus lijiangense")</f>
        <v>Mammarenavirus lijiangense</v>
      </c>
      <c r="S12958" t="s">
        <v>30</v>
      </c>
      <c r="T12958" t="s">
        <v>26727</v>
      </c>
      <c r="U12958" t="s">
        <v>26728</v>
      </c>
      <c r="V12958" t="s">
        <v>26729</v>
      </c>
      <c r="W12958" t="s">
        <v>26730</v>
      </c>
      <c r="X12958" t="s">
        <v>35</v>
      </c>
      <c r="Y12958" t="s">
        <v>23955</v>
      </c>
      <c r="Z12958" t="s">
        <v>166</v>
      </c>
      <c r="AA12958" s="22" t="str">
        <f>HYPERLINK("https://www.ncbi.nlm.nih.gov/nuccore/MF414201,MF414202","NCBI Nucleotide")</f>
        <v>NCBI Nucleotide</v>
      </c>
    </row>
    <row r="12959" spans="1:27" x14ac:dyDescent="0.35">
      <c r="A12959">
        <v>1011067</v>
      </c>
      <c r="B12959">
        <v>12118</v>
      </c>
      <c r="C12959">
        <v>1</v>
      </c>
      <c r="D12959" t="s">
        <v>17166</v>
      </c>
      <c r="F12959" t="s">
        <v>17246</v>
      </c>
      <c r="H12959" t="s">
        <v>23950</v>
      </c>
      <c r="I12959" t="s">
        <v>26604</v>
      </c>
      <c r="J12959" t="s">
        <v>47099</v>
      </c>
      <c r="L12959" t="s">
        <v>47182</v>
      </c>
      <c r="N12959" t="s">
        <v>26605</v>
      </c>
      <c r="P12959" t="s">
        <v>26656</v>
      </c>
      <c r="R12959" s="26" t="str">
        <f>HYPERLINK("https://ictv.global/taxonomy/taxondetails?taxnode_id=202302582","Mammarenavirus loeiense")</f>
        <v>Mammarenavirus loeiense</v>
      </c>
      <c r="S12959" t="s">
        <v>30</v>
      </c>
      <c r="T12959" t="s">
        <v>26731</v>
      </c>
      <c r="U12959" t="s">
        <v>26732</v>
      </c>
      <c r="V12959" t="s">
        <v>26733</v>
      </c>
      <c r="W12959" t="s">
        <v>26734</v>
      </c>
      <c r="X12959" t="s">
        <v>42</v>
      </c>
      <c r="Y12959" t="s">
        <v>23955</v>
      </c>
      <c r="Z12959" t="s">
        <v>166</v>
      </c>
      <c r="AA12959" s="22" t="str">
        <f>HYPERLINK("https://www.ncbi.nlm.nih.gov/nuccore/KC669693,KC669698","NCBI Nucleotide")</f>
        <v>NCBI Nucleotide</v>
      </c>
    </row>
    <row r="12960" spans="1:27" x14ac:dyDescent="0.35">
      <c r="A12960">
        <v>1011068</v>
      </c>
      <c r="B12960">
        <v>12119</v>
      </c>
      <c r="C12960">
        <v>1</v>
      </c>
      <c r="D12960" t="s">
        <v>17166</v>
      </c>
      <c r="F12960" t="s">
        <v>17246</v>
      </c>
      <c r="H12960" t="s">
        <v>23950</v>
      </c>
      <c r="I12960" t="s">
        <v>26604</v>
      </c>
      <c r="J12960" t="s">
        <v>47099</v>
      </c>
      <c r="L12960" t="s">
        <v>47182</v>
      </c>
      <c r="N12960" t="s">
        <v>26605</v>
      </c>
      <c r="P12960" t="s">
        <v>26656</v>
      </c>
      <c r="R12960" s="26" t="str">
        <f>HYPERLINK("https://ictv.global/taxonomy/taxondetails?taxnode_id=202302583","Mammarenavirus lujoense")</f>
        <v>Mammarenavirus lujoense</v>
      </c>
      <c r="S12960" t="s">
        <v>30</v>
      </c>
      <c r="T12960" t="s">
        <v>26735</v>
      </c>
      <c r="U12960" t="s">
        <v>26736</v>
      </c>
      <c r="V12960" t="s">
        <v>26737</v>
      </c>
      <c r="W12960" t="s">
        <v>50666</v>
      </c>
      <c r="X12960" t="s">
        <v>42</v>
      </c>
      <c r="Y12960" t="s">
        <v>23955</v>
      </c>
      <c r="Z12960" t="s">
        <v>166</v>
      </c>
      <c r="AA12960" s="22" t="str">
        <f>HYPERLINK("https://www.ncbi.nlm.nih.gov/nuccore/FJ952385,FJ952384","NCBI Nucleotide")</f>
        <v>NCBI Nucleotide</v>
      </c>
    </row>
    <row r="12961" spans="1:27" x14ac:dyDescent="0.35">
      <c r="A12961">
        <v>1011069</v>
      </c>
      <c r="B12961">
        <v>12120</v>
      </c>
      <c r="C12961">
        <v>1</v>
      </c>
      <c r="D12961" t="s">
        <v>17166</v>
      </c>
      <c r="F12961" t="s">
        <v>17246</v>
      </c>
      <c r="H12961" t="s">
        <v>23950</v>
      </c>
      <c r="I12961" t="s">
        <v>26604</v>
      </c>
      <c r="J12961" t="s">
        <v>47099</v>
      </c>
      <c r="L12961" t="s">
        <v>47182</v>
      </c>
      <c r="N12961" t="s">
        <v>26605</v>
      </c>
      <c r="P12961" t="s">
        <v>26656</v>
      </c>
      <c r="R12961" s="26" t="str">
        <f>HYPERLINK("https://ictv.global/taxonomy/taxondetails?taxnode_id=202302584","Mammarenavirus lunaense")</f>
        <v>Mammarenavirus lunaense</v>
      </c>
      <c r="S12961" t="s">
        <v>30</v>
      </c>
      <c r="T12961" t="s">
        <v>26738</v>
      </c>
      <c r="U12961" t="s">
        <v>26739</v>
      </c>
      <c r="V12961" t="s">
        <v>26740</v>
      </c>
      <c r="W12961" t="s">
        <v>50667</v>
      </c>
      <c r="X12961" t="s">
        <v>42</v>
      </c>
      <c r="Y12961" t="s">
        <v>23955</v>
      </c>
      <c r="Z12961" t="s">
        <v>166</v>
      </c>
      <c r="AA12961" s="22" t="str">
        <f>HYPERLINK("https://www.ncbi.nlm.nih.gov/nuccore/AB586645,AB586644","NCBI Nucleotide")</f>
        <v>NCBI Nucleotide</v>
      </c>
    </row>
    <row r="12962" spans="1:27" x14ac:dyDescent="0.35">
      <c r="A12962">
        <v>1012894</v>
      </c>
      <c r="B12962">
        <v>12120</v>
      </c>
      <c r="C12962">
        <v>2</v>
      </c>
      <c r="D12962" t="s">
        <v>17166</v>
      </c>
      <c r="F12962" t="s">
        <v>17246</v>
      </c>
      <c r="H12962" t="s">
        <v>23950</v>
      </c>
      <c r="I12962" t="s">
        <v>26604</v>
      </c>
      <c r="J12962" t="s">
        <v>47099</v>
      </c>
      <c r="L12962" t="s">
        <v>47182</v>
      </c>
      <c r="N12962" t="s">
        <v>26605</v>
      </c>
      <c r="P12962" t="s">
        <v>26656</v>
      </c>
      <c r="R12962" s="26" t="str">
        <f>HYPERLINK("https://ictv.global/taxonomy/taxondetails?taxnode_id=202302584","Mammarenavirus lunaense")</f>
        <v>Mammarenavirus lunaense</v>
      </c>
      <c r="S12962" t="s">
        <v>8141</v>
      </c>
      <c r="T12962" t="s">
        <v>26741</v>
      </c>
      <c r="U12962" t="s">
        <v>26742</v>
      </c>
      <c r="V12962" t="s">
        <v>26743</v>
      </c>
      <c r="W12962" t="s">
        <v>49535</v>
      </c>
      <c r="X12962" t="s">
        <v>42</v>
      </c>
      <c r="Y12962" t="s">
        <v>23955</v>
      </c>
      <c r="Z12962" t="s">
        <v>166</v>
      </c>
      <c r="AA12962" s="22" t="str">
        <f>HYPERLINK("https://www.ncbi.nlm.nih.gov/nuccore/AB972431,AB972430","NCBI Nucleotide")</f>
        <v>NCBI Nucleotide</v>
      </c>
    </row>
    <row r="12963" spans="1:27" x14ac:dyDescent="0.35">
      <c r="A12963">
        <v>1011070</v>
      </c>
      <c r="B12963">
        <v>12121</v>
      </c>
      <c r="C12963">
        <v>1</v>
      </c>
      <c r="D12963" t="s">
        <v>17166</v>
      </c>
      <c r="F12963" t="s">
        <v>17246</v>
      </c>
      <c r="H12963" t="s">
        <v>23950</v>
      </c>
      <c r="I12963" t="s">
        <v>26604</v>
      </c>
      <c r="J12963" t="s">
        <v>47099</v>
      </c>
      <c r="L12963" t="s">
        <v>47182</v>
      </c>
      <c r="N12963" t="s">
        <v>26605</v>
      </c>
      <c r="P12963" t="s">
        <v>26656</v>
      </c>
      <c r="R12963" s="26" t="str">
        <f>HYPERLINK("https://ictv.global/taxonomy/taxondetails?taxnode_id=202302585","Mammarenavirus lunkense")</f>
        <v>Mammarenavirus lunkense</v>
      </c>
      <c r="S12963" t="s">
        <v>30</v>
      </c>
      <c r="T12963" t="s">
        <v>26744</v>
      </c>
      <c r="U12963" t="s">
        <v>26745</v>
      </c>
      <c r="V12963" t="s">
        <v>26746</v>
      </c>
      <c r="W12963" t="s">
        <v>50668</v>
      </c>
      <c r="X12963" t="s">
        <v>42</v>
      </c>
      <c r="Y12963" t="s">
        <v>23955</v>
      </c>
      <c r="Z12963" t="s">
        <v>166</v>
      </c>
      <c r="AA12963" s="22" t="str">
        <f>HYPERLINK("https://www.ncbi.nlm.nih.gov/nuccore/AB693151,AB693150","NCBI Nucleotide")</f>
        <v>NCBI Nucleotide</v>
      </c>
    </row>
    <row r="12964" spans="1:27" x14ac:dyDescent="0.35">
      <c r="A12964">
        <v>1011071</v>
      </c>
      <c r="B12964">
        <v>12122</v>
      </c>
      <c r="C12964">
        <v>1</v>
      </c>
      <c r="D12964" t="s">
        <v>17166</v>
      </c>
      <c r="F12964" t="s">
        <v>17246</v>
      </c>
      <c r="H12964" t="s">
        <v>23950</v>
      </c>
      <c r="I12964" t="s">
        <v>26604</v>
      </c>
      <c r="J12964" t="s">
        <v>47099</v>
      </c>
      <c r="L12964" t="s">
        <v>47182</v>
      </c>
      <c r="N12964" t="s">
        <v>26605</v>
      </c>
      <c r="P12964" t="s">
        <v>26656</v>
      </c>
      <c r="R12964" s="26" t="str">
        <f>HYPERLINK("https://ictv.global/taxonomy/taxondetails?taxnode_id=202302587","Mammarenavirus machupoense")</f>
        <v>Mammarenavirus machupoense</v>
      </c>
      <c r="S12964" t="s">
        <v>30</v>
      </c>
      <c r="T12964" t="s">
        <v>26747</v>
      </c>
      <c r="U12964" t="s">
        <v>26748</v>
      </c>
      <c r="V12964" t="s">
        <v>26749</v>
      </c>
      <c r="W12964" t="s">
        <v>50669</v>
      </c>
      <c r="X12964" t="s">
        <v>42</v>
      </c>
      <c r="Y12964" t="s">
        <v>23955</v>
      </c>
      <c r="Z12964" t="s">
        <v>166</v>
      </c>
      <c r="AA12964" s="22" t="str">
        <f>HYPERLINK("https://www.ncbi.nlm.nih.gov/nuccore/AY358021,AY129248","NCBI Nucleotide")</f>
        <v>NCBI Nucleotide</v>
      </c>
    </row>
    <row r="12965" spans="1:27" x14ac:dyDescent="0.35">
      <c r="A12965">
        <v>1027994</v>
      </c>
      <c r="B12965">
        <v>12123</v>
      </c>
      <c r="C12965">
        <v>1</v>
      </c>
      <c r="D12965" t="s">
        <v>17166</v>
      </c>
      <c r="F12965" t="s">
        <v>17246</v>
      </c>
      <c r="H12965" t="s">
        <v>23950</v>
      </c>
      <c r="I12965" t="s">
        <v>26604</v>
      </c>
      <c r="J12965" t="s">
        <v>47099</v>
      </c>
      <c r="L12965" t="s">
        <v>47182</v>
      </c>
      <c r="N12965" t="s">
        <v>26605</v>
      </c>
      <c r="P12965" t="s">
        <v>26656</v>
      </c>
      <c r="R12965" s="26" t="str">
        <f>HYPERLINK("https://ictv.global/taxonomy/taxondetails?taxnode_id=202318068","Mammarenavirus mafigaense")</f>
        <v>Mammarenavirus mafigaense</v>
      </c>
      <c r="S12965" t="s">
        <v>30</v>
      </c>
      <c r="T12965" t="s">
        <v>47200</v>
      </c>
      <c r="U12965" t="s">
        <v>47201</v>
      </c>
      <c r="V12965" t="s">
        <v>47202</v>
      </c>
      <c r="W12965" t="s">
        <v>50922</v>
      </c>
      <c r="X12965" t="s">
        <v>42</v>
      </c>
      <c r="Y12965" t="s">
        <v>23955</v>
      </c>
      <c r="Z12965" t="s">
        <v>166</v>
      </c>
      <c r="AA12965" s="22" t="str">
        <f>HYPERLINK("https://www.ncbi.nlm.nih.gov/nuccore/ON381478,ON381479,ON381477","NCBI Nucleotide")</f>
        <v>NCBI Nucleotide</v>
      </c>
    </row>
    <row r="12966" spans="1:27" x14ac:dyDescent="0.35">
      <c r="A12966">
        <v>1011072</v>
      </c>
      <c r="B12966">
        <v>12124</v>
      </c>
      <c r="C12966">
        <v>1</v>
      </c>
      <c r="D12966" t="s">
        <v>17166</v>
      </c>
      <c r="F12966" t="s">
        <v>17246</v>
      </c>
      <c r="H12966" t="s">
        <v>23950</v>
      </c>
      <c r="I12966" t="s">
        <v>26604</v>
      </c>
      <c r="J12966" t="s">
        <v>47099</v>
      </c>
      <c r="L12966" t="s">
        <v>47182</v>
      </c>
      <c r="N12966" t="s">
        <v>26605</v>
      </c>
      <c r="P12966" t="s">
        <v>26656</v>
      </c>
      <c r="R12966" s="26" t="str">
        <f>HYPERLINK("https://ictv.global/taxonomy/taxondetails?taxnode_id=202302588","Mammarenavirus marientalense")</f>
        <v>Mammarenavirus marientalense</v>
      </c>
      <c r="S12966" t="s">
        <v>30</v>
      </c>
      <c r="T12966" t="s">
        <v>26750</v>
      </c>
      <c r="U12966" t="s">
        <v>26751</v>
      </c>
      <c r="V12966" t="s">
        <v>26752</v>
      </c>
      <c r="W12966" t="s">
        <v>50670</v>
      </c>
      <c r="X12966" t="s">
        <v>42</v>
      </c>
      <c r="Y12966" t="s">
        <v>23955</v>
      </c>
      <c r="Z12966" t="s">
        <v>166</v>
      </c>
      <c r="AA12966" s="22" t="str">
        <f>HYPERLINK("https://www.ncbi.nlm.nih.gov/nuccore/KP867641,KM272987","NCBI Nucleotide")</f>
        <v>NCBI Nucleotide</v>
      </c>
    </row>
    <row r="12967" spans="1:27" x14ac:dyDescent="0.35">
      <c r="A12967">
        <v>1027995</v>
      </c>
      <c r="B12967">
        <v>12125</v>
      </c>
      <c r="C12967">
        <v>1</v>
      </c>
      <c r="D12967" t="s">
        <v>17166</v>
      </c>
      <c r="F12967" t="s">
        <v>17246</v>
      </c>
      <c r="H12967" t="s">
        <v>23950</v>
      </c>
      <c r="I12967" t="s">
        <v>26604</v>
      </c>
      <c r="J12967" t="s">
        <v>47099</v>
      </c>
      <c r="L12967" t="s">
        <v>47182</v>
      </c>
      <c r="N12967" t="s">
        <v>26605</v>
      </c>
      <c r="P12967" t="s">
        <v>26656</v>
      </c>
      <c r="R12967" s="26" t="str">
        <f>HYPERLINK("https://ictv.global/taxonomy/taxondetails?taxnode_id=202319011","Mammarenavirus mecsekense")</f>
        <v>Mammarenavirus mecsekense</v>
      </c>
      <c r="S12967" t="s">
        <v>30</v>
      </c>
      <c r="T12967" t="s">
        <v>47203</v>
      </c>
      <c r="U12967" t="s">
        <v>27306</v>
      </c>
      <c r="V12967" t="s">
        <v>47204</v>
      </c>
      <c r="W12967" t="s">
        <v>50923</v>
      </c>
      <c r="X12967" t="s">
        <v>35</v>
      </c>
      <c r="Y12967" t="s">
        <v>23955</v>
      </c>
      <c r="Z12967" t="s">
        <v>166</v>
      </c>
      <c r="AA12967" s="22" t="str">
        <f>HYPERLINK("https://www.ncbi.nlm.nih.gov/nuccore/OP191655,OP191656","NCBI Nucleotide")</f>
        <v>NCBI Nucleotide</v>
      </c>
    </row>
    <row r="12968" spans="1:27" x14ac:dyDescent="0.35">
      <c r="A12968">
        <v>1011073</v>
      </c>
      <c r="B12968">
        <v>12126</v>
      </c>
      <c r="C12968">
        <v>1</v>
      </c>
      <c r="D12968" t="s">
        <v>17166</v>
      </c>
      <c r="F12968" t="s">
        <v>17246</v>
      </c>
      <c r="H12968" t="s">
        <v>23950</v>
      </c>
      <c r="I12968" t="s">
        <v>26604</v>
      </c>
      <c r="J12968" t="s">
        <v>47099</v>
      </c>
      <c r="L12968" t="s">
        <v>47182</v>
      </c>
      <c r="N12968" t="s">
        <v>26605</v>
      </c>
      <c r="P12968" t="s">
        <v>26656</v>
      </c>
      <c r="R12968" s="26" t="str">
        <f>HYPERLINK("https://ictv.global/taxonomy/taxondetails?taxnode_id=202302589","Mammarenavirus merinoense")</f>
        <v>Mammarenavirus merinoense</v>
      </c>
      <c r="S12968" t="s">
        <v>30</v>
      </c>
      <c r="T12968" t="s">
        <v>26753</v>
      </c>
      <c r="U12968" t="s">
        <v>26754</v>
      </c>
      <c r="V12968" t="s">
        <v>26755</v>
      </c>
      <c r="W12968" t="s">
        <v>50671</v>
      </c>
      <c r="X12968" t="s">
        <v>42</v>
      </c>
      <c r="Y12968" t="s">
        <v>23955</v>
      </c>
      <c r="Z12968" t="s">
        <v>166</v>
      </c>
      <c r="AA12968" s="22" t="str">
        <f>HYPERLINK("https://www.ncbi.nlm.nih.gov/nuccore/GU078661,GU078660","NCBI Nucleotide")</f>
        <v>NCBI Nucleotide</v>
      </c>
    </row>
    <row r="12969" spans="1:27" x14ac:dyDescent="0.35">
      <c r="A12969">
        <v>1011074</v>
      </c>
      <c r="B12969">
        <v>12127</v>
      </c>
      <c r="C12969">
        <v>1</v>
      </c>
      <c r="D12969" t="s">
        <v>17166</v>
      </c>
      <c r="F12969" t="s">
        <v>17246</v>
      </c>
      <c r="H12969" t="s">
        <v>23950</v>
      </c>
      <c r="I12969" t="s">
        <v>26604</v>
      </c>
      <c r="J12969" t="s">
        <v>47099</v>
      </c>
      <c r="L12969" t="s">
        <v>47182</v>
      </c>
      <c r="N12969" t="s">
        <v>26605</v>
      </c>
      <c r="P12969" t="s">
        <v>26656</v>
      </c>
      <c r="R12969" s="26" t="str">
        <f>HYPERLINK("https://ictv.global/taxonomy/taxondetails?taxnode_id=202302591","Mammarenavirus mopeiaense")</f>
        <v>Mammarenavirus mopeiaense</v>
      </c>
      <c r="S12969" t="s">
        <v>30</v>
      </c>
      <c r="T12969" t="s">
        <v>26756</v>
      </c>
      <c r="U12969" t="s">
        <v>26757</v>
      </c>
      <c r="V12969" t="s">
        <v>26758</v>
      </c>
      <c r="W12969" t="s">
        <v>26759</v>
      </c>
      <c r="X12969" t="s">
        <v>42</v>
      </c>
      <c r="Y12969" t="s">
        <v>23955</v>
      </c>
      <c r="Z12969" t="s">
        <v>166</v>
      </c>
      <c r="AA12969" s="22" t="str">
        <f>HYPERLINK("https://www.ncbi.nlm.nih.gov/nuccore/AY772169,AY772170","NCBI Nucleotide")</f>
        <v>NCBI Nucleotide</v>
      </c>
    </row>
    <row r="12970" spans="1:27" x14ac:dyDescent="0.35">
      <c r="A12970">
        <v>1012895</v>
      </c>
      <c r="B12970">
        <v>12127</v>
      </c>
      <c r="C12970">
        <v>2</v>
      </c>
      <c r="D12970" t="s">
        <v>17166</v>
      </c>
      <c r="F12970" t="s">
        <v>17246</v>
      </c>
      <c r="H12970" t="s">
        <v>23950</v>
      </c>
      <c r="I12970" t="s">
        <v>26604</v>
      </c>
      <c r="J12970" t="s">
        <v>47099</v>
      </c>
      <c r="L12970" t="s">
        <v>47182</v>
      </c>
      <c r="N12970" t="s">
        <v>26605</v>
      </c>
      <c r="P12970" t="s">
        <v>26656</v>
      </c>
      <c r="R12970" s="26" t="str">
        <f>HYPERLINK("https://ictv.global/taxonomy/taxondetails?taxnode_id=202302591","Mammarenavirus mopeiaense")</f>
        <v>Mammarenavirus mopeiaense</v>
      </c>
      <c r="S12970" t="s">
        <v>8141</v>
      </c>
      <c r="T12970" t="s">
        <v>26760</v>
      </c>
      <c r="U12970" t="s">
        <v>26134</v>
      </c>
      <c r="V12970" t="s">
        <v>26761</v>
      </c>
      <c r="W12970" t="s">
        <v>50672</v>
      </c>
      <c r="X12970" t="s">
        <v>42</v>
      </c>
      <c r="Y12970" t="s">
        <v>23955</v>
      </c>
      <c r="Z12970" t="s">
        <v>166</v>
      </c>
      <c r="AA12970" s="22" t="str">
        <f>HYPERLINK("https://www.ncbi.nlm.nih.gov/nuccore/EU914104,EU914103","NCBI Nucleotide")</f>
        <v>NCBI Nucleotide</v>
      </c>
    </row>
    <row r="12971" spans="1:27" x14ac:dyDescent="0.35">
      <c r="A12971">
        <v>1027996</v>
      </c>
      <c r="B12971">
        <v>12128</v>
      </c>
      <c r="C12971">
        <v>1</v>
      </c>
      <c r="D12971" t="s">
        <v>17166</v>
      </c>
      <c r="F12971" t="s">
        <v>17246</v>
      </c>
      <c r="H12971" t="s">
        <v>23950</v>
      </c>
      <c r="I12971" t="s">
        <v>26604</v>
      </c>
      <c r="J12971" t="s">
        <v>47099</v>
      </c>
      <c r="L12971" t="s">
        <v>47182</v>
      </c>
      <c r="N12971" t="s">
        <v>26605</v>
      </c>
      <c r="P12971" t="s">
        <v>26656</v>
      </c>
      <c r="R12971" s="26" t="str">
        <f>HYPERLINK("https://ictv.global/taxonomy/taxondetails?taxnode_id=202319012","Mammarenavirus ngerengerense")</f>
        <v>Mammarenavirus ngerengerense</v>
      </c>
      <c r="S12971" t="s">
        <v>30</v>
      </c>
      <c r="T12971" t="s">
        <v>47205</v>
      </c>
      <c r="U12971" t="s">
        <v>47206</v>
      </c>
      <c r="V12971" t="s">
        <v>47207</v>
      </c>
      <c r="W12971" t="s">
        <v>50859</v>
      </c>
      <c r="X12971" t="s">
        <v>42</v>
      </c>
      <c r="Y12971" t="s">
        <v>23955</v>
      </c>
      <c r="Z12971" t="s">
        <v>166</v>
      </c>
      <c r="AA12971" s="22" t="str">
        <f>HYPERLINK("https://www.ncbi.nlm.nih.gov/nuccore/OP775654,OP775655","NCBI Nucleotide")</f>
        <v>NCBI Nucleotide</v>
      </c>
    </row>
    <row r="12972" spans="1:27" x14ac:dyDescent="0.35">
      <c r="A12972">
        <v>1011075</v>
      </c>
      <c r="B12972">
        <v>12129</v>
      </c>
      <c r="C12972">
        <v>1</v>
      </c>
      <c r="D12972" t="s">
        <v>17166</v>
      </c>
      <c r="F12972" t="s">
        <v>17246</v>
      </c>
      <c r="H12972" t="s">
        <v>23950</v>
      </c>
      <c r="I12972" t="s">
        <v>26604</v>
      </c>
      <c r="J12972" t="s">
        <v>47099</v>
      </c>
      <c r="L12972" t="s">
        <v>47182</v>
      </c>
      <c r="N12972" t="s">
        <v>26605</v>
      </c>
      <c r="P12972" t="s">
        <v>26656</v>
      </c>
      <c r="R12972" s="26" t="str">
        <f>HYPERLINK("https://ictv.global/taxonomy/taxondetails?taxnode_id=202302592","Mammarenavirus okahandjaense")</f>
        <v>Mammarenavirus okahandjaense</v>
      </c>
      <c r="S12972" t="s">
        <v>30</v>
      </c>
      <c r="T12972" t="s">
        <v>26762</v>
      </c>
      <c r="U12972" t="s">
        <v>26763</v>
      </c>
      <c r="V12972" t="s">
        <v>26764</v>
      </c>
      <c r="W12972" t="s">
        <v>50673</v>
      </c>
      <c r="X12972" t="s">
        <v>42</v>
      </c>
      <c r="Y12972" t="s">
        <v>23955</v>
      </c>
      <c r="Z12972" t="s">
        <v>166</v>
      </c>
      <c r="AA12972" s="22" t="str">
        <f>HYPERLINK("https://www.ncbi.nlm.nih.gov/nuccore/KP867642,KM272988","NCBI Nucleotide")</f>
        <v>NCBI Nucleotide</v>
      </c>
    </row>
    <row r="12973" spans="1:27" x14ac:dyDescent="0.35">
      <c r="A12973">
        <v>1011076</v>
      </c>
      <c r="B12973">
        <v>12130</v>
      </c>
      <c r="C12973">
        <v>1</v>
      </c>
      <c r="D12973" t="s">
        <v>17166</v>
      </c>
      <c r="F12973" t="s">
        <v>17246</v>
      </c>
      <c r="H12973" t="s">
        <v>23950</v>
      </c>
      <c r="I12973" t="s">
        <v>26604</v>
      </c>
      <c r="J12973" t="s">
        <v>47099</v>
      </c>
      <c r="L12973" t="s">
        <v>47182</v>
      </c>
      <c r="N12973" t="s">
        <v>26605</v>
      </c>
      <c r="P12973" t="s">
        <v>26656</v>
      </c>
      <c r="R12973" s="26" t="str">
        <f>HYPERLINK("https://ictv.global/taxonomy/taxondetails?taxnode_id=202302593","Mammarenavirus oliverosense")</f>
        <v>Mammarenavirus oliverosense</v>
      </c>
      <c r="S12973" t="s">
        <v>30</v>
      </c>
      <c r="T12973" t="s">
        <v>26765</v>
      </c>
      <c r="U12973" t="s">
        <v>26766</v>
      </c>
      <c r="V12973">
        <v>3229</v>
      </c>
      <c r="W12973" t="s">
        <v>26767</v>
      </c>
      <c r="X12973" t="s">
        <v>42</v>
      </c>
      <c r="Y12973" t="s">
        <v>23955</v>
      </c>
      <c r="Z12973" t="s">
        <v>166</v>
      </c>
      <c r="AA12973" s="22" t="str">
        <f>HYPERLINK("https://www.ncbi.nlm.nih.gov/nuccore/AY216514,U34248","NCBI Nucleotide")</f>
        <v>NCBI Nucleotide</v>
      </c>
    </row>
    <row r="12974" spans="1:27" x14ac:dyDescent="0.35">
      <c r="A12974">
        <v>1011077</v>
      </c>
      <c r="B12974">
        <v>12131</v>
      </c>
      <c r="C12974">
        <v>1</v>
      </c>
      <c r="D12974" t="s">
        <v>17166</v>
      </c>
      <c r="F12974" t="s">
        <v>17246</v>
      </c>
      <c r="H12974" t="s">
        <v>23950</v>
      </c>
      <c r="I12974" t="s">
        <v>26604</v>
      </c>
      <c r="J12974" t="s">
        <v>47099</v>
      </c>
      <c r="L12974" t="s">
        <v>47182</v>
      </c>
      <c r="N12974" t="s">
        <v>26605</v>
      </c>
      <c r="P12974" t="s">
        <v>26656</v>
      </c>
      <c r="R12974" s="26" t="str">
        <f>HYPERLINK("https://ictv.global/taxonomy/taxondetails?taxnode_id=202302594","Mammarenavirus paranaense")</f>
        <v>Mammarenavirus paranaense</v>
      </c>
      <c r="S12974" t="s">
        <v>30</v>
      </c>
      <c r="T12974" t="s">
        <v>26768</v>
      </c>
      <c r="U12974" t="s">
        <v>26769</v>
      </c>
      <c r="V12974">
        <v>12056</v>
      </c>
      <c r="W12974" t="s">
        <v>50674</v>
      </c>
      <c r="X12974" t="s">
        <v>42</v>
      </c>
      <c r="Y12974" t="s">
        <v>23955</v>
      </c>
      <c r="Z12974" t="s">
        <v>166</v>
      </c>
      <c r="AA12974" s="22" t="str">
        <f>HYPERLINK("https://www.ncbi.nlm.nih.gov/nuccore/EU627613,AF485261","NCBI Nucleotide")</f>
        <v>NCBI Nucleotide</v>
      </c>
    </row>
    <row r="12975" spans="1:27" x14ac:dyDescent="0.35">
      <c r="A12975">
        <v>1011078</v>
      </c>
      <c r="B12975">
        <v>12132</v>
      </c>
      <c r="C12975">
        <v>1</v>
      </c>
      <c r="D12975" t="s">
        <v>17166</v>
      </c>
      <c r="F12975" t="s">
        <v>17246</v>
      </c>
      <c r="H12975" t="s">
        <v>23950</v>
      </c>
      <c r="I12975" t="s">
        <v>26604</v>
      </c>
      <c r="J12975" t="s">
        <v>47099</v>
      </c>
      <c r="L12975" t="s">
        <v>47182</v>
      </c>
      <c r="N12975" t="s">
        <v>26605</v>
      </c>
      <c r="P12975" t="s">
        <v>26656</v>
      </c>
      <c r="R12975" s="26" t="str">
        <f>HYPERLINK("https://ictv.global/taxonomy/taxondetails?taxnode_id=202302596","Mammarenavirus piritalense")</f>
        <v>Mammarenavirus piritalense</v>
      </c>
      <c r="S12975" t="s">
        <v>30</v>
      </c>
      <c r="T12975" t="s">
        <v>26770</v>
      </c>
      <c r="U12975" t="s">
        <v>26771</v>
      </c>
      <c r="V12975" t="s">
        <v>26772</v>
      </c>
      <c r="W12975" t="s">
        <v>50675</v>
      </c>
      <c r="X12975" t="s">
        <v>42</v>
      </c>
      <c r="Y12975" t="s">
        <v>23955</v>
      </c>
      <c r="Z12975" t="s">
        <v>166</v>
      </c>
      <c r="AA12975" s="22" t="str">
        <f>HYPERLINK("https://www.ncbi.nlm.nih.gov/nuccore/AY494081,AF485262","NCBI Nucleotide")</f>
        <v>NCBI Nucleotide</v>
      </c>
    </row>
    <row r="12976" spans="1:27" x14ac:dyDescent="0.35">
      <c r="A12976">
        <v>1011079</v>
      </c>
      <c r="B12976">
        <v>12133</v>
      </c>
      <c r="C12976">
        <v>1</v>
      </c>
      <c r="D12976" t="s">
        <v>17166</v>
      </c>
      <c r="F12976" t="s">
        <v>17246</v>
      </c>
      <c r="H12976" t="s">
        <v>23950</v>
      </c>
      <c r="I12976" t="s">
        <v>26604</v>
      </c>
      <c r="J12976" t="s">
        <v>47099</v>
      </c>
      <c r="L12976" t="s">
        <v>47182</v>
      </c>
      <c r="N12976" t="s">
        <v>26605</v>
      </c>
      <c r="P12976" t="s">
        <v>26656</v>
      </c>
      <c r="R12976" s="26" t="str">
        <f>HYPERLINK("https://ictv.global/taxonomy/taxondetails?taxnode_id=202302590","Mammarenavirus praomyidis")</f>
        <v>Mammarenavirus praomyidis</v>
      </c>
      <c r="S12976" t="s">
        <v>30</v>
      </c>
      <c r="T12976" t="s">
        <v>26773</v>
      </c>
      <c r="U12976" t="s">
        <v>26774</v>
      </c>
      <c r="V12976" t="s">
        <v>26775</v>
      </c>
      <c r="W12976" t="s">
        <v>50676</v>
      </c>
      <c r="X12976" t="s">
        <v>42</v>
      </c>
      <c r="Y12976" t="s">
        <v>23955</v>
      </c>
      <c r="Z12976" t="s">
        <v>166</v>
      </c>
      <c r="AA12976" s="22" t="str">
        <f>HYPERLINK("https://www.ncbi.nlm.nih.gov/nuccore/DQ328876,AY342390","NCBI Nucleotide")</f>
        <v>NCBI Nucleotide</v>
      </c>
    </row>
    <row r="12977" spans="1:27" x14ac:dyDescent="0.35">
      <c r="A12977">
        <v>1011080</v>
      </c>
      <c r="B12977">
        <v>12134</v>
      </c>
      <c r="C12977">
        <v>1</v>
      </c>
      <c r="D12977" t="s">
        <v>17166</v>
      </c>
      <c r="F12977" t="s">
        <v>17246</v>
      </c>
      <c r="H12977" t="s">
        <v>23950</v>
      </c>
      <c r="I12977" t="s">
        <v>26604</v>
      </c>
      <c r="J12977" t="s">
        <v>47099</v>
      </c>
      <c r="L12977" t="s">
        <v>47182</v>
      </c>
      <c r="N12977" t="s">
        <v>26605</v>
      </c>
      <c r="P12977" t="s">
        <v>26656</v>
      </c>
      <c r="R12977" s="26" t="str">
        <f>HYPERLINK("https://ictv.global/taxonomy/taxondetails?taxnode_id=202305742","Mammarenavirus ryukyuense")</f>
        <v>Mammarenavirus ryukyuense</v>
      </c>
      <c r="S12977" t="s">
        <v>30</v>
      </c>
      <c r="T12977" t="s">
        <v>26776</v>
      </c>
      <c r="U12977" t="s">
        <v>26777</v>
      </c>
      <c r="V12977" t="s">
        <v>26778</v>
      </c>
      <c r="W12977" t="s">
        <v>26779</v>
      </c>
      <c r="X12977" t="s">
        <v>42</v>
      </c>
      <c r="Y12977" t="s">
        <v>23955</v>
      </c>
      <c r="Z12977" t="s">
        <v>166</v>
      </c>
      <c r="AA12977" s="22" t="str">
        <f>HYPERLINK("https://www.ncbi.nlm.nih.gov/nuccore/KM020190,KM020191","NCBI Nucleotide")</f>
        <v>NCBI Nucleotide</v>
      </c>
    </row>
    <row r="12978" spans="1:27" x14ac:dyDescent="0.35">
      <c r="A12978">
        <v>1011081</v>
      </c>
      <c r="B12978">
        <v>12135</v>
      </c>
      <c r="C12978">
        <v>1</v>
      </c>
      <c r="D12978" t="s">
        <v>17166</v>
      </c>
      <c r="F12978" t="s">
        <v>17246</v>
      </c>
      <c r="H12978" t="s">
        <v>23950</v>
      </c>
      <c r="I12978" t="s">
        <v>26604</v>
      </c>
      <c r="J12978" t="s">
        <v>47099</v>
      </c>
      <c r="L12978" t="s">
        <v>47182</v>
      </c>
      <c r="N12978" t="s">
        <v>26605</v>
      </c>
      <c r="P12978" t="s">
        <v>26656</v>
      </c>
      <c r="R12978" s="26" t="str">
        <f>HYPERLINK("https://ictv.global/taxonomy/taxondetails?taxnode_id=202302598","Mammarenavirus solweziense")</f>
        <v>Mammarenavirus solweziense</v>
      </c>
      <c r="S12978" t="s">
        <v>30</v>
      </c>
      <c r="T12978" t="s">
        <v>26780</v>
      </c>
      <c r="U12978" t="s">
        <v>26781</v>
      </c>
      <c r="V12978" t="s">
        <v>26782</v>
      </c>
      <c r="W12978" t="s">
        <v>50677</v>
      </c>
      <c r="X12978" t="s">
        <v>42</v>
      </c>
      <c r="Y12978" t="s">
        <v>23955</v>
      </c>
      <c r="Z12978" t="s">
        <v>166</v>
      </c>
      <c r="AA12978" s="22" t="str">
        <f>HYPERLINK("https://www.ncbi.nlm.nih.gov/nuccore/AB972429,AB972428","NCBI Nucleotide")</f>
        <v>NCBI Nucleotide</v>
      </c>
    </row>
    <row r="12979" spans="1:27" x14ac:dyDescent="0.35">
      <c r="A12979">
        <v>1027997</v>
      </c>
      <c r="B12979">
        <v>12136</v>
      </c>
      <c r="C12979">
        <v>1</v>
      </c>
      <c r="D12979" t="s">
        <v>17166</v>
      </c>
      <c r="F12979" t="s">
        <v>17246</v>
      </c>
      <c r="H12979" t="s">
        <v>23950</v>
      </c>
      <c r="I12979" t="s">
        <v>26604</v>
      </c>
      <c r="J12979" t="s">
        <v>47099</v>
      </c>
      <c r="L12979" t="s">
        <v>47182</v>
      </c>
      <c r="N12979" t="s">
        <v>26605</v>
      </c>
      <c r="P12979" t="s">
        <v>26656</v>
      </c>
      <c r="R12979" s="26" t="str">
        <f>HYPERLINK("https://ictv.global/taxonomy/taxondetails?taxnode_id=202318094","Mammarenavirus songeaense")</f>
        <v>Mammarenavirus songeaense</v>
      </c>
      <c r="S12979" t="s">
        <v>30</v>
      </c>
      <c r="T12979" t="s">
        <v>47208</v>
      </c>
      <c r="U12979" t="s">
        <v>47209</v>
      </c>
      <c r="V12979" t="s">
        <v>47210</v>
      </c>
      <c r="W12979" t="s">
        <v>47211</v>
      </c>
      <c r="X12979" t="s">
        <v>42</v>
      </c>
      <c r="Y12979" t="s">
        <v>23955</v>
      </c>
      <c r="Z12979" t="s">
        <v>166</v>
      </c>
      <c r="AA12979" s="22" t="str">
        <f>HYPERLINK("https://www.ncbi.nlm.nih.gov/nuccore/OP775658,OP775659","NCBI Nucleotide")</f>
        <v>NCBI Nucleotide</v>
      </c>
    </row>
    <row r="12980" spans="1:27" x14ac:dyDescent="0.35">
      <c r="A12980">
        <v>1011082</v>
      </c>
      <c r="B12980">
        <v>12137</v>
      </c>
      <c r="C12980">
        <v>1</v>
      </c>
      <c r="D12980" t="s">
        <v>17166</v>
      </c>
      <c r="F12980" t="s">
        <v>17246</v>
      </c>
      <c r="H12980" t="s">
        <v>23950</v>
      </c>
      <c r="I12980" t="s">
        <v>26604</v>
      </c>
      <c r="J12980" t="s">
        <v>47099</v>
      </c>
      <c r="L12980" t="s">
        <v>47182</v>
      </c>
      <c r="N12980" t="s">
        <v>26605</v>
      </c>
      <c r="P12980" t="s">
        <v>26656</v>
      </c>
      <c r="R12980" s="26" t="str">
        <f>HYPERLINK("https://ictv.global/taxonomy/taxondetails?taxnode_id=202302599","Mammarenavirus tacaribeense")</f>
        <v>Mammarenavirus tacaribeense</v>
      </c>
      <c r="S12980" t="s">
        <v>30</v>
      </c>
      <c r="T12980" t="s">
        <v>26783</v>
      </c>
      <c r="U12980" t="s">
        <v>26784</v>
      </c>
      <c r="V12980" t="s">
        <v>26785</v>
      </c>
      <c r="W12980" t="s">
        <v>26786</v>
      </c>
      <c r="X12980" t="s">
        <v>42</v>
      </c>
      <c r="Y12980" t="s">
        <v>23955</v>
      </c>
      <c r="Z12980" t="s">
        <v>166</v>
      </c>
      <c r="AA12980" s="22" t="str">
        <f>HYPERLINK("https://www.ncbi.nlm.nih.gov/nuccore/J04340,M20304","NCBI Nucleotide")</f>
        <v>NCBI Nucleotide</v>
      </c>
    </row>
    <row r="12981" spans="1:27" x14ac:dyDescent="0.35">
      <c r="A12981">
        <v>1011083</v>
      </c>
      <c r="B12981">
        <v>12138</v>
      </c>
      <c r="C12981">
        <v>1</v>
      </c>
      <c r="D12981" t="s">
        <v>17166</v>
      </c>
      <c r="F12981" t="s">
        <v>17246</v>
      </c>
      <c r="H12981" t="s">
        <v>23950</v>
      </c>
      <c r="I12981" t="s">
        <v>26604</v>
      </c>
      <c r="J12981" t="s">
        <v>47099</v>
      </c>
      <c r="L12981" t="s">
        <v>47182</v>
      </c>
      <c r="N12981" t="s">
        <v>26605</v>
      </c>
      <c r="P12981" t="s">
        <v>26656</v>
      </c>
      <c r="R12981" s="26" t="str">
        <f>HYPERLINK("https://ictv.global/taxonomy/taxondetails?taxnode_id=202302600","Mammarenavirus tamiamiense")</f>
        <v>Mammarenavirus tamiamiense</v>
      </c>
      <c r="S12981" t="s">
        <v>30</v>
      </c>
      <c r="T12981" t="s">
        <v>26787</v>
      </c>
      <c r="U12981" t="s">
        <v>26788</v>
      </c>
      <c r="V12981" t="s">
        <v>26789</v>
      </c>
      <c r="W12981" t="s">
        <v>50678</v>
      </c>
      <c r="X12981" t="s">
        <v>42</v>
      </c>
      <c r="Y12981" t="s">
        <v>23955</v>
      </c>
      <c r="Z12981" t="s">
        <v>166</v>
      </c>
      <c r="AA12981" s="22" t="str">
        <f>HYPERLINK("https://www.ncbi.nlm.nih.gov/nuccore/AY924393,AF485263","NCBI Nucleotide")</f>
        <v>NCBI Nucleotide</v>
      </c>
    </row>
    <row r="12982" spans="1:27" x14ac:dyDescent="0.35">
      <c r="A12982">
        <v>1027998</v>
      </c>
      <c r="B12982">
        <v>12139</v>
      </c>
      <c r="C12982">
        <v>1</v>
      </c>
      <c r="D12982" t="s">
        <v>17166</v>
      </c>
      <c r="F12982" t="s">
        <v>17246</v>
      </c>
      <c r="H12982" t="s">
        <v>23950</v>
      </c>
      <c r="I12982" t="s">
        <v>26604</v>
      </c>
      <c r="J12982" t="s">
        <v>47099</v>
      </c>
      <c r="L12982" t="s">
        <v>47182</v>
      </c>
      <c r="N12982" t="s">
        <v>26605</v>
      </c>
      <c r="P12982" t="s">
        <v>26656</v>
      </c>
      <c r="R12982" s="26" t="str">
        <f>HYPERLINK("https://ictv.global/taxonomy/taxondetails?taxnode_id=202319015","Mammarenavirus tietense")</f>
        <v>Mammarenavirus tietense</v>
      </c>
      <c r="S12982" t="s">
        <v>30</v>
      </c>
      <c r="T12982" t="s">
        <v>47212</v>
      </c>
      <c r="U12982" t="s">
        <v>47213</v>
      </c>
      <c r="V12982" t="s">
        <v>47214</v>
      </c>
      <c r="W12982" t="s">
        <v>50860</v>
      </c>
      <c r="X12982" t="s">
        <v>35</v>
      </c>
      <c r="Y12982" t="s">
        <v>23955</v>
      </c>
      <c r="Z12982" t="s">
        <v>166</v>
      </c>
      <c r="AA12982" s="22" t="str">
        <f>HYPERLINK("https://www.ncbi.nlm.nih.gov/nuccore/ON648820,ON648824","NCBI Nucleotide")</f>
        <v>NCBI Nucleotide</v>
      </c>
    </row>
    <row r="12983" spans="1:27" x14ac:dyDescent="0.35">
      <c r="A12983">
        <v>1011084</v>
      </c>
      <c r="B12983">
        <v>12140</v>
      </c>
      <c r="C12983">
        <v>1</v>
      </c>
      <c r="D12983" t="s">
        <v>17166</v>
      </c>
      <c r="F12983" t="s">
        <v>17246</v>
      </c>
      <c r="H12983" t="s">
        <v>23950</v>
      </c>
      <c r="I12983" t="s">
        <v>26604</v>
      </c>
      <c r="J12983" t="s">
        <v>47099</v>
      </c>
      <c r="L12983" t="s">
        <v>47182</v>
      </c>
      <c r="N12983" t="s">
        <v>26605</v>
      </c>
      <c r="P12983" t="s">
        <v>26656</v>
      </c>
      <c r="R12983" s="26" t="str">
        <f>HYPERLINK("https://ictv.global/taxonomy/taxondetails?taxnode_id=202302601","Mammarenavirus wenzhouense")</f>
        <v>Mammarenavirus wenzhouense</v>
      </c>
      <c r="S12983" t="s">
        <v>30</v>
      </c>
      <c r="T12983" t="s">
        <v>26790</v>
      </c>
      <c r="U12983" t="s">
        <v>26791</v>
      </c>
      <c r="V12983" t="s">
        <v>26792</v>
      </c>
      <c r="W12983" t="s">
        <v>50679</v>
      </c>
      <c r="X12983" t="s">
        <v>42</v>
      </c>
      <c r="Y12983" t="s">
        <v>23955</v>
      </c>
      <c r="Z12983" t="s">
        <v>166</v>
      </c>
      <c r="AA12983" s="22" t="str">
        <f>HYPERLINK("https://www.ncbi.nlm.nih.gov/nuccore/KJ909795,KJ909794","NCBI Nucleotide")</f>
        <v>NCBI Nucleotide</v>
      </c>
    </row>
    <row r="12984" spans="1:27" x14ac:dyDescent="0.35">
      <c r="A12984">
        <v>1011085</v>
      </c>
      <c r="B12984">
        <v>12141</v>
      </c>
      <c r="C12984">
        <v>1</v>
      </c>
      <c r="D12984" t="s">
        <v>17166</v>
      </c>
      <c r="F12984" t="s">
        <v>17246</v>
      </c>
      <c r="H12984" t="s">
        <v>23950</v>
      </c>
      <c r="I12984" t="s">
        <v>26604</v>
      </c>
      <c r="J12984" t="s">
        <v>47099</v>
      </c>
      <c r="L12984" t="s">
        <v>47182</v>
      </c>
      <c r="N12984" t="s">
        <v>26605</v>
      </c>
      <c r="P12984" t="s">
        <v>26656</v>
      </c>
      <c r="R12984" s="26" t="str">
        <f>HYPERLINK("https://ictv.global/taxonomy/taxondetails?taxnode_id=202302602","Mammarenavirus whitewaterense")</f>
        <v>Mammarenavirus whitewaterense</v>
      </c>
      <c r="S12984" t="s">
        <v>30</v>
      </c>
      <c r="T12984" t="s">
        <v>26793</v>
      </c>
      <c r="U12984" t="s">
        <v>26794</v>
      </c>
      <c r="V12984" t="s">
        <v>26795</v>
      </c>
      <c r="W12984" t="s">
        <v>50680</v>
      </c>
      <c r="X12984" t="s">
        <v>42</v>
      </c>
      <c r="Y12984" t="s">
        <v>23955</v>
      </c>
      <c r="Z12984" t="s">
        <v>166</v>
      </c>
      <c r="AA12984" s="22" t="str">
        <f>HYPERLINK("https://www.ncbi.nlm.nih.gov/nuccore/AY924395,AF228063","NCBI Nucleotide")</f>
        <v>NCBI Nucleotide</v>
      </c>
    </row>
    <row r="12985" spans="1:27" x14ac:dyDescent="0.35">
      <c r="A12985">
        <v>1012896</v>
      </c>
      <c r="B12985">
        <v>12141</v>
      </c>
      <c r="C12985">
        <v>2</v>
      </c>
      <c r="D12985" t="s">
        <v>17166</v>
      </c>
      <c r="F12985" t="s">
        <v>17246</v>
      </c>
      <c r="H12985" t="s">
        <v>23950</v>
      </c>
      <c r="I12985" t="s">
        <v>26604</v>
      </c>
      <c r="J12985" t="s">
        <v>47099</v>
      </c>
      <c r="L12985" t="s">
        <v>47182</v>
      </c>
      <c r="N12985" t="s">
        <v>26605</v>
      </c>
      <c r="P12985" t="s">
        <v>26656</v>
      </c>
      <c r="R12985" s="26" t="str">
        <f>HYPERLINK("https://ictv.global/taxonomy/taxondetails?taxnode_id=202302602","Mammarenavirus whitewaterense")</f>
        <v>Mammarenavirus whitewaterense</v>
      </c>
      <c r="S12985" t="s">
        <v>8141</v>
      </c>
      <c r="T12985" t="s">
        <v>26796</v>
      </c>
      <c r="U12985" t="s">
        <v>26797</v>
      </c>
      <c r="V12985" t="s">
        <v>26798</v>
      </c>
      <c r="W12985" t="s">
        <v>49536</v>
      </c>
      <c r="X12985" t="s">
        <v>154</v>
      </c>
      <c r="Y12985" t="s">
        <v>23955</v>
      </c>
      <c r="Z12985" t="s">
        <v>166</v>
      </c>
      <c r="AA12985" s="22" t="str">
        <f>HYPERLINK("https://www.ncbi.nlm.nih.gov/nuccore/EU938665,EF619035","NCBI Nucleotide")</f>
        <v>NCBI Nucleotide</v>
      </c>
    </row>
    <row r="12986" spans="1:27" x14ac:dyDescent="0.35">
      <c r="A12986">
        <v>1012897</v>
      </c>
      <c r="B12986">
        <v>12141</v>
      </c>
      <c r="C12986">
        <v>3</v>
      </c>
      <c r="D12986" t="s">
        <v>17166</v>
      </c>
      <c r="F12986" t="s">
        <v>17246</v>
      </c>
      <c r="H12986" t="s">
        <v>23950</v>
      </c>
      <c r="I12986" t="s">
        <v>26604</v>
      </c>
      <c r="J12986" t="s">
        <v>47099</v>
      </c>
      <c r="L12986" t="s">
        <v>47182</v>
      </c>
      <c r="N12986" t="s">
        <v>26605</v>
      </c>
      <c r="P12986" t="s">
        <v>26656</v>
      </c>
      <c r="R12986" s="26" t="str">
        <f>HYPERLINK("https://ictv.global/taxonomy/taxondetails?taxnode_id=202302602","Mammarenavirus whitewaterense")</f>
        <v>Mammarenavirus whitewaterense</v>
      </c>
      <c r="S12986" t="s">
        <v>8141</v>
      </c>
      <c r="T12986" t="s">
        <v>26799</v>
      </c>
      <c r="U12986" t="s">
        <v>26800</v>
      </c>
      <c r="V12986" t="s">
        <v>26801</v>
      </c>
      <c r="W12986" t="s">
        <v>49537</v>
      </c>
      <c r="X12986" t="s">
        <v>154</v>
      </c>
      <c r="Y12986" t="s">
        <v>23955</v>
      </c>
      <c r="Z12986" t="s">
        <v>166</v>
      </c>
      <c r="AA12986" s="22" t="str">
        <f>HYPERLINK("https://www.ncbi.nlm.nih.gov/nuccore/JX237768","NCBI Nucleotide")</f>
        <v>NCBI Nucleotide</v>
      </c>
    </row>
    <row r="12987" spans="1:27" x14ac:dyDescent="0.35">
      <c r="A12987">
        <v>1012898</v>
      </c>
      <c r="B12987">
        <v>12141</v>
      </c>
      <c r="C12987">
        <v>4</v>
      </c>
      <c r="D12987" t="s">
        <v>17166</v>
      </c>
      <c r="F12987" t="s">
        <v>17246</v>
      </c>
      <c r="H12987" t="s">
        <v>23950</v>
      </c>
      <c r="I12987" t="s">
        <v>26604</v>
      </c>
      <c r="J12987" t="s">
        <v>47099</v>
      </c>
      <c r="L12987" t="s">
        <v>47182</v>
      </c>
      <c r="N12987" t="s">
        <v>26605</v>
      </c>
      <c r="P12987" t="s">
        <v>26656</v>
      </c>
      <c r="R12987" s="26" t="str">
        <f>HYPERLINK("https://ictv.global/taxonomy/taxondetails?taxnode_id=202302602","Mammarenavirus whitewaterense")</f>
        <v>Mammarenavirus whitewaterense</v>
      </c>
      <c r="S12987" t="s">
        <v>8141</v>
      </c>
      <c r="T12987" t="s">
        <v>26802</v>
      </c>
      <c r="U12987" t="s">
        <v>26803</v>
      </c>
      <c r="V12987" t="s">
        <v>26804</v>
      </c>
      <c r="W12987" t="s">
        <v>49538</v>
      </c>
      <c r="X12987" t="s">
        <v>154</v>
      </c>
      <c r="Y12987" t="s">
        <v>23955</v>
      </c>
      <c r="Z12987" t="s">
        <v>166</v>
      </c>
      <c r="AA12987" s="22" t="str">
        <f>HYPERLINK("https://www.ncbi.nlm.nih.gov/nuccore/EU938659,EU123328","NCBI Nucleotide")</f>
        <v>NCBI Nucleotide</v>
      </c>
    </row>
    <row r="12988" spans="1:27" x14ac:dyDescent="0.35">
      <c r="A12988">
        <v>1012899</v>
      </c>
      <c r="B12988">
        <v>12141</v>
      </c>
      <c r="C12988">
        <v>5</v>
      </c>
      <c r="D12988" t="s">
        <v>17166</v>
      </c>
      <c r="F12988" t="s">
        <v>17246</v>
      </c>
      <c r="H12988" t="s">
        <v>23950</v>
      </c>
      <c r="I12988" t="s">
        <v>26604</v>
      </c>
      <c r="J12988" t="s">
        <v>47099</v>
      </c>
      <c r="L12988" t="s">
        <v>47182</v>
      </c>
      <c r="N12988" t="s">
        <v>26605</v>
      </c>
      <c r="P12988" t="s">
        <v>26656</v>
      </c>
      <c r="R12988" s="26" t="str">
        <f>HYPERLINK("https://ictv.global/taxonomy/taxondetails?taxnode_id=202302602","Mammarenavirus whitewaterense")</f>
        <v>Mammarenavirus whitewaterense</v>
      </c>
      <c r="S12988" t="s">
        <v>8141</v>
      </c>
      <c r="T12988" t="s">
        <v>26805</v>
      </c>
      <c r="U12988" t="s">
        <v>26806</v>
      </c>
      <c r="V12988" t="s">
        <v>26807</v>
      </c>
      <c r="W12988" t="s">
        <v>49539</v>
      </c>
      <c r="X12988" t="s">
        <v>154</v>
      </c>
      <c r="Y12988" t="s">
        <v>23955</v>
      </c>
      <c r="Z12988" t="s">
        <v>166</v>
      </c>
      <c r="AA12988" s="22" t="str">
        <f>HYPERLINK("https://www.ncbi.nlm.nih.gov/nuccore/EU938663,EF619034","NCBI Nucleotide")</f>
        <v>NCBI Nucleotide</v>
      </c>
    </row>
    <row r="12989" spans="1:27" x14ac:dyDescent="0.35">
      <c r="A12989">
        <v>1011086</v>
      </c>
      <c r="B12989">
        <v>12142</v>
      </c>
      <c r="C12989">
        <v>1</v>
      </c>
      <c r="D12989" t="s">
        <v>17166</v>
      </c>
      <c r="F12989" t="s">
        <v>17246</v>
      </c>
      <c r="H12989" t="s">
        <v>23950</v>
      </c>
      <c r="I12989" t="s">
        <v>26604</v>
      </c>
      <c r="J12989" t="s">
        <v>47099</v>
      </c>
      <c r="L12989" t="s">
        <v>47182</v>
      </c>
      <c r="N12989" t="s">
        <v>26605</v>
      </c>
      <c r="P12989" t="s">
        <v>26656</v>
      </c>
      <c r="R12989" s="26" t="str">
        <f>HYPERLINK("https://ictv.global/taxonomy/taxondetails?taxnode_id=202307185","Mammarenavirus xapuriense")</f>
        <v>Mammarenavirus xapuriense</v>
      </c>
      <c r="S12989" t="s">
        <v>30</v>
      </c>
      <c r="T12989" t="s">
        <v>26808</v>
      </c>
      <c r="U12989" t="s">
        <v>26809</v>
      </c>
      <c r="V12989" t="s">
        <v>26810</v>
      </c>
      <c r="W12989" t="s">
        <v>26811</v>
      </c>
      <c r="X12989" t="s">
        <v>42</v>
      </c>
      <c r="Y12989" t="s">
        <v>23955</v>
      </c>
      <c r="Z12989" t="s">
        <v>166</v>
      </c>
      <c r="AA12989" s="22" t="str">
        <f>HYPERLINK("https://www.ncbi.nlm.nih.gov/nuccore/MG976577,MG976578","NCBI Nucleotide")</f>
        <v>NCBI Nucleotide</v>
      </c>
    </row>
    <row r="12990" spans="1:27" x14ac:dyDescent="0.35">
      <c r="A12990">
        <v>1011087</v>
      </c>
      <c r="B12990">
        <v>12143</v>
      </c>
      <c r="C12990">
        <v>1</v>
      </c>
      <c r="D12990" t="s">
        <v>17166</v>
      </c>
      <c r="F12990" t="s">
        <v>17246</v>
      </c>
      <c r="H12990" t="s">
        <v>23950</v>
      </c>
      <c r="I12990" t="s">
        <v>26604</v>
      </c>
      <c r="J12990" t="s">
        <v>47099</v>
      </c>
      <c r="L12990" t="s">
        <v>47182</v>
      </c>
      <c r="N12990" t="s">
        <v>26605</v>
      </c>
      <c r="P12990" t="s">
        <v>26815</v>
      </c>
      <c r="R12990" s="26" t="str">
        <f>HYPERLINK("https://ictv.global/taxonomy/taxondetails?taxnode_id=202302604","Reptarenavirus aurei")</f>
        <v>Reptarenavirus aurei</v>
      </c>
      <c r="S12990" t="s">
        <v>30</v>
      </c>
      <c r="T12990" t="s">
        <v>26816</v>
      </c>
      <c r="U12990" t="s">
        <v>26817</v>
      </c>
      <c r="V12990" t="s">
        <v>18315</v>
      </c>
      <c r="W12990" t="s">
        <v>26818</v>
      </c>
      <c r="X12990" t="s">
        <v>42</v>
      </c>
      <c r="Y12990" t="s">
        <v>23955</v>
      </c>
      <c r="Z12990" t="s">
        <v>166</v>
      </c>
      <c r="AA12990" s="22" t="str">
        <f>HYPERLINK("https://www.ncbi.nlm.nih.gov/nuccore/JQ717263,JQ717264","NCBI Nucleotide")</f>
        <v>NCBI Nucleotide</v>
      </c>
    </row>
    <row r="12991" spans="1:27" x14ac:dyDescent="0.35">
      <c r="A12991">
        <v>1011088</v>
      </c>
      <c r="B12991">
        <v>12144</v>
      </c>
      <c r="C12991">
        <v>1</v>
      </c>
      <c r="D12991" t="s">
        <v>17166</v>
      </c>
      <c r="F12991" t="s">
        <v>17246</v>
      </c>
      <c r="H12991" t="s">
        <v>23950</v>
      </c>
      <c r="I12991" t="s">
        <v>26604</v>
      </c>
      <c r="J12991" t="s">
        <v>47099</v>
      </c>
      <c r="L12991" t="s">
        <v>47182</v>
      </c>
      <c r="N12991" t="s">
        <v>26605</v>
      </c>
      <c r="P12991" t="s">
        <v>26815</v>
      </c>
      <c r="R12991" s="26" t="str">
        <f>HYPERLINK("https://ictv.global/taxonomy/taxondetails?taxnode_id=202302605","Reptarenavirus californiae")</f>
        <v>Reptarenavirus californiae</v>
      </c>
      <c r="S12991" t="s">
        <v>30</v>
      </c>
      <c r="T12991" t="s">
        <v>26819</v>
      </c>
      <c r="U12991" t="s">
        <v>26820</v>
      </c>
      <c r="V12991" t="s">
        <v>26821</v>
      </c>
      <c r="W12991" t="s">
        <v>26822</v>
      </c>
      <c r="X12991" t="s">
        <v>42</v>
      </c>
      <c r="Y12991" t="s">
        <v>23955</v>
      </c>
      <c r="Z12991" t="s">
        <v>166</v>
      </c>
      <c r="AA12991" s="22" t="str">
        <f>HYPERLINK("https://www.ncbi.nlm.nih.gov/nuccore/JQ717261,JQ717262","NCBI Nucleotide")</f>
        <v>NCBI Nucleotide</v>
      </c>
    </row>
    <row r="12992" spans="1:27" x14ac:dyDescent="0.35">
      <c r="A12992">
        <v>1011089</v>
      </c>
      <c r="B12992">
        <v>12145</v>
      </c>
      <c r="C12992">
        <v>1</v>
      </c>
      <c r="D12992" t="s">
        <v>17166</v>
      </c>
      <c r="F12992" t="s">
        <v>17246</v>
      </c>
      <c r="H12992" t="s">
        <v>23950</v>
      </c>
      <c r="I12992" t="s">
        <v>26604</v>
      </c>
      <c r="J12992" t="s">
        <v>47099</v>
      </c>
      <c r="L12992" t="s">
        <v>47182</v>
      </c>
      <c r="N12992" t="s">
        <v>26605</v>
      </c>
      <c r="P12992" t="s">
        <v>26815</v>
      </c>
      <c r="R12992" s="26" t="str">
        <f>HYPERLINK("https://ictv.global/taxonomy/taxondetails?taxnode_id=202305745","Reptarenavirus commune")</f>
        <v>Reptarenavirus commune</v>
      </c>
      <c r="S12992" t="s">
        <v>30</v>
      </c>
      <c r="T12992" t="s">
        <v>26823</v>
      </c>
      <c r="U12992" t="s">
        <v>26824</v>
      </c>
      <c r="W12992" t="s">
        <v>50681</v>
      </c>
      <c r="X12992" t="s">
        <v>42</v>
      </c>
      <c r="Y12992" t="s">
        <v>23955</v>
      </c>
      <c r="Z12992" t="s">
        <v>166</v>
      </c>
      <c r="AA12992" s="22" t="str">
        <f>HYPERLINK("https://www.ncbi.nlm.nih.gov/nuccore/KX527582,KX527575","NCBI Nucleotide")</f>
        <v>NCBI Nucleotide</v>
      </c>
    </row>
    <row r="12993" spans="1:27" x14ac:dyDescent="0.35">
      <c r="A12993">
        <v>1011090</v>
      </c>
      <c r="B12993">
        <v>12146</v>
      </c>
      <c r="C12993">
        <v>1</v>
      </c>
      <c r="D12993" t="s">
        <v>17166</v>
      </c>
      <c r="F12993" t="s">
        <v>17246</v>
      </c>
      <c r="H12993" t="s">
        <v>23950</v>
      </c>
      <c r="I12993" t="s">
        <v>26604</v>
      </c>
      <c r="J12993" t="s">
        <v>47099</v>
      </c>
      <c r="L12993" t="s">
        <v>47182</v>
      </c>
      <c r="N12993" t="s">
        <v>26605</v>
      </c>
      <c r="P12993" t="s">
        <v>26815</v>
      </c>
      <c r="R12993" s="26" t="str">
        <f>HYPERLINK("https://ictv.global/taxonomy/taxondetails?taxnode_id=202305744","Reptarenavirus giessenae")</f>
        <v>Reptarenavirus giessenae</v>
      </c>
      <c r="S12993" t="s">
        <v>30</v>
      </c>
      <c r="T12993" t="s">
        <v>26825</v>
      </c>
      <c r="U12993" t="s">
        <v>26826</v>
      </c>
      <c r="V12993">
        <v>1</v>
      </c>
      <c r="W12993" t="s">
        <v>50682</v>
      </c>
      <c r="X12993" t="s">
        <v>42</v>
      </c>
      <c r="Y12993" t="s">
        <v>23955</v>
      </c>
      <c r="Z12993" t="s">
        <v>166</v>
      </c>
      <c r="AA12993" s="22" t="str">
        <f>HYPERLINK("https://www.ncbi.nlm.nih.gov/nuccore/KR870022,KR870012","NCBI Nucleotide")</f>
        <v>NCBI Nucleotide</v>
      </c>
    </row>
    <row r="12994" spans="1:27" x14ac:dyDescent="0.35">
      <c r="A12994">
        <v>1012900</v>
      </c>
      <c r="B12994">
        <v>12146</v>
      </c>
      <c r="C12994">
        <v>2</v>
      </c>
      <c r="D12994" t="s">
        <v>17166</v>
      </c>
      <c r="F12994" t="s">
        <v>17246</v>
      </c>
      <c r="H12994" t="s">
        <v>23950</v>
      </c>
      <c r="I12994" t="s">
        <v>26604</v>
      </c>
      <c r="J12994" t="s">
        <v>47099</v>
      </c>
      <c r="L12994" t="s">
        <v>47182</v>
      </c>
      <c r="N12994" t="s">
        <v>26605</v>
      </c>
      <c r="P12994" t="s">
        <v>26815</v>
      </c>
      <c r="R12994" s="26" t="str">
        <f>HYPERLINK("https://ictv.global/taxonomy/taxondetails?taxnode_id=202305744","Reptarenavirus giessenae")</f>
        <v>Reptarenavirus giessenae</v>
      </c>
      <c r="S12994" t="s">
        <v>8141</v>
      </c>
      <c r="T12994" t="s">
        <v>26827</v>
      </c>
      <c r="U12994" t="s">
        <v>26828</v>
      </c>
      <c r="V12994">
        <v>2</v>
      </c>
      <c r="W12994" t="s">
        <v>49540</v>
      </c>
      <c r="X12994" t="s">
        <v>42</v>
      </c>
      <c r="Y12994" t="s">
        <v>23955</v>
      </c>
      <c r="Z12994" t="s">
        <v>166</v>
      </c>
      <c r="AA12994" s="22" t="str">
        <f>HYPERLINK("https://www.ncbi.nlm.nih.gov/nuccore/KR870029,KR870015","NCBI Nucleotide")</f>
        <v>NCBI Nucleotide</v>
      </c>
    </row>
    <row r="12995" spans="1:27" x14ac:dyDescent="0.35">
      <c r="A12995">
        <v>1012901</v>
      </c>
      <c r="B12995">
        <v>12146</v>
      </c>
      <c r="C12995">
        <v>3</v>
      </c>
      <c r="D12995" t="s">
        <v>17166</v>
      </c>
      <c r="F12995" t="s">
        <v>17246</v>
      </c>
      <c r="H12995" t="s">
        <v>23950</v>
      </c>
      <c r="I12995" t="s">
        <v>26604</v>
      </c>
      <c r="J12995" t="s">
        <v>47099</v>
      </c>
      <c r="L12995" t="s">
        <v>47182</v>
      </c>
      <c r="N12995" t="s">
        <v>26605</v>
      </c>
      <c r="P12995" t="s">
        <v>26815</v>
      </c>
      <c r="R12995" s="26" t="str">
        <f>HYPERLINK("https://ictv.global/taxonomy/taxondetails?taxnode_id=202305744","Reptarenavirus giessenae")</f>
        <v>Reptarenavirus giessenae</v>
      </c>
      <c r="S12995" t="s">
        <v>8141</v>
      </c>
      <c r="T12995" t="s">
        <v>26829</v>
      </c>
      <c r="U12995" t="s">
        <v>26830</v>
      </c>
      <c r="V12995">
        <v>3</v>
      </c>
      <c r="W12995" t="s">
        <v>49541</v>
      </c>
      <c r="X12995" t="s">
        <v>42</v>
      </c>
      <c r="Y12995" t="s">
        <v>23955</v>
      </c>
      <c r="Z12995" t="s">
        <v>166</v>
      </c>
      <c r="AA12995" s="22" t="str">
        <f>HYPERLINK("https://www.ncbi.nlm.nih.gov/nuccore/KR870023,KR870013","NCBI Nucleotide")</f>
        <v>NCBI Nucleotide</v>
      </c>
    </row>
    <row r="12996" spans="1:27" x14ac:dyDescent="0.35">
      <c r="A12996">
        <v>1011091</v>
      </c>
      <c r="B12996">
        <v>12147</v>
      </c>
      <c r="C12996">
        <v>1</v>
      </c>
      <c r="D12996" t="s">
        <v>17166</v>
      </c>
      <c r="F12996" t="s">
        <v>17246</v>
      </c>
      <c r="H12996" t="s">
        <v>23950</v>
      </c>
      <c r="I12996" t="s">
        <v>26604</v>
      </c>
      <c r="J12996" t="s">
        <v>47099</v>
      </c>
      <c r="L12996" t="s">
        <v>47182</v>
      </c>
      <c r="N12996" t="s">
        <v>26605</v>
      </c>
      <c r="P12996" t="s">
        <v>26815</v>
      </c>
      <c r="R12996" s="26" t="str">
        <f>HYPERLINK("https://ictv.global/taxonomy/taxondetails?taxnode_id=202302606","Reptarenavirus rotterdamense")</f>
        <v>Reptarenavirus rotterdamense</v>
      </c>
      <c r="S12996" t="s">
        <v>30</v>
      </c>
      <c r="T12996" t="s">
        <v>26831</v>
      </c>
      <c r="U12996" t="s">
        <v>26832</v>
      </c>
      <c r="V12996">
        <v>3</v>
      </c>
      <c r="W12996" t="s">
        <v>50683</v>
      </c>
      <c r="X12996" t="s">
        <v>42</v>
      </c>
      <c r="Y12996" t="s">
        <v>23955</v>
      </c>
      <c r="Z12996" t="s">
        <v>166</v>
      </c>
      <c r="AA12996" s="22" t="str">
        <f>HYPERLINK("https://www.ncbi.nlm.nih.gov/nuccore/KC508670,KC508669","NCBI Nucleotide")</f>
        <v>NCBI Nucleotide</v>
      </c>
    </row>
    <row r="12997" spans="1:27" x14ac:dyDescent="0.35">
      <c r="A12997">
        <v>1012902</v>
      </c>
      <c r="B12997">
        <v>12147</v>
      </c>
      <c r="C12997">
        <v>2</v>
      </c>
      <c r="D12997" t="s">
        <v>17166</v>
      </c>
      <c r="F12997" t="s">
        <v>17246</v>
      </c>
      <c r="H12997" t="s">
        <v>23950</v>
      </c>
      <c r="I12997" t="s">
        <v>26604</v>
      </c>
      <c r="J12997" t="s">
        <v>47099</v>
      </c>
      <c r="L12997" t="s">
        <v>47182</v>
      </c>
      <c r="N12997" t="s">
        <v>26605</v>
      </c>
      <c r="P12997" t="s">
        <v>26815</v>
      </c>
      <c r="R12997" s="26" t="str">
        <f>HYPERLINK("https://ictv.global/taxonomy/taxondetails?taxnode_id=202302606","Reptarenavirus rotterdamense")</f>
        <v>Reptarenavirus rotterdamense</v>
      </c>
      <c r="S12997" t="s">
        <v>8141</v>
      </c>
      <c r="T12997" t="s">
        <v>26833</v>
      </c>
      <c r="U12997" t="s">
        <v>26834</v>
      </c>
      <c r="V12997">
        <v>1</v>
      </c>
      <c r="W12997" t="s">
        <v>50684</v>
      </c>
      <c r="X12997" t="s">
        <v>42</v>
      </c>
      <c r="Y12997" t="s">
        <v>23955</v>
      </c>
      <c r="Z12997" t="s">
        <v>166</v>
      </c>
      <c r="AA12997" s="22" t="str">
        <f>HYPERLINK("https://www.ncbi.nlm.nih.gov/nuccore/KF297881,KF297880","NCBI Nucleotide")</f>
        <v>NCBI Nucleotide</v>
      </c>
    </row>
    <row r="12998" spans="1:27" x14ac:dyDescent="0.35">
      <c r="A12998">
        <v>1011095</v>
      </c>
      <c r="B12998">
        <v>12148</v>
      </c>
      <c r="C12998">
        <v>1</v>
      </c>
      <c r="D12998" t="s">
        <v>17166</v>
      </c>
      <c r="F12998" t="s">
        <v>17246</v>
      </c>
      <c r="H12998" t="s">
        <v>23950</v>
      </c>
      <c r="I12998" t="s">
        <v>26604</v>
      </c>
      <c r="J12998" t="s">
        <v>47099</v>
      </c>
      <c r="L12998" t="s">
        <v>47182</v>
      </c>
      <c r="N12998" t="s">
        <v>26848</v>
      </c>
      <c r="P12998" t="s">
        <v>26849</v>
      </c>
      <c r="R12998" s="26" t="str">
        <f>HYPERLINK("https://ictv.global/taxonomy/taxondetails?taxnode_id=202312956","Orthodiscovirus coniellae")</f>
        <v>Orthodiscovirus coniellae</v>
      </c>
      <c r="S12998" t="s">
        <v>30</v>
      </c>
      <c r="T12998" t="s">
        <v>26850</v>
      </c>
      <c r="U12998" t="s">
        <v>26851</v>
      </c>
      <c r="V12998" t="s">
        <v>17445</v>
      </c>
      <c r="W12998" t="s">
        <v>48715</v>
      </c>
      <c r="X12998" t="s">
        <v>35</v>
      </c>
      <c r="Y12998" t="s">
        <v>23964</v>
      </c>
      <c r="Z12998" t="s">
        <v>16721</v>
      </c>
      <c r="AA12998" s="22" t="str">
        <f>HYPERLINK("https://www.ncbi.nlm.nih.gov/nuccore/MK584854,MN532679,MN532680","NCBI Nucleotide")</f>
        <v>NCBI Nucleotide</v>
      </c>
    </row>
    <row r="12999" spans="1:27" x14ac:dyDescent="0.35">
      <c r="A12999">
        <v>1012903</v>
      </c>
      <c r="B12999">
        <v>12148</v>
      </c>
      <c r="C12999">
        <v>2</v>
      </c>
      <c r="D12999" t="s">
        <v>17166</v>
      </c>
      <c r="F12999" t="s">
        <v>17246</v>
      </c>
      <c r="H12999" t="s">
        <v>23950</v>
      </c>
      <c r="I12999" t="s">
        <v>26604</v>
      </c>
      <c r="J12999" t="s">
        <v>47099</v>
      </c>
      <c r="L12999" t="s">
        <v>47182</v>
      </c>
      <c r="N12999" t="s">
        <v>26848</v>
      </c>
      <c r="P12999" t="s">
        <v>26849</v>
      </c>
      <c r="R12999" s="26" t="str">
        <f>HYPERLINK("https://ictv.global/taxonomy/taxondetails?taxnode_id=202312956","Orthodiscovirus coniellae")</f>
        <v>Orthodiscovirus coniellae</v>
      </c>
      <c r="S12999" t="s">
        <v>8141</v>
      </c>
      <c r="T12999" t="s">
        <v>26861</v>
      </c>
      <c r="U12999" t="s">
        <v>26862</v>
      </c>
      <c r="V12999" t="s">
        <v>26863</v>
      </c>
      <c r="W12999" t="s">
        <v>49542</v>
      </c>
      <c r="X12999" t="s">
        <v>35</v>
      </c>
      <c r="Y12999" t="s">
        <v>23964</v>
      </c>
      <c r="Z12999" t="s">
        <v>17496</v>
      </c>
      <c r="AA12999" s="22" t="str">
        <f>HYPERLINK("https://www.ncbi.nlm.nih.gov/nuccore/MN585282,MT258648,MT258649","NCBI Nucleotide")</f>
        <v>NCBI Nucleotide</v>
      </c>
    </row>
    <row r="13000" spans="1:27" x14ac:dyDescent="0.35">
      <c r="A13000">
        <v>1011096</v>
      </c>
      <c r="B13000">
        <v>12149</v>
      </c>
      <c r="C13000">
        <v>1</v>
      </c>
      <c r="D13000" t="s">
        <v>17166</v>
      </c>
      <c r="F13000" t="s">
        <v>17246</v>
      </c>
      <c r="H13000" t="s">
        <v>23950</v>
      </c>
      <c r="I13000" t="s">
        <v>26604</v>
      </c>
      <c r="J13000" t="s">
        <v>47099</v>
      </c>
      <c r="L13000" t="s">
        <v>47182</v>
      </c>
      <c r="N13000" t="s">
        <v>26848</v>
      </c>
      <c r="P13000" t="s">
        <v>26849</v>
      </c>
      <c r="R13000" s="26" t="str">
        <f>HYPERLINK("https://ictv.global/taxonomy/taxondetails?taxnode_id=202312957","Orthodiscovirus hispaniae")</f>
        <v>Orthodiscovirus hispaniae</v>
      </c>
      <c r="S13000" t="s">
        <v>30</v>
      </c>
      <c r="T13000" t="s">
        <v>26852</v>
      </c>
      <c r="U13000" t="s">
        <v>26853</v>
      </c>
      <c r="V13000" t="s">
        <v>26854</v>
      </c>
      <c r="W13000" t="s">
        <v>48716</v>
      </c>
      <c r="X13000" t="s">
        <v>35</v>
      </c>
      <c r="Y13000" t="s">
        <v>23964</v>
      </c>
      <c r="Z13000" t="s">
        <v>17496</v>
      </c>
      <c r="AA13000" s="22" t="str">
        <f>HYPERLINK("https://www.ncbi.nlm.nih.gov/nuccore/MN585278,MT188506,MT188509","NCBI Nucleotide")</f>
        <v>NCBI Nucleotide</v>
      </c>
    </row>
    <row r="13001" spans="1:27" x14ac:dyDescent="0.35">
      <c r="A13001">
        <v>1011097</v>
      </c>
      <c r="B13001">
        <v>12150</v>
      </c>
      <c r="C13001">
        <v>1</v>
      </c>
      <c r="D13001" t="s">
        <v>17166</v>
      </c>
      <c r="F13001" t="s">
        <v>17246</v>
      </c>
      <c r="H13001" t="s">
        <v>23950</v>
      </c>
      <c r="I13001" t="s">
        <v>26604</v>
      </c>
      <c r="J13001" t="s">
        <v>47099</v>
      </c>
      <c r="L13001" t="s">
        <v>47182</v>
      </c>
      <c r="N13001" t="s">
        <v>26848</v>
      </c>
      <c r="P13001" t="s">
        <v>26849</v>
      </c>
      <c r="R13001" s="26" t="str">
        <f>HYPERLINK("https://ictv.global/taxonomy/taxondetails?taxnode_id=202312958","Orthodiscovirus iberiae")</f>
        <v>Orthodiscovirus iberiae</v>
      </c>
      <c r="S13001" t="s">
        <v>30</v>
      </c>
      <c r="T13001" t="s">
        <v>26855</v>
      </c>
      <c r="U13001" t="s">
        <v>26856</v>
      </c>
      <c r="V13001" t="s">
        <v>50685</v>
      </c>
      <c r="W13001" t="s">
        <v>48717</v>
      </c>
      <c r="X13001" t="s">
        <v>35</v>
      </c>
      <c r="Y13001" t="s">
        <v>23964</v>
      </c>
      <c r="Z13001" t="s">
        <v>17496</v>
      </c>
      <c r="AA13001" s="22" t="str">
        <f>HYPERLINK("https://www.ncbi.nlm.nih.gov/nuccore/MN548097,MT188505,MT188508","NCBI Nucleotide")</f>
        <v>NCBI Nucleotide</v>
      </c>
    </row>
    <row r="13002" spans="1:27" x14ac:dyDescent="0.35">
      <c r="A13002">
        <v>1011098</v>
      </c>
      <c r="B13002">
        <v>12151</v>
      </c>
      <c r="C13002">
        <v>1</v>
      </c>
      <c r="D13002" t="s">
        <v>17166</v>
      </c>
      <c r="F13002" t="s">
        <v>17246</v>
      </c>
      <c r="H13002" t="s">
        <v>23950</v>
      </c>
      <c r="I13002" t="s">
        <v>26604</v>
      </c>
      <c r="J13002" t="s">
        <v>47099</v>
      </c>
      <c r="L13002" t="s">
        <v>47182</v>
      </c>
      <c r="N13002" t="s">
        <v>26848</v>
      </c>
      <c r="P13002" t="s">
        <v>26849</v>
      </c>
      <c r="R13002" s="26" t="str">
        <f>HYPERLINK("https://ictv.global/taxonomy/taxondetails?taxnode_id=202312955","Orthodiscovirus missouriense")</f>
        <v>Orthodiscovirus missouriense</v>
      </c>
      <c r="S13002" t="s">
        <v>30</v>
      </c>
      <c r="T13002" t="s">
        <v>26857</v>
      </c>
      <c r="U13002" t="s">
        <v>18219</v>
      </c>
      <c r="V13002" t="s">
        <v>26858</v>
      </c>
      <c r="W13002" t="s">
        <v>48718</v>
      </c>
      <c r="X13002" t="s">
        <v>35</v>
      </c>
      <c r="Y13002" t="s">
        <v>23964</v>
      </c>
      <c r="Z13002" t="s">
        <v>16721</v>
      </c>
      <c r="AA13002" s="22" t="str">
        <f>HYPERLINK("https://www.ncbi.nlm.nih.gov/nuccore/MF142458,MF142459,MF142460","NCBI Nucleotide")</f>
        <v>NCBI Nucleotide</v>
      </c>
    </row>
    <row r="13003" spans="1:27" x14ac:dyDescent="0.35">
      <c r="A13003">
        <v>1027704</v>
      </c>
      <c r="B13003">
        <v>12152</v>
      </c>
      <c r="C13003">
        <v>1</v>
      </c>
      <c r="D13003" t="s">
        <v>17166</v>
      </c>
      <c r="F13003" t="s">
        <v>17246</v>
      </c>
      <c r="H13003" t="s">
        <v>23950</v>
      </c>
      <c r="I13003" t="s">
        <v>26604</v>
      </c>
      <c r="J13003" t="s">
        <v>47099</v>
      </c>
      <c r="L13003" t="s">
        <v>47182</v>
      </c>
      <c r="N13003" t="s">
        <v>26848</v>
      </c>
      <c r="P13003" t="s">
        <v>26849</v>
      </c>
      <c r="R13003" s="26" t="str">
        <f>HYPERLINK("https://ictv.global/taxonomy/taxondetails?taxnode_id=202318847","Orthodiscovirus oryzae")</f>
        <v>Orthodiscovirus oryzae</v>
      </c>
      <c r="S13003" t="s">
        <v>30</v>
      </c>
      <c r="T13003" t="s">
        <v>47215</v>
      </c>
      <c r="U13003" t="s">
        <v>47216</v>
      </c>
      <c r="W13003" t="s">
        <v>50861</v>
      </c>
      <c r="X13003" t="s">
        <v>35</v>
      </c>
      <c r="Y13003" t="s">
        <v>23964</v>
      </c>
      <c r="Z13003" t="s">
        <v>13441</v>
      </c>
      <c r="AA13003" s="22" t="str">
        <f>HYPERLINK("https://www.ncbi.nlm.nih.gov/nuccore/ON366507,ON366508,ON366509","NCBI Nucleotide")</f>
        <v>NCBI Nucleotide</v>
      </c>
    </row>
    <row r="13004" spans="1:27" x14ac:dyDescent="0.35">
      <c r="A13004">
        <v>1011099</v>
      </c>
      <c r="B13004">
        <v>12153</v>
      </c>
      <c r="C13004">
        <v>1</v>
      </c>
      <c r="D13004" t="s">
        <v>17166</v>
      </c>
      <c r="F13004" t="s">
        <v>17246</v>
      </c>
      <c r="H13004" t="s">
        <v>23950</v>
      </c>
      <c r="I13004" t="s">
        <v>26604</v>
      </c>
      <c r="J13004" t="s">
        <v>47099</v>
      </c>
      <c r="L13004" t="s">
        <v>47182</v>
      </c>
      <c r="N13004" t="s">
        <v>26848</v>
      </c>
      <c r="P13004" t="s">
        <v>26849</v>
      </c>
      <c r="R13004" s="26" t="str">
        <f>HYPERLINK("https://ictv.global/taxonomy/taxondetails?taxnode_id=202312954","Orthodiscovirus penicillii")</f>
        <v>Orthodiscovirus penicillii</v>
      </c>
      <c r="S13004" t="s">
        <v>30</v>
      </c>
      <c r="T13004" t="s">
        <v>26859</v>
      </c>
      <c r="U13004" t="s">
        <v>26860</v>
      </c>
      <c r="V13004" t="s">
        <v>17389</v>
      </c>
      <c r="W13004" t="s">
        <v>48719</v>
      </c>
      <c r="X13004" t="s">
        <v>35</v>
      </c>
      <c r="Y13004" t="s">
        <v>23964</v>
      </c>
      <c r="Z13004" t="s">
        <v>16721</v>
      </c>
      <c r="AA13004" s="22" t="str">
        <f>HYPERLINK("https://www.ncbi.nlm.nih.gov/nuccore/MG887749,MN163273,MN163274","NCBI Nucleotide")</f>
        <v>NCBI Nucleotide</v>
      </c>
    </row>
    <row r="13005" spans="1:27" x14ac:dyDescent="0.35">
      <c r="A13005">
        <v>1024458</v>
      </c>
      <c r="B13005">
        <v>12154</v>
      </c>
      <c r="C13005">
        <v>1</v>
      </c>
      <c r="D13005" t="s">
        <v>17166</v>
      </c>
      <c r="F13005" t="s">
        <v>17246</v>
      </c>
      <c r="H13005" t="s">
        <v>23950</v>
      </c>
      <c r="I13005" t="s">
        <v>26604</v>
      </c>
      <c r="J13005" t="s">
        <v>47099</v>
      </c>
      <c r="L13005" t="s">
        <v>47182</v>
      </c>
      <c r="N13005" t="s">
        <v>47145</v>
      </c>
      <c r="P13005" t="s">
        <v>47146</v>
      </c>
      <c r="R13005" s="26" t="str">
        <f>HYPERLINK("https://ictv.global/taxonomy/taxondetails?taxnode_id=202317829","Olpivirus tulipae")</f>
        <v>Olpivirus tulipae</v>
      </c>
      <c r="S13005" t="s">
        <v>30</v>
      </c>
      <c r="T13005" t="s">
        <v>47147</v>
      </c>
      <c r="U13005" t="s">
        <v>47148</v>
      </c>
      <c r="V13005" t="s">
        <v>33471</v>
      </c>
      <c r="W13005" t="s">
        <v>50924</v>
      </c>
      <c r="X13005" t="s">
        <v>42</v>
      </c>
      <c r="Y13005" t="s">
        <v>23964</v>
      </c>
      <c r="Z13005" t="s">
        <v>13441</v>
      </c>
      <c r="AA13005" s="22" t="str">
        <f>HYPERLINK("https://www.ncbi.nlm.nih.gov/nuccore/LC571987,LC571988,LC805881,LC805882","NCBI Nucleotide")</f>
        <v>NCBI Nucleotide</v>
      </c>
    </row>
    <row r="13006" spans="1:27" x14ac:dyDescent="0.35">
      <c r="A13006">
        <v>1011182</v>
      </c>
      <c r="B13006">
        <v>12155</v>
      </c>
      <c r="C13006">
        <v>1</v>
      </c>
      <c r="D13006" t="s">
        <v>17166</v>
      </c>
      <c r="F13006" t="s">
        <v>17246</v>
      </c>
      <c r="H13006" t="s">
        <v>23950</v>
      </c>
      <c r="I13006" t="s">
        <v>26604</v>
      </c>
      <c r="J13006" t="s">
        <v>47099</v>
      </c>
      <c r="L13006" t="s">
        <v>47182</v>
      </c>
      <c r="N13006" t="s">
        <v>27175</v>
      </c>
      <c r="P13006" t="s">
        <v>27176</v>
      </c>
      <c r="R13006" s="26" t="str">
        <f>HYPERLINK("https://ictv.global/taxonomy/taxondetails?taxnode_id=202306595","Shilevirus leptomonadis")</f>
        <v>Shilevirus leptomonadis</v>
      </c>
      <c r="S13006" t="s">
        <v>30</v>
      </c>
      <c r="T13006" t="s">
        <v>27177</v>
      </c>
      <c r="U13006" t="s">
        <v>27178</v>
      </c>
      <c r="V13006" t="s">
        <v>27179</v>
      </c>
      <c r="W13006" t="s">
        <v>27180</v>
      </c>
      <c r="X13006" t="s">
        <v>42</v>
      </c>
      <c r="Y13006" t="s">
        <v>23964</v>
      </c>
      <c r="Z13006" t="s">
        <v>17496</v>
      </c>
      <c r="AA13006" s="22" t="str">
        <f>HYPERLINK("https://www.ncbi.nlm.nih.gov/nuccore/KX280012,KX280013,KX280014","NCBI Nucleotide")</f>
        <v>NCBI Nucleotide</v>
      </c>
    </row>
    <row r="13007" spans="1:27" x14ac:dyDescent="0.35">
      <c r="A13007">
        <v>1011183</v>
      </c>
      <c r="B13007">
        <v>12156</v>
      </c>
      <c r="C13007">
        <v>1</v>
      </c>
      <c r="D13007" t="s">
        <v>17166</v>
      </c>
      <c r="F13007" t="s">
        <v>17246</v>
      </c>
      <c r="H13007" t="s">
        <v>23950</v>
      </c>
      <c r="I13007" t="s">
        <v>26604</v>
      </c>
      <c r="J13007" t="s">
        <v>47099</v>
      </c>
      <c r="L13007" t="s">
        <v>47182</v>
      </c>
      <c r="N13007" t="s">
        <v>27181</v>
      </c>
      <c r="P13007" t="s">
        <v>27182</v>
      </c>
      <c r="R13007" s="26" t="str">
        <f>HYPERLINK("https://ictv.global/taxonomy/taxondetails?taxnode_id=202306215","Hubavirus myriapedis")</f>
        <v>Hubavirus myriapedis</v>
      </c>
      <c r="S13007" t="s">
        <v>30</v>
      </c>
      <c r="T13007" t="s">
        <v>27183</v>
      </c>
      <c r="U13007" t="s">
        <v>27184</v>
      </c>
      <c r="V13007" t="s">
        <v>27185</v>
      </c>
      <c r="W13007" t="s">
        <v>27186</v>
      </c>
      <c r="X13007" t="s">
        <v>35</v>
      </c>
      <c r="Y13007" t="s">
        <v>23964</v>
      </c>
      <c r="Z13007" t="s">
        <v>10790</v>
      </c>
      <c r="AA13007" s="22" t="str">
        <f>HYPERLINK("https://www.ncbi.nlm.nih.gov/nuccore/KX884758,KX884759,KX884760","NCBI Nucleotide")</f>
        <v>NCBI Nucleotide</v>
      </c>
    </row>
    <row r="13008" spans="1:27" x14ac:dyDescent="0.35">
      <c r="A13008">
        <v>1011184</v>
      </c>
      <c r="B13008">
        <v>12157</v>
      </c>
      <c r="C13008">
        <v>1</v>
      </c>
      <c r="D13008" t="s">
        <v>17166</v>
      </c>
      <c r="F13008" t="s">
        <v>17246</v>
      </c>
      <c r="H13008" t="s">
        <v>23950</v>
      </c>
      <c r="I13008" t="s">
        <v>26604</v>
      </c>
      <c r="J13008" t="s">
        <v>47099</v>
      </c>
      <c r="L13008" t="s">
        <v>47182</v>
      </c>
      <c r="N13008" t="s">
        <v>27187</v>
      </c>
      <c r="P13008" t="s">
        <v>27188</v>
      </c>
      <c r="R13008" s="26" t="str">
        <f>HYPERLINK("https://ictv.global/taxonomy/taxondetails?taxnode_id=202314218","Norwavirus beijiense")</f>
        <v>Norwavirus beijiense</v>
      </c>
      <c r="S13008" t="s">
        <v>30</v>
      </c>
      <c r="T13008" t="s">
        <v>27189</v>
      </c>
      <c r="U13008" t="s">
        <v>27190</v>
      </c>
      <c r="V13008" t="s">
        <v>27191</v>
      </c>
      <c r="W13008" t="s">
        <v>27192</v>
      </c>
      <c r="X13008" t="s">
        <v>42</v>
      </c>
      <c r="Y13008" t="s">
        <v>23964</v>
      </c>
      <c r="Z13008" t="s">
        <v>166</v>
      </c>
      <c r="AA13008" s="22" t="str">
        <f>HYPERLINK("https://www.ncbi.nlm.nih.gov/nuccore/MW315101,MW315107","NCBI Nucleotide")</f>
        <v>NCBI Nucleotide</v>
      </c>
    </row>
    <row r="13009" spans="1:27" x14ac:dyDescent="0.35">
      <c r="A13009">
        <v>1011185</v>
      </c>
      <c r="B13009">
        <v>12158</v>
      </c>
      <c r="C13009">
        <v>1</v>
      </c>
      <c r="D13009" t="s">
        <v>17166</v>
      </c>
      <c r="F13009" t="s">
        <v>17246</v>
      </c>
      <c r="H13009" t="s">
        <v>23950</v>
      </c>
      <c r="I13009" t="s">
        <v>26604</v>
      </c>
      <c r="J13009" t="s">
        <v>47099</v>
      </c>
      <c r="L13009" t="s">
        <v>47182</v>
      </c>
      <c r="N13009" t="s">
        <v>27187</v>
      </c>
      <c r="P13009" t="s">
        <v>27188</v>
      </c>
      <c r="R13009" s="26" t="str">
        <f>HYPERLINK("https://ictv.global/taxonomy/taxondetails?taxnode_id=202309788","Norwavirus grotenhoutense")</f>
        <v>Norwavirus grotenhoutense</v>
      </c>
      <c r="S13009" t="s">
        <v>30</v>
      </c>
      <c r="T13009" t="s">
        <v>27193</v>
      </c>
      <c r="U13009" t="s">
        <v>27194</v>
      </c>
      <c r="V13009" t="s">
        <v>27195</v>
      </c>
      <c r="W13009" t="s">
        <v>50792</v>
      </c>
      <c r="X13009" t="s">
        <v>154</v>
      </c>
      <c r="Y13009" t="s">
        <v>23964</v>
      </c>
      <c r="Z13009" t="s">
        <v>10790</v>
      </c>
      <c r="AA13009" s="22" t="str">
        <f>HYPERLINK("https://www.ncbi.nlm.nih.gov/nuccore/KY700684,KY700683","NCBI Nucleotide")</f>
        <v>NCBI Nucleotide</v>
      </c>
    </row>
    <row r="13010" spans="1:27" x14ac:dyDescent="0.35">
      <c r="A13010">
        <v>1011186</v>
      </c>
      <c r="B13010">
        <v>12159</v>
      </c>
      <c r="C13010">
        <v>1</v>
      </c>
      <c r="D13010" t="s">
        <v>17166</v>
      </c>
      <c r="F13010" t="s">
        <v>17246</v>
      </c>
      <c r="H13010" t="s">
        <v>23950</v>
      </c>
      <c r="I13010" t="s">
        <v>26604</v>
      </c>
      <c r="J13010" t="s">
        <v>47099</v>
      </c>
      <c r="L13010" t="s">
        <v>47182</v>
      </c>
      <c r="N13010" t="s">
        <v>27187</v>
      </c>
      <c r="P13010" t="s">
        <v>27196</v>
      </c>
      <c r="R13010" s="26" t="str">
        <f>HYPERLINK("https://ictv.global/taxonomy/taxondetails?taxnode_id=202309790","Ocetevirus paratemnopterygis")</f>
        <v>Ocetevirus paratemnopterygis</v>
      </c>
      <c r="S13010" t="s">
        <v>30</v>
      </c>
      <c r="T13010" t="s">
        <v>27197</v>
      </c>
      <c r="U13010" t="s">
        <v>27198</v>
      </c>
      <c r="V13010" t="s">
        <v>27199</v>
      </c>
      <c r="W13010" t="s">
        <v>50793</v>
      </c>
      <c r="X13010" t="s">
        <v>35</v>
      </c>
      <c r="Y13010" t="s">
        <v>23964</v>
      </c>
      <c r="Z13010" t="s">
        <v>10790</v>
      </c>
      <c r="AA13010" s="22" t="str">
        <f>HYPERLINK("https://www.ncbi.nlm.nih.gov/nuccore/MT153554,MT153362,MT153521","NCBI Nucleotide")</f>
        <v>NCBI Nucleotide</v>
      </c>
    </row>
    <row r="13011" spans="1:27" x14ac:dyDescent="0.35">
      <c r="A13011">
        <v>1011187</v>
      </c>
      <c r="B13011">
        <v>12160</v>
      </c>
      <c r="C13011">
        <v>1</v>
      </c>
      <c r="D13011" t="s">
        <v>17166</v>
      </c>
      <c r="F13011" t="s">
        <v>17246</v>
      </c>
      <c r="H13011" t="s">
        <v>23950</v>
      </c>
      <c r="I13011" t="s">
        <v>26604</v>
      </c>
      <c r="J13011" t="s">
        <v>47099</v>
      </c>
      <c r="L13011" t="s">
        <v>47182</v>
      </c>
      <c r="N13011" t="s">
        <v>27187</v>
      </c>
      <c r="P13011" t="s">
        <v>27200</v>
      </c>
      <c r="R13011" s="26" t="str">
        <f>HYPERLINK("https://ictv.global/taxonomy/taxondetails?taxnode_id=202309757","Orthonairovirus abuhammadense")</f>
        <v>Orthonairovirus abuhammadense</v>
      </c>
      <c r="S13011" t="s">
        <v>30</v>
      </c>
      <c r="T13011" t="s">
        <v>27201</v>
      </c>
      <c r="U13011" t="s">
        <v>27202</v>
      </c>
      <c r="V13011" t="s">
        <v>27203</v>
      </c>
      <c r="W13011" t="s">
        <v>27204</v>
      </c>
      <c r="X13011" t="s">
        <v>35</v>
      </c>
      <c r="Y13011" t="s">
        <v>23964</v>
      </c>
      <c r="Z13011" t="s">
        <v>10790</v>
      </c>
      <c r="AA13011" s="22" t="str">
        <f>HYPERLINK("https://www.ncbi.nlm.nih.gov/nuccore/KU925434,KU925435,KU925436","NCBI Nucleotide")</f>
        <v>NCBI Nucleotide</v>
      </c>
    </row>
    <row r="13012" spans="1:27" x14ac:dyDescent="0.35">
      <c r="A13012">
        <v>1011188</v>
      </c>
      <c r="B13012">
        <v>12161</v>
      </c>
      <c r="C13012">
        <v>1</v>
      </c>
      <c r="D13012" t="s">
        <v>17166</v>
      </c>
      <c r="F13012" t="s">
        <v>17246</v>
      </c>
      <c r="H13012" t="s">
        <v>23950</v>
      </c>
      <c r="I13012" t="s">
        <v>26604</v>
      </c>
      <c r="J13012" t="s">
        <v>47099</v>
      </c>
      <c r="L13012" t="s">
        <v>47182</v>
      </c>
      <c r="N13012" t="s">
        <v>27187</v>
      </c>
      <c r="P13012" t="s">
        <v>27200</v>
      </c>
      <c r="R13012" s="26" t="str">
        <f>HYPERLINK("https://ictv.global/taxonomy/taxondetails?taxnode_id=202309758","Orthonairovirus abuminaense")</f>
        <v>Orthonairovirus abuminaense</v>
      </c>
      <c r="S13012" t="s">
        <v>30</v>
      </c>
      <c r="T13012" t="s">
        <v>27205</v>
      </c>
      <c r="U13012" t="s">
        <v>13956</v>
      </c>
      <c r="V13012" t="s">
        <v>27206</v>
      </c>
      <c r="W13012" t="s">
        <v>27207</v>
      </c>
      <c r="X13012" t="s">
        <v>35</v>
      </c>
      <c r="Y13012" t="s">
        <v>23964</v>
      </c>
      <c r="Z13012" t="s">
        <v>10790</v>
      </c>
      <c r="AA13012" s="22" t="str">
        <f>HYPERLINK("https://www.ncbi.nlm.nih.gov/nuccore/KU925437,KU925438,KU925439","NCBI Nucleotide")</f>
        <v>NCBI Nucleotide</v>
      </c>
    </row>
    <row r="13013" spans="1:27" x14ac:dyDescent="0.35">
      <c r="A13013">
        <v>1011189</v>
      </c>
      <c r="B13013">
        <v>12162</v>
      </c>
      <c r="C13013">
        <v>1</v>
      </c>
      <c r="D13013" t="s">
        <v>17166</v>
      </c>
      <c r="F13013" t="s">
        <v>17246</v>
      </c>
      <c r="H13013" t="s">
        <v>23950</v>
      </c>
      <c r="I13013" t="s">
        <v>26604</v>
      </c>
      <c r="J13013" t="s">
        <v>47099</v>
      </c>
      <c r="L13013" t="s">
        <v>47182</v>
      </c>
      <c r="N13013" t="s">
        <v>27187</v>
      </c>
      <c r="P13013" t="s">
        <v>27200</v>
      </c>
      <c r="R13013" s="26" t="str">
        <f>HYPERLINK("https://ictv.global/taxonomy/taxondetails?taxnode_id=202309767","Orthonairovirus amblyommae")</f>
        <v>Orthonairovirus amblyommae</v>
      </c>
      <c r="S13013" t="s">
        <v>30</v>
      </c>
      <c r="T13013" t="s">
        <v>27208</v>
      </c>
      <c r="U13013" t="s">
        <v>27209</v>
      </c>
      <c r="V13013" t="s">
        <v>27210</v>
      </c>
      <c r="W13013" t="s">
        <v>50794</v>
      </c>
      <c r="X13013" t="s">
        <v>42</v>
      </c>
      <c r="Y13013" t="s">
        <v>23964</v>
      </c>
      <c r="Z13013" t="s">
        <v>10790</v>
      </c>
      <c r="AA13013" s="22" t="str">
        <f>HYPERLINK("https://www.ncbi.nlm.nih.gov/nuccore/EU257628,EU257627,EU257626","NCBI Nucleotide")</f>
        <v>NCBI Nucleotide</v>
      </c>
    </row>
    <row r="13014" spans="1:27" x14ac:dyDescent="0.35">
      <c r="A13014">
        <v>1027705</v>
      </c>
      <c r="B13014">
        <v>12163</v>
      </c>
      <c r="C13014">
        <v>1</v>
      </c>
      <c r="D13014" t="s">
        <v>17166</v>
      </c>
      <c r="F13014" t="s">
        <v>17246</v>
      </c>
      <c r="H13014" t="s">
        <v>23950</v>
      </c>
      <c r="I13014" t="s">
        <v>26604</v>
      </c>
      <c r="J13014" t="s">
        <v>47099</v>
      </c>
      <c r="L13014" t="s">
        <v>47182</v>
      </c>
      <c r="N13014" t="s">
        <v>27187</v>
      </c>
      <c r="P13014" t="s">
        <v>27200</v>
      </c>
      <c r="R13014" s="26" t="str">
        <f>HYPERLINK("https://ictv.global/taxonomy/taxondetails?taxnode_id=202319017","Orthonairovirus antuense")</f>
        <v>Orthonairovirus antuense</v>
      </c>
      <c r="S13014" t="s">
        <v>30</v>
      </c>
      <c r="T13014" t="s">
        <v>47217</v>
      </c>
      <c r="U13014" t="s">
        <v>28036</v>
      </c>
      <c r="V13014" t="s">
        <v>47218</v>
      </c>
      <c r="W13014" t="s">
        <v>50862</v>
      </c>
      <c r="X13014" t="s">
        <v>35</v>
      </c>
      <c r="Y13014" t="s">
        <v>23964</v>
      </c>
      <c r="Z13014" t="s">
        <v>10790</v>
      </c>
      <c r="AA13014" s="22" t="str">
        <f>HYPERLINK("https://www.ncbi.nlm.nih.gov/nuccore/OQ207703,OQ207702,OQ207701","NCBI Nucleotide")</f>
        <v>NCBI Nucleotide</v>
      </c>
    </row>
    <row r="13015" spans="1:27" x14ac:dyDescent="0.35">
      <c r="A13015">
        <v>1011190</v>
      </c>
      <c r="B13015">
        <v>12164</v>
      </c>
      <c r="C13015">
        <v>1</v>
      </c>
      <c r="D13015" t="s">
        <v>17166</v>
      </c>
      <c r="F13015" t="s">
        <v>17246</v>
      </c>
      <c r="H13015" t="s">
        <v>23950</v>
      </c>
      <c r="I13015" t="s">
        <v>26604</v>
      </c>
      <c r="J13015" t="s">
        <v>47099</v>
      </c>
      <c r="L13015" t="s">
        <v>47182</v>
      </c>
      <c r="N13015" t="s">
        <v>27187</v>
      </c>
      <c r="P13015" t="s">
        <v>27200</v>
      </c>
      <c r="R13015" s="26" t="str">
        <f>HYPERLINK("https://ictv.global/taxonomy/taxondetails?taxnode_id=202305462","Orthonairovirus artashatense")</f>
        <v>Orthonairovirus artashatense</v>
      </c>
      <c r="S13015" t="s">
        <v>30</v>
      </c>
      <c r="T13015" t="s">
        <v>27211</v>
      </c>
      <c r="U13015" t="s">
        <v>27212</v>
      </c>
      <c r="V13015" t="s">
        <v>27213</v>
      </c>
      <c r="W13015" t="s">
        <v>27214</v>
      </c>
      <c r="X13015" t="s">
        <v>35</v>
      </c>
      <c r="Y13015" t="s">
        <v>23964</v>
      </c>
      <c r="Z13015" t="s">
        <v>10790</v>
      </c>
      <c r="AA13015" s="22" t="str">
        <f>HYPERLINK("https://www.ncbi.nlm.nih.gov/nuccore/KP792744,KP792745,KP792746","NCBI Nucleotide")</f>
        <v>NCBI Nucleotide</v>
      </c>
    </row>
    <row r="13016" spans="1:27" x14ac:dyDescent="0.35">
      <c r="A13016">
        <v>1011191</v>
      </c>
      <c r="B13016">
        <v>12165</v>
      </c>
      <c r="C13016">
        <v>1</v>
      </c>
      <c r="D13016" t="s">
        <v>17166</v>
      </c>
      <c r="F13016" t="s">
        <v>17246</v>
      </c>
      <c r="H13016" t="s">
        <v>23950</v>
      </c>
      <c r="I13016" t="s">
        <v>26604</v>
      </c>
      <c r="J13016" t="s">
        <v>47099</v>
      </c>
      <c r="L13016" t="s">
        <v>47182</v>
      </c>
      <c r="N13016" t="s">
        <v>27187</v>
      </c>
      <c r="P13016" t="s">
        <v>27200</v>
      </c>
      <c r="R13016" s="26" t="str">
        <f>HYPERLINK("https://ictv.global/taxonomy/taxondetails?taxnode_id=202309779","Orthonairovirus australiaense")</f>
        <v>Orthonairovirus australiaense</v>
      </c>
      <c r="S13016" t="s">
        <v>30</v>
      </c>
      <c r="T13016" t="s">
        <v>27215</v>
      </c>
      <c r="U13016" t="s">
        <v>27216</v>
      </c>
      <c r="V13016" t="s">
        <v>27217</v>
      </c>
      <c r="W13016" t="s">
        <v>27218</v>
      </c>
      <c r="X13016" t="s">
        <v>35</v>
      </c>
      <c r="Y13016" t="s">
        <v>23964</v>
      </c>
      <c r="Z13016" t="s">
        <v>10790</v>
      </c>
      <c r="AA13016" s="22" t="str">
        <f>HYPERLINK("https://www.ncbi.nlm.nih.gov/nuccore/MF176881,MF176882,MF176883","NCBI Nucleotide")</f>
        <v>NCBI Nucleotide</v>
      </c>
    </row>
    <row r="13017" spans="1:27" x14ac:dyDescent="0.35">
      <c r="A13017">
        <v>1011192</v>
      </c>
      <c r="B13017">
        <v>12166</v>
      </c>
      <c r="C13017">
        <v>1</v>
      </c>
      <c r="D13017" t="s">
        <v>17166</v>
      </c>
      <c r="F13017" t="s">
        <v>17246</v>
      </c>
      <c r="H13017" t="s">
        <v>23950</v>
      </c>
      <c r="I13017" t="s">
        <v>26604</v>
      </c>
      <c r="J13017" t="s">
        <v>47099</v>
      </c>
      <c r="L13017" t="s">
        <v>47182</v>
      </c>
      <c r="N13017" t="s">
        <v>27187</v>
      </c>
      <c r="P13017" t="s">
        <v>27200</v>
      </c>
      <c r="R13017" s="26" t="str">
        <f>HYPERLINK("https://ictv.global/taxonomy/taxondetails?taxnode_id=202309759","Orthonairovirus avalonense")</f>
        <v>Orthonairovirus avalonense</v>
      </c>
      <c r="S13017" t="s">
        <v>30</v>
      </c>
      <c r="T13017" t="s">
        <v>27219</v>
      </c>
      <c r="U13017" t="s">
        <v>27220</v>
      </c>
      <c r="V13017" t="s">
        <v>27221</v>
      </c>
      <c r="W13017" t="s">
        <v>27222</v>
      </c>
      <c r="X13017" t="s">
        <v>35</v>
      </c>
      <c r="Y13017" t="s">
        <v>23964</v>
      </c>
      <c r="Z13017" t="s">
        <v>10790</v>
      </c>
      <c r="AA13017" s="22" t="str">
        <f>HYPERLINK("https://www.ncbi.nlm.nih.gov/nuccore/KU925440,KU925441,KU925442","NCBI Nucleotide")</f>
        <v>NCBI Nucleotide</v>
      </c>
    </row>
    <row r="13018" spans="1:27" x14ac:dyDescent="0.35">
      <c r="A13018">
        <v>1011193</v>
      </c>
      <c r="B13018">
        <v>12167</v>
      </c>
      <c r="C13018">
        <v>1</v>
      </c>
      <c r="D13018" t="s">
        <v>17166</v>
      </c>
      <c r="F13018" t="s">
        <v>17246</v>
      </c>
      <c r="H13018" t="s">
        <v>23950</v>
      </c>
      <c r="I13018" t="s">
        <v>26604</v>
      </c>
      <c r="J13018" t="s">
        <v>47099</v>
      </c>
      <c r="L13018" t="s">
        <v>47182</v>
      </c>
      <c r="N13018" t="s">
        <v>27187</v>
      </c>
      <c r="P13018" t="s">
        <v>27200</v>
      </c>
      <c r="R13018" s="26" t="str">
        <f>HYPERLINK("https://ictv.global/taxonomy/taxondetails?taxnode_id=202309760","Orthonairovirus bandiaense")</f>
        <v>Orthonairovirus bandiaense</v>
      </c>
      <c r="S13018" t="s">
        <v>30</v>
      </c>
      <c r="T13018" t="s">
        <v>27223</v>
      </c>
      <c r="U13018" t="s">
        <v>27224</v>
      </c>
      <c r="V13018" t="s">
        <v>27225</v>
      </c>
      <c r="W13018" t="s">
        <v>27226</v>
      </c>
      <c r="X13018" t="s">
        <v>35</v>
      </c>
      <c r="Y13018" t="s">
        <v>23964</v>
      </c>
      <c r="Z13018" t="s">
        <v>166</v>
      </c>
      <c r="AA13018" s="22" t="str">
        <f>HYPERLINK("https://www.ncbi.nlm.nih.gov/nuccore/KU343148,KU343149,KU343150","NCBI Nucleotide")</f>
        <v>NCBI Nucleotide</v>
      </c>
    </row>
    <row r="13019" spans="1:27" x14ac:dyDescent="0.35">
      <c r="A13019">
        <v>1012941</v>
      </c>
      <c r="B13019">
        <v>12167</v>
      </c>
      <c r="C13019">
        <v>2</v>
      </c>
      <c r="D13019" t="s">
        <v>17166</v>
      </c>
      <c r="F13019" t="s">
        <v>17246</v>
      </c>
      <c r="H13019" t="s">
        <v>23950</v>
      </c>
      <c r="I13019" t="s">
        <v>26604</v>
      </c>
      <c r="J13019" t="s">
        <v>47099</v>
      </c>
      <c r="L13019" t="s">
        <v>47182</v>
      </c>
      <c r="N13019" t="s">
        <v>27187</v>
      </c>
      <c r="P13019" t="s">
        <v>27200</v>
      </c>
      <c r="R13019" s="26" t="str">
        <f>HYPERLINK("https://ictv.global/taxonomy/taxondetails?taxnode_id=202309760","Orthonairovirus bandiaense")</f>
        <v>Orthonairovirus bandiaense</v>
      </c>
      <c r="S13019" t="s">
        <v>8141</v>
      </c>
      <c r="T13019" t="s">
        <v>27223</v>
      </c>
      <c r="U13019" t="s">
        <v>27224</v>
      </c>
      <c r="V13019" t="s">
        <v>47219</v>
      </c>
      <c r="W13019" t="s">
        <v>49543</v>
      </c>
      <c r="X13019" t="s">
        <v>35</v>
      </c>
      <c r="Y13019" t="s">
        <v>23964</v>
      </c>
      <c r="Z13019" t="s">
        <v>166</v>
      </c>
      <c r="AA13019" s="22" t="str">
        <f>HYPERLINK("https://www.ncbi.nlm.nih.gov/nuccore/KU925446,KU925447,KU925448","NCBI Nucleotide")</f>
        <v>NCBI Nucleotide</v>
      </c>
    </row>
    <row r="13020" spans="1:27" x14ac:dyDescent="0.35">
      <c r="A13020">
        <v>1011194</v>
      </c>
      <c r="B13020">
        <v>12168</v>
      </c>
      <c r="C13020">
        <v>1</v>
      </c>
      <c r="D13020" t="s">
        <v>17166</v>
      </c>
      <c r="F13020" t="s">
        <v>17246</v>
      </c>
      <c r="H13020" t="s">
        <v>23950</v>
      </c>
      <c r="I13020" t="s">
        <v>26604</v>
      </c>
      <c r="J13020" t="s">
        <v>47099</v>
      </c>
      <c r="L13020" t="s">
        <v>47182</v>
      </c>
      <c r="N13020" t="s">
        <v>27187</v>
      </c>
      <c r="P13020" t="s">
        <v>27200</v>
      </c>
      <c r="R13020" s="26" t="str">
        <f>HYPERLINK("https://ictv.global/taxonomy/taxondetails?taxnode_id=202309761","Orthonairovirus buranaense")</f>
        <v>Orthonairovirus buranaense</v>
      </c>
      <c r="S13020" t="s">
        <v>30</v>
      </c>
      <c r="T13020" t="s">
        <v>27227</v>
      </c>
      <c r="U13020" t="s">
        <v>27228</v>
      </c>
      <c r="V13020">
        <v>760</v>
      </c>
      <c r="W13020" t="s">
        <v>27229</v>
      </c>
      <c r="X13020" t="s">
        <v>35</v>
      </c>
      <c r="Y13020" t="s">
        <v>23964</v>
      </c>
      <c r="Z13020" t="s">
        <v>10790</v>
      </c>
      <c r="AA13020" s="22" t="str">
        <f>HYPERLINK("https://www.ncbi.nlm.nih.gov/nuccore/KP792705,KP792706,KP792707","NCBI Nucleotide")</f>
        <v>NCBI Nucleotide</v>
      </c>
    </row>
    <row r="13021" spans="1:27" x14ac:dyDescent="0.35">
      <c r="A13021">
        <v>1011195</v>
      </c>
      <c r="B13021">
        <v>12169</v>
      </c>
      <c r="C13021">
        <v>1</v>
      </c>
      <c r="D13021" t="s">
        <v>17166</v>
      </c>
      <c r="F13021" t="s">
        <v>17246</v>
      </c>
      <c r="H13021" t="s">
        <v>23950</v>
      </c>
      <c r="I13021" t="s">
        <v>26604</v>
      </c>
      <c r="J13021" t="s">
        <v>47099</v>
      </c>
      <c r="L13021" t="s">
        <v>47182</v>
      </c>
      <c r="N13021" t="s">
        <v>27187</v>
      </c>
      <c r="P13021" t="s">
        <v>27200</v>
      </c>
      <c r="R13021" s="26" t="str">
        <f>HYPERLINK("https://ictv.global/taxonomy/taxondetails?taxnode_id=202300074","Orthonairovirus bushkeyense")</f>
        <v>Orthonairovirus bushkeyense</v>
      </c>
      <c r="S13021" t="s">
        <v>30</v>
      </c>
      <c r="T13021" t="s">
        <v>27230</v>
      </c>
      <c r="U13021" t="s">
        <v>27231</v>
      </c>
      <c r="V13021" t="s">
        <v>27232</v>
      </c>
      <c r="W13021" t="s">
        <v>27233</v>
      </c>
      <c r="X13021" t="s">
        <v>42</v>
      </c>
      <c r="Y13021" t="s">
        <v>23964</v>
      </c>
      <c r="Z13021" t="s">
        <v>10790</v>
      </c>
      <c r="AA13021" s="22" t="str">
        <f>HYPERLINK("https://www.ncbi.nlm.nih.gov/nuccore/KU343154,KU343155,KU343156","NCBI Nucleotide")</f>
        <v>NCBI Nucleotide</v>
      </c>
    </row>
    <row r="13022" spans="1:27" x14ac:dyDescent="0.35">
      <c r="A13022">
        <v>1012942</v>
      </c>
      <c r="B13022">
        <v>12169</v>
      </c>
      <c r="C13022">
        <v>2</v>
      </c>
      <c r="D13022" t="s">
        <v>17166</v>
      </c>
      <c r="F13022" t="s">
        <v>17246</v>
      </c>
      <c r="H13022" t="s">
        <v>23950</v>
      </c>
      <c r="I13022" t="s">
        <v>26604</v>
      </c>
      <c r="J13022" t="s">
        <v>47099</v>
      </c>
      <c r="L13022" t="s">
        <v>47182</v>
      </c>
      <c r="N13022" t="s">
        <v>27187</v>
      </c>
      <c r="P13022" t="s">
        <v>27200</v>
      </c>
      <c r="R13022" s="26" t="str">
        <f>HYPERLINK("https://ictv.global/taxonomy/taxondetails?taxnode_id=202300074","Orthonairovirus bushkeyense")</f>
        <v>Orthonairovirus bushkeyense</v>
      </c>
      <c r="S13022" t="s">
        <v>8141</v>
      </c>
      <c r="T13022" t="s">
        <v>27234</v>
      </c>
      <c r="U13022" t="s">
        <v>26820</v>
      </c>
      <c r="V13022" t="s">
        <v>27235</v>
      </c>
      <c r="W13022" t="s">
        <v>49544</v>
      </c>
      <c r="X13022" t="s">
        <v>35</v>
      </c>
      <c r="Y13022" t="s">
        <v>23964</v>
      </c>
      <c r="Z13022" t="s">
        <v>10790</v>
      </c>
      <c r="AA13022" s="22" t="str">
        <f>HYPERLINK("https://www.ncbi.nlm.nih.gov/nuccore/KP792708,KP792709,KP792710","NCBI Nucleotide")</f>
        <v>NCBI Nucleotide</v>
      </c>
    </row>
    <row r="13023" spans="1:27" x14ac:dyDescent="0.35">
      <c r="A13023">
        <v>1012943</v>
      </c>
      <c r="B13023">
        <v>12169</v>
      </c>
      <c r="C13023">
        <v>3</v>
      </c>
      <c r="D13023" t="s">
        <v>17166</v>
      </c>
      <c r="F13023" t="s">
        <v>17246</v>
      </c>
      <c r="H13023" t="s">
        <v>23950</v>
      </c>
      <c r="I13023" t="s">
        <v>26604</v>
      </c>
      <c r="J13023" t="s">
        <v>47099</v>
      </c>
      <c r="L13023" t="s">
        <v>47182</v>
      </c>
      <c r="N13023" t="s">
        <v>27187</v>
      </c>
      <c r="P13023" t="s">
        <v>27200</v>
      </c>
      <c r="R13023" s="26" t="str">
        <f>HYPERLINK("https://ictv.global/taxonomy/taxondetails?taxnode_id=202300074","Orthonairovirus bushkeyense")</f>
        <v>Orthonairovirus bushkeyense</v>
      </c>
      <c r="S13023" t="s">
        <v>8141</v>
      </c>
      <c r="T13023" t="s">
        <v>27236</v>
      </c>
      <c r="U13023" t="s">
        <v>27237</v>
      </c>
      <c r="V13023" t="s">
        <v>27238</v>
      </c>
      <c r="W13023" t="s">
        <v>49545</v>
      </c>
      <c r="X13023" t="s">
        <v>42</v>
      </c>
      <c r="Y13023" t="s">
        <v>23964</v>
      </c>
      <c r="Z13023" t="s">
        <v>10790</v>
      </c>
      <c r="AA13023" s="22" t="str">
        <f>HYPERLINK("https://www.ncbi.nlm.nih.gov/nuccore/KU925467,KU925468,KU925469","NCBI Nucleotide")</f>
        <v>NCBI Nucleotide</v>
      </c>
    </row>
    <row r="13024" spans="1:27" x14ac:dyDescent="0.35">
      <c r="A13024">
        <v>1012944</v>
      </c>
      <c r="B13024">
        <v>12169</v>
      </c>
      <c r="C13024">
        <v>4</v>
      </c>
      <c r="D13024" t="s">
        <v>17166</v>
      </c>
      <c r="F13024" t="s">
        <v>17246</v>
      </c>
      <c r="H13024" t="s">
        <v>23950</v>
      </c>
      <c r="I13024" t="s">
        <v>26604</v>
      </c>
      <c r="J13024" t="s">
        <v>47099</v>
      </c>
      <c r="L13024" t="s">
        <v>47182</v>
      </c>
      <c r="N13024" t="s">
        <v>27187</v>
      </c>
      <c r="P13024" t="s">
        <v>27200</v>
      </c>
      <c r="R13024" s="26" t="str">
        <f>HYPERLINK("https://ictv.global/taxonomy/taxondetails?taxnode_id=202300074","Orthonairovirus bushkeyense")</f>
        <v>Orthonairovirus bushkeyense</v>
      </c>
      <c r="S13024" t="s">
        <v>8141</v>
      </c>
      <c r="T13024" t="s">
        <v>27239</v>
      </c>
      <c r="U13024" t="s">
        <v>27240</v>
      </c>
      <c r="V13024" t="s">
        <v>27241</v>
      </c>
      <c r="W13024" t="s">
        <v>49546</v>
      </c>
      <c r="X13024" t="s">
        <v>42</v>
      </c>
      <c r="Y13024" t="s">
        <v>23964</v>
      </c>
      <c r="Z13024" t="s">
        <v>10790</v>
      </c>
      <c r="AA13024" s="22" t="str">
        <f>HYPERLINK("https://www.ncbi.nlm.nih.gov/nuccore/KU925470,KU925471,KU925472","NCBI Nucleotide")</f>
        <v>NCBI Nucleotide</v>
      </c>
    </row>
    <row r="13025" spans="1:27" x14ac:dyDescent="0.35">
      <c r="A13025">
        <v>1012945</v>
      </c>
      <c r="B13025">
        <v>12169</v>
      </c>
      <c r="C13025">
        <v>5</v>
      </c>
      <c r="D13025" t="s">
        <v>17166</v>
      </c>
      <c r="F13025" t="s">
        <v>17246</v>
      </c>
      <c r="H13025" t="s">
        <v>23950</v>
      </c>
      <c r="I13025" t="s">
        <v>26604</v>
      </c>
      <c r="J13025" t="s">
        <v>47099</v>
      </c>
      <c r="L13025" t="s">
        <v>47182</v>
      </c>
      <c r="N13025" t="s">
        <v>27187</v>
      </c>
      <c r="P13025" t="s">
        <v>27200</v>
      </c>
      <c r="R13025" s="26" t="str">
        <f>HYPERLINK("https://ictv.global/taxonomy/taxondetails?taxnode_id=202300074","Orthonairovirus bushkeyense")</f>
        <v>Orthonairovirus bushkeyense</v>
      </c>
      <c r="S13025" t="s">
        <v>8141</v>
      </c>
      <c r="T13025" t="s">
        <v>27242</v>
      </c>
      <c r="U13025" t="s">
        <v>27243</v>
      </c>
      <c r="V13025">
        <v>829</v>
      </c>
      <c r="W13025" t="s">
        <v>49547</v>
      </c>
      <c r="X13025" t="s">
        <v>35</v>
      </c>
      <c r="Y13025" t="s">
        <v>23964</v>
      </c>
      <c r="Z13025" t="s">
        <v>10790</v>
      </c>
      <c r="AA13025" s="22" t="str">
        <f>HYPERLINK("https://www.ncbi.nlm.nih.gov/nuccore/KU925479,KU925480,KU925481","NCBI Nucleotide")</f>
        <v>NCBI Nucleotide</v>
      </c>
    </row>
    <row r="13026" spans="1:27" x14ac:dyDescent="0.35">
      <c r="A13026">
        <v>1011196</v>
      </c>
      <c r="B13026">
        <v>12170</v>
      </c>
      <c r="C13026">
        <v>1</v>
      </c>
      <c r="D13026" t="s">
        <v>17166</v>
      </c>
      <c r="F13026" t="s">
        <v>17246</v>
      </c>
      <c r="H13026" t="s">
        <v>23950</v>
      </c>
      <c r="I13026" t="s">
        <v>26604</v>
      </c>
      <c r="J13026" t="s">
        <v>47099</v>
      </c>
      <c r="L13026" t="s">
        <v>47182</v>
      </c>
      <c r="N13026" t="s">
        <v>27187</v>
      </c>
      <c r="P13026" t="s">
        <v>27200</v>
      </c>
      <c r="R13026" s="26" t="str">
        <f>HYPERLINK("https://ictv.global/taxonomy/taxondetails?taxnode_id=202305463","Orthonairovirus chimense")</f>
        <v>Orthonairovirus chimense</v>
      </c>
      <c r="S13026" t="s">
        <v>30</v>
      </c>
      <c r="T13026" t="s">
        <v>27244</v>
      </c>
      <c r="U13026" t="s">
        <v>27245</v>
      </c>
      <c r="V13026" t="s">
        <v>27246</v>
      </c>
      <c r="W13026" t="s">
        <v>27247</v>
      </c>
      <c r="X13026" t="s">
        <v>35</v>
      </c>
      <c r="Y13026" t="s">
        <v>23964</v>
      </c>
      <c r="Z13026" t="s">
        <v>10790</v>
      </c>
      <c r="AA13026" s="22" t="str">
        <f>HYPERLINK("https://www.ncbi.nlm.nih.gov/nuccore/KP792711,KP792712,KP792713","NCBI Nucleotide")</f>
        <v>NCBI Nucleotide</v>
      </c>
    </row>
    <row r="13027" spans="1:27" x14ac:dyDescent="0.35">
      <c r="A13027">
        <v>1012946</v>
      </c>
      <c r="B13027">
        <v>12171</v>
      </c>
      <c r="C13027">
        <v>1</v>
      </c>
      <c r="D13027" t="s">
        <v>17166</v>
      </c>
      <c r="F13027" t="s">
        <v>17246</v>
      </c>
      <c r="H13027" t="s">
        <v>23950</v>
      </c>
      <c r="I13027" t="s">
        <v>26604</v>
      </c>
      <c r="J13027" t="s">
        <v>47099</v>
      </c>
      <c r="L13027" t="s">
        <v>47182</v>
      </c>
      <c r="N13027" t="s">
        <v>27187</v>
      </c>
      <c r="P13027" t="s">
        <v>27200</v>
      </c>
      <c r="R13027" s="26" t="str">
        <f>HYPERLINK("https://ictv.global/taxonomy/taxondetails?taxnode_id=202309773","Orthonairovirus clomorense")</f>
        <v>Orthonairovirus clomorense</v>
      </c>
      <c r="S13027" t="s">
        <v>30</v>
      </c>
      <c r="T13027" t="s">
        <v>27248</v>
      </c>
      <c r="U13027" t="s">
        <v>47220</v>
      </c>
      <c r="V13027" t="s">
        <v>47221</v>
      </c>
      <c r="W13027" t="s">
        <v>49548</v>
      </c>
      <c r="X13027" t="s">
        <v>42</v>
      </c>
      <c r="Y13027" t="s">
        <v>23964</v>
      </c>
      <c r="Z13027" t="s">
        <v>10790</v>
      </c>
      <c r="AA13027" s="22" t="str">
        <f>HYPERLINK("https://www.ncbi.nlm.nih.gov/nuccore/KU343139,KU343140,KU343141","NCBI Nucleotide")</f>
        <v>NCBI Nucleotide</v>
      </c>
    </row>
    <row r="13028" spans="1:27" x14ac:dyDescent="0.35">
      <c r="A13028">
        <v>1027706</v>
      </c>
      <c r="B13028">
        <v>12172</v>
      </c>
      <c r="C13028">
        <v>1</v>
      </c>
      <c r="D13028" t="s">
        <v>17166</v>
      </c>
      <c r="F13028" t="s">
        <v>17246</v>
      </c>
      <c r="H13028" t="s">
        <v>23950</v>
      </c>
      <c r="I13028" t="s">
        <v>26604</v>
      </c>
      <c r="J13028" t="s">
        <v>47099</v>
      </c>
      <c r="L13028" t="s">
        <v>47182</v>
      </c>
      <c r="N13028" t="s">
        <v>27187</v>
      </c>
      <c r="P13028" t="s">
        <v>27200</v>
      </c>
      <c r="R13028" s="26" t="str">
        <f>HYPERLINK("https://ictv.global/taxonomy/taxondetails?taxnode_id=202319019","Orthonairovirus crocidurae")</f>
        <v>Orthonairovirus crocidurae</v>
      </c>
      <c r="S13028" t="s">
        <v>30</v>
      </c>
      <c r="T13028" t="s">
        <v>47222</v>
      </c>
      <c r="U13028" t="s">
        <v>47223</v>
      </c>
      <c r="V13028" t="s">
        <v>46553</v>
      </c>
      <c r="W13028" t="s">
        <v>50863</v>
      </c>
      <c r="X13028" t="s">
        <v>35</v>
      </c>
      <c r="Y13028" t="s">
        <v>23964</v>
      </c>
      <c r="Z13028" t="s">
        <v>166</v>
      </c>
      <c r="AA13028" s="22" t="str">
        <f>HYPERLINK("https://www.ncbi.nlm.nih.gov/nuccore/OM030321,OM030322,OM030323","NCBI Nucleotide")</f>
        <v>NCBI Nucleotide</v>
      </c>
    </row>
    <row r="13029" spans="1:27" x14ac:dyDescent="0.35">
      <c r="A13029">
        <v>1011198</v>
      </c>
      <c r="B13029">
        <v>12173</v>
      </c>
      <c r="C13029">
        <v>1</v>
      </c>
      <c r="D13029" t="s">
        <v>17166</v>
      </c>
      <c r="F13029" t="s">
        <v>17246</v>
      </c>
      <c r="H13029" t="s">
        <v>23950</v>
      </c>
      <c r="I13029" t="s">
        <v>26604</v>
      </c>
      <c r="J13029" t="s">
        <v>47099</v>
      </c>
      <c r="L13029" t="s">
        <v>47182</v>
      </c>
      <c r="N13029" t="s">
        <v>27187</v>
      </c>
      <c r="P13029" t="s">
        <v>27200</v>
      </c>
      <c r="R13029" s="26" t="str">
        <f>HYPERLINK("https://ictv.global/taxonomy/taxondetails?taxnode_id=202309770","Orthonairovirus dermacentoris")</f>
        <v>Orthonairovirus dermacentoris</v>
      </c>
      <c r="S13029" t="s">
        <v>30</v>
      </c>
      <c r="T13029" t="s">
        <v>27250</v>
      </c>
      <c r="U13029" t="s">
        <v>27251</v>
      </c>
      <c r="V13029" t="s">
        <v>27252</v>
      </c>
      <c r="W13029" t="s">
        <v>50686</v>
      </c>
      <c r="X13029" t="s">
        <v>35</v>
      </c>
      <c r="Y13029" t="s">
        <v>23964</v>
      </c>
      <c r="Z13029" t="s">
        <v>10790</v>
      </c>
      <c r="AA13029" s="22" t="str">
        <f>HYPERLINK("https://www.ncbi.nlm.nih.gov/nuccore/KU933934,KU933933,KU933935","NCBI Nucleotide")</f>
        <v>NCBI Nucleotide</v>
      </c>
    </row>
    <row r="13030" spans="1:27" x14ac:dyDescent="0.35">
      <c r="A13030">
        <v>1011199</v>
      </c>
      <c r="B13030">
        <v>12174</v>
      </c>
      <c r="C13030">
        <v>1</v>
      </c>
      <c r="D13030" t="s">
        <v>17166</v>
      </c>
      <c r="F13030" t="s">
        <v>17246</v>
      </c>
      <c r="H13030" t="s">
        <v>23950</v>
      </c>
      <c r="I13030" t="s">
        <v>26604</v>
      </c>
      <c r="J13030" t="s">
        <v>47099</v>
      </c>
      <c r="L13030" t="s">
        <v>47182</v>
      </c>
      <c r="N13030" t="s">
        <v>27187</v>
      </c>
      <c r="P13030" t="s">
        <v>27200</v>
      </c>
      <c r="R13030" s="26" t="str">
        <f>HYPERLINK("https://ictv.global/taxonomy/taxondetails?taxnode_id=202300072","Orthonairovirus dugbeense")</f>
        <v>Orthonairovirus dugbeense</v>
      </c>
      <c r="S13030" t="s">
        <v>30</v>
      </c>
      <c r="T13030" t="s">
        <v>27253</v>
      </c>
      <c r="U13030" t="s">
        <v>27254</v>
      </c>
      <c r="V13030" t="s">
        <v>27255</v>
      </c>
      <c r="W13030" t="s">
        <v>50687</v>
      </c>
      <c r="X13030" t="s">
        <v>42</v>
      </c>
      <c r="Y13030" t="s">
        <v>23964</v>
      </c>
      <c r="Z13030" t="s">
        <v>12289</v>
      </c>
      <c r="AA13030" s="22" t="str">
        <f>HYPERLINK("https://www.ncbi.nlm.nih.gov/nuccore/U15018,M94133,AF434161","NCBI Nucleotide")</f>
        <v>NCBI Nucleotide</v>
      </c>
    </row>
    <row r="13031" spans="1:27" x14ac:dyDescent="0.35">
      <c r="A13031">
        <v>1011200</v>
      </c>
      <c r="B13031">
        <v>12175</v>
      </c>
      <c r="C13031">
        <v>1</v>
      </c>
      <c r="D13031" t="s">
        <v>17166</v>
      </c>
      <c r="F13031" t="s">
        <v>17246</v>
      </c>
      <c r="H13031" t="s">
        <v>23950</v>
      </c>
      <c r="I13031" t="s">
        <v>26604</v>
      </c>
      <c r="J13031" t="s">
        <v>47099</v>
      </c>
      <c r="L13031" t="s">
        <v>47182</v>
      </c>
      <c r="N13031" t="s">
        <v>27187</v>
      </c>
      <c r="P13031" t="s">
        <v>27200</v>
      </c>
      <c r="R13031" s="26" t="str">
        <f>HYPERLINK("https://ictv.global/taxonomy/taxondetails?taxnode_id=202309763","Orthonairovirus erveense")</f>
        <v>Orthonairovirus erveense</v>
      </c>
      <c r="S13031" t="s">
        <v>30</v>
      </c>
      <c r="T13031" t="s">
        <v>27256</v>
      </c>
      <c r="U13031" t="s">
        <v>27257</v>
      </c>
      <c r="W13031" t="s">
        <v>27258</v>
      </c>
      <c r="X13031" t="s">
        <v>35</v>
      </c>
      <c r="Y13031" t="s">
        <v>23964</v>
      </c>
      <c r="Z13031" t="s">
        <v>12289</v>
      </c>
      <c r="AA13031" s="22" t="str">
        <f>HYPERLINK("https://www.ncbi.nlm.nih.gov/nuccore/JF911697,JF911698,JF911699","NCBI Nucleotide")</f>
        <v>NCBI Nucleotide</v>
      </c>
    </row>
    <row r="13032" spans="1:27" x14ac:dyDescent="0.35">
      <c r="A13032">
        <v>1011201</v>
      </c>
      <c r="B13032">
        <v>12176</v>
      </c>
      <c r="C13032">
        <v>1</v>
      </c>
      <c r="D13032" t="s">
        <v>17166</v>
      </c>
      <c r="F13032" t="s">
        <v>17246</v>
      </c>
      <c r="H13032" t="s">
        <v>23950</v>
      </c>
      <c r="I13032" t="s">
        <v>26604</v>
      </c>
      <c r="J13032" t="s">
        <v>47099</v>
      </c>
      <c r="L13032" t="s">
        <v>47182</v>
      </c>
      <c r="N13032" t="s">
        <v>27187</v>
      </c>
      <c r="P13032" t="s">
        <v>27200</v>
      </c>
      <c r="R13032" s="26" t="str">
        <f>HYPERLINK("https://ictv.global/taxonomy/taxondetails?taxnode_id=202300107","Orthonairovirus esteroense")</f>
        <v>Orthonairovirus esteroense</v>
      </c>
      <c r="S13032" t="s">
        <v>30</v>
      </c>
      <c r="T13032" t="s">
        <v>27259</v>
      </c>
      <c r="U13032" t="s">
        <v>27260</v>
      </c>
      <c r="V13032" t="s">
        <v>27261</v>
      </c>
      <c r="W13032" t="s">
        <v>50688</v>
      </c>
      <c r="X13032" t="s">
        <v>42</v>
      </c>
      <c r="Y13032" t="s">
        <v>23964</v>
      </c>
      <c r="Z13032" t="s">
        <v>10790</v>
      </c>
      <c r="AA13032" s="22" t="str">
        <f>HYPERLINK("https://www.ncbi.nlm.nih.gov/nuccore/MH017280,MH017286,MH017274","NCBI Nucleotide")</f>
        <v>NCBI Nucleotide</v>
      </c>
    </row>
    <row r="13033" spans="1:27" x14ac:dyDescent="0.35">
      <c r="A13033">
        <v>1011202</v>
      </c>
      <c r="B13033">
        <v>12177</v>
      </c>
      <c r="C13033">
        <v>1</v>
      </c>
      <c r="D13033" t="s">
        <v>17166</v>
      </c>
      <c r="F13033" t="s">
        <v>17246</v>
      </c>
      <c r="H13033" t="s">
        <v>23950</v>
      </c>
      <c r="I13033" t="s">
        <v>26604</v>
      </c>
      <c r="J13033" t="s">
        <v>47099</v>
      </c>
      <c r="L13033" t="s">
        <v>47182</v>
      </c>
      <c r="N13033" t="s">
        <v>27187</v>
      </c>
      <c r="P13033" t="s">
        <v>27200</v>
      </c>
      <c r="R13033" s="26" t="str">
        <f>HYPERLINK("https://ictv.global/taxonomy/taxondetails?taxnode_id=202309764","Orthonairovirus gossasense")</f>
        <v>Orthonairovirus gossasense</v>
      </c>
      <c r="S13033" t="s">
        <v>30</v>
      </c>
      <c r="T13033" t="s">
        <v>27262</v>
      </c>
      <c r="U13033" t="s">
        <v>27263</v>
      </c>
      <c r="V13033" t="s">
        <v>27264</v>
      </c>
      <c r="W13033" t="s">
        <v>50795</v>
      </c>
      <c r="X13033" t="s">
        <v>35</v>
      </c>
      <c r="Y13033" t="s">
        <v>23964</v>
      </c>
      <c r="Z13033" t="s">
        <v>166</v>
      </c>
      <c r="AA13033" s="22" t="str">
        <f>HYPERLINK("https://www.ncbi.nlm.nih.gov/nuccore/KR534878,KR534877,KR534876","NCBI Nucleotide")</f>
        <v>NCBI Nucleotide</v>
      </c>
    </row>
    <row r="13034" spans="1:27" x14ac:dyDescent="0.35">
      <c r="A13034">
        <v>1027707</v>
      </c>
      <c r="B13034">
        <v>12178</v>
      </c>
      <c r="C13034">
        <v>1</v>
      </c>
      <c r="D13034" t="s">
        <v>17166</v>
      </c>
      <c r="F13034" t="s">
        <v>17246</v>
      </c>
      <c r="H13034" t="s">
        <v>23950</v>
      </c>
      <c r="I13034" t="s">
        <v>26604</v>
      </c>
      <c r="J13034" t="s">
        <v>47099</v>
      </c>
      <c r="L13034" t="s">
        <v>47182</v>
      </c>
      <c r="N13034" t="s">
        <v>27187</v>
      </c>
      <c r="P13034" t="s">
        <v>27200</v>
      </c>
      <c r="R13034" s="26" t="str">
        <f>HYPERLINK("https://ictv.global/taxonomy/taxondetails?taxnode_id=202319024","Orthonairovirus gubboense")</f>
        <v>Orthonairovirus gubboense</v>
      </c>
      <c r="S13034" t="s">
        <v>30</v>
      </c>
      <c r="T13034" t="s">
        <v>47224</v>
      </c>
      <c r="U13034" t="s">
        <v>47225</v>
      </c>
      <c r="V13034" t="s">
        <v>47226</v>
      </c>
      <c r="W13034" t="s">
        <v>50864</v>
      </c>
      <c r="X13034" t="s">
        <v>35</v>
      </c>
      <c r="Y13034" t="s">
        <v>23964</v>
      </c>
      <c r="Z13034" t="s">
        <v>10790</v>
      </c>
      <c r="AA13034" s="22" t="str">
        <f>HYPERLINK("https://www.ncbi.nlm.nih.gov/nuccore/OP514653,OP804625,OP804628","NCBI Nucleotide")</f>
        <v>NCBI Nucleotide</v>
      </c>
    </row>
    <row r="13035" spans="1:27" x14ac:dyDescent="0.35">
      <c r="A13035">
        <v>1011203</v>
      </c>
      <c r="B13035">
        <v>12179</v>
      </c>
      <c r="C13035">
        <v>1</v>
      </c>
      <c r="D13035" t="s">
        <v>17166</v>
      </c>
      <c r="F13035" t="s">
        <v>17246</v>
      </c>
      <c r="H13035" t="s">
        <v>23950</v>
      </c>
      <c r="I13035" t="s">
        <v>26604</v>
      </c>
      <c r="J13035" t="s">
        <v>47099</v>
      </c>
      <c r="L13035" t="s">
        <v>47182</v>
      </c>
      <c r="N13035" t="s">
        <v>27187</v>
      </c>
      <c r="P13035" t="s">
        <v>27200</v>
      </c>
      <c r="R13035" s="26" t="str">
        <f>HYPERLINK("https://ictv.global/taxonomy/taxondetails?taxnode_id=202300070","Orthonairovirus haemorrhagiae")</f>
        <v>Orthonairovirus haemorrhagiae</v>
      </c>
      <c r="S13035" t="s">
        <v>30</v>
      </c>
      <c r="T13035" t="s">
        <v>27265</v>
      </c>
      <c r="U13035" t="s">
        <v>27266</v>
      </c>
      <c r="V13035" t="s">
        <v>27267</v>
      </c>
      <c r="W13035" t="s">
        <v>50689</v>
      </c>
      <c r="X13035" t="s">
        <v>42</v>
      </c>
      <c r="Y13035" t="s">
        <v>23964</v>
      </c>
      <c r="Z13035" t="s">
        <v>12289</v>
      </c>
      <c r="AA13035" s="22" t="str">
        <f>HYPERLINK("https://www.ncbi.nlm.nih.gov/nuccore/AY389361,AF467768,U88410","NCBI Nucleotide")</f>
        <v>NCBI Nucleotide</v>
      </c>
    </row>
    <row r="13036" spans="1:27" x14ac:dyDescent="0.35">
      <c r="A13036">
        <v>1011204</v>
      </c>
      <c r="B13036">
        <v>12180</v>
      </c>
      <c r="C13036">
        <v>1</v>
      </c>
      <c r="D13036" t="s">
        <v>17166</v>
      </c>
      <c r="F13036" t="s">
        <v>17246</v>
      </c>
      <c r="H13036" t="s">
        <v>23950</v>
      </c>
      <c r="I13036" t="s">
        <v>26604</v>
      </c>
      <c r="J13036" t="s">
        <v>47099</v>
      </c>
      <c r="L13036" t="s">
        <v>47182</v>
      </c>
      <c r="N13036" t="s">
        <v>27187</v>
      </c>
      <c r="P13036" t="s">
        <v>27200</v>
      </c>
      <c r="R13036" s="26" t="str">
        <f>HYPERLINK("https://ictv.global/taxonomy/taxondetails?taxnode_id=202300073","Orthonairovirus hazaraense")</f>
        <v>Orthonairovirus hazaraense</v>
      </c>
      <c r="S13036" t="s">
        <v>30</v>
      </c>
      <c r="T13036" t="s">
        <v>27268</v>
      </c>
      <c r="U13036" t="s">
        <v>27269</v>
      </c>
      <c r="V13036" t="s">
        <v>27270</v>
      </c>
      <c r="W13036" t="s">
        <v>27271</v>
      </c>
      <c r="X13036" t="s">
        <v>42</v>
      </c>
      <c r="Y13036" t="s">
        <v>23964</v>
      </c>
      <c r="Z13036" t="s">
        <v>10790</v>
      </c>
      <c r="AA13036" s="22" t="str">
        <f>HYPERLINK("https://www.ncbi.nlm.nih.gov/nuccore/KP406723,KP406724,KP406725","NCBI Nucleotide")</f>
        <v>NCBI Nucleotide</v>
      </c>
    </row>
    <row r="13037" spans="1:27" x14ac:dyDescent="0.35">
      <c r="A13037">
        <v>1011205</v>
      </c>
      <c r="B13037">
        <v>12181</v>
      </c>
      <c r="C13037">
        <v>1</v>
      </c>
      <c r="D13037" t="s">
        <v>17166</v>
      </c>
      <c r="F13037" t="s">
        <v>17246</v>
      </c>
      <c r="H13037" t="s">
        <v>23950</v>
      </c>
      <c r="I13037" t="s">
        <v>26604</v>
      </c>
      <c r="J13037" t="s">
        <v>47099</v>
      </c>
      <c r="L13037" t="s">
        <v>47182</v>
      </c>
      <c r="N13037" t="s">
        <v>27187</v>
      </c>
      <c r="P13037" t="s">
        <v>27200</v>
      </c>
      <c r="R13037" s="26" t="str">
        <f>HYPERLINK("https://ictv.global/taxonomy/taxondetails?taxnode_id=202309765","Orthonairovirus huangpiense")</f>
        <v>Orthonairovirus huangpiense</v>
      </c>
      <c r="S13037" t="s">
        <v>30</v>
      </c>
      <c r="T13037" t="s">
        <v>27272</v>
      </c>
      <c r="U13037" t="s">
        <v>27273</v>
      </c>
      <c r="V13037" t="s">
        <v>27274</v>
      </c>
      <c r="W13037" t="s">
        <v>27275</v>
      </c>
      <c r="X13037" t="s">
        <v>35</v>
      </c>
      <c r="Y13037" t="s">
        <v>23964</v>
      </c>
      <c r="Z13037" t="s">
        <v>10790</v>
      </c>
      <c r="AA13037" s="22" t="str">
        <f>HYPERLINK("https://www.ncbi.nlm.nih.gov/nuccore/KM817667,KM817706,KM817734","NCBI Nucleotide")</f>
        <v>NCBI Nucleotide</v>
      </c>
    </row>
    <row r="13038" spans="1:27" x14ac:dyDescent="0.35">
      <c r="A13038">
        <v>1011206</v>
      </c>
      <c r="B13038">
        <v>12182</v>
      </c>
      <c r="C13038">
        <v>1</v>
      </c>
      <c r="D13038" t="s">
        <v>17166</v>
      </c>
      <c r="F13038" t="s">
        <v>17246</v>
      </c>
      <c r="H13038" t="s">
        <v>23950</v>
      </c>
      <c r="I13038" t="s">
        <v>26604</v>
      </c>
      <c r="J13038" t="s">
        <v>47099</v>
      </c>
      <c r="L13038" t="s">
        <v>47182</v>
      </c>
      <c r="N13038" t="s">
        <v>27187</v>
      </c>
      <c r="P13038" t="s">
        <v>27200</v>
      </c>
      <c r="R13038" s="26" t="str">
        <f>HYPERLINK("https://ictv.global/taxonomy/taxondetails?taxnode_id=202309766","Orthonairovirus issykkulense")</f>
        <v>Orthonairovirus issykkulense</v>
      </c>
      <c r="S13038" t="s">
        <v>30</v>
      </c>
      <c r="T13038" t="s">
        <v>27276</v>
      </c>
      <c r="U13038" t="s">
        <v>27277</v>
      </c>
      <c r="V13038" t="s">
        <v>27278</v>
      </c>
      <c r="W13038" t="s">
        <v>27279</v>
      </c>
      <c r="X13038" t="s">
        <v>42</v>
      </c>
      <c r="Y13038" t="s">
        <v>23964</v>
      </c>
      <c r="Z13038" t="s">
        <v>166</v>
      </c>
      <c r="AA13038" s="22" t="str">
        <f>HYPERLINK("https://www.ncbi.nlm.nih.gov/nuccore/KF892055,KF892056,KF892057","NCBI Nucleotide")</f>
        <v>NCBI Nucleotide</v>
      </c>
    </row>
    <row r="13039" spans="1:27" x14ac:dyDescent="0.35">
      <c r="A13039">
        <v>1011207</v>
      </c>
      <c r="B13039">
        <v>12183</v>
      </c>
      <c r="C13039">
        <v>1</v>
      </c>
      <c r="D13039" t="s">
        <v>17166</v>
      </c>
      <c r="F13039" t="s">
        <v>17246</v>
      </c>
      <c r="H13039" t="s">
        <v>23950</v>
      </c>
      <c r="I13039" t="s">
        <v>26604</v>
      </c>
      <c r="J13039" t="s">
        <v>47099</v>
      </c>
      <c r="L13039" t="s">
        <v>47182</v>
      </c>
      <c r="N13039" t="s">
        <v>27187</v>
      </c>
      <c r="P13039" t="s">
        <v>27200</v>
      </c>
      <c r="R13039" s="26" t="str">
        <f>HYPERLINK("https://ictv.global/taxonomy/taxondetails?taxnode_id=202309777","Orthonairovirus japonicum")</f>
        <v>Orthonairovirus japonicum</v>
      </c>
      <c r="S13039" t="s">
        <v>30</v>
      </c>
      <c r="T13039" t="s">
        <v>27280</v>
      </c>
      <c r="U13039" t="s">
        <v>27281</v>
      </c>
      <c r="V13039" t="s">
        <v>27282</v>
      </c>
      <c r="W13039" t="s">
        <v>50690</v>
      </c>
      <c r="X13039" t="s">
        <v>42</v>
      </c>
      <c r="Y13039" t="s">
        <v>23964</v>
      </c>
      <c r="Z13039" t="s">
        <v>10790</v>
      </c>
      <c r="AA13039" s="22" t="str">
        <f>HYPERLINK("https://www.ncbi.nlm.nih.gov/nuccore/LC008512,LC008511,LC008510","NCBI Nucleotide")</f>
        <v>NCBI Nucleotide</v>
      </c>
    </row>
    <row r="13040" spans="1:27" x14ac:dyDescent="0.35">
      <c r="A13040">
        <v>1011208</v>
      </c>
      <c r="B13040">
        <v>12184</v>
      </c>
      <c r="C13040">
        <v>1</v>
      </c>
      <c r="D13040" t="s">
        <v>17166</v>
      </c>
      <c r="F13040" t="s">
        <v>17246</v>
      </c>
      <c r="H13040" t="s">
        <v>23950</v>
      </c>
      <c r="I13040" t="s">
        <v>26604</v>
      </c>
      <c r="J13040" t="s">
        <v>47099</v>
      </c>
      <c r="L13040" t="s">
        <v>47182</v>
      </c>
      <c r="N13040" t="s">
        <v>27187</v>
      </c>
      <c r="P13040" t="s">
        <v>27200</v>
      </c>
      <c r="R13040" s="26" t="str">
        <f>HYPERLINK("https://ictv.global/taxonomy/taxondetails?taxnode_id=202300075","Orthonairovirus kasokeroense")</f>
        <v>Orthonairovirus kasokeroense</v>
      </c>
      <c r="S13040" t="s">
        <v>30</v>
      </c>
      <c r="T13040" t="s">
        <v>27283</v>
      </c>
      <c r="U13040" t="s">
        <v>47227</v>
      </c>
      <c r="V13040" t="s">
        <v>27284</v>
      </c>
      <c r="W13040" t="s">
        <v>27285</v>
      </c>
      <c r="X13040" t="s">
        <v>42</v>
      </c>
      <c r="Y13040" t="s">
        <v>23964</v>
      </c>
      <c r="Z13040" t="s">
        <v>166</v>
      </c>
      <c r="AA13040" s="22" t="str">
        <f>HYPERLINK("https://www.ncbi.nlm.nih.gov/nuccore/KR537444,KR537445,KR537446","NCBI Nucleotide")</f>
        <v>NCBI Nucleotide</v>
      </c>
    </row>
    <row r="13041" spans="1:27" x14ac:dyDescent="0.35">
      <c r="A13041">
        <v>1011209</v>
      </c>
      <c r="B13041">
        <v>12185</v>
      </c>
      <c r="C13041">
        <v>1</v>
      </c>
      <c r="D13041" t="s">
        <v>17166</v>
      </c>
      <c r="F13041" t="s">
        <v>17246</v>
      </c>
      <c r="H13041" t="s">
        <v>23950</v>
      </c>
      <c r="I13041" t="s">
        <v>26604</v>
      </c>
      <c r="J13041" t="s">
        <v>47099</v>
      </c>
      <c r="L13041" t="s">
        <v>47182</v>
      </c>
      <c r="N13041" t="s">
        <v>27187</v>
      </c>
      <c r="P13041" t="s">
        <v>27200</v>
      </c>
      <c r="R13041" s="26" t="str">
        <f>HYPERLINK("https://ictv.global/taxonomy/taxondetails?taxnode_id=202300076","Orthonairovirus keterehense")</f>
        <v>Orthonairovirus keterehense</v>
      </c>
      <c r="S13041" t="s">
        <v>30</v>
      </c>
      <c r="T13041" t="s">
        <v>27286</v>
      </c>
      <c r="U13041" t="s">
        <v>27287</v>
      </c>
      <c r="V13041" t="s">
        <v>27288</v>
      </c>
      <c r="W13041" t="s">
        <v>27289</v>
      </c>
      <c r="X13041" t="s">
        <v>42</v>
      </c>
      <c r="Y13041" t="s">
        <v>23964</v>
      </c>
      <c r="Z13041" t="s">
        <v>12289</v>
      </c>
      <c r="AA13041" s="22" t="str">
        <f>HYPERLINK("https://www.ncbi.nlm.nih.gov/nuccore/KR537447,KR537448,KR537449","NCBI Nucleotide")</f>
        <v>NCBI Nucleotide</v>
      </c>
    </row>
    <row r="13042" spans="1:27" x14ac:dyDescent="0.35">
      <c r="A13042">
        <v>1012947</v>
      </c>
      <c r="B13042">
        <v>12185</v>
      </c>
      <c r="C13042">
        <v>2</v>
      </c>
      <c r="D13042" t="s">
        <v>17166</v>
      </c>
      <c r="F13042" t="s">
        <v>17246</v>
      </c>
      <c r="H13042" t="s">
        <v>23950</v>
      </c>
      <c r="I13042" t="s">
        <v>26604</v>
      </c>
      <c r="J13042" t="s">
        <v>47099</v>
      </c>
      <c r="L13042" t="s">
        <v>47182</v>
      </c>
      <c r="N13042" t="s">
        <v>27187</v>
      </c>
      <c r="P13042" t="s">
        <v>27200</v>
      </c>
      <c r="R13042" s="26" t="str">
        <f>HYPERLINK("https://ictv.global/taxonomy/taxondetails?taxnode_id=202300076","Orthonairovirus keterehense")</f>
        <v>Orthonairovirus keterehense</v>
      </c>
      <c r="S13042" t="s">
        <v>8141</v>
      </c>
      <c r="T13042" t="s">
        <v>27290</v>
      </c>
      <c r="U13042" t="s">
        <v>27291</v>
      </c>
      <c r="V13042" t="s">
        <v>27292</v>
      </c>
      <c r="W13042" t="s">
        <v>49549</v>
      </c>
      <c r="X13042" t="s">
        <v>35</v>
      </c>
      <c r="Y13042" t="s">
        <v>23964</v>
      </c>
      <c r="Z13042" t="s">
        <v>12289</v>
      </c>
      <c r="AA13042" s="22" t="str">
        <f>HYPERLINK("https://www.ncbi.nlm.nih.gov/nuccore/KP792741,KP792742,KP792743","NCBI Nucleotide")</f>
        <v>NCBI Nucleotide</v>
      </c>
    </row>
    <row r="13043" spans="1:27" x14ac:dyDescent="0.35">
      <c r="A13043">
        <v>1011210</v>
      </c>
      <c r="B13043">
        <v>12186</v>
      </c>
      <c r="C13043">
        <v>1</v>
      </c>
      <c r="D13043" t="s">
        <v>17166</v>
      </c>
      <c r="F13043" t="s">
        <v>17246</v>
      </c>
      <c r="H13043" t="s">
        <v>23950</v>
      </c>
      <c r="I13043" t="s">
        <v>26604</v>
      </c>
      <c r="J13043" t="s">
        <v>47099</v>
      </c>
      <c r="L13043" t="s">
        <v>47182</v>
      </c>
      <c r="N13043" t="s">
        <v>27187</v>
      </c>
      <c r="P13043" t="s">
        <v>27200</v>
      </c>
      <c r="R13043" s="26" t="str">
        <f>HYPERLINK("https://ictv.global/taxonomy/taxondetails?taxnode_id=202300071","Orthonairovirus khani")</f>
        <v>Orthonairovirus khani</v>
      </c>
      <c r="S13043" t="s">
        <v>30</v>
      </c>
      <c r="T13043" t="s">
        <v>27293</v>
      </c>
      <c r="U13043" t="s">
        <v>27294</v>
      </c>
      <c r="V13043" t="s">
        <v>27295</v>
      </c>
      <c r="W13043" t="s">
        <v>27296</v>
      </c>
      <c r="X13043" t="s">
        <v>154</v>
      </c>
      <c r="Y13043" t="s">
        <v>23964</v>
      </c>
      <c r="Z13043" t="s">
        <v>12289</v>
      </c>
      <c r="AA13043" s="22" t="str">
        <f>HYPERLINK("https://www.ncbi.nlm.nih.gov/nuccore/KU343151,KU343152,KU343153","NCBI Nucleotide")</f>
        <v>NCBI Nucleotide</v>
      </c>
    </row>
    <row r="13044" spans="1:27" x14ac:dyDescent="0.35">
      <c r="A13044">
        <v>1027708</v>
      </c>
      <c r="B13044">
        <v>12187</v>
      </c>
      <c r="C13044">
        <v>1</v>
      </c>
      <c r="D13044" t="s">
        <v>17166</v>
      </c>
      <c r="F13044" t="s">
        <v>17246</v>
      </c>
      <c r="H13044" t="s">
        <v>23950</v>
      </c>
      <c r="I13044" t="s">
        <v>26604</v>
      </c>
      <c r="J13044" t="s">
        <v>47099</v>
      </c>
      <c r="L13044" t="s">
        <v>47182</v>
      </c>
      <c r="N13044" t="s">
        <v>27187</v>
      </c>
      <c r="P13044" t="s">
        <v>27200</v>
      </c>
      <c r="R13044" s="26" t="str">
        <f>HYPERLINK("https://ictv.global/taxonomy/taxondetails?taxnode_id=202319023","Orthonairovirus lambarenense")</f>
        <v>Orthonairovirus lambarenense</v>
      </c>
      <c r="S13044" t="s">
        <v>30</v>
      </c>
      <c r="T13044" t="s">
        <v>47228</v>
      </c>
      <c r="U13044" t="s">
        <v>47229</v>
      </c>
      <c r="V13044" t="s">
        <v>47230</v>
      </c>
      <c r="W13044" t="s">
        <v>50865</v>
      </c>
      <c r="X13044" t="s">
        <v>35</v>
      </c>
      <c r="Y13044" t="s">
        <v>23964</v>
      </c>
      <c r="Z13044" t="s">
        <v>166</v>
      </c>
      <c r="AA13044" s="22" t="str">
        <f>HYPERLINK("https://www.ncbi.nlm.nih.gov/nuccore/LC671712,LC671713,LC671714","NCBI Nucleotide")</f>
        <v>NCBI Nucleotide</v>
      </c>
    </row>
    <row r="13045" spans="1:27" x14ac:dyDescent="0.35">
      <c r="A13045">
        <v>1011211</v>
      </c>
      <c r="B13045">
        <v>12188</v>
      </c>
      <c r="C13045">
        <v>1</v>
      </c>
      <c r="D13045" t="s">
        <v>17166</v>
      </c>
      <c r="F13045" t="s">
        <v>17246</v>
      </c>
      <c r="H13045" t="s">
        <v>23950</v>
      </c>
      <c r="I13045" t="s">
        <v>26604</v>
      </c>
      <c r="J13045" t="s">
        <v>47099</v>
      </c>
      <c r="L13045" t="s">
        <v>47182</v>
      </c>
      <c r="N13045" t="s">
        <v>27187</v>
      </c>
      <c r="P13045" t="s">
        <v>27200</v>
      </c>
      <c r="R13045" s="26" t="str">
        <f>HYPERLINK("https://ictv.global/taxonomy/taxondetails?taxnode_id=202309768","Orthonairovirus lusakaense")</f>
        <v>Orthonairovirus lusakaense</v>
      </c>
      <c r="S13045" t="s">
        <v>30</v>
      </c>
      <c r="T13045" t="s">
        <v>27297</v>
      </c>
      <c r="U13045" t="s">
        <v>27298</v>
      </c>
      <c r="V13045" t="s">
        <v>27299</v>
      </c>
      <c r="W13045" t="s">
        <v>27300</v>
      </c>
      <c r="X13045" t="s">
        <v>42</v>
      </c>
      <c r="Y13045" t="s">
        <v>23964</v>
      </c>
      <c r="Z13045" t="s">
        <v>166</v>
      </c>
      <c r="AA13045" s="22" t="str">
        <f>HYPERLINK("https://www.ncbi.nlm.nih.gov/nuccore/AB842088,AB842089,AB842090","NCBI Nucleotide")</f>
        <v>NCBI Nucleotide</v>
      </c>
    </row>
    <row r="13046" spans="1:27" x14ac:dyDescent="0.35">
      <c r="A13046">
        <v>1011212</v>
      </c>
      <c r="B13046">
        <v>12189</v>
      </c>
      <c r="C13046">
        <v>1</v>
      </c>
      <c r="D13046" t="s">
        <v>17166</v>
      </c>
      <c r="F13046" t="s">
        <v>17246</v>
      </c>
      <c r="H13046" t="s">
        <v>23950</v>
      </c>
      <c r="I13046" t="s">
        <v>26604</v>
      </c>
      <c r="J13046" t="s">
        <v>47099</v>
      </c>
      <c r="L13046" t="s">
        <v>47182</v>
      </c>
      <c r="N13046" t="s">
        <v>27187</v>
      </c>
      <c r="P13046" t="s">
        <v>27200</v>
      </c>
      <c r="R13046" s="26" t="str">
        <f>HYPERLINK("https://ictv.global/taxonomy/taxondetails?taxnode_id=202309776","Orthonairovirus macquariense")</f>
        <v>Orthonairovirus macquariense</v>
      </c>
      <c r="S13046" t="s">
        <v>30</v>
      </c>
      <c r="T13046" t="s">
        <v>27301</v>
      </c>
      <c r="U13046" t="s">
        <v>27302</v>
      </c>
      <c r="V13046" t="s">
        <v>27303</v>
      </c>
      <c r="W13046" t="s">
        <v>27304</v>
      </c>
      <c r="X13046" t="s">
        <v>35</v>
      </c>
      <c r="Y13046" t="s">
        <v>23964</v>
      </c>
      <c r="Z13046" t="s">
        <v>10790</v>
      </c>
      <c r="AA13046" s="22" t="str">
        <f>HYPERLINK("https://www.ncbi.nlm.nih.gov/nuccore/KT820205,KT820206,KT820207","NCBI Nucleotide")</f>
        <v>NCBI Nucleotide</v>
      </c>
    </row>
    <row r="13047" spans="1:27" x14ac:dyDescent="0.35">
      <c r="A13047">
        <v>1027709</v>
      </c>
      <c r="B13047">
        <v>12190</v>
      </c>
      <c r="C13047">
        <v>1</v>
      </c>
      <c r="D13047" t="s">
        <v>17166</v>
      </c>
      <c r="F13047" t="s">
        <v>17246</v>
      </c>
      <c r="H13047" t="s">
        <v>23950</v>
      </c>
      <c r="I13047" t="s">
        <v>26604</v>
      </c>
      <c r="J13047" t="s">
        <v>47099</v>
      </c>
      <c r="L13047" t="s">
        <v>47182</v>
      </c>
      <c r="N13047" t="s">
        <v>27187</v>
      </c>
      <c r="P13047" t="s">
        <v>27200</v>
      </c>
      <c r="R13047" s="26" t="str">
        <f>HYPERLINK("https://ictv.global/taxonomy/taxondetails?taxnode_id=202319020","Orthonairovirus manidae")</f>
        <v>Orthonairovirus manidae</v>
      </c>
      <c r="S13047" t="s">
        <v>30</v>
      </c>
      <c r="T13047" t="s">
        <v>47231</v>
      </c>
      <c r="U13047" t="s">
        <v>47232</v>
      </c>
      <c r="V13047" t="s">
        <v>47233</v>
      </c>
      <c r="W13047" t="s">
        <v>50866</v>
      </c>
      <c r="X13047" t="s">
        <v>35</v>
      </c>
      <c r="Y13047" t="s">
        <v>23964</v>
      </c>
      <c r="Z13047" t="s">
        <v>166</v>
      </c>
      <c r="AA13047" s="22" t="str">
        <f>HYPERLINK("https://www.ncbi.nlm.nih.gov/nuccore/ON024087,ON024088,ON024089","NCBI Nucleotide")</f>
        <v>NCBI Nucleotide</v>
      </c>
    </row>
    <row r="13048" spans="1:27" x14ac:dyDescent="0.35">
      <c r="A13048">
        <v>1027710</v>
      </c>
      <c r="B13048">
        <v>12191</v>
      </c>
      <c r="C13048">
        <v>1</v>
      </c>
      <c r="D13048" t="s">
        <v>17166</v>
      </c>
      <c r="F13048" t="s">
        <v>17246</v>
      </c>
      <c r="H13048" t="s">
        <v>23950</v>
      </c>
      <c r="I13048" t="s">
        <v>26604</v>
      </c>
      <c r="J13048" t="s">
        <v>47099</v>
      </c>
      <c r="L13048" t="s">
        <v>47182</v>
      </c>
      <c r="N13048" t="s">
        <v>27187</v>
      </c>
      <c r="P13048" t="s">
        <v>27200</v>
      </c>
      <c r="R13048" s="26" t="str">
        <f>HYPERLINK("https://ictv.global/taxonomy/taxondetails?taxnode_id=202319022","Orthonairovirus meihuashanense")</f>
        <v>Orthonairovirus meihuashanense</v>
      </c>
      <c r="S13048" t="s">
        <v>30</v>
      </c>
      <c r="T13048" t="s">
        <v>47234</v>
      </c>
      <c r="U13048" t="s">
        <v>47235</v>
      </c>
      <c r="V13048" t="s">
        <v>47236</v>
      </c>
      <c r="W13048" t="s">
        <v>50867</v>
      </c>
      <c r="X13048" t="s">
        <v>35</v>
      </c>
      <c r="Y13048" t="s">
        <v>23964</v>
      </c>
      <c r="Z13048" t="s">
        <v>10790</v>
      </c>
      <c r="AA13048" s="22" t="str">
        <f>HYPERLINK("https://www.ncbi.nlm.nih.gov/nuccore/ON184084,ON184085,ON184086","NCBI Nucleotide")</f>
        <v>NCBI Nucleotide</v>
      </c>
    </row>
    <row r="13049" spans="1:27" x14ac:dyDescent="0.35">
      <c r="A13049">
        <v>1011213</v>
      </c>
      <c r="B13049">
        <v>12192</v>
      </c>
      <c r="C13049">
        <v>1</v>
      </c>
      <c r="D13049" t="s">
        <v>17166</v>
      </c>
      <c r="F13049" t="s">
        <v>17246</v>
      </c>
      <c r="H13049" t="s">
        <v>23950</v>
      </c>
      <c r="I13049" t="s">
        <v>26604</v>
      </c>
      <c r="J13049" t="s">
        <v>47099</v>
      </c>
      <c r="L13049" t="s">
        <v>47182</v>
      </c>
      <c r="N13049" t="s">
        <v>27187</v>
      </c>
      <c r="P13049" t="s">
        <v>27200</v>
      </c>
      <c r="R13049" s="26" t="str">
        <f>HYPERLINK("https://ictv.global/taxonomy/taxondetails?taxnode_id=202309769","Orthonairovirus meramense")</f>
        <v>Orthonairovirus meramense</v>
      </c>
      <c r="S13049" t="s">
        <v>30</v>
      </c>
      <c r="T13049" t="s">
        <v>27305</v>
      </c>
      <c r="U13049" t="s">
        <v>27306</v>
      </c>
      <c r="V13049" t="s">
        <v>18398</v>
      </c>
      <c r="W13049" t="s">
        <v>27307</v>
      </c>
      <c r="X13049" t="s">
        <v>35</v>
      </c>
      <c r="Y13049" t="s">
        <v>23964</v>
      </c>
      <c r="Z13049" t="s">
        <v>10790</v>
      </c>
      <c r="AA13049" s="22" t="str">
        <f>HYPERLINK("https://www.ncbi.nlm.nih.gov/nuccore/MN972594,MN972595,MN972596","NCBI Nucleotide")</f>
        <v>NCBI Nucleotide</v>
      </c>
    </row>
    <row r="13050" spans="1:27" x14ac:dyDescent="0.35">
      <c r="A13050">
        <v>1011214</v>
      </c>
      <c r="B13050">
        <v>12193</v>
      </c>
      <c r="C13050">
        <v>1</v>
      </c>
      <c r="D13050" t="s">
        <v>17166</v>
      </c>
      <c r="F13050" t="s">
        <v>17246</v>
      </c>
      <c r="H13050" t="s">
        <v>23950</v>
      </c>
      <c r="I13050" t="s">
        <v>26604</v>
      </c>
      <c r="J13050" t="s">
        <v>47099</v>
      </c>
      <c r="L13050" t="s">
        <v>47182</v>
      </c>
      <c r="N13050" t="s">
        <v>27187</v>
      </c>
      <c r="P13050" t="s">
        <v>27200</v>
      </c>
      <c r="R13050" s="26" t="str">
        <f>HYPERLINK("https://ictv.global/taxonomy/taxondetails?taxnode_id=202300077","Orthonairovirus nairobiense")</f>
        <v>Orthonairovirus nairobiense</v>
      </c>
      <c r="S13050" t="s">
        <v>30</v>
      </c>
      <c r="T13050" t="s">
        <v>27308</v>
      </c>
      <c r="U13050" t="s">
        <v>27309</v>
      </c>
      <c r="V13050" t="s">
        <v>27310</v>
      </c>
      <c r="W13050" t="s">
        <v>50691</v>
      </c>
      <c r="X13050" t="s">
        <v>42</v>
      </c>
      <c r="Y13050" t="s">
        <v>23964</v>
      </c>
      <c r="Z13050" t="s">
        <v>12289</v>
      </c>
      <c r="AA13050" s="22" t="str">
        <f>HYPERLINK("https://www.ncbi.nlm.nih.gov/nuccore/KM464726,KM464725,KM464724","NCBI Nucleotide")</f>
        <v>NCBI Nucleotide</v>
      </c>
    </row>
    <row r="13051" spans="1:27" x14ac:dyDescent="0.35">
      <c r="A13051">
        <v>1011215</v>
      </c>
      <c r="B13051">
        <v>12194</v>
      </c>
      <c r="C13051">
        <v>1</v>
      </c>
      <c r="D13051" t="s">
        <v>17166</v>
      </c>
      <c r="F13051" t="s">
        <v>17246</v>
      </c>
      <c r="H13051" t="s">
        <v>23950</v>
      </c>
      <c r="I13051" t="s">
        <v>26604</v>
      </c>
      <c r="J13051" t="s">
        <v>47099</v>
      </c>
      <c r="L13051" t="s">
        <v>47182</v>
      </c>
      <c r="N13051" t="s">
        <v>27187</v>
      </c>
      <c r="P13051" t="s">
        <v>27200</v>
      </c>
      <c r="R13051" s="26" t="str">
        <f>HYPERLINK("https://ictv.global/taxonomy/taxondetails?taxnode_id=202309762","Orthonairovirus parahaemorrhagiae")</f>
        <v>Orthonairovirus parahaemorrhagiae</v>
      </c>
      <c r="S13051" t="s">
        <v>30</v>
      </c>
      <c r="T13051" t="s">
        <v>27311</v>
      </c>
      <c r="U13051" t="s">
        <v>27312</v>
      </c>
      <c r="V13051" t="s">
        <v>27313</v>
      </c>
      <c r="W13051" t="s">
        <v>27314</v>
      </c>
      <c r="X13051" t="s">
        <v>42</v>
      </c>
      <c r="Y13051" t="s">
        <v>23964</v>
      </c>
      <c r="Z13051" t="s">
        <v>12289</v>
      </c>
      <c r="AA13051" s="22" t="str">
        <f>HYPERLINK("https://www.ncbi.nlm.nih.gov/nuccore/DQ211612,DQ211625,DQ211638","NCBI Nucleotide")</f>
        <v>NCBI Nucleotide</v>
      </c>
    </row>
    <row r="13052" spans="1:27" x14ac:dyDescent="0.35">
      <c r="A13052">
        <v>1011216</v>
      </c>
      <c r="B13052">
        <v>12195</v>
      </c>
      <c r="C13052">
        <v>1</v>
      </c>
      <c r="D13052" t="s">
        <v>17166</v>
      </c>
      <c r="F13052" t="s">
        <v>17246</v>
      </c>
      <c r="H13052" t="s">
        <v>23950</v>
      </c>
      <c r="I13052" t="s">
        <v>26604</v>
      </c>
      <c r="J13052" t="s">
        <v>47099</v>
      </c>
      <c r="L13052" t="s">
        <v>47182</v>
      </c>
      <c r="N13052" t="s">
        <v>27187</v>
      </c>
      <c r="P13052" t="s">
        <v>27200</v>
      </c>
      <c r="R13052" s="26" t="str">
        <f>HYPERLINK("https://ictv.global/taxonomy/taxondetails?taxnode_id=202309771","Orthonairovirus peruense")</f>
        <v>Orthonairovirus peruense</v>
      </c>
      <c r="S13052" t="s">
        <v>30</v>
      </c>
      <c r="T13052" t="s">
        <v>27315</v>
      </c>
      <c r="U13052" t="s">
        <v>18161</v>
      </c>
      <c r="W13052" t="s">
        <v>27316</v>
      </c>
      <c r="X13052" t="s">
        <v>42</v>
      </c>
      <c r="Y13052" t="s">
        <v>23964</v>
      </c>
      <c r="Z13052" t="s">
        <v>10790</v>
      </c>
      <c r="AA13052" s="22" t="str">
        <f>HYPERLINK("https://www.ncbi.nlm.nih.gov/nuccore/KU925473,KU925474,KU925475","NCBI Nucleotide")</f>
        <v>NCBI Nucleotide</v>
      </c>
    </row>
    <row r="13053" spans="1:27" x14ac:dyDescent="0.35">
      <c r="A13053">
        <v>1011217</v>
      </c>
      <c r="B13053">
        <v>12196</v>
      </c>
      <c r="C13053">
        <v>1</v>
      </c>
      <c r="D13053" t="s">
        <v>17166</v>
      </c>
      <c r="F13053" t="s">
        <v>17246</v>
      </c>
      <c r="H13053" t="s">
        <v>23950</v>
      </c>
      <c r="I13053" t="s">
        <v>26604</v>
      </c>
      <c r="J13053" t="s">
        <v>47099</v>
      </c>
      <c r="L13053" t="s">
        <v>47182</v>
      </c>
      <c r="N13053" t="s">
        <v>27187</v>
      </c>
      <c r="P13053" t="s">
        <v>27200</v>
      </c>
      <c r="R13053" s="26" t="str">
        <f>HYPERLINK("https://ictv.global/taxonomy/taxondetails?taxnode_id=202300078","Orthonairovirus qalyubense")</f>
        <v>Orthonairovirus qalyubense</v>
      </c>
      <c r="S13053" t="s">
        <v>30</v>
      </c>
      <c r="T13053" t="s">
        <v>27317</v>
      </c>
      <c r="U13053" t="s">
        <v>27318</v>
      </c>
      <c r="V13053" t="s">
        <v>27319</v>
      </c>
      <c r="W13053" t="s">
        <v>27320</v>
      </c>
      <c r="X13053" t="s">
        <v>42</v>
      </c>
      <c r="Y13053" t="s">
        <v>23964</v>
      </c>
      <c r="Z13053" t="s">
        <v>12289</v>
      </c>
      <c r="AA13053" s="22" t="str">
        <f>HYPERLINK("https://www.ncbi.nlm.nih.gov/nuccore/KU343160,KU343161,KU343162","NCBI Nucleotide")</f>
        <v>NCBI Nucleotide</v>
      </c>
    </row>
    <row r="13054" spans="1:27" x14ac:dyDescent="0.35">
      <c r="A13054">
        <v>1012948</v>
      </c>
      <c r="B13054">
        <v>12196</v>
      </c>
      <c r="C13054">
        <v>2</v>
      </c>
      <c r="D13054" t="s">
        <v>17166</v>
      </c>
      <c r="F13054" t="s">
        <v>17246</v>
      </c>
      <c r="H13054" t="s">
        <v>23950</v>
      </c>
      <c r="I13054" t="s">
        <v>26604</v>
      </c>
      <c r="J13054" t="s">
        <v>47099</v>
      </c>
      <c r="L13054" t="s">
        <v>47182</v>
      </c>
      <c r="N13054" t="s">
        <v>27187</v>
      </c>
      <c r="P13054" t="s">
        <v>27200</v>
      </c>
      <c r="R13054" s="26" t="str">
        <f>HYPERLINK("https://ictv.global/taxonomy/taxondetails?taxnode_id=202300078","Orthonairovirus qalyubense")</f>
        <v>Orthonairovirus qalyubense</v>
      </c>
      <c r="S13054" t="s">
        <v>8141</v>
      </c>
      <c r="T13054" t="s">
        <v>27321</v>
      </c>
      <c r="U13054" t="s">
        <v>27322</v>
      </c>
      <c r="V13054" t="s">
        <v>27323</v>
      </c>
      <c r="W13054" t="s">
        <v>49550</v>
      </c>
      <c r="X13054" t="s">
        <v>35</v>
      </c>
      <c r="Y13054" t="s">
        <v>23964</v>
      </c>
      <c r="Z13054" t="s">
        <v>12289</v>
      </c>
      <c r="AA13054" s="22" t="str">
        <f>HYPERLINK("https://www.ncbi.nlm.nih.gov/nuccore/KP792714,KP792715,KP792716","NCBI Nucleotide")</f>
        <v>NCBI Nucleotide</v>
      </c>
    </row>
    <row r="13055" spans="1:27" x14ac:dyDescent="0.35">
      <c r="A13055">
        <v>1011218</v>
      </c>
      <c r="B13055">
        <v>12197</v>
      </c>
      <c r="C13055">
        <v>1</v>
      </c>
      <c r="D13055" t="s">
        <v>17166</v>
      </c>
      <c r="F13055" t="s">
        <v>17246</v>
      </c>
      <c r="H13055" t="s">
        <v>23950</v>
      </c>
      <c r="I13055" t="s">
        <v>26604</v>
      </c>
      <c r="J13055" t="s">
        <v>47099</v>
      </c>
      <c r="L13055" t="s">
        <v>47182</v>
      </c>
      <c r="N13055" t="s">
        <v>27187</v>
      </c>
      <c r="P13055" t="s">
        <v>27200</v>
      </c>
      <c r="R13055" s="26" t="str">
        <f>HYPERLINK("https://ictv.global/taxonomy/taxondetails?taxnode_id=202309772","Orthonairovirus randallense")</f>
        <v>Orthonairovirus randallense</v>
      </c>
      <c r="S13055" t="s">
        <v>30</v>
      </c>
      <c r="T13055" t="s">
        <v>27324</v>
      </c>
      <c r="U13055" t="s">
        <v>27325</v>
      </c>
      <c r="W13055" t="s">
        <v>50796</v>
      </c>
      <c r="X13055" t="s">
        <v>42</v>
      </c>
      <c r="Y13055" t="s">
        <v>23964</v>
      </c>
      <c r="Z13055" t="s">
        <v>10790</v>
      </c>
      <c r="AA13055" s="22" t="str">
        <f>HYPERLINK("https://www.ncbi.nlm.nih.gov/nuccore/MK896468,MK896467,MK896466","NCBI Nucleotide")</f>
        <v>NCBI Nucleotide</v>
      </c>
    </row>
    <row r="13056" spans="1:27" x14ac:dyDescent="0.35">
      <c r="A13056">
        <v>1011197</v>
      </c>
      <c r="B13056">
        <v>12197</v>
      </c>
      <c r="C13056">
        <v>2</v>
      </c>
      <c r="D13056" t="s">
        <v>17166</v>
      </c>
      <c r="F13056" t="s">
        <v>17246</v>
      </c>
      <c r="H13056" t="s">
        <v>23950</v>
      </c>
      <c r="I13056" t="s">
        <v>26604</v>
      </c>
      <c r="J13056" t="s">
        <v>47099</v>
      </c>
      <c r="L13056" t="s">
        <v>47182</v>
      </c>
      <c r="N13056" t="s">
        <v>27187</v>
      </c>
      <c r="P13056" t="s">
        <v>27200</v>
      </c>
      <c r="R13056" s="26" t="str">
        <f>HYPERLINK("https://ictv.global/taxonomy/taxondetails?taxnode_id=202309772","Orthonairovirus randallense")</f>
        <v>Orthonairovirus randallense</v>
      </c>
      <c r="S13056" t="s">
        <v>8141</v>
      </c>
      <c r="T13056" t="s">
        <v>27248</v>
      </c>
      <c r="U13056" t="s">
        <v>47220</v>
      </c>
      <c r="W13056" t="s">
        <v>27249</v>
      </c>
      <c r="X13056" t="s">
        <v>35</v>
      </c>
      <c r="Y13056" t="s">
        <v>23964</v>
      </c>
      <c r="Z13056" t="s">
        <v>10790</v>
      </c>
      <c r="AA13056" s="22" t="str">
        <f>HYPERLINK("https://www.ncbi.nlm.nih.gov/nuccore/KU343163,KU343164,KU343165","NCBI Nucleotide")</f>
        <v>NCBI Nucleotide</v>
      </c>
    </row>
    <row r="13057" spans="1:27" x14ac:dyDescent="0.35">
      <c r="A13057">
        <v>1012949</v>
      </c>
      <c r="B13057">
        <v>12197</v>
      </c>
      <c r="C13057">
        <v>3</v>
      </c>
      <c r="D13057" t="s">
        <v>17166</v>
      </c>
      <c r="F13057" t="s">
        <v>17246</v>
      </c>
      <c r="H13057" t="s">
        <v>23950</v>
      </c>
      <c r="I13057" t="s">
        <v>26604</v>
      </c>
      <c r="J13057" t="s">
        <v>47099</v>
      </c>
      <c r="L13057" t="s">
        <v>47182</v>
      </c>
      <c r="N13057" t="s">
        <v>27187</v>
      </c>
      <c r="P13057" t="s">
        <v>27200</v>
      </c>
      <c r="R13057" s="26" t="str">
        <f>HYPERLINK("https://ictv.global/taxonomy/taxondetails?taxnode_id=202309772","Orthonairovirus randallense")</f>
        <v>Orthonairovirus randallense</v>
      </c>
      <c r="S13057" t="s">
        <v>8141</v>
      </c>
      <c r="T13057" t="s">
        <v>27324</v>
      </c>
      <c r="U13057" t="s">
        <v>27325</v>
      </c>
      <c r="V13057" t="s">
        <v>47237</v>
      </c>
      <c r="W13057" t="s">
        <v>49551</v>
      </c>
      <c r="X13057" t="s">
        <v>42</v>
      </c>
      <c r="Y13057" t="s">
        <v>23964</v>
      </c>
      <c r="Z13057" t="s">
        <v>10790</v>
      </c>
      <c r="AA13057" s="22" t="str">
        <f>HYPERLINK("https://www.ncbi.nlm.nih.gov/nuccore/KU925485,KU925486,KU925487","NCBI Nucleotide")</f>
        <v>NCBI Nucleotide</v>
      </c>
    </row>
    <row r="13058" spans="1:27" x14ac:dyDescent="0.35">
      <c r="A13058">
        <v>1011219</v>
      </c>
      <c r="B13058">
        <v>12198</v>
      </c>
      <c r="C13058">
        <v>1</v>
      </c>
      <c r="D13058" t="s">
        <v>17166</v>
      </c>
      <c r="F13058" t="s">
        <v>17246</v>
      </c>
      <c r="H13058" t="s">
        <v>23950</v>
      </c>
      <c r="I13058" t="s">
        <v>26604</v>
      </c>
      <c r="J13058" t="s">
        <v>47099</v>
      </c>
      <c r="L13058" t="s">
        <v>47182</v>
      </c>
      <c r="N13058" t="s">
        <v>27187</v>
      </c>
      <c r="P13058" t="s">
        <v>27200</v>
      </c>
      <c r="R13058" s="26" t="str">
        <f>HYPERLINK("https://ictv.global/taxonomy/taxondetails?taxnode_id=202300079","Orthonairovirus sakhalinense")</f>
        <v>Orthonairovirus sakhalinense</v>
      </c>
      <c r="S13058" t="s">
        <v>30</v>
      </c>
      <c r="T13058" t="s">
        <v>27326</v>
      </c>
      <c r="U13058" t="s">
        <v>27327</v>
      </c>
      <c r="V13058" t="s">
        <v>27328</v>
      </c>
      <c r="W13058" t="s">
        <v>27329</v>
      </c>
      <c r="X13058" t="s">
        <v>35</v>
      </c>
      <c r="Y13058" t="s">
        <v>23964</v>
      </c>
      <c r="Z13058" t="s">
        <v>10790</v>
      </c>
      <c r="AA13058" s="22" t="str">
        <f>HYPERLINK("https://www.ncbi.nlm.nih.gov/nuccore/KU925482,KU925483,KU925484","NCBI Nucleotide")</f>
        <v>NCBI Nucleotide</v>
      </c>
    </row>
    <row r="13059" spans="1:27" x14ac:dyDescent="0.35">
      <c r="A13059">
        <v>1012950</v>
      </c>
      <c r="B13059">
        <v>12198</v>
      </c>
      <c r="C13059">
        <v>2</v>
      </c>
      <c r="D13059" t="s">
        <v>17166</v>
      </c>
      <c r="F13059" t="s">
        <v>17246</v>
      </c>
      <c r="H13059" t="s">
        <v>23950</v>
      </c>
      <c r="I13059" t="s">
        <v>26604</v>
      </c>
      <c r="J13059" t="s">
        <v>47099</v>
      </c>
      <c r="L13059" t="s">
        <v>47182</v>
      </c>
      <c r="N13059" t="s">
        <v>27187</v>
      </c>
      <c r="P13059" t="s">
        <v>27200</v>
      </c>
      <c r="R13059" s="26" t="str">
        <f>HYPERLINK("https://ictv.global/taxonomy/taxondetails?taxnode_id=202300079","Orthonairovirus sakhalinense")</f>
        <v>Orthonairovirus sakhalinense</v>
      </c>
      <c r="S13059" t="s">
        <v>8141</v>
      </c>
      <c r="T13059" t="s">
        <v>27330</v>
      </c>
      <c r="U13059" t="s">
        <v>27331</v>
      </c>
      <c r="V13059" t="s">
        <v>27332</v>
      </c>
      <c r="W13059" t="s">
        <v>49552</v>
      </c>
      <c r="X13059" t="s">
        <v>42</v>
      </c>
      <c r="Y13059" t="s">
        <v>23964</v>
      </c>
      <c r="Z13059" t="s">
        <v>10790</v>
      </c>
      <c r="AA13059" s="22" t="str">
        <f>HYPERLINK("https://www.ncbi.nlm.nih.gov/nuccore/KU925494,KU925495,KU925496","NCBI Nucleotide")</f>
        <v>NCBI Nucleotide</v>
      </c>
    </row>
    <row r="13060" spans="1:27" x14ac:dyDescent="0.35">
      <c r="A13060">
        <v>1027711</v>
      </c>
      <c r="B13060">
        <v>12199</v>
      </c>
      <c r="C13060">
        <v>1</v>
      </c>
      <c r="D13060" t="s">
        <v>17166</v>
      </c>
      <c r="F13060" t="s">
        <v>17246</v>
      </c>
      <c r="H13060" t="s">
        <v>23950</v>
      </c>
      <c r="I13060" t="s">
        <v>26604</v>
      </c>
      <c r="J13060" t="s">
        <v>47099</v>
      </c>
      <c r="L13060" t="s">
        <v>47182</v>
      </c>
      <c r="N13060" t="s">
        <v>27187</v>
      </c>
      <c r="P13060" t="s">
        <v>27200</v>
      </c>
      <c r="R13060" s="26" t="str">
        <f>HYPERLINK("https://ictv.global/taxonomy/taxondetails?taxnode_id=202319021","Orthonairovirus sinense")</f>
        <v>Orthonairovirus sinense</v>
      </c>
      <c r="S13060" t="s">
        <v>30</v>
      </c>
      <c r="T13060" t="s">
        <v>47238</v>
      </c>
      <c r="V13060" t="s">
        <v>20875</v>
      </c>
      <c r="W13060" t="s">
        <v>50868</v>
      </c>
      <c r="X13060" t="s">
        <v>35</v>
      </c>
      <c r="Y13060" t="s">
        <v>23964</v>
      </c>
      <c r="Z13060" t="s">
        <v>166</v>
      </c>
      <c r="AA13060" s="22" t="str">
        <f>HYPERLINK("https://www.ncbi.nlm.nih.gov/nuccore/MW391927,MW391928,MW391929","NCBI Nucleotide")</f>
        <v>NCBI Nucleotide</v>
      </c>
    </row>
    <row r="13061" spans="1:27" x14ac:dyDescent="0.35">
      <c r="A13061">
        <v>1011220</v>
      </c>
      <c r="B13061">
        <v>12200</v>
      </c>
      <c r="C13061">
        <v>1</v>
      </c>
      <c r="D13061" t="s">
        <v>17166</v>
      </c>
      <c r="F13061" t="s">
        <v>17246</v>
      </c>
      <c r="H13061" t="s">
        <v>23950</v>
      </c>
      <c r="I13061" t="s">
        <v>26604</v>
      </c>
      <c r="J13061" t="s">
        <v>47099</v>
      </c>
      <c r="L13061" t="s">
        <v>47182</v>
      </c>
      <c r="N13061" t="s">
        <v>27187</v>
      </c>
      <c r="P13061" t="s">
        <v>27200</v>
      </c>
      <c r="R13061" s="26" t="str">
        <f>HYPERLINK("https://ictv.global/taxonomy/taxondetails?taxnode_id=202309774","Orthonairovirus soldadoense")</f>
        <v>Orthonairovirus soldadoense</v>
      </c>
      <c r="S13061" t="s">
        <v>30</v>
      </c>
      <c r="T13061" t="s">
        <v>27333</v>
      </c>
      <c r="U13061" t="s">
        <v>26781</v>
      </c>
      <c r="V13061" t="s">
        <v>27334</v>
      </c>
      <c r="W13061" t="s">
        <v>27335</v>
      </c>
      <c r="X13061" t="s">
        <v>42</v>
      </c>
      <c r="Y13061" t="s">
        <v>23964</v>
      </c>
      <c r="Z13061" t="s">
        <v>10790</v>
      </c>
      <c r="AA13061" s="22" t="str">
        <f>HYPERLINK("https://www.ncbi.nlm.nih.gov/nuccore/KU925488,KU925489,KU925490","NCBI Nucleotide")</f>
        <v>NCBI Nucleotide</v>
      </c>
    </row>
    <row r="13062" spans="1:27" x14ac:dyDescent="0.35">
      <c r="A13062">
        <v>1011221</v>
      </c>
      <c r="B13062">
        <v>12201</v>
      </c>
      <c r="C13062">
        <v>1</v>
      </c>
      <c r="D13062" t="s">
        <v>17166</v>
      </c>
      <c r="F13062" t="s">
        <v>17246</v>
      </c>
      <c r="H13062" t="s">
        <v>23950</v>
      </c>
      <c r="I13062" t="s">
        <v>26604</v>
      </c>
      <c r="J13062" t="s">
        <v>47099</v>
      </c>
      <c r="L13062" t="s">
        <v>47182</v>
      </c>
      <c r="N13062" t="s">
        <v>27187</v>
      </c>
      <c r="P13062" t="s">
        <v>27200</v>
      </c>
      <c r="R13062" s="26" t="str">
        <f>HYPERLINK("https://ictv.global/taxonomy/taxondetails?taxnode_id=202314217","Orthonairovirus songlingense")</f>
        <v>Orthonairovirus songlingense</v>
      </c>
      <c r="S13062" t="s">
        <v>30</v>
      </c>
      <c r="T13062" t="s">
        <v>27336</v>
      </c>
      <c r="U13062" t="s">
        <v>27337</v>
      </c>
      <c r="V13062" t="s">
        <v>27338</v>
      </c>
      <c r="W13062" t="s">
        <v>50797</v>
      </c>
      <c r="X13062" t="s">
        <v>42</v>
      </c>
      <c r="Y13062" t="s">
        <v>23964</v>
      </c>
      <c r="Z13062" t="s">
        <v>166</v>
      </c>
      <c r="AA13062" s="22" t="str">
        <f>HYPERLINK("https://www.ncbi.nlm.nih.gov/nuccore/MT328776,MT328775,MT328777","NCBI Nucleotide")</f>
        <v>NCBI Nucleotide</v>
      </c>
    </row>
    <row r="13063" spans="1:27" x14ac:dyDescent="0.35">
      <c r="A13063">
        <v>1011222</v>
      </c>
      <c r="B13063">
        <v>12202</v>
      </c>
      <c r="C13063">
        <v>1</v>
      </c>
      <c r="D13063" t="s">
        <v>17166</v>
      </c>
      <c r="F13063" t="s">
        <v>17246</v>
      </c>
      <c r="H13063" t="s">
        <v>23950</v>
      </c>
      <c r="I13063" t="s">
        <v>26604</v>
      </c>
      <c r="J13063" t="s">
        <v>47099</v>
      </c>
      <c r="L13063" t="s">
        <v>47182</v>
      </c>
      <c r="N13063" t="s">
        <v>27187</v>
      </c>
      <c r="P13063" t="s">
        <v>27200</v>
      </c>
      <c r="R13063" s="26" t="str">
        <f>HYPERLINK("https://ictv.global/taxonomy/taxondetails?taxnode_id=202314216","Orthonairovirus sulinaense")</f>
        <v>Orthonairovirus sulinaense</v>
      </c>
      <c r="S13063" t="s">
        <v>30</v>
      </c>
      <c r="T13063" t="s">
        <v>27339</v>
      </c>
      <c r="U13063" t="s">
        <v>27340</v>
      </c>
      <c r="V13063" t="s">
        <v>27341</v>
      </c>
      <c r="W13063" t="s">
        <v>27342</v>
      </c>
      <c r="X13063" t="s">
        <v>42</v>
      </c>
      <c r="Y13063" t="s">
        <v>23964</v>
      </c>
      <c r="Z13063" t="s">
        <v>10790</v>
      </c>
      <c r="AA13063" s="22" t="str">
        <f>HYPERLINK("https://www.ncbi.nlm.nih.gov/nuccore/MT263282,MT263283,MT263284","NCBI Nucleotide")</f>
        <v>NCBI Nucleotide</v>
      </c>
    </row>
    <row r="13064" spans="1:27" x14ac:dyDescent="0.35">
      <c r="A13064">
        <v>1027712</v>
      </c>
      <c r="B13064">
        <v>12203</v>
      </c>
      <c r="C13064">
        <v>1</v>
      </c>
      <c r="D13064" t="s">
        <v>17166</v>
      </c>
      <c r="F13064" t="s">
        <v>17246</v>
      </c>
      <c r="H13064" t="s">
        <v>23950</v>
      </c>
      <c r="I13064" t="s">
        <v>26604</v>
      </c>
      <c r="J13064" t="s">
        <v>47099</v>
      </c>
      <c r="L13064" t="s">
        <v>47182</v>
      </c>
      <c r="N13064" t="s">
        <v>27187</v>
      </c>
      <c r="P13064" t="s">
        <v>27200</v>
      </c>
      <c r="R13064" s="26" t="str">
        <f>HYPERLINK("https://ictv.global/taxonomy/taxondetails?taxnode_id=202319018","Orthonairovirus sunci")</f>
        <v>Orthonairovirus sunci</v>
      </c>
      <c r="S13064" t="s">
        <v>30</v>
      </c>
      <c r="T13064" t="s">
        <v>47239</v>
      </c>
      <c r="U13064" t="s">
        <v>47240</v>
      </c>
      <c r="V13064" t="s">
        <v>47241</v>
      </c>
      <c r="W13064" t="s">
        <v>50869</v>
      </c>
      <c r="X13064" t="s">
        <v>35</v>
      </c>
      <c r="Y13064" t="s">
        <v>23964</v>
      </c>
      <c r="Z13064" t="s">
        <v>12289</v>
      </c>
      <c r="AA13064" s="22" t="str">
        <f>HYPERLINK("https://www.ncbi.nlm.nih.gov/nuccore/OM645180,OM645181,OM645182","NCBI Nucleotide")</f>
        <v>NCBI Nucleotide</v>
      </c>
    </row>
    <row r="13065" spans="1:27" x14ac:dyDescent="0.35">
      <c r="A13065">
        <v>1011223</v>
      </c>
      <c r="B13065">
        <v>12204</v>
      </c>
      <c r="C13065">
        <v>1</v>
      </c>
      <c r="D13065" t="s">
        <v>17166</v>
      </c>
      <c r="F13065" t="s">
        <v>17246</v>
      </c>
      <c r="H13065" t="s">
        <v>23950</v>
      </c>
      <c r="I13065" t="s">
        <v>26604</v>
      </c>
      <c r="J13065" t="s">
        <v>47099</v>
      </c>
      <c r="L13065" t="s">
        <v>47182</v>
      </c>
      <c r="N13065" t="s">
        <v>27187</v>
      </c>
      <c r="P13065" t="s">
        <v>27200</v>
      </c>
      <c r="R13065" s="26" t="str">
        <f>HYPERLINK("https://ictv.global/taxonomy/taxondetails?taxnode_id=202309775","Orthonairovirus tachengense")</f>
        <v>Orthonairovirus tachengense</v>
      </c>
      <c r="S13065" t="s">
        <v>30</v>
      </c>
      <c r="T13065" t="s">
        <v>27343</v>
      </c>
      <c r="U13065" t="s">
        <v>27344</v>
      </c>
      <c r="V13065" t="s">
        <v>27345</v>
      </c>
      <c r="W13065" t="s">
        <v>27346</v>
      </c>
      <c r="X13065" t="s">
        <v>35</v>
      </c>
      <c r="Y13065" t="s">
        <v>23964</v>
      </c>
      <c r="Z13065" t="s">
        <v>10790</v>
      </c>
      <c r="AA13065" s="22" t="str">
        <f>HYPERLINK("https://www.ncbi.nlm.nih.gov/nuccore/KM817683,KM817717,KM817743","NCBI Nucleotide")</f>
        <v>NCBI Nucleotide</v>
      </c>
    </row>
    <row r="13066" spans="1:27" x14ac:dyDescent="0.35">
      <c r="A13066">
        <v>1011224</v>
      </c>
      <c r="B13066">
        <v>12205</v>
      </c>
      <c r="C13066">
        <v>1</v>
      </c>
      <c r="D13066" t="s">
        <v>17166</v>
      </c>
      <c r="F13066" t="s">
        <v>17246</v>
      </c>
      <c r="H13066" t="s">
        <v>23950</v>
      </c>
      <c r="I13066" t="s">
        <v>26604</v>
      </c>
      <c r="J13066" t="s">
        <v>47099</v>
      </c>
      <c r="L13066" t="s">
        <v>47182</v>
      </c>
      <c r="N13066" t="s">
        <v>27187</v>
      </c>
      <c r="P13066" t="s">
        <v>27200</v>
      </c>
      <c r="R13066" s="26" t="str">
        <f>HYPERLINK("https://ictv.global/taxonomy/taxondetails?taxnode_id=202300080","Orthonairovirus thiaforaense")</f>
        <v>Orthonairovirus thiaforaense</v>
      </c>
      <c r="S13066" t="s">
        <v>30</v>
      </c>
      <c r="T13066" t="s">
        <v>27347</v>
      </c>
      <c r="U13066" t="s">
        <v>27348</v>
      </c>
      <c r="V13066" t="s">
        <v>27349</v>
      </c>
      <c r="W13066" t="s">
        <v>27350</v>
      </c>
      <c r="X13066" t="s">
        <v>42</v>
      </c>
      <c r="Y13066" t="s">
        <v>23964</v>
      </c>
      <c r="Z13066" t="s">
        <v>166</v>
      </c>
      <c r="AA13066" s="22" t="str">
        <f>HYPERLINK("https://www.ncbi.nlm.nih.gov/nuccore/KR537450,KR537451,KR537452","NCBI Nucleotide")</f>
        <v>NCBI Nucleotide</v>
      </c>
    </row>
    <row r="13067" spans="1:27" x14ac:dyDescent="0.35">
      <c r="A13067">
        <v>1011225</v>
      </c>
      <c r="B13067">
        <v>12206</v>
      </c>
      <c r="C13067">
        <v>1</v>
      </c>
      <c r="D13067" t="s">
        <v>17166</v>
      </c>
      <c r="F13067" t="s">
        <v>17246</v>
      </c>
      <c r="H13067" t="s">
        <v>23950</v>
      </c>
      <c r="I13067" t="s">
        <v>26604</v>
      </c>
      <c r="J13067" t="s">
        <v>47099</v>
      </c>
      <c r="L13067" t="s">
        <v>47182</v>
      </c>
      <c r="N13067" t="s">
        <v>27187</v>
      </c>
      <c r="P13067" t="s">
        <v>27200</v>
      </c>
      <c r="R13067" s="26" t="str">
        <f>HYPERLINK("https://ictv.global/taxonomy/taxondetails?taxnode_id=202300069","Orthonairovirus tomdiense")</f>
        <v>Orthonairovirus tomdiense</v>
      </c>
      <c r="S13067" t="s">
        <v>30</v>
      </c>
      <c r="T13067" t="s">
        <v>27351</v>
      </c>
      <c r="U13067" t="s">
        <v>18239</v>
      </c>
      <c r="V13067" t="s">
        <v>27352</v>
      </c>
      <c r="W13067" t="s">
        <v>27353</v>
      </c>
      <c r="X13067" t="s">
        <v>35</v>
      </c>
      <c r="Y13067" t="s">
        <v>23964</v>
      </c>
      <c r="Z13067" t="s">
        <v>10790</v>
      </c>
      <c r="AA13067" s="22" t="str">
        <f>HYPERLINK("https://www.ncbi.nlm.nih.gov/nuccore/MN792651,MN792652,MN792653","NCBI Nucleotide")</f>
        <v>NCBI Nucleotide</v>
      </c>
    </row>
    <row r="13068" spans="1:27" x14ac:dyDescent="0.35">
      <c r="A13068">
        <v>1012951</v>
      </c>
      <c r="B13068">
        <v>12206</v>
      </c>
      <c r="C13068">
        <v>2</v>
      </c>
      <c r="D13068" t="s">
        <v>17166</v>
      </c>
      <c r="F13068" t="s">
        <v>17246</v>
      </c>
      <c r="H13068" t="s">
        <v>23950</v>
      </c>
      <c r="I13068" t="s">
        <v>26604</v>
      </c>
      <c r="J13068" t="s">
        <v>47099</v>
      </c>
      <c r="L13068" t="s">
        <v>47182</v>
      </c>
      <c r="N13068" t="s">
        <v>27187</v>
      </c>
      <c r="P13068" t="s">
        <v>27200</v>
      </c>
      <c r="R13068" s="26" t="str">
        <f>HYPERLINK("https://ictv.global/taxonomy/taxondetails?taxnode_id=202300069","Orthonairovirus tomdiense")</f>
        <v>Orthonairovirus tomdiense</v>
      </c>
      <c r="S13068" t="s">
        <v>8141</v>
      </c>
      <c r="T13068" t="s">
        <v>27351</v>
      </c>
      <c r="U13068" t="s">
        <v>18239</v>
      </c>
      <c r="V13068" t="s">
        <v>47242</v>
      </c>
      <c r="W13068" t="s">
        <v>49553</v>
      </c>
      <c r="X13068" t="s">
        <v>35</v>
      </c>
      <c r="Y13068" t="s">
        <v>23964</v>
      </c>
      <c r="Z13068" t="s">
        <v>10790</v>
      </c>
      <c r="AA13068" s="22" t="str">
        <f>HYPERLINK("https://www.ncbi.nlm.nih.gov/nuccore/MK757580,MK757581,MK757582","NCBI Nucleotide")</f>
        <v>NCBI Nucleotide</v>
      </c>
    </row>
    <row r="13069" spans="1:27" x14ac:dyDescent="0.35">
      <c r="A13069">
        <v>1011226</v>
      </c>
      <c r="B13069">
        <v>12207</v>
      </c>
      <c r="C13069">
        <v>1</v>
      </c>
      <c r="D13069" t="s">
        <v>17166</v>
      </c>
      <c r="F13069" t="s">
        <v>17246</v>
      </c>
      <c r="H13069" t="s">
        <v>23950</v>
      </c>
      <c r="I13069" t="s">
        <v>26604</v>
      </c>
      <c r="J13069" t="s">
        <v>47099</v>
      </c>
      <c r="L13069" t="s">
        <v>47182</v>
      </c>
      <c r="N13069" t="s">
        <v>27187</v>
      </c>
      <c r="P13069" t="s">
        <v>27200</v>
      </c>
      <c r="R13069" s="26" t="str">
        <f>HYPERLINK("https://ictv.global/taxonomy/taxondetails?taxnode_id=202309778","Orthonairovirus tunisense")</f>
        <v>Orthonairovirus tunisense</v>
      </c>
      <c r="S13069" t="s">
        <v>30</v>
      </c>
      <c r="T13069" t="s">
        <v>27354</v>
      </c>
      <c r="U13069" t="s">
        <v>27355</v>
      </c>
      <c r="W13069" t="s">
        <v>27356</v>
      </c>
      <c r="X13069" t="s">
        <v>35</v>
      </c>
      <c r="Y13069" t="s">
        <v>23964</v>
      </c>
      <c r="Z13069" t="s">
        <v>10790</v>
      </c>
      <c r="AA13069" s="22" t="str">
        <f>HYPERLINK("https://www.ncbi.nlm.nih.gov/nuccore/KU925497,KU925498,KU925499","NCBI Nucleotide")</f>
        <v>NCBI Nucleotide</v>
      </c>
    </row>
    <row r="13070" spans="1:27" x14ac:dyDescent="0.35">
      <c r="A13070">
        <v>1011227</v>
      </c>
      <c r="B13070">
        <v>12208</v>
      </c>
      <c r="C13070">
        <v>1</v>
      </c>
      <c r="D13070" t="s">
        <v>17166</v>
      </c>
      <c r="F13070" t="s">
        <v>17246</v>
      </c>
      <c r="H13070" t="s">
        <v>23950</v>
      </c>
      <c r="I13070" t="s">
        <v>26604</v>
      </c>
      <c r="J13070" t="s">
        <v>47099</v>
      </c>
      <c r="L13070" t="s">
        <v>47182</v>
      </c>
      <c r="N13070" t="s">
        <v>27187</v>
      </c>
      <c r="P13070" t="s">
        <v>27200</v>
      </c>
      <c r="R13070" s="26" t="str">
        <f>HYPERLINK("https://ictv.global/taxonomy/taxondetails?taxnode_id=202309780","Orthonairovirus wenzhouense")</f>
        <v>Orthonairovirus wenzhouense</v>
      </c>
      <c r="S13070" t="s">
        <v>30</v>
      </c>
      <c r="T13070" t="s">
        <v>27357</v>
      </c>
      <c r="U13070" t="s">
        <v>27358</v>
      </c>
      <c r="V13070" t="s">
        <v>27359</v>
      </c>
      <c r="W13070" t="s">
        <v>27360</v>
      </c>
      <c r="X13070" t="s">
        <v>35</v>
      </c>
      <c r="Y13070" t="s">
        <v>23964</v>
      </c>
      <c r="Z13070" t="s">
        <v>10790</v>
      </c>
      <c r="AA13070" s="22" t="str">
        <f>HYPERLINK("https://www.ncbi.nlm.nih.gov/nuccore/KM817685,KM817718,KM817745","NCBI Nucleotide")</f>
        <v>NCBI Nucleotide</v>
      </c>
    </row>
    <row r="13071" spans="1:27" x14ac:dyDescent="0.35">
      <c r="A13071">
        <v>1011228</v>
      </c>
      <c r="B13071">
        <v>12209</v>
      </c>
      <c r="C13071">
        <v>1</v>
      </c>
      <c r="D13071" t="s">
        <v>17166</v>
      </c>
      <c r="F13071" t="s">
        <v>17246</v>
      </c>
      <c r="H13071" t="s">
        <v>23950</v>
      </c>
      <c r="I13071" t="s">
        <v>26604</v>
      </c>
      <c r="J13071" t="s">
        <v>47099</v>
      </c>
      <c r="L13071" t="s">
        <v>47182</v>
      </c>
      <c r="N13071" t="s">
        <v>27187</v>
      </c>
      <c r="P13071" t="s">
        <v>27200</v>
      </c>
      <c r="R13071" s="26" t="str">
        <f>HYPERLINK("https://ictv.global/taxonomy/taxondetails?taxnode_id=202314215","Orthonairovirus yezoense")</f>
        <v>Orthonairovirus yezoense</v>
      </c>
      <c r="S13071" t="s">
        <v>30</v>
      </c>
      <c r="T13071" t="s">
        <v>27361</v>
      </c>
      <c r="U13071" t="s">
        <v>27362</v>
      </c>
      <c r="V13071" t="s">
        <v>27363</v>
      </c>
      <c r="W13071" t="s">
        <v>27364</v>
      </c>
      <c r="X13071" t="s">
        <v>42</v>
      </c>
      <c r="Y13071" t="s">
        <v>23964</v>
      </c>
      <c r="Z13071" t="s">
        <v>166</v>
      </c>
      <c r="AA13071" s="22" t="str">
        <f>HYPERLINK("https://www.ncbi.nlm.nih.gov/nuccore/LC621355,LC621356,LC621357","NCBI Nucleotide")</f>
        <v>NCBI Nucleotide</v>
      </c>
    </row>
    <row r="13072" spans="1:27" x14ac:dyDescent="0.35">
      <c r="A13072">
        <v>1011229</v>
      </c>
      <c r="B13072">
        <v>12210</v>
      </c>
      <c r="C13072">
        <v>1</v>
      </c>
      <c r="D13072" t="s">
        <v>17166</v>
      </c>
      <c r="F13072" t="s">
        <v>17246</v>
      </c>
      <c r="H13072" t="s">
        <v>23950</v>
      </c>
      <c r="I13072" t="s">
        <v>26604</v>
      </c>
      <c r="J13072" t="s">
        <v>47099</v>
      </c>
      <c r="L13072" t="s">
        <v>47182</v>
      </c>
      <c r="N13072" t="s">
        <v>27187</v>
      </c>
      <c r="P13072" t="s">
        <v>27200</v>
      </c>
      <c r="R13072" s="26" t="str">
        <f>HYPERLINK("https://ictv.global/taxonomy/taxondetails?taxnode_id=202309781","Orthonairovirus yogueense")</f>
        <v>Orthonairovirus yogueense</v>
      </c>
      <c r="S13072" t="s">
        <v>30</v>
      </c>
      <c r="T13072" t="s">
        <v>27365</v>
      </c>
      <c r="U13072" t="s">
        <v>27366</v>
      </c>
      <c r="V13072" t="s">
        <v>27367</v>
      </c>
      <c r="W13072" t="s">
        <v>27368</v>
      </c>
      <c r="X13072" t="s">
        <v>35</v>
      </c>
      <c r="Y13072" t="s">
        <v>23964</v>
      </c>
      <c r="Z13072" t="s">
        <v>166</v>
      </c>
      <c r="AA13072" s="22" t="str">
        <f>HYPERLINK("https://www.ncbi.nlm.nih.gov/nuccore/KR537453,KR537454,KR537455","NCBI Nucleotide")</f>
        <v>NCBI Nucleotide</v>
      </c>
    </row>
    <row r="13073" spans="1:27" x14ac:dyDescent="0.35">
      <c r="A13073">
        <v>1011230</v>
      </c>
      <c r="B13073">
        <v>12211</v>
      </c>
      <c r="C13073">
        <v>1</v>
      </c>
      <c r="D13073" t="s">
        <v>17166</v>
      </c>
      <c r="F13073" t="s">
        <v>17246</v>
      </c>
      <c r="H13073" t="s">
        <v>23950</v>
      </c>
      <c r="I13073" t="s">
        <v>26604</v>
      </c>
      <c r="J13073" t="s">
        <v>47099</v>
      </c>
      <c r="L13073" t="s">
        <v>47182</v>
      </c>
      <c r="N13073" t="s">
        <v>27187</v>
      </c>
      <c r="P13073" t="s">
        <v>27200</v>
      </c>
      <c r="R13073" s="26" t="str">
        <f>HYPERLINK("https://ictv.global/taxonomy/taxondetails?taxnode_id=202309782","Orthonairovirus zirkuense")</f>
        <v>Orthonairovirus zirkuense</v>
      </c>
      <c r="S13073" t="s">
        <v>30</v>
      </c>
      <c r="T13073" t="s">
        <v>27369</v>
      </c>
      <c r="U13073" t="s">
        <v>27370</v>
      </c>
      <c r="V13073" t="s">
        <v>27371</v>
      </c>
      <c r="W13073" t="s">
        <v>27372</v>
      </c>
      <c r="X13073" t="s">
        <v>42</v>
      </c>
      <c r="Y13073" t="s">
        <v>23964</v>
      </c>
      <c r="Z13073" t="s">
        <v>10790</v>
      </c>
      <c r="AA13073" s="22" t="str">
        <f>HYPERLINK("https://www.ncbi.nlm.nih.gov/nuccore/KU343169,KU343170,KU343171","NCBI Nucleotide")</f>
        <v>NCBI Nucleotide</v>
      </c>
    </row>
    <row r="13074" spans="1:27" x14ac:dyDescent="0.35">
      <c r="A13074">
        <v>1012952</v>
      </c>
      <c r="B13074">
        <v>12211</v>
      </c>
      <c r="C13074">
        <v>2</v>
      </c>
      <c r="D13074" t="s">
        <v>17166</v>
      </c>
      <c r="F13074" t="s">
        <v>17246</v>
      </c>
      <c r="H13074" t="s">
        <v>23950</v>
      </c>
      <c r="I13074" t="s">
        <v>26604</v>
      </c>
      <c r="J13074" t="s">
        <v>47099</v>
      </c>
      <c r="L13074" t="s">
        <v>47182</v>
      </c>
      <c r="N13074" t="s">
        <v>27187</v>
      </c>
      <c r="P13074" t="s">
        <v>27200</v>
      </c>
      <c r="R13074" s="26" t="str">
        <f>HYPERLINK("https://ictv.global/taxonomy/taxondetails?taxnode_id=202309782","Orthonairovirus zirkuense")</f>
        <v>Orthonairovirus zirkuense</v>
      </c>
      <c r="S13074" t="s">
        <v>8141</v>
      </c>
      <c r="T13074" t="s">
        <v>27369</v>
      </c>
      <c r="U13074" t="s">
        <v>27370</v>
      </c>
      <c r="V13074" t="s">
        <v>47243</v>
      </c>
      <c r="W13074" t="s">
        <v>49554</v>
      </c>
      <c r="X13074" t="s">
        <v>154</v>
      </c>
      <c r="Y13074" t="s">
        <v>23964</v>
      </c>
      <c r="Z13074" t="s">
        <v>10790</v>
      </c>
      <c r="AA13074" s="22" t="str">
        <f>HYPERLINK("https://www.ncbi.nlm.nih.gov/nuccore/KU925500","NCBI Nucleotide")</f>
        <v>NCBI Nucleotide</v>
      </c>
    </row>
    <row r="13075" spans="1:27" x14ac:dyDescent="0.35">
      <c r="A13075">
        <v>1011231</v>
      </c>
      <c r="B13075">
        <v>12212</v>
      </c>
      <c r="C13075">
        <v>1</v>
      </c>
      <c r="D13075" t="s">
        <v>17166</v>
      </c>
      <c r="F13075" t="s">
        <v>17246</v>
      </c>
      <c r="H13075" t="s">
        <v>23950</v>
      </c>
      <c r="I13075" t="s">
        <v>26604</v>
      </c>
      <c r="J13075" t="s">
        <v>47099</v>
      </c>
      <c r="L13075" t="s">
        <v>47182</v>
      </c>
      <c r="N13075" t="s">
        <v>27187</v>
      </c>
      <c r="P13075" t="s">
        <v>27373</v>
      </c>
      <c r="R13075" s="26" t="str">
        <f>HYPERLINK("https://ictv.global/taxonomy/taxondetails?taxnode_id=202309786","Sabavirus americanum")</f>
        <v>Sabavirus americanum</v>
      </c>
      <c r="S13075" t="s">
        <v>30</v>
      </c>
      <c r="T13075" t="s">
        <v>27374</v>
      </c>
      <c r="U13075" t="s">
        <v>27375</v>
      </c>
      <c r="V13075" t="s">
        <v>27376</v>
      </c>
      <c r="W13075" t="s">
        <v>27377</v>
      </c>
      <c r="X13075" t="s">
        <v>154</v>
      </c>
      <c r="Y13075" t="s">
        <v>23964</v>
      </c>
      <c r="Z13075" t="s">
        <v>10790</v>
      </c>
      <c r="AA13075" s="22" t="str">
        <f>HYPERLINK("https://www.ncbi.nlm.nih.gov/nuccore/KJ746877,KJ746878","NCBI Nucleotide")</f>
        <v>NCBI Nucleotide</v>
      </c>
    </row>
    <row r="13076" spans="1:27" x14ac:dyDescent="0.35">
      <c r="A13076">
        <v>1011232</v>
      </c>
      <c r="B13076">
        <v>12213</v>
      </c>
      <c r="C13076">
        <v>1</v>
      </c>
      <c r="D13076" t="s">
        <v>17166</v>
      </c>
      <c r="F13076" t="s">
        <v>17246</v>
      </c>
      <c r="H13076" t="s">
        <v>23950</v>
      </c>
      <c r="I13076" t="s">
        <v>26604</v>
      </c>
      <c r="J13076" t="s">
        <v>47099</v>
      </c>
      <c r="L13076" t="s">
        <v>47182</v>
      </c>
      <c r="N13076" t="s">
        <v>27187</v>
      </c>
      <c r="P13076" t="s">
        <v>27378</v>
      </c>
      <c r="R13076" s="26" t="str">
        <f>HYPERLINK("https://ictv.global/taxonomy/taxondetails?taxnode_id=202306217","Shaspivirus aranei")</f>
        <v>Shaspivirus aranei</v>
      </c>
      <c r="S13076" t="s">
        <v>30</v>
      </c>
      <c r="T13076" t="s">
        <v>27379</v>
      </c>
      <c r="U13076" t="s">
        <v>27380</v>
      </c>
      <c r="V13076" t="s">
        <v>27381</v>
      </c>
      <c r="W13076" t="s">
        <v>27382</v>
      </c>
      <c r="X13076" t="s">
        <v>35</v>
      </c>
      <c r="Y13076" t="s">
        <v>23964</v>
      </c>
      <c r="Z13076" t="s">
        <v>10790</v>
      </c>
      <c r="AA13076" s="22" t="str">
        <f>HYPERLINK("https://www.ncbi.nlm.nih.gov/nuccore/KM817676,KM817712,KM817738","NCBI Nucleotide")</f>
        <v>NCBI Nucleotide</v>
      </c>
    </row>
    <row r="13077" spans="1:27" x14ac:dyDescent="0.35">
      <c r="A13077">
        <v>1027741</v>
      </c>
      <c r="B13077">
        <v>12214</v>
      </c>
      <c r="C13077">
        <v>1</v>
      </c>
      <c r="D13077" t="s">
        <v>17166</v>
      </c>
      <c r="F13077" t="s">
        <v>17246</v>
      </c>
      <c r="H13077" t="s">
        <v>23950</v>
      </c>
      <c r="I13077" t="s">
        <v>26604</v>
      </c>
      <c r="J13077" t="s">
        <v>47099</v>
      </c>
      <c r="L13077" t="s">
        <v>47182</v>
      </c>
      <c r="N13077" t="s">
        <v>27187</v>
      </c>
      <c r="P13077" t="s">
        <v>47244</v>
      </c>
      <c r="R13077" s="26" t="str">
        <f>HYPERLINK("https://ictv.global/taxonomy/taxondetails?taxnode_id=202319016","Sitinavirus sichuanense")</f>
        <v>Sitinavirus sichuanense</v>
      </c>
      <c r="S13077" t="s">
        <v>30</v>
      </c>
      <c r="T13077" t="s">
        <v>47245</v>
      </c>
      <c r="U13077" t="s">
        <v>47246</v>
      </c>
      <c r="V13077" t="s">
        <v>47247</v>
      </c>
      <c r="W13077" t="s">
        <v>50870</v>
      </c>
      <c r="X13077" t="s">
        <v>35</v>
      </c>
      <c r="Y13077" t="s">
        <v>23964</v>
      </c>
      <c r="Z13077" t="s">
        <v>10790</v>
      </c>
      <c r="AA13077" s="22" t="str">
        <f>HYPERLINK("https://www.ncbi.nlm.nih.gov/nuccore/ON456901,ON456902","NCBI Nucleotide")</f>
        <v>NCBI Nucleotide</v>
      </c>
    </row>
    <row r="13078" spans="1:27" x14ac:dyDescent="0.35">
      <c r="A13078">
        <v>1011233</v>
      </c>
      <c r="B13078">
        <v>12215</v>
      </c>
      <c r="C13078">
        <v>1</v>
      </c>
      <c r="D13078" t="s">
        <v>17166</v>
      </c>
      <c r="F13078" t="s">
        <v>17246</v>
      </c>
      <c r="H13078" t="s">
        <v>23950</v>
      </c>
      <c r="I13078" t="s">
        <v>26604</v>
      </c>
      <c r="J13078" t="s">
        <v>47099</v>
      </c>
      <c r="L13078" t="s">
        <v>47182</v>
      </c>
      <c r="N13078" t="s">
        <v>27187</v>
      </c>
      <c r="P13078" t="s">
        <v>27383</v>
      </c>
      <c r="R13078" s="26" t="str">
        <f>HYPERLINK("https://ictv.global/taxonomy/taxondetails?taxnode_id=202306219","Striwavirus sanxiaense")</f>
        <v>Striwavirus sanxiaense</v>
      </c>
      <c r="S13078" t="s">
        <v>30</v>
      </c>
      <c r="T13078" t="s">
        <v>27384</v>
      </c>
      <c r="U13078" t="s">
        <v>27385</v>
      </c>
      <c r="V13078" t="s">
        <v>27386</v>
      </c>
      <c r="W13078" t="s">
        <v>27387</v>
      </c>
      <c r="X13078" t="s">
        <v>35</v>
      </c>
      <c r="Y13078" t="s">
        <v>23964</v>
      </c>
      <c r="Z13078" t="s">
        <v>10790</v>
      </c>
      <c r="AA13078" s="22" t="str">
        <f>HYPERLINK("https://www.ncbi.nlm.nih.gov/nuccore/KM817674,KM817711,KM817737","NCBI Nucleotide")</f>
        <v>NCBI Nucleotide</v>
      </c>
    </row>
    <row r="13079" spans="1:27" x14ac:dyDescent="0.35">
      <c r="A13079">
        <v>1011234</v>
      </c>
      <c r="B13079">
        <v>12216</v>
      </c>
      <c r="C13079">
        <v>1</v>
      </c>
      <c r="D13079" t="s">
        <v>17166</v>
      </c>
      <c r="F13079" t="s">
        <v>17246</v>
      </c>
      <c r="H13079" t="s">
        <v>23950</v>
      </c>
      <c r="I13079" t="s">
        <v>26604</v>
      </c>
      <c r="J13079" t="s">
        <v>47099</v>
      </c>
      <c r="L13079" t="s">
        <v>47182</v>
      </c>
      <c r="N13079" t="s">
        <v>27187</v>
      </c>
      <c r="P13079" t="s">
        <v>27388</v>
      </c>
      <c r="R13079" s="26" t="str">
        <f>HYPERLINK("https://ictv.global/taxonomy/taxondetails?taxnode_id=202309784","Xinspivirus xinzhouense")</f>
        <v>Xinspivirus xinzhouense</v>
      </c>
      <c r="S13079" t="s">
        <v>30</v>
      </c>
      <c r="T13079" t="s">
        <v>27389</v>
      </c>
      <c r="U13079" t="s">
        <v>17231</v>
      </c>
      <c r="V13079" t="s">
        <v>27390</v>
      </c>
      <c r="W13079" t="s">
        <v>27391</v>
      </c>
      <c r="X13079" t="s">
        <v>35</v>
      </c>
      <c r="Y13079" t="s">
        <v>23964</v>
      </c>
      <c r="Z13079" t="s">
        <v>10790</v>
      </c>
      <c r="AA13079" s="22" t="str">
        <f>HYPERLINK("https://www.ncbi.nlm.nih.gov/nuccore/KM817702,KM817729,KM817762","NCBI Nucleotide")</f>
        <v>NCBI Nucleotide</v>
      </c>
    </row>
    <row r="13080" spans="1:27" x14ac:dyDescent="0.35">
      <c r="A13080">
        <v>1000499</v>
      </c>
      <c r="B13080">
        <v>12217</v>
      </c>
      <c r="C13080">
        <v>1</v>
      </c>
      <c r="D13080" t="s">
        <v>17166</v>
      </c>
      <c r="F13080" t="s">
        <v>17246</v>
      </c>
      <c r="H13080" t="s">
        <v>23950</v>
      </c>
      <c r="I13080" t="s">
        <v>26604</v>
      </c>
      <c r="J13080" t="s">
        <v>47099</v>
      </c>
      <c r="L13080" t="s">
        <v>47182</v>
      </c>
      <c r="N13080" t="s">
        <v>28137</v>
      </c>
      <c r="P13080" t="s">
        <v>28138</v>
      </c>
      <c r="R13080" s="26" t="str">
        <f>HYPERLINK("https://ictv.global/taxonomy/taxondetails?taxnode_id=202307636","Bandavirus albatrossense")</f>
        <v>Bandavirus albatrossense</v>
      </c>
      <c r="S13080" t="s">
        <v>30</v>
      </c>
      <c r="T13080" t="s">
        <v>28139</v>
      </c>
      <c r="U13080" t="s">
        <v>28140</v>
      </c>
      <c r="W13080" t="s">
        <v>28141</v>
      </c>
      <c r="X13080" t="s">
        <v>42</v>
      </c>
      <c r="Y13080" t="s">
        <v>50974</v>
      </c>
      <c r="Z13080" t="s">
        <v>12289</v>
      </c>
      <c r="AA13080" s="22" t="str">
        <f>HYPERLINK("https://www.ncbi.nlm.nih.gov/nuccore/KF848980,KF848981,KF848982","NCBI Nucleotide")</f>
        <v>NCBI Nucleotide</v>
      </c>
    </row>
    <row r="13081" spans="1:27" x14ac:dyDescent="0.35">
      <c r="A13081">
        <v>1000500</v>
      </c>
      <c r="B13081">
        <v>12218</v>
      </c>
      <c r="C13081">
        <v>1</v>
      </c>
      <c r="D13081" t="s">
        <v>17166</v>
      </c>
      <c r="F13081" t="s">
        <v>17246</v>
      </c>
      <c r="H13081" t="s">
        <v>23950</v>
      </c>
      <c r="I13081" t="s">
        <v>26604</v>
      </c>
      <c r="J13081" t="s">
        <v>47099</v>
      </c>
      <c r="L13081" t="s">
        <v>47182</v>
      </c>
      <c r="N13081" t="s">
        <v>28137</v>
      </c>
      <c r="P13081" t="s">
        <v>28138</v>
      </c>
      <c r="R13081" s="26" t="str">
        <f>HYPERLINK("https://ictv.global/taxonomy/taxondetails?taxnode_id=202307638","Bandavirus amblyommae")</f>
        <v>Bandavirus amblyommae</v>
      </c>
      <c r="S13081" t="s">
        <v>30</v>
      </c>
      <c r="T13081" t="s">
        <v>28142</v>
      </c>
      <c r="U13081" t="s">
        <v>28143</v>
      </c>
      <c r="V13081" t="s">
        <v>28144</v>
      </c>
      <c r="W13081" t="s">
        <v>28145</v>
      </c>
      <c r="X13081" t="s">
        <v>42</v>
      </c>
      <c r="Y13081" t="s">
        <v>50974</v>
      </c>
      <c r="Z13081" t="s">
        <v>12289</v>
      </c>
      <c r="AA13081" s="22" t="str">
        <f>HYPERLINK("https://www.ncbi.nlm.nih.gov/nuccore/KC589005,KC589006,KC589007","NCBI Nucleotide")</f>
        <v>NCBI Nucleotide</v>
      </c>
    </row>
    <row r="13082" spans="1:27" x14ac:dyDescent="0.35">
      <c r="A13082">
        <v>1000501</v>
      </c>
      <c r="B13082">
        <v>12219</v>
      </c>
      <c r="C13082">
        <v>1</v>
      </c>
      <c r="D13082" t="s">
        <v>17166</v>
      </c>
      <c r="F13082" t="s">
        <v>17246</v>
      </c>
      <c r="H13082" t="s">
        <v>23950</v>
      </c>
      <c r="I13082" t="s">
        <v>26604</v>
      </c>
      <c r="J13082" t="s">
        <v>47099</v>
      </c>
      <c r="L13082" t="s">
        <v>47182</v>
      </c>
      <c r="N13082" t="s">
        <v>28137</v>
      </c>
      <c r="P13082" t="s">
        <v>28138</v>
      </c>
      <c r="R13082" s="26" t="str">
        <f>HYPERLINK("https://ictv.global/taxonomy/taxondetails?taxnode_id=202307635","Bandavirus bhanjanagarense")</f>
        <v>Bandavirus bhanjanagarense</v>
      </c>
      <c r="S13082" t="s">
        <v>30</v>
      </c>
      <c r="T13082" t="s">
        <v>28146</v>
      </c>
      <c r="U13082" t="s">
        <v>28147</v>
      </c>
      <c r="V13082" t="s">
        <v>28148</v>
      </c>
      <c r="W13082" t="s">
        <v>28149</v>
      </c>
      <c r="X13082" t="s">
        <v>42</v>
      </c>
      <c r="Y13082" t="s">
        <v>50974</v>
      </c>
      <c r="Z13082" t="s">
        <v>12289</v>
      </c>
      <c r="AA13082" s="22" t="str">
        <f>HYPERLINK("https://www.ncbi.nlm.nih.gov/nuccore/JX961616,JX961617,JX961618","NCBI Nucleotide")</f>
        <v>NCBI Nucleotide</v>
      </c>
    </row>
    <row r="13083" spans="1:27" x14ac:dyDescent="0.35">
      <c r="A13083">
        <v>1000502</v>
      </c>
      <c r="B13083">
        <v>12220</v>
      </c>
      <c r="C13083">
        <v>1</v>
      </c>
      <c r="D13083" t="s">
        <v>17166</v>
      </c>
      <c r="F13083" t="s">
        <v>17246</v>
      </c>
      <c r="H13083" t="s">
        <v>23950</v>
      </c>
      <c r="I13083" t="s">
        <v>26604</v>
      </c>
      <c r="J13083" t="s">
        <v>47099</v>
      </c>
      <c r="L13083" t="s">
        <v>47182</v>
      </c>
      <c r="N13083" t="s">
        <v>28137</v>
      </c>
      <c r="P13083" t="s">
        <v>28138</v>
      </c>
      <c r="R13083" s="26" t="str">
        <f>HYPERLINK("https://ictv.global/taxonomy/taxondetails?taxnode_id=202300166","Bandavirus dabieense")</f>
        <v>Bandavirus dabieense</v>
      </c>
      <c r="S13083" t="s">
        <v>30</v>
      </c>
      <c r="T13083" t="s">
        <v>28150</v>
      </c>
      <c r="U13083" t="s">
        <v>28151</v>
      </c>
      <c r="V13083" t="s">
        <v>28152</v>
      </c>
      <c r="W13083" t="s">
        <v>28153</v>
      </c>
      <c r="X13083" t="s">
        <v>42</v>
      </c>
      <c r="Y13083" t="s">
        <v>50974</v>
      </c>
      <c r="Z13083" t="s">
        <v>12289</v>
      </c>
      <c r="AA13083" s="22" t="str">
        <f>HYPERLINK("https://www.ncbi.nlm.nih.gov/nuccore/HM745930,HM745931,HM745932","NCBI Nucleotide")</f>
        <v>NCBI Nucleotide</v>
      </c>
    </row>
    <row r="13084" spans="1:27" x14ac:dyDescent="0.35">
      <c r="A13084">
        <v>1000503</v>
      </c>
      <c r="B13084">
        <v>12221</v>
      </c>
      <c r="C13084">
        <v>1</v>
      </c>
      <c r="D13084" t="s">
        <v>17166</v>
      </c>
      <c r="F13084" t="s">
        <v>17246</v>
      </c>
      <c r="H13084" t="s">
        <v>23950</v>
      </c>
      <c r="I13084" t="s">
        <v>26604</v>
      </c>
      <c r="J13084" t="s">
        <v>47099</v>
      </c>
      <c r="L13084" t="s">
        <v>47182</v>
      </c>
      <c r="N13084" t="s">
        <v>28137</v>
      </c>
      <c r="P13084" t="s">
        <v>28138</v>
      </c>
      <c r="R13084" s="26" t="str">
        <f>HYPERLINK("https://ictv.global/taxonomy/taxondetails?taxnode_id=202306486","Bandavirus guertuense")</f>
        <v>Bandavirus guertuense</v>
      </c>
      <c r="S13084" t="s">
        <v>30</v>
      </c>
      <c r="T13084" t="s">
        <v>28154</v>
      </c>
      <c r="U13084" t="s">
        <v>28155</v>
      </c>
      <c r="V13084" t="s">
        <v>28156</v>
      </c>
      <c r="W13084" t="s">
        <v>50692</v>
      </c>
      <c r="X13084" t="s">
        <v>35</v>
      </c>
      <c r="Y13084" t="s">
        <v>50974</v>
      </c>
      <c r="Z13084" t="s">
        <v>12289</v>
      </c>
      <c r="AA13084" s="22" t="str">
        <f>HYPERLINK("https://www.ncbi.nlm.nih.gov/nuccore/KT328593,KT328592,KT328591","NCBI Nucleotide")</f>
        <v>NCBI Nucleotide</v>
      </c>
    </row>
    <row r="13085" spans="1:27" x14ac:dyDescent="0.35">
      <c r="A13085">
        <v>1000504</v>
      </c>
      <c r="B13085">
        <v>12222</v>
      </c>
      <c r="C13085">
        <v>1</v>
      </c>
      <c r="D13085" t="s">
        <v>17166</v>
      </c>
      <c r="F13085" t="s">
        <v>17246</v>
      </c>
      <c r="H13085" t="s">
        <v>23950</v>
      </c>
      <c r="I13085" t="s">
        <v>26604</v>
      </c>
      <c r="J13085" t="s">
        <v>47099</v>
      </c>
      <c r="L13085" t="s">
        <v>47182</v>
      </c>
      <c r="N13085" t="s">
        <v>28137</v>
      </c>
      <c r="P13085" t="s">
        <v>28138</v>
      </c>
      <c r="R13085" s="26" t="str">
        <f>HYPERLINK("https://ictv.global/taxonomy/taxondetails?taxnode_id=202306607","Bandavirus heartlandense")</f>
        <v>Bandavirus heartlandense</v>
      </c>
      <c r="S13085" t="s">
        <v>30</v>
      </c>
      <c r="T13085" t="s">
        <v>28157</v>
      </c>
      <c r="U13085" t="s">
        <v>28158</v>
      </c>
      <c r="V13085" t="s">
        <v>28159</v>
      </c>
      <c r="W13085" t="s">
        <v>50840</v>
      </c>
      <c r="X13085" t="s">
        <v>42</v>
      </c>
      <c r="Y13085" t="s">
        <v>50974</v>
      </c>
      <c r="Z13085" t="s">
        <v>12289</v>
      </c>
      <c r="AA13085" s="22" t="str">
        <f>HYPERLINK("https://www.ncbi.nlm.nih.gov/nuccore/KJ740148,KJ740147,KJ740146","NCBI Nucleotide")</f>
        <v>NCBI Nucleotide</v>
      </c>
    </row>
    <row r="13086" spans="1:27" x14ac:dyDescent="0.35">
      <c r="A13086">
        <v>1000505</v>
      </c>
      <c r="B13086">
        <v>12223</v>
      </c>
      <c r="C13086">
        <v>1</v>
      </c>
      <c r="D13086" t="s">
        <v>17166</v>
      </c>
      <c r="F13086" t="s">
        <v>17246</v>
      </c>
      <c r="H13086" t="s">
        <v>23950</v>
      </c>
      <c r="I13086" t="s">
        <v>26604</v>
      </c>
      <c r="J13086" t="s">
        <v>47099</v>
      </c>
      <c r="L13086" t="s">
        <v>47182</v>
      </c>
      <c r="N13086" t="s">
        <v>28137</v>
      </c>
      <c r="P13086" t="s">
        <v>28138</v>
      </c>
      <c r="R13086" s="26" t="str">
        <f>HYPERLINK("https://ictv.global/taxonomy/taxondetails?taxnode_id=202307637","Bandavirus kismaayoense")</f>
        <v>Bandavirus kismaayoense</v>
      </c>
      <c r="S13086" t="s">
        <v>30</v>
      </c>
      <c r="T13086" t="s">
        <v>28160</v>
      </c>
      <c r="U13086" t="s">
        <v>28161</v>
      </c>
      <c r="V13086" t="s">
        <v>28162</v>
      </c>
      <c r="W13086" t="s">
        <v>28163</v>
      </c>
      <c r="X13086" t="s">
        <v>42</v>
      </c>
      <c r="Y13086" t="s">
        <v>50974</v>
      </c>
      <c r="Z13086" t="s">
        <v>12289</v>
      </c>
      <c r="AA13086" s="22" t="str">
        <f>HYPERLINK("https://www.ncbi.nlm.nih.gov/nuccore/KM114252,KM114253,KM114254","NCBI Nucleotide")</f>
        <v>NCBI Nucleotide</v>
      </c>
    </row>
    <row r="13087" spans="1:27" x14ac:dyDescent="0.35">
      <c r="A13087">
        <v>1000506</v>
      </c>
      <c r="B13087">
        <v>12224</v>
      </c>
      <c r="C13087">
        <v>1</v>
      </c>
      <c r="D13087" t="s">
        <v>17166</v>
      </c>
      <c r="F13087" t="s">
        <v>17246</v>
      </c>
      <c r="H13087" t="s">
        <v>23950</v>
      </c>
      <c r="I13087" t="s">
        <v>26604</v>
      </c>
      <c r="J13087" t="s">
        <v>47099</v>
      </c>
      <c r="L13087" t="s">
        <v>47182</v>
      </c>
      <c r="N13087" t="s">
        <v>28137</v>
      </c>
      <c r="P13087" t="s">
        <v>28138</v>
      </c>
      <c r="R13087" s="26" t="str">
        <f>HYPERLINK("https://ictv.global/taxonomy/taxondetails?taxnode_id=202309828","Bandavirus razdanense")</f>
        <v>Bandavirus razdanense</v>
      </c>
      <c r="S13087" t="s">
        <v>30</v>
      </c>
      <c r="T13087" t="s">
        <v>28164</v>
      </c>
      <c r="U13087" t="s">
        <v>28165</v>
      </c>
      <c r="V13087" t="s">
        <v>28166</v>
      </c>
      <c r="W13087" t="s">
        <v>28167</v>
      </c>
      <c r="X13087" t="s">
        <v>35</v>
      </c>
      <c r="Y13087" t="s">
        <v>50974</v>
      </c>
      <c r="Z13087" t="s">
        <v>10790</v>
      </c>
      <c r="AA13087" s="22" t="str">
        <f>HYPERLINK("https://www.ncbi.nlm.nih.gov/nuccore/KC335496,KC335497,KC335498","NCBI Nucleotide")</f>
        <v>NCBI Nucleotide</v>
      </c>
    </row>
    <row r="13088" spans="1:27" x14ac:dyDescent="0.35">
      <c r="A13088">
        <v>1000507</v>
      </c>
      <c r="B13088">
        <v>12225</v>
      </c>
      <c r="C13088">
        <v>1</v>
      </c>
      <c r="D13088" t="s">
        <v>17166</v>
      </c>
      <c r="F13088" t="s">
        <v>17246</v>
      </c>
      <c r="H13088" t="s">
        <v>23950</v>
      </c>
      <c r="I13088" t="s">
        <v>26604</v>
      </c>
      <c r="J13088" t="s">
        <v>47099</v>
      </c>
      <c r="L13088" t="s">
        <v>47182</v>
      </c>
      <c r="N13088" t="s">
        <v>28137</v>
      </c>
      <c r="P13088" t="s">
        <v>28138</v>
      </c>
      <c r="R13088" s="26" t="str">
        <f>HYPERLINK("https://ictv.global/taxonomy/taxondetails?taxnode_id=202314258","Bandavirus zwieselense")</f>
        <v>Bandavirus zwieselense</v>
      </c>
      <c r="S13088" t="s">
        <v>30</v>
      </c>
      <c r="T13088" t="s">
        <v>28168</v>
      </c>
      <c r="U13088" t="s">
        <v>28169</v>
      </c>
      <c r="V13088" t="s">
        <v>28170</v>
      </c>
      <c r="W13088" t="s">
        <v>28171</v>
      </c>
      <c r="X13088" t="s">
        <v>42</v>
      </c>
      <c r="Y13088" t="s">
        <v>50974</v>
      </c>
      <c r="Z13088" t="s">
        <v>166</v>
      </c>
      <c r="AA13088" s="22" t="str">
        <f>HYPERLINK("https://www.ncbi.nlm.nih.gov/nuccore/MN823639,MN823640,MN823641","NCBI Nucleotide")</f>
        <v>NCBI Nucleotide</v>
      </c>
    </row>
    <row r="13089" spans="1:27" x14ac:dyDescent="0.35">
      <c r="A13089">
        <v>1000508</v>
      </c>
      <c r="B13089">
        <v>12226</v>
      </c>
      <c r="C13089">
        <v>1</v>
      </c>
      <c r="D13089" t="s">
        <v>17166</v>
      </c>
      <c r="F13089" t="s">
        <v>17246</v>
      </c>
      <c r="H13089" t="s">
        <v>23950</v>
      </c>
      <c r="I13089" t="s">
        <v>26604</v>
      </c>
      <c r="J13089" t="s">
        <v>47099</v>
      </c>
      <c r="L13089" t="s">
        <v>47182</v>
      </c>
      <c r="N13089" t="s">
        <v>28137</v>
      </c>
      <c r="P13089" t="s">
        <v>28172</v>
      </c>
      <c r="R13089" s="26" t="str">
        <f>HYPERLINK("https://ictv.global/taxonomy/taxondetails?taxnode_id=202306226","Beidivirus muscae")</f>
        <v>Beidivirus muscae</v>
      </c>
      <c r="S13089" t="s">
        <v>30</v>
      </c>
      <c r="T13089" t="s">
        <v>28173</v>
      </c>
      <c r="U13089" t="s">
        <v>28174</v>
      </c>
      <c r="V13089" t="s">
        <v>28175</v>
      </c>
      <c r="W13089" t="s">
        <v>28176</v>
      </c>
      <c r="X13089" t="s">
        <v>35</v>
      </c>
      <c r="Y13089" t="s">
        <v>23964</v>
      </c>
      <c r="Z13089" t="s">
        <v>10790</v>
      </c>
      <c r="AA13089" s="22" t="str">
        <f>HYPERLINK("https://www.ncbi.nlm.nih.gov/nuccore/KX884796,KX884797,KX884798","NCBI Nucleotide")</f>
        <v>NCBI Nucleotide</v>
      </c>
    </row>
    <row r="13090" spans="1:27" x14ac:dyDescent="0.35">
      <c r="A13090">
        <v>1024453</v>
      </c>
      <c r="B13090">
        <v>12227</v>
      </c>
      <c r="C13090">
        <v>1</v>
      </c>
      <c r="D13090" t="s">
        <v>17166</v>
      </c>
      <c r="F13090" t="s">
        <v>17246</v>
      </c>
      <c r="H13090" t="s">
        <v>23950</v>
      </c>
      <c r="I13090" t="s">
        <v>26604</v>
      </c>
      <c r="J13090" t="s">
        <v>47099</v>
      </c>
      <c r="L13090" t="s">
        <v>47182</v>
      </c>
      <c r="N13090" t="s">
        <v>28137</v>
      </c>
      <c r="P13090" t="s">
        <v>47248</v>
      </c>
      <c r="R13090" s="26" t="str">
        <f>HYPERLINK("https://ictv.global/taxonomy/taxondetails?taxnode_id=202318414","Bocivirus botrytidis")</f>
        <v>Bocivirus botrytidis</v>
      </c>
      <c r="S13090" t="s">
        <v>30</v>
      </c>
      <c r="T13090" t="s">
        <v>47249</v>
      </c>
      <c r="U13090" t="s">
        <v>41801</v>
      </c>
      <c r="W13090" t="s">
        <v>47250</v>
      </c>
      <c r="X13090" t="s">
        <v>42</v>
      </c>
      <c r="Y13090" t="s">
        <v>23964</v>
      </c>
      <c r="Z13090" t="s">
        <v>16721</v>
      </c>
      <c r="AA13090" s="22" t="str">
        <f>HYPERLINK("https://www.ncbi.nlm.nih.gov/nuccore/MN617081,MN617080,MN617079","NCBI Nucleotide")</f>
        <v>NCBI Nucleotide</v>
      </c>
    </row>
    <row r="13091" spans="1:27" x14ac:dyDescent="0.35">
      <c r="A13091">
        <v>1024454</v>
      </c>
      <c r="B13091">
        <v>12228</v>
      </c>
      <c r="C13091">
        <v>1</v>
      </c>
      <c r="D13091" t="s">
        <v>17166</v>
      </c>
      <c r="F13091" t="s">
        <v>17246</v>
      </c>
      <c r="H13091" t="s">
        <v>23950</v>
      </c>
      <c r="I13091" t="s">
        <v>26604</v>
      </c>
      <c r="J13091" t="s">
        <v>47099</v>
      </c>
      <c r="L13091" t="s">
        <v>47182</v>
      </c>
      <c r="N13091" t="s">
        <v>28137</v>
      </c>
      <c r="P13091" t="s">
        <v>47248</v>
      </c>
      <c r="R13091" s="26" t="str">
        <f>HYPERLINK("https://ictv.global/taxonomy/taxondetails?taxnode_id=202318848","Bocivirus fusarii")</f>
        <v>Bocivirus fusarii</v>
      </c>
      <c r="S13091" t="s">
        <v>30</v>
      </c>
      <c r="T13091" t="s">
        <v>47251</v>
      </c>
      <c r="V13091" t="s">
        <v>29286</v>
      </c>
      <c r="W13091" t="s">
        <v>48730</v>
      </c>
      <c r="X13091" t="s">
        <v>42</v>
      </c>
      <c r="Y13091" t="s">
        <v>50974</v>
      </c>
      <c r="Z13091" t="s">
        <v>16721</v>
      </c>
      <c r="AA13091" s="22" t="str">
        <f>HYPERLINK("https://www.ncbi.nlm.nih.gov/nuccore/OQ295987,OQ295988","NCBI Nucleotide")</f>
        <v>NCBI Nucleotide</v>
      </c>
    </row>
    <row r="13092" spans="1:27" x14ac:dyDescent="0.35">
      <c r="A13092">
        <v>1024455</v>
      </c>
      <c r="B13092">
        <v>12229</v>
      </c>
      <c r="C13092">
        <v>1</v>
      </c>
      <c r="D13092" t="s">
        <v>17166</v>
      </c>
      <c r="F13092" t="s">
        <v>17246</v>
      </c>
      <c r="H13092" t="s">
        <v>23950</v>
      </c>
      <c r="I13092" t="s">
        <v>26604</v>
      </c>
      <c r="J13092" t="s">
        <v>47099</v>
      </c>
      <c r="L13092" t="s">
        <v>47182</v>
      </c>
      <c r="N13092" t="s">
        <v>28137</v>
      </c>
      <c r="P13092" t="s">
        <v>47248</v>
      </c>
      <c r="R13092" s="26" t="str">
        <f>HYPERLINK("https://ictv.global/taxonomy/taxondetails?taxnode_id=202318849","Bocivirus trichodermae")</f>
        <v>Bocivirus trichodermae</v>
      </c>
      <c r="S13092" t="s">
        <v>30</v>
      </c>
      <c r="T13092" t="s">
        <v>47252</v>
      </c>
      <c r="U13092" t="s">
        <v>47253</v>
      </c>
      <c r="V13092" t="s">
        <v>47254</v>
      </c>
      <c r="W13092" t="s">
        <v>50925</v>
      </c>
      <c r="X13092" t="s">
        <v>42</v>
      </c>
      <c r="Y13092" t="s">
        <v>23964</v>
      </c>
      <c r="Z13092" t="s">
        <v>16721</v>
      </c>
      <c r="AA13092" s="22" t="str">
        <f>HYPERLINK("https://www.ncbi.nlm.nih.gov/nuccore/OQ513277,OQ513278,OQ513279","NCBI Nucleotide")</f>
        <v>NCBI Nucleotide</v>
      </c>
    </row>
    <row r="13093" spans="1:27" x14ac:dyDescent="0.35">
      <c r="A13093">
        <v>1000515</v>
      </c>
      <c r="B13093">
        <v>12230</v>
      </c>
      <c r="C13093">
        <v>1</v>
      </c>
      <c r="D13093" t="s">
        <v>17166</v>
      </c>
      <c r="F13093" t="s">
        <v>17246</v>
      </c>
      <c r="H13093" t="s">
        <v>23950</v>
      </c>
      <c r="I13093" t="s">
        <v>26604</v>
      </c>
      <c r="J13093" t="s">
        <v>47099</v>
      </c>
      <c r="L13093" t="s">
        <v>47182</v>
      </c>
      <c r="N13093" t="s">
        <v>28137</v>
      </c>
      <c r="P13093" t="s">
        <v>47248</v>
      </c>
      <c r="R13093" s="26" t="str">
        <f>HYPERLINK("https://ictv.global/taxonomy/taxondetails?taxnode_id=202309832","Bocivirus viticulum")</f>
        <v>Bocivirus viticulum</v>
      </c>
      <c r="S13093" t="s">
        <v>30</v>
      </c>
      <c r="T13093" t="s">
        <v>28200</v>
      </c>
      <c r="U13093" t="s">
        <v>28201</v>
      </c>
      <c r="V13093" t="s">
        <v>28202</v>
      </c>
      <c r="W13093" t="s">
        <v>28203</v>
      </c>
      <c r="X13093" t="s">
        <v>35</v>
      </c>
      <c r="Y13093" t="s">
        <v>23964</v>
      </c>
      <c r="Z13093" t="s">
        <v>17496</v>
      </c>
      <c r="AA13093" s="22" t="str">
        <f>HYPERLINK("https://www.ncbi.nlm.nih.gov/nuccore/MN520751,MN520752,MN520753","NCBI Nucleotide")</f>
        <v>NCBI Nucleotide</v>
      </c>
    </row>
    <row r="13094" spans="1:27" x14ac:dyDescent="0.35">
      <c r="A13094">
        <v>1000509</v>
      </c>
      <c r="B13094">
        <v>12231</v>
      </c>
      <c r="C13094">
        <v>1</v>
      </c>
      <c r="D13094" t="s">
        <v>17166</v>
      </c>
      <c r="F13094" t="s">
        <v>17246</v>
      </c>
      <c r="H13094" t="s">
        <v>23950</v>
      </c>
      <c r="I13094" t="s">
        <v>26604</v>
      </c>
      <c r="J13094" t="s">
        <v>47099</v>
      </c>
      <c r="L13094" t="s">
        <v>47182</v>
      </c>
      <c r="N13094" t="s">
        <v>28137</v>
      </c>
      <c r="P13094" t="s">
        <v>28177</v>
      </c>
      <c r="R13094" s="26" t="str">
        <f>HYPERLINK("https://ictv.global/taxonomy/taxondetails?taxnode_id=202314265","Citricivirus chongqinense")</f>
        <v>Citricivirus chongqinense</v>
      </c>
      <c r="S13094" t="s">
        <v>30</v>
      </c>
      <c r="T13094" t="s">
        <v>28178</v>
      </c>
      <c r="U13094" t="s">
        <v>28179</v>
      </c>
      <c r="V13094" t="s">
        <v>28180</v>
      </c>
      <c r="W13094" t="s">
        <v>28181</v>
      </c>
      <c r="X13094" t="s">
        <v>42</v>
      </c>
      <c r="Y13094" t="s">
        <v>23964</v>
      </c>
      <c r="Z13094" t="s">
        <v>10790</v>
      </c>
      <c r="AA13094" s="22" t="str">
        <f>HYPERLINK("https://www.ncbi.nlm.nih.gov/nuccore/MN163034,MN163035,MN163036","NCBI Nucleotide")</f>
        <v>NCBI Nucleotide</v>
      </c>
    </row>
    <row r="13095" spans="1:27" x14ac:dyDescent="0.35">
      <c r="A13095">
        <v>1000510</v>
      </c>
      <c r="B13095">
        <v>12232</v>
      </c>
      <c r="C13095">
        <v>1</v>
      </c>
      <c r="D13095" t="s">
        <v>17166</v>
      </c>
      <c r="F13095" t="s">
        <v>17246</v>
      </c>
      <c r="H13095" t="s">
        <v>23950</v>
      </c>
      <c r="I13095" t="s">
        <v>26604</v>
      </c>
      <c r="J13095" t="s">
        <v>47099</v>
      </c>
      <c r="L13095" t="s">
        <v>47182</v>
      </c>
      <c r="N13095" t="s">
        <v>28137</v>
      </c>
      <c r="P13095" t="s">
        <v>28182</v>
      </c>
      <c r="R13095" s="26" t="str">
        <f>HYPERLINK("https://ictv.global/taxonomy/taxondetails?taxnode_id=202314164","Coguvirus chinense")</f>
        <v>Coguvirus chinense</v>
      </c>
      <c r="S13095" t="s">
        <v>30</v>
      </c>
      <c r="T13095" t="s">
        <v>28183</v>
      </c>
      <c r="U13095" t="s">
        <v>28184</v>
      </c>
      <c r="V13095" t="s">
        <v>28185</v>
      </c>
      <c r="W13095" t="s">
        <v>28186</v>
      </c>
      <c r="X13095" t="s">
        <v>42</v>
      </c>
      <c r="Y13095" t="s">
        <v>50974</v>
      </c>
      <c r="Z13095" t="s">
        <v>13441</v>
      </c>
      <c r="AA13095" s="22" t="str">
        <f>HYPERLINK("https://www.ncbi.nlm.nih.gov/nuccore/MW291944,MW291945","NCBI Nucleotide")</f>
        <v>NCBI Nucleotide</v>
      </c>
    </row>
    <row r="13096" spans="1:27" x14ac:dyDescent="0.35">
      <c r="A13096">
        <v>1027989</v>
      </c>
      <c r="B13096">
        <v>12233</v>
      </c>
      <c r="C13096">
        <v>1</v>
      </c>
      <c r="D13096" t="s">
        <v>17166</v>
      </c>
      <c r="F13096" t="s">
        <v>17246</v>
      </c>
      <c r="H13096" t="s">
        <v>23950</v>
      </c>
      <c r="I13096" t="s">
        <v>26604</v>
      </c>
      <c r="J13096" t="s">
        <v>47099</v>
      </c>
      <c r="L13096" t="s">
        <v>47182</v>
      </c>
      <c r="N13096" t="s">
        <v>28137</v>
      </c>
      <c r="P13096" t="s">
        <v>28182</v>
      </c>
      <c r="R13096" s="26" t="str">
        <f>HYPERLINK("https://ictv.global/taxonomy/taxondetails?taxnode_id=202317870","Coguvirus chrysanthae")</f>
        <v>Coguvirus chrysanthae</v>
      </c>
      <c r="S13096" t="s">
        <v>30</v>
      </c>
      <c r="T13096" t="s">
        <v>47255</v>
      </c>
      <c r="U13096" t="s">
        <v>47256</v>
      </c>
      <c r="W13096" t="s">
        <v>50926</v>
      </c>
      <c r="X13096" t="s">
        <v>42</v>
      </c>
      <c r="Y13096" t="s">
        <v>50974</v>
      </c>
      <c r="Z13096" t="s">
        <v>13441</v>
      </c>
      <c r="AA13096" s="22" t="str">
        <f>HYPERLINK("https://www.ncbi.nlm.nih.gov/nuccore/ON602044,ON602045","NCBI Nucleotide")</f>
        <v>NCBI Nucleotide</v>
      </c>
    </row>
    <row r="13097" spans="1:27" x14ac:dyDescent="0.35">
      <c r="A13097">
        <v>1000511</v>
      </c>
      <c r="B13097">
        <v>12234</v>
      </c>
      <c r="C13097">
        <v>1</v>
      </c>
      <c r="D13097" t="s">
        <v>17166</v>
      </c>
      <c r="F13097" t="s">
        <v>17246</v>
      </c>
      <c r="H13097" t="s">
        <v>23950</v>
      </c>
      <c r="I13097" t="s">
        <v>26604</v>
      </c>
      <c r="J13097" t="s">
        <v>47099</v>
      </c>
      <c r="L13097" t="s">
        <v>47182</v>
      </c>
      <c r="N13097" t="s">
        <v>28137</v>
      </c>
      <c r="P13097" t="s">
        <v>28182</v>
      </c>
      <c r="R13097" s="26" t="str">
        <f>HYPERLINK("https://ictv.global/taxonomy/taxondetails?taxnode_id=202306630","Coguvirus citri")</f>
        <v>Coguvirus citri</v>
      </c>
      <c r="S13097" t="s">
        <v>30</v>
      </c>
      <c r="T13097" t="s">
        <v>28187</v>
      </c>
      <c r="U13097" t="s">
        <v>28188</v>
      </c>
      <c r="V13097" t="s">
        <v>28189</v>
      </c>
      <c r="W13097" t="s">
        <v>50693</v>
      </c>
      <c r="X13097" t="s">
        <v>42</v>
      </c>
      <c r="Y13097" t="s">
        <v>50974</v>
      </c>
      <c r="Z13097" t="s">
        <v>13441</v>
      </c>
      <c r="AA13097" s="22" t="str">
        <f>HYPERLINK("https://www.ncbi.nlm.nih.gov/nuccore/KX960112,KX960111","NCBI Nucleotide")</f>
        <v>NCBI Nucleotide</v>
      </c>
    </row>
    <row r="13098" spans="1:27" x14ac:dyDescent="0.35">
      <c r="A13098">
        <v>1000512</v>
      </c>
      <c r="B13098">
        <v>12235</v>
      </c>
      <c r="C13098">
        <v>1</v>
      </c>
      <c r="D13098" t="s">
        <v>17166</v>
      </c>
      <c r="F13098" t="s">
        <v>17246</v>
      </c>
      <c r="H13098" t="s">
        <v>23950</v>
      </c>
      <c r="I13098" t="s">
        <v>26604</v>
      </c>
      <c r="J13098" t="s">
        <v>47099</v>
      </c>
      <c r="L13098" t="s">
        <v>47182</v>
      </c>
      <c r="N13098" t="s">
        <v>28137</v>
      </c>
      <c r="P13098" t="s">
        <v>28182</v>
      </c>
      <c r="R13098" s="26" t="str">
        <f>HYPERLINK("https://ictv.global/taxonomy/taxondetails?taxnode_id=202314162","Coguvirus citrulli")</f>
        <v>Coguvirus citrulli</v>
      </c>
      <c r="S13098" t="s">
        <v>30</v>
      </c>
      <c r="T13098" t="s">
        <v>28190</v>
      </c>
      <c r="U13098" t="s">
        <v>28191</v>
      </c>
      <c r="V13098" t="s">
        <v>28192</v>
      </c>
      <c r="W13098" t="s">
        <v>50841</v>
      </c>
      <c r="X13098" t="s">
        <v>42</v>
      </c>
      <c r="Y13098" t="s">
        <v>50974</v>
      </c>
      <c r="Z13098" t="s">
        <v>13441</v>
      </c>
      <c r="AA13098" s="22" t="str">
        <f>HYPERLINK("https://www.ncbi.nlm.nih.gov/nuccore/MW842780,MW751424","NCBI Nucleotide")</f>
        <v>NCBI Nucleotide</v>
      </c>
    </row>
    <row r="13099" spans="1:27" x14ac:dyDescent="0.35">
      <c r="A13099">
        <v>1000513</v>
      </c>
      <c r="B13099">
        <v>12236</v>
      </c>
      <c r="C13099">
        <v>1</v>
      </c>
      <c r="D13099" t="s">
        <v>17166</v>
      </c>
      <c r="F13099" t="s">
        <v>17246</v>
      </c>
      <c r="H13099" t="s">
        <v>23950</v>
      </c>
      <c r="I13099" t="s">
        <v>26604</v>
      </c>
      <c r="J13099" t="s">
        <v>47099</v>
      </c>
      <c r="L13099" t="s">
        <v>47182</v>
      </c>
      <c r="N13099" t="s">
        <v>28137</v>
      </c>
      <c r="P13099" t="s">
        <v>28182</v>
      </c>
      <c r="R13099" s="26" t="str">
        <f>HYPERLINK("https://ictv.global/taxonomy/taxondetails?taxnode_id=202307130","Coguvirus eburi")</f>
        <v>Coguvirus eburi</v>
      </c>
      <c r="S13099" t="s">
        <v>30</v>
      </c>
      <c r="T13099" t="s">
        <v>28193</v>
      </c>
      <c r="U13099" t="s">
        <v>28194</v>
      </c>
      <c r="V13099" t="s">
        <v>28195</v>
      </c>
      <c r="W13099" t="s">
        <v>28196</v>
      </c>
      <c r="X13099" t="s">
        <v>42</v>
      </c>
      <c r="Y13099" t="s">
        <v>50974</v>
      </c>
      <c r="Z13099" t="s">
        <v>13441</v>
      </c>
      <c r="AA13099" s="22" t="str">
        <f>HYPERLINK("https://www.ncbi.nlm.nih.gov/nuccore/MG764565,MG764566","NCBI Nucleotide")</f>
        <v>NCBI Nucleotide</v>
      </c>
    </row>
    <row r="13100" spans="1:27" x14ac:dyDescent="0.35">
      <c r="A13100">
        <v>1000514</v>
      </c>
      <c r="B13100">
        <v>12237</v>
      </c>
      <c r="C13100">
        <v>1</v>
      </c>
      <c r="D13100" t="s">
        <v>17166</v>
      </c>
      <c r="F13100" t="s">
        <v>17246</v>
      </c>
      <c r="H13100" t="s">
        <v>23950</v>
      </c>
      <c r="I13100" t="s">
        <v>26604</v>
      </c>
      <c r="J13100" t="s">
        <v>47099</v>
      </c>
      <c r="L13100" t="s">
        <v>47182</v>
      </c>
      <c r="N13100" t="s">
        <v>28137</v>
      </c>
      <c r="P13100" t="s">
        <v>28182</v>
      </c>
      <c r="R13100" s="26" t="str">
        <f>HYPERLINK("https://ictv.global/taxonomy/taxondetails?taxnode_id=202314163","Coguvirus henanense")</f>
        <v>Coguvirus henanense</v>
      </c>
      <c r="S13100" t="s">
        <v>30</v>
      </c>
      <c r="T13100" t="s">
        <v>28197</v>
      </c>
      <c r="U13100" t="s">
        <v>28198</v>
      </c>
      <c r="V13100" t="s">
        <v>28199</v>
      </c>
      <c r="W13100" t="s">
        <v>50842</v>
      </c>
      <c r="X13100" t="s">
        <v>42</v>
      </c>
      <c r="Y13100" t="s">
        <v>50974</v>
      </c>
      <c r="Z13100" t="s">
        <v>13441</v>
      </c>
      <c r="AA13100" s="22" t="str">
        <f>HYPERLINK("https://www.ncbi.nlm.nih.gov/nuccore/MW842781,MW751425","NCBI Nucleotide")</f>
        <v>NCBI Nucleotide</v>
      </c>
    </row>
    <row r="13101" spans="1:27" x14ac:dyDescent="0.35">
      <c r="A13101">
        <v>1000516</v>
      </c>
      <c r="B13101">
        <v>12238</v>
      </c>
      <c r="C13101">
        <v>1</v>
      </c>
      <c r="D13101" t="s">
        <v>17166</v>
      </c>
      <c r="F13101" t="s">
        <v>17246</v>
      </c>
      <c r="H13101" t="s">
        <v>23950</v>
      </c>
      <c r="I13101" t="s">
        <v>26604</v>
      </c>
      <c r="J13101" t="s">
        <v>47099</v>
      </c>
      <c r="L13101" t="s">
        <v>47182</v>
      </c>
      <c r="N13101" t="s">
        <v>28137</v>
      </c>
      <c r="P13101" t="s">
        <v>28182</v>
      </c>
      <c r="R13101" s="26" t="str">
        <f>HYPERLINK("https://ictv.global/taxonomy/taxondetails?taxnode_id=202314165","Coguvirus yunnanense")</f>
        <v>Coguvirus yunnanense</v>
      </c>
      <c r="S13101" t="s">
        <v>30</v>
      </c>
      <c r="T13101" t="s">
        <v>28204</v>
      </c>
      <c r="U13101" t="s">
        <v>28205</v>
      </c>
      <c r="V13101" t="s">
        <v>28206</v>
      </c>
      <c r="W13101" t="s">
        <v>28207</v>
      </c>
      <c r="X13101" t="s">
        <v>35</v>
      </c>
      <c r="Y13101" t="s">
        <v>50974</v>
      </c>
      <c r="Z13101" t="s">
        <v>13441</v>
      </c>
      <c r="AA13101" s="22" t="str">
        <f>HYPERLINK("https://www.ncbi.nlm.nih.gov/nuccore/MT269667,MT269668","NCBI Nucleotide")</f>
        <v>NCBI Nucleotide</v>
      </c>
    </row>
    <row r="13102" spans="1:27" x14ac:dyDescent="0.35">
      <c r="A13102">
        <v>1000517</v>
      </c>
      <c r="B13102">
        <v>12239</v>
      </c>
      <c r="C13102">
        <v>1</v>
      </c>
      <c r="D13102" t="s">
        <v>17166</v>
      </c>
      <c r="F13102" t="s">
        <v>17246</v>
      </c>
      <c r="H13102" t="s">
        <v>23950</v>
      </c>
      <c r="I13102" t="s">
        <v>26604</v>
      </c>
      <c r="J13102" t="s">
        <v>47099</v>
      </c>
      <c r="L13102" t="s">
        <v>47182</v>
      </c>
      <c r="N13102" t="s">
        <v>28137</v>
      </c>
      <c r="P13102" t="s">
        <v>28208</v>
      </c>
      <c r="R13102" s="26" t="str">
        <f>HYPERLINK("https://ictv.global/taxonomy/taxondetails?taxnode_id=202307644","Entovirus entoleucae")</f>
        <v>Entovirus entoleucae</v>
      </c>
      <c r="S13102" t="s">
        <v>30</v>
      </c>
      <c r="T13102" t="s">
        <v>28209</v>
      </c>
      <c r="U13102" t="s">
        <v>28210</v>
      </c>
      <c r="V13102" t="s">
        <v>28211</v>
      </c>
      <c r="W13102" t="s">
        <v>28212</v>
      </c>
      <c r="X13102" t="s">
        <v>35</v>
      </c>
      <c r="Y13102" t="s">
        <v>50974</v>
      </c>
      <c r="Z13102" t="s">
        <v>16721</v>
      </c>
      <c r="AA13102" s="22" t="str">
        <f>HYPERLINK("https://www.ncbi.nlm.nih.gov/nuccore/MF375882,MK140653","NCBI Nucleotide")</f>
        <v>NCBI Nucleotide</v>
      </c>
    </row>
    <row r="13103" spans="1:27" x14ac:dyDescent="0.35">
      <c r="A13103">
        <v>1000518</v>
      </c>
      <c r="B13103">
        <v>12240</v>
      </c>
      <c r="C13103">
        <v>1</v>
      </c>
      <c r="D13103" t="s">
        <v>17166</v>
      </c>
      <c r="F13103" t="s">
        <v>17246</v>
      </c>
      <c r="H13103" t="s">
        <v>23950</v>
      </c>
      <c r="I13103" t="s">
        <v>26604</v>
      </c>
      <c r="J13103" t="s">
        <v>47099</v>
      </c>
      <c r="L13103" t="s">
        <v>47182</v>
      </c>
      <c r="N13103" t="s">
        <v>28137</v>
      </c>
      <c r="P13103" t="s">
        <v>28213</v>
      </c>
      <c r="R13103" s="26" t="str">
        <f>HYPERLINK("https://ictv.global/taxonomy/taxondetails?taxnode_id=202314261","Goukovirus aphalarae")</f>
        <v>Goukovirus aphalarae</v>
      </c>
      <c r="S13103" t="s">
        <v>30</v>
      </c>
      <c r="T13103" t="s">
        <v>28214</v>
      </c>
      <c r="U13103" t="s">
        <v>28215</v>
      </c>
      <c r="V13103">
        <v>1</v>
      </c>
      <c r="W13103" t="s">
        <v>50843</v>
      </c>
      <c r="X13103" t="s">
        <v>154</v>
      </c>
      <c r="Y13103" t="s">
        <v>23964</v>
      </c>
      <c r="Z13103" t="s">
        <v>10790</v>
      </c>
      <c r="AA13103" s="22" t="str">
        <f>HYPERLINK("https://www.ncbi.nlm.nih.gov/nuccore/BK062758,BK062757,BK062756","NCBI Nucleotide")</f>
        <v>NCBI Nucleotide</v>
      </c>
    </row>
    <row r="13104" spans="1:27" x14ac:dyDescent="0.35">
      <c r="A13104">
        <v>1000519</v>
      </c>
      <c r="B13104">
        <v>12241</v>
      </c>
      <c r="C13104">
        <v>1</v>
      </c>
      <c r="D13104" t="s">
        <v>17166</v>
      </c>
      <c r="F13104" t="s">
        <v>17246</v>
      </c>
      <c r="H13104" t="s">
        <v>23950</v>
      </c>
      <c r="I13104" t="s">
        <v>26604</v>
      </c>
      <c r="J13104" t="s">
        <v>47099</v>
      </c>
      <c r="L13104" t="s">
        <v>47182</v>
      </c>
      <c r="N13104" t="s">
        <v>28137</v>
      </c>
      <c r="P13104" t="s">
        <v>28213</v>
      </c>
      <c r="R13104" s="26" t="str">
        <f>HYPERLINK("https://ictv.global/taxonomy/taxondetails?taxnode_id=202314260","Goukovirus ceraphri")</f>
        <v>Goukovirus ceraphri</v>
      </c>
      <c r="S13104" t="s">
        <v>30</v>
      </c>
      <c r="T13104" t="s">
        <v>28216</v>
      </c>
      <c r="U13104" t="s">
        <v>28217</v>
      </c>
      <c r="V13104">
        <v>1</v>
      </c>
      <c r="W13104" t="s">
        <v>50844</v>
      </c>
      <c r="X13104" t="s">
        <v>42</v>
      </c>
      <c r="Y13104" t="s">
        <v>23964</v>
      </c>
      <c r="Z13104" t="s">
        <v>10790</v>
      </c>
      <c r="AA13104" s="22" t="str">
        <f>HYPERLINK("https://www.ncbi.nlm.nih.gov/nuccore/BK062755,BK062754,BK062753","NCBI Nucleotide")</f>
        <v>NCBI Nucleotide</v>
      </c>
    </row>
    <row r="13105" spans="1:27" x14ac:dyDescent="0.35">
      <c r="A13105">
        <v>1000520</v>
      </c>
      <c r="B13105">
        <v>12242</v>
      </c>
      <c r="C13105">
        <v>1</v>
      </c>
      <c r="D13105" t="s">
        <v>17166</v>
      </c>
      <c r="F13105" t="s">
        <v>17246</v>
      </c>
      <c r="H13105" t="s">
        <v>23950</v>
      </c>
      <c r="I13105" t="s">
        <v>26604</v>
      </c>
      <c r="J13105" t="s">
        <v>47099</v>
      </c>
      <c r="L13105" t="s">
        <v>47182</v>
      </c>
      <c r="N13105" t="s">
        <v>28137</v>
      </c>
      <c r="P13105" t="s">
        <v>28213</v>
      </c>
      <c r="R13105" s="26" t="str">
        <f>HYPERLINK("https://ictv.global/taxonomy/taxondetails?taxnode_id=202300149","Goukovirus cumutoense")</f>
        <v>Goukovirus cumutoense</v>
      </c>
      <c r="S13105" t="s">
        <v>30</v>
      </c>
      <c r="T13105" t="s">
        <v>28218</v>
      </c>
      <c r="U13105" t="s">
        <v>28219</v>
      </c>
      <c r="V13105" t="s">
        <v>28220</v>
      </c>
      <c r="W13105" t="s">
        <v>28221</v>
      </c>
      <c r="X13105" t="s">
        <v>42</v>
      </c>
      <c r="Y13105" t="s">
        <v>23964</v>
      </c>
      <c r="Z13105" t="s">
        <v>10790</v>
      </c>
      <c r="AA13105" s="22" t="str">
        <f>HYPERLINK("https://www.ncbi.nlm.nih.gov/nuccore/KF543244,KF543245,KF543246","NCBI Nucleotide")</f>
        <v>NCBI Nucleotide</v>
      </c>
    </row>
    <row r="13106" spans="1:27" x14ac:dyDescent="0.35">
      <c r="A13106">
        <v>1000521</v>
      </c>
      <c r="B13106">
        <v>12243</v>
      </c>
      <c r="C13106">
        <v>1</v>
      </c>
      <c r="D13106" t="s">
        <v>17166</v>
      </c>
      <c r="F13106" t="s">
        <v>17246</v>
      </c>
      <c r="H13106" t="s">
        <v>23950</v>
      </c>
      <c r="I13106" t="s">
        <v>26604</v>
      </c>
      <c r="J13106" t="s">
        <v>47099</v>
      </c>
      <c r="L13106" t="s">
        <v>47182</v>
      </c>
      <c r="N13106" t="s">
        <v>28137</v>
      </c>
      <c r="P13106" t="s">
        <v>28213</v>
      </c>
      <c r="R13106" s="26" t="str">
        <f>HYPERLINK("https://ictv.global/taxonomy/taxondetails?taxnode_id=202300150","Goukovirus gouleakoense")</f>
        <v>Goukovirus gouleakoense</v>
      </c>
      <c r="S13106" t="s">
        <v>30</v>
      </c>
      <c r="T13106" t="s">
        <v>28222</v>
      </c>
      <c r="U13106" t="s">
        <v>27150</v>
      </c>
      <c r="V13106" t="s">
        <v>28223</v>
      </c>
      <c r="W13106" t="s">
        <v>50694</v>
      </c>
      <c r="X13106" t="s">
        <v>42</v>
      </c>
      <c r="Y13106" t="s">
        <v>23964</v>
      </c>
      <c r="Z13106" t="s">
        <v>10790</v>
      </c>
      <c r="AA13106" s="22" t="str">
        <f>HYPERLINK("https://www.ncbi.nlm.nih.gov/nuccore/HQ541738,HQ541737,HQ541736","NCBI Nucleotide")</f>
        <v>NCBI Nucleotide</v>
      </c>
    </row>
    <row r="13107" spans="1:27" x14ac:dyDescent="0.35">
      <c r="A13107">
        <v>1000522</v>
      </c>
      <c r="B13107">
        <v>12244</v>
      </c>
      <c r="C13107">
        <v>1</v>
      </c>
      <c r="D13107" t="s">
        <v>17166</v>
      </c>
      <c r="F13107" t="s">
        <v>17246</v>
      </c>
      <c r="H13107" t="s">
        <v>23950</v>
      </c>
      <c r="I13107" t="s">
        <v>26604</v>
      </c>
      <c r="J13107" t="s">
        <v>47099</v>
      </c>
      <c r="L13107" t="s">
        <v>47182</v>
      </c>
      <c r="N13107" t="s">
        <v>28137</v>
      </c>
      <c r="P13107" t="s">
        <v>28213</v>
      </c>
      <c r="R13107" s="26" t="str">
        <f>HYPERLINK("https://ictv.global/taxonomy/taxondetails?taxnode_id=202300151","Goukovirus yichangense")</f>
        <v>Goukovirus yichangense</v>
      </c>
      <c r="S13107" t="s">
        <v>30</v>
      </c>
      <c r="T13107" t="s">
        <v>28224</v>
      </c>
      <c r="U13107" t="s">
        <v>28225</v>
      </c>
      <c r="V13107" t="s">
        <v>28226</v>
      </c>
      <c r="W13107" t="s">
        <v>28227</v>
      </c>
      <c r="X13107" t="s">
        <v>42</v>
      </c>
      <c r="Y13107" t="s">
        <v>23964</v>
      </c>
      <c r="Z13107" t="s">
        <v>10790</v>
      </c>
      <c r="AA13107" s="22" t="str">
        <f>HYPERLINK("https://www.ncbi.nlm.nih.gov/nuccore/KM817703,KM817730,KM817763","NCBI Nucleotide")</f>
        <v>NCBI Nucleotide</v>
      </c>
    </row>
    <row r="13108" spans="1:27" x14ac:dyDescent="0.35">
      <c r="A13108">
        <v>1000523</v>
      </c>
      <c r="B13108">
        <v>12245</v>
      </c>
      <c r="C13108">
        <v>1</v>
      </c>
      <c r="D13108" t="s">
        <v>17166</v>
      </c>
      <c r="F13108" t="s">
        <v>17246</v>
      </c>
      <c r="H13108" t="s">
        <v>23950</v>
      </c>
      <c r="I13108" t="s">
        <v>26604</v>
      </c>
      <c r="J13108" t="s">
        <v>47099</v>
      </c>
      <c r="L13108" t="s">
        <v>47182</v>
      </c>
      <c r="N13108" t="s">
        <v>28137</v>
      </c>
      <c r="P13108" t="s">
        <v>28228</v>
      </c>
      <c r="R13108" s="26" t="str">
        <f>HYPERLINK("https://ictv.global/taxonomy/taxondetails?taxnode_id=202309831","Horwuvirus fitzroyense")</f>
        <v>Horwuvirus fitzroyense</v>
      </c>
      <c r="S13108" t="s">
        <v>30</v>
      </c>
      <c r="T13108" t="s">
        <v>28229</v>
      </c>
      <c r="U13108" t="s">
        <v>28230</v>
      </c>
      <c r="V13108" t="s">
        <v>28231</v>
      </c>
      <c r="W13108" t="s">
        <v>28232</v>
      </c>
      <c r="X13108" t="s">
        <v>35</v>
      </c>
      <c r="Y13108" t="s">
        <v>23964</v>
      </c>
      <c r="Z13108" t="s">
        <v>10790</v>
      </c>
      <c r="AA13108" s="22" t="str">
        <f>HYPERLINK("https://www.ncbi.nlm.nih.gov/nuccore/MT498812,MT498813,MT498814,MT498815","NCBI Nucleotide")</f>
        <v>NCBI Nucleotide</v>
      </c>
    </row>
    <row r="13109" spans="1:27" x14ac:dyDescent="0.35">
      <c r="A13109">
        <v>1000524</v>
      </c>
      <c r="B13109">
        <v>12246</v>
      </c>
      <c r="C13109">
        <v>1</v>
      </c>
      <c r="D13109" t="s">
        <v>17166</v>
      </c>
      <c r="F13109" t="s">
        <v>17246</v>
      </c>
      <c r="H13109" t="s">
        <v>23950</v>
      </c>
      <c r="I13109" t="s">
        <v>26604</v>
      </c>
      <c r="J13109" t="s">
        <v>47099</v>
      </c>
      <c r="L13109" t="s">
        <v>47182</v>
      </c>
      <c r="N13109" t="s">
        <v>28137</v>
      </c>
      <c r="P13109" t="s">
        <v>28228</v>
      </c>
      <c r="R13109" s="26" t="str">
        <f>HYPERLINK("https://ictv.global/taxonomy/taxondetails?taxnode_id=202314259","Horwuvirus solenopsidis")</f>
        <v>Horwuvirus solenopsidis</v>
      </c>
      <c r="S13109" t="s">
        <v>30</v>
      </c>
      <c r="T13109" t="s">
        <v>28233</v>
      </c>
      <c r="U13109" t="s">
        <v>28234</v>
      </c>
      <c r="V13109" t="s">
        <v>28235</v>
      </c>
      <c r="W13109" t="s">
        <v>28236</v>
      </c>
      <c r="X13109" t="s">
        <v>42</v>
      </c>
      <c r="Y13109" t="s">
        <v>23964</v>
      </c>
      <c r="Z13109" t="s">
        <v>10790</v>
      </c>
      <c r="AA13109" s="22" t="str">
        <f>HYPERLINK("https://www.ncbi.nlm.nih.gov/nuccore/MT860240,MT860248,MT860256","NCBI Nucleotide")</f>
        <v>NCBI Nucleotide</v>
      </c>
    </row>
    <row r="13110" spans="1:27" x14ac:dyDescent="0.35">
      <c r="A13110">
        <v>1000525</v>
      </c>
      <c r="B13110">
        <v>12247</v>
      </c>
      <c r="C13110">
        <v>1</v>
      </c>
      <c r="D13110" t="s">
        <v>17166</v>
      </c>
      <c r="F13110" t="s">
        <v>17246</v>
      </c>
      <c r="H13110" t="s">
        <v>23950</v>
      </c>
      <c r="I13110" t="s">
        <v>26604</v>
      </c>
      <c r="J13110" t="s">
        <v>47099</v>
      </c>
      <c r="L13110" t="s">
        <v>47182</v>
      </c>
      <c r="N13110" t="s">
        <v>28137</v>
      </c>
      <c r="P13110" t="s">
        <v>28228</v>
      </c>
      <c r="R13110" s="26" t="str">
        <f>HYPERLINK("https://ictv.global/taxonomy/taxondetails?taxnode_id=202306228","Horwuvirus wuhanense")</f>
        <v>Horwuvirus wuhanense</v>
      </c>
      <c r="S13110" t="s">
        <v>30</v>
      </c>
      <c r="T13110" t="s">
        <v>28237</v>
      </c>
      <c r="U13110" t="s">
        <v>28238</v>
      </c>
      <c r="V13110" t="s">
        <v>28239</v>
      </c>
      <c r="W13110" t="s">
        <v>50695</v>
      </c>
      <c r="X13110" t="s">
        <v>35</v>
      </c>
      <c r="Y13110" t="s">
        <v>23964</v>
      </c>
      <c r="Z13110" t="s">
        <v>10790</v>
      </c>
      <c r="AA13110" s="22" t="str">
        <f>HYPERLINK("https://www.ncbi.nlm.nih.gov/nuccore/KM817690,KM817723,KM817751,KM817750","NCBI Nucleotide")</f>
        <v>NCBI Nucleotide</v>
      </c>
    </row>
    <row r="13111" spans="1:27" x14ac:dyDescent="0.35">
      <c r="A13111">
        <v>1000526</v>
      </c>
      <c r="B13111">
        <v>12248</v>
      </c>
      <c r="C13111">
        <v>1</v>
      </c>
      <c r="D13111" t="s">
        <v>17166</v>
      </c>
      <c r="F13111" t="s">
        <v>17246</v>
      </c>
      <c r="H13111" t="s">
        <v>23950</v>
      </c>
      <c r="I13111" t="s">
        <v>26604</v>
      </c>
      <c r="J13111" t="s">
        <v>47099</v>
      </c>
      <c r="L13111" t="s">
        <v>47182</v>
      </c>
      <c r="N13111" t="s">
        <v>28137</v>
      </c>
      <c r="P13111" t="s">
        <v>28240</v>
      </c>
      <c r="R13111" s="26" t="str">
        <f>HYPERLINK("https://ictv.global/taxonomy/taxondetails?taxnode_id=202306230","Hudivirus muscae")</f>
        <v>Hudivirus muscae</v>
      </c>
      <c r="S13111" t="s">
        <v>30</v>
      </c>
      <c r="T13111" t="s">
        <v>28241</v>
      </c>
      <c r="U13111" t="s">
        <v>28242</v>
      </c>
      <c r="V13111" t="s">
        <v>28243</v>
      </c>
      <c r="W13111" t="s">
        <v>28244</v>
      </c>
      <c r="X13111" t="s">
        <v>35</v>
      </c>
      <c r="Y13111" t="s">
        <v>23964</v>
      </c>
      <c r="Z13111" t="s">
        <v>10790</v>
      </c>
      <c r="AA13111" s="22" t="str">
        <f>HYPERLINK("https://www.ncbi.nlm.nih.gov/nuccore/KX884809,KX884810,KX884811","NCBI Nucleotide")</f>
        <v>NCBI Nucleotide</v>
      </c>
    </row>
    <row r="13112" spans="1:27" x14ac:dyDescent="0.35">
      <c r="A13112">
        <v>1000527</v>
      </c>
      <c r="B13112">
        <v>12249</v>
      </c>
      <c r="C13112">
        <v>1</v>
      </c>
      <c r="D13112" t="s">
        <v>17166</v>
      </c>
      <c r="F13112" t="s">
        <v>17246</v>
      </c>
      <c r="H13112" t="s">
        <v>23950</v>
      </c>
      <c r="I13112" t="s">
        <v>26604</v>
      </c>
      <c r="J13112" t="s">
        <v>47099</v>
      </c>
      <c r="L13112" t="s">
        <v>47182</v>
      </c>
      <c r="N13112" t="s">
        <v>28137</v>
      </c>
      <c r="P13112" t="s">
        <v>28245</v>
      </c>
      <c r="R13112" s="26" t="str">
        <f>HYPERLINK("https://ictv.global/taxonomy/taxondetails?taxnode_id=202306232","Hudovirus lepidopteris")</f>
        <v>Hudovirus lepidopteris</v>
      </c>
      <c r="S13112" t="s">
        <v>30</v>
      </c>
      <c r="T13112" t="s">
        <v>28246</v>
      </c>
      <c r="U13112" t="s">
        <v>28247</v>
      </c>
      <c r="V13112" t="s">
        <v>28248</v>
      </c>
      <c r="W13112" t="s">
        <v>28249</v>
      </c>
      <c r="X13112" t="s">
        <v>35</v>
      </c>
      <c r="Y13112" t="s">
        <v>23964</v>
      </c>
      <c r="Z13112" t="s">
        <v>10790</v>
      </c>
      <c r="AA13112" s="22" t="str">
        <f>HYPERLINK("https://www.ncbi.nlm.nih.gov/nuccore/KX884772,KX884773,KX884774","NCBI Nucleotide")</f>
        <v>NCBI Nucleotide</v>
      </c>
    </row>
    <row r="13113" spans="1:27" x14ac:dyDescent="0.35">
      <c r="A13113">
        <v>1000528</v>
      </c>
      <c r="B13113">
        <v>12250</v>
      </c>
      <c r="C13113">
        <v>1</v>
      </c>
      <c r="D13113" t="s">
        <v>17166</v>
      </c>
      <c r="F13113" t="s">
        <v>17246</v>
      </c>
      <c r="H13113" t="s">
        <v>23950</v>
      </c>
      <c r="I13113" t="s">
        <v>26604</v>
      </c>
      <c r="J13113" t="s">
        <v>47099</v>
      </c>
      <c r="L13113" t="s">
        <v>47182</v>
      </c>
      <c r="N13113" t="s">
        <v>28137</v>
      </c>
      <c r="P13113" t="s">
        <v>28250</v>
      </c>
      <c r="R13113" s="26" t="str">
        <f>HYPERLINK("https://ictv.global/taxonomy/taxondetails?taxnode_id=202307640","Ixovirus heckscherense")</f>
        <v>Ixovirus heckscherense</v>
      </c>
      <c r="S13113" t="s">
        <v>30</v>
      </c>
      <c r="T13113" t="s">
        <v>28251</v>
      </c>
      <c r="U13113" t="s">
        <v>28252</v>
      </c>
      <c r="V13113" t="s">
        <v>28253</v>
      </c>
      <c r="W13113" t="s">
        <v>28254</v>
      </c>
      <c r="X13113" t="s">
        <v>42</v>
      </c>
      <c r="Y13113" t="s">
        <v>23964</v>
      </c>
      <c r="Z13113" t="s">
        <v>10790</v>
      </c>
      <c r="AA13113" s="22" t="str">
        <f>HYPERLINK("https://www.ncbi.nlm.nih.gov/nuccore/KM048313,KM048314","NCBI Nucleotide")</f>
        <v>NCBI Nucleotide</v>
      </c>
    </row>
    <row r="13114" spans="1:27" x14ac:dyDescent="0.35">
      <c r="A13114">
        <v>1000529</v>
      </c>
      <c r="B13114">
        <v>12251</v>
      </c>
      <c r="C13114">
        <v>1</v>
      </c>
      <c r="D13114" t="s">
        <v>17166</v>
      </c>
      <c r="F13114" t="s">
        <v>17246</v>
      </c>
      <c r="H13114" t="s">
        <v>23950</v>
      </c>
      <c r="I13114" t="s">
        <v>26604</v>
      </c>
      <c r="J13114" t="s">
        <v>47099</v>
      </c>
      <c r="L13114" t="s">
        <v>47182</v>
      </c>
      <c r="N13114" t="s">
        <v>28137</v>
      </c>
      <c r="P13114" t="s">
        <v>28250</v>
      </c>
      <c r="R13114" s="26" t="str">
        <f>HYPERLINK("https://ictv.global/taxonomy/taxondetails?taxnode_id=202307642","Ixovirus ixodis")</f>
        <v>Ixovirus ixodis</v>
      </c>
      <c r="S13114" t="s">
        <v>30</v>
      </c>
      <c r="T13114" t="s">
        <v>28255</v>
      </c>
      <c r="U13114" t="s">
        <v>28256</v>
      </c>
      <c r="V13114" t="s">
        <v>13205</v>
      </c>
      <c r="W13114" t="s">
        <v>28257</v>
      </c>
      <c r="X13114" t="s">
        <v>35</v>
      </c>
      <c r="Y13114" t="s">
        <v>23964</v>
      </c>
      <c r="Z13114" t="s">
        <v>10790</v>
      </c>
      <c r="AA13114" s="22" t="str">
        <f>HYPERLINK("https://www.ncbi.nlm.nih.gov/nuccore/KU230449,KU230450","NCBI Nucleotide")</f>
        <v>NCBI Nucleotide</v>
      </c>
    </row>
    <row r="13115" spans="1:27" x14ac:dyDescent="0.35">
      <c r="A13115">
        <v>1000530</v>
      </c>
      <c r="B13115">
        <v>12252</v>
      </c>
      <c r="C13115">
        <v>1</v>
      </c>
      <c r="D13115" t="s">
        <v>17166</v>
      </c>
      <c r="F13115" t="s">
        <v>17246</v>
      </c>
      <c r="H13115" t="s">
        <v>23950</v>
      </c>
      <c r="I13115" t="s">
        <v>26604</v>
      </c>
      <c r="J13115" t="s">
        <v>47099</v>
      </c>
      <c r="L13115" t="s">
        <v>47182</v>
      </c>
      <c r="N13115" t="s">
        <v>28137</v>
      </c>
      <c r="P13115" t="s">
        <v>28250</v>
      </c>
      <c r="R13115" s="26" t="str">
        <f>HYPERLINK("https://ictv.global/taxonomy/taxondetails?taxnode_id=202307641","Ixovirus norvegiae")</f>
        <v>Ixovirus norvegiae</v>
      </c>
      <c r="S13115" t="s">
        <v>30</v>
      </c>
      <c r="T13115" t="s">
        <v>28258</v>
      </c>
      <c r="U13115" t="s">
        <v>20479</v>
      </c>
      <c r="V13115" t="s">
        <v>28259</v>
      </c>
      <c r="W13115" t="s">
        <v>28260</v>
      </c>
      <c r="X13115" t="s">
        <v>35</v>
      </c>
      <c r="Y13115" t="s">
        <v>23964</v>
      </c>
      <c r="Z13115" t="s">
        <v>10790</v>
      </c>
      <c r="AA13115" s="22" t="str">
        <f>HYPERLINK("https://www.ncbi.nlm.nih.gov/nuccore/MF141052,MF141053","NCBI Nucleotide")</f>
        <v>NCBI Nucleotide</v>
      </c>
    </row>
    <row r="13116" spans="1:27" x14ac:dyDescent="0.35">
      <c r="A13116">
        <v>1000531</v>
      </c>
      <c r="B13116">
        <v>12253</v>
      </c>
      <c r="C13116">
        <v>1</v>
      </c>
      <c r="D13116" t="s">
        <v>17166</v>
      </c>
      <c r="F13116" t="s">
        <v>17246</v>
      </c>
      <c r="H13116" t="s">
        <v>23950</v>
      </c>
      <c r="I13116" t="s">
        <v>26604</v>
      </c>
      <c r="J13116" t="s">
        <v>47099</v>
      </c>
      <c r="L13116" t="s">
        <v>47182</v>
      </c>
      <c r="N13116" t="s">
        <v>28137</v>
      </c>
      <c r="P13116" t="s">
        <v>28261</v>
      </c>
      <c r="R13116" s="26" t="str">
        <f>HYPERLINK("https://ictv.global/taxonomy/taxondetails?taxnode_id=202309833","Laulavirus alphaviticulum")</f>
        <v>Laulavirus alphaviticulum</v>
      </c>
      <c r="S13116" t="s">
        <v>30</v>
      </c>
      <c r="T13116" t="s">
        <v>28262</v>
      </c>
      <c r="U13116" t="s">
        <v>28263</v>
      </c>
      <c r="V13116" t="s">
        <v>28264</v>
      </c>
      <c r="W13116" t="s">
        <v>28265</v>
      </c>
      <c r="X13116" t="s">
        <v>35</v>
      </c>
      <c r="Y13116" t="s">
        <v>23964</v>
      </c>
      <c r="Z13116" t="s">
        <v>17496</v>
      </c>
      <c r="AA13116" s="22" t="str">
        <f>HYPERLINK("https://www.ncbi.nlm.nih.gov/nuccore/MN520754,MN520755,MN520756","NCBI Nucleotide")</f>
        <v>NCBI Nucleotide</v>
      </c>
    </row>
    <row r="13117" spans="1:27" x14ac:dyDescent="0.35">
      <c r="A13117">
        <v>1000532</v>
      </c>
      <c r="B13117">
        <v>12254</v>
      </c>
      <c r="C13117">
        <v>1</v>
      </c>
      <c r="D13117" t="s">
        <v>17166</v>
      </c>
      <c r="F13117" t="s">
        <v>17246</v>
      </c>
      <c r="H13117" t="s">
        <v>23950</v>
      </c>
      <c r="I13117" t="s">
        <v>26604</v>
      </c>
      <c r="J13117" t="s">
        <v>47099</v>
      </c>
      <c r="L13117" t="s">
        <v>47182</v>
      </c>
      <c r="N13117" t="s">
        <v>28137</v>
      </c>
      <c r="P13117" t="s">
        <v>28261</v>
      </c>
      <c r="R13117" s="26" t="str">
        <f>HYPERLINK("https://ictv.global/taxonomy/taxondetails?taxnode_id=202309834","Laulavirus betaviticulum")</f>
        <v>Laulavirus betaviticulum</v>
      </c>
      <c r="S13117" t="s">
        <v>30</v>
      </c>
      <c r="T13117" t="s">
        <v>28266</v>
      </c>
      <c r="U13117" t="s">
        <v>28267</v>
      </c>
      <c r="V13117" t="s">
        <v>28268</v>
      </c>
      <c r="W13117" t="s">
        <v>28269</v>
      </c>
      <c r="X13117" t="s">
        <v>35</v>
      </c>
      <c r="Y13117" t="s">
        <v>23964</v>
      </c>
      <c r="Z13117" t="s">
        <v>17496</v>
      </c>
      <c r="AA13117" s="22" t="str">
        <f>HYPERLINK("https://www.ncbi.nlm.nih.gov/nuccore/MN520757,MN520758,MN520759","NCBI Nucleotide")</f>
        <v>NCBI Nucleotide</v>
      </c>
    </row>
    <row r="13118" spans="1:27" x14ac:dyDescent="0.35">
      <c r="A13118">
        <v>1000533</v>
      </c>
      <c r="B13118">
        <v>12255</v>
      </c>
      <c r="C13118">
        <v>1</v>
      </c>
      <c r="D13118" t="s">
        <v>17166</v>
      </c>
      <c r="F13118" t="s">
        <v>17246</v>
      </c>
      <c r="H13118" t="s">
        <v>23950</v>
      </c>
      <c r="I13118" t="s">
        <v>26604</v>
      </c>
      <c r="J13118" t="s">
        <v>47099</v>
      </c>
      <c r="L13118" t="s">
        <v>47182</v>
      </c>
      <c r="N13118" t="s">
        <v>28137</v>
      </c>
      <c r="P13118" t="s">
        <v>28261</v>
      </c>
      <c r="R13118" s="26" t="str">
        <f>HYPERLINK("https://ictv.global/taxonomy/taxondetails?taxnode_id=202309835","Laulavirus gammaviticulum")</f>
        <v>Laulavirus gammaviticulum</v>
      </c>
      <c r="S13118" t="s">
        <v>30</v>
      </c>
      <c r="T13118" t="s">
        <v>28270</v>
      </c>
      <c r="U13118" t="s">
        <v>28271</v>
      </c>
      <c r="V13118" t="s">
        <v>28272</v>
      </c>
      <c r="W13118" t="s">
        <v>28273</v>
      </c>
      <c r="X13118" t="s">
        <v>35</v>
      </c>
      <c r="Y13118" t="s">
        <v>50974</v>
      </c>
      <c r="Z13118" t="s">
        <v>17496</v>
      </c>
      <c r="AA13118" s="22" t="str">
        <f>HYPERLINK("https://www.ncbi.nlm.nih.gov/nuccore/MT353902,MT353903,MT353904","NCBI Nucleotide")</f>
        <v>NCBI Nucleotide</v>
      </c>
    </row>
    <row r="13119" spans="1:27" x14ac:dyDescent="0.35">
      <c r="A13119">
        <v>1000534</v>
      </c>
      <c r="B13119">
        <v>12256</v>
      </c>
      <c r="C13119">
        <v>1</v>
      </c>
      <c r="D13119" t="s">
        <v>17166</v>
      </c>
      <c r="F13119" t="s">
        <v>17246</v>
      </c>
      <c r="H13119" t="s">
        <v>23950</v>
      </c>
      <c r="I13119" t="s">
        <v>26604</v>
      </c>
      <c r="J13119" t="s">
        <v>47099</v>
      </c>
      <c r="L13119" t="s">
        <v>47182</v>
      </c>
      <c r="N13119" t="s">
        <v>28137</v>
      </c>
      <c r="P13119" t="s">
        <v>28261</v>
      </c>
      <c r="R13119" s="26" t="str">
        <f>HYPERLINK("https://ictv.global/taxonomy/taxondetails?taxnode_id=202306609","Laulavirus laurelense")</f>
        <v>Laulavirus laurelense</v>
      </c>
      <c r="S13119" t="s">
        <v>30</v>
      </c>
      <c r="T13119" t="s">
        <v>28274</v>
      </c>
      <c r="U13119" t="s">
        <v>27866</v>
      </c>
      <c r="V13119" t="s">
        <v>28275</v>
      </c>
      <c r="W13119" t="s">
        <v>50696</v>
      </c>
      <c r="X13119" t="s">
        <v>42</v>
      </c>
      <c r="Y13119" t="s">
        <v>23964</v>
      </c>
      <c r="Z13119" t="s">
        <v>10790</v>
      </c>
      <c r="AA13119" s="22" t="str">
        <f>HYPERLINK("https://www.ncbi.nlm.nih.gov/nuccore/KX774630,MG256515,KX774631","NCBI Nucleotide")</f>
        <v>NCBI Nucleotide</v>
      </c>
    </row>
    <row r="13120" spans="1:27" x14ac:dyDescent="0.35">
      <c r="A13120">
        <v>1000535</v>
      </c>
      <c r="B13120">
        <v>12257</v>
      </c>
      <c r="C13120">
        <v>1</v>
      </c>
      <c r="D13120" t="s">
        <v>17166</v>
      </c>
      <c r="F13120" t="s">
        <v>17246</v>
      </c>
      <c r="H13120" t="s">
        <v>23950</v>
      </c>
      <c r="I13120" t="s">
        <v>26604</v>
      </c>
      <c r="J13120" t="s">
        <v>47099</v>
      </c>
      <c r="L13120" t="s">
        <v>47182</v>
      </c>
      <c r="N13120" t="s">
        <v>28137</v>
      </c>
      <c r="P13120" t="s">
        <v>28261</v>
      </c>
      <c r="R13120" s="26" t="str">
        <f>HYPERLINK("https://ictv.global/taxonomy/taxondetails?taxnode_id=202314264","Laulavirus wardellense")</f>
        <v>Laulavirus wardellense</v>
      </c>
      <c r="S13120" t="s">
        <v>30</v>
      </c>
      <c r="T13120" t="s">
        <v>28276</v>
      </c>
      <c r="U13120" t="s">
        <v>28277</v>
      </c>
      <c r="V13120" t="s">
        <v>28278</v>
      </c>
      <c r="W13120" t="s">
        <v>50845</v>
      </c>
      <c r="X13120" t="s">
        <v>154</v>
      </c>
      <c r="Y13120" t="s">
        <v>23964</v>
      </c>
      <c r="Z13120" t="s">
        <v>10790</v>
      </c>
      <c r="AA13120" s="22" t="str">
        <f>HYPERLINK("https://www.ncbi.nlm.nih.gov/nuccore/MW741894,MW741896,MW741895","NCBI Nucleotide")</f>
        <v>NCBI Nucleotide</v>
      </c>
    </row>
    <row r="13121" spans="1:27" x14ac:dyDescent="0.35">
      <c r="A13121">
        <v>1000536</v>
      </c>
      <c r="B13121">
        <v>12258</v>
      </c>
      <c r="C13121">
        <v>1</v>
      </c>
      <c r="D13121" t="s">
        <v>17166</v>
      </c>
      <c r="F13121" t="s">
        <v>17246</v>
      </c>
      <c r="H13121" t="s">
        <v>23950</v>
      </c>
      <c r="I13121" t="s">
        <v>26604</v>
      </c>
      <c r="J13121" t="s">
        <v>47099</v>
      </c>
      <c r="L13121" t="s">
        <v>47182</v>
      </c>
      <c r="N13121" t="s">
        <v>28137</v>
      </c>
      <c r="P13121" t="s">
        <v>28279</v>
      </c>
      <c r="R13121" s="26" t="str">
        <f>HYPERLINK("https://ictv.global/taxonomy/taxondetails?taxnode_id=202307646","Lentinuvirus lentinulae")</f>
        <v>Lentinuvirus lentinulae</v>
      </c>
      <c r="S13121" t="s">
        <v>30</v>
      </c>
      <c r="T13121" t="s">
        <v>28280</v>
      </c>
      <c r="U13121" t="s">
        <v>28281</v>
      </c>
      <c r="V13121" t="s">
        <v>24647</v>
      </c>
      <c r="W13121" t="s">
        <v>28282</v>
      </c>
      <c r="X13121" t="s">
        <v>35</v>
      </c>
      <c r="Y13121" t="s">
        <v>50974</v>
      </c>
      <c r="Z13121" t="s">
        <v>16721</v>
      </c>
      <c r="AA13121" s="22" t="str">
        <f>HYPERLINK("https://www.ncbi.nlm.nih.gov/nuccore/LC466008,LC466009","NCBI Nucleotide")</f>
        <v>NCBI Nucleotide</v>
      </c>
    </row>
    <row r="13122" spans="1:27" x14ac:dyDescent="0.35">
      <c r="A13122">
        <v>1000537</v>
      </c>
      <c r="B13122">
        <v>12259</v>
      </c>
      <c r="C13122">
        <v>1</v>
      </c>
      <c r="D13122" t="s">
        <v>17166</v>
      </c>
      <c r="F13122" t="s">
        <v>17246</v>
      </c>
      <c r="H13122" t="s">
        <v>23950</v>
      </c>
      <c r="I13122" t="s">
        <v>26604</v>
      </c>
      <c r="J13122" t="s">
        <v>47099</v>
      </c>
      <c r="L13122" t="s">
        <v>47182</v>
      </c>
      <c r="N13122" t="s">
        <v>28137</v>
      </c>
      <c r="P13122" t="s">
        <v>28283</v>
      </c>
      <c r="R13122" s="26" t="str">
        <f>HYPERLINK("https://ictv.global/taxonomy/taxondetails?taxnode_id=202307650","Mechlorovirus cucumeris")</f>
        <v>Mechlorovirus cucumeris</v>
      </c>
      <c r="S13122" t="s">
        <v>30</v>
      </c>
      <c r="T13122" t="s">
        <v>28284</v>
      </c>
      <c r="U13122" t="s">
        <v>28285</v>
      </c>
      <c r="V13122" t="s">
        <v>28286</v>
      </c>
      <c r="W13122" t="s">
        <v>28287</v>
      </c>
      <c r="X13122" t="s">
        <v>42</v>
      </c>
      <c r="Y13122" t="s">
        <v>50974</v>
      </c>
      <c r="Z13122" t="s">
        <v>15964</v>
      </c>
      <c r="AA13122" s="22" t="str">
        <f>HYPERLINK("https://www.ncbi.nlm.nih.gov/nuccore/MH817469,MH817470,MH817471,MH817472,MH817473,MH817474,MH817475,MH817476","NCBI Nucleotide")</f>
        <v>NCBI Nucleotide</v>
      </c>
    </row>
    <row r="13123" spans="1:27" x14ac:dyDescent="0.35">
      <c r="A13123">
        <v>1024480</v>
      </c>
      <c r="B13123">
        <v>12260</v>
      </c>
      <c r="C13123">
        <v>1</v>
      </c>
      <c r="D13123" t="s">
        <v>17166</v>
      </c>
      <c r="F13123" t="s">
        <v>17246</v>
      </c>
      <c r="H13123" t="s">
        <v>23950</v>
      </c>
      <c r="I13123" t="s">
        <v>26604</v>
      </c>
      <c r="J13123" t="s">
        <v>47099</v>
      </c>
      <c r="L13123" t="s">
        <v>47182</v>
      </c>
      <c r="N13123" t="s">
        <v>28137</v>
      </c>
      <c r="P13123" t="s">
        <v>28283</v>
      </c>
      <c r="R13123" s="26" t="str">
        <f>HYPERLINK("https://ictv.global/taxonomy/taxondetails?taxnode_id=202318487","Mechlorovirus ramuense")</f>
        <v>Mechlorovirus ramuense</v>
      </c>
      <c r="S13123" t="s">
        <v>30</v>
      </c>
      <c r="T13123" t="s">
        <v>47257</v>
      </c>
      <c r="U13123" t="s">
        <v>47258</v>
      </c>
      <c r="V13123" t="s">
        <v>47259</v>
      </c>
      <c r="W13123" t="s">
        <v>47260</v>
      </c>
      <c r="X13123" t="s">
        <v>42</v>
      </c>
      <c r="Y13123" t="s">
        <v>50974</v>
      </c>
      <c r="Z13123" t="s">
        <v>13441</v>
      </c>
      <c r="AA13123" s="22" t="str">
        <f>HYPERLINK("https://www.ncbi.nlm.nih.gov/nuccore/KR094115,KR094116,KR698381,KR094117,KR094118,KR094119","NCBI Nucleotide")</f>
        <v>NCBI Nucleotide</v>
      </c>
    </row>
    <row r="13124" spans="1:27" x14ac:dyDescent="0.35">
      <c r="A13124">
        <v>1000538</v>
      </c>
      <c r="B13124">
        <v>12261</v>
      </c>
      <c r="C13124">
        <v>1</v>
      </c>
      <c r="D13124" t="s">
        <v>17166</v>
      </c>
      <c r="F13124" t="s">
        <v>17246</v>
      </c>
      <c r="H13124" t="s">
        <v>23950</v>
      </c>
      <c r="I13124" t="s">
        <v>26604</v>
      </c>
      <c r="J13124" t="s">
        <v>47099</v>
      </c>
      <c r="L13124" t="s">
        <v>47182</v>
      </c>
      <c r="N13124" t="s">
        <v>28137</v>
      </c>
      <c r="P13124" t="s">
        <v>28288</v>
      </c>
      <c r="R13124" s="26" t="str">
        <f>HYPERLINK("https://ictv.global/taxonomy/taxondetails?taxnode_id=202314263","Mobuvirus arnae")</f>
        <v>Mobuvirus arnae</v>
      </c>
      <c r="S13124" t="s">
        <v>30</v>
      </c>
      <c r="T13124" t="s">
        <v>28289</v>
      </c>
      <c r="U13124" t="s">
        <v>28290</v>
      </c>
      <c r="V13124" t="s">
        <v>28291</v>
      </c>
      <c r="W13124" t="s">
        <v>28292</v>
      </c>
      <c r="X13124" t="s">
        <v>42</v>
      </c>
      <c r="Y13124" t="s">
        <v>23964</v>
      </c>
      <c r="Z13124" t="s">
        <v>10790</v>
      </c>
      <c r="AA13124" s="22" t="str">
        <f>HYPERLINK("https://www.ncbi.nlm.nih.gov/nuccore/MN752229,MN752230,MN752231","NCBI Nucleotide")</f>
        <v>NCBI Nucleotide</v>
      </c>
    </row>
    <row r="13125" spans="1:27" x14ac:dyDescent="0.35">
      <c r="A13125">
        <v>1000539</v>
      </c>
      <c r="B13125">
        <v>12262</v>
      </c>
      <c r="C13125">
        <v>1</v>
      </c>
      <c r="D13125" t="s">
        <v>17166</v>
      </c>
      <c r="F13125" t="s">
        <v>17246</v>
      </c>
      <c r="H13125" t="s">
        <v>23950</v>
      </c>
      <c r="I13125" t="s">
        <v>26604</v>
      </c>
      <c r="J13125" t="s">
        <v>47099</v>
      </c>
      <c r="L13125" t="s">
        <v>47182</v>
      </c>
      <c r="N13125" t="s">
        <v>28137</v>
      </c>
      <c r="P13125" t="s">
        <v>28288</v>
      </c>
      <c r="R13125" s="26" t="str">
        <f>HYPERLINK("https://ictv.global/taxonomy/taxondetails?taxnode_id=202306234","Mobuvirus mothrae")</f>
        <v>Mobuvirus mothrae</v>
      </c>
      <c r="S13125" t="s">
        <v>30</v>
      </c>
      <c r="T13125" t="s">
        <v>28293</v>
      </c>
      <c r="U13125" t="s">
        <v>28294</v>
      </c>
      <c r="V13125" t="s">
        <v>19634</v>
      </c>
      <c r="W13125" t="s">
        <v>28295</v>
      </c>
      <c r="X13125" t="s">
        <v>35</v>
      </c>
      <c r="Y13125" t="s">
        <v>23964</v>
      </c>
      <c r="Z13125" t="s">
        <v>10790</v>
      </c>
      <c r="AA13125" s="22" t="str">
        <f>HYPERLINK("https://www.ncbi.nlm.nih.gov/nuccore/KX272883,KX272884,KX272885","NCBI Nucleotide")</f>
        <v>NCBI Nucleotide</v>
      </c>
    </row>
    <row r="13126" spans="1:27" x14ac:dyDescent="0.35">
      <c r="A13126">
        <v>1000540</v>
      </c>
      <c r="B13126">
        <v>12263</v>
      </c>
      <c r="C13126">
        <v>1</v>
      </c>
      <c r="D13126" t="s">
        <v>17166</v>
      </c>
      <c r="F13126" t="s">
        <v>17246</v>
      </c>
      <c r="H13126" t="s">
        <v>23950</v>
      </c>
      <c r="I13126" t="s">
        <v>26604</v>
      </c>
      <c r="J13126" t="s">
        <v>47099</v>
      </c>
      <c r="L13126" t="s">
        <v>47182</v>
      </c>
      <c r="N13126" t="s">
        <v>28137</v>
      </c>
      <c r="P13126" t="s">
        <v>28288</v>
      </c>
      <c r="R13126" s="26" t="str">
        <f>HYPERLINK("https://ictv.global/taxonomy/taxondetails?taxnode_id=202309838","Mobuvirus narangueense")</f>
        <v>Mobuvirus narangueense</v>
      </c>
      <c r="S13126" t="s">
        <v>30</v>
      </c>
      <c r="T13126" t="s">
        <v>28296</v>
      </c>
      <c r="U13126" t="s">
        <v>28297</v>
      </c>
      <c r="V13126" t="s">
        <v>28298</v>
      </c>
      <c r="W13126" t="s">
        <v>50846</v>
      </c>
      <c r="X13126" t="s">
        <v>35</v>
      </c>
      <c r="Y13126" t="s">
        <v>23964</v>
      </c>
      <c r="Z13126" t="s">
        <v>10790</v>
      </c>
      <c r="AA13126" s="22" t="str">
        <f>HYPERLINK("https://www.ncbi.nlm.nih.gov/nuccore/MN661012,MN661014,MN661013","NCBI Nucleotide")</f>
        <v>NCBI Nucleotide</v>
      </c>
    </row>
    <row r="13127" spans="1:27" x14ac:dyDescent="0.35">
      <c r="A13127">
        <v>1000541</v>
      </c>
      <c r="B13127">
        <v>12264</v>
      </c>
      <c r="C13127">
        <v>1</v>
      </c>
      <c r="D13127" t="s">
        <v>17166</v>
      </c>
      <c r="F13127" t="s">
        <v>17246</v>
      </c>
      <c r="H13127" t="s">
        <v>23950</v>
      </c>
      <c r="I13127" t="s">
        <v>26604</v>
      </c>
      <c r="J13127" t="s">
        <v>47099</v>
      </c>
      <c r="L13127" t="s">
        <v>47182</v>
      </c>
      <c r="N13127" t="s">
        <v>28137</v>
      </c>
      <c r="P13127" t="s">
        <v>28288</v>
      </c>
      <c r="R13127" s="26" t="str">
        <f>HYPERLINK("https://ictv.global/taxonomy/taxondetails?taxnode_id=202314262","Mobuvirus stephanocirci")</f>
        <v>Mobuvirus stephanocirci</v>
      </c>
      <c r="S13127" t="s">
        <v>30</v>
      </c>
      <c r="T13127" t="s">
        <v>28299</v>
      </c>
      <c r="U13127" t="s">
        <v>28300</v>
      </c>
      <c r="V13127" t="s">
        <v>28301</v>
      </c>
      <c r="W13127" t="s">
        <v>28302</v>
      </c>
      <c r="X13127" t="s">
        <v>42</v>
      </c>
      <c r="Y13127" t="s">
        <v>23964</v>
      </c>
      <c r="Z13127" t="s">
        <v>10790</v>
      </c>
      <c r="AA13127" s="22" t="str">
        <f>HYPERLINK("https://www.ncbi.nlm.nih.gov/nuccore/MN167501,MN167502","NCBI Nucleotide")</f>
        <v>NCBI Nucleotide</v>
      </c>
    </row>
    <row r="13128" spans="1:27" x14ac:dyDescent="0.35">
      <c r="A13128">
        <v>1000542</v>
      </c>
      <c r="B13128">
        <v>12265</v>
      </c>
      <c r="C13128">
        <v>1</v>
      </c>
      <c r="D13128" t="s">
        <v>17166</v>
      </c>
      <c r="F13128" t="s">
        <v>17246</v>
      </c>
      <c r="H13128" t="s">
        <v>23950</v>
      </c>
      <c r="I13128" t="s">
        <v>26604</v>
      </c>
      <c r="J13128" t="s">
        <v>47099</v>
      </c>
      <c r="L13128" t="s">
        <v>47182</v>
      </c>
      <c r="N13128" t="s">
        <v>28137</v>
      </c>
      <c r="P13128" t="s">
        <v>28303</v>
      </c>
      <c r="R13128" s="26" t="str">
        <f>HYPERLINK("https://ictv.global/taxonomy/taxondetails?taxnode_id=202300153","Phasivirus baduense")</f>
        <v>Phasivirus baduense</v>
      </c>
      <c r="S13128" t="s">
        <v>30</v>
      </c>
      <c r="T13128" t="s">
        <v>28304</v>
      </c>
      <c r="U13128" t="s">
        <v>28305</v>
      </c>
      <c r="V13128" t="s">
        <v>28306</v>
      </c>
      <c r="W13128" t="s">
        <v>28307</v>
      </c>
      <c r="X13128" t="s">
        <v>42</v>
      </c>
      <c r="Y13128" t="s">
        <v>23964</v>
      </c>
      <c r="Z13128" t="s">
        <v>10790</v>
      </c>
      <c r="AA13128" s="22" t="str">
        <f>HYPERLINK("https://www.ncbi.nlm.nih.gov/nuccore/KT693187,KT693188,KT693189","NCBI Nucleotide")</f>
        <v>NCBI Nucleotide</v>
      </c>
    </row>
    <row r="13129" spans="1:27" x14ac:dyDescent="0.35">
      <c r="A13129">
        <v>1000543</v>
      </c>
      <c r="B13129">
        <v>12266</v>
      </c>
      <c r="C13129">
        <v>1</v>
      </c>
      <c r="D13129" t="s">
        <v>17166</v>
      </c>
      <c r="F13129" t="s">
        <v>17246</v>
      </c>
      <c r="H13129" t="s">
        <v>23950</v>
      </c>
      <c r="I13129" t="s">
        <v>26604</v>
      </c>
      <c r="J13129" t="s">
        <v>47099</v>
      </c>
      <c r="L13129" t="s">
        <v>47182</v>
      </c>
      <c r="N13129" t="s">
        <v>28137</v>
      </c>
      <c r="P13129" t="s">
        <v>28303</v>
      </c>
      <c r="R13129" s="26" t="str">
        <f>HYPERLINK("https://ictv.global/taxonomy/taxondetails?taxnode_id=202309840","Phasivirus guadeloupeense")</f>
        <v>Phasivirus guadeloupeense</v>
      </c>
      <c r="S13129" t="s">
        <v>30</v>
      </c>
      <c r="T13129" t="s">
        <v>28308</v>
      </c>
      <c r="U13129" t="s">
        <v>28309</v>
      </c>
      <c r="V13129" t="s">
        <v>28310</v>
      </c>
      <c r="W13129" t="s">
        <v>28311</v>
      </c>
      <c r="X13129" t="s">
        <v>35</v>
      </c>
      <c r="Y13129" t="s">
        <v>23964</v>
      </c>
      <c r="Z13129" t="s">
        <v>10790</v>
      </c>
      <c r="AA13129" s="22" t="str">
        <f>HYPERLINK("https://www.ncbi.nlm.nih.gov/nuccore/MN053784,MN053785,MN053786","NCBI Nucleotide")</f>
        <v>NCBI Nucleotide</v>
      </c>
    </row>
    <row r="13130" spans="1:27" x14ac:dyDescent="0.35">
      <c r="A13130">
        <v>1000544</v>
      </c>
      <c r="B13130">
        <v>12267</v>
      </c>
      <c r="C13130">
        <v>1</v>
      </c>
      <c r="D13130" t="s">
        <v>17166</v>
      </c>
      <c r="F13130" t="s">
        <v>17246</v>
      </c>
      <c r="H13130" t="s">
        <v>23950</v>
      </c>
      <c r="I13130" t="s">
        <v>26604</v>
      </c>
      <c r="J13130" t="s">
        <v>47099</v>
      </c>
      <c r="L13130" t="s">
        <v>47182</v>
      </c>
      <c r="N13130" t="s">
        <v>28137</v>
      </c>
      <c r="P13130" t="s">
        <v>28303</v>
      </c>
      <c r="R13130" s="26" t="str">
        <f>HYPERLINK("https://ictv.global/taxonomy/taxondetails?taxnode_id=202306238","Phasivirus hubeiense")</f>
        <v>Phasivirus hubeiense</v>
      </c>
      <c r="S13130" t="s">
        <v>30</v>
      </c>
      <c r="T13130" t="s">
        <v>28312</v>
      </c>
      <c r="U13130" t="s">
        <v>28313</v>
      </c>
      <c r="V13130" t="s">
        <v>28314</v>
      </c>
      <c r="W13130" t="s">
        <v>28315</v>
      </c>
      <c r="X13130" t="s">
        <v>35</v>
      </c>
      <c r="Y13130" t="s">
        <v>23964</v>
      </c>
      <c r="Z13130" t="s">
        <v>10790</v>
      </c>
      <c r="AA13130" s="22" t="str">
        <f>HYPERLINK("https://www.ncbi.nlm.nih.gov/nuccore/KX884799,KX884800,KX884801","NCBI Nucleotide")</f>
        <v>NCBI Nucleotide</v>
      </c>
    </row>
    <row r="13131" spans="1:27" x14ac:dyDescent="0.35">
      <c r="A13131">
        <v>1000545</v>
      </c>
      <c r="B13131">
        <v>12268</v>
      </c>
      <c r="C13131">
        <v>1</v>
      </c>
      <c r="D13131" t="s">
        <v>17166</v>
      </c>
      <c r="F13131" t="s">
        <v>17246</v>
      </c>
      <c r="H13131" t="s">
        <v>23950</v>
      </c>
      <c r="I13131" t="s">
        <v>26604</v>
      </c>
      <c r="J13131" t="s">
        <v>47099</v>
      </c>
      <c r="L13131" t="s">
        <v>47182</v>
      </c>
      <c r="N13131" t="s">
        <v>28137</v>
      </c>
      <c r="P13131" t="s">
        <v>28303</v>
      </c>
      <c r="R13131" s="26" t="str">
        <f>HYPERLINK("https://ictv.global/taxonomy/taxondetails?taxnode_id=202309839","Phasivirus parryense")</f>
        <v>Phasivirus parryense</v>
      </c>
      <c r="S13131" t="s">
        <v>30</v>
      </c>
      <c r="T13131" t="s">
        <v>28316</v>
      </c>
      <c r="U13131" t="s">
        <v>28317</v>
      </c>
      <c r="V13131" t="s">
        <v>28318</v>
      </c>
      <c r="W13131" t="s">
        <v>28319</v>
      </c>
      <c r="X13131" t="s">
        <v>35</v>
      </c>
      <c r="Y13131" t="s">
        <v>23964</v>
      </c>
      <c r="Z13131" t="s">
        <v>10790</v>
      </c>
      <c r="AA13131" s="22" t="str">
        <f>HYPERLINK("https://www.ncbi.nlm.nih.gov/nuccore/MT498816,MT498818,MT498817","NCBI Nucleotide")</f>
        <v>NCBI Nucleotide</v>
      </c>
    </row>
    <row r="13132" spans="1:27" x14ac:dyDescent="0.35">
      <c r="A13132">
        <v>1000546</v>
      </c>
      <c r="B13132">
        <v>12269</v>
      </c>
      <c r="C13132">
        <v>1</v>
      </c>
      <c r="D13132" t="s">
        <v>17166</v>
      </c>
      <c r="F13132" t="s">
        <v>17246</v>
      </c>
      <c r="H13132" t="s">
        <v>23950</v>
      </c>
      <c r="I13132" t="s">
        <v>26604</v>
      </c>
      <c r="J13132" t="s">
        <v>47099</v>
      </c>
      <c r="L13132" t="s">
        <v>47182</v>
      </c>
      <c r="N13132" t="s">
        <v>28137</v>
      </c>
      <c r="P13132" t="s">
        <v>28303</v>
      </c>
      <c r="R13132" s="26" t="str">
        <f>HYPERLINK("https://ictv.global/taxonomy/taxondetails?taxnode_id=202300154","Phasivirus phasiense")</f>
        <v>Phasivirus phasiense</v>
      </c>
      <c r="S13132" t="s">
        <v>30</v>
      </c>
      <c r="T13132" t="s">
        <v>28320</v>
      </c>
      <c r="U13132" t="s">
        <v>28321</v>
      </c>
      <c r="V13132" t="s">
        <v>28322</v>
      </c>
      <c r="W13132" t="s">
        <v>50697</v>
      </c>
      <c r="X13132" t="s">
        <v>42</v>
      </c>
      <c r="Y13132" t="s">
        <v>23964</v>
      </c>
      <c r="Z13132" t="s">
        <v>10790</v>
      </c>
      <c r="AA13132" s="22" t="str">
        <f>HYPERLINK("https://www.ncbi.nlm.nih.gov/nuccore/KR003786,KR003784,KR003785","NCBI Nucleotide")</f>
        <v>NCBI Nucleotide</v>
      </c>
    </row>
    <row r="13133" spans="1:27" x14ac:dyDescent="0.35">
      <c r="A13133">
        <v>1000547</v>
      </c>
      <c r="B13133">
        <v>12270</v>
      </c>
      <c r="C13133">
        <v>1</v>
      </c>
      <c r="D13133" t="s">
        <v>17166</v>
      </c>
      <c r="F13133" t="s">
        <v>17246</v>
      </c>
      <c r="H13133" t="s">
        <v>23950</v>
      </c>
      <c r="I13133" t="s">
        <v>26604</v>
      </c>
      <c r="J13133" t="s">
        <v>47099</v>
      </c>
      <c r="L13133" t="s">
        <v>47182</v>
      </c>
      <c r="N13133" t="s">
        <v>28137</v>
      </c>
      <c r="P13133" t="s">
        <v>28303</v>
      </c>
      <c r="R13133" s="26" t="str">
        <f>HYPERLINK("https://ictv.global/taxonomy/taxondetails?taxnode_id=202306239","Phasivirus wuhanense")</f>
        <v>Phasivirus wuhanense</v>
      </c>
      <c r="S13133" t="s">
        <v>30</v>
      </c>
      <c r="T13133" t="s">
        <v>28323</v>
      </c>
      <c r="U13133" t="s">
        <v>28324</v>
      </c>
      <c r="V13133" t="s">
        <v>28325</v>
      </c>
      <c r="W13133" t="s">
        <v>28326</v>
      </c>
      <c r="X13133" t="s">
        <v>35</v>
      </c>
      <c r="Y13133" t="s">
        <v>23964</v>
      </c>
      <c r="Z13133" t="s">
        <v>10790</v>
      </c>
      <c r="AA13133" s="22" t="str">
        <f>HYPERLINK("https://www.ncbi.nlm.nih.gov/nuccore/KM817689,KM817722,KM817749","NCBI Nucleotide")</f>
        <v>NCBI Nucleotide</v>
      </c>
    </row>
    <row r="13134" spans="1:27" x14ac:dyDescent="0.35">
      <c r="A13134">
        <v>1000548</v>
      </c>
      <c r="B13134">
        <v>12271</v>
      </c>
      <c r="C13134">
        <v>1</v>
      </c>
      <c r="D13134" t="s">
        <v>17166</v>
      </c>
      <c r="F13134" t="s">
        <v>17246</v>
      </c>
      <c r="H13134" t="s">
        <v>23950</v>
      </c>
      <c r="I13134" t="s">
        <v>26604</v>
      </c>
      <c r="J13134" t="s">
        <v>47099</v>
      </c>
      <c r="L13134" t="s">
        <v>47182</v>
      </c>
      <c r="N13134" t="s">
        <v>28137</v>
      </c>
      <c r="P13134" t="s">
        <v>28303</v>
      </c>
      <c r="R13134" s="26" t="str">
        <f>HYPERLINK("https://ictv.global/taxonomy/taxondetails?taxnode_id=202300156","Phasivirus wutaiense")</f>
        <v>Phasivirus wutaiense</v>
      </c>
      <c r="S13134" t="s">
        <v>30</v>
      </c>
      <c r="T13134" t="s">
        <v>28327</v>
      </c>
      <c r="U13134" t="s">
        <v>28328</v>
      </c>
      <c r="V13134" t="s">
        <v>28329</v>
      </c>
      <c r="W13134" t="s">
        <v>28330</v>
      </c>
      <c r="X13134" t="s">
        <v>42</v>
      </c>
      <c r="Y13134" t="s">
        <v>23964</v>
      </c>
      <c r="Z13134" t="s">
        <v>10790</v>
      </c>
      <c r="AA13134" s="22" t="str">
        <f>HYPERLINK("https://www.ncbi.nlm.nih.gov/nuccore/KM817700,KM817728,KM817761","NCBI Nucleotide")</f>
        <v>NCBI Nucleotide</v>
      </c>
    </row>
    <row r="13135" spans="1:27" x14ac:dyDescent="0.35">
      <c r="A13135">
        <v>1000550</v>
      </c>
      <c r="B13135">
        <v>12272</v>
      </c>
      <c r="C13135">
        <v>1</v>
      </c>
      <c r="D13135" t="s">
        <v>17166</v>
      </c>
      <c r="F13135" t="s">
        <v>17246</v>
      </c>
      <c r="H13135" t="s">
        <v>23950</v>
      </c>
      <c r="I13135" t="s">
        <v>26604</v>
      </c>
      <c r="J13135" t="s">
        <v>47099</v>
      </c>
      <c r="L13135" t="s">
        <v>47182</v>
      </c>
      <c r="N13135" t="s">
        <v>28137</v>
      </c>
      <c r="P13135" t="s">
        <v>28331</v>
      </c>
      <c r="R13135" s="26" t="str">
        <f>HYPERLINK("https://ictv.global/taxonomy/taxondetails?taxnode_id=202307619","Phlebovirus adanaense")</f>
        <v>Phlebovirus adanaense</v>
      </c>
      <c r="S13135" t="s">
        <v>30</v>
      </c>
      <c r="T13135" t="s">
        <v>28335</v>
      </c>
      <c r="U13135" t="s">
        <v>28336</v>
      </c>
      <c r="V13135">
        <v>195</v>
      </c>
      <c r="W13135" t="s">
        <v>28337</v>
      </c>
      <c r="X13135" t="s">
        <v>42</v>
      </c>
      <c r="Y13135" t="s">
        <v>50974</v>
      </c>
      <c r="Z13135" t="s">
        <v>12289</v>
      </c>
      <c r="AA13135" s="22" t="str">
        <f>HYPERLINK("https://www.ncbi.nlm.nih.gov/nuccore/KJ939330,KJ939331,KJ939332","NCBI Nucleotide")</f>
        <v>NCBI Nucleotide</v>
      </c>
    </row>
    <row r="13136" spans="1:27" x14ac:dyDescent="0.35">
      <c r="A13136">
        <v>1000551</v>
      </c>
      <c r="B13136">
        <v>12273</v>
      </c>
      <c r="C13136">
        <v>1</v>
      </c>
      <c r="D13136" t="s">
        <v>17166</v>
      </c>
      <c r="F13136" t="s">
        <v>17246</v>
      </c>
      <c r="H13136" t="s">
        <v>23950</v>
      </c>
      <c r="I13136" t="s">
        <v>26604</v>
      </c>
      <c r="J13136" t="s">
        <v>47099</v>
      </c>
      <c r="L13136" t="s">
        <v>47182</v>
      </c>
      <c r="N13136" t="s">
        <v>28137</v>
      </c>
      <c r="P13136" t="s">
        <v>28331</v>
      </c>
      <c r="R13136" s="26" t="str">
        <f>HYPERLINK("https://ictv.global/taxonomy/taxondetails?taxnode_id=202307584","Phlebovirus aguacateense")</f>
        <v>Phlebovirus aguacateense</v>
      </c>
      <c r="S13136" t="s">
        <v>30</v>
      </c>
      <c r="T13136" t="s">
        <v>28338</v>
      </c>
      <c r="U13136" t="s">
        <v>28339</v>
      </c>
      <c r="V13136" t="s">
        <v>28340</v>
      </c>
      <c r="W13136" t="s">
        <v>50698</v>
      </c>
      <c r="X13136" t="s">
        <v>42</v>
      </c>
      <c r="Y13136" t="s">
        <v>50974</v>
      </c>
      <c r="Z13136" t="s">
        <v>12289</v>
      </c>
      <c r="AA13136" s="22" t="str">
        <f>HYPERLINK("https://www.ncbi.nlm.nih.gov/nuccore/HM566138,HM566137,HM566139","NCBI Nucleotide")</f>
        <v>NCBI Nucleotide</v>
      </c>
    </row>
    <row r="13137" spans="1:27" x14ac:dyDescent="0.35">
      <c r="A13137">
        <v>1000552</v>
      </c>
      <c r="B13137">
        <v>12274</v>
      </c>
      <c r="C13137">
        <v>1</v>
      </c>
      <c r="D13137" t="s">
        <v>17166</v>
      </c>
      <c r="F13137" t="s">
        <v>17246</v>
      </c>
      <c r="H13137" t="s">
        <v>23950</v>
      </c>
      <c r="I13137" t="s">
        <v>26604</v>
      </c>
      <c r="J13137" t="s">
        <v>47099</v>
      </c>
      <c r="L13137" t="s">
        <v>47182</v>
      </c>
      <c r="N13137" t="s">
        <v>28137</v>
      </c>
      <c r="P13137" t="s">
        <v>28331</v>
      </c>
      <c r="R13137" s="26" t="str">
        <f>HYPERLINK("https://ictv.global/taxonomy/taxondetails?taxnode_id=202307620","Phlebovirus alcubeense")</f>
        <v>Phlebovirus alcubeense</v>
      </c>
      <c r="S13137" t="s">
        <v>30</v>
      </c>
      <c r="T13137" t="s">
        <v>28341</v>
      </c>
      <c r="U13137" t="s">
        <v>28342</v>
      </c>
      <c r="V13137" t="s">
        <v>19623</v>
      </c>
      <c r="W13137" t="s">
        <v>28343</v>
      </c>
      <c r="X13137" t="s">
        <v>42</v>
      </c>
      <c r="Y13137" t="s">
        <v>50974</v>
      </c>
      <c r="Z13137" t="s">
        <v>12289</v>
      </c>
      <c r="AA13137" s="22" t="str">
        <f>HYPERLINK("https://www.ncbi.nlm.nih.gov/nuccore/KR363190,KR363191,KR363192","NCBI Nucleotide")</f>
        <v>NCBI Nucleotide</v>
      </c>
    </row>
    <row r="13138" spans="1:27" x14ac:dyDescent="0.35">
      <c r="A13138">
        <v>1000553</v>
      </c>
      <c r="B13138">
        <v>12275</v>
      </c>
      <c r="C13138">
        <v>1</v>
      </c>
      <c r="D13138" t="s">
        <v>17166</v>
      </c>
      <c r="F13138" t="s">
        <v>17246</v>
      </c>
      <c r="H13138" t="s">
        <v>23950</v>
      </c>
      <c r="I13138" t="s">
        <v>26604</v>
      </c>
      <c r="J13138" t="s">
        <v>47099</v>
      </c>
      <c r="L13138" t="s">
        <v>47182</v>
      </c>
      <c r="N13138" t="s">
        <v>28137</v>
      </c>
      <c r="P13138" t="s">
        <v>28331</v>
      </c>
      <c r="R13138" s="26" t="str">
        <f>HYPERLINK("https://ictv.global/taxonomy/taxondetails?taxnode_id=202307609","Phlebovirus alenquerense")</f>
        <v>Phlebovirus alenquerense</v>
      </c>
      <c r="S13138" t="s">
        <v>30</v>
      </c>
      <c r="T13138" t="s">
        <v>28344</v>
      </c>
      <c r="U13138" t="s">
        <v>28345</v>
      </c>
      <c r="V13138" t="s">
        <v>28346</v>
      </c>
      <c r="W13138" t="s">
        <v>28347</v>
      </c>
      <c r="X13138" t="s">
        <v>42</v>
      </c>
      <c r="Y13138" t="s">
        <v>50974</v>
      </c>
      <c r="Z13138" t="s">
        <v>12289</v>
      </c>
      <c r="AA13138" s="22" t="str">
        <f>HYPERLINK("https://www.ncbi.nlm.nih.gov/nuccore/HM119401,HM119402,HM119403","NCBI Nucleotide")</f>
        <v>NCBI Nucleotide</v>
      </c>
    </row>
    <row r="13139" spans="1:27" x14ac:dyDescent="0.35">
      <c r="A13139">
        <v>1000554</v>
      </c>
      <c r="B13139">
        <v>12276</v>
      </c>
      <c r="C13139">
        <v>1</v>
      </c>
      <c r="D13139" t="s">
        <v>17166</v>
      </c>
      <c r="F13139" t="s">
        <v>17246</v>
      </c>
      <c r="H13139" t="s">
        <v>23950</v>
      </c>
      <c r="I13139" t="s">
        <v>26604</v>
      </c>
      <c r="J13139" t="s">
        <v>47099</v>
      </c>
      <c r="L13139" t="s">
        <v>47182</v>
      </c>
      <c r="N13139" t="s">
        <v>28137</v>
      </c>
      <c r="P13139" t="s">
        <v>28331</v>
      </c>
      <c r="R13139" s="26" t="str">
        <f>HYPERLINK("https://ictv.global/taxonomy/taxondetails?taxnode_id=202307590","Phlebovirus almendrasense")</f>
        <v>Phlebovirus almendrasense</v>
      </c>
      <c r="S13139" t="s">
        <v>30</v>
      </c>
      <c r="T13139" t="s">
        <v>28348</v>
      </c>
      <c r="U13139" t="s">
        <v>28349</v>
      </c>
      <c r="V13139" t="s">
        <v>28350</v>
      </c>
      <c r="W13139" t="s">
        <v>28351</v>
      </c>
      <c r="X13139" t="s">
        <v>35</v>
      </c>
      <c r="Y13139" t="s">
        <v>50974</v>
      </c>
      <c r="Z13139" t="s">
        <v>12289</v>
      </c>
      <c r="AA13139" s="22" t="str">
        <f>HYPERLINK("https://www.ncbi.nlm.nih.gov/nuccore/MK524348,MK524349,MK524350","NCBI Nucleotide")</f>
        <v>NCBI Nucleotide</v>
      </c>
    </row>
    <row r="13140" spans="1:27" x14ac:dyDescent="0.35">
      <c r="A13140">
        <v>1000555</v>
      </c>
      <c r="B13140">
        <v>12277</v>
      </c>
      <c r="C13140">
        <v>1</v>
      </c>
      <c r="D13140" t="s">
        <v>17166</v>
      </c>
      <c r="F13140" t="s">
        <v>17246</v>
      </c>
      <c r="H13140" t="s">
        <v>23950</v>
      </c>
      <c r="I13140" t="s">
        <v>26604</v>
      </c>
      <c r="J13140" t="s">
        <v>47099</v>
      </c>
      <c r="L13140" t="s">
        <v>47182</v>
      </c>
      <c r="N13140" t="s">
        <v>28137</v>
      </c>
      <c r="P13140" t="s">
        <v>28331</v>
      </c>
      <c r="R13140" s="26" t="str">
        <f>HYPERLINK("https://ictv.global/taxonomy/taxondetails?taxnode_id=202307587","Phlebovirus ambeense")</f>
        <v>Phlebovirus ambeense</v>
      </c>
      <c r="S13140" t="s">
        <v>30</v>
      </c>
      <c r="T13140" t="s">
        <v>28352</v>
      </c>
      <c r="U13140" t="s">
        <v>28353</v>
      </c>
      <c r="V13140" t="s">
        <v>28354</v>
      </c>
      <c r="W13140" t="s">
        <v>28355</v>
      </c>
      <c r="X13140" t="s">
        <v>35</v>
      </c>
      <c r="Y13140" t="s">
        <v>50974</v>
      </c>
      <c r="Z13140" t="s">
        <v>12289</v>
      </c>
      <c r="AA13140" s="22" t="str">
        <f>HYPERLINK("https://www.ncbi.nlm.nih.gov/nuccore/KX611382,KX611383,KX611384","NCBI Nucleotide")</f>
        <v>NCBI Nucleotide</v>
      </c>
    </row>
    <row r="13141" spans="1:27" x14ac:dyDescent="0.35">
      <c r="A13141">
        <v>1000556</v>
      </c>
      <c r="B13141">
        <v>12278</v>
      </c>
      <c r="C13141">
        <v>1</v>
      </c>
      <c r="D13141" t="s">
        <v>17166</v>
      </c>
      <c r="F13141" t="s">
        <v>17246</v>
      </c>
      <c r="H13141" t="s">
        <v>23950</v>
      </c>
      <c r="I13141" t="s">
        <v>26604</v>
      </c>
      <c r="J13141" t="s">
        <v>47099</v>
      </c>
      <c r="L13141" t="s">
        <v>47182</v>
      </c>
      <c r="N13141" t="s">
        <v>28137</v>
      </c>
      <c r="P13141" t="s">
        <v>28331</v>
      </c>
      <c r="R13141" s="26" t="str">
        <f>HYPERLINK("https://ictv.global/taxonomy/taxondetails?taxnode_id=202307599","Phlebovirus anhangaense")</f>
        <v>Phlebovirus anhangaense</v>
      </c>
      <c r="S13141" t="s">
        <v>30</v>
      </c>
      <c r="T13141" t="s">
        <v>28356</v>
      </c>
      <c r="U13141" t="s">
        <v>28357</v>
      </c>
      <c r="V13141" t="s">
        <v>28358</v>
      </c>
      <c r="W13141" t="s">
        <v>28359</v>
      </c>
      <c r="X13141" t="s">
        <v>35</v>
      </c>
      <c r="Y13141" t="s">
        <v>50974</v>
      </c>
      <c r="Z13141" t="s">
        <v>12289</v>
      </c>
      <c r="AA13141" s="22" t="str">
        <f>HYPERLINK("https://www.ncbi.nlm.nih.gov/nuccore/KX611385,KX611386,KX611387","NCBI Nucleotide")</f>
        <v>NCBI Nucleotide</v>
      </c>
    </row>
    <row r="13142" spans="1:27" x14ac:dyDescent="0.35">
      <c r="A13142">
        <v>1000557</v>
      </c>
      <c r="B13142">
        <v>12279</v>
      </c>
      <c r="C13142">
        <v>1</v>
      </c>
      <c r="D13142" t="s">
        <v>17166</v>
      </c>
      <c r="F13142" t="s">
        <v>17246</v>
      </c>
      <c r="H13142" t="s">
        <v>23950</v>
      </c>
      <c r="I13142" t="s">
        <v>26604</v>
      </c>
      <c r="J13142" t="s">
        <v>47099</v>
      </c>
      <c r="L13142" t="s">
        <v>47182</v>
      </c>
      <c r="N13142" t="s">
        <v>28137</v>
      </c>
      <c r="P13142" t="s">
        <v>28331</v>
      </c>
      <c r="R13142" s="26" t="str">
        <f>HYPERLINK("https://ictv.global/taxonomy/taxondetails?taxnode_id=202307622","Phlebovirus arumowotense")</f>
        <v>Phlebovirus arumowotense</v>
      </c>
      <c r="S13142" t="s">
        <v>30</v>
      </c>
      <c r="T13142" t="s">
        <v>28360</v>
      </c>
      <c r="U13142" t="s">
        <v>28361</v>
      </c>
      <c r="V13142" t="s">
        <v>28362</v>
      </c>
      <c r="W13142" t="s">
        <v>28363</v>
      </c>
      <c r="X13142" t="s">
        <v>42</v>
      </c>
      <c r="Y13142" t="s">
        <v>50974</v>
      </c>
      <c r="Z13142" t="s">
        <v>12289</v>
      </c>
      <c r="AA13142" s="22" t="str">
        <f>HYPERLINK("https://www.ncbi.nlm.nih.gov/nuccore/MF593931,MF593932,MF593933","NCBI Nucleotide")</f>
        <v>NCBI Nucleotide</v>
      </c>
    </row>
    <row r="13143" spans="1:27" x14ac:dyDescent="0.35">
      <c r="A13143">
        <v>1000558</v>
      </c>
      <c r="B13143">
        <v>12280</v>
      </c>
      <c r="C13143">
        <v>1</v>
      </c>
      <c r="D13143" t="s">
        <v>17166</v>
      </c>
      <c r="F13143" t="s">
        <v>17246</v>
      </c>
      <c r="H13143" t="s">
        <v>23950</v>
      </c>
      <c r="I13143" t="s">
        <v>26604</v>
      </c>
      <c r="J13143" t="s">
        <v>47099</v>
      </c>
      <c r="L13143" t="s">
        <v>47182</v>
      </c>
      <c r="N13143" t="s">
        <v>28137</v>
      </c>
      <c r="P13143" t="s">
        <v>28331</v>
      </c>
      <c r="R13143" s="26" t="str">
        <f>HYPERLINK("https://ictv.global/taxonomy/taxondetails?taxnode_id=202309623","Phlebovirus bogoriaense")</f>
        <v>Phlebovirus bogoriaense</v>
      </c>
      <c r="S13143" t="s">
        <v>30</v>
      </c>
      <c r="T13143" t="s">
        <v>28364</v>
      </c>
      <c r="U13143" t="s">
        <v>28365</v>
      </c>
      <c r="V13143" t="s">
        <v>28366</v>
      </c>
      <c r="W13143" t="s">
        <v>28367</v>
      </c>
      <c r="X13143" t="s">
        <v>35</v>
      </c>
      <c r="Y13143" t="s">
        <v>50974</v>
      </c>
      <c r="Z13143" t="s">
        <v>10790</v>
      </c>
      <c r="AA13143" s="22" t="str">
        <f>HYPERLINK("https://www.ncbi.nlm.nih.gov/nuccore/MT270828,MT270829,MT270830","NCBI Nucleotide")</f>
        <v>NCBI Nucleotide</v>
      </c>
    </row>
    <row r="13144" spans="1:27" x14ac:dyDescent="0.35">
      <c r="A13144">
        <v>1000559</v>
      </c>
      <c r="B13144">
        <v>12281</v>
      </c>
      <c r="C13144">
        <v>1</v>
      </c>
      <c r="D13144" t="s">
        <v>17166</v>
      </c>
      <c r="F13144" t="s">
        <v>17246</v>
      </c>
      <c r="H13144" t="s">
        <v>23950</v>
      </c>
      <c r="I13144" t="s">
        <v>26604</v>
      </c>
      <c r="J13144" t="s">
        <v>47099</v>
      </c>
      <c r="L13144" t="s">
        <v>47182</v>
      </c>
      <c r="N13144" t="s">
        <v>28137</v>
      </c>
      <c r="P13144" t="s">
        <v>28331</v>
      </c>
      <c r="R13144" s="26" t="str">
        <f>HYPERLINK("https://ictv.global/taxonomy/taxondetails?taxnode_id=202307592","Phlebovirus buenaventuraense")</f>
        <v>Phlebovirus buenaventuraense</v>
      </c>
      <c r="S13144" t="s">
        <v>30</v>
      </c>
      <c r="T13144" t="s">
        <v>28368</v>
      </c>
      <c r="U13144" t="s">
        <v>28369</v>
      </c>
      <c r="V13144" t="s">
        <v>28370</v>
      </c>
      <c r="W13144" t="s">
        <v>28371</v>
      </c>
      <c r="X13144" t="s">
        <v>42</v>
      </c>
      <c r="Y13144" t="s">
        <v>50974</v>
      </c>
      <c r="Z13144" t="s">
        <v>12289</v>
      </c>
      <c r="AA13144" s="22" t="str">
        <f>HYPERLINK("https://www.ncbi.nlm.nih.gov/nuccore/KP272001,KP272002,KP272003","NCBI Nucleotide")</f>
        <v>NCBI Nucleotide</v>
      </c>
    </row>
    <row r="13145" spans="1:27" x14ac:dyDescent="0.35">
      <c r="A13145">
        <v>1000560</v>
      </c>
      <c r="B13145">
        <v>12282</v>
      </c>
      <c r="C13145">
        <v>1</v>
      </c>
      <c r="D13145" t="s">
        <v>17166</v>
      </c>
      <c r="F13145" t="s">
        <v>17246</v>
      </c>
      <c r="H13145" t="s">
        <v>23950</v>
      </c>
      <c r="I13145" t="s">
        <v>26604</v>
      </c>
      <c r="J13145" t="s">
        <v>47099</v>
      </c>
      <c r="L13145" t="s">
        <v>47182</v>
      </c>
      <c r="N13145" t="s">
        <v>28137</v>
      </c>
      <c r="P13145" t="s">
        <v>28331</v>
      </c>
      <c r="R13145" s="26" t="str">
        <f>HYPERLINK("https://ictv.global/taxonomy/taxondetails?taxnode_id=202300158","Phlebovirus bujaruense")</f>
        <v>Phlebovirus bujaruense</v>
      </c>
      <c r="S13145" t="s">
        <v>30</v>
      </c>
      <c r="T13145" t="s">
        <v>28372</v>
      </c>
      <c r="U13145" t="s">
        <v>28373</v>
      </c>
      <c r="V13145" t="s">
        <v>28374</v>
      </c>
      <c r="W13145" t="s">
        <v>28375</v>
      </c>
      <c r="X13145" t="s">
        <v>42</v>
      </c>
      <c r="Y13145" t="s">
        <v>50974</v>
      </c>
      <c r="Z13145" t="s">
        <v>12289</v>
      </c>
      <c r="AA13145" s="22" t="str">
        <f>HYPERLINK("https://www.ncbi.nlm.nih.gov/nuccore/KX611388,KX611389,KX611390","NCBI Nucleotide")</f>
        <v>NCBI Nucleotide</v>
      </c>
    </row>
    <row r="13146" spans="1:27" x14ac:dyDescent="0.35">
      <c r="A13146">
        <v>1000561</v>
      </c>
      <c r="B13146">
        <v>12283</v>
      </c>
      <c r="C13146">
        <v>1</v>
      </c>
      <c r="D13146" t="s">
        <v>17166</v>
      </c>
      <c r="F13146" t="s">
        <v>17246</v>
      </c>
      <c r="H13146" t="s">
        <v>23950</v>
      </c>
      <c r="I13146" t="s">
        <v>26604</v>
      </c>
      <c r="J13146" t="s">
        <v>47099</v>
      </c>
      <c r="L13146" t="s">
        <v>47182</v>
      </c>
      <c r="N13146" t="s">
        <v>28137</v>
      </c>
      <c r="P13146" t="s">
        <v>28331</v>
      </c>
      <c r="R13146" s="26" t="str">
        <f>HYPERLINK("https://ictv.global/taxonomy/taxondetails?taxnode_id=202307634","Phlebovirus cacaoense")</f>
        <v>Phlebovirus cacaoense</v>
      </c>
      <c r="S13146" t="s">
        <v>30</v>
      </c>
      <c r="T13146" t="s">
        <v>28376</v>
      </c>
      <c r="U13146" t="s">
        <v>28377</v>
      </c>
      <c r="V13146" t="s">
        <v>28378</v>
      </c>
      <c r="W13146" t="s">
        <v>28379</v>
      </c>
      <c r="X13146" t="s">
        <v>42</v>
      </c>
      <c r="Y13146" t="s">
        <v>50974</v>
      </c>
      <c r="Z13146" t="s">
        <v>12289</v>
      </c>
      <c r="AA13146" s="22" t="str">
        <f>HYPERLINK("https://www.ncbi.nlm.nih.gov/nuccore/MK330756,MK330757,MK330758","NCBI Nucleotide")</f>
        <v>NCBI Nucleotide</v>
      </c>
    </row>
    <row r="13147" spans="1:27" x14ac:dyDescent="0.35">
      <c r="A13147">
        <v>1000562</v>
      </c>
      <c r="B13147">
        <v>12284</v>
      </c>
      <c r="C13147">
        <v>1</v>
      </c>
      <c r="D13147" t="s">
        <v>17166</v>
      </c>
      <c r="F13147" t="s">
        <v>17246</v>
      </c>
      <c r="H13147" t="s">
        <v>23950</v>
      </c>
      <c r="I13147" t="s">
        <v>26604</v>
      </c>
      <c r="J13147" t="s">
        <v>47099</v>
      </c>
      <c r="L13147" t="s">
        <v>47182</v>
      </c>
      <c r="N13147" t="s">
        <v>28137</v>
      </c>
      <c r="P13147" t="s">
        <v>28331</v>
      </c>
      <c r="R13147" s="26" t="str">
        <f>HYPERLINK("https://ictv.global/taxonomy/taxondetails?taxnode_id=202307629","Phlebovirus campanaense")</f>
        <v>Phlebovirus campanaense</v>
      </c>
      <c r="S13147" t="s">
        <v>30</v>
      </c>
      <c r="T13147" t="s">
        <v>28380</v>
      </c>
      <c r="U13147" t="s">
        <v>28381</v>
      </c>
      <c r="V13147" t="s">
        <v>28382</v>
      </c>
      <c r="W13147" t="s">
        <v>28383</v>
      </c>
      <c r="X13147" t="s">
        <v>35</v>
      </c>
      <c r="Y13147" t="s">
        <v>50974</v>
      </c>
      <c r="Z13147" t="s">
        <v>12289</v>
      </c>
      <c r="AA13147" s="22" t="str">
        <f>HYPERLINK("https://www.ncbi.nlm.nih.gov/nuccore/KP272040,KP272041,KP272042","NCBI Nucleotide")</f>
        <v>NCBI Nucleotide</v>
      </c>
    </row>
    <row r="13148" spans="1:27" x14ac:dyDescent="0.35">
      <c r="A13148">
        <v>1000563</v>
      </c>
      <c r="B13148">
        <v>12285</v>
      </c>
      <c r="C13148">
        <v>1</v>
      </c>
      <c r="D13148" t="s">
        <v>17166</v>
      </c>
      <c r="F13148" t="s">
        <v>17246</v>
      </c>
      <c r="H13148" t="s">
        <v>23950</v>
      </c>
      <c r="I13148" t="s">
        <v>26604</v>
      </c>
      <c r="J13148" t="s">
        <v>47099</v>
      </c>
      <c r="L13148" t="s">
        <v>47182</v>
      </c>
      <c r="N13148" t="s">
        <v>28137</v>
      </c>
      <c r="P13148" t="s">
        <v>28331</v>
      </c>
      <c r="R13148" s="26" t="str">
        <f t="shared" ref="R13148:R13153" si="36">HYPERLINK("https://ictv.global/taxonomy/taxondetails?taxnode_id=202300159","Phlebovirus candiruense")</f>
        <v>Phlebovirus candiruense</v>
      </c>
      <c r="S13148" t="s">
        <v>30</v>
      </c>
      <c r="T13148" t="s">
        <v>28384</v>
      </c>
      <c r="U13148" t="s">
        <v>28385</v>
      </c>
      <c r="V13148" t="s">
        <v>28386</v>
      </c>
      <c r="W13148" t="s">
        <v>28387</v>
      </c>
      <c r="X13148" t="s">
        <v>42</v>
      </c>
      <c r="Y13148" t="s">
        <v>50974</v>
      </c>
      <c r="Z13148" t="s">
        <v>12289</v>
      </c>
      <c r="AA13148" s="22" t="str">
        <f>HYPERLINK("https://www.ncbi.nlm.nih.gov/nuccore/HM119407,HM119408,HM119409","NCBI Nucleotide")</f>
        <v>NCBI Nucleotide</v>
      </c>
    </row>
    <row r="13149" spans="1:27" x14ac:dyDescent="0.35">
      <c r="A13149">
        <v>1011332</v>
      </c>
      <c r="B13149">
        <v>12285</v>
      </c>
      <c r="C13149">
        <v>2</v>
      </c>
      <c r="D13149" t="s">
        <v>17166</v>
      </c>
      <c r="F13149" t="s">
        <v>17246</v>
      </c>
      <c r="H13149" t="s">
        <v>23950</v>
      </c>
      <c r="I13149" t="s">
        <v>26604</v>
      </c>
      <c r="J13149" t="s">
        <v>47099</v>
      </c>
      <c r="L13149" t="s">
        <v>47182</v>
      </c>
      <c r="N13149" t="s">
        <v>28137</v>
      </c>
      <c r="P13149" t="s">
        <v>28331</v>
      </c>
      <c r="R13149" s="26" t="str">
        <f t="shared" si="36"/>
        <v>Phlebovirus candiruense</v>
      </c>
      <c r="S13149" t="s">
        <v>8141</v>
      </c>
      <c r="T13149" t="s">
        <v>28576</v>
      </c>
      <c r="U13149" t="s">
        <v>28577</v>
      </c>
      <c r="V13149" t="s">
        <v>28578</v>
      </c>
      <c r="W13149" t="s">
        <v>49555</v>
      </c>
      <c r="X13149" t="s">
        <v>42</v>
      </c>
      <c r="Y13149" t="s">
        <v>50974</v>
      </c>
      <c r="Z13149" t="s">
        <v>12289</v>
      </c>
      <c r="AA13149" s="22" t="str">
        <f>HYPERLINK("https://www.ncbi.nlm.nih.gov/nuccore/HM119404,HM119405,HM119406","NCBI Nucleotide")</f>
        <v>NCBI Nucleotide</v>
      </c>
    </row>
    <row r="13150" spans="1:27" x14ac:dyDescent="0.35">
      <c r="A13150">
        <v>1011333</v>
      </c>
      <c r="B13150">
        <v>12285</v>
      </c>
      <c r="C13150">
        <v>3</v>
      </c>
      <c r="D13150" t="s">
        <v>17166</v>
      </c>
      <c r="F13150" t="s">
        <v>17246</v>
      </c>
      <c r="H13150" t="s">
        <v>23950</v>
      </c>
      <c r="I13150" t="s">
        <v>26604</v>
      </c>
      <c r="J13150" t="s">
        <v>47099</v>
      </c>
      <c r="L13150" t="s">
        <v>47182</v>
      </c>
      <c r="N13150" t="s">
        <v>28137</v>
      </c>
      <c r="P13150" t="s">
        <v>28331</v>
      </c>
      <c r="R13150" s="26" t="str">
        <f t="shared" si="36"/>
        <v>Phlebovirus candiruense</v>
      </c>
      <c r="S13150" t="s">
        <v>8141</v>
      </c>
      <c r="T13150" t="s">
        <v>28579</v>
      </c>
      <c r="U13150" t="s">
        <v>28580</v>
      </c>
      <c r="V13150" t="s">
        <v>28581</v>
      </c>
      <c r="W13150" t="s">
        <v>49556</v>
      </c>
      <c r="X13150" t="s">
        <v>42</v>
      </c>
      <c r="Y13150" t="s">
        <v>50974</v>
      </c>
      <c r="Z13150" t="s">
        <v>12289</v>
      </c>
      <c r="AA13150" s="22" t="str">
        <f>HYPERLINK("https://www.ncbi.nlm.nih.gov/nuccore/HM466934,HM466935,HM466936","NCBI Nucleotide")</f>
        <v>NCBI Nucleotide</v>
      </c>
    </row>
    <row r="13151" spans="1:27" x14ac:dyDescent="0.35">
      <c r="A13151">
        <v>1011334</v>
      </c>
      <c r="B13151">
        <v>12285</v>
      </c>
      <c r="C13151">
        <v>4</v>
      </c>
      <c r="D13151" t="s">
        <v>17166</v>
      </c>
      <c r="F13151" t="s">
        <v>17246</v>
      </c>
      <c r="H13151" t="s">
        <v>23950</v>
      </c>
      <c r="I13151" t="s">
        <v>26604</v>
      </c>
      <c r="J13151" t="s">
        <v>47099</v>
      </c>
      <c r="L13151" t="s">
        <v>47182</v>
      </c>
      <c r="N13151" t="s">
        <v>28137</v>
      </c>
      <c r="P13151" t="s">
        <v>28331</v>
      </c>
      <c r="R13151" s="26" t="str">
        <f t="shared" si="36"/>
        <v>Phlebovirus candiruense</v>
      </c>
      <c r="S13151" t="s">
        <v>8141</v>
      </c>
      <c r="T13151" t="s">
        <v>28582</v>
      </c>
      <c r="U13151" t="s">
        <v>28583</v>
      </c>
      <c r="V13151" t="s">
        <v>28584</v>
      </c>
      <c r="W13151" t="s">
        <v>49557</v>
      </c>
      <c r="X13151" t="s">
        <v>42</v>
      </c>
      <c r="Y13151" t="s">
        <v>50974</v>
      </c>
      <c r="Z13151" t="s">
        <v>12289</v>
      </c>
      <c r="AA13151" s="22" t="str">
        <f>HYPERLINK("https://www.ncbi.nlm.nih.gov/nuccore/HM119422,HM119423,HM119424","NCBI Nucleotide")</f>
        <v>NCBI Nucleotide</v>
      </c>
    </row>
    <row r="13152" spans="1:27" x14ac:dyDescent="0.35">
      <c r="A13152">
        <v>1011335</v>
      </c>
      <c r="B13152">
        <v>12285</v>
      </c>
      <c r="C13152">
        <v>5</v>
      </c>
      <c r="D13152" t="s">
        <v>17166</v>
      </c>
      <c r="F13152" t="s">
        <v>17246</v>
      </c>
      <c r="H13152" t="s">
        <v>23950</v>
      </c>
      <c r="I13152" t="s">
        <v>26604</v>
      </c>
      <c r="J13152" t="s">
        <v>47099</v>
      </c>
      <c r="L13152" t="s">
        <v>47182</v>
      </c>
      <c r="N13152" t="s">
        <v>28137</v>
      </c>
      <c r="P13152" t="s">
        <v>28331</v>
      </c>
      <c r="R13152" s="26" t="str">
        <f t="shared" si="36"/>
        <v>Phlebovirus candiruense</v>
      </c>
      <c r="S13152" t="s">
        <v>8141</v>
      </c>
      <c r="T13152" t="s">
        <v>28585</v>
      </c>
      <c r="U13152" t="s">
        <v>50965</v>
      </c>
      <c r="V13152" t="s">
        <v>28586</v>
      </c>
      <c r="W13152" t="s">
        <v>49558</v>
      </c>
      <c r="X13152" t="s">
        <v>42</v>
      </c>
      <c r="Y13152" t="s">
        <v>50974</v>
      </c>
      <c r="Z13152" t="s">
        <v>12289</v>
      </c>
      <c r="AA13152" s="22" t="str">
        <f>HYPERLINK("https://www.ncbi.nlm.nih.gov/nuccore/HM119419,HM119420,HM119421","NCBI Nucleotide")</f>
        <v>NCBI Nucleotide</v>
      </c>
    </row>
    <row r="13153" spans="1:27" x14ac:dyDescent="0.35">
      <c r="A13153">
        <v>1011336</v>
      </c>
      <c r="B13153">
        <v>12285</v>
      </c>
      <c r="C13153">
        <v>6</v>
      </c>
      <c r="D13153" t="s">
        <v>17166</v>
      </c>
      <c r="F13153" t="s">
        <v>17246</v>
      </c>
      <c r="H13153" t="s">
        <v>23950</v>
      </c>
      <c r="I13153" t="s">
        <v>26604</v>
      </c>
      <c r="J13153" t="s">
        <v>47099</v>
      </c>
      <c r="L13153" t="s">
        <v>47182</v>
      </c>
      <c r="N13153" t="s">
        <v>28137</v>
      </c>
      <c r="P13153" t="s">
        <v>28331</v>
      </c>
      <c r="R13153" s="26" t="str">
        <f t="shared" si="36"/>
        <v>Phlebovirus candiruense</v>
      </c>
      <c r="S13153" t="s">
        <v>8141</v>
      </c>
      <c r="T13153" t="s">
        <v>28587</v>
      </c>
      <c r="U13153" t="s">
        <v>28588</v>
      </c>
      <c r="V13153" t="s">
        <v>28589</v>
      </c>
      <c r="W13153" t="s">
        <v>49559</v>
      </c>
      <c r="X13153" t="s">
        <v>42</v>
      </c>
      <c r="Y13153" t="s">
        <v>50974</v>
      </c>
      <c r="Z13153" t="s">
        <v>12289</v>
      </c>
      <c r="AA13153" s="22" t="str">
        <f>HYPERLINK("https://www.ncbi.nlm.nih.gov/nuccore/HM119428,HM119429,HM119430","NCBI Nucleotide")</f>
        <v>NCBI Nucleotide</v>
      </c>
    </row>
    <row r="13154" spans="1:27" x14ac:dyDescent="0.35">
      <c r="A13154">
        <v>1000564</v>
      </c>
      <c r="B13154">
        <v>12286</v>
      </c>
      <c r="C13154">
        <v>1</v>
      </c>
      <c r="D13154" t="s">
        <v>17166</v>
      </c>
      <c r="F13154" t="s">
        <v>17246</v>
      </c>
      <c r="H13154" t="s">
        <v>23950</v>
      </c>
      <c r="I13154" t="s">
        <v>26604</v>
      </c>
      <c r="J13154" t="s">
        <v>47099</v>
      </c>
      <c r="L13154" t="s">
        <v>47182</v>
      </c>
      <c r="N13154" t="s">
        <v>28137</v>
      </c>
      <c r="P13154" t="s">
        <v>28331</v>
      </c>
      <c r="R13154" s="26" t="str">
        <f>HYPERLINK("https://ictv.global/taxonomy/taxondetails?taxnode_id=202307600","Phlebovirus chagresense")</f>
        <v>Phlebovirus chagresense</v>
      </c>
      <c r="S13154" t="s">
        <v>30</v>
      </c>
      <c r="T13154" t="s">
        <v>28388</v>
      </c>
      <c r="U13154" t="s">
        <v>28389</v>
      </c>
      <c r="V13154" t="s">
        <v>28390</v>
      </c>
      <c r="W13154" t="s">
        <v>50699</v>
      </c>
      <c r="X13154" t="s">
        <v>42</v>
      </c>
      <c r="Y13154" t="s">
        <v>50974</v>
      </c>
      <c r="Z13154" t="s">
        <v>12289</v>
      </c>
      <c r="AA13154" s="22" t="str">
        <f>HYPERLINK("https://www.ncbi.nlm.nih.gov/nuccore/HM566147,HM566146,HM566148","NCBI Nucleotide")</f>
        <v>NCBI Nucleotide</v>
      </c>
    </row>
    <row r="13155" spans="1:27" x14ac:dyDescent="0.35">
      <c r="A13155">
        <v>1000565</v>
      </c>
      <c r="B13155">
        <v>12287</v>
      </c>
      <c r="C13155">
        <v>1</v>
      </c>
      <c r="D13155" t="s">
        <v>17166</v>
      </c>
      <c r="F13155" t="s">
        <v>17246</v>
      </c>
      <c r="H13155" t="s">
        <v>23950</v>
      </c>
      <c r="I13155" t="s">
        <v>26604</v>
      </c>
      <c r="J13155" t="s">
        <v>47099</v>
      </c>
      <c r="L13155" t="s">
        <v>47182</v>
      </c>
      <c r="N13155" t="s">
        <v>28137</v>
      </c>
      <c r="P13155" t="s">
        <v>28331</v>
      </c>
      <c r="R13155" s="26" t="str">
        <f>HYPERLINK("https://ictv.global/taxonomy/taxondetails?taxnode_id=202307602","Phlebovirus claroense")</f>
        <v>Phlebovirus claroense</v>
      </c>
      <c r="S13155" t="s">
        <v>30</v>
      </c>
      <c r="T13155" t="s">
        <v>28391</v>
      </c>
      <c r="U13155" t="s">
        <v>28392</v>
      </c>
      <c r="V13155" t="s">
        <v>28393</v>
      </c>
      <c r="W13155" t="s">
        <v>28394</v>
      </c>
      <c r="X13155" t="s">
        <v>35</v>
      </c>
      <c r="Y13155" t="s">
        <v>50974</v>
      </c>
      <c r="Z13155" t="s">
        <v>12289</v>
      </c>
      <c r="AA13155" s="22" t="str">
        <f>HYPERLINK("https://www.ncbi.nlm.nih.gov/nuccore/HM566185,HM566186,HM566187","NCBI Nucleotide")</f>
        <v>NCBI Nucleotide</v>
      </c>
    </row>
    <row r="13156" spans="1:27" x14ac:dyDescent="0.35">
      <c r="A13156">
        <v>1000566</v>
      </c>
      <c r="B13156">
        <v>12288</v>
      </c>
      <c r="C13156">
        <v>1</v>
      </c>
      <c r="D13156" t="s">
        <v>17166</v>
      </c>
      <c r="F13156" t="s">
        <v>17246</v>
      </c>
      <c r="H13156" t="s">
        <v>23950</v>
      </c>
      <c r="I13156" t="s">
        <v>26604</v>
      </c>
      <c r="J13156" t="s">
        <v>47099</v>
      </c>
      <c r="L13156" t="s">
        <v>47182</v>
      </c>
      <c r="N13156" t="s">
        <v>28137</v>
      </c>
      <c r="P13156" t="s">
        <v>28331</v>
      </c>
      <c r="R13156" s="26" t="str">
        <f>HYPERLINK("https://ictv.global/taxonomy/taxondetails?taxnode_id=202307630","Phlebovirus cocleense")</f>
        <v>Phlebovirus cocleense</v>
      </c>
      <c r="S13156" t="s">
        <v>30</v>
      </c>
      <c r="T13156" t="s">
        <v>28395</v>
      </c>
      <c r="U13156" t="s">
        <v>28396</v>
      </c>
      <c r="V13156" t="s">
        <v>28397</v>
      </c>
      <c r="W13156" t="s">
        <v>50847</v>
      </c>
      <c r="X13156" t="s">
        <v>35</v>
      </c>
      <c r="Y13156" t="s">
        <v>50974</v>
      </c>
      <c r="Z13156" t="s">
        <v>12289</v>
      </c>
      <c r="AA13156" s="22" t="str">
        <f>HYPERLINK("https://www.ncbi.nlm.nih.gov/nuccore/KP272036,KP272034,KP272035","NCBI Nucleotide")</f>
        <v>NCBI Nucleotide</v>
      </c>
    </row>
    <row r="13157" spans="1:27" x14ac:dyDescent="0.35">
      <c r="A13157">
        <v>1000567</v>
      </c>
      <c r="B13157">
        <v>12289</v>
      </c>
      <c r="C13157">
        <v>1</v>
      </c>
      <c r="D13157" t="s">
        <v>17166</v>
      </c>
      <c r="F13157" t="s">
        <v>17246</v>
      </c>
      <c r="H13157" t="s">
        <v>23950</v>
      </c>
      <c r="I13157" t="s">
        <v>26604</v>
      </c>
      <c r="J13157" t="s">
        <v>47099</v>
      </c>
      <c r="L13157" t="s">
        <v>47182</v>
      </c>
      <c r="N13157" t="s">
        <v>28137</v>
      </c>
      <c r="P13157" t="s">
        <v>28331</v>
      </c>
      <c r="R13157" s="26" t="str">
        <f>HYPERLINK("https://ictv.global/taxonomy/taxondetails?taxnode_id=202309826","Phlebovirus corfouense")</f>
        <v>Phlebovirus corfouense</v>
      </c>
      <c r="S13157" t="s">
        <v>30</v>
      </c>
      <c r="T13157" t="s">
        <v>28398</v>
      </c>
      <c r="U13157" t="s">
        <v>28399</v>
      </c>
      <c r="V13157" t="s">
        <v>28400</v>
      </c>
      <c r="W13157" t="s">
        <v>28401</v>
      </c>
      <c r="X13157" t="s">
        <v>35</v>
      </c>
      <c r="Y13157" t="s">
        <v>50974</v>
      </c>
      <c r="Z13157" t="s">
        <v>10790</v>
      </c>
      <c r="AA13157" s="22" t="str">
        <f>HYPERLINK("https://www.ncbi.nlm.nih.gov/nuccore/KR106177,KR106178,KR106179","NCBI Nucleotide")</f>
        <v>NCBI Nucleotide</v>
      </c>
    </row>
    <row r="13158" spans="1:27" x14ac:dyDescent="0.35">
      <c r="A13158">
        <v>1000568</v>
      </c>
      <c r="B13158">
        <v>12290</v>
      </c>
      <c r="C13158">
        <v>1</v>
      </c>
      <c r="D13158" t="s">
        <v>17166</v>
      </c>
      <c r="F13158" t="s">
        <v>17246</v>
      </c>
      <c r="H13158" t="s">
        <v>23950</v>
      </c>
      <c r="I13158" t="s">
        <v>26604</v>
      </c>
      <c r="J13158" t="s">
        <v>47099</v>
      </c>
      <c r="L13158" t="s">
        <v>47182</v>
      </c>
      <c r="N13158" t="s">
        <v>28137</v>
      </c>
      <c r="P13158" t="s">
        <v>28331</v>
      </c>
      <c r="R13158" s="26" t="str">
        <f>HYPERLINK("https://ictv.global/taxonomy/taxondetails?taxnode_id=202307611","Phlebovirus dashliense")</f>
        <v>Phlebovirus dashliense</v>
      </c>
      <c r="S13158" t="s">
        <v>30</v>
      </c>
      <c r="T13158" t="s">
        <v>28402</v>
      </c>
      <c r="U13158" t="s">
        <v>28403</v>
      </c>
      <c r="V13158">
        <v>131</v>
      </c>
      <c r="W13158" t="s">
        <v>28404</v>
      </c>
      <c r="X13158" t="s">
        <v>42</v>
      </c>
      <c r="Y13158" t="s">
        <v>50974</v>
      </c>
      <c r="Z13158" t="s">
        <v>12289</v>
      </c>
      <c r="AA13158" s="22" t="str">
        <f>HYPERLINK("https://www.ncbi.nlm.nih.gov/nuccore/KP771821,KP771822,KP771823","NCBI Nucleotide")</f>
        <v>NCBI Nucleotide</v>
      </c>
    </row>
    <row r="13159" spans="1:27" x14ac:dyDescent="0.35">
      <c r="A13159">
        <v>1000569</v>
      </c>
      <c r="B13159">
        <v>12291</v>
      </c>
      <c r="C13159">
        <v>1</v>
      </c>
      <c r="D13159" t="s">
        <v>17166</v>
      </c>
      <c r="F13159" t="s">
        <v>17246</v>
      </c>
      <c r="H13159" t="s">
        <v>23950</v>
      </c>
      <c r="I13159" t="s">
        <v>26604</v>
      </c>
      <c r="J13159" t="s">
        <v>47099</v>
      </c>
      <c r="L13159" t="s">
        <v>47182</v>
      </c>
      <c r="N13159" t="s">
        <v>28137</v>
      </c>
      <c r="P13159" t="s">
        <v>28331</v>
      </c>
      <c r="R13159" s="26" t="str">
        <f>HYPERLINK("https://ictv.global/taxonomy/taxondetails?taxnode_id=202307586","Phlebovirus duraniaense")</f>
        <v>Phlebovirus duraniaense</v>
      </c>
      <c r="S13159" t="s">
        <v>30</v>
      </c>
      <c r="T13159" t="s">
        <v>28405</v>
      </c>
      <c r="U13159" t="s">
        <v>28406</v>
      </c>
      <c r="V13159" t="s">
        <v>28407</v>
      </c>
      <c r="W13159" t="s">
        <v>50700</v>
      </c>
      <c r="X13159" t="s">
        <v>42</v>
      </c>
      <c r="Y13159" t="s">
        <v>50974</v>
      </c>
      <c r="Z13159" t="s">
        <v>12289</v>
      </c>
      <c r="AA13159" s="22" t="str">
        <f>HYPERLINK("https://www.ncbi.nlm.nih.gov/nuccore/HM566155,HM566157,HM566156","NCBI Nucleotide")</f>
        <v>NCBI Nucleotide</v>
      </c>
    </row>
    <row r="13160" spans="1:27" x14ac:dyDescent="0.35">
      <c r="A13160">
        <v>1000570</v>
      </c>
      <c r="B13160">
        <v>12292</v>
      </c>
      <c r="C13160">
        <v>1</v>
      </c>
      <c r="D13160" t="s">
        <v>17166</v>
      </c>
      <c r="F13160" t="s">
        <v>17246</v>
      </c>
      <c r="H13160" t="s">
        <v>23950</v>
      </c>
      <c r="I13160" t="s">
        <v>26604</v>
      </c>
      <c r="J13160" t="s">
        <v>47099</v>
      </c>
      <c r="L13160" t="s">
        <v>47182</v>
      </c>
      <c r="N13160" t="s">
        <v>28137</v>
      </c>
      <c r="P13160" t="s">
        <v>28331</v>
      </c>
      <c r="R13160" s="26" t="str">
        <f>HYPERLINK("https://ictv.global/taxonomy/taxondetails?taxnode_id=202307591","Phlebovirus echarateense")</f>
        <v>Phlebovirus echarateense</v>
      </c>
      <c r="S13160" t="s">
        <v>30</v>
      </c>
      <c r="T13160" t="s">
        <v>28408</v>
      </c>
      <c r="U13160" t="s">
        <v>28409</v>
      </c>
      <c r="V13160" t="s">
        <v>28410</v>
      </c>
      <c r="W13160" t="s">
        <v>28411</v>
      </c>
      <c r="X13160" t="s">
        <v>42</v>
      </c>
      <c r="Y13160" t="s">
        <v>50974</v>
      </c>
      <c r="Z13160" t="s">
        <v>12289</v>
      </c>
      <c r="AA13160" s="22" t="str">
        <f>HYPERLINK("https://www.ncbi.nlm.nih.gov/nuccore/HM119410,HM119411,HM119412","NCBI Nucleotide")</f>
        <v>NCBI Nucleotide</v>
      </c>
    </row>
    <row r="13161" spans="1:27" x14ac:dyDescent="0.35">
      <c r="A13161">
        <v>1000571</v>
      </c>
      <c r="B13161">
        <v>12293</v>
      </c>
      <c r="C13161">
        <v>1</v>
      </c>
      <c r="D13161" t="s">
        <v>17166</v>
      </c>
      <c r="F13161" t="s">
        <v>17246</v>
      </c>
      <c r="H13161" t="s">
        <v>23950</v>
      </c>
      <c r="I13161" t="s">
        <v>26604</v>
      </c>
      <c r="J13161" t="s">
        <v>47099</v>
      </c>
      <c r="L13161" t="s">
        <v>47182</v>
      </c>
      <c r="N13161" t="s">
        <v>28137</v>
      </c>
      <c r="P13161" t="s">
        <v>28331</v>
      </c>
      <c r="R13161" s="26" t="str">
        <f>HYPERLINK("https://ictv.global/taxonomy/taxondetails?taxnode_id=202309622","Phlebovirus embossosense")</f>
        <v>Phlebovirus embossosense</v>
      </c>
      <c r="S13161" t="s">
        <v>30</v>
      </c>
      <c r="T13161" t="s">
        <v>28412</v>
      </c>
      <c r="U13161" t="s">
        <v>28413</v>
      </c>
      <c r="V13161" t="s">
        <v>28414</v>
      </c>
      <c r="W13161" t="s">
        <v>28415</v>
      </c>
      <c r="X13161" t="s">
        <v>35</v>
      </c>
      <c r="Y13161" t="s">
        <v>50974</v>
      </c>
      <c r="Z13161" t="s">
        <v>10790</v>
      </c>
      <c r="AA13161" s="22" t="str">
        <f>HYPERLINK("https://www.ncbi.nlm.nih.gov/nuccore/MT270825,MT270826,MT270827","NCBI Nucleotide")</f>
        <v>NCBI Nucleotide</v>
      </c>
    </row>
    <row r="13162" spans="1:27" x14ac:dyDescent="0.35">
      <c r="A13162">
        <v>1000572</v>
      </c>
      <c r="B13162">
        <v>12294</v>
      </c>
      <c r="C13162">
        <v>1</v>
      </c>
      <c r="D13162" t="s">
        <v>17166</v>
      </c>
      <c r="F13162" t="s">
        <v>17246</v>
      </c>
      <c r="H13162" t="s">
        <v>23950</v>
      </c>
      <c r="I13162" t="s">
        <v>26604</v>
      </c>
      <c r="J13162" t="s">
        <v>47099</v>
      </c>
      <c r="L13162" t="s">
        <v>47182</v>
      </c>
      <c r="N13162" t="s">
        <v>28137</v>
      </c>
      <c r="P13162" t="s">
        <v>28331</v>
      </c>
      <c r="R13162" s="26" t="str">
        <f>HYPERLINK("https://ictv.global/taxonomy/taxondetails?taxnode_id=202307632","Phlebovirus florisense")</f>
        <v>Phlebovirus florisense</v>
      </c>
      <c r="S13162" t="s">
        <v>30</v>
      </c>
      <c r="T13162" t="s">
        <v>28416</v>
      </c>
      <c r="U13162" t="s">
        <v>28417</v>
      </c>
      <c r="V13162" t="s">
        <v>28418</v>
      </c>
      <c r="W13162" t="s">
        <v>28419</v>
      </c>
      <c r="X13162" t="s">
        <v>42</v>
      </c>
      <c r="Y13162" t="s">
        <v>50974</v>
      </c>
      <c r="Z13162" t="s">
        <v>12289</v>
      </c>
      <c r="AA13162" s="22" t="str">
        <f>HYPERLINK("https://www.ncbi.nlm.nih.gov/nuccore/JF920136,JF920137,JF920138","NCBI Nucleotide")</f>
        <v>NCBI Nucleotide</v>
      </c>
    </row>
    <row r="13163" spans="1:27" x14ac:dyDescent="0.35">
      <c r="A13163">
        <v>1000573</v>
      </c>
      <c r="B13163">
        <v>12295</v>
      </c>
      <c r="C13163">
        <v>1</v>
      </c>
      <c r="D13163" t="s">
        <v>17166</v>
      </c>
      <c r="F13163" t="s">
        <v>17246</v>
      </c>
      <c r="H13163" t="s">
        <v>23950</v>
      </c>
      <c r="I13163" t="s">
        <v>26604</v>
      </c>
      <c r="J13163" t="s">
        <v>47099</v>
      </c>
      <c r="L13163" t="s">
        <v>47182</v>
      </c>
      <c r="N13163" t="s">
        <v>28137</v>
      </c>
      <c r="P13163" t="s">
        <v>28331</v>
      </c>
      <c r="R13163" s="26" t="str">
        <f>HYPERLINK("https://ictv.global/taxonomy/taxondetails?taxnode_id=202307605","Phlebovirus gabekense")</f>
        <v>Phlebovirus gabekense</v>
      </c>
      <c r="S13163" t="s">
        <v>30</v>
      </c>
      <c r="T13163" t="s">
        <v>28420</v>
      </c>
      <c r="U13163" t="s">
        <v>28421</v>
      </c>
      <c r="V13163" t="s">
        <v>28422</v>
      </c>
      <c r="W13163" t="s">
        <v>28423</v>
      </c>
      <c r="X13163" t="s">
        <v>42</v>
      </c>
      <c r="Y13163" t="s">
        <v>50974</v>
      </c>
      <c r="Z13163" t="s">
        <v>12289</v>
      </c>
      <c r="AA13163" s="22" t="str">
        <f>HYPERLINK("https://www.ncbi.nlm.nih.gov/nuccore/KF297903,KF297904,KF297905","NCBI Nucleotide")</f>
        <v>NCBI Nucleotide</v>
      </c>
    </row>
    <row r="13164" spans="1:27" x14ac:dyDescent="0.35">
      <c r="A13164">
        <v>1000574</v>
      </c>
      <c r="B13164">
        <v>12296</v>
      </c>
      <c r="C13164">
        <v>1</v>
      </c>
      <c r="D13164" t="s">
        <v>17166</v>
      </c>
      <c r="F13164" t="s">
        <v>17246</v>
      </c>
      <c r="H13164" t="s">
        <v>23950</v>
      </c>
      <c r="I13164" t="s">
        <v>26604</v>
      </c>
      <c r="J13164" t="s">
        <v>47099</v>
      </c>
      <c r="L13164" t="s">
        <v>47182</v>
      </c>
      <c r="N13164" t="s">
        <v>28137</v>
      </c>
      <c r="P13164" t="s">
        <v>28331</v>
      </c>
      <c r="R13164" s="26" t="str">
        <f>HYPERLINK("https://ictv.global/taxonomy/taxondetails?taxnode_id=202307597","Phlebovirus gloriaense")</f>
        <v>Phlebovirus gloriaense</v>
      </c>
      <c r="S13164" t="s">
        <v>30</v>
      </c>
      <c r="T13164" t="s">
        <v>28424</v>
      </c>
      <c r="U13164" t="s">
        <v>28425</v>
      </c>
      <c r="V13164" t="s">
        <v>28426</v>
      </c>
      <c r="W13164" t="s">
        <v>28427</v>
      </c>
      <c r="X13164" t="s">
        <v>35</v>
      </c>
      <c r="Y13164" t="s">
        <v>50974</v>
      </c>
      <c r="Z13164" t="s">
        <v>12289</v>
      </c>
      <c r="AA13164" s="22" t="str">
        <f>HYPERLINK("https://www.ncbi.nlm.nih.gov/nuccore/MK524332,MK524333,MK524334","NCBI Nucleotide")</f>
        <v>NCBI Nucleotide</v>
      </c>
    </row>
    <row r="13165" spans="1:27" x14ac:dyDescent="0.35">
      <c r="A13165">
        <v>1000575</v>
      </c>
      <c r="B13165">
        <v>12297</v>
      </c>
      <c r="C13165">
        <v>1</v>
      </c>
      <c r="D13165" t="s">
        <v>17166</v>
      </c>
      <c r="F13165" t="s">
        <v>17246</v>
      </c>
      <c r="H13165" t="s">
        <v>23950</v>
      </c>
      <c r="I13165" t="s">
        <v>26604</v>
      </c>
      <c r="J13165" t="s">
        <v>47099</v>
      </c>
      <c r="L13165" t="s">
        <v>47182</v>
      </c>
      <c r="N13165" t="s">
        <v>28137</v>
      </c>
      <c r="P13165" t="s">
        <v>28331</v>
      </c>
      <c r="R13165" s="26" t="str">
        <f>HYPERLINK("https://ictv.global/taxonomy/taxondetails?taxnode_id=202307631","Phlebovirus gordilense")</f>
        <v>Phlebovirus gordilense</v>
      </c>
      <c r="S13165" t="s">
        <v>30</v>
      </c>
      <c r="T13165" t="s">
        <v>28428</v>
      </c>
      <c r="U13165" t="s">
        <v>18836</v>
      </c>
      <c r="V13165" t="s">
        <v>28429</v>
      </c>
      <c r="W13165" t="s">
        <v>28430</v>
      </c>
      <c r="X13165" t="s">
        <v>35</v>
      </c>
      <c r="Y13165" t="s">
        <v>50974</v>
      </c>
      <c r="Z13165" t="s">
        <v>12289</v>
      </c>
      <c r="AA13165" s="22" t="str">
        <f>HYPERLINK("https://www.ncbi.nlm.nih.gov/nuccore/KF297900,KF297901,KF297902","NCBI Nucleotide")</f>
        <v>NCBI Nucleotide</v>
      </c>
    </row>
    <row r="13166" spans="1:27" x14ac:dyDescent="0.35">
      <c r="A13166">
        <v>1000576</v>
      </c>
      <c r="B13166">
        <v>12298</v>
      </c>
      <c r="C13166">
        <v>1</v>
      </c>
      <c r="D13166" t="s">
        <v>17166</v>
      </c>
      <c r="F13166" t="s">
        <v>17246</v>
      </c>
      <c r="H13166" t="s">
        <v>23950</v>
      </c>
      <c r="I13166" t="s">
        <v>26604</v>
      </c>
      <c r="J13166" t="s">
        <v>47099</v>
      </c>
      <c r="L13166" t="s">
        <v>47182</v>
      </c>
      <c r="N13166" t="s">
        <v>28137</v>
      </c>
      <c r="P13166" t="s">
        <v>28331</v>
      </c>
      <c r="R13166" s="26" t="str">
        <f>HYPERLINK("https://ictv.global/taxonomy/taxondetails?taxnode_id=202314256","Phlebovirus hediense")</f>
        <v>Phlebovirus hediense</v>
      </c>
      <c r="S13166" t="s">
        <v>30</v>
      </c>
      <c r="T13166" t="s">
        <v>28431</v>
      </c>
      <c r="U13166" t="s">
        <v>28432</v>
      </c>
      <c r="V13166" t="s">
        <v>28433</v>
      </c>
      <c r="W13166" t="s">
        <v>28434</v>
      </c>
      <c r="X13166" t="s">
        <v>42</v>
      </c>
      <c r="Y13166" t="s">
        <v>50974</v>
      </c>
      <c r="Z13166" t="s">
        <v>10790</v>
      </c>
      <c r="AA13166" s="22" t="str">
        <f>HYPERLINK("https://www.ncbi.nlm.nih.gov/nuccore/MW368831,MW368832,MW368833","NCBI Nucleotide")</f>
        <v>NCBI Nucleotide</v>
      </c>
    </row>
    <row r="13167" spans="1:27" x14ac:dyDescent="0.35">
      <c r="A13167">
        <v>1000577</v>
      </c>
      <c r="B13167">
        <v>12299</v>
      </c>
      <c r="C13167">
        <v>1</v>
      </c>
      <c r="D13167" t="s">
        <v>17166</v>
      </c>
      <c r="F13167" t="s">
        <v>17246</v>
      </c>
      <c r="H13167" t="s">
        <v>23950</v>
      </c>
      <c r="I13167" t="s">
        <v>26604</v>
      </c>
      <c r="J13167" t="s">
        <v>47099</v>
      </c>
      <c r="L13167" t="s">
        <v>47182</v>
      </c>
      <c r="N13167" t="s">
        <v>28137</v>
      </c>
      <c r="P13167" t="s">
        <v>28331</v>
      </c>
      <c r="R13167" s="26" t="str">
        <f>HYPERLINK("https://ictv.global/taxonomy/taxondetails?taxnode_id=202307593","Phlebovirus icoaraciense")</f>
        <v>Phlebovirus icoaraciense</v>
      </c>
      <c r="S13167" t="s">
        <v>30</v>
      </c>
      <c r="T13167" t="s">
        <v>28435</v>
      </c>
      <c r="U13167" t="s">
        <v>28436</v>
      </c>
      <c r="V13167" t="s">
        <v>28437</v>
      </c>
      <c r="W13167" t="s">
        <v>28438</v>
      </c>
      <c r="X13167" t="s">
        <v>35</v>
      </c>
      <c r="Y13167" t="s">
        <v>50974</v>
      </c>
      <c r="Z13167" t="s">
        <v>12289</v>
      </c>
      <c r="AA13167" s="22" t="str">
        <f>HYPERLINK("https://www.ncbi.nlm.nih.gov/nuccore/MK330768,MK330769,MK330770","NCBI Nucleotide")</f>
        <v>NCBI Nucleotide</v>
      </c>
    </row>
    <row r="13168" spans="1:27" x14ac:dyDescent="0.35">
      <c r="A13168">
        <v>1000578</v>
      </c>
      <c r="B13168">
        <v>12300</v>
      </c>
      <c r="C13168">
        <v>1</v>
      </c>
      <c r="D13168" t="s">
        <v>17166</v>
      </c>
      <c r="F13168" t="s">
        <v>17246</v>
      </c>
      <c r="H13168" t="s">
        <v>23950</v>
      </c>
      <c r="I13168" t="s">
        <v>26604</v>
      </c>
      <c r="J13168" t="s">
        <v>47099</v>
      </c>
      <c r="L13168" t="s">
        <v>47182</v>
      </c>
      <c r="N13168" t="s">
        <v>28137</v>
      </c>
      <c r="P13168" t="s">
        <v>28331</v>
      </c>
      <c r="R13168" s="26" t="str">
        <f>HYPERLINK("https://ictv.global/taxonomy/taxondetails?taxnode_id=202307626","Phlebovirus itaitubaense")</f>
        <v>Phlebovirus itaitubaense</v>
      </c>
      <c r="S13168" t="s">
        <v>30</v>
      </c>
      <c r="T13168" t="s">
        <v>28439</v>
      </c>
      <c r="U13168" t="s">
        <v>25455</v>
      </c>
      <c r="V13168" t="s">
        <v>28440</v>
      </c>
      <c r="W13168" t="s">
        <v>28441</v>
      </c>
      <c r="X13168" t="s">
        <v>42</v>
      </c>
      <c r="Y13168" t="s">
        <v>50974</v>
      </c>
      <c r="Z13168" t="s">
        <v>12289</v>
      </c>
      <c r="AA13168" s="22" t="str">
        <f>HYPERLINK("https://www.ncbi.nlm.nih.gov/nuccore/HM119416,HM119417,HM119418","NCBI Nucleotide")</f>
        <v>NCBI Nucleotide</v>
      </c>
    </row>
    <row r="13169" spans="1:27" x14ac:dyDescent="0.35">
      <c r="A13169">
        <v>1000579</v>
      </c>
      <c r="B13169">
        <v>12301</v>
      </c>
      <c r="C13169">
        <v>1</v>
      </c>
      <c r="D13169" t="s">
        <v>17166</v>
      </c>
      <c r="F13169" t="s">
        <v>17246</v>
      </c>
      <c r="H13169" t="s">
        <v>23950</v>
      </c>
      <c r="I13169" t="s">
        <v>26604</v>
      </c>
      <c r="J13169" t="s">
        <v>47099</v>
      </c>
      <c r="L13169" t="s">
        <v>47182</v>
      </c>
      <c r="N13169" t="s">
        <v>28137</v>
      </c>
      <c r="P13169" t="s">
        <v>28331</v>
      </c>
      <c r="R13169" s="26" t="str">
        <f>HYPERLINK("https://ictv.global/taxonomy/taxondetails?taxnode_id=202307613","Phlebovirus itaporangaense")</f>
        <v>Phlebovirus itaporangaense</v>
      </c>
      <c r="S13169" t="s">
        <v>30</v>
      </c>
      <c r="T13169" t="s">
        <v>28442</v>
      </c>
      <c r="U13169" t="s">
        <v>28443</v>
      </c>
      <c r="V13169" t="s">
        <v>27504</v>
      </c>
      <c r="W13169" t="s">
        <v>28444</v>
      </c>
      <c r="X13169" t="s">
        <v>42</v>
      </c>
      <c r="Y13169" t="s">
        <v>50974</v>
      </c>
      <c r="Z13169" t="s">
        <v>12289</v>
      </c>
      <c r="AA13169" s="22" t="str">
        <f>HYPERLINK("https://www.ncbi.nlm.nih.gov/nuccore/MK330771,MK330772,MK330773","NCBI Nucleotide")</f>
        <v>NCBI Nucleotide</v>
      </c>
    </row>
    <row r="13170" spans="1:27" x14ac:dyDescent="0.35">
      <c r="A13170">
        <v>1000580</v>
      </c>
      <c r="B13170">
        <v>12302</v>
      </c>
      <c r="C13170">
        <v>1</v>
      </c>
      <c r="D13170" t="s">
        <v>17166</v>
      </c>
      <c r="F13170" t="s">
        <v>17246</v>
      </c>
      <c r="H13170" t="s">
        <v>23950</v>
      </c>
      <c r="I13170" t="s">
        <v>26604</v>
      </c>
      <c r="J13170" t="s">
        <v>47099</v>
      </c>
      <c r="L13170" t="s">
        <v>47182</v>
      </c>
      <c r="N13170" t="s">
        <v>28137</v>
      </c>
      <c r="P13170" t="s">
        <v>28331</v>
      </c>
      <c r="R13170" s="26" t="str">
        <f>HYPERLINK("https://ictv.global/taxonomy/taxondetails?taxnode_id=202307585","Phlebovirus ixcanalense")</f>
        <v>Phlebovirus ixcanalense</v>
      </c>
      <c r="S13170" t="s">
        <v>30</v>
      </c>
      <c r="T13170" t="s">
        <v>28445</v>
      </c>
      <c r="U13170" t="s">
        <v>28446</v>
      </c>
      <c r="V13170" t="s">
        <v>28447</v>
      </c>
      <c r="W13170" t="s">
        <v>50701</v>
      </c>
      <c r="X13170" t="s">
        <v>42</v>
      </c>
      <c r="Y13170" t="s">
        <v>50974</v>
      </c>
      <c r="Z13170" t="s">
        <v>12289</v>
      </c>
      <c r="AA13170" s="22" t="str">
        <f>HYPERLINK("https://www.ncbi.nlm.nih.gov/nuccore/HM566162,HM566163,HM566161","NCBI Nucleotide")</f>
        <v>NCBI Nucleotide</v>
      </c>
    </row>
    <row r="13171" spans="1:27" x14ac:dyDescent="0.35">
      <c r="A13171">
        <v>1000581</v>
      </c>
      <c r="B13171">
        <v>12303</v>
      </c>
      <c r="C13171">
        <v>1</v>
      </c>
      <c r="D13171" t="s">
        <v>17166</v>
      </c>
      <c r="F13171" t="s">
        <v>17246</v>
      </c>
      <c r="H13171" t="s">
        <v>23950</v>
      </c>
      <c r="I13171" t="s">
        <v>26604</v>
      </c>
      <c r="J13171" t="s">
        <v>47099</v>
      </c>
      <c r="L13171" t="s">
        <v>47182</v>
      </c>
      <c r="N13171" t="s">
        <v>28137</v>
      </c>
      <c r="P13171" t="s">
        <v>28331</v>
      </c>
      <c r="R13171" s="26" t="str">
        <f>HYPERLINK("https://ictv.global/taxonomy/taxondetails?taxnode_id=202307607","Phlebovirus karimabadense")</f>
        <v>Phlebovirus karimabadense</v>
      </c>
      <c r="S13171" t="s">
        <v>30</v>
      </c>
      <c r="T13171" t="s">
        <v>28448</v>
      </c>
      <c r="U13171" t="s">
        <v>28449</v>
      </c>
      <c r="V13171" t="s">
        <v>28450</v>
      </c>
      <c r="W13171" t="s">
        <v>28451</v>
      </c>
      <c r="X13171" t="s">
        <v>35</v>
      </c>
      <c r="Y13171" t="s">
        <v>50974</v>
      </c>
      <c r="Z13171" t="s">
        <v>12289</v>
      </c>
      <c r="AA13171" s="22" t="str">
        <f>HYPERLINK("https://www.ncbi.nlm.nih.gov/nuccore/KF297909,KF297910,KF297911","NCBI Nucleotide")</f>
        <v>NCBI Nucleotide</v>
      </c>
    </row>
    <row r="13172" spans="1:27" x14ac:dyDescent="0.35">
      <c r="A13172">
        <v>1000582</v>
      </c>
      <c r="B13172">
        <v>12304</v>
      </c>
      <c r="C13172">
        <v>1</v>
      </c>
      <c r="D13172" t="s">
        <v>17166</v>
      </c>
      <c r="F13172" t="s">
        <v>17246</v>
      </c>
      <c r="H13172" t="s">
        <v>23950</v>
      </c>
      <c r="I13172" t="s">
        <v>26604</v>
      </c>
      <c r="J13172" t="s">
        <v>47099</v>
      </c>
      <c r="L13172" t="s">
        <v>47182</v>
      </c>
      <c r="N13172" t="s">
        <v>28137</v>
      </c>
      <c r="P13172" t="s">
        <v>28331</v>
      </c>
      <c r="R13172" s="26" t="str">
        <f>HYPERLINK("https://ictv.global/taxonomy/taxondetails?taxnode_id=202309621","Phlebovirus kiborgochense")</f>
        <v>Phlebovirus kiborgochense</v>
      </c>
      <c r="S13172" t="s">
        <v>30</v>
      </c>
      <c r="T13172" t="s">
        <v>28452</v>
      </c>
      <c r="U13172" t="s">
        <v>28453</v>
      </c>
      <c r="V13172" t="s">
        <v>28454</v>
      </c>
      <c r="W13172" t="s">
        <v>28455</v>
      </c>
      <c r="X13172" t="s">
        <v>35</v>
      </c>
      <c r="Y13172" t="s">
        <v>50974</v>
      </c>
      <c r="Z13172" t="s">
        <v>10790</v>
      </c>
      <c r="AA13172" s="22" t="str">
        <f>HYPERLINK("https://www.ncbi.nlm.nih.gov/nuccore/MT270831,MT270832,MT270833","NCBI Nucleotide")</f>
        <v>NCBI Nucleotide</v>
      </c>
    </row>
    <row r="13173" spans="1:27" x14ac:dyDescent="0.35">
      <c r="A13173">
        <v>1000583</v>
      </c>
      <c r="B13173">
        <v>12305</v>
      </c>
      <c r="C13173">
        <v>1</v>
      </c>
      <c r="D13173" t="s">
        <v>17166</v>
      </c>
      <c r="F13173" t="s">
        <v>17246</v>
      </c>
      <c r="H13173" t="s">
        <v>23950</v>
      </c>
      <c r="I13173" t="s">
        <v>26604</v>
      </c>
      <c r="J13173" t="s">
        <v>47099</v>
      </c>
      <c r="L13173" t="s">
        <v>47182</v>
      </c>
      <c r="N13173" t="s">
        <v>28137</v>
      </c>
      <c r="P13173" t="s">
        <v>28331</v>
      </c>
      <c r="R13173" s="26" t="str">
        <f>HYPERLINK("https://ictv.global/taxonomy/taxondetails?taxnode_id=202307594","Phlebovirus leticiaense")</f>
        <v>Phlebovirus leticiaense</v>
      </c>
      <c r="S13173" t="s">
        <v>30</v>
      </c>
      <c r="T13173" t="s">
        <v>28456</v>
      </c>
      <c r="U13173" t="s">
        <v>28457</v>
      </c>
      <c r="V13173" t="s">
        <v>28458</v>
      </c>
      <c r="W13173" t="s">
        <v>50848</v>
      </c>
      <c r="X13173" t="s">
        <v>42</v>
      </c>
      <c r="Y13173" t="s">
        <v>50974</v>
      </c>
      <c r="Z13173" t="s">
        <v>12289</v>
      </c>
      <c r="AA13173" s="22" t="str">
        <f>HYPERLINK("https://www.ncbi.nlm.nih.gov/nuccore/HM566152,HM566154,HM566153","NCBI Nucleotide")</f>
        <v>NCBI Nucleotide</v>
      </c>
    </row>
    <row r="13174" spans="1:27" x14ac:dyDescent="0.35">
      <c r="A13174">
        <v>1000549</v>
      </c>
      <c r="B13174">
        <v>12306</v>
      </c>
      <c r="C13174">
        <v>1</v>
      </c>
      <c r="D13174" t="s">
        <v>17166</v>
      </c>
      <c r="F13174" t="s">
        <v>17246</v>
      </c>
      <c r="H13174" t="s">
        <v>23950</v>
      </c>
      <c r="I13174" t="s">
        <v>26604</v>
      </c>
      <c r="J13174" t="s">
        <v>47099</v>
      </c>
      <c r="L13174" t="s">
        <v>47182</v>
      </c>
      <c r="N13174" t="s">
        <v>28137</v>
      </c>
      <c r="P13174" t="s">
        <v>28331</v>
      </c>
      <c r="R13174" s="26" t="str">
        <f>HYPERLINK("https://ictv.global/taxonomy/taxondetails?taxnode_id=202300161","Phlebovirus limboense")</f>
        <v>Phlebovirus limboense</v>
      </c>
      <c r="S13174" t="s">
        <v>30</v>
      </c>
      <c r="T13174" t="s">
        <v>28332</v>
      </c>
      <c r="U13174" t="s">
        <v>28333</v>
      </c>
      <c r="V13174" t="s">
        <v>28334</v>
      </c>
      <c r="W13174" t="s">
        <v>48720</v>
      </c>
      <c r="X13174" t="s">
        <v>42</v>
      </c>
      <c r="Y13174" t="s">
        <v>50974</v>
      </c>
      <c r="Z13174" t="s">
        <v>12289</v>
      </c>
      <c r="AA13174" s="22" t="str">
        <f>HYPERLINK("https://www.ncbi.nlm.nih.gov/nuccore/MK330765,MK330766,MK330767","NCBI Nucleotide")</f>
        <v>NCBI Nucleotide</v>
      </c>
    </row>
    <row r="13175" spans="1:27" x14ac:dyDescent="0.35">
      <c r="A13175">
        <v>1011331</v>
      </c>
      <c r="B13175">
        <v>12306</v>
      </c>
      <c r="C13175">
        <v>2</v>
      </c>
      <c r="D13175" t="s">
        <v>17166</v>
      </c>
      <c r="F13175" t="s">
        <v>17246</v>
      </c>
      <c r="H13175" t="s">
        <v>23950</v>
      </c>
      <c r="I13175" t="s">
        <v>26604</v>
      </c>
      <c r="J13175" t="s">
        <v>47099</v>
      </c>
      <c r="L13175" t="s">
        <v>47182</v>
      </c>
      <c r="N13175" t="s">
        <v>28137</v>
      </c>
      <c r="P13175" t="s">
        <v>28331</v>
      </c>
      <c r="R13175" s="26" t="str">
        <f>HYPERLINK("https://ictv.global/taxonomy/taxondetails?taxnode_id=202300161","Phlebovirus limboense")</f>
        <v>Phlebovirus limboense</v>
      </c>
      <c r="S13175" t="s">
        <v>8141</v>
      </c>
      <c r="T13175" t="s">
        <v>28573</v>
      </c>
      <c r="U13175" t="s">
        <v>28574</v>
      </c>
      <c r="V13175" t="s">
        <v>28575</v>
      </c>
      <c r="W13175" t="s">
        <v>49560</v>
      </c>
      <c r="X13175" t="s">
        <v>42</v>
      </c>
      <c r="Y13175" t="s">
        <v>50974</v>
      </c>
      <c r="Z13175" t="s">
        <v>12289</v>
      </c>
      <c r="AA13175" s="22" t="str">
        <f>HYPERLINK("https://www.ncbi.nlm.nih.gov/nuccore/KX611391,KX611392,KX611393","NCBI Nucleotide")</f>
        <v>NCBI Nucleotide</v>
      </c>
    </row>
    <row r="13176" spans="1:27" x14ac:dyDescent="0.35">
      <c r="A13176">
        <v>1000584</v>
      </c>
      <c r="B13176">
        <v>12307</v>
      </c>
      <c r="C13176">
        <v>1</v>
      </c>
      <c r="D13176" t="s">
        <v>17166</v>
      </c>
      <c r="F13176" t="s">
        <v>17246</v>
      </c>
      <c r="H13176" t="s">
        <v>23950</v>
      </c>
      <c r="I13176" t="s">
        <v>26604</v>
      </c>
      <c r="J13176" t="s">
        <v>47099</v>
      </c>
      <c r="L13176" t="s">
        <v>47182</v>
      </c>
      <c r="N13176" t="s">
        <v>28137</v>
      </c>
      <c r="P13176" t="s">
        <v>28331</v>
      </c>
      <c r="R13176" s="26" t="str">
        <f>HYPERLINK("https://ictv.global/taxonomy/taxondetails?taxnode_id=202307625","Phlebovirus maldonadoense")</f>
        <v>Phlebovirus maldonadoense</v>
      </c>
      <c r="S13176" t="s">
        <v>30</v>
      </c>
      <c r="T13176" t="s">
        <v>28459</v>
      </c>
      <c r="U13176" t="s">
        <v>28460</v>
      </c>
      <c r="V13176" t="s">
        <v>28461</v>
      </c>
      <c r="W13176" t="s">
        <v>28462</v>
      </c>
      <c r="X13176" t="s">
        <v>35</v>
      </c>
      <c r="Y13176" t="s">
        <v>50974</v>
      </c>
      <c r="Z13176" t="s">
        <v>12289</v>
      </c>
      <c r="AA13176" s="22" t="str">
        <f>HYPERLINK("https://www.ncbi.nlm.nih.gov/nuccore/HM119413,HM119414,HM119415","NCBI Nucleotide")</f>
        <v>NCBI Nucleotide</v>
      </c>
    </row>
    <row r="13177" spans="1:27" x14ac:dyDescent="0.35">
      <c r="A13177">
        <v>1000585</v>
      </c>
      <c r="B13177">
        <v>12308</v>
      </c>
      <c r="C13177">
        <v>1</v>
      </c>
      <c r="D13177" t="s">
        <v>17166</v>
      </c>
      <c r="F13177" t="s">
        <v>17246</v>
      </c>
      <c r="H13177" t="s">
        <v>23950</v>
      </c>
      <c r="I13177" t="s">
        <v>26604</v>
      </c>
      <c r="J13177" t="s">
        <v>47099</v>
      </c>
      <c r="L13177" t="s">
        <v>47182</v>
      </c>
      <c r="N13177" t="s">
        <v>28137</v>
      </c>
      <c r="P13177" t="s">
        <v>28331</v>
      </c>
      <c r="R13177" s="26" t="str">
        <f>HYPERLINK("https://ictv.global/taxonomy/taxondetails?taxnode_id=202307614","Phlebovirus massiliaense")</f>
        <v>Phlebovirus massiliaense</v>
      </c>
      <c r="S13177" t="s">
        <v>30</v>
      </c>
      <c r="T13177" t="s">
        <v>28463</v>
      </c>
      <c r="U13177" t="s">
        <v>28464</v>
      </c>
      <c r="V13177" t="s">
        <v>28465</v>
      </c>
      <c r="W13177" t="s">
        <v>28466</v>
      </c>
      <c r="X13177" t="s">
        <v>42</v>
      </c>
      <c r="Y13177" t="s">
        <v>50974</v>
      </c>
      <c r="Z13177" t="s">
        <v>12289</v>
      </c>
      <c r="AA13177" s="22" t="str">
        <f>HYPERLINK("https://www.ncbi.nlm.nih.gov/nuccore/EU725771,EU725772,EU725773","NCBI Nucleotide")</f>
        <v>NCBI Nucleotide</v>
      </c>
    </row>
    <row r="13178" spans="1:27" x14ac:dyDescent="0.35">
      <c r="A13178">
        <v>1000586</v>
      </c>
      <c r="B13178">
        <v>12309</v>
      </c>
      <c r="C13178">
        <v>1</v>
      </c>
      <c r="D13178" t="s">
        <v>17166</v>
      </c>
      <c r="F13178" t="s">
        <v>17246</v>
      </c>
      <c r="H13178" t="s">
        <v>23950</v>
      </c>
      <c r="I13178" t="s">
        <v>26604</v>
      </c>
      <c r="J13178" t="s">
        <v>47099</v>
      </c>
      <c r="L13178" t="s">
        <v>47182</v>
      </c>
      <c r="N13178" t="s">
        <v>28137</v>
      </c>
      <c r="P13178" t="s">
        <v>28331</v>
      </c>
      <c r="R13178" s="26" t="str">
        <f>HYPERLINK("https://ictv.global/taxonomy/taxondetails?taxnode_id=202307621","Phlebovirus medjerdaense")</f>
        <v>Phlebovirus medjerdaense</v>
      </c>
      <c r="S13178" t="s">
        <v>30</v>
      </c>
      <c r="T13178" t="s">
        <v>28467</v>
      </c>
      <c r="U13178" t="s">
        <v>28468</v>
      </c>
      <c r="V13178" t="s">
        <v>28469</v>
      </c>
      <c r="W13178" t="s">
        <v>28470</v>
      </c>
      <c r="X13178" t="s">
        <v>42</v>
      </c>
      <c r="Y13178" t="s">
        <v>50974</v>
      </c>
      <c r="Z13178" t="s">
        <v>12289</v>
      </c>
      <c r="AA13178" s="22" t="str">
        <f>HYPERLINK("https://www.ncbi.nlm.nih.gov/nuccore/KU255114,KU255115,KU297253","NCBI Nucleotide")</f>
        <v>NCBI Nucleotide</v>
      </c>
    </row>
    <row r="13179" spans="1:27" x14ac:dyDescent="0.35">
      <c r="A13179">
        <v>1000587</v>
      </c>
      <c r="B13179">
        <v>12310</v>
      </c>
      <c r="C13179">
        <v>1</v>
      </c>
      <c r="D13179" t="s">
        <v>17166</v>
      </c>
      <c r="F13179" t="s">
        <v>17246</v>
      </c>
      <c r="H13179" t="s">
        <v>23950</v>
      </c>
      <c r="I13179" t="s">
        <v>26604</v>
      </c>
      <c r="J13179" t="s">
        <v>47099</v>
      </c>
      <c r="L13179" t="s">
        <v>47182</v>
      </c>
      <c r="N13179" t="s">
        <v>28137</v>
      </c>
      <c r="P13179" t="s">
        <v>28331</v>
      </c>
      <c r="R13179" s="26" t="str">
        <f>HYPERLINK("https://ictv.global/taxonomy/taxondetails?taxnode_id=202307588","Phlebovirus monagritaense")</f>
        <v>Phlebovirus monagritaense</v>
      </c>
      <c r="S13179" t="s">
        <v>30</v>
      </c>
      <c r="T13179" t="s">
        <v>28471</v>
      </c>
      <c r="U13179" t="s">
        <v>28472</v>
      </c>
      <c r="V13179" t="s">
        <v>28473</v>
      </c>
      <c r="W13179" t="s">
        <v>28474</v>
      </c>
      <c r="X13179" t="s">
        <v>35</v>
      </c>
      <c r="Y13179" t="s">
        <v>50974</v>
      </c>
      <c r="Z13179" t="s">
        <v>12289</v>
      </c>
      <c r="AA13179" s="22" t="str">
        <f>HYPERLINK("https://www.ncbi.nlm.nih.gov/nuccore/MK524337,MK524338,MK524339","NCBI Nucleotide")</f>
        <v>NCBI Nucleotide</v>
      </c>
    </row>
    <row r="13180" spans="1:27" x14ac:dyDescent="0.35">
      <c r="A13180">
        <v>1000588</v>
      </c>
      <c r="B13180">
        <v>12311</v>
      </c>
      <c r="C13180">
        <v>1</v>
      </c>
      <c r="D13180" t="s">
        <v>17166</v>
      </c>
      <c r="F13180" t="s">
        <v>17246</v>
      </c>
      <c r="H13180" t="s">
        <v>23950</v>
      </c>
      <c r="I13180" t="s">
        <v>26604</v>
      </c>
      <c r="J13180" t="s">
        <v>47099</v>
      </c>
      <c r="L13180" t="s">
        <v>47182</v>
      </c>
      <c r="N13180" t="s">
        <v>28137</v>
      </c>
      <c r="P13180" t="s">
        <v>28331</v>
      </c>
      <c r="R13180" s="26" t="str">
        <f>HYPERLINK("https://ictv.global/taxonomy/taxondetails?taxnode_id=202306492","Phlebovirus mukawaense")</f>
        <v>Phlebovirus mukawaense</v>
      </c>
      <c r="S13180" t="s">
        <v>30</v>
      </c>
      <c r="T13180" t="s">
        <v>28475</v>
      </c>
      <c r="U13180" t="s">
        <v>28476</v>
      </c>
      <c r="V13180" t="s">
        <v>28477</v>
      </c>
      <c r="W13180" t="s">
        <v>50702</v>
      </c>
      <c r="X13180" t="s">
        <v>42</v>
      </c>
      <c r="Y13180" t="s">
        <v>50974</v>
      </c>
      <c r="Z13180" t="s">
        <v>12289</v>
      </c>
      <c r="AA13180" s="22" t="str">
        <f>HYPERLINK("https://www.ncbi.nlm.nih.gov/nuccore/LC063770,LC063768,LC063769","NCBI Nucleotide")</f>
        <v>NCBI Nucleotide</v>
      </c>
    </row>
    <row r="13181" spans="1:27" x14ac:dyDescent="0.35">
      <c r="A13181">
        <v>1000589</v>
      </c>
      <c r="B13181">
        <v>12312</v>
      </c>
      <c r="C13181">
        <v>1</v>
      </c>
      <c r="D13181" t="s">
        <v>17166</v>
      </c>
      <c r="F13181" t="s">
        <v>17246</v>
      </c>
      <c r="H13181" t="s">
        <v>23950</v>
      </c>
      <c r="I13181" t="s">
        <v>26604</v>
      </c>
      <c r="J13181" t="s">
        <v>47099</v>
      </c>
      <c r="L13181" t="s">
        <v>47182</v>
      </c>
      <c r="N13181" t="s">
        <v>28137</v>
      </c>
      <c r="P13181" t="s">
        <v>28331</v>
      </c>
      <c r="R13181" s="26" t="str">
        <f>HYPERLINK("https://ictv.global/taxonomy/taxondetails?taxnode_id=202307595","Phlebovirus mungubaense")</f>
        <v>Phlebovirus mungubaense</v>
      </c>
      <c r="S13181" t="s">
        <v>30</v>
      </c>
      <c r="T13181" t="s">
        <v>28478</v>
      </c>
      <c r="U13181" t="s">
        <v>26049</v>
      </c>
      <c r="V13181" t="s">
        <v>28479</v>
      </c>
      <c r="W13181" t="s">
        <v>28480</v>
      </c>
      <c r="X13181" t="s">
        <v>35</v>
      </c>
      <c r="Y13181" t="s">
        <v>50974</v>
      </c>
      <c r="Z13181" t="s">
        <v>12289</v>
      </c>
      <c r="AA13181" s="22" t="str">
        <f>HYPERLINK("https://www.ncbi.nlm.nih.gov/nuccore/HM566164,HM566165,HM566166","NCBI Nucleotide")</f>
        <v>NCBI Nucleotide</v>
      </c>
    </row>
    <row r="13182" spans="1:27" x14ac:dyDescent="0.35">
      <c r="A13182">
        <v>1000590</v>
      </c>
      <c r="B13182">
        <v>12313</v>
      </c>
      <c r="C13182">
        <v>1</v>
      </c>
      <c r="D13182" t="s">
        <v>17166</v>
      </c>
      <c r="F13182" t="s">
        <v>17246</v>
      </c>
      <c r="H13182" t="s">
        <v>23950</v>
      </c>
      <c r="I13182" t="s">
        <v>26604</v>
      </c>
      <c r="J13182" t="s">
        <v>47099</v>
      </c>
      <c r="L13182" t="s">
        <v>47182</v>
      </c>
      <c r="N13182" t="s">
        <v>28137</v>
      </c>
      <c r="P13182" t="s">
        <v>28331</v>
      </c>
      <c r="R13182" s="26" t="str">
        <f t="shared" ref="R13182:R13187" si="37">HYPERLINK("https://ictv.global/taxonomy/taxondetails?taxnode_id=202300165","Phlebovirus napoliense")</f>
        <v>Phlebovirus napoliense</v>
      </c>
      <c r="S13182" t="s">
        <v>30</v>
      </c>
      <c r="T13182" t="s">
        <v>28481</v>
      </c>
      <c r="U13182" t="s">
        <v>28482</v>
      </c>
      <c r="V13182" t="s">
        <v>28483</v>
      </c>
      <c r="W13182" t="s">
        <v>28484</v>
      </c>
      <c r="X13182" t="s">
        <v>42</v>
      </c>
      <c r="Y13182" t="s">
        <v>50974</v>
      </c>
      <c r="Z13182" t="s">
        <v>12289</v>
      </c>
      <c r="AA13182" s="22" t="str">
        <f>HYPERLINK("https://www.ncbi.nlm.nih.gov/nuccore/HM566167,HM566169,HM566168","NCBI Nucleotide")</f>
        <v>NCBI Nucleotide</v>
      </c>
    </row>
    <row r="13183" spans="1:27" x14ac:dyDescent="0.35">
      <c r="A13183">
        <v>1011337</v>
      </c>
      <c r="B13183">
        <v>12313</v>
      </c>
      <c r="C13183">
        <v>2</v>
      </c>
      <c r="D13183" t="s">
        <v>17166</v>
      </c>
      <c r="F13183" t="s">
        <v>17246</v>
      </c>
      <c r="H13183" t="s">
        <v>23950</v>
      </c>
      <c r="I13183" t="s">
        <v>26604</v>
      </c>
      <c r="J13183" t="s">
        <v>47099</v>
      </c>
      <c r="L13183" t="s">
        <v>47182</v>
      </c>
      <c r="N13183" t="s">
        <v>28137</v>
      </c>
      <c r="P13183" t="s">
        <v>28331</v>
      </c>
      <c r="R13183" s="26" t="str">
        <f t="shared" si="37"/>
        <v>Phlebovirus napoliense</v>
      </c>
      <c r="S13183" t="s">
        <v>8141</v>
      </c>
      <c r="T13183" t="s">
        <v>47261</v>
      </c>
      <c r="U13183" t="s">
        <v>28590</v>
      </c>
      <c r="V13183" t="s">
        <v>28591</v>
      </c>
      <c r="W13183" t="s">
        <v>49561</v>
      </c>
      <c r="X13183" t="s">
        <v>42</v>
      </c>
      <c r="Y13183" t="s">
        <v>50974</v>
      </c>
      <c r="Z13183" t="s">
        <v>12289</v>
      </c>
      <c r="AA13183" s="22" t="str">
        <f>HYPERLINK("https://www.ncbi.nlm.nih.gov/nuccore/KP863799,KP863800,KP863801","NCBI Nucleotide")</f>
        <v>NCBI Nucleotide</v>
      </c>
    </row>
    <row r="13184" spans="1:27" x14ac:dyDescent="0.35">
      <c r="A13184">
        <v>1011338</v>
      </c>
      <c r="B13184">
        <v>12313</v>
      </c>
      <c r="C13184">
        <v>3</v>
      </c>
      <c r="D13184" t="s">
        <v>17166</v>
      </c>
      <c r="F13184" t="s">
        <v>17246</v>
      </c>
      <c r="H13184" t="s">
        <v>23950</v>
      </c>
      <c r="I13184" t="s">
        <v>26604</v>
      </c>
      <c r="J13184" t="s">
        <v>47099</v>
      </c>
      <c r="L13184" t="s">
        <v>47182</v>
      </c>
      <c r="N13184" t="s">
        <v>28137</v>
      </c>
      <c r="P13184" t="s">
        <v>28331</v>
      </c>
      <c r="R13184" s="26" t="str">
        <f t="shared" si="37"/>
        <v>Phlebovirus napoliense</v>
      </c>
      <c r="S13184" t="s">
        <v>8141</v>
      </c>
      <c r="T13184" t="s">
        <v>28592</v>
      </c>
      <c r="U13184" t="s">
        <v>28593</v>
      </c>
      <c r="V13184" t="s">
        <v>28594</v>
      </c>
      <c r="W13184" t="s">
        <v>50975</v>
      </c>
      <c r="X13184" t="s">
        <v>154</v>
      </c>
      <c r="Y13184" t="s">
        <v>23964</v>
      </c>
      <c r="Z13184" t="s">
        <v>12289</v>
      </c>
      <c r="AA13184" s="22" t="str">
        <f>HYPERLINK("https://www.ncbi.nlm.nih.gov/nuccore/KY662287,KY662280","NCBI Nucleotide")</f>
        <v>NCBI Nucleotide</v>
      </c>
    </row>
    <row r="13185" spans="1:27" x14ac:dyDescent="0.35">
      <c r="A13185">
        <v>1011339</v>
      </c>
      <c r="B13185">
        <v>12313</v>
      </c>
      <c r="C13185">
        <v>4</v>
      </c>
      <c r="D13185" t="s">
        <v>17166</v>
      </c>
      <c r="F13185" t="s">
        <v>17246</v>
      </c>
      <c r="H13185" t="s">
        <v>23950</v>
      </c>
      <c r="I13185" t="s">
        <v>26604</v>
      </c>
      <c r="J13185" t="s">
        <v>47099</v>
      </c>
      <c r="L13185" t="s">
        <v>47182</v>
      </c>
      <c r="N13185" t="s">
        <v>28137</v>
      </c>
      <c r="P13185" t="s">
        <v>28331</v>
      </c>
      <c r="R13185" s="26" t="str">
        <f t="shared" si="37"/>
        <v>Phlebovirus napoliense</v>
      </c>
      <c r="S13185" t="s">
        <v>8141</v>
      </c>
      <c r="T13185" t="s">
        <v>28595</v>
      </c>
      <c r="U13185" t="s">
        <v>28596</v>
      </c>
      <c r="V13185" t="s">
        <v>28597</v>
      </c>
      <c r="W13185" t="s">
        <v>49562</v>
      </c>
      <c r="X13185" t="s">
        <v>42</v>
      </c>
      <c r="Y13185" t="s">
        <v>50974</v>
      </c>
      <c r="Z13185" t="s">
        <v>12289</v>
      </c>
      <c r="AA13185" s="22" t="str">
        <f>HYPERLINK("https://www.ncbi.nlm.nih.gov/nuccore/OU230765,OU230766,OU230767","NCBI Nucleotide")</f>
        <v>NCBI Nucleotide</v>
      </c>
    </row>
    <row r="13186" spans="1:27" x14ac:dyDescent="0.35">
      <c r="A13186">
        <v>1011340</v>
      </c>
      <c r="B13186">
        <v>12313</v>
      </c>
      <c r="C13186">
        <v>5</v>
      </c>
      <c r="D13186" t="s">
        <v>17166</v>
      </c>
      <c r="F13186" t="s">
        <v>17246</v>
      </c>
      <c r="H13186" t="s">
        <v>23950</v>
      </c>
      <c r="I13186" t="s">
        <v>26604</v>
      </c>
      <c r="J13186" t="s">
        <v>47099</v>
      </c>
      <c r="L13186" t="s">
        <v>47182</v>
      </c>
      <c r="N13186" t="s">
        <v>28137</v>
      </c>
      <c r="P13186" t="s">
        <v>28331</v>
      </c>
      <c r="R13186" s="26" t="str">
        <f t="shared" si="37"/>
        <v>Phlebovirus napoliense</v>
      </c>
      <c r="S13186" t="s">
        <v>8141</v>
      </c>
      <c r="T13186" t="s">
        <v>28598</v>
      </c>
      <c r="U13186" t="s">
        <v>50964</v>
      </c>
      <c r="V13186" t="s">
        <v>28599</v>
      </c>
      <c r="W13186" t="s">
        <v>49563</v>
      </c>
      <c r="X13186" t="s">
        <v>154</v>
      </c>
      <c r="Y13186" t="s">
        <v>50974</v>
      </c>
      <c r="Z13186" t="s">
        <v>12289</v>
      </c>
      <c r="AA13186" s="22" t="str">
        <f>HYPERLINK("https://www.ncbi.nlm.nih.gov/nuccore/GU135606,GU135607,GU135608","NCBI Nucleotide")</f>
        <v>NCBI Nucleotide</v>
      </c>
    </row>
    <row r="13187" spans="1:27" x14ac:dyDescent="0.35">
      <c r="A13187">
        <v>1011341</v>
      </c>
      <c r="B13187">
        <v>12313</v>
      </c>
      <c r="C13187">
        <v>6</v>
      </c>
      <c r="D13187" t="s">
        <v>17166</v>
      </c>
      <c r="F13187" t="s">
        <v>17246</v>
      </c>
      <c r="H13187" t="s">
        <v>23950</v>
      </c>
      <c r="I13187" t="s">
        <v>26604</v>
      </c>
      <c r="J13187" t="s">
        <v>47099</v>
      </c>
      <c r="L13187" t="s">
        <v>47182</v>
      </c>
      <c r="N13187" t="s">
        <v>28137</v>
      </c>
      <c r="P13187" t="s">
        <v>28331</v>
      </c>
      <c r="R13187" s="26" t="str">
        <f t="shared" si="37"/>
        <v>Phlebovirus napoliense</v>
      </c>
      <c r="S13187" t="s">
        <v>8141</v>
      </c>
      <c r="T13187" t="s">
        <v>28600</v>
      </c>
      <c r="U13187" t="s">
        <v>28601</v>
      </c>
      <c r="V13187" t="s">
        <v>28602</v>
      </c>
      <c r="W13187" t="s">
        <v>49564</v>
      </c>
      <c r="X13187" t="s">
        <v>154</v>
      </c>
      <c r="Y13187" t="s">
        <v>23964</v>
      </c>
      <c r="Z13187" t="s">
        <v>12289</v>
      </c>
      <c r="AA13187" s="22" t="str">
        <f>HYPERLINK("https://www.ncbi.nlm.nih.gov/nuccore/KY439873","NCBI Nucleotide")</f>
        <v>NCBI Nucleotide</v>
      </c>
    </row>
    <row r="13188" spans="1:27" x14ac:dyDescent="0.35">
      <c r="A13188">
        <v>1000591</v>
      </c>
      <c r="B13188">
        <v>12314</v>
      </c>
      <c r="C13188">
        <v>1</v>
      </c>
      <c r="D13188" t="s">
        <v>17166</v>
      </c>
      <c r="F13188" t="s">
        <v>17246</v>
      </c>
      <c r="H13188" t="s">
        <v>23950</v>
      </c>
      <c r="I13188" t="s">
        <v>26604</v>
      </c>
      <c r="J13188" t="s">
        <v>47099</v>
      </c>
      <c r="L13188" t="s">
        <v>47182</v>
      </c>
      <c r="N13188" t="s">
        <v>28137</v>
      </c>
      <c r="P13188" t="s">
        <v>28331</v>
      </c>
      <c r="R13188" s="26" t="str">
        <f>HYPERLINK("https://ictv.global/taxonomy/taxondetails?taxnode_id=202307624","Phlebovirus niqueense")</f>
        <v>Phlebovirus niqueense</v>
      </c>
      <c r="S13188" t="s">
        <v>30</v>
      </c>
      <c r="T13188" t="s">
        <v>28485</v>
      </c>
      <c r="U13188" t="s">
        <v>28486</v>
      </c>
      <c r="V13188" t="s">
        <v>28487</v>
      </c>
      <c r="W13188" t="s">
        <v>28488</v>
      </c>
      <c r="X13188" t="s">
        <v>42</v>
      </c>
      <c r="Y13188" t="s">
        <v>50974</v>
      </c>
      <c r="Z13188" t="s">
        <v>12289</v>
      </c>
      <c r="AA13188" s="22" t="str">
        <f>HYPERLINK("https://www.ncbi.nlm.nih.gov/nuccore/HM119425,HM119426,HM119427","NCBI Nucleotide")</f>
        <v>NCBI Nucleotide</v>
      </c>
    </row>
    <row r="13189" spans="1:27" x14ac:dyDescent="0.35">
      <c r="A13189">
        <v>1000592</v>
      </c>
      <c r="B13189">
        <v>12315</v>
      </c>
      <c r="C13189">
        <v>1</v>
      </c>
      <c r="D13189" t="s">
        <v>17166</v>
      </c>
      <c r="F13189" t="s">
        <v>17246</v>
      </c>
      <c r="H13189" t="s">
        <v>23950</v>
      </c>
      <c r="I13189" t="s">
        <v>26604</v>
      </c>
      <c r="J13189" t="s">
        <v>47099</v>
      </c>
      <c r="L13189" t="s">
        <v>47182</v>
      </c>
      <c r="N13189" t="s">
        <v>28137</v>
      </c>
      <c r="P13189" t="s">
        <v>28331</v>
      </c>
      <c r="R13189" s="26" t="str">
        <f>HYPERLINK("https://ictv.global/taxonomy/taxondetails?taxnode_id=202307606","Phlebovirus ntepesense")</f>
        <v>Phlebovirus ntepesense</v>
      </c>
      <c r="S13189" t="s">
        <v>30</v>
      </c>
      <c r="T13189" t="s">
        <v>28489</v>
      </c>
      <c r="U13189" t="s">
        <v>28490</v>
      </c>
      <c r="V13189" t="s">
        <v>28491</v>
      </c>
      <c r="W13189" t="s">
        <v>50703</v>
      </c>
      <c r="X13189" t="s">
        <v>42</v>
      </c>
      <c r="Y13189" t="s">
        <v>50974</v>
      </c>
      <c r="Z13189" t="s">
        <v>12289</v>
      </c>
      <c r="AA13189" s="22" t="str">
        <f>HYPERLINK("https://www.ncbi.nlm.nih.gov/nuccore/MF695812,MF695810,MF695811","NCBI Nucleotide")</f>
        <v>NCBI Nucleotide</v>
      </c>
    </row>
    <row r="13190" spans="1:27" x14ac:dyDescent="0.35">
      <c r="A13190">
        <v>1000593</v>
      </c>
      <c r="B13190">
        <v>12316</v>
      </c>
      <c r="C13190">
        <v>1</v>
      </c>
      <c r="D13190" t="s">
        <v>17166</v>
      </c>
      <c r="F13190" t="s">
        <v>17246</v>
      </c>
      <c r="H13190" t="s">
        <v>23950</v>
      </c>
      <c r="I13190" t="s">
        <v>26604</v>
      </c>
      <c r="J13190" t="s">
        <v>47099</v>
      </c>
      <c r="L13190" t="s">
        <v>47182</v>
      </c>
      <c r="N13190" t="s">
        <v>28137</v>
      </c>
      <c r="P13190" t="s">
        <v>28331</v>
      </c>
      <c r="R13190" s="26" t="str">
        <f>HYPERLINK("https://ictv.global/taxonomy/taxondetails?taxnode_id=202307623","Phlebovirus odrenisrouense")</f>
        <v>Phlebovirus odrenisrouense</v>
      </c>
      <c r="S13190" t="s">
        <v>30</v>
      </c>
      <c r="T13190" t="s">
        <v>28492</v>
      </c>
      <c r="U13190" t="s">
        <v>28493</v>
      </c>
      <c r="V13190" t="s">
        <v>28494</v>
      </c>
      <c r="W13190" t="s">
        <v>50704</v>
      </c>
      <c r="X13190" t="s">
        <v>42</v>
      </c>
      <c r="Y13190" t="s">
        <v>50974</v>
      </c>
      <c r="Z13190" t="s">
        <v>12289</v>
      </c>
      <c r="AA13190" s="22" t="str">
        <f>HYPERLINK("https://www.ncbi.nlm.nih.gov/nuccore/HM566174,HM566173,HM566175","NCBI Nucleotide")</f>
        <v>NCBI Nucleotide</v>
      </c>
    </row>
    <row r="13191" spans="1:27" x14ac:dyDescent="0.35">
      <c r="A13191">
        <v>1000594</v>
      </c>
      <c r="B13191">
        <v>12317</v>
      </c>
      <c r="C13191">
        <v>1</v>
      </c>
      <c r="D13191" t="s">
        <v>17166</v>
      </c>
      <c r="F13191" t="s">
        <v>17246</v>
      </c>
      <c r="H13191" t="s">
        <v>23950</v>
      </c>
      <c r="I13191" t="s">
        <v>26604</v>
      </c>
      <c r="J13191" t="s">
        <v>47099</v>
      </c>
      <c r="L13191" t="s">
        <v>47182</v>
      </c>
      <c r="N13191" t="s">
        <v>28137</v>
      </c>
      <c r="P13191" t="s">
        <v>28331</v>
      </c>
      <c r="R13191" s="22" t="str">
        <f>HYPERLINK("https://ictv.global/taxonomy/taxondetails?taxnode_id=202307627","Phlebovirus oriximinaense")</f>
        <v>Phlebovirus oriximinaense</v>
      </c>
      <c r="S13191" t="s">
        <v>30</v>
      </c>
      <c r="T13191" t="s">
        <v>28495</v>
      </c>
      <c r="U13191" t="s">
        <v>28496</v>
      </c>
      <c r="V13191" t="s">
        <v>28497</v>
      </c>
      <c r="W13191" t="s">
        <v>28498</v>
      </c>
      <c r="X13191" t="s">
        <v>42</v>
      </c>
      <c r="Y13191" t="s">
        <v>50974</v>
      </c>
      <c r="Z13191" t="s">
        <v>12289</v>
      </c>
      <c r="AA13191" s="22" t="str">
        <f>HYPERLINK("https://www.ncbi.nlm.nih.gov/nuccore/HM119434,HM119435,HM119436","NCBI Nucleotide")</f>
        <v>NCBI Nucleotide</v>
      </c>
    </row>
    <row r="13192" spans="1:27" x14ac:dyDescent="0.35">
      <c r="A13192">
        <v>1000595</v>
      </c>
      <c r="B13192">
        <v>12318</v>
      </c>
      <c r="C13192">
        <v>1</v>
      </c>
      <c r="D13192" t="s">
        <v>17166</v>
      </c>
      <c r="F13192" t="s">
        <v>17246</v>
      </c>
      <c r="H13192" t="s">
        <v>23950</v>
      </c>
      <c r="I13192" t="s">
        <v>26604</v>
      </c>
      <c r="J13192" t="s">
        <v>47099</v>
      </c>
      <c r="L13192" t="s">
        <v>47182</v>
      </c>
      <c r="N13192" t="s">
        <v>28137</v>
      </c>
      <c r="P13192" t="s">
        <v>28331</v>
      </c>
      <c r="R13192" s="26" t="str">
        <f>HYPERLINK("https://ictv.global/taxonomy/taxondetails?taxnode_id=202307604","Phlebovirus pantanalense")</f>
        <v>Phlebovirus pantanalense</v>
      </c>
      <c r="S13192" t="s">
        <v>30</v>
      </c>
      <c r="T13192" t="s">
        <v>28499</v>
      </c>
      <c r="U13192" t="s">
        <v>28500</v>
      </c>
      <c r="V13192" t="s">
        <v>28501</v>
      </c>
      <c r="W13192" t="s">
        <v>50705</v>
      </c>
      <c r="X13192" t="s">
        <v>154</v>
      </c>
      <c r="Y13192" t="s">
        <v>23964</v>
      </c>
      <c r="Z13192" t="s">
        <v>12289</v>
      </c>
      <c r="AA13192" s="22" t="str">
        <f>HYPERLINK("https://www.ncbi.nlm.nih.gov/nuccore/MF289183,MF289182","NCBI Nucleotide")</f>
        <v>NCBI Nucleotide</v>
      </c>
    </row>
    <row r="13193" spans="1:27" x14ac:dyDescent="0.35">
      <c r="A13193">
        <v>1000596</v>
      </c>
      <c r="B13193">
        <v>12319</v>
      </c>
      <c r="C13193">
        <v>1</v>
      </c>
      <c r="D13193" t="s">
        <v>17166</v>
      </c>
      <c r="F13193" t="s">
        <v>17246</v>
      </c>
      <c r="H13193" t="s">
        <v>23950</v>
      </c>
      <c r="I13193" t="s">
        <v>26604</v>
      </c>
      <c r="J13193" t="s">
        <v>47099</v>
      </c>
      <c r="L13193" t="s">
        <v>47182</v>
      </c>
      <c r="N13193" t="s">
        <v>28137</v>
      </c>
      <c r="P13193" t="s">
        <v>28331</v>
      </c>
      <c r="R13193" s="26" t="str">
        <f>HYPERLINK("https://ictv.global/taxonomy/taxondetails?taxnode_id=202307596","Phlebovirus penablancaense")</f>
        <v>Phlebovirus penablancaense</v>
      </c>
      <c r="S13193" t="s">
        <v>30</v>
      </c>
      <c r="T13193" t="s">
        <v>28502</v>
      </c>
      <c r="U13193" t="s">
        <v>19014</v>
      </c>
      <c r="V13193" t="s">
        <v>28503</v>
      </c>
      <c r="W13193" t="s">
        <v>28504</v>
      </c>
      <c r="X13193" t="s">
        <v>35</v>
      </c>
      <c r="Y13193" t="s">
        <v>50974</v>
      </c>
      <c r="Z13193" t="s">
        <v>12289</v>
      </c>
      <c r="AA13193" s="22" t="str">
        <f>HYPERLINK("https://www.ncbi.nlm.nih.gov/nuccore/MK524341,MK524342,MK524343","NCBI Nucleotide")</f>
        <v>NCBI Nucleotide</v>
      </c>
    </row>
    <row r="13194" spans="1:27" x14ac:dyDescent="0.35">
      <c r="A13194">
        <v>1000597</v>
      </c>
      <c r="B13194">
        <v>12320</v>
      </c>
      <c r="C13194">
        <v>1</v>
      </c>
      <c r="D13194" t="s">
        <v>17166</v>
      </c>
      <c r="F13194" t="s">
        <v>17246</v>
      </c>
      <c r="H13194" t="s">
        <v>23950</v>
      </c>
      <c r="I13194" t="s">
        <v>26604</v>
      </c>
      <c r="J13194" t="s">
        <v>47099</v>
      </c>
      <c r="L13194" t="s">
        <v>47182</v>
      </c>
      <c r="N13194" t="s">
        <v>28137</v>
      </c>
      <c r="P13194" t="s">
        <v>28331</v>
      </c>
      <c r="R13194" s="26" t="str">
        <f>HYPERLINK("https://ictv.global/taxonomy/taxondetails?taxnode_id=202309827","Phlebovirus penshurtense")</f>
        <v>Phlebovirus penshurtense</v>
      </c>
      <c r="S13194" t="s">
        <v>30</v>
      </c>
      <c r="T13194" t="s">
        <v>28505</v>
      </c>
      <c r="U13194" t="s">
        <v>28506</v>
      </c>
      <c r="V13194" t="s">
        <v>28507</v>
      </c>
      <c r="W13194" t="s">
        <v>28508</v>
      </c>
      <c r="X13194" t="s">
        <v>35</v>
      </c>
      <c r="Y13194" t="s">
        <v>50974</v>
      </c>
      <c r="Z13194" t="s">
        <v>166</v>
      </c>
      <c r="AA13194" s="22" t="str">
        <f>HYPERLINK("https://www.ncbi.nlm.nih.gov/nuccore/MN163121,MN163122,MN163123","NCBI Nucleotide")</f>
        <v>NCBI Nucleotide</v>
      </c>
    </row>
    <row r="13195" spans="1:27" x14ac:dyDescent="0.35">
      <c r="A13195">
        <v>1000598</v>
      </c>
      <c r="B13195">
        <v>12321</v>
      </c>
      <c r="C13195">
        <v>1</v>
      </c>
      <c r="D13195" t="s">
        <v>17166</v>
      </c>
      <c r="F13195" t="s">
        <v>17246</v>
      </c>
      <c r="H13195" t="s">
        <v>23950</v>
      </c>
      <c r="I13195" t="s">
        <v>26604</v>
      </c>
      <c r="J13195" t="s">
        <v>47099</v>
      </c>
      <c r="L13195" t="s">
        <v>47182</v>
      </c>
      <c r="N13195" t="s">
        <v>28137</v>
      </c>
      <c r="P13195" t="s">
        <v>28331</v>
      </c>
      <c r="R13195" s="26" t="str">
        <f>HYPERLINK("https://ictv.global/taxonomy/taxondetails?taxnode_id=202309624","Phlebovirus perkerraense")</f>
        <v>Phlebovirus perkerraense</v>
      </c>
      <c r="S13195" t="s">
        <v>30</v>
      </c>
      <c r="T13195" t="s">
        <v>28509</v>
      </c>
      <c r="U13195" t="s">
        <v>28510</v>
      </c>
      <c r="V13195" t="s">
        <v>28511</v>
      </c>
      <c r="W13195" t="s">
        <v>28512</v>
      </c>
      <c r="X13195" t="s">
        <v>35</v>
      </c>
      <c r="Y13195" t="s">
        <v>50974</v>
      </c>
      <c r="Z13195" t="s">
        <v>10790</v>
      </c>
      <c r="AA13195" s="22" t="str">
        <f>HYPERLINK("https://www.ncbi.nlm.nih.gov/nuccore/MT270834,MT270835,MT270836","NCBI Nucleotide")</f>
        <v>NCBI Nucleotide</v>
      </c>
    </row>
    <row r="13196" spans="1:27" x14ac:dyDescent="0.35">
      <c r="A13196">
        <v>1000599</v>
      </c>
      <c r="B13196">
        <v>12322</v>
      </c>
      <c r="C13196">
        <v>1</v>
      </c>
      <c r="D13196" t="s">
        <v>17166</v>
      </c>
      <c r="F13196" t="s">
        <v>17246</v>
      </c>
      <c r="H13196" t="s">
        <v>23950</v>
      </c>
      <c r="I13196" t="s">
        <v>26604</v>
      </c>
      <c r="J13196" t="s">
        <v>47099</v>
      </c>
      <c r="L13196" t="s">
        <v>47182</v>
      </c>
      <c r="N13196" t="s">
        <v>28137</v>
      </c>
      <c r="P13196" t="s">
        <v>28331</v>
      </c>
      <c r="R13196" s="26" t="str">
        <f>HYPERLINK("https://ictv.global/taxonomy/taxondetails?taxnode_id=202307615","Phlebovirus puniqueense")</f>
        <v>Phlebovirus puniqueense</v>
      </c>
      <c r="S13196" t="s">
        <v>30</v>
      </c>
      <c r="T13196" t="s">
        <v>28513</v>
      </c>
      <c r="U13196" t="s">
        <v>28514</v>
      </c>
      <c r="V13196" t="s">
        <v>28515</v>
      </c>
      <c r="W13196" t="s">
        <v>28516</v>
      </c>
      <c r="X13196" t="s">
        <v>35</v>
      </c>
      <c r="Y13196" t="s">
        <v>50974</v>
      </c>
      <c r="Z13196" t="s">
        <v>12289</v>
      </c>
      <c r="AA13196" s="22" t="str">
        <f>HYPERLINK("https://www.ncbi.nlm.nih.gov/nuccore/JF920133,JF920134,JF920135","NCBI Nucleotide")</f>
        <v>NCBI Nucleotide</v>
      </c>
    </row>
    <row r="13197" spans="1:27" x14ac:dyDescent="0.35">
      <c r="A13197">
        <v>1000600</v>
      </c>
      <c r="B13197">
        <v>12323</v>
      </c>
      <c r="C13197">
        <v>1</v>
      </c>
      <c r="D13197" t="s">
        <v>17166</v>
      </c>
      <c r="F13197" t="s">
        <v>17246</v>
      </c>
      <c r="H13197" t="s">
        <v>23950</v>
      </c>
      <c r="I13197" t="s">
        <v>26604</v>
      </c>
      <c r="J13197" t="s">
        <v>47099</v>
      </c>
      <c r="L13197" t="s">
        <v>47182</v>
      </c>
      <c r="N13197" t="s">
        <v>28137</v>
      </c>
      <c r="P13197" t="s">
        <v>28331</v>
      </c>
      <c r="R13197" s="26" t="str">
        <f>HYPERLINK("https://ictv.global/taxonomy/taxondetails?taxnode_id=202300163","Phlebovirus riftense")</f>
        <v>Phlebovirus riftense</v>
      </c>
      <c r="S13197" t="s">
        <v>30</v>
      </c>
      <c r="T13197" t="s">
        <v>28517</v>
      </c>
      <c r="U13197" t="s">
        <v>28518</v>
      </c>
      <c r="V13197" t="s">
        <v>28519</v>
      </c>
      <c r="W13197" t="s">
        <v>50706</v>
      </c>
      <c r="X13197" t="s">
        <v>42</v>
      </c>
      <c r="Y13197" t="s">
        <v>50974</v>
      </c>
      <c r="Z13197" t="s">
        <v>12289</v>
      </c>
      <c r="AA13197" s="22" t="str">
        <f>HYPERLINK("https://www.ncbi.nlm.nih.gov/nuccore/DQ375403,DQ380206,DQ380151","NCBI Nucleotide")</f>
        <v>NCBI Nucleotide</v>
      </c>
    </row>
    <row r="13198" spans="1:27" x14ac:dyDescent="0.35">
      <c r="A13198">
        <v>1000601</v>
      </c>
      <c r="B13198">
        <v>12324</v>
      </c>
      <c r="C13198">
        <v>1</v>
      </c>
      <c r="D13198" t="s">
        <v>17166</v>
      </c>
      <c r="F13198" t="s">
        <v>17246</v>
      </c>
      <c r="H13198" t="s">
        <v>23950</v>
      </c>
      <c r="I13198" t="s">
        <v>26604</v>
      </c>
      <c r="J13198" t="s">
        <v>47099</v>
      </c>
      <c r="L13198" t="s">
        <v>47182</v>
      </c>
      <c r="N13198" t="s">
        <v>28137</v>
      </c>
      <c r="P13198" t="s">
        <v>28331</v>
      </c>
      <c r="R13198" s="26" t="str">
        <f>HYPERLINK("https://ictv.global/taxonomy/taxondetails?taxnode_id=202307633","Phlebovirus riograndense")</f>
        <v>Phlebovirus riograndense</v>
      </c>
      <c r="S13198" t="s">
        <v>30</v>
      </c>
      <c r="T13198" t="s">
        <v>28520</v>
      </c>
      <c r="U13198" t="s">
        <v>28521</v>
      </c>
      <c r="V13198" t="s">
        <v>28522</v>
      </c>
      <c r="W13198" t="s">
        <v>28523</v>
      </c>
      <c r="X13198" t="s">
        <v>35</v>
      </c>
      <c r="Y13198" t="s">
        <v>50974</v>
      </c>
      <c r="Z13198" t="s">
        <v>12289</v>
      </c>
      <c r="AA13198" s="22" t="str">
        <f>HYPERLINK("https://www.ncbi.nlm.nih.gov/nuccore/MK503253,MK503254,MK503255","NCBI Nucleotide")</f>
        <v>NCBI Nucleotide</v>
      </c>
    </row>
    <row r="13199" spans="1:27" x14ac:dyDescent="0.35">
      <c r="A13199">
        <v>1000602</v>
      </c>
      <c r="B13199">
        <v>12325</v>
      </c>
      <c r="C13199">
        <v>1</v>
      </c>
      <c r="D13199" t="s">
        <v>17166</v>
      </c>
      <c r="F13199" t="s">
        <v>17246</v>
      </c>
      <c r="H13199" t="s">
        <v>23950</v>
      </c>
      <c r="I13199" t="s">
        <v>26604</v>
      </c>
      <c r="J13199" t="s">
        <v>47099</v>
      </c>
      <c r="L13199" t="s">
        <v>47182</v>
      </c>
      <c r="N13199" t="s">
        <v>28137</v>
      </c>
      <c r="P13199" t="s">
        <v>28331</v>
      </c>
      <c r="R13199" s="26" t="str">
        <f>HYPERLINK("https://ictv.global/taxonomy/taxondetails?taxnode_id=202307583","Phlebovirus salangaense")</f>
        <v>Phlebovirus salangaense</v>
      </c>
      <c r="S13199" t="s">
        <v>30</v>
      </c>
      <c r="T13199" t="s">
        <v>28524</v>
      </c>
      <c r="U13199" t="s">
        <v>28525</v>
      </c>
      <c r="V13199" t="s">
        <v>28526</v>
      </c>
      <c r="W13199" t="s">
        <v>28527</v>
      </c>
      <c r="X13199" t="s">
        <v>35</v>
      </c>
      <c r="Y13199" t="s">
        <v>50974</v>
      </c>
      <c r="Z13199" t="s">
        <v>12289</v>
      </c>
      <c r="AA13199" s="22" t="str">
        <f>HYPERLINK("https://www.ncbi.nlm.nih.gov/nuccore/KC669549,KC669550,KC669551","NCBI Nucleotide")</f>
        <v>NCBI Nucleotide</v>
      </c>
    </row>
    <row r="13200" spans="1:27" x14ac:dyDescent="0.35">
      <c r="A13200">
        <v>1000603</v>
      </c>
      <c r="B13200">
        <v>12326</v>
      </c>
      <c r="C13200">
        <v>1</v>
      </c>
      <c r="D13200" t="s">
        <v>17166</v>
      </c>
      <c r="F13200" t="s">
        <v>17246</v>
      </c>
      <c r="H13200" t="s">
        <v>23950</v>
      </c>
      <c r="I13200" t="s">
        <v>26604</v>
      </c>
      <c r="J13200" t="s">
        <v>47099</v>
      </c>
      <c r="L13200" t="s">
        <v>47182</v>
      </c>
      <c r="N13200" t="s">
        <v>28137</v>
      </c>
      <c r="P13200" t="s">
        <v>28331</v>
      </c>
      <c r="R13200" s="26" t="str">
        <f t="shared" ref="R13200:R13205" si="38">HYPERLINK("https://ictv.global/taxonomy/taxondetails?taxnode_id=202300164","Phlebovirus salehabadense")</f>
        <v>Phlebovirus salehabadense</v>
      </c>
      <c r="S13200" t="s">
        <v>30</v>
      </c>
      <c r="T13200" t="s">
        <v>28528</v>
      </c>
      <c r="U13200" t="s">
        <v>28529</v>
      </c>
      <c r="V13200" t="s">
        <v>28530</v>
      </c>
      <c r="W13200" t="s">
        <v>28531</v>
      </c>
      <c r="X13200" t="s">
        <v>35</v>
      </c>
      <c r="Y13200" t="s">
        <v>50974</v>
      </c>
      <c r="Z13200" t="s">
        <v>12289</v>
      </c>
      <c r="AA13200" s="22" t="str">
        <f>HYPERLINK("https://www.ncbi.nlm.nih.gov/nuccore/JX472403,JX472404,JX472405","NCBI Nucleotide")</f>
        <v>NCBI Nucleotide</v>
      </c>
    </row>
    <row r="13201" spans="1:27" x14ac:dyDescent="0.35">
      <c r="A13201">
        <v>1011342</v>
      </c>
      <c r="B13201">
        <v>12326</v>
      </c>
      <c r="C13201">
        <v>2</v>
      </c>
      <c r="D13201" t="s">
        <v>17166</v>
      </c>
      <c r="F13201" t="s">
        <v>17246</v>
      </c>
      <c r="H13201" t="s">
        <v>23950</v>
      </c>
      <c r="I13201" t="s">
        <v>26604</v>
      </c>
      <c r="J13201" t="s">
        <v>47099</v>
      </c>
      <c r="L13201" t="s">
        <v>47182</v>
      </c>
      <c r="N13201" t="s">
        <v>28137</v>
      </c>
      <c r="P13201" t="s">
        <v>28331</v>
      </c>
      <c r="R13201" s="26" t="str">
        <f t="shared" si="38"/>
        <v>Phlebovirus salehabadense</v>
      </c>
      <c r="S13201" t="s">
        <v>8141</v>
      </c>
      <c r="T13201" t="s">
        <v>28603</v>
      </c>
      <c r="U13201" t="s">
        <v>28604</v>
      </c>
      <c r="V13201" t="s">
        <v>28605</v>
      </c>
      <c r="W13201" t="s">
        <v>49565</v>
      </c>
      <c r="X13201" t="s">
        <v>154</v>
      </c>
      <c r="Y13201" t="s">
        <v>23964</v>
      </c>
      <c r="Z13201" t="s">
        <v>12289</v>
      </c>
      <c r="AA13201" s="22" t="str">
        <f>HYPERLINK("https://www.ncbi.nlm.nih.gov/nuccore/HM043725","NCBI Nucleotide")</f>
        <v>NCBI Nucleotide</v>
      </c>
    </row>
    <row r="13202" spans="1:27" x14ac:dyDescent="0.35">
      <c r="A13202">
        <v>1011345</v>
      </c>
      <c r="B13202">
        <v>12326</v>
      </c>
      <c r="C13202">
        <v>3</v>
      </c>
      <c r="D13202" t="s">
        <v>17166</v>
      </c>
      <c r="F13202" t="s">
        <v>17246</v>
      </c>
      <c r="H13202" t="s">
        <v>23950</v>
      </c>
      <c r="I13202" t="s">
        <v>26604</v>
      </c>
      <c r="J13202" t="s">
        <v>47099</v>
      </c>
      <c r="L13202" t="s">
        <v>47182</v>
      </c>
      <c r="N13202" t="s">
        <v>28137</v>
      </c>
      <c r="P13202" t="s">
        <v>28331</v>
      </c>
      <c r="R13202" s="26" t="str">
        <f t="shared" si="38"/>
        <v>Phlebovirus salehabadense</v>
      </c>
      <c r="S13202" t="s">
        <v>8141</v>
      </c>
      <c r="T13202" t="s">
        <v>28612</v>
      </c>
      <c r="U13202" t="s">
        <v>28613</v>
      </c>
      <c r="V13202" t="s">
        <v>28614</v>
      </c>
      <c r="W13202" t="s">
        <v>49566</v>
      </c>
      <c r="X13202" t="s">
        <v>35</v>
      </c>
      <c r="Y13202" t="s">
        <v>50974</v>
      </c>
      <c r="Z13202" t="s">
        <v>12289</v>
      </c>
      <c r="AA13202" s="22" t="str">
        <f>HYPERLINK("https://www.ncbi.nlm.nih.gov/nuccore/JX472400,JX472401,JX472402","NCBI Nucleotide")</f>
        <v>NCBI Nucleotide</v>
      </c>
    </row>
    <row r="13203" spans="1:27" x14ac:dyDescent="0.35">
      <c r="A13203">
        <v>1011343</v>
      </c>
      <c r="B13203">
        <v>12326</v>
      </c>
      <c r="C13203">
        <v>4</v>
      </c>
      <c r="D13203" t="s">
        <v>17166</v>
      </c>
      <c r="F13203" t="s">
        <v>17246</v>
      </c>
      <c r="H13203" t="s">
        <v>23950</v>
      </c>
      <c r="I13203" t="s">
        <v>26604</v>
      </c>
      <c r="J13203" t="s">
        <v>47099</v>
      </c>
      <c r="L13203" t="s">
        <v>47182</v>
      </c>
      <c r="N13203" t="s">
        <v>28137</v>
      </c>
      <c r="P13203" t="s">
        <v>28331</v>
      </c>
      <c r="R13203" s="26" t="str">
        <f t="shared" si="38"/>
        <v>Phlebovirus salehabadense</v>
      </c>
      <c r="S13203" t="s">
        <v>8141</v>
      </c>
      <c r="T13203" t="s">
        <v>28606</v>
      </c>
      <c r="U13203" t="s">
        <v>28607</v>
      </c>
      <c r="V13203" t="s">
        <v>28608</v>
      </c>
      <c r="W13203" t="s">
        <v>49567</v>
      </c>
      <c r="X13203" t="s">
        <v>154</v>
      </c>
      <c r="Y13203" t="s">
        <v>50974</v>
      </c>
      <c r="Z13203" t="s">
        <v>12289</v>
      </c>
      <c r="AA13203" s="22" t="str">
        <f>HYPERLINK("https://www.ncbi.nlm.nih.gov/nuccore/MG573144,MG573145,MG573146","NCBI Nucleotide")</f>
        <v>NCBI Nucleotide</v>
      </c>
    </row>
    <row r="13204" spans="1:27" x14ac:dyDescent="0.35">
      <c r="A13204">
        <v>1011344</v>
      </c>
      <c r="B13204">
        <v>12326</v>
      </c>
      <c r="C13204">
        <v>5</v>
      </c>
      <c r="D13204" t="s">
        <v>17166</v>
      </c>
      <c r="F13204" t="s">
        <v>17246</v>
      </c>
      <c r="H13204" t="s">
        <v>23950</v>
      </c>
      <c r="I13204" t="s">
        <v>26604</v>
      </c>
      <c r="J13204" t="s">
        <v>47099</v>
      </c>
      <c r="L13204" t="s">
        <v>47182</v>
      </c>
      <c r="N13204" t="s">
        <v>28137</v>
      </c>
      <c r="P13204" t="s">
        <v>28331</v>
      </c>
      <c r="R13204" s="26" t="str">
        <f t="shared" si="38"/>
        <v>Phlebovirus salehabadense</v>
      </c>
      <c r="S13204" t="s">
        <v>8141</v>
      </c>
      <c r="T13204" t="s">
        <v>28609</v>
      </c>
      <c r="U13204" t="s">
        <v>28610</v>
      </c>
      <c r="V13204" t="s">
        <v>28611</v>
      </c>
      <c r="W13204" t="s">
        <v>49568</v>
      </c>
      <c r="X13204" t="s">
        <v>154</v>
      </c>
      <c r="Y13204" t="s">
        <v>23964</v>
      </c>
      <c r="Z13204" t="s">
        <v>12289</v>
      </c>
      <c r="AA13204" s="22" t="str">
        <f>HYPERLINK("https://www.ncbi.nlm.nih.gov/nuccore/GU446656","NCBI Nucleotide")</f>
        <v>NCBI Nucleotide</v>
      </c>
    </row>
    <row r="13205" spans="1:27" x14ac:dyDescent="0.35">
      <c r="A13205">
        <v>1011346</v>
      </c>
      <c r="B13205">
        <v>12326</v>
      </c>
      <c r="C13205">
        <v>6</v>
      </c>
      <c r="D13205" t="s">
        <v>17166</v>
      </c>
      <c r="F13205" t="s">
        <v>17246</v>
      </c>
      <c r="H13205" t="s">
        <v>23950</v>
      </c>
      <c r="I13205" t="s">
        <v>26604</v>
      </c>
      <c r="J13205" t="s">
        <v>47099</v>
      </c>
      <c r="L13205" t="s">
        <v>47182</v>
      </c>
      <c r="N13205" t="s">
        <v>28137</v>
      </c>
      <c r="P13205" t="s">
        <v>28331</v>
      </c>
      <c r="R13205" s="26" t="str">
        <f t="shared" si="38"/>
        <v>Phlebovirus salehabadense</v>
      </c>
      <c r="S13205" t="s">
        <v>8141</v>
      </c>
      <c r="T13205" t="s">
        <v>28615</v>
      </c>
      <c r="U13205" t="s">
        <v>28616</v>
      </c>
      <c r="V13205" t="s">
        <v>28617</v>
      </c>
      <c r="W13205" t="s">
        <v>49569</v>
      </c>
      <c r="X13205" t="s">
        <v>154</v>
      </c>
      <c r="Y13205" t="s">
        <v>50974</v>
      </c>
      <c r="Z13205" t="s">
        <v>12289</v>
      </c>
      <c r="AA13205" s="22" t="str">
        <f>HYPERLINK("https://www.ncbi.nlm.nih.gov/nuccore/MG573142,MG573143,MG573147","NCBI Nucleotide")</f>
        <v>NCBI Nucleotide</v>
      </c>
    </row>
    <row r="13206" spans="1:27" x14ac:dyDescent="0.35">
      <c r="A13206">
        <v>1000604</v>
      </c>
      <c r="B13206">
        <v>12327</v>
      </c>
      <c r="C13206">
        <v>1</v>
      </c>
      <c r="D13206" t="s">
        <v>17166</v>
      </c>
      <c r="F13206" t="s">
        <v>17246</v>
      </c>
      <c r="H13206" t="s">
        <v>23950</v>
      </c>
      <c r="I13206" t="s">
        <v>26604</v>
      </c>
      <c r="J13206" t="s">
        <v>47099</v>
      </c>
      <c r="L13206" t="s">
        <v>47182</v>
      </c>
      <c r="N13206" t="s">
        <v>28137</v>
      </c>
      <c r="P13206" t="s">
        <v>28331</v>
      </c>
      <c r="R13206" s="26" t="str">
        <f>HYPERLINK("https://ictv.global/taxonomy/taxondetails?taxnode_id=202307589","Phlebovirus saloboense")</f>
        <v>Phlebovirus saloboense</v>
      </c>
      <c r="S13206" t="s">
        <v>30</v>
      </c>
      <c r="T13206" t="s">
        <v>28532</v>
      </c>
      <c r="U13206" t="s">
        <v>28533</v>
      </c>
      <c r="V13206" t="s">
        <v>28534</v>
      </c>
      <c r="W13206" t="s">
        <v>50849</v>
      </c>
      <c r="X13206" t="s">
        <v>42</v>
      </c>
      <c r="Y13206" t="s">
        <v>50974</v>
      </c>
      <c r="Z13206" t="s">
        <v>10790</v>
      </c>
      <c r="AA13206" s="22" t="str">
        <f>HYPERLINK("https://www.ncbi.nlm.nih.gov/nuccore/HM627185,HM627183,HM627184","NCBI Nucleotide")</f>
        <v>NCBI Nucleotide</v>
      </c>
    </row>
    <row r="13207" spans="1:27" x14ac:dyDescent="0.35">
      <c r="A13207">
        <v>1000605</v>
      </c>
      <c r="B13207">
        <v>12328</v>
      </c>
      <c r="C13207">
        <v>1</v>
      </c>
      <c r="D13207" t="s">
        <v>17166</v>
      </c>
      <c r="F13207" t="s">
        <v>17246</v>
      </c>
      <c r="H13207" t="s">
        <v>23950</v>
      </c>
      <c r="I13207" t="s">
        <v>26604</v>
      </c>
      <c r="J13207" t="s">
        <v>47099</v>
      </c>
      <c r="L13207" t="s">
        <v>47182</v>
      </c>
      <c r="N13207" t="s">
        <v>28137</v>
      </c>
      <c r="P13207" t="s">
        <v>28331</v>
      </c>
      <c r="R13207" s="26" t="str">
        <f>HYPERLINK("https://ictv.global/taxonomy/taxondetails?taxnode_id=202307612","Phlebovirus siciliaense")</f>
        <v>Phlebovirus siciliaense</v>
      </c>
      <c r="S13207" t="s">
        <v>30</v>
      </c>
      <c r="T13207" t="s">
        <v>28535</v>
      </c>
      <c r="U13207" t="s">
        <v>28536</v>
      </c>
      <c r="V13207" t="s">
        <v>28537</v>
      </c>
      <c r="W13207" t="s">
        <v>50707</v>
      </c>
      <c r="X13207" t="s">
        <v>42</v>
      </c>
      <c r="Y13207" t="s">
        <v>50974</v>
      </c>
      <c r="Z13207" t="s">
        <v>12289</v>
      </c>
      <c r="AA13207" s="22" t="str">
        <f>HYPERLINK("https://www.ncbi.nlm.nih.gov/nuccore/GQ847513,GQ847512,GQ847511","NCBI Nucleotide")</f>
        <v>NCBI Nucleotide</v>
      </c>
    </row>
    <row r="13208" spans="1:27" x14ac:dyDescent="0.35">
      <c r="A13208">
        <v>1000606</v>
      </c>
      <c r="B13208">
        <v>12329</v>
      </c>
      <c r="C13208">
        <v>1</v>
      </c>
      <c r="D13208" t="s">
        <v>17166</v>
      </c>
      <c r="F13208" t="s">
        <v>17246</v>
      </c>
      <c r="H13208" t="s">
        <v>23950</v>
      </c>
      <c r="I13208" t="s">
        <v>26604</v>
      </c>
      <c r="J13208" t="s">
        <v>47099</v>
      </c>
      <c r="L13208" t="s">
        <v>47182</v>
      </c>
      <c r="N13208" t="s">
        <v>28137</v>
      </c>
      <c r="P13208" t="s">
        <v>28331</v>
      </c>
      <c r="R13208" s="26" t="str">
        <f>HYPERLINK("https://ictv.global/taxonomy/taxondetails?taxnode_id=202307608","Phlebovirus taparaense")</f>
        <v>Phlebovirus taparaense</v>
      </c>
      <c r="S13208" t="s">
        <v>30</v>
      </c>
      <c r="T13208" t="s">
        <v>28538</v>
      </c>
      <c r="U13208" t="s">
        <v>28539</v>
      </c>
      <c r="V13208" t="s">
        <v>28540</v>
      </c>
      <c r="W13208" t="s">
        <v>28541</v>
      </c>
      <c r="X13208" t="s">
        <v>35</v>
      </c>
      <c r="Y13208" t="s">
        <v>50974</v>
      </c>
      <c r="Z13208" t="s">
        <v>12289</v>
      </c>
      <c r="AA13208" s="22" t="str">
        <f>HYPERLINK("https://www.ncbi.nlm.nih.gov/nuccore/KX611397,KX611398,KX611399","NCBI Nucleotide")</f>
        <v>NCBI Nucleotide</v>
      </c>
    </row>
    <row r="13209" spans="1:27" x14ac:dyDescent="0.35">
      <c r="A13209">
        <v>1000607</v>
      </c>
      <c r="B13209">
        <v>12330</v>
      </c>
      <c r="C13209">
        <v>1</v>
      </c>
      <c r="D13209" t="s">
        <v>17166</v>
      </c>
      <c r="F13209" t="s">
        <v>17246</v>
      </c>
      <c r="H13209" t="s">
        <v>23950</v>
      </c>
      <c r="I13209" t="s">
        <v>26604</v>
      </c>
      <c r="J13209" t="s">
        <v>47099</v>
      </c>
      <c r="L13209" t="s">
        <v>47182</v>
      </c>
      <c r="N13209" t="s">
        <v>28137</v>
      </c>
      <c r="P13209" t="s">
        <v>28331</v>
      </c>
      <c r="R13209" s="26" t="str">
        <f>HYPERLINK("https://ictv.global/taxonomy/taxondetails?taxnode_id=202307616","Phlebovirus tehranense")</f>
        <v>Phlebovirus tehranense</v>
      </c>
      <c r="S13209" t="s">
        <v>30</v>
      </c>
      <c r="T13209" t="s">
        <v>28542</v>
      </c>
      <c r="U13209" t="s">
        <v>28543</v>
      </c>
      <c r="V13209" t="s">
        <v>28544</v>
      </c>
      <c r="W13209" t="s">
        <v>28545</v>
      </c>
      <c r="X13209" t="s">
        <v>35</v>
      </c>
      <c r="Y13209" t="s">
        <v>50974</v>
      </c>
      <c r="Z13209" t="s">
        <v>12289</v>
      </c>
      <c r="AA13209" s="22" t="str">
        <f>HYPERLINK("https://www.ncbi.nlm.nih.gov/nuccore/JF939846,JF939847,JF939848","NCBI Nucleotide")</f>
        <v>NCBI Nucleotide</v>
      </c>
    </row>
    <row r="13210" spans="1:27" x14ac:dyDescent="0.35">
      <c r="A13210">
        <v>1000608</v>
      </c>
      <c r="B13210">
        <v>12331</v>
      </c>
      <c r="C13210">
        <v>1</v>
      </c>
      <c r="D13210" t="s">
        <v>17166</v>
      </c>
      <c r="F13210" t="s">
        <v>17246</v>
      </c>
      <c r="H13210" t="s">
        <v>23950</v>
      </c>
      <c r="I13210" t="s">
        <v>26604</v>
      </c>
      <c r="J13210" t="s">
        <v>47099</v>
      </c>
      <c r="L13210" t="s">
        <v>47182</v>
      </c>
      <c r="N13210" t="s">
        <v>28137</v>
      </c>
      <c r="P13210" t="s">
        <v>28331</v>
      </c>
      <c r="R13210" s="26" t="str">
        <f>HYPERLINK("https://ictv.global/taxonomy/taxondetails?taxnode_id=202307598","Phlebovirus ticoense")</f>
        <v>Phlebovirus ticoense</v>
      </c>
      <c r="S13210" t="s">
        <v>30</v>
      </c>
      <c r="T13210" t="s">
        <v>28546</v>
      </c>
      <c r="U13210" t="s">
        <v>18413</v>
      </c>
      <c r="V13210" t="s">
        <v>28547</v>
      </c>
      <c r="W13210" t="s">
        <v>28548</v>
      </c>
      <c r="X13210" t="s">
        <v>35</v>
      </c>
      <c r="Y13210" t="s">
        <v>50974</v>
      </c>
      <c r="Z13210" t="s">
        <v>10790</v>
      </c>
      <c r="AA13210" s="22" t="str">
        <f>HYPERLINK("https://www.ncbi.nlm.nih.gov/nuccore/MK524345,MK524346,MK524347","NCBI Nucleotide")</f>
        <v>NCBI Nucleotide</v>
      </c>
    </row>
    <row r="13211" spans="1:27" x14ac:dyDescent="0.35">
      <c r="A13211">
        <v>1000609</v>
      </c>
      <c r="B13211">
        <v>12332</v>
      </c>
      <c r="C13211">
        <v>1</v>
      </c>
      <c r="D13211" t="s">
        <v>17166</v>
      </c>
      <c r="F13211" t="s">
        <v>17246</v>
      </c>
      <c r="H13211" t="s">
        <v>23950</v>
      </c>
      <c r="I13211" t="s">
        <v>26604</v>
      </c>
      <c r="J13211" t="s">
        <v>47099</v>
      </c>
      <c r="L13211" t="s">
        <v>47182</v>
      </c>
      <c r="N13211" t="s">
        <v>28137</v>
      </c>
      <c r="P13211" t="s">
        <v>28331</v>
      </c>
      <c r="R13211" s="26" t="str">
        <f>HYPERLINK("https://ictv.global/taxonomy/taxondetails?taxnode_id=202300162","Phlebovirus toroense")</f>
        <v>Phlebovirus toroense</v>
      </c>
      <c r="S13211" t="s">
        <v>30</v>
      </c>
      <c r="T13211" t="s">
        <v>28549</v>
      </c>
      <c r="U13211" t="s">
        <v>28550</v>
      </c>
      <c r="V13211" t="s">
        <v>28551</v>
      </c>
      <c r="W13211" t="s">
        <v>28552</v>
      </c>
      <c r="X13211" t="s">
        <v>42</v>
      </c>
      <c r="Y13211" t="s">
        <v>50974</v>
      </c>
      <c r="Z13211" t="s">
        <v>12289</v>
      </c>
      <c r="AA13211" s="22" t="str">
        <f>HYPERLINK("https://www.ncbi.nlm.nih.gov/nuccore/KP272028,KP272029,KP272030","NCBI Nucleotide")</f>
        <v>NCBI Nucleotide</v>
      </c>
    </row>
    <row r="13212" spans="1:27" x14ac:dyDescent="0.35">
      <c r="A13212">
        <v>1011347</v>
      </c>
      <c r="B13212">
        <v>12332</v>
      </c>
      <c r="C13212">
        <v>2</v>
      </c>
      <c r="D13212" t="s">
        <v>17166</v>
      </c>
      <c r="F13212" t="s">
        <v>17246</v>
      </c>
      <c r="H13212" t="s">
        <v>23950</v>
      </c>
      <c r="I13212" t="s">
        <v>26604</v>
      </c>
      <c r="J13212" t="s">
        <v>47099</v>
      </c>
      <c r="L13212" t="s">
        <v>47182</v>
      </c>
      <c r="N13212" t="s">
        <v>28137</v>
      </c>
      <c r="P13212" t="s">
        <v>28331</v>
      </c>
      <c r="R13212" s="26" t="str">
        <f>HYPERLINK("https://ictv.global/taxonomy/taxondetails?taxnode_id=202300162","Phlebovirus toroense")</f>
        <v>Phlebovirus toroense</v>
      </c>
      <c r="S13212" t="s">
        <v>8141</v>
      </c>
      <c r="T13212" t="s">
        <v>28618</v>
      </c>
      <c r="U13212" t="s">
        <v>28619</v>
      </c>
      <c r="V13212" t="s">
        <v>28620</v>
      </c>
      <c r="W13212" t="s">
        <v>49570</v>
      </c>
      <c r="X13212" t="s">
        <v>154</v>
      </c>
      <c r="Y13212" t="s">
        <v>50974</v>
      </c>
      <c r="Z13212" t="s">
        <v>12289</v>
      </c>
      <c r="AA13212" s="22" t="str">
        <f>HYPERLINK("https://www.ncbi.nlm.nih.gov/nuccore/KP272043,KP272045,KP272044","NCBI Nucleotide")</f>
        <v>NCBI Nucleotide</v>
      </c>
    </row>
    <row r="13213" spans="1:27" x14ac:dyDescent="0.35">
      <c r="A13213">
        <v>1000610</v>
      </c>
      <c r="B13213">
        <v>12333</v>
      </c>
      <c r="C13213">
        <v>1</v>
      </c>
      <c r="D13213" t="s">
        <v>17166</v>
      </c>
      <c r="F13213" t="s">
        <v>17246</v>
      </c>
      <c r="H13213" t="s">
        <v>23950</v>
      </c>
      <c r="I13213" t="s">
        <v>26604</v>
      </c>
      <c r="J13213" t="s">
        <v>47099</v>
      </c>
      <c r="L13213" t="s">
        <v>47182</v>
      </c>
      <c r="N13213" t="s">
        <v>28137</v>
      </c>
      <c r="P13213" t="s">
        <v>28331</v>
      </c>
      <c r="R13213" s="26" t="str">
        <f>HYPERLINK("https://ictv.global/taxonomy/taxondetails?taxnode_id=202307610","Phlebovirus torosense")</f>
        <v>Phlebovirus torosense</v>
      </c>
      <c r="S13213" t="s">
        <v>30</v>
      </c>
      <c r="T13213" t="s">
        <v>28553</v>
      </c>
      <c r="U13213" t="s">
        <v>28554</v>
      </c>
      <c r="V13213">
        <v>213</v>
      </c>
      <c r="W13213" t="s">
        <v>28555</v>
      </c>
      <c r="X13213" t="s">
        <v>42</v>
      </c>
      <c r="Y13213" t="s">
        <v>50974</v>
      </c>
      <c r="Z13213" t="s">
        <v>12289</v>
      </c>
      <c r="AA13213" s="22" t="str">
        <f>HYPERLINK("https://www.ncbi.nlm.nih.gov/nuccore/KP966619,KP966620,KP966621","NCBI Nucleotide")</f>
        <v>NCBI Nucleotide</v>
      </c>
    </row>
    <row r="13214" spans="1:27" x14ac:dyDescent="0.35">
      <c r="A13214">
        <v>1000611</v>
      </c>
      <c r="B13214">
        <v>12334</v>
      </c>
      <c r="C13214">
        <v>1</v>
      </c>
      <c r="D13214" t="s">
        <v>17166</v>
      </c>
      <c r="F13214" t="s">
        <v>17246</v>
      </c>
      <c r="H13214" t="s">
        <v>23950</v>
      </c>
      <c r="I13214" t="s">
        <v>26604</v>
      </c>
      <c r="J13214" t="s">
        <v>47099</v>
      </c>
      <c r="L13214" t="s">
        <v>47182</v>
      </c>
      <c r="N13214" t="s">
        <v>28137</v>
      </c>
      <c r="P13214" t="s">
        <v>28331</v>
      </c>
      <c r="R13214" s="26" t="str">
        <f>HYPERLINK("https://ictv.global/taxonomy/taxondetails?taxnode_id=202307618","Phlebovirus toscanaense")</f>
        <v>Phlebovirus toscanaense</v>
      </c>
      <c r="S13214" t="s">
        <v>30</v>
      </c>
      <c r="T13214" t="s">
        <v>28556</v>
      </c>
      <c r="U13214" t="s">
        <v>28557</v>
      </c>
      <c r="V13214" t="s">
        <v>28558</v>
      </c>
      <c r="W13214" t="s">
        <v>50708</v>
      </c>
      <c r="X13214" t="s">
        <v>35</v>
      </c>
      <c r="Y13214" t="s">
        <v>50974</v>
      </c>
      <c r="Z13214" t="s">
        <v>12289</v>
      </c>
      <c r="AA13214" s="22" t="str">
        <f>HYPERLINK("https://www.ncbi.nlm.nih.gov/nuccore/X68414,X89628,X53794","NCBI Nucleotide")</f>
        <v>NCBI Nucleotide</v>
      </c>
    </row>
    <row r="13215" spans="1:27" x14ac:dyDescent="0.35">
      <c r="A13215">
        <v>1000612</v>
      </c>
      <c r="B13215">
        <v>12335</v>
      </c>
      <c r="C13215">
        <v>1</v>
      </c>
      <c r="D13215" t="s">
        <v>17166</v>
      </c>
      <c r="F13215" t="s">
        <v>17246</v>
      </c>
      <c r="H13215" t="s">
        <v>23950</v>
      </c>
      <c r="I13215" t="s">
        <v>26604</v>
      </c>
      <c r="J13215" t="s">
        <v>47099</v>
      </c>
      <c r="L13215" t="s">
        <v>47182</v>
      </c>
      <c r="N13215" t="s">
        <v>28137</v>
      </c>
      <c r="P13215" t="s">
        <v>28331</v>
      </c>
      <c r="R13215" s="26" t="str">
        <f>HYPERLINK("https://ictv.global/taxonomy/taxondetails?taxnode_id=202307628","Phlebovirus turunaense")</f>
        <v>Phlebovirus turunaense</v>
      </c>
      <c r="S13215" t="s">
        <v>30</v>
      </c>
      <c r="T13215" t="s">
        <v>28559</v>
      </c>
      <c r="U13215" t="s">
        <v>28560</v>
      </c>
      <c r="V13215" t="s">
        <v>28561</v>
      </c>
      <c r="W13215" t="s">
        <v>50709</v>
      </c>
      <c r="X13215" t="s">
        <v>42</v>
      </c>
      <c r="Y13215" t="s">
        <v>50974</v>
      </c>
      <c r="Z13215" t="s">
        <v>12289</v>
      </c>
      <c r="AA13215" s="22" t="str">
        <f>HYPERLINK("https://www.ncbi.nlm.nih.gov/nuccore/HM119431,HM119432,HM119433","NCBI Nucleotide")</f>
        <v>NCBI Nucleotide</v>
      </c>
    </row>
    <row r="13216" spans="1:27" x14ac:dyDescent="0.35">
      <c r="A13216">
        <v>1000613</v>
      </c>
      <c r="B13216">
        <v>12336</v>
      </c>
      <c r="C13216">
        <v>1</v>
      </c>
      <c r="D13216" t="s">
        <v>17166</v>
      </c>
      <c r="F13216" t="s">
        <v>17246</v>
      </c>
      <c r="H13216" t="s">
        <v>23950</v>
      </c>
      <c r="I13216" t="s">
        <v>26604</v>
      </c>
      <c r="J13216" t="s">
        <v>47099</v>
      </c>
      <c r="L13216" t="s">
        <v>47182</v>
      </c>
      <c r="N13216" t="s">
        <v>28137</v>
      </c>
      <c r="P13216" t="s">
        <v>28331</v>
      </c>
      <c r="R13216" s="26" t="str">
        <f>HYPERLINK("https://ictv.global/taxonomy/taxondetails?taxnode_id=202307601","Phlebovirus uriuranaense")</f>
        <v>Phlebovirus uriuranaense</v>
      </c>
      <c r="S13216" t="s">
        <v>30</v>
      </c>
      <c r="T13216" t="s">
        <v>28562</v>
      </c>
      <c r="U13216" t="s">
        <v>28563</v>
      </c>
      <c r="V13216" t="s">
        <v>28564</v>
      </c>
      <c r="W13216" t="s">
        <v>28565</v>
      </c>
      <c r="X13216" t="s">
        <v>42</v>
      </c>
      <c r="Y13216" t="s">
        <v>50974</v>
      </c>
      <c r="Z13216" t="s">
        <v>12289</v>
      </c>
      <c r="AA13216" s="22" t="str">
        <f>HYPERLINK("https://www.ncbi.nlm.nih.gov/nuccore/KX611400,KX611401,KX611402","NCBI Nucleotide")</f>
        <v>NCBI Nucleotide</v>
      </c>
    </row>
    <row r="13217" spans="1:27" x14ac:dyDescent="0.35">
      <c r="A13217">
        <v>1000614</v>
      </c>
      <c r="B13217">
        <v>12337</v>
      </c>
      <c r="C13217">
        <v>1</v>
      </c>
      <c r="D13217" t="s">
        <v>17166</v>
      </c>
      <c r="F13217" t="s">
        <v>17246</v>
      </c>
      <c r="H13217" t="s">
        <v>23950</v>
      </c>
      <c r="I13217" t="s">
        <v>26604</v>
      </c>
      <c r="J13217" t="s">
        <v>47099</v>
      </c>
      <c r="L13217" t="s">
        <v>47182</v>
      </c>
      <c r="N13217" t="s">
        <v>28137</v>
      </c>
      <c r="P13217" t="s">
        <v>28331</v>
      </c>
      <c r="R13217" s="26" t="str">
        <f>HYPERLINK("https://ictv.global/taxonomy/taxondetails?taxnode_id=202307603","Phlebovirus urucuriense")</f>
        <v>Phlebovirus urucuriense</v>
      </c>
      <c r="S13217" t="s">
        <v>30</v>
      </c>
      <c r="T13217" t="s">
        <v>28566</v>
      </c>
      <c r="U13217" t="s">
        <v>28567</v>
      </c>
      <c r="V13217" t="s">
        <v>28568</v>
      </c>
      <c r="W13217" t="s">
        <v>28569</v>
      </c>
      <c r="X13217" t="s">
        <v>35</v>
      </c>
      <c r="Y13217" t="s">
        <v>50974</v>
      </c>
      <c r="Z13217" t="s">
        <v>12289</v>
      </c>
      <c r="AA13217" s="22" t="str">
        <f>HYPERLINK("https://www.ncbi.nlm.nih.gov/nuccore/KX611403,KX611404,KX611405","NCBI Nucleotide")</f>
        <v>NCBI Nucleotide</v>
      </c>
    </row>
    <row r="13218" spans="1:27" x14ac:dyDescent="0.35">
      <c r="A13218">
        <v>1000615</v>
      </c>
      <c r="B13218">
        <v>12338</v>
      </c>
      <c r="C13218">
        <v>1</v>
      </c>
      <c r="D13218" t="s">
        <v>17166</v>
      </c>
      <c r="F13218" t="s">
        <v>17246</v>
      </c>
      <c r="H13218" t="s">
        <v>23950</v>
      </c>
      <c r="I13218" t="s">
        <v>26604</v>
      </c>
      <c r="J13218" t="s">
        <v>47099</v>
      </c>
      <c r="L13218" t="s">
        <v>47182</v>
      </c>
      <c r="N13218" t="s">
        <v>28137</v>
      </c>
      <c r="P13218" t="s">
        <v>28331</v>
      </c>
      <c r="R13218" s="26" t="str">
        <f>HYPERLINK("https://ictv.global/taxonomy/taxondetails?taxnode_id=202307617","Phlebovirus zerdaliense")</f>
        <v>Phlebovirus zerdaliense</v>
      </c>
      <c r="S13218" t="s">
        <v>30</v>
      </c>
      <c r="T13218" t="s">
        <v>28570</v>
      </c>
      <c r="U13218" t="s">
        <v>28571</v>
      </c>
      <c r="V13218">
        <v>37</v>
      </c>
      <c r="W13218" t="s">
        <v>28572</v>
      </c>
      <c r="X13218" t="s">
        <v>35</v>
      </c>
      <c r="Y13218" t="s">
        <v>50974</v>
      </c>
      <c r="Z13218" t="s">
        <v>12289</v>
      </c>
      <c r="AA13218" s="22" t="str">
        <f>HYPERLINK("https://www.ncbi.nlm.nih.gov/nuccore/KP966616,KP966617,KP966618","NCBI Nucleotide")</f>
        <v>NCBI Nucleotide</v>
      </c>
    </row>
    <row r="13219" spans="1:27" x14ac:dyDescent="0.35">
      <c r="A13219">
        <v>1000616</v>
      </c>
      <c r="B13219">
        <v>12339</v>
      </c>
      <c r="C13219">
        <v>1</v>
      </c>
      <c r="D13219" t="s">
        <v>17166</v>
      </c>
      <c r="F13219" t="s">
        <v>17246</v>
      </c>
      <c r="H13219" t="s">
        <v>23950</v>
      </c>
      <c r="I13219" t="s">
        <v>26604</v>
      </c>
      <c r="J13219" t="s">
        <v>47099</v>
      </c>
      <c r="L13219" t="s">
        <v>47182</v>
      </c>
      <c r="N13219" t="s">
        <v>28137</v>
      </c>
      <c r="P13219" t="s">
        <v>28621</v>
      </c>
      <c r="R13219" s="26" t="str">
        <f>HYPERLINK("https://ictv.global/taxonomy/taxondetails?taxnode_id=202306236","Pidchovirus pidgei")</f>
        <v>Pidchovirus pidgei</v>
      </c>
      <c r="S13219" t="s">
        <v>30</v>
      </c>
      <c r="T13219" t="s">
        <v>28622</v>
      </c>
      <c r="U13219" t="s">
        <v>28623</v>
      </c>
      <c r="V13219" t="s">
        <v>28624</v>
      </c>
      <c r="W13219" t="s">
        <v>50710</v>
      </c>
      <c r="X13219" t="s">
        <v>35</v>
      </c>
      <c r="Y13219" t="s">
        <v>23964</v>
      </c>
      <c r="Z13219" t="s">
        <v>10790</v>
      </c>
      <c r="AA13219" s="22" t="str">
        <f>HYPERLINK("https://www.ncbi.nlm.nih.gov/nuccore/KX852391,KX852390,KX852389","NCBI Nucleotide")</f>
        <v>NCBI Nucleotide</v>
      </c>
    </row>
    <row r="13220" spans="1:27" x14ac:dyDescent="0.35">
      <c r="A13220">
        <v>1000617</v>
      </c>
      <c r="B13220">
        <v>12340</v>
      </c>
      <c r="C13220">
        <v>1</v>
      </c>
      <c r="D13220" t="s">
        <v>17166</v>
      </c>
      <c r="F13220" t="s">
        <v>17246</v>
      </c>
      <c r="H13220" t="s">
        <v>23950</v>
      </c>
      <c r="I13220" t="s">
        <v>26604</v>
      </c>
      <c r="J13220" t="s">
        <v>47099</v>
      </c>
      <c r="L13220" t="s">
        <v>47182</v>
      </c>
      <c r="N13220" t="s">
        <v>28137</v>
      </c>
      <c r="P13220" t="s">
        <v>28621</v>
      </c>
      <c r="R13220" s="26" t="str">
        <f>HYPERLINK("https://ictv.global/taxonomy/taxondetails?taxnode_id=202309829","Pidchovirus stethori")</f>
        <v>Pidchovirus stethori</v>
      </c>
      <c r="S13220" t="s">
        <v>30</v>
      </c>
      <c r="T13220" t="s">
        <v>28625</v>
      </c>
      <c r="U13220" t="s">
        <v>28626</v>
      </c>
      <c r="V13220" t="s">
        <v>28627</v>
      </c>
      <c r="W13220" t="s">
        <v>50850</v>
      </c>
      <c r="X13220" t="s">
        <v>35</v>
      </c>
      <c r="Y13220" t="s">
        <v>23964</v>
      </c>
      <c r="Z13220" t="s">
        <v>10790</v>
      </c>
      <c r="AA13220" s="22" t="str">
        <f>HYPERLINK("https://www.ncbi.nlm.nih.gov/nuccore/MT153420,MT153468,MT153384","NCBI Nucleotide")</f>
        <v>NCBI Nucleotide</v>
      </c>
    </row>
    <row r="13221" spans="1:27" x14ac:dyDescent="0.35">
      <c r="A13221">
        <v>1000618</v>
      </c>
      <c r="B13221">
        <v>12341</v>
      </c>
      <c r="C13221">
        <v>1</v>
      </c>
      <c r="D13221" t="s">
        <v>17166</v>
      </c>
      <c r="F13221" t="s">
        <v>17246</v>
      </c>
      <c r="H13221" t="s">
        <v>23950</v>
      </c>
      <c r="I13221" t="s">
        <v>26604</v>
      </c>
      <c r="J13221" t="s">
        <v>47099</v>
      </c>
      <c r="L13221" t="s">
        <v>47182</v>
      </c>
      <c r="N13221" t="s">
        <v>28137</v>
      </c>
      <c r="P13221" t="s">
        <v>28628</v>
      </c>
      <c r="R13221" s="26" t="str">
        <f>HYPERLINK("https://ictv.global/taxonomy/taxondetails?taxnode_id=202309837","Rubodvirus argentinaense")</f>
        <v>Rubodvirus argentinaense</v>
      </c>
      <c r="S13221" t="s">
        <v>30</v>
      </c>
      <c r="T13221" t="s">
        <v>28629</v>
      </c>
      <c r="U13221" t="s">
        <v>28630</v>
      </c>
      <c r="V13221" t="s">
        <v>28631</v>
      </c>
      <c r="W13221" t="s">
        <v>28632</v>
      </c>
      <c r="X13221" t="s">
        <v>35</v>
      </c>
      <c r="Y13221" t="s">
        <v>23964</v>
      </c>
      <c r="Z13221" t="s">
        <v>13441</v>
      </c>
      <c r="AA13221" s="22" t="str">
        <f>HYPERLINK("https://www.ncbi.nlm.nih.gov/nuccore/MK728654,MK728655,MK728656","NCBI Nucleotide")</f>
        <v>NCBI Nucleotide</v>
      </c>
    </row>
    <row r="13222" spans="1:27" x14ac:dyDescent="0.35">
      <c r="A13222">
        <v>1000619</v>
      </c>
      <c r="B13222">
        <v>12342</v>
      </c>
      <c r="C13222">
        <v>1</v>
      </c>
      <c r="D13222" t="s">
        <v>17166</v>
      </c>
      <c r="F13222" t="s">
        <v>17246</v>
      </c>
      <c r="H13222" t="s">
        <v>23950</v>
      </c>
      <c r="I13222" t="s">
        <v>26604</v>
      </c>
      <c r="J13222" t="s">
        <v>47099</v>
      </c>
      <c r="L13222" t="s">
        <v>47182</v>
      </c>
      <c r="N13222" t="s">
        <v>28137</v>
      </c>
      <c r="P13222" t="s">
        <v>28628</v>
      </c>
      <c r="R13222" s="26" t="str">
        <f>HYPERLINK("https://ictv.global/taxonomy/taxondetails?taxnode_id=202309836","Rubodvirus armeniaense")</f>
        <v>Rubodvirus armeniaense</v>
      </c>
      <c r="S13222" t="s">
        <v>30</v>
      </c>
      <c r="T13222" t="s">
        <v>28633</v>
      </c>
      <c r="U13222" t="s">
        <v>28634</v>
      </c>
      <c r="V13222">
        <v>332</v>
      </c>
      <c r="W13222" t="s">
        <v>28635</v>
      </c>
      <c r="X13222" t="s">
        <v>35</v>
      </c>
      <c r="Y13222" t="s">
        <v>23964</v>
      </c>
      <c r="Z13222" t="s">
        <v>13441</v>
      </c>
      <c r="AA13222" s="22" t="str">
        <f>HYPERLINK("https://www.ncbi.nlm.nih.gov/nuccore/MK728657,MK728658,MK728659","NCBI Nucleotide")</f>
        <v>NCBI Nucleotide</v>
      </c>
    </row>
    <row r="13223" spans="1:27" x14ac:dyDescent="0.35">
      <c r="A13223">
        <v>1000620</v>
      </c>
      <c r="B13223">
        <v>12343</v>
      </c>
      <c r="C13223">
        <v>1</v>
      </c>
      <c r="D13223" t="s">
        <v>17166</v>
      </c>
      <c r="F13223" t="s">
        <v>17246</v>
      </c>
      <c r="H13223" t="s">
        <v>23950</v>
      </c>
      <c r="I13223" t="s">
        <v>26604</v>
      </c>
      <c r="J13223" t="s">
        <v>47099</v>
      </c>
      <c r="L13223" t="s">
        <v>47182</v>
      </c>
      <c r="N13223" t="s">
        <v>28137</v>
      </c>
      <c r="P13223" t="s">
        <v>28628</v>
      </c>
      <c r="R13223" s="26" t="str">
        <f>HYPERLINK("https://ictv.global/taxonomy/taxondetails?taxnode_id=202307648","Rubodvirus mali")</f>
        <v>Rubodvirus mali</v>
      </c>
      <c r="S13223" t="s">
        <v>30</v>
      </c>
      <c r="T13223" t="s">
        <v>28636</v>
      </c>
      <c r="U13223" t="s">
        <v>28637</v>
      </c>
      <c r="V13223" t="s">
        <v>28638</v>
      </c>
      <c r="W13223" t="s">
        <v>28639</v>
      </c>
      <c r="X13223" t="s">
        <v>42</v>
      </c>
      <c r="Y13223" t="s">
        <v>23964</v>
      </c>
      <c r="Z13223" t="s">
        <v>13441</v>
      </c>
      <c r="AA13223" s="22" t="str">
        <f>HYPERLINK("https://www.ncbi.nlm.nih.gov/nuccore/MF062125,MF062126,MF062127","NCBI Nucleotide")</f>
        <v>NCBI Nucleotide</v>
      </c>
    </row>
    <row r="13224" spans="1:27" x14ac:dyDescent="0.35">
      <c r="A13224">
        <v>1000621</v>
      </c>
      <c r="B13224">
        <v>12344</v>
      </c>
      <c r="C13224">
        <v>1</v>
      </c>
      <c r="D13224" t="s">
        <v>17166</v>
      </c>
      <c r="F13224" t="s">
        <v>17246</v>
      </c>
      <c r="H13224" t="s">
        <v>23950</v>
      </c>
      <c r="I13224" t="s">
        <v>26604</v>
      </c>
      <c r="J13224" t="s">
        <v>47099</v>
      </c>
      <c r="L13224" t="s">
        <v>47182</v>
      </c>
      <c r="N13224" t="s">
        <v>28137</v>
      </c>
      <c r="P13224" t="s">
        <v>28628</v>
      </c>
      <c r="R13224" s="26" t="str">
        <f>HYPERLINK("https://ictv.global/taxonomy/taxondetails?taxnode_id=202307649","Rubodvirus prosserense")</f>
        <v>Rubodvirus prosserense</v>
      </c>
      <c r="S13224" t="s">
        <v>30</v>
      </c>
      <c r="T13224" t="s">
        <v>28640</v>
      </c>
      <c r="U13224" t="s">
        <v>28641</v>
      </c>
      <c r="V13224" t="s">
        <v>19350</v>
      </c>
      <c r="W13224" t="s">
        <v>50711</v>
      </c>
      <c r="X13224" t="s">
        <v>42</v>
      </c>
      <c r="Y13224" t="s">
        <v>23964</v>
      </c>
      <c r="Z13224" t="s">
        <v>13441</v>
      </c>
      <c r="AA13224" s="22" t="str">
        <f>HYPERLINK("https://www.ncbi.nlm.nih.gov/nuccore/MF062139,MF062142,MF062143,MF062140,MF062141","NCBI Nucleotide")</f>
        <v>NCBI Nucleotide</v>
      </c>
    </row>
    <row r="13225" spans="1:27" x14ac:dyDescent="0.35">
      <c r="A13225">
        <v>1000622</v>
      </c>
      <c r="B13225">
        <v>12345</v>
      </c>
      <c r="C13225">
        <v>1</v>
      </c>
      <c r="D13225" t="s">
        <v>17166</v>
      </c>
      <c r="F13225" t="s">
        <v>17246</v>
      </c>
      <c r="H13225" t="s">
        <v>23950</v>
      </c>
      <c r="I13225" t="s">
        <v>26604</v>
      </c>
      <c r="J13225" t="s">
        <v>47099</v>
      </c>
      <c r="L13225" t="s">
        <v>47182</v>
      </c>
      <c r="N13225" t="s">
        <v>28137</v>
      </c>
      <c r="P13225" t="s">
        <v>28642</v>
      </c>
      <c r="R13225" s="26" t="str">
        <f>HYPERLINK("https://ictv.global/taxonomy/taxondetails?taxnode_id=202309842","Tanzavirus daressalaamense")</f>
        <v>Tanzavirus daressalaamense</v>
      </c>
      <c r="S13225" t="s">
        <v>30</v>
      </c>
      <c r="T13225" t="s">
        <v>28643</v>
      </c>
      <c r="U13225" t="s">
        <v>28644</v>
      </c>
      <c r="V13225" t="s">
        <v>28645</v>
      </c>
      <c r="W13225" t="s">
        <v>28646</v>
      </c>
      <c r="X13225" t="s">
        <v>35</v>
      </c>
      <c r="Y13225" t="s">
        <v>23964</v>
      </c>
      <c r="Z13225" t="s">
        <v>166</v>
      </c>
      <c r="AA13225" s="22" t="str">
        <f>HYPERLINK("https://www.ncbi.nlm.nih.gov/nuccore/MN062090,MN062091,MN062092","NCBI Nucleotide")</f>
        <v>NCBI Nucleotide</v>
      </c>
    </row>
    <row r="13226" spans="1:27" x14ac:dyDescent="0.35">
      <c r="A13226">
        <v>1000623</v>
      </c>
      <c r="B13226">
        <v>12346</v>
      </c>
      <c r="C13226">
        <v>1</v>
      </c>
      <c r="D13226" t="s">
        <v>17166</v>
      </c>
      <c r="F13226" t="s">
        <v>17246</v>
      </c>
      <c r="H13226" t="s">
        <v>23950</v>
      </c>
      <c r="I13226" t="s">
        <v>26604</v>
      </c>
      <c r="J13226" t="s">
        <v>47099</v>
      </c>
      <c r="L13226" t="s">
        <v>47182</v>
      </c>
      <c r="N13226" t="s">
        <v>28137</v>
      </c>
      <c r="P13226" t="s">
        <v>28647</v>
      </c>
      <c r="R13226" s="26" t="str">
        <f>HYPERLINK("https://ictv.global/taxonomy/taxondetails?taxnode_id=202300169","Tenuivirus echinochloae")</f>
        <v>Tenuivirus echinochloae</v>
      </c>
      <c r="S13226" t="s">
        <v>30</v>
      </c>
      <c r="T13226" t="s">
        <v>28648</v>
      </c>
      <c r="U13226" t="s">
        <v>28649</v>
      </c>
      <c r="V13226" t="s">
        <v>28650</v>
      </c>
      <c r="W13226" t="s">
        <v>50712</v>
      </c>
      <c r="X13226" t="s">
        <v>154</v>
      </c>
      <c r="Y13226" t="s">
        <v>50974</v>
      </c>
      <c r="Z13226" t="s">
        <v>15964</v>
      </c>
      <c r="AA13226" s="22" t="str">
        <f>HYPERLINK("https://www.ncbi.nlm.nih.gov/nuccore/L75930,L48441,L47430","NCBI Nucleotide")</f>
        <v>NCBI Nucleotide</v>
      </c>
    </row>
    <row r="13227" spans="1:27" x14ac:dyDescent="0.35">
      <c r="A13227">
        <v>1000624</v>
      </c>
      <c r="B13227">
        <v>12347</v>
      </c>
      <c r="C13227">
        <v>1</v>
      </c>
      <c r="D13227" t="s">
        <v>17166</v>
      </c>
      <c r="F13227" t="s">
        <v>17246</v>
      </c>
      <c r="H13227" t="s">
        <v>23950</v>
      </c>
      <c r="I13227" t="s">
        <v>26604</v>
      </c>
      <c r="J13227" t="s">
        <v>47099</v>
      </c>
      <c r="L13227" t="s">
        <v>47182</v>
      </c>
      <c r="N13227" t="s">
        <v>28137</v>
      </c>
      <c r="P13227" t="s">
        <v>28647</v>
      </c>
      <c r="R13227" s="26" t="str">
        <f>HYPERLINK("https://ictv.global/taxonomy/taxondetails?taxnode_id=202309830","Tenuivirus eurotritici")</f>
        <v>Tenuivirus eurotritici</v>
      </c>
      <c r="S13227" t="s">
        <v>30</v>
      </c>
      <c r="T13227" t="s">
        <v>28651</v>
      </c>
      <c r="U13227" t="s">
        <v>28652</v>
      </c>
      <c r="V13227" t="s">
        <v>28653</v>
      </c>
      <c r="W13227" t="s">
        <v>28654</v>
      </c>
      <c r="X13227" t="s">
        <v>35</v>
      </c>
      <c r="Y13227" t="s">
        <v>23955</v>
      </c>
      <c r="Z13227" t="s">
        <v>13441</v>
      </c>
      <c r="AA13227" s="22" t="str">
        <f>HYPERLINK("https://www.ncbi.nlm.nih.gov/nuccore/MN044342,MN044343,MN044344,MN044345","NCBI Nucleotide")</f>
        <v>NCBI Nucleotide</v>
      </c>
    </row>
    <row r="13228" spans="1:27" x14ac:dyDescent="0.35">
      <c r="A13228">
        <v>1027746</v>
      </c>
      <c r="B13228">
        <v>12348</v>
      </c>
      <c r="C13228">
        <v>1</v>
      </c>
      <c r="D13228" t="s">
        <v>17166</v>
      </c>
      <c r="F13228" t="s">
        <v>17246</v>
      </c>
      <c r="H13228" t="s">
        <v>23950</v>
      </c>
      <c r="I13228" t="s">
        <v>26604</v>
      </c>
      <c r="J13228" t="s">
        <v>47099</v>
      </c>
      <c r="L13228" t="s">
        <v>47182</v>
      </c>
      <c r="N13228" t="s">
        <v>28137</v>
      </c>
      <c r="P13228" t="s">
        <v>28647</v>
      </c>
      <c r="R13228" s="26" t="str">
        <f>HYPERLINK("https://ictv.global/taxonomy/taxondetails?taxnode_id=202318488","Tenuivirus festucae")</f>
        <v>Tenuivirus festucae</v>
      </c>
      <c r="S13228" t="s">
        <v>30</v>
      </c>
      <c r="T13228" t="s">
        <v>47262</v>
      </c>
      <c r="U13228" t="s">
        <v>47263</v>
      </c>
      <c r="V13228" t="s">
        <v>47264</v>
      </c>
      <c r="W13228" t="s">
        <v>47265</v>
      </c>
      <c r="X13228" t="s">
        <v>42</v>
      </c>
      <c r="Y13228" t="s">
        <v>50974</v>
      </c>
      <c r="Z13228" t="s">
        <v>13441</v>
      </c>
      <c r="AA13228" s="22" t="str">
        <f>HYPERLINK("https://www.ncbi.nlm.nih.gov/nuccore/MW678790,MW678791,MW678792,MW678793","NCBI Nucleotide")</f>
        <v>NCBI Nucleotide</v>
      </c>
    </row>
    <row r="13229" spans="1:27" x14ac:dyDescent="0.35">
      <c r="A13229">
        <v>1027747</v>
      </c>
      <c r="B13229">
        <v>12349</v>
      </c>
      <c r="C13229">
        <v>1</v>
      </c>
      <c r="D13229" t="s">
        <v>17166</v>
      </c>
      <c r="F13229" t="s">
        <v>17246</v>
      </c>
      <c r="H13229" t="s">
        <v>23950</v>
      </c>
      <c r="I13229" t="s">
        <v>26604</v>
      </c>
      <c r="J13229" t="s">
        <v>47099</v>
      </c>
      <c r="L13229" t="s">
        <v>47182</v>
      </c>
      <c r="N13229" t="s">
        <v>28137</v>
      </c>
      <c r="P13229" t="s">
        <v>28647</v>
      </c>
      <c r="R13229" s="26" t="str">
        <f>HYPERLINK("https://ictv.global/taxonomy/taxondetails?taxnode_id=202318489","Tenuivirus kwazuluense")</f>
        <v>Tenuivirus kwazuluense</v>
      </c>
      <c r="S13229" t="s">
        <v>30</v>
      </c>
      <c r="T13229" t="s">
        <v>47266</v>
      </c>
      <c r="U13229" t="s">
        <v>47267</v>
      </c>
      <c r="V13229" t="s">
        <v>47268</v>
      </c>
      <c r="W13229" t="s">
        <v>47269</v>
      </c>
      <c r="X13229" t="s">
        <v>42</v>
      </c>
      <c r="Y13229" t="s">
        <v>50974</v>
      </c>
      <c r="Z13229" t="s">
        <v>13441</v>
      </c>
      <c r="AA13229" s="22" t="str">
        <f>HYPERLINK("https://www.ncbi.nlm.nih.gov/nuccore/ON156474,ON156475,ON156476,ON156477","NCBI Nucleotide")</f>
        <v>NCBI Nucleotide</v>
      </c>
    </row>
    <row r="13230" spans="1:27" x14ac:dyDescent="0.35">
      <c r="A13230">
        <v>1000625</v>
      </c>
      <c r="B13230">
        <v>12350</v>
      </c>
      <c r="C13230">
        <v>1</v>
      </c>
      <c r="D13230" t="s">
        <v>17166</v>
      </c>
      <c r="F13230" t="s">
        <v>17246</v>
      </c>
      <c r="H13230" t="s">
        <v>23950</v>
      </c>
      <c r="I13230" t="s">
        <v>26604</v>
      </c>
      <c r="J13230" t="s">
        <v>47099</v>
      </c>
      <c r="L13230" t="s">
        <v>47182</v>
      </c>
      <c r="N13230" t="s">
        <v>28137</v>
      </c>
      <c r="P13230" t="s">
        <v>28647</v>
      </c>
      <c r="R13230" s="26" t="str">
        <f>HYPERLINK("https://ictv.global/taxonomy/taxondetails?taxnode_id=202300172","Tenuivirus oryzabrevis")</f>
        <v>Tenuivirus oryzabrevis</v>
      </c>
      <c r="S13230" t="s">
        <v>30</v>
      </c>
      <c r="T13230" t="s">
        <v>28655</v>
      </c>
      <c r="U13230" t="s">
        <v>28656</v>
      </c>
      <c r="V13230" t="s">
        <v>28657</v>
      </c>
      <c r="W13230" t="s">
        <v>50713</v>
      </c>
      <c r="X13230" t="s">
        <v>42</v>
      </c>
      <c r="Y13230" t="s">
        <v>23955</v>
      </c>
      <c r="Z13230" t="s">
        <v>15964</v>
      </c>
      <c r="AA13230" s="22" t="str">
        <f>HYPERLINK("https://www.ncbi.nlm.nih.gov/nuccore/AB009656,AB010376,AB010377,AB010378,AB000403,AB000404","NCBI Nucleotide")</f>
        <v>NCBI Nucleotide</v>
      </c>
    </row>
    <row r="13231" spans="1:27" x14ac:dyDescent="0.35">
      <c r="A13231">
        <v>1000626</v>
      </c>
      <c r="B13231">
        <v>12351</v>
      </c>
      <c r="C13231">
        <v>1</v>
      </c>
      <c r="D13231" t="s">
        <v>17166</v>
      </c>
      <c r="F13231" t="s">
        <v>17246</v>
      </c>
      <c r="H13231" t="s">
        <v>23950</v>
      </c>
      <c r="I13231" t="s">
        <v>26604</v>
      </c>
      <c r="J13231" t="s">
        <v>47099</v>
      </c>
      <c r="L13231" t="s">
        <v>47182</v>
      </c>
      <c r="N13231" t="s">
        <v>28137</v>
      </c>
      <c r="P13231" t="s">
        <v>28647</v>
      </c>
      <c r="R13231" s="26" t="str">
        <f>HYPERLINK("https://ictv.global/taxonomy/taxondetails?taxnode_id=202300174","Tenuivirus oryzaclavatae")</f>
        <v>Tenuivirus oryzaclavatae</v>
      </c>
      <c r="S13231" t="s">
        <v>30</v>
      </c>
      <c r="T13231" t="s">
        <v>28658</v>
      </c>
      <c r="U13231" t="s">
        <v>50963</v>
      </c>
      <c r="V13231" t="s">
        <v>28659</v>
      </c>
      <c r="W13231" t="s">
        <v>50714</v>
      </c>
      <c r="X13231" t="s">
        <v>42</v>
      </c>
      <c r="Y13231" t="s">
        <v>50974</v>
      </c>
      <c r="Z13231" t="s">
        <v>15964</v>
      </c>
      <c r="AA13231" s="22" t="str">
        <f>HYPERLINK("https://www.ncbi.nlm.nih.gov/nuccore/D31879,D13176,X53563,D10979","NCBI Nucleotide")</f>
        <v>NCBI Nucleotide</v>
      </c>
    </row>
    <row r="13232" spans="1:27" x14ac:dyDescent="0.35">
      <c r="A13232">
        <v>1000627</v>
      </c>
      <c r="B13232">
        <v>12352</v>
      </c>
      <c r="C13232">
        <v>1</v>
      </c>
      <c r="D13232" t="s">
        <v>17166</v>
      </c>
      <c r="F13232" t="s">
        <v>17246</v>
      </c>
      <c r="H13232" t="s">
        <v>23950</v>
      </c>
      <c r="I13232" t="s">
        <v>26604</v>
      </c>
      <c r="J13232" t="s">
        <v>47099</v>
      </c>
      <c r="L13232" t="s">
        <v>47182</v>
      </c>
      <c r="N13232" t="s">
        <v>28137</v>
      </c>
      <c r="P13232" t="s">
        <v>28647</v>
      </c>
      <c r="R13232" s="26" t="str">
        <f>HYPERLINK("https://ictv.global/taxonomy/taxondetails?taxnode_id=202300173","Tenuivirus oryzalbae")</f>
        <v>Tenuivirus oryzalbae</v>
      </c>
      <c r="S13232" t="s">
        <v>30</v>
      </c>
      <c r="T13232" t="s">
        <v>28660</v>
      </c>
      <c r="U13232" t="s">
        <v>28661</v>
      </c>
      <c r="V13232" t="s">
        <v>18026</v>
      </c>
      <c r="W13232" t="s">
        <v>28662</v>
      </c>
      <c r="X13232" t="s">
        <v>42</v>
      </c>
      <c r="Y13232" t="s">
        <v>50974</v>
      </c>
      <c r="Z13232" t="s">
        <v>15964</v>
      </c>
      <c r="AA13232" s="22" t="str">
        <f>HYPERLINK("https://www.ncbi.nlm.nih.gov/nuccore/MG566074,MG566075,MG566076,MG566077","NCBI Nucleotide")</f>
        <v>NCBI Nucleotide</v>
      </c>
    </row>
    <row r="13233" spans="1:27" x14ac:dyDescent="0.35">
      <c r="A13233">
        <v>1000628</v>
      </c>
      <c r="B13233">
        <v>12353</v>
      </c>
      <c r="C13233">
        <v>1</v>
      </c>
      <c r="D13233" t="s">
        <v>17166</v>
      </c>
      <c r="F13233" t="s">
        <v>17246</v>
      </c>
      <c r="H13233" t="s">
        <v>23950</v>
      </c>
      <c r="I13233" t="s">
        <v>26604</v>
      </c>
      <c r="J13233" t="s">
        <v>47099</v>
      </c>
      <c r="L13233" t="s">
        <v>47182</v>
      </c>
      <c r="N13233" t="s">
        <v>28137</v>
      </c>
      <c r="P13233" t="s">
        <v>28647</v>
      </c>
      <c r="R13233" s="26" t="str">
        <f>HYPERLINK("https://ictv.global/taxonomy/taxondetails?taxnode_id=202300170","Tenuivirus persotritici")</f>
        <v>Tenuivirus persotritici</v>
      </c>
      <c r="S13233" t="s">
        <v>30</v>
      </c>
      <c r="T13233" t="s">
        <v>28663</v>
      </c>
      <c r="U13233" t="s">
        <v>28664</v>
      </c>
      <c r="W13233" t="s">
        <v>28665</v>
      </c>
      <c r="X13233" t="s">
        <v>154</v>
      </c>
      <c r="Y13233" t="s">
        <v>23955</v>
      </c>
      <c r="Z13233" t="s">
        <v>15964</v>
      </c>
      <c r="AA13233" s="22" t="str">
        <f>HYPERLINK("https://www.ncbi.nlm.nih.gov/nuccore/AY312434,AY312435,AY312436","NCBI Nucleotide")</f>
        <v>NCBI Nucleotide</v>
      </c>
    </row>
    <row r="13234" spans="1:27" x14ac:dyDescent="0.35">
      <c r="A13234">
        <v>1027748</v>
      </c>
      <c r="B13234">
        <v>12354</v>
      </c>
      <c r="C13234">
        <v>1</v>
      </c>
      <c r="D13234" t="s">
        <v>17166</v>
      </c>
      <c r="F13234" t="s">
        <v>17246</v>
      </c>
      <c r="H13234" t="s">
        <v>23950</v>
      </c>
      <c r="I13234" t="s">
        <v>26604</v>
      </c>
      <c r="J13234" t="s">
        <v>47099</v>
      </c>
      <c r="L13234" t="s">
        <v>47182</v>
      </c>
      <c r="N13234" t="s">
        <v>28137</v>
      </c>
      <c r="P13234" t="s">
        <v>28647</v>
      </c>
      <c r="R13234" s="26" t="str">
        <f>HYPERLINK("https://ictv.global/taxonomy/taxondetails?taxnode_id=202318490","Tenuivirus pontaense")</f>
        <v>Tenuivirus pontaense</v>
      </c>
      <c r="S13234" t="s">
        <v>30</v>
      </c>
      <c r="T13234" t="s">
        <v>47270</v>
      </c>
      <c r="U13234" t="s">
        <v>47271</v>
      </c>
      <c r="V13234" t="s">
        <v>47272</v>
      </c>
      <c r="W13234" t="s">
        <v>47273</v>
      </c>
      <c r="X13234" t="s">
        <v>42</v>
      </c>
      <c r="Y13234" t="s">
        <v>50974</v>
      </c>
      <c r="Z13234" t="s">
        <v>13441</v>
      </c>
      <c r="AA13234" s="22" t="str">
        <f>HYPERLINK("https://www.ncbi.nlm.nih.gov/nuccore/MZ703097,MZ703098,MZ703099,MZ703100,MZ703101","NCBI Nucleotide")</f>
        <v>NCBI Nucleotide</v>
      </c>
    </row>
    <row r="13235" spans="1:27" x14ac:dyDescent="0.35">
      <c r="A13235">
        <v>1000629</v>
      </c>
      <c r="B13235">
        <v>12355</v>
      </c>
      <c r="C13235">
        <v>1</v>
      </c>
      <c r="D13235" t="s">
        <v>17166</v>
      </c>
      <c r="F13235" t="s">
        <v>17246</v>
      </c>
      <c r="H13235" t="s">
        <v>23950</v>
      </c>
      <c r="I13235" t="s">
        <v>26604</v>
      </c>
      <c r="J13235" t="s">
        <v>47099</v>
      </c>
      <c r="L13235" t="s">
        <v>47182</v>
      </c>
      <c r="N13235" t="s">
        <v>28137</v>
      </c>
      <c r="P13235" t="s">
        <v>28647</v>
      </c>
      <c r="R13235" s="26" t="str">
        <f>HYPERLINK("https://ictv.global/taxonomy/taxondetails?taxnode_id=202300175","Tenuivirus urochloae")</f>
        <v>Tenuivirus urochloae</v>
      </c>
      <c r="S13235" t="s">
        <v>30</v>
      </c>
      <c r="T13235" t="s">
        <v>28666</v>
      </c>
      <c r="U13235" t="s">
        <v>28667</v>
      </c>
      <c r="V13235" t="s">
        <v>15148</v>
      </c>
      <c r="W13235" t="s">
        <v>50715</v>
      </c>
      <c r="X13235" t="s">
        <v>154</v>
      </c>
      <c r="Y13235" t="s">
        <v>23955</v>
      </c>
      <c r="Z13235" t="s">
        <v>15964</v>
      </c>
      <c r="AA13235" s="22" t="str">
        <f>HYPERLINK("https://www.ncbi.nlm.nih.gov/nuccore/U82447,U82446","NCBI Nucleotide")</f>
        <v>NCBI Nucleotide</v>
      </c>
    </row>
    <row r="13236" spans="1:27" x14ac:dyDescent="0.35">
      <c r="A13236">
        <v>1000630</v>
      </c>
      <c r="B13236">
        <v>12356</v>
      </c>
      <c r="C13236">
        <v>1</v>
      </c>
      <c r="D13236" t="s">
        <v>17166</v>
      </c>
      <c r="F13236" t="s">
        <v>17246</v>
      </c>
      <c r="H13236" t="s">
        <v>23950</v>
      </c>
      <c r="I13236" t="s">
        <v>26604</v>
      </c>
      <c r="J13236" t="s">
        <v>47099</v>
      </c>
      <c r="L13236" t="s">
        <v>47182</v>
      </c>
      <c r="N13236" t="s">
        <v>28137</v>
      </c>
      <c r="P13236" t="s">
        <v>28647</v>
      </c>
      <c r="R13236" s="26" t="str">
        <f>HYPERLINK("https://ictv.global/taxonomy/taxondetails?taxnode_id=202300171","Tenuivirus zeae")</f>
        <v>Tenuivirus zeae</v>
      </c>
      <c r="S13236" t="s">
        <v>30</v>
      </c>
      <c r="T13236" t="s">
        <v>28668</v>
      </c>
      <c r="U13236" t="s">
        <v>47274</v>
      </c>
      <c r="W13236" t="s">
        <v>50716</v>
      </c>
      <c r="X13236" t="s">
        <v>154</v>
      </c>
      <c r="Y13236" t="s">
        <v>50974</v>
      </c>
      <c r="Z13236" t="s">
        <v>15964</v>
      </c>
      <c r="AA13236" s="22" t="str">
        <f>HYPERLINK("https://www.ncbi.nlm.nih.gov/nuccore/U53224,M57426,S40180,S58504","NCBI Nucleotide")</f>
        <v>NCBI Nucleotide</v>
      </c>
    </row>
    <row r="13237" spans="1:27" x14ac:dyDescent="0.35">
      <c r="A13237">
        <v>1000631</v>
      </c>
      <c r="B13237">
        <v>12357</v>
      </c>
      <c r="C13237">
        <v>1</v>
      </c>
      <c r="D13237" t="s">
        <v>17166</v>
      </c>
      <c r="F13237" t="s">
        <v>17246</v>
      </c>
      <c r="H13237" t="s">
        <v>23950</v>
      </c>
      <c r="I13237" t="s">
        <v>26604</v>
      </c>
      <c r="J13237" t="s">
        <v>47099</v>
      </c>
      <c r="L13237" t="s">
        <v>47182</v>
      </c>
      <c r="N13237" t="s">
        <v>28137</v>
      </c>
      <c r="P13237" t="s">
        <v>28669</v>
      </c>
      <c r="R13237" s="26" t="str">
        <f>HYPERLINK("https://ictv.global/taxonomy/taxondetails?taxnode_id=202307581","Uukuvirus dabieshanense")</f>
        <v>Uukuvirus dabieshanense</v>
      </c>
      <c r="S13237" t="s">
        <v>30</v>
      </c>
      <c r="T13237" t="s">
        <v>28670</v>
      </c>
      <c r="U13237" t="s">
        <v>47275</v>
      </c>
      <c r="V13237" t="s">
        <v>28671</v>
      </c>
      <c r="W13237" t="s">
        <v>28672</v>
      </c>
      <c r="X13237" t="s">
        <v>35</v>
      </c>
      <c r="Y13237" t="s">
        <v>50974</v>
      </c>
      <c r="Z13237" t="s">
        <v>12289</v>
      </c>
      <c r="AA13237" s="22" t="str">
        <f>HYPERLINK("https://www.ncbi.nlm.nih.gov/nuccore/KM817666,KM817733","NCBI Nucleotide")</f>
        <v>NCBI Nucleotide</v>
      </c>
    </row>
    <row r="13238" spans="1:27" x14ac:dyDescent="0.35">
      <c r="A13238">
        <v>1000632</v>
      </c>
      <c r="B13238">
        <v>12358</v>
      </c>
      <c r="C13238">
        <v>1</v>
      </c>
      <c r="D13238" t="s">
        <v>17166</v>
      </c>
      <c r="F13238" t="s">
        <v>17246</v>
      </c>
      <c r="H13238" t="s">
        <v>23950</v>
      </c>
      <c r="I13238" t="s">
        <v>26604</v>
      </c>
      <c r="J13238" t="s">
        <v>47099</v>
      </c>
      <c r="L13238" t="s">
        <v>47182</v>
      </c>
      <c r="N13238" t="s">
        <v>28137</v>
      </c>
      <c r="P13238" t="s">
        <v>28669</v>
      </c>
      <c r="R13238" s="26" t="str">
        <f>HYPERLINK("https://ictv.global/taxonomy/taxondetails?taxnode_id=202307569","Uukuvirus dermacentoris")</f>
        <v>Uukuvirus dermacentoris</v>
      </c>
      <c r="S13238" t="s">
        <v>30</v>
      </c>
      <c r="T13238" t="s">
        <v>28673</v>
      </c>
      <c r="U13238" t="s">
        <v>28336</v>
      </c>
      <c r="V13238" t="s">
        <v>28674</v>
      </c>
      <c r="W13238" t="s">
        <v>47276</v>
      </c>
      <c r="X13238" t="s">
        <v>42</v>
      </c>
      <c r="Y13238" t="s">
        <v>23964</v>
      </c>
      <c r="Z13238" t="s">
        <v>12289</v>
      </c>
      <c r="AA13238" s="22" t="str">
        <f>HYPERLINK("https://www.ncbi.nlm.nih.gov/nuccore/KM048311,KM048312","NCBI Nucleotide")</f>
        <v>NCBI Nucleotide</v>
      </c>
    </row>
    <row r="13239" spans="1:27" x14ac:dyDescent="0.35">
      <c r="A13239">
        <v>1000633</v>
      </c>
      <c r="B13239">
        <v>12359</v>
      </c>
      <c r="C13239">
        <v>1</v>
      </c>
      <c r="D13239" t="s">
        <v>17166</v>
      </c>
      <c r="F13239" t="s">
        <v>17246</v>
      </c>
      <c r="H13239" t="s">
        <v>23950</v>
      </c>
      <c r="I13239" t="s">
        <v>26604</v>
      </c>
      <c r="J13239" t="s">
        <v>47099</v>
      </c>
      <c r="L13239" t="s">
        <v>47182</v>
      </c>
      <c r="N13239" t="s">
        <v>28137</v>
      </c>
      <c r="P13239" t="s">
        <v>28669</v>
      </c>
      <c r="R13239" s="26" t="str">
        <f>HYPERLINK("https://ictv.global/taxonomy/taxondetails?taxnode_id=202307575","Uukuvirus grandarbaudense")</f>
        <v>Uukuvirus grandarbaudense</v>
      </c>
      <c r="S13239" t="s">
        <v>30</v>
      </c>
      <c r="T13239" t="s">
        <v>28675</v>
      </c>
      <c r="U13239" t="s">
        <v>28676</v>
      </c>
      <c r="V13239" t="s">
        <v>28677</v>
      </c>
      <c r="W13239" t="s">
        <v>28678</v>
      </c>
      <c r="X13239" t="s">
        <v>42</v>
      </c>
      <c r="Y13239" t="s">
        <v>50974</v>
      </c>
      <c r="Z13239" t="s">
        <v>12289</v>
      </c>
      <c r="AA13239" s="22" t="str">
        <f>HYPERLINK("https://www.ncbi.nlm.nih.gov/nuccore/JF838327,JF838328,JF838329","NCBI Nucleotide")</f>
        <v>NCBI Nucleotide</v>
      </c>
    </row>
    <row r="13240" spans="1:27" x14ac:dyDescent="0.35">
      <c r="A13240">
        <v>1000634</v>
      </c>
      <c r="B13240">
        <v>12360</v>
      </c>
      <c r="C13240">
        <v>1</v>
      </c>
      <c r="D13240" t="s">
        <v>17166</v>
      </c>
      <c r="F13240" t="s">
        <v>17246</v>
      </c>
      <c r="H13240" t="s">
        <v>23950</v>
      </c>
      <c r="I13240" t="s">
        <v>26604</v>
      </c>
      <c r="J13240" t="s">
        <v>47099</v>
      </c>
      <c r="L13240" t="s">
        <v>47182</v>
      </c>
      <c r="N13240" t="s">
        <v>28137</v>
      </c>
      <c r="P13240" t="s">
        <v>28669</v>
      </c>
      <c r="R13240" s="26" t="str">
        <f>HYPERLINK("https://ictv.global/taxonomy/taxondetails?taxnode_id=202307570","Uukuvirus hoplandense")</f>
        <v>Uukuvirus hoplandense</v>
      </c>
      <c r="S13240" t="s">
        <v>30</v>
      </c>
      <c r="T13240" t="s">
        <v>28679</v>
      </c>
      <c r="U13240" t="s">
        <v>28020</v>
      </c>
      <c r="V13240" t="s">
        <v>27252</v>
      </c>
      <c r="W13240" t="s">
        <v>28680</v>
      </c>
      <c r="X13240" t="s">
        <v>35</v>
      </c>
      <c r="Y13240" t="s">
        <v>23964</v>
      </c>
      <c r="Z13240" t="s">
        <v>12289</v>
      </c>
      <c r="AA13240" s="22" t="str">
        <f>HYPERLINK("https://www.ncbi.nlm.nih.gov/nuccore/KU933936,KU933937","NCBI Nucleotide")</f>
        <v>NCBI Nucleotide</v>
      </c>
    </row>
    <row r="13241" spans="1:27" x14ac:dyDescent="0.35">
      <c r="A13241">
        <v>1000635</v>
      </c>
      <c r="B13241">
        <v>12361</v>
      </c>
      <c r="C13241">
        <v>1</v>
      </c>
      <c r="D13241" t="s">
        <v>17166</v>
      </c>
      <c r="F13241" t="s">
        <v>17246</v>
      </c>
      <c r="H13241" t="s">
        <v>23950</v>
      </c>
      <c r="I13241" t="s">
        <v>26604</v>
      </c>
      <c r="J13241" t="s">
        <v>47099</v>
      </c>
      <c r="L13241" t="s">
        <v>47182</v>
      </c>
      <c r="N13241" t="s">
        <v>28137</v>
      </c>
      <c r="P13241" t="s">
        <v>28669</v>
      </c>
      <c r="R13241" s="26" t="str">
        <f>HYPERLINK("https://ictv.global/taxonomy/taxondetails?taxnode_id=202306613","Uukuvirus huangpiense")</f>
        <v>Uukuvirus huangpiense</v>
      </c>
      <c r="S13241" t="s">
        <v>30</v>
      </c>
      <c r="T13241" t="s">
        <v>28681</v>
      </c>
      <c r="U13241" t="s">
        <v>28682</v>
      </c>
      <c r="V13241" t="s">
        <v>28683</v>
      </c>
      <c r="W13241" t="s">
        <v>28684</v>
      </c>
      <c r="X13241" t="s">
        <v>42</v>
      </c>
      <c r="Y13241" t="s">
        <v>50974</v>
      </c>
      <c r="Z13241" t="s">
        <v>12289</v>
      </c>
      <c r="AA13241" s="22" t="str">
        <f>HYPERLINK("https://www.ncbi.nlm.nih.gov/nuccore/KM817668,KM817707,KM817735","NCBI Nucleotide")</f>
        <v>NCBI Nucleotide</v>
      </c>
    </row>
    <row r="13242" spans="1:27" x14ac:dyDescent="0.35">
      <c r="A13242">
        <v>1000636</v>
      </c>
      <c r="B13242">
        <v>12362</v>
      </c>
      <c r="C13242">
        <v>1</v>
      </c>
      <c r="D13242" t="s">
        <v>17166</v>
      </c>
      <c r="F13242" t="s">
        <v>17246</v>
      </c>
      <c r="H13242" t="s">
        <v>23950</v>
      </c>
      <c r="I13242" t="s">
        <v>26604</v>
      </c>
      <c r="J13242" t="s">
        <v>47099</v>
      </c>
      <c r="L13242" t="s">
        <v>47182</v>
      </c>
      <c r="N13242" t="s">
        <v>28137</v>
      </c>
      <c r="P13242" t="s">
        <v>28669</v>
      </c>
      <c r="R13242" s="26" t="str">
        <f>HYPERLINK("https://ictv.global/taxonomy/taxondetails?taxnode_id=202306614","Uukuvirus kabutoense")</f>
        <v>Uukuvirus kabutoense</v>
      </c>
      <c r="S13242" t="s">
        <v>30</v>
      </c>
      <c r="T13242" t="s">
        <v>28685</v>
      </c>
      <c r="U13242" t="s">
        <v>25543</v>
      </c>
      <c r="V13242" t="s">
        <v>28686</v>
      </c>
      <c r="W13242" t="s">
        <v>28687</v>
      </c>
      <c r="X13242" t="s">
        <v>42</v>
      </c>
      <c r="Y13242" t="s">
        <v>50974</v>
      </c>
      <c r="Z13242" t="s">
        <v>12289</v>
      </c>
      <c r="AA13242" s="22" t="str">
        <f>HYPERLINK("https://www.ncbi.nlm.nih.gov/nuccore/LC153711,LC153712,LC153713","NCBI Nucleotide")</f>
        <v>NCBI Nucleotide</v>
      </c>
    </row>
    <row r="13243" spans="1:27" x14ac:dyDescent="0.35">
      <c r="A13243">
        <v>1000637</v>
      </c>
      <c r="B13243">
        <v>12363</v>
      </c>
      <c r="C13243">
        <v>1</v>
      </c>
      <c r="D13243" t="s">
        <v>17166</v>
      </c>
      <c r="F13243" t="s">
        <v>17246</v>
      </c>
      <c r="H13243" t="s">
        <v>23950</v>
      </c>
      <c r="I13243" t="s">
        <v>26604</v>
      </c>
      <c r="J13243" t="s">
        <v>47099</v>
      </c>
      <c r="L13243" t="s">
        <v>47182</v>
      </c>
      <c r="N13243" t="s">
        <v>28137</v>
      </c>
      <c r="P13243" t="s">
        <v>28669</v>
      </c>
      <c r="R13243" s="26" t="str">
        <f>HYPERLINK("https://ictv.global/taxonomy/taxondetails?taxnode_id=202307579","Uukuvirus kaisodiense")</f>
        <v>Uukuvirus kaisodiense</v>
      </c>
      <c r="S13243" t="s">
        <v>30</v>
      </c>
      <c r="T13243" t="s">
        <v>28688</v>
      </c>
      <c r="U13243" t="s">
        <v>28689</v>
      </c>
      <c r="V13243" t="s">
        <v>28690</v>
      </c>
      <c r="W13243" t="s">
        <v>28691</v>
      </c>
      <c r="X13243" t="s">
        <v>35</v>
      </c>
      <c r="Y13243" t="s">
        <v>50974</v>
      </c>
      <c r="Z13243" t="s">
        <v>12289</v>
      </c>
      <c r="AA13243" s="22" t="str">
        <f>HYPERLINK("https://www.ncbi.nlm.nih.gov/nuccore/MG581739,MG581740,MG581741","NCBI Nucleotide")</f>
        <v>NCBI Nucleotide</v>
      </c>
    </row>
    <row r="13244" spans="1:27" x14ac:dyDescent="0.35">
      <c r="A13244">
        <v>1000638</v>
      </c>
      <c r="B13244">
        <v>12364</v>
      </c>
      <c r="C13244">
        <v>1</v>
      </c>
      <c r="D13244" t="s">
        <v>17166</v>
      </c>
      <c r="F13244" t="s">
        <v>17246</v>
      </c>
      <c r="H13244" t="s">
        <v>23950</v>
      </c>
      <c r="I13244" t="s">
        <v>26604</v>
      </c>
      <c r="J13244" t="s">
        <v>47099</v>
      </c>
      <c r="L13244" t="s">
        <v>47182</v>
      </c>
      <c r="N13244" t="s">
        <v>28137</v>
      </c>
      <c r="P13244" t="s">
        <v>28669</v>
      </c>
      <c r="R13244" s="26" t="str">
        <f>HYPERLINK("https://ictv.global/taxonomy/taxondetails?taxnode_id=202307572","Uukuvirus lihanense")</f>
        <v>Uukuvirus lihanense</v>
      </c>
      <c r="S13244" t="s">
        <v>30</v>
      </c>
      <c r="T13244" t="s">
        <v>28692</v>
      </c>
      <c r="U13244" t="s">
        <v>28693</v>
      </c>
      <c r="V13244" t="s">
        <v>28694</v>
      </c>
      <c r="W13244" t="s">
        <v>28695</v>
      </c>
      <c r="X13244" t="s">
        <v>35</v>
      </c>
      <c r="Y13244" t="s">
        <v>23964</v>
      </c>
      <c r="Z13244" t="s">
        <v>12289</v>
      </c>
      <c r="AA13244" s="22" t="str">
        <f>HYPERLINK("https://www.ncbi.nlm.nih.gov/nuccore/KM817672,KM817736","NCBI Nucleotide")</f>
        <v>NCBI Nucleotide</v>
      </c>
    </row>
    <row r="13245" spans="1:27" x14ac:dyDescent="0.35">
      <c r="A13245">
        <v>1000639</v>
      </c>
      <c r="B13245">
        <v>12365</v>
      </c>
      <c r="C13245">
        <v>1</v>
      </c>
      <c r="D13245" t="s">
        <v>17166</v>
      </c>
      <c r="F13245" t="s">
        <v>17246</v>
      </c>
      <c r="H13245" t="s">
        <v>23950</v>
      </c>
      <c r="I13245" t="s">
        <v>26604</v>
      </c>
      <c r="J13245" t="s">
        <v>47099</v>
      </c>
      <c r="L13245" t="s">
        <v>47182</v>
      </c>
      <c r="N13245" t="s">
        <v>28137</v>
      </c>
      <c r="P13245" t="s">
        <v>28669</v>
      </c>
      <c r="R13245" s="26" t="str">
        <f>HYPERLINK("https://ictv.global/taxonomy/taxondetails?taxnode_id=202307577","Uukuvirus macquariense")</f>
        <v>Uukuvirus macquariense</v>
      </c>
      <c r="S13245" t="s">
        <v>30</v>
      </c>
      <c r="T13245" t="s">
        <v>28696</v>
      </c>
      <c r="U13245" t="s">
        <v>12862</v>
      </c>
      <c r="V13245" t="s">
        <v>28697</v>
      </c>
      <c r="W13245" t="s">
        <v>50717</v>
      </c>
      <c r="X13245" t="s">
        <v>42</v>
      </c>
      <c r="Y13245" t="s">
        <v>50974</v>
      </c>
      <c r="Z13245" t="s">
        <v>12289</v>
      </c>
      <c r="AA13245" s="22" t="str">
        <f>HYPERLINK("https://www.ncbi.nlm.nih.gov/nuccore/HM566181,HM566179,HM566180","NCBI Nucleotide")</f>
        <v>NCBI Nucleotide</v>
      </c>
    </row>
    <row r="13246" spans="1:27" x14ac:dyDescent="0.35">
      <c r="A13246">
        <v>1000640</v>
      </c>
      <c r="B13246">
        <v>12366</v>
      </c>
      <c r="C13246">
        <v>1</v>
      </c>
      <c r="D13246" t="s">
        <v>17166</v>
      </c>
      <c r="F13246" t="s">
        <v>17246</v>
      </c>
      <c r="H13246" t="s">
        <v>23950</v>
      </c>
      <c r="I13246" t="s">
        <v>26604</v>
      </c>
      <c r="J13246" t="s">
        <v>47099</v>
      </c>
      <c r="L13246" t="s">
        <v>47182</v>
      </c>
      <c r="N13246" t="s">
        <v>28137</v>
      </c>
      <c r="P13246" t="s">
        <v>28669</v>
      </c>
      <c r="R13246" s="26" t="str">
        <f>HYPERLINK("https://ictv.global/taxonomy/taxondetails?taxnode_id=202307578","Uukuvirus rukutamaense")</f>
        <v>Uukuvirus rukutamaense</v>
      </c>
      <c r="S13246" t="s">
        <v>30</v>
      </c>
      <c r="T13246" t="s">
        <v>28698</v>
      </c>
      <c r="U13246" t="s">
        <v>28699</v>
      </c>
      <c r="V13246" t="s">
        <v>28700</v>
      </c>
      <c r="W13246" t="s">
        <v>28701</v>
      </c>
      <c r="X13246" t="s">
        <v>35</v>
      </c>
      <c r="Y13246" t="s">
        <v>50974</v>
      </c>
      <c r="Z13246" t="s">
        <v>12289</v>
      </c>
      <c r="AA13246" s="22" t="str">
        <f>HYPERLINK("https://www.ncbi.nlm.nih.gov/nuccore/KF892052,KF892053,KF892054","NCBI Nucleotide")</f>
        <v>NCBI Nucleotide</v>
      </c>
    </row>
    <row r="13247" spans="1:27" x14ac:dyDescent="0.35">
      <c r="A13247">
        <v>1000641</v>
      </c>
      <c r="B13247">
        <v>12367</v>
      </c>
      <c r="C13247">
        <v>1</v>
      </c>
      <c r="D13247" t="s">
        <v>17166</v>
      </c>
      <c r="F13247" t="s">
        <v>17246</v>
      </c>
      <c r="H13247" t="s">
        <v>23950</v>
      </c>
      <c r="I13247" t="s">
        <v>26604</v>
      </c>
      <c r="J13247" t="s">
        <v>47099</v>
      </c>
      <c r="L13247" t="s">
        <v>47182</v>
      </c>
      <c r="N13247" t="s">
        <v>28137</v>
      </c>
      <c r="P13247" t="s">
        <v>28669</v>
      </c>
      <c r="R13247" s="26" t="str">
        <f>HYPERLINK("https://ictv.global/taxonomy/taxondetails?taxnode_id=202307573","Uukuvirus schmidti")</f>
        <v>Uukuvirus schmidti</v>
      </c>
      <c r="S13247" t="s">
        <v>30</v>
      </c>
      <c r="T13247" t="s">
        <v>28702</v>
      </c>
      <c r="U13247" t="s">
        <v>28703</v>
      </c>
      <c r="V13247" t="s">
        <v>28704</v>
      </c>
      <c r="W13247" t="s">
        <v>50851</v>
      </c>
      <c r="X13247" t="s">
        <v>42</v>
      </c>
      <c r="Y13247" t="s">
        <v>50974</v>
      </c>
      <c r="Z13247" t="s">
        <v>12289</v>
      </c>
      <c r="AA13247" s="22" t="str">
        <f>HYPERLINK("https://www.ncbi.nlm.nih.gov/nuccore/HM566159,HM566158,HM566160","NCBI Nucleotide")</f>
        <v>NCBI Nucleotide</v>
      </c>
    </row>
    <row r="13248" spans="1:27" x14ac:dyDescent="0.35">
      <c r="A13248">
        <v>1000642</v>
      </c>
      <c r="B13248">
        <v>12368</v>
      </c>
      <c r="C13248">
        <v>1</v>
      </c>
      <c r="D13248" t="s">
        <v>17166</v>
      </c>
      <c r="F13248" t="s">
        <v>17246</v>
      </c>
      <c r="H13248" t="s">
        <v>23950</v>
      </c>
      <c r="I13248" t="s">
        <v>26604</v>
      </c>
      <c r="J13248" t="s">
        <v>47099</v>
      </c>
      <c r="L13248" t="s">
        <v>47182</v>
      </c>
      <c r="N13248" t="s">
        <v>28137</v>
      </c>
      <c r="P13248" t="s">
        <v>28669</v>
      </c>
      <c r="R13248" s="26" t="str">
        <f>HYPERLINK("https://ictv.global/taxonomy/taxondetails?taxnode_id=202307580","Uukuvirus silverwaterense")</f>
        <v>Uukuvirus silverwaterense</v>
      </c>
      <c r="S13248" t="s">
        <v>30</v>
      </c>
      <c r="T13248" t="s">
        <v>28705</v>
      </c>
      <c r="U13248" t="s">
        <v>28706</v>
      </c>
      <c r="V13248" t="s">
        <v>28707</v>
      </c>
      <c r="W13248" t="s">
        <v>50718</v>
      </c>
      <c r="X13248" t="s">
        <v>42</v>
      </c>
      <c r="Y13248" t="s">
        <v>50974</v>
      </c>
      <c r="Z13248" t="s">
        <v>12289</v>
      </c>
      <c r="AA13248" s="22" t="str">
        <f>HYPERLINK("https://www.ncbi.nlm.nih.gov/nuccore/KM114257,KM114255,KM114256","NCBI Nucleotide")</f>
        <v>NCBI Nucleotide</v>
      </c>
    </row>
    <row r="13249" spans="1:27" x14ac:dyDescent="0.35">
      <c r="A13249">
        <v>1000643</v>
      </c>
      <c r="B13249">
        <v>12369</v>
      </c>
      <c r="C13249">
        <v>1</v>
      </c>
      <c r="D13249" t="s">
        <v>17166</v>
      </c>
      <c r="F13249" t="s">
        <v>17246</v>
      </c>
      <c r="H13249" t="s">
        <v>23950</v>
      </c>
      <c r="I13249" t="s">
        <v>26604</v>
      </c>
      <c r="J13249" t="s">
        <v>47099</v>
      </c>
      <c r="L13249" t="s">
        <v>47182</v>
      </c>
      <c r="N13249" t="s">
        <v>28137</v>
      </c>
      <c r="P13249" t="s">
        <v>28669</v>
      </c>
      <c r="R13249" s="26" t="str">
        <f>HYPERLINK("https://ictv.global/taxonomy/taxondetails?taxnode_id=202307571","Uukuvirus tachengense")</f>
        <v>Uukuvirus tachengense</v>
      </c>
      <c r="S13249" t="s">
        <v>30</v>
      </c>
      <c r="T13249" t="s">
        <v>28708</v>
      </c>
      <c r="U13249" t="s">
        <v>28709</v>
      </c>
      <c r="V13249" t="s">
        <v>28710</v>
      </c>
      <c r="W13249" t="s">
        <v>28711</v>
      </c>
      <c r="X13249" t="s">
        <v>35</v>
      </c>
      <c r="Y13249" t="s">
        <v>23964</v>
      </c>
      <c r="Z13249" t="s">
        <v>12289</v>
      </c>
      <c r="AA13249" s="22" t="str">
        <f>HYPERLINK("https://www.ncbi.nlm.nih.gov/nuccore/KM817684,KM817744","NCBI Nucleotide")</f>
        <v>NCBI Nucleotide</v>
      </c>
    </row>
    <row r="13250" spans="1:27" x14ac:dyDescent="0.35">
      <c r="A13250">
        <v>1000644</v>
      </c>
      <c r="B13250">
        <v>12370</v>
      </c>
      <c r="C13250">
        <v>1</v>
      </c>
      <c r="D13250" t="s">
        <v>17166</v>
      </c>
      <c r="F13250" t="s">
        <v>17246</v>
      </c>
      <c r="H13250" t="s">
        <v>23950</v>
      </c>
      <c r="I13250" t="s">
        <v>26604</v>
      </c>
      <c r="J13250" t="s">
        <v>47099</v>
      </c>
      <c r="L13250" t="s">
        <v>47182</v>
      </c>
      <c r="N13250" t="s">
        <v>28137</v>
      </c>
      <c r="P13250" t="s">
        <v>28669</v>
      </c>
      <c r="R13250" s="26" t="str">
        <f>HYPERLINK("https://ictv.global/taxonomy/taxondetails?taxnode_id=202314257","Uukuvirus toyoense")</f>
        <v>Uukuvirus toyoense</v>
      </c>
      <c r="S13250" t="s">
        <v>30</v>
      </c>
      <c r="T13250" t="s">
        <v>28712</v>
      </c>
      <c r="U13250" t="s">
        <v>28713</v>
      </c>
      <c r="V13250" t="s">
        <v>28714</v>
      </c>
      <c r="W13250" t="s">
        <v>28715</v>
      </c>
      <c r="X13250" t="s">
        <v>42</v>
      </c>
      <c r="Y13250" t="s">
        <v>50974</v>
      </c>
      <c r="Z13250" t="s">
        <v>10790</v>
      </c>
      <c r="AA13250" s="22" t="str">
        <f>HYPERLINK("https://www.ncbi.nlm.nih.gov/nuccore/LC618931,LC618932,LC618933","NCBI Nucleotide")</f>
        <v>NCBI Nucleotide</v>
      </c>
    </row>
    <row r="13251" spans="1:27" x14ac:dyDescent="0.35">
      <c r="A13251">
        <v>1000645</v>
      </c>
      <c r="B13251">
        <v>12371</v>
      </c>
      <c r="C13251">
        <v>1</v>
      </c>
      <c r="D13251" t="s">
        <v>17166</v>
      </c>
      <c r="F13251" t="s">
        <v>17246</v>
      </c>
      <c r="H13251" t="s">
        <v>23950</v>
      </c>
      <c r="I13251" t="s">
        <v>26604</v>
      </c>
      <c r="J13251" t="s">
        <v>47099</v>
      </c>
      <c r="L13251" t="s">
        <v>47182</v>
      </c>
      <c r="N13251" t="s">
        <v>28137</v>
      </c>
      <c r="P13251" t="s">
        <v>28669</v>
      </c>
      <c r="R13251" s="26" t="str">
        <f>HYPERLINK("https://ictv.global/taxonomy/taxondetails?taxnode_id=202307574","Uukuvirus tyulenyense")</f>
        <v>Uukuvirus tyulenyense</v>
      </c>
      <c r="S13251" t="s">
        <v>30</v>
      </c>
      <c r="T13251" t="s">
        <v>28716</v>
      </c>
      <c r="U13251" t="s">
        <v>28717</v>
      </c>
      <c r="V13251" t="s">
        <v>28718</v>
      </c>
      <c r="W13251" t="s">
        <v>50719</v>
      </c>
      <c r="X13251" t="s">
        <v>35</v>
      </c>
      <c r="Y13251" t="s">
        <v>50974</v>
      </c>
      <c r="Z13251" t="s">
        <v>12289</v>
      </c>
      <c r="AA13251" s="22" t="str">
        <f>HYPERLINK("https://www.ncbi.nlm.nih.gov/nuccore/HM566191,HM566193,HM566192","NCBI Nucleotide")</f>
        <v>NCBI Nucleotide</v>
      </c>
    </row>
    <row r="13252" spans="1:27" x14ac:dyDescent="0.35">
      <c r="A13252">
        <v>1000646</v>
      </c>
      <c r="B13252">
        <v>12372</v>
      </c>
      <c r="C13252">
        <v>1</v>
      </c>
      <c r="D13252" t="s">
        <v>17166</v>
      </c>
      <c r="F13252" t="s">
        <v>17246</v>
      </c>
      <c r="H13252" t="s">
        <v>23950</v>
      </c>
      <c r="I13252" t="s">
        <v>26604</v>
      </c>
      <c r="J13252" t="s">
        <v>47099</v>
      </c>
      <c r="L13252" t="s">
        <v>47182</v>
      </c>
      <c r="N13252" t="s">
        <v>28137</v>
      </c>
      <c r="P13252" t="s">
        <v>28669</v>
      </c>
      <c r="R13252" s="26" t="str">
        <f>HYPERLINK("https://ictv.global/taxonomy/taxondetails?taxnode_id=202307576","Uukuvirus uriae")</f>
        <v>Uukuvirus uriae</v>
      </c>
      <c r="S13252" t="s">
        <v>30</v>
      </c>
      <c r="T13252" t="s">
        <v>28719</v>
      </c>
      <c r="U13252" t="s">
        <v>27997</v>
      </c>
      <c r="V13252" t="s">
        <v>28720</v>
      </c>
      <c r="W13252" t="s">
        <v>28721</v>
      </c>
      <c r="X13252" t="s">
        <v>42</v>
      </c>
      <c r="Y13252" t="s">
        <v>50974</v>
      </c>
      <c r="Z13252" t="s">
        <v>12289</v>
      </c>
      <c r="AA13252" s="22" t="str">
        <f>HYPERLINK("https://www.ncbi.nlm.nih.gov/nuccore/JF838330,JF838331,JF838332","NCBI Nucleotide")</f>
        <v>NCBI Nucleotide</v>
      </c>
    </row>
    <row r="13253" spans="1:27" x14ac:dyDescent="0.35">
      <c r="A13253">
        <v>1000647</v>
      </c>
      <c r="B13253">
        <v>12373</v>
      </c>
      <c r="C13253">
        <v>1</v>
      </c>
      <c r="D13253" t="s">
        <v>17166</v>
      </c>
      <c r="F13253" t="s">
        <v>17246</v>
      </c>
      <c r="H13253" t="s">
        <v>23950</v>
      </c>
      <c r="I13253" t="s">
        <v>26604</v>
      </c>
      <c r="J13253" t="s">
        <v>47099</v>
      </c>
      <c r="L13253" t="s">
        <v>47182</v>
      </c>
      <c r="N13253" t="s">
        <v>28137</v>
      </c>
      <c r="P13253" t="s">
        <v>28669</v>
      </c>
      <c r="R13253" s="26" t="str">
        <f>HYPERLINK("https://ictv.global/taxonomy/taxondetails?taxnode_id=202300167","Uukuvirus uukuniemiense")</f>
        <v>Uukuvirus uukuniemiense</v>
      </c>
      <c r="S13253" t="s">
        <v>30</v>
      </c>
      <c r="T13253" t="s">
        <v>28722</v>
      </c>
      <c r="U13253" t="s">
        <v>28723</v>
      </c>
      <c r="V13253" t="s">
        <v>28724</v>
      </c>
      <c r="W13253" t="s">
        <v>28725</v>
      </c>
      <c r="X13253" t="s">
        <v>42</v>
      </c>
      <c r="Y13253" t="s">
        <v>50974</v>
      </c>
      <c r="Z13253" t="s">
        <v>12289</v>
      </c>
      <c r="AA13253" s="22" t="str">
        <f>HYPERLINK("https://www.ncbi.nlm.nih.gov/nuccore/D10759,M17417,M33551","NCBI Nucleotide")</f>
        <v>NCBI Nucleotide</v>
      </c>
    </row>
    <row r="13254" spans="1:27" x14ac:dyDescent="0.35">
      <c r="A13254">
        <v>1011348</v>
      </c>
      <c r="B13254">
        <v>12373</v>
      </c>
      <c r="C13254">
        <v>2</v>
      </c>
      <c r="D13254" t="s">
        <v>17166</v>
      </c>
      <c r="F13254" t="s">
        <v>17246</v>
      </c>
      <c r="H13254" t="s">
        <v>23950</v>
      </c>
      <c r="I13254" t="s">
        <v>26604</v>
      </c>
      <c r="J13254" t="s">
        <v>47099</v>
      </c>
      <c r="L13254" t="s">
        <v>47182</v>
      </c>
      <c r="N13254" t="s">
        <v>28137</v>
      </c>
      <c r="P13254" t="s">
        <v>28669</v>
      </c>
      <c r="R13254" s="26" t="str">
        <f>HYPERLINK("https://ictv.global/taxonomy/taxondetails?taxnode_id=202300167","Uukuvirus uukuniemiense")</f>
        <v>Uukuvirus uukuniemiense</v>
      </c>
      <c r="S13254" t="s">
        <v>8141</v>
      </c>
      <c r="T13254" t="s">
        <v>28730</v>
      </c>
      <c r="U13254" t="s">
        <v>28731</v>
      </c>
      <c r="V13254" t="s">
        <v>28732</v>
      </c>
      <c r="W13254" t="s">
        <v>49571</v>
      </c>
      <c r="X13254" t="s">
        <v>42</v>
      </c>
      <c r="Y13254" t="s">
        <v>50974</v>
      </c>
      <c r="Z13254" t="s">
        <v>12289</v>
      </c>
      <c r="AA13254" s="22" t="str">
        <f>HYPERLINK("https://www.ncbi.nlm.nih.gov/nuccore/JF838324,JF838325,JF838326","NCBI Nucleotide")</f>
        <v>NCBI Nucleotide</v>
      </c>
    </row>
    <row r="13255" spans="1:27" x14ac:dyDescent="0.35">
      <c r="A13255">
        <v>1011349</v>
      </c>
      <c r="B13255">
        <v>12373</v>
      </c>
      <c r="C13255">
        <v>3</v>
      </c>
      <c r="D13255" t="s">
        <v>17166</v>
      </c>
      <c r="F13255" t="s">
        <v>17246</v>
      </c>
      <c r="H13255" t="s">
        <v>23950</v>
      </c>
      <c r="I13255" t="s">
        <v>26604</v>
      </c>
      <c r="J13255" t="s">
        <v>47099</v>
      </c>
      <c r="L13255" t="s">
        <v>47182</v>
      </c>
      <c r="N13255" t="s">
        <v>28137</v>
      </c>
      <c r="P13255" t="s">
        <v>28669</v>
      </c>
      <c r="R13255" s="26" t="str">
        <f>HYPERLINK("https://ictv.global/taxonomy/taxondetails?taxnode_id=202300167","Uukuvirus uukuniemiense")</f>
        <v>Uukuvirus uukuniemiense</v>
      </c>
      <c r="S13255" t="s">
        <v>8141</v>
      </c>
      <c r="T13255" t="s">
        <v>28733</v>
      </c>
      <c r="U13255" t="s">
        <v>28734</v>
      </c>
      <c r="W13255" t="s">
        <v>49572</v>
      </c>
      <c r="X13255" t="s">
        <v>35</v>
      </c>
      <c r="Y13255" t="s">
        <v>50974</v>
      </c>
      <c r="Z13255" t="s">
        <v>12289</v>
      </c>
      <c r="AA13255" s="22" t="str">
        <f>HYPERLINK("https://www.ncbi.nlm.nih.gov/nuccore/JQ924562,JQ924563,JQ924564","NCBI Nucleotide")</f>
        <v>NCBI Nucleotide</v>
      </c>
    </row>
    <row r="13256" spans="1:27" x14ac:dyDescent="0.35">
      <c r="A13256">
        <v>1000648</v>
      </c>
      <c r="B13256">
        <v>12374</v>
      </c>
      <c r="C13256">
        <v>1</v>
      </c>
      <c r="D13256" t="s">
        <v>17166</v>
      </c>
      <c r="F13256" t="s">
        <v>17246</v>
      </c>
      <c r="H13256" t="s">
        <v>23950</v>
      </c>
      <c r="I13256" t="s">
        <v>26604</v>
      </c>
      <c r="J13256" t="s">
        <v>47099</v>
      </c>
      <c r="L13256" t="s">
        <v>47182</v>
      </c>
      <c r="N13256" t="s">
        <v>28137</v>
      </c>
      <c r="P13256" t="s">
        <v>28669</v>
      </c>
      <c r="R13256" s="26" t="str">
        <f>HYPERLINK("https://ictv.global/taxonomy/taxondetails?taxnode_id=202307582","Uukuvirus yongjiaense")</f>
        <v>Uukuvirus yongjiaense</v>
      </c>
      <c r="S13256" t="s">
        <v>30</v>
      </c>
      <c r="T13256" t="s">
        <v>28726</v>
      </c>
      <c r="U13256" t="s">
        <v>28727</v>
      </c>
      <c r="V13256" t="s">
        <v>28728</v>
      </c>
      <c r="W13256" t="s">
        <v>28729</v>
      </c>
      <c r="X13256" t="s">
        <v>35</v>
      </c>
      <c r="Y13256" t="s">
        <v>50974</v>
      </c>
      <c r="Z13256" t="s">
        <v>12289</v>
      </c>
      <c r="AA13256" s="22" t="str">
        <f>HYPERLINK("https://www.ncbi.nlm.nih.gov/nuccore/KM817704,KM817764","NCBI Nucleotide")</f>
        <v>NCBI Nucleotide</v>
      </c>
    </row>
    <row r="13257" spans="1:27" x14ac:dyDescent="0.35">
      <c r="A13257">
        <v>1000649</v>
      </c>
      <c r="B13257">
        <v>12375</v>
      </c>
      <c r="C13257">
        <v>1</v>
      </c>
      <c r="D13257" t="s">
        <v>17166</v>
      </c>
      <c r="F13257" t="s">
        <v>17246</v>
      </c>
      <c r="H13257" t="s">
        <v>23950</v>
      </c>
      <c r="I13257" t="s">
        <v>26604</v>
      </c>
      <c r="J13257" t="s">
        <v>47099</v>
      </c>
      <c r="L13257" t="s">
        <v>47182</v>
      </c>
      <c r="N13257" t="s">
        <v>28137</v>
      </c>
      <c r="P13257" t="s">
        <v>28735</v>
      </c>
      <c r="R13257" s="26" t="str">
        <f>HYPERLINK("https://ictv.global/taxonomy/taxondetails?taxnode_id=202306611","Wenrivirus penaei")</f>
        <v>Wenrivirus penaei</v>
      </c>
      <c r="S13257" t="s">
        <v>30</v>
      </c>
      <c r="T13257" t="s">
        <v>28736</v>
      </c>
      <c r="U13257" t="s">
        <v>28737</v>
      </c>
      <c r="V13257" t="s">
        <v>28738</v>
      </c>
      <c r="W13257" t="s">
        <v>28739</v>
      </c>
      <c r="X13257" t="s">
        <v>42</v>
      </c>
      <c r="Y13257" t="s">
        <v>23964</v>
      </c>
      <c r="Z13257" t="s">
        <v>10790</v>
      </c>
      <c r="AA13257" s="22" t="str">
        <f>HYPERLINK("https://www.ncbi.nlm.nih.gov/nuccore/MT241517,MT241518,MT249221,MT241519","NCBI Nucleotide")</f>
        <v>NCBI Nucleotide</v>
      </c>
    </row>
    <row r="13258" spans="1:27" x14ac:dyDescent="0.35">
      <c r="A13258">
        <v>1001044</v>
      </c>
      <c r="B13258">
        <v>12376</v>
      </c>
      <c r="C13258">
        <v>1</v>
      </c>
      <c r="D13258" t="s">
        <v>17166</v>
      </c>
      <c r="F13258" t="s">
        <v>17246</v>
      </c>
      <c r="H13258" t="s">
        <v>23950</v>
      </c>
      <c r="I13258" t="s">
        <v>26604</v>
      </c>
      <c r="J13258" t="s">
        <v>47099</v>
      </c>
      <c r="L13258" t="s">
        <v>47182</v>
      </c>
      <c r="N13258" t="s">
        <v>28826</v>
      </c>
      <c r="P13258" t="s">
        <v>28827</v>
      </c>
      <c r="R13258" s="26" t="str">
        <f>HYPERLINK("https://ictv.global/taxonomy/taxondetails?taxnode_id=202306242","Wumivirus millepedae")</f>
        <v>Wumivirus millepedae</v>
      </c>
      <c r="S13258" t="s">
        <v>30</v>
      </c>
      <c r="T13258" t="s">
        <v>28828</v>
      </c>
      <c r="U13258" t="s">
        <v>28071</v>
      </c>
      <c r="V13258" t="s">
        <v>28829</v>
      </c>
      <c r="W13258" t="s">
        <v>50720</v>
      </c>
      <c r="X13258" t="s">
        <v>35</v>
      </c>
      <c r="Y13258" t="s">
        <v>23964</v>
      </c>
      <c r="Z13258" t="s">
        <v>10790</v>
      </c>
      <c r="AA13258" s="22" t="str">
        <f>HYPERLINK("https://www.ncbi.nlm.nih.gov/nuccore/KM817696,KX650645,KM817757","NCBI Nucleotide")</f>
        <v>NCBI Nucleotide</v>
      </c>
    </row>
    <row r="13259" spans="1:27" x14ac:dyDescent="0.35">
      <c r="A13259">
        <v>1001045</v>
      </c>
      <c r="B13259">
        <v>12377</v>
      </c>
      <c r="C13259">
        <v>1</v>
      </c>
      <c r="D13259" t="s">
        <v>17166</v>
      </c>
      <c r="F13259" t="s">
        <v>17246</v>
      </c>
      <c r="H13259" t="s">
        <v>23950</v>
      </c>
      <c r="I13259" t="s">
        <v>26604</v>
      </c>
      <c r="J13259" t="s">
        <v>28830</v>
      </c>
      <c r="L13259" t="s">
        <v>28831</v>
      </c>
      <c r="N13259" t="s">
        <v>28832</v>
      </c>
      <c r="P13259" t="s">
        <v>28833</v>
      </c>
      <c r="R13259" s="26" t="str">
        <f>HYPERLINK("https://ictv.global/taxonomy/taxondetails?taxnode_id=202305391","Tilapinevirus tilapiae")</f>
        <v>Tilapinevirus tilapiae</v>
      </c>
      <c r="S13259" t="s">
        <v>30</v>
      </c>
      <c r="T13259" t="s">
        <v>28834</v>
      </c>
      <c r="U13259" t="s">
        <v>28835</v>
      </c>
      <c r="V13259" t="s">
        <v>28836</v>
      </c>
      <c r="W13259" t="s">
        <v>28837</v>
      </c>
      <c r="X13259" t="s">
        <v>42</v>
      </c>
      <c r="Y13259" t="s">
        <v>23964</v>
      </c>
      <c r="Z13259" t="s">
        <v>166</v>
      </c>
      <c r="AA13259" s="22" t="str">
        <f>HYPERLINK("https://www.ncbi.nlm.nih.gov/nuccore/KU751814,KU751815,KU751816,KU751817,KU751818,KU751819,KU751820,KU751821,KU751822,KU751823","NCBI Nucleotide")</f>
        <v>NCBI Nucleotide</v>
      </c>
    </row>
    <row r="13260" spans="1:27" x14ac:dyDescent="0.35">
      <c r="A13260">
        <v>1001046</v>
      </c>
      <c r="B13260">
        <v>12378</v>
      </c>
      <c r="C13260">
        <v>1</v>
      </c>
      <c r="D13260" t="s">
        <v>17166</v>
      </c>
      <c r="F13260" t="s">
        <v>17246</v>
      </c>
      <c r="H13260" t="s">
        <v>23950</v>
      </c>
      <c r="I13260" t="s">
        <v>26604</v>
      </c>
      <c r="J13260" t="s">
        <v>28830</v>
      </c>
      <c r="L13260" t="s">
        <v>28831</v>
      </c>
      <c r="N13260" t="s">
        <v>28838</v>
      </c>
      <c r="P13260" t="s">
        <v>28839</v>
      </c>
      <c r="R13260" s="26" t="str">
        <f>HYPERLINK("https://ictv.global/taxonomy/taxondetails?taxnode_id=202303956","Alphainfluenzavirus influenzae")</f>
        <v>Alphainfluenzavirus influenzae</v>
      </c>
      <c r="S13260" t="s">
        <v>30</v>
      </c>
      <c r="T13260" t="s">
        <v>28840</v>
      </c>
      <c r="U13260" t="s">
        <v>28841</v>
      </c>
      <c r="V13260" t="s">
        <v>28842</v>
      </c>
      <c r="W13260" t="s">
        <v>50721</v>
      </c>
      <c r="X13260" t="s">
        <v>42</v>
      </c>
      <c r="Y13260" t="s">
        <v>23964</v>
      </c>
      <c r="Z13260" t="s">
        <v>166</v>
      </c>
      <c r="AA13260" s="22" t="str">
        <f>HYPERLINK("https://www.ncbi.nlm.nih.gov/nuccore/V00603,J02151,V01106,V01088,J02147,J02146,V01099,J02150","NCBI Nucleotide")</f>
        <v>NCBI Nucleotide</v>
      </c>
    </row>
    <row r="13261" spans="1:27" x14ac:dyDescent="0.35">
      <c r="A13261">
        <v>1001047</v>
      </c>
      <c r="B13261">
        <v>12379</v>
      </c>
      <c r="C13261">
        <v>1</v>
      </c>
      <c r="D13261" t="s">
        <v>17166</v>
      </c>
      <c r="F13261" t="s">
        <v>17246</v>
      </c>
      <c r="H13261" t="s">
        <v>23950</v>
      </c>
      <c r="I13261" t="s">
        <v>26604</v>
      </c>
      <c r="J13261" t="s">
        <v>28830</v>
      </c>
      <c r="L13261" t="s">
        <v>28831</v>
      </c>
      <c r="N13261" t="s">
        <v>28838</v>
      </c>
      <c r="P13261" t="s">
        <v>28843</v>
      </c>
      <c r="R13261" s="26" t="str">
        <f>HYPERLINK("https://ictv.global/taxonomy/taxondetails?taxnode_id=202303958","Betainfluenzavirus influenzae")</f>
        <v>Betainfluenzavirus influenzae</v>
      </c>
      <c r="S13261" t="s">
        <v>30</v>
      </c>
      <c r="T13261" t="s">
        <v>28844</v>
      </c>
      <c r="U13261" t="s">
        <v>28845</v>
      </c>
      <c r="V13261" t="s">
        <v>28846</v>
      </c>
      <c r="W13261" t="s">
        <v>50722</v>
      </c>
      <c r="X13261" t="s">
        <v>42</v>
      </c>
      <c r="Y13261" t="s">
        <v>23964</v>
      </c>
      <c r="Z13261" t="s">
        <v>166</v>
      </c>
      <c r="AA13261" s="22" t="str">
        <f>HYPERLINK("https://www.ncbi.nlm.nih.gov/nuccore/M14880,AF101982,AF102017,K00423,K01395,J02095,J02094,J02096","NCBI Nucleotide")</f>
        <v>NCBI Nucleotide</v>
      </c>
    </row>
    <row r="13262" spans="1:27" x14ac:dyDescent="0.35">
      <c r="A13262">
        <v>1001048</v>
      </c>
      <c r="B13262">
        <v>12380</v>
      </c>
      <c r="C13262">
        <v>1</v>
      </c>
      <c r="D13262" t="s">
        <v>17166</v>
      </c>
      <c r="F13262" t="s">
        <v>17246</v>
      </c>
      <c r="H13262" t="s">
        <v>23950</v>
      </c>
      <c r="I13262" t="s">
        <v>26604</v>
      </c>
      <c r="J13262" t="s">
        <v>28830</v>
      </c>
      <c r="L13262" t="s">
        <v>28831</v>
      </c>
      <c r="N13262" t="s">
        <v>28838</v>
      </c>
      <c r="P13262" t="s">
        <v>28847</v>
      </c>
      <c r="R13262" s="26" t="str">
        <f>HYPERLINK("https://ictv.global/taxonomy/taxondetails?taxnode_id=202303962","Deltainfluenzavirus influenzae")</f>
        <v>Deltainfluenzavirus influenzae</v>
      </c>
      <c r="S13262" t="s">
        <v>30</v>
      </c>
      <c r="T13262" t="s">
        <v>28848</v>
      </c>
      <c r="U13262" t="s">
        <v>28849</v>
      </c>
      <c r="V13262" t="s">
        <v>28850</v>
      </c>
      <c r="W13262" t="s">
        <v>28851</v>
      </c>
      <c r="X13262" t="s">
        <v>42</v>
      </c>
      <c r="Y13262" t="s">
        <v>23964</v>
      </c>
      <c r="Z13262" t="s">
        <v>166</v>
      </c>
      <c r="AA13262" s="22" t="str">
        <f>HYPERLINK("https://www.ncbi.nlm.nih.gov/nuccore/JQ922305,JQ922306,JQ922307,JQ922308,JQ922309,JQ922310,JQ922311","NCBI Nucleotide")</f>
        <v>NCBI Nucleotide</v>
      </c>
    </row>
    <row r="13263" spans="1:27" x14ac:dyDescent="0.35">
      <c r="A13263">
        <v>1001049</v>
      </c>
      <c r="B13263">
        <v>12381</v>
      </c>
      <c r="C13263">
        <v>1</v>
      </c>
      <c r="D13263" t="s">
        <v>17166</v>
      </c>
      <c r="F13263" t="s">
        <v>17246</v>
      </c>
      <c r="H13263" t="s">
        <v>23950</v>
      </c>
      <c r="I13263" t="s">
        <v>26604</v>
      </c>
      <c r="J13263" t="s">
        <v>28830</v>
      </c>
      <c r="L13263" t="s">
        <v>28831</v>
      </c>
      <c r="N13263" t="s">
        <v>28838</v>
      </c>
      <c r="P13263" t="s">
        <v>28852</v>
      </c>
      <c r="R13263" s="26" t="str">
        <f>HYPERLINK("https://ictv.global/taxonomy/taxondetails?taxnode_id=202303960","Gammainfluenzavirus influenzae")</f>
        <v>Gammainfluenzavirus influenzae</v>
      </c>
      <c r="S13263" t="s">
        <v>30</v>
      </c>
      <c r="T13263" t="s">
        <v>28853</v>
      </c>
      <c r="U13263" t="s">
        <v>28854</v>
      </c>
      <c r="V13263" t="s">
        <v>28855</v>
      </c>
      <c r="W13263" t="s">
        <v>28856</v>
      </c>
      <c r="X13263" t="s">
        <v>42</v>
      </c>
      <c r="Y13263" t="s">
        <v>23964</v>
      </c>
      <c r="Z13263" t="s">
        <v>166</v>
      </c>
      <c r="AA13263" s="22" t="str">
        <f>HYPERLINK("https://www.ncbi.nlm.nih.gov/nuccore/AB126191,AB126192,AB126193,AB126194,AB126195,AB126196,AB283001","NCBI Nucleotide")</f>
        <v>NCBI Nucleotide</v>
      </c>
    </row>
    <row r="13264" spans="1:27" x14ac:dyDescent="0.35">
      <c r="A13264">
        <v>1001050</v>
      </c>
      <c r="B13264">
        <v>12382</v>
      </c>
      <c r="C13264">
        <v>1</v>
      </c>
      <c r="D13264" t="s">
        <v>17166</v>
      </c>
      <c r="F13264" t="s">
        <v>17246</v>
      </c>
      <c r="H13264" t="s">
        <v>23950</v>
      </c>
      <c r="I13264" t="s">
        <v>26604</v>
      </c>
      <c r="J13264" t="s">
        <v>28830</v>
      </c>
      <c r="L13264" t="s">
        <v>28831</v>
      </c>
      <c r="N13264" t="s">
        <v>28838</v>
      </c>
      <c r="P13264" t="s">
        <v>28857</v>
      </c>
      <c r="R13264" s="26" t="str">
        <f>HYPERLINK("https://ictv.global/taxonomy/taxondetails?taxnode_id=202303964","Isavirus salaris")</f>
        <v>Isavirus salaris</v>
      </c>
      <c r="S13264" t="s">
        <v>30</v>
      </c>
      <c r="T13264" t="s">
        <v>28858</v>
      </c>
      <c r="U13264" t="s">
        <v>28859</v>
      </c>
      <c r="V13264" t="s">
        <v>28860</v>
      </c>
      <c r="W13264" t="s">
        <v>50723</v>
      </c>
      <c r="X13264" t="s">
        <v>42</v>
      </c>
      <c r="Y13264" t="s">
        <v>23964</v>
      </c>
      <c r="Z13264" t="s">
        <v>166</v>
      </c>
      <c r="AA13264" s="22" t="str">
        <f>HYPERLINK("https://www.ncbi.nlm.nih.gov/nuccore/AY373381,AF404346,AF404345,AF404344,AF404343,AF404342,AF404341,AF404340","NCBI Nucleotide")</f>
        <v>NCBI Nucleotide</v>
      </c>
    </row>
    <row r="13265" spans="1:27" x14ac:dyDescent="0.35">
      <c r="A13265">
        <v>1001051</v>
      </c>
      <c r="B13265">
        <v>12383</v>
      </c>
      <c r="C13265">
        <v>1</v>
      </c>
      <c r="D13265" t="s">
        <v>17166</v>
      </c>
      <c r="F13265" t="s">
        <v>17246</v>
      </c>
      <c r="H13265" t="s">
        <v>23950</v>
      </c>
      <c r="I13265" t="s">
        <v>26604</v>
      </c>
      <c r="J13265" t="s">
        <v>28830</v>
      </c>
      <c r="L13265" t="s">
        <v>28831</v>
      </c>
      <c r="N13265" t="s">
        <v>28838</v>
      </c>
      <c r="P13265" t="s">
        <v>28861</v>
      </c>
      <c r="R13265" s="26" t="str">
        <f>HYPERLINK("https://ictv.global/taxonomy/taxondetails?taxnode_id=202312228","Mykissvirus tructae")</f>
        <v>Mykissvirus tructae</v>
      </c>
      <c r="S13265" t="s">
        <v>30</v>
      </c>
      <c r="T13265" t="s">
        <v>28862</v>
      </c>
      <c r="U13265" t="s">
        <v>28863</v>
      </c>
      <c r="V13265" t="s">
        <v>28864</v>
      </c>
      <c r="W13265" t="s">
        <v>28865</v>
      </c>
      <c r="X13265" t="s">
        <v>42</v>
      </c>
      <c r="Y13265" t="s">
        <v>23964</v>
      </c>
      <c r="Z13265" t="s">
        <v>166</v>
      </c>
      <c r="AA13265" s="22" t="str">
        <f>HYPERLINK("https://www.ncbi.nlm.nih.gov/nuccore/KX882061,KX882062,KX882063,KX882064,KX882065,KX882066,KX882067,KX882068","NCBI Nucleotide")</f>
        <v>NCBI Nucleotide</v>
      </c>
    </row>
    <row r="13266" spans="1:27" x14ac:dyDescent="0.35">
      <c r="A13266">
        <v>1011353</v>
      </c>
      <c r="B13266">
        <v>12383</v>
      </c>
      <c r="C13266">
        <v>2</v>
      </c>
      <c r="D13266" t="s">
        <v>17166</v>
      </c>
      <c r="F13266" t="s">
        <v>17246</v>
      </c>
      <c r="H13266" t="s">
        <v>23950</v>
      </c>
      <c r="I13266" t="s">
        <v>26604</v>
      </c>
      <c r="J13266" t="s">
        <v>28830</v>
      </c>
      <c r="L13266" t="s">
        <v>28831</v>
      </c>
      <c r="N13266" t="s">
        <v>28838</v>
      </c>
      <c r="P13266" t="s">
        <v>28861</v>
      </c>
      <c r="R13266" s="26" t="str">
        <f>HYPERLINK("https://ictv.global/taxonomy/taxondetails?taxnode_id=202312228","Mykissvirus tructae")</f>
        <v>Mykissvirus tructae</v>
      </c>
      <c r="S13266" t="s">
        <v>8141</v>
      </c>
      <c r="T13266" t="s">
        <v>28866</v>
      </c>
      <c r="U13266" t="s">
        <v>28867</v>
      </c>
      <c r="V13266" t="s">
        <v>28868</v>
      </c>
      <c r="W13266" t="s">
        <v>49573</v>
      </c>
      <c r="X13266" t="s">
        <v>42</v>
      </c>
      <c r="Y13266" t="s">
        <v>23964</v>
      </c>
      <c r="Z13266" t="s">
        <v>166</v>
      </c>
      <c r="AA13266" s="22" t="str">
        <f>HYPERLINK("https://www.ncbi.nlm.nih.gov/nuccore/KX882069,KX882070,KX882071,KX882072,KX882073,KX882074,KX882075,KX882076","NCBI Nucleotide")</f>
        <v>NCBI Nucleotide</v>
      </c>
    </row>
    <row r="13267" spans="1:27" x14ac:dyDescent="0.35">
      <c r="A13267">
        <v>1001052</v>
      </c>
      <c r="B13267">
        <v>12384</v>
      </c>
      <c r="C13267">
        <v>1</v>
      </c>
      <c r="D13267" t="s">
        <v>17166</v>
      </c>
      <c r="F13267" t="s">
        <v>17246</v>
      </c>
      <c r="H13267" t="s">
        <v>23950</v>
      </c>
      <c r="I13267" t="s">
        <v>26604</v>
      </c>
      <c r="J13267" t="s">
        <v>28830</v>
      </c>
      <c r="L13267" t="s">
        <v>28831</v>
      </c>
      <c r="N13267" t="s">
        <v>28838</v>
      </c>
      <c r="P13267" t="s">
        <v>28869</v>
      </c>
      <c r="R13267" s="26" t="str">
        <f>HYPERLINK("https://ictv.global/taxonomy/taxondetails?taxnode_id=202312244","Quaranjavirus araguariense")</f>
        <v>Quaranjavirus araguariense</v>
      </c>
      <c r="S13267" t="s">
        <v>30</v>
      </c>
      <c r="T13267" t="s">
        <v>28870</v>
      </c>
      <c r="U13267" t="s">
        <v>25676</v>
      </c>
      <c r="V13267" t="s">
        <v>28871</v>
      </c>
      <c r="W13267" t="s">
        <v>48721</v>
      </c>
      <c r="X13267" t="s">
        <v>42</v>
      </c>
      <c r="Y13267" t="s">
        <v>23964</v>
      </c>
      <c r="Z13267" t="s">
        <v>12289</v>
      </c>
      <c r="AA13267" s="22" t="str">
        <f>HYPERLINK("https://www.ncbi.nlm.nih.gov/nuccore/KX670389,KX670390,KX670391,KX670392,KX670393,KX670394,KX670395","NCBI Nucleotide")</f>
        <v>NCBI Nucleotide</v>
      </c>
    </row>
    <row r="13268" spans="1:27" x14ac:dyDescent="0.35">
      <c r="A13268">
        <v>1001053</v>
      </c>
      <c r="B13268">
        <v>12385</v>
      </c>
      <c r="C13268">
        <v>1</v>
      </c>
      <c r="D13268" t="s">
        <v>17166</v>
      </c>
      <c r="F13268" t="s">
        <v>17246</v>
      </c>
      <c r="H13268" t="s">
        <v>23950</v>
      </c>
      <c r="I13268" t="s">
        <v>26604</v>
      </c>
      <c r="J13268" t="s">
        <v>28830</v>
      </c>
      <c r="L13268" t="s">
        <v>28831</v>
      </c>
      <c r="N13268" t="s">
        <v>28838</v>
      </c>
      <c r="P13268" t="s">
        <v>28869</v>
      </c>
      <c r="R13268" s="26" t="str">
        <f>HYPERLINK("https://ictv.global/taxonomy/taxondetails?taxnode_id=202312245","Quaranjavirus chadense")</f>
        <v>Quaranjavirus chadense</v>
      </c>
      <c r="S13268" t="s">
        <v>30</v>
      </c>
      <c r="T13268" t="s">
        <v>28872</v>
      </c>
      <c r="U13268" t="s">
        <v>28873</v>
      </c>
      <c r="V13268" t="s">
        <v>28874</v>
      </c>
      <c r="W13268" t="s">
        <v>28875</v>
      </c>
      <c r="X13268" t="s">
        <v>42</v>
      </c>
      <c r="Y13268" t="s">
        <v>23964</v>
      </c>
      <c r="Z13268" t="s">
        <v>12289</v>
      </c>
      <c r="AA13268" s="22" t="str">
        <f>HYPERLINK("https://www.ncbi.nlm.nih.gov/nuccore/MT774253,MT774254,MT774255,MT774256,MT774257,MT774258,MT774259","NCBI Nucleotide")</f>
        <v>NCBI Nucleotide</v>
      </c>
    </row>
    <row r="13269" spans="1:27" x14ac:dyDescent="0.35">
      <c r="A13269">
        <v>1001054</v>
      </c>
      <c r="B13269">
        <v>12386</v>
      </c>
      <c r="C13269">
        <v>1</v>
      </c>
      <c r="D13269" t="s">
        <v>17166</v>
      </c>
      <c r="F13269" t="s">
        <v>17246</v>
      </c>
      <c r="H13269" t="s">
        <v>23950</v>
      </c>
      <c r="I13269" t="s">
        <v>26604</v>
      </c>
      <c r="J13269" t="s">
        <v>28830</v>
      </c>
      <c r="L13269" t="s">
        <v>28831</v>
      </c>
      <c r="N13269" t="s">
        <v>28838</v>
      </c>
      <c r="P13269" t="s">
        <v>28869</v>
      </c>
      <c r="R13269" s="26" t="str">
        <f>HYPERLINK("https://ictv.global/taxonomy/taxondetails?taxnode_id=202303966","Quaranjavirus johnstonense")</f>
        <v>Quaranjavirus johnstonense</v>
      </c>
      <c r="S13269" t="s">
        <v>30</v>
      </c>
      <c r="T13269" t="s">
        <v>28876</v>
      </c>
      <c r="U13269" t="s">
        <v>28877</v>
      </c>
      <c r="V13269" t="s">
        <v>28878</v>
      </c>
      <c r="W13269" t="s">
        <v>28879</v>
      </c>
      <c r="X13269" t="s">
        <v>154</v>
      </c>
      <c r="Y13269" t="s">
        <v>23964</v>
      </c>
      <c r="Z13269" t="s">
        <v>10790</v>
      </c>
      <c r="AA13269" s="22" t="str">
        <f>HYPERLINK("https://www.ncbi.nlm.nih.gov/nuccore/FJ861697,FJ861696","NCBI Nucleotide")</f>
        <v>NCBI Nucleotide</v>
      </c>
    </row>
    <row r="13270" spans="1:27" x14ac:dyDescent="0.35">
      <c r="A13270">
        <v>1001055</v>
      </c>
      <c r="B13270">
        <v>12387</v>
      </c>
      <c r="C13270">
        <v>1</v>
      </c>
      <c r="D13270" t="s">
        <v>17166</v>
      </c>
      <c r="F13270" t="s">
        <v>17246</v>
      </c>
      <c r="H13270" t="s">
        <v>23950</v>
      </c>
      <c r="I13270" t="s">
        <v>26604</v>
      </c>
      <c r="J13270" t="s">
        <v>28830</v>
      </c>
      <c r="L13270" t="s">
        <v>28831</v>
      </c>
      <c r="N13270" t="s">
        <v>28838</v>
      </c>
      <c r="P13270" t="s">
        <v>28869</v>
      </c>
      <c r="R13270" s="26" t="str">
        <f>HYPERLINK("https://ictv.global/taxonomy/taxondetails?taxnode_id=202303967","Quaranjavirus quaranfilense")</f>
        <v>Quaranjavirus quaranfilense</v>
      </c>
      <c r="S13270" t="s">
        <v>30</v>
      </c>
      <c r="T13270" t="s">
        <v>28880</v>
      </c>
      <c r="U13270" t="s">
        <v>28881</v>
      </c>
      <c r="V13270" t="s">
        <v>28882</v>
      </c>
      <c r="W13270" t="s">
        <v>50724</v>
      </c>
      <c r="X13270" t="s">
        <v>42</v>
      </c>
      <c r="Y13270" t="s">
        <v>23964</v>
      </c>
      <c r="Z13270" t="s">
        <v>12289</v>
      </c>
      <c r="AA13270" s="22" t="str">
        <f>HYPERLINK("https://www.ncbi.nlm.nih.gov/nuccore/GQ499302,GQ499303,FJ861695,JN412853,FJ861694,GQ499304","NCBI Nucleotide")</f>
        <v>NCBI Nucleotide</v>
      </c>
    </row>
    <row r="13271" spans="1:27" x14ac:dyDescent="0.35">
      <c r="A13271">
        <v>1001056</v>
      </c>
      <c r="B13271">
        <v>12388</v>
      </c>
      <c r="C13271">
        <v>1</v>
      </c>
      <c r="D13271" t="s">
        <v>17166</v>
      </c>
      <c r="F13271" t="s">
        <v>17246</v>
      </c>
      <c r="H13271" t="s">
        <v>23950</v>
      </c>
      <c r="I13271" t="s">
        <v>26604</v>
      </c>
      <c r="J13271" t="s">
        <v>28830</v>
      </c>
      <c r="L13271" t="s">
        <v>28831</v>
      </c>
      <c r="N13271" t="s">
        <v>28838</v>
      </c>
      <c r="P13271" t="s">
        <v>28869</v>
      </c>
      <c r="R13271" s="26" t="str">
        <f>HYPERLINK("https://ictv.global/taxonomy/taxondetails?taxnode_id=202312246","Quaranjavirus tyulekense")</f>
        <v>Quaranjavirus tyulekense</v>
      </c>
      <c r="S13271" t="s">
        <v>30</v>
      </c>
      <c r="T13271" t="s">
        <v>28883</v>
      </c>
      <c r="U13271" t="s">
        <v>28884</v>
      </c>
      <c r="V13271" t="s">
        <v>28885</v>
      </c>
      <c r="W13271" t="s">
        <v>48722</v>
      </c>
      <c r="X13271" t="s">
        <v>42</v>
      </c>
      <c r="Y13271" t="s">
        <v>23964</v>
      </c>
      <c r="Z13271" t="s">
        <v>12289</v>
      </c>
      <c r="AA13271" s="22" t="str">
        <f>HYPERLINK("https://www.ncbi.nlm.nih.gov/nuccore/JQ928941,JQ928942,JQ928943,JQ928944,JQ928945,JQ928946,MT774252","NCBI Nucleotide")</f>
        <v>NCBI Nucleotide</v>
      </c>
    </row>
    <row r="13272" spans="1:27" x14ac:dyDescent="0.35">
      <c r="A13272">
        <v>1001057</v>
      </c>
      <c r="B13272">
        <v>12389</v>
      </c>
      <c r="C13272">
        <v>1</v>
      </c>
      <c r="D13272" t="s">
        <v>17166</v>
      </c>
      <c r="F13272" t="s">
        <v>17246</v>
      </c>
      <c r="H13272" t="s">
        <v>23950</v>
      </c>
      <c r="I13272" t="s">
        <v>26604</v>
      </c>
      <c r="J13272" t="s">
        <v>28830</v>
      </c>
      <c r="L13272" t="s">
        <v>28831</v>
      </c>
      <c r="N13272" t="s">
        <v>28838</v>
      </c>
      <c r="P13272" t="s">
        <v>28869</v>
      </c>
      <c r="R13272" s="26" t="str">
        <f>HYPERLINK("https://ictv.global/taxonomy/taxondetails?taxnode_id=202312247","Quaranjavirus wellfleetense")</f>
        <v>Quaranjavirus wellfleetense</v>
      </c>
      <c r="S13272" t="s">
        <v>30</v>
      </c>
      <c r="T13272" t="s">
        <v>28886</v>
      </c>
      <c r="U13272" t="s">
        <v>28887</v>
      </c>
      <c r="V13272" t="s">
        <v>28888</v>
      </c>
      <c r="W13272" t="s">
        <v>28889</v>
      </c>
      <c r="X13272" t="s">
        <v>42</v>
      </c>
      <c r="Y13272" t="s">
        <v>23964</v>
      </c>
      <c r="Z13272" t="s">
        <v>12289</v>
      </c>
      <c r="AA13272" s="22" t="str">
        <f>HYPERLINK("https://www.ncbi.nlm.nih.gov/nuccore/KM114304,KM114305,KM114306,KM114307,KM114308,KM114309,KM114310","NCBI Nucleotide")</f>
        <v>NCBI Nucleotide</v>
      </c>
    </row>
    <row r="13273" spans="1:27" x14ac:dyDescent="0.35">
      <c r="A13273">
        <v>1001058</v>
      </c>
      <c r="B13273">
        <v>12390</v>
      </c>
      <c r="C13273">
        <v>1</v>
      </c>
      <c r="D13273" t="s">
        <v>17166</v>
      </c>
      <c r="F13273" t="s">
        <v>17246</v>
      </c>
      <c r="H13273" t="s">
        <v>23950</v>
      </c>
      <c r="I13273" t="s">
        <v>26604</v>
      </c>
      <c r="J13273" t="s">
        <v>28830</v>
      </c>
      <c r="L13273" t="s">
        <v>28831</v>
      </c>
      <c r="N13273" t="s">
        <v>28838</v>
      </c>
      <c r="P13273" t="s">
        <v>28890</v>
      </c>
      <c r="R13273" s="26" t="str">
        <f>HYPERLINK("https://ictv.global/taxonomy/taxondetails?taxnode_id=202312230","Sardinovirus pilchardi")</f>
        <v>Sardinovirus pilchardi</v>
      </c>
      <c r="S13273" t="s">
        <v>30</v>
      </c>
      <c r="T13273" t="s">
        <v>28891</v>
      </c>
      <c r="U13273" t="s">
        <v>28892</v>
      </c>
      <c r="V13273" t="s">
        <v>28893</v>
      </c>
      <c r="W13273" t="s">
        <v>28894</v>
      </c>
      <c r="X13273" t="s">
        <v>42</v>
      </c>
      <c r="Y13273" t="s">
        <v>23964</v>
      </c>
      <c r="Z13273" t="s">
        <v>166</v>
      </c>
      <c r="AA13273" s="22" t="str">
        <f>HYPERLINK("https://www.ncbi.nlm.nih.gov/nuccore/MN241407,MN241408,MN241409,MN241410,MN241411,MN241412,MN241413,MN241414","NCBI Nucleotide")</f>
        <v>NCBI Nucleotide</v>
      </c>
    </row>
    <row r="13274" spans="1:27" x14ac:dyDescent="0.35">
      <c r="A13274">
        <v>1001059</v>
      </c>
      <c r="B13274">
        <v>12391</v>
      </c>
      <c r="C13274">
        <v>1</v>
      </c>
      <c r="D13274" t="s">
        <v>17166</v>
      </c>
      <c r="F13274" t="s">
        <v>17246</v>
      </c>
      <c r="H13274" t="s">
        <v>23950</v>
      </c>
      <c r="I13274" t="s">
        <v>26604</v>
      </c>
      <c r="J13274" t="s">
        <v>28830</v>
      </c>
      <c r="L13274" t="s">
        <v>28831</v>
      </c>
      <c r="N13274" t="s">
        <v>28838</v>
      </c>
      <c r="P13274" t="s">
        <v>28895</v>
      </c>
      <c r="R13274" s="26" t="str">
        <f>HYPERLINK("https://ictv.global/taxonomy/taxondetails?taxnode_id=202312930","Thogotovirus bourbonense")</f>
        <v>Thogotovirus bourbonense</v>
      </c>
      <c r="S13274" t="s">
        <v>30</v>
      </c>
      <c r="T13274" t="s">
        <v>28896</v>
      </c>
      <c r="U13274" t="s">
        <v>28897</v>
      </c>
      <c r="V13274" t="s">
        <v>28898</v>
      </c>
      <c r="W13274" t="s">
        <v>48723</v>
      </c>
      <c r="X13274" t="s">
        <v>42</v>
      </c>
      <c r="Y13274" t="s">
        <v>23964</v>
      </c>
      <c r="Z13274" t="s">
        <v>12289</v>
      </c>
      <c r="AA13274" s="22" t="str">
        <f>HYPERLINK("https://www.ncbi.nlm.nih.gov/nuccore/MH880287,MH880288,MH880289,MH880290,MH880291,MH880292","NCBI Nucleotide")</f>
        <v>NCBI Nucleotide</v>
      </c>
    </row>
    <row r="13275" spans="1:27" x14ac:dyDescent="0.35">
      <c r="A13275">
        <v>1001060</v>
      </c>
      <c r="B13275">
        <v>12392</v>
      </c>
      <c r="C13275">
        <v>1</v>
      </c>
      <c r="D13275" t="s">
        <v>17166</v>
      </c>
      <c r="F13275" t="s">
        <v>17246</v>
      </c>
      <c r="H13275" t="s">
        <v>23950</v>
      </c>
      <c r="I13275" t="s">
        <v>26604</v>
      </c>
      <c r="J13275" t="s">
        <v>28830</v>
      </c>
      <c r="L13275" t="s">
        <v>28831</v>
      </c>
      <c r="N13275" t="s">
        <v>28838</v>
      </c>
      <c r="P13275" t="s">
        <v>28895</v>
      </c>
      <c r="R13275" s="26" t="str">
        <f>HYPERLINK("https://ictv.global/taxonomy/taxondetails?taxnode_id=202303969","Thogotovirus dhoriense")</f>
        <v>Thogotovirus dhoriense</v>
      </c>
      <c r="S13275" t="s">
        <v>30</v>
      </c>
      <c r="T13275" t="s">
        <v>28899</v>
      </c>
      <c r="U13275" t="s">
        <v>28900</v>
      </c>
      <c r="V13275" t="s">
        <v>28901</v>
      </c>
      <c r="W13275" t="s">
        <v>50725</v>
      </c>
      <c r="X13275" t="s">
        <v>42</v>
      </c>
      <c r="Y13275" t="s">
        <v>23964</v>
      </c>
      <c r="Z13275" t="s">
        <v>166</v>
      </c>
      <c r="AA13275" s="22" t="str">
        <f>HYPERLINK("https://www.ncbi.nlm.nih.gov/nuccore/GU969308,GU969313,GU969309,GU969310,GU969311,GU969312","NCBI Nucleotide")</f>
        <v>NCBI Nucleotide</v>
      </c>
    </row>
    <row r="13276" spans="1:27" x14ac:dyDescent="0.35">
      <c r="A13276">
        <v>1001061</v>
      </c>
      <c r="B13276">
        <v>12393</v>
      </c>
      <c r="C13276">
        <v>1</v>
      </c>
      <c r="D13276" t="s">
        <v>17166</v>
      </c>
      <c r="F13276" t="s">
        <v>17246</v>
      </c>
      <c r="H13276" t="s">
        <v>23950</v>
      </c>
      <c r="I13276" t="s">
        <v>26604</v>
      </c>
      <c r="J13276" t="s">
        <v>28830</v>
      </c>
      <c r="L13276" t="s">
        <v>28831</v>
      </c>
      <c r="N13276" t="s">
        <v>28838</v>
      </c>
      <c r="P13276" t="s">
        <v>28895</v>
      </c>
      <c r="R13276" s="26" t="str">
        <f>HYPERLINK("https://ictv.global/taxonomy/taxondetails?taxnode_id=202312928","Thogotovirus josense")</f>
        <v>Thogotovirus josense</v>
      </c>
      <c r="S13276" t="s">
        <v>30</v>
      </c>
      <c r="T13276" t="s">
        <v>28902</v>
      </c>
      <c r="U13276" t="s">
        <v>28903</v>
      </c>
      <c r="W13276" t="s">
        <v>48724</v>
      </c>
      <c r="X13276" t="s">
        <v>35</v>
      </c>
      <c r="Y13276" t="s">
        <v>23964</v>
      </c>
      <c r="Z13276" t="s">
        <v>12289</v>
      </c>
      <c r="AA13276" s="22" t="str">
        <f>HYPERLINK("https://www.ncbi.nlm.nih.gov/nuccore/HM627170,HM627171,HM627172,HM627173,HM627174,HM627175","NCBI Nucleotide")</f>
        <v>NCBI Nucleotide</v>
      </c>
    </row>
    <row r="13277" spans="1:27" x14ac:dyDescent="0.35">
      <c r="A13277">
        <v>1001062</v>
      </c>
      <c r="B13277">
        <v>12394</v>
      </c>
      <c r="C13277">
        <v>1</v>
      </c>
      <c r="D13277" t="s">
        <v>17166</v>
      </c>
      <c r="F13277" t="s">
        <v>17246</v>
      </c>
      <c r="H13277" t="s">
        <v>23950</v>
      </c>
      <c r="I13277" t="s">
        <v>26604</v>
      </c>
      <c r="J13277" t="s">
        <v>28830</v>
      </c>
      <c r="L13277" t="s">
        <v>28831</v>
      </c>
      <c r="N13277" t="s">
        <v>28838</v>
      </c>
      <c r="P13277" t="s">
        <v>28895</v>
      </c>
      <c r="R13277" s="26" t="str">
        <f>HYPERLINK("https://ictv.global/taxonomy/taxondetails?taxnode_id=202312931","Thogotovirus ozense")</f>
        <v>Thogotovirus ozense</v>
      </c>
      <c r="S13277" t="s">
        <v>30</v>
      </c>
      <c r="T13277" t="s">
        <v>28904</v>
      </c>
      <c r="U13277" t="s">
        <v>28905</v>
      </c>
      <c r="V13277" t="s">
        <v>28906</v>
      </c>
      <c r="W13277" t="s">
        <v>28907</v>
      </c>
      <c r="X13277" t="s">
        <v>42</v>
      </c>
      <c r="Y13277" t="s">
        <v>23964</v>
      </c>
      <c r="Z13277" t="s">
        <v>12289</v>
      </c>
      <c r="AA13277" s="22" t="str">
        <f>HYPERLINK("https://www.ncbi.nlm.nih.gov/nuccore/LC320123,LC320124,LC320125,LC320126,LC320127,LC320128","NCBI Nucleotide")</f>
        <v>NCBI Nucleotide</v>
      </c>
    </row>
    <row r="13278" spans="1:27" x14ac:dyDescent="0.35">
      <c r="A13278">
        <v>1001063</v>
      </c>
      <c r="B13278">
        <v>12395</v>
      </c>
      <c r="C13278">
        <v>1</v>
      </c>
      <c r="D13278" t="s">
        <v>17166</v>
      </c>
      <c r="F13278" t="s">
        <v>17246</v>
      </c>
      <c r="H13278" t="s">
        <v>23950</v>
      </c>
      <c r="I13278" t="s">
        <v>26604</v>
      </c>
      <c r="J13278" t="s">
        <v>28830</v>
      </c>
      <c r="L13278" t="s">
        <v>28831</v>
      </c>
      <c r="N13278" t="s">
        <v>28838</v>
      </c>
      <c r="P13278" t="s">
        <v>28895</v>
      </c>
      <c r="R13278" s="26" t="str">
        <f>HYPERLINK("https://ictv.global/taxonomy/taxondetails?taxnode_id=202312933","Thogotovirus sinuense")</f>
        <v>Thogotovirus sinuense</v>
      </c>
      <c r="S13278" t="s">
        <v>30</v>
      </c>
      <c r="T13278" t="s">
        <v>28908</v>
      </c>
      <c r="U13278" t="s">
        <v>28909</v>
      </c>
      <c r="V13278" t="s">
        <v>28910</v>
      </c>
      <c r="W13278" t="s">
        <v>48725</v>
      </c>
      <c r="X13278" t="s">
        <v>42</v>
      </c>
      <c r="Y13278" t="s">
        <v>23964</v>
      </c>
      <c r="Z13278" t="s">
        <v>12289</v>
      </c>
      <c r="AA13278" s="22" t="str">
        <f>HYPERLINK("https://www.ncbi.nlm.nih.gov/nuccore/KX949586,KX949587,KX949588,KX949589,KX949590,KX949591","NCBI Nucleotide")</f>
        <v>NCBI Nucleotide</v>
      </c>
    </row>
    <row r="13279" spans="1:27" x14ac:dyDescent="0.35">
      <c r="A13279">
        <v>1001064</v>
      </c>
      <c r="B13279">
        <v>12396</v>
      </c>
      <c r="C13279">
        <v>1</v>
      </c>
      <c r="D13279" t="s">
        <v>17166</v>
      </c>
      <c r="F13279" t="s">
        <v>17246</v>
      </c>
      <c r="H13279" t="s">
        <v>23950</v>
      </c>
      <c r="I13279" t="s">
        <v>26604</v>
      </c>
      <c r="J13279" t="s">
        <v>28830</v>
      </c>
      <c r="L13279" t="s">
        <v>28831</v>
      </c>
      <c r="N13279" t="s">
        <v>28838</v>
      </c>
      <c r="P13279" t="s">
        <v>28895</v>
      </c>
      <c r="R13279" s="26" t="str">
        <f>HYPERLINK("https://ictv.global/taxonomy/taxondetails?taxnode_id=202312932","Thogotovirus thailandense")</f>
        <v>Thogotovirus thailandense</v>
      </c>
      <c r="S13279" t="s">
        <v>30</v>
      </c>
      <c r="T13279" t="s">
        <v>28911</v>
      </c>
      <c r="U13279" t="s">
        <v>28912</v>
      </c>
      <c r="V13279" t="s">
        <v>28913</v>
      </c>
      <c r="W13279" t="s">
        <v>28914</v>
      </c>
      <c r="X13279" t="s">
        <v>35</v>
      </c>
      <c r="Y13279" t="s">
        <v>23964</v>
      </c>
      <c r="Z13279" t="s">
        <v>12289</v>
      </c>
      <c r="AA13279" s="22" t="str">
        <f>HYPERLINK("https://www.ncbi.nlm.nih.gov/nuccore/MN095539,MN095540,MN095541,MN095542,MN095543,MN095544","NCBI Nucleotide")</f>
        <v>NCBI Nucleotide</v>
      </c>
    </row>
    <row r="13280" spans="1:27" x14ac:dyDescent="0.35">
      <c r="A13280">
        <v>1001065</v>
      </c>
      <c r="B13280">
        <v>12397</v>
      </c>
      <c r="C13280">
        <v>1</v>
      </c>
      <c r="D13280" t="s">
        <v>17166</v>
      </c>
      <c r="F13280" t="s">
        <v>17246</v>
      </c>
      <c r="H13280" t="s">
        <v>23950</v>
      </c>
      <c r="I13280" t="s">
        <v>26604</v>
      </c>
      <c r="J13280" t="s">
        <v>28830</v>
      </c>
      <c r="L13280" t="s">
        <v>28831</v>
      </c>
      <c r="N13280" t="s">
        <v>28838</v>
      </c>
      <c r="P13280" t="s">
        <v>28895</v>
      </c>
      <c r="R13280" s="26" t="str">
        <f>HYPERLINK("https://ictv.global/taxonomy/taxondetails?taxnode_id=202303970","Thogotovirus thogotoense")</f>
        <v>Thogotovirus thogotoense</v>
      </c>
      <c r="S13280" t="s">
        <v>30</v>
      </c>
      <c r="T13280" t="s">
        <v>28915</v>
      </c>
      <c r="U13280" t="s">
        <v>28916</v>
      </c>
      <c r="V13280" t="s">
        <v>28917</v>
      </c>
      <c r="W13280" t="s">
        <v>50726</v>
      </c>
      <c r="X13280" t="s">
        <v>42</v>
      </c>
      <c r="Y13280" t="s">
        <v>23964</v>
      </c>
      <c r="Z13280" t="s">
        <v>12289</v>
      </c>
      <c r="AA13280" s="22" t="str">
        <f>HYPERLINK("https://www.ncbi.nlm.nih.gov/nuccore/Y17873,AF004985,AF006073,M77280,X96872,AF527531","NCBI Nucleotide")</f>
        <v>NCBI Nucleotide</v>
      </c>
    </row>
    <row r="13281" spans="1:27" x14ac:dyDescent="0.35">
      <c r="A13281">
        <v>1001066</v>
      </c>
      <c r="B13281">
        <v>12398</v>
      </c>
      <c r="C13281">
        <v>1</v>
      </c>
      <c r="D13281" t="s">
        <v>17166</v>
      </c>
      <c r="F13281" t="s">
        <v>17246</v>
      </c>
      <c r="H13281" t="s">
        <v>23950</v>
      </c>
      <c r="I13281" t="s">
        <v>26604</v>
      </c>
      <c r="J13281" t="s">
        <v>28830</v>
      </c>
      <c r="L13281" t="s">
        <v>28831</v>
      </c>
      <c r="N13281" t="s">
        <v>28838</v>
      </c>
      <c r="P13281" t="s">
        <v>28895</v>
      </c>
      <c r="R13281" s="26" t="str">
        <f>HYPERLINK("https://ictv.global/taxonomy/taxondetails?taxnode_id=202312929","Thogotovirus upoluense")</f>
        <v>Thogotovirus upoluense</v>
      </c>
      <c r="S13281" t="s">
        <v>30</v>
      </c>
      <c r="T13281" t="s">
        <v>28918</v>
      </c>
      <c r="U13281" t="s">
        <v>28919</v>
      </c>
      <c r="W13281" t="s">
        <v>28920</v>
      </c>
      <c r="X13281" t="s">
        <v>42</v>
      </c>
      <c r="Y13281" t="s">
        <v>23964</v>
      </c>
      <c r="Z13281" t="s">
        <v>12289</v>
      </c>
      <c r="AA13281" s="22" t="str">
        <f>HYPERLINK("https://www.ncbi.nlm.nih.gov/nuccore/KC506156,KC506157,KC506158,KC506159,KC506160,KC506161","NCBI Nucleotide")</f>
        <v>NCBI Nucleotide</v>
      </c>
    </row>
    <row r="13282" spans="1:27" x14ac:dyDescent="0.35">
      <c r="A13282">
        <v>1001067</v>
      </c>
      <c r="B13282">
        <v>12399</v>
      </c>
      <c r="C13282">
        <v>1</v>
      </c>
      <c r="D13282" t="s">
        <v>17166</v>
      </c>
      <c r="F13282" t="s">
        <v>17246</v>
      </c>
      <c r="H13282" t="s">
        <v>23950</v>
      </c>
      <c r="N13282" t="s">
        <v>23951</v>
      </c>
      <c r="P13282" t="s">
        <v>23952</v>
      </c>
      <c r="R13282" s="26" t="str">
        <f>HYPERLINK("https://ictv.global/taxonomy/taxondetails?taxnode_id=202314180","Fraservirus testudinis")</f>
        <v>Fraservirus testudinis</v>
      </c>
      <c r="S13282" t="s">
        <v>30</v>
      </c>
      <c r="T13282" t="s">
        <v>23953</v>
      </c>
      <c r="U13282" t="s">
        <v>23954</v>
      </c>
      <c r="V13282">
        <v>2020</v>
      </c>
      <c r="W13282" t="s">
        <v>50871</v>
      </c>
      <c r="X13282" t="s">
        <v>35</v>
      </c>
      <c r="Y13282" t="s">
        <v>23955</v>
      </c>
      <c r="Z13282" t="s">
        <v>166</v>
      </c>
      <c r="AA13282" s="22" t="str">
        <f>HYPERLINK("https://www.ncbi.nlm.nih.gov/nuccore/MZ458543,MZ458542","NCBI Nucleotide")</f>
        <v>NCBI Nucleotide</v>
      </c>
    </row>
    <row r="13283" spans="1:27" x14ac:dyDescent="0.35">
      <c r="A13283">
        <v>1001068</v>
      </c>
      <c r="B13283">
        <v>12400</v>
      </c>
      <c r="C13283">
        <v>1</v>
      </c>
      <c r="D13283" t="s">
        <v>17166</v>
      </c>
      <c r="F13283" t="s">
        <v>17246</v>
      </c>
      <c r="H13283" t="s">
        <v>28921</v>
      </c>
      <c r="J13283" t="s">
        <v>28974</v>
      </c>
      <c r="L13283" t="s">
        <v>28975</v>
      </c>
      <c r="N13283" t="s">
        <v>28976</v>
      </c>
      <c r="P13283" t="s">
        <v>28977</v>
      </c>
      <c r="R13283" s="26" t="str">
        <f>HYPERLINK("https://ictv.global/taxonomy/taxondetails?taxnode_id=202306725","Amalgavirus allii")</f>
        <v>Amalgavirus allii</v>
      </c>
      <c r="S13283" t="s">
        <v>30</v>
      </c>
      <c r="T13283" t="s">
        <v>28978</v>
      </c>
      <c r="U13283" t="s">
        <v>28979</v>
      </c>
      <c r="V13283" t="s">
        <v>28980</v>
      </c>
      <c r="W13283" t="s">
        <v>28981</v>
      </c>
      <c r="X13283" t="s">
        <v>35</v>
      </c>
      <c r="Y13283" t="s">
        <v>17196</v>
      </c>
      <c r="Z13283" t="s">
        <v>13441</v>
      </c>
      <c r="AA13283" s="22" t="str">
        <f>HYPERLINK("https://www.ncbi.nlm.nih.gov/nuccore/BK010347","NCBI Nucleotide")</f>
        <v>NCBI Nucleotide</v>
      </c>
    </row>
    <row r="13284" spans="1:27" x14ac:dyDescent="0.35">
      <c r="A13284">
        <v>1001069</v>
      </c>
      <c r="B13284">
        <v>12401</v>
      </c>
      <c r="C13284">
        <v>1</v>
      </c>
      <c r="D13284" t="s">
        <v>17166</v>
      </c>
      <c r="F13284" t="s">
        <v>17246</v>
      </c>
      <c r="H13284" t="s">
        <v>28921</v>
      </c>
      <c r="J13284" t="s">
        <v>28974</v>
      </c>
      <c r="L13284" t="s">
        <v>28975</v>
      </c>
      <c r="N13284" t="s">
        <v>28976</v>
      </c>
      <c r="P13284" t="s">
        <v>28977</v>
      </c>
      <c r="R13284" s="26" t="str">
        <f>HYPERLINK("https://ictv.global/taxonomy/taxondetails?taxnode_id=202306726","Amalgavirus cepae")</f>
        <v>Amalgavirus cepae</v>
      </c>
      <c r="S13284" t="s">
        <v>30</v>
      </c>
      <c r="T13284" t="s">
        <v>28982</v>
      </c>
      <c r="U13284" t="s">
        <v>28983</v>
      </c>
      <c r="V13284" t="s">
        <v>28984</v>
      </c>
      <c r="W13284" t="s">
        <v>28985</v>
      </c>
      <c r="X13284" t="s">
        <v>35</v>
      </c>
      <c r="Y13284" t="s">
        <v>17196</v>
      </c>
      <c r="Z13284" t="s">
        <v>13441</v>
      </c>
      <c r="AA13284" s="22" t="str">
        <f>HYPERLINK("https://www.ncbi.nlm.nih.gov/nuccore/BK010348","NCBI Nucleotide")</f>
        <v>NCBI Nucleotide</v>
      </c>
    </row>
    <row r="13285" spans="1:27" x14ac:dyDescent="0.35">
      <c r="A13285">
        <v>1001070</v>
      </c>
      <c r="B13285">
        <v>12402</v>
      </c>
      <c r="C13285">
        <v>1</v>
      </c>
      <c r="D13285" t="s">
        <v>17166</v>
      </c>
      <c r="F13285" t="s">
        <v>17246</v>
      </c>
      <c r="H13285" t="s">
        <v>28921</v>
      </c>
      <c r="J13285" t="s">
        <v>28974</v>
      </c>
      <c r="L13285" t="s">
        <v>28975</v>
      </c>
      <c r="N13285" t="s">
        <v>28976</v>
      </c>
      <c r="P13285" t="s">
        <v>28977</v>
      </c>
      <c r="R13285" s="26" t="str">
        <f>HYPERLINK("https://ictv.global/taxonomy/taxondetails?taxnode_id=202302479","Amalgavirus lycopersici")</f>
        <v>Amalgavirus lycopersici</v>
      </c>
      <c r="S13285" t="s">
        <v>30</v>
      </c>
      <c r="T13285" t="s">
        <v>28986</v>
      </c>
      <c r="U13285" t="s">
        <v>28987</v>
      </c>
      <c r="V13285" t="s">
        <v>28988</v>
      </c>
      <c r="W13285" t="s">
        <v>28989</v>
      </c>
      <c r="X13285" t="s">
        <v>42</v>
      </c>
      <c r="Y13285" t="s">
        <v>17196</v>
      </c>
      <c r="Z13285" t="s">
        <v>13441</v>
      </c>
      <c r="AA13285" s="22" t="str">
        <f>HYPERLINK("https://www.ncbi.nlm.nih.gov/nuccore/EF442780","NCBI Nucleotide")</f>
        <v>NCBI Nucleotide</v>
      </c>
    </row>
    <row r="13286" spans="1:27" x14ac:dyDescent="0.35">
      <c r="A13286">
        <v>1001071</v>
      </c>
      <c r="B13286">
        <v>12403</v>
      </c>
      <c r="C13286">
        <v>1</v>
      </c>
      <c r="D13286" t="s">
        <v>17166</v>
      </c>
      <c r="F13286" t="s">
        <v>17246</v>
      </c>
      <c r="H13286" t="s">
        <v>28921</v>
      </c>
      <c r="J13286" t="s">
        <v>28974</v>
      </c>
      <c r="L13286" t="s">
        <v>28975</v>
      </c>
      <c r="N13286" t="s">
        <v>28976</v>
      </c>
      <c r="P13286" t="s">
        <v>28977</v>
      </c>
      <c r="R13286" s="26" t="str">
        <f>HYPERLINK("https://ictv.global/taxonomy/taxondetails?taxnode_id=202306729","Amalgavirus marinae")</f>
        <v>Amalgavirus marinae</v>
      </c>
      <c r="S13286" t="s">
        <v>30</v>
      </c>
      <c r="T13286" t="s">
        <v>28990</v>
      </c>
      <c r="U13286" t="s">
        <v>28991</v>
      </c>
      <c r="V13286" t="s">
        <v>28992</v>
      </c>
      <c r="W13286" t="s">
        <v>28993</v>
      </c>
      <c r="X13286" t="s">
        <v>35</v>
      </c>
      <c r="Y13286" t="s">
        <v>17196</v>
      </c>
      <c r="Z13286" t="s">
        <v>13441</v>
      </c>
      <c r="AA13286" s="22" t="str">
        <f>HYPERLINK("https://www.ncbi.nlm.nih.gov/nuccore/KY783317","NCBI Nucleotide")</f>
        <v>NCBI Nucleotide</v>
      </c>
    </row>
    <row r="13287" spans="1:27" x14ac:dyDescent="0.35">
      <c r="A13287">
        <v>1001072</v>
      </c>
      <c r="B13287">
        <v>12404</v>
      </c>
      <c r="C13287">
        <v>1</v>
      </c>
      <c r="D13287" t="s">
        <v>17166</v>
      </c>
      <c r="F13287" t="s">
        <v>17246</v>
      </c>
      <c r="H13287" t="s">
        <v>28921</v>
      </c>
      <c r="J13287" t="s">
        <v>28974</v>
      </c>
      <c r="L13287" t="s">
        <v>28975</v>
      </c>
      <c r="N13287" t="s">
        <v>28976</v>
      </c>
      <c r="P13287" t="s">
        <v>28977</v>
      </c>
      <c r="R13287" s="26" t="str">
        <f>HYPERLINK("https://ictv.global/taxonomy/taxondetails?taxnode_id=202302478","Amalgavirus rhododendri")</f>
        <v>Amalgavirus rhododendri</v>
      </c>
      <c r="S13287" t="s">
        <v>30</v>
      </c>
      <c r="T13287" t="s">
        <v>28994</v>
      </c>
      <c r="U13287" t="s">
        <v>28995</v>
      </c>
      <c r="V13287" t="s">
        <v>28996</v>
      </c>
      <c r="W13287" t="s">
        <v>28997</v>
      </c>
      <c r="X13287" t="s">
        <v>42</v>
      </c>
      <c r="Y13287" t="s">
        <v>17196</v>
      </c>
      <c r="Z13287" t="s">
        <v>13441</v>
      </c>
      <c r="AA13287" s="22" t="str">
        <f>HYPERLINK("https://www.ncbi.nlm.nih.gov/nuccore/HQ128706","NCBI Nucleotide")</f>
        <v>NCBI Nucleotide</v>
      </c>
    </row>
    <row r="13288" spans="1:27" x14ac:dyDescent="0.35">
      <c r="A13288">
        <v>1001073</v>
      </c>
      <c r="B13288">
        <v>12405</v>
      </c>
      <c r="C13288">
        <v>1</v>
      </c>
      <c r="D13288" t="s">
        <v>17166</v>
      </c>
      <c r="F13288" t="s">
        <v>17246</v>
      </c>
      <c r="H13288" t="s">
        <v>28921</v>
      </c>
      <c r="J13288" t="s">
        <v>28974</v>
      </c>
      <c r="L13288" t="s">
        <v>28975</v>
      </c>
      <c r="N13288" t="s">
        <v>28976</v>
      </c>
      <c r="P13288" t="s">
        <v>28977</v>
      </c>
      <c r="R13288" s="26" t="str">
        <f>HYPERLINK("https://ictv.global/taxonomy/taxondetails?taxnode_id=202306727","Amalgavirus spinaciae")</f>
        <v>Amalgavirus spinaciae</v>
      </c>
      <c r="S13288" t="s">
        <v>30</v>
      </c>
      <c r="T13288" t="s">
        <v>28998</v>
      </c>
      <c r="U13288" t="s">
        <v>28999</v>
      </c>
      <c r="V13288" t="s">
        <v>29000</v>
      </c>
      <c r="W13288" t="s">
        <v>29001</v>
      </c>
      <c r="X13288" t="s">
        <v>35</v>
      </c>
      <c r="Y13288" t="s">
        <v>17196</v>
      </c>
      <c r="Z13288" t="s">
        <v>13441</v>
      </c>
      <c r="AA13288" s="22" t="str">
        <f>HYPERLINK("https://www.ncbi.nlm.nih.gov/nuccore/KY695011","NCBI Nucleotide")</f>
        <v>NCBI Nucleotide</v>
      </c>
    </row>
    <row r="13289" spans="1:27" x14ac:dyDescent="0.35">
      <c r="A13289">
        <v>1001074</v>
      </c>
      <c r="B13289">
        <v>12406</v>
      </c>
      <c r="C13289">
        <v>1</v>
      </c>
      <c r="D13289" t="s">
        <v>17166</v>
      </c>
      <c r="F13289" t="s">
        <v>17246</v>
      </c>
      <c r="H13289" t="s">
        <v>28921</v>
      </c>
      <c r="J13289" t="s">
        <v>28974</v>
      </c>
      <c r="L13289" t="s">
        <v>28975</v>
      </c>
      <c r="N13289" t="s">
        <v>28976</v>
      </c>
      <c r="P13289" t="s">
        <v>28977</v>
      </c>
      <c r="R13289" s="26" t="str">
        <f>HYPERLINK("https://ictv.global/taxonomy/taxondetails?taxnode_id=202302477","Amalgavirus vaccinii")</f>
        <v>Amalgavirus vaccinii</v>
      </c>
      <c r="S13289" t="s">
        <v>30</v>
      </c>
      <c r="T13289" t="s">
        <v>29002</v>
      </c>
      <c r="U13289" t="s">
        <v>25683</v>
      </c>
      <c r="V13289" t="s">
        <v>29003</v>
      </c>
      <c r="W13289" t="s">
        <v>29004</v>
      </c>
      <c r="X13289" t="s">
        <v>42</v>
      </c>
      <c r="Y13289" t="s">
        <v>17196</v>
      </c>
      <c r="Z13289" t="s">
        <v>13441</v>
      </c>
      <c r="AA13289" s="22" t="str">
        <f>HYPERLINK("https://www.ncbi.nlm.nih.gov/nuccore/HM029246","NCBI Nucleotide")</f>
        <v>NCBI Nucleotide</v>
      </c>
    </row>
    <row r="13290" spans="1:27" x14ac:dyDescent="0.35">
      <c r="A13290">
        <v>1001075</v>
      </c>
      <c r="B13290">
        <v>12407</v>
      </c>
      <c r="C13290">
        <v>1</v>
      </c>
      <c r="D13290" t="s">
        <v>17166</v>
      </c>
      <c r="F13290" t="s">
        <v>17246</v>
      </c>
      <c r="H13290" t="s">
        <v>28921</v>
      </c>
      <c r="J13290" t="s">
        <v>28974</v>
      </c>
      <c r="L13290" t="s">
        <v>28975</v>
      </c>
      <c r="N13290" t="s">
        <v>28976</v>
      </c>
      <c r="P13290" t="s">
        <v>28977</v>
      </c>
      <c r="R13290" s="26" t="str">
        <f>HYPERLINK("https://ictv.global/taxonomy/taxondetails?taxnode_id=202302480","Amalgavirus viciae")</f>
        <v>Amalgavirus viciae</v>
      </c>
      <c r="S13290" t="s">
        <v>30</v>
      </c>
      <c r="T13290" t="s">
        <v>29005</v>
      </c>
      <c r="U13290" t="s">
        <v>29006</v>
      </c>
      <c r="V13290" t="s">
        <v>29007</v>
      </c>
      <c r="W13290" t="s">
        <v>29008</v>
      </c>
      <c r="X13290" t="s">
        <v>154</v>
      </c>
      <c r="Y13290" t="s">
        <v>17196</v>
      </c>
      <c r="Z13290" t="s">
        <v>13441</v>
      </c>
      <c r="AA13290" s="22" t="str">
        <f>HYPERLINK("https://www.ncbi.nlm.nih.gov/nuccore/EU371896","NCBI Nucleotide")</f>
        <v>NCBI Nucleotide</v>
      </c>
    </row>
    <row r="13291" spans="1:27" x14ac:dyDescent="0.35">
      <c r="A13291">
        <v>1001076</v>
      </c>
      <c r="B13291">
        <v>12408</v>
      </c>
      <c r="C13291">
        <v>1</v>
      </c>
      <c r="D13291" t="s">
        <v>17166</v>
      </c>
      <c r="F13291" t="s">
        <v>17246</v>
      </c>
      <c r="H13291" t="s">
        <v>28921</v>
      </c>
      <c r="J13291" t="s">
        <v>28974</v>
      </c>
      <c r="L13291" t="s">
        <v>28975</v>
      </c>
      <c r="N13291" t="s">
        <v>28976</v>
      </c>
      <c r="P13291" t="s">
        <v>28977</v>
      </c>
      <c r="R13291" s="26" t="str">
        <f>HYPERLINK("https://ictv.global/taxonomy/taxondetails?taxnode_id=202306728","Amalgavirus zosterae")</f>
        <v>Amalgavirus zosterae</v>
      </c>
      <c r="S13291" t="s">
        <v>30</v>
      </c>
      <c r="T13291" t="s">
        <v>29009</v>
      </c>
      <c r="U13291" t="s">
        <v>29010</v>
      </c>
      <c r="V13291" t="s">
        <v>29011</v>
      </c>
      <c r="W13291" t="s">
        <v>29012</v>
      </c>
      <c r="X13291" t="s">
        <v>35</v>
      </c>
      <c r="Y13291" t="s">
        <v>17196</v>
      </c>
      <c r="Z13291" t="s">
        <v>13441</v>
      </c>
      <c r="AA13291" s="22" t="str">
        <f>HYPERLINK("https://www.ncbi.nlm.nih.gov/nuccore/KY783316","NCBI Nucleotide")</f>
        <v>NCBI Nucleotide</v>
      </c>
    </row>
    <row r="13292" spans="1:27" x14ac:dyDescent="0.35">
      <c r="A13292">
        <v>1001077</v>
      </c>
      <c r="B13292">
        <v>12409</v>
      </c>
      <c r="C13292">
        <v>1</v>
      </c>
      <c r="D13292" t="s">
        <v>17166</v>
      </c>
      <c r="F13292" t="s">
        <v>17246</v>
      </c>
      <c r="H13292" t="s">
        <v>28921</v>
      </c>
      <c r="J13292" t="s">
        <v>28974</v>
      </c>
      <c r="L13292" t="s">
        <v>28975</v>
      </c>
      <c r="N13292" t="s">
        <v>28976</v>
      </c>
      <c r="P13292" t="s">
        <v>29013</v>
      </c>
      <c r="R13292" s="26" t="str">
        <f>HYPERLINK("https://ictv.global/taxonomy/taxondetails?taxnode_id=202306731","Zybavirus bailii")</f>
        <v>Zybavirus bailii</v>
      </c>
      <c r="S13292" t="s">
        <v>30</v>
      </c>
      <c r="T13292" t="s">
        <v>29014</v>
      </c>
      <c r="U13292" t="s">
        <v>29015</v>
      </c>
      <c r="V13292">
        <v>412</v>
      </c>
      <c r="W13292" t="s">
        <v>29016</v>
      </c>
      <c r="X13292" t="s">
        <v>42</v>
      </c>
      <c r="Y13292" t="s">
        <v>17196</v>
      </c>
      <c r="Z13292" t="s">
        <v>16721</v>
      </c>
      <c r="AA13292" s="22" t="str">
        <f>HYPERLINK("https://www.ncbi.nlm.nih.gov/nuccore/KU200450","NCBI Nucleotide")</f>
        <v>NCBI Nucleotide</v>
      </c>
    </row>
    <row r="13293" spans="1:27" x14ac:dyDescent="0.35">
      <c r="A13293">
        <v>1001080</v>
      </c>
      <c r="B13293">
        <v>12410</v>
      </c>
      <c r="C13293">
        <v>1</v>
      </c>
      <c r="D13293" t="s">
        <v>17166</v>
      </c>
      <c r="F13293" t="s">
        <v>17246</v>
      </c>
      <c r="H13293" t="s">
        <v>28921</v>
      </c>
      <c r="J13293" t="s">
        <v>28974</v>
      </c>
      <c r="L13293" t="s">
        <v>28975</v>
      </c>
      <c r="N13293" t="s">
        <v>29017</v>
      </c>
      <c r="P13293" t="s">
        <v>29018</v>
      </c>
      <c r="R13293" s="26" t="str">
        <f>HYPERLINK("https://ictv.global/taxonomy/taxondetails?taxnode_id=202308785","Orthocurvulavirus annosi")</f>
        <v>Orthocurvulavirus annosi</v>
      </c>
      <c r="S13293" t="s">
        <v>30</v>
      </c>
      <c r="T13293" t="s">
        <v>29025</v>
      </c>
      <c r="U13293" t="s">
        <v>29026</v>
      </c>
      <c r="V13293" t="s">
        <v>29027</v>
      </c>
      <c r="W13293" t="s">
        <v>29028</v>
      </c>
      <c r="X13293" t="s">
        <v>42</v>
      </c>
      <c r="Y13293" t="s">
        <v>17196</v>
      </c>
      <c r="Z13293" t="s">
        <v>16721</v>
      </c>
      <c r="AA13293" s="22" t="str">
        <f>HYPERLINK("https://www.ncbi.nlm.nih.gov/nuccore/HQ189459,MK468678","NCBI Nucleotide")</f>
        <v>NCBI Nucleotide</v>
      </c>
    </row>
    <row r="13294" spans="1:27" x14ac:dyDescent="0.35">
      <c r="A13294">
        <v>1001078</v>
      </c>
      <c r="B13294">
        <v>12411</v>
      </c>
      <c r="C13294">
        <v>1</v>
      </c>
      <c r="D13294" t="s">
        <v>17166</v>
      </c>
      <c r="F13294" t="s">
        <v>17246</v>
      </c>
      <c r="H13294" t="s">
        <v>28921</v>
      </c>
      <c r="J13294" t="s">
        <v>28974</v>
      </c>
      <c r="L13294" t="s">
        <v>28975</v>
      </c>
      <c r="N13294" t="s">
        <v>29017</v>
      </c>
      <c r="P13294" t="s">
        <v>29018</v>
      </c>
      <c r="R13294" s="26" t="str">
        <f>HYPERLINK("https://ictv.global/taxonomy/taxondetails?taxnode_id=202308783","Orthocurvulavirus curvulariae")</f>
        <v>Orthocurvulavirus curvulariae</v>
      </c>
      <c r="S13294" t="s">
        <v>30</v>
      </c>
      <c r="T13294" t="s">
        <v>29019</v>
      </c>
      <c r="U13294" t="s">
        <v>29020</v>
      </c>
      <c r="W13294" t="s">
        <v>29021</v>
      </c>
      <c r="X13294" t="s">
        <v>42</v>
      </c>
      <c r="Y13294" t="s">
        <v>17196</v>
      </c>
      <c r="Z13294" t="s">
        <v>16721</v>
      </c>
      <c r="AA13294" s="22" t="str">
        <f>HYPERLINK("https://www.ncbi.nlm.nih.gov/nuccore/EF120984,EF120985","NCBI Nucleotide")</f>
        <v>NCBI Nucleotide</v>
      </c>
    </row>
    <row r="13295" spans="1:27" x14ac:dyDescent="0.35">
      <c r="A13295">
        <v>1001079</v>
      </c>
      <c r="B13295">
        <v>12412</v>
      </c>
      <c r="C13295">
        <v>1</v>
      </c>
      <c r="D13295" t="s">
        <v>17166</v>
      </c>
      <c r="F13295" t="s">
        <v>17246</v>
      </c>
      <c r="H13295" t="s">
        <v>28921</v>
      </c>
      <c r="J13295" t="s">
        <v>28974</v>
      </c>
      <c r="L13295" t="s">
        <v>28975</v>
      </c>
      <c r="N13295" t="s">
        <v>29017</v>
      </c>
      <c r="P13295" t="s">
        <v>29018</v>
      </c>
      <c r="R13295" s="26" t="str">
        <f>HYPERLINK("https://ictv.global/taxonomy/taxondetails?taxnode_id=202308784","Orthocurvulavirus fusarii")</f>
        <v>Orthocurvulavirus fusarii</v>
      </c>
      <c r="S13295" t="s">
        <v>30</v>
      </c>
      <c r="T13295" t="s">
        <v>29022</v>
      </c>
      <c r="U13295" t="s">
        <v>29023</v>
      </c>
      <c r="W13295" t="s">
        <v>29024</v>
      </c>
      <c r="X13295" t="s">
        <v>42</v>
      </c>
      <c r="Y13295" t="s">
        <v>17196</v>
      </c>
      <c r="Z13295" t="s">
        <v>16721</v>
      </c>
      <c r="AA13295" s="22" t="str">
        <f>HYPERLINK("https://www.ncbi.nlm.nih.gov/nuccore/GQ140627,GQ140628","NCBI Nucleotide")</f>
        <v>NCBI Nucleotide</v>
      </c>
    </row>
    <row r="13296" spans="1:27" x14ac:dyDescent="0.35">
      <c r="A13296">
        <v>1001083</v>
      </c>
      <c r="B13296">
        <v>12413</v>
      </c>
      <c r="C13296">
        <v>1</v>
      </c>
      <c r="D13296" t="s">
        <v>17166</v>
      </c>
      <c r="F13296" t="s">
        <v>17246</v>
      </c>
      <c r="H13296" t="s">
        <v>28921</v>
      </c>
      <c r="J13296" t="s">
        <v>28974</v>
      </c>
      <c r="L13296" t="s">
        <v>28975</v>
      </c>
      <c r="N13296" t="s">
        <v>29017</v>
      </c>
      <c r="P13296" t="s">
        <v>29018</v>
      </c>
      <c r="R13296" s="26" t="str">
        <f>HYPERLINK("https://ictv.global/taxonomy/taxondetails?taxnode_id=202308788","Orthocurvulavirus rhizoctoniae")</f>
        <v>Orthocurvulavirus rhizoctoniae</v>
      </c>
      <c r="S13296" t="s">
        <v>30</v>
      </c>
      <c r="T13296" t="s">
        <v>29037</v>
      </c>
      <c r="U13296" t="s">
        <v>29038</v>
      </c>
      <c r="W13296" t="s">
        <v>29039</v>
      </c>
      <c r="X13296" t="s">
        <v>42</v>
      </c>
      <c r="Y13296" t="s">
        <v>17196</v>
      </c>
      <c r="Z13296" t="s">
        <v>16721</v>
      </c>
      <c r="AA13296" s="22" t="str">
        <f>HYPERLINK("https://www.ncbi.nlm.nih.gov/nuccore/JX976612,JX976613","NCBI Nucleotide")</f>
        <v>NCBI Nucleotide</v>
      </c>
    </row>
    <row r="13297" spans="1:27" x14ac:dyDescent="0.35">
      <c r="A13297">
        <v>1001081</v>
      </c>
      <c r="B13297">
        <v>12414</v>
      </c>
      <c r="C13297">
        <v>1</v>
      </c>
      <c r="D13297" t="s">
        <v>17166</v>
      </c>
      <c r="F13297" t="s">
        <v>17246</v>
      </c>
      <c r="H13297" t="s">
        <v>28921</v>
      </c>
      <c r="J13297" t="s">
        <v>28974</v>
      </c>
      <c r="L13297" t="s">
        <v>28975</v>
      </c>
      <c r="N13297" t="s">
        <v>29017</v>
      </c>
      <c r="P13297" t="s">
        <v>29018</v>
      </c>
      <c r="R13297" s="26" t="str">
        <f>HYPERLINK("https://ictv.global/taxonomy/taxondetails?taxnode_id=202308786","Orthocurvulavirus rufi")</f>
        <v>Orthocurvulavirus rufi</v>
      </c>
      <c r="S13297" t="s">
        <v>30</v>
      </c>
      <c r="T13297" t="s">
        <v>29029</v>
      </c>
      <c r="U13297" t="s">
        <v>29030</v>
      </c>
      <c r="V13297" t="s">
        <v>29031</v>
      </c>
      <c r="W13297" t="s">
        <v>29032</v>
      </c>
      <c r="X13297" t="s">
        <v>42</v>
      </c>
      <c r="Y13297" t="s">
        <v>17196</v>
      </c>
      <c r="Z13297" t="s">
        <v>16721</v>
      </c>
      <c r="AA13297" s="22" t="str">
        <f>HYPERLINK("https://www.ncbi.nlm.nih.gov/nuccore/MT130415,MT130416","NCBI Nucleotide")</f>
        <v>NCBI Nucleotide</v>
      </c>
    </row>
    <row r="13298" spans="1:27" x14ac:dyDescent="0.35">
      <c r="A13298">
        <v>1001084</v>
      </c>
      <c r="B13298">
        <v>12415</v>
      </c>
      <c r="C13298">
        <v>1</v>
      </c>
      <c r="D13298" t="s">
        <v>17166</v>
      </c>
      <c r="F13298" t="s">
        <v>17246</v>
      </c>
      <c r="H13298" t="s">
        <v>28921</v>
      </c>
      <c r="J13298" t="s">
        <v>28974</v>
      </c>
      <c r="L13298" t="s">
        <v>28975</v>
      </c>
      <c r="N13298" t="s">
        <v>29017</v>
      </c>
      <c r="P13298" t="s">
        <v>29018</v>
      </c>
      <c r="R13298" s="26" t="str">
        <f>HYPERLINK("https://ictv.global/taxonomy/taxondetails?taxnode_id=202308789","Orthocurvulavirus sclerotiniae")</f>
        <v>Orthocurvulavirus sclerotiniae</v>
      </c>
      <c r="S13298" t="s">
        <v>30</v>
      </c>
      <c r="T13298" t="s">
        <v>29040</v>
      </c>
      <c r="U13298" t="s">
        <v>29041</v>
      </c>
      <c r="V13298" t="s">
        <v>29042</v>
      </c>
      <c r="W13298" t="s">
        <v>29043</v>
      </c>
      <c r="X13298" t="s">
        <v>42</v>
      </c>
      <c r="Y13298" t="s">
        <v>17196</v>
      </c>
      <c r="Z13298" t="s">
        <v>16721</v>
      </c>
      <c r="AA13298" s="22" t="str">
        <f>HYPERLINK("https://www.ncbi.nlm.nih.gov/nuccore/KU886558,KU886559","NCBI Nucleotide")</f>
        <v>NCBI Nucleotide</v>
      </c>
    </row>
    <row r="13299" spans="1:27" x14ac:dyDescent="0.35">
      <c r="A13299">
        <v>1001082</v>
      </c>
      <c r="B13299">
        <v>12416</v>
      </c>
      <c r="C13299">
        <v>1</v>
      </c>
      <c r="D13299" t="s">
        <v>17166</v>
      </c>
      <c r="F13299" t="s">
        <v>17246</v>
      </c>
      <c r="H13299" t="s">
        <v>28921</v>
      </c>
      <c r="J13299" t="s">
        <v>28974</v>
      </c>
      <c r="L13299" t="s">
        <v>28975</v>
      </c>
      <c r="N13299" t="s">
        <v>29017</v>
      </c>
      <c r="P13299" t="s">
        <v>29018</v>
      </c>
      <c r="R13299" s="26" t="str">
        <f>HYPERLINK("https://ictv.global/taxonomy/taxondetails?taxnode_id=202308787","Orthocurvulavirus tabidi")</f>
        <v>Orthocurvulavirus tabidi</v>
      </c>
      <c r="S13299" t="s">
        <v>30</v>
      </c>
      <c r="T13299" t="s">
        <v>29033</v>
      </c>
      <c r="U13299" t="s">
        <v>29034</v>
      </c>
      <c r="V13299" t="s">
        <v>29035</v>
      </c>
      <c r="W13299" t="s">
        <v>29036</v>
      </c>
      <c r="X13299" t="s">
        <v>42</v>
      </c>
      <c r="Y13299" t="s">
        <v>17196</v>
      </c>
      <c r="Z13299" t="s">
        <v>16721</v>
      </c>
      <c r="AA13299" s="22" t="str">
        <f>HYPERLINK("https://www.ncbi.nlm.nih.gov/nuccore/KT733084,MG596785","NCBI Nucleotide")</f>
        <v>NCBI Nucleotide</v>
      </c>
    </row>
    <row r="13300" spans="1:27" x14ac:dyDescent="0.35">
      <c r="A13300">
        <v>1001085</v>
      </c>
      <c r="B13300">
        <v>12417</v>
      </c>
      <c r="C13300">
        <v>1</v>
      </c>
      <c r="D13300" t="s">
        <v>17166</v>
      </c>
      <c r="F13300" t="s">
        <v>17246</v>
      </c>
      <c r="H13300" t="s">
        <v>28921</v>
      </c>
      <c r="J13300" t="s">
        <v>28974</v>
      </c>
      <c r="L13300" t="s">
        <v>28975</v>
      </c>
      <c r="N13300" t="s">
        <v>29017</v>
      </c>
      <c r="P13300" t="s">
        <v>29018</v>
      </c>
      <c r="R13300" s="26" t="str">
        <f>HYPERLINK("https://ictv.global/taxonomy/taxondetails?taxnode_id=202308790","Orthocurvulavirus trichodermae")</f>
        <v>Orthocurvulavirus trichodermae</v>
      </c>
      <c r="S13300" t="s">
        <v>30</v>
      </c>
      <c r="T13300" t="s">
        <v>29044</v>
      </c>
      <c r="U13300" t="s">
        <v>29045</v>
      </c>
      <c r="V13300">
        <v>137</v>
      </c>
      <c r="W13300" t="s">
        <v>29046</v>
      </c>
      <c r="X13300" t="s">
        <v>42</v>
      </c>
      <c r="Y13300" t="s">
        <v>17196</v>
      </c>
      <c r="Z13300" t="s">
        <v>16721</v>
      </c>
      <c r="AA13300" s="22" t="str">
        <f>HYPERLINK("https://www.ncbi.nlm.nih.gov/nuccore/MH536648,MH536649","NCBI Nucleotide")</f>
        <v>NCBI Nucleotide</v>
      </c>
    </row>
    <row r="13301" spans="1:27" x14ac:dyDescent="0.35">
      <c r="A13301">
        <v>1001086</v>
      </c>
      <c r="B13301">
        <v>12418</v>
      </c>
      <c r="C13301">
        <v>1</v>
      </c>
      <c r="D13301" t="s">
        <v>17166</v>
      </c>
      <c r="F13301" t="s">
        <v>17246</v>
      </c>
      <c r="H13301" t="s">
        <v>28921</v>
      </c>
      <c r="J13301" t="s">
        <v>28974</v>
      </c>
      <c r="L13301" t="s">
        <v>28975</v>
      </c>
      <c r="N13301" t="s">
        <v>29047</v>
      </c>
      <c r="P13301" t="s">
        <v>29048</v>
      </c>
      <c r="R13301" s="26" t="str">
        <f>HYPERLINK("https://ictv.global/taxonomy/taxondetails?taxnode_id=202313713","Alphafusarivirus agarici")</f>
        <v>Alphafusarivirus agarici</v>
      </c>
      <c r="S13301" t="s">
        <v>30</v>
      </c>
      <c r="T13301" t="s">
        <v>29049</v>
      </c>
      <c r="U13301" t="s">
        <v>29050</v>
      </c>
      <c r="V13301">
        <v>3</v>
      </c>
      <c r="W13301" t="s">
        <v>29051</v>
      </c>
      <c r="X13301" t="s">
        <v>35</v>
      </c>
      <c r="Y13301" t="s">
        <v>17171</v>
      </c>
      <c r="Z13301" t="s">
        <v>16721</v>
      </c>
      <c r="AA13301" s="22" t="str">
        <f>HYPERLINK("https://www.ncbi.nlm.nih.gov/nuccore/KY357495","NCBI Nucleotide")</f>
        <v>NCBI Nucleotide</v>
      </c>
    </row>
    <row r="13302" spans="1:27" x14ac:dyDescent="0.35">
      <c r="A13302">
        <v>1001087</v>
      </c>
      <c r="B13302">
        <v>12419</v>
      </c>
      <c r="C13302">
        <v>1</v>
      </c>
      <c r="D13302" t="s">
        <v>17166</v>
      </c>
      <c r="F13302" t="s">
        <v>17246</v>
      </c>
      <c r="H13302" t="s">
        <v>28921</v>
      </c>
      <c r="J13302" t="s">
        <v>28974</v>
      </c>
      <c r="L13302" t="s">
        <v>28975</v>
      </c>
      <c r="N13302" t="s">
        <v>29047</v>
      </c>
      <c r="P13302" t="s">
        <v>29048</v>
      </c>
      <c r="R13302" s="26" t="str">
        <f>HYPERLINK("https://ictv.global/taxonomy/taxondetails?taxnode_id=202313715","Alphafusarivirus aspergilli")</f>
        <v>Alphafusarivirus aspergilli</v>
      </c>
      <c r="S13302" t="s">
        <v>30</v>
      </c>
      <c r="T13302" t="s">
        <v>29052</v>
      </c>
      <c r="U13302" t="s">
        <v>29053</v>
      </c>
      <c r="V13302" t="s">
        <v>47277</v>
      </c>
      <c r="W13302" t="s">
        <v>29054</v>
      </c>
      <c r="X13302" t="s">
        <v>35</v>
      </c>
      <c r="Y13302" t="s">
        <v>17171</v>
      </c>
      <c r="Z13302" t="s">
        <v>16721</v>
      </c>
      <c r="AA13302" s="22" t="str">
        <f>HYPERLINK("https://www.ncbi.nlm.nih.gov/nuccore/MK279500","NCBI Nucleotide")</f>
        <v>NCBI Nucleotide</v>
      </c>
    </row>
    <row r="13303" spans="1:27" x14ac:dyDescent="0.35">
      <c r="A13303">
        <v>1001088</v>
      </c>
      <c r="B13303">
        <v>12420</v>
      </c>
      <c r="C13303">
        <v>1</v>
      </c>
      <c r="D13303" t="s">
        <v>17166</v>
      </c>
      <c r="F13303" t="s">
        <v>17246</v>
      </c>
      <c r="H13303" t="s">
        <v>28921</v>
      </c>
      <c r="J13303" t="s">
        <v>28974</v>
      </c>
      <c r="L13303" t="s">
        <v>28975</v>
      </c>
      <c r="N13303" t="s">
        <v>29047</v>
      </c>
      <c r="P13303" t="s">
        <v>29048</v>
      </c>
      <c r="R13303" s="26" t="str">
        <f>HYPERLINK("https://ictv.global/taxonomy/taxondetails?taxnode_id=202313716","Alphafusarivirus auriculariae")</f>
        <v>Alphafusarivirus auriculariae</v>
      </c>
      <c r="S13303" t="s">
        <v>30</v>
      </c>
      <c r="T13303" t="s">
        <v>29055</v>
      </c>
      <c r="U13303" t="s">
        <v>29056</v>
      </c>
      <c r="V13303" t="s">
        <v>29057</v>
      </c>
      <c r="W13303" t="s">
        <v>29058</v>
      </c>
      <c r="X13303" t="s">
        <v>35</v>
      </c>
      <c r="Y13303" t="s">
        <v>17171</v>
      </c>
      <c r="Z13303" t="s">
        <v>16721</v>
      </c>
      <c r="AA13303" s="22" t="str">
        <f>HYPERLINK("https://www.ncbi.nlm.nih.gov/nuccore/MT232758","NCBI Nucleotide")</f>
        <v>NCBI Nucleotide</v>
      </c>
    </row>
    <row r="13304" spans="1:27" x14ac:dyDescent="0.35">
      <c r="A13304">
        <v>1001089</v>
      </c>
      <c r="B13304">
        <v>12421</v>
      </c>
      <c r="C13304">
        <v>1</v>
      </c>
      <c r="D13304" t="s">
        <v>17166</v>
      </c>
      <c r="F13304" t="s">
        <v>17246</v>
      </c>
      <c r="H13304" t="s">
        <v>28921</v>
      </c>
      <c r="J13304" t="s">
        <v>28974</v>
      </c>
      <c r="L13304" t="s">
        <v>28975</v>
      </c>
      <c r="N13304" t="s">
        <v>29047</v>
      </c>
      <c r="P13304" t="s">
        <v>29048</v>
      </c>
      <c r="R13304" s="26" t="str">
        <f>HYPERLINK("https://ictv.global/taxonomy/taxondetails?taxnode_id=202313717","Alphafusarivirus botryospheriae")</f>
        <v>Alphafusarivirus botryospheriae</v>
      </c>
      <c r="S13304" t="s">
        <v>30</v>
      </c>
      <c r="T13304" t="s">
        <v>29059</v>
      </c>
      <c r="U13304" t="s">
        <v>29060</v>
      </c>
      <c r="V13304" t="s">
        <v>29061</v>
      </c>
      <c r="W13304" t="s">
        <v>29062</v>
      </c>
      <c r="X13304" t="s">
        <v>42</v>
      </c>
      <c r="Y13304" t="s">
        <v>17171</v>
      </c>
      <c r="Z13304" t="s">
        <v>16721</v>
      </c>
      <c r="AA13304" s="22" t="str">
        <f>HYPERLINK("https://www.ncbi.nlm.nih.gov/nuccore/MN560974","NCBI Nucleotide")</f>
        <v>NCBI Nucleotide</v>
      </c>
    </row>
    <row r="13305" spans="1:27" x14ac:dyDescent="0.35">
      <c r="A13305">
        <v>1001090</v>
      </c>
      <c r="B13305">
        <v>12422</v>
      </c>
      <c r="C13305">
        <v>1</v>
      </c>
      <c r="D13305" t="s">
        <v>17166</v>
      </c>
      <c r="F13305" t="s">
        <v>17246</v>
      </c>
      <c r="H13305" t="s">
        <v>28921</v>
      </c>
      <c r="J13305" t="s">
        <v>28974</v>
      </c>
      <c r="L13305" t="s">
        <v>28975</v>
      </c>
      <c r="N13305" t="s">
        <v>29047</v>
      </c>
      <c r="P13305" t="s">
        <v>29048</v>
      </c>
      <c r="R13305" s="26" t="str">
        <f>HYPERLINK("https://ictv.global/taxonomy/taxondetails?taxnode_id=202313718","Alphafusarivirus botrytidis")</f>
        <v>Alphafusarivirus botrytidis</v>
      </c>
      <c r="S13305" t="s">
        <v>30</v>
      </c>
      <c r="T13305" t="s">
        <v>29063</v>
      </c>
      <c r="U13305" t="s">
        <v>29064</v>
      </c>
      <c r="V13305" t="s">
        <v>29065</v>
      </c>
      <c r="W13305" t="s">
        <v>29066</v>
      </c>
      <c r="X13305" t="s">
        <v>35</v>
      </c>
      <c r="Y13305" t="s">
        <v>17171</v>
      </c>
      <c r="Z13305" t="s">
        <v>16721</v>
      </c>
      <c r="AA13305" s="22" t="str">
        <f>HYPERLINK("https://www.ncbi.nlm.nih.gov/nuccore/MN617764","NCBI Nucleotide")</f>
        <v>NCBI Nucleotide</v>
      </c>
    </row>
    <row r="13306" spans="1:27" x14ac:dyDescent="0.35">
      <c r="A13306">
        <v>1001091</v>
      </c>
      <c r="B13306">
        <v>12423</v>
      </c>
      <c r="C13306">
        <v>1</v>
      </c>
      <c r="D13306" t="s">
        <v>17166</v>
      </c>
      <c r="F13306" t="s">
        <v>17246</v>
      </c>
      <c r="H13306" t="s">
        <v>28921</v>
      </c>
      <c r="J13306" t="s">
        <v>28974</v>
      </c>
      <c r="L13306" t="s">
        <v>28975</v>
      </c>
      <c r="N13306" t="s">
        <v>29047</v>
      </c>
      <c r="P13306" t="s">
        <v>29048</v>
      </c>
      <c r="R13306" s="26" t="str">
        <f>HYPERLINK("https://ictv.global/taxonomy/taxondetails?taxnode_id=202313719","Alphafusarivirus fusarii")</f>
        <v>Alphafusarivirus fusarii</v>
      </c>
      <c r="S13306" t="s">
        <v>30</v>
      </c>
      <c r="T13306" t="s">
        <v>47278</v>
      </c>
      <c r="U13306" t="s">
        <v>29067</v>
      </c>
      <c r="V13306" t="s">
        <v>29068</v>
      </c>
      <c r="W13306" t="s">
        <v>29069</v>
      </c>
      <c r="X13306" t="s">
        <v>42</v>
      </c>
      <c r="Y13306" t="s">
        <v>17171</v>
      </c>
      <c r="Z13306" t="s">
        <v>16721</v>
      </c>
      <c r="AA13306" s="22" t="str">
        <f>HYPERLINK("https://www.ncbi.nlm.nih.gov/nuccore/AY533037","NCBI Nucleotide")</f>
        <v>NCBI Nucleotide</v>
      </c>
    </row>
    <row r="13307" spans="1:27" x14ac:dyDescent="0.35">
      <c r="A13307">
        <v>1001092</v>
      </c>
      <c r="B13307">
        <v>12424</v>
      </c>
      <c r="C13307">
        <v>1</v>
      </c>
      <c r="D13307" t="s">
        <v>17166</v>
      </c>
      <c r="F13307" t="s">
        <v>17246</v>
      </c>
      <c r="H13307" t="s">
        <v>28921</v>
      </c>
      <c r="J13307" t="s">
        <v>28974</v>
      </c>
      <c r="L13307" t="s">
        <v>28975</v>
      </c>
      <c r="N13307" t="s">
        <v>29047</v>
      </c>
      <c r="P13307" t="s">
        <v>29048</v>
      </c>
      <c r="R13307" s="26" t="str">
        <f>HYPERLINK("https://ictv.global/taxonomy/taxondetails?taxnode_id=202313720","Alphafusarivirus ioaponiae")</f>
        <v>Alphafusarivirus ioaponiae</v>
      </c>
      <c r="S13307" t="s">
        <v>30</v>
      </c>
      <c r="T13307" t="s">
        <v>29070</v>
      </c>
      <c r="U13307" t="s">
        <v>29071</v>
      </c>
      <c r="V13307" t="s">
        <v>20997</v>
      </c>
      <c r="W13307" t="s">
        <v>29072</v>
      </c>
      <c r="X13307" t="s">
        <v>42</v>
      </c>
      <c r="Y13307" t="s">
        <v>17171</v>
      </c>
      <c r="Z13307" t="s">
        <v>16721</v>
      </c>
      <c r="AA13307" s="22" t="str">
        <f>HYPERLINK("https://www.ncbi.nlm.nih.gov/nuccore/LC150611","NCBI Nucleotide")</f>
        <v>NCBI Nucleotide</v>
      </c>
    </row>
    <row r="13308" spans="1:27" x14ac:dyDescent="0.35">
      <c r="A13308">
        <v>1001093</v>
      </c>
      <c r="B13308">
        <v>12425</v>
      </c>
      <c r="C13308">
        <v>1</v>
      </c>
      <c r="D13308" t="s">
        <v>17166</v>
      </c>
      <c r="F13308" t="s">
        <v>17246</v>
      </c>
      <c r="H13308" t="s">
        <v>28921</v>
      </c>
      <c r="J13308" t="s">
        <v>28974</v>
      </c>
      <c r="L13308" t="s">
        <v>28975</v>
      </c>
      <c r="N13308" t="s">
        <v>29047</v>
      </c>
      <c r="P13308" t="s">
        <v>29048</v>
      </c>
      <c r="R13308" s="26" t="str">
        <f>HYPERLINK("https://ictv.global/taxonomy/taxondetails?taxnode_id=202313727","Alphafusarivirus italiae")</f>
        <v>Alphafusarivirus italiae</v>
      </c>
      <c r="S13308" t="s">
        <v>30</v>
      </c>
      <c r="T13308" t="s">
        <v>29073</v>
      </c>
      <c r="U13308" t="s">
        <v>29074</v>
      </c>
      <c r="V13308" t="s">
        <v>29075</v>
      </c>
      <c r="W13308" t="s">
        <v>29076</v>
      </c>
      <c r="X13308" t="s">
        <v>35</v>
      </c>
      <c r="Y13308" t="s">
        <v>17171</v>
      </c>
      <c r="Z13308" t="s">
        <v>17496</v>
      </c>
      <c r="AA13308" s="22" t="str">
        <f>HYPERLINK("https://www.ncbi.nlm.nih.gov/nuccore/MN551105","NCBI Nucleotide")</f>
        <v>NCBI Nucleotide</v>
      </c>
    </row>
    <row r="13309" spans="1:27" x14ac:dyDescent="0.35">
      <c r="A13309">
        <v>1001094</v>
      </c>
      <c r="B13309">
        <v>12426</v>
      </c>
      <c r="C13309">
        <v>1</v>
      </c>
      <c r="D13309" t="s">
        <v>17166</v>
      </c>
      <c r="F13309" t="s">
        <v>17246</v>
      </c>
      <c r="H13309" t="s">
        <v>28921</v>
      </c>
      <c r="J13309" t="s">
        <v>28974</v>
      </c>
      <c r="L13309" t="s">
        <v>28975</v>
      </c>
      <c r="N13309" t="s">
        <v>29047</v>
      </c>
      <c r="P13309" t="s">
        <v>29048</v>
      </c>
      <c r="R13309" s="26" t="str">
        <f>HYPERLINK("https://ictv.global/taxonomy/taxondetails?taxnode_id=202313721","Alphafusarivirus macrophominae")</f>
        <v>Alphafusarivirus macrophominae</v>
      </c>
      <c r="S13309" t="s">
        <v>30</v>
      </c>
      <c r="T13309" t="s">
        <v>29077</v>
      </c>
      <c r="U13309" t="s">
        <v>29078</v>
      </c>
      <c r="V13309" t="s">
        <v>29079</v>
      </c>
      <c r="W13309" t="s">
        <v>29080</v>
      </c>
      <c r="X13309" t="s">
        <v>35</v>
      </c>
      <c r="Y13309" t="s">
        <v>17171</v>
      </c>
      <c r="Z13309" t="s">
        <v>16721</v>
      </c>
      <c r="AA13309" s="22" t="str">
        <f>HYPERLINK("https://www.ncbi.nlm.nih.gov/nuccore/KP900890","NCBI Nucleotide")</f>
        <v>NCBI Nucleotide</v>
      </c>
    </row>
    <row r="13310" spans="1:27" x14ac:dyDescent="0.35">
      <c r="A13310">
        <v>1001095</v>
      </c>
      <c r="B13310">
        <v>12427</v>
      </c>
      <c r="C13310">
        <v>1</v>
      </c>
      <c r="D13310" t="s">
        <v>17166</v>
      </c>
      <c r="F13310" t="s">
        <v>17246</v>
      </c>
      <c r="H13310" t="s">
        <v>28921</v>
      </c>
      <c r="J13310" t="s">
        <v>28974</v>
      </c>
      <c r="L13310" t="s">
        <v>28975</v>
      </c>
      <c r="N13310" t="s">
        <v>29047</v>
      </c>
      <c r="P13310" t="s">
        <v>29048</v>
      </c>
      <c r="R13310" s="26" t="str">
        <f>HYPERLINK("https://ictv.global/taxonomy/taxondetails?taxnode_id=202313722","Alphafusarivirus neofusicocci")</f>
        <v>Alphafusarivirus neofusicocci</v>
      </c>
      <c r="S13310" t="s">
        <v>30</v>
      </c>
      <c r="T13310" t="s">
        <v>29081</v>
      </c>
      <c r="U13310" t="s">
        <v>29082</v>
      </c>
      <c r="V13310" t="s">
        <v>29083</v>
      </c>
      <c r="W13310" t="s">
        <v>29084</v>
      </c>
      <c r="X13310" t="s">
        <v>42</v>
      </c>
      <c r="Y13310" t="s">
        <v>17171</v>
      </c>
      <c r="Z13310" t="s">
        <v>16721</v>
      </c>
      <c r="AA13310" s="22" t="str">
        <f>HYPERLINK("https://www.ncbi.nlm.nih.gov/nuccore/KY906214","NCBI Nucleotide")</f>
        <v>NCBI Nucleotide</v>
      </c>
    </row>
    <row r="13311" spans="1:27" x14ac:dyDescent="0.35">
      <c r="A13311">
        <v>1001096</v>
      </c>
      <c r="B13311">
        <v>12428</v>
      </c>
      <c r="C13311">
        <v>1</v>
      </c>
      <c r="D13311" t="s">
        <v>17166</v>
      </c>
      <c r="F13311" t="s">
        <v>17246</v>
      </c>
      <c r="H13311" t="s">
        <v>28921</v>
      </c>
      <c r="J13311" t="s">
        <v>28974</v>
      </c>
      <c r="L13311" t="s">
        <v>28975</v>
      </c>
      <c r="N13311" t="s">
        <v>29047</v>
      </c>
      <c r="P13311" t="s">
        <v>29048</v>
      </c>
      <c r="R13311" s="26" t="str">
        <f>HYPERLINK("https://ictv.global/taxonomy/taxondetails?taxnode_id=202313723","Alphafusarivirus neurosporae")</f>
        <v>Alphafusarivirus neurosporae</v>
      </c>
      <c r="S13311" t="s">
        <v>30</v>
      </c>
      <c r="T13311" t="s">
        <v>29085</v>
      </c>
      <c r="U13311" t="s">
        <v>29086</v>
      </c>
      <c r="V13311" t="s">
        <v>47279</v>
      </c>
      <c r="W13311" t="s">
        <v>29087</v>
      </c>
      <c r="X13311" t="s">
        <v>35</v>
      </c>
      <c r="Y13311" t="s">
        <v>17171</v>
      </c>
      <c r="Z13311" t="s">
        <v>16721</v>
      </c>
      <c r="AA13311" s="22" t="str">
        <f>HYPERLINK("https://www.ncbi.nlm.nih.gov/nuccore/MK279503","NCBI Nucleotide")</f>
        <v>NCBI Nucleotide</v>
      </c>
    </row>
    <row r="13312" spans="1:27" x14ac:dyDescent="0.35">
      <c r="A13312">
        <v>1001097</v>
      </c>
      <c r="B13312">
        <v>12429</v>
      </c>
      <c r="C13312">
        <v>1</v>
      </c>
      <c r="D13312" t="s">
        <v>17166</v>
      </c>
      <c r="F13312" t="s">
        <v>17246</v>
      </c>
      <c r="H13312" t="s">
        <v>28921</v>
      </c>
      <c r="J13312" t="s">
        <v>28974</v>
      </c>
      <c r="L13312" t="s">
        <v>28975</v>
      </c>
      <c r="N13312" t="s">
        <v>29047</v>
      </c>
      <c r="P13312" t="s">
        <v>29048</v>
      </c>
      <c r="R13312" s="26" t="str">
        <f>HYPERLINK("https://ictv.global/taxonomy/taxondetails?taxnode_id=202313724","Alphafusarivirus penicilli")</f>
        <v>Alphafusarivirus penicilli</v>
      </c>
      <c r="S13312" t="s">
        <v>30</v>
      </c>
      <c r="T13312" t="s">
        <v>29088</v>
      </c>
      <c r="U13312" t="s">
        <v>29089</v>
      </c>
      <c r="V13312" t="s">
        <v>29090</v>
      </c>
      <c r="W13312" t="s">
        <v>29091</v>
      </c>
      <c r="X13312" t="s">
        <v>35</v>
      </c>
      <c r="Y13312" t="s">
        <v>17171</v>
      </c>
      <c r="Z13312" t="s">
        <v>16721</v>
      </c>
      <c r="AA13312" s="22" t="str">
        <f>HYPERLINK("https://www.ncbi.nlm.nih.gov/nuccore/KT601099","NCBI Nucleotide")</f>
        <v>NCBI Nucleotide</v>
      </c>
    </row>
    <row r="13313" spans="1:27" x14ac:dyDescent="0.35">
      <c r="A13313">
        <v>1001098</v>
      </c>
      <c r="B13313">
        <v>12430</v>
      </c>
      <c r="C13313">
        <v>1</v>
      </c>
      <c r="D13313" t="s">
        <v>17166</v>
      </c>
      <c r="F13313" t="s">
        <v>17246</v>
      </c>
      <c r="H13313" t="s">
        <v>28921</v>
      </c>
      <c r="J13313" t="s">
        <v>28974</v>
      </c>
      <c r="L13313" t="s">
        <v>28975</v>
      </c>
      <c r="N13313" t="s">
        <v>29047</v>
      </c>
      <c r="P13313" t="s">
        <v>29048</v>
      </c>
      <c r="R13313" s="26" t="str">
        <f>HYPERLINK("https://ictv.global/taxonomy/taxondetails?taxnode_id=202313726","Alphafusarivirus plasmoparae")</f>
        <v>Alphafusarivirus plasmoparae</v>
      </c>
      <c r="S13313" t="s">
        <v>30</v>
      </c>
      <c r="T13313" t="s">
        <v>29092</v>
      </c>
      <c r="U13313" t="s">
        <v>29093</v>
      </c>
      <c r="V13313" t="s">
        <v>29094</v>
      </c>
      <c r="W13313" t="s">
        <v>29095</v>
      </c>
      <c r="X13313" t="s">
        <v>35</v>
      </c>
      <c r="Y13313" t="s">
        <v>17171</v>
      </c>
      <c r="Z13313" t="s">
        <v>17496</v>
      </c>
      <c r="AA13313" s="22" t="str">
        <f>HYPERLINK("https://www.ncbi.nlm.nih.gov/nuccore/MN551102","NCBI Nucleotide")</f>
        <v>NCBI Nucleotide</v>
      </c>
    </row>
    <row r="13314" spans="1:27" x14ac:dyDescent="0.35">
      <c r="A13314">
        <v>1001099</v>
      </c>
      <c r="B13314">
        <v>12431</v>
      </c>
      <c r="C13314">
        <v>1</v>
      </c>
      <c r="D13314" t="s">
        <v>17166</v>
      </c>
      <c r="F13314" t="s">
        <v>17246</v>
      </c>
      <c r="H13314" t="s">
        <v>28921</v>
      </c>
      <c r="J13314" t="s">
        <v>28974</v>
      </c>
      <c r="L13314" t="s">
        <v>28975</v>
      </c>
      <c r="N13314" t="s">
        <v>29047</v>
      </c>
      <c r="P13314" t="s">
        <v>29048</v>
      </c>
      <c r="R13314" s="26" t="str">
        <f>HYPERLINK("https://ictv.global/taxonomy/taxondetails?taxnode_id=202313728","Alphafusarivirus pleosporae")</f>
        <v>Alphafusarivirus pleosporae</v>
      </c>
      <c r="S13314" t="s">
        <v>30</v>
      </c>
      <c r="T13314" t="s">
        <v>29096</v>
      </c>
      <c r="U13314" t="s">
        <v>29097</v>
      </c>
      <c r="V13314" t="s">
        <v>29098</v>
      </c>
      <c r="W13314" t="s">
        <v>29099</v>
      </c>
      <c r="X13314" t="s">
        <v>35</v>
      </c>
      <c r="Y13314" t="s">
        <v>17171</v>
      </c>
      <c r="Z13314" t="s">
        <v>16721</v>
      </c>
      <c r="AA13314" s="22" t="str">
        <f>HYPERLINK("https://www.ncbi.nlm.nih.gov/nuccore/KT601107","NCBI Nucleotide")</f>
        <v>NCBI Nucleotide</v>
      </c>
    </row>
    <row r="13315" spans="1:27" x14ac:dyDescent="0.35">
      <c r="A13315">
        <v>1001100</v>
      </c>
      <c r="B13315">
        <v>12432</v>
      </c>
      <c r="C13315">
        <v>1</v>
      </c>
      <c r="D13315" t="s">
        <v>17166</v>
      </c>
      <c r="F13315" t="s">
        <v>17246</v>
      </c>
      <c r="H13315" t="s">
        <v>28921</v>
      </c>
      <c r="J13315" t="s">
        <v>28974</v>
      </c>
      <c r="L13315" t="s">
        <v>28975</v>
      </c>
      <c r="N13315" t="s">
        <v>29047</v>
      </c>
      <c r="P13315" t="s">
        <v>29048</v>
      </c>
      <c r="R13315" s="26" t="str">
        <f>HYPERLINK("https://ictv.global/taxonomy/taxondetails?taxnode_id=202313714","Alphafusarivirus portobelli")</f>
        <v>Alphafusarivirus portobelli</v>
      </c>
      <c r="S13315" t="s">
        <v>30</v>
      </c>
      <c r="T13315" t="s">
        <v>29100</v>
      </c>
      <c r="U13315" t="s">
        <v>29101</v>
      </c>
      <c r="V13315">
        <v>3</v>
      </c>
      <c r="W13315" t="s">
        <v>29102</v>
      </c>
      <c r="X13315" t="s">
        <v>35</v>
      </c>
      <c r="Y13315" t="s">
        <v>17171</v>
      </c>
      <c r="Z13315" t="s">
        <v>16721</v>
      </c>
      <c r="AA13315" s="22" t="str">
        <f>HYPERLINK("https://www.ncbi.nlm.nih.gov/nuccore/KY357496","NCBI Nucleotide")</f>
        <v>NCBI Nucleotide</v>
      </c>
    </row>
    <row r="13316" spans="1:27" x14ac:dyDescent="0.35">
      <c r="A13316">
        <v>1001101</v>
      </c>
      <c r="B13316">
        <v>12433</v>
      </c>
      <c r="C13316">
        <v>1</v>
      </c>
      <c r="D13316" t="s">
        <v>17166</v>
      </c>
      <c r="F13316" t="s">
        <v>17246</v>
      </c>
      <c r="H13316" t="s">
        <v>28921</v>
      </c>
      <c r="J13316" t="s">
        <v>28974</v>
      </c>
      <c r="L13316" t="s">
        <v>28975</v>
      </c>
      <c r="N13316" t="s">
        <v>29047</v>
      </c>
      <c r="P13316" t="s">
        <v>29048</v>
      </c>
      <c r="R13316" s="26" t="str">
        <f>HYPERLINK("https://ictv.global/taxonomy/taxondetails?taxnode_id=202313729","Alphafusarivirus rhizoctoniae")</f>
        <v>Alphafusarivirus rhizoctoniae</v>
      </c>
      <c r="S13316" t="s">
        <v>30</v>
      </c>
      <c r="T13316" t="s">
        <v>29103</v>
      </c>
      <c r="U13316" t="s">
        <v>29104</v>
      </c>
      <c r="V13316" t="s">
        <v>29105</v>
      </c>
      <c r="W13316" t="s">
        <v>29106</v>
      </c>
      <c r="X13316" t="s">
        <v>35</v>
      </c>
      <c r="Y13316" t="s">
        <v>17171</v>
      </c>
      <c r="Z13316" t="s">
        <v>16721</v>
      </c>
      <c r="AA13316" s="22" t="str">
        <f>HYPERLINK("https://www.ncbi.nlm.nih.gov/nuccore/MK558258","NCBI Nucleotide")</f>
        <v>NCBI Nucleotide</v>
      </c>
    </row>
    <row r="13317" spans="1:27" x14ac:dyDescent="0.35">
      <c r="A13317">
        <v>1001102</v>
      </c>
      <c r="B13317">
        <v>12434</v>
      </c>
      <c r="C13317">
        <v>1</v>
      </c>
      <c r="D13317" t="s">
        <v>17166</v>
      </c>
      <c r="F13317" t="s">
        <v>17246</v>
      </c>
      <c r="H13317" t="s">
        <v>28921</v>
      </c>
      <c r="J13317" t="s">
        <v>28974</v>
      </c>
      <c r="L13317" t="s">
        <v>28975</v>
      </c>
      <c r="N13317" t="s">
        <v>29047</v>
      </c>
      <c r="P13317" t="s">
        <v>29048</v>
      </c>
      <c r="R13317" s="26" t="str">
        <f>HYPERLINK("https://ictv.global/taxonomy/taxondetails?taxnode_id=202313733","Alphafusarivirus rolfsii")</f>
        <v>Alphafusarivirus rolfsii</v>
      </c>
      <c r="S13317" t="s">
        <v>30</v>
      </c>
      <c r="T13317" t="s">
        <v>29107</v>
      </c>
      <c r="U13317" t="s">
        <v>29108</v>
      </c>
      <c r="V13317" t="s">
        <v>29109</v>
      </c>
      <c r="W13317" t="s">
        <v>29110</v>
      </c>
      <c r="X13317" t="s">
        <v>35</v>
      </c>
      <c r="Y13317" t="s">
        <v>17171</v>
      </c>
      <c r="Z13317" t="s">
        <v>16721</v>
      </c>
      <c r="AA13317" s="22" t="str">
        <f>HYPERLINK("https://www.ncbi.nlm.nih.gov/nuccore/MH766492","NCBI Nucleotide")</f>
        <v>NCBI Nucleotide</v>
      </c>
    </row>
    <row r="13318" spans="1:27" x14ac:dyDescent="0.35">
      <c r="A13318">
        <v>1001103</v>
      </c>
      <c r="B13318">
        <v>12435</v>
      </c>
      <c r="C13318">
        <v>1</v>
      </c>
      <c r="D13318" t="s">
        <v>17166</v>
      </c>
      <c r="F13318" t="s">
        <v>17246</v>
      </c>
      <c r="H13318" t="s">
        <v>28921</v>
      </c>
      <c r="J13318" t="s">
        <v>28974</v>
      </c>
      <c r="L13318" t="s">
        <v>28975</v>
      </c>
      <c r="N13318" t="s">
        <v>29047</v>
      </c>
      <c r="P13318" t="s">
        <v>29048</v>
      </c>
      <c r="R13318" s="26" t="str">
        <f>HYPERLINK("https://ictv.global/taxonomy/taxondetails?taxnode_id=202313725","Alphafusarivirus roqueforti")</f>
        <v>Alphafusarivirus roqueforti</v>
      </c>
      <c r="S13318" t="s">
        <v>30</v>
      </c>
      <c r="T13318" t="s">
        <v>29111</v>
      </c>
      <c r="U13318" t="s">
        <v>29112</v>
      </c>
      <c r="V13318" t="s">
        <v>29113</v>
      </c>
      <c r="W13318" t="s">
        <v>29114</v>
      </c>
      <c r="X13318" t="s">
        <v>35</v>
      </c>
      <c r="Y13318" t="s">
        <v>17171</v>
      </c>
      <c r="Z13318" t="s">
        <v>16721</v>
      </c>
      <c r="AA13318" s="22" t="str">
        <f>HYPERLINK("https://www.ncbi.nlm.nih.gov/nuccore/KJ817266","NCBI Nucleotide")</f>
        <v>NCBI Nucleotide</v>
      </c>
    </row>
    <row r="13319" spans="1:27" x14ac:dyDescent="0.35">
      <c r="A13319">
        <v>1001104</v>
      </c>
      <c r="B13319">
        <v>12436</v>
      </c>
      <c r="C13319">
        <v>1</v>
      </c>
      <c r="D13319" t="s">
        <v>17166</v>
      </c>
      <c r="F13319" t="s">
        <v>17246</v>
      </c>
      <c r="H13319" t="s">
        <v>28921</v>
      </c>
      <c r="J13319" t="s">
        <v>28974</v>
      </c>
      <c r="L13319" t="s">
        <v>28975</v>
      </c>
      <c r="N13319" t="s">
        <v>29047</v>
      </c>
      <c r="P13319" t="s">
        <v>29048</v>
      </c>
      <c r="R13319" s="26" t="str">
        <f>HYPERLINK("https://ictv.global/taxonomy/taxondetails?taxnode_id=202313730","Alphafusarivirus roselliniae")</f>
        <v>Alphafusarivirus roselliniae</v>
      </c>
      <c r="S13319" t="s">
        <v>30</v>
      </c>
      <c r="T13319" t="s">
        <v>29115</v>
      </c>
      <c r="U13319" t="s">
        <v>29116</v>
      </c>
      <c r="V13319" t="s">
        <v>29117</v>
      </c>
      <c r="W13319" t="s">
        <v>29118</v>
      </c>
      <c r="X13319" t="s">
        <v>42</v>
      </c>
      <c r="Y13319" t="s">
        <v>17171</v>
      </c>
      <c r="Z13319" t="s">
        <v>16721</v>
      </c>
      <c r="AA13319" s="22" t="str">
        <f>HYPERLINK("https://www.ncbi.nlm.nih.gov/nuccore/AB915829","NCBI Nucleotide")</f>
        <v>NCBI Nucleotide</v>
      </c>
    </row>
    <row r="13320" spans="1:27" x14ac:dyDescent="0.35">
      <c r="A13320">
        <v>1001105</v>
      </c>
      <c r="B13320">
        <v>12437</v>
      </c>
      <c r="C13320">
        <v>1</v>
      </c>
      <c r="D13320" t="s">
        <v>17166</v>
      </c>
      <c r="F13320" t="s">
        <v>17246</v>
      </c>
      <c r="H13320" t="s">
        <v>28921</v>
      </c>
      <c r="J13320" t="s">
        <v>28974</v>
      </c>
      <c r="L13320" t="s">
        <v>28975</v>
      </c>
      <c r="N13320" t="s">
        <v>29047</v>
      </c>
      <c r="P13320" t="s">
        <v>29048</v>
      </c>
      <c r="R13320" s="26" t="str">
        <f>HYPERLINK("https://ictv.global/taxonomy/taxondetails?taxnode_id=202313731","Alphafusarivirus rutstroemiae")</f>
        <v>Alphafusarivirus rutstroemiae</v>
      </c>
      <c r="S13320" t="s">
        <v>30</v>
      </c>
      <c r="T13320" t="s">
        <v>29119</v>
      </c>
      <c r="U13320" t="s">
        <v>29120</v>
      </c>
      <c r="V13320" t="s">
        <v>47280</v>
      </c>
      <c r="W13320" t="s">
        <v>29121</v>
      </c>
      <c r="X13320" t="s">
        <v>35</v>
      </c>
      <c r="Y13320" t="s">
        <v>17171</v>
      </c>
      <c r="Z13320" t="s">
        <v>16721</v>
      </c>
      <c r="AA13320" s="22" t="str">
        <f>HYPERLINK("https://www.ncbi.nlm.nih.gov/nuccore/MK279504","NCBI Nucleotide")</f>
        <v>NCBI Nucleotide</v>
      </c>
    </row>
    <row r="13321" spans="1:27" x14ac:dyDescent="0.35">
      <c r="A13321">
        <v>1001106</v>
      </c>
      <c r="B13321">
        <v>12438</v>
      </c>
      <c r="C13321">
        <v>1</v>
      </c>
      <c r="D13321" t="s">
        <v>17166</v>
      </c>
      <c r="F13321" t="s">
        <v>17246</v>
      </c>
      <c r="H13321" t="s">
        <v>28921</v>
      </c>
      <c r="J13321" t="s">
        <v>28974</v>
      </c>
      <c r="L13321" t="s">
        <v>28975</v>
      </c>
      <c r="N13321" t="s">
        <v>29047</v>
      </c>
      <c r="P13321" t="s">
        <v>29048</v>
      </c>
      <c r="R13321" s="26" t="str">
        <f>HYPERLINK("https://ictv.global/taxonomy/taxondetails?taxnode_id=202313732","Alphafusarivirus sclerotii")</f>
        <v>Alphafusarivirus sclerotii</v>
      </c>
      <c r="S13321" t="s">
        <v>30</v>
      </c>
      <c r="T13321" t="s">
        <v>29122</v>
      </c>
      <c r="U13321" t="s">
        <v>29123</v>
      </c>
      <c r="V13321" t="s">
        <v>29124</v>
      </c>
      <c r="W13321" t="s">
        <v>29125</v>
      </c>
      <c r="X13321" t="s">
        <v>35</v>
      </c>
      <c r="Y13321" t="s">
        <v>17171</v>
      </c>
      <c r="Z13321" t="s">
        <v>16721</v>
      </c>
      <c r="AA13321" s="22" t="str">
        <f>HYPERLINK("https://www.ncbi.nlm.nih.gov/nuccore/MH766491","NCBI Nucleotide")</f>
        <v>NCBI Nucleotide</v>
      </c>
    </row>
    <row r="13322" spans="1:27" x14ac:dyDescent="0.35">
      <c r="A13322">
        <v>1001107</v>
      </c>
      <c r="B13322">
        <v>12439</v>
      </c>
      <c r="C13322">
        <v>1</v>
      </c>
      <c r="D13322" t="s">
        <v>17166</v>
      </c>
      <c r="F13322" t="s">
        <v>17246</v>
      </c>
      <c r="H13322" t="s">
        <v>28921</v>
      </c>
      <c r="J13322" t="s">
        <v>28974</v>
      </c>
      <c r="L13322" t="s">
        <v>28975</v>
      </c>
      <c r="N13322" t="s">
        <v>29047</v>
      </c>
      <c r="P13322" t="s">
        <v>29048</v>
      </c>
      <c r="R13322" s="26" t="str">
        <f>HYPERLINK("https://ictv.global/taxonomy/taxondetails?taxnode_id=202313734","Alphafusarivirus zymoseptoriae")</f>
        <v>Alphafusarivirus zymoseptoriae</v>
      </c>
      <c r="S13322" t="s">
        <v>30</v>
      </c>
      <c r="T13322" t="s">
        <v>29126</v>
      </c>
      <c r="U13322" t="s">
        <v>29127</v>
      </c>
      <c r="V13322" t="s">
        <v>47281</v>
      </c>
      <c r="W13322" t="s">
        <v>29128</v>
      </c>
      <c r="X13322" t="s">
        <v>35</v>
      </c>
      <c r="Y13322" t="s">
        <v>17171</v>
      </c>
      <c r="Z13322" t="s">
        <v>16721</v>
      </c>
      <c r="AA13322" s="22" t="str">
        <f>HYPERLINK("https://www.ncbi.nlm.nih.gov/nuccore/MK279506","NCBI Nucleotide")</f>
        <v>NCBI Nucleotide</v>
      </c>
    </row>
    <row r="13323" spans="1:27" x14ac:dyDescent="0.35">
      <c r="A13323">
        <v>1001108</v>
      </c>
      <c r="B13323">
        <v>12440</v>
      </c>
      <c r="C13323">
        <v>1</v>
      </c>
      <c r="D13323" t="s">
        <v>17166</v>
      </c>
      <c r="F13323" t="s">
        <v>17246</v>
      </c>
      <c r="H13323" t="s">
        <v>28921</v>
      </c>
      <c r="J13323" t="s">
        <v>28974</v>
      </c>
      <c r="L13323" t="s">
        <v>28975</v>
      </c>
      <c r="N13323" t="s">
        <v>29047</v>
      </c>
      <c r="P13323" t="s">
        <v>29129</v>
      </c>
      <c r="R13323" s="26" t="str">
        <f>HYPERLINK("https://ictv.global/taxonomy/taxondetails?taxnode_id=202313736","Betafusarivirus alternariae")</f>
        <v>Betafusarivirus alternariae</v>
      </c>
      <c r="S13323" t="s">
        <v>30</v>
      </c>
      <c r="T13323" t="s">
        <v>29130</v>
      </c>
      <c r="U13323" t="s">
        <v>29131</v>
      </c>
      <c r="V13323" t="s">
        <v>29132</v>
      </c>
      <c r="W13323" t="s">
        <v>29133</v>
      </c>
      <c r="X13323" t="s">
        <v>42</v>
      </c>
      <c r="Y13323" t="s">
        <v>17171</v>
      </c>
      <c r="Z13323" t="s">
        <v>16721</v>
      </c>
      <c r="AA13323" s="22" t="str">
        <f>HYPERLINK("https://www.ncbi.nlm.nih.gov/nuccore/KT581960","NCBI Nucleotide")</f>
        <v>NCBI Nucleotide</v>
      </c>
    </row>
    <row r="13324" spans="1:27" x14ac:dyDescent="0.35">
      <c r="A13324">
        <v>1001109</v>
      </c>
      <c r="B13324">
        <v>12441</v>
      </c>
      <c r="C13324">
        <v>1</v>
      </c>
      <c r="D13324" t="s">
        <v>17166</v>
      </c>
      <c r="F13324" t="s">
        <v>17246</v>
      </c>
      <c r="H13324" t="s">
        <v>28921</v>
      </c>
      <c r="J13324" t="s">
        <v>28974</v>
      </c>
      <c r="L13324" t="s">
        <v>28975</v>
      </c>
      <c r="N13324" t="s">
        <v>29047</v>
      </c>
      <c r="P13324" t="s">
        <v>29129</v>
      </c>
      <c r="R13324" s="26" t="str">
        <f>HYPERLINK("https://ictv.global/taxonomy/taxondetails?taxnode_id=202313740","Betafusarivirus botrytidis")</f>
        <v>Betafusarivirus botrytidis</v>
      </c>
      <c r="S13324" t="s">
        <v>30</v>
      </c>
      <c r="T13324" t="s">
        <v>29134</v>
      </c>
      <c r="U13324" t="s">
        <v>29135</v>
      </c>
      <c r="V13324" t="s">
        <v>29136</v>
      </c>
      <c r="W13324" t="s">
        <v>29137</v>
      </c>
      <c r="X13324" t="s">
        <v>35</v>
      </c>
      <c r="Y13324" t="s">
        <v>17171</v>
      </c>
      <c r="Z13324" t="s">
        <v>16721</v>
      </c>
      <c r="AA13324" s="22" t="str">
        <f>HYPERLINK("https://www.ncbi.nlm.nih.gov/nuccore/MN617766","NCBI Nucleotide")</f>
        <v>NCBI Nucleotide</v>
      </c>
    </row>
    <row r="13325" spans="1:27" x14ac:dyDescent="0.35">
      <c r="A13325">
        <v>1001110</v>
      </c>
      <c r="B13325">
        <v>12442</v>
      </c>
      <c r="C13325">
        <v>1</v>
      </c>
      <c r="D13325" t="s">
        <v>17166</v>
      </c>
      <c r="F13325" t="s">
        <v>17246</v>
      </c>
      <c r="H13325" t="s">
        <v>28921</v>
      </c>
      <c r="J13325" t="s">
        <v>28974</v>
      </c>
      <c r="L13325" t="s">
        <v>28975</v>
      </c>
      <c r="N13325" t="s">
        <v>29047</v>
      </c>
      <c r="P13325" t="s">
        <v>29129</v>
      </c>
      <c r="R13325" s="26" t="str">
        <f>HYPERLINK("https://ictv.global/taxonomy/taxondetails?taxnode_id=202313744","Betafusarivirus brasiliensis")</f>
        <v>Betafusarivirus brasiliensis</v>
      </c>
      <c r="S13325" t="s">
        <v>30</v>
      </c>
      <c r="T13325" t="s">
        <v>29138</v>
      </c>
      <c r="U13325" t="s">
        <v>29139</v>
      </c>
      <c r="V13325" t="s">
        <v>29140</v>
      </c>
      <c r="W13325" t="s">
        <v>29141</v>
      </c>
      <c r="X13325" t="s">
        <v>35</v>
      </c>
      <c r="Y13325" t="s">
        <v>17171</v>
      </c>
      <c r="Z13325" t="s">
        <v>16721</v>
      </c>
      <c r="AA13325" s="22" t="str">
        <f>HYPERLINK("https://www.ncbi.nlm.nih.gov/nuccore/MK558256","NCBI Nucleotide")</f>
        <v>NCBI Nucleotide</v>
      </c>
    </row>
    <row r="13326" spans="1:27" x14ac:dyDescent="0.35">
      <c r="A13326">
        <v>1001111</v>
      </c>
      <c r="B13326">
        <v>12443</v>
      </c>
      <c r="C13326">
        <v>1</v>
      </c>
      <c r="D13326" t="s">
        <v>17166</v>
      </c>
      <c r="F13326" t="s">
        <v>17246</v>
      </c>
      <c r="H13326" t="s">
        <v>28921</v>
      </c>
      <c r="J13326" t="s">
        <v>28974</v>
      </c>
      <c r="L13326" t="s">
        <v>28975</v>
      </c>
      <c r="N13326" t="s">
        <v>29047</v>
      </c>
      <c r="P13326" t="s">
        <v>29129</v>
      </c>
      <c r="R13326" s="26" t="str">
        <f>HYPERLINK("https://ictv.global/taxonomy/taxondetails?taxnode_id=202313741","Betafusarivirus crassae")</f>
        <v>Betafusarivirus crassae</v>
      </c>
      <c r="S13326" t="s">
        <v>30</v>
      </c>
      <c r="T13326" t="s">
        <v>29142</v>
      </c>
      <c r="U13326" t="s">
        <v>29143</v>
      </c>
      <c r="V13326" t="s">
        <v>29144</v>
      </c>
      <c r="W13326" t="s">
        <v>29145</v>
      </c>
      <c r="X13326" t="s">
        <v>42</v>
      </c>
      <c r="Y13326" t="s">
        <v>17171</v>
      </c>
      <c r="Z13326" t="s">
        <v>16721</v>
      </c>
      <c r="AA13326" s="22" t="str">
        <f>HYPERLINK("https://www.ncbi.nlm.nih.gov/nuccore/LC530175","NCBI Nucleotide")</f>
        <v>NCBI Nucleotide</v>
      </c>
    </row>
    <row r="13327" spans="1:27" x14ac:dyDescent="0.35">
      <c r="A13327">
        <v>1001112</v>
      </c>
      <c r="B13327">
        <v>12444</v>
      </c>
      <c r="C13327">
        <v>1</v>
      </c>
      <c r="D13327" t="s">
        <v>17166</v>
      </c>
      <c r="F13327" t="s">
        <v>17246</v>
      </c>
      <c r="H13327" t="s">
        <v>28921</v>
      </c>
      <c r="J13327" t="s">
        <v>28974</v>
      </c>
      <c r="L13327" t="s">
        <v>28975</v>
      </c>
      <c r="N13327" t="s">
        <v>29047</v>
      </c>
      <c r="P13327" t="s">
        <v>29129</v>
      </c>
      <c r="R13327" s="26" t="str">
        <f>HYPERLINK("https://ictv.global/taxonomy/taxondetails?taxnode_id=202313738","Betafusarivirus hispaniae")</f>
        <v>Betafusarivirus hispaniae</v>
      </c>
      <c r="S13327" t="s">
        <v>30</v>
      </c>
      <c r="T13327" t="s">
        <v>29146</v>
      </c>
      <c r="U13327" t="s">
        <v>29147</v>
      </c>
      <c r="V13327" t="s">
        <v>29148</v>
      </c>
      <c r="W13327" t="s">
        <v>29149</v>
      </c>
      <c r="X13327" t="s">
        <v>35</v>
      </c>
      <c r="Y13327" t="s">
        <v>17171</v>
      </c>
      <c r="Z13327" t="s">
        <v>16721</v>
      </c>
      <c r="AA13327" s="22" t="str">
        <f>HYPERLINK("https://www.ncbi.nlm.nih.gov/nuccore/MN617762","NCBI Nucleotide")</f>
        <v>NCBI Nucleotide</v>
      </c>
    </row>
    <row r="13328" spans="1:27" x14ac:dyDescent="0.35">
      <c r="A13328">
        <v>1001113</v>
      </c>
      <c r="B13328">
        <v>12445</v>
      </c>
      <c r="C13328">
        <v>1</v>
      </c>
      <c r="D13328" t="s">
        <v>17166</v>
      </c>
      <c r="F13328" t="s">
        <v>17246</v>
      </c>
      <c r="H13328" t="s">
        <v>28921</v>
      </c>
      <c r="J13328" t="s">
        <v>28974</v>
      </c>
      <c r="L13328" t="s">
        <v>28975</v>
      </c>
      <c r="N13328" t="s">
        <v>29047</v>
      </c>
      <c r="P13328" t="s">
        <v>29129</v>
      </c>
      <c r="R13328" s="26" t="str">
        <f>HYPERLINK("https://ictv.global/taxonomy/taxondetails?taxnode_id=202313745","Betafusarivirus homeocarpa")</f>
        <v>Betafusarivirus homeocarpa</v>
      </c>
      <c r="S13328" t="s">
        <v>30</v>
      </c>
      <c r="T13328" t="s">
        <v>29150</v>
      </c>
      <c r="U13328" t="s">
        <v>29151</v>
      </c>
      <c r="V13328" t="s">
        <v>29282</v>
      </c>
      <c r="W13328" t="s">
        <v>29152</v>
      </c>
      <c r="X13328" t="s">
        <v>35</v>
      </c>
      <c r="Y13328" t="s">
        <v>17171</v>
      </c>
      <c r="Z13328" t="s">
        <v>16721</v>
      </c>
      <c r="AA13328" s="22" t="str">
        <f>HYPERLINK("https://www.ncbi.nlm.nih.gov/nuccore/MK279505","NCBI Nucleotide")</f>
        <v>NCBI Nucleotide</v>
      </c>
    </row>
    <row r="13329" spans="1:27" x14ac:dyDescent="0.35">
      <c r="A13329">
        <v>1001114</v>
      </c>
      <c r="B13329">
        <v>12446</v>
      </c>
      <c r="C13329">
        <v>1</v>
      </c>
      <c r="D13329" t="s">
        <v>17166</v>
      </c>
      <c r="F13329" t="s">
        <v>17246</v>
      </c>
      <c r="H13329" t="s">
        <v>28921</v>
      </c>
      <c r="J13329" t="s">
        <v>28974</v>
      </c>
      <c r="L13329" t="s">
        <v>28975</v>
      </c>
      <c r="N13329" t="s">
        <v>29047</v>
      </c>
      <c r="P13329" t="s">
        <v>29129</v>
      </c>
      <c r="R13329" s="26" t="str">
        <f>HYPERLINK("https://ictv.global/taxonomy/taxondetails?taxnode_id=202313739","Betafusarivirus iberiae")</f>
        <v>Betafusarivirus iberiae</v>
      </c>
      <c r="S13329" t="s">
        <v>30</v>
      </c>
      <c r="T13329" t="s">
        <v>29153</v>
      </c>
      <c r="U13329" t="s">
        <v>29154</v>
      </c>
      <c r="V13329" t="s">
        <v>29155</v>
      </c>
      <c r="W13329" t="s">
        <v>29156</v>
      </c>
      <c r="X13329" t="s">
        <v>35</v>
      </c>
      <c r="Y13329" t="s">
        <v>17171</v>
      </c>
      <c r="Z13329" t="s">
        <v>16721</v>
      </c>
      <c r="AA13329" s="22" t="str">
        <f>HYPERLINK("https://www.ncbi.nlm.nih.gov/nuccore/MN617763","NCBI Nucleotide")</f>
        <v>NCBI Nucleotide</v>
      </c>
    </row>
    <row r="13330" spans="1:27" x14ac:dyDescent="0.35">
      <c r="A13330">
        <v>1001115</v>
      </c>
      <c r="B13330">
        <v>12447</v>
      </c>
      <c r="C13330">
        <v>1</v>
      </c>
      <c r="D13330" t="s">
        <v>17166</v>
      </c>
      <c r="F13330" t="s">
        <v>17246</v>
      </c>
      <c r="H13330" t="s">
        <v>28921</v>
      </c>
      <c r="J13330" t="s">
        <v>28974</v>
      </c>
      <c r="L13330" t="s">
        <v>28975</v>
      </c>
      <c r="N13330" t="s">
        <v>29047</v>
      </c>
      <c r="P13330" t="s">
        <v>29129</v>
      </c>
      <c r="R13330" s="26" t="str">
        <f>HYPERLINK("https://ictv.global/taxonomy/taxondetails?taxnode_id=202313742","Betafusarivirus neurosporae")</f>
        <v>Betafusarivirus neurosporae</v>
      </c>
      <c r="S13330" t="s">
        <v>30</v>
      </c>
      <c r="T13330" t="s">
        <v>29157</v>
      </c>
      <c r="U13330" t="s">
        <v>29158</v>
      </c>
      <c r="V13330" t="s">
        <v>47282</v>
      </c>
      <c r="W13330" t="s">
        <v>29159</v>
      </c>
      <c r="X13330" t="s">
        <v>42</v>
      </c>
      <c r="Y13330" t="s">
        <v>17171</v>
      </c>
      <c r="Z13330" t="s">
        <v>16721</v>
      </c>
      <c r="AA13330" s="22" t="str">
        <f>HYPERLINK("https://www.ncbi.nlm.nih.gov/nuccore/LC586030","NCBI Nucleotide")</f>
        <v>NCBI Nucleotide</v>
      </c>
    </row>
    <row r="13331" spans="1:27" x14ac:dyDescent="0.35">
      <c r="A13331">
        <v>1001116</v>
      </c>
      <c r="B13331">
        <v>12448</v>
      </c>
      <c r="C13331">
        <v>1</v>
      </c>
      <c r="D13331" t="s">
        <v>17166</v>
      </c>
      <c r="F13331" t="s">
        <v>17246</v>
      </c>
      <c r="H13331" t="s">
        <v>28921</v>
      </c>
      <c r="J13331" t="s">
        <v>28974</v>
      </c>
      <c r="L13331" t="s">
        <v>28975</v>
      </c>
      <c r="N13331" t="s">
        <v>29047</v>
      </c>
      <c r="P13331" t="s">
        <v>29129</v>
      </c>
      <c r="R13331" s="26" t="str">
        <f>HYPERLINK("https://ictv.global/taxonomy/taxondetails?taxnode_id=202313743","Betafusarivirus rhizoctoniae")</f>
        <v>Betafusarivirus rhizoctoniae</v>
      </c>
      <c r="S13331" t="s">
        <v>30</v>
      </c>
      <c r="T13331" t="s">
        <v>29160</v>
      </c>
      <c r="U13331" t="s">
        <v>29161</v>
      </c>
      <c r="V13331" t="s">
        <v>29162</v>
      </c>
      <c r="W13331" t="s">
        <v>29163</v>
      </c>
      <c r="X13331" t="s">
        <v>35</v>
      </c>
      <c r="Y13331" t="s">
        <v>17171</v>
      </c>
      <c r="Z13331" t="s">
        <v>16721</v>
      </c>
      <c r="AA13331" s="22" t="str">
        <f>HYPERLINK("https://www.ncbi.nlm.nih.gov/nuccore/MK558257","NCBI Nucleotide")</f>
        <v>NCBI Nucleotide</v>
      </c>
    </row>
    <row r="13332" spans="1:27" x14ac:dyDescent="0.35">
      <c r="A13332">
        <v>1001117</v>
      </c>
      <c r="B13332">
        <v>12449</v>
      </c>
      <c r="C13332">
        <v>1</v>
      </c>
      <c r="D13332" t="s">
        <v>17166</v>
      </c>
      <c r="F13332" t="s">
        <v>17246</v>
      </c>
      <c r="H13332" t="s">
        <v>28921</v>
      </c>
      <c r="J13332" t="s">
        <v>28974</v>
      </c>
      <c r="L13332" t="s">
        <v>28975</v>
      </c>
      <c r="N13332" t="s">
        <v>29047</v>
      </c>
      <c r="P13332" t="s">
        <v>29129</v>
      </c>
      <c r="R13332" s="26" t="str">
        <f>HYPERLINK("https://ictv.global/taxonomy/taxondetails?taxnode_id=202313746","Betafusarivirus sclerotiniae")</f>
        <v>Betafusarivirus sclerotiniae</v>
      </c>
      <c r="S13332" t="s">
        <v>30</v>
      </c>
      <c r="T13332" t="s">
        <v>29164</v>
      </c>
      <c r="U13332" t="s">
        <v>29165</v>
      </c>
      <c r="V13332" t="s">
        <v>29166</v>
      </c>
      <c r="W13332" t="s">
        <v>29167</v>
      </c>
      <c r="X13332" t="s">
        <v>42</v>
      </c>
      <c r="Y13332" t="s">
        <v>17171</v>
      </c>
      <c r="Z13332" t="s">
        <v>16721</v>
      </c>
      <c r="AA13332" s="22" t="str">
        <f>HYPERLINK("https://www.ncbi.nlm.nih.gov/nuccore/KP842791","NCBI Nucleotide")</f>
        <v>NCBI Nucleotide</v>
      </c>
    </row>
    <row r="13333" spans="1:27" x14ac:dyDescent="0.35">
      <c r="A13333">
        <v>1001118</v>
      </c>
      <c r="B13333">
        <v>12450</v>
      </c>
      <c r="C13333">
        <v>1</v>
      </c>
      <c r="D13333" t="s">
        <v>17166</v>
      </c>
      <c r="F13333" t="s">
        <v>17246</v>
      </c>
      <c r="H13333" t="s">
        <v>28921</v>
      </c>
      <c r="J13333" t="s">
        <v>28974</v>
      </c>
      <c r="L13333" t="s">
        <v>28975</v>
      </c>
      <c r="N13333" t="s">
        <v>29047</v>
      </c>
      <c r="P13333" t="s">
        <v>29129</v>
      </c>
      <c r="R13333" s="26" t="str">
        <f>HYPERLINK("https://ictv.global/taxonomy/taxondetails?taxnode_id=202313737","Betafusarivirus sinensis")</f>
        <v>Betafusarivirus sinensis</v>
      </c>
      <c r="S13333" t="s">
        <v>30</v>
      </c>
      <c r="T13333" t="s">
        <v>29168</v>
      </c>
      <c r="U13333" t="s">
        <v>29169</v>
      </c>
      <c r="V13333" t="s">
        <v>18559</v>
      </c>
      <c r="W13333" t="s">
        <v>29170</v>
      </c>
      <c r="X13333" t="s">
        <v>42</v>
      </c>
      <c r="Y13333" t="s">
        <v>17171</v>
      </c>
      <c r="Z13333" t="s">
        <v>16721</v>
      </c>
      <c r="AA13333" s="22" t="str">
        <f>HYPERLINK("https://www.ncbi.nlm.nih.gov/nuccore/MG554633","NCBI Nucleotide")</f>
        <v>NCBI Nucleotide</v>
      </c>
    </row>
    <row r="13334" spans="1:27" x14ac:dyDescent="0.35">
      <c r="A13334">
        <v>1001119</v>
      </c>
      <c r="B13334">
        <v>12451</v>
      </c>
      <c r="C13334">
        <v>1</v>
      </c>
      <c r="D13334" t="s">
        <v>17166</v>
      </c>
      <c r="F13334" t="s">
        <v>17246</v>
      </c>
      <c r="H13334" t="s">
        <v>28921</v>
      </c>
      <c r="J13334" t="s">
        <v>28974</v>
      </c>
      <c r="L13334" t="s">
        <v>28975</v>
      </c>
      <c r="N13334" t="s">
        <v>29047</v>
      </c>
      <c r="P13334" t="s">
        <v>29171</v>
      </c>
      <c r="R13334" s="26" t="str">
        <f>HYPERLINK("https://ictv.global/taxonomy/taxondetails?taxnode_id=202313748","Gammafusarivirus lentinualea")</f>
        <v>Gammafusarivirus lentinualea</v>
      </c>
      <c r="S13334" t="s">
        <v>30</v>
      </c>
      <c r="T13334" t="s">
        <v>29172</v>
      </c>
      <c r="U13334" t="s">
        <v>29173</v>
      </c>
      <c r="V13334" t="s">
        <v>29174</v>
      </c>
      <c r="W13334" t="s">
        <v>29175</v>
      </c>
      <c r="X13334" t="s">
        <v>35</v>
      </c>
      <c r="Y13334" t="s">
        <v>17171</v>
      </c>
      <c r="Z13334" t="s">
        <v>16721</v>
      </c>
      <c r="AA13334" s="22" t="str">
        <f>HYPERLINK("https://www.ncbi.nlm.nih.gov/nuccore/MN744720","NCBI Nucleotide")</f>
        <v>NCBI Nucleotide</v>
      </c>
    </row>
    <row r="13335" spans="1:27" x14ac:dyDescent="0.35">
      <c r="A13335">
        <v>1001120</v>
      </c>
      <c r="B13335">
        <v>12452</v>
      </c>
      <c r="C13335">
        <v>1</v>
      </c>
      <c r="D13335" t="s">
        <v>17166</v>
      </c>
      <c r="F13335" t="s">
        <v>17246</v>
      </c>
      <c r="H13335" t="s">
        <v>28921</v>
      </c>
      <c r="J13335" t="s">
        <v>28974</v>
      </c>
      <c r="L13335" t="s">
        <v>28975</v>
      </c>
      <c r="N13335" t="s">
        <v>29176</v>
      </c>
      <c r="P13335" t="s">
        <v>29177</v>
      </c>
      <c r="R13335" s="26" t="str">
        <f>HYPERLINK("https://ictv.global/taxonomy/taxondetails?taxnode_id=202312488","Alphahypovirus alternariae")</f>
        <v>Alphahypovirus alternariae</v>
      </c>
      <c r="S13335" t="s">
        <v>30</v>
      </c>
      <c r="T13335" t="s">
        <v>29178</v>
      </c>
      <c r="U13335" t="s">
        <v>29179</v>
      </c>
      <c r="V13335" t="s">
        <v>29180</v>
      </c>
      <c r="W13335" t="s">
        <v>29181</v>
      </c>
      <c r="X13335" t="s">
        <v>35</v>
      </c>
      <c r="Y13335" t="s">
        <v>17171</v>
      </c>
      <c r="Z13335" t="s">
        <v>16721</v>
      </c>
      <c r="AA13335" s="22" t="str">
        <f>HYPERLINK("https://www.ncbi.nlm.nih.gov/nuccore/MK189193","NCBI Nucleotide")</f>
        <v>NCBI Nucleotide</v>
      </c>
    </row>
    <row r="13336" spans="1:27" x14ac:dyDescent="0.35">
      <c r="A13336">
        <v>1001121</v>
      </c>
      <c r="B13336">
        <v>12453</v>
      </c>
      <c r="C13336">
        <v>1</v>
      </c>
      <c r="D13336" t="s">
        <v>17166</v>
      </c>
      <c r="F13336" t="s">
        <v>17246</v>
      </c>
      <c r="H13336" t="s">
        <v>28921</v>
      </c>
      <c r="J13336" t="s">
        <v>28974</v>
      </c>
      <c r="L13336" t="s">
        <v>28975</v>
      </c>
      <c r="N13336" t="s">
        <v>29176</v>
      </c>
      <c r="P13336" t="s">
        <v>29177</v>
      </c>
      <c r="R13336" s="26" t="str">
        <f>HYPERLINK("https://ictv.global/taxonomy/taxondetails?taxnode_id=202303675","Alphahypovirus americanum")</f>
        <v>Alphahypovirus americanum</v>
      </c>
      <c r="S13336" t="s">
        <v>30</v>
      </c>
      <c r="T13336" t="s">
        <v>29182</v>
      </c>
      <c r="U13336" t="s">
        <v>29183</v>
      </c>
      <c r="V13336" t="s">
        <v>29184</v>
      </c>
      <c r="W13336" t="s">
        <v>29185</v>
      </c>
      <c r="X13336" t="s">
        <v>42</v>
      </c>
      <c r="Y13336" t="s">
        <v>17171</v>
      </c>
      <c r="Z13336" t="s">
        <v>16721</v>
      </c>
      <c r="AA13336" s="22" t="str">
        <f>HYPERLINK("https://www.ncbi.nlm.nih.gov/nuccore/L29010","NCBI Nucleotide")</f>
        <v>NCBI Nucleotide</v>
      </c>
    </row>
    <row r="13337" spans="1:27" x14ac:dyDescent="0.35">
      <c r="A13337">
        <v>1001122</v>
      </c>
      <c r="B13337">
        <v>12454</v>
      </c>
      <c r="C13337">
        <v>1</v>
      </c>
      <c r="D13337" t="s">
        <v>17166</v>
      </c>
      <c r="F13337" t="s">
        <v>17246</v>
      </c>
      <c r="H13337" t="s">
        <v>28921</v>
      </c>
      <c r="J13337" t="s">
        <v>28974</v>
      </c>
      <c r="L13337" t="s">
        <v>28975</v>
      </c>
      <c r="N13337" t="s">
        <v>29176</v>
      </c>
      <c r="P13337" t="s">
        <v>29177</v>
      </c>
      <c r="R13337" s="26" t="str">
        <f>HYPERLINK("https://ictv.global/taxonomy/taxondetails?taxnode_id=202312485","Alphahypovirus bipolaridis")</f>
        <v>Alphahypovirus bipolaridis</v>
      </c>
      <c r="S13337" t="s">
        <v>30</v>
      </c>
      <c r="T13337" t="s">
        <v>29186</v>
      </c>
      <c r="U13337" t="s">
        <v>29187</v>
      </c>
      <c r="V13337" t="s">
        <v>29188</v>
      </c>
      <c r="W13337" t="s">
        <v>29189</v>
      </c>
      <c r="X13337" t="s">
        <v>42</v>
      </c>
      <c r="Y13337" t="s">
        <v>17171</v>
      </c>
      <c r="Z13337" t="s">
        <v>16721</v>
      </c>
      <c r="AA13337" s="22" t="str">
        <f>HYPERLINK("https://www.ncbi.nlm.nih.gov/nuccore/MH316122","NCBI Nucleotide")</f>
        <v>NCBI Nucleotide</v>
      </c>
    </row>
    <row r="13338" spans="1:27" x14ac:dyDescent="0.35">
      <c r="A13338">
        <v>1001123</v>
      </c>
      <c r="B13338">
        <v>12455</v>
      </c>
      <c r="C13338">
        <v>1</v>
      </c>
      <c r="D13338" t="s">
        <v>17166</v>
      </c>
      <c r="F13338" t="s">
        <v>17246</v>
      </c>
      <c r="H13338" t="s">
        <v>28921</v>
      </c>
      <c r="J13338" t="s">
        <v>28974</v>
      </c>
      <c r="L13338" t="s">
        <v>28975</v>
      </c>
      <c r="N13338" t="s">
        <v>29176</v>
      </c>
      <c r="P13338" t="s">
        <v>29177</v>
      </c>
      <c r="R13338" s="26" t="str">
        <f>HYPERLINK("https://ictv.global/taxonomy/taxondetails?taxnode_id=202312487","Alphahypovirus botrytidis")</f>
        <v>Alphahypovirus botrytidis</v>
      </c>
      <c r="S13338" t="s">
        <v>30</v>
      </c>
      <c r="T13338" t="s">
        <v>29190</v>
      </c>
      <c r="U13338" t="s">
        <v>29191</v>
      </c>
      <c r="V13338" t="s">
        <v>29192</v>
      </c>
      <c r="W13338" t="s">
        <v>29193</v>
      </c>
      <c r="X13338" t="s">
        <v>35</v>
      </c>
      <c r="Y13338" t="s">
        <v>17171</v>
      </c>
      <c r="Z13338" t="s">
        <v>16721</v>
      </c>
      <c r="AA13338" s="22" t="str">
        <f>HYPERLINK("https://www.ncbi.nlm.nih.gov/nuccore/MN617169","NCBI Nucleotide")</f>
        <v>NCBI Nucleotide</v>
      </c>
    </row>
    <row r="13339" spans="1:27" x14ac:dyDescent="0.35">
      <c r="A13339">
        <v>1001124</v>
      </c>
      <c r="B13339">
        <v>12456</v>
      </c>
      <c r="C13339">
        <v>1</v>
      </c>
      <c r="D13339" t="s">
        <v>17166</v>
      </c>
      <c r="F13339" t="s">
        <v>17246</v>
      </c>
      <c r="H13339" t="s">
        <v>28921</v>
      </c>
      <c r="J13339" t="s">
        <v>28974</v>
      </c>
      <c r="L13339" t="s">
        <v>28975</v>
      </c>
      <c r="N13339" t="s">
        <v>29176</v>
      </c>
      <c r="P13339" t="s">
        <v>29177</v>
      </c>
      <c r="R13339" s="26" t="str">
        <f>HYPERLINK("https://ictv.global/taxonomy/taxondetails?taxnode_id=202303674","Alphahypovirus cryphonectriae")</f>
        <v>Alphahypovirus cryphonectriae</v>
      </c>
      <c r="S13339" t="s">
        <v>30</v>
      </c>
      <c r="T13339" t="s">
        <v>29194</v>
      </c>
      <c r="U13339" t="s">
        <v>29195</v>
      </c>
      <c r="V13339" t="s">
        <v>29196</v>
      </c>
      <c r="W13339" t="s">
        <v>29197</v>
      </c>
      <c r="X13339" t="s">
        <v>42</v>
      </c>
      <c r="Y13339" t="s">
        <v>17171</v>
      </c>
      <c r="Z13339" t="s">
        <v>16721</v>
      </c>
      <c r="AA13339" s="22" t="str">
        <f>HYPERLINK("https://www.ncbi.nlm.nih.gov/nuccore/M57938","NCBI Nucleotide")</f>
        <v>NCBI Nucleotide</v>
      </c>
    </row>
    <row r="13340" spans="1:27" x14ac:dyDescent="0.35">
      <c r="A13340">
        <v>1001125</v>
      </c>
      <c r="B13340">
        <v>12457</v>
      </c>
      <c r="C13340">
        <v>1</v>
      </c>
      <c r="D13340" t="s">
        <v>17166</v>
      </c>
      <c r="F13340" t="s">
        <v>17246</v>
      </c>
      <c r="H13340" t="s">
        <v>28921</v>
      </c>
      <c r="J13340" t="s">
        <v>28974</v>
      </c>
      <c r="L13340" t="s">
        <v>28975</v>
      </c>
      <c r="N13340" t="s">
        <v>29176</v>
      </c>
      <c r="P13340" t="s">
        <v>29177</v>
      </c>
      <c r="R13340" s="26" t="str">
        <f>HYPERLINK("https://ictv.global/taxonomy/taxondetails?taxnode_id=202312482","Alphahypovirus fusarii")</f>
        <v>Alphahypovirus fusarii</v>
      </c>
      <c r="S13340" t="s">
        <v>30</v>
      </c>
      <c r="T13340" t="s">
        <v>29198</v>
      </c>
      <c r="U13340" t="s">
        <v>29199</v>
      </c>
      <c r="V13340" t="s">
        <v>29200</v>
      </c>
      <c r="W13340" t="s">
        <v>29201</v>
      </c>
      <c r="X13340" t="s">
        <v>35</v>
      </c>
      <c r="Y13340" t="s">
        <v>17171</v>
      </c>
      <c r="Z13340" t="s">
        <v>16721</v>
      </c>
      <c r="AA13340" s="22" t="str">
        <f>HYPERLINK("https://www.ncbi.nlm.nih.gov/nuccore/MK279472","NCBI Nucleotide")</f>
        <v>NCBI Nucleotide</v>
      </c>
    </row>
    <row r="13341" spans="1:27" x14ac:dyDescent="0.35">
      <c r="A13341">
        <v>1001126</v>
      </c>
      <c r="B13341">
        <v>12458</v>
      </c>
      <c r="C13341">
        <v>1</v>
      </c>
      <c r="D13341" t="s">
        <v>17166</v>
      </c>
      <c r="F13341" t="s">
        <v>17246</v>
      </c>
      <c r="H13341" t="s">
        <v>28921</v>
      </c>
      <c r="J13341" t="s">
        <v>28974</v>
      </c>
      <c r="L13341" t="s">
        <v>28975</v>
      </c>
      <c r="N13341" t="s">
        <v>29176</v>
      </c>
      <c r="P13341" t="s">
        <v>29177</v>
      </c>
      <c r="R13341" s="26" t="str">
        <f>HYPERLINK("https://ictv.global/taxonomy/taxondetails?taxnode_id=202312489","Alphahypovirus insecti")</f>
        <v>Alphahypovirus insecti</v>
      </c>
      <c r="S13341" t="s">
        <v>30</v>
      </c>
      <c r="T13341" t="s">
        <v>29202</v>
      </c>
      <c r="U13341" t="s">
        <v>29203</v>
      </c>
      <c r="V13341" t="s">
        <v>29204</v>
      </c>
      <c r="W13341" t="s">
        <v>29205</v>
      </c>
      <c r="X13341" t="s">
        <v>35</v>
      </c>
      <c r="Y13341" t="s">
        <v>17171</v>
      </c>
      <c r="Z13341" t="s">
        <v>10790</v>
      </c>
      <c r="AA13341" s="22" t="str">
        <f>HYPERLINK("https://www.ncbi.nlm.nih.gov/nuccore/KX883007","NCBI Nucleotide")</f>
        <v>NCBI Nucleotide</v>
      </c>
    </row>
    <row r="13342" spans="1:27" x14ac:dyDescent="0.35">
      <c r="A13342">
        <v>1001127</v>
      </c>
      <c r="B13342">
        <v>12459</v>
      </c>
      <c r="C13342">
        <v>1</v>
      </c>
      <c r="D13342" t="s">
        <v>17166</v>
      </c>
      <c r="F13342" t="s">
        <v>17246</v>
      </c>
      <c r="H13342" t="s">
        <v>28921</v>
      </c>
      <c r="J13342" t="s">
        <v>28974</v>
      </c>
      <c r="L13342" t="s">
        <v>28975</v>
      </c>
      <c r="N13342" t="s">
        <v>29176</v>
      </c>
      <c r="P13342" t="s">
        <v>29177</v>
      </c>
      <c r="R13342" s="26" t="str">
        <f>HYPERLINK("https://ictv.global/taxonomy/taxondetails?taxnode_id=202312484","Alphahypovirus japonicum")</f>
        <v>Alphahypovirus japonicum</v>
      </c>
      <c r="S13342" t="s">
        <v>30</v>
      </c>
      <c r="T13342" t="s">
        <v>29206</v>
      </c>
      <c r="U13342" t="s">
        <v>29207</v>
      </c>
      <c r="V13342" t="s">
        <v>29208</v>
      </c>
      <c r="W13342" t="s">
        <v>29209</v>
      </c>
      <c r="X13342" t="s">
        <v>42</v>
      </c>
      <c r="Y13342" t="s">
        <v>17171</v>
      </c>
      <c r="Z13342" t="s">
        <v>16721</v>
      </c>
      <c r="AA13342" s="22" t="str">
        <f>HYPERLINK("https://www.ncbi.nlm.nih.gov/nuccore/LC596823","NCBI Nucleotide")</f>
        <v>NCBI Nucleotide</v>
      </c>
    </row>
    <row r="13343" spans="1:27" x14ac:dyDescent="0.35">
      <c r="A13343">
        <v>1001128</v>
      </c>
      <c r="B13343">
        <v>12460</v>
      </c>
      <c r="C13343">
        <v>1</v>
      </c>
      <c r="D13343" t="s">
        <v>17166</v>
      </c>
      <c r="F13343" t="s">
        <v>17246</v>
      </c>
      <c r="H13343" t="s">
        <v>28921</v>
      </c>
      <c r="J13343" t="s">
        <v>28974</v>
      </c>
      <c r="L13343" t="s">
        <v>28975</v>
      </c>
      <c r="N13343" t="s">
        <v>29176</v>
      </c>
      <c r="P13343" t="s">
        <v>29177</v>
      </c>
      <c r="R13343" s="26" t="str">
        <f>HYPERLINK("https://ictv.global/taxonomy/taxondetails?taxnode_id=202312481","Alphahypovirus macrophominae")</f>
        <v>Alphahypovirus macrophominae</v>
      </c>
      <c r="S13343" t="s">
        <v>30</v>
      </c>
      <c r="T13343" t="s">
        <v>35288</v>
      </c>
      <c r="U13343" t="s">
        <v>35289</v>
      </c>
      <c r="V13343" t="s">
        <v>35290</v>
      </c>
      <c r="W13343" t="s">
        <v>35291</v>
      </c>
      <c r="X13343" t="s">
        <v>35</v>
      </c>
      <c r="Y13343" t="s">
        <v>17171</v>
      </c>
      <c r="Z13343" t="s">
        <v>16721</v>
      </c>
      <c r="AA13343" s="22" t="str">
        <f>HYPERLINK("https://www.ncbi.nlm.nih.gov/nuccore/MT062425","NCBI Nucleotide")</f>
        <v>NCBI Nucleotide</v>
      </c>
    </row>
    <row r="13344" spans="1:27" x14ac:dyDescent="0.35">
      <c r="A13344">
        <v>1011354</v>
      </c>
      <c r="B13344">
        <v>12460</v>
      </c>
      <c r="C13344">
        <v>2</v>
      </c>
      <c r="D13344" t="s">
        <v>17166</v>
      </c>
      <c r="F13344" t="s">
        <v>17246</v>
      </c>
      <c r="H13344" t="s">
        <v>28921</v>
      </c>
      <c r="J13344" t="s">
        <v>28974</v>
      </c>
      <c r="L13344" t="s">
        <v>28975</v>
      </c>
      <c r="N13344" t="s">
        <v>29176</v>
      </c>
      <c r="P13344" t="s">
        <v>29177</v>
      </c>
      <c r="R13344" s="26" t="str">
        <f>HYPERLINK("https://ictv.global/taxonomy/taxondetails?taxnode_id=202312481","Alphahypovirus macrophominae")</f>
        <v>Alphahypovirus macrophominae</v>
      </c>
      <c r="S13344" t="s">
        <v>8141</v>
      </c>
      <c r="T13344" t="s">
        <v>29210</v>
      </c>
      <c r="U13344" t="s">
        <v>29211</v>
      </c>
      <c r="V13344" t="s">
        <v>29212</v>
      </c>
      <c r="W13344" t="s">
        <v>49574</v>
      </c>
      <c r="X13344" t="s">
        <v>154</v>
      </c>
      <c r="Y13344" t="s">
        <v>17171</v>
      </c>
      <c r="Z13344" t="s">
        <v>16721</v>
      </c>
      <c r="AA13344" s="22" t="str">
        <f>HYPERLINK("https://www.ncbi.nlm.nih.gov/nuccore/KP900893","NCBI Nucleotide")</f>
        <v>NCBI Nucleotide</v>
      </c>
    </row>
    <row r="13345" spans="1:27" x14ac:dyDescent="0.35">
      <c r="A13345">
        <v>1001129</v>
      </c>
      <c r="B13345">
        <v>12461</v>
      </c>
      <c r="C13345">
        <v>1</v>
      </c>
      <c r="D13345" t="s">
        <v>17166</v>
      </c>
      <c r="F13345" t="s">
        <v>17246</v>
      </c>
      <c r="H13345" t="s">
        <v>28921</v>
      </c>
      <c r="J13345" t="s">
        <v>28974</v>
      </c>
      <c r="L13345" t="s">
        <v>28975</v>
      </c>
      <c r="N13345" t="s">
        <v>29176</v>
      </c>
      <c r="P13345" t="s">
        <v>29177</v>
      </c>
      <c r="R13345" s="26" t="str">
        <f>HYPERLINK("https://ictv.global/taxonomy/taxondetails?taxnode_id=202312486","Alphahypovirus sacchari")</f>
        <v>Alphahypovirus sacchari</v>
      </c>
      <c r="S13345" t="s">
        <v>30</v>
      </c>
      <c r="T13345" t="s">
        <v>29213</v>
      </c>
      <c r="U13345" t="s">
        <v>29207</v>
      </c>
      <c r="V13345" t="s">
        <v>29214</v>
      </c>
      <c r="W13345" t="s">
        <v>29215</v>
      </c>
      <c r="X13345" t="s">
        <v>42</v>
      </c>
      <c r="Y13345" t="s">
        <v>17171</v>
      </c>
      <c r="Z13345" t="s">
        <v>16721</v>
      </c>
      <c r="AA13345" s="22" t="str">
        <f>HYPERLINK("https://www.ncbi.nlm.nih.gov/nuccore/MN295969","NCBI Nucleotide")</f>
        <v>NCBI Nucleotide</v>
      </c>
    </row>
    <row r="13346" spans="1:27" x14ac:dyDescent="0.35">
      <c r="A13346">
        <v>1001130</v>
      </c>
      <c r="B13346">
        <v>12462</v>
      </c>
      <c r="C13346">
        <v>1</v>
      </c>
      <c r="D13346" t="s">
        <v>17166</v>
      </c>
      <c r="F13346" t="s">
        <v>17246</v>
      </c>
      <c r="H13346" t="s">
        <v>28921</v>
      </c>
      <c r="J13346" t="s">
        <v>28974</v>
      </c>
      <c r="L13346" t="s">
        <v>28975</v>
      </c>
      <c r="N13346" t="s">
        <v>29176</v>
      </c>
      <c r="P13346" t="s">
        <v>29177</v>
      </c>
      <c r="R13346" s="26" t="str">
        <f>HYPERLINK("https://ictv.global/taxonomy/taxondetails?taxnode_id=202312483","Alphahypovirus trichodermae")</f>
        <v>Alphahypovirus trichodermae</v>
      </c>
      <c r="S13346" t="s">
        <v>30</v>
      </c>
      <c r="T13346" t="s">
        <v>29216</v>
      </c>
      <c r="U13346" t="s">
        <v>29217</v>
      </c>
      <c r="V13346" t="s">
        <v>29218</v>
      </c>
      <c r="W13346" t="s">
        <v>29219</v>
      </c>
      <c r="X13346" t="s">
        <v>35</v>
      </c>
      <c r="Y13346" t="s">
        <v>17171</v>
      </c>
      <c r="Z13346" t="s">
        <v>16721</v>
      </c>
      <c r="AA13346" s="22" t="str">
        <f>HYPERLINK("https://www.ncbi.nlm.nih.gov/nuccore/MK279475","NCBI Nucleotide")</f>
        <v>NCBI Nucleotide</v>
      </c>
    </row>
    <row r="13347" spans="1:27" x14ac:dyDescent="0.35">
      <c r="A13347">
        <v>1001131</v>
      </c>
      <c r="B13347">
        <v>12463</v>
      </c>
      <c r="C13347">
        <v>1</v>
      </c>
      <c r="D13347" t="s">
        <v>17166</v>
      </c>
      <c r="F13347" t="s">
        <v>17246</v>
      </c>
      <c r="H13347" t="s">
        <v>28921</v>
      </c>
      <c r="J13347" t="s">
        <v>28974</v>
      </c>
      <c r="L13347" t="s">
        <v>28975</v>
      </c>
      <c r="N13347" t="s">
        <v>29176</v>
      </c>
      <c r="P13347" t="s">
        <v>29220</v>
      </c>
      <c r="R13347" s="26" t="str">
        <f>HYPERLINK("https://ictv.global/taxonomy/taxondetails?taxnode_id=202303677","Betahypovirus americanum")</f>
        <v>Betahypovirus americanum</v>
      </c>
      <c r="S13347" t="s">
        <v>30</v>
      </c>
      <c r="T13347" t="s">
        <v>29221</v>
      </c>
      <c r="U13347" t="s">
        <v>29222</v>
      </c>
      <c r="V13347" t="s">
        <v>29223</v>
      </c>
      <c r="W13347" t="s">
        <v>29224</v>
      </c>
      <c r="X13347" t="s">
        <v>42</v>
      </c>
      <c r="Y13347" t="s">
        <v>17171</v>
      </c>
      <c r="Z13347" t="s">
        <v>16721</v>
      </c>
      <c r="AA13347" s="22" t="str">
        <f>HYPERLINK("https://www.ncbi.nlm.nih.gov/nuccore/AY307099","NCBI Nucleotide")</f>
        <v>NCBI Nucleotide</v>
      </c>
    </row>
    <row r="13348" spans="1:27" x14ac:dyDescent="0.35">
      <c r="A13348">
        <v>1001132</v>
      </c>
      <c r="B13348">
        <v>12464</v>
      </c>
      <c r="C13348">
        <v>1</v>
      </c>
      <c r="D13348" t="s">
        <v>17166</v>
      </c>
      <c r="F13348" t="s">
        <v>17246</v>
      </c>
      <c r="H13348" t="s">
        <v>28921</v>
      </c>
      <c r="J13348" t="s">
        <v>28974</v>
      </c>
      <c r="L13348" t="s">
        <v>28975</v>
      </c>
      <c r="N13348" t="s">
        <v>29176</v>
      </c>
      <c r="P13348" t="s">
        <v>29220</v>
      </c>
      <c r="R13348" s="26" t="str">
        <f>HYPERLINK("https://ictv.global/taxonomy/taxondetails?taxnode_id=202303676","Betahypovirus cryphonectriae")</f>
        <v>Betahypovirus cryphonectriae</v>
      </c>
      <c r="S13348" t="s">
        <v>30</v>
      </c>
      <c r="T13348" t="s">
        <v>29225</v>
      </c>
      <c r="U13348" t="s">
        <v>29226</v>
      </c>
      <c r="V13348" t="s">
        <v>29227</v>
      </c>
      <c r="W13348" t="s">
        <v>29228</v>
      </c>
      <c r="X13348" t="s">
        <v>42</v>
      </c>
      <c r="Y13348" t="s">
        <v>17171</v>
      </c>
      <c r="Z13348" t="s">
        <v>16721</v>
      </c>
      <c r="AA13348" s="22" t="str">
        <f>HYPERLINK("https://www.ncbi.nlm.nih.gov/nuccore/AF188515","NCBI Nucleotide")</f>
        <v>NCBI Nucleotide</v>
      </c>
    </row>
    <row r="13349" spans="1:27" x14ac:dyDescent="0.35">
      <c r="A13349">
        <v>1001133</v>
      </c>
      <c r="B13349">
        <v>12465</v>
      </c>
      <c r="C13349">
        <v>1</v>
      </c>
      <c r="D13349" t="s">
        <v>17166</v>
      </c>
      <c r="F13349" t="s">
        <v>17246</v>
      </c>
      <c r="H13349" t="s">
        <v>28921</v>
      </c>
      <c r="J13349" t="s">
        <v>28974</v>
      </c>
      <c r="L13349" t="s">
        <v>28975</v>
      </c>
      <c r="N13349" t="s">
        <v>29176</v>
      </c>
      <c r="P13349" t="s">
        <v>29220</v>
      </c>
      <c r="R13349" s="26" t="str">
        <f>HYPERLINK("https://ictv.global/taxonomy/taxondetails?taxnode_id=202312494","Betahypovirus fusarii")</f>
        <v>Betahypovirus fusarii</v>
      </c>
      <c r="S13349" t="s">
        <v>30</v>
      </c>
      <c r="T13349" t="s">
        <v>29229</v>
      </c>
      <c r="U13349" t="s">
        <v>29230</v>
      </c>
      <c r="W13349" t="s">
        <v>29231</v>
      </c>
      <c r="X13349" t="s">
        <v>42</v>
      </c>
      <c r="Y13349" t="s">
        <v>17171</v>
      </c>
      <c r="Z13349" t="s">
        <v>16721</v>
      </c>
      <c r="AA13349" s="22" t="str">
        <f>HYPERLINK("https://www.ncbi.nlm.nih.gov/nuccore/MN176979","NCBI Nucleotide")</f>
        <v>NCBI Nucleotide</v>
      </c>
    </row>
    <row r="13350" spans="1:27" x14ac:dyDescent="0.35">
      <c r="A13350">
        <v>1001134</v>
      </c>
      <c r="B13350">
        <v>12466</v>
      </c>
      <c r="C13350">
        <v>1</v>
      </c>
      <c r="D13350" t="s">
        <v>17166</v>
      </c>
      <c r="F13350" t="s">
        <v>17246</v>
      </c>
      <c r="H13350" t="s">
        <v>28921</v>
      </c>
      <c r="J13350" t="s">
        <v>28974</v>
      </c>
      <c r="L13350" t="s">
        <v>28975</v>
      </c>
      <c r="N13350" t="s">
        <v>29176</v>
      </c>
      <c r="P13350" t="s">
        <v>29220</v>
      </c>
      <c r="R13350" s="26" t="str">
        <f>HYPERLINK("https://ictv.global/taxonomy/taxondetails?taxnode_id=202312496","Betahypovirus phomopsis")</f>
        <v>Betahypovirus phomopsis</v>
      </c>
      <c r="S13350" t="s">
        <v>30</v>
      </c>
      <c r="T13350" t="s">
        <v>29232</v>
      </c>
      <c r="U13350" t="s">
        <v>29233</v>
      </c>
      <c r="V13350" t="s">
        <v>29234</v>
      </c>
      <c r="W13350" t="s">
        <v>29235</v>
      </c>
      <c r="X13350" t="s">
        <v>42</v>
      </c>
      <c r="Y13350" t="s">
        <v>17171</v>
      </c>
      <c r="Z13350" t="s">
        <v>16721</v>
      </c>
      <c r="AA13350" s="22" t="str">
        <f>HYPERLINK("https://www.ncbi.nlm.nih.gov/nuccore/KF537784","NCBI Nucleotide")</f>
        <v>NCBI Nucleotide</v>
      </c>
    </row>
    <row r="13351" spans="1:27" x14ac:dyDescent="0.35">
      <c r="A13351">
        <v>1001135</v>
      </c>
      <c r="B13351">
        <v>12467</v>
      </c>
      <c r="C13351">
        <v>1</v>
      </c>
      <c r="D13351" t="s">
        <v>17166</v>
      </c>
      <c r="F13351" t="s">
        <v>17246</v>
      </c>
      <c r="H13351" t="s">
        <v>28921</v>
      </c>
      <c r="J13351" t="s">
        <v>28974</v>
      </c>
      <c r="L13351" t="s">
        <v>28975</v>
      </c>
      <c r="N13351" t="s">
        <v>29176</v>
      </c>
      <c r="P13351" t="s">
        <v>29220</v>
      </c>
      <c r="R13351" s="26" t="str">
        <f>HYPERLINK("https://ictv.global/taxonomy/taxondetails?taxnode_id=202312491","Betahypovirus sclerotiniae")</f>
        <v>Betahypovirus sclerotiniae</v>
      </c>
      <c r="S13351" t="s">
        <v>30</v>
      </c>
      <c r="T13351" t="s">
        <v>29236</v>
      </c>
      <c r="U13351" t="s">
        <v>29237</v>
      </c>
      <c r="V13351" t="s">
        <v>29238</v>
      </c>
      <c r="W13351" t="s">
        <v>29239</v>
      </c>
      <c r="X13351" t="s">
        <v>42</v>
      </c>
      <c r="Y13351" t="s">
        <v>17171</v>
      </c>
      <c r="Z13351" t="s">
        <v>16721</v>
      </c>
      <c r="AA13351" s="22" t="str">
        <f>HYPERLINK("https://www.ncbi.nlm.nih.gov/nuccore/JF781304","NCBI Nucleotide")</f>
        <v>NCBI Nucleotide</v>
      </c>
    </row>
    <row r="13352" spans="1:27" x14ac:dyDescent="0.35">
      <c r="A13352">
        <v>1011355</v>
      </c>
      <c r="B13352">
        <v>12467</v>
      </c>
      <c r="C13352">
        <v>2</v>
      </c>
      <c r="D13352" t="s">
        <v>17166</v>
      </c>
      <c r="F13352" t="s">
        <v>17246</v>
      </c>
      <c r="H13352" t="s">
        <v>28921</v>
      </c>
      <c r="J13352" t="s">
        <v>28974</v>
      </c>
      <c r="L13352" t="s">
        <v>28975</v>
      </c>
      <c r="N13352" t="s">
        <v>29176</v>
      </c>
      <c r="P13352" t="s">
        <v>29220</v>
      </c>
      <c r="R13352" s="26" t="str">
        <f>HYPERLINK("https://ictv.global/taxonomy/taxondetails?taxnode_id=202312491","Betahypovirus sclerotiniae")</f>
        <v>Betahypovirus sclerotiniae</v>
      </c>
      <c r="S13352" t="s">
        <v>8141</v>
      </c>
      <c r="T13352" t="s">
        <v>35292</v>
      </c>
      <c r="U13352" t="s">
        <v>35293</v>
      </c>
      <c r="V13352" t="s">
        <v>35294</v>
      </c>
      <c r="W13352" t="s">
        <v>49575</v>
      </c>
      <c r="X13352" t="s">
        <v>42</v>
      </c>
      <c r="Y13352" t="s">
        <v>17171</v>
      </c>
      <c r="Z13352" t="s">
        <v>16721</v>
      </c>
      <c r="AA13352" s="22" t="str">
        <f>HYPERLINK("https://www.ncbi.nlm.nih.gov/nuccore/MN617170","NCBI Nucleotide")</f>
        <v>NCBI Nucleotide</v>
      </c>
    </row>
    <row r="13353" spans="1:27" x14ac:dyDescent="0.35">
      <c r="A13353">
        <v>1001136</v>
      </c>
      <c r="B13353">
        <v>12468</v>
      </c>
      <c r="C13353">
        <v>1</v>
      </c>
      <c r="D13353" t="s">
        <v>17166</v>
      </c>
      <c r="F13353" t="s">
        <v>17246</v>
      </c>
      <c r="H13353" t="s">
        <v>28921</v>
      </c>
      <c r="J13353" t="s">
        <v>28974</v>
      </c>
      <c r="L13353" t="s">
        <v>28975</v>
      </c>
      <c r="N13353" t="s">
        <v>29176</v>
      </c>
      <c r="P13353" t="s">
        <v>29220</v>
      </c>
      <c r="R13353" s="26" t="str">
        <f>HYPERLINK("https://ictv.global/taxonomy/taxondetails?taxnode_id=202312492","Betahypovirus setosphaeriae")</f>
        <v>Betahypovirus setosphaeriae</v>
      </c>
      <c r="S13353" t="s">
        <v>30</v>
      </c>
      <c r="T13353" t="s">
        <v>29240</v>
      </c>
      <c r="U13353" t="s">
        <v>29241</v>
      </c>
      <c r="V13353" t="s">
        <v>29242</v>
      </c>
      <c r="W13353" t="s">
        <v>29243</v>
      </c>
      <c r="X13353" t="s">
        <v>35</v>
      </c>
      <c r="Y13353" t="s">
        <v>17171</v>
      </c>
      <c r="Z13353" t="s">
        <v>16721</v>
      </c>
      <c r="AA13353" s="22" t="str">
        <f>HYPERLINK("https://www.ncbi.nlm.nih.gov/nuccore/MK279474","NCBI Nucleotide")</f>
        <v>NCBI Nucleotide</v>
      </c>
    </row>
    <row r="13354" spans="1:27" x14ac:dyDescent="0.35">
      <c r="A13354">
        <v>1001137</v>
      </c>
      <c r="B13354">
        <v>12469</v>
      </c>
      <c r="C13354">
        <v>1</v>
      </c>
      <c r="D13354" t="s">
        <v>17166</v>
      </c>
      <c r="F13354" t="s">
        <v>17246</v>
      </c>
      <c r="H13354" t="s">
        <v>28921</v>
      </c>
      <c r="J13354" t="s">
        <v>28974</v>
      </c>
      <c r="L13354" t="s">
        <v>28975</v>
      </c>
      <c r="N13354" t="s">
        <v>29176</v>
      </c>
      <c r="P13354" t="s">
        <v>29220</v>
      </c>
      <c r="R13354" s="26" t="str">
        <f>HYPERLINK("https://ictv.global/taxonomy/taxondetails?taxnode_id=202312497","Betahypovirus sinensis")</f>
        <v>Betahypovirus sinensis</v>
      </c>
      <c r="S13354" t="s">
        <v>30</v>
      </c>
      <c r="T13354" t="s">
        <v>29244</v>
      </c>
      <c r="U13354" t="s">
        <v>29245</v>
      </c>
      <c r="V13354" t="s">
        <v>18559</v>
      </c>
      <c r="W13354" t="s">
        <v>29246</v>
      </c>
      <c r="X13354" t="s">
        <v>42</v>
      </c>
      <c r="Y13354" t="s">
        <v>17171</v>
      </c>
      <c r="Z13354" t="s">
        <v>16721</v>
      </c>
      <c r="AA13354" s="22" t="str">
        <f>HYPERLINK("https://www.ncbi.nlm.nih.gov/nuccore/MG554632","NCBI Nucleotide")</f>
        <v>NCBI Nucleotide</v>
      </c>
    </row>
    <row r="13355" spans="1:27" x14ac:dyDescent="0.35">
      <c r="A13355">
        <v>1001138</v>
      </c>
      <c r="B13355">
        <v>12470</v>
      </c>
      <c r="C13355">
        <v>1</v>
      </c>
      <c r="D13355" t="s">
        <v>17166</v>
      </c>
      <c r="F13355" t="s">
        <v>17246</v>
      </c>
      <c r="H13355" t="s">
        <v>28921</v>
      </c>
      <c r="J13355" t="s">
        <v>28974</v>
      </c>
      <c r="L13355" t="s">
        <v>28975</v>
      </c>
      <c r="N13355" t="s">
        <v>29176</v>
      </c>
      <c r="P13355" t="s">
        <v>29220</v>
      </c>
      <c r="R13355" s="26" t="str">
        <f>HYPERLINK("https://ictv.global/taxonomy/taxondetails?taxnode_id=202312493","Betahypovirus trichodermae")</f>
        <v>Betahypovirus trichodermae</v>
      </c>
      <c r="S13355" t="s">
        <v>30</v>
      </c>
      <c r="T13355" t="s">
        <v>29247</v>
      </c>
      <c r="U13355" t="s">
        <v>29248</v>
      </c>
      <c r="V13355" t="s">
        <v>29249</v>
      </c>
      <c r="W13355" t="s">
        <v>29250</v>
      </c>
      <c r="X13355" t="s">
        <v>42</v>
      </c>
      <c r="Y13355" t="s">
        <v>17171</v>
      </c>
      <c r="Z13355" t="s">
        <v>16721</v>
      </c>
      <c r="AA13355" s="22" t="str">
        <f>HYPERLINK("https://www.ncbi.nlm.nih.gov/nuccore/MN172262","NCBI Nucleotide")</f>
        <v>NCBI Nucleotide</v>
      </c>
    </row>
    <row r="13356" spans="1:27" x14ac:dyDescent="0.35">
      <c r="A13356">
        <v>1001139</v>
      </c>
      <c r="B13356">
        <v>12471</v>
      </c>
      <c r="C13356">
        <v>1</v>
      </c>
      <c r="D13356" t="s">
        <v>17166</v>
      </c>
      <c r="F13356" t="s">
        <v>17246</v>
      </c>
      <c r="H13356" t="s">
        <v>28921</v>
      </c>
      <c r="J13356" t="s">
        <v>28974</v>
      </c>
      <c r="L13356" t="s">
        <v>28975</v>
      </c>
      <c r="N13356" t="s">
        <v>29176</v>
      </c>
      <c r="P13356" t="s">
        <v>29220</v>
      </c>
      <c r="R13356" s="26" t="str">
        <f>HYPERLINK("https://ictv.global/taxonomy/taxondetails?taxnode_id=202312495","Betahypovirus valsae")</f>
        <v>Betahypovirus valsae</v>
      </c>
      <c r="S13356" t="s">
        <v>30</v>
      </c>
      <c r="T13356" t="s">
        <v>29251</v>
      </c>
      <c r="U13356" t="s">
        <v>29252</v>
      </c>
      <c r="V13356" t="s">
        <v>29253</v>
      </c>
      <c r="W13356" t="s">
        <v>29254</v>
      </c>
      <c r="X13356" t="s">
        <v>42</v>
      </c>
      <c r="Y13356" t="s">
        <v>17171</v>
      </c>
      <c r="Z13356" t="s">
        <v>16721</v>
      </c>
      <c r="AA13356" s="22" t="str">
        <f>HYPERLINK("https://www.ncbi.nlm.nih.gov/nuccore/AB690372","NCBI Nucleotide")</f>
        <v>NCBI Nucleotide</v>
      </c>
    </row>
    <row r="13357" spans="1:27" x14ac:dyDescent="0.35">
      <c r="A13357">
        <v>1001140</v>
      </c>
      <c r="B13357">
        <v>12472</v>
      </c>
      <c r="C13357">
        <v>1</v>
      </c>
      <c r="D13357" t="s">
        <v>17166</v>
      </c>
      <c r="F13357" t="s">
        <v>17246</v>
      </c>
      <c r="H13357" t="s">
        <v>28921</v>
      </c>
      <c r="J13357" t="s">
        <v>28974</v>
      </c>
      <c r="L13357" t="s">
        <v>28975</v>
      </c>
      <c r="N13357" t="s">
        <v>29176</v>
      </c>
      <c r="P13357" t="s">
        <v>29255</v>
      </c>
      <c r="R13357" s="26" t="str">
        <f>HYPERLINK("https://ictv.global/taxonomy/taxondetails?taxnode_id=202312505","Deltahypovirus sinicum")</f>
        <v>Deltahypovirus sinicum</v>
      </c>
      <c r="S13357" t="s">
        <v>30</v>
      </c>
      <c r="T13357" t="s">
        <v>29256</v>
      </c>
      <c r="U13357" t="s">
        <v>29257</v>
      </c>
      <c r="V13357" t="s">
        <v>29258</v>
      </c>
      <c r="W13357" t="s">
        <v>29259</v>
      </c>
      <c r="X13357" t="s">
        <v>35</v>
      </c>
      <c r="Y13357" t="s">
        <v>17171</v>
      </c>
      <c r="Z13357" t="s">
        <v>10790</v>
      </c>
      <c r="AA13357" s="22" t="str">
        <f>HYPERLINK("https://www.ncbi.nlm.nih.gov/nuccore/KX883006","NCBI Nucleotide")</f>
        <v>NCBI Nucleotide</v>
      </c>
    </row>
    <row r="13358" spans="1:27" x14ac:dyDescent="0.35">
      <c r="A13358">
        <v>1001141</v>
      </c>
      <c r="B13358">
        <v>12473</v>
      </c>
      <c r="C13358">
        <v>1</v>
      </c>
      <c r="D13358" t="s">
        <v>17166</v>
      </c>
      <c r="F13358" t="s">
        <v>17246</v>
      </c>
      <c r="H13358" t="s">
        <v>28921</v>
      </c>
      <c r="J13358" t="s">
        <v>28974</v>
      </c>
      <c r="L13358" t="s">
        <v>28975</v>
      </c>
      <c r="N13358" t="s">
        <v>29176</v>
      </c>
      <c r="P13358" t="s">
        <v>29255</v>
      </c>
      <c r="R13358" s="26" t="str">
        <f>HYPERLINK("https://ictv.global/taxonomy/taxondetails?taxnode_id=202312506","Deltahypovirus sipunculidi")</f>
        <v>Deltahypovirus sipunculidi</v>
      </c>
      <c r="S13358" t="s">
        <v>30</v>
      </c>
      <c r="T13358" t="s">
        <v>29260</v>
      </c>
      <c r="U13358" t="s">
        <v>29261</v>
      </c>
      <c r="V13358" t="s">
        <v>29262</v>
      </c>
      <c r="W13358" t="s">
        <v>29263</v>
      </c>
      <c r="X13358" t="s">
        <v>35</v>
      </c>
      <c r="Y13358" t="s">
        <v>17171</v>
      </c>
      <c r="Z13358" t="s">
        <v>10790</v>
      </c>
      <c r="AA13358" s="22" t="str">
        <f>HYPERLINK("https://www.ncbi.nlm.nih.gov/nuccore/KX883005","NCBI Nucleotide")</f>
        <v>NCBI Nucleotide</v>
      </c>
    </row>
    <row r="13359" spans="1:27" x14ac:dyDescent="0.35">
      <c r="A13359">
        <v>1001142</v>
      </c>
      <c r="B13359">
        <v>12474</v>
      </c>
      <c r="C13359">
        <v>1</v>
      </c>
      <c r="D13359" t="s">
        <v>17166</v>
      </c>
      <c r="F13359" t="s">
        <v>17246</v>
      </c>
      <c r="H13359" t="s">
        <v>28921</v>
      </c>
      <c r="J13359" t="s">
        <v>28974</v>
      </c>
      <c r="L13359" t="s">
        <v>28975</v>
      </c>
      <c r="N13359" t="s">
        <v>29176</v>
      </c>
      <c r="P13359" t="s">
        <v>29264</v>
      </c>
      <c r="R13359" s="26" t="str">
        <f>HYPERLINK("https://ictv.global/taxonomy/taxondetails?taxnode_id=202312508","Epsilonhypovirus agarici")</f>
        <v>Epsilonhypovirus agarici</v>
      </c>
      <c r="S13359" t="s">
        <v>30</v>
      </c>
      <c r="T13359" t="s">
        <v>29265</v>
      </c>
      <c r="U13359" t="s">
        <v>29266</v>
      </c>
      <c r="V13359" t="s">
        <v>29267</v>
      </c>
      <c r="W13359" t="s">
        <v>29268</v>
      </c>
      <c r="X13359" t="s">
        <v>154</v>
      </c>
      <c r="Y13359" t="s">
        <v>17171</v>
      </c>
      <c r="Z13359" t="s">
        <v>16721</v>
      </c>
      <c r="AA13359" s="22" t="str">
        <f>HYPERLINK("https://www.ncbi.nlm.nih.gov/nuccore/KY357507","NCBI Nucleotide")</f>
        <v>NCBI Nucleotide</v>
      </c>
    </row>
    <row r="13360" spans="1:27" x14ac:dyDescent="0.35">
      <c r="A13360">
        <v>1001143</v>
      </c>
      <c r="B13360">
        <v>12475</v>
      </c>
      <c r="C13360">
        <v>1</v>
      </c>
      <c r="D13360" t="s">
        <v>17166</v>
      </c>
      <c r="F13360" t="s">
        <v>17246</v>
      </c>
      <c r="H13360" t="s">
        <v>28921</v>
      </c>
      <c r="J13360" t="s">
        <v>28974</v>
      </c>
      <c r="L13360" t="s">
        <v>28975</v>
      </c>
      <c r="N13360" t="s">
        <v>29176</v>
      </c>
      <c r="P13360" t="s">
        <v>29264</v>
      </c>
      <c r="R13360" s="26" t="str">
        <f>HYPERLINK("https://ictv.global/taxonomy/taxondetails?taxnode_id=202312509","Epsilonhypovirus entoleucae")</f>
        <v>Epsilonhypovirus entoleucae</v>
      </c>
      <c r="S13360" t="s">
        <v>30</v>
      </c>
      <c r="T13360" t="s">
        <v>29269</v>
      </c>
      <c r="U13360" t="s">
        <v>29270</v>
      </c>
      <c r="V13360" t="s">
        <v>29271</v>
      </c>
      <c r="W13360" t="s">
        <v>29272</v>
      </c>
      <c r="X13360" t="s">
        <v>42</v>
      </c>
      <c r="Y13360" t="s">
        <v>17171</v>
      </c>
      <c r="Z13360" t="s">
        <v>16721</v>
      </c>
      <c r="AA13360" s="22" t="str">
        <f>HYPERLINK("https://www.ncbi.nlm.nih.gov/nuccore/MF536690","NCBI Nucleotide")</f>
        <v>NCBI Nucleotide</v>
      </c>
    </row>
    <row r="13361" spans="1:27" x14ac:dyDescent="0.35">
      <c r="A13361">
        <v>1011356</v>
      </c>
      <c r="B13361">
        <v>12475</v>
      </c>
      <c r="C13361">
        <v>2</v>
      </c>
      <c r="D13361" t="s">
        <v>17166</v>
      </c>
      <c r="F13361" t="s">
        <v>17246</v>
      </c>
      <c r="H13361" t="s">
        <v>28921</v>
      </c>
      <c r="J13361" t="s">
        <v>28974</v>
      </c>
      <c r="L13361" t="s">
        <v>28975</v>
      </c>
      <c r="N13361" t="s">
        <v>29176</v>
      </c>
      <c r="P13361" t="s">
        <v>29264</v>
      </c>
      <c r="R13361" s="26" t="str">
        <f>HYPERLINK("https://ictv.global/taxonomy/taxondetails?taxnode_id=202312509","Epsilonhypovirus entoleucae")</f>
        <v>Epsilonhypovirus entoleucae</v>
      </c>
      <c r="S13361" t="s">
        <v>8141</v>
      </c>
      <c r="T13361" t="s">
        <v>35295</v>
      </c>
      <c r="U13361" t="s">
        <v>35296</v>
      </c>
      <c r="V13361" t="s">
        <v>35297</v>
      </c>
      <c r="W13361" t="s">
        <v>49576</v>
      </c>
      <c r="X13361" t="s">
        <v>35</v>
      </c>
      <c r="Y13361" t="s">
        <v>17171</v>
      </c>
      <c r="Z13361" t="s">
        <v>16721</v>
      </c>
      <c r="AA13361" s="22" t="str">
        <f>HYPERLINK("https://www.ncbi.nlm.nih.gov/nuccore/LC333733","NCBI Nucleotide")</f>
        <v>NCBI Nucleotide</v>
      </c>
    </row>
    <row r="13362" spans="1:27" x14ac:dyDescent="0.35">
      <c r="A13362">
        <v>1001144</v>
      </c>
      <c r="B13362">
        <v>12476</v>
      </c>
      <c r="C13362">
        <v>1</v>
      </c>
      <c r="D13362" t="s">
        <v>17166</v>
      </c>
      <c r="F13362" t="s">
        <v>17246</v>
      </c>
      <c r="H13362" t="s">
        <v>28921</v>
      </c>
      <c r="J13362" t="s">
        <v>28974</v>
      </c>
      <c r="L13362" t="s">
        <v>28975</v>
      </c>
      <c r="N13362" t="s">
        <v>29176</v>
      </c>
      <c r="P13362" t="s">
        <v>29264</v>
      </c>
      <c r="R13362" s="26" t="str">
        <f>HYPERLINK("https://ictv.global/taxonomy/taxondetails?taxnode_id=202312511","Epsilonhypovirus japonicum")</f>
        <v>Epsilonhypovirus japonicum</v>
      </c>
      <c r="S13362" t="s">
        <v>30</v>
      </c>
      <c r="T13362" t="s">
        <v>29273</v>
      </c>
      <c r="U13362" t="s">
        <v>29274</v>
      </c>
      <c r="V13362" t="s">
        <v>20997</v>
      </c>
      <c r="W13362" t="s">
        <v>29275</v>
      </c>
      <c r="X13362" t="s">
        <v>35</v>
      </c>
      <c r="Y13362" t="s">
        <v>17171</v>
      </c>
      <c r="Z13362" t="s">
        <v>16721</v>
      </c>
      <c r="AA13362" s="22" t="str">
        <f>HYPERLINK("https://www.ncbi.nlm.nih.gov/nuccore/LC150612","NCBI Nucleotide")</f>
        <v>NCBI Nucleotide</v>
      </c>
    </row>
    <row r="13363" spans="1:27" x14ac:dyDescent="0.35">
      <c r="A13363">
        <v>1011357</v>
      </c>
      <c r="B13363">
        <v>12476</v>
      </c>
      <c r="C13363">
        <v>2</v>
      </c>
      <c r="D13363" t="s">
        <v>17166</v>
      </c>
      <c r="F13363" t="s">
        <v>17246</v>
      </c>
      <c r="H13363" t="s">
        <v>28921</v>
      </c>
      <c r="J13363" t="s">
        <v>28974</v>
      </c>
      <c r="L13363" t="s">
        <v>28975</v>
      </c>
      <c r="N13363" t="s">
        <v>29176</v>
      </c>
      <c r="P13363" t="s">
        <v>29264</v>
      </c>
      <c r="R13363" s="26" t="str">
        <f>HYPERLINK("https://ictv.global/taxonomy/taxondetails?taxnode_id=202312511","Epsilonhypovirus japonicum")</f>
        <v>Epsilonhypovirus japonicum</v>
      </c>
      <c r="S13363" t="s">
        <v>8141</v>
      </c>
      <c r="T13363" t="s">
        <v>35298</v>
      </c>
      <c r="U13363" t="s">
        <v>35299</v>
      </c>
      <c r="V13363" t="s">
        <v>35300</v>
      </c>
      <c r="W13363" t="s">
        <v>49577</v>
      </c>
      <c r="X13363" t="s">
        <v>42</v>
      </c>
      <c r="Y13363" t="s">
        <v>17171</v>
      </c>
      <c r="Z13363" t="s">
        <v>16721</v>
      </c>
      <c r="AA13363" s="22" t="str">
        <f>HYPERLINK("https://www.ncbi.nlm.nih.gov/nuccore/KP208178","NCBI Nucleotide")</f>
        <v>NCBI Nucleotide</v>
      </c>
    </row>
    <row r="13364" spans="1:27" x14ac:dyDescent="0.35">
      <c r="A13364">
        <v>1001145</v>
      </c>
      <c r="B13364">
        <v>12477</v>
      </c>
      <c r="C13364">
        <v>1</v>
      </c>
      <c r="D13364" t="s">
        <v>17166</v>
      </c>
      <c r="F13364" t="s">
        <v>17246</v>
      </c>
      <c r="H13364" t="s">
        <v>28921</v>
      </c>
      <c r="J13364" t="s">
        <v>28974</v>
      </c>
      <c r="L13364" t="s">
        <v>28975</v>
      </c>
      <c r="N13364" t="s">
        <v>29176</v>
      </c>
      <c r="P13364" t="s">
        <v>29264</v>
      </c>
      <c r="R13364" s="26" t="str">
        <f>HYPERLINK("https://ictv.global/taxonomy/taxondetails?taxnode_id=202312513","Epsilonhypovirus roselliniae")</f>
        <v>Epsilonhypovirus roselliniae</v>
      </c>
      <c r="S13364" t="s">
        <v>30</v>
      </c>
      <c r="T13364" t="s">
        <v>29276</v>
      </c>
      <c r="U13364" t="s">
        <v>29277</v>
      </c>
      <c r="V13364" t="s">
        <v>29278</v>
      </c>
      <c r="W13364" t="s">
        <v>29279</v>
      </c>
      <c r="X13364" t="s">
        <v>42</v>
      </c>
      <c r="Y13364" t="s">
        <v>17171</v>
      </c>
      <c r="Z13364" t="s">
        <v>16721</v>
      </c>
      <c r="AA13364" s="22" t="str">
        <f>HYPERLINK("https://www.ncbi.nlm.nih.gov/nuccore/LC318482","NCBI Nucleotide")</f>
        <v>NCBI Nucleotide</v>
      </c>
    </row>
    <row r="13365" spans="1:27" x14ac:dyDescent="0.35">
      <c r="A13365">
        <v>1001146</v>
      </c>
      <c r="B13365">
        <v>12478</v>
      </c>
      <c r="C13365">
        <v>1</v>
      </c>
      <c r="D13365" t="s">
        <v>17166</v>
      </c>
      <c r="F13365" t="s">
        <v>17246</v>
      </c>
      <c r="H13365" t="s">
        <v>28921</v>
      </c>
      <c r="J13365" t="s">
        <v>28974</v>
      </c>
      <c r="L13365" t="s">
        <v>28975</v>
      </c>
      <c r="N13365" t="s">
        <v>29176</v>
      </c>
      <c r="P13365" t="s">
        <v>29264</v>
      </c>
      <c r="R13365" s="26" t="str">
        <f>HYPERLINK("https://ictv.global/taxonomy/taxondetails?taxnode_id=202312510","Epsilonhypovirus sclerotiniae")</f>
        <v>Epsilonhypovirus sclerotiniae</v>
      </c>
      <c r="S13365" t="s">
        <v>30</v>
      </c>
      <c r="T13365" t="s">
        <v>29280</v>
      </c>
      <c r="U13365" t="s">
        <v>29281</v>
      </c>
      <c r="V13365" t="s">
        <v>29282</v>
      </c>
      <c r="W13365" t="s">
        <v>29283</v>
      </c>
      <c r="X13365" t="s">
        <v>35</v>
      </c>
      <c r="Y13365" t="s">
        <v>17171</v>
      </c>
      <c r="Z13365" t="s">
        <v>16721</v>
      </c>
      <c r="AA13365" s="22" t="str">
        <f>HYPERLINK("https://www.ncbi.nlm.nih.gov/nuccore/MK279473","NCBI Nucleotide")</f>
        <v>NCBI Nucleotide</v>
      </c>
    </row>
    <row r="13366" spans="1:27" x14ac:dyDescent="0.35">
      <c r="A13366">
        <v>1001147</v>
      </c>
      <c r="B13366">
        <v>12479</v>
      </c>
      <c r="C13366">
        <v>1</v>
      </c>
      <c r="D13366" t="s">
        <v>17166</v>
      </c>
      <c r="F13366" t="s">
        <v>17246</v>
      </c>
      <c r="H13366" t="s">
        <v>28921</v>
      </c>
      <c r="J13366" t="s">
        <v>28974</v>
      </c>
      <c r="L13366" t="s">
        <v>28975</v>
      </c>
      <c r="N13366" t="s">
        <v>29176</v>
      </c>
      <c r="P13366" t="s">
        <v>29264</v>
      </c>
      <c r="R13366" s="26" t="str">
        <f>HYPERLINK("https://ictv.global/taxonomy/taxondetails?taxnode_id=202312512","Epsilonhypovirus sinicum")</f>
        <v>Epsilonhypovirus sinicum</v>
      </c>
      <c r="S13366" t="s">
        <v>30</v>
      </c>
      <c r="T13366" t="s">
        <v>29284</v>
      </c>
      <c r="U13366" t="s">
        <v>29285</v>
      </c>
      <c r="V13366" t="s">
        <v>29286</v>
      </c>
      <c r="W13366" t="s">
        <v>29287</v>
      </c>
      <c r="X13366" t="s">
        <v>42</v>
      </c>
      <c r="Y13366" t="s">
        <v>17171</v>
      </c>
      <c r="Z13366" t="s">
        <v>16721</v>
      </c>
      <c r="AA13366" s="22" t="str">
        <f>HYPERLINK("https://www.ncbi.nlm.nih.gov/nuccore/KY120321","NCBI Nucleotide")</f>
        <v>NCBI Nucleotide</v>
      </c>
    </row>
    <row r="13367" spans="1:27" x14ac:dyDescent="0.35">
      <c r="A13367">
        <v>1001148</v>
      </c>
      <c r="B13367">
        <v>12480</v>
      </c>
      <c r="C13367">
        <v>1</v>
      </c>
      <c r="D13367" t="s">
        <v>17166</v>
      </c>
      <c r="F13367" t="s">
        <v>17246</v>
      </c>
      <c r="H13367" t="s">
        <v>28921</v>
      </c>
      <c r="J13367" t="s">
        <v>28974</v>
      </c>
      <c r="L13367" t="s">
        <v>28975</v>
      </c>
      <c r="N13367" t="s">
        <v>29176</v>
      </c>
      <c r="P13367" t="s">
        <v>29288</v>
      </c>
      <c r="R13367" s="26" t="str">
        <f>HYPERLINK("https://ictv.global/taxonomy/taxondetails?taxnode_id=202312517","Etahypovirus sclerotii")</f>
        <v>Etahypovirus sclerotii</v>
      </c>
      <c r="S13367" t="s">
        <v>30</v>
      </c>
      <c r="T13367" t="s">
        <v>29289</v>
      </c>
      <c r="U13367" t="s">
        <v>29290</v>
      </c>
      <c r="V13367" t="s">
        <v>29291</v>
      </c>
      <c r="W13367" t="s">
        <v>29292</v>
      </c>
      <c r="X13367" t="s">
        <v>35</v>
      </c>
      <c r="Y13367" t="s">
        <v>17171</v>
      </c>
      <c r="Z13367" t="s">
        <v>16721</v>
      </c>
      <c r="AA13367" s="22" t="str">
        <f>HYPERLINK("https://www.ncbi.nlm.nih.gov/nuccore/MH766503","NCBI Nucleotide")</f>
        <v>NCBI Nucleotide</v>
      </c>
    </row>
    <row r="13368" spans="1:27" x14ac:dyDescent="0.35">
      <c r="A13368">
        <v>1001149</v>
      </c>
      <c r="B13368">
        <v>12481</v>
      </c>
      <c r="C13368">
        <v>1</v>
      </c>
      <c r="D13368" t="s">
        <v>17166</v>
      </c>
      <c r="F13368" t="s">
        <v>17246</v>
      </c>
      <c r="H13368" t="s">
        <v>28921</v>
      </c>
      <c r="J13368" t="s">
        <v>28974</v>
      </c>
      <c r="L13368" t="s">
        <v>28975</v>
      </c>
      <c r="N13368" t="s">
        <v>29176</v>
      </c>
      <c r="P13368" t="s">
        <v>29293</v>
      </c>
      <c r="R13368" s="26" t="str">
        <f>HYPERLINK("https://ictv.global/taxonomy/taxondetails?taxnode_id=202312501","Gammahypovirus atheliae")</f>
        <v>Gammahypovirus atheliae</v>
      </c>
      <c r="S13368" t="s">
        <v>30</v>
      </c>
      <c r="T13368" t="s">
        <v>29294</v>
      </c>
      <c r="U13368" t="s">
        <v>29295</v>
      </c>
      <c r="V13368" t="s">
        <v>29296</v>
      </c>
      <c r="W13368" t="s">
        <v>29297</v>
      </c>
      <c r="X13368" t="s">
        <v>35</v>
      </c>
      <c r="Y13368" t="s">
        <v>17171</v>
      </c>
      <c r="Z13368" t="s">
        <v>16721</v>
      </c>
      <c r="AA13368" s="22" t="str">
        <f>HYPERLINK("https://www.ncbi.nlm.nih.gov/nuccore/MH766499","NCBI Nucleotide")</f>
        <v>NCBI Nucleotide</v>
      </c>
    </row>
    <row r="13369" spans="1:27" x14ac:dyDescent="0.35">
      <c r="A13369">
        <v>1001150</v>
      </c>
      <c r="B13369">
        <v>12482</v>
      </c>
      <c r="C13369">
        <v>1</v>
      </c>
      <c r="D13369" t="s">
        <v>17166</v>
      </c>
      <c r="F13369" t="s">
        <v>17246</v>
      </c>
      <c r="H13369" t="s">
        <v>28921</v>
      </c>
      <c r="J13369" t="s">
        <v>28974</v>
      </c>
      <c r="L13369" t="s">
        <v>28975</v>
      </c>
      <c r="N13369" t="s">
        <v>29176</v>
      </c>
      <c r="P13369" t="s">
        <v>29293</v>
      </c>
      <c r="R13369" s="26" t="str">
        <f>HYPERLINK("https://ictv.global/taxonomy/taxondetails?taxnode_id=202312502","Gammahypovirus meridionalis")</f>
        <v>Gammahypovirus meridionalis</v>
      </c>
      <c r="S13369" t="s">
        <v>30</v>
      </c>
      <c r="T13369" t="s">
        <v>29298</v>
      </c>
      <c r="U13369" t="s">
        <v>29299</v>
      </c>
      <c r="V13369" t="s">
        <v>29300</v>
      </c>
      <c r="W13369" t="s">
        <v>29301</v>
      </c>
      <c r="X13369" t="s">
        <v>35</v>
      </c>
      <c r="Y13369" t="s">
        <v>17171</v>
      </c>
      <c r="Z13369" t="s">
        <v>16721</v>
      </c>
      <c r="AA13369" s="22" t="str">
        <f>HYPERLINK("https://www.ncbi.nlm.nih.gov/nuccore/MH766500","NCBI Nucleotide")</f>
        <v>NCBI Nucleotide</v>
      </c>
    </row>
    <row r="13370" spans="1:27" x14ac:dyDescent="0.35">
      <c r="A13370">
        <v>1001151</v>
      </c>
      <c r="B13370">
        <v>12483</v>
      </c>
      <c r="C13370">
        <v>1</v>
      </c>
      <c r="D13370" t="s">
        <v>17166</v>
      </c>
      <c r="F13370" t="s">
        <v>17246</v>
      </c>
      <c r="H13370" t="s">
        <v>28921</v>
      </c>
      <c r="J13370" t="s">
        <v>28974</v>
      </c>
      <c r="L13370" t="s">
        <v>28975</v>
      </c>
      <c r="N13370" t="s">
        <v>29176</v>
      </c>
      <c r="P13370" t="s">
        <v>29293</v>
      </c>
      <c r="R13370" s="26" t="str">
        <f>HYPERLINK("https://ictv.global/taxonomy/taxondetails?taxnode_id=202312499","Gammahypovirus sclerotii")</f>
        <v>Gammahypovirus sclerotii</v>
      </c>
      <c r="S13370" t="s">
        <v>30</v>
      </c>
      <c r="T13370" t="s">
        <v>29302</v>
      </c>
      <c r="U13370" t="s">
        <v>29303</v>
      </c>
      <c r="V13370" t="s">
        <v>29304</v>
      </c>
      <c r="W13370" t="s">
        <v>29305</v>
      </c>
      <c r="X13370" t="s">
        <v>35</v>
      </c>
      <c r="Y13370" t="s">
        <v>17171</v>
      </c>
      <c r="Z13370" t="s">
        <v>16721</v>
      </c>
      <c r="AA13370" s="22" t="str">
        <f>HYPERLINK("https://www.ncbi.nlm.nih.gov/nuccore/MH766497","NCBI Nucleotide")</f>
        <v>NCBI Nucleotide</v>
      </c>
    </row>
    <row r="13371" spans="1:27" x14ac:dyDescent="0.35">
      <c r="A13371">
        <v>1001152</v>
      </c>
      <c r="B13371">
        <v>12484</v>
      </c>
      <c r="C13371">
        <v>1</v>
      </c>
      <c r="D13371" t="s">
        <v>17166</v>
      </c>
      <c r="F13371" t="s">
        <v>17246</v>
      </c>
      <c r="H13371" t="s">
        <v>28921</v>
      </c>
      <c r="J13371" t="s">
        <v>28974</v>
      </c>
      <c r="L13371" t="s">
        <v>28975</v>
      </c>
      <c r="N13371" t="s">
        <v>29176</v>
      </c>
      <c r="P13371" t="s">
        <v>29293</v>
      </c>
      <c r="R13371" s="26" t="str">
        <f>HYPERLINK("https://ictv.global/taxonomy/taxondetails?taxnode_id=202312500","Gammahypovirus sinensis")</f>
        <v>Gammahypovirus sinensis</v>
      </c>
      <c r="S13371" t="s">
        <v>30</v>
      </c>
      <c r="T13371" t="s">
        <v>29306</v>
      </c>
      <c r="U13371" t="s">
        <v>29307</v>
      </c>
      <c r="V13371" t="s">
        <v>29308</v>
      </c>
      <c r="W13371" t="s">
        <v>29309</v>
      </c>
      <c r="X13371" t="s">
        <v>35</v>
      </c>
      <c r="Y13371" t="s">
        <v>17171</v>
      </c>
      <c r="Z13371" t="s">
        <v>16721</v>
      </c>
      <c r="AA13371" s="22" t="str">
        <f>HYPERLINK("https://www.ncbi.nlm.nih.gov/nuccore/MH766498","NCBI Nucleotide")</f>
        <v>NCBI Nucleotide</v>
      </c>
    </row>
    <row r="13372" spans="1:27" x14ac:dyDescent="0.35">
      <c r="A13372">
        <v>1001153</v>
      </c>
      <c r="B13372">
        <v>12485</v>
      </c>
      <c r="C13372">
        <v>1</v>
      </c>
      <c r="D13372" t="s">
        <v>17166</v>
      </c>
      <c r="F13372" t="s">
        <v>17246</v>
      </c>
      <c r="H13372" t="s">
        <v>28921</v>
      </c>
      <c r="J13372" t="s">
        <v>28974</v>
      </c>
      <c r="L13372" t="s">
        <v>28975</v>
      </c>
      <c r="N13372" t="s">
        <v>29176</v>
      </c>
      <c r="P13372" t="s">
        <v>29293</v>
      </c>
      <c r="R13372" s="26" t="str">
        <f>HYPERLINK("https://ictv.global/taxonomy/taxondetails?taxnode_id=202312503","Gammahypovirus uredi")</f>
        <v>Gammahypovirus uredi</v>
      </c>
      <c r="S13372" t="s">
        <v>30</v>
      </c>
      <c r="T13372" t="s">
        <v>29310</v>
      </c>
      <c r="U13372" t="s">
        <v>29311</v>
      </c>
      <c r="V13372" t="s">
        <v>29312</v>
      </c>
      <c r="W13372" t="s">
        <v>29313</v>
      </c>
      <c r="X13372" t="s">
        <v>35</v>
      </c>
      <c r="Y13372" t="s">
        <v>17171</v>
      </c>
      <c r="Z13372" t="s">
        <v>16721</v>
      </c>
      <c r="AA13372" s="22" t="str">
        <f>HYPERLINK("https://www.ncbi.nlm.nih.gov/nuccore/MH766502","NCBI Nucleotide")</f>
        <v>NCBI Nucleotide</v>
      </c>
    </row>
    <row r="13373" spans="1:27" x14ac:dyDescent="0.35">
      <c r="A13373">
        <v>1001154</v>
      </c>
      <c r="B13373">
        <v>12486</v>
      </c>
      <c r="C13373">
        <v>1</v>
      </c>
      <c r="D13373" t="s">
        <v>17166</v>
      </c>
      <c r="F13373" t="s">
        <v>17246</v>
      </c>
      <c r="H13373" t="s">
        <v>28921</v>
      </c>
      <c r="J13373" t="s">
        <v>28974</v>
      </c>
      <c r="L13373" t="s">
        <v>28975</v>
      </c>
      <c r="N13373" t="s">
        <v>29176</v>
      </c>
      <c r="P13373" t="s">
        <v>29314</v>
      </c>
      <c r="R13373" s="26" t="str">
        <f>HYPERLINK("https://ictv.global/taxonomy/taxondetails?taxnode_id=202312522","Thetahypovirus botrytidis")</f>
        <v>Thetahypovirus botrytidis</v>
      </c>
      <c r="S13373" t="s">
        <v>30</v>
      </c>
      <c r="T13373" t="s">
        <v>29315</v>
      </c>
      <c r="U13373" t="s">
        <v>29316</v>
      </c>
      <c r="V13373" t="s">
        <v>29317</v>
      </c>
      <c r="W13373" t="s">
        <v>29318</v>
      </c>
      <c r="X13373" t="s">
        <v>35</v>
      </c>
      <c r="Y13373" t="s">
        <v>17171</v>
      </c>
      <c r="Z13373" t="s">
        <v>16721</v>
      </c>
      <c r="AA13373" s="22" t="str">
        <f>HYPERLINK("https://www.ncbi.nlm.nih.gov/nuccore/MN617171","NCBI Nucleotide")</f>
        <v>NCBI Nucleotide</v>
      </c>
    </row>
    <row r="13374" spans="1:27" x14ac:dyDescent="0.35">
      <c r="A13374">
        <v>1001155</v>
      </c>
      <c r="B13374">
        <v>12487</v>
      </c>
      <c r="C13374">
        <v>1</v>
      </c>
      <c r="D13374" t="s">
        <v>17166</v>
      </c>
      <c r="F13374" t="s">
        <v>17246</v>
      </c>
      <c r="H13374" t="s">
        <v>28921</v>
      </c>
      <c r="J13374" t="s">
        <v>28974</v>
      </c>
      <c r="L13374" t="s">
        <v>28975</v>
      </c>
      <c r="N13374" t="s">
        <v>29176</v>
      </c>
      <c r="P13374" t="s">
        <v>29314</v>
      </c>
      <c r="R13374" s="26" t="str">
        <f>HYPERLINK("https://ictv.global/taxonomy/taxondetails?taxnode_id=202312521","Thetahypovirus rhizoctoniae")</f>
        <v>Thetahypovirus rhizoctoniae</v>
      </c>
      <c r="S13374" t="s">
        <v>30</v>
      </c>
      <c r="T13374" t="s">
        <v>29319</v>
      </c>
      <c r="U13374" t="s">
        <v>29320</v>
      </c>
      <c r="V13374" t="s">
        <v>29321</v>
      </c>
      <c r="W13374" t="s">
        <v>29322</v>
      </c>
      <c r="X13374" t="s">
        <v>35</v>
      </c>
      <c r="Y13374" t="s">
        <v>17171</v>
      </c>
      <c r="Z13374" t="s">
        <v>16721</v>
      </c>
      <c r="AA13374" s="22" t="str">
        <f>HYPERLINK("https://www.ncbi.nlm.nih.gov/nuccore/MK558259","NCBI Nucleotide")</f>
        <v>NCBI Nucleotide</v>
      </c>
    </row>
    <row r="13375" spans="1:27" x14ac:dyDescent="0.35">
      <c r="A13375">
        <v>1001156</v>
      </c>
      <c r="B13375">
        <v>12488</v>
      </c>
      <c r="C13375">
        <v>1</v>
      </c>
      <c r="D13375" t="s">
        <v>17166</v>
      </c>
      <c r="F13375" t="s">
        <v>17246</v>
      </c>
      <c r="H13375" t="s">
        <v>28921</v>
      </c>
      <c r="J13375" t="s">
        <v>28974</v>
      </c>
      <c r="L13375" t="s">
        <v>28975</v>
      </c>
      <c r="N13375" t="s">
        <v>29176</v>
      </c>
      <c r="P13375" t="s">
        <v>29314</v>
      </c>
      <c r="R13375" s="26" t="str">
        <f>HYPERLINK("https://ictv.global/taxonomy/taxondetails?taxnode_id=202312519","Thetahypovirus sclerotii")</f>
        <v>Thetahypovirus sclerotii</v>
      </c>
      <c r="S13375" t="s">
        <v>30</v>
      </c>
      <c r="T13375" t="s">
        <v>29323</v>
      </c>
      <c r="U13375" t="s">
        <v>29324</v>
      </c>
      <c r="V13375" t="s">
        <v>29325</v>
      </c>
      <c r="W13375" t="s">
        <v>29326</v>
      </c>
      <c r="X13375" t="s">
        <v>42</v>
      </c>
      <c r="Y13375" t="s">
        <v>17171</v>
      </c>
      <c r="Z13375" t="s">
        <v>16721</v>
      </c>
      <c r="AA13375" s="22" t="str">
        <f>HYPERLINK("https://www.ncbi.nlm.nih.gov/nuccore/MH037014","NCBI Nucleotide")</f>
        <v>NCBI Nucleotide</v>
      </c>
    </row>
    <row r="13376" spans="1:27" x14ac:dyDescent="0.35">
      <c r="A13376">
        <v>1001157</v>
      </c>
      <c r="B13376">
        <v>12489</v>
      </c>
      <c r="C13376">
        <v>1</v>
      </c>
      <c r="D13376" t="s">
        <v>17166</v>
      </c>
      <c r="F13376" t="s">
        <v>17246</v>
      </c>
      <c r="H13376" t="s">
        <v>28921</v>
      </c>
      <c r="J13376" t="s">
        <v>28974</v>
      </c>
      <c r="L13376" t="s">
        <v>28975</v>
      </c>
      <c r="N13376" t="s">
        <v>29176</v>
      </c>
      <c r="P13376" t="s">
        <v>29314</v>
      </c>
      <c r="R13376" s="26" t="str">
        <f>HYPERLINK("https://ictv.global/taxonomy/taxondetails?taxnode_id=202312520","Thetahypovirus sclerotiniae")</f>
        <v>Thetahypovirus sclerotiniae</v>
      </c>
      <c r="S13376" t="s">
        <v>30</v>
      </c>
      <c r="T13376" t="s">
        <v>29327</v>
      </c>
      <c r="U13376" t="s">
        <v>29328</v>
      </c>
      <c r="V13376" t="s">
        <v>29329</v>
      </c>
      <c r="W13376" t="s">
        <v>29330</v>
      </c>
      <c r="X13376" t="s">
        <v>35</v>
      </c>
      <c r="Y13376" t="s">
        <v>17171</v>
      </c>
      <c r="Z13376" t="s">
        <v>16721</v>
      </c>
      <c r="AA13376" s="22" t="str">
        <f>HYPERLINK("https://www.ncbi.nlm.nih.gov/nuccore/MH347276","NCBI Nucleotide")</f>
        <v>NCBI Nucleotide</v>
      </c>
    </row>
    <row r="13377" spans="1:27" x14ac:dyDescent="0.35">
      <c r="A13377">
        <v>1011358</v>
      </c>
      <c r="B13377">
        <v>12489</v>
      </c>
      <c r="C13377">
        <v>2</v>
      </c>
      <c r="D13377" t="s">
        <v>17166</v>
      </c>
      <c r="F13377" t="s">
        <v>17246</v>
      </c>
      <c r="H13377" t="s">
        <v>28921</v>
      </c>
      <c r="J13377" t="s">
        <v>28974</v>
      </c>
      <c r="L13377" t="s">
        <v>28975</v>
      </c>
      <c r="N13377" t="s">
        <v>29176</v>
      </c>
      <c r="P13377" t="s">
        <v>29314</v>
      </c>
      <c r="R13377" s="26" t="str">
        <f>HYPERLINK("https://ictv.global/taxonomy/taxondetails?taxnode_id=202312520","Thetahypovirus sclerotiniae")</f>
        <v>Thetahypovirus sclerotiniae</v>
      </c>
      <c r="S13377" t="s">
        <v>8141</v>
      </c>
      <c r="T13377" t="s">
        <v>35301</v>
      </c>
      <c r="U13377" t="s">
        <v>35302</v>
      </c>
      <c r="V13377" t="s">
        <v>35303</v>
      </c>
      <c r="W13377" t="s">
        <v>49578</v>
      </c>
      <c r="X13377" t="s">
        <v>35</v>
      </c>
      <c r="Y13377" t="s">
        <v>17171</v>
      </c>
      <c r="Z13377" t="s">
        <v>16721</v>
      </c>
      <c r="AA13377" s="22" t="str">
        <f>HYPERLINK("https://www.ncbi.nlm.nih.gov/nuccore/MT157414","NCBI Nucleotide")</f>
        <v>NCBI Nucleotide</v>
      </c>
    </row>
    <row r="13378" spans="1:27" x14ac:dyDescent="0.35">
      <c r="A13378">
        <v>1001158</v>
      </c>
      <c r="B13378">
        <v>12490</v>
      </c>
      <c r="C13378">
        <v>1</v>
      </c>
      <c r="D13378" t="s">
        <v>17166</v>
      </c>
      <c r="F13378" t="s">
        <v>17246</v>
      </c>
      <c r="H13378" t="s">
        <v>28921</v>
      </c>
      <c r="J13378" t="s">
        <v>28974</v>
      </c>
      <c r="L13378" t="s">
        <v>28975</v>
      </c>
      <c r="N13378" t="s">
        <v>29176</v>
      </c>
      <c r="P13378" t="s">
        <v>29331</v>
      </c>
      <c r="R13378" s="26" t="str">
        <f>HYPERLINK("https://ictv.global/taxonomy/taxondetails?taxnode_id=202312515","Zetahypovirus sclerotiniae")</f>
        <v>Zetahypovirus sclerotiniae</v>
      </c>
      <c r="S13378" t="s">
        <v>30</v>
      </c>
      <c r="T13378" t="s">
        <v>29332</v>
      </c>
      <c r="U13378" t="s">
        <v>29333</v>
      </c>
      <c r="V13378" t="s">
        <v>29334</v>
      </c>
      <c r="W13378" t="s">
        <v>29335</v>
      </c>
      <c r="X13378" t="s">
        <v>35</v>
      </c>
      <c r="Y13378" t="s">
        <v>17171</v>
      </c>
      <c r="Z13378" t="s">
        <v>16721</v>
      </c>
      <c r="AA13378" s="22" t="str">
        <f>HYPERLINK("https://www.ncbi.nlm.nih.gov/nuccore/MH766501","NCBI Nucleotide")</f>
        <v>NCBI Nucleotide</v>
      </c>
    </row>
    <row r="13379" spans="1:27" x14ac:dyDescent="0.35">
      <c r="A13379">
        <v>1001159</v>
      </c>
      <c r="B13379">
        <v>12491</v>
      </c>
      <c r="C13379">
        <v>1</v>
      </c>
      <c r="D13379" t="s">
        <v>17166</v>
      </c>
      <c r="F13379" t="s">
        <v>17246</v>
      </c>
      <c r="H13379" t="s">
        <v>28921</v>
      </c>
      <c r="J13379" t="s">
        <v>28974</v>
      </c>
      <c r="L13379" t="s">
        <v>28975</v>
      </c>
      <c r="N13379" t="s">
        <v>29336</v>
      </c>
      <c r="P13379" t="s">
        <v>29337</v>
      </c>
      <c r="R13379" s="26" t="str">
        <f>HYPERLINK("https://ictv.global/taxonomy/taxondetails?taxnode_id=202304141","Alphapartitivirus betae")</f>
        <v>Alphapartitivirus betae</v>
      </c>
      <c r="S13379" t="s">
        <v>30</v>
      </c>
      <c r="T13379" t="s">
        <v>29338</v>
      </c>
      <c r="U13379" t="s">
        <v>29339</v>
      </c>
      <c r="V13379" t="s">
        <v>29340</v>
      </c>
      <c r="W13379" t="s">
        <v>29341</v>
      </c>
      <c r="X13379" t="s">
        <v>42</v>
      </c>
      <c r="Y13379" t="s">
        <v>17196</v>
      </c>
      <c r="Z13379" t="s">
        <v>13441</v>
      </c>
      <c r="AA13379" s="22" t="str">
        <f>HYPERLINK("https://www.ncbi.nlm.nih.gov/nuccore/EU489061,EU489062","NCBI Nucleotide")</f>
        <v>NCBI Nucleotide</v>
      </c>
    </row>
    <row r="13380" spans="1:27" x14ac:dyDescent="0.35">
      <c r="A13380">
        <v>1001160</v>
      </c>
      <c r="B13380">
        <v>12492</v>
      </c>
      <c r="C13380">
        <v>1</v>
      </c>
      <c r="D13380" t="s">
        <v>17166</v>
      </c>
      <c r="F13380" t="s">
        <v>17246</v>
      </c>
      <c r="H13380" t="s">
        <v>28921</v>
      </c>
      <c r="J13380" t="s">
        <v>28974</v>
      </c>
      <c r="L13380" t="s">
        <v>28975</v>
      </c>
      <c r="N13380" t="s">
        <v>29336</v>
      </c>
      <c r="P13380" t="s">
        <v>29337</v>
      </c>
      <c r="R13380" s="26" t="str">
        <f>HYPERLINK("https://ictv.global/taxonomy/taxondetails?taxnode_id=202304142","Alphapartitivirus carotae")</f>
        <v>Alphapartitivirus carotae</v>
      </c>
      <c r="S13380" t="s">
        <v>30</v>
      </c>
      <c r="T13380" t="s">
        <v>29342</v>
      </c>
      <c r="U13380" t="s">
        <v>29343</v>
      </c>
      <c r="V13380" t="s">
        <v>14054</v>
      </c>
      <c r="W13380" t="s">
        <v>29344</v>
      </c>
      <c r="X13380" t="s">
        <v>42</v>
      </c>
      <c r="Y13380" t="s">
        <v>17196</v>
      </c>
      <c r="Z13380" t="s">
        <v>13441</v>
      </c>
      <c r="AA13380" s="22" t="str">
        <f>HYPERLINK("https://www.ncbi.nlm.nih.gov/nuccore/FJ550604,FJ550605","NCBI Nucleotide")</f>
        <v>NCBI Nucleotide</v>
      </c>
    </row>
    <row r="13381" spans="1:27" x14ac:dyDescent="0.35">
      <c r="A13381">
        <v>1001161</v>
      </c>
      <c r="B13381">
        <v>12493</v>
      </c>
      <c r="C13381">
        <v>1</v>
      </c>
      <c r="D13381" t="s">
        <v>17166</v>
      </c>
      <c r="F13381" t="s">
        <v>17246</v>
      </c>
      <c r="H13381" t="s">
        <v>28921</v>
      </c>
      <c r="J13381" t="s">
        <v>28974</v>
      </c>
      <c r="L13381" t="s">
        <v>28975</v>
      </c>
      <c r="N13381" t="s">
        <v>29336</v>
      </c>
      <c r="P13381" t="s">
        <v>29337</v>
      </c>
      <c r="R13381" s="26" t="str">
        <f>HYPERLINK("https://ictv.global/taxonomy/taxondetails?taxnode_id=202304143","Alphapartitivirus cerasi")</f>
        <v>Alphapartitivirus cerasi</v>
      </c>
      <c r="S13381" t="s">
        <v>30</v>
      </c>
      <c r="T13381" t="s">
        <v>29345</v>
      </c>
      <c r="U13381" t="s">
        <v>29346</v>
      </c>
      <c r="V13381" t="s">
        <v>17346</v>
      </c>
      <c r="W13381" t="s">
        <v>50727</v>
      </c>
      <c r="X13381" t="s">
        <v>42</v>
      </c>
      <c r="Y13381" t="s">
        <v>17196</v>
      </c>
      <c r="Z13381" t="s">
        <v>16721</v>
      </c>
      <c r="AA13381" s="22" t="str">
        <f>HYPERLINK("https://www.ncbi.nlm.nih.gov/nuccore/AJ781168,AJ781167","NCBI Nucleotide")</f>
        <v>NCBI Nucleotide</v>
      </c>
    </row>
    <row r="13382" spans="1:27" x14ac:dyDescent="0.35">
      <c r="A13382">
        <v>1011359</v>
      </c>
      <c r="B13382">
        <v>12493</v>
      </c>
      <c r="C13382">
        <v>2</v>
      </c>
      <c r="D13382" t="s">
        <v>17166</v>
      </c>
      <c r="F13382" t="s">
        <v>17246</v>
      </c>
      <c r="H13382" t="s">
        <v>28921</v>
      </c>
      <c r="J13382" t="s">
        <v>28974</v>
      </c>
      <c r="L13382" t="s">
        <v>28975</v>
      </c>
      <c r="N13382" t="s">
        <v>29336</v>
      </c>
      <c r="P13382" t="s">
        <v>29337</v>
      </c>
      <c r="R13382" s="26" t="str">
        <f>HYPERLINK("https://ictv.global/taxonomy/taxondetails?taxnode_id=202304143","Alphapartitivirus cerasi")</f>
        <v>Alphapartitivirus cerasi</v>
      </c>
      <c r="S13382" t="s">
        <v>8141</v>
      </c>
      <c r="T13382" t="s">
        <v>29345</v>
      </c>
      <c r="U13382" t="s">
        <v>29346</v>
      </c>
      <c r="V13382" t="s">
        <v>29347</v>
      </c>
      <c r="W13382" t="s">
        <v>49579</v>
      </c>
      <c r="X13382" t="s">
        <v>42</v>
      </c>
      <c r="Y13382" t="s">
        <v>17196</v>
      </c>
      <c r="Z13382" t="s">
        <v>16721</v>
      </c>
      <c r="AA13382" s="22" t="str">
        <f>HYPERLINK("https://www.ncbi.nlm.nih.gov/nuccore/AJ781401,AJ781402","NCBI Nucleotide")</f>
        <v>NCBI Nucleotide</v>
      </c>
    </row>
    <row r="13383" spans="1:27" x14ac:dyDescent="0.35">
      <c r="A13383">
        <v>1001162</v>
      </c>
      <c r="B13383">
        <v>12494</v>
      </c>
      <c r="C13383">
        <v>1</v>
      </c>
      <c r="D13383" t="s">
        <v>17166</v>
      </c>
      <c r="F13383" t="s">
        <v>17246</v>
      </c>
      <c r="H13383" t="s">
        <v>28921</v>
      </c>
      <c r="J13383" t="s">
        <v>28974</v>
      </c>
      <c r="L13383" t="s">
        <v>28975</v>
      </c>
      <c r="N13383" t="s">
        <v>29336</v>
      </c>
      <c r="P13383" t="s">
        <v>29337</v>
      </c>
      <c r="R13383" s="26" t="str">
        <f>HYPERLINK("https://ictv.global/taxonomy/taxondetails?taxnode_id=202304144","Alphapartitivirus chondrosteri")</f>
        <v>Alphapartitivirus chondrosteri</v>
      </c>
      <c r="S13383" t="s">
        <v>30</v>
      </c>
      <c r="T13383" t="s">
        <v>29348</v>
      </c>
      <c r="U13383" t="s">
        <v>29349</v>
      </c>
      <c r="V13383" t="s">
        <v>29350</v>
      </c>
      <c r="W13383" t="s">
        <v>29351</v>
      </c>
      <c r="X13383" t="s">
        <v>42</v>
      </c>
      <c r="Y13383" t="s">
        <v>17196</v>
      </c>
      <c r="Z13383" t="s">
        <v>16721</v>
      </c>
      <c r="AA13383" s="22" t="str">
        <f>HYPERLINK("https://www.ncbi.nlm.nih.gov/nuccore/AM999771,AM999772","NCBI Nucleotide")</f>
        <v>NCBI Nucleotide</v>
      </c>
    </row>
    <row r="13384" spans="1:27" x14ac:dyDescent="0.35">
      <c r="A13384">
        <v>1001166</v>
      </c>
      <c r="B13384">
        <v>12495</v>
      </c>
      <c r="C13384">
        <v>1</v>
      </c>
      <c r="D13384" t="s">
        <v>17166</v>
      </c>
      <c r="F13384" t="s">
        <v>17246</v>
      </c>
      <c r="H13384" t="s">
        <v>28921</v>
      </c>
      <c r="J13384" t="s">
        <v>28974</v>
      </c>
      <c r="L13384" t="s">
        <v>28975</v>
      </c>
      <c r="N13384" t="s">
        <v>29336</v>
      </c>
      <c r="P13384" t="s">
        <v>29337</v>
      </c>
      <c r="R13384" s="26" t="str">
        <f>HYPERLINK("https://ictv.global/taxonomy/taxondetails?taxnode_id=202304149","Alphapartitivirus duodecimheterobasidion")</f>
        <v>Alphapartitivirus duodecimheterobasidion</v>
      </c>
      <c r="S13384" t="s">
        <v>30</v>
      </c>
      <c r="T13384" t="s">
        <v>29364</v>
      </c>
      <c r="U13384" t="s">
        <v>29365</v>
      </c>
      <c r="V13384" t="s">
        <v>29366</v>
      </c>
      <c r="W13384" t="s">
        <v>29367</v>
      </c>
      <c r="X13384" t="s">
        <v>42</v>
      </c>
      <c r="Y13384" t="s">
        <v>17196</v>
      </c>
      <c r="Z13384" t="s">
        <v>16721</v>
      </c>
      <c r="AA13384" s="22" t="str">
        <f>HYPERLINK("https://www.ncbi.nlm.nih.gov/nuccore/KF963175,KF963176","NCBI Nucleotide")</f>
        <v>NCBI Nucleotide</v>
      </c>
    </row>
    <row r="13385" spans="1:27" x14ac:dyDescent="0.35">
      <c r="A13385">
        <v>1001163</v>
      </c>
      <c r="B13385">
        <v>12496</v>
      </c>
      <c r="C13385">
        <v>1</v>
      </c>
      <c r="D13385" t="s">
        <v>17166</v>
      </c>
      <c r="F13385" t="s">
        <v>17246</v>
      </c>
      <c r="H13385" t="s">
        <v>28921</v>
      </c>
      <c r="J13385" t="s">
        <v>28974</v>
      </c>
      <c r="L13385" t="s">
        <v>28975</v>
      </c>
      <c r="N13385" t="s">
        <v>29336</v>
      </c>
      <c r="P13385" t="s">
        <v>29337</v>
      </c>
      <c r="R13385" s="26" t="str">
        <f>HYPERLINK("https://ictv.global/taxonomy/taxondetails?taxnode_id=202304145","Alphapartitivirus flammulinae")</f>
        <v>Alphapartitivirus flammulinae</v>
      </c>
      <c r="S13385" t="s">
        <v>30</v>
      </c>
      <c r="T13385" t="s">
        <v>29352</v>
      </c>
      <c r="U13385" t="s">
        <v>29353</v>
      </c>
      <c r="V13385" t="s">
        <v>29354</v>
      </c>
      <c r="W13385" t="s">
        <v>29355</v>
      </c>
      <c r="X13385" t="s">
        <v>42</v>
      </c>
      <c r="Y13385" t="s">
        <v>17196</v>
      </c>
      <c r="Z13385" t="s">
        <v>16721</v>
      </c>
      <c r="AA13385" s="22" t="str">
        <f>HYPERLINK("https://www.ncbi.nlm.nih.gov/nuccore/AB465308,AB465309","NCBI Nucleotide")</f>
        <v>NCBI Nucleotide</v>
      </c>
    </row>
    <row r="13386" spans="1:27" x14ac:dyDescent="0.35">
      <c r="A13386">
        <v>1001164</v>
      </c>
      <c r="B13386">
        <v>12497</v>
      </c>
      <c r="C13386">
        <v>1</v>
      </c>
      <c r="D13386" t="s">
        <v>17166</v>
      </c>
      <c r="F13386" t="s">
        <v>17246</v>
      </c>
      <c r="H13386" t="s">
        <v>28921</v>
      </c>
      <c r="J13386" t="s">
        <v>28974</v>
      </c>
      <c r="L13386" t="s">
        <v>28975</v>
      </c>
      <c r="N13386" t="s">
        <v>29336</v>
      </c>
      <c r="P13386" t="s">
        <v>29337</v>
      </c>
      <c r="R13386" s="26" t="str">
        <f>HYPERLINK("https://ictv.global/taxonomy/taxondetails?taxnode_id=202304146","Alphapartitivirus helicobasidii")</f>
        <v>Alphapartitivirus helicobasidii</v>
      </c>
      <c r="S13386" t="s">
        <v>30</v>
      </c>
      <c r="T13386" t="s">
        <v>29356</v>
      </c>
      <c r="U13386" t="s">
        <v>29357</v>
      </c>
      <c r="V13386" t="s">
        <v>29358</v>
      </c>
      <c r="W13386" t="s">
        <v>29359</v>
      </c>
      <c r="X13386" t="s">
        <v>154</v>
      </c>
      <c r="Y13386" t="s">
        <v>17196</v>
      </c>
      <c r="Z13386" t="s">
        <v>16721</v>
      </c>
      <c r="AA13386" s="22" t="str">
        <f>HYPERLINK("https://www.ncbi.nlm.nih.gov/nuccore/AB025903","NCBI Nucleotide")</f>
        <v>NCBI Nucleotide</v>
      </c>
    </row>
    <row r="13387" spans="1:27" x14ac:dyDescent="0.35">
      <c r="A13387">
        <v>1001168</v>
      </c>
      <c r="B13387">
        <v>12498</v>
      </c>
      <c r="C13387">
        <v>1</v>
      </c>
      <c r="D13387" t="s">
        <v>17166</v>
      </c>
      <c r="F13387" t="s">
        <v>17246</v>
      </c>
      <c r="H13387" t="s">
        <v>28921</v>
      </c>
      <c r="J13387" t="s">
        <v>28974</v>
      </c>
      <c r="L13387" t="s">
        <v>28975</v>
      </c>
      <c r="N13387" t="s">
        <v>29336</v>
      </c>
      <c r="P13387" t="s">
        <v>29337</v>
      </c>
      <c r="R13387" s="26" t="str">
        <f>HYPERLINK("https://ictv.global/taxonomy/taxondetails?taxnode_id=202304151","Alphapartitivirus quindecimheterobasidion")</f>
        <v>Alphapartitivirus quindecimheterobasidion</v>
      </c>
      <c r="S13387" t="s">
        <v>30</v>
      </c>
      <c r="T13387" t="s">
        <v>29375</v>
      </c>
      <c r="U13387" t="s">
        <v>29376</v>
      </c>
      <c r="V13387" t="s">
        <v>29377</v>
      </c>
      <c r="W13387" t="s">
        <v>29378</v>
      </c>
      <c r="X13387" t="s">
        <v>42</v>
      </c>
      <c r="Y13387" t="s">
        <v>17196</v>
      </c>
      <c r="Z13387" t="s">
        <v>16721</v>
      </c>
      <c r="AA13387" s="22" t="str">
        <f>HYPERLINK("https://www.ncbi.nlm.nih.gov/nuccore/KF963186,KF963187","NCBI Nucleotide")</f>
        <v>NCBI Nucleotide</v>
      </c>
    </row>
    <row r="13388" spans="1:27" x14ac:dyDescent="0.35">
      <c r="A13388">
        <v>1001170</v>
      </c>
      <c r="B13388">
        <v>12499</v>
      </c>
      <c r="C13388">
        <v>1</v>
      </c>
      <c r="D13388" t="s">
        <v>17166</v>
      </c>
      <c r="F13388" t="s">
        <v>17246</v>
      </c>
      <c r="H13388" t="s">
        <v>28921</v>
      </c>
      <c r="J13388" t="s">
        <v>28974</v>
      </c>
      <c r="L13388" t="s">
        <v>28975</v>
      </c>
      <c r="N13388" t="s">
        <v>29336</v>
      </c>
      <c r="P13388" t="s">
        <v>29337</v>
      </c>
      <c r="R13388" s="26" t="str">
        <f>HYPERLINK("https://ictv.global/taxonomy/taxondetails?taxnode_id=202304152","Alphapartitivirus roselliniae")</f>
        <v>Alphapartitivirus roselliniae</v>
      </c>
      <c r="S13388" t="s">
        <v>30</v>
      </c>
      <c r="T13388" t="s">
        <v>29383</v>
      </c>
      <c r="U13388" t="s">
        <v>12004</v>
      </c>
      <c r="V13388" t="s">
        <v>29384</v>
      </c>
      <c r="W13388" t="s">
        <v>29385</v>
      </c>
      <c r="X13388" t="s">
        <v>42</v>
      </c>
      <c r="Y13388" t="s">
        <v>17196</v>
      </c>
      <c r="Z13388" t="s">
        <v>16721</v>
      </c>
      <c r="AA13388" s="22" t="str">
        <f>HYPERLINK("https://www.ncbi.nlm.nih.gov/nuccore/AB569997,AB569998","NCBI Nucleotide")</f>
        <v>NCBI Nucleotide</v>
      </c>
    </row>
    <row r="13389" spans="1:27" x14ac:dyDescent="0.35">
      <c r="A13389">
        <v>1001167</v>
      </c>
      <c r="B13389">
        <v>12500</v>
      </c>
      <c r="C13389">
        <v>1</v>
      </c>
      <c r="D13389" t="s">
        <v>17166</v>
      </c>
      <c r="F13389" t="s">
        <v>17246</v>
      </c>
      <c r="H13389" t="s">
        <v>28921</v>
      </c>
      <c r="J13389" t="s">
        <v>28974</v>
      </c>
      <c r="L13389" t="s">
        <v>28975</v>
      </c>
      <c r="N13389" t="s">
        <v>29336</v>
      </c>
      <c r="P13389" t="s">
        <v>29337</v>
      </c>
      <c r="R13389" s="26" t="str">
        <f>HYPERLINK("https://ictv.global/taxonomy/taxondetails?taxnode_id=202304150","Alphapartitivirus tredecimheterobasidion")</f>
        <v>Alphapartitivirus tredecimheterobasidion</v>
      </c>
      <c r="S13389" t="s">
        <v>30</v>
      </c>
      <c r="T13389" t="s">
        <v>29368</v>
      </c>
      <c r="U13389" t="s">
        <v>29369</v>
      </c>
      <c r="V13389" t="s">
        <v>29370</v>
      </c>
      <c r="W13389" t="s">
        <v>29371</v>
      </c>
      <c r="X13389" t="s">
        <v>42</v>
      </c>
      <c r="Y13389" t="s">
        <v>17196</v>
      </c>
      <c r="Z13389" t="s">
        <v>16721</v>
      </c>
      <c r="AA13389" s="22" t="str">
        <f>HYPERLINK("https://www.ncbi.nlm.nih.gov/nuccore/KF963177,KF963178","NCBI Nucleotide")</f>
        <v>NCBI Nucleotide</v>
      </c>
    </row>
    <row r="13390" spans="1:27" x14ac:dyDescent="0.35">
      <c r="A13390">
        <v>1011360</v>
      </c>
      <c r="B13390">
        <v>12500</v>
      </c>
      <c r="C13390">
        <v>2</v>
      </c>
      <c r="D13390" t="s">
        <v>17166</v>
      </c>
      <c r="F13390" t="s">
        <v>17246</v>
      </c>
      <c r="H13390" t="s">
        <v>28921</v>
      </c>
      <c r="J13390" t="s">
        <v>28974</v>
      </c>
      <c r="L13390" t="s">
        <v>28975</v>
      </c>
      <c r="N13390" t="s">
        <v>29336</v>
      </c>
      <c r="P13390" t="s">
        <v>29337</v>
      </c>
      <c r="R13390" s="26" t="str">
        <f>HYPERLINK("https://ictv.global/taxonomy/taxondetails?taxnode_id=202304150","Alphapartitivirus tredecimheterobasidion")</f>
        <v>Alphapartitivirus tredecimheterobasidion</v>
      </c>
      <c r="S13390" t="s">
        <v>8141</v>
      </c>
      <c r="T13390" t="s">
        <v>29368</v>
      </c>
      <c r="U13390" t="s">
        <v>29369</v>
      </c>
      <c r="V13390" t="s">
        <v>29372</v>
      </c>
      <c r="W13390" t="s">
        <v>49580</v>
      </c>
      <c r="X13390" t="s">
        <v>42</v>
      </c>
      <c r="Y13390" t="s">
        <v>17196</v>
      </c>
      <c r="Z13390" t="s">
        <v>16721</v>
      </c>
      <c r="AA13390" s="22" t="str">
        <f>HYPERLINK("https://www.ncbi.nlm.nih.gov/nuccore/KF963179,KF963180","NCBI Nucleotide")</f>
        <v>NCBI Nucleotide</v>
      </c>
    </row>
    <row r="13391" spans="1:27" x14ac:dyDescent="0.35">
      <c r="A13391">
        <v>1011361</v>
      </c>
      <c r="B13391">
        <v>12500</v>
      </c>
      <c r="C13391">
        <v>3</v>
      </c>
      <c r="D13391" t="s">
        <v>17166</v>
      </c>
      <c r="F13391" t="s">
        <v>17246</v>
      </c>
      <c r="H13391" t="s">
        <v>28921</v>
      </c>
      <c r="J13391" t="s">
        <v>28974</v>
      </c>
      <c r="L13391" t="s">
        <v>28975</v>
      </c>
      <c r="N13391" t="s">
        <v>29336</v>
      </c>
      <c r="P13391" t="s">
        <v>29337</v>
      </c>
      <c r="R13391" s="26" t="str">
        <f>HYPERLINK("https://ictv.global/taxonomy/taxondetails?taxnode_id=202304150","Alphapartitivirus tredecimheterobasidion")</f>
        <v>Alphapartitivirus tredecimheterobasidion</v>
      </c>
      <c r="S13391" t="s">
        <v>8141</v>
      </c>
      <c r="T13391" t="s">
        <v>29368</v>
      </c>
      <c r="U13391" t="s">
        <v>29369</v>
      </c>
      <c r="V13391" t="s">
        <v>29373</v>
      </c>
      <c r="W13391" t="s">
        <v>49581</v>
      </c>
      <c r="X13391" t="s">
        <v>154</v>
      </c>
      <c r="Y13391" t="s">
        <v>17196</v>
      </c>
      <c r="Z13391" t="s">
        <v>16721</v>
      </c>
      <c r="AA13391" s="22" t="str">
        <f>HYPERLINK("https://www.ncbi.nlm.nih.gov/nuccore/KF963181,KF963182","NCBI Nucleotide")</f>
        <v>NCBI Nucleotide</v>
      </c>
    </row>
    <row r="13392" spans="1:27" x14ac:dyDescent="0.35">
      <c r="A13392">
        <v>1011362</v>
      </c>
      <c r="B13392">
        <v>12500</v>
      </c>
      <c r="C13392">
        <v>4</v>
      </c>
      <c r="D13392" t="s">
        <v>17166</v>
      </c>
      <c r="F13392" t="s">
        <v>17246</v>
      </c>
      <c r="H13392" t="s">
        <v>28921</v>
      </c>
      <c r="J13392" t="s">
        <v>28974</v>
      </c>
      <c r="L13392" t="s">
        <v>28975</v>
      </c>
      <c r="N13392" t="s">
        <v>29336</v>
      </c>
      <c r="P13392" t="s">
        <v>29337</v>
      </c>
      <c r="R13392" s="26" t="str">
        <f>HYPERLINK("https://ictv.global/taxonomy/taxondetails?taxnode_id=202304150","Alphapartitivirus tredecimheterobasidion")</f>
        <v>Alphapartitivirus tredecimheterobasidion</v>
      </c>
      <c r="S13392" t="s">
        <v>8141</v>
      </c>
      <c r="T13392" t="s">
        <v>29368</v>
      </c>
      <c r="U13392" t="s">
        <v>29369</v>
      </c>
      <c r="V13392" t="s">
        <v>29374</v>
      </c>
      <c r="W13392" t="s">
        <v>49582</v>
      </c>
      <c r="X13392" t="s">
        <v>154</v>
      </c>
      <c r="Y13392" t="s">
        <v>17196</v>
      </c>
      <c r="Z13392" t="s">
        <v>16721</v>
      </c>
      <c r="AA13392" s="22" t="str">
        <f>HYPERLINK("https://www.ncbi.nlm.nih.gov/nuccore/KF963183,KF963184","NCBI Nucleotide")</f>
        <v>NCBI Nucleotide</v>
      </c>
    </row>
    <row r="13393" spans="1:27" x14ac:dyDescent="0.35">
      <c r="A13393">
        <v>1001172</v>
      </c>
      <c r="B13393">
        <v>12501</v>
      </c>
      <c r="C13393">
        <v>1</v>
      </c>
      <c r="D13393" t="s">
        <v>17166</v>
      </c>
      <c r="F13393" t="s">
        <v>17246</v>
      </c>
      <c r="H13393" t="s">
        <v>28921</v>
      </c>
      <c r="J13393" t="s">
        <v>28974</v>
      </c>
      <c r="L13393" t="s">
        <v>28975</v>
      </c>
      <c r="N13393" t="s">
        <v>29336</v>
      </c>
      <c r="P13393" t="s">
        <v>29337</v>
      </c>
      <c r="R13393" s="26" t="str">
        <f>HYPERLINK("https://ictv.global/taxonomy/taxondetails?taxnode_id=202304154","Alphapartitivirus trifolii")</f>
        <v>Alphapartitivirus trifolii</v>
      </c>
      <c r="S13393" t="s">
        <v>30</v>
      </c>
      <c r="T13393" t="s">
        <v>29395</v>
      </c>
      <c r="U13393" t="s">
        <v>29396</v>
      </c>
      <c r="V13393" t="s">
        <v>29397</v>
      </c>
      <c r="W13393" t="s">
        <v>29398</v>
      </c>
      <c r="X13393" t="s">
        <v>42</v>
      </c>
      <c r="Y13393" t="s">
        <v>17196</v>
      </c>
      <c r="Z13393" t="s">
        <v>13441</v>
      </c>
      <c r="AA13393" s="22" t="str">
        <f>HYPERLINK("https://www.ncbi.nlm.nih.gov/nuccore/AY705784,AY705785","NCBI Nucleotide")</f>
        <v>NCBI Nucleotide</v>
      </c>
    </row>
    <row r="13394" spans="1:27" x14ac:dyDescent="0.35">
      <c r="A13394">
        <v>1001169</v>
      </c>
      <c r="B13394">
        <v>12502</v>
      </c>
      <c r="C13394">
        <v>1</v>
      </c>
      <c r="D13394" t="s">
        <v>17166</v>
      </c>
      <c r="F13394" t="s">
        <v>17246</v>
      </c>
      <c r="H13394" t="s">
        <v>28921</v>
      </c>
      <c r="J13394" t="s">
        <v>28974</v>
      </c>
      <c r="L13394" t="s">
        <v>28975</v>
      </c>
      <c r="N13394" t="s">
        <v>29336</v>
      </c>
      <c r="P13394" t="s">
        <v>29337</v>
      </c>
      <c r="R13394" s="26" t="str">
        <f>HYPERLINK("https://ictv.global/taxonomy/taxondetails?taxnode_id=202304148","Alphapartitivirus triheterobasidion")</f>
        <v>Alphapartitivirus triheterobasidion</v>
      </c>
      <c r="S13394" t="s">
        <v>30</v>
      </c>
      <c r="T13394" t="s">
        <v>29379</v>
      </c>
      <c r="U13394" t="s">
        <v>29380</v>
      </c>
      <c r="V13394" t="s">
        <v>29381</v>
      </c>
      <c r="W13394" t="s">
        <v>29382</v>
      </c>
      <c r="X13394" t="s">
        <v>42</v>
      </c>
      <c r="Y13394" t="s">
        <v>17196</v>
      </c>
      <c r="Z13394" t="s">
        <v>16721</v>
      </c>
      <c r="AA13394" s="22" t="str">
        <f>HYPERLINK("https://www.ncbi.nlm.nih.gov/nuccore/FJ816271,FJ816272","NCBI Nucleotide")</f>
        <v>NCBI Nucleotide</v>
      </c>
    </row>
    <row r="13395" spans="1:27" x14ac:dyDescent="0.35">
      <c r="A13395">
        <v>1001165</v>
      </c>
      <c r="B13395">
        <v>12503</v>
      </c>
      <c r="C13395">
        <v>1</v>
      </c>
      <c r="D13395" t="s">
        <v>17166</v>
      </c>
      <c r="F13395" t="s">
        <v>17246</v>
      </c>
      <c r="H13395" t="s">
        <v>28921</v>
      </c>
      <c r="J13395" t="s">
        <v>28974</v>
      </c>
      <c r="L13395" t="s">
        <v>28975</v>
      </c>
      <c r="N13395" t="s">
        <v>29336</v>
      </c>
      <c r="P13395" t="s">
        <v>29337</v>
      </c>
      <c r="R13395" s="26" t="str">
        <f>HYPERLINK("https://ictv.global/taxonomy/taxondetails?taxnode_id=202304147","Alphapartitivirus uniheterobasidion")</f>
        <v>Alphapartitivirus uniheterobasidion</v>
      </c>
      <c r="S13395" t="s">
        <v>30</v>
      </c>
      <c r="T13395" t="s">
        <v>29360</v>
      </c>
      <c r="U13395" t="s">
        <v>29361</v>
      </c>
      <c r="V13395" t="s">
        <v>29362</v>
      </c>
      <c r="W13395" t="s">
        <v>29363</v>
      </c>
      <c r="X13395" t="s">
        <v>42</v>
      </c>
      <c r="Y13395" t="s">
        <v>17196</v>
      </c>
      <c r="Z13395" t="s">
        <v>16721</v>
      </c>
      <c r="AA13395" s="22" t="str">
        <f>HYPERLINK("https://www.ncbi.nlm.nih.gov/nuccore/HQ541323,HQ541324","NCBI Nucleotide")</f>
        <v>NCBI Nucleotide</v>
      </c>
    </row>
    <row r="13396" spans="1:27" x14ac:dyDescent="0.35">
      <c r="A13396">
        <v>1001171</v>
      </c>
      <c r="B13396">
        <v>12504</v>
      </c>
      <c r="C13396">
        <v>1</v>
      </c>
      <c r="D13396" t="s">
        <v>17166</v>
      </c>
      <c r="F13396" t="s">
        <v>17246</v>
      </c>
      <c r="H13396" t="s">
        <v>28921</v>
      </c>
      <c r="J13396" t="s">
        <v>28974</v>
      </c>
      <c r="L13396" t="s">
        <v>28975</v>
      </c>
      <c r="N13396" t="s">
        <v>29336</v>
      </c>
      <c r="P13396" t="s">
        <v>29337</v>
      </c>
      <c r="R13396" s="26" t="str">
        <f t="shared" ref="R13396:R13402" si="39">HYPERLINK("https://ictv.global/taxonomy/taxondetails?taxnode_id=202304153","Alphapartitivirus viciae")</f>
        <v>Alphapartitivirus viciae</v>
      </c>
      <c r="S13396" t="s">
        <v>30</v>
      </c>
      <c r="T13396" t="s">
        <v>29386</v>
      </c>
      <c r="U13396" t="s">
        <v>29387</v>
      </c>
      <c r="V13396" t="s">
        <v>14054</v>
      </c>
      <c r="W13396" t="s">
        <v>29388</v>
      </c>
      <c r="X13396" t="s">
        <v>42</v>
      </c>
      <c r="Y13396" t="s">
        <v>17196</v>
      </c>
      <c r="Z13396" t="s">
        <v>13441</v>
      </c>
      <c r="AA13396" s="22" t="str">
        <f>HYPERLINK("https://www.ncbi.nlm.nih.gov/nuccore/AY751737,AY751738","NCBI Nucleotide")</f>
        <v>NCBI Nucleotide</v>
      </c>
    </row>
    <row r="13397" spans="1:27" x14ac:dyDescent="0.35">
      <c r="A13397">
        <v>1011363</v>
      </c>
      <c r="B13397">
        <v>12504</v>
      </c>
      <c r="C13397">
        <v>2</v>
      </c>
      <c r="D13397" t="s">
        <v>17166</v>
      </c>
      <c r="F13397" t="s">
        <v>17246</v>
      </c>
      <c r="H13397" t="s">
        <v>28921</v>
      </c>
      <c r="J13397" t="s">
        <v>28974</v>
      </c>
      <c r="L13397" t="s">
        <v>28975</v>
      </c>
      <c r="N13397" t="s">
        <v>29336</v>
      </c>
      <c r="P13397" t="s">
        <v>29337</v>
      </c>
      <c r="R13397" s="26" t="str">
        <f t="shared" si="39"/>
        <v>Alphapartitivirus viciae</v>
      </c>
      <c r="S13397" t="s">
        <v>8141</v>
      </c>
      <c r="T13397" t="s">
        <v>29386</v>
      </c>
      <c r="U13397" t="s">
        <v>29387</v>
      </c>
      <c r="V13397" t="s">
        <v>29389</v>
      </c>
      <c r="W13397" t="s">
        <v>49583</v>
      </c>
      <c r="X13397" t="s">
        <v>42</v>
      </c>
      <c r="Y13397" t="s">
        <v>17196</v>
      </c>
      <c r="Z13397" t="s">
        <v>13441</v>
      </c>
      <c r="AA13397" s="22" t="str">
        <f>HYPERLINK("https://www.ncbi.nlm.nih.gov/nuccore/EU605883,EU605884","NCBI Nucleotide")</f>
        <v>NCBI Nucleotide</v>
      </c>
    </row>
    <row r="13398" spans="1:27" x14ac:dyDescent="0.35">
      <c r="A13398">
        <v>1011364</v>
      </c>
      <c r="B13398">
        <v>12504</v>
      </c>
      <c r="C13398">
        <v>3</v>
      </c>
      <c r="D13398" t="s">
        <v>17166</v>
      </c>
      <c r="F13398" t="s">
        <v>17246</v>
      </c>
      <c r="H13398" t="s">
        <v>28921</v>
      </c>
      <c r="J13398" t="s">
        <v>28974</v>
      </c>
      <c r="L13398" t="s">
        <v>28975</v>
      </c>
      <c r="N13398" t="s">
        <v>29336</v>
      </c>
      <c r="P13398" t="s">
        <v>29337</v>
      </c>
      <c r="R13398" s="26" t="str">
        <f t="shared" si="39"/>
        <v>Alphapartitivirus viciae</v>
      </c>
      <c r="S13398" t="s">
        <v>8141</v>
      </c>
      <c r="T13398" t="s">
        <v>29386</v>
      </c>
      <c r="U13398" t="s">
        <v>29387</v>
      </c>
      <c r="V13398" t="s">
        <v>29390</v>
      </c>
      <c r="W13398" t="s">
        <v>49584</v>
      </c>
      <c r="X13398" t="s">
        <v>42</v>
      </c>
      <c r="Y13398" t="s">
        <v>17196</v>
      </c>
      <c r="Z13398" t="s">
        <v>13441</v>
      </c>
      <c r="AA13398" s="22" t="str">
        <f>HYPERLINK("https://www.ncbi.nlm.nih.gov/nuccore/EF173392,EF173391","NCBI Nucleotide")</f>
        <v>NCBI Nucleotide</v>
      </c>
    </row>
    <row r="13399" spans="1:27" x14ac:dyDescent="0.35">
      <c r="A13399">
        <v>1011365</v>
      </c>
      <c r="B13399">
        <v>12504</v>
      </c>
      <c r="C13399">
        <v>4</v>
      </c>
      <c r="D13399" t="s">
        <v>17166</v>
      </c>
      <c r="F13399" t="s">
        <v>17246</v>
      </c>
      <c r="H13399" t="s">
        <v>28921</v>
      </c>
      <c r="J13399" t="s">
        <v>28974</v>
      </c>
      <c r="L13399" t="s">
        <v>28975</v>
      </c>
      <c r="N13399" t="s">
        <v>29336</v>
      </c>
      <c r="P13399" t="s">
        <v>29337</v>
      </c>
      <c r="R13399" s="26" t="str">
        <f t="shared" si="39"/>
        <v>Alphapartitivirus viciae</v>
      </c>
      <c r="S13399" t="s">
        <v>8141</v>
      </c>
      <c r="T13399" t="s">
        <v>29386</v>
      </c>
      <c r="U13399" t="s">
        <v>29387</v>
      </c>
      <c r="V13399" t="s">
        <v>29391</v>
      </c>
      <c r="W13399" t="s">
        <v>49585</v>
      </c>
      <c r="X13399" t="s">
        <v>42</v>
      </c>
      <c r="Y13399" t="s">
        <v>17196</v>
      </c>
      <c r="Z13399" t="s">
        <v>13441</v>
      </c>
      <c r="AA13399" s="22" t="str">
        <f>HYPERLINK("https://www.ncbi.nlm.nih.gov/nuccore/EF173396,EF173395","NCBI Nucleotide")</f>
        <v>NCBI Nucleotide</v>
      </c>
    </row>
    <row r="13400" spans="1:27" x14ac:dyDescent="0.35">
      <c r="A13400">
        <v>1011366</v>
      </c>
      <c r="B13400">
        <v>12504</v>
      </c>
      <c r="C13400">
        <v>5</v>
      </c>
      <c r="D13400" t="s">
        <v>17166</v>
      </c>
      <c r="F13400" t="s">
        <v>17246</v>
      </c>
      <c r="H13400" t="s">
        <v>28921</v>
      </c>
      <c r="J13400" t="s">
        <v>28974</v>
      </c>
      <c r="L13400" t="s">
        <v>28975</v>
      </c>
      <c r="N13400" t="s">
        <v>29336</v>
      </c>
      <c r="P13400" t="s">
        <v>29337</v>
      </c>
      <c r="R13400" s="26" t="str">
        <f t="shared" si="39"/>
        <v>Alphapartitivirus viciae</v>
      </c>
      <c r="S13400" t="s">
        <v>8141</v>
      </c>
      <c r="T13400" t="s">
        <v>29386</v>
      </c>
      <c r="U13400" t="s">
        <v>29387</v>
      </c>
      <c r="V13400" t="s">
        <v>29392</v>
      </c>
      <c r="W13400" t="s">
        <v>49586</v>
      </c>
      <c r="X13400" t="s">
        <v>42</v>
      </c>
      <c r="Y13400" t="s">
        <v>17196</v>
      </c>
      <c r="Z13400" t="s">
        <v>13441</v>
      </c>
      <c r="AA13400" s="22" t="str">
        <f>HYPERLINK("https://www.ncbi.nlm.nih.gov/nuccore/EF173394,EF173393","NCBI Nucleotide")</f>
        <v>NCBI Nucleotide</v>
      </c>
    </row>
    <row r="13401" spans="1:27" x14ac:dyDescent="0.35">
      <c r="A13401">
        <v>1011367</v>
      </c>
      <c r="B13401">
        <v>12504</v>
      </c>
      <c r="C13401">
        <v>6</v>
      </c>
      <c r="D13401" t="s">
        <v>17166</v>
      </c>
      <c r="F13401" t="s">
        <v>17246</v>
      </c>
      <c r="H13401" t="s">
        <v>28921</v>
      </c>
      <c r="J13401" t="s">
        <v>28974</v>
      </c>
      <c r="L13401" t="s">
        <v>28975</v>
      </c>
      <c r="N13401" t="s">
        <v>29336</v>
      </c>
      <c r="P13401" t="s">
        <v>29337</v>
      </c>
      <c r="R13401" s="26" t="str">
        <f t="shared" si="39"/>
        <v>Alphapartitivirus viciae</v>
      </c>
      <c r="S13401" t="s">
        <v>8141</v>
      </c>
      <c r="T13401" t="s">
        <v>29386</v>
      </c>
      <c r="U13401" t="s">
        <v>29387</v>
      </c>
      <c r="V13401" t="s">
        <v>29393</v>
      </c>
      <c r="W13401" t="s">
        <v>49587</v>
      </c>
      <c r="X13401" t="s">
        <v>154</v>
      </c>
      <c r="Y13401" t="s">
        <v>17196</v>
      </c>
      <c r="Z13401" t="s">
        <v>13441</v>
      </c>
      <c r="AA13401" s="22" t="str">
        <f>HYPERLINK("https://www.ncbi.nlm.nih.gov/nuccore/EF173389","NCBI Nucleotide")</f>
        <v>NCBI Nucleotide</v>
      </c>
    </row>
    <row r="13402" spans="1:27" x14ac:dyDescent="0.35">
      <c r="A13402">
        <v>1011368</v>
      </c>
      <c r="B13402">
        <v>12504</v>
      </c>
      <c r="C13402">
        <v>7</v>
      </c>
      <c r="D13402" t="s">
        <v>17166</v>
      </c>
      <c r="F13402" t="s">
        <v>17246</v>
      </c>
      <c r="H13402" t="s">
        <v>28921</v>
      </c>
      <c r="J13402" t="s">
        <v>28974</v>
      </c>
      <c r="L13402" t="s">
        <v>28975</v>
      </c>
      <c r="N13402" t="s">
        <v>29336</v>
      </c>
      <c r="P13402" t="s">
        <v>29337</v>
      </c>
      <c r="R13402" s="26" t="str">
        <f t="shared" si="39"/>
        <v>Alphapartitivirus viciae</v>
      </c>
      <c r="S13402" t="s">
        <v>8141</v>
      </c>
      <c r="T13402" t="s">
        <v>29386</v>
      </c>
      <c r="U13402" t="s">
        <v>29387</v>
      </c>
      <c r="V13402" t="s">
        <v>29394</v>
      </c>
      <c r="W13402" t="s">
        <v>49588</v>
      </c>
      <c r="X13402" t="s">
        <v>154</v>
      </c>
      <c r="Y13402" t="s">
        <v>17196</v>
      </c>
      <c r="Z13402" t="s">
        <v>13441</v>
      </c>
      <c r="AA13402" s="22" t="str">
        <f>HYPERLINK("https://www.ncbi.nlm.nih.gov/nuccore/EF173390","NCBI Nucleotide")</f>
        <v>NCBI Nucleotide</v>
      </c>
    </row>
    <row r="13403" spans="1:27" x14ac:dyDescent="0.35">
      <c r="A13403">
        <v>1001177</v>
      </c>
      <c r="B13403">
        <v>12505</v>
      </c>
      <c r="C13403">
        <v>1</v>
      </c>
      <c r="D13403" t="s">
        <v>17166</v>
      </c>
      <c r="F13403" t="s">
        <v>17246</v>
      </c>
      <c r="H13403" t="s">
        <v>28921</v>
      </c>
      <c r="J13403" t="s">
        <v>28974</v>
      </c>
      <c r="L13403" t="s">
        <v>28975</v>
      </c>
      <c r="N13403" t="s">
        <v>29336</v>
      </c>
      <c r="P13403" t="s">
        <v>29399</v>
      </c>
      <c r="R13403" s="26" t="str">
        <f>HYPERLINK("https://ictv.global/taxonomy/taxondetails?taxnode_id=202304160","Betapartitivirus anethi")</f>
        <v>Betapartitivirus anethi</v>
      </c>
      <c r="S13403" t="s">
        <v>30</v>
      </c>
      <c r="T13403" t="s">
        <v>29419</v>
      </c>
      <c r="U13403" t="s">
        <v>29420</v>
      </c>
      <c r="V13403" t="s">
        <v>29421</v>
      </c>
      <c r="W13403" t="s">
        <v>29422</v>
      </c>
      <c r="X13403" t="s">
        <v>42</v>
      </c>
      <c r="Y13403" t="s">
        <v>17196</v>
      </c>
      <c r="Z13403" t="s">
        <v>13441</v>
      </c>
      <c r="AA13403" s="22" t="str">
        <f>HYPERLINK("https://www.ncbi.nlm.nih.gov/nuccore/JX971984,JX971985","NCBI Nucleotide")</f>
        <v>NCBI Nucleotide</v>
      </c>
    </row>
    <row r="13404" spans="1:27" x14ac:dyDescent="0.35">
      <c r="A13404">
        <v>1001173</v>
      </c>
      <c r="B13404">
        <v>12506</v>
      </c>
      <c r="C13404">
        <v>1</v>
      </c>
      <c r="D13404" t="s">
        <v>17166</v>
      </c>
      <c r="F13404" t="s">
        <v>17246</v>
      </c>
      <c r="H13404" t="s">
        <v>28921</v>
      </c>
      <c r="J13404" t="s">
        <v>28974</v>
      </c>
      <c r="L13404" t="s">
        <v>28975</v>
      </c>
      <c r="N13404" t="s">
        <v>29336</v>
      </c>
      <c r="P13404" t="s">
        <v>29399</v>
      </c>
      <c r="R13404" s="26" t="str">
        <f>HYPERLINK("https://ictv.global/taxonomy/taxondetails?taxnode_id=202304156","Betapartitivirus atkinsonellae")</f>
        <v>Betapartitivirus atkinsonellae</v>
      </c>
      <c r="S13404" t="s">
        <v>30</v>
      </c>
      <c r="T13404" t="s">
        <v>29400</v>
      </c>
      <c r="U13404" t="s">
        <v>29401</v>
      </c>
      <c r="V13404" t="s">
        <v>29402</v>
      </c>
      <c r="W13404" t="s">
        <v>29403</v>
      </c>
      <c r="X13404" t="s">
        <v>42</v>
      </c>
      <c r="Y13404" t="s">
        <v>17196</v>
      </c>
      <c r="Z13404" t="s">
        <v>16721</v>
      </c>
      <c r="AA13404" s="22" t="str">
        <f>HYPERLINK("https://www.ncbi.nlm.nih.gov/nuccore/L39125,L39126","NCBI Nucleotide")</f>
        <v>NCBI Nucleotide</v>
      </c>
    </row>
    <row r="13405" spans="1:27" x14ac:dyDescent="0.35">
      <c r="A13405">
        <v>1001174</v>
      </c>
      <c r="B13405">
        <v>12507</v>
      </c>
      <c r="C13405">
        <v>1</v>
      </c>
      <c r="D13405" t="s">
        <v>17166</v>
      </c>
      <c r="F13405" t="s">
        <v>17246</v>
      </c>
      <c r="H13405" t="s">
        <v>28921</v>
      </c>
      <c r="J13405" t="s">
        <v>28974</v>
      </c>
      <c r="L13405" t="s">
        <v>28975</v>
      </c>
      <c r="N13405" t="s">
        <v>29336</v>
      </c>
      <c r="P13405" t="s">
        <v>29399</v>
      </c>
      <c r="R13405" s="26" t="str">
        <f>HYPERLINK("https://ictv.global/taxonomy/taxondetails?taxnode_id=202304157","Betapartitivirus cannabis")</f>
        <v>Betapartitivirus cannabis</v>
      </c>
      <c r="S13405" t="s">
        <v>30</v>
      </c>
      <c r="T13405" t="s">
        <v>29404</v>
      </c>
      <c r="U13405" t="s">
        <v>29343</v>
      </c>
      <c r="V13405" t="s">
        <v>29405</v>
      </c>
      <c r="W13405" t="s">
        <v>29406</v>
      </c>
      <c r="X13405" t="s">
        <v>42</v>
      </c>
      <c r="Y13405" t="s">
        <v>17196</v>
      </c>
      <c r="Z13405" t="s">
        <v>13441</v>
      </c>
      <c r="AA13405" s="22" t="str">
        <f>HYPERLINK("https://www.ncbi.nlm.nih.gov/nuccore/JN196536,JN196537","NCBI Nucleotide")</f>
        <v>NCBI Nucleotide</v>
      </c>
    </row>
    <row r="13406" spans="1:27" x14ac:dyDescent="0.35">
      <c r="A13406">
        <v>1011369</v>
      </c>
      <c r="B13406">
        <v>12507</v>
      </c>
      <c r="C13406">
        <v>2</v>
      </c>
      <c r="D13406" t="s">
        <v>17166</v>
      </c>
      <c r="F13406" t="s">
        <v>17246</v>
      </c>
      <c r="H13406" t="s">
        <v>28921</v>
      </c>
      <c r="J13406" t="s">
        <v>28974</v>
      </c>
      <c r="L13406" t="s">
        <v>28975</v>
      </c>
      <c r="N13406" t="s">
        <v>29336</v>
      </c>
      <c r="P13406" t="s">
        <v>29399</v>
      </c>
      <c r="R13406" s="26" t="str">
        <f>HYPERLINK("https://ictv.global/taxonomy/taxondetails?taxnode_id=202304157","Betapartitivirus cannabis")</f>
        <v>Betapartitivirus cannabis</v>
      </c>
      <c r="S13406" t="s">
        <v>8141</v>
      </c>
      <c r="T13406" t="s">
        <v>29404</v>
      </c>
      <c r="U13406" t="s">
        <v>29343</v>
      </c>
      <c r="V13406" t="s">
        <v>29407</v>
      </c>
      <c r="W13406" t="s">
        <v>49589</v>
      </c>
      <c r="X13406" t="s">
        <v>42</v>
      </c>
      <c r="Y13406" t="s">
        <v>17196</v>
      </c>
      <c r="Z13406" t="s">
        <v>13441</v>
      </c>
      <c r="AA13406" s="22" t="str">
        <f>HYPERLINK("https://www.ncbi.nlm.nih.gov/nuccore/KX709964,KX709965","NCBI Nucleotide")</f>
        <v>NCBI Nucleotide</v>
      </c>
    </row>
    <row r="13407" spans="1:27" x14ac:dyDescent="0.35">
      <c r="A13407">
        <v>1001175</v>
      </c>
      <c r="B13407">
        <v>12508</v>
      </c>
      <c r="C13407">
        <v>1</v>
      </c>
      <c r="D13407" t="s">
        <v>17166</v>
      </c>
      <c r="F13407" t="s">
        <v>17246</v>
      </c>
      <c r="H13407" t="s">
        <v>28921</v>
      </c>
      <c r="J13407" t="s">
        <v>28974</v>
      </c>
      <c r="L13407" t="s">
        <v>28975</v>
      </c>
      <c r="N13407" t="s">
        <v>29336</v>
      </c>
      <c r="P13407" t="s">
        <v>29399</v>
      </c>
      <c r="R13407" s="26" t="str">
        <f>HYPERLINK("https://ictv.global/taxonomy/taxondetails?taxnode_id=202304158","Betapartitivirus ceratocystis")</f>
        <v>Betapartitivirus ceratocystis</v>
      </c>
      <c r="S13407" t="s">
        <v>30</v>
      </c>
      <c r="T13407" t="s">
        <v>29408</v>
      </c>
      <c r="U13407" t="s">
        <v>29409</v>
      </c>
      <c r="V13407" t="s">
        <v>29410</v>
      </c>
      <c r="W13407" t="s">
        <v>50728</v>
      </c>
      <c r="X13407" t="s">
        <v>42</v>
      </c>
      <c r="Y13407" t="s">
        <v>17196</v>
      </c>
      <c r="Z13407" t="s">
        <v>16721</v>
      </c>
      <c r="AA13407" s="22" t="str">
        <f>HYPERLINK("https://www.ncbi.nlm.nih.gov/nuccore/AY603052,AY603051","NCBI Nucleotide")</f>
        <v>NCBI Nucleotide</v>
      </c>
    </row>
    <row r="13408" spans="1:27" x14ac:dyDescent="0.35">
      <c r="A13408">
        <v>1011370</v>
      </c>
      <c r="B13408">
        <v>12508</v>
      </c>
      <c r="C13408">
        <v>2</v>
      </c>
      <c r="D13408" t="s">
        <v>17166</v>
      </c>
      <c r="F13408" t="s">
        <v>17246</v>
      </c>
      <c r="H13408" t="s">
        <v>28921</v>
      </c>
      <c r="J13408" t="s">
        <v>28974</v>
      </c>
      <c r="L13408" t="s">
        <v>28975</v>
      </c>
      <c r="N13408" t="s">
        <v>29336</v>
      </c>
      <c r="P13408" t="s">
        <v>29399</v>
      </c>
      <c r="R13408" s="26" t="str">
        <f>HYPERLINK("https://ictv.global/taxonomy/taxondetails?taxnode_id=202304158","Betapartitivirus ceratocystis")</f>
        <v>Betapartitivirus ceratocystis</v>
      </c>
      <c r="S13408" t="s">
        <v>8141</v>
      </c>
      <c r="T13408" t="s">
        <v>29411</v>
      </c>
      <c r="U13408" t="s">
        <v>29412</v>
      </c>
      <c r="V13408" t="s">
        <v>29413</v>
      </c>
      <c r="W13408" t="s">
        <v>49590</v>
      </c>
      <c r="X13408" t="s">
        <v>42</v>
      </c>
      <c r="Y13408" t="s">
        <v>17196</v>
      </c>
      <c r="Z13408" t="s">
        <v>16721</v>
      </c>
      <c r="AA13408" s="22" t="str">
        <f>HYPERLINK("https://www.ncbi.nlm.nih.gov/nuccore/AY247204,AY247205","NCBI Nucleotide")</f>
        <v>NCBI Nucleotide</v>
      </c>
    </row>
    <row r="13409" spans="1:27" x14ac:dyDescent="0.35">
      <c r="A13409">
        <v>1011371</v>
      </c>
      <c r="B13409">
        <v>12508</v>
      </c>
      <c r="C13409">
        <v>3</v>
      </c>
      <c r="D13409" t="s">
        <v>17166</v>
      </c>
      <c r="F13409" t="s">
        <v>17246</v>
      </c>
      <c r="H13409" t="s">
        <v>28921</v>
      </c>
      <c r="J13409" t="s">
        <v>28974</v>
      </c>
      <c r="L13409" t="s">
        <v>28975</v>
      </c>
      <c r="N13409" t="s">
        <v>29336</v>
      </c>
      <c r="P13409" t="s">
        <v>29399</v>
      </c>
      <c r="R13409" s="26" t="str">
        <f>HYPERLINK("https://ictv.global/taxonomy/taxondetails?taxnode_id=202304158","Betapartitivirus ceratocystis")</f>
        <v>Betapartitivirus ceratocystis</v>
      </c>
      <c r="S13409" t="s">
        <v>8141</v>
      </c>
      <c r="T13409" t="s">
        <v>29411</v>
      </c>
      <c r="U13409" t="s">
        <v>29412</v>
      </c>
      <c r="V13409" t="s">
        <v>29414</v>
      </c>
      <c r="W13409" t="s">
        <v>49591</v>
      </c>
      <c r="X13409" t="s">
        <v>42</v>
      </c>
      <c r="Y13409" t="s">
        <v>17196</v>
      </c>
      <c r="Z13409" t="s">
        <v>16721</v>
      </c>
      <c r="AA13409" s="22" t="str">
        <f>HYPERLINK("https://www.ncbi.nlm.nih.gov/nuccore/AY260756,AY260757","NCBI Nucleotide")</f>
        <v>NCBI Nucleotide</v>
      </c>
    </row>
    <row r="13410" spans="1:27" x14ac:dyDescent="0.35">
      <c r="A13410">
        <v>1001179</v>
      </c>
      <c r="B13410">
        <v>12509</v>
      </c>
      <c r="C13410">
        <v>1</v>
      </c>
      <c r="D13410" t="s">
        <v>17166</v>
      </c>
      <c r="F13410" t="s">
        <v>17246</v>
      </c>
      <c r="H13410" t="s">
        <v>28921</v>
      </c>
      <c r="J13410" t="s">
        <v>28974</v>
      </c>
      <c r="L13410" t="s">
        <v>28975</v>
      </c>
      <c r="N13410" t="s">
        <v>29336</v>
      </c>
      <c r="P13410" t="s">
        <v>29399</v>
      </c>
      <c r="R13410" s="26" t="str">
        <f t="shared" ref="R13410:R13416" si="40">HYPERLINK("https://ictv.global/taxonomy/taxondetails?taxnode_id=202304162","Betapartitivirus duoheterobasidion")</f>
        <v>Betapartitivirus duoheterobasidion</v>
      </c>
      <c r="S13410" t="s">
        <v>30</v>
      </c>
      <c r="T13410" t="s">
        <v>29425</v>
      </c>
      <c r="U13410" t="s">
        <v>29426</v>
      </c>
      <c r="V13410" t="s">
        <v>29427</v>
      </c>
      <c r="W13410" t="s">
        <v>29428</v>
      </c>
      <c r="X13410" t="s">
        <v>42</v>
      </c>
      <c r="Y13410" t="s">
        <v>17196</v>
      </c>
      <c r="Z13410" t="s">
        <v>16721</v>
      </c>
      <c r="AA13410" s="22" t="str">
        <f>HYPERLINK("https://www.ncbi.nlm.nih.gov/nuccore/HM565953,HM565954","NCBI Nucleotide")</f>
        <v>NCBI Nucleotide</v>
      </c>
    </row>
    <row r="13411" spans="1:27" x14ac:dyDescent="0.35">
      <c r="A13411">
        <v>1011373</v>
      </c>
      <c r="B13411">
        <v>12509</v>
      </c>
      <c r="C13411">
        <v>2</v>
      </c>
      <c r="D13411" t="s">
        <v>17166</v>
      </c>
      <c r="F13411" t="s">
        <v>17246</v>
      </c>
      <c r="H13411" t="s">
        <v>28921</v>
      </c>
      <c r="J13411" t="s">
        <v>28974</v>
      </c>
      <c r="L13411" t="s">
        <v>28975</v>
      </c>
      <c r="N13411" t="s">
        <v>29336</v>
      </c>
      <c r="P13411" t="s">
        <v>29399</v>
      </c>
      <c r="R13411" s="26" t="str">
        <f t="shared" si="40"/>
        <v>Betapartitivirus duoheterobasidion</v>
      </c>
      <c r="S13411" t="s">
        <v>8141</v>
      </c>
      <c r="T13411" t="s">
        <v>29425</v>
      </c>
      <c r="U13411" t="s">
        <v>29426</v>
      </c>
      <c r="V13411" t="s">
        <v>29429</v>
      </c>
      <c r="W13411" t="s">
        <v>49592</v>
      </c>
      <c r="X13411" t="s">
        <v>154</v>
      </c>
      <c r="Y13411" t="s">
        <v>17196</v>
      </c>
      <c r="Z13411" t="s">
        <v>16721</v>
      </c>
      <c r="AA13411" s="22" t="str">
        <f>HYPERLINK("https://www.ncbi.nlm.nih.gov/nuccore/KF551880","NCBI Nucleotide")</f>
        <v>NCBI Nucleotide</v>
      </c>
    </row>
    <row r="13412" spans="1:27" x14ac:dyDescent="0.35">
      <c r="A13412">
        <v>1011374</v>
      </c>
      <c r="B13412">
        <v>12509</v>
      </c>
      <c r="C13412">
        <v>3</v>
      </c>
      <c r="D13412" t="s">
        <v>17166</v>
      </c>
      <c r="F13412" t="s">
        <v>17246</v>
      </c>
      <c r="H13412" t="s">
        <v>28921</v>
      </c>
      <c r="J13412" t="s">
        <v>28974</v>
      </c>
      <c r="L13412" t="s">
        <v>28975</v>
      </c>
      <c r="N13412" t="s">
        <v>29336</v>
      </c>
      <c r="P13412" t="s">
        <v>29399</v>
      </c>
      <c r="R13412" s="26" t="str">
        <f t="shared" si="40"/>
        <v>Betapartitivirus duoheterobasidion</v>
      </c>
      <c r="S13412" t="s">
        <v>8141</v>
      </c>
      <c r="T13412" t="s">
        <v>29425</v>
      </c>
      <c r="U13412" t="s">
        <v>29426</v>
      </c>
      <c r="V13412" t="s">
        <v>29430</v>
      </c>
      <c r="W13412" t="s">
        <v>49593</v>
      </c>
      <c r="X13412" t="s">
        <v>154</v>
      </c>
      <c r="Y13412" t="s">
        <v>17196</v>
      </c>
      <c r="Z13412" t="s">
        <v>16721</v>
      </c>
      <c r="AA13412" s="22" t="str">
        <f>HYPERLINK("https://www.ncbi.nlm.nih.gov/nuccore/KF551881","NCBI Nucleotide")</f>
        <v>NCBI Nucleotide</v>
      </c>
    </row>
    <row r="13413" spans="1:27" x14ac:dyDescent="0.35">
      <c r="A13413">
        <v>1011375</v>
      </c>
      <c r="B13413">
        <v>12509</v>
      </c>
      <c r="C13413">
        <v>4</v>
      </c>
      <c r="D13413" t="s">
        <v>17166</v>
      </c>
      <c r="F13413" t="s">
        <v>17246</v>
      </c>
      <c r="H13413" t="s">
        <v>28921</v>
      </c>
      <c r="J13413" t="s">
        <v>28974</v>
      </c>
      <c r="L13413" t="s">
        <v>28975</v>
      </c>
      <c r="N13413" t="s">
        <v>29336</v>
      </c>
      <c r="P13413" t="s">
        <v>29399</v>
      </c>
      <c r="R13413" s="26" t="str">
        <f t="shared" si="40"/>
        <v>Betapartitivirus duoheterobasidion</v>
      </c>
      <c r="S13413" t="s">
        <v>8141</v>
      </c>
      <c r="T13413" t="s">
        <v>29425</v>
      </c>
      <c r="U13413" t="s">
        <v>29426</v>
      </c>
      <c r="V13413" t="s">
        <v>29431</v>
      </c>
      <c r="W13413" t="s">
        <v>49594</v>
      </c>
      <c r="X13413" t="s">
        <v>154</v>
      </c>
      <c r="Y13413" t="s">
        <v>17196</v>
      </c>
      <c r="Z13413" t="s">
        <v>16721</v>
      </c>
      <c r="AA13413" s="22" t="str">
        <f>HYPERLINK("https://www.ncbi.nlm.nih.gov/nuccore/KF551882","NCBI Nucleotide")</f>
        <v>NCBI Nucleotide</v>
      </c>
    </row>
    <row r="13414" spans="1:27" x14ac:dyDescent="0.35">
      <c r="A13414">
        <v>1011376</v>
      </c>
      <c r="B13414">
        <v>12509</v>
      </c>
      <c r="C13414">
        <v>5</v>
      </c>
      <c r="D13414" t="s">
        <v>17166</v>
      </c>
      <c r="F13414" t="s">
        <v>17246</v>
      </c>
      <c r="H13414" t="s">
        <v>28921</v>
      </c>
      <c r="J13414" t="s">
        <v>28974</v>
      </c>
      <c r="L13414" t="s">
        <v>28975</v>
      </c>
      <c r="N13414" t="s">
        <v>29336</v>
      </c>
      <c r="P13414" t="s">
        <v>29399</v>
      </c>
      <c r="R13414" s="26" t="str">
        <f t="shared" si="40"/>
        <v>Betapartitivirus duoheterobasidion</v>
      </c>
      <c r="S13414" t="s">
        <v>8141</v>
      </c>
      <c r="T13414" t="s">
        <v>29425</v>
      </c>
      <c r="U13414" t="s">
        <v>29426</v>
      </c>
      <c r="V13414" t="s">
        <v>29432</v>
      </c>
      <c r="W13414" t="s">
        <v>49595</v>
      </c>
      <c r="X13414" t="s">
        <v>154</v>
      </c>
      <c r="Y13414" t="s">
        <v>17196</v>
      </c>
      <c r="Z13414" t="s">
        <v>16721</v>
      </c>
      <c r="AA13414" s="22" t="str">
        <f>HYPERLINK("https://www.ncbi.nlm.nih.gov/nuccore/KF551883","NCBI Nucleotide")</f>
        <v>NCBI Nucleotide</v>
      </c>
    </row>
    <row r="13415" spans="1:27" x14ac:dyDescent="0.35">
      <c r="A13415">
        <v>1011377</v>
      </c>
      <c r="B13415">
        <v>12509</v>
      </c>
      <c r="C13415">
        <v>6</v>
      </c>
      <c r="D13415" t="s">
        <v>17166</v>
      </c>
      <c r="F13415" t="s">
        <v>17246</v>
      </c>
      <c r="H13415" t="s">
        <v>28921</v>
      </c>
      <c r="J13415" t="s">
        <v>28974</v>
      </c>
      <c r="L13415" t="s">
        <v>28975</v>
      </c>
      <c r="N13415" t="s">
        <v>29336</v>
      </c>
      <c r="P13415" t="s">
        <v>29399</v>
      </c>
      <c r="R13415" s="26" t="str">
        <f t="shared" si="40"/>
        <v>Betapartitivirus duoheterobasidion</v>
      </c>
      <c r="S13415" t="s">
        <v>8141</v>
      </c>
      <c r="T13415" t="s">
        <v>29425</v>
      </c>
      <c r="U13415" t="s">
        <v>29426</v>
      </c>
      <c r="V13415" t="s">
        <v>29433</v>
      </c>
      <c r="W13415" t="s">
        <v>49596</v>
      </c>
      <c r="X13415" t="s">
        <v>154</v>
      </c>
      <c r="Y13415" t="s">
        <v>17196</v>
      </c>
      <c r="Z13415" t="s">
        <v>16721</v>
      </c>
      <c r="AA13415" s="22" t="str">
        <f>HYPERLINK("https://www.ncbi.nlm.nih.gov/nuccore/KF551884","NCBI Nucleotide")</f>
        <v>NCBI Nucleotide</v>
      </c>
    </row>
    <row r="13416" spans="1:27" x14ac:dyDescent="0.35">
      <c r="A13416">
        <v>1011378</v>
      </c>
      <c r="B13416">
        <v>12509</v>
      </c>
      <c r="C13416">
        <v>7</v>
      </c>
      <c r="D13416" t="s">
        <v>17166</v>
      </c>
      <c r="F13416" t="s">
        <v>17246</v>
      </c>
      <c r="H13416" t="s">
        <v>28921</v>
      </c>
      <c r="J13416" t="s">
        <v>28974</v>
      </c>
      <c r="L13416" t="s">
        <v>28975</v>
      </c>
      <c r="N13416" t="s">
        <v>29336</v>
      </c>
      <c r="P13416" t="s">
        <v>29399</v>
      </c>
      <c r="R13416" s="26" t="str">
        <f t="shared" si="40"/>
        <v>Betapartitivirus duoheterobasidion</v>
      </c>
      <c r="S13416" t="s">
        <v>8141</v>
      </c>
      <c r="T13416" t="s">
        <v>29425</v>
      </c>
      <c r="U13416" t="s">
        <v>29426</v>
      </c>
      <c r="V13416" t="s">
        <v>29434</v>
      </c>
      <c r="W13416" t="s">
        <v>49597</v>
      </c>
      <c r="X13416" t="s">
        <v>154</v>
      </c>
      <c r="Y13416" t="s">
        <v>17196</v>
      </c>
      <c r="Z13416" t="s">
        <v>16721</v>
      </c>
      <c r="AA13416" s="22" t="str">
        <f>HYPERLINK("https://www.ncbi.nlm.nih.gov/nuccore/KF551885","NCBI Nucleotide")</f>
        <v>NCBI Nucleotide</v>
      </c>
    </row>
    <row r="13417" spans="1:27" x14ac:dyDescent="0.35">
      <c r="A13417">
        <v>1001178</v>
      </c>
      <c r="B13417">
        <v>12510</v>
      </c>
      <c r="C13417">
        <v>1</v>
      </c>
      <c r="D13417" t="s">
        <v>17166</v>
      </c>
      <c r="F13417" t="s">
        <v>17246</v>
      </c>
      <c r="H13417" t="s">
        <v>28921</v>
      </c>
      <c r="J13417" t="s">
        <v>28974</v>
      </c>
      <c r="L13417" t="s">
        <v>28975</v>
      </c>
      <c r="N13417" t="s">
        <v>29336</v>
      </c>
      <c r="P13417" t="s">
        <v>29399</v>
      </c>
      <c r="R13417" s="26" t="str">
        <f>HYPERLINK("https://ictv.global/taxonomy/taxondetails?taxnode_id=202304161","Betapartitivirus fusarii")</f>
        <v>Betapartitivirus fusarii</v>
      </c>
      <c r="S13417" t="s">
        <v>30</v>
      </c>
      <c r="T13417" t="s">
        <v>29423</v>
      </c>
      <c r="U13417" t="s">
        <v>29424</v>
      </c>
      <c r="V13417" t="s">
        <v>690</v>
      </c>
      <c r="W13417" t="s">
        <v>50729</v>
      </c>
      <c r="X13417" t="s">
        <v>42</v>
      </c>
      <c r="Y13417" t="s">
        <v>17196</v>
      </c>
      <c r="Z13417" t="s">
        <v>16721</v>
      </c>
      <c r="AA13417" s="22" t="str">
        <f>HYPERLINK("https://www.ncbi.nlm.nih.gov/nuccore/AF047013,AF015924","NCBI Nucleotide")</f>
        <v>NCBI Nucleotide</v>
      </c>
    </row>
    <row r="13418" spans="1:27" x14ac:dyDescent="0.35">
      <c r="A13418">
        <v>1011372</v>
      </c>
      <c r="B13418">
        <v>12510</v>
      </c>
      <c r="C13418">
        <v>2</v>
      </c>
      <c r="D13418" t="s">
        <v>17166</v>
      </c>
      <c r="F13418" t="s">
        <v>17246</v>
      </c>
      <c r="H13418" t="s">
        <v>28921</v>
      </c>
      <c r="J13418" t="s">
        <v>28974</v>
      </c>
      <c r="L13418" t="s">
        <v>28975</v>
      </c>
      <c r="N13418" t="s">
        <v>29336</v>
      </c>
      <c r="P13418" t="s">
        <v>29399</v>
      </c>
      <c r="R13418" s="26" t="str">
        <f>HYPERLINK("https://ictv.global/taxonomy/taxondetails?taxnode_id=202304161","Betapartitivirus fusarii")</f>
        <v>Betapartitivirus fusarii</v>
      </c>
      <c r="S13418" t="s">
        <v>8141</v>
      </c>
      <c r="T13418" t="s">
        <v>29423</v>
      </c>
      <c r="U13418" t="s">
        <v>29424</v>
      </c>
      <c r="V13418">
        <v>240374</v>
      </c>
      <c r="W13418" t="s">
        <v>49598</v>
      </c>
      <c r="X13418" t="s">
        <v>42</v>
      </c>
      <c r="Y13418" t="s">
        <v>17196</v>
      </c>
      <c r="Z13418" t="s">
        <v>16721</v>
      </c>
      <c r="AA13418" s="22" t="str">
        <f>HYPERLINK("https://www.ncbi.nlm.nih.gov/nuccore/LC150606,LC150607","NCBI Nucleotide")</f>
        <v>NCBI Nucleotide</v>
      </c>
    </row>
    <row r="13419" spans="1:27" x14ac:dyDescent="0.35">
      <c r="A13419">
        <v>1001183</v>
      </c>
      <c r="B13419">
        <v>12511</v>
      </c>
      <c r="C13419">
        <v>1</v>
      </c>
      <c r="D13419" t="s">
        <v>17166</v>
      </c>
      <c r="F13419" t="s">
        <v>17246</v>
      </c>
      <c r="H13419" t="s">
        <v>28921</v>
      </c>
      <c r="J13419" t="s">
        <v>28974</v>
      </c>
      <c r="L13419" t="s">
        <v>28975</v>
      </c>
      <c r="N13419" t="s">
        <v>29336</v>
      </c>
      <c r="P13419" t="s">
        <v>29399</v>
      </c>
      <c r="R13419" s="26" t="str">
        <f>HYPERLINK("https://ictv.global/taxonomy/taxondetails?taxnode_id=202304166","Betapartitivirus humuli")</f>
        <v>Betapartitivirus humuli</v>
      </c>
      <c r="S13419" t="s">
        <v>30</v>
      </c>
      <c r="T13419" t="s">
        <v>29446</v>
      </c>
      <c r="U13419" t="s">
        <v>29447</v>
      </c>
      <c r="V13419" t="s">
        <v>29448</v>
      </c>
      <c r="W13419" t="s">
        <v>29449</v>
      </c>
      <c r="X13419" t="s">
        <v>42</v>
      </c>
      <c r="Y13419" t="s">
        <v>17196</v>
      </c>
      <c r="Z13419" t="s">
        <v>13441</v>
      </c>
      <c r="AA13419" s="22" t="str">
        <f>HYPERLINK("https://www.ncbi.nlm.nih.gov/nuccore/JX971980,JX971981","NCBI Nucleotide")</f>
        <v>NCBI Nucleotide</v>
      </c>
    </row>
    <row r="13420" spans="1:27" x14ac:dyDescent="0.35">
      <c r="A13420">
        <v>1001181</v>
      </c>
      <c r="B13420">
        <v>12512</v>
      </c>
      <c r="C13420">
        <v>1</v>
      </c>
      <c r="D13420" t="s">
        <v>17166</v>
      </c>
      <c r="F13420" t="s">
        <v>17246</v>
      </c>
      <c r="H13420" t="s">
        <v>28921</v>
      </c>
      <c r="J13420" t="s">
        <v>28974</v>
      </c>
      <c r="L13420" t="s">
        <v>28975</v>
      </c>
      <c r="N13420" t="s">
        <v>29336</v>
      </c>
      <c r="P13420" t="s">
        <v>29399</v>
      </c>
      <c r="R13420" s="26" t="str">
        <f>HYPERLINK("https://ictv.global/taxonomy/taxondetails?taxnode_id=202304164","Betapartitivirus octiheterobasidion")</f>
        <v>Betapartitivirus octiheterobasidion</v>
      </c>
      <c r="S13420" t="s">
        <v>30</v>
      </c>
      <c r="T13420" t="s">
        <v>29438</v>
      </c>
      <c r="U13420" t="s">
        <v>29439</v>
      </c>
      <c r="V13420" t="s">
        <v>29440</v>
      </c>
      <c r="W13420" t="s">
        <v>29441</v>
      </c>
      <c r="X13420" t="s">
        <v>42</v>
      </c>
      <c r="Y13420" t="s">
        <v>17196</v>
      </c>
      <c r="Z13420" t="s">
        <v>16721</v>
      </c>
      <c r="AA13420" s="22" t="str">
        <f>HYPERLINK("https://www.ncbi.nlm.nih.gov/nuccore/JX625227,JX625228","NCBI Nucleotide")</f>
        <v>NCBI Nucleotide</v>
      </c>
    </row>
    <row r="13421" spans="1:27" x14ac:dyDescent="0.35">
      <c r="A13421">
        <v>1001182</v>
      </c>
      <c r="B13421">
        <v>12513</v>
      </c>
      <c r="C13421">
        <v>1</v>
      </c>
      <c r="D13421" t="s">
        <v>17166</v>
      </c>
      <c r="F13421" t="s">
        <v>17246</v>
      </c>
      <c r="H13421" t="s">
        <v>28921</v>
      </c>
      <c r="J13421" t="s">
        <v>28974</v>
      </c>
      <c r="L13421" t="s">
        <v>28975</v>
      </c>
      <c r="N13421" t="s">
        <v>29336</v>
      </c>
      <c r="P13421" t="s">
        <v>29399</v>
      </c>
      <c r="R13421" s="26" t="str">
        <f>HYPERLINK("https://ictv.global/taxonomy/taxondetails?taxnode_id=202304165","Betapartitivirus piheterobasidion")</f>
        <v>Betapartitivirus piheterobasidion</v>
      </c>
      <c r="S13421" t="s">
        <v>30</v>
      </c>
      <c r="T13421" t="s">
        <v>29442</v>
      </c>
      <c r="U13421" t="s">
        <v>29443</v>
      </c>
      <c r="V13421" t="s">
        <v>29444</v>
      </c>
      <c r="W13421" t="s">
        <v>29445</v>
      </c>
      <c r="X13421" t="s">
        <v>154</v>
      </c>
      <c r="Y13421" t="s">
        <v>17196</v>
      </c>
      <c r="Z13421" t="s">
        <v>16721</v>
      </c>
      <c r="AA13421" s="22" t="str">
        <f>HYPERLINK("https://www.ncbi.nlm.nih.gov/nuccore/AF473549","NCBI Nucleotide")</f>
        <v>NCBI Nucleotide</v>
      </c>
    </row>
    <row r="13422" spans="1:27" x14ac:dyDescent="0.35">
      <c r="A13422">
        <v>1001184</v>
      </c>
      <c r="B13422">
        <v>12514</v>
      </c>
      <c r="C13422">
        <v>1</v>
      </c>
      <c r="D13422" t="s">
        <v>17166</v>
      </c>
      <c r="F13422" t="s">
        <v>17246</v>
      </c>
      <c r="H13422" t="s">
        <v>28921</v>
      </c>
      <c r="J13422" t="s">
        <v>28974</v>
      </c>
      <c r="L13422" t="s">
        <v>28975</v>
      </c>
      <c r="N13422" t="s">
        <v>29336</v>
      </c>
      <c r="P13422" t="s">
        <v>29399</v>
      </c>
      <c r="R13422" s="26" t="str">
        <f>HYPERLINK("https://ictv.global/taxonomy/taxondetails?taxnode_id=202304167","Betapartitivirus pleuroti")</f>
        <v>Betapartitivirus pleuroti</v>
      </c>
      <c r="S13422" t="s">
        <v>30</v>
      </c>
      <c r="T13422" t="s">
        <v>29450</v>
      </c>
      <c r="U13422" t="s">
        <v>29451</v>
      </c>
      <c r="V13422" t="s">
        <v>18950</v>
      </c>
      <c r="W13422" t="s">
        <v>50730</v>
      </c>
      <c r="X13422" t="s">
        <v>42</v>
      </c>
      <c r="Y13422" t="s">
        <v>17196</v>
      </c>
      <c r="Z13422" t="s">
        <v>16721</v>
      </c>
      <c r="AA13422" s="22" t="str">
        <f>HYPERLINK("https://www.ncbi.nlm.nih.gov/nuccore/AY533038,AY533036","NCBI Nucleotide")</f>
        <v>NCBI Nucleotide</v>
      </c>
    </row>
    <row r="13423" spans="1:27" x14ac:dyDescent="0.35">
      <c r="A13423">
        <v>1001186</v>
      </c>
      <c r="B13423">
        <v>12515</v>
      </c>
      <c r="C13423">
        <v>1</v>
      </c>
      <c r="D13423" t="s">
        <v>17166</v>
      </c>
      <c r="F13423" t="s">
        <v>17246</v>
      </c>
      <c r="H13423" t="s">
        <v>28921</v>
      </c>
      <c r="J13423" t="s">
        <v>28974</v>
      </c>
      <c r="L13423" t="s">
        <v>28975</v>
      </c>
      <c r="N13423" t="s">
        <v>29336</v>
      </c>
      <c r="P13423" t="s">
        <v>29399</v>
      </c>
      <c r="R13423" s="26" t="str">
        <f>HYPERLINK("https://ictv.global/taxonomy/taxondetails?taxnode_id=202304169","Betapartitivirus pratense")</f>
        <v>Betapartitivirus pratense</v>
      </c>
      <c r="S13423" t="s">
        <v>30</v>
      </c>
      <c r="T13423" t="s">
        <v>29455</v>
      </c>
      <c r="U13423" t="s">
        <v>29456</v>
      </c>
      <c r="V13423" t="s">
        <v>29457</v>
      </c>
      <c r="W13423" t="s">
        <v>29458</v>
      </c>
      <c r="X13423" t="s">
        <v>42</v>
      </c>
      <c r="Y13423" t="s">
        <v>17196</v>
      </c>
      <c r="Z13423" t="s">
        <v>13441</v>
      </c>
      <c r="AA13423" s="22" t="str">
        <f>HYPERLINK("https://www.ncbi.nlm.nih.gov/nuccore/JX971978,JX971979","NCBI Nucleotide")</f>
        <v>NCBI Nucleotide</v>
      </c>
    </row>
    <row r="13424" spans="1:27" x14ac:dyDescent="0.35">
      <c r="A13424">
        <v>1001185</v>
      </c>
      <c r="B13424">
        <v>12516</v>
      </c>
      <c r="C13424">
        <v>1</v>
      </c>
      <c r="D13424" t="s">
        <v>17166</v>
      </c>
      <c r="F13424" t="s">
        <v>17246</v>
      </c>
      <c r="H13424" t="s">
        <v>28921</v>
      </c>
      <c r="J13424" t="s">
        <v>28974</v>
      </c>
      <c r="L13424" t="s">
        <v>28975</v>
      </c>
      <c r="N13424" t="s">
        <v>29336</v>
      </c>
      <c r="P13424" t="s">
        <v>29399</v>
      </c>
      <c r="R13424" s="26" t="str">
        <f>HYPERLINK("https://ictv.global/taxonomy/taxondetails?taxnode_id=202304168","Betapartitivirus primulae")</f>
        <v>Betapartitivirus primulae</v>
      </c>
      <c r="S13424" t="s">
        <v>30</v>
      </c>
      <c r="T13424" t="s">
        <v>29452</v>
      </c>
      <c r="U13424" t="s">
        <v>29453</v>
      </c>
      <c r="V13424" t="s">
        <v>17234</v>
      </c>
      <c r="W13424" t="s">
        <v>29454</v>
      </c>
      <c r="X13424" t="s">
        <v>42</v>
      </c>
      <c r="Y13424" t="s">
        <v>17196</v>
      </c>
      <c r="Z13424" t="s">
        <v>13441</v>
      </c>
      <c r="AA13424" s="22" t="str">
        <f>HYPERLINK("https://www.ncbi.nlm.nih.gov/nuccore/EU195326,EU195327","NCBI Nucleotide")</f>
        <v>NCBI Nucleotide</v>
      </c>
    </row>
    <row r="13425" spans="1:27" x14ac:dyDescent="0.35">
      <c r="A13425">
        <v>1001176</v>
      </c>
      <c r="B13425">
        <v>12517</v>
      </c>
      <c r="C13425">
        <v>1</v>
      </c>
      <c r="D13425" t="s">
        <v>17166</v>
      </c>
      <c r="F13425" t="s">
        <v>17246</v>
      </c>
      <c r="H13425" t="s">
        <v>28921</v>
      </c>
      <c r="J13425" t="s">
        <v>28974</v>
      </c>
      <c r="L13425" t="s">
        <v>28975</v>
      </c>
      <c r="N13425" t="s">
        <v>29336</v>
      </c>
      <c r="P13425" t="s">
        <v>29399</v>
      </c>
      <c r="R13425" s="26" t="str">
        <f>HYPERLINK("https://ictv.global/taxonomy/taxondetails?taxnode_id=202304159","Betapartitivirus purpurae")</f>
        <v>Betapartitivirus purpurae</v>
      </c>
      <c r="S13425" t="s">
        <v>30</v>
      </c>
      <c r="T13425" t="s">
        <v>29415</v>
      </c>
      <c r="U13425" t="s">
        <v>29416</v>
      </c>
      <c r="V13425" t="s">
        <v>29417</v>
      </c>
      <c r="W13425" t="s">
        <v>29418</v>
      </c>
      <c r="X13425" t="s">
        <v>42</v>
      </c>
      <c r="Y13425" t="s">
        <v>17196</v>
      </c>
      <c r="Z13425" t="s">
        <v>13441</v>
      </c>
      <c r="AA13425" s="22" t="str">
        <f>HYPERLINK("https://www.ncbi.nlm.nih.gov/nuccore/JX971982,JX971983","NCBI Nucleotide")</f>
        <v>NCBI Nucleotide</v>
      </c>
    </row>
    <row r="13426" spans="1:27" x14ac:dyDescent="0.35">
      <c r="A13426">
        <v>1001187</v>
      </c>
      <c r="B13426">
        <v>12518</v>
      </c>
      <c r="C13426">
        <v>1</v>
      </c>
      <c r="D13426" t="s">
        <v>17166</v>
      </c>
      <c r="F13426" t="s">
        <v>17246</v>
      </c>
      <c r="H13426" t="s">
        <v>28921</v>
      </c>
      <c r="J13426" t="s">
        <v>28974</v>
      </c>
      <c r="L13426" t="s">
        <v>28975</v>
      </c>
      <c r="N13426" t="s">
        <v>29336</v>
      </c>
      <c r="P13426" t="s">
        <v>29399</v>
      </c>
      <c r="R13426" s="26" t="str">
        <f>HYPERLINK("https://ictv.global/taxonomy/taxondetails?taxnode_id=202304170","Betapartitivirus rhiso")</f>
        <v>Betapartitivirus rhiso</v>
      </c>
      <c r="S13426" t="s">
        <v>30</v>
      </c>
      <c r="T13426" t="s">
        <v>29459</v>
      </c>
      <c r="U13426" t="s">
        <v>29460</v>
      </c>
      <c r="V13426">
        <v>717</v>
      </c>
      <c r="W13426" t="s">
        <v>29461</v>
      </c>
      <c r="X13426" t="s">
        <v>42</v>
      </c>
      <c r="Y13426" t="s">
        <v>17196</v>
      </c>
      <c r="Z13426" t="s">
        <v>16721</v>
      </c>
      <c r="AA13426" s="22" t="str">
        <f>HYPERLINK("https://www.ncbi.nlm.nih.gov/nuccore/AF133290,AF133291","NCBI Nucleotide")</f>
        <v>NCBI Nucleotide</v>
      </c>
    </row>
    <row r="13427" spans="1:27" x14ac:dyDescent="0.35">
      <c r="A13427">
        <v>1001188</v>
      </c>
      <c r="B13427">
        <v>12519</v>
      </c>
      <c r="C13427">
        <v>1</v>
      </c>
      <c r="D13427" t="s">
        <v>17166</v>
      </c>
      <c r="F13427" t="s">
        <v>17246</v>
      </c>
      <c r="H13427" t="s">
        <v>28921</v>
      </c>
      <c r="J13427" t="s">
        <v>28974</v>
      </c>
      <c r="L13427" t="s">
        <v>28975</v>
      </c>
      <c r="N13427" t="s">
        <v>29336</v>
      </c>
      <c r="P13427" t="s">
        <v>29399</v>
      </c>
      <c r="R13427" s="26" t="str">
        <f>HYPERLINK("https://ictv.global/taxonomy/taxondetails?taxnode_id=202304171","Betapartitivirus roselliniae")</f>
        <v>Betapartitivirus roselliniae</v>
      </c>
      <c r="S13427" t="s">
        <v>30</v>
      </c>
      <c r="T13427" t="s">
        <v>29462</v>
      </c>
      <c r="U13427" t="s">
        <v>12097</v>
      </c>
      <c r="V13427" t="s">
        <v>29463</v>
      </c>
      <c r="W13427" t="s">
        <v>29464</v>
      </c>
      <c r="X13427" t="s">
        <v>42</v>
      </c>
      <c r="Y13427" t="s">
        <v>17196</v>
      </c>
      <c r="Z13427" t="s">
        <v>16721</v>
      </c>
      <c r="AA13427" s="22" t="str">
        <f>HYPERLINK("https://www.ncbi.nlm.nih.gov/nuccore/AB113347,AB113348","NCBI Nucleotide")</f>
        <v>NCBI Nucleotide</v>
      </c>
    </row>
    <row r="13428" spans="1:27" x14ac:dyDescent="0.35">
      <c r="A13428">
        <v>1001180</v>
      </c>
      <c r="B13428">
        <v>12520</v>
      </c>
      <c r="C13428">
        <v>1</v>
      </c>
      <c r="D13428" t="s">
        <v>17166</v>
      </c>
      <c r="F13428" t="s">
        <v>17246</v>
      </c>
      <c r="H13428" t="s">
        <v>28921</v>
      </c>
      <c r="J13428" t="s">
        <v>28974</v>
      </c>
      <c r="L13428" t="s">
        <v>28975</v>
      </c>
      <c r="N13428" t="s">
        <v>29336</v>
      </c>
      <c r="P13428" t="s">
        <v>29399</v>
      </c>
      <c r="R13428" s="26" t="str">
        <f>HYPERLINK("https://ictv.global/taxonomy/taxondetails?taxnode_id=202304163","Betapartitivirus septemheterobasidion")</f>
        <v>Betapartitivirus septemheterobasidion</v>
      </c>
      <c r="S13428" t="s">
        <v>30</v>
      </c>
      <c r="T13428" t="s">
        <v>29435</v>
      </c>
      <c r="U13428" t="s">
        <v>29436</v>
      </c>
      <c r="V13428" t="s">
        <v>29437</v>
      </c>
      <c r="W13428" t="s">
        <v>50731</v>
      </c>
      <c r="X13428" t="s">
        <v>42</v>
      </c>
      <c r="Y13428" t="s">
        <v>17196</v>
      </c>
      <c r="Z13428" t="s">
        <v>16721</v>
      </c>
      <c r="AA13428" s="22" t="str">
        <f>HYPERLINK("https://www.ncbi.nlm.nih.gov/nuccore/JN606091,JN606090","NCBI Nucleotide")</f>
        <v>NCBI Nucleotide</v>
      </c>
    </row>
    <row r="13429" spans="1:27" x14ac:dyDescent="0.35">
      <c r="A13429">
        <v>1011379</v>
      </c>
      <c r="B13429">
        <v>12520</v>
      </c>
      <c r="C13429">
        <v>2</v>
      </c>
      <c r="D13429" t="s">
        <v>17166</v>
      </c>
      <c r="F13429" t="s">
        <v>17246</v>
      </c>
      <c r="H13429" t="s">
        <v>28921</v>
      </c>
      <c r="J13429" t="s">
        <v>28974</v>
      </c>
      <c r="L13429" t="s">
        <v>28975</v>
      </c>
      <c r="N13429" t="s">
        <v>29336</v>
      </c>
      <c r="P13429" t="s">
        <v>29399</v>
      </c>
      <c r="R13429" s="26" t="str">
        <f>HYPERLINK("https://ictv.global/taxonomy/taxondetails?taxnode_id=202304163","Betapartitivirus septemheterobasidion")</f>
        <v>Betapartitivirus septemheterobasidion</v>
      </c>
      <c r="S13429" t="s">
        <v>8141</v>
      </c>
      <c r="T13429" t="s">
        <v>29435</v>
      </c>
      <c r="U13429" t="s">
        <v>29436</v>
      </c>
      <c r="V13429" t="s">
        <v>29429</v>
      </c>
      <c r="W13429" t="s">
        <v>49599</v>
      </c>
      <c r="X13429" t="s">
        <v>154</v>
      </c>
      <c r="Y13429" t="s">
        <v>17196</v>
      </c>
      <c r="Z13429" t="s">
        <v>16721</v>
      </c>
      <c r="AA13429" s="22" t="str">
        <f>HYPERLINK("https://www.ncbi.nlm.nih.gov/nuccore/KF551886","NCBI Nucleotide")</f>
        <v>NCBI Nucleotide</v>
      </c>
    </row>
    <row r="13430" spans="1:27" x14ac:dyDescent="0.35">
      <c r="A13430">
        <v>1011380</v>
      </c>
      <c r="B13430">
        <v>12520</v>
      </c>
      <c r="C13430">
        <v>3</v>
      </c>
      <c r="D13430" t="s">
        <v>17166</v>
      </c>
      <c r="F13430" t="s">
        <v>17246</v>
      </c>
      <c r="H13430" t="s">
        <v>28921</v>
      </c>
      <c r="J13430" t="s">
        <v>28974</v>
      </c>
      <c r="L13430" t="s">
        <v>28975</v>
      </c>
      <c r="N13430" t="s">
        <v>29336</v>
      </c>
      <c r="P13430" t="s">
        <v>29399</v>
      </c>
      <c r="R13430" s="26" t="str">
        <f>HYPERLINK("https://ictv.global/taxonomy/taxondetails?taxnode_id=202304163","Betapartitivirus septemheterobasidion")</f>
        <v>Betapartitivirus septemheterobasidion</v>
      </c>
      <c r="S13430" t="s">
        <v>8141</v>
      </c>
      <c r="T13430" t="s">
        <v>29435</v>
      </c>
      <c r="U13430" t="s">
        <v>29436</v>
      </c>
      <c r="V13430" t="s">
        <v>29430</v>
      </c>
      <c r="W13430" t="s">
        <v>49600</v>
      </c>
      <c r="X13430" t="s">
        <v>154</v>
      </c>
      <c r="Y13430" t="s">
        <v>17196</v>
      </c>
      <c r="Z13430" t="s">
        <v>16721</v>
      </c>
      <c r="AA13430" s="22" t="str">
        <f>HYPERLINK("https://www.ncbi.nlm.nih.gov/nuccore/KF551887","NCBI Nucleotide")</f>
        <v>NCBI Nucleotide</v>
      </c>
    </row>
    <row r="13431" spans="1:27" x14ac:dyDescent="0.35">
      <c r="A13431">
        <v>1001189</v>
      </c>
      <c r="B13431">
        <v>12521</v>
      </c>
      <c r="C13431">
        <v>1</v>
      </c>
      <c r="D13431" t="s">
        <v>17166</v>
      </c>
      <c r="F13431" t="s">
        <v>17246</v>
      </c>
      <c r="H13431" t="s">
        <v>28921</v>
      </c>
      <c r="J13431" t="s">
        <v>28974</v>
      </c>
      <c r="L13431" t="s">
        <v>28975</v>
      </c>
      <c r="N13431" t="s">
        <v>29336</v>
      </c>
      <c r="P13431" t="s">
        <v>29399</v>
      </c>
      <c r="R13431" s="26" t="str">
        <f>HYPERLINK("https://ictv.global/taxonomy/taxondetails?taxnode_id=202304172","Betapartitivirus trifolii")</f>
        <v>Betapartitivirus trifolii</v>
      </c>
      <c r="S13431" t="s">
        <v>30</v>
      </c>
      <c r="T13431" t="s">
        <v>29465</v>
      </c>
      <c r="U13431" t="s">
        <v>29466</v>
      </c>
      <c r="V13431" t="s">
        <v>29467</v>
      </c>
      <c r="W13431" t="s">
        <v>29468</v>
      </c>
      <c r="X13431" t="s">
        <v>42</v>
      </c>
      <c r="Y13431" t="s">
        <v>17196</v>
      </c>
      <c r="Z13431" t="s">
        <v>13441</v>
      </c>
      <c r="AA13431" s="22" t="str">
        <f>HYPERLINK("https://www.ncbi.nlm.nih.gov/nuccore/JX971976,JX971977","NCBI Nucleotide")</f>
        <v>NCBI Nucleotide</v>
      </c>
    </row>
    <row r="13432" spans="1:27" x14ac:dyDescent="0.35">
      <c r="A13432">
        <v>1001190</v>
      </c>
      <c r="B13432">
        <v>12522</v>
      </c>
      <c r="C13432">
        <v>1</v>
      </c>
      <c r="D13432" t="s">
        <v>17166</v>
      </c>
      <c r="F13432" t="s">
        <v>17246</v>
      </c>
      <c r="H13432" t="s">
        <v>28921</v>
      </c>
      <c r="J13432" t="s">
        <v>28974</v>
      </c>
      <c r="L13432" t="s">
        <v>28975</v>
      </c>
      <c r="N13432" t="s">
        <v>29336</v>
      </c>
      <c r="P13432" t="s">
        <v>29469</v>
      </c>
      <c r="R13432" s="26" t="str">
        <f>HYPERLINK("https://ictv.global/taxonomy/taxondetails?taxnode_id=202304174","Cryspovirus cryptosporidii")</f>
        <v>Cryspovirus cryptosporidii</v>
      </c>
      <c r="S13432" t="s">
        <v>30</v>
      </c>
      <c r="T13432" t="s">
        <v>29470</v>
      </c>
      <c r="U13432" t="s">
        <v>29471</v>
      </c>
      <c r="V13432" t="s">
        <v>29472</v>
      </c>
      <c r="W13432" t="s">
        <v>29473</v>
      </c>
      <c r="X13432" t="s">
        <v>42</v>
      </c>
      <c r="Y13432" t="s">
        <v>17196</v>
      </c>
      <c r="Z13432" t="s">
        <v>17496</v>
      </c>
      <c r="AA13432" s="22" t="str">
        <f>HYPERLINK("https://www.ncbi.nlm.nih.gov/nuccore/KY884720,KY884721","NCBI Nucleotide")</f>
        <v>NCBI Nucleotide</v>
      </c>
    </row>
    <row r="13433" spans="1:27" x14ac:dyDescent="0.35">
      <c r="A13433">
        <v>1011381</v>
      </c>
      <c r="B13433">
        <v>12522</v>
      </c>
      <c r="C13433">
        <v>2</v>
      </c>
      <c r="D13433" t="s">
        <v>17166</v>
      </c>
      <c r="F13433" t="s">
        <v>17246</v>
      </c>
      <c r="H13433" t="s">
        <v>28921</v>
      </c>
      <c r="J13433" t="s">
        <v>28974</v>
      </c>
      <c r="L13433" t="s">
        <v>28975</v>
      </c>
      <c r="N13433" t="s">
        <v>29336</v>
      </c>
      <c r="P13433" t="s">
        <v>29469</v>
      </c>
      <c r="R13433" s="26" t="str">
        <f>HYPERLINK("https://ictv.global/taxonomy/taxondetails?taxnode_id=202304174","Cryspovirus cryptosporidii")</f>
        <v>Cryspovirus cryptosporidii</v>
      </c>
      <c r="S13433" t="s">
        <v>8141</v>
      </c>
      <c r="T13433" t="s">
        <v>29470</v>
      </c>
      <c r="U13433" t="s">
        <v>29471</v>
      </c>
      <c r="V13433" t="s">
        <v>29474</v>
      </c>
      <c r="W13433" t="s">
        <v>49601</v>
      </c>
      <c r="X13433" t="s">
        <v>154</v>
      </c>
      <c r="Y13433" t="s">
        <v>17196</v>
      </c>
      <c r="Z13433" t="s">
        <v>17496</v>
      </c>
      <c r="AA13433" s="22" t="str">
        <f>HYPERLINK("https://www.ncbi.nlm.nih.gov/nuccore/U95995,U95996","NCBI Nucleotide")</f>
        <v>NCBI Nucleotide</v>
      </c>
    </row>
    <row r="13434" spans="1:27" x14ac:dyDescent="0.35">
      <c r="A13434">
        <v>1001191</v>
      </c>
      <c r="B13434">
        <v>12523</v>
      </c>
      <c r="C13434">
        <v>1</v>
      </c>
      <c r="D13434" t="s">
        <v>17166</v>
      </c>
      <c r="F13434" t="s">
        <v>17246</v>
      </c>
      <c r="H13434" t="s">
        <v>28921</v>
      </c>
      <c r="J13434" t="s">
        <v>28974</v>
      </c>
      <c r="L13434" t="s">
        <v>28975</v>
      </c>
      <c r="N13434" t="s">
        <v>29336</v>
      </c>
      <c r="P13434" t="s">
        <v>29475</v>
      </c>
      <c r="R13434" s="26" t="str">
        <f>HYPERLINK("https://ictv.global/taxonomy/taxondetails?taxnode_id=202304176","Deltapartitivirus duobetae")</f>
        <v>Deltapartitivirus duobetae</v>
      </c>
      <c r="S13434" t="s">
        <v>30</v>
      </c>
      <c r="T13434" t="s">
        <v>29476</v>
      </c>
      <c r="U13434" t="s">
        <v>29477</v>
      </c>
      <c r="V13434" t="s">
        <v>29340</v>
      </c>
      <c r="W13434" t="s">
        <v>29478</v>
      </c>
      <c r="X13434" t="s">
        <v>42</v>
      </c>
      <c r="Y13434" t="s">
        <v>17196</v>
      </c>
      <c r="Z13434" t="s">
        <v>13441</v>
      </c>
      <c r="AA13434" s="22" t="str">
        <f>HYPERLINK("https://www.ncbi.nlm.nih.gov/nuccore/HM560702,HM560703,HM560704","NCBI Nucleotide")</f>
        <v>NCBI Nucleotide</v>
      </c>
    </row>
    <row r="13435" spans="1:27" x14ac:dyDescent="0.35">
      <c r="A13435">
        <v>1001195</v>
      </c>
      <c r="B13435">
        <v>12524</v>
      </c>
      <c r="C13435">
        <v>1</v>
      </c>
      <c r="D13435" t="s">
        <v>17166</v>
      </c>
      <c r="F13435" t="s">
        <v>17246</v>
      </c>
      <c r="H13435" t="s">
        <v>28921</v>
      </c>
      <c r="J13435" t="s">
        <v>28974</v>
      </c>
      <c r="L13435" t="s">
        <v>28975</v>
      </c>
      <c r="N13435" t="s">
        <v>29336</v>
      </c>
      <c r="P13435" t="s">
        <v>29475</v>
      </c>
      <c r="R13435" s="26" t="str">
        <f>HYPERLINK("https://ictv.global/taxonomy/taxondetails?taxnode_id=202304180","Deltapartitivirus duocapsici")</f>
        <v>Deltapartitivirus duocapsici</v>
      </c>
      <c r="S13435" t="s">
        <v>30</v>
      </c>
      <c r="T13435" t="s">
        <v>29490</v>
      </c>
      <c r="U13435" t="s">
        <v>13142</v>
      </c>
      <c r="V13435" t="s">
        <v>29491</v>
      </c>
      <c r="W13435" t="s">
        <v>29492</v>
      </c>
      <c r="X13435" t="s">
        <v>42</v>
      </c>
      <c r="Y13435" t="s">
        <v>17196</v>
      </c>
      <c r="Z13435" t="s">
        <v>13441</v>
      </c>
      <c r="AA13435" s="22" t="str">
        <f>HYPERLINK("https://www.ncbi.nlm.nih.gov/nuccore/JN117278,JN117279","NCBI Nucleotide")</f>
        <v>NCBI Nucleotide</v>
      </c>
    </row>
    <row r="13436" spans="1:27" x14ac:dyDescent="0.35">
      <c r="A13436">
        <v>1011382</v>
      </c>
      <c r="B13436">
        <v>12524</v>
      </c>
      <c r="C13436">
        <v>2</v>
      </c>
      <c r="D13436" t="s">
        <v>17166</v>
      </c>
      <c r="F13436" t="s">
        <v>17246</v>
      </c>
      <c r="H13436" t="s">
        <v>28921</v>
      </c>
      <c r="J13436" t="s">
        <v>28974</v>
      </c>
      <c r="L13436" t="s">
        <v>28975</v>
      </c>
      <c r="N13436" t="s">
        <v>29336</v>
      </c>
      <c r="P13436" t="s">
        <v>29475</v>
      </c>
      <c r="R13436" s="26" t="str">
        <f>HYPERLINK("https://ictv.global/taxonomy/taxondetails?taxnode_id=202304180","Deltapartitivirus duocapsici")</f>
        <v>Deltapartitivirus duocapsici</v>
      </c>
      <c r="S13436" t="s">
        <v>8141</v>
      </c>
      <c r="T13436" t="s">
        <v>29490</v>
      </c>
      <c r="U13436" t="s">
        <v>13142</v>
      </c>
      <c r="V13436" t="s">
        <v>29493</v>
      </c>
      <c r="W13436" t="s">
        <v>49602</v>
      </c>
      <c r="X13436" t="s">
        <v>42</v>
      </c>
      <c r="Y13436" t="s">
        <v>17196</v>
      </c>
      <c r="Z13436" t="s">
        <v>13441</v>
      </c>
      <c r="AA13436" s="22" t="str">
        <f>HYPERLINK("https://www.ncbi.nlm.nih.gov/nuccore/LC195294,LC195295","NCBI Nucleotide")</f>
        <v>NCBI Nucleotide</v>
      </c>
    </row>
    <row r="13437" spans="1:27" x14ac:dyDescent="0.35">
      <c r="A13437">
        <v>1001193</v>
      </c>
      <c r="B13437">
        <v>12525</v>
      </c>
      <c r="C13437">
        <v>1</v>
      </c>
      <c r="D13437" t="s">
        <v>17166</v>
      </c>
      <c r="F13437" t="s">
        <v>17246</v>
      </c>
      <c r="H13437" t="s">
        <v>28921</v>
      </c>
      <c r="J13437" t="s">
        <v>28974</v>
      </c>
      <c r="L13437" t="s">
        <v>28975</v>
      </c>
      <c r="N13437" t="s">
        <v>29336</v>
      </c>
      <c r="P13437" t="s">
        <v>29475</v>
      </c>
      <c r="R13437" s="26" t="str">
        <f>HYPERLINK("https://ictv.global/taxonomy/taxondetails?taxnode_id=202304178","Deltapartitivirus fici")</f>
        <v>Deltapartitivirus fici</v>
      </c>
      <c r="S13437" t="s">
        <v>30</v>
      </c>
      <c r="T13437" t="s">
        <v>29483</v>
      </c>
      <c r="U13437" t="s">
        <v>29484</v>
      </c>
      <c r="V13437" t="s">
        <v>29485</v>
      </c>
      <c r="W13437" t="s">
        <v>29486</v>
      </c>
      <c r="X13437" t="s">
        <v>42</v>
      </c>
      <c r="Y13437" t="s">
        <v>17196</v>
      </c>
      <c r="Z13437" t="s">
        <v>13441</v>
      </c>
      <c r="AA13437" s="22" t="str">
        <f>HYPERLINK("https://www.ncbi.nlm.nih.gov/nuccore/FR687854,FR687855","NCBI Nucleotide")</f>
        <v>NCBI Nucleotide</v>
      </c>
    </row>
    <row r="13438" spans="1:27" x14ac:dyDescent="0.35">
      <c r="A13438">
        <v>1001192</v>
      </c>
      <c r="B13438">
        <v>12526</v>
      </c>
      <c r="C13438">
        <v>1</v>
      </c>
      <c r="D13438" t="s">
        <v>17166</v>
      </c>
      <c r="F13438" t="s">
        <v>17246</v>
      </c>
      <c r="H13438" t="s">
        <v>28921</v>
      </c>
      <c r="J13438" t="s">
        <v>28974</v>
      </c>
      <c r="L13438" t="s">
        <v>28975</v>
      </c>
      <c r="N13438" t="s">
        <v>29336</v>
      </c>
      <c r="P13438" t="s">
        <v>29475</v>
      </c>
      <c r="R13438" s="26" t="str">
        <f>HYPERLINK("https://ictv.global/taxonomy/taxondetails?taxnode_id=202304177","Deltapartitivirus trebetae")</f>
        <v>Deltapartitivirus trebetae</v>
      </c>
      <c r="S13438" t="s">
        <v>30</v>
      </c>
      <c r="T13438" t="s">
        <v>29479</v>
      </c>
      <c r="U13438" t="s">
        <v>29480</v>
      </c>
      <c r="V13438" t="s">
        <v>29481</v>
      </c>
      <c r="W13438" t="s">
        <v>29482</v>
      </c>
      <c r="X13438" t="s">
        <v>154</v>
      </c>
      <c r="Y13438" t="s">
        <v>17196</v>
      </c>
      <c r="Z13438" t="s">
        <v>13441</v>
      </c>
      <c r="AA13438" s="22" t="str">
        <f>HYPERLINK("https://www.ncbi.nlm.nih.gov/nuccore/S63913","NCBI Nucleotide")</f>
        <v>NCBI Nucleotide</v>
      </c>
    </row>
    <row r="13439" spans="1:27" x14ac:dyDescent="0.35">
      <c r="A13439">
        <v>1001194</v>
      </c>
      <c r="B13439">
        <v>12527</v>
      </c>
      <c r="C13439">
        <v>1</v>
      </c>
      <c r="D13439" t="s">
        <v>17166</v>
      </c>
      <c r="F13439" t="s">
        <v>17246</v>
      </c>
      <c r="H13439" t="s">
        <v>28921</v>
      </c>
      <c r="J13439" t="s">
        <v>28974</v>
      </c>
      <c r="L13439" t="s">
        <v>28975</v>
      </c>
      <c r="N13439" t="s">
        <v>29336</v>
      </c>
      <c r="P13439" t="s">
        <v>29475</v>
      </c>
      <c r="R13439" s="26" t="str">
        <f>HYPERLINK("https://ictv.global/taxonomy/taxondetails?taxnode_id=202304179","Deltapartitivirus unocapsici")</f>
        <v>Deltapartitivirus unocapsici</v>
      </c>
      <c r="S13439" t="s">
        <v>30</v>
      </c>
      <c r="T13439" t="s">
        <v>29487</v>
      </c>
      <c r="U13439" t="s">
        <v>13139</v>
      </c>
      <c r="V13439" t="s">
        <v>29488</v>
      </c>
      <c r="W13439" t="s">
        <v>29489</v>
      </c>
      <c r="X13439" t="s">
        <v>42</v>
      </c>
      <c r="Y13439" t="s">
        <v>17196</v>
      </c>
      <c r="Z13439" t="s">
        <v>13441</v>
      </c>
      <c r="AA13439" s="22" t="str">
        <f>HYPERLINK("https://www.ncbi.nlm.nih.gov/nuccore/JN117276,JN117277","NCBI Nucleotide")</f>
        <v>NCBI Nucleotide</v>
      </c>
    </row>
    <row r="13440" spans="1:27" x14ac:dyDescent="0.35">
      <c r="A13440">
        <v>1001196</v>
      </c>
      <c r="B13440">
        <v>12528</v>
      </c>
      <c r="C13440">
        <v>1</v>
      </c>
      <c r="D13440" t="s">
        <v>17166</v>
      </c>
      <c r="F13440" t="s">
        <v>17246</v>
      </c>
      <c r="H13440" t="s">
        <v>28921</v>
      </c>
      <c r="J13440" t="s">
        <v>28974</v>
      </c>
      <c r="L13440" t="s">
        <v>28975</v>
      </c>
      <c r="N13440" t="s">
        <v>29336</v>
      </c>
      <c r="P13440" t="s">
        <v>29494</v>
      </c>
      <c r="R13440" s="26" t="str">
        <f>HYPERLINK("https://ictv.global/taxonomy/taxondetails?taxnode_id=202304182","Gammapartitivirus aspergilli")</f>
        <v>Gammapartitivirus aspergilli</v>
      </c>
      <c r="S13440" t="s">
        <v>30</v>
      </c>
      <c r="T13440" t="s">
        <v>29495</v>
      </c>
      <c r="U13440" t="s">
        <v>29496</v>
      </c>
      <c r="V13440" t="s">
        <v>29497</v>
      </c>
      <c r="W13440" t="s">
        <v>29498</v>
      </c>
      <c r="X13440" t="s">
        <v>42</v>
      </c>
      <c r="Y13440" t="s">
        <v>17196</v>
      </c>
      <c r="Z13440" t="s">
        <v>16721</v>
      </c>
      <c r="AA13440" s="22" t="str">
        <f>HYPERLINK("https://www.ncbi.nlm.nih.gov/nuccore/EU118277,EU118278,EU118279","NCBI Nucleotide")</f>
        <v>NCBI Nucleotide</v>
      </c>
    </row>
    <row r="13441" spans="1:27" x14ac:dyDescent="0.35">
      <c r="A13441">
        <v>1001198</v>
      </c>
      <c r="B13441">
        <v>12529</v>
      </c>
      <c r="C13441">
        <v>1</v>
      </c>
      <c r="D13441" t="s">
        <v>17166</v>
      </c>
      <c r="F13441" t="s">
        <v>17246</v>
      </c>
      <c r="H13441" t="s">
        <v>28921</v>
      </c>
      <c r="J13441" t="s">
        <v>28974</v>
      </c>
      <c r="L13441" t="s">
        <v>28975</v>
      </c>
      <c r="N13441" t="s">
        <v>29336</v>
      </c>
      <c r="P13441" t="s">
        <v>29494</v>
      </c>
      <c r="R13441" s="26" t="str">
        <f>HYPERLINK("https://ictv.global/taxonomy/taxondetails?taxnode_id=202304184","Gammapartitivirus duodisculae")</f>
        <v>Gammapartitivirus duodisculae</v>
      </c>
      <c r="S13441" t="s">
        <v>30</v>
      </c>
      <c r="T13441" t="s">
        <v>29502</v>
      </c>
      <c r="U13441" t="s">
        <v>29503</v>
      </c>
      <c r="V13441">
        <v>331</v>
      </c>
      <c r="W13441" t="s">
        <v>29504</v>
      </c>
      <c r="X13441" t="s">
        <v>42</v>
      </c>
      <c r="Y13441" t="s">
        <v>17196</v>
      </c>
      <c r="Z13441" t="s">
        <v>16721</v>
      </c>
      <c r="AA13441" s="22" t="str">
        <f>HYPERLINK("https://www.ncbi.nlm.nih.gov/nuccore/AY033436,AY033437","NCBI Nucleotide")</f>
        <v>NCBI Nucleotide</v>
      </c>
    </row>
    <row r="13442" spans="1:27" x14ac:dyDescent="0.35">
      <c r="A13442">
        <v>1001202</v>
      </c>
      <c r="B13442">
        <v>12530</v>
      </c>
      <c r="C13442">
        <v>1</v>
      </c>
      <c r="D13442" t="s">
        <v>17166</v>
      </c>
      <c r="F13442" t="s">
        <v>17246</v>
      </c>
      <c r="H13442" t="s">
        <v>28921</v>
      </c>
      <c r="J13442" t="s">
        <v>28974</v>
      </c>
      <c r="L13442" t="s">
        <v>28975</v>
      </c>
      <c r="N13442" t="s">
        <v>29336</v>
      </c>
      <c r="P13442" t="s">
        <v>29494</v>
      </c>
      <c r="R13442" s="26" t="str">
        <f>HYPERLINK("https://ictv.global/taxonomy/taxondetails?taxnode_id=202304188","Gammapartitivirus effepenicillii")</f>
        <v>Gammapartitivirus effepenicillii</v>
      </c>
      <c r="S13442" t="s">
        <v>30</v>
      </c>
      <c r="T13442" t="s">
        <v>29517</v>
      </c>
      <c r="U13442" t="s">
        <v>29518</v>
      </c>
      <c r="V13442" t="s">
        <v>18179</v>
      </c>
      <c r="W13442" t="s">
        <v>29519</v>
      </c>
      <c r="X13442" t="s">
        <v>42</v>
      </c>
      <c r="Y13442" t="s">
        <v>17196</v>
      </c>
      <c r="Z13442" t="s">
        <v>16721</v>
      </c>
      <c r="AA13442" s="22" t="str">
        <f>HYPERLINK("https://www.ncbi.nlm.nih.gov/nuccore/AY738336,AY738337","NCBI Nucleotide")</f>
        <v>NCBI Nucleotide</v>
      </c>
    </row>
    <row r="13443" spans="1:27" x14ac:dyDescent="0.35">
      <c r="A13443">
        <v>1001203</v>
      </c>
      <c r="B13443">
        <v>12531</v>
      </c>
      <c r="C13443">
        <v>1</v>
      </c>
      <c r="D13443" t="s">
        <v>17166</v>
      </c>
      <c r="F13443" t="s">
        <v>17246</v>
      </c>
      <c r="H13443" t="s">
        <v>28921</v>
      </c>
      <c r="J13443" t="s">
        <v>28974</v>
      </c>
      <c r="L13443" t="s">
        <v>28975</v>
      </c>
      <c r="N13443" t="s">
        <v>29336</v>
      </c>
      <c r="P13443" t="s">
        <v>29494</v>
      </c>
      <c r="R13443" s="26" t="str">
        <f>HYPERLINK("https://ictv.global/taxonomy/taxondetails?taxnode_id=202304189","Gammapartitivirus essepenicillii")</f>
        <v>Gammapartitivirus essepenicillii</v>
      </c>
      <c r="S13443" t="s">
        <v>30</v>
      </c>
      <c r="T13443" t="s">
        <v>29520</v>
      </c>
      <c r="U13443" t="s">
        <v>29521</v>
      </c>
      <c r="V13443" t="s">
        <v>29522</v>
      </c>
      <c r="W13443" t="s">
        <v>29523</v>
      </c>
      <c r="X13443" t="s">
        <v>42</v>
      </c>
      <c r="Y13443" t="s">
        <v>17196</v>
      </c>
      <c r="Z13443" t="s">
        <v>16721</v>
      </c>
      <c r="AA13443" s="22" t="str">
        <f>HYPERLINK("https://www.ncbi.nlm.nih.gov/nuccore/AY156521,AY156522","NCBI Nucleotide")</f>
        <v>NCBI Nucleotide</v>
      </c>
    </row>
    <row r="13444" spans="1:27" x14ac:dyDescent="0.35">
      <c r="A13444">
        <v>1011384</v>
      </c>
      <c r="B13444">
        <v>12531</v>
      </c>
      <c r="C13444">
        <v>2</v>
      </c>
      <c r="D13444" t="s">
        <v>17166</v>
      </c>
      <c r="F13444" t="s">
        <v>17246</v>
      </c>
      <c r="H13444" t="s">
        <v>28921</v>
      </c>
      <c r="J13444" t="s">
        <v>28974</v>
      </c>
      <c r="L13444" t="s">
        <v>28975</v>
      </c>
      <c r="N13444" t="s">
        <v>29336</v>
      </c>
      <c r="P13444" t="s">
        <v>29494</v>
      </c>
      <c r="R13444" s="26" t="str">
        <f>HYPERLINK("https://ictv.global/taxonomy/taxondetails?taxnode_id=202304189","Gammapartitivirus essepenicillii")</f>
        <v>Gammapartitivirus essepenicillii</v>
      </c>
      <c r="S13444" t="s">
        <v>8141</v>
      </c>
      <c r="T13444" t="s">
        <v>29520</v>
      </c>
      <c r="U13444" t="s">
        <v>29521</v>
      </c>
      <c r="V13444" t="s">
        <v>29524</v>
      </c>
      <c r="W13444" t="s">
        <v>49603</v>
      </c>
      <c r="X13444" t="s">
        <v>42</v>
      </c>
      <c r="Y13444" t="s">
        <v>17196</v>
      </c>
      <c r="Z13444" t="s">
        <v>16721</v>
      </c>
      <c r="AA13444" s="22" t="str">
        <f>HYPERLINK("https://www.ncbi.nlm.nih.gov/nuccore/AM040148,AM040149","NCBI Nucleotide")</f>
        <v>NCBI Nucleotide</v>
      </c>
    </row>
    <row r="13445" spans="1:27" x14ac:dyDescent="0.35">
      <c r="A13445">
        <v>1001199</v>
      </c>
      <c r="B13445">
        <v>12532</v>
      </c>
      <c r="C13445">
        <v>1</v>
      </c>
      <c r="D13445" t="s">
        <v>17166</v>
      </c>
      <c r="F13445" t="s">
        <v>17246</v>
      </c>
      <c r="H13445" t="s">
        <v>28921</v>
      </c>
      <c r="J13445" t="s">
        <v>28974</v>
      </c>
      <c r="L13445" t="s">
        <v>28975</v>
      </c>
      <c r="N13445" t="s">
        <v>29336</v>
      </c>
      <c r="P13445" t="s">
        <v>29494</v>
      </c>
      <c r="R13445" s="26" t="str">
        <f>HYPERLINK("https://ictv.global/taxonomy/taxondetails?taxnode_id=202304185","Gammapartitivirus fusarii")</f>
        <v>Gammapartitivirus fusarii</v>
      </c>
      <c r="S13445" t="s">
        <v>30</v>
      </c>
      <c r="T13445" t="s">
        <v>29505</v>
      </c>
      <c r="U13445" t="s">
        <v>29506</v>
      </c>
      <c r="V13445" t="s">
        <v>29507</v>
      </c>
      <c r="W13445" t="s">
        <v>29508</v>
      </c>
      <c r="X13445" t="s">
        <v>42</v>
      </c>
      <c r="Y13445" t="s">
        <v>17196</v>
      </c>
      <c r="Z13445" t="s">
        <v>16721</v>
      </c>
      <c r="AA13445" s="22" t="str">
        <f>HYPERLINK("https://www.ncbi.nlm.nih.gov/nuccore/D55668,D55669","NCBI Nucleotide")</f>
        <v>NCBI Nucleotide</v>
      </c>
    </row>
    <row r="13446" spans="1:27" x14ac:dyDescent="0.35">
      <c r="A13446">
        <v>1001200</v>
      </c>
      <c r="B13446">
        <v>12533</v>
      </c>
      <c r="C13446">
        <v>1</v>
      </c>
      <c r="D13446" t="s">
        <v>17166</v>
      </c>
      <c r="F13446" t="s">
        <v>17246</v>
      </c>
      <c r="H13446" t="s">
        <v>28921</v>
      </c>
      <c r="J13446" t="s">
        <v>28974</v>
      </c>
      <c r="L13446" t="s">
        <v>28975</v>
      </c>
      <c r="N13446" t="s">
        <v>29336</v>
      </c>
      <c r="P13446" t="s">
        <v>29494</v>
      </c>
      <c r="R13446" s="26" t="str">
        <f>HYPERLINK("https://ictv.global/taxonomy/taxondetails?taxnode_id=202304186","Gammapartitivirus gremmeniellae")</f>
        <v>Gammapartitivirus gremmeniellae</v>
      </c>
      <c r="S13446" t="s">
        <v>30</v>
      </c>
      <c r="T13446" t="s">
        <v>29509</v>
      </c>
      <c r="U13446" t="s">
        <v>29510</v>
      </c>
      <c r="V13446" t="s">
        <v>29511</v>
      </c>
      <c r="W13446" t="s">
        <v>29512</v>
      </c>
      <c r="X13446" t="s">
        <v>42</v>
      </c>
      <c r="Y13446" t="s">
        <v>17196</v>
      </c>
      <c r="Z13446" t="s">
        <v>16721</v>
      </c>
      <c r="AA13446" s="22" t="str">
        <f>HYPERLINK("https://www.ncbi.nlm.nih.gov/nuccore/AY089993,AY089994,AY089995","NCBI Nucleotide")</f>
        <v>NCBI Nucleotide</v>
      </c>
    </row>
    <row r="13447" spans="1:27" x14ac:dyDescent="0.35">
      <c r="A13447">
        <v>1011383</v>
      </c>
      <c r="B13447">
        <v>12533</v>
      </c>
      <c r="C13447">
        <v>2</v>
      </c>
      <c r="D13447" t="s">
        <v>17166</v>
      </c>
      <c r="F13447" t="s">
        <v>17246</v>
      </c>
      <c r="H13447" t="s">
        <v>28921</v>
      </c>
      <c r="J13447" t="s">
        <v>28974</v>
      </c>
      <c r="L13447" t="s">
        <v>28975</v>
      </c>
      <c r="N13447" t="s">
        <v>29336</v>
      </c>
      <c r="P13447" t="s">
        <v>29494</v>
      </c>
      <c r="R13447" s="26" t="str">
        <f>HYPERLINK("https://ictv.global/taxonomy/taxondetails?taxnode_id=202304186","Gammapartitivirus gremmeniellae")</f>
        <v>Gammapartitivirus gremmeniellae</v>
      </c>
      <c r="S13447" t="s">
        <v>8141</v>
      </c>
      <c r="T13447" t="s">
        <v>29509</v>
      </c>
      <c r="U13447" t="s">
        <v>29510</v>
      </c>
      <c r="V13447" t="s">
        <v>29513</v>
      </c>
      <c r="W13447" t="s">
        <v>49604</v>
      </c>
      <c r="X13447" t="s">
        <v>42</v>
      </c>
      <c r="Y13447" t="s">
        <v>17196</v>
      </c>
      <c r="Z13447" t="s">
        <v>16721</v>
      </c>
      <c r="AA13447" s="22" t="str">
        <f>HYPERLINK("https://www.ncbi.nlm.nih.gov/nuccore/AY615211,AY615212,AY615213","NCBI Nucleotide")</f>
        <v>NCBI Nucleotide</v>
      </c>
    </row>
    <row r="13448" spans="1:27" x14ac:dyDescent="0.35">
      <c r="A13448">
        <v>1001201</v>
      </c>
      <c r="B13448">
        <v>12534</v>
      </c>
      <c r="C13448">
        <v>1</v>
      </c>
      <c r="D13448" t="s">
        <v>17166</v>
      </c>
      <c r="F13448" t="s">
        <v>17246</v>
      </c>
      <c r="H13448" t="s">
        <v>28921</v>
      </c>
      <c r="J13448" t="s">
        <v>28974</v>
      </c>
      <c r="L13448" t="s">
        <v>28975</v>
      </c>
      <c r="N13448" t="s">
        <v>29336</v>
      </c>
      <c r="P13448" t="s">
        <v>29494</v>
      </c>
      <c r="R13448" s="26" t="str">
        <f>HYPERLINK("https://ictv.global/taxonomy/taxondetails?taxnode_id=202304187","Gammapartitivirus ophiostomae")</f>
        <v>Gammapartitivirus ophiostomae</v>
      </c>
      <c r="S13448" t="s">
        <v>30</v>
      </c>
      <c r="T13448" t="s">
        <v>29514</v>
      </c>
      <c r="U13448" t="s">
        <v>29515</v>
      </c>
      <c r="V13448" t="s">
        <v>14447</v>
      </c>
      <c r="W13448" t="s">
        <v>29516</v>
      </c>
      <c r="X13448" t="s">
        <v>42</v>
      </c>
      <c r="Y13448" t="s">
        <v>17196</v>
      </c>
      <c r="Z13448" t="s">
        <v>16721</v>
      </c>
      <c r="AA13448" s="22" t="str">
        <f>HYPERLINK("https://www.ncbi.nlm.nih.gov/nuccore/AM087202,AM087203","NCBI Nucleotide")</f>
        <v>NCBI Nucleotide</v>
      </c>
    </row>
    <row r="13449" spans="1:27" x14ac:dyDescent="0.35">
      <c r="A13449">
        <v>1001197</v>
      </c>
      <c r="B13449">
        <v>12535</v>
      </c>
      <c r="C13449">
        <v>1</v>
      </c>
      <c r="D13449" t="s">
        <v>17166</v>
      </c>
      <c r="F13449" t="s">
        <v>17246</v>
      </c>
      <c r="H13449" t="s">
        <v>28921</v>
      </c>
      <c r="J13449" t="s">
        <v>28974</v>
      </c>
      <c r="L13449" t="s">
        <v>28975</v>
      </c>
      <c r="N13449" t="s">
        <v>29336</v>
      </c>
      <c r="P13449" t="s">
        <v>29494</v>
      </c>
      <c r="R13449" s="26" t="str">
        <f>HYPERLINK("https://ictv.global/taxonomy/taxondetails?taxnode_id=202304183","Gammapartitivirus unodisculae")</f>
        <v>Gammapartitivirus unodisculae</v>
      </c>
      <c r="S13449" t="s">
        <v>30</v>
      </c>
      <c r="T13449" t="s">
        <v>29499</v>
      </c>
      <c r="U13449" t="s">
        <v>29500</v>
      </c>
      <c r="V13449">
        <v>247</v>
      </c>
      <c r="W13449" t="s">
        <v>29501</v>
      </c>
      <c r="X13449" t="s">
        <v>42</v>
      </c>
      <c r="Y13449" t="s">
        <v>17196</v>
      </c>
      <c r="Z13449" t="s">
        <v>16721</v>
      </c>
      <c r="AA13449" s="22" t="str">
        <f>HYPERLINK("https://www.ncbi.nlm.nih.gov/nuccore/AF316992,AF316993","NCBI Nucleotide")</f>
        <v>NCBI Nucleotide</v>
      </c>
    </row>
    <row r="13450" spans="1:27" x14ac:dyDescent="0.35">
      <c r="A13450">
        <v>1001219</v>
      </c>
      <c r="B13450">
        <v>12536</v>
      </c>
      <c r="C13450">
        <v>1</v>
      </c>
      <c r="D13450" t="s">
        <v>17166</v>
      </c>
      <c r="F13450" t="s">
        <v>17246</v>
      </c>
      <c r="H13450" t="s">
        <v>28921</v>
      </c>
      <c r="J13450" t="s">
        <v>28974</v>
      </c>
      <c r="L13450" t="s">
        <v>28975</v>
      </c>
      <c r="N13450" t="s">
        <v>29525</v>
      </c>
      <c r="P13450" t="s">
        <v>29526</v>
      </c>
      <c r="R13450" s="26" t="str">
        <f>HYPERLINK("https://ictv.global/taxonomy/taxondetails?taxnode_id=202308648","Orthopicobirnavirus beihaiense")</f>
        <v>Orthopicobirnavirus beihaiense</v>
      </c>
      <c r="S13450" t="s">
        <v>30</v>
      </c>
      <c r="T13450" t="s">
        <v>29527</v>
      </c>
      <c r="V13450" t="s">
        <v>29528</v>
      </c>
      <c r="W13450" t="s">
        <v>50732</v>
      </c>
      <c r="X13450" t="s">
        <v>42</v>
      </c>
      <c r="Y13450" t="s">
        <v>17196</v>
      </c>
      <c r="Z13450" t="s">
        <v>47283</v>
      </c>
      <c r="AA13450" s="22" t="str">
        <f>HYPERLINK("https://www.ncbi.nlm.nih.gov/nuccore/KX884063,KX884062","NCBI Nucleotide")</f>
        <v>NCBI Nucleotide</v>
      </c>
    </row>
    <row r="13451" spans="1:27" x14ac:dyDescent="0.35">
      <c r="A13451">
        <v>1001220</v>
      </c>
      <c r="B13451">
        <v>12537</v>
      </c>
      <c r="C13451">
        <v>1</v>
      </c>
      <c r="D13451" t="s">
        <v>17166</v>
      </c>
      <c r="F13451" t="s">
        <v>17246</v>
      </c>
      <c r="H13451" t="s">
        <v>28921</v>
      </c>
      <c r="J13451" t="s">
        <v>28974</v>
      </c>
      <c r="L13451" t="s">
        <v>28975</v>
      </c>
      <c r="N13451" t="s">
        <v>29525</v>
      </c>
      <c r="P13451" t="s">
        <v>29526</v>
      </c>
      <c r="R13451" s="26" t="str">
        <f>HYPERLINK("https://ictv.global/taxonomy/taxondetails?taxnode_id=202308647","Orthopicobirnavirus equi")</f>
        <v>Orthopicobirnavirus equi</v>
      </c>
      <c r="S13451" t="s">
        <v>30</v>
      </c>
      <c r="T13451" t="s">
        <v>29529</v>
      </c>
      <c r="V13451" t="s">
        <v>29530</v>
      </c>
      <c r="W13451" t="s">
        <v>29531</v>
      </c>
      <c r="X13451" t="s">
        <v>42</v>
      </c>
      <c r="Y13451" t="s">
        <v>17196</v>
      </c>
      <c r="Z13451" t="s">
        <v>47284</v>
      </c>
      <c r="AA13451" s="22" t="str">
        <f>HYPERLINK("https://www.ncbi.nlm.nih.gov/nuccore/KR902508,KR902507","NCBI Nucleotide")</f>
        <v>NCBI Nucleotide</v>
      </c>
    </row>
    <row r="13452" spans="1:27" x14ac:dyDescent="0.35">
      <c r="A13452">
        <v>1011385</v>
      </c>
      <c r="B13452">
        <v>12537</v>
      </c>
      <c r="C13452">
        <v>2</v>
      </c>
      <c r="D13452" t="s">
        <v>17166</v>
      </c>
      <c r="F13452" t="s">
        <v>17246</v>
      </c>
      <c r="H13452" t="s">
        <v>28921</v>
      </c>
      <c r="J13452" t="s">
        <v>28974</v>
      </c>
      <c r="L13452" t="s">
        <v>28975</v>
      </c>
      <c r="N13452" t="s">
        <v>29525</v>
      </c>
      <c r="P13452" t="s">
        <v>29526</v>
      </c>
      <c r="R13452" s="26" t="str">
        <f>HYPERLINK("https://ictv.global/taxonomy/taxondetails?taxnode_id=202308647","Orthopicobirnavirus equi")</f>
        <v>Orthopicobirnavirus equi</v>
      </c>
      <c r="S13452" t="s">
        <v>8141</v>
      </c>
      <c r="T13452" t="s">
        <v>29532</v>
      </c>
      <c r="U13452" t="s">
        <v>29533</v>
      </c>
      <c r="V13452" t="s">
        <v>29537</v>
      </c>
      <c r="W13452" t="s">
        <v>49605</v>
      </c>
      <c r="X13452" t="s">
        <v>154</v>
      </c>
      <c r="Y13452" t="s">
        <v>17196</v>
      </c>
      <c r="Z13452" t="s">
        <v>47284</v>
      </c>
      <c r="AA13452" s="22" t="str">
        <f>HYPERLINK("https://www.ncbi.nlm.nih.gov/nuccore/AF246940","NCBI Nucleotide")</f>
        <v>NCBI Nucleotide</v>
      </c>
    </row>
    <row r="13453" spans="1:27" x14ac:dyDescent="0.35">
      <c r="A13453">
        <v>1001221</v>
      </c>
      <c r="B13453">
        <v>12538</v>
      </c>
      <c r="C13453">
        <v>1</v>
      </c>
      <c r="D13453" t="s">
        <v>17166</v>
      </c>
      <c r="F13453" t="s">
        <v>17246</v>
      </c>
      <c r="H13453" t="s">
        <v>28921</v>
      </c>
      <c r="J13453" t="s">
        <v>28974</v>
      </c>
      <c r="L13453" t="s">
        <v>28975</v>
      </c>
      <c r="N13453" t="s">
        <v>29525</v>
      </c>
      <c r="P13453" t="s">
        <v>29526</v>
      </c>
      <c r="R13453" s="26" t="str">
        <f>HYPERLINK("https://ictv.global/taxonomy/taxondetails?taxnode_id=202304334","Orthopicobirnavirus hominis")</f>
        <v>Orthopicobirnavirus hominis</v>
      </c>
      <c r="S13453" t="s">
        <v>30</v>
      </c>
      <c r="T13453" t="s">
        <v>29532</v>
      </c>
      <c r="U13453" t="s">
        <v>29533</v>
      </c>
      <c r="V13453" t="s">
        <v>29534</v>
      </c>
      <c r="W13453" t="s">
        <v>29535</v>
      </c>
      <c r="X13453" t="s">
        <v>42</v>
      </c>
      <c r="Y13453" t="s">
        <v>17196</v>
      </c>
      <c r="Z13453" t="s">
        <v>47284</v>
      </c>
      <c r="AA13453" s="22" t="str">
        <f>HYPERLINK("https://www.ncbi.nlm.nih.gov/nuccore/AB186897,AB186898","NCBI Nucleotide")</f>
        <v>NCBI Nucleotide</v>
      </c>
    </row>
    <row r="13454" spans="1:27" x14ac:dyDescent="0.35">
      <c r="A13454">
        <v>1011386</v>
      </c>
      <c r="B13454">
        <v>12538</v>
      </c>
      <c r="C13454">
        <v>2</v>
      </c>
      <c r="D13454" t="s">
        <v>17166</v>
      </c>
      <c r="F13454" t="s">
        <v>17246</v>
      </c>
      <c r="H13454" t="s">
        <v>28921</v>
      </c>
      <c r="J13454" t="s">
        <v>28974</v>
      </c>
      <c r="L13454" t="s">
        <v>28975</v>
      </c>
      <c r="N13454" t="s">
        <v>29525</v>
      </c>
      <c r="P13454" t="s">
        <v>29526</v>
      </c>
      <c r="R13454" s="26" t="str">
        <f>HYPERLINK("https://ictv.global/taxonomy/taxondetails?taxnode_id=202304334","Orthopicobirnavirus hominis")</f>
        <v>Orthopicobirnavirus hominis</v>
      </c>
      <c r="S13454" t="s">
        <v>8141</v>
      </c>
      <c r="T13454" t="s">
        <v>29532</v>
      </c>
      <c r="U13454" t="s">
        <v>29533</v>
      </c>
      <c r="V13454" t="s">
        <v>29536</v>
      </c>
      <c r="W13454" t="s">
        <v>49606</v>
      </c>
      <c r="X13454" t="s">
        <v>154</v>
      </c>
      <c r="Y13454" t="s">
        <v>17196</v>
      </c>
      <c r="Z13454" t="s">
        <v>47284</v>
      </c>
      <c r="AA13454" s="22" t="str">
        <f>HYPERLINK("https://www.ncbi.nlm.nih.gov/nuccore/AF246939","NCBI Nucleotide")</f>
        <v>NCBI Nucleotide</v>
      </c>
    </row>
    <row r="13455" spans="1:27" x14ac:dyDescent="0.35">
      <c r="A13455">
        <v>1001222</v>
      </c>
      <c r="B13455">
        <v>12539</v>
      </c>
      <c r="C13455">
        <v>1</v>
      </c>
      <c r="D13455" t="s">
        <v>17166</v>
      </c>
      <c r="F13455" t="s">
        <v>17246</v>
      </c>
      <c r="H13455" t="s">
        <v>28921</v>
      </c>
      <c r="J13455" t="s">
        <v>29538</v>
      </c>
      <c r="L13455" t="s">
        <v>29539</v>
      </c>
      <c r="M13455" t="s">
        <v>29540</v>
      </c>
      <c r="N13455" t="s">
        <v>29541</v>
      </c>
      <c r="O13455" t="s">
        <v>29542</v>
      </c>
      <c r="P13455" t="s">
        <v>29543</v>
      </c>
      <c r="Q13455" t="s">
        <v>29544</v>
      </c>
      <c r="R13455" s="26" t="str">
        <f>HYPERLINK("https://ictv.global/taxonomy/taxondetails?taxnode_id=202306200","Alphaabyssovirus aplysiae")</f>
        <v>Alphaabyssovirus aplysiae</v>
      </c>
      <c r="S13455" t="s">
        <v>30</v>
      </c>
      <c r="T13455" t="s">
        <v>29545</v>
      </c>
      <c r="U13455" t="s">
        <v>29546</v>
      </c>
      <c r="W13455" t="s">
        <v>29547</v>
      </c>
      <c r="X13455" t="s">
        <v>42</v>
      </c>
      <c r="Y13455" t="s">
        <v>17171</v>
      </c>
      <c r="Z13455" t="s">
        <v>10790</v>
      </c>
      <c r="AA13455" s="22" t="str">
        <f>HYPERLINK("https://www.ncbi.nlm.nih.gov/nuccore/GBBW01007738","NCBI Nucleotide")</f>
        <v>NCBI Nucleotide</v>
      </c>
    </row>
    <row r="13456" spans="1:27" x14ac:dyDescent="0.35">
      <c r="A13456">
        <v>1001223</v>
      </c>
      <c r="B13456">
        <v>12540</v>
      </c>
      <c r="C13456">
        <v>1</v>
      </c>
      <c r="D13456" t="s">
        <v>17166</v>
      </c>
      <c r="F13456" t="s">
        <v>17246</v>
      </c>
      <c r="H13456" t="s">
        <v>28921</v>
      </c>
      <c r="J13456" t="s">
        <v>29538</v>
      </c>
      <c r="L13456" t="s">
        <v>29539</v>
      </c>
      <c r="M13456" t="s">
        <v>29548</v>
      </c>
      <c r="N13456" t="s">
        <v>29549</v>
      </c>
      <c r="O13456" t="s">
        <v>29550</v>
      </c>
      <c r="P13456" t="s">
        <v>29551</v>
      </c>
      <c r="R13456" s="26" t="str">
        <f>HYPERLINK("https://ictv.global/taxonomy/taxondetails?taxnode_id=202306015","Muarterivirus afrigant")</f>
        <v>Muarterivirus afrigant</v>
      </c>
      <c r="S13456" t="s">
        <v>30</v>
      </c>
      <c r="T13456" t="s">
        <v>29552</v>
      </c>
      <c r="U13456" t="s">
        <v>29553</v>
      </c>
      <c r="V13456" t="s">
        <v>29554</v>
      </c>
      <c r="W13456" t="s">
        <v>29555</v>
      </c>
      <c r="X13456" t="s">
        <v>42</v>
      </c>
      <c r="Y13456" t="s">
        <v>17171</v>
      </c>
      <c r="Z13456" t="s">
        <v>166</v>
      </c>
      <c r="AA13456" s="22" t="str">
        <f>HYPERLINK("https://www.ncbi.nlm.nih.gov/nuccore/MF324848","NCBI Nucleotide")</f>
        <v>NCBI Nucleotide</v>
      </c>
    </row>
    <row r="13457" spans="1:27" x14ac:dyDescent="0.35">
      <c r="A13457">
        <v>1001224</v>
      </c>
      <c r="B13457">
        <v>12541</v>
      </c>
      <c r="C13457">
        <v>1</v>
      </c>
      <c r="D13457" t="s">
        <v>17166</v>
      </c>
      <c r="F13457" t="s">
        <v>17246</v>
      </c>
      <c r="H13457" t="s">
        <v>28921</v>
      </c>
      <c r="J13457" t="s">
        <v>29538</v>
      </c>
      <c r="L13457" t="s">
        <v>29539</v>
      </c>
      <c r="M13457" t="s">
        <v>29548</v>
      </c>
      <c r="N13457" t="s">
        <v>29549</v>
      </c>
      <c r="O13457" t="s">
        <v>29556</v>
      </c>
      <c r="P13457" t="s">
        <v>29557</v>
      </c>
      <c r="R13457" s="26" t="str">
        <f>HYPERLINK("https://ictv.global/taxonomy/taxondetails?taxnode_id=202301827","Alphaarterivirus equid")</f>
        <v>Alphaarterivirus equid</v>
      </c>
      <c r="S13457" t="s">
        <v>30</v>
      </c>
      <c r="T13457" t="s">
        <v>29558</v>
      </c>
      <c r="U13457" t="s">
        <v>29559</v>
      </c>
      <c r="V13457" t="s">
        <v>29560</v>
      </c>
      <c r="W13457" t="s">
        <v>29561</v>
      </c>
      <c r="X13457" t="s">
        <v>42</v>
      </c>
      <c r="Y13457" t="s">
        <v>17171</v>
      </c>
      <c r="Z13457" t="s">
        <v>166</v>
      </c>
      <c r="AA13457" s="22" t="str">
        <f>HYPERLINK("https://www.ncbi.nlm.nih.gov/nuccore/X53459","NCBI Nucleotide")</f>
        <v>NCBI Nucleotide</v>
      </c>
    </row>
    <row r="13458" spans="1:27" x14ac:dyDescent="0.35">
      <c r="A13458">
        <v>1001225</v>
      </c>
      <c r="B13458">
        <v>12542</v>
      </c>
      <c r="C13458">
        <v>1</v>
      </c>
      <c r="D13458" t="s">
        <v>17166</v>
      </c>
      <c r="F13458" t="s">
        <v>17246</v>
      </c>
      <c r="H13458" t="s">
        <v>28921</v>
      </c>
      <c r="J13458" t="s">
        <v>29538</v>
      </c>
      <c r="L13458" t="s">
        <v>29539</v>
      </c>
      <c r="M13458" t="s">
        <v>29548</v>
      </c>
      <c r="N13458" t="s">
        <v>29549</v>
      </c>
      <c r="O13458" t="s">
        <v>29562</v>
      </c>
      <c r="P13458" t="s">
        <v>29563</v>
      </c>
      <c r="R13458" s="26" t="str">
        <f>HYPERLINK("https://ictv.global/taxonomy/taxondetails?taxnode_id=202301829","Lambdaarterivirus afriporav")</f>
        <v>Lambdaarterivirus afriporav</v>
      </c>
      <c r="S13458" t="s">
        <v>30</v>
      </c>
      <c r="T13458" t="s">
        <v>29564</v>
      </c>
      <c r="U13458" t="s">
        <v>29565</v>
      </c>
      <c r="V13458" t="s">
        <v>29566</v>
      </c>
      <c r="W13458" t="s">
        <v>29567</v>
      </c>
      <c r="X13458" t="s">
        <v>42</v>
      </c>
      <c r="Y13458" t="s">
        <v>17171</v>
      </c>
      <c r="Z13458" t="s">
        <v>166</v>
      </c>
      <c r="AA13458" s="22" t="str">
        <f>HYPERLINK("https://www.ncbi.nlm.nih.gov/nuccore/KP026921","NCBI Nucleotide")</f>
        <v>NCBI Nucleotide</v>
      </c>
    </row>
    <row r="13459" spans="1:27" x14ac:dyDescent="0.35">
      <c r="A13459">
        <v>1001226</v>
      </c>
      <c r="B13459">
        <v>12543</v>
      </c>
      <c r="C13459">
        <v>1</v>
      </c>
      <c r="D13459" t="s">
        <v>17166</v>
      </c>
      <c r="F13459" t="s">
        <v>17246</v>
      </c>
      <c r="H13459" t="s">
        <v>28921</v>
      </c>
      <c r="J13459" t="s">
        <v>29538</v>
      </c>
      <c r="L13459" t="s">
        <v>29539</v>
      </c>
      <c r="M13459" t="s">
        <v>29548</v>
      </c>
      <c r="N13459" t="s">
        <v>29549</v>
      </c>
      <c r="O13459" t="s">
        <v>29568</v>
      </c>
      <c r="P13459" t="s">
        <v>29569</v>
      </c>
      <c r="Q13459" t="s">
        <v>29570</v>
      </c>
      <c r="R13459" s="26" t="str">
        <f>HYPERLINK("https://ictv.global/taxonomy/taxondetails?taxnode_id=202301845","Deltaarterivirus hemfev")</f>
        <v>Deltaarterivirus hemfev</v>
      </c>
      <c r="S13459" t="s">
        <v>30</v>
      </c>
      <c r="T13459" t="s">
        <v>29571</v>
      </c>
      <c r="U13459" t="s">
        <v>29572</v>
      </c>
      <c r="V13459" t="s">
        <v>29573</v>
      </c>
      <c r="W13459" t="s">
        <v>29574</v>
      </c>
      <c r="X13459" t="s">
        <v>42</v>
      </c>
      <c r="Y13459" t="s">
        <v>17171</v>
      </c>
      <c r="Z13459" t="s">
        <v>166</v>
      </c>
      <c r="AA13459" s="22" t="str">
        <f>HYPERLINK("https://www.ncbi.nlm.nih.gov/nuccore/AF180391","NCBI Nucleotide")</f>
        <v>NCBI Nucleotide</v>
      </c>
    </row>
    <row r="13460" spans="1:27" x14ac:dyDescent="0.35">
      <c r="A13460">
        <v>1001227</v>
      </c>
      <c r="B13460">
        <v>12544</v>
      </c>
      <c r="C13460">
        <v>1</v>
      </c>
      <c r="D13460" t="s">
        <v>17166</v>
      </c>
      <c r="F13460" t="s">
        <v>17246</v>
      </c>
      <c r="H13460" t="s">
        <v>28921</v>
      </c>
      <c r="J13460" t="s">
        <v>29538</v>
      </c>
      <c r="L13460" t="s">
        <v>29539</v>
      </c>
      <c r="M13460" t="s">
        <v>29548</v>
      </c>
      <c r="N13460" t="s">
        <v>29549</v>
      </c>
      <c r="O13460" t="s">
        <v>29568</v>
      </c>
      <c r="P13460" t="s">
        <v>29575</v>
      </c>
      <c r="Q13460" t="s">
        <v>29576</v>
      </c>
      <c r="R13460" s="26" t="str">
        <f>HYPERLINK("https://ictv.global/taxonomy/taxondetails?taxnode_id=202301844","Epsilonarterivirus hemcep")</f>
        <v>Epsilonarterivirus hemcep</v>
      </c>
      <c r="S13460" t="s">
        <v>30</v>
      </c>
      <c r="T13460" t="s">
        <v>29577</v>
      </c>
      <c r="U13460" t="s">
        <v>29578</v>
      </c>
      <c r="V13460" t="s">
        <v>29579</v>
      </c>
      <c r="W13460" t="s">
        <v>29580</v>
      </c>
      <c r="X13460" t="s">
        <v>42</v>
      </c>
      <c r="Y13460" t="s">
        <v>17171</v>
      </c>
      <c r="Z13460" t="s">
        <v>166</v>
      </c>
      <c r="AA13460" s="22" t="str">
        <f>HYPERLINK("https://www.ncbi.nlm.nih.gov/nuccore/KM677927","NCBI Nucleotide")</f>
        <v>NCBI Nucleotide</v>
      </c>
    </row>
    <row r="13461" spans="1:27" x14ac:dyDescent="0.35">
      <c r="A13461">
        <v>1001228</v>
      </c>
      <c r="B13461">
        <v>12545</v>
      </c>
      <c r="C13461">
        <v>1</v>
      </c>
      <c r="D13461" t="s">
        <v>17166</v>
      </c>
      <c r="F13461" t="s">
        <v>17246</v>
      </c>
      <c r="H13461" t="s">
        <v>28921</v>
      </c>
      <c r="J13461" t="s">
        <v>29538</v>
      </c>
      <c r="L13461" t="s">
        <v>29539</v>
      </c>
      <c r="M13461" t="s">
        <v>29548</v>
      </c>
      <c r="N13461" t="s">
        <v>29549</v>
      </c>
      <c r="O13461" t="s">
        <v>29568</v>
      </c>
      <c r="P13461" t="s">
        <v>29575</v>
      </c>
      <c r="Q13461" t="s">
        <v>29576</v>
      </c>
      <c r="R13461" s="26" t="str">
        <f>HYPERLINK("https://ictv.global/taxonomy/taxondetails?taxnode_id=202301837","Epsilonarterivirus safriver")</f>
        <v>Epsilonarterivirus safriver</v>
      </c>
      <c r="S13461" t="s">
        <v>30</v>
      </c>
      <c r="T13461" t="s">
        <v>29581</v>
      </c>
      <c r="U13461" t="s">
        <v>29582</v>
      </c>
      <c r="V13461" t="s">
        <v>29583</v>
      </c>
      <c r="W13461" t="s">
        <v>29584</v>
      </c>
      <c r="X13461" t="s">
        <v>42</v>
      </c>
      <c r="Y13461" t="s">
        <v>17171</v>
      </c>
      <c r="Z13461" t="s">
        <v>166</v>
      </c>
      <c r="AA13461" s="22" t="str">
        <f>HYPERLINK("https://www.ncbi.nlm.nih.gov/nuccore/KR862307","NCBI Nucleotide")</f>
        <v>NCBI Nucleotide</v>
      </c>
    </row>
    <row r="13462" spans="1:27" x14ac:dyDescent="0.35">
      <c r="A13462">
        <v>1001229</v>
      </c>
      <c r="B13462">
        <v>12546</v>
      </c>
      <c r="C13462">
        <v>1</v>
      </c>
      <c r="D13462" t="s">
        <v>17166</v>
      </c>
      <c r="F13462" t="s">
        <v>17246</v>
      </c>
      <c r="H13462" t="s">
        <v>28921</v>
      </c>
      <c r="J13462" t="s">
        <v>29538</v>
      </c>
      <c r="L13462" t="s">
        <v>29539</v>
      </c>
      <c r="M13462" t="s">
        <v>29548</v>
      </c>
      <c r="N13462" t="s">
        <v>29549</v>
      </c>
      <c r="O13462" t="s">
        <v>29568</v>
      </c>
      <c r="P13462" t="s">
        <v>29575</v>
      </c>
      <c r="Q13462" t="s">
        <v>29576</v>
      </c>
      <c r="R13462" s="26" t="str">
        <f>HYPERLINK("https://ictv.global/taxonomy/taxondetails?taxnode_id=202306098","Epsilonarterivirus zamalb")</f>
        <v>Epsilonarterivirus zamalb</v>
      </c>
      <c r="S13462" t="s">
        <v>30</v>
      </c>
      <c r="T13462" t="s">
        <v>29585</v>
      </c>
      <c r="U13462" t="s">
        <v>29586</v>
      </c>
      <c r="V13462" t="s">
        <v>29587</v>
      </c>
      <c r="W13462" t="s">
        <v>29588</v>
      </c>
      <c r="X13462" t="s">
        <v>35</v>
      </c>
      <c r="Y13462" t="s">
        <v>17171</v>
      </c>
      <c r="Z13462" t="s">
        <v>166</v>
      </c>
      <c r="AA13462" s="22" t="str">
        <f>HYPERLINK("https://www.ncbi.nlm.nih.gov/nuccore/KT166441","NCBI Nucleotide")</f>
        <v>NCBI Nucleotide</v>
      </c>
    </row>
    <row r="13463" spans="1:27" x14ac:dyDescent="0.35">
      <c r="A13463">
        <v>1001230</v>
      </c>
      <c r="B13463">
        <v>12547</v>
      </c>
      <c r="C13463">
        <v>1</v>
      </c>
      <c r="D13463" t="s">
        <v>17166</v>
      </c>
      <c r="F13463" t="s">
        <v>17246</v>
      </c>
      <c r="H13463" t="s">
        <v>28921</v>
      </c>
      <c r="J13463" t="s">
        <v>29538</v>
      </c>
      <c r="L13463" t="s">
        <v>29539</v>
      </c>
      <c r="M13463" t="s">
        <v>29548</v>
      </c>
      <c r="N13463" t="s">
        <v>29549</v>
      </c>
      <c r="O13463" t="s">
        <v>29568</v>
      </c>
      <c r="P13463" t="s">
        <v>29589</v>
      </c>
      <c r="R13463" s="26" t="str">
        <f>HYPERLINK("https://ictv.global/taxonomy/taxondetails?taxnode_id=202301840","Etaarterivirus ugarco")</f>
        <v>Etaarterivirus ugarco</v>
      </c>
      <c r="S13463" t="s">
        <v>30</v>
      </c>
      <c r="T13463" t="s">
        <v>29590</v>
      </c>
      <c r="U13463" t="s">
        <v>29591</v>
      </c>
      <c r="V13463" t="s">
        <v>29592</v>
      </c>
      <c r="W13463" t="s">
        <v>29593</v>
      </c>
      <c r="X13463" t="s">
        <v>35</v>
      </c>
      <c r="Y13463" t="s">
        <v>17171</v>
      </c>
      <c r="Z13463" t="s">
        <v>166</v>
      </c>
      <c r="AA13463" s="22" t="str">
        <f>HYPERLINK("https://www.ncbi.nlm.nih.gov/nuccore/KC787658","NCBI Nucleotide")</f>
        <v>NCBI Nucleotide</v>
      </c>
    </row>
    <row r="13464" spans="1:27" x14ac:dyDescent="0.35">
      <c r="A13464">
        <v>1001231</v>
      </c>
      <c r="B13464">
        <v>12548</v>
      </c>
      <c r="C13464">
        <v>1</v>
      </c>
      <c r="D13464" t="s">
        <v>17166</v>
      </c>
      <c r="F13464" t="s">
        <v>17246</v>
      </c>
      <c r="H13464" t="s">
        <v>28921</v>
      </c>
      <c r="J13464" t="s">
        <v>29538</v>
      </c>
      <c r="L13464" t="s">
        <v>29539</v>
      </c>
      <c r="M13464" t="s">
        <v>29548</v>
      </c>
      <c r="N13464" t="s">
        <v>29549</v>
      </c>
      <c r="O13464" t="s">
        <v>29568</v>
      </c>
      <c r="P13464" t="s">
        <v>29594</v>
      </c>
      <c r="Q13464" t="s">
        <v>29595</v>
      </c>
      <c r="R13464" s="26" t="str">
        <f>HYPERLINK("https://ictv.global/taxonomy/taxondetails?taxnode_id=202301836","Iotaarterivirus debrazmo")</f>
        <v>Iotaarterivirus debrazmo</v>
      </c>
      <c r="S13464" t="s">
        <v>30</v>
      </c>
      <c r="T13464" t="s">
        <v>29596</v>
      </c>
      <c r="U13464" t="s">
        <v>29597</v>
      </c>
      <c r="V13464" t="s">
        <v>29598</v>
      </c>
      <c r="W13464" t="s">
        <v>29599</v>
      </c>
      <c r="X13464" t="s">
        <v>42</v>
      </c>
      <c r="Y13464" t="s">
        <v>17171</v>
      </c>
      <c r="Z13464" t="s">
        <v>166</v>
      </c>
      <c r="AA13464" s="22" t="str">
        <f>HYPERLINK("https://www.ncbi.nlm.nih.gov/nuccore/KP126831","NCBI Nucleotide")</f>
        <v>NCBI Nucleotide</v>
      </c>
    </row>
    <row r="13465" spans="1:27" x14ac:dyDescent="0.35">
      <c r="A13465">
        <v>1001232</v>
      </c>
      <c r="B13465">
        <v>12549</v>
      </c>
      <c r="C13465">
        <v>1</v>
      </c>
      <c r="D13465" t="s">
        <v>17166</v>
      </c>
      <c r="F13465" t="s">
        <v>17246</v>
      </c>
      <c r="H13465" t="s">
        <v>28921</v>
      </c>
      <c r="J13465" t="s">
        <v>29538</v>
      </c>
      <c r="L13465" t="s">
        <v>29539</v>
      </c>
      <c r="M13465" t="s">
        <v>29548</v>
      </c>
      <c r="N13465" t="s">
        <v>29549</v>
      </c>
      <c r="O13465" t="s">
        <v>29568</v>
      </c>
      <c r="P13465" t="s">
        <v>29594</v>
      </c>
      <c r="Q13465" t="s">
        <v>29600</v>
      </c>
      <c r="R13465" s="26" t="str">
        <f>HYPERLINK("https://ictv.global/taxonomy/taxondetails?taxnode_id=202301841","Iotaarterivirus kibreg")</f>
        <v>Iotaarterivirus kibreg</v>
      </c>
      <c r="S13465" t="s">
        <v>30</v>
      </c>
      <c r="T13465" t="s">
        <v>29601</v>
      </c>
      <c r="U13465" t="s">
        <v>29602</v>
      </c>
      <c r="V13465" t="s">
        <v>29603</v>
      </c>
      <c r="W13465" t="s">
        <v>29604</v>
      </c>
      <c r="X13465" t="s">
        <v>35</v>
      </c>
      <c r="Y13465" t="s">
        <v>17171</v>
      </c>
      <c r="Z13465" t="s">
        <v>166</v>
      </c>
      <c r="AA13465" s="22" t="str">
        <f>HYPERLINK("https://www.ncbi.nlm.nih.gov/nuccore/JX473849","NCBI Nucleotide")</f>
        <v>NCBI Nucleotide</v>
      </c>
    </row>
    <row r="13466" spans="1:27" x14ac:dyDescent="0.35">
      <c r="A13466">
        <v>1001233</v>
      </c>
      <c r="B13466">
        <v>12550</v>
      </c>
      <c r="C13466">
        <v>1</v>
      </c>
      <c r="D13466" t="s">
        <v>17166</v>
      </c>
      <c r="F13466" t="s">
        <v>17246</v>
      </c>
      <c r="H13466" t="s">
        <v>28921</v>
      </c>
      <c r="J13466" t="s">
        <v>29538</v>
      </c>
      <c r="L13466" t="s">
        <v>29539</v>
      </c>
      <c r="M13466" t="s">
        <v>29548</v>
      </c>
      <c r="N13466" t="s">
        <v>29549</v>
      </c>
      <c r="O13466" t="s">
        <v>29568</v>
      </c>
      <c r="P13466" t="s">
        <v>29594</v>
      </c>
      <c r="Q13466" t="s">
        <v>29605</v>
      </c>
      <c r="R13466" s="26" t="str">
        <f>HYPERLINK("https://ictv.global/taxonomy/taxondetails?taxnode_id=202301843","Iotaarterivirus pejah")</f>
        <v>Iotaarterivirus pejah</v>
      </c>
      <c r="S13466" t="s">
        <v>30</v>
      </c>
      <c r="T13466" t="s">
        <v>29606</v>
      </c>
      <c r="U13466" t="s">
        <v>29607</v>
      </c>
      <c r="V13466" t="s">
        <v>29608</v>
      </c>
      <c r="W13466" t="s">
        <v>29609</v>
      </c>
      <c r="X13466" t="s">
        <v>42</v>
      </c>
      <c r="Y13466" t="s">
        <v>17171</v>
      </c>
      <c r="Z13466" t="s">
        <v>166</v>
      </c>
      <c r="AA13466" s="22" t="str">
        <f>HYPERLINK("https://www.ncbi.nlm.nih.gov/nuccore/KR139839","NCBI Nucleotide")</f>
        <v>NCBI Nucleotide</v>
      </c>
    </row>
    <row r="13467" spans="1:27" x14ac:dyDescent="0.35">
      <c r="A13467">
        <v>1001234</v>
      </c>
      <c r="B13467">
        <v>12551</v>
      </c>
      <c r="C13467">
        <v>1</v>
      </c>
      <c r="D13467" t="s">
        <v>17166</v>
      </c>
      <c r="F13467" t="s">
        <v>17246</v>
      </c>
      <c r="H13467" t="s">
        <v>28921</v>
      </c>
      <c r="J13467" t="s">
        <v>29538</v>
      </c>
      <c r="L13467" t="s">
        <v>29539</v>
      </c>
      <c r="M13467" t="s">
        <v>29548</v>
      </c>
      <c r="N13467" t="s">
        <v>29549</v>
      </c>
      <c r="O13467" t="s">
        <v>29568</v>
      </c>
      <c r="P13467" t="s">
        <v>29610</v>
      </c>
      <c r="Q13467" t="s">
        <v>29611</v>
      </c>
      <c r="R13467" s="26" t="str">
        <f>HYPERLINK("https://ictv.global/taxonomy/taxondetails?taxnode_id=202301838","Thetaarterivirus kafuba")</f>
        <v>Thetaarterivirus kafuba</v>
      </c>
      <c r="S13467" t="s">
        <v>30</v>
      </c>
      <c r="T13467" t="s">
        <v>29612</v>
      </c>
      <c r="U13467" t="s">
        <v>29613</v>
      </c>
      <c r="V13467">
        <v>1</v>
      </c>
      <c r="W13467" t="s">
        <v>29614</v>
      </c>
      <c r="X13467" t="s">
        <v>42</v>
      </c>
      <c r="Y13467" t="s">
        <v>17171</v>
      </c>
      <c r="Z13467" t="s">
        <v>166</v>
      </c>
      <c r="AA13467" s="22" t="str">
        <f>HYPERLINK("https://www.ncbi.nlm.nih.gov/nuccore/KT447550","NCBI Nucleotide")</f>
        <v>NCBI Nucleotide</v>
      </c>
    </row>
    <row r="13468" spans="1:27" x14ac:dyDescent="0.35">
      <c r="A13468">
        <v>1001235</v>
      </c>
      <c r="B13468">
        <v>12552</v>
      </c>
      <c r="C13468">
        <v>1</v>
      </c>
      <c r="D13468" t="s">
        <v>17166</v>
      </c>
      <c r="F13468" t="s">
        <v>17246</v>
      </c>
      <c r="H13468" t="s">
        <v>28921</v>
      </c>
      <c r="J13468" t="s">
        <v>29538</v>
      </c>
      <c r="L13468" t="s">
        <v>29539</v>
      </c>
      <c r="M13468" t="s">
        <v>29548</v>
      </c>
      <c r="N13468" t="s">
        <v>29549</v>
      </c>
      <c r="O13468" t="s">
        <v>29568</v>
      </c>
      <c r="P13468" t="s">
        <v>29610</v>
      </c>
      <c r="Q13468" t="s">
        <v>29615</v>
      </c>
      <c r="R13468" s="26" t="str">
        <f>HYPERLINK("https://ictv.global/taxonomy/taxondetails?taxnode_id=202301842","Thetaarterivirus mikelba")</f>
        <v>Thetaarterivirus mikelba</v>
      </c>
      <c r="S13468" t="s">
        <v>30</v>
      </c>
      <c r="T13468" t="s">
        <v>29616</v>
      </c>
      <c r="U13468" t="s">
        <v>29617</v>
      </c>
      <c r="V13468" t="s">
        <v>29618</v>
      </c>
      <c r="W13468" t="s">
        <v>29619</v>
      </c>
      <c r="X13468" t="s">
        <v>42</v>
      </c>
      <c r="Y13468" t="s">
        <v>17171</v>
      </c>
      <c r="Z13468" t="s">
        <v>166</v>
      </c>
      <c r="AA13468" s="22" t="str">
        <f>HYPERLINK("https://www.ncbi.nlm.nih.gov/nuccore/KM110938","NCBI Nucleotide")</f>
        <v>NCBI Nucleotide</v>
      </c>
    </row>
    <row r="13469" spans="1:27" x14ac:dyDescent="0.35">
      <c r="A13469">
        <v>1001236</v>
      </c>
      <c r="B13469">
        <v>12553</v>
      </c>
      <c r="C13469">
        <v>1</v>
      </c>
      <c r="D13469" t="s">
        <v>17166</v>
      </c>
      <c r="F13469" t="s">
        <v>17246</v>
      </c>
      <c r="H13469" t="s">
        <v>28921</v>
      </c>
      <c r="J13469" t="s">
        <v>29538</v>
      </c>
      <c r="L13469" t="s">
        <v>29539</v>
      </c>
      <c r="M13469" t="s">
        <v>29548</v>
      </c>
      <c r="N13469" t="s">
        <v>29549</v>
      </c>
      <c r="O13469" t="s">
        <v>29568</v>
      </c>
      <c r="P13469" t="s">
        <v>29620</v>
      </c>
      <c r="R13469" s="26" t="str">
        <f>HYPERLINK("https://ictv.global/taxonomy/taxondetails?taxnode_id=202301839","Zetaarterivirus ugarco")</f>
        <v>Zetaarterivirus ugarco</v>
      </c>
      <c r="S13469" t="s">
        <v>30</v>
      </c>
      <c r="T13469" t="s">
        <v>29621</v>
      </c>
      <c r="U13469" t="s">
        <v>29622</v>
      </c>
      <c r="V13469" t="s">
        <v>29623</v>
      </c>
      <c r="W13469" t="s">
        <v>29624</v>
      </c>
      <c r="X13469" t="s">
        <v>35</v>
      </c>
      <c r="Y13469" t="s">
        <v>17171</v>
      </c>
      <c r="Z13469" t="s">
        <v>166</v>
      </c>
      <c r="AA13469" s="22" t="str">
        <f>HYPERLINK("https://www.ncbi.nlm.nih.gov/nuccore/KC787630","NCBI Nucleotide")</f>
        <v>NCBI Nucleotide</v>
      </c>
    </row>
    <row r="13470" spans="1:27" x14ac:dyDescent="0.35">
      <c r="A13470">
        <v>1001237</v>
      </c>
      <c r="B13470">
        <v>12554</v>
      </c>
      <c r="C13470">
        <v>1</v>
      </c>
      <c r="D13470" t="s">
        <v>17166</v>
      </c>
      <c r="F13470" t="s">
        <v>17246</v>
      </c>
      <c r="H13470" t="s">
        <v>28921</v>
      </c>
      <c r="J13470" t="s">
        <v>29538</v>
      </c>
      <c r="L13470" t="s">
        <v>29539</v>
      </c>
      <c r="M13470" t="s">
        <v>29548</v>
      </c>
      <c r="N13470" t="s">
        <v>29549</v>
      </c>
      <c r="O13470" t="s">
        <v>29625</v>
      </c>
      <c r="P13470" t="s">
        <v>29626</v>
      </c>
      <c r="Q13470" t="s">
        <v>29627</v>
      </c>
      <c r="R13470" s="26" t="str">
        <f>HYPERLINK("https://ictv.global/taxonomy/taxondetails?taxnode_id=202301833","Betaarterivirus americense")</f>
        <v>Betaarterivirus americense</v>
      </c>
      <c r="S13470" t="s">
        <v>30</v>
      </c>
      <c r="T13470" t="s">
        <v>29628</v>
      </c>
      <c r="U13470" t="s">
        <v>29629</v>
      </c>
      <c r="V13470" t="s">
        <v>29630</v>
      </c>
      <c r="W13470" t="s">
        <v>29631</v>
      </c>
      <c r="X13470" t="s">
        <v>42</v>
      </c>
      <c r="Y13470" t="s">
        <v>17171</v>
      </c>
      <c r="Z13470" t="s">
        <v>166</v>
      </c>
      <c r="AA13470" s="22" t="str">
        <f>HYPERLINK("https://www.ncbi.nlm.nih.gov/nuccore/U87392","NCBI Nucleotide")</f>
        <v>NCBI Nucleotide</v>
      </c>
    </row>
    <row r="13471" spans="1:27" x14ac:dyDescent="0.35">
      <c r="A13471">
        <v>1001238</v>
      </c>
      <c r="B13471">
        <v>12555</v>
      </c>
      <c r="C13471">
        <v>1</v>
      </c>
      <c r="D13471" t="s">
        <v>17166</v>
      </c>
      <c r="F13471" t="s">
        <v>17246</v>
      </c>
      <c r="H13471" t="s">
        <v>28921</v>
      </c>
      <c r="J13471" t="s">
        <v>29538</v>
      </c>
      <c r="L13471" t="s">
        <v>29539</v>
      </c>
      <c r="M13471" t="s">
        <v>29548</v>
      </c>
      <c r="N13471" t="s">
        <v>29549</v>
      </c>
      <c r="O13471" t="s">
        <v>29625</v>
      </c>
      <c r="P13471" t="s">
        <v>29626</v>
      </c>
      <c r="Q13471" t="s">
        <v>29632</v>
      </c>
      <c r="R13471" s="26" t="str">
        <f>HYPERLINK("https://ictv.global/taxonomy/taxondetails?taxnode_id=202301834","Betaarterivirus chinrav")</f>
        <v>Betaarterivirus chinrav</v>
      </c>
      <c r="S13471" t="s">
        <v>30</v>
      </c>
      <c r="T13471" t="s">
        <v>29633</v>
      </c>
      <c r="U13471" t="s">
        <v>29634</v>
      </c>
      <c r="V13471" t="s">
        <v>29635</v>
      </c>
      <c r="W13471" t="s">
        <v>29636</v>
      </c>
      <c r="X13471" t="s">
        <v>42</v>
      </c>
      <c r="Y13471" t="s">
        <v>17171</v>
      </c>
      <c r="Z13471" t="s">
        <v>166</v>
      </c>
      <c r="AA13471" s="22" t="str">
        <f>HYPERLINK("https://www.ncbi.nlm.nih.gov/nuccore/KP280006","NCBI Nucleotide")</f>
        <v>NCBI Nucleotide</v>
      </c>
    </row>
    <row r="13472" spans="1:27" x14ac:dyDescent="0.35">
      <c r="A13472">
        <v>1001239</v>
      </c>
      <c r="B13472">
        <v>12556</v>
      </c>
      <c r="C13472">
        <v>1</v>
      </c>
      <c r="D13472" t="s">
        <v>17166</v>
      </c>
      <c r="F13472" t="s">
        <v>17246</v>
      </c>
      <c r="H13472" t="s">
        <v>28921</v>
      </c>
      <c r="J13472" t="s">
        <v>29538</v>
      </c>
      <c r="L13472" t="s">
        <v>29539</v>
      </c>
      <c r="M13472" t="s">
        <v>29548</v>
      </c>
      <c r="N13472" t="s">
        <v>29549</v>
      </c>
      <c r="O13472" t="s">
        <v>29625</v>
      </c>
      <c r="P13472" t="s">
        <v>29626</v>
      </c>
      <c r="Q13472" t="s">
        <v>29632</v>
      </c>
      <c r="R13472" s="26" t="str">
        <f>HYPERLINK("https://ictv.global/taxonomy/taxondetails?taxnode_id=202306090","Betaarterivirus ninrav")</f>
        <v>Betaarterivirus ninrav</v>
      </c>
      <c r="S13472" t="s">
        <v>30</v>
      </c>
      <c r="T13472" t="s">
        <v>29637</v>
      </c>
      <c r="U13472" t="s">
        <v>29638</v>
      </c>
      <c r="V13472" t="s">
        <v>29639</v>
      </c>
      <c r="W13472" t="s">
        <v>29640</v>
      </c>
      <c r="X13472" t="s">
        <v>35</v>
      </c>
      <c r="Y13472" t="s">
        <v>17171</v>
      </c>
      <c r="Z13472" t="s">
        <v>166</v>
      </c>
      <c r="AA13472" s="22" t="str">
        <f>HYPERLINK("https://www.ncbi.nlm.nih.gov/nuccore/KU302440","NCBI Nucleotide")</f>
        <v>NCBI Nucleotide</v>
      </c>
    </row>
    <row r="13473" spans="1:27" x14ac:dyDescent="0.35">
      <c r="A13473">
        <v>1001240</v>
      </c>
      <c r="B13473">
        <v>12557</v>
      </c>
      <c r="C13473">
        <v>1</v>
      </c>
      <c r="D13473" t="s">
        <v>17166</v>
      </c>
      <c r="F13473" t="s">
        <v>17246</v>
      </c>
      <c r="H13473" t="s">
        <v>28921</v>
      </c>
      <c r="J13473" t="s">
        <v>29538</v>
      </c>
      <c r="L13473" t="s">
        <v>29539</v>
      </c>
      <c r="M13473" t="s">
        <v>29548</v>
      </c>
      <c r="N13473" t="s">
        <v>29549</v>
      </c>
      <c r="O13473" t="s">
        <v>29625</v>
      </c>
      <c r="P13473" t="s">
        <v>29626</v>
      </c>
      <c r="Q13473" t="s">
        <v>29632</v>
      </c>
      <c r="R13473" s="26" t="str">
        <f>HYPERLINK("https://ictv.global/taxonomy/taxondetails?taxnode_id=202307464","Betaarterivirus sheoin")</f>
        <v>Betaarterivirus sheoin</v>
      </c>
      <c r="S13473" t="s">
        <v>30</v>
      </c>
      <c r="T13473" t="s">
        <v>29641</v>
      </c>
      <c r="U13473" t="s">
        <v>29642</v>
      </c>
      <c r="V13473" t="s">
        <v>29643</v>
      </c>
      <c r="W13473" t="s">
        <v>29644</v>
      </c>
      <c r="X13473" t="s">
        <v>42</v>
      </c>
      <c r="Y13473" t="s">
        <v>17171</v>
      </c>
      <c r="Z13473" t="s">
        <v>166</v>
      </c>
      <c r="AA13473" s="22" t="str">
        <f>HYPERLINK("https://www.ncbi.nlm.nih.gov/nuccore/KY369968","NCBI Nucleotide")</f>
        <v>NCBI Nucleotide</v>
      </c>
    </row>
    <row r="13474" spans="1:27" x14ac:dyDescent="0.35">
      <c r="A13474">
        <v>1001241</v>
      </c>
      <c r="B13474">
        <v>12558</v>
      </c>
      <c r="C13474">
        <v>1</v>
      </c>
      <c r="D13474" t="s">
        <v>17166</v>
      </c>
      <c r="F13474" t="s">
        <v>17246</v>
      </c>
      <c r="H13474" t="s">
        <v>28921</v>
      </c>
      <c r="J13474" t="s">
        <v>29538</v>
      </c>
      <c r="L13474" t="s">
        <v>29539</v>
      </c>
      <c r="M13474" t="s">
        <v>29548</v>
      </c>
      <c r="N13474" t="s">
        <v>29549</v>
      </c>
      <c r="O13474" t="s">
        <v>29625</v>
      </c>
      <c r="P13474" t="s">
        <v>29626</v>
      </c>
      <c r="Q13474" t="s">
        <v>29645</v>
      </c>
      <c r="R13474" s="26" t="str">
        <f>HYPERLINK("https://ictv.global/taxonomy/taxondetails?taxnode_id=202301832","Betaarterivirus europensis")</f>
        <v>Betaarterivirus europensis</v>
      </c>
      <c r="S13474" t="s">
        <v>30</v>
      </c>
      <c r="T13474" t="s">
        <v>29646</v>
      </c>
      <c r="U13474" t="s">
        <v>29647</v>
      </c>
      <c r="V13474" t="s">
        <v>29648</v>
      </c>
      <c r="W13474" t="s">
        <v>29649</v>
      </c>
      <c r="X13474" t="s">
        <v>42</v>
      </c>
      <c r="Y13474" t="s">
        <v>17171</v>
      </c>
      <c r="Z13474" t="s">
        <v>166</v>
      </c>
      <c r="AA13474" s="22" t="str">
        <f>HYPERLINK("https://www.ncbi.nlm.nih.gov/nuccore/M96262","NCBI Nucleotide")</f>
        <v>NCBI Nucleotide</v>
      </c>
    </row>
    <row r="13475" spans="1:27" x14ac:dyDescent="0.35">
      <c r="A13475">
        <v>1001242</v>
      </c>
      <c r="B13475">
        <v>12559</v>
      </c>
      <c r="C13475">
        <v>1</v>
      </c>
      <c r="D13475" t="s">
        <v>17166</v>
      </c>
      <c r="F13475" t="s">
        <v>17246</v>
      </c>
      <c r="H13475" t="s">
        <v>28921</v>
      </c>
      <c r="J13475" t="s">
        <v>29538</v>
      </c>
      <c r="L13475" t="s">
        <v>29539</v>
      </c>
      <c r="M13475" t="s">
        <v>29548</v>
      </c>
      <c r="N13475" t="s">
        <v>29549</v>
      </c>
      <c r="O13475" t="s">
        <v>29625</v>
      </c>
      <c r="P13475" t="s">
        <v>29626</v>
      </c>
      <c r="Q13475" t="s">
        <v>29650</v>
      </c>
      <c r="R13475" s="26" t="str">
        <f>HYPERLINK("https://ictv.global/taxonomy/taxondetails?taxnode_id=202307466","Betaarterivirus timiclar")</f>
        <v>Betaarterivirus timiclar</v>
      </c>
      <c r="S13475" t="s">
        <v>30</v>
      </c>
      <c r="T13475" t="s">
        <v>29651</v>
      </c>
      <c r="U13475" t="s">
        <v>29652</v>
      </c>
      <c r="V13475" t="s">
        <v>29653</v>
      </c>
      <c r="W13475" t="s">
        <v>29654</v>
      </c>
      <c r="X13475" t="s">
        <v>42</v>
      </c>
      <c r="Y13475" t="s">
        <v>17171</v>
      </c>
      <c r="Z13475" t="s">
        <v>166</v>
      </c>
      <c r="AA13475" s="22" t="str">
        <f>HYPERLINK("https://www.ncbi.nlm.nih.gov/nuccore/KY369967","NCBI Nucleotide")</f>
        <v>NCBI Nucleotide</v>
      </c>
    </row>
    <row r="13476" spans="1:27" x14ac:dyDescent="0.35">
      <c r="A13476">
        <v>1001243</v>
      </c>
      <c r="B13476">
        <v>12560</v>
      </c>
      <c r="C13476">
        <v>1</v>
      </c>
      <c r="D13476" t="s">
        <v>17166</v>
      </c>
      <c r="F13476" t="s">
        <v>17246</v>
      </c>
      <c r="H13476" t="s">
        <v>28921</v>
      </c>
      <c r="J13476" t="s">
        <v>29538</v>
      </c>
      <c r="L13476" t="s">
        <v>29539</v>
      </c>
      <c r="M13476" t="s">
        <v>29548</v>
      </c>
      <c r="N13476" t="s">
        <v>29549</v>
      </c>
      <c r="O13476" t="s">
        <v>29625</v>
      </c>
      <c r="P13476" t="s">
        <v>29655</v>
      </c>
      <c r="R13476" s="26" t="str">
        <f>HYPERLINK("https://ictv.global/taxonomy/taxondetails?taxnode_id=202301831","Gammaarterivirus lacdeh")</f>
        <v>Gammaarterivirus lacdeh</v>
      </c>
      <c r="S13476" t="s">
        <v>30</v>
      </c>
      <c r="T13476" t="s">
        <v>29656</v>
      </c>
      <c r="U13476" t="s">
        <v>25628</v>
      </c>
      <c r="V13476" t="s">
        <v>29657</v>
      </c>
      <c r="W13476" t="s">
        <v>29658</v>
      </c>
      <c r="X13476" t="s">
        <v>42</v>
      </c>
      <c r="Y13476" t="s">
        <v>17171</v>
      </c>
      <c r="Z13476" t="s">
        <v>166</v>
      </c>
      <c r="AA13476" s="22" t="str">
        <f>HYPERLINK("https://www.ncbi.nlm.nih.gov/nuccore/U15146","NCBI Nucleotide")</f>
        <v>NCBI Nucleotide</v>
      </c>
    </row>
    <row r="13477" spans="1:27" x14ac:dyDescent="0.35">
      <c r="A13477">
        <v>1001244</v>
      </c>
      <c r="B13477">
        <v>12561</v>
      </c>
      <c r="C13477">
        <v>1</v>
      </c>
      <c r="D13477" t="s">
        <v>17166</v>
      </c>
      <c r="F13477" t="s">
        <v>17246</v>
      </c>
      <c r="H13477" t="s">
        <v>28921</v>
      </c>
      <c r="J13477" t="s">
        <v>29538</v>
      </c>
      <c r="L13477" t="s">
        <v>29539</v>
      </c>
      <c r="M13477" t="s">
        <v>29548</v>
      </c>
      <c r="N13477" t="s">
        <v>29549</v>
      </c>
      <c r="O13477" t="s">
        <v>29625</v>
      </c>
      <c r="P13477" t="s">
        <v>29659</v>
      </c>
      <c r="R13477" s="26" t="str">
        <f>HYPERLINK("https://ictv.global/taxonomy/taxondetails?taxnode_id=202307468","Nuarterivirus guemel")</f>
        <v>Nuarterivirus guemel</v>
      </c>
      <c r="S13477" t="s">
        <v>30</v>
      </c>
      <c r="T13477" t="s">
        <v>29660</v>
      </c>
      <c r="U13477" t="s">
        <v>29661</v>
      </c>
      <c r="V13477" t="s">
        <v>29662</v>
      </c>
      <c r="W13477" t="s">
        <v>29663</v>
      </c>
      <c r="X13477" t="s">
        <v>42</v>
      </c>
      <c r="Y13477" t="s">
        <v>17171</v>
      </c>
      <c r="Z13477" t="s">
        <v>166</v>
      </c>
      <c r="AA13477" s="22" t="str">
        <f>HYPERLINK("https://www.ncbi.nlm.nih.gov/nuccore/KY369969","NCBI Nucleotide")</f>
        <v>NCBI Nucleotide</v>
      </c>
    </row>
    <row r="13478" spans="1:27" x14ac:dyDescent="0.35">
      <c r="A13478">
        <v>1001245</v>
      </c>
      <c r="B13478">
        <v>12562</v>
      </c>
      <c r="C13478">
        <v>1</v>
      </c>
      <c r="D13478" t="s">
        <v>17166</v>
      </c>
      <c r="F13478" t="s">
        <v>17246</v>
      </c>
      <c r="H13478" t="s">
        <v>28921</v>
      </c>
      <c r="J13478" t="s">
        <v>29538</v>
      </c>
      <c r="L13478" t="s">
        <v>29539</v>
      </c>
      <c r="M13478" t="s">
        <v>29548</v>
      </c>
      <c r="N13478" t="s">
        <v>29549</v>
      </c>
      <c r="O13478" t="s">
        <v>29664</v>
      </c>
      <c r="P13478" t="s">
        <v>29665</v>
      </c>
      <c r="R13478" s="26" t="str">
        <f>HYPERLINK("https://ictv.global/taxonomy/taxondetails?taxnode_id=202301825","Kappaarterivirus wobum")</f>
        <v>Kappaarterivirus wobum</v>
      </c>
      <c r="S13478" t="s">
        <v>30</v>
      </c>
      <c r="T13478" t="s">
        <v>29666</v>
      </c>
      <c r="U13478" t="s">
        <v>29667</v>
      </c>
      <c r="W13478" t="s">
        <v>29668</v>
      </c>
      <c r="X13478" t="s">
        <v>42</v>
      </c>
      <c r="Y13478" t="s">
        <v>17171</v>
      </c>
      <c r="Z13478" t="s">
        <v>166</v>
      </c>
      <c r="AA13478" s="22" t="str">
        <f>HYPERLINK("https://www.ncbi.nlm.nih.gov/nuccore/JN116253","NCBI Nucleotide")</f>
        <v>NCBI Nucleotide</v>
      </c>
    </row>
    <row r="13479" spans="1:27" x14ac:dyDescent="0.35">
      <c r="A13479">
        <v>1001246</v>
      </c>
      <c r="B13479">
        <v>12563</v>
      </c>
      <c r="C13479">
        <v>1</v>
      </c>
      <c r="D13479" t="s">
        <v>17166</v>
      </c>
      <c r="F13479" t="s">
        <v>17246</v>
      </c>
      <c r="H13479" t="s">
        <v>28921</v>
      </c>
      <c r="J13479" t="s">
        <v>29538</v>
      </c>
      <c r="L13479" t="s">
        <v>29539</v>
      </c>
      <c r="M13479" t="s">
        <v>29548</v>
      </c>
      <c r="N13479" t="s">
        <v>29669</v>
      </c>
      <c r="O13479" t="s">
        <v>29670</v>
      </c>
      <c r="P13479" t="s">
        <v>29671</v>
      </c>
      <c r="Q13479" t="s">
        <v>29672</v>
      </c>
      <c r="R13479" s="26" t="str">
        <f>HYPERLINK("https://ictv.global/taxonomy/taxondetails?taxnode_id=202313927","Sicregavirus nixi")</f>
        <v>Sicregavirus nixi</v>
      </c>
      <c r="S13479" t="s">
        <v>30</v>
      </c>
      <c r="T13479" t="s">
        <v>29673</v>
      </c>
      <c r="U13479" t="s">
        <v>29674</v>
      </c>
      <c r="V13479" t="s">
        <v>29675</v>
      </c>
      <c r="W13479" t="s">
        <v>29676</v>
      </c>
      <c r="X13479" t="s">
        <v>42</v>
      </c>
      <c r="Y13479" t="s">
        <v>17171</v>
      </c>
      <c r="Z13479" t="s">
        <v>166</v>
      </c>
      <c r="AA13479" s="22" t="str">
        <f>HYPERLINK("https://www.ncbi.nlm.nih.gov/nuccore/MH447987","NCBI Nucleotide")</f>
        <v>NCBI Nucleotide</v>
      </c>
    </row>
    <row r="13480" spans="1:27" x14ac:dyDescent="0.35">
      <c r="A13480">
        <v>1001247</v>
      </c>
      <c r="B13480">
        <v>12564</v>
      </c>
      <c r="C13480">
        <v>1</v>
      </c>
      <c r="D13480" t="s">
        <v>17166</v>
      </c>
      <c r="F13480" t="s">
        <v>17246</v>
      </c>
      <c r="H13480" t="s">
        <v>28921</v>
      </c>
      <c r="J13480" t="s">
        <v>29538</v>
      </c>
      <c r="L13480" t="s">
        <v>29539</v>
      </c>
      <c r="M13480" t="s">
        <v>29548</v>
      </c>
      <c r="N13480" t="s">
        <v>29669</v>
      </c>
      <c r="O13480" t="s">
        <v>29677</v>
      </c>
      <c r="P13480" t="s">
        <v>29678</v>
      </c>
      <c r="R13480" s="26" t="str">
        <f>HYPERLINK("https://ictv.global/taxonomy/taxondetails?taxnode_id=202307480","Pontunivirus mauremydis")</f>
        <v>Pontunivirus mauremydis</v>
      </c>
      <c r="S13480" t="s">
        <v>30</v>
      </c>
      <c r="T13480" t="s">
        <v>29679</v>
      </c>
      <c r="U13480" t="s">
        <v>29680</v>
      </c>
      <c r="W13480" t="s">
        <v>29681</v>
      </c>
      <c r="X13480" t="s">
        <v>35</v>
      </c>
      <c r="Y13480" t="s">
        <v>17171</v>
      </c>
      <c r="Z13480" t="s">
        <v>166</v>
      </c>
      <c r="AA13480" s="22" t="str">
        <f>HYPERLINK("https://www.ncbi.nlm.nih.gov/nuccore/MG600025","NCBI Nucleotide")</f>
        <v>NCBI Nucleotide</v>
      </c>
    </row>
    <row r="13481" spans="1:27" x14ac:dyDescent="0.35">
      <c r="A13481">
        <v>1001248</v>
      </c>
      <c r="B13481">
        <v>12565</v>
      </c>
      <c r="C13481">
        <v>1</v>
      </c>
      <c r="D13481" t="s">
        <v>17166</v>
      </c>
      <c r="F13481" t="s">
        <v>17246</v>
      </c>
      <c r="H13481" t="s">
        <v>28921</v>
      </c>
      <c r="J13481" t="s">
        <v>29538</v>
      </c>
      <c r="L13481" t="s">
        <v>29539</v>
      </c>
      <c r="M13481" t="s">
        <v>29548</v>
      </c>
      <c r="N13481" t="s">
        <v>29682</v>
      </c>
      <c r="O13481" t="s">
        <v>29683</v>
      </c>
      <c r="P13481" t="s">
        <v>29684</v>
      </c>
      <c r="R13481" s="26" t="str">
        <f>HYPERLINK("https://ictv.global/taxonomy/taxondetails?taxnode_id=202307476","Cyclophivirus ptyadis")</f>
        <v>Cyclophivirus ptyadis</v>
      </c>
      <c r="S13481" t="s">
        <v>30</v>
      </c>
      <c r="T13481" t="s">
        <v>29685</v>
      </c>
      <c r="U13481" t="s">
        <v>29686</v>
      </c>
      <c r="W13481" t="s">
        <v>29687</v>
      </c>
      <c r="X13481" t="s">
        <v>35</v>
      </c>
      <c r="Y13481" t="s">
        <v>17171</v>
      </c>
      <c r="Z13481" t="s">
        <v>166</v>
      </c>
      <c r="AA13481" s="22" t="str">
        <f>HYPERLINK("https://www.ncbi.nlm.nih.gov/nuccore/MG600023","NCBI Nucleotide")</f>
        <v>NCBI Nucleotide</v>
      </c>
    </row>
    <row r="13482" spans="1:27" x14ac:dyDescent="0.35">
      <c r="A13482">
        <v>1001249</v>
      </c>
      <c r="B13482">
        <v>12566</v>
      </c>
      <c r="C13482">
        <v>1</v>
      </c>
      <c r="D13482" t="s">
        <v>17166</v>
      </c>
      <c r="F13482" t="s">
        <v>17246</v>
      </c>
      <c r="H13482" t="s">
        <v>28921</v>
      </c>
      <c r="J13482" t="s">
        <v>29538</v>
      </c>
      <c r="L13482" t="s">
        <v>29539</v>
      </c>
      <c r="M13482" t="s">
        <v>29548</v>
      </c>
      <c r="N13482" t="s">
        <v>29688</v>
      </c>
      <c r="O13482" t="s">
        <v>29689</v>
      </c>
      <c r="P13482" t="s">
        <v>29690</v>
      </c>
      <c r="R13482" s="26" t="str">
        <f>HYPERLINK("https://ictv.global/taxonomy/taxondetails?taxnode_id=202307472","Kukrinivirus oligodontis")</f>
        <v>Kukrinivirus oligodontis</v>
      </c>
      <c r="S13482" t="s">
        <v>30</v>
      </c>
      <c r="T13482" t="s">
        <v>29691</v>
      </c>
      <c r="U13482" t="s">
        <v>29692</v>
      </c>
      <c r="W13482" t="s">
        <v>29693</v>
      </c>
      <c r="X13482" t="s">
        <v>35</v>
      </c>
      <c r="Y13482" t="s">
        <v>17171</v>
      </c>
      <c r="Z13482" t="s">
        <v>166</v>
      </c>
      <c r="AA13482" s="22" t="str">
        <f>HYPERLINK("https://www.ncbi.nlm.nih.gov/nuccore/MG600022","NCBI Nucleotide")</f>
        <v>NCBI Nucleotide</v>
      </c>
    </row>
    <row r="13483" spans="1:27" x14ac:dyDescent="0.35">
      <c r="A13483">
        <v>1001250</v>
      </c>
      <c r="B13483">
        <v>12567</v>
      </c>
      <c r="C13483">
        <v>1</v>
      </c>
      <c r="D13483" t="s">
        <v>17166</v>
      </c>
      <c r="F13483" t="s">
        <v>17246</v>
      </c>
      <c r="H13483" t="s">
        <v>28921</v>
      </c>
      <c r="J13483" t="s">
        <v>29538</v>
      </c>
      <c r="L13483" t="s">
        <v>29539</v>
      </c>
      <c r="M13483" t="s">
        <v>29694</v>
      </c>
      <c r="N13483" t="s">
        <v>29695</v>
      </c>
      <c r="O13483" t="s">
        <v>29696</v>
      </c>
      <c r="P13483" t="s">
        <v>29697</v>
      </c>
      <c r="Q13483" t="s">
        <v>29698</v>
      </c>
      <c r="R13483" s="26" t="str">
        <f>HYPERLINK("https://ictv.global/taxonomy/taxondetails?taxnode_id=202306140","Alphaletovirus microhylae")</f>
        <v>Alphaletovirus microhylae</v>
      </c>
      <c r="S13483" t="s">
        <v>30</v>
      </c>
      <c r="T13483" t="s">
        <v>29699</v>
      </c>
      <c r="U13483" t="s">
        <v>29700</v>
      </c>
      <c r="W13483" t="s">
        <v>29701</v>
      </c>
      <c r="X13483" t="s">
        <v>154</v>
      </c>
      <c r="Y13483" t="s">
        <v>17171</v>
      </c>
      <c r="Z13483" t="s">
        <v>166</v>
      </c>
      <c r="AA13483" s="22" t="str">
        <f>HYPERLINK("https://www.ncbi.nlm.nih.gov/nuccore/GECV01031551","NCBI Nucleotide")</f>
        <v>NCBI Nucleotide</v>
      </c>
    </row>
    <row r="13484" spans="1:27" x14ac:dyDescent="0.35">
      <c r="A13484">
        <v>1001251</v>
      </c>
      <c r="B13484">
        <v>12568</v>
      </c>
      <c r="C13484">
        <v>1</v>
      </c>
      <c r="D13484" t="s">
        <v>17166</v>
      </c>
      <c r="F13484" t="s">
        <v>17246</v>
      </c>
      <c r="H13484" t="s">
        <v>28921</v>
      </c>
      <c r="J13484" t="s">
        <v>29538</v>
      </c>
      <c r="L13484" t="s">
        <v>29539</v>
      </c>
      <c r="M13484" t="s">
        <v>29694</v>
      </c>
      <c r="N13484" t="s">
        <v>29695</v>
      </c>
      <c r="O13484" t="s">
        <v>29702</v>
      </c>
      <c r="P13484" t="s">
        <v>29703</v>
      </c>
      <c r="Q13484" t="s">
        <v>29704</v>
      </c>
      <c r="R13484" s="26" t="str">
        <f>HYPERLINK("https://ictv.global/taxonomy/taxondetails?taxnode_id=202313903","Alphacoronavirus almalfi")</f>
        <v>Alphacoronavirus almalfi</v>
      </c>
      <c r="S13484" t="s">
        <v>30</v>
      </c>
      <c r="T13484" t="s">
        <v>29705</v>
      </c>
      <c r="U13484" t="s">
        <v>29706</v>
      </c>
      <c r="V13484" t="s">
        <v>29707</v>
      </c>
      <c r="W13484" t="s">
        <v>29708</v>
      </c>
      <c r="X13484" t="s">
        <v>42</v>
      </c>
      <c r="Y13484" t="s">
        <v>17171</v>
      </c>
      <c r="Z13484" t="s">
        <v>166</v>
      </c>
      <c r="AA13484" s="22" t="str">
        <f>HYPERLINK("https://www.ncbi.nlm.nih.gov/nuccore/MT663548","NCBI Nucleotide")</f>
        <v>NCBI Nucleotide</v>
      </c>
    </row>
    <row r="13485" spans="1:27" x14ac:dyDescent="0.35">
      <c r="A13485">
        <v>1001252</v>
      </c>
      <c r="B13485">
        <v>12569</v>
      </c>
      <c r="C13485">
        <v>1</v>
      </c>
      <c r="D13485" t="s">
        <v>17166</v>
      </c>
      <c r="F13485" t="s">
        <v>17246</v>
      </c>
      <c r="H13485" t="s">
        <v>28921</v>
      </c>
      <c r="J13485" t="s">
        <v>29538</v>
      </c>
      <c r="L13485" t="s">
        <v>29539</v>
      </c>
      <c r="M13485" t="s">
        <v>29694</v>
      </c>
      <c r="N13485" t="s">
        <v>29695</v>
      </c>
      <c r="O13485" t="s">
        <v>29702</v>
      </c>
      <c r="P13485" t="s">
        <v>29703</v>
      </c>
      <c r="Q13485" t="s">
        <v>29709</v>
      </c>
      <c r="R13485" s="26" t="str">
        <f>HYPERLINK("https://ictv.global/taxonomy/taxondetails?taxnode_id=202301850","Alphacoronavirus myotis")</f>
        <v>Alphacoronavirus myotis</v>
      </c>
      <c r="S13485" t="s">
        <v>30</v>
      </c>
      <c r="T13485" t="s">
        <v>29710</v>
      </c>
      <c r="U13485" t="s">
        <v>29711</v>
      </c>
      <c r="V13485" t="s">
        <v>29712</v>
      </c>
      <c r="W13485" t="s">
        <v>29713</v>
      </c>
      <c r="X13485" t="s">
        <v>42</v>
      </c>
      <c r="Y13485" t="s">
        <v>17171</v>
      </c>
      <c r="Z13485" t="s">
        <v>166</v>
      </c>
      <c r="AA13485" s="22" t="str">
        <f>HYPERLINK("https://www.ncbi.nlm.nih.gov/nuccore/KF430219","NCBI Nucleotide")</f>
        <v>NCBI Nucleotide</v>
      </c>
    </row>
    <row r="13486" spans="1:27" x14ac:dyDescent="0.35">
      <c r="A13486">
        <v>1001254</v>
      </c>
      <c r="B13486">
        <v>12570</v>
      </c>
      <c r="C13486">
        <v>1</v>
      </c>
      <c r="D13486" t="s">
        <v>17166</v>
      </c>
      <c r="F13486" t="s">
        <v>17246</v>
      </c>
      <c r="H13486" t="s">
        <v>28921</v>
      </c>
      <c r="J13486" t="s">
        <v>29538</v>
      </c>
      <c r="L13486" t="s">
        <v>29539</v>
      </c>
      <c r="M13486" t="s">
        <v>29694</v>
      </c>
      <c r="N13486" t="s">
        <v>29695</v>
      </c>
      <c r="O13486" t="s">
        <v>29702</v>
      </c>
      <c r="P13486" t="s">
        <v>29703</v>
      </c>
      <c r="Q13486" t="s">
        <v>29714</v>
      </c>
      <c r="R13486" s="26" t="str">
        <f>HYPERLINK("https://ictv.global/taxonomy/taxondetails?taxnode_id=202313899","Alphacoronavirus australiense")</f>
        <v>Alphacoronavirus australiense</v>
      </c>
      <c r="S13486" t="s">
        <v>30</v>
      </c>
      <c r="T13486" t="s">
        <v>29719</v>
      </c>
      <c r="U13486" t="s">
        <v>29720</v>
      </c>
      <c r="V13486" t="s">
        <v>29721</v>
      </c>
      <c r="W13486" t="s">
        <v>29722</v>
      </c>
      <c r="X13486" t="s">
        <v>42</v>
      </c>
      <c r="Y13486" t="s">
        <v>17171</v>
      </c>
      <c r="Z13486" t="s">
        <v>166</v>
      </c>
      <c r="AA13486" s="22" t="str">
        <f>HYPERLINK("https://www.ncbi.nlm.nih.gov/nuccore/MK472070","NCBI Nucleotide")</f>
        <v>NCBI Nucleotide</v>
      </c>
    </row>
    <row r="13487" spans="1:27" x14ac:dyDescent="0.35">
      <c r="A13487">
        <v>1001256</v>
      </c>
      <c r="B13487">
        <v>12571</v>
      </c>
      <c r="C13487">
        <v>1</v>
      </c>
      <c r="D13487" t="s">
        <v>17166</v>
      </c>
      <c r="F13487" t="s">
        <v>17246</v>
      </c>
      <c r="H13487" t="s">
        <v>28921</v>
      </c>
      <c r="J13487" t="s">
        <v>29538</v>
      </c>
      <c r="L13487" t="s">
        <v>29539</v>
      </c>
      <c r="M13487" t="s">
        <v>29694</v>
      </c>
      <c r="N13487" t="s">
        <v>29695</v>
      </c>
      <c r="O13487" t="s">
        <v>29702</v>
      </c>
      <c r="P13487" t="s">
        <v>29703</v>
      </c>
      <c r="Q13487" t="s">
        <v>29714</v>
      </c>
      <c r="R13487" s="26" t="str">
        <f>HYPERLINK("https://ictv.global/taxonomy/taxondetails?taxnode_id=202306109","Alphacoronavirus ferrumequini")</f>
        <v>Alphacoronavirus ferrumequini</v>
      </c>
      <c r="S13487" t="s">
        <v>30</v>
      </c>
      <c r="T13487" t="s">
        <v>29727</v>
      </c>
      <c r="U13487" t="s">
        <v>29728</v>
      </c>
      <c r="V13487" t="s">
        <v>29729</v>
      </c>
      <c r="W13487" t="s">
        <v>29730</v>
      </c>
      <c r="X13487" t="s">
        <v>42</v>
      </c>
      <c r="Y13487" t="s">
        <v>17171</v>
      </c>
      <c r="Z13487" t="s">
        <v>166</v>
      </c>
      <c r="AA13487" s="22" t="str">
        <f>HYPERLINK("https://www.ncbi.nlm.nih.gov/nuccore/KJ473807","NCBI Nucleotide")</f>
        <v>NCBI Nucleotide</v>
      </c>
    </row>
    <row r="13488" spans="1:27" x14ac:dyDescent="0.35">
      <c r="A13488">
        <v>1001253</v>
      </c>
      <c r="B13488">
        <v>12572</v>
      </c>
      <c r="C13488">
        <v>1</v>
      </c>
      <c r="D13488" t="s">
        <v>17166</v>
      </c>
      <c r="F13488" t="s">
        <v>17246</v>
      </c>
      <c r="H13488" t="s">
        <v>28921</v>
      </c>
      <c r="J13488" t="s">
        <v>29538</v>
      </c>
      <c r="L13488" t="s">
        <v>29539</v>
      </c>
      <c r="M13488" t="s">
        <v>29694</v>
      </c>
      <c r="N13488" t="s">
        <v>29695</v>
      </c>
      <c r="O13488" t="s">
        <v>29702</v>
      </c>
      <c r="P13488" t="s">
        <v>29703</v>
      </c>
      <c r="Q13488" t="s">
        <v>29714</v>
      </c>
      <c r="R13488" s="26" t="str">
        <f>HYPERLINK("https://ictv.global/taxonomy/taxondetails?taxnode_id=202313898","Alphacoronavirus hipposideri")</f>
        <v>Alphacoronavirus hipposideri</v>
      </c>
      <c r="S13488" t="s">
        <v>30</v>
      </c>
      <c r="T13488" t="s">
        <v>29715</v>
      </c>
      <c r="U13488" t="s">
        <v>29716</v>
      </c>
      <c r="V13488" t="s">
        <v>29717</v>
      </c>
      <c r="W13488" t="s">
        <v>29718</v>
      </c>
      <c r="X13488" t="s">
        <v>42</v>
      </c>
      <c r="Y13488" t="s">
        <v>17171</v>
      </c>
      <c r="Z13488" t="s">
        <v>166</v>
      </c>
      <c r="AA13488" s="22" t="str">
        <f>HYPERLINK("https://www.ncbi.nlm.nih.gov/nuccore/MN611525","NCBI Nucleotide")</f>
        <v>NCBI Nucleotide</v>
      </c>
    </row>
    <row r="13489" spans="1:27" x14ac:dyDescent="0.35">
      <c r="A13489">
        <v>1001255</v>
      </c>
      <c r="B13489">
        <v>12573</v>
      </c>
      <c r="C13489">
        <v>1</v>
      </c>
      <c r="D13489" t="s">
        <v>17166</v>
      </c>
      <c r="F13489" t="s">
        <v>17246</v>
      </c>
      <c r="H13489" t="s">
        <v>28921</v>
      </c>
      <c r="J13489" t="s">
        <v>29538</v>
      </c>
      <c r="L13489" t="s">
        <v>29539</v>
      </c>
      <c r="M13489" t="s">
        <v>29694</v>
      </c>
      <c r="N13489" t="s">
        <v>29695</v>
      </c>
      <c r="O13489" t="s">
        <v>29702</v>
      </c>
      <c r="P13489" t="s">
        <v>29703</v>
      </c>
      <c r="Q13489" t="s">
        <v>29714</v>
      </c>
      <c r="R13489" s="26" t="str">
        <f>HYPERLINK("https://ictv.global/taxonomy/taxondetails?taxnode_id=202301851","Alphacoronavirus rousetti")</f>
        <v>Alphacoronavirus rousetti</v>
      </c>
      <c r="S13489" t="s">
        <v>30</v>
      </c>
      <c r="T13489" t="s">
        <v>29723</v>
      </c>
      <c r="U13489" t="s">
        <v>29724</v>
      </c>
      <c r="V13489" t="s">
        <v>29725</v>
      </c>
      <c r="W13489" t="s">
        <v>29726</v>
      </c>
      <c r="X13489" t="s">
        <v>42</v>
      </c>
      <c r="Y13489" t="s">
        <v>17171</v>
      </c>
      <c r="Z13489" t="s">
        <v>166</v>
      </c>
      <c r="AA13489" s="22" t="str">
        <f>HYPERLINK("https://www.ncbi.nlm.nih.gov/nuccore/JQ989270","NCBI Nucleotide")</f>
        <v>NCBI Nucleotide</v>
      </c>
    </row>
    <row r="13490" spans="1:27" x14ac:dyDescent="0.35">
      <c r="A13490">
        <v>1001257</v>
      </c>
      <c r="B13490">
        <v>12574</v>
      </c>
      <c r="C13490">
        <v>1</v>
      </c>
      <c r="D13490" t="s">
        <v>17166</v>
      </c>
      <c r="F13490" t="s">
        <v>17246</v>
      </c>
      <c r="H13490" t="s">
        <v>28921</v>
      </c>
      <c r="J13490" t="s">
        <v>29538</v>
      </c>
      <c r="L13490" t="s">
        <v>29539</v>
      </c>
      <c r="M13490" t="s">
        <v>29694</v>
      </c>
      <c r="N13490" t="s">
        <v>29695</v>
      </c>
      <c r="O13490" t="s">
        <v>29702</v>
      </c>
      <c r="P13490" t="s">
        <v>29703</v>
      </c>
      <c r="Q13490" t="s">
        <v>29731</v>
      </c>
      <c r="R13490" s="26" t="str">
        <f>HYPERLINK("https://ictv.global/taxonomy/taxondetails?taxnode_id=202301852","Alphacoronavirus chicagoense")</f>
        <v>Alphacoronavirus chicagoense</v>
      </c>
      <c r="S13490" t="s">
        <v>30</v>
      </c>
      <c r="T13490" t="s">
        <v>29732</v>
      </c>
      <c r="U13490" t="s">
        <v>29733</v>
      </c>
      <c r="V13490" t="s">
        <v>29734</v>
      </c>
      <c r="W13490" t="s">
        <v>29735</v>
      </c>
      <c r="X13490" t="s">
        <v>42</v>
      </c>
      <c r="Y13490" t="s">
        <v>17171</v>
      </c>
      <c r="Z13490" t="s">
        <v>166</v>
      </c>
      <c r="AA13490" s="22" t="str">
        <f>HYPERLINK("https://www.ncbi.nlm.nih.gov/nuccore/AF304460","NCBI Nucleotide")</f>
        <v>NCBI Nucleotide</v>
      </c>
    </row>
    <row r="13491" spans="1:27" x14ac:dyDescent="0.35">
      <c r="A13491">
        <v>1011387</v>
      </c>
      <c r="B13491">
        <v>12574</v>
      </c>
      <c r="C13491">
        <v>2</v>
      </c>
      <c r="D13491" t="s">
        <v>17166</v>
      </c>
      <c r="F13491" t="s">
        <v>17246</v>
      </c>
      <c r="H13491" t="s">
        <v>28921</v>
      </c>
      <c r="J13491" t="s">
        <v>29538</v>
      </c>
      <c r="L13491" t="s">
        <v>29539</v>
      </c>
      <c r="M13491" t="s">
        <v>29694</v>
      </c>
      <c r="N13491" t="s">
        <v>29695</v>
      </c>
      <c r="O13491" t="s">
        <v>29702</v>
      </c>
      <c r="P13491" t="s">
        <v>29703</v>
      </c>
      <c r="Q13491" t="s">
        <v>29731</v>
      </c>
      <c r="R13491" s="26" t="str">
        <f>HYPERLINK("https://ictv.global/taxonomy/taxondetails?taxnode_id=202301852","Alphacoronavirus chicagoense")</f>
        <v>Alphacoronavirus chicagoense</v>
      </c>
      <c r="S13491" t="s">
        <v>8141</v>
      </c>
      <c r="T13491" t="s">
        <v>29732</v>
      </c>
      <c r="U13491" t="s">
        <v>29733</v>
      </c>
      <c r="V13491" t="s">
        <v>29736</v>
      </c>
      <c r="W13491" t="s">
        <v>49607</v>
      </c>
      <c r="X13491" t="s">
        <v>42</v>
      </c>
      <c r="Y13491" t="s">
        <v>17171</v>
      </c>
      <c r="Z13491" t="s">
        <v>166</v>
      </c>
      <c r="AA13491" s="22" t="str">
        <f>HYPERLINK("https://www.ncbi.nlm.nih.gov/nuccore/JX503061","NCBI Nucleotide")</f>
        <v>NCBI Nucleotide</v>
      </c>
    </row>
    <row r="13492" spans="1:27" x14ac:dyDescent="0.35">
      <c r="A13492">
        <v>1001258</v>
      </c>
      <c r="B13492">
        <v>12575</v>
      </c>
      <c r="C13492">
        <v>1</v>
      </c>
      <c r="D13492" t="s">
        <v>17166</v>
      </c>
      <c r="F13492" t="s">
        <v>17246</v>
      </c>
      <c r="H13492" t="s">
        <v>28921</v>
      </c>
      <c r="J13492" t="s">
        <v>29538</v>
      </c>
      <c r="L13492" t="s">
        <v>29539</v>
      </c>
      <c r="M13492" t="s">
        <v>29694</v>
      </c>
      <c r="N13492" t="s">
        <v>29695</v>
      </c>
      <c r="O13492" t="s">
        <v>29702</v>
      </c>
      <c r="P13492" t="s">
        <v>29703</v>
      </c>
      <c r="Q13492" t="s">
        <v>29737</v>
      </c>
      <c r="R13492" s="26" t="str">
        <f>HYPERLINK("https://ictv.global/taxonomy/taxondetails?taxnode_id=202306122","Alphacoronavirus ratti")</f>
        <v>Alphacoronavirus ratti</v>
      </c>
      <c r="S13492" t="s">
        <v>30</v>
      </c>
      <c r="T13492" t="s">
        <v>29738</v>
      </c>
      <c r="U13492" t="s">
        <v>23998</v>
      </c>
      <c r="V13492" t="s">
        <v>29739</v>
      </c>
      <c r="W13492" t="s">
        <v>29740</v>
      </c>
      <c r="X13492" t="s">
        <v>42</v>
      </c>
      <c r="Y13492" t="s">
        <v>17171</v>
      </c>
      <c r="Z13492" t="s">
        <v>166</v>
      </c>
      <c r="AA13492" s="22" t="str">
        <f>HYPERLINK("https://www.ncbi.nlm.nih.gov/nuccore/KF294380","NCBI Nucleotide")</f>
        <v>NCBI Nucleotide</v>
      </c>
    </row>
    <row r="13493" spans="1:27" x14ac:dyDescent="0.35">
      <c r="A13493">
        <v>1001259</v>
      </c>
      <c r="B13493">
        <v>12576</v>
      </c>
      <c r="C13493">
        <v>1</v>
      </c>
      <c r="D13493" t="s">
        <v>17166</v>
      </c>
      <c r="F13493" t="s">
        <v>17246</v>
      </c>
      <c r="H13493" t="s">
        <v>28921</v>
      </c>
      <c r="J13493" t="s">
        <v>29538</v>
      </c>
      <c r="L13493" t="s">
        <v>29539</v>
      </c>
      <c r="M13493" t="s">
        <v>29694</v>
      </c>
      <c r="N13493" t="s">
        <v>29695</v>
      </c>
      <c r="O13493" t="s">
        <v>29702</v>
      </c>
      <c r="P13493" t="s">
        <v>29703</v>
      </c>
      <c r="Q13493" t="s">
        <v>29741</v>
      </c>
      <c r="R13493" s="26" t="str">
        <f>HYPERLINK("https://ictv.global/taxonomy/taxondetails?taxnode_id=202301856","Alphacoronavirus neovisontis")</f>
        <v>Alphacoronavirus neovisontis</v>
      </c>
      <c r="S13493" t="s">
        <v>30</v>
      </c>
      <c r="T13493" t="s">
        <v>29742</v>
      </c>
      <c r="U13493" t="s">
        <v>29743</v>
      </c>
      <c r="V13493" t="s">
        <v>29744</v>
      </c>
      <c r="W13493" t="s">
        <v>29745</v>
      </c>
      <c r="X13493" t="s">
        <v>42</v>
      </c>
      <c r="Y13493" t="s">
        <v>17171</v>
      </c>
      <c r="Z13493" t="s">
        <v>166</v>
      </c>
      <c r="AA13493" s="22" t="str">
        <f>HYPERLINK("https://www.ncbi.nlm.nih.gov/nuccore/HM245925","NCBI Nucleotide")</f>
        <v>NCBI Nucleotide</v>
      </c>
    </row>
    <row r="13494" spans="1:27" x14ac:dyDescent="0.35">
      <c r="A13494">
        <v>1001261</v>
      </c>
      <c r="B13494">
        <v>12577</v>
      </c>
      <c r="C13494">
        <v>1</v>
      </c>
      <c r="D13494" t="s">
        <v>17166</v>
      </c>
      <c r="F13494" t="s">
        <v>17246</v>
      </c>
      <c r="H13494" t="s">
        <v>28921</v>
      </c>
      <c r="J13494" t="s">
        <v>29538</v>
      </c>
      <c r="L13494" t="s">
        <v>29539</v>
      </c>
      <c r="M13494" t="s">
        <v>29694</v>
      </c>
      <c r="N13494" t="s">
        <v>29695</v>
      </c>
      <c r="O13494" t="s">
        <v>29702</v>
      </c>
      <c r="P13494" t="s">
        <v>29703</v>
      </c>
      <c r="Q13494" t="s">
        <v>29746</v>
      </c>
      <c r="R13494" s="26" t="str">
        <f>HYPERLINK("https://ictv.global/taxonomy/taxondetails?taxnode_id=202301855","Alphacoronavirus miniopteri")</f>
        <v>Alphacoronavirus miniopteri</v>
      </c>
      <c r="S13494" t="s">
        <v>30</v>
      </c>
      <c r="T13494" t="s">
        <v>29751</v>
      </c>
      <c r="U13494" t="s">
        <v>29752</v>
      </c>
      <c r="V13494" t="s">
        <v>29753</v>
      </c>
      <c r="W13494" t="s">
        <v>29754</v>
      </c>
      <c r="X13494" t="s">
        <v>42</v>
      </c>
      <c r="Y13494" t="s">
        <v>17171</v>
      </c>
      <c r="Z13494" t="s">
        <v>166</v>
      </c>
      <c r="AA13494" s="22" t="str">
        <f>HYPERLINK("https://www.ncbi.nlm.nih.gov/nuccore/EU420139","NCBI Nucleotide")</f>
        <v>NCBI Nucleotide</v>
      </c>
    </row>
    <row r="13495" spans="1:27" x14ac:dyDescent="0.35">
      <c r="A13495">
        <v>1001260</v>
      </c>
      <c r="B13495">
        <v>12578</v>
      </c>
      <c r="C13495">
        <v>1</v>
      </c>
      <c r="D13495" t="s">
        <v>17166</v>
      </c>
      <c r="F13495" t="s">
        <v>17246</v>
      </c>
      <c r="H13495" t="s">
        <v>28921</v>
      </c>
      <c r="J13495" t="s">
        <v>29538</v>
      </c>
      <c r="L13495" t="s">
        <v>29539</v>
      </c>
      <c r="M13495" t="s">
        <v>29694</v>
      </c>
      <c r="N13495" t="s">
        <v>29695</v>
      </c>
      <c r="O13495" t="s">
        <v>29702</v>
      </c>
      <c r="P13495" t="s">
        <v>29703</v>
      </c>
      <c r="Q13495" t="s">
        <v>29746</v>
      </c>
      <c r="R13495" s="26" t="str">
        <f>HYPERLINK("https://ictv.global/taxonomy/taxondetails?taxnode_id=202301854","Alphacoronavirus pusilli")</f>
        <v>Alphacoronavirus pusilli</v>
      </c>
      <c r="S13495" t="s">
        <v>30</v>
      </c>
      <c r="T13495" t="s">
        <v>29747</v>
      </c>
      <c r="U13495" t="s">
        <v>29748</v>
      </c>
      <c r="V13495" t="s">
        <v>29749</v>
      </c>
      <c r="W13495" t="s">
        <v>29750</v>
      </c>
      <c r="X13495" t="s">
        <v>42</v>
      </c>
      <c r="Y13495" t="s">
        <v>17171</v>
      </c>
      <c r="Z13495" t="s">
        <v>166</v>
      </c>
      <c r="AA13495" s="22" t="str">
        <f>HYPERLINK("https://www.ncbi.nlm.nih.gov/nuccore/EU420138","NCBI Nucleotide")</f>
        <v>NCBI Nucleotide</v>
      </c>
    </row>
    <row r="13496" spans="1:27" x14ac:dyDescent="0.35">
      <c r="A13496">
        <v>1001262</v>
      </c>
      <c r="B13496">
        <v>12579</v>
      </c>
      <c r="C13496">
        <v>1</v>
      </c>
      <c r="D13496" t="s">
        <v>17166</v>
      </c>
      <c r="F13496" t="s">
        <v>17246</v>
      </c>
      <c r="H13496" t="s">
        <v>28921</v>
      </c>
      <c r="J13496" t="s">
        <v>29538</v>
      </c>
      <c r="L13496" t="s">
        <v>29539</v>
      </c>
      <c r="M13496" t="s">
        <v>29694</v>
      </c>
      <c r="N13496" t="s">
        <v>29695</v>
      </c>
      <c r="O13496" t="s">
        <v>29702</v>
      </c>
      <c r="P13496" t="s">
        <v>29703</v>
      </c>
      <c r="Q13496" t="s">
        <v>29755</v>
      </c>
      <c r="R13496" s="26" t="str">
        <f>HYPERLINK("https://ictv.global/taxonomy/taxondetails?taxnode_id=202306119","Alphacoronavirus ricketti")</f>
        <v>Alphacoronavirus ricketti</v>
      </c>
      <c r="S13496" t="s">
        <v>30</v>
      </c>
      <c r="T13496" t="s">
        <v>29756</v>
      </c>
      <c r="U13496" t="s">
        <v>29757</v>
      </c>
      <c r="V13496" t="s">
        <v>29758</v>
      </c>
      <c r="W13496" t="s">
        <v>29759</v>
      </c>
      <c r="X13496" t="s">
        <v>42</v>
      </c>
      <c r="Y13496" t="s">
        <v>17171</v>
      </c>
      <c r="Z13496" t="s">
        <v>166</v>
      </c>
      <c r="AA13496" s="22" t="str">
        <f>HYPERLINK("https://www.ncbi.nlm.nih.gov/nuccore/KJ473806","NCBI Nucleotide")</f>
        <v>NCBI Nucleotide</v>
      </c>
    </row>
    <row r="13497" spans="1:27" x14ac:dyDescent="0.35">
      <c r="A13497">
        <v>1001264</v>
      </c>
      <c r="B13497">
        <v>12580</v>
      </c>
      <c r="C13497">
        <v>1</v>
      </c>
      <c r="D13497" t="s">
        <v>17166</v>
      </c>
      <c r="F13497" t="s">
        <v>17246</v>
      </c>
      <c r="H13497" t="s">
        <v>28921</v>
      </c>
      <c r="J13497" t="s">
        <v>29538</v>
      </c>
      <c r="L13497" t="s">
        <v>29539</v>
      </c>
      <c r="M13497" t="s">
        <v>29694</v>
      </c>
      <c r="N13497" t="s">
        <v>29695</v>
      </c>
      <c r="O13497" t="s">
        <v>29702</v>
      </c>
      <c r="P13497" t="s">
        <v>29703</v>
      </c>
      <c r="Q13497" t="s">
        <v>29760</v>
      </c>
      <c r="R13497" s="26" t="str">
        <f>HYPERLINK("https://ictv.global/taxonomy/taxondetails?taxnode_id=202313900","Alphacoronavirus chalinolobi")</f>
        <v>Alphacoronavirus chalinolobi</v>
      </c>
      <c r="S13497" t="s">
        <v>30</v>
      </c>
      <c r="T13497" t="s">
        <v>29765</v>
      </c>
      <c r="U13497" t="s">
        <v>29766</v>
      </c>
      <c r="V13497" t="s">
        <v>29767</v>
      </c>
      <c r="W13497" t="s">
        <v>29768</v>
      </c>
      <c r="X13497" t="s">
        <v>42</v>
      </c>
      <c r="Y13497" t="s">
        <v>17171</v>
      </c>
      <c r="Z13497" t="s">
        <v>166</v>
      </c>
      <c r="AA13497" s="22" t="str">
        <f>HYPERLINK("https://www.ncbi.nlm.nih.gov/nuccore/MK472068","NCBI Nucleotide")</f>
        <v>NCBI Nucleotide</v>
      </c>
    </row>
    <row r="13498" spans="1:27" x14ac:dyDescent="0.35">
      <c r="A13498">
        <v>1001265</v>
      </c>
      <c r="B13498">
        <v>12581</v>
      </c>
      <c r="C13498">
        <v>1</v>
      </c>
      <c r="D13498" t="s">
        <v>17166</v>
      </c>
      <c r="F13498" t="s">
        <v>17246</v>
      </c>
      <c r="H13498" t="s">
        <v>28921</v>
      </c>
      <c r="J13498" t="s">
        <v>29538</v>
      </c>
      <c r="L13498" t="s">
        <v>29539</v>
      </c>
      <c r="M13498" t="s">
        <v>29694</v>
      </c>
      <c r="N13498" t="s">
        <v>29695</v>
      </c>
      <c r="O13498" t="s">
        <v>29702</v>
      </c>
      <c r="P13498" t="s">
        <v>29703</v>
      </c>
      <c r="Q13498" t="s">
        <v>29760</v>
      </c>
      <c r="R13498" s="26" t="str">
        <f>HYPERLINK("https://ictv.global/taxonomy/taxondetails?taxnode_id=202306120","Alphacoronavirus nyctali")</f>
        <v>Alphacoronavirus nyctali</v>
      </c>
      <c r="S13498" t="s">
        <v>30</v>
      </c>
      <c r="T13498" t="s">
        <v>29769</v>
      </c>
      <c r="U13498" t="s">
        <v>29770</v>
      </c>
      <c r="V13498" t="s">
        <v>29771</v>
      </c>
      <c r="W13498" t="s">
        <v>29772</v>
      </c>
      <c r="X13498" t="s">
        <v>42</v>
      </c>
      <c r="Y13498" t="s">
        <v>17171</v>
      </c>
      <c r="Z13498" t="s">
        <v>166</v>
      </c>
      <c r="AA13498" s="22" t="str">
        <f>HYPERLINK("https://www.ncbi.nlm.nih.gov/nuccore/KJ473809","NCBI Nucleotide")</f>
        <v>NCBI Nucleotide</v>
      </c>
    </row>
    <row r="13499" spans="1:27" x14ac:dyDescent="0.35">
      <c r="A13499">
        <v>1001266</v>
      </c>
      <c r="B13499">
        <v>12582</v>
      </c>
      <c r="C13499">
        <v>1</v>
      </c>
      <c r="D13499" t="s">
        <v>17166</v>
      </c>
      <c r="F13499" t="s">
        <v>17246</v>
      </c>
      <c r="H13499" t="s">
        <v>28921</v>
      </c>
      <c r="J13499" t="s">
        <v>29538</v>
      </c>
      <c r="L13499" t="s">
        <v>29539</v>
      </c>
      <c r="M13499" t="s">
        <v>29694</v>
      </c>
      <c r="N13499" t="s">
        <v>29695</v>
      </c>
      <c r="O13499" t="s">
        <v>29702</v>
      </c>
      <c r="P13499" t="s">
        <v>29703</v>
      </c>
      <c r="Q13499" t="s">
        <v>29760</v>
      </c>
      <c r="R13499" s="26" t="str">
        <f>HYPERLINK("https://ictv.global/taxonomy/taxondetails?taxnode_id=202307490","Alphacoronavirus pipistrelli")</f>
        <v>Alphacoronavirus pipistrelli</v>
      </c>
      <c r="S13499" t="s">
        <v>30</v>
      </c>
      <c r="T13499" t="s">
        <v>29773</v>
      </c>
      <c r="U13499" t="s">
        <v>29774</v>
      </c>
      <c r="V13499" t="s">
        <v>29775</v>
      </c>
      <c r="W13499" t="s">
        <v>29776</v>
      </c>
      <c r="X13499" t="s">
        <v>42</v>
      </c>
      <c r="Y13499" t="s">
        <v>17171</v>
      </c>
      <c r="Z13499" t="s">
        <v>166</v>
      </c>
      <c r="AA13499" s="22" t="str">
        <f>HYPERLINK("https://www.ncbi.nlm.nih.gov/nuccore/MH938449","NCBI Nucleotide")</f>
        <v>NCBI Nucleotide</v>
      </c>
    </row>
    <row r="13500" spans="1:27" x14ac:dyDescent="0.35">
      <c r="A13500">
        <v>1001263</v>
      </c>
      <c r="B13500">
        <v>12583</v>
      </c>
      <c r="C13500">
        <v>1</v>
      </c>
      <c r="D13500" t="s">
        <v>17166</v>
      </c>
      <c r="F13500" t="s">
        <v>17246</v>
      </c>
      <c r="H13500" t="s">
        <v>28921</v>
      </c>
      <c r="J13500" t="s">
        <v>29538</v>
      </c>
      <c r="L13500" t="s">
        <v>29539</v>
      </c>
      <c r="M13500" t="s">
        <v>29694</v>
      </c>
      <c r="N13500" t="s">
        <v>29695</v>
      </c>
      <c r="O13500" t="s">
        <v>29702</v>
      </c>
      <c r="P13500" t="s">
        <v>29703</v>
      </c>
      <c r="Q13500" t="s">
        <v>29760</v>
      </c>
      <c r="R13500" s="26" t="str">
        <f>HYPERLINK("https://ictv.global/taxonomy/taxondetails?taxnode_id=202313901","Alphacoronavirus tylonycteridis")</f>
        <v>Alphacoronavirus tylonycteridis</v>
      </c>
      <c r="S13500" t="s">
        <v>30</v>
      </c>
      <c r="T13500" t="s">
        <v>29761</v>
      </c>
      <c r="U13500" t="s">
        <v>29762</v>
      </c>
      <c r="V13500" t="s">
        <v>29763</v>
      </c>
      <c r="W13500" t="s">
        <v>29764</v>
      </c>
      <c r="X13500" t="s">
        <v>42</v>
      </c>
      <c r="Y13500" t="s">
        <v>17171</v>
      </c>
      <c r="Z13500" t="s">
        <v>166</v>
      </c>
      <c r="AA13500" s="22" t="str">
        <f>HYPERLINK("https://www.ncbi.nlm.nih.gov/nuccore/MK720944","NCBI Nucleotide")</f>
        <v>NCBI Nucleotide</v>
      </c>
    </row>
    <row r="13501" spans="1:27" x14ac:dyDescent="0.35">
      <c r="A13501">
        <v>1001267</v>
      </c>
      <c r="B13501">
        <v>12584</v>
      </c>
      <c r="C13501">
        <v>1</v>
      </c>
      <c r="D13501" t="s">
        <v>17166</v>
      </c>
      <c r="F13501" t="s">
        <v>17246</v>
      </c>
      <c r="H13501" t="s">
        <v>28921</v>
      </c>
      <c r="J13501" t="s">
        <v>29538</v>
      </c>
      <c r="L13501" t="s">
        <v>29539</v>
      </c>
      <c r="M13501" t="s">
        <v>29694</v>
      </c>
      <c r="N13501" t="s">
        <v>29695</v>
      </c>
      <c r="O13501" t="s">
        <v>29702</v>
      </c>
      <c r="P13501" t="s">
        <v>29703</v>
      </c>
      <c r="Q13501" t="s">
        <v>29777</v>
      </c>
      <c r="R13501" s="26" t="str">
        <f>HYPERLINK("https://ictv.global/taxonomy/taxondetails?taxnode_id=202313897","Alphacoronavirus finnoniense")</f>
        <v>Alphacoronavirus finnoniense</v>
      </c>
      <c r="S13501" t="s">
        <v>30</v>
      </c>
      <c r="T13501" t="s">
        <v>29778</v>
      </c>
      <c r="U13501" t="s">
        <v>29779</v>
      </c>
      <c r="V13501" t="s">
        <v>29780</v>
      </c>
      <c r="W13501" t="s">
        <v>29781</v>
      </c>
      <c r="X13501" t="s">
        <v>35</v>
      </c>
      <c r="Y13501" t="s">
        <v>17171</v>
      </c>
      <c r="Z13501" t="s">
        <v>166</v>
      </c>
      <c r="AA13501" s="22" t="str">
        <f>HYPERLINK("https://www.ncbi.nlm.nih.gov/nuccore/MG923574","NCBI Nucleotide")</f>
        <v>NCBI Nucleotide</v>
      </c>
    </row>
    <row r="13502" spans="1:27" x14ac:dyDescent="0.35">
      <c r="A13502">
        <v>1001268</v>
      </c>
      <c r="B13502">
        <v>12585</v>
      </c>
      <c r="C13502">
        <v>1</v>
      </c>
      <c r="D13502" t="s">
        <v>17166</v>
      </c>
      <c r="F13502" t="s">
        <v>17246</v>
      </c>
      <c r="H13502" t="s">
        <v>28921</v>
      </c>
      <c r="J13502" t="s">
        <v>29538</v>
      </c>
      <c r="L13502" t="s">
        <v>29539</v>
      </c>
      <c r="M13502" t="s">
        <v>29694</v>
      </c>
      <c r="N13502" t="s">
        <v>29695</v>
      </c>
      <c r="O13502" t="s">
        <v>29702</v>
      </c>
      <c r="P13502" t="s">
        <v>29703</v>
      </c>
      <c r="Q13502" t="s">
        <v>29777</v>
      </c>
      <c r="R13502" s="26" t="str">
        <f>HYPERLINK("https://ictv.global/taxonomy/taxondetails?taxnode_id=202313896","Alphacoronavirus gouldii")</f>
        <v>Alphacoronavirus gouldii</v>
      </c>
      <c r="S13502" t="s">
        <v>30</v>
      </c>
      <c r="T13502" t="s">
        <v>29782</v>
      </c>
      <c r="U13502" t="s">
        <v>29783</v>
      </c>
      <c r="V13502" t="s">
        <v>29784</v>
      </c>
      <c r="W13502" t="s">
        <v>29785</v>
      </c>
      <c r="X13502" t="s">
        <v>42</v>
      </c>
      <c r="Y13502" t="s">
        <v>17171</v>
      </c>
      <c r="Z13502" t="s">
        <v>166</v>
      </c>
      <c r="AA13502" s="22" t="str">
        <f>HYPERLINK("https://www.ncbi.nlm.nih.gov/nuccore/MK472067","NCBI Nucleotide")</f>
        <v>NCBI Nucleotide</v>
      </c>
    </row>
    <row r="13503" spans="1:27" x14ac:dyDescent="0.35">
      <c r="A13503">
        <v>1001269</v>
      </c>
      <c r="B13503">
        <v>12586</v>
      </c>
      <c r="C13503">
        <v>1</v>
      </c>
      <c r="D13503" t="s">
        <v>17166</v>
      </c>
      <c r="F13503" t="s">
        <v>17246</v>
      </c>
      <c r="H13503" t="s">
        <v>28921</v>
      </c>
      <c r="J13503" t="s">
        <v>29538</v>
      </c>
      <c r="L13503" t="s">
        <v>29539</v>
      </c>
      <c r="M13503" t="s">
        <v>29694</v>
      </c>
      <c r="N13503" t="s">
        <v>29695</v>
      </c>
      <c r="O13503" t="s">
        <v>29702</v>
      </c>
      <c r="P13503" t="s">
        <v>29703</v>
      </c>
      <c r="Q13503" t="s">
        <v>29777</v>
      </c>
      <c r="R13503" s="26" t="str">
        <f>HYPERLINK("https://ictv.global/taxonomy/taxondetails?taxnode_id=202301857","Alphacoronavirus porci")</f>
        <v>Alphacoronavirus porci</v>
      </c>
      <c r="S13503" t="s">
        <v>30</v>
      </c>
      <c r="T13503" t="s">
        <v>29786</v>
      </c>
      <c r="U13503" t="s">
        <v>29787</v>
      </c>
      <c r="V13503" t="s">
        <v>29788</v>
      </c>
      <c r="W13503" t="s">
        <v>29789</v>
      </c>
      <c r="X13503" t="s">
        <v>42</v>
      </c>
      <c r="Y13503" t="s">
        <v>17171</v>
      </c>
      <c r="Z13503" t="s">
        <v>166</v>
      </c>
      <c r="AA13503" s="22" t="str">
        <f>HYPERLINK("https://www.ncbi.nlm.nih.gov/nuccore/AF353511","NCBI Nucleotide")</f>
        <v>NCBI Nucleotide</v>
      </c>
    </row>
    <row r="13504" spans="1:27" x14ac:dyDescent="0.35">
      <c r="A13504">
        <v>1001270</v>
      </c>
      <c r="B13504">
        <v>12587</v>
      </c>
      <c r="C13504">
        <v>1</v>
      </c>
      <c r="D13504" t="s">
        <v>17166</v>
      </c>
      <c r="F13504" t="s">
        <v>17246</v>
      </c>
      <c r="H13504" t="s">
        <v>28921</v>
      </c>
      <c r="J13504" t="s">
        <v>29538</v>
      </c>
      <c r="L13504" t="s">
        <v>29539</v>
      </c>
      <c r="M13504" t="s">
        <v>29694</v>
      </c>
      <c r="N13504" t="s">
        <v>29695</v>
      </c>
      <c r="O13504" t="s">
        <v>29702</v>
      </c>
      <c r="P13504" t="s">
        <v>29703</v>
      </c>
      <c r="Q13504" t="s">
        <v>29777</v>
      </c>
      <c r="R13504" s="26" t="str">
        <f>HYPERLINK("https://ictv.global/taxonomy/taxondetails?taxnode_id=202301859","Alphacoronavirus scotophili")</f>
        <v>Alphacoronavirus scotophili</v>
      </c>
      <c r="S13504" t="s">
        <v>30</v>
      </c>
      <c r="T13504" t="s">
        <v>29790</v>
      </c>
      <c r="U13504" t="s">
        <v>29791</v>
      </c>
      <c r="V13504" t="s">
        <v>29792</v>
      </c>
      <c r="W13504" t="s">
        <v>29793</v>
      </c>
      <c r="X13504" t="s">
        <v>42</v>
      </c>
      <c r="Y13504" t="s">
        <v>17171</v>
      </c>
      <c r="Z13504" t="s">
        <v>166</v>
      </c>
      <c r="AA13504" s="22" t="str">
        <f>HYPERLINK("https://www.ncbi.nlm.nih.gov/nuccore/DQ648858","NCBI Nucleotide")</f>
        <v>NCBI Nucleotide</v>
      </c>
    </row>
    <row r="13505" spans="1:27" x14ac:dyDescent="0.35">
      <c r="A13505">
        <v>1001271</v>
      </c>
      <c r="B13505">
        <v>12588</v>
      </c>
      <c r="C13505">
        <v>1</v>
      </c>
      <c r="D13505" t="s">
        <v>17166</v>
      </c>
      <c r="F13505" t="s">
        <v>17246</v>
      </c>
      <c r="H13505" t="s">
        <v>28921</v>
      </c>
      <c r="J13505" t="s">
        <v>29538</v>
      </c>
      <c r="L13505" t="s">
        <v>29539</v>
      </c>
      <c r="M13505" t="s">
        <v>29694</v>
      </c>
      <c r="N13505" t="s">
        <v>29695</v>
      </c>
      <c r="O13505" t="s">
        <v>29702</v>
      </c>
      <c r="P13505" t="s">
        <v>29703</v>
      </c>
      <c r="Q13505" t="s">
        <v>29794</v>
      </c>
      <c r="R13505" s="26" t="str">
        <f>HYPERLINK("https://ictv.global/taxonomy/taxondetails?taxnode_id=202301858","Alphacoronavirus rhinolophi")</f>
        <v>Alphacoronavirus rhinolophi</v>
      </c>
      <c r="S13505" t="s">
        <v>30</v>
      </c>
      <c r="T13505" t="s">
        <v>29795</v>
      </c>
      <c r="U13505" t="s">
        <v>29796</v>
      </c>
      <c r="V13505" t="s">
        <v>29797</v>
      </c>
      <c r="W13505" t="s">
        <v>29798</v>
      </c>
      <c r="X13505" t="s">
        <v>42</v>
      </c>
      <c r="Y13505" t="s">
        <v>17171</v>
      </c>
      <c r="Z13505" t="s">
        <v>166</v>
      </c>
      <c r="AA13505" s="22" t="str">
        <f>HYPERLINK("https://www.ncbi.nlm.nih.gov/nuccore/EF203064","NCBI Nucleotide")</f>
        <v>NCBI Nucleotide</v>
      </c>
    </row>
    <row r="13506" spans="1:27" x14ac:dyDescent="0.35">
      <c r="A13506">
        <v>1001272</v>
      </c>
      <c r="B13506">
        <v>12589</v>
      </c>
      <c r="C13506">
        <v>1</v>
      </c>
      <c r="D13506" t="s">
        <v>17166</v>
      </c>
      <c r="F13506" t="s">
        <v>17246</v>
      </c>
      <c r="H13506" t="s">
        <v>28921</v>
      </c>
      <c r="J13506" t="s">
        <v>29538</v>
      </c>
      <c r="L13506" t="s">
        <v>29539</v>
      </c>
      <c r="M13506" t="s">
        <v>29694</v>
      </c>
      <c r="N13506" t="s">
        <v>29695</v>
      </c>
      <c r="O13506" t="s">
        <v>29702</v>
      </c>
      <c r="P13506" t="s">
        <v>29703</v>
      </c>
      <c r="Q13506" t="s">
        <v>29799</v>
      </c>
      <c r="R13506" s="26" t="str">
        <f>HYPERLINK("https://ictv.global/taxonomy/taxondetails?taxnode_id=202301853","Alphacoronavirus amsterdamense")</f>
        <v>Alphacoronavirus amsterdamense</v>
      </c>
      <c r="S13506" t="s">
        <v>30</v>
      </c>
      <c r="T13506" t="s">
        <v>29800</v>
      </c>
      <c r="U13506" t="s">
        <v>29801</v>
      </c>
      <c r="V13506" t="s">
        <v>29802</v>
      </c>
      <c r="W13506" t="s">
        <v>29803</v>
      </c>
      <c r="X13506" t="s">
        <v>42</v>
      </c>
      <c r="Y13506" t="s">
        <v>17171</v>
      </c>
      <c r="Z13506" t="s">
        <v>166</v>
      </c>
      <c r="AA13506" s="22" t="str">
        <f>HYPERLINK("https://www.ncbi.nlm.nih.gov/nuccore/AY567487","NCBI Nucleotide")</f>
        <v>NCBI Nucleotide</v>
      </c>
    </row>
    <row r="13507" spans="1:27" x14ac:dyDescent="0.35">
      <c r="A13507">
        <v>1001273</v>
      </c>
      <c r="B13507">
        <v>12590</v>
      </c>
      <c r="C13507">
        <v>1</v>
      </c>
      <c r="D13507" t="s">
        <v>17166</v>
      </c>
      <c r="F13507" t="s">
        <v>17246</v>
      </c>
      <c r="H13507" t="s">
        <v>28921</v>
      </c>
      <c r="J13507" t="s">
        <v>29538</v>
      </c>
      <c r="L13507" t="s">
        <v>29539</v>
      </c>
      <c r="M13507" t="s">
        <v>29694</v>
      </c>
      <c r="N13507" t="s">
        <v>29695</v>
      </c>
      <c r="O13507" t="s">
        <v>29702</v>
      </c>
      <c r="P13507" t="s">
        <v>29703</v>
      </c>
      <c r="Q13507" t="s">
        <v>29799</v>
      </c>
      <c r="R13507" s="26" t="str">
        <f>HYPERLINK("https://ictv.global/taxonomy/taxondetails?taxnode_id=202306112","Alphacoronavirus triaenopis")</f>
        <v>Alphacoronavirus triaenopis</v>
      </c>
      <c r="S13507" t="s">
        <v>30</v>
      </c>
      <c r="T13507" t="s">
        <v>29804</v>
      </c>
      <c r="U13507" t="s">
        <v>29805</v>
      </c>
      <c r="V13507" t="s">
        <v>29806</v>
      </c>
      <c r="W13507" t="s">
        <v>29807</v>
      </c>
      <c r="X13507" t="s">
        <v>42</v>
      </c>
      <c r="Y13507" t="s">
        <v>17171</v>
      </c>
      <c r="Z13507" t="s">
        <v>166</v>
      </c>
      <c r="AA13507" s="22" t="str">
        <f>HYPERLINK("https://www.ncbi.nlm.nih.gov/nuccore/KY073745","NCBI Nucleotide")</f>
        <v>NCBI Nucleotide</v>
      </c>
    </row>
    <row r="13508" spans="1:27" x14ac:dyDescent="0.35">
      <c r="A13508">
        <v>1001274</v>
      </c>
      <c r="B13508">
        <v>12591</v>
      </c>
      <c r="C13508">
        <v>1</v>
      </c>
      <c r="D13508" t="s">
        <v>17166</v>
      </c>
      <c r="F13508" t="s">
        <v>17246</v>
      </c>
      <c r="H13508" t="s">
        <v>28921</v>
      </c>
      <c r="J13508" t="s">
        <v>29538</v>
      </c>
      <c r="L13508" t="s">
        <v>29539</v>
      </c>
      <c r="M13508" t="s">
        <v>29694</v>
      </c>
      <c r="N13508" t="s">
        <v>29695</v>
      </c>
      <c r="O13508" t="s">
        <v>29702</v>
      </c>
      <c r="P13508" t="s">
        <v>29703</v>
      </c>
      <c r="Q13508" t="s">
        <v>29808</v>
      </c>
      <c r="R13508" s="26" t="str">
        <f>HYPERLINK("https://ictv.global/taxonomy/taxondetails?taxnode_id=202307494","Alphacoronavirus soricis")</f>
        <v>Alphacoronavirus soricis</v>
      </c>
      <c r="S13508" t="s">
        <v>30</v>
      </c>
      <c r="T13508" t="s">
        <v>29809</v>
      </c>
      <c r="U13508" t="s">
        <v>29810</v>
      </c>
      <c r="W13508" t="s">
        <v>29811</v>
      </c>
      <c r="X13508" t="s">
        <v>42</v>
      </c>
      <c r="Y13508" t="s">
        <v>17171</v>
      </c>
      <c r="Z13508" t="s">
        <v>166</v>
      </c>
      <c r="AA13508" s="22" t="str">
        <f>HYPERLINK("https://www.ncbi.nlm.nih.gov/nuccore/KY370053","NCBI Nucleotide")</f>
        <v>NCBI Nucleotide</v>
      </c>
    </row>
    <row r="13509" spans="1:27" x14ac:dyDescent="0.35">
      <c r="A13509">
        <v>1001275</v>
      </c>
      <c r="B13509">
        <v>12592</v>
      </c>
      <c r="C13509">
        <v>1</v>
      </c>
      <c r="D13509" t="s">
        <v>17166</v>
      </c>
      <c r="F13509" t="s">
        <v>17246</v>
      </c>
      <c r="H13509" t="s">
        <v>28921</v>
      </c>
      <c r="J13509" t="s">
        <v>29538</v>
      </c>
      <c r="L13509" t="s">
        <v>29539</v>
      </c>
      <c r="M13509" t="s">
        <v>29694</v>
      </c>
      <c r="N13509" t="s">
        <v>29695</v>
      </c>
      <c r="O13509" t="s">
        <v>29702</v>
      </c>
      <c r="P13509" t="s">
        <v>29703</v>
      </c>
      <c r="Q13509" t="s">
        <v>29812</v>
      </c>
      <c r="R13509" s="26" t="str">
        <f>HYPERLINK("https://ictv.global/taxonomy/taxondetails?taxnode_id=202307492","Alphacoronavirus sunci")</f>
        <v>Alphacoronavirus sunci</v>
      </c>
      <c r="S13509" t="s">
        <v>30</v>
      </c>
      <c r="T13509" t="s">
        <v>29813</v>
      </c>
      <c r="U13509" t="s">
        <v>29814</v>
      </c>
      <c r="W13509" t="s">
        <v>29815</v>
      </c>
      <c r="X13509" t="s">
        <v>35</v>
      </c>
      <c r="Y13509" t="s">
        <v>17171</v>
      </c>
      <c r="Z13509" t="s">
        <v>166</v>
      </c>
      <c r="AA13509" s="22" t="str">
        <f>HYPERLINK("https://www.ncbi.nlm.nih.gov/nuccore/KY967715","NCBI Nucleotide")</f>
        <v>NCBI Nucleotide</v>
      </c>
    </row>
    <row r="13510" spans="1:27" x14ac:dyDescent="0.35">
      <c r="A13510">
        <v>1001276</v>
      </c>
      <c r="B13510">
        <v>12593</v>
      </c>
      <c r="C13510">
        <v>1</v>
      </c>
      <c r="D13510" t="s">
        <v>17166</v>
      </c>
      <c r="F13510" t="s">
        <v>17246</v>
      </c>
      <c r="H13510" t="s">
        <v>28921</v>
      </c>
      <c r="J13510" t="s">
        <v>29538</v>
      </c>
      <c r="L13510" t="s">
        <v>29539</v>
      </c>
      <c r="M13510" t="s">
        <v>29694</v>
      </c>
      <c r="N13510" t="s">
        <v>29695</v>
      </c>
      <c r="O13510" t="s">
        <v>29702</v>
      </c>
      <c r="P13510" t="s">
        <v>29703</v>
      </c>
      <c r="Q13510" t="s">
        <v>29816</v>
      </c>
      <c r="R13510" s="26" t="str">
        <f>HYPERLINK("https://ictv.global/taxonomy/taxondetails?taxnode_id=202301849","Alphacoronavirus suis")</f>
        <v>Alphacoronavirus suis</v>
      </c>
      <c r="S13510" t="s">
        <v>30</v>
      </c>
      <c r="T13510" t="s">
        <v>29817</v>
      </c>
      <c r="U13510" t="s">
        <v>29818</v>
      </c>
      <c r="V13510" t="s">
        <v>29819</v>
      </c>
      <c r="W13510" t="s">
        <v>29820</v>
      </c>
      <c r="X13510" t="s">
        <v>42</v>
      </c>
      <c r="Y13510" t="s">
        <v>17171</v>
      </c>
      <c r="Z13510" t="s">
        <v>166</v>
      </c>
      <c r="AA13510" s="22" t="str">
        <f>HYPERLINK("https://www.ncbi.nlm.nih.gov/nuccore/AJ271965","NCBI Nucleotide")</f>
        <v>NCBI Nucleotide</v>
      </c>
    </row>
    <row r="13511" spans="1:27" x14ac:dyDescent="0.35">
      <c r="A13511">
        <v>1001277</v>
      </c>
      <c r="B13511">
        <v>12594</v>
      </c>
      <c r="C13511">
        <v>1</v>
      </c>
      <c r="D13511" t="s">
        <v>17166</v>
      </c>
      <c r="F13511" t="s">
        <v>17246</v>
      </c>
      <c r="H13511" t="s">
        <v>28921</v>
      </c>
      <c r="J13511" t="s">
        <v>29538</v>
      </c>
      <c r="L13511" t="s">
        <v>29539</v>
      </c>
      <c r="M13511" t="s">
        <v>29694</v>
      </c>
      <c r="N13511" t="s">
        <v>29695</v>
      </c>
      <c r="O13511" t="s">
        <v>29702</v>
      </c>
      <c r="P13511" t="s">
        <v>29821</v>
      </c>
      <c r="Q13511" t="s">
        <v>29822</v>
      </c>
      <c r="R13511" s="26" t="str">
        <f>HYPERLINK("https://ictv.global/taxonomy/taxondetails?taxnode_id=202301861","Betacoronavirus gravedinis")</f>
        <v>Betacoronavirus gravedinis</v>
      </c>
      <c r="S13511" t="s">
        <v>30</v>
      </c>
      <c r="T13511" t="s">
        <v>29823</v>
      </c>
      <c r="U13511" t="s">
        <v>29824</v>
      </c>
      <c r="V13511" t="s">
        <v>29825</v>
      </c>
      <c r="W13511" t="s">
        <v>29826</v>
      </c>
      <c r="X13511" t="s">
        <v>42</v>
      </c>
      <c r="Y13511" t="s">
        <v>17171</v>
      </c>
      <c r="Z13511" t="s">
        <v>166</v>
      </c>
      <c r="AA13511" s="22" t="str">
        <f>HYPERLINK("https://www.ncbi.nlm.nih.gov/nuccore/AY585228","NCBI Nucleotide")</f>
        <v>NCBI Nucleotide</v>
      </c>
    </row>
    <row r="13512" spans="1:27" x14ac:dyDescent="0.35">
      <c r="A13512">
        <v>1001279</v>
      </c>
      <c r="B13512">
        <v>12595</v>
      </c>
      <c r="C13512">
        <v>1</v>
      </c>
      <c r="D13512" t="s">
        <v>17166</v>
      </c>
      <c r="F13512" t="s">
        <v>17246</v>
      </c>
      <c r="H13512" t="s">
        <v>28921</v>
      </c>
      <c r="J13512" t="s">
        <v>29538</v>
      </c>
      <c r="L13512" t="s">
        <v>29539</v>
      </c>
      <c r="M13512" t="s">
        <v>29694</v>
      </c>
      <c r="N13512" t="s">
        <v>29695</v>
      </c>
      <c r="O13512" t="s">
        <v>29702</v>
      </c>
      <c r="P13512" t="s">
        <v>29821</v>
      </c>
      <c r="Q13512" t="s">
        <v>29822</v>
      </c>
      <c r="R13512" s="26" t="str">
        <f>HYPERLINK("https://ictv.global/taxonomy/taxondetails?taxnode_id=202301863","Betacoronavirus hongkongense")</f>
        <v>Betacoronavirus hongkongense</v>
      </c>
      <c r="S13512" t="s">
        <v>30</v>
      </c>
      <c r="T13512" t="s">
        <v>29831</v>
      </c>
      <c r="U13512" t="s">
        <v>29832</v>
      </c>
      <c r="V13512" t="s">
        <v>29833</v>
      </c>
      <c r="W13512" t="s">
        <v>29834</v>
      </c>
      <c r="X13512" t="s">
        <v>42</v>
      </c>
      <c r="Y13512" t="s">
        <v>17171</v>
      </c>
      <c r="Z13512" t="s">
        <v>166</v>
      </c>
      <c r="AA13512" s="22" t="str">
        <f>HYPERLINK("https://www.ncbi.nlm.nih.gov/nuccore/AY597011","NCBI Nucleotide")</f>
        <v>NCBI Nucleotide</v>
      </c>
    </row>
    <row r="13513" spans="1:27" x14ac:dyDescent="0.35">
      <c r="A13513">
        <v>1001280</v>
      </c>
      <c r="B13513">
        <v>12596</v>
      </c>
      <c r="C13513">
        <v>1</v>
      </c>
      <c r="D13513" t="s">
        <v>17166</v>
      </c>
      <c r="F13513" t="s">
        <v>17246</v>
      </c>
      <c r="H13513" t="s">
        <v>28921</v>
      </c>
      <c r="J13513" t="s">
        <v>29538</v>
      </c>
      <c r="L13513" t="s">
        <v>29539</v>
      </c>
      <c r="M13513" t="s">
        <v>29694</v>
      </c>
      <c r="N13513" t="s">
        <v>29695</v>
      </c>
      <c r="O13513" t="s">
        <v>29702</v>
      </c>
      <c r="P13513" t="s">
        <v>29821</v>
      </c>
      <c r="Q13513" t="s">
        <v>29822</v>
      </c>
      <c r="R13513" s="26" t="str">
        <f>HYPERLINK("https://ictv.global/taxonomy/taxondetails?taxnode_id=202301865","Betacoronavirus muris")</f>
        <v>Betacoronavirus muris</v>
      </c>
      <c r="S13513" t="s">
        <v>30</v>
      </c>
      <c r="T13513" t="s">
        <v>29835</v>
      </c>
      <c r="U13513" t="s">
        <v>27717</v>
      </c>
      <c r="V13513" t="s">
        <v>29836</v>
      </c>
      <c r="W13513" t="s">
        <v>29837</v>
      </c>
      <c r="X13513" t="s">
        <v>42</v>
      </c>
      <c r="Y13513" t="s">
        <v>17171</v>
      </c>
      <c r="Z13513" t="s">
        <v>166</v>
      </c>
      <c r="AA13513" s="22" t="str">
        <f>HYPERLINK("https://www.ncbi.nlm.nih.gov/nuccore/AY700211","NCBI Nucleotide")</f>
        <v>NCBI Nucleotide</v>
      </c>
    </row>
    <row r="13514" spans="1:27" x14ac:dyDescent="0.35">
      <c r="A13514">
        <v>1001281</v>
      </c>
      <c r="B13514">
        <v>12597</v>
      </c>
      <c r="C13514">
        <v>1</v>
      </c>
      <c r="D13514" t="s">
        <v>17166</v>
      </c>
      <c r="F13514" t="s">
        <v>17246</v>
      </c>
      <c r="H13514" t="s">
        <v>28921</v>
      </c>
      <c r="J13514" t="s">
        <v>29538</v>
      </c>
      <c r="L13514" t="s">
        <v>29539</v>
      </c>
      <c r="M13514" t="s">
        <v>29694</v>
      </c>
      <c r="N13514" t="s">
        <v>29695</v>
      </c>
      <c r="O13514" t="s">
        <v>29702</v>
      </c>
      <c r="P13514" t="s">
        <v>29821</v>
      </c>
      <c r="Q13514" t="s">
        <v>29822</v>
      </c>
      <c r="R13514" s="26" t="str">
        <f>HYPERLINK("https://ictv.global/taxonomy/taxondetails?taxnode_id=202307496","Betacoronavirus myodae")</f>
        <v>Betacoronavirus myodae</v>
      </c>
      <c r="S13514" t="s">
        <v>30</v>
      </c>
      <c r="T13514" t="s">
        <v>29838</v>
      </c>
      <c r="U13514" t="s">
        <v>29839</v>
      </c>
      <c r="W13514" t="s">
        <v>29840</v>
      </c>
      <c r="X13514" t="s">
        <v>42</v>
      </c>
      <c r="Y13514" t="s">
        <v>17171</v>
      </c>
      <c r="Z13514" t="s">
        <v>166</v>
      </c>
      <c r="AA13514" s="22" t="str">
        <f>HYPERLINK("https://www.ncbi.nlm.nih.gov/nuccore/KY370046","NCBI Nucleotide")</f>
        <v>NCBI Nucleotide</v>
      </c>
    </row>
    <row r="13515" spans="1:27" x14ac:dyDescent="0.35">
      <c r="A13515">
        <v>1001278</v>
      </c>
      <c r="B13515">
        <v>12598</v>
      </c>
      <c r="C13515">
        <v>1</v>
      </c>
      <c r="D13515" t="s">
        <v>17166</v>
      </c>
      <c r="F13515" t="s">
        <v>17246</v>
      </c>
      <c r="H13515" t="s">
        <v>28921</v>
      </c>
      <c r="J13515" t="s">
        <v>29538</v>
      </c>
      <c r="L13515" t="s">
        <v>29539</v>
      </c>
      <c r="M13515" t="s">
        <v>29694</v>
      </c>
      <c r="N13515" t="s">
        <v>29695</v>
      </c>
      <c r="O13515" t="s">
        <v>29702</v>
      </c>
      <c r="P13515" t="s">
        <v>29821</v>
      </c>
      <c r="Q13515" t="s">
        <v>29822</v>
      </c>
      <c r="R13515" s="26" t="str">
        <f>HYPERLINK("https://ictv.global/taxonomy/taxondetails?taxnode_id=202306124","Betacoronavirus ratti")</f>
        <v>Betacoronavirus ratti</v>
      </c>
      <c r="S13515" t="s">
        <v>30</v>
      </c>
      <c r="T13515" t="s">
        <v>29827</v>
      </c>
      <c r="U13515" t="s">
        <v>29828</v>
      </c>
      <c r="V13515" t="s">
        <v>29829</v>
      </c>
      <c r="W13515" t="s">
        <v>29830</v>
      </c>
      <c r="X13515" t="s">
        <v>42</v>
      </c>
      <c r="Y13515" t="s">
        <v>17171</v>
      </c>
      <c r="Z13515" t="s">
        <v>166</v>
      </c>
      <c r="AA13515" s="22" t="str">
        <f>HYPERLINK("https://www.ncbi.nlm.nih.gov/nuccore/KM349742","NCBI Nucleotide")</f>
        <v>NCBI Nucleotide</v>
      </c>
    </row>
    <row r="13516" spans="1:27" x14ac:dyDescent="0.35">
      <c r="A13516">
        <v>1001282</v>
      </c>
      <c r="B13516">
        <v>12599</v>
      </c>
      <c r="C13516">
        <v>1</v>
      </c>
      <c r="D13516" t="s">
        <v>17166</v>
      </c>
      <c r="F13516" t="s">
        <v>17246</v>
      </c>
      <c r="H13516" t="s">
        <v>28921</v>
      </c>
      <c r="J13516" t="s">
        <v>29538</v>
      </c>
      <c r="L13516" t="s">
        <v>29539</v>
      </c>
      <c r="M13516" t="s">
        <v>29694</v>
      </c>
      <c r="N13516" t="s">
        <v>29695</v>
      </c>
      <c r="O13516" t="s">
        <v>29702</v>
      </c>
      <c r="P13516" t="s">
        <v>29821</v>
      </c>
      <c r="Q13516" t="s">
        <v>29841</v>
      </c>
      <c r="R13516" s="26" t="str">
        <f>HYPERLINK("https://ictv.global/taxonomy/taxondetails?taxnode_id=202306131","Betacoronavirus hipposideri")</f>
        <v>Betacoronavirus hipposideri</v>
      </c>
      <c r="S13516" t="s">
        <v>30</v>
      </c>
      <c r="T13516" t="s">
        <v>29842</v>
      </c>
      <c r="U13516" t="s">
        <v>29843</v>
      </c>
      <c r="V13516" t="s">
        <v>29844</v>
      </c>
      <c r="W13516" t="s">
        <v>29845</v>
      </c>
      <c r="X13516" t="s">
        <v>42</v>
      </c>
      <c r="Y13516" t="s">
        <v>17171</v>
      </c>
      <c r="Z13516" t="s">
        <v>166</v>
      </c>
      <c r="AA13516" s="22" t="str">
        <f>HYPERLINK("https://www.ncbi.nlm.nih.gov/nuccore/KF636752","NCBI Nucleotide")</f>
        <v>NCBI Nucleotide</v>
      </c>
    </row>
    <row r="13517" spans="1:27" x14ac:dyDescent="0.35">
      <c r="A13517">
        <v>1001284</v>
      </c>
      <c r="B13517">
        <v>12600</v>
      </c>
      <c r="C13517">
        <v>1</v>
      </c>
      <c r="D13517" t="s">
        <v>17166</v>
      </c>
      <c r="F13517" t="s">
        <v>17246</v>
      </c>
      <c r="H13517" t="s">
        <v>28921</v>
      </c>
      <c r="J13517" t="s">
        <v>29538</v>
      </c>
      <c r="L13517" t="s">
        <v>29539</v>
      </c>
      <c r="M13517" t="s">
        <v>29694</v>
      </c>
      <c r="N13517" t="s">
        <v>29695</v>
      </c>
      <c r="O13517" t="s">
        <v>29702</v>
      </c>
      <c r="P13517" t="s">
        <v>29821</v>
      </c>
      <c r="Q13517" t="s">
        <v>29846</v>
      </c>
      <c r="R13517" s="26" t="str">
        <f>HYPERLINK("https://ictv.global/taxonomy/taxondetails?taxnode_id=202301864","Betacoronavirus cameli")</f>
        <v>Betacoronavirus cameli</v>
      </c>
      <c r="S13517" t="s">
        <v>30</v>
      </c>
      <c r="T13517" t="s">
        <v>29851</v>
      </c>
      <c r="U13517" t="s">
        <v>29852</v>
      </c>
      <c r="V13517" t="s">
        <v>29853</v>
      </c>
      <c r="W13517" t="s">
        <v>29854</v>
      </c>
      <c r="X13517" t="s">
        <v>42</v>
      </c>
      <c r="Y13517" t="s">
        <v>17171</v>
      </c>
      <c r="Z13517" t="s">
        <v>166</v>
      </c>
      <c r="AA13517" s="22" t="str">
        <f>HYPERLINK("https://www.ncbi.nlm.nih.gov/nuccore/JX869059","NCBI Nucleotide")</f>
        <v>NCBI Nucleotide</v>
      </c>
    </row>
    <row r="13518" spans="1:27" x14ac:dyDescent="0.35">
      <c r="A13518">
        <v>1001283</v>
      </c>
      <c r="B13518">
        <v>12601</v>
      </c>
      <c r="C13518">
        <v>1</v>
      </c>
      <c r="D13518" t="s">
        <v>17166</v>
      </c>
      <c r="F13518" t="s">
        <v>17246</v>
      </c>
      <c r="H13518" t="s">
        <v>28921</v>
      </c>
      <c r="J13518" t="s">
        <v>29538</v>
      </c>
      <c r="L13518" t="s">
        <v>29539</v>
      </c>
      <c r="M13518" t="s">
        <v>29694</v>
      </c>
      <c r="N13518" t="s">
        <v>29695</v>
      </c>
      <c r="O13518" t="s">
        <v>29702</v>
      </c>
      <c r="P13518" t="s">
        <v>29821</v>
      </c>
      <c r="Q13518" t="s">
        <v>29846</v>
      </c>
      <c r="R13518" s="26" t="str">
        <f>HYPERLINK("https://ictv.global/taxonomy/taxondetails?taxnode_id=202301862","Betacoronavirus erinacei")</f>
        <v>Betacoronavirus erinacei</v>
      </c>
      <c r="S13518" t="s">
        <v>30</v>
      </c>
      <c r="T13518" t="s">
        <v>29847</v>
      </c>
      <c r="U13518" t="s">
        <v>29848</v>
      </c>
      <c r="V13518" t="s">
        <v>29849</v>
      </c>
      <c r="W13518" t="s">
        <v>29850</v>
      </c>
      <c r="X13518" t="s">
        <v>42</v>
      </c>
      <c r="Y13518" t="s">
        <v>17171</v>
      </c>
      <c r="Z13518" t="s">
        <v>166</v>
      </c>
      <c r="AA13518" s="22" t="str">
        <f>HYPERLINK("https://www.ncbi.nlm.nih.gov/nuccore/KC545383","NCBI Nucleotide")</f>
        <v>NCBI Nucleotide</v>
      </c>
    </row>
    <row r="13519" spans="1:27" x14ac:dyDescent="0.35">
      <c r="A13519">
        <v>1001285</v>
      </c>
      <c r="B13519">
        <v>12602</v>
      </c>
      <c r="C13519">
        <v>1</v>
      </c>
      <c r="D13519" t="s">
        <v>17166</v>
      </c>
      <c r="F13519" t="s">
        <v>17246</v>
      </c>
      <c r="H13519" t="s">
        <v>28921</v>
      </c>
      <c r="J13519" t="s">
        <v>29538</v>
      </c>
      <c r="L13519" t="s">
        <v>29539</v>
      </c>
      <c r="M13519" t="s">
        <v>29694</v>
      </c>
      <c r="N13519" t="s">
        <v>29695</v>
      </c>
      <c r="O13519" t="s">
        <v>29702</v>
      </c>
      <c r="P13519" t="s">
        <v>29821</v>
      </c>
      <c r="Q13519" t="s">
        <v>29846</v>
      </c>
      <c r="R13519" s="26" t="str">
        <f>HYPERLINK("https://ictv.global/taxonomy/taxondetails?taxnode_id=202301866","Betacoronavirus pipistrelli")</f>
        <v>Betacoronavirus pipistrelli</v>
      </c>
      <c r="S13519" t="s">
        <v>30</v>
      </c>
      <c r="T13519" t="s">
        <v>29855</v>
      </c>
      <c r="U13519" t="s">
        <v>29856</v>
      </c>
      <c r="V13519" t="s">
        <v>29857</v>
      </c>
      <c r="W13519" t="s">
        <v>29858</v>
      </c>
      <c r="X13519" t="s">
        <v>42</v>
      </c>
      <c r="Y13519" t="s">
        <v>17171</v>
      </c>
      <c r="Z13519" t="s">
        <v>166</v>
      </c>
      <c r="AA13519" s="22" t="str">
        <f>HYPERLINK("https://www.ncbi.nlm.nih.gov/nuccore/EF065509","NCBI Nucleotide")</f>
        <v>NCBI Nucleotide</v>
      </c>
    </row>
    <row r="13520" spans="1:27" x14ac:dyDescent="0.35">
      <c r="A13520">
        <v>1001286</v>
      </c>
      <c r="B13520">
        <v>12603</v>
      </c>
      <c r="C13520">
        <v>1</v>
      </c>
      <c r="D13520" t="s">
        <v>17166</v>
      </c>
      <c r="F13520" t="s">
        <v>17246</v>
      </c>
      <c r="H13520" t="s">
        <v>28921</v>
      </c>
      <c r="J13520" t="s">
        <v>29538</v>
      </c>
      <c r="L13520" t="s">
        <v>29539</v>
      </c>
      <c r="M13520" t="s">
        <v>29694</v>
      </c>
      <c r="N13520" t="s">
        <v>29695</v>
      </c>
      <c r="O13520" t="s">
        <v>29702</v>
      </c>
      <c r="P13520" t="s">
        <v>29821</v>
      </c>
      <c r="Q13520" t="s">
        <v>29846</v>
      </c>
      <c r="R13520" s="26" t="str">
        <f>HYPERLINK("https://ictv.global/taxonomy/taxondetails?taxnode_id=202301869","Betacoronavirus tylonycteridis")</f>
        <v>Betacoronavirus tylonycteridis</v>
      </c>
      <c r="S13520" t="s">
        <v>30</v>
      </c>
      <c r="T13520" t="s">
        <v>29859</v>
      </c>
      <c r="U13520" t="s">
        <v>29860</v>
      </c>
      <c r="V13520" t="s">
        <v>29861</v>
      </c>
      <c r="W13520" t="s">
        <v>29862</v>
      </c>
      <c r="X13520" t="s">
        <v>42</v>
      </c>
      <c r="Y13520" t="s">
        <v>17171</v>
      </c>
      <c r="Z13520" t="s">
        <v>166</v>
      </c>
      <c r="AA13520" s="22" t="str">
        <f>HYPERLINK("https://www.ncbi.nlm.nih.gov/nuccore/EF065505","NCBI Nucleotide")</f>
        <v>NCBI Nucleotide</v>
      </c>
    </row>
    <row r="13521" spans="1:27" x14ac:dyDescent="0.35">
      <c r="A13521">
        <v>1001288</v>
      </c>
      <c r="B13521">
        <v>12604</v>
      </c>
      <c r="C13521">
        <v>1</v>
      </c>
      <c r="D13521" t="s">
        <v>17166</v>
      </c>
      <c r="F13521" t="s">
        <v>17246</v>
      </c>
      <c r="H13521" t="s">
        <v>28921</v>
      </c>
      <c r="J13521" t="s">
        <v>29538</v>
      </c>
      <c r="L13521" t="s">
        <v>29539</v>
      </c>
      <c r="M13521" t="s">
        <v>29694</v>
      </c>
      <c r="N13521" t="s">
        <v>29695</v>
      </c>
      <c r="O13521" t="s">
        <v>29702</v>
      </c>
      <c r="P13521" t="s">
        <v>29821</v>
      </c>
      <c r="Q13521" t="s">
        <v>29863</v>
      </c>
      <c r="R13521" s="26" t="str">
        <f>HYPERLINK("https://ictv.global/taxonomy/taxondetails?taxnode_id=202306128","Betacoronavirus cororeum")</f>
        <v>Betacoronavirus cororeum</v>
      </c>
      <c r="S13521" t="s">
        <v>30</v>
      </c>
      <c r="T13521" t="s">
        <v>29867</v>
      </c>
      <c r="U13521" t="s">
        <v>29868</v>
      </c>
      <c r="V13521" t="s">
        <v>29869</v>
      </c>
      <c r="W13521" t="s">
        <v>29870</v>
      </c>
      <c r="X13521" t="s">
        <v>42</v>
      </c>
      <c r="Y13521" t="s">
        <v>17171</v>
      </c>
      <c r="Z13521" t="s">
        <v>166</v>
      </c>
      <c r="AA13521" s="22" t="str">
        <f>HYPERLINK("https://www.ncbi.nlm.nih.gov/nuccore/KU762338","NCBI Nucleotide")</f>
        <v>NCBI Nucleotide</v>
      </c>
    </row>
    <row r="13522" spans="1:27" x14ac:dyDescent="0.35">
      <c r="A13522">
        <v>1001287</v>
      </c>
      <c r="B13522">
        <v>12605</v>
      </c>
      <c r="C13522">
        <v>1</v>
      </c>
      <c r="D13522" t="s">
        <v>17166</v>
      </c>
      <c r="F13522" t="s">
        <v>17246</v>
      </c>
      <c r="H13522" t="s">
        <v>28921</v>
      </c>
      <c r="J13522" t="s">
        <v>29538</v>
      </c>
      <c r="L13522" t="s">
        <v>29539</v>
      </c>
      <c r="M13522" t="s">
        <v>29694</v>
      </c>
      <c r="N13522" t="s">
        <v>29695</v>
      </c>
      <c r="O13522" t="s">
        <v>29702</v>
      </c>
      <c r="P13522" t="s">
        <v>29821</v>
      </c>
      <c r="Q13522" t="s">
        <v>29863</v>
      </c>
      <c r="R13522" s="26" t="str">
        <f>HYPERLINK("https://ictv.global/taxonomy/taxondetails?taxnode_id=202307495","Betacoronavirus eidoli")</f>
        <v>Betacoronavirus eidoli</v>
      </c>
      <c r="S13522" t="s">
        <v>30</v>
      </c>
      <c r="T13522" t="s">
        <v>29864</v>
      </c>
      <c r="U13522" t="s">
        <v>29865</v>
      </c>
      <c r="W13522" t="s">
        <v>29866</v>
      </c>
      <c r="X13522" t="s">
        <v>42</v>
      </c>
      <c r="Y13522" t="s">
        <v>17171</v>
      </c>
      <c r="Z13522" t="s">
        <v>166</v>
      </c>
      <c r="AA13522" s="22" t="str">
        <f>HYPERLINK("https://www.ncbi.nlm.nih.gov/nuccore/MG693168","NCBI Nucleotide")</f>
        <v>NCBI Nucleotide</v>
      </c>
    </row>
    <row r="13523" spans="1:27" x14ac:dyDescent="0.35">
      <c r="A13523">
        <v>1001289</v>
      </c>
      <c r="B13523">
        <v>12606</v>
      </c>
      <c r="C13523">
        <v>1</v>
      </c>
      <c r="D13523" t="s">
        <v>17166</v>
      </c>
      <c r="F13523" t="s">
        <v>17246</v>
      </c>
      <c r="H13523" t="s">
        <v>28921</v>
      </c>
      <c r="J13523" t="s">
        <v>29538</v>
      </c>
      <c r="L13523" t="s">
        <v>29539</v>
      </c>
      <c r="M13523" t="s">
        <v>29694</v>
      </c>
      <c r="N13523" t="s">
        <v>29695</v>
      </c>
      <c r="O13523" t="s">
        <v>29702</v>
      </c>
      <c r="P13523" t="s">
        <v>29821</v>
      </c>
      <c r="Q13523" t="s">
        <v>29863</v>
      </c>
      <c r="R13523" s="26" t="str">
        <f>HYPERLINK("https://ictv.global/taxonomy/taxondetails?taxnode_id=202301867","Betacoronavirus rousetti")</f>
        <v>Betacoronavirus rousetti</v>
      </c>
      <c r="S13523" t="s">
        <v>30</v>
      </c>
      <c r="T13523" t="s">
        <v>29871</v>
      </c>
      <c r="U13523" t="s">
        <v>29872</v>
      </c>
      <c r="V13523" t="s">
        <v>29873</v>
      </c>
      <c r="W13523" t="s">
        <v>29874</v>
      </c>
      <c r="X13523" t="s">
        <v>42</v>
      </c>
      <c r="Y13523" t="s">
        <v>17171</v>
      </c>
      <c r="Z13523" t="s">
        <v>166</v>
      </c>
      <c r="AA13523" s="22" t="str">
        <f>HYPERLINK("https://www.ncbi.nlm.nih.gov/nuccore/EF065513","NCBI Nucleotide")</f>
        <v>NCBI Nucleotide</v>
      </c>
    </row>
    <row r="13524" spans="1:27" x14ac:dyDescent="0.35">
      <c r="A13524">
        <v>1001290</v>
      </c>
      <c r="B13524">
        <v>12607</v>
      </c>
      <c r="C13524">
        <v>1</v>
      </c>
      <c r="D13524" t="s">
        <v>17166</v>
      </c>
      <c r="F13524" t="s">
        <v>17246</v>
      </c>
      <c r="H13524" t="s">
        <v>28921</v>
      </c>
      <c r="J13524" t="s">
        <v>29538</v>
      </c>
      <c r="L13524" t="s">
        <v>29539</v>
      </c>
      <c r="M13524" t="s">
        <v>29694</v>
      </c>
      <c r="N13524" t="s">
        <v>29695</v>
      </c>
      <c r="O13524" t="s">
        <v>29702</v>
      </c>
      <c r="P13524" t="s">
        <v>29821</v>
      </c>
      <c r="Q13524" t="s">
        <v>29875</v>
      </c>
      <c r="R13524" s="26" t="str">
        <f>HYPERLINK("https://ictv.global/taxonomy/taxondetails?taxnode_id=202301868","Betacoronavirus pandemicum")</f>
        <v>Betacoronavirus pandemicum</v>
      </c>
      <c r="S13524" t="s">
        <v>30</v>
      </c>
      <c r="T13524" t="s">
        <v>29876</v>
      </c>
      <c r="U13524" t="s">
        <v>29877</v>
      </c>
      <c r="V13524" t="s">
        <v>29878</v>
      </c>
      <c r="W13524" t="s">
        <v>29879</v>
      </c>
      <c r="X13524" t="s">
        <v>42</v>
      </c>
      <c r="Y13524" t="s">
        <v>17171</v>
      </c>
      <c r="Z13524" t="s">
        <v>166</v>
      </c>
      <c r="AA13524" s="22" t="str">
        <f>HYPERLINK("https://www.ncbi.nlm.nih.gov/nuccore/AY274119","NCBI Nucleotide")</f>
        <v>NCBI Nucleotide</v>
      </c>
    </row>
    <row r="13525" spans="1:27" x14ac:dyDescent="0.35">
      <c r="A13525">
        <v>1011390</v>
      </c>
      <c r="B13525">
        <v>12607</v>
      </c>
      <c r="C13525">
        <v>2</v>
      </c>
      <c r="D13525" t="s">
        <v>17166</v>
      </c>
      <c r="F13525" t="s">
        <v>17246</v>
      </c>
      <c r="H13525" t="s">
        <v>28921</v>
      </c>
      <c r="J13525" t="s">
        <v>29538</v>
      </c>
      <c r="L13525" t="s">
        <v>29539</v>
      </c>
      <c r="M13525" t="s">
        <v>29694</v>
      </c>
      <c r="N13525" t="s">
        <v>29695</v>
      </c>
      <c r="O13525" t="s">
        <v>29702</v>
      </c>
      <c r="P13525" t="s">
        <v>29821</v>
      </c>
      <c r="Q13525" t="s">
        <v>29875</v>
      </c>
      <c r="R13525" s="26" t="str">
        <f>HYPERLINK("https://ictv.global/taxonomy/taxondetails?taxnode_id=202301868","Betacoronavirus pandemicum")</f>
        <v>Betacoronavirus pandemicum</v>
      </c>
      <c r="S13525" t="s">
        <v>8141</v>
      </c>
      <c r="T13525" t="s">
        <v>29886</v>
      </c>
      <c r="U13525" t="s">
        <v>29877</v>
      </c>
      <c r="V13525" t="s">
        <v>29887</v>
      </c>
      <c r="W13525" t="s">
        <v>49608</v>
      </c>
      <c r="X13525" t="s">
        <v>42</v>
      </c>
      <c r="Y13525" t="s">
        <v>17171</v>
      </c>
      <c r="Z13525" t="s">
        <v>166</v>
      </c>
      <c r="AA13525" s="22" t="str">
        <f>HYPERLINK("https://www.ncbi.nlm.nih.gov/nuccore/AY613950","NCBI Nucleotide")</f>
        <v>NCBI Nucleotide</v>
      </c>
    </row>
    <row r="13526" spans="1:27" x14ac:dyDescent="0.35">
      <c r="A13526">
        <v>1011389</v>
      </c>
      <c r="B13526">
        <v>12607</v>
      </c>
      <c r="C13526">
        <v>3</v>
      </c>
      <c r="D13526" t="s">
        <v>17166</v>
      </c>
      <c r="F13526" t="s">
        <v>17246</v>
      </c>
      <c r="H13526" t="s">
        <v>28921</v>
      </c>
      <c r="J13526" t="s">
        <v>29538</v>
      </c>
      <c r="L13526" t="s">
        <v>29539</v>
      </c>
      <c r="M13526" t="s">
        <v>29694</v>
      </c>
      <c r="N13526" t="s">
        <v>29695</v>
      </c>
      <c r="O13526" t="s">
        <v>29702</v>
      </c>
      <c r="P13526" t="s">
        <v>29821</v>
      </c>
      <c r="Q13526" t="s">
        <v>29875</v>
      </c>
      <c r="R13526" s="26" t="str">
        <f>HYPERLINK("https://ictv.global/taxonomy/taxondetails?taxnode_id=202301868","Betacoronavirus pandemicum")</f>
        <v>Betacoronavirus pandemicum</v>
      </c>
      <c r="S13526" t="s">
        <v>8141</v>
      </c>
      <c r="T13526" t="s">
        <v>29883</v>
      </c>
      <c r="U13526" t="s">
        <v>29884</v>
      </c>
      <c r="V13526" t="s">
        <v>29885</v>
      </c>
      <c r="W13526" t="s">
        <v>49609</v>
      </c>
      <c r="X13526" t="s">
        <v>42</v>
      </c>
      <c r="Y13526" t="s">
        <v>17171</v>
      </c>
      <c r="Z13526" t="s">
        <v>166</v>
      </c>
      <c r="AA13526" s="22" t="str">
        <f>HYPERLINK("https://www.ncbi.nlm.nih.gov/nuccore/MN908947","NCBI Nucleotide")</f>
        <v>NCBI Nucleotide</v>
      </c>
    </row>
    <row r="13527" spans="1:27" x14ac:dyDescent="0.35">
      <c r="A13527">
        <v>1011388</v>
      </c>
      <c r="B13527">
        <v>12607</v>
      </c>
      <c r="C13527">
        <v>4</v>
      </c>
      <c r="D13527" t="s">
        <v>17166</v>
      </c>
      <c r="F13527" t="s">
        <v>17246</v>
      </c>
      <c r="H13527" t="s">
        <v>28921</v>
      </c>
      <c r="J13527" t="s">
        <v>29538</v>
      </c>
      <c r="L13527" t="s">
        <v>29539</v>
      </c>
      <c r="M13527" t="s">
        <v>29694</v>
      </c>
      <c r="N13527" t="s">
        <v>29695</v>
      </c>
      <c r="O13527" t="s">
        <v>29702</v>
      </c>
      <c r="P13527" t="s">
        <v>29821</v>
      </c>
      <c r="Q13527" t="s">
        <v>29875</v>
      </c>
      <c r="R13527" s="26" t="str">
        <f>HYPERLINK("https://ictv.global/taxonomy/taxondetails?taxnode_id=202301868","Betacoronavirus pandemicum")</f>
        <v>Betacoronavirus pandemicum</v>
      </c>
      <c r="S13527" t="s">
        <v>8141</v>
      </c>
      <c r="T13527" t="s">
        <v>29880</v>
      </c>
      <c r="U13527" t="s">
        <v>29881</v>
      </c>
      <c r="V13527" t="s">
        <v>29882</v>
      </c>
      <c r="W13527" t="s">
        <v>49610</v>
      </c>
      <c r="X13527" t="s">
        <v>42</v>
      </c>
      <c r="Y13527" t="s">
        <v>17171</v>
      </c>
      <c r="Z13527" t="s">
        <v>166</v>
      </c>
      <c r="AA13527" s="22" t="str">
        <f>HYPERLINK("https://www.ncbi.nlm.nih.gov/nuccore/KY352407","NCBI Nucleotide")</f>
        <v>NCBI Nucleotide</v>
      </c>
    </row>
    <row r="13528" spans="1:27" x14ac:dyDescent="0.35">
      <c r="A13528">
        <v>1001291</v>
      </c>
      <c r="B13528">
        <v>12608</v>
      </c>
      <c r="C13528">
        <v>1</v>
      </c>
      <c r="D13528" t="s">
        <v>17166</v>
      </c>
      <c r="F13528" t="s">
        <v>17246</v>
      </c>
      <c r="H13528" t="s">
        <v>28921</v>
      </c>
      <c r="J13528" t="s">
        <v>29538</v>
      </c>
      <c r="L13528" t="s">
        <v>29539</v>
      </c>
      <c r="M13528" t="s">
        <v>29694</v>
      </c>
      <c r="N13528" t="s">
        <v>29695</v>
      </c>
      <c r="O13528" t="s">
        <v>29702</v>
      </c>
      <c r="P13528" t="s">
        <v>29888</v>
      </c>
      <c r="Q13528" t="s">
        <v>29889</v>
      </c>
      <c r="R13528" s="26" t="str">
        <f>HYPERLINK("https://ictv.global/taxonomy/taxondetails?taxnode_id=202301878","Deltacoronavirus marecae")</f>
        <v>Deltacoronavirus marecae</v>
      </c>
      <c r="S13528" t="s">
        <v>30</v>
      </c>
      <c r="T13528" t="s">
        <v>29890</v>
      </c>
      <c r="U13528" t="s">
        <v>29891</v>
      </c>
      <c r="V13528">
        <v>9243</v>
      </c>
      <c r="W13528" t="s">
        <v>29892</v>
      </c>
      <c r="X13528" t="s">
        <v>42</v>
      </c>
      <c r="Y13528" t="s">
        <v>17171</v>
      </c>
      <c r="Z13528" t="s">
        <v>166</v>
      </c>
      <c r="AA13528" s="22" t="str">
        <f>HYPERLINK("https://www.ncbi.nlm.nih.gov/nuccore/JQ065048","NCBI Nucleotide")</f>
        <v>NCBI Nucleotide</v>
      </c>
    </row>
    <row r="13529" spans="1:27" x14ac:dyDescent="0.35">
      <c r="A13529">
        <v>1001293</v>
      </c>
      <c r="B13529">
        <v>12609</v>
      </c>
      <c r="C13529">
        <v>1</v>
      </c>
      <c r="D13529" t="s">
        <v>17166</v>
      </c>
      <c r="F13529" t="s">
        <v>17246</v>
      </c>
      <c r="H13529" t="s">
        <v>28921</v>
      </c>
      <c r="J13529" t="s">
        <v>29538</v>
      </c>
      <c r="L13529" t="s">
        <v>29539</v>
      </c>
      <c r="M13529" t="s">
        <v>29694</v>
      </c>
      <c r="N13529" t="s">
        <v>29695</v>
      </c>
      <c r="O13529" t="s">
        <v>29702</v>
      </c>
      <c r="P13529" t="s">
        <v>29888</v>
      </c>
      <c r="Q13529" t="s">
        <v>29893</v>
      </c>
      <c r="R13529" s="26" t="str">
        <f>HYPERLINK("https://ictv.global/taxonomy/taxondetails?taxnode_id=202301872","Deltacoronavirus gallinulae")</f>
        <v>Deltacoronavirus gallinulae</v>
      </c>
      <c r="S13529" t="s">
        <v>30</v>
      </c>
      <c r="T13529" t="s">
        <v>29897</v>
      </c>
      <c r="U13529" t="s">
        <v>29898</v>
      </c>
      <c r="W13529" t="s">
        <v>29899</v>
      </c>
      <c r="X13529" t="s">
        <v>42</v>
      </c>
      <c r="Y13529" t="s">
        <v>17171</v>
      </c>
      <c r="Z13529" t="s">
        <v>166</v>
      </c>
      <c r="AA13529" s="22" t="str">
        <f>HYPERLINK("https://www.ncbi.nlm.nih.gov/nuccore/JQ065049","NCBI Nucleotide")</f>
        <v>NCBI Nucleotide</v>
      </c>
    </row>
    <row r="13530" spans="1:27" x14ac:dyDescent="0.35">
      <c r="A13530">
        <v>1001295</v>
      </c>
      <c r="B13530">
        <v>12610</v>
      </c>
      <c r="C13530">
        <v>1</v>
      </c>
      <c r="D13530" t="s">
        <v>17166</v>
      </c>
      <c r="F13530" t="s">
        <v>17246</v>
      </c>
      <c r="H13530" t="s">
        <v>28921</v>
      </c>
      <c r="J13530" t="s">
        <v>29538</v>
      </c>
      <c r="L13530" t="s">
        <v>29539</v>
      </c>
      <c r="M13530" t="s">
        <v>29694</v>
      </c>
      <c r="N13530" t="s">
        <v>29695</v>
      </c>
      <c r="O13530" t="s">
        <v>29702</v>
      </c>
      <c r="P13530" t="s">
        <v>29888</v>
      </c>
      <c r="Q13530" t="s">
        <v>29893</v>
      </c>
      <c r="R13530" s="26" t="str">
        <f>HYPERLINK("https://ictv.global/taxonomy/taxondetails?taxnode_id=202301874","Deltacoronavirus lonchurae")</f>
        <v>Deltacoronavirus lonchurae</v>
      </c>
      <c r="S13530" t="s">
        <v>30</v>
      </c>
      <c r="T13530" t="s">
        <v>29903</v>
      </c>
      <c r="U13530" t="s">
        <v>29904</v>
      </c>
      <c r="V13530">
        <v>3514</v>
      </c>
      <c r="W13530" t="s">
        <v>29905</v>
      </c>
      <c r="X13530" t="s">
        <v>42</v>
      </c>
      <c r="Y13530" t="s">
        <v>17171</v>
      </c>
      <c r="Z13530" t="s">
        <v>166</v>
      </c>
      <c r="AA13530" s="22" t="str">
        <f>HYPERLINK("https://www.ncbi.nlm.nih.gov/nuccore/FJ376622","NCBI Nucleotide")</f>
        <v>NCBI Nucleotide</v>
      </c>
    </row>
    <row r="13531" spans="1:27" x14ac:dyDescent="0.35">
      <c r="A13531">
        <v>1001292</v>
      </c>
      <c r="B13531">
        <v>12611</v>
      </c>
      <c r="C13531">
        <v>1</v>
      </c>
      <c r="D13531" t="s">
        <v>17166</v>
      </c>
      <c r="F13531" t="s">
        <v>17246</v>
      </c>
      <c r="H13531" t="s">
        <v>28921</v>
      </c>
      <c r="J13531" t="s">
        <v>29538</v>
      </c>
      <c r="L13531" t="s">
        <v>29539</v>
      </c>
      <c r="M13531" t="s">
        <v>29694</v>
      </c>
      <c r="N13531" t="s">
        <v>29695</v>
      </c>
      <c r="O13531" t="s">
        <v>29702</v>
      </c>
      <c r="P13531" t="s">
        <v>29888</v>
      </c>
      <c r="Q13531" t="s">
        <v>29893</v>
      </c>
      <c r="R13531" s="26" t="str">
        <f>HYPERLINK("https://ictv.global/taxonomy/taxondetails?taxnode_id=202301871","Deltacoronavirus pycnonoti")</f>
        <v>Deltacoronavirus pycnonoti</v>
      </c>
      <c r="S13531" t="s">
        <v>30</v>
      </c>
      <c r="T13531" t="s">
        <v>29894</v>
      </c>
      <c r="U13531" t="s">
        <v>29895</v>
      </c>
      <c r="V13531">
        <v>934</v>
      </c>
      <c r="W13531" t="s">
        <v>29896</v>
      </c>
      <c r="X13531" t="s">
        <v>42</v>
      </c>
      <c r="Y13531" t="s">
        <v>17171</v>
      </c>
      <c r="Z13531" t="s">
        <v>166</v>
      </c>
      <c r="AA13531" s="22" t="str">
        <f>HYPERLINK("https://www.ncbi.nlm.nih.gov/nuccore/FJ376619","NCBI Nucleotide")</f>
        <v>NCBI Nucleotide</v>
      </c>
    </row>
    <row r="13532" spans="1:27" x14ac:dyDescent="0.35">
      <c r="A13532">
        <v>1001294</v>
      </c>
      <c r="B13532">
        <v>12612</v>
      </c>
      <c r="C13532">
        <v>1</v>
      </c>
      <c r="D13532" t="s">
        <v>17166</v>
      </c>
      <c r="F13532" t="s">
        <v>17246</v>
      </c>
      <c r="H13532" t="s">
        <v>28921</v>
      </c>
      <c r="J13532" t="s">
        <v>29538</v>
      </c>
      <c r="L13532" t="s">
        <v>29539</v>
      </c>
      <c r="M13532" t="s">
        <v>29694</v>
      </c>
      <c r="N13532" t="s">
        <v>29695</v>
      </c>
      <c r="O13532" t="s">
        <v>29702</v>
      </c>
      <c r="P13532" t="s">
        <v>29888</v>
      </c>
      <c r="Q13532" t="s">
        <v>29893</v>
      </c>
      <c r="R13532" s="26" t="str">
        <f>HYPERLINK("https://ictv.global/taxonomy/taxondetails?taxnode_id=202301873","Deltacoronavirus suis")</f>
        <v>Deltacoronavirus suis</v>
      </c>
      <c r="S13532" t="s">
        <v>30</v>
      </c>
      <c r="T13532" t="s">
        <v>29900</v>
      </c>
      <c r="U13532" t="s">
        <v>29901</v>
      </c>
      <c r="V13532">
        <v>155</v>
      </c>
      <c r="W13532" t="s">
        <v>29902</v>
      </c>
      <c r="X13532" t="s">
        <v>42</v>
      </c>
      <c r="Y13532" t="s">
        <v>17171</v>
      </c>
      <c r="Z13532" t="s">
        <v>166</v>
      </c>
      <c r="AA13532" s="22" t="str">
        <f>HYPERLINK("https://www.ncbi.nlm.nih.gov/nuccore/JQ065043","NCBI Nucleotide")</f>
        <v>NCBI Nucleotide</v>
      </c>
    </row>
    <row r="13533" spans="1:27" x14ac:dyDescent="0.35">
      <c r="A13533">
        <v>1001296</v>
      </c>
      <c r="B13533">
        <v>12613</v>
      </c>
      <c r="C13533">
        <v>1</v>
      </c>
      <c r="D13533" t="s">
        <v>17166</v>
      </c>
      <c r="F13533" t="s">
        <v>17246</v>
      </c>
      <c r="H13533" t="s">
        <v>28921</v>
      </c>
      <c r="J13533" t="s">
        <v>29538</v>
      </c>
      <c r="L13533" t="s">
        <v>29539</v>
      </c>
      <c r="M13533" t="s">
        <v>29694</v>
      </c>
      <c r="N13533" t="s">
        <v>29695</v>
      </c>
      <c r="O13533" t="s">
        <v>29702</v>
      </c>
      <c r="P13533" t="s">
        <v>29888</v>
      </c>
      <c r="Q13533" t="s">
        <v>29893</v>
      </c>
      <c r="R13533" s="26" t="str">
        <f>HYPERLINK("https://ictv.global/taxonomy/taxondetails?taxnode_id=202301877","Deltacoronavirus zosteropis")</f>
        <v>Deltacoronavirus zosteropis</v>
      </c>
      <c r="S13533" t="s">
        <v>30</v>
      </c>
      <c r="T13533" t="s">
        <v>29906</v>
      </c>
      <c r="U13533" t="s">
        <v>29907</v>
      </c>
      <c r="V13533">
        <v>6847</v>
      </c>
      <c r="W13533" t="s">
        <v>29908</v>
      </c>
      <c r="X13533" t="s">
        <v>42</v>
      </c>
      <c r="Y13533" t="s">
        <v>17171</v>
      </c>
      <c r="Z13533" t="s">
        <v>166</v>
      </c>
      <c r="AA13533" s="22" t="str">
        <f>HYPERLINK("https://www.ncbi.nlm.nih.gov/nuccore/JQ065044","NCBI Nucleotide")</f>
        <v>NCBI Nucleotide</v>
      </c>
    </row>
    <row r="13534" spans="1:27" x14ac:dyDescent="0.35">
      <c r="A13534">
        <v>1001297</v>
      </c>
      <c r="B13534">
        <v>12614</v>
      </c>
      <c r="C13534">
        <v>1</v>
      </c>
      <c r="D13534" t="s">
        <v>17166</v>
      </c>
      <c r="F13534" t="s">
        <v>17246</v>
      </c>
      <c r="H13534" t="s">
        <v>28921</v>
      </c>
      <c r="J13534" t="s">
        <v>29538</v>
      </c>
      <c r="L13534" t="s">
        <v>29539</v>
      </c>
      <c r="M13534" t="s">
        <v>29694</v>
      </c>
      <c r="N13534" t="s">
        <v>29695</v>
      </c>
      <c r="O13534" t="s">
        <v>29702</v>
      </c>
      <c r="P13534" t="s">
        <v>29888</v>
      </c>
      <c r="Q13534" t="s">
        <v>29909</v>
      </c>
      <c r="R13534" s="26" t="str">
        <f>HYPERLINK("https://ictv.global/taxonomy/taxondetails?taxnode_id=202301875","Deltacoronavirus nycticoracis")</f>
        <v>Deltacoronavirus nycticoracis</v>
      </c>
      <c r="S13534" t="s">
        <v>30</v>
      </c>
      <c r="T13534" t="s">
        <v>29910</v>
      </c>
      <c r="U13534" t="s">
        <v>29911</v>
      </c>
      <c r="V13534">
        <v>6918</v>
      </c>
      <c r="W13534" t="s">
        <v>29912</v>
      </c>
      <c r="X13534" t="s">
        <v>42</v>
      </c>
      <c r="Y13534" t="s">
        <v>17171</v>
      </c>
      <c r="Z13534" t="s">
        <v>166</v>
      </c>
      <c r="AA13534" s="22" t="str">
        <f>HYPERLINK("https://www.ncbi.nlm.nih.gov/nuccore/JQ065047","NCBI Nucleotide")</f>
        <v>NCBI Nucleotide</v>
      </c>
    </row>
    <row r="13535" spans="1:27" x14ac:dyDescent="0.35">
      <c r="A13535">
        <v>1001298</v>
      </c>
      <c r="B13535">
        <v>12615</v>
      </c>
      <c r="C13535">
        <v>1</v>
      </c>
      <c r="D13535" t="s">
        <v>17166</v>
      </c>
      <c r="F13535" t="s">
        <v>17246</v>
      </c>
      <c r="H13535" t="s">
        <v>28921</v>
      </c>
      <c r="J13535" t="s">
        <v>29538</v>
      </c>
      <c r="L13535" t="s">
        <v>29539</v>
      </c>
      <c r="M13535" t="s">
        <v>29694</v>
      </c>
      <c r="N13535" t="s">
        <v>29695</v>
      </c>
      <c r="O13535" t="s">
        <v>29702</v>
      </c>
      <c r="P13535" t="s">
        <v>29913</v>
      </c>
      <c r="Q13535" t="s">
        <v>29914</v>
      </c>
      <c r="R13535" s="26" t="str">
        <f>HYPERLINK("https://ictv.global/taxonomy/taxondetails?taxnode_id=202307498","Gammacoronavirus brantae")</f>
        <v>Gammacoronavirus brantae</v>
      </c>
      <c r="S13535" t="s">
        <v>30</v>
      </c>
      <c r="T13535" t="s">
        <v>29915</v>
      </c>
      <c r="U13535" t="s">
        <v>29916</v>
      </c>
      <c r="W13535" t="s">
        <v>29917</v>
      </c>
      <c r="X13535" t="s">
        <v>42</v>
      </c>
      <c r="Y13535" t="s">
        <v>17171</v>
      </c>
      <c r="Z13535" t="s">
        <v>166</v>
      </c>
      <c r="AA13535" s="22" t="str">
        <f>HYPERLINK("https://www.ncbi.nlm.nih.gov/nuccore/MK359255","NCBI Nucleotide")</f>
        <v>NCBI Nucleotide</v>
      </c>
    </row>
    <row r="13536" spans="1:27" x14ac:dyDescent="0.35">
      <c r="A13536">
        <v>1001299</v>
      </c>
      <c r="B13536">
        <v>12616</v>
      </c>
      <c r="C13536">
        <v>1</v>
      </c>
      <c r="D13536" t="s">
        <v>17166</v>
      </c>
      <c r="F13536" t="s">
        <v>17246</v>
      </c>
      <c r="H13536" t="s">
        <v>28921</v>
      </c>
      <c r="J13536" t="s">
        <v>29538</v>
      </c>
      <c r="L13536" t="s">
        <v>29539</v>
      </c>
      <c r="M13536" t="s">
        <v>29694</v>
      </c>
      <c r="N13536" t="s">
        <v>29695</v>
      </c>
      <c r="O13536" t="s">
        <v>29702</v>
      </c>
      <c r="P13536" t="s">
        <v>29913</v>
      </c>
      <c r="Q13536" t="s">
        <v>29918</v>
      </c>
      <c r="R13536" s="26" t="str">
        <f>HYPERLINK("https://ictv.global/taxonomy/taxondetails?taxnode_id=202301881","Gammacoronavirus delphinapteri")</f>
        <v>Gammacoronavirus delphinapteri</v>
      </c>
      <c r="S13536" t="s">
        <v>30</v>
      </c>
      <c r="T13536" t="s">
        <v>29919</v>
      </c>
      <c r="U13536" t="s">
        <v>29920</v>
      </c>
      <c r="V13536" t="s">
        <v>29921</v>
      </c>
      <c r="W13536" t="s">
        <v>29922</v>
      </c>
      <c r="X13536" t="s">
        <v>42</v>
      </c>
      <c r="Y13536" t="s">
        <v>17171</v>
      </c>
      <c r="Z13536" t="s">
        <v>166</v>
      </c>
      <c r="AA13536" s="22" t="str">
        <f>HYPERLINK("https://www.ncbi.nlm.nih.gov/nuccore/EU111742","NCBI Nucleotide")</f>
        <v>NCBI Nucleotide</v>
      </c>
    </row>
    <row r="13537" spans="1:27" x14ac:dyDescent="0.35">
      <c r="A13537">
        <v>1011391</v>
      </c>
      <c r="B13537">
        <v>12616</v>
      </c>
      <c r="C13537">
        <v>2</v>
      </c>
      <c r="D13537" t="s">
        <v>17166</v>
      </c>
      <c r="F13537" t="s">
        <v>17246</v>
      </c>
      <c r="H13537" t="s">
        <v>28921</v>
      </c>
      <c r="J13537" t="s">
        <v>29538</v>
      </c>
      <c r="L13537" t="s">
        <v>29539</v>
      </c>
      <c r="M13537" t="s">
        <v>29694</v>
      </c>
      <c r="N13537" t="s">
        <v>29695</v>
      </c>
      <c r="O13537" t="s">
        <v>29702</v>
      </c>
      <c r="P13537" t="s">
        <v>29913</v>
      </c>
      <c r="Q13537" t="s">
        <v>29918</v>
      </c>
      <c r="R13537" s="26" t="str">
        <f>HYPERLINK("https://ictv.global/taxonomy/taxondetails?taxnode_id=202301881","Gammacoronavirus delphinapteri")</f>
        <v>Gammacoronavirus delphinapteri</v>
      </c>
      <c r="S13537" t="s">
        <v>8141</v>
      </c>
      <c r="T13537" t="s">
        <v>29923</v>
      </c>
      <c r="U13537" t="s">
        <v>29924</v>
      </c>
      <c r="V13537" t="s">
        <v>29925</v>
      </c>
      <c r="W13537" t="s">
        <v>49611</v>
      </c>
      <c r="X13537" t="s">
        <v>42</v>
      </c>
      <c r="Y13537" t="s">
        <v>17171</v>
      </c>
      <c r="Z13537" t="s">
        <v>166</v>
      </c>
      <c r="AA13537" s="22" t="str">
        <f>HYPERLINK("https://www.ncbi.nlm.nih.gov/nuccore/KF793824","NCBI Nucleotide")</f>
        <v>NCBI Nucleotide</v>
      </c>
    </row>
    <row r="13538" spans="1:27" x14ac:dyDescent="0.35">
      <c r="A13538">
        <v>1001302</v>
      </c>
      <c r="B13538">
        <v>12617</v>
      </c>
      <c r="C13538">
        <v>1</v>
      </c>
      <c r="D13538" t="s">
        <v>17166</v>
      </c>
      <c r="F13538" t="s">
        <v>17246</v>
      </c>
      <c r="H13538" t="s">
        <v>28921</v>
      </c>
      <c r="J13538" t="s">
        <v>29538</v>
      </c>
      <c r="L13538" t="s">
        <v>29539</v>
      </c>
      <c r="M13538" t="s">
        <v>29694</v>
      </c>
      <c r="N13538" t="s">
        <v>29695</v>
      </c>
      <c r="O13538" t="s">
        <v>29702</v>
      </c>
      <c r="P13538" t="s">
        <v>29913</v>
      </c>
      <c r="Q13538" t="s">
        <v>29926</v>
      </c>
      <c r="R13538" s="26" t="str">
        <f>HYPERLINK("https://ictv.global/taxonomy/taxondetails?taxnode_id=202307499","Gammacoronavirus anatis")</f>
        <v>Gammacoronavirus anatis</v>
      </c>
      <c r="S13538" t="s">
        <v>30</v>
      </c>
      <c r="T13538" t="s">
        <v>29934</v>
      </c>
      <c r="U13538" t="s">
        <v>29935</v>
      </c>
      <c r="W13538" t="s">
        <v>29936</v>
      </c>
      <c r="X13538" t="s">
        <v>42</v>
      </c>
      <c r="Y13538" t="s">
        <v>17171</v>
      </c>
      <c r="Z13538" t="s">
        <v>166</v>
      </c>
      <c r="AA13538" s="22" t="str">
        <f>HYPERLINK("https://www.ncbi.nlm.nih.gov/nuccore/KM454473","NCBI Nucleotide")</f>
        <v>NCBI Nucleotide</v>
      </c>
    </row>
    <row r="13539" spans="1:27" x14ac:dyDescent="0.35">
      <c r="A13539">
        <v>1001300</v>
      </c>
      <c r="B13539">
        <v>12618</v>
      </c>
      <c r="C13539">
        <v>1</v>
      </c>
      <c r="D13539" t="s">
        <v>17166</v>
      </c>
      <c r="F13539" t="s">
        <v>17246</v>
      </c>
      <c r="H13539" t="s">
        <v>28921</v>
      </c>
      <c r="J13539" t="s">
        <v>29538</v>
      </c>
      <c r="L13539" t="s">
        <v>29539</v>
      </c>
      <c r="M13539" t="s">
        <v>29694</v>
      </c>
      <c r="N13539" t="s">
        <v>29695</v>
      </c>
      <c r="O13539" t="s">
        <v>29702</v>
      </c>
      <c r="P13539" t="s">
        <v>29913</v>
      </c>
      <c r="Q13539" t="s">
        <v>29926</v>
      </c>
      <c r="R13539" s="26" t="str">
        <f>HYPERLINK("https://ictv.global/taxonomy/taxondetails?taxnode_id=202301880","Gammacoronavirus galli")</f>
        <v>Gammacoronavirus galli</v>
      </c>
      <c r="S13539" t="s">
        <v>30</v>
      </c>
      <c r="T13539" t="s">
        <v>29927</v>
      </c>
      <c r="U13539" t="s">
        <v>29928</v>
      </c>
      <c r="V13539" t="s">
        <v>29929</v>
      </c>
      <c r="W13539" t="s">
        <v>29930</v>
      </c>
      <c r="X13539" t="s">
        <v>42</v>
      </c>
      <c r="Y13539" t="s">
        <v>17171</v>
      </c>
      <c r="Z13539" t="s">
        <v>166</v>
      </c>
      <c r="AA13539" s="22" t="str">
        <f>HYPERLINK("https://www.ncbi.nlm.nih.gov/nuccore/M95169","NCBI Nucleotide")</f>
        <v>NCBI Nucleotide</v>
      </c>
    </row>
    <row r="13540" spans="1:27" x14ac:dyDescent="0.35">
      <c r="A13540">
        <v>1001301</v>
      </c>
      <c r="B13540">
        <v>12619</v>
      </c>
      <c r="C13540">
        <v>1</v>
      </c>
      <c r="D13540" t="s">
        <v>17166</v>
      </c>
      <c r="F13540" t="s">
        <v>17246</v>
      </c>
      <c r="H13540" t="s">
        <v>28921</v>
      </c>
      <c r="J13540" t="s">
        <v>29538</v>
      </c>
      <c r="L13540" t="s">
        <v>29539</v>
      </c>
      <c r="M13540" t="s">
        <v>29694</v>
      </c>
      <c r="N13540" t="s">
        <v>29695</v>
      </c>
      <c r="O13540" t="s">
        <v>29702</v>
      </c>
      <c r="P13540" t="s">
        <v>29913</v>
      </c>
      <c r="Q13540" t="s">
        <v>29926</v>
      </c>
      <c r="R13540" s="26" t="str">
        <f>HYPERLINK("https://ictv.global/taxonomy/taxondetails?taxnode_id=202307500","Gammacoronavirus pulli")</f>
        <v>Gammacoronavirus pulli</v>
      </c>
      <c r="S13540" t="s">
        <v>30</v>
      </c>
      <c r="T13540" t="s">
        <v>29931</v>
      </c>
      <c r="U13540" t="s">
        <v>29932</v>
      </c>
      <c r="W13540" t="s">
        <v>29933</v>
      </c>
      <c r="X13540" t="s">
        <v>42</v>
      </c>
      <c r="Y13540" t="s">
        <v>17171</v>
      </c>
      <c r="Z13540" t="s">
        <v>166</v>
      </c>
      <c r="AA13540" s="22" t="str">
        <f>HYPERLINK("https://www.ncbi.nlm.nih.gov/nuccore/KR902510","NCBI Nucleotide")</f>
        <v>NCBI Nucleotide</v>
      </c>
    </row>
    <row r="13541" spans="1:27" x14ac:dyDescent="0.35">
      <c r="A13541">
        <v>1001303</v>
      </c>
      <c r="B13541">
        <v>12620</v>
      </c>
      <c r="C13541">
        <v>1</v>
      </c>
      <c r="D13541" t="s">
        <v>17166</v>
      </c>
      <c r="F13541" t="s">
        <v>17246</v>
      </c>
      <c r="H13541" t="s">
        <v>28921</v>
      </c>
      <c r="J13541" t="s">
        <v>29538</v>
      </c>
      <c r="L13541" t="s">
        <v>29539</v>
      </c>
      <c r="M13541" t="s">
        <v>29694</v>
      </c>
      <c r="N13541" t="s">
        <v>29695</v>
      </c>
      <c r="O13541" t="s">
        <v>29937</v>
      </c>
      <c r="P13541" t="s">
        <v>29938</v>
      </c>
      <c r="Q13541" t="s">
        <v>29939</v>
      </c>
      <c r="R13541" s="26" t="str">
        <f>HYPERLINK("https://ictv.global/taxonomy/taxondetails?taxnode_id=202313907","Alphapironavirus salmonis")</f>
        <v>Alphapironavirus salmonis</v>
      </c>
      <c r="S13541" t="s">
        <v>30</v>
      </c>
      <c r="T13541" t="s">
        <v>29940</v>
      </c>
      <c r="U13541" t="s">
        <v>29941</v>
      </c>
      <c r="V13541" t="s">
        <v>29942</v>
      </c>
      <c r="W13541" t="s">
        <v>29943</v>
      </c>
      <c r="X13541" t="s">
        <v>42</v>
      </c>
      <c r="Y13541" t="s">
        <v>17171</v>
      </c>
      <c r="Z13541" t="s">
        <v>166</v>
      </c>
      <c r="AA13541" s="22" t="str">
        <f>HYPERLINK("https://www.ncbi.nlm.nih.gov/nuccore/MK611985","NCBI Nucleotide")</f>
        <v>NCBI Nucleotide</v>
      </c>
    </row>
    <row r="13542" spans="1:27" x14ac:dyDescent="0.35">
      <c r="A13542">
        <v>1001304</v>
      </c>
      <c r="B13542">
        <v>12621</v>
      </c>
      <c r="C13542">
        <v>1</v>
      </c>
      <c r="D13542" t="s">
        <v>17166</v>
      </c>
      <c r="F13542" t="s">
        <v>17246</v>
      </c>
      <c r="H13542" t="s">
        <v>28921</v>
      </c>
      <c r="J13542" t="s">
        <v>29538</v>
      </c>
      <c r="L13542" t="s">
        <v>29539</v>
      </c>
      <c r="M13542" t="s">
        <v>29944</v>
      </c>
      <c r="N13542" t="s">
        <v>29945</v>
      </c>
      <c r="O13542" t="s">
        <v>29946</v>
      </c>
      <c r="P13542" t="s">
        <v>29947</v>
      </c>
      <c r="Q13542" t="s">
        <v>29948</v>
      </c>
      <c r="R13542" s="26" t="str">
        <f>HYPERLINK("https://ictv.global/taxonomy/taxondetails?taxnode_id=202306179","Bolenivirus botrylloidis")</f>
        <v>Bolenivirus botrylloidis</v>
      </c>
      <c r="S13542" t="s">
        <v>30</v>
      </c>
      <c r="T13542" t="s">
        <v>29949</v>
      </c>
      <c r="U13542" t="s">
        <v>29950</v>
      </c>
      <c r="V13542" t="s">
        <v>29951</v>
      </c>
      <c r="W13542" t="s">
        <v>29952</v>
      </c>
      <c r="X13542" t="s">
        <v>42</v>
      </c>
      <c r="Y13542" t="s">
        <v>17171</v>
      </c>
      <c r="Z13542" t="s">
        <v>10790</v>
      </c>
      <c r="AA13542" s="22" t="str">
        <f>HYPERLINK("https://www.ncbi.nlm.nih.gov/nuccore/MK956105","NCBI Nucleotide")</f>
        <v>NCBI Nucleotide</v>
      </c>
    </row>
    <row r="13543" spans="1:27" x14ac:dyDescent="0.35">
      <c r="A13543">
        <v>1001305</v>
      </c>
      <c r="B13543">
        <v>12622</v>
      </c>
      <c r="C13543">
        <v>1</v>
      </c>
      <c r="D13543" t="s">
        <v>17166</v>
      </c>
      <c r="F13543" t="s">
        <v>17246</v>
      </c>
      <c r="H13543" t="s">
        <v>28921</v>
      </c>
      <c r="J13543" t="s">
        <v>29538</v>
      </c>
      <c r="L13543" t="s">
        <v>29539</v>
      </c>
      <c r="M13543" t="s">
        <v>29944</v>
      </c>
      <c r="N13543" t="s">
        <v>29945</v>
      </c>
      <c r="O13543" t="s">
        <v>29946</v>
      </c>
      <c r="P13543" t="s">
        <v>29953</v>
      </c>
      <c r="Q13543" t="s">
        <v>29954</v>
      </c>
      <c r="R13543" s="26" t="str">
        <f>HYPERLINK("https://ictv.global/taxonomy/taxondetails?taxnode_id=202306175","Turrinivirus turritellae")</f>
        <v>Turrinivirus turritellae</v>
      </c>
      <c r="S13543" t="s">
        <v>30</v>
      </c>
      <c r="T13543" t="s">
        <v>29955</v>
      </c>
      <c r="U13543" t="s">
        <v>29956</v>
      </c>
      <c r="V13543" t="s">
        <v>29957</v>
      </c>
      <c r="W13543" t="s">
        <v>29958</v>
      </c>
      <c r="X13543" t="s">
        <v>154</v>
      </c>
      <c r="Y13543" t="s">
        <v>17171</v>
      </c>
      <c r="Z13543" t="s">
        <v>10790</v>
      </c>
      <c r="AA13543" s="22" t="str">
        <f>HYPERLINK("https://www.ncbi.nlm.nih.gov/nuccore/KX883629","NCBI Nucleotide")</f>
        <v>NCBI Nucleotide</v>
      </c>
    </row>
    <row r="13544" spans="1:27" x14ac:dyDescent="0.35">
      <c r="A13544">
        <v>1001306</v>
      </c>
      <c r="B13544">
        <v>12623</v>
      </c>
      <c r="C13544">
        <v>1</v>
      </c>
      <c r="D13544" t="s">
        <v>17166</v>
      </c>
      <c r="F13544" t="s">
        <v>17246</v>
      </c>
      <c r="H13544" t="s">
        <v>28921</v>
      </c>
      <c r="J13544" t="s">
        <v>29538</v>
      </c>
      <c r="L13544" t="s">
        <v>29539</v>
      </c>
      <c r="M13544" t="s">
        <v>29944</v>
      </c>
      <c r="N13544" t="s">
        <v>29959</v>
      </c>
      <c r="O13544" t="s">
        <v>29960</v>
      </c>
      <c r="P13544" t="s">
        <v>29961</v>
      </c>
      <c r="Q13544" t="s">
        <v>29962</v>
      </c>
      <c r="R13544" s="26" t="str">
        <f>HYPERLINK("https://ictv.global/taxonomy/taxondetails?taxnode_id=202301901","Alphamesonivirus casuarinaense")</f>
        <v>Alphamesonivirus casuarinaense</v>
      </c>
      <c r="S13544" t="s">
        <v>30</v>
      </c>
      <c r="T13544" t="s">
        <v>29963</v>
      </c>
      <c r="U13544" t="s">
        <v>26820</v>
      </c>
      <c r="V13544">
        <v>71</v>
      </c>
      <c r="W13544" t="s">
        <v>29964</v>
      </c>
      <c r="X13544" t="s">
        <v>42</v>
      </c>
      <c r="Y13544" t="s">
        <v>17171</v>
      </c>
      <c r="Z13544" t="s">
        <v>10790</v>
      </c>
      <c r="AA13544" s="22" t="str">
        <f>HYPERLINK("https://www.ncbi.nlm.nih.gov/nuccore/KJ125489","NCBI Nucleotide")</f>
        <v>NCBI Nucleotide</v>
      </c>
    </row>
    <row r="13545" spans="1:27" x14ac:dyDescent="0.35">
      <c r="A13545">
        <v>1001307</v>
      </c>
      <c r="B13545">
        <v>12624</v>
      </c>
      <c r="C13545">
        <v>1</v>
      </c>
      <c r="D13545" t="s">
        <v>17166</v>
      </c>
      <c r="F13545" t="s">
        <v>17246</v>
      </c>
      <c r="H13545" t="s">
        <v>28921</v>
      </c>
      <c r="J13545" t="s">
        <v>29538</v>
      </c>
      <c r="L13545" t="s">
        <v>29539</v>
      </c>
      <c r="M13545" t="s">
        <v>29944</v>
      </c>
      <c r="N13545" t="s">
        <v>29959</v>
      </c>
      <c r="O13545" t="s">
        <v>29960</v>
      </c>
      <c r="P13545" t="s">
        <v>29961</v>
      </c>
      <c r="Q13545" t="s">
        <v>29965</v>
      </c>
      <c r="R13545" s="26" t="str">
        <f>HYPERLINK("https://ictv.global/taxonomy/taxondetails?taxnode_id=202301904","Alphamesonivirus nseense")</f>
        <v>Alphamesonivirus nseense</v>
      </c>
      <c r="S13545" t="s">
        <v>30</v>
      </c>
      <c r="T13545" t="s">
        <v>29966</v>
      </c>
      <c r="U13545" t="s">
        <v>29967</v>
      </c>
      <c r="V13545" t="s">
        <v>29968</v>
      </c>
      <c r="W13545" t="s">
        <v>29969</v>
      </c>
      <c r="X13545" t="s">
        <v>42</v>
      </c>
      <c r="Y13545" t="s">
        <v>17171</v>
      </c>
      <c r="Z13545" t="s">
        <v>10790</v>
      </c>
      <c r="AA13545" s="22" t="str">
        <f>HYPERLINK("https://www.ncbi.nlm.nih.gov/nuccore/JQ957874","NCBI Nucleotide")</f>
        <v>NCBI Nucleotide</v>
      </c>
    </row>
    <row r="13546" spans="1:27" x14ac:dyDescent="0.35">
      <c r="A13546">
        <v>1001308</v>
      </c>
      <c r="B13546">
        <v>12625</v>
      </c>
      <c r="C13546">
        <v>1</v>
      </c>
      <c r="D13546" t="s">
        <v>17166</v>
      </c>
      <c r="F13546" t="s">
        <v>17246</v>
      </c>
      <c r="H13546" t="s">
        <v>28921</v>
      </c>
      <c r="J13546" t="s">
        <v>29538</v>
      </c>
      <c r="L13546" t="s">
        <v>29539</v>
      </c>
      <c r="M13546" t="s">
        <v>29944</v>
      </c>
      <c r="N13546" t="s">
        <v>29959</v>
      </c>
      <c r="O13546" t="s">
        <v>29960</v>
      </c>
      <c r="P13546" t="s">
        <v>29961</v>
      </c>
      <c r="Q13546" t="s">
        <v>29970</v>
      </c>
      <c r="R13546" s="26" t="str">
        <f>HYPERLINK("https://ictv.global/taxonomy/taxondetails?taxnode_id=202301902","Alphamesonivirus hanaense")</f>
        <v>Alphamesonivirus hanaense</v>
      </c>
      <c r="S13546" t="s">
        <v>30</v>
      </c>
      <c r="T13546" t="s">
        <v>29971</v>
      </c>
      <c r="U13546" t="s">
        <v>29972</v>
      </c>
      <c r="V13546" t="s">
        <v>29973</v>
      </c>
      <c r="W13546" t="s">
        <v>29974</v>
      </c>
      <c r="X13546" t="s">
        <v>42</v>
      </c>
      <c r="Y13546" t="s">
        <v>17171</v>
      </c>
      <c r="Z13546" t="s">
        <v>10790</v>
      </c>
      <c r="AA13546" s="22" t="str">
        <f>HYPERLINK("https://www.ncbi.nlm.nih.gov/nuccore/JQ957872","NCBI Nucleotide")</f>
        <v>NCBI Nucleotide</v>
      </c>
    </row>
    <row r="13547" spans="1:27" x14ac:dyDescent="0.35">
      <c r="A13547">
        <v>1001309</v>
      </c>
      <c r="B13547">
        <v>12626</v>
      </c>
      <c r="C13547">
        <v>1</v>
      </c>
      <c r="D13547" t="s">
        <v>17166</v>
      </c>
      <c r="F13547" t="s">
        <v>17246</v>
      </c>
      <c r="H13547" t="s">
        <v>28921</v>
      </c>
      <c r="J13547" t="s">
        <v>29538</v>
      </c>
      <c r="L13547" t="s">
        <v>29539</v>
      </c>
      <c r="M13547" t="s">
        <v>29944</v>
      </c>
      <c r="N13547" t="s">
        <v>29959</v>
      </c>
      <c r="O13547" t="s">
        <v>29960</v>
      </c>
      <c r="P13547" t="s">
        <v>29961</v>
      </c>
      <c r="Q13547" t="s">
        <v>29975</v>
      </c>
      <c r="R13547" s="26" t="str">
        <f>HYPERLINK("https://ictv.global/taxonomy/taxondetails?taxnode_id=202306168","Alphamesonivirus kadiweuorum")</f>
        <v>Alphamesonivirus kadiweuorum</v>
      </c>
      <c r="S13547" t="s">
        <v>30</v>
      </c>
      <c r="T13547" t="s">
        <v>29976</v>
      </c>
      <c r="U13547" t="s">
        <v>20183</v>
      </c>
      <c r="V13547" t="s">
        <v>29977</v>
      </c>
      <c r="W13547" t="s">
        <v>29978</v>
      </c>
      <c r="X13547" t="s">
        <v>42</v>
      </c>
      <c r="Y13547" t="s">
        <v>17171</v>
      </c>
      <c r="Z13547" t="s">
        <v>10790</v>
      </c>
      <c r="AA13547" s="22" t="str">
        <f>HYPERLINK("https://www.ncbi.nlm.nih.gov/nuccore/KT966495","NCBI Nucleotide")</f>
        <v>NCBI Nucleotide</v>
      </c>
    </row>
    <row r="13548" spans="1:27" x14ac:dyDescent="0.35">
      <c r="A13548">
        <v>1001311</v>
      </c>
      <c r="B13548">
        <v>12627</v>
      </c>
      <c r="C13548">
        <v>1</v>
      </c>
      <c r="D13548" t="s">
        <v>17166</v>
      </c>
      <c r="F13548" t="s">
        <v>17246</v>
      </c>
      <c r="H13548" t="s">
        <v>28921</v>
      </c>
      <c r="J13548" t="s">
        <v>29538</v>
      </c>
      <c r="L13548" t="s">
        <v>29539</v>
      </c>
      <c r="M13548" t="s">
        <v>29944</v>
      </c>
      <c r="N13548" t="s">
        <v>29959</v>
      </c>
      <c r="O13548" t="s">
        <v>29960</v>
      </c>
      <c r="P13548" t="s">
        <v>29961</v>
      </c>
      <c r="Q13548" t="s">
        <v>29979</v>
      </c>
      <c r="R13548" s="26" t="str">
        <f>HYPERLINK("https://ictv.global/taxonomy/taxondetails?taxnode_id=202301900","Alphamesonivirus daknongense")</f>
        <v>Alphamesonivirus daknongense</v>
      </c>
      <c r="S13548" t="s">
        <v>30</v>
      </c>
      <c r="T13548" t="s">
        <v>29984</v>
      </c>
      <c r="U13548" t="s">
        <v>29985</v>
      </c>
      <c r="V13548" t="s">
        <v>29986</v>
      </c>
      <c r="W13548" t="s">
        <v>29987</v>
      </c>
      <c r="X13548" t="s">
        <v>42</v>
      </c>
      <c r="Y13548" t="s">
        <v>17171</v>
      </c>
      <c r="Z13548" t="s">
        <v>10790</v>
      </c>
      <c r="AA13548" s="22" t="str">
        <f>HYPERLINK("https://www.ncbi.nlm.nih.gov/nuccore/AB753015","NCBI Nucleotide")</f>
        <v>NCBI Nucleotide</v>
      </c>
    </row>
    <row r="13549" spans="1:27" x14ac:dyDescent="0.35">
      <c r="A13549">
        <v>1001310</v>
      </c>
      <c r="B13549">
        <v>12628</v>
      </c>
      <c r="C13549">
        <v>1</v>
      </c>
      <c r="D13549" t="s">
        <v>17166</v>
      </c>
      <c r="F13549" t="s">
        <v>17246</v>
      </c>
      <c r="H13549" t="s">
        <v>28921</v>
      </c>
      <c r="J13549" t="s">
        <v>29538</v>
      </c>
      <c r="L13549" t="s">
        <v>29539</v>
      </c>
      <c r="M13549" t="s">
        <v>29944</v>
      </c>
      <c r="N13549" t="s">
        <v>29959</v>
      </c>
      <c r="O13549" t="s">
        <v>29960</v>
      </c>
      <c r="P13549" t="s">
        <v>29961</v>
      </c>
      <c r="Q13549" t="s">
        <v>29979</v>
      </c>
      <c r="R13549" s="26" t="str">
        <f>HYPERLINK("https://ictv.global/taxonomy/taxondetails?taxnode_id=202301899","Alphamesonivirus karangense")</f>
        <v>Alphamesonivirus karangense</v>
      </c>
      <c r="S13549" t="s">
        <v>30</v>
      </c>
      <c r="T13549" t="s">
        <v>29980</v>
      </c>
      <c r="U13549" t="s">
        <v>29981</v>
      </c>
      <c r="V13549" t="s">
        <v>29982</v>
      </c>
      <c r="W13549" t="s">
        <v>29983</v>
      </c>
      <c r="X13549" t="s">
        <v>42</v>
      </c>
      <c r="Y13549" t="s">
        <v>17171</v>
      </c>
      <c r="Z13549" t="s">
        <v>10790</v>
      </c>
      <c r="AA13549" s="22" t="str">
        <f>HYPERLINK("https://www.ncbi.nlm.nih.gov/nuccore/KC807171","NCBI Nucleotide")</f>
        <v>NCBI Nucleotide</v>
      </c>
    </row>
    <row r="13550" spans="1:27" x14ac:dyDescent="0.35">
      <c r="A13550">
        <v>1001312</v>
      </c>
      <c r="B13550">
        <v>12629</v>
      </c>
      <c r="C13550">
        <v>1</v>
      </c>
      <c r="D13550" t="s">
        <v>17166</v>
      </c>
      <c r="F13550" t="s">
        <v>17246</v>
      </c>
      <c r="H13550" t="s">
        <v>28921</v>
      </c>
      <c r="J13550" t="s">
        <v>29538</v>
      </c>
      <c r="L13550" t="s">
        <v>29539</v>
      </c>
      <c r="M13550" t="s">
        <v>29944</v>
      </c>
      <c r="N13550" t="s">
        <v>29959</v>
      </c>
      <c r="O13550" t="s">
        <v>29960</v>
      </c>
      <c r="P13550" t="s">
        <v>29961</v>
      </c>
      <c r="Q13550" t="s">
        <v>29988</v>
      </c>
      <c r="R13550" s="26" t="str">
        <f>HYPERLINK("https://ictv.global/taxonomy/taxondetails?taxnode_id=202301905","Alphamesonivirus menoense")</f>
        <v>Alphamesonivirus menoense</v>
      </c>
      <c r="S13550" t="s">
        <v>30</v>
      </c>
      <c r="T13550" t="s">
        <v>29989</v>
      </c>
      <c r="U13550" t="s">
        <v>29990</v>
      </c>
      <c r="V13550" t="s">
        <v>29991</v>
      </c>
      <c r="W13550" t="s">
        <v>29992</v>
      </c>
      <c r="X13550" t="s">
        <v>42</v>
      </c>
      <c r="Y13550" t="s">
        <v>17171</v>
      </c>
      <c r="Z13550" t="s">
        <v>10790</v>
      </c>
      <c r="AA13550" s="22" t="str">
        <f>HYPERLINK("https://www.ncbi.nlm.nih.gov/nuccore/JQ957873","NCBI Nucleotide")</f>
        <v>NCBI Nucleotide</v>
      </c>
    </row>
    <row r="13551" spans="1:27" x14ac:dyDescent="0.35">
      <c r="A13551">
        <v>1001313</v>
      </c>
      <c r="B13551">
        <v>12630</v>
      </c>
      <c r="C13551">
        <v>1</v>
      </c>
      <c r="D13551" t="s">
        <v>17166</v>
      </c>
      <c r="F13551" t="s">
        <v>17246</v>
      </c>
      <c r="H13551" t="s">
        <v>28921</v>
      </c>
      <c r="J13551" t="s">
        <v>29538</v>
      </c>
      <c r="L13551" t="s">
        <v>29539</v>
      </c>
      <c r="M13551" t="s">
        <v>29944</v>
      </c>
      <c r="N13551" t="s">
        <v>29959</v>
      </c>
      <c r="O13551" t="s">
        <v>29960</v>
      </c>
      <c r="P13551" t="s">
        <v>29961</v>
      </c>
      <c r="Q13551" t="s">
        <v>29993</v>
      </c>
      <c r="R13551" s="26" t="str">
        <f>HYPERLINK("https://ictv.global/taxonomy/taxondetails?taxnode_id=202301898","Alphamesonivirus cavallyense")</f>
        <v>Alphamesonivirus cavallyense</v>
      </c>
      <c r="S13551" t="s">
        <v>30</v>
      </c>
      <c r="T13551" t="s">
        <v>29994</v>
      </c>
      <c r="U13551" t="s">
        <v>27776</v>
      </c>
      <c r="V13551" t="s">
        <v>29995</v>
      </c>
      <c r="W13551" t="s">
        <v>29996</v>
      </c>
      <c r="X13551" t="s">
        <v>42</v>
      </c>
      <c r="Y13551" t="s">
        <v>17171</v>
      </c>
      <c r="Z13551" t="s">
        <v>10790</v>
      </c>
      <c r="AA13551" s="22" t="str">
        <f>HYPERLINK("https://www.ncbi.nlm.nih.gov/nuccore/DQ458789","NCBI Nucleotide")</f>
        <v>NCBI Nucleotide</v>
      </c>
    </row>
    <row r="13552" spans="1:27" x14ac:dyDescent="0.35">
      <c r="A13552">
        <v>1001314</v>
      </c>
      <c r="B13552">
        <v>12631</v>
      </c>
      <c r="C13552">
        <v>1</v>
      </c>
      <c r="D13552" t="s">
        <v>17166</v>
      </c>
      <c r="F13552" t="s">
        <v>17246</v>
      </c>
      <c r="H13552" t="s">
        <v>28921</v>
      </c>
      <c r="J13552" t="s">
        <v>29538</v>
      </c>
      <c r="L13552" t="s">
        <v>29539</v>
      </c>
      <c r="M13552" t="s">
        <v>29944</v>
      </c>
      <c r="N13552" t="s">
        <v>29959</v>
      </c>
      <c r="O13552" t="s">
        <v>29960</v>
      </c>
      <c r="P13552" t="s">
        <v>29961</v>
      </c>
      <c r="Q13552" t="s">
        <v>29993</v>
      </c>
      <c r="R13552" s="26" t="str">
        <f>HYPERLINK("https://ictv.global/taxonomy/taxondetails?taxnode_id=202307509","Alphamesonivirus diankeense")</f>
        <v>Alphamesonivirus diankeense</v>
      </c>
      <c r="S13552" t="s">
        <v>30</v>
      </c>
      <c r="T13552" t="s">
        <v>29997</v>
      </c>
      <c r="U13552" t="s">
        <v>29998</v>
      </c>
      <c r="W13552" t="s">
        <v>29999</v>
      </c>
      <c r="X13552" t="s">
        <v>42</v>
      </c>
      <c r="Y13552" t="s">
        <v>17171</v>
      </c>
      <c r="Z13552" t="s">
        <v>10790</v>
      </c>
      <c r="AA13552" s="22" t="str">
        <f>HYPERLINK("https://www.ncbi.nlm.nih.gov/nuccore/KY056254","NCBI Nucleotide")</f>
        <v>NCBI Nucleotide</v>
      </c>
    </row>
    <row r="13553" spans="1:27" x14ac:dyDescent="0.35">
      <c r="A13553">
        <v>1001315</v>
      </c>
      <c r="B13553">
        <v>12632</v>
      </c>
      <c r="C13553">
        <v>1</v>
      </c>
      <c r="D13553" t="s">
        <v>17166</v>
      </c>
      <c r="F13553" t="s">
        <v>17246</v>
      </c>
      <c r="H13553" t="s">
        <v>28921</v>
      </c>
      <c r="J13553" t="s">
        <v>29538</v>
      </c>
      <c r="L13553" t="s">
        <v>29539</v>
      </c>
      <c r="M13553" t="s">
        <v>29944</v>
      </c>
      <c r="N13553" t="s">
        <v>29959</v>
      </c>
      <c r="O13553" t="s">
        <v>29960</v>
      </c>
      <c r="P13553" t="s">
        <v>29961</v>
      </c>
      <c r="Q13553" t="s">
        <v>30000</v>
      </c>
      <c r="R13553" s="26" t="str">
        <f>HYPERLINK("https://ictv.global/taxonomy/taxondetails?taxnode_id=202306127","Alphamesonivirus ofaieorum")</f>
        <v>Alphamesonivirus ofaieorum</v>
      </c>
      <c r="S13553" t="s">
        <v>30</v>
      </c>
      <c r="T13553" t="s">
        <v>30001</v>
      </c>
      <c r="U13553" t="s">
        <v>30002</v>
      </c>
      <c r="V13553" t="s">
        <v>29977</v>
      </c>
      <c r="W13553" t="s">
        <v>30003</v>
      </c>
      <c r="X13553" t="s">
        <v>42</v>
      </c>
      <c r="Y13553" t="s">
        <v>17171</v>
      </c>
      <c r="Z13553" t="s">
        <v>10790</v>
      </c>
      <c r="AA13553" s="22" t="str">
        <f>HYPERLINK("https://www.ncbi.nlm.nih.gov/nuccore/KT966491","NCBI Nucleotide")</f>
        <v>NCBI Nucleotide</v>
      </c>
    </row>
    <row r="13554" spans="1:27" x14ac:dyDescent="0.35">
      <c r="A13554">
        <v>1001316</v>
      </c>
      <c r="B13554">
        <v>12633</v>
      </c>
      <c r="C13554">
        <v>1</v>
      </c>
      <c r="D13554" t="s">
        <v>17166</v>
      </c>
      <c r="F13554" t="s">
        <v>17246</v>
      </c>
      <c r="H13554" t="s">
        <v>28921</v>
      </c>
      <c r="J13554" t="s">
        <v>29538</v>
      </c>
      <c r="L13554" t="s">
        <v>29539</v>
      </c>
      <c r="M13554" t="s">
        <v>29944</v>
      </c>
      <c r="N13554" t="s">
        <v>29959</v>
      </c>
      <c r="O13554" t="s">
        <v>29960</v>
      </c>
      <c r="P13554" t="s">
        <v>29961</v>
      </c>
      <c r="Q13554" t="s">
        <v>30004</v>
      </c>
      <c r="R13554" s="26" t="str">
        <f>HYPERLINK("https://ictv.global/taxonomy/taxondetails?taxnode_id=202313940","Alphamesonivirus yichangense")</f>
        <v>Alphamesonivirus yichangense</v>
      </c>
      <c r="S13554" t="s">
        <v>30</v>
      </c>
      <c r="T13554" t="s">
        <v>30005</v>
      </c>
      <c r="U13554" t="s">
        <v>30006</v>
      </c>
      <c r="V13554" t="s">
        <v>30007</v>
      </c>
      <c r="W13554" t="s">
        <v>30008</v>
      </c>
      <c r="X13554" t="s">
        <v>42</v>
      </c>
      <c r="Y13554" t="s">
        <v>17171</v>
      </c>
      <c r="Z13554" t="s">
        <v>10790</v>
      </c>
      <c r="AA13554" s="22" t="str">
        <f>HYPERLINK("https://www.ncbi.nlm.nih.gov/nuccore/KY369959","NCBI Nucleotide")</f>
        <v>NCBI Nucleotide</v>
      </c>
    </row>
    <row r="13555" spans="1:27" x14ac:dyDescent="0.35">
      <c r="A13555">
        <v>1001317</v>
      </c>
      <c r="B13555">
        <v>12634</v>
      </c>
      <c r="C13555">
        <v>1</v>
      </c>
      <c r="D13555" t="s">
        <v>17166</v>
      </c>
      <c r="F13555" t="s">
        <v>17246</v>
      </c>
      <c r="H13555" t="s">
        <v>28921</v>
      </c>
      <c r="J13555" t="s">
        <v>29538</v>
      </c>
      <c r="L13555" t="s">
        <v>29539</v>
      </c>
      <c r="M13555" t="s">
        <v>29944</v>
      </c>
      <c r="N13555" t="s">
        <v>29959</v>
      </c>
      <c r="O13555" t="s">
        <v>30009</v>
      </c>
      <c r="P13555" t="s">
        <v>30010</v>
      </c>
      <c r="Q13555" t="s">
        <v>30011</v>
      </c>
      <c r="R13555" s="26" t="str">
        <f>HYPERLINK("https://ictv.global/taxonomy/taxondetails?taxnode_id=202313938","Nasenivirus tami")</f>
        <v>Nasenivirus tami</v>
      </c>
      <c r="S13555" t="s">
        <v>30</v>
      </c>
      <c r="T13555" t="s">
        <v>30012</v>
      </c>
      <c r="U13555" t="s">
        <v>30013</v>
      </c>
      <c r="V13555" t="s">
        <v>30014</v>
      </c>
      <c r="W13555" t="s">
        <v>30015</v>
      </c>
      <c r="X13555" t="s">
        <v>35</v>
      </c>
      <c r="Y13555" t="s">
        <v>17171</v>
      </c>
      <c r="Z13555" t="s">
        <v>10790</v>
      </c>
      <c r="AA13555" s="22" t="str">
        <f>HYPERLINK("https://www.ncbi.nlm.nih.gov/nuccore/MN714662","NCBI Nucleotide")</f>
        <v>NCBI Nucleotide</v>
      </c>
    </row>
    <row r="13556" spans="1:27" x14ac:dyDescent="0.35">
      <c r="A13556">
        <v>1001318</v>
      </c>
      <c r="B13556">
        <v>12635</v>
      </c>
      <c r="C13556">
        <v>1</v>
      </c>
      <c r="D13556" t="s">
        <v>17166</v>
      </c>
      <c r="F13556" t="s">
        <v>17246</v>
      </c>
      <c r="H13556" t="s">
        <v>28921</v>
      </c>
      <c r="J13556" t="s">
        <v>29538</v>
      </c>
      <c r="L13556" t="s">
        <v>29539</v>
      </c>
      <c r="M13556" t="s">
        <v>29944</v>
      </c>
      <c r="N13556" t="s">
        <v>29959</v>
      </c>
      <c r="O13556" t="s">
        <v>30016</v>
      </c>
      <c r="P13556" t="s">
        <v>30017</v>
      </c>
      <c r="Q13556" t="s">
        <v>30018</v>
      </c>
      <c r="R13556" s="26" t="str">
        <f>HYPERLINK("https://ictv.global/taxonomy/taxondetails?taxnode_id=202313934","Tocinivirus aphisi")</f>
        <v>Tocinivirus aphisi</v>
      </c>
      <c r="S13556" t="s">
        <v>30</v>
      </c>
      <c r="T13556" t="s">
        <v>30019</v>
      </c>
      <c r="U13556" t="s">
        <v>14061</v>
      </c>
      <c r="V13556" t="s">
        <v>30020</v>
      </c>
      <c r="W13556" t="s">
        <v>30021</v>
      </c>
      <c r="X13556" t="s">
        <v>35</v>
      </c>
      <c r="Y13556" t="s">
        <v>17171</v>
      </c>
      <c r="Z13556" t="s">
        <v>10790</v>
      </c>
      <c r="AA13556" s="22" t="str">
        <f>HYPERLINK("https://www.ncbi.nlm.nih.gov/nuccore/MN961271","NCBI Nucleotide")</f>
        <v>NCBI Nucleotide</v>
      </c>
    </row>
    <row r="13557" spans="1:27" x14ac:dyDescent="0.35">
      <c r="A13557">
        <v>1001319</v>
      </c>
      <c r="B13557">
        <v>12636</v>
      </c>
      <c r="C13557">
        <v>1</v>
      </c>
      <c r="D13557" t="s">
        <v>17166</v>
      </c>
      <c r="F13557" t="s">
        <v>17246</v>
      </c>
      <c r="H13557" t="s">
        <v>28921</v>
      </c>
      <c r="J13557" t="s">
        <v>29538</v>
      </c>
      <c r="L13557" t="s">
        <v>29539</v>
      </c>
      <c r="M13557" t="s">
        <v>29944</v>
      </c>
      <c r="N13557" t="s">
        <v>29959</v>
      </c>
      <c r="O13557" t="s">
        <v>30016</v>
      </c>
      <c r="P13557" t="s">
        <v>30022</v>
      </c>
      <c r="Q13557" t="s">
        <v>30023</v>
      </c>
      <c r="R13557" s="26" t="str">
        <f>HYPERLINK("https://ictv.global/taxonomy/taxondetails?taxnode_id=202313931","Tofonivirus foami")</f>
        <v>Tofonivirus foami</v>
      </c>
      <c r="S13557" t="s">
        <v>30</v>
      </c>
      <c r="T13557" t="s">
        <v>30024</v>
      </c>
      <c r="U13557" t="s">
        <v>30025</v>
      </c>
      <c r="V13557" t="s">
        <v>30026</v>
      </c>
      <c r="W13557" t="s">
        <v>30027</v>
      </c>
      <c r="X13557" t="s">
        <v>35</v>
      </c>
      <c r="Y13557" t="s">
        <v>17171</v>
      </c>
      <c r="Z13557" t="s">
        <v>10790</v>
      </c>
      <c r="AA13557" s="22" t="str">
        <f>HYPERLINK("https://www.ncbi.nlm.nih.gov/nuccore/MN714663","NCBI Nucleotide")</f>
        <v>NCBI Nucleotide</v>
      </c>
    </row>
    <row r="13558" spans="1:27" x14ac:dyDescent="0.35">
      <c r="A13558">
        <v>1001320</v>
      </c>
      <c r="B13558">
        <v>12637</v>
      </c>
      <c r="C13558">
        <v>1</v>
      </c>
      <c r="D13558" t="s">
        <v>17166</v>
      </c>
      <c r="F13558" t="s">
        <v>17246</v>
      </c>
      <c r="H13558" t="s">
        <v>28921</v>
      </c>
      <c r="J13558" t="s">
        <v>29538</v>
      </c>
      <c r="L13558" t="s">
        <v>29539</v>
      </c>
      <c r="M13558" t="s">
        <v>30028</v>
      </c>
      <c r="N13558" t="s">
        <v>30029</v>
      </c>
      <c r="O13558" t="s">
        <v>30030</v>
      </c>
      <c r="P13558" t="s">
        <v>30031</v>
      </c>
      <c r="Q13558" t="s">
        <v>30032</v>
      </c>
      <c r="R13558" s="26" t="str">
        <f>HYPERLINK("https://ictv.global/taxonomy/taxondetails?taxnode_id=202306206","Alphamononivirus schmidteae")</f>
        <v>Alphamononivirus schmidteae</v>
      </c>
      <c r="S13558" t="s">
        <v>30</v>
      </c>
      <c r="T13558" t="s">
        <v>30033</v>
      </c>
      <c r="U13558" t="s">
        <v>30034</v>
      </c>
      <c r="V13558" t="s">
        <v>30035</v>
      </c>
      <c r="W13558" t="s">
        <v>30036</v>
      </c>
      <c r="X13558" t="s">
        <v>42</v>
      </c>
      <c r="Y13558" t="s">
        <v>17171</v>
      </c>
      <c r="Z13558" t="s">
        <v>10790</v>
      </c>
      <c r="AA13558" s="22" t="str">
        <f>HYPERLINK("https://www.ncbi.nlm.nih.gov/nuccore/MH933735","NCBI Nucleotide")</f>
        <v>NCBI Nucleotide</v>
      </c>
    </row>
    <row r="13559" spans="1:27" x14ac:dyDescent="0.35">
      <c r="A13559">
        <v>1001321</v>
      </c>
      <c r="B13559">
        <v>12638</v>
      </c>
      <c r="C13559">
        <v>1</v>
      </c>
      <c r="D13559" t="s">
        <v>17166</v>
      </c>
      <c r="F13559" t="s">
        <v>17246</v>
      </c>
      <c r="H13559" t="s">
        <v>28921</v>
      </c>
      <c r="J13559" t="s">
        <v>29538</v>
      </c>
      <c r="L13559" t="s">
        <v>29539</v>
      </c>
      <c r="M13559" t="s">
        <v>30037</v>
      </c>
      <c r="N13559" t="s">
        <v>30038</v>
      </c>
      <c r="O13559" t="s">
        <v>30039</v>
      </c>
      <c r="P13559" t="s">
        <v>30040</v>
      </c>
      <c r="R13559" s="26" t="str">
        <f>HYPERLINK("https://ictv.global/taxonomy/taxondetails?taxnode_id=202307489","Chimshavirus chimaerae")</f>
        <v>Chimshavirus chimaerae</v>
      </c>
      <c r="S13559" t="s">
        <v>30</v>
      </c>
      <c r="T13559" t="s">
        <v>30041</v>
      </c>
      <c r="U13559" t="s">
        <v>30042</v>
      </c>
      <c r="W13559" t="s">
        <v>30043</v>
      </c>
      <c r="X13559" t="s">
        <v>35</v>
      </c>
      <c r="Y13559" t="s">
        <v>17171</v>
      </c>
      <c r="Z13559" t="s">
        <v>166</v>
      </c>
      <c r="AA13559" s="22" t="str">
        <f>HYPERLINK("https://www.ncbi.nlm.nih.gov/nuccore/MG600024","NCBI Nucleotide")</f>
        <v>NCBI Nucleotide</v>
      </c>
    </row>
    <row r="13560" spans="1:27" x14ac:dyDescent="0.35">
      <c r="A13560">
        <v>1001322</v>
      </c>
      <c r="B13560">
        <v>12639</v>
      </c>
      <c r="C13560">
        <v>1</v>
      </c>
      <c r="D13560" t="s">
        <v>17166</v>
      </c>
      <c r="F13560" t="s">
        <v>17246</v>
      </c>
      <c r="H13560" t="s">
        <v>28921</v>
      </c>
      <c r="J13560" t="s">
        <v>29538</v>
      </c>
      <c r="L13560" t="s">
        <v>29539</v>
      </c>
      <c r="M13560" t="s">
        <v>30037</v>
      </c>
      <c r="N13560" t="s">
        <v>30044</v>
      </c>
      <c r="O13560" t="s">
        <v>30045</v>
      </c>
      <c r="P13560" t="s">
        <v>30046</v>
      </c>
      <c r="R13560" s="26" t="str">
        <f>HYPERLINK("https://ictv.global/taxonomy/taxondetails?taxnode_id=202307485","Sajorinivirus hyporhamphi")</f>
        <v>Sajorinivirus hyporhamphi</v>
      </c>
      <c r="S13560" t="s">
        <v>30</v>
      </c>
      <c r="T13560" t="s">
        <v>30047</v>
      </c>
      <c r="U13560" t="s">
        <v>30048</v>
      </c>
      <c r="W13560" t="s">
        <v>30049</v>
      </c>
      <c r="X13560" t="s">
        <v>35</v>
      </c>
      <c r="Y13560" t="s">
        <v>17171</v>
      </c>
      <c r="Z13560" t="s">
        <v>166</v>
      </c>
      <c r="AA13560" s="22" t="str">
        <f>HYPERLINK("https://www.ncbi.nlm.nih.gov/nuccore/MG600020","NCBI Nucleotide")</f>
        <v>NCBI Nucleotide</v>
      </c>
    </row>
    <row r="13561" spans="1:27" x14ac:dyDescent="0.35">
      <c r="A13561">
        <v>1001323</v>
      </c>
      <c r="B13561">
        <v>12640</v>
      </c>
      <c r="C13561">
        <v>1</v>
      </c>
      <c r="D13561" t="s">
        <v>17166</v>
      </c>
      <c r="F13561" t="s">
        <v>17246</v>
      </c>
      <c r="H13561" t="s">
        <v>28921</v>
      </c>
      <c r="J13561" t="s">
        <v>29538</v>
      </c>
      <c r="L13561" t="s">
        <v>29539</v>
      </c>
      <c r="M13561" t="s">
        <v>30050</v>
      </c>
      <c r="N13561" t="s">
        <v>30051</v>
      </c>
      <c r="O13561" t="s">
        <v>30052</v>
      </c>
      <c r="P13561" t="s">
        <v>30053</v>
      </c>
      <c r="Q13561" t="s">
        <v>30054</v>
      </c>
      <c r="R13561" s="26" t="str">
        <f>HYPERLINK("https://ictv.global/taxonomy/taxondetails?taxnode_id=202306188","Charybnivirus charybdis")</f>
        <v>Charybnivirus charybdis</v>
      </c>
      <c r="S13561" t="s">
        <v>30</v>
      </c>
      <c r="T13561" t="s">
        <v>30055</v>
      </c>
      <c r="U13561" t="s">
        <v>30056</v>
      </c>
      <c r="V13561" t="s">
        <v>30057</v>
      </c>
      <c r="W13561" t="s">
        <v>30058</v>
      </c>
      <c r="X13561" t="s">
        <v>154</v>
      </c>
      <c r="Y13561" t="s">
        <v>17171</v>
      </c>
      <c r="Z13561" t="s">
        <v>10790</v>
      </c>
      <c r="AA13561" s="22" t="str">
        <f>HYPERLINK("https://www.ncbi.nlm.nih.gov/nuccore/KX883628","NCBI Nucleotide")</f>
        <v>NCBI Nucleotide</v>
      </c>
    </row>
    <row r="13562" spans="1:27" x14ac:dyDescent="0.35">
      <c r="A13562">
        <v>1001324</v>
      </c>
      <c r="B13562">
        <v>12641</v>
      </c>
      <c r="C13562">
        <v>1</v>
      </c>
      <c r="D13562" t="s">
        <v>17166</v>
      </c>
      <c r="F13562" t="s">
        <v>17246</v>
      </c>
      <c r="H13562" t="s">
        <v>28921</v>
      </c>
      <c r="J13562" t="s">
        <v>29538</v>
      </c>
      <c r="L13562" t="s">
        <v>29539</v>
      </c>
      <c r="M13562" t="s">
        <v>30050</v>
      </c>
      <c r="N13562" t="s">
        <v>30051</v>
      </c>
      <c r="O13562" t="s">
        <v>30052</v>
      </c>
      <c r="P13562" t="s">
        <v>30053</v>
      </c>
      <c r="Q13562" t="s">
        <v>30059</v>
      </c>
      <c r="R13562" s="26" t="str">
        <f>HYPERLINK("https://ictv.global/taxonomy/taxondetails?taxnode_id=202306190","Charybnivirus wenlingense")</f>
        <v>Charybnivirus wenlingense</v>
      </c>
      <c r="S13562" t="s">
        <v>30</v>
      </c>
      <c r="T13562" t="s">
        <v>30060</v>
      </c>
      <c r="U13562" t="s">
        <v>30061</v>
      </c>
      <c r="V13562" t="s">
        <v>30062</v>
      </c>
      <c r="W13562" t="s">
        <v>30063</v>
      </c>
      <c r="X13562" t="s">
        <v>154</v>
      </c>
      <c r="Y13562" t="s">
        <v>17171</v>
      </c>
      <c r="Z13562" t="s">
        <v>10790</v>
      </c>
      <c r="AA13562" s="22" t="str">
        <f>HYPERLINK("https://www.ncbi.nlm.nih.gov/nuccore/KX883636","NCBI Nucleotide")</f>
        <v>NCBI Nucleotide</v>
      </c>
    </row>
    <row r="13563" spans="1:27" x14ac:dyDescent="0.35">
      <c r="A13563">
        <v>1001325</v>
      </c>
      <c r="B13563">
        <v>12642</v>
      </c>
      <c r="C13563">
        <v>1</v>
      </c>
      <c r="D13563" t="s">
        <v>17166</v>
      </c>
      <c r="F13563" t="s">
        <v>17246</v>
      </c>
      <c r="H13563" t="s">
        <v>28921</v>
      </c>
      <c r="J13563" t="s">
        <v>29538</v>
      </c>
      <c r="L13563" t="s">
        <v>29539</v>
      </c>
      <c r="M13563" t="s">
        <v>30050</v>
      </c>
      <c r="N13563" t="s">
        <v>30051</v>
      </c>
      <c r="O13563" t="s">
        <v>30052</v>
      </c>
      <c r="P13563" t="s">
        <v>30064</v>
      </c>
      <c r="Q13563" t="s">
        <v>30065</v>
      </c>
      <c r="R13563" s="26" t="str">
        <f>HYPERLINK("https://ictv.global/taxonomy/taxondetails?taxnode_id=202306194","Paguronivirus eremitae")</f>
        <v>Paguronivirus eremitae</v>
      </c>
      <c r="S13563" t="s">
        <v>30</v>
      </c>
      <c r="T13563" t="s">
        <v>30066</v>
      </c>
      <c r="U13563" t="s">
        <v>30067</v>
      </c>
      <c r="V13563" t="s">
        <v>30068</v>
      </c>
      <c r="W13563" t="s">
        <v>30069</v>
      </c>
      <c r="X13563" t="s">
        <v>154</v>
      </c>
      <c r="Y13563" t="s">
        <v>17171</v>
      </c>
      <c r="Z13563" t="s">
        <v>10790</v>
      </c>
      <c r="AA13563" s="22" t="str">
        <f>HYPERLINK("https://www.ncbi.nlm.nih.gov/nuccore/KX883627","NCBI Nucleotide")</f>
        <v>NCBI Nucleotide</v>
      </c>
    </row>
    <row r="13564" spans="1:27" x14ac:dyDescent="0.35">
      <c r="A13564">
        <v>1001326</v>
      </c>
      <c r="B13564">
        <v>12643</v>
      </c>
      <c r="C13564">
        <v>1</v>
      </c>
      <c r="D13564" t="s">
        <v>17166</v>
      </c>
      <c r="F13564" t="s">
        <v>17246</v>
      </c>
      <c r="H13564" t="s">
        <v>28921</v>
      </c>
      <c r="J13564" t="s">
        <v>29538</v>
      </c>
      <c r="L13564" t="s">
        <v>29539</v>
      </c>
      <c r="M13564" t="s">
        <v>30050</v>
      </c>
      <c r="N13564" t="s">
        <v>30070</v>
      </c>
      <c r="O13564" t="s">
        <v>30071</v>
      </c>
      <c r="P13564" t="s">
        <v>30072</v>
      </c>
      <c r="Q13564" t="s">
        <v>30073</v>
      </c>
      <c r="R13564" s="26" t="str">
        <f>HYPERLINK("https://ictv.global/taxonomy/taxondetails?taxnode_id=202313943","Nimanivirus lahi")</f>
        <v>Nimanivirus lahi</v>
      </c>
      <c r="S13564" t="s">
        <v>30</v>
      </c>
      <c r="T13564" t="s">
        <v>30074</v>
      </c>
      <c r="U13564" t="s">
        <v>30075</v>
      </c>
      <c r="V13564" t="s">
        <v>30076</v>
      </c>
      <c r="W13564" t="s">
        <v>30077</v>
      </c>
      <c r="X13564" t="s">
        <v>42</v>
      </c>
      <c r="Y13564" t="s">
        <v>17171</v>
      </c>
      <c r="Z13564" t="s">
        <v>10790</v>
      </c>
      <c r="AA13564" s="22" t="str">
        <f>HYPERLINK("https://www.ncbi.nlm.nih.gov/nuccore/MT907511","NCBI Nucleotide")</f>
        <v>NCBI Nucleotide</v>
      </c>
    </row>
    <row r="13565" spans="1:27" x14ac:dyDescent="0.35">
      <c r="A13565">
        <v>1001327</v>
      </c>
      <c r="B13565">
        <v>12644</v>
      </c>
      <c r="C13565">
        <v>1</v>
      </c>
      <c r="D13565" t="s">
        <v>17166</v>
      </c>
      <c r="F13565" t="s">
        <v>17246</v>
      </c>
      <c r="H13565" t="s">
        <v>28921</v>
      </c>
      <c r="J13565" t="s">
        <v>29538</v>
      </c>
      <c r="L13565" t="s">
        <v>29539</v>
      </c>
      <c r="M13565" t="s">
        <v>30050</v>
      </c>
      <c r="N13565" t="s">
        <v>30070</v>
      </c>
      <c r="O13565" t="s">
        <v>30071</v>
      </c>
      <c r="P13565" t="s">
        <v>30078</v>
      </c>
      <c r="Q13565" t="s">
        <v>30079</v>
      </c>
      <c r="R13565" s="26" t="str">
        <f>HYPERLINK("https://ictv.global/taxonomy/taxondetails?taxnode_id=202301909","Okavirus branchiae")</f>
        <v>Okavirus branchiae</v>
      </c>
      <c r="S13565" t="s">
        <v>30</v>
      </c>
      <c r="T13565" t="s">
        <v>30080</v>
      </c>
      <c r="U13565" t="s">
        <v>28676</v>
      </c>
      <c r="V13565" t="s">
        <v>30081</v>
      </c>
      <c r="W13565" t="s">
        <v>30082</v>
      </c>
      <c r="X13565" t="s">
        <v>42</v>
      </c>
      <c r="Y13565" t="s">
        <v>17171</v>
      </c>
      <c r="Z13565" t="s">
        <v>10790</v>
      </c>
      <c r="AA13565" s="22" t="str">
        <f>HYPERLINK("https://www.ncbi.nlm.nih.gov/nuccore/AF227196","NCBI Nucleotide")</f>
        <v>NCBI Nucleotide</v>
      </c>
    </row>
    <row r="13566" spans="1:27" x14ac:dyDescent="0.35">
      <c r="A13566">
        <v>1001328</v>
      </c>
      <c r="B13566">
        <v>12645</v>
      </c>
      <c r="C13566">
        <v>1</v>
      </c>
      <c r="D13566" t="s">
        <v>17166</v>
      </c>
      <c r="F13566" t="s">
        <v>17246</v>
      </c>
      <c r="H13566" t="s">
        <v>28921</v>
      </c>
      <c r="J13566" t="s">
        <v>29538</v>
      </c>
      <c r="L13566" t="s">
        <v>29539</v>
      </c>
      <c r="M13566" t="s">
        <v>30050</v>
      </c>
      <c r="N13566" t="s">
        <v>30070</v>
      </c>
      <c r="O13566" t="s">
        <v>30071</v>
      </c>
      <c r="P13566" t="s">
        <v>30078</v>
      </c>
      <c r="Q13566" t="s">
        <v>30079</v>
      </c>
      <c r="R13566" s="26" t="str">
        <f>HYPERLINK("https://ictv.global/taxonomy/taxondetails?taxnode_id=202306183","Okavirus flavicapitis")</f>
        <v>Okavirus flavicapitis</v>
      </c>
      <c r="S13566" t="s">
        <v>30</v>
      </c>
      <c r="T13566" t="s">
        <v>30083</v>
      </c>
      <c r="U13566" t="s">
        <v>30084</v>
      </c>
      <c r="V13566" t="s">
        <v>30085</v>
      </c>
      <c r="W13566" t="s">
        <v>30086</v>
      </c>
      <c r="X13566" t="s">
        <v>42</v>
      </c>
      <c r="Y13566" t="s">
        <v>17171</v>
      </c>
      <c r="Z13566" t="s">
        <v>10790</v>
      </c>
      <c r="AA13566" s="22" t="str">
        <f>HYPERLINK("https://www.ncbi.nlm.nih.gov/nuccore/EU487200","NCBI Nucleotide")</f>
        <v>NCBI Nucleotide</v>
      </c>
    </row>
    <row r="13567" spans="1:27" x14ac:dyDescent="0.35">
      <c r="A13567">
        <v>1001329</v>
      </c>
      <c r="B13567">
        <v>12646</v>
      </c>
      <c r="C13567">
        <v>1</v>
      </c>
      <c r="D13567" t="s">
        <v>17166</v>
      </c>
      <c r="F13567" t="s">
        <v>17246</v>
      </c>
      <c r="H13567" t="s">
        <v>28921</v>
      </c>
      <c r="J13567" t="s">
        <v>29538</v>
      </c>
      <c r="L13567" t="s">
        <v>29539</v>
      </c>
      <c r="M13567" t="s">
        <v>30050</v>
      </c>
      <c r="N13567" t="s">
        <v>30070</v>
      </c>
      <c r="O13567" t="s">
        <v>30071</v>
      </c>
      <c r="P13567" t="s">
        <v>30078</v>
      </c>
      <c r="Q13567" t="s">
        <v>30079</v>
      </c>
      <c r="R13567" s="26" t="str">
        <f>HYPERLINK("https://ictv.global/taxonomy/taxondetails?taxnode_id=202307510","Okavirus orientale")</f>
        <v>Okavirus orientale</v>
      </c>
      <c r="S13567" t="s">
        <v>30</v>
      </c>
      <c r="T13567" t="s">
        <v>30087</v>
      </c>
      <c r="U13567" t="s">
        <v>30088</v>
      </c>
      <c r="V13567">
        <v>20120706</v>
      </c>
      <c r="W13567" t="s">
        <v>30089</v>
      </c>
      <c r="X13567" t="s">
        <v>42</v>
      </c>
      <c r="Y13567" t="s">
        <v>17171</v>
      </c>
      <c r="Z13567" t="s">
        <v>10790</v>
      </c>
      <c r="AA13567" s="22" t="str">
        <f>HYPERLINK("https://www.ncbi.nlm.nih.gov/nuccore/KX947267","NCBI Nucleotide")</f>
        <v>NCBI Nucleotide</v>
      </c>
    </row>
    <row r="13568" spans="1:27" x14ac:dyDescent="0.35">
      <c r="A13568">
        <v>1001330</v>
      </c>
      <c r="B13568">
        <v>12647</v>
      </c>
      <c r="C13568">
        <v>1</v>
      </c>
      <c r="D13568" t="s">
        <v>17166</v>
      </c>
      <c r="F13568" t="s">
        <v>17246</v>
      </c>
      <c r="H13568" t="s">
        <v>28921</v>
      </c>
      <c r="J13568" t="s">
        <v>29538</v>
      </c>
      <c r="L13568" t="s">
        <v>29539</v>
      </c>
      <c r="M13568" t="s">
        <v>30090</v>
      </c>
      <c r="N13568" t="s">
        <v>30091</v>
      </c>
      <c r="O13568" t="s">
        <v>30092</v>
      </c>
      <c r="P13568" t="s">
        <v>30093</v>
      </c>
      <c r="Q13568" t="s">
        <v>30094</v>
      </c>
      <c r="R13568" s="26" t="str">
        <f>HYPERLINK("https://ictv.global/taxonomy/taxondetails?taxnode_id=202301885","Bafinivirus bliccae")</f>
        <v>Bafinivirus bliccae</v>
      </c>
      <c r="S13568" t="s">
        <v>30</v>
      </c>
      <c r="T13568" t="s">
        <v>30095</v>
      </c>
      <c r="U13568" t="s">
        <v>27947</v>
      </c>
      <c r="V13568" t="s">
        <v>30096</v>
      </c>
      <c r="W13568" t="s">
        <v>30097</v>
      </c>
      <c r="X13568" t="s">
        <v>42</v>
      </c>
      <c r="Y13568" t="s">
        <v>17171</v>
      </c>
      <c r="Z13568" t="s">
        <v>166</v>
      </c>
      <c r="AA13568" s="22" t="str">
        <f>HYPERLINK("https://www.ncbi.nlm.nih.gov/nuccore/DQ898157","NCBI Nucleotide")</f>
        <v>NCBI Nucleotide</v>
      </c>
    </row>
    <row r="13569" spans="1:27" x14ac:dyDescent="0.35">
      <c r="A13569">
        <v>1001331</v>
      </c>
      <c r="B13569">
        <v>12648</v>
      </c>
      <c r="C13569">
        <v>1</v>
      </c>
      <c r="D13569" t="s">
        <v>17166</v>
      </c>
      <c r="F13569" t="s">
        <v>17246</v>
      </c>
      <c r="H13569" t="s">
        <v>28921</v>
      </c>
      <c r="J13569" t="s">
        <v>29538</v>
      </c>
      <c r="L13569" t="s">
        <v>29539</v>
      </c>
      <c r="M13569" t="s">
        <v>30090</v>
      </c>
      <c r="N13569" t="s">
        <v>30091</v>
      </c>
      <c r="O13569" t="s">
        <v>30092</v>
      </c>
      <c r="P13569" t="s">
        <v>30093</v>
      </c>
      <c r="Q13569" t="s">
        <v>30098</v>
      </c>
      <c r="R13569" s="26" t="str">
        <f>HYPERLINK("https://ictv.global/taxonomy/taxondetails?taxnode_id=202301884","Bafinivirus pimephalae")</f>
        <v>Bafinivirus pimephalae</v>
      </c>
      <c r="S13569" t="s">
        <v>30</v>
      </c>
      <c r="T13569" t="s">
        <v>30099</v>
      </c>
      <c r="U13569" t="s">
        <v>30100</v>
      </c>
      <c r="W13569" t="s">
        <v>30101</v>
      </c>
      <c r="X13569" t="s">
        <v>42</v>
      </c>
      <c r="Y13569" t="s">
        <v>17171</v>
      </c>
      <c r="Z13569" t="s">
        <v>166</v>
      </c>
      <c r="AA13569" s="22" t="str">
        <f>HYPERLINK("https://www.ncbi.nlm.nih.gov/nuccore/GU002364","NCBI Nucleotide")</f>
        <v>NCBI Nucleotide</v>
      </c>
    </row>
    <row r="13570" spans="1:27" x14ac:dyDescent="0.35">
      <c r="A13570">
        <v>1001332</v>
      </c>
      <c r="B13570">
        <v>12649</v>
      </c>
      <c r="C13570">
        <v>1</v>
      </c>
      <c r="D13570" t="s">
        <v>17166</v>
      </c>
      <c r="F13570" t="s">
        <v>17246</v>
      </c>
      <c r="H13570" t="s">
        <v>28921</v>
      </c>
      <c r="J13570" t="s">
        <v>29538</v>
      </c>
      <c r="L13570" t="s">
        <v>29539</v>
      </c>
      <c r="M13570" t="s">
        <v>30090</v>
      </c>
      <c r="N13570" t="s">
        <v>30091</v>
      </c>
      <c r="O13570" t="s">
        <v>30092</v>
      </c>
      <c r="P13570" t="s">
        <v>30102</v>
      </c>
      <c r="Q13570" t="s">
        <v>30103</v>
      </c>
      <c r="R13570" s="26" t="str">
        <f>HYPERLINK("https://ictv.global/taxonomy/taxondetails?taxnode_id=202301894","Oncotshavirus oncorhynchi")</f>
        <v>Oncotshavirus oncorhynchi</v>
      </c>
      <c r="S13570" t="s">
        <v>30</v>
      </c>
      <c r="T13570" t="s">
        <v>30104</v>
      </c>
      <c r="U13570" t="s">
        <v>30105</v>
      </c>
      <c r="V13570" t="s">
        <v>30106</v>
      </c>
      <c r="W13570" t="s">
        <v>30107</v>
      </c>
      <c r="X13570" t="s">
        <v>42</v>
      </c>
      <c r="Y13570" t="s">
        <v>17171</v>
      </c>
      <c r="Z13570" t="s">
        <v>166</v>
      </c>
      <c r="AA13570" s="22" t="str">
        <f>HYPERLINK("https://www.ncbi.nlm.nih.gov/nuccore/KJ681496","NCBI Nucleotide")</f>
        <v>NCBI Nucleotide</v>
      </c>
    </row>
    <row r="13571" spans="1:27" x14ac:dyDescent="0.35">
      <c r="A13571">
        <v>1001333</v>
      </c>
      <c r="B13571">
        <v>12650</v>
      </c>
      <c r="C13571">
        <v>1</v>
      </c>
      <c r="D13571" t="s">
        <v>17166</v>
      </c>
      <c r="F13571" t="s">
        <v>17246</v>
      </c>
      <c r="H13571" t="s">
        <v>28921</v>
      </c>
      <c r="J13571" t="s">
        <v>29538</v>
      </c>
      <c r="L13571" t="s">
        <v>29539</v>
      </c>
      <c r="M13571" t="s">
        <v>30090</v>
      </c>
      <c r="N13571" t="s">
        <v>30091</v>
      </c>
      <c r="O13571" t="s">
        <v>30108</v>
      </c>
      <c r="P13571" t="s">
        <v>30109</v>
      </c>
      <c r="Q13571" t="s">
        <v>30110</v>
      </c>
      <c r="R13571" s="26" t="str">
        <f>HYPERLINK("https://ictv.global/taxonomy/taxondetails?taxnode_id=202301893","Bostovirus bovis")</f>
        <v>Bostovirus bovis</v>
      </c>
      <c r="S13571" t="s">
        <v>30</v>
      </c>
      <c r="T13571" t="s">
        <v>30111</v>
      </c>
      <c r="U13571" t="s">
        <v>30112</v>
      </c>
      <c r="V13571" t="s">
        <v>30113</v>
      </c>
      <c r="W13571" t="s">
        <v>30114</v>
      </c>
      <c r="X13571" t="s">
        <v>42</v>
      </c>
      <c r="Y13571" t="s">
        <v>17171</v>
      </c>
      <c r="Z13571" t="s">
        <v>166</v>
      </c>
      <c r="AA13571" s="22" t="str">
        <f>HYPERLINK("https://www.ncbi.nlm.nih.gov/nuccore/KM589359","NCBI Nucleotide")</f>
        <v>NCBI Nucleotide</v>
      </c>
    </row>
    <row r="13572" spans="1:27" x14ac:dyDescent="0.35">
      <c r="A13572">
        <v>1001334</v>
      </c>
      <c r="B13572">
        <v>12651</v>
      </c>
      <c r="C13572">
        <v>1</v>
      </c>
      <c r="D13572" t="s">
        <v>17166</v>
      </c>
      <c r="F13572" t="s">
        <v>17246</v>
      </c>
      <c r="H13572" t="s">
        <v>28921</v>
      </c>
      <c r="J13572" t="s">
        <v>29538</v>
      </c>
      <c r="L13572" t="s">
        <v>29539</v>
      </c>
      <c r="M13572" t="s">
        <v>30090</v>
      </c>
      <c r="N13572" t="s">
        <v>30091</v>
      </c>
      <c r="O13572" t="s">
        <v>30115</v>
      </c>
      <c r="P13572" t="s">
        <v>30116</v>
      </c>
      <c r="Q13572" t="s">
        <v>30117</v>
      </c>
      <c r="R13572" s="26" t="str">
        <f>HYPERLINK("https://ictv.global/taxonomy/taxondetails?taxnode_id=202307502","Infratovirus hebii")</f>
        <v>Infratovirus hebii</v>
      </c>
      <c r="S13572" t="s">
        <v>30</v>
      </c>
      <c r="T13572" t="s">
        <v>30118</v>
      </c>
      <c r="U13572" t="s">
        <v>30119</v>
      </c>
      <c r="W13572" t="s">
        <v>30120</v>
      </c>
      <c r="X13572" t="s">
        <v>35</v>
      </c>
      <c r="Y13572" t="s">
        <v>17171</v>
      </c>
      <c r="Z13572" t="s">
        <v>166</v>
      </c>
      <c r="AA13572" s="22" t="str">
        <f>HYPERLINK("https://www.ncbi.nlm.nih.gov/nuccore/MG600028","NCBI Nucleotide")</f>
        <v>NCBI Nucleotide</v>
      </c>
    </row>
    <row r="13573" spans="1:27" x14ac:dyDescent="0.35">
      <c r="A13573">
        <v>1001335</v>
      </c>
      <c r="B13573">
        <v>12652</v>
      </c>
      <c r="C13573">
        <v>1</v>
      </c>
      <c r="D13573" t="s">
        <v>17166</v>
      </c>
      <c r="F13573" t="s">
        <v>17246</v>
      </c>
      <c r="H13573" t="s">
        <v>28921</v>
      </c>
      <c r="J13573" t="s">
        <v>29538</v>
      </c>
      <c r="L13573" t="s">
        <v>29539</v>
      </c>
      <c r="M13573" t="s">
        <v>30090</v>
      </c>
      <c r="N13573" t="s">
        <v>30091</v>
      </c>
      <c r="O13573" t="s">
        <v>30115</v>
      </c>
      <c r="P13573" t="s">
        <v>30116</v>
      </c>
      <c r="Q13573" t="s">
        <v>30121</v>
      </c>
      <c r="R13573" s="26" t="str">
        <f>HYPERLINK("https://ictv.global/taxonomy/taxondetails?taxnode_id=202313911","Infratovirus latu")</f>
        <v>Infratovirus latu</v>
      </c>
      <c r="S13573" t="s">
        <v>30</v>
      </c>
      <c r="T13573" t="s">
        <v>30122</v>
      </c>
      <c r="U13573" t="s">
        <v>30123</v>
      </c>
      <c r="V13573" t="s">
        <v>30124</v>
      </c>
      <c r="W13573" t="s">
        <v>30125</v>
      </c>
      <c r="X13573" t="s">
        <v>35</v>
      </c>
      <c r="Y13573" t="s">
        <v>17171</v>
      </c>
      <c r="Z13573" t="s">
        <v>166</v>
      </c>
      <c r="AA13573" s="22" t="str">
        <f>HYPERLINK("https://www.ncbi.nlm.nih.gov/nuccore/MN161572","NCBI Nucleotide")</f>
        <v>NCBI Nucleotide</v>
      </c>
    </row>
    <row r="13574" spans="1:27" x14ac:dyDescent="0.35">
      <c r="A13574">
        <v>1001336</v>
      </c>
      <c r="B13574">
        <v>12653</v>
      </c>
      <c r="C13574">
        <v>1</v>
      </c>
      <c r="D13574" t="s">
        <v>17166</v>
      </c>
      <c r="F13574" t="s">
        <v>17246</v>
      </c>
      <c r="H13574" t="s">
        <v>28921</v>
      </c>
      <c r="J13574" t="s">
        <v>29538</v>
      </c>
      <c r="L13574" t="s">
        <v>29539</v>
      </c>
      <c r="M13574" t="s">
        <v>30090</v>
      </c>
      <c r="N13574" t="s">
        <v>30091</v>
      </c>
      <c r="O13574" t="s">
        <v>30115</v>
      </c>
      <c r="P13574" t="s">
        <v>30116</v>
      </c>
      <c r="Q13574" t="s">
        <v>30126</v>
      </c>
      <c r="R13574" s="26" t="str">
        <f>HYPERLINK("https://ictv.global/taxonomy/taxondetails?taxnode_id=202306154","Infratovirus hubeiense")</f>
        <v>Infratovirus hubeiense</v>
      </c>
      <c r="S13574" t="s">
        <v>30</v>
      </c>
      <c r="T13574" t="s">
        <v>30127</v>
      </c>
      <c r="U13574" t="s">
        <v>30128</v>
      </c>
      <c r="V13574" t="s">
        <v>30129</v>
      </c>
      <c r="W13574" t="s">
        <v>30130</v>
      </c>
      <c r="X13574" t="s">
        <v>35</v>
      </c>
      <c r="Y13574" t="s">
        <v>17171</v>
      </c>
      <c r="Z13574" t="s">
        <v>166</v>
      </c>
      <c r="AA13574" s="22" t="str">
        <f>HYPERLINK("https://www.ncbi.nlm.nih.gov/nuccore/KX883638","NCBI Nucleotide")</f>
        <v>NCBI Nucleotide</v>
      </c>
    </row>
    <row r="13575" spans="1:27" x14ac:dyDescent="0.35">
      <c r="A13575">
        <v>1001337</v>
      </c>
      <c r="B13575">
        <v>12654</v>
      </c>
      <c r="C13575">
        <v>1</v>
      </c>
      <c r="D13575" t="s">
        <v>17166</v>
      </c>
      <c r="F13575" t="s">
        <v>17246</v>
      </c>
      <c r="H13575" t="s">
        <v>28921</v>
      </c>
      <c r="J13575" t="s">
        <v>29538</v>
      </c>
      <c r="L13575" t="s">
        <v>29539</v>
      </c>
      <c r="M13575" t="s">
        <v>30090</v>
      </c>
      <c r="N13575" t="s">
        <v>30091</v>
      </c>
      <c r="O13575" t="s">
        <v>30115</v>
      </c>
      <c r="P13575" t="s">
        <v>30131</v>
      </c>
      <c r="Q13575" t="s">
        <v>30132</v>
      </c>
      <c r="R13575" s="26" t="str">
        <f>HYPERLINK("https://ictv.global/taxonomy/taxondetails?taxnode_id=202313913","Lyctovirus alpa")</f>
        <v>Lyctovirus alpa</v>
      </c>
      <c r="S13575" t="s">
        <v>30</v>
      </c>
      <c r="T13575" t="s">
        <v>30133</v>
      </c>
      <c r="U13575" t="s">
        <v>30134</v>
      </c>
      <c r="V13575" t="s">
        <v>8141</v>
      </c>
      <c r="W13575" t="s">
        <v>30135</v>
      </c>
      <c r="X13575" t="s">
        <v>42</v>
      </c>
      <c r="Y13575" t="s">
        <v>17171</v>
      </c>
      <c r="Z13575" t="s">
        <v>166</v>
      </c>
      <c r="AA13575" s="22" t="str">
        <f>HYPERLINK("https://www.ncbi.nlm.nih.gov/nuccore/MT997160","NCBI Nucleotide")</f>
        <v>NCBI Nucleotide</v>
      </c>
    </row>
    <row r="13576" spans="1:27" x14ac:dyDescent="0.35">
      <c r="A13576">
        <v>1001338</v>
      </c>
      <c r="B13576">
        <v>12655</v>
      </c>
      <c r="C13576">
        <v>1</v>
      </c>
      <c r="D13576" t="s">
        <v>17166</v>
      </c>
      <c r="F13576" t="s">
        <v>17246</v>
      </c>
      <c r="H13576" t="s">
        <v>28921</v>
      </c>
      <c r="J13576" t="s">
        <v>29538</v>
      </c>
      <c r="L13576" t="s">
        <v>29539</v>
      </c>
      <c r="M13576" t="s">
        <v>30090</v>
      </c>
      <c r="N13576" t="s">
        <v>30091</v>
      </c>
      <c r="O13576" t="s">
        <v>30115</v>
      </c>
      <c r="P13576" t="s">
        <v>30131</v>
      </c>
      <c r="Q13576" t="s">
        <v>30136</v>
      </c>
      <c r="R13576" s="26" t="str">
        <f>HYPERLINK("https://ictv.global/taxonomy/taxondetails?taxnode_id=202307505","Lyctovirus lycodontis")</f>
        <v>Lyctovirus lycodontis</v>
      </c>
      <c r="S13576" t="s">
        <v>30</v>
      </c>
      <c r="T13576" t="s">
        <v>30137</v>
      </c>
      <c r="U13576" t="s">
        <v>30138</v>
      </c>
      <c r="W13576" t="s">
        <v>30139</v>
      </c>
      <c r="X13576" t="s">
        <v>35</v>
      </c>
      <c r="Y13576" t="s">
        <v>17171</v>
      </c>
      <c r="Z13576" t="s">
        <v>166</v>
      </c>
      <c r="AA13576" s="22" t="str">
        <f>HYPERLINK("https://www.ncbi.nlm.nih.gov/nuccore/MG600030","NCBI Nucleotide")</f>
        <v>NCBI Nucleotide</v>
      </c>
    </row>
    <row r="13577" spans="1:27" x14ac:dyDescent="0.35">
      <c r="A13577">
        <v>1001341</v>
      </c>
      <c r="B13577">
        <v>12656</v>
      </c>
      <c r="C13577">
        <v>1</v>
      </c>
      <c r="D13577" t="s">
        <v>17166</v>
      </c>
      <c r="F13577" t="s">
        <v>17246</v>
      </c>
      <c r="H13577" t="s">
        <v>28921</v>
      </c>
      <c r="J13577" t="s">
        <v>29538</v>
      </c>
      <c r="L13577" t="s">
        <v>29539</v>
      </c>
      <c r="M13577" t="s">
        <v>30090</v>
      </c>
      <c r="N13577" t="s">
        <v>30091</v>
      </c>
      <c r="O13577" t="s">
        <v>30115</v>
      </c>
      <c r="P13577" t="s">
        <v>30140</v>
      </c>
      <c r="Q13577" t="s">
        <v>30141</v>
      </c>
      <c r="R13577" s="26" t="str">
        <f>HYPERLINK("https://ictv.global/taxonomy/taxondetails?taxnode_id=202313917","Pregotovirus heba")</f>
        <v>Pregotovirus heba</v>
      </c>
      <c r="S13577" t="s">
        <v>30</v>
      </c>
      <c r="T13577" t="s">
        <v>30145</v>
      </c>
      <c r="U13577" t="s">
        <v>30148</v>
      </c>
      <c r="V13577" t="s">
        <v>30149</v>
      </c>
      <c r="W13577" t="s">
        <v>30150</v>
      </c>
      <c r="X13577" t="s">
        <v>42</v>
      </c>
      <c r="Y13577" t="s">
        <v>17171</v>
      </c>
      <c r="Z13577" t="s">
        <v>166</v>
      </c>
      <c r="AA13577" s="22" t="str">
        <f>HYPERLINK("https://www.ncbi.nlm.nih.gov/nuccore/MK182569","NCBI Nucleotide")</f>
        <v>NCBI Nucleotide</v>
      </c>
    </row>
    <row r="13578" spans="1:27" x14ac:dyDescent="0.35">
      <c r="A13578">
        <v>1001340</v>
      </c>
      <c r="B13578">
        <v>12657</v>
      </c>
      <c r="C13578">
        <v>1</v>
      </c>
      <c r="D13578" t="s">
        <v>17166</v>
      </c>
      <c r="F13578" t="s">
        <v>17246</v>
      </c>
      <c r="H13578" t="s">
        <v>28921</v>
      </c>
      <c r="J13578" t="s">
        <v>29538</v>
      </c>
      <c r="L13578" t="s">
        <v>29539</v>
      </c>
      <c r="M13578" t="s">
        <v>30090</v>
      </c>
      <c r="N13578" t="s">
        <v>30091</v>
      </c>
      <c r="O13578" t="s">
        <v>30115</v>
      </c>
      <c r="P13578" t="s">
        <v>30140</v>
      </c>
      <c r="Q13578" t="s">
        <v>30141</v>
      </c>
      <c r="R13578" s="26" t="str">
        <f>HYPERLINK("https://ictv.global/taxonomy/taxondetails?taxnode_id=202307508","Pregotovirus moreliae")</f>
        <v>Pregotovirus moreliae</v>
      </c>
      <c r="S13578" t="s">
        <v>30</v>
      </c>
      <c r="T13578" t="s">
        <v>30145</v>
      </c>
      <c r="U13578" t="s">
        <v>30146</v>
      </c>
      <c r="W13578" t="s">
        <v>30147</v>
      </c>
      <c r="X13578" t="s">
        <v>42</v>
      </c>
      <c r="Y13578" t="s">
        <v>17171</v>
      </c>
      <c r="Z13578" t="s">
        <v>166</v>
      </c>
      <c r="AA13578" s="22" t="str">
        <f>HYPERLINK("https://www.ncbi.nlm.nih.gov/nuccore/MF351889","NCBI Nucleotide")</f>
        <v>NCBI Nucleotide</v>
      </c>
    </row>
    <row r="13579" spans="1:27" x14ac:dyDescent="0.35">
      <c r="A13579">
        <v>1001339</v>
      </c>
      <c r="B13579">
        <v>12658</v>
      </c>
      <c r="C13579">
        <v>1</v>
      </c>
      <c r="D13579" t="s">
        <v>17166</v>
      </c>
      <c r="F13579" t="s">
        <v>17246</v>
      </c>
      <c r="H13579" t="s">
        <v>28921</v>
      </c>
      <c r="J13579" t="s">
        <v>29538</v>
      </c>
      <c r="L13579" t="s">
        <v>29539</v>
      </c>
      <c r="M13579" t="s">
        <v>30090</v>
      </c>
      <c r="N13579" t="s">
        <v>30091</v>
      </c>
      <c r="O13579" t="s">
        <v>30115</v>
      </c>
      <c r="P13579" t="s">
        <v>30140</v>
      </c>
      <c r="Q13579" t="s">
        <v>30141</v>
      </c>
      <c r="R13579" s="26" t="str">
        <f>HYPERLINK("https://ictv.global/taxonomy/taxondetails?taxnode_id=202301892","Pregotovirus pythonis")</f>
        <v>Pregotovirus pythonis</v>
      </c>
      <c r="S13579" t="s">
        <v>30</v>
      </c>
      <c r="T13579" t="s">
        <v>30142</v>
      </c>
      <c r="U13579" t="s">
        <v>30143</v>
      </c>
      <c r="V13579">
        <v>19541</v>
      </c>
      <c r="W13579" t="s">
        <v>30144</v>
      </c>
      <c r="X13579" t="s">
        <v>42</v>
      </c>
      <c r="Y13579" t="s">
        <v>17171</v>
      </c>
      <c r="Z13579" t="s">
        <v>166</v>
      </c>
      <c r="AA13579" s="22" t="str">
        <f>HYPERLINK("https://www.ncbi.nlm.nih.gov/nuccore/KJ541759","NCBI Nucleotide")</f>
        <v>NCBI Nucleotide</v>
      </c>
    </row>
    <row r="13580" spans="1:27" x14ac:dyDescent="0.35">
      <c r="A13580">
        <v>1001342</v>
      </c>
      <c r="B13580">
        <v>12659</v>
      </c>
      <c r="C13580">
        <v>1</v>
      </c>
      <c r="D13580" t="s">
        <v>17166</v>
      </c>
      <c r="F13580" t="s">
        <v>17246</v>
      </c>
      <c r="H13580" t="s">
        <v>28921</v>
      </c>
      <c r="J13580" t="s">
        <v>29538</v>
      </c>
      <c r="L13580" t="s">
        <v>29539</v>
      </c>
      <c r="M13580" t="s">
        <v>30090</v>
      </c>
      <c r="N13580" t="s">
        <v>30091</v>
      </c>
      <c r="O13580" t="s">
        <v>30115</v>
      </c>
      <c r="P13580" t="s">
        <v>30140</v>
      </c>
      <c r="Q13580" t="s">
        <v>30151</v>
      </c>
      <c r="R13580" s="26" t="str">
        <f>HYPERLINK("https://ictv.global/taxonomy/taxondetails?taxnode_id=202307507","Pregotovirus myuchelyis")</f>
        <v>Pregotovirus myuchelyis</v>
      </c>
      <c r="S13580" t="s">
        <v>30</v>
      </c>
      <c r="T13580" t="s">
        <v>30152</v>
      </c>
      <c r="U13580" t="s">
        <v>17912</v>
      </c>
      <c r="V13580" t="s">
        <v>30153</v>
      </c>
      <c r="W13580" t="s">
        <v>30154</v>
      </c>
      <c r="X13580" t="s">
        <v>42</v>
      </c>
      <c r="Y13580" t="s">
        <v>17171</v>
      </c>
      <c r="Z13580" t="s">
        <v>166</v>
      </c>
      <c r="AA13580" s="22" t="str">
        <f>HYPERLINK("https://www.ncbi.nlm.nih.gov/nuccore/MF685025","NCBI Nucleotide")</f>
        <v>NCBI Nucleotide</v>
      </c>
    </row>
    <row r="13581" spans="1:27" x14ac:dyDescent="0.35">
      <c r="A13581">
        <v>1001343</v>
      </c>
      <c r="B13581">
        <v>12660</v>
      </c>
      <c r="C13581">
        <v>1</v>
      </c>
      <c r="D13581" t="s">
        <v>17166</v>
      </c>
      <c r="F13581" t="s">
        <v>17246</v>
      </c>
      <c r="H13581" t="s">
        <v>28921</v>
      </c>
      <c r="J13581" t="s">
        <v>29538</v>
      </c>
      <c r="L13581" t="s">
        <v>29539</v>
      </c>
      <c r="M13581" t="s">
        <v>30090</v>
      </c>
      <c r="N13581" t="s">
        <v>30091</v>
      </c>
      <c r="O13581" t="s">
        <v>30115</v>
      </c>
      <c r="P13581" t="s">
        <v>30140</v>
      </c>
      <c r="Q13581" t="s">
        <v>30155</v>
      </c>
      <c r="R13581" s="26" t="str">
        <f>HYPERLINK("https://ictv.global/taxonomy/taxondetails?taxnode_id=202306156","Pregotovirus tiliquae")</f>
        <v>Pregotovirus tiliquae</v>
      </c>
      <c r="S13581" t="s">
        <v>30</v>
      </c>
      <c r="T13581" t="s">
        <v>30156</v>
      </c>
      <c r="U13581" t="s">
        <v>30157</v>
      </c>
      <c r="W13581" t="s">
        <v>30158</v>
      </c>
      <c r="X13581" t="s">
        <v>154</v>
      </c>
      <c r="Y13581" t="s">
        <v>17171</v>
      </c>
      <c r="Z13581" t="s">
        <v>166</v>
      </c>
      <c r="AA13581" s="22" t="str">
        <f>HYPERLINK("https://www.ncbi.nlm.nih.gov/nuccore/KX184715","NCBI Nucleotide")</f>
        <v>NCBI Nucleotide</v>
      </c>
    </row>
    <row r="13582" spans="1:27" x14ac:dyDescent="0.35">
      <c r="A13582">
        <v>1001344</v>
      </c>
      <c r="B13582">
        <v>12661</v>
      </c>
      <c r="C13582">
        <v>1</v>
      </c>
      <c r="D13582" t="s">
        <v>17166</v>
      </c>
      <c r="F13582" t="s">
        <v>17246</v>
      </c>
      <c r="H13582" t="s">
        <v>28921</v>
      </c>
      <c r="J13582" t="s">
        <v>29538</v>
      </c>
      <c r="L13582" t="s">
        <v>29539</v>
      </c>
      <c r="M13582" t="s">
        <v>30090</v>
      </c>
      <c r="N13582" t="s">
        <v>30091</v>
      </c>
      <c r="O13582" t="s">
        <v>30115</v>
      </c>
      <c r="P13582" t="s">
        <v>30159</v>
      </c>
      <c r="Q13582" t="s">
        <v>30160</v>
      </c>
      <c r="R13582" s="26" t="str">
        <f>HYPERLINK("https://ictv.global/taxonomy/taxondetails?taxnode_id=202306155","Sectovirus xinzhouense")</f>
        <v>Sectovirus xinzhouense</v>
      </c>
      <c r="S13582" t="s">
        <v>30</v>
      </c>
      <c r="T13582" t="s">
        <v>30161</v>
      </c>
      <c r="U13582" t="s">
        <v>30162</v>
      </c>
      <c r="V13582" t="s">
        <v>30163</v>
      </c>
      <c r="W13582" t="s">
        <v>30164</v>
      </c>
      <c r="X13582" t="s">
        <v>154</v>
      </c>
      <c r="Y13582" t="s">
        <v>17171</v>
      </c>
      <c r="Z13582" t="s">
        <v>17413</v>
      </c>
      <c r="AA13582" s="22" t="str">
        <f>HYPERLINK("https://www.ncbi.nlm.nih.gov/nuccore/KX883637","NCBI Nucleotide")</f>
        <v>NCBI Nucleotide</v>
      </c>
    </row>
    <row r="13583" spans="1:27" x14ac:dyDescent="0.35">
      <c r="A13583">
        <v>1001345</v>
      </c>
      <c r="B13583">
        <v>12662</v>
      </c>
      <c r="C13583">
        <v>1</v>
      </c>
      <c r="D13583" t="s">
        <v>17166</v>
      </c>
      <c r="F13583" t="s">
        <v>17246</v>
      </c>
      <c r="H13583" t="s">
        <v>28921</v>
      </c>
      <c r="J13583" t="s">
        <v>29538</v>
      </c>
      <c r="L13583" t="s">
        <v>29539</v>
      </c>
      <c r="M13583" t="s">
        <v>30090</v>
      </c>
      <c r="N13583" t="s">
        <v>30091</v>
      </c>
      <c r="O13583" t="s">
        <v>30115</v>
      </c>
      <c r="P13583" t="s">
        <v>30165</v>
      </c>
      <c r="Q13583" t="s">
        <v>30166</v>
      </c>
      <c r="R13583" s="26" t="str">
        <f>HYPERLINK("https://ictv.global/taxonomy/taxondetails?taxnode_id=202313920","Septovirus foka")</f>
        <v>Septovirus foka</v>
      </c>
      <c r="S13583" t="s">
        <v>30</v>
      </c>
      <c r="T13583" t="s">
        <v>30167</v>
      </c>
      <c r="U13583" t="s">
        <v>30168</v>
      </c>
      <c r="V13583" t="s">
        <v>30169</v>
      </c>
      <c r="W13583" t="s">
        <v>30170</v>
      </c>
      <c r="X13583" t="s">
        <v>35</v>
      </c>
      <c r="Y13583" t="s">
        <v>17171</v>
      </c>
      <c r="Z13583" t="s">
        <v>166</v>
      </c>
      <c r="AA13583" s="22" t="str">
        <f>HYPERLINK("https://www.ncbi.nlm.nih.gov/nuccore/MN161566","NCBI Nucleotide")</f>
        <v>NCBI Nucleotide</v>
      </c>
    </row>
    <row r="13584" spans="1:27" x14ac:dyDescent="0.35">
      <c r="A13584">
        <v>1001346</v>
      </c>
      <c r="B13584">
        <v>12663</v>
      </c>
      <c r="C13584">
        <v>1</v>
      </c>
      <c r="D13584" t="s">
        <v>17166</v>
      </c>
      <c r="F13584" t="s">
        <v>17246</v>
      </c>
      <c r="H13584" t="s">
        <v>28921</v>
      </c>
      <c r="J13584" t="s">
        <v>29538</v>
      </c>
      <c r="L13584" t="s">
        <v>29539</v>
      </c>
      <c r="M13584" t="s">
        <v>30090</v>
      </c>
      <c r="N13584" t="s">
        <v>30091</v>
      </c>
      <c r="O13584" t="s">
        <v>30115</v>
      </c>
      <c r="P13584" t="s">
        <v>30171</v>
      </c>
      <c r="Q13584" t="s">
        <v>30172</v>
      </c>
      <c r="R13584" s="26" t="str">
        <f>HYPERLINK("https://ictv.global/taxonomy/taxondetails?taxnode_id=202313923","Sertovirus cona")</f>
        <v>Sertovirus cona</v>
      </c>
      <c r="S13584" t="s">
        <v>30</v>
      </c>
      <c r="T13584" t="s">
        <v>30173</v>
      </c>
      <c r="U13584" t="s">
        <v>30174</v>
      </c>
      <c r="V13584" t="s">
        <v>17889</v>
      </c>
      <c r="W13584" t="s">
        <v>30175</v>
      </c>
      <c r="X13584" t="s">
        <v>35</v>
      </c>
      <c r="Y13584" t="s">
        <v>17171</v>
      </c>
      <c r="Z13584" t="s">
        <v>166</v>
      </c>
      <c r="AA13584" s="22" t="str">
        <f>HYPERLINK("https://www.ncbi.nlm.nih.gov/nuccore/MN161561","NCBI Nucleotide")</f>
        <v>NCBI Nucleotide</v>
      </c>
    </row>
    <row r="13585" spans="1:27" x14ac:dyDescent="0.35">
      <c r="A13585">
        <v>1001347</v>
      </c>
      <c r="B13585">
        <v>12664</v>
      </c>
      <c r="C13585">
        <v>1</v>
      </c>
      <c r="D13585" t="s">
        <v>17166</v>
      </c>
      <c r="F13585" t="s">
        <v>17246</v>
      </c>
      <c r="H13585" t="s">
        <v>28921</v>
      </c>
      <c r="J13585" t="s">
        <v>29538</v>
      </c>
      <c r="L13585" t="s">
        <v>29539</v>
      </c>
      <c r="M13585" t="s">
        <v>30090</v>
      </c>
      <c r="N13585" t="s">
        <v>30091</v>
      </c>
      <c r="O13585" t="s">
        <v>30115</v>
      </c>
      <c r="P13585" t="s">
        <v>30176</v>
      </c>
      <c r="Q13585" t="s">
        <v>30177</v>
      </c>
      <c r="R13585" s="26" t="str">
        <f>HYPERLINK("https://ictv.global/taxonomy/taxondetails?taxnode_id=202313916","Vebetovirus paba")</f>
        <v>Vebetovirus paba</v>
      </c>
      <c r="S13585" t="s">
        <v>30</v>
      </c>
      <c r="T13585" t="s">
        <v>30178</v>
      </c>
      <c r="U13585" t="s">
        <v>30179</v>
      </c>
      <c r="V13585" t="s">
        <v>20057</v>
      </c>
      <c r="W13585" t="s">
        <v>30180</v>
      </c>
      <c r="X13585" t="s">
        <v>42</v>
      </c>
      <c r="Y13585" t="s">
        <v>17171</v>
      </c>
      <c r="Z13585" t="s">
        <v>166</v>
      </c>
      <c r="AA13585" s="22" t="str">
        <f>HYPERLINK("https://www.ncbi.nlm.nih.gov/nuccore/MT997159","NCBI Nucleotide")</f>
        <v>NCBI Nucleotide</v>
      </c>
    </row>
    <row r="13586" spans="1:27" x14ac:dyDescent="0.35">
      <c r="A13586">
        <v>1001348</v>
      </c>
      <c r="B13586">
        <v>12665</v>
      </c>
      <c r="C13586">
        <v>1</v>
      </c>
      <c r="D13586" t="s">
        <v>17166</v>
      </c>
      <c r="F13586" t="s">
        <v>17246</v>
      </c>
      <c r="H13586" t="s">
        <v>28921</v>
      </c>
      <c r="J13586" t="s">
        <v>29538</v>
      </c>
      <c r="L13586" t="s">
        <v>29539</v>
      </c>
      <c r="M13586" t="s">
        <v>30090</v>
      </c>
      <c r="N13586" t="s">
        <v>30091</v>
      </c>
      <c r="O13586" t="s">
        <v>30181</v>
      </c>
      <c r="P13586" t="s">
        <v>30182</v>
      </c>
      <c r="Q13586" t="s">
        <v>30183</v>
      </c>
      <c r="R13586" s="26" t="str">
        <f>HYPERLINK("https://ictv.global/taxonomy/taxondetails?taxnode_id=202313909","Torovirus banli")</f>
        <v>Torovirus banli</v>
      </c>
      <c r="S13586" t="s">
        <v>30</v>
      </c>
      <c r="T13586" t="s">
        <v>30184</v>
      </c>
      <c r="U13586" t="s">
        <v>47285</v>
      </c>
      <c r="V13586" t="s">
        <v>30185</v>
      </c>
      <c r="W13586" t="s">
        <v>30186</v>
      </c>
      <c r="X13586" t="s">
        <v>35</v>
      </c>
      <c r="Y13586" t="s">
        <v>17171</v>
      </c>
      <c r="Z13586" t="s">
        <v>166</v>
      </c>
      <c r="AA13586" s="22" t="str">
        <f>HYPERLINK("https://www.ncbi.nlm.nih.gov/nuccore/MW561977","NCBI Nucleotide")</f>
        <v>NCBI Nucleotide</v>
      </c>
    </row>
    <row r="13587" spans="1:27" x14ac:dyDescent="0.35">
      <c r="A13587">
        <v>1001349</v>
      </c>
      <c r="B13587">
        <v>12666</v>
      </c>
      <c r="C13587">
        <v>1</v>
      </c>
      <c r="D13587" t="s">
        <v>17166</v>
      </c>
      <c r="F13587" t="s">
        <v>17246</v>
      </c>
      <c r="H13587" t="s">
        <v>28921</v>
      </c>
      <c r="J13587" t="s">
        <v>29538</v>
      </c>
      <c r="L13587" t="s">
        <v>29539</v>
      </c>
      <c r="M13587" t="s">
        <v>30090</v>
      </c>
      <c r="N13587" t="s">
        <v>30091</v>
      </c>
      <c r="O13587" t="s">
        <v>30181</v>
      </c>
      <c r="P13587" t="s">
        <v>30182</v>
      </c>
      <c r="Q13587" t="s">
        <v>30187</v>
      </c>
      <c r="R13587" s="26" t="str">
        <f>HYPERLINK("https://ictv.global/taxonomy/taxondetails?taxnode_id=202301887","Torovirus bovis")</f>
        <v>Torovirus bovis</v>
      </c>
      <c r="S13587" t="s">
        <v>30</v>
      </c>
      <c r="T13587" t="s">
        <v>30188</v>
      </c>
      <c r="U13587" t="s">
        <v>17912</v>
      </c>
      <c r="V13587" t="s">
        <v>30189</v>
      </c>
      <c r="W13587" t="s">
        <v>30190</v>
      </c>
      <c r="X13587" t="s">
        <v>42</v>
      </c>
      <c r="Y13587" t="s">
        <v>17171</v>
      </c>
      <c r="Z13587" t="s">
        <v>166</v>
      </c>
      <c r="AA13587" s="22" t="str">
        <f>HYPERLINK("https://www.ncbi.nlm.nih.gov/nuccore/AY427798","NCBI Nucleotide")</f>
        <v>NCBI Nucleotide</v>
      </c>
    </row>
    <row r="13588" spans="1:27" x14ac:dyDescent="0.35">
      <c r="A13588">
        <v>1001350</v>
      </c>
      <c r="B13588">
        <v>12667</v>
      </c>
      <c r="C13588">
        <v>1</v>
      </c>
      <c r="D13588" t="s">
        <v>17166</v>
      </c>
      <c r="F13588" t="s">
        <v>17246</v>
      </c>
      <c r="H13588" t="s">
        <v>28921</v>
      </c>
      <c r="J13588" t="s">
        <v>29538</v>
      </c>
      <c r="L13588" t="s">
        <v>29539</v>
      </c>
      <c r="M13588" t="s">
        <v>30090</v>
      </c>
      <c r="N13588" t="s">
        <v>30091</v>
      </c>
      <c r="O13588" t="s">
        <v>30181</v>
      </c>
      <c r="P13588" t="s">
        <v>30182</v>
      </c>
      <c r="Q13588" t="s">
        <v>30187</v>
      </c>
      <c r="R13588" s="26" t="str">
        <f>HYPERLINK("https://ictv.global/taxonomy/taxondetails?taxnode_id=202301888","Torovirus equi")</f>
        <v>Torovirus equi</v>
      </c>
      <c r="S13588" t="s">
        <v>30</v>
      </c>
      <c r="T13588" t="s">
        <v>30191</v>
      </c>
      <c r="U13588" t="s">
        <v>30192</v>
      </c>
      <c r="V13588" t="s">
        <v>30193</v>
      </c>
      <c r="W13588" t="s">
        <v>47286</v>
      </c>
      <c r="X13588" t="s">
        <v>154</v>
      </c>
      <c r="Y13588" t="s">
        <v>17171</v>
      </c>
      <c r="Z13588" t="s">
        <v>166</v>
      </c>
      <c r="AA13588" s="22" t="str">
        <f>HYPERLINK("https://www.ncbi.nlm.nih.gov/nuccore/DQ310701,X52505,X52506","NCBI Nucleotide")</f>
        <v>NCBI Nucleotide</v>
      </c>
    </row>
    <row r="13589" spans="1:27" x14ac:dyDescent="0.35">
      <c r="A13589">
        <v>1001718</v>
      </c>
      <c r="B13589">
        <v>12668</v>
      </c>
      <c r="C13589">
        <v>1</v>
      </c>
      <c r="D13589" t="s">
        <v>17166</v>
      </c>
      <c r="F13589" t="s">
        <v>17246</v>
      </c>
      <c r="H13589" t="s">
        <v>28921</v>
      </c>
      <c r="J13589" t="s">
        <v>29538</v>
      </c>
      <c r="L13589" t="s">
        <v>29539</v>
      </c>
      <c r="M13589" t="s">
        <v>30090</v>
      </c>
      <c r="N13589" t="s">
        <v>30091</v>
      </c>
      <c r="O13589" t="s">
        <v>30181</v>
      </c>
      <c r="P13589" t="s">
        <v>30182</v>
      </c>
      <c r="Q13589" t="s">
        <v>30187</v>
      </c>
      <c r="R13589" s="26" t="str">
        <f>HYPERLINK("https://ictv.global/taxonomy/taxondetails?taxnode_id=202301890","Torovirus suis")</f>
        <v>Torovirus suis</v>
      </c>
      <c r="S13589" t="s">
        <v>30</v>
      </c>
      <c r="T13589" t="s">
        <v>30194</v>
      </c>
      <c r="U13589" t="s">
        <v>30195</v>
      </c>
      <c r="V13589" t="s">
        <v>30196</v>
      </c>
      <c r="W13589" t="s">
        <v>30197</v>
      </c>
      <c r="X13589" t="s">
        <v>42</v>
      </c>
      <c r="Y13589" t="s">
        <v>17171</v>
      </c>
      <c r="Z13589" t="s">
        <v>166</v>
      </c>
      <c r="AA13589" s="22" t="str">
        <f>HYPERLINK("https://www.ncbi.nlm.nih.gov/nuccore/JQ860350","NCBI Nucleotide")</f>
        <v>NCBI Nucleotide</v>
      </c>
    </row>
    <row r="13590" spans="1:27" x14ac:dyDescent="0.35">
      <c r="A13590">
        <v>1001719</v>
      </c>
      <c r="B13590">
        <v>12669</v>
      </c>
      <c r="C13590">
        <v>1</v>
      </c>
      <c r="D13590" t="s">
        <v>17166</v>
      </c>
      <c r="F13590" t="s">
        <v>17246</v>
      </c>
      <c r="H13590" t="s">
        <v>28921</v>
      </c>
      <c r="J13590" t="s">
        <v>29538</v>
      </c>
      <c r="L13590" t="s">
        <v>30198</v>
      </c>
      <c r="N13590" t="s">
        <v>30199</v>
      </c>
      <c r="P13590" t="s">
        <v>30200</v>
      </c>
      <c r="R13590" s="26" t="str">
        <f>HYPERLINK("https://ictv.global/taxonomy/taxondetails?taxnode_id=202306495","Bavovirus bavariaense")</f>
        <v>Bavovirus bavariaense</v>
      </c>
      <c r="S13590" t="s">
        <v>30</v>
      </c>
      <c r="T13590" t="s">
        <v>30201</v>
      </c>
      <c r="U13590" t="s">
        <v>29343</v>
      </c>
      <c r="V13590" t="s">
        <v>30202</v>
      </c>
      <c r="W13590" t="s">
        <v>30203</v>
      </c>
      <c r="X13590" t="s">
        <v>42</v>
      </c>
      <c r="Y13590" t="s">
        <v>17171</v>
      </c>
      <c r="Z13590" t="s">
        <v>166</v>
      </c>
      <c r="AA13590" s="22" t="str">
        <f>HYPERLINK("https://www.ncbi.nlm.nih.gov/nuccore/HQ010042","NCBI Nucleotide")</f>
        <v>NCBI Nucleotide</v>
      </c>
    </row>
    <row r="13591" spans="1:27" x14ac:dyDescent="0.35">
      <c r="A13591">
        <v>1001720</v>
      </c>
      <c r="B13591">
        <v>12670</v>
      </c>
      <c r="C13591">
        <v>1</v>
      </c>
      <c r="D13591" t="s">
        <v>17166</v>
      </c>
      <c r="F13591" t="s">
        <v>17246</v>
      </c>
      <c r="H13591" t="s">
        <v>28921</v>
      </c>
      <c r="J13591" t="s">
        <v>29538</v>
      </c>
      <c r="L13591" t="s">
        <v>30198</v>
      </c>
      <c r="N13591" t="s">
        <v>30199</v>
      </c>
      <c r="P13591" t="s">
        <v>30204</v>
      </c>
      <c r="R13591" s="26" t="str">
        <f>HYPERLINK("https://ictv.global/taxonomy/taxondetails?taxnode_id=202302802","Lagovirus europaeus")</f>
        <v>Lagovirus europaeus</v>
      </c>
      <c r="S13591" t="s">
        <v>30</v>
      </c>
      <c r="T13591" t="s">
        <v>30205</v>
      </c>
      <c r="U13591" t="s">
        <v>30206</v>
      </c>
      <c r="V13591" t="s">
        <v>30207</v>
      </c>
      <c r="W13591" t="s">
        <v>30208</v>
      </c>
      <c r="X13591" t="s">
        <v>42</v>
      </c>
      <c r="Y13591" t="s">
        <v>17171</v>
      </c>
      <c r="Z13591" t="s">
        <v>166</v>
      </c>
      <c r="AA13591" s="22" t="str">
        <f>HYPERLINK("https://www.ncbi.nlm.nih.gov/nuccore/Z69620","NCBI Nucleotide")</f>
        <v>NCBI Nucleotide</v>
      </c>
    </row>
    <row r="13592" spans="1:27" x14ac:dyDescent="0.35">
      <c r="A13592">
        <v>1001721</v>
      </c>
      <c r="B13592">
        <v>12670</v>
      </c>
      <c r="C13592">
        <v>2</v>
      </c>
      <c r="D13592" t="s">
        <v>17166</v>
      </c>
      <c r="F13592" t="s">
        <v>17246</v>
      </c>
      <c r="H13592" t="s">
        <v>28921</v>
      </c>
      <c r="J13592" t="s">
        <v>29538</v>
      </c>
      <c r="L13592" t="s">
        <v>30198</v>
      </c>
      <c r="N13592" t="s">
        <v>30199</v>
      </c>
      <c r="P13592" t="s">
        <v>30204</v>
      </c>
      <c r="R13592" s="26" t="str">
        <f>HYPERLINK("https://ictv.global/taxonomy/taxondetails?taxnode_id=202302802","Lagovirus europaeus")</f>
        <v>Lagovirus europaeus</v>
      </c>
      <c r="S13592" t="s">
        <v>8141</v>
      </c>
      <c r="T13592" t="s">
        <v>30209</v>
      </c>
      <c r="U13592" t="s">
        <v>30210</v>
      </c>
      <c r="V13592" t="s">
        <v>30211</v>
      </c>
      <c r="W13592" t="s">
        <v>49612</v>
      </c>
      <c r="X13592" t="s">
        <v>42</v>
      </c>
      <c r="Y13592" t="s">
        <v>17171</v>
      </c>
      <c r="Z13592" t="s">
        <v>166</v>
      </c>
      <c r="AA13592" s="22" t="str">
        <f>HYPERLINK("https://www.ncbi.nlm.nih.gov/nuccore/M67473","NCBI Nucleotide")</f>
        <v>NCBI Nucleotide</v>
      </c>
    </row>
    <row r="13593" spans="1:27" x14ac:dyDescent="0.35">
      <c r="A13593">
        <v>1001722</v>
      </c>
      <c r="B13593">
        <v>12671</v>
      </c>
      <c r="C13593">
        <v>1</v>
      </c>
      <c r="D13593" t="s">
        <v>17166</v>
      </c>
      <c r="F13593" t="s">
        <v>17246</v>
      </c>
      <c r="H13593" t="s">
        <v>28921</v>
      </c>
      <c r="J13593" t="s">
        <v>29538</v>
      </c>
      <c r="L13593" t="s">
        <v>30198</v>
      </c>
      <c r="N13593" t="s">
        <v>30199</v>
      </c>
      <c r="P13593" t="s">
        <v>30212</v>
      </c>
      <c r="R13593" s="26" t="str">
        <f>HYPERLINK("https://ictv.global/taxonomy/taxondetails?taxnode_id=202306497","Minovirus pimephalis")</f>
        <v>Minovirus pimephalis</v>
      </c>
      <c r="S13593" t="s">
        <v>30</v>
      </c>
      <c r="T13593" t="s">
        <v>30213</v>
      </c>
      <c r="U13593" t="s">
        <v>30214</v>
      </c>
      <c r="V13593" t="s">
        <v>30215</v>
      </c>
      <c r="W13593" t="s">
        <v>30216</v>
      </c>
      <c r="X13593" t="s">
        <v>42</v>
      </c>
      <c r="Y13593" t="s">
        <v>17171</v>
      </c>
      <c r="Z13593" t="s">
        <v>166</v>
      </c>
      <c r="AA13593" s="22" t="str">
        <f>HYPERLINK("https://www.ncbi.nlm.nih.gov/nuccore/KX371097","NCBI Nucleotide")</f>
        <v>NCBI Nucleotide</v>
      </c>
    </row>
    <row r="13594" spans="1:27" x14ac:dyDescent="0.35">
      <c r="A13594">
        <v>1001723</v>
      </c>
      <c r="B13594">
        <v>12672</v>
      </c>
      <c r="C13594">
        <v>1</v>
      </c>
      <c r="D13594" t="s">
        <v>17166</v>
      </c>
      <c r="F13594" t="s">
        <v>17246</v>
      </c>
      <c r="H13594" t="s">
        <v>28921</v>
      </c>
      <c r="J13594" t="s">
        <v>29538</v>
      </c>
      <c r="L13594" t="s">
        <v>30198</v>
      </c>
      <c r="N13594" t="s">
        <v>30199</v>
      </c>
      <c r="P13594" t="s">
        <v>30217</v>
      </c>
      <c r="R13594" s="26" t="str">
        <f>HYPERLINK("https://ictv.global/taxonomy/taxondetails?taxnode_id=202306499","Nacovirus meleagridis")</f>
        <v>Nacovirus meleagridis</v>
      </c>
      <c r="S13594" t="s">
        <v>30</v>
      </c>
      <c r="T13594" t="s">
        <v>30218</v>
      </c>
      <c r="U13594" t="s">
        <v>20677</v>
      </c>
      <c r="V13594" t="s">
        <v>30219</v>
      </c>
      <c r="W13594" t="s">
        <v>30220</v>
      </c>
      <c r="X13594" t="s">
        <v>42</v>
      </c>
      <c r="Y13594" t="s">
        <v>17171</v>
      </c>
      <c r="Z13594" t="s">
        <v>166</v>
      </c>
      <c r="AA13594" s="22" t="str">
        <f>HYPERLINK("https://www.ncbi.nlm.nih.gov/nuccore/JQ347522","NCBI Nucleotide")</f>
        <v>NCBI Nucleotide</v>
      </c>
    </row>
    <row r="13595" spans="1:27" x14ac:dyDescent="0.35">
      <c r="A13595">
        <v>1001724</v>
      </c>
      <c r="B13595">
        <v>12673</v>
      </c>
      <c r="C13595">
        <v>1</v>
      </c>
      <c r="D13595" t="s">
        <v>17166</v>
      </c>
      <c r="F13595" t="s">
        <v>17246</v>
      </c>
      <c r="H13595" t="s">
        <v>28921</v>
      </c>
      <c r="J13595" t="s">
        <v>29538</v>
      </c>
      <c r="L13595" t="s">
        <v>30198</v>
      </c>
      <c r="N13595" t="s">
        <v>30199</v>
      </c>
      <c r="P13595" t="s">
        <v>30221</v>
      </c>
      <c r="R13595" s="26" t="str">
        <f>HYPERLINK("https://ictv.global/taxonomy/taxondetails?taxnode_id=202302804","Nebovirus newburyense")</f>
        <v>Nebovirus newburyense</v>
      </c>
      <c r="S13595" t="s">
        <v>30</v>
      </c>
      <c r="T13595" t="s">
        <v>30222</v>
      </c>
      <c r="U13595" t="s">
        <v>30223</v>
      </c>
      <c r="V13595" t="s">
        <v>30224</v>
      </c>
      <c r="W13595" t="s">
        <v>30225</v>
      </c>
      <c r="X13595" t="s">
        <v>42</v>
      </c>
      <c r="Y13595" t="s">
        <v>17171</v>
      </c>
      <c r="Z13595" t="s">
        <v>166</v>
      </c>
      <c r="AA13595" s="22" t="str">
        <f>HYPERLINK("https://www.ncbi.nlm.nih.gov/nuccore/DQ013304","NCBI Nucleotide")</f>
        <v>NCBI Nucleotide</v>
      </c>
    </row>
    <row r="13596" spans="1:27" x14ac:dyDescent="0.35">
      <c r="A13596">
        <v>1011392</v>
      </c>
      <c r="B13596">
        <v>12673</v>
      </c>
      <c r="C13596">
        <v>2</v>
      </c>
      <c r="D13596" t="s">
        <v>17166</v>
      </c>
      <c r="F13596" t="s">
        <v>17246</v>
      </c>
      <c r="H13596" t="s">
        <v>28921</v>
      </c>
      <c r="J13596" t="s">
        <v>29538</v>
      </c>
      <c r="L13596" t="s">
        <v>30198</v>
      </c>
      <c r="N13596" t="s">
        <v>30199</v>
      </c>
      <c r="P13596" t="s">
        <v>30221</v>
      </c>
      <c r="R13596" s="26" t="str">
        <f>HYPERLINK("https://ictv.global/taxonomy/taxondetails?taxnode_id=202302804","Nebovirus newburyense")</f>
        <v>Nebovirus newburyense</v>
      </c>
      <c r="S13596" t="s">
        <v>8141</v>
      </c>
      <c r="T13596" t="s">
        <v>30226</v>
      </c>
      <c r="U13596" t="s">
        <v>17932</v>
      </c>
      <c r="V13596" t="s">
        <v>30227</v>
      </c>
      <c r="W13596" t="s">
        <v>49613</v>
      </c>
      <c r="X13596" t="s">
        <v>42</v>
      </c>
      <c r="Y13596" t="s">
        <v>17171</v>
      </c>
      <c r="Z13596" t="s">
        <v>166</v>
      </c>
      <c r="AA13596" s="22" t="str">
        <f>HYPERLINK("https://www.ncbi.nlm.nih.gov/nuccore/AY082891","NCBI Nucleotide")</f>
        <v>NCBI Nucleotide</v>
      </c>
    </row>
    <row r="13597" spans="1:27" x14ac:dyDescent="0.35">
      <c r="A13597">
        <v>1001725</v>
      </c>
      <c r="B13597">
        <v>12674</v>
      </c>
      <c r="C13597">
        <v>1</v>
      </c>
      <c r="D13597" t="s">
        <v>17166</v>
      </c>
      <c r="F13597" t="s">
        <v>17246</v>
      </c>
      <c r="H13597" t="s">
        <v>28921</v>
      </c>
      <c r="J13597" t="s">
        <v>29538</v>
      </c>
      <c r="L13597" t="s">
        <v>30198</v>
      </c>
      <c r="N13597" t="s">
        <v>30199</v>
      </c>
      <c r="P13597" t="s">
        <v>30228</v>
      </c>
      <c r="R13597" s="26" t="str">
        <f t="shared" ref="R13597:R13607" si="41">HYPERLINK("https://ictv.global/taxonomy/taxondetails?taxnode_id=202302806","Norovirus norwalkense")</f>
        <v>Norovirus norwalkense</v>
      </c>
      <c r="S13597" t="s">
        <v>30</v>
      </c>
      <c r="T13597" t="s">
        <v>30229</v>
      </c>
      <c r="U13597" t="s">
        <v>30230</v>
      </c>
      <c r="V13597" t="s">
        <v>30231</v>
      </c>
      <c r="W13597" t="s">
        <v>30232</v>
      </c>
      <c r="X13597" t="s">
        <v>42</v>
      </c>
      <c r="Y13597" t="s">
        <v>17171</v>
      </c>
      <c r="Z13597" t="s">
        <v>166</v>
      </c>
      <c r="AA13597" s="22" t="str">
        <f>HYPERLINK("https://www.ncbi.nlm.nih.gov/nuccore/M87661","NCBI Nucleotide")</f>
        <v>NCBI Nucleotide</v>
      </c>
    </row>
    <row r="13598" spans="1:27" x14ac:dyDescent="0.35">
      <c r="A13598">
        <v>1011396</v>
      </c>
      <c r="B13598">
        <v>12674</v>
      </c>
      <c r="C13598">
        <v>2</v>
      </c>
      <c r="D13598" t="s">
        <v>17166</v>
      </c>
      <c r="F13598" t="s">
        <v>17246</v>
      </c>
      <c r="H13598" t="s">
        <v>28921</v>
      </c>
      <c r="J13598" t="s">
        <v>29538</v>
      </c>
      <c r="L13598" t="s">
        <v>30198</v>
      </c>
      <c r="N13598" t="s">
        <v>30199</v>
      </c>
      <c r="P13598" t="s">
        <v>30228</v>
      </c>
      <c r="R13598" s="26" t="str">
        <f t="shared" si="41"/>
        <v>Norovirus norwalkense</v>
      </c>
      <c r="S13598" t="s">
        <v>8141</v>
      </c>
      <c r="T13598" t="s">
        <v>30241</v>
      </c>
      <c r="U13598" t="s">
        <v>13975</v>
      </c>
      <c r="V13598" t="s">
        <v>30242</v>
      </c>
      <c r="W13598" t="s">
        <v>49614</v>
      </c>
      <c r="X13598" t="s">
        <v>154</v>
      </c>
      <c r="Y13598" t="s">
        <v>17171</v>
      </c>
      <c r="Z13598" t="s">
        <v>166</v>
      </c>
      <c r="AA13598" s="22" t="str">
        <f>HYPERLINK("https://www.ncbi.nlm.nih.gov/nuccore/AF195847","NCBI Nucleotide")</f>
        <v>NCBI Nucleotide</v>
      </c>
    </row>
    <row r="13599" spans="1:27" x14ac:dyDescent="0.35">
      <c r="A13599">
        <v>1011402</v>
      </c>
      <c r="B13599">
        <v>12674</v>
      </c>
      <c r="C13599">
        <v>3</v>
      </c>
      <c r="D13599" t="s">
        <v>17166</v>
      </c>
      <c r="F13599" t="s">
        <v>17246</v>
      </c>
      <c r="H13599" t="s">
        <v>28921</v>
      </c>
      <c r="J13599" t="s">
        <v>29538</v>
      </c>
      <c r="L13599" t="s">
        <v>30198</v>
      </c>
      <c r="N13599" t="s">
        <v>30199</v>
      </c>
      <c r="P13599" t="s">
        <v>30228</v>
      </c>
      <c r="R13599" s="26" t="str">
        <f t="shared" si="41"/>
        <v>Norovirus norwalkense</v>
      </c>
      <c r="S13599" t="s">
        <v>8141</v>
      </c>
      <c r="T13599" t="s">
        <v>30258</v>
      </c>
      <c r="U13599" t="s">
        <v>30259</v>
      </c>
      <c r="V13599" t="s">
        <v>30260</v>
      </c>
      <c r="W13599" t="s">
        <v>49615</v>
      </c>
      <c r="X13599" t="s">
        <v>154</v>
      </c>
      <c r="Y13599" t="s">
        <v>17171</v>
      </c>
      <c r="Z13599" t="s">
        <v>166</v>
      </c>
      <c r="AA13599" s="22" t="str">
        <f>HYPERLINK("https://www.ncbi.nlm.nih.gov/nuccore/KJ790198","NCBI Nucleotide")</f>
        <v>NCBI Nucleotide</v>
      </c>
    </row>
    <row r="13600" spans="1:27" x14ac:dyDescent="0.35">
      <c r="A13600">
        <v>1011400</v>
      </c>
      <c r="B13600">
        <v>12674</v>
      </c>
      <c r="C13600">
        <v>4</v>
      </c>
      <c r="D13600" t="s">
        <v>17166</v>
      </c>
      <c r="F13600" t="s">
        <v>17246</v>
      </c>
      <c r="H13600" t="s">
        <v>28921</v>
      </c>
      <c r="J13600" t="s">
        <v>29538</v>
      </c>
      <c r="L13600" t="s">
        <v>30198</v>
      </c>
      <c r="N13600" t="s">
        <v>30199</v>
      </c>
      <c r="P13600" t="s">
        <v>30228</v>
      </c>
      <c r="R13600" s="26" t="str">
        <f t="shared" si="41"/>
        <v>Norovirus norwalkense</v>
      </c>
      <c r="S13600" t="s">
        <v>8141</v>
      </c>
      <c r="T13600" t="s">
        <v>30252</v>
      </c>
      <c r="U13600" t="s">
        <v>30253</v>
      </c>
      <c r="V13600" t="s">
        <v>30254</v>
      </c>
      <c r="W13600" t="s">
        <v>49616</v>
      </c>
      <c r="X13600" t="s">
        <v>154</v>
      </c>
      <c r="Y13600" t="s">
        <v>17171</v>
      </c>
      <c r="Z13600" t="s">
        <v>166</v>
      </c>
      <c r="AA13600" s="22" t="str">
        <f>HYPERLINK("https://www.ncbi.nlm.nih.gov/nuccore/AJ844470","NCBI Nucleotide")</f>
        <v>NCBI Nucleotide</v>
      </c>
    </row>
    <row r="13601" spans="1:27" x14ac:dyDescent="0.35">
      <c r="A13601">
        <v>1011399</v>
      </c>
      <c r="B13601">
        <v>12674</v>
      </c>
      <c r="C13601">
        <v>5</v>
      </c>
      <c r="D13601" t="s">
        <v>17166</v>
      </c>
      <c r="F13601" t="s">
        <v>17246</v>
      </c>
      <c r="H13601" t="s">
        <v>28921</v>
      </c>
      <c r="J13601" t="s">
        <v>29538</v>
      </c>
      <c r="L13601" t="s">
        <v>30198</v>
      </c>
      <c r="N13601" t="s">
        <v>30199</v>
      </c>
      <c r="P13601" t="s">
        <v>30228</v>
      </c>
      <c r="R13601" s="26" t="str">
        <f t="shared" si="41"/>
        <v>Norovirus norwalkense</v>
      </c>
      <c r="S13601" t="s">
        <v>8141</v>
      </c>
      <c r="T13601" t="s">
        <v>30249</v>
      </c>
      <c r="U13601" t="s">
        <v>30250</v>
      </c>
      <c r="V13601" t="s">
        <v>30251</v>
      </c>
      <c r="W13601" t="s">
        <v>49617</v>
      </c>
      <c r="X13601" t="s">
        <v>42</v>
      </c>
      <c r="Y13601" t="s">
        <v>17171</v>
      </c>
      <c r="Z13601" t="s">
        <v>166</v>
      </c>
      <c r="AA13601" s="22" t="str">
        <f>HYPERLINK("https://www.ncbi.nlm.nih.gov/nuccore/FJ692500","NCBI Nucleotide")</f>
        <v>NCBI Nucleotide</v>
      </c>
    </row>
    <row r="13602" spans="1:27" x14ac:dyDescent="0.35">
      <c r="A13602">
        <v>1011395</v>
      </c>
      <c r="B13602">
        <v>12674</v>
      </c>
      <c r="C13602">
        <v>6</v>
      </c>
      <c r="D13602" t="s">
        <v>17166</v>
      </c>
      <c r="F13602" t="s">
        <v>17246</v>
      </c>
      <c r="H13602" t="s">
        <v>28921</v>
      </c>
      <c r="J13602" t="s">
        <v>29538</v>
      </c>
      <c r="L13602" t="s">
        <v>30198</v>
      </c>
      <c r="N13602" t="s">
        <v>30199</v>
      </c>
      <c r="P13602" t="s">
        <v>30228</v>
      </c>
      <c r="R13602" s="26" t="str">
        <f t="shared" si="41"/>
        <v>Norovirus norwalkense</v>
      </c>
      <c r="S13602" t="s">
        <v>8141</v>
      </c>
      <c r="T13602" t="s">
        <v>30239</v>
      </c>
      <c r="U13602" t="s">
        <v>25080</v>
      </c>
      <c r="V13602" t="s">
        <v>30240</v>
      </c>
      <c r="W13602" t="s">
        <v>49618</v>
      </c>
      <c r="X13602" t="s">
        <v>42</v>
      </c>
      <c r="Y13602" t="s">
        <v>17171</v>
      </c>
      <c r="Z13602" t="s">
        <v>166</v>
      </c>
      <c r="AA13602" s="22" t="str">
        <f>HYPERLINK("https://www.ncbi.nlm.nih.gov/nuccore/AJ011099","NCBI Nucleotide")</f>
        <v>NCBI Nucleotide</v>
      </c>
    </row>
    <row r="13603" spans="1:27" x14ac:dyDescent="0.35">
      <c r="A13603">
        <v>1011393</v>
      </c>
      <c r="B13603">
        <v>12674</v>
      </c>
      <c r="C13603">
        <v>7</v>
      </c>
      <c r="D13603" t="s">
        <v>17166</v>
      </c>
      <c r="F13603" t="s">
        <v>17246</v>
      </c>
      <c r="H13603" t="s">
        <v>28921</v>
      </c>
      <c r="J13603" t="s">
        <v>29538</v>
      </c>
      <c r="L13603" t="s">
        <v>30198</v>
      </c>
      <c r="N13603" t="s">
        <v>30199</v>
      </c>
      <c r="P13603" t="s">
        <v>30228</v>
      </c>
      <c r="R13603" s="26" t="str">
        <f t="shared" si="41"/>
        <v>Norovirus norwalkense</v>
      </c>
      <c r="S13603" t="s">
        <v>8141</v>
      </c>
      <c r="T13603" t="s">
        <v>30233</v>
      </c>
      <c r="U13603" t="s">
        <v>30234</v>
      </c>
      <c r="V13603" t="s">
        <v>30235</v>
      </c>
      <c r="W13603" t="s">
        <v>49619</v>
      </c>
      <c r="X13603" t="s">
        <v>42</v>
      </c>
      <c r="Y13603" t="s">
        <v>17171</v>
      </c>
      <c r="Z13603" t="s">
        <v>166</v>
      </c>
      <c r="AA13603" s="22" t="str">
        <f>HYPERLINK("https://www.ncbi.nlm.nih.gov/nuccore/X86557","NCBI Nucleotide")</f>
        <v>NCBI Nucleotide</v>
      </c>
    </row>
    <row r="13604" spans="1:27" x14ac:dyDescent="0.35">
      <c r="A13604">
        <v>1011394</v>
      </c>
      <c r="B13604">
        <v>12674</v>
      </c>
      <c r="C13604">
        <v>8</v>
      </c>
      <c r="D13604" t="s">
        <v>17166</v>
      </c>
      <c r="F13604" t="s">
        <v>17246</v>
      </c>
      <c r="H13604" t="s">
        <v>28921</v>
      </c>
      <c r="J13604" t="s">
        <v>29538</v>
      </c>
      <c r="L13604" t="s">
        <v>30198</v>
      </c>
      <c r="N13604" t="s">
        <v>30199</v>
      </c>
      <c r="P13604" t="s">
        <v>30228</v>
      </c>
      <c r="R13604" s="26" t="str">
        <f t="shared" si="41"/>
        <v>Norovirus norwalkense</v>
      </c>
      <c r="S13604" t="s">
        <v>8141</v>
      </c>
      <c r="T13604" t="s">
        <v>30236</v>
      </c>
      <c r="U13604" t="s">
        <v>30237</v>
      </c>
      <c r="V13604" t="s">
        <v>30238</v>
      </c>
      <c r="W13604" t="s">
        <v>49620</v>
      </c>
      <c r="X13604" t="s">
        <v>42</v>
      </c>
      <c r="Y13604" t="s">
        <v>17171</v>
      </c>
      <c r="Z13604" t="s">
        <v>166</v>
      </c>
      <c r="AA13604" s="22" t="str">
        <f>HYPERLINK("https://www.ncbi.nlm.nih.gov/nuccore/AY032605","NCBI Nucleotide")</f>
        <v>NCBI Nucleotide</v>
      </c>
    </row>
    <row r="13605" spans="1:27" x14ac:dyDescent="0.35">
      <c r="A13605">
        <v>1011397</v>
      </c>
      <c r="B13605">
        <v>12674</v>
      </c>
      <c r="C13605">
        <v>9</v>
      </c>
      <c r="D13605" t="s">
        <v>17166</v>
      </c>
      <c r="F13605" t="s">
        <v>17246</v>
      </c>
      <c r="H13605" t="s">
        <v>28921</v>
      </c>
      <c r="J13605" t="s">
        <v>29538</v>
      </c>
      <c r="L13605" t="s">
        <v>30198</v>
      </c>
      <c r="N13605" t="s">
        <v>30199</v>
      </c>
      <c r="P13605" t="s">
        <v>30228</v>
      </c>
      <c r="R13605" s="26" t="str">
        <f t="shared" si="41"/>
        <v>Norovirus norwalkense</v>
      </c>
      <c r="S13605" t="s">
        <v>8141</v>
      </c>
      <c r="T13605" t="s">
        <v>30243</v>
      </c>
      <c r="U13605" t="s">
        <v>30244</v>
      </c>
      <c r="V13605" t="s">
        <v>30245</v>
      </c>
      <c r="W13605" t="s">
        <v>49621</v>
      </c>
      <c r="X13605" t="s">
        <v>42</v>
      </c>
      <c r="Y13605" t="s">
        <v>17171</v>
      </c>
      <c r="Z13605" t="s">
        <v>166</v>
      </c>
      <c r="AA13605" s="22" t="str">
        <f>HYPERLINK("https://www.ncbi.nlm.nih.gov/nuccore/AY228235","NCBI Nucleotide")</f>
        <v>NCBI Nucleotide</v>
      </c>
    </row>
    <row r="13606" spans="1:27" x14ac:dyDescent="0.35">
      <c r="A13606">
        <v>1011401</v>
      </c>
      <c r="B13606">
        <v>12674</v>
      </c>
      <c r="C13606">
        <v>10</v>
      </c>
      <c r="D13606" t="s">
        <v>17166</v>
      </c>
      <c r="F13606" t="s">
        <v>17246</v>
      </c>
      <c r="H13606" t="s">
        <v>28921</v>
      </c>
      <c r="J13606" t="s">
        <v>29538</v>
      </c>
      <c r="L13606" t="s">
        <v>30198</v>
      </c>
      <c r="N13606" t="s">
        <v>30199</v>
      </c>
      <c r="P13606" t="s">
        <v>30228</v>
      </c>
      <c r="R13606" s="26" t="str">
        <f t="shared" si="41"/>
        <v>Norovirus norwalkense</v>
      </c>
      <c r="S13606" t="s">
        <v>8141</v>
      </c>
      <c r="T13606" t="s">
        <v>30255</v>
      </c>
      <c r="U13606" t="s">
        <v>30256</v>
      </c>
      <c r="V13606" t="s">
        <v>30257</v>
      </c>
      <c r="W13606" t="s">
        <v>49622</v>
      </c>
      <c r="X13606" t="s">
        <v>42</v>
      </c>
      <c r="Y13606" t="s">
        <v>17171</v>
      </c>
      <c r="Z13606" t="s">
        <v>166</v>
      </c>
      <c r="AA13606" s="22" t="str">
        <f>HYPERLINK("https://www.ncbi.nlm.nih.gov/nuccore/KJ196290","NCBI Nucleotide")</f>
        <v>NCBI Nucleotide</v>
      </c>
    </row>
    <row r="13607" spans="1:27" x14ac:dyDescent="0.35">
      <c r="A13607">
        <v>1011398</v>
      </c>
      <c r="B13607">
        <v>12674</v>
      </c>
      <c r="C13607">
        <v>11</v>
      </c>
      <c r="D13607" t="s">
        <v>17166</v>
      </c>
      <c r="F13607" t="s">
        <v>17246</v>
      </c>
      <c r="H13607" t="s">
        <v>28921</v>
      </c>
      <c r="J13607" t="s">
        <v>29538</v>
      </c>
      <c r="L13607" t="s">
        <v>30198</v>
      </c>
      <c r="N13607" t="s">
        <v>30199</v>
      </c>
      <c r="P13607" t="s">
        <v>30228</v>
      </c>
      <c r="R13607" s="26" t="str">
        <f t="shared" si="41"/>
        <v>Norovirus norwalkense</v>
      </c>
      <c r="S13607" t="s">
        <v>8141</v>
      </c>
      <c r="T13607" t="s">
        <v>30246</v>
      </c>
      <c r="U13607" t="s">
        <v>30247</v>
      </c>
      <c r="V13607" t="s">
        <v>30248</v>
      </c>
      <c r="W13607" t="s">
        <v>49623</v>
      </c>
      <c r="X13607" t="s">
        <v>154</v>
      </c>
      <c r="Y13607" t="s">
        <v>17171</v>
      </c>
      <c r="Z13607" t="s">
        <v>166</v>
      </c>
      <c r="AA13607" s="22" t="str">
        <f>HYPERLINK("https://www.ncbi.nlm.nih.gov/nuccore/GQ443611","NCBI Nucleotide")</f>
        <v>NCBI Nucleotide</v>
      </c>
    </row>
    <row r="13608" spans="1:27" x14ac:dyDescent="0.35">
      <c r="A13608">
        <v>1001726</v>
      </c>
      <c r="B13608">
        <v>12675</v>
      </c>
      <c r="C13608">
        <v>1</v>
      </c>
      <c r="D13608" t="s">
        <v>17166</v>
      </c>
      <c r="F13608" t="s">
        <v>17246</v>
      </c>
      <c r="H13608" t="s">
        <v>28921</v>
      </c>
      <c r="J13608" t="s">
        <v>29538</v>
      </c>
      <c r="L13608" t="s">
        <v>30198</v>
      </c>
      <c r="N13608" t="s">
        <v>30199</v>
      </c>
      <c r="P13608" t="s">
        <v>30261</v>
      </c>
      <c r="R13608" s="26" t="str">
        <f>HYPERLINK("https://ictv.global/taxonomy/taxondetails?taxnode_id=202306501","Recovirus tulani")</f>
        <v>Recovirus tulani</v>
      </c>
      <c r="S13608" t="s">
        <v>30</v>
      </c>
      <c r="T13608" t="s">
        <v>30262</v>
      </c>
      <c r="U13608" t="s">
        <v>30263</v>
      </c>
      <c r="V13608" t="s">
        <v>30264</v>
      </c>
      <c r="W13608" t="s">
        <v>30265</v>
      </c>
      <c r="X13608" t="s">
        <v>42</v>
      </c>
      <c r="Y13608" t="s">
        <v>17171</v>
      </c>
      <c r="Z13608" t="s">
        <v>166</v>
      </c>
      <c r="AA13608" s="22" t="str">
        <f>HYPERLINK("https://www.ncbi.nlm.nih.gov/nuccore/EU391643","NCBI Nucleotide")</f>
        <v>NCBI Nucleotide</v>
      </c>
    </row>
    <row r="13609" spans="1:27" x14ac:dyDescent="0.35">
      <c r="A13609">
        <v>1001727</v>
      </c>
      <c r="B13609">
        <v>12676</v>
      </c>
      <c r="C13609">
        <v>1</v>
      </c>
      <c r="D13609" t="s">
        <v>17166</v>
      </c>
      <c r="F13609" t="s">
        <v>17246</v>
      </c>
      <c r="H13609" t="s">
        <v>28921</v>
      </c>
      <c r="J13609" t="s">
        <v>29538</v>
      </c>
      <c r="L13609" t="s">
        <v>30198</v>
      </c>
      <c r="N13609" t="s">
        <v>30199</v>
      </c>
      <c r="P13609" t="s">
        <v>30266</v>
      </c>
      <c r="R13609" s="26" t="str">
        <f>HYPERLINK("https://ictv.global/taxonomy/taxondetails?taxnode_id=202306503","Salovirus nordlandense")</f>
        <v>Salovirus nordlandense</v>
      </c>
      <c r="S13609" t="s">
        <v>30</v>
      </c>
      <c r="T13609" t="s">
        <v>30267</v>
      </c>
      <c r="U13609" t="s">
        <v>30268</v>
      </c>
      <c r="V13609" t="s">
        <v>30269</v>
      </c>
      <c r="W13609" t="s">
        <v>30270</v>
      </c>
      <c r="X13609" t="s">
        <v>42</v>
      </c>
      <c r="Y13609" t="s">
        <v>17171</v>
      </c>
      <c r="Z13609" t="s">
        <v>166</v>
      </c>
      <c r="AA13609" s="22" t="str">
        <f>HYPERLINK("https://www.ncbi.nlm.nih.gov/nuccore/KJ577139","NCBI Nucleotide")</f>
        <v>NCBI Nucleotide</v>
      </c>
    </row>
    <row r="13610" spans="1:27" x14ac:dyDescent="0.35">
      <c r="A13610">
        <v>1001728</v>
      </c>
      <c r="B13610">
        <v>12677</v>
      </c>
      <c r="C13610">
        <v>1</v>
      </c>
      <c r="D13610" t="s">
        <v>17166</v>
      </c>
      <c r="F13610" t="s">
        <v>17246</v>
      </c>
      <c r="H13610" t="s">
        <v>28921</v>
      </c>
      <c r="J13610" t="s">
        <v>29538</v>
      </c>
      <c r="L13610" t="s">
        <v>30198</v>
      </c>
      <c r="N13610" t="s">
        <v>30199</v>
      </c>
      <c r="P13610" t="s">
        <v>30271</v>
      </c>
      <c r="R13610" s="26" t="str">
        <f t="shared" ref="R13610:R13615" si="42">HYPERLINK("https://ictv.global/taxonomy/taxondetails?taxnode_id=202302808","Sapovirus sapporoense")</f>
        <v>Sapovirus sapporoense</v>
      </c>
      <c r="S13610" t="s">
        <v>30</v>
      </c>
      <c r="T13610" t="s">
        <v>30272</v>
      </c>
      <c r="U13610" t="s">
        <v>17410</v>
      </c>
      <c r="V13610" t="s">
        <v>30273</v>
      </c>
      <c r="W13610" t="s">
        <v>30274</v>
      </c>
      <c r="X13610" t="s">
        <v>42</v>
      </c>
      <c r="Y13610" t="s">
        <v>17171</v>
      </c>
      <c r="Z13610" t="s">
        <v>166</v>
      </c>
      <c r="AA13610" s="22" t="str">
        <f>HYPERLINK("https://www.ncbi.nlm.nih.gov/nuccore/HM002617","NCBI Nucleotide")</f>
        <v>NCBI Nucleotide</v>
      </c>
    </row>
    <row r="13611" spans="1:27" x14ac:dyDescent="0.35">
      <c r="A13611">
        <v>1011404</v>
      </c>
      <c r="B13611">
        <v>12677</v>
      </c>
      <c r="C13611">
        <v>2</v>
      </c>
      <c r="D13611" t="s">
        <v>17166</v>
      </c>
      <c r="F13611" t="s">
        <v>17246</v>
      </c>
      <c r="H13611" t="s">
        <v>28921</v>
      </c>
      <c r="J13611" t="s">
        <v>29538</v>
      </c>
      <c r="L13611" t="s">
        <v>30198</v>
      </c>
      <c r="N13611" t="s">
        <v>30199</v>
      </c>
      <c r="P13611" t="s">
        <v>30271</v>
      </c>
      <c r="R13611" s="26" t="str">
        <f t="shared" si="42"/>
        <v>Sapovirus sapporoense</v>
      </c>
      <c r="S13611" t="s">
        <v>8141</v>
      </c>
      <c r="T13611" t="s">
        <v>30277</v>
      </c>
      <c r="U13611" t="s">
        <v>30278</v>
      </c>
      <c r="V13611" t="s">
        <v>30279</v>
      </c>
      <c r="W13611" t="s">
        <v>49624</v>
      </c>
      <c r="X13611" t="s">
        <v>42</v>
      </c>
      <c r="Y13611" t="s">
        <v>17171</v>
      </c>
      <c r="Z13611" t="s">
        <v>166</v>
      </c>
      <c r="AA13611" s="22" t="str">
        <f>HYPERLINK("https://www.ncbi.nlm.nih.gov/nuccore/AJ249939","NCBI Nucleotide")</f>
        <v>NCBI Nucleotide</v>
      </c>
    </row>
    <row r="13612" spans="1:27" x14ac:dyDescent="0.35">
      <c r="A13612">
        <v>1011405</v>
      </c>
      <c r="B13612">
        <v>12677</v>
      </c>
      <c r="C13612">
        <v>3</v>
      </c>
      <c r="D13612" t="s">
        <v>17166</v>
      </c>
      <c r="F13612" t="s">
        <v>17246</v>
      </c>
      <c r="H13612" t="s">
        <v>28921</v>
      </c>
      <c r="J13612" t="s">
        <v>29538</v>
      </c>
      <c r="L13612" t="s">
        <v>30198</v>
      </c>
      <c r="N13612" t="s">
        <v>30199</v>
      </c>
      <c r="P13612" t="s">
        <v>30271</v>
      </c>
      <c r="R13612" s="26" t="str">
        <f t="shared" si="42"/>
        <v>Sapovirus sapporoense</v>
      </c>
      <c r="S13612" t="s">
        <v>8141</v>
      </c>
      <c r="T13612" t="s">
        <v>30280</v>
      </c>
      <c r="U13612" t="s">
        <v>20111</v>
      </c>
      <c r="V13612" t="s">
        <v>30281</v>
      </c>
      <c r="W13612" t="s">
        <v>49625</v>
      </c>
      <c r="X13612" t="s">
        <v>42</v>
      </c>
      <c r="Y13612" t="s">
        <v>17171</v>
      </c>
      <c r="Z13612" t="s">
        <v>166</v>
      </c>
      <c r="AA13612" s="22" t="str">
        <f>HYPERLINK("https://www.ncbi.nlm.nih.gov/nuccore/AF182760","NCBI Nucleotide")</f>
        <v>NCBI Nucleotide</v>
      </c>
    </row>
    <row r="13613" spans="1:27" x14ac:dyDescent="0.35">
      <c r="A13613">
        <v>1011406</v>
      </c>
      <c r="B13613">
        <v>12677</v>
      </c>
      <c r="C13613">
        <v>4</v>
      </c>
      <c r="D13613" t="s">
        <v>17166</v>
      </c>
      <c r="F13613" t="s">
        <v>17246</v>
      </c>
      <c r="H13613" t="s">
        <v>28921</v>
      </c>
      <c r="J13613" t="s">
        <v>29538</v>
      </c>
      <c r="L13613" t="s">
        <v>30198</v>
      </c>
      <c r="N13613" t="s">
        <v>30199</v>
      </c>
      <c r="P13613" t="s">
        <v>30271</v>
      </c>
      <c r="R13613" s="26" t="str">
        <f t="shared" si="42"/>
        <v>Sapovirus sapporoense</v>
      </c>
      <c r="S13613" t="s">
        <v>8141</v>
      </c>
      <c r="T13613" t="s">
        <v>30282</v>
      </c>
      <c r="U13613" t="s">
        <v>30283</v>
      </c>
      <c r="V13613" t="s">
        <v>30284</v>
      </c>
      <c r="W13613" t="s">
        <v>49626</v>
      </c>
      <c r="X13613" t="s">
        <v>42</v>
      </c>
      <c r="Y13613" t="s">
        <v>17171</v>
      </c>
      <c r="Z13613" t="s">
        <v>166</v>
      </c>
      <c r="AA13613" s="22" t="str">
        <f>HYPERLINK("https://www.ncbi.nlm.nih.gov/nuccore/DQ058829","NCBI Nucleotide")</f>
        <v>NCBI Nucleotide</v>
      </c>
    </row>
    <row r="13614" spans="1:27" x14ac:dyDescent="0.35">
      <c r="A13614">
        <v>1011403</v>
      </c>
      <c r="B13614">
        <v>12677</v>
      </c>
      <c r="C13614">
        <v>5</v>
      </c>
      <c r="D13614" t="s">
        <v>17166</v>
      </c>
      <c r="F13614" t="s">
        <v>17246</v>
      </c>
      <c r="H13614" t="s">
        <v>28921</v>
      </c>
      <c r="J13614" t="s">
        <v>29538</v>
      </c>
      <c r="L13614" t="s">
        <v>30198</v>
      </c>
      <c r="N13614" t="s">
        <v>30199</v>
      </c>
      <c r="P13614" t="s">
        <v>30271</v>
      </c>
      <c r="R13614" s="26" t="str">
        <f t="shared" si="42"/>
        <v>Sapovirus sapporoense</v>
      </c>
      <c r="S13614" t="s">
        <v>8141</v>
      </c>
      <c r="T13614" t="s">
        <v>30275</v>
      </c>
      <c r="U13614" t="s">
        <v>30237</v>
      </c>
      <c r="V13614" t="s">
        <v>30276</v>
      </c>
      <c r="W13614" t="s">
        <v>49627</v>
      </c>
      <c r="X13614" t="s">
        <v>42</v>
      </c>
      <c r="Y13614" t="s">
        <v>17171</v>
      </c>
      <c r="Z13614" t="s">
        <v>166</v>
      </c>
      <c r="AA13614" s="22" t="str">
        <f>HYPERLINK("https://www.ncbi.nlm.nih.gov/nuccore/X86560","NCBI Nucleotide")</f>
        <v>NCBI Nucleotide</v>
      </c>
    </row>
    <row r="13615" spans="1:27" x14ac:dyDescent="0.35">
      <c r="A13615">
        <v>1011407</v>
      </c>
      <c r="B13615">
        <v>12677</v>
      </c>
      <c r="C13615">
        <v>6</v>
      </c>
      <c r="D13615" t="s">
        <v>17166</v>
      </c>
      <c r="F13615" t="s">
        <v>17246</v>
      </c>
      <c r="H13615" t="s">
        <v>28921</v>
      </c>
      <c r="J13615" t="s">
        <v>29538</v>
      </c>
      <c r="L13615" t="s">
        <v>30198</v>
      </c>
      <c r="N13615" t="s">
        <v>30199</v>
      </c>
      <c r="P13615" t="s">
        <v>30271</v>
      </c>
      <c r="R13615" s="26" t="str">
        <f t="shared" si="42"/>
        <v>Sapovirus sapporoense</v>
      </c>
      <c r="S13615" t="s">
        <v>8141</v>
      </c>
      <c r="T13615" t="s">
        <v>30285</v>
      </c>
      <c r="U13615" t="s">
        <v>30286</v>
      </c>
      <c r="V13615" t="s">
        <v>30287</v>
      </c>
      <c r="W13615" t="s">
        <v>49628</v>
      </c>
      <c r="X13615" t="s">
        <v>42</v>
      </c>
      <c r="Y13615" t="s">
        <v>17171</v>
      </c>
      <c r="Z13615" t="s">
        <v>166</v>
      </c>
      <c r="AA13615" s="22" t="str">
        <f>HYPERLINK("https://www.ncbi.nlm.nih.gov/nuccore/AY646856","NCBI Nucleotide")</f>
        <v>NCBI Nucleotide</v>
      </c>
    </row>
    <row r="13616" spans="1:27" x14ac:dyDescent="0.35">
      <c r="A13616">
        <v>1001729</v>
      </c>
      <c r="B13616">
        <v>12678</v>
      </c>
      <c r="C13616">
        <v>1</v>
      </c>
      <c r="D13616" t="s">
        <v>17166</v>
      </c>
      <c r="F13616" t="s">
        <v>17246</v>
      </c>
      <c r="H13616" t="s">
        <v>28921</v>
      </c>
      <c r="J13616" t="s">
        <v>29538</v>
      </c>
      <c r="L13616" t="s">
        <v>30198</v>
      </c>
      <c r="N13616" t="s">
        <v>30199</v>
      </c>
      <c r="P13616" t="s">
        <v>30288</v>
      </c>
      <c r="R13616" s="26" t="str">
        <f>HYPERLINK("https://ictv.global/taxonomy/taxondetails?taxnode_id=202306505","Valovirus valerienense")</f>
        <v>Valovirus valerienense</v>
      </c>
      <c r="S13616" t="s">
        <v>30</v>
      </c>
      <c r="T13616" t="s">
        <v>30289</v>
      </c>
      <c r="U13616" t="s">
        <v>25916</v>
      </c>
      <c r="V13616" t="s">
        <v>30290</v>
      </c>
      <c r="W13616" t="s">
        <v>30291</v>
      </c>
      <c r="X13616" t="s">
        <v>42</v>
      </c>
      <c r="Y13616" t="s">
        <v>17171</v>
      </c>
      <c r="Z13616" t="s">
        <v>166</v>
      </c>
      <c r="AA13616" s="22" t="str">
        <f>HYPERLINK("https://www.ncbi.nlm.nih.gov/nuccore/FJ355928","NCBI Nucleotide")</f>
        <v>NCBI Nucleotide</v>
      </c>
    </row>
    <row r="13617" spans="1:27" x14ac:dyDescent="0.35">
      <c r="A13617">
        <v>1001731</v>
      </c>
      <c r="B13617">
        <v>12679</v>
      </c>
      <c r="C13617">
        <v>1</v>
      </c>
      <c r="D13617" t="s">
        <v>17166</v>
      </c>
      <c r="F13617" t="s">
        <v>17246</v>
      </c>
      <c r="H13617" t="s">
        <v>28921</v>
      </c>
      <c r="J13617" t="s">
        <v>29538</v>
      </c>
      <c r="L13617" t="s">
        <v>30198</v>
      </c>
      <c r="N13617" t="s">
        <v>30199</v>
      </c>
      <c r="P13617" t="s">
        <v>30292</v>
      </c>
      <c r="R13617" s="26" t="str">
        <f>HYPERLINK("https://ictv.global/taxonomy/taxondetails?taxnode_id=202302811","Vesivirus exanthema")</f>
        <v>Vesivirus exanthema</v>
      </c>
      <c r="S13617" t="s">
        <v>30</v>
      </c>
      <c r="T13617" t="s">
        <v>30296</v>
      </c>
      <c r="U13617" t="s">
        <v>30297</v>
      </c>
      <c r="V13617" t="s">
        <v>30298</v>
      </c>
      <c r="W13617" t="s">
        <v>30299</v>
      </c>
      <c r="X13617" t="s">
        <v>42</v>
      </c>
      <c r="Y13617" t="s">
        <v>17171</v>
      </c>
      <c r="Z13617" t="s">
        <v>166</v>
      </c>
      <c r="AA13617" s="22" t="str">
        <f>HYPERLINK("https://www.ncbi.nlm.nih.gov/nuccore/U76874","NCBI Nucleotide")</f>
        <v>NCBI Nucleotide</v>
      </c>
    </row>
    <row r="13618" spans="1:27" x14ac:dyDescent="0.35">
      <c r="A13618">
        <v>1001730</v>
      </c>
      <c r="B13618">
        <v>12680</v>
      </c>
      <c r="C13618">
        <v>1</v>
      </c>
      <c r="D13618" t="s">
        <v>17166</v>
      </c>
      <c r="F13618" t="s">
        <v>17246</v>
      </c>
      <c r="H13618" t="s">
        <v>28921</v>
      </c>
      <c r="J13618" t="s">
        <v>29538</v>
      </c>
      <c r="L13618" t="s">
        <v>30198</v>
      </c>
      <c r="N13618" t="s">
        <v>30199</v>
      </c>
      <c r="P13618" t="s">
        <v>30292</v>
      </c>
      <c r="R13618" s="26" t="str">
        <f>HYPERLINK("https://ictv.global/taxonomy/taxondetails?taxnode_id=202302810","Vesivirus felis")</f>
        <v>Vesivirus felis</v>
      </c>
      <c r="S13618" t="s">
        <v>30</v>
      </c>
      <c r="T13618" t="s">
        <v>30293</v>
      </c>
      <c r="U13618" t="s">
        <v>29484</v>
      </c>
      <c r="V13618" t="s">
        <v>30294</v>
      </c>
      <c r="W13618" t="s">
        <v>30295</v>
      </c>
      <c r="X13618" t="s">
        <v>42</v>
      </c>
      <c r="Y13618" t="s">
        <v>17171</v>
      </c>
      <c r="Z13618" t="s">
        <v>166</v>
      </c>
      <c r="AA13618" s="22" t="str">
        <f>HYPERLINK("https://www.ncbi.nlm.nih.gov/nuccore/M86379","NCBI Nucleotide")</f>
        <v>NCBI Nucleotide</v>
      </c>
    </row>
    <row r="13619" spans="1:27" x14ac:dyDescent="0.35">
      <c r="A13619">
        <v>1001732</v>
      </c>
      <c r="B13619">
        <v>12681</v>
      </c>
      <c r="C13619">
        <v>1</v>
      </c>
      <c r="D13619" t="s">
        <v>17166</v>
      </c>
      <c r="F13619" t="s">
        <v>17246</v>
      </c>
      <c r="H13619" t="s">
        <v>28921</v>
      </c>
      <c r="J13619" t="s">
        <v>29538</v>
      </c>
      <c r="L13619" t="s">
        <v>30198</v>
      </c>
      <c r="N13619" t="s">
        <v>30300</v>
      </c>
      <c r="P13619" t="s">
        <v>30301</v>
      </c>
      <c r="R13619" s="26" t="str">
        <f>HYPERLINK("https://ictv.global/taxonomy/taxondetails?taxnode_id=202301914","Aparavirus apisacutum")</f>
        <v>Aparavirus apisacutum</v>
      </c>
      <c r="S13619" t="s">
        <v>30</v>
      </c>
      <c r="T13619" t="s">
        <v>30302</v>
      </c>
      <c r="U13619" t="s">
        <v>30303</v>
      </c>
      <c r="W13619" t="s">
        <v>30304</v>
      </c>
      <c r="X13619" t="s">
        <v>42</v>
      </c>
      <c r="Y13619" t="s">
        <v>17171</v>
      </c>
      <c r="Z13619" t="s">
        <v>10790</v>
      </c>
      <c r="AA13619" s="22" t="str">
        <f>HYPERLINK("https://www.ncbi.nlm.nih.gov/nuccore/AF150629","NCBI Nucleotide")</f>
        <v>NCBI Nucleotide</v>
      </c>
    </row>
    <row r="13620" spans="1:27" x14ac:dyDescent="0.35">
      <c r="A13620">
        <v>1001733</v>
      </c>
      <c r="B13620">
        <v>12682</v>
      </c>
      <c r="C13620">
        <v>1</v>
      </c>
      <c r="D13620" t="s">
        <v>17166</v>
      </c>
      <c r="F13620" t="s">
        <v>17246</v>
      </c>
      <c r="H13620" t="s">
        <v>28921</v>
      </c>
      <c r="J13620" t="s">
        <v>29538</v>
      </c>
      <c r="L13620" t="s">
        <v>30198</v>
      </c>
      <c r="N13620" t="s">
        <v>30300</v>
      </c>
      <c r="P13620" t="s">
        <v>30301</v>
      </c>
      <c r="R13620" s="26" t="str">
        <f>HYPERLINK("https://ictv.global/taxonomy/taxondetails?taxnode_id=202301917","Aparavirus cancerluti")</f>
        <v>Aparavirus cancerluti</v>
      </c>
      <c r="S13620" t="s">
        <v>30</v>
      </c>
      <c r="T13620" t="s">
        <v>30305</v>
      </c>
      <c r="U13620" t="s">
        <v>30306</v>
      </c>
      <c r="W13620" t="s">
        <v>30307</v>
      </c>
      <c r="X13620" t="s">
        <v>42</v>
      </c>
      <c r="Y13620" t="s">
        <v>17171</v>
      </c>
      <c r="Z13620" t="s">
        <v>10790</v>
      </c>
      <c r="AA13620" s="22" t="str">
        <f>HYPERLINK("https://www.ncbi.nlm.nih.gov/nuccore/HM777507","NCBI Nucleotide")</f>
        <v>NCBI Nucleotide</v>
      </c>
    </row>
    <row r="13621" spans="1:27" x14ac:dyDescent="0.35">
      <c r="A13621">
        <v>1001734</v>
      </c>
      <c r="B13621">
        <v>12683</v>
      </c>
      <c r="C13621">
        <v>1</v>
      </c>
      <c r="D13621" t="s">
        <v>17166</v>
      </c>
      <c r="F13621" t="s">
        <v>17246</v>
      </c>
      <c r="H13621" t="s">
        <v>28921</v>
      </c>
      <c r="J13621" t="s">
        <v>29538</v>
      </c>
      <c r="L13621" t="s">
        <v>30198</v>
      </c>
      <c r="N13621" t="s">
        <v>30300</v>
      </c>
      <c r="P13621" t="s">
        <v>30301</v>
      </c>
      <c r="R13621" s="26" t="str">
        <f>HYPERLINK("https://ictv.global/taxonomy/taxondetails?taxnode_id=202301915","Aparavirus israelense")</f>
        <v>Aparavirus israelense</v>
      </c>
      <c r="S13621" t="s">
        <v>30</v>
      </c>
      <c r="T13621" t="s">
        <v>30308</v>
      </c>
      <c r="U13621" t="s">
        <v>30309</v>
      </c>
      <c r="W13621" t="s">
        <v>30310</v>
      </c>
      <c r="X13621" t="s">
        <v>42</v>
      </c>
      <c r="Y13621" t="s">
        <v>17171</v>
      </c>
      <c r="Z13621" t="s">
        <v>10790</v>
      </c>
      <c r="AA13621" s="22" t="str">
        <f>HYPERLINK("https://www.ncbi.nlm.nih.gov/nuccore/EF219380","NCBI Nucleotide")</f>
        <v>NCBI Nucleotide</v>
      </c>
    </row>
    <row r="13622" spans="1:27" x14ac:dyDescent="0.35">
      <c r="A13622">
        <v>1001735</v>
      </c>
      <c r="B13622">
        <v>12684</v>
      </c>
      <c r="C13622">
        <v>1</v>
      </c>
      <c r="D13622" t="s">
        <v>17166</v>
      </c>
      <c r="F13622" t="s">
        <v>17246</v>
      </c>
      <c r="H13622" t="s">
        <v>28921</v>
      </c>
      <c r="J13622" t="s">
        <v>29538</v>
      </c>
      <c r="L13622" t="s">
        <v>30198</v>
      </c>
      <c r="N13622" t="s">
        <v>30300</v>
      </c>
      <c r="P13622" t="s">
        <v>30301</v>
      </c>
      <c r="R13622" s="26" t="str">
        <f>HYPERLINK("https://ictv.global/taxonomy/taxondetails?taxnode_id=202301916","Aparavirus kashmirense")</f>
        <v>Aparavirus kashmirense</v>
      </c>
      <c r="S13622" t="s">
        <v>30</v>
      </c>
      <c r="T13622" t="s">
        <v>30311</v>
      </c>
      <c r="U13622" t="s">
        <v>24695</v>
      </c>
      <c r="W13622" t="s">
        <v>30312</v>
      </c>
      <c r="X13622" t="s">
        <v>42</v>
      </c>
      <c r="Y13622" t="s">
        <v>17171</v>
      </c>
      <c r="Z13622" t="s">
        <v>10790</v>
      </c>
      <c r="AA13622" s="22" t="str">
        <f>HYPERLINK("https://www.ncbi.nlm.nih.gov/nuccore/AY275710","NCBI Nucleotide")</f>
        <v>NCBI Nucleotide</v>
      </c>
    </row>
    <row r="13623" spans="1:27" x14ac:dyDescent="0.35">
      <c r="A13623">
        <v>1001736</v>
      </c>
      <c r="B13623">
        <v>12685</v>
      </c>
      <c r="C13623">
        <v>1</v>
      </c>
      <c r="D13623" t="s">
        <v>17166</v>
      </c>
      <c r="F13623" t="s">
        <v>17246</v>
      </c>
      <c r="H13623" t="s">
        <v>28921</v>
      </c>
      <c r="J13623" t="s">
        <v>29538</v>
      </c>
      <c r="L13623" t="s">
        <v>30198</v>
      </c>
      <c r="N13623" t="s">
        <v>30300</v>
      </c>
      <c r="P13623" t="s">
        <v>30301</v>
      </c>
      <c r="R13623" s="26" t="str">
        <f>HYPERLINK("https://ictv.global/taxonomy/taxondetails?taxnode_id=202301919","Aparavirus tauraense")</f>
        <v>Aparavirus tauraense</v>
      </c>
      <c r="S13623" t="s">
        <v>30</v>
      </c>
      <c r="T13623" t="s">
        <v>30313</v>
      </c>
      <c r="U13623" t="s">
        <v>18232</v>
      </c>
      <c r="W13623" t="s">
        <v>30314</v>
      </c>
      <c r="X13623" t="s">
        <v>42</v>
      </c>
      <c r="Y13623" t="s">
        <v>17171</v>
      </c>
      <c r="Z13623" t="s">
        <v>10790</v>
      </c>
      <c r="AA13623" s="22" t="str">
        <f>HYPERLINK("https://www.ncbi.nlm.nih.gov/nuccore/AF277675","NCBI Nucleotide")</f>
        <v>NCBI Nucleotide</v>
      </c>
    </row>
    <row r="13624" spans="1:27" x14ac:dyDescent="0.35">
      <c r="A13624">
        <v>1001737</v>
      </c>
      <c r="B13624">
        <v>12686</v>
      </c>
      <c r="C13624">
        <v>1</v>
      </c>
      <c r="D13624" t="s">
        <v>17166</v>
      </c>
      <c r="F13624" t="s">
        <v>17246</v>
      </c>
      <c r="H13624" t="s">
        <v>28921</v>
      </c>
      <c r="J13624" t="s">
        <v>29538</v>
      </c>
      <c r="L13624" t="s">
        <v>30198</v>
      </c>
      <c r="N13624" t="s">
        <v>30300</v>
      </c>
      <c r="P13624" t="s">
        <v>30301</v>
      </c>
      <c r="R13624" s="26" t="str">
        <f>HYPERLINK("https://ictv.global/taxonomy/taxondetails?taxnode_id=202301918","Aparavirus vallesi")</f>
        <v>Aparavirus vallesi</v>
      </c>
      <c r="S13624" t="s">
        <v>30</v>
      </c>
      <c r="T13624" t="s">
        <v>30315</v>
      </c>
      <c r="U13624" t="s">
        <v>30316</v>
      </c>
      <c r="W13624" t="s">
        <v>30317</v>
      </c>
      <c r="X13624" t="s">
        <v>42</v>
      </c>
      <c r="Y13624" t="s">
        <v>17171</v>
      </c>
      <c r="Z13624" t="s">
        <v>10790</v>
      </c>
      <c r="AA13624" s="22" t="str">
        <f>HYPERLINK("https://www.ncbi.nlm.nih.gov/nuccore/AY634314","NCBI Nucleotide")</f>
        <v>NCBI Nucleotide</v>
      </c>
    </row>
    <row r="13625" spans="1:27" x14ac:dyDescent="0.35">
      <c r="A13625">
        <v>1001738</v>
      </c>
      <c r="B13625">
        <v>12687</v>
      </c>
      <c r="C13625">
        <v>1</v>
      </c>
      <c r="D13625" t="s">
        <v>17166</v>
      </c>
      <c r="F13625" t="s">
        <v>17246</v>
      </c>
      <c r="H13625" t="s">
        <v>28921</v>
      </c>
      <c r="J13625" t="s">
        <v>29538</v>
      </c>
      <c r="L13625" t="s">
        <v>30198</v>
      </c>
      <c r="N13625" t="s">
        <v>30300</v>
      </c>
      <c r="P13625" t="s">
        <v>30318</v>
      </c>
      <c r="R13625" s="26" t="str">
        <f>HYPERLINK("https://ictv.global/taxonomy/taxondetails?taxnode_id=202301923","Cripavirus drosophilae")</f>
        <v>Cripavirus drosophilae</v>
      </c>
      <c r="S13625" t="s">
        <v>30</v>
      </c>
      <c r="T13625" t="s">
        <v>30319</v>
      </c>
      <c r="U13625" t="s">
        <v>30320</v>
      </c>
      <c r="V13625" t="s">
        <v>30321</v>
      </c>
      <c r="W13625" t="s">
        <v>30322</v>
      </c>
      <c r="X13625" t="s">
        <v>42</v>
      </c>
      <c r="Y13625" t="s">
        <v>17171</v>
      </c>
      <c r="Z13625" t="s">
        <v>10790</v>
      </c>
      <c r="AA13625" s="22" t="str">
        <f>HYPERLINK("https://www.ncbi.nlm.nih.gov/nuccore/AF014388","NCBI Nucleotide")</f>
        <v>NCBI Nucleotide</v>
      </c>
    </row>
    <row r="13626" spans="1:27" x14ac:dyDescent="0.35">
      <c r="A13626">
        <v>1001739</v>
      </c>
      <c r="B13626">
        <v>12688</v>
      </c>
      <c r="C13626">
        <v>1</v>
      </c>
      <c r="D13626" t="s">
        <v>17166</v>
      </c>
      <c r="F13626" t="s">
        <v>17246</v>
      </c>
      <c r="H13626" t="s">
        <v>28921</v>
      </c>
      <c r="J13626" t="s">
        <v>29538</v>
      </c>
      <c r="L13626" t="s">
        <v>30198</v>
      </c>
      <c r="N13626" t="s">
        <v>30300</v>
      </c>
      <c r="P13626" t="s">
        <v>30318</v>
      </c>
      <c r="R13626" s="26" t="str">
        <f>HYPERLINK("https://ictv.global/taxonomy/taxondetails?taxnode_id=202301922","Cripavirus grylli")</f>
        <v>Cripavirus grylli</v>
      </c>
      <c r="S13626" t="s">
        <v>30</v>
      </c>
      <c r="T13626" t="s">
        <v>30323</v>
      </c>
      <c r="U13626" t="s">
        <v>30324</v>
      </c>
      <c r="W13626" t="s">
        <v>30325</v>
      </c>
      <c r="X13626" t="s">
        <v>42</v>
      </c>
      <c r="Y13626" t="s">
        <v>17171</v>
      </c>
      <c r="Z13626" t="s">
        <v>10790</v>
      </c>
      <c r="AA13626" s="22" t="str">
        <f>HYPERLINK("https://www.ncbi.nlm.nih.gov/nuccore/AF218039","NCBI Nucleotide")</f>
        <v>NCBI Nucleotide</v>
      </c>
    </row>
    <row r="13627" spans="1:27" x14ac:dyDescent="0.35">
      <c r="A13627">
        <v>1001740</v>
      </c>
      <c r="B13627">
        <v>12689</v>
      </c>
      <c r="C13627">
        <v>1</v>
      </c>
      <c r="D13627" t="s">
        <v>17166</v>
      </c>
      <c r="F13627" t="s">
        <v>17246</v>
      </c>
      <c r="H13627" t="s">
        <v>28921</v>
      </c>
      <c r="J13627" t="s">
        <v>29538</v>
      </c>
      <c r="L13627" t="s">
        <v>30198</v>
      </c>
      <c r="N13627" t="s">
        <v>30300</v>
      </c>
      <c r="P13627" t="s">
        <v>30318</v>
      </c>
      <c r="R13627" s="26" t="str">
        <f>HYPERLINK("https://ictv.global/taxonomy/taxondetails?taxnode_id=202301921","Cripavirus mortiferum")</f>
        <v>Cripavirus mortiferum</v>
      </c>
      <c r="S13627" t="s">
        <v>30</v>
      </c>
      <c r="T13627" t="s">
        <v>30326</v>
      </c>
      <c r="U13627" t="s">
        <v>30327</v>
      </c>
      <c r="W13627" t="s">
        <v>30328</v>
      </c>
      <c r="X13627" t="s">
        <v>42</v>
      </c>
      <c r="Y13627" t="s">
        <v>17171</v>
      </c>
      <c r="Z13627" t="s">
        <v>10790</v>
      </c>
      <c r="AA13627" s="22" t="str">
        <f>HYPERLINK("https://www.ncbi.nlm.nih.gov/nuccore/AF536531","NCBI Nucleotide")</f>
        <v>NCBI Nucleotide</v>
      </c>
    </row>
    <row r="13628" spans="1:27" x14ac:dyDescent="0.35">
      <c r="A13628">
        <v>1001741</v>
      </c>
      <c r="B13628">
        <v>12690</v>
      </c>
      <c r="C13628">
        <v>1</v>
      </c>
      <c r="D13628" t="s">
        <v>17166</v>
      </c>
      <c r="F13628" t="s">
        <v>17246</v>
      </c>
      <c r="H13628" t="s">
        <v>28921</v>
      </c>
      <c r="J13628" t="s">
        <v>29538</v>
      </c>
      <c r="L13628" t="s">
        <v>30198</v>
      </c>
      <c r="N13628" t="s">
        <v>30300</v>
      </c>
      <c r="P13628" t="s">
        <v>30318</v>
      </c>
      <c r="R13628" s="26" t="str">
        <f>HYPERLINK("https://ictv.global/taxonomy/taxondetails?taxnode_id=202314012","Cripavirus porteri")</f>
        <v>Cripavirus porteri</v>
      </c>
      <c r="S13628" t="s">
        <v>30</v>
      </c>
      <c r="T13628" t="s">
        <v>30329</v>
      </c>
      <c r="U13628" t="s">
        <v>30330</v>
      </c>
      <c r="V13628" t="s">
        <v>30331</v>
      </c>
      <c r="W13628" t="s">
        <v>30332</v>
      </c>
      <c r="X13628" t="s">
        <v>42</v>
      </c>
      <c r="Y13628" t="s">
        <v>17171</v>
      </c>
      <c r="Z13628" t="s">
        <v>10790</v>
      </c>
      <c r="AA13628" s="22" t="str">
        <f>HYPERLINK("https://www.ncbi.nlm.nih.gov/nuccore/MH714707","NCBI Nucleotide")</f>
        <v>NCBI Nucleotide</v>
      </c>
    </row>
    <row r="13629" spans="1:27" x14ac:dyDescent="0.35">
      <c r="A13629">
        <v>1001742</v>
      </c>
      <c r="B13629">
        <v>12691</v>
      </c>
      <c r="C13629">
        <v>1</v>
      </c>
      <c r="D13629" t="s">
        <v>17166</v>
      </c>
      <c r="F13629" t="s">
        <v>17246</v>
      </c>
      <c r="H13629" t="s">
        <v>28921</v>
      </c>
      <c r="J13629" t="s">
        <v>29538</v>
      </c>
      <c r="L13629" t="s">
        <v>30198</v>
      </c>
      <c r="N13629" t="s">
        <v>30300</v>
      </c>
      <c r="P13629" t="s">
        <v>30318</v>
      </c>
      <c r="R13629" s="26" t="str">
        <f>HYPERLINK("https://ictv.global/taxonomy/taxondetails?taxnode_id=202301924","Cripavirus ropadi")</f>
        <v>Cripavirus ropadi</v>
      </c>
      <c r="S13629" t="s">
        <v>30</v>
      </c>
      <c r="T13629" t="s">
        <v>30333</v>
      </c>
      <c r="U13629" t="s">
        <v>30334</v>
      </c>
      <c r="W13629" t="s">
        <v>30335</v>
      </c>
      <c r="X13629" t="s">
        <v>42</v>
      </c>
      <c r="Y13629" t="s">
        <v>17171</v>
      </c>
      <c r="Z13629" t="s">
        <v>10790</v>
      </c>
      <c r="AA13629" s="22" t="str">
        <f>HYPERLINK("https://www.ncbi.nlm.nih.gov/nuccore/AF022937","NCBI Nucleotide")</f>
        <v>NCBI Nucleotide</v>
      </c>
    </row>
    <row r="13630" spans="1:27" x14ac:dyDescent="0.35">
      <c r="A13630">
        <v>1001743</v>
      </c>
      <c r="B13630">
        <v>12692</v>
      </c>
      <c r="C13630">
        <v>1</v>
      </c>
      <c r="D13630" t="s">
        <v>17166</v>
      </c>
      <c r="F13630" t="s">
        <v>17246</v>
      </c>
      <c r="H13630" t="s">
        <v>28921</v>
      </c>
      <c r="J13630" t="s">
        <v>29538</v>
      </c>
      <c r="L13630" t="s">
        <v>30198</v>
      </c>
      <c r="N13630" t="s">
        <v>30300</v>
      </c>
      <c r="P13630" t="s">
        <v>30336</v>
      </c>
      <c r="R13630" s="26" t="str">
        <f>HYPERLINK("https://ictv.global/taxonomy/taxondetails?taxnode_id=202301927","Triatovirus himetobi")</f>
        <v>Triatovirus himetobi</v>
      </c>
      <c r="S13630" t="s">
        <v>30</v>
      </c>
      <c r="T13630" t="s">
        <v>30337</v>
      </c>
      <c r="U13630" t="s">
        <v>30338</v>
      </c>
      <c r="W13630" t="s">
        <v>30339</v>
      </c>
      <c r="X13630" t="s">
        <v>42</v>
      </c>
      <c r="Y13630" t="s">
        <v>17171</v>
      </c>
      <c r="Z13630" t="s">
        <v>10790</v>
      </c>
      <c r="AA13630" s="22" t="str">
        <f>HYPERLINK("https://www.ncbi.nlm.nih.gov/nuccore/AB017037","NCBI Nucleotide")</f>
        <v>NCBI Nucleotide</v>
      </c>
    </row>
    <row r="13631" spans="1:27" x14ac:dyDescent="0.35">
      <c r="A13631">
        <v>1001744</v>
      </c>
      <c r="B13631">
        <v>12693</v>
      </c>
      <c r="C13631">
        <v>1</v>
      </c>
      <c r="D13631" t="s">
        <v>17166</v>
      </c>
      <c r="F13631" t="s">
        <v>17246</v>
      </c>
      <c r="H13631" t="s">
        <v>28921</v>
      </c>
      <c r="J13631" t="s">
        <v>29538</v>
      </c>
      <c r="L13631" t="s">
        <v>30198</v>
      </c>
      <c r="N13631" t="s">
        <v>30300</v>
      </c>
      <c r="P13631" t="s">
        <v>30336</v>
      </c>
      <c r="R13631" s="26" t="str">
        <f>HYPERLINK("https://ictv.global/taxonomy/taxondetails?taxnode_id=202301928","Triatovirus hocoagulatae")</f>
        <v>Triatovirus hocoagulatae</v>
      </c>
      <c r="S13631" t="s">
        <v>30</v>
      </c>
      <c r="T13631" t="s">
        <v>30340</v>
      </c>
      <c r="U13631" t="s">
        <v>30341</v>
      </c>
      <c r="W13631" t="s">
        <v>30342</v>
      </c>
      <c r="X13631" t="s">
        <v>42</v>
      </c>
      <c r="Y13631" t="s">
        <v>17171</v>
      </c>
      <c r="Z13631" t="s">
        <v>10790</v>
      </c>
      <c r="AA13631" s="22" t="str">
        <f>HYPERLINK("https://www.ncbi.nlm.nih.gov/nuccore/DQ288865","NCBI Nucleotide")</f>
        <v>NCBI Nucleotide</v>
      </c>
    </row>
    <row r="13632" spans="1:27" x14ac:dyDescent="0.35">
      <c r="A13632">
        <v>1001745</v>
      </c>
      <c r="B13632">
        <v>12694</v>
      </c>
      <c r="C13632">
        <v>1</v>
      </c>
      <c r="D13632" t="s">
        <v>17166</v>
      </c>
      <c r="F13632" t="s">
        <v>17246</v>
      </c>
      <c r="H13632" t="s">
        <v>28921</v>
      </c>
      <c r="J13632" t="s">
        <v>29538</v>
      </c>
      <c r="L13632" t="s">
        <v>30198</v>
      </c>
      <c r="N13632" t="s">
        <v>30300</v>
      </c>
      <c r="P13632" t="s">
        <v>30336</v>
      </c>
      <c r="R13632" s="26" t="str">
        <f>HYPERLINK("https://ictv.global/taxonomy/taxondetails?taxnode_id=202301926","Triatovirus nigereginacellulae")</f>
        <v>Triatovirus nigereginacellulae</v>
      </c>
      <c r="S13632" t="s">
        <v>30</v>
      </c>
      <c r="T13632" t="s">
        <v>30343</v>
      </c>
      <c r="U13632" t="s">
        <v>30344</v>
      </c>
      <c r="V13632" t="s">
        <v>30345</v>
      </c>
      <c r="W13632" t="s">
        <v>30346</v>
      </c>
      <c r="X13632" t="s">
        <v>42</v>
      </c>
      <c r="Y13632" t="s">
        <v>17171</v>
      </c>
      <c r="Z13632" t="s">
        <v>10790</v>
      </c>
      <c r="AA13632" s="22" t="str">
        <f>HYPERLINK("https://www.ncbi.nlm.nih.gov/nuccore/AF183905","NCBI Nucleotide")</f>
        <v>NCBI Nucleotide</v>
      </c>
    </row>
    <row r="13633" spans="1:27" x14ac:dyDescent="0.35">
      <c r="A13633">
        <v>1001746</v>
      </c>
      <c r="B13633">
        <v>12695</v>
      </c>
      <c r="C13633">
        <v>1</v>
      </c>
      <c r="D13633" t="s">
        <v>17166</v>
      </c>
      <c r="F13633" t="s">
        <v>17246</v>
      </c>
      <c r="H13633" t="s">
        <v>28921</v>
      </c>
      <c r="J13633" t="s">
        <v>29538</v>
      </c>
      <c r="L13633" t="s">
        <v>30198</v>
      </c>
      <c r="N13633" t="s">
        <v>30300</v>
      </c>
      <c r="P13633" t="s">
        <v>30336</v>
      </c>
      <c r="R13633" s="26" t="str">
        <f>HYPERLINK("https://ictv.global/taxonomy/taxondetails?taxnode_id=202301929","Triatovirus plastali")</f>
        <v>Triatovirus plastali</v>
      </c>
      <c r="S13633" t="s">
        <v>30</v>
      </c>
      <c r="T13633" t="s">
        <v>30347</v>
      </c>
      <c r="U13633" t="s">
        <v>30348</v>
      </c>
      <c r="W13633" t="s">
        <v>30349</v>
      </c>
      <c r="X13633" t="s">
        <v>42</v>
      </c>
      <c r="Y13633" t="s">
        <v>17171</v>
      </c>
      <c r="Z13633" t="s">
        <v>10790</v>
      </c>
      <c r="AA13633" s="22" t="str">
        <f>HYPERLINK("https://www.ncbi.nlm.nih.gov/nuccore/AB006531","NCBI Nucleotide")</f>
        <v>NCBI Nucleotide</v>
      </c>
    </row>
    <row r="13634" spans="1:27" x14ac:dyDescent="0.35">
      <c r="A13634">
        <v>1001747</v>
      </c>
      <c r="B13634">
        <v>12696</v>
      </c>
      <c r="C13634">
        <v>1</v>
      </c>
      <c r="D13634" t="s">
        <v>17166</v>
      </c>
      <c r="F13634" t="s">
        <v>17246</v>
      </c>
      <c r="H13634" t="s">
        <v>28921</v>
      </c>
      <c r="J13634" t="s">
        <v>29538</v>
      </c>
      <c r="L13634" t="s">
        <v>30198</v>
      </c>
      <c r="N13634" t="s">
        <v>30300</v>
      </c>
      <c r="P13634" t="s">
        <v>30336</v>
      </c>
      <c r="R13634" s="26" t="str">
        <f>HYPERLINK("https://ictv.global/taxonomy/taxondetails?taxnode_id=202301930","Triatovirus triatomae")</f>
        <v>Triatovirus triatomae</v>
      </c>
      <c r="S13634" t="s">
        <v>30</v>
      </c>
      <c r="T13634" t="s">
        <v>30350</v>
      </c>
      <c r="U13634" t="s">
        <v>30351</v>
      </c>
      <c r="W13634" t="s">
        <v>30352</v>
      </c>
      <c r="X13634" t="s">
        <v>42</v>
      </c>
      <c r="Y13634" t="s">
        <v>17171</v>
      </c>
      <c r="Z13634" t="s">
        <v>10790</v>
      </c>
      <c r="AA13634" s="22" t="str">
        <f>HYPERLINK("https://www.ncbi.nlm.nih.gov/nuccore/AF178440","NCBI Nucleotide")</f>
        <v>NCBI Nucleotide</v>
      </c>
    </row>
    <row r="13635" spans="1:27" x14ac:dyDescent="0.35">
      <c r="A13635">
        <v>1001748</v>
      </c>
      <c r="B13635">
        <v>12697</v>
      </c>
      <c r="C13635">
        <v>1</v>
      </c>
      <c r="D13635" t="s">
        <v>17166</v>
      </c>
      <c r="F13635" t="s">
        <v>17246</v>
      </c>
      <c r="H13635" t="s">
        <v>28921</v>
      </c>
      <c r="J13635" t="s">
        <v>29538</v>
      </c>
      <c r="L13635" t="s">
        <v>30198</v>
      </c>
      <c r="N13635" t="s">
        <v>30353</v>
      </c>
      <c r="P13635" t="s">
        <v>30354</v>
      </c>
      <c r="R13635" s="26" t="str">
        <f>HYPERLINK("https://ictv.global/taxonomy/taxondetails?taxnode_id=202313895","Iflavirus achedomestici")</f>
        <v>Iflavirus achedomestici</v>
      </c>
      <c r="S13635" t="s">
        <v>30</v>
      </c>
      <c r="T13635" t="s">
        <v>30355</v>
      </c>
      <c r="U13635" t="s">
        <v>30356</v>
      </c>
      <c r="V13635" t="s">
        <v>30357</v>
      </c>
      <c r="W13635" t="s">
        <v>47287</v>
      </c>
      <c r="X13635" t="s">
        <v>42</v>
      </c>
      <c r="Y13635" t="s">
        <v>17171</v>
      </c>
      <c r="Z13635" t="s">
        <v>10790</v>
      </c>
      <c r="AA13635" s="22" t="str">
        <f>HYPERLINK("https://www.ncbi.nlm.nih.gov/nuccore/MW281483","NCBI Nucleotide")</f>
        <v>NCBI Nucleotide</v>
      </c>
    </row>
    <row r="13636" spans="1:27" x14ac:dyDescent="0.35">
      <c r="A13636">
        <v>1001749</v>
      </c>
      <c r="B13636">
        <v>12698</v>
      </c>
      <c r="C13636">
        <v>1</v>
      </c>
      <c r="D13636" t="s">
        <v>17166</v>
      </c>
      <c r="F13636" t="s">
        <v>17246</v>
      </c>
      <c r="H13636" t="s">
        <v>28921</v>
      </c>
      <c r="J13636" t="s">
        <v>29538</v>
      </c>
      <c r="L13636" t="s">
        <v>30198</v>
      </c>
      <c r="N13636" t="s">
        <v>30353</v>
      </c>
      <c r="P13636" t="s">
        <v>30354</v>
      </c>
      <c r="R13636" s="26" t="str">
        <f>HYPERLINK("https://ictv.global/taxonomy/taxondetails?taxnode_id=202301936","Iflavirus aladeformis")</f>
        <v>Iflavirus aladeformis</v>
      </c>
      <c r="S13636" t="s">
        <v>30</v>
      </c>
      <c r="T13636" t="s">
        <v>30358</v>
      </c>
      <c r="U13636" t="s">
        <v>30359</v>
      </c>
      <c r="W13636" t="s">
        <v>30360</v>
      </c>
      <c r="X13636" t="s">
        <v>42</v>
      </c>
      <c r="Y13636" t="s">
        <v>17171</v>
      </c>
      <c r="Z13636" t="s">
        <v>10790</v>
      </c>
      <c r="AA13636" s="22" t="str">
        <f>HYPERLINK("https://www.ncbi.nlm.nih.gov/nuccore/AJ489744","NCBI Nucleotide")</f>
        <v>NCBI Nucleotide</v>
      </c>
    </row>
    <row r="13637" spans="1:27" x14ac:dyDescent="0.35">
      <c r="A13637">
        <v>1001750</v>
      </c>
      <c r="B13637">
        <v>12699</v>
      </c>
      <c r="C13637">
        <v>1</v>
      </c>
      <c r="D13637" t="s">
        <v>17166</v>
      </c>
      <c r="F13637" t="s">
        <v>17246</v>
      </c>
      <c r="H13637" t="s">
        <v>28921</v>
      </c>
      <c r="J13637" t="s">
        <v>29538</v>
      </c>
      <c r="L13637" t="s">
        <v>30198</v>
      </c>
      <c r="N13637" t="s">
        <v>30353</v>
      </c>
      <c r="P13637" t="s">
        <v>30354</v>
      </c>
      <c r="R13637" s="26" t="str">
        <f>HYPERLINK("https://ictv.global/taxonomy/taxondetails?taxnode_id=202301945","Iflavirus apistardum")</f>
        <v>Iflavirus apistardum</v>
      </c>
      <c r="S13637" t="s">
        <v>30</v>
      </c>
      <c r="T13637" t="s">
        <v>30361</v>
      </c>
      <c r="U13637" t="s">
        <v>30362</v>
      </c>
      <c r="V13637" t="s">
        <v>30363</v>
      </c>
      <c r="W13637" t="s">
        <v>30364</v>
      </c>
      <c r="X13637" t="s">
        <v>42</v>
      </c>
      <c r="Y13637" t="s">
        <v>17171</v>
      </c>
      <c r="Z13637" t="s">
        <v>10790</v>
      </c>
      <c r="AA13637" s="22" t="str">
        <f>HYPERLINK("https://www.ncbi.nlm.nih.gov/nuccore/EU035616","NCBI Nucleotide")</f>
        <v>NCBI Nucleotide</v>
      </c>
    </row>
    <row r="13638" spans="1:27" x14ac:dyDescent="0.35">
      <c r="A13638">
        <v>1001751</v>
      </c>
      <c r="B13638">
        <v>12700</v>
      </c>
      <c r="C13638">
        <v>1</v>
      </c>
      <c r="D13638" t="s">
        <v>17166</v>
      </c>
      <c r="F13638" t="s">
        <v>17246</v>
      </c>
      <c r="H13638" t="s">
        <v>28921</v>
      </c>
      <c r="J13638" t="s">
        <v>29538</v>
      </c>
      <c r="L13638" t="s">
        <v>30198</v>
      </c>
      <c r="N13638" t="s">
        <v>30353</v>
      </c>
      <c r="P13638" t="s">
        <v>30354</v>
      </c>
      <c r="R13638" s="26" t="str">
        <f>HYPERLINK("https://ictv.global/taxonomy/taxondetails?taxnode_id=202301947","Iflavirus betaspexiguae")</f>
        <v>Iflavirus betaspexiguae</v>
      </c>
      <c r="S13638" t="s">
        <v>30</v>
      </c>
      <c r="T13638" t="s">
        <v>30365</v>
      </c>
      <c r="U13638" t="s">
        <v>30366</v>
      </c>
      <c r="V13638" t="s">
        <v>30367</v>
      </c>
      <c r="W13638" t="s">
        <v>30368</v>
      </c>
      <c r="X13638" t="s">
        <v>42</v>
      </c>
      <c r="Y13638" t="s">
        <v>17171</v>
      </c>
      <c r="Z13638" t="s">
        <v>10790</v>
      </c>
      <c r="AA13638" s="22" t="str">
        <f>HYPERLINK("https://www.ncbi.nlm.nih.gov/nuccore/JN870848","NCBI Nucleotide")</f>
        <v>NCBI Nucleotide</v>
      </c>
    </row>
    <row r="13639" spans="1:27" x14ac:dyDescent="0.35">
      <c r="A13639">
        <v>1001752</v>
      </c>
      <c r="B13639">
        <v>12701</v>
      </c>
      <c r="C13639">
        <v>1</v>
      </c>
      <c r="D13639" t="s">
        <v>17166</v>
      </c>
      <c r="F13639" t="s">
        <v>17246</v>
      </c>
      <c r="H13639" t="s">
        <v>28921</v>
      </c>
      <c r="J13639" t="s">
        <v>29538</v>
      </c>
      <c r="L13639" t="s">
        <v>30198</v>
      </c>
      <c r="N13639" t="s">
        <v>30353</v>
      </c>
      <c r="P13639" t="s">
        <v>30354</v>
      </c>
      <c r="R13639" s="26" t="str">
        <f>HYPERLINK("https://ictv.global/taxonomy/taxondetails?taxnode_id=202301935","Iflavirus brebrassicae")</f>
        <v>Iflavirus brebrassicae</v>
      </c>
      <c r="S13639" t="s">
        <v>30</v>
      </c>
      <c r="T13639" t="s">
        <v>30369</v>
      </c>
      <c r="U13639" t="s">
        <v>20103</v>
      </c>
      <c r="V13639" t="s">
        <v>18183</v>
      </c>
      <c r="W13639" t="s">
        <v>30370</v>
      </c>
      <c r="X13639" t="s">
        <v>42</v>
      </c>
      <c r="Y13639" t="s">
        <v>17171</v>
      </c>
      <c r="Z13639" t="s">
        <v>10790</v>
      </c>
      <c r="AA13639" s="22" t="str">
        <f>HYPERLINK("https://www.ncbi.nlm.nih.gov/nuccore/EF517277","NCBI Nucleotide")</f>
        <v>NCBI Nucleotide</v>
      </c>
    </row>
    <row r="13640" spans="1:27" x14ac:dyDescent="0.35">
      <c r="A13640">
        <v>1001753</v>
      </c>
      <c r="B13640">
        <v>12702</v>
      </c>
      <c r="C13640">
        <v>1</v>
      </c>
      <c r="D13640" t="s">
        <v>17166</v>
      </c>
      <c r="F13640" t="s">
        <v>17246</v>
      </c>
      <c r="H13640" t="s">
        <v>28921</v>
      </c>
      <c r="J13640" t="s">
        <v>29538</v>
      </c>
      <c r="L13640" t="s">
        <v>30198</v>
      </c>
      <c r="N13640" t="s">
        <v>30353</v>
      </c>
      <c r="P13640" t="s">
        <v>30354</v>
      </c>
      <c r="R13640" s="26" t="str">
        <f>HYPERLINK("https://ictv.global/taxonomy/taxondetails?taxnode_id=202301937","Iflavirus dinococcinellae")</f>
        <v>Iflavirus dinococcinellae</v>
      </c>
      <c r="S13640" t="s">
        <v>30</v>
      </c>
      <c r="T13640" t="s">
        <v>30371</v>
      </c>
      <c r="U13640" t="s">
        <v>30372</v>
      </c>
      <c r="V13640" t="s">
        <v>30373</v>
      </c>
      <c r="W13640" t="s">
        <v>30374</v>
      </c>
      <c r="X13640" t="s">
        <v>42</v>
      </c>
      <c r="Y13640" t="s">
        <v>17171</v>
      </c>
      <c r="Z13640" t="s">
        <v>10790</v>
      </c>
      <c r="AA13640" s="22" t="str">
        <f>HYPERLINK("https://www.ncbi.nlm.nih.gov/nuccore/KF843822","NCBI Nucleotide")</f>
        <v>NCBI Nucleotide</v>
      </c>
    </row>
    <row r="13641" spans="1:27" x14ac:dyDescent="0.35">
      <c r="A13641">
        <v>1001754</v>
      </c>
      <c r="B13641">
        <v>12703</v>
      </c>
      <c r="C13641">
        <v>1</v>
      </c>
      <c r="D13641" t="s">
        <v>17166</v>
      </c>
      <c r="F13641" t="s">
        <v>17246</v>
      </c>
      <c r="H13641" t="s">
        <v>28921</v>
      </c>
      <c r="J13641" t="s">
        <v>29538</v>
      </c>
      <c r="L13641" t="s">
        <v>30198</v>
      </c>
      <c r="N13641" t="s">
        <v>30353</v>
      </c>
      <c r="P13641" t="s">
        <v>30354</v>
      </c>
      <c r="R13641" s="26" t="str">
        <f>HYPERLINK("https://ictv.global/taxonomy/taxondetails?taxnode_id=202301938","Iflavirus ectobliquae")</f>
        <v>Iflavirus ectobliquae</v>
      </c>
      <c r="S13641" t="s">
        <v>30</v>
      </c>
      <c r="T13641" t="s">
        <v>30375</v>
      </c>
      <c r="U13641" t="s">
        <v>30376</v>
      </c>
      <c r="W13641" t="s">
        <v>30377</v>
      </c>
      <c r="X13641" t="s">
        <v>42</v>
      </c>
      <c r="Y13641" t="s">
        <v>17171</v>
      </c>
      <c r="Z13641" t="s">
        <v>10790</v>
      </c>
      <c r="AA13641" s="22" t="str">
        <f>HYPERLINK("https://www.ncbi.nlm.nih.gov/nuccore/AY365064","NCBI Nucleotide")</f>
        <v>NCBI Nucleotide</v>
      </c>
    </row>
    <row r="13642" spans="1:27" x14ac:dyDescent="0.35">
      <c r="A13642">
        <v>1001755</v>
      </c>
      <c r="B13642">
        <v>12704</v>
      </c>
      <c r="C13642">
        <v>1</v>
      </c>
      <c r="D13642" t="s">
        <v>17166</v>
      </c>
      <c r="F13642" t="s">
        <v>17246</v>
      </c>
      <c r="H13642" t="s">
        <v>28921</v>
      </c>
      <c r="J13642" t="s">
        <v>29538</v>
      </c>
      <c r="L13642" t="s">
        <v>30198</v>
      </c>
      <c r="N13642" t="s">
        <v>30353</v>
      </c>
      <c r="P13642" t="s">
        <v>30354</v>
      </c>
      <c r="R13642" s="26" t="str">
        <f>HYPERLINK("https://ictv.global/taxonomy/taxondetails?taxnode_id=202301939","Iflavirus flacherie")</f>
        <v>Iflavirus flacherie</v>
      </c>
      <c r="S13642" t="s">
        <v>30</v>
      </c>
      <c r="T13642" t="s">
        <v>30378</v>
      </c>
      <c r="U13642" t="s">
        <v>30379</v>
      </c>
      <c r="W13642" t="s">
        <v>30380</v>
      </c>
      <c r="X13642" t="s">
        <v>42</v>
      </c>
      <c r="Y13642" t="s">
        <v>17171</v>
      </c>
      <c r="Z13642" t="s">
        <v>10790</v>
      </c>
      <c r="AA13642" s="22" t="str">
        <f>HYPERLINK("https://www.ncbi.nlm.nih.gov/nuccore/AB000906","NCBI Nucleotide")</f>
        <v>NCBI Nucleotide</v>
      </c>
    </row>
    <row r="13643" spans="1:27" x14ac:dyDescent="0.35">
      <c r="A13643">
        <v>1001756</v>
      </c>
      <c r="B13643">
        <v>12705</v>
      </c>
      <c r="C13643">
        <v>1</v>
      </c>
      <c r="D13643" t="s">
        <v>17166</v>
      </c>
      <c r="F13643" t="s">
        <v>17246</v>
      </c>
      <c r="H13643" t="s">
        <v>28921</v>
      </c>
      <c r="J13643" t="s">
        <v>29538</v>
      </c>
      <c r="L13643" t="s">
        <v>30198</v>
      </c>
      <c r="N13643" t="s">
        <v>30353</v>
      </c>
      <c r="P13643" t="s">
        <v>30354</v>
      </c>
      <c r="R13643" s="26" t="str">
        <f>HYPERLINK("https://ictv.global/taxonomy/taxondetails?taxnode_id=202301941","Iflavirus lineacelli")</f>
        <v>Iflavirus lineacelli</v>
      </c>
      <c r="S13643" t="s">
        <v>30</v>
      </c>
      <c r="T13643" t="s">
        <v>30381</v>
      </c>
      <c r="U13643" t="s">
        <v>30382</v>
      </c>
      <c r="V13643" t="s">
        <v>30383</v>
      </c>
      <c r="W13643" t="s">
        <v>30384</v>
      </c>
      <c r="X13643" t="s">
        <v>42</v>
      </c>
      <c r="Y13643" t="s">
        <v>17171</v>
      </c>
      <c r="Z13643" t="s">
        <v>10790</v>
      </c>
      <c r="AA13643" s="22" t="str">
        <f>HYPERLINK("https://www.ncbi.nlm.nih.gov/nuccore/KJ629170","NCBI Nucleotide")</f>
        <v>NCBI Nucleotide</v>
      </c>
    </row>
    <row r="13644" spans="1:27" x14ac:dyDescent="0.35">
      <c r="A13644">
        <v>1001757</v>
      </c>
      <c r="B13644">
        <v>12706</v>
      </c>
      <c r="C13644">
        <v>1</v>
      </c>
      <c r="D13644" t="s">
        <v>17166</v>
      </c>
      <c r="F13644" t="s">
        <v>17246</v>
      </c>
      <c r="H13644" t="s">
        <v>28921</v>
      </c>
      <c r="J13644" t="s">
        <v>29538</v>
      </c>
      <c r="L13644" t="s">
        <v>30198</v>
      </c>
      <c r="N13644" t="s">
        <v>30353</v>
      </c>
      <c r="P13644" t="s">
        <v>30354</v>
      </c>
      <c r="R13644" s="26" t="str">
        <f>HYPERLINK("https://ictv.global/taxonomy/taxondetails?taxnode_id=202301940","Iflavirus lylineolaris")</f>
        <v>Iflavirus lylineolaris</v>
      </c>
      <c r="S13644" t="s">
        <v>30</v>
      </c>
      <c r="T13644" t="s">
        <v>30385</v>
      </c>
      <c r="U13644" t="s">
        <v>30386</v>
      </c>
      <c r="V13644" t="s">
        <v>30387</v>
      </c>
      <c r="W13644" t="s">
        <v>30388</v>
      </c>
      <c r="X13644" t="s">
        <v>42</v>
      </c>
      <c r="Y13644" t="s">
        <v>17171</v>
      </c>
      <c r="Z13644" t="s">
        <v>10790</v>
      </c>
      <c r="AA13644" s="22" t="str">
        <f>HYPERLINK("https://www.ncbi.nlm.nih.gov/nuccore/JF720348","NCBI Nucleotide")</f>
        <v>NCBI Nucleotide</v>
      </c>
    </row>
    <row r="13645" spans="1:27" x14ac:dyDescent="0.35">
      <c r="A13645">
        <v>1001758</v>
      </c>
      <c r="B13645">
        <v>12707</v>
      </c>
      <c r="C13645">
        <v>1</v>
      </c>
      <c r="D13645" t="s">
        <v>17166</v>
      </c>
      <c r="F13645" t="s">
        <v>17246</v>
      </c>
      <c r="H13645" t="s">
        <v>28921</v>
      </c>
      <c r="J13645" t="s">
        <v>29538</v>
      </c>
      <c r="L13645" t="s">
        <v>30198</v>
      </c>
      <c r="N13645" t="s">
        <v>30353</v>
      </c>
      <c r="P13645" t="s">
        <v>30354</v>
      </c>
      <c r="R13645" s="26" t="str">
        <f>HYPERLINK("https://ictv.global/taxonomy/taxondetails?taxnode_id=202301942","Iflavirus nilalugentis")</f>
        <v>Iflavirus nilalugentis</v>
      </c>
      <c r="S13645" t="s">
        <v>30</v>
      </c>
      <c r="T13645" t="s">
        <v>30389</v>
      </c>
      <c r="U13645" t="s">
        <v>30390</v>
      </c>
      <c r="V13645" t="s">
        <v>17861</v>
      </c>
      <c r="W13645" t="s">
        <v>30391</v>
      </c>
      <c r="X13645" t="s">
        <v>42</v>
      </c>
      <c r="Y13645" t="s">
        <v>17171</v>
      </c>
      <c r="Z13645" t="s">
        <v>10790</v>
      </c>
      <c r="AA13645" s="22" t="str">
        <f>HYPERLINK("https://www.ncbi.nlm.nih.gov/nuccore/AB766259","NCBI Nucleotide")</f>
        <v>NCBI Nucleotide</v>
      </c>
    </row>
    <row r="13646" spans="1:27" x14ac:dyDescent="0.35">
      <c r="A13646">
        <v>1001759</v>
      </c>
      <c r="B13646">
        <v>12708</v>
      </c>
      <c r="C13646">
        <v>1</v>
      </c>
      <c r="D13646" t="s">
        <v>17166</v>
      </c>
      <c r="F13646" t="s">
        <v>17246</v>
      </c>
      <c r="H13646" t="s">
        <v>28921</v>
      </c>
      <c r="J13646" t="s">
        <v>29538</v>
      </c>
      <c r="L13646" t="s">
        <v>30198</v>
      </c>
      <c r="N13646" t="s">
        <v>30353</v>
      </c>
      <c r="P13646" t="s">
        <v>30354</v>
      </c>
      <c r="R13646" s="26" t="str">
        <f>HYPERLINK("https://ictv.global/taxonomy/taxondetails?taxnode_id=202301943","Iflavirus pernudae")</f>
        <v>Iflavirus pernudae</v>
      </c>
      <c r="S13646" t="s">
        <v>30</v>
      </c>
      <c r="T13646" t="s">
        <v>30392</v>
      </c>
      <c r="U13646" t="s">
        <v>30393</v>
      </c>
      <c r="W13646" t="s">
        <v>30394</v>
      </c>
      <c r="X13646" t="s">
        <v>42</v>
      </c>
      <c r="Y13646" t="s">
        <v>17171</v>
      </c>
      <c r="Z13646" t="s">
        <v>10790</v>
      </c>
      <c r="AA13646" s="22" t="str">
        <f>HYPERLINK("https://www.ncbi.nlm.nih.gov/nuccore/AF323747","NCBI Nucleotide")</f>
        <v>NCBI Nucleotide</v>
      </c>
    </row>
    <row r="13647" spans="1:27" x14ac:dyDescent="0.35">
      <c r="A13647">
        <v>1001760</v>
      </c>
      <c r="B13647">
        <v>12709</v>
      </c>
      <c r="C13647">
        <v>1</v>
      </c>
      <c r="D13647" t="s">
        <v>17166</v>
      </c>
      <c r="F13647" t="s">
        <v>17246</v>
      </c>
      <c r="H13647" t="s">
        <v>28921</v>
      </c>
      <c r="J13647" t="s">
        <v>29538</v>
      </c>
      <c r="L13647" t="s">
        <v>30198</v>
      </c>
      <c r="N13647" t="s">
        <v>30353</v>
      </c>
      <c r="P13647" t="s">
        <v>30354</v>
      </c>
      <c r="R13647" s="26" t="str">
        <f>HYPERLINK("https://ictv.global/taxonomy/taxondetails?taxnode_id=202301944","Iflavirus sacbroodi")</f>
        <v>Iflavirus sacbroodi</v>
      </c>
      <c r="S13647" t="s">
        <v>30</v>
      </c>
      <c r="T13647" t="s">
        <v>30395</v>
      </c>
      <c r="U13647" t="s">
        <v>27375</v>
      </c>
      <c r="V13647" t="s">
        <v>30363</v>
      </c>
      <c r="W13647" t="s">
        <v>30396</v>
      </c>
      <c r="X13647" t="s">
        <v>42</v>
      </c>
      <c r="Y13647" t="s">
        <v>17171</v>
      </c>
      <c r="Z13647" t="s">
        <v>10790</v>
      </c>
      <c r="AA13647" s="22" t="str">
        <f>HYPERLINK("https://www.ncbi.nlm.nih.gov/nuccore/AF092924","NCBI Nucleotide")</f>
        <v>NCBI Nucleotide</v>
      </c>
    </row>
    <row r="13648" spans="1:27" x14ac:dyDescent="0.35">
      <c r="A13648">
        <v>1001761</v>
      </c>
      <c r="B13648">
        <v>12710</v>
      </c>
      <c r="C13648">
        <v>1</v>
      </c>
      <c r="D13648" t="s">
        <v>17166</v>
      </c>
      <c r="F13648" t="s">
        <v>17246</v>
      </c>
      <c r="H13648" t="s">
        <v>28921</v>
      </c>
      <c r="J13648" t="s">
        <v>29538</v>
      </c>
      <c r="L13648" t="s">
        <v>30198</v>
      </c>
      <c r="N13648" t="s">
        <v>30353</v>
      </c>
      <c r="P13648" t="s">
        <v>30354</v>
      </c>
      <c r="R13648" s="26" t="str">
        <f>HYPERLINK("https://ictv.global/taxonomy/taxondetails?taxnode_id=202301946","Iflavirus spexiguae")</f>
        <v>Iflavirus spexiguae</v>
      </c>
      <c r="S13648" t="s">
        <v>30</v>
      </c>
      <c r="T13648" t="s">
        <v>30397</v>
      </c>
      <c r="U13648" t="s">
        <v>30398</v>
      </c>
      <c r="W13648" t="s">
        <v>30399</v>
      </c>
      <c r="X13648" t="s">
        <v>42</v>
      </c>
      <c r="Y13648" t="s">
        <v>17171</v>
      </c>
      <c r="Z13648" t="s">
        <v>10790</v>
      </c>
      <c r="AA13648" s="22" t="str">
        <f>HYPERLINK("https://www.ncbi.nlm.nih.gov/nuccore/JN091707","NCBI Nucleotide")</f>
        <v>NCBI Nucleotide</v>
      </c>
    </row>
    <row r="13649" spans="1:27" x14ac:dyDescent="0.35">
      <c r="A13649">
        <v>1001762</v>
      </c>
      <c r="B13649">
        <v>12711</v>
      </c>
      <c r="C13649">
        <v>1</v>
      </c>
      <c r="D13649" t="s">
        <v>17166</v>
      </c>
      <c r="F13649" t="s">
        <v>17246</v>
      </c>
      <c r="H13649" t="s">
        <v>28921</v>
      </c>
      <c r="J13649" t="s">
        <v>29538</v>
      </c>
      <c r="L13649" t="s">
        <v>30198</v>
      </c>
      <c r="N13649" t="s">
        <v>30353</v>
      </c>
      <c r="P13649" t="s">
        <v>30354</v>
      </c>
      <c r="R13649" s="26" t="str">
        <f>HYPERLINK("https://ictv.global/taxonomy/taxondetails?taxnode_id=202313894","Iflavirus vadestruente")</f>
        <v>Iflavirus vadestruente</v>
      </c>
      <c r="S13649" t="s">
        <v>30</v>
      </c>
      <c r="T13649" t="s">
        <v>30400</v>
      </c>
      <c r="U13649" t="s">
        <v>30401</v>
      </c>
      <c r="V13649" t="s">
        <v>30402</v>
      </c>
      <c r="W13649" t="s">
        <v>30403</v>
      </c>
      <c r="X13649" t="s">
        <v>42</v>
      </c>
      <c r="Y13649" t="s">
        <v>17171</v>
      </c>
      <c r="Z13649" t="s">
        <v>10790</v>
      </c>
      <c r="AA13649" s="22" t="str">
        <f>HYPERLINK("https://www.ncbi.nlm.nih.gov/nuccore/KX578271","NCBI Nucleotide")</f>
        <v>NCBI Nucleotide</v>
      </c>
    </row>
    <row r="13650" spans="1:27" x14ac:dyDescent="0.35">
      <c r="A13650">
        <v>1001763</v>
      </c>
      <c r="B13650">
        <v>12712</v>
      </c>
      <c r="C13650">
        <v>1</v>
      </c>
      <c r="D13650" t="s">
        <v>17166</v>
      </c>
      <c r="F13650" t="s">
        <v>17246</v>
      </c>
      <c r="H13650" t="s">
        <v>28921</v>
      </c>
      <c r="J13650" t="s">
        <v>29538</v>
      </c>
      <c r="L13650" t="s">
        <v>30198</v>
      </c>
      <c r="N13650" t="s">
        <v>30353</v>
      </c>
      <c r="P13650" t="s">
        <v>30354</v>
      </c>
      <c r="R13650" s="26" t="str">
        <f>HYPERLINK("https://ictv.global/taxonomy/taxondetails?taxnode_id=202301934","Iflavirus vomitus")</f>
        <v>Iflavirus vomitus</v>
      </c>
      <c r="S13650" t="s">
        <v>30</v>
      </c>
      <c r="T13650" t="s">
        <v>30404</v>
      </c>
      <c r="U13650" t="s">
        <v>30405</v>
      </c>
      <c r="V13650">
        <v>2</v>
      </c>
      <c r="W13650" t="s">
        <v>30406</v>
      </c>
      <c r="X13650" t="s">
        <v>42</v>
      </c>
      <c r="Y13650" t="s">
        <v>17171</v>
      </c>
      <c r="Z13650" t="s">
        <v>10790</v>
      </c>
      <c r="AA13650" s="22" t="str">
        <f>HYPERLINK("https://www.ncbi.nlm.nih.gov/nuccore/KF751885","NCBI Nucleotide")</f>
        <v>NCBI Nucleotide</v>
      </c>
    </row>
    <row r="13651" spans="1:27" x14ac:dyDescent="0.35">
      <c r="A13651">
        <v>1001764</v>
      </c>
      <c r="B13651">
        <v>12713</v>
      </c>
      <c r="C13651">
        <v>1</v>
      </c>
      <c r="D13651" t="s">
        <v>17166</v>
      </c>
      <c r="F13651" t="s">
        <v>17246</v>
      </c>
      <c r="H13651" t="s">
        <v>28921</v>
      </c>
      <c r="J13651" t="s">
        <v>29538</v>
      </c>
      <c r="L13651" t="s">
        <v>30198</v>
      </c>
      <c r="N13651" t="s">
        <v>30407</v>
      </c>
      <c r="P13651" t="s">
        <v>30408</v>
      </c>
      <c r="R13651" s="26" t="str">
        <f>HYPERLINK("https://ictv.global/taxonomy/taxondetails?taxnode_id=202302166","Chaetoceros socialis forma radians RNA virus 1")</f>
        <v>Chaetoceros socialis forma radians RNA virus 1</v>
      </c>
      <c r="S13651" t="s">
        <v>30</v>
      </c>
      <c r="T13651" t="s">
        <v>30409</v>
      </c>
      <c r="U13651" t="s">
        <v>30410</v>
      </c>
      <c r="V13651" t="s">
        <v>30411</v>
      </c>
      <c r="W13651" t="s">
        <v>30412</v>
      </c>
      <c r="X13651" t="s">
        <v>42</v>
      </c>
      <c r="Y13651" t="s">
        <v>17171</v>
      </c>
      <c r="Z13651" t="s">
        <v>17496</v>
      </c>
      <c r="AA13651" s="22" t="str">
        <f>HYPERLINK("https://www.ncbi.nlm.nih.gov/nuccore/AB469874","NCBI Nucleotide")</f>
        <v>NCBI Nucleotide</v>
      </c>
    </row>
    <row r="13652" spans="1:27" x14ac:dyDescent="0.35">
      <c r="A13652">
        <v>1001765</v>
      </c>
      <c r="B13652">
        <v>12714</v>
      </c>
      <c r="C13652">
        <v>1</v>
      </c>
      <c r="D13652" t="s">
        <v>17166</v>
      </c>
      <c r="F13652" t="s">
        <v>17246</v>
      </c>
      <c r="H13652" t="s">
        <v>28921</v>
      </c>
      <c r="J13652" t="s">
        <v>29538</v>
      </c>
      <c r="L13652" t="s">
        <v>30198</v>
      </c>
      <c r="N13652" t="s">
        <v>30407</v>
      </c>
      <c r="P13652" t="s">
        <v>30408</v>
      </c>
      <c r="R13652" s="26" t="str">
        <f>HYPERLINK("https://ictv.global/taxonomy/taxondetails?taxnode_id=202302167","Chaetoceros tenuissimus RNA virus 01")</f>
        <v>Chaetoceros tenuissimus RNA virus 01</v>
      </c>
      <c r="S13652" t="s">
        <v>30</v>
      </c>
      <c r="T13652" t="s">
        <v>30413</v>
      </c>
      <c r="U13652" t="s">
        <v>30414</v>
      </c>
      <c r="V13652" t="s">
        <v>30415</v>
      </c>
      <c r="W13652" t="s">
        <v>30416</v>
      </c>
      <c r="X13652" t="s">
        <v>42</v>
      </c>
      <c r="Y13652" t="s">
        <v>17171</v>
      </c>
      <c r="Z13652" t="s">
        <v>17496</v>
      </c>
      <c r="AA13652" s="22" t="str">
        <f>HYPERLINK("https://www.ncbi.nlm.nih.gov/nuccore/AB375474","NCBI Nucleotide")</f>
        <v>NCBI Nucleotide</v>
      </c>
    </row>
    <row r="13653" spans="1:27" x14ac:dyDescent="0.35">
      <c r="A13653">
        <v>1001766</v>
      </c>
      <c r="B13653">
        <v>12715</v>
      </c>
      <c r="C13653">
        <v>1</v>
      </c>
      <c r="D13653" t="s">
        <v>17166</v>
      </c>
      <c r="F13653" t="s">
        <v>17246</v>
      </c>
      <c r="H13653" t="s">
        <v>28921</v>
      </c>
      <c r="J13653" t="s">
        <v>29538</v>
      </c>
      <c r="L13653" t="s">
        <v>30198</v>
      </c>
      <c r="N13653" t="s">
        <v>30407</v>
      </c>
      <c r="P13653" t="s">
        <v>30408</v>
      </c>
      <c r="R13653" s="26" t="str">
        <f>HYPERLINK("https://ictv.global/taxonomy/taxondetails?taxnode_id=202302168","Rhizosolenia setigera RNA virus 01")</f>
        <v>Rhizosolenia setigera RNA virus 01</v>
      </c>
      <c r="S13653" t="s">
        <v>30</v>
      </c>
      <c r="T13653" t="s">
        <v>30417</v>
      </c>
      <c r="U13653" t="s">
        <v>30418</v>
      </c>
      <c r="V13653" t="s">
        <v>30419</v>
      </c>
      <c r="W13653" t="s">
        <v>30420</v>
      </c>
      <c r="X13653" t="s">
        <v>42</v>
      </c>
      <c r="Y13653" t="s">
        <v>17171</v>
      </c>
      <c r="Z13653" t="s">
        <v>17496</v>
      </c>
      <c r="AA13653" s="22" t="str">
        <f>HYPERLINK("https://www.ncbi.nlm.nih.gov/nuccore/AB243297","NCBI Nucleotide")</f>
        <v>NCBI Nucleotide</v>
      </c>
    </row>
    <row r="13654" spans="1:27" x14ac:dyDescent="0.35">
      <c r="A13654">
        <v>1001767</v>
      </c>
      <c r="B13654">
        <v>12716</v>
      </c>
      <c r="C13654">
        <v>1</v>
      </c>
      <c r="D13654" t="s">
        <v>17166</v>
      </c>
      <c r="F13654" t="s">
        <v>17246</v>
      </c>
      <c r="H13654" t="s">
        <v>28921</v>
      </c>
      <c r="J13654" t="s">
        <v>29538</v>
      </c>
      <c r="L13654" t="s">
        <v>30198</v>
      </c>
      <c r="N13654" t="s">
        <v>30407</v>
      </c>
      <c r="P13654" t="s">
        <v>30421</v>
      </c>
      <c r="R13654" s="26" t="str">
        <f>HYPERLINK("https://ictv.global/taxonomy/taxondetails?taxnode_id=202306540","Astarnavirus")</f>
        <v>Astarnavirus</v>
      </c>
      <c r="S13654" t="s">
        <v>30</v>
      </c>
      <c r="T13654" t="s">
        <v>30422</v>
      </c>
      <c r="U13654" t="s">
        <v>30423</v>
      </c>
      <c r="V13654" t="s">
        <v>30424</v>
      </c>
      <c r="W13654" t="s">
        <v>30425</v>
      </c>
      <c r="X13654" t="s">
        <v>42</v>
      </c>
      <c r="Y13654" t="s">
        <v>17171</v>
      </c>
      <c r="Z13654" t="s">
        <v>17496</v>
      </c>
      <c r="AA13654" s="22" t="str">
        <f>HYPERLINK("https://www.ncbi.nlm.nih.gov/nuccore/AB973945","NCBI Nucleotide")</f>
        <v>NCBI Nucleotide</v>
      </c>
    </row>
    <row r="13655" spans="1:27" x14ac:dyDescent="0.35">
      <c r="A13655">
        <v>1001768</v>
      </c>
      <c r="B13655">
        <v>12717</v>
      </c>
      <c r="C13655">
        <v>1</v>
      </c>
      <c r="D13655" t="s">
        <v>17166</v>
      </c>
      <c r="F13655" t="s">
        <v>17246</v>
      </c>
      <c r="H13655" t="s">
        <v>28921</v>
      </c>
      <c r="J13655" t="s">
        <v>29538</v>
      </c>
      <c r="L13655" t="s">
        <v>30198</v>
      </c>
      <c r="N13655" t="s">
        <v>30407</v>
      </c>
      <c r="P13655" t="s">
        <v>30426</v>
      </c>
      <c r="R13655" s="26" t="str">
        <f>HYPERLINK("https://ictv.global/taxonomy/taxondetails?taxnode_id=202302170","Aurantiochytrium single-stranded RNA virus 01")</f>
        <v>Aurantiochytrium single-stranded RNA virus 01</v>
      </c>
      <c r="S13655" t="s">
        <v>30</v>
      </c>
      <c r="T13655" t="s">
        <v>30427</v>
      </c>
      <c r="U13655" t="s">
        <v>30428</v>
      </c>
      <c r="W13655" t="s">
        <v>30429</v>
      </c>
      <c r="X13655" t="s">
        <v>42</v>
      </c>
      <c r="Y13655" t="s">
        <v>17171</v>
      </c>
      <c r="Z13655" t="s">
        <v>17496</v>
      </c>
      <c r="AA13655" s="22" t="str">
        <f>HYPERLINK("https://www.ncbi.nlm.nih.gov/nuccore/AB193726","NCBI Nucleotide")</f>
        <v>NCBI Nucleotide</v>
      </c>
    </row>
    <row r="13656" spans="1:27" x14ac:dyDescent="0.35">
      <c r="A13656">
        <v>1001769</v>
      </c>
      <c r="B13656">
        <v>12718</v>
      </c>
      <c r="C13656">
        <v>1</v>
      </c>
      <c r="D13656" t="s">
        <v>17166</v>
      </c>
      <c r="F13656" t="s">
        <v>17246</v>
      </c>
      <c r="H13656" t="s">
        <v>28921</v>
      </c>
      <c r="J13656" t="s">
        <v>29538</v>
      </c>
      <c r="L13656" t="s">
        <v>30198</v>
      </c>
      <c r="N13656" t="s">
        <v>30407</v>
      </c>
      <c r="P13656" t="s">
        <v>30430</v>
      </c>
      <c r="R13656" s="26" t="str">
        <f>HYPERLINK("https://ictv.global/taxonomy/taxondetails?taxnode_id=202306538","Jericarnavirus B")</f>
        <v>Jericarnavirus B</v>
      </c>
      <c r="S13656" t="s">
        <v>30</v>
      </c>
      <c r="T13656" t="s">
        <v>30431</v>
      </c>
      <c r="U13656" t="s">
        <v>30432</v>
      </c>
      <c r="W13656" t="s">
        <v>30433</v>
      </c>
      <c r="X13656" t="s">
        <v>42</v>
      </c>
      <c r="Y13656" t="s">
        <v>17171</v>
      </c>
      <c r="Z13656" t="s">
        <v>12916</v>
      </c>
      <c r="AA13656" s="22" t="str">
        <f>HYPERLINK("https://www.ncbi.nlm.nih.gov/nuccore/EF198242","NCBI Nucleotide")</f>
        <v>NCBI Nucleotide</v>
      </c>
    </row>
    <row r="13657" spans="1:27" x14ac:dyDescent="0.35">
      <c r="A13657">
        <v>1001770</v>
      </c>
      <c r="B13657">
        <v>12719</v>
      </c>
      <c r="C13657">
        <v>1</v>
      </c>
      <c r="D13657" t="s">
        <v>17166</v>
      </c>
      <c r="F13657" t="s">
        <v>17246</v>
      </c>
      <c r="H13657" t="s">
        <v>28921</v>
      </c>
      <c r="J13657" t="s">
        <v>29538</v>
      </c>
      <c r="L13657" t="s">
        <v>30198</v>
      </c>
      <c r="N13657" t="s">
        <v>30407</v>
      </c>
      <c r="P13657" t="s">
        <v>30430</v>
      </c>
      <c r="R13657" s="26" t="str">
        <f>HYPERLINK("https://ictv.global/taxonomy/taxondetails?taxnode_id=202306536","Sanfarnavirus 1")</f>
        <v>Sanfarnavirus 1</v>
      </c>
      <c r="S13657" t="s">
        <v>30</v>
      </c>
      <c r="T13657" t="s">
        <v>30434</v>
      </c>
      <c r="U13657" t="s">
        <v>30435</v>
      </c>
      <c r="W13657" t="s">
        <v>30436</v>
      </c>
      <c r="X13657" t="s">
        <v>35</v>
      </c>
      <c r="Y13657" t="s">
        <v>17171</v>
      </c>
      <c r="Z13657" t="s">
        <v>12916</v>
      </c>
      <c r="AA13657" s="22" t="str">
        <f>HYPERLINK("https://www.ncbi.nlm.nih.gov/nuccore/JN661160","NCBI Nucleotide")</f>
        <v>NCBI Nucleotide</v>
      </c>
    </row>
    <row r="13658" spans="1:27" x14ac:dyDescent="0.35">
      <c r="A13658">
        <v>1001771</v>
      </c>
      <c r="B13658">
        <v>12720</v>
      </c>
      <c r="C13658">
        <v>1</v>
      </c>
      <c r="D13658" t="s">
        <v>17166</v>
      </c>
      <c r="F13658" t="s">
        <v>17246</v>
      </c>
      <c r="H13658" t="s">
        <v>28921</v>
      </c>
      <c r="J13658" t="s">
        <v>29538</v>
      </c>
      <c r="L13658" t="s">
        <v>30198</v>
      </c>
      <c r="N13658" t="s">
        <v>30407</v>
      </c>
      <c r="P13658" t="s">
        <v>30430</v>
      </c>
      <c r="R13658" s="26" t="str">
        <f>HYPERLINK("https://ictv.global/taxonomy/taxondetails?taxnode_id=202306535","Sanfarnavirus 2")</f>
        <v>Sanfarnavirus 2</v>
      </c>
      <c r="S13658" t="s">
        <v>30</v>
      </c>
      <c r="T13658" t="s">
        <v>30437</v>
      </c>
      <c r="U13658" t="s">
        <v>30438</v>
      </c>
      <c r="W13658" t="s">
        <v>30439</v>
      </c>
      <c r="X13658" t="s">
        <v>35</v>
      </c>
      <c r="Y13658" t="s">
        <v>17171</v>
      </c>
      <c r="Z13658" t="s">
        <v>12916</v>
      </c>
      <c r="AA13658" s="22" t="str">
        <f>HYPERLINK("https://www.ncbi.nlm.nih.gov/nuccore/KF412901","NCBI Nucleotide")</f>
        <v>NCBI Nucleotide</v>
      </c>
    </row>
    <row r="13659" spans="1:27" x14ac:dyDescent="0.35">
      <c r="A13659">
        <v>1001772</v>
      </c>
      <c r="B13659">
        <v>12721</v>
      </c>
      <c r="C13659">
        <v>1</v>
      </c>
      <c r="D13659" t="s">
        <v>17166</v>
      </c>
      <c r="F13659" t="s">
        <v>17246</v>
      </c>
      <c r="H13659" t="s">
        <v>28921</v>
      </c>
      <c r="J13659" t="s">
        <v>29538</v>
      </c>
      <c r="L13659" t="s">
        <v>30198</v>
      </c>
      <c r="N13659" t="s">
        <v>30407</v>
      </c>
      <c r="P13659" t="s">
        <v>30430</v>
      </c>
      <c r="R13659" s="26" t="str">
        <f>HYPERLINK("https://ictv.global/taxonomy/taxondetails?taxnode_id=202306537","Sanfarnavirus 3")</f>
        <v>Sanfarnavirus 3</v>
      </c>
      <c r="S13659" t="s">
        <v>30</v>
      </c>
      <c r="T13659" t="s">
        <v>30440</v>
      </c>
      <c r="U13659" t="s">
        <v>30441</v>
      </c>
      <c r="W13659" t="s">
        <v>30442</v>
      </c>
      <c r="X13659" t="s">
        <v>35</v>
      </c>
      <c r="Y13659" t="s">
        <v>17171</v>
      </c>
      <c r="Z13659" t="s">
        <v>12916</v>
      </c>
      <c r="AA13659" s="22" t="str">
        <f>HYPERLINK("https://www.ncbi.nlm.nih.gov/nuccore/KF478836","NCBI Nucleotide")</f>
        <v>NCBI Nucleotide</v>
      </c>
    </row>
    <row r="13660" spans="1:27" x14ac:dyDescent="0.35">
      <c r="A13660">
        <v>1001773</v>
      </c>
      <c r="B13660">
        <v>12722</v>
      </c>
      <c r="C13660">
        <v>1</v>
      </c>
      <c r="D13660" t="s">
        <v>17166</v>
      </c>
      <c r="F13660" t="s">
        <v>17246</v>
      </c>
      <c r="H13660" t="s">
        <v>28921</v>
      </c>
      <c r="J13660" t="s">
        <v>29538</v>
      </c>
      <c r="L13660" t="s">
        <v>30198</v>
      </c>
      <c r="N13660" t="s">
        <v>30407</v>
      </c>
      <c r="P13660" t="s">
        <v>30443</v>
      </c>
      <c r="R13660" s="26" t="str">
        <f>HYPERLINK("https://ictv.global/taxonomy/taxondetails?taxnode_id=202301952","Heterosigma akashiwo RNA virus")</f>
        <v>Heterosigma akashiwo RNA virus</v>
      </c>
      <c r="S13660" t="s">
        <v>30</v>
      </c>
      <c r="T13660" t="s">
        <v>30444</v>
      </c>
      <c r="U13660" t="s">
        <v>30445</v>
      </c>
      <c r="V13660" t="s">
        <v>30446</v>
      </c>
      <c r="W13660" t="s">
        <v>30447</v>
      </c>
      <c r="X13660" t="s">
        <v>42</v>
      </c>
      <c r="Y13660" t="s">
        <v>17171</v>
      </c>
      <c r="Z13660" t="s">
        <v>17496</v>
      </c>
      <c r="AA13660" s="22" t="str">
        <f>HYPERLINK("https://www.ncbi.nlm.nih.gov/nuccore/AY337486","NCBI Nucleotide")</f>
        <v>NCBI Nucleotide</v>
      </c>
    </row>
    <row r="13661" spans="1:27" x14ac:dyDescent="0.35">
      <c r="A13661">
        <v>1001774</v>
      </c>
      <c r="B13661">
        <v>12723</v>
      </c>
      <c r="C13661">
        <v>1</v>
      </c>
      <c r="D13661" t="s">
        <v>17166</v>
      </c>
      <c r="F13661" t="s">
        <v>17246</v>
      </c>
      <c r="H13661" t="s">
        <v>28921</v>
      </c>
      <c r="J13661" t="s">
        <v>29538</v>
      </c>
      <c r="L13661" t="s">
        <v>30198</v>
      </c>
      <c r="N13661" t="s">
        <v>30407</v>
      </c>
      <c r="P13661" t="s">
        <v>30448</v>
      </c>
      <c r="R13661" s="26" t="str">
        <f>HYPERLINK("https://ictv.global/taxonomy/taxondetails?taxnode_id=202306551","Britarnavirus 1")</f>
        <v>Britarnavirus 1</v>
      </c>
      <c r="S13661" t="s">
        <v>30</v>
      </c>
      <c r="T13661" t="s">
        <v>30449</v>
      </c>
      <c r="U13661" t="s">
        <v>30450</v>
      </c>
      <c r="W13661" t="s">
        <v>30451</v>
      </c>
      <c r="X13661" t="s">
        <v>154</v>
      </c>
      <c r="Y13661" t="s">
        <v>17171</v>
      </c>
      <c r="Z13661" t="s">
        <v>12916</v>
      </c>
      <c r="AA13661" s="22" t="str">
        <f>HYPERLINK("https://www.ncbi.nlm.nih.gov/nuccore/MG584187","NCBI Nucleotide")</f>
        <v>NCBI Nucleotide</v>
      </c>
    </row>
    <row r="13662" spans="1:27" x14ac:dyDescent="0.35">
      <c r="A13662">
        <v>1001775</v>
      </c>
      <c r="B13662">
        <v>12724</v>
      </c>
      <c r="C13662">
        <v>1</v>
      </c>
      <c r="D13662" t="s">
        <v>17166</v>
      </c>
      <c r="F13662" t="s">
        <v>17246</v>
      </c>
      <c r="H13662" t="s">
        <v>28921</v>
      </c>
      <c r="J13662" t="s">
        <v>29538</v>
      </c>
      <c r="L13662" t="s">
        <v>30198</v>
      </c>
      <c r="N13662" t="s">
        <v>30407</v>
      </c>
      <c r="P13662" t="s">
        <v>30448</v>
      </c>
      <c r="R13662" s="26" t="str">
        <f>HYPERLINK("https://ictv.global/taxonomy/taxondetails?taxnode_id=202306549","Britarnavirus 4")</f>
        <v>Britarnavirus 4</v>
      </c>
      <c r="S13662" t="s">
        <v>30</v>
      </c>
      <c r="T13662" t="s">
        <v>30452</v>
      </c>
      <c r="U13662" t="s">
        <v>30453</v>
      </c>
      <c r="W13662" t="s">
        <v>30454</v>
      </c>
      <c r="X13662" t="s">
        <v>35</v>
      </c>
      <c r="Y13662" t="s">
        <v>17171</v>
      </c>
      <c r="Z13662" t="s">
        <v>12916</v>
      </c>
      <c r="AA13662" s="22" t="str">
        <f>HYPERLINK("https://www.ncbi.nlm.nih.gov/nuccore/MH171300","NCBI Nucleotide")</f>
        <v>NCBI Nucleotide</v>
      </c>
    </row>
    <row r="13663" spans="1:27" x14ac:dyDescent="0.35">
      <c r="A13663">
        <v>1001776</v>
      </c>
      <c r="B13663">
        <v>12725</v>
      </c>
      <c r="C13663">
        <v>1</v>
      </c>
      <c r="D13663" t="s">
        <v>17166</v>
      </c>
      <c r="F13663" t="s">
        <v>17246</v>
      </c>
      <c r="H13663" t="s">
        <v>28921</v>
      </c>
      <c r="J13663" t="s">
        <v>29538</v>
      </c>
      <c r="L13663" t="s">
        <v>30198</v>
      </c>
      <c r="N13663" t="s">
        <v>30407</v>
      </c>
      <c r="P13663" t="s">
        <v>30448</v>
      </c>
      <c r="R13663" s="26" t="str">
        <f>HYPERLINK("https://ictv.global/taxonomy/taxondetails?taxnode_id=202306552","Palmarnavirus 128")</f>
        <v>Palmarnavirus 128</v>
      </c>
      <c r="S13663" t="s">
        <v>30</v>
      </c>
      <c r="T13663" t="s">
        <v>30455</v>
      </c>
      <c r="U13663" t="s">
        <v>30456</v>
      </c>
      <c r="W13663" t="s">
        <v>30457</v>
      </c>
      <c r="X13663" t="s">
        <v>35</v>
      </c>
      <c r="Y13663" t="s">
        <v>17171</v>
      </c>
      <c r="Z13663" t="s">
        <v>12916</v>
      </c>
      <c r="AA13663" s="22" t="str">
        <f>HYPERLINK("https://www.ncbi.nlm.nih.gov/nuccore/KT727023","NCBI Nucleotide")</f>
        <v>NCBI Nucleotide</v>
      </c>
    </row>
    <row r="13664" spans="1:27" x14ac:dyDescent="0.35">
      <c r="A13664">
        <v>1001777</v>
      </c>
      <c r="B13664">
        <v>12726</v>
      </c>
      <c r="C13664">
        <v>1</v>
      </c>
      <c r="D13664" t="s">
        <v>17166</v>
      </c>
      <c r="F13664" t="s">
        <v>17246</v>
      </c>
      <c r="H13664" t="s">
        <v>28921</v>
      </c>
      <c r="J13664" t="s">
        <v>29538</v>
      </c>
      <c r="L13664" t="s">
        <v>30198</v>
      </c>
      <c r="N13664" t="s">
        <v>30407</v>
      </c>
      <c r="P13664" t="s">
        <v>30448</v>
      </c>
      <c r="R13664" s="26" t="str">
        <f>HYPERLINK("https://ictv.global/taxonomy/taxondetails?taxnode_id=202306550","Palmarnavirus 473")</f>
        <v>Palmarnavirus 473</v>
      </c>
      <c r="S13664" t="s">
        <v>30</v>
      </c>
      <c r="T13664" t="s">
        <v>30458</v>
      </c>
      <c r="U13664" t="s">
        <v>30459</v>
      </c>
      <c r="W13664" t="s">
        <v>30460</v>
      </c>
      <c r="X13664" t="s">
        <v>35</v>
      </c>
      <c r="Y13664" t="s">
        <v>17171</v>
      </c>
      <c r="Z13664" t="s">
        <v>12916</v>
      </c>
      <c r="AA13664" s="22" t="str">
        <f>HYPERLINK("https://www.ncbi.nlm.nih.gov/nuccore/KT727026","NCBI Nucleotide")</f>
        <v>NCBI Nucleotide</v>
      </c>
    </row>
    <row r="13665" spans="1:27" x14ac:dyDescent="0.35">
      <c r="A13665">
        <v>1001778</v>
      </c>
      <c r="B13665">
        <v>12727</v>
      </c>
      <c r="C13665">
        <v>1</v>
      </c>
      <c r="D13665" t="s">
        <v>17166</v>
      </c>
      <c r="F13665" t="s">
        <v>17246</v>
      </c>
      <c r="H13665" t="s">
        <v>28921</v>
      </c>
      <c r="J13665" t="s">
        <v>29538</v>
      </c>
      <c r="L13665" t="s">
        <v>30198</v>
      </c>
      <c r="N13665" t="s">
        <v>30407</v>
      </c>
      <c r="P13665" t="s">
        <v>30461</v>
      </c>
      <c r="R13665" s="26" t="str">
        <f>HYPERLINK("https://ictv.global/taxonomy/taxondetails?taxnode_id=202306542","Britarnavirus 2")</f>
        <v>Britarnavirus 2</v>
      </c>
      <c r="S13665" t="s">
        <v>30</v>
      </c>
      <c r="T13665" t="s">
        <v>30462</v>
      </c>
      <c r="U13665" t="s">
        <v>30463</v>
      </c>
      <c r="W13665" t="s">
        <v>30464</v>
      </c>
      <c r="X13665" t="s">
        <v>35</v>
      </c>
      <c r="Y13665" t="s">
        <v>17171</v>
      </c>
      <c r="Z13665" t="s">
        <v>12916</v>
      </c>
      <c r="AA13665" s="22" t="str">
        <f>HYPERLINK("https://www.ncbi.nlm.nih.gov/nuccore/MG584188","NCBI Nucleotide")</f>
        <v>NCBI Nucleotide</v>
      </c>
    </row>
    <row r="13666" spans="1:27" x14ac:dyDescent="0.35">
      <c r="A13666">
        <v>1001779</v>
      </c>
      <c r="B13666">
        <v>12728</v>
      </c>
      <c r="C13666">
        <v>1</v>
      </c>
      <c r="D13666" t="s">
        <v>17166</v>
      </c>
      <c r="F13666" t="s">
        <v>17246</v>
      </c>
      <c r="H13666" t="s">
        <v>28921</v>
      </c>
      <c r="J13666" t="s">
        <v>29538</v>
      </c>
      <c r="L13666" t="s">
        <v>30198</v>
      </c>
      <c r="N13666" t="s">
        <v>30407</v>
      </c>
      <c r="P13666" t="s">
        <v>30461</v>
      </c>
      <c r="R13666" s="26" t="str">
        <f>HYPERLINK("https://ictv.global/taxonomy/taxondetails?taxnode_id=202306544","Britarnavirus 3")</f>
        <v>Britarnavirus 3</v>
      </c>
      <c r="S13666" t="s">
        <v>30</v>
      </c>
      <c r="T13666" t="s">
        <v>30465</v>
      </c>
      <c r="U13666" t="s">
        <v>30466</v>
      </c>
      <c r="W13666" t="s">
        <v>30467</v>
      </c>
      <c r="X13666" t="s">
        <v>154</v>
      </c>
      <c r="Y13666" t="s">
        <v>17171</v>
      </c>
      <c r="Z13666" t="s">
        <v>12916</v>
      </c>
      <c r="AA13666" s="22" t="str">
        <f>HYPERLINK("https://www.ncbi.nlm.nih.gov/nuccore/MG584189","NCBI Nucleotide")</f>
        <v>NCBI Nucleotide</v>
      </c>
    </row>
    <row r="13667" spans="1:27" x14ac:dyDescent="0.35">
      <c r="A13667">
        <v>1001780</v>
      </c>
      <c r="B13667">
        <v>12729</v>
      </c>
      <c r="C13667">
        <v>1</v>
      </c>
      <c r="D13667" t="s">
        <v>17166</v>
      </c>
      <c r="F13667" t="s">
        <v>17246</v>
      </c>
      <c r="H13667" t="s">
        <v>28921</v>
      </c>
      <c r="J13667" t="s">
        <v>29538</v>
      </c>
      <c r="L13667" t="s">
        <v>30198</v>
      </c>
      <c r="N13667" t="s">
        <v>30407</v>
      </c>
      <c r="P13667" t="s">
        <v>30461</v>
      </c>
      <c r="R13667" s="26" t="str">
        <f>HYPERLINK("https://ictv.global/taxonomy/taxondetails?taxnode_id=202306547","Chaetarnavirus 2")</f>
        <v>Chaetarnavirus 2</v>
      </c>
      <c r="S13667" t="s">
        <v>30</v>
      </c>
      <c r="T13667" t="s">
        <v>30468</v>
      </c>
      <c r="U13667" t="s">
        <v>30469</v>
      </c>
      <c r="V13667" t="s">
        <v>30470</v>
      </c>
      <c r="W13667" t="s">
        <v>30471</v>
      </c>
      <c r="X13667" t="s">
        <v>35</v>
      </c>
      <c r="Y13667" t="s">
        <v>17171</v>
      </c>
      <c r="Z13667" t="s">
        <v>17496</v>
      </c>
      <c r="AA13667" s="22" t="str">
        <f>HYPERLINK("https://www.ncbi.nlm.nih.gov/nuccore/AB639040","NCBI Nucleotide")</f>
        <v>NCBI Nucleotide</v>
      </c>
    </row>
    <row r="13668" spans="1:27" x14ac:dyDescent="0.35">
      <c r="A13668">
        <v>1001781</v>
      </c>
      <c r="B13668">
        <v>12730</v>
      </c>
      <c r="C13668">
        <v>1</v>
      </c>
      <c r="D13668" t="s">
        <v>17166</v>
      </c>
      <c r="F13668" t="s">
        <v>17246</v>
      </c>
      <c r="H13668" t="s">
        <v>28921</v>
      </c>
      <c r="J13668" t="s">
        <v>29538</v>
      </c>
      <c r="L13668" t="s">
        <v>30198</v>
      </c>
      <c r="N13668" t="s">
        <v>30407</v>
      </c>
      <c r="P13668" t="s">
        <v>30461</v>
      </c>
      <c r="R13668" s="26" t="str">
        <f>HYPERLINK("https://ictv.global/taxonomy/taxondetails?taxnode_id=202306546","Chaetenuissarnavirus II")</f>
        <v>Chaetenuissarnavirus II</v>
      </c>
      <c r="S13668" t="s">
        <v>30</v>
      </c>
      <c r="T13668" t="s">
        <v>30472</v>
      </c>
      <c r="U13668" t="s">
        <v>30473</v>
      </c>
      <c r="V13668" t="s">
        <v>30474</v>
      </c>
      <c r="W13668" t="s">
        <v>30475</v>
      </c>
      <c r="X13668" t="s">
        <v>35</v>
      </c>
      <c r="Y13668" t="s">
        <v>17171</v>
      </c>
      <c r="Z13668" t="s">
        <v>17496</v>
      </c>
      <c r="AA13668" s="22" t="str">
        <f>HYPERLINK("https://www.ncbi.nlm.nih.gov/nuccore/AB971661","NCBI Nucleotide")</f>
        <v>NCBI Nucleotide</v>
      </c>
    </row>
    <row r="13669" spans="1:27" x14ac:dyDescent="0.35">
      <c r="A13669">
        <v>1001782</v>
      </c>
      <c r="B13669">
        <v>12731</v>
      </c>
      <c r="C13669">
        <v>1</v>
      </c>
      <c r="D13669" t="s">
        <v>17166</v>
      </c>
      <c r="F13669" t="s">
        <v>17246</v>
      </c>
      <c r="H13669" t="s">
        <v>28921</v>
      </c>
      <c r="J13669" t="s">
        <v>29538</v>
      </c>
      <c r="L13669" t="s">
        <v>30198</v>
      </c>
      <c r="N13669" t="s">
        <v>30407</v>
      </c>
      <c r="P13669" t="s">
        <v>30461</v>
      </c>
      <c r="R13669" s="26" t="str">
        <f>HYPERLINK("https://ictv.global/taxonomy/taxondetails?taxnode_id=202306545","Jericarnavirus A")</f>
        <v>Jericarnavirus A</v>
      </c>
      <c r="S13669" t="s">
        <v>30</v>
      </c>
      <c r="T13669" t="s">
        <v>30476</v>
      </c>
      <c r="U13669" t="s">
        <v>30477</v>
      </c>
      <c r="W13669" t="s">
        <v>30478</v>
      </c>
      <c r="X13669" t="s">
        <v>42</v>
      </c>
      <c r="Y13669" t="s">
        <v>17171</v>
      </c>
      <c r="Z13669" t="s">
        <v>12916</v>
      </c>
      <c r="AA13669" s="22" t="str">
        <f>HYPERLINK("https://www.ncbi.nlm.nih.gov/nuccore/EF198241","NCBI Nucleotide")</f>
        <v>NCBI Nucleotide</v>
      </c>
    </row>
    <row r="13670" spans="1:27" x14ac:dyDescent="0.35">
      <c r="A13670">
        <v>1001783</v>
      </c>
      <c r="B13670">
        <v>12732</v>
      </c>
      <c r="C13670">
        <v>1</v>
      </c>
      <c r="D13670" t="s">
        <v>17166</v>
      </c>
      <c r="F13670" t="s">
        <v>17246</v>
      </c>
      <c r="H13670" t="s">
        <v>28921</v>
      </c>
      <c r="J13670" t="s">
        <v>29538</v>
      </c>
      <c r="L13670" t="s">
        <v>30198</v>
      </c>
      <c r="N13670" t="s">
        <v>30407</v>
      </c>
      <c r="P13670" t="s">
        <v>30461</v>
      </c>
      <c r="R13670" s="26" t="str">
        <f>HYPERLINK("https://ictv.global/taxonomy/taxondetails?taxnode_id=202306543","Palmarnavirus 156")</f>
        <v>Palmarnavirus 156</v>
      </c>
      <c r="S13670" t="s">
        <v>30</v>
      </c>
      <c r="T13670" t="s">
        <v>30479</v>
      </c>
      <c r="U13670" t="s">
        <v>30480</v>
      </c>
      <c r="W13670" t="s">
        <v>30481</v>
      </c>
      <c r="X13670" t="s">
        <v>35</v>
      </c>
      <c r="Y13670" t="s">
        <v>17171</v>
      </c>
      <c r="Z13670" t="s">
        <v>12916</v>
      </c>
      <c r="AA13670" s="22" t="str">
        <f>HYPERLINK("https://www.ncbi.nlm.nih.gov/nuccore/KT727024","NCBI Nucleotide")</f>
        <v>NCBI Nucleotide</v>
      </c>
    </row>
    <row r="13671" spans="1:27" x14ac:dyDescent="0.35">
      <c r="A13671">
        <v>1001784</v>
      </c>
      <c r="B13671">
        <v>12733</v>
      </c>
      <c r="C13671">
        <v>1</v>
      </c>
      <c r="D13671" t="s">
        <v>17166</v>
      </c>
      <c r="F13671" t="s">
        <v>17246</v>
      </c>
      <c r="H13671" t="s">
        <v>28921</v>
      </c>
      <c r="J13671" t="s">
        <v>29538</v>
      </c>
      <c r="L13671" t="s">
        <v>30198</v>
      </c>
      <c r="N13671" t="s">
        <v>30482</v>
      </c>
      <c r="P13671" t="s">
        <v>30483</v>
      </c>
      <c r="R13671" s="26" t="str">
        <f>HYPERLINK("https://ictv.global/taxonomy/taxondetails?taxnode_id=202314003","Orthonoravirus melanogastri")</f>
        <v>Orthonoravirus melanogastri</v>
      </c>
      <c r="S13671" t="s">
        <v>30</v>
      </c>
      <c r="T13671" t="s">
        <v>30484</v>
      </c>
      <c r="V13671" t="s">
        <v>30485</v>
      </c>
      <c r="W13671" t="s">
        <v>30486</v>
      </c>
      <c r="X13671" t="s">
        <v>42</v>
      </c>
      <c r="Y13671" t="s">
        <v>17171</v>
      </c>
      <c r="Z13671" t="s">
        <v>17413</v>
      </c>
      <c r="AA13671" s="22" t="str">
        <f>HYPERLINK("https://www.ncbi.nlm.nih.gov/nuccore/GQ257737","NCBI Nucleotide")</f>
        <v>NCBI Nucleotide</v>
      </c>
    </row>
    <row r="13672" spans="1:27" x14ac:dyDescent="0.35">
      <c r="A13672">
        <v>1001785</v>
      </c>
      <c r="B13672">
        <v>12734</v>
      </c>
      <c r="C13672">
        <v>1</v>
      </c>
      <c r="D13672" t="s">
        <v>17166</v>
      </c>
      <c r="F13672" t="s">
        <v>17246</v>
      </c>
      <c r="H13672" t="s">
        <v>28921</v>
      </c>
      <c r="J13672" t="s">
        <v>29538</v>
      </c>
      <c r="L13672" t="s">
        <v>30198</v>
      </c>
      <c r="N13672" t="s">
        <v>30487</v>
      </c>
      <c r="O13672" t="s">
        <v>30498</v>
      </c>
      <c r="P13672" t="s">
        <v>30499</v>
      </c>
      <c r="R13672" s="26" t="str">
        <f>HYPERLINK("https://ictv.global/taxonomy/taxondetails?taxnode_id=202306525","Ailurivirus agiapa")</f>
        <v>Ailurivirus agiapa</v>
      </c>
      <c r="S13672" t="s">
        <v>30</v>
      </c>
      <c r="T13672" t="s">
        <v>30500</v>
      </c>
      <c r="U13672" t="s">
        <v>30501</v>
      </c>
      <c r="V13672" t="s">
        <v>30502</v>
      </c>
      <c r="W13672" t="s">
        <v>30503</v>
      </c>
      <c r="X13672" t="s">
        <v>42</v>
      </c>
      <c r="Y13672" t="s">
        <v>17171</v>
      </c>
      <c r="Z13672" t="s">
        <v>166</v>
      </c>
      <c r="AA13672" s="22" t="str">
        <f>HYPERLINK("https://www.ncbi.nlm.nih.gov/nuccore/MF327529","NCBI Nucleotide")</f>
        <v>NCBI Nucleotide</v>
      </c>
    </row>
    <row r="13673" spans="1:27" x14ac:dyDescent="0.35">
      <c r="A13673">
        <v>1001786</v>
      </c>
      <c r="B13673">
        <v>12735</v>
      </c>
      <c r="C13673">
        <v>1</v>
      </c>
      <c r="D13673" t="s">
        <v>17166</v>
      </c>
      <c r="F13673" t="s">
        <v>17246</v>
      </c>
      <c r="H13673" t="s">
        <v>28921</v>
      </c>
      <c r="J13673" t="s">
        <v>29538</v>
      </c>
      <c r="L13673" t="s">
        <v>30198</v>
      </c>
      <c r="N13673" t="s">
        <v>30487</v>
      </c>
      <c r="O13673" t="s">
        <v>30498</v>
      </c>
      <c r="P13673" t="s">
        <v>30504</v>
      </c>
      <c r="R13673" s="26" t="str">
        <f>HYPERLINK("https://ictv.global/taxonomy/taxondetails?taxnode_id=202301958","Aphthovirus bogeli")</f>
        <v>Aphthovirus bogeli</v>
      </c>
      <c r="S13673" t="s">
        <v>30</v>
      </c>
      <c r="T13673" t="s">
        <v>30505</v>
      </c>
      <c r="U13673" t="s">
        <v>30506</v>
      </c>
      <c r="V13673" t="s">
        <v>30507</v>
      </c>
      <c r="W13673" t="s">
        <v>30508</v>
      </c>
      <c r="X13673" t="s">
        <v>35</v>
      </c>
      <c r="Y13673" t="s">
        <v>17171</v>
      </c>
      <c r="Z13673" t="s">
        <v>166</v>
      </c>
      <c r="AA13673" s="22" t="str">
        <f>HYPERLINK("https://www.ncbi.nlm.nih.gov/nuccore/KP236128","NCBI Nucleotide")</f>
        <v>NCBI Nucleotide</v>
      </c>
    </row>
    <row r="13674" spans="1:27" x14ac:dyDescent="0.35">
      <c r="A13674">
        <v>1011408</v>
      </c>
      <c r="B13674">
        <v>12735</v>
      </c>
      <c r="C13674">
        <v>2</v>
      </c>
      <c r="D13674" t="s">
        <v>17166</v>
      </c>
      <c r="F13674" t="s">
        <v>17246</v>
      </c>
      <c r="H13674" t="s">
        <v>28921</v>
      </c>
      <c r="J13674" t="s">
        <v>29538</v>
      </c>
      <c r="L13674" t="s">
        <v>30198</v>
      </c>
      <c r="N13674" t="s">
        <v>30487</v>
      </c>
      <c r="O13674" t="s">
        <v>30498</v>
      </c>
      <c r="P13674" t="s">
        <v>30504</v>
      </c>
      <c r="R13674" s="26" t="str">
        <f>HYPERLINK("https://ictv.global/taxonomy/taxondetails?taxnode_id=202301958","Aphthovirus bogeli")</f>
        <v>Aphthovirus bogeli</v>
      </c>
      <c r="S13674" t="s">
        <v>8141</v>
      </c>
      <c r="T13674" t="s">
        <v>30509</v>
      </c>
      <c r="U13674" t="s">
        <v>30510</v>
      </c>
      <c r="V13674" t="s">
        <v>30511</v>
      </c>
      <c r="W13674" t="s">
        <v>49629</v>
      </c>
      <c r="X13674" t="s">
        <v>35</v>
      </c>
      <c r="Y13674" t="s">
        <v>17171</v>
      </c>
      <c r="Z13674" t="s">
        <v>166</v>
      </c>
      <c r="AA13674" s="22" t="str">
        <f>HYPERLINK("https://www.ncbi.nlm.nih.gov/nuccore/JN936206","NCBI Nucleotide")</f>
        <v>NCBI Nucleotide</v>
      </c>
    </row>
    <row r="13675" spans="1:27" x14ac:dyDescent="0.35">
      <c r="A13675">
        <v>1001788</v>
      </c>
      <c r="B13675">
        <v>12736</v>
      </c>
      <c r="C13675">
        <v>1</v>
      </c>
      <c r="D13675" t="s">
        <v>17166</v>
      </c>
      <c r="F13675" t="s">
        <v>17246</v>
      </c>
      <c r="H13675" t="s">
        <v>28921</v>
      </c>
      <c r="J13675" t="s">
        <v>29538</v>
      </c>
      <c r="L13675" t="s">
        <v>30198</v>
      </c>
      <c r="N13675" t="s">
        <v>30487</v>
      </c>
      <c r="O13675" t="s">
        <v>30498</v>
      </c>
      <c r="P13675" t="s">
        <v>30504</v>
      </c>
      <c r="R13675" s="26" t="str">
        <f>HYPERLINK("https://ictv.global/taxonomy/taxondetails?taxnode_id=202301960","Aphthovirus burrowsi")</f>
        <v>Aphthovirus burrowsi</v>
      </c>
      <c r="S13675" t="s">
        <v>30</v>
      </c>
      <c r="T13675" t="s">
        <v>30528</v>
      </c>
      <c r="U13675" t="s">
        <v>30529</v>
      </c>
      <c r="V13675" t="s">
        <v>30530</v>
      </c>
      <c r="W13675" t="s">
        <v>30531</v>
      </c>
      <c r="X13675" t="s">
        <v>42</v>
      </c>
      <c r="Y13675" t="s">
        <v>17171</v>
      </c>
      <c r="Z13675" t="s">
        <v>166</v>
      </c>
      <c r="AA13675" s="22" t="str">
        <f>HYPERLINK("https://www.ncbi.nlm.nih.gov/nuccore/DQ272578","NCBI Nucleotide")</f>
        <v>NCBI Nucleotide</v>
      </c>
    </row>
    <row r="13676" spans="1:27" x14ac:dyDescent="0.35">
      <c r="A13676">
        <v>1001787</v>
      </c>
      <c r="B13676">
        <v>12737</v>
      </c>
      <c r="C13676">
        <v>1</v>
      </c>
      <c r="D13676" t="s">
        <v>17166</v>
      </c>
      <c r="F13676" t="s">
        <v>17246</v>
      </c>
      <c r="H13676" t="s">
        <v>28921</v>
      </c>
      <c r="J13676" t="s">
        <v>29538</v>
      </c>
      <c r="L13676" t="s">
        <v>30198</v>
      </c>
      <c r="N13676" t="s">
        <v>30487</v>
      </c>
      <c r="O13676" t="s">
        <v>30498</v>
      </c>
      <c r="P13676" t="s">
        <v>30504</v>
      </c>
      <c r="R13676" s="26" t="str">
        <f>HYPERLINK("https://ictv.global/taxonomy/taxondetails?taxnode_id=202301959","Aphthovirus reedi")</f>
        <v>Aphthovirus reedi</v>
      </c>
      <c r="S13676" t="s">
        <v>30</v>
      </c>
      <c r="T13676" t="s">
        <v>30512</v>
      </c>
      <c r="U13676" t="s">
        <v>30513</v>
      </c>
      <c r="V13676" t="s">
        <v>30514</v>
      </c>
      <c r="W13676" t="s">
        <v>30515</v>
      </c>
      <c r="X13676" t="s">
        <v>42</v>
      </c>
      <c r="Y13676" t="s">
        <v>17171</v>
      </c>
      <c r="Z13676" t="s">
        <v>166</v>
      </c>
      <c r="AA13676" s="22" t="str">
        <f>HYPERLINK("https://www.ncbi.nlm.nih.gov/nuccore/EU236594","NCBI Nucleotide")</f>
        <v>NCBI Nucleotide</v>
      </c>
    </row>
    <row r="13677" spans="1:27" x14ac:dyDescent="0.35">
      <c r="A13677">
        <v>1011409</v>
      </c>
      <c r="B13677">
        <v>12737</v>
      </c>
      <c r="C13677">
        <v>2</v>
      </c>
      <c r="D13677" t="s">
        <v>17166</v>
      </c>
      <c r="F13677" t="s">
        <v>17246</v>
      </c>
      <c r="H13677" t="s">
        <v>28921</v>
      </c>
      <c r="J13677" t="s">
        <v>29538</v>
      </c>
      <c r="L13677" t="s">
        <v>30198</v>
      </c>
      <c r="N13677" t="s">
        <v>30487</v>
      </c>
      <c r="O13677" t="s">
        <v>30498</v>
      </c>
      <c r="P13677" t="s">
        <v>30504</v>
      </c>
      <c r="R13677" s="26" t="str">
        <f>HYPERLINK("https://ictv.global/taxonomy/taxondetails?taxnode_id=202301959","Aphthovirus reedi")</f>
        <v>Aphthovirus reedi</v>
      </c>
      <c r="S13677" t="s">
        <v>8141</v>
      </c>
      <c r="T13677" t="s">
        <v>30516</v>
      </c>
      <c r="U13677" t="s">
        <v>30517</v>
      </c>
      <c r="V13677" t="s">
        <v>30518</v>
      </c>
      <c r="W13677" t="s">
        <v>49630</v>
      </c>
      <c r="X13677" t="s">
        <v>42</v>
      </c>
      <c r="Y13677" t="s">
        <v>17171</v>
      </c>
      <c r="Z13677" t="s">
        <v>166</v>
      </c>
      <c r="AA13677" s="22" t="str">
        <f>HYPERLINK("https://www.ncbi.nlm.nih.gov/nuccore/KY432299","NCBI Nucleotide")</f>
        <v>NCBI Nucleotide</v>
      </c>
    </row>
    <row r="13678" spans="1:27" x14ac:dyDescent="0.35">
      <c r="A13678">
        <v>1011410</v>
      </c>
      <c r="B13678">
        <v>12737</v>
      </c>
      <c r="C13678">
        <v>3</v>
      </c>
      <c r="D13678" t="s">
        <v>17166</v>
      </c>
      <c r="F13678" t="s">
        <v>17246</v>
      </c>
      <c r="H13678" t="s">
        <v>28921</v>
      </c>
      <c r="J13678" t="s">
        <v>29538</v>
      </c>
      <c r="L13678" t="s">
        <v>30198</v>
      </c>
      <c r="N13678" t="s">
        <v>30487</v>
      </c>
      <c r="O13678" t="s">
        <v>30498</v>
      </c>
      <c r="P13678" t="s">
        <v>30504</v>
      </c>
      <c r="R13678" s="26" t="str">
        <f>HYPERLINK("https://ictv.global/taxonomy/taxondetails?taxnode_id=202301959","Aphthovirus reedi")</f>
        <v>Aphthovirus reedi</v>
      </c>
      <c r="S13678" t="s">
        <v>8141</v>
      </c>
      <c r="T13678" t="s">
        <v>30519</v>
      </c>
      <c r="U13678" t="s">
        <v>30520</v>
      </c>
      <c r="V13678" t="s">
        <v>30521</v>
      </c>
      <c r="W13678" t="s">
        <v>49631</v>
      </c>
      <c r="X13678" t="s">
        <v>42</v>
      </c>
      <c r="Y13678" t="s">
        <v>17171</v>
      </c>
      <c r="Z13678" t="s">
        <v>166</v>
      </c>
      <c r="AA13678" s="22" t="str">
        <f>HYPERLINK("https://www.ncbi.nlm.nih.gov/nuccore/KP264975","NCBI Nucleotide")</f>
        <v>NCBI Nucleotide</v>
      </c>
    </row>
    <row r="13679" spans="1:27" x14ac:dyDescent="0.35">
      <c r="A13679">
        <v>1011411</v>
      </c>
      <c r="B13679">
        <v>12737</v>
      </c>
      <c r="C13679">
        <v>4</v>
      </c>
      <c r="D13679" t="s">
        <v>17166</v>
      </c>
      <c r="F13679" t="s">
        <v>17246</v>
      </c>
      <c r="H13679" t="s">
        <v>28921</v>
      </c>
      <c r="J13679" t="s">
        <v>29538</v>
      </c>
      <c r="L13679" t="s">
        <v>30198</v>
      </c>
      <c r="N13679" t="s">
        <v>30487</v>
      </c>
      <c r="O13679" t="s">
        <v>30498</v>
      </c>
      <c r="P13679" t="s">
        <v>30504</v>
      </c>
      <c r="R13679" s="26" t="str">
        <f>HYPERLINK("https://ictv.global/taxonomy/taxondetails?taxnode_id=202301959","Aphthovirus reedi")</f>
        <v>Aphthovirus reedi</v>
      </c>
      <c r="S13679" t="s">
        <v>8141</v>
      </c>
      <c r="T13679" t="s">
        <v>30522</v>
      </c>
      <c r="U13679" t="s">
        <v>30523</v>
      </c>
      <c r="V13679" t="s">
        <v>30524</v>
      </c>
      <c r="W13679" t="s">
        <v>49632</v>
      </c>
      <c r="X13679" t="s">
        <v>42</v>
      </c>
      <c r="Y13679" t="s">
        <v>17171</v>
      </c>
      <c r="Z13679" t="s">
        <v>166</v>
      </c>
      <c r="AA13679" s="22" t="str">
        <f>HYPERLINK("https://www.ncbi.nlm.nih.gov/nuccore/KU168861","NCBI Nucleotide")</f>
        <v>NCBI Nucleotide</v>
      </c>
    </row>
    <row r="13680" spans="1:27" x14ac:dyDescent="0.35">
      <c r="A13680">
        <v>1011412</v>
      </c>
      <c r="B13680">
        <v>12737</v>
      </c>
      <c r="C13680">
        <v>5</v>
      </c>
      <c r="D13680" t="s">
        <v>17166</v>
      </c>
      <c r="F13680" t="s">
        <v>17246</v>
      </c>
      <c r="H13680" t="s">
        <v>28921</v>
      </c>
      <c r="J13680" t="s">
        <v>29538</v>
      </c>
      <c r="L13680" t="s">
        <v>30198</v>
      </c>
      <c r="N13680" t="s">
        <v>30487</v>
      </c>
      <c r="O13680" t="s">
        <v>30498</v>
      </c>
      <c r="P13680" t="s">
        <v>30504</v>
      </c>
      <c r="R13680" s="26" t="str">
        <f>HYPERLINK("https://ictv.global/taxonomy/taxondetails?taxnode_id=202301959","Aphthovirus reedi")</f>
        <v>Aphthovirus reedi</v>
      </c>
      <c r="S13680" t="s">
        <v>8141</v>
      </c>
      <c r="T13680" t="s">
        <v>30525</v>
      </c>
      <c r="U13680" t="s">
        <v>30526</v>
      </c>
      <c r="V13680" t="s">
        <v>30527</v>
      </c>
      <c r="W13680" t="s">
        <v>49633</v>
      </c>
      <c r="X13680" t="s">
        <v>42</v>
      </c>
      <c r="Y13680" t="s">
        <v>17171</v>
      </c>
      <c r="Z13680" t="s">
        <v>166</v>
      </c>
      <c r="AA13680" s="22" t="str">
        <f>HYPERLINK("https://www.ncbi.nlm.nih.gov/nuccore/KU159360","NCBI Nucleotide")</f>
        <v>NCBI Nucleotide</v>
      </c>
    </row>
    <row r="13681" spans="1:27" x14ac:dyDescent="0.35">
      <c r="A13681">
        <v>1001789</v>
      </c>
      <c r="B13681">
        <v>12738</v>
      </c>
      <c r="C13681">
        <v>1</v>
      </c>
      <c r="D13681" t="s">
        <v>17166</v>
      </c>
      <c r="F13681" t="s">
        <v>17246</v>
      </c>
      <c r="H13681" t="s">
        <v>28921</v>
      </c>
      <c r="J13681" t="s">
        <v>29538</v>
      </c>
      <c r="L13681" t="s">
        <v>30198</v>
      </c>
      <c r="N13681" t="s">
        <v>30487</v>
      </c>
      <c r="O13681" t="s">
        <v>30498</v>
      </c>
      <c r="P13681" t="s">
        <v>30504</v>
      </c>
      <c r="R13681" s="26" t="str">
        <f t="shared" ref="R13681:R13687" si="43">HYPERLINK("https://ictv.global/taxonomy/taxondetails?taxnode_id=202301961","Aphthovirus vesiculae")</f>
        <v>Aphthovirus vesiculae</v>
      </c>
      <c r="S13681" t="s">
        <v>30</v>
      </c>
      <c r="T13681" t="s">
        <v>30532</v>
      </c>
      <c r="U13681" t="s">
        <v>30533</v>
      </c>
      <c r="V13681" t="s">
        <v>30534</v>
      </c>
      <c r="W13681" t="s">
        <v>30535</v>
      </c>
      <c r="X13681" t="s">
        <v>42</v>
      </c>
      <c r="Y13681" t="s">
        <v>17171</v>
      </c>
      <c r="Z13681" t="s">
        <v>166</v>
      </c>
      <c r="AA13681" s="22" t="str">
        <f>HYPERLINK("https://www.ncbi.nlm.nih.gov/nuccore/AY593829","NCBI Nucleotide")</f>
        <v>NCBI Nucleotide</v>
      </c>
    </row>
    <row r="13682" spans="1:27" x14ac:dyDescent="0.35">
      <c r="A13682">
        <v>1011413</v>
      </c>
      <c r="B13682">
        <v>12738</v>
      </c>
      <c r="C13682">
        <v>2</v>
      </c>
      <c r="D13682" t="s">
        <v>17166</v>
      </c>
      <c r="F13682" t="s">
        <v>17246</v>
      </c>
      <c r="H13682" t="s">
        <v>28921</v>
      </c>
      <c r="J13682" t="s">
        <v>29538</v>
      </c>
      <c r="L13682" t="s">
        <v>30198</v>
      </c>
      <c r="N13682" t="s">
        <v>30487</v>
      </c>
      <c r="O13682" t="s">
        <v>30498</v>
      </c>
      <c r="P13682" t="s">
        <v>30504</v>
      </c>
      <c r="R13682" s="26" t="str">
        <f t="shared" si="43"/>
        <v>Aphthovirus vesiculae</v>
      </c>
      <c r="S13682" t="s">
        <v>8141</v>
      </c>
      <c r="T13682" t="s">
        <v>30536</v>
      </c>
      <c r="U13682" t="s">
        <v>30537</v>
      </c>
      <c r="V13682" t="s">
        <v>30538</v>
      </c>
      <c r="W13682" t="s">
        <v>49634</v>
      </c>
      <c r="X13682" t="s">
        <v>42</v>
      </c>
      <c r="Y13682" t="s">
        <v>17171</v>
      </c>
      <c r="Z13682" t="s">
        <v>166</v>
      </c>
      <c r="AA13682" s="22" t="str">
        <f>HYPERLINK("https://www.ncbi.nlm.nih.gov/nuccore/AY593752","NCBI Nucleotide")</f>
        <v>NCBI Nucleotide</v>
      </c>
    </row>
    <row r="13683" spans="1:27" x14ac:dyDescent="0.35">
      <c r="A13683">
        <v>1011415</v>
      </c>
      <c r="B13683">
        <v>12738</v>
      </c>
      <c r="C13683">
        <v>3</v>
      </c>
      <c r="D13683" t="s">
        <v>17166</v>
      </c>
      <c r="F13683" t="s">
        <v>17246</v>
      </c>
      <c r="H13683" t="s">
        <v>28921</v>
      </c>
      <c r="J13683" t="s">
        <v>29538</v>
      </c>
      <c r="L13683" t="s">
        <v>30198</v>
      </c>
      <c r="N13683" t="s">
        <v>30487</v>
      </c>
      <c r="O13683" t="s">
        <v>30498</v>
      </c>
      <c r="P13683" t="s">
        <v>30504</v>
      </c>
      <c r="R13683" s="26" t="str">
        <f t="shared" si="43"/>
        <v>Aphthovirus vesiculae</v>
      </c>
      <c r="S13683" t="s">
        <v>8141</v>
      </c>
      <c r="T13683" t="s">
        <v>30542</v>
      </c>
      <c r="U13683" t="s">
        <v>30543</v>
      </c>
      <c r="V13683" t="s">
        <v>30544</v>
      </c>
      <c r="W13683" t="s">
        <v>49635</v>
      </c>
      <c r="X13683" t="s">
        <v>42</v>
      </c>
      <c r="Y13683" t="s">
        <v>17171</v>
      </c>
      <c r="Z13683" t="s">
        <v>166</v>
      </c>
      <c r="AA13683" s="22" t="str">
        <f>HYPERLINK("https://www.ncbi.nlm.nih.gov/nuccore/DQ533483","NCBI Nucleotide")</f>
        <v>NCBI Nucleotide</v>
      </c>
    </row>
    <row r="13684" spans="1:27" x14ac:dyDescent="0.35">
      <c r="A13684">
        <v>1011414</v>
      </c>
      <c r="B13684">
        <v>12738</v>
      </c>
      <c r="C13684">
        <v>4</v>
      </c>
      <c r="D13684" t="s">
        <v>17166</v>
      </c>
      <c r="F13684" t="s">
        <v>17246</v>
      </c>
      <c r="H13684" t="s">
        <v>28921</v>
      </c>
      <c r="J13684" t="s">
        <v>29538</v>
      </c>
      <c r="L13684" t="s">
        <v>30198</v>
      </c>
      <c r="N13684" t="s">
        <v>30487</v>
      </c>
      <c r="O13684" t="s">
        <v>30498</v>
      </c>
      <c r="P13684" t="s">
        <v>30504</v>
      </c>
      <c r="R13684" s="26" t="str">
        <f t="shared" si="43"/>
        <v>Aphthovirus vesiculae</v>
      </c>
      <c r="S13684" t="s">
        <v>8141</v>
      </c>
      <c r="T13684" t="s">
        <v>30539</v>
      </c>
      <c r="U13684" t="s">
        <v>30540</v>
      </c>
      <c r="V13684" t="s">
        <v>30541</v>
      </c>
      <c r="W13684" t="s">
        <v>49636</v>
      </c>
      <c r="X13684" t="s">
        <v>42</v>
      </c>
      <c r="Y13684" t="s">
        <v>17171</v>
      </c>
      <c r="Z13684" t="s">
        <v>166</v>
      </c>
      <c r="AA13684" s="22" t="str">
        <f>HYPERLINK("https://www.ncbi.nlm.nih.gov/nuccore/AY593805","NCBI Nucleotide")</f>
        <v>NCBI Nucleotide</v>
      </c>
    </row>
    <row r="13685" spans="1:27" x14ac:dyDescent="0.35">
      <c r="A13685">
        <v>1011416</v>
      </c>
      <c r="B13685">
        <v>12738</v>
      </c>
      <c r="C13685">
        <v>5</v>
      </c>
      <c r="D13685" t="s">
        <v>17166</v>
      </c>
      <c r="F13685" t="s">
        <v>17246</v>
      </c>
      <c r="H13685" t="s">
        <v>28921</v>
      </c>
      <c r="J13685" t="s">
        <v>29538</v>
      </c>
      <c r="L13685" t="s">
        <v>30198</v>
      </c>
      <c r="N13685" t="s">
        <v>30487</v>
      </c>
      <c r="O13685" t="s">
        <v>30498</v>
      </c>
      <c r="P13685" t="s">
        <v>30504</v>
      </c>
      <c r="R13685" s="26" t="str">
        <f t="shared" si="43"/>
        <v>Aphthovirus vesiculae</v>
      </c>
      <c r="S13685" t="s">
        <v>8141</v>
      </c>
      <c r="T13685" t="s">
        <v>30545</v>
      </c>
      <c r="U13685" t="s">
        <v>30546</v>
      </c>
      <c r="V13685" t="s">
        <v>30547</v>
      </c>
      <c r="W13685" t="s">
        <v>49637</v>
      </c>
      <c r="X13685" t="s">
        <v>42</v>
      </c>
      <c r="Y13685" t="s">
        <v>17171</v>
      </c>
      <c r="Z13685" t="s">
        <v>166</v>
      </c>
      <c r="AA13685" s="22" t="str">
        <f>HYPERLINK("https://www.ncbi.nlm.nih.gov/nuccore/AY593840","NCBI Nucleotide")</f>
        <v>NCBI Nucleotide</v>
      </c>
    </row>
    <row r="13686" spans="1:27" x14ac:dyDescent="0.35">
      <c r="A13686">
        <v>1011417</v>
      </c>
      <c r="B13686">
        <v>12738</v>
      </c>
      <c r="C13686">
        <v>6</v>
      </c>
      <c r="D13686" t="s">
        <v>17166</v>
      </c>
      <c r="F13686" t="s">
        <v>17246</v>
      </c>
      <c r="H13686" t="s">
        <v>28921</v>
      </c>
      <c r="J13686" t="s">
        <v>29538</v>
      </c>
      <c r="L13686" t="s">
        <v>30198</v>
      </c>
      <c r="N13686" t="s">
        <v>30487</v>
      </c>
      <c r="O13686" t="s">
        <v>30498</v>
      </c>
      <c r="P13686" t="s">
        <v>30504</v>
      </c>
      <c r="R13686" s="26" t="str">
        <f t="shared" si="43"/>
        <v>Aphthovirus vesiculae</v>
      </c>
      <c r="S13686" t="s">
        <v>8141</v>
      </c>
      <c r="T13686" t="s">
        <v>30548</v>
      </c>
      <c r="U13686" t="s">
        <v>30549</v>
      </c>
      <c r="V13686" t="s">
        <v>30550</v>
      </c>
      <c r="W13686" t="s">
        <v>49638</v>
      </c>
      <c r="X13686" t="s">
        <v>42</v>
      </c>
      <c r="Y13686" t="s">
        <v>17171</v>
      </c>
      <c r="Z13686" t="s">
        <v>166</v>
      </c>
      <c r="AA13686" s="22" t="str">
        <f>HYPERLINK("https://www.ncbi.nlm.nih.gov/nuccore/AY593849","NCBI Nucleotide")</f>
        <v>NCBI Nucleotide</v>
      </c>
    </row>
    <row r="13687" spans="1:27" x14ac:dyDescent="0.35">
      <c r="A13687">
        <v>1011418</v>
      </c>
      <c r="B13687">
        <v>12738</v>
      </c>
      <c r="C13687">
        <v>7</v>
      </c>
      <c r="D13687" t="s">
        <v>17166</v>
      </c>
      <c r="F13687" t="s">
        <v>17246</v>
      </c>
      <c r="H13687" t="s">
        <v>28921</v>
      </c>
      <c r="J13687" t="s">
        <v>29538</v>
      </c>
      <c r="L13687" t="s">
        <v>30198</v>
      </c>
      <c r="N13687" t="s">
        <v>30487</v>
      </c>
      <c r="O13687" t="s">
        <v>30498</v>
      </c>
      <c r="P13687" t="s">
        <v>30504</v>
      </c>
      <c r="R13687" s="26" t="str">
        <f t="shared" si="43"/>
        <v>Aphthovirus vesiculae</v>
      </c>
      <c r="S13687" t="s">
        <v>8141</v>
      </c>
      <c r="T13687" t="s">
        <v>30551</v>
      </c>
      <c r="U13687" t="s">
        <v>30552</v>
      </c>
      <c r="V13687" t="s">
        <v>30553</v>
      </c>
      <c r="W13687" t="s">
        <v>49639</v>
      </c>
      <c r="X13687" t="s">
        <v>42</v>
      </c>
      <c r="Y13687" t="s">
        <v>17171</v>
      </c>
      <c r="Z13687" t="s">
        <v>166</v>
      </c>
      <c r="AA13687" s="22" t="str">
        <f>HYPERLINK("https://www.ncbi.nlm.nih.gov/nuccore/AY593850","NCBI Nucleotide")</f>
        <v>NCBI Nucleotide</v>
      </c>
    </row>
    <row r="13688" spans="1:27" x14ac:dyDescent="0.35">
      <c r="A13688">
        <v>1001790</v>
      </c>
      <c r="B13688">
        <v>12739</v>
      </c>
      <c r="C13688">
        <v>1</v>
      </c>
      <c r="D13688" t="s">
        <v>17166</v>
      </c>
      <c r="F13688" t="s">
        <v>17246</v>
      </c>
      <c r="H13688" t="s">
        <v>28921</v>
      </c>
      <c r="J13688" t="s">
        <v>29538</v>
      </c>
      <c r="L13688" t="s">
        <v>30198</v>
      </c>
      <c r="N13688" t="s">
        <v>30487</v>
      </c>
      <c r="O13688" t="s">
        <v>30498</v>
      </c>
      <c r="P13688" t="s">
        <v>30554</v>
      </c>
      <c r="R13688" s="26" t="str">
        <f>HYPERLINK("https://ictv.global/taxonomy/taxondetails?taxnode_id=202305591","Bopivirus abovi")</f>
        <v>Bopivirus abovi</v>
      </c>
      <c r="S13688" t="s">
        <v>30</v>
      </c>
      <c r="T13688" t="s">
        <v>30555</v>
      </c>
      <c r="U13688" t="s">
        <v>30556</v>
      </c>
      <c r="V13688" t="s">
        <v>30557</v>
      </c>
      <c r="W13688" t="s">
        <v>30558</v>
      </c>
      <c r="X13688" t="s">
        <v>35</v>
      </c>
      <c r="Y13688" t="s">
        <v>17171</v>
      </c>
      <c r="Z13688" t="s">
        <v>166</v>
      </c>
      <c r="AA13688" s="22" t="str">
        <f>HYPERLINK("https://www.ncbi.nlm.nih.gov/nuccore/KM589358","NCBI Nucleotide")</f>
        <v>NCBI Nucleotide</v>
      </c>
    </row>
    <row r="13689" spans="1:27" x14ac:dyDescent="0.35">
      <c r="A13689">
        <v>1001796</v>
      </c>
      <c r="B13689">
        <v>12740</v>
      </c>
      <c r="C13689">
        <v>1</v>
      </c>
      <c r="D13689" t="s">
        <v>17166</v>
      </c>
      <c r="F13689" t="s">
        <v>17246</v>
      </c>
      <c r="H13689" t="s">
        <v>28921</v>
      </c>
      <c r="J13689" t="s">
        <v>29538</v>
      </c>
      <c r="L13689" t="s">
        <v>30198</v>
      </c>
      <c r="N13689" t="s">
        <v>30487</v>
      </c>
      <c r="O13689" t="s">
        <v>30498</v>
      </c>
      <c r="P13689" t="s">
        <v>30559</v>
      </c>
      <c r="R13689" s="26" t="str">
        <f>HYPERLINK("https://ictv.global/taxonomy/taxondetails?taxnode_id=202307106","Cardiovirus dhusarah")</f>
        <v>Cardiovirus dhusarah</v>
      </c>
      <c r="S13689" t="s">
        <v>30</v>
      </c>
      <c r="T13689" t="s">
        <v>30632</v>
      </c>
      <c r="U13689" t="s">
        <v>30633</v>
      </c>
      <c r="V13689" t="s">
        <v>30634</v>
      </c>
      <c r="W13689" t="s">
        <v>30635</v>
      </c>
      <c r="X13689" t="s">
        <v>42</v>
      </c>
      <c r="Y13689" t="s">
        <v>17171</v>
      </c>
      <c r="Z13689" t="s">
        <v>166</v>
      </c>
      <c r="AA13689" s="22" t="str">
        <f>HYPERLINK("https://www.ncbi.nlm.nih.gov/nuccore/KY432930","NCBI Nucleotide")</f>
        <v>NCBI Nucleotide</v>
      </c>
    </row>
    <row r="13690" spans="1:27" x14ac:dyDescent="0.35">
      <c r="A13690">
        <v>1001793</v>
      </c>
      <c r="B13690">
        <v>12741</v>
      </c>
      <c r="C13690">
        <v>1</v>
      </c>
      <c r="D13690" t="s">
        <v>17166</v>
      </c>
      <c r="F13690" t="s">
        <v>17246</v>
      </c>
      <c r="H13690" t="s">
        <v>28921</v>
      </c>
      <c r="J13690" t="s">
        <v>29538</v>
      </c>
      <c r="L13690" t="s">
        <v>30198</v>
      </c>
      <c r="N13690" t="s">
        <v>30487</v>
      </c>
      <c r="O13690" t="s">
        <v>30498</v>
      </c>
      <c r="P13690" t="s">
        <v>30559</v>
      </c>
      <c r="R13690" s="26" t="str">
        <f>HYPERLINK("https://ictv.global/taxonomy/taxondetails?taxnode_id=202301973","Cardiovirus ranori")</f>
        <v>Cardiovirus ranori</v>
      </c>
      <c r="S13690" t="s">
        <v>30</v>
      </c>
      <c r="T13690" t="s">
        <v>30584</v>
      </c>
      <c r="U13690" t="s">
        <v>30585</v>
      </c>
      <c r="V13690" t="s">
        <v>30586</v>
      </c>
      <c r="W13690" t="s">
        <v>30587</v>
      </c>
      <c r="X13690" t="s">
        <v>35</v>
      </c>
      <c r="Y13690" t="s">
        <v>17171</v>
      </c>
      <c r="Z13690" t="s">
        <v>166</v>
      </c>
      <c r="AA13690" s="22" t="str">
        <f>HYPERLINK("https://www.ncbi.nlm.nih.gov/nuccore/JQ864242","NCBI Nucleotide")</f>
        <v>NCBI Nucleotide</v>
      </c>
    </row>
    <row r="13691" spans="1:27" x14ac:dyDescent="0.35">
      <c r="A13691">
        <v>1011426</v>
      </c>
      <c r="B13691">
        <v>12741</v>
      </c>
      <c r="C13691">
        <v>2</v>
      </c>
      <c r="D13691" t="s">
        <v>17166</v>
      </c>
      <c r="F13691" t="s">
        <v>17246</v>
      </c>
      <c r="H13691" t="s">
        <v>28921</v>
      </c>
      <c r="J13691" t="s">
        <v>29538</v>
      </c>
      <c r="L13691" t="s">
        <v>30198</v>
      </c>
      <c r="N13691" t="s">
        <v>30487</v>
      </c>
      <c r="O13691" t="s">
        <v>30498</v>
      </c>
      <c r="P13691" t="s">
        <v>30559</v>
      </c>
      <c r="R13691" s="26" t="str">
        <f>HYPERLINK("https://ictv.global/taxonomy/taxondetails?taxnode_id=202301973","Cardiovirus ranori")</f>
        <v>Cardiovirus ranori</v>
      </c>
      <c r="S13691" t="s">
        <v>8141</v>
      </c>
      <c r="T13691" t="s">
        <v>30588</v>
      </c>
      <c r="U13691" t="s">
        <v>30589</v>
      </c>
      <c r="V13691" t="s">
        <v>30590</v>
      </c>
      <c r="W13691" t="s">
        <v>49640</v>
      </c>
      <c r="X13691" t="s">
        <v>154</v>
      </c>
      <c r="Y13691" t="s">
        <v>17171</v>
      </c>
      <c r="Z13691" t="s">
        <v>166</v>
      </c>
      <c r="AA13691" s="22" t="str">
        <f>HYPERLINK("https://www.ncbi.nlm.nih.gov/nuccore/JX683808","NCBI Nucleotide")</f>
        <v>NCBI Nucleotide</v>
      </c>
    </row>
    <row r="13692" spans="1:27" x14ac:dyDescent="0.35">
      <c r="A13692">
        <v>1011427</v>
      </c>
      <c r="B13692">
        <v>12741</v>
      </c>
      <c r="C13692">
        <v>3</v>
      </c>
      <c r="D13692" t="s">
        <v>17166</v>
      </c>
      <c r="F13692" t="s">
        <v>17246</v>
      </c>
      <c r="H13692" t="s">
        <v>28921</v>
      </c>
      <c r="J13692" t="s">
        <v>29538</v>
      </c>
      <c r="L13692" t="s">
        <v>30198</v>
      </c>
      <c r="N13692" t="s">
        <v>30487</v>
      </c>
      <c r="O13692" t="s">
        <v>30498</v>
      </c>
      <c r="P13692" t="s">
        <v>30559</v>
      </c>
      <c r="R13692" s="26" t="str">
        <f>HYPERLINK("https://ictv.global/taxonomy/taxondetails?taxnode_id=202301973","Cardiovirus ranori")</f>
        <v>Cardiovirus ranori</v>
      </c>
      <c r="S13692" t="s">
        <v>8141</v>
      </c>
      <c r="T13692" t="s">
        <v>30591</v>
      </c>
      <c r="U13692" t="s">
        <v>30592</v>
      </c>
      <c r="V13692" t="s">
        <v>30593</v>
      </c>
      <c r="W13692" t="s">
        <v>49641</v>
      </c>
      <c r="X13692" t="s">
        <v>42</v>
      </c>
      <c r="Y13692" t="s">
        <v>17171</v>
      </c>
      <c r="Z13692" t="s">
        <v>166</v>
      </c>
      <c r="AA13692" s="22" t="str">
        <f>HYPERLINK("https://www.ncbi.nlm.nih.gov/nuccore/MF352424","NCBI Nucleotide")</f>
        <v>NCBI Nucleotide</v>
      </c>
    </row>
    <row r="13693" spans="1:27" x14ac:dyDescent="0.35">
      <c r="A13693">
        <v>1001795</v>
      </c>
      <c r="B13693">
        <v>12742</v>
      </c>
      <c r="C13693">
        <v>1</v>
      </c>
      <c r="D13693" t="s">
        <v>17166</v>
      </c>
      <c r="F13693" t="s">
        <v>17246</v>
      </c>
      <c r="H13693" t="s">
        <v>28921</v>
      </c>
      <c r="J13693" t="s">
        <v>29538</v>
      </c>
      <c r="L13693" t="s">
        <v>30198</v>
      </c>
      <c r="N13693" t="s">
        <v>30487</v>
      </c>
      <c r="O13693" t="s">
        <v>30498</v>
      </c>
      <c r="P13693" t="s">
        <v>30559</v>
      </c>
      <c r="R13693" s="26" t="str">
        <f>HYPERLINK("https://ictv.global/taxonomy/taxondetails?taxnode_id=202307105","Cardiovirus rudhira")</f>
        <v>Cardiovirus rudhira</v>
      </c>
      <c r="S13693" t="s">
        <v>30</v>
      </c>
      <c r="T13693" t="s">
        <v>30628</v>
      </c>
      <c r="U13693" t="s">
        <v>30629</v>
      </c>
      <c r="V13693" t="s">
        <v>30630</v>
      </c>
      <c r="W13693" t="s">
        <v>30631</v>
      </c>
      <c r="X13693" t="s">
        <v>42</v>
      </c>
      <c r="Y13693" t="s">
        <v>17171</v>
      </c>
      <c r="Z13693" t="s">
        <v>166</v>
      </c>
      <c r="AA13693" s="22" t="str">
        <f>HYPERLINK("https://www.ncbi.nlm.nih.gov/nuccore/KY432928","NCBI Nucleotide")</f>
        <v>NCBI Nucleotide</v>
      </c>
    </row>
    <row r="13694" spans="1:27" x14ac:dyDescent="0.35">
      <c r="A13694">
        <v>1001791</v>
      </c>
      <c r="B13694">
        <v>12743</v>
      </c>
      <c r="C13694">
        <v>1</v>
      </c>
      <c r="D13694" t="s">
        <v>17166</v>
      </c>
      <c r="F13694" t="s">
        <v>17246</v>
      </c>
      <c r="H13694" t="s">
        <v>28921</v>
      </c>
      <c r="J13694" t="s">
        <v>29538</v>
      </c>
      <c r="L13694" t="s">
        <v>30198</v>
      </c>
      <c r="N13694" t="s">
        <v>30487</v>
      </c>
      <c r="O13694" t="s">
        <v>30498</v>
      </c>
      <c r="P13694" t="s">
        <v>30559</v>
      </c>
      <c r="R13694" s="26" t="str">
        <f>HYPERLINK("https://ictv.global/taxonomy/taxondetails?taxnode_id=202301971","Cardiovirus rueckerti")</f>
        <v>Cardiovirus rueckerti</v>
      </c>
      <c r="S13694" t="s">
        <v>30</v>
      </c>
      <c r="T13694" t="s">
        <v>30560</v>
      </c>
      <c r="U13694" t="s">
        <v>30561</v>
      </c>
      <c r="V13694" t="s">
        <v>30562</v>
      </c>
      <c r="W13694" t="s">
        <v>30563</v>
      </c>
      <c r="X13694" t="s">
        <v>42</v>
      </c>
      <c r="Y13694" t="s">
        <v>17171</v>
      </c>
      <c r="Z13694" t="s">
        <v>166</v>
      </c>
      <c r="AA13694" s="22" t="str">
        <f>HYPERLINK("https://www.ncbi.nlm.nih.gov/nuccore/M81861","NCBI Nucleotide")</f>
        <v>NCBI Nucleotide</v>
      </c>
    </row>
    <row r="13695" spans="1:27" x14ac:dyDescent="0.35">
      <c r="A13695">
        <v>1011419</v>
      </c>
      <c r="B13695">
        <v>12743</v>
      </c>
      <c r="C13695">
        <v>2</v>
      </c>
      <c r="D13695" t="s">
        <v>17166</v>
      </c>
      <c r="F13695" t="s">
        <v>17246</v>
      </c>
      <c r="H13695" t="s">
        <v>28921</v>
      </c>
      <c r="J13695" t="s">
        <v>29538</v>
      </c>
      <c r="L13695" t="s">
        <v>30198</v>
      </c>
      <c r="N13695" t="s">
        <v>30487</v>
      </c>
      <c r="O13695" t="s">
        <v>30498</v>
      </c>
      <c r="P13695" t="s">
        <v>30559</v>
      </c>
      <c r="R13695" s="26" t="str">
        <f>HYPERLINK("https://ictv.global/taxonomy/taxondetails?taxnode_id=202301971","Cardiovirus rueckerti")</f>
        <v>Cardiovirus rueckerti</v>
      </c>
      <c r="S13695" t="s">
        <v>8141</v>
      </c>
      <c r="T13695" t="s">
        <v>30564</v>
      </c>
      <c r="U13695" t="s">
        <v>30565</v>
      </c>
      <c r="V13695" t="s">
        <v>30566</v>
      </c>
      <c r="W13695" t="s">
        <v>49642</v>
      </c>
      <c r="X13695" t="s">
        <v>42</v>
      </c>
      <c r="Y13695" t="s">
        <v>17171</v>
      </c>
      <c r="Z13695" t="s">
        <v>166</v>
      </c>
      <c r="AA13695" s="22" t="str">
        <f>HYPERLINK("https://www.ncbi.nlm.nih.gov/nuccore/JX257003","NCBI Nucleotide")</f>
        <v>NCBI Nucleotide</v>
      </c>
    </row>
    <row r="13696" spans="1:27" x14ac:dyDescent="0.35">
      <c r="A13696">
        <v>1001794</v>
      </c>
      <c r="B13696">
        <v>12744</v>
      </c>
      <c r="C13696">
        <v>1</v>
      </c>
      <c r="D13696" t="s">
        <v>17166</v>
      </c>
      <c r="F13696" t="s">
        <v>17246</v>
      </c>
      <c r="H13696" t="s">
        <v>28921</v>
      </c>
      <c r="J13696" t="s">
        <v>29538</v>
      </c>
      <c r="L13696" t="s">
        <v>30198</v>
      </c>
      <c r="N13696" t="s">
        <v>30487</v>
      </c>
      <c r="O13696" t="s">
        <v>30498</v>
      </c>
      <c r="P13696" t="s">
        <v>30559</v>
      </c>
      <c r="R13696" s="26" t="str">
        <f t="shared" ref="R13696:R13706" si="44">HYPERLINK("https://ictv.global/taxonomy/taxondetails?taxnode_id=202307104","Cardiovirus saffoldi")</f>
        <v>Cardiovirus saffoldi</v>
      </c>
      <c r="S13696" t="s">
        <v>30</v>
      </c>
      <c r="T13696" t="s">
        <v>30594</v>
      </c>
      <c r="U13696" t="s">
        <v>30595</v>
      </c>
      <c r="V13696" t="s">
        <v>30596</v>
      </c>
      <c r="W13696" t="s">
        <v>30597</v>
      </c>
      <c r="X13696" t="s">
        <v>42</v>
      </c>
      <c r="Y13696" t="s">
        <v>17171</v>
      </c>
      <c r="Z13696" t="s">
        <v>166</v>
      </c>
      <c r="AA13696" s="22" t="str">
        <f>HYPERLINK("https://www.ncbi.nlm.nih.gov/nuccore/EF165067","NCBI Nucleotide")</f>
        <v>NCBI Nucleotide</v>
      </c>
    </row>
    <row r="13697" spans="1:27" x14ac:dyDescent="0.35">
      <c r="A13697">
        <v>1011428</v>
      </c>
      <c r="B13697">
        <v>12744</v>
      </c>
      <c r="C13697">
        <v>2</v>
      </c>
      <c r="D13697" t="s">
        <v>17166</v>
      </c>
      <c r="F13697" t="s">
        <v>17246</v>
      </c>
      <c r="H13697" t="s">
        <v>28921</v>
      </c>
      <c r="J13697" t="s">
        <v>29538</v>
      </c>
      <c r="L13697" t="s">
        <v>30198</v>
      </c>
      <c r="N13697" t="s">
        <v>30487</v>
      </c>
      <c r="O13697" t="s">
        <v>30498</v>
      </c>
      <c r="P13697" t="s">
        <v>30559</v>
      </c>
      <c r="R13697" s="26" t="str">
        <f t="shared" si="44"/>
        <v>Cardiovirus saffoldi</v>
      </c>
      <c r="S13697" t="s">
        <v>8141</v>
      </c>
      <c r="T13697" t="s">
        <v>30598</v>
      </c>
      <c r="U13697" t="s">
        <v>30599</v>
      </c>
      <c r="V13697" t="s">
        <v>30600</v>
      </c>
      <c r="W13697" t="s">
        <v>49643</v>
      </c>
      <c r="X13697" t="s">
        <v>42</v>
      </c>
      <c r="Y13697" t="s">
        <v>17171</v>
      </c>
      <c r="Z13697" t="s">
        <v>166</v>
      </c>
      <c r="AA13697" s="22" t="str">
        <f>HYPERLINK("https://www.ncbi.nlm.nih.gov/nuccore/EU376394","NCBI Nucleotide")</f>
        <v>NCBI Nucleotide</v>
      </c>
    </row>
    <row r="13698" spans="1:27" x14ac:dyDescent="0.35">
      <c r="A13698">
        <v>1011429</v>
      </c>
      <c r="B13698">
        <v>12744</v>
      </c>
      <c r="C13698">
        <v>3</v>
      </c>
      <c r="D13698" t="s">
        <v>17166</v>
      </c>
      <c r="F13698" t="s">
        <v>17246</v>
      </c>
      <c r="H13698" t="s">
        <v>28921</v>
      </c>
      <c r="J13698" t="s">
        <v>29538</v>
      </c>
      <c r="L13698" t="s">
        <v>30198</v>
      </c>
      <c r="N13698" t="s">
        <v>30487</v>
      </c>
      <c r="O13698" t="s">
        <v>30498</v>
      </c>
      <c r="P13698" t="s">
        <v>30559</v>
      </c>
      <c r="R13698" s="26" t="str">
        <f t="shared" si="44"/>
        <v>Cardiovirus saffoldi</v>
      </c>
      <c r="S13698" t="s">
        <v>8141</v>
      </c>
      <c r="T13698" t="s">
        <v>30601</v>
      </c>
      <c r="U13698" t="s">
        <v>30602</v>
      </c>
      <c r="V13698" t="s">
        <v>30603</v>
      </c>
      <c r="W13698" t="s">
        <v>49644</v>
      </c>
      <c r="X13698" t="s">
        <v>42</v>
      </c>
      <c r="Y13698" t="s">
        <v>17171</v>
      </c>
      <c r="Z13698" t="s">
        <v>166</v>
      </c>
      <c r="AA13698" s="22" t="str">
        <f>HYPERLINK("https://www.ncbi.nlm.nih.gov/nuccore/HM181996","NCBI Nucleotide")</f>
        <v>NCBI Nucleotide</v>
      </c>
    </row>
    <row r="13699" spans="1:27" x14ac:dyDescent="0.35">
      <c r="A13699">
        <v>1011430</v>
      </c>
      <c r="B13699">
        <v>12744</v>
      </c>
      <c r="C13699">
        <v>4</v>
      </c>
      <c r="D13699" t="s">
        <v>17166</v>
      </c>
      <c r="F13699" t="s">
        <v>17246</v>
      </c>
      <c r="H13699" t="s">
        <v>28921</v>
      </c>
      <c r="J13699" t="s">
        <v>29538</v>
      </c>
      <c r="L13699" t="s">
        <v>30198</v>
      </c>
      <c r="N13699" t="s">
        <v>30487</v>
      </c>
      <c r="O13699" t="s">
        <v>30498</v>
      </c>
      <c r="P13699" t="s">
        <v>30559</v>
      </c>
      <c r="R13699" s="26" t="str">
        <f t="shared" si="44"/>
        <v>Cardiovirus saffoldi</v>
      </c>
      <c r="S13699" t="s">
        <v>8141</v>
      </c>
      <c r="T13699" t="s">
        <v>30604</v>
      </c>
      <c r="U13699" t="s">
        <v>30605</v>
      </c>
      <c r="V13699" t="s">
        <v>30606</v>
      </c>
      <c r="W13699" t="s">
        <v>49645</v>
      </c>
      <c r="X13699" t="s">
        <v>42</v>
      </c>
      <c r="Y13699" t="s">
        <v>17171</v>
      </c>
      <c r="Z13699" t="s">
        <v>166</v>
      </c>
      <c r="AA13699" s="22" t="str">
        <f>HYPERLINK("https://www.ncbi.nlm.nih.gov/nuccore/AB747251","NCBI Nucleotide")</f>
        <v>NCBI Nucleotide</v>
      </c>
    </row>
    <row r="13700" spans="1:27" x14ac:dyDescent="0.35">
      <c r="A13700">
        <v>1011431</v>
      </c>
      <c r="B13700">
        <v>12744</v>
      </c>
      <c r="C13700">
        <v>5</v>
      </c>
      <c r="D13700" t="s">
        <v>17166</v>
      </c>
      <c r="F13700" t="s">
        <v>17246</v>
      </c>
      <c r="H13700" t="s">
        <v>28921</v>
      </c>
      <c r="J13700" t="s">
        <v>29538</v>
      </c>
      <c r="L13700" t="s">
        <v>30198</v>
      </c>
      <c r="N13700" t="s">
        <v>30487</v>
      </c>
      <c r="O13700" t="s">
        <v>30498</v>
      </c>
      <c r="P13700" t="s">
        <v>30559</v>
      </c>
      <c r="R13700" s="26" t="str">
        <f t="shared" si="44"/>
        <v>Cardiovirus saffoldi</v>
      </c>
      <c r="S13700" t="s">
        <v>8141</v>
      </c>
      <c r="T13700" t="s">
        <v>30607</v>
      </c>
      <c r="U13700" t="s">
        <v>30608</v>
      </c>
      <c r="V13700" t="s">
        <v>30609</v>
      </c>
      <c r="W13700" t="s">
        <v>49646</v>
      </c>
      <c r="X13700" t="s">
        <v>42</v>
      </c>
      <c r="Y13700" t="s">
        <v>17171</v>
      </c>
      <c r="Z13700" t="s">
        <v>166</v>
      </c>
      <c r="AA13700" s="22" t="str">
        <f>HYPERLINK("https://www.ncbi.nlm.nih.gov/nuccore/FJ463615","NCBI Nucleotide")</f>
        <v>NCBI Nucleotide</v>
      </c>
    </row>
    <row r="13701" spans="1:27" x14ac:dyDescent="0.35">
      <c r="A13701">
        <v>1011432</v>
      </c>
      <c r="B13701">
        <v>12744</v>
      </c>
      <c r="C13701">
        <v>6</v>
      </c>
      <c r="D13701" t="s">
        <v>17166</v>
      </c>
      <c r="F13701" t="s">
        <v>17246</v>
      </c>
      <c r="H13701" t="s">
        <v>28921</v>
      </c>
      <c r="J13701" t="s">
        <v>29538</v>
      </c>
      <c r="L13701" t="s">
        <v>30198</v>
      </c>
      <c r="N13701" t="s">
        <v>30487</v>
      </c>
      <c r="O13701" t="s">
        <v>30498</v>
      </c>
      <c r="P13701" t="s">
        <v>30559</v>
      </c>
      <c r="R13701" s="26" t="str">
        <f t="shared" si="44"/>
        <v>Cardiovirus saffoldi</v>
      </c>
      <c r="S13701" t="s">
        <v>8141</v>
      </c>
      <c r="T13701" t="s">
        <v>30610</v>
      </c>
      <c r="U13701" t="s">
        <v>30611</v>
      </c>
      <c r="V13701" t="s">
        <v>30612</v>
      </c>
      <c r="W13701" t="s">
        <v>49647</v>
      </c>
      <c r="X13701" t="s">
        <v>42</v>
      </c>
      <c r="Y13701" t="s">
        <v>17171</v>
      </c>
      <c r="Z13701" t="s">
        <v>166</v>
      </c>
      <c r="AA13701" s="22" t="str">
        <f>HYPERLINK("https://www.ncbi.nlm.nih.gov/nuccore/FJ463617","NCBI Nucleotide")</f>
        <v>NCBI Nucleotide</v>
      </c>
    </row>
    <row r="13702" spans="1:27" x14ac:dyDescent="0.35">
      <c r="A13702">
        <v>1011433</v>
      </c>
      <c r="B13702">
        <v>12744</v>
      </c>
      <c r="C13702">
        <v>7</v>
      </c>
      <c r="D13702" t="s">
        <v>17166</v>
      </c>
      <c r="F13702" t="s">
        <v>17246</v>
      </c>
      <c r="H13702" t="s">
        <v>28921</v>
      </c>
      <c r="J13702" t="s">
        <v>29538</v>
      </c>
      <c r="L13702" t="s">
        <v>30198</v>
      </c>
      <c r="N13702" t="s">
        <v>30487</v>
      </c>
      <c r="O13702" t="s">
        <v>30498</v>
      </c>
      <c r="P13702" t="s">
        <v>30559</v>
      </c>
      <c r="R13702" s="26" t="str">
        <f t="shared" si="44"/>
        <v>Cardiovirus saffoldi</v>
      </c>
      <c r="S13702" t="s">
        <v>8141</v>
      </c>
      <c r="T13702" t="s">
        <v>30613</v>
      </c>
      <c r="U13702" t="s">
        <v>30614</v>
      </c>
      <c r="V13702" t="s">
        <v>30615</v>
      </c>
      <c r="W13702" t="s">
        <v>49648</v>
      </c>
      <c r="X13702" t="s">
        <v>42</v>
      </c>
      <c r="Y13702" t="s">
        <v>17171</v>
      </c>
      <c r="Z13702" t="s">
        <v>166</v>
      </c>
      <c r="AA13702" s="22" t="str">
        <f>HYPERLINK("https://www.ncbi.nlm.nih.gov/nuccore/AB747254","NCBI Nucleotide")</f>
        <v>NCBI Nucleotide</v>
      </c>
    </row>
    <row r="13703" spans="1:27" x14ac:dyDescent="0.35">
      <c r="A13703">
        <v>1011434</v>
      </c>
      <c r="B13703">
        <v>12744</v>
      </c>
      <c r="C13703">
        <v>8</v>
      </c>
      <c r="D13703" t="s">
        <v>17166</v>
      </c>
      <c r="F13703" t="s">
        <v>17246</v>
      </c>
      <c r="H13703" t="s">
        <v>28921</v>
      </c>
      <c r="J13703" t="s">
        <v>29538</v>
      </c>
      <c r="L13703" t="s">
        <v>30198</v>
      </c>
      <c r="N13703" t="s">
        <v>30487</v>
      </c>
      <c r="O13703" t="s">
        <v>30498</v>
      </c>
      <c r="P13703" t="s">
        <v>30559</v>
      </c>
      <c r="R13703" s="26" t="str">
        <f t="shared" si="44"/>
        <v>Cardiovirus saffoldi</v>
      </c>
      <c r="S13703" t="s">
        <v>8141</v>
      </c>
      <c r="T13703" t="s">
        <v>30616</v>
      </c>
      <c r="U13703" t="s">
        <v>30617</v>
      </c>
      <c r="V13703" t="s">
        <v>30618</v>
      </c>
      <c r="W13703" t="s">
        <v>49649</v>
      </c>
      <c r="X13703" t="s">
        <v>42</v>
      </c>
      <c r="Y13703" t="s">
        <v>17171</v>
      </c>
      <c r="Z13703" t="s">
        <v>166</v>
      </c>
      <c r="AA13703" s="22" t="str">
        <f>HYPERLINK("https://www.ncbi.nlm.nih.gov/nuccore/AB747255","NCBI Nucleotide")</f>
        <v>NCBI Nucleotide</v>
      </c>
    </row>
    <row r="13704" spans="1:27" x14ac:dyDescent="0.35">
      <c r="A13704">
        <v>1011435</v>
      </c>
      <c r="B13704">
        <v>12744</v>
      </c>
      <c r="C13704">
        <v>9</v>
      </c>
      <c r="D13704" t="s">
        <v>17166</v>
      </c>
      <c r="F13704" t="s">
        <v>17246</v>
      </c>
      <c r="H13704" t="s">
        <v>28921</v>
      </c>
      <c r="J13704" t="s">
        <v>29538</v>
      </c>
      <c r="L13704" t="s">
        <v>30198</v>
      </c>
      <c r="N13704" t="s">
        <v>30487</v>
      </c>
      <c r="O13704" t="s">
        <v>30498</v>
      </c>
      <c r="P13704" t="s">
        <v>30559</v>
      </c>
      <c r="R13704" s="26" t="str">
        <f t="shared" si="44"/>
        <v>Cardiovirus saffoldi</v>
      </c>
      <c r="S13704" t="s">
        <v>8141</v>
      </c>
      <c r="T13704" t="s">
        <v>30619</v>
      </c>
      <c r="U13704" t="s">
        <v>30620</v>
      </c>
      <c r="V13704" t="s">
        <v>30621</v>
      </c>
      <c r="W13704" t="s">
        <v>49650</v>
      </c>
      <c r="X13704" t="s">
        <v>42</v>
      </c>
      <c r="Y13704" t="s">
        <v>17171</v>
      </c>
      <c r="Z13704" t="s">
        <v>166</v>
      </c>
      <c r="AA13704" s="22" t="str">
        <f>HYPERLINK("https://www.ncbi.nlm.nih.gov/nuccore/AB747256","NCBI Nucleotide")</f>
        <v>NCBI Nucleotide</v>
      </c>
    </row>
    <row r="13705" spans="1:27" x14ac:dyDescent="0.35">
      <c r="A13705">
        <v>1011436</v>
      </c>
      <c r="B13705">
        <v>12744</v>
      </c>
      <c r="C13705">
        <v>10</v>
      </c>
      <c r="D13705" t="s">
        <v>17166</v>
      </c>
      <c r="F13705" t="s">
        <v>17246</v>
      </c>
      <c r="H13705" t="s">
        <v>28921</v>
      </c>
      <c r="J13705" t="s">
        <v>29538</v>
      </c>
      <c r="L13705" t="s">
        <v>30198</v>
      </c>
      <c r="N13705" t="s">
        <v>30487</v>
      </c>
      <c r="O13705" t="s">
        <v>30498</v>
      </c>
      <c r="P13705" t="s">
        <v>30559</v>
      </c>
      <c r="R13705" s="26" t="str">
        <f t="shared" si="44"/>
        <v>Cardiovirus saffoldi</v>
      </c>
      <c r="S13705" t="s">
        <v>8141</v>
      </c>
      <c r="T13705" t="s">
        <v>30622</v>
      </c>
      <c r="U13705" t="s">
        <v>30623</v>
      </c>
      <c r="V13705" t="s">
        <v>30624</v>
      </c>
      <c r="W13705" t="s">
        <v>49651</v>
      </c>
      <c r="X13705" t="s">
        <v>42</v>
      </c>
      <c r="Y13705" t="s">
        <v>17171</v>
      </c>
      <c r="Z13705" t="s">
        <v>166</v>
      </c>
      <c r="AA13705" s="22" t="str">
        <f>HYPERLINK("https://www.ncbi.nlm.nih.gov/nuccore/AB747257","NCBI Nucleotide")</f>
        <v>NCBI Nucleotide</v>
      </c>
    </row>
    <row r="13706" spans="1:27" x14ac:dyDescent="0.35">
      <c r="A13706">
        <v>1011437</v>
      </c>
      <c r="B13706">
        <v>12744</v>
      </c>
      <c r="C13706">
        <v>11</v>
      </c>
      <c r="D13706" t="s">
        <v>17166</v>
      </c>
      <c r="F13706" t="s">
        <v>17246</v>
      </c>
      <c r="H13706" t="s">
        <v>28921</v>
      </c>
      <c r="J13706" t="s">
        <v>29538</v>
      </c>
      <c r="L13706" t="s">
        <v>30198</v>
      </c>
      <c r="N13706" t="s">
        <v>30487</v>
      </c>
      <c r="O13706" t="s">
        <v>30498</v>
      </c>
      <c r="P13706" t="s">
        <v>30559</v>
      </c>
      <c r="R13706" s="26" t="str">
        <f t="shared" si="44"/>
        <v>Cardiovirus saffoldi</v>
      </c>
      <c r="S13706" t="s">
        <v>8141</v>
      </c>
      <c r="T13706" t="s">
        <v>30625</v>
      </c>
      <c r="U13706" t="s">
        <v>30626</v>
      </c>
      <c r="V13706" t="s">
        <v>30627</v>
      </c>
      <c r="W13706" t="s">
        <v>49652</v>
      </c>
      <c r="X13706" t="s">
        <v>42</v>
      </c>
      <c r="Y13706" t="s">
        <v>17171</v>
      </c>
      <c r="Z13706" t="s">
        <v>166</v>
      </c>
      <c r="AA13706" s="22" t="str">
        <f>HYPERLINK("https://www.ncbi.nlm.nih.gov/nuccore/AB747258","NCBI Nucleotide")</f>
        <v>NCBI Nucleotide</v>
      </c>
    </row>
    <row r="13707" spans="1:27" x14ac:dyDescent="0.35">
      <c r="A13707">
        <v>1001792</v>
      </c>
      <c r="B13707">
        <v>12745</v>
      </c>
      <c r="C13707">
        <v>1</v>
      </c>
      <c r="D13707" t="s">
        <v>17166</v>
      </c>
      <c r="F13707" t="s">
        <v>17246</v>
      </c>
      <c r="H13707" t="s">
        <v>28921</v>
      </c>
      <c r="J13707" t="s">
        <v>29538</v>
      </c>
      <c r="L13707" t="s">
        <v>30198</v>
      </c>
      <c r="N13707" t="s">
        <v>30487</v>
      </c>
      <c r="O13707" t="s">
        <v>30498</v>
      </c>
      <c r="P13707" t="s">
        <v>30559</v>
      </c>
      <c r="R13707" s="26" t="str">
        <f t="shared" ref="R13707:R13713" si="45">HYPERLINK("https://ictv.global/taxonomy/taxondetails?taxnode_id=202301972","Cardiovirus theileri")</f>
        <v>Cardiovirus theileri</v>
      </c>
      <c r="S13707" t="s">
        <v>30</v>
      </c>
      <c r="T13707" t="s">
        <v>30567</v>
      </c>
      <c r="U13707" t="s">
        <v>30568</v>
      </c>
      <c r="V13707" t="s">
        <v>30569</v>
      </c>
      <c r="W13707" t="s">
        <v>30570</v>
      </c>
      <c r="X13707" t="s">
        <v>42</v>
      </c>
      <c r="Y13707" t="s">
        <v>17171</v>
      </c>
      <c r="Z13707" t="s">
        <v>166</v>
      </c>
      <c r="AA13707" s="22" t="str">
        <f>HYPERLINK("https://www.ncbi.nlm.nih.gov/nuccore/X56019","NCBI Nucleotide")</f>
        <v>NCBI Nucleotide</v>
      </c>
    </row>
    <row r="13708" spans="1:27" x14ac:dyDescent="0.35">
      <c r="A13708">
        <v>1011420</v>
      </c>
      <c r="B13708">
        <v>12745</v>
      </c>
      <c r="C13708">
        <v>2</v>
      </c>
      <c r="D13708" t="s">
        <v>17166</v>
      </c>
      <c r="F13708" t="s">
        <v>17246</v>
      </c>
      <c r="H13708" t="s">
        <v>28921</v>
      </c>
      <c r="J13708" t="s">
        <v>29538</v>
      </c>
      <c r="L13708" t="s">
        <v>30198</v>
      </c>
      <c r="N13708" t="s">
        <v>30487</v>
      </c>
      <c r="O13708" t="s">
        <v>30498</v>
      </c>
      <c r="P13708" t="s">
        <v>30559</v>
      </c>
      <c r="R13708" s="26" t="str">
        <f t="shared" si="45"/>
        <v>Cardiovirus theileri</v>
      </c>
      <c r="S13708" t="s">
        <v>8141</v>
      </c>
      <c r="T13708" t="s">
        <v>30567</v>
      </c>
      <c r="U13708" t="s">
        <v>30568</v>
      </c>
      <c r="V13708" t="s">
        <v>30571</v>
      </c>
      <c r="W13708" t="s">
        <v>49653</v>
      </c>
      <c r="X13708" t="s">
        <v>42</v>
      </c>
      <c r="Y13708" t="s">
        <v>17171</v>
      </c>
      <c r="Z13708" t="s">
        <v>166</v>
      </c>
      <c r="AA13708" s="22" t="str">
        <f>HYPERLINK("https://www.ncbi.nlm.nih.gov/nuccore/JX443418","NCBI Nucleotide")</f>
        <v>NCBI Nucleotide</v>
      </c>
    </row>
    <row r="13709" spans="1:27" x14ac:dyDescent="0.35">
      <c r="A13709">
        <v>1011421</v>
      </c>
      <c r="B13709">
        <v>12745</v>
      </c>
      <c r="C13709">
        <v>3</v>
      </c>
      <c r="D13709" t="s">
        <v>17166</v>
      </c>
      <c r="F13709" t="s">
        <v>17246</v>
      </c>
      <c r="H13709" t="s">
        <v>28921</v>
      </c>
      <c r="J13709" t="s">
        <v>29538</v>
      </c>
      <c r="L13709" t="s">
        <v>30198</v>
      </c>
      <c r="N13709" t="s">
        <v>30487</v>
      </c>
      <c r="O13709" t="s">
        <v>30498</v>
      </c>
      <c r="P13709" t="s">
        <v>30559</v>
      </c>
      <c r="R13709" s="26" t="str">
        <f t="shared" si="45"/>
        <v>Cardiovirus theileri</v>
      </c>
      <c r="S13709" t="s">
        <v>8141</v>
      </c>
      <c r="T13709" t="s">
        <v>30567</v>
      </c>
      <c r="U13709" t="s">
        <v>30568</v>
      </c>
      <c r="V13709" t="s">
        <v>30572</v>
      </c>
      <c r="W13709" t="s">
        <v>49654</v>
      </c>
      <c r="X13709" t="s">
        <v>42</v>
      </c>
      <c r="Y13709" t="s">
        <v>17171</v>
      </c>
      <c r="Z13709" t="s">
        <v>166</v>
      </c>
      <c r="AA13709" s="22" t="str">
        <f>HYPERLINK("https://www.ncbi.nlm.nih.gov/nuccore/M16020","NCBI Nucleotide")</f>
        <v>NCBI Nucleotide</v>
      </c>
    </row>
    <row r="13710" spans="1:27" x14ac:dyDescent="0.35">
      <c r="A13710">
        <v>1011422</v>
      </c>
      <c r="B13710">
        <v>12745</v>
      </c>
      <c r="C13710">
        <v>4</v>
      </c>
      <c r="D13710" t="s">
        <v>17166</v>
      </c>
      <c r="F13710" t="s">
        <v>17246</v>
      </c>
      <c r="H13710" t="s">
        <v>28921</v>
      </c>
      <c r="J13710" t="s">
        <v>29538</v>
      </c>
      <c r="L13710" t="s">
        <v>30198</v>
      </c>
      <c r="N13710" t="s">
        <v>30487</v>
      </c>
      <c r="O13710" t="s">
        <v>30498</v>
      </c>
      <c r="P13710" t="s">
        <v>30559</v>
      </c>
      <c r="R13710" s="26" t="str">
        <f t="shared" si="45"/>
        <v>Cardiovirus theileri</v>
      </c>
      <c r="S13710" t="s">
        <v>8141</v>
      </c>
      <c r="T13710" t="s">
        <v>30573</v>
      </c>
      <c r="U13710" t="s">
        <v>30574</v>
      </c>
      <c r="V13710" t="s">
        <v>30575</v>
      </c>
      <c r="W13710" t="s">
        <v>49655</v>
      </c>
      <c r="X13710" t="s">
        <v>154</v>
      </c>
      <c r="Y13710" t="s">
        <v>17171</v>
      </c>
      <c r="Z13710" t="s">
        <v>166</v>
      </c>
      <c r="AA13710" s="22" t="str">
        <f>HYPERLINK("https://www.ncbi.nlm.nih.gov/nuccore/M80888,M94868,EU723237","NCBI Nucleotide")</f>
        <v>NCBI Nucleotide</v>
      </c>
    </row>
    <row r="13711" spans="1:27" x14ac:dyDescent="0.35">
      <c r="A13711">
        <v>1011423</v>
      </c>
      <c r="B13711">
        <v>12745</v>
      </c>
      <c r="C13711">
        <v>5</v>
      </c>
      <c r="D13711" t="s">
        <v>17166</v>
      </c>
      <c r="F13711" t="s">
        <v>17246</v>
      </c>
      <c r="H13711" t="s">
        <v>28921</v>
      </c>
      <c r="J13711" t="s">
        <v>29538</v>
      </c>
      <c r="L13711" t="s">
        <v>30198</v>
      </c>
      <c r="N13711" t="s">
        <v>30487</v>
      </c>
      <c r="O13711" t="s">
        <v>30498</v>
      </c>
      <c r="P13711" t="s">
        <v>30559</v>
      </c>
      <c r="R13711" s="26" t="str">
        <f t="shared" si="45"/>
        <v>Cardiovirus theileri</v>
      </c>
      <c r="S13711" t="s">
        <v>8141</v>
      </c>
      <c r="T13711" t="s">
        <v>30576</v>
      </c>
      <c r="U13711" t="s">
        <v>30577</v>
      </c>
      <c r="V13711" t="s">
        <v>30578</v>
      </c>
      <c r="W13711" t="s">
        <v>49656</v>
      </c>
      <c r="X13711" t="s">
        <v>42</v>
      </c>
      <c r="Y13711" t="s">
        <v>17171</v>
      </c>
      <c r="Z13711" t="s">
        <v>166</v>
      </c>
      <c r="AA13711" s="22" t="str">
        <f>HYPERLINK("https://www.ncbi.nlm.nih.gov/nuccore/MF172923","NCBI Nucleotide")</f>
        <v>NCBI Nucleotide</v>
      </c>
    </row>
    <row r="13712" spans="1:27" x14ac:dyDescent="0.35">
      <c r="A13712">
        <v>1011424</v>
      </c>
      <c r="B13712">
        <v>12745</v>
      </c>
      <c r="C13712">
        <v>6</v>
      </c>
      <c r="D13712" t="s">
        <v>17166</v>
      </c>
      <c r="F13712" t="s">
        <v>17246</v>
      </c>
      <c r="H13712" t="s">
        <v>28921</v>
      </c>
      <c r="J13712" t="s">
        <v>29538</v>
      </c>
      <c r="L13712" t="s">
        <v>30198</v>
      </c>
      <c r="N13712" t="s">
        <v>30487</v>
      </c>
      <c r="O13712" t="s">
        <v>30498</v>
      </c>
      <c r="P13712" t="s">
        <v>30559</v>
      </c>
      <c r="R13712" s="26" t="str">
        <f t="shared" si="45"/>
        <v>Cardiovirus theileri</v>
      </c>
      <c r="S13712" t="s">
        <v>8141</v>
      </c>
      <c r="T13712" t="s">
        <v>30579</v>
      </c>
      <c r="U13712" t="s">
        <v>19022</v>
      </c>
      <c r="V13712" t="s">
        <v>30580</v>
      </c>
      <c r="W13712" t="s">
        <v>49657</v>
      </c>
      <c r="X13712" t="s">
        <v>42</v>
      </c>
      <c r="Y13712" t="s">
        <v>17171</v>
      </c>
      <c r="Z13712" t="s">
        <v>166</v>
      </c>
      <c r="AA13712" s="22" t="str">
        <f>HYPERLINK("https://www.ncbi.nlm.nih.gov/nuccore/AB090161","NCBI Nucleotide")</f>
        <v>NCBI Nucleotide</v>
      </c>
    </row>
    <row r="13713" spans="1:27" x14ac:dyDescent="0.35">
      <c r="A13713">
        <v>1011425</v>
      </c>
      <c r="B13713">
        <v>12745</v>
      </c>
      <c r="C13713">
        <v>7</v>
      </c>
      <c r="D13713" t="s">
        <v>17166</v>
      </c>
      <c r="F13713" t="s">
        <v>17246</v>
      </c>
      <c r="H13713" t="s">
        <v>28921</v>
      </c>
      <c r="J13713" t="s">
        <v>29538</v>
      </c>
      <c r="L13713" t="s">
        <v>30198</v>
      </c>
      <c r="N13713" t="s">
        <v>30487</v>
      </c>
      <c r="O13713" t="s">
        <v>30498</v>
      </c>
      <c r="P13713" t="s">
        <v>30559</v>
      </c>
      <c r="R13713" s="26" t="str">
        <f t="shared" si="45"/>
        <v>Cardiovirus theileri</v>
      </c>
      <c r="S13713" t="s">
        <v>8141</v>
      </c>
      <c r="T13713" t="s">
        <v>30581</v>
      </c>
      <c r="U13713" t="s">
        <v>30582</v>
      </c>
      <c r="V13713" t="s">
        <v>30583</v>
      </c>
      <c r="W13713" t="s">
        <v>49658</v>
      </c>
      <c r="X13713" t="s">
        <v>42</v>
      </c>
      <c r="Y13713" t="s">
        <v>17171</v>
      </c>
      <c r="Z13713" t="s">
        <v>166</v>
      </c>
      <c r="AA13713" s="22" t="str">
        <f>HYPERLINK("https://www.ncbi.nlm.nih.gov/nuccore/MF416403","NCBI Nucleotide")</f>
        <v>NCBI Nucleotide</v>
      </c>
    </row>
    <row r="13714" spans="1:27" x14ac:dyDescent="0.35">
      <c r="A13714">
        <v>1001797</v>
      </c>
      <c r="B13714">
        <v>12746</v>
      </c>
      <c r="C13714">
        <v>1</v>
      </c>
      <c r="D13714" t="s">
        <v>17166</v>
      </c>
      <c r="F13714" t="s">
        <v>17246</v>
      </c>
      <c r="H13714" t="s">
        <v>28921</v>
      </c>
      <c r="J13714" t="s">
        <v>29538</v>
      </c>
      <c r="L13714" t="s">
        <v>30198</v>
      </c>
      <c r="N13714" t="s">
        <v>30487</v>
      </c>
      <c r="O13714" t="s">
        <v>30498</v>
      </c>
      <c r="P13714" t="s">
        <v>30636</v>
      </c>
      <c r="R13714" s="26" t="str">
        <f t="shared" ref="R13714:R13737" si="46">HYPERLINK("https://ictv.global/taxonomy/taxondetails?taxnode_id=202301975","Cosavirus asiani")</f>
        <v>Cosavirus asiani</v>
      </c>
      <c r="S13714" t="s">
        <v>30</v>
      </c>
      <c r="T13714" t="s">
        <v>30637</v>
      </c>
      <c r="U13714" t="s">
        <v>30638</v>
      </c>
      <c r="V13714">
        <v>553</v>
      </c>
      <c r="W13714" t="s">
        <v>30639</v>
      </c>
      <c r="X13714" t="s">
        <v>42</v>
      </c>
      <c r="Y13714" t="s">
        <v>17171</v>
      </c>
      <c r="Z13714" t="s">
        <v>166</v>
      </c>
      <c r="AA13714" s="22" t="str">
        <f>HYPERLINK("https://www.ncbi.nlm.nih.gov/nuccore/FJ438902","NCBI Nucleotide")</f>
        <v>NCBI Nucleotide</v>
      </c>
    </row>
    <row r="13715" spans="1:27" x14ac:dyDescent="0.35">
      <c r="A13715">
        <v>1011438</v>
      </c>
      <c r="B13715">
        <v>12746</v>
      </c>
      <c r="C13715">
        <v>2</v>
      </c>
      <c r="D13715" t="s">
        <v>17166</v>
      </c>
      <c r="F13715" t="s">
        <v>17246</v>
      </c>
      <c r="H13715" t="s">
        <v>28921</v>
      </c>
      <c r="J13715" t="s">
        <v>29538</v>
      </c>
      <c r="L13715" t="s">
        <v>30198</v>
      </c>
      <c r="N13715" t="s">
        <v>30487</v>
      </c>
      <c r="O13715" t="s">
        <v>30498</v>
      </c>
      <c r="P13715" t="s">
        <v>30636</v>
      </c>
      <c r="R13715" s="26" t="str">
        <f t="shared" si="46"/>
        <v>Cosavirus asiani</v>
      </c>
      <c r="S13715" t="s">
        <v>8141</v>
      </c>
      <c r="T13715" t="s">
        <v>30640</v>
      </c>
      <c r="U13715" t="s">
        <v>30641</v>
      </c>
      <c r="V13715" t="s">
        <v>30642</v>
      </c>
      <c r="W13715" t="s">
        <v>49659</v>
      </c>
      <c r="X13715" t="s">
        <v>35</v>
      </c>
      <c r="Y13715" t="s">
        <v>17171</v>
      </c>
      <c r="Z13715" t="s">
        <v>166</v>
      </c>
      <c r="AA13715" s="22" t="str">
        <f>HYPERLINK("https://www.ncbi.nlm.nih.gov/nuccore/FJ438903","NCBI Nucleotide")</f>
        <v>NCBI Nucleotide</v>
      </c>
    </row>
    <row r="13716" spans="1:27" x14ac:dyDescent="0.35">
      <c r="A13716">
        <v>1011439</v>
      </c>
      <c r="B13716">
        <v>12746</v>
      </c>
      <c r="C13716">
        <v>3</v>
      </c>
      <c r="D13716" t="s">
        <v>17166</v>
      </c>
      <c r="F13716" t="s">
        <v>17246</v>
      </c>
      <c r="H13716" t="s">
        <v>28921</v>
      </c>
      <c r="J13716" t="s">
        <v>29538</v>
      </c>
      <c r="L13716" t="s">
        <v>30198</v>
      </c>
      <c r="N13716" t="s">
        <v>30487</v>
      </c>
      <c r="O13716" t="s">
        <v>30498</v>
      </c>
      <c r="P13716" t="s">
        <v>30636</v>
      </c>
      <c r="R13716" s="26" t="str">
        <f t="shared" si="46"/>
        <v>Cosavirus asiani</v>
      </c>
      <c r="S13716" t="s">
        <v>8141</v>
      </c>
      <c r="T13716" t="s">
        <v>30643</v>
      </c>
      <c r="U13716" t="s">
        <v>30644</v>
      </c>
      <c r="V13716" t="s">
        <v>30645</v>
      </c>
      <c r="W13716" t="s">
        <v>49660</v>
      </c>
      <c r="X13716" t="s">
        <v>154</v>
      </c>
      <c r="Y13716" t="s">
        <v>17171</v>
      </c>
      <c r="Z13716" t="s">
        <v>166</v>
      </c>
      <c r="AA13716" s="22" t="str">
        <f>HYPERLINK("https://www.ncbi.nlm.nih.gov/nuccore/FJ438904","NCBI Nucleotide")</f>
        <v>NCBI Nucleotide</v>
      </c>
    </row>
    <row r="13717" spans="1:27" x14ac:dyDescent="0.35">
      <c r="A13717">
        <v>1011440</v>
      </c>
      <c r="B13717">
        <v>12746</v>
      </c>
      <c r="C13717">
        <v>4</v>
      </c>
      <c r="D13717" t="s">
        <v>17166</v>
      </c>
      <c r="F13717" t="s">
        <v>17246</v>
      </c>
      <c r="H13717" t="s">
        <v>28921</v>
      </c>
      <c r="J13717" t="s">
        <v>29538</v>
      </c>
      <c r="L13717" t="s">
        <v>30198</v>
      </c>
      <c r="N13717" t="s">
        <v>30487</v>
      </c>
      <c r="O13717" t="s">
        <v>30498</v>
      </c>
      <c r="P13717" t="s">
        <v>30636</v>
      </c>
      <c r="R13717" s="26" t="str">
        <f t="shared" si="46"/>
        <v>Cosavirus asiani</v>
      </c>
      <c r="S13717" t="s">
        <v>8141</v>
      </c>
      <c r="T13717" t="s">
        <v>30646</v>
      </c>
      <c r="U13717" t="s">
        <v>30647</v>
      </c>
      <c r="V13717" t="s">
        <v>30648</v>
      </c>
      <c r="W13717" t="s">
        <v>49661</v>
      </c>
      <c r="X13717" t="s">
        <v>154</v>
      </c>
      <c r="Y13717" t="s">
        <v>17171</v>
      </c>
      <c r="Z13717" t="s">
        <v>166</v>
      </c>
      <c r="AA13717" s="22" t="str">
        <f>HYPERLINK("https://www.ncbi.nlm.nih.gov/nuccore/FJ438905,FJ438906","NCBI Nucleotide")</f>
        <v>NCBI Nucleotide</v>
      </c>
    </row>
    <row r="13718" spans="1:27" x14ac:dyDescent="0.35">
      <c r="A13718">
        <v>1011441</v>
      </c>
      <c r="B13718">
        <v>12746</v>
      </c>
      <c r="C13718">
        <v>5</v>
      </c>
      <c r="D13718" t="s">
        <v>17166</v>
      </c>
      <c r="F13718" t="s">
        <v>17246</v>
      </c>
      <c r="H13718" t="s">
        <v>28921</v>
      </c>
      <c r="J13718" t="s">
        <v>29538</v>
      </c>
      <c r="L13718" t="s">
        <v>30198</v>
      </c>
      <c r="N13718" t="s">
        <v>30487</v>
      </c>
      <c r="O13718" t="s">
        <v>30498</v>
      </c>
      <c r="P13718" t="s">
        <v>30636</v>
      </c>
      <c r="R13718" s="26" t="str">
        <f t="shared" si="46"/>
        <v>Cosavirus asiani</v>
      </c>
      <c r="S13718" t="s">
        <v>8141</v>
      </c>
      <c r="T13718" t="s">
        <v>30649</v>
      </c>
      <c r="U13718" t="s">
        <v>30650</v>
      </c>
      <c r="V13718" t="s">
        <v>30651</v>
      </c>
      <c r="W13718" t="s">
        <v>49662</v>
      </c>
      <c r="X13718" t="s">
        <v>154</v>
      </c>
      <c r="Y13718" t="s">
        <v>17171</v>
      </c>
      <c r="Z13718" t="s">
        <v>166</v>
      </c>
      <c r="AA13718" s="22" t="str">
        <f>HYPERLINK("https://www.ncbi.nlm.nih.gov/nuccore/JN867771","NCBI Nucleotide")</f>
        <v>NCBI Nucleotide</v>
      </c>
    </row>
    <row r="13719" spans="1:27" x14ac:dyDescent="0.35">
      <c r="A13719">
        <v>1011442</v>
      </c>
      <c r="B13719">
        <v>12746</v>
      </c>
      <c r="C13719">
        <v>6</v>
      </c>
      <c r="D13719" t="s">
        <v>17166</v>
      </c>
      <c r="F13719" t="s">
        <v>17246</v>
      </c>
      <c r="H13719" t="s">
        <v>28921</v>
      </c>
      <c r="J13719" t="s">
        <v>29538</v>
      </c>
      <c r="L13719" t="s">
        <v>30198</v>
      </c>
      <c r="N13719" t="s">
        <v>30487</v>
      </c>
      <c r="O13719" t="s">
        <v>30498</v>
      </c>
      <c r="P13719" t="s">
        <v>30636</v>
      </c>
      <c r="R13719" s="26" t="str">
        <f t="shared" si="46"/>
        <v>Cosavirus asiani</v>
      </c>
      <c r="S13719" t="s">
        <v>8141</v>
      </c>
      <c r="T13719" t="s">
        <v>30652</v>
      </c>
      <c r="U13719" t="s">
        <v>30653</v>
      </c>
      <c r="V13719" t="s">
        <v>30654</v>
      </c>
      <c r="W13719" t="s">
        <v>49663</v>
      </c>
      <c r="X13719" t="s">
        <v>154</v>
      </c>
      <c r="Y13719" t="s">
        <v>17171</v>
      </c>
      <c r="Z13719" t="s">
        <v>166</v>
      </c>
      <c r="AA13719" s="22" t="str">
        <f>HYPERLINK("https://www.ncbi.nlm.nih.gov/nuccore/JN867790","NCBI Nucleotide")</f>
        <v>NCBI Nucleotide</v>
      </c>
    </row>
    <row r="13720" spans="1:27" x14ac:dyDescent="0.35">
      <c r="A13720">
        <v>1011443</v>
      </c>
      <c r="B13720">
        <v>12746</v>
      </c>
      <c r="C13720">
        <v>7</v>
      </c>
      <c r="D13720" t="s">
        <v>17166</v>
      </c>
      <c r="F13720" t="s">
        <v>17246</v>
      </c>
      <c r="H13720" t="s">
        <v>28921</v>
      </c>
      <c r="J13720" t="s">
        <v>29538</v>
      </c>
      <c r="L13720" t="s">
        <v>30198</v>
      </c>
      <c r="N13720" t="s">
        <v>30487</v>
      </c>
      <c r="O13720" t="s">
        <v>30498</v>
      </c>
      <c r="P13720" t="s">
        <v>30636</v>
      </c>
      <c r="R13720" s="26" t="str">
        <f t="shared" si="46"/>
        <v>Cosavirus asiani</v>
      </c>
      <c r="S13720" t="s">
        <v>8141</v>
      </c>
      <c r="T13720" t="s">
        <v>30655</v>
      </c>
      <c r="U13720" t="s">
        <v>30656</v>
      </c>
      <c r="V13720" t="s">
        <v>30657</v>
      </c>
      <c r="W13720" t="s">
        <v>49664</v>
      </c>
      <c r="X13720" t="s">
        <v>154</v>
      </c>
      <c r="Y13720" t="s">
        <v>17171</v>
      </c>
      <c r="Z13720" t="s">
        <v>166</v>
      </c>
      <c r="AA13720" s="22" t="str">
        <f>HYPERLINK("https://www.ncbi.nlm.nih.gov/nuccore/JN867768","NCBI Nucleotide")</f>
        <v>NCBI Nucleotide</v>
      </c>
    </row>
    <row r="13721" spans="1:27" x14ac:dyDescent="0.35">
      <c r="A13721">
        <v>1011444</v>
      </c>
      <c r="B13721">
        <v>12746</v>
      </c>
      <c r="C13721">
        <v>8</v>
      </c>
      <c r="D13721" t="s">
        <v>17166</v>
      </c>
      <c r="F13721" t="s">
        <v>17246</v>
      </c>
      <c r="H13721" t="s">
        <v>28921</v>
      </c>
      <c r="J13721" t="s">
        <v>29538</v>
      </c>
      <c r="L13721" t="s">
        <v>30198</v>
      </c>
      <c r="N13721" t="s">
        <v>30487</v>
      </c>
      <c r="O13721" t="s">
        <v>30498</v>
      </c>
      <c r="P13721" t="s">
        <v>30636</v>
      </c>
      <c r="R13721" s="26" t="str">
        <f t="shared" si="46"/>
        <v>Cosavirus asiani</v>
      </c>
      <c r="S13721" t="s">
        <v>8141</v>
      </c>
      <c r="T13721" t="s">
        <v>30658</v>
      </c>
      <c r="U13721" t="s">
        <v>30659</v>
      </c>
      <c r="V13721" t="s">
        <v>30660</v>
      </c>
      <c r="W13721" t="s">
        <v>49665</v>
      </c>
      <c r="X13721" t="s">
        <v>154</v>
      </c>
      <c r="Y13721" t="s">
        <v>17171</v>
      </c>
      <c r="Z13721" t="s">
        <v>166</v>
      </c>
      <c r="AA13721" s="22" t="str">
        <f>HYPERLINK("https://www.ncbi.nlm.nih.gov/nuccore/JN867776","NCBI Nucleotide")</f>
        <v>NCBI Nucleotide</v>
      </c>
    </row>
    <row r="13722" spans="1:27" x14ac:dyDescent="0.35">
      <c r="A13722">
        <v>1011445</v>
      </c>
      <c r="B13722">
        <v>12746</v>
      </c>
      <c r="C13722">
        <v>9</v>
      </c>
      <c r="D13722" t="s">
        <v>17166</v>
      </c>
      <c r="F13722" t="s">
        <v>17246</v>
      </c>
      <c r="H13722" t="s">
        <v>28921</v>
      </c>
      <c r="J13722" t="s">
        <v>29538</v>
      </c>
      <c r="L13722" t="s">
        <v>30198</v>
      </c>
      <c r="N13722" t="s">
        <v>30487</v>
      </c>
      <c r="O13722" t="s">
        <v>30498</v>
      </c>
      <c r="P13722" t="s">
        <v>30636</v>
      </c>
      <c r="R13722" s="26" t="str">
        <f t="shared" si="46"/>
        <v>Cosavirus asiani</v>
      </c>
      <c r="S13722" t="s">
        <v>8141</v>
      </c>
      <c r="T13722" t="s">
        <v>30661</v>
      </c>
      <c r="U13722" t="s">
        <v>30662</v>
      </c>
      <c r="V13722" t="s">
        <v>30663</v>
      </c>
      <c r="W13722" t="s">
        <v>49666</v>
      </c>
      <c r="X13722" t="s">
        <v>154</v>
      </c>
      <c r="Y13722" t="s">
        <v>17171</v>
      </c>
      <c r="Z13722" t="s">
        <v>166</v>
      </c>
      <c r="AA13722" s="22" t="str">
        <f>HYPERLINK("https://www.ncbi.nlm.nih.gov/nuccore/JN867763","NCBI Nucleotide")</f>
        <v>NCBI Nucleotide</v>
      </c>
    </row>
    <row r="13723" spans="1:27" x14ac:dyDescent="0.35">
      <c r="A13723">
        <v>1011446</v>
      </c>
      <c r="B13723">
        <v>12746</v>
      </c>
      <c r="C13723">
        <v>10</v>
      </c>
      <c r="D13723" t="s">
        <v>17166</v>
      </c>
      <c r="F13723" t="s">
        <v>17246</v>
      </c>
      <c r="H13723" t="s">
        <v>28921</v>
      </c>
      <c r="J13723" t="s">
        <v>29538</v>
      </c>
      <c r="L13723" t="s">
        <v>30198</v>
      </c>
      <c r="N13723" t="s">
        <v>30487</v>
      </c>
      <c r="O13723" t="s">
        <v>30498</v>
      </c>
      <c r="P13723" t="s">
        <v>30636</v>
      </c>
      <c r="R13723" s="26" t="str">
        <f t="shared" si="46"/>
        <v>Cosavirus asiani</v>
      </c>
      <c r="S13723" t="s">
        <v>8141</v>
      </c>
      <c r="T13723" t="s">
        <v>30664</v>
      </c>
      <c r="U13723" t="s">
        <v>30665</v>
      </c>
      <c r="V13723" t="s">
        <v>30666</v>
      </c>
      <c r="W13723" t="s">
        <v>49667</v>
      </c>
      <c r="X13723" t="s">
        <v>154</v>
      </c>
      <c r="Y13723" t="s">
        <v>17171</v>
      </c>
      <c r="Z13723" t="s">
        <v>166</v>
      </c>
      <c r="AA13723" s="22" t="str">
        <f>HYPERLINK("https://www.ncbi.nlm.nih.gov/nuccore/JN867772","NCBI Nucleotide")</f>
        <v>NCBI Nucleotide</v>
      </c>
    </row>
    <row r="13724" spans="1:27" x14ac:dyDescent="0.35">
      <c r="A13724">
        <v>1011447</v>
      </c>
      <c r="B13724">
        <v>12746</v>
      </c>
      <c r="C13724">
        <v>11</v>
      </c>
      <c r="D13724" t="s">
        <v>17166</v>
      </c>
      <c r="F13724" t="s">
        <v>17246</v>
      </c>
      <c r="H13724" t="s">
        <v>28921</v>
      </c>
      <c r="J13724" t="s">
        <v>29538</v>
      </c>
      <c r="L13724" t="s">
        <v>30198</v>
      </c>
      <c r="N13724" t="s">
        <v>30487</v>
      </c>
      <c r="O13724" t="s">
        <v>30498</v>
      </c>
      <c r="P13724" t="s">
        <v>30636</v>
      </c>
      <c r="R13724" s="26" t="str">
        <f t="shared" si="46"/>
        <v>Cosavirus asiani</v>
      </c>
      <c r="S13724" t="s">
        <v>8141</v>
      </c>
      <c r="T13724" t="s">
        <v>30667</v>
      </c>
      <c r="U13724" t="s">
        <v>30668</v>
      </c>
      <c r="V13724" t="s">
        <v>30669</v>
      </c>
      <c r="W13724" t="s">
        <v>49668</v>
      </c>
      <c r="X13724" t="s">
        <v>154</v>
      </c>
      <c r="Y13724" t="s">
        <v>17171</v>
      </c>
      <c r="Z13724" t="s">
        <v>166</v>
      </c>
      <c r="AA13724" s="22" t="str">
        <f>HYPERLINK("https://www.ncbi.nlm.nih.gov/nuccore/JN867760","NCBI Nucleotide")</f>
        <v>NCBI Nucleotide</v>
      </c>
    </row>
    <row r="13725" spans="1:27" x14ac:dyDescent="0.35">
      <c r="A13725">
        <v>1011448</v>
      </c>
      <c r="B13725">
        <v>12746</v>
      </c>
      <c r="C13725">
        <v>12</v>
      </c>
      <c r="D13725" t="s">
        <v>17166</v>
      </c>
      <c r="F13725" t="s">
        <v>17246</v>
      </c>
      <c r="H13725" t="s">
        <v>28921</v>
      </c>
      <c r="J13725" t="s">
        <v>29538</v>
      </c>
      <c r="L13725" t="s">
        <v>30198</v>
      </c>
      <c r="N13725" t="s">
        <v>30487</v>
      </c>
      <c r="O13725" t="s">
        <v>30498</v>
      </c>
      <c r="P13725" t="s">
        <v>30636</v>
      </c>
      <c r="R13725" s="26" t="str">
        <f t="shared" si="46"/>
        <v>Cosavirus asiani</v>
      </c>
      <c r="S13725" t="s">
        <v>8141</v>
      </c>
      <c r="T13725" t="s">
        <v>30670</v>
      </c>
      <c r="U13725" t="s">
        <v>30671</v>
      </c>
      <c r="V13725" t="s">
        <v>30672</v>
      </c>
      <c r="W13725" t="s">
        <v>49669</v>
      </c>
      <c r="X13725" t="s">
        <v>154</v>
      </c>
      <c r="Y13725" t="s">
        <v>17171</v>
      </c>
      <c r="Z13725" t="s">
        <v>166</v>
      </c>
      <c r="AA13725" s="22" t="str">
        <f>HYPERLINK("https://www.ncbi.nlm.nih.gov/nuccore/JN867774","NCBI Nucleotide")</f>
        <v>NCBI Nucleotide</v>
      </c>
    </row>
    <row r="13726" spans="1:27" x14ac:dyDescent="0.35">
      <c r="A13726">
        <v>1011449</v>
      </c>
      <c r="B13726">
        <v>12746</v>
      </c>
      <c r="C13726">
        <v>13</v>
      </c>
      <c r="D13726" t="s">
        <v>17166</v>
      </c>
      <c r="F13726" t="s">
        <v>17246</v>
      </c>
      <c r="H13726" t="s">
        <v>28921</v>
      </c>
      <c r="J13726" t="s">
        <v>29538</v>
      </c>
      <c r="L13726" t="s">
        <v>30198</v>
      </c>
      <c r="N13726" t="s">
        <v>30487</v>
      </c>
      <c r="O13726" t="s">
        <v>30498</v>
      </c>
      <c r="P13726" t="s">
        <v>30636</v>
      </c>
      <c r="R13726" s="26" t="str">
        <f t="shared" si="46"/>
        <v>Cosavirus asiani</v>
      </c>
      <c r="S13726" t="s">
        <v>8141</v>
      </c>
      <c r="T13726" t="s">
        <v>30673</v>
      </c>
      <c r="U13726" t="s">
        <v>30674</v>
      </c>
      <c r="V13726" t="s">
        <v>30675</v>
      </c>
      <c r="W13726" t="s">
        <v>49670</v>
      </c>
      <c r="X13726" t="s">
        <v>154</v>
      </c>
      <c r="Y13726" t="s">
        <v>17171</v>
      </c>
      <c r="Z13726" t="s">
        <v>166</v>
      </c>
      <c r="AA13726" s="22" t="str">
        <f>HYPERLINK("https://www.ncbi.nlm.nih.gov/nuccore/JN867764","NCBI Nucleotide")</f>
        <v>NCBI Nucleotide</v>
      </c>
    </row>
    <row r="13727" spans="1:27" x14ac:dyDescent="0.35">
      <c r="A13727">
        <v>1011450</v>
      </c>
      <c r="B13727">
        <v>12746</v>
      </c>
      <c r="C13727">
        <v>14</v>
      </c>
      <c r="D13727" t="s">
        <v>17166</v>
      </c>
      <c r="F13727" t="s">
        <v>17246</v>
      </c>
      <c r="H13727" t="s">
        <v>28921</v>
      </c>
      <c r="J13727" t="s">
        <v>29538</v>
      </c>
      <c r="L13727" t="s">
        <v>30198</v>
      </c>
      <c r="N13727" t="s">
        <v>30487</v>
      </c>
      <c r="O13727" t="s">
        <v>30498</v>
      </c>
      <c r="P13727" t="s">
        <v>30636</v>
      </c>
      <c r="R13727" s="26" t="str">
        <f t="shared" si="46"/>
        <v>Cosavirus asiani</v>
      </c>
      <c r="S13727" t="s">
        <v>8141</v>
      </c>
      <c r="T13727" t="s">
        <v>30676</v>
      </c>
      <c r="U13727" t="s">
        <v>30677</v>
      </c>
      <c r="V13727" t="s">
        <v>30678</v>
      </c>
      <c r="W13727" t="s">
        <v>49671</v>
      </c>
      <c r="X13727" t="s">
        <v>154</v>
      </c>
      <c r="Y13727" t="s">
        <v>17171</v>
      </c>
      <c r="Z13727" t="s">
        <v>166</v>
      </c>
      <c r="AA13727" s="22" t="str">
        <f>HYPERLINK("https://www.ncbi.nlm.nih.gov/nuccore/JN867773","NCBI Nucleotide")</f>
        <v>NCBI Nucleotide</v>
      </c>
    </row>
    <row r="13728" spans="1:27" x14ac:dyDescent="0.35">
      <c r="A13728">
        <v>1011451</v>
      </c>
      <c r="B13728">
        <v>12746</v>
      </c>
      <c r="C13728">
        <v>15</v>
      </c>
      <c r="D13728" t="s">
        <v>17166</v>
      </c>
      <c r="F13728" t="s">
        <v>17246</v>
      </c>
      <c r="H13728" t="s">
        <v>28921</v>
      </c>
      <c r="J13728" t="s">
        <v>29538</v>
      </c>
      <c r="L13728" t="s">
        <v>30198</v>
      </c>
      <c r="N13728" t="s">
        <v>30487</v>
      </c>
      <c r="O13728" t="s">
        <v>30498</v>
      </c>
      <c r="P13728" t="s">
        <v>30636</v>
      </c>
      <c r="R13728" s="26" t="str">
        <f t="shared" si="46"/>
        <v>Cosavirus asiani</v>
      </c>
      <c r="S13728" t="s">
        <v>8141</v>
      </c>
      <c r="T13728" t="s">
        <v>30679</v>
      </c>
      <c r="U13728" t="s">
        <v>30680</v>
      </c>
      <c r="V13728" t="s">
        <v>30681</v>
      </c>
      <c r="W13728" t="s">
        <v>49672</v>
      </c>
      <c r="X13728" t="s">
        <v>154</v>
      </c>
      <c r="Y13728" t="s">
        <v>17171</v>
      </c>
      <c r="Z13728" t="s">
        <v>166</v>
      </c>
      <c r="AA13728" s="22" t="str">
        <f>HYPERLINK("https://www.ncbi.nlm.nih.gov/nuccore/JN867780","NCBI Nucleotide")</f>
        <v>NCBI Nucleotide</v>
      </c>
    </row>
    <row r="13729" spans="1:27" x14ac:dyDescent="0.35">
      <c r="A13729">
        <v>1011452</v>
      </c>
      <c r="B13729">
        <v>12746</v>
      </c>
      <c r="C13729">
        <v>16</v>
      </c>
      <c r="D13729" t="s">
        <v>17166</v>
      </c>
      <c r="F13729" t="s">
        <v>17246</v>
      </c>
      <c r="H13729" t="s">
        <v>28921</v>
      </c>
      <c r="J13729" t="s">
        <v>29538</v>
      </c>
      <c r="L13729" t="s">
        <v>30198</v>
      </c>
      <c r="N13729" t="s">
        <v>30487</v>
      </c>
      <c r="O13729" t="s">
        <v>30498</v>
      </c>
      <c r="P13729" t="s">
        <v>30636</v>
      </c>
      <c r="R13729" s="26" t="str">
        <f t="shared" si="46"/>
        <v>Cosavirus asiani</v>
      </c>
      <c r="S13729" t="s">
        <v>8141</v>
      </c>
      <c r="T13729" t="s">
        <v>30682</v>
      </c>
      <c r="U13729" t="s">
        <v>30683</v>
      </c>
      <c r="V13729" t="s">
        <v>30684</v>
      </c>
      <c r="W13729" t="s">
        <v>49673</v>
      </c>
      <c r="X13729" t="s">
        <v>154</v>
      </c>
      <c r="Y13729" t="s">
        <v>17171</v>
      </c>
      <c r="Z13729" t="s">
        <v>166</v>
      </c>
      <c r="AA13729" s="22" t="str">
        <f>HYPERLINK("https://www.ncbi.nlm.nih.gov/nuccore/JN867767","NCBI Nucleotide")</f>
        <v>NCBI Nucleotide</v>
      </c>
    </row>
    <row r="13730" spans="1:27" x14ac:dyDescent="0.35">
      <c r="A13730">
        <v>1011453</v>
      </c>
      <c r="B13730">
        <v>12746</v>
      </c>
      <c r="C13730">
        <v>17</v>
      </c>
      <c r="D13730" t="s">
        <v>17166</v>
      </c>
      <c r="F13730" t="s">
        <v>17246</v>
      </c>
      <c r="H13730" t="s">
        <v>28921</v>
      </c>
      <c r="J13730" t="s">
        <v>29538</v>
      </c>
      <c r="L13730" t="s">
        <v>30198</v>
      </c>
      <c r="N13730" t="s">
        <v>30487</v>
      </c>
      <c r="O13730" t="s">
        <v>30498</v>
      </c>
      <c r="P13730" t="s">
        <v>30636</v>
      </c>
      <c r="R13730" s="26" t="str">
        <f t="shared" si="46"/>
        <v>Cosavirus asiani</v>
      </c>
      <c r="S13730" t="s">
        <v>8141</v>
      </c>
      <c r="T13730" t="s">
        <v>30685</v>
      </c>
      <c r="U13730" t="s">
        <v>30686</v>
      </c>
      <c r="V13730" t="s">
        <v>30687</v>
      </c>
      <c r="W13730" t="s">
        <v>49674</v>
      </c>
      <c r="X13730" t="s">
        <v>154</v>
      </c>
      <c r="Y13730" t="s">
        <v>17171</v>
      </c>
      <c r="Z13730" t="s">
        <v>166</v>
      </c>
      <c r="AA13730" s="22" t="str">
        <f>HYPERLINK("https://www.ncbi.nlm.nih.gov/nuccore/JN867769","NCBI Nucleotide")</f>
        <v>NCBI Nucleotide</v>
      </c>
    </row>
    <row r="13731" spans="1:27" x14ac:dyDescent="0.35">
      <c r="A13731">
        <v>1011454</v>
      </c>
      <c r="B13731">
        <v>12746</v>
      </c>
      <c r="C13731">
        <v>18</v>
      </c>
      <c r="D13731" t="s">
        <v>17166</v>
      </c>
      <c r="F13731" t="s">
        <v>17246</v>
      </c>
      <c r="H13731" t="s">
        <v>28921</v>
      </c>
      <c r="J13731" t="s">
        <v>29538</v>
      </c>
      <c r="L13731" t="s">
        <v>30198</v>
      </c>
      <c r="N13731" t="s">
        <v>30487</v>
      </c>
      <c r="O13731" t="s">
        <v>30498</v>
      </c>
      <c r="P13731" t="s">
        <v>30636</v>
      </c>
      <c r="R13731" s="26" t="str">
        <f t="shared" si="46"/>
        <v>Cosavirus asiani</v>
      </c>
      <c r="S13731" t="s">
        <v>8141</v>
      </c>
      <c r="T13731" t="s">
        <v>30688</v>
      </c>
      <c r="U13731" t="s">
        <v>30689</v>
      </c>
      <c r="V13731" t="s">
        <v>30690</v>
      </c>
      <c r="W13731" t="s">
        <v>49675</v>
      </c>
      <c r="X13731" t="s">
        <v>154</v>
      </c>
      <c r="Y13731" t="s">
        <v>17171</v>
      </c>
      <c r="Z13731" t="s">
        <v>166</v>
      </c>
      <c r="AA13731" s="22" t="str">
        <f>HYPERLINK("https://www.ncbi.nlm.nih.gov/nuccore/JN867775","NCBI Nucleotide")</f>
        <v>NCBI Nucleotide</v>
      </c>
    </row>
    <row r="13732" spans="1:27" x14ac:dyDescent="0.35">
      <c r="A13732">
        <v>1011455</v>
      </c>
      <c r="B13732">
        <v>12746</v>
      </c>
      <c r="C13732">
        <v>19</v>
      </c>
      <c r="D13732" t="s">
        <v>17166</v>
      </c>
      <c r="F13732" t="s">
        <v>17246</v>
      </c>
      <c r="H13732" t="s">
        <v>28921</v>
      </c>
      <c r="J13732" t="s">
        <v>29538</v>
      </c>
      <c r="L13732" t="s">
        <v>30198</v>
      </c>
      <c r="N13732" t="s">
        <v>30487</v>
      </c>
      <c r="O13732" t="s">
        <v>30498</v>
      </c>
      <c r="P13732" t="s">
        <v>30636</v>
      </c>
      <c r="R13732" s="26" t="str">
        <f t="shared" si="46"/>
        <v>Cosavirus asiani</v>
      </c>
      <c r="S13732" t="s">
        <v>8141</v>
      </c>
      <c r="T13732" t="s">
        <v>30691</v>
      </c>
      <c r="U13732" t="s">
        <v>30692</v>
      </c>
      <c r="V13732" t="s">
        <v>30693</v>
      </c>
      <c r="W13732" t="s">
        <v>49676</v>
      </c>
      <c r="X13732" t="s">
        <v>35</v>
      </c>
      <c r="Y13732" t="s">
        <v>17171</v>
      </c>
      <c r="Z13732" t="s">
        <v>166</v>
      </c>
      <c r="AA13732" s="22" t="str">
        <f>HYPERLINK("https://www.ncbi.nlm.nih.gov/nuccore/JN867759","NCBI Nucleotide")</f>
        <v>NCBI Nucleotide</v>
      </c>
    </row>
    <row r="13733" spans="1:27" x14ac:dyDescent="0.35">
      <c r="A13733">
        <v>1011456</v>
      </c>
      <c r="B13733">
        <v>12746</v>
      </c>
      <c r="C13733">
        <v>20</v>
      </c>
      <c r="D13733" t="s">
        <v>17166</v>
      </c>
      <c r="F13733" t="s">
        <v>17246</v>
      </c>
      <c r="H13733" t="s">
        <v>28921</v>
      </c>
      <c r="J13733" t="s">
        <v>29538</v>
      </c>
      <c r="L13733" t="s">
        <v>30198</v>
      </c>
      <c r="N13733" t="s">
        <v>30487</v>
      </c>
      <c r="O13733" t="s">
        <v>30498</v>
      </c>
      <c r="P13733" t="s">
        <v>30636</v>
      </c>
      <c r="R13733" s="26" t="str">
        <f t="shared" si="46"/>
        <v>Cosavirus asiani</v>
      </c>
      <c r="S13733" t="s">
        <v>8141</v>
      </c>
      <c r="T13733" t="s">
        <v>30694</v>
      </c>
      <c r="U13733" t="s">
        <v>30695</v>
      </c>
      <c r="V13733" t="s">
        <v>30696</v>
      </c>
      <c r="W13733" t="s">
        <v>49677</v>
      </c>
      <c r="X13733" t="s">
        <v>35</v>
      </c>
      <c r="Y13733" t="s">
        <v>17171</v>
      </c>
      <c r="Z13733" t="s">
        <v>166</v>
      </c>
      <c r="AA13733" s="22" t="str">
        <f>HYPERLINK("https://www.ncbi.nlm.nih.gov/nuccore/JN867756","NCBI Nucleotide")</f>
        <v>NCBI Nucleotide</v>
      </c>
    </row>
    <row r="13734" spans="1:27" x14ac:dyDescent="0.35">
      <c r="A13734">
        <v>1011457</v>
      </c>
      <c r="B13734">
        <v>12746</v>
      </c>
      <c r="C13734">
        <v>21</v>
      </c>
      <c r="D13734" t="s">
        <v>17166</v>
      </c>
      <c r="F13734" t="s">
        <v>17246</v>
      </c>
      <c r="H13734" t="s">
        <v>28921</v>
      </c>
      <c r="J13734" t="s">
        <v>29538</v>
      </c>
      <c r="L13734" t="s">
        <v>30198</v>
      </c>
      <c r="N13734" t="s">
        <v>30487</v>
      </c>
      <c r="O13734" t="s">
        <v>30498</v>
      </c>
      <c r="P13734" t="s">
        <v>30636</v>
      </c>
      <c r="R13734" s="26" t="str">
        <f t="shared" si="46"/>
        <v>Cosavirus asiani</v>
      </c>
      <c r="S13734" t="s">
        <v>8141</v>
      </c>
      <c r="T13734" t="s">
        <v>30697</v>
      </c>
      <c r="U13734" t="s">
        <v>30698</v>
      </c>
      <c r="V13734" t="s">
        <v>30699</v>
      </c>
      <c r="W13734" t="s">
        <v>49678</v>
      </c>
      <c r="X13734" t="s">
        <v>154</v>
      </c>
      <c r="Y13734" t="s">
        <v>17171</v>
      </c>
      <c r="Z13734" t="s">
        <v>166</v>
      </c>
      <c r="AA13734" s="22" t="str">
        <f>HYPERLINK("https://www.ncbi.nlm.nih.gov/nuccore/JQ811826","NCBI Nucleotide")</f>
        <v>NCBI Nucleotide</v>
      </c>
    </row>
    <row r="13735" spans="1:27" x14ac:dyDescent="0.35">
      <c r="A13735">
        <v>1011458</v>
      </c>
      <c r="B13735">
        <v>12746</v>
      </c>
      <c r="C13735">
        <v>22</v>
      </c>
      <c r="D13735" t="s">
        <v>17166</v>
      </c>
      <c r="F13735" t="s">
        <v>17246</v>
      </c>
      <c r="H13735" t="s">
        <v>28921</v>
      </c>
      <c r="J13735" t="s">
        <v>29538</v>
      </c>
      <c r="L13735" t="s">
        <v>30198</v>
      </c>
      <c r="N13735" t="s">
        <v>30487</v>
      </c>
      <c r="O13735" t="s">
        <v>30498</v>
      </c>
      <c r="P13735" t="s">
        <v>30636</v>
      </c>
      <c r="R13735" s="26" t="str">
        <f t="shared" si="46"/>
        <v>Cosavirus asiani</v>
      </c>
      <c r="S13735" t="s">
        <v>8141</v>
      </c>
      <c r="T13735" t="s">
        <v>30700</v>
      </c>
      <c r="U13735" t="s">
        <v>30701</v>
      </c>
      <c r="V13735" t="s">
        <v>30702</v>
      </c>
      <c r="W13735" t="s">
        <v>49679</v>
      </c>
      <c r="X13735" t="s">
        <v>154</v>
      </c>
      <c r="Y13735" t="s">
        <v>17171</v>
      </c>
      <c r="Z13735" t="s">
        <v>166</v>
      </c>
      <c r="AA13735" s="22" t="str">
        <f>HYPERLINK("https://www.ncbi.nlm.nih.gov/nuccore/JQ811825","NCBI Nucleotide")</f>
        <v>NCBI Nucleotide</v>
      </c>
    </row>
    <row r="13736" spans="1:27" x14ac:dyDescent="0.35">
      <c r="A13736">
        <v>1011459</v>
      </c>
      <c r="B13736">
        <v>12746</v>
      </c>
      <c r="C13736">
        <v>23</v>
      </c>
      <c r="D13736" t="s">
        <v>17166</v>
      </c>
      <c r="F13736" t="s">
        <v>17246</v>
      </c>
      <c r="H13736" t="s">
        <v>28921</v>
      </c>
      <c r="J13736" t="s">
        <v>29538</v>
      </c>
      <c r="L13736" t="s">
        <v>30198</v>
      </c>
      <c r="N13736" t="s">
        <v>30487</v>
      </c>
      <c r="O13736" t="s">
        <v>30498</v>
      </c>
      <c r="P13736" t="s">
        <v>30636</v>
      </c>
      <c r="R13736" s="26" t="str">
        <f t="shared" si="46"/>
        <v>Cosavirus asiani</v>
      </c>
      <c r="S13736" t="s">
        <v>8141</v>
      </c>
      <c r="T13736" t="s">
        <v>30703</v>
      </c>
      <c r="U13736" t="s">
        <v>30704</v>
      </c>
      <c r="V13736" t="s">
        <v>30705</v>
      </c>
      <c r="W13736" t="s">
        <v>49680</v>
      </c>
      <c r="X13736" t="s">
        <v>154</v>
      </c>
      <c r="Y13736" t="s">
        <v>17171</v>
      </c>
      <c r="Z13736" t="s">
        <v>166</v>
      </c>
      <c r="AA13736" s="22" t="str">
        <f>HYPERLINK("https://www.ncbi.nlm.nih.gov/nuccore/JQ811821","NCBI Nucleotide")</f>
        <v>NCBI Nucleotide</v>
      </c>
    </row>
    <row r="13737" spans="1:27" x14ac:dyDescent="0.35">
      <c r="A13737">
        <v>1011460</v>
      </c>
      <c r="B13737">
        <v>12746</v>
      </c>
      <c r="C13737">
        <v>24</v>
      </c>
      <c r="D13737" t="s">
        <v>17166</v>
      </c>
      <c r="F13737" t="s">
        <v>17246</v>
      </c>
      <c r="H13737" t="s">
        <v>28921</v>
      </c>
      <c r="J13737" t="s">
        <v>29538</v>
      </c>
      <c r="L13737" t="s">
        <v>30198</v>
      </c>
      <c r="N13737" t="s">
        <v>30487</v>
      </c>
      <c r="O13737" t="s">
        <v>30498</v>
      </c>
      <c r="P13737" t="s">
        <v>30636</v>
      </c>
      <c r="R13737" s="26" t="str">
        <f t="shared" si="46"/>
        <v>Cosavirus asiani</v>
      </c>
      <c r="S13737" t="s">
        <v>8141</v>
      </c>
      <c r="T13737" t="s">
        <v>30706</v>
      </c>
      <c r="U13737" t="s">
        <v>30707</v>
      </c>
      <c r="V13737" t="s">
        <v>30708</v>
      </c>
      <c r="W13737" t="s">
        <v>49681</v>
      </c>
      <c r="X13737" t="s">
        <v>154</v>
      </c>
      <c r="Y13737" t="s">
        <v>17171</v>
      </c>
      <c r="Z13737" t="s">
        <v>166</v>
      </c>
      <c r="AA13737" s="22" t="str">
        <f>HYPERLINK("https://www.ncbi.nlm.nih.gov/nuccore/JQ811830","NCBI Nucleotide")</f>
        <v>NCBI Nucleotide</v>
      </c>
    </row>
    <row r="13738" spans="1:27" x14ac:dyDescent="0.35">
      <c r="A13738">
        <v>1001798</v>
      </c>
      <c r="B13738">
        <v>12747</v>
      </c>
      <c r="C13738">
        <v>1</v>
      </c>
      <c r="D13738" t="s">
        <v>17166</v>
      </c>
      <c r="F13738" t="s">
        <v>17246</v>
      </c>
      <c r="H13738" t="s">
        <v>28921</v>
      </c>
      <c r="J13738" t="s">
        <v>29538</v>
      </c>
      <c r="L13738" t="s">
        <v>30198</v>
      </c>
      <c r="N13738" t="s">
        <v>30487</v>
      </c>
      <c r="O13738" t="s">
        <v>30498</v>
      </c>
      <c r="P13738" t="s">
        <v>30636</v>
      </c>
      <c r="R13738" s="26" t="str">
        <f>HYPERLINK("https://ictv.global/taxonomy/taxondetails?taxnode_id=202301976","Cosavirus bepakis")</f>
        <v>Cosavirus bepakis</v>
      </c>
      <c r="S13738" t="s">
        <v>30</v>
      </c>
      <c r="T13738" t="s">
        <v>30709</v>
      </c>
      <c r="U13738" t="s">
        <v>30710</v>
      </c>
      <c r="V13738">
        <v>2663</v>
      </c>
      <c r="W13738" t="s">
        <v>30711</v>
      </c>
      <c r="X13738" t="s">
        <v>42</v>
      </c>
      <c r="Y13738" t="s">
        <v>17171</v>
      </c>
      <c r="Z13738" t="s">
        <v>166</v>
      </c>
      <c r="AA13738" s="22" t="str">
        <f>HYPERLINK("https://www.ncbi.nlm.nih.gov/nuccore/FJ438907","NCBI Nucleotide")</f>
        <v>NCBI Nucleotide</v>
      </c>
    </row>
    <row r="13739" spans="1:27" x14ac:dyDescent="0.35">
      <c r="A13739">
        <v>1001799</v>
      </c>
      <c r="B13739">
        <v>12748</v>
      </c>
      <c r="C13739">
        <v>1</v>
      </c>
      <c r="D13739" t="s">
        <v>17166</v>
      </c>
      <c r="F13739" t="s">
        <v>17246</v>
      </c>
      <c r="H13739" t="s">
        <v>28921</v>
      </c>
      <c r="J13739" t="s">
        <v>29538</v>
      </c>
      <c r="L13739" t="s">
        <v>30198</v>
      </c>
      <c r="N13739" t="s">
        <v>30487</v>
      </c>
      <c r="O13739" t="s">
        <v>30498</v>
      </c>
      <c r="P13739" t="s">
        <v>30636</v>
      </c>
      <c r="R13739" s="26" t="str">
        <f>HYPERLINK("https://ictv.global/taxonomy/taxondetails?taxnode_id=202301977","Cosavirus depakis")</f>
        <v>Cosavirus depakis</v>
      </c>
      <c r="S13739" t="s">
        <v>30</v>
      </c>
      <c r="T13739" t="s">
        <v>30712</v>
      </c>
      <c r="U13739" t="s">
        <v>30713</v>
      </c>
      <c r="V13739">
        <v>5004</v>
      </c>
      <c r="W13739" t="s">
        <v>30714</v>
      </c>
      <c r="X13739" t="s">
        <v>42</v>
      </c>
      <c r="Y13739" t="s">
        <v>17171</v>
      </c>
      <c r="Z13739" t="s">
        <v>166</v>
      </c>
      <c r="AA13739" s="22" t="str">
        <f>HYPERLINK("https://www.ncbi.nlm.nih.gov/nuccore/FJ438908","NCBI Nucleotide")</f>
        <v>NCBI Nucleotide</v>
      </c>
    </row>
    <row r="13740" spans="1:27" x14ac:dyDescent="0.35">
      <c r="A13740">
        <v>1011461</v>
      </c>
      <c r="B13740">
        <v>12748</v>
      </c>
      <c r="C13740">
        <v>2</v>
      </c>
      <c r="D13740" t="s">
        <v>17166</v>
      </c>
      <c r="F13740" t="s">
        <v>17246</v>
      </c>
      <c r="H13740" t="s">
        <v>28921</v>
      </c>
      <c r="J13740" t="s">
        <v>29538</v>
      </c>
      <c r="L13740" t="s">
        <v>30198</v>
      </c>
      <c r="N13740" t="s">
        <v>30487</v>
      </c>
      <c r="O13740" t="s">
        <v>30498</v>
      </c>
      <c r="P13740" t="s">
        <v>30636</v>
      </c>
      <c r="R13740" s="26" t="str">
        <f>HYPERLINK("https://ictv.global/taxonomy/taxondetails?taxnode_id=202301977","Cosavirus depakis")</f>
        <v>Cosavirus depakis</v>
      </c>
      <c r="S13740" t="s">
        <v>8141</v>
      </c>
      <c r="T13740" t="s">
        <v>30715</v>
      </c>
      <c r="U13740" t="s">
        <v>30716</v>
      </c>
      <c r="V13740" t="s">
        <v>30717</v>
      </c>
      <c r="W13740" t="s">
        <v>49682</v>
      </c>
      <c r="X13740" t="s">
        <v>154</v>
      </c>
      <c r="Y13740" t="s">
        <v>17171</v>
      </c>
      <c r="Z13740" t="s">
        <v>166</v>
      </c>
      <c r="AA13740" s="22" t="str">
        <f>HYPERLINK("https://www.ncbi.nlm.nih.gov/nuccore/JN867762","NCBI Nucleotide")</f>
        <v>NCBI Nucleotide</v>
      </c>
    </row>
    <row r="13741" spans="1:27" x14ac:dyDescent="0.35">
      <c r="A13741">
        <v>1011462</v>
      </c>
      <c r="B13741">
        <v>12748</v>
      </c>
      <c r="C13741">
        <v>3</v>
      </c>
      <c r="D13741" t="s">
        <v>17166</v>
      </c>
      <c r="F13741" t="s">
        <v>17246</v>
      </c>
      <c r="H13741" t="s">
        <v>28921</v>
      </c>
      <c r="J13741" t="s">
        <v>29538</v>
      </c>
      <c r="L13741" t="s">
        <v>30198</v>
      </c>
      <c r="N13741" t="s">
        <v>30487</v>
      </c>
      <c r="O13741" t="s">
        <v>30498</v>
      </c>
      <c r="P13741" t="s">
        <v>30636</v>
      </c>
      <c r="R13741" s="26" t="str">
        <f>HYPERLINK("https://ictv.global/taxonomy/taxondetails?taxnode_id=202301977","Cosavirus depakis")</f>
        <v>Cosavirus depakis</v>
      </c>
      <c r="S13741" t="s">
        <v>8141</v>
      </c>
      <c r="T13741" t="s">
        <v>30718</v>
      </c>
      <c r="U13741" t="s">
        <v>30719</v>
      </c>
      <c r="V13741" t="s">
        <v>30720</v>
      </c>
      <c r="W13741" t="s">
        <v>49683</v>
      </c>
      <c r="X13741" t="s">
        <v>154</v>
      </c>
      <c r="Y13741" t="s">
        <v>17171</v>
      </c>
      <c r="Z13741" t="s">
        <v>166</v>
      </c>
      <c r="AA13741" s="22" t="str">
        <f>HYPERLINK("https://www.ncbi.nlm.nih.gov/nuccore/JN867777","NCBI Nucleotide")</f>
        <v>NCBI Nucleotide</v>
      </c>
    </row>
    <row r="13742" spans="1:27" x14ac:dyDescent="0.35">
      <c r="A13742">
        <v>1011463</v>
      </c>
      <c r="B13742">
        <v>12748</v>
      </c>
      <c r="C13742">
        <v>4</v>
      </c>
      <c r="D13742" t="s">
        <v>17166</v>
      </c>
      <c r="F13742" t="s">
        <v>17246</v>
      </c>
      <c r="H13742" t="s">
        <v>28921</v>
      </c>
      <c r="J13742" t="s">
        <v>29538</v>
      </c>
      <c r="L13742" t="s">
        <v>30198</v>
      </c>
      <c r="N13742" t="s">
        <v>30487</v>
      </c>
      <c r="O13742" t="s">
        <v>30498</v>
      </c>
      <c r="P13742" t="s">
        <v>30636</v>
      </c>
      <c r="R13742" s="26" t="str">
        <f>HYPERLINK("https://ictv.global/taxonomy/taxondetails?taxnode_id=202301977","Cosavirus depakis")</f>
        <v>Cosavirus depakis</v>
      </c>
      <c r="S13742" t="s">
        <v>8141</v>
      </c>
      <c r="T13742" t="s">
        <v>30721</v>
      </c>
      <c r="U13742" t="s">
        <v>30722</v>
      </c>
      <c r="V13742" t="s">
        <v>30723</v>
      </c>
      <c r="W13742" t="s">
        <v>49684</v>
      </c>
      <c r="X13742" t="s">
        <v>154</v>
      </c>
      <c r="Y13742" t="s">
        <v>17171</v>
      </c>
      <c r="Z13742" t="s">
        <v>166</v>
      </c>
      <c r="AA13742" s="22" t="str">
        <f>HYPERLINK("https://www.ncbi.nlm.nih.gov/nuccore/JN867761","NCBI Nucleotide")</f>
        <v>NCBI Nucleotide</v>
      </c>
    </row>
    <row r="13743" spans="1:27" x14ac:dyDescent="0.35">
      <c r="A13743">
        <v>1011464</v>
      </c>
      <c r="B13743">
        <v>12748</v>
      </c>
      <c r="C13743">
        <v>5</v>
      </c>
      <c r="D13743" t="s">
        <v>17166</v>
      </c>
      <c r="F13743" t="s">
        <v>17246</v>
      </c>
      <c r="H13743" t="s">
        <v>28921</v>
      </c>
      <c r="J13743" t="s">
        <v>29538</v>
      </c>
      <c r="L13743" t="s">
        <v>30198</v>
      </c>
      <c r="N13743" t="s">
        <v>30487</v>
      </c>
      <c r="O13743" t="s">
        <v>30498</v>
      </c>
      <c r="P13743" t="s">
        <v>30636</v>
      </c>
      <c r="R13743" s="26" t="str">
        <f>HYPERLINK("https://ictv.global/taxonomy/taxondetails?taxnode_id=202301977","Cosavirus depakis")</f>
        <v>Cosavirus depakis</v>
      </c>
      <c r="S13743" t="s">
        <v>8141</v>
      </c>
      <c r="T13743" t="s">
        <v>30724</v>
      </c>
      <c r="U13743" t="s">
        <v>30725</v>
      </c>
      <c r="V13743" t="s">
        <v>30726</v>
      </c>
      <c r="W13743" t="s">
        <v>49685</v>
      </c>
      <c r="X13743" t="s">
        <v>154</v>
      </c>
      <c r="Y13743" t="s">
        <v>17171</v>
      </c>
      <c r="Z13743" t="s">
        <v>166</v>
      </c>
      <c r="AA13743" s="22" t="str">
        <f>HYPERLINK("https://www.ncbi.nlm.nih.gov/nuccore/JN867778","NCBI Nucleotide")</f>
        <v>NCBI Nucleotide</v>
      </c>
    </row>
    <row r="13744" spans="1:27" x14ac:dyDescent="0.35">
      <c r="A13744">
        <v>1001800</v>
      </c>
      <c r="B13744">
        <v>12749</v>
      </c>
      <c r="C13744">
        <v>1</v>
      </c>
      <c r="D13744" t="s">
        <v>17166</v>
      </c>
      <c r="F13744" t="s">
        <v>17246</v>
      </c>
      <c r="H13744" t="s">
        <v>28921</v>
      </c>
      <c r="J13744" t="s">
        <v>29538</v>
      </c>
      <c r="L13744" t="s">
        <v>30198</v>
      </c>
      <c r="N13744" t="s">
        <v>30487</v>
      </c>
      <c r="O13744" t="s">
        <v>30498</v>
      </c>
      <c r="P13744" t="s">
        <v>30636</v>
      </c>
      <c r="R13744" s="26" t="str">
        <f>HYPERLINK("https://ictv.global/taxonomy/taxondetails?taxnode_id=202301978","Cosavirus eaustrali")</f>
        <v>Cosavirus eaustrali</v>
      </c>
      <c r="S13744" t="s">
        <v>30</v>
      </c>
      <c r="T13744" t="s">
        <v>30727</v>
      </c>
      <c r="U13744" t="s">
        <v>30728</v>
      </c>
      <c r="V13744" t="s">
        <v>30729</v>
      </c>
      <c r="W13744" t="s">
        <v>30730</v>
      </c>
      <c r="X13744" t="s">
        <v>42</v>
      </c>
      <c r="Y13744" t="s">
        <v>17171</v>
      </c>
      <c r="Z13744" t="s">
        <v>166</v>
      </c>
      <c r="AA13744" s="22" t="str">
        <f>HYPERLINK("https://www.ncbi.nlm.nih.gov/nuccore/FJ555055","NCBI Nucleotide")</f>
        <v>NCBI Nucleotide</v>
      </c>
    </row>
    <row r="13745" spans="1:27" x14ac:dyDescent="0.35">
      <c r="A13745">
        <v>1001801</v>
      </c>
      <c r="B13745">
        <v>12750</v>
      </c>
      <c r="C13745">
        <v>1</v>
      </c>
      <c r="D13745" t="s">
        <v>17166</v>
      </c>
      <c r="F13745" t="s">
        <v>17246</v>
      </c>
      <c r="H13745" t="s">
        <v>28921</v>
      </c>
      <c r="J13745" t="s">
        <v>29538</v>
      </c>
      <c r="L13745" t="s">
        <v>30198</v>
      </c>
      <c r="N13745" t="s">
        <v>30487</v>
      </c>
      <c r="O13745" t="s">
        <v>30498</v>
      </c>
      <c r="P13745" t="s">
        <v>30636</v>
      </c>
      <c r="R13745" s="26" t="str">
        <f>HYPERLINK("https://ictv.global/taxonomy/taxondetails?taxnode_id=202301979","Cosavirus fepakis")</f>
        <v>Cosavirus fepakis</v>
      </c>
      <c r="S13745" t="s">
        <v>30</v>
      </c>
      <c r="T13745" t="s">
        <v>30731</v>
      </c>
      <c r="U13745" t="s">
        <v>30732</v>
      </c>
      <c r="V13745" t="s">
        <v>13296</v>
      </c>
      <c r="W13745" t="s">
        <v>30733</v>
      </c>
      <c r="X13745" t="s">
        <v>42</v>
      </c>
      <c r="Y13745" t="s">
        <v>17171</v>
      </c>
      <c r="Z13745" t="s">
        <v>166</v>
      </c>
      <c r="AA13745" s="22" t="str">
        <f>HYPERLINK("https://www.ncbi.nlm.nih.gov/nuccore/JN867758","NCBI Nucleotide")</f>
        <v>NCBI Nucleotide</v>
      </c>
    </row>
    <row r="13746" spans="1:27" x14ac:dyDescent="0.35">
      <c r="A13746">
        <v>1001802</v>
      </c>
      <c r="B13746">
        <v>12751</v>
      </c>
      <c r="C13746">
        <v>1</v>
      </c>
      <c r="D13746" t="s">
        <v>17166</v>
      </c>
      <c r="F13746" t="s">
        <v>17246</v>
      </c>
      <c r="H13746" t="s">
        <v>28921</v>
      </c>
      <c r="J13746" t="s">
        <v>29538</v>
      </c>
      <c r="L13746" t="s">
        <v>30198</v>
      </c>
      <c r="N13746" t="s">
        <v>30487</v>
      </c>
      <c r="O13746" t="s">
        <v>30498</v>
      </c>
      <c r="P13746" t="s">
        <v>30734</v>
      </c>
      <c r="R13746" s="26" t="str">
        <f>HYPERLINK("https://ictv.global/taxonomy/taxondetails?taxnode_id=202301997","Erbovirus aequirhi")</f>
        <v>Erbovirus aequirhi</v>
      </c>
      <c r="S13746" t="s">
        <v>30</v>
      </c>
      <c r="T13746" t="s">
        <v>30735</v>
      </c>
      <c r="U13746" t="s">
        <v>30736</v>
      </c>
      <c r="V13746" t="s">
        <v>30737</v>
      </c>
      <c r="W13746" t="s">
        <v>30738</v>
      </c>
      <c r="X13746" t="s">
        <v>42</v>
      </c>
      <c r="Y13746" t="s">
        <v>17171</v>
      </c>
      <c r="Z13746" t="s">
        <v>166</v>
      </c>
      <c r="AA13746" s="22" t="str">
        <f>HYPERLINK("https://www.ncbi.nlm.nih.gov/nuccore/X96871","NCBI Nucleotide")</f>
        <v>NCBI Nucleotide</v>
      </c>
    </row>
    <row r="13747" spans="1:27" x14ac:dyDescent="0.35">
      <c r="A13747">
        <v>1011465</v>
      </c>
      <c r="B13747">
        <v>12751</v>
      </c>
      <c r="C13747">
        <v>2</v>
      </c>
      <c r="D13747" t="s">
        <v>17166</v>
      </c>
      <c r="F13747" t="s">
        <v>17246</v>
      </c>
      <c r="H13747" t="s">
        <v>28921</v>
      </c>
      <c r="J13747" t="s">
        <v>29538</v>
      </c>
      <c r="L13747" t="s">
        <v>30198</v>
      </c>
      <c r="N13747" t="s">
        <v>30487</v>
      </c>
      <c r="O13747" t="s">
        <v>30498</v>
      </c>
      <c r="P13747" t="s">
        <v>30734</v>
      </c>
      <c r="R13747" s="26" t="str">
        <f>HYPERLINK("https://ictv.global/taxonomy/taxondetails?taxnode_id=202301997","Erbovirus aequirhi")</f>
        <v>Erbovirus aequirhi</v>
      </c>
      <c r="S13747" t="s">
        <v>8141</v>
      </c>
      <c r="T13747" t="s">
        <v>30739</v>
      </c>
      <c r="U13747" t="s">
        <v>30740</v>
      </c>
      <c r="V13747" t="s">
        <v>30741</v>
      </c>
      <c r="W13747" t="s">
        <v>49686</v>
      </c>
      <c r="X13747" t="s">
        <v>42</v>
      </c>
      <c r="Y13747" t="s">
        <v>17171</v>
      </c>
      <c r="Z13747" t="s">
        <v>166</v>
      </c>
      <c r="AA13747" s="22" t="str">
        <f>HYPERLINK("https://www.ncbi.nlm.nih.gov/nuccore/AF361253","NCBI Nucleotide")</f>
        <v>NCBI Nucleotide</v>
      </c>
    </row>
    <row r="13748" spans="1:27" x14ac:dyDescent="0.35">
      <c r="A13748">
        <v>1011466</v>
      </c>
      <c r="B13748">
        <v>12751</v>
      </c>
      <c r="C13748">
        <v>3</v>
      </c>
      <c r="D13748" t="s">
        <v>17166</v>
      </c>
      <c r="F13748" t="s">
        <v>17246</v>
      </c>
      <c r="H13748" t="s">
        <v>28921</v>
      </c>
      <c r="J13748" t="s">
        <v>29538</v>
      </c>
      <c r="L13748" t="s">
        <v>30198</v>
      </c>
      <c r="N13748" t="s">
        <v>30487</v>
      </c>
      <c r="O13748" t="s">
        <v>30498</v>
      </c>
      <c r="P13748" t="s">
        <v>30734</v>
      </c>
      <c r="R13748" s="26" t="str">
        <f>HYPERLINK("https://ictv.global/taxonomy/taxondetails?taxnode_id=202301997","Erbovirus aequirhi")</f>
        <v>Erbovirus aequirhi</v>
      </c>
      <c r="S13748" t="s">
        <v>8141</v>
      </c>
      <c r="T13748" t="s">
        <v>30742</v>
      </c>
      <c r="U13748" t="s">
        <v>30743</v>
      </c>
      <c r="V13748" t="s">
        <v>30744</v>
      </c>
      <c r="W13748" t="s">
        <v>49687</v>
      </c>
      <c r="X13748" t="s">
        <v>154</v>
      </c>
      <c r="Y13748" t="s">
        <v>17171</v>
      </c>
      <c r="Z13748" t="s">
        <v>166</v>
      </c>
      <c r="AA13748" s="22" t="str">
        <f>HYPERLINK("https://www.ncbi.nlm.nih.gov/nuccore/DQ108383","NCBI Nucleotide")</f>
        <v>NCBI Nucleotide</v>
      </c>
    </row>
    <row r="13749" spans="1:27" x14ac:dyDescent="0.35">
      <c r="A13749">
        <v>1001803</v>
      </c>
      <c r="B13749">
        <v>12752</v>
      </c>
      <c r="C13749">
        <v>1</v>
      </c>
      <c r="D13749" t="s">
        <v>17166</v>
      </c>
      <c r="F13749" t="s">
        <v>17246</v>
      </c>
      <c r="H13749" t="s">
        <v>28921</v>
      </c>
      <c r="J13749" t="s">
        <v>29538</v>
      </c>
      <c r="L13749" t="s">
        <v>30198</v>
      </c>
      <c r="N13749" t="s">
        <v>30487</v>
      </c>
      <c r="O13749" t="s">
        <v>30498</v>
      </c>
      <c r="P13749" t="s">
        <v>30745</v>
      </c>
      <c r="R13749" s="26" t="str">
        <f t="shared" ref="R13749:R13756" si="47">HYPERLINK("https://ictv.global/taxonomy/taxondetails?taxnode_id=202302013","Hunnivirus amagyari")</f>
        <v>Hunnivirus amagyari</v>
      </c>
      <c r="S13749" t="s">
        <v>30</v>
      </c>
      <c r="T13749" t="s">
        <v>30746</v>
      </c>
      <c r="U13749" t="s">
        <v>30747</v>
      </c>
      <c r="V13749" t="s">
        <v>30748</v>
      </c>
      <c r="W13749" t="s">
        <v>30749</v>
      </c>
      <c r="X13749" t="s">
        <v>42</v>
      </c>
      <c r="Y13749" t="s">
        <v>17171</v>
      </c>
      <c r="Z13749" t="s">
        <v>166</v>
      </c>
      <c r="AA13749" s="22" t="str">
        <f>HYPERLINK("https://www.ncbi.nlm.nih.gov/nuccore/JQ941880","NCBI Nucleotide")</f>
        <v>NCBI Nucleotide</v>
      </c>
    </row>
    <row r="13750" spans="1:27" x14ac:dyDescent="0.35">
      <c r="A13750">
        <v>1011467</v>
      </c>
      <c r="B13750">
        <v>12752</v>
      </c>
      <c r="C13750">
        <v>2</v>
      </c>
      <c r="D13750" t="s">
        <v>17166</v>
      </c>
      <c r="F13750" t="s">
        <v>17246</v>
      </c>
      <c r="H13750" t="s">
        <v>28921</v>
      </c>
      <c r="J13750" t="s">
        <v>29538</v>
      </c>
      <c r="L13750" t="s">
        <v>30198</v>
      </c>
      <c r="N13750" t="s">
        <v>30487</v>
      </c>
      <c r="O13750" t="s">
        <v>30498</v>
      </c>
      <c r="P13750" t="s">
        <v>30745</v>
      </c>
      <c r="R13750" s="26" t="str">
        <f t="shared" si="47"/>
        <v>Hunnivirus amagyari</v>
      </c>
      <c r="S13750" t="s">
        <v>8141</v>
      </c>
      <c r="T13750" t="s">
        <v>30750</v>
      </c>
      <c r="U13750" t="s">
        <v>30751</v>
      </c>
      <c r="V13750" t="s">
        <v>30752</v>
      </c>
      <c r="W13750" t="s">
        <v>49688</v>
      </c>
      <c r="X13750" t="s">
        <v>42</v>
      </c>
      <c r="Y13750" t="s">
        <v>17171</v>
      </c>
      <c r="Z13750" t="s">
        <v>166</v>
      </c>
      <c r="AA13750" s="22" t="str">
        <f>HYPERLINK("https://www.ncbi.nlm.nih.gov/nuccore/HM153767","NCBI Nucleotide")</f>
        <v>NCBI Nucleotide</v>
      </c>
    </row>
    <row r="13751" spans="1:27" x14ac:dyDescent="0.35">
      <c r="A13751">
        <v>1011468</v>
      </c>
      <c r="B13751">
        <v>12752</v>
      </c>
      <c r="C13751">
        <v>3</v>
      </c>
      <c r="D13751" t="s">
        <v>17166</v>
      </c>
      <c r="F13751" t="s">
        <v>17246</v>
      </c>
      <c r="H13751" t="s">
        <v>28921</v>
      </c>
      <c r="J13751" t="s">
        <v>29538</v>
      </c>
      <c r="L13751" t="s">
        <v>30198</v>
      </c>
      <c r="N13751" t="s">
        <v>30487</v>
      </c>
      <c r="O13751" t="s">
        <v>30498</v>
      </c>
      <c r="P13751" t="s">
        <v>30745</v>
      </c>
      <c r="R13751" s="26" t="str">
        <f t="shared" si="47"/>
        <v>Hunnivirus amagyari</v>
      </c>
      <c r="S13751" t="s">
        <v>8141</v>
      </c>
      <c r="T13751" t="s">
        <v>30753</v>
      </c>
      <c r="U13751" t="s">
        <v>30754</v>
      </c>
      <c r="V13751" t="s">
        <v>30755</v>
      </c>
      <c r="W13751" t="s">
        <v>49689</v>
      </c>
      <c r="X13751" t="s">
        <v>42</v>
      </c>
      <c r="Y13751" t="s">
        <v>17171</v>
      </c>
      <c r="Z13751" t="s">
        <v>166</v>
      </c>
      <c r="AA13751" s="22" t="str">
        <f>HYPERLINK("https://www.ncbi.nlm.nih.gov/nuccore/KJ950971","NCBI Nucleotide")</f>
        <v>NCBI Nucleotide</v>
      </c>
    </row>
    <row r="13752" spans="1:27" x14ac:dyDescent="0.35">
      <c r="A13752">
        <v>1011469</v>
      </c>
      <c r="B13752">
        <v>12752</v>
      </c>
      <c r="C13752">
        <v>4</v>
      </c>
      <c r="D13752" t="s">
        <v>17166</v>
      </c>
      <c r="F13752" t="s">
        <v>17246</v>
      </c>
      <c r="H13752" t="s">
        <v>28921</v>
      </c>
      <c r="J13752" t="s">
        <v>29538</v>
      </c>
      <c r="L13752" t="s">
        <v>30198</v>
      </c>
      <c r="N13752" t="s">
        <v>30487</v>
      </c>
      <c r="O13752" t="s">
        <v>30498</v>
      </c>
      <c r="P13752" t="s">
        <v>30745</v>
      </c>
      <c r="R13752" s="26" t="str">
        <f t="shared" si="47"/>
        <v>Hunnivirus amagyari</v>
      </c>
      <c r="S13752" t="s">
        <v>8141</v>
      </c>
      <c r="T13752" t="s">
        <v>30756</v>
      </c>
      <c r="U13752" t="s">
        <v>30757</v>
      </c>
      <c r="V13752" t="s">
        <v>30758</v>
      </c>
      <c r="W13752" t="s">
        <v>49690</v>
      </c>
      <c r="X13752" t="s">
        <v>154</v>
      </c>
      <c r="Y13752" t="s">
        <v>17171</v>
      </c>
      <c r="Z13752" t="s">
        <v>166</v>
      </c>
      <c r="AA13752" s="22" t="str">
        <f>HYPERLINK("https://www.ncbi.nlm.nih.gov/nuccore/KT944199","NCBI Nucleotide")</f>
        <v>NCBI Nucleotide</v>
      </c>
    </row>
    <row r="13753" spans="1:27" x14ac:dyDescent="0.35">
      <c r="A13753">
        <v>1011470</v>
      </c>
      <c r="B13753">
        <v>12752</v>
      </c>
      <c r="C13753">
        <v>5</v>
      </c>
      <c r="D13753" t="s">
        <v>17166</v>
      </c>
      <c r="F13753" t="s">
        <v>17246</v>
      </c>
      <c r="H13753" t="s">
        <v>28921</v>
      </c>
      <c r="J13753" t="s">
        <v>29538</v>
      </c>
      <c r="L13753" t="s">
        <v>30198</v>
      </c>
      <c r="N13753" t="s">
        <v>30487</v>
      </c>
      <c r="O13753" t="s">
        <v>30498</v>
      </c>
      <c r="P13753" t="s">
        <v>30745</v>
      </c>
      <c r="R13753" s="26" t="str">
        <f t="shared" si="47"/>
        <v>Hunnivirus amagyari</v>
      </c>
      <c r="S13753" t="s">
        <v>8141</v>
      </c>
      <c r="T13753" t="s">
        <v>30759</v>
      </c>
      <c r="U13753" t="s">
        <v>30760</v>
      </c>
      <c r="V13753" t="s">
        <v>30761</v>
      </c>
      <c r="W13753" t="s">
        <v>49691</v>
      </c>
      <c r="X13753" t="s">
        <v>42</v>
      </c>
      <c r="Y13753" t="s">
        <v>17171</v>
      </c>
      <c r="Z13753" t="s">
        <v>166</v>
      </c>
      <c r="AA13753" s="22" t="str">
        <f>HYPERLINK("https://www.ncbi.nlm.nih.gov/nuccore/KX156157","NCBI Nucleotide")</f>
        <v>NCBI Nucleotide</v>
      </c>
    </row>
    <row r="13754" spans="1:27" x14ac:dyDescent="0.35">
      <c r="A13754">
        <v>1011471</v>
      </c>
      <c r="B13754">
        <v>12752</v>
      </c>
      <c r="C13754">
        <v>6</v>
      </c>
      <c r="D13754" t="s">
        <v>17166</v>
      </c>
      <c r="F13754" t="s">
        <v>17246</v>
      </c>
      <c r="H13754" t="s">
        <v>28921</v>
      </c>
      <c r="J13754" t="s">
        <v>29538</v>
      </c>
      <c r="L13754" t="s">
        <v>30198</v>
      </c>
      <c r="N13754" t="s">
        <v>30487</v>
      </c>
      <c r="O13754" t="s">
        <v>30498</v>
      </c>
      <c r="P13754" t="s">
        <v>30745</v>
      </c>
      <c r="R13754" s="26" t="str">
        <f t="shared" si="47"/>
        <v>Hunnivirus amagyari</v>
      </c>
      <c r="S13754" t="s">
        <v>8141</v>
      </c>
      <c r="T13754" t="s">
        <v>30762</v>
      </c>
      <c r="U13754" t="s">
        <v>30763</v>
      </c>
      <c r="V13754" t="s">
        <v>30764</v>
      </c>
      <c r="W13754" t="s">
        <v>49692</v>
      </c>
      <c r="X13754" t="s">
        <v>42</v>
      </c>
      <c r="Y13754" t="s">
        <v>17171</v>
      </c>
      <c r="Z13754" t="s">
        <v>166</v>
      </c>
      <c r="AA13754" s="22" t="str">
        <f>HYPERLINK("https://www.ncbi.nlm.nih.gov/nuccore/KT944214","NCBI Nucleotide")</f>
        <v>NCBI Nucleotide</v>
      </c>
    </row>
    <row r="13755" spans="1:27" x14ac:dyDescent="0.35">
      <c r="A13755">
        <v>1011472</v>
      </c>
      <c r="B13755">
        <v>12752</v>
      </c>
      <c r="C13755">
        <v>7</v>
      </c>
      <c r="D13755" t="s">
        <v>17166</v>
      </c>
      <c r="F13755" t="s">
        <v>17246</v>
      </c>
      <c r="H13755" t="s">
        <v>28921</v>
      </c>
      <c r="J13755" t="s">
        <v>29538</v>
      </c>
      <c r="L13755" t="s">
        <v>30198</v>
      </c>
      <c r="N13755" t="s">
        <v>30487</v>
      </c>
      <c r="O13755" t="s">
        <v>30498</v>
      </c>
      <c r="P13755" t="s">
        <v>30745</v>
      </c>
      <c r="R13755" s="26" t="str">
        <f t="shared" si="47"/>
        <v>Hunnivirus amagyari</v>
      </c>
      <c r="S13755" t="s">
        <v>8141</v>
      </c>
      <c r="T13755" t="s">
        <v>30765</v>
      </c>
      <c r="U13755" t="s">
        <v>30766</v>
      </c>
      <c r="V13755" t="s">
        <v>30767</v>
      </c>
      <c r="W13755" t="s">
        <v>49693</v>
      </c>
      <c r="X13755" t="s">
        <v>42</v>
      </c>
      <c r="Y13755" t="s">
        <v>17171</v>
      </c>
      <c r="Z13755" t="s">
        <v>166</v>
      </c>
      <c r="AA13755" s="22" t="str">
        <f>HYPERLINK("https://www.ncbi.nlm.nih.gov/nuccore/KT944212","NCBI Nucleotide")</f>
        <v>NCBI Nucleotide</v>
      </c>
    </row>
    <row r="13756" spans="1:27" x14ac:dyDescent="0.35">
      <c r="A13756">
        <v>1011473</v>
      </c>
      <c r="B13756">
        <v>12752</v>
      </c>
      <c r="C13756">
        <v>8</v>
      </c>
      <c r="D13756" t="s">
        <v>17166</v>
      </c>
      <c r="F13756" t="s">
        <v>17246</v>
      </c>
      <c r="H13756" t="s">
        <v>28921</v>
      </c>
      <c r="J13756" t="s">
        <v>29538</v>
      </c>
      <c r="L13756" t="s">
        <v>30198</v>
      </c>
      <c r="N13756" t="s">
        <v>30487</v>
      </c>
      <c r="O13756" t="s">
        <v>30498</v>
      </c>
      <c r="P13756" t="s">
        <v>30745</v>
      </c>
      <c r="R13756" s="26" t="str">
        <f t="shared" si="47"/>
        <v>Hunnivirus amagyari</v>
      </c>
      <c r="S13756" t="s">
        <v>8141</v>
      </c>
      <c r="T13756" t="s">
        <v>30768</v>
      </c>
      <c r="U13756" t="s">
        <v>30769</v>
      </c>
      <c r="V13756" t="s">
        <v>30770</v>
      </c>
      <c r="W13756" t="s">
        <v>49694</v>
      </c>
      <c r="X13756" t="s">
        <v>42</v>
      </c>
      <c r="Y13756" t="s">
        <v>17171</v>
      </c>
      <c r="Z13756" t="s">
        <v>166</v>
      </c>
      <c r="AA13756" s="22" t="str">
        <f>HYPERLINK("https://www.ncbi.nlm.nih.gov/nuccore/KY432925","NCBI Nucleotide")</f>
        <v>NCBI Nucleotide</v>
      </c>
    </row>
    <row r="13757" spans="1:27" x14ac:dyDescent="0.35">
      <c r="A13757">
        <v>1001804</v>
      </c>
      <c r="B13757">
        <v>12753</v>
      </c>
      <c r="C13757">
        <v>1</v>
      </c>
      <c r="D13757" t="s">
        <v>17166</v>
      </c>
      <c r="F13757" t="s">
        <v>17246</v>
      </c>
      <c r="H13757" t="s">
        <v>28921</v>
      </c>
      <c r="J13757" t="s">
        <v>29538</v>
      </c>
      <c r="L13757" t="s">
        <v>30198</v>
      </c>
      <c r="N13757" t="s">
        <v>30487</v>
      </c>
      <c r="O13757" t="s">
        <v>30498</v>
      </c>
      <c r="P13757" t="s">
        <v>30771</v>
      </c>
      <c r="R13757" s="26" t="str">
        <f>HYPERLINK("https://ictv.global/taxonomy/taxondetails?taxnode_id=202306324","Malagasivirus alphalesa")</f>
        <v>Malagasivirus alphalesa</v>
      </c>
      <c r="S13757" t="s">
        <v>30</v>
      </c>
      <c r="T13757" t="s">
        <v>30772</v>
      </c>
      <c r="U13757" t="s">
        <v>30773</v>
      </c>
      <c r="V13757" t="s">
        <v>30774</v>
      </c>
      <c r="W13757" t="s">
        <v>30775</v>
      </c>
      <c r="X13757" t="s">
        <v>42</v>
      </c>
      <c r="Y13757" t="s">
        <v>17171</v>
      </c>
      <c r="Z13757" t="s">
        <v>166</v>
      </c>
      <c r="AA13757" s="22" t="str">
        <f>HYPERLINK("https://www.ncbi.nlm.nih.gov/nuccore/KM396707","NCBI Nucleotide")</f>
        <v>NCBI Nucleotide</v>
      </c>
    </row>
    <row r="13758" spans="1:27" x14ac:dyDescent="0.35">
      <c r="A13758">
        <v>1001805</v>
      </c>
      <c r="B13758">
        <v>12754</v>
      </c>
      <c r="C13758">
        <v>1</v>
      </c>
      <c r="D13758" t="s">
        <v>17166</v>
      </c>
      <c r="F13758" t="s">
        <v>17246</v>
      </c>
      <c r="H13758" t="s">
        <v>28921</v>
      </c>
      <c r="J13758" t="s">
        <v>29538</v>
      </c>
      <c r="L13758" t="s">
        <v>30198</v>
      </c>
      <c r="N13758" t="s">
        <v>30487</v>
      </c>
      <c r="O13758" t="s">
        <v>30498</v>
      </c>
      <c r="P13758" t="s">
        <v>30771</v>
      </c>
      <c r="R13758" s="26" t="str">
        <f>HYPERLINK("https://ictv.global/taxonomy/taxondetails?taxnode_id=202306325","Malagasivirus betalesa")</f>
        <v>Malagasivirus betalesa</v>
      </c>
      <c r="S13758" t="s">
        <v>30</v>
      </c>
      <c r="T13758" t="s">
        <v>30776</v>
      </c>
      <c r="U13758" t="s">
        <v>30777</v>
      </c>
      <c r="V13758" t="s">
        <v>30778</v>
      </c>
      <c r="W13758" t="s">
        <v>30779</v>
      </c>
      <c r="X13758" t="s">
        <v>42</v>
      </c>
      <c r="Y13758" t="s">
        <v>17171</v>
      </c>
      <c r="Z13758" t="s">
        <v>166</v>
      </c>
      <c r="AA13758" s="22" t="str">
        <f>HYPERLINK("https://www.ncbi.nlm.nih.gov/nuccore/KM396708","NCBI Nucleotide")</f>
        <v>NCBI Nucleotide</v>
      </c>
    </row>
    <row r="13759" spans="1:27" x14ac:dyDescent="0.35">
      <c r="A13759">
        <v>1001806</v>
      </c>
      <c r="B13759">
        <v>12755</v>
      </c>
      <c r="C13759">
        <v>1</v>
      </c>
      <c r="D13759" t="s">
        <v>17166</v>
      </c>
      <c r="F13759" t="s">
        <v>17246</v>
      </c>
      <c r="H13759" t="s">
        <v>28921</v>
      </c>
      <c r="J13759" t="s">
        <v>29538</v>
      </c>
      <c r="L13759" t="s">
        <v>30198</v>
      </c>
      <c r="N13759" t="s">
        <v>30487</v>
      </c>
      <c r="O13759" t="s">
        <v>30498</v>
      </c>
      <c r="P13759" t="s">
        <v>30780</v>
      </c>
      <c r="R13759" s="26" t="str">
        <f>HYPERLINK("https://ictv.global/taxonomy/taxondetails?taxnode_id=202309140","Marsupivirus aburpengari")</f>
        <v>Marsupivirus aburpengari</v>
      </c>
      <c r="S13759" t="s">
        <v>30</v>
      </c>
      <c r="T13759" t="s">
        <v>30781</v>
      </c>
      <c r="U13759" t="s">
        <v>30782</v>
      </c>
      <c r="V13759" t="s">
        <v>30783</v>
      </c>
      <c r="W13759" t="s">
        <v>30784</v>
      </c>
      <c r="X13759" t="s">
        <v>42</v>
      </c>
      <c r="Y13759" t="s">
        <v>17171</v>
      </c>
      <c r="Z13759" t="s">
        <v>166</v>
      </c>
      <c r="AA13759" s="22" t="str">
        <f>HYPERLINK("https://www.ncbi.nlm.nih.gov/nuccore/MK882499","NCBI Nucleotide")</f>
        <v>NCBI Nucleotide</v>
      </c>
    </row>
    <row r="13760" spans="1:27" x14ac:dyDescent="0.35">
      <c r="A13760">
        <v>1001807</v>
      </c>
      <c r="B13760">
        <v>12756</v>
      </c>
      <c r="C13760">
        <v>1</v>
      </c>
      <c r="D13760" t="s">
        <v>17166</v>
      </c>
      <c r="F13760" t="s">
        <v>17246</v>
      </c>
      <c r="H13760" t="s">
        <v>28921</v>
      </c>
      <c r="J13760" t="s">
        <v>29538</v>
      </c>
      <c r="L13760" t="s">
        <v>30198</v>
      </c>
      <c r="N13760" t="s">
        <v>30487</v>
      </c>
      <c r="O13760" t="s">
        <v>30498</v>
      </c>
      <c r="P13760" t="s">
        <v>30785</v>
      </c>
      <c r="R13760" s="26" t="str">
        <f>HYPERLINK("https://ictv.global/taxonomy/taxondetails?taxnode_id=202302030","Mischivirus acombewi")</f>
        <v>Mischivirus acombewi</v>
      </c>
      <c r="S13760" t="s">
        <v>30</v>
      </c>
      <c r="T13760" t="s">
        <v>30786</v>
      </c>
      <c r="U13760" t="s">
        <v>30787</v>
      </c>
      <c r="V13760" t="s">
        <v>30788</v>
      </c>
      <c r="W13760" t="s">
        <v>30789</v>
      </c>
      <c r="X13760" t="s">
        <v>42</v>
      </c>
      <c r="Y13760" t="s">
        <v>17171</v>
      </c>
      <c r="Z13760" t="s">
        <v>166</v>
      </c>
      <c r="AA13760" s="22" t="str">
        <f>HYPERLINK("https://www.ncbi.nlm.nih.gov/nuccore/JQ814851","NCBI Nucleotide")</f>
        <v>NCBI Nucleotide</v>
      </c>
    </row>
    <row r="13761" spans="1:27" x14ac:dyDescent="0.35">
      <c r="A13761">
        <v>1001808</v>
      </c>
      <c r="B13761">
        <v>12757</v>
      </c>
      <c r="C13761">
        <v>1</v>
      </c>
      <c r="D13761" t="s">
        <v>17166</v>
      </c>
      <c r="F13761" t="s">
        <v>17246</v>
      </c>
      <c r="H13761" t="s">
        <v>28921</v>
      </c>
      <c r="J13761" t="s">
        <v>29538</v>
      </c>
      <c r="L13761" t="s">
        <v>30198</v>
      </c>
      <c r="N13761" t="s">
        <v>30487</v>
      </c>
      <c r="O13761" t="s">
        <v>30498</v>
      </c>
      <c r="P13761" t="s">
        <v>30785</v>
      </c>
      <c r="R13761" s="26" t="str">
        <f>HYPERLINK("https://ictv.global/taxonomy/taxondetails?taxnode_id=202302031","Mischivirus beminio")</f>
        <v>Mischivirus beminio</v>
      </c>
      <c r="S13761" t="s">
        <v>30</v>
      </c>
      <c r="T13761" t="s">
        <v>30790</v>
      </c>
      <c r="U13761" t="s">
        <v>30791</v>
      </c>
      <c r="V13761" t="s">
        <v>30792</v>
      </c>
      <c r="W13761" t="s">
        <v>30793</v>
      </c>
      <c r="X13761" t="s">
        <v>42</v>
      </c>
      <c r="Y13761" t="s">
        <v>17171</v>
      </c>
      <c r="Z13761" t="s">
        <v>166</v>
      </c>
      <c r="AA13761" s="22" t="str">
        <f>HYPERLINK("https://www.ncbi.nlm.nih.gov/nuccore/KP054273","NCBI Nucleotide")</f>
        <v>NCBI Nucleotide</v>
      </c>
    </row>
    <row r="13762" spans="1:27" x14ac:dyDescent="0.35">
      <c r="A13762">
        <v>1001809</v>
      </c>
      <c r="B13762">
        <v>12758</v>
      </c>
      <c r="C13762">
        <v>1</v>
      </c>
      <c r="D13762" t="s">
        <v>17166</v>
      </c>
      <c r="F13762" t="s">
        <v>17246</v>
      </c>
      <c r="H13762" t="s">
        <v>28921</v>
      </c>
      <c r="J13762" t="s">
        <v>29538</v>
      </c>
      <c r="L13762" t="s">
        <v>30198</v>
      </c>
      <c r="N13762" t="s">
        <v>30487</v>
      </c>
      <c r="O13762" t="s">
        <v>30498</v>
      </c>
      <c r="P13762" t="s">
        <v>30785</v>
      </c>
      <c r="R13762" s="26" t="str">
        <f>HYPERLINK("https://ictv.global/taxonomy/taxondetails?taxnode_id=202302032","Mischivirus cica")</f>
        <v>Mischivirus cica</v>
      </c>
      <c r="S13762" t="s">
        <v>30</v>
      </c>
      <c r="T13762" t="s">
        <v>30794</v>
      </c>
      <c r="U13762" t="s">
        <v>30795</v>
      </c>
      <c r="V13762" t="s">
        <v>30796</v>
      </c>
      <c r="W13762" t="s">
        <v>30797</v>
      </c>
      <c r="X13762" t="s">
        <v>42</v>
      </c>
      <c r="Y13762" t="s">
        <v>17171</v>
      </c>
      <c r="Z13762" t="s">
        <v>166</v>
      </c>
      <c r="AA13762" s="22" t="str">
        <f>HYPERLINK("https://www.ncbi.nlm.nih.gov/nuccore/KP100644","NCBI Nucleotide")</f>
        <v>NCBI Nucleotide</v>
      </c>
    </row>
    <row r="13763" spans="1:27" x14ac:dyDescent="0.35">
      <c r="A13763">
        <v>1001810</v>
      </c>
      <c r="B13763">
        <v>12759</v>
      </c>
      <c r="C13763">
        <v>1</v>
      </c>
      <c r="D13763" t="s">
        <v>17166</v>
      </c>
      <c r="F13763" t="s">
        <v>17246</v>
      </c>
      <c r="H13763" t="s">
        <v>28921</v>
      </c>
      <c r="J13763" t="s">
        <v>29538</v>
      </c>
      <c r="L13763" t="s">
        <v>30198</v>
      </c>
      <c r="N13763" t="s">
        <v>30487</v>
      </c>
      <c r="O13763" t="s">
        <v>30498</v>
      </c>
      <c r="P13763" t="s">
        <v>30785</v>
      </c>
      <c r="R13763" s="26" t="str">
        <f>HYPERLINK("https://ictv.global/taxonomy/taxondetails?taxnode_id=202306330","Mischivirus defoxi")</f>
        <v>Mischivirus defoxi</v>
      </c>
      <c r="S13763" t="s">
        <v>30</v>
      </c>
      <c r="T13763" t="s">
        <v>30798</v>
      </c>
      <c r="U13763" t="s">
        <v>30799</v>
      </c>
      <c r="V13763" t="s">
        <v>30800</v>
      </c>
      <c r="W13763" t="s">
        <v>30801</v>
      </c>
      <c r="X13763" t="s">
        <v>42</v>
      </c>
      <c r="Y13763" t="s">
        <v>17171</v>
      </c>
      <c r="Z13763" t="s">
        <v>166</v>
      </c>
      <c r="AA13763" s="22" t="str">
        <f>HYPERLINK("https://www.ncbi.nlm.nih.gov/nuccore/KY512802","NCBI Nucleotide")</f>
        <v>NCBI Nucleotide</v>
      </c>
    </row>
    <row r="13764" spans="1:27" x14ac:dyDescent="0.35">
      <c r="A13764">
        <v>1001811</v>
      </c>
      <c r="B13764">
        <v>12760</v>
      </c>
      <c r="C13764">
        <v>1</v>
      </c>
      <c r="D13764" t="s">
        <v>17166</v>
      </c>
      <c r="F13764" t="s">
        <v>17246</v>
      </c>
      <c r="H13764" t="s">
        <v>28921</v>
      </c>
      <c r="J13764" t="s">
        <v>29538</v>
      </c>
      <c r="L13764" t="s">
        <v>30198</v>
      </c>
      <c r="N13764" t="s">
        <v>30487</v>
      </c>
      <c r="O13764" t="s">
        <v>30498</v>
      </c>
      <c r="P13764" t="s">
        <v>30785</v>
      </c>
      <c r="R13764" s="26" t="str">
        <f>HYPERLINK("https://ictv.global/taxonomy/taxondetails?taxnode_id=202309157","Mischivirus ehoushre")</f>
        <v>Mischivirus ehoushre</v>
      </c>
      <c r="S13764" t="s">
        <v>30</v>
      </c>
      <c r="T13764" t="s">
        <v>30802</v>
      </c>
      <c r="U13764" t="s">
        <v>30803</v>
      </c>
      <c r="V13764" t="s">
        <v>30804</v>
      </c>
      <c r="W13764" t="s">
        <v>30805</v>
      </c>
      <c r="X13764" t="s">
        <v>42</v>
      </c>
      <c r="Y13764" t="s">
        <v>17171</v>
      </c>
      <c r="Z13764" t="s">
        <v>166</v>
      </c>
      <c r="AA13764" s="22" t="str">
        <f>HYPERLINK("https://www.ncbi.nlm.nih.gov/nuccore/MF352410","NCBI Nucleotide")</f>
        <v>NCBI Nucleotide</v>
      </c>
    </row>
    <row r="13765" spans="1:27" x14ac:dyDescent="0.35">
      <c r="A13765">
        <v>1001812</v>
      </c>
      <c r="B13765">
        <v>12761</v>
      </c>
      <c r="C13765">
        <v>1</v>
      </c>
      <c r="D13765" t="s">
        <v>17166</v>
      </c>
      <c r="F13765" t="s">
        <v>17246</v>
      </c>
      <c r="H13765" t="s">
        <v>28921</v>
      </c>
      <c r="J13765" t="s">
        <v>29538</v>
      </c>
      <c r="L13765" t="s">
        <v>30198</v>
      </c>
      <c r="N13765" t="s">
        <v>30487</v>
      </c>
      <c r="O13765" t="s">
        <v>30498</v>
      </c>
      <c r="P13765" t="s">
        <v>30806</v>
      </c>
      <c r="R13765" s="26" t="str">
        <f>HYPERLINK("https://ictv.global/taxonomy/taxondetails?taxnode_id=202302034","Mosavirus acanmo")</f>
        <v>Mosavirus acanmo</v>
      </c>
      <c r="S13765" t="s">
        <v>30</v>
      </c>
      <c r="T13765" t="s">
        <v>30807</v>
      </c>
      <c r="U13765" t="s">
        <v>30808</v>
      </c>
      <c r="V13765" t="s">
        <v>30809</v>
      </c>
      <c r="W13765" t="s">
        <v>30810</v>
      </c>
      <c r="X13765" t="s">
        <v>42</v>
      </c>
      <c r="Y13765" t="s">
        <v>17171</v>
      </c>
      <c r="Z13765" t="s">
        <v>166</v>
      </c>
      <c r="AA13765" s="22" t="str">
        <f>HYPERLINK("https://www.ncbi.nlm.nih.gov/nuccore/JF973687","NCBI Nucleotide")</f>
        <v>NCBI Nucleotide</v>
      </c>
    </row>
    <row r="13766" spans="1:27" x14ac:dyDescent="0.35">
      <c r="A13766">
        <v>1011474</v>
      </c>
      <c r="B13766">
        <v>12761</v>
      </c>
      <c r="C13766">
        <v>2</v>
      </c>
      <c r="D13766" t="s">
        <v>17166</v>
      </c>
      <c r="F13766" t="s">
        <v>17246</v>
      </c>
      <c r="H13766" t="s">
        <v>28921</v>
      </c>
      <c r="J13766" t="s">
        <v>29538</v>
      </c>
      <c r="L13766" t="s">
        <v>30198</v>
      </c>
      <c r="N13766" t="s">
        <v>30487</v>
      </c>
      <c r="O13766" t="s">
        <v>30498</v>
      </c>
      <c r="P13766" t="s">
        <v>30806</v>
      </c>
      <c r="R13766" s="26" t="str">
        <f>HYPERLINK("https://ictv.global/taxonomy/taxondetails?taxnode_id=202302034","Mosavirus acanmo")</f>
        <v>Mosavirus acanmo</v>
      </c>
      <c r="S13766" t="s">
        <v>8141</v>
      </c>
      <c r="T13766" t="s">
        <v>30811</v>
      </c>
      <c r="U13766" t="s">
        <v>30812</v>
      </c>
      <c r="V13766" t="s">
        <v>30813</v>
      </c>
      <c r="W13766" t="s">
        <v>49695</v>
      </c>
      <c r="X13766" t="s">
        <v>42</v>
      </c>
      <c r="Y13766" t="s">
        <v>17171</v>
      </c>
      <c r="Z13766" t="s">
        <v>166</v>
      </c>
      <c r="AA13766" s="22" t="str">
        <f>HYPERLINK("https://www.ncbi.nlm.nih.gov/nuccore/KF958461","NCBI Nucleotide")</f>
        <v>NCBI Nucleotide</v>
      </c>
    </row>
    <row r="13767" spans="1:27" x14ac:dyDescent="0.35">
      <c r="A13767">
        <v>1001813</v>
      </c>
      <c r="B13767">
        <v>12762</v>
      </c>
      <c r="C13767">
        <v>1</v>
      </c>
      <c r="D13767" t="s">
        <v>17166</v>
      </c>
      <c r="F13767" t="s">
        <v>17246</v>
      </c>
      <c r="H13767" t="s">
        <v>28921</v>
      </c>
      <c r="J13767" t="s">
        <v>29538</v>
      </c>
      <c r="L13767" t="s">
        <v>30198</v>
      </c>
      <c r="N13767" t="s">
        <v>30487</v>
      </c>
      <c r="O13767" t="s">
        <v>30498</v>
      </c>
      <c r="P13767" t="s">
        <v>30806</v>
      </c>
      <c r="R13767" s="26" t="str">
        <f>HYPERLINK("https://ictv.global/taxonomy/taxondetails?taxnode_id=202307369","Mosavirus betibeti")</f>
        <v>Mosavirus betibeti</v>
      </c>
      <c r="S13767" t="s">
        <v>30</v>
      </c>
      <c r="T13767" t="s">
        <v>30814</v>
      </c>
      <c r="U13767" t="s">
        <v>30815</v>
      </c>
      <c r="V13767" t="s">
        <v>30816</v>
      </c>
      <c r="W13767" t="s">
        <v>30817</v>
      </c>
      <c r="X13767" t="s">
        <v>42</v>
      </c>
      <c r="Y13767" t="s">
        <v>17171</v>
      </c>
      <c r="Z13767" t="s">
        <v>166</v>
      </c>
      <c r="AA13767" s="22" t="str">
        <f>HYPERLINK("https://www.ncbi.nlm.nih.gov/nuccore/KY855435","NCBI Nucleotide")</f>
        <v>NCBI Nucleotide</v>
      </c>
    </row>
    <row r="13768" spans="1:27" x14ac:dyDescent="0.35">
      <c r="A13768">
        <v>1001814</v>
      </c>
      <c r="B13768">
        <v>12763</v>
      </c>
      <c r="C13768">
        <v>1</v>
      </c>
      <c r="D13768" t="s">
        <v>17166</v>
      </c>
      <c r="F13768" t="s">
        <v>17246</v>
      </c>
      <c r="H13768" t="s">
        <v>28921</v>
      </c>
      <c r="J13768" t="s">
        <v>29538</v>
      </c>
      <c r="L13768" t="s">
        <v>30198</v>
      </c>
      <c r="N13768" t="s">
        <v>30487</v>
      </c>
      <c r="O13768" t="s">
        <v>30498</v>
      </c>
      <c r="P13768" t="s">
        <v>30818</v>
      </c>
      <c r="R13768" s="26" t="str">
        <f>HYPERLINK("https://ictv.global/taxonomy/taxondetails?taxnode_id=202307398","Mupivirus arati")</f>
        <v>Mupivirus arati</v>
      </c>
      <c r="S13768" t="s">
        <v>30</v>
      </c>
      <c r="T13768" t="s">
        <v>30819</v>
      </c>
      <c r="U13768" t="s">
        <v>30820</v>
      </c>
      <c r="V13768" t="s">
        <v>30821</v>
      </c>
      <c r="W13768" t="s">
        <v>30822</v>
      </c>
      <c r="X13768" t="s">
        <v>42</v>
      </c>
      <c r="Y13768" t="s">
        <v>17171</v>
      </c>
      <c r="Z13768" t="s">
        <v>166</v>
      </c>
      <c r="AA13768" s="22" t="str">
        <f>HYPERLINK("https://www.ncbi.nlm.nih.gov/nuccore/KY432924","NCBI Nucleotide")</f>
        <v>NCBI Nucleotide</v>
      </c>
    </row>
    <row r="13769" spans="1:27" x14ac:dyDescent="0.35">
      <c r="A13769">
        <v>1011475</v>
      </c>
      <c r="B13769">
        <v>12763</v>
      </c>
      <c r="C13769">
        <v>2</v>
      </c>
      <c r="D13769" t="s">
        <v>17166</v>
      </c>
      <c r="F13769" t="s">
        <v>17246</v>
      </c>
      <c r="H13769" t="s">
        <v>28921</v>
      </c>
      <c r="J13769" t="s">
        <v>29538</v>
      </c>
      <c r="L13769" t="s">
        <v>30198</v>
      </c>
      <c r="N13769" t="s">
        <v>30487</v>
      </c>
      <c r="O13769" t="s">
        <v>30498</v>
      </c>
      <c r="P13769" t="s">
        <v>30818</v>
      </c>
      <c r="R13769" s="26" t="str">
        <f>HYPERLINK("https://ictv.global/taxonomy/taxondetails?taxnode_id=202307398","Mupivirus arati")</f>
        <v>Mupivirus arati</v>
      </c>
      <c r="S13769" t="s">
        <v>8141</v>
      </c>
      <c r="T13769" t="s">
        <v>30823</v>
      </c>
      <c r="U13769" t="s">
        <v>30824</v>
      </c>
      <c r="V13769" t="s">
        <v>30825</v>
      </c>
      <c r="W13769" t="s">
        <v>49696</v>
      </c>
      <c r="X13769" t="s">
        <v>42</v>
      </c>
      <c r="Y13769" t="s">
        <v>17171</v>
      </c>
      <c r="Z13769" t="s">
        <v>166</v>
      </c>
      <c r="AA13769" s="22" t="str">
        <f>HYPERLINK("https://www.ncbi.nlm.nih.gov/nuccore/KY432934","NCBI Nucleotide")</f>
        <v>NCBI Nucleotide</v>
      </c>
    </row>
    <row r="13770" spans="1:27" x14ac:dyDescent="0.35">
      <c r="A13770">
        <v>1026430</v>
      </c>
      <c r="B13770">
        <v>12764</v>
      </c>
      <c r="C13770">
        <v>1</v>
      </c>
      <c r="D13770" t="s">
        <v>17166</v>
      </c>
      <c r="F13770" t="s">
        <v>17246</v>
      </c>
      <c r="H13770" t="s">
        <v>28921</v>
      </c>
      <c r="J13770" t="s">
        <v>29538</v>
      </c>
      <c r="L13770" t="s">
        <v>30198</v>
      </c>
      <c r="N13770" t="s">
        <v>30487</v>
      </c>
      <c r="O13770" t="s">
        <v>30498</v>
      </c>
      <c r="P13770" t="s">
        <v>30826</v>
      </c>
      <c r="R13770" s="26" t="str">
        <f>HYPERLINK("https://ictv.global/taxonomy/taxondetails?taxnode_id=202318097","Senecavirus cetus")</f>
        <v>Senecavirus cetus</v>
      </c>
      <c r="S13770" t="s">
        <v>30</v>
      </c>
      <c r="T13770" t="s">
        <v>47288</v>
      </c>
      <c r="U13770" t="s">
        <v>47289</v>
      </c>
      <c r="V13770" t="s">
        <v>47290</v>
      </c>
      <c r="W13770" t="s">
        <v>50927</v>
      </c>
      <c r="X13770" t="s">
        <v>42</v>
      </c>
      <c r="Y13770" t="s">
        <v>17171</v>
      </c>
      <c r="Z13770" t="s">
        <v>166</v>
      </c>
      <c r="AA13770" s="22" t="str">
        <f>HYPERLINK("https://www.ncbi.nlm.nih.gov/nuccore/OR416239","NCBI Nucleotide")</f>
        <v>NCBI Nucleotide</v>
      </c>
    </row>
    <row r="13771" spans="1:27" x14ac:dyDescent="0.35">
      <c r="A13771">
        <v>1001815</v>
      </c>
      <c r="B13771">
        <v>12765</v>
      </c>
      <c r="C13771">
        <v>1</v>
      </c>
      <c r="D13771" t="s">
        <v>17166</v>
      </c>
      <c r="F13771" t="s">
        <v>17246</v>
      </c>
      <c r="H13771" t="s">
        <v>28921</v>
      </c>
      <c r="J13771" t="s">
        <v>29538</v>
      </c>
      <c r="L13771" t="s">
        <v>30198</v>
      </c>
      <c r="N13771" t="s">
        <v>30487</v>
      </c>
      <c r="O13771" t="s">
        <v>30498</v>
      </c>
      <c r="P13771" t="s">
        <v>30826</v>
      </c>
      <c r="R13771" s="26" t="str">
        <f>HYPERLINK("https://ictv.global/taxonomy/taxondetails?taxnode_id=202302061","Senecavirus valles")</f>
        <v>Senecavirus valles</v>
      </c>
      <c r="S13771" t="s">
        <v>30</v>
      </c>
      <c r="T13771" t="s">
        <v>30827</v>
      </c>
      <c r="U13771" t="s">
        <v>20313</v>
      </c>
      <c r="V13771" t="s">
        <v>30828</v>
      </c>
      <c r="W13771" t="s">
        <v>30829</v>
      </c>
      <c r="X13771" t="s">
        <v>42</v>
      </c>
      <c r="Y13771" t="s">
        <v>17171</v>
      </c>
      <c r="Z13771" t="s">
        <v>166</v>
      </c>
      <c r="AA13771" s="22" t="str">
        <f>HYPERLINK("https://www.ncbi.nlm.nih.gov/nuccore/DQ641257","NCBI Nucleotide")</f>
        <v>NCBI Nucleotide</v>
      </c>
    </row>
    <row r="13772" spans="1:27" x14ac:dyDescent="0.35">
      <c r="A13772">
        <v>1001816</v>
      </c>
      <c r="B13772">
        <v>12766</v>
      </c>
      <c r="C13772">
        <v>1</v>
      </c>
      <c r="D13772" t="s">
        <v>17166</v>
      </c>
      <c r="F13772" t="s">
        <v>17246</v>
      </c>
      <c r="H13772" t="s">
        <v>28921</v>
      </c>
      <c r="J13772" t="s">
        <v>29538</v>
      </c>
      <c r="L13772" t="s">
        <v>30198</v>
      </c>
      <c r="N13772" t="s">
        <v>30487</v>
      </c>
      <c r="O13772" t="s">
        <v>30498</v>
      </c>
      <c r="P13772" t="s">
        <v>30830</v>
      </c>
      <c r="R13772" s="26" t="str">
        <f t="shared" ref="R13772:R13785" si="48">HYPERLINK("https://ictv.global/taxonomy/taxondetails?taxnode_id=202302065","Teschovirus asilesi")</f>
        <v>Teschovirus asilesi</v>
      </c>
      <c r="S13772" t="s">
        <v>30</v>
      </c>
      <c r="T13772" t="s">
        <v>30831</v>
      </c>
      <c r="U13772" t="s">
        <v>30832</v>
      </c>
      <c r="V13772" t="s">
        <v>30833</v>
      </c>
      <c r="W13772" t="s">
        <v>30834</v>
      </c>
      <c r="X13772" t="s">
        <v>42</v>
      </c>
      <c r="Y13772" t="s">
        <v>17171</v>
      </c>
      <c r="Z13772" t="s">
        <v>166</v>
      </c>
      <c r="AA13772" s="22" t="str">
        <f>HYPERLINK("https://www.ncbi.nlm.nih.gov/nuccore/AJ011380","NCBI Nucleotide")</f>
        <v>NCBI Nucleotide</v>
      </c>
    </row>
    <row r="13773" spans="1:27" x14ac:dyDescent="0.35">
      <c r="A13773">
        <v>1011476</v>
      </c>
      <c r="B13773">
        <v>12766</v>
      </c>
      <c r="C13773">
        <v>2</v>
      </c>
      <c r="D13773" t="s">
        <v>17166</v>
      </c>
      <c r="F13773" t="s">
        <v>17246</v>
      </c>
      <c r="H13773" t="s">
        <v>28921</v>
      </c>
      <c r="J13773" t="s">
        <v>29538</v>
      </c>
      <c r="L13773" t="s">
        <v>30198</v>
      </c>
      <c r="N13773" t="s">
        <v>30487</v>
      </c>
      <c r="O13773" t="s">
        <v>30498</v>
      </c>
      <c r="P13773" t="s">
        <v>30830</v>
      </c>
      <c r="R13773" s="26" t="str">
        <f t="shared" si="48"/>
        <v>Teschovirus asilesi</v>
      </c>
      <c r="S13773" t="s">
        <v>8141</v>
      </c>
      <c r="T13773" t="s">
        <v>30835</v>
      </c>
      <c r="U13773" t="s">
        <v>30836</v>
      </c>
      <c r="V13773" t="s">
        <v>30837</v>
      </c>
      <c r="W13773" t="s">
        <v>49697</v>
      </c>
      <c r="X13773" t="s">
        <v>42</v>
      </c>
      <c r="Y13773" t="s">
        <v>17171</v>
      </c>
      <c r="Z13773" t="s">
        <v>166</v>
      </c>
      <c r="AA13773" s="22" t="str">
        <f>HYPERLINK("https://www.ncbi.nlm.nih.gov/nuccore/AF296087","NCBI Nucleotide")</f>
        <v>NCBI Nucleotide</v>
      </c>
    </row>
    <row r="13774" spans="1:27" x14ac:dyDescent="0.35">
      <c r="A13774">
        <v>1011477</v>
      </c>
      <c r="B13774">
        <v>12766</v>
      </c>
      <c r="C13774">
        <v>3</v>
      </c>
      <c r="D13774" t="s">
        <v>17166</v>
      </c>
      <c r="F13774" t="s">
        <v>17246</v>
      </c>
      <c r="H13774" t="s">
        <v>28921</v>
      </c>
      <c r="J13774" t="s">
        <v>29538</v>
      </c>
      <c r="L13774" t="s">
        <v>30198</v>
      </c>
      <c r="N13774" t="s">
        <v>30487</v>
      </c>
      <c r="O13774" t="s">
        <v>30498</v>
      </c>
      <c r="P13774" t="s">
        <v>30830</v>
      </c>
      <c r="R13774" s="26" t="str">
        <f t="shared" si="48"/>
        <v>Teschovirus asilesi</v>
      </c>
      <c r="S13774" t="s">
        <v>8141</v>
      </c>
      <c r="T13774" t="s">
        <v>30838</v>
      </c>
      <c r="U13774" t="s">
        <v>30839</v>
      </c>
      <c r="V13774" t="s">
        <v>30840</v>
      </c>
      <c r="W13774" t="s">
        <v>49698</v>
      </c>
      <c r="X13774" t="s">
        <v>42</v>
      </c>
      <c r="Y13774" t="s">
        <v>17171</v>
      </c>
      <c r="Z13774" t="s">
        <v>166</v>
      </c>
      <c r="AA13774" s="22" t="str">
        <f>HYPERLINK("https://www.ncbi.nlm.nih.gov/nuccore/AF296088","NCBI Nucleotide")</f>
        <v>NCBI Nucleotide</v>
      </c>
    </row>
    <row r="13775" spans="1:27" x14ac:dyDescent="0.35">
      <c r="A13775">
        <v>1011478</v>
      </c>
      <c r="B13775">
        <v>12766</v>
      </c>
      <c r="C13775">
        <v>4</v>
      </c>
      <c r="D13775" t="s">
        <v>17166</v>
      </c>
      <c r="F13775" t="s">
        <v>17246</v>
      </c>
      <c r="H13775" t="s">
        <v>28921</v>
      </c>
      <c r="J13775" t="s">
        <v>29538</v>
      </c>
      <c r="L13775" t="s">
        <v>30198</v>
      </c>
      <c r="N13775" t="s">
        <v>30487</v>
      </c>
      <c r="O13775" t="s">
        <v>30498</v>
      </c>
      <c r="P13775" t="s">
        <v>30830</v>
      </c>
      <c r="R13775" s="26" t="str">
        <f t="shared" si="48"/>
        <v>Teschovirus asilesi</v>
      </c>
      <c r="S13775" t="s">
        <v>8141</v>
      </c>
      <c r="T13775" t="s">
        <v>30841</v>
      </c>
      <c r="U13775" t="s">
        <v>30842</v>
      </c>
      <c r="V13775" t="s">
        <v>30843</v>
      </c>
      <c r="W13775" t="s">
        <v>49699</v>
      </c>
      <c r="X13775" t="s">
        <v>42</v>
      </c>
      <c r="Y13775" t="s">
        <v>17171</v>
      </c>
      <c r="Z13775" t="s">
        <v>166</v>
      </c>
      <c r="AA13775" s="22" t="str">
        <f>HYPERLINK("https://www.ncbi.nlm.nih.gov/nuccore/AF296089","NCBI Nucleotide")</f>
        <v>NCBI Nucleotide</v>
      </c>
    </row>
    <row r="13776" spans="1:27" x14ac:dyDescent="0.35">
      <c r="A13776">
        <v>1011479</v>
      </c>
      <c r="B13776">
        <v>12766</v>
      </c>
      <c r="C13776">
        <v>5</v>
      </c>
      <c r="D13776" t="s">
        <v>17166</v>
      </c>
      <c r="F13776" t="s">
        <v>17246</v>
      </c>
      <c r="H13776" t="s">
        <v>28921</v>
      </c>
      <c r="J13776" t="s">
        <v>29538</v>
      </c>
      <c r="L13776" t="s">
        <v>30198</v>
      </c>
      <c r="N13776" t="s">
        <v>30487</v>
      </c>
      <c r="O13776" t="s">
        <v>30498</v>
      </c>
      <c r="P13776" t="s">
        <v>30830</v>
      </c>
      <c r="R13776" s="26" t="str">
        <f t="shared" si="48"/>
        <v>Teschovirus asilesi</v>
      </c>
      <c r="S13776" t="s">
        <v>8141</v>
      </c>
      <c r="T13776" t="s">
        <v>30844</v>
      </c>
      <c r="U13776" t="s">
        <v>30845</v>
      </c>
      <c r="V13776" t="s">
        <v>30846</v>
      </c>
      <c r="W13776" t="s">
        <v>49700</v>
      </c>
      <c r="X13776" t="s">
        <v>42</v>
      </c>
      <c r="Y13776" t="s">
        <v>17171</v>
      </c>
      <c r="Z13776" t="s">
        <v>166</v>
      </c>
      <c r="AA13776" s="22" t="str">
        <f>HYPERLINK("https://www.ncbi.nlm.nih.gov/nuccore/AF296090","NCBI Nucleotide")</f>
        <v>NCBI Nucleotide</v>
      </c>
    </row>
    <row r="13777" spans="1:27" x14ac:dyDescent="0.35">
      <c r="A13777">
        <v>1011480</v>
      </c>
      <c r="B13777">
        <v>12766</v>
      </c>
      <c r="C13777">
        <v>6</v>
      </c>
      <c r="D13777" t="s">
        <v>17166</v>
      </c>
      <c r="F13777" t="s">
        <v>17246</v>
      </c>
      <c r="H13777" t="s">
        <v>28921</v>
      </c>
      <c r="J13777" t="s">
        <v>29538</v>
      </c>
      <c r="L13777" t="s">
        <v>30198</v>
      </c>
      <c r="N13777" t="s">
        <v>30487</v>
      </c>
      <c r="O13777" t="s">
        <v>30498</v>
      </c>
      <c r="P13777" t="s">
        <v>30830</v>
      </c>
      <c r="R13777" s="26" t="str">
        <f t="shared" si="48"/>
        <v>Teschovirus asilesi</v>
      </c>
      <c r="S13777" t="s">
        <v>8141</v>
      </c>
      <c r="T13777" t="s">
        <v>30847</v>
      </c>
      <c r="U13777" t="s">
        <v>30848</v>
      </c>
      <c r="V13777" t="s">
        <v>30849</v>
      </c>
      <c r="W13777" t="s">
        <v>49701</v>
      </c>
      <c r="X13777" t="s">
        <v>42</v>
      </c>
      <c r="Y13777" t="s">
        <v>17171</v>
      </c>
      <c r="Z13777" t="s">
        <v>166</v>
      </c>
      <c r="AA13777" s="22" t="str">
        <f>HYPERLINK("https://www.ncbi.nlm.nih.gov/nuccore/AF296091","NCBI Nucleotide")</f>
        <v>NCBI Nucleotide</v>
      </c>
    </row>
    <row r="13778" spans="1:27" x14ac:dyDescent="0.35">
      <c r="A13778">
        <v>1011481</v>
      </c>
      <c r="B13778">
        <v>12766</v>
      </c>
      <c r="C13778">
        <v>7</v>
      </c>
      <c r="D13778" t="s">
        <v>17166</v>
      </c>
      <c r="F13778" t="s">
        <v>17246</v>
      </c>
      <c r="H13778" t="s">
        <v>28921</v>
      </c>
      <c r="J13778" t="s">
        <v>29538</v>
      </c>
      <c r="L13778" t="s">
        <v>30198</v>
      </c>
      <c r="N13778" t="s">
        <v>30487</v>
      </c>
      <c r="O13778" t="s">
        <v>30498</v>
      </c>
      <c r="P13778" t="s">
        <v>30830</v>
      </c>
      <c r="R13778" s="26" t="str">
        <f t="shared" si="48"/>
        <v>Teschovirus asilesi</v>
      </c>
      <c r="S13778" t="s">
        <v>8141</v>
      </c>
      <c r="T13778" t="s">
        <v>30850</v>
      </c>
      <c r="U13778" t="s">
        <v>30851</v>
      </c>
      <c r="V13778" t="s">
        <v>30852</v>
      </c>
      <c r="W13778" t="s">
        <v>49702</v>
      </c>
      <c r="X13778" t="s">
        <v>42</v>
      </c>
      <c r="Y13778" t="s">
        <v>17171</v>
      </c>
      <c r="Z13778" t="s">
        <v>166</v>
      </c>
      <c r="AA13778" s="22" t="str">
        <f>HYPERLINK("https://www.ncbi.nlm.nih.gov/nuccore/AF296092","NCBI Nucleotide")</f>
        <v>NCBI Nucleotide</v>
      </c>
    </row>
    <row r="13779" spans="1:27" x14ac:dyDescent="0.35">
      <c r="A13779">
        <v>1011482</v>
      </c>
      <c r="B13779">
        <v>12766</v>
      </c>
      <c r="C13779">
        <v>8</v>
      </c>
      <c r="D13779" t="s">
        <v>17166</v>
      </c>
      <c r="F13779" t="s">
        <v>17246</v>
      </c>
      <c r="H13779" t="s">
        <v>28921</v>
      </c>
      <c r="J13779" t="s">
        <v>29538</v>
      </c>
      <c r="L13779" t="s">
        <v>30198</v>
      </c>
      <c r="N13779" t="s">
        <v>30487</v>
      </c>
      <c r="O13779" t="s">
        <v>30498</v>
      </c>
      <c r="P13779" t="s">
        <v>30830</v>
      </c>
      <c r="R13779" s="26" t="str">
        <f t="shared" si="48"/>
        <v>Teschovirus asilesi</v>
      </c>
      <c r="S13779" t="s">
        <v>8141</v>
      </c>
      <c r="T13779" t="s">
        <v>30853</v>
      </c>
      <c r="U13779" t="s">
        <v>30854</v>
      </c>
      <c r="V13779" t="s">
        <v>30855</v>
      </c>
      <c r="W13779" t="s">
        <v>49703</v>
      </c>
      <c r="X13779" t="s">
        <v>42</v>
      </c>
      <c r="Y13779" t="s">
        <v>17171</v>
      </c>
      <c r="Z13779" t="s">
        <v>166</v>
      </c>
      <c r="AA13779" s="22" t="str">
        <f>HYPERLINK("https://www.ncbi.nlm.nih.gov/nuccore/AF296093","NCBI Nucleotide")</f>
        <v>NCBI Nucleotide</v>
      </c>
    </row>
    <row r="13780" spans="1:27" x14ac:dyDescent="0.35">
      <c r="A13780">
        <v>1011483</v>
      </c>
      <c r="B13780">
        <v>12766</v>
      </c>
      <c r="C13780">
        <v>9</v>
      </c>
      <c r="D13780" t="s">
        <v>17166</v>
      </c>
      <c r="F13780" t="s">
        <v>17246</v>
      </c>
      <c r="H13780" t="s">
        <v>28921</v>
      </c>
      <c r="J13780" t="s">
        <v>29538</v>
      </c>
      <c r="L13780" t="s">
        <v>30198</v>
      </c>
      <c r="N13780" t="s">
        <v>30487</v>
      </c>
      <c r="O13780" t="s">
        <v>30498</v>
      </c>
      <c r="P13780" t="s">
        <v>30830</v>
      </c>
      <c r="R13780" s="26" t="str">
        <f t="shared" si="48"/>
        <v>Teschovirus asilesi</v>
      </c>
      <c r="S13780" t="s">
        <v>8141</v>
      </c>
      <c r="T13780" t="s">
        <v>30856</v>
      </c>
      <c r="U13780" t="s">
        <v>30857</v>
      </c>
      <c r="V13780" t="s">
        <v>30858</v>
      </c>
      <c r="W13780" t="s">
        <v>49704</v>
      </c>
      <c r="X13780" t="s">
        <v>42</v>
      </c>
      <c r="Y13780" t="s">
        <v>17171</v>
      </c>
      <c r="Z13780" t="s">
        <v>166</v>
      </c>
      <c r="AA13780" s="22" t="str">
        <f>HYPERLINK("https://www.ncbi.nlm.nih.gov/nuccore/AF296094","NCBI Nucleotide")</f>
        <v>NCBI Nucleotide</v>
      </c>
    </row>
    <row r="13781" spans="1:27" x14ac:dyDescent="0.35">
      <c r="A13781">
        <v>1011484</v>
      </c>
      <c r="B13781">
        <v>12766</v>
      </c>
      <c r="C13781">
        <v>10</v>
      </c>
      <c r="D13781" t="s">
        <v>17166</v>
      </c>
      <c r="F13781" t="s">
        <v>17246</v>
      </c>
      <c r="H13781" t="s">
        <v>28921</v>
      </c>
      <c r="J13781" t="s">
        <v>29538</v>
      </c>
      <c r="L13781" t="s">
        <v>30198</v>
      </c>
      <c r="N13781" t="s">
        <v>30487</v>
      </c>
      <c r="O13781" t="s">
        <v>30498</v>
      </c>
      <c r="P13781" t="s">
        <v>30830</v>
      </c>
      <c r="R13781" s="26" t="str">
        <f t="shared" si="48"/>
        <v>Teschovirus asilesi</v>
      </c>
      <c r="S13781" t="s">
        <v>8141</v>
      </c>
      <c r="T13781" t="s">
        <v>30859</v>
      </c>
      <c r="U13781" t="s">
        <v>30860</v>
      </c>
      <c r="V13781" t="s">
        <v>30861</v>
      </c>
      <c r="W13781" t="s">
        <v>49705</v>
      </c>
      <c r="X13781" t="s">
        <v>42</v>
      </c>
      <c r="Y13781" t="s">
        <v>17171</v>
      </c>
      <c r="Z13781" t="s">
        <v>166</v>
      </c>
      <c r="AA13781" s="22" t="str">
        <f>HYPERLINK("https://www.ncbi.nlm.nih.gov/nuccore/AF296095","NCBI Nucleotide")</f>
        <v>NCBI Nucleotide</v>
      </c>
    </row>
    <row r="13782" spans="1:27" x14ac:dyDescent="0.35">
      <c r="A13782">
        <v>1011485</v>
      </c>
      <c r="B13782">
        <v>12766</v>
      </c>
      <c r="C13782">
        <v>11</v>
      </c>
      <c r="D13782" t="s">
        <v>17166</v>
      </c>
      <c r="F13782" t="s">
        <v>17246</v>
      </c>
      <c r="H13782" t="s">
        <v>28921</v>
      </c>
      <c r="J13782" t="s">
        <v>29538</v>
      </c>
      <c r="L13782" t="s">
        <v>30198</v>
      </c>
      <c r="N13782" t="s">
        <v>30487</v>
      </c>
      <c r="O13782" t="s">
        <v>30498</v>
      </c>
      <c r="P13782" t="s">
        <v>30830</v>
      </c>
      <c r="R13782" s="26" t="str">
        <f t="shared" si="48"/>
        <v>Teschovirus asilesi</v>
      </c>
      <c r="S13782" t="s">
        <v>8141</v>
      </c>
      <c r="T13782" t="s">
        <v>30862</v>
      </c>
      <c r="U13782" t="s">
        <v>30863</v>
      </c>
      <c r="V13782" t="s">
        <v>30864</v>
      </c>
      <c r="W13782" t="s">
        <v>49706</v>
      </c>
      <c r="X13782" t="s">
        <v>42</v>
      </c>
      <c r="Y13782" t="s">
        <v>17171</v>
      </c>
      <c r="Z13782" t="s">
        <v>166</v>
      </c>
      <c r="AA13782" s="22" t="str">
        <f>HYPERLINK("https://www.ncbi.nlm.nih.gov/nuccore/AF296096","NCBI Nucleotide")</f>
        <v>NCBI Nucleotide</v>
      </c>
    </row>
    <row r="13783" spans="1:27" x14ac:dyDescent="0.35">
      <c r="A13783">
        <v>1011486</v>
      </c>
      <c r="B13783">
        <v>12766</v>
      </c>
      <c r="C13783">
        <v>12</v>
      </c>
      <c r="D13783" t="s">
        <v>17166</v>
      </c>
      <c r="F13783" t="s">
        <v>17246</v>
      </c>
      <c r="H13783" t="s">
        <v>28921</v>
      </c>
      <c r="J13783" t="s">
        <v>29538</v>
      </c>
      <c r="L13783" t="s">
        <v>30198</v>
      </c>
      <c r="N13783" t="s">
        <v>30487</v>
      </c>
      <c r="O13783" t="s">
        <v>30498</v>
      </c>
      <c r="P13783" t="s">
        <v>30830</v>
      </c>
      <c r="R13783" s="26" t="str">
        <f t="shared" si="48"/>
        <v>Teschovirus asilesi</v>
      </c>
      <c r="S13783" t="s">
        <v>8141</v>
      </c>
      <c r="T13783" t="s">
        <v>30865</v>
      </c>
      <c r="U13783" t="s">
        <v>30866</v>
      </c>
      <c r="V13783" t="s">
        <v>30867</v>
      </c>
      <c r="W13783" t="s">
        <v>49707</v>
      </c>
      <c r="X13783" t="s">
        <v>154</v>
      </c>
      <c r="Y13783" t="s">
        <v>17171</v>
      </c>
      <c r="Z13783" t="s">
        <v>166</v>
      </c>
      <c r="AA13783" s="22" t="str">
        <f>HYPERLINK("https://www.ncbi.nlm.nih.gov/nuccore/JF724001","NCBI Nucleotide")</f>
        <v>NCBI Nucleotide</v>
      </c>
    </row>
    <row r="13784" spans="1:27" x14ac:dyDescent="0.35">
      <c r="A13784">
        <v>1011487</v>
      </c>
      <c r="B13784">
        <v>12766</v>
      </c>
      <c r="C13784">
        <v>13</v>
      </c>
      <c r="D13784" t="s">
        <v>17166</v>
      </c>
      <c r="F13784" t="s">
        <v>17246</v>
      </c>
      <c r="H13784" t="s">
        <v>28921</v>
      </c>
      <c r="J13784" t="s">
        <v>29538</v>
      </c>
      <c r="L13784" t="s">
        <v>30198</v>
      </c>
      <c r="N13784" t="s">
        <v>30487</v>
      </c>
      <c r="O13784" t="s">
        <v>30498</v>
      </c>
      <c r="P13784" t="s">
        <v>30830</v>
      </c>
      <c r="R13784" s="26" t="str">
        <f t="shared" si="48"/>
        <v>Teschovirus asilesi</v>
      </c>
      <c r="S13784" t="s">
        <v>8141</v>
      </c>
      <c r="T13784" t="s">
        <v>30868</v>
      </c>
      <c r="U13784" t="s">
        <v>30869</v>
      </c>
      <c r="V13784" t="s">
        <v>30870</v>
      </c>
      <c r="W13784" t="s">
        <v>49708</v>
      </c>
      <c r="X13784" t="s">
        <v>42</v>
      </c>
      <c r="Y13784" t="s">
        <v>17171</v>
      </c>
      <c r="Z13784" t="s">
        <v>166</v>
      </c>
      <c r="AA13784" s="22" t="str">
        <f>HYPERLINK("https://www.ncbi.nlm.nih.gov/nuccore/JQ429405","NCBI Nucleotide")</f>
        <v>NCBI Nucleotide</v>
      </c>
    </row>
    <row r="13785" spans="1:27" x14ac:dyDescent="0.35">
      <c r="A13785">
        <v>1011488</v>
      </c>
      <c r="B13785">
        <v>12766</v>
      </c>
      <c r="C13785">
        <v>14</v>
      </c>
      <c r="D13785" t="s">
        <v>17166</v>
      </c>
      <c r="F13785" t="s">
        <v>17246</v>
      </c>
      <c r="H13785" t="s">
        <v>28921</v>
      </c>
      <c r="J13785" t="s">
        <v>29538</v>
      </c>
      <c r="L13785" t="s">
        <v>30198</v>
      </c>
      <c r="N13785" t="s">
        <v>30487</v>
      </c>
      <c r="O13785" t="s">
        <v>30498</v>
      </c>
      <c r="P13785" t="s">
        <v>30830</v>
      </c>
      <c r="R13785" s="26" t="str">
        <f t="shared" si="48"/>
        <v>Teschovirus asilesi</v>
      </c>
      <c r="S13785" t="s">
        <v>8141</v>
      </c>
      <c r="T13785" t="s">
        <v>30871</v>
      </c>
      <c r="U13785" t="s">
        <v>30872</v>
      </c>
      <c r="V13785" t="s">
        <v>30873</v>
      </c>
      <c r="W13785" t="s">
        <v>49709</v>
      </c>
      <c r="X13785" t="s">
        <v>154</v>
      </c>
      <c r="Y13785" t="s">
        <v>17171</v>
      </c>
      <c r="Z13785" t="s">
        <v>166</v>
      </c>
      <c r="AA13785" s="22" t="str">
        <f>HYPERLINK("https://www.ncbi.nlm.nih.gov/nuccore/LC386160","NCBI Nucleotide")</f>
        <v>NCBI Nucleotide</v>
      </c>
    </row>
    <row r="13786" spans="1:27" x14ac:dyDescent="0.35">
      <c r="A13786">
        <v>1001817</v>
      </c>
      <c r="B13786">
        <v>12767</v>
      </c>
      <c r="C13786">
        <v>1</v>
      </c>
      <c r="D13786" t="s">
        <v>17166</v>
      </c>
      <c r="F13786" t="s">
        <v>17246</v>
      </c>
      <c r="H13786" t="s">
        <v>28921</v>
      </c>
      <c r="J13786" t="s">
        <v>29538</v>
      </c>
      <c r="L13786" t="s">
        <v>30198</v>
      </c>
      <c r="N13786" t="s">
        <v>30487</v>
      </c>
      <c r="O13786" t="s">
        <v>30498</v>
      </c>
      <c r="P13786" t="s">
        <v>30830</v>
      </c>
      <c r="R13786" s="26" t="str">
        <f>HYPERLINK("https://ictv.global/taxonomy/taxondetails?taxnode_id=202307451","Teschovirus bishikawa")</f>
        <v>Teschovirus bishikawa</v>
      </c>
      <c r="S13786" t="s">
        <v>30</v>
      </c>
      <c r="T13786" t="s">
        <v>30874</v>
      </c>
      <c r="U13786" t="s">
        <v>30875</v>
      </c>
      <c r="V13786" t="s">
        <v>30876</v>
      </c>
      <c r="W13786" t="s">
        <v>30877</v>
      </c>
      <c r="X13786" t="s">
        <v>42</v>
      </c>
      <c r="Y13786" t="s">
        <v>17171</v>
      </c>
      <c r="Z13786" t="s">
        <v>166</v>
      </c>
      <c r="AA13786" s="22" t="str">
        <f>HYPERLINK("https://www.ncbi.nlm.nih.gov/nuccore/MG875515","NCBI Nucleotide")</f>
        <v>NCBI Nucleotide</v>
      </c>
    </row>
    <row r="13787" spans="1:27" x14ac:dyDescent="0.35">
      <c r="A13787">
        <v>1011489</v>
      </c>
      <c r="B13787">
        <v>12767</v>
      </c>
      <c r="C13787">
        <v>2</v>
      </c>
      <c r="D13787" t="s">
        <v>17166</v>
      </c>
      <c r="F13787" t="s">
        <v>17246</v>
      </c>
      <c r="H13787" t="s">
        <v>28921</v>
      </c>
      <c r="J13787" t="s">
        <v>29538</v>
      </c>
      <c r="L13787" t="s">
        <v>30198</v>
      </c>
      <c r="N13787" t="s">
        <v>30487</v>
      </c>
      <c r="O13787" t="s">
        <v>30498</v>
      </c>
      <c r="P13787" t="s">
        <v>30830</v>
      </c>
      <c r="R13787" s="26" t="str">
        <f>HYPERLINK("https://ictv.global/taxonomy/taxondetails?taxnode_id=202307451","Teschovirus bishikawa")</f>
        <v>Teschovirus bishikawa</v>
      </c>
      <c r="S13787" t="s">
        <v>8141</v>
      </c>
      <c r="T13787" t="s">
        <v>30878</v>
      </c>
      <c r="U13787" t="s">
        <v>30879</v>
      </c>
      <c r="V13787" t="s">
        <v>30880</v>
      </c>
      <c r="W13787" t="s">
        <v>49710</v>
      </c>
      <c r="X13787" t="s">
        <v>42</v>
      </c>
      <c r="Y13787" t="s">
        <v>17171</v>
      </c>
      <c r="Z13787" t="s">
        <v>166</v>
      </c>
      <c r="AA13787" s="22" t="str">
        <f>HYPERLINK("https://www.ncbi.nlm.nih.gov/nuccore/LC386157","NCBI Nucleotide")</f>
        <v>NCBI Nucleotide</v>
      </c>
    </row>
    <row r="13788" spans="1:27" x14ac:dyDescent="0.35">
      <c r="A13788">
        <v>1011490</v>
      </c>
      <c r="B13788">
        <v>12767</v>
      </c>
      <c r="C13788">
        <v>3</v>
      </c>
      <c r="D13788" t="s">
        <v>17166</v>
      </c>
      <c r="F13788" t="s">
        <v>17246</v>
      </c>
      <c r="H13788" t="s">
        <v>28921</v>
      </c>
      <c r="J13788" t="s">
        <v>29538</v>
      </c>
      <c r="L13788" t="s">
        <v>30198</v>
      </c>
      <c r="N13788" t="s">
        <v>30487</v>
      </c>
      <c r="O13788" t="s">
        <v>30498</v>
      </c>
      <c r="P13788" t="s">
        <v>30830</v>
      </c>
      <c r="R13788" s="26" t="str">
        <f>HYPERLINK("https://ictv.global/taxonomy/taxondetails?taxnode_id=202307451","Teschovirus bishikawa")</f>
        <v>Teschovirus bishikawa</v>
      </c>
      <c r="S13788" t="s">
        <v>8141</v>
      </c>
      <c r="T13788" t="s">
        <v>30881</v>
      </c>
      <c r="U13788" t="s">
        <v>30882</v>
      </c>
      <c r="V13788" t="s">
        <v>30883</v>
      </c>
      <c r="W13788" t="s">
        <v>49711</v>
      </c>
      <c r="X13788" t="s">
        <v>154</v>
      </c>
      <c r="Y13788" t="s">
        <v>17171</v>
      </c>
      <c r="Z13788" t="s">
        <v>166</v>
      </c>
      <c r="AA13788" s="22" t="str">
        <f>HYPERLINK("https://www.ncbi.nlm.nih.gov/nuccore/MG875516","NCBI Nucleotide")</f>
        <v>NCBI Nucleotide</v>
      </c>
    </row>
    <row r="13789" spans="1:27" x14ac:dyDescent="0.35">
      <c r="A13789">
        <v>1001818</v>
      </c>
      <c r="B13789">
        <v>12768</v>
      </c>
      <c r="C13789">
        <v>1</v>
      </c>
      <c r="D13789" t="s">
        <v>17166</v>
      </c>
      <c r="F13789" t="s">
        <v>17246</v>
      </c>
      <c r="H13789" t="s">
        <v>28921</v>
      </c>
      <c r="J13789" t="s">
        <v>29538</v>
      </c>
      <c r="L13789" t="s">
        <v>30198</v>
      </c>
      <c r="N13789" t="s">
        <v>30487</v>
      </c>
      <c r="O13789" t="s">
        <v>30498</v>
      </c>
      <c r="P13789" t="s">
        <v>30884</v>
      </c>
      <c r="R13789" s="26" t="str">
        <f>HYPERLINK("https://ictv.global/taxonomy/taxondetails?taxnode_id=202302067","Torchivirus atorpi")</f>
        <v>Torchivirus atorpi</v>
      </c>
      <c r="S13789" t="s">
        <v>30</v>
      </c>
      <c r="T13789" t="s">
        <v>30885</v>
      </c>
      <c r="U13789" t="s">
        <v>30886</v>
      </c>
      <c r="V13789" t="s">
        <v>30887</v>
      </c>
      <c r="W13789" t="s">
        <v>30888</v>
      </c>
      <c r="X13789" t="s">
        <v>42</v>
      </c>
      <c r="Y13789" t="s">
        <v>17171</v>
      </c>
      <c r="Z13789" t="s">
        <v>166</v>
      </c>
      <c r="AA13789" s="22" t="str">
        <f>HYPERLINK("https://www.ncbi.nlm.nih.gov/nuccore/KM873611","NCBI Nucleotide")</f>
        <v>NCBI Nucleotide</v>
      </c>
    </row>
    <row r="13790" spans="1:27" x14ac:dyDescent="0.35">
      <c r="A13790">
        <v>1001819</v>
      </c>
      <c r="B13790">
        <v>12769</v>
      </c>
      <c r="C13790">
        <v>1</v>
      </c>
      <c r="D13790" t="s">
        <v>17166</v>
      </c>
      <c r="F13790" t="s">
        <v>17246</v>
      </c>
      <c r="H13790" t="s">
        <v>28921</v>
      </c>
      <c r="J13790" t="s">
        <v>29538</v>
      </c>
      <c r="L13790" t="s">
        <v>30198</v>
      </c>
      <c r="N13790" t="s">
        <v>30487</v>
      </c>
      <c r="O13790" t="s">
        <v>30498</v>
      </c>
      <c r="P13790" t="s">
        <v>30889</v>
      </c>
      <c r="R13790" s="26" t="str">
        <f>HYPERLINK("https://ictv.global/taxonomy/taxondetails?taxnode_id=202306483","Tottorivirus asuscro")</f>
        <v>Tottorivirus asuscro</v>
      </c>
      <c r="S13790" t="s">
        <v>30</v>
      </c>
      <c r="T13790" t="s">
        <v>30890</v>
      </c>
      <c r="U13790" t="s">
        <v>30891</v>
      </c>
      <c r="V13790" t="s">
        <v>30892</v>
      </c>
      <c r="W13790" t="s">
        <v>30893</v>
      </c>
      <c r="X13790" t="s">
        <v>42</v>
      </c>
      <c r="Y13790" t="s">
        <v>17171</v>
      </c>
      <c r="Z13790" t="s">
        <v>166</v>
      </c>
      <c r="AA13790" s="22" t="str">
        <f>HYPERLINK("https://www.ncbi.nlm.nih.gov/nuccore/LC113907","NCBI Nucleotide")</f>
        <v>NCBI Nucleotide</v>
      </c>
    </row>
    <row r="13791" spans="1:27" x14ac:dyDescent="0.35">
      <c r="A13791">
        <v>1001820</v>
      </c>
      <c r="B13791">
        <v>12770</v>
      </c>
      <c r="C13791">
        <v>1</v>
      </c>
      <c r="D13791" t="s">
        <v>17166</v>
      </c>
      <c r="F13791" t="s">
        <v>17246</v>
      </c>
      <c r="H13791" t="s">
        <v>28921</v>
      </c>
      <c r="J13791" t="s">
        <v>29538</v>
      </c>
      <c r="L13791" t="s">
        <v>30198</v>
      </c>
      <c r="N13791" t="s">
        <v>30487</v>
      </c>
      <c r="O13791" t="s">
        <v>30894</v>
      </c>
      <c r="P13791" t="s">
        <v>30895</v>
      </c>
      <c r="R13791" s="26" t="str">
        <f>HYPERLINK("https://ictv.global/taxonomy/taxondetails?taxnode_id=202302057","Anativirus aductai")</f>
        <v>Anativirus aductai</v>
      </c>
      <c r="S13791" t="s">
        <v>30</v>
      </c>
      <c r="T13791" t="s">
        <v>30896</v>
      </c>
      <c r="U13791" t="s">
        <v>30897</v>
      </c>
      <c r="V13791" t="s">
        <v>30898</v>
      </c>
      <c r="W13791" t="s">
        <v>30899</v>
      </c>
      <c r="X13791" t="s">
        <v>42</v>
      </c>
      <c r="Y13791" t="s">
        <v>17171</v>
      </c>
      <c r="Z13791" t="s">
        <v>166</v>
      </c>
      <c r="AA13791" s="22" t="str">
        <f>HYPERLINK("https://www.ncbi.nlm.nih.gov/nuccore/AY563023","NCBI Nucleotide")</f>
        <v>NCBI Nucleotide</v>
      </c>
    </row>
    <row r="13792" spans="1:27" x14ac:dyDescent="0.35">
      <c r="A13792">
        <v>1001821</v>
      </c>
      <c r="B13792">
        <v>12771</v>
      </c>
      <c r="C13792">
        <v>1</v>
      </c>
      <c r="D13792" t="s">
        <v>17166</v>
      </c>
      <c r="F13792" t="s">
        <v>17246</v>
      </c>
      <c r="H13792" t="s">
        <v>28921</v>
      </c>
      <c r="J13792" t="s">
        <v>29538</v>
      </c>
      <c r="L13792" t="s">
        <v>30198</v>
      </c>
      <c r="N13792" t="s">
        <v>30487</v>
      </c>
      <c r="O13792" t="s">
        <v>30894</v>
      </c>
      <c r="P13792" t="s">
        <v>30895</v>
      </c>
      <c r="R13792" s="26" t="str">
        <f>HYPERLINK("https://ictv.global/taxonomy/taxondetails?taxnode_id=202308674","Anativirus biphaco")</f>
        <v>Anativirus biphaco</v>
      </c>
      <c r="S13792" t="s">
        <v>30</v>
      </c>
      <c r="T13792" t="s">
        <v>30900</v>
      </c>
      <c r="U13792" t="s">
        <v>30901</v>
      </c>
      <c r="V13792" t="s">
        <v>30902</v>
      </c>
      <c r="W13792" t="s">
        <v>30903</v>
      </c>
      <c r="X13792" t="s">
        <v>42</v>
      </c>
      <c r="Y13792" t="s">
        <v>17171</v>
      </c>
      <c r="Z13792" t="s">
        <v>166</v>
      </c>
      <c r="AA13792" s="22" t="str">
        <f>HYPERLINK("https://www.ncbi.nlm.nih.gov/nuccore/KT880670","NCBI Nucleotide")</f>
        <v>NCBI Nucleotide</v>
      </c>
    </row>
    <row r="13793" spans="1:27" x14ac:dyDescent="0.35">
      <c r="A13793">
        <v>1001822</v>
      </c>
      <c r="B13793">
        <v>12772</v>
      </c>
      <c r="C13793">
        <v>1</v>
      </c>
      <c r="D13793" t="s">
        <v>17166</v>
      </c>
      <c r="F13793" t="s">
        <v>17246</v>
      </c>
      <c r="H13793" t="s">
        <v>28921</v>
      </c>
      <c r="J13793" t="s">
        <v>29538</v>
      </c>
      <c r="L13793" t="s">
        <v>30198</v>
      </c>
      <c r="N13793" t="s">
        <v>30487</v>
      </c>
      <c r="O13793" t="s">
        <v>30894</v>
      </c>
      <c r="P13793" t="s">
        <v>30904</v>
      </c>
      <c r="R13793" s="26" t="str">
        <f>HYPERLINK("https://ictv.global/taxonomy/taxondetails?taxnode_id=202308697","Boosepivirus atauri")</f>
        <v>Boosepivirus atauri</v>
      </c>
      <c r="S13793" t="s">
        <v>30</v>
      </c>
      <c r="T13793" t="s">
        <v>30905</v>
      </c>
      <c r="U13793" t="s">
        <v>30906</v>
      </c>
      <c r="V13793" t="s">
        <v>30907</v>
      </c>
      <c r="W13793" t="s">
        <v>30908</v>
      </c>
      <c r="X13793" t="s">
        <v>42</v>
      </c>
      <c r="Y13793" t="s">
        <v>17171</v>
      </c>
      <c r="Z13793" t="s">
        <v>166</v>
      </c>
      <c r="AA13793" s="22" t="str">
        <f>HYPERLINK("https://www.ncbi.nlm.nih.gov/nuccore/LC006971","NCBI Nucleotide")</f>
        <v>NCBI Nucleotide</v>
      </c>
    </row>
    <row r="13794" spans="1:27" x14ac:dyDescent="0.35">
      <c r="A13794">
        <v>1001823</v>
      </c>
      <c r="B13794">
        <v>12773</v>
      </c>
      <c r="C13794">
        <v>1</v>
      </c>
      <c r="D13794" t="s">
        <v>17166</v>
      </c>
      <c r="F13794" t="s">
        <v>17246</v>
      </c>
      <c r="H13794" t="s">
        <v>28921</v>
      </c>
      <c r="J13794" t="s">
        <v>29538</v>
      </c>
      <c r="L13794" t="s">
        <v>30198</v>
      </c>
      <c r="N13794" t="s">
        <v>30487</v>
      </c>
      <c r="O13794" t="s">
        <v>30894</v>
      </c>
      <c r="P13794" t="s">
        <v>30904</v>
      </c>
      <c r="R13794" s="26" t="str">
        <f>HYPERLINK("https://ictv.global/taxonomy/taxondetails?taxnode_id=202308698","Boosepivirus bebovi")</f>
        <v>Boosepivirus bebovi</v>
      </c>
      <c r="S13794" t="s">
        <v>30</v>
      </c>
      <c r="T13794" t="s">
        <v>30909</v>
      </c>
      <c r="U13794" t="s">
        <v>30910</v>
      </c>
      <c r="V13794" t="s">
        <v>30911</v>
      </c>
      <c r="W13794" t="s">
        <v>30912</v>
      </c>
      <c r="X13794" t="s">
        <v>42</v>
      </c>
      <c r="Y13794" t="s">
        <v>17171</v>
      </c>
      <c r="Z13794" t="s">
        <v>166</v>
      </c>
      <c r="AA13794" s="22" t="str">
        <f>HYPERLINK("https://www.ncbi.nlm.nih.gov/nuccore/LC036579","NCBI Nucleotide")</f>
        <v>NCBI Nucleotide</v>
      </c>
    </row>
    <row r="13795" spans="1:27" x14ac:dyDescent="0.35">
      <c r="A13795">
        <v>1011491</v>
      </c>
      <c r="B13795">
        <v>12773</v>
      </c>
      <c r="C13795">
        <v>2</v>
      </c>
      <c r="D13795" t="s">
        <v>17166</v>
      </c>
      <c r="F13795" t="s">
        <v>17246</v>
      </c>
      <c r="H13795" t="s">
        <v>28921</v>
      </c>
      <c r="J13795" t="s">
        <v>29538</v>
      </c>
      <c r="L13795" t="s">
        <v>30198</v>
      </c>
      <c r="N13795" t="s">
        <v>30487</v>
      </c>
      <c r="O13795" t="s">
        <v>30894</v>
      </c>
      <c r="P13795" t="s">
        <v>30904</v>
      </c>
      <c r="R13795" s="26" t="str">
        <f>HYPERLINK("https://ictv.global/taxonomy/taxondetails?taxnode_id=202308698","Boosepivirus bebovi")</f>
        <v>Boosepivirus bebovi</v>
      </c>
      <c r="S13795" t="s">
        <v>8141</v>
      </c>
      <c r="T13795" t="s">
        <v>30913</v>
      </c>
      <c r="U13795" t="s">
        <v>30914</v>
      </c>
      <c r="V13795" t="s">
        <v>30915</v>
      </c>
      <c r="W13795" t="s">
        <v>49712</v>
      </c>
      <c r="X13795" t="s">
        <v>42</v>
      </c>
      <c r="Y13795" t="s">
        <v>17171</v>
      </c>
      <c r="Z13795" t="s">
        <v>166</v>
      </c>
      <c r="AA13795" s="22" t="str">
        <f>HYPERLINK("https://www.ncbi.nlm.nih.gov/nuccore/LC036580","NCBI Nucleotide")</f>
        <v>NCBI Nucleotide</v>
      </c>
    </row>
    <row r="13796" spans="1:27" x14ac:dyDescent="0.35">
      <c r="A13796">
        <v>1001824</v>
      </c>
      <c r="B13796">
        <v>12774</v>
      </c>
      <c r="C13796">
        <v>1</v>
      </c>
      <c r="D13796" t="s">
        <v>17166</v>
      </c>
      <c r="F13796" t="s">
        <v>17246</v>
      </c>
      <c r="H13796" t="s">
        <v>28921</v>
      </c>
      <c r="J13796" t="s">
        <v>29538</v>
      </c>
      <c r="L13796" t="s">
        <v>30198</v>
      </c>
      <c r="N13796" t="s">
        <v>30487</v>
      </c>
      <c r="O13796" t="s">
        <v>30894</v>
      </c>
      <c r="P13796" t="s">
        <v>30904</v>
      </c>
      <c r="R13796" s="26" t="str">
        <f>HYPERLINK("https://ictv.global/taxonomy/taxondetails?taxnode_id=202308699","Boosepivirus ceovis")</f>
        <v>Boosepivirus ceovis</v>
      </c>
      <c r="S13796" t="s">
        <v>30</v>
      </c>
      <c r="T13796" t="s">
        <v>30916</v>
      </c>
      <c r="U13796" t="s">
        <v>30917</v>
      </c>
      <c r="V13796" t="s">
        <v>30918</v>
      </c>
      <c r="W13796" t="s">
        <v>30919</v>
      </c>
      <c r="X13796" t="s">
        <v>42</v>
      </c>
      <c r="Y13796" t="s">
        <v>17171</v>
      </c>
      <c r="Z13796" t="s">
        <v>166</v>
      </c>
      <c r="AA13796" s="22" t="str">
        <f>HYPERLINK("https://www.ncbi.nlm.nih.gov/nuccore/LR216006","NCBI Nucleotide")</f>
        <v>NCBI Nucleotide</v>
      </c>
    </row>
    <row r="13797" spans="1:27" x14ac:dyDescent="0.35">
      <c r="A13797">
        <v>1001825</v>
      </c>
      <c r="B13797">
        <v>12775</v>
      </c>
      <c r="C13797">
        <v>1</v>
      </c>
      <c r="D13797" t="s">
        <v>17166</v>
      </c>
      <c r="F13797" t="s">
        <v>17246</v>
      </c>
      <c r="H13797" t="s">
        <v>28921</v>
      </c>
      <c r="J13797" t="s">
        <v>29538</v>
      </c>
      <c r="L13797" t="s">
        <v>30198</v>
      </c>
      <c r="N13797" t="s">
        <v>30487</v>
      </c>
      <c r="O13797" t="s">
        <v>30894</v>
      </c>
      <c r="P13797" t="s">
        <v>30920</v>
      </c>
      <c r="R13797" s="26" t="str">
        <f>HYPERLINK("https://ictv.global/taxonomy/taxondetails?taxnode_id=202307188","Diresapivirus arhiferi")</f>
        <v>Diresapivirus arhiferi</v>
      </c>
      <c r="S13797" t="s">
        <v>30</v>
      </c>
      <c r="T13797" t="s">
        <v>30921</v>
      </c>
      <c r="U13797" t="s">
        <v>30922</v>
      </c>
      <c r="V13797" t="s">
        <v>30923</v>
      </c>
      <c r="W13797" t="s">
        <v>30924</v>
      </c>
      <c r="X13797" t="s">
        <v>42</v>
      </c>
      <c r="Y13797" t="s">
        <v>17171</v>
      </c>
      <c r="Z13797" t="s">
        <v>166</v>
      </c>
      <c r="AA13797" s="22" t="str">
        <f>HYPERLINK("https://www.ncbi.nlm.nih.gov/nuccore/KJ641685","NCBI Nucleotide")</f>
        <v>NCBI Nucleotide</v>
      </c>
    </row>
    <row r="13798" spans="1:27" x14ac:dyDescent="0.35">
      <c r="A13798">
        <v>1001826</v>
      </c>
      <c r="B13798">
        <v>12776</v>
      </c>
      <c r="C13798">
        <v>1</v>
      </c>
      <c r="D13798" t="s">
        <v>17166</v>
      </c>
      <c r="F13798" t="s">
        <v>17246</v>
      </c>
      <c r="H13798" t="s">
        <v>28921</v>
      </c>
      <c r="J13798" t="s">
        <v>29538</v>
      </c>
      <c r="L13798" t="s">
        <v>30198</v>
      </c>
      <c r="N13798" t="s">
        <v>30487</v>
      </c>
      <c r="O13798" t="s">
        <v>30894</v>
      </c>
      <c r="P13798" t="s">
        <v>30920</v>
      </c>
      <c r="R13798" s="26" t="str">
        <f>HYPERLINK("https://ictv.global/taxonomy/taxondetails?taxnode_id=202307189","Diresapivirus benyvelu")</f>
        <v>Diresapivirus benyvelu</v>
      </c>
      <c r="S13798" t="s">
        <v>30</v>
      </c>
      <c r="T13798" t="s">
        <v>30925</v>
      </c>
      <c r="U13798" t="s">
        <v>30926</v>
      </c>
      <c r="V13798" t="s">
        <v>30927</v>
      </c>
      <c r="W13798" t="s">
        <v>30928</v>
      </c>
      <c r="X13798" t="s">
        <v>42</v>
      </c>
      <c r="Y13798" t="s">
        <v>17171</v>
      </c>
      <c r="Z13798" t="s">
        <v>166</v>
      </c>
      <c r="AA13798" s="22" t="str">
        <f>HYPERLINK("https://www.ncbi.nlm.nih.gov/nuccore/KJ641697","NCBI Nucleotide")</f>
        <v>NCBI Nucleotide</v>
      </c>
    </row>
    <row r="13799" spans="1:27" x14ac:dyDescent="0.35">
      <c r="A13799">
        <v>1001827</v>
      </c>
      <c r="B13799">
        <v>12777</v>
      </c>
      <c r="C13799">
        <v>1</v>
      </c>
      <c r="D13799" t="s">
        <v>17166</v>
      </c>
      <c r="F13799" t="s">
        <v>17246</v>
      </c>
      <c r="H13799" t="s">
        <v>28921</v>
      </c>
      <c r="J13799" t="s">
        <v>29538</v>
      </c>
      <c r="L13799" t="s">
        <v>30198</v>
      </c>
      <c r="N13799" t="s">
        <v>30487</v>
      </c>
      <c r="O13799" t="s">
        <v>30894</v>
      </c>
      <c r="P13799" t="s">
        <v>30929</v>
      </c>
      <c r="R13799" s="26" t="str">
        <f t="shared" ref="R13799:R13823" si="49">HYPERLINK("https://ictv.global/taxonomy/taxondetails?taxnode_id=202301983","Enterovirus alphacoxsackie")</f>
        <v>Enterovirus alphacoxsackie</v>
      </c>
      <c r="S13799" t="s">
        <v>30</v>
      </c>
      <c r="T13799" t="s">
        <v>30930</v>
      </c>
      <c r="U13799" t="s">
        <v>30931</v>
      </c>
      <c r="V13799" t="s">
        <v>30932</v>
      </c>
      <c r="W13799" t="s">
        <v>30933</v>
      </c>
      <c r="X13799" t="s">
        <v>42</v>
      </c>
      <c r="Y13799" t="s">
        <v>17171</v>
      </c>
      <c r="Z13799" t="s">
        <v>166</v>
      </c>
      <c r="AA13799" s="22" t="str">
        <f>HYPERLINK("https://www.ncbi.nlm.nih.gov/nuccore/AY421760","NCBI Nucleotide")</f>
        <v>NCBI Nucleotide</v>
      </c>
    </row>
    <row r="13800" spans="1:27" x14ac:dyDescent="0.35">
      <c r="A13800">
        <v>1011492</v>
      </c>
      <c r="B13800">
        <v>12777</v>
      </c>
      <c r="C13800">
        <v>2</v>
      </c>
      <c r="D13800" t="s">
        <v>17166</v>
      </c>
      <c r="F13800" t="s">
        <v>17246</v>
      </c>
      <c r="H13800" t="s">
        <v>28921</v>
      </c>
      <c r="J13800" t="s">
        <v>29538</v>
      </c>
      <c r="L13800" t="s">
        <v>30198</v>
      </c>
      <c r="N13800" t="s">
        <v>30487</v>
      </c>
      <c r="O13800" t="s">
        <v>30894</v>
      </c>
      <c r="P13800" t="s">
        <v>30929</v>
      </c>
      <c r="R13800" s="26" t="str">
        <f t="shared" si="49"/>
        <v>Enterovirus alphacoxsackie</v>
      </c>
      <c r="S13800" t="s">
        <v>8141</v>
      </c>
      <c r="T13800" t="s">
        <v>30934</v>
      </c>
      <c r="U13800" t="s">
        <v>30935</v>
      </c>
      <c r="V13800" t="s">
        <v>30936</v>
      </c>
      <c r="W13800" t="s">
        <v>49713</v>
      </c>
      <c r="X13800" t="s">
        <v>42</v>
      </c>
      <c r="Y13800" t="s">
        <v>17171</v>
      </c>
      <c r="Z13800" t="s">
        <v>166</v>
      </c>
      <c r="AA13800" s="22" t="str">
        <f>HYPERLINK("https://www.ncbi.nlm.nih.gov/nuccore/AY421761","NCBI Nucleotide")</f>
        <v>NCBI Nucleotide</v>
      </c>
    </row>
    <row r="13801" spans="1:27" x14ac:dyDescent="0.35">
      <c r="A13801">
        <v>1011493</v>
      </c>
      <c r="B13801">
        <v>12777</v>
      </c>
      <c r="C13801">
        <v>3</v>
      </c>
      <c r="D13801" t="s">
        <v>17166</v>
      </c>
      <c r="F13801" t="s">
        <v>17246</v>
      </c>
      <c r="H13801" t="s">
        <v>28921</v>
      </c>
      <c r="J13801" t="s">
        <v>29538</v>
      </c>
      <c r="L13801" t="s">
        <v>30198</v>
      </c>
      <c r="N13801" t="s">
        <v>30487</v>
      </c>
      <c r="O13801" t="s">
        <v>30894</v>
      </c>
      <c r="P13801" t="s">
        <v>30929</v>
      </c>
      <c r="R13801" s="26" t="str">
        <f t="shared" si="49"/>
        <v>Enterovirus alphacoxsackie</v>
      </c>
      <c r="S13801" t="s">
        <v>8141</v>
      </c>
      <c r="T13801" t="s">
        <v>30937</v>
      </c>
      <c r="U13801" t="s">
        <v>30938</v>
      </c>
      <c r="V13801" t="s">
        <v>30939</v>
      </c>
      <c r="W13801" t="s">
        <v>49714</v>
      </c>
      <c r="X13801" t="s">
        <v>42</v>
      </c>
      <c r="Y13801" t="s">
        <v>17171</v>
      </c>
      <c r="Z13801" t="s">
        <v>166</v>
      </c>
      <c r="AA13801" s="22" t="str">
        <f>HYPERLINK("https://www.ncbi.nlm.nih.gov/nuccore/AY421762","NCBI Nucleotide")</f>
        <v>NCBI Nucleotide</v>
      </c>
    </row>
    <row r="13802" spans="1:27" x14ac:dyDescent="0.35">
      <c r="A13802">
        <v>1011494</v>
      </c>
      <c r="B13802">
        <v>12777</v>
      </c>
      <c r="C13802">
        <v>4</v>
      </c>
      <c r="D13802" t="s">
        <v>17166</v>
      </c>
      <c r="F13802" t="s">
        <v>17246</v>
      </c>
      <c r="H13802" t="s">
        <v>28921</v>
      </c>
      <c r="J13802" t="s">
        <v>29538</v>
      </c>
      <c r="L13802" t="s">
        <v>30198</v>
      </c>
      <c r="N13802" t="s">
        <v>30487</v>
      </c>
      <c r="O13802" t="s">
        <v>30894</v>
      </c>
      <c r="P13802" t="s">
        <v>30929</v>
      </c>
      <c r="R13802" s="26" t="str">
        <f t="shared" si="49"/>
        <v>Enterovirus alphacoxsackie</v>
      </c>
      <c r="S13802" t="s">
        <v>8141</v>
      </c>
      <c r="T13802" t="s">
        <v>30940</v>
      </c>
      <c r="U13802" t="s">
        <v>30941</v>
      </c>
      <c r="V13802" t="s">
        <v>30942</v>
      </c>
      <c r="W13802" t="s">
        <v>49715</v>
      </c>
      <c r="X13802" t="s">
        <v>42</v>
      </c>
      <c r="Y13802" t="s">
        <v>17171</v>
      </c>
      <c r="Z13802" t="s">
        <v>166</v>
      </c>
      <c r="AA13802" s="22" t="str">
        <f>HYPERLINK("https://www.ncbi.nlm.nih.gov/nuccore/AY421763","NCBI Nucleotide")</f>
        <v>NCBI Nucleotide</v>
      </c>
    </row>
    <row r="13803" spans="1:27" x14ac:dyDescent="0.35">
      <c r="A13803">
        <v>1011495</v>
      </c>
      <c r="B13803">
        <v>12777</v>
      </c>
      <c r="C13803">
        <v>5</v>
      </c>
      <c r="D13803" t="s">
        <v>17166</v>
      </c>
      <c r="F13803" t="s">
        <v>17246</v>
      </c>
      <c r="H13803" t="s">
        <v>28921</v>
      </c>
      <c r="J13803" t="s">
        <v>29538</v>
      </c>
      <c r="L13803" t="s">
        <v>30198</v>
      </c>
      <c r="N13803" t="s">
        <v>30487</v>
      </c>
      <c r="O13803" t="s">
        <v>30894</v>
      </c>
      <c r="P13803" t="s">
        <v>30929</v>
      </c>
      <c r="R13803" s="26" t="str">
        <f t="shared" si="49"/>
        <v>Enterovirus alphacoxsackie</v>
      </c>
      <c r="S13803" t="s">
        <v>8141</v>
      </c>
      <c r="T13803" t="s">
        <v>30943</v>
      </c>
      <c r="U13803" t="s">
        <v>30944</v>
      </c>
      <c r="V13803" t="s">
        <v>30945</v>
      </c>
      <c r="W13803" t="s">
        <v>49716</v>
      </c>
      <c r="X13803" t="s">
        <v>42</v>
      </c>
      <c r="Y13803" t="s">
        <v>17171</v>
      </c>
      <c r="Z13803" t="s">
        <v>166</v>
      </c>
      <c r="AA13803" s="22" t="str">
        <f>HYPERLINK("https://www.ncbi.nlm.nih.gov/nuccore/AY421764","NCBI Nucleotide")</f>
        <v>NCBI Nucleotide</v>
      </c>
    </row>
    <row r="13804" spans="1:27" x14ac:dyDescent="0.35">
      <c r="A13804">
        <v>1011496</v>
      </c>
      <c r="B13804">
        <v>12777</v>
      </c>
      <c r="C13804">
        <v>6</v>
      </c>
      <c r="D13804" t="s">
        <v>17166</v>
      </c>
      <c r="F13804" t="s">
        <v>17246</v>
      </c>
      <c r="H13804" t="s">
        <v>28921</v>
      </c>
      <c r="J13804" t="s">
        <v>29538</v>
      </c>
      <c r="L13804" t="s">
        <v>30198</v>
      </c>
      <c r="N13804" t="s">
        <v>30487</v>
      </c>
      <c r="O13804" t="s">
        <v>30894</v>
      </c>
      <c r="P13804" t="s">
        <v>30929</v>
      </c>
      <c r="R13804" s="26" t="str">
        <f t="shared" si="49"/>
        <v>Enterovirus alphacoxsackie</v>
      </c>
      <c r="S13804" t="s">
        <v>8141</v>
      </c>
      <c r="T13804" t="s">
        <v>30946</v>
      </c>
      <c r="U13804" t="s">
        <v>30947</v>
      </c>
      <c r="V13804" t="s">
        <v>30948</v>
      </c>
      <c r="W13804" t="s">
        <v>49717</v>
      </c>
      <c r="X13804" t="s">
        <v>42</v>
      </c>
      <c r="Y13804" t="s">
        <v>17171</v>
      </c>
      <c r="Z13804" t="s">
        <v>166</v>
      </c>
      <c r="AA13804" s="22" t="str">
        <f>HYPERLINK("https://www.ncbi.nlm.nih.gov/nuccore/AY421765","NCBI Nucleotide")</f>
        <v>NCBI Nucleotide</v>
      </c>
    </row>
    <row r="13805" spans="1:27" x14ac:dyDescent="0.35">
      <c r="A13805">
        <v>1011497</v>
      </c>
      <c r="B13805">
        <v>12777</v>
      </c>
      <c r="C13805">
        <v>7</v>
      </c>
      <c r="D13805" t="s">
        <v>17166</v>
      </c>
      <c r="F13805" t="s">
        <v>17246</v>
      </c>
      <c r="H13805" t="s">
        <v>28921</v>
      </c>
      <c r="J13805" t="s">
        <v>29538</v>
      </c>
      <c r="L13805" t="s">
        <v>30198</v>
      </c>
      <c r="N13805" t="s">
        <v>30487</v>
      </c>
      <c r="O13805" t="s">
        <v>30894</v>
      </c>
      <c r="P13805" t="s">
        <v>30929</v>
      </c>
      <c r="R13805" s="26" t="str">
        <f t="shared" si="49"/>
        <v>Enterovirus alphacoxsackie</v>
      </c>
      <c r="S13805" t="s">
        <v>8141</v>
      </c>
      <c r="T13805" t="s">
        <v>30949</v>
      </c>
      <c r="U13805" t="s">
        <v>30950</v>
      </c>
      <c r="V13805" t="s">
        <v>30951</v>
      </c>
      <c r="W13805" t="s">
        <v>49718</v>
      </c>
      <c r="X13805" t="s">
        <v>42</v>
      </c>
      <c r="Y13805" t="s">
        <v>17171</v>
      </c>
      <c r="Z13805" t="s">
        <v>166</v>
      </c>
      <c r="AA13805" s="22" t="str">
        <f>HYPERLINK("https://www.ncbi.nlm.nih.gov/nuccore/AY421766","NCBI Nucleotide")</f>
        <v>NCBI Nucleotide</v>
      </c>
    </row>
    <row r="13806" spans="1:27" x14ac:dyDescent="0.35">
      <c r="A13806">
        <v>1011498</v>
      </c>
      <c r="B13806">
        <v>12777</v>
      </c>
      <c r="C13806">
        <v>8</v>
      </c>
      <c r="D13806" t="s">
        <v>17166</v>
      </c>
      <c r="F13806" t="s">
        <v>17246</v>
      </c>
      <c r="H13806" t="s">
        <v>28921</v>
      </c>
      <c r="J13806" t="s">
        <v>29538</v>
      </c>
      <c r="L13806" t="s">
        <v>30198</v>
      </c>
      <c r="N13806" t="s">
        <v>30487</v>
      </c>
      <c r="O13806" t="s">
        <v>30894</v>
      </c>
      <c r="P13806" t="s">
        <v>30929</v>
      </c>
      <c r="R13806" s="26" t="str">
        <f t="shared" si="49"/>
        <v>Enterovirus alphacoxsackie</v>
      </c>
      <c r="S13806" t="s">
        <v>8141</v>
      </c>
      <c r="T13806" t="s">
        <v>30952</v>
      </c>
      <c r="U13806" t="s">
        <v>30953</v>
      </c>
      <c r="V13806" t="s">
        <v>30954</v>
      </c>
      <c r="W13806" t="s">
        <v>49719</v>
      </c>
      <c r="X13806" t="s">
        <v>42</v>
      </c>
      <c r="Y13806" t="s">
        <v>17171</v>
      </c>
      <c r="Z13806" t="s">
        <v>166</v>
      </c>
      <c r="AA13806" s="22" t="str">
        <f>HYPERLINK("https://www.ncbi.nlm.nih.gov/nuccore/AY421767","NCBI Nucleotide")</f>
        <v>NCBI Nucleotide</v>
      </c>
    </row>
    <row r="13807" spans="1:27" x14ac:dyDescent="0.35">
      <c r="A13807">
        <v>1011499</v>
      </c>
      <c r="B13807">
        <v>12777</v>
      </c>
      <c r="C13807">
        <v>9</v>
      </c>
      <c r="D13807" t="s">
        <v>17166</v>
      </c>
      <c r="F13807" t="s">
        <v>17246</v>
      </c>
      <c r="H13807" t="s">
        <v>28921</v>
      </c>
      <c r="J13807" t="s">
        <v>29538</v>
      </c>
      <c r="L13807" t="s">
        <v>30198</v>
      </c>
      <c r="N13807" t="s">
        <v>30487</v>
      </c>
      <c r="O13807" t="s">
        <v>30894</v>
      </c>
      <c r="P13807" t="s">
        <v>30929</v>
      </c>
      <c r="R13807" s="26" t="str">
        <f t="shared" si="49"/>
        <v>Enterovirus alphacoxsackie</v>
      </c>
      <c r="S13807" t="s">
        <v>8141</v>
      </c>
      <c r="T13807" t="s">
        <v>30955</v>
      </c>
      <c r="U13807" t="s">
        <v>30956</v>
      </c>
      <c r="V13807" t="s">
        <v>30957</v>
      </c>
      <c r="W13807" t="s">
        <v>49720</v>
      </c>
      <c r="X13807" t="s">
        <v>42</v>
      </c>
      <c r="Y13807" t="s">
        <v>17171</v>
      </c>
      <c r="Z13807" t="s">
        <v>166</v>
      </c>
      <c r="AA13807" s="22" t="str">
        <f>HYPERLINK("https://www.ncbi.nlm.nih.gov/nuccore/AY421768","NCBI Nucleotide")</f>
        <v>NCBI Nucleotide</v>
      </c>
    </row>
    <row r="13808" spans="1:27" x14ac:dyDescent="0.35">
      <c r="A13808">
        <v>1011500</v>
      </c>
      <c r="B13808">
        <v>12777</v>
      </c>
      <c r="C13808">
        <v>10</v>
      </c>
      <c r="D13808" t="s">
        <v>17166</v>
      </c>
      <c r="F13808" t="s">
        <v>17246</v>
      </c>
      <c r="H13808" t="s">
        <v>28921</v>
      </c>
      <c r="J13808" t="s">
        <v>29538</v>
      </c>
      <c r="L13808" t="s">
        <v>30198</v>
      </c>
      <c r="N13808" t="s">
        <v>30487</v>
      </c>
      <c r="O13808" t="s">
        <v>30894</v>
      </c>
      <c r="P13808" t="s">
        <v>30929</v>
      </c>
      <c r="R13808" s="26" t="str">
        <f t="shared" si="49"/>
        <v>Enterovirus alphacoxsackie</v>
      </c>
      <c r="S13808" t="s">
        <v>8141</v>
      </c>
      <c r="T13808" t="s">
        <v>30958</v>
      </c>
      <c r="U13808" t="s">
        <v>30959</v>
      </c>
      <c r="V13808" t="s">
        <v>30960</v>
      </c>
      <c r="W13808" t="s">
        <v>49721</v>
      </c>
      <c r="X13808" t="s">
        <v>42</v>
      </c>
      <c r="Y13808" t="s">
        <v>17171</v>
      </c>
      <c r="Z13808" t="s">
        <v>166</v>
      </c>
      <c r="AA13808" s="22" t="str">
        <f>HYPERLINK("https://www.ncbi.nlm.nih.gov/nuccore/AY421769","NCBI Nucleotide")</f>
        <v>NCBI Nucleotide</v>
      </c>
    </row>
    <row r="13809" spans="1:27" x14ac:dyDescent="0.35">
      <c r="A13809">
        <v>1011501</v>
      </c>
      <c r="B13809">
        <v>12777</v>
      </c>
      <c r="C13809">
        <v>11</v>
      </c>
      <c r="D13809" t="s">
        <v>17166</v>
      </c>
      <c r="F13809" t="s">
        <v>17246</v>
      </c>
      <c r="H13809" t="s">
        <v>28921</v>
      </c>
      <c r="J13809" t="s">
        <v>29538</v>
      </c>
      <c r="L13809" t="s">
        <v>30198</v>
      </c>
      <c r="N13809" t="s">
        <v>30487</v>
      </c>
      <c r="O13809" t="s">
        <v>30894</v>
      </c>
      <c r="P13809" t="s">
        <v>30929</v>
      </c>
      <c r="R13809" s="26" t="str">
        <f t="shared" si="49"/>
        <v>Enterovirus alphacoxsackie</v>
      </c>
      <c r="S13809" t="s">
        <v>8141</v>
      </c>
      <c r="T13809" t="s">
        <v>30961</v>
      </c>
      <c r="U13809" t="s">
        <v>30962</v>
      </c>
      <c r="V13809" t="s">
        <v>30963</v>
      </c>
      <c r="W13809" t="s">
        <v>49722</v>
      </c>
      <c r="X13809" t="s">
        <v>42</v>
      </c>
      <c r="Y13809" t="s">
        <v>17171</v>
      </c>
      <c r="Z13809" t="s">
        <v>166</v>
      </c>
      <c r="AA13809" s="22" t="str">
        <f>HYPERLINK("https://www.ncbi.nlm.nih.gov/nuccore/U05876","NCBI Nucleotide")</f>
        <v>NCBI Nucleotide</v>
      </c>
    </row>
    <row r="13810" spans="1:27" x14ac:dyDescent="0.35">
      <c r="A13810">
        <v>1011502</v>
      </c>
      <c r="B13810">
        <v>12777</v>
      </c>
      <c r="C13810">
        <v>12</v>
      </c>
      <c r="D13810" t="s">
        <v>17166</v>
      </c>
      <c r="F13810" t="s">
        <v>17246</v>
      </c>
      <c r="H13810" t="s">
        <v>28921</v>
      </c>
      <c r="J13810" t="s">
        <v>29538</v>
      </c>
      <c r="L13810" t="s">
        <v>30198</v>
      </c>
      <c r="N13810" t="s">
        <v>30487</v>
      </c>
      <c r="O13810" t="s">
        <v>30894</v>
      </c>
      <c r="P13810" t="s">
        <v>30929</v>
      </c>
      <c r="R13810" s="26" t="str">
        <f t="shared" si="49"/>
        <v>Enterovirus alphacoxsackie</v>
      </c>
      <c r="S13810" t="s">
        <v>8141</v>
      </c>
      <c r="T13810" t="s">
        <v>30964</v>
      </c>
      <c r="U13810" t="s">
        <v>30965</v>
      </c>
      <c r="V13810" t="s">
        <v>30966</v>
      </c>
      <c r="W13810" t="s">
        <v>49723</v>
      </c>
      <c r="X13810" t="s">
        <v>42</v>
      </c>
      <c r="Y13810" t="s">
        <v>17171</v>
      </c>
      <c r="Z13810" t="s">
        <v>166</v>
      </c>
      <c r="AA13810" s="22" t="str">
        <f>HYPERLINK("https://www.ncbi.nlm.nih.gov/nuccore/U22521","NCBI Nucleotide")</f>
        <v>NCBI Nucleotide</v>
      </c>
    </row>
    <row r="13811" spans="1:27" x14ac:dyDescent="0.35">
      <c r="A13811">
        <v>1011503</v>
      </c>
      <c r="B13811">
        <v>12777</v>
      </c>
      <c r="C13811">
        <v>13</v>
      </c>
      <c r="D13811" t="s">
        <v>17166</v>
      </c>
      <c r="F13811" t="s">
        <v>17246</v>
      </c>
      <c r="H13811" t="s">
        <v>28921</v>
      </c>
      <c r="J13811" t="s">
        <v>29538</v>
      </c>
      <c r="L13811" t="s">
        <v>30198</v>
      </c>
      <c r="N13811" t="s">
        <v>30487</v>
      </c>
      <c r="O13811" t="s">
        <v>30894</v>
      </c>
      <c r="P13811" t="s">
        <v>30929</v>
      </c>
      <c r="R13811" s="26" t="str">
        <f t="shared" si="49"/>
        <v>Enterovirus alphacoxsackie</v>
      </c>
      <c r="S13811" t="s">
        <v>8141</v>
      </c>
      <c r="T13811" t="s">
        <v>30967</v>
      </c>
      <c r="U13811" t="s">
        <v>30968</v>
      </c>
      <c r="V13811" t="s">
        <v>30969</v>
      </c>
      <c r="W13811" t="s">
        <v>49724</v>
      </c>
      <c r="X13811" t="s">
        <v>42</v>
      </c>
      <c r="Y13811" t="s">
        <v>17171</v>
      </c>
      <c r="Z13811" t="s">
        <v>166</v>
      </c>
      <c r="AA13811" s="22" t="str">
        <f>HYPERLINK("https://www.ncbi.nlm.nih.gov/nuccore/AY697458","NCBI Nucleotide")</f>
        <v>NCBI Nucleotide</v>
      </c>
    </row>
    <row r="13812" spans="1:27" x14ac:dyDescent="0.35">
      <c r="A13812">
        <v>1011504</v>
      </c>
      <c r="B13812">
        <v>12777</v>
      </c>
      <c r="C13812">
        <v>14</v>
      </c>
      <c r="D13812" t="s">
        <v>17166</v>
      </c>
      <c r="F13812" t="s">
        <v>17246</v>
      </c>
      <c r="H13812" t="s">
        <v>28921</v>
      </c>
      <c r="J13812" t="s">
        <v>29538</v>
      </c>
      <c r="L13812" t="s">
        <v>30198</v>
      </c>
      <c r="N13812" t="s">
        <v>30487</v>
      </c>
      <c r="O13812" t="s">
        <v>30894</v>
      </c>
      <c r="P13812" t="s">
        <v>30929</v>
      </c>
      <c r="R13812" s="26" t="str">
        <f t="shared" si="49"/>
        <v>Enterovirus alphacoxsackie</v>
      </c>
      <c r="S13812" t="s">
        <v>8141</v>
      </c>
      <c r="T13812" t="s">
        <v>30970</v>
      </c>
      <c r="U13812" t="s">
        <v>30971</v>
      </c>
      <c r="V13812" t="s">
        <v>30972</v>
      </c>
      <c r="W13812" t="s">
        <v>49725</v>
      </c>
      <c r="X13812" t="s">
        <v>42</v>
      </c>
      <c r="Y13812" t="s">
        <v>17171</v>
      </c>
      <c r="Z13812" t="s">
        <v>166</v>
      </c>
      <c r="AA13812" s="22" t="str">
        <f>HYPERLINK("https://www.ncbi.nlm.nih.gov/nuccore/AY697459","NCBI Nucleotide")</f>
        <v>NCBI Nucleotide</v>
      </c>
    </row>
    <row r="13813" spans="1:27" x14ac:dyDescent="0.35">
      <c r="A13813">
        <v>1011505</v>
      </c>
      <c r="B13813">
        <v>12777</v>
      </c>
      <c r="C13813">
        <v>15</v>
      </c>
      <c r="D13813" t="s">
        <v>17166</v>
      </c>
      <c r="F13813" t="s">
        <v>17246</v>
      </c>
      <c r="H13813" t="s">
        <v>28921</v>
      </c>
      <c r="J13813" t="s">
        <v>29538</v>
      </c>
      <c r="L13813" t="s">
        <v>30198</v>
      </c>
      <c r="N13813" t="s">
        <v>30487</v>
      </c>
      <c r="O13813" t="s">
        <v>30894</v>
      </c>
      <c r="P13813" t="s">
        <v>30929</v>
      </c>
      <c r="R13813" s="26" t="str">
        <f t="shared" si="49"/>
        <v>Enterovirus alphacoxsackie</v>
      </c>
      <c r="S13813" t="s">
        <v>8141</v>
      </c>
      <c r="T13813" t="s">
        <v>30973</v>
      </c>
      <c r="U13813" t="s">
        <v>30974</v>
      </c>
      <c r="V13813" t="s">
        <v>30975</v>
      </c>
      <c r="W13813" t="s">
        <v>49726</v>
      </c>
      <c r="X13813" t="s">
        <v>42</v>
      </c>
      <c r="Y13813" t="s">
        <v>17171</v>
      </c>
      <c r="Z13813" t="s">
        <v>166</v>
      </c>
      <c r="AA13813" s="22" t="str">
        <f>HYPERLINK("https://www.ncbi.nlm.nih.gov/nuccore/AY697460","NCBI Nucleotide")</f>
        <v>NCBI Nucleotide</v>
      </c>
    </row>
    <row r="13814" spans="1:27" x14ac:dyDescent="0.35">
      <c r="A13814">
        <v>1011506</v>
      </c>
      <c r="B13814">
        <v>12777</v>
      </c>
      <c r="C13814">
        <v>16</v>
      </c>
      <c r="D13814" t="s">
        <v>17166</v>
      </c>
      <c r="F13814" t="s">
        <v>17246</v>
      </c>
      <c r="H13814" t="s">
        <v>28921</v>
      </c>
      <c r="J13814" t="s">
        <v>29538</v>
      </c>
      <c r="L13814" t="s">
        <v>30198</v>
      </c>
      <c r="N13814" t="s">
        <v>30487</v>
      </c>
      <c r="O13814" t="s">
        <v>30894</v>
      </c>
      <c r="P13814" t="s">
        <v>30929</v>
      </c>
      <c r="R13814" s="26" t="str">
        <f t="shared" si="49"/>
        <v>Enterovirus alphacoxsackie</v>
      </c>
      <c r="S13814" t="s">
        <v>8141</v>
      </c>
      <c r="T13814" t="s">
        <v>30976</v>
      </c>
      <c r="U13814" t="s">
        <v>30977</v>
      </c>
      <c r="V13814" t="s">
        <v>30978</v>
      </c>
      <c r="W13814" t="s">
        <v>49727</v>
      </c>
      <c r="X13814" t="s">
        <v>42</v>
      </c>
      <c r="Y13814" t="s">
        <v>17171</v>
      </c>
      <c r="Z13814" t="s">
        <v>166</v>
      </c>
      <c r="AA13814" s="22" t="str">
        <f>HYPERLINK("https://www.ncbi.nlm.nih.gov/nuccore/AY697461","NCBI Nucleotide")</f>
        <v>NCBI Nucleotide</v>
      </c>
    </row>
    <row r="13815" spans="1:27" x14ac:dyDescent="0.35">
      <c r="A13815">
        <v>1011507</v>
      </c>
      <c r="B13815">
        <v>12777</v>
      </c>
      <c r="C13815">
        <v>17</v>
      </c>
      <c r="D13815" t="s">
        <v>17166</v>
      </c>
      <c r="F13815" t="s">
        <v>17246</v>
      </c>
      <c r="H13815" t="s">
        <v>28921</v>
      </c>
      <c r="J13815" t="s">
        <v>29538</v>
      </c>
      <c r="L13815" t="s">
        <v>30198</v>
      </c>
      <c r="N13815" t="s">
        <v>30487</v>
      </c>
      <c r="O13815" t="s">
        <v>30894</v>
      </c>
      <c r="P13815" t="s">
        <v>30929</v>
      </c>
      <c r="R13815" s="26" t="str">
        <f t="shared" si="49"/>
        <v>Enterovirus alphacoxsackie</v>
      </c>
      <c r="S13815" t="s">
        <v>8141</v>
      </c>
      <c r="T13815" t="s">
        <v>30979</v>
      </c>
      <c r="U13815" t="s">
        <v>30980</v>
      </c>
      <c r="V13815" t="s">
        <v>30981</v>
      </c>
      <c r="W13815" t="s">
        <v>49728</v>
      </c>
      <c r="X13815" t="s">
        <v>42</v>
      </c>
      <c r="Y13815" t="s">
        <v>17171</v>
      </c>
      <c r="Z13815" t="s">
        <v>166</v>
      </c>
      <c r="AA13815" s="22" t="str">
        <f>HYPERLINK("https://www.ncbi.nlm.nih.gov/nuccore/EF667344","NCBI Nucleotide")</f>
        <v>NCBI Nucleotide</v>
      </c>
    </row>
    <row r="13816" spans="1:27" x14ac:dyDescent="0.35">
      <c r="A13816">
        <v>1011508</v>
      </c>
      <c r="B13816">
        <v>12777</v>
      </c>
      <c r="C13816">
        <v>18</v>
      </c>
      <c r="D13816" t="s">
        <v>17166</v>
      </c>
      <c r="F13816" t="s">
        <v>17246</v>
      </c>
      <c r="H13816" t="s">
        <v>28921</v>
      </c>
      <c r="J13816" t="s">
        <v>29538</v>
      </c>
      <c r="L13816" t="s">
        <v>30198</v>
      </c>
      <c r="N13816" t="s">
        <v>30487</v>
      </c>
      <c r="O13816" t="s">
        <v>30894</v>
      </c>
      <c r="P13816" t="s">
        <v>30929</v>
      </c>
      <c r="R13816" s="26" t="str">
        <f t="shared" si="49"/>
        <v>Enterovirus alphacoxsackie</v>
      </c>
      <c r="S13816" t="s">
        <v>8141</v>
      </c>
      <c r="T13816" t="s">
        <v>30982</v>
      </c>
      <c r="U13816" t="s">
        <v>30983</v>
      </c>
      <c r="V13816" t="s">
        <v>30984</v>
      </c>
      <c r="W13816" t="s">
        <v>49729</v>
      </c>
      <c r="X13816" t="s">
        <v>42</v>
      </c>
      <c r="Y13816" t="s">
        <v>17171</v>
      </c>
      <c r="Z13816" t="s">
        <v>166</v>
      </c>
      <c r="AA13816" s="22" t="str">
        <f>HYPERLINK("https://www.ncbi.nlm.nih.gov/nuccore/KU355876","NCBI Nucleotide")</f>
        <v>NCBI Nucleotide</v>
      </c>
    </row>
    <row r="13817" spans="1:27" x14ac:dyDescent="0.35">
      <c r="A13817">
        <v>1011509</v>
      </c>
      <c r="B13817">
        <v>12777</v>
      </c>
      <c r="C13817">
        <v>19</v>
      </c>
      <c r="D13817" t="s">
        <v>17166</v>
      </c>
      <c r="F13817" t="s">
        <v>17246</v>
      </c>
      <c r="H13817" t="s">
        <v>28921</v>
      </c>
      <c r="J13817" t="s">
        <v>29538</v>
      </c>
      <c r="L13817" t="s">
        <v>30198</v>
      </c>
      <c r="N13817" t="s">
        <v>30487</v>
      </c>
      <c r="O13817" t="s">
        <v>30894</v>
      </c>
      <c r="P13817" t="s">
        <v>30929</v>
      </c>
      <c r="R13817" s="26" t="str">
        <f t="shared" si="49"/>
        <v>Enterovirus alphacoxsackie</v>
      </c>
      <c r="S13817" t="s">
        <v>8141</v>
      </c>
      <c r="T13817" t="s">
        <v>30985</v>
      </c>
      <c r="U13817" t="s">
        <v>30986</v>
      </c>
      <c r="V13817" t="s">
        <v>30987</v>
      </c>
      <c r="W13817" t="s">
        <v>49730</v>
      </c>
      <c r="X13817" t="s">
        <v>154</v>
      </c>
      <c r="Y13817" t="s">
        <v>17171</v>
      </c>
      <c r="Z13817" t="s">
        <v>166</v>
      </c>
      <c r="AA13817" s="22" t="str">
        <f>HYPERLINK("https://www.ncbi.nlm.nih.gov/nuccore/KC787153","NCBI Nucleotide")</f>
        <v>NCBI Nucleotide</v>
      </c>
    </row>
    <row r="13818" spans="1:27" x14ac:dyDescent="0.35">
      <c r="A13818">
        <v>1011510</v>
      </c>
      <c r="B13818">
        <v>12777</v>
      </c>
      <c r="C13818">
        <v>20</v>
      </c>
      <c r="D13818" t="s">
        <v>17166</v>
      </c>
      <c r="F13818" t="s">
        <v>17246</v>
      </c>
      <c r="H13818" t="s">
        <v>28921</v>
      </c>
      <c r="J13818" t="s">
        <v>29538</v>
      </c>
      <c r="L13818" t="s">
        <v>30198</v>
      </c>
      <c r="N13818" t="s">
        <v>30487</v>
      </c>
      <c r="O13818" t="s">
        <v>30894</v>
      </c>
      <c r="P13818" t="s">
        <v>30929</v>
      </c>
      <c r="R13818" s="26" t="str">
        <f t="shared" si="49"/>
        <v>Enterovirus alphacoxsackie</v>
      </c>
      <c r="S13818" t="s">
        <v>8141</v>
      </c>
      <c r="T13818" t="s">
        <v>30988</v>
      </c>
      <c r="U13818" t="s">
        <v>30989</v>
      </c>
      <c r="V13818" t="s">
        <v>30990</v>
      </c>
      <c r="W13818" t="s">
        <v>49731</v>
      </c>
      <c r="X13818" t="s">
        <v>42</v>
      </c>
      <c r="Y13818" t="s">
        <v>17171</v>
      </c>
      <c r="Z13818" t="s">
        <v>166</v>
      </c>
      <c r="AA13818" s="22" t="str">
        <f>HYPERLINK("https://www.ncbi.nlm.nih.gov/nuccore/LK021688","NCBI Nucleotide")</f>
        <v>NCBI Nucleotide</v>
      </c>
    </row>
    <row r="13819" spans="1:27" x14ac:dyDescent="0.35">
      <c r="A13819">
        <v>1011511</v>
      </c>
      <c r="B13819">
        <v>12777</v>
      </c>
      <c r="C13819">
        <v>21</v>
      </c>
      <c r="D13819" t="s">
        <v>17166</v>
      </c>
      <c r="F13819" t="s">
        <v>17246</v>
      </c>
      <c r="H13819" t="s">
        <v>28921</v>
      </c>
      <c r="J13819" t="s">
        <v>29538</v>
      </c>
      <c r="L13819" t="s">
        <v>30198</v>
      </c>
      <c r="N13819" t="s">
        <v>30487</v>
      </c>
      <c r="O13819" t="s">
        <v>30894</v>
      </c>
      <c r="P13819" t="s">
        <v>30929</v>
      </c>
      <c r="R13819" s="26" t="str">
        <f t="shared" si="49"/>
        <v>Enterovirus alphacoxsackie</v>
      </c>
      <c r="S13819" t="s">
        <v>8141</v>
      </c>
      <c r="T13819" t="s">
        <v>30991</v>
      </c>
      <c r="U13819" t="s">
        <v>30992</v>
      </c>
      <c r="V13819" t="s">
        <v>30993</v>
      </c>
      <c r="W13819" t="s">
        <v>49732</v>
      </c>
      <c r="X13819" t="s">
        <v>42</v>
      </c>
      <c r="Y13819" t="s">
        <v>17171</v>
      </c>
      <c r="Z13819" t="s">
        <v>166</v>
      </c>
      <c r="AA13819" s="22" t="str">
        <f>HYPERLINK("https://www.ncbi.nlm.nih.gov/nuccore/KU355877","NCBI Nucleotide")</f>
        <v>NCBI Nucleotide</v>
      </c>
    </row>
    <row r="13820" spans="1:27" x14ac:dyDescent="0.35">
      <c r="A13820">
        <v>1011512</v>
      </c>
      <c r="B13820">
        <v>12777</v>
      </c>
      <c r="C13820">
        <v>22</v>
      </c>
      <c r="D13820" t="s">
        <v>17166</v>
      </c>
      <c r="F13820" t="s">
        <v>17246</v>
      </c>
      <c r="H13820" t="s">
        <v>28921</v>
      </c>
      <c r="J13820" t="s">
        <v>29538</v>
      </c>
      <c r="L13820" t="s">
        <v>30198</v>
      </c>
      <c r="N13820" t="s">
        <v>30487</v>
      </c>
      <c r="O13820" t="s">
        <v>30894</v>
      </c>
      <c r="P13820" t="s">
        <v>30929</v>
      </c>
      <c r="R13820" s="26" t="str">
        <f t="shared" si="49"/>
        <v>Enterovirus alphacoxsackie</v>
      </c>
      <c r="S13820" t="s">
        <v>8141</v>
      </c>
      <c r="T13820" t="s">
        <v>30994</v>
      </c>
      <c r="U13820" t="s">
        <v>30995</v>
      </c>
      <c r="V13820" t="s">
        <v>30996</v>
      </c>
      <c r="W13820" t="s">
        <v>49733</v>
      </c>
      <c r="X13820" t="s">
        <v>42</v>
      </c>
      <c r="Y13820" t="s">
        <v>17171</v>
      </c>
      <c r="Z13820" t="s">
        <v>166</v>
      </c>
      <c r="AA13820" s="22" t="str">
        <f>HYPERLINK("https://www.ncbi.nlm.nih.gov/nuccore/AF326754","NCBI Nucleotide")</f>
        <v>NCBI Nucleotide</v>
      </c>
    </row>
    <row r="13821" spans="1:27" x14ac:dyDescent="0.35">
      <c r="A13821">
        <v>1011513</v>
      </c>
      <c r="B13821">
        <v>12777</v>
      </c>
      <c r="C13821">
        <v>23</v>
      </c>
      <c r="D13821" t="s">
        <v>17166</v>
      </c>
      <c r="F13821" t="s">
        <v>17246</v>
      </c>
      <c r="H13821" t="s">
        <v>28921</v>
      </c>
      <c r="J13821" t="s">
        <v>29538</v>
      </c>
      <c r="L13821" t="s">
        <v>30198</v>
      </c>
      <c r="N13821" t="s">
        <v>30487</v>
      </c>
      <c r="O13821" t="s">
        <v>30894</v>
      </c>
      <c r="P13821" t="s">
        <v>30929</v>
      </c>
      <c r="R13821" s="26" t="str">
        <f t="shared" si="49"/>
        <v>Enterovirus alphacoxsackie</v>
      </c>
      <c r="S13821" t="s">
        <v>8141</v>
      </c>
      <c r="T13821" t="s">
        <v>30997</v>
      </c>
      <c r="U13821" t="s">
        <v>30998</v>
      </c>
      <c r="V13821" t="s">
        <v>30999</v>
      </c>
      <c r="W13821" t="s">
        <v>49734</v>
      </c>
      <c r="X13821" t="s">
        <v>42</v>
      </c>
      <c r="Y13821" t="s">
        <v>17171</v>
      </c>
      <c r="Z13821" t="s">
        <v>166</v>
      </c>
      <c r="AA13821" s="22" t="str">
        <f>HYPERLINK("https://www.ncbi.nlm.nih.gov/nuccore/AF326761","NCBI Nucleotide")</f>
        <v>NCBI Nucleotide</v>
      </c>
    </row>
    <row r="13822" spans="1:27" x14ac:dyDescent="0.35">
      <c r="A13822">
        <v>1011514</v>
      </c>
      <c r="B13822">
        <v>12777</v>
      </c>
      <c r="C13822">
        <v>24</v>
      </c>
      <c r="D13822" t="s">
        <v>17166</v>
      </c>
      <c r="F13822" t="s">
        <v>17246</v>
      </c>
      <c r="H13822" t="s">
        <v>28921</v>
      </c>
      <c r="J13822" t="s">
        <v>29538</v>
      </c>
      <c r="L13822" t="s">
        <v>30198</v>
      </c>
      <c r="N13822" t="s">
        <v>30487</v>
      </c>
      <c r="O13822" t="s">
        <v>30894</v>
      </c>
      <c r="P13822" t="s">
        <v>30929</v>
      </c>
      <c r="R13822" s="26" t="str">
        <f t="shared" si="49"/>
        <v>Enterovirus alphacoxsackie</v>
      </c>
      <c r="S13822" t="s">
        <v>8141</v>
      </c>
      <c r="T13822" t="s">
        <v>31000</v>
      </c>
      <c r="U13822" t="s">
        <v>31001</v>
      </c>
      <c r="V13822" t="s">
        <v>31002</v>
      </c>
      <c r="W13822" t="s">
        <v>49735</v>
      </c>
      <c r="X13822" t="s">
        <v>42</v>
      </c>
      <c r="Y13822" t="s">
        <v>17171</v>
      </c>
      <c r="Z13822" t="s">
        <v>166</v>
      </c>
      <c r="AA13822" s="22" t="str">
        <f>HYPERLINK("https://www.ncbi.nlm.nih.gov/nuccore/AF326764","NCBI Nucleotide")</f>
        <v>NCBI Nucleotide</v>
      </c>
    </row>
    <row r="13823" spans="1:27" x14ac:dyDescent="0.35">
      <c r="A13823">
        <v>1011515</v>
      </c>
      <c r="B13823">
        <v>12777</v>
      </c>
      <c r="C13823">
        <v>25</v>
      </c>
      <c r="D13823" t="s">
        <v>17166</v>
      </c>
      <c r="F13823" t="s">
        <v>17246</v>
      </c>
      <c r="H13823" t="s">
        <v>28921</v>
      </c>
      <c r="J13823" t="s">
        <v>29538</v>
      </c>
      <c r="L13823" t="s">
        <v>30198</v>
      </c>
      <c r="N13823" t="s">
        <v>30487</v>
      </c>
      <c r="O13823" t="s">
        <v>30894</v>
      </c>
      <c r="P13823" t="s">
        <v>30929</v>
      </c>
      <c r="R13823" s="26" t="str">
        <f t="shared" si="49"/>
        <v>Enterovirus alphacoxsackie</v>
      </c>
      <c r="S13823" t="s">
        <v>8141</v>
      </c>
      <c r="T13823" t="s">
        <v>31003</v>
      </c>
      <c r="U13823" t="s">
        <v>31004</v>
      </c>
      <c r="V13823" t="s">
        <v>31005</v>
      </c>
      <c r="W13823" t="s">
        <v>49736</v>
      </c>
      <c r="X13823" t="s">
        <v>42</v>
      </c>
      <c r="Y13823" t="s">
        <v>17171</v>
      </c>
      <c r="Z13823" t="s">
        <v>166</v>
      </c>
      <c r="AA13823" s="22" t="str">
        <f>HYPERLINK("https://www.ncbi.nlm.nih.gov/nuccore/AF326750","NCBI Nucleotide")</f>
        <v>NCBI Nucleotide</v>
      </c>
    </row>
    <row r="13824" spans="1:27" x14ac:dyDescent="0.35">
      <c r="A13824">
        <v>1002182</v>
      </c>
      <c r="B13824">
        <v>12778</v>
      </c>
      <c r="C13824">
        <v>1</v>
      </c>
      <c r="D13824" t="s">
        <v>17166</v>
      </c>
      <c r="F13824" t="s">
        <v>17246</v>
      </c>
      <c r="H13824" t="s">
        <v>28921</v>
      </c>
      <c r="J13824" t="s">
        <v>29538</v>
      </c>
      <c r="L13824" t="s">
        <v>30198</v>
      </c>
      <c r="N13824" t="s">
        <v>30487</v>
      </c>
      <c r="O13824" t="s">
        <v>30894</v>
      </c>
      <c r="P13824" t="s">
        <v>30929</v>
      </c>
      <c r="R13824" s="26" t="str">
        <f t="shared" ref="R13824:R13855" si="50">HYPERLINK("https://ictv.global/taxonomy/taxondetails?taxnode_id=202301993","Enterovirus alpharhino")</f>
        <v>Enterovirus alpharhino</v>
      </c>
      <c r="S13824" t="s">
        <v>30</v>
      </c>
      <c r="T13824" t="s">
        <v>31421</v>
      </c>
      <c r="U13824" t="s">
        <v>31422</v>
      </c>
      <c r="V13824" t="s">
        <v>31423</v>
      </c>
      <c r="W13824" t="s">
        <v>31424</v>
      </c>
      <c r="X13824" t="s">
        <v>42</v>
      </c>
      <c r="Y13824" t="s">
        <v>17171</v>
      </c>
      <c r="Z13824" t="s">
        <v>166</v>
      </c>
      <c r="AA13824" s="22" t="str">
        <f>HYPERLINK("https://www.ncbi.nlm.nih.gov/nuccore/FJ445111","NCBI Nucleotide")</f>
        <v>NCBI Nucleotide</v>
      </c>
    </row>
    <row r="13825" spans="1:27" x14ac:dyDescent="0.35">
      <c r="A13825">
        <v>1011671</v>
      </c>
      <c r="B13825">
        <v>12778</v>
      </c>
      <c r="C13825">
        <v>2</v>
      </c>
      <c r="D13825" t="s">
        <v>17166</v>
      </c>
      <c r="F13825" t="s">
        <v>17246</v>
      </c>
      <c r="H13825" t="s">
        <v>28921</v>
      </c>
      <c r="J13825" t="s">
        <v>29538</v>
      </c>
      <c r="L13825" t="s">
        <v>30198</v>
      </c>
      <c r="N13825" t="s">
        <v>30487</v>
      </c>
      <c r="O13825" t="s">
        <v>30894</v>
      </c>
      <c r="P13825" t="s">
        <v>30929</v>
      </c>
      <c r="R13825" s="26" t="str">
        <f t="shared" si="50"/>
        <v>Enterovirus alpharhino</v>
      </c>
      <c r="S13825" t="s">
        <v>8141</v>
      </c>
      <c r="T13825" t="s">
        <v>31428</v>
      </c>
      <c r="U13825" t="s">
        <v>31429</v>
      </c>
      <c r="V13825" t="s">
        <v>31430</v>
      </c>
      <c r="W13825" t="s">
        <v>49737</v>
      </c>
      <c r="X13825" t="s">
        <v>42</v>
      </c>
      <c r="Y13825" t="s">
        <v>17171</v>
      </c>
      <c r="Z13825" t="s">
        <v>166</v>
      </c>
      <c r="AA13825" s="22" t="str">
        <f>HYPERLINK("https://www.ncbi.nlm.nih.gov/nuccore/X02316","NCBI Nucleotide")</f>
        <v>NCBI Nucleotide</v>
      </c>
    </row>
    <row r="13826" spans="1:27" x14ac:dyDescent="0.35">
      <c r="A13826">
        <v>1011672</v>
      </c>
      <c r="B13826">
        <v>12778</v>
      </c>
      <c r="C13826">
        <v>3</v>
      </c>
      <c r="D13826" t="s">
        <v>17166</v>
      </c>
      <c r="F13826" t="s">
        <v>17246</v>
      </c>
      <c r="H13826" t="s">
        <v>28921</v>
      </c>
      <c r="J13826" t="s">
        <v>29538</v>
      </c>
      <c r="L13826" t="s">
        <v>30198</v>
      </c>
      <c r="N13826" t="s">
        <v>30487</v>
      </c>
      <c r="O13826" t="s">
        <v>30894</v>
      </c>
      <c r="P13826" t="s">
        <v>30929</v>
      </c>
      <c r="R13826" s="26" t="str">
        <f t="shared" si="50"/>
        <v>Enterovirus alpharhino</v>
      </c>
      <c r="S13826" t="s">
        <v>8141</v>
      </c>
      <c r="T13826" t="s">
        <v>31431</v>
      </c>
      <c r="U13826" t="s">
        <v>31432</v>
      </c>
      <c r="V13826" t="s">
        <v>31433</v>
      </c>
      <c r="W13826" t="s">
        <v>49738</v>
      </c>
      <c r="X13826" t="s">
        <v>42</v>
      </c>
      <c r="Y13826" t="s">
        <v>17171</v>
      </c>
      <c r="Z13826" t="s">
        <v>166</v>
      </c>
      <c r="AA13826" s="22" t="str">
        <f>HYPERLINK("https://www.ncbi.nlm.nih.gov/nuccore/DQ473503","NCBI Nucleotide")</f>
        <v>NCBI Nucleotide</v>
      </c>
    </row>
    <row r="13827" spans="1:27" x14ac:dyDescent="0.35">
      <c r="A13827">
        <v>1011673</v>
      </c>
      <c r="B13827">
        <v>12778</v>
      </c>
      <c r="C13827">
        <v>4</v>
      </c>
      <c r="D13827" t="s">
        <v>17166</v>
      </c>
      <c r="F13827" t="s">
        <v>17246</v>
      </c>
      <c r="H13827" t="s">
        <v>28921</v>
      </c>
      <c r="J13827" t="s">
        <v>29538</v>
      </c>
      <c r="L13827" t="s">
        <v>30198</v>
      </c>
      <c r="N13827" t="s">
        <v>30487</v>
      </c>
      <c r="O13827" t="s">
        <v>30894</v>
      </c>
      <c r="P13827" t="s">
        <v>30929</v>
      </c>
      <c r="R13827" s="26" t="str">
        <f t="shared" si="50"/>
        <v>Enterovirus alpharhino</v>
      </c>
      <c r="S13827" t="s">
        <v>8141</v>
      </c>
      <c r="T13827" t="s">
        <v>31434</v>
      </c>
      <c r="U13827" t="s">
        <v>31435</v>
      </c>
      <c r="V13827" t="s">
        <v>31436</v>
      </c>
      <c r="W13827" t="s">
        <v>49739</v>
      </c>
      <c r="X13827" t="s">
        <v>42</v>
      </c>
      <c r="Y13827" t="s">
        <v>17171</v>
      </c>
      <c r="Z13827" t="s">
        <v>166</v>
      </c>
      <c r="AA13827" s="22" t="str">
        <f>HYPERLINK("https://www.ncbi.nlm.nih.gov/nuccore/FJ445113","NCBI Nucleotide")</f>
        <v>NCBI Nucleotide</v>
      </c>
    </row>
    <row r="13828" spans="1:27" x14ac:dyDescent="0.35">
      <c r="A13828">
        <v>1011674</v>
      </c>
      <c r="B13828">
        <v>12778</v>
      </c>
      <c r="C13828">
        <v>5</v>
      </c>
      <c r="D13828" t="s">
        <v>17166</v>
      </c>
      <c r="F13828" t="s">
        <v>17246</v>
      </c>
      <c r="H13828" t="s">
        <v>28921</v>
      </c>
      <c r="J13828" t="s">
        <v>29538</v>
      </c>
      <c r="L13828" t="s">
        <v>30198</v>
      </c>
      <c r="N13828" t="s">
        <v>30487</v>
      </c>
      <c r="O13828" t="s">
        <v>30894</v>
      </c>
      <c r="P13828" t="s">
        <v>30929</v>
      </c>
      <c r="R13828" s="26" t="str">
        <f t="shared" si="50"/>
        <v>Enterovirus alpharhino</v>
      </c>
      <c r="S13828" t="s">
        <v>8141</v>
      </c>
      <c r="T13828" t="s">
        <v>31437</v>
      </c>
      <c r="U13828" t="s">
        <v>31438</v>
      </c>
      <c r="V13828" t="s">
        <v>31439</v>
      </c>
      <c r="W13828" t="s">
        <v>49740</v>
      </c>
      <c r="X13828" t="s">
        <v>42</v>
      </c>
      <c r="Y13828" t="s">
        <v>17171</v>
      </c>
      <c r="Z13828" t="s">
        <v>166</v>
      </c>
      <c r="AA13828" s="22" t="str">
        <f>HYPERLINK("https://www.ncbi.nlm.nih.gov/nuccore/FJ445177","NCBI Nucleotide")</f>
        <v>NCBI Nucleotide</v>
      </c>
    </row>
    <row r="13829" spans="1:27" x14ac:dyDescent="0.35">
      <c r="A13829">
        <v>1011675</v>
      </c>
      <c r="B13829">
        <v>12778</v>
      </c>
      <c r="C13829">
        <v>6</v>
      </c>
      <c r="D13829" t="s">
        <v>17166</v>
      </c>
      <c r="F13829" t="s">
        <v>17246</v>
      </c>
      <c r="H13829" t="s">
        <v>28921</v>
      </c>
      <c r="J13829" t="s">
        <v>29538</v>
      </c>
      <c r="L13829" t="s">
        <v>30198</v>
      </c>
      <c r="N13829" t="s">
        <v>30487</v>
      </c>
      <c r="O13829" t="s">
        <v>30894</v>
      </c>
      <c r="P13829" t="s">
        <v>30929</v>
      </c>
      <c r="R13829" s="26" t="str">
        <f t="shared" si="50"/>
        <v>Enterovirus alpharhino</v>
      </c>
      <c r="S13829" t="s">
        <v>8141</v>
      </c>
      <c r="T13829" t="s">
        <v>31440</v>
      </c>
      <c r="U13829" t="s">
        <v>31441</v>
      </c>
      <c r="V13829" t="s">
        <v>31442</v>
      </c>
      <c r="W13829" t="s">
        <v>49741</v>
      </c>
      <c r="X13829" t="s">
        <v>42</v>
      </c>
      <c r="Y13829" t="s">
        <v>17171</v>
      </c>
      <c r="Z13829" t="s">
        <v>166</v>
      </c>
      <c r="AA13829" s="22" t="str">
        <f>HYPERLINK("https://www.ncbi.nlm.nih.gov/nuccore/DQ473498","NCBI Nucleotide")</f>
        <v>NCBI Nucleotide</v>
      </c>
    </row>
    <row r="13830" spans="1:27" x14ac:dyDescent="0.35">
      <c r="A13830">
        <v>1011676</v>
      </c>
      <c r="B13830">
        <v>12778</v>
      </c>
      <c r="C13830">
        <v>7</v>
      </c>
      <c r="D13830" t="s">
        <v>17166</v>
      </c>
      <c r="F13830" t="s">
        <v>17246</v>
      </c>
      <c r="H13830" t="s">
        <v>28921</v>
      </c>
      <c r="J13830" t="s">
        <v>29538</v>
      </c>
      <c r="L13830" t="s">
        <v>30198</v>
      </c>
      <c r="N13830" t="s">
        <v>30487</v>
      </c>
      <c r="O13830" t="s">
        <v>30894</v>
      </c>
      <c r="P13830" t="s">
        <v>30929</v>
      </c>
      <c r="R13830" s="26" t="str">
        <f t="shared" si="50"/>
        <v>Enterovirus alpharhino</v>
      </c>
      <c r="S13830" t="s">
        <v>8141</v>
      </c>
      <c r="T13830" t="s">
        <v>31443</v>
      </c>
      <c r="U13830" t="s">
        <v>31444</v>
      </c>
      <c r="V13830" t="s">
        <v>31445</v>
      </c>
      <c r="W13830" t="s">
        <v>49742</v>
      </c>
      <c r="X13830" t="s">
        <v>42</v>
      </c>
      <c r="Y13830" t="s">
        <v>17171</v>
      </c>
      <c r="Z13830" t="s">
        <v>166</v>
      </c>
      <c r="AA13830" s="22" t="str">
        <f>HYPERLINK("https://www.ncbi.nlm.nih.gov/nuccore/EF173414","NCBI Nucleotide")</f>
        <v>NCBI Nucleotide</v>
      </c>
    </row>
    <row r="13831" spans="1:27" x14ac:dyDescent="0.35">
      <c r="A13831">
        <v>1011677</v>
      </c>
      <c r="B13831">
        <v>12778</v>
      </c>
      <c r="C13831">
        <v>8</v>
      </c>
      <c r="D13831" t="s">
        <v>17166</v>
      </c>
      <c r="F13831" t="s">
        <v>17246</v>
      </c>
      <c r="H13831" t="s">
        <v>28921</v>
      </c>
      <c r="J13831" t="s">
        <v>29538</v>
      </c>
      <c r="L13831" t="s">
        <v>30198</v>
      </c>
      <c r="N13831" t="s">
        <v>30487</v>
      </c>
      <c r="O13831" t="s">
        <v>30894</v>
      </c>
      <c r="P13831" t="s">
        <v>30929</v>
      </c>
      <c r="R13831" s="26" t="str">
        <f t="shared" si="50"/>
        <v>Enterovirus alpharhino</v>
      </c>
      <c r="S13831" t="s">
        <v>8141</v>
      </c>
      <c r="T13831" t="s">
        <v>31446</v>
      </c>
      <c r="U13831" t="s">
        <v>31447</v>
      </c>
      <c r="V13831" t="s">
        <v>31448</v>
      </c>
      <c r="W13831" t="s">
        <v>49743</v>
      </c>
      <c r="X13831" t="s">
        <v>42</v>
      </c>
      <c r="Y13831" t="s">
        <v>17171</v>
      </c>
      <c r="Z13831" t="s">
        <v>166</v>
      </c>
      <c r="AA13831" s="22" t="str">
        <f>HYPERLINK("https://www.ncbi.nlm.nih.gov/nuccore/EF173415","NCBI Nucleotide")</f>
        <v>NCBI Nucleotide</v>
      </c>
    </row>
    <row r="13832" spans="1:27" x14ac:dyDescent="0.35">
      <c r="A13832">
        <v>1011678</v>
      </c>
      <c r="B13832">
        <v>12778</v>
      </c>
      <c r="C13832">
        <v>9</v>
      </c>
      <c r="D13832" t="s">
        <v>17166</v>
      </c>
      <c r="F13832" t="s">
        <v>17246</v>
      </c>
      <c r="H13832" t="s">
        <v>28921</v>
      </c>
      <c r="J13832" t="s">
        <v>29538</v>
      </c>
      <c r="L13832" t="s">
        <v>30198</v>
      </c>
      <c r="N13832" t="s">
        <v>30487</v>
      </c>
      <c r="O13832" t="s">
        <v>30894</v>
      </c>
      <c r="P13832" t="s">
        <v>30929</v>
      </c>
      <c r="R13832" s="26" t="str">
        <f t="shared" si="50"/>
        <v>Enterovirus alpharhino</v>
      </c>
      <c r="S13832" t="s">
        <v>8141</v>
      </c>
      <c r="T13832" t="s">
        <v>31449</v>
      </c>
      <c r="U13832" t="s">
        <v>31450</v>
      </c>
      <c r="V13832" t="s">
        <v>31451</v>
      </c>
      <c r="W13832" t="s">
        <v>49744</v>
      </c>
      <c r="X13832" t="s">
        <v>42</v>
      </c>
      <c r="Y13832" t="s">
        <v>17171</v>
      </c>
      <c r="Z13832" t="s">
        <v>166</v>
      </c>
      <c r="AA13832" s="22" t="str">
        <f>HYPERLINK("https://www.ncbi.nlm.nih.gov/nuccore/FJ445116","NCBI Nucleotide")</f>
        <v>NCBI Nucleotide</v>
      </c>
    </row>
    <row r="13833" spans="1:27" x14ac:dyDescent="0.35">
      <c r="A13833">
        <v>1011679</v>
      </c>
      <c r="B13833">
        <v>12778</v>
      </c>
      <c r="C13833">
        <v>10</v>
      </c>
      <c r="D13833" t="s">
        <v>17166</v>
      </c>
      <c r="F13833" t="s">
        <v>17246</v>
      </c>
      <c r="H13833" t="s">
        <v>28921</v>
      </c>
      <c r="J13833" t="s">
        <v>29538</v>
      </c>
      <c r="L13833" t="s">
        <v>30198</v>
      </c>
      <c r="N13833" t="s">
        <v>30487</v>
      </c>
      <c r="O13833" t="s">
        <v>30894</v>
      </c>
      <c r="P13833" t="s">
        <v>30929</v>
      </c>
      <c r="R13833" s="26" t="str">
        <f t="shared" si="50"/>
        <v>Enterovirus alpharhino</v>
      </c>
      <c r="S13833" t="s">
        <v>8141</v>
      </c>
      <c r="T13833" t="s">
        <v>31452</v>
      </c>
      <c r="U13833" t="s">
        <v>31453</v>
      </c>
      <c r="V13833" t="s">
        <v>31454</v>
      </c>
      <c r="W13833" t="s">
        <v>49745</v>
      </c>
      <c r="X13833" t="s">
        <v>42</v>
      </c>
      <c r="Y13833" t="s">
        <v>17171</v>
      </c>
      <c r="Z13833" t="s">
        <v>166</v>
      </c>
      <c r="AA13833" s="22" t="str">
        <f>HYPERLINK("https://www.ncbi.nlm.nih.gov/nuccore/DQ473493","NCBI Nucleotide")</f>
        <v>NCBI Nucleotide</v>
      </c>
    </row>
    <row r="13834" spans="1:27" x14ac:dyDescent="0.35">
      <c r="A13834">
        <v>1011680</v>
      </c>
      <c r="B13834">
        <v>12778</v>
      </c>
      <c r="C13834">
        <v>11</v>
      </c>
      <c r="D13834" t="s">
        <v>17166</v>
      </c>
      <c r="F13834" t="s">
        <v>17246</v>
      </c>
      <c r="H13834" t="s">
        <v>28921</v>
      </c>
      <c r="J13834" t="s">
        <v>29538</v>
      </c>
      <c r="L13834" t="s">
        <v>30198</v>
      </c>
      <c r="N13834" t="s">
        <v>30487</v>
      </c>
      <c r="O13834" t="s">
        <v>30894</v>
      </c>
      <c r="P13834" t="s">
        <v>30929</v>
      </c>
      <c r="R13834" s="26" t="str">
        <f t="shared" si="50"/>
        <v>Enterovirus alpharhino</v>
      </c>
      <c r="S13834" t="s">
        <v>8141</v>
      </c>
      <c r="T13834" t="s">
        <v>31455</v>
      </c>
      <c r="U13834" t="s">
        <v>31456</v>
      </c>
      <c r="V13834" t="s">
        <v>31457</v>
      </c>
      <c r="W13834" t="s">
        <v>49746</v>
      </c>
      <c r="X13834" t="s">
        <v>42</v>
      </c>
      <c r="Y13834" t="s">
        <v>17171</v>
      </c>
      <c r="Z13834" t="s">
        <v>166</v>
      </c>
      <c r="AA13834" s="22" t="str">
        <f>HYPERLINK("https://www.ncbi.nlm.nih.gov/nuccore/L24917","NCBI Nucleotide")</f>
        <v>NCBI Nucleotide</v>
      </c>
    </row>
    <row r="13835" spans="1:27" x14ac:dyDescent="0.35">
      <c r="A13835">
        <v>1011681</v>
      </c>
      <c r="B13835">
        <v>12778</v>
      </c>
      <c r="C13835">
        <v>12</v>
      </c>
      <c r="D13835" t="s">
        <v>17166</v>
      </c>
      <c r="F13835" t="s">
        <v>17246</v>
      </c>
      <c r="H13835" t="s">
        <v>28921</v>
      </c>
      <c r="J13835" t="s">
        <v>29538</v>
      </c>
      <c r="L13835" t="s">
        <v>30198</v>
      </c>
      <c r="N13835" t="s">
        <v>30487</v>
      </c>
      <c r="O13835" t="s">
        <v>30894</v>
      </c>
      <c r="P13835" t="s">
        <v>30929</v>
      </c>
      <c r="R13835" s="26" t="str">
        <f t="shared" si="50"/>
        <v>Enterovirus alpharhino</v>
      </c>
      <c r="S13835" t="s">
        <v>8141</v>
      </c>
      <c r="T13835" t="s">
        <v>31458</v>
      </c>
      <c r="U13835" t="s">
        <v>31459</v>
      </c>
      <c r="V13835" t="s">
        <v>31460</v>
      </c>
      <c r="W13835" t="s">
        <v>49747</v>
      </c>
      <c r="X13835" t="s">
        <v>42</v>
      </c>
      <c r="Y13835" t="s">
        <v>17171</v>
      </c>
      <c r="Z13835" t="s">
        <v>166</v>
      </c>
      <c r="AA13835" s="22" t="str">
        <f>HYPERLINK("https://www.ncbi.nlm.nih.gov/nuccore/FJ445118","NCBI Nucleotide")</f>
        <v>NCBI Nucleotide</v>
      </c>
    </row>
    <row r="13836" spans="1:27" x14ac:dyDescent="0.35">
      <c r="A13836">
        <v>1011682</v>
      </c>
      <c r="B13836">
        <v>12778</v>
      </c>
      <c r="C13836">
        <v>13</v>
      </c>
      <c r="D13836" t="s">
        <v>17166</v>
      </c>
      <c r="F13836" t="s">
        <v>17246</v>
      </c>
      <c r="H13836" t="s">
        <v>28921</v>
      </c>
      <c r="J13836" t="s">
        <v>29538</v>
      </c>
      <c r="L13836" t="s">
        <v>30198</v>
      </c>
      <c r="N13836" t="s">
        <v>30487</v>
      </c>
      <c r="O13836" t="s">
        <v>30894</v>
      </c>
      <c r="P13836" t="s">
        <v>30929</v>
      </c>
      <c r="R13836" s="26" t="str">
        <f t="shared" si="50"/>
        <v>Enterovirus alpharhino</v>
      </c>
      <c r="S13836" t="s">
        <v>8141</v>
      </c>
      <c r="T13836" t="s">
        <v>31461</v>
      </c>
      <c r="U13836" t="s">
        <v>31462</v>
      </c>
      <c r="V13836" t="s">
        <v>31463</v>
      </c>
      <c r="W13836" t="s">
        <v>49748</v>
      </c>
      <c r="X13836" t="s">
        <v>42</v>
      </c>
      <c r="Y13836" t="s">
        <v>17171</v>
      </c>
      <c r="Z13836" t="s">
        <v>166</v>
      </c>
      <c r="AA13836" s="22" t="str">
        <f>HYPERLINK("https://www.ncbi.nlm.nih.gov/nuccore/FJ445119","NCBI Nucleotide")</f>
        <v>NCBI Nucleotide</v>
      </c>
    </row>
    <row r="13837" spans="1:27" x14ac:dyDescent="0.35">
      <c r="A13837">
        <v>1011683</v>
      </c>
      <c r="B13837">
        <v>12778</v>
      </c>
      <c r="C13837">
        <v>14</v>
      </c>
      <c r="D13837" t="s">
        <v>17166</v>
      </c>
      <c r="F13837" t="s">
        <v>17246</v>
      </c>
      <c r="H13837" t="s">
        <v>28921</v>
      </c>
      <c r="J13837" t="s">
        <v>29538</v>
      </c>
      <c r="L13837" t="s">
        <v>30198</v>
      </c>
      <c r="N13837" t="s">
        <v>30487</v>
      </c>
      <c r="O13837" t="s">
        <v>30894</v>
      </c>
      <c r="P13837" t="s">
        <v>30929</v>
      </c>
      <c r="R13837" s="26" t="str">
        <f t="shared" si="50"/>
        <v>Enterovirus alpharhino</v>
      </c>
      <c r="S13837" t="s">
        <v>8141</v>
      </c>
      <c r="T13837" t="s">
        <v>31464</v>
      </c>
      <c r="U13837" t="s">
        <v>31465</v>
      </c>
      <c r="V13837" t="s">
        <v>31466</v>
      </c>
      <c r="W13837" t="s">
        <v>49749</v>
      </c>
      <c r="X13837" t="s">
        <v>42</v>
      </c>
      <c r="Y13837" t="s">
        <v>17171</v>
      </c>
      <c r="Z13837" t="s">
        <v>166</v>
      </c>
      <c r="AA13837" s="22" t="str">
        <f>HYPERLINK("https://www.ncbi.nlm.nih.gov/nuccore/FJ445120","NCBI Nucleotide")</f>
        <v>NCBI Nucleotide</v>
      </c>
    </row>
    <row r="13838" spans="1:27" x14ac:dyDescent="0.35">
      <c r="A13838">
        <v>1011684</v>
      </c>
      <c r="B13838">
        <v>12778</v>
      </c>
      <c r="C13838">
        <v>15</v>
      </c>
      <c r="D13838" t="s">
        <v>17166</v>
      </c>
      <c r="F13838" t="s">
        <v>17246</v>
      </c>
      <c r="H13838" t="s">
        <v>28921</v>
      </c>
      <c r="J13838" t="s">
        <v>29538</v>
      </c>
      <c r="L13838" t="s">
        <v>30198</v>
      </c>
      <c r="N13838" t="s">
        <v>30487</v>
      </c>
      <c r="O13838" t="s">
        <v>30894</v>
      </c>
      <c r="P13838" t="s">
        <v>30929</v>
      </c>
      <c r="R13838" s="26" t="str">
        <f t="shared" si="50"/>
        <v>Enterovirus alpharhino</v>
      </c>
      <c r="S13838" t="s">
        <v>8141</v>
      </c>
      <c r="T13838" t="s">
        <v>31467</v>
      </c>
      <c r="U13838" t="s">
        <v>31468</v>
      </c>
      <c r="V13838" t="s">
        <v>31469</v>
      </c>
      <c r="W13838" t="s">
        <v>49750</v>
      </c>
      <c r="X13838" t="s">
        <v>42</v>
      </c>
      <c r="Y13838" t="s">
        <v>17171</v>
      </c>
      <c r="Z13838" t="s">
        <v>166</v>
      </c>
      <c r="AA13838" s="22" t="str">
        <f>HYPERLINK("https://www.ncbi.nlm.nih.gov/nuccore/FJ445121","NCBI Nucleotide")</f>
        <v>NCBI Nucleotide</v>
      </c>
    </row>
    <row r="13839" spans="1:27" x14ac:dyDescent="0.35">
      <c r="A13839">
        <v>1011685</v>
      </c>
      <c r="B13839">
        <v>12778</v>
      </c>
      <c r="C13839">
        <v>16</v>
      </c>
      <c r="D13839" t="s">
        <v>17166</v>
      </c>
      <c r="F13839" t="s">
        <v>17246</v>
      </c>
      <c r="H13839" t="s">
        <v>28921</v>
      </c>
      <c r="J13839" t="s">
        <v>29538</v>
      </c>
      <c r="L13839" t="s">
        <v>30198</v>
      </c>
      <c r="N13839" t="s">
        <v>30487</v>
      </c>
      <c r="O13839" t="s">
        <v>30894</v>
      </c>
      <c r="P13839" t="s">
        <v>30929</v>
      </c>
      <c r="R13839" s="26" t="str">
        <f t="shared" si="50"/>
        <v>Enterovirus alpharhino</v>
      </c>
      <c r="S13839" t="s">
        <v>8141</v>
      </c>
      <c r="T13839" t="s">
        <v>31470</v>
      </c>
      <c r="U13839" t="s">
        <v>31471</v>
      </c>
      <c r="V13839" t="s">
        <v>31472</v>
      </c>
      <c r="W13839" t="s">
        <v>49751</v>
      </c>
      <c r="X13839" t="s">
        <v>42</v>
      </c>
      <c r="Y13839" t="s">
        <v>17171</v>
      </c>
      <c r="Z13839" t="s">
        <v>166</v>
      </c>
      <c r="AA13839" s="22" t="str">
        <f>HYPERLINK("https://www.ncbi.nlm.nih.gov/nuccore/FJ445122","NCBI Nucleotide")</f>
        <v>NCBI Nucleotide</v>
      </c>
    </row>
    <row r="13840" spans="1:27" x14ac:dyDescent="0.35">
      <c r="A13840">
        <v>1011686</v>
      </c>
      <c r="B13840">
        <v>12778</v>
      </c>
      <c r="C13840">
        <v>17</v>
      </c>
      <c r="D13840" t="s">
        <v>17166</v>
      </c>
      <c r="F13840" t="s">
        <v>17246</v>
      </c>
      <c r="H13840" t="s">
        <v>28921</v>
      </c>
      <c r="J13840" t="s">
        <v>29538</v>
      </c>
      <c r="L13840" t="s">
        <v>30198</v>
      </c>
      <c r="N13840" t="s">
        <v>30487</v>
      </c>
      <c r="O13840" t="s">
        <v>30894</v>
      </c>
      <c r="P13840" t="s">
        <v>30929</v>
      </c>
      <c r="R13840" s="26" t="str">
        <f t="shared" si="50"/>
        <v>Enterovirus alpharhino</v>
      </c>
      <c r="S13840" t="s">
        <v>8141</v>
      </c>
      <c r="T13840" t="s">
        <v>31473</v>
      </c>
      <c r="U13840" t="s">
        <v>31474</v>
      </c>
      <c r="V13840" t="s">
        <v>31475</v>
      </c>
      <c r="W13840" t="s">
        <v>49752</v>
      </c>
      <c r="X13840" t="s">
        <v>42</v>
      </c>
      <c r="Y13840" t="s">
        <v>17171</v>
      </c>
      <c r="Z13840" t="s">
        <v>166</v>
      </c>
      <c r="AA13840" s="22" t="str">
        <f>HYPERLINK("https://www.ncbi.nlm.nih.gov/nuccore/DQ473497","NCBI Nucleotide")</f>
        <v>NCBI Nucleotide</v>
      </c>
    </row>
    <row r="13841" spans="1:27" x14ac:dyDescent="0.35">
      <c r="A13841">
        <v>1011687</v>
      </c>
      <c r="B13841">
        <v>12778</v>
      </c>
      <c r="C13841">
        <v>18</v>
      </c>
      <c r="D13841" t="s">
        <v>17166</v>
      </c>
      <c r="F13841" t="s">
        <v>17246</v>
      </c>
      <c r="H13841" t="s">
        <v>28921</v>
      </c>
      <c r="J13841" t="s">
        <v>29538</v>
      </c>
      <c r="L13841" t="s">
        <v>30198</v>
      </c>
      <c r="N13841" t="s">
        <v>30487</v>
      </c>
      <c r="O13841" t="s">
        <v>30894</v>
      </c>
      <c r="P13841" t="s">
        <v>30929</v>
      </c>
      <c r="R13841" s="26" t="str">
        <f t="shared" si="50"/>
        <v>Enterovirus alpharhino</v>
      </c>
      <c r="S13841" t="s">
        <v>8141</v>
      </c>
      <c r="T13841" t="s">
        <v>31476</v>
      </c>
      <c r="U13841" t="s">
        <v>31477</v>
      </c>
      <c r="V13841" t="s">
        <v>31478</v>
      </c>
      <c r="W13841" t="s">
        <v>49753</v>
      </c>
      <c r="X13841" t="s">
        <v>42</v>
      </c>
      <c r="Y13841" t="s">
        <v>17171</v>
      </c>
      <c r="Z13841" t="s">
        <v>166</v>
      </c>
      <c r="AA13841" s="22" t="str">
        <f>HYPERLINK("https://www.ncbi.nlm.nih.gov/nuccore/EF173416","NCBI Nucleotide")</f>
        <v>NCBI Nucleotide</v>
      </c>
    </row>
    <row r="13842" spans="1:27" x14ac:dyDescent="0.35">
      <c r="A13842">
        <v>1011688</v>
      </c>
      <c r="B13842">
        <v>12778</v>
      </c>
      <c r="C13842">
        <v>19</v>
      </c>
      <c r="D13842" t="s">
        <v>17166</v>
      </c>
      <c r="F13842" t="s">
        <v>17246</v>
      </c>
      <c r="H13842" t="s">
        <v>28921</v>
      </c>
      <c r="J13842" t="s">
        <v>29538</v>
      </c>
      <c r="L13842" t="s">
        <v>30198</v>
      </c>
      <c r="N13842" t="s">
        <v>30487</v>
      </c>
      <c r="O13842" t="s">
        <v>30894</v>
      </c>
      <c r="P13842" t="s">
        <v>30929</v>
      </c>
      <c r="R13842" s="26" t="str">
        <f t="shared" si="50"/>
        <v>Enterovirus alpharhino</v>
      </c>
      <c r="S13842" t="s">
        <v>8141</v>
      </c>
      <c r="T13842" t="s">
        <v>31479</v>
      </c>
      <c r="U13842" t="s">
        <v>31480</v>
      </c>
      <c r="V13842" t="s">
        <v>31481</v>
      </c>
      <c r="W13842" t="s">
        <v>49754</v>
      </c>
      <c r="X13842" t="s">
        <v>42</v>
      </c>
      <c r="Y13842" t="s">
        <v>17171</v>
      </c>
      <c r="Z13842" t="s">
        <v>166</v>
      </c>
      <c r="AA13842" s="22" t="str">
        <f>HYPERLINK("https://www.ncbi.nlm.nih.gov/nuccore/FJ445123","NCBI Nucleotide")</f>
        <v>NCBI Nucleotide</v>
      </c>
    </row>
    <row r="13843" spans="1:27" x14ac:dyDescent="0.35">
      <c r="A13843">
        <v>1011689</v>
      </c>
      <c r="B13843">
        <v>12778</v>
      </c>
      <c r="C13843">
        <v>20</v>
      </c>
      <c r="D13843" t="s">
        <v>17166</v>
      </c>
      <c r="F13843" t="s">
        <v>17246</v>
      </c>
      <c r="H13843" t="s">
        <v>28921</v>
      </c>
      <c r="J13843" t="s">
        <v>29538</v>
      </c>
      <c r="L13843" t="s">
        <v>30198</v>
      </c>
      <c r="N13843" t="s">
        <v>30487</v>
      </c>
      <c r="O13843" t="s">
        <v>30894</v>
      </c>
      <c r="P13843" t="s">
        <v>30929</v>
      </c>
      <c r="R13843" s="26" t="str">
        <f t="shared" si="50"/>
        <v>Enterovirus alpharhino</v>
      </c>
      <c r="S13843" t="s">
        <v>8141</v>
      </c>
      <c r="T13843" t="s">
        <v>31482</v>
      </c>
      <c r="U13843" t="s">
        <v>31483</v>
      </c>
      <c r="V13843" t="s">
        <v>31484</v>
      </c>
      <c r="W13843" t="s">
        <v>49755</v>
      </c>
      <c r="X13843" t="s">
        <v>42</v>
      </c>
      <c r="Y13843" t="s">
        <v>17171</v>
      </c>
      <c r="Z13843" t="s">
        <v>166</v>
      </c>
      <c r="AA13843" s="22" t="str">
        <f>HYPERLINK("https://www.ncbi.nlm.nih.gov/nuccore/DQ473508","NCBI Nucleotide")</f>
        <v>NCBI Nucleotide</v>
      </c>
    </row>
    <row r="13844" spans="1:27" x14ac:dyDescent="0.35">
      <c r="A13844">
        <v>1011690</v>
      </c>
      <c r="B13844">
        <v>12778</v>
      </c>
      <c r="C13844">
        <v>21</v>
      </c>
      <c r="D13844" t="s">
        <v>17166</v>
      </c>
      <c r="F13844" t="s">
        <v>17246</v>
      </c>
      <c r="H13844" t="s">
        <v>28921</v>
      </c>
      <c r="J13844" t="s">
        <v>29538</v>
      </c>
      <c r="L13844" t="s">
        <v>30198</v>
      </c>
      <c r="N13844" t="s">
        <v>30487</v>
      </c>
      <c r="O13844" t="s">
        <v>30894</v>
      </c>
      <c r="P13844" t="s">
        <v>30929</v>
      </c>
      <c r="R13844" s="26" t="str">
        <f t="shared" si="50"/>
        <v>Enterovirus alpharhino</v>
      </c>
      <c r="S13844" t="s">
        <v>8141</v>
      </c>
      <c r="T13844" t="s">
        <v>31485</v>
      </c>
      <c r="U13844" t="s">
        <v>31486</v>
      </c>
      <c r="V13844" t="s">
        <v>31487</v>
      </c>
      <c r="W13844" t="s">
        <v>49756</v>
      </c>
      <c r="X13844" t="s">
        <v>42</v>
      </c>
      <c r="Y13844" t="s">
        <v>17171</v>
      </c>
      <c r="Z13844" t="s">
        <v>166</v>
      </c>
      <c r="AA13844" s="22" t="str">
        <f>HYPERLINK("https://www.ncbi.nlm.nih.gov/nuccore/FJ445125","NCBI Nucleotide")</f>
        <v>NCBI Nucleotide</v>
      </c>
    </row>
    <row r="13845" spans="1:27" x14ac:dyDescent="0.35">
      <c r="A13845">
        <v>1011691</v>
      </c>
      <c r="B13845">
        <v>12778</v>
      </c>
      <c r="C13845">
        <v>22</v>
      </c>
      <c r="D13845" t="s">
        <v>17166</v>
      </c>
      <c r="F13845" t="s">
        <v>17246</v>
      </c>
      <c r="H13845" t="s">
        <v>28921</v>
      </c>
      <c r="J13845" t="s">
        <v>29538</v>
      </c>
      <c r="L13845" t="s">
        <v>30198</v>
      </c>
      <c r="N13845" t="s">
        <v>30487</v>
      </c>
      <c r="O13845" t="s">
        <v>30894</v>
      </c>
      <c r="P13845" t="s">
        <v>30929</v>
      </c>
      <c r="R13845" s="26" t="str">
        <f t="shared" si="50"/>
        <v>Enterovirus alpharhino</v>
      </c>
      <c r="S13845" t="s">
        <v>8141</v>
      </c>
      <c r="T13845" t="s">
        <v>31488</v>
      </c>
      <c r="U13845" t="s">
        <v>31489</v>
      </c>
      <c r="V13845" t="s">
        <v>31490</v>
      </c>
      <c r="W13845" t="s">
        <v>49757</v>
      </c>
      <c r="X13845" t="s">
        <v>42</v>
      </c>
      <c r="Y13845" t="s">
        <v>17171</v>
      </c>
      <c r="Z13845" t="s">
        <v>166</v>
      </c>
      <c r="AA13845" s="22" t="str">
        <f>HYPERLINK("https://www.ncbi.nlm.nih.gov/nuccore/DQ473512","NCBI Nucleotide")</f>
        <v>NCBI Nucleotide</v>
      </c>
    </row>
    <row r="13846" spans="1:27" x14ac:dyDescent="0.35">
      <c r="A13846">
        <v>1011692</v>
      </c>
      <c r="B13846">
        <v>12778</v>
      </c>
      <c r="C13846">
        <v>23</v>
      </c>
      <c r="D13846" t="s">
        <v>17166</v>
      </c>
      <c r="F13846" t="s">
        <v>17246</v>
      </c>
      <c r="H13846" t="s">
        <v>28921</v>
      </c>
      <c r="J13846" t="s">
        <v>29538</v>
      </c>
      <c r="L13846" t="s">
        <v>30198</v>
      </c>
      <c r="N13846" t="s">
        <v>30487</v>
      </c>
      <c r="O13846" t="s">
        <v>30894</v>
      </c>
      <c r="P13846" t="s">
        <v>30929</v>
      </c>
      <c r="R13846" s="26" t="str">
        <f t="shared" si="50"/>
        <v>Enterovirus alpharhino</v>
      </c>
      <c r="S13846" t="s">
        <v>8141</v>
      </c>
      <c r="T13846" t="s">
        <v>31491</v>
      </c>
      <c r="U13846" t="s">
        <v>31492</v>
      </c>
      <c r="V13846" t="s">
        <v>31493</v>
      </c>
      <c r="W13846" t="s">
        <v>49758</v>
      </c>
      <c r="X13846" t="s">
        <v>42</v>
      </c>
      <c r="Y13846" t="s">
        <v>17171</v>
      </c>
      <c r="Z13846" t="s">
        <v>166</v>
      </c>
      <c r="AA13846" s="22" t="str">
        <f>HYPERLINK("https://www.ncbi.nlm.nih.gov/nuccore/FJ445126","NCBI Nucleotide")</f>
        <v>NCBI Nucleotide</v>
      </c>
    </row>
    <row r="13847" spans="1:27" x14ac:dyDescent="0.35">
      <c r="A13847">
        <v>1011693</v>
      </c>
      <c r="B13847">
        <v>12778</v>
      </c>
      <c r="C13847">
        <v>24</v>
      </c>
      <c r="D13847" t="s">
        <v>17166</v>
      </c>
      <c r="F13847" t="s">
        <v>17246</v>
      </c>
      <c r="H13847" t="s">
        <v>28921</v>
      </c>
      <c r="J13847" t="s">
        <v>29538</v>
      </c>
      <c r="L13847" t="s">
        <v>30198</v>
      </c>
      <c r="N13847" t="s">
        <v>30487</v>
      </c>
      <c r="O13847" t="s">
        <v>30894</v>
      </c>
      <c r="P13847" t="s">
        <v>30929</v>
      </c>
      <c r="R13847" s="26" t="str">
        <f t="shared" si="50"/>
        <v>Enterovirus alpharhino</v>
      </c>
      <c r="S13847" t="s">
        <v>8141</v>
      </c>
      <c r="T13847" t="s">
        <v>31494</v>
      </c>
      <c r="U13847" t="s">
        <v>31495</v>
      </c>
      <c r="V13847" t="s">
        <v>31496</v>
      </c>
      <c r="W13847" t="s">
        <v>49759</v>
      </c>
      <c r="X13847" t="s">
        <v>42</v>
      </c>
      <c r="Y13847" t="s">
        <v>17171</v>
      </c>
      <c r="Z13847" t="s">
        <v>166</v>
      </c>
      <c r="AA13847" s="22" t="str">
        <f>HYPERLINK("https://www.ncbi.nlm.nih.gov/nuccore/FJ445127","NCBI Nucleotide")</f>
        <v>NCBI Nucleotide</v>
      </c>
    </row>
    <row r="13848" spans="1:27" x14ac:dyDescent="0.35">
      <c r="A13848">
        <v>1011694</v>
      </c>
      <c r="B13848">
        <v>12778</v>
      </c>
      <c r="C13848">
        <v>25</v>
      </c>
      <c r="D13848" t="s">
        <v>17166</v>
      </c>
      <c r="F13848" t="s">
        <v>17246</v>
      </c>
      <c r="H13848" t="s">
        <v>28921</v>
      </c>
      <c r="J13848" t="s">
        <v>29538</v>
      </c>
      <c r="L13848" t="s">
        <v>30198</v>
      </c>
      <c r="N13848" t="s">
        <v>30487</v>
      </c>
      <c r="O13848" t="s">
        <v>30894</v>
      </c>
      <c r="P13848" t="s">
        <v>30929</v>
      </c>
      <c r="R13848" s="26" t="str">
        <f t="shared" si="50"/>
        <v>Enterovirus alpharhino</v>
      </c>
      <c r="S13848" t="s">
        <v>8141</v>
      </c>
      <c r="T13848" t="s">
        <v>31497</v>
      </c>
      <c r="U13848" t="s">
        <v>31498</v>
      </c>
      <c r="V13848" t="s">
        <v>31499</v>
      </c>
      <c r="W13848" t="s">
        <v>49760</v>
      </c>
      <c r="X13848" t="s">
        <v>42</v>
      </c>
      <c r="Y13848" t="s">
        <v>17171</v>
      </c>
      <c r="Z13848" t="s">
        <v>166</v>
      </c>
      <c r="AA13848" s="22" t="str">
        <f>HYPERLINK("https://www.ncbi.nlm.nih.gov/nuccore/FJ445128","NCBI Nucleotide")</f>
        <v>NCBI Nucleotide</v>
      </c>
    </row>
    <row r="13849" spans="1:27" x14ac:dyDescent="0.35">
      <c r="A13849">
        <v>1011695</v>
      </c>
      <c r="B13849">
        <v>12778</v>
      </c>
      <c r="C13849">
        <v>26</v>
      </c>
      <c r="D13849" t="s">
        <v>17166</v>
      </c>
      <c r="F13849" t="s">
        <v>17246</v>
      </c>
      <c r="H13849" t="s">
        <v>28921</v>
      </c>
      <c r="J13849" t="s">
        <v>29538</v>
      </c>
      <c r="L13849" t="s">
        <v>30198</v>
      </c>
      <c r="N13849" t="s">
        <v>30487</v>
      </c>
      <c r="O13849" t="s">
        <v>30894</v>
      </c>
      <c r="P13849" t="s">
        <v>30929</v>
      </c>
      <c r="R13849" s="26" t="str">
        <f t="shared" si="50"/>
        <v>Enterovirus alpharhino</v>
      </c>
      <c r="S13849" t="s">
        <v>8141</v>
      </c>
      <c r="T13849" t="s">
        <v>31500</v>
      </c>
      <c r="U13849" t="s">
        <v>31501</v>
      </c>
      <c r="V13849" t="s">
        <v>31502</v>
      </c>
      <c r="W13849" t="s">
        <v>49761</v>
      </c>
      <c r="X13849" t="s">
        <v>42</v>
      </c>
      <c r="Y13849" t="s">
        <v>17171</v>
      </c>
      <c r="Z13849" t="s">
        <v>166</v>
      </c>
      <c r="AA13849" s="22" t="str">
        <f>HYPERLINK("https://www.ncbi.nlm.nih.gov/nuccore/DQ473501","NCBI Nucleotide")</f>
        <v>NCBI Nucleotide</v>
      </c>
    </row>
    <row r="13850" spans="1:27" x14ac:dyDescent="0.35">
      <c r="A13850">
        <v>1011696</v>
      </c>
      <c r="B13850">
        <v>12778</v>
      </c>
      <c r="C13850">
        <v>27</v>
      </c>
      <c r="D13850" t="s">
        <v>17166</v>
      </c>
      <c r="F13850" t="s">
        <v>17246</v>
      </c>
      <c r="H13850" t="s">
        <v>28921</v>
      </c>
      <c r="J13850" t="s">
        <v>29538</v>
      </c>
      <c r="L13850" t="s">
        <v>30198</v>
      </c>
      <c r="N13850" t="s">
        <v>30487</v>
      </c>
      <c r="O13850" t="s">
        <v>30894</v>
      </c>
      <c r="P13850" t="s">
        <v>30929</v>
      </c>
      <c r="R13850" s="26" t="str">
        <f t="shared" si="50"/>
        <v>Enterovirus alpharhino</v>
      </c>
      <c r="S13850" t="s">
        <v>8141</v>
      </c>
      <c r="T13850" t="s">
        <v>31503</v>
      </c>
      <c r="U13850" t="s">
        <v>31504</v>
      </c>
      <c r="V13850" t="s">
        <v>31505</v>
      </c>
      <c r="W13850" t="s">
        <v>49762</v>
      </c>
      <c r="X13850" t="s">
        <v>42</v>
      </c>
      <c r="Y13850" t="s">
        <v>17171</v>
      </c>
      <c r="Z13850" t="s">
        <v>166</v>
      </c>
      <c r="AA13850" s="22" t="str">
        <f>HYPERLINK("https://www.ncbi.nlm.nih.gov/nuccore/DQ473505","NCBI Nucleotide")</f>
        <v>NCBI Nucleotide</v>
      </c>
    </row>
    <row r="13851" spans="1:27" x14ac:dyDescent="0.35">
      <c r="A13851">
        <v>1011697</v>
      </c>
      <c r="B13851">
        <v>12778</v>
      </c>
      <c r="C13851">
        <v>28</v>
      </c>
      <c r="D13851" t="s">
        <v>17166</v>
      </c>
      <c r="F13851" t="s">
        <v>17246</v>
      </c>
      <c r="H13851" t="s">
        <v>28921</v>
      </c>
      <c r="J13851" t="s">
        <v>29538</v>
      </c>
      <c r="L13851" t="s">
        <v>30198</v>
      </c>
      <c r="N13851" t="s">
        <v>30487</v>
      </c>
      <c r="O13851" t="s">
        <v>30894</v>
      </c>
      <c r="P13851" t="s">
        <v>30929</v>
      </c>
      <c r="R13851" s="26" t="str">
        <f t="shared" si="50"/>
        <v>Enterovirus alpharhino</v>
      </c>
      <c r="S13851" t="s">
        <v>8141</v>
      </c>
      <c r="T13851" t="s">
        <v>31506</v>
      </c>
      <c r="U13851" t="s">
        <v>31507</v>
      </c>
      <c r="V13851" t="s">
        <v>31508</v>
      </c>
      <c r="W13851" t="s">
        <v>49763</v>
      </c>
      <c r="X13851" t="s">
        <v>42</v>
      </c>
      <c r="Y13851" t="s">
        <v>17171</v>
      </c>
      <c r="Z13851" t="s">
        <v>166</v>
      </c>
      <c r="AA13851" s="22" t="str">
        <f>HYPERLINK("https://www.ncbi.nlm.nih.gov/nuccore/DQ473495","NCBI Nucleotide")</f>
        <v>NCBI Nucleotide</v>
      </c>
    </row>
    <row r="13852" spans="1:27" x14ac:dyDescent="0.35">
      <c r="A13852">
        <v>1011698</v>
      </c>
      <c r="B13852">
        <v>12778</v>
      </c>
      <c r="C13852">
        <v>29</v>
      </c>
      <c r="D13852" t="s">
        <v>17166</v>
      </c>
      <c r="F13852" t="s">
        <v>17246</v>
      </c>
      <c r="H13852" t="s">
        <v>28921</v>
      </c>
      <c r="J13852" t="s">
        <v>29538</v>
      </c>
      <c r="L13852" t="s">
        <v>30198</v>
      </c>
      <c r="N13852" t="s">
        <v>30487</v>
      </c>
      <c r="O13852" t="s">
        <v>30894</v>
      </c>
      <c r="P13852" t="s">
        <v>30929</v>
      </c>
      <c r="R13852" s="26" t="str">
        <f t="shared" si="50"/>
        <v>Enterovirus alpharhino</v>
      </c>
      <c r="S13852" t="s">
        <v>8141</v>
      </c>
      <c r="T13852" t="s">
        <v>31509</v>
      </c>
      <c r="U13852" t="s">
        <v>31510</v>
      </c>
      <c r="V13852" t="s">
        <v>31511</v>
      </c>
      <c r="W13852" t="s">
        <v>49764</v>
      </c>
      <c r="X13852" t="s">
        <v>42</v>
      </c>
      <c r="Y13852" t="s">
        <v>17171</v>
      </c>
      <c r="Z13852" t="s">
        <v>166</v>
      </c>
      <c r="AA13852" s="22" t="str">
        <f>HYPERLINK("https://www.ncbi.nlm.nih.gov/nuccore/AY751783","NCBI Nucleotide")</f>
        <v>NCBI Nucleotide</v>
      </c>
    </row>
    <row r="13853" spans="1:27" x14ac:dyDescent="0.35">
      <c r="A13853">
        <v>1011699</v>
      </c>
      <c r="B13853">
        <v>12778</v>
      </c>
      <c r="C13853">
        <v>30</v>
      </c>
      <c r="D13853" t="s">
        <v>17166</v>
      </c>
      <c r="F13853" t="s">
        <v>17246</v>
      </c>
      <c r="H13853" t="s">
        <v>28921</v>
      </c>
      <c r="J13853" t="s">
        <v>29538</v>
      </c>
      <c r="L13853" t="s">
        <v>30198</v>
      </c>
      <c r="N13853" t="s">
        <v>30487</v>
      </c>
      <c r="O13853" t="s">
        <v>30894</v>
      </c>
      <c r="P13853" t="s">
        <v>30929</v>
      </c>
      <c r="R13853" s="26" t="str">
        <f t="shared" si="50"/>
        <v>Enterovirus alpharhino</v>
      </c>
      <c r="S13853" t="s">
        <v>8141</v>
      </c>
      <c r="T13853" t="s">
        <v>31512</v>
      </c>
      <c r="U13853" t="s">
        <v>31513</v>
      </c>
      <c r="V13853" t="s">
        <v>31514</v>
      </c>
      <c r="W13853" t="s">
        <v>49765</v>
      </c>
      <c r="X13853" t="s">
        <v>42</v>
      </c>
      <c r="Y13853" t="s">
        <v>17171</v>
      </c>
      <c r="Z13853" t="s">
        <v>166</v>
      </c>
      <c r="AA13853" s="22" t="str">
        <f>HYPERLINK("https://www.ncbi.nlm.nih.gov/nuccore/FJ445129","NCBI Nucleotide")</f>
        <v>NCBI Nucleotide</v>
      </c>
    </row>
    <row r="13854" spans="1:27" x14ac:dyDescent="0.35">
      <c r="A13854">
        <v>1011700</v>
      </c>
      <c r="B13854">
        <v>12778</v>
      </c>
      <c r="C13854">
        <v>31</v>
      </c>
      <c r="D13854" t="s">
        <v>17166</v>
      </c>
      <c r="F13854" t="s">
        <v>17246</v>
      </c>
      <c r="H13854" t="s">
        <v>28921</v>
      </c>
      <c r="J13854" t="s">
        <v>29538</v>
      </c>
      <c r="L13854" t="s">
        <v>30198</v>
      </c>
      <c r="N13854" t="s">
        <v>30487</v>
      </c>
      <c r="O13854" t="s">
        <v>30894</v>
      </c>
      <c r="P13854" t="s">
        <v>30929</v>
      </c>
      <c r="R13854" s="26" t="str">
        <f t="shared" si="50"/>
        <v>Enterovirus alpharhino</v>
      </c>
      <c r="S13854" t="s">
        <v>8141</v>
      </c>
      <c r="T13854" t="s">
        <v>31515</v>
      </c>
      <c r="U13854" t="s">
        <v>31516</v>
      </c>
      <c r="V13854" t="s">
        <v>31517</v>
      </c>
      <c r="W13854" t="s">
        <v>49766</v>
      </c>
      <c r="X13854" t="s">
        <v>42</v>
      </c>
      <c r="Y13854" t="s">
        <v>17171</v>
      </c>
      <c r="Z13854" t="s">
        <v>166</v>
      </c>
      <c r="AA13854" s="22" t="str">
        <f>HYPERLINK("https://www.ncbi.nlm.nih.gov/nuccore/DQ473491","NCBI Nucleotide")</f>
        <v>NCBI Nucleotide</v>
      </c>
    </row>
    <row r="13855" spans="1:27" x14ac:dyDescent="0.35">
      <c r="A13855">
        <v>1011701</v>
      </c>
      <c r="B13855">
        <v>12778</v>
      </c>
      <c r="C13855">
        <v>32</v>
      </c>
      <c r="D13855" t="s">
        <v>17166</v>
      </c>
      <c r="F13855" t="s">
        <v>17246</v>
      </c>
      <c r="H13855" t="s">
        <v>28921</v>
      </c>
      <c r="J13855" t="s">
        <v>29538</v>
      </c>
      <c r="L13855" t="s">
        <v>30198</v>
      </c>
      <c r="N13855" t="s">
        <v>30487</v>
      </c>
      <c r="O13855" t="s">
        <v>30894</v>
      </c>
      <c r="P13855" t="s">
        <v>30929</v>
      </c>
      <c r="R13855" s="26" t="str">
        <f t="shared" si="50"/>
        <v>Enterovirus alpharhino</v>
      </c>
      <c r="S13855" t="s">
        <v>8141</v>
      </c>
      <c r="T13855" t="s">
        <v>31518</v>
      </c>
      <c r="U13855" t="s">
        <v>31519</v>
      </c>
      <c r="V13855" t="s">
        <v>31520</v>
      </c>
      <c r="W13855" t="s">
        <v>49767</v>
      </c>
      <c r="X13855" t="s">
        <v>42</v>
      </c>
      <c r="Y13855" t="s">
        <v>17171</v>
      </c>
      <c r="Z13855" t="s">
        <v>166</v>
      </c>
      <c r="AA13855" s="22" t="str">
        <f>HYPERLINK("https://www.ncbi.nlm.nih.gov/nuccore/FJ445131","NCBI Nucleotide")</f>
        <v>NCBI Nucleotide</v>
      </c>
    </row>
    <row r="13856" spans="1:27" x14ac:dyDescent="0.35">
      <c r="A13856">
        <v>1011702</v>
      </c>
      <c r="B13856">
        <v>12778</v>
      </c>
      <c r="C13856">
        <v>33</v>
      </c>
      <c r="D13856" t="s">
        <v>17166</v>
      </c>
      <c r="F13856" t="s">
        <v>17246</v>
      </c>
      <c r="H13856" t="s">
        <v>28921</v>
      </c>
      <c r="J13856" t="s">
        <v>29538</v>
      </c>
      <c r="L13856" t="s">
        <v>30198</v>
      </c>
      <c r="N13856" t="s">
        <v>30487</v>
      </c>
      <c r="O13856" t="s">
        <v>30894</v>
      </c>
      <c r="P13856" t="s">
        <v>30929</v>
      </c>
      <c r="R13856" s="26" t="str">
        <f t="shared" ref="R13856:R13887" si="51">HYPERLINK("https://ictv.global/taxonomy/taxondetails?taxnode_id=202301993","Enterovirus alpharhino")</f>
        <v>Enterovirus alpharhino</v>
      </c>
      <c r="S13856" t="s">
        <v>8141</v>
      </c>
      <c r="T13856" t="s">
        <v>31521</v>
      </c>
      <c r="U13856" t="s">
        <v>31522</v>
      </c>
      <c r="V13856" t="s">
        <v>31523</v>
      </c>
      <c r="W13856" t="s">
        <v>49768</v>
      </c>
      <c r="X13856" t="s">
        <v>42</v>
      </c>
      <c r="Y13856" t="s">
        <v>17171</v>
      </c>
      <c r="Z13856" t="s">
        <v>166</v>
      </c>
      <c r="AA13856" s="22" t="str">
        <f>HYPERLINK("https://www.ncbi.nlm.nih.gov/nuccore/FJ445132","NCBI Nucleotide")</f>
        <v>NCBI Nucleotide</v>
      </c>
    </row>
    <row r="13857" spans="1:27" x14ac:dyDescent="0.35">
      <c r="A13857">
        <v>1011703</v>
      </c>
      <c r="B13857">
        <v>12778</v>
      </c>
      <c r="C13857">
        <v>34</v>
      </c>
      <c r="D13857" t="s">
        <v>17166</v>
      </c>
      <c r="F13857" t="s">
        <v>17246</v>
      </c>
      <c r="H13857" t="s">
        <v>28921</v>
      </c>
      <c r="J13857" t="s">
        <v>29538</v>
      </c>
      <c r="L13857" t="s">
        <v>30198</v>
      </c>
      <c r="N13857" t="s">
        <v>30487</v>
      </c>
      <c r="O13857" t="s">
        <v>30894</v>
      </c>
      <c r="P13857" t="s">
        <v>30929</v>
      </c>
      <c r="R13857" s="26" t="str">
        <f t="shared" si="51"/>
        <v>Enterovirus alpharhino</v>
      </c>
      <c r="S13857" t="s">
        <v>8141</v>
      </c>
      <c r="T13857" t="s">
        <v>31524</v>
      </c>
      <c r="U13857" t="s">
        <v>31525</v>
      </c>
      <c r="V13857" t="s">
        <v>31526</v>
      </c>
      <c r="W13857" t="s">
        <v>49769</v>
      </c>
      <c r="X13857" t="s">
        <v>42</v>
      </c>
      <c r="Y13857" t="s">
        <v>17171</v>
      </c>
      <c r="Z13857" t="s">
        <v>166</v>
      </c>
      <c r="AA13857" s="22" t="str">
        <f>HYPERLINK("https://www.ncbi.nlm.nih.gov/nuccore/DQ473506","NCBI Nucleotide")</f>
        <v>NCBI Nucleotide</v>
      </c>
    </row>
    <row r="13858" spans="1:27" x14ac:dyDescent="0.35">
      <c r="A13858">
        <v>1011704</v>
      </c>
      <c r="B13858">
        <v>12778</v>
      </c>
      <c r="C13858">
        <v>35</v>
      </c>
      <c r="D13858" t="s">
        <v>17166</v>
      </c>
      <c r="F13858" t="s">
        <v>17246</v>
      </c>
      <c r="H13858" t="s">
        <v>28921</v>
      </c>
      <c r="J13858" t="s">
        <v>29538</v>
      </c>
      <c r="L13858" t="s">
        <v>30198</v>
      </c>
      <c r="N13858" t="s">
        <v>30487</v>
      </c>
      <c r="O13858" t="s">
        <v>30894</v>
      </c>
      <c r="P13858" t="s">
        <v>30929</v>
      </c>
      <c r="R13858" s="26" t="str">
        <f t="shared" si="51"/>
        <v>Enterovirus alpharhino</v>
      </c>
      <c r="S13858" t="s">
        <v>8141</v>
      </c>
      <c r="T13858" t="s">
        <v>31527</v>
      </c>
      <c r="U13858" t="s">
        <v>31528</v>
      </c>
      <c r="V13858" t="s">
        <v>31529</v>
      </c>
      <c r="W13858" t="s">
        <v>49770</v>
      </c>
      <c r="X13858" t="s">
        <v>42</v>
      </c>
      <c r="Y13858" t="s">
        <v>17171</v>
      </c>
      <c r="Z13858" t="s">
        <v>166</v>
      </c>
      <c r="AA13858" s="22" t="str">
        <f>HYPERLINK("https://www.ncbi.nlm.nih.gov/nuccore/FJ445133","NCBI Nucleotide")</f>
        <v>NCBI Nucleotide</v>
      </c>
    </row>
    <row r="13859" spans="1:27" x14ac:dyDescent="0.35">
      <c r="A13859">
        <v>1011705</v>
      </c>
      <c r="B13859">
        <v>12778</v>
      </c>
      <c r="C13859">
        <v>36</v>
      </c>
      <c r="D13859" t="s">
        <v>17166</v>
      </c>
      <c r="F13859" t="s">
        <v>17246</v>
      </c>
      <c r="H13859" t="s">
        <v>28921</v>
      </c>
      <c r="J13859" t="s">
        <v>29538</v>
      </c>
      <c r="L13859" t="s">
        <v>30198</v>
      </c>
      <c r="N13859" t="s">
        <v>30487</v>
      </c>
      <c r="O13859" t="s">
        <v>30894</v>
      </c>
      <c r="P13859" t="s">
        <v>30929</v>
      </c>
      <c r="R13859" s="26" t="str">
        <f t="shared" si="51"/>
        <v>Enterovirus alpharhino</v>
      </c>
      <c r="S13859" t="s">
        <v>8141</v>
      </c>
      <c r="T13859" t="s">
        <v>31530</v>
      </c>
      <c r="U13859" t="s">
        <v>31531</v>
      </c>
      <c r="V13859">
        <v>8213</v>
      </c>
      <c r="W13859" t="s">
        <v>49771</v>
      </c>
      <c r="X13859" t="s">
        <v>42</v>
      </c>
      <c r="Y13859" t="s">
        <v>17171</v>
      </c>
      <c r="Z13859" t="s">
        <v>166</v>
      </c>
      <c r="AA13859" s="22" t="str">
        <f>HYPERLINK("https://www.ncbi.nlm.nih.gov/nuccore/DQ473496","NCBI Nucleotide")</f>
        <v>NCBI Nucleotide</v>
      </c>
    </row>
    <row r="13860" spans="1:27" x14ac:dyDescent="0.35">
      <c r="A13860">
        <v>1011706</v>
      </c>
      <c r="B13860">
        <v>12778</v>
      </c>
      <c r="C13860">
        <v>37</v>
      </c>
      <c r="D13860" t="s">
        <v>17166</v>
      </c>
      <c r="F13860" t="s">
        <v>17246</v>
      </c>
      <c r="H13860" t="s">
        <v>28921</v>
      </c>
      <c r="J13860" t="s">
        <v>29538</v>
      </c>
      <c r="L13860" t="s">
        <v>30198</v>
      </c>
      <c r="N13860" t="s">
        <v>30487</v>
      </c>
      <c r="O13860" t="s">
        <v>30894</v>
      </c>
      <c r="P13860" t="s">
        <v>30929</v>
      </c>
      <c r="R13860" s="26" t="str">
        <f t="shared" si="51"/>
        <v>Enterovirus alpharhino</v>
      </c>
      <c r="S13860" t="s">
        <v>8141</v>
      </c>
      <c r="T13860" t="s">
        <v>31532</v>
      </c>
      <c r="U13860" t="s">
        <v>31533</v>
      </c>
      <c r="V13860" t="s">
        <v>31534</v>
      </c>
      <c r="W13860" t="s">
        <v>49772</v>
      </c>
      <c r="X13860" t="s">
        <v>42</v>
      </c>
      <c r="Y13860" t="s">
        <v>17171</v>
      </c>
      <c r="Z13860" t="s">
        <v>166</v>
      </c>
      <c r="AA13860" s="22" t="str">
        <f>HYPERLINK("https://www.ncbi.nlm.nih.gov/nuccore/FJ445135","NCBI Nucleotide")</f>
        <v>NCBI Nucleotide</v>
      </c>
    </row>
    <row r="13861" spans="1:27" x14ac:dyDescent="0.35">
      <c r="A13861">
        <v>1011707</v>
      </c>
      <c r="B13861">
        <v>12778</v>
      </c>
      <c r="C13861">
        <v>38</v>
      </c>
      <c r="D13861" t="s">
        <v>17166</v>
      </c>
      <c r="F13861" t="s">
        <v>17246</v>
      </c>
      <c r="H13861" t="s">
        <v>28921</v>
      </c>
      <c r="J13861" t="s">
        <v>29538</v>
      </c>
      <c r="L13861" t="s">
        <v>30198</v>
      </c>
      <c r="N13861" t="s">
        <v>30487</v>
      </c>
      <c r="O13861" t="s">
        <v>30894</v>
      </c>
      <c r="P13861" t="s">
        <v>30929</v>
      </c>
      <c r="R13861" s="26" t="str">
        <f t="shared" si="51"/>
        <v>Enterovirus alpharhino</v>
      </c>
      <c r="S13861" t="s">
        <v>8141</v>
      </c>
      <c r="T13861" t="s">
        <v>31535</v>
      </c>
      <c r="U13861" t="s">
        <v>31536</v>
      </c>
      <c r="V13861" t="s">
        <v>31537</v>
      </c>
      <c r="W13861" t="s">
        <v>49773</v>
      </c>
      <c r="X13861" t="s">
        <v>42</v>
      </c>
      <c r="Y13861" t="s">
        <v>17171</v>
      </c>
      <c r="Z13861" t="s">
        <v>166</v>
      </c>
      <c r="AA13861" s="22" t="str">
        <f>HYPERLINK("https://www.ncbi.nlm.nih.gov/nuccore/FJ445136","NCBI Nucleotide")</f>
        <v>NCBI Nucleotide</v>
      </c>
    </row>
    <row r="13862" spans="1:27" x14ac:dyDescent="0.35">
      <c r="A13862">
        <v>1011708</v>
      </c>
      <c r="B13862">
        <v>12778</v>
      </c>
      <c r="C13862">
        <v>39</v>
      </c>
      <c r="D13862" t="s">
        <v>17166</v>
      </c>
      <c r="F13862" t="s">
        <v>17246</v>
      </c>
      <c r="H13862" t="s">
        <v>28921</v>
      </c>
      <c r="J13862" t="s">
        <v>29538</v>
      </c>
      <c r="L13862" t="s">
        <v>30198</v>
      </c>
      <c r="N13862" t="s">
        <v>30487</v>
      </c>
      <c r="O13862" t="s">
        <v>30894</v>
      </c>
      <c r="P13862" t="s">
        <v>30929</v>
      </c>
      <c r="R13862" s="26" t="str">
        <f t="shared" si="51"/>
        <v>Enterovirus alpharhino</v>
      </c>
      <c r="S13862" t="s">
        <v>8141</v>
      </c>
      <c r="T13862" t="s">
        <v>31538</v>
      </c>
      <c r="U13862" t="s">
        <v>31539</v>
      </c>
      <c r="V13862" t="s">
        <v>31540</v>
      </c>
      <c r="W13862" t="s">
        <v>49774</v>
      </c>
      <c r="X13862" t="s">
        <v>42</v>
      </c>
      <c r="Y13862" t="s">
        <v>17171</v>
      </c>
      <c r="Z13862" t="s">
        <v>166</v>
      </c>
      <c r="AA13862" s="22" t="str">
        <f>HYPERLINK("https://www.ncbi.nlm.nih.gov/nuccore/DQ473507","NCBI Nucleotide")</f>
        <v>NCBI Nucleotide</v>
      </c>
    </row>
    <row r="13863" spans="1:27" x14ac:dyDescent="0.35">
      <c r="A13863">
        <v>1011709</v>
      </c>
      <c r="B13863">
        <v>12778</v>
      </c>
      <c r="C13863">
        <v>40</v>
      </c>
      <c r="D13863" t="s">
        <v>17166</v>
      </c>
      <c r="F13863" t="s">
        <v>17246</v>
      </c>
      <c r="H13863" t="s">
        <v>28921</v>
      </c>
      <c r="J13863" t="s">
        <v>29538</v>
      </c>
      <c r="L13863" t="s">
        <v>30198</v>
      </c>
      <c r="N13863" t="s">
        <v>30487</v>
      </c>
      <c r="O13863" t="s">
        <v>30894</v>
      </c>
      <c r="P13863" t="s">
        <v>30929</v>
      </c>
      <c r="R13863" s="26" t="str">
        <f t="shared" si="51"/>
        <v>Enterovirus alpharhino</v>
      </c>
      <c r="S13863" t="s">
        <v>8141</v>
      </c>
      <c r="T13863" t="s">
        <v>31541</v>
      </c>
      <c r="U13863" t="s">
        <v>31542</v>
      </c>
      <c r="V13863" t="s">
        <v>31543</v>
      </c>
      <c r="W13863" t="s">
        <v>49775</v>
      </c>
      <c r="X13863" t="s">
        <v>42</v>
      </c>
      <c r="Y13863" t="s">
        <v>17171</v>
      </c>
      <c r="Z13863" t="s">
        <v>166</v>
      </c>
      <c r="AA13863" s="22" t="str">
        <f>HYPERLINK("https://www.ncbi.nlm.nih.gov/nuccore/FJ445138","NCBI Nucleotide")</f>
        <v>NCBI Nucleotide</v>
      </c>
    </row>
    <row r="13864" spans="1:27" x14ac:dyDescent="0.35">
      <c r="A13864">
        <v>1011710</v>
      </c>
      <c r="B13864">
        <v>12778</v>
      </c>
      <c r="C13864">
        <v>41</v>
      </c>
      <c r="D13864" t="s">
        <v>17166</v>
      </c>
      <c r="F13864" t="s">
        <v>17246</v>
      </c>
      <c r="H13864" t="s">
        <v>28921</v>
      </c>
      <c r="J13864" t="s">
        <v>29538</v>
      </c>
      <c r="L13864" t="s">
        <v>30198</v>
      </c>
      <c r="N13864" t="s">
        <v>30487</v>
      </c>
      <c r="O13864" t="s">
        <v>30894</v>
      </c>
      <c r="P13864" t="s">
        <v>30929</v>
      </c>
      <c r="R13864" s="26" t="str">
        <f t="shared" si="51"/>
        <v>Enterovirus alpharhino</v>
      </c>
      <c r="S13864" t="s">
        <v>8141</v>
      </c>
      <c r="T13864" t="s">
        <v>31544</v>
      </c>
      <c r="U13864" t="s">
        <v>31545</v>
      </c>
      <c r="V13864" t="s">
        <v>31546</v>
      </c>
      <c r="W13864" t="s">
        <v>49776</v>
      </c>
      <c r="X13864" t="s">
        <v>42</v>
      </c>
      <c r="Y13864" t="s">
        <v>17171</v>
      </c>
      <c r="Z13864" t="s">
        <v>166</v>
      </c>
      <c r="AA13864" s="22" t="str">
        <f>HYPERLINK("https://www.ncbi.nlm.nih.gov/nuccore/DQ473511","NCBI Nucleotide")</f>
        <v>NCBI Nucleotide</v>
      </c>
    </row>
    <row r="13865" spans="1:27" x14ac:dyDescent="0.35">
      <c r="A13865">
        <v>1011711</v>
      </c>
      <c r="B13865">
        <v>12778</v>
      </c>
      <c r="C13865">
        <v>42</v>
      </c>
      <c r="D13865" t="s">
        <v>17166</v>
      </c>
      <c r="F13865" t="s">
        <v>17246</v>
      </c>
      <c r="H13865" t="s">
        <v>28921</v>
      </c>
      <c r="J13865" t="s">
        <v>29538</v>
      </c>
      <c r="L13865" t="s">
        <v>30198</v>
      </c>
      <c r="N13865" t="s">
        <v>30487</v>
      </c>
      <c r="O13865" t="s">
        <v>30894</v>
      </c>
      <c r="P13865" t="s">
        <v>30929</v>
      </c>
      <c r="R13865" s="26" t="str">
        <f t="shared" si="51"/>
        <v>Enterovirus alpharhino</v>
      </c>
      <c r="S13865" t="s">
        <v>8141</v>
      </c>
      <c r="T13865" t="s">
        <v>31547</v>
      </c>
      <c r="U13865" t="s">
        <v>31548</v>
      </c>
      <c r="V13865" t="s">
        <v>31549</v>
      </c>
      <c r="W13865" t="s">
        <v>49777</v>
      </c>
      <c r="X13865" t="s">
        <v>42</v>
      </c>
      <c r="Y13865" t="s">
        <v>17171</v>
      </c>
      <c r="Z13865" t="s">
        <v>166</v>
      </c>
      <c r="AA13865" s="22" t="str">
        <f>HYPERLINK("https://www.ncbi.nlm.nih.gov/nuccore/FJ445140","NCBI Nucleotide")</f>
        <v>NCBI Nucleotide</v>
      </c>
    </row>
    <row r="13866" spans="1:27" x14ac:dyDescent="0.35">
      <c r="A13866">
        <v>1011712</v>
      </c>
      <c r="B13866">
        <v>12778</v>
      </c>
      <c r="C13866">
        <v>43</v>
      </c>
      <c r="D13866" t="s">
        <v>17166</v>
      </c>
      <c r="F13866" t="s">
        <v>17246</v>
      </c>
      <c r="H13866" t="s">
        <v>28921</v>
      </c>
      <c r="J13866" t="s">
        <v>29538</v>
      </c>
      <c r="L13866" t="s">
        <v>30198</v>
      </c>
      <c r="N13866" t="s">
        <v>30487</v>
      </c>
      <c r="O13866" t="s">
        <v>30894</v>
      </c>
      <c r="P13866" t="s">
        <v>30929</v>
      </c>
      <c r="R13866" s="26" t="str">
        <f t="shared" si="51"/>
        <v>Enterovirus alpharhino</v>
      </c>
      <c r="S13866" t="s">
        <v>8141</v>
      </c>
      <c r="T13866" t="s">
        <v>31550</v>
      </c>
      <c r="U13866" t="s">
        <v>31551</v>
      </c>
      <c r="V13866" t="s">
        <v>31552</v>
      </c>
      <c r="W13866" t="s">
        <v>49778</v>
      </c>
      <c r="X13866" t="s">
        <v>42</v>
      </c>
      <c r="Y13866" t="s">
        <v>17171</v>
      </c>
      <c r="Z13866" t="s">
        <v>166</v>
      </c>
      <c r="AA13866" s="22" t="str">
        <f>HYPERLINK("https://www.ncbi.nlm.nih.gov/nuccore/FJ445141","NCBI Nucleotide")</f>
        <v>NCBI Nucleotide</v>
      </c>
    </row>
    <row r="13867" spans="1:27" x14ac:dyDescent="0.35">
      <c r="A13867">
        <v>1011713</v>
      </c>
      <c r="B13867">
        <v>12778</v>
      </c>
      <c r="C13867">
        <v>44</v>
      </c>
      <c r="D13867" t="s">
        <v>17166</v>
      </c>
      <c r="F13867" t="s">
        <v>17246</v>
      </c>
      <c r="H13867" t="s">
        <v>28921</v>
      </c>
      <c r="J13867" t="s">
        <v>29538</v>
      </c>
      <c r="L13867" t="s">
        <v>30198</v>
      </c>
      <c r="N13867" t="s">
        <v>30487</v>
      </c>
      <c r="O13867" t="s">
        <v>30894</v>
      </c>
      <c r="P13867" t="s">
        <v>30929</v>
      </c>
      <c r="R13867" s="26" t="str">
        <f t="shared" si="51"/>
        <v>Enterovirus alpharhino</v>
      </c>
      <c r="S13867" t="s">
        <v>8141</v>
      </c>
      <c r="T13867" t="s">
        <v>31553</v>
      </c>
      <c r="U13867" t="s">
        <v>31554</v>
      </c>
      <c r="V13867" t="s">
        <v>31555</v>
      </c>
      <c r="W13867" t="s">
        <v>49779</v>
      </c>
      <c r="X13867" t="s">
        <v>42</v>
      </c>
      <c r="Y13867" t="s">
        <v>17171</v>
      </c>
      <c r="Z13867" t="s">
        <v>166</v>
      </c>
      <c r="AA13867" s="22" t="str">
        <f>HYPERLINK("https://www.ncbi.nlm.nih.gov/nuccore/FJ445142","NCBI Nucleotide")</f>
        <v>NCBI Nucleotide</v>
      </c>
    </row>
    <row r="13868" spans="1:27" x14ac:dyDescent="0.35">
      <c r="A13868">
        <v>1011714</v>
      </c>
      <c r="B13868">
        <v>12778</v>
      </c>
      <c r="C13868">
        <v>45</v>
      </c>
      <c r="D13868" t="s">
        <v>17166</v>
      </c>
      <c r="F13868" t="s">
        <v>17246</v>
      </c>
      <c r="H13868" t="s">
        <v>28921</v>
      </c>
      <c r="J13868" t="s">
        <v>29538</v>
      </c>
      <c r="L13868" t="s">
        <v>30198</v>
      </c>
      <c r="N13868" t="s">
        <v>30487</v>
      </c>
      <c r="O13868" t="s">
        <v>30894</v>
      </c>
      <c r="P13868" t="s">
        <v>30929</v>
      </c>
      <c r="R13868" s="26" t="str">
        <f t="shared" si="51"/>
        <v>Enterovirus alpharhino</v>
      </c>
      <c r="S13868" t="s">
        <v>8141</v>
      </c>
      <c r="T13868" t="s">
        <v>31556</v>
      </c>
      <c r="U13868" t="s">
        <v>31557</v>
      </c>
      <c r="V13868" t="s">
        <v>31558</v>
      </c>
      <c r="W13868" t="s">
        <v>49780</v>
      </c>
      <c r="X13868" t="s">
        <v>42</v>
      </c>
      <c r="Y13868" t="s">
        <v>17171</v>
      </c>
      <c r="Z13868" t="s">
        <v>166</v>
      </c>
      <c r="AA13868" s="22" t="str">
        <f>HYPERLINK("https://www.ncbi.nlm.nih.gov/nuccore/DQ473500","NCBI Nucleotide")</f>
        <v>NCBI Nucleotide</v>
      </c>
    </row>
    <row r="13869" spans="1:27" x14ac:dyDescent="0.35">
      <c r="A13869">
        <v>1011715</v>
      </c>
      <c r="B13869">
        <v>12778</v>
      </c>
      <c r="C13869">
        <v>46</v>
      </c>
      <c r="D13869" t="s">
        <v>17166</v>
      </c>
      <c r="F13869" t="s">
        <v>17246</v>
      </c>
      <c r="H13869" t="s">
        <v>28921</v>
      </c>
      <c r="J13869" t="s">
        <v>29538</v>
      </c>
      <c r="L13869" t="s">
        <v>30198</v>
      </c>
      <c r="N13869" t="s">
        <v>30487</v>
      </c>
      <c r="O13869" t="s">
        <v>30894</v>
      </c>
      <c r="P13869" t="s">
        <v>30929</v>
      </c>
      <c r="R13869" s="26" t="str">
        <f t="shared" si="51"/>
        <v>Enterovirus alpharhino</v>
      </c>
      <c r="S13869" t="s">
        <v>8141</v>
      </c>
      <c r="T13869" t="s">
        <v>31559</v>
      </c>
      <c r="U13869" t="s">
        <v>31560</v>
      </c>
      <c r="V13869" t="s">
        <v>31561</v>
      </c>
      <c r="W13869" t="s">
        <v>49781</v>
      </c>
      <c r="X13869" t="s">
        <v>42</v>
      </c>
      <c r="Y13869" t="s">
        <v>17171</v>
      </c>
      <c r="Z13869" t="s">
        <v>166</v>
      </c>
      <c r="AA13869" s="22" t="str">
        <f>HYPERLINK("https://www.ncbi.nlm.nih.gov/nuccore/FJ445143","NCBI Nucleotide")</f>
        <v>NCBI Nucleotide</v>
      </c>
    </row>
    <row r="13870" spans="1:27" x14ac:dyDescent="0.35">
      <c r="A13870">
        <v>1011716</v>
      </c>
      <c r="B13870">
        <v>12778</v>
      </c>
      <c r="C13870">
        <v>47</v>
      </c>
      <c r="D13870" t="s">
        <v>17166</v>
      </c>
      <c r="F13870" t="s">
        <v>17246</v>
      </c>
      <c r="H13870" t="s">
        <v>28921</v>
      </c>
      <c r="J13870" t="s">
        <v>29538</v>
      </c>
      <c r="L13870" t="s">
        <v>30198</v>
      </c>
      <c r="N13870" t="s">
        <v>30487</v>
      </c>
      <c r="O13870" t="s">
        <v>30894</v>
      </c>
      <c r="P13870" t="s">
        <v>30929</v>
      </c>
      <c r="R13870" s="26" t="str">
        <f t="shared" si="51"/>
        <v>Enterovirus alpharhino</v>
      </c>
      <c r="S13870" t="s">
        <v>8141</v>
      </c>
      <c r="T13870" t="s">
        <v>31562</v>
      </c>
      <c r="U13870" t="s">
        <v>31563</v>
      </c>
      <c r="V13870" t="s">
        <v>31564</v>
      </c>
      <c r="W13870" t="s">
        <v>49782</v>
      </c>
      <c r="X13870" t="s">
        <v>42</v>
      </c>
      <c r="Y13870" t="s">
        <v>17171</v>
      </c>
      <c r="Z13870" t="s">
        <v>166</v>
      </c>
      <c r="AA13870" s="22" t="str">
        <f>HYPERLINK("https://www.ncbi.nlm.nih.gov/nuccore/FJ445144","NCBI Nucleotide")</f>
        <v>NCBI Nucleotide</v>
      </c>
    </row>
    <row r="13871" spans="1:27" x14ac:dyDescent="0.35">
      <c r="A13871">
        <v>1011717</v>
      </c>
      <c r="B13871">
        <v>12778</v>
      </c>
      <c r="C13871">
        <v>48</v>
      </c>
      <c r="D13871" t="s">
        <v>17166</v>
      </c>
      <c r="F13871" t="s">
        <v>17246</v>
      </c>
      <c r="H13871" t="s">
        <v>28921</v>
      </c>
      <c r="J13871" t="s">
        <v>29538</v>
      </c>
      <c r="L13871" t="s">
        <v>30198</v>
      </c>
      <c r="N13871" t="s">
        <v>30487</v>
      </c>
      <c r="O13871" t="s">
        <v>30894</v>
      </c>
      <c r="P13871" t="s">
        <v>30929</v>
      </c>
      <c r="R13871" s="26" t="str">
        <f t="shared" si="51"/>
        <v>Enterovirus alpharhino</v>
      </c>
      <c r="S13871" t="s">
        <v>8141</v>
      </c>
      <c r="T13871" t="s">
        <v>31565</v>
      </c>
      <c r="U13871" t="s">
        <v>31566</v>
      </c>
      <c r="V13871" t="s">
        <v>31567</v>
      </c>
      <c r="W13871" t="s">
        <v>49783</v>
      </c>
      <c r="X13871" t="s">
        <v>42</v>
      </c>
      <c r="Y13871" t="s">
        <v>17171</v>
      </c>
      <c r="Z13871" t="s">
        <v>166</v>
      </c>
      <c r="AA13871" s="22" t="str">
        <f>HYPERLINK("https://www.ncbi.nlm.nih.gov/nuccore/FJ445145","NCBI Nucleotide")</f>
        <v>NCBI Nucleotide</v>
      </c>
    </row>
    <row r="13872" spans="1:27" x14ac:dyDescent="0.35">
      <c r="A13872">
        <v>1011718</v>
      </c>
      <c r="B13872">
        <v>12778</v>
      </c>
      <c r="C13872">
        <v>49</v>
      </c>
      <c r="D13872" t="s">
        <v>17166</v>
      </c>
      <c r="F13872" t="s">
        <v>17246</v>
      </c>
      <c r="H13872" t="s">
        <v>28921</v>
      </c>
      <c r="J13872" t="s">
        <v>29538</v>
      </c>
      <c r="L13872" t="s">
        <v>30198</v>
      </c>
      <c r="N13872" t="s">
        <v>30487</v>
      </c>
      <c r="O13872" t="s">
        <v>30894</v>
      </c>
      <c r="P13872" t="s">
        <v>30929</v>
      </c>
      <c r="R13872" s="26" t="str">
        <f t="shared" si="51"/>
        <v>Enterovirus alpharhino</v>
      </c>
      <c r="S13872" t="s">
        <v>8141</v>
      </c>
      <c r="T13872" t="s">
        <v>31568</v>
      </c>
      <c r="U13872" t="s">
        <v>31569</v>
      </c>
      <c r="V13872" t="s">
        <v>31570</v>
      </c>
      <c r="W13872" t="s">
        <v>49784</v>
      </c>
      <c r="X13872" t="s">
        <v>42</v>
      </c>
      <c r="Y13872" t="s">
        <v>17171</v>
      </c>
      <c r="Z13872" t="s">
        <v>166</v>
      </c>
      <c r="AA13872" s="22" t="str">
        <f>HYPERLINK("https://www.ncbi.nlm.nih.gov/nuccore/FJ445146","NCBI Nucleotide")</f>
        <v>NCBI Nucleotide</v>
      </c>
    </row>
    <row r="13873" spans="1:27" x14ac:dyDescent="0.35">
      <c r="A13873">
        <v>1011719</v>
      </c>
      <c r="B13873">
        <v>12778</v>
      </c>
      <c r="C13873">
        <v>50</v>
      </c>
      <c r="D13873" t="s">
        <v>17166</v>
      </c>
      <c r="F13873" t="s">
        <v>17246</v>
      </c>
      <c r="H13873" t="s">
        <v>28921</v>
      </c>
      <c r="J13873" t="s">
        <v>29538</v>
      </c>
      <c r="L13873" t="s">
        <v>30198</v>
      </c>
      <c r="N13873" t="s">
        <v>30487</v>
      </c>
      <c r="O13873" t="s">
        <v>30894</v>
      </c>
      <c r="P13873" t="s">
        <v>30929</v>
      </c>
      <c r="R13873" s="26" t="str">
        <f t="shared" si="51"/>
        <v>Enterovirus alpharhino</v>
      </c>
      <c r="S13873" t="s">
        <v>8141</v>
      </c>
      <c r="T13873" t="s">
        <v>31571</v>
      </c>
      <c r="U13873" t="s">
        <v>31572</v>
      </c>
      <c r="V13873" t="s">
        <v>31573</v>
      </c>
      <c r="W13873" t="s">
        <v>49785</v>
      </c>
      <c r="X13873" t="s">
        <v>42</v>
      </c>
      <c r="Y13873" t="s">
        <v>17171</v>
      </c>
      <c r="Z13873" t="s">
        <v>166</v>
      </c>
      <c r="AA13873" s="22" t="str">
        <f>HYPERLINK("https://www.ncbi.nlm.nih.gov/nuccore/EF173417","NCBI Nucleotide")</f>
        <v>NCBI Nucleotide</v>
      </c>
    </row>
    <row r="13874" spans="1:27" x14ac:dyDescent="0.35">
      <c r="A13874">
        <v>1011720</v>
      </c>
      <c r="B13874">
        <v>12778</v>
      </c>
      <c r="C13874">
        <v>51</v>
      </c>
      <c r="D13874" t="s">
        <v>17166</v>
      </c>
      <c r="F13874" t="s">
        <v>17246</v>
      </c>
      <c r="H13874" t="s">
        <v>28921</v>
      </c>
      <c r="J13874" t="s">
        <v>29538</v>
      </c>
      <c r="L13874" t="s">
        <v>30198</v>
      </c>
      <c r="N13874" t="s">
        <v>30487</v>
      </c>
      <c r="O13874" t="s">
        <v>30894</v>
      </c>
      <c r="P13874" t="s">
        <v>30929</v>
      </c>
      <c r="R13874" s="26" t="str">
        <f t="shared" si="51"/>
        <v>Enterovirus alpharhino</v>
      </c>
      <c r="S13874" t="s">
        <v>8141</v>
      </c>
      <c r="T13874" t="s">
        <v>31574</v>
      </c>
      <c r="U13874" t="s">
        <v>31575</v>
      </c>
      <c r="V13874" t="s">
        <v>31576</v>
      </c>
      <c r="W13874" t="s">
        <v>49786</v>
      </c>
      <c r="X13874" t="s">
        <v>42</v>
      </c>
      <c r="Y13874" t="s">
        <v>17171</v>
      </c>
      <c r="Z13874" t="s">
        <v>166</v>
      </c>
      <c r="AA13874" s="22" t="str">
        <f>HYPERLINK("https://www.ncbi.nlm.nih.gov/nuccore/FJ445147","NCBI Nucleotide")</f>
        <v>NCBI Nucleotide</v>
      </c>
    </row>
    <row r="13875" spans="1:27" x14ac:dyDescent="0.35">
      <c r="A13875">
        <v>1011721</v>
      </c>
      <c r="B13875">
        <v>12778</v>
      </c>
      <c r="C13875">
        <v>52</v>
      </c>
      <c r="D13875" t="s">
        <v>17166</v>
      </c>
      <c r="F13875" t="s">
        <v>17246</v>
      </c>
      <c r="H13875" t="s">
        <v>28921</v>
      </c>
      <c r="J13875" t="s">
        <v>29538</v>
      </c>
      <c r="L13875" t="s">
        <v>30198</v>
      </c>
      <c r="N13875" t="s">
        <v>30487</v>
      </c>
      <c r="O13875" t="s">
        <v>30894</v>
      </c>
      <c r="P13875" t="s">
        <v>30929</v>
      </c>
      <c r="R13875" s="26" t="str">
        <f t="shared" si="51"/>
        <v>Enterovirus alpharhino</v>
      </c>
      <c r="S13875" t="s">
        <v>8141</v>
      </c>
      <c r="T13875" t="s">
        <v>31577</v>
      </c>
      <c r="U13875" t="s">
        <v>31578</v>
      </c>
      <c r="V13875" t="s">
        <v>31579</v>
      </c>
      <c r="W13875" t="s">
        <v>49787</v>
      </c>
      <c r="X13875" t="s">
        <v>42</v>
      </c>
      <c r="Y13875" t="s">
        <v>17171</v>
      </c>
      <c r="Z13875" t="s">
        <v>166</v>
      </c>
      <c r="AA13875" s="22" t="str">
        <f>HYPERLINK("https://www.ncbi.nlm.nih.gov/nuccore/FJ445148","NCBI Nucleotide")</f>
        <v>NCBI Nucleotide</v>
      </c>
    </row>
    <row r="13876" spans="1:27" x14ac:dyDescent="0.35">
      <c r="A13876">
        <v>1011722</v>
      </c>
      <c r="B13876">
        <v>12778</v>
      </c>
      <c r="C13876">
        <v>53</v>
      </c>
      <c r="D13876" t="s">
        <v>17166</v>
      </c>
      <c r="F13876" t="s">
        <v>17246</v>
      </c>
      <c r="H13876" t="s">
        <v>28921</v>
      </c>
      <c r="J13876" t="s">
        <v>29538</v>
      </c>
      <c r="L13876" t="s">
        <v>30198</v>
      </c>
      <c r="N13876" t="s">
        <v>30487</v>
      </c>
      <c r="O13876" t="s">
        <v>30894</v>
      </c>
      <c r="P13876" t="s">
        <v>30929</v>
      </c>
      <c r="R13876" s="26" t="str">
        <f t="shared" si="51"/>
        <v>Enterovirus alpharhino</v>
      </c>
      <c r="S13876" t="s">
        <v>8141</v>
      </c>
      <c r="T13876" t="s">
        <v>31580</v>
      </c>
      <c r="U13876" t="s">
        <v>31581</v>
      </c>
      <c r="V13876" t="s">
        <v>31582</v>
      </c>
      <c r="W13876" t="s">
        <v>49788</v>
      </c>
      <c r="X13876" t="s">
        <v>42</v>
      </c>
      <c r="Y13876" t="s">
        <v>17171</v>
      </c>
      <c r="Z13876" t="s">
        <v>166</v>
      </c>
      <c r="AA13876" s="22" t="str">
        <f>HYPERLINK("https://www.ncbi.nlm.nih.gov/nuccore/FJ445149","NCBI Nucleotide")</f>
        <v>NCBI Nucleotide</v>
      </c>
    </row>
    <row r="13877" spans="1:27" x14ac:dyDescent="0.35">
      <c r="A13877">
        <v>1011723</v>
      </c>
      <c r="B13877">
        <v>12778</v>
      </c>
      <c r="C13877">
        <v>54</v>
      </c>
      <c r="D13877" t="s">
        <v>17166</v>
      </c>
      <c r="F13877" t="s">
        <v>17246</v>
      </c>
      <c r="H13877" t="s">
        <v>28921</v>
      </c>
      <c r="J13877" t="s">
        <v>29538</v>
      </c>
      <c r="L13877" t="s">
        <v>30198</v>
      </c>
      <c r="N13877" t="s">
        <v>30487</v>
      </c>
      <c r="O13877" t="s">
        <v>30894</v>
      </c>
      <c r="P13877" t="s">
        <v>30929</v>
      </c>
      <c r="R13877" s="26" t="str">
        <f t="shared" si="51"/>
        <v>Enterovirus alpharhino</v>
      </c>
      <c r="S13877" t="s">
        <v>8141</v>
      </c>
      <c r="T13877" t="s">
        <v>31583</v>
      </c>
      <c r="U13877" t="s">
        <v>31584</v>
      </c>
      <c r="V13877" t="s">
        <v>31585</v>
      </c>
      <c r="W13877" t="s">
        <v>49789</v>
      </c>
      <c r="X13877" t="s">
        <v>42</v>
      </c>
      <c r="Y13877" t="s">
        <v>17171</v>
      </c>
      <c r="Z13877" t="s">
        <v>166</v>
      </c>
      <c r="AA13877" s="22" t="str">
        <f>HYPERLINK("https://www.ncbi.nlm.nih.gov/nuccore/FJ445150","NCBI Nucleotide")</f>
        <v>NCBI Nucleotide</v>
      </c>
    </row>
    <row r="13878" spans="1:27" x14ac:dyDescent="0.35">
      <c r="A13878">
        <v>1011724</v>
      </c>
      <c r="B13878">
        <v>12778</v>
      </c>
      <c r="C13878">
        <v>55</v>
      </c>
      <c r="D13878" t="s">
        <v>17166</v>
      </c>
      <c r="F13878" t="s">
        <v>17246</v>
      </c>
      <c r="H13878" t="s">
        <v>28921</v>
      </c>
      <c r="J13878" t="s">
        <v>29538</v>
      </c>
      <c r="L13878" t="s">
        <v>30198</v>
      </c>
      <c r="N13878" t="s">
        <v>30487</v>
      </c>
      <c r="O13878" t="s">
        <v>30894</v>
      </c>
      <c r="P13878" t="s">
        <v>30929</v>
      </c>
      <c r="R13878" s="26" t="str">
        <f t="shared" si="51"/>
        <v>Enterovirus alpharhino</v>
      </c>
      <c r="S13878" t="s">
        <v>8141</v>
      </c>
      <c r="T13878" t="s">
        <v>31586</v>
      </c>
      <c r="U13878" t="s">
        <v>31587</v>
      </c>
      <c r="V13878" t="s">
        <v>31588</v>
      </c>
      <c r="W13878" t="s">
        <v>49790</v>
      </c>
      <c r="X13878" t="s">
        <v>42</v>
      </c>
      <c r="Y13878" t="s">
        <v>17171</v>
      </c>
      <c r="Z13878" t="s">
        <v>166</v>
      </c>
      <c r="AA13878" s="22" t="str">
        <f>HYPERLINK("https://www.ncbi.nlm.nih.gov/nuccore/FJ445152","NCBI Nucleotide")</f>
        <v>NCBI Nucleotide</v>
      </c>
    </row>
    <row r="13879" spans="1:27" x14ac:dyDescent="0.35">
      <c r="A13879">
        <v>1011725</v>
      </c>
      <c r="B13879">
        <v>12778</v>
      </c>
      <c r="C13879">
        <v>56</v>
      </c>
      <c r="D13879" t="s">
        <v>17166</v>
      </c>
      <c r="F13879" t="s">
        <v>17246</v>
      </c>
      <c r="H13879" t="s">
        <v>28921</v>
      </c>
      <c r="J13879" t="s">
        <v>29538</v>
      </c>
      <c r="L13879" t="s">
        <v>30198</v>
      </c>
      <c r="N13879" t="s">
        <v>30487</v>
      </c>
      <c r="O13879" t="s">
        <v>30894</v>
      </c>
      <c r="P13879" t="s">
        <v>30929</v>
      </c>
      <c r="R13879" s="26" t="str">
        <f t="shared" si="51"/>
        <v>Enterovirus alpharhino</v>
      </c>
      <c r="S13879" t="s">
        <v>8141</v>
      </c>
      <c r="T13879" t="s">
        <v>31589</v>
      </c>
      <c r="U13879" t="s">
        <v>31590</v>
      </c>
      <c r="V13879" t="s">
        <v>31591</v>
      </c>
      <c r="W13879" t="s">
        <v>49791</v>
      </c>
      <c r="X13879" t="s">
        <v>42</v>
      </c>
      <c r="Y13879" t="s">
        <v>17171</v>
      </c>
      <c r="Z13879" t="s">
        <v>166</v>
      </c>
      <c r="AA13879" s="22" t="str">
        <f>HYPERLINK("https://www.ncbi.nlm.nih.gov/nuccore/DQ473492","NCBI Nucleotide")</f>
        <v>NCBI Nucleotide</v>
      </c>
    </row>
    <row r="13880" spans="1:27" x14ac:dyDescent="0.35">
      <c r="A13880">
        <v>1011726</v>
      </c>
      <c r="B13880">
        <v>12778</v>
      </c>
      <c r="C13880">
        <v>57</v>
      </c>
      <c r="D13880" t="s">
        <v>17166</v>
      </c>
      <c r="F13880" t="s">
        <v>17246</v>
      </c>
      <c r="H13880" t="s">
        <v>28921</v>
      </c>
      <c r="J13880" t="s">
        <v>29538</v>
      </c>
      <c r="L13880" t="s">
        <v>30198</v>
      </c>
      <c r="N13880" t="s">
        <v>30487</v>
      </c>
      <c r="O13880" t="s">
        <v>30894</v>
      </c>
      <c r="P13880" t="s">
        <v>30929</v>
      </c>
      <c r="R13880" s="26" t="str">
        <f t="shared" si="51"/>
        <v>Enterovirus alpharhino</v>
      </c>
      <c r="S13880" t="s">
        <v>8141</v>
      </c>
      <c r="T13880" t="s">
        <v>31592</v>
      </c>
      <c r="U13880" t="s">
        <v>31593</v>
      </c>
      <c r="V13880" t="s">
        <v>31594</v>
      </c>
      <c r="W13880" t="s">
        <v>49792</v>
      </c>
      <c r="X13880" t="s">
        <v>42</v>
      </c>
      <c r="Y13880" t="s">
        <v>17171</v>
      </c>
      <c r="Z13880" t="s">
        <v>166</v>
      </c>
      <c r="AA13880" s="22" t="str">
        <f>HYPERLINK("https://www.ncbi.nlm.nih.gov/nuccore/DQ473494","NCBI Nucleotide")</f>
        <v>NCBI Nucleotide</v>
      </c>
    </row>
    <row r="13881" spans="1:27" x14ac:dyDescent="0.35">
      <c r="A13881">
        <v>1011727</v>
      </c>
      <c r="B13881">
        <v>12778</v>
      </c>
      <c r="C13881">
        <v>58</v>
      </c>
      <c r="D13881" t="s">
        <v>17166</v>
      </c>
      <c r="F13881" t="s">
        <v>17246</v>
      </c>
      <c r="H13881" t="s">
        <v>28921</v>
      </c>
      <c r="J13881" t="s">
        <v>29538</v>
      </c>
      <c r="L13881" t="s">
        <v>30198</v>
      </c>
      <c r="N13881" t="s">
        <v>30487</v>
      </c>
      <c r="O13881" t="s">
        <v>30894</v>
      </c>
      <c r="P13881" t="s">
        <v>30929</v>
      </c>
      <c r="R13881" s="26" t="str">
        <f t="shared" si="51"/>
        <v>Enterovirus alpharhino</v>
      </c>
      <c r="S13881" t="s">
        <v>8141</v>
      </c>
      <c r="T13881" t="s">
        <v>31595</v>
      </c>
      <c r="U13881" t="s">
        <v>31596</v>
      </c>
      <c r="V13881" t="s">
        <v>31597</v>
      </c>
      <c r="W13881" t="s">
        <v>49793</v>
      </c>
      <c r="X13881" t="s">
        <v>42</v>
      </c>
      <c r="Y13881" t="s">
        <v>17171</v>
      </c>
      <c r="Z13881" t="s">
        <v>166</v>
      </c>
      <c r="AA13881" s="22" t="str">
        <f>HYPERLINK("https://www.ncbi.nlm.nih.gov/nuccore/DQ473510","NCBI Nucleotide")</f>
        <v>NCBI Nucleotide</v>
      </c>
    </row>
    <row r="13882" spans="1:27" x14ac:dyDescent="0.35">
      <c r="A13882">
        <v>1011728</v>
      </c>
      <c r="B13882">
        <v>12778</v>
      </c>
      <c r="C13882">
        <v>59</v>
      </c>
      <c r="D13882" t="s">
        <v>17166</v>
      </c>
      <c r="F13882" t="s">
        <v>17246</v>
      </c>
      <c r="H13882" t="s">
        <v>28921</v>
      </c>
      <c r="J13882" t="s">
        <v>29538</v>
      </c>
      <c r="L13882" t="s">
        <v>30198</v>
      </c>
      <c r="N13882" t="s">
        <v>30487</v>
      </c>
      <c r="O13882" t="s">
        <v>30894</v>
      </c>
      <c r="P13882" t="s">
        <v>30929</v>
      </c>
      <c r="R13882" s="26" t="str">
        <f t="shared" si="51"/>
        <v>Enterovirus alpharhino</v>
      </c>
      <c r="S13882" t="s">
        <v>8141</v>
      </c>
      <c r="T13882" t="s">
        <v>31598</v>
      </c>
      <c r="U13882" t="s">
        <v>31599</v>
      </c>
      <c r="V13882" t="s">
        <v>31600</v>
      </c>
      <c r="W13882" t="s">
        <v>49794</v>
      </c>
      <c r="X13882" t="s">
        <v>42</v>
      </c>
      <c r="Y13882" t="s">
        <v>17171</v>
      </c>
      <c r="Z13882" t="s">
        <v>166</v>
      </c>
      <c r="AA13882" s="22" t="str">
        <f>HYPERLINK("https://www.ncbi.nlm.nih.gov/nuccore/DQ473502","NCBI Nucleotide")</f>
        <v>NCBI Nucleotide</v>
      </c>
    </row>
    <row r="13883" spans="1:27" x14ac:dyDescent="0.35">
      <c r="A13883">
        <v>1011729</v>
      </c>
      <c r="B13883">
        <v>12778</v>
      </c>
      <c r="C13883">
        <v>60</v>
      </c>
      <c r="D13883" t="s">
        <v>17166</v>
      </c>
      <c r="F13883" t="s">
        <v>17246</v>
      </c>
      <c r="H13883" t="s">
        <v>28921</v>
      </c>
      <c r="J13883" t="s">
        <v>29538</v>
      </c>
      <c r="L13883" t="s">
        <v>30198</v>
      </c>
      <c r="N13883" t="s">
        <v>30487</v>
      </c>
      <c r="O13883" t="s">
        <v>30894</v>
      </c>
      <c r="P13883" t="s">
        <v>30929</v>
      </c>
      <c r="R13883" s="26" t="str">
        <f t="shared" si="51"/>
        <v>Enterovirus alpharhino</v>
      </c>
      <c r="S13883" t="s">
        <v>8141</v>
      </c>
      <c r="T13883" t="s">
        <v>31601</v>
      </c>
      <c r="U13883" t="s">
        <v>31602</v>
      </c>
      <c r="V13883" t="s">
        <v>31603</v>
      </c>
      <c r="W13883" t="s">
        <v>49795</v>
      </c>
      <c r="X13883" t="s">
        <v>42</v>
      </c>
      <c r="Y13883" t="s">
        <v>17171</v>
      </c>
      <c r="Z13883" t="s">
        <v>166</v>
      </c>
      <c r="AA13883" s="22" t="str">
        <f>HYPERLINK("https://www.ncbi.nlm.nih.gov/nuccore/FJ445154","NCBI Nucleotide")</f>
        <v>NCBI Nucleotide</v>
      </c>
    </row>
    <row r="13884" spans="1:27" x14ac:dyDescent="0.35">
      <c r="A13884">
        <v>1011730</v>
      </c>
      <c r="B13884">
        <v>12778</v>
      </c>
      <c r="C13884">
        <v>61</v>
      </c>
      <c r="D13884" t="s">
        <v>17166</v>
      </c>
      <c r="F13884" t="s">
        <v>17246</v>
      </c>
      <c r="H13884" t="s">
        <v>28921</v>
      </c>
      <c r="J13884" t="s">
        <v>29538</v>
      </c>
      <c r="L13884" t="s">
        <v>30198</v>
      </c>
      <c r="N13884" t="s">
        <v>30487</v>
      </c>
      <c r="O13884" t="s">
        <v>30894</v>
      </c>
      <c r="P13884" t="s">
        <v>30929</v>
      </c>
      <c r="R13884" s="26" t="str">
        <f t="shared" si="51"/>
        <v>Enterovirus alpharhino</v>
      </c>
      <c r="S13884" t="s">
        <v>8141</v>
      </c>
      <c r="T13884" t="s">
        <v>31604</v>
      </c>
      <c r="U13884" t="s">
        <v>31605</v>
      </c>
      <c r="V13884" t="s">
        <v>31606</v>
      </c>
      <c r="W13884" t="s">
        <v>49796</v>
      </c>
      <c r="X13884" t="s">
        <v>42</v>
      </c>
      <c r="Y13884" t="s">
        <v>17171</v>
      </c>
      <c r="Z13884" t="s">
        <v>166</v>
      </c>
      <c r="AA13884" s="22" t="str">
        <f>HYPERLINK("https://www.ncbi.nlm.nih.gov/nuccore/EF173418","NCBI Nucleotide")</f>
        <v>NCBI Nucleotide</v>
      </c>
    </row>
    <row r="13885" spans="1:27" x14ac:dyDescent="0.35">
      <c r="A13885">
        <v>1011731</v>
      </c>
      <c r="B13885">
        <v>12778</v>
      </c>
      <c r="C13885">
        <v>62</v>
      </c>
      <c r="D13885" t="s">
        <v>17166</v>
      </c>
      <c r="F13885" t="s">
        <v>17246</v>
      </c>
      <c r="H13885" t="s">
        <v>28921</v>
      </c>
      <c r="J13885" t="s">
        <v>29538</v>
      </c>
      <c r="L13885" t="s">
        <v>30198</v>
      </c>
      <c r="N13885" t="s">
        <v>30487</v>
      </c>
      <c r="O13885" t="s">
        <v>30894</v>
      </c>
      <c r="P13885" t="s">
        <v>30929</v>
      </c>
      <c r="R13885" s="26" t="str">
        <f t="shared" si="51"/>
        <v>Enterovirus alpharhino</v>
      </c>
      <c r="S13885" t="s">
        <v>8141</v>
      </c>
      <c r="T13885" t="s">
        <v>31607</v>
      </c>
      <c r="U13885" t="s">
        <v>31608</v>
      </c>
      <c r="V13885" t="s">
        <v>31609</v>
      </c>
      <c r="W13885" t="s">
        <v>49797</v>
      </c>
      <c r="X13885" t="s">
        <v>42</v>
      </c>
      <c r="Y13885" t="s">
        <v>17171</v>
      </c>
      <c r="Z13885" t="s">
        <v>166</v>
      </c>
      <c r="AA13885" s="22" t="str">
        <f>HYPERLINK("https://www.ncbi.nlm.nih.gov/nuccore/FJ445156","NCBI Nucleotide")</f>
        <v>NCBI Nucleotide</v>
      </c>
    </row>
    <row r="13886" spans="1:27" x14ac:dyDescent="0.35">
      <c r="A13886">
        <v>1011732</v>
      </c>
      <c r="B13886">
        <v>12778</v>
      </c>
      <c r="C13886">
        <v>63</v>
      </c>
      <c r="D13886" t="s">
        <v>17166</v>
      </c>
      <c r="F13886" t="s">
        <v>17246</v>
      </c>
      <c r="H13886" t="s">
        <v>28921</v>
      </c>
      <c r="J13886" t="s">
        <v>29538</v>
      </c>
      <c r="L13886" t="s">
        <v>30198</v>
      </c>
      <c r="N13886" t="s">
        <v>30487</v>
      </c>
      <c r="O13886" t="s">
        <v>30894</v>
      </c>
      <c r="P13886" t="s">
        <v>30929</v>
      </c>
      <c r="R13886" s="26" t="str">
        <f t="shared" si="51"/>
        <v>Enterovirus alpharhino</v>
      </c>
      <c r="S13886" t="s">
        <v>8141</v>
      </c>
      <c r="T13886" t="s">
        <v>31610</v>
      </c>
      <c r="U13886" t="s">
        <v>31611</v>
      </c>
      <c r="V13886" t="s">
        <v>31612</v>
      </c>
      <c r="W13886" t="s">
        <v>49798</v>
      </c>
      <c r="X13886" t="s">
        <v>42</v>
      </c>
      <c r="Y13886" t="s">
        <v>17171</v>
      </c>
      <c r="Z13886" t="s">
        <v>166</v>
      </c>
      <c r="AA13886" s="22" t="str">
        <f>HYPERLINK("https://www.ncbi.nlm.nih.gov/nuccore/FJ445157","NCBI Nucleotide")</f>
        <v>NCBI Nucleotide</v>
      </c>
    </row>
    <row r="13887" spans="1:27" x14ac:dyDescent="0.35">
      <c r="A13887">
        <v>1011733</v>
      </c>
      <c r="B13887">
        <v>12778</v>
      </c>
      <c r="C13887">
        <v>64</v>
      </c>
      <c r="D13887" t="s">
        <v>17166</v>
      </c>
      <c r="F13887" t="s">
        <v>17246</v>
      </c>
      <c r="H13887" t="s">
        <v>28921</v>
      </c>
      <c r="J13887" t="s">
        <v>29538</v>
      </c>
      <c r="L13887" t="s">
        <v>30198</v>
      </c>
      <c r="N13887" t="s">
        <v>30487</v>
      </c>
      <c r="O13887" t="s">
        <v>30894</v>
      </c>
      <c r="P13887" t="s">
        <v>30929</v>
      </c>
      <c r="R13887" s="26" t="str">
        <f t="shared" si="51"/>
        <v>Enterovirus alpharhino</v>
      </c>
      <c r="S13887" t="s">
        <v>8141</v>
      </c>
      <c r="T13887" t="s">
        <v>31613</v>
      </c>
      <c r="U13887" t="s">
        <v>31614</v>
      </c>
      <c r="V13887" t="s">
        <v>31615</v>
      </c>
      <c r="W13887" t="s">
        <v>49799</v>
      </c>
      <c r="X13887" t="s">
        <v>42</v>
      </c>
      <c r="Y13887" t="s">
        <v>17171</v>
      </c>
      <c r="Z13887" t="s">
        <v>166</v>
      </c>
      <c r="AA13887" s="22" t="str">
        <f>HYPERLINK("https://www.ncbi.nlm.nih.gov/nuccore/DQ473509","NCBI Nucleotide")</f>
        <v>NCBI Nucleotide</v>
      </c>
    </row>
    <row r="13888" spans="1:27" x14ac:dyDescent="0.35">
      <c r="A13888">
        <v>1011734</v>
      </c>
      <c r="B13888">
        <v>12778</v>
      </c>
      <c r="C13888">
        <v>65</v>
      </c>
      <c r="D13888" t="s">
        <v>17166</v>
      </c>
      <c r="F13888" t="s">
        <v>17246</v>
      </c>
      <c r="H13888" t="s">
        <v>28921</v>
      </c>
      <c r="J13888" t="s">
        <v>29538</v>
      </c>
      <c r="L13888" t="s">
        <v>30198</v>
      </c>
      <c r="N13888" t="s">
        <v>30487</v>
      </c>
      <c r="O13888" t="s">
        <v>30894</v>
      </c>
      <c r="P13888" t="s">
        <v>30929</v>
      </c>
      <c r="R13888" s="26" t="str">
        <f t="shared" ref="R13888:R13903" si="52">HYPERLINK("https://ictv.global/taxonomy/taxondetails?taxnode_id=202301993","Enterovirus alpharhino")</f>
        <v>Enterovirus alpharhino</v>
      </c>
      <c r="S13888" t="s">
        <v>8141</v>
      </c>
      <c r="T13888" t="s">
        <v>31616</v>
      </c>
      <c r="U13888" t="s">
        <v>31617</v>
      </c>
      <c r="V13888" t="s">
        <v>31618</v>
      </c>
      <c r="W13888" t="s">
        <v>49800</v>
      </c>
      <c r="X13888" t="s">
        <v>42</v>
      </c>
      <c r="Y13888" t="s">
        <v>17171</v>
      </c>
      <c r="Z13888" t="s">
        <v>166</v>
      </c>
      <c r="AA13888" s="22" t="str">
        <f>HYPERLINK("https://www.ncbi.nlm.nih.gov/nuccore/FJ445163","NCBI Nucleotide")</f>
        <v>NCBI Nucleotide</v>
      </c>
    </row>
    <row r="13889" spans="1:27" x14ac:dyDescent="0.35">
      <c r="A13889">
        <v>1011735</v>
      </c>
      <c r="B13889">
        <v>12778</v>
      </c>
      <c r="C13889">
        <v>66</v>
      </c>
      <c r="D13889" t="s">
        <v>17166</v>
      </c>
      <c r="F13889" t="s">
        <v>17246</v>
      </c>
      <c r="H13889" t="s">
        <v>28921</v>
      </c>
      <c r="J13889" t="s">
        <v>29538</v>
      </c>
      <c r="L13889" t="s">
        <v>30198</v>
      </c>
      <c r="N13889" t="s">
        <v>30487</v>
      </c>
      <c r="O13889" t="s">
        <v>30894</v>
      </c>
      <c r="P13889" t="s">
        <v>30929</v>
      </c>
      <c r="R13889" s="26" t="str">
        <f t="shared" si="52"/>
        <v>Enterovirus alpharhino</v>
      </c>
      <c r="S13889" t="s">
        <v>8141</v>
      </c>
      <c r="T13889" t="s">
        <v>31619</v>
      </c>
      <c r="U13889" t="s">
        <v>31620</v>
      </c>
      <c r="V13889" t="s">
        <v>31621</v>
      </c>
      <c r="W13889" t="s">
        <v>49801</v>
      </c>
      <c r="X13889" t="s">
        <v>42</v>
      </c>
      <c r="Y13889" t="s">
        <v>17171</v>
      </c>
      <c r="Z13889" t="s">
        <v>166</v>
      </c>
      <c r="AA13889" s="22" t="str">
        <f>HYPERLINK("https://www.ncbi.nlm.nih.gov/nuccore/DQ473504","NCBI Nucleotide")</f>
        <v>NCBI Nucleotide</v>
      </c>
    </row>
    <row r="13890" spans="1:27" x14ac:dyDescent="0.35">
      <c r="A13890">
        <v>1011736</v>
      </c>
      <c r="B13890">
        <v>12778</v>
      </c>
      <c r="C13890">
        <v>67</v>
      </c>
      <c r="D13890" t="s">
        <v>17166</v>
      </c>
      <c r="F13890" t="s">
        <v>17246</v>
      </c>
      <c r="H13890" t="s">
        <v>28921</v>
      </c>
      <c r="J13890" t="s">
        <v>29538</v>
      </c>
      <c r="L13890" t="s">
        <v>30198</v>
      </c>
      <c r="N13890" t="s">
        <v>30487</v>
      </c>
      <c r="O13890" t="s">
        <v>30894</v>
      </c>
      <c r="P13890" t="s">
        <v>30929</v>
      </c>
      <c r="R13890" s="26" t="str">
        <f t="shared" si="52"/>
        <v>Enterovirus alpharhino</v>
      </c>
      <c r="S13890" t="s">
        <v>8141</v>
      </c>
      <c r="T13890" t="s">
        <v>31622</v>
      </c>
      <c r="U13890" t="s">
        <v>31623</v>
      </c>
      <c r="V13890" t="s">
        <v>31624</v>
      </c>
      <c r="W13890" t="s">
        <v>49802</v>
      </c>
      <c r="X13890" t="s">
        <v>42</v>
      </c>
      <c r="Y13890" t="s">
        <v>17171</v>
      </c>
      <c r="Z13890" t="s">
        <v>166</v>
      </c>
      <c r="AA13890" s="22" t="str">
        <f>HYPERLINK("https://www.ncbi.nlm.nih.gov/nuccore/M16248","NCBI Nucleotide")</f>
        <v>NCBI Nucleotide</v>
      </c>
    </row>
    <row r="13891" spans="1:27" x14ac:dyDescent="0.35">
      <c r="A13891">
        <v>1011737</v>
      </c>
      <c r="B13891">
        <v>12778</v>
      </c>
      <c r="C13891">
        <v>68</v>
      </c>
      <c r="D13891" t="s">
        <v>17166</v>
      </c>
      <c r="F13891" t="s">
        <v>17246</v>
      </c>
      <c r="H13891" t="s">
        <v>28921</v>
      </c>
      <c r="J13891" t="s">
        <v>29538</v>
      </c>
      <c r="L13891" t="s">
        <v>30198</v>
      </c>
      <c r="N13891" t="s">
        <v>30487</v>
      </c>
      <c r="O13891" t="s">
        <v>30894</v>
      </c>
      <c r="P13891" t="s">
        <v>30929</v>
      </c>
      <c r="R13891" s="26" t="str">
        <f t="shared" si="52"/>
        <v>Enterovirus alpharhino</v>
      </c>
      <c r="S13891" t="s">
        <v>8141</v>
      </c>
      <c r="T13891" t="s">
        <v>31625</v>
      </c>
      <c r="U13891" t="s">
        <v>31626</v>
      </c>
      <c r="V13891" t="s">
        <v>31627</v>
      </c>
      <c r="W13891" t="s">
        <v>49803</v>
      </c>
      <c r="X13891" t="s">
        <v>42</v>
      </c>
      <c r="Y13891" t="s">
        <v>17171</v>
      </c>
      <c r="Z13891" t="s">
        <v>166</v>
      </c>
      <c r="AA13891" s="22" t="str">
        <f>HYPERLINK("https://www.ncbi.nlm.nih.gov/nuccore/FJ445167","NCBI Nucleotide")</f>
        <v>NCBI Nucleotide</v>
      </c>
    </row>
    <row r="13892" spans="1:27" x14ac:dyDescent="0.35">
      <c r="A13892">
        <v>1011738</v>
      </c>
      <c r="B13892">
        <v>12778</v>
      </c>
      <c r="C13892">
        <v>69</v>
      </c>
      <c r="D13892" t="s">
        <v>17166</v>
      </c>
      <c r="F13892" t="s">
        <v>17246</v>
      </c>
      <c r="H13892" t="s">
        <v>28921</v>
      </c>
      <c r="J13892" t="s">
        <v>29538</v>
      </c>
      <c r="L13892" t="s">
        <v>30198</v>
      </c>
      <c r="N13892" t="s">
        <v>30487</v>
      </c>
      <c r="O13892" t="s">
        <v>30894</v>
      </c>
      <c r="P13892" t="s">
        <v>30929</v>
      </c>
      <c r="R13892" s="26" t="str">
        <f t="shared" si="52"/>
        <v>Enterovirus alpharhino</v>
      </c>
      <c r="S13892" t="s">
        <v>8141</v>
      </c>
      <c r="T13892" t="s">
        <v>31628</v>
      </c>
      <c r="U13892" t="s">
        <v>31629</v>
      </c>
      <c r="V13892" t="s">
        <v>31630</v>
      </c>
      <c r="W13892" t="s">
        <v>49804</v>
      </c>
      <c r="X13892" t="s">
        <v>42</v>
      </c>
      <c r="Y13892" t="s">
        <v>17171</v>
      </c>
      <c r="Z13892" t="s">
        <v>166</v>
      </c>
      <c r="AA13892" s="22" t="str">
        <f>HYPERLINK("https://www.ncbi.nlm.nih.gov/nuccore/EF173419","NCBI Nucleotide")</f>
        <v>NCBI Nucleotide</v>
      </c>
    </row>
    <row r="13893" spans="1:27" x14ac:dyDescent="0.35">
      <c r="A13893">
        <v>1011739</v>
      </c>
      <c r="B13893">
        <v>12778</v>
      </c>
      <c r="C13893">
        <v>70</v>
      </c>
      <c r="D13893" t="s">
        <v>17166</v>
      </c>
      <c r="F13893" t="s">
        <v>17246</v>
      </c>
      <c r="H13893" t="s">
        <v>28921</v>
      </c>
      <c r="J13893" t="s">
        <v>29538</v>
      </c>
      <c r="L13893" t="s">
        <v>30198</v>
      </c>
      <c r="N13893" t="s">
        <v>30487</v>
      </c>
      <c r="O13893" t="s">
        <v>30894</v>
      </c>
      <c r="P13893" t="s">
        <v>30929</v>
      </c>
      <c r="R13893" s="26" t="str">
        <f t="shared" si="52"/>
        <v>Enterovirus alpharhino</v>
      </c>
      <c r="S13893" t="s">
        <v>8141</v>
      </c>
      <c r="T13893" t="s">
        <v>31631</v>
      </c>
      <c r="U13893" t="s">
        <v>31632</v>
      </c>
      <c r="V13893" t="s">
        <v>31633</v>
      </c>
      <c r="W13893" t="s">
        <v>49805</v>
      </c>
      <c r="X13893" t="s">
        <v>42</v>
      </c>
      <c r="Y13893" t="s">
        <v>17171</v>
      </c>
      <c r="Z13893" t="s">
        <v>166</v>
      </c>
      <c r="AA13893" s="22" t="str">
        <f>HYPERLINK("https://www.ncbi.nlm.nih.gov/nuccore/FJ445171","NCBI Nucleotide")</f>
        <v>NCBI Nucleotide</v>
      </c>
    </row>
    <row r="13894" spans="1:27" x14ac:dyDescent="0.35">
      <c r="A13894">
        <v>1011740</v>
      </c>
      <c r="B13894">
        <v>12778</v>
      </c>
      <c r="C13894">
        <v>71</v>
      </c>
      <c r="D13894" t="s">
        <v>17166</v>
      </c>
      <c r="F13894" t="s">
        <v>17246</v>
      </c>
      <c r="H13894" t="s">
        <v>28921</v>
      </c>
      <c r="J13894" t="s">
        <v>29538</v>
      </c>
      <c r="L13894" t="s">
        <v>30198</v>
      </c>
      <c r="N13894" t="s">
        <v>30487</v>
      </c>
      <c r="O13894" t="s">
        <v>30894</v>
      </c>
      <c r="P13894" t="s">
        <v>30929</v>
      </c>
      <c r="R13894" s="26" t="str">
        <f t="shared" si="52"/>
        <v>Enterovirus alpharhino</v>
      </c>
      <c r="S13894" t="s">
        <v>8141</v>
      </c>
      <c r="T13894" t="s">
        <v>31634</v>
      </c>
      <c r="U13894" t="s">
        <v>31635</v>
      </c>
      <c r="V13894" t="s">
        <v>31636</v>
      </c>
      <c r="W13894" t="s">
        <v>49806</v>
      </c>
      <c r="X13894" t="s">
        <v>42</v>
      </c>
      <c r="Y13894" t="s">
        <v>17171</v>
      </c>
      <c r="Z13894" t="s">
        <v>166</v>
      </c>
      <c r="AA13894" s="22" t="str">
        <f>HYPERLINK("https://www.ncbi.nlm.nih.gov/nuccore/FJ445175","NCBI Nucleotide")</f>
        <v>NCBI Nucleotide</v>
      </c>
    </row>
    <row r="13895" spans="1:27" x14ac:dyDescent="0.35">
      <c r="A13895">
        <v>1011741</v>
      </c>
      <c r="B13895">
        <v>12778</v>
      </c>
      <c r="C13895">
        <v>72</v>
      </c>
      <c r="D13895" t="s">
        <v>17166</v>
      </c>
      <c r="F13895" t="s">
        <v>17246</v>
      </c>
      <c r="H13895" t="s">
        <v>28921</v>
      </c>
      <c r="J13895" t="s">
        <v>29538</v>
      </c>
      <c r="L13895" t="s">
        <v>30198</v>
      </c>
      <c r="N13895" t="s">
        <v>30487</v>
      </c>
      <c r="O13895" t="s">
        <v>30894</v>
      </c>
      <c r="P13895" t="s">
        <v>30929</v>
      </c>
      <c r="R13895" s="26" t="str">
        <f t="shared" si="52"/>
        <v>Enterovirus alpharhino</v>
      </c>
      <c r="S13895" t="s">
        <v>8141</v>
      </c>
      <c r="T13895" t="s">
        <v>31637</v>
      </c>
      <c r="U13895" t="s">
        <v>31638</v>
      </c>
      <c r="V13895" t="s">
        <v>31639</v>
      </c>
      <c r="W13895" t="s">
        <v>49807</v>
      </c>
      <c r="X13895" t="s">
        <v>42</v>
      </c>
      <c r="Y13895" t="s">
        <v>17171</v>
      </c>
      <c r="Z13895" t="s">
        <v>166</v>
      </c>
      <c r="AA13895" s="22" t="str">
        <f>HYPERLINK("https://www.ncbi.nlm.nih.gov/nuccore/GQ415051","NCBI Nucleotide")</f>
        <v>NCBI Nucleotide</v>
      </c>
    </row>
    <row r="13896" spans="1:27" x14ac:dyDescent="0.35">
      <c r="A13896">
        <v>1011742</v>
      </c>
      <c r="B13896">
        <v>12778</v>
      </c>
      <c r="C13896">
        <v>73</v>
      </c>
      <c r="D13896" t="s">
        <v>17166</v>
      </c>
      <c r="F13896" t="s">
        <v>17246</v>
      </c>
      <c r="H13896" t="s">
        <v>28921</v>
      </c>
      <c r="J13896" t="s">
        <v>29538</v>
      </c>
      <c r="L13896" t="s">
        <v>30198</v>
      </c>
      <c r="N13896" t="s">
        <v>30487</v>
      </c>
      <c r="O13896" t="s">
        <v>30894</v>
      </c>
      <c r="P13896" t="s">
        <v>30929</v>
      </c>
      <c r="R13896" s="26" t="str">
        <f t="shared" si="52"/>
        <v>Enterovirus alpharhino</v>
      </c>
      <c r="S13896" t="s">
        <v>8141</v>
      </c>
      <c r="T13896" t="s">
        <v>31640</v>
      </c>
      <c r="U13896" t="s">
        <v>31641</v>
      </c>
      <c r="V13896" t="s">
        <v>31642</v>
      </c>
      <c r="W13896" t="s">
        <v>49808</v>
      </c>
      <c r="X13896" t="s">
        <v>42</v>
      </c>
      <c r="Y13896" t="s">
        <v>17171</v>
      </c>
      <c r="Z13896" t="s">
        <v>166</v>
      </c>
      <c r="AA13896" s="22" t="str">
        <f>HYPERLINK("https://www.ncbi.nlm.nih.gov/nuccore/EF155421","NCBI Nucleotide")</f>
        <v>NCBI Nucleotide</v>
      </c>
    </row>
    <row r="13897" spans="1:27" x14ac:dyDescent="0.35">
      <c r="A13897">
        <v>1011743</v>
      </c>
      <c r="B13897">
        <v>12778</v>
      </c>
      <c r="C13897">
        <v>74</v>
      </c>
      <c r="D13897" t="s">
        <v>17166</v>
      </c>
      <c r="F13897" t="s">
        <v>17246</v>
      </c>
      <c r="H13897" t="s">
        <v>28921</v>
      </c>
      <c r="J13897" t="s">
        <v>29538</v>
      </c>
      <c r="L13897" t="s">
        <v>30198</v>
      </c>
      <c r="N13897" t="s">
        <v>30487</v>
      </c>
      <c r="O13897" t="s">
        <v>30894</v>
      </c>
      <c r="P13897" t="s">
        <v>30929</v>
      </c>
      <c r="R13897" s="26" t="str">
        <f t="shared" si="52"/>
        <v>Enterovirus alpharhino</v>
      </c>
      <c r="S13897" t="s">
        <v>8141</v>
      </c>
      <c r="T13897" t="s">
        <v>31643</v>
      </c>
      <c r="U13897" t="s">
        <v>31644</v>
      </c>
      <c r="V13897" t="s">
        <v>31645</v>
      </c>
      <c r="W13897" t="s">
        <v>49809</v>
      </c>
      <c r="X13897" t="s">
        <v>42</v>
      </c>
      <c r="Y13897" t="s">
        <v>17171</v>
      </c>
      <c r="Z13897" t="s">
        <v>166</v>
      </c>
      <c r="AA13897" s="22" t="str">
        <f>HYPERLINK("https://www.ncbi.nlm.nih.gov/nuccore/JF965515","NCBI Nucleotide")</f>
        <v>NCBI Nucleotide</v>
      </c>
    </row>
    <row r="13898" spans="1:27" x14ac:dyDescent="0.35">
      <c r="A13898">
        <v>1011744</v>
      </c>
      <c r="B13898">
        <v>12778</v>
      </c>
      <c r="C13898">
        <v>75</v>
      </c>
      <c r="D13898" t="s">
        <v>17166</v>
      </c>
      <c r="F13898" t="s">
        <v>17246</v>
      </c>
      <c r="H13898" t="s">
        <v>28921</v>
      </c>
      <c r="J13898" t="s">
        <v>29538</v>
      </c>
      <c r="L13898" t="s">
        <v>30198</v>
      </c>
      <c r="N13898" t="s">
        <v>30487</v>
      </c>
      <c r="O13898" t="s">
        <v>30894</v>
      </c>
      <c r="P13898" t="s">
        <v>30929</v>
      </c>
      <c r="R13898" s="26" t="str">
        <f t="shared" si="52"/>
        <v>Enterovirus alpharhino</v>
      </c>
      <c r="S13898" t="s">
        <v>8141</v>
      </c>
      <c r="T13898" t="s">
        <v>31646</v>
      </c>
      <c r="U13898" t="s">
        <v>31647</v>
      </c>
      <c r="V13898" t="s">
        <v>31648</v>
      </c>
      <c r="W13898" t="s">
        <v>49810</v>
      </c>
      <c r="X13898" t="s">
        <v>42</v>
      </c>
      <c r="Y13898" t="s">
        <v>17171</v>
      </c>
      <c r="Z13898" t="s">
        <v>166</v>
      </c>
      <c r="AA13898" s="22" t="str">
        <f>HYPERLINK("https://www.ncbi.nlm.nih.gov/nuccore/JN562727","NCBI Nucleotide")</f>
        <v>NCBI Nucleotide</v>
      </c>
    </row>
    <row r="13899" spans="1:27" x14ac:dyDescent="0.35">
      <c r="A13899">
        <v>1011745</v>
      </c>
      <c r="B13899">
        <v>12778</v>
      </c>
      <c r="C13899">
        <v>76</v>
      </c>
      <c r="D13899" t="s">
        <v>17166</v>
      </c>
      <c r="F13899" t="s">
        <v>17246</v>
      </c>
      <c r="H13899" t="s">
        <v>28921</v>
      </c>
      <c r="J13899" t="s">
        <v>29538</v>
      </c>
      <c r="L13899" t="s">
        <v>30198</v>
      </c>
      <c r="N13899" t="s">
        <v>30487</v>
      </c>
      <c r="O13899" t="s">
        <v>30894</v>
      </c>
      <c r="P13899" t="s">
        <v>30929</v>
      </c>
      <c r="R13899" s="26" t="str">
        <f t="shared" si="52"/>
        <v>Enterovirus alpharhino</v>
      </c>
      <c r="S13899" t="s">
        <v>8141</v>
      </c>
      <c r="T13899" t="s">
        <v>31649</v>
      </c>
      <c r="U13899" t="s">
        <v>31650</v>
      </c>
      <c r="V13899" t="s">
        <v>31651</v>
      </c>
      <c r="W13899" t="s">
        <v>49811</v>
      </c>
      <c r="X13899" t="s">
        <v>42</v>
      </c>
      <c r="Y13899" t="s">
        <v>17171</v>
      </c>
      <c r="Z13899" t="s">
        <v>166</v>
      </c>
      <c r="AA13899" s="22" t="str">
        <f>HYPERLINK("https://www.ncbi.nlm.nih.gov/nuccore/JN614995","NCBI Nucleotide")</f>
        <v>NCBI Nucleotide</v>
      </c>
    </row>
    <row r="13900" spans="1:27" x14ac:dyDescent="0.35">
      <c r="A13900">
        <v>1011746</v>
      </c>
      <c r="B13900">
        <v>12778</v>
      </c>
      <c r="C13900">
        <v>77</v>
      </c>
      <c r="D13900" t="s">
        <v>17166</v>
      </c>
      <c r="F13900" t="s">
        <v>17246</v>
      </c>
      <c r="H13900" t="s">
        <v>28921</v>
      </c>
      <c r="J13900" t="s">
        <v>29538</v>
      </c>
      <c r="L13900" t="s">
        <v>30198</v>
      </c>
      <c r="N13900" t="s">
        <v>30487</v>
      </c>
      <c r="O13900" t="s">
        <v>30894</v>
      </c>
      <c r="P13900" t="s">
        <v>30929</v>
      </c>
      <c r="R13900" s="26" t="str">
        <f t="shared" si="52"/>
        <v>Enterovirus alpharhino</v>
      </c>
      <c r="S13900" t="s">
        <v>8141</v>
      </c>
      <c r="T13900" t="s">
        <v>31652</v>
      </c>
      <c r="U13900" t="s">
        <v>31653</v>
      </c>
      <c r="V13900" t="s">
        <v>31654</v>
      </c>
      <c r="W13900" t="s">
        <v>49812</v>
      </c>
      <c r="X13900" t="s">
        <v>42</v>
      </c>
      <c r="Y13900" t="s">
        <v>17171</v>
      </c>
      <c r="Z13900" t="s">
        <v>166</v>
      </c>
      <c r="AA13900" s="22" t="str">
        <f>HYPERLINK("https://www.ncbi.nlm.nih.gov/nuccore/JQ245971","NCBI Nucleotide")</f>
        <v>NCBI Nucleotide</v>
      </c>
    </row>
    <row r="13901" spans="1:27" x14ac:dyDescent="0.35">
      <c r="A13901">
        <v>1011747</v>
      </c>
      <c r="B13901">
        <v>12778</v>
      </c>
      <c r="C13901">
        <v>78</v>
      </c>
      <c r="D13901" t="s">
        <v>17166</v>
      </c>
      <c r="F13901" t="s">
        <v>17246</v>
      </c>
      <c r="H13901" t="s">
        <v>28921</v>
      </c>
      <c r="J13901" t="s">
        <v>29538</v>
      </c>
      <c r="L13901" t="s">
        <v>30198</v>
      </c>
      <c r="N13901" t="s">
        <v>30487</v>
      </c>
      <c r="O13901" t="s">
        <v>30894</v>
      </c>
      <c r="P13901" t="s">
        <v>30929</v>
      </c>
      <c r="R13901" s="26" t="str">
        <f t="shared" si="52"/>
        <v>Enterovirus alpharhino</v>
      </c>
      <c r="S13901" t="s">
        <v>8141</v>
      </c>
      <c r="T13901" t="s">
        <v>31655</v>
      </c>
      <c r="U13901" t="s">
        <v>31656</v>
      </c>
      <c r="V13901" t="s">
        <v>31657</v>
      </c>
      <c r="W13901" t="s">
        <v>49813</v>
      </c>
      <c r="X13901" t="s">
        <v>154</v>
      </c>
      <c r="Y13901" t="s">
        <v>17171</v>
      </c>
      <c r="Z13901" t="s">
        <v>166</v>
      </c>
      <c r="AA13901" s="22" t="str">
        <f>HYPERLINK("https://www.ncbi.nlm.nih.gov/nuccore/KC859319","NCBI Nucleotide")</f>
        <v>NCBI Nucleotide</v>
      </c>
    </row>
    <row r="13902" spans="1:27" x14ac:dyDescent="0.35">
      <c r="A13902">
        <v>1011748</v>
      </c>
      <c r="B13902">
        <v>12778</v>
      </c>
      <c r="C13902">
        <v>79</v>
      </c>
      <c r="D13902" t="s">
        <v>17166</v>
      </c>
      <c r="F13902" t="s">
        <v>17246</v>
      </c>
      <c r="H13902" t="s">
        <v>28921</v>
      </c>
      <c r="J13902" t="s">
        <v>29538</v>
      </c>
      <c r="L13902" t="s">
        <v>30198</v>
      </c>
      <c r="N13902" t="s">
        <v>30487</v>
      </c>
      <c r="O13902" t="s">
        <v>30894</v>
      </c>
      <c r="P13902" t="s">
        <v>30929</v>
      </c>
      <c r="R13902" s="26" t="str">
        <f t="shared" si="52"/>
        <v>Enterovirus alpharhino</v>
      </c>
      <c r="S13902" t="s">
        <v>8141</v>
      </c>
      <c r="T13902" t="s">
        <v>31658</v>
      </c>
      <c r="U13902" t="s">
        <v>31659</v>
      </c>
      <c r="V13902" t="s">
        <v>31660</v>
      </c>
      <c r="W13902" t="s">
        <v>49814</v>
      </c>
      <c r="X13902" t="s">
        <v>154</v>
      </c>
      <c r="Y13902" t="s">
        <v>17171</v>
      </c>
      <c r="Z13902" t="s">
        <v>166</v>
      </c>
      <c r="AA13902" s="22" t="str">
        <f>HYPERLINK("https://www.ncbi.nlm.nih.gov/nuccore/KC859318","NCBI Nucleotide")</f>
        <v>NCBI Nucleotide</v>
      </c>
    </row>
    <row r="13903" spans="1:27" x14ac:dyDescent="0.35">
      <c r="A13903">
        <v>1011670</v>
      </c>
      <c r="B13903">
        <v>12778</v>
      </c>
      <c r="C13903">
        <v>80</v>
      </c>
      <c r="D13903" t="s">
        <v>17166</v>
      </c>
      <c r="F13903" t="s">
        <v>17246</v>
      </c>
      <c r="H13903" t="s">
        <v>28921</v>
      </c>
      <c r="J13903" t="s">
        <v>29538</v>
      </c>
      <c r="L13903" t="s">
        <v>30198</v>
      </c>
      <c r="N13903" t="s">
        <v>30487</v>
      </c>
      <c r="O13903" t="s">
        <v>30894</v>
      </c>
      <c r="P13903" t="s">
        <v>30929</v>
      </c>
      <c r="R13903" s="26" t="str">
        <f t="shared" si="52"/>
        <v>Enterovirus alpharhino</v>
      </c>
      <c r="S13903" t="s">
        <v>8141</v>
      </c>
      <c r="T13903" t="s">
        <v>31425</v>
      </c>
      <c r="U13903" t="s">
        <v>31426</v>
      </c>
      <c r="V13903" t="s">
        <v>31427</v>
      </c>
      <c r="W13903" t="s">
        <v>49815</v>
      </c>
      <c r="X13903" t="s">
        <v>42</v>
      </c>
      <c r="Y13903" t="s">
        <v>17171</v>
      </c>
      <c r="Z13903" t="s">
        <v>166</v>
      </c>
      <c r="AA13903" s="22" t="str">
        <f>HYPERLINK("https://www.ncbi.nlm.nih.gov/nuccore/D00239","NCBI Nucleotide")</f>
        <v>NCBI Nucleotide</v>
      </c>
    </row>
    <row r="13904" spans="1:27" x14ac:dyDescent="0.35">
      <c r="A13904">
        <v>1001828</v>
      </c>
      <c r="B13904">
        <v>12779</v>
      </c>
      <c r="C13904">
        <v>1</v>
      </c>
      <c r="D13904" t="s">
        <v>17166</v>
      </c>
      <c r="F13904" t="s">
        <v>17246</v>
      </c>
      <c r="H13904" t="s">
        <v>28921</v>
      </c>
      <c r="J13904" t="s">
        <v>29538</v>
      </c>
      <c r="L13904" t="s">
        <v>30198</v>
      </c>
      <c r="N13904" t="s">
        <v>30487</v>
      </c>
      <c r="O13904" t="s">
        <v>30894</v>
      </c>
      <c r="P13904" t="s">
        <v>30929</v>
      </c>
      <c r="R13904" s="26" t="str">
        <f t="shared" ref="R13904:R13935" si="53">HYPERLINK("https://ictv.global/taxonomy/taxondetails?taxnode_id=202301984","Enterovirus betacoxsackie")</f>
        <v>Enterovirus betacoxsackie</v>
      </c>
      <c r="S13904" t="s">
        <v>30</v>
      </c>
      <c r="T13904" t="s">
        <v>31006</v>
      </c>
      <c r="U13904" t="s">
        <v>31007</v>
      </c>
      <c r="V13904" t="s">
        <v>31008</v>
      </c>
      <c r="W13904" t="s">
        <v>31009</v>
      </c>
      <c r="X13904" t="s">
        <v>42</v>
      </c>
      <c r="Y13904" t="s">
        <v>17171</v>
      </c>
      <c r="Z13904" t="s">
        <v>166</v>
      </c>
      <c r="AA13904" s="22" t="str">
        <f>HYPERLINK("https://www.ncbi.nlm.nih.gov/nuccore/M88483","NCBI Nucleotide")</f>
        <v>NCBI Nucleotide</v>
      </c>
    </row>
    <row r="13905" spans="1:27" x14ac:dyDescent="0.35">
      <c r="A13905">
        <v>1011521</v>
      </c>
      <c r="B13905">
        <v>12779</v>
      </c>
      <c r="C13905">
        <v>2</v>
      </c>
      <c r="D13905" t="s">
        <v>17166</v>
      </c>
      <c r="F13905" t="s">
        <v>17246</v>
      </c>
      <c r="H13905" t="s">
        <v>28921</v>
      </c>
      <c r="J13905" t="s">
        <v>29538</v>
      </c>
      <c r="L13905" t="s">
        <v>30198</v>
      </c>
      <c r="N13905" t="s">
        <v>30487</v>
      </c>
      <c r="O13905" t="s">
        <v>30894</v>
      </c>
      <c r="P13905" t="s">
        <v>30929</v>
      </c>
      <c r="R13905" s="26" t="str">
        <f t="shared" si="53"/>
        <v>Enterovirus betacoxsackie</v>
      </c>
      <c r="S13905" t="s">
        <v>8141</v>
      </c>
      <c r="T13905" t="s">
        <v>31024</v>
      </c>
      <c r="U13905" t="s">
        <v>31025</v>
      </c>
      <c r="V13905" t="s">
        <v>31026</v>
      </c>
      <c r="W13905" t="s">
        <v>49816</v>
      </c>
      <c r="X13905" t="s">
        <v>42</v>
      </c>
      <c r="Y13905" t="s">
        <v>17171</v>
      </c>
      <c r="Z13905" t="s">
        <v>166</v>
      </c>
      <c r="AA13905" s="22" t="str">
        <f>HYPERLINK("https://www.ncbi.nlm.nih.gov/nuccore/D00627","NCBI Nucleotide")</f>
        <v>NCBI Nucleotide</v>
      </c>
    </row>
    <row r="13906" spans="1:27" x14ac:dyDescent="0.35">
      <c r="A13906">
        <v>1011516</v>
      </c>
      <c r="B13906">
        <v>12779</v>
      </c>
      <c r="C13906">
        <v>3</v>
      </c>
      <c r="D13906" t="s">
        <v>17166</v>
      </c>
      <c r="F13906" t="s">
        <v>17246</v>
      </c>
      <c r="H13906" t="s">
        <v>28921</v>
      </c>
      <c r="J13906" t="s">
        <v>29538</v>
      </c>
      <c r="L13906" t="s">
        <v>30198</v>
      </c>
      <c r="N13906" t="s">
        <v>30487</v>
      </c>
      <c r="O13906" t="s">
        <v>30894</v>
      </c>
      <c r="P13906" t="s">
        <v>30929</v>
      </c>
      <c r="R13906" s="26" t="str">
        <f t="shared" si="53"/>
        <v>Enterovirus betacoxsackie</v>
      </c>
      <c r="S13906" t="s">
        <v>8141</v>
      </c>
      <c r="T13906" t="s">
        <v>31010</v>
      </c>
      <c r="U13906" t="s">
        <v>31011</v>
      </c>
      <c r="V13906" t="s">
        <v>18119</v>
      </c>
      <c r="W13906" t="s">
        <v>49817</v>
      </c>
      <c r="X13906" t="s">
        <v>42</v>
      </c>
      <c r="Y13906" t="s">
        <v>17171</v>
      </c>
      <c r="Z13906" t="s">
        <v>166</v>
      </c>
      <c r="AA13906" s="22" t="str">
        <f>HYPERLINK("https://www.ncbi.nlm.nih.gov/nuccore/M16560","NCBI Nucleotide")</f>
        <v>NCBI Nucleotide</v>
      </c>
    </row>
    <row r="13907" spans="1:27" x14ac:dyDescent="0.35">
      <c r="A13907">
        <v>1011517</v>
      </c>
      <c r="B13907">
        <v>12779</v>
      </c>
      <c r="C13907">
        <v>4</v>
      </c>
      <c r="D13907" t="s">
        <v>17166</v>
      </c>
      <c r="F13907" t="s">
        <v>17246</v>
      </c>
      <c r="H13907" t="s">
        <v>28921</v>
      </c>
      <c r="J13907" t="s">
        <v>29538</v>
      </c>
      <c r="L13907" t="s">
        <v>30198</v>
      </c>
      <c r="N13907" t="s">
        <v>30487</v>
      </c>
      <c r="O13907" t="s">
        <v>30894</v>
      </c>
      <c r="P13907" t="s">
        <v>30929</v>
      </c>
      <c r="R13907" s="26" t="str">
        <f t="shared" si="53"/>
        <v>Enterovirus betacoxsackie</v>
      </c>
      <c r="S13907" t="s">
        <v>8141</v>
      </c>
      <c r="T13907" t="s">
        <v>31012</v>
      </c>
      <c r="U13907" t="s">
        <v>31013</v>
      </c>
      <c r="V13907" t="s">
        <v>31014</v>
      </c>
      <c r="W13907" t="s">
        <v>49818</v>
      </c>
      <c r="X13907" t="s">
        <v>42</v>
      </c>
      <c r="Y13907" t="s">
        <v>17171</v>
      </c>
      <c r="Z13907" t="s">
        <v>166</v>
      </c>
      <c r="AA13907" s="22" t="str">
        <f>HYPERLINK("https://www.ncbi.nlm.nih.gov/nuccore/AF081485","NCBI Nucleotide")</f>
        <v>NCBI Nucleotide</v>
      </c>
    </row>
    <row r="13908" spans="1:27" x14ac:dyDescent="0.35">
      <c r="A13908">
        <v>1011518</v>
      </c>
      <c r="B13908">
        <v>12779</v>
      </c>
      <c r="C13908">
        <v>5</v>
      </c>
      <c r="D13908" t="s">
        <v>17166</v>
      </c>
      <c r="F13908" t="s">
        <v>17246</v>
      </c>
      <c r="H13908" t="s">
        <v>28921</v>
      </c>
      <c r="J13908" t="s">
        <v>29538</v>
      </c>
      <c r="L13908" t="s">
        <v>30198</v>
      </c>
      <c r="N13908" t="s">
        <v>30487</v>
      </c>
      <c r="O13908" t="s">
        <v>30894</v>
      </c>
      <c r="P13908" t="s">
        <v>30929</v>
      </c>
      <c r="R13908" s="26" t="str">
        <f t="shared" si="53"/>
        <v>Enterovirus betacoxsackie</v>
      </c>
      <c r="S13908" t="s">
        <v>8141</v>
      </c>
      <c r="T13908" t="s">
        <v>31015</v>
      </c>
      <c r="U13908" t="s">
        <v>31016</v>
      </c>
      <c r="V13908" t="s">
        <v>31017</v>
      </c>
      <c r="W13908" t="s">
        <v>49819</v>
      </c>
      <c r="X13908" t="s">
        <v>42</v>
      </c>
      <c r="Y13908" t="s">
        <v>17171</v>
      </c>
      <c r="Z13908" t="s">
        <v>166</v>
      </c>
      <c r="AA13908" s="22" t="str">
        <f>HYPERLINK("https://www.ncbi.nlm.nih.gov/nuccore/X05690","NCBI Nucleotide")</f>
        <v>NCBI Nucleotide</v>
      </c>
    </row>
    <row r="13909" spans="1:27" x14ac:dyDescent="0.35">
      <c r="A13909">
        <v>1011519</v>
      </c>
      <c r="B13909">
        <v>12779</v>
      </c>
      <c r="C13909">
        <v>6</v>
      </c>
      <c r="D13909" t="s">
        <v>17166</v>
      </c>
      <c r="F13909" t="s">
        <v>17246</v>
      </c>
      <c r="H13909" t="s">
        <v>28921</v>
      </c>
      <c r="J13909" t="s">
        <v>29538</v>
      </c>
      <c r="L13909" t="s">
        <v>30198</v>
      </c>
      <c r="N13909" t="s">
        <v>30487</v>
      </c>
      <c r="O13909" t="s">
        <v>30894</v>
      </c>
      <c r="P13909" t="s">
        <v>30929</v>
      </c>
      <c r="R13909" s="26" t="str">
        <f t="shared" si="53"/>
        <v>Enterovirus betacoxsackie</v>
      </c>
      <c r="S13909" t="s">
        <v>8141</v>
      </c>
      <c r="T13909" t="s">
        <v>31018</v>
      </c>
      <c r="U13909" t="s">
        <v>31019</v>
      </c>
      <c r="V13909" t="s">
        <v>31020</v>
      </c>
      <c r="W13909" t="s">
        <v>49820</v>
      </c>
      <c r="X13909" t="s">
        <v>42</v>
      </c>
      <c r="Y13909" t="s">
        <v>17171</v>
      </c>
      <c r="Z13909" t="s">
        <v>166</v>
      </c>
      <c r="AA13909" s="22" t="str">
        <f>HYPERLINK("https://www.ncbi.nlm.nih.gov/nuccore/AF114383","NCBI Nucleotide")</f>
        <v>NCBI Nucleotide</v>
      </c>
    </row>
    <row r="13910" spans="1:27" x14ac:dyDescent="0.35">
      <c r="A13910">
        <v>1011520</v>
      </c>
      <c r="B13910">
        <v>12779</v>
      </c>
      <c r="C13910">
        <v>7</v>
      </c>
      <c r="D13910" t="s">
        <v>17166</v>
      </c>
      <c r="F13910" t="s">
        <v>17246</v>
      </c>
      <c r="H13910" t="s">
        <v>28921</v>
      </c>
      <c r="J13910" t="s">
        <v>29538</v>
      </c>
      <c r="L13910" t="s">
        <v>30198</v>
      </c>
      <c r="N13910" t="s">
        <v>30487</v>
      </c>
      <c r="O13910" t="s">
        <v>30894</v>
      </c>
      <c r="P13910" t="s">
        <v>30929</v>
      </c>
      <c r="R13910" s="26" t="str">
        <f t="shared" si="53"/>
        <v>Enterovirus betacoxsackie</v>
      </c>
      <c r="S13910" t="s">
        <v>8141</v>
      </c>
      <c r="T13910" t="s">
        <v>31021</v>
      </c>
      <c r="U13910" t="s">
        <v>31022</v>
      </c>
      <c r="V13910" t="s">
        <v>31023</v>
      </c>
      <c r="W13910" t="s">
        <v>49821</v>
      </c>
      <c r="X13910" t="s">
        <v>42</v>
      </c>
      <c r="Y13910" t="s">
        <v>17171</v>
      </c>
      <c r="Z13910" t="s">
        <v>166</v>
      </c>
      <c r="AA13910" s="22" t="str">
        <f>HYPERLINK("https://www.ncbi.nlm.nih.gov/nuccore/AF039205","NCBI Nucleotide")</f>
        <v>NCBI Nucleotide</v>
      </c>
    </row>
    <row r="13911" spans="1:27" x14ac:dyDescent="0.35">
      <c r="A13911">
        <v>1011522</v>
      </c>
      <c r="B13911">
        <v>12779</v>
      </c>
      <c r="C13911">
        <v>8</v>
      </c>
      <c r="D13911" t="s">
        <v>17166</v>
      </c>
      <c r="F13911" t="s">
        <v>17246</v>
      </c>
      <c r="H13911" t="s">
        <v>28921</v>
      </c>
      <c r="J13911" t="s">
        <v>29538</v>
      </c>
      <c r="L13911" t="s">
        <v>30198</v>
      </c>
      <c r="N13911" t="s">
        <v>30487</v>
      </c>
      <c r="O13911" t="s">
        <v>30894</v>
      </c>
      <c r="P13911" t="s">
        <v>30929</v>
      </c>
      <c r="R13911" s="26" t="str">
        <f t="shared" si="53"/>
        <v>Enterovirus betacoxsackie</v>
      </c>
      <c r="S13911" t="s">
        <v>8141</v>
      </c>
      <c r="T13911" t="s">
        <v>31027</v>
      </c>
      <c r="U13911" t="s">
        <v>31028</v>
      </c>
      <c r="V13911" t="s">
        <v>31029</v>
      </c>
      <c r="W13911" t="s">
        <v>49822</v>
      </c>
      <c r="X13911" t="s">
        <v>42</v>
      </c>
      <c r="Y13911" t="s">
        <v>17171</v>
      </c>
      <c r="Z13911" t="s">
        <v>166</v>
      </c>
      <c r="AA13911" s="22" t="str">
        <f>HYPERLINK("https://www.ncbi.nlm.nih.gov/nuccore/AF029859","NCBI Nucleotide")</f>
        <v>NCBI Nucleotide</v>
      </c>
    </row>
    <row r="13912" spans="1:27" x14ac:dyDescent="0.35">
      <c r="A13912">
        <v>1011523</v>
      </c>
      <c r="B13912">
        <v>12779</v>
      </c>
      <c r="C13912">
        <v>9</v>
      </c>
      <c r="D13912" t="s">
        <v>17166</v>
      </c>
      <c r="F13912" t="s">
        <v>17246</v>
      </c>
      <c r="H13912" t="s">
        <v>28921</v>
      </c>
      <c r="J13912" t="s">
        <v>29538</v>
      </c>
      <c r="L13912" t="s">
        <v>30198</v>
      </c>
      <c r="N13912" t="s">
        <v>30487</v>
      </c>
      <c r="O13912" t="s">
        <v>30894</v>
      </c>
      <c r="P13912" t="s">
        <v>30929</v>
      </c>
      <c r="R13912" s="26" t="str">
        <f t="shared" si="53"/>
        <v>Enterovirus betacoxsackie</v>
      </c>
      <c r="S13912" t="s">
        <v>8141</v>
      </c>
      <c r="T13912" t="s">
        <v>31030</v>
      </c>
      <c r="U13912" t="s">
        <v>31028</v>
      </c>
      <c r="V13912" t="s">
        <v>31031</v>
      </c>
      <c r="W13912" t="s">
        <v>49823</v>
      </c>
      <c r="X13912" t="s">
        <v>154</v>
      </c>
      <c r="Y13912" t="s">
        <v>17171</v>
      </c>
      <c r="Z13912" t="s">
        <v>166</v>
      </c>
      <c r="AA13912" s="22" t="str">
        <f>HYPERLINK("https://www.ncbi.nlm.nih.gov/nuccore/AF250874","NCBI Nucleotide")</f>
        <v>NCBI Nucleotide</v>
      </c>
    </row>
    <row r="13913" spans="1:27" x14ac:dyDescent="0.35">
      <c r="A13913">
        <v>1011524</v>
      </c>
      <c r="B13913">
        <v>12779</v>
      </c>
      <c r="C13913">
        <v>10</v>
      </c>
      <c r="D13913" t="s">
        <v>17166</v>
      </c>
      <c r="F13913" t="s">
        <v>17246</v>
      </c>
      <c r="H13913" t="s">
        <v>28921</v>
      </c>
      <c r="J13913" t="s">
        <v>29538</v>
      </c>
      <c r="L13913" t="s">
        <v>30198</v>
      </c>
      <c r="N13913" t="s">
        <v>30487</v>
      </c>
      <c r="O13913" t="s">
        <v>30894</v>
      </c>
      <c r="P13913" t="s">
        <v>30929</v>
      </c>
      <c r="R13913" s="26" t="str">
        <f t="shared" si="53"/>
        <v>Enterovirus betacoxsackie</v>
      </c>
      <c r="S13913" t="s">
        <v>8141</v>
      </c>
      <c r="T13913" t="s">
        <v>31032</v>
      </c>
      <c r="U13913" t="s">
        <v>31033</v>
      </c>
      <c r="V13913" t="s">
        <v>31034</v>
      </c>
      <c r="W13913" t="s">
        <v>49824</v>
      </c>
      <c r="X13913" t="s">
        <v>42</v>
      </c>
      <c r="Y13913" t="s">
        <v>17171</v>
      </c>
      <c r="Z13913" t="s">
        <v>166</v>
      </c>
      <c r="AA13913" s="22" t="str">
        <f>HYPERLINK("https://www.ncbi.nlm.nih.gov/nuccore/AY302545","NCBI Nucleotide")</f>
        <v>NCBI Nucleotide</v>
      </c>
    </row>
    <row r="13914" spans="1:27" x14ac:dyDescent="0.35">
      <c r="A13914">
        <v>1011525</v>
      </c>
      <c r="B13914">
        <v>12779</v>
      </c>
      <c r="C13914">
        <v>11</v>
      </c>
      <c r="D13914" t="s">
        <v>17166</v>
      </c>
      <c r="F13914" t="s">
        <v>17246</v>
      </c>
      <c r="H13914" t="s">
        <v>28921</v>
      </c>
      <c r="J13914" t="s">
        <v>29538</v>
      </c>
      <c r="L13914" t="s">
        <v>30198</v>
      </c>
      <c r="N13914" t="s">
        <v>30487</v>
      </c>
      <c r="O13914" t="s">
        <v>30894</v>
      </c>
      <c r="P13914" t="s">
        <v>30929</v>
      </c>
      <c r="R13914" s="26" t="str">
        <f t="shared" si="53"/>
        <v>Enterovirus betacoxsackie</v>
      </c>
      <c r="S13914" t="s">
        <v>8141</v>
      </c>
      <c r="T13914" t="s">
        <v>31035</v>
      </c>
      <c r="U13914" t="s">
        <v>31036</v>
      </c>
      <c r="V13914" t="s">
        <v>31037</v>
      </c>
      <c r="W13914" t="s">
        <v>49825</v>
      </c>
      <c r="X13914" t="s">
        <v>42</v>
      </c>
      <c r="Y13914" t="s">
        <v>17171</v>
      </c>
      <c r="Z13914" t="s">
        <v>166</v>
      </c>
      <c r="AA13914" s="22" t="str">
        <f>HYPERLINK("https://www.ncbi.nlm.nih.gov/nuccore/AY302553","NCBI Nucleotide")</f>
        <v>NCBI Nucleotide</v>
      </c>
    </row>
    <row r="13915" spans="1:27" x14ac:dyDescent="0.35">
      <c r="A13915">
        <v>1011526</v>
      </c>
      <c r="B13915">
        <v>12779</v>
      </c>
      <c r="C13915">
        <v>12</v>
      </c>
      <c r="D13915" t="s">
        <v>17166</v>
      </c>
      <c r="F13915" t="s">
        <v>17246</v>
      </c>
      <c r="H13915" t="s">
        <v>28921</v>
      </c>
      <c r="J13915" t="s">
        <v>29538</v>
      </c>
      <c r="L13915" t="s">
        <v>30198</v>
      </c>
      <c r="N13915" t="s">
        <v>30487</v>
      </c>
      <c r="O13915" t="s">
        <v>30894</v>
      </c>
      <c r="P13915" t="s">
        <v>30929</v>
      </c>
      <c r="R13915" s="26" t="str">
        <f t="shared" si="53"/>
        <v>Enterovirus betacoxsackie</v>
      </c>
      <c r="S13915" t="s">
        <v>8141</v>
      </c>
      <c r="T13915" t="s">
        <v>31038</v>
      </c>
      <c r="U13915" t="s">
        <v>31039</v>
      </c>
      <c r="V13915" t="s">
        <v>31040</v>
      </c>
      <c r="W13915" t="s">
        <v>49826</v>
      </c>
      <c r="X13915" t="s">
        <v>42</v>
      </c>
      <c r="Y13915" t="s">
        <v>17171</v>
      </c>
      <c r="Z13915" t="s">
        <v>166</v>
      </c>
      <c r="AA13915" s="22" t="str">
        <f>HYPERLINK("https://www.ncbi.nlm.nih.gov/nuccore/AY302557","NCBI Nucleotide")</f>
        <v>NCBI Nucleotide</v>
      </c>
    </row>
    <row r="13916" spans="1:27" x14ac:dyDescent="0.35">
      <c r="A13916">
        <v>1011527</v>
      </c>
      <c r="B13916">
        <v>12779</v>
      </c>
      <c r="C13916">
        <v>13</v>
      </c>
      <c r="D13916" t="s">
        <v>17166</v>
      </c>
      <c r="F13916" t="s">
        <v>17246</v>
      </c>
      <c r="H13916" t="s">
        <v>28921</v>
      </c>
      <c r="J13916" t="s">
        <v>29538</v>
      </c>
      <c r="L13916" t="s">
        <v>30198</v>
      </c>
      <c r="N13916" t="s">
        <v>30487</v>
      </c>
      <c r="O13916" t="s">
        <v>30894</v>
      </c>
      <c r="P13916" t="s">
        <v>30929</v>
      </c>
      <c r="R13916" s="26" t="str">
        <f t="shared" si="53"/>
        <v>Enterovirus betacoxsackie</v>
      </c>
      <c r="S13916" t="s">
        <v>8141</v>
      </c>
      <c r="T13916" t="s">
        <v>31041</v>
      </c>
      <c r="U13916" t="s">
        <v>31042</v>
      </c>
      <c r="V13916" t="s">
        <v>31043</v>
      </c>
      <c r="W13916" t="s">
        <v>49827</v>
      </c>
      <c r="X13916" t="s">
        <v>42</v>
      </c>
      <c r="Y13916" t="s">
        <v>17171</v>
      </c>
      <c r="Z13916" t="s">
        <v>166</v>
      </c>
      <c r="AA13916" s="22" t="str">
        <f>HYPERLINK("https://www.ncbi.nlm.nih.gov/nuccore/AF083069","NCBI Nucleotide")</f>
        <v>NCBI Nucleotide</v>
      </c>
    </row>
    <row r="13917" spans="1:27" x14ac:dyDescent="0.35">
      <c r="A13917">
        <v>1011528</v>
      </c>
      <c r="B13917">
        <v>12779</v>
      </c>
      <c r="C13917">
        <v>14</v>
      </c>
      <c r="D13917" t="s">
        <v>17166</v>
      </c>
      <c r="F13917" t="s">
        <v>17246</v>
      </c>
      <c r="H13917" t="s">
        <v>28921</v>
      </c>
      <c r="J13917" t="s">
        <v>29538</v>
      </c>
      <c r="L13917" t="s">
        <v>30198</v>
      </c>
      <c r="N13917" t="s">
        <v>30487</v>
      </c>
      <c r="O13917" t="s">
        <v>30894</v>
      </c>
      <c r="P13917" t="s">
        <v>30929</v>
      </c>
      <c r="R13917" s="26" t="str">
        <f t="shared" si="53"/>
        <v>Enterovirus betacoxsackie</v>
      </c>
      <c r="S13917" t="s">
        <v>8141</v>
      </c>
      <c r="T13917" t="s">
        <v>31044</v>
      </c>
      <c r="U13917" t="s">
        <v>31045</v>
      </c>
      <c r="V13917" t="s">
        <v>31046</v>
      </c>
      <c r="W13917" t="s">
        <v>49828</v>
      </c>
      <c r="X13917" t="s">
        <v>42</v>
      </c>
      <c r="Y13917" t="s">
        <v>17171</v>
      </c>
      <c r="Z13917" t="s">
        <v>166</v>
      </c>
      <c r="AA13917" s="22" t="str">
        <f>HYPERLINK("https://www.ncbi.nlm.nih.gov/nuccore/AY302558","NCBI Nucleotide")</f>
        <v>NCBI Nucleotide</v>
      </c>
    </row>
    <row r="13918" spans="1:27" x14ac:dyDescent="0.35">
      <c r="A13918">
        <v>1011529</v>
      </c>
      <c r="B13918">
        <v>12779</v>
      </c>
      <c r="C13918">
        <v>15</v>
      </c>
      <c r="D13918" t="s">
        <v>17166</v>
      </c>
      <c r="F13918" t="s">
        <v>17246</v>
      </c>
      <c r="H13918" t="s">
        <v>28921</v>
      </c>
      <c r="J13918" t="s">
        <v>29538</v>
      </c>
      <c r="L13918" t="s">
        <v>30198</v>
      </c>
      <c r="N13918" t="s">
        <v>30487</v>
      </c>
      <c r="O13918" t="s">
        <v>30894</v>
      </c>
      <c r="P13918" t="s">
        <v>30929</v>
      </c>
      <c r="R13918" s="26" t="str">
        <f t="shared" si="53"/>
        <v>Enterovirus betacoxsackie</v>
      </c>
      <c r="S13918" t="s">
        <v>8141</v>
      </c>
      <c r="T13918" t="s">
        <v>31047</v>
      </c>
      <c r="U13918" t="s">
        <v>31048</v>
      </c>
      <c r="V13918" t="s">
        <v>31049</v>
      </c>
      <c r="W13918" t="s">
        <v>49829</v>
      </c>
      <c r="X13918" t="s">
        <v>42</v>
      </c>
      <c r="Y13918" t="s">
        <v>17171</v>
      </c>
      <c r="Z13918" t="s">
        <v>166</v>
      </c>
      <c r="AA13918" s="22" t="str">
        <f>HYPERLINK("https://www.ncbi.nlm.nih.gov/nuccore/AY302559","NCBI Nucleotide")</f>
        <v>NCBI Nucleotide</v>
      </c>
    </row>
    <row r="13919" spans="1:27" x14ac:dyDescent="0.35">
      <c r="A13919">
        <v>1011530</v>
      </c>
      <c r="B13919">
        <v>12779</v>
      </c>
      <c r="C13919">
        <v>16</v>
      </c>
      <c r="D13919" t="s">
        <v>17166</v>
      </c>
      <c r="F13919" t="s">
        <v>17246</v>
      </c>
      <c r="H13919" t="s">
        <v>28921</v>
      </c>
      <c r="J13919" t="s">
        <v>29538</v>
      </c>
      <c r="L13919" t="s">
        <v>30198</v>
      </c>
      <c r="N13919" t="s">
        <v>30487</v>
      </c>
      <c r="O13919" t="s">
        <v>30894</v>
      </c>
      <c r="P13919" t="s">
        <v>30929</v>
      </c>
      <c r="R13919" s="26" t="str">
        <f t="shared" si="53"/>
        <v>Enterovirus betacoxsackie</v>
      </c>
      <c r="S13919" t="s">
        <v>8141</v>
      </c>
      <c r="T13919" t="s">
        <v>31050</v>
      </c>
      <c r="U13919" t="s">
        <v>31051</v>
      </c>
      <c r="V13919" t="s">
        <v>31052</v>
      </c>
      <c r="W13919" t="s">
        <v>49830</v>
      </c>
      <c r="X13919" t="s">
        <v>42</v>
      </c>
      <c r="Y13919" t="s">
        <v>17171</v>
      </c>
      <c r="Z13919" t="s">
        <v>166</v>
      </c>
      <c r="AA13919" s="22" t="str">
        <f>HYPERLINK("https://www.ncbi.nlm.nih.gov/nuccore/X84981","NCBI Nucleotide")</f>
        <v>NCBI Nucleotide</v>
      </c>
    </row>
    <row r="13920" spans="1:27" x14ac:dyDescent="0.35">
      <c r="A13920">
        <v>1011531</v>
      </c>
      <c r="B13920">
        <v>12779</v>
      </c>
      <c r="C13920">
        <v>17</v>
      </c>
      <c r="D13920" t="s">
        <v>17166</v>
      </c>
      <c r="F13920" t="s">
        <v>17246</v>
      </c>
      <c r="H13920" t="s">
        <v>28921</v>
      </c>
      <c r="J13920" t="s">
        <v>29538</v>
      </c>
      <c r="L13920" t="s">
        <v>30198</v>
      </c>
      <c r="N13920" t="s">
        <v>30487</v>
      </c>
      <c r="O13920" t="s">
        <v>30894</v>
      </c>
      <c r="P13920" t="s">
        <v>30929</v>
      </c>
      <c r="R13920" s="26" t="str">
        <f t="shared" si="53"/>
        <v>Enterovirus betacoxsackie</v>
      </c>
      <c r="S13920" t="s">
        <v>8141</v>
      </c>
      <c r="T13920" t="s">
        <v>31053</v>
      </c>
      <c r="U13920" t="s">
        <v>31054</v>
      </c>
      <c r="V13920" t="s">
        <v>31055</v>
      </c>
      <c r="W13920" t="s">
        <v>49831</v>
      </c>
      <c r="X13920" t="s">
        <v>42</v>
      </c>
      <c r="Y13920" t="s">
        <v>17171</v>
      </c>
      <c r="Z13920" t="s">
        <v>166</v>
      </c>
      <c r="AA13920" s="22" t="str">
        <f>HYPERLINK("https://www.ncbi.nlm.nih.gov/nuccore/X80059","NCBI Nucleotide")</f>
        <v>NCBI Nucleotide</v>
      </c>
    </row>
    <row r="13921" spans="1:27" x14ac:dyDescent="0.35">
      <c r="A13921">
        <v>1011532</v>
      </c>
      <c r="B13921">
        <v>12779</v>
      </c>
      <c r="C13921">
        <v>18</v>
      </c>
      <c r="D13921" t="s">
        <v>17166</v>
      </c>
      <c r="F13921" t="s">
        <v>17246</v>
      </c>
      <c r="H13921" t="s">
        <v>28921</v>
      </c>
      <c r="J13921" t="s">
        <v>29538</v>
      </c>
      <c r="L13921" t="s">
        <v>30198</v>
      </c>
      <c r="N13921" t="s">
        <v>30487</v>
      </c>
      <c r="O13921" t="s">
        <v>30894</v>
      </c>
      <c r="P13921" t="s">
        <v>30929</v>
      </c>
      <c r="R13921" s="26" t="str">
        <f t="shared" si="53"/>
        <v>Enterovirus betacoxsackie</v>
      </c>
      <c r="S13921" t="s">
        <v>8141</v>
      </c>
      <c r="T13921" t="s">
        <v>31056</v>
      </c>
      <c r="U13921" t="s">
        <v>31057</v>
      </c>
      <c r="V13921" t="s">
        <v>31058</v>
      </c>
      <c r="W13921" t="s">
        <v>49832</v>
      </c>
      <c r="X13921" t="s">
        <v>42</v>
      </c>
      <c r="Y13921" t="s">
        <v>17171</v>
      </c>
      <c r="Z13921" t="s">
        <v>166</v>
      </c>
      <c r="AA13921" s="22" t="str">
        <f>HYPERLINK("https://www.ncbi.nlm.nih.gov/nuccore/X79047","NCBI Nucleotide")</f>
        <v>NCBI Nucleotide</v>
      </c>
    </row>
    <row r="13922" spans="1:27" x14ac:dyDescent="0.35">
      <c r="A13922">
        <v>1011533</v>
      </c>
      <c r="B13922">
        <v>12779</v>
      </c>
      <c r="C13922">
        <v>19</v>
      </c>
      <c r="D13922" t="s">
        <v>17166</v>
      </c>
      <c r="F13922" t="s">
        <v>17246</v>
      </c>
      <c r="H13922" t="s">
        <v>28921</v>
      </c>
      <c r="J13922" t="s">
        <v>29538</v>
      </c>
      <c r="L13922" t="s">
        <v>30198</v>
      </c>
      <c r="N13922" t="s">
        <v>30487</v>
      </c>
      <c r="O13922" t="s">
        <v>30894</v>
      </c>
      <c r="P13922" t="s">
        <v>30929</v>
      </c>
      <c r="R13922" s="26" t="str">
        <f t="shared" si="53"/>
        <v>Enterovirus betacoxsackie</v>
      </c>
      <c r="S13922" t="s">
        <v>8141</v>
      </c>
      <c r="T13922" t="s">
        <v>31059</v>
      </c>
      <c r="U13922" t="s">
        <v>31060</v>
      </c>
      <c r="V13922" t="s">
        <v>31061</v>
      </c>
      <c r="W13922" t="s">
        <v>49833</v>
      </c>
      <c r="X13922" t="s">
        <v>42</v>
      </c>
      <c r="Y13922" t="s">
        <v>17171</v>
      </c>
      <c r="Z13922" t="s">
        <v>166</v>
      </c>
      <c r="AA13922" s="22" t="str">
        <f>HYPERLINK("https://www.ncbi.nlm.nih.gov/nuccore/AY302539","NCBI Nucleotide")</f>
        <v>NCBI Nucleotide</v>
      </c>
    </row>
    <row r="13923" spans="1:27" x14ac:dyDescent="0.35">
      <c r="A13923">
        <v>1011534</v>
      </c>
      <c r="B13923">
        <v>12779</v>
      </c>
      <c r="C13923">
        <v>20</v>
      </c>
      <c r="D13923" t="s">
        <v>17166</v>
      </c>
      <c r="F13923" t="s">
        <v>17246</v>
      </c>
      <c r="H13923" t="s">
        <v>28921</v>
      </c>
      <c r="J13923" t="s">
        <v>29538</v>
      </c>
      <c r="L13923" t="s">
        <v>30198</v>
      </c>
      <c r="N13923" t="s">
        <v>30487</v>
      </c>
      <c r="O13923" t="s">
        <v>30894</v>
      </c>
      <c r="P13923" t="s">
        <v>30929</v>
      </c>
      <c r="R13923" s="26" t="str">
        <f t="shared" si="53"/>
        <v>Enterovirus betacoxsackie</v>
      </c>
      <c r="S13923" t="s">
        <v>8141</v>
      </c>
      <c r="T13923" t="s">
        <v>31062</v>
      </c>
      <c r="U13923" t="s">
        <v>31063</v>
      </c>
      <c r="V13923" t="s">
        <v>31064</v>
      </c>
      <c r="W13923" t="s">
        <v>49834</v>
      </c>
      <c r="X13923" t="s">
        <v>42</v>
      </c>
      <c r="Y13923" t="s">
        <v>17171</v>
      </c>
      <c r="Z13923" t="s">
        <v>166</v>
      </c>
      <c r="AA13923" s="22" t="str">
        <f>HYPERLINK("https://www.ncbi.nlm.nih.gov/nuccore/AY302540","NCBI Nucleotide")</f>
        <v>NCBI Nucleotide</v>
      </c>
    </row>
    <row r="13924" spans="1:27" x14ac:dyDescent="0.35">
      <c r="A13924">
        <v>1011535</v>
      </c>
      <c r="B13924">
        <v>12779</v>
      </c>
      <c r="C13924">
        <v>21</v>
      </c>
      <c r="D13924" t="s">
        <v>17166</v>
      </c>
      <c r="F13924" t="s">
        <v>17246</v>
      </c>
      <c r="H13924" t="s">
        <v>28921</v>
      </c>
      <c r="J13924" t="s">
        <v>29538</v>
      </c>
      <c r="L13924" t="s">
        <v>30198</v>
      </c>
      <c r="N13924" t="s">
        <v>30487</v>
      </c>
      <c r="O13924" t="s">
        <v>30894</v>
      </c>
      <c r="P13924" t="s">
        <v>30929</v>
      </c>
      <c r="R13924" s="26" t="str">
        <f t="shared" si="53"/>
        <v>Enterovirus betacoxsackie</v>
      </c>
      <c r="S13924" t="s">
        <v>8141</v>
      </c>
      <c r="T13924" t="s">
        <v>31065</v>
      </c>
      <c r="U13924" t="s">
        <v>31066</v>
      </c>
      <c r="V13924" t="s">
        <v>31067</v>
      </c>
      <c r="W13924" t="s">
        <v>49835</v>
      </c>
      <c r="X13924" t="s">
        <v>42</v>
      </c>
      <c r="Y13924" t="s">
        <v>17171</v>
      </c>
      <c r="Z13924" t="s">
        <v>166</v>
      </c>
      <c r="AA13924" s="22" t="str">
        <f>HYPERLINK("https://www.ncbi.nlm.nih.gov/nuccore/AY302541","NCBI Nucleotide")</f>
        <v>NCBI Nucleotide</v>
      </c>
    </row>
    <row r="13925" spans="1:27" x14ac:dyDescent="0.35">
      <c r="A13925">
        <v>1011536</v>
      </c>
      <c r="B13925">
        <v>12779</v>
      </c>
      <c r="C13925">
        <v>22</v>
      </c>
      <c r="D13925" t="s">
        <v>17166</v>
      </c>
      <c r="F13925" t="s">
        <v>17246</v>
      </c>
      <c r="H13925" t="s">
        <v>28921</v>
      </c>
      <c r="J13925" t="s">
        <v>29538</v>
      </c>
      <c r="L13925" t="s">
        <v>30198</v>
      </c>
      <c r="N13925" t="s">
        <v>30487</v>
      </c>
      <c r="O13925" t="s">
        <v>30894</v>
      </c>
      <c r="P13925" t="s">
        <v>30929</v>
      </c>
      <c r="R13925" s="26" t="str">
        <f t="shared" si="53"/>
        <v>Enterovirus betacoxsackie</v>
      </c>
      <c r="S13925" t="s">
        <v>8141</v>
      </c>
      <c r="T13925" t="s">
        <v>31068</v>
      </c>
      <c r="U13925" t="s">
        <v>31069</v>
      </c>
      <c r="V13925" t="s">
        <v>31070</v>
      </c>
      <c r="W13925" t="s">
        <v>49836</v>
      </c>
      <c r="X13925" t="s">
        <v>42</v>
      </c>
      <c r="Y13925" t="s">
        <v>17171</v>
      </c>
      <c r="Z13925" t="s">
        <v>166</v>
      </c>
      <c r="AA13925" s="22" t="str">
        <f>HYPERLINK("https://www.ncbi.nlm.nih.gov/nuccore/AY302542","NCBI Nucleotide")</f>
        <v>NCBI Nucleotide</v>
      </c>
    </row>
    <row r="13926" spans="1:27" x14ac:dyDescent="0.35">
      <c r="A13926">
        <v>1011537</v>
      </c>
      <c r="B13926">
        <v>12779</v>
      </c>
      <c r="C13926">
        <v>23</v>
      </c>
      <c r="D13926" t="s">
        <v>17166</v>
      </c>
      <c r="F13926" t="s">
        <v>17246</v>
      </c>
      <c r="H13926" t="s">
        <v>28921</v>
      </c>
      <c r="J13926" t="s">
        <v>29538</v>
      </c>
      <c r="L13926" t="s">
        <v>30198</v>
      </c>
      <c r="N13926" t="s">
        <v>30487</v>
      </c>
      <c r="O13926" t="s">
        <v>30894</v>
      </c>
      <c r="P13926" t="s">
        <v>30929</v>
      </c>
      <c r="R13926" s="26" t="str">
        <f t="shared" si="53"/>
        <v>Enterovirus betacoxsackie</v>
      </c>
      <c r="S13926" t="s">
        <v>8141</v>
      </c>
      <c r="T13926" t="s">
        <v>31071</v>
      </c>
      <c r="U13926" t="s">
        <v>31072</v>
      </c>
      <c r="V13926" t="s">
        <v>31073</v>
      </c>
      <c r="W13926" t="s">
        <v>49837</v>
      </c>
      <c r="X13926" t="s">
        <v>42</v>
      </c>
      <c r="Y13926" t="s">
        <v>17171</v>
      </c>
      <c r="Z13926" t="s">
        <v>166</v>
      </c>
      <c r="AA13926" s="22" t="str">
        <f>HYPERLINK("https://www.ncbi.nlm.nih.gov/nuccore/AY302543","NCBI Nucleotide")</f>
        <v>NCBI Nucleotide</v>
      </c>
    </row>
    <row r="13927" spans="1:27" x14ac:dyDescent="0.35">
      <c r="A13927">
        <v>1011538</v>
      </c>
      <c r="B13927">
        <v>12779</v>
      </c>
      <c r="C13927">
        <v>24</v>
      </c>
      <c r="D13927" t="s">
        <v>17166</v>
      </c>
      <c r="F13927" t="s">
        <v>17246</v>
      </c>
      <c r="H13927" t="s">
        <v>28921</v>
      </c>
      <c r="J13927" t="s">
        <v>29538</v>
      </c>
      <c r="L13927" t="s">
        <v>30198</v>
      </c>
      <c r="N13927" t="s">
        <v>30487</v>
      </c>
      <c r="O13927" t="s">
        <v>30894</v>
      </c>
      <c r="P13927" t="s">
        <v>30929</v>
      </c>
      <c r="R13927" s="26" t="str">
        <f t="shared" si="53"/>
        <v>Enterovirus betacoxsackie</v>
      </c>
      <c r="S13927" t="s">
        <v>8141</v>
      </c>
      <c r="T13927" t="s">
        <v>31074</v>
      </c>
      <c r="U13927" t="s">
        <v>31075</v>
      </c>
      <c r="V13927" t="s">
        <v>31076</v>
      </c>
      <c r="W13927" t="s">
        <v>49838</v>
      </c>
      <c r="X13927" t="s">
        <v>42</v>
      </c>
      <c r="Y13927" t="s">
        <v>17171</v>
      </c>
      <c r="Z13927" t="s">
        <v>166</v>
      </c>
      <c r="AA13927" s="22" t="str">
        <f>HYPERLINK("https://www.ncbi.nlm.nih.gov/nuccore/AF317694","NCBI Nucleotide")</f>
        <v>NCBI Nucleotide</v>
      </c>
    </row>
    <row r="13928" spans="1:27" x14ac:dyDescent="0.35">
      <c r="A13928">
        <v>1011539</v>
      </c>
      <c r="B13928">
        <v>12779</v>
      </c>
      <c r="C13928">
        <v>25</v>
      </c>
      <c r="D13928" t="s">
        <v>17166</v>
      </c>
      <c r="F13928" t="s">
        <v>17246</v>
      </c>
      <c r="H13928" t="s">
        <v>28921</v>
      </c>
      <c r="J13928" t="s">
        <v>29538</v>
      </c>
      <c r="L13928" t="s">
        <v>30198</v>
      </c>
      <c r="N13928" t="s">
        <v>30487</v>
      </c>
      <c r="O13928" t="s">
        <v>30894</v>
      </c>
      <c r="P13928" t="s">
        <v>30929</v>
      </c>
      <c r="R13928" s="26" t="str">
        <f t="shared" si="53"/>
        <v>Enterovirus betacoxsackie</v>
      </c>
      <c r="S13928" t="s">
        <v>8141</v>
      </c>
      <c r="T13928" t="s">
        <v>31077</v>
      </c>
      <c r="U13928" t="s">
        <v>31078</v>
      </c>
      <c r="V13928" t="s">
        <v>31079</v>
      </c>
      <c r="W13928" t="s">
        <v>49839</v>
      </c>
      <c r="X13928" t="s">
        <v>42</v>
      </c>
      <c r="Y13928" t="s">
        <v>17171</v>
      </c>
      <c r="Z13928" t="s">
        <v>166</v>
      </c>
      <c r="AA13928" s="22" t="str">
        <f>HYPERLINK("https://www.ncbi.nlm.nih.gov/nuccore/AY302544","NCBI Nucleotide")</f>
        <v>NCBI Nucleotide</v>
      </c>
    </row>
    <row r="13929" spans="1:27" x14ac:dyDescent="0.35">
      <c r="A13929">
        <v>1011540</v>
      </c>
      <c r="B13929">
        <v>12779</v>
      </c>
      <c r="C13929">
        <v>26</v>
      </c>
      <c r="D13929" t="s">
        <v>17166</v>
      </c>
      <c r="F13929" t="s">
        <v>17246</v>
      </c>
      <c r="H13929" t="s">
        <v>28921</v>
      </c>
      <c r="J13929" t="s">
        <v>29538</v>
      </c>
      <c r="L13929" t="s">
        <v>30198</v>
      </c>
      <c r="N13929" t="s">
        <v>30487</v>
      </c>
      <c r="O13929" t="s">
        <v>30894</v>
      </c>
      <c r="P13929" t="s">
        <v>30929</v>
      </c>
      <c r="R13929" s="26" t="str">
        <f t="shared" si="53"/>
        <v>Enterovirus betacoxsackie</v>
      </c>
      <c r="S13929" t="s">
        <v>8141</v>
      </c>
      <c r="T13929" t="s">
        <v>31080</v>
      </c>
      <c r="U13929" t="s">
        <v>31081</v>
      </c>
      <c r="V13929" t="s">
        <v>31082</v>
      </c>
      <c r="W13929" t="s">
        <v>49840</v>
      </c>
      <c r="X13929" t="s">
        <v>42</v>
      </c>
      <c r="Y13929" t="s">
        <v>17171</v>
      </c>
      <c r="Z13929" t="s">
        <v>166</v>
      </c>
      <c r="AA13929" s="22" t="str">
        <f>HYPERLINK("https://www.ncbi.nlm.nih.gov/nuccore/AY302546","NCBI Nucleotide")</f>
        <v>NCBI Nucleotide</v>
      </c>
    </row>
    <row r="13930" spans="1:27" x14ac:dyDescent="0.35">
      <c r="A13930">
        <v>1011541</v>
      </c>
      <c r="B13930">
        <v>12779</v>
      </c>
      <c r="C13930">
        <v>27</v>
      </c>
      <c r="D13930" t="s">
        <v>17166</v>
      </c>
      <c r="F13930" t="s">
        <v>17246</v>
      </c>
      <c r="H13930" t="s">
        <v>28921</v>
      </c>
      <c r="J13930" t="s">
        <v>29538</v>
      </c>
      <c r="L13930" t="s">
        <v>30198</v>
      </c>
      <c r="N13930" t="s">
        <v>30487</v>
      </c>
      <c r="O13930" t="s">
        <v>30894</v>
      </c>
      <c r="P13930" t="s">
        <v>30929</v>
      </c>
      <c r="R13930" s="26" t="str">
        <f t="shared" si="53"/>
        <v>Enterovirus betacoxsackie</v>
      </c>
      <c r="S13930" t="s">
        <v>8141</v>
      </c>
      <c r="T13930" t="s">
        <v>31083</v>
      </c>
      <c r="U13930" t="s">
        <v>31084</v>
      </c>
      <c r="V13930" t="s">
        <v>31085</v>
      </c>
      <c r="W13930" t="s">
        <v>49841</v>
      </c>
      <c r="X13930" t="s">
        <v>42</v>
      </c>
      <c r="Y13930" t="s">
        <v>17171</v>
      </c>
      <c r="Z13930" t="s">
        <v>166</v>
      </c>
      <c r="AA13930" s="22" t="str">
        <f>HYPERLINK("https://www.ncbi.nlm.nih.gov/nuccore/AY302547","NCBI Nucleotide")</f>
        <v>NCBI Nucleotide</v>
      </c>
    </row>
    <row r="13931" spans="1:27" x14ac:dyDescent="0.35">
      <c r="A13931">
        <v>1011542</v>
      </c>
      <c r="B13931">
        <v>12779</v>
      </c>
      <c r="C13931">
        <v>28</v>
      </c>
      <c r="D13931" t="s">
        <v>17166</v>
      </c>
      <c r="F13931" t="s">
        <v>17246</v>
      </c>
      <c r="H13931" t="s">
        <v>28921</v>
      </c>
      <c r="J13931" t="s">
        <v>29538</v>
      </c>
      <c r="L13931" t="s">
        <v>30198</v>
      </c>
      <c r="N13931" t="s">
        <v>30487</v>
      </c>
      <c r="O13931" t="s">
        <v>30894</v>
      </c>
      <c r="P13931" t="s">
        <v>30929</v>
      </c>
      <c r="R13931" s="26" t="str">
        <f t="shared" si="53"/>
        <v>Enterovirus betacoxsackie</v>
      </c>
      <c r="S13931" t="s">
        <v>8141</v>
      </c>
      <c r="T13931" t="s">
        <v>31086</v>
      </c>
      <c r="U13931" t="s">
        <v>31087</v>
      </c>
      <c r="V13931" t="s">
        <v>31088</v>
      </c>
      <c r="W13931" t="s">
        <v>49842</v>
      </c>
      <c r="X13931" t="s">
        <v>42</v>
      </c>
      <c r="Y13931" t="s">
        <v>17171</v>
      </c>
      <c r="Z13931" t="s">
        <v>166</v>
      </c>
      <c r="AA13931" s="22" t="str">
        <f>HYPERLINK("https://www.ncbi.nlm.nih.gov/nuccore/AY302548","NCBI Nucleotide")</f>
        <v>NCBI Nucleotide</v>
      </c>
    </row>
    <row r="13932" spans="1:27" x14ac:dyDescent="0.35">
      <c r="A13932">
        <v>1011543</v>
      </c>
      <c r="B13932">
        <v>12779</v>
      </c>
      <c r="C13932">
        <v>29</v>
      </c>
      <c r="D13932" t="s">
        <v>17166</v>
      </c>
      <c r="F13932" t="s">
        <v>17246</v>
      </c>
      <c r="H13932" t="s">
        <v>28921</v>
      </c>
      <c r="J13932" t="s">
        <v>29538</v>
      </c>
      <c r="L13932" t="s">
        <v>30198</v>
      </c>
      <c r="N13932" t="s">
        <v>30487</v>
      </c>
      <c r="O13932" t="s">
        <v>30894</v>
      </c>
      <c r="P13932" t="s">
        <v>30929</v>
      </c>
      <c r="R13932" s="26" t="str">
        <f t="shared" si="53"/>
        <v>Enterovirus betacoxsackie</v>
      </c>
      <c r="S13932" t="s">
        <v>8141</v>
      </c>
      <c r="T13932" t="s">
        <v>31089</v>
      </c>
      <c r="U13932" t="s">
        <v>31090</v>
      </c>
      <c r="V13932" t="s">
        <v>31091</v>
      </c>
      <c r="W13932" t="s">
        <v>49843</v>
      </c>
      <c r="X13932" t="s">
        <v>42</v>
      </c>
      <c r="Y13932" t="s">
        <v>17171</v>
      </c>
      <c r="Z13932" t="s">
        <v>166</v>
      </c>
      <c r="AA13932" s="22" t="str">
        <f>HYPERLINK("https://www.ncbi.nlm.nih.gov/nuccore/AY302549","NCBI Nucleotide")</f>
        <v>NCBI Nucleotide</v>
      </c>
    </row>
    <row r="13933" spans="1:27" x14ac:dyDescent="0.35">
      <c r="A13933">
        <v>1011544</v>
      </c>
      <c r="B13933">
        <v>12779</v>
      </c>
      <c r="C13933">
        <v>30</v>
      </c>
      <c r="D13933" t="s">
        <v>17166</v>
      </c>
      <c r="F13933" t="s">
        <v>17246</v>
      </c>
      <c r="H13933" t="s">
        <v>28921</v>
      </c>
      <c r="J13933" t="s">
        <v>29538</v>
      </c>
      <c r="L13933" t="s">
        <v>30198</v>
      </c>
      <c r="N13933" t="s">
        <v>30487</v>
      </c>
      <c r="O13933" t="s">
        <v>30894</v>
      </c>
      <c r="P13933" t="s">
        <v>30929</v>
      </c>
      <c r="R13933" s="26" t="str">
        <f t="shared" si="53"/>
        <v>Enterovirus betacoxsackie</v>
      </c>
      <c r="S13933" t="s">
        <v>8141</v>
      </c>
      <c r="T13933" t="s">
        <v>31092</v>
      </c>
      <c r="U13933" t="s">
        <v>31093</v>
      </c>
      <c r="V13933" t="s">
        <v>31094</v>
      </c>
      <c r="W13933" t="s">
        <v>49844</v>
      </c>
      <c r="X13933" t="s">
        <v>42</v>
      </c>
      <c r="Y13933" t="s">
        <v>17171</v>
      </c>
      <c r="Z13933" t="s">
        <v>166</v>
      </c>
      <c r="AA13933" s="22" t="str">
        <f>HYPERLINK("https://www.ncbi.nlm.nih.gov/nuccore/AY302550","NCBI Nucleotide")</f>
        <v>NCBI Nucleotide</v>
      </c>
    </row>
    <row r="13934" spans="1:27" x14ac:dyDescent="0.35">
      <c r="A13934">
        <v>1011545</v>
      </c>
      <c r="B13934">
        <v>12779</v>
      </c>
      <c r="C13934">
        <v>31</v>
      </c>
      <c r="D13934" t="s">
        <v>17166</v>
      </c>
      <c r="F13934" t="s">
        <v>17246</v>
      </c>
      <c r="H13934" t="s">
        <v>28921</v>
      </c>
      <c r="J13934" t="s">
        <v>29538</v>
      </c>
      <c r="L13934" t="s">
        <v>30198</v>
      </c>
      <c r="N13934" t="s">
        <v>30487</v>
      </c>
      <c r="O13934" t="s">
        <v>30894</v>
      </c>
      <c r="P13934" t="s">
        <v>30929</v>
      </c>
      <c r="R13934" s="26" t="str">
        <f t="shared" si="53"/>
        <v>Enterovirus betacoxsackie</v>
      </c>
      <c r="S13934" t="s">
        <v>8141</v>
      </c>
      <c r="T13934" t="s">
        <v>31095</v>
      </c>
      <c r="U13934" t="s">
        <v>31096</v>
      </c>
      <c r="V13934" t="s">
        <v>31097</v>
      </c>
      <c r="W13934" t="s">
        <v>49845</v>
      </c>
      <c r="X13934" t="s">
        <v>42</v>
      </c>
      <c r="Y13934" t="s">
        <v>17171</v>
      </c>
      <c r="Z13934" t="s">
        <v>166</v>
      </c>
      <c r="AA13934" s="22" t="str">
        <f>HYPERLINK("https://www.ncbi.nlm.nih.gov/nuccore/AY302551","NCBI Nucleotide")</f>
        <v>NCBI Nucleotide</v>
      </c>
    </row>
    <row r="13935" spans="1:27" x14ac:dyDescent="0.35">
      <c r="A13935">
        <v>1011546</v>
      </c>
      <c r="B13935">
        <v>12779</v>
      </c>
      <c r="C13935">
        <v>32</v>
      </c>
      <c r="D13935" t="s">
        <v>17166</v>
      </c>
      <c r="F13935" t="s">
        <v>17246</v>
      </c>
      <c r="H13935" t="s">
        <v>28921</v>
      </c>
      <c r="J13935" t="s">
        <v>29538</v>
      </c>
      <c r="L13935" t="s">
        <v>30198</v>
      </c>
      <c r="N13935" t="s">
        <v>30487</v>
      </c>
      <c r="O13935" t="s">
        <v>30894</v>
      </c>
      <c r="P13935" t="s">
        <v>30929</v>
      </c>
      <c r="R13935" s="26" t="str">
        <f t="shared" si="53"/>
        <v>Enterovirus betacoxsackie</v>
      </c>
      <c r="S13935" t="s">
        <v>8141</v>
      </c>
      <c r="T13935" t="s">
        <v>31098</v>
      </c>
      <c r="U13935" t="s">
        <v>31099</v>
      </c>
      <c r="V13935" t="s">
        <v>31100</v>
      </c>
      <c r="W13935" t="s">
        <v>49846</v>
      </c>
      <c r="X13935" t="s">
        <v>42</v>
      </c>
      <c r="Y13935" t="s">
        <v>17171</v>
      </c>
      <c r="Z13935" t="s">
        <v>166</v>
      </c>
      <c r="AA13935" s="22" t="str">
        <f>HYPERLINK("https://www.ncbi.nlm.nih.gov/nuccore/AY302552","NCBI Nucleotide")</f>
        <v>NCBI Nucleotide</v>
      </c>
    </row>
    <row r="13936" spans="1:27" x14ac:dyDescent="0.35">
      <c r="A13936">
        <v>1011547</v>
      </c>
      <c r="B13936">
        <v>12779</v>
      </c>
      <c r="C13936">
        <v>33</v>
      </c>
      <c r="D13936" t="s">
        <v>17166</v>
      </c>
      <c r="F13936" t="s">
        <v>17246</v>
      </c>
      <c r="H13936" t="s">
        <v>28921</v>
      </c>
      <c r="J13936" t="s">
        <v>29538</v>
      </c>
      <c r="L13936" t="s">
        <v>30198</v>
      </c>
      <c r="N13936" t="s">
        <v>30487</v>
      </c>
      <c r="O13936" t="s">
        <v>30894</v>
      </c>
      <c r="P13936" t="s">
        <v>30929</v>
      </c>
      <c r="R13936" s="26" t="str">
        <f t="shared" ref="R13936:R13967" si="54">HYPERLINK("https://ictv.global/taxonomy/taxondetails?taxnode_id=202301984","Enterovirus betacoxsackie")</f>
        <v>Enterovirus betacoxsackie</v>
      </c>
      <c r="S13936" t="s">
        <v>8141</v>
      </c>
      <c r="T13936" t="s">
        <v>31101</v>
      </c>
      <c r="U13936" t="s">
        <v>31102</v>
      </c>
      <c r="V13936" t="s">
        <v>31103</v>
      </c>
      <c r="W13936" t="s">
        <v>49847</v>
      </c>
      <c r="X13936" t="s">
        <v>42</v>
      </c>
      <c r="Y13936" t="s">
        <v>17171</v>
      </c>
      <c r="Z13936" t="s">
        <v>166</v>
      </c>
      <c r="AA13936" s="22" t="str">
        <f>HYPERLINK("https://www.ncbi.nlm.nih.gov/nuccore/AF162711","NCBI Nucleotide")</f>
        <v>NCBI Nucleotide</v>
      </c>
    </row>
    <row r="13937" spans="1:27" x14ac:dyDescent="0.35">
      <c r="A13937">
        <v>1011548</v>
      </c>
      <c r="B13937">
        <v>12779</v>
      </c>
      <c r="C13937">
        <v>34</v>
      </c>
      <c r="D13937" t="s">
        <v>17166</v>
      </c>
      <c r="F13937" t="s">
        <v>17246</v>
      </c>
      <c r="H13937" t="s">
        <v>28921</v>
      </c>
      <c r="J13937" t="s">
        <v>29538</v>
      </c>
      <c r="L13937" t="s">
        <v>30198</v>
      </c>
      <c r="N13937" t="s">
        <v>30487</v>
      </c>
      <c r="O13937" t="s">
        <v>30894</v>
      </c>
      <c r="P13937" t="s">
        <v>30929</v>
      </c>
      <c r="R13937" s="26" t="str">
        <f t="shared" si="54"/>
        <v>Enterovirus betacoxsackie</v>
      </c>
      <c r="S13937" t="s">
        <v>8141</v>
      </c>
      <c r="T13937" t="s">
        <v>31104</v>
      </c>
      <c r="U13937" t="s">
        <v>31105</v>
      </c>
      <c r="V13937" t="s">
        <v>31106</v>
      </c>
      <c r="W13937" t="s">
        <v>49848</v>
      </c>
      <c r="X13937" t="s">
        <v>42</v>
      </c>
      <c r="Y13937" t="s">
        <v>17171</v>
      </c>
      <c r="Z13937" t="s">
        <v>166</v>
      </c>
      <c r="AA13937" s="22" t="str">
        <f>HYPERLINK("https://www.ncbi.nlm.nih.gov/nuccore/AY302554","NCBI Nucleotide")</f>
        <v>NCBI Nucleotide</v>
      </c>
    </row>
    <row r="13938" spans="1:27" x14ac:dyDescent="0.35">
      <c r="A13938">
        <v>1011549</v>
      </c>
      <c r="B13938">
        <v>12779</v>
      </c>
      <c r="C13938">
        <v>35</v>
      </c>
      <c r="D13938" t="s">
        <v>17166</v>
      </c>
      <c r="F13938" t="s">
        <v>17246</v>
      </c>
      <c r="H13938" t="s">
        <v>28921</v>
      </c>
      <c r="J13938" t="s">
        <v>29538</v>
      </c>
      <c r="L13938" t="s">
        <v>30198</v>
      </c>
      <c r="N13938" t="s">
        <v>30487</v>
      </c>
      <c r="O13938" t="s">
        <v>30894</v>
      </c>
      <c r="P13938" t="s">
        <v>30929</v>
      </c>
      <c r="R13938" s="26" t="str">
        <f t="shared" si="54"/>
        <v>Enterovirus betacoxsackie</v>
      </c>
      <c r="S13938" t="s">
        <v>8141</v>
      </c>
      <c r="T13938" t="s">
        <v>31107</v>
      </c>
      <c r="U13938" t="s">
        <v>31108</v>
      </c>
      <c r="V13938" t="s">
        <v>31109</v>
      </c>
      <c r="W13938" t="s">
        <v>49849</v>
      </c>
      <c r="X13938" t="s">
        <v>42</v>
      </c>
      <c r="Y13938" t="s">
        <v>17171</v>
      </c>
      <c r="Z13938" t="s">
        <v>166</v>
      </c>
      <c r="AA13938" s="22" t="str">
        <f>HYPERLINK("https://www.ncbi.nlm.nih.gov/nuccore/AY302555","NCBI Nucleotide")</f>
        <v>NCBI Nucleotide</v>
      </c>
    </row>
    <row r="13939" spans="1:27" x14ac:dyDescent="0.35">
      <c r="A13939">
        <v>1011550</v>
      </c>
      <c r="B13939">
        <v>12779</v>
      </c>
      <c r="C13939">
        <v>36</v>
      </c>
      <c r="D13939" t="s">
        <v>17166</v>
      </c>
      <c r="F13939" t="s">
        <v>17246</v>
      </c>
      <c r="H13939" t="s">
        <v>28921</v>
      </c>
      <c r="J13939" t="s">
        <v>29538</v>
      </c>
      <c r="L13939" t="s">
        <v>30198</v>
      </c>
      <c r="N13939" t="s">
        <v>30487</v>
      </c>
      <c r="O13939" t="s">
        <v>30894</v>
      </c>
      <c r="P13939" t="s">
        <v>30929</v>
      </c>
      <c r="R13939" s="26" t="str">
        <f t="shared" si="54"/>
        <v>Enterovirus betacoxsackie</v>
      </c>
      <c r="S13939" t="s">
        <v>8141</v>
      </c>
      <c r="T13939" t="s">
        <v>31110</v>
      </c>
      <c r="U13939" t="s">
        <v>31111</v>
      </c>
      <c r="V13939" t="s">
        <v>31112</v>
      </c>
      <c r="W13939" t="s">
        <v>49850</v>
      </c>
      <c r="X13939" t="s">
        <v>42</v>
      </c>
      <c r="Y13939" t="s">
        <v>17171</v>
      </c>
      <c r="Z13939" t="s">
        <v>166</v>
      </c>
      <c r="AA13939" s="22" t="str">
        <f>HYPERLINK("https://www.ncbi.nlm.nih.gov/nuccore/AY302556","NCBI Nucleotide")</f>
        <v>NCBI Nucleotide</v>
      </c>
    </row>
    <row r="13940" spans="1:27" x14ac:dyDescent="0.35">
      <c r="A13940">
        <v>1011551</v>
      </c>
      <c r="B13940">
        <v>12779</v>
      </c>
      <c r="C13940">
        <v>37</v>
      </c>
      <c r="D13940" t="s">
        <v>17166</v>
      </c>
      <c r="F13940" t="s">
        <v>17246</v>
      </c>
      <c r="H13940" t="s">
        <v>28921</v>
      </c>
      <c r="J13940" t="s">
        <v>29538</v>
      </c>
      <c r="L13940" t="s">
        <v>30198</v>
      </c>
      <c r="N13940" t="s">
        <v>30487</v>
      </c>
      <c r="O13940" t="s">
        <v>30894</v>
      </c>
      <c r="P13940" t="s">
        <v>30929</v>
      </c>
      <c r="R13940" s="26" t="str">
        <f t="shared" si="54"/>
        <v>Enterovirus betacoxsackie</v>
      </c>
      <c r="S13940" t="s">
        <v>8141</v>
      </c>
      <c r="T13940" t="s">
        <v>31113</v>
      </c>
      <c r="U13940" t="s">
        <v>31114</v>
      </c>
      <c r="V13940" t="s">
        <v>31115</v>
      </c>
      <c r="W13940" t="s">
        <v>49851</v>
      </c>
      <c r="X13940" t="s">
        <v>42</v>
      </c>
      <c r="Y13940" t="s">
        <v>17171</v>
      </c>
      <c r="Z13940" t="s">
        <v>166</v>
      </c>
      <c r="AA13940" s="22" t="str">
        <f>HYPERLINK("https://www.ncbi.nlm.nih.gov/nuccore/AY302560","NCBI Nucleotide")</f>
        <v>NCBI Nucleotide</v>
      </c>
    </row>
    <row r="13941" spans="1:27" x14ac:dyDescent="0.35">
      <c r="A13941">
        <v>1011552</v>
      </c>
      <c r="B13941">
        <v>12779</v>
      </c>
      <c r="C13941">
        <v>38</v>
      </c>
      <c r="D13941" t="s">
        <v>17166</v>
      </c>
      <c r="F13941" t="s">
        <v>17246</v>
      </c>
      <c r="H13941" t="s">
        <v>28921</v>
      </c>
      <c r="J13941" t="s">
        <v>29538</v>
      </c>
      <c r="L13941" t="s">
        <v>30198</v>
      </c>
      <c r="N13941" t="s">
        <v>30487</v>
      </c>
      <c r="O13941" t="s">
        <v>30894</v>
      </c>
      <c r="P13941" t="s">
        <v>30929</v>
      </c>
      <c r="R13941" s="26" t="str">
        <f t="shared" si="54"/>
        <v>Enterovirus betacoxsackie</v>
      </c>
      <c r="S13941" t="s">
        <v>8141</v>
      </c>
      <c r="T13941" t="s">
        <v>31116</v>
      </c>
      <c r="U13941" t="s">
        <v>31117</v>
      </c>
      <c r="V13941" t="s">
        <v>31118</v>
      </c>
      <c r="W13941" t="s">
        <v>49852</v>
      </c>
      <c r="X13941" t="s">
        <v>42</v>
      </c>
      <c r="Y13941" t="s">
        <v>17171</v>
      </c>
      <c r="Z13941" t="s">
        <v>166</v>
      </c>
      <c r="AA13941" s="22" t="str">
        <f>HYPERLINK("https://www.ncbi.nlm.nih.gov/nuccore/AF241359","NCBI Nucleotide")</f>
        <v>NCBI Nucleotide</v>
      </c>
    </row>
    <row r="13942" spans="1:27" x14ac:dyDescent="0.35">
      <c r="A13942">
        <v>1011553</v>
      </c>
      <c r="B13942">
        <v>12779</v>
      </c>
      <c r="C13942">
        <v>39</v>
      </c>
      <c r="D13942" t="s">
        <v>17166</v>
      </c>
      <c r="F13942" t="s">
        <v>17246</v>
      </c>
      <c r="H13942" t="s">
        <v>28921</v>
      </c>
      <c r="J13942" t="s">
        <v>29538</v>
      </c>
      <c r="L13942" t="s">
        <v>30198</v>
      </c>
      <c r="N13942" t="s">
        <v>30487</v>
      </c>
      <c r="O13942" t="s">
        <v>30894</v>
      </c>
      <c r="P13942" t="s">
        <v>30929</v>
      </c>
      <c r="R13942" s="26" t="str">
        <f t="shared" si="54"/>
        <v>Enterovirus betacoxsackie</v>
      </c>
      <c r="S13942" t="s">
        <v>8141</v>
      </c>
      <c r="T13942" t="s">
        <v>31119</v>
      </c>
      <c r="U13942" t="s">
        <v>31120</v>
      </c>
      <c r="V13942" t="s">
        <v>31121</v>
      </c>
      <c r="W13942" t="s">
        <v>49853</v>
      </c>
      <c r="X13942" t="s">
        <v>42</v>
      </c>
      <c r="Y13942" t="s">
        <v>17171</v>
      </c>
      <c r="Z13942" t="s">
        <v>166</v>
      </c>
      <c r="AA13942" s="22" t="str">
        <f>HYPERLINK("https://www.ncbi.nlm.nih.gov/nuccore/AY556057","NCBI Nucleotide")</f>
        <v>NCBI Nucleotide</v>
      </c>
    </row>
    <row r="13943" spans="1:27" x14ac:dyDescent="0.35">
      <c r="A13943">
        <v>1011554</v>
      </c>
      <c r="B13943">
        <v>12779</v>
      </c>
      <c r="C13943">
        <v>40</v>
      </c>
      <c r="D13943" t="s">
        <v>17166</v>
      </c>
      <c r="F13943" t="s">
        <v>17246</v>
      </c>
      <c r="H13943" t="s">
        <v>28921</v>
      </c>
      <c r="J13943" t="s">
        <v>29538</v>
      </c>
      <c r="L13943" t="s">
        <v>30198</v>
      </c>
      <c r="N13943" t="s">
        <v>30487</v>
      </c>
      <c r="O13943" t="s">
        <v>30894</v>
      </c>
      <c r="P13943" t="s">
        <v>30929</v>
      </c>
      <c r="R13943" s="26" t="str">
        <f t="shared" si="54"/>
        <v>Enterovirus betacoxsackie</v>
      </c>
      <c r="S13943" t="s">
        <v>8141</v>
      </c>
      <c r="T13943" t="s">
        <v>31122</v>
      </c>
      <c r="U13943" t="s">
        <v>31123</v>
      </c>
      <c r="V13943" t="s">
        <v>31124</v>
      </c>
      <c r="W13943" t="s">
        <v>49854</v>
      </c>
      <c r="X13943" t="s">
        <v>42</v>
      </c>
      <c r="Y13943" t="s">
        <v>17171</v>
      </c>
      <c r="Z13943" t="s">
        <v>166</v>
      </c>
      <c r="AA13943" s="22" t="str">
        <f>HYPERLINK("https://www.ncbi.nlm.nih.gov/nuccore/AY556070","NCBI Nucleotide")</f>
        <v>NCBI Nucleotide</v>
      </c>
    </row>
    <row r="13944" spans="1:27" x14ac:dyDescent="0.35">
      <c r="A13944">
        <v>1011555</v>
      </c>
      <c r="B13944">
        <v>12779</v>
      </c>
      <c r="C13944">
        <v>41</v>
      </c>
      <c r="D13944" t="s">
        <v>17166</v>
      </c>
      <c r="F13944" t="s">
        <v>17246</v>
      </c>
      <c r="H13944" t="s">
        <v>28921</v>
      </c>
      <c r="J13944" t="s">
        <v>29538</v>
      </c>
      <c r="L13944" t="s">
        <v>30198</v>
      </c>
      <c r="N13944" t="s">
        <v>30487</v>
      </c>
      <c r="O13944" t="s">
        <v>30894</v>
      </c>
      <c r="P13944" t="s">
        <v>30929</v>
      </c>
      <c r="R13944" s="26" t="str">
        <f t="shared" si="54"/>
        <v>Enterovirus betacoxsackie</v>
      </c>
      <c r="S13944" t="s">
        <v>8141</v>
      </c>
      <c r="T13944" t="s">
        <v>31125</v>
      </c>
      <c r="U13944" t="s">
        <v>31126</v>
      </c>
      <c r="V13944" t="s">
        <v>31127</v>
      </c>
      <c r="W13944" t="s">
        <v>49855</v>
      </c>
      <c r="X13944" t="s">
        <v>42</v>
      </c>
      <c r="Y13944" t="s">
        <v>17171</v>
      </c>
      <c r="Z13944" t="s">
        <v>166</v>
      </c>
      <c r="AA13944" s="22" t="str">
        <f>HYPERLINK("https://www.ncbi.nlm.nih.gov/nuccore/AJ493062","NCBI Nucleotide")</f>
        <v>NCBI Nucleotide</v>
      </c>
    </row>
    <row r="13945" spans="1:27" x14ac:dyDescent="0.35">
      <c r="A13945">
        <v>1011556</v>
      </c>
      <c r="B13945">
        <v>12779</v>
      </c>
      <c r="C13945">
        <v>42</v>
      </c>
      <c r="D13945" t="s">
        <v>17166</v>
      </c>
      <c r="F13945" t="s">
        <v>17246</v>
      </c>
      <c r="H13945" t="s">
        <v>28921</v>
      </c>
      <c r="J13945" t="s">
        <v>29538</v>
      </c>
      <c r="L13945" t="s">
        <v>30198</v>
      </c>
      <c r="N13945" t="s">
        <v>30487</v>
      </c>
      <c r="O13945" t="s">
        <v>30894</v>
      </c>
      <c r="P13945" t="s">
        <v>30929</v>
      </c>
      <c r="R13945" s="26" t="str">
        <f t="shared" si="54"/>
        <v>Enterovirus betacoxsackie</v>
      </c>
      <c r="S13945" t="s">
        <v>8141</v>
      </c>
      <c r="T13945" t="s">
        <v>31128</v>
      </c>
      <c r="U13945" t="s">
        <v>31129</v>
      </c>
      <c r="V13945" t="s">
        <v>31130</v>
      </c>
      <c r="W13945" t="s">
        <v>49856</v>
      </c>
      <c r="X13945" t="s">
        <v>154</v>
      </c>
      <c r="Y13945" t="s">
        <v>17171</v>
      </c>
      <c r="Z13945" t="s">
        <v>166</v>
      </c>
      <c r="AA13945" s="22" t="str">
        <f>HYPERLINK("https://www.ncbi.nlm.nih.gov/nuccore/AY208120","NCBI Nucleotide")</f>
        <v>NCBI Nucleotide</v>
      </c>
    </row>
    <row r="13946" spans="1:27" x14ac:dyDescent="0.35">
      <c r="A13946">
        <v>1011557</v>
      </c>
      <c r="B13946">
        <v>12779</v>
      </c>
      <c r="C13946">
        <v>43</v>
      </c>
      <c r="D13946" t="s">
        <v>17166</v>
      </c>
      <c r="F13946" t="s">
        <v>17246</v>
      </c>
      <c r="H13946" t="s">
        <v>28921</v>
      </c>
      <c r="J13946" t="s">
        <v>29538</v>
      </c>
      <c r="L13946" t="s">
        <v>30198</v>
      </c>
      <c r="N13946" t="s">
        <v>30487</v>
      </c>
      <c r="O13946" t="s">
        <v>30894</v>
      </c>
      <c r="P13946" t="s">
        <v>30929</v>
      </c>
      <c r="R13946" s="26" t="str">
        <f t="shared" si="54"/>
        <v>Enterovirus betacoxsackie</v>
      </c>
      <c r="S13946" t="s">
        <v>8141</v>
      </c>
      <c r="T13946" t="s">
        <v>31131</v>
      </c>
      <c r="U13946" t="s">
        <v>31132</v>
      </c>
      <c r="V13946" t="s">
        <v>31133</v>
      </c>
      <c r="W13946" t="s">
        <v>49857</v>
      </c>
      <c r="X13946" t="s">
        <v>42</v>
      </c>
      <c r="Y13946" t="s">
        <v>17171</v>
      </c>
      <c r="Z13946" t="s">
        <v>166</v>
      </c>
      <c r="AA13946" s="22" t="str">
        <f>HYPERLINK("https://www.ncbi.nlm.nih.gov/nuccore/AY843297","NCBI Nucleotide")</f>
        <v>NCBI Nucleotide</v>
      </c>
    </row>
    <row r="13947" spans="1:27" x14ac:dyDescent="0.35">
      <c r="A13947">
        <v>1011558</v>
      </c>
      <c r="B13947">
        <v>12779</v>
      </c>
      <c r="C13947">
        <v>44</v>
      </c>
      <c r="D13947" t="s">
        <v>17166</v>
      </c>
      <c r="F13947" t="s">
        <v>17246</v>
      </c>
      <c r="H13947" t="s">
        <v>28921</v>
      </c>
      <c r="J13947" t="s">
        <v>29538</v>
      </c>
      <c r="L13947" t="s">
        <v>30198</v>
      </c>
      <c r="N13947" t="s">
        <v>30487</v>
      </c>
      <c r="O13947" t="s">
        <v>30894</v>
      </c>
      <c r="P13947" t="s">
        <v>30929</v>
      </c>
      <c r="R13947" s="26" t="str">
        <f t="shared" si="54"/>
        <v>Enterovirus betacoxsackie</v>
      </c>
      <c r="S13947" t="s">
        <v>8141</v>
      </c>
      <c r="T13947" t="s">
        <v>31134</v>
      </c>
      <c r="U13947" t="s">
        <v>31135</v>
      </c>
      <c r="V13947" t="s">
        <v>31136</v>
      </c>
      <c r="W13947" t="s">
        <v>49858</v>
      </c>
      <c r="X13947" t="s">
        <v>42</v>
      </c>
      <c r="Y13947" t="s">
        <v>17171</v>
      </c>
      <c r="Z13947" t="s">
        <v>166</v>
      </c>
      <c r="AA13947" s="22" t="str">
        <f>HYPERLINK("https://www.ncbi.nlm.nih.gov/nuccore/AY843298","NCBI Nucleotide")</f>
        <v>NCBI Nucleotide</v>
      </c>
    </row>
    <row r="13948" spans="1:27" x14ac:dyDescent="0.35">
      <c r="A13948">
        <v>1011559</v>
      </c>
      <c r="B13948">
        <v>12779</v>
      </c>
      <c r="C13948">
        <v>45</v>
      </c>
      <c r="D13948" t="s">
        <v>17166</v>
      </c>
      <c r="F13948" t="s">
        <v>17246</v>
      </c>
      <c r="H13948" t="s">
        <v>28921</v>
      </c>
      <c r="J13948" t="s">
        <v>29538</v>
      </c>
      <c r="L13948" t="s">
        <v>30198</v>
      </c>
      <c r="N13948" t="s">
        <v>30487</v>
      </c>
      <c r="O13948" t="s">
        <v>30894</v>
      </c>
      <c r="P13948" t="s">
        <v>30929</v>
      </c>
      <c r="R13948" s="26" t="str">
        <f t="shared" si="54"/>
        <v>Enterovirus betacoxsackie</v>
      </c>
      <c r="S13948" t="s">
        <v>8141</v>
      </c>
      <c r="T13948" t="s">
        <v>31137</v>
      </c>
      <c r="U13948" t="s">
        <v>31138</v>
      </c>
      <c r="V13948" t="s">
        <v>31139</v>
      </c>
      <c r="W13948" t="s">
        <v>49859</v>
      </c>
      <c r="X13948" t="s">
        <v>42</v>
      </c>
      <c r="Y13948" t="s">
        <v>17171</v>
      </c>
      <c r="Z13948" t="s">
        <v>166</v>
      </c>
      <c r="AA13948" s="22" t="str">
        <f>HYPERLINK("https://www.ncbi.nlm.nih.gov/nuccore/AY843299","NCBI Nucleotide")</f>
        <v>NCBI Nucleotide</v>
      </c>
    </row>
    <row r="13949" spans="1:27" x14ac:dyDescent="0.35">
      <c r="A13949">
        <v>1011560</v>
      </c>
      <c r="B13949">
        <v>12779</v>
      </c>
      <c r="C13949">
        <v>46</v>
      </c>
      <c r="D13949" t="s">
        <v>17166</v>
      </c>
      <c r="F13949" t="s">
        <v>17246</v>
      </c>
      <c r="H13949" t="s">
        <v>28921</v>
      </c>
      <c r="J13949" t="s">
        <v>29538</v>
      </c>
      <c r="L13949" t="s">
        <v>30198</v>
      </c>
      <c r="N13949" t="s">
        <v>30487</v>
      </c>
      <c r="O13949" t="s">
        <v>30894</v>
      </c>
      <c r="P13949" t="s">
        <v>30929</v>
      </c>
      <c r="R13949" s="26" t="str">
        <f t="shared" si="54"/>
        <v>Enterovirus betacoxsackie</v>
      </c>
      <c r="S13949" t="s">
        <v>8141</v>
      </c>
      <c r="T13949" t="s">
        <v>31140</v>
      </c>
      <c r="U13949" t="s">
        <v>31141</v>
      </c>
      <c r="V13949" t="s">
        <v>31142</v>
      </c>
      <c r="W13949" t="s">
        <v>49860</v>
      </c>
      <c r="X13949" t="s">
        <v>42</v>
      </c>
      <c r="Y13949" t="s">
        <v>17171</v>
      </c>
      <c r="Z13949" t="s">
        <v>166</v>
      </c>
      <c r="AA13949" s="22" t="str">
        <f>HYPERLINK("https://www.ncbi.nlm.nih.gov/nuccore/AY843300","NCBI Nucleotide")</f>
        <v>NCBI Nucleotide</v>
      </c>
    </row>
    <row r="13950" spans="1:27" x14ac:dyDescent="0.35">
      <c r="A13950">
        <v>1011561</v>
      </c>
      <c r="B13950">
        <v>12779</v>
      </c>
      <c r="C13950">
        <v>47</v>
      </c>
      <c r="D13950" t="s">
        <v>17166</v>
      </c>
      <c r="F13950" t="s">
        <v>17246</v>
      </c>
      <c r="H13950" t="s">
        <v>28921</v>
      </c>
      <c r="J13950" t="s">
        <v>29538</v>
      </c>
      <c r="L13950" t="s">
        <v>30198</v>
      </c>
      <c r="N13950" t="s">
        <v>30487</v>
      </c>
      <c r="O13950" t="s">
        <v>30894</v>
      </c>
      <c r="P13950" t="s">
        <v>30929</v>
      </c>
      <c r="R13950" s="26" t="str">
        <f t="shared" si="54"/>
        <v>Enterovirus betacoxsackie</v>
      </c>
      <c r="S13950" t="s">
        <v>8141</v>
      </c>
      <c r="T13950" t="s">
        <v>31143</v>
      </c>
      <c r="U13950" t="s">
        <v>31144</v>
      </c>
      <c r="V13950" t="s">
        <v>31145</v>
      </c>
      <c r="W13950" t="s">
        <v>49861</v>
      </c>
      <c r="X13950" t="s">
        <v>42</v>
      </c>
      <c r="Y13950" t="s">
        <v>17171</v>
      </c>
      <c r="Z13950" t="s">
        <v>166</v>
      </c>
      <c r="AA13950" s="22" t="str">
        <f>HYPERLINK("https://www.ncbi.nlm.nih.gov/nuccore/AY843301","NCBI Nucleotide")</f>
        <v>NCBI Nucleotide</v>
      </c>
    </row>
    <row r="13951" spans="1:27" x14ac:dyDescent="0.35">
      <c r="A13951">
        <v>1011562</v>
      </c>
      <c r="B13951">
        <v>12779</v>
      </c>
      <c r="C13951">
        <v>48</v>
      </c>
      <c r="D13951" t="s">
        <v>17166</v>
      </c>
      <c r="F13951" t="s">
        <v>17246</v>
      </c>
      <c r="H13951" t="s">
        <v>28921</v>
      </c>
      <c r="J13951" t="s">
        <v>29538</v>
      </c>
      <c r="L13951" t="s">
        <v>30198</v>
      </c>
      <c r="N13951" t="s">
        <v>30487</v>
      </c>
      <c r="O13951" t="s">
        <v>30894</v>
      </c>
      <c r="P13951" t="s">
        <v>30929</v>
      </c>
      <c r="R13951" s="26" t="str">
        <f t="shared" si="54"/>
        <v>Enterovirus betacoxsackie</v>
      </c>
      <c r="S13951" t="s">
        <v>8141</v>
      </c>
      <c r="T13951" t="s">
        <v>31146</v>
      </c>
      <c r="U13951" t="s">
        <v>31147</v>
      </c>
      <c r="V13951" t="s">
        <v>31148</v>
      </c>
      <c r="W13951" t="s">
        <v>49862</v>
      </c>
      <c r="X13951" t="s">
        <v>42</v>
      </c>
      <c r="Y13951" t="s">
        <v>17171</v>
      </c>
      <c r="Z13951" t="s">
        <v>166</v>
      </c>
      <c r="AA13951" s="22" t="str">
        <f>HYPERLINK("https://www.ncbi.nlm.nih.gov/nuccore/DQ902712","NCBI Nucleotide")</f>
        <v>NCBI Nucleotide</v>
      </c>
    </row>
    <row r="13952" spans="1:27" x14ac:dyDescent="0.35">
      <c r="A13952">
        <v>1011563</v>
      </c>
      <c r="B13952">
        <v>12779</v>
      </c>
      <c r="C13952">
        <v>49</v>
      </c>
      <c r="D13952" t="s">
        <v>17166</v>
      </c>
      <c r="F13952" t="s">
        <v>17246</v>
      </c>
      <c r="H13952" t="s">
        <v>28921</v>
      </c>
      <c r="J13952" t="s">
        <v>29538</v>
      </c>
      <c r="L13952" t="s">
        <v>30198</v>
      </c>
      <c r="N13952" t="s">
        <v>30487</v>
      </c>
      <c r="O13952" t="s">
        <v>30894</v>
      </c>
      <c r="P13952" t="s">
        <v>30929</v>
      </c>
      <c r="R13952" s="26" t="str">
        <f t="shared" si="54"/>
        <v>Enterovirus betacoxsackie</v>
      </c>
      <c r="S13952" t="s">
        <v>8141</v>
      </c>
      <c r="T13952" t="s">
        <v>31149</v>
      </c>
      <c r="U13952" t="s">
        <v>31150</v>
      </c>
      <c r="V13952" t="s">
        <v>31151</v>
      </c>
      <c r="W13952" t="s">
        <v>49863</v>
      </c>
      <c r="X13952" t="s">
        <v>42</v>
      </c>
      <c r="Y13952" t="s">
        <v>17171</v>
      </c>
      <c r="Z13952" t="s">
        <v>166</v>
      </c>
      <c r="AA13952" s="22" t="str">
        <f>HYPERLINK("https://www.ncbi.nlm.nih.gov/nuccore/AY843303","NCBI Nucleotide")</f>
        <v>NCBI Nucleotide</v>
      </c>
    </row>
    <row r="13953" spans="1:27" x14ac:dyDescent="0.35">
      <c r="A13953">
        <v>1011564</v>
      </c>
      <c r="B13953">
        <v>12779</v>
      </c>
      <c r="C13953">
        <v>50</v>
      </c>
      <c r="D13953" t="s">
        <v>17166</v>
      </c>
      <c r="F13953" t="s">
        <v>17246</v>
      </c>
      <c r="H13953" t="s">
        <v>28921</v>
      </c>
      <c r="J13953" t="s">
        <v>29538</v>
      </c>
      <c r="L13953" t="s">
        <v>30198</v>
      </c>
      <c r="N13953" t="s">
        <v>30487</v>
      </c>
      <c r="O13953" t="s">
        <v>30894</v>
      </c>
      <c r="P13953" t="s">
        <v>30929</v>
      </c>
      <c r="R13953" s="26" t="str">
        <f t="shared" si="54"/>
        <v>Enterovirus betacoxsackie</v>
      </c>
      <c r="S13953" t="s">
        <v>8141</v>
      </c>
      <c r="T13953" t="s">
        <v>31152</v>
      </c>
      <c r="U13953" t="s">
        <v>31153</v>
      </c>
      <c r="V13953" t="s">
        <v>31154</v>
      </c>
      <c r="W13953" t="s">
        <v>49864</v>
      </c>
      <c r="X13953" t="s">
        <v>42</v>
      </c>
      <c r="Y13953" t="s">
        <v>17171</v>
      </c>
      <c r="Z13953" t="s">
        <v>166</v>
      </c>
      <c r="AA13953" s="22" t="str">
        <f>HYPERLINK("https://www.ncbi.nlm.nih.gov/nuccore/AY843304","NCBI Nucleotide")</f>
        <v>NCBI Nucleotide</v>
      </c>
    </row>
    <row r="13954" spans="1:27" x14ac:dyDescent="0.35">
      <c r="A13954">
        <v>1011565</v>
      </c>
      <c r="B13954">
        <v>12779</v>
      </c>
      <c r="C13954">
        <v>51</v>
      </c>
      <c r="D13954" t="s">
        <v>17166</v>
      </c>
      <c r="F13954" t="s">
        <v>17246</v>
      </c>
      <c r="H13954" t="s">
        <v>28921</v>
      </c>
      <c r="J13954" t="s">
        <v>29538</v>
      </c>
      <c r="L13954" t="s">
        <v>30198</v>
      </c>
      <c r="N13954" t="s">
        <v>30487</v>
      </c>
      <c r="O13954" t="s">
        <v>30894</v>
      </c>
      <c r="P13954" t="s">
        <v>30929</v>
      </c>
      <c r="R13954" s="26" t="str">
        <f t="shared" si="54"/>
        <v>Enterovirus betacoxsackie</v>
      </c>
      <c r="S13954" t="s">
        <v>8141</v>
      </c>
      <c r="T13954" t="s">
        <v>31155</v>
      </c>
      <c r="U13954" t="s">
        <v>31156</v>
      </c>
      <c r="V13954" t="s">
        <v>31157</v>
      </c>
      <c r="W13954" t="s">
        <v>49865</v>
      </c>
      <c r="X13954" t="s">
        <v>42</v>
      </c>
      <c r="Y13954" t="s">
        <v>17171</v>
      </c>
      <c r="Z13954" t="s">
        <v>166</v>
      </c>
      <c r="AA13954" s="22" t="str">
        <f>HYPERLINK("https://www.ncbi.nlm.nih.gov/nuccore/AY843305","NCBI Nucleotide")</f>
        <v>NCBI Nucleotide</v>
      </c>
    </row>
    <row r="13955" spans="1:27" x14ac:dyDescent="0.35">
      <c r="A13955">
        <v>1011566</v>
      </c>
      <c r="B13955">
        <v>12779</v>
      </c>
      <c r="C13955">
        <v>52</v>
      </c>
      <c r="D13955" t="s">
        <v>17166</v>
      </c>
      <c r="F13955" t="s">
        <v>17246</v>
      </c>
      <c r="H13955" t="s">
        <v>28921</v>
      </c>
      <c r="J13955" t="s">
        <v>29538</v>
      </c>
      <c r="L13955" t="s">
        <v>30198</v>
      </c>
      <c r="N13955" t="s">
        <v>30487</v>
      </c>
      <c r="O13955" t="s">
        <v>30894</v>
      </c>
      <c r="P13955" t="s">
        <v>30929</v>
      </c>
      <c r="R13955" s="26" t="str">
        <f t="shared" si="54"/>
        <v>Enterovirus betacoxsackie</v>
      </c>
      <c r="S13955" t="s">
        <v>8141</v>
      </c>
      <c r="T13955" t="s">
        <v>31158</v>
      </c>
      <c r="U13955" t="s">
        <v>31159</v>
      </c>
      <c r="V13955" t="s">
        <v>31160</v>
      </c>
      <c r="W13955" t="s">
        <v>49866</v>
      </c>
      <c r="X13955" t="s">
        <v>42</v>
      </c>
      <c r="Y13955" t="s">
        <v>17171</v>
      </c>
      <c r="Z13955" t="s">
        <v>166</v>
      </c>
      <c r="AA13955" s="22" t="str">
        <f>HYPERLINK("https://www.ncbi.nlm.nih.gov/nuccore/AY843306","NCBI Nucleotide")</f>
        <v>NCBI Nucleotide</v>
      </c>
    </row>
    <row r="13956" spans="1:27" x14ac:dyDescent="0.35">
      <c r="A13956">
        <v>1011567</v>
      </c>
      <c r="B13956">
        <v>12779</v>
      </c>
      <c r="C13956">
        <v>53</v>
      </c>
      <c r="D13956" t="s">
        <v>17166</v>
      </c>
      <c r="F13956" t="s">
        <v>17246</v>
      </c>
      <c r="H13956" t="s">
        <v>28921</v>
      </c>
      <c r="J13956" t="s">
        <v>29538</v>
      </c>
      <c r="L13956" t="s">
        <v>30198</v>
      </c>
      <c r="N13956" t="s">
        <v>30487</v>
      </c>
      <c r="O13956" t="s">
        <v>30894</v>
      </c>
      <c r="P13956" t="s">
        <v>30929</v>
      </c>
      <c r="R13956" s="26" t="str">
        <f t="shared" si="54"/>
        <v>Enterovirus betacoxsackie</v>
      </c>
      <c r="S13956" t="s">
        <v>8141</v>
      </c>
      <c r="T13956" t="s">
        <v>31161</v>
      </c>
      <c r="U13956" t="s">
        <v>31162</v>
      </c>
      <c r="V13956" t="s">
        <v>31163</v>
      </c>
      <c r="W13956" t="s">
        <v>49867</v>
      </c>
      <c r="X13956" t="s">
        <v>154</v>
      </c>
      <c r="Y13956" t="s">
        <v>17171</v>
      </c>
      <c r="Z13956" t="s">
        <v>166</v>
      </c>
      <c r="AA13956" s="22" t="str">
        <f>HYPERLINK("https://www.ncbi.nlm.nih.gov/nuccore/KM273013","NCBI Nucleotide")</f>
        <v>NCBI Nucleotide</v>
      </c>
    </row>
    <row r="13957" spans="1:27" x14ac:dyDescent="0.35">
      <c r="A13957">
        <v>1011568</v>
      </c>
      <c r="B13957">
        <v>12779</v>
      </c>
      <c r="C13957">
        <v>54</v>
      </c>
      <c r="D13957" t="s">
        <v>17166</v>
      </c>
      <c r="F13957" t="s">
        <v>17246</v>
      </c>
      <c r="H13957" t="s">
        <v>28921</v>
      </c>
      <c r="J13957" t="s">
        <v>29538</v>
      </c>
      <c r="L13957" t="s">
        <v>30198</v>
      </c>
      <c r="N13957" t="s">
        <v>30487</v>
      </c>
      <c r="O13957" t="s">
        <v>30894</v>
      </c>
      <c r="P13957" t="s">
        <v>30929</v>
      </c>
      <c r="R13957" s="26" t="str">
        <f t="shared" si="54"/>
        <v>Enterovirus betacoxsackie</v>
      </c>
      <c r="S13957" t="s">
        <v>8141</v>
      </c>
      <c r="T13957" t="s">
        <v>31164</v>
      </c>
      <c r="U13957" t="s">
        <v>31165</v>
      </c>
      <c r="V13957" t="s">
        <v>31166</v>
      </c>
      <c r="W13957" t="s">
        <v>49868</v>
      </c>
      <c r="X13957" t="s">
        <v>42</v>
      </c>
      <c r="Y13957" t="s">
        <v>17171</v>
      </c>
      <c r="Z13957" t="s">
        <v>166</v>
      </c>
      <c r="AA13957" s="22" t="str">
        <f>HYPERLINK("https://www.ncbi.nlm.nih.gov/nuccore/AY843307","NCBI Nucleotide")</f>
        <v>NCBI Nucleotide</v>
      </c>
    </row>
    <row r="13958" spans="1:27" x14ac:dyDescent="0.35">
      <c r="A13958">
        <v>1011569</v>
      </c>
      <c r="B13958">
        <v>12779</v>
      </c>
      <c r="C13958">
        <v>55</v>
      </c>
      <c r="D13958" t="s">
        <v>17166</v>
      </c>
      <c r="F13958" t="s">
        <v>17246</v>
      </c>
      <c r="H13958" t="s">
        <v>28921</v>
      </c>
      <c r="J13958" t="s">
        <v>29538</v>
      </c>
      <c r="L13958" t="s">
        <v>30198</v>
      </c>
      <c r="N13958" t="s">
        <v>30487</v>
      </c>
      <c r="O13958" t="s">
        <v>30894</v>
      </c>
      <c r="P13958" t="s">
        <v>30929</v>
      </c>
      <c r="R13958" s="26" t="str">
        <f t="shared" si="54"/>
        <v>Enterovirus betacoxsackie</v>
      </c>
      <c r="S13958" t="s">
        <v>8141</v>
      </c>
      <c r="T13958" t="s">
        <v>31167</v>
      </c>
      <c r="U13958" t="s">
        <v>31168</v>
      </c>
      <c r="V13958" t="s">
        <v>31169</v>
      </c>
      <c r="W13958" t="s">
        <v>49869</v>
      </c>
      <c r="X13958" t="s">
        <v>42</v>
      </c>
      <c r="Y13958" t="s">
        <v>17171</v>
      </c>
      <c r="Z13958" t="s">
        <v>166</v>
      </c>
      <c r="AA13958" s="22" t="str">
        <f>HYPERLINK("https://www.ncbi.nlm.nih.gov/nuccore/AB426608","NCBI Nucleotide")</f>
        <v>NCBI Nucleotide</v>
      </c>
    </row>
    <row r="13959" spans="1:27" x14ac:dyDescent="0.35">
      <c r="A13959">
        <v>1011570</v>
      </c>
      <c r="B13959">
        <v>12779</v>
      </c>
      <c r="C13959">
        <v>56</v>
      </c>
      <c r="D13959" t="s">
        <v>17166</v>
      </c>
      <c r="F13959" t="s">
        <v>17246</v>
      </c>
      <c r="H13959" t="s">
        <v>28921</v>
      </c>
      <c r="J13959" t="s">
        <v>29538</v>
      </c>
      <c r="L13959" t="s">
        <v>30198</v>
      </c>
      <c r="N13959" t="s">
        <v>30487</v>
      </c>
      <c r="O13959" t="s">
        <v>30894</v>
      </c>
      <c r="P13959" t="s">
        <v>30929</v>
      </c>
      <c r="R13959" s="26" t="str">
        <f t="shared" si="54"/>
        <v>Enterovirus betacoxsackie</v>
      </c>
      <c r="S13959" t="s">
        <v>8141</v>
      </c>
      <c r="T13959" t="s">
        <v>31170</v>
      </c>
      <c r="U13959" t="s">
        <v>31171</v>
      </c>
      <c r="V13959" t="s">
        <v>31172</v>
      </c>
      <c r="W13959" t="s">
        <v>49870</v>
      </c>
      <c r="X13959" t="s">
        <v>42</v>
      </c>
      <c r="Y13959" t="s">
        <v>17171</v>
      </c>
      <c r="Z13959" t="s">
        <v>166</v>
      </c>
      <c r="AA13959" s="22" t="str">
        <f>HYPERLINK("https://www.ncbi.nlm.nih.gov/nuccore/DQ902713","NCBI Nucleotide")</f>
        <v>NCBI Nucleotide</v>
      </c>
    </row>
    <row r="13960" spans="1:27" x14ac:dyDescent="0.35">
      <c r="A13960">
        <v>1011571</v>
      </c>
      <c r="B13960">
        <v>12779</v>
      </c>
      <c r="C13960">
        <v>57</v>
      </c>
      <c r="D13960" t="s">
        <v>17166</v>
      </c>
      <c r="F13960" t="s">
        <v>17246</v>
      </c>
      <c r="H13960" t="s">
        <v>28921</v>
      </c>
      <c r="J13960" t="s">
        <v>29538</v>
      </c>
      <c r="L13960" t="s">
        <v>30198</v>
      </c>
      <c r="N13960" t="s">
        <v>30487</v>
      </c>
      <c r="O13960" t="s">
        <v>30894</v>
      </c>
      <c r="P13960" t="s">
        <v>30929</v>
      </c>
      <c r="R13960" s="26" t="str">
        <f t="shared" si="54"/>
        <v>Enterovirus betacoxsackie</v>
      </c>
      <c r="S13960" t="s">
        <v>8141</v>
      </c>
      <c r="T13960" t="s">
        <v>31173</v>
      </c>
      <c r="U13960" t="s">
        <v>31174</v>
      </c>
      <c r="V13960" t="s">
        <v>31175</v>
      </c>
      <c r="W13960" t="s">
        <v>49871</v>
      </c>
      <c r="X13960" t="s">
        <v>42</v>
      </c>
      <c r="Y13960" t="s">
        <v>17171</v>
      </c>
      <c r="Z13960" t="s">
        <v>166</v>
      </c>
      <c r="AA13960" s="22" t="str">
        <f>HYPERLINK("https://www.ncbi.nlm.nih.gov/nuccore/AY843308","NCBI Nucleotide")</f>
        <v>NCBI Nucleotide</v>
      </c>
    </row>
    <row r="13961" spans="1:27" x14ac:dyDescent="0.35">
      <c r="A13961">
        <v>1011572</v>
      </c>
      <c r="B13961">
        <v>12779</v>
      </c>
      <c r="C13961">
        <v>58</v>
      </c>
      <c r="D13961" t="s">
        <v>17166</v>
      </c>
      <c r="F13961" t="s">
        <v>17246</v>
      </c>
      <c r="H13961" t="s">
        <v>28921</v>
      </c>
      <c r="J13961" t="s">
        <v>29538</v>
      </c>
      <c r="L13961" t="s">
        <v>30198</v>
      </c>
      <c r="N13961" t="s">
        <v>30487</v>
      </c>
      <c r="O13961" t="s">
        <v>30894</v>
      </c>
      <c r="P13961" t="s">
        <v>30929</v>
      </c>
      <c r="R13961" s="26" t="str">
        <f t="shared" si="54"/>
        <v>Enterovirus betacoxsackie</v>
      </c>
      <c r="S13961" t="s">
        <v>8141</v>
      </c>
      <c r="T13961" t="s">
        <v>31176</v>
      </c>
      <c r="U13961" t="s">
        <v>31177</v>
      </c>
      <c r="V13961" t="s">
        <v>31178</v>
      </c>
      <c r="W13961" t="s">
        <v>49872</v>
      </c>
      <c r="X13961" t="s">
        <v>42</v>
      </c>
      <c r="Y13961" t="s">
        <v>17171</v>
      </c>
      <c r="Z13961" t="s">
        <v>166</v>
      </c>
      <c r="AA13961" s="22" t="str">
        <f>HYPERLINK("https://www.ncbi.nlm.nih.gov/nuccore/KF990476","NCBI Nucleotide")</f>
        <v>NCBI Nucleotide</v>
      </c>
    </row>
    <row r="13962" spans="1:27" x14ac:dyDescent="0.35">
      <c r="A13962">
        <v>1011573</v>
      </c>
      <c r="B13962">
        <v>12779</v>
      </c>
      <c r="C13962">
        <v>59</v>
      </c>
      <c r="D13962" t="s">
        <v>17166</v>
      </c>
      <c r="F13962" t="s">
        <v>17246</v>
      </c>
      <c r="H13962" t="s">
        <v>28921</v>
      </c>
      <c r="J13962" t="s">
        <v>29538</v>
      </c>
      <c r="L13962" t="s">
        <v>30198</v>
      </c>
      <c r="N13962" t="s">
        <v>30487</v>
      </c>
      <c r="O13962" t="s">
        <v>30894</v>
      </c>
      <c r="P13962" t="s">
        <v>30929</v>
      </c>
      <c r="R13962" s="26" t="str">
        <f t="shared" si="54"/>
        <v>Enterovirus betacoxsackie</v>
      </c>
      <c r="S13962" t="s">
        <v>8141</v>
      </c>
      <c r="T13962" t="s">
        <v>31179</v>
      </c>
      <c r="U13962" t="s">
        <v>31180</v>
      </c>
      <c r="V13962" t="s">
        <v>31181</v>
      </c>
      <c r="W13962" t="s">
        <v>49873</v>
      </c>
      <c r="X13962" t="s">
        <v>42</v>
      </c>
      <c r="Y13962" t="s">
        <v>17171</v>
      </c>
      <c r="Z13962" t="s">
        <v>166</v>
      </c>
      <c r="AA13962" s="22" t="str">
        <f>HYPERLINK("https://www.ncbi.nlm.nih.gov/nuccore/AB426609","NCBI Nucleotide")</f>
        <v>NCBI Nucleotide</v>
      </c>
    </row>
    <row r="13963" spans="1:27" x14ac:dyDescent="0.35">
      <c r="A13963">
        <v>1011574</v>
      </c>
      <c r="B13963">
        <v>12779</v>
      </c>
      <c r="C13963">
        <v>60</v>
      </c>
      <c r="D13963" t="s">
        <v>17166</v>
      </c>
      <c r="F13963" t="s">
        <v>17246</v>
      </c>
      <c r="H13963" t="s">
        <v>28921</v>
      </c>
      <c r="J13963" t="s">
        <v>29538</v>
      </c>
      <c r="L13963" t="s">
        <v>30198</v>
      </c>
      <c r="N13963" t="s">
        <v>30487</v>
      </c>
      <c r="O13963" t="s">
        <v>30894</v>
      </c>
      <c r="P13963" t="s">
        <v>30929</v>
      </c>
      <c r="R13963" s="26" t="str">
        <f t="shared" si="54"/>
        <v>Enterovirus betacoxsackie</v>
      </c>
      <c r="S13963" t="s">
        <v>8141</v>
      </c>
      <c r="T13963" t="s">
        <v>31182</v>
      </c>
      <c r="U13963" t="s">
        <v>31183</v>
      </c>
      <c r="V13963" t="s">
        <v>31184</v>
      </c>
      <c r="W13963" t="s">
        <v>49874</v>
      </c>
      <c r="X13963" t="s">
        <v>154</v>
      </c>
      <c r="Y13963" t="s">
        <v>17171</v>
      </c>
      <c r="Z13963" t="s">
        <v>166</v>
      </c>
      <c r="AA13963" s="22" t="str">
        <f>HYPERLINK("https://www.ncbi.nlm.nih.gov/nuccore/JF416928,JF416931,JF416934,JF416937","NCBI Nucleotide")</f>
        <v>NCBI Nucleotide</v>
      </c>
    </row>
    <row r="13964" spans="1:27" x14ac:dyDescent="0.35">
      <c r="A13964">
        <v>1011575</v>
      </c>
      <c r="B13964">
        <v>12779</v>
      </c>
      <c r="C13964">
        <v>61</v>
      </c>
      <c r="D13964" t="s">
        <v>17166</v>
      </c>
      <c r="F13964" t="s">
        <v>17246</v>
      </c>
      <c r="H13964" t="s">
        <v>28921</v>
      </c>
      <c r="J13964" t="s">
        <v>29538</v>
      </c>
      <c r="L13964" t="s">
        <v>30198</v>
      </c>
      <c r="N13964" t="s">
        <v>30487</v>
      </c>
      <c r="O13964" t="s">
        <v>30894</v>
      </c>
      <c r="P13964" t="s">
        <v>30929</v>
      </c>
      <c r="R13964" s="26" t="str">
        <f t="shared" si="54"/>
        <v>Enterovirus betacoxsackie</v>
      </c>
      <c r="S13964" t="s">
        <v>8141</v>
      </c>
      <c r="T13964" t="s">
        <v>31185</v>
      </c>
      <c r="U13964" t="s">
        <v>31186</v>
      </c>
      <c r="V13964" t="s">
        <v>31187</v>
      </c>
      <c r="W13964" t="s">
        <v>49875</v>
      </c>
      <c r="X13964" t="s">
        <v>42</v>
      </c>
      <c r="Y13964" t="s">
        <v>17171</v>
      </c>
      <c r="Z13964" t="s">
        <v>166</v>
      </c>
      <c r="AA13964" s="22" t="str">
        <f>HYPERLINK("https://www.ncbi.nlm.nih.gov/nuccore/KF312882","NCBI Nucleotide")</f>
        <v>NCBI Nucleotide</v>
      </c>
    </row>
    <row r="13965" spans="1:27" x14ac:dyDescent="0.35">
      <c r="A13965">
        <v>1011576</v>
      </c>
      <c r="B13965">
        <v>12779</v>
      </c>
      <c r="C13965">
        <v>62</v>
      </c>
      <c r="D13965" t="s">
        <v>17166</v>
      </c>
      <c r="F13965" t="s">
        <v>17246</v>
      </c>
      <c r="H13965" t="s">
        <v>28921</v>
      </c>
      <c r="J13965" t="s">
        <v>29538</v>
      </c>
      <c r="L13965" t="s">
        <v>30198</v>
      </c>
      <c r="N13965" t="s">
        <v>30487</v>
      </c>
      <c r="O13965" t="s">
        <v>30894</v>
      </c>
      <c r="P13965" t="s">
        <v>30929</v>
      </c>
      <c r="R13965" s="26" t="str">
        <f t="shared" si="54"/>
        <v>Enterovirus betacoxsackie</v>
      </c>
      <c r="S13965" t="s">
        <v>8141</v>
      </c>
      <c r="T13965" t="s">
        <v>31188</v>
      </c>
      <c r="U13965" t="s">
        <v>31189</v>
      </c>
      <c r="V13965" t="s">
        <v>31190</v>
      </c>
      <c r="W13965" t="s">
        <v>49876</v>
      </c>
      <c r="X13965" t="s">
        <v>42</v>
      </c>
      <c r="Y13965" t="s">
        <v>17171</v>
      </c>
      <c r="Z13965" t="s">
        <v>166</v>
      </c>
      <c r="AA13965" s="22" t="str">
        <f>HYPERLINK("https://www.ncbi.nlm.nih.gov/nuccore/KJ418244","NCBI Nucleotide")</f>
        <v>NCBI Nucleotide</v>
      </c>
    </row>
    <row r="13966" spans="1:27" x14ac:dyDescent="0.35">
      <c r="A13966">
        <v>1011577</v>
      </c>
      <c r="B13966">
        <v>12779</v>
      </c>
      <c r="C13966">
        <v>63</v>
      </c>
      <c r="D13966" t="s">
        <v>17166</v>
      </c>
      <c r="F13966" t="s">
        <v>17246</v>
      </c>
      <c r="H13966" t="s">
        <v>28921</v>
      </c>
      <c r="J13966" t="s">
        <v>29538</v>
      </c>
      <c r="L13966" t="s">
        <v>30198</v>
      </c>
      <c r="N13966" t="s">
        <v>30487</v>
      </c>
      <c r="O13966" t="s">
        <v>30894</v>
      </c>
      <c r="P13966" t="s">
        <v>30929</v>
      </c>
      <c r="R13966" s="26" t="str">
        <f t="shared" si="54"/>
        <v>Enterovirus betacoxsackie</v>
      </c>
      <c r="S13966" t="s">
        <v>8141</v>
      </c>
      <c r="T13966" t="s">
        <v>31191</v>
      </c>
      <c r="U13966" t="s">
        <v>31192</v>
      </c>
      <c r="V13966" t="s">
        <v>31193</v>
      </c>
      <c r="W13966" t="s">
        <v>49877</v>
      </c>
      <c r="X13966" t="s">
        <v>42</v>
      </c>
      <c r="Y13966" t="s">
        <v>17171</v>
      </c>
      <c r="Z13966" t="s">
        <v>166</v>
      </c>
      <c r="AA13966" s="22" t="str">
        <f>HYPERLINK("https://www.ncbi.nlm.nih.gov/nuccore/KJ701249","NCBI Nucleotide")</f>
        <v>NCBI Nucleotide</v>
      </c>
    </row>
    <row r="13967" spans="1:27" x14ac:dyDescent="0.35">
      <c r="A13967">
        <v>1011578</v>
      </c>
      <c r="B13967">
        <v>12779</v>
      </c>
      <c r="C13967">
        <v>64</v>
      </c>
      <c r="D13967" t="s">
        <v>17166</v>
      </c>
      <c r="F13967" t="s">
        <v>17246</v>
      </c>
      <c r="H13967" t="s">
        <v>28921</v>
      </c>
      <c r="J13967" t="s">
        <v>29538</v>
      </c>
      <c r="L13967" t="s">
        <v>30198</v>
      </c>
      <c r="N13967" t="s">
        <v>30487</v>
      </c>
      <c r="O13967" t="s">
        <v>30894</v>
      </c>
      <c r="P13967" t="s">
        <v>30929</v>
      </c>
      <c r="R13967" s="26" t="str">
        <f t="shared" si="54"/>
        <v>Enterovirus betacoxsackie</v>
      </c>
      <c r="S13967" t="s">
        <v>8141</v>
      </c>
      <c r="T13967" t="s">
        <v>31194</v>
      </c>
      <c r="U13967" t="s">
        <v>31195</v>
      </c>
      <c r="V13967" t="s">
        <v>31196</v>
      </c>
      <c r="W13967" t="s">
        <v>49878</v>
      </c>
      <c r="X13967" t="s">
        <v>42</v>
      </c>
      <c r="Y13967" t="s">
        <v>17171</v>
      </c>
      <c r="Z13967" t="s">
        <v>166</v>
      </c>
      <c r="AA13967" s="22" t="str">
        <f>HYPERLINK("https://www.ncbi.nlm.nih.gov/nuccore/AF326751","NCBI Nucleotide")</f>
        <v>NCBI Nucleotide</v>
      </c>
    </row>
    <row r="13968" spans="1:27" x14ac:dyDescent="0.35">
      <c r="A13968">
        <v>1002183</v>
      </c>
      <c r="B13968">
        <v>12780</v>
      </c>
      <c r="C13968">
        <v>1</v>
      </c>
      <c r="D13968" t="s">
        <v>17166</v>
      </c>
      <c r="F13968" t="s">
        <v>17246</v>
      </c>
      <c r="H13968" t="s">
        <v>28921</v>
      </c>
      <c r="J13968" t="s">
        <v>29538</v>
      </c>
      <c r="L13968" t="s">
        <v>30198</v>
      </c>
      <c r="N13968" t="s">
        <v>30487</v>
      </c>
      <c r="O13968" t="s">
        <v>30894</v>
      </c>
      <c r="P13968" t="s">
        <v>30929</v>
      </c>
      <c r="R13968" s="26" t="str">
        <f t="shared" ref="R13968:R13997" si="55">HYPERLINK("https://ictv.global/taxonomy/taxondetails?taxnode_id=202301994","Enterovirus betarhino")</f>
        <v>Enterovirus betarhino</v>
      </c>
      <c r="S13968" t="s">
        <v>30</v>
      </c>
      <c r="T13968" t="s">
        <v>31661</v>
      </c>
      <c r="U13968" t="s">
        <v>31662</v>
      </c>
      <c r="V13968" t="s">
        <v>31663</v>
      </c>
      <c r="W13968" t="s">
        <v>31664</v>
      </c>
      <c r="X13968" t="s">
        <v>42</v>
      </c>
      <c r="Y13968" t="s">
        <v>17171</v>
      </c>
      <c r="Z13968" t="s">
        <v>166</v>
      </c>
      <c r="AA13968" s="22" t="str">
        <f>HYPERLINK("https://www.ncbi.nlm.nih.gov/nuccore/DQ473485","NCBI Nucleotide")</f>
        <v>NCBI Nucleotide</v>
      </c>
    </row>
    <row r="13969" spans="1:27" x14ac:dyDescent="0.35">
      <c r="A13969">
        <v>1011749</v>
      </c>
      <c r="B13969">
        <v>12780</v>
      </c>
      <c r="C13969">
        <v>2</v>
      </c>
      <c r="D13969" t="s">
        <v>17166</v>
      </c>
      <c r="F13969" t="s">
        <v>17246</v>
      </c>
      <c r="H13969" t="s">
        <v>28921</v>
      </c>
      <c r="J13969" t="s">
        <v>29538</v>
      </c>
      <c r="L13969" t="s">
        <v>30198</v>
      </c>
      <c r="N13969" t="s">
        <v>30487</v>
      </c>
      <c r="O13969" t="s">
        <v>30894</v>
      </c>
      <c r="P13969" t="s">
        <v>30929</v>
      </c>
      <c r="R13969" s="26" t="str">
        <f t="shared" si="55"/>
        <v>Enterovirus betarhino</v>
      </c>
      <c r="S13969" t="s">
        <v>8141</v>
      </c>
      <c r="T13969" t="s">
        <v>31665</v>
      </c>
      <c r="U13969" t="s">
        <v>31666</v>
      </c>
      <c r="V13969" t="s">
        <v>31667</v>
      </c>
      <c r="W13969" t="s">
        <v>49879</v>
      </c>
      <c r="X13969" t="s">
        <v>42</v>
      </c>
      <c r="Y13969" t="s">
        <v>17171</v>
      </c>
      <c r="Z13969" t="s">
        <v>166</v>
      </c>
      <c r="AA13969" s="22" t="str">
        <f>HYPERLINK("https://www.ncbi.nlm.nih.gov/nuccore/DQ473490","NCBI Nucleotide")</f>
        <v>NCBI Nucleotide</v>
      </c>
    </row>
    <row r="13970" spans="1:27" x14ac:dyDescent="0.35">
      <c r="A13970">
        <v>1011750</v>
      </c>
      <c r="B13970">
        <v>12780</v>
      </c>
      <c r="C13970">
        <v>3</v>
      </c>
      <c r="D13970" t="s">
        <v>17166</v>
      </c>
      <c r="F13970" t="s">
        <v>17246</v>
      </c>
      <c r="H13970" t="s">
        <v>28921</v>
      </c>
      <c r="J13970" t="s">
        <v>29538</v>
      </c>
      <c r="L13970" t="s">
        <v>30198</v>
      </c>
      <c r="N13970" t="s">
        <v>30487</v>
      </c>
      <c r="O13970" t="s">
        <v>30894</v>
      </c>
      <c r="P13970" t="s">
        <v>30929</v>
      </c>
      <c r="R13970" s="26" t="str">
        <f t="shared" si="55"/>
        <v>Enterovirus betarhino</v>
      </c>
      <c r="S13970" t="s">
        <v>8141</v>
      </c>
      <c r="T13970" t="s">
        <v>31668</v>
      </c>
      <c r="U13970" t="s">
        <v>31669</v>
      </c>
      <c r="V13970" t="s">
        <v>31670</v>
      </c>
      <c r="W13970" t="s">
        <v>49880</v>
      </c>
      <c r="X13970" t="s">
        <v>42</v>
      </c>
      <c r="Y13970" t="s">
        <v>17171</v>
      </c>
      <c r="Z13970" t="s">
        <v>166</v>
      </c>
      <c r="AA13970" s="22" t="str">
        <f>HYPERLINK("https://www.ncbi.nlm.nih.gov/nuccore/FJ445112","NCBI Nucleotide")</f>
        <v>NCBI Nucleotide</v>
      </c>
    </row>
    <row r="13971" spans="1:27" x14ac:dyDescent="0.35">
      <c r="A13971">
        <v>1011751</v>
      </c>
      <c r="B13971">
        <v>12780</v>
      </c>
      <c r="C13971">
        <v>4</v>
      </c>
      <c r="D13971" t="s">
        <v>17166</v>
      </c>
      <c r="F13971" t="s">
        <v>17246</v>
      </c>
      <c r="H13971" t="s">
        <v>28921</v>
      </c>
      <c r="J13971" t="s">
        <v>29538</v>
      </c>
      <c r="L13971" t="s">
        <v>30198</v>
      </c>
      <c r="N13971" t="s">
        <v>30487</v>
      </c>
      <c r="O13971" t="s">
        <v>30894</v>
      </c>
      <c r="P13971" t="s">
        <v>30929</v>
      </c>
      <c r="R13971" s="26" t="str">
        <f t="shared" si="55"/>
        <v>Enterovirus betarhino</v>
      </c>
      <c r="S13971" t="s">
        <v>8141</v>
      </c>
      <c r="T13971" t="s">
        <v>31671</v>
      </c>
      <c r="U13971" t="s">
        <v>31672</v>
      </c>
      <c r="V13971" t="s">
        <v>19595</v>
      </c>
      <c r="W13971" t="s">
        <v>49881</v>
      </c>
      <c r="X13971" t="s">
        <v>42</v>
      </c>
      <c r="Y13971" t="s">
        <v>17171</v>
      </c>
      <c r="Z13971" t="s">
        <v>166</v>
      </c>
      <c r="AA13971" s="22" t="str">
        <f>HYPERLINK("https://www.ncbi.nlm.nih.gov/nuccore/DQ473486","NCBI Nucleotide")</f>
        <v>NCBI Nucleotide</v>
      </c>
    </row>
    <row r="13972" spans="1:27" x14ac:dyDescent="0.35">
      <c r="A13972">
        <v>1011752</v>
      </c>
      <c r="B13972">
        <v>12780</v>
      </c>
      <c r="C13972">
        <v>5</v>
      </c>
      <c r="D13972" t="s">
        <v>17166</v>
      </c>
      <c r="F13972" t="s">
        <v>17246</v>
      </c>
      <c r="H13972" t="s">
        <v>28921</v>
      </c>
      <c r="J13972" t="s">
        <v>29538</v>
      </c>
      <c r="L13972" t="s">
        <v>30198</v>
      </c>
      <c r="N13972" t="s">
        <v>30487</v>
      </c>
      <c r="O13972" t="s">
        <v>30894</v>
      </c>
      <c r="P13972" t="s">
        <v>30929</v>
      </c>
      <c r="R13972" s="26" t="str">
        <f t="shared" si="55"/>
        <v>Enterovirus betarhino</v>
      </c>
      <c r="S13972" t="s">
        <v>8141</v>
      </c>
      <c r="T13972" t="s">
        <v>31673</v>
      </c>
      <c r="U13972" t="s">
        <v>31674</v>
      </c>
      <c r="V13972" t="s">
        <v>31675</v>
      </c>
      <c r="W13972" t="s">
        <v>49882</v>
      </c>
      <c r="X13972" t="s">
        <v>42</v>
      </c>
      <c r="Y13972" t="s">
        <v>17171</v>
      </c>
      <c r="Z13972" t="s">
        <v>166</v>
      </c>
      <c r="AA13972" s="22" t="str">
        <f>HYPERLINK("https://www.ncbi.nlm.nih.gov/nuccore/K02121","NCBI Nucleotide")</f>
        <v>NCBI Nucleotide</v>
      </c>
    </row>
    <row r="13973" spans="1:27" x14ac:dyDescent="0.35">
      <c r="A13973">
        <v>1011753</v>
      </c>
      <c r="B13973">
        <v>12780</v>
      </c>
      <c r="C13973">
        <v>6</v>
      </c>
      <c r="D13973" t="s">
        <v>17166</v>
      </c>
      <c r="F13973" t="s">
        <v>17246</v>
      </c>
      <c r="H13973" t="s">
        <v>28921</v>
      </c>
      <c r="J13973" t="s">
        <v>29538</v>
      </c>
      <c r="L13973" t="s">
        <v>30198</v>
      </c>
      <c r="N13973" t="s">
        <v>30487</v>
      </c>
      <c r="O13973" t="s">
        <v>30894</v>
      </c>
      <c r="P13973" t="s">
        <v>30929</v>
      </c>
      <c r="R13973" s="26" t="str">
        <f t="shared" si="55"/>
        <v>Enterovirus betarhino</v>
      </c>
      <c r="S13973" t="s">
        <v>8141</v>
      </c>
      <c r="T13973" t="s">
        <v>31676</v>
      </c>
      <c r="U13973" t="s">
        <v>31677</v>
      </c>
      <c r="V13973" t="s">
        <v>31678</v>
      </c>
      <c r="W13973" t="s">
        <v>49883</v>
      </c>
      <c r="X13973" t="s">
        <v>42</v>
      </c>
      <c r="Y13973" t="s">
        <v>17171</v>
      </c>
      <c r="Z13973" t="s">
        <v>166</v>
      </c>
      <c r="AA13973" s="22" t="str">
        <f>HYPERLINK("https://www.ncbi.nlm.nih.gov/nuccore/EF173420","NCBI Nucleotide")</f>
        <v>NCBI Nucleotide</v>
      </c>
    </row>
    <row r="13974" spans="1:27" x14ac:dyDescent="0.35">
      <c r="A13974">
        <v>1011754</v>
      </c>
      <c r="B13974">
        <v>12780</v>
      </c>
      <c r="C13974">
        <v>7</v>
      </c>
      <c r="D13974" t="s">
        <v>17166</v>
      </c>
      <c r="F13974" t="s">
        <v>17246</v>
      </c>
      <c r="H13974" t="s">
        <v>28921</v>
      </c>
      <c r="J13974" t="s">
        <v>29538</v>
      </c>
      <c r="L13974" t="s">
        <v>30198</v>
      </c>
      <c r="N13974" t="s">
        <v>30487</v>
      </c>
      <c r="O13974" t="s">
        <v>30894</v>
      </c>
      <c r="P13974" t="s">
        <v>30929</v>
      </c>
      <c r="R13974" s="26" t="str">
        <f t="shared" si="55"/>
        <v>Enterovirus betarhino</v>
      </c>
      <c r="S13974" t="s">
        <v>8141</v>
      </c>
      <c r="T13974" t="s">
        <v>31679</v>
      </c>
      <c r="U13974" t="s">
        <v>31680</v>
      </c>
      <c r="V13974" t="s">
        <v>31681</v>
      </c>
      <c r="W13974" t="s">
        <v>49884</v>
      </c>
      <c r="X13974" t="s">
        <v>42</v>
      </c>
      <c r="Y13974" t="s">
        <v>17171</v>
      </c>
      <c r="Z13974" t="s">
        <v>166</v>
      </c>
      <c r="AA13974" s="22" t="str">
        <f>HYPERLINK("https://www.ncbi.nlm.nih.gov/nuccore/FJ445124","NCBI Nucleotide")</f>
        <v>NCBI Nucleotide</v>
      </c>
    </row>
    <row r="13975" spans="1:27" x14ac:dyDescent="0.35">
      <c r="A13975">
        <v>1011755</v>
      </c>
      <c r="B13975">
        <v>12780</v>
      </c>
      <c r="C13975">
        <v>8</v>
      </c>
      <c r="D13975" t="s">
        <v>17166</v>
      </c>
      <c r="F13975" t="s">
        <v>17246</v>
      </c>
      <c r="H13975" t="s">
        <v>28921</v>
      </c>
      <c r="J13975" t="s">
        <v>29538</v>
      </c>
      <c r="L13975" t="s">
        <v>30198</v>
      </c>
      <c r="N13975" t="s">
        <v>30487</v>
      </c>
      <c r="O13975" t="s">
        <v>30894</v>
      </c>
      <c r="P13975" t="s">
        <v>30929</v>
      </c>
      <c r="R13975" s="26" t="str">
        <f t="shared" si="55"/>
        <v>Enterovirus betarhino</v>
      </c>
      <c r="S13975" t="s">
        <v>8141</v>
      </c>
      <c r="T13975" t="s">
        <v>31682</v>
      </c>
      <c r="U13975" t="s">
        <v>31683</v>
      </c>
      <c r="V13975" t="s">
        <v>31684</v>
      </c>
      <c r="W13975" t="s">
        <v>49885</v>
      </c>
      <c r="X13975" t="s">
        <v>42</v>
      </c>
      <c r="Y13975" t="s">
        <v>17171</v>
      </c>
      <c r="Z13975" t="s">
        <v>166</v>
      </c>
      <c r="AA13975" s="22" t="str">
        <f>HYPERLINK("https://www.ncbi.nlm.nih.gov/nuccore/FJ445186","NCBI Nucleotide")</f>
        <v>NCBI Nucleotide</v>
      </c>
    </row>
    <row r="13976" spans="1:27" x14ac:dyDescent="0.35">
      <c r="A13976">
        <v>1011756</v>
      </c>
      <c r="B13976">
        <v>12780</v>
      </c>
      <c r="C13976">
        <v>9</v>
      </c>
      <c r="D13976" t="s">
        <v>17166</v>
      </c>
      <c r="F13976" t="s">
        <v>17246</v>
      </c>
      <c r="H13976" t="s">
        <v>28921</v>
      </c>
      <c r="J13976" t="s">
        <v>29538</v>
      </c>
      <c r="L13976" t="s">
        <v>30198</v>
      </c>
      <c r="N13976" t="s">
        <v>30487</v>
      </c>
      <c r="O13976" t="s">
        <v>30894</v>
      </c>
      <c r="P13976" t="s">
        <v>30929</v>
      </c>
      <c r="R13976" s="26" t="str">
        <f t="shared" si="55"/>
        <v>Enterovirus betarhino</v>
      </c>
      <c r="S13976" t="s">
        <v>8141</v>
      </c>
      <c r="T13976" t="s">
        <v>31685</v>
      </c>
      <c r="U13976" t="s">
        <v>31686</v>
      </c>
      <c r="V13976" t="s">
        <v>31687</v>
      </c>
      <c r="W13976" t="s">
        <v>49886</v>
      </c>
      <c r="X13976" t="s">
        <v>42</v>
      </c>
      <c r="Y13976" t="s">
        <v>17171</v>
      </c>
      <c r="Z13976" t="s">
        <v>166</v>
      </c>
      <c r="AA13976" s="22" t="str">
        <f>HYPERLINK("https://www.ncbi.nlm.nih.gov/nuccore/DQ473487","NCBI Nucleotide")</f>
        <v>NCBI Nucleotide</v>
      </c>
    </row>
    <row r="13977" spans="1:27" x14ac:dyDescent="0.35">
      <c r="A13977">
        <v>1011757</v>
      </c>
      <c r="B13977">
        <v>12780</v>
      </c>
      <c r="C13977">
        <v>10</v>
      </c>
      <c r="D13977" t="s">
        <v>17166</v>
      </c>
      <c r="F13977" t="s">
        <v>17246</v>
      </c>
      <c r="H13977" t="s">
        <v>28921</v>
      </c>
      <c r="J13977" t="s">
        <v>29538</v>
      </c>
      <c r="L13977" t="s">
        <v>30198</v>
      </c>
      <c r="N13977" t="s">
        <v>30487</v>
      </c>
      <c r="O13977" t="s">
        <v>30894</v>
      </c>
      <c r="P13977" t="s">
        <v>30929</v>
      </c>
      <c r="R13977" s="26" t="str">
        <f t="shared" si="55"/>
        <v>Enterovirus betarhino</v>
      </c>
      <c r="S13977" t="s">
        <v>8141</v>
      </c>
      <c r="T13977" t="s">
        <v>31688</v>
      </c>
      <c r="U13977" t="s">
        <v>31689</v>
      </c>
      <c r="V13977" t="s">
        <v>31690</v>
      </c>
      <c r="W13977" t="s">
        <v>49887</v>
      </c>
      <c r="X13977" t="s">
        <v>42</v>
      </c>
      <c r="Y13977" t="s">
        <v>17171</v>
      </c>
      <c r="Z13977" t="s">
        <v>166</v>
      </c>
      <c r="AA13977" s="22" t="str">
        <f>HYPERLINK("https://www.ncbi.nlm.nih.gov/nuccore/EF173423","NCBI Nucleotide")</f>
        <v>NCBI Nucleotide</v>
      </c>
    </row>
    <row r="13978" spans="1:27" x14ac:dyDescent="0.35">
      <c r="A13978">
        <v>1011758</v>
      </c>
      <c r="B13978">
        <v>12780</v>
      </c>
      <c r="C13978">
        <v>11</v>
      </c>
      <c r="D13978" t="s">
        <v>17166</v>
      </c>
      <c r="F13978" t="s">
        <v>17246</v>
      </c>
      <c r="H13978" t="s">
        <v>28921</v>
      </c>
      <c r="J13978" t="s">
        <v>29538</v>
      </c>
      <c r="L13978" t="s">
        <v>30198</v>
      </c>
      <c r="N13978" t="s">
        <v>30487</v>
      </c>
      <c r="O13978" t="s">
        <v>30894</v>
      </c>
      <c r="P13978" t="s">
        <v>30929</v>
      </c>
      <c r="R13978" s="26" t="str">
        <f t="shared" si="55"/>
        <v>Enterovirus betarhino</v>
      </c>
      <c r="S13978" t="s">
        <v>8141</v>
      </c>
      <c r="T13978" t="s">
        <v>31691</v>
      </c>
      <c r="U13978" t="s">
        <v>31692</v>
      </c>
      <c r="V13978" t="s">
        <v>31693</v>
      </c>
      <c r="W13978" t="s">
        <v>49888</v>
      </c>
      <c r="X13978" t="s">
        <v>42</v>
      </c>
      <c r="Y13978" t="s">
        <v>17171</v>
      </c>
      <c r="Z13978" t="s">
        <v>166</v>
      </c>
      <c r="AA13978" s="22" t="str">
        <f>HYPERLINK("https://www.ncbi.nlm.nih.gov/nuccore/FJ445130","NCBI Nucleotide")</f>
        <v>NCBI Nucleotide</v>
      </c>
    </row>
    <row r="13979" spans="1:27" x14ac:dyDescent="0.35">
      <c r="A13979">
        <v>1011759</v>
      </c>
      <c r="B13979">
        <v>12780</v>
      </c>
      <c r="C13979">
        <v>12</v>
      </c>
      <c r="D13979" t="s">
        <v>17166</v>
      </c>
      <c r="F13979" t="s">
        <v>17246</v>
      </c>
      <c r="H13979" t="s">
        <v>28921</v>
      </c>
      <c r="J13979" t="s">
        <v>29538</v>
      </c>
      <c r="L13979" t="s">
        <v>30198</v>
      </c>
      <c r="N13979" t="s">
        <v>30487</v>
      </c>
      <c r="O13979" t="s">
        <v>30894</v>
      </c>
      <c r="P13979" t="s">
        <v>30929</v>
      </c>
      <c r="R13979" s="26" t="str">
        <f t="shared" si="55"/>
        <v>Enterovirus betarhino</v>
      </c>
      <c r="S13979" t="s">
        <v>8141</v>
      </c>
      <c r="T13979" t="s">
        <v>31694</v>
      </c>
      <c r="U13979" t="s">
        <v>31695</v>
      </c>
      <c r="V13979">
        <v>1505</v>
      </c>
      <c r="W13979" t="s">
        <v>49889</v>
      </c>
      <c r="X13979" t="s">
        <v>42</v>
      </c>
      <c r="Y13979" t="s">
        <v>17171</v>
      </c>
      <c r="Z13979" t="s">
        <v>166</v>
      </c>
      <c r="AA13979" s="22" t="str">
        <f>HYPERLINK("https://www.ncbi.nlm.nih.gov/nuccore/DQ473488","NCBI Nucleotide")</f>
        <v>NCBI Nucleotide</v>
      </c>
    </row>
    <row r="13980" spans="1:27" x14ac:dyDescent="0.35">
      <c r="A13980">
        <v>1011760</v>
      </c>
      <c r="B13980">
        <v>12780</v>
      </c>
      <c r="C13980">
        <v>13</v>
      </c>
      <c r="D13980" t="s">
        <v>17166</v>
      </c>
      <c r="F13980" t="s">
        <v>17246</v>
      </c>
      <c r="H13980" t="s">
        <v>28921</v>
      </c>
      <c r="J13980" t="s">
        <v>29538</v>
      </c>
      <c r="L13980" t="s">
        <v>30198</v>
      </c>
      <c r="N13980" t="s">
        <v>30487</v>
      </c>
      <c r="O13980" t="s">
        <v>30894</v>
      </c>
      <c r="P13980" t="s">
        <v>30929</v>
      </c>
      <c r="R13980" s="26" t="str">
        <f t="shared" si="55"/>
        <v>Enterovirus betarhino</v>
      </c>
      <c r="S13980" t="s">
        <v>8141</v>
      </c>
      <c r="T13980" t="s">
        <v>31696</v>
      </c>
      <c r="U13980" t="s">
        <v>31697</v>
      </c>
      <c r="V13980" t="s">
        <v>31698</v>
      </c>
      <c r="W13980" t="s">
        <v>49890</v>
      </c>
      <c r="X13980" t="s">
        <v>42</v>
      </c>
      <c r="Y13980" t="s">
        <v>17171</v>
      </c>
      <c r="Z13980" t="s">
        <v>166</v>
      </c>
      <c r="AA13980" s="22" t="str">
        <f>HYPERLINK("https://www.ncbi.nlm.nih.gov/nuccore/FJ445188","NCBI Nucleotide")</f>
        <v>NCBI Nucleotide</v>
      </c>
    </row>
    <row r="13981" spans="1:27" x14ac:dyDescent="0.35">
      <c r="A13981">
        <v>1011761</v>
      </c>
      <c r="B13981">
        <v>12780</v>
      </c>
      <c r="C13981">
        <v>14</v>
      </c>
      <c r="D13981" t="s">
        <v>17166</v>
      </c>
      <c r="F13981" t="s">
        <v>17246</v>
      </c>
      <c r="H13981" t="s">
        <v>28921</v>
      </c>
      <c r="J13981" t="s">
        <v>29538</v>
      </c>
      <c r="L13981" t="s">
        <v>30198</v>
      </c>
      <c r="N13981" t="s">
        <v>30487</v>
      </c>
      <c r="O13981" t="s">
        <v>30894</v>
      </c>
      <c r="P13981" t="s">
        <v>30929</v>
      </c>
      <c r="R13981" s="26" t="str">
        <f t="shared" si="55"/>
        <v>Enterovirus betarhino</v>
      </c>
      <c r="S13981" t="s">
        <v>8141</v>
      </c>
      <c r="T13981" t="s">
        <v>31699</v>
      </c>
      <c r="U13981" t="s">
        <v>31700</v>
      </c>
      <c r="V13981" t="s">
        <v>31701</v>
      </c>
      <c r="W13981" t="s">
        <v>49891</v>
      </c>
      <c r="X13981" t="s">
        <v>42</v>
      </c>
      <c r="Y13981" t="s">
        <v>17171</v>
      </c>
      <c r="Z13981" t="s">
        <v>166</v>
      </c>
      <c r="AA13981" s="22" t="str">
        <f>HYPERLINK("https://www.ncbi.nlm.nih.gov/nuccore/FJ445151","NCBI Nucleotide")</f>
        <v>NCBI Nucleotide</v>
      </c>
    </row>
    <row r="13982" spans="1:27" x14ac:dyDescent="0.35">
      <c r="A13982">
        <v>1011762</v>
      </c>
      <c r="B13982">
        <v>12780</v>
      </c>
      <c r="C13982">
        <v>15</v>
      </c>
      <c r="D13982" t="s">
        <v>17166</v>
      </c>
      <c r="F13982" t="s">
        <v>17246</v>
      </c>
      <c r="H13982" t="s">
        <v>28921</v>
      </c>
      <c r="J13982" t="s">
        <v>29538</v>
      </c>
      <c r="L13982" t="s">
        <v>30198</v>
      </c>
      <c r="N13982" t="s">
        <v>30487</v>
      </c>
      <c r="O13982" t="s">
        <v>30894</v>
      </c>
      <c r="P13982" t="s">
        <v>30929</v>
      </c>
      <c r="R13982" s="26" t="str">
        <f t="shared" si="55"/>
        <v>Enterovirus betarhino</v>
      </c>
      <c r="S13982" t="s">
        <v>8141</v>
      </c>
      <c r="T13982" t="s">
        <v>31702</v>
      </c>
      <c r="U13982" t="s">
        <v>31703</v>
      </c>
      <c r="V13982" t="s">
        <v>31704</v>
      </c>
      <c r="W13982" t="s">
        <v>49892</v>
      </c>
      <c r="X13982" t="s">
        <v>42</v>
      </c>
      <c r="Y13982" t="s">
        <v>17171</v>
      </c>
      <c r="Z13982" t="s">
        <v>166</v>
      </c>
      <c r="AA13982" s="22" t="str">
        <f>HYPERLINK("https://www.ncbi.nlm.nih.gov/nuccore/DQ473489","NCBI Nucleotide")</f>
        <v>NCBI Nucleotide</v>
      </c>
    </row>
    <row r="13983" spans="1:27" x14ac:dyDescent="0.35">
      <c r="A13983">
        <v>1011763</v>
      </c>
      <c r="B13983">
        <v>12780</v>
      </c>
      <c r="C13983">
        <v>16</v>
      </c>
      <c r="D13983" t="s">
        <v>17166</v>
      </c>
      <c r="F13983" t="s">
        <v>17246</v>
      </c>
      <c r="H13983" t="s">
        <v>28921</v>
      </c>
      <c r="J13983" t="s">
        <v>29538</v>
      </c>
      <c r="L13983" t="s">
        <v>30198</v>
      </c>
      <c r="N13983" t="s">
        <v>30487</v>
      </c>
      <c r="O13983" t="s">
        <v>30894</v>
      </c>
      <c r="P13983" t="s">
        <v>30929</v>
      </c>
      <c r="R13983" s="26" t="str">
        <f t="shared" si="55"/>
        <v>Enterovirus betarhino</v>
      </c>
      <c r="S13983" t="s">
        <v>8141</v>
      </c>
      <c r="T13983" t="s">
        <v>31705</v>
      </c>
      <c r="U13983" t="s">
        <v>31706</v>
      </c>
      <c r="V13983" t="s">
        <v>31707</v>
      </c>
      <c r="W13983" t="s">
        <v>49893</v>
      </c>
      <c r="X13983" t="s">
        <v>42</v>
      </c>
      <c r="Y13983" t="s">
        <v>17171</v>
      </c>
      <c r="Z13983" t="s">
        <v>166</v>
      </c>
      <c r="AA13983" s="22" t="str">
        <f>HYPERLINK("https://www.ncbi.nlm.nih.gov/nuccore/FJ445153","NCBI Nucleotide")</f>
        <v>NCBI Nucleotide</v>
      </c>
    </row>
    <row r="13984" spans="1:27" x14ac:dyDescent="0.35">
      <c r="A13984">
        <v>1011764</v>
      </c>
      <c r="B13984">
        <v>12780</v>
      </c>
      <c r="C13984">
        <v>17</v>
      </c>
      <c r="D13984" t="s">
        <v>17166</v>
      </c>
      <c r="F13984" t="s">
        <v>17246</v>
      </c>
      <c r="H13984" t="s">
        <v>28921</v>
      </c>
      <c r="J13984" t="s">
        <v>29538</v>
      </c>
      <c r="L13984" t="s">
        <v>30198</v>
      </c>
      <c r="N13984" t="s">
        <v>30487</v>
      </c>
      <c r="O13984" t="s">
        <v>30894</v>
      </c>
      <c r="P13984" t="s">
        <v>30929</v>
      </c>
      <c r="R13984" s="26" t="str">
        <f t="shared" si="55"/>
        <v>Enterovirus betarhino</v>
      </c>
      <c r="S13984" t="s">
        <v>8141</v>
      </c>
      <c r="T13984" t="s">
        <v>31708</v>
      </c>
      <c r="U13984" t="s">
        <v>31709</v>
      </c>
      <c r="V13984" t="s">
        <v>31710</v>
      </c>
      <c r="W13984" t="s">
        <v>49894</v>
      </c>
      <c r="X13984" t="s">
        <v>42</v>
      </c>
      <c r="Y13984" t="s">
        <v>17171</v>
      </c>
      <c r="Z13984" t="s">
        <v>166</v>
      </c>
      <c r="AA13984" s="22" t="str">
        <f>HYPERLINK("https://www.ncbi.nlm.nih.gov/nuccore/FJ445155","NCBI Nucleotide")</f>
        <v>NCBI Nucleotide</v>
      </c>
    </row>
    <row r="13985" spans="1:27" x14ac:dyDescent="0.35">
      <c r="A13985">
        <v>1011765</v>
      </c>
      <c r="B13985">
        <v>12780</v>
      </c>
      <c r="C13985">
        <v>18</v>
      </c>
      <c r="D13985" t="s">
        <v>17166</v>
      </c>
      <c r="F13985" t="s">
        <v>17246</v>
      </c>
      <c r="H13985" t="s">
        <v>28921</v>
      </c>
      <c r="J13985" t="s">
        <v>29538</v>
      </c>
      <c r="L13985" t="s">
        <v>30198</v>
      </c>
      <c r="N13985" t="s">
        <v>30487</v>
      </c>
      <c r="O13985" t="s">
        <v>30894</v>
      </c>
      <c r="P13985" t="s">
        <v>30929</v>
      </c>
      <c r="R13985" s="26" t="str">
        <f t="shared" si="55"/>
        <v>Enterovirus betarhino</v>
      </c>
      <c r="S13985" t="s">
        <v>8141</v>
      </c>
      <c r="T13985" t="s">
        <v>31711</v>
      </c>
      <c r="U13985" t="s">
        <v>31712</v>
      </c>
      <c r="V13985" t="s">
        <v>31713</v>
      </c>
      <c r="W13985" t="s">
        <v>49895</v>
      </c>
      <c r="X13985" t="s">
        <v>42</v>
      </c>
      <c r="Y13985" t="s">
        <v>17171</v>
      </c>
      <c r="Z13985" t="s">
        <v>166</v>
      </c>
      <c r="AA13985" s="22" t="str">
        <f>HYPERLINK("https://www.ncbi.nlm.nih.gov/nuccore/FJ445161","NCBI Nucleotide")</f>
        <v>NCBI Nucleotide</v>
      </c>
    </row>
    <row r="13986" spans="1:27" x14ac:dyDescent="0.35">
      <c r="A13986">
        <v>1011766</v>
      </c>
      <c r="B13986">
        <v>12780</v>
      </c>
      <c r="C13986">
        <v>19</v>
      </c>
      <c r="D13986" t="s">
        <v>17166</v>
      </c>
      <c r="F13986" t="s">
        <v>17246</v>
      </c>
      <c r="H13986" t="s">
        <v>28921</v>
      </c>
      <c r="J13986" t="s">
        <v>29538</v>
      </c>
      <c r="L13986" t="s">
        <v>30198</v>
      </c>
      <c r="N13986" t="s">
        <v>30487</v>
      </c>
      <c r="O13986" t="s">
        <v>30894</v>
      </c>
      <c r="P13986" t="s">
        <v>30929</v>
      </c>
      <c r="R13986" s="26" t="str">
        <f t="shared" si="55"/>
        <v>Enterovirus betarhino</v>
      </c>
      <c r="S13986" t="s">
        <v>8141</v>
      </c>
      <c r="T13986" t="s">
        <v>31714</v>
      </c>
      <c r="U13986" t="s">
        <v>31715</v>
      </c>
      <c r="V13986" t="s">
        <v>31716</v>
      </c>
      <c r="W13986" t="s">
        <v>49896</v>
      </c>
      <c r="X13986" t="s">
        <v>42</v>
      </c>
      <c r="Y13986" t="s">
        <v>17171</v>
      </c>
      <c r="Z13986" t="s">
        <v>166</v>
      </c>
      <c r="AA13986" s="22" t="str">
        <f>HYPERLINK("https://www.ncbi.nlm.nih.gov/nuccore/FJ445162","NCBI Nucleotide")</f>
        <v>NCBI Nucleotide</v>
      </c>
    </row>
    <row r="13987" spans="1:27" x14ac:dyDescent="0.35">
      <c r="A13987">
        <v>1011767</v>
      </c>
      <c r="B13987">
        <v>12780</v>
      </c>
      <c r="C13987">
        <v>20</v>
      </c>
      <c r="D13987" t="s">
        <v>17166</v>
      </c>
      <c r="F13987" t="s">
        <v>17246</v>
      </c>
      <c r="H13987" t="s">
        <v>28921</v>
      </c>
      <c r="J13987" t="s">
        <v>29538</v>
      </c>
      <c r="L13987" t="s">
        <v>30198</v>
      </c>
      <c r="N13987" t="s">
        <v>30487</v>
      </c>
      <c r="O13987" t="s">
        <v>30894</v>
      </c>
      <c r="P13987" t="s">
        <v>30929</v>
      </c>
      <c r="R13987" s="26" t="str">
        <f t="shared" si="55"/>
        <v>Enterovirus betarhino</v>
      </c>
      <c r="S13987" t="s">
        <v>8141</v>
      </c>
      <c r="T13987" t="s">
        <v>31717</v>
      </c>
      <c r="U13987" t="s">
        <v>31718</v>
      </c>
      <c r="V13987" t="s">
        <v>31719</v>
      </c>
      <c r="W13987" t="s">
        <v>49897</v>
      </c>
      <c r="X13987" t="s">
        <v>42</v>
      </c>
      <c r="Y13987" t="s">
        <v>17171</v>
      </c>
      <c r="Z13987" t="s">
        <v>166</v>
      </c>
      <c r="AA13987" s="22" t="str">
        <f>HYPERLINK("https://www.ncbi.nlm.nih.gov/nuccore/FJ445164","NCBI Nucleotide")</f>
        <v>NCBI Nucleotide</v>
      </c>
    </row>
    <row r="13988" spans="1:27" x14ac:dyDescent="0.35">
      <c r="A13988">
        <v>1011768</v>
      </c>
      <c r="B13988">
        <v>12780</v>
      </c>
      <c r="C13988">
        <v>21</v>
      </c>
      <c r="D13988" t="s">
        <v>17166</v>
      </c>
      <c r="F13988" t="s">
        <v>17246</v>
      </c>
      <c r="H13988" t="s">
        <v>28921</v>
      </c>
      <c r="J13988" t="s">
        <v>29538</v>
      </c>
      <c r="L13988" t="s">
        <v>30198</v>
      </c>
      <c r="N13988" t="s">
        <v>30487</v>
      </c>
      <c r="O13988" t="s">
        <v>30894</v>
      </c>
      <c r="P13988" t="s">
        <v>30929</v>
      </c>
      <c r="R13988" s="26" t="str">
        <f t="shared" si="55"/>
        <v>Enterovirus betarhino</v>
      </c>
      <c r="S13988" t="s">
        <v>8141</v>
      </c>
      <c r="T13988" t="s">
        <v>31720</v>
      </c>
      <c r="U13988" t="s">
        <v>31721</v>
      </c>
      <c r="V13988" t="s">
        <v>31722</v>
      </c>
      <c r="W13988" t="s">
        <v>49898</v>
      </c>
      <c r="X13988" t="s">
        <v>42</v>
      </c>
      <c r="Y13988" t="s">
        <v>17171</v>
      </c>
      <c r="Z13988" t="s">
        <v>166</v>
      </c>
      <c r="AA13988" s="22" t="str">
        <f>HYPERLINK("https://www.ncbi.nlm.nih.gov/nuccore/FJ445168","NCBI Nucleotide")</f>
        <v>NCBI Nucleotide</v>
      </c>
    </row>
    <row r="13989" spans="1:27" x14ac:dyDescent="0.35">
      <c r="A13989">
        <v>1011769</v>
      </c>
      <c r="B13989">
        <v>12780</v>
      </c>
      <c r="C13989">
        <v>22</v>
      </c>
      <c r="D13989" t="s">
        <v>17166</v>
      </c>
      <c r="F13989" t="s">
        <v>17246</v>
      </c>
      <c r="H13989" t="s">
        <v>28921</v>
      </c>
      <c r="J13989" t="s">
        <v>29538</v>
      </c>
      <c r="L13989" t="s">
        <v>30198</v>
      </c>
      <c r="N13989" t="s">
        <v>30487</v>
      </c>
      <c r="O13989" t="s">
        <v>30894</v>
      </c>
      <c r="P13989" t="s">
        <v>30929</v>
      </c>
      <c r="R13989" s="26" t="str">
        <f t="shared" si="55"/>
        <v>Enterovirus betarhino</v>
      </c>
      <c r="S13989" t="s">
        <v>8141</v>
      </c>
      <c r="T13989" t="s">
        <v>31723</v>
      </c>
      <c r="U13989" t="s">
        <v>31724</v>
      </c>
      <c r="V13989" t="s">
        <v>31725</v>
      </c>
      <c r="W13989" t="s">
        <v>49899</v>
      </c>
      <c r="X13989" t="s">
        <v>42</v>
      </c>
      <c r="Y13989" t="s">
        <v>17171</v>
      </c>
      <c r="Z13989" t="s">
        <v>166</v>
      </c>
      <c r="AA13989" s="22" t="str">
        <f>HYPERLINK("https://www.ncbi.nlm.nih.gov/nuccore/FJ445169","NCBI Nucleotide")</f>
        <v>NCBI Nucleotide</v>
      </c>
    </row>
    <row r="13990" spans="1:27" x14ac:dyDescent="0.35">
      <c r="A13990">
        <v>1011770</v>
      </c>
      <c r="B13990">
        <v>12780</v>
      </c>
      <c r="C13990">
        <v>23</v>
      </c>
      <c r="D13990" t="s">
        <v>17166</v>
      </c>
      <c r="F13990" t="s">
        <v>17246</v>
      </c>
      <c r="H13990" t="s">
        <v>28921</v>
      </c>
      <c r="J13990" t="s">
        <v>29538</v>
      </c>
      <c r="L13990" t="s">
        <v>30198</v>
      </c>
      <c r="N13990" t="s">
        <v>30487</v>
      </c>
      <c r="O13990" t="s">
        <v>30894</v>
      </c>
      <c r="P13990" t="s">
        <v>30929</v>
      </c>
      <c r="R13990" s="26" t="str">
        <f t="shared" si="55"/>
        <v>Enterovirus betarhino</v>
      </c>
      <c r="S13990" t="s">
        <v>8141</v>
      </c>
      <c r="T13990" t="s">
        <v>31726</v>
      </c>
      <c r="U13990" t="s">
        <v>31727</v>
      </c>
      <c r="V13990" t="s">
        <v>31728</v>
      </c>
      <c r="W13990" t="s">
        <v>49900</v>
      </c>
      <c r="X13990" t="s">
        <v>42</v>
      </c>
      <c r="Y13990" t="s">
        <v>17171</v>
      </c>
      <c r="Z13990" t="s">
        <v>166</v>
      </c>
      <c r="AA13990" s="22" t="str">
        <f>HYPERLINK("https://www.ncbi.nlm.nih.gov/nuccore/EF173425","NCBI Nucleotide")</f>
        <v>NCBI Nucleotide</v>
      </c>
    </row>
    <row r="13991" spans="1:27" x14ac:dyDescent="0.35">
      <c r="A13991">
        <v>1011771</v>
      </c>
      <c r="B13991">
        <v>12780</v>
      </c>
      <c r="C13991">
        <v>24</v>
      </c>
      <c r="D13991" t="s">
        <v>17166</v>
      </c>
      <c r="F13991" t="s">
        <v>17246</v>
      </c>
      <c r="H13991" t="s">
        <v>28921</v>
      </c>
      <c r="J13991" t="s">
        <v>29538</v>
      </c>
      <c r="L13991" t="s">
        <v>30198</v>
      </c>
      <c r="N13991" t="s">
        <v>30487</v>
      </c>
      <c r="O13991" t="s">
        <v>30894</v>
      </c>
      <c r="P13991" t="s">
        <v>30929</v>
      </c>
      <c r="R13991" s="26" t="str">
        <f t="shared" si="55"/>
        <v>Enterovirus betarhino</v>
      </c>
      <c r="S13991" t="s">
        <v>8141</v>
      </c>
      <c r="T13991" t="s">
        <v>31729</v>
      </c>
      <c r="U13991" t="s">
        <v>31730</v>
      </c>
      <c r="V13991" t="s">
        <v>31731</v>
      </c>
      <c r="W13991" t="s">
        <v>49901</v>
      </c>
      <c r="X13991" t="s">
        <v>42</v>
      </c>
      <c r="Y13991" t="s">
        <v>17171</v>
      </c>
      <c r="Z13991" t="s">
        <v>166</v>
      </c>
      <c r="AA13991" s="22" t="str">
        <f>HYPERLINK("https://www.ncbi.nlm.nih.gov/nuccore/FJ445172","NCBI Nucleotide")</f>
        <v>NCBI Nucleotide</v>
      </c>
    </row>
    <row r="13992" spans="1:27" x14ac:dyDescent="0.35">
      <c r="A13992">
        <v>1011772</v>
      </c>
      <c r="B13992">
        <v>12780</v>
      </c>
      <c r="C13992">
        <v>25</v>
      </c>
      <c r="D13992" t="s">
        <v>17166</v>
      </c>
      <c r="F13992" t="s">
        <v>17246</v>
      </c>
      <c r="H13992" t="s">
        <v>28921</v>
      </c>
      <c r="J13992" t="s">
        <v>29538</v>
      </c>
      <c r="L13992" t="s">
        <v>30198</v>
      </c>
      <c r="N13992" t="s">
        <v>30487</v>
      </c>
      <c r="O13992" t="s">
        <v>30894</v>
      </c>
      <c r="P13992" t="s">
        <v>30929</v>
      </c>
      <c r="R13992" s="26" t="str">
        <f t="shared" si="55"/>
        <v>Enterovirus betarhino</v>
      </c>
      <c r="S13992" t="s">
        <v>8141</v>
      </c>
      <c r="T13992" t="s">
        <v>31732</v>
      </c>
      <c r="U13992" t="s">
        <v>31733</v>
      </c>
      <c r="V13992" t="s">
        <v>31734</v>
      </c>
      <c r="W13992" t="s">
        <v>49902</v>
      </c>
      <c r="X13992" t="s">
        <v>42</v>
      </c>
      <c r="Y13992" t="s">
        <v>17171</v>
      </c>
      <c r="Z13992" t="s">
        <v>166</v>
      </c>
      <c r="AA13992" s="22" t="str">
        <f>HYPERLINK("https://www.ncbi.nlm.nih.gov/nuccore/FJ445174","NCBI Nucleotide")</f>
        <v>NCBI Nucleotide</v>
      </c>
    </row>
    <row r="13993" spans="1:27" x14ac:dyDescent="0.35">
      <c r="A13993">
        <v>1011773</v>
      </c>
      <c r="B13993">
        <v>12780</v>
      </c>
      <c r="C13993">
        <v>26</v>
      </c>
      <c r="D13993" t="s">
        <v>17166</v>
      </c>
      <c r="F13993" t="s">
        <v>17246</v>
      </c>
      <c r="H13993" t="s">
        <v>28921</v>
      </c>
      <c r="J13993" t="s">
        <v>29538</v>
      </c>
      <c r="L13993" t="s">
        <v>30198</v>
      </c>
      <c r="N13993" t="s">
        <v>30487</v>
      </c>
      <c r="O13993" t="s">
        <v>30894</v>
      </c>
      <c r="P13993" t="s">
        <v>30929</v>
      </c>
      <c r="R13993" s="26" t="str">
        <f t="shared" si="55"/>
        <v>Enterovirus betarhino</v>
      </c>
      <c r="S13993" t="s">
        <v>8141</v>
      </c>
      <c r="T13993" t="s">
        <v>31735</v>
      </c>
      <c r="U13993" t="s">
        <v>31736</v>
      </c>
      <c r="V13993" t="s">
        <v>31737</v>
      </c>
      <c r="W13993" t="s">
        <v>49903</v>
      </c>
      <c r="X13993" t="s">
        <v>35</v>
      </c>
      <c r="Y13993" t="s">
        <v>17171</v>
      </c>
      <c r="Z13993" t="s">
        <v>166</v>
      </c>
      <c r="AA13993" s="22" t="str">
        <f>HYPERLINK("https://www.ncbi.nlm.nih.gov/nuccore/HQ123444","NCBI Nucleotide")</f>
        <v>NCBI Nucleotide</v>
      </c>
    </row>
    <row r="13994" spans="1:27" x14ac:dyDescent="0.35">
      <c r="A13994">
        <v>1011774</v>
      </c>
      <c r="B13994">
        <v>12780</v>
      </c>
      <c r="C13994">
        <v>27</v>
      </c>
      <c r="D13994" t="s">
        <v>17166</v>
      </c>
      <c r="F13994" t="s">
        <v>17246</v>
      </c>
      <c r="H13994" t="s">
        <v>28921</v>
      </c>
      <c r="J13994" t="s">
        <v>29538</v>
      </c>
      <c r="L13994" t="s">
        <v>30198</v>
      </c>
      <c r="N13994" t="s">
        <v>30487</v>
      </c>
      <c r="O13994" t="s">
        <v>30894</v>
      </c>
      <c r="P13994" t="s">
        <v>30929</v>
      </c>
      <c r="R13994" s="26" t="str">
        <f t="shared" si="55"/>
        <v>Enterovirus betarhino</v>
      </c>
      <c r="S13994" t="s">
        <v>8141</v>
      </c>
      <c r="T13994" t="s">
        <v>31738</v>
      </c>
      <c r="U13994" t="s">
        <v>31739</v>
      </c>
      <c r="V13994" t="s">
        <v>31740</v>
      </c>
      <c r="W13994" t="s">
        <v>49904</v>
      </c>
      <c r="X13994" t="s">
        <v>42</v>
      </c>
      <c r="Y13994" t="s">
        <v>17171</v>
      </c>
      <c r="Z13994" t="s">
        <v>166</v>
      </c>
      <c r="AA13994" s="22" t="str">
        <f>HYPERLINK("https://www.ncbi.nlm.nih.gov/nuccore/JF781500","NCBI Nucleotide")</f>
        <v>NCBI Nucleotide</v>
      </c>
    </row>
    <row r="13995" spans="1:27" x14ac:dyDescent="0.35">
      <c r="A13995">
        <v>1011775</v>
      </c>
      <c r="B13995">
        <v>12780</v>
      </c>
      <c r="C13995">
        <v>28</v>
      </c>
      <c r="D13995" t="s">
        <v>17166</v>
      </c>
      <c r="F13995" t="s">
        <v>17246</v>
      </c>
      <c r="H13995" t="s">
        <v>28921</v>
      </c>
      <c r="J13995" t="s">
        <v>29538</v>
      </c>
      <c r="L13995" t="s">
        <v>30198</v>
      </c>
      <c r="N13995" t="s">
        <v>30487</v>
      </c>
      <c r="O13995" t="s">
        <v>30894</v>
      </c>
      <c r="P13995" t="s">
        <v>30929</v>
      </c>
      <c r="R13995" s="26" t="str">
        <f t="shared" si="55"/>
        <v>Enterovirus betarhino</v>
      </c>
      <c r="S13995" t="s">
        <v>8141</v>
      </c>
      <c r="T13995" t="s">
        <v>31741</v>
      </c>
      <c r="U13995" t="s">
        <v>31742</v>
      </c>
      <c r="V13995" t="s">
        <v>31743</v>
      </c>
      <c r="W13995" t="s">
        <v>49905</v>
      </c>
      <c r="X13995" t="s">
        <v>42</v>
      </c>
      <c r="Y13995" t="s">
        <v>17171</v>
      </c>
      <c r="Z13995" t="s">
        <v>166</v>
      </c>
      <c r="AA13995" s="22" t="str">
        <f>HYPERLINK("https://www.ncbi.nlm.nih.gov/nuccore/JX074053","NCBI Nucleotide")</f>
        <v>NCBI Nucleotide</v>
      </c>
    </row>
    <row r="13996" spans="1:27" x14ac:dyDescent="0.35">
      <c r="A13996">
        <v>1011776</v>
      </c>
      <c r="B13996">
        <v>12780</v>
      </c>
      <c r="C13996">
        <v>29</v>
      </c>
      <c r="D13996" t="s">
        <v>17166</v>
      </c>
      <c r="F13996" t="s">
        <v>17246</v>
      </c>
      <c r="H13996" t="s">
        <v>28921</v>
      </c>
      <c r="J13996" t="s">
        <v>29538</v>
      </c>
      <c r="L13996" t="s">
        <v>30198</v>
      </c>
      <c r="N13996" t="s">
        <v>30487</v>
      </c>
      <c r="O13996" t="s">
        <v>30894</v>
      </c>
      <c r="P13996" t="s">
        <v>30929</v>
      </c>
      <c r="R13996" s="26" t="str">
        <f t="shared" si="55"/>
        <v>Enterovirus betarhino</v>
      </c>
      <c r="S13996" t="s">
        <v>8141</v>
      </c>
      <c r="T13996" t="s">
        <v>31744</v>
      </c>
      <c r="U13996" t="s">
        <v>31745</v>
      </c>
      <c r="V13996" t="s">
        <v>31746</v>
      </c>
      <c r="W13996" t="s">
        <v>49906</v>
      </c>
      <c r="X13996" t="s">
        <v>42</v>
      </c>
      <c r="Y13996" t="s">
        <v>17171</v>
      </c>
      <c r="Z13996" t="s">
        <v>166</v>
      </c>
      <c r="AA13996" s="22" t="str">
        <f>HYPERLINK("https://www.ncbi.nlm.nih.gov/nuccore/JN614996","NCBI Nucleotide")</f>
        <v>NCBI Nucleotide</v>
      </c>
    </row>
    <row r="13997" spans="1:27" x14ac:dyDescent="0.35">
      <c r="A13997">
        <v>1011777</v>
      </c>
      <c r="B13997">
        <v>12780</v>
      </c>
      <c r="C13997">
        <v>30</v>
      </c>
      <c r="D13997" t="s">
        <v>17166</v>
      </c>
      <c r="F13997" t="s">
        <v>17246</v>
      </c>
      <c r="H13997" t="s">
        <v>28921</v>
      </c>
      <c r="J13997" t="s">
        <v>29538</v>
      </c>
      <c r="L13997" t="s">
        <v>30198</v>
      </c>
      <c r="N13997" t="s">
        <v>30487</v>
      </c>
      <c r="O13997" t="s">
        <v>30894</v>
      </c>
      <c r="P13997" t="s">
        <v>30929</v>
      </c>
      <c r="R13997" s="26" t="str">
        <f t="shared" si="55"/>
        <v>Enterovirus betarhino</v>
      </c>
      <c r="S13997" t="s">
        <v>8141</v>
      </c>
      <c r="T13997" t="s">
        <v>31747</v>
      </c>
      <c r="U13997" t="s">
        <v>31748</v>
      </c>
      <c r="V13997" t="s">
        <v>31749</v>
      </c>
      <c r="W13997" t="s">
        <v>49907</v>
      </c>
      <c r="X13997" t="s">
        <v>42</v>
      </c>
      <c r="Y13997" t="s">
        <v>17171</v>
      </c>
      <c r="Z13997" t="s">
        <v>166</v>
      </c>
      <c r="AA13997" s="22" t="str">
        <f>HYPERLINK("https://www.ncbi.nlm.nih.gov/nuccore/FJ445137","NCBI Nucleotide")</f>
        <v>NCBI Nucleotide</v>
      </c>
    </row>
    <row r="13998" spans="1:27" x14ac:dyDescent="0.35">
      <c r="A13998">
        <v>1002184</v>
      </c>
      <c r="B13998">
        <v>12781</v>
      </c>
      <c r="C13998">
        <v>1</v>
      </c>
      <c r="D13998" t="s">
        <v>17166</v>
      </c>
      <c r="F13998" t="s">
        <v>17246</v>
      </c>
      <c r="H13998" t="s">
        <v>28921</v>
      </c>
      <c r="J13998" t="s">
        <v>29538</v>
      </c>
      <c r="L13998" t="s">
        <v>30198</v>
      </c>
      <c r="N13998" t="s">
        <v>30487</v>
      </c>
      <c r="O13998" t="s">
        <v>30894</v>
      </c>
      <c r="P13998" t="s">
        <v>30929</v>
      </c>
      <c r="R13998" s="26" t="str">
        <f t="shared" ref="R13998:R14029" si="56">HYPERLINK("https://ictv.global/taxonomy/taxondetails?taxnode_id=202301995","Enterovirus cerhino")</f>
        <v>Enterovirus cerhino</v>
      </c>
      <c r="S13998" t="s">
        <v>30</v>
      </c>
      <c r="T13998" t="s">
        <v>31750</v>
      </c>
      <c r="U13998" t="s">
        <v>31751</v>
      </c>
      <c r="V13998" t="s">
        <v>31752</v>
      </c>
      <c r="W13998" t="s">
        <v>31753</v>
      </c>
      <c r="X13998" t="s">
        <v>42</v>
      </c>
      <c r="Y13998" t="s">
        <v>17171</v>
      </c>
      <c r="Z13998" t="s">
        <v>166</v>
      </c>
      <c r="AA13998" s="22" t="str">
        <f>HYPERLINK("https://www.ncbi.nlm.nih.gov/nuccore/EF077279","NCBI Nucleotide")</f>
        <v>NCBI Nucleotide</v>
      </c>
    </row>
    <row r="13999" spans="1:27" x14ac:dyDescent="0.35">
      <c r="A13999">
        <v>1011778</v>
      </c>
      <c r="B13999">
        <v>12781</v>
      </c>
      <c r="C13999">
        <v>2</v>
      </c>
      <c r="D13999" t="s">
        <v>17166</v>
      </c>
      <c r="F13999" t="s">
        <v>17246</v>
      </c>
      <c r="H13999" t="s">
        <v>28921</v>
      </c>
      <c r="J13999" t="s">
        <v>29538</v>
      </c>
      <c r="L13999" t="s">
        <v>30198</v>
      </c>
      <c r="N13999" t="s">
        <v>30487</v>
      </c>
      <c r="O13999" t="s">
        <v>30894</v>
      </c>
      <c r="P13999" t="s">
        <v>30929</v>
      </c>
      <c r="R13999" s="26" t="str">
        <f t="shared" si="56"/>
        <v>Enterovirus cerhino</v>
      </c>
      <c r="S13999" t="s">
        <v>8141</v>
      </c>
      <c r="T13999" t="s">
        <v>31754</v>
      </c>
      <c r="U13999" t="s">
        <v>31755</v>
      </c>
      <c r="V13999" t="s">
        <v>31756</v>
      </c>
      <c r="W13999" t="s">
        <v>49908</v>
      </c>
      <c r="X13999" t="s">
        <v>42</v>
      </c>
      <c r="Y13999" t="s">
        <v>17171</v>
      </c>
      <c r="Z13999" t="s">
        <v>166</v>
      </c>
      <c r="AA13999" s="22" t="str">
        <f>HYPERLINK("https://www.ncbi.nlm.nih.gov/nuccore/EF077280","NCBI Nucleotide")</f>
        <v>NCBI Nucleotide</v>
      </c>
    </row>
    <row r="14000" spans="1:27" x14ac:dyDescent="0.35">
      <c r="A14000">
        <v>1011779</v>
      </c>
      <c r="B14000">
        <v>12781</v>
      </c>
      <c r="C14000">
        <v>3</v>
      </c>
      <c r="D14000" t="s">
        <v>17166</v>
      </c>
      <c r="F14000" t="s">
        <v>17246</v>
      </c>
      <c r="H14000" t="s">
        <v>28921</v>
      </c>
      <c r="J14000" t="s">
        <v>29538</v>
      </c>
      <c r="L14000" t="s">
        <v>30198</v>
      </c>
      <c r="N14000" t="s">
        <v>30487</v>
      </c>
      <c r="O14000" t="s">
        <v>30894</v>
      </c>
      <c r="P14000" t="s">
        <v>30929</v>
      </c>
      <c r="R14000" s="26" t="str">
        <f t="shared" si="56"/>
        <v>Enterovirus cerhino</v>
      </c>
      <c r="S14000" t="s">
        <v>8141</v>
      </c>
      <c r="T14000" t="s">
        <v>31757</v>
      </c>
      <c r="U14000" t="s">
        <v>31758</v>
      </c>
      <c r="V14000" t="s">
        <v>31759</v>
      </c>
      <c r="W14000" t="s">
        <v>49909</v>
      </c>
      <c r="X14000" t="s">
        <v>42</v>
      </c>
      <c r="Y14000" t="s">
        <v>17171</v>
      </c>
      <c r="Z14000" t="s">
        <v>166</v>
      </c>
      <c r="AA14000" s="22" t="str">
        <f>HYPERLINK("https://www.ncbi.nlm.nih.gov/nuccore/EF186077","NCBI Nucleotide")</f>
        <v>NCBI Nucleotide</v>
      </c>
    </row>
    <row r="14001" spans="1:27" x14ac:dyDescent="0.35">
      <c r="A14001">
        <v>1011780</v>
      </c>
      <c r="B14001">
        <v>12781</v>
      </c>
      <c r="C14001">
        <v>4</v>
      </c>
      <c r="D14001" t="s">
        <v>17166</v>
      </c>
      <c r="F14001" t="s">
        <v>17246</v>
      </c>
      <c r="H14001" t="s">
        <v>28921</v>
      </c>
      <c r="J14001" t="s">
        <v>29538</v>
      </c>
      <c r="L14001" t="s">
        <v>30198</v>
      </c>
      <c r="N14001" t="s">
        <v>30487</v>
      </c>
      <c r="O14001" t="s">
        <v>30894</v>
      </c>
      <c r="P14001" t="s">
        <v>30929</v>
      </c>
      <c r="R14001" s="26" t="str">
        <f t="shared" si="56"/>
        <v>Enterovirus cerhino</v>
      </c>
      <c r="S14001" t="s">
        <v>8141</v>
      </c>
      <c r="T14001" t="s">
        <v>31760</v>
      </c>
      <c r="U14001" t="s">
        <v>31761</v>
      </c>
      <c r="V14001" t="s">
        <v>31762</v>
      </c>
      <c r="W14001" t="s">
        <v>49910</v>
      </c>
      <c r="X14001" t="s">
        <v>42</v>
      </c>
      <c r="Y14001" t="s">
        <v>17171</v>
      </c>
      <c r="Z14001" t="s">
        <v>166</v>
      </c>
      <c r="AA14001" s="22" t="str">
        <f>HYPERLINK("https://www.ncbi.nlm.nih.gov/nuccore/EF582385","NCBI Nucleotide")</f>
        <v>NCBI Nucleotide</v>
      </c>
    </row>
    <row r="14002" spans="1:27" x14ac:dyDescent="0.35">
      <c r="A14002">
        <v>1011781</v>
      </c>
      <c r="B14002">
        <v>12781</v>
      </c>
      <c r="C14002">
        <v>5</v>
      </c>
      <c r="D14002" t="s">
        <v>17166</v>
      </c>
      <c r="F14002" t="s">
        <v>17246</v>
      </c>
      <c r="H14002" t="s">
        <v>28921</v>
      </c>
      <c r="J14002" t="s">
        <v>29538</v>
      </c>
      <c r="L14002" t="s">
        <v>30198</v>
      </c>
      <c r="N14002" t="s">
        <v>30487</v>
      </c>
      <c r="O14002" t="s">
        <v>30894</v>
      </c>
      <c r="P14002" t="s">
        <v>30929</v>
      </c>
      <c r="R14002" s="26" t="str">
        <f t="shared" si="56"/>
        <v>Enterovirus cerhino</v>
      </c>
      <c r="S14002" t="s">
        <v>8141</v>
      </c>
      <c r="T14002" t="s">
        <v>31763</v>
      </c>
      <c r="U14002" t="s">
        <v>31764</v>
      </c>
      <c r="V14002" t="s">
        <v>31765</v>
      </c>
      <c r="W14002" t="s">
        <v>49911</v>
      </c>
      <c r="X14002" t="s">
        <v>42</v>
      </c>
      <c r="Y14002" t="s">
        <v>17171</v>
      </c>
      <c r="Z14002" t="s">
        <v>166</v>
      </c>
      <c r="AA14002" s="22" t="str">
        <f>HYPERLINK("https://www.ncbi.nlm.nih.gov/nuccore/EF582386","NCBI Nucleotide")</f>
        <v>NCBI Nucleotide</v>
      </c>
    </row>
    <row r="14003" spans="1:27" x14ac:dyDescent="0.35">
      <c r="A14003">
        <v>1011782</v>
      </c>
      <c r="B14003">
        <v>12781</v>
      </c>
      <c r="C14003">
        <v>6</v>
      </c>
      <c r="D14003" t="s">
        <v>17166</v>
      </c>
      <c r="F14003" t="s">
        <v>17246</v>
      </c>
      <c r="H14003" t="s">
        <v>28921</v>
      </c>
      <c r="J14003" t="s">
        <v>29538</v>
      </c>
      <c r="L14003" t="s">
        <v>30198</v>
      </c>
      <c r="N14003" t="s">
        <v>30487</v>
      </c>
      <c r="O14003" t="s">
        <v>30894</v>
      </c>
      <c r="P14003" t="s">
        <v>30929</v>
      </c>
      <c r="R14003" s="26" t="str">
        <f t="shared" si="56"/>
        <v>Enterovirus cerhino</v>
      </c>
      <c r="S14003" t="s">
        <v>8141</v>
      </c>
      <c r="T14003" t="s">
        <v>31766</v>
      </c>
      <c r="U14003" t="s">
        <v>31767</v>
      </c>
      <c r="V14003" t="s">
        <v>31768</v>
      </c>
      <c r="W14003" t="s">
        <v>49912</v>
      </c>
      <c r="X14003" t="s">
        <v>42</v>
      </c>
      <c r="Y14003" t="s">
        <v>17171</v>
      </c>
      <c r="Z14003" t="s">
        <v>166</v>
      </c>
      <c r="AA14003" s="22" t="str">
        <f>HYPERLINK("https://www.ncbi.nlm.nih.gov/nuccore/EF582387","NCBI Nucleotide")</f>
        <v>NCBI Nucleotide</v>
      </c>
    </row>
    <row r="14004" spans="1:27" x14ac:dyDescent="0.35">
      <c r="A14004">
        <v>1011783</v>
      </c>
      <c r="B14004">
        <v>12781</v>
      </c>
      <c r="C14004">
        <v>7</v>
      </c>
      <c r="D14004" t="s">
        <v>17166</v>
      </c>
      <c r="F14004" t="s">
        <v>17246</v>
      </c>
      <c r="H14004" t="s">
        <v>28921</v>
      </c>
      <c r="J14004" t="s">
        <v>29538</v>
      </c>
      <c r="L14004" t="s">
        <v>30198</v>
      </c>
      <c r="N14004" t="s">
        <v>30487</v>
      </c>
      <c r="O14004" t="s">
        <v>30894</v>
      </c>
      <c r="P14004" t="s">
        <v>30929</v>
      </c>
      <c r="R14004" s="26" t="str">
        <f t="shared" si="56"/>
        <v>Enterovirus cerhino</v>
      </c>
      <c r="S14004" t="s">
        <v>8141</v>
      </c>
      <c r="T14004" t="s">
        <v>31769</v>
      </c>
      <c r="U14004" t="s">
        <v>31770</v>
      </c>
      <c r="V14004" t="s">
        <v>31771</v>
      </c>
      <c r="W14004" t="s">
        <v>49913</v>
      </c>
      <c r="X14004" t="s">
        <v>42</v>
      </c>
      <c r="Y14004" t="s">
        <v>17171</v>
      </c>
      <c r="Z14004" t="s">
        <v>166</v>
      </c>
      <c r="AA14004" s="22" t="str">
        <f>HYPERLINK("https://www.ncbi.nlm.nih.gov/nuccore/DQ875932","NCBI Nucleotide")</f>
        <v>NCBI Nucleotide</v>
      </c>
    </row>
    <row r="14005" spans="1:27" x14ac:dyDescent="0.35">
      <c r="A14005">
        <v>1011784</v>
      </c>
      <c r="B14005">
        <v>12781</v>
      </c>
      <c r="C14005">
        <v>8</v>
      </c>
      <c r="D14005" t="s">
        <v>17166</v>
      </c>
      <c r="F14005" t="s">
        <v>17246</v>
      </c>
      <c r="H14005" t="s">
        <v>28921</v>
      </c>
      <c r="J14005" t="s">
        <v>29538</v>
      </c>
      <c r="L14005" t="s">
        <v>30198</v>
      </c>
      <c r="N14005" t="s">
        <v>30487</v>
      </c>
      <c r="O14005" t="s">
        <v>30894</v>
      </c>
      <c r="P14005" t="s">
        <v>30929</v>
      </c>
      <c r="R14005" s="26" t="str">
        <f t="shared" si="56"/>
        <v>Enterovirus cerhino</v>
      </c>
      <c r="S14005" t="s">
        <v>8141</v>
      </c>
      <c r="T14005" t="s">
        <v>31772</v>
      </c>
      <c r="U14005" t="s">
        <v>31773</v>
      </c>
      <c r="V14005" t="s">
        <v>31774</v>
      </c>
      <c r="W14005" t="s">
        <v>49914</v>
      </c>
      <c r="X14005" t="s">
        <v>42</v>
      </c>
      <c r="Y14005" t="s">
        <v>17171</v>
      </c>
      <c r="Z14005" t="s">
        <v>166</v>
      </c>
      <c r="AA14005" s="22" t="str">
        <f>HYPERLINK("https://www.ncbi.nlm.nih.gov/nuccore/GQ223227","NCBI Nucleotide")</f>
        <v>NCBI Nucleotide</v>
      </c>
    </row>
    <row r="14006" spans="1:27" x14ac:dyDescent="0.35">
      <c r="A14006">
        <v>1011785</v>
      </c>
      <c r="B14006">
        <v>12781</v>
      </c>
      <c r="C14006">
        <v>9</v>
      </c>
      <c r="D14006" t="s">
        <v>17166</v>
      </c>
      <c r="F14006" t="s">
        <v>17246</v>
      </c>
      <c r="H14006" t="s">
        <v>28921</v>
      </c>
      <c r="J14006" t="s">
        <v>29538</v>
      </c>
      <c r="L14006" t="s">
        <v>30198</v>
      </c>
      <c r="N14006" t="s">
        <v>30487</v>
      </c>
      <c r="O14006" t="s">
        <v>30894</v>
      </c>
      <c r="P14006" t="s">
        <v>30929</v>
      </c>
      <c r="R14006" s="26" t="str">
        <f t="shared" si="56"/>
        <v>Enterovirus cerhino</v>
      </c>
      <c r="S14006" t="s">
        <v>8141</v>
      </c>
      <c r="T14006" t="s">
        <v>31775</v>
      </c>
      <c r="U14006" t="s">
        <v>31776</v>
      </c>
      <c r="V14006" t="s">
        <v>27016</v>
      </c>
      <c r="W14006" t="s">
        <v>49915</v>
      </c>
      <c r="X14006" t="s">
        <v>42</v>
      </c>
      <c r="Y14006" t="s">
        <v>17171</v>
      </c>
      <c r="Z14006" t="s">
        <v>166</v>
      </c>
      <c r="AA14006" s="22" t="str">
        <f>HYPERLINK("https://www.ncbi.nlm.nih.gov/nuccore/GQ223228","NCBI Nucleotide")</f>
        <v>NCBI Nucleotide</v>
      </c>
    </row>
    <row r="14007" spans="1:27" x14ac:dyDescent="0.35">
      <c r="A14007">
        <v>1011786</v>
      </c>
      <c r="B14007">
        <v>12781</v>
      </c>
      <c r="C14007">
        <v>10</v>
      </c>
      <c r="D14007" t="s">
        <v>17166</v>
      </c>
      <c r="F14007" t="s">
        <v>17246</v>
      </c>
      <c r="H14007" t="s">
        <v>28921</v>
      </c>
      <c r="J14007" t="s">
        <v>29538</v>
      </c>
      <c r="L14007" t="s">
        <v>30198</v>
      </c>
      <c r="N14007" t="s">
        <v>30487</v>
      </c>
      <c r="O14007" t="s">
        <v>30894</v>
      </c>
      <c r="P14007" t="s">
        <v>30929</v>
      </c>
      <c r="R14007" s="26" t="str">
        <f t="shared" si="56"/>
        <v>Enterovirus cerhino</v>
      </c>
      <c r="S14007" t="s">
        <v>8141</v>
      </c>
      <c r="T14007" t="s">
        <v>31777</v>
      </c>
      <c r="U14007" t="s">
        <v>31778</v>
      </c>
      <c r="V14007" t="s">
        <v>31779</v>
      </c>
      <c r="W14007" t="s">
        <v>49916</v>
      </c>
      <c r="X14007" t="s">
        <v>42</v>
      </c>
      <c r="Y14007" t="s">
        <v>17171</v>
      </c>
      <c r="Z14007" t="s">
        <v>166</v>
      </c>
      <c r="AA14007" s="22" t="str">
        <f>HYPERLINK("https://www.ncbi.nlm.nih.gov/nuccore/GQ323774","NCBI Nucleotide")</f>
        <v>NCBI Nucleotide</v>
      </c>
    </row>
    <row r="14008" spans="1:27" x14ac:dyDescent="0.35">
      <c r="A14008">
        <v>1011787</v>
      </c>
      <c r="B14008">
        <v>12781</v>
      </c>
      <c r="C14008">
        <v>11</v>
      </c>
      <c r="D14008" t="s">
        <v>17166</v>
      </c>
      <c r="F14008" t="s">
        <v>17246</v>
      </c>
      <c r="H14008" t="s">
        <v>28921</v>
      </c>
      <c r="J14008" t="s">
        <v>29538</v>
      </c>
      <c r="L14008" t="s">
        <v>30198</v>
      </c>
      <c r="N14008" t="s">
        <v>30487</v>
      </c>
      <c r="O14008" t="s">
        <v>30894</v>
      </c>
      <c r="P14008" t="s">
        <v>30929</v>
      </c>
      <c r="R14008" s="26" t="str">
        <f t="shared" si="56"/>
        <v>Enterovirus cerhino</v>
      </c>
      <c r="S14008" t="s">
        <v>8141</v>
      </c>
      <c r="T14008" t="s">
        <v>31780</v>
      </c>
      <c r="U14008" t="s">
        <v>31781</v>
      </c>
      <c r="V14008" t="s">
        <v>31782</v>
      </c>
      <c r="W14008" t="s">
        <v>49917</v>
      </c>
      <c r="X14008" t="s">
        <v>42</v>
      </c>
      <c r="Y14008" t="s">
        <v>17171</v>
      </c>
      <c r="Z14008" t="s">
        <v>166</v>
      </c>
      <c r="AA14008" s="22" t="str">
        <f>HYPERLINK("https://www.ncbi.nlm.nih.gov/nuccore/EU840952","NCBI Nucleotide")</f>
        <v>NCBI Nucleotide</v>
      </c>
    </row>
    <row r="14009" spans="1:27" x14ac:dyDescent="0.35">
      <c r="A14009">
        <v>1011788</v>
      </c>
      <c r="B14009">
        <v>12781</v>
      </c>
      <c r="C14009">
        <v>12</v>
      </c>
      <c r="D14009" t="s">
        <v>17166</v>
      </c>
      <c r="F14009" t="s">
        <v>17246</v>
      </c>
      <c r="H14009" t="s">
        <v>28921</v>
      </c>
      <c r="J14009" t="s">
        <v>29538</v>
      </c>
      <c r="L14009" t="s">
        <v>30198</v>
      </c>
      <c r="N14009" t="s">
        <v>30487</v>
      </c>
      <c r="O14009" t="s">
        <v>30894</v>
      </c>
      <c r="P14009" t="s">
        <v>30929</v>
      </c>
      <c r="R14009" s="26" t="str">
        <f t="shared" si="56"/>
        <v>Enterovirus cerhino</v>
      </c>
      <c r="S14009" t="s">
        <v>8141</v>
      </c>
      <c r="T14009" t="s">
        <v>31783</v>
      </c>
      <c r="U14009" t="s">
        <v>31784</v>
      </c>
      <c r="V14009" t="s">
        <v>31785</v>
      </c>
      <c r="W14009" t="s">
        <v>49918</v>
      </c>
      <c r="X14009" t="s">
        <v>154</v>
      </c>
      <c r="Y14009" t="s">
        <v>17171</v>
      </c>
      <c r="Z14009" t="s">
        <v>166</v>
      </c>
      <c r="AA14009" s="22" t="str">
        <f>HYPERLINK("https://www.ncbi.nlm.nih.gov/nuccore/HM236958","NCBI Nucleotide")</f>
        <v>NCBI Nucleotide</v>
      </c>
    </row>
    <row r="14010" spans="1:27" x14ac:dyDescent="0.35">
      <c r="A14010">
        <v>1011789</v>
      </c>
      <c r="B14010">
        <v>12781</v>
      </c>
      <c r="C14010">
        <v>13</v>
      </c>
      <c r="D14010" t="s">
        <v>17166</v>
      </c>
      <c r="F14010" t="s">
        <v>17246</v>
      </c>
      <c r="H14010" t="s">
        <v>28921</v>
      </c>
      <c r="J14010" t="s">
        <v>29538</v>
      </c>
      <c r="L14010" t="s">
        <v>30198</v>
      </c>
      <c r="N14010" t="s">
        <v>30487</v>
      </c>
      <c r="O14010" t="s">
        <v>30894</v>
      </c>
      <c r="P14010" t="s">
        <v>30929</v>
      </c>
      <c r="R14010" s="26" t="str">
        <f t="shared" si="56"/>
        <v>Enterovirus cerhino</v>
      </c>
      <c r="S14010" t="s">
        <v>8141</v>
      </c>
      <c r="T14010" t="s">
        <v>31786</v>
      </c>
      <c r="U14010" t="s">
        <v>31787</v>
      </c>
      <c r="V14010" t="s">
        <v>31788</v>
      </c>
      <c r="W14010" t="s">
        <v>49919</v>
      </c>
      <c r="X14010" t="s">
        <v>154</v>
      </c>
      <c r="Y14010" t="s">
        <v>17171</v>
      </c>
      <c r="Z14010" t="s">
        <v>166</v>
      </c>
      <c r="AA14010" s="22" t="str">
        <f>HYPERLINK("https://www.ncbi.nlm.nih.gov/nuccore/HM236908","NCBI Nucleotide")</f>
        <v>NCBI Nucleotide</v>
      </c>
    </row>
    <row r="14011" spans="1:27" x14ac:dyDescent="0.35">
      <c r="A14011">
        <v>1011790</v>
      </c>
      <c r="B14011">
        <v>12781</v>
      </c>
      <c r="C14011">
        <v>14</v>
      </c>
      <c r="D14011" t="s">
        <v>17166</v>
      </c>
      <c r="F14011" t="s">
        <v>17246</v>
      </c>
      <c r="H14011" t="s">
        <v>28921</v>
      </c>
      <c r="J14011" t="s">
        <v>29538</v>
      </c>
      <c r="L14011" t="s">
        <v>30198</v>
      </c>
      <c r="N14011" t="s">
        <v>30487</v>
      </c>
      <c r="O14011" t="s">
        <v>30894</v>
      </c>
      <c r="P14011" t="s">
        <v>30929</v>
      </c>
      <c r="R14011" s="26" t="str">
        <f t="shared" si="56"/>
        <v>Enterovirus cerhino</v>
      </c>
      <c r="S14011" t="s">
        <v>8141</v>
      </c>
      <c r="T14011" t="s">
        <v>31789</v>
      </c>
      <c r="U14011" t="s">
        <v>31790</v>
      </c>
      <c r="V14011" t="s">
        <v>31791</v>
      </c>
      <c r="W14011" t="s">
        <v>49920</v>
      </c>
      <c r="X14011" t="s">
        <v>154</v>
      </c>
      <c r="Y14011" t="s">
        <v>17171</v>
      </c>
      <c r="Z14011" t="s">
        <v>166</v>
      </c>
      <c r="AA14011" s="22" t="str">
        <f>HYPERLINK("https://www.ncbi.nlm.nih.gov/nuccore/HM236911","NCBI Nucleotide")</f>
        <v>NCBI Nucleotide</v>
      </c>
    </row>
    <row r="14012" spans="1:27" x14ac:dyDescent="0.35">
      <c r="A14012">
        <v>1011791</v>
      </c>
      <c r="B14012">
        <v>12781</v>
      </c>
      <c r="C14012">
        <v>15</v>
      </c>
      <c r="D14012" t="s">
        <v>17166</v>
      </c>
      <c r="F14012" t="s">
        <v>17246</v>
      </c>
      <c r="H14012" t="s">
        <v>28921</v>
      </c>
      <c r="J14012" t="s">
        <v>29538</v>
      </c>
      <c r="L14012" t="s">
        <v>30198</v>
      </c>
      <c r="N14012" t="s">
        <v>30487</v>
      </c>
      <c r="O14012" t="s">
        <v>30894</v>
      </c>
      <c r="P14012" t="s">
        <v>30929</v>
      </c>
      <c r="R14012" s="26" t="str">
        <f t="shared" si="56"/>
        <v>Enterovirus cerhino</v>
      </c>
      <c r="S14012" t="s">
        <v>8141</v>
      </c>
      <c r="T14012" t="s">
        <v>31792</v>
      </c>
      <c r="U14012" t="s">
        <v>31793</v>
      </c>
      <c r="V14012" t="s">
        <v>31794</v>
      </c>
      <c r="W14012" t="s">
        <v>49921</v>
      </c>
      <c r="X14012" t="s">
        <v>42</v>
      </c>
      <c r="Y14012" t="s">
        <v>17171</v>
      </c>
      <c r="Z14012" t="s">
        <v>166</v>
      </c>
      <c r="AA14012" s="22" t="str">
        <f>HYPERLINK("https://www.ncbi.nlm.nih.gov/nuccore/GU219984","NCBI Nucleotide")</f>
        <v>NCBI Nucleotide</v>
      </c>
    </row>
    <row r="14013" spans="1:27" x14ac:dyDescent="0.35">
      <c r="A14013">
        <v>1011792</v>
      </c>
      <c r="B14013">
        <v>12781</v>
      </c>
      <c r="C14013">
        <v>16</v>
      </c>
      <c r="D14013" t="s">
        <v>17166</v>
      </c>
      <c r="F14013" t="s">
        <v>17246</v>
      </c>
      <c r="H14013" t="s">
        <v>28921</v>
      </c>
      <c r="J14013" t="s">
        <v>29538</v>
      </c>
      <c r="L14013" t="s">
        <v>30198</v>
      </c>
      <c r="N14013" t="s">
        <v>30487</v>
      </c>
      <c r="O14013" t="s">
        <v>30894</v>
      </c>
      <c r="P14013" t="s">
        <v>30929</v>
      </c>
      <c r="R14013" s="26" t="str">
        <f t="shared" si="56"/>
        <v>Enterovirus cerhino</v>
      </c>
      <c r="S14013" t="s">
        <v>8141</v>
      </c>
      <c r="T14013" t="s">
        <v>31795</v>
      </c>
      <c r="U14013" t="s">
        <v>31796</v>
      </c>
      <c r="V14013" t="s">
        <v>31797</v>
      </c>
      <c r="W14013" t="s">
        <v>49922</v>
      </c>
      <c r="X14013" t="s">
        <v>154</v>
      </c>
      <c r="Y14013" t="s">
        <v>17171</v>
      </c>
      <c r="Z14013" t="s">
        <v>166</v>
      </c>
      <c r="AA14013" s="22" t="str">
        <f>HYPERLINK("https://www.ncbi.nlm.nih.gov/nuccore/KR997882","NCBI Nucleotide")</f>
        <v>NCBI Nucleotide</v>
      </c>
    </row>
    <row r="14014" spans="1:27" x14ac:dyDescent="0.35">
      <c r="A14014">
        <v>1011793</v>
      </c>
      <c r="B14014">
        <v>12781</v>
      </c>
      <c r="C14014">
        <v>17</v>
      </c>
      <c r="D14014" t="s">
        <v>17166</v>
      </c>
      <c r="F14014" t="s">
        <v>17246</v>
      </c>
      <c r="H14014" t="s">
        <v>28921</v>
      </c>
      <c r="J14014" t="s">
        <v>29538</v>
      </c>
      <c r="L14014" t="s">
        <v>30198</v>
      </c>
      <c r="N14014" t="s">
        <v>30487</v>
      </c>
      <c r="O14014" t="s">
        <v>30894</v>
      </c>
      <c r="P14014" t="s">
        <v>30929</v>
      </c>
      <c r="R14014" s="26" t="str">
        <f t="shared" si="56"/>
        <v>Enterovirus cerhino</v>
      </c>
      <c r="S14014" t="s">
        <v>8141</v>
      </c>
      <c r="T14014" t="s">
        <v>31798</v>
      </c>
      <c r="U14014" t="s">
        <v>31799</v>
      </c>
      <c r="V14014" t="s">
        <v>31800</v>
      </c>
      <c r="W14014" t="s">
        <v>49923</v>
      </c>
      <c r="X14014" t="s">
        <v>154</v>
      </c>
      <c r="Y14014" t="s">
        <v>17171</v>
      </c>
      <c r="Z14014" t="s">
        <v>166</v>
      </c>
      <c r="AA14014" s="22" t="str">
        <f>HYPERLINK("https://www.ncbi.nlm.nih.gov/nuccore/HM236936","NCBI Nucleotide")</f>
        <v>NCBI Nucleotide</v>
      </c>
    </row>
    <row r="14015" spans="1:27" x14ac:dyDescent="0.35">
      <c r="A14015">
        <v>1011794</v>
      </c>
      <c r="B14015">
        <v>12781</v>
      </c>
      <c r="C14015">
        <v>18</v>
      </c>
      <c r="D14015" t="s">
        <v>17166</v>
      </c>
      <c r="F14015" t="s">
        <v>17246</v>
      </c>
      <c r="H14015" t="s">
        <v>28921</v>
      </c>
      <c r="J14015" t="s">
        <v>29538</v>
      </c>
      <c r="L14015" t="s">
        <v>30198</v>
      </c>
      <c r="N14015" t="s">
        <v>30487</v>
      </c>
      <c r="O14015" t="s">
        <v>30894</v>
      </c>
      <c r="P14015" t="s">
        <v>30929</v>
      </c>
      <c r="R14015" s="26" t="str">
        <f t="shared" si="56"/>
        <v>Enterovirus cerhino</v>
      </c>
      <c r="S14015" t="s">
        <v>8141</v>
      </c>
      <c r="T14015" t="s">
        <v>31801</v>
      </c>
      <c r="U14015" t="s">
        <v>31802</v>
      </c>
      <c r="V14015" t="s">
        <v>31803</v>
      </c>
      <c r="W14015" t="s">
        <v>49924</v>
      </c>
      <c r="X14015" t="s">
        <v>154</v>
      </c>
      <c r="Y14015" t="s">
        <v>17171</v>
      </c>
      <c r="Z14015" t="s">
        <v>166</v>
      </c>
      <c r="AA14015" s="22" t="str">
        <f>HYPERLINK("https://www.ncbi.nlm.nih.gov/nuccore/HM236918","NCBI Nucleotide")</f>
        <v>NCBI Nucleotide</v>
      </c>
    </row>
    <row r="14016" spans="1:27" x14ac:dyDescent="0.35">
      <c r="A14016">
        <v>1011795</v>
      </c>
      <c r="B14016">
        <v>12781</v>
      </c>
      <c r="C14016">
        <v>19</v>
      </c>
      <c r="D14016" t="s">
        <v>17166</v>
      </c>
      <c r="F14016" t="s">
        <v>17246</v>
      </c>
      <c r="H14016" t="s">
        <v>28921</v>
      </c>
      <c r="J14016" t="s">
        <v>29538</v>
      </c>
      <c r="L14016" t="s">
        <v>30198</v>
      </c>
      <c r="N14016" t="s">
        <v>30487</v>
      </c>
      <c r="O14016" t="s">
        <v>30894</v>
      </c>
      <c r="P14016" t="s">
        <v>30929</v>
      </c>
      <c r="R14016" s="26" t="str">
        <f t="shared" si="56"/>
        <v>Enterovirus cerhino</v>
      </c>
      <c r="S14016" t="s">
        <v>8141</v>
      </c>
      <c r="T14016" t="s">
        <v>31804</v>
      </c>
      <c r="U14016" t="s">
        <v>31805</v>
      </c>
      <c r="V14016" t="s">
        <v>31806</v>
      </c>
      <c r="W14016" t="s">
        <v>49925</v>
      </c>
      <c r="X14016" t="s">
        <v>154</v>
      </c>
      <c r="Y14016" t="s">
        <v>17171</v>
      </c>
      <c r="Z14016" t="s">
        <v>166</v>
      </c>
      <c r="AA14016" s="22" t="str">
        <f>HYPERLINK("https://www.ncbi.nlm.nih.gov/nuccore/EU840728","NCBI Nucleotide")</f>
        <v>NCBI Nucleotide</v>
      </c>
    </row>
    <row r="14017" spans="1:27" x14ac:dyDescent="0.35">
      <c r="A14017">
        <v>1011796</v>
      </c>
      <c r="B14017">
        <v>12781</v>
      </c>
      <c r="C14017">
        <v>20</v>
      </c>
      <c r="D14017" t="s">
        <v>17166</v>
      </c>
      <c r="F14017" t="s">
        <v>17246</v>
      </c>
      <c r="H14017" t="s">
        <v>28921</v>
      </c>
      <c r="J14017" t="s">
        <v>29538</v>
      </c>
      <c r="L14017" t="s">
        <v>30198</v>
      </c>
      <c r="N14017" t="s">
        <v>30487</v>
      </c>
      <c r="O14017" t="s">
        <v>30894</v>
      </c>
      <c r="P14017" t="s">
        <v>30929</v>
      </c>
      <c r="R14017" s="26" t="str">
        <f t="shared" si="56"/>
        <v>Enterovirus cerhino</v>
      </c>
      <c r="S14017" t="s">
        <v>8141</v>
      </c>
      <c r="T14017" t="s">
        <v>31807</v>
      </c>
      <c r="U14017" t="s">
        <v>31808</v>
      </c>
      <c r="V14017" t="s">
        <v>31809</v>
      </c>
      <c r="W14017" t="s">
        <v>49926</v>
      </c>
      <c r="X14017" t="s">
        <v>154</v>
      </c>
      <c r="Y14017" t="s">
        <v>17171</v>
      </c>
      <c r="Z14017" t="s">
        <v>166</v>
      </c>
      <c r="AA14017" s="22" t="str">
        <f>HYPERLINK("https://www.ncbi.nlm.nih.gov/nuccore/HM236923","NCBI Nucleotide")</f>
        <v>NCBI Nucleotide</v>
      </c>
    </row>
    <row r="14018" spans="1:27" x14ac:dyDescent="0.35">
      <c r="A14018">
        <v>1011797</v>
      </c>
      <c r="B14018">
        <v>12781</v>
      </c>
      <c r="C14018">
        <v>21</v>
      </c>
      <c r="D14018" t="s">
        <v>17166</v>
      </c>
      <c r="F14018" t="s">
        <v>17246</v>
      </c>
      <c r="H14018" t="s">
        <v>28921</v>
      </c>
      <c r="J14018" t="s">
        <v>29538</v>
      </c>
      <c r="L14018" t="s">
        <v>30198</v>
      </c>
      <c r="N14018" t="s">
        <v>30487</v>
      </c>
      <c r="O14018" t="s">
        <v>30894</v>
      </c>
      <c r="P14018" t="s">
        <v>30929</v>
      </c>
      <c r="R14018" s="26" t="str">
        <f t="shared" si="56"/>
        <v>Enterovirus cerhino</v>
      </c>
      <c r="S14018" t="s">
        <v>8141</v>
      </c>
      <c r="T14018" t="s">
        <v>31810</v>
      </c>
      <c r="U14018" t="s">
        <v>31811</v>
      </c>
      <c r="V14018" t="s">
        <v>31812</v>
      </c>
      <c r="W14018" t="s">
        <v>49927</v>
      </c>
      <c r="X14018" t="s">
        <v>154</v>
      </c>
      <c r="Y14018" t="s">
        <v>17171</v>
      </c>
      <c r="Z14018" t="s">
        <v>166</v>
      </c>
      <c r="AA14018" s="22" t="str">
        <f>HYPERLINK("https://www.ncbi.nlm.nih.gov/nuccore/HM236903","NCBI Nucleotide")</f>
        <v>NCBI Nucleotide</v>
      </c>
    </row>
    <row r="14019" spans="1:27" x14ac:dyDescent="0.35">
      <c r="A14019">
        <v>1011798</v>
      </c>
      <c r="B14019">
        <v>12781</v>
      </c>
      <c r="C14019">
        <v>22</v>
      </c>
      <c r="D14019" t="s">
        <v>17166</v>
      </c>
      <c r="F14019" t="s">
        <v>17246</v>
      </c>
      <c r="H14019" t="s">
        <v>28921</v>
      </c>
      <c r="J14019" t="s">
        <v>29538</v>
      </c>
      <c r="L14019" t="s">
        <v>30198</v>
      </c>
      <c r="N14019" t="s">
        <v>30487</v>
      </c>
      <c r="O14019" t="s">
        <v>30894</v>
      </c>
      <c r="P14019" t="s">
        <v>30929</v>
      </c>
      <c r="R14019" s="26" t="str">
        <f t="shared" si="56"/>
        <v>Enterovirus cerhino</v>
      </c>
      <c r="S14019" t="s">
        <v>8141</v>
      </c>
      <c r="T14019" t="s">
        <v>31813</v>
      </c>
      <c r="U14019" t="s">
        <v>31814</v>
      </c>
      <c r="V14019" t="s">
        <v>31815</v>
      </c>
      <c r="W14019" t="s">
        <v>49928</v>
      </c>
      <c r="X14019" t="s">
        <v>42</v>
      </c>
      <c r="Y14019" t="s">
        <v>17171</v>
      </c>
      <c r="Z14019" t="s">
        <v>166</v>
      </c>
      <c r="AA14019" s="22" t="str">
        <f>HYPERLINK("https://www.ncbi.nlm.nih.gov/nuccore/KJ675507","NCBI Nucleotide")</f>
        <v>NCBI Nucleotide</v>
      </c>
    </row>
    <row r="14020" spans="1:27" x14ac:dyDescent="0.35">
      <c r="A14020">
        <v>1011799</v>
      </c>
      <c r="B14020">
        <v>12781</v>
      </c>
      <c r="C14020">
        <v>23</v>
      </c>
      <c r="D14020" t="s">
        <v>17166</v>
      </c>
      <c r="F14020" t="s">
        <v>17246</v>
      </c>
      <c r="H14020" t="s">
        <v>28921</v>
      </c>
      <c r="J14020" t="s">
        <v>29538</v>
      </c>
      <c r="L14020" t="s">
        <v>30198</v>
      </c>
      <c r="N14020" t="s">
        <v>30487</v>
      </c>
      <c r="O14020" t="s">
        <v>30894</v>
      </c>
      <c r="P14020" t="s">
        <v>30929</v>
      </c>
      <c r="R14020" s="26" t="str">
        <f t="shared" si="56"/>
        <v>Enterovirus cerhino</v>
      </c>
      <c r="S14020" t="s">
        <v>8141</v>
      </c>
      <c r="T14020" t="s">
        <v>31816</v>
      </c>
      <c r="U14020" t="s">
        <v>31817</v>
      </c>
      <c r="V14020" t="s">
        <v>31818</v>
      </c>
      <c r="W14020" t="s">
        <v>49929</v>
      </c>
      <c r="X14020" t="s">
        <v>42</v>
      </c>
      <c r="Y14020" t="s">
        <v>17171</v>
      </c>
      <c r="Z14020" t="s">
        <v>166</v>
      </c>
      <c r="AA14020" s="22" t="str">
        <f>HYPERLINK("https://www.ncbi.nlm.nih.gov/nuccore/KJ675506","NCBI Nucleotide")</f>
        <v>NCBI Nucleotide</v>
      </c>
    </row>
    <row r="14021" spans="1:27" x14ac:dyDescent="0.35">
      <c r="A14021">
        <v>1011800</v>
      </c>
      <c r="B14021">
        <v>12781</v>
      </c>
      <c r="C14021">
        <v>24</v>
      </c>
      <c r="D14021" t="s">
        <v>17166</v>
      </c>
      <c r="F14021" t="s">
        <v>17246</v>
      </c>
      <c r="H14021" t="s">
        <v>28921</v>
      </c>
      <c r="J14021" t="s">
        <v>29538</v>
      </c>
      <c r="L14021" t="s">
        <v>30198</v>
      </c>
      <c r="N14021" t="s">
        <v>30487</v>
      </c>
      <c r="O14021" t="s">
        <v>30894</v>
      </c>
      <c r="P14021" t="s">
        <v>30929</v>
      </c>
      <c r="R14021" s="26" t="str">
        <f t="shared" si="56"/>
        <v>Enterovirus cerhino</v>
      </c>
      <c r="S14021" t="s">
        <v>8141</v>
      </c>
      <c r="T14021" t="s">
        <v>31819</v>
      </c>
      <c r="U14021" t="s">
        <v>31820</v>
      </c>
      <c r="V14021" t="s">
        <v>31821</v>
      </c>
      <c r="W14021" t="s">
        <v>49930</v>
      </c>
      <c r="X14021" t="s">
        <v>154</v>
      </c>
      <c r="Y14021" t="s">
        <v>17171</v>
      </c>
      <c r="Z14021" t="s">
        <v>166</v>
      </c>
      <c r="AA14021" s="22" t="str">
        <f>HYPERLINK("https://www.ncbi.nlm.nih.gov/nuccore/HM236939","NCBI Nucleotide")</f>
        <v>NCBI Nucleotide</v>
      </c>
    </row>
    <row r="14022" spans="1:27" x14ac:dyDescent="0.35">
      <c r="A14022">
        <v>1011801</v>
      </c>
      <c r="B14022">
        <v>12781</v>
      </c>
      <c r="C14022">
        <v>25</v>
      </c>
      <c r="D14022" t="s">
        <v>17166</v>
      </c>
      <c r="F14022" t="s">
        <v>17246</v>
      </c>
      <c r="H14022" t="s">
        <v>28921</v>
      </c>
      <c r="J14022" t="s">
        <v>29538</v>
      </c>
      <c r="L14022" t="s">
        <v>30198</v>
      </c>
      <c r="N14022" t="s">
        <v>30487</v>
      </c>
      <c r="O14022" t="s">
        <v>30894</v>
      </c>
      <c r="P14022" t="s">
        <v>30929</v>
      </c>
      <c r="R14022" s="26" t="str">
        <f t="shared" si="56"/>
        <v>Enterovirus cerhino</v>
      </c>
      <c r="S14022" t="s">
        <v>8141</v>
      </c>
      <c r="T14022" t="s">
        <v>31822</v>
      </c>
      <c r="U14022" t="s">
        <v>31823</v>
      </c>
      <c r="V14022" t="s">
        <v>31824</v>
      </c>
      <c r="W14022" t="s">
        <v>49931</v>
      </c>
      <c r="X14022" t="s">
        <v>154</v>
      </c>
      <c r="Y14022" t="s">
        <v>17171</v>
      </c>
      <c r="Z14022" t="s">
        <v>166</v>
      </c>
      <c r="AA14022" s="22" t="str">
        <f>HYPERLINK("https://www.ncbi.nlm.nih.gov/nuccore/HM236952","NCBI Nucleotide")</f>
        <v>NCBI Nucleotide</v>
      </c>
    </row>
    <row r="14023" spans="1:27" x14ac:dyDescent="0.35">
      <c r="A14023">
        <v>1011802</v>
      </c>
      <c r="B14023">
        <v>12781</v>
      </c>
      <c r="C14023">
        <v>26</v>
      </c>
      <c r="D14023" t="s">
        <v>17166</v>
      </c>
      <c r="F14023" t="s">
        <v>17246</v>
      </c>
      <c r="H14023" t="s">
        <v>28921</v>
      </c>
      <c r="J14023" t="s">
        <v>29538</v>
      </c>
      <c r="L14023" t="s">
        <v>30198</v>
      </c>
      <c r="N14023" t="s">
        <v>30487</v>
      </c>
      <c r="O14023" t="s">
        <v>30894</v>
      </c>
      <c r="P14023" t="s">
        <v>30929</v>
      </c>
      <c r="R14023" s="26" t="str">
        <f t="shared" si="56"/>
        <v>Enterovirus cerhino</v>
      </c>
      <c r="S14023" t="s">
        <v>8141</v>
      </c>
      <c r="T14023" t="s">
        <v>31825</v>
      </c>
      <c r="U14023" t="s">
        <v>31826</v>
      </c>
      <c r="V14023" t="s">
        <v>31827</v>
      </c>
      <c r="W14023" t="s">
        <v>49932</v>
      </c>
      <c r="X14023" t="s">
        <v>154</v>
      </c>
      <c r="Y14023" t="s">
        <v>17171</v>
      </c>
      <c r="Z14023" t="s">
        <v>166</v>
      </c>
      <c r="AA14023" s="22" t="str">
        <f>HYPERLINK("https://www.ncbi.nlm.nih.gov/nuccore/HM236904","NCBI Nucleotide")</f>
        <v>NCBI Nucleotide</v>
      </c>
    </row>
    <row r="14024" spans="1:27" x14ac:dyDescent="0.35">
      <c r="A14024">
        <v>1011803</v>
      </c>
      <c r="B14024">
        <v>12781</v>
      </c>
      <c r="C14024">
        <v>27</v>
      </c>
      <c r="D14024" t="s">
        <v>17166</v>
      </c>
      <c r="F14024" t="s">
        <v>17246</v>
      </c>
      <c r="H14024" t="s">
        <v>28921</v>
      </c>
      <c r="J14024" t="s">
        <v>29538</v>
      </c>
      <c r="L14024" t="s">
        <v>30198</v>
      </c>
      <c r="N14024" t="s">
        <v>30487</v>
      </c>
      <c r="O14024" t="s">
        <v>30894</v>
      </c>
      <c r="P14024" t="s">
        <v>30929</v>
      </c>
      <c r="R14024" s="26" t="str">
        <f t="shared" si="56"/>
        <v>Enterovirus cerhino</v>
      </c>
      <c r="S14024" t="s">
        <v>8141</v>
      </c>
      <c r="T14024" t="s">
        <v>31828</v>
      </c>
      <c r="U14024" t="s">
        <v>31829</v>
      </c>
      <c r="V14024" t="s">
        <v>31830</v>
      </c>
      <c r="W14024" t="s">
        <v>49933</v>
      </c>
      <c r="X14024" t="s">
        <v>154</v>
      </c>
      <c r="Y14024" t="s">
        <v>17171</v>
      </c>
      <c r="Z14024" t="s">
        <v>166</v>
      </c>
      <c r="AA14024" s="22" t="str">
        <f>HYPERLINK("https://www.ncbi.nlm.nih.gov/nuccore/HM236906","NCBI Nucleotide")</f>
        <v>NCBI Nucleotide</v>
      </c>
    </row>
    <row r="14025" spans="1:27" x14ac:dyDescent="0.35">
      <c r="A14025">
        <v>1011804</v>
      </c>
      <c r="B14025">
        <v>12781</v>
      </c>
      <c r="C14025">
        <v>28</v>
      </c>
      <c r="D14025" t="s">
        <v>17166</v>
      </c>
      <c r="F14025" t="s">
        <v>17246</v>
      </c>
      <c r="H14025" t="s">
        <v>28921</v>
      </c>
      <c r="J14025" t="s">
        <v>29538</v>
      </c>
      <c r="L14025" t="s">
        <v>30198</v>
      </c>
      <c r="N14025" t="s">
        <v>30487</v>
      </c>
      <c r="O14025" t="s">
        <v>30894</v>
      </c>
      <c r="P14025" t="s">
        <v>30929</v>
      </c>
      <c r="R14025" s="26" t="str">
        <f t="shared" si="56"/>
        <v>Enterovirus cerhino</v>
      </c>
      <c r="S14025" t="s">
        <v>8141</v>
      </c>
      <c r="T14025" t="s">
        <v>31831</v>
      </c>
      <c r="U14025" t="s">
        <v>31832</v>
      </c>
      <c r="V14025" t="s">
        <v>31833</v>
      </c>
      <c r="W14025" t="s">
        <v>49934</v>
      </c>
      <c r="X14025" t="s">
        <v>154</v>
      </c>
      <c r="Y14025" t="s">
        <v>17171</v>
      </c>
      <c r="Z14025" t="s">
        <v>166</v>
      </c>
      <c r="AA14025" s="22" t="str">
        <f>HYPERLINK("https://www.ncbi.nlm.nih.gov/nuccore/HM236954","NCBI Nucleotide")</f>
        <v>NCBI Nucleotide</v>
      </c>
    </row>
    <row r="14026" spans="1:27" x14ac:dyDescent="0.35">
      <c r="A14026">
        <v>1011805</v>
      </c>
      <c r="B14026">
        <v>12781</v>
      </c>
      <c r="C14026">
        <v>29</v>
      </c>
      <c r="D14026" t="s">
        <v>17166</v>
      </c>
      <c r="F14026" t="s">
        <v>17246</v>
      </c>
      <c r="H14026" t="s">
        <v>28921</v>
      </c>
      <c r="J14026" t="s">
        <v>29538</v>
      </c>
      <c r="L14026" t="s">
        <v>30198</v>
      </c>
      <c r="N14026" t="s">
        <v>30487</v>
      </c>
      <c r="O14026" t="s">
        <v>30894</v>
      </c>
      <c r="P14026" t="s">
        <v>30929</v>
      </c>
      <c r="R14026" s="26" t="str">
        <f t="shared" si="56"/>
        <v>Enterovirus cerhino</v>
      </c>
      <c r="S14026" t="s">
        <v>8141</v>
      </c>
      <c r="T14026" t="s">
        <v>31834</v>
      </c>
      <c r="U14026" t="s">
        <v>31835</v>
      </c>
      <c r="V14026" t="s">
        <v>31836</v>
      </c>
      <c r="W14026" t="s">
        <v>49935</v>
      </c>
      <c r="X14026" t="s">
        <v>154</v>
      </c>
      <c r="Y14026" t="s">
        <v>17171</v>
      </c>
      <c r="Z14026" t="s">
        <v>166</v>
      </c>
      <c r="AA14026" s="22" t="str">
        <f>HYPERLINK("https://www.ncbi.nlm.nih.gov/nuccore/HM236949","NCBI Nucleotide")</f>
        <v>NCBI Nucleotide</v>
      </c>
    </row>
    <row r="14027" spans="1:27" x14ac:dyDescent="0.35">
      <c r="A14027">
        <v>1011806</v>
      </c>
      <c r="B14027">
        <v>12781</v>
      </c>
      <c r="C14027">
        <v>30</v>
      </c>
      <c r="D14027" t="s">
        <v>17166</v>
      </c>
      <c r="F14027" t="s">
        <v>17246</v>
      </c>
      <c r="H14027" t="s">
        <v>28921</v>
      </c>
      <c r="J14027" t="s">
        <v>29538</v>
      </c>
      <c r="L14027" t="s">
        <v>30198</v>
      </c>
      <c r="N14027" t="s">
        <v>30487</v>
      </c>
      <c r="O14027" t="s">
        <v>30894</v>
      </c>
      <c r="P14027" t="s">
        <v>30929</v>
      </c>
      <c r="R14027" s="26" t="str">
        <f t="shared" si="56"/>
        <v>Enterovirus cerhino</v>
      </c>
      <c r="S14027" t="s">
        <v>8141</v>
      </c>
      <c r="T14027" t="s">
        <v>31837</v>
      </c>
      <c r="U14027" t="s">
        <v>31838</v>
      </c>
      <c r="V14027" t="s">
        <v>31839</v>
      </c>
      <c r="W14027" t="s">
        <v>49936</v>
      </c>
      <c r="X14027" t="s">
        <v>154</v>
      </c>
      <c r="Y14027" t="s">
        <v>17171</v>
      </c>
      <c r="Z14027" t="s">
        <v>166</v>
      </c>
      <c r="AA14027" s="22" t="str">
        <f>HYPERLINK("https://www.ncbi.nlm.nih.gov/nuccore/HM236968","NCBI Nucleotide")</f>
        <v>NCBI Nucleotide</v>
      </c>
    </row>
    <row r="14028" spans="1:27" x14ac:dyDescent="0.35">
      <c r="A14028">
        <v>1011807</v>
      </c>
      <c r="B14028">
        <v>12781</v>
      </c>
      <c r="C14028">
        <v>31</v>
      </c>
      <c r="D14028" t="s">
        <v>17166</v>
      </c>
      <c r="F14028" t="s">
        <v>17246</v>
      </c>
      <c r="H14028" t="s">
        <v>28921</v>
      </c>
      <c r="J14028" t="s">
        <v>29538</v>
      </c>
      <c r="L14028" t="s">
        <v>30198</v>
      </c>
      <c r="N14028" t="s">
        <v>30487</v>
      </c>
      <c r="O14028" t="s">
        <v>30894</v>
      </c>
      <c r="P14028" t="s">
        <v>30929</v>
      </c>
      <c r="R14028" s="26" t="str">
        <f t="shared" si="56"/>
        <v>Enterovirus cerhino</v>
      </c>
      <c r="S14028" t="s">
        <v>8141</v>
      </c>
      <c r="T14028" t="s">
        <v>31840</v>
      </c>
      <c r="U14028" t="s">
        <v>31841</v>
      </c>
      <c r="V14028" t="s">
        <v>31842</v>
      </c>
      <c r="W14028" t="s">
        <v>49937</v>
      </c>
      <c r="X14028" t="s">
        <v>154</v>
      </c>
      <c r="Y14028" t="s">
        <v>17171</v>
      </c>
      <c r="Z14028" t="s">
        <v>166</v>
      </c>
      <c r="AA14028" s="22" t="str">
        <f>HYPERLINK("https://www.ncbi.nlm.nih.gov/nuccore/HM236964","NCBI Nucleotide")</f>
        <v>NCBI Nucleotide</v>
      </c>
    </row>
    <row r="14029" spans="1:27" x14ac:dyDescent="0.35">
      <c r="A14029">
        <v>1011808</v>
      </c>
      <c r="B14029">
        <v>12781</v>
      </c>
      <c r="C14029">
        <v>32</v>
      </c>
      <c r="D14029" t="s">
        <v>17166</v>
      </c>
      <c r="F14029" t="s">
        <v>17246</v>
      </c>
      <c r="H14029" t="s">
        <v>28921</v>
      </c>
      <c r="J14029" t="s">
        <v>29538</v>
      </c>
      <c r="L14029" t="s">
        <v>30198</v>
      </c>
      <c r="N14029" t="s">
        <v>30487</v>
      </c>
      <c r="O14029" t="s">
        <v>30894</v>
      </c>
      <c r="P14029" t="s">
        <v>30929</v>
      </c>
      <c r="R14029" s="26" t="str">
        <f t="shared" si="56"/>
        <v>Enterovirus cerhino</v>
      </c>
      <c r="S14029" t="s">
        <v>8141</v>
      </c>
      <c r="T14029" t="s">
        <v>31843</v>
      </c>
      <c r="U14029" t="s">
        <v>31844</v>
      </c>
      <c r="V14029" t="s">
        <v>31845</v>
      </c>
      <c r="W14029" t="s">
        <v>49938</v>
      </c>
      <c r="X14029" t="s">
        <v>154</v>
      </c>
      <c r="Y14029" t="s">
        <v>17171</v>
      </c>
      <c r="Z14029" t="s">
        <v>166</v>
      </c>
      <c r="AA14029" s="22" t="str">
        <f>HYPERLINK("https://www.ncbi.nlm.nih.gov/nuccore/HM236897","NCBI Nucleotide")</f>
        <v>NCBI Nucleotide</v>
      </c>
    </row>
    <row r="14030" spans="1:27" x14ac:dyDescent="0.35">
      <c r="A14030">
        <v>1011809</v>
      </c>
      <c r="B14030">
        <v>12781</v>
      </c>
      <c r="C14030">
        <v>33</v>
      </c>
      <c r="D14030" t="s">
        <v>17166</v>
      </c>
      <c r="F14030" t="s">
        <v>17246</v>
      </c>
      <c r="H14030" t="s">
        <v>28921</v>
      </c>
      <c r="J14030" t="s">
        <v>29538</v>
      </c>
      <c r="L14030" t="s">
        <v>30198</v>
      </c>
      <c r="N14030" t="s">
        <v>30487</v>
      </c>
      <c r="O14030" t="s">
        <v>30894</v>
      </c>
      <c r="P14030" t="s">
        <v>30929</v>
      </c>
      <c r="R14030" s="26" t="str">
        <f t="shared" ref="R14030:R14052" si="57">HYPERLINK("https://ictv.global/taxonomy/taxondetails?taxnode_id=202301995","Enterovirus cerhino")</f>
        <v>Enterovirus cerhino</v>
      </c>
      <c r="S14030" t="s">
        <v>8141</v>
      </c>
      <c r="T14030" t="s">
        <v>31846</v>
      </c>
      <c r="U14030" t="s">
        <v>31847</v>
      </c>
      <c r="V14030" t="s">
        <v>31848</v>
      </c>
      <c r="W14030" t="s">
        <v>49939</v>
      </c>
      <c r="X14030" t="s">
        <v>154</v>
      </c>
      <c r="Y14030" t="s">
        <v>17171</v>
      </c>
      <c r="Z14030" t="s">
        <v>166</v>
      </c>
      <c r="AA14030" s="22" t="str">
        <f>HYPERLINK("https://www.ncbi.nlm.nih.gov/nuccore/HM236934","NCBI Nucleotide")</f>
        <v>NCBI Nucleotide</v>
      </c>
    </row>
    <row r="14031" spans="1:27" x14ac:dyDescent="0.35">
      <c r="A14031">
        <v>1011810</v>
      </c>
      <c r="B14031">
        <v>12781</v>
      </c>
      <c r="C14031">
        <v>34</v>
      </c>
      <c r="D14031" t="s">
        <v>17166</v>
      </c>
      <c r="F14031" t="s">
        <v>17246</v>
      </c>
      <c r="H14031" t="s">
        <v>28921</v>
      </c>
      <c r="J14031" t="s">
        <v>29538</v>
      </c>
      <c r="L14031" t="s">
        <v>30198</v>
      </c>
      <c r="N14031" t="s">
        <v>30487</v>
      </c>
      <c r="O14031" t="s">
        <v>30894</v>
      </c>
      <c r="P14031" t="s">
        <v>30929</v>
      </c>
      <c r="R14031" s="26" t="str">
        <f t="shared" si="57"/>
        <v>Enterovirus cerhino</v>
      </c>
      <c r="S14031" t="s">
        <v>8141</v>
      </c>
      <c r="T14031" t="s">
        <v>31849</v>
      </c>
      <c r="U14031" t="s">
        <v>31850</v>
      </c>
      <c r="V14031" t="s">
        <v>31851</v>
      </c>
      <c r="W14031" t="s">
        <v>49940</v>
      </c>
      <c r="X14031" t="s">
        <v>35</v>
      </c>
      <c r="Y14031" t="s">
        <v>17171</v>
      </c>
      <c r="Z14031" t="s">
        <v>166</v>
      </c>
      <c r="AA14031" s="22" t="str">
        <f>HYPERLINK("https://www.ncbi.nlm.nih.gov/nuccore/KM486097","NCBI Nucleotide")</f>
        <v>NCBI Nucleotide</v>
      </c>
    </row>
    <row r="14032" spans="1:27" x14ac:dyDescent="0.35">
      <c r="A14032">
        <v>1011811</v>
      </c>
      <c r="B14032">
        <v>12781</v>
      </c>
      <c r="C14032">
        <v>35</v>
      </c>
      <c r="D14032" t="s">
        <v>17166</v>
      </c>
      <c r="F14032" t="s">
        <v>17246</v>
      </c>
      <c r="H14032" t="s">
        <v>28921</v>
      </c>
      <c r="J14032" t="s">
        <v>29538</v>
      </c>
      <c r="L14032" t="s">
        <v>30198</v>
      </c>
      <c r="N14032" t="s">
        <v>30487</v>
      </c>
      <c r="O14032" t="s">
        <v>30894</v>
      </c>
      <c r="P14032" t="s">
        <v>30929</v>
      </c>
      <c r="R14032" s="26" t="str">
        <f t="shared" si="57"/>
        <v>Enterovirus cerhino</v>
      </c>
      <c r="S14032" t="s">
        <v>8141</v>
      </c>
      <c r="T14032" t="s">
        <v>31852</v>
      </c>
      <c r="U14032" t="s">
        <v>31853</v>
      </c>
      <c r="V14032" t="s">
        <v>31854</v>
      </c>
      <c r="W14032" t="s">
        <v>49941</v>
      </c>
      <c r="X14032" t="s">
        <v>42</v>
      </c>
      <c r="Y14032" t="s">
        <v>17171</v>
      </c>
      <c r="Z14032" t="s">
        <v>166</v>
      </c>
      <c r="AA14032" s="22" t="str">
        <f>HYPERLINK("https://www.ncbi.nlm.nih.gov/nuccore/JF436925","NCBI Nucleotide")</f>
        <v>NCBI Nucleotide</v>
      </c>
    </row>
    <row r="14033" spans="1:27" x14ac:dyDescent="0.35">
      <c r="A14033">
        <v>1011812</v>
      </c>
      <c r="B14033">
        <v>12781</v>
      </c>
      <c r="C14033">
        <v>36</v>
      </c>
      <c r="D14033" t="s">
        <v>17166</v>
      </c>
      <c r="F14033" t="s">
        <v>17246</v>
      </c>
      <c r="H14033" t="s">
        <v>28921</v>
      </c>
      <c r="J14033" t="s">
        <v>29538</v>
      </c>
      <c r="L14033" t="s">
        <v>30198</v>
      </c>
      <c r="N14033" t="s">
        <v>30487</v>
      </c>
      <c r="O14033" t="s">
        <v>30894</v>
      </c>
      <c r="P14033" t="s">
        <v>30929</v>
      </c>
      <c r="R14033" s="26" t="str">
        <f t="shared" si="57"/>
        <v>Enterovirus cerhino</v>
      </c>
      <c r="S14033" t="s">
        <v>8141</v>
      </c>
      <c r="T14033" t="s">
        <v>31855</v>
      </c>
      <c r="U14033" t="s">
        <v>31856</v>
      </c>
      <c r="V14033" t="s">
        <v>31857</v>
      </c>
      <c r="W14033" t="s">
        <v>49942</v>
      </c>
      <c r="X14033" t="s">
        <v>154</v>
      </c>
      <c r="Y14033" t="s">
        <v>17171</v>
      </c>
      <c r="Z14033" t="s">
        <v>166</v>
      </c>
      <c r="AA14033" s="22" t="str">
        <f>HYPERLINK("https://www.ncbi.nlm.nih.gov/nuccore/JF416311","NCBI Nucleotide")</f>
        <v>NCBI Nucleotide</v>
      </c>
    </row>
    <row r="14034" spans="1:27" x14ac:dyDescent="0.35">
      <c r="A14034">
        <v>1011813</v>
      </c>
      <c r="B14034">
        <v>12781</v>
      </c>
      <c r="C14034">
        <v>37</v>
      </c>
      <c r="D14034" t="s">
        <v>17166</v>
      </c>
      <c r="F14034" t="s">
        <v>17246</v>
      </c>
      <c r="H14034" t="s">
        <v>28921</v>
      </c>
      <c r="J14034" t="s">
        <v>29538</v>
      </c>
      <c r="L14034" t="s">
        <v>30198</v>
      </c>
      <c r="N14034" t="s">
        <v>30487</v>
      </c>
      <c r="O14034" t="s">
        <v>30894</v>
      </c>
      <c r="P14034" t="s">
        <v>30929</v>
      </c>
      <c r="R14034" s="26" t="str">
        <f t="shared" si="57"/>
        <v>Enterovirus cerhino</v>
      </c>
      <c r="S14034" t="s">
        <v>8141</v>
      </c>
      <c r="T14034" t="s">
        <v>31858</v>
      </c>
      <c r="U14034" t="s">
        <v>31859</v>
      </c>
      <c r="V14034" t="s">
        <v>31860</v>
      </c>
      <c r="W14034" t="s">
        <v>49943</v>
      </c>
      <c r="X14034" t="s">
        <v>154</v>
      </c>
      <c r="Y14034" t="s">
        <v>17171</v>
      </c>
      <c r="Z14034" t="s">
        <v>166</v>
      </c>
      <c r="AA14034" s="22" t="str">
        <f>HYPERLINK("https://www.ncbi.nlm.nih.gov/nuccore/JF416321","NCBI Nucleotide")</f>
        <v>NCBI Nucleotide</v>
      </c>
    </row>
    <row r="14035" spans="1:27" x14ac:dyDescent="0.35">
      <c r="A14035">
        <v>1011814</v>
      </c>
      <c r="B14035">
        <v>12781</v>
      </c>
      <c r="C14035">
        <v>38</v>
      </c>
      <c r="D14035" t="s">
        <v>17166</v>
      </c>
      <c r="F14035" t="s">
        <v>17246</v>
      </c>
      <c r="H14035" t="s">
        <v>28921</v>
      </c>
      <c r="J14035" t="s">
        <v>29538</v>
      </c>
      <c r="L14035" t="s">
        <v>30198</v>
      </c>
      <c r="N14035" t="s">
        <v>30487</v>
      </c>
      <c r="O14035" t="s">
        <v>30894</v>
      </c>
      <c r="P14035" t="s">
        <v>30929</v>
      </c>
      <c r="R14035" s="26" t="str">
        <f t="shared" si="57"/>
        <v>Enterovirus cerhino</v>
      </c>
      <c r="S14035" t="s">
        <v>8141</v>
      </c>
      <c r="T14035" t="s">
        <v>31861</v>
      </c>
      <c r="U14035" t="s">
        <v>31862</v>
      </c>
      <c r="V14035" t="s">
        <v>31863</v>
      </c>
      <c r="W14035" t="s">
        <v>49944</v>
      </c>
      <c r="X14035" t="s">
        <v>154</v>
      </c>
      <c r="Y14035" t="s">
        <v>17171</v>
      </c>
      <c r="Z14035" t="s">
        <v>166</v>
      </c>
      <c r="AA14035" s="22" t="str">
        <f>HYPERLINK("https://www.ncbi.nlm.nih.gov/nuccore/JF416322","NCBI Nucleotide")</f>
        <v>NCBI Nucleotide</v>
      </c>
    </row>
    <row r="14036" spans="1:27" x14ac:dyDescent="0.35">
      <c r="A14036">
        <v>1011815</v>
      </c>
      <c r="B14036">
        <v>12781</v>
      </c>
      <c r="C14036">
        <v>39</v>
      </c>
      <c r="D14036" t="s">
        <v>17166</v>
      </c>
      <c r="F14036" t="s">
        <v>17246</v>
      </c>
      <c r="H14036" t="s">
        <v>28921</v>
      </c>
      <c r="J14036" t="s">
        <v>29538</v>
      </c>
      <c r="L14036" t="s">
        <v>30198</v>
      </c>
      <c r="N14036" t="s">
        <v>30487</v>
      </c>
      <c r="O14036" t="s">
        <v>30894</v>
      </c>
      <c r="P14036" t="s">
        <v>30929</v>
      </c>
      <c r="R14036" s="26" t="str">
        <f t="shared" si="57"/>
        <v>Enterovirus cerhino</v>
      </c>
      <c r="S14036" t="s">
        <v>8141</v>
      </c>
      <c r="T14036" t="s">
        <v>31864</v>
      </c>
      <c r="U14036" t="s">
        <v>31865</v>
      </c>
      <c r="V14036" t="s">
        <v>31866</v>
      </c>
      <c r="W14036" t="s">
        <v>49945</v>
      </c>
      <c r="X14036" t="s">
        <v>42</v>
      </c>
      <c r="Y14036" t="s">
        <v>17171</v>
      </c>
      <c r="Z14036" t="s">
        <v>166</v>
      </c>
      <c r="AA14036" s="22" t="str">
        <f>HYPERLINK("https://www.ncbi.nlm.nih.gov/nuccore/JN205461","NCBI Nucleotide")</f>
        <v>NCBI Nucleotide</v>
      </c>
    </row>
    <row r="14037" spans="1:27" x14ac:dyDescent="0.35">
      <c r="A14037">
        <v>1011816</v>
      </c>
      <c r="B14037">
        <v>12781</v>
      </c>
      <c r="C14037">
        <v>40</v>
      </c>
      <c r="D14037" t="s">
        <v>17166</v>
      </c>
      <c r="F14037" t="s">
        <v>17246</v>
      </c>
      <c r="H14037" t="s">
        <v>28921</v>
      </c>
      <c r="J14037" t="s">
        <v>29538</v>
      </c>
      <c r="L14037" t="s">
        <v>30198</v>
      </c>
      <c r="N14037" t="s">
        <v>30487</v>
      </c>
      <c r="O14037" t="s">
        <v>30894</v>
      </c>
      <c r="P14037" t="s">
        <v>30929</v>
      </c>
      <c r="R14037" s="26" t="str">
        <f t="shared" si="57"/>
        <v>Enterovirus cerhino</v>
      </c>
      <c r="S14037" t="s">
        <v>8141</v>
      </c>
      <c r="T14037" t="s">
        <v>31867</v>
      </c>
      <c r="U14037" t="s">
        <v>31868</v>
      </c>
      <c r="V14037" t="s">
        <v>31869</v>
      </c>
      <c r="W14037" t="s">
        <v>49946</v>
      </c>
      <c r="X14037" t="s">
        <v>42</v>
      </c>
      <c r="Y14037" t="s">
        <v>17171</v>
      </c>
      <c r="Z14037" t="s">
        <v>166</v>
      </c>
      <c r="AA14037" s="22" t="str">
        <f>HYPERLINK("https://www.ncbi.nlm.nih.gov/nuccore/JN815251","NCBI Nucleotide")</f>
        <v>NCBI Nucleotide</v>
      </c>
    </row>
    <row r="14038" spans="1:27" x14ac:dyDescent="0.35">
      <c r="A14038">
        <v>1011817</v>
      </c>
      <c r="B14038">
        <v>12781</v>
      </c>
      <c r="C14038">
        <v>41</v>
      </c>
      <c r="D14038" t="s">
        <v>17166</v>
      </c>
      <c r="F14038" t="s">
        <v>17246</v>
      </c>
      <c r="H14038" t="s">
        <v>28921</v>
      </c>
      <c r="J14038" t="s">
        <v>29538</v>
      </c>
      <c r="L14038" t="s">
        <v>30198</v>
      </c>
      <c r="N14038" t="s">
        <v>30487</v>
      </c>
      <c r="O14038" t="s">
        <v>30894</v>
      </c>
      <c r="P14038" t="s">
        <v>30929</v>
      </c>
      <c r="R14038" s="26" t="str">
        <f t="shared" si="57"/>
        <v>Enterovirus cerhino</v>
      </c>
      <c r="S14038" t="s">
        <v>8141</v>
      </c>
      <c r="T14038" t="s">
        <v>31870</v>
      </c>
      <c r="U14038" t="s">
        <v>31871</v>
      </c>
      <c r="V14038" t="s">
        <v>31872</v>
      </c>
      <c r="W14038" t="s">
        <v>49947</v>
      </c>
      <c r="X14038" t="s">
        <v>42</v>
      </c>
      <c r="Y14038" t="s">
        <v>17171</v>
      </c>
      <c r="Z14038" t="s">
        <v>166</v>
      </c>
      <c r="AA14038" s="22" t="str">
        <f>HYPERLINK("https://www.ncbi.nlm.nih.gov/nuccore/KF958311","NCBI Nucleotide")</f>
        <v>NCBI Nucleotide</v>
      </c>
    </row>
    <row r="14039" spans="1:27" x14ac:dyDescent="0.35">
      <c r="A14039">
        <v>1011818</v>
      </c>
      <c r="B14039">
        <v>12781</v>
      </c>
      <c r="C14039">
        <v>42</v>
      </c>
      <c r="D14039" t="s">
        <v>17166</v>
      </c>
      <c r="F14039" t="s">
        <v>17246</v>
      </c>
      <c r="H14039" t="s">
        <v>28921</v>
      </c>
      <c r="J14039" t="s">
        <v>29538</v>
      </c>
      <c r="L14039" t="s">
        <v>30198</v>
      </c>
      <c r="N14039" t="s">
        <v>30487</v>
      </c>
      <c r="O14039" t="s">
        <v>30894</v>
      </c>
      <c r="P14039" t="s">
        <v>30929</v>
      </c>
      <c r="R14039" s="26" t="str">
        <f t="shared" si="57"/>
        <v>Enterovirus cerhino</v>
      </c>
      <c r="S14039" t="s">
        <v>8141</v>
      </c>
      <c r="T14039" t="s">
        <v>31873</v>
      </c>
      <c r="U14039" t="s">
        <v>31874</v>
      </c>
      <c r="V14039" t="s">
        <v>31875</v>
      </c>
      <c r="W14039" t="s">
        <v>49948</v>
      </c>
      <c r="X14039" t="s">
        <v>42</v>
      </c>
      <c r="Y14039" t="s">
        <v>17171</v>
      </c>
      <c r="Z14039" t="s">
        <v>166</v>
      </c>
      <c r="AA14039" s="22" t="str">
        <f>HYPERLINK("https://www.ncbi.nlm.nih.gov/nuccore/KJ675505","NCBI Nucleotide")</f>
        <v>NCBI Nucleotide</v>
      </c>
    </row>
    <row r="14040" spans="1:27" x14ac:dyDescent="0.35">
      <c r="A14040">
        <v>1011819</v>
      </c>
      <c r="B14040">
        <v>12781</v>
      </c>
      <c r="C14040">
        <v>43</v>
      </c>
      <c r="D14040" t="s">
        <v>17166</v>
      </c>
      <c r="F14040" t="s">
        <v>17246</v>
      </c>
      <c r="H14040" t="s">
        <v>28921</v>
      </c>
      <c r="J14040" t="s">
        <v>29538</v>
      </c>
      <c r="L14040" t="s">
        <v>30198</v>
      </c>
      <c r="N14040" t="s">
        <v>30487</v>
      </c>
      <c r="O14040" t="s">
        <v>30894</v>
      </c>
      <c r="P14040" t="s">
        <v>30929</v>
      </c>
      <c r="R14040" s="26" t="str">
        <f t="shared" si="57"/>
        <v>Enterovirus cerhino</v>
      </c>
      <c r="S14040" t="s">
        <v>8141</v>
      </c>
      <c r="T14040" t="s">
        <v>31876</v>
      </c>
      <c r="U14040" t="s">
        <v>31877</v>
      </c>
      <c r="V14040" t="s">
        <v>31878</v>
      </c>
      <c r="W14040" t="s">
        <v>49949</v>
      </c>
      <c r="X14040" t="s">
        <v>42</v>
      </c>
      <c r="Y14040" t="s">
        <v>17171</v>
      </c>
      <c r="Z14040" t="s">
        <v>166</v>
      </c>
      <c r="AA14040" s="22" t="str">
        <f>HYPERLINK("https://www.ncbi.nlm.nih.gov/nuccore/JN815249","NCBI Nucleotide")</f>
        <v>NCBI Nucleotide</v>
      </c>
    </row>
    <row r="14041" spans="1:27" x14ac:dyDescent="0.35">
      <c r="A14041">
        <v>1011820</v>
      </c>
      <c r="B14041">
        <v>12781</v>
      </c>
      <c r="C14041">
        <v>44</v>
      </c>
      <c r="D14041" t="s">
        <v>17166</v>
      </c>
      <c r="F14041" t="s">
        <v>17246</v>
      </c>
      <c r="H14041" t="s">
        <v>28921</v>
      </c>
      <c r="J14041" t="s">
        <v>29538</v>
      </c>
      <c r="L14041" t="s">
        <v>30198</v>
      </c>
      <c r="N14041" t="s">
        <v>30487</v>
      </c>
      <c r="O14041" t="s">
        <v>30894</v>
      </c>
      <c r="P14041" t="s">
        <v>30929</v>
      </c>
      <c r="R14041" s="26" t="str">
        <f t="shared" si="57"/>
        <v>Enterovirus cerhino</v>
      </c>
      <c r="S14041" t="s">
        <v>8141</v>
      </c>
      <c r="T14041" t="s">
        <v>31879</v>
      </c>
      <c r="U14041" t="s">
        <v>31880</v>
      </c>
      <c r="V14041" t="s">
        <v>31881</v>
      </c>
      <c r="W14041" t="s">
        <v>49950</v>
      </c>
      <c r="X14041" t="s">
        <v>154</v>
      </c>
      <c r="Y14041" t="s">
        <v>17171</v>
      </c>
      <c r="Z14041" t="s">
        <v>166</v>
      </c>
      <c r="AA14041" s="22" t="str">
        <f>HYPERLINK("https://www.ncbi.nlm.nih.gov/nuccore/JF416310","NCBI Nucleotide")</f>
        <v>NCBI Nucleotide</v>
      </c>
    </row>
    <row r="14042" spans="1:27" x14ac:dyDescent="0.35">
      <c r="A14042">
        <v>1011821</v>
      </c>
      <c r="B14042">
        <v>12781</v>
      </c>
      <c r="C14042">
        <v>45</v>
      </c>
      <c r="D14042" t="s">
        <v>17166</v>
      </c>
      <c r="F14042" t="s">
        <v>17246</v>
      </c>
      <c r="H14042" t="s">
        <v>28921</v>
      </c>
      <c r="J14042" t="s">
        <v>29538</v>
      </c>
      <c r="L14042" t="s">
        <v>30198</v>
      </c>
      <c r="N14042" t="s">
        <v>30487</v>
      </c>
      <c r="O14042" t="s">
        <v>30894</v>
      </c>
      <c r="P14042" t="s">
        <v>30929</v>
      </c>
      <c r="R14042" s="26" t="str">
        <f t="shared" si="57"/>
        <v>Enterovirus cerhino</v>
      </c>
      <c r="S14042" t="s">
        <v>8141</v>
      </c>
      <c r="T14042" t="s">
        <v>31882</v>
      </c>
      <c r="U14042" t="s">
        <v>31883</v>
      </c>
      <c r="V14042" t="s">
        <v>31884</v>
      </c>
      <c r="W14042" t="s">
        <v>49951</v>
      </c>
      <c r="X14042" t="s">
        <v>42</v>
      </c>
      <c r="Y14042" t="s">
        <v>17171</v>
      </c>
      <c r="Z14042" t="s">
        <v>166</v>
      </c>
      <c r="AA14042" s="22" t="str">
        <f>HYPERLINK("https://www.ncbi.nlm.nih.gov/nuccore/KY624849","NCBI Nucleotide")</f>
        <v>NCBI Nucleotide</v>
      </c>
    </row>
    <row r="14043" spans="1:27" x14ac:dyDescent="0.35">
      <c r="A14043">
        <v>1011822</v>
      </c>
      <c r="B14043">
        <v>12781</v>
      </c>
      <c r="C14043">
        <v>46</v>
      </c>
      <c r="D14043" t="s">
        <v>17166</v>
      </c>
      <c r="F14043" t="s">
        <v>17246</v>
      </c>
      <c r="H14043" t="s">
        <v>28921</v>
      </c>
      <c r="J14043" t="s">
        <v>29538</v>
      </c>
      <c r="L14043" t="s">
        <v>30198</v>
      </c>
      <c r="N14043" t="s">
        <v>30487</v>
      </c>
      <c r="O14043" t="s">
        <v>30894</v>
      </c>
      <c r="P14043" t="s">
        <v>30929</v>
      </c>
      <c r="R14043" s="26" t="str">
        <f t="shared" si="57"/>
        <v>Enterovirus cerhino</v>
      </c>
      <c r="S14043" t="s">
        <v>8141</v>
      </c>
      <c r="T14043" t="s">
        <v>31885</v>
      </c>
      <c r="U14043" t="s">
        <v>31886</v>
      </c>
      <c r="V14043" t="s">
        <v>31887</v>
      </c>
      <c r="W14043" t="s">
        <v>49952</v>
      </c>
      <c r="X14043" t="s">
        <v>154</v>
      </c>
      <c r="Y14043" t="s">
        <v>17171</v>
      </c>
      <c r="Z14043" t="s">
        <v>166</v>
      </c>
      <c r="AA14043" s="22" t="str">
        <f>HYPERLINK("https://www.ncbi.nlm.nih.gov/nuccore/JF416318","NCBI Nucleotide")</f>
        <v>NCBI Nucleotide</v>
      </c>
    </row>
    <row r="14044" spans="1:27" x14ac:dyDescent="0.35">
      <c r="A14044">
        <v>1011823</v>
      </c>
      <c r="B14044">
        <v>12781</v>
      </c>
      <c r="C14044">
        <v>47</v>
      </c>
      <c r="D14044" t="s">
        <v>17166</v>
      </c>
      <c r="F14044" t="s">
        <v>17246</v>
      </c>
      <c r="H14044" t="s">
        <v>28921</v>
      </c>
      <c r="J14044" t="s">
        <v>29538</v>
      </c>
      <c r="L14044" t="s">
        <v>30198</v>
      </c>
      <c r="N14044" t="s">
        <v>30487</v>
      </c>
      <c r="O14044" t="s">
        <v>30894</v>
      </c>
      <c r="P14044" t="s">
        <v>30929</v>
      </c>
      <c r="R14044" s="26" t="str">
        <f t="shared" si="57"/>
        <v>Enterovirus cerhino</v>
      </c>
      <c r="S14044" t="s">
        <v>8141</v>
      </c>
      <c r="T14044" t="s">
        <v>31888</v>
      </c>
      <c r="U14044" t="s">
        <v>31889</v>
      </c>
      <c r="V14044" t="s">
        <v>31890</v>
      </c>
      <c r="W14044" t="s">
        <v>49953</v>
      </c>
      <c r="X14044" t="s">
        <v>154</v>
      </c>
      <c r="Y14044" t="s">
        <v>17171</v>
      </c>
      <c r="Z14044" t="s">
        <v>166</v>
      </c>
      <c r="AA14044" s="22" t="str">
        <f>HYPERLINK("https://www.ncbi.nlm.nih.gov/nuccore/JF519760","NCBI Nucleotide")</f>
        <v>NCBI Nucleotide</v>
      </c>
    </row>
    <row r="14045" spans="1:27" x14ac:dyDescent="0.35">
      <c r="A14045">
        <v>1011824</v>
      </c>
      <c r="B14045">
        <v>12781</v>
      </c>
      <c r="C14045">
        <v>48</v>
      </c>
      <c r="D14045" t="s">
        <v>17166</v>
      </c>
      <c r="F14045" t="s">
        <v>17246</v>
      </c>
      <c r="H14045" t="s">
        <v>28921</v>
      </c>
      <c r="J14045" t="s">
        <v>29538</v>
      </c>
      <c r="L14045" t="s">
        <v>30198</v>
      </c>
      <c r="N14045" t="s">
        <v>30487</v>
      </c>
      <c r="O14045" t="s">
        <v>30894</v>
      </c>
      <c r="P14045" t="s">
        <v>30929</v>
      </c>
      <c r="R14045" s="26" t="str">
        <f t="shared" si="57"/>
        <v>Enterovirus cerhino</v>
      </c>
      <c r="S14045" t="s">
        <v>8141</v>
      </c>
      <c r="T14045" t="s">
        <v>31891</v>
      </c>
      <c r="U14045" t="s">
        <v>31892</v>
      </c>
      <c r="V14045" t="s">
        <v>31893</v>
      </c>
      <c r="W14045" t="s">
        <v>49954</v>
      </c>
      <c r="X14045" t="s">
        <v>154</v>
      </c>
      <c r="Y14045" t="s">
        <v>17171</v>
      </c>
      <c r="Z14045" t="s">
        <v>166</v>
      </c>
      <c r="AA14045" s="22" t="str">
        <f>HYPERLINK("https://www.ncbi.nlm.nih.gov/nuccore/JF519762","NCBI Nucleotide")</f>
        <v>NCBI Nucleotide</v>
      </c>
    </row>
    <row r="14046" spans="1:27" x14ac:dyDescent="0.35">
      <c r="A14046">
        <v>1011825</v>
      </c>
      <c r="B14046">
        <v>12781</v>
      </c>
      <c r="C14046">
        <v>49</v>
      </c>
      <c r="D14046" t="s">
        <v>17166</v>
      </c>
      <c r="F14046" t="s">
        <v>17246</v>
      </c>
      <c r="H14046" t="s">
        <v>28921</v>
      </c>
      <c r="J14046" t="s">
        <v>29538</v>
      </c>
      <c r="L14046" t="s">
        <v>30198</v>
      </c>
      <c r="N14046" t="s">
        <v>30487</v>
      </c>
      <c r="O14046" t="s">
        <v>30894</v>
      </c>
      <c r="P14046" t="s">
        <v>30929</v>
      </c>
      <c r="R14046" s="26" t="str">
        <f t="shared" si="57"/>
        <v>Enterovirus cerhino</v>
      </c>
      <c r="S14046" t="s">
        <v>8141</v>
      </c>
      <c r="T14046" t="s">
        <v>31894</v>
      </c>
      <c r="U14046" t="s">
        <v>31895</v>
      </c>
      <c r="V14046" t="s">
        <v>31896</v>
      </c>
      <c r="W14046" t="s">
        <v>49955</v>
      </c>
      <c r="X14046" t="s">
        <v>42</v>
      </c>
      <c r="Y14046" t="s">
        <v>17171</v>
      </c>
      <c r="Z14046" t="s">
        <v>166</v>
      </c>
      <c r="AA14046" s="22" t="str">
        <f>HYPERLINK("https://www.ncbi.nlm.nih.gov/nuccore/JN798566","NCBI Nucleotide")</f>
        <v>NCBI Nucleotide</v>
      </c>
    </row>
    <row r="14047" spans="1:27" x14ac:dyDescent="0.35">
      <c r="A14047">
        <v>1011826</v>
      </c>
      <c r="B14047">
        <v>12781</v>
      </c>
      <c r="C14047">
        <v>50</v>
      </c>
      <c r="D14047" t="s">
        <v>17166</v>
      </c>
      <c r="F14047" t="s">
        <v>17246</v>
      </c>
      <c r="H14047" t="s">
        <v>28921</v>
      </c>
      <c r="J14047" t="s">
        <v>29538</v>
      </c>
      <c r="L14047" t="s">
        <v>30198</v>
      </c>
      <c r="N14047" t="s">
        <v>30487</v>
      </c>
      <c r="O14047" t="s">
        <v>30894</v>
      </c>
      <c r="P14047" t="s">
        <v>30929</v>
      </c>
      <c r="R14047" s="26" t="str">
        <f t="shared" si="57"/>
        <v>Enterovirus cerhino</v>
      </c>
      <c r="S14047" t="s">
        <v>8141</v>
      </c>
      <c r="T14047" t="s">
        <v>31897</v>
      </c>
      <c r="U14047" t="s">
        <v>31898</v>
      </c>
      <c r="V14047" t="s">
        <v>31899</v>
      </c>
      <c r="W14047" t="s">
        <v>49956</v>
      </c>
      <c r="X14047" t="s">
        <v>42</v>
      </c>
      <c r="Y14047" t="s">
        <v>17171</v>
      </c>
      <c r="Z14047" t="s">
        <v>166</v>
      </c>
      <c r="AA14047" s="22" t="str">
        <f>HYPERLINK("https://www.ncbi.nlm.nih.gov/nuccore/KF688606","NCBI Nucleotide")</f>
        <v>NCBI Nucleotide</v>
      </c>
    </row>
    <row r="14048" spans="1:27" x14ac:dyDescent="0.35">
      <c r="A14048">
        <v>1011827</v>
      </c>
      <c r="B14048">
        <v>12781</v>
      </c>
      <c r="C14048">
        <v>51</v>
      </c>
      <c r="D14048" t="s">
        <v>17166</v>
      </c>
      <c r="F14048" t="s">
        <v>17246</v>
      </c>
      <c r="H14048" t="s">
        <v>28921</v>
      </c>
      <c r="J14048" t="s">
        <v>29538</v>
      </c>
      <c r="L14048" t="s">
        <v>30198</v>
      </c>
      <c r="N14048" t="s">
        <v>30487</v>
      </c>
      <c r="O14048" t="s">
        <v>30894</v>
      </c>
      <c r="P14048" t="s">
        <v>30929</v>
      </c>
      <c r="R14048" s="26" t="str">
        <f t="shared" si="57"/>
        <v>Enterovirus cerhino</v>
      </c>
      <c r="S14048" t="s">
        <v>8141</v>
      </c>
      <c r="T14048" t="s">
        <v>31900</v>
      </c>
      <c r="U14048" t="s">
        <v>31901</v>
      </c>
      <c r="V14048" t="s">
        <v>31902</v>
      </c>
      <c r="W14048" t="s">
        <v>49957</v>
      </c>
      <c r="X14048" t="s">
        <v>42</v>
      </c>
      <c r="Y14048" t="s">
        <v>17171</v>
      </c>
      <c r="Z14048" t="s">
        <v>166</v>
      </c>
      <c r="AA14048" s="22" t="str">
        <f>HYPERLINK("https://www.ncbi.nlm.nih.gov/nuccore/JF317015","NCBI Nucleotide")</f>
        <v>NCBI Nucleotide</v>
      </c>
    </row>
    <row r="14049" spans="1:27" x14ac:dyDescent="0.35">
      <c r="A14049">
        <v>1011828</v>
      </c>
      <c r="B14049">
        <v>12781</v>
      </c>
      <c r="C14049">
        <v>52</v>
      </c>
      <c r="D14049" t="s">
        <v>17166</v>
      </c>
      <c r="F14049" t="s">
        <v>17246</v>
      </c>
      <c r="H14049" t="s">
        <v>28921</v>
      </c>
      <c r="J14049" t="s">
        <v>29538</v>
      </c>
      <c r="L14049" t="s">
        <v>30198</v>
      </c>
      <c r="N14049" t="s">
        <v>30487</v>
      </c>
      <c r="O14049" t="s">
        <v>30894</v>
      </c>
      <c r="P14049" t="s">
        <v>30929</v>
      </c>
      <c r="R14049" s="26" t="str">
        <f t="shared" si="57"/>
        <v>Enterovirus cerhino</v>
      </c>
      <c r="S14049" t="s">
        <v>8141</v>
      </c>
      <c r="T14049" t="s">
        <v>31903</v>
      </c>
      <c r="U14049" t="s">
        <v>31904</v>
      </c>
      <c r="V14049" t="s">
        <v>31905</v>
      </c>
      <c r="W14049" t="s">
        <v>49958</v>
      </c>
      <c r="X14049" t="s">
        <v>42</v>
      </c>
      <c r="Y14049" t="s">
        <v>17171</v>
      </c>
      <c r="Z14049" t="s">
        <v>166</v>
      </c>
      <c r="AA14049" s="22" t="str">
        <f>HYPERLINK("https://www.ncbi.nlm.nih.gov/nuccore/KP282614","NCBI Nucleotide")</f>
        <v>NCBI Nucleotide</v>
      </c>
    </row>
    <row r="14050" spans="1:27" x14ac:dyDescent="0.35">
      <c r="A14050">
        <v>1011829</v>
      </c>
      <c r="B14050">
        <v>12781</v>
      </c>
      <c r="C14050">
        <v>53</v>
      </c>
      <c r="D14050" t="s">
        <v>17166</v>
      </c>
      <c r="F14050" t="s">
        <v>17246</v>
      </c>
      <c r="H14050" t="s">
        <v>28921</v>
      </c>
      <c r="J14050" t="s">
        <v>29538</v>
      </c>
      <c r="L14050" t="s">
        <v>30198</v>
      </c>
      <c r="N14050" t="s">
        <v>30487</v>
      </c>
      <c r="O14050" t="s">
        <v>30894</v>
      </c>
      <c r="P14050" t="s">
        <v>30929</v>
      </c>
      <c r="R14050" s="26" t="str">
        <f t="shared" si="57"/>
        <v>Enterovirus cerhino</v>
      </c>
      <c r="S14050" t="s">
        <v>8141</v>
      </c>
      <c r="T14050" t="s">
        <v>31906</v>
      </c>
      <c r="U14050" t="s">
        <v>31907</v>
      </c>
      <c r="V14050" t="s">
        <v>31908</v>
      </c>
      <c r="W14050" t="s">
        <v>49959</v>
      </c>
      <c r="X14050" t="s">
        <v>154</v>
      </c>
      <c r="Y14050" t="s">
        <v>17171</v>
      </c>
      <c r="Z14050" t="s">
        <v>166</v>
      </c>
      <c r="AA14050" s="22" t="str">
        <f>HYPERLINK("https://www.ncbi.nlm.nih.gov/nuccore/KR997885","NCBI Nucleotide")</f>
        <v>NCBI Nucleotide</v>
      </c>
    </row>
    <row r="14051" spans="1:27" x14ac:dyDescent="0.35">
      <c r="A14051">
        <v>1011830</v>
      </c>
      <c r="B14051">
        <v>12781</v>
      </c>
      <c r="C14051">
        <v>54</v>
      </c>
      <c r="D14051" t="s">
        <v>17166</v>
      </c>
      <c r="F14051" t="s">
        <v>17246</v>
      </c>
      <c r="H14051" t="s">
        <v>28921</v>
      </c>
      <c r="J14051" t="s">
        <v>29538</v>
      </c>
      <c r="L14051" t="s">
        <v>30198</v>
      </c>
      <c r="N14051" t="s">
        <v>30487</v>
      </c>
      <c r="O14051" t="s">
        <v>30894</v>
      </c>
      <c r="P14051" t="s">
        <v>30929</v>
      </c>
      <c r="R14051" s="26" t="str">
        <f t="shared" si="57"/>
        <v>Enterovirus cerhino</v>
      </c>
      <c r="S14051" t="s">
        <v>8141</v>
      </c>
      <c r="T14051" t="s">
        <v>31909</v>
      </c>
      <c r="U14051" t="s">
        <v>31910</v>
      </c>
      <c r="V14051" t="s">
        <v>31911</v>
      </c>
      <c r="W14051" t="s">
        <v>49960</v>
      </c>
      <c r="X14051" t="s">
        <v>154</v>
      </c>
      <c r="Y14051" t="s">
        <v>17171</v>
      </c>
      <c r="Z14051" t="s">
        <v>166</v>
      </c>
      <c r="AA14051" s="22" t="str">
        <f>HYPERLINK("https://www.ncbi.nlm.nih.gov/nuccore/LC004772","NCBI Nucleotide")</f>
        <v>NCBI Nucleotide</v>
      </c>
    </row>
    <row r="14052" spans="1:27" x14ac:dyDescent="0.35">
      <c r="A14052">
        <v>1011831</v>
      </c>
      <c r="B14052">
        <v>12781</v>
      </c>
      <c r="C14052">
        <v>55</v>
      </c>
      <c r="D14052" t="s">
        <v>17166</v>
      </c>
      <c r="F14052" t="s">
        <v>17246</v>
      </c>
      <c r="H14052" t="s">
        <v>28921</v>
      </c>
      <c r="J14052" t="s">
        <v>29538</v>
      </c>
      <c r="L14052" t="s">
        <v>30198</v>
      </c>
      <c r="N14052" t="s">
        <v>30487</v>
      </c>
      <c r="O14052" t="s">
        <v>30894</v>
      </c>
      <c r="P14052" t="s">
        <v>30929</v>
      </c>
      <c r="R14052" s="26" t="str">
        <f t="shared" si="57"/>
        <v>Enterovirus cerhino</v>
      </c>
      <c r="S14052" t="s">
        <v>8141</v>
      </c>
      <c r="T14052" t="s">
        <v>31912</v>
      </c>
      <c r="U14052" t="s">
        <v>31913</v>
      </c>
      <c r="V14052" t="s">
        <v>31914</v>
      </c>
      <c r="W14052" t="s">
        <v>49961</v>
      </c>
      <c r="X14052" t="s">
        <v>42</v>
      </c>
      <c r="Y14052" t="s">
        <v>17171</v>
      </c>
      <c r="Z14052" t="s">
        <v>166</v>
      </c>
      <c r="AA14052" s="22" t="str">
        <f>HYPERLINK("https://www.ncbi.nlm.nih.gov/nuccore/KP890662","NCBI Nucleotide")</f>
        <v>NCBI Nucleotide</v>
      </c>
    </row>
    <row r="14053" spans="1:27" x14ac:dyDescent="0.35">
      <c r="A14053">
        <v>1001829</v>
      </c>
      <c r="B14053">
        <v>12782</v>
      </c>
      <c r="C14053">
        <v>1</v>
      </c>
      <c r="D14053" t="s">
        <v>17166</v>
      </c>
      <c r="F14053" t="s">
        <v>17246</v>
      </c>
      <c r="H14053" t="s">
        <v>28921</v>
      </c>
      <c r="J14053" t="s">
        <v>29538</v>
      </c>
      <c r="L14053" t="s">
        <v>30198</v>
      </c>
      <c r="N14053" t="s">
        <v>30487</v>
      </c>
      <c r="O14053" t="s">
        <v>30894</v>
      </c>
      <c r="P14053" t="s">
        <v>30929</v>
      </c>
      <c r="R14053" s="26" t="str">
        <f t="shared" ref="R14053:R14079" si="58">HYPERLINK("https://ictv.global/taxonomy/taxondetails?taxnode_id=202301985","Enterovirus coxsackiepol")</f>
        <v>Enterovirus coxsackiepol</v>
      </c>
      <c r="S14053" t="s">
        <v>30</v>
      </c>
      <c r="T14053" t="s">
        <v>31197</v>
      </c>
      <c r="U14053" t="s">
        <v>31198</v>
      </c>
      <c r="V14053" t="s">
        <v>31199</v>
      </c>
      <c r="W14053" t="s">
        <v>31200</v>
      </c>
      <c r="X14053" t="s">
        <v>42</v>
      </c>
      <c r="Y14053" t="s">
        <v>17171</v>
      </c>
      <c r="Z14053" t="s">
        <v>166</v>
      </c>
      <c r="AA14053" s="22" t="str">
        <f>HYPERLINK("https://www.ncbi.nlm.nih.gov/nuccore/V01149","NCBI Nucleotide")</f>
        <v>NCBI Nucleotide</v>
      </c>
    </row>
    <row r="14054" spans="1:27" x14ac:dyDescent="0.35">
      <c r="A14054">
        <v>1011584</v>
      </c>
      <c r="B14054">
        <v>12782</v>
      </c>
      <c r="C14054">
        <v>2</v>
      </c>
      <c r="D14054" t="s">
        <v>17166</v>
      </c>
      <c r="F14054" t="s">
        <v>17246</v>
      </c>
      <c r="H14054" t="s">
        <v>28921</v>
      </c>
      <c r="J14054" t="s">
        <v>29538</v>
      </c>
      <c r="L14054" t="s">
        <v>30198</v>
      </c>
      <c r="N14054" t="s">
        <v>30487</v>
      </c>
      <c r="O14054" t="s">
        <v>30894</v>
      </c>
      <c r="P14054" t="s">
        <v>30929</v>
      </c>
      <c r="R14054" s="26" t="str">
        <f t="shared" si="58"/>
        <v>Enterovirus coxsackiepol</v>
      </c>
      <c r="S14054" t="s">
        <v>8141</v>
      </c>
      <c r="T14054" t="s">
        <v>31210</v>
      </c>
      <c r="U14054" t="s">
        <v>51016</v>
      </c>
      <c r="V14054" t="s">
        <v>31211</v>
      </c>
      <c r="W14054" t="s">
        <v>49962</v>
      </c>
      <c r="X14054" t="s">
        <v>42</v>
      </c>
      <c r="Y14054" t="s">
        <v>17171</v>
      </c>
      <c r="Z14054" t="s">
        <v>166</v>
      </c>
      <c r="AA14054" s="22" t="str">
        <f>HYPERLINK("https://www.ncbi.nlm.nih.gov/nuccore/AF499635","NCBI Nucleotide")</f>
        <v>NCBI Nucleotide</v>
      </c>
    </row>
    <row r="14055" spans="1:27" x14ac:dyDescent="0.35">
      <c r="A14055">
        <v>1011585</v>
      </c>
      <c r="B14055">
        <v>12782</v>
      </c>
      <c r="C14055">
        <v>3</v>
      </c>
      <c r="D14055" t="s">
        <v>17166</v>
      </c>
      <c r="F14055" t="s">
        <v>17246</v>
      </c>
      <c r="H14055" t="s">
        <v>28921</v>
      </c>
      <c r="J14055" t="s">
        <v>29538</v>
      </c>
      <c r="L14055" t="s">
        <v>30198</v>
      </c>
      <c r="N14055" t="s">
        <v>30487</v>
      </c>
      <c r="O14055" t="s">
        <v>30894</v>
      </c>
      <c r="P14055" t="s">
        <v>30929</v>
      </c>
      <c r="R14055" s="26" t="str">
        <f t="shared" si="58"/>
        <v>Enterovirus coxsackiepol</v>
      </c>
      <c r="S14055" t="s">
        <v>8141</v>
      </c>
      <c r="T14055" t="s">
        <v>31212</v>
      </c>
      <c r="U14055" t="s">
        <v>51017</v>
      </c>
      <c r="V14055" t="s">
        <v>31213</v>
      </c>
      <c r="W14055" t="s">
        <v>49963</v>
      </c>
      <c r="X14055" t="s">
        <v>42</v>
      </c>
      <c r="Y14055" t="s">
        <v>17171</v>
      </c>
      <c r="Z14055" t="s">
        <v>166</v>
      </c>
      <c r="AA14055" s="22" t="str">
        <f>HYPERLINK("https://www.ncbi.nlm.nih.gov/nuccore/AF499636","NCBI Nucleotide")</f>
        <v>NCBI Nucleotide</v>
      </c>
    </row>
    <row r="14056" spans="1:27" x14ac:dyDescent="0.35">
      <c r="A14056">
        <v>1011586</v>
      </c>
      <c r="B14056">
        <v>12782</v>
      </c>
      <c r="C14056">
        <v>4</v>
      </c>
      <c r="D14056" t="s">
        <v>17166</v>
      </c>
      <c r="F14056" t="s">
        <v>17246</v>
      </c>
      <c r="H14056" t="s">
        <v>28921</v>
      </c>
      <c r="J14056" t="s">
        <v>29538</v>
      </c>
      <c r="L14056" t="s">
        <v>30198</v>
      </c>
      <c r="N14056" t="s">
        <v>30487</v>
      </c>
      <c r="O14056" t="s">
        <v>30894</v>
      </c>
      <c r="P14056" t="s">
        <v>30929</v>
      </c>
      <c r="R14056" s="26" t="str">
        <f t="shared" si="58"/>
        <v>Enterovirus coxsackiepol</v>
      </c>
      <c r="S14056" t="s">
        <v>8141</v>
      </c>
      <c r="T14056" t="s">
        <v>31214</v>
      </c>
      <c r="U14056" t="s">
        <v>51018</v>
      </c>
      <c r="V14056" t="s">
        <v>31215</v>
      </c>
      <c r="W14056" t="s">
        <v>49964</v>
      </c>
      <c r="X14056" t="s">
        <v>42</v>
      </c>
      <c r="Y14056" t="s">
        <v>17171</v>
      </c>
      <c r="Z14056" t="s">
        <v>166</v>
      </c>
      <c r="AA14056" s="22" t="str">
        <f>HYPERLINK("https://www.ncbi.nlm.nih.gov/nuccore/AF499637","NCBI Nucleotide")</f>
        <v>NCBI Nucleotide</v>
      </c>
    </row>
    <row r="14057" spans="1:27" x14ac:dyDescent="0.35">
      <c r="A14057">
        <v>1011587</v>
      </c>
      <c r="B14057">
        <v>12782</v>
      </c>
      <c r="C14057">
        <v>5</v>
      </c>
      <c r="D14057" t="s">
        <v>17166</v>
      </c>
      <c r="F14057" t="s">
        <v>17246</v>
      </c>
      <c r="H14057" t="s">
        <v>28921</v>
      </c>
      <c r="J14057" t="s">
        <v>29538</v>
      </c>
      <c r="L14057" t="s">
        <v>30198</v>
      </c>
      <c r="N14057" t="s">
        <v>30487</v>
      </c>
      <c r="O14057" t="s">
        <v>30894</v>
      </c>
      <c r="P14057" t="s">
        <v>30929</v>
      </c>
      <c r="R14057" s="26" t="str">
        <f t="shared" si="58"/>
        <v>Enterovirus coxsackiepol</v>
      </c>
      <c r="S14057" t="s">
        <v>8141</v>
      </c>
      <c r="T14057" t="s">
        <v>31216</v>
      </c>
      <c r="U14057" t="s">
        <v>51018</v>
      </c>
      <c r="V14057" t="s">
        <v>31217</v>
      </c>
      <c r="W14057" t="s">
        <v>49965</v>
      </c>
      <c r="X14057" t="s">
        <v>42</v>
      </c>
      <c r="Y14057" t="s">
        <v>17171</v>
      </c>
      <c r="Z14057" t="s">
        <v>166</v>
      </c>
      <c r="AA14057" s="22" t="str">
        <f>HYPERLINK("https://www.ncbi.nlm.nih.gov/nuccore/AF499640","NCBI Nucleotide")</f>
        <v>NCBI Nucleotide</v>
      </c>
    </row>
    <row r="14058" spans="1:27" x14ac:dyDescent="0.35">
      <c r="A14058">
        <v>1011588</v>
      </c>
      <c r="B14058">
        <v>12782</v>
      </c>
      <c r="C14058">
        <v>6</v>
      </c>
      <c r="D14058" t="s">
        <v>17166</v>
      </c>
      <c r="F14058" t="s">
        <v>17246</v>
      </c>
      <c r="H14058" t="s">
        <v>28921</v>
      </c>
      <c r="J14058" t="s">
        <v>29538</v>
      </c>
      <c r="L14058" t="s">
        <v>30198</v>
      </c>
      <c r="N14058" t="s">
        <v>30487</v>
      </c>
      <c r="O14058" t="s">
        <v>30894</v>
      </c>
      <c r="P14058" t="s">
        <v>30929</v>
      </c>
      <c r="R14058" s="26" t="str">
        <f t="shared" si="58"/>
        <v>Enterovirus coxsackiepol</v>
      </c>
      <c r="S14058" t="s">
        <v>8141</v>
      </c>
      <c r="T14058" t="s">
        <v>31218</v>
      </c>
      <c r="U14058" t="s">
        <v>51019</v>
      </c>
      <c r="V14058" t="s">
        <v>31219</v>
      </c>
      <c r="W14058" t="s">
        <v>49966</v>
      </c>
      <c r="X14058" t="s">
        <v>42</v>
      </c>
      <c r="Y14058" t="s">
        <v>17171</v>
      </c>
      <c r="Z14058" t="s">
        <v>166</v>
      </c>
      <c r="AA14058" s="22" t="str">
        <f>HYPERLINK("https://www.ncbi.nlm.nih.gov/nuccore/AF499639","NCBI Nucleotide")</f>
        <v>NCBI Nucleotide</v>
      </c>
    </row>
    <row r="14059" spans="1:27" x14ac:dyDescent="0.35">
      <c r="A14059">
        <v>1011589</v>
      </c>
      <c r="B14059">
        <v>12782</v>
      </c>
      <c r="C14059">
        <v>7</v>
      </c>
      <c r="D14059" t="s">
        <v>17166</v>
      </c>
      <c r="F14059" t="s">
        <v>17246</v>
      </c>
      <c r="H14059" t="s">
        <v>28921</v>
      </c>
      <c r="J14059" t="s">
        <v>29538</v>
      </c>
      <c r="L14059" t="s">
        <v>30198</v>
      </c>
      <c r="N14059" t="s">
        <v>30487</v>
      </c>
      <c r="O14059" t="s">
        <v>30894</v>
      </c>
      <c r="P14059" t="s">
        <v>30929</v>
      </c>
      <c r="R14059" s="26" t="str">
        <f t="shared" si="58"/>
        <v>Enterovirus coxsackiepol</v>
      </c>
      <c r="S14059" t="s">
        <v>8141</v>
      </c>
      <c r="T14059" t="s">
        <v>31220</v>
      </c>
      <c r="U14059" t="s">
        <v>51020</v>
      </c>
      <c r="V14059" t="s">
        <v>31221</v>
      </c>
      <c r="W14059" t="s">
        <v>49967</v>
      </c>
      <c r="X14059" t="s">
        <v>42</v>
      </c>
      <c r="Y14059" t="s">
        <v>17171</v>
      </c>
      <c r="Z14059" t="s">
        <v>166</v>
      </c>
      <c r="AA14059" s="22" t="str">
        <f>HYPERLINK("https://www.ncbi.nlm.nih.gov/nuccore/AF499641","NCBI Nucleotide")</f>
        <v>NCBI Nucleotide</v>
      </c>
    </row>
    <row r="14060" spans="1:27" x14ac:dyDescent="0.35">
      <c r="A14060">
        <v>1011590</v>
      </c>
      <c r="B14060">
        <v>12782</v>
      </c>
      <c r="C14060">
        <v>8</v>
      </c>
      <c r="D14060" t="s">
        <v>17166</v>
      </c>
      <c r="F14060" t="s">
        <v>17246</v>
      </c>
      <c r="H14060" t="s">
        <v>28921</v>
      </c>
      <c r="J14060" t="s">
        <v>29538</v>
      </c>
      <c r="L14060" t="s">
        <v>30198</v>
      </c>
      <c r="N14060" t="s">
        <v>30487</v>
      </c>
      <c r="O14060" t="s">
        <v>30894</v>
      </c>
      <c r="P14060" t="s">
        <v>30929</v>
      </c>
      <c r="R14060" s="26" t="str">
        <f t="shared" si="58"/>
        <v>Enterovirus coxsackiepol</v>
      </c>
      <c r="S14060" t="s">
        <v>8141</v>
      </c>
      <c r="T14060" t="s">
        <v>31222</v>
      </c>
      <c r="U14060" t="s">
        <v>51021</v>
      </c>
      <c r="V14060" t="s">
        <v>31223</v>
      </c>
      <c r="W14060" t="s">
        <v>49968</v>
      </c>
      <c r="X14060" t="s">
        <v>42</v>
      </c>
      <c r="Y14060" t="s">
        <v>17171</v>
      </c>
      <c r="Z14060" t="s">
        <v>166</v>
      </c>
      <c r="AA14060" s="22" t="str">
        <f>HYPERLINK("https://www.ncbi.nlm.nih.gov/nuccore/AF499642","NCBI Nucleotide")</f>
        <v>NCBI Nucleotide</v>
      </c>
    </row>
    <row r="14061" spans="1:27" x14ac:dyDescent="0.35">
      <c r="A14061">
        <v>1011591</v>
      </c>
      <c r="B14061">
        <v>12782</v>
      </c>
      <c r="C14061">
        <v>9</v>
      </c>
      <c r="D14061" t="s">
        <v>17166</v>
      </c>
      <c r="F14061" t="s">
        <v>17246</v>
      </c>
      <c r="H14061" t="s">
        <v>28921</v>
      </c>
      <c r="J14061" t="s">
        <v>29538</v>
      </c>
      <c r="L14061" t="s">
        <v>30198</v>
      </c>
      <c r="N14061" t="s">
        <v>30487</v>
      </c>
      <c r="O14061" t="s">
        <v>30894</v>
      </c>
      <c r="P14061" t="s">
        <v>30929</v>
      </c>
      <c r="R14061" s="26" t="str">
        <f t="shared" si="58"/>
        <v>Enterovirus coxsackiepol</v>
      </c>
      <c r="S14061" t="s">
        <v>8141</v>
      </c>
      <c r="T14061" t="s">
        <v>31224</v>
      </c>
      <c r="U14061" t="s">
        <v>51022</v>
      </c>
      <c r="V14061" t="s">
        <v>31225</v>
      </c>
      <c r="W14061" t="s">
        <v>49969</v>
      </c>
      <c r="X14061" t="s">
        <v>42</v>
      </c>
      <c r="Y14061" t="s">
        <v>17171</v>
      </c>
      <c r="Z14061" t="s">
        <v>166</v>
      </c>
      <c r="AA14061" s="22" t="str">
        <f>HYPERLINK("https://www.ncbi.nlm.nih.gov/nuccore/AF546702","NCBI Nucleotide")</f>
        <v>NCBI Nucleotide</v>
      </c>
    </row>
    <row r="14062" spans="1:27" x14ac:dyDescent="0.35">
      <c r="A14062">
        <v>1011592</v>
      </c>
      <c r="B14062">
        <v>12782</v>
      </c>
      <c r="C14062">
        <v>10</v>
      </c>
      <c r="D14062" t="s">
        <v>17166</v>
      </c>
      <c r="F14062" t="s">
        <v>17246</v>
      </c>
      <c r="H14062" t="s">
        <v>28921</v>
      </c>
      <c r="J14062" t="s">
        <v>29538</v>
      </c>
      <c r="L14062" t="s">
        <v>30198</v>
      </c>
      <c r="N14062" t="s">
        <v>30487</v>
      </c>
      <c r="O14062" t="s">
        <v>30894</v>
      </c>
      <c r="P14062" t="s">
        <v>30929</v>
      </c>
      <c r="R14062" s="26" t="str">
        <f t="shared" si="58"/>
        <v>Enterovirus coxsackiepol</v>
      </c>
      <c r="S14062" t="s">
        <v>8141</v>
      </c>
      <c r="T14062" t="s">
        <v>31226</v>
      </c>
      <c r="U14062" t="s">
        <v>51023</v>
      </c>
      <c r="V14062" t="s">
        <v>31227</v>
      </c>
      <c r="W14062" t="s">
        <v>49970</v>
      </c>
      <c r="X14062" t="s">
        <v>42</v>
      </c>
      <c r="Y14062" t="s">
        <v>17171</v>
      </c>
      <c r="Z14062" t="s">
        <v>166</v>
      </c>
      <c r="AA14062" s="22" t="str">
        <f>HYPERLINK("https://www.ncbi.nlm.nih.gov/nuccore/AF499643","NCBI Nucleotide")</f>
        <v>NCBI Nucleotide</v>
      </c>
    </row>
    <row r="14063" spans="1:27" x14ac:dyDescent="0.35">
      <c r="A14063">
        <v>1011593</v>
      </c>
      <c r="B14063">
        <v>12782</v>
      </c>
      <c r="C14063">
        <v>11</v>
      </c>
      <c r="D14063" t="s">
        <v>17166</v>
      </c>
      <c r="F14063" t="s">
        <v>17246</v>
      </c>
      <c r="H14063" t="s">
        <v>28921</v>
      </c>
      <c r="J14063" t="s">
        <v>29538</v>
      </c>
      <c r="L14063" t="s">
        <v>30198</v>
      </c>
      <c r="N14063" t="s">
        <v>30487</v>
      </c>
      <c r="O14063" t="s">
        <v>30894</v>
      </c>
      <c r="P14063" t="s">
        <v>30929</v>
      </c>
      <c r="R14063" s="26" t="str">
        <f t="shared" si="58"/>
        <v>Enterovirus coxsackiepol</v>
      </c>
      <c r="S14063" t="s">
        <v>8141</v>
      </c>
      <c r="T14063" t="s">
        <v>31228</v>
      </c>
      <c r="U14063" t="s">
        <v>51024</v>
      </c>
      <c r="V14063" t="s">
        <v>31229</v>
      </c>
      <c r="W14063" t="s">
        <v>49971</v>
      </c>
      <c r="X14063" t="s">
        <v>42</v>
      </c>
      <c r="Y14063" t="s">
        <v>17171</v>
      </c>
      <c r="Z14063" t="s">
        <v>166</v>
      </c>
      <c r="AA14063" s="22" t="str">
        <f>HYPERLINK("https://www.ncbi.nlm.nih.gov/nuccore/EF026081","NCBI Nucleotide")</f>
        <v>NCBI Nucleotide</v>
      </c>
    </row>
    <row r="14064" spans="1:27" x14ac:dyDescent="0.35">
      <c r="A14064">
        <v>1011594</v>
      </c>
      <c r="B14064">
        <v>12782</v>
      </c>
      <c r="C14064">
        <v>12</v>
      </c>
      <c r="D14064" t="s">
        <v>17166</v>
      </c>
      <c r="F14064" t="s">
        <v>17246</v>
      </c>
      <c r="H14064" t="s">
        <v>28921</v>
      </c>
      <c r="J14064" t="s">
        <v>29538</v>
      </c>
      <c r="L14064" t="s">
        <v>30198</v>
      </c>
      <c r="N14064" t="s">
        <v>30487</v>
      </c>
      <c r="O14064" t="s">
        <v>30894</v>
      </c>
      <c r="P14064" t="s">
        <v>30929</v>
      </c>
      <c r="R14064" s="26" t="str">
        <f t="shared" si="58"/>
        <v>Enterovirus coxsackiepol</v>
      </c>
      <c r="S14064" t="s">
        <v>8141</v>
      </c>
      <c r="T14064" t="s">
        <v>31230</v>
      </c>
      <c r="U14064" t="s">
        <v>31231</v>
      </c>
      <c r="V14064" t="s">
        <v>31232</v>
      </c>
      <c r="W14064" t="s">
        <v>49972</v>
      </c>
      <c r="X14064" t="s">
        <v>154</v>
      </c>
      <c r="Y14064" t="s">
        <v>17171</v>
      </c>
      <c r="Z14064" t="s">
        <v>166</v>
      </c>
      <c r="AA14064" s="22" t="str">
        <f>HYPERLINK("https://www.ncbi.nlm.nih.gov/nuccore/JX417822","NCBI Nucleotide")</f>
        <v>NCBI Nucleotide</v>
      </c>
    </row>
    <row r="14065" spans="1:27" x14ac:dyDescent="0.35">
      <c r="A14065">
        <v>1011595</v>
      </c>
      <c r="B14065">
        <v>12782</v>
      </c>
      <c r="C14065">
        <v>13</v>
      </c>
      <c r="D14065" t="s">
        <v>17166</v>
      </c>
      <c r="F14065" t="s">
        <v>17246</v>
      </c>
      <c r="H14065" t="s">
        <v>28921</v>
      </c>
      <c r="J14065" t="s">
        <v>29538</v>
      </c>
      <c r="L14065" t="s">
        <v>30198</v>
      </c>
      <c r="N14065" t="s">
        <v>30487</v>
      </c>
      <c r="O14065" t="s">
        <v>30894</v>
      </c>
      <c r="P14065" t="s">
        <v>30929</v>
      </c>
      <c r="R14065" s="26" t="str">
        <f t="shared" si="58"/>
        <v>Enterovirus coxsackiepol</v>
      </c>
      <c r="S14065" t="s">
        <v>8141</v>
      </c>
      <c r="T14065" t="s">
        <v>31233</v>
      </c>
      <c r="U14065" t="s">
        <v>31234</v>
      </c>
      <c r="V14065" t="s">
        <v>31235</v>
      </c>
      <c r="W14065" t="s">
        <v>49973</v>
      </c>
      <c r="X14065" t="s">
        <v>42</v>
      </c>
      <c r="Y14065" t="s">
        <v>17171</v>
      </c>
      <c r="Z14065" t="s">
        <v>166</v>
      </c>
      <c r="AA14065" s="22" t="str">
        <f>HYPERLINK("https://www.ncbi.nlm.nih.gov/nuccore/EF015886","NCBI Nucleotide")</f>
        <v>NCBI Nucleotide</v>
      </c>
    </row>
    <row r="14066" spans="1:27" x14ac:dyDescent="0.35">
      <c r="A14066">
        <v>1011596</v>
      </c>
      <c r="B14066">
        <v>12782</v>
      </c>
      <c r="C14066">
        <v>14</v>
      </c>
      <c r="D14066" t="s">
        <v>17166</v>
      </c>
      <c r="F14066" t="s">
        <v>17246</v>
      </c>
      <c r="H14066" t="s">
        <v>28921</v>
      </c>
      <c r="J14066" t="s">
        <v>29538</v>
      </c>
      <c r="L14066" t="s">
        <v>30198</v>
      </c>
      <c r="N14066" t="s">
        <v>30487</v>
      </c>
      <c r="O14066" t="s">
        <v>30894</v>
      </c>
      <c r="P14066" t="s">
        <v>30929</v>
      </c>
      <c r="R14066" s="26" t="str">
        <f t="shared" si="58"/>
        <v>Enterovirus coxsackiepol</v>
      </c>
      <c r="S14066" t="s">
        <v>8141</v>
      </c>
      <c r="T14066" t="s">
        <v>31236</v>
      </c>
      <c r="U14066" t="s">
        <v>31237</v>
      </c>
      <c r="V14066" t="s">
        <v>31238</v>
      </c>
      <c r="W14066" t="s">
        <v>49974</v>
      </c>
      <c r="X14066" t="s">
        <v>42</v>
      </c>
      <c r="Y14066" t="s">
        <v>17171</v>
      </c>
      <c r="Z14066" t="s">
        <v>166</v>
      </c>
      <c r="AA14066" s="22" t="str">
        <f>HYPERLINK("https://www.ncbi.nlm.nih.gov/nuccore/EF555644","NCBI Nucleotide")</f>
        <v>NCBI Nucleotide</v>
      </c>
    </row>
    <row r="14067" spans="1:27" x14ac:dyDescent="0.35">
      <c r="A14067">
        <v>1011597</v>
      </c>
      <c r="B14067">
        <v>12782</v>
      </c>
      <c r="C14067">
        <v>15</v>
      </c>
      <c r="D14067" t="s">
        <v>17166</v>
      </c>
      <c r="F14067" t="s">
        <v>17246</v>
      </c>
      <c r="H14067" t="s">
        <v>28921</v>
      </c>
      <c r="J14067" t="s">
        <v>29538</v>
      </c>
      <c r="L14067" t="s">
        <v>30198</v>
      </c>
      <c r="N14067" t="s">
        <v>30487</v>
      </c>
      <c r="O14067" t="s">
        <v>30894</v>
      </c>
      <c r="P14067" t="s">
        <v>30929</v>
      </c>
      <c r="R14067" s="26" t="str">
        <f t="shared" si="58"/>
        <v>Enterovirus coxsackiepol</v>
      </c>
      <c r="S14067" t="s">
        <v>8141</v>
      </c>
      <c r="T14067" t="s">
        <v>31239</v>
      </c>
      <c r="U14067" t="s">
        <v>31240</v>
      </c>
      <c r="V14067" t="s">
        <v>31241</v>
      </c>
      <c r="W14067" t="s">
        <v>49975</v>
      </c>
      <c r="X14067" t="s">
        <v>42</v>
      </c>
      <c r="Y14067" t="s">
        <v>17171</v>
      </c>
      <c r="Z14067" t="s">
        <v>166</v>
      </c>
      <c r="AA14067" s="22" t="str">
        <f>HYPERLINK("https://www.ncbi.nlm.nih.gov/nuccore/EF555645","NCBI Nucleotide")</f>
        <v>NCBI Nucleotide</v>
      </c>
    </row>
    <row r="14068" spans="1:27" x14ac:dyDescent="0.35">
      <c r="A14068">
        <v>1011598</v>
      </c>
      <c r="B14068">
        <v>12782</v>
      </c>
      <c r="C14068">
        <v>16</v>
      </c>
      <c r="D14068" t="s">
        <v>17166</v>
      </c>
      <c r="F14068" t="s">
        <v>17246</v>
      </c>
      <c r="H14068" t="s">
        <v>28921</v>
      </c>
      <c r="J14068" t="s">
        <v>29538</v>
      </c>
      <c r="L14068" t="s">
        <v>30198</v>
      </c>
      <c r="N14068" t="s">
        <v>30487</v>
      </c>
      <c r="O14068" t="s">
        <v>30894</v>
      </c>
      <c r="P14068" t="s">
        <v>30929</v>
      </c>
      <c r="R14068" s="26" t="str">
        <f t="shared" si="58"/>
        <v>Enterovirus coxsackiepol</v>
      </c>
      <c r="S14068" t="s">
        <v>8141</v>
      </c>
      <c r="T14068" t="s">
        <v>31242</v>
      </c>
      <c r="U14068" t="s">
        <v>31243</v>
      </c>
      <c r="V14068" t="s">
        <v>31244</v>
      </c>
      <c r="W14068" t="s">
        <v>49976</v>
      </c>
      <c r="X14068" t="s">
        <v>154</v>
      </c>
      <c r="Y14068" t="s">
        <v>17171</v>
      </c>
      <c r="Z14068" t="s">
        <v>166</v>
      </c>
      <c r="AA14068" s="22" t="str">
        <f>HYPERLINK("https://www.ncbi.nlm.nih.gov/nuccore/EU840733","NCBI Nucleotide")</f>
        <v>NCBI Nucleotide</v>
      </c>
    </row>
    <row r="14069" spans="1:27" x14ac:dyDescent="0.35">
      <c r="A14069">
        <v>1011599</v>
      </c>
      <c r="B14069">
        <v>12782</v>
      </c>
      <c r="C14069">
        <v>17</v>
      </c>
      <c r="D14069" t="s">
        <v>17166</v>
      </c>
      <c r="F14069" t="s">
        <v>17246</v>
      </c>
      <c r="H14069" t="s">
        <v>28921</v>
      </c>
      <c r="J14069" t="s">
        <v>29538</v>
      </c>
      <c r="L14069" t="s">
        <v>30198</v>
      </c>
      <c r="N14069" t="s">
        <v>30487</v>
      </c>
      <c r="O14069" t="s">
        <v>30894</v>
      </c>
      <c r="P14069" t="s">
        <v>30929</v>
      </c>
      <c r="R14069" s="26" t="str">
        <f t="shared" si="58"/>
        <v>Enterovirus coxsackiepol</v>
      </c>
      <c r="S14069" t="s">
        <v>8141</v>
      </c>
      <c r="T14069" t="s">
        <v>31245</v>
      </c>
      <c r="U14069" t="s">
        <v>31246</v>
      </c>
      <c r="V14069" t="s">
        <v>31247</v>
      </c>
      <c r="W14069" t="s">
        <v>49977</v>
      </c>
      <c r="X14069" t="s">
        <v>42</v>
      </c>
      <c r="Y14069" t="s">
        <v>17171</v>
      </c>
      <c r="Z14069" t="s">
        <v>166</v>
      </c>
      <c r="AA14069" s="22" t="str">
        <f>HYPERLINK("https://www.ncbi.nlm.nih.gov/nuccore/JX393302","NCBI Nucleotide")</f>
        <v>NCBI Nucleotide</v>
      </c>
    </row>
    <row r="14070" spans="1:27" x14ac:dyDescent="0.35">
      <c r="A14070">
        <v>1011600</v>
      </c>
      <c r="B14070">
        <v>12782</v>
      </c>
      <c r="C14070">
        <v>18</v>
      </c>
      <c r="D14070" t="s">
        <v>17166</v>
      </c>
      <c r="F14070" t="s">
        <v>17246</v>
      </c>
      <c r="H14070" t="s">
        <v>28921</v>
      </c>
      <c r="J14070" t="s">
        <v>29538</v>
      </c>
      <c r="L14070" t="s">
        <v>30198</v>
      </c>
      <c r="N14070" t="s">
        <v>30487</v>
      </c>
      <c r="O14070" t="s">
        <v>30894</v>
      </c>
      <c r="P14070" t="s">
        <v>30929</v>
      </c>
      <c r="R14070" s="26" t="str">
        <f t="shared" si="58"/>
        <v>Enterovirus coxsackiepol</v>
      </c>
      <c r="S14070" t="s">
        <v>8141</v>
      </c>
      <c r="T14070" t="s">
        <v>31248</v>
      </c>
      <c r="U14070" t="s">
        <v>31249</v>
      </c>
      <c r="V14070" t="s">
        <v>31250</v>
      </c>
      <c r="W14070" t="s">
        <v>49978</v>
      </c>
      <c r="X14070" t="s">
        <v>42</v>
      </c>
      <c r="Y14070" t="s">
        <v>17171</v>
      </c>
      <c r="Z14070" t="s">
        <v>166</v>
      </c>
      <c r="AA14070" s="22" t="str">
        <f>HYPERLINK("https://www.ncbi.nlm.nih.gov/nuccore/GQ865517","NCBI Nucleotide")</f>
        <v>NCBI Nucleotide</v>
      </c>
    </row>
    <row r="14071" spans="1:27" x14ac:dyDescent="0.35">
      <c r="A14071">
        <v>1011601</v>
      </c>
      <c r="B14071">
        <v>12782</v>
      </c>
      <c r="C14071">
        <v>19</v>
      </c>
      <c r="D14071" t="s">
        <v>17166</v>
      </c>
      <c r="F14071" t="s">
        <v>17246</v>
      </c>
      <c r="H14071" t="s">
        <v>28921</v>
      </c>
      <c r="J14071" t="s">
        <v>29538</v>
      </c>
      <c r="L14071" t="s">
        <v>30198</v>
      </c>
      <c r="N14071" t="s">
        <v>30487</v>
      </c>
      <c r="O14071" t="s">
        <v>30894</v>
      </c>
      <c r="P14071" t="s">
        <v>30929</v>
      </c>
      <c r="R14071" s="26" t="str">
        <f t="shared" si="58"/>
        <v>Enterovirus coxsackiepol</v>
      </c>
      <c r="S14071" t="s">
        <v>8141</v>
      </c>
      <c r="T14071" t="s">
        <v>31251</v>
      </c>
      <c r="U14071" t="s">
        <v>31252</v>
      </c>
      <c r="V14071" t="s">
        <v>31253</v>
      </c>
      <c r="W14071" t="s">
        <v>49979</v>
      </c>
      <c r="X14071" t="s">
        <v>42</v>
      </c>
      <c r="Y14071" t="s">
        <v>17171</v>
      </c>
      <c r="Z14071" t="s">
        <v>166</v>
      </c>
      <c r="AA14071" s="22" t="str">
        <f>HYPERLINK("https://www.ncbi.nlm.nih.gov/nuccore/KC344833","NCBI Nucleotide")</f>
        <v>NCBI Nucleotide</v>
      </c>
    </row>
    <row r="14072" spans="1:27" x14ac:dyDescent="0.35">
      <c r="A14072">
        <v>1011602</v>
      </c>
      <c r="B14072">
        <v>12782</v>
      </c>
      <c r="C14072">
        <v>20</v>
      </c>
      <c r="D14072" t="s">
        <v>17166</v>
      </c>
      <c r="F14072" t="s">
        <v>17246</v>
      </c>
      <c r="H14072" t="s">
        <v>28921</v>
      </c>
      <c r="J14072" t="s">
        <v>29538</v>
      </c>
      <c r="L14072" t="s">
        <v>30198</v>
      </c>
      <c r="N14072" t="s">
        <v>30487</v>
      </c>
      <c r="O14072" t="s">
        <v>30894</v>
      </c>
      <c r="P14072" t="s">
        <v>30929</v>
      </c>
      <c r="R14072" s="26" t="str">
        <f t="shared" si="58"/>
        <v>Enterovirus coxsackiepol</v>
      </c>
      <c r="S14072" t="s">
        <v>8141</v>
      </c>
      <c r="T14072" t="s">
        <v>31254</v>
      </c>
      <c r="U14072" t="s">
        <v>31255</v>
      </c>
      <c r="V14072" t="s">
        <v>31256</v>
      </c>
      <c r="W14072" t="s">
        <v>49980</v>
      </c>
      <c r="X14072" t="s">
        <v>42</v>
      </c>
      <c r="Y14072" t="s">
        <v>17171</v>
      </c>
      <c r="Z14072" t="s">
        <v>166</v>
      </c>
      <c r="AA14072" s="22" t="str">
        <f>HYPERLINK("https://www.ncbi.nlm.nih.gov/nuccore/JX514942","NCBI Nucleotide")</f>
        <v>NCBI Nucleotide</v>
      </c>
    </row>
    <row r="14073" spans="1:27" x14ac:dyDescent="0.35">
      <c r="A14073">
        <v>1011603</v>
      </c>
      <c r="B14073">
        <v>12782</v>
      </c>
      <c r="C14073">
        <v>21</v>
      </c>
      <c r="D14073" t="s">
        <v>17166</v>
      </c>
      <c r="F14073" t="s">
        <v>17246</v>
      </c>
      <c r="H14073" t="s">
        <v>28921</v>
      </c>
      <c r="J14073" t="s">
        <v>29538</v>
      </c>
      <c r="L14073" t="s">
        <v>30198</v>
      </c>
      <c r="N14073" t="s">
        <v>30487</v>
      </c>
      <c r="O14073" t="s">
        <v>30894</v>
      </c>
      <c r="P14073" t="s">
        <v>30929</v>
      </c>
      <c r="R14073" s="26" t="str">
        <f t="shared" si="58"/>
        <v>Enterovirus coxsackiepol</v>
      </c>
      <c r="S14073" t="s">
        <v>8141</v>
      </c>
      <c r="T14073" t="s">
        <v>31257</v>
      </c>
      <c r="U14073" t="s">
        <v>31258</v>
      </c>
      <c r="V14073" t="s">
        <v>31259</v>
      </c>
      <c r="W14073" t="s">
        <v>49981</v>
      </c>
      <c r="X14073" t="s">
        <v>42</v>
      </c>
      <c r="Y14073" t="s">
        <v>17171</v>
      </c>
      <c r="Z14073" t="s">
        <v>166</v>
      </c>
      <c r="AA14073" s="22" t="str">
        <f>HYPERLINK("https://www.ncbi.nlm.nih.gov/nuccore/JX262382","NCBI Nucleotide")</f>
        <v>NCBI Nucleotide</v>
      </c>
    </row>
    <row r="14074" spans="1:27" x14ac:dyDescent="0.35">
      <c r="A14074">
        <v>1011604</v>
      </c>
      <c r="B14074">
        <v>12782</v>
      </c>
      <c r="C14074">
        <v>22</v>
      </c>
      <c r="D14074" t="s">
        <v>17166</v>
      </c>
      <c r="F14074" t="s">
        <v>17246</v>
      </c>
      <c r="H14074" t="s">
        <v>28921</v>
      </c>
      <c r="J14074" t="s">
        <v>29538</v>
      </c>
      <c r="L14074" t="s">
        <v>30198</v>
      </c>
      <c r="N14074" t="s">
        <v>30487</v>
      </c>
      <c r="O14074" t="s">
        <v>30894</v>
      </c>
      <c r="P14074" t="s">
        <v>30929</v>
      </c>
      <c r="R14074" s="26" t="str">
        <f t="shared" si="58"/>
        <v>Enterovirus coxsackiepol</v>
      </c>
      <c r="S14074" t="s">
        <v>8141</v>
      </c>
      <c r="T14074" t="s">
        <v>31260</v>
      </c>
      <c r="U14074" t="s">
        <v>31261</v>
      </c>
      <c r="V14074" t="s">
        <v>31262</v>
      </c>
      <c r="W14074" t="s">
        <v>49982</v>
      </c>
      <c r="X14074" t="s">
        <v>42</v>
      </c>
      <c r="Y14074" t="s">
        <v>17171</v>
      </c>
      <c r="Z14074" t="s">
        <v>166</v>
      </c>
      <c r="AA14074" s="22" t="str">
        <f>HYPERLINK("https://www.ncbi.nlm.nih.gov/nuccore/JX961708","NCBI Nucleotide")</f>
        <v>NCBI Nucleotide</v>
      </c>
    </row>
    <row r="14075" spans="1:27" x14ac:dyDescent="0.35">
      <c r="A14075">
        <v>1011579</v>
      </c>
      <c r="B14075">
        <v>12782</v>
      </c>
      <c r="C14075">
        <v>23</v>
      </c>
      <c r="D14075" t="s">
        <v>17166</v>
      </c>
      <c r="F14075" t="s">
        <v>17246</v>
      </c>
      <c r="H14075" t="s">
        <v>28921</v>
      </c>
      <c r="J14075" t="s">
        <v>29538</v>
      </c>
      <c r="L14075" t="s">
        <v>30198</v>
      </c>
      <c r="N14075" t="s">
        <v>30487</v>
      </c>
      <c r="O14075" t="s">
        <v>30894</v>
      </c>
      <c r="P14075" t="s">
        <v>30929</v>
      </c>
      <c r="R14075" s="26" t="str">
        <f t="shared" si="58"/>
        <v>Enterovirus coxsackiepol</v>
      </c>
      <c r="S14075" t="s">
        <v>8141</v>
      </c>
      <c r="T14075" t="s">
        <v>31197</v>
      </c>
      <c r="U14075" t="s">
        <v>31198</v>
      </c>
      <c r="V14075" t="s">
        <v>31201</v>
      </c>
      <c r="W14075" t="s">
        <v>49983</v>
      </c>
      <c r="X14075" t="s">
        <v>42</v>
      </c>
      <c r="Y14075" t="s">
        <v>17171</v>
      </c>
      <c r="Z14075" t="s">
        <v>166</v>
      </c>
      <c r="AA14075" s="22" t="str">
        <f>HYPERLINK("https://www.ncbi.nlm.nih.gov/nuccore/V01150","NCBI Nucleotide")</f>
        <v>NCBI Nucleotide</v>
      </c>
    </row>
    <row r="14076" spans="1:27" x14ac:dyDescent="0.35">
      <c r="A14076">
        <v>1011580</v>
      </c>
      <c r="B14076">
        <v>12782</v>
      </c>
      <c r="C14076">
        <v>24</v>
      </c>
      <c r="D14076" t="s">
        <v>17166</v>
      </c>
      <c r="F14076" t="s">
        <v>17246</v>
      </c>
      <c r="H14076" t="s">
        <v>28921</v>
      </c>
      <c r="J14076" t="s">
        <v>29538</v>
      </c>
      <c r="L14076" t="s">
        <v>30198</v>
      </c>
      <c r="N14076" t="s">
        <v>30487</v>
      </c>
      <c r="O14076" t="s">
        <v>30894</v>
      </c>
      <c r="P14076" t="s">
        <v>30929</v>
      </c>
      <c r="R14076" s="26" t="str">
        <f t="shared" si="58"/>
        <v>Enterovirus coxsackiepol</v>
      </c>
      <c r="S14076" t="s">
        <v>8141</v>
      </c>
      <c r="T14076" t="s">
        <v>31202</v>
      </c>
      <c r="U14076" t="s">
        <v>31203</v>
      </c>
      <c r="V14076" t="s">
        <v>31204</v>
      </c>
      <c r="W14076" t="s">
        <v>49984</v>
      </c>
      <c r="X14076" t="s">
        <v>42</v>
      </c>
      <c r="Y14076" t="s">
        <v>17171</v>
      </c>
      <c r="Z14076" t="s">
        <v>166</v>
      </c>
      <c r="AA14076" s="22" t="str">
        <f>HYPERLINK("https://www.ncbi.nlm.nih.gov/nuccore/M12197","NCBI Nucleotide")</f>
        <v>NCBI Nucleotide</v>
      </c>
    </row>
    <row r="14077" spans="1:27" x14ac:dyDescent="0.35">
      <c r="A14077">
        <v>1011581</v>
      </c>
      <c r="B14077">
        <v>12782</v>
      </c>
      <c r="C14077">
        <v>25</v>
      </c>
      <c r="D14077" t="s">
        <v>17166</v>
      </c>
      <c r="F14077" t="s">
        <v>17246</v>
      </c>
      <c r="H14077" t="s">
        <v>28921</v>
      </c>
      <c r="J14077" t="s">
        <v>29538</v>
      </c>
      <c r="L14077" t="s">
        <v>30198</v>
      </c>
      <c r="N14077" t="s">
        <v>30487</v>
      </c>
      <c r="O14077" t="s">
        <v>30894</v>
      </c>
      <c r="P14077" t="s">
        <v>30929</v>
      </c>
      <c r="R14077" s="26" t="str">
        <f t="shared" si="58"/>
        <v>Enterovirus coxsackiepol</v>
      </c>
      <c r="S14077" t="s">
        <v>8141</v>
      </c>
      <c r="T14077" t="s">
        <v>31202</v>
      </c>
      <c r="U14077" t="s">
        <v>31203</v>
      </c>
      <c r="V14077" t="s">
        <v>31205</v>
      </c>
      <c r="W14077" t="s">
        <v>49985</v>
      </c>
      <c r="X14077" t="s">
        <v>42</v>
      </c>
      <c r="Y14077" t="s">
        <v>17171</v>
      </c>
      <c r="Z14077" t="s">
        <v>166</v>
      </c>
      <c r="AA14077" s="22" t="str">
        <f>HYPERLINK("https://www.ncbi.nlm.nih.gov/nuccore/X00595","NCBI Nucleotide")</f>
        <v>NCBI Nucleotide</v>
      </c>
    </row>
    <row r="14078" spans="1:27" x14ac:dyDescent="0.35">
      <c r="A14078">
        <v>1011582</v>
      </c>
      <c r="B14078">
        <v>12782</v>
      </c>
      <c r="C14078">
        <v>26</v>
      </c>
      <c r="D14078" t="s">
        <v>17166</v>
      </c>
      <c r="F14078" t="s">
        <v>17246</v>
      </c>
      <c r="H14078" t="s">
        <v>28921</v>
      </c>
      <c r="J14078" t="s">
        <v>29538</v>
      </c>
      <c r="L14078" t="s">
        <v>30198</v>
      </c>
      <c r="N14078" t="s">
        <v>30487</v>
      </c>
      <c r="O14078" t="s">
        <v>30894</v>
      </c>
      <c r="P14078" t="s">
        <v>30929</v>
      </c>
      <c r="R14078" s="26" t="str">
        <f t="shared" si="58"/>
        <v>Enterovirus coxsackiepol</v>
      </c>
      <c r="S14078" t="s">
        <v>8141</v>
      </c>
      <c r="T14078" t="s">
        <v>31206</v>
      </c>
      <c r="U14078" t="s">
        <v>31208</v>
      </c>
      <c r="V14078" t="s">
        <v>31207</v>
      </c>
      <c r="W14078" t="s">
        <v>49986</v>
      </c>
      <c r="X14078" t="s">
        <v>42</v>
      </c>
      <c r="Y14078" t="s">
        <v>17171</v>
      </c>
      <c r="Z14078" t="s">
        <v>166</v>
      </c>
      <c r="AA14078" s="22" t="str">
        <f>HYPERLINK("https://www.ncbi.nlm.nih.gov/nuccore/K01392","NCBI Nucleotide")</f>
        <v>NCBI Nucleotide</v>
      </c>
    </row>
    <row r="14079" spans="1:27" x14ac:dyDescent="0.35">
      <c r="A14079">
        <v>1011583</v>
      </c>
      <c r="B14079">
        <v>12782</v>
      </c>
      <c r="C14079">
        <v>27</v>
      </c>
      <c r="D14079" t="s">
        <v>17166</v>
      </c>
      <c r="F14079" t="s">
        <v>17246</v>
      </c>
      <c r="H14079" t="s">
        <v>28921</v>
      </c>
      <c r="J14079" t="s">
        <v>29538</v>
      </c>
      <c r="L14079" t="s">
        <v>30198</v>
      </c>
      <c r="N14079" t="s">
        <v>30487</v>
      </c>
      <c r="O14079" t="s">
        <v>30894</v>
      </c>
      <c r="P14079" t="s">
        <v>30929</v>
      </c>
      <c r="R14079" s="26" t="str">
        <f t="shared" si="58"/>
        <v>Enterovirus coxsackiepol</v>
      </c>
      <c r="S14079" t="s">
        <v>8141</v>
      </c>
      <c r="T14079" t="s">
        <v>31206</v>
      </c>
      <c r="U14079" t="s">
        <v>31208</v>
      </c>
      <c r="V14079" t="s">
        <v>31209</v>
      </c>
      <c r="W14079" t="s">
        <v>49987</v>
      </c>
      <c r="X14079" t="s">
        <v>42</v>
      </c>
      <c r="Y14079" t="s">
        <v>17171</v>
      </c>
      <c r="Z14079" t="s">
        <v>166</v>
      </c>
      <c r="AA14079" s="22" t="str">
        <f>HYPERLINK("https://www.ncbi.nlm.nih.gov/nuccore/X00925","NCBI Nucleotide")</f>
        <v>NCBI Nucleotide</v>
      </c>
    </row>
    <row r="14080" spans="1:27" x14ac:dyDescent="0.35">
      <c r="A14080">
        <v>1001830</v>
      </c>
      <c r="B14080">
        <v>12783</v>
      </c>
      <c r="C14080">
        <v>1</v>
      </c>
      <c r="D14080" t="s">
        <v>17166</v>
      </c>
      <c r="F14080" t="s">
        <v>17246</v>
      </c>
      <c r="H14080" t="s">
        <v>28921</v>
      </c>
      <c r="J14080" t="s">
        <v>29538</v>
      </c>
      <c r="L14080" t="s">
        <v>30198</v>
      </c>
      <c r="N14080" t="s">
        <v>30487</v>
      </c>
      <c r="O14080" t="s">
        <v>30894</v>
      </c>
      <c r="P14080" t="s">
        <v>30929</v>
      </c>
      <c r="R14080" s="26" t="str">
        <f t="shared" ref="R14080:R14085" si="59">HYPERLINK("https://ictv.global/taxonomy/taxondetails?taxnode_id=202301986","Enterovirus deconjuncti")</f>
        <v>Enterovirus deconjuncti</v>
      </c>
      <c r="S14080" t="s">
        <v>30</v>
      </c>
      <c r="T14080" t="s">
        <v>31263</v>
      </c>
      <c r="U14080" t="s">
        <v>31264</v>
      </c>
      <c r="V14080" t="s">
        <v>31265</v>
      </c>
      <c r="W14080" t="s">
        <v>31266</v>
      </c>
      <c r="X14080" t="s">
        <v>42</v>
      </c>
      <c r="Y14080" t="s">
        <v>17171</v>
      </c>
      <c r="Z14080" t="s">
        <v>166</v>
      </c>
      <c r="AA14080" s="22" t="str">
        <f>HYPERLINK("https://www.ncbi.nlm.nih.gov/nuccore/AY426531","NCBI Nucleotide")</f>
        <v>NCBI Nucleotide</v>
      </c>
    </row>
    <row r="14081" spans="1:27" x14ac:dyDescent="0.35">
      <c r="A14081">
        <v>1011605</v>
      </c>
      <c r="B14081">
        <v>12783</v>
      </c>
      <c r="C14081">
        <v>2</v>
      </c>
      <c r="D14081" t="s">
        <v>17166</v>
      </c>
      <c r="F14081" t="s">
        <v>17246</v>
      </c>
      <c r="H14081" t="s">
        <v>28921</v>
      </c>
      <c r="J14081" t="s">
        <v>29538</v>
      </c>
      <c r="L14081" t="s">
        <v>30198</v>
      </c>
      <c r="N14081" t="s">
        <v>30487</v>
      </c>
      <c r="O14081" t="s">
        <v>30894</v>
      </c>
      <c r="P14081" t="s">
        <v>30929</v>
      </c>
      <c r="R14081" s="26" t="str">
        <f t="shared" si="59"/>
        <v>Enterovirus deconjuncti</v>
      </c>
      <c r="S14081" t="s">
        <v>8141</v>
      </c>
      <c r="T14081" t="s">
        <v>31267</v>
      </c>
      <c r="U14081" t="s">
        <v>31264</v>
      </c>
      <c r="V14081" t="s">
        <v>31268</v>
      </c>
      <c r="W14081" t="s">
        <v>49988</v>
      </c>
      <c r="X14081" t="s">
        <v>154</v>
      </c>
      <c r="Y14081" t="s">
        <v>17171</v>
      </c>
      <c r="Z14081" t="s">
        <v>166</v>
      </c>
      <c r="AA14081" s="22" t="str">
        <f>HYPERLINK("https://www.ncbi.nlm.nih.gov/nuccore/AY355268","NCBI Nucleotide")</f>
        <v>NCBI Nucleotide</v>
      </c>
    </row>
    <row r="14082" spans="1:27" x14ac:dyDescent="0.35">
      <c r="A14082">
        <v>1011606</v>
      </c>
      <c r="B14082">
        <v>12783</v>
      </c>
      <c r="C14082">
        <v>3</v>
      </c>
      <c r="D14082" t="s">
        <v>17166</v>
      </c>
      <c r="F14082" t="s">
        <v>17246</v>
      </c>
      <c r="H14082" t="s">
        <v>28921</v>
      </c>
      <c r="J14082" t="s">
        <v>29538</v>
      </c>
      <c r="L14082" t="s">
        <v>30198</v>
      </c>
      <c r="N14082" t="s">
        <v>30487</v>
      </c>
      <c r="O14082" t="s">
        <v>30894</v>
      </c>
      <c r="P14082" t="s">
        <v>30929</v>
      </c>
      <c r="R14082" s="26" t="str">
        <f t="shared" si="59"/>
        <v>Enterovirus deconjuncti</v>
      </c>
      <c r="S14082" t="s">
        <v>8141</v>
      </c>
      <c r="T14082" t="s">
        <v>31269</v>
      </c>
      <c r="U14082" t="s">
        <v>31270</v>
      </c>
      <c r="V14082" t="s">
        <v>31271</v>
      </c>
      <c r="W14082" t="s">
        <v>49989</v>
      </c>
      <c r="X14082" t="s">
        <v>42</v>
      </c>
      <c r="Y14082" t="s">
        <v>17171</v>
      </c>
      <c r="Z14082" t="s">
        <v>166</v>
      </c>
      <c r="AA14082" s="22" t="str">
        <f>HYPERLINK("https://www.ncbi.nlm.nih.gov/nuccore/D00820","NCBI Nucleotide")</f>
        <v>NCBI Nucleotide</v>
      </c>
    </row>
    <row r="14083" spans="1:27" x14ac:dyDescent="0.35">
      <c r="A14083">
        <v>1011607</v>
      </c>
      <c r="B14083">
        <v>12783</v>
      </c>
      <c r="C14083">
        <v>4</v>
      </c>
      <c r="D14083" t="s">
        <v>17166</v>
      </c>
      <c r="F14083" t="s">
        <v>17246</v>
      </c>
      <c r="H14083" t="s">
        <v>28921</v>
      </c>
      <c r="J14083" t="s">
        <v>29538</v>
      </c>
      <c r="L14083" t="s">
        <v>30198</v>
      </c>
      <c r="N14083" t="s">
        <v>30487</v>
      </c>
      <c r="O14083" t="s">
        <v>30894</v>
      </c>
      <c r="P14083" t="s">
        <v>30929</v>
      </c>
      <c r="R14083" s="26" t="str">
        <f t="shared" si="59"/>
        <v>Enterovirus deconjuncti</v>
      </c>
      <c r="S14083" t="s">
        <v>8141</v>
      </c>
      <c r="T14083" t="s">
        <v>31272</v>
      </c>
      <c r="U14083" t="s">
        <v>31273</v>
      </c>
      <c r="V14083" t="s">
        <v>31274</v>
      </c>
      <c r="W14083" t="s">
        <v>49990</v>
      </c>
      <c r="X14083" t="s">
        <v>42</v>
      </c>
      <c r="Y14083" t="s">
        <v>17171</v>
      </c>
      <c r="Z14083" t="s">
        <v>166</v>
      </c>
      <c r="AA14083" s="22" t="str">
        <f>HYPERLINK("https://www.ncbi.nlm.nih.gov/nuccore/DQ916376","NCBI Nucleotide")</f>
        <v>NCBI Nucleotide</v>
      </c>
    </row>
    <row r="14084" spans="1:27" x14ac:dyDescent="0.35">
      <c r="A14084">
        <v>1011608</v>
      </c>
      <c r="B14084">
        <v>12783</v>
      </c>
      <c r="C14084">
        <v>5</v>
      </c>
      <c r="D14084" t="s">
        <v>17166</v>
      </c>
      <c r="F14084" t="s">
        <v>17246</v>
      </c>
      <c r="H14084" t="s">
        <v>28921</v>
      </c>
      <c r="J14084" t="s">
        <v>29538</v>
      </c>
      <c r="L14084" t="s">
        <v>30198</v>
      </c>
      <c r="N14084" t="s">
        <v>30487</v>
      </c>
      <c r="O14084" t="s">
        <v>30894</v>
      </c>
      <c r="P14084" t="s">
        <v>30929</v>
      </c>
      <c r="R14084" s="26" t="str">
        <f t="shared" si="59"/>
        <v>Enterovirus deconjuncti</v>
      </c>
      <c r="S14084" t="s">
        <v>8141</v>
      </c>
      <c r="T14084" t="s">
        <v>31275</v>
      </c>
      <c r="U14084" t="s">
        <v>31276</v>
      </c>
      <c r="V14084" t="s">
        <v>31277</v>
      </c>
      <c r="W14084" t="s">
        <v>49991</v>
      </c>
      <c r="X14084" t="s">
        <v>154</v>
      </c>
      <c r="Y14084" t="s">
        <v>17171</v>
      </c>
      <c r="Z14084" t="s">
        <v>166</v>
      </c>
      <c r="AA14084" s="22" t="str">
        <f>HYPERLINK("https://www.ncbi.nlm.nih.gov/nuccore/JF416929,JF416932,JF416935,JF416938","NCBI Nucleotide")</f>
        <v>NCBI Nucleotide</v>
      </c>
    </row>
    <row r="14085" spans="1:27" x14ac:dyDescent="0.35">
      <c r="A14085">
        <v>1011609</v>
      </c>
      <c r="B14085">
        <v>12783</v>
      </c>
      <c r="C14085">
        <v>6</v>
      </c>
      <c r="D14085" t="s">
        <v>17166</v>
      </c>
      <c r="F14085" t="s">
        <v>17246</v>
      </c>
      <c r="H14085" t="s">
        <v>28921</v>
      </c>
      <c r="J14085" t="s">
        <v>29538</v>
      </c>
      <c r="L14085" t="s">
        <v>30198</v>
      </c>
      <c r="N14085" t="s">
        <v>30487</v>
      </c>
      <c r="O14085" t="s">
        <v>30894</v>
      </c>
      <c r="P14085" t="s">
        <v>30929</v>
      </c>
      <c r="R14085" s="26" t="str">
        <f t="shared" si="59"/>
        <v>Enterovirus deconjuncti</v>
      </c>
      <c r="S14085" t="s">
        <v>8141</v>
      </c>
      <c r="T14085" t="s">
        <v>31278</v>
      </c>
      <c r="U14085" t="s">
        <v>31279</v>
      </c>
      <c r="V14085" t="s">
        <v>31280</v>
      </c>
      <c r="W14085" t="s">
        <v>49992</v>
      </c>
      <c r="X14085" t="s">
        <v>154</v>
      </c>
      <c r="Y14085" t="s">
        <v>17171</v>
      </c>
      <c r="Z14085" t="s">
        <v>166</v>
      </c>
      <c r="AA14085" s="22" t="str">
        <f>HYPERLINK("https://www.ncbi.nlm.nih.gov/nuccore/KF040080","NCBI Nucleotide")</f>
        <v>NCBI Nucleotide</v>
      </c>
    </row>
    <row r="14086" spans="1:27" x14ac:dyDescent="0.35">
      <c r="A14086">
        <v>1001831</v>
      </c>
      <c r="B14086">
        <v>12784</v>
      </c>
      <c r="C14086">
        <v>1</v>
      </c>
      <c r="D14086" t="s">
        <v>17166</v>
      </c>
      <c r="F14086" t="s">
        <v>17246</v>
      </c>
      <c r="H14086" t="s">
        <v>28921</v>
      </c>
      <c r="J14086" t="s">
        <v>29538</v>
      </c>
      <c r="L14086" t="s">
        <v>30198</v>
      </c>
      <c r="N14086" t="s">
        <v>30487</v>
      </c>
      <c r="O14086" t="s">
        <v>30894</v>
      </c>
      <c r="P14086" t="s">
        <v>30929</v>
      </c>
      <c r="R14086" s="26" t="str">
        <f>HYPERLINK("https://ictv.global/taxonomy/taxondetails?taxnode_id=202301987","Enterovirus eibovi")</f>
        <v>Enterovirus eibovi</v>
      </c>
      <c r="S14086" t="s">
        <v>30</v>
      </c>
      <c r="T14086" t="s">
        <v>31281</v>
      </c>
      <c r="U14086" t="s">
        <v>31282</v>
      </c>
      <c r="V14086" t="s">
        <v>31283</v>
      </c>
      <c r="W14086" t="s">
        <v>31284</v>
      </c>
      <c r="X14086" t="s">
        <v>42</v>
      </c>
      <c r="Y14086" t="s">
        <v>17171</v>
      </c>
      <c r="Z14086" t="s">
        <v>166</v>
      </c>
      <c r="AA14086" s="22" t="str">
        <f>HYPERLINK("https://www.ncbi.nlm.nih.gov/nuccore/D00214","NCBI Nucleotide")</f>
        <v>NCBI Nucleotide</v>
      </c>
    </row>
    <row r="14087" spans="1:27" x14ac:dyDescent="0.35">
      <c r="A14087">
        <v>1011610</v>
      </c>
      <c r="B14087">
        <v>12784</v>
      </c>
      <c r="C14087">
        <v>2</v>
      </c>
      <c r="D14087" t="s">
        <v>17166</v>
      </c>
      <c r="F14087" t="s">
        <v>17246</v>
      </c>
      <c r="H14087" t="s">
        <v>28921</v>
      </c>
      <c r="J14087" t="s">
        <v>29538</v>
      </c>
      <c r="L14087" t="s">
        <v>30198</v>
      </c>
      <c r="N14087" t="s">
        <v>30487</v>
      </c>
      <c r="O14087" t="s">
        <v>30894</v>
      </c>
      <c r="P14087" t="s">
        <v>30929</v>
      </c>
      <c r="R14087" s="26" t="str">
        <f>HYPERLINK("https://ictv.global/taxonomy/taxondetails?taxnode_id=202301987","Enterovirus eibovi")</f>
        <v>Enterovirus eibovi</v>
      </c>
      <c r="S14087" t="s">
        <v>8141</v>
      </c>
      <c r="T14087" t="s">
        <v>31285</v>
      </c>
      <c r="U14087" t="s">
        <v>31286</v>
      </c>
      <c r="V14087" t="s">
        <v>31287</v>
      </c>
      <c r="W14087" t="s">
        <v>49993</v>
      </c>
      <c r="X14087" t="s">
        <v>42</v>
      </c>
      <c r="Y14087" t="s">
        <v>17171</v>
      </c>
      <c r="Z14087" t="s">
        <v>166</v>
      </c>
      <c r="AA14087" s="22" t="str">
        <f>HYPERLINK("https://www.ncbi.nlm.nih.gov/nuccore/DQ092792","NCBI Nucleotide")</f>
        <v>NCBI Nucleotide</v>
      </c>
    </row>
    <row r="14088" spans="1:27" x14ac:dyDescent="0.35">
      <c r="A14088">
        <v>1011611</v>
      </c>
      <c r="B14088">
        <v>12784</v>
      </c>
      <c r="C14088">
        <v>3</v>
      </c>
      <c r="D14088" t="s">
        <v>17166</v>
      </c>
      <c r="F14088" t="s">
        <v>17246</v>
      </c>
      <c r="H14088" t="s">
        <v>28921</v>
      </c>
      <c r="J14088" t="s">
        <v>29538</v>
      </c>
      <c r="L14088" t="s">
        <v>30198</v>
      </c>
      <c r="N14088" t="s">
        <v>30487</v>
      </c>
      <c r="O14088" t="s">
        <v>30894</v>
      </c>
      <c r="P14088" t="s">
        <v>30929</v>
      </c>
      <c r="R14088" s="26" t="str">
        <f>HYPERLINK("https://ictv.global/taxonomy/taxondetails?taxnode_id=202301987","Enterovirus eibovi")</f>
        <v>Enterovirus eibovi</v>
      </c>
      <c r="S14088" t="s">
        <v>8141</v>
      </c>
      <c r="T14088" t="s">
        <v>31288</v>
      </c>
      <c r="U14088" t="s">
        <v>31289</v>
      </c>
      <c r="V14088" t="s">
        <v>31290</v>
      </c>
      <c r="W14088" t="s">
        <v>49994</v>
      </c>
      <c r="X14088" t="s">
        <v>154</v>
      </c>
      <c r="Y14088" t="s">
        <v>17171</v>
      </c>
      <c r="Z14088" t="s">
        <v>166</v>
      </c>
      <c r="AA14088" s="22" t="str">
        <f>HYPERLINK("https://www.ncbi.nlm.nih.gov/nuccore/DQ092786","NCBI Nucleotide")</f>
        <v>NCBI Nucleotide</v>
      </c>
    </row>
    <row r="14089" spans="1:27" x14ac:dyDescent="0.35">
      <c r="A14089">
        <v>1011612</v>
      </c>
      <c r="B14089">
        <v>12784</v>
      </c>
      <c r="C14089">
        <v>4</v>
      </c>
      <c r="D14089" t="s">
        <v>17166</v>
      </c>
      <c r="F14089" t="s">
        <v>17246</v>
      </c>
      <c r="H14089" t="s">
        <v>28921</v>
      </c>
      <c r="J14089" t="s">
        <v>29538</v>
      </c>
      <c r="L14089" t="s">
        <v>30198</v>
      </c>
      <c r="N14089" t="s">
        <v>30487</v>
      </c>
      <c r="O14089" t="s">
        <v>30894</v>
      </c>
      <c r="P14089" t="s">
        <v>30929</v>
      </c>
      <c r="R14089" s="26" t="str">
        <f>HYPERLINK("https://ictv.global/taxonomy/taxondetails?taxnode_id=202301987","Enterovirus eibovi")</f>
        <v>Enterovirus eibovi</v>
      </c>
      <c r="S14089" t="s">
        <v>8141</v>
      </c>
      <c r="T14089" t="s">
        <v>31291</v>
      </c>
      <c r="U14089" t="s">
        <v>31292</v>
      </c>
      <c r="V14089" t="s">
        <v>31293</v>
      </c>
      <c r="W14089" t="s">
        <v>49995</v>
      </c>
      <c r="X14089" t="s">
        <v>154</v>
      </c>
      <c r="Y14089" t="s">
        <v>17171</v>
      </c>
      <c r="Z14089" t="s">
        <v>166</v>
      </c>
      <c r="AA14089" s="22" t="str">
        <f>HYPERLINK("https://www.ncbi.nlm.nih.gov/nuccore/JQ690748,JQ690741","NCBI Nucleotide")</f>
        <v>NCBI Nucleotide</v>
      </c>
    </row>
    <row r="14090" spans="1:27" x14ac:dyDescent="0.35">
      <c r="A14090">
        <v>1011613</v>
      </c>
      <c r="B14090">
        <v>12784</v>
      </c>
      <c r="C14090">
        <v>5</v>
      </c>
      <c r="D14090" t="s">
        <v>17166</v>
      </c>
      <c r="F14090" t="s">
        <v>17246</v>
      </c>
      <c r="H14090" t="s">
        <v>28921</v>
      </c>
      <c r="J14090" t="s">
        <v>29538</v>
      </c>
      <c r="L14090" t="s">
        <v>30198</v>
      </c>
      <c r="N14090" t="s">
        <v>30487</v>
      </c>
      <c r="O14090" t="s">
        <v>30894</v>
      </c>
      <c r="P14090" t="s">
        <v>30929</v>
      </c>
      <c r="R14090" s="26" t="str">
        <f>HYPERLINK("https://ictv.global/taxonomy/taxondetails?taxnode_id=202301987","Enterovirus eibovi")</f>
        <v>Enterovirus eibovi</v>
      </c>
      <c r="S14090" t="s">
        <v>8141</v>
      </c>
      <c r="T14090" t="s">
        <v>31294</v>
      </c>
      <c r="U14090" t="s">
        <v>31295</v>
      </c>
      <c r="V14090" t="s">
        <v>31296</v>
      </c>
      <c r="W14090" t="s">
        <v>49996</v>
      </c>
      <c r="X14090" t="s">
        <v>42</v>
      </c>
      <c r="Y14090" t="s">
        <v>17171</v>
      </c>
      <c r="Z14090" t="s">
        <v>166</v>
      </c>
      <c r="AA14090" s="22" t="str">
        <f>HYPERLINK("https://www.ncbi.nlm.nih.gov/nuccore/KU172420","NCBI Nucleotide")</f>
        <v>NCBI Nucleotide</v>
      </c>
    </row>
    <row r="14091" spans="1:27" x14ac:dyDescent="0.35">
      <c r="A14091">
        <v>1001832</v>
      </c>
      <c r="B14091">
        <v>12785</v>
      </c>
      <c r="C14091">
        <v>1</v>
      </c>
      <c r="D14091" t="s">
        <v>17166</v>
      </c>
      <c r="F14091" t="s">
        <v>17246</v>
      </c>
      <c r="H14091" t="s">
        <v>28921</v>
      </c>
      <c r="J14091" t="s">
        <v>29538</v>
      </c>
      <c r="L14091" t="s">
        <v>30198</v>
      </c>
      <c r="N14091" t="s">
        <v>30487</v>
      </c>
      <c r="O14091" t="s">
        <v>30894</v>
      </c>
      <c r="P14091" t="s">
        <v>30929</v>
      </c>
      <c r="R14091" s="26" t="str">
        <f t="shared" ref="R14091:R14097" si="60">HYPERLINK("https://ictv.global/taxonomy/taxondetails?taxnode_id=202301988","Enterovirus fitauri")</f>
        <v>Enterovirus fitauri</v>
      </c>
      <c r="S14091" t="s">
        <v>30</v>
      </c>
      <c r="T14091" t="s">
        <v>31297</v>
      </c>
      <c r="U14091" t="s">
        <v>31298</v>
      </c>
      <c r="V14091" t="s">
        <v>31299</v>
      </c>
      <c r="W14091" t="s">
        <v>31300</v>
      </c>
      <c r="X14091" t="s">
        <v>42</v>
      </c>
      <c r="Y14091" t="s">
        <v>17171</v>
      </c>
      <c r="Z14091" t="s">
        <v>166</v>
      </c>
      <c r="AA14091" s="22" t="str">
        <f>HYPERLINK("https://www.ncbi.nlm.nih.gov/nuccore/DQ092770","NCBI Nucleotide")</f>
        <v>NCBI Nucleotide</v>
      </c>
    </row>
    <row r="14092" spans="1:27" x14ac:dyDescent="0.35">
      <c r="A14092">
        <v>1011614</v>
      </c>
      <c r="B14092">
        <v>12785</v>
      </c>
      <c r="C14092">
        <v>2</v>
      </c>
      <c r="D14092" t="s">
        <v>17166</v>
      </c>
      <c r="F14092" t="s">
        <v>17246</v>
      </c>
      <c r="H14092" t="s">
        <v>28921</v>
      </c>
      <c r="J14092" t="s">
        <v>29538</v>
      </c>
      <c r="L14092" t="s">
        <v>30198</v>
      </c>
      <c r="N14092" t="s">
        <v>30487</v>
      </c>
      <c r="O14092" t="s">
        <v>30894</v>
      </c>
      <c r="P14092" t="s">
        <v>30929</v>
      </c>
      <c r="R14092" s="26" t="str">
        <f t="shared" si="60"/>
        <v>Enterovirus fitauri</v>
      </c>
      <c r="S14092" t="s">
        <v>8141</v>
      </c>
      <c r="T14092" t="s">
        <v>31301</v>
      </c>
      <c r="U14092" t="s">
        <v>31302</v>
      </c>
      <c r="V14092" t="s">
        <v>31303</v>
      </c>
      <c r="W14092" t="s">
        <v>49997</v>
      </c>
      <c r="X14092" t="s">
        <v>42</v>
      </c>
      <c r="Y14092" t="s">
        <v>17171</v>
      </c>
      <c r="Z14092" t="s">
        <v>166</v>
      </c>
      <c r="AA14092" s="22" t="str">
        <f>HYPERLINK("https://www.ncbi.nlm.nih.gov/nuccore/DQ092795","NCBI Nucleotide")</f>
        <v>NCBI Nucleotide</v>
      </c>
    </row>
    <row r="14093" spans="1:27" x14ac:dyDescent="0.35">
      <c r="A14093">
        <v>1011615</v>
      </c>
      <c r="B14093">
        <v>12785</v>
      </c>
      <c r="C14093">
        <v>3</v>
      </c>
      <c r="D14093" t="s">
        <v>17166</v>
      </c>
      <c r="F14093" t="s">
        <v>17246</v>
      </c>
      <c r="H14093" t="s">
        <v>28921</v>
      </c>
      <c r="J14093" t="s">
        <v>29538</v>
      </c>
      <c r="L14093" t="s">
        <v>30198</v>
      </c>
      <c r="N14093" t="s">
        <v>30487</v>
      </c>
      <c r="O14093" t="s">
        <v>30894</v>
      </c>
      <c r="P14093" t="s">
        <v>30929</v>
      </c>
      <c r="R14093" s="26" t="str">
        <f t="shared" si="60"/>
        <v>Enterovirus fitauri</v>
      </c>
      <c r="S14093" t="s">
        <v>8141</v>
      </c>
      <c r="T14093" t="s">
        <v>31304</v>
      </c>
      <c r="U14093" t="s">
        <v>31305</v>
      </c>
      <c r="V14093" t="s">
        <v>31306</v>
      </c>
      <c r="W14093" t="s">
        <v>49998</v>
      </c>
      <c r="X14093" t="s">
        <v>42</v>
      </c>
      <c r="Y14093" t="s">
        <v>17171</v>
      </c>
      <c r="Z14093" t="s">
        <v>166</v>
      </c>
      <c r="AA14093" s="22" t="str">
        <f>HYPERLINK("https://www.ncbi.nlm.nih.gov/nuccore/DQ092794","NCBI Nucleotide")</f>
        <v>NCBI Nucleotide</v>
      </c>
    </row>
    <row r="14094" spans="1:27" x14ac:dyDescent="0.35">
      <c r="A14094">
        <v>1011616</v>
      </c>
      <c r="B14094">
        <v>12785</v>
      </c>
      <c r="C14094">
        <v>4</v>
      </c>
      <c r="D14094" t="s">
        <v>17166</v>
      </c>
      <c r="F14094" t="s">
        <v>17246</v>
      </c>
      <c r="H14094" t="s">
        <v>28921</v>
      </c>
      <c r="J14094" t="s">
        <v>29538</v>
      </c>
      <c r="L14094" t="s">
        <v>30198</v>
      </c>
      <c r="N14094" t="s">
        <v>30487</v>
      </c>
      <c r="O14094" t="s">
        <v>30894</v>
      </c>
      <c r="P14094" t="s">
        <v>30929</v>
      </c>
      <c r="R14094" s="26" t="str">
        <f t="shared" si="60"/>
        <v>Enterovirus fitauri</v>
      </c>
      <c r="S14094" t="s">
        <v>8141</v>
      </c>
      <c r="T14094" t="s">
        <v>31307</v>
      </c>
      <c r="U14094" t="s">
        <v>31308</v>
      </c>
      <c r="V14094" t="s">
        <v>31309</v>
      </c>
      <c r="W14094" t="s">
        <v>49999</v>
      </c>
      <c r="X14094" t="s">
        <v>42</v>
      </c>
      <c r="Y14094" t="s">
        <v>17171</v>
      </c>
      <c r="Z14094" t="s">
        <v>166</v>
      </c>
      <c r="AA14094" s="22" t="str">
        <f>HYPERLINK("https://www.ncbi.nlm.nih.gov/nuccore/AY462106","NCBI Nucleotide")</f>
        <v>NCBI Nucleotide</v>
      </c>
    </row>
    <row r="14095" spans="1:27" x14ac:dyDescent="0.35">
      <c r="A14095">
        <v>1011617</v>
      </c>
      <c r="B14095">
        <v>12785</v>
      </c>
      <c r="C14095">
        <v>5</v>
      </c>
      <c r="D14095" t="s">
        <v>17166</v>
      </c>
      <c r="F14095" t="s">
        <v>17246</v>
      </c>
      <c r="H14095" t="s">
        <v>28921</v>
      </c>
      <c r="J14095" t="s">
        <v>29538</v>
      </c>
      <c r="L14095" t="s">
        <v>30198</v>
      </c>
      <c r="N14095" t="s">
        <v>30487</v>
      </c>
      <c r="O14095" t="s">
        <v>30894</v>
      </c>
      <c r="P14095" t="s">
        <v>30929</v>
      </c>
      <c r="R14095" s="26" t="str">
        <f t="shared" si="60"/>
        <v>Enterovirus fitauri</v>
      </c>
      <c r="S14095" t="s">
        <v>8141</v>
      </c>
      <c r="T14095" t="s">
        <v>31310</v>
      </c>
      <c r="U14095" t="s">
        <v>31311</v>
      </c>
      <c r="V14095" t="s">
        <v>31312</v>
      </c>
      <c r="W14095" t="s">
        <v>51014</v>
      </c>
      <c r="X14095" t="s">
        <v>3311</v>
      </c>
      <c r="Y14095" t="s">
        <v>17171</v>
      </c>
      <c r="Z14095" t="s">
        <v>166</v>
      </c>
      <c r="AA14095" s="22" t="str">
        <f>HYPERLINK("https://www.ncbi.nlm.nih.gov/nuccore/PQ415717","NCBI Nucleotide")</f>
        <v>NCBI Nucleotide</v>
      </c>
    </row>
    <row r="14096" spans="1:27" x14ac:dyDescent="0.35">
      <c r="A14096">
        <v>1011618</v>
      </c>
      <c r="B14096">
        <v>12785</v>
      </c>
      <c r="C14096">
        <v>6</v>
      </c>
      <c r="D14096" t="s">
        <v>17166</v>
      </c>
      <c r="F14096" t="s">
        <v>17246</v>
      </c>
      <c r="H14096" t="s">
        <v>28921</v>
      </c>
      <c r="J14096" t="s">
        <v>29538</v>
      </c>
      <c r="L14096" t="s">
        <v>30198</v>
      </c>
      <c r="N14096" t="s">
        <v>30487</v>
      </c>
      <c r="O14096" t="s">
        <v>30894</v>
      </c>
      <c r="P14096" t="s">
        <v>30929</v>
      </c>
      <c r="R14096" s="26" t="str">
        <f t="shared" si="60"/>
        <v>Enterovirus fitauri</v>
      </c>
      <c r="S14096" t="s">
        <v>8141</v>
      </c>
      <c r="T14096" t="s">
        <v>31313</v>
      </c>
      <c r="U14096" t="s">
        <v>31314</v>
      </c>
      <c r="V14096" t="s">
        <v>31315</v>
      </c>
      <c r="W14096" t="s">
        <v>51015</v>
      </c>
      <c r="X14096" t="s">
        <v>3311</v>
      </c>
      <c r="Y14096" t="s">
        <v>17171</v>
      </c>
      <c r="Z14096" t="s">
        <v>166</v>
      </c>
      <c r="AA14096" s="22" t="str">
        <f>HYPERLINK("https://www.ncbi.nlm.nih.gov/nuccore/PQ415718","NCBI Nucleotide")</f>
        <v>NCBI Nucleotide</v>
      </c>
    </row>
    <row r="14097" spans="1:27" x14ac:dyDescent="0.35">
      <c r="A14097">
        <v>1011619</v>
      </c>
      <c r="B14097">
        <v>12785</v>
      </c>
      <c r="C14097">
        <v>7</v>
      </c>
      <c r="D14097" t="s">
        <v>17166</v>
      </c>
      <c r="F14097" t="s">
        <v>17246</v>
      </c>
      <c r="H14097" t="s">
        <v>28921</v>
      </c>
      <c r="J14097" t="s">
        <v>29538</v>
      </c>
      <c r="L14097" t="s">
        <v>30198</v>
      </c>
      <c r="N14097" t="s">
        <v>30487</v>
      </c>
      <c r="O14097" t="s">
        <v>30894</v>
      </c>
      <c r="P14097" t="s">
        <v>30929</v>
      </c>
      <c r="R14097" s="26" t="str">
        <f t="shared" si="60"/>
        <v>Enterovirus fitauri</v>
      </c>
      <c r="S14097" t="s">
        <v>8141</v>
      </c>
      <c r="T14097" t="s">
        <v>31316</v>
      </c>
      <c r="U14097" t="s">
        <v>31317</v>
      </c>
      <c r="V14097" t="s">
        <v>31318</v>
      </c>
      <c r="W14097" t="s">
        <v>50000</v>
      </c>
      <c r="X14097" t="s">
        <v>42</v>
      </c>
      <c r="Y14097" t="s">
        <v>17171</v>
      </c>
      <c r="Z14097" t="s">
        <v>166</v>
      </c>
      <c r="AA14097" s="22" t="str">
        <f>HYPERLINK("https://www.ncbi.nlm.nih.gov/nuccore/LC038188","NCBI Nucleotide")</f>
        <v>NCBI Nucleotide</v>
      </c>
    </row>
    <row r="14098" spans="1:27" x14ac:dyDescent="0.35">
      <c r="A14098">
        <v>1001833</v>
      </c>
      <c r="B14098">
        <v>12786</v>
      </c>
      <c r="C14098">
        <v>1</v>
      </c>
      <c r="D14098" t="s">
        <v>17166</v>
      </c>
      <c r="F14098" t="s">
        <v>17246</v>
      </c>
      <c r="H14098" t="s">
        <v>28921</v>
      </c>
      <c r="J14098" t="s">
        <v>29538</v>
      </c>
      <c r="L14098" t="s">
        <v>30198</v>
      </c>
      <c r="N14098" t="s">
        <v>30487</v>
      </c>
      <c r="O14098" t="s">
        <v>30894</v>
      </c>
      <c r="P14098" t="s">
        <v>30929</v>
      </c>
      <c r="R14098" s="26" t="str">
        <f t="shared" ref="R14098:R14117" si="61">HYPERLINK("https://ictv.global/taxonomy/taxondetails?taxnode_id=202301989","Enterovirus geswini")</f>
        <v>Enterovirus geswini</v>
      </c>
      <c r="S14098" t="s">
        <v>30</v>
      </c>
      <c r="T14098" t="s">
        <v>31319</v>
      </c>
      <c r="U14098" t="s">
        <v>31320</v>
      </c>
      <c r="V14098" t="s">
        <v>31321</v>
      </c>
      <c r="W14098" t="s">
        <v>31322</v>
      </c>
      <c r="X14098" t="s">
        <v>42</v>
      </c>
      <c r="Y14098" t="s">
        <v>17171</v>
      </c>
      <c r="Z14098" t="s">
        <v>166</v>
      </c>
      <c r="AA14098" s="22" t="str">
        <f>HYPERLINK("https://www.ncbi.nlm.nih.gov/nuccore/AF363453","NCBI Nucleotide")</f>
        <v>NCBI Nucleotide</v>
      </c>
    </row>
    <row r="14099" spans="1:27" x14ac:dyDescent="0.35">
      <c r="A14099">
        <v>1011620</v>
      </c>
      <c r="B14099">
        <v>12786</v>
      </c>
      <c r="C14099">
        <v>2</v>
      </c>
      <c r="D14099" t="s">
        <v>17166</v>
      </c>
      <c r="F14099" t="s">
        <v>17246</v>
      </c>
      <c r="H14099" t="s">
        <v>28921</v>
      </c>
      <c r="J14099" t="s">
        <v>29538</v>
      </c>
      <c r="L14099" t="s">
        <v>30198</v>
      </c>
      <c r="N14099" t="s">
        <v>30487</v>
      </c>
      <c r="O14099" t="s">
        <v>30894</v>
      </c>
      <c r="P14099" t="s">
        <v>30929</v>
      </c>
      <c r="R14099" s="26" t="str">
        <f t="shared" si="61"/>
        <v>Enterovirus geswini</v>
      </c>
      <c r="S14099" t="s">
        <v>8141</v>
      </c>
      <c r="T14099" t="s">
        <v>31323</v>
      </c>
      <c r="U14099" t="s">
        <v>31324</v>
      </c>
      <c r="V14099" t="s">
        <v>31325</v>
      </c>
      <c r="W14099" t="s">
        <v>50001</v>
      </c>
      <c r="X14099" t="s">
        <v>42</v>
      </c>
      <c r="Y14099" t="s">
        <v>17171</v>
      </c>
      <c r="Z14099" t="s">
        <v>166</v>
      </c>
      <c r="AA14099" s="22" t="str">
        <f>HYPERLINK("https://www.ncbi.nlm.nih.gov/nuccore/AF363455","NCBI Nucleotide")</f>
        <v>NCBI Nucleotide</v>
      </c>
    </row>
    <row r="14100" spans="1:27" x14ac:dyDescent="0.35">
      <c r="A14100">
        <v>1011621</v>
      </c>
      <c r="B14100">
        <v>12786</v>
      </c>
      <c r="C14100">
        <v>3</v>
      </c>
      <c r="D14100" t="s">
        <v>17166</v>
      </c>
      <c r="F14100" t="s">
        <v>17246</v>
      </c>
      <c r="H14100" t="s">
        <v>28921</v>
      </c>
      <c r="J14100" t="s">
        <v>29538</v>
      </c>
      <c r="L14100" t="s">
        <v>30198</v>
      </c>
      <c r="N14100" t="s">
        <v>30487</v>
      </c>
      <c r="O14100" t="s">
        <v>30894</v>
      </c>
      <c r="P14100" t="s">
        <v>30929</v>
      </c>
      <c r="R14100" s="26" t="str">
        <f t="shared" si="61"/>
        <v>Enterovirus geswini</v>
      </c>
      <c r="S14100" t="s">
        <v>8141</v>
      </c>
      <c r="T14100" t="s">
        <v>31326</v>
      </c>
      <c r="U14100" t="s">
        <v>31327</v>
      </c>
      <c r="V14100" t="s">
        <v>31328</v>
      </c>
      <c r="W14100" t="s">
        <v>50002</v>
      </c>
      <c r="X14100" t="s">
        <v>42</v>
      </c>
      <c r="Y14100" t="s">
        <v>17171</v>
      </c>
      <c r="Z14100" t="s">
        <v>166</v>
      </c>
      <c r="AA14100" s="22" t="str">
        <f>HYPERLINK("https://www.ncbi.nlm.nih.gov/nuccore/HQ702854","NCBI Nucleotide")</f>
        <v>NCBI Nucleotide</v>
      </c>
    </row>
    <row r="14101" spans="1:27" x14ac:dyDescent="0.35">
      <c r="A14101">
        <v>1011622</v>
      </c>
      <c r="B14101">
        <v>12786</v>
      </c>
      <c r="C14101">
        <v>4</v>
      </c>
      <c r="D14101" t="s">
        <v>17166</v>
      </c>
      <c r="F14101" t="s">
        <v>17246</v>
      </c>
      <c r="H14101" t="s">
        <v>28921</v>
      </c>
      <c r="J14101" t="s">
        <v>29538</v>
      </c>
      <c r="L14101" t="s">
        <v>30198</v>
      </c>
      <c r="N14101" t="s">
        <v>30487</v>
      </c>
      <c r="O14101" t="s">
        <v>30894</v>
      </c>
      <c r="P14101" t="s">
        <v>30929</v>
      </c>
      <c r="R14101" s="26" t="str">
        <f t="shared" si="61"/>
        <v>Enterovirus geswini</v>
      </c>
      <c r="S14101" t="s">
        <v>8141</v>
      </c>
      <c r="T14101" t="s">
        <v>31329</v>
      </c>
      <c r="U14101" t="s">
        <v>31330</v>
      </c>
      <c r="V14101" t="s">
        <v>31331</v>
      </c>
      <c r="W14101" t="s">
        <v>50003</v>
      </c>
      <c r="X14101" t="s">
        <v>42</v>
      </c>
      <c r="Y14101" t="s">
        <v>17171</v>
      </c>
      <c r="Z14101" t="s">
        <v>166</v>
      </c>
      <c r="AA14101" s="22" t="str">
        <f>HYPERLINK("https://www.ncbi.nlm.nih.gov/nuccore/JN807387","NCBI Nucleotide")</f>
        <v>NCBI Nucleotide</v>
      </c>
    </row>
    <row r="14102" spans="1:27" x14ac:dyDescent="0.35">
      <c r="A14102">
        <v>1011623</v>
      </c>
      <c r="B14102">
        <v>12786</v>
      </c>
      <c r="C14102">
        <v>5</v>
      </c>
      <c r="D14102" t="s">
        <v>17166</v>
      </c>
      <c r="F14102" t="s">
        <v>17246</v>
      </c>
      <c r="H14102" t="s">
        <v>28921</v>
      </c>
      <c r="J14102" t="s">
        <v>29538</v>
      </c>
      <c r="L14102" t="s">
        <v>30198</v>
      </c>
      <c r="N14102" t="s">
        <v>30487</v>
      </c>
      <c r="O14102" t="s">
        <v>30894</v>
      </c>
      <c r="P14102" t="s">
        <v>30929</v>
      </c>
      <c r="R14102" s="26" t="str">
        <f t="shared" si="61"/>
        <v>Enterovirus geswini</v>
      </c>
      <c r="S14102" t="s">
        <v>8141</v>
      </c>
      <c r="T14102" t="s">
        <v>31332</v>
      </c>
      <c r="U14102" t="s">
        <v>31333</v>
      </c>
      <c r="V14102" t="s">
        <v>31334</v>
      </c>
      <c r="W14102" t="s">
        <v>50004</v>
      </c>
      <c r="X14102" t="s">
        <v>42</v>
      </c>
      <c r="Y14102" t="s">
        <v>17171</v>
      </c>
      <c r="Z14102" t="s">
        <v>166</v>
      </c>
      <c r="AA14102" s="22" t="str">
        <f>HYPERLINK("https://www.ncbi.nlm.nih.gov/nuccore/JQ277724","NCBI Nucleotide")</f>
        <v>NCBI Nucleotide</v>
      </c>
    </row>
    <row r="14103" spans="1:27" x14ac:dyDescent="0.35">
      <c r="A14103">
        <v>1011624</v>
      </c>
      <c r="B14103">
        <v>12786</v>
      </c>
      <c r="C14103">
        <v>6</v>
      </c>
      <c r="D14103" t="s">
        <v>17166</v>
      </c>
      <c r="F14103" t="s">
        <v>17246</v>
      </c>
      <c r="H14103" t="s">
        <v>28921</v>
      </c>
      <c r="J14103" t="s">
        <v>29538</v>
      </c>
      <c r="L14103" t="s">
        <v>30198</v>
      </c>
      <c r="N14103" t="s">
        <v>30487</v>
      </c>
      <c r="O14103" t="s">
        <v>30894</v>
      </c>
      <c r="P14103" t="s">
        <v>30929</v>
      </c>
      <c r="R14103" s="26" t="str">
        <f t="shared" si="61"/>
        <v>Enterovirus geswini</v>
      </c>
      <c r="S14103" t="s">
        <v>8141</v>
      </c>
      <c r="T14103" t="s">
        <v>31335</v>
      </c>
      <c r="U14103" t="s">
        <v>31336</v>
      </c>
      <c r="V14103" t="s">
        <v>31337</v>
      </c>
      <c r="W14103" t="s">
        <v>50005</v>
      </c>
      <c r="X14103" t="s">
        <v>42</v>
      </c>
      <c r="Y14103" t="s">
        <v>17171</v>
      </c>
      <c r="Z14103" t="s">
        <v>166</v>
      </c>
      <c r="AA14103" s="22" t="str">
        <f>HYPERLINK("https://www.ncbi.nlm.nih.gov/nuccore/JQ818253","NCBI Nucleotide")</f>
        <v>NCBI Nucleotide</v>
      </c>
    </row>
    <row r="14104" spans="1:27" x14ac:dyDescent="0.35">
      <c r="A14104">
        <v>1011625</v>
      </c>
      <c r="B14104">
        <v>12786</v>
      </c>
      <c r="C14104">
        <v>7</v>
      </c>
      <c r="D14104" t="s">
        <v>17166</v>
      </c>
      <c r="F14104" t="s">
        <v>17246</v>
      </c>
      <c r="H14104" t="s">
        <v>28921</v>
      </c>
      <c r="J14104" t="s">
        <v>29538</v>
      </c>
      <c r="L14104" t="s">
        <v>30198</v>
      </c>
      <c r="N14104" t="s">
        <v>30487</v>
      </c>
      <c r="O14104" t="s">
        <v>30894</v>
      </c>
      <c r="P14104" t="s">
        <v>30929</v>
      </c>
      <c r="R14104" s="26" t="str">
        <f t="shared" si="61"/>
        <v>Enterovirus geswini</v>
      </c>
      <c r="S14104" t="s">
        <v>8141</v>
      </c>
      <c r="T14104" t="s">
        <v>31338</v>
      </c>
      <c r="U14104" t="s">
        <v>31339</v>
      </c>
      <c r="V14104" t="s">
        <v>31340</v>
      </c>
      <c r="W14104" t="s">
        <v>50006</v>
      </c>
      <c r="X14104" t="s">
        <v>42</v>
      </c>
      <c r="Y14104" t="s">
        <v>17171</v>
      </c>
      <c r="Z14104" t="s">
        <v>166</v>
      </c>
      <c r="AA14104" s="22" t="str">
        <f>HYPERLINK("https://www.ncbi.nlm.nih.gov/nuccore/MG958646","NCBI Nucleotide")</f>
        <v>NCBI Nucleotide</v>
      </c>
    </row>
    <row r="14105" spans="1:27" x14ac:dyDescent="0.35">
      <c r="A14105">
        <v>1011626</v>
      </c>
      <c r="B14105">
        <v>12786</v>
      </c>
      <c r="C14105">
        <v>8</v>
      </c>
      <c r="D14105" t="s">
        <v>17166</v>
      </c>
      <c r="F14105" t="s">
        <v>17246</v>
      </c>
      <c r="H14105" t="s">
        <v>28921</v>
      </c>
      <c r="J14105" t="s">
        <v>29538</v>
      </c>
      <c r="L14105" t="s">
        <v>30198</v>
      </c>
      <c r="N14105" t="s">
        <v>30487</v>
      </c>
      <c r="O14105" t="s">
        <v>30894</v>
      </c>
      <c r="P14105" t="s">
        <v>30929</v>
      </c>
      <c r="R14105" s="26" t="str">
        <f t="shared" si="61"/>
        <v>Enterovirus geswini</v>
      </c>
      <c r="S14105" t="s">
        <v>8141</v>
      </c>
      <c r="T14105" t="s">
        <v>31341</v>
      </c>
      <c r="U14105" t="s">
        <v>31342</v>
      </c>
      <c r="V14105" t="s">
        <v>31343</v>
      </c>
      <c r="W14105" t="s">
        <v>50007</v>
      </c>
      <c r="X14105" t="s">
        <v>42</v>
      </c>
      <c r="Y14105" t="s">
        <v>17171</v>
      </c>
      <c r="Z14105" t="s">
        <v>166</v>
      </c>
      <c r="AA14105" s="22" t="str">
        <f>HYPERLINK("https://www.ncbi.nlm.nih.gov/nuccore/KT265911","NCBI Nucleotide")</f>
        <v>NCBI Nucleotide</v>
      </c>
    </row>
    <row r="14106" spans="1:27" x14ac:dyDescent="0.35">
      <c r="A14106">
        <v>1011627</v>
      </c>
      <c r="B14106">
        <v>12786</v>
      </c>
      <c r="C14106">
        <v>9</v>
      </c>
      <c r="D14106" t="s">
        <v>17166</v>
      </c>
      <c r="F14106" t="s">
        <v>17246</v>
      </c>
      <c r="H14106" t="s">
        <v>28921</v>
      </c>
      <c r="J14106" t="s">
        <v>29538</v>
      </c>
      <c r="L14106" t="s">
        <v>30198</v>
      </c>
      <c r="N14106" t="s">
        <v>30487</v>
      </c>
      <c r="O14106" t="s">
        <v>30894</v>
      </c>
      <c r="P14106" t="s">
        <v>30929</v>
      </c>
      <c r="R14106" s="26" t="str">
        <f t="shared" si="61"/>
        <v>Enterovirus geswini</v>
      </c>
      <c r="S14106" t="s">
        <v>8141</v>
      </c>
      <c r="T14106" t="s">
        <v>31344</v>
      </c>
      <c r="U14106" t="s">
        <v>31345</v>
      </c>
      <c r="V14106" t="s">
        <v>31346</v>
      </c>
      <c r="W14106" t="s">
        <v>50008</v>
      </c>
      <c r="X14106" t="s">
        <v>42</v>
      </c>
      <c r="Y14106" t="s">
        <v>17171</v>
      </c>
      <c r="Z14106" t="s">
        <v>166</v>
      </c>
      <c r="AA14106" s="22" t="str">
        <f>HYPERLINK("https://www.ncbi.nlm.nih.gov/nuccore/KT265961","NCBI Nucleotide")</f>
        <v>NCBI Nucleotide</v>
      </c>
    </row>
    <row r="14107" spans="1:27" x14ac:dyDescent="0.35">
      <c r="A14107">
        <v>1011628</v>
      </c>
      <c r="B14107">
        <v>12786</v>
      </c>
      <c r="C14107">
        <v>10</v>
      </c>
      <c r="D14107" t="s">
        <v>17166</v>
      </c>
      <c r="F14107" t="s">
        <v>17246</v>
      </c>
      <c r="H14107" t="s">
        <v>28921</v>
      </c>
      <c r="J14107" t="s">
        <v>29538</v>
      </c>
      <c r="L14107" t="s">
        <v>30198</v>
      </c>
      <c r="N14107" t="s">
        <v>30487</v>
      </c>
      <c r="O14107" t="s">
        <v>30894</v>
      </c>
      <c r="P14107" t="s">
        <v>30929</v>
      </c>
      <c r="R14107" s="26" t="str">
        <f t="shared" si="61"/>
        <v>Enterovirus geswini</v>
      </c>
      <c r="S14107" t="s">
        <v>8141</v>
      </c>
      <c r="T14107" t="s">
        <v>31347</v>
      </c>
      <c r="U14107" t="s">
        <v>31348</v>
      </c>
      <c r="V14107" t="s">
        <v>31349</v>
      </c>
      <c r="W14107" t="s">
        <v>50009</v>
      </c>
      <c r="X14107" t="s">
        <v>42</v>
      </c>
      <c r="Y14107" t="s">
        <v>17171</v>
      </c>
      <c r="Z14107" t="s">
        <v>166</v>
      </c>
      <c r="AA14107" s="22" t="str">
        <f>HYPERLINK("https://www.ncbi.nlm.nih.gov/nuccore/KP982873","NCBI Nucleotide")</f>
        <v>NCBI Nucleotide</v>
      </c>
    </row>
    <row r="14108" spans="1:27" x14ac:dyDescent="0.35">
      <c r="A14108">
        <v>1011629</v>
      </c>
      <c r="B14108">
        <v>12786</v>
      </c>
      <c r="C14108">
        <v>11</v>
      </c>
      <c r="D14108" t="s">
        <v>17166</v>
      </c>
      <c r="F14108" t="s">
        <v>17246</v>
      </c>
      <c r="H14108" t="s">
        <v>28921</v>
      </c>
      <c r="J14108" t="s">
        <v>29538</v>
      </c>
      <c r="L14108" t="s">
        <v>30198</v>
      </c>
      <c r="N14108" t="s">
        <v>30487</v>
      </c>
      <c r="O14108" t="s">
        <v>30894</v>
      </c>
      <c r="P14108" t="s">
        <v>30929</v>
      </c>
      <c r="R14108" s="26" t="str">
        <f t="shared" si="61"/>
        <v>Enterovirus geswini</v>
      </c>
      <c r="S14108" t="s">
        <v>8141</v>
      </c>
      <c r="T14108" t="s">
        <v>31350</v>
      </c>
      <c r="U14108" t="s">
        <v>31351</v>
      </c>
      <c r="V14108" t="s">
        <v>31352</v>
      </c>
      <c r="W14108" t="s">
        <v>50010</v>
      </c>
      <c r="X14108" t="s">
        <v>154</v>
      </c>
      <c r="Y14108" t="s">
        <v>17171</v>
      </c>
      <c r="Z14108" t="s">
        <v>166</v>
      </c>
      <c r="AA14108" s="22" t="str">
        <f>HYPERLINK("https://www.ncbi.nlm.nih.gov/nuccore/KJ156451","NCBI Nucleotide")</f>
        <v>NCBI Nucleotide</v>
      </c>
    </row>
    <row r="14109" spans="1:27" x14ac:dyDescent="0.35">
      <c r="A14109">
        <v>1011630</v>
      </c>
      <c r="B14109">
        <v>12786</v>
      </c>
      <c r="C14109">
        <v>12</v>
      </c>
      <c r="D14109" t="s">
        <v>17166</v>
      </c>
      <c r="F14109" t="s">
        <v>17246</v>
      </c>
      <c r="H14109" t="s">
        <v>28921</v>
      </c>
      <c r="J14109" t="s">
        <v>29538</v>
      </c>
      <c r="L14109" t="s">
        <v>30198</v>
      </c>
      <c r="N14109" t="s">
        <v>30487</v>
      </c>
      <c r="O14109" t="s">
        <v>30894</v>
      </c>
      <c r="P14109" t="s">
        <v>30929</v>
      </c>
      <c r="R14109" s="26" t="str">
        <f t="shared" si="61"/>
        <v>Enterovirus geswini</v>
      </c>
      <c r="S14109" t="s">
        <v>8141</v>
      </c>
      <c r="T14109" t="s">
        <v>31353</v>
      </c>
      <c r="U14109" t="s">
        <v>31354</v>
      </c>
      <c r="V14109" t="s">
        <v>31355</v>
      </c>
      <c r="W14109" t="s">
        <v>50011</v>
      </c>
      <c r="X14109" t="s">
        <v>154</v>
      </c>
      <c r="Y14109" t="s">
        <v>17171</v>
      </c>
      <c r="Z14109" t="s">
        <v>166</v>
      </c>
      <c r="AA14109" s="22" t="str">
        <f>HYPERLINK("https://www.ncbi.nlm.nih.gov/nuccore/KT265900","NCBI Nucleotide")</f>
        <v>NCBI Nucleotide</v>
      </c>
    </row>
    <row r="14110" spans="1:27" x14ac:dyDescent="0.35">
      <c r="A14110">
        <v>1011631</v>
      </c>
      <c r="B14110">
        <v>12786</v>
      </c>
      <c r="C14110">
        <v>13</v>
      </c>
      <c r="D14110" t="s">
        <v>17166</v>
      </c>
      <c r="F14110" t="s">
        <v>17246</v>
      </c>
      <c r="H14110" t="s">
        <v>28921</v>
      </c>
      <c r="J14110" t="s">
        <v>29538</v>
      </c>
      <c r="L14110" t="s">
        <v>30198</v>
      </c>
      <c r="N14110" t="s">
        <v>30487</v>
      </c>
      <c r="O14110" t="s">
        <v>30894</v>
      </c>
      <c r="P14110" t="s">
        <v>30929</v>
      </c>
      <c r="R14110" s="26" t="str">
        <f t="shared" si="61"/>
        <v>Enterovirus geswini</v>
      </c>
      <c r="S14110" t="s">
        <v>8141</v>
      </c>
      <c r="T14110" t="s">
        <v>31356</v>
      </c>
      <c r="U14110" t="s">
        <v>31357</v>
      </c>
      <c r="V14110" t="s">
        <v>31358</v>
      </c>
      <c r="W14110" t="s">
        <v>50012</v>
      </c>
      <c r="X14110" t="s">
        <v>154</v>
      </c>
      <c r="Y14110" t="s">
        <v>17171</v>
      </c>
      <c r="Z14110" t="s">
        <v>166</v>
      </c>
      <c r="AA14110" s="22" t="str">
        <f>HYPERLINK("https://www.ncbi.nlm.nih.gov/nuccore/KT265903","NCBI Nucleotide")</f>
        <v>NCBI Nucleotide</v>
      </c>
    </row>
    <row r="14111" spans="1:27" x14ac:dyDescent="0.35">
      <c r="A14111">
        <v>1011632</v>
      </c>
      <c r="B14111">
        <v>12786</v>
      </c>
      <c r="C14111">
        <v>14</v>
      </c>
      <c r="D14111" t="s">
        <v>17166</v>
      </c>
      <c r="F14111" t="s">
        <v>17246</v>
      </c>
      <c r="H14111" t="s">
        <v>28921</v>
      </c>
      <c r="J14111" t="s">
        <v>29538</v>
      </c>
      <c r="L14111" t="s">
        <v>30198</v>
      </c>
      <c r="N14111" t="s">
        <v>30487</v>
      </c>
      <c r="O14111" t="s">
        <v>30894</v>
      </c>
      <c r="P14111" t="s">
        <v>30929</v>
      </c>
      <c r="R14111" s="26" t="str">
        <f t="shared" si="61"/>
        <v>Enterovirus geswini</v>
      </c>
      <c r="S14111" t="s">
        <v>8141</v>
      </c>
      <c r="T14111" t="s">
        <v>31359</v>
      </c>
      <c r="U14111" t="s">
        <v>31360</v>
      </c>
      <c r="V14111" t="s">
        <v>31361</v>
      </c>
      <c r="W14111" t="s">
        <v>50013</v>
      </c>
      <c r="X14111" t="s">
        <v>154</v>
      </c>
      <c r="Y14111" t="s">
        <v>17171</v>
      </c>
      <c r="Z14111" t="s">
        <v>166</v>
      </c>
      <c r="AA14111" s="22" t="str">
        <f>HYPERLINK("https://www.ncbi.nlm.nih.gov/nuccore/KT265909","NCBI Nucleotide")</f>
        <v>NCBI Nucleotide</v>
      </c>
    </row>
    <row r="14112" spans="1:27" x14ac:dyDescent="0.35">
      <c r="A14112">
        <v>1011633</v>
      </c>
      <c r="B14112">
        <v>12786</v>
      </c>
      <c r="C14112">
        <v>15</v>
      </c>
      <c r="D14112" t="s">
        <v>17166</v>
      </c>
      <c r="F14112" t="s">
        <v>17246</v>
      </c>
      <c r="H14112" t="s">
        <v>28921</v>
      </c>
      <c r="J14112" t="s">
        <v>29538</v>
      </c>
      <c r="L14112" t="s">
        <v>30198</v>
      </c>
      <c r="N14112" t="s">
        <v>30487</v>
      </c>
      <c r="O14112" t="s">
        <v>30894</v>
      </c>
      <c r="P14112" t="s">
        <v>30929</v>
      </c>
      <c r="R14112" s="26" t="str">
        <f t="shared" si="61"/>
        <v>Enterovirus geswini</v>
      </c>
      <c r="S14112" t="s">
        <v>8141</v>
      </c>
      <c r="T14112" t="s">
        <v>31362</v>
      </c>
      <c r="U14112" t="s">
        <v>31363</v>
      </c>
      <c r="V14112" t="s">
        <v>31364</v>
      </c>
      <c r="W14112" t="s">
        <v>50014</v>
      </c>
      <c r="X14112" t="s">
        <v>154</v>
      </c>
      <c r="Y14112" t="s">
        <v>17171</v>
      </c>
      <c r="Z14112" t="s">
        <v>166</v>
      </c>
      <c r="AA14112" s="22" t="str">
        <f>HYPERLINK("https://www.ncbi.nlm.nih.gov/nuccore/KT265941","NCBI Nucleotide")</f>
        <v>NCBI Nucleotide</v>
      </c>
    </row>
    <row r="14113" spans="1:27" x14ac:dyDescent="0.35">
      <c r="A14113">
        <v>1011634</v>
      </c>
      <c r="B14113">
        <v>12786</v>
      </c>
      <c r="C14113">
        <v>16</v>
      </c>
      <c r="D14113" t="s">
        <v>17166</v>
      </c>
      <c r="F14113" t="s">
        <v>17246</v>
      </c>
      <c r="H14113" t="s">
        <v>28921</v>
      </c>
      <c r="J14113" t="s">
        <v>29538</v>
      </c>
      <c r="L14113" t="s">
        <v>30198</v>
      </c>
      <c r="N14113" t="s">
        <v>30487</v>
      </c>
      <c r="O14113" t="s">
        <v>30894</v>
      </c>
      <c r="P14113" t="s">
        <v>30929</v>
      </c>
      <c r="R14113" s="26" t="str">
        <f t="shared" si="61"/>
        <v>Enterovirus geswini</v>
      </c>
      <c r="S14113" t="s">
        <v>8141</v>
      </c>
      <c r="T14113" t="s">
        <v>31365</v>
      </c>
      <c r="U14113" t="s">
        <v>31366</v>
      </c>
      <c r="V14113" t="s">
        <v>31367</v>
      </c>
      <c r="W14113" t="s">
        <v>50015</v>
      </c>
      <c r="X14113" t="s">
        <v>154</v>
      </c>
      <c r="Y14113" t="s">
        <v>17171</v>
      </c>
      <c r="Z14113" t="s">
        <v>166</v>
      </c>
      <c r="AA14113" s="22" t="str">
        <f>HYPERLINK("https://www.ncbi.nlm.nih.gov/nuccore/KT266010","NCBI Nucleotide")</f>
        <v>NCBI Nucleotide</v>
      </c>
    </row>
    <row r="14114" spans="1:27" x14ac:dyDescent="0.35">
      <c r="A14114">
        <v>1011635</v>
      </c>
      <c r="B14114">
        <v>12786</v>
      </c>
      <c r="C14114">
        <v>17</v>
      </c>
      <c r="D14114" t="s">
        <v>17166</v>
      </c>
      <c r="F14114" t="s">
        <v>17246</v>
      </c>
      <c r="H14114" t="s">
        <v>28921</v>
      </c>
      <c r="J14114" t="s">
        <v>29538</v>
      </c>
      <c r="L14114" t="s">
        <v>30198</v>
      </c>
      <c r="N14114" t="s">
        <v>30487</v>
      </c>
      <c r="O14114" t="s">
        <v>30894</v>
      </c>
      <c r="P14114" t="s">
        <v>30929</v>
      </c>
      <c r="R14114" s="26" t="str">
        <f t="shared" si="61"/>
        <v>Enterovirus geswini</v>
      </c>
      <c r="S14114" t="s">
        <v>8141</v>
      </c>
      <c r="T14114" t="s">
        <v>31368</v>
      </c>
      <c r="U14114" t="s">
        <v>31369</v>
      </c>
      <c r="V14114" t="s">
        <v>31370</v>
      </c>
      <c r="W14114" t="s">
        <v>50016</v>
      </c>
      <c r="X14114" t="s">
        <v>42</v>
      </c>
      <c r="Y14114" t="s">
        <v>17171</v>
      </c>
      <c r="Z14114" t="s">
        <v>166</v>
      </c>
      <c r="AA14114" s="22" t="str">
        <f>HYPERLINK("https://www.ncbi.nlm.nih.gov/nuccore/KY761948","NCBI Nucleotide")</f>
        <v>NCBI Nucleotide</v>
      </c>
    </row>
    <row r="14115" spans="1:27" x14ac:dyDescent="0.35">
      <c r="A14115">
        <v>1011636</v>
      </c>
      <c r="B14115">
        <v>12786</v>
      </c>
      <c r="C14115">
        <v>18</v>
      </c>
      <c r="D14115" t="s">
        <v>17166</v>
      </c>
      <c r="F14115" t="s">
        <v>17246</v>
      </c>
      <c r="H14115" t="s">
        <v>28921</v>
      </c>
      <c r="J14115" t="s">
        <v>29538</v>
      </c>
      <c r="L14115" t="s">
        <v>30198</v>
      </c>
      <c r="N14115" t="s">
        <v>30487</v>
      </c>
      <c r="O14115" t="s">
        <v>30894</v>
      </c>
      <c r="P14115" t="s">
        <v>30929</v>
      </c>
      <c r="R14115" s="26" t="str">
        <f t="shared" si="61"/>
        <v>Enterovirus geswini</v>
      </c>
      <c r="S14115" t="s">
        <v>8141</v>
      </c>
      <c r="T14115" t="s">
        <v>31371</v>
      </c>
      <c r="U14115" t="s">
        <v>31372</v>
      </c>
      <c r="V14115" t="s">
        <v>31373</v>
      </c>
      <c r="W14115" t="s">
        <v>50017</v>
      </c>
      <c r="X14115" t="s">
        <v>154</v>
      </c>
      <c r="Y14115" t="s">
        <v>17171</v>
      </c>
      <c r="Z14115" t="s">
        <v>166</v>
      </c>
      <c r="AA14115" s="22" t="str">
        <f>HYPERLINK("https://www.ncbi.nlm.nih.gov/nuccore/MF113370","NCBI Nucleotide")</f>
        <v>NCBI Nucleotide</v>
      </c>
    </row>
    <row r="14116" spans="1:27" x14ac:dyDescent="0.35">
      <c r="A14116">
        <v>1011637</v>
      </c>
      <c r="B14116">
        <v>12786</v>
      </c>
      <c r="C14116">
        <v>19</v>
      </c>
      <c r="D14116" t="s">
        <v>17166</v>
      </c>
      <c r="F14116" t="s">
        <v>17246</v>
      </c>
      <c r="H14116" t="s">
        <v>28921</v>
      </c>
      <c r="J14116" t="s">
        <v>29538</v>
      </c>
      <c r="L14116" t="s">
        <v>30198</v>
      </c>
      <c r="N14116" t="s">
        <v>30487</v>
      </c>
      <c r="O14116" t="s">
        <v>30894</v>
      </c>
      <c r="P14116" t="s">
        <v>30929</v>
      </c>
      <c r="R14116" s="26" t="str">
        <f t="shared" si="61"/>
        <v>Enterovirus geswini</v>
      </c>
      <c r="S14116" t="s">
        <v>8141</v>
      </c>
      <c r="T14116" t="s">
        <v>31374</v>
      </c>
      <c r="U14116" t="s">
        <v>31375</v>
      </c>
      <c r="V14116" t="s">
        <v>31376</v>
      </c>
      <c r="W14116" t="s">
        <v>50018</v>
      </c>
      <c r="X14116" t="s">
        <v>154</v>
      </c>
      <c r="Y14116" t="s">
        <v>17171</v>
      </c>
      <c r="Z14116" t="s">
        <v>166</v>
      </c>
      <c r="AA14116" s="22" t="str">
        <f>HYPERLINK("https://www.ncbi.nlm.nih.gov/nuccore/MF113372","NCBI Nucleotide")</f>
        <v>NCBI Nucleotide</v>
      </c>
    </row>
    <row r="14117" spans="1:27" x14ac:dyDescent="0.35">
      <c r="A14117">
        <v>1011638</v>
      </c>
      <c r="B14117">
        <v>12786</v>
      </c>
      <c r="C14117">
        <v>20</v>
      </c>
      <c r="D14117" t="s">
        <v>17166</v>
      </c>
      <c r="F14117" t="s">
        <v>17246</v>
      </c>
      <c r="H14117" t="s">
        <v>28921</v>
      </c>
      <c r="J14117" t="s">
        <v>29538</v>
      </c>
      <c r="L14117" t="s">
        <v>30198</v>
      </c>
      <c r="N14117" t="s">
        <v>30487</v>
      </c>
      <c r="O14117" t="s">
        <v>30894</v>
      </c>
      <c r="P14117" t="s">
        <v>30929</v>
      </c>
      <c r="R14117" s="26" t="str">
        <f t="shared" si="61"/>
        <v>Enterovirus geswini</v>
      </c>
      <c r="S14117" t="s">
        <v>8141</v>
      </c>
      <c r="T14117" t="s">
        <v>31377</v>
      </c>
      <c r="U14117" t="s">
        <v>31378</v>
      </c>
      <c r="V14117" t="s">
        <v>31379</v>
      </c>
      <c r="W14117" t="s">
        <v>50019</v>
      </c>
      <c r="X14117" t="s">
        <v>42</v>
      </c>
      <c r="Y14117" t="s">
        <v>17171</v>
      </c>
      <c r="Z14117" t="s">
        <v>166</v>
      </c>
      <c r="AA14117" s="22" t="str">
        <f>HYPERLINK("https://www.ncbi.nlm.nih.gov/nuccore/KU297674","NCBI Nucleotide")</f>
        <v>NCBI Nucleotide</v>
      </c>
    </row>
    <row r="14118" spans="1:27" x14ac:dyDescent="0.35">
      <c r="A14118">
        <v>1001834</v>
      </c>
      <c r="B14118">
        <v>12787</v>
      </c>
      <c r="C14118">
        <v>1</v>
      </c>
      <c r="D14118" t="s">
        <v>17166</v>
      </c>
      <c r="F14118" t="s">
        <v>17246</v>
      </c>
      <c r="H14118" t="s">
        <v>28921</v>
      </c>
      <c r="J14118" t="s">
        <v>29538</v>
      </c>
      <c r="L14118" t="s">
        <v>30198</v>
      </c>
      <c r="N14118" t="s">
        <v>30487</v>
      </c>
      <c r="O14118" t="s">
        <v>30894</v>
      </c>
      <c r="P14118" t="s">
        <v>30929</v>
      </c>
      <c r="R14118" s="26" t="str">
        <f>HYPERLINK("https://ictv.global/taxonomy/taxondetails?taxnode_id=202301990","Enterovirus hesimi")</f>
        <v>Enterovirus hesimi</v>
      </c>
      <c r="S14118" t="s">
        <v>30</v>
      </c>
      <c r="T14118" t="s">
        <v>31380</v>
      </c>
      <c r="U14118" t="s">
        <v>31381</v>
      </c>
      <c r="V14118" t="s">
        <v>31382</v>
      </c>
      <c r="W14118" t="s">
        <v>31383</v>
      </c>
      <c r="X14118" t="s">
        <v>42</v>
      </c>
      <c r="Y14118" t="s">
        <v>17171</v>
      </c>
      <c r="Z14118" t="s">
        <v>166</v>
      </c>
      <c r="AA14118" s="22" t="str">
        <f>HYPERLINK("https://www.ncbi.nlm.nih.gov/nuccore/AF326759","NCBI Nucleotide")</f>
        <v>NCBI Nucleotide</v>
      </c>
    </row>
    <row r="14119" spans="1:27" x14ac:dyDescent="0.35">
      <c r="A14119">
        <v>1001835</v>
      </c>
      <c r="B14119">
        <v>12788</v>
      </c>
      <c r="C14119">
        <v>1</v>
      </c>
      <c r="D14119" t="s">
        <v>17166</v>
      </c>
      <c r="F14119" t="s">
        <v>17246</v>
      </c>
      <c r="H14119" t="s">
        <v>28921</v>
      </c>
      <c r="J14119" t="s">
        <v>29538</v>
      </c>
      <c r="L14119" t="s">
        <v>30198</v>
      </c>
      <c r="N14119" t="s">
        <v>30487</v>
      </c>
      <c r="O14119" t="s">
        <v>30894</v>
      </c>
      <c r="P14119" t="s">
        <v>30929</v>
      </c>
      <c r="R14119" s="26" t="str">
        <f>HYPERLINK("https://ictv.global/taxonomy/taxondetails?taxnode_id=202301991","Enterovirus idromi")</f>
        <v>Enterovirus idromi</v>
      </c>
      <c r="S14119" t="s">
        <v>30</v>
      </c>
      <c r="T14119" t="s">
        <v>31384</v>
      </c>
      <c r="U14119" t="s">
        <v>31385</v>
      </c>
      <c r="V14119" t="s">
        <v>31386</v>
      </c>
      <c r="W14119" t="s">
        <v>31387</v>
      </c>
      <c r="X14119" t="s">
        <v>42</v>
      </c>
      <c r="Y14119" t="s">
        <v>17171</v>
      </c>
      <c r="Z14119" t="s">
        <v>166</v>
      </c>
      <c r="AA14119" s="22" t="str">
        <f>HYPERLINK("https://www.ncbi.nlm.nih.gov/nuccore/KP345887","NCBI Nucleotide")</f>
        <v>NCBI Nucleotide</v>
      </c>
    </row>
    <row r="14120" spans="1:27" x14ac:dyDescent="0.35">
      <c r="A14120">
        <v>1011639</v>
      </c>
      <c r="B14120">
        <v>12788</v>
      </c>
      <c r="C14120">
        <v>2</v>
      </c>
      <c r="D14120" t="s">
        <v>17166</v>
      </c>
      <c r="F14120" t="s">
        <v>17246</v>
      </c>
      <c r="H14120" t="s">
        <v>28921</v>
      </c>
      <c r="J14120" t="s">
        <v>29538</v>
      </c>
      <c r="L14120" t="s">
        <v>30198</v>
      </c>
      <c r="N14120" t="s">
        <v>30487</v>
      </c>
      <c r="O14120" t="s">
        <v>30894</v>
      </c>
      <c r="P14120" t="s">
        <v>30929</v>
      </c>
      <c r="R14120" s="26" t="str">
        <f>HYPERLINK("https://ictv.global/taxonomy/taxondetails?taxnode_id=202301991","Enterovirus idromi")</f>
        <v>Enterovirus idromi</v>
      </c>
      <c r="S14120" t="s">
        <v>8141</v>
      </c>
      <c r="T14120" t="s">
        <v>31388</v>
      </c>
      <c r="U14120" t="s">
        <v>31389</v>
      </c>
      <c r="V14120" t="s">
        <v>31390</v>
      </c>
      <c r="W14120" t="s">
        <v>50020</v>
      </c>
      <c r="X14120" t="s">
        <v>42</v>
      </c>
      <c r="Y14120" t="s">
        <v>17171</v>
      </c>
      <c r="Z14120" t="s">
        <v>166</v>
      </c>
      <c r="AA14120" s="22" t="str">
        <f>HYPERLINK("https://www.ncbi.nlm.nih.gov/nuccore/KP345888","NCBI Nucleotide")</f>
        <v>NCBI Nucleotide</v>
      </c>
    </row>
    <row r="14121" spans="1:27" x14ac:dyDescent="0.35">
      <c r="A14121">
        <v>1001836</v>
      </c>
      <c r="B14121">
        <v>12789</v>
      </c>
      <c r="C14121">
        <v>1</v>
      </c>
      <c r="D14121" t="s">
        <v>17166</v>
      </c>
      <c r="F14121" t="s">
        <v>17246</v>
      </c>
      <c r="H14121" t="s">
        <v>28921</v>
      </c>
      <c r="J14121" t="s">
        <v>29538</v>
      </c>
      <c r="L14121" t="s">
        <v>30198</v>
      </c>
      <c r="N14121" t="s">
        <v>30487</v>
      </c>
      <c r="O14121" t="s">
        <v>30894</v>
      </c>
      <c r="P14121" t="s">
        <v>30929</v>
      </c>
      <c r="R14121" s="26" t="str">
        <f t="shared" ref="R14121:R14126" si="62">HYPERLINK("https://ictv.global/taxonomy/taxondetails?taxnode_id=202301992","Enterovirus jesimi")</f>
        <v>Enterovirus jesimi</v>
      </c>
      <c r="S14121" t="s">
        <v>30</v>
      </c>
      <c r="T14121" t="s">
        <v>31391</v>
      </c>
      <c r="U14121" t="s">
        <v>31392</v>
      </c>
      <c r="V14121" t="s">
        <v>31393</v>
      </c>
      <c r="W14121" t="s">
        <v>31394</v>
      </c>
      <c r="X14121" t="s">
        <v>42</v>
      </c>
      <c r="Y14121" t="s">
        <v>17171</v>
      </c>
      <c r="Z14121" t="s">
        <v>166</v>
      </c>
      <c r="AA14121" s="22" t="str">
        <f>HYPERLINK("https://www.ncbi.nlm.nih.gov/nuccore/AF326766","NCBI Nucleotide")</f>
        <v>NCBI Nucleotide</v>
      </c>
    </row>
    <row r="14122" spans="1:27" x14ac:dyDescent="0.35">
      <c r="A14122">
        <v>1011664</v>
      </c>
      <c r="B14122">
        <v>12789</v>
      </c>
      <c r="C14122">
        <v>2</v>
      </c>
      <c r="D14122" t="s">
        <v>17166</v>
      </c>
      <c r="F14122" t="s">
        <v>17246</v>
      </c>
      <c r="H14122" t="s">
        <v>28921</v>
      </c>
      <c r="J14122" t="s">
        <v>29538</v>
      </c>
      <c r="L14122" t="s">
        <v>30198</v>
      </c>
      <c r="N14122" t="s">
        <v>30487</v>
      </c>
      <c r="O14122" t="s">
        <v>30894</v>
      </c>
      <c r="P14122" t="s">
        <v>30929</v>
      </c>
      <c r="R14122" s="26" t="str">
        <f t="shared" si="62"/>
        <v>Enterovirus jesimi</v>
      </c>
      <c r="S14122" t="s">
        <v>8141</v>
      </c>
      <c r="T14122" t="s">
        <v>31395</v>
      </c>
      <c r="U14122" t="s">
        <v>31396</v>
      </c>
      <c r="V14122" t="s">
        <v>31397</v>
      </c>
      <c r="W14122" t="s">
        <v>50021</v>
      </c>
      <c r="X14122" t="s">
        <v>42</v>
      </c>
      <c r="Y14122" t="s">
        <v>17171</v>
      </c>
      <c r="Z14122" t="s">
        <v>166</v>
      </c>
      <c r="AA14122" s="22" t="str">
        <f>HYPERLINK("https://www.ncbi.nlm.nih.gov/nuccore/FJ007373","NCBI Nucleotide")</f>
        <v>NCBI Nucleotide</v>
      </c>
    </row>
    <row r="14123" spans="1:27" x14ac:dyDescent="0.35">
      <c r="A14123">
        <v>1011665</v>
      </c>
      <c r="B14123">
        <v>12789</v>
      </c>
      <c r="C14123">
        <v>3</v>
      </c>
      <c r="D14123" t="s">
        <v>17166</v>
      </c>
      <c r="F14123" t="s">
        <v>17246</v>
      </c>
      <c r="H14123" t="s">
        <v>28921</v>
      </c>
      <c r="J14123" t="s">
        <v>29538</v>
      </c>
      <c r="L14123" t="s">
        <v>30198</v>
      </c>
      <c r="N14123" t="s">
        <v>30487</v>
      </c>
      <c r="O14123" t="s">
        <v>30894</v>
      </c>
      <c r="P14123" t="s">
        <v>30929</v>
      </c>
      <c r="R14123" s="26" t="str">
        <f t="shared" si="62"/>
        <v>Enterovirus jesimi</v>
      </c>
      <c r="S14123" t="s">
        <v>8141</v>
      </c>
      <c r="T14123" t="s">
        <v>31398</v>
      </c>
      <c r="U14123" t="s">
        <v>31399</v>
      </c>
      <c r="V14123" t="s">
        <v>31400</v>
      </c>
      <c r="W14123" t="s">
        <v>50022</v>
      </c>
      <c r="X14123" t="s">
        <v>42</v>
      </c>
      <c r="Y14123" t="s">
        <v>17171</v>
      </c>
      <c r="Z14123" t="s">
        <v>166</v>
      </c>
      <c r="AA14123" s="22" t="str">
        <f>HYPERLINK("https://www.ncbi.nlm.nih.gov/nuccore/AF414372","NCBI Nucleotide")</f>
        <v>NCBI Nucleotide</v>
      </c>
    </row>
    <row r="14124" spans="1:27" x14ac:dyDescent="0.35">
      <c r="A14124">
        <v>1011666</v>
      </c>
      <c r="B14124">
        <v>12789</v>
      </c>
      <c r="C14124">
        <v>4</v>
      </c>
      <c r="D14124" t="s">
        <v>17166</v>
      </c>
      <c r="F14124" t="s">
        <v>17246</v>
      </c>
      <c r="H14124" t="s">
        <v>28921</v>
      </c>
      <c r="J14124" t="s">
        <v>29538</v>
      </c>
      <c r="L14124" t="s">
        <v>30198</v>
      </c>
      <c r="N14124" t="s">
        <v>30487</v>
      </c>
      <c r="O14124" t="s">
        <v>30894</v>
      </c>
      <c r="P14124" t="s">
        <v>30929</v>
      </c>
      <c r="R14124" s="26" t="str">
        <f t="shared" si="62"/>
        <v>Enterovirus jesimi</v>
      </c>
      <c r="S14124" t="s">
        <v>8141</v>
      </c>
      <c r="T14124" t="s">
        <v>31401</v>
      </c>
      <c r="U14124" t="s">
        <v>31402</v>
      </c>
      <c r="V14124" t="s">
        <v>31403</v>
      </c>
      <c r="W14124" t="s">
        <v>50023</v>
      </c>
      <c r="X14124" t="s">
        <v>154</v>
      </c>
      <c r="Y14124" t="s">
        <v>17171</v>
      </c>
      <c r="Z14124" t="s">
        <v>166</v>
      </c>
      <c r="AA14124" s="22" t="str">
        <f>HYPERLINK("https://www.ncbi.nlm.nih.gov/nuccore/JX537981","NCBI Nucleotide")</f>
        <v>NCBI Nucleotide</v>
      </c>
    </row>
    <row r="14125" spans="1:27" x14ac:dyDescent="0.35">
      <c r="A14125">
        <v>1011667</v>
      </c>
      <c r="B14125">
        <v>12789</v>
      </c>
      <c r="C14125">
        <v>5</v>
      </c>
      <c r="D14125" t="s">
        <v>17166</v>
      </c>
      <c r="F14125" t="s">
        <v>17246</v>
      </c>
      <c r="H14125" t="s">
        <v>28921</v>
      </c>
      <c r="J14125" t="s">
        <v>29538</v>
      </c>
      <c r="L14125" t="s">
        <v>30198</v>
      </c>
      <c r="N14125" t="s">
        <v>30487</v>
      </c>
      <c r="O14125" t="s">
        <v>30894</v>
      </c>
      <c r="P14125" t="s">
        <v>30929</v>
      </c>
      <c r="R14125" s="26" t="str">
        <f t="shared" si="62"/>
        <v>Enterovirus jesimi</v>
      </c>
      <c r="S14125" t="s">
        <v>8141</v>
      </c>
      <c r="T14125" t="s">
        <v>31404</v>
      </c>
      <c r="U14125" t="s">
        <v>31405</v>
      </c>
      <c r="V14125" t="s">
        <v>31406</v>
      </c>
      <c r="W14125" t="s">
        <v>50024</v>
      </c>
      <c r="X14125" t="s">
        <v>154</v>
      </c>
      <c r="Y14125" t="s">
        <v>17171</v>
      </c>
      <c r="Z14125" t="s">
        <v>166</v>
      </c>
      <c r="AA14125" s="22" t="str">
        <f>HYPERLINK("https://www.ncbi.nlm.nih.gov/nuccore/JX537991","NCBI Nucleotide")</f>
        <v>NCBI Nucleotide</v>
      </c>
    </row>
    <row r="14126" spans="1:27" x14ac:dyDescent="0.35">
      <c r="A14126">
        <v>1011668</v>
      </c>
      <c r="B14126">
        <v>12789</v>
      </c>
      <c r="C14126">
        <v>6</v>
      </c>
      <c r="D14126" t="s">
        <v>17166</v>
      </c>
      <c r="F14126" t="s">
        <v>17246</v>
      </c>
      <c r="H14126" t="s">
        <v>28921</v>
      </c>
      <c r="J14126" t="s">
        <v>29538</v>
      </c>
      <c r="L14126" t="s">
        <v>30198</v>
      </c>
      <c r="N14126" t="s">
        <v>30487</v>
      </c>
      <c r="O14126" t="s">
        <v>30894</v>
      </c>
      <c r="P14126" t="s">
        <v>30929</v>
      </c>
      <c r="R14126" s="26" t="str">
        <f t="shared" si="62"/>
        <v>Enterovirus jesimi</v>
      </c>
      <c r="S14126" t="s">
        <v>8141</v>
      </c>
      <c r="T14126" t="s">
        <v>31407</v>
      </c>
      <c r="U14126" t="s">
        <v>31408</v>
      </c>
      <c r="V14126" t="s">
        <v>31409</v>
      </c>
      <c r="W14126" t="s">
        <v>50025</v>
      </c>
      <c r="X14126" t="s">
        <v>154</v>
      </c>
      <c r="Y14126" t="s">
        <v>17171</v>
      </c>
      <c r="Z14126" t="s">
        <v>166</v>
      </c>
      <c r="AA14126" s="22" t="str">
        <f>HYPERLINK("https://www.ncbi.nlm.nih.gov/nuccore/KF541639,KF648606","NCBI Nucleotide")</f>
        <v>NCBI Nucleotide</v>
      </c>
    </row>
    <row r="14127" spans="1:27" x14ac:dyDescent="0.35">
      <c r="A14127">
        <v>1002180</v>
      </c>
      <c r="B14127">
        <v>12790</v>
      </c>
      <c r="C14127">
        <v>1</v>
      </c>
      <c r="D14127" t="s">
        <v>17166</v>
      </c>
      <c r="F14127" t="s">
        <v>17246</v>
      </c>
      <c r="H14127" t="s">
        <v>28921</v>
      </c>
      <c r="J14127" t="s">
        <v>29538</v>
      </c>
      <c r="L14127" t="s">
        <v>30198</v>
      </c>
      <c r="N14127" t="s">
        <v>30487</v>
      </c>
      <c r="O14127" t="s">
        <v>30894</v>
      </c>
      <c r="P14127" t="s">
        <v>30929</v>
      </c>
      <c r="R14127" s="26" t="str">
        <f>HYPERLINK("https://ictv.global/taxonomy/taxondetails?taxnode_id=202305596","Enterovirus krodeni")</f>
        <v>Enterovirus krodeni</v>
      </c>
      <c r="S14127" t="s">
        <v>30</v>
      </c>
      <c r="T14127" t="s">
        <v>31410</v>
      </c>
      <c r="U14127" t="s">
        <v>31411</v>
      </c>
      <c r="V14127" t="s">
        <v>31412</v>
      </c>
      <c r="W14127" t="s">
        <v>31413</v>
      </c>
      <c r="X14127" t="s">
        <v>35</v>
      </c>
      <c r="Y14127" t="s">
        <v>17171</v>
      </c>
      <c r="Z14127" t="s">
        <v>166</v>
      </c>
      <c r="AA14127" s="22" t="str">
        <f>HYPERLINK("https://www.ncbi.nlm.nih.gov/nuccore/KX156158","NCBI Nucleotide")</f>
        <v>NCBI Nucleotide</v>
      </c>
    </row>
    <row r="14128" spans="1:27" x14ac:dyDescent="0.35">
      <c r="A14128">
        <v>1011669</v>
      </c>
      <c r="B14128">
        <v>12790</v>
      </c>
      <c r="C14128">
        <v>2</v>
      </c>
      <c r="D14128" t="s">
        <v>17166</v>
      </c>
      <c r="F14128" t="s">
        <v>17246</v>
      </c>
      <c r="H14128" t="s">
        <v>28921</v>
      </c>
      <c r="J14128" t="s">
        <v>29538</v>
      </c>
      <c r="L14128" t="s">
        <v>30198</v>
      </c>
      <c r="N14128" t="s">
        <v>30487</v>
      </c>
      <c r="O14128" t="s">
        <v>30894</v>
      </c>
      <c r="P14128" t="s">
        <v>30929</v>
      </c>
      <c r="R14128" s="26" t="str">
        <f>HYPERLINK("https://ictv.global/taxonomy/taxondetails?taxnode_id=202305596","Enterovirus krodeni")</f>
        <v>Enterovirus krodeni</v>
      </c>
      <c r="S14128" t="s">
        <v>8141</v>
      </c>
      <c r="T14128" t="s">
        <v>31414</v>
      </c>
      <c r="U14128" t="s">
        <v>31415</v>
      </c>
      <c r="V14128" t="s">
        <v>31416</v>
      </c>
      <c r="W14128" t="s">
        <v>50026</v>
      </c>
      <c r="X14128" t="s">
        <v>35</v>
      </c>
      <c r="Y14128" t="s">
        <v>17171</v>
      </c>
      <c r="Z14128" t="s">
        <v>166</v>
      </c>
      <c r="AA14128" s="22" t="str">
        <f>HYPERLINK("https://www.ncbi.nlm.nih.gov/nuccore/KX156159","NCBI Nucleotide")</f>
        <v>NCBI Nucleotide</v>
      </c>
    </row>
    <row r="14129" spans="1:27" x14ac:dyDescent="0.35">
      <c r="A14129">
        <v>1002181</v>
      </c>
      <c r="B14129">
        <v>12791</v>
      </c>
      <c r="C14129">
        <v>1</v>
      </c>
      <c r="D14129" t="s">
        <v>17166</v>
      </c>
      <c r="F14129" t="s">
        <v>17246</v>
      </c>
      <c r="H14129" t="s">
        <v>28921</v>
      </c>
      <c r="J14129" t="s">
        <v>29538</v>
      </c>
      <c r="L14129" t="s">
        <v>30198</v>
      </c>
      <c r="N14129" t="s">
        <v>30487</v>
      </c>
      <c r="O14129" t="s">
        <v>30894</v>
      </c>
      <c r="P14129" t="s">
        <v>30929</v>
      </c>
      <c r="R14129" s="26" t="str">
        <f>HYPERLINK("https://ictv.global/taxonomy/taxondetails?taxnode_id=202305597","Enterovirus lesimi")</f>
        <v>Enterovirus lesimi</v>
      </c>
      <c r="S14129" t="s">
        <v>30</v>
      </c>
      <c r="T14129" t="s">
        <v>31417</v>
      </c>
      <c r="U14129" t="s">
        <v>31418</v>
      </c>
      <c r="V14129" t="s">
        <v>31419</v>
      </c>
      <c r="W14129" t="s">
        <v>31420</v>
      </c>
      <c r="X14129" t="s">
        <v>42</v>
      </c>
      <c r="Y14129" t="s">
        <v>17171</v>
      </c>
      <c r="Z14129" t="s">
        <v>166</v>
      </c>
      <c r="AA14129" s="22" t="str">
        <f>HYPERLINK("https://www.ncbi.nlm.nih.gov/nuccore/KU587555","NCBI Nucleotide")</f>
        <v>NCBI Nucleotide</v>
      </c>
    </row>
    <row r="14130" spans="1:27" x14ac:dyDescent="0.35">
      <c r="A14130">
        <v>1002185</v>
      </c>
      <c r="B14130">
        <v>12792</v>
      </c>
      <c r="C14130">
        <v>1</v>
      </c>
      <c r="D14130" t="s">
        <v>17166</v>
      </c>
      <c r="F14130" t="s">
        <v>17246</v>
      </c>
      <c r="H14130" t="s">
        <v>28921</v>
      </c>
      <c r="J14130" t="s">
        <v>29538</v>
      </c>
      <c r="L14130" t="s">
        <v>30198</v>
      </c>
      <c r="N14130" t="s">
        <v>30487</v>
      </c>
      <c r="O14130" t="s">
        <v>30894</v>
      </c>
      <c r="P14130" t="s">
        <v>31915</v>
      </c>
      <c r="R14130" s="26" t="str">
        <f>HYPERLINK("https://ictv.global/taxonomy/taxondetails?taxnode_id=202307254","Felipivirus acati")</f>
        <v>Felipivirus acati</v>
      </c>
      <c r="S14130" t="s">
        <v>30</v>
      </c>
      <c r="T14130" t="s">
        <v>31916</v>
      </c>
      <c r="U14130" t="s">
        <v>31917</v>
      </c>
      <c r="V14130" t="s">
        <v>31918</v>
      </c>
      <c r="W14130" t="s">
        <v>31919</v>
      </c>
      <c r="X14130" t="s">
        <v>42</v>
      </c>
      <c r="Y14130" t="s">
        <v>17171</v>
      </c>
      <c r="Z14130" t="s">
        <v>166</v>
      </c>
      <c r="AA14130" s="22" t="str">
        <f>HYPERLINK("https://www.ncbi.nlm.nih.gov/nuccore/JN572115","NCBI Nucleotide")</f>
        <v>NCBI Nucleotide</v>
      </c>
    </row>
    <row r="14131" spans="1:27" x14ac:dyDescent="0.35">
      <c r="A14131">
        <v>1011832</v>
      </c>
      <c r="B14131">
        <v>12792</v>
      </c>
      <c r="C14131">
        <v>2</v>
      </c>
      <c r="D14131" t="s">
        <v>17166</v>
      </c>
      <c r="F14131" t="s">
        <v>17246</v>
      </c>
      <c r="H14131" t="s">
        <v>28921</v>
      </c>
      <c r="J14131" t="s">
        <v>29538</v>
      </c>
      <c r="L14131" t="s">
        <v>30198</v>
      </c>
      <c r="N14131" t="s">
        <v>30487</v>
      </c>
      <c r="O14131" t="s">
        <v>30894</v>
      </c>
      <c r="P14131" t="s">
        <v>31915</v>
      </c>
      <c r="R14131" s="26" t="str">
        <f>HYPERLINK("https://ictv.global/taxonomy/taxondetails?taxnode_id=202307254","Felipivirus acati")</f>
        <v>Felipivirus acati</v>
      </c>
      <c r="S14131" t="s">
        <v>8141</v>
      </c>
      <c r="T14131" t="s">
        <v>31920</v>
      </c>
      <c r="U14131" t="s">
        <v>31921</v>
      </c>
      <c r="V14131" t="s">
        <v>31922</v>
      </c>
      <c r="W14131" t="s">
        <v>50027</v>
      </c>
      <c r="X14131" t="s">
        <v>42</v>
      </c>
      <c r="Y14131" t="s">
        <v>17171</v>
      </c>
      <c r="Z14131" t="s">
        <v>166</v>
      </c>
      <c r="AA14131" s="22" t="str">
        <f>HYPERLINK("https://www.ncbi.nlm.nih.gov/nuccore/JN572116","NCBI Nucleotide")</f>
        <v>NCBI Nucleotide</v>
      </c>
    </row>
    <row r="14132" spans="1:27" x14ac:dyDescent="0.35">
      <c r="A14132">
        <v>1002186</v>
      </c>
      <c r="B14132">
        <v>12793</v>
      </c>
      <c r="C14132">
        <v>1</v>
      </c>
      <c r="D14132" t="s">
        <v>17166</v>
      </c>
      <c r="F14132" t="s">
        <v>17246</v>
      </c>
      <c r="H14132" t="s">
        <v>28921</v>
      </c>
      <c r="J14132" t="s">
        <v>29538</v>
      </c>
      <c r="L14132" t="s">
        <v>30198</v>
      </c>
      <c r="N14132" t="s">
        <v>30487</v>
      </c>
      <c r="O14132" t="s">
        <v>30894</v>
      </c>
      <c r="P14132" t="s">
        <v>31923</v>
      </c>
      <c r="R14132" s="26" t="str">
        <f>HYPERLINK("https://ictv.global/taxonomy/taxondetails?taxnode_id=202307410","Parabovirus anorrati")</f>
        <v>Parabovirus anorrati</v>
      </c>
      <c r="S14132" t="s">
        <v>30</v>
      </c>
      <c r="T14132" t="s">
        <v>31924</v>
      </c>
      <c r="U14132" t="s">
        <v>31925</v>
      </c>
      <c r="V14132" t="s">
        <v>31926</v>
      </c>
      <c r="W14132" t="s">
        <v>31927</v>
      </c>
      <c r="X14132" t="s">
        <v>42</v>
      </c>
      <c r="Y14132" t="s">
        <v>17171</v>
      </c>
      <c r="Z14132" t="s">
        <v>166</v>
      </c>
      <c r="AA14132" s="22" t="str">
        <f>HYPERLINK("https://www.ncbi.nlm.nih.gov/nuccore/MF352412","NCBI Nucleotide")</f>
        <v>NCBI Nucleotide</v>
      </c>
    </row>
    <row r="14133" spans="1:27" x14ac:dyDescent="0.35">
      <c r="A14133">
        <v>1011833</v>
      </c>
      <c r="B14133">
        <v>12793</v>
      </c>
      <c r="C14133">
        <v>2</v>
      </c>
      <c r="D14133" t="s">
        <v>17166</v>
      </c>
      <c r="F14133" t="s">
        <v>17246</v>
      </c>
      <c r="H14133" t="s">
        <v>28921</v>
      </c>
      <c r="J14133" t="s">
        <v>29538</v>
      </c>
      <c r="L14133" t="s">
        <v>30198</v>
      </c>
      <c r="N14133" t="s">
        <v>30487</v>
      </c>
      <c r="O14133" t="s">
        <v>30894</v>
      </c>
      <c r="P14133" t="s">
        <v>31923</v>
      </c>
      <c r="R14133" s="26" t="str">
        <f>HYPERLINK("https://ictv.global/taxonomy/taxondetails?taxnode_id=202307410","Parabovirus anorrati")</f>
        <v>Parabovirus anorrati</v>
      </c>
      <c r="S14133" t="s">
        <v>8141</v>
      </c>
      <c r="T14133" t="s">
        <v>31928</v>
      </c>
      <c r="U14133" t="s">
        <v>31929</v>
      </c>
      <c r="V14133" t="s">
        <v>31930</v>
      </c>
      <c r="W14133" t="s">
        <v>50028</v>
      </c>
      <c r="X14133" t="s">
        <v>42</v>
      </c>
      <c r="Y14133" t="s">
        <v>17171</v>
      </c>
      <c r="Z14133" t="s">
        <v>166</v>
      </c>
      <c r="AA14133" s="22" t="str">
        <f>HYPERLINK("https://www.ncbi.nlm.nih.gov/nuccore/MF352414","NCBI Nucleotide")</f>
        <v>NCBI Nucleotide</v>
      </c>
    </row>
    <row r="14134" spans="1:27" x14ac:dyDescent="0.35">
      <c r="A14134">
        <v>1011834</v>
      </c>
      <c r="B14134">
        <v>12793</v>
      </c>
      <c r="C14134">
        <v>3</v>
      </c>
      <c r="D14134" t="s">
        <v>17166</v>
      </c>
      <c r="F14134" t="s">
        <v>17246</v>
      </c>
      <c r="H14134" t="s">
        <v>28921</v>
      </c>
      <c r="J14134" t="s">
        <v>29538</v>
      </c>
      <c r="L14134" t="s">
        <v>30198</v>
      </c>
      <c r="N14134" t="s">
        <v>30487</v>
      </c>
      <c r="O14134" t="s">
        <v>30894</v>
      </c>
      <c r="P14134" t="s">
        <v>31923</v>
      </c>
      <c r="R14134" s="26" t="str">
        <f>HYPERLINK("https://ictv.global/taxonomy/taxondetails?taxnode_id=202307410","Parabovirus anorrati")</f>
        <v>Parabovirus anorrati</v>
      </c>
      <c r="S14134" t="s">
        <v>8141</v>
      </c>
      <c r="T14134" t="s">
        <v>31931</v>
      </c>
      <c r="U14134" t="s">
        <v>31932</v>
      </c>
      <c r="V14134" t="s">
        <v>31933</v>
      </c>
      <c r="W14134" t="s">
        <v>50029</v>
      </c>
      <c r="X14134" t="s">
        <v>42</v>
      </c>
      <c r="Y14134" t="s">
        <v>17171</v>
      </c>
      <c r="Z14134" t="s">
        <v>166</v>
      </c>
      <c r="AA14134" s="22" t="str">
        <f>HYPERLINK("https://www.ncbi.nlm.nih.gov/nuccore/KY432935","NCBI Nucleotide")</f>
        <v>NCBI Nucleotide</v>
      </c>
    </row>
    <row r="14135" spans="1:27" x14ac:dyDescent="0.35">
      <c r="A14135">
        <v>1011835</v>
      </c>
      <c r="B14135">
        <v>12793</v>
      </c>
      <c r="C14135">
        <v>4</v>
      </c>
      <c r="D14135" t="s">
        <v>17166</v>
      </c>
      <c r="F14135" t="s">
        <v>17246</v>
      </c>
      <c r="H14135" t="s">
        <v>28921</v>
      </c>
      <c r="J14135" t="s">
        <v>29538</v>
      </c>
      <c r="L14135" t="s">
        <v>30198</v>
      </c>
      <c r="N14135" t="s">
        <v>30487</v>
      </c>
      <c r="O14135" t="s">
        <v>30894</v>
      </c>
      <c r="P14135" t="s">
        <v>31923</v>
      </c>
      <c r="R14135" s="26" t="str">
        <f>HYPERLINK("https://ictv.global/taxonomy/taxondetails?taxnode_id=202307410","Parabovirus anorrati")</f>
        <v>Parabovirus anorrati</v>
      </c>
      <c r="S14135" t="s">
        <v>8141</v>
      </c>
      <c r="T14135" t="s">
        <v>31934</v>
      </c>
      <c r="U14135" t="s">
        <v>31935</v>
      </c>
      <c r="V14135" t="s">
        <v>31936</v>
      </c>
      <c r="W14135" t="s">
        <v>50030</v>
      </c>
      <c r="X14135" t="s">
        <v>42</v>
      </c>
      <c r="Y14135" t="s">
        <v>17171</v>
      </c>
      <c r="Z14135" t="s">
        <v>166</v>
      </c>
      <c r="AA14135" s="22" t="str">
        <f>HYPERLINK("https://www.ncbi.nlm.nih.gov/nuccore/KY432932","NCBI Nucleotide")</f>
        <v>NCBI Nucleotide</v>
      </c>
    </row>
    <row r="14136" spans="1:27" x14ac:dyDescent="0.35">
      <c r="A14136">
        <v>1002187</v>
      </c>
      <c r="B14136">
        <v>12794</v>
      </c>
      <c r="C14136">
        <v>1</v>
      </c>
      <c r="D14136" t="s">
        <v>17166</v>
      </c>
      <c r="F14136" t="s">
        <v>17246</v>
      </c>
      <c r="H14136" t="s">
        <v>28921</v>
      </c>
      <c r="J14136" t="s">
        <v>29538</v>
      </c>
      <c r="L14136" t="s">
        <v>30198</v>
      </c>
      <c r="N14136" t="s">
        <v>30487</v>
      </c>
      <c r="O14136" t="s">
        <v>30894</v>
      </c>
      <c r="P14136" t="s">
        <v>31923</v>
      </c>
      <c r="R14136" s="26" t="str">
        <f>HYPERLINK("https://ictv.global/taxonomy/taxondetails?taxnode_id=202307411","Parabovirus bechstihams")</f>
        <v>Parabovirus bechstihams</v>
      </c>
      <c r="S14136" t="s">
        <v>30</v>
      </c>
      <c r="T14136" t="s">
        <v>31937</v>
      </c>
      <c r="U14136" t="s">
        <v>31938</v>
      </c>
      <c r="V14136" t="s">
        <v>31939</v>
      </c>
      <c r="W14136" t="s">
        <v>31940</v>
      </c>
      <c r="X14136" t="s">
        <v>42</v>
      </c>
      <c r="Y14136" t="s">
        <v>17171</v>
      </c>
      <c r="Z14136" t="s">
        <v>166</v>
      </c>
      <c r="AA14136" s="22" t="str">
        <f>HYPERLINK("https://www.ncbi.nlm.nih.gov/nuccore/KY432927","NCBI Nucleotide")</f>
        <v>NCBI Nucleotide</v>
      </c>
    </row>
    <row r="14137" spans="1:27" x14ac:dyDescent="0.35">
      <c r="A14137">
        <v>1002188</v>
      </c>
      <c r="B14137">
        <v>12795</v>
      </c>
      <c r="C14137">
        <v>1</v>
      </c>
      <c r="D14137" t="s">
        <v>17166</v>
      </c>
      <c r="F14137" t="s">
        <v>17246</v>
      </c>
      <c r="H14137" t="s">
        <v>28921</v>
      </c>
      <c r="J14137" t="s">
        <v>29538</v>
      </c>
      <c r="L14137" t="s">
        <v>30198</v>
      </c>
      <c r="N14137" t="s">
        <v>30487</v>
      </c>
      <c r="O14137" t="s">
        <v>30894</v>
      </c>
      <c r="P14137" t="s">
        <v>31923</v>
      </c>
      <c r="R14137" s="26" t="str">
        <f>HYPERLINK("https://ictv.global/taxonomy/taxondetails?taxnode_id=202307412","Parabovirus chiwhibe")</f>
        <v>Parabovirus chiwhibe</v>
      </c>
      <c r="S14137" t="s">
        <v>30</v>
      </c>
      <c r="T14137" t="s">
        <v>31941</v>
      </c>
      <c r="U14137" t="s">
        <v>31942</v>
      </c>
      <c r="V14137" t="s">
        <v>31943</v>
      </c>
      <c r="W14137" t="s">
        <v>31944</v>
      </c>
      <c r="X14137" t="s">
        <v>42</v>
      </c>
      <c r="Y14137" t="s">
        <v>17171</v>
      </c>
      <c r="Z14137" t="s">
        <v>166</v>
      </c>
      <c r="AA14137" s="22" t="str">
        <f>HYPERLINK("https://www.ncbi.nlm.nih.gov/nuccore/KY432933","NCBI Nucleotide")</f>
        <v>NCBI Nucleotide</v>
      </c>
    </row>
    <row r="14138" spans="1:27" x14ac:dyDescent="0.35">
      <c r="A14138">
        <v>1002189</v>
      </c>
      <c r="B14138">
        <v>12796</v>
      </c>
      <c r="C14138">
        <v>1</v>
      </c>
      <c r="D14138" t="s">
        <v>17166</v>
      </c>
      <c r="F14138" t="s">
        <v>17246</v>
      </c>
      <c r="H14138" t="s">
        <v>28921</v>
      </c>
      <c r="J14138" t="s">
        <v>29538</v>
      </c>
      <c r="L14138" t="s">
        <v>30198</v>
      </c>
      <c r="N14138" t="s">
        <v>30487</v>
      </c>
      <c r="O14138" t="s">
        <v>30894</v>
      </c>
      <c r="P14138" t="s">
        <v>31945</v>
      </c>
      <c r="R14138" s="26" t="str">
        <f>HYPERLINK("https://ictv.global/taxonomy/taxondetails?taxnode_id=202302049","Rabovirus aneyoci")</f>
        <v>Rabovirus aneyoci</v>
      </c>
      <c r="S14138" t="s">
        <v>30</v>
      </c>
      <c r="T14138" t="s">
        <v>31946</v>
      </c>
      <c r="U14138" t="s">
        <v>31947</v>
      </c>
      <c r="V14138" t="s">
        <v>31948</v>
      </c>
      <c r="W14138" t="s">
        <v>31949</v>
      </c>
      <c r="X14138" t="s">
        <v>42</v>
      </c>
      <c r="Y14138" t="s">
        <v>17171</v>
      </c>
      <c r="Z14138" t="s">
        <v>166</v>
      </c>
      <c r="AA14138" s="22" t="str">
        <f>HYPERLINK("https://www.ncbi.nlm.nih.gov/nuccore/KP233897","NCBI Nucleotide")</f>
        <v>NCBI Nucleotide</v>
      </c>
    </row>
    <row r="14139" spans="1:27" x14ac:dyDescent="0.35">
      <c r="A14139">
        <v>1011836</v>
      </c>
      <c r="B14139">
        <v>12796</v>
      </c>
      <c r="C14139">
        <v>2</v>
      </c>
      <c r="D14139" t="s">
        <v>17166</v>
      </c>
      <c r="F14139" t="s">
        <v>17246</v>
      </c>
      <c r="H14139" t="s">
        <v>28921</v>
      </c>
      <c r="J14139" t="s">
        <v>29538</v>
      </c>
      <c r="L14139" t="s">
        <v>30198</v>
      </c>
      <c r="N14139" t="s">
        <v>30487</v>
      </c>
      <c r="O14139" t="s">
        <v>30894</v>
      </c>
      <c r="P14139" t="s">
        <v>31945</v>
      </c>
      <c r="R14139" s="26" t="str">
        <f>HYPERLINK("https://ictv.global/taxonomy/taxondetails?taxnode_id=202302049","Rabovirus aneyoci")</f>
        <v>Rabovirus aneyoci</v>
      </c>
      <c r="S14139" t="s">
        <v>8141</v>
      </c>
      <c r="T14139" t="s">
        <v>31950</v>
      </c>
      <c r="U14139" t="s">
        <v>31951</v>
      </c>
      <c r="V14139" t="s">
        <v>31952</v>
      </c>
      <c r="W14139" t="s">
        <v>50031</v>
      </c>
      <c r="X14139" t="s">
        <v>42</v>
      </c>
      <c r="Y14139" t="s">
        <v>17171</v>
      </c>
      <c r="Z14139" t="s">
        <v>166</v>
      </c>
      <c r="AA14139" s="22" t="str">
        <f>HYPERLINK("https://www.ncbi.nlm.nih.gov/nuccore/MF352425","NCBI Nucleotide")</f>
        <v>NCBI Nucleotide</v>
      </c>
    </row>
    <row r="14140" spans="1:27" x14ac:dyDescent="0.35">
      <c r="A14140">
        <v>1011837</v>
      </c>
      <c r="B14140">
        <v>12796</v>
      </c>
      <c r="C14140">
        <v>3</v>
      </c>
      <c r="D14140" t="s">
        <v>17166</v>
      </c>
      <c r="F14140" t="s">
        <v>17246</v>
      </c>
      <c r="H14140" t="s">
        <v>28921</v>
      </c>
      <c r="J14140" t="s">
        <v>29538</v>
      </c>
      <c r="L14140" t="s">
        <v>30198</v>
      </c>
      <c r="N14140" t="s">
        <v>30487</v>
      </c>
      <c r="O14140" t="s">
        <v>30894</v>
      </c>
      <c r="P14140" t="s">
        <v>31945</v>
      </c>
      <c r="R14140" s="26" t="str">
        <f>HYPERLINK("https://ictv.global/taxonomy/taxondetails?taxnode_id=202302049","Rabovirus aneyoci")</f>
        <v>Rabovirus aneyoci</v>
      </c>
      <c r="S14140" t="s">
        <v>8141</v>
      </c>
      <c r="T14140" t="s">
        <v>31953</v>
      </c>
      <c r="U14140" t="s">
        <v>31954</v>
      </c>
      <c r="V14140" t="s">
        <v>31955</v>
      </c>
      <c r="W14140" t="s">
        <v>50032</v>
      </c>
      <c r="X14140" t="s">
        <v>42</v>
      </c>
      <c r="Y14140" t="s">
        <v>17171</v>
      </c>
      <c r="Z14140" t="s">
        <v>166</v>
      </c>
      <c r="AA14140" s="22" t="str">
        <f>HYPERLINK("https://www.ncbi.nlm.nih.gov/nuccore/KJ950883","NCBI Nucleotide")</f>
        <v>NCBI Nucleotide</v>
      </c>
    </row>
    <row r="14141" spans="1:27" x14ac:dyDescent="0.35">
      <c r="A14141">
        <v>1011838</v>
      </c>
      <c r="B14141">
        <v>12796</v>
      </c>
      <c r="C14141">
        <v>4</v>
      </c>
      <c r="D14141" t="s">
        <v>17166</v>
      </c>
      <c r="F14141" t="s">
        <v>17246</v>
      </c>
      <c r="H14141" t="s">
        <v>28921</v>
      </c>
      <c r="J14141" t="s">
        <v>29538</v>
      </c>
      <c r="L14141" t="s">
        <v>30198</v>
      </c>
      <c r="N14141" t="s">
        <v>30487</v>
      </c>
      <c r="O14141" t="s">
        <v>30894</v>
      </c>
      <c r="P14141" t="s">
        <v>31945</v>
      </c>
      <c r="R14141" s="26" t="str">
        <f>HYPERLINK("https://ictv.global/taxonomy/taxondetails?taxnode_id=202302049","Rabovirus aneyoci")</f>
        <v>Rabovirus aneyoci</v>
      </c>
      <c r="S14141" t="s">
        <v>8141</v>
      </c>
      <c r="T14141" t="s">
        <v>31956</v>
      </c>
      <c r="U14141" t="s">
        <v>31957</v>
      </c>
      <c r="V14141" t="s">
        <v>31958</v>
      </c>
      <c r="W14141" t="s">
        <v>50033</v>
      </c>
      <c r="X14141" t="s">
        <v>42</v>
      </c>
      <c r="Y14141" t="s">
        <v>17171</v>
      </c>
      <c r="Z14141" t="s">
        <v>166</v>
      </c>
      <c r="AA14141" s="22" t="str">
        <f>HYPERLINK("https://www.ncbi.nlm.nih.gov/nuccore/MF352417","NCBI Nucleotide")</f>
        <v>NCBI Nucleotide</v>
      </c>
    </row>
    <row r="14142" spans="1:27" x14ac:dyDescent="0.35">
      <c r="A14142">
        <v>1011839</v>
      </c>
      <c r="B14142">
        <v>12796</v>
      </c>
      <c r="C14142">
        <v>5</v>
      </c>
      <c r="D14142" t="s">
        <v>17166</v>
      </c>
      <c r="F14142" t="s">
        <v>17246</v>
      </c>
      <c r="H14142" t="s">
        <v>28921</v>
      </c>
      <c r="J14142" t="s">
        <v>29538</v>
      </c>
      <c r="L14142" t="s">
        <v>30198</v>
      </c>
      <c r="N14142" t="s">
        <v>30487</v>
      </c>
      <c r="O14142" t="s">
        <v>30894</v>
      </c>
      <c r="P14142" t="s">
        <v>31945</v>
      </c>
      <c r="R14142" s="26" t="str">
        <f>HYPERLINK("https://ictv.global/taxonomy/taxondetails?taxnode_id=202302049","Rabovirus aneyoci")</f>
        <v>Rabovirus aneyoci</v>
      </c>
      <c r="S14142" t="s">
        <v>8141</v>
      </c>
      <c r="T14142" t="s">
        <v>31959</v>
      </c>
      <c r="U14142" t="s">
        <v>31960</v>
      </c>
      <c r="V14142" t="s">
        <v>31961</v>
      </c>
      <c r="W14142" t="s">
        <v>50034</v>
      </c>
      <c r="X14142" t="s">
        <v>42</v>
      </c>
      <c r="Y14142" t="s">
        <v>17171</v>
      </c>
      <c r="Z14142" t="s">
        <v>166</v>
      </c>
      <c r="AA14142" s="22" t="str">
        <f>HYPERLINK("https://www.ncbi.nlm.nih.gov/nuccore/MF352408","NCBI Nucleotide")</f>
        <v>NCBI Nucleotide</v>
      </c>
    </row>
    <row r="14143" spans="1:27" x14ac:dyDescent="0.35">
      <c r="A14143">
        <v>1002190</v>
      </c>
      <c r="B14143">
        <v>12797</v>
      </c>
      <c r="C14143">
        <v>1</v>
      </c>
      <c r="D14143" t="s">
        <v>17166</v>
      </c>
      <c r="F14143" t="s">
        <v>17246</v>
      </c>
      <c r="H14143" t="s">
        <v>28921</v>
      </c>
      <c r="J14143" t="s">
        <v>29538</v>
      </c>
      <c r="L14143" t="s">
        <v>30198</v>
      </c>
      <c r="N14143" t="s">
        <v>30487</v>
      </c>
      <c r="O14143" t="s">
        <v>30894</v>
      </c>
      <c r="P14143" t="s">
        <v>31945</v>
      </c>
      <c r="R14143" s="26" t="str">
        <f>HYPERLINK("https://ictv.global/taxonomy/taxondetails?taxnode_id=202306420","Rabovirus begaschmo")</f>
        <v>Rabovirus begaschmo</v>
      </c>
      <c r="S14143" t="s">
        <v>30</v>
      </c>
      <c r="T14143" t="s">
        <v>31962</v>
      </c>
      <c r="U14143" t="s">
        <v>31963</v>
      </c>
      <c r="V14143" t="s">
        <v>31964</v>
      </c>
      <c r="W14143" t="s">
        <v>31965</v>
      </c>
      <c r="X14143" t="s">
        <v>42</v>
      </c>
      <c r="Y14143" t="s">
        <v>17171</v>
      </c>
      <c r="Z14143" t="s">
        <v>166</v>
      </c>
      <c r="AA14143" s="22" t="str">
        <f>HYPERLINK("https://www.ncbi.nlm.nih.gov/nuccore/KY432926","NCBI Nucleotide")</f>
        <v>NCBI Nucleotide</v>
      </c>
    </row>
    <row r="14144" spans="1:27" x14ac:dyDescent="0.35">
      <c r="A14144">
        <v>1002191</v>
      </c>
      <c r="B14144">
        <v>12798</v>
      </c>
      <c r="C14144">
        <v>1</v>
      </c>
      <c r="D14144" t="s">
        <v>17166</v>
      </c>
      <c r="F14144" t="s">
        <v>17246</v>
      </c>
      <c r="H14144" t="s">
        <v>28921</v>
      </c>
      <c r="J14144" t="s">
        <v>29538</v>
      </c>
      <c r="L14144" t="s">
        <v>30198</v>
      </c>
      <c r="N14144" t="s">
        <v>30487</v>
      </c>
      <c r="O14144" t="s">
        <v>30894</v>
      </c>
      <c r="P14144" t="s">
        <v>31945</v>
      </c>
      <c r="R14144" s="26" t="str">
        <f>HYPERLINK("https://ictv.global/taxonomy/taxondetails?taxnode_id=202306421","Rabovirus cemarmo")</f>
        <v>Rabovirus cemarmo</v>
      </c>
      <c r="S14144" t="s">
        <v>30</v>
      </c>
      <c r="T14144" t="s">
        <v>31966</v>
      </c>
      <c r="U14144" t="s">
        <v>31967</v>
      </c>
      <c r="V14144" t="s">
        <v>31968</v>
      </c>
      <c r="W14144" t="s">
        <v>31969</v>
      </c>
      <c r="X14144" t="s">
        <v>42</v>
      </c>
      <c r="Y14144" t="s">
        <v>17171</v>
      </c>
      <c r="Z14144" t="s">
        <v>166</v>
      </c>
      <c r="AA14144" s="22" t="str">
        <f>HYPERLINK("https://www.ncbi.nlm.nih.gov/nuccore/KY855432","NCBI Nucleotide")</f>
        <v>NCBI Nucleotide</v>
      </c>
    </row>
    <row r="14145" spans="1:27" x14ac:dyDescent="0.35">
      <c r="A14145">
        <v>1002192</v>
      </c>
      <c r="B14145">
        <v>12799</v>
      </c>
      <c r="C14145">
        <v>1</v>
      </c>
      <c r="D14145" t="s">
        <v>17166</v>
      </c>
      <c r="F14145" t="s">
        <v>17246</v>
      </c>
      <c r="H14145" t="s">
        <v>28921</v>
      </c>
      <c r="J14145" t="s">
        <v>29538</v>
      </c>
      <c r="L14145" t="s">
        <v>30198</v>
      </c>
      <c r="N14145" t="s">
        <v>30487</v>
      </c>
      <c r="O14145" t="s">
        <v>30894</v>
      </c>
      <c r="P14145" t="s">
        <v>31945</v>
      </c>
      <c r="R14145" s="26" t="str">
        <f>HYPERLINK("https://ictv.global/taxonomy/taxondetails?taxnode_id=202306422","Rabovirus dehomo")</f>
        <v>Rabovirus dehomo</v>
      </c>
      <c r="S14145" t="s">
        <v>30</v>
      </c>
      <c r="T14145" t="s">
        <v>31970</v>
      </c>
      <c r="U14145" t="s">
        <v>31971</v>
      </c>
      <c r="V14145" t="s">
        <v>31972</v>
      </c>
      <c r="W14145" t="s">
        <v>31973</v>
      </c>
      <c r="X14145" t="s">
        <v>42</v>
      </c>
      <c r="Y14145" t="s">
        <v>17171</v>
      </c>
      <c r="Z14145" t="s">
        <v>166</v>
      </c>
      <c r="AA14145" s="22" t="str">
        <f>HYPERLINK("https://www.ncbi.nlm.nih.gov/nuccore/MF175072","NCBI Nucleotide")</f>
        <v>NCBI Nucleotide</v>
      </c>
    </row>
    <row r="14146" spans="1:27" x14ac:dyDescent="0.35">
      <c r="A14146">
        <v>1002193</v>
      </c>
      <c r="B14146">
        <v>12800</v>
      </c>
      <c r="C14146">
        <v>1</v>
      </c>
      <c r="D14146" t="s">
        <v>17166</v>
      </c>
      <c r="F14146" t="s">
        <v>17246</v>
      </c>
      <c r="H14146" t="s">
        <v>28921</v>
      </c>
      <c r="J14146" t="s">
        <v>29538</v>
      </c>
      <c r="L14146" t="s">
        <v>30198</v>
      </c>
      <c r="N14146" t="s">
        <v>30487</v>
      </c>
      <c r="O14146" t="s">
        <v>30894</v>
      </c>
      <c r="P14146" t="s">
        <v>31974</v>
      </c>
      <c r="R14146" s="26" t="str">
        <f>HYPERLINK("https://ictv.global/taxonomy/taxondetails?taxnode_id=202302058","Sapelovirus anglia")</f>
        <v>Sapelovirus anglia</v>
      </c>
      <c r="S14146" t="s">
        <v>30</v>
      </c>
      <c r="T14146" t="s">
        <v>31975</v>
      </c>
      <c r="U14146" t="s">
        <v>18161</v>
      </c>
      <c r="V14146" t="s">
        <v>31976</v>
      </c>
      <c r="W14146" t="s">
        <v>31977</v>
      </c>
      <c r="X14146" t="s">
        <v>42</v>
      </c>
      <c r="Y14146" t="s">
        <v>17171</v>
      </c>
      <c r="Z14146" t="s">
        <v>166</v>
      </c>
      <c r="AA14146" s="22" t="str">
        <f>HYPERLINK("https://www.ncbi.nlm.nih.gov/nuccore/AF406813","NCBI Nucleotide")</f>
        <v>NCBI Nucleotide</v>
      </c>
    </row>
    <row r="14147" spans="1:27" x14ac:dyDescent="0.35">
      <c r="A14147">
        <v>1002194</v>
      </c>
      <c r="B14147">
        <v>12801</v>
      </c>
      <c r="C14147">
        <v>1</v>
      </c>
      <c r="D14147" t="s">
        <v>17166</v>
      </c>
      <c r="F14147" t="s">
        <v>17246</v>
      </c>
      <c r="H14147" t="s">
        <v>28921</v>
      </c>
      <c r="J14147" t="s">
        <v>29538</v>
      </c>
      <c r="L14147" t="s">
        <v>30198</v>
      </c>
      <c r="N14147" t="s">
        <v>30487</v>
      </c>
      <c r="O14147" t="s">
        <v>30894</v>
      </c>
      <c r="P14147" t="s">
        <v>31974</v>
      </c>
      <c r="R14147" s="26" t="str">
        <f>HYPERLINK("https://ictv.global/taxonomy/taxondetails?taxnode_id=202302059","Sapelovirus besimi")</f>
        <v>Sapelovirus besimi</v>
      </c>
      <c r="S14147" t="s">
        <v>30</v>
      </c>
      <c r="T14147" t="s">
        <v>31978</v>
      </c>
      <c r="U14147" t="s">
        <v>31979</v>
      </c>
      <c r="V14147" t="s">
        <v>31980</v>
      </c>
      <c r="W14147" t="s">
        <v>31981</v>
      </c>
      <c r="X14147" t="s">
        <v>42</v>
      </c>
      <c r="Y14147" t="s">
        <v>17171</v>
      </c>
      <c r="Z14147" t="s">
        <v>166</v>
      </c>
      <c r="AA14147" s="22" t="str">
        <f>HYPERLINK("https://www.ncbi.nlm.nih.gov/nuccore/AY064708","NCBI Nucleotide")</f>
        <v>NCBI Nucleotide</v>
      </c>
    </row>
    <row r="14148" spans="1:27" x14ac:dyDescent="0.35">
      <c r="A14148">
        <v>1011840</v>
      </c>
      <c r="B14148">
        <v>12801</v>
      </c>
      <c r="C14148">
        <v>2</v>
      </c>
      <c r="D14148" t="s">
        <v>17166</v>
      </c>
      <c r="F14148" t="s">
        <v>17246</v>
      </c>
      <c r="H14148" t="s">
        <v>28921</v>
      </c>
      <c r="J14148" t="s">
        <v>29538</v>
      </c>
      <c r="L14148" t="s">
        <v>30198</v>
      </c>
      <c r="N14148" t="s">
        <v>30487</v>
      </c>
      <c r="O14148" t="s">
        <v>30894</v>
      </c>
      <c r="P14148" t="s">
        <v>31974</v>
      </c>
      <c r="R14148" s="26" t="str">
        <f>HYPERLINK("https://ictv.global/taxonomy/taxondetails?taxnode_id=202302059","Sapelovirus besimi")</f>
        <v>Sapelovirus besimi</v>
      </c>
      <c r="S14148" t="s">
        <v>8141</v>
      </c>
      <c r="T14148" t="s">
        <v>31982</v>
      </c>
      <c r="U14148" t="s">
        <v>31983</v>
      </c>
      <c r="V14148" t="s">
        <v>31984</v>
      </c>
      <c r="W14148" t="s">
        <v>50035</v>
      </c>
      <c r="X14148" t="s">
        <v>42</v>
      </c>
      <c r="Y14148" t="s">
        <v>17171</v>
      </c>
      <c r="Z14148" t="s">
        <v>166</v>
      </c>
      <c r="AA14148" s="22" t="str">
        <f>HYPERLINK("https://www.ncbi.nlm.nih.gov/nuccore/EU789367","NCBI Nucleotide")</f>
        <v>NCBI Nucleotide</v>
      </c>
    </row>
    <row r="14149" spans="1:27" x14ac:dyDescent="0.35">
      <c r="A14149">
        <v>1011841</v>
      </c>
      <c r="B14149">
        <v>12801</v>
      </c>
      <c r="C14149">
        <v>3</v>
      </c>
      <c r="D14149" t="s">
        <v>17166</v>
      </c>
      <c r="F14149" t="s">
        <v>17246</v>
      </c>
      <c r="H14149" t="s">
        <v>28921</v>
      </c>
      <c r="J14149" t="s">
        <v>29538</v>
      </c>
      <c r="L14149" t="s">
        <v>30198</v>
      </c>
      <c r="N14149" t="s">
        <v>30487</v>
      </c>
      <c r="O14149" t="s">
        <v>30894</v>
      </c>
      <c r="P14149" t="s">
        <v>31974</v>
      </c>
      <c r="R14149" s="26" t="str">
        <f>HYPERLINK("https://ictv.global/taxonomy/taxondetails?taxnode_id=202302059","Sapelovirus besimi")</f>
        <v>Sapelovirus besimi</v>
      </c>
      <c r="S14149" t="s">
        <v>8141</v>
      </c>
      <c r="T14149" t="s">
        <v>31985</v>
      </c>
      <c r="U14149" t="s">
        <v>31986</v>
      </c>
      <c r="V14149" t="s">
        <v>31987</v>
      </c>
      <c r="W14149" t="s">
        <v>50036</v>
      </c>
      <c r="X14149" t="s">
        <v>42</v>
      </c>
      <c r="Y14149" t="s">
        <v>17171</v>
      </c>
      <c r="Z14149" t="s">
        <v>166</v>
      </c>
      <c r="AA14149" s="22" t="str">
        <f>HYPERLINK("https://www.ncbi.nlm.nih.gov/nuccore/JX627573","NCBI Nucleotide")</f>
        <v>NCBI Nucleotide</v>
      </c>
    </row>
    <row r="14150" spans="1:27" x14ac:dyDescent="0.35">
      <c r="A14150">
        <v>1002195</v>
      </c>
      <c r="B14150">
        <v>12802</v>
      </c>
      <c r="C14150">
        <v>1</v>
      </c>
      <c r="D14150" t="s">
        <v>17166</v>
      </c>
      <c r="F14150" t="s">
        <v>17246</v>
      </c>
      <c r="H14150" t="s">
        <v>28921</v>
      </c>
      <c r="J14150" t="s">
        <v>29538</v>
      </c>
      <c r="L14150" t="s">
        <v>30198</v>
      </c>
      <c r="N14150" t="s">
        <v>30487</v>
      </c>
      <c r="O14150" t="s">
        <v>31988</v>
      </c>
      <c r="P14150" t="s">
        <v>31989</v>
      </c>
      <c r="R14150" s="26" t="str">
        <f>HYPERLINK("https://ictv.global/taxonomy/taxondetails?taxnode_id=202308772","Caecilivirus banna")</f>
        <v>Caecilivirus banna</v>
      </c>
      <c r="S14150" t="s">
        <v>30</v>
      </c>
      <c r="T14150" t="s">
        <v>31990</v>
      </c>
      <c r="U14150" t="s">
        <v>31991</v>
      </c>
      <c r="V14150" t="s">
        <v>31992</v>
      </c>
      <c r="W14150" t="s">
        <v>31993</v>
      </c>
      <c r="X14150" t="s">
        <v>42</v>
      </c>
      <c r="Y14150" t="s">
        <v>17171</v>
      </c>
      <c r="Z14150" t="s">
        <v>166</v>
      </c>
      <c r="AA14150" s="22" t="str">
        <f>HYPERLINK("https://www.ncbi.nlm.nih.gov/nuccore/MG600103","NCBI Nucleotide")</f>
        <v>NCBI Nucleotide</v>
      </c>
    </row>
    <row r="14151" spans="1:27" x14ac:dyDescent="0.35">
      <c r="A14151">
        <v>1002196</v>
      </c>
      <c r="B14151">
        <v>12803</v>
      </c>
      <c r="C14151">
        <v>1</v>
      </c>
      <c r="D14151" t="s">
        <v>17166</v>
      </c>
      <c r="F14151" t="s">
        <v>17246</v>
      </c>
      <c r="H14151" t="s">
        <v>28921</v>
      </c>
      <c r="J14151" t="s">
        <v>29538</v>
      </c>
      <c r="L14151" t="s">
        <v>30198</v>
      </c>
      <c r="N14151" t="s">
        <v>30487</v>
      </c>
      <c r="O14151" t="s">
        <v>31988</v>
      </c>
      <c r="P14151" t="s">
        <v>31994</v>
      </c>
      <c r="R14151" s="26" t="str">
        <f>HYPERLINK("https://ictv.global/taxonomy/taxondetails?taxnode_id=202307132","Crahelivirus agapo")</f>
        <v>Crahelivirus agapo</v>
      </c>
      <c r="S14151" t="s">
        <v>30</v>
      </c>
      <c r="T14151" t="s">
        <v>31995</v>
      </c>
      <c r="U14151" t="s">
        <v>31996</v>
      </c>
      <c r="V14151" t="s">
        <v>31997</v>
      </c>
      <c r="W14151" t="s">
        <v>31998</v>
      </c>
      <c r="X14151" t="s">
        <v>42</v>
      </c>
      <c r="Y14151" t="s">
        <v>17171</v>
      </c>
      <c r="Z14151" t="s">
        <v>166</v>
      </c>
      <c r="AA14151" s="22" t="str">
        <f>HYPERLINK("https://www.ncbi.nlm.nih.gov/nuccore/KY312540","NCBI Nucleotide")</f>
        <v>NCBI Nucleotide</v>
      </c>
    </row>
    <row r="14152" spans="1:27" x14ac:dyDescent="0.35">
      <c r="A14152">
        <v>1002197</v>
      </c>
      <c r="B14152">
        <v>12804</v>
      </c>
      <c r="C14152">
        <v>1</v>
      </c>
      <c r="D14152" t="s">
        <v>17166</v>
      </c>
      <c r="F14152" t="s">
        <v>17246</v>
      </c>
      <c r="H14152" t="s">
        <v>28921</v>
      </c>
      <c r="J14152" t="s">
        <v>29538</v>
      </c>
      <c r="L14152" t="s">
        <v>30198</v>
      </c>
      <c r="N14152" t="s">
        <v>30487</v>
      </c>
      <c r="O14152" t="s">
        <v>31988</v>
      </c>
      <c r="P14152" t="s">
        <v>31999</v>
      </c>
      <c r="R14152" s="26" t="str">
        <f>HYPERLINK("https://ictv.global/taxonomy/taxondetails?taxnode_id=202307267","Fipivirus acarpi")</f>
        <v>Fipivirus acarpi</v>
      </c>
      <c r="S14152" t="s">
        <v>30</v>
      </c>
      <c r="T14152" t="s">
        <v>32000</v>
      </c>
      <c r="U14152" t="s">
        <v>32001</v>
      </c>
      <c r="V14152" t="s">
        <v>32002</v>
      </c>
      <c r="W14152" t="s">
        <v>32003</v>
      </c>
      <c r="X14152" t="s">
        <v>42</v>
      </c>
      <c r="Y14152" t="s">
        <v>17171</v>
      </c>
      <c r="Z14152" t="s">
        <v>166</v>
      </c>
      <c r="AA14152" s="22" t="str">
        <f>HYPERLINK("https://www.ncbi.nlm.nih.gov/nuccore/MG600068","NCBI Nucleotide")</f>
        <v>NCBI Nucleotide</v>
      </c>
    </row>
    <row r="14153" spans="1:27" x14ac:dyDescent="0.35">
      <c r="A14153">
        <v>1002198</v>
      </c>
      <c r="B14153">
        <v>12805</v>
      </c>
      <c r="C14153">
        <v>1</v>
      </c>
      <c r="D14153" t="s">
        <v>17166</v>
      </c>
      <c r="F14153" t="s">
        <v>17246</v>
      </c>
      <c r="H14153" t="s">
        <v>28921</v>
      </c>
      <c r="J14153" t="s">
        <v>29538</v>
      </c>
      <c r="L14153" t="s">
        <v>30198</v>
      </c>
      <c r="N14153" t="s">
        <v>30487</v>
      </c>
      <c r="O14153" t="s">
        <v>31988</v>
      </c>
      <c r="P14153" t="s">
        <v>31999</v>
      </c>
      <c r="R14153" s="26" t="str">
        <f>HYPERLINK("https://ictv.global/taxonomy/taxondetails?taxnode_id=202307268","Fipivirus besharpi")</f>
        <v>Fipivirus besharpi</v>
      </c>
      <c r="S14153" t="s">
        <v>30</v>
      </c>
      <c r="T14153" t="s">
        <v>32004</v>
      </c>
      <c r="U14153" t="s">
        <v>32005</v>
      </c>
      <c r="V14153" t="s">
        <v>32006</v>
      </c>
      <c r="W14153" t="s">
        <v>32007</v>
      </c>
      <c r="X14153" t="s">
        <v>42</v>
      </c>
      <c r="Y14153" t="s">
        <v>17171</v>
      </c>
      <c r="Z14153" t="s">
        <v>166</v>
      </c>
      <c r="AA14153" s="22" t="str">
        <f>HYPERLINK("https://www.ncbi.nlm.nih.gov/nuccore/MG600069","NCBI Nucleotide")</f>
        <v>NCBI Nucleotide</v>
      </c>
    </row>
    <row r="14154" spans="1:27" x14ac:dyDescent="0.35">
      <c r="A14154">
        <v>1002199</v>
      </c>
      <c r="B14154">
        <v>12806</v>
      </c>
      <c r="C14154">
        <v>1</v>
      </c>
      <c r="D14154" t="s">
        <v>17166</v>
      </c>
      <c r="F14154" t="s">
        <v>17246</v>
      </c>
      <c r="H14154" t="s">
        <v>28921</v>
      </c>
      <c r="J14154" t="s">
        <v>29538</v>
      </c>
      <c r="L14154" t="s">
        <v>30198</v>
      </c>
      <c r="N14154" t="s">
        <v>30487</v>
      </c>
      <c r="O14154" t="s">
        <v>31988</v>
      </c>
      <c r="P14154" t="s">
        <v>31999</v>
      </c>
      <c r="R14154" s="26" t="str">
        <f>HYPERLINK("https://ictv.global/taxonomy/taxondetails?taxnode_id=202307269","Fipivirus crosso")</f>
        <v>Fipivirus crosso</v>
      </c>
      <c r="S14154" t="s">
        <v>30</v>
      </c>
      <c r="T14154" t="s">
        <v>32008</v>
      </c>
      <c r="U14154" t="s">
        <v>32009</v>
      </c>
      <c r="V14154" t="s">
        <v>32010</v>
      </c>
      <c r="W14154" t="s">
        <v>32011</v>
      </c>
      <c r="X14154" t="s">
        <v>42</v>
      </c>
      <c r="Y14154" t="s">
        <v>17171</v>
      </c>
      <c r="Z14154" t="s">
        <v>166</v>
      </c>
      <c r="AA14154" s="22" t="str">
        <f>HYPERLINK("https://www.ncbi.nlm.nih.gov/nuccore/MG600095","NCBI Nucleotide")</f>
        <v>NCBI Nucleotide</v>
      </c>
    </row>
    <row r="14155" spans="1:27" x14ac:dyDescent="0.35">
      <c r="A14155">
        <v>1002200</v>
      </c>
      <c r="B14155">
        <v>12807</v>
      </c>
      <c r="C14155">
        <v>1</v>
      </c>
      <c r="D14155" t="s">
        <v>17166</v>
      </c>
      <c r="F14155" t="s">
        <v>17246</v>
      </c>
      <c r="H14155" t="s">
        <v>28921</v>
      </c>
      <c r="J14155" t="s">
        <v>29538</v>
      </c>
      <c r="L14155" t="s">
        <v>30198</v>
      </c>
      <c r="N14155" t="s">
        <v>30487</v>
      </c>
      <c r="O14155" t="s">
        <v>31988</v>
      </c>
      <c r="P14155" t="s">
        <v>31999</v>
      </c>
      <c r="R14155" s="26" t="str">
        <f>HYPERLINK("https://ictv.global/taxonomy/taxondetails?taxnode_id=202307270","Fipivirus demackeri")</f>
        <v>Fipivirus demackeri</v>
      </c>
      <c r="S14155" t="s">
        <v>30</v>
      </c>
      <c r="T14155" t="s">
        <v>32012</v>
      </c>
      <c r="U14155" t="s">
        <v>32013</v>
      </c>
      <c r="V14155" t="s">
        <v>32014</v>
      </c>
      <c r="W14155" t="s">
        <v>32015</v>
      </c>
      <c r="X14155" t="s">
        <v>42</v>
      </c>
      <c r="Y14155" t="s">
        <v>17171</v>
      </c>
      <c r="Z14155" t="s">
        <v>166</v>
      </c>
      <c r="AA14155" s="22" t="str">
        <f>HYPERLINK("https://www.ncbi.nlm.nih.gov/nuccore/MG600075","NCBI Nucleotide")</f>
        <v>NCBI Nucleotide</v>
      </c>
    </row>
    <row r="14156" spans="1:27" x14ac:dyDescent="0.35">
      <c r="A14156">
        <v>1002201</v>
      </c>
      <c r="B14156">
        <v>12808</v>
      </c>
      <c r="C14156">
        <v>1</v>
      </c>
      <c r="D14156" t="s">
        <v>17166</v>
      </c>
      <c r="F14156" t="s">
        <v>17246</v>
      </c>
      <c r="H14156" t="s">
        <v>28921</v>
      </c>
      <c r="J14156" t="s">
        <v>29538</v>
      </c>
      <c r="L14156" t="s">
        <v>30198</v>
      </c>
      <c r="N14156" t="s">
        <v>30487</v>
      </c>
      <c r="O14156" t="s">
        <v>31988</v>
      </c>
      <c r="P14156" t="s">
        <v>31999</v>
      </c>
      <c r="R14156" s="26" t="str">
        <f>HYPERLINK("https://ictv.global/taxonomy/taxondetails?taxnode_id=202307271","Fipivirus ebanjoi")</f>
        <v>Fipivirus ebanjoi</v>
      </c>
      <c r="S14156" t="s">
        <v>30</v>
      </c>
      <c r="T14156" t="s">
        <v>32016</v>
      </c>
      <c r="U14156" t="s">
        <v>32017</v>
      </c>
      <c r="V14156" t="s">
        <v>32018</v>
      </c>
      <c r="W14156" t="s">
        <v>32019</v>
      </c>
      <c r="X14156" t="s">
        <v>42</v>
      </c>
      <c r="Y14156" t="s">
        <v>17171</v>
      </c>
      <c r="Z14156" t="s">
        <v>166</v>
      </c>
      <c r="AA14156" s="22" t="str">
        <f>HYPERLINK("https://www.ncbi.nlm.nih.gov/nuccore/MG600070","NCBI Nucleotide")</f>
        <v>NCBI Nucleotide</v>
      </c>
    </row>
    <row r="14157" spans="1:27" x14ac:dyDescent="0.35">
      <c r="A14157">
        <v>1002202</v>
      </c>
      <c r="B14157">
        <v>12809</v>
      </c>
      <c r="C14157">
        <v>1</v>
      </c>
      <c r="D14157" t="s">
        <v>17166</v>
      </c>
      <c r="F14157" t="s">
        <v>17246</v>
      </c>
      <c r="H14157" t="s">
        <v>28921</v>
      </c>
      <c r="J14157" t="s">
        <v>29538</v>
      </c>
      <c r="L14157" t="s">
        <v>30198</v>
      </c>
      <c r="N14157" t="s">
        <v>30487</v>
      </c>
      <c r="O14157" t="s">
        <v>31988</v>
      </c>
      <c r="P14157" t="s">
        <v>31999</v>
      </c>
      <c r="R14157" s="26" t="str">
        <f>HYPERLINK("https://ictv.global/taxonomy/taxondetails?taxnode_id=202308844","Fipivirus fiperchi")</f>
        <v>Fipivirus fiperchi</v>
      </c>
      <c r="S14157" t="s">
        <v>30</v>
      </c>
      <c r="T14157" t="s">
        <v>32020</v>
      </c>
      <c r="U14157" t="s">
        <v>32021</v>
      </c>
      <c r="V14157" t="s">
        <v>32022</v>
      </c>
      <c r="W14157" t="s">
        <v>32023</v>
      </c>
      <c r="X14157" t="s">
        <v>42</v>
      </c>
      <c r="Y14157" t="s">
        <v>17171</v>
      </c>
      <c r="Z14157" t="s">
        <v>166</v>
      </c>
      <c r="AA14157" s="22" t="str">
        <f>HYPERLINK("https://www.ncbi.nlm.nih.gov/nuccore/MG600074","NCBI Nucleotide")</f>
        <v>NCBI Nucleotide</v>
      </c>
    </row>
    <row r="14158" spans="1:27" x14ac:dyDescent="0.35">
      <c r="A14158">
        <v>1002203</v>
      </c>
      <c r="B14158">
        <v>12810</v>
      </c>
      <c r="C14158">
        <v>1</v>
      </c>
      <c r="D14158" t="s">
        <v>17166</v>
      </c>
      <c r="F14158" t="s">
        <v>17246</v>
      </c>
      <c r="H14158" t="s">
        <v>28921</v>
      </c>
      <c r="J14158" t="s">
        <v>29538</v>
      </c>
      <c r="L14158" t="s">
        <v>30198</v>
      </c>
      <c r="N14158" t="s">
        <v>30487</v>
      </c>
      <c r="O14158" t="s">
        <v>31988</v>
      </c>
      <c r="P14158" t="s">
        <v>32024</v>
      </c>
      <c r="R14158" s="26" t="str">
        <f>HYPERLINK("https://ictv.global/taxonomy/taxondetails?taxnode_id=202307134","Gruhelivirus agrusa")</f>
        <v>Gruhelivirus agrusa</v>
      </c>
      <c r="S14158" t="s">
        <v>30</v>
      </c>
      <c r="T14158" t="s">
        <v>32025</v>
      </c>
      <c r="U14158" t="s">
        <v>32026</v>
      </c>
      <c r="V14158" t="s">
        <v>32027</v>
      </c>
      <c r="W14158" t="s">
        <v>32028</v>
      </c>
      <c r="X14158" t="s">
        <v>42</v>
      </c>
      <c r="Y14158" t="s">
        <v>17171</v>
      </c>
      <c r="Z14158" t="s">
        <v>166</v>
      </c>
      <c r="AA14158" s="22" t="str">
        <f>HYPERLINK("https://www.ncbi.nlm.nih.gov/nuccore/KY312541","NCBI Nucleotide")</f>
        <v>NCBI Nucleotide</v>
      </c>
    </row>
    <row r="14159" spans="1:27" x14ac:dyDescent="0.35">
      <c r="A14159">
        <v>1002204</v>
      </c>
      <c r="B14159">
        <v>12811</v>
      </c>
      <c r="C14159">
        <v>1</v>
      </c>
      <c r="D14159" t="s">
        <v>17166</v>
      </c>
      <c r="F14159" t="s">
        <v>17246</v>
      </c>
      <c r="H14159" t="s">
        <v>28921</v>
      </c>
      <c r="J14159" t="s">
        <v>29538</v>
      </c>
      <c r="L14159" t="s">
        <v>30198</v>
      </c>
      <c r="N14159" t="s">
        <v>30487</v>
      </c>
      <c r="O14159" t="s">
        <v>31988</v>
      </c>
      <c r="P14159" t="s">
        <v>32029</v>
      </c>
      <c r="R14159" s="26" t="str">
        <f>HYPERLINK("https://ictv.global/taxonomy/taxondetails?taxnode_id=202302003","Hepatovirus ahepa")</f>
        <v>Hepatovirus ahepa</v>
      </c>
      <c r="S14159" t="s">
        <v>30</v>
      </c>
      <c r="T14159" t="s">
        <v>32030</v>
      </c>
      <c r="U14159" t="s">
        <v>32031</v>
      </c>
      <c r="V14159" t="s">
        <v>32032</v>
      </c>
      <c r="W14159" t="s">
        <v>32033</v>
      </c>
      <c r="X14159" t="s">
        <v>42</v>
      </c>
      <c r="Y14159" t="s">
        <v>17171</v>
      </c>
      <c r="Z14159" t="s">
        <v>166</v>
      </c>
      <c r="AA14159" s="22" t="str">
        <f>HYPERLINK("https://www.ncbi.nlm.nih.gov/nuccore/M14707","NCBI Nucleotide")</f>
        <v>NCBI Nucleotide</v>
      </c>
    </row>
    <row r="14160" spans="1:27" x14ac:dyDescent="0.35">
      <c r="A14160">
        <v>1002205</v>
      </c>
      <c r="B14160">
        <v>12812</v>
      </c>
      <c r="C14160">
        <v>1</v>
      </c>
      <c r="D14160" t="s">
        <v>17166</v>
      </c>
      <c r="F14160" t="s">
        <v>17246</v>
      </c>
      <c r="H14160" t="s">
        <v>28921</v>
      </c>
      <c r="J14160" t="s">
        <v>29538</v>
      </c>
      <c r="L14160" t="s">
        <v>30198</v>
      </c>
      <c r="N14160" t="s">
        <v>30487</v>
      </c>
      <c r="O14160" t="s">
        <v>31988</v>
      </c>
      <c r="P14160" t="s">
        <v>32029</v>
      </c>
      <c r="R14160" s="26" t="str">
        <f>HYPERLINK("https://ictv.global/taxonomy/taxondetails?taxnode_id=202302004","Hepatovirus bephopi")</f>
        <v>Hepatovirus bephopi</v>
      </c>
      <c r="S14160" t="s">
        <v>30</v>
      </c>
      <c r="T14160" t="s">
        <v>32034</v>
      </c>
      <c r="U14160" t="s">
        <v>32035</v>
      </c>
      <c r="V14160" t="s">
        <v>32036</v>
      </c>
      <c r="W14160" t="s">
        <v>32037</v>
      </c>
      <c r="X14160" t="s">
        <v>42</v>
      </c>
      <c r="Y14160" t="s">
        <v>17171</v>
      </c>
      <c r="Z14160" t="s">
        <v>166</v>
      </c>
      <c r="AA14160" s="22" t="str">
        <f>HYPERLINK("https://www.ncbi.nlm.nih.gov/nuccore/KR703607","NCBI Nucleotide")</f>
        <v>NCBI Nucleotide</v>
      </c>
    </row>
    <row r="14161" spans="1:27" x14ac:dyDescent="0.35">
      <c r="A14161">
        <v>1002206</v>
      </c>
      <c r="B14161">
        <v>12813</v>
      </c>
      <c r="C14161">
        <v>1</v>
      </c>
      <c r="D14161" t="s">
        <v>17166</v>
      </c>
      <c r="F14161" t="s">
        <v>17246</v>
      </c>
      <c r="H14161" t="s">
        <v>28921</v>
      </c>
      <c r="J14161" t="s">
        <v>29538</v>
      </c>
      <c r="L14161" t="s">
        <v>30198</v>
      </c>
      <c r="N14161" t="s">
        <v>30487</v>
      </c>
      <c r="O14161" t="s">
        <v>31988</v>
      </c>
      <c r="P14161" t="s">
        <v>32029</v>
      </c>
      <c r="R14161" s="26" t="str">
        <f>HYPERLINK("https://ictv.global/taxonomy/taxondetails?taxnode_id=202302005","Hepatovirus cemanavi")</f>
        <v>Hepatovirus cemanavi</v>
      </c>
      <c r="S14161" t="s">
        <v>30</v>
      </c>
      <c r="T14161" t="s">
        <v>32038</v>
      </c>
      <c r="U14161" t="s">
        <v>32039</v>
      </c>
      <c r="V14161" t="s">
        <v>32040</v>
      </c>
      <c r="W14161" t="s">
        <v>32041</v>
      </c>
      <c r="X14161" t="s">
        <v>42</v>
      </c>
      <c r="Y14161" t="s">
        <v>17171</v>
      </c>
      <c r="Z14161" t="s">
        <v>166</v>
      </c>
      <c r="AA14161" s="22" t="str">
        <f>HYPERLINK("https://www.ncbi.nlm.nih.gov/nuccore/KT452742","NCBI Nucleotide")</f>
        <v>NCBI Nucleotide</v>
      </c>
    </row>
    <row r="14162" spans="1:27" x14ac:dyDescent="0.35">
      <c r="A14162">
        <v>1002207</v>
      </c>
      <c r="B14162">
        <v>12814</v>
      </c>
      <c r="C14162">
        <v>1</v>
      </c>
      <c r="D14162" t="s">
        <v>17166</v>
      </c>
      <c r="F14162" t="s">
        <v>17246</v>
      </c>
      <c r="H14162" t="s">
        <v>28921</v>
      </c>
      <c r="J14162" t="s">
        <v>29538</v>
      </c>
      <c r="L14162" t="s">
        <v>30198</v>
      </c>
      <c r="N14162" t="s">
        <v>30487</v>
      </c>
      <c r="O14162" t="s">
        <v>31988</v>
      </c>
      <c r="P14162" t="s">
        <v>32029</v>
      </c>
      <c r="R14162" s="26" t="str">
        <f>HYPERLINK("https://ictv.global/taxonomy/taxondetails?taxnode_id=202302006","Hepatovirus devoli")</f>
        <v>Hepatovirus devoli</v>
      </c>
      <c r="S14162" t="s">
        <v>30</v>
      </c>
      <c r="T14162" t="s">
        <v>32042</v>
      </c>
      <c r="U14162" t="s">
        <v>32043</v>
      </c>
      <c r="V14162" t="s">
        <v>32044</v>
      </c>
      <c r="W14162" t="s">
        <v>32045</v>
      </c>
      <c r="X14162" t="s">
        <v>42</v>
      </c>
      <c r="Y14162" t="s">
        <v>17171</v>
      </c>
      <c r="Z14162" t="s">
        <v>166</v>
      </c>
      <c r="AA14162" s="22" t="str">
        <f>HYPERLINK("https://www.ncbi.nlm.nih.gov/nuccore/KT452637","NCBI Nucleotide")</f>
        <v>NCBI Nucleotide</v>
      </c>
    </row>
    <row r="14163" spans="1:27" x14ac:dyDescent="0.35">
      <c r="A14163">
        <v>1011842</v>
      </c>
      <c r="B14163">
        <v>12814</v>
      </c>
      <c r="C14163">
        <v>2</v>
      </c>
      <c r="D14163" t="s">
        <v>17166</v>
      </c>
      <c r="F14163" t="s">
        <v>17246</v>
      </c>
      <c r="H14163" t="s">
        <v>28921</v>
      </c>
      <c r="J14163" t="s">
        <v>29538</v>
      </c>
      <c r="L14163" t="s">
        <v>30198</v>
      </c>
      <c r="N14163" t="s">
        <v>30487</v>
      </c>
      <c r="O14163" t="s">
        <v>31988</v>
      </c>
      <c r="P14163" t="s">
        <v>32029</v>
      </c>
      <c r="R14163" s="26" t="str">
        <f>HYPERLINK("https://ictv.global/taxonomy/taxondetails?taxnode_id=202302006","Hepatovirus devoli")</f>
        <v>Hepatovirus devoli</v>
      </c>
      <c r="S14163" t="s">
        <v>8141</v>
      </c>
      <c r="T14163" t="s">
        <v>32046</v>
      </c>
      <c r="U14163" t="s">
        <v>32047</v>
      </c>
      <c r="V14163" t="s">
        <v>32048</v>
      </c>
      <c r="W14163" t="s">
        <v>50037</v>
      </c>
      <c r="X14163" t="s">
        <v>42</v>
      </c>
      <c r="Y14163" t="s">
        <v>17171</v>
      </c>
      <c r="Z14163" t="s">
        <v>166</v>
      </c>
      <c r="AA14163" s="22" t="str">
        <f>HYPERLINK("https://www.ncbi.nlm.nih.gov/nuccore/KT452644","NCBI Nucleotide")</f>
        <v>NCBI Nucleotide</v>
      </c>
    </row>
    <row r="14164" spans="1:27" x14ac:dyDescent="0.35">
      <c r="A14164">
        <v>1002208</v>
      </c>
      <c r="B14164">
        <v>12815</v>
      </c>
      <c r="C14164">
        <v>1</v>
      </c>
      <c r="D14164" t="s">
        <v>17166</v>
      </c>
      <c r="F14164" t="s">
        <v>17246</v>
      </c>
      <c r="H14164" t="s">
        <v>28921</v>
      </c>
      <c r="J14164" t="s">
        <v>29538</v>
      </c>
      <c r="L14164" t="s">
        <v>30198</v>
      </c>
      <c r="N14164" t="s">
        <v>30487</v>
      </c>
      <c r="O14164" t="s">
        <v>31988</v>
      </c>
      <c r="P14164" t="s">
        <v>32029</v>
      </c>
      <c r="R14164" s="26" t="str">
        <f>HYPERLINK("https://ictv.global/taxonomy/taxondetails?taxnode_id=202302007","Hepatovirus erubebrufu")</f>
        <v>Hepatovirus erubebrufu</v>
      </c>
      <c r="S14164" t="s">
        <v>30</v>
      </c>
      <c r="T14164" t="s">
        <v>32049</v>
      </c>
      <c r="U14164" t="s">
        <v>32050</v>
      </c>
      <c r="V14164" t="s">
        <v>32051</v>
      </c>
      <c r="W14164" t="s">
        <v>32052</v>
      </c>
      <c r="X14164" t="s">
        <v>42</v>
      </c>
      <c r="Y14164" t="s">
        <v>17171</v>
      </c>
      <c r="Z14164" t="s">
        <v>166</v>
      </c>
      <c r="AA14164" s="22" t="str">
        <f>HYPERLINK("https://www.ncbi.nlm.nih.gov/nuccore/KT452735","NCBI Nucleotide")</f>
        <v>NCBI Nucleotide</v>
      </c>
    </row>
    <row r="14165" spans="1:27" x14ac:dyDescent="0.35">
      <c r="A14165">
        <v>1002209</v>
      </c>
      <c r="B14165">
        <v>12816</v>
      </c>
      <c r="C14165">
        <v>1</v>
      </c>
      <c r="D14165" t="s">
        <v>17166</v>
      </c>
      <c r="F14165" t="s">
        <v>17246</v>
      </c>
      <c r="H14165" t="s">
        <v>28921</v>
      </c>
      <c r="J14165" t="s">
        <v>29538</v>
      </c>
      <c r="L14165" t="s">
        <v>30198</v>
      </c>
      <c r="N14165" t="s">
        <v>30487</v>
      </c>
      <c r="O14165" t="s">
        <v>31988</v>
      </c>
      <c r="P14165" t="s">
        <v>32029</v>
      </c>
      <c r="R14165" s="26" t="str">
        <f>HYPERLINK("https://ictv.global/taxonomy/taxondetails?taxnode_id=202302008","Hepatovirus fejalco")</f>
        <v>Hepatovirus fejalco</v>
      </c>
      <c r="S14165" t="s">
        <v>30</v>
      </c>
      <c r="T14165" t="s">
        <v>32053</v>
      </c>
      <c r="U14165" t="s">
        <v>32054</v>
      </c>
      <c r="V14165" t="s">
        <v>32055</v>
      </c>
      <c r="W14165" t="s">
        <v>32056</v>
      </c>
      <c r="X14165" t="s">
        <v>42</v>
      </c>
      <c r="Y14165" t="s">
        <v>17171</v>
      </c>
      <c r="Z14165" t="s">
        <v>166</v>
      </c>
      <c r="AA14165" s="22" t="str">
        <f>HYPERLINK("https://www.ncbi.nlm.nih.gov/nuccore/KT452685","NCBI Nucleotide")</f>
        <v>NCBI Nucleotide</v>
      </c>
    </row>
    <row r="14166" spans="1:27" x14ac:dyDescent="0.35">
      <c r="A14166">
        <v>1011843</v>
      </c>
      <c r="B14166">
        <v>12816</v>
      </c>
      <c r="C14166">
        <v>2</v>
      </c>
      <c r="D14166" t="s">
        <v>17166</v>
      </c>
      <c r="F14166" t="s">
        <v>17246</v>
      </c>
      <c r="H14166" t="s">
        <v>28921</v>
      </c>
      <c r="J14166" t="s">
        <v>29538</v>
      </c>
      <c r="L14166" t="s">
        <v>30198</v>
      </c>
      <c r="N14166" t="s">
        <v>30487</v>
      </c>
      <c r="O14166" t="s">
        <v>31988</v>
      </c>
      <c r="P14166" t="s">
        <v>32029</v>
      </c>
      <c r="R14166" s="26" t="str">
        <f>HYPERLINK("https://ictv.global/taxonomy/taxondetails?taxnode_id=202302008","Hepatovirus fejalco")</f>
        <v>Hepatovirus fejalco</v>
      </c>
      <c r="S14166" t="s">
        <v>8141</v>
      </c>
      <c r="T14166" t="s">
        <v>32057</v>
      </c>
      <c r="U14166" t="s">
        <v>32058</v>
      </c>
      <c r="V14166" t="s">
        <v>32059</v>
      </c>
      <c r="W14166" t="s">
        <v>50038</v>
      </c>
      <c r="X14166" t="s">
        <v>42</v>
      </c>
      <c r="Y14166" t="s">
        <v>17171</v>
      </c>
      <c r="Z14166" t="s">
        <v>166</v>
      </c>
      <c r="AA14166" s="22" t="str">
        <f>HYPERLINK("https://www.ncbi.nlm.nih.gov/nuccore/KT229611","NCBI Nucleotide")</f>
        <v>NCBI Nucleotide</v>
      </c>
    </row>
    <row r="14167" spans="1:27" x14ac:dyDescent="0.35">
      <c r="A14167">
        <v>1002210</v>
      </c>
      <c r="B14167">
        <v>12817</v>
      </c>
      <c r="C14167">
        <v>1</v>
      </c>
      <c r="D14167" t="s">
        <v>17166</v>
      </c>
      <c r="F14167" t="s">
        <v>17246</v>
      </c>
      <c r="H14167" t="s">
        <v>28921</v>
      </c>
      <c r="J14167" t="s">
        <v>29538</v>
      </c>
      <c r="L14167" t="s">
        <v>30198</v>
      </c>
      <c r="N14167" t="s">
        <v>30487</v>
      </c>
      <c r="O14167" t="s">
        <v>31988</v>
      </c>
      <c r="P14167" t="s">
        <v>32029</v>
      </c>
      <c r="R14167" s="26" t="str">
        <f>HYPERLINK("https://ictv.global/taxonomy/taxondetails?taxnode_id=202302009","Hepatovirus gafrisheta")</f>
        <v>Hepatovirus gafrisheta</v>
      </c>
      <c r="S14167" t="s">
        <v>30</v>
      </c>
      <c r="T14167" t="s">
        <v>32060</v>
      </c>
      <c r="U14167" t="s">
        <v>32061</v>
      </c>
      <c r="V14167" t="s">
        <v>32062</v>
      </c>
      <c r="W14167" t="s">
        <v>32063</v>
      </c>
      <c r="X14167" t="s">
        <v>42</v>
      </c>
      <c r="Y14167" t="s">
        <v>17171</v>
      </c>
      <c r="Z14167" t="s">
        <v>166</v>
      </c>
      <c r="AA14167" s="22" t="str">
        <f>HYPERLINK("https://www.ncbi.nlm.nih.gov/nuccore/KT452730","NCBI Nucleotide")</f>
        <v>NCBI Nucleotide</v>
      </c>
    </row>
    <row r="14168" spans="1:27" x14ac:dyDescent="0.35">
      <c r="A14168">
        <v>1011844</v>
      </c>
      <c r="B14168">
        <v>12817</v>
      </c>
      <c r="C14168">
        <v>2</v>
      </c>
      <c r="D14168" t="s">
        <v>17166</v>
      </c>
      <c r="F14168" t="s">
        <v>17246</v>
      </c>
      <c r="H14168" t="s">
        <v>28921</v>
      </c>
      <c r="J14168" t="s">
        <v>29538</v>
      </c>
      <c r="L14168" t="s">
        <v>30198</v>
      </c>
      <c r="N14168" t="s">
        <v>30487</v>
      </c>
      <c r="O14168" t="s">
        <v>31988</v>
      </c>
      <c r="P14168" t="s">
        <v>32029</v>
      </c>
      <c r="R14168" s="26" t="str">
        <f>HYPERLINK("https://ictv.global/taxonomy/taxondetails?taxnode_id=202302009","Hepatovirus gafrisheta")</f>
        <v>Hepatovirus gafrisheta</v>
      </c>
      <c r="S14168" t="s">
        <v>8141</v>
      </c>
      <c r="T14168" t="s">
        <v>32064</v>
      </c>
      <c r="U14168" t="s">
        <v>32065</v>
      </c>
      <c r="V14168" t="s">
        <v>32066</v>
      </c>
      <c r="W14168" t="s">
        <v>50039</v>
      </c>
      <c r="X14168" t="s">
        <v>42</v>
      </c>
      <c r="Y14168" t="s">
        <v>17171</v>
      </c>
      <c r="Z14168" t="s">
        <v>166</v>
      </c>
      <c r="AA14168" s="22" t="str">
        <f>HYPERLINK("https://www.ncbi.nlm.nih.gov/nuccore/KT452729","NCBI Nucleotide")</f>
        <v>NCBI Nucleotide</v>
      </c>
    </row>
    <row r="14169" spans="1:27" x14ac:dyDescent="0.35">
      <c r="A14169">
        <v>1002211</v>
      </c>
      <c r="B14169">
        <v>12818</v>
      </c>
      <c r="C14169">
        <v>1</v>
      </c>
      <c r="D14169" t="s">
        <v>17166</v>
      </c>
      <c r="F14169" t="s">
        <v>17246</v>
      </c>
      <c r="H14169" t="s">
        <v>28921</v>
      </c>
      <c r="J14169" t="s">
        <v>29538</v>
      </c>
      <c r="L14169" t="s">
        <v>30198</v>
      </c>
      <c r="N14169" t="s">
        <v>30487</v>
      </c>
      <c r="O14169" t="s">
        <v>31988</v>
      </c>
      <c r="P14169" t="s">
        <v>32029</v>
      </c>
      <c r="R14169" s="26" t="str">
        <f>HYPERLINK("https://ictv.global/taxonomy/taxondetails?taxnode_id=202302010","Hepatovirus hedgi")</f>
        <v>Hepatovirus hedgi</v>
      </c>
      <c r="S14169" t="s">
        <v>30</v>
      </c>
      <c r="T14169" t="s">
        <v>32067</v>
      </c>
      <c r="U14169" t="s">
        <v>32068</v>
      </c>
      <c r="V14169" t="s">
        <v>32069</v>
      </c>
      <c r="W14169" t="s">
        <v>32070</v>
      </c>
      <c r="X14169" t="s">
        <v>42</v>
      </c>
      <c r="Y14169" t="s">
        <v>17171</v>
      </c>
      <c r="Z14169" t="s">
        <v>166</v>
      </c>
      <c r="AA14169" s="22" t="str">
        <f>HYPERLINK("https://www.ncbi.nlm.nih.gov/nuccore/KT452691","NCBI Nucleotide")</f>
        <v>NCBI Nucleotide</v>
      </c>
    </row>
    <row r="14170" spans="1:27" x14ac:dyDescent="0.35">
      <c r="A14170">
        <v>1011845</v>
      </c>
      <c r="B14170">
        <v>12818</v>
      </c>
      <c r="C14170">
        <v>2</v>
      </c>
      <c r="D14170" t="s">
        <v>17166</v>
      </c>
      <c r="F14170" t="s">
        <v>17246</v>
      </c>
      <c r="H14170" t="s">
        <v>28921</v>
      </c>
      <c r="J14170" t="s">
        <v>29538</v>
      </c>
      <c r="L14170" t="s">
        <v>30198</v>
      </c>
      <c r="N14170" t="s">
        <v>30487</v>
      </c>
      <c r="O14170" t="s">
        <v>31988</v>
      </c>
      <c r="P14170" t="s">
        <v>32029</v>
      </c>
      <c r="R14170" s="26" t="str">
        <f>HYPERLINK("https://ictv.global/taxonomy/taxondetails?taxnode_id=202302010","Hepatovirus hedgi")</f>
        <v>Hepatovirus hedgi</v>
      </c>
      <c r="S14170" t="s">
        <v>8141</v>
      </c>
      <c r="T14170" t="s">
        <v>32071</v>
      </c>
      <c r="U14170" t="s">
        <v>32072</v>
      </c>
      <c r="V14170" t="s">
        <v>32073</v>
      </c>
      <c r="W14170" t="s">
        <v>50040</v>
      </c>
      <c r="X14170" t="s">
        <v>42</v>
      </c>
      <c r="Y14170" t="s">
        <v>17171</v>
      </c>
      <c r="Z14170" t="s">
        <v>166</v>
      </c>
      <c r="AA14170" s="22" t="str">
        <f>HYPERLINK("https://www.ncbi.nlm.nih.gov/nuccore/KT452714","NCBI Nucleotide")</f>
        <v>NCBI Nucleotide</v>
      </c>
    </row>
    <row r="14171" spans="1:27" x14ac:dyDescent="0.35">
      <c r="A14171">
        <v>1011846</v>
      </c>
      <c r="B14171">
        <v>12818</v>
      </c>
      <c r="C14171">
        <v>3</v>
      </c>
      <c r="D14171" t="s">
        <v>17166</v>
      </c>
      <c r="F14171" t="s">
        <v>17246</v>
      </c>
      <c r="H14171" t="s">
        <v>28921</v>
      </c>
      <c r="J14171" t="s">
        <v>29538</v>
      </c>
      <c r="L14171" t="s">
        <v>30198</v>
      </c>
      <c r="N14171" t="s">
        <v>30487</v>
      </c>
      <c r="O14171" t="s">
        <v>31988</v>
      </c>
      <c r="P14171" t="s">
        <v>32029</v>
      </c>
      <c r="R14171" s="26" t="str">
        <f>HYPERLINK("https://ictv.global/taxonomy/taxondetails?taxnode_id=202302010","Hepatovirus hedgi")</f>
        <v>Hepatovirus hedgi</v>
      </c>
      <c r="S14171" t="s">
        <v>8141</v>
      </c>
      <c r="T14171" t="s">
        <v>32074</v>
      </c>
      <c r="U14171" t="s">
        <v>32075</v>
      </c>
      <c r="V14171" t="s">
        <v>32076</v>
      </c>
      <c r="W14171" t="s">
        <v>50041</v>
      </c>
      <c r="X14171" t="s">
        <v>42</v>
      </c>
      <c r="Y14171" t="s">
        <v>17171</v>
      </c>
      <c r="Z14171" t="s">
        <v>166</v>
      </c>
      <c r="AA14171" s="22" t="str">
        <f>HYPERLINK("https://www.ncbi.nlm.nih.gov/nuccore/KT877158","NCBI Nucleotide")</f>
        <v>NCBI Nucleotide</v>
      </c>
    </row>
    <row r="14172" spans="1:27" x14ac:dyDescent="0.35">
      <c r="A14172">
        <v>1002212</v>
      </c>
      <c r="B14172">
        <v>12819</v>
      </c>
      <c r="C14172">
        <v>1</v>
      </c>
      <c r="D14172" t="s">
        <v>17166</v>
      </c>
      <c r="F14172" t="s">
        <v>17246</v>
      </c>
      <c r="H14172" t="s">
        <v>28921</v>
      </c>
      <c r="J14172" t="s">
        <v>29538</v>
      </c>
      <c r="L14172" t="s">
        <v>30198</v>
      </c>
      <c r="N14172" t="s">
        <v>30487</v>
      </c>
      <c r="O14172" t="s">
        <v>31988</v>
      </c>
      <c r="P14172" t="s">
        <v>32029</v>
      </c>
      <c r="R14172" s="26" t="str">
        <f>HYPERLINK("https://ictv.global/taxonomy/taxondetails?taxnode_id=202302011","Hepatovirus ishrewi")</f>
        <v>Hepatovirus ishrewi</v>
      </c>
      <c r="S14172" t="s">
        <v>30</v>
      </c>
      <c r="T14172" t="s">
        <v>32077</v>
      </c>
      <c r="U14172" t="s">
        <v>32078</v>
      </c>
      <c r="V14172" t="s">
        <v>32079</v>
      </c>
      <c r="W14172" t="s">
        <v>32080</v>
      </c>
      <c r="X14172" t="s">
        <v>42</v>
      </c>
      <c r="Y14172" t="s">
        <v>17171</v>
      </c>
      <c r="Z14172" t="s">
        <v>166</v>
      </c>
      <c r="AA14172" s="22" t="str">
        <f>HYPERLINK("https://www.ncbi.nlm.nih.gov/nuccore/KT452658","NCBI Nucleotide")</f>
        <v>NCBI Nucleotide</v>
      </c>
    </row>
    <row r="14173" spans="1:27" x14ac:dyDescent="0.35">
      <c r="A14173">
        <v>1002213</v>
      </c>
      <c r="B14173">
        <v>12820</v>
      </c>
      <c r="C14173">
        <v>1</v>
      </c>
      <c r="D14173" t="s">
        <v>17166</v>
      </c>
      <c r="F14173" t="s">
        <v>17246</v>
      </c>
      <c r="H14173" t="s">
        <v>28921</v>
      </c>
      <c r="J14173" t="s">
        <v>29538</v>
      </c>
      <c r="L14173" t="s">
        <v>30198</v>
      </c>
      <c r="N14173" t="s">
        <v>30487</v>
      </c>
      <c r="O14173" t="s">
        <v>31988</v>
      </c>
      <c r="P14173" t="s">
        <v>32081</v>
      </c>
      <c r="R14173" s="26" t="str">
        <f>HYPERLINK("https://ictv.global/taxonomy/taxondetails?taxnode_id=202307446","Rohelivirus arodenti")</f>
        <v>Rohelivirus arodenti</v>
      </c>
      <c r="S14173" t="s">
        <v>30</v>
      </c>
      <c r="T14173" t="s">
        <v>32082</v>
      </c>
      <c r="U14173" t="s">
        <v>32083</v>
      </c>
      <c r="V14173" t="s">
        <v>32084</v>
      </c>
      <c r="W14173" t="s">
        <v>32085</v>
      </c>
      <c r="X14173" t="s">
        <v>42</v>
      </c>
      <c r="Y14173" t="s">
        <v>17171</v>
      </c>
      <c r="Z14173" t="s">
        <v>166</v>
      </c>
      <c r="AA14173" s="22" t="str">
        <f>HYPERLINK("https://www.ncbi.nlm.nih.gov/nuccore/KX156153","NCBI Nucleotide")</f>
        <v>NCBI Nucleotide</v>
      </c>
    </row>
    <row r="14174" spans="1:27" x14ac:dyDescent="0.35">
      <c r="A14174">
        <v>1011847</v>
      </c>
      <c r="B14174">
        <v>12820</v>
      </c>
      <c r="C14174">
        <v>2</v>
      </c>
      <c r="D14174" t="s">
        <v>17166</v>
      </c>
      <c r="F14174" t="s">
        <v>17246</v>
      </c>
      <c r="H14174" t="s">
        <v>28921</v>
      </c>
      <c r="J14174" t="s">
        <v>29538</v>
      </c>
      <c r="L14174" t="s">
        <v>30198</v>
      </c>
      <c r="N14174" t="s">
        <v>30487</v>
      </c>
      <c r="O14174" t="s">
        <v>31988</v>
      </c>
      <c r="P14174" t="s">
        <v>32081</v>
      </c>
      <c r="R14174" s="26" t="str">
        <f>HYPERLINK("https://ictv.global/taxonomy/taxondetails?taxnode_id=202307446","Rohelivirus arodenti")</f>
        <v>Rohelivirus arodenti</v>
      </c>
      <c r="S14174" t="s">
        <v>8141</v>
      </c>
      <c r="T14174" t="s">
        <v>32086</v>
      </c>
      <c r="U14174" t="s">
        <v>32087</v>
      </c>
      <c r="V14174" t="s">
        <v>32088</v>
      </c>
      <c r="W14174" t="s">
        <v>50042</v>
      </c>
      <c r="X14174" t="s">
        <v>42</v>
      </c>
      <c r="Y14174" t="s">
        <v>17171</v>
      </c>
      <c r="Z14174" t="s">
        <v>166</v>
      </c>
      <c r="AA14174" s="22" t="str">
        <f>HYPERLINK("https://www.ncbi.nlm.nih.gov/nuccore/KX156155","NCBI Nucleotide")</f>
        <v>NCBI Nucleotide</v>
      </c>
    </row>
    <row r="14175" spans="1:27" x14ac:dyDescent="0.35">
      <c r="A14175">
        <v>1002214</v>
      </c>
      <c r="B14175">
        <v>12821</v>
      </c>
      <c r="C14175">
        <v>1</v>
      </c>
      <c r="D14175" t="s">
        <v>17166</v>
      </c>
      <c r="F14175" t="s">
        <v>17246</v>
      </c>
      <c r="H14175" t="s">
        <v>28921</v>
      </c>
      <c r="J14175" t="s">
        <v>29538</v>
      </c>
      <c r="L14175" t="s">
        <v>30198</v>
      </c>
      <c r="N14175" t="s">
        <v>30487</v>
      </c>
      <c r="O14175" t="s">
        <v>31988</v>
      </c>
      <c r="P14175" t="s">
        <v>32089</v>
      </c>
      <c r="R14175" s="26" t="str">
        <f>HYPERLINK("https://ictv.global/taxonomy/taxondetails?taxnode_id=202302069","Tremovirus aetremori")</f>
        <v>Tremovirus aetremori</v>
      </c>
      <c r="S14175" t="s">
        <v>30</v>
      </c>
      <c r="T14175" t="s">
        <v>32090</v>
      </c>
      <c r="U14175" t="s">
        <v>32091</v>
      </c>
      <c r="V14175" t="s">
        <v>32092</v>
      </c>
      <c r="W14175" t="s">
        <v>32093</v>
      </c>
      <c r="X14175" t="s">
        <v>42</v>
      </c>
      <c r="Y14175" t="s">
        <v>17171</v>
      </c>
      <c r="Z14175" t="s">
        <v>166</v>
      </c>
      <c r="AA14175" s="22" t="str">
        <f>HYPERLINK("https://www.ncbi.nlm.nih.gov/nuccore/AJ225173","NCBI Nucleotide")</f>
        <v>NCBI Nucleotide</v>
      </c>
    </row>
    <row r="14176" spans="1:27" x14ac:dyDescent="0.35">
      <c r="A14176">
        <v>1002215</v>
      </c>
      <c r="B14176">
        <v>12822</v>
      </c>
      <c r="C14176">
        <v>1</v>
      </c>
      <c r="D14176" t="s">
        <v>17166</v>
      </c>
      <c r="F14176" t="s">
        <v>17246</v>
      </c>
      <c r="H14176" t="s">
        <v>28921</v>
      </c>
      <c r="J14176" t="s">
        <v>29538</v>
      </c>
      <c r="L14176" t="s">
        <v>30198</v>
      </c>
      <c r="N14176" t="s">
        <v>30487</v>
      </c>
      <c r="O14176" t="s">
        <v>31988</v>
      </c>
      <c r="P14176" t="s">
        <v>32089</v>
      </c>
      <c r="R14176" s="26" t="str">
        <f>HYPERLINK("https://ictv.global/taxonomy/taxondetails?taxnode_id=202307458","Tremovirus beturtli")</f>
        <v>Tremovirus beturtli</v>
      </c>
      <c r="S14176" t="s">
        <v>30</v>
      </c>
      <c r="T14176" t="s">
        <v>32094</v>
      </c>
      <c r="U14176" t="s">
        <v>32095</v>
      </c>
      <c r="V14176" t="s">
        <v>32096</v>
      </c>
      <c r="W14176" t="s">
        <v>32097</v>
      </c>
      <c r="X14176" t="s">
        <v>42</v>
      </c>
      <c r="Y14176" t="s">
        <v>17171</v>
      </c>
      <c r="Z14176" t="s">
        <v>166</v>
      </c>
      <c r="AA14176" s="22" t="str">
        <f>HYPERLINK("https://www.ncbi.nlm.nih.gov/nuccore/KY432472","NCBI Nucleotide")</f>
        <v>NCBI Nucleotide</v>
      </c>
    </row>
    <row r="14177" spans="1:27" x14ac:dyDescent="0.35">
      <c r="A14177">
        <v>1011848</v>
      </c>
      <c r="B14177">
        <v>12822</v>
      </c>
      <c r="C14177">
        <v>2</v>
      </c>
      <c r="D14177" t="s">
        <v>17166</v>
      </c>
      <c r="F14177" t="s">
        <v>17246</v>
      </c>
      <c r="H14177" t="s">
        <v>28921</v>
      </c>
      <c r="J14177" t="s">
        <v>29538</v>
      </c>
      <c r="L14177" t="s">
        <v>30198</v>
      </c>
      <c r="N14177" t="s">
        <v>30487</v>
      </c>
      <c r="O14177" t="s">
        <v>31988</v>
      </c>
      <c r="P14177" t="s">
        <v>32089</v>
      </c>
      <c r="R14177" s="26" t="str">
        <f>HYPERLINK("https://ictv.global/taxonomy/taxondetails?taxnode_id=202307458","Tremovirus beturtli")</f>
        <v>Tremovirus beturtli</v>
      </c>
      <c r="S14177" t="s">
        <v>8141</v>
      </c>
      <c r="T14177" t="s">
        <v>32098</v>
      </c>
      <c r="U14177" t="s">
        <v>32099</v>
      </c>
      <c r="V14177" t="s">
        <v>32100</v>
      </c>
      <c r="W14177" t="s">
        <v>50043</v>
      </c>
      <c r="X14177" t="s">
        <v>42</v>
      </c>
      <c r="Y14177" t="s">
        <v>17171</v>
      </c>
      <c r="Z14177" t="s">
        <v>166</v>
      </c>
      <c r="AA14177" s="22" t="str">
        <f>HYPERLINK("https://www.ncbi.nlm.nih.gov/nuccore/MG600110","NCBI Nucleotide")</f>
        <v>NCBI Nucleotide</v>
      </c>
    </row>
    <row r="14178" spans="1:27" x14ac:dyDescent="0.35">
      <c r="A14178">
        <v>1002216</v>
      </c>
      <c r="B14178">
        <v>12823</v>
      </c>
      <c r="C14178">
        <v>1</v>
      </c>
      <c r="D14178" t="s">
        <v>17166</v>
      </c>
      <c r="F14178" t="s">
        <v>17246</v>
      </c>
      <c r="H14178" t="s">
        <v>28921</v>
      </c>
      <c r="J14178" t="s">
        <v>29538</v>
      </c>
      <c r="L14178" t="s">
        <v>30198</v>
      </c>
      <c r="N14178" t="s">
        <v>30487</v>
      </c>
      <c r="O14178" t="s">
        <v>32101</v>
      </c>
      <c r="P14178" t="s">
        <v>32102</v>
      </c>
      <c r="R14178" s="26" t="str">
        <f>HYPERLINK("https://ictv.global/taxonomy/taxondetails?taxnode_id=202308806","Danipivirus abrafi")</f>
        <v>Danipivirus abrafi</v>
      </c>
      <c r="S14178" t="s">
        <v>30</v>
      </c>
      <c r="T14178" t="s">
        <v>32103</v>
      </c>
      <c r="U14178" t="s">
        <v>32104</v>
      </c>
      <c r="V14178" t="s">
        <v>32105</v>
      </c>
      <c r="W14178" t="s">
        <v>32106</v>
      </c>
      <c r="X14178" t="s">
        <v>42</v>
      </c>
      <c r="Y14178" t="s">
        <v>17171</v>
      </c>
      <c r="Z14178" t="s">
        <v>166</v>
      </c>
      <c r="AA14178" s="22" t="str">
        <f>HYPERLINK("https://www.ncbi.nlm.nih.gov/nuccore/MH368041","NCBI Nucleotide")</f>
        <v>NCBI Nucleotide</v>
      </c>
    </row>
    <row r="14179" spans="1:27" x14ac:dyDescent="0.35">
      <c r="A14179">
        <v>1002217</v>
      </c>
      <c r="B14179">
        <v>12824</v>
      </c>
      <c r="C14179">
        <v>1</v>
      </c>
      <c r="D14179" t="s">
        <v>17166</v>
      </c>
      <c r="F14179" t="s">
        <v>17246</v>
      </c>
      <c r="H14179" t="s">
        <v>28921</v>
      </c>
      <c r="J14179" t="s">
        <v>29538</v>
      </c>
      <c r="L14179" t="s">
        <v>30198</v>
      </c>
      <c r="N14179" t="s">
        <v>30487</v>
      </c>
      <c r="O14179" t="s">
        <v>32101</v>
      </c>
      <c r="P14179" t="s">
        <v>32107</v>
      </c>
      <c r="R14179" s="26" t="str">
        <f>HYPERLINK("https://ictv.global/taxonomy/taxondetails?taxnode_id=202301981","Dicipivirus acadici")</f>
        <v>Dicipivirus acadici</v>
      </c>
      <c r="S14179" t="s">
        <v>30</v>
      </c>
      <c r="T14179" t="s">
        <v>32108</v>
      </c>
      <c r="U14179" t="s">
        <v>32109</v>
      </c>
      <c r="V14179">
        <v>209</v>
      </c>
      <c r="W14179" t="s">
        <v>32110</v>
      </c>
      <c r="X14179" t="s">
        <v>42</v>
      </c>
      <c r="Y14179" t="s">
        <v>17171</v>
      </c>
      <c r="Z14179" t="s">
        <v>166</v>
      </c>
      <c r="AA14179" s="22" t="str">
        <f>HYPERLINK("https://www.ncbi.nlm.nih.gov/nuccore/JN819202","NCBI Nucleotide")</f>
        <v>NCBI Nucleotide</v>
      </c>
    </row>
    <row r="14180" spans="1:27" x14ac:dyDescent="0.35">
      <c r="A14180">
        <v>1002218</v>
      </c>
      <c r="B14180">
        <v>12825</v>
      </c>
      <c r="C14180">
        <v>1</v>
      </c>
      <c r="D14180" t="s">
        <v>17166</v>
      </c>
      <c r="F14180" t="s">
        <v>17246</v>
      </c>
      <c r="H14180" t="s">
        <v>28921</v>
      </c>
      <c r="J14180" t="s">
        <v>29538</v>
      </c>
      <c r="L14180" t="s">
        <v>30198</v>
      </c>
      <c r="N14180" t="s">
        <v>30487</v>
      </c>
      <c r="O14180" t="s">
        <v>32101</v>
      </c>
      <c r="P14180" t="s">
        <v>32107</v>
      </c>
      <c r="R14180" s="26" t="str">
        <f>HYPERLINK("https://ictv.global/taxonomy/taxondetails?taxnode_id=202306291","Dicipivirus berinro")</f>
        <v>Dicipivirus berinro</v>
      </c>
      <c r="S14180" t="s">
        <v>30</v>
      </c>
      <c r="T14180" t="s">
        <v>32111</v>
      </c>
      <c r="U14180" t="s">
        <v>32112</v>
      </c>
      <c r="V14180" t="s">
        <v>32113</v>
      </c>
      <c r="W14180" t="s">
        <v>32114</v>
      </c>
      <c r="X14180" t="s">
        <v>42</v>
      </c>
      <c r="Y14180" t="s">
        <v>17171</v>
      </c>
      <c r="Z14180" t="s">
        <v>166</v>
      </c>
      <c r="AA14180" s="22" t="str">
        <f>HYPERLINK("https://www.ncbi.nlm.nih.gov/nuccore/MF188967","NCBI Nucleotide")</f>
        <v>NCBI Nucleotide</v>
      </c>
    </row>
    <row r="14181" spans="1:27" x14ac:dyDescent="0.35">
      <c r="A14181">
        <v>1002219</v>
      </c>
      <c r="B14181">
        <v>12826</v>
      </c>
      <c r="C14181">
        <v>1</v>
      </c>
      <c r="D14181" t="s">
        <v>17166</v>
      </c>
      <c r="F14181" t="s">
        <v>17246</v>
      </c>
      <c r="H14181" t="s">
        <v>28921</v>
      </c>
      <c r="J14181" t="s">
        <v>29538</v>
      </c>
      <c r="L14181" t="s">
        <v>30198</v>
      </c>
      <c r="N14181" t="s">
        <v>30487</v>
      </c>
      <c r="O14181" t="s">
        <v>32101</v>
      </c>
      <c r="P14181" t="s">
        <v>32115</v>
      </c>
      <c r="R14181" s="26" t="str">
        <f>HYPERLINK("https://ictv.global/taxonomy/taxondetails?taxnode_id=202301999","Gallivirus afowli")</f>
        <v>Gallivirus afowli</v>
      </c>
      <c r="S14181" t="s">
        <v>30</v>
      </c>
      <c r="T14181" t="s">
        <v>32116</v>
      </c>
      <c r="U14181" t="s">
        <v>32117</v>
      </c>
      <c r="V14181" t="s">
        <v>32118</v>
      </c>
      <c r="W14181" t="s">
        <v>32119</v>
      </c>
      <c r="X14181" t="s">
        <v>42</v>
      </c>
      <c r="Y14181" t="s">
        <v>17171</v>
      </c>
      <c r="Z14181" t="s">
        <v>166</v>
      </c>
      <c r="AA14181" s="22" t="str">
        <f>HYPERLINK("https://www.ncbi.nlm.nih.gov/nuccore/JQ691613","NCBI Nucleotide")</f>
        <v>NCBI Nucleotide</v>
      </c>
    </row>
    <row r="14182" spans="1:27" x14ac:dyDescent="0.35">
      <c r="A14182">
        <v>1011849</v>
      </c>
      <c r="B14182">
        <v>12826</v>
      </c>
      <c r="C14182">
        <v>2</v>
      </c>
      <c r="D14182" t="s">
        <v>17166</v>
      </c>
      <c r="F14182" t="s">
        <v>17246</v>
      </c>
      <c r="H14182" t="s">
        <v>28921</v>
      </c>
      <c r="J14182" t="s">
        <v>29538</v>
      </c>
      <c r="L14182" t="s">
        <v>30198</v>
      </c>
      <c r="N14182" t="s">
        <v>30487</v>
      </c>
      <c r="O14182" t="s">
        <v>32101</v>
      </c>
      <c r="P14182" t="s">
        <v>32115</v>
      </c>
      <c r="R14182" s="26" t="str">
        <f>HYPERLINK("https://ictv.global/taxonomy/taxondetails?taxnode_id=202301999","Gallivirus afowli")</f>
        <v>Gallivirus afowli</v>
      </c>
      <c r="S14182" t="s">
        <v>8141</v>
      </c>
      <c r="T14182" t="s">
        <v>32120</v>
      </c>
      <c r="U14182" t="s">
        <v>32121</v>
      </c>
      <c r="V14182" t="s">
        <v>32122</v>
      </c>
      <c r="W14182" t="s">
        <v>50044</v>
      </c>
      <c r="X14182" t="s">
        <v>42</v>
      </c>
      <c r="Y14182" t="s">
        <v>17171</v>
      </c>
      <c r="Z14182" t="s">
        <v>166</v>
      </c>
      <c r="AA14182" s="22" t="str">
        <f>HYPERLINK("https://www.ncbi.nlm.nih.gov/nuccore/KF979337","NCBI Nucleotide")</f>
        <v>NCBI Nucleotide</v>
      </c>
    </row>
    <row r="14183" spans="1:27" x14ac:dyDescent="0.35">
      <c r="A14183">
        <v>1002220</v>
      </c>
      <c r="B14183">
        <v>12827</v>
      </c>
      <c r="C14183">
        <v>1</v>
      </c>
      <c r="D14183" t="s">
        <v>17166</v>
      </c>
      <c r="F14183" t="s">
        <v>17246</v>
      </c>
      <c r="H14183" t="s">
        <v>28921</v>
      </c>
      <c r="J14183" t="s">
        <v>29538</v>
      </c>
      <c r="L14183" t="s">
        <v>30198</v>
      </c>
      <c r="N14183" t="s">
        <v>30487</v>
      </c>
      <c r="O14183" t="s">
        <v>32101</v>
      </c>
      <c r="P14183" t="s">
        <v>32123</v>
      </c>
      <c r="R14183" s="26" t="str">
        <f>HYPERLINK("https://ictv.global/taxonomy/taxondetails?taxnode_id=202307298","Hemipivirus aholtge")</f>
        <v>Hemipivirus aholtge</v>
      </c>
      <c r="S14183" t="s">
        <v>30</v>
      </c>
      <c r="T14183" t="s">
        <v>32124</v>
      </c>
      <c r="U14183" t="s">
        <v>32125</v>
      </c>
      <c r="V14183" t="s">
        <v>32126</v>
      </c>
      <c r="W14183" t="s">
        <v>32127</v>
      </c>
      <c r="X14183" t="s">
        <v>42</v>
      </c>
      <c r="Y14183" t="s">
        <v>17171</v>
      </c>
      <c r="Z14183" t="s">
        <v>166</v>
      </c>
      <c r="AA14183" s="22" t="str">
        <f>HYPERLINK("https://www.ncbi.nlm.nih.gov/nuccore/MG600089","NCBI Nucleotide")</f>
        <v>NCBI Nucleotide</v>
      </c>
    </row>
    <row r="14184" spans="1:27" x14ac:dyDescent="0.35">
      <c r="A14184">
        <v>1002221</v>
      </c>
      <c r="B14184">
        <v>12828</v>
      </c>
      <c r="C14184">
        <v>1</v>
      </c>
      <c r="D14184" t="s">
        <v>17166</v>
      </c>
      <c r="F14184" t="s">
        <v>17246</v>
      </c>
      <c r="H14184" t="s">
        <v>28921</v>
      </c>
      <c r="J14184" t="s">
        <v>29538</v>
      </c>
      <c r="L14184" t="s">
        <v>30198</v>
      </c>
      <c r="N14184" t="s">
        <v>30487</v>
      </c>
      <c r="O14184" t="s">
        <v>32101</v>
      </c>
      <c r="P14184" t="s">
        <v>32128</v>
      </c>
      <c r="R14184" s="26" t="str">
        <f t="shared" ref="R14184:R14193" si="63">HYPERLINK("https://ictv.global/taxonomy/taxondetails?taxnode_id=202302015","Kobuvirus aichi")</f>
        <v>Kobuvirus aichi</v>
      </c>
      <c r="S14184" t="s">
        <v>30</v>
      </c>
      <c r="T14184" t="s">
        <v>32129</v>
      </c>
      <c r="U14184" t="s">
        <v>32130</v>
      </c>
      <c r="V14184" t="s">
        <v>32131</v>
      </c>
      <c r="W14184" t="s">
        <v>32132</v>
      </c>
      <c r="X14184" t="s">
        <v>42</v>
      </c>
      <c r="Y14184" t="s">
        <v>17171</v>
      </c>
      <c r="Z14184" t="s">
        <v>166</v>
      </c>
      <c r="AA14184" s="22" t="str">
        <f>HYPERLINK("https://www.ncbi.nlm.nih.gov/nuccore/AB040749","NCBI Nucleotide")</f>
        <v>NCBI Nucleotide</v>
      </c>
    </row>
    <row r="14185" spans="1:27" x14ac:dyDescent="0.35">
      <c r="A14185">
        <v>1011850</v>
      </c>
      <c r="B14185">
        <v>12828</v>
      </c>
      <c r="C14185">
        <v>2</v>
      </c>
      <c r="D14185" t="s">
        <v>17166</v>
      </c>
      <c r="F14185" t="s">
        <v>17246</v>
      </c>
      <c r="H14185" t="s">
        <v>28921</v>
      </c>
      <c r="J14185" t="s">
        <v>29538</v>
      </c>
      <c r="L14185" t="s">
        <v>30198</v>
      </c>
      <c r="N14185" t="s">
        <v>30487</v>
      </c>
      <c r="O14185" t="s">
        <v>32101</v>
      </c>
      <c r="P14185" t="s">
        <v>32128</v>
      </c>
      <c r="R14185" s="26" t="str">
        <f t="shared" si="63"/>
        <v>Kobuvirus aichi</v>
      </c>
      <c r="S14185" t="s">
        <v>8141</v>
      </c>
      <c r="T14185" t="s">
        <v>32133</v>
      </c>
      <c r="U14185" t="s">
        <v>32134</v>
      </c>
      <c r="V14185" t="s">
        <v>32135</v>
      </c>
      <c r="W14185" t="s">
        <v>50045</v>
      </c>
      <c r="X14185" t="s">
        <v>42</v>
      </c>
      <c r="Y14185" t="s">
        <v>17171</v>
      </c>
      <c r="Z14185" t="s">
        <v>166</v>
      </c>
      <c r="AA14185" s="22" t="str">
        <f>HYPERLINK("https://www.ncbi.nlm.nih.gov/nuccore/JN387133","NCBI Nucleotide")</f>
        <v>NCBI Nucleotide</v>
      </c>
    </row>
    <row r="14186" spans="1:27" x14ac:dyDescent="0.35">
      <c r="A14186">
        <v>1011851</v>
      </c>
      <c r="B14186">
        <v>12828</v>
      </c>
      <c r="C14186">
        <v>3</v>
      </c>
      <c r="D14186" t="s">
        <v>17166</v>
      </c>
      <c r="F14186" t="s">
        <v>17246</v>
      </c>
      <c r="H14186" t="s">
        <v>28921</v>
      </c>
      <c r="J14186" t="s">
        <v>29538</v>
      </c>
      <c r="L14186" t="s">
        <v>30198</v>
      </c>
      <c r="N14186" t="s">
        <v>30487</v>
      </c>
      <c r="O14186" t="s">
        <v>32101</v>
      </c>
      <c r="P14186" t="s">
        <v>32128</v>
      </c>
      <c r="R14186" s="26" t="str">
        <f t="shared" si="63"/>
        <v>Kobuvirus aichi</v>
      </c>
      <c r="S14186" t="s">
        <v>8141</v>
      </c>
      <c r="T14186" t="s">
        <v>32136</v>
      </c>
      <c r="U14186" t="s">
        <v>32137</v>
      </c>
      <c r="V14186" t="s">
        <v>32138</v>
      </c>
      <c r="W14186" t="s">
        <v>50046</v>
      </c>
      <c r="X14186" t="s">
        <v>42</v>
      </c>
      <c r="Y14186" t="s">
        <v>17171</v>
      </c>
      <c r="Z14186" t="s">
        <v>166</v>
      </c>
      <c r="AA14186" s="22" t="str">
        <f>HYPERLINK("https://www.ncbi.nlm.nih.gov/nuccore/JF755427","NCBI Nucleotide")</f>
        <v>NCBI Nucleotide</v>
      </c>
    </row>
    <row r="14187" spans="1:27" x14ac:dyDescent="0.35">
      <c r="A14187">
        <v>1011852</v>
      </c>
      <c r="B14187">
        <v>12828</v>
      </c>
      <c r="C14187">
        <v>4</v>
      </c>
      <c r="D14187" t="s">
        <v>17166</v>
      </c>
      <c r="F14187" t="s">
        <v>17246</v>
      </c>
      <c r="H14187" t="s">
        <v>28921</v>
      </c>
      <c r="J14187" t="s">
        <v>29538</v>
      </c>
      <c r="L14187" t="s">
        <v>30198</v>
      </c>
      <c r="N14187" t="s">
        <v>30487</v>
      </c>
      <c r="O14187" t="s">
        <v>32101</v>
      </c>
      <c r="P14187" t="s">
        <v>32128</v>
      </c>
      <c r="R14187" s="26" t="str">
        <f t="shared" si="63"/>
        <v>Kobuvirus aichi</v>
      </c>
      <c r="S14187" t="s">
        <v>8141</v>
      </c>
      <c r="T14187" t="s">
        <v>32139</v>
      </c>
      <c r="U14187" t="s">
        <v>32140</v>
      </c>
      <c r="V14187" t="s">
        <v>32141</v>
      </c>
      <c r="W14187" t="s">
        <v>50047</v>
      </c>
      <c r="X14187" t="s">
        <v>42</v>
      </c>
      <c r="Y14187" t="s">
        <v>17171</v>
      </c>
      <c r="Z14187" t="s">
        <v>166</v>
      </c>
      <c r="AA14187" s="22" t="str">
        <f>HYPERLINK("https://www.ncbi.nlm.nih.gov/nuccore/KF831027","NCBI Nucleotide")</f>
        <v>NCBI Nucleotide</v>
      </c>
    </row>
    <row r="14188" spans="1:27" x14ac:dyDescent="0.35">
      <c r="A14188">
        <v>1011853</v>
      </c>
      <c r="B14188">
        <v>12828</v>
      </c>
      <c r="C14188">
        <v>5</v>
      </c>
      <c r="D14188" t="s">
        <v>17166</v>
      </c>
      <c r="F14188" t="s">
        <v>17246</v>
      </c>
      <c r="H14188" t="s">
        <v>28921</v>
      </c>
      <c r="J14188" t="s">
        <v>29538</v>
      </c>
      <c r="L14188" t="s">
        <v>30198</v>
      </c>
      <c r="N14188" t="s">
        <v>30487</v>
      </c>
      <c r="O14188" t="s">
        <v>32101</v>
      </c>
      <c r="P14188" t="s">
        <v>32128</v>
      </c>
      <c r="R14188" s="26" t="str">
        <f t="shared" si="63"/>
        <v>Kobuvirus aichi</v>
      </c>
      <c r="S14188" t="s">
        <v>8141</v>
      </c>
      <c r="T14188" t="s">
        <v>32142</v>
      </c>
      <c r="U14188" t="s">
        <v>32143</v>
      </c>
      <c r="V14188" t="s">
        <v>32144</v>
      </c>
      <c r="W14188" t="s">
        <v>50048</v>
      </c>
      <c r="X14188" t="s">
        <v>42</v>
      </c>
      <c r="Y14188" t="s">
        <v>17171</v>
      </c>
      <c r="Z14188" t="s">
        <v>166</v>
      </c>
      <c r="AA14188" s="22" t="str">
        <f>HYPERLINK("https://www.ncbi.nlm.nih.gov/nuccore/KJ934637","NCBI Nucleotide")</f>
        <v>NCBI Nucleotide</v>
      </c>
    </row>
    <row r="14189" spans="1:27" x14ac:dyDescent="0.35">
      <c r="A14189">
        <v>1011854</v>
      </c>
      <c r="B14189">
        <v>12828</v>
      </c>
      <c r="C14189">
        <v>6</v>
      </c>
      <c r="D14189" t="s">
        <v>17166</v>
      </c>
      <c r="F14189" t="s">
        <v>17246</v>
      </c>
      <c r="H14189" t="s">
        <v>28921</v>
      </c>
      <c r="J14189" t="s">
        <v>29538</v>
      </c>
      <c r="L14189" t="s">
        <v>30198</v>
      </c>
      <c r="N14189" t="s">
        <v>30487</v>
      </c>
      <c r="O14189" t="s">
        <v>32101</v>
      </c>
      <c r="P14189" t="s">
        <v>32128</v>
      </c>
      <c r="R14189" s="26" t="str">
        <f t="shared" si="63"/>
        <v>Kobuvirus aichi</v>
      </c>
      <c r="S14189" t="s">
        <v>8141</v>
      </c>
      <c r="T14189" t="s">
        <v>32145</v>
      </c>
      <c r="U14189" t="s">
        <v>32146</v>
      </c>
      <c r="V14189" t="s">
        <v>32147</v>
      </c>
      <c r="W14189" t="s">
        <v>50049</v>
      </c>
      <c r="X14189" t="s">
        <v>42</v>
      </c>
      <c r="Y14189" t="s">
        <v>17171</v>
      </c>
      <c r="Z14189" t="s">
        <v>166</v>
      </c>
      <c r="AA14189" s="22" t="str">
        <f>HYPERLINK("https://www.ncbi.nlm.nih.gov/nuccore/MF947444","NCBI Nucleotide")</f>
        <v>NCBI Nucleotide</v>
      </c>
    </row>
    <row r="14190" spans="1:27" x14ac:dyDescent="0.35">
      <c r="A14190">
        <v>1011855</v>
      </c>
      <c r="B14190">
        <v>12828</v>
      </c>
      <c r="C14190">
        <v>7</v>
      </c>
      <c r="D14190" t="s">
        <v>17166</v>
      </c>
      <c r="F14190" t="s">
        <v>17246</v>
      </c>
      <c r="H14190" t="s">
        <v>28921</v>
      </c>
      <c r="J14190" t="s">
        <v>29538</v>
      </c>
      <c r="L14190" t="s">
        <v>30198</v>
      </c>
      <c r="N14190" t="s">
        <v>30487</v>
      </c>
      <c r="O14190" t="s">
        <v>32101</v>
      </c>
      <c r="P14190" t="s">
        <v>32128</v>
      </c>
      <c r="R14190" s="26" t="str">
        <f t="shared" si="63"/>
        <v>Kobuvirus aichi</v>
      </c>
      <c r="S14190" t="s">
        <v>8141</v>
      </c>
      <c r="T14190" t="s">
        <v>32148</v>
      </c>
      <c r="U14190" t="s">
        <v>32149</v>
      </c>
      <c r="V14190" t="s">
        <v>32150</v>
      </c>
      <c r="W14190" t="s">
        <v>50050</v>
      </c>
      <c r="X14190" t="s">
        <v>42</v>
      </c>
      <c r="Y14190" t="s">
        <v>17171</v>
      </c>
      <c r="Z14190" t="s">
        <v>166</v>
      </c>
      <c r="AA14190" s="22" t="str">
        <f>HYPERLINK("https://www.ncbi.nlm.nih.gov/nuccore/KY432931","NCBI Nucleotide")</f>
        <v>NCBI Nucleotide</v>
      </c>
    </row>
    <row r="14191" spans="1:27" x14ac:dyDescent="0.35">
      <c r="A14191">
        <v>1011856</v>
      </c>
      <c r="B14191">
        <v>12828</v>
      </c>
      <c r="C14191">
        <v>8</v>
      </c>
      <c r="D14191" t="s">
        <v>17166</v>
      </c>
      <c r="F14191" t="s">
        <v>17246</v>
      </c>
      <c r="H14191" t="s">
        <v>28921</v>
      </c>
      <c r="J14191" t="s">
        <v>29538</v>
      </c>
      <c r="L14191" t="s">
        <v>30198</v>
      </c>
      <c r="N14191" t="s">
        <v>30487</v>
      </c>
      <c r="O14191" t="s">
        <v>32101</v>
      </c>
      <c r="P14191" t="s">
        <v>32128</v>
      </c>
      <c r="R14191" s="26" t="str">
        <f t="shared" si="63"/>
        <v>Kobuvirus aichi</v>
      </c>
      <c r="S14191" t="s">
        <v>8141</v>
      </c>
      <c r="T14191" t="s">
        <v>32151</v>
      </c>
      <c r="U14191" t="s">
        <v>32152</v>
      </c>
      <c r="V14191" t="s">
        <v>32153</v>
      </c>
      <c r="W14191" t="s">
        <v>50051</v>
      </c>
      <c r="X14191" t="s">
        <v>42</v>
      </c>
      <c r="Y14191" t="s">
        <v>17171</v>
      </c>
      <c r="Z14191" t="s">
        <v>166</v>
      </c>
      <c r="AA14191" s="22" t="str">
        <f>HYPERLINK("https://www.ncbi.nlm.nih.gov/nuccore/MF175074","NCBI Nucleotide")</f>
        <v>NCBI Nucleotide</v>
      </c>
    </row>
    <row r="14192" spans="1:27" x14ac:dyDescent="0.35">
      <c r="A14192">
        <v>1011857</v>
      </c>
      <c r="B14192">
        <v>12828</v>
      </c>
      <c r="C14192">
        <v>9</v>
      </c>
      <c r="D14192" t="s">
        <v>17166</v>
      </c>
      <c r="F14192" t="s">
        <v>17246</v>
      </c>
      <c r="H14192" t="s">
        <v>28921</v>
      </c>
      <c r="J14192" t="s">
        <v>29538</v>
      </c>
      <c r="L14192" t="s">
        <v>30198</v>
      </c>
      <c r="N14192" t="s">
        <v>30487</v>
      </c>
      <c r="O14192" t="s">
        <v>32101</v>
      </c>
      <c r="P14192" t="s">
        <v>32128</v>
      </c>
      <c r="R14192" s="26" t="str">
        <f t="shared" si="63"/>
        <v>Kobuvirus aichi</v>
      </c>
      <c r="S14192" t="s">
        <v>8141</v>
      </c>
      <c r="T14192" t="s">
        <v>32154</v>
      </c>
      <c r="U14192" t="s">
        <v>32155</v>
      </c>
      <c r="V14192" t="s">
        <v>32156</v>
      </c>
      <c r="W14192" t="s">
        <v>50052</v>
      </c>
      <c r="X14192" t="s">
        <v>42</v>
      </c>
      <c r="Y14192" t="s">
        <v>17171</v>
      </c>
      <c r="Z14192" t="s">
        <v>166</v>
      </c>
      <c r="AA14192" s="22" t="str">
        <f>HYPERLINK("https://www.ncbi.nlm.nih.gov/nuccore/MF352432","NCBI Nucleotide")</f>
        <v>NCBI Nucleotide</v>
      </c>
    </row>
    <row r="14193" spans="1:27" x14ac:dyDescent="0.35">
      <c r="A14193">
        <v>1011858</v>
      </c>
      <c r="B14193">
        <v>12828</v>
      </c>
      <c r="C14193">
        <v>10</v>
      </c>
      <c r="D14193" t="s">
        <v>17166</v>
      </c>
      <c r="F14193" t="s">
        <v>17246</v>
      </c>
      <c r="H14193" t="s">
        <v>28921</v>
      </c>
      <c r="J14193" t="s">
        <v>29538</v>
      </c>
      <c r="L14193" t="s">
        <v>30198</v>
      </c>
      <c r="N14193" t="s">
        <v>30487</v>
      </c>
      <c r="O14193" t="s">
        <v>32101</v>
      </c>
      <c r="P14193" t="s">
        <v>32128</v>
      </c>
      <c r="R14193" s="26" t="str">
        <f t="shared" si="63"/>
        <v>Kobuvirus aichi</v>
      </c>
      <c r="S14193" t="s">
        <v>8141</v>
      </c>
      <c r="T14193" t="s">
        <v>32157</v>
      </c>
      <c r="U14193" t="s">
        <v>32158</v>
      </c>
      <c r="V14193" t="s">
        <v>32159</v>
      </c>
      <c r="W14193" t="s">
        <v>50053</v>
      </c>
      <c r="X14193" t="s">
        <v>154</v>
      </c>
      <c r="Y14193" t="s">
        <v>17171</v>
      </c>
      <c r="Z14193" t="s">
        <v>166</v>
      </c>
      <c r="AA14193" s="22" t="str">
        <f>HYPERLINK("https://www.ncbi.nlm.nih.gov/nuccore/MF947429","NCBI Nucleotide")</f>
        <v>NCBI Nucleotide</v>
      </c>
    </row>
    <row r="14194" spans="1:27" x14ac:dyDescent="0.35">
      <c r="A14194">
        <v>1002222</v>
      </c>
      <c r="B14194">
        <v>12829</v>
      </c>
      <c r="C14194">
        <v>1</v>
      </c>
      <c r="D14194" t="s">
        <v>17166</v>
      </c>
      <c r="F14194" t="s">
        <v>17246</v>
      </c>
      <c r="H14194" t="s">
        <v>28921</v>
      </c>
      <c r="J14194" t="s">
        <v>29538</v>
      </c>
      <c r="L14194" t="s">
        <v>30198</v>
      </c>
      <c r="N14194" t="s">
        <v>30487</v>
      </c>
      <c r="O14194" t="s">
        <v>32101</v>
      </c>
      <c r="P14194" t="s">
        <v>32128</v>
      </c>
      <c r="R14194" s="26" t="str">
        <f>HYPERLINK("https://ictv.global/taxonomy/taxondetails?taxnode_id=202302016","Kobuvirus bejaponia")</f>
        <v>Kobuvirus bejaponia</v>
      </c>
      <c r="S14194" t="s">
        <v>30</v>
      </c>
      <c r="T14194" t="s">
        <v>32160</v>
      </c>
      <c r="U14194" t="s">
        <v>32161</v>
      </c>
      <c r="V14194" t="s">
        <v>32162</v>
      </c>
      <c r="W14194" t="s">
        <v>32163</v>
      </c>
      <c r="X14194" t="s">
        <v>42</v>
      </c>
      <c r="Y14194" t="s">
        <v>17171</v>
      </c>
      <c r="Z14194" t="s">
        <v>166</v>
      </c>
      <c r="AA14194" s="22" t="str">
        <f>HYPERLINK("https://www.ncbi.nlm.nih.gov/nuccore/AB084788","NCBI Nucleotide")</f>
        <v>NCBI Nucleotide</v>
      </c>
    </row>
    <row r="14195" spans="1:27" x14ac:dyDescent="0.35">
      <c r="A14195">
        <v>1011859</v>
      </c>
      <c r="B14195">
        <v>12829</v>
      </c>
      <c r="C14195">
        <v>2</v>
      </c>
      <c r="D14195" t="s">
        <v>17166</v>
      </c>
      <c r="F14195" t="s">
        <v>17246</v>
      </c>
      <c r="H14195" t="s">
        <v>28921</v>
      </c>
      <c r="J14195" t="s">
        <v>29538</v>
      </c>
      <c r="L14195" t="s">
        <v>30198</v>
      </c>
      <c r="N14195" t="s">
        <v>30487</v>
      </c>
      <c r="O14195" t="s">
        <v>32101</v>
      </c>
      <c r="P14195" t="s">
        <v>32128</v>
      </c>
      <c r="R14195" s="26" t="str">
        <f>HYPERLINK("https://ictv.global/taxonomy/taxondetails?taxnode_id=202302016","Kobuvirus bejaponia")</f>
        <v>Kobuvirus bejaponia</v>
      </c>
      <c r="S14195" t="s">
        <v>8141</v>
      </c>
      <c r="T14195" t="s">
        <v>32164</v>
      </c>
      <c r="U14195" t="s">
        <v>32165</v>
      </c>
      <c r="V14195" t="s">
        <v>32166</v>
      </c>
      <c r="W14195" t="s">
        <v>50054</v>
      </c>
      <c r="X14195" t="s">
        <v>42</v>
      </c>
      <c r="Y14195" t="s">
        <v>17171</v>
      </c>
      <c r="Z14195" t="s">
        <v>166</v>
      </c>
      <c r="AA14195" s="22" t="str">
        <f>HYPERLINK("https://www.ncbi.nlm.nih.gov/nuccore/KF006985","NCBI Nucleotide")</f>
        <v>NCBI Nucleotide</v>
      </c>
    </row>
    <row r="14196" spans="1:27" x14ac:dyDescent="0.35">
      <c r="A14196">
        <v>1011860</v>
      </c>
      <c r="B14196">
        <v>12829</v>
      </c>
      <c r="C14196">
        <v>3</v>
      </c>
      <c r="D14196" t="s">
        <v>17166</v>
      </c>
      <c r="F14196" t="s">
        <v>17246</v>
      </c>
      <c r="H14196" t="s">
        <v>28921</v>
      </c>
      <c r="J14196" t="s">
        <v>29538</v>
      </c>
      <c r="L14196" t="s">
        <v>30198</v>
      </c>
      <c r="N14196" t="s">
        <v>30487</v>
      </c>
      <c r="O14196" t="s">
        <v>32101</v>
      </c>
      <c r="P14196" t="s">
        <v>32128</v>
      </c>
      <c r="R14196" s="26" t="str">
        <f>HYPERLINK("https://ictv.global/taxonomy/taxondetails?taxnode_id=202302016","Kobuvirus bejaponia")</f>
        <v>Kobuvirus bejaponia</v>
      </c>
      <c r="S14196" t="s">
        <v>8141</v>
      </c>
      <c r="T14196" t="s">
        <v>32167</v>
      </c>
      <c r="U14196" t="s">
        <v>32168</v>
      </c>
      <c r="V14196" t="s">
        <v>32169</v>
      </c>
      <c r="W14196" t="s">
        <v>50055</v>
      </c>
      <c r="X14196" t="s">
        <v>42</v>
      </c>
      <c r="Y14196" t="s">
        <v>17171</v>
      </c>
      <c r="Z14196" t="s">
        <v>166</v>
      </c>
      <c r="AA14196" s="22" t="str">
        <f>HYPERLINK("https://www.ncbi.nlm.nih.gov/nuccore/GU245693","NCBI Nucleotide")</f>
        <v>NCBI Nucleotide</v>
      </c>
    </row>
    <row r="14197" spans="1:27" x14ac:dyDescent="0.35">
      <c r="A14197">
        <v>1002223</v>
      </c>
      <c r="B14197">
        <v>12830</v>
      </c>
      <c r="C14197">
        <v>1</v>
      </c>
      <c r="D14197" t="s">
        <v>17166</v>
      </c>
      <c r="F14197" t="s">
        <v>17246</v>
      </c>
      <c r="H14197" t="s">
        <v>28921</v>
      </c>
      <c r="J14197" t="s">
        <v>29538</v>
      </c>
      <c r="L14197" t="s">
        <v>30198</v>
      </c>
      <c r="N14197" t="s">
        <v>30487</v>
      </c>
      <c r="O14197" t="s">
        <v>32101</v>
      </c>
      <c r="P14197" t="s">
        <v>32128</v>
      </c>
      <c r="R14197" s="26" t="str">
        <f>HYPERLINK("https://ictv.global/taxonomy/taxondetails?taxnode_id=202302017","Kobuvirus cebes")</f>
        <v>Kobuvirus cebes</v>
      </c>
      <c r="S14197" t="s">
        <v>30</v>
      </c>
      <c r="T14197" t="s">
        <v>32170</v>
      </c>
      <c r="U14197" t="s">
        <v>32171</v>
      </c>
      <c r="V14197" t="s">
        <v>32172</v>
      </c>
      <c r="W14197" t="s">
        <v>32173</v>
      </c>
      <c r="X14197" t="s">
        <v>42</v>
      </c>
      <c r="Y14197" t="s">
        <v>17171</v>
      </c>
      <c r="Z14197" t="s">
        <v>166</v>
      </c>
      <c r="AA14197" s="22" t="str">
        <f>HYPERLINK("https://www.ncbi.nlm.nih.gov/nuccore/EU787450","NCBI Nucleotide")</f>
        <v>NCBI Nucleotide</v>
      </c>
    </row>
    <row r="14198" spans="1:27" x14ac:dyDescent="0.35">
      <c r="A14198">
        <v>1011861</v>
      </c>
      <c r="B14198">
        <v>12830</v>
      </c>
      <c r="C14198">
        <v>2</v>
      </c>
      <c r="D14198" t="s">
        <v>17166</v>
      </c>
      <c r="F14198" t="s">
        <v>17246</v>
      </c>
      <c r="H14198" t="s">
        <v>28921</v>
      </c>
      <c r="J14198" t="s">
        <v>29538</v>
      </c>
      <c r="L14198" t="s">
        <v>30198</v>
      </c>
      <c r="N14198" t="s">
        <v>30487</v>
      </c>
      <c r="O14198" t="s">
        <v>32101</v>
      </c>
      <c r="P14198" t="s">
        <v>32128</v>
      </c>
      <c r="R14198" s="26" t="str">
        <f>HYPERLINK("https://ictv.global/taxonomy/taxondetails?taxnode_id=202302017","Kobuvirus cebes")</f>
        <v>Kobuvirus cebes</v>
      </c>
      <c r="S14198" t="s">
        <v>8141</v>
      </c>
      <c r="T14198" t="s">
        <v>32174</v>
      </c>
      <c r="U14198" t="s">
        <v>32175</v>
      </c>
      <c r="V14198" t="s">
        <v>32176</v>
      </c>
      <c r="W14198" t="s">
        <v>50056</v>
      </c>
      <c r="X14198" t="s">
        <v>42</v>
      </c>
      <c r="Y14198" t="s">
        <v>17171</v>
      </c>
      <c r="Z14198" t="s">
        <v>166</v>
      </c>
      <c r="AA14198" s="22" t="str">
        <f>HYPERLINK("https://www.ncbi.nlm.nih.gov/nuccore/KF793927","NCBI Nucleotide")</f>
        <v>NCBI Nucleotide</v>
      </c>
    </row>
    <row r="14199" spans="1:27" x14ac:dyDescent="0.35">
      <c r="A14199">
        <v>1002224</v>
      </c>
      <c r="B14199">
        <v>12831</v>
      </c>
      <c r="C14199">
        <v>1</v>
      </c>
      <c r="D14199" t="s">
        <v>17166</v>
      </c>
      <c r="F14199" t="s">
        <v>17246</v>
      </c>
      <c r="H14199" t="s">
        <v>28921</v>
      </c>
      <c r="J14199" t="s">
        <v>29538</v>
      </c>
      <c r="L14199" t="s">
        <v>30198</v>
      </c>
      <c r="N14199" t="s">
        <v>30487</v>
      </c>
      <c r="O14199" t="s">
        <v>32101</v>
      </c>
      <c r="P14199" t="s">
        <v>32128</v>
      </c>
      <c r="R14199" s="26" t="str">
        <f>HYPERLINK("https://ictv.global/taxonomy/taxondetails?taxnode_id=202302018","Kobuvirus dekago")</f>
        <v>Kobuvirus dekago</v>
      </c>
      <c r="S14199" t="s">
        <v>30</v>
      </c>
      <c r="T14199" t="s">
        <v>32177</v>
      </c>
      <c r="U14199" t="s">
        <v>32178</v>
      </c>
      <c r="V14199" t="s">
        <v>32179</v>
      </c>
      <c r="W14199" t="s">
        <v>32180</v>
      </c>
      <c r="X14199" t="s">
        <v>42</v>
      </c>
      <c r="Y14199" t="s">
        <v>17171</v>
      </c>
      <c r="Z14199" t="s">
        <v>166</v>
      </c>
      <c r="AA14199" s="22" t="str">
        <f>HYPERLINK("https://www.ncbi.nlm.nih.gov/nuccore/LC055961","NCBI Nucleotide")</f>
        <v>NCBI Nucleotide</v>
      </c>
    </row>
    <row r="14200" spans="1:27" x14ac:dyDescent="0.35">
      <c r="A14200">
        <v>1011862</v>
      </c>
      <c r="B14200">
        <v>12831</v>
      </c>
      <c r="C14200">
        <v>2</v>
      </c>
      <c r="D14200" t="s">
        <v>17166</v>
      </c>
      <c r="F14200" t="s">
        <v>17246</v>
      </c>
      <c r="H14200" t="s">
        <v>28921</v>
      </c>
      <c r="J14200" t="s">
        <v>29538</v>
      </c>
      <c r="L14200" t="s">
        <v>30198</v>
      </c>
      <c r="N14200" t="s">
        <v>30487</v>
      </c>
      <c r="O14200" t="s">
        <v>32101</v>
      </c>
      <c r="P14200" t="s">
        <v>32128</v>
      </c>
      <c r="R14200" s="26" t="str">
        <f>HYPERLINK("https://ictv.global/taxonomy/taxondetails?taxnode_id=202302018","Kobuvirus dekago")</f>
        <v>Kobuvirus dekago</v>
      </c>
      <c r="S14200" t="s">
        <v>8141</v>
      </c>
      <c r="T14200" t="s">
        <v>32181</v>
      </c>
      <c r="U14200" t="s">
        <v>32182</v>
      </c>
      <c r="V14200" t="s">
        <v>32183</v>
      </c>
      <c r="W14200" t="s">
        <v>50057</v>
      </c>
      <c r="X14200" t="s">
        <v>42</v>
      </c>
      <c r="Y14200" t="s">
        <v>17171</v>
      </c>
      <c r="Z14200" t="s">
        <v>166</v>
      </c>
      <c r="AA14200" s="22" t="str">
        <f>HYPERLINK("https://www.ncbi.nlm.nih.gov/nuccore/LC055960","NCBI Nucleotide")</f>
        <v>NCBI Nucleotide</v>
      </c>
    </row>
    <row r="14201" spans="1:27" x14ac:dyDescent="0.35">
      <c r="A14201">
        <v>1002225</v>
      </c>
      <c r="B14201">
        <v>12832</v>
      </c>
      <c r="C14201">
        <v>1</v>
      </c>
      <c r="D14201" t="s">
        <v>17166</v>
      </c>
      <c r="F14201" t="s">
        <v>17246</v>
      </c>
      <c r="H14201" t="s">
        <v>28921</v>
      </c>
      <c r="J14201" t="s">
        <v>29538</v>
      </c>
      <c r="L14201" t="s">
        <v>30198</v>
      </c>
      <c r="N14201" t="s">
        <v>30487</v>
      </c>
      <c r="O14201" t="s">
        <v>32101</v>
      </c>
      <c r="P14201" t="s">
        <v>32128</v>
      </c>
      <c r="R14201" s="26" t="str">
        <f>HYPERLINK("https://ictv.global/taxonomy/taxondetails?taxnode_id=202302019","Kobuvirus ecuni")</f>
        <v>Kobuvirus ecuni</v>
      </c>
      <c r="S14201" t="s">
        <v>30</v>
      </c>
      <c r="T14201" t="s">
        <v>32184</v>
      </c>
      <c r="U14201" t="s">
        <v>32185</v>
      </c>
      <c r="V14201" t="s">
        <v>50994</v>
      </c>
      <c r="W14201" t="s">
        <v>50995</v>
      </c>
      <c r="X14201" t="s">
        <v>42</v>
      </c>
      <c r="Y14201" t="s">
        <v>17171</v>
      </c>
      <c r="Z14201" t="s">
        <v>166</v>
      </c>
      <c r="AA14201" s="22" t="str">
        <f>HYPERLINK("https://www.ncbi.nlm.nih.gov/nuccore/KT325852","NCBI Nucleotide")</f>
        <v>NCBI Nucleotide</v>
      </c>
    </row>
    <row r="14202" spans="1:27" x14ac:dyDescent="0.35">
      <c r="A14202">
        <v>1002226</v>
      </c>
      <c r="B14202">
        <v>12833</v>
      </c>
      <c r="C14202">
        <v>1</v>
      </c>
      <c r="D14202" t="s">
        <v>17166</v>
      </c>
      <c r="F14202" t="s">
        <v>17246</v>
      </c>
      <c r="H14202" t="s">
        <v>28921</v>
      </c>
      <c r="J14202" t="s">
        <v>29538</v>
      </c>
      <c r="L14202" t="s">
        <v>30198</v>
      </c>
      <c r="N14202" t="s">
        <v>30487</v>
      </c>
      <c r="O14202" t="s">
        <v>32101</v>
      </c>
      <c r="P14202" t="s">
        <v>32128</v>
      </c>
      <c r="R14202" s="26" t="str">
        <f>HYPERLINK("https://ictv.global/taxonomy/taxondetails?taxnode_id=202302020","Kobuvirus femyomini")</f>
        <v>Kobuvirus femyomini</v>
      </c>
      <c r="S14202" t="s">
        <v>30</v>
      </c>
      <c r="T14202" t="s">
        <v>32186</v>
      </c>
      <c r="U14202" t="s">
        <v>32187</v>
      </c>
      <c r="V14202" t="s">
        <v>32188</v>
      </c>
      <c r="W14202" t="s">
        <v>32189</v>
      </c>
      <c r="X14202" t="s">
        <v>154</v>
      </c>
      <c r="Y14202" t="s">
        <v>17171</v>
      </c>
      <c r="Z14202" t="s">
        <v>166</v>
      </c>
      <c r="AA14202" s="22" t="str">
        <f>HYPERLINK("https://www.ncbi.nlm.nih.gov/nuccore/KJ641686","NCBI Nucleotide")</f>
        <v>NCBI Nucleotide</v>
      </c>
    </row>
    <row r="14203" spans="1:27" x14ac:dyDescent="0.35">
      <c r="A14203">
        <v>1011863</v>
      </c>
      <c r="B14203">
        <v>12833</v>
      </c>
      <c r="C14203">
        <v>2</v>
      </c>
      <c r="D14203" t="s">
        <v>17166</v>
      </c>
      <c r="F14203" t="s">
        <v>17246</v>
      </c>
      <c r="H14203" t="s">
        <v>28921</v>
      </c>
      <c r="J14203" t="s">
        <v>29538</v>
      </c>
      <c r="L14203" t="s">
        <v>30198</v>
      </c>
      <c r="N14203" t="s">
        <v>30487</v>
      </c>
      <c r="O14203" t="s">
        <v>32101</v>
      </c>
      <c r="P14203" t="s">
        <v>32128</v>
      </c>
      <c r="R14203" s="26" t="str">
        <f>HYPERLINK("https://ictv.global/taxonomy/taxondetails?taxnode_id=202302020","Kobuvirus femyomini")</f>
        <v>Kobuvirus femyomini</v>
      </c>
      <c r="S14203" t="s">
        <v>8141</v>
      </c>
      <c r="T14203" t="s">
        <v>32190</v>
      </c>
      <c r="U14203" t="s">
        <v>32191</v>
      </c>
      <c r="V14203" t="s">
        <v>32192</v>
      </c>
      <c r="W14203" t="s">
        <v>50058</v>
      </c>
      <c r="X14203" t="s">
        <v>154</v>
      </c>
      <c r="Y14203" t="s">
        <v>17171</v>
      </c>
      <c r="Z14203" t="s">
        <v>166</v>
      </c>
      <c r="AA14203" s="22" t="str">
        <f>HYPERLINK("https://www.ncbi.nlm.nih.gov/nuccore/KJ641691","NCBI Nucleotide")</f>
        <v>NCBI Nucleotide</v>
      </c>
    </row>
    <row r="14204" spans="1:27" x14ac:dyDescent="0.35">
      <c r="A14204">
        <v>1002227</v>
      </c>
      <c r="B14204">
        <v>12834</v>
      </c>
      <c r="C14204">
        <v>1</v>
      </c>
      <c r="D14204" t="s">
        <v>17166</v>
      </c>
      <c r="F14204" t="s">
        <v>17246</v>
      </c>
      <c r="H14204" t="s">
        <v>28921</v>
      </c>
      <c r="J14204" t="s">
        <v>29538</v>
      </c>
      <c r="L14204" t="s">
        <v>30198</v>
      </c>
      <c r="N14204" t="s">
        <v>30487</v>
      </c>
      <c r="O14204" t="s">
        <v>32101</v>
      </c>
      <c r="P14204" t="s">
        <v>32193</v>
      </c>
      <c r="R14204" s="26" t="str">
        <f>HYPERLINK("https://ictv.global/taxonomy/taxondetails?taxnode_id=202306315","Livupivirus asmonewi")</f>
        <v>Livupivirus asmonewi</v>
      </c>
      <c r="S14204" t="s">
        <v>30</v>
      </c>
      <c r="T14204" t="s">
        <v>32194</v>
      </c>
      <c r="U14204" t="s">
        <v>32195</v>
      </c>
      <c r="V14204" t="s">
        <v>32196</v>
      </c>
      <c r="W14204" t="s">
        <v>32197</v>
      </c>
      <c r="X14204" t="s">
        <v>42</v>
      </c>
      <c r="Y14204" t="s">
        <v>17171</v>
      </c>
      <c r="Z14204" t="s">
        <v>166</v>
      </c>
      <c r="AA14204" s="22" t="str">
        <f>HYPERLINK("https://www.ncbi.nlm.nih.gov/nuccore/KX463670","NCBI Nucleotide")</f>
        <v>NCBI Nucleotide</v>
      </c>
    </row>
    <row r="14205" spans="1:27" x14ac:dyDescent="0.35">
      <c r="A14205">
        <v>1002228</v>
      </c>
      <c r="B14205">
        <v>12835</v>
      </c>
      <c r="C14205">
        <v>1</v>
      </c>
      <c r="D14205" t="s">
        <v>17166</v>
      </c>
      <c r="F14205" t="s">
        <v>17246</v>
      </c>
      <c r="H14205" t="s">
        <v>28921</v>
      </c>
      <c r="J14205" t="s">
        <v>29538</v>
      </c>
      <c r="L14205" t="s">
        <v>30198</v>
      </c>
      <c r="N14205" t="s">
        <v>30487</v>
      </c>
      <c r="O14205" t="s">
        <v>32101</v>
      </c>
      <c r="P14205" t="s">
        <v>32198</v>
      </c>
      <c r="R14205" s="26" t="str">
        <f>HYPERLINK("https://ictv.global/taxonomy/taxondetails?taxnode_id=202307359","Ludopivirus agrewhifrogo")</f>
        <v>Ludopivirus agrewhifrogo</v>
      </c>
      <c r="S14205" t="s">
        <v>30</v>
      </c>
      <c r="T14205" t="s">
        <v>32199</v>
      </c>
      <c r="U14205" t="s">
        <v>32200</v>
      </c>
      <c r="V14205" t="s">
        <v>32201</v>
      </c>
      <c r="W14205" t="s">
        <v>32202</v>
      </c>
      <c r="X14205" t="s">
        <v>42</v>
      </c>
      <c r="Y14205" t="s">
        <v>17171</v>
      </c>
      <c r="Z14205" t="s">
        <v>166</v>
      </c>
      <c r="AA14205" s="22" t="str">
        <f>HYPERLINK("https://www.ncbi.nlm.nih.gov/nuccore/MF358731","NCBI Nucleotide")</f>
        <v>NCBI Nucleotide</v>
      </c>
    </row>
    <row r="14206" spans="1:27" x14ac:dyDescent="0.35">
      <c r="A14206">
        <v>1002229</v>
      </c>
      <c r="B14206">
        <v>12836</v>
      </c>
      <c r="C14206">
        <v>1</v>
      </c>
      <c r="D14206" t="s">
        <v>17166</v>
      </c>
      <c r="F14206" t="s">
        <v>17246</v>
      </c>
      <c r="H14206" t="s">
        <v>28921</v>
      </c>
      <c r="J14206" t="s">
        <v>29538</v>
      </c>
      <c r="L14206" t="s">
        <v>30198</v>
      </c>
      <c r="N14206" t="s">
        <v>30487</v>
      </c>
      <c r="O14206" t="s">
        <v>32101</v>
      </c>
      <c r="P14206" t="s">
        <v>32203</v>
      </c>
      <c r="R14206" s="26" t="str">
        <f>HYPERLINK("https://ictv.global/taxonomy/taxondetails?taxnode_id=202302028","Megrivirus aturhepa")</f>
        <v>Megrivirus aturhepa</v>
      </c>
      <c r="S14206" t="s">
        <v>30</v>
      </c>
      <c r="T14206" t="s">
        <v>32204</v>
      </c>
      <c r="U14206" t="s">
        <v>32205</v>
      </c>
      <c r="V14206" t="s">
        <v>32206</v>
      </c>
      <c r="W14206" t="s">
        <v>32207</v>
      </c>
      <c r="X14206" t="s">
        <v>42</v>
      </c>
      <c r="Y14206" t="s">
        <v>17171</v>
      </c>
      <c r="Z14206" t="s">
        <v>166</v>
      </c>
      <c r="AA14206" s="22" t="str">
        <f>HYPERLINK("https://www.ncbi.nlm.nih.gov/nuccore/KC663628","NCBI Nucleotide")</f>
        <v>NCBI Nucleotide</v>
      </c>
    </row>
    <row r="14207" spans="1:27" x14ac:dyDescent="0.35">
      <c r="A14207">
        <v>1011864</v>
      </c>
      <c r="B14207">
        <v>12836</v>
      </c>
      <c r="C14207">
        <v>2</v>
      </c>
      <c r="D14207" t="s">
        <v>17166</v>
      </c>
      <c r="F14207" t="s">
        <v>17246</v>
      </c>
      <c r="H14207" t="s">
        <v>28921</v>
      </c>
      <c r="J14207" t="s">
        <v>29538</v>
      </c>
      <c r="L14207" t="s">
        <v>30198</v>
      </c>
      <c r="N14207" t="s">
        <v>30487</v>
      </c>
      <c r="O14207" t="s">
        <v>32101</v>
      </c>
      <c r="P14207" t="s">
        <v>32203</v>
      </c>
      <c r="R14207" s="26" t="str">
        <f>HYPERLINK("https://ictv.global/taxonomy/taxondetails?taxnode_id=202302028","Megrivirus aturhepa")</f>
        <v>Megrivirus aturhepa</v>
      </c>
      <c r="S14207" t="s">
        <v>8141</v>
      </c>
      <c r="T14207" t="s">
        <v>32208</v>
      </c>
      <c r="U14207" t="s">
        <v>32209</v>
      </c>
      <c r="V14207" t="s">
        <v>32210</v>
      </c>
      <c r="W14207" t="s">
        <v>50059</v>
      </c>
      <c r="X14207" t="s">
        <v>42</v>
      </c>
      <c r="Y14207" t="s">
        <v>17171</v>
      </c>
      <c r="Z14207" t="s">
        <v>166</v>
      </c>
      <c r="AA14207" s="22" t="str">
        <f>HYPERLINK("https://www.ncbi.nlm.nih.gov/nuccore/KY369299","NCBI Nucleotide")</f>
        <v>NCBI Nucleotide</v>
      </c>
    </row>
    <row r="14208" spans="1:27" x14ac:dyDescent="0.35">
      <c r="A14208">
        <v>1011865</v>
      </c>
      <c r="B14208">
        <v>12836</v>
      </c>
      <c r="C14208">
        <v>3</v>
      </c>
      <c r="D14208" t="s">
        <v>17166</v>
      </c>
      <c r="F14208" t="s">
        <v>17246</v>
      </c>
      <c r="H14208" t="s">
        <v>28921</v>
      </c>
      <c r="J14208" t="s">
        <v>29538</v>
      </c>
      <c r="L14208" t="s">
        <v>30198</v>
      </c>
      <c r="N14208" t="s">
        <v>30487</v>
      </c>
      <c r="O14208" t="s">
        <v>32101</v>
      </c>
      <c r="P14208" t="s">
        <v>32203</v>
      </c>
      <c r="R14208" s="26" t="str">
        <f>HYPERLINK("https://ictv.global/taxonomy/taxondetails?taxnode_id=202302028","Megrivirus aturhepa")</f>
        <v>Megrivirus aturhepa</v>
      </c>
      <c r="S14208" t="s">
        <v>8141</v>
      </c>
      <c r="T14208" t="s">
        <v>32211</v>
      </c>
      <c r="V14208" t="s">
        <v>32212</v>
      </c>
      <c r="W14208" t="s">
        <v>50060</v>
      </c>
      <c r="X14208" t="s">
        <v>42</v>
      </c>
      <c r="Y14208" t="s">
        <v>17171</v>
      </c>
      <c r="Z14208" t="s">
        <v>166</v>
      </c>
      <c r="AA14208" s="22" t="str">
        <f>HYPERLINK("https://www.ncbi.nlm.nih.gov/nuccore/KY369300","NCBI Nucleotide")</f>
        <v>NCBI Nucleotide</v>
      </c>
    </row>
    <row r="14209" spans="1:27" x14ac:dyDescent="0.35">
      <c r="A14209">
        <v>1002230</v>
      </c>
      <c r="B14209">
        <v>12837</v>
      </c>
      <c r="C14209">
        <v>1</v>
      </c>
      <c r="D14209" t="s">
        <v>17166</v>
      </c>
      <c r="F14209" t="s">
        <v>17246</v>
      </c>
      <c r="H14209" t="s">
        <v>28921</v>
      </c>
      <c r="J14209" t="s">
        <v>29538</v>
      </c>
      <c r="L14209" t="s">
        <v>30198</v>
      </c>
      <c r="N14209" t="s">
        <v>30487</v>
      </c>
      <c r="O14209" t="s">
        <v>32101</v>
      </c>
      <c r="P14209" t="s">
        <v>32203</v>
      </c>
      <c r="R14209" s="26" t="str">
        <f>HYPERLINK("https://ictv.global/taxonomy/taxondetails?taxnode_id=202305600","Megrivirus berockdo")</f>
        <v>Megrivirus berockdo</v>
      </c>
      <c r="S14209" t="s">
        <v>30</v>
      </c>
      <c r="T14209" t="s">
        <v>32213</v>
      </c>
      <c r="U14209" t="s">
        <v>32214</v>
      </c>
      <c r="V14209" t="s">
        <v>32215</v>
      </c>
      <c r="W14209" t="s">
        <v>32216</v>
      </c>
      <c r="X14209" t="s">
        <v>35</v>
      </c>
      <c r="Y14209" t="s">
        <v>17171</v>
      </c>
      <c r="Z14209" t="s">
        <v>166</v>
      </c>
      <c r="AA14209" s="22" t="str">
        <f>HYPERLINK("https://www.ncbi.nlm.nih.gov/nuccore/KC876003","NCBI Nucleotide")</f>
        <v>NCBI Nucleotide</v>
      </c>
    </row>
    <row r="14210" spans="1:27" x14ac:dyDescent="0.35">
      <c r="A14210">
        <v>1011866</v>
      </c>
      <c r="B14210">
        <v>12837</v>
      </c>
      <c r="C14210">
        <v>2</v>
      </c>
      <c r="D14210" t="s">
        <v>17166</v>
      </c>
      <c r="F14210" t="s">
        <v>17246</v>
      </c>
      <c r="H14210" t="s">
        <v>28921</v>
      </c>
      <c r="J14210" t="s">
        <v>29538</v>
      </c>
      <c r="L14210" t="s">
        <v>30198</v>
      </c>
      <c r="N14210" t="s">
        <v>30487</v>
      </c>
      <c r="O14210" t="s">
        <v>32101</v>
      </c>
      <c r="P14210" t="s">
        <v>32203</v>
      </c>
      <c r="R14210" s="26" t="str">
        <f>HYPERLINK("https://ictv.global/taxonomy/taxondetails?taxnode_id=202305600","Megrivirus berockdo")</f>
        <v>Megrivirus berockdo</v>
      </c>
      <c r="S14210" t="s">
        <v>8141</v>
      </c>
      <c r="T14210" t="s">
        <v>32217</v>
      </c>
      <c r="U14210" t="s">
        <v>32218</v>
      </c>
      <c r="V14210" t="s">
        <v>32219</v>
      </c>
      <c r="W14210" t="s">
        <v>50061</v>
      </c>
      <c r="X14210" t="s">
        <v>42</v>
      </c>
      <c r="Y14210" t="s">
        <v>17171</v>
      </c>
      <c r="Z14210" t="s">
        <v>166</v>
      </c>
      <c r="AA14210" s="22" t="str">
        <f>HYPERLINK("https://www.ncbi.nlm.nih.gov/nuccore/KC811837","NCBI Nucleotide")</f>
        <v>NCBI Nucleotide</v>
      </c>
    </row>
    <row r="14211" spans="1:27" x14ac:dyDescent="0.35">
      <c r="A14211">
        <v>1002231</v>
      </c>
      <c r="B14211">
        <v>12838</v>
      </c>
      <c r="C14211">
        <v>1</v>
      </c>
      <c r="D14211" t="s">
        <v>17166</v>
      </c>
      <c r="F14211" t="s">
        <v>17246</v>
      </c>
      <c r="H14211" t="s">
        <v>28921</v>
      </c>
      <c r="J14211" t="s">
        <v>29538</v>
      </c>
      <c r="L14211" t="s">
        <v>30198</v>
      </c>
      <c r="N14211" t="s">
        <v>30487</v>
      </c>
      <c r="O14211" t="s">
        <v>32101</v>
      </c>
      <c r="P14211" t="s">
        <v>32203</v>
      </c>
      <c r="R14211" s="26" t="str">
        <f>HYPERLINK("https://ictv.global/taxonomy/taxondetails?taxnode_id=202305601","Megrivirus chigalli")</f>
        <v>Megrivirus chigalli</v>
      </c>
      <c r="S14211" t="s">
        <v>30</v>
      </c>
      <c r="T14211" t="s">
        <v>32220</v>
      </c>
      <c r="U14211" t="s">
        <v>32221</v>
      </c>
      <c r="V14211" t="s">
        <v>32222</v>
      </c>
      <c r="W14211" t="s">
        <v>32223</v>
      </c>
      <c r="X14211" t="s">
        <v>42</v>
      </c>
      <c r="Y14211" t="s">
        <v>17171</v>
      </c>
      <c r="Z14211" t="s">
        <v>166</v>
      </c>
      <c r="AA14211" s="22" t="str">
        <f>HYPERLINK("https://www.ncbi.nlm.nih.gov/nuccore/KF961186","NCBI Nucleotide")</f>
        <v>NCBI Nucleotide</v>
      </c>
    </row>
    <row r="14212" spans="1:27" x14ac:dyDescent="0.35">
      <c r="A14212">
        <v>1011869</v>
      </c>
      <c r="B14212">
        <v>12838</v>
      </c>
      <c r="C14212">
        <v>2</v>
      </c>
      <c r="D14212" t="s">
        <v>17166</v>
      </c>
      <c r="F14212" t="s">
        <v>17246</v>
      </c>
      <c r="H14212" t="s">
        <v>28921</v>
      </c>
      <c r="J14212" t="s">
        <v>29538</v>
      </c>
      <c r="L14212" t="s">
        <v>30198</v>
      </c>
      <c r="N14212" t="s">
        <v>30487</v>
      </c>
      <c r="O14212" t="s">
        <v>32101</v>
      </c>
      <c r="P14212" t="s">
        <v>32203</v>
      </c>
      <c r="R14212" s="26" t="str">
        <f>HYPERLINK("https://ictv.global/taxonomy/taxondetails?taxnode_id=202305601","Megrivirus chigalli")</f>
        <v>Megrivirus chigalli</v>
      </c>
      <c r="S14212" t="s">
        <v>8141</v>
      </c>
      <c r="T14212" t="s">
        <v>32230</v>
      </c>
      <c r="V14212" t="s">
        <v>32231</v>
      </c>
      <c r="W14212" t="s">
        <v>50062</v>
      </c>
      <c r="X14212" t="s">
        <v>42</v>
      </c>
      <c r="Y14212" t="s">
        <v>17171</v>
      </c>
      <c r="Z14212" t="s">
        <v>166</v>
      </c>
      <c r="AA14212" s="22" t="str">
        <f>HYPERLINK("https://www.ncbi.nlm.nih.gov/nuccore/HM751199","NCBI Nucleotide")</f>
        <v>NCBI Nucleotide</v>
      </c>
    </row>
    <row r="14213" spans="1:27" x14ac:dyDescent="0.35">
      <c r="A14213">
        <v>1011867</v>
      </c>
      <c r="B14213">
        <v>12838</v>
      </c>
      <c r="C14213">
        <v>3</v>
      </c>
      <c r="D14213" t="s">
        <v>17166</v>
      </c>
      <c r="F14213" t="s">
        <v>17246</v>
      </c>
      <c r="H14213" t="s">
        <v>28921</v>
      </c>
      <c r="J14213" t="s">
        <v>29538</v>
      </c>
      <c r="L14213" t="s">
        <v>30198</v>
      </c>
      <c r="N14213" t="s">
        <v>30487</v>
      </c>
      <c r="O14213" t="s">
        <v>32101</v>
      </c>
      <c r="P14213" t="s">
        <v>32203</v>
      </c>
      <c r="R14213" s="26" t="str">
        <f>HYPERLINK("https://ictv.global/taxonomy/taxondetails?taxnode_id=202305601","Megrivirus chigalli")</f>
        <v>Megrivirus chigalli</v>
      </c>
      <c r="S14213" t="s">
        <v>8141</v>
      </c>
      <c r="T14213" t="s">
        <v>32224</v>
      </c>
      <c r="U14213" t="s">
        <v>32225</v>
      </c>
      <c r="V14213" t="s">
        <v>32226</v>
      </c>
      <c r="W14213" t="s">
        <v>50063</v>
      </c>
      <c r="X14213" t="s">
        <v>42</v>
      </c>
      <c r="Y14213" t="s">
        <v>17171</v>
      </c>
      <c r="Z14213" t="s">
        <v>166</v>
      </c>
      <c r="AA14213" s="22" t="str">
        <f>HYPERLINK("https://www.ncbi.nlm.nih.gov/nuccore/KF979336","NCBI Nucleotide")</f>
        <v>NCBI Nucleotide</v>
      </c>
    </row>
    <row r="14214" spans="1:27" x14ac:dyDescent="0.35">
      <c r="A14214">
        <v>1011868</v>
      </c>
      <c r="B14214">
        <v>12838</v>
      </c>
      <c r="C14214">
        <v>4</v>
      </c>
      <c r="D14214" t="s">
        <v>17166</v>
      </c>
      <c r="F14214" t="s">
        <v>17246</v>
      </c>
      <c r="H14214" t="s">
        <v>28921</v>
      </c>
      <c r="J14214" t="s">
        <v>29538</v>
      </c>
      <c r="L14214" t="s">
        <v>30198</v>
      </c>
      <c r="N14214" t="s">
        <v>30487</v>
      </c>
      <c r="O14214" t="s">
        <v>32101</v>
      </c>
      <c r="P14214" t="s">
        <v>32203</v>
      </c>
      <c r="R14214" s="26" t="str">
        <f>HYPERLINK("https://ictv.global/taxonomy/taxondetails?taxnode_id=202305601","Megrivirus chigalli")</f>
        <v>Megrivirus chigalli</v>
      </c>
      <c r="S14214" t="s">
        <v>8141</v>
      </c>
      <c r="T14214" t="s">
        <v>32227</v>
      </c>
      <c r="U14214" t="s">
        <v>32228</v>
      </c>
      <c r="V14214" t="s">
        <v>32229</v>
      </c>
      <c r="W14214" t="s">
        <v>50064</v>
      </c>
      <c r="X14214" t="s">
        <v>42</v>
      </c>
      <c r="Y14214" t="s">
        <v>17171</v>
      </c>
      <c r="Z14214" t="s">
        <v>166</v>
      </c>
      <c r="AA14214" s="22" t="str">
        <f>HYPERLINK("https://www.ncbi.nlm.nih.gov/nuccore/MG846465","NCBI Nucleotide")</f>
        <v>NCBI Nucleotide</v>
      </c>
    </row>
    <row r="14215" spans="1:27" x14ac:dyDescent="0.35">
      <c r="A14215">
        <v>1002232</v>
      </c>
      <c r="B14215">
        <v>12839</v>
      </c>
      <c r="C14215">
        <v>1</v>
      </c>
      <c r="D14215" t="s">
        <v>17166</v>
      </c>
      <c r="F14215" t="s">
        <v>17246</v>
      </c>
      <c r="H14215" t="s">
        <v>28921</v>
      </c>
      <c r="J14215" t="s">
        <v>29538</v>
      </c>
      <c r="L14215" t="s">
        <v>30198</v>
      </c>
      <c r="N14215" t="s">
        <v>30487</v>
      </c>
      <c r="O14215" t="s">
        <v>32101</v>
      </c>
      <c r="P14215" t="s">
        <v>32203</v>
      </c>
      <c r="R14215" s="26" t="str">
        <f>HYPERLINK("https://ictv.global/taxonomy/taxondetails?taxnode_id=202305602","Megrivirus deharri")</f>
        <v>Megrivirus deharri</v>
      </c>
      <c r="S14215" t="s">
        <v>30</v>
      </c>
      <c r="T14215" t="s">
        <v>32232</v>
      </c>
      <c r="U14215" t="s">
        <v>32233</v>
      </c>
      <c r="V14215" t="s">
        <v>32234</v>
      </c>
      <c r="W14215" t="s">
        <v>32235</v>
      </c>
      <c r="X14215" t="s">
        <v>42</v>
      </c>
      <c r="Y14215" t="s">
        <v>17171</v>
      </c>
      <c r="Z14215" t="s">
        <v>166</v>
      </c>
      <c r="AA14215" s="22" t="str">
        <f>HYPERLINK("https://www.ncbi.nlm.nih.gov/nuccore/KY488458","NCBI Nucleotide")</f>
        <v>NCBI Nucleotide</v>
      </c>
    </row>
    <row r="14216" spans="1:27" x14ac:dyDescent="0.35">
      <c r="A14216">
        <v>1002233</v>
      </c>
      <c r="B14216">
        <v>12840</v>
      </c>
      <c r="C14216">
        <v>1</v>
      </c>
      <c r="D14216" t="s">
        <v>17166</v>
      </c>
      <c r="F14216" t="s">
        <v>17246</v>
      </c>
      <c r="H14216" t="s">
        <v>28921</v>
      </c>
      <c r="J14216" t="s">
        <v>29538</v>
      </c>
      <c r="L14216" t="s">
        <v>30198</v>
      </c>
      <c r="N14216" t="s">
        <v>30487</v>
      </c>
      <c r="O14216" t="s">
        <v>32101</v>
      </c>
      <c r="P14216" t="s">
        <v>32203</v>
      </c>
      <c r="R14216" s="26" t="str">
        <f>HYPERLINK("https://ictv.global/taxonomy/taxondetails?taxnode_id=202305603","Megrivirus epengu")</f>
        <v>Megrivirus epengu</v>
      </c>
      <c r="S14216" t="s">
        <v>30</v>
      </c>
      <c r="T14216" t="s">
        <v>32236</v>
      </c>
      <c r="U14216" t="s">
        <v>32237</v>
      </c>
      <c r="V14216" t="s">
        <v>32238</v>
      </c>
      <c r="W14216" t="s">
        <v>32239</v>
      </c>
      <c r="X14216" t="s">
        <v>42</v>
      </c>
      <c r="Y14216" t="s">
        <v>17171</v>
      </c>
      <c r="Z14216" t="s">
        <v>166</v>
      </c>
      <c r="AA14216" s="22" t="str">
        <f>HYPERLINK("https://www.ncbi.nlm.nih.gov/nuccore/MF405436","NCBI Nucleotide")</f>
        <v>NCBI Nucleotide</v>
      </c>
    </row>
    <row r="14217" spans="1:27" x14ac:dyDescent="0.35">
      <c r="A14217">
        <v>1002234</v>
      </c>
      <c r="B14217">
        <v>12841</v>
      </c>
      <c r="C14217">
        <v>1</v>
      </c>
      <c r="D14217" t="s">
        <v>17166</v>
      </c>
      <c r="F14217" t="s">
        <v>17246</v>
      </c>
      <c r="H14217" t="s">
        <v>28921</v>
      </c>
      <c r="J14217" t="s">
        <v>29538</v>
      </c>
      <c r="L14217" t="s">
        <v>30198</v>
      </c>
      <c r="N14217" t="s">
        <v>30487</v>
      </c>
      <c r="O14217" t="s">
        <v>32101</v>
      </c>
      <c r="P14217" t="s">
        <v>32240</v>
      </c>
      <c r="R14217" s="26" t="str">
        <f>HYPERLINK("https://ictv.global/taxonomy/taxondetails?taxnode_id=202307300","Myrropivirus achiwas")</f>
        <v>Myrropivirus achiwas</v>
      </c>
      <c r="S14217" t="s">
        <v>30</v>
      </c>
      <c r="T14217" t="s">
        <v>32241</v>
      </c>
      <c r="U14217" t="s">
        <v>32242</v>
      </c>
      <c r="V14217" t="s">
        <v>32243</v>
      </c>
      <c r="W14217" t="s">
        <v>32244</v>
      </c>
      <c r="X14217" t="s">
        <v>42</v>
      </c>
      <c r="Y14217" t="s">
        <v>17171</v>
      </c>
      <c r="Z14217" t="s">
        <v>166</v>
      </c>
      <c r="AA14217" s="22" t="str">
        <f>HYPERLINK("https://www.ncbi.nlm.nih.gov/nuccore/MG600081","NCBI Nucleotide")</f>
        <v>NCBI Nucleotide</v>
      </c>
    </row>
    <row r="14218" spans="1:27" x14ac:dyDescent="0.35">
      <c r="A14218">
        <v>1002235</v>
      </c>
      <c r="B14218">
        <v>12842</v>
      </c>
      <c r="C14218">
        <v>1</v>
      </c>
      <c r="D14218" t="s">
        <v>17166</v>
      </c>
      <c r="F14218" t="s">
        <v>17246</v>
      </c>
      <c r="H14218" t="s">
        <v>28921</v>
      </c>
      <c r="J14218" t="s">
        <v>29538</v>
      </c>
      <c r="L14218" t="s">
        <v>30198</v>
      </c>
      <c r="N14218" t="s">
        <v>30487</v>
      </c>
      <c r="O14218" t="s">
        <v>32101</v>
      </c>
      <c r="P14218" t="s">
        <v>32245</v>
      </c>
      <c r="R14218" s="26" t="str">
        <f>HYPERLINK("https://ictv.global/taxonomy/taxondetails?taxnode_id=202302036","Oscivirus ahokorobi")</f>
        <v>Oscivirus ahokorobi</v>
      </c>
      <c r="S14218" t="s">
        <v>30</v>
      </c>
      <c r="T14218" t="s">
        <v>32246</v>
      </c>
      <c r="U14218" t="s">
        <v>32247</v>
      </c>
      <c r="V14218">
        <v>10717</v>
      </c>
      <c r="W14218" t="s">
        <v>32248</v>
      </c>
      <c r="X14218" t="s">
        <v>42</v>
      </c>
      <c r="Y14218" t="s">
        <v>17171</v>
      </c>
      <c r="Z14218" t="s">
        <v>166</v>
      </c>
      <c r="AA14218" s="22" t="str">
        <f>HYPERLINK("https://www.ncbi.nlm.nih.gov/nuccore/GU182408","NCBI Nucleotide")</f>
        <v>NCBI Nucleotide</v>
      </c>
    </row>
    <row r="14219" spans="1:27" x14ac:dyDescent="0.35">
      <c r="A14219">
        <v>1011870</v>
      </c>
      <c r="B14219">
        <v>12842</v>
      </c>
      <c r="C14219">
        <v>2</v>
      </c>
      <c r="D14219" t="s">
        <v>17166</v>
      </c>
      <c r="F14219" t="s">
        <v>17246</v>
      </c>
      <c r="H14219" t="s">
        <v>28921</v>
      </c>
      <c r="J14219" t="s">
        <v>29538</v>
      </c>
      <c r="L14219" t="s">
        <v>30198</v>
      </c>
      <c r="N14219" t="s">
        <v>30487</v>
      </c>
      <c r="O14219" t="s">
        <v>32101</v>
      </c>
      <c r="P14219" t="s">
        <v>32245</v>
      </c>
      <c r="R14219" s="26" t="str">
        <f>HYPERLINK("https://ictv.global/taxonomy/taxondetails?taxnode_id=202302036","Oscivirus ahokorobi")</f>
        <v>Oscivirus ahokorobi</v>
      </c>
      <c r="S14219" t="s">
        <v>8141</v>
      </c>
      <c r="T14219" t="s">
        <v>32249</v>
      </c>
      <c r="U14219" t="s">
        <v>32250</v>
      </c>
      <c r="V14219">
        <v>10878</v>
      </c>
      <c r="W14219" t="s">
        <v>50065</v>
      </c>
      <c r="X14219" t="s">
        <v>42</v>
      </c>
      <c r="Y14219" t="s">
        <v>17171</v>
      </c>
      <c r="Z14219" t="s">
        <v>166</v>
      </c>
      <c r="AA14219" s="22" t="str">
        <f>HYPERLINK("https://www.ncbi.nlm.nih.gov/nuccore/GU182410","NCBI Nucleotide")</f>
        <v>NCBI Nucleotide</v>
      </c>
    </row>
    <row r="14220" spans="1:27" x14ac:dyDescent="0.35">
      <c r="A14220">
        <v>1002236</v>
      </c>
      <c r="B14220">
        <v>12843</v>
      </c>
      <c r="C14220">
        <v>1</v>
      </c>
      <c r="D14220" t="s">
        <v>17166</v>
      </c>
      <c r="F14220" t="s">
        <v>17246</v>
      </c>
      <c r="H14220" t="s">
        <v>28921</v>
      </c>
      <c r="J14220" t="s">
        <v>29538</v>
      </c>
      <c r="L14220" t="s">
        <v>30198</v>
      </c>
      <c r="N14220" t="s">
        <v>30487</v>
      </c>
      <c r="O14220" t="s">
        <v>32101</v>
      </c>
      <c r="P14220" t="s">
        <v>32251</v>
      </c>
      <c r="R14220" s="26" t="str">
        <f>HYPERLINK("https://ictv.global/taxonomy/taxondetails?taxnode_id=202302045","Passerivirus ahokothi")</f>
        <v>Passerivirus ahokothi</v>
      </c>
      <c r="S14220" t="s">
        <v>30</v>
      </c>
      <c r="T14220" t="s">
        <v>32252</v>
      </c>
      <c r="U14220" t="s">
        <v>32253</v>
      </c>
      <c r="V14220" t="s">
        <v>32254</v>
      </c>
      <c r="W14220" t="s">
        <v>32255</v>
      </c>
      <c r="X14220" t="s">
        <v>42</v>
      </c>
      <c r="Y14220" t="s">
        <v>17171</v>
      </c>
      <c r="Z14220" t="s">
        <v>166</v>
      </c>
      <c r="AA14220" s="22" t="str">
        <f>HYPERLINK("https://www.ncbi.nlm.nih.gov/nuccore/GU182406","NCBI Nucleotide")</f>
        <v>NCBI Nucleotide</v>
      </c>
    </row>
    <row r="14221" spans="1:27" x14ac:dyDescent="0.35">
      <c r="A14221">
        <v>1002237</v>
      </c>
      <c r="B14221">
        <v>12844</v>
      </c>
      <c r="C14221">
        <v>1</v>
      </c>
      <c r="D14221" t="s">
        <v>17166</v>
      </c>
      <c r="F14221" t="s">
        <v>17246</v>
      </c>
      <c r="H14221" t="s">
        <v>28921</v>
      </c>
      <c r="J14221" t="s">
        <v>29538</v>
      </c>
      <c r="L14221" t="s">
        <v>30198</v>
      </c>
      <c r="N14221" t="s">
        <v>30487</v>
      </c>
      <c r="O14221" t="s">
        <v>32101</v>
      </c>
      <c r="P14221" t="s">
        <v>32251</v>
      </c>
      <c r="R14221" s="26" t="str">
        <f>HYPERLINK("https://ictv.global/taxonomy/taxondetails?taxnode_id=202306340","Passerivirus bewaxi")</f>
        <v>Passerivirus bewaxi</v>
      </c>
      <c r="S14221" t="s">
        <v>30</v>
      </c>
      <c r="T14221" t="s">
        <v>32256</v>
      </c>
      <c r="U14221" t="s">
        <v>32257</v>
      </c>
      <c r="V14221" t="s">
        <v>32258</v>
      </c>
      <c r="W14221" t="s">
        <v>32259</v>
      </c>
      <c r="X14221" t="s">
        <v>42</v>
      </c>
      <c r="Y14221" t="s">
        <v>17171</v>
      </c>
      <c r="Z14221" t="s">
        <v>166</v>
      </c>
      <c r="AA14221" s="22" t="str">
        <f>HYPERLINK("https://www.ncbi.nlm.nih.gov/nuccore/MF977321","NCBI Nucleotide")</f>
        <v>NCBI Nucleotide</v>
      </c>
    </row>
    <row r="14222" spans="1:27" x14ac:dyDescent="0.35">
      <c r="A14222">
        <v>1002238</v>
      </c>
      <c r="B14222">
        <v>12845</v>
      </c>
      <c r="C14222">
        <v>1</v>
      </c>
      <c r="D14222" t="s">
        <v>17166</v>
      </c>
      <c r="F14222" t="s">
        <v>17246</v>
      </c>
      <c r="H14222" t="s">
        <v>28921</v>
      </c>
      <c r="J14222" t="s">
        <v>29538</v>
      </c>
      <c r="L14222" t="s">
        <v>30198</v>
      </c>
      <c r="N14222" t="s">
        <v>30487</v>
      </c>
      <c r="O14222" t="s">
        <v>32101</v>
      </c>
      <c r="P14222" t="s">
        <v>32260</v>
      </c>
      <c r="R14222" s="26" t="str">
        <f>HYPERLINK("https://ictv.global/taxonomy/taxondetails?taxnode_id=202307302","Pemapivirus achisotu")</f>
        <v>Pemapivirus achisotu</v>
      </c>
      <c r="S14222" t="s">
        <v>30</v>
      </c>
      <c r="T14222" t="s">
        <v>32261</v>
      </c>
      <c r="U14222" t="s">
        <v>32262</v>
      </c>
      <c r="V14222" t="s">
        <v>32263</v>
      </c>
      <c r="W14222" t="s">
        <v>32264</v>
      </c>
      <c r="X14222" t="s">
        <v>42</v>
      </c>
      <c r="Y14222" t="s">
        <v>17171</v>
      </c>
      <c r="Z14222" t="s">
        <v>166</v>
      </c>
      <c r="AA14222" s="22" t="str">
        <f>HYPERLINK("https://www.ncbi.nlm.nih.gov/nuccore/MG600106","NCBI Nucleotide")</f>
        <v>NCBI Nucleotide</v>
      </c>
    </row>
    <row r="14223" spans="1:27" x14ac:dyDescent="0.35">
      <c r="A14223">
        <v>1002239</v>
      </c>
      <c r="B14223">
        <v>12846</v>
      </c>
      <c r="C14223">
        <v>1</v>
      </c>
      <c r="D14223" t="s">
        <v>17166</v>
      </c>
      <c r="F14223" t="s">
        <v>17246</v>
      </c>
      <c r="H14223" t="s">
        <v>28921</v>
      </c>
      <c r="J14223" t="s">
        <v>29538</v>
      </c>
      <c r="L14223" t="s">
        <v>30198</v>
      </c>
      <c r="N14223" t="s">
        <v>30487</v>
      </c>
      <c r="O14223" t="s">
        <v>32101</v>
      </c>
      <c r="P14223" t="s">
        <v>32260</v>
      </c>
      <c r="R14223" s="26" t="str">
        <f>HYPERLINK("https://ictv.global/taxonomy/taxondetails?taxnode_id=202309182","Pemapivirus brohepotu")</f>
        <v>Pemapivirus brohepotu</v>
      </c>
      <c r="S14223" t="s">
        <v>30</v>
      </c>
      <c r="T14223" t="s">
        <v>32265</v>
      </c>
      <c r="U14223" t="s">
        <v>32266</v>
      </c>
      <c r="V14223" t="s">
        <v>32263</v>
      </c>
      <c r="W14223" t="s">
        <v>32267</v>
      </c>
      <c r="X14223" t="s">
        <v>42</v>
      </c>
      <c r="Y14223" t="s">
        <v>17171</v>
      </c>
      <c r="Z14223" t="s">
        <v>166</v>
      </c>
      <c r="AA14223" s="22" t="str">
        <f>HYPERLINK("https://www.ncbi.nlm.nih.gov/nuccore/MG600108","NCBI Nucleotide")</f>
        <v>NCBI Nucleotide</v>
      </c>
    </row>
    <row r="14224" spans="1:27" x14ac:dyDescent="0.35">
      <c r="A14224">
        <v>1002240</v>
      </c>
      <c r="B14224">
        <v>12847</v>
      </c>
      <c r="C14224">
        <v>1</v>
      </c>
      <c r="D14224" t="s">
        <v>17166</v>
      </c>
      <c r="F14224" t="s">
        <v>17246</v>
      </c>
      <c r="H14224" t="s">
        <v>28921</v>
      </c>
      <c r="J14224" t="s">
        <v>29538</v>
      </c>
      <c r="L14224" t="s">
        <v>30198</v>
      </c>
      <c r="N14224" t="s">
        <v>30487</v>
      </c>
      <c r="O14224" t="s">
        <v>32101</v>
      </c>
      <c r="P14224" t="s">
        <v>32268</v>
      </c>
      <c r="R14224" s="26" t="str">
        <f>HYPERLINK("https://ictv.global/taxonomy/taxondetails?taxnode_id=202306392","Poecivirus ablacachi")</f>
        <v>Poecivirus ablacachi</v>
      </c>
      <c r="S14224" t="s">
        <v>30</v>
      </c>
      <c r="T14224" t="s">
        <v>32269</v>
      </c>
      <c r="U14224" t="s">
        <v>32270</v>
      </c>
      <c r="V14224" t="s">
        <v>32271</v>
      </c>
      <c r="W14224" t="s">
        <v>32272</v>
      </c>
      <c r="X14224" t="s">
        <v>42</v>
      </c>
      <c r="Y14224" t="s">
        <v>17171</v>
      </c>
      <c r="Z14224" t="s">
        <v>166</v>
      </c>
      <c r="AA14224" s="22" t="str">
        <f>HYPERLINK("https://www.ncbi.nlm.nih.gov/nuccore/KU977108","NCBI Nucleotide")</f>
        <v>NCBI Nucleotide</v>
      </c>
    </row>
    <row r="14225" spans="1:27" x14ac:dyDescent="0.35">
      <c r="A14225">
        <v>1002241</v>
      </c>
      <c r="B14225">
        <v>12848</v>
      </c>
      <c r="C14225">
        <v>1</v>
      </c>
      <c r="D14225" t="s">
        <v>17166</v>
      </c>
      <c r="F14225" t="s">
        <v>17246</v>
      </c>
      <c r="H14225" t="s">
        <v>28921</v>
      </c>
      <c r="J14225" t="s">
        <v>29538</v>
      </c>
      <c r="L14225" t="s">
        <v>30198</v>
      </c>
      <c r="N14225" t="s">
        <v>30487</v>
      </c>
      <c r="O14225" t="s">
        <v>32101</v>
      </c>
      <c r="P14225" t="s">
        <v>32273</v>
      </c>
      <c r="R14225" s="26" t="str">
        <f>HYPERLINK("https://ictv.global/taxonomy/taxondetails?taxnode_id=202308808","Pygoscepivirus apingu")</f>
        <v>Pygoscepivirus apingu</v>
      </c>
      <c r="S14225" t="s">
        <v>30</v>
      </c>
      <c r="T14225" t="s">
        <v>32274</v>
      </c>
      <c r="U14225" t="s">
        <v>32275</v>
      </c>
      <c r="V14225">
        <v>991</v>
      </c>
      <c r="W14225" t="s">
        <v>32276</v>
      </c>
      <c r="X14225" t="s">
        <v>42</v>
      </c>
      <c r="Y14225" t="s">
        <v>17171</v>
      </c>
      <c r="Z14225" t="s">
        <v>166</v>
      </c>
      <c r="AA14225" s="22" t="str">
        <f>HYPERLINK("https://www.ncbi.nlm.nih.gov/nuccore/MH255796","NCBI Nucleotide")</f>
        <v>NCBI Nucleotide</v>
      </c>
    </row>
    <row r="14226" spans="1:27" x14ac:dyDescent="0.35">
      <c r="A14226">
        <v>1002242</v>
      </c>
      <c r="B14226">
        <v>12849</v>
      </c>
      <c r="C14226">
        <v>1</v>
      </c>
      <c r="D14226" t="s">
        <v>17166</v>
      </c>
      <c r="F14226" t="s">
        <v>17246</v>
      </c>
      <c r="H14226" t="s">
        <v>28921</v>
      </c>
      <c r="J14226" t="s">
        <v>29538</v>
      </c>
      <c r="L14226" t="s">
        <v>30198</v>
      </c>
      <c r="N14226" t="s">
        <v>30487</v>
      </c>
      <c r="O14226" t="s">
        <v>32101</v>
      </c>
      <c r="P14226" t="s">
        <v>32277</v>
      </c>
      <c r="R14226" s="26" t="str">
        <f>HYPERLINK("https://ictv.global/taxonomy/taxondetails?taxnode_id=202306441","Rafivirus atorti")</f>
        <v>Rafivirus atorti</v>
      </c>
      <c r="S14226" t="s">
        <v>30</v>
      </c>
      <c r="T14226" t="s">
        <v>32278</v>
      </c>
      <c r="U14226" t="s">
        <v>32279</v>
      </c>
      <c r="V14226" t="s">
        <v>32280</v>
      </c>
      <c r="W14226" t="s">
        <v>32281</v>
      </c>
      <c r="X14226" t="s">
        <v>42</v>
      </c>
      <c r="Y14226" t="s">
        <v>17171</v>
      </c>
      <c r="Z14226" t="s">
        <v>166</v>
      </c>
      <c r="AA14226" s="22" t="str">
        <f>HYPERLINK("https://www.ncbi.nlm.nih.gov/nuccore/KJ415177","NCBI Nucleotide")</f>
        <v>NCBI Nucleotide</v>
      </c>
    </row>
    <row r="14227" spans="1:27" x14ac:dyDescent="0.35">
      <c r="A14227">
        <v>1002243</v>
      </c>
      <c r="B14227">
        <v>12850</v>
      </c>
      <c r="C14227">
        <v>1</v>
      </c>
      <c r="D14227" t="s">
        <v>17166</v>
      </c>
      <c r="F14227" t="s">
        <v>17246</v>
      </c>
      <c r="H14227" t="s">
        <v>28921</v>
      </c>
      <c r="J14227" t="s">
        <v>29538</v>
      </c>
      <c r="L14227" t="s">
        <v>30198</v>
      </c>
      <c r="N14227" t="s">
        <v>30487</v>
      </c>
      <c r="O14227" t="s">
        <v>32101</v>
      </c>
      <c r="P14227" t="s">
        <v>32277</v>
      </c>
      <c r="R14227" s="26" t="str">
        <f>HYPERLINK("https://ictv.global/taxonomy/taxondetails?taxnode_id=202306442","Rafivirus begecki")</f>
        <v>Rafivirus begecki</v>
      </c>
      <c r="S14227" t="s">
        <v>30</v>
      </c>
      <c r="T14227" t="s">
        <v>32282</v>
      </c>
      <c r="U14227" t="s">
        <v>32283</v>
      </c>
      <c r="V14227" t="s">
        <v>32284</v>
      </c>
      <c r="W14227" t="s">
        <v>32285</v>
      </c>
      <c r="X14227" t="s">
        <v>42</v>
      </c>
      <c r="Y14227" t="s">
        <v>17171</v>
      </c>
      <c r="Z14227" t="s">
        <v>166</v>
      </c>
      <c r="AA14227" s="22" t="str">
        <f>HYPERLINK("https://www.ncbi.nlm.nih.gov/nuccore/MG600090","NCBI Nucleotide")</f>
        <v>NCBI Nucleotide</v>
      </c>
    </row>
    <row r="14228" spans="1:27" x14ac:dyDescent="0.35">
      <c r="A14228">
        <v>1002244</v>
      </c>
      <c r="B14228">
        <v>12851</v>
      </c>
      <c r="C14228">
        <v>1</v>
      </c>
      <c r="D14228" t="s">
        <v>17166</v>
      </c>
      <c r="F14228" t="s">
        <v>17246</v>
      </c>
      <c r="H14228" t="s">
        <v>28921</v>
      </c>
      <c r="J14228" t="s">
        <v>29538</v>
      </c>
      <c r="L14228" t="s">
        <v>30198</v>
      </c>
      <c r="N14228" t="s">
        <v>30487</v>
      </c>
      <c r="O14228" t="s">
        <v>32101</v>
      </c>
      <c r="P14228" t="s">
        <v>32277</v>
      </c>
      <c r="R14228" s="26" t="str">
        <f>HYPERLINK("https://ictv.global/taxonomy/taxondetails?taxnode_id=202307439","Rafivirus crhima")</f>
        <v>Rafivirus crhima</v>
      </c>
      <c r="S14228" t="s">
        <v>30</v>
      </c>
      <c r="T14228" t="s">
        <v>32286</v>
      </c>
      <c r="U14228" t="s">
        <v>32287</v>
      </c>
      <c r="V14228" t="s">
        <v>32288</v>
      </c>
      <c r="W14228" t="s">
        <v>32289</v>
      </c>
      <c r="X14228" t="s">
        <v>42</v>
      </c>
      <c r="Y14228" t="s">
        <v>17171</v>
      </c>
      <c r="Z14228" t="s">
        <v>166</v>
      </c>
      <c r="AA14228" s="22" t="str">
        <f>HYPERLINK("https://www.ncbi.nlm.nih.gov/nuccore/MG967619","NCBI Nucleotide")</f>
        <v>NCBI Nucleotide</v>
      </c>
    </row>
    <row r="14229" spans="1:27" x14ac:dyDescent="0.35">
      <c r="A14229">
        <v>1002245</v>
      </c>
      <c r="B14229">
        <v>12852</v>
      </c>
      <c r="C14229">
        <v>1</v>
      </c>
      <c r="D14229" t="s">
        <v>17166</v>
      </c>
      <c r="F14229" t="s">
        <v>17246</v>
      </c>
      <c r="H14229" t="s">
        <v>28921</v>
      </c>
      <c r="J14229" t="s">
        <v>29538</v>
      </c>
      <c r="L14229" t="s">
        <v>30198</v>
      </c>
      <c r="N14229" t="s">
        <v>30487</v>
      </c>
      <c r="O14229" t="s">
        <v>32101</v>
      </c>
      <c r="P14229" t="s">
        <v>32290</v>
      </c>
      <c r="R14229" s="26" t="str">
        <f>HYPERLINK("https://ictv.global/taxonomy/taxondetails?taxnode_id=202308810","Rajidapivirus ashaska")</f>
        <v>Rajidapivirus ashaska</v>
      </c>
      <c r="S14229" t="s">
        <v>30</v>
      </c>
      <c r="T14229" t="s">
        <v>32291</v>
      </c>
      <c r="U14229" t="s">
        <v>32292</v>
      </c>
      <c r="V14229" t="s">
        <v>32293</v>
      </c>
      <c r="W14229" t="s">
        <v>32294</v>
      </c>
      <c r="X14229" t="s">
        <v>42</v>
      </c>
      <c r="Y14229" t="s">
        <v>17171</v>
      </c>
      <c r="Z14229" t="s">
        <v>166</v>
      </c>
      <c r="AA14229" s="22" t="str">
        <f>HYPERLINK("https://www.ncbi.nlm.nih.gov/nuccore/MG600093","NCBI Nucleotide")</f>
        <v>NCBI Nucleotide</v>
      </c>
    </row>
    <row r="14230" spans="1:27" x14ac:dyDescent="0.35">
      <c r="A14230">
        <v>1002246</v>
      </c>
      <c r="B14230">
        <v>12853</v>
      </c>
      <c r="C14230">
        <v>1</v>
      </c>
      <c r="D14230" t="s">
        <v>17166</v>
      </c>
      <c r="F14230" t="s">
        <v>17246</v>
      </c>
      <c r="H14230" t="s">
        <v>28921</v>
      </c>
      <c r="J14230" t="s">
        <v>29538</v>
      </c>
      <c r="L14230" t="s">
        <v>30198</v>
      </c>
      <c r="N14230" t="s">
        <v>30487</v>
      </c>
      <c r="O14230" t="s">
        <v>32101</v>
      </c>
      <c r="P14230" t="s">
        <v>32295</v>
      </c>
      <c r="R14230" s="26" t="str">
        <f>HYPERLINK("https://ictv.global/taxonomy/taxondetails?taxnode_id=202302051","Rosavirus acaliforni")</f>
        <v>Rosavirus acaliforni</v>
      </c>
      <c r="S14230" t="s">
        <v>30</v>
      </c>
      <c r="T14230" t="s">
        <v>32296</v>
      </c>
      <c r="U14230" t="s">
        <v>32297</v>
      </c>
      <c r="V14230" t="s">
        <v>32298</v>
      </c>
      <c r="W14230" t="s">
        <v>32299</v>
      </c>
      <c r="X14230" t="s">
        <v>35</v>
      </c>
      <c r="Y14230" t="s">
        <v>17171</v>
      </c>
      <c r="Z14230" t="s">
        <v>166</v>
      </c>
      <c r="AA14230" s="22" t="str">
        <f>HYPERLINK("https://www.ncbi.nlm.nih.gov/nuccore/JF973686","NCBI Nucleotide")</f>
        <v>NCBI Nucleotide</v>
      </c>
    </row>
    <row r="14231" spans="1:27" x14ac:dyDescent="0.35">
      <c r="A14231">
        <v>1011871</v>
      </c>
      <c r="B14231">
        <v>12853</v>
      </c>
      <c r="C14231">
        <v>2</v>
      </c>
      <c r="D14231" t="s">
        <v>17166</v>
      </c>
      <c r="F14231" t="s">
        <v>17246</v>
      </c>
      <c r="H14231" t="s">
        <v>28921</v>
      </c>
      <c r="J14231" t="s">
        <v>29538</v>
      </c>
      <c r="L14231" t="s">
        <v>30198</v>
      </c>
      <c r="N14231" t="s">
        <v>30487</v>
      </c>
      <c r="O14231" t="s">
        <v>32101</v>
      </c>
      <c r="P14231" t="s">
        <v>32295</v>
      </c>
      <c r="R14231" s="26" t="str">
        <f>HYPERLINK("https://ictv.global/taxonomy/taxondetails?taxnode_id=202302051","Rosavirus acaliforni")</f>
        <v>Rosavirus acaliforni</v>
      </c>
      <c r="S14231" t="s">
        <v>8141</v>
      </c>
      <c r="T14231" t="s">
        <v>32300</v>
      </c>
      <c r="U14231" t="s">
        <v>32301</v>
      </c>
      <c r="V14231" t="s">
        <v>32302</v>
      </c>
      <c r="W14231" t="s">
        <v>50066</v>
      </c>
      <c r="X14231" t="s">
        <v>42</v>
      </c>
      <c r="Y14231" t="s">
        <v>17171</v>
      </c>
      <c r="Z14231" t="s">
        <v>166</v>
      </c>
      <c r="AA14231" s="22" t="str">
        <f>HYPERLINK("https://www.ncbi.nlm.nih.gov/nuccore/KJ158169","NCBI Nucleotide")</f>
        <v>NCBI Nucleotide</v>
      </c>
    </row>
    <row r="14232" spans="1:27" x14ac:dyDescent="0.35">
      <c r="A14232">
        <v>1002247</v>
      </c>
      <c r="B14232">
        <v>12854</v>
      </c>
      <c r="C14232">
        <v>1</v>
      </c>
      <c r="D14232" t="s">
        <v>17166</v>
      </c>
      <c r="F14232" t="s">
        <v>17246</v>
      </c>
      <c r="H14232" t="s">
        <v>28921</v>
      </c>
      <c r="J14232" t="s">
        <v>29538</v>
      </c>
      <c r="L14232" t="s">
        <v>30198</v>
      </c>
      <c r="N14232" t="s">
        <v>30487</v>
      </c>
      <c r="O14232" t="s">
        <v>32101</v>
      </c>
      <c r="P14232" t="s">
        <v>32295</v>
      </c>
      <c r="R14232" s="26" t="str">
        <f>HYPERLINK("https://ictv.global/taxonomy/taxondetails?taxnode_id=202306477","Rosavirus brorati")</f>
        <v>Rosavirus brorati</v>
      </c>
      <c r="S14232" t="s">
        <v>30</v>
      </c>
      <c r="T14232" t="s">
        <v>32303</v>
      </c>
      <c r="U14232" t="s">
        <v>32304</v>
      </c>
      <c r="V14232" t="s">
        <v>32305</v>
      </c>
      <c r="W14232" t="s">
        <v>32306</v>
      </c>
      <c r="X14232" t="s">
        <v>42</v>
      </c>
      <c r="Y14232" t="s">
        <v>17171</v>
      </c>
      <c r="Z14232" t="s">
        <v>166</v>
      </c>
      <c r="AA14232" s="22" t="str">
        <f>HYPERLINK("https://www.ncbi.nlm.nih.gov/nuccore/KX783423","NCBI Nucleotide")</f>
        <v>NCBI Nucleotide</v>
      </c>
    </row>
    <row r="14233" spans="1:27" x14ac:dyDescent="0.35">
      <c r="A14233">
        <v>1011872</v>
      </c>
      <c r="B14233">
        <v>12854</v>
      </c>
      <c r="C14233">
        <v>2</v>
      </c>
      <c r="D14233" t="s">
        <v>17166</v>
      </c>
      <c r="F14233" t="s">
        <v>17246</v>
      </c>
      <c r="H14233" t="s">
        <v>28921</v>
      </c>
      <c r="J14233" t="s">
        <v>29538</v>
      </c>
      <c r="L14233" t="s">
        <v>30198</v>
      </c>
      <c r="N14233" t="s">
        <v>30487</v>
      </c>
      <c r="O14233" t="s">
        <v>32101</v>
      </c>
      <c r="P14233" t="s">
        <v>32295</v>
      </c>
      <c r="R14233" s="26" t="str">
        <f>HYPERLINK("https://ictv.global/taxonomy/taxondetails?taxnode_id=202306477","Rosavirus brorati")</f>
        <v>Rosavirus brorati</v>
      </c>
      <c r="S14233" t="s">
        <v>8141</v>
      </c>
      <c r="T14233" t="s">
        <v>32307</v>
      </c>
      <c r="U14233" t="s">
        <v>32308</v>
      </c>
      <c r="V14233" t="s">
        <v>32309</v>
      </c>
      <c r="W14233" t="s">
        <v>50067</v>
      </c>
      <c r="X14233" t="s">
        <v>154</v>
      </c>
      <c r="Y14233" t="s">
        <v>17171</v>
      </c>
      <c r="Z14233" t="s">
        <v>166</v>
      </c>
      <c r="AA14233" s="22" t="str">
        <f>HYPERLINK("https://www.ncbi.nlm.nih.gov/nuccore/KJ950906,KJ950911","NCBI Nucleotide")</f>
        <v>NCBI Nucleotide</v>
      </c>
    </row>
    <row r="14234" spans="1:27" x14ac:dyDescent="0.35">
      <c r="A14234">
        <v>1002248</v>
      </c>
      <c r="B14234">
        <v>12855</v>
      </c>
      <c r="C14234">
        <v>1</v>
      </c>
      <c r="D14234" t="s">
        <v>17166</v>
      </c>
      <c r="F14234" t="s">
        <v>17246</v>
      </c>
      <c r="H14234" t="s">
        <v>28921</v>
      </c>
      <c r="J14234" t="s">
        <v>29538</v>
      </c>
      <c r="L14234" t="s">
        <v>30198</v>
      </c>
      <c r="N14234" t="s">
        <v>30487</v>
      </c>
      <c r="O14234" t="s">
        <v>32101</v>
      </c>
      <c r="P14234" t="s">
        <v>32295</v>
      </c>
      <c r="R14234" s="26" t="str">
        <f>HYPERLINK("https://ictv.global/taxonomy/taxondetails?taxnode_id=202306478","Rosavirus chewhibe")</f>
        <v>Rosavirus chewhibe</v>
      </c>
      <c r="S14234" t="s">
        <v>30</v>
      </c>
      <c r="T14234" t="s">
        <v>32310</v>
      </c>
      <c r="U14234" t="s">
        <v>32311</v>
      </c>
      <c r="V14234" t="s">
        <v>32312</v>
      </c>
      <c r="W14234" t="s">
        <v>32313</v>
      </c>
      <c r="X14234" t="s">
        <v>42</v>
      </c>
      <c r="Y14234" t="s">
        <v>17171</v>
      </c>
      <c r="Z14234" t="s">
        <v>166</v>
      </c>
      <c r="AA14234" s="22" t="str">
        <f>HYPERLINK("https://www.ncbi.nlm.nih.gov/nuccore/KX783424","NCBI Nucleotide")</f>
        <v>NCBI Nucleotide</v>
      </c>
    </row>
    <row r="14235" spans="1:27" x14ac:dyDescent="0.35">
      <c r="A14235">
        <v>1011873</v>
      </c>
      <c r="B14235">
        <v>12855</v>
      </c>
      <c r="C14235">
        <v>2</v>
      </c>
      <c r="D14235" t="s">
        <v>17166</v>
      </c>
      <c r="F14235" t="s">
        <v>17246</v>
      </c>
      <c r="H14235" t="s">
        <v>28921</v>
      </c>
      <c r="J14235" t="s">
        <v>29538</v>
      </c>
      <c r="L14235" t="s">
        <v>30198</v>
      </c>
      <c r="N14235" t="s">
        <v>30487</v>
      </c>
      <c r="O14235" t="s">
        <v>32101</v>
      </c>
      <c r="P14235" t="s">
        <v>32295</v>
      </c>
      <c r="R14235" s="26" t="str">
        <f>HYPERLINK("https://ictv.global/taxonomy/taxondetails?taxnode_id=202306478","Rosavirus chewhibe")</f>
        <v>Rosavirus chewhibe</v>
      </c>
      <c r="S14235" t="s">
        <v>8141</v>
      </c>
      <c r="T14235" t="s">
        <v>32314</v>
      </c>
      <c r="U14235" t="s">
        <v>32315</v>
      </c>
      <c r="V14235" t="s">
        <v>32316</v>
      </c>
      <c r="W14235" t="s">
        <v>50068</v>
      </c>
      <c r="X14235" t="s">
        <v>42</v>
      </c>
      <c r="Y14235" t="s">
        <v>17171</v>
      </c>
      <c r="Z14235" t="s">
        <v>166</v>
      </c>
      <c r="AA14235" s="22" t="str">
        <f>HYPERLINK("https://www.ncbi.nlm.nih.gov/nuccore/KX783425","NCBI Nucleotide")</f>
        <v>NCBI Nucleotide</v>
      </c>
    </row>
    <row r="14236" spans="1:27" x14ac:dyDescent="0.35">
      <c r="A14236">
        <v>1011874</v>
      </c>
      <c r="B14236">
        <v>12855</v>
      </c>
      <c r="C14236">
        <v>3</v>
      </c>
      <c r="D14236" t="s">
        <v>17166</v>
      </c>
      <c r="F14236" t="s">
        <v>17246</v>
      </c>
      <c r="H14236" t="s">
        <v>28921</v>
      </c>
      <c r="J14236" t="s">
        <v>29538</v>
      </c>
      <c r="L14236" t="s">
        <v>30198</v>
      </c>
      <c r="N14236" t="s">
        <v>30487</v>
      </c>
      <c r="O14236" t="s">
        <v>32101</v>
      </c>
      <c r="P14236" t="s">
        <v>32295</v>
      </c>
      <c r="R14236" s="26" t="str">
        <f>HYPERLINK("https://ictv.global/taxonomy/taxondetails?taxnode_id=202306478","Rosavirus chewhibe")</f>
        <v>Rosavirus chewhibe</v>
      </c>
      <c r="S14236" t="s">
        <v>8141</v>
      </c>
      <c r="T14236" t="s">
        <v>32317</v>
      </c>
      <c r="U14236" t="s">
        <v>32318</v>
      </c>
      <c r="V14236" t="s">
        <v>32319</v>
      </c>
      <c r="W14236" t="s">
        <v>50069</v>
      </c>
      <c r="X14236" t="s">
        <v>42</v>
      </c>
      <c r="Y14236" t="s">
        <v>17171</v>
      </c>
      <c r="Z14236" t="s">
        <v>166</v>
      </c>
      <c r="AA14236" s="22" t="str">
        <f>HYPERLINK("https://www.ncbi.nlm.nih.gov/nuccore/KX783432","NCBI Nucleotide")</f>
        <v>NCBI Nucleotide</v>
      </c>
    </row>
    <row r="14237" spans="1:27" x14ac:dyDescent="0.35">
      <c r="A14237">
        <v>1011875</v>
      </c>
      <c r="B14237">
        <v>12855</v>
      </c>
      <c r="C14237">
        <v>4</v>
      </c>
      <c r="D14237" t="s">
        <v>17166</v>
      </c>
      <c r="F14237" t="s">
        <v>17246</v>
      </c>
      <c r="H14237" t="s">
        <v>28921</v>
      </c>
      <c r="J14237" t="s">
        <v>29538</v>
      </c>
      <c r="L14237" t="s">
        <v>30198</v>
      </c>
      <c r="N14237" t="s">
        <v>30487</v>
      </c>
      <c r="O14237" t="s">
        <v>32101</v>
      </c>
      <c r="P14237" t="s">
        <v>32295</v>
      </c>
      <c r="R14237" s="26" t="str">
        <f>HYPERLINK("https://ictv.global/taxonomy/taxondetails?taxnode_id=202306478","Rosavirus chewhibe")</f>
        <v>Rosavirus chewhibe</v>
      </c>
      <c r="S14237" t="s">
        <v>8141</v>
      </c>
      <c r="T14237" t="s">
        <v>32320</v>
      </c>
      <c r="U14237" t="s">
        <v>32321</v>
      </c>
      <c r="V14237" t="s">
        <v>32322</v>
      </c>
      <c r="W14237" t="s">
        <v>50070</v>
      </c>
      <c r="X14237" t="s">
        <v>42</v>
      </c>
      <c r="Y14237" t="s">
        <v>17171</v>
      </c>
      <c r="Z14237" t="s">
        <v>166</v>
      </c>
      <c r="AA14237" s="22" t="str">
        <f>HYPERLINK("https://www.ncbi.nlm.nih.gov/nuccore/KX156156","NCBI Nucleotide")</f>
        <v>NCBI Nucleotide</v>
      </c>
    </row>
    <row r="14238" spans="1:27" x14ac:dyDescent="0.35">
      <c r="A14238">
        <v>1002249</v>
      </c>
      <c r="B14238">
        <v>12856</v>
      </c>
      <c r="C14238">
        <v>1</v>
      </c>
      <c r="D14238" t="s">
        <v>17166</v>
      </c>
      <c r="F14238" t="s">
        <v>17246</v>
      </c>
      <c r="H14238" t="s">
        <v>28921</v>
      </c>
      <c r="J14238" t="s">
        <v>29538</v>
      </c>
      <c r="L14238" t="s">
        <v>30198</v>
      </c>
      <c r="N14238" t="s">
        <v>30487</v>
      </c>
      <c r="O14238" t="s">
        <v>32101</v>
      </c>
      <c r="P14238" t="s">
        <v>32323</v>
      </c>
      <c r="R14238" s="26" t="str">
        <f>HYPERLINK("https://ictv.global/taxonomy/taxondetails?taxnode_id=202302053","Sakobuvirus aportufeli")</f>
        <v>Sakobuvirus aportufeli</v>
      </c>
      <c r="S14238" t="s">
        <v>30</v>
      </c>
      <c r="T14238" t="s">
        <v>32324</v>
      </c>
      <c r="U14238" t="s">
        <v>32325</v>
      </c>
      <c r="V14238" t="s">
        <v>32326</v>
      </c>
      <c r="W14238" t="s">
        <v>32327</v>
      </c>
      <c r="X14238" t="s">
        <v>42</v>
      </c>
      <c r="Y14238" t="s">
        <v>17171</v>
      </c>
      <c r="Z14238" t="s">
        <v>166</v>
      </c>
      <c r="AA14238" s="22" t="str">
        <f>HYPERLINK("https://www.ncbi.nlm.nih.gov/nuccore/KF387721","NCBI Nucleotide")</f>
        <v>NCBI Nucleotide</v>
      </c>
    </row>
    <row r="14239" spans="1:27" x14ac:dyDescent="0.35">
      <c r="A14239">
        <v>1002250</v>
      </c>
      <c r="B14239">
        <v>12857</v>
      </c>
      <c r="C14239">
        <v>1</v>
      </c>
      <c r="D14239" t="s">
        <v>17166</v>
      </c>
      <c r="F14239" t="s">
        <v>17246</v>
      </c>
      <c r="H14239" t="s">
        <v>28921</v>
      </c>
      <c r="J14239" t="s">
        <v>29538</v>
      </c>
      <c r="L14239" t="s">
        <v>30198</v>
      </c>
      <c r="N14239" t="s">
        <v>30487</v>
      </c>
      <c r="O14239" t="s">
        <v>32101</v>
      </c>
      <c r="P14239" t="s">
        <v>32328</v>
      </c>
      <c r="R14239" s="26" t="str">
        <f>HYPERLINK("https://ictv.global/taxonomy/taxondetails?taxnode_id=202302055","Salivirus aklasse")</f>
        <v>Salivirus aklasse</v>
      </c>
      <c r="S14239" t="s">
        <v>30</v>
      </c>
      <c r="T14239" t="s">
        <v>32329</v>
      </c>
      <c r="U14239" t="s">
        <v>32330</v>
      </c>
      <c r="V14239" t="s">
        <v>32331</v>
      </c>
      <c r="W14239" t="s">
        <v>32332</v>
      </c>
      <c r="X14239" t="s">
        <v>42</v>
      </c>
      <c r="Y14239" t="s">
        <v>17171</v>
      </c>
      <c r="Z14239" t="s">
        <v>166</v>
      </c>
      <c r="AA14239" s="22" t="str">
        <f>HYPERLINK("https://www.ncbi.nlm.nih.gov/nuccore/GQ179640","NCBI Nucleotide")</f>
        <v>NCBI Nucleotide</v>
      </c>
    </row>
    <row r="14240" spans="1:27" x14ac:dyDescent="0.35">
      <c r="A14240">
        <v>1011876</v>
      </c>
      <c r="B14240">
        <v>12857</v>
      </c>
      <c r="C14240">
        <v>2</v>
      </c>
      <c r="D14240" t="s">
        <v>17166</v>
      </c>
      <c r="F14240" t="s">
        <v>17246</v>
      </c>
      <c r="H14240" t="s">
        <v>28921</v>
      </c>
      <c r="J14240" t="s">
        <v>29538</v>
      </c>
      <c r="L14240" t="s">
        <v>30198</v>
      </c>
      <c r="N14240" t="s">
        <v>30487</v>
      </c>
      <c r="O14240" t="s">
        <v>32101</v>
      </c>
      <c r="P14240" t="s">
        <v>32328</v>
      </c>
      <c r="R14240" s="26" t="str">
        <f>HYPERLINK("https://ictv.global/taxonomy/taxondetails?taxnode_id=202302055","Salivirus aklasse")</f>
        <v>Salivirus aklasse</v>
      </c>
      <c r="S14240" t="s">
        <v>8141</v>
      </c>
      <c r="T14240" t="s">
        <v>32333</v>
      </c>
      <c r="U14240" t="s">
        <v>32334</v>
      </c>
      <c r="V14240" t="s">
        <v>32335</v>
      </c>
      <c r="W14240" t="s">
        <v>50071</v>
      </c>
      <c r="X14240" t="s">
        <v>42</v>
      </c>
      <c r="Y14240" t="s">
        <v>17171</v>
      </c>
      <c r="Z14240" t="s">
        <v>166</v>
      </c>
      <c r="AA14240" s="22" t="str">
        <f>HYPERLINK("https://www.ncbi.nlm.nih.gov/nuccore/KM023140","NCBI Nucleotide")</f>
        <v>NCBI Nucleotide</v>
      </c>
    </row>
    <row r="14241" spans="1:27" x14ac:dyDescent="0.35">
      <c r="A14241">
        <v>1002251</v>
      </c>
      <c r="B14241">
        <v>12858</v>
      </c>
      <c r="C14241">
        <v>1</v>
      </c>
      <c r="D14241" t="s">
        <v>17166</v>
      </c>
      <c r="F14241" t="s">
        <v>17246</v>
      </c>
      <c r="H14241" t="s">
        <v>28921</v>
      </c>
      <c r="J14241" t="s">
        <v>29538</v>
      </c>
      <c r="L14241" t="s">
        <v>30198</v>
      </c>
      <c r="N14241" t="s">
        <v>30487</v>
      </c>
      <c r="O14241" t="s">
        <v>32101</v>
      </c>
      <c r="P14241" t="s">
        <v>32336</v>
      </c>
      <c r="R14241" s="26" t="str">
        <f t="shared" ref="R14241:R14249" si="64">HYPERLINK("https://ictv.global/taxonomy/taxondetails?taxnode_id=202302063","Sicinivirus ahiberni")</f>
        <v>Sicinivirus ahiberni</v>
      </c>
      <c r="S14241" t="s">
        <v>30</v>
      </c>
      <c r="T14241" t="s">
        <v>32337</v>
      </c>
      <c r="U14241" t="s">
        <v>32338</v>
      </c>
      <c r="V14241" t="s">
        <v>32339</v>
      </c>
      <c r="W14241" t="s">
        <v>32340</v>
      </c>
      <c r="X14241" t="s">
        <v>35</v>
      </c>
      <c r="Y14241" t="s">
        <v>17171</v>
      </c>
      <c r="Z14241" t="s">
        <v>166</v>
      </c>
      <c r="AA14241" s="22" t="str">
        <f>HYPERLINK("https://www.ncbi.nlm.nih.gov/nuccore/KF741227","NCBI Nucleotide")</f>
        <v>NCBI Nucleotide</v>
      </c>
    </row>
    <row r="14242" spans="1:27" x14ac:dyDescent="0.35">
      <c r="A14242">
        <v>1011877</v>
      </c>
      <c r="B14242">
        <v>12858</v>
      </c>
      <c r="C14242">
        <v>2</v>
      </c>
      <c r="D14242" t="s">
        <v>17166</v>
      </c>
      <c r="F14242" t="s">
        <v>17246</v>
      </c>
      <c r="H14242" t="s">
        <v>28921</v>
      </c>
      <c r="J14242" t="s">
        <v>29538</v>
      </c>
      <c r="L14242" t="s">
        <v>30198</v>
      </c>
      <c r="N14242" t="s">
        <v>30487</v>
      </c>
      <c r="O14242" t="s">
        <v>32101</v>
      </c>
      <c r="P14242" t="s">
        <v>32336</v>
      </c>
      <c r="R14242" s="26" t="str">
        <f t="shared" si="64"/>
        <v>Sicinivirus ahiberni</v>
      </c>
      <c r="S14242" t="s">
        <v>8141</v>
      </c>
      <c r="T14242" t="s">
        <v>32337</v>
      </c>
      <c r="U14242" t="s">
        <v>32338</v>
      </c>
      <c r="V14242" t="s">
        <v>32341</v>
      </c>
      <c r="W14242" t="s">
        <v>50072</v>
      </c>
      <c r="X14242" t="s">
        <v>42</v>
      </c>
      <c r="Y14242" t="s">
        <v>17171</v>
      </c>
      <c r="Z14242" t="s">
        <v>166</v>
      </c>
      <c r="AA14242" s="22" t="str">
        <f>HYPERLINK("https://www.ncbi.nlm.nih.gov/nuccore/KT880665","NCBI Nucleotide")</f>
        <v>NCBI Nucleotide</v>
      </c>
    </row>
    <row r="14243" spans="1:27" x14ac:dyDescent="0.35">
      <c r="A14243">
        <v>1011878</v>
      </c>
      <c r="B14243">
        <v>12858</v>
      </c>
      <c r="C14243">
        <v>3</v>
      </c>
      <c r="D14243" t="s">
        <v>17166</v>
      </c>
      <c r="F14243" t="s">
        <v>17246</v>
      </c>
      <c r="H14243" t="s">
        <v>28921</v>
      </c>
      <c r="J14243" t="s">
        <v>29538</v>
      </c>
      <c r="L14243" t="s">
        <v>30198</v>
      </c>
      <c r="N14243" t="s">
        <v>30487</v>
      </c>
      <c r="O14243" t="s">
        <v>32101</v>
      </c>
      <c r="P14243" t="s">
        <v>32336</v>
      </c>
      <c r="R14243" s="26" t="str">
        <f t="shared" si="64"/>
        <v>Sicinivirus ahiberni</v>
      </c>
      <c r="S14243" t="s">
        <v>8141</v>
      </c>
      <c r="T14243" t="s">
        <v>32342</v>
      </c>
      <c r="U14243" t="s">
        <v>32343</v>
      </c>
      <c r="V14243" t="s">
        <v>32344</v>
      </c>
      <c r="W14243" t="s">
        <v>50073</v>
      </c>
      <c r="X14243" t="s">
        <v>42</v>
      </c>
      <c r="Y14243" t="s">
        <v>17171</v>
      </c>
      <c r="Z14243" t="s">
        <v>166</v>
      </c>
      <c r="AA14243" s="22" t="str">
        <f>HYPERLINK("https://www.ncbi.nlm.nih.gov/nuccore/KP779642","NCBI Nucleotide")</f>
        <v>NCBI Nucleotide</v>
      </c>
    </row>
    <row r="14244" spans="1:27" x14ac:dyDescent="0.35">
      <c r="A14244">
        <v>1011879</v>
      </c>
      <c r="B14244">
        <v>12858</v>
      </c>
      <c r="C14244">
        <v>4</v>
      </c>
      <c r="D14244" t="s">
        <v>17166</v>
      </c>
      <c r="F14244" t="s">
        <v>17246</v>
      </c>
      <c r="H14244" t="s">
        <v>28921</v>
      </c>
      <c r="J14244" t="s">
        <v>29538</v>
      </c>
      <c r="L14244" t="s">
        <v>30198</v>
      </c>
      <c r="N14244" t="s">
        <v>30487</v>
      </c>
      <c r="O14244" t="s">
        <v>32101</v>
      </c>
      <c r="P14244" t="s">
        <v>32336</v>
      </c>
      <c r="R14244" s="26" t="str">
        <f t="shared" si="64"/>
        <v>Sicinivirus ahiberni</v>
      </c>
      <c r="S14244" t="s">
        <v>8141</v>
      </c>
      <c r="T14244" t="s">
        <v>32345</v>
      </c>
      <c r="U14244" t="s">
        <v>32346</v>
      </c>
      <c r="V14244" t="s">
        <v>32347</v>
      </c>
      <c r="W14244" t="s">
        <v>50074</v>
      </c>
      <c r="X14244" t="s">
        <v>35</v>
      </c>
      <c r="Y14244" t="s">
        <v>17171</v>
      </c>
      <c r="Z14244" t="s">
        <v>166</v>
      </c>
      <c r="AA14244" s="22" t="str">
        <f>HYPERLINK("https://www.ncbi.nlm.nih.gov/nuccore/KY069113","NCBI Nucleotide")</f>
        <v>NCBI Nucleotide</v>
      </c>
    </row>
    <row r="14245" spans="1:27" x14ac:dyDescent="0.35">
      <c r="A14245">
        <v>1011880</v>
      </c>
      <c r="B14245">
        <v>12858</v>
      </c>
      <c r="C14245">
        <v>5</v>
      </c>
      <c r="D14245" t="s">
        <v>17166</v>
      </c>
      <c r="F14245" t="s">
        <v>17246</v>
      </c>
      <c r="H14245" t="s">
        <v>28921</v>
      </c>
      <c r="J14245" t="s">
        <v>29538</v>
      </c>
      <c r="L14245" t="s">
        <v>30198</v>
      </c>
      <c r="N14245" t="s">
        <v>30487</v>
      </c>
      <c r="O14245" t="s">
        <v>32101</v>
      </c>
      <c r="P14245" t="s">
        <v>32336</v>
      </c>
      <c r="R14245" s="26" t="str">
        <f t="shared" si="64"/>
        <v>Sicinivirus ahiberni</v>
      </c>
      <c r="S14245" t="s">
        <v>8141</v>
      </c>
      <c r="T14245" t="s">
        <v>32348</v>
      </c>
      <c r="U14245" t="s">
        <v>32349</v>
      </c>
      <c r="V14245" t="s">
        <v>32350</v>
      </c>
      <c r="W14245" t="s">
        <v>50075</v>
      </c>
      <c r="X14245" t="s">
        <v>35</v>
      </c>
      <c r="Y14245" t="s">
        <v>17171</v>
      </c>
      <c r="Z14245" t="s">
        <v>166</v>
      </c>
      <c r="AA14245" s="22" t="str">
        <f>HYPERLINK("https://www.ncbi.nlm.nih.gov/nuccore/KF979332","NCBI Nucleotide")</f>
        <v>NCBI Nucleotide</v>
      </c>
    </row>
    <row r="14246" spans="1:27" x14ac:dyDescent="0.35">
      <c r="A14246">
        <v>1011881</v>
      </c>
      <c r="B14246">
        <v>12858</v>
      </c>
      <c r="C14246">
        <v>6</v>
      </c>
      <c r="D14246" t="s">
        <v>17166</v>
      </c>
      <c r="F14246" t="s">
        <v>17246</v>
      </c>
      <c r="H14246" t="s">
        <v>28921</v>
      </c>
      <c r="J14246" t="s">
        <v>29538</v>
      </c>
      <c r="L14246" t="s">
        <v>30198</v>
      </c>
      <c r="N14246" t="s">
        <v>30487</v>
      </c>
      <c r="O14246" t="s">
        <v>32101</v>
      </c>
      <c r="P14246" t="s">
        <v>32336</v>
      </c>
      <c r="R14246" s="26" t="str">
        <f t="shared" si="64"/>
        <v>Sicinivirus ahiberni</v>
      </c>
      <c r="S14246" t="s">
        <v>8141</v>
      </c>
      <c r="T14246" t="s">
        <v>32351</v>
      </c>
      <c r="U14246" t="s">
        <v>32352</v>
      </c>
      <c r="V14246" t="s">
        <v>32353</v>
      </c>
      <c r="W14246" t="s">
        <v>50076</v>
      </c>
      <c r="X14246" t="s">
        <v>35</v>
      </c>
      <c r="Y14246" t="s">
        <v>17171</v>
      </c>
      <c r="Z14246" t="s">
        <v>166</v>
      </c>
      <c r="AA14246" s="22" t="str">
        <f>HYPERLINK("https://www.ncbi.nlm.nih.gov/nuccore/KY069112","NCBI Nucleotide")</f>
        <v>NCBI Nucleotide</v>
      </c>
    </row>
    <row r="14247" spans="1:27" x14ac:dyDescent="0.35">
      <c r="A14247">
        <v>1011882</v>
      </c>
      <c r="B14247">
        <v>12858</v>
      </c>
      <c r="C14247">
        <v>7</v>
      </c>
      <c r="D14247" t="s">
        <v>17166</v>
      </c>
      <c r="F14247" t="s">
        <v>17246</v>
      </c>
      <c r="H14247" t="s">
        <v>28921</v>
      </c>
      <c r="J14247" t="s">
        <v>29538</v>
      </c>
      <c r="L14247" t="s">
        <v>30198</v>
      </c>
      <c r="N14247" t="s">
        <v>30487</v>
      </c>
      <c r="O14247" t="s">
        <v>32101</v>
      </c>
      <c r="P14247" t="s">
        <v>32336</v>
      </c>
      <c r="R14247" s="26" t="str">
        <f t="shared" si="64"/>
        <v>Sicinivirus ahiberni</v>
      </c>
      <c r="S14247" t="s">
        <v>8141</v>
      </c>
      <c r="T14247" t="s">
        <v>32354</v>
      </c>
      <c r="U14247" t="s">
        <v>32355</v>
      </c>
      <c r="V14247" t="s">
        <v>32356</v>
      </c>
      <c r="W14247" t="s">
        <v>50077</v>
      </c>
      <c r="X14247" t="s">
        <v>35</v>
      </c>
      <c r="Y14247" t="s">
        <v>17171</v>
      </c>
      <c r="Z14247" t="s">
        <v>166</v>
      </c>
      <c r="AA14247" s="22" t="str">
        <f>HYPERLINK("https://www.ncbi.nlm.nih.gov/nuccore/MG846481","NCBI Nucleotide")</f>
        <v>NCBI Nucleotide</v>
      </c>
    </row>
    <row r="14248" spans="1:27" x14ac:dyDescent="0.35">
      <c r="A14248">
        <v>1011883</v>
      </c>
      <c r="B14248">
        <v>12858</v>
      </c>
      <c r="C14248">
        <v>8</v>
      </c>
      <c r="D14248" t="s">
        <v>17166</v>
      </c>
      <c r="F14248" t="s">
        <v>17246</v>
      </c>
      <c r="H14248" t="s">
        <v>28921</v>
      </c>
      <c r="J14248" t="s">
        <v>29538</v>
      </c>
      <c r="L14248" t="s">
        <v>30198</v>
      </c>
      <c r="N14248" t="s">
        <v>30487</v>
      </c>
      <c r="O14248" t="s">
        <v>32101</v>
      </c>
      <c r="P14248" t="s">
        <v>32336</v>
      </c>
      <c r="R14248" s="26" t="str">
        <f t="shared" si="64"/>
        <v>Sicinivirus ahiberni</v>
      </c>
      <c r="S14248" t="s">
        <v>8141</v>
      </c>
      <c r="T14248" t="s">
        <v>32357</v>
      </c>
      <c r="U14248" t="s">
        <v>32358</v>
      </c>
      <c r="V14248" t="s">
        <v>32359</v>
      </c>
      <c r="W14248" t="s">
        <v>50078</v>
      </c>
      <c r="X14248" t="s">
        <v>35</v>
      </c>
      <c r="Y14248" t="s">
        <v>17171</v>
      </c>
      <c r="Z14248" t="s">
        <v>166</v>
      </c>
      <c r="AA14248" s="22" t="str">
        <f>HYPERLINK("https://www.ncbi.nlm.nih.gov/nuccore/MG846484","NCBI Nucleotide")</f>
        <v>NCBI Nucleotide</v>
      </c>
    </row>
    <row r="14249" spans="1:27" x14ac:dyDescent="0.35">
      <c r="A14249">
        <v>1011884</v>
      </c>
      <c r="B14249">
        <v>12858</v>
      </c>
      <c r="C14249">
        <v>9</v>
      </c>
      <c r="D14249" t="s">
        <v>17166</v>
      </c>
      <c r="F14249" t="s">
        <v>17246</v>
      </c>
      <c r="H14249" t="s">
        <v>28921</v>
      </c>
      <c r="J14249" t="s">
        <v>29538</v>
      </c>
      <c r="L14249" t="s">
        <v>30198</v>
      </c>
      <c r="N14249" t="s">
        <v>30487</v>
      </c>
      <c r="O14249" t="s">
        <v>32101</v>
      </c>
      <c r="P14249" t="s">
        <v>32336</v>
      </c>
      <c r="R14249" s="26" t="str">
        <f t="shared" si="64"/>
        <v>Sicinivirus ahiberni</v>
      </c>
      <c r="S14249" t="s">
        <v>8141</v>
      </c>
      <c r="T14249" t="s">
        <v>32360</v>
      </c>
      <c r="U14249" t="s">
        <v>32361</v>
      </c>
      <c r="V14249" t="s">
        <v>32362</v>
      </c>
      <c r="W14249" t="s">
        <v>50079</v>
      </c>
      <c r="X14249" t="s">
        <v>35</v>
      </c>
      <c r="Y14249" t="s">
        <v>17171</v>
      </c>
      <c r="Z14249" t="s">
        <v>166</v>
      </c>
      <c r="AA14249" s="22" t="str">
        <f>HYPERLINK("https://www.ncbi.nlm.nih.gov/nuccore/MG846482","NCBI Nucleotide")</f>
        <v>NCBI Nucleotide</v>
      </c>
    </row>
    <row r="14250" spans="1:27" x14ac:dyDescent="0.35">
      <c r="A14250">
        <v>1002252</v>
      </c>
      <c r="B14250">
        <v>12859</v>
      </c>
      <c r="C14250">
        <v>1</v>
      </c>
      <c r="D14250" t="s">
        <v>17166</v>
      </c>
      <c r="F14250" t="s">
        <v>17246</v>
      </c>
      <c r="H14250" t="s">
        <v>28921</v>
      </c>
      <c r="J14250" t="s">
        <v>29538</v>
      </c>
      <c r="L14250" t="s">
        <v>30198</v>
      </c>
      <c r="N14250" t="s">
        <v>30487</v>
      </c>
      <c r="O14250" t="s">
        <v>32101</v>
      </c>
      <c r="P14250" t="s">
        <v>32363</v>
      </c>
      <c r="R14250" s="26" t="str">
        <f>HYPERLINK("https://ictv.global/taxonomy/taxondetails?taxnode_id=202307304","Symapivirus atriliza")</f>
        <v>Symapivirus atriliza</v>
      </c>
      <c r="S14250" t="s">
        <v>30</v>
      </c>
      <c r="T14250" t="s">
        <v>32364</v>
      </c>
      <c r="U14250" t="s">
        <v>32365</v>
      </c>
      <c r="V14250" t="s">
        <v>32366</v>
      </c>
      <c r="W14250" t="s">
        <v>32367</v>
      </c>
      <c r="X14250" t="s">
        <v>42</v>
      </c>
      <c r="Y14250" t="s">
        <v>17171</v>
      </c>
      <c r="Z14250" t="s">
        <v>166</v>
      </c>
      <c r="AA14250" s="22" t="str">
        <f>HYPERLINK("https://www.ncbi.nlm.nih.gov/nuccore/MG600076","NCBI Nucleotide")</f>
        <v>NCBI Nucleotide</v>
      </c>
    </row>
    <row r="14251" spans="1:27" x14ac:dyDescent="0.35">
      <c r="A14251">
        <v>1002253</v>
      </c>
      <c r="B14251">
        <v>12860</v>
      </c>
      <c r="C14251">
        <v>1</v>
      </c>
      <c r="D14251" t="s">
        <v>17166</v>
      </c>
      <c r="F14251" t="s">
        <v>17246</v>
      </c>
      <c r="H14251" t="s">
        <v>28921</v>
      </c>
      <c r="J14251" t="s">
        <v>29538</v>
      </c>
      <c r="L14251" t="s">
        <v>30198</v>
      </c>
      <c r="N14251" t="s">
        <v>30487</v>
      </c>
      <c r="O14251" t="s">
        <v>32101</v>
      </c>
      <c r="P14251" t="s">
        <v>32368</v>
      </c>
      <c r="R14251" s="26" t="str">
        <f>HYPERLINK("https://ictv.global/taxonomy/taxondetails?taxnode_id=202307306","Tropivirus awaski")</f>
        <v>Tropivirus awaski</v>
      </c>
      <c r="S14251" t="s">
        <v>30</v>
      </c>
      <c r="T14251" t="s">
        <v>32369</v>
      </c>
      <c r="U14251" t="s">
        <v>32370</v>
      </c>
      <c r="V14251" t="s">
        <v>32371</v>
      </c>
      <c r="W14251" t="s">
        <v>32372</v>
      </c>
      <c r="X14251" t="s">
        <v>42</v>
      </c>
      <c r="Y14251" t="s">
        <v>17171</v>
      </c>
      <c r="Z14251" t="s">
        <v>166</v>
      </c>
      <c r="AA14251" s="22" t="str">
        <f>HYPERLINK("https://www.ncbi.nlm.nih.gov/nuccore/MG600091","NCBI Nucleotide")</f>
        <v>NCBI Nucleotide</v>
      </c>
    </row>
    <row r="14252" spans="1:27" x14ac:dyDescent="0.35">
      <c r="A14252">
        <v>1002254</v>
      </c>
      <c r="B14252">
        <v>12861</v>
      </c>
      <c r="C14252">
        <v>1</v>
      </c>
      <c r="D14252" t="s">
        <v>17166</v>
      </c>
      <c r="F14252" t="s">
        <v>17246</v>
      </c>
      <c r="H14252" t="s">
        <v>28921</v>
      </c>
      <c r="J14252" t="s">
        <v>29538</v>
      </c>
      <c r="L14252" t="s">
        <v>30198</v>
      </c>
      <c r="N14252" t="s">
        <v>30487</v>
      </c>
      <c r="O14252" t="s">
        <v>32101</v>
      </c>
      <c r="P14252" t="s">
        <v>32368</v>
      </c>
      <c r="R14252" s="26" t="str">
        <f>HYPERLINK("https://ictv.global/taxonomy/taxondetails?taxnode_id=202309248","Tropivirus betero")</f>
        <v>Tropivirus betero</v>
      </c>
      <c r="S14252" t="s">
        <v>30</v>
      </c>
      <c r="T14252" t="s">
        <v>32373</v>
      </c>
      <c r="U14252" t="s">
        <v>32374</v>
      </c>
      <c r="V14252" t="s">
        <v>32375</v>
      </c>
      <c r="W14252" t="s">
        <v>32376</v>
      </c>
      <c r="X14252" t="s">
        <v>42</v>
      </c>
      <c r="Y14252" t="s">
        <v>17171</v>
      </c>
      <c r="Z14252" t="s">
        <v>166</v>
      </c>
      <c r="AA14252" s="22" t="str">
        <f>HYPERLINK("https://www.ncbi.nlm.nih.gov/nuccore/MG600083","NCBI Nucleotide")</f>
        <v>NCBI Nucleotide</v>
      </c>
    </row>
    <row r="14253" spans="1:27" x14ac:dyDescent="0.35">
      <c r="A14253">
        <v>1002255</v>
      </c>
      <c r="B14253">
        <v>12862</v>
      </c>
      <c r="C14253">
        <v>1</v>
      </c>
      <c r="D14253" t="s">
        <v>17166</v>
      </c>
      <c r="F14253" t="s">
        <v>17246</v>
      </c>
      <c r="H14253" t="s">
        <v>28921</v>
      </c>
      <c r="J14253" t="s">
        <v>29538</v>
      </c>
      <c r="L14253" t="s">
        <v>30198</v>
      </c>
      <c r="N14253" t="s">
        <v>30487</v>
      </c>
      <c r="O14253" t="s">
        <v>32377</v>
      </c>
      <c r="P14253" t="s">
        <v>32378</v>
      </c>
      <c r="R14253" s="26" t="str">
        <f>HYPERLINK("https://ictv.global/taxonomy/taxondetails?taxnode_id=202305589","Aalivirus apekidu")</f>
        <v>Aalivirus apekidu</v>
      </c>
      <c r="S14253" t="s">
        <v>30</v>
      </c>
      <c r="T14253" t="s">
        <v>32379</v>
      </c>
      <c r="U14253" t="s">
        <v>32380</v>
      </c>
      <c r="V14253" t="s">
        <v>32381</v>
      </c>
      <c r="W14253" t="s">
        <v>32382</v>
      </c>
      <c r="X14253" t="s">
        <v>42</v>
      </c>
      <c r="Y14253" t="s">
        <v>17171</v>
      </c>
      <c r="Z14253" t="s">
        <v>166</v>
      </c>
      <c r="AA14253" s="22" t="str">
        <f>HYPERLINK("https://www.ncbi.nlm.nih.gov/nuccore/KJ000696","NCBI Nucleotide")</f>
        <v>NCBI Nucleotide</v>
      </c>
    </row>
    <row r="14254" spans="1:27" x14ac:dyDescent="0.35">
      <c r="A14254">
        <v>1002256</v>
      </c>
      <c r="B14254">
        <v>12863</v>
      </c>
      <c r="C14254">
        <v>1</v>
      </c>
      <c r="D14254" t="s">
        <v>17166</v>
      </c>
      <c r="F14254" t="s">
        <v>17246</v>
      </c>
      <c r="H14254" t="s">
        <v>28921</v>
      </c>
      <c r="J14254" t="s">
        <v>29538</v>
      </c>
      <c r="L14254" t="s">
        <v>30198</v>
      </c>
      <c r="N14254" t="s">
        <v>30487</v>
      </c>
      <c r="O14254" t="s">
        <v>32377</v>
      </c>
      <c r="P14254" t="s">
        <v>32383</v>
      </c>
      <c r="R14254" s="26" t="str">
        <f>HYPERLINK("https://ictv.global/taxonomy/taxondetails?taxnode_id=202301963","Aquamavirus apinni")</f>
        <v>Aquamavirus apinni</v>
      </c>
      <c r="S14254" t="s">
        <v>30</v>
      </c>
      <c r="T14254" t="s">
        <v>32384</v>
      </c>
      <c r="U14254" t="s">
        <v>32385</v>
      </c>
      <c r="V14254" t="s">
        <v>32386</v>
      </c>
      <c r="W14254" t="s">
        <v>32387</v>
      </c>
      <c r="X14254" t="s">
        <v>42</v>
      </c>
      <c r="Y14254" t="s">
        <v>17171</v>
      </c>
      <c r="Z14254" t="s">
        <v>166</v>
      </c>
      <c r="AA14254" s="22" t="str">
        <f>HYPERLINK("https://www.ncbi.nlm.nih.gov/nuccore/EU142040","NCBI Nucleotide")</f>
        <v>NCBI Nucleotide</v>
      </c>
    </row>
    <row r="14255" spans="1:27" x14ac:dyDescent="0.35">
      <c r="A14255">
        <v>1011885</v>
      </c>
      <c r="B14255">
        <v>12863</v>
      </c>
      <c r="C14255">
        <v>2</v>
      </c>
      <c r="D14255" t="s">
        <v>17166</v>
      </c>
      <c r="F14255" t="s">
        <v>17246</v>
      </c>
      <c r="H14255" t="s">
        <v>28921</v>
      </c>
      <c r="J14255" t="s">
        <v>29538</v>
      </c>
      <c r="L14255" t="s">
        <v>30198</v>
      </c>
      <c r="N14255" t="s">
        <v>30487</v>
      </c>
      <c r="O14255" t="s">
        <v>32377</v>
      </c>
      <c r="P14255" t="s">
        <v>32383</v>
      </c>
      <c r="R14255" s="26" t="str">
        <f>HYPERLINK("https://ictv.global/taxonomy/taxondetails?taxnode_id=202301963","Aquamavirus apinni")</f>
        <v>Aquamavirus apinni</v>
      </c>
      <c r="S14255" t="s">
        <v>8141</v>
      </c>
      <c r="T14255" t="s">
        <v>32388</v>
      </c>
      <c r="U14255" t="s">
        <v>32389</v>
      </c>
      <c r="V14255" t="s">
        <v>32390</v>
      </c>
      <c r="W14255" t="s">
        <v>50080</v>
      </c>
      <c r="X14255" t="s">
        <v>42</v>
      </c>
      <c r="Y14255" t="s">
        <v>17171</v>
      </c>
      <c r="Z14255" t="s">
        <v>166</v>
      </c>
      <c r="AA14255" s="22" t="str">
        <f>HYPERLINK("https://www.ncbi.nlm.nih.gov/nuccore/MH760796","NCBI Nucleotide")</f>
        <v>NCBI Nucleotide</v>
      </c>
    </row>
    <row r="14256" spans="1:27" x14ac:dyDescent="0.35">
      <c r="A14256">
        <v>1002257</v>
      </c>
      <c r="B14256">
        <v>12864</v>
      </c>
      <c r="C14256">
        <v>1</v>
      </c>
      <c r="D14256" t="s">
        <v>17166</v>
      </c>
      <c r="F14256" t="s">
        <v>17246</v>
      </c>
      <c r="H14256" t="s">
        <v>28921</v>
      </c>
      <c r="J14256" t="s">
        <v>29538</v>
      </c>
      <c r="L14256" t="s">
        <v>30198</v>
      </c>
      <c r="N14256" t="s">
        <v>30487</v>
      </c>
      <c r="O14256" t="s">
        <v>32377</v>
      </c>
      <c r="P14256" t="s">
        <v>32391</v>
      </c>
      <c r="R14256" s="26" t="str">
        <f>HYPERLINK("https://ictv.global/taxonomy/taxondetails?taxnode_id=202301965","Avihepatovirus ahepati")</f>
        <v>Avihepatovirus ahepati</v>
      </c>
      <c r="S14256" t="s">
        <v>30</v>
      </c>
      <c r="T14256" t="s">
        <v>32392</v>
      </c>
      <c r="U14256" t="s">
        <v>32393</v>
      </c>
      <c r="V14256" t="s">
        <v>32394</v>
      </c>
      <c r="W14256" t="s">
        <v>32395</v>
      </c>
      <c r="X14256" t="s">
        <v>42</v>
      </c>
      <c r="Y14256" t="s">
        <v>17171</v>
      </c>
      <c r="Z14256" t="s">
        <v>166</v>
      </c>
      <c r="AA14256" s="22" t="str">
        <f>HYPERLINK("https://www.ncbi.nlm.nih.gov/nuccore/DQ226541","NCBI Nucleotide")</f>
        <v>NCBI Nucleotide</v>
      </c>
    </row>
    <row r="14257" spans="1:27" x14ac:dyDescent="0.35">
      <c r="A14257">
        <v>1011886</v>
      </c>
      <c r="B14257">
        <v>12864</v>
      </c>
      <c r="C14257">
        <v>2</v>
      </c>
      <c r="D14257" t="s">
        <v>17166</v>
      </c>
      <c r="F14257" t="s">
        <v>17246</v>
      </c>
      <c r="H14257" t="s">
        <v>28921</v>
      </c>
      <c r="J14257" t="s">
        <v>29538</v>
      </c>
      <c r="L14257" t="s">
        <v>30198</v>
      </c>
      <c r="N14257" t="s">
        <v>30487</v>
      </c>
      <c r="O14257" t="s">
        <v>32377</v>
      </c>
      <c r="P14257" t="s">
        <v>32391</v>
      </c>
      <c r="R14257" s="26" t="str">
        <f>HYPERLINK("https://ictv.global/taxonomy/taxondetails?taxnode_id=202301965","Avihepatovirus ahepati")</f>
        <v>Avihepatovirus ahepati</v>
      </c>
      <c r="S14257" t="s">
        <v>8141</v>
      </c>
      <c r="T14257" t="s">
        <v>32396</v>
      </c>
      <c r="U14257" t="s">
        <v>32397</v>
      </c>
      <c r="V14257" t="s">
        <v>32398</v>
      </c>
      <c r="W14257" t="s">
        <v>50081</v>
      </c>
      <c r="X14257" t="s">
        <v>42</v>
      </c>
      <c r="Y14257" t="s">
        <v>17171</v>
      </c>
      <c r="Z14257" t="s">
        <v>166</v>
      </c>
      <c r="AA14257" s="22" t="str">
        <f>HYPERLINK("https://www.ncbi.nlm.nih.gov/nuccore/EF067924","NCBI Nucleotide")</f>
        <v>NCBI Nucleotide</v>
      </c>
    </row>
    <row r="14258" spans="1:27" x14ac:dyDescent="0.35">
      <c r="A14258">
        <v>1011887</v>
      </c>
      <c r="B14258">
        <v>12864</v>
      </c>
      <c r="C14258">
        <v>3</v>
      </c>
      <c r="D14258" t="s">
        <v>17166</v>
      </c>
      <c r="F14258" t="s">
        <v>17246</v>
      </c>
      <c r="H14258" t="s">
        <v>28921</v>
      </c>
      <c r="J14258" t="s">
        <v>29538</v>
      </c>
      <c r="L14258" t="s">
        <v>30198</v>
      </c>
      <c r="N14258" t="s">
        <v>30487</v>
      </c>
      <c r="O14258" t="s">
        <v>32377</v>
      </c>
      <c r="P14258" t="s">
        <v>32391</v>
      </c>
      <c r="R14258" s="26" t="str">
        <f>HYPERLINK("https://ictv.global/taxonomy/taxondetails?taxnode_id=202301965","Avihepatovirus ahepati")</f>
        <v>Avihepatovirus ahepati</v>
      </c>
      <c r="S14258" t="s">
        <v>8141</v>
      </c>
      <c r="T14258" t="s">
        <v>32399</v>
      </c>
      <c r="U14258" t="s">
        <v>32400</v>
      </c>
      <c r="V14258" t="s">
        <v>32401</v>
      </c>
      <c r="W14258" t="s">
        <v>50082</v>
      </c>
      <c r="X14258" t="s">
        <v>42</v>
      </c>
      <c r="Y14258" t="s">
        <v>17171</v>
      </c>
      <c r="Z14258" t="s">
        <v>166</v>
      </c>
      <c r="AA14258" s="22" t="str">
        <f>HYPERLINK("https://www.ncbi.nlm.nih.gov/nuccore/DQ256132","NCBI Nucleotide")</f>
        <v>NCBI Nucleotide</v>
      </c>
    </row>
    <row r="14259" spans="1:27" x14ac:dyDescent="0.35">
      <c r="A14259">
        <v>1002258</v>
      </c>
      <c r="B14259">
        <v>12865</v>
      </c>
      <c r="C14259">
        <v>1</v>
      </c>
      <c r="D14259" t="s">
        <v>17166</v>
      </c>
      <c r="F14259" t="s">
        <v>17246</v>
      </c>
      <c r="H14259" t="s">
        <v>28921</v>
      </c>
      <c r="J14259" t="s">
        <v>29538</v>
      </c>
      <c r="L14259" t="s">
        <v>30198</v>
      </c>
      <c r="N14259" t="s">
        <v>30487</v>
      </c>
      <c r="O14259" t="s">
        <v>32377</v>
      </c>
      <c r="P14259" t="s">
        <v>32402</v>
      </c>
      <c r="R14259" s="26" t="str">
        <f>HYPERLINK("https://ictv.global/taxonomy/taxondetails?taxnode_id=202301967","Avisivirus aturki")</f>
        <v>Avisivirus aturki</v>
      </c>
      <c r="S14259" t="s">
        <v>30</v>
      </c>
      <c r="T14259" t="s">
        <v>32403</v>
      </c>
      <c r="U14259" t="s">
        <v>32404</v>
      </c>
      <c r="V14259" t="s">
        <v>32405</v>
      </c>
      <c r="W14259" t="s">
        <v>32406</v>
      </c>
      <c r="X14259" t="s">
        <v>42</v>
      </c>
      <c r="Y14259" t="s">
        <v>17171</v>
      </c>
      <c r="Z14259" t="s">
        <v>166</v>
      </c>
      <c r="AA14259" s="22" t="str">
        <f>HYPERLINK("https://www.ncbi.nlm.nih.gov/nuccore/KC614703","NCBI Nucleotide")</f>
        <v>NCBI Nucleotide</v>
      </c>
    </row>
    <row r="14260" spans="1:27" x14ac:dyDescent="0.35">
      <c r="A14260">
        <v>1002259</v>
      </c>
      <c r="B14260">
        <v>12866</v>
      </c>
      <c r="C14260">
        <v>1</v>
      </c>
      <c r="D14260" t="s">
        <v>17166</v>
      </c>
      <c r="F14260" t="s">
        <v>17246</v>
      </c>
      <c r="H14260" t="s">
        <v>28921</v>
      </c>
      <c r="J14260" t="s">
        <v>29538</v>
      </c>
      <c r="L14260" t="s">
        <v>30198</v>
      </c>
      <c r="N14260" t="s">
        <v>30487</v>
      </c>
      <c r="O14260" t="s">
        <v>32377</v>
      </c>
      <c r="P14260" t="s">
        <v>32402</v>
      </c>
      <c r="R14260" s="26" t="str">
        <f>HYPERLINK("https://ictv.global/taxonomy/taxondetails?taxnode_id=202301968","Avisivirus begallu")</f>
        <v>Avisivirus begallu</v>
      </c>
      <c r="S14260" t="s">
        <v>30</v>
      </c>
      <c r="T14260" t="s">
        <v>32407</v>
      </c>
      <c r="U14260" t="s">
        <v>32408</v>
      </c>
      <c r="V14260" t="s">
        <v>32409</v>
      </c>
      <c r="W14260" t="s">
        <v>32410</v>
      </c>
      <c r="X14260" t="s">
        <v>42</v>
      </c>
      <c r="Y14260" t="s">
        <v>17171</v>
      </c>
      <c r="Z14260" t="s">
        <v>166</v>
      </c>
      <c r="AA14260" s="22" t="str">
        <f>HYPERLINK("https://www.ncbi.nlm.nih.gov/nuccore/KF979333","NCBI Nucleotide")</f>
        <v>NCBI Nucleotide</v>
      </c>
    </row>
    <row r="14261" spans="1:27" x14ac:dyDescent="0.35">
      <c r="A14261">
        <v>1002260</v>
      </c>
      <c r="B14261">
        <v>12867</v>
      </c>
      <c r="C14261">
        <v>1</v>
      </c>
      <c r="D14261" t="s">
        <v>17166</v>
      </c>
      <c r="F14261" t="s">
        <v>17246</v>
      </c>
      <c r="H14261" t="s">
        <v>28921</v>
      </c>
      <c r="J14261" t="s">
        <v>29538</v>
      </c>
      <c r="L14261" t="s">
        <v>30198</v>
      </c>
      <c r="N14261" t="s">
        <v>30487</v>
      </c>
      <c r="O14261" t="s">
        <v>32377</v>
      </c>
      <c r="P14261" t="s">
        <v>32402</v>
      </c>
      <c r="R14261" s="26" t="str">
        <f>HYPERLINK("https://ictv.global/taxonomy/taxondetails?taxnode_id=202301969","Avisivirus cechici")</f>
        <v>Avisivirus cechici</v>
      </c>
      <c r="S14261" t="s">
        <v>30</v>
      </c>
      <c r="T14261" t="s">
        <v>32411</v>
      </c>
      <c r="U14261" t="s">
        <v>32412</v>
      </c>
      <c r="V14261" t="s">
        <v>32413</v>
      </c>
      <c r="W14261" t="s">
        <v>32414</v>
      </c>
      <c r="X14261" t="s">
        <v>42</v>
      </c>
      <c r="Y14261" t="s">
        <v>17171</v>
      </c>
      <c r="Z14261" t="s">
        <v>166</v>
      </c>
      <c r="AA14261" s="22" t="str">
        <f>HYPERLINK("https://www.ncbi.nlm.nih.gov/nuccore/KF979334","NCBI Nucleotide")</f>
        <v>NCBI Nucleotide</v>
      </c>
    </row>
    <row r="14262" spans="1:27" x14ac:dyDescent="0.35">
      <c r="A14262">
        <v>1002261</v>
      </c>
      <c r="B14262">
        <v>12868</v>
      </c>
      <c r="C14262">
        <v>1</v>
      </c>
      <c r="D14262" t="s">
        <v>17166</v>
      </c>
      <c r="F14262" t="s">
        <v>17246</v>
      </c>
      <c r="H14262" t="s">
        <v>28921</v>
      </c>
      <c r="J14262" t="s">
        <v>29538</v>
      </c>
      <c r="L14262" t="s">
        <v>30198</v>
      </c>
      <c r="N14262" t="s">
        <v>30487</v>
      </c>
      <c r="O14262" t="s">
        <v>32377</v>
      </c>
      <c r="P14262" t="s">
        <v>32415</v>
      </c>
      <c r="R14262" s="26" t="str">
        <f>HYPERLINK("https://ictv.global/taxonomy/taxondetails?taxnode_id=202305593","Crohivirus alermus")</f>
        <v>Crohivirus alermus</v>
      </c>
      <c r="S14262" t="s">
        <v>30</v>
      </c>
      <c r="T14262" t="s">
        <v>32416</v>
      </c>
      <c r="U14262" t="s">
        <v>32417</v>
      </c>
      <c r="V14262" t="s">
        <v>32418</v>
      </c>
      <c r="W14262" t="s">
        <v>32419</v>
      </c>
      <c r="X14262" t="s">
        <v>35</v>
      </c>
      <c r="Y14262" t="s">
        <v>17171</v>
      </c>
      <c r="Z14262" t="s">
        <v>166</v>
      </c>
      <c r="AA14262" s="22" t="str">
        <f>HYPERLINK("https://www.ncbi.nlm.nih.gov/nuccore/AB937989","NCBI Nucleotide")</f>
        <v>NCBI Nucleotide</v>
      </c>
    </row>
    <row r="14263" spans="1:27" x14ac:dyDescent="0.35">
      <c r="A14263">
        <v>1002262</v>
      </c>
      <c r="B14263">
        <v>12869</v>
      </c>
      <c r="C14263">
        <v>1</v>
      </c>
      <c r="D14263" t="s">
        <v>17166</v>
      </c>
      <c r="F14263" t="s">
        <v>17246</v>
      </c>
      <c r="H14263" t="s">
        <v>28921</v>
      </c>
      <c r="J14263" t="s">
        <v>29538</v>
      </c>
      <c r="L14263" t="s">
        <v>30198</v>
      </c>
      <c r="N14263" t="s">
        <v>30487</v>
      </c>
      <c r="O14263" t="s">
        <v>32377</v>
      </c>
      <c r="P14263" t="s">
        <v>32415</v>
      </c>
      <c r="R14263" s="26" t="str">
        <f>HYPERLINK("https://ictv.global/taxonomy/taxondetails?taxnode_id=202305594","Crohivirus beidoli")</f>
        <v>Crohivirus beidoli</v>
      </c>
      <c r="S14263" t="s">
        <v>30</v>
      </c>
      <c r="T14263" t="s">
        <v>32420</v>
      </c>
      <c r="U14263" t="s">
        <v>32421</v>
      </c>
      <c r="V14263" t="s">
        <v>32422</v>
      </c>
      <c r="W14263" t="s">
        <v>32423</v>
      </c>
      <c r="X14263" t="s">
        <v>35</v>
      </c>
      <c r="Y14263" t="s">
        <v>17171</v>
      </c>
      <c r="Z14263" t="s">
        <v>166</v>
      </c>
      <c r="AA14263" s="22" t="str">
        <f>HYPERLINK("https://www.ncbi.nlm.nih.gov/nuccore/KX644937","NCBI Nucleotide")</f>
        <v>NCBI Nucleotide</v>
      </c>
    </row>
    <row r="14264" spans="1:27" x14ac:dyDescent="0.35">
      <c r="A14264">
        <v>1002263</v>
      </c>
      <c r="B14264">
        <v>12870</v>
      </c>
      <c r="C14264">
        <v>1</v>
      </c>
      <c r="D14264" t="s">
        <v>17166</v>
      </c>
      <c r="F14264" t="s">
        <v>17246</v>
      </c>
      <c r="H14264" t="s">
        <v>28921</v>
      </c>
      <c r="J14264" t="s">
        <v>29538</v>
      </c>
      <c r="L14264" t="s">
        <v>30198</v>
      </c>
      <c r="N14264" t="s">
        <v>30487</v>
      </c>
      <c r="O14264" t="s">
        <v>32377</v>
      </c>
      <c r="P14264" t="s">
        <v>32424</v>
      </c>
      <c r="R14264" s="26" t="str">
        <f>HYPERLINK("https://ictv.global/taxonomy/taxondetails?taxnode_id=202307284","Grusopivirus arecrocra")</f>
        <v>Grusopivirus arecrocra</v>
      </c>
      <c r="S14264" t="s">
        <v>30</v>
      </c>
      <c r="T14264" t="s">
        <v>32425</v>
      </c>
      <c r="U14264" t="s">
        <v>32026</v>
      </c>
      <c r="V14264" t="s">
        <v>32426</v>
      </c>
      <c r="W14264" t="s">
        <v>32427</v>
      </c>
      <c r="X14264" t="s">
        <v>42</v>
      </c>
      <c r="Y14264" t="s">
        <v>17171</v>
      </c>
      <c r="Z14264" t="s">
        <v>166</v>
      </c>
      <c r="AA14264" s="22" t="str">
        <f>HYPERLINK("https://www.ncbi.nlm.nih.gov/nuccore/KY312544","NCBI Nucleotide")</f>
        <v>NCBI Nucleotide</v>
      </c>
    </row>
    <row r="14265" spans="1:27" x14ac:dyDescent="0.35">
      <c r="A14265">
        <v>1002264</v>
      </c>
      <c r="B14265">
        <v>12871</v>
      </c>
      <c r="C14265">
        <v>1</v>
      </c>
      <c r="D14265" t="s">
        <v>17166</v>
      </c>
      <c r="F14265" t="s">
        <v>17246</v>
      </c>
      <c r="H14265" t="s">
        <v>28921</v>
      </c>
      <c r="J14265" t="s">
        <v>29538</v>
      </c>
      <c r="L14265" t="s">
        <v>30198</v>
      </c>
      <c r="N14265" t="s">
        <v>30487</v>
      </c>
      <c r="O14265" t="s">
        <v>32377</v>
      </c>
      <c r="P14265" t="s">
        <v>32424</v>
      </c>
      <c r="R14265" s="26" t="str">
        <f>HYPERLINK("https://ictv.global/taxonomy/taxondetails?taxnode_id=202307285","Grusopivirus bechini")</f>
        <v>Grusopivirus bechini</v>
      </c>
      <c r="S14265" t="s">
        <v>30</v>
      </c>
      <c r="T14265" t="s">
        <v>32428</v>
      </c>
      <c r="U14265" t="s">
        <v>32429</v>
      </c>
      <c r="V14265" t="s">
        <v>32430</v>
      </c>
      <c r="W14265" t="s">
        <v>32431</v>
      </c>
      <c r="X14265" t="s">
        <v>42</v>
      </c>
      <c r="Y14265" t="s">
        <v>17171</v>
      </c>
      <c r="Z14265" t="s">
        <v>166</v>
      </c>
      <c r="AA14265" s="22" t="str">
        <f>HYPERLINK("https://www.ncbi.nlm.nih.gov/nuccore/KY312545","NCBI Nucleotide")</f>
        <v>NCBI Nucleotide</v>
      </c>
    </row>
    <row r="14266" spans="1:27" x14ac:dyDescent="0.35">
      <c r="A14266">
        <v>1002265</v>
      </c>
      <c r="B14266">
        <v>12872</v>
      </c>
      <c r="C14266">
        <v>1</v>
      </c>
      <c r="D14266" t="s">
        <v>17166</v>
      </c>
      <c r="F14266" t="s">
        <v>17246</v>
      </c>
      <c r="H14266" t="s">
        <v>28921</v>
      </c>
      <c r="J14266" t="s">
        <v>29538</v>
      </c>
      <c r="L14266" t="s">
        <v>30198</v>
      </c>
      <c r="N14266" t="s">
        <v>30487</v>
      </c>
      <c r="O14266" t="s">
        <v>32377</v>
      </c>
      <c r="P14266" t="s">
        <v>32424</v>
      </c>
      <c r="R14266" s="26" t="str">
        <f>HYPERLINK("https://ictv.global/taxonomy/taxondetails?taxnode_id=202308913","Grusopivirus celori")</f>
        <v>Grusopivirus celori</v>
      </c>
      <c r="S14266" t="s">
        <v>30</v>
      </c>
      <c r="T14266" t="s">
        <v>32432</v>
      </c>
      <c r="U14266" t="s">
        <v>32433</v>
      </c>
      <c r="V14266" t="s">
        <v>32434</v>
      </c>
      <c r="W14266" t="s">
        <v>32435</v>
      </c>
      <c r="X14266" t="s">
        <v>42</v>
      </c>
      <c r="Y14266" t="s">
        <v>17171</v>
      </c>
      <c r="Z14266" t="s">
        <v>166</v>
      </c>
      <c r="AA14266" s="22" t="str">
        <f>HYPERLINK("https://www.ncbi.nlm.nih.gov/nuccore/MK443503","NCBI Nucleotide")</f>
        <v>NCBI Nucleotide</v>
      </c>
    </row>
    <row r="14267" spans="1:27" x14ac:dyDescent="0.35">
      <c r="A14267">
        <v>1002266</v>
      </c>
      <c r="B14267">
        <v>12873</v>
      </c>
      <c r="C14267">
        <v>1</v>
      </c>
      <c r="D14267" t="s">
        <v>17166</v>
      </c>
      <c r="F14267" t="s">
        <v>17246</v>
      </c>
      <c r="H14267" t="s">
        <v>28921</v>
      </c>
      <c r="J14267" t="s">
        <v>29538</v>
      </c>
      <c r="L14267" t="s">
        <v>30198</v>
      </c>
      <c r="N14267" t="s">
        <v>30487</v>
      </c>
      <c r="O14267" t="s">
        <v>32377</v>
      </c>
      <c r="P14267" t="s">
        <v>32436</v>
      </c>
      <c r="R14267" s="26" t="str">
        <f>HYPERLINK("https://ictv.global/taxonomy/taxondetails?taxnode_id=202302022","Kunsagivirus agrepla")</f>
        <v>Kunsagivirus agrepla</v>
      </c>
      <c r="S14267" t="s">
        <v>30</v>
      </c>
      <c r="T14267" t="s">
        <v>32437</v>
      </c>
      <c r="U14267" t="s">
        <v>32438</v>
      </c>
      <c r="V14267" t="s">
        <v>32439</v>
      </c>
      <c r="W14267" t="s">
        <v>32440</v>
      </c>
      <c r="X14267" t="s">
        <v>42</v>
      </c>
      <c r="Y14267" t="s">
        <v>17171</v>
      </c>
      <c r="Z14267" t="s">
        <v>166</v>
      </c>
      <c r="AA14267" s="22" t="str">
        <f>HYPERLINK("https://www.ncbi.nlm.nih.gov/nuccore/KC935379","NCBI Nucleotide")</f>
        <v>NCBI Nucleotide</v>
      </c>
    </row>
    <row r="14268" spans="1:27" x14ac:dyDescent="0.35">
      <c r="A14268">
        <v>1002267</v>
      </c>
      <c r="B14268">
        <v>12874</v>
      </c>
      <c r="C14268">
        <v>1</v>
      </c>
      <c r="D14268" t="s">
        <v>17166</v>
      </c>
      <c r="F14268" t="s">
        <v>17246</v>
      </c>
      <c r="H14268" t="s">
        <v>28921</v>
      </c>
      <c r="J14268" t="s">
        <v>29538</v>
      </c>
      <c r="L14268" t="s">
        <v>30198</v>
      </c>
      <c r="N14268" t="s">
        <v>30487</v>
      </c>
      <c r="O14268" t="s">
        <v>32377</v>
      </c>
      <c r="P14268" t="s">
        <v>32436</v>
      </c>
      <c r="R14268" s="26" t="str">
        <f>HYPERLINK("https://ictv.global/taxonomy/taxondetails?taxnode_id=202305598","Kunsagivirus bacameba")</f>
        <v>Kunsagivirus bacameba</v>
      </c>
      <c r="S14268" t="s">
        <v>30</v>
      </c>
      <c r="T14268" t="s">
        <v>32441</v>
      </c>
      <c r="U14268" t="s">
        <v>32442</v>
      </c>
      <c r="V14268" t="s">
        <v>32443</v>
      </c>
      <c r="W14268" t="s">
        <v>32444</v>
      </c>
      <c r="X14268" t="s">
        <v>35</v>
      </c>
      <c r="Y14268" t="s">
        <v>17171</v>
      </c>
      <c r="Z14268" t="s">
        <v>166</v>
      </c>
      <c r="AA14268" s="22" t="str">
        <f>HYPERLINK("https://www.ncbi.nlm.nih.gov/nuccore/KX644936","NCBI Nucleotide")</f>
        <v>NCBI Nucleotide</v>
      </c>
    </row>
    <row r="14269" spans="1:27" x14ac:dyDescent="0.35">
      <c r="A14269">
        <v>1002268</v>
      </c>
      <c r="B14269">
        <v>12875</v>
      </c>
      <c r="C14269">
        <v>1</v>
      </c>
      <c r="D14269" t="s">
        <v>17166</v>
      </c>
      <c r="F14269" t="s">
        <v>17246</v>
      </c>
      <c r="H14269" t="s">
        <v>28921</v>
      </c>
      <c r="J14269" t="s">
        <v>29538</v>
      </c>
      <c r="L14269" t="s">
        <v>30198</v>
      </c>
      <c r="N14269" t="s">
        <v>30487</v>
      </c>
      <c r="O14269" t="s">
        <v>32377</v>
      </c>
      <c r="P14269" t="s">
        <v>32436</v>
      </c>
      <c r="R14269" s="26" t="str">
        <f>HYPERLINK("https://ictv.global/taxonomy/taxondetails?taxnode_id=202305599","Kunsagivirus cetanba")</f>
        <v>Kunsagivirus cetanba</v>
      </c>
      <c r="S14269" t="s">
        <v>30</v>
      </c>
      <c r="T14269" t="s">
        <v>32445</v>
      </c>
      <c r="U14269" t="s">
        <v>32446</v>
      </c>
      <c r="V14269" t="s">
        <v>32447</v>
      </c>
      <c r="W14269" t="s">
        <v>32448</v>
      </c>
      <c r="X14269" t="s">
        <v>42</v>
      </c>
      <c r="Y14269" t="s">
        <v>17171</v>
      </c>
      <c r="Z14269" t="s">
        <v>166</v>
      </c>
      <c r="AA14269" s="22" t="str">
        <f>HYPERLINK("https://www.ncbi.nlm.nih.gov/nuccore/KY670597","NCBI Nucleotide")</f>
        <v>NCBI Nucleotide</v>
      </c>
    </row>
    <row r="14270" spans="1:27" x14ac:dyDescent="0.35">
      <c r="A14270">
        <v>1002269</v>
      </c>
      <c r="B14270">
        <v>12876</v>
      </c>
      <c r="C14270">
        <v>1</v>
      </c>
      <c r="D14270" t="s">
        <v>17166</v>
      </c>
      <c r="F14270" t="s">
        <v>17246</v>
      </c>
      <c r="H14270" t="s">
        <v>28921</v>
      </c>
      <c r="J14270" t="s">
        <v>29538</v>
      </c>
      <c r="L14270" t="s">
        <v>30198</v>
      </c>
      <c r="N14270" t="s">
        <v>30487</v>
      </c>
      <c r="O14270" t="s">
        <v>32377</v>
      </c>
      <c r="P14270" t="s">
        <v>32449</v>
      </c>
      <c r="R14270" s="26" t="str">
        <f>HYPERLINK("https://ictv.global/taxonomy/taxondetails?taxnode_id=202302024","Limnipivirus ablugi")</f>
        <v>Limnipivirus ablugi</v>
      </c>
      <c r="S14270" t="s">
        <v>30</v>
      </c>
      <c r="T14270" t="s">
        <v>32450</v>
      </c>
      <c r="U14270" t="s">
        <v>32451</v>
      </c>
      <c r="V14270" t="s">
        <v>32452</v>
      </c>
      <c r="W14270" t="s">
        <v>32453</v>
      </c>
      <c r="X14270" t="s">
        <v>42</v>
      </c>
      <c r="Y14270" t="s">
        <v>17171</v>
      </c>
      <c r="Z14270" t="s">
        <v>166</v>
      </c>
      <c r="AA14270" s="22" t="str">
        <f>HYPERLINK("https://www.ncbi.nlm.nih.gov/nuccore/JX134222","NCBI Nucleotide")</f>
        <v>NCBI Nucleotide</v>
      </c>
    </row>
    <row r="14271" spans="1:27" x14ac:dyDescent="0.35">
      <c r="A14271">
        <v>1002270</v>
      </c>
      <c r="B14271">
        <v>12877</v>
      </c>
      <c r="C14271">
        <v>1</v>
      </c>
      <c r="D14271" t="s">
        <v>17166</v>
      </c>
      <c r="F14271" t="s">
        <v>17246</v>
      </c>
      <c r="H14271" t="s">
        <v>28921</v>
      </c>
      <c r="J14271" t="s">
        <v>29538</v>
      </c>
      <c r="L14271" t="s">
        <v>30198</v>
      </c>
      <c r="N14271" t="s">
        <v>30487</v>
      </c>
      <c r="O14271" t="s">
        <v>32377</v>
      </c>
      <c r="P14271" t="s">
        <v>32449</v>
      </c>
      <c r="R14271" s="26" t="str">
        <f>HYPERLINK("https://ictv.global/taxonomy/taxondetails?taxnode_id=202302025","Limnipivirus becarpi")</f>
        <v>Limnipivirus becarpi</v>
      </c>
      <c r="S14271" t="s">
        <v>30</v>
      </c>
      <c r="T14271" t="s">
        <v>32454</v>
      </c>
      <c r="U14271" t="s">
        <v>12807</v>
      </c>
      <c r="V14271" t="s">
        <v>32455</v>
      </c>
      <c r="W14271" t="s">
        <v>32456</v>
      </c>
      <c r="X14271" t="s">
        <v>42</v>
      </c>
      <c r="Y14271" t="s">
        <v>17171</v>
      </c>
      <c r="Z14271" t="s">
        <v>166</v>
      </c>
      <c r="AA14271" s="22" t="str">
        <f>HYPERLINK("https://www.ncbi.nlm.nih.gov/nuccore/KF306267","NCBI Nucleotide")</f>
        <v>NCBI Nucleotide</v>
      </c>
    </row>
    <row r="14272" spans="1:27" x14ac:dyDescent="0.35">
      <c r="A14272">
        <v>1002271</v>
      </c>
      <c r="B14272">
        <v>12878</v>
      </c>
      <c r="C14272">
        <v>1</v>
      </c>
      <c r="D14272" t="s">
        <v>17166</v>
      </c>
      <c r="F14272" t="s">
        <v>17246</v>
      </c>
      <c r="H14272" t="s">
        <v>28921</v>
      </c>
      <c r="J14272" t="s">
        <v>29538</v>
      </c>
      <c r="L14272" t="s">
        <v>30198</v>
      </c>
      <c r="N14272" t="s">
        <v>30487</v>
      </c>
      <c r="O14272" t="s">
        <v>32377</v>
      </c>
      <c r="P14272" t="s">
        <v>32449</v>
      </c>
      <c r="R14272" s="26" t="str">
        <f>HYPERLINK("https://ictv.global/taxonomy/taxondetails?taxnode_id=202302026","Limnipivirus cefahemi")</f>
        <v>Limnipivirus cefahemi</v>
      </c>
      <c r="S14272" t="s">
        <v>30</v>
      </c>
      <c r="T14272" t="s">
        <v>32457</v>
      </c>
      <c r="U14272" t="s">
        <v>32458</v>
      </c>
      <c r="V14272" t="s">
        <v>32459</v>
      </c>
      <c r="W14272" t="s">
        <v>32460</v>
      </c>
      <c r="X14272" t="s">
        <v>42</v>
      </c>
      <c r="Y14272" t="s">
        <v>17171</v>
      </c>
      <c r="Z14272" t="s">
        <v>166</v>
      </c>
      <c r="AA14272" s="22" t="str">
        <f>HYPERLINK("https://www.ncbi.nlm.nih.gov/nuccore/KF183915","NCBI Nucleotide")</f>
        <v>NCBI Nucleotide</v>
      </c>
    </row>
    <row r="14273" spans="1:27" x14ac:dyDescent="0.35">
      <c r="A14273">
        <v>1002272</v>
      </c>
      <c r="B14273">
        <v>12879</v>
      </c>
      <c r="C14273">
        <v>1</v>
      </c>
      <c r="D14273" t="s">
        <v>17166</v>
      </c>
      <c r="F14273" t="s">
        <v>17246</v>
      </c>
      <c r="H14273" t="s">
        <v>28921</v>
      </c>
      <c r="J14273" t="s">
        <v>29538</v>
      </c>
      <c r="L14273" t="s">
        <v>30198</v>
      </c>
      <c r="N14273" t="s">
        <v>30487</v>
      </c>
      <c r="O14273" t="s">
        <v>32377</v>
      </c>
      <c r="P14273" t="s">
        <v>32449</v>
      </c>
      <c r="R14273" s="26" t="str">
        <f>HYPERLINK("https://ictv.global/taxonomy/taxondetails?taxnode_id=202309108","Limnipivirus disploca")</f>
        <v>Limnipivirus disploca</v>
      </c>
      <c r="S14273" t="s">
        <v>30</v>
      </c>
      <c r="T14273" t="s">
        <v>32461</v>
      </c>
      <c r="U14273" t="s">
        <v>32462</v>
      </c>
      <c r="V14273" t="s">
        <v>32463</v>
      </c>
      <c r="W14273" t="s">
        <v>32464</v>
      </c>
      <c r="X14273" t="s">
        <v>42</v>
      </c>
      <c r="Y14273" t="s">
        <v>17171</v>
      </c>
      <c r="Z14273" t="s">
        <v>166</v>
      </c>
      <c r="AA14273" s="22" t="str">
        <f>HYPERLINK("https://www.ncbi.nlm.nih.gov/nuccore/MG600094","NCBI Nucleotide")</f>
        <v>NCBI Nucleotide</v>
      </c>
    </row>
    <row r="14274" spans="1:27" x14ac:dyDescent="0.35">
      <c r="A14274">
        <v>1002273</v>
      </c>
      <c r="B14274">
        <v>12880</v>
      </c>
      <c r="C14274">
        <v>1</v>
      </c>
      <c r="D14274" t="s">
        <v>17166</v>
      </c>
      <c r="F14274" t="s">
        <v>17246</v>
      </c>
      <c r="H14274" t="s">
        <v>28921</v>
      </c>
      <c r="J14274" t="s">
        <v>29538</v>
      </c>
      <c r="L14274" t="s">
        <v>30198</v>
      </c>
      <c r="N14274" t="s">
        <v>30487</v>
      </c>
      <c r="O14274" t="s">
        <v>32377</v>
      </c>
      <c r="P14274" t="s">
        <v>32465</v>
      </c>
      <c r="R14274" s="26" t="str">
        <f>HYPERLINK("https://ictv.global/taxonomy/taxondetails?taxnode_id=202305604","Orivirus aoroshaza")</f>
        <v>Orivirus aoroshaza</v>
      </c>
      <c r="S14274" t="s">
        <v>30</v>
      </c>
      <c r="T14274" t="s">
        <v>32466</v>
      </c>
      <c r="U14274" t="s">
        <v>32467</v>
      </c>
      <c r="V14274" t="s">
        <v>32468</v>
      </c>
      <c r="W14274" t="s">
        <v>32469</v>
      </c>
      <c r="X14274" t="s">
        <v>42</v>
      </c>
      <c r="Y14274" t="s">
        <v>17171</v>
      </c>
      <c r="Z14274" t="s">
        <v>166</v>
      </c>
      <c r="AA14274" s="22" t="str">
        <f>HYPERLINK("https://www.ncbi.nlm.nih.gov/nuccore/KM203656","NCBI Nucleotide")</f>
        <v>NCBI Nucleotide</v>
      </c>
    </row>
    <row r="14275" spans="1:27" x14ac:dyDescent="0.35">
      <c r="A14275">
        <v>1011888</v>
      </c>
      <c r="B14275">
        <v>12880</v>
      </c>
      <c r="C14275">
        <v>2</v>
      </c>
      <c r="D14275" t="s">
        <v>17166</v>
      </c>
      <c r="F14275" t="s">
        <v>17246</v>
      </c>
      <c r="H14275" t="s">
        <v>28921</v>
      </c>
      <c r="J14275" t="s">
        <v>29538</v>
      </c>
      <c r="L14275" t="s">
        <v>30198</v>
      </c>
      <c r="N14275" t="s">
        <v>30487</v>
      </c>
      <c r="O14275" t="s">
        <v>32377</v>
      </c>
      <c r="P14275" t="s">
        <v>32465</v>
      </c>
      <c r="R14275" s="26" t="str">
        <f>HYPERLINK("https://ictv.global/taxonomy/taxondetails?taxnode_id=202305604","Orivirus aoroshaza")</f>
        <v>Orivirus aoroshaza</v>
      </c>
      <c r="S14275" t="s">
        <v>8141</v>
      </c>
      <c r="T14275" t="s">
        <v>32470</v>
      </c>
      <c r="U14275" t="s">
        <v>32471</v>
      </c>
      <c r="V14275" t="s">
        <v>32472</v>
      </c>
      <c r="W14275" t="s">
        <v>50083</v>
      </c>
      <c r="X14275" t="s">
        <v>42</v>
      </c>
      <c r="Y14275" t="s">
        <v>17171</v>
      </c>
      <c r="Z14275" t="s">
        <v>166</v>
      </c>
      <c r="AA14275" s="22" t="str">
        <f>HYPERLINK("https://www.ncbi.nlm.nih.gov/nuccore/KT880667","NCBI Nucleotide")</f>
        <v>NCBI Nucleotide</v>
      </c>
    </row>
    <row r="14276" spans="1:27" x14ac:dyDescent="0.35">
      <c r="A14276">
        <v>1002274</v>
      </c>
      <c r="B14276">
        <v>12881</v>
      </c>
      <c r="C14276">
        <v>1</v>
      </c>
      <c r="D14276" t="s">
        <v>17166</v>
      </c>
      <c r="F14276" t="s">
        <v>17246</v>
      </c>
      <c r="H14276" t="s">
        <v>28921</v>
      </c>
      <c r="J14276" t="s">
        <v>29538</v>
      </c>
      <c r="L14276" t="s">
        <v>30198</v>
      </c>
      <c r="N14276" t="s">
        <v>30487</v>
      </c>
      <c r="O14276" t="s">
        <v>32377</v>
      </c>
      <c r="P14276" t="s">
        <v>32473</v>
      </c>
      <c r="R14276" s="26" t="str">
        <f t="shared" ref="R14276:R14293" si="65">HYPERLINK("https://ictv.global/taxonomy/taxondetails?taxnode_id=202302038","Parechovirus ahumpari")</f>
        <v>Parechovirus ahumpari</v>
      </c>
      <c r="S14276" t="s">
        <v>30</v>
      </c>
      <c r="T14276" t="s">
        <v>32474</v>
      </c>
      <c r="U14276" t="s">
        <v>32475</v>
      </c>
      <c r="V14276" t="s">
        <v>32476</v>
      </c>
      <c r="W14276" t="s">
        <v>32477</v>
      </c>
      <c r="X14276" t="s">
        <v>42</v>
      </c>
      <c r="Y14276" t="s">
        <v>17171</v>
      </c>
      <c r="Z14276" t="s">
        <v>166</v>
      </c>
      <c r="AA14276" s="22" t="str">
        <f>HYPERLINK("https://www.ncbi.nlm.nih.gov/nuccore/S45208","NCBI Nucleotide")</f>
        <v>NCBI Nucleotide</v>
      </c>
    </row>
    <row r="14277" spans="1:27" x14ac:dyDescent="0.35">
      <c r="A14277">
        <v>1011889</v>
      </c>
      <c r="B14277">
        <v>12881</v>
      </c>
      <c r="C14277">
        <v>2</v>
      </c>
      <c r="D14277" t="s">
        <v>17166</v>
      </c>
      <c r="F14277" t="s">
        <v>17246</v>
      </c>
      <c r="H14277" t="s">
        <v>28921</v>
      </c>
      <c r="J14277" t="s">
        <v>29538</v>
      </c>
      <c r="L14277" t="s">
        <v>30198</v>
      </c>
      <c r="N14277" t="s">
        <v>30487</v>
      </c>
      <c r="O14277" t="s">
        <v>32377</v>
      </c>
      <c r="P14277" t="s">
        <v>32473</v>
      </c>
      <c r="R14277" s="26" t="str">
        <f t="shared" si="65"/>
        <v>Parechovirus ahumpari</v>
      </c>
      <c r="S14277" t="s">
        <v>8141</v>
      </c>
      <c r="T14277" t="s">
        <v>32478</v>
      </c>
      <c r="U14277" t="s">
        <v>32479</v>
      </c>
      <c r="V14277" t="s">
        <v>32480</v>
      </c>
      <c r="W14277" t="s">
        <v>50084</v>
      </c>
      <c r="X14277" t="s">
        <v>42</v>
      </c>
      <c r="Y14277" t="s">
        <v>17171</v>
      </c>
      <c r="Z14277" t="s">
        <v>166</v>
      </c>
      <c r="AA14277" s="22" t="str">
        <f>HYPERLINK("https://www.ncbi.nlm.nih.gov/nuccore/AJ005695","NCBI Nucleotide")</f>
        <v>NCBI Nucleotide</v>
      </c>
    </row>
    <row r="14278" spans="1:27" x14ac:dyDescent="0.35">
      <c r="A14278">
        <v>1011890</v>
      </c>
      <c r="B14278">
        <v>12881</v>
      </c>
      <c r="C14278">
        <v>3</v>
      </c>
      <c r="D14278" t="s">
        <v>17166</v>
      </c>
      <c r="F14278" t="s">
        <v>17246</v>
      </c>
      <c r="H14278" t="s">
        <v>28921</v>
      </c>
      <c r="J14278" t="s">
        <v>29538</v>
      </c>
      <c r="L14278" t="s">
        <v>30198</v>
      </c>
      <c r="N14278" t="s">
        <v>30487</v>
      </c>
      <c r="O14278" t="s">
        <v>32377</v>
      </c>
      <c r="P14278" t="s">
        <v>32473</v>
      </c>
      <c r="R14278" s="26" t="str">
        <f t="shared" si="65"/>
        <v>Parechovirus ahumpari</v>
      </c>
      <c r="S14278" t="s">
        <v>8141</v>
      </c>
      <c r="T14278" t="s">
        <v>32481</v>
      </c>
      <c r="U14278" t="s">
        <v>32482</v>
      </c>
      <c r="V14278" t="s">
        <v>32483</v>
      </c>
      <c r="W14278" t="s">
        <v>50085</v>
      </c>
      <c r="X14278" t="s">
        <v>42</v>
      </c>
      <c r="Y14278" t="s">
        <v>17171</v>
      </c>
      <c r="Z14278" t="s">
        <v>166</v>
      </c>
      <c r="AA14278" s="22" t="str">
        <f>HYPERLINK("https://www.ncbi.nlm.nih.gov/nuccore/AB084913","NCBI Nucleotide")</f>
        <v>NCBI Nucleotide</v>
      </c>
    </row>
    <row r="14279" spans="1:27" x14ac:dyDescent="0.35">
      <c r="A14279">
        <v>1011891</v>
      </c>
      <c r="B14279">
        <v>12881</v>
      </c>
      <c r="C14279">
        <v>4</v>
      </c>
      <c r="D14279" t="s">
        <v>17166</v>
      </c>
      <c r="F14279" t="s">
        <v>17246</v>
      </c>
      <c r="H14279" t="s">
        <v>28921</v>
      </c>
      <c r="J14279" t="s">
        <v>29538</v>
      </c>
      <c r="L14279" t="s">
        <v>30198</v>
      </c>
      <c r="N14279" t="s">
        <v>30487</v>
      </c>
      <c r="O14279" t="s">
        <v>32377</v>
      </c>
      <c r="P14279" t="s">
        <v>32473</v>
      </c>
      <c r="R14279" s="26" t="str">
        <f t="shared" si="65"/>
        <v>Parechovirus ahumpari</v>
      </c>
      <c r="S14279" t="s">
        <v>8141</v>
      </c>
      <c r="T14279" t="s">
        <v>32484</v>
      </c>
      <c r="U14279" t="s">
        <v>32485</v>
      </c>
      <c r="V14279" t="s">
        <v>32486</v>
      </c>
      <c r="W14279" t="s">
        <v>50086</v>
      </c>
      <c r="X14279" t="s">
        <v>42</v>
      </c>
      <c r="Y14279" t="s">
        <v>17171</v>
      </c>
      <c r="Z14279" t="s">
        <v>166</v>
      </c>
      <c r="AA14279" s="22" t="str">
        <f>HYPERLINK("https://www.ncbi.nlm.nih.gov/nuccore/DQ315670","NCBI Nucleotide")</f>
        <v>NCBI Nucleotide</v>
      </c>
    </row>
    <row r="14280" spans="1:27" x14ac:dyDescent="0.35">
      <c r="A14280">
        <v>1011892</v>
      </c>
      <c r="B14280">
        <v>12881</v>
      </c>
      <c r="C14280">
        <v>5</v>
      </c>
      <c r="D14280" t="s">
        <v>17166</v>
      </c>
      <c r="F14280" t="s">
        <v>17246</v>
      </c>
      <c r="H14280" t="s">
        <v>28921</v>
      </c>
      <c r="J14280" t="s">
        <v>29538</v>
      </c>
      <c r="L14280" t="s">
        <v>30198</v>
      </c>
      <c r="N14280" t="s">
        <v>30487</v>
      </c>
      <c r="O14280" t="s">
        <v>32377</v>
      </c>
      <c r="P14280" t="s">
        <v>32473</v>
      </c>
      <c r="R14280" s="26" t="str">
        <f t="shared" si="65"/>
        <v>Parechovirus ahumpari</v>
      </c>
      <c r="S14280" t="s">
        <v>8141</v>
      </c>
      <c r="T14280" t="s">
        <v>32487</v>
      </c>
      <c r="U14280" t="s">
        <v>32488</v>
      </c>
      <c r="V14280" t="s">
        <v>32489</v>
      </c>
      <c r="W14280" t="s">
        <v>50087</v>
      </c>
      <c r="X14280" t="s">
        <v>42</v>
      </c>
      <c r="Y14280" t="s">
        <v>17171</v>
      </c>
      <c r="Z14280" t="s">
        <v>166</v>
      </c>
      <c r="AA14280" s="22" t="str">
        <f>HYPERLINK("https://www.ncbi.nlm.nih.gov/nuccore/AF055846","NCBI Nucleotide")</f>
        <v>NCBI Nucleotide</v>
      </c>
    </row>
    <row r="14281" spans="1:27" x14ac:dyDescent="0.35">
      <c r="A14281">
        <v>1011893</v>
      </c>
      <c r="B14281">
        <v>12881</v>
      </c>
      <c r="C14281">
        <v>6</v>
      </c>
      <c r="D14281" t="s">
        <v>17166</v>
      </c>
      <c r="F14281" t="s">
        <v>17246</v>
      </c>
      <c r="H14281" t="s">
        <v>28921</v>
      </c>
      <c r="J14281" t="s">
        <v>29538</v>
      </c>
      <c r="L14281" t="s">
        <v>30198</v>
      </c>
      <c r="N14281" t="s">
        <v>30487</v>
      </c>
      <c r="O14281" t="s">
        <v>32377</v>
      </c>
      <c r="P14281" t="s">
        <v>32473</v>
      </c>
      <c r="R14281" s="26" t="str">
        <f t="shared" si="65"/>
        <v>Parechovirus ahumpari</v>
      </c>
      <c r="S14281" t="s">
        <v>8141</v>
      </c>
      <c r="T14281" t="s">
        <v>32490</v>
      </c>
      <c r="U14281" t="s">
        <v>32491</v>
      </c>
      <c r="V14281" t="s">
        <v>32492</v>
      </c>
      <c r="W14281" t="s">
        <v>50088</v>
      </c>
      <c r="X14281" t="s">
        <v>42</v>
      </c>
      <c r="Y14281" t="s">
        <v>17171</v>
      </c>
      <c r="Z14281" t="s">
        <v>166</v>
      </c>
      <c r="AA14281" s="22" t="str">
        <f>HYPERLINK("https://www.ncbi.nlm.nih.gov/nuccore/AB252582","NCBI Nucleotide")</f>
        <v>NCBI Nucleotide</v>
      </c>
    </row>
    <row r="14282" spans="1:27" x14ac:dyDescent="0.35">
      <c r="A14282">
        <v>1011894</v>
      </c>
      <c r="B14282">
        <v>12881</v>
      </c>
      <c r="C14282">
        <v>7</v>
      </c>
      <c r="D14282" t="s">
        <v>17166</v>
      </c>
      <c r="F14282" t="s">
        <v>17246</v>
      </c>
      <c r="H14282" t="s">
        <v>28921</v>
      </c>
      <c r="J14282" t="s">
        <v>29538</v>
      </c>
      <c r="L14282" t="s">
        <v>30198</v>
      </c>
      <c r="N14282" t="s">
        <v>30487</v>
      </c>
      <c r="O14282" t="s">
        <v>32377</v>
      </c>
      <c r="P14282" t="s">
        <v>32473</v>
      </c>
      <c r="R14282" s="26" t="str">
        <f t="shared" si="65"/>
        <v>Parechovirus ahumpari</v>
      </c>
      <c r="S14282" t="s">
        <v>8141</v>
      </c>
      <c r="T14282" t="s">
        <v>32493</v>
      </c>
      <c r="U14282" t="s">
        <v>32494</v>
      </c>
      <c r="V14282" t="s">
        <v>32495</v>
      </c>
      <c r="W14282" t="s">
        <v>50089</v>
      </c>
      <c r="X14282" t="s">
        <v>42</v>
      </c>
      <c r="Y14282" t="s">
        <v>17171</v>
      </c>
      <c r="Z14282" t="s">
        <v>166</v>
      </c>
      <c r="AA14282" s="22" t="str">
        <f>HYPERLINK("https://www.ncbi.nlm.nih.gov/nuccore/EU556224","NCBI Nucleotide")</f>
        <v>NCBI Nucleotide</v>
      </c>
    </row>
    <row r="14283" spans="1:27" x14ac:dyDescent="0.35">
      <c r="A14283">
        <v>1011895</v>
      </c>
      <c r="B14283">
        <v>12881</v>
      </c>
      <c r="C14283">
        <v>8</v>
      </c>
      <c r="D14283" t="s">
        <v>17166</v>
      </c>
      <c r="F14283" t="s">
        <v>17246</v>
      </c>
      <c r="H14283" t="s">
        <v>28921</v>
      </c>
      <c r="J14283" t="s">
        <v>29538</v>
      </c>
      <c r="L14283" t="s">
        <v>30198</v>
      </c>
      <c r="N14283" t="s">
        <v>30487</v>
      </c>
      <c r="O14283" t="s">
        <v>32377</v>
      </c>
      <c r="P14283" t="s">
        <v>32473</v>
      </c>
      <c r="R14283" s="26" t="str">
        <f t="shared" si="65"/>
        <v>Parechovirus ahumpari</v>
      </c>
      <c r="S14283" t="s">
        <v>8141</v>
      </c>
      <c r="T14283" t="s">
        <v>32496</v>
      </c>
      <c r="U14283" t="s">
        <v>32497</v>
      </c>
      <c r="V14283" t="s">
        <v>32498</v>
      </c>
      <c r="W14283" t="s">
        <v>50090</v>
      </c>
      <c r="X14283" t="s">
        <v>42</v>
      </c>
      <c r="Y14283" t="s">
        <v>17171</v>
      </c>
      <c r="Z14283" t="s">
        <v>166</v>
      </c>
      <c r="AA14283" s="22" t="str">
        <f>HYPERLINK("https://www.ncbi.nlm.nih.gov/nuccore/EU716175","NCBI Nucleotide")</f>
        <v>NCBI Nucleotide</v>
      </c>
    </row>
    <row r="14284" spans="1:27" x14ac:dyDescent="0.35">
      <c r="A14284">
        <v>1011896</v>
      </c>
      <c r="B14284">
        <v>12881</v>
      </c>
      <c r="C14284">
        <v>9</v>
      </c>
      <c r="D14284" t="s">
        <v>17166</v>
      </c>
      <c r="F14284" t="s">
        <v>17246</v>
      </c>
      <c r="H14284" t="s">
        <v>28921</v>
      </c>
      <c r="J14284" t="s">
        <v>29538</v>
      </c>
      <c r="L14284" t="s">
        <v>30198</v>
      </c>
      <c r="N14284" t="s">
        <v>30487</v>
      </c>
      <c r="O14284" t="s">
        <v>32377</v>
      </c>
      <c r="P14284" t="s">
        <v>32473</v>
      </c>
      <c r="R14284" s="26" t="str">
        <f t="shared" si="65"/>
        <v>Parechovirus ahumpari</v>
      </c>
      <c r="S14284" t="s">
        <v>8141</v>
      </c>
      <c r="T14284" t="s">
        <v>32499</v>
      </c>
      <c r="U14284" t="s">
        <v>32500</v>
      </c>
      <c r="V14284" t="s">
        <v>32501</v>
      </c>
      <c r="W14284" t="s">
        <v>50091</v>
      </c>
      <c r="X14284" t="s">
        <v>154</v>
      </c>
      <c r="Y14284" t="s">
        <v>17171</v>
      </c>
      <c r="Z14284" t="s">
        <v>166</v>
      </c>
      <c r="AA14284" s="22" t="str">
        <f>HYPERLINK("https://www.ncbi.nlm.nih.gov/nuccore/JX219575","NCBI Nucleotide")</f>
        <v>NCBI Nucleotide</v>
      </c>
    </row>
    <row r="14285" spans="1:27" x14ac:dyDescent="0.35">
      <c r="A14285">
        <v>1011897</v>
      </c>
      <c r="B14285">
        <v>12881</v>
      </c>
      <c r="C14285">
        <v>10</v>
      </c>
      <c r="D14285" t="s">
        <v>17166</v>
      </c>
      <c r="F14285" t="s">
        <v>17246</v>
      </c>
      <c r="H14285" t="s">
        <v>28921</v>
      </c>
      <c r="J14285" t="s">
        <v>29538</v>
      </c>
      <c r="L14285" t="s">
        <v>30198</v>
      </c>
      <c r="N14285" t="s">
        <v>30487</v>
      </c>
      <c r="O14285" t="s">
        <v>32377</v>
      </c>
      <c r="P14285" t="s">
        <v>32473</v>
      </c>
      <c r="R14285" s="26" t="str">
        <f t="shared" si="65"/>
        <v>Parechovirus ahumpari</v>
      </c>
      <c r="S14285" t="s">
        <v>8141</v>
      </c>
      <c r="T14285" t="s">
        <v>32502</v>
      </c>
      <c r="U14285" t="s">
        <v>32503</v>
      </c>
      <c r="V14285" t="s">
        <v>32504</v>
      </c>
      <c r="W14285" t="s">
        <v>50092</v>
      </c>
      <c r="X14285" t="s">
        <v>154</v>
      </c>
      <c r="Y14285" t="s">
        <v>17171</v>
      </c>
      <c r="Z14285" t="s">
        <v>166</v>
      </c>
      <c r="AA14285" s="22" t="str">
        <f>HYPERLINK("https://www.ncbi.nlm.nih.gov/nuccore/JX219568","NCBI Nucleotide")</f>
        <v>NCBI Nucleotide</v>
      </c>
    </row>
    <row r="14286" spans="1:27" x14ac:dyDescent="0.35">
      <c r="A14286">
        <v>1011898</v>
      </c>
      <c r="B14286">
        <v>12881</v>
      </c>
      <c r="C14286">
        <v>11</v>
      </c>
      <c r="D14286" t="s">
        <v>17166</v>
      </c>
      <c r="F14286" t="s">
        <v>17246</v>
      </c>
      <c r="H14286" t="s">
        <v>28921</v>
      </c>
      <c r="J14286" t="s">
        <v>29538</v>
      </c>
      <c r="L14286" t="s">
        <v>30198</v>
      </c>
      <c r="N14286" t="s">
        <v>30487</v>
      </c>
      <c r="O14286" t="s">
        <v>32377</v>
      </c>
      <c r="P14286" t="s">
        <v>32473</v>
      </c>
      <c r="R14286" s="26" t="str">
        <f t="shared" si="65"/>
        <v>Parechovirus ahumpari</v>
      </c>
      <c r="S14286" t="s">
        <v>8141</v>
      </c>
      <c r="T14286" t="s">
        <v>32505</v>
      </c>
      <c r="U14286" t="s">
        <v>32506</v>
      </c>
      <c r="V14286" t="s">
        <v>32507</v>
      </c>
      <c r="W14286" t="s">
        <v>50093</v>
      </c>
      <c r="X14286" t="s">
        <v>154</v>
      </c>
      <c r="Y14286" t="s">
        <v>17171</v>
      </c>
      <c r="Z14286" t="s">
        <v>166</v>
      </c>
      <c r="AA14286" s="22" t="str">
        <f>HYPERLINK("https://www.ncbi.nlm.nih.gov/nuccore/JX219574","NCBI Nucleotide")</f>
        <v>NCBI Nucleotide</v>
      </c>
    </row>
    <row r="14287" spans="1:27" x14ac:dyDescent="0.35">
      <c r="A14287">
        <v>1011899</v>
      </c>
      <c r="B14287">
        <v>12881</v>
      </c>
      <c r="C14287">
        <v>12</v>
      </c>
      <c r="D14287" t="s">
        <v>17166</v>
      </c>
      <c r="F14287" t="s">
        <v>17246</v>
      </c>
      <c r="H14287" t="s">
        <v>28921</v>
      </c>
      <c r="J14287" t="s">
        <v>29538</v>
      </c>
      <c r="L14287" t="s">
        <v>30198</v>
      </c>
      <c r="N14287" t="s">
        <v>30487</v>
      </c>
      <c r="O14287" t="s">
        <v>32377</v>
      </c>
      <c r="P14287" t="s">
        <v>32473</v>
      </c>
      <c r="R14287" s="26" t="str">
        <f t="shared" si="65"/>
        <v>Parechovirus ahumpari</v>
      </c>
      <c r="S14287" t="s">
        <v>8141</v>
      </c>
      <c r="T14287" t="s">
        <v>32508</v>
      </c>
      <c r="U14287" t="s">
        <v>32509</v>
      </c>
      <c r="V14287" t="s">
        <v>32510</v>
      </c>
      <c r="W14287" t="s">
        <v>50094</v>
      </c>
      <c r="X14287" t="s">
        <v>154</v>
      </c>
      <c r="Y14287" t="s">
        <v>17171</v>
      </c>
      <c r="Z14287" t="s">
        <v>166</v>
      </c>
      <c r="AA14287" s="22" t="str">
        <f>HYPERLINK("https://www.ncbi.nlm.nih.gov/nuccore/JX219567","NCBI Nucleotide")</f>
        <v>NCBI Nucleotide</v>
      </c>
    </row>
    <row r="14288" spans="1:27" x14ac:dyDescent="0.35">
      <c r="A14288">
        <v>1011900</v>
      </c>
      <c r="B14288">
        <v>12881</v>
      </c>
      <c r="C14288">
        <v>13</v>
      </c>
      <c r="D14288" t="s">
        <v>17166</v>
      </c>
      <c r="F14288" t="s">
        <v>17246</v>
      </c>
      <c r="H14288" t="s">
        <v>28921</v>
      </c>
      <c r="J14288" t="s">
        <v>29538</v>
      </c>
      <c r="L14288" t="s">
        <v>30198</v>
      </c>
      <c r="N14288" t="s">
        <v>30487</v>
      </c>
      <c r="O14288" t="s">
        <v>32377</v>
      </c>
      <c r="P14288" t="s">
        <v>32473</v>
      </c>
      <c r="R14288" s="26" t="str">
        <f t="shared" si="65"/>
        <v>Parechovirus ahumpari</v>
      </c>
      <c r="S14288" t="s">
        <v>8141</v>
      </c>
      <c r="T14288" t="s">
        <v>32511</v>
      </c>
      <c r="U14288" t="s">
        <v>32512</v>
      </c>
      <c r="V14288" t="s">
        <v>32513</v>
      </c>
      <c r="W14288" t="s">
        <v>50095</v>
      </c>
      <c r="X14288" t="s">
        <v>154</v>
      </c>
      <c r="Y14288" t="s">
        <v>17171</v>
      </c>
      <c r="Z14288" t="s">
        <v>166</v>
      </c>
      <c r="AA14288" s="22" t="str">
        <f>HYPERLINK("https://www.ncbi.nlm.nih.gov/nuccore/JX219579","NCBI Nucleotide")</f>
        <v>NCBI Nucleotide</v>
      </c>
    </row>
    <row r="14289" spans="1:27" x14ac:dyDescent="0.35">
      <c r="A14289">
        <v>1011901</v>
      </c>
      <c r="B14289">
        <v>12881</v>
      </c>
      <c r="C14289">
        <v>14</v>
      </c>
      <c r="D14289" t="s">
        <v>17166</v>
      </c>
      <c r="F14289" t="s">
        <v>17246</v>
      </c>
      <c r="H14289" t="s">
        <v>28921</v>
      </c>
      <c r="J14289" t="s">
        <v>29538</v>
      </c>
      <c r="L14289" t="s">
        <v>30198</v>
      </c>
      <c r="N14289" t="s">
        <v>30487</v>
      </c>
      <c r="O14289" t="s">
        <v>32377</v>
      </c>
      <c r="P14289" t="s">
        <v>32473</v>
      </c>
      <c r="R14289" s="26" t="str">
        <f t="shared" si="65"/>
        <v>Parechovirus ahumpari</v>
      </c>
      <c r="S14289" t="s">
        <v>8141</v>
      </c>
      <c r="T14289" t="s">
        <v>32514</v>
      </c>
      <c r="U14289" t="s">
        <v>32515</v>
      </c>
      <c r="V14289" t="s">
        <v>32516</v>
      </c>
      <c r="W14289" t="s">
        <v>50096</v>
      </c>
      <c r="X14289" t="s">
        <v>154</v>
      </c>
      <c r="Y14289" t="s">
        <v>17171</v>
      </c>
      <c r="Z14289" t="s">
        <v>166</v>
      </c>
      <c r="AA14289" s="22" t="str">
        <f>HYPERLINK("https://www.ncbi.nlm.nih.gov/nuccore/FJ373179","NCBI Nucleotide")</f>
        <v>NCBI Nucleotide</v>
      </c>
    </row>
    <row r="14290" spans="1:27" x14ac:dyDescent="0.35">
      <c r="A14290">
        <v>1011902</v>
      </c>
      <c r="B14290">
        <v>12881</v>
      </c>
      <c r="C14290">
        <v>15</v>
      </c>
      <c r="D14290" t="s">
        <v>17166</v>
      </c>
      <c r="F14290" t="s">
        <v>17246</v>
      </c>
      <c r="H14290" t="s">
        <v>28921</v>
      </c>
      <c r="J14290" t="s">
        <v>29538</v>
      </c>
      <c r="L14290" t="s">
        <v>30198</v>
      </c>
      <c r="N14290" t="s">
        <v>30487</v>
      </c>
      <c r="O14290" t="s">
        <v>32377</v>
      </c>
      <c r="P14290" t="s">
        <v>32473</v>
      </c>
      <c r="R14290" s="26" t="str">
        <f t="shared" si="65"/>
        <v>Parechovirus ahumpari</v>
      </c>
      <c r="S14290" t="s">
        <v>8141</v>
      </c>
      <c r="T14290" t="s">
        <v>32517</v>
      </c>
      <c r="U14290" t="s">
        <v>32518</v>
      </c>
      <c r="V14290" t="s">
        <v>32519</v>
      </c>
      <c r="W14290" t="s">
        <v>50097</v>
      </c>
      <c r="X14290" t="s">
        <v>154</v>
      </c>
      <c r="Y14290" t="s">
        <v>17171</v>
      </c>
      <c r="Z14290" t="s">
        <v>166</v>
      </c>
      <c r="AA14290" s="22" t="str">
        <f>HYPERLINK("https://www.ncbi.nlm.nih.gov/nuccore/JX219573","NCBI Nucleotide")</f>
        <v>NCBI Nucleotide</v>
      </c>
    </row>
    <row r="14291" spans="1:27" x14ac:dyDescent="0.35">
      <c r="A14291">
        <v>1011903</v>
      </c>
      <c r="B14291">
        <v>12881</v>
      </c>
      <c r="C14291">
        <v>16</v>
      </c>
      <c r="D14291" t="s">
        <v>17166</v>
      </c>
      <c r="F14291" t="s">
        <v>17246</v>
      </c>
      <c r="H14291" t="s">
        <v>28921</v>
      </c>
      <c r="J14291" t="s">
        <v>29538</v>
      </c>
      <c r="L14291" t="s">
        <v>30198</v>
      </c>
      <c r="N14291" t="s">
        <v>30487</v>
      </c>
      <c r="O14291" t="s">
        <v>32377</v>
      </c>
      <c r="P14291" t="s">
        <v>32473</v>
      </c>
      <c r="R14291" s="26" t="str">
        <f t="shared" si="65"/>
        <v>Parechovirus ahumpari</v>
      </c>
      <c r="S14291" t="s">
        <v>8141</v>
      </c>
      <c r="T14291" t="s">
        <v>32520</v>
      </c>
      <c r="U14291" t="s">
        <v>32521</v>
      </c>
      <c r="V14291" t="s">
        <v>32522</v>
      </c>
      <c r="W14291" t="s">
        <v>50098</v>
      </c>
      <c r="X14291" t="s">
        <v>154</v>
      </c>
      <c r="Y14291" t="s">
        <v>17171</v>
      </c>
      <c r="Z14291" t="s">
        <v>166</v>
      </c>
      <c r="AA14291" s="22" t="str">
        <f>HYPERLINK("https://www.ncbi.nlm.nih.gov/nuccore/JX219580","NCBI Nucleotide")</f>
        <v>NCBI Nucleotide</v>
      </c>
    </row>
    <row r="14292" spans="1:27" x14ac:dyDescent="0.35">
      <c r="A14292">
        <v>1011904</v>
      </c>
      <c r="B14292">
        <v>12881</v>
      </c>
      <c r="C14292">
        <v>17</v>
      </c>
      <c r="D14292" t="s">
        <v>17166</v>
      </c>
      <c r="F14292" t="s">
        <v>17246</v>
      </c>
      <c r="H14292" t="s">
        <v>28921</v>
      </c>
      <c r="J14292" t="s">
        <v>29538</v>
      </c>
      <c r="L14292" t="s">
        <v>30198</v>
      </c>
      <c r="N14292" t="s">
        <v>30487</v>
      </c>
      <c r="O14292" t="s">
        <v>32377</v>
      </c>
      <c r="P14292" t="s">
        <v>32473</v>
      </c>
      <c r="R14292" s="26" t="str">
        <f t="shared" si="65"/>
        <v>Parechovirus ahumpari</v>
      </c>
      <c r="S14292" t="s">
        <v>8141</v>
      </c>
      <c r="T14292" t="s">
        <v>32523</v>
      </c>
      <c r="U14292" t="s">
        <v>32524</v>
      </c>
      <c r="V14292" t="s">
        <v>32525</v>
      </c>
      <c r="W14292" t="s">
        <v>50099</v>
      </c>
      <c r="X14292" t="s">
        <v>35</v>
      </c>
      <c r="Y14292" t="s">
        <v>17171</v>
      </c>
      <c r="Z14292" t="s">
        <v>166</v>
      </c>
      <c r="AA14292" s="22" t="str">
        <f>HYPERLINK("https://www.ncbi.nlm.nih.gov/nuccore/KT319121","NCBI Nucleotide")</f>
        <v>NCBI Nucleotide</v>
      </c>
    </row>
    <row r="14293" spans="1:27" x14ac:dyDescent="0.35">
      <c r="A14293">
        <v>1011905</v>
      </c>
      <c r="B14293">
        <v>12881</v>
      </c>
      <c r="C14293">
        <v>18</v>
      </c>
      <c r="D14293" t="s">
        <v>17166</v>
      </c>
      <c r="F14293" t="s">
        <v>17246</v>
      </c>
      <c r="H14293" t="s">
        <v>28921</v>
      </c>
      <c r="J14293" t="s">
        <v>29538</v>
      </c>
      <c r="L14293" t="s">
        <v>30198</v>
      </c>
      <c r="N14293" t="s">
        <v>30487</v>
      </c>
      <c r="O14293" t="s">
        <v>32377</v>
      </c>
      <c r="P14293" t="s">
        <v>32473</v>
      </c>
      <c r="R14293" s="26" t="str">
        <f t="shared" si="65"/>
        <v>Parechovirus ahumpari</v>
      </c>
      <c r="S14293" t="s">
        <v>8141</v>
      </c>
      <c r="T14293" t="s">
        <v>32526</v>
      </c>
      <c r="U14293" t="s">
        <v>32527</v>
      </c>
      <c r="V14293" t="s">
        <v>32528</v>
      </c>
      <c r="W14293" t="s">
        <v>50100</v>
      </c>
      <c r="X14293" t="s">
        <v>154</v>
      </c>
      <c r="Y14293" t="s">
        <v>17171</v>
      </c>
      <c r="Z14293" t="s">
        <v>166</v>
      </c>
      <c r="AA14293" s="22" t="str">
        <f>HYPERLINK("https://www.ncbi.nlm.nih.gov/nuccore/KY931659","NCBI Nucleotide")</f>
        <v>NCBI Nucleotide</v>
      </c>
    </row>
    <row r="14294" spans="1:27" x14ac:dyDescent="0.35">
      <c r="A14294">
        <v>1002275</v>
      </c>
      <c r="B14294">
        <v>12882</v>
      </c>
      <c r="C14294">
        <v>1</v>
      </c>
      <c r="D14294" t="s">
        <v>17166</v>
      </c>
      <c r="F14294" t="s">
        <v>17246</v>
      </c>
      <c r="H14294" t="s">
        <v>28921</v>
      </c>
      <c r="J14294" t="s">
        <v>29538</v>
      </c>
      <c r="L14294" t="s">
        <v>30198</v>
      </c>
      <c r="N14294" t="s">
        <v>30487</v>
      </c>
      <c r="O14294" t="s">
        <v>32377</v>
      </c>
      <c r="P14294" t="s">
        <v>32473</v>
      </c>
      <c r="R14294" s="26" t="str">
        <f t="shared" ref="R14294:R14299" si="66">HYPERLINK("https://ictv.global/taxonomy/taxondetails?taxnode_id=202302039","Parechovirus beljungani")</f>
        <v>Parechovirus beljungani</v>
      </c>
      <c r="S14294" t="s">
        <v>30</v>
      </c>
      <c r="T14294" t="s">
        <v>32529</v>
      </c>
      <c r="U14294" t="s">
        <v>32530</v>
      </c>
      <c r="V14294" t="s">
        <v>32531</v>
      </c>
      <c r="W14294" t="s">
        <v>32532</v>
      </c>
      <c r="X14294" t="s">
        <v>42</v>
      </c>
      <c r="Y14294" t="s">
        <v>17171</v>
      </c>
      <c r="Z14294" t="s">
        <v>166</v>
      </c>
      <c r="AA14294" s="22" t="str">
        <f>HYPERLINK("https://www.ncbi.nlm.nih.gov/nuccore/AF327920","NCBI Nucleotide")</f>
        <v>NCBI Nucleotide</v>
      </c>
    </row>
    <row r="14295" spans="1:27" x14ac:dyDescent="0.35">
      <c r="A14295">
        <v>1011906</v>
      </c>
      <c r="B14295">
        <v>12882</v>
      </c>
      <c r="C14295">
        <v>2</v>
      </c>
      <c r="D14295" t="s">
        <v>17166</v>
      </c>
      <c r="F14295" t="s">
        <v>17246</v>
      </c>
      <c r="H14295" t="s">
        <v>28921</v>
      </c>
      <c r="J14295" t="s">
        <v>29538</v>
      </c>
      <c r="L14295" t="s">
        <v>30198</v>
      </c>
      <c r="N14295" t="s">
        <v>30487</v>
      </c>
      <c r="O14295" t="s">
        <v>32377</v>
      </c>
      <c r="P14295" t="s">
        <v>32473</v>
      </c>
      <c r="R14295" s="26" t="str">
        <f t="shared" si="66"/>
        <v>Parechovirus beljungani</v>
      </c>
      <c r="S14295" t="s">
        <v>8141</v>
      </c>
      <c r="T14295" t="s">
        <v>32533</v>
      </c>
      <c r="U14295" t="s">
        <v>32534</v>
      </c>
      <c r="V14295" t="s">
        <v>32535</v>
      </c>
      <c r="W14295" t="s">
        <v>50101</v>
      </c>
      <c r="X14295" t="s">
        <v>42</v>
      </c>
      <c r="Y14295" t="s">
        <v>17171</v>
      </c>
      <c r="Z14295" t="s">
        <v>166</v>
      </c>
      <c r="AA14295" s="22" t="str">
        <f>HYPERLINK("https://www.ncbi.nlm.nih.gov/nuccore/AF020541","NCBI Nucleotide")</f>
        <v>NCBI Nucleotide</v>
      </c>
    </row>
    <row r="14296" spans="1:27" x14ac:dyDescent="0.35">
      <c r="A14296">
        <v>1011907</v>
      </c>
      <c r="B14296">
        <v>12882</v>
      </c>
      <c r="C14296">
        <v>3</v>
      </c>
      <c r="D14296" t="s">
        <v>17166</v>
      </c>
      <c r="F14296" t="s">
        <v>17246</v>
      </c>
      <c r="H14296" t="s">
        <v>28921</v>
      </c>
      <c r="J14296" t="s">
        <v>29538</v>
      </c>
      <c r="L14296" t="s">
        <v>30198</v>
      </c>
      <c r="N14296" t="s">
        <v>30487</v>
      </c>
      <c r="O14296" t="s">
        <v>32377</v>
      </c>
      <c r="P14296" t="s">
        <v>32473</v>
      </c>
      <c r="R14296" s="26" t="str">
        <f t="shared" si="66"/>
        <v>Parechovirus beljungani</v>
      </c>
      <c r="S14296" t="s">
        <v>8141</v>
      </c>
      <c r="T14296" t="s">
        <v>32536</v>
      </c>
      <c r="U14296" t="s">
        <v>32537</v>
      </c>
      <c r="V14296" t="s">
        <v>32538</v>
      </c>
      <c r="W14296" t="s">
        <v>50102</v>
      </c>
      <c r="X14296" t="s">
        <v>42</v>
      </c>
      <c r="Y14296" t="s">
        <v>17171</v>
      </c>
      <c r="Z14296" t="s">
        <v>166</v>
      </c>
      <c r="AA14296" s="22" t="str">
        <f>HYPERLINK("https://www.ncbi.nlm.nih.gov/nuccore/AF538689","NCBI Nucleotide")</f>
        <v>NCBI Nucleotide</v>
      </c>
    </row>
    <row r="14297" spans="1:27" x14ac:dyDescent="0.35">
      <c r="A14297">
        <v>1011908</v>
      </c>
      <c r="B14297">
        <v>12882</v>
      </c>
      <c r="C14297">
        <v>4</v>
      </c>
      <c r="D14297" t="s">
        <v>17166</v>
      </c>
      <c r="F14297" t="s">
        <v>17246</v>
      </c>
      <c r="H14297" t="s">
        <v>28921</v>
      </c>
      <c r="J14297" t="s">
        <v>29538</v>
      </c>
      <c r="L14297" t="s">
        <v>30198</v>
      </c>
      <c r="N14297" t="s">
        <v>30487</v>
      </c>
      <c r="O14297" t="s">
        <v>32377</v>
      </c>
      <c r="P14297" t="s">
        <v>32473</v>
      </c>
      <c r="R14297" s="26" t="str">
        <f t="shared" si="66"/>
        <v>Parechovirus beljungani</v>
      </c>
      <c r="S14297" t="s">
        <v>8141</v>
      </c>
      <c r="T14297" t="s">
        <v>32539</v>
      </c>
      <c r="U14297" t="s">
        <v>32540</v>
      </c>
      <c r="V14297" t="s">
        <v>32541</v>
      </c>
      <c r="W14297" t="s">
        <v>50103</v>
      </c>
      <c r="X14297" t="s">
        <v>42</v>
      </c>
      <c r="Y14297" t="s">
        <v>17171</v>
      </c>
      <c r="Z14297" t="s">
        <v>166</v>
      </c>
      <c r="AA14297" s="22" t="str">
        <f>HYPERLINK("https://www.ncbi.nlm.nih.gov/nuccore/EU854568","NCBI Nucleotide")</f>
        <v>NCBI Nucleotide</v>
      </c>
    </row>
    <row r="14298" spans="1:27" x14ac:dyDescent="0.35">
      <c r="A14298">
        <v>1011909</v>
      </c>
      <c r="B14298">
        <v>12882</v>
      </c>
      <c r="C14298">
        <v>5</v>
      </c>
      <c r="D14298" t="s">
        <v>17166</v>
      </c>
      <c r="F14298" t="s">
        <v>17246</v>
      </c>
      <c r="H14298" t="s">
        <v>28921</v>
      </c>
      <c r="J14298" t="s">
        <v>29538</v>
      </c>
      <c r="L14298" t="s">
        <v>30198</v>
      </c>
      <c r="N14298" t="s">
        <v>30487</v>
      </c>
      <c r="O14298" t="s">
        <v>32377</v>
      </c>
      <c r="P14298" t="s">
        <v>32473</v>
      </c>
      <c r="R14298" s="26" t="str">
        <f t="shared" si="66"/>
        <v>Parechovirus beljungani</v>
      </c>
      <c r="S14298" t="s">
        <v>8141</v>
      </c>
      <c r="T14298" t="s">
        <v>32542</v>
      </c>
      <c r="U14298" t="s">
        <v>32543</v>
      </c>
      <c r="V14298" t="s">
        <v>32544</v>
      </c>
      <c r="W14298" t="s">
        <v>50104</v>
      </c>
      <c r="X14298" t="s">
        <v>42</v>
      </c>
      <c r="Y14298" t="s">
        <v>17171</v>
      </c>
      <c r="Z14298" t="s">
        <v>166</v>
      </c>
      <c r="AA14298" s="22" t="str">
        <f>HYPERLINK("https://www.ncbi.nlm.nih.gov/nuccore/LC133331","NCBI Nucleotide")</f>
        <v>NCBI Nucleotide</v>
      </c>
    </row>
    <row r="14299" spans="1:27" x14ac:dyDescent="0.35">
      <c r="A14299">
        <v>1011910</v>
      </c>
      <c r="B14299">
        <v>12882</v>
      </c>
      <c r="C14299">
        <v>6</v>
      </c>
      <c r="D14299" t="s">
        <v>17166</v>
      </c>
      <c r="F14299" t="s">
        <v>17246</v>
      </c>
      <c r="H14299" t="s">
        <v>28921</v>
      </c>
      <c r="J14299" t="s">
        <v>29538</v>
      </c>
      <c r="L14299" t="s">
        <v>30198</v>
      </c>
      <c r="N14299" t="s">
        <v>30487</v>
      </c>
      <c r="O14299" t="s">
        <v>32377</v>
      </c>
      <c r="P14299" t="s">
        <v>32473</v>
      </c>
      <c r="R14299" s="26" t="str">
        <f t="shared" si="66"/>
        <v>Parechovirus beljungani</v>
      </c>
      <c r="S14299" t="s">
        <v>8141</v>
      </c>
      <c r="T14299" t="s">
        <v>32545</v>
      </c>
      <c r="U14299" t="s">
        <v>32546</v>
      </c>
      <c r="V14299" t="s">
        <v>32547</v>
      </c>
      <c r="W14299" t="s">
        <v>50105</v>
      </c>
      <c r="X14299" t="s">
        <v>42</v>
      </c>
      <c r="Y14299" t="s">
        <v>17171</v>
      </c>
      <c r="Z14299" t="s">
        <v>166</v>
      </c>
      <c r="AA14299" s="22" t="str">
        <f>HYPERLINK("https://www.ncbi.nlm.nih.gov/nuccore/KY432929","NCBI Nucleotide")</f>
        <v>NCBI Nucleotide</v>
      </c>
    </row>
    <row r="14300" spans="1:27" x14ac:dyDescent="0.35">
      <c r="A14300">
        <v>1002276</v>
      </c>
      <c r="B14300">
        <v>12883</v>
      </c>
      <c r="C14300">
        <v>1</v>
      </c>
      <c r="D14300" t="s">
        <v>17166</v>
      </c>
      <c r="F14300" t="s">
        <v>17246</v>
      </c>
      <c r="H14300" t="s">
        <v>28921</v>
      </c>
      <c r="J14300" t="s">
        <v>29538</v>
      </c>
      <c r="L14300" t="s">
        <v>30198</v>
      </c>
      <c r="N14300" t="s">
        <v>30487</v>
      </c>
      <c r="O14300" t="s">
        <v>32377</v>
      </c>
      <c r="P14300" t="s">
        <v>32473</v>
      </c>
      <c r="R14300" s="26" t="str">
        <f>HYPERLINK("https://ictv.global/taxonomy/taxondetails?taxnode_id=202302040","Parechovirus cebokele")</f>
        <v>Parechovirus cebokele</v>
      </c>
      <c r="S14300" t="s">
        <v>30</v>
      </c>
      <c r="T14300" t="s">
        <v>32548</v>
      </c>
      <c r="U14300" t="s">
        <v>32549</v>
      </c>
      <c r="V14300" t="s">
        <v>32550</v>
      </c>
      <c r="W14300" t="s">
        <v>32551</v>
      </c>
      <c r="X14300" t="s">
        <v>42</v>
      </c>
      <c r="Y14300" t="s">
        <v>17171</v>
      </c>
      <c r="Z14300" t="s">
        <v>166</v>
      </c>
      <c r="AA14300" s="22" t="str">
        <f>HYPERLINK("https://www.ncbi.nlm.nih.gov/nuccore/HF677705","NCBI Nucleotide")</f>
        <v>NCBI Nucleotide</v>
      </c>
    </row>
    <row r="14301" spans="1:27" x14ac:dyDescent="0.35">
      <c r="A14301">
        <v>1002277</v>
      </c>
      <c r="B14301">
        <v>12884</v>
      </c>
      <c r="C14301">
        <v>1</v>
      </c>
      <c r="D14301" t="s">
        <v>17166</v>
      </c>
      <c r="F14301" t="s">
        <v>17246</v>
      </c>
      <c r="H14301" t="s">
        <v>28921</v>
      </c>
      <c r="J14301" t="s">
        <v>29538</v>
      </c>
      <c r="L14301" t="s">
        <v>30198</v>
      </c>
      <c r="N14301" t="s">
        <v>30487</v>
      </c>
      <c r="O14301" t="s">
        <v>32377</v>
      </c>
      <c r="P14301" t="s">
        <v>32473</v>
      </c>
      <c r="R14301" s="26" t="str">
        <f>HYPERLINK("https://ictv.global/taxonomy/taxondetails?taxnode_id=202302041","Parechovirus deferreti")</f>
        <v>Parechovirus deferreti</v>
      </c>
      <c r="S14301" t="s">
        <v>30</v>
      </c>
      <c r="T14301" t="s">
        <v>32552</v>
      </c>
      <c r="U14301" t="s">
        <v>32553</v>
      </c>
      <c r="V14301" t="s">
        <v>32554</v>
      </c>
      <c r="W14301" t="s">
        <v>32555</v>
      </c>
      <c r="X14301" t="s">
        <v>42</v>
      </c>
      <c r="Y14301" t="s">
        <v>17171</v>
      </c>
      <c r="Z14301" t="s">
        <v>166</v>
      </c>
      <c r="AA14301" s="22" t="str">
        <f>HYPERLINK("https://www.ncbi.nlm.nih.gov/nuccore/KF006989","NCBI Nucleotide")</f>
        <v>NCBI Nucleotide</v>
      </c>
    </row>
    <row r="14302" spans="1:27" x14ac:dyDescent="0.35">
      <c r="A14302">
        <v>1002278</v>
      </c>
      <c r="B14302">
        <v>12885</v>
      </c>
      <c r="C14302">
        <v>1</v>
      </c>
      <c r="D14302" t="s">
        <v>17166</v>
      </c>
      <c r="F14302" t="s">
        <v>17246</v>
      </c>
      <c r="H14302" t="s">
        <v>28921</v>
      </c>
      <c r="J14302" t="s">
        <v>29538</v>
      </c>
      <c r="L14302" t="s">
        <v>30198</v>
      </c>
      <c r="N14302" t="s">
        <v>30487</v>
      </c>
      <c r="O14302" t="s">
        <v>32377</v>
      </c>
      <c r="P14302" t="s">
        <v>32473</v>
      </c>
      <c r="R14302" s="26" t="str">
        <f>HYPERLINK("https://ictv.global/taxonomy/taxondetails?taxnode_id=202307418","Parechovirus efalco")</f>
        <v>Parechovirus efalco</v>
      </c>
      <c r="S14302" t="s">
        <v>30</v>
      </c>
      <c r="T14302" t="s">
        <v>32556</v>
      </c>
      <c r="U14302" t="s">
        <v>32557</v>
      </c>
      <c r="V14302" t="s">
        <v>32558</v>
      </c>
      <c r="W14302" t="s">
        <v>32559</v>
      </c>
      <c r="X14302" t="s">
        <v>42</v>
      </c>
      <c r="Y14302" t="s">
        <v>17171</v>
      </c>
      <c r="Z14302" t="s">
        <v>166</v>
      </c>
      <c r="AA14302" s="22" t="str">
        <f>HYPERLINK("https://www.ncbi.nlm.nih.gov/nuccore/KY645497","NCBI Nucleotide")</f>
        <v>NCBI Nucleotide</v>
      </c>
    </row>
    <row r="14303" spans="1:27" x14ac:dyDescent="0.35">
      <c r="A14303">
        <v>1002279</v>
      </c>
      <c r="B14303">
        <v>12886</v>
      </c>
      <c r="C14303">
        <v>1</v>
      </c>
      <c r="D14303" t="s">
        <v>17166</v>
      </c>
      <c r="F14303" t="s">
        <v>17246</v>
      </c>
      <c r="H14303" t="s">
        <v>28921</v>
      </c>
      <c r="J14303" t="s">
        <v>29538</v>
      </c>
      <c r="L14303" t="s">
        <v>30198</v>
      </c>
      <c r="N14303" t="s">
        <v>30487</v>
      </c>
      <c r="O14303" t="s">
        <v>32377</v>
      </c>
      <c r="P14303" t="s">
        <v>32473</v>
      </c>
      <c r="R14303" s="26" t="str">
        <f>HYPERLINK("https://ictv.global/taxonomy/taxondetails?taxnode_id=202307419","Parechovirus feterobo")</f>
        <v>Parechovirus feterobo</v>
      </c>
      <c r="S14303" t="s">
        <v>30</v>
      </c>
      <c r="T14303" t="s">
        <v>32560</v>
      </c>
      <c r="U14303" t="s">
        <v>20418</v>
      </c>
      <c r="V14303" t="s">
        <v>32561</v>
      </c>
      <c r="W14303" t="s">
        <v>32562</v>
      </c>
      <c r="X14303" t="s">
        <v>42</v>
      </c>
      <c r="Y14303" t="s">
        <v>17171</v>
      </c>
      <c r="Z14303" t="s">
        <v>166</v>
      </c>
      <c r="AA14303" s="22" t="str">
        <f>HYPERLINK("https://www.ncbi.nlm.nih.gov/nuccore/MG600084","NCBI Nucleotide")</f>
        <v>NCBI Nucleotide</v>
      </c>
    </row>
    <row r="14304" spans="1:27" x14ac:dyDescent="0.35">
      <c r="A14304">
        <v>1002280</v>
      </c>
      <c r="B14304">
        <v>12887</v>
      </c>
      <c r="C14304">
        <v>1</v>
      </c>
      <c r="D14304" t="s">
        <v>17166</v>
      </c>
      <c r="F14304" t="s">
        <v>17246</v>
      </c>
      <c r="H14304" t="s">
        <v>28921</v>
      </c>
      <c r="J14304" t="s">
        <v>29538</v>
      </c>
      <c r="L14304" t="s">
        <v>30198</v>
      </c>
      <c r="N14304" t="s">
        <v>30487</v>
      </c>
      <c r="O14304" t="s">
        <v>32377</v>
      </c>
      <c r="P14304" t="s">
        <v>32563</v>
      </c>
      <c r="R14304" s="26" t="str">
        <f>HYPERLINK("https://ictv.global/taxonomy/taxondetails?taxnode_id=202302043","Pasivirus agallia")</f>
        <v>Pasivirus agallia</v>
      </c>
      <c r="S14304" t="s">
        <v>30</v>
      </c>
      <c r="T14304" t="s">
        <v>32564</v>
      </c>
      <c r="U14304" t="s">
        <v>32565</v>
      </c>
      <c r="V14304" t="s">
        <v>32566</v>
      </c>
      <c r="W14304" t="s">
        <v>32567</v>
      </c>
      <c r="X14304" t="s">
        <v>42</v>
      </c>
      <c r="Y14304" t="s">
        <v>17171</v>
      </c>
      <c r="Z14304" t="s">
        <v>166</v>
      </c>
      <c r="AA14304" s="22" t="str">
        <f>HYPERLINK("https://www.ncbi.nlm.nih.gov/nuccore/JQ316470","NCBI Nucleotide")</f>
        <v>NCBI Nucleotide</v>
      </c>
    </row>
    <row r="14305" spans="1:27" x14ac:dyDescent="0.35">
      <c r="A14305">
        <v>1011911</v>
      </c>
      <c r="B14305">
        <v>12887</v>
      </c>
      <c r="C14305">
        <v>2</v>
      </c>
      <c r="D14305" t="s">
        <v>17166</v>
      </c>
      <c r="F14305" t="s">
        <v>17246</v>
      </c>
      <c r="H14305" t="s">
        <v>28921</v>
      </c>
      <c r="J14305" t="s">
        <v>29538</v>
      </c>
      <c r="L14305" t="s">
        <v>30198</v>
      </c>
      <c r="N14305" t="s">
        <v>30487</v>
      </c>
      <c r="O14305" t="s">
        <v>32377</v>
      </c>
      <c r="P14305" t="s">
        <v>32563</v>
      </c>
      <c r="R14305" s="26" t="str">
        <f>HYPERLINK("https://ictv.global/taxonomy/taxondetails?taxnode_id=202302043","Pasivirus agallia")</f>
        <v>Pasivirus agallia</v>
      </c>
      <c r="S14305" t="s">
        <v>8141</v>
      </c>
      <c r="T14305" t="s">
        <v>32568</v>
      </c>
      <c r="U14305" t="s">
        <v>32569</v>
      </c>
      <c r="V14305" t="s">
        <v>32570</v>
      </c>
      <c r="W14305" t="s">
        <v>50106</v>
      </c>
      <c r="X14305" t="s">
        <v>42</v>
      </c>
      <c r="Y14305" t="s">
        <v>17171</v>
      </c>
      <c r="Z14305" t="s">
        <v>166</v>
      </c>
      <c r="AA14305" s="22" t="str">
        <f>HYPERLINK("https://www.ncbi.nlm.nih.gov/nuccore/JX491648","NCBI Nucleotide")</f>
        <v>NCBI Nucleotide</v>
      </c>
    </row>
    <row r="14306" spans="1:27" x14ac:dyDescent="0.35">
      <c r="A14306">
        <v>1011912</v>
      </c>
      <c r="B14306">
        <v>12887</v>
      </c>
      <c r="C14306">
        <v>3</v>
      </c>
      <c r="D14306" t="s">
        <v>17166</v>
      </c>
      <c r="F14306" t="s">
        <v>17246</v>
      </c>
      <c r="H14306" t="s">
        <v>28921</v>
      </c>
      <c r="J14306" t="s">
        <v>29538</v>
      </c>
      <c r="L14306" t="s">
        <v>30198</v>
      </c>
      <c r="N14306" t="s">
        <v>30487</v>
      </c>
      <c r="O14306" t="s">
        <v>32377</v>
      </c>
      <c r="P14306" t="s">
        <v>32563</v>
      </c>
      <c r="R14306" s="26" t="str">
        <f>HYPERLINK("https://ictv.global/taxonomy/taxondetails?taxnode_id=202302043","Pasivirus agallia")</f>
        <v>Pasivirus agallia</v>
      </c>
      <c r="S14306" t="s">
        <v>8141</v>
      </c>
      <c r="T14306" t="s">
        <v>32571</v>
      </c>
      <c r="U14306" t="s">
        <v>32572</v>
      </c>
      <c r="V14306" t="s">
        <v>32573</v>
      </c>
      <c r="W14306" t="s">
        <v>50107</v>
      </c>
      <c r="X14306" t="s">
        <v>42</v>
      </c>
      <c r="Y14306" t="s">
        <v>17171</v>
      </c>
      <c r="Z14306" t="s">
        <v>166</v>
      </c>
      <c r="AA14306" s="22" t="str">
        <f>HYPERLINK("https://www.ncbi.nlm.nih.gov/nuccore/KM259923","NCBI Nucleotide")</f>
        <v>NCBI Nucleotide</v>
      </c>
    </row>
    <row r="14307" spans="1:27" x14ac:dyDescent="0.35">
      <c r="A14307">
        <v>1011913</v>
      </c>
      <c r="B14307">
        <v>12887</v>
      </c>
      <c r="C14307">
        <v>4</v>
      </c>
      <c r="D14307" t="s">
        <v>17166</v>
      </c>
      <c r="F14307" t="s">
        <v>17246</v>
      </c>
      <c r="H14307" t="s">
        <v>28921</v>
      </c>
      <c r="J14307" t="s">
        <v>29538</v>
      </c>
      <c r="L14307" t="s">
        <v>30198</v>
      </c>
      <c r="N14307" t="s">
        <v>30487</v>
      </c>
      <c r="O14307" t="s">
        <v>32377</v>
      </c>
      <c r="P14307" t="s">
        <v>32563</v>
      </c>
      <c r="R14307" s="26" t="str">
        <f>HYPERLINK("https://ictv.global/taxonomy/taxondetails?taxnode_id=202302043","Pasivirus agallia")</f>
        <v>Pasivirus agallia</v>
      </c>
      <c r="S14307" t="s">
        <v>8141</v>
      </c>
      <c r="T14307" t="s">
        <v>32574</v>
      </c>
      <c r="U14307" t="s">
        <v>32575</v>
      </c>
      <c r="V14307" t="s">
        <v>32576</v>
      </c>
      <c r="W14307" t="s">
        <v>50108</v>
      </c>
      <c r="X14307" t="s">
        <v>42</v>
      </c>
      <c r="Y14307" t="s">
        <v>17171</v>
      </c>
      <c r="Z14307" t="s">
        <v>166</v>
      </c>
      <c r="AA14307" s="22" t="str">
        <f>HYPERLINK("https://www.ncbi.nlm.nih.gov/nuccore/LT898422","NCBI Nucleotide")</f>
        <v>NCBI Nucleotide</v>
      </c>
    </row>
    <row r="14308" spans="1:27" x14ac:dyDescent="0.35">
      <c r="A14308">
        <v>1002281</v>
      </c>
      <c r="B14308">
        <v>12888</v>
      </c>
      <c r="C14308">
        <v>1</v>
      </c>
      <c r="D14308" t="s">
        <v>17166</v>
      </c>
      <c r="F14308" t="s">
        <v>17246</v>
      </c>
      <c r="H14308" t="s">
        <v>28921</v>
      </c>
      <c r="J14308" t="s">
        <v>29538</v>
      </c>
      <c r="L14308" t="s">
        <v>30198</v>
      </c>
      <c r="N14308" t="s">
        <v>30487</v>
      </c>
      <c r="O14308" t="s">
        <v>32377</v>
      </c>
      <c r="P14308" t="s">
        <v>32577</v>
      </c>
      <c r="R14308" s="26" t="str">
        <f>HYPERLINK("https://ictv.global/taxonomy/taxondetails?taxnode_id=202302047","Potamipivirus aconstanci")</f>
        <v>Potamipivirus aconstanci</v>
      </c>
      <c r="S14308" t="s">
        <v>30</v>
      </c>
      <c r="T14308" t="s">
        <v>32578</v>
      </c>
      <c r="U14308" t="s">
        <v>32579</v>
      </c>
      <c r="V14308" t="s">
        <v>32580</v>
      </c>
      <c r="W14308" t="s">
        <v>32581</v>
      </c>
      <c r="X14308" t="s">
        <v>42</v>
      </c>
      <c r="Y14308" t="s">
        <v>17171</v>
      </c>
      <c r="Z14308" t="s">
        <v>166</v>
      </c>
      <c r="AA14308" s="22" t="str">
        <f>HYPERLINK("https://www.ncbi.nlm.nih.gov/nuccore/KC843627","NCBI Nucleotide")</f>
        <v>NCBI Nucleotide</v>
      </c>
    </row>
    <row r="14309" spans="1:27" x14ac:dyDescent="0.35">
      <c r="A14309">
        <v>1002282</v>
      </c>
      <c r="B14309">
        <v>12889</v>
      </c>
      <c r="C14309">
        <v>1</v>
      </c>
      <c r="D14309" t="s">
        <v>17166</v>
      </c>
      <c r="F14309" t="s">
        <v>17246</v>
      </c>
      <c r="H14309" t="s">
        <v>28921</v>
      </c>
      <c r="J14309" t="s">
        <v>29538</v>
      </c>
      <c r="L14309" t="s">
        <v>30198</v>
      </c>
      <c r="N14309" t="s">
        <v>30487</v>
      </c>
      <c r="O14309" t="s">
        <v>32377</v>
      </c>
      <c r="P14309" t="s">
        <v>32577</v>
      </c>
      <c r="R14309" s="26" t="str">
        <f>HYPERLINK("https://ictv.global/taxonomy/taxondetails?taxnode_id=202307428","Potamipivirus balaski")</f>
        <v>Potamipivirus balaski</v>
      </c>
      <c r="S14309" t="s">
        <v>30</v>
      </c>
      <c r="T14309" t="s">
        <v>32582</v>
      </c>
      <c r="U14309" t="s">
        <v>32583</v>
      </c>
      <c r="V14309" t="s">
        <v>32584</v>
      </c>
      <c r="W14309" t="s">
        <v>32585</v>
      </c>
      <c r="X14309" t="s">
        <v>42</v>
      </c>
      <c r="Y14309" t="s">
        <v>17171</v>
      </c>
      <c r="Z14309" t="s">
        <v>166</v>
      </c>
      <c r="AA14309" s="22" t="str">
        <f>HYPERLINK("https://www.ncbi.nlm.nih.gov/nuccore/MK189163","NCBI Nucleotide")</f>
        <v>NCBI Nucleotide</v>
      </c>
    </row>
    <row r="14310" spans="1:27" x14ac:dyDescent="0.35">
      <c r="A14310">
        <v>1002283</v>
      </c>
      <c r="B14310">
        <v>12890</v>
      </c>
      <c r="C14310">
        <v>1</v>
      </c>
      <c r="D14310" t="s">
        <v>17166</v>
      </c>
      <c r="F14310" t="s">
        <v>17246</v>
      </c>
      <c r="H14310" t="s">
        <v>28921</v>
      </c>
      <c r="J14310" t="s">
        <v>29538</v>
      </c>
      <c r="L14310" t="s">
        <v>30198</v>
      </c>
      <c r="N14310" t="s">
        <v>30487</v>
      </c>
      <c r="O14310" t="s">
        <v>32377</v>
      </c>
      <c r="P14310" t="s">
        <v>32586</v>
      </c>
      <c r="R14310" s="26" t="str">
        <f>HYPERLINK("https://ictv.global/taxonomy/taxondetails?taxnode_id=202305606","Shanbavirus aminfuli")</f>
        <v>Shanbavirus aminfuli</v>
      </c>
      <c r="S14310" t="s">
        <v>30</v>
      </c>
      <c r="T14310" t="s">
        <v>32587</v>
      </c>
      <c r="U14310" t="s">
        <v>32588</v>
      </c>
      <c r="V14310" t="s">
        <v>32589</v>
      </c>
      <c r="W14310" t="s">
        <v>32590</v>
      </c>
      <c r="X14310" t="s">
        <v>35</v>
      </c>
      <c r="Y14310" t="s">
        <v>17171</v>
      </c>
      <c r="Z14310" t="s">
        <v>166</v>
      </c>
      <c r="AA14310" s="22" t="str">
        <f>HYPERLINK("https://www.ncbi.nlm.nih.gov/nuccore/KJ641698","NCBI Nucleotide")</f>
        <v>NCBI Nucleotide</v>
      </c>
    </row>
    <row r="14311" spans="1:27" x14ac:dyDescent="0.35">
      <c r="A14311">
        <v>1002284</v>
      </c>
      <c r="B14311">
        <v>12891</v>
      </c>
      <c r="C14311">
        <v>1</v>
      </c>
      <c r="D14311" t="s">
        <v>17166</v>
      </c>
      <c r="F14311" t="s">
        <v>17246</v>
      </c>
      <c r="H14311" t="s">
        <v>28921</v>
      </c>
      <c r="J14311" t="s">
        <v>29538</v>
      </c>
      <c r="L14311" t="s">
        <v>30198</v>
      </c>
      <c r="N14311" t="s">
        <v>30487</v>
      </c>
      <c r="P14311" t="s">
        <v>30488</v>
      </c>
      <c r="R14311" s="26" t="str">
        <f>HYPERLINK("https://ictv.global/taxonomy/taxondetails?taxnode_id=202301956","Ampivirus apilisi")</f>
        <v>Ampivirus apilisi</v>
      </c>
      <c r="S14311" t="s">
        <v>30</v>
      </c>
      <c r="T14311" t="s">
        <v>30489</v>
      </c>
      <c r="U14311" t="s">
        <v>30490</v>
      </c>
      <c r="V14311" t="s">
        <v>30491</v>
      </c>
      <c r="W14311" t="s">
        <v>30492</v>
      </c>
      <c r="X14311" t="s">
        <v>42</v>
      </c>
      <c r="Y14311" t="s">
        <v>17171</v>
      </c>
      <c r="Z14311" t="s">
        <v>166</v>
      </c>
      <c r="AA14311" s="22" t="str">
        <f>HYPERLINK("https://www.ncbi.nlm.nih.gov/nuccore/KP770140","NCBI Nucleotide")</f>
        <v>NCBI Nucleotide</v>
      </c>
    </row>
    <row r="14312" spans="1:27" x14ac:dyDescent="0.35">
      <c r="A14312">
        <v>1002285</v>
      </c>
      <c r="B14312">
        <v>12892</v>
      </c>
      <c r="C14312">
        <v>1</v>
      </c>
      <c r="D14312" t="s">
        <v>17166</v>
      </c>
      <c r="F14312" t="s">
        <v>17246</v>
      </c>
      <c r="H14312" t="s">
        <v>28921</v>
      </c>
      <c r="J14312" t="s">
        <v>29538</v>
      </c>
      <c r="L14312" t="s">
        <v>30198</v>
      </c>
      <c r="N14312" t="s">
        <v>30487</v>
      </c>
      <c r="P14312" t="s">
        <v>30493</v>
      </c>
      <c r="R14312" s="26" t="str">
        <f>HYPERLINK("https://ictv.global/taxonomy/taxondetails?taxnode_id=202302001","Harkavirus alfoldi")</f>
        <v>Harkavirus alfoldi</v>
      </c>
      <c r="S14312" t="s">
        <v>30</v>
      </c>
      <c r="T14312" t="s">
        <v>30494</v>
      </c>
      <c r="U14312" t="s">
        <v>30495</v>
      </c>
      <c r="V14312" t="s">
        <v>30496</v>
      </c>
      <c r="W14312" t="s">
        <v>30497</v>
      </c>
      <c r="X14312" t="s">
        <v>42</v>
      </c>
      <c r="Y14312" t="s">
        <v>17171</v>
      </c>
      <c r="Z14312" t="s">
        <v>166</v>
      </c>
      <c r="AA14312" s="22" t="str">
        <f>HYPERLINK("https://www.ncbi.nlm.nih.gov/nuccore/KP230449","NCBI Nucleotide")</f>
        <v>NCBI Nucleotide</v>
      </c>
    </row>
    <row r="14313" spans="1:27" x14ac:dyDescent="0.35">
      <c r="A14313">
        <v>1002286</v>
      </c>
      <c r="B14313">
        <v>12893</v>
      </c>
      <c r="C14313">
        <v>1</v>
      </c>
      <c r="D14313" t="s">
        <v>17166</v>
      </c>
      <c r="F14313" t="s">
        <v>17246</v>
      </c>
      <c r="H14313" t="s">
        <v>28921</v>
      </c>
      <c r="J14313" t="s">
        <v>29538</v>
      </c>
      <c r="L14313" t="s">
        <v>30198</v>
      </c>
      <c r="N14313" t="s">
        <v>32591</v>
      </c>
      <c r="P14313" t="s">
        <v>32592</v>
      </c>
      <c r="R14313" s="26" t="str">
        <f>HYPERLINK("https://ictv.global/taxonomy/taxondetails?taxnode_id=202305608","Chipolycivirus chironomi")</f>
        <v>Chipolycivirus chironomi</v>
      </c>
      <c r="S14313" t="s">
        <v>30</v>
      </c>
      <c r="T14313" t="s">
        <v>32593</v>
      </c>
      <c r="U14313" t="s">
        <v>32594</v>
      </c>
      <c r="V14313" t="s">
        <v>32595</v>
      </c>
      <c r="W14313" t="s">
        <v>32596</v>
      </c>
      <c r="X14313" t="s">
        <v>35</v>
      </c>
      <c r="Y14313" t="s">
        <v>17171</v>
      </c>
      <c r="Z14313" t="s">
        <v>10790</v>
      </c>
      <c r="AA14313" s="22" t="str">
        <f>HYPERLINK("https://www.ncbi.nlm.nih.gov/nuccore/KA182589","NCBI Nucleotide")</f>
        <v>NCBI Nucleotide</v>
      </c>
    </row>
    <row r="14314" spans="1:27" x14ac:dyDescent="0.35">
      <c r="A14314">
        <v>1002287</v>
      </c>
      <c r="B14314">
        <v>12894</v>
      </c>
      <c r="C14314">
        <v>1</v>
      </c>
      <c r="D14314" t="s">
        <v>17166</v>
      </c>
      <c r="F14314" t="s">
        <v>17246</v>
      </c>
      <c r="H14314" t="s">
        <v>28921</v>
      </c>
      <c r="J14314" t="s">
        <v>29538</v>
      </c>
      <c r="L14314" t="s">
        <v>30198</v>
      </c>
      <c r="N14314" t="s">
        <v>32591</v>
      </c>
      <c r="P14314" t="s">
        <v>32592</v>
      </c>
      <c r="R14314" s="26" t="str">
        <f>HYPERLINK("https://ictv.global/taxonomy/taxondetails?taxnode_id=202305609","Chipolycivirus hubeiense")</f>
        <v>Chipolycivirus hubeiense</v>
      </c>
      <c r="S14314" t="s">
        <v>30</v>
      </c>
      <c r="T14314" t="s">
        <v>32597</v>
      </c>
      <c r="U14314" t="s">
        <v>32598</v>
      </c>
      <c r="V14314" t="s">
        <v>32599</v>
      </c>
      <c r="W14314" t="s">
        <v>32600</v>
      </c>
      <c r="X14314" t="s">
        <v>35</v>
      </c>
      <c r="Y14314" t="s">
        <v>17171</v>
      </c>
      <c r="Z14314" t="s">
        <v>10790</v>
      </c>
      <c r="AA14314" s="22" t="str">
        <f>HYPERLINK("https://www.ncbi.nlm.nih.gov/nuccore/KX883688","NCBI Nucleotide")</f>
        <v>NCBI Nucleotide</v>
      </c>
    </row>
    <row r="14315" spans="1:27" x14ac:dyDescent="0.35">
      <c r="A14315">
        <v>1002288</v>
      </c>
      <c r="B14315">
        <v>12895</v>
      </c>
      <c r="C14315">
        <v>1</v>
      </c>
      <c r="D14315" t="s">
        <v>17166</v>
      </c>
      <c r="F14315" t="s">
        <v>17246</v>
      </c>
      <c r="H14315" t="s">
        <v>28921</v>
      </c>
      <c r="J14315" t="s">
        <v>29538</v>
      </c>
      <c r="L14315" t="s">
        <v>30198</v>
      </c>
      <c r="N14315" t="s">
        <v>32591</v>
      </c>
      <c r="P14315" t="s">
        <v>32601</v>
      </c>
      <c r="R14315" s="26" t="str">
        <f>HYPERLINK("https://ictv.global/taxonomy/taxondetails?taxnode_id=202305611","Hupolycivirus hubeiense")</f>
        <v>Hupolycivirus hubeiense</v>
      </c>
      <c r="S14315" t="s">
        <v>30</v>
      </c>
      <c r="T14315" t="s">
        <v>32602</v>
      </c>
      <c r="U14315" t="s">
        <v>32603</v>
      </c>
      <c r="V14315" t="s">
        <v>32604</v>
      </c>
      <c r="W14315" t="s">
        <v>32605</v>
      </c>
      <c r="X14315" t="s">
        <v>35</v>
      </c>
      <c r="Y14315" t="s">
        <v>17171</v>
      </c>
      <c r="Z14315" t="s">
        <v>10790</v>
      </c>
      <c r="AA14315" s="22" t="str">
        <f>HYPERLINK("https://www.ncbi.nlm.nih.gov/nuccore/KX883940","NCBI Nucleotide")</f>
        <v>NCBI Nucleotide</v>
      </c>
    </row>
    <row r="14316" spans="1:27" x14ac:dyDescent="0.35">
      <c r="A14316">
        <v>1002664</v>
      </c>
      <c r="B14316">
        <v>12896</v>
      </c>
      <c r="C14316">
        <v>1</v>
      </c>
      <c r="D14316" t="s">
        <v>17166</v>
      </c>
      <c r="F14316" t="s">
        <v>17246</v>
      </c>
      <c r="H14316" t="s">
        <v>28921</v>
      </c>
      <c r="J14316" t="s">
        <v>29538</v>
      </c>
      <c r="L14316" t="s">
        <v>30198</v>
      </c>
      <c r="N14316" t="s">
        <v>32591</v>
      </c>
      <c r="P14316" t="s">
        <v>32606</v>
      </c>
      <c r="R14316" s="26" t="str">
        <f>HYPERLINK("https://ictv.global/taxonomy/taxondetails?taxnode_id=202305621","Sopolycivirus bestiolae")</f>
        <v>Sopolycivirus bestiolae</v>
      </c>
      <c r="S14316" t="s">
        <v>30</v>
      </c>
      <c r="T14316" t="s">
        <v>32637</v>
      </c>
      <c r="U14316" t="s">
        <v>32638</v>
      </c>
      <c r="V14316" t="s">
        <v>32639</v>
      </c>
      <c r="W14316" t="s">
        <v>32640</v>
      </c>
      <c r="X14316" t="s">
        <v>35</v>
      </c>
      <c r="Y14316" t="s">
        <v>17171</v>
      </c>
      <c r="Z14316" t="s">
        <v>10790</v>
      </c>
      <c r="AA14316" s="22" t="str">
        <f>HYPERLINK("https://www.ncbi.nlm.nih.gov/nuccore/KX883910","NCBI Nucleotide")</f>
        <v>NCBI Nucleotide</v>
      </c>
    </row>
    <row r="14317" spans="1:27" x14ac:dyDescent="0.35">
      <c r="A14317">
        <v>1002291</v>
      </c>
      <c r="B14317">
        <v>12897</v>
      </c>
      <c r="C14317">
        <v>1</v>
      </c>
      <c r="D14317" t="s">
        <v>17166</v>
      </c>
      <c r="F14317" t="s">
        <v>17246</v>
      </c>
      <c r="H14317" t="s">
        <v>28921</v>
      </c>
      <c r="J14317" t="s">
        <v>29538</v>
      </c>
      <c r="L14317" t="s">
        <v>30198</v>
      </c>
      <c r="N14317" t="s">
        <v>32591</v>
      </c>
      <c r="P14317" t="s">
        <v>32606</v>
      </c>
      <c r="R14317" s="26" t="str">
        <f>HYPERLINK("https://ictv.global/taxonomy/taxondetails?taxnode_id=202305615","Sopolycivirus betalasii")</f>
        <v>Sopolycivirus betalasii</v>
      </c>
      <c r="S14317" t="s">
        <v>30</v>
      </c>
      <c r="T14317" t="s">
        <v>25277</v>
      </c>
      <c r="U14317" t="s">
        <v>32615</v>
      </c>
      <c r="V14317" t="s">
        <v>32616</v>
      </c>
      <c r="W14317" t="s">
        <v>32617</v>
      </c>
      <c r="X14317" t="s">
        <v>35</v>
      </c>
      <c r="Y14317" t="s">
        <v>17171</v>
      </c>
      <c r="Z14317" t="s">
        <v>10790</v>
      </c>
      <c r="AA14317" s="22" t="str">
        <f>HYPERLINK("https://www.ncbi.nlm.nih.gov/nuccore/LI526777","NCBI Nucleotide")</f>
        <v>NCBI Nucleotide</v>
      </c>
    </row>
    <row r="14318" spans="1:27" x14ac:dyDescent="0.35">
      <c r="A14318">
        <v>1002295</v>
      </c>
      <c r="B14318">
        <v>12898</v>
      </c>
      <c r="C14318">
        <v>1</v>
      </c>
      <c r="D14318" t="s">
        <v>17166</v>
      </c>
      <c r="F14318" t="s">
        <v>17246</v>
      </c>
      <c r="H14318" t="s">
        <v>28921</v>
      </c>
      <c r="J14318" t="s">
        <v>29538</v>
      </c>
      <c r="L14318" t="s">
        <v>30198</v>
      </c>
      <c r="N14318" t="s">
        <v>32591</v>
      </c>
      <c r="P14318" t="s">
        <v>32606</v>
      </c>
      <c r="R14318" s="26" t="str">
        <f>HYPERLINK("https://ictv.global/taxonomy/taxondetails?taxnode_id=202305619","Sopolycivirus betamonomorii")</f>
        <v>Sopolycivirus betamonomorii</v>
      </c>
      <c r="S14318" t="s">
        <v>30</v>
      </c>
      <c r="T14318" t="s">
        <v>32630</v>
      </c>
      <c r="U14318" t="s">
        <v>32631</v>
      </c>
      <c r="V14318" t="s">
        <v>32628</v>
      </c>
      <c r="W14318" t="s">
        <v>32632</v>
      </c>
      <c r="X14318" t="s">
        <v>35</v>
      </c>
      <c r="Y14318" t="s">
        <v>17171</v>
      </c>
      <c r="Z14318" t="s">
        <v>10790</v>
      </c>
      <c r="AA14318" s="22" t="str">
        <f>HYPERLINK("https://www.ncbi.nlm.nih.gov/nuccore/LA866448","NCBI Nucleotide")</f>
        <v>NCBI Nucleotide</v>
      </c>
    </row>
    <row r="14319" spans="1:27" x14ac:dyDescent="0.35">
      <c r="A14319">
        <v>1002666</v>
      </c>
      <c r="B14319">
        <v>12899</v>
      </c>
      <c r="C14319">
        <v>1</v>
      </c>
      <c r="D14319" t="s">
        <v>17166</v>
      </c>
      <c r="F14319" t="s">
        <v>17246</v>
      </c>
      <c r="H14319" t="s">
        <v>28921</v>
      </c>
      <c r="J14319" t="s">
        <v>29538</v>
      </c>
      <c r="L14319" t="s">
        <v>30198</v>
      </c>
      <c r="N14319" t="s">
        <v>32591</v>
      </c>
      <c r="P14319" t="s">
        <v>32606</v>
      </c>
      <c r="R14319" s="26" t="str">
        <f>HYPERLINK("https://ictv.global/taxonomy/taxondetails?taxnode_id=202305623","Sopolycivirus betasolenopsis")</f>
        <v>Sopolycivirus betasolenopsis</v>
      </c>
      <c r="S14319" t="s">
        <v>30</v>
      </c>
      <c r="T14319" t="s">
        <v>32645</v>
      </c>
      <c r="U14319" t="s">
        <v>32646</v>
      </c>
      <c r="V14319" t="s">
        <v>32647</v>
      </c>
      <c r="W14319" t="s">
        <v>32648</v>
      </c>
      <c r="X14319" t="s">
        <v>35</v>
      </c>
      <c r="Y14319" t="s">
        <v>17171</v>
      </c>
      <c r="Z14319" t="s">
        <v>10790</v>
      </c>
      <c r="AA14319" s="22" t="str">
        <f>HYPERLINK("https://www.ncbi.nlm.nih.gov/nuccore/MF041808","NCBI Nucleotide")</f>
        <v>NCBI Nucleotide</v>
      </c>
    </row>
    <row r="14320" spans="1:27" x14ac:dyDescent="0.35">
      <c r="A14320">
        <v>1002289</v>
      </c>
      <c r="B14320">
        <v>12900</v>
      </c>
      <c r="C14320">
        <v>1</v>
      </c>
      <c r="D14320" t="s">
        <v>17166</v>
      </c>
      <c r="F14320" t="s">
        <v>17246</v>
      </c>
      <c r="H14320" t="s">
        <v>28921</v>
      </c>
      <c r="J14320" t="s">
        <v>29538</v>
      </c>
      <c r="L14320" t="s">
        <v>30198</v>
      </c>
      <c r="N14320" t="s">
        <v>32591</v>
      </c>
      <c r="P14320" t="s">
        <v>32606</v>
      </c>
      <c r="R14320" s="26" t="str">
        <f>HYPERLINK("https://ictv.global/taxonomy/taxondetails?taxnode_id=202305613","Sopolycivirus formicae")</f>
        <v>Sopolycivirus formicae</v>
      </c>
      <c r="S14320" t="s">
        <v>30</v>
      </c>
      <c r="T14320" t="s">
        <v>32607</v>
      </c>
      <c r="U14320" t="s">
        <v>32608</v>
      </c>
      <c r="V14320" t="s">
        <v>32609</v>
      </c>
      <c r="W14320" t="s">
        <v>32610</v>
      </c>
      <c r="X14320" t="s">
        <v>35</v>
      </c>
      <c r="Y14320" t="s">
        <v>17171</v>
      </c>
      <c r="Z14320" t="s">
        <v>10790</v>
      </c>
      <c r="AA14320" s="22" t="str">
        <f>HYPERLINK("https://www.ncbi.nlm.nih.gov/nuccore/LH935078,LH935077","NCBI Nucleotide")</f>
        <v>NCBI Nucleotide</v>
      </c>
    </row>
    <row r="14321" spans="1:27" x14ac:dyDescent="0.35">
      <c r="A14321">
        <v>1002292</v>
      </c>
      <c r="B14321">
        <v>12901</v>
      </c>
      <c r="C14321">
        <v>1</v>
      </c>
      <c r="D14321" t="s">
        <v>17166</v>
      </c>
      <c r="F14321" t="s">
        <v>17246</v>
      </c>
      <c r="H14321" t="s">
        <v>28921</v>
      </c>
      <c r="J14321" t="s">
        <v>29538</v>
      </c>
      <c r="L14321" t="s">
        <v>30198</v>
      </c>
      <c r="N14321" t="s">
        <v>32591</v>
      </c>
      <c r="P14321" t="s">
        <v>32606</v>
      </c>
      <c r="R14321" s="26" t="str">
        <f>HYPERLINK("https://ictv.global/taxonomy/taxondetails?taxnode_id=202305616","Sopolycivirus gammalasii")</f>
        <v>Sopolycivirus gammalasii</v>
      </c>
      <c r="S14321" t="s">
        <v>30</v>
      </c>
      <c r="T14321" t="s">
        <v>32618</v>
      </c>
      <c r="U14321" t="s">
        <v>32619</v>
      </c>
      <c r="V14321" t="s">
        <v>32620</v>
      </c>
      <c r="W14321" t="s">
        <v>32621</v>
      </c>
      <c r="X14321" t="s">
        <v>154</v>
      </c>
      <c r="Y14321" t="s">
        <v>17171</v>
      </c>
      <c r="Z14321" t="s">
        <v>10790</v>
      </c>
      <c r="AA14321" s="22" t="str">
        <f>HYPERLINK("https://www.ncbi.nlm.nih.gov/nuccore/MF041812","NCBI Nucleotide")</f>
        <v>NCBI Nucleotide</v>
      </c>
    </row>
    <row r="14322" spans="1:27" x14ac:dyDescent="0.35">
      <c r="A14322">
        <v>1002290</v>
      </c>
      <c r="B14322">
        <v>12902</v>
      </c>
      <c r="C14322">
        <v>1</v>
      </c>
      <c r="D14322" t="s">
        <v>17166</v>
      </c>
      <c r="F14322" t="s">
        <v>17246</v>
      </c>
      <c r="H14322" t="s">
        <v>28921</v>
      </c>
      <c r="J14322" t="s">
        <v>29538</v>
      </c>
      <c r="L14322" t="s">
        <v>30198</v>
      </c>
      <c r="N14322" t="s">
        <v>32591</v>
      </c>
      <c r="P14322" t="s">
        <v>32606</v>
      </c>
      <c r="R14322" s="26" t="str">
        <f>HYPERLINK("https://ictv.global/taxonomy/taxondetails?taxnode_id=202305614","Sopolycivirus lasii")</f>
        <v>Sopolycivirus lasii</v>
      </c>
      <c r="S14322" t="s">
        <v>30</v>
      </c>
      <c r="T14322" t="s">
        <v>32611</v>
      </c>
      <c r="U14322" t="s">
        <v>32612</v>
      </c>
      <c r="V14322" t="s">
        <v>32613</v>
      </c>
      <c r="W14322" t="s">
        <v>32614</v>
      </c>
      <c r="X14322" t="s">
        <v>42</v>
      </c>
      <c r="Y14322" t="s">
        <v>17171</v>
      </c>
      <c r="Z14322" t="s">
        <v>10790</v>
      </c>
      <c r="AA14322" s="22" t="str">
        <f>HYPERLINK("https://www.ncbi.nlm.nih.gov/nuccore/MF041809","NCBI Nucleotide")</f>
        <v>NCBI Nucleotide</v>
      </c>
    </row>
    <row r="14323" spans="1:27" x14ac:dyDescent="0.35">
      <c r="A14323">
        <v>1002293</v>
      </c>
      <c r="B14323">
        <v>12903</v>
      </c>
      <c r="C14323">
        <v>1</v>
      </c>
      <c r="D14323" t="s">
        <v>17166</v>
      </c>
      <c r="F14323" t="s">
        <v>17246</v>
      </c>
      <c r="H14323" t="s">
        <v>28921</v>
      </c>
      <c r="J14323" t="s">
        <v>29538</v>
      </c>
      <c r="L14323" t="s">
        <v>30198</v>
      </c>
      <c r="N14323" t="s">
        <v>32591</v>
      </c>
      <c r="P14323" t="s">
        <v>32606</v>
      </c>
      <c r="R14323" s="26" t="str">
        <f>HYPERLINK("https://ictv.global/taxonomy/taxondetails?taxnode_id=202305617","Sopolycivirus linepithematis")</f>
        <v>Sopolycivirus linepithematis</v>
      </c>
      <c r="S14323" t="s">
        <v>30</v>
      </c>
      <c r="T14323" t="s">
        <v>32622</v>
      </c>
      <c r="U14323" t="s">
        <v>32623</v>
      </c>
      <c r="V14323" t="s">
        <v>32624</v>
      </c>
      <c r="W14323" t="s">
        <v>32625</v>
      </c>
      <c r="X14323" t="s">
        <v>35</v>
      </c>
      <c r="Y14323" t="s">
        <v>17171</v>
      </c>
      <c r="Z14323" t="s">
        <v>10790</v>
      </c>
      <c r="AA14323" s="22" t="str">
        <f>HYPERLINK("https://www.ncbi.nlm.nih.gov/nuccore/LI719284","NCBI Nucleotide")</f>
        <v>NCBI Nucleotide</v>
      </c>
    </row>
    <row r="14324" spans="1:27" x14ac:dyDescent="0.35">
      <c r="A14324">
        <v>1002294</v>
      </c>
      <c r="B14324">
        <v>12904</v>
      </c>
      <c r="C14324">
        <v>1</v>
      </c>
      <c r="D14324" t="s">
        <v>17166</v>
      </c>
      <c r="F14324" t="s">
        <v>17246</v>
      </c>
      <c r="H14324" t="s">
        <v>28921</v>
      </c>
      <c r="J14324" t="s">
        <v>29538</v>
      </c>
      <c r="L14324" t="s">
        <v>30198</v>
      </c>
      <c r="N14324" t="s">
        <v>32591</v>
      </c>
      <c r="P14324" t="s">
        <v>32606</v>
      </c>
      <c r="R14324" s="26" t="str">
        <f>HYPERLINK("https://ictv.global/taxonomy/taxondetails?taxnode_id=202305618","Sopolycivirus monomorii")</f>
        <v>Sopolycivirus monomorii</v>
      </c>
      <c r="S14324" t="s">
        <v>30</v>
      </c>
      <c r="T14324" t="s">
        <v>32626</v>
      </c>
      <c r="U14324" t="s">
        <v>32627</v>
      </c>
      <c r="V14324" t="s">
        <v>32628</v>
      </c>
      <c r="W14324" t="s">
        <v>32629</v>
      </c>
      <c r="X14324" t="s">
        <v>35</v>
      </c>
      <c r="Y14324" t="s">
        <v>17171</v>
      </c>
      <c r="Z14324" t="s">
        <v>10790</v>
      </c>
      <c r="AA14324" s="22" t="str">
        <f>HYPERLINK("https://www.ncbi.nlm.nih.gov/nuccore/LA858223","NCBI Nucleotide")</f>
        <v>NCBI Nucleotide</v>
      </c>
    </row>
    <row r="14325" spans="1:27" x14ac:dyDescent="0.35">
      <c r="A14325">
        <v>1002296</v>
      </c>
      <c r="B14325">
        <v>12905</v>
      </c>
      <c r="C14325">
        <v>1</v>
      </c>
      <c r="D14325" t="s">
        <v>17166</v>
      </c>
      <c r="F14325" t="s">
        <v>17246</v>
      </c>
      <c r="H14325" t="s">
        <v>28921</v>
      </c>
      <c r="J14325" t="s">
        <v>29538</v>
      </c>
      <c r="L14325" t="s">
        <v>30198</v>
      </c>
      <c r="N14325" t="s">
        <v>32591</v>
      </c>
      <c r="P14325" t="s">
        <v>32606</v>
      </c>
      <c r="R14325" s="26" t="str">
        <f>HYPERLINK("https://ictv.global/taxonomy/taxondetails?taxnode_id=202305620","Sopolycivirus myrmicae")</f>
        <v>Sopolycivirus myrmicae</v>
      </c>
      <c r="S14325" t="s">
        <v>30</v>
      </c>
      <c r="T14325" t="s">
        <v>32633</v>
      </c>
      <c r="U14325" t="s">
        <v>32634</v>
      </c>
      <c r="V14325" t="s">
        <v>32635</v>
      </c>
      <c r="W14325" t="s">
        <v>32636</v>
      </c>
      <c r="X14325" t="s">
        <v>42</v>
      </c>
      <c r="Y14325" t="s">
        <v>17171</v>
      </c>
      <c r="Z14325" t="s">
        <v>10790</v>
      </c>
      <c r="AA14325" s="22" t="str">
        <f>HYPERLINK("https://www.ncbi.nlm.nih.gov/nuccore/MF041810","NCBI Nucleotide")</f>
        <v>NCBI Nucleotide</v>
      </c>
    </row>
    <row r="14326" spans="1:27" x14ac:dyDescent="0.35">
      <c r="A14326">
        <v>1002665</v>
      </c>
      <c r="B14326">
        <v>12906</v>
      </c>
      <c r="C14326">
        <v>1</v>
      </c>
      <c r="D14326" t="s">
        <v>17166</v>
      </c>
      <c r="F14326" t="s">
        <v>17246</v>
      </c>
      <c r="H14326" t="s">
        <v>28921</v>
      </c>
      <c r="J14326" t="s">
        <v>29538</v>
      </c>
      <c r="L14326" t="s">
        <v>30198</v>
      </c>
      <c r="N14326" t="s">
        <v>32591</v>
      </c>
      <c r="P14326" t="s">
        <v>32606</v>
      </c>
      <c r="R14326" s="26" t="str">
        <f>HYPERLINK("https://ictv.global/taxonomy/taxondetails?taxnode_id=202305622","Sopolycivirus solenopsis")</f>
        <v>Sopolycivirus solenopsis</v>
      </c>
      <c r="S14326" t="s">
        <v>30</v>
      </c>
      <c r="T14326" t="s">
        <v>32641</v>
      </c>
      <c r="U14326" t="s">
        <v>32642</v>
      </c>
      <c r="V14326" t="s">
        <v>32643</v>
      </c>
      <c r="W14326" t="s">
        <v>32644</v>
      </c>
      <c r="X14326" t="s">
        <v>35</v>
      </c>
      <c r="Y14326" t="s">
        <v>17171</v>
      </c>
      <c r="Z14326" t="s">
        <v>10790</v>
      </c>
      <c r="AA14326" s="22" t="str">
        <f>HYPERLINK("https://www.ncbi.nlm.nih.gov/nuccore/MF041813","NCBI Nucleotide")</f>
        <v>NCBI Nucleotide</v>
      </c>
    </row>
    <row r="14327" spans="1:27" x14ac:dyDescent="0.35">
      <c r="A14327">
        <v>1002667</v>
      </c>
      <c r="B14327">
        <v>12907</v>
      </c>
      <c r="C14327">
        <v>1</v>
      </c>
      <c r="D14327" t="s">
        <v>17166</v>
      </c>
      <c r="F14327" t="s">
        <v>17246</v>
      </c>
      <c r="H14327" t="s">
        <v>28921</v>
      </c>
      <c r="J14327" t="s">
        <v>29538</v>
      </c>
      <c r="L14327" t="s">
        <v>30198</v>
      </c>
      <c r="N14327" t="s">
        <v>32649</v>
      </c>
      <c r="O14327" t="s">
        <v>32808</v>
      </c>
      <c r="P14327" t="s">
        <v>32809</v>
      </c>
      <c r="R14327" s="26" t="str">
        <f>HYPERLINK("https://ictv.global/taxonomy/taxondetails?taxnode_id=202302073","Comovirus andesense")</f>
        <v>Comovirus andesense</v>
      </c>
      <c r="S14327" t="s">
        <v>30</v>
      </c>
      <c r="T14327" t="s">
        <v>32810</v>
      </c>
      <c r="U14327" t="s">
        <v>32811</v>
      </c>
      <c r="V14327" t="s">
        <v>32812</v>
      </c>
      <c r="W14327" t="s">
        <v>32813</v>
      </c>
      <c r="X14327" t="s">
        <v>42</v>
      </c>
      <c r="Y14327" t="s">
        <v>17171</v>
      </c>
      <c r="Z14327" t="s">
        <v>13441</v>
      </c>
      <c r="AA14327" s="22" t="str">
        <f>HYPERLINK("https://www.ncbi.nlm.nih.gov/nuccore/MN148891,MN148892","NCBI Nucleotide")</f>
        <v>NCBI Nucleotide</v>
      </c>
    </row>
    <row r="14328" spans="1:27" x14ac:dyDescent="0.35">
      <c r="A14328">
        <v>1002668</v>
      </c>
      <c r="B14328">
        <v>12908</v>
      </c>
      <c r="C14328">
        <v>1</v>
      </c>
      <c r="D14328" t="s">
        <v>17166</v>
      </c>
      <c r="F14328" t="s">
        <v>17246</v>
      </c>
      <c r="H14328" t="s">
        <v>28921</v>
      </c>
      <c r="J14328" t="s">
        <v>29538</v>
      </c>
      <c r="L14328" t="s">
        <v>30198</v>
      </c>
      <c r="N14328" t="s">
        <v>32649</v>
      </c>
      <c r="O14328" t="s">
        <v>32808</v>
      </c>
      <c r="P14328" t="s">
        <v>32809</v>
      </c>
      <c r="R14328" s="26" t="str">
        <f>HYPERLINK("https://ictv.global/taxonomy/taxondetails?taxnode_id=202313819","Comovirus arabidopsis")</f>
        <v>Comovirus arabidopsis</v>
      </c>
      <c r="S14328" t="s">
        <v>30</v>
      </c>
      <c r="T14328" t="s">
        <v>32814</v>
      </c>
      <c r="U14328" t="s">
        <v>32815</v>
      </c>
      <c r="V14328">
        <v>2015</v>
      </c>
      <c r="W14328" t="s">
        <v>32816</v>
      </c>
      <c r="X14328" t="s">
        <v>42</v>
      </c>
      <c r="Y14328" t="s">
        <v>17171</v>
      </c>
      <c r="Z14328" t="s">
        <v>13441</v>
      </c>
      <c r="AA14328" s="22" t="str">
        <f>HYPERLINK("https://www.ncbi.nlm.nih.gov/nuccore/MH899120,MH899121","NCBI Nucleotide")</f>
        <v>NCBI Nucleotide</v>
      </c>
    </row>
    <row r="14329" spans="1:27" x14ac:dyDescent="0.35">
      <c r="A14329">
        <v>1002669</v>
      </c>
      <c r="B14329">
        <v>12909</v>
      </c>
      <c r="C14329">
        <v>1</v>
      </c>
      <c r="D14329" t="s">
        <v>17166</v>
      </c>
      <c r="F14329" t="s">
        <v>17246</v>
      </c>
      <c r="H14329" t="s">
        <v>28921</v>
      </c>
      <c r="J14329" t="s">
        <v>29538</v>
      </c>
      <c r="L14329" t="s">
        <v>30198</v>
      </c>
      <c r="N14329" t="s">
        <v>32649</v>
      </c>
      <c r="O14329" t="s">
        <v>32808</v>
      </c>
      <c r="P14329" t="s">
        <v>32809</v>
      </c>
      <c r="R14329" s="26" t="str">
        <f>HYPERLINK("https://ictv.global/taxonomy/taxondetails?taxnode_id=202313821","Comovirus capsici")</f>
        <v>Comovirus capsici</v>
      </c>
      <c r="S14329" t="s">
        <v>30</v>
      </c>
      <c r="T14329" t="s">
        <v>32817</v>
      </c>
      <c r="U14329" t="s">
        <v>32818</v>
      </c>
      <c r="V14329">
        <v>1992</v>
      </c>
      <c r="W14329" t="s">
        <v>32819</v>
      </c>
      <c r="X14329" t="s">
        <v>42</v>
      </c>
      <c r="Y14329" t="s">
        <v>17171</v>
      </c>
      <c r="Z14329" t="s">
        <v>13441</v>
      </c>
      <c r="AA14329" s="22" t="str">
        <f>HYPERLINK("https://www.ncbi.nlm.nih.gov/nuccore/MK990555,MK990556","NCBI Nucleotide")</f>
        <v>NCBI Nucleotide</v>
      </c>
    </row>
    <row r="14330" spans="1:27" x14ac:dyDescent="0.35">
      <c r="A14330">
        <v>1002670</v>
      </c>
      <c r="B14330">
        <v>12910</v>
      </c>
      <c r="C14330">
        <v>1</v>
      </c>
      <c r="D14330" t="s">
        <v>17166</v>
      </c>
      <c r="F14330" t="s">
        <v>17246</v>
      </c>
      <c r="H14330" t="s">
        <v>28921</v>
      </c>
      <c r="J14330" t="s">
        <v>29538</v>
      </c>
      <c r="L14330" t="s">
        <v>30198</v>
      </c>
      <c r="N14330" t="s">
        <v>32649</v>
      </c>
      <c r="O14330" t="s">
        <v>32808</v>
      </c>
      <c r="P14330" t="s">
        <v>32809</v>
      </c>
      <c r="R14330" s="26" t="str">
        <f>HYPERLINK("https://ictv.global/taxonomy/taxondetails?taxnode_id=202302086","Comovirus cucurbitae")</f>
        <v>Comovirus cucurbitae</v>
      </c>
      <c r="S14330" t="s">
        <v>30</v>
      </c>
      <c r="T14330" t="s">
        <v>32820</v>
      </c>
      <c r="U14330" t="s">
        <v>32821</v>
      </c>
      <c r="V14330" t="s">
        <v>32822</v>
      </c>
      <c r="W14330" t="s">
        <v>32823</v>
      </c>
      <c r="X14330" t="s">
        <v>42</v>
      </c>
      <c r="Y14330" t="s">
        <v>17171</v>
      </c>
      <c r="Z14330" t="s">
        <v>13441</v>
      </c>
      <c r="AA14330" s="22" t="str">
        <f>HYPERLINK("https://www.ncbi.nlm.nih.gov/nuccore/AB054688,AB054689","NCBI Nucleotide")</f>
        <v>NCBI Nucleotide</v>
      </c>
    </row>
    <row r="14331" spans="1:27" x14ac:dyDescent="0.35">
      <c r="A14331">
        <v>1002671</v>
      </c>
      <c r="B14331">
        <v>12911</v>
      </c>
      <c r="C14331">
        <v>1</v>
      </c>
      <c r="D14331" t="s">
        <v>17166</v>
      </c>
      <c r="F14331" t="s">
        <v>17246</v>
      </c>
      <c r="H14331" t="s">
        <v>28921</v>
      </c>
      <c r="J14331" t="s">
        <v>29538</v>
      </c>
      <c r="L14331" t="s">
        <v>30198</v>
      </c>
      <c r="N14331" t="s">
        <v>32649</v>
      </c>
      <c r="O14331" t="s">
        <v>32808</v>
      </c>
      <c r="P14331" t="s">
        <v>32809</v>
      </c>
      <c r="R14331" s="26" t="str">
        <f>HYPERLINK("https://ictv.global/taxonomy/taxondetails?taxnode_id=202302077","Comovirus fabae")</f>
        <v>Comovirus fabae</v>
      </c>
      <c r="S14331" t="s">
        <v>30</v>
      </c>
      <c r="T14331" t="s">
        <v>32824</v>
      </c>
      <c r="U14331" t="s">
        <v>32825</v>
      </c>
      <c r="V14331" t="s">
        <v>32826</v>
      </c>
      <c r="W14331" t="s">
        <v>32827</v>
      </c>
      <c r="X14331" t="s">
        <v>42</v>
      </c>
      <c r="Y14331" t="s">
        <v>17171</v>
      </c>
      <c r="Z14331" t="s">
        <v>13441</v>
      </c>
      <c r="AA14331" s="22" t="str">
        <f>HYPERLINK("https://www.ncbi.nlm.nih.gov/nuccore/GU810903,GU810904","NCBI Nucleotide")</f>
        <v>NCBI Nucleotide</v>
      </c>
    </row>
    <row r="14332" spans="1:27" x14ac:dyDescent="0.35">
      <c r="A14332">
        <v>1002672</v>
      </c>
      <c r="B14332">
        <v>12912</v>
      </c>
      <c r="C14332">
        <v>1</v>
      </c>
      <c r="D14332" t="s">
        <v>17166</v>
      </c>
      <c r="F14332" t="s">
        <v>17246</v>
      </c>
      <c r="H14332" t="s">
        <v>28921</v>
      </c>
      <c r="J14332" t="s">
        <v>29538</v>
      </c>
      <c r="L14332" t="s">
        <v>30198</v>
      </c>
      <c r="N14332" t="s">
        <v>32649</v>
      </c>
      <c r="O14332" t="s">
        <v>32808</v>
      </c>
      <c r="P14332" t="s">
        <v>32809</v>
      </c>
      <c r="R14332" s="26" t="str">
        <f>HYPERLINK("https://ictv.global/taxonomy/taxondetails?taxnode_id=202302080","Comovirus glycinis")</f>
        <v>Comovirus glycinis</v>
      </c>
      <c r="S14332" t="s">
        <v>30</v>
      </c>
      <c r="T14332" t="s">
        <v>32828</v>
      </c>
      <c r="U14332" t="s">
        <v>32829</v>
      </c>
      <c r="V14332" t="s">
        <v>32830</v>
      </c>
      <c r="X14332" t="s">
        <v>3311</v>
      </c>
      <c r="Y14332" t="s">
        <v>17171</v>
      </c>
      <c r="Z14332" t="s">
        <v>13441</v>
      </c>
    </row>
    <row r="14333" spans="1:27" x14ac:dyDescent="0.35">
      <c r="A14333">
        <v>1002673</v>
      </c>
      <c r="B14333">
        <v>12913</v>
      </c>
      <c r="C14333">
        <v>1</v>
      </c>
      <c r="D14333" t="s">
        <v>17166</v>
      </c>
      <c r="F14333" t="s">
        <v>17246</v>
      </c>
      <c r="H14333" t="s">
        <v>28921</v>
      </c>
      <c r="J14333" t="s">
        <v>29538</v>
      </c>
      <c r="L14333" t="s">
        <v>30198</v>
      </c>
      <c r="N14333" t="s">
        <v>32649</v>
      </c>
      <c r="O14333" t="s">
        <v>32808</v>
      </c>
      <c r="P14333" t="s">
        <v>32809</v>
      </c>
      <c r="R14333" s="26" t="str">
        <f>HYPERLINK("https://ictv.global/taxonomy/taxondetails?taxnode_id=202302082","Comovirus musivi")</f>
        <v>Comovirus musivi</v>
      </c>
      <c r="S14333" t="s">
        <v>30</v>
      </c>
      <c r="T14333" t="s">
        <v>32831</v>
      </c>
      <c r="U14333" t="s">
        <v>32832</v>
      </c>
      <c r="X14333" t="s">
        <v>3311</v>
      </c>
      <c r="Y14333" t="s">
        <v>17171</v>
      </c>
      <c r="Z14333" t="s">
        <v>13441</v>
      </c>
    </row>
    <row r="14334" spans="1:27" x14ac:dyDescent="0.35">
      <c r="A14334">
        <v>1002674</v>
      </c>
      <c r="B14334">
        <v>12914</v>
      </c>
      <c r="C14334">
        <v>1</v>
      </c>
      <c r="D14334" t="s">
        <v>17166</v>
      </c>
      <c r="F14334" t="s">
        <v>17246</v>
      </c>
      <c r="H14334" t="s">
        <v>28921</v>
      </c>
      <c r="J14334" t="s">
        <v>29538</v>
      </c>
      <c r="L14334" t="s">
        <v>30198</v>
      </c>
      <c r="N14334" t="s">
        <v>32649</v>
      </c>
      <c r="O14334" t="s">
        <v>32808</v>
      </c>
      <c r="P14334" t="s">
        <v>32809</v>
      </c>
      <c r="R14334" s="26" t="str">
        <f>HYPERLINK("https://ictv.global/taxonomy/taxondetails?taxnode_id=202313820","Comovirus phaseoli")</f>
        <v>Comovirus phaseoli</v>
      </c>
      <c r="S14334" t="s">
        <v>30</v>
      </c>
      <c r="T14334" t="s">
        <v>32833</v>
      </c>
      <c r="U14334" t="s">
        <v>32834</v>
      </c>
      <c r="V14334" t="s">
        <v>32835</v>
      </c>
      <c r="W14334" t="s">
        <v>32836</v>
      </c>
      <c r="X14334" t="s">
        <v>42</v>
      </c>
      <c r="Y14334" t="s">
        <v>17171</v>
      </c>
      <c r="Z14334" t="s">
        <v>13441</v>
      </c>
      <c r="AA14334" s="22" t="str">
        <f>HYPERLINK("https://www.ncbi.nlm.nih.gov/nuccore/MN837498,MN837499","NCBI Nucleotide")</f>
        <v>NCBI Nucleotide</v>
      </c>
    </row>
    <row r="14335" spans="1:27" x14ac:dyDescent="0.35">
      <c r="A14335">
        <v>1002675</v>
      </c>
      <c r="B14335">
        <v>12915</v>
      </c>
      <c r="C14335">
        <v>1</v>
      </c>
      <c r="D14335" t="s">
        <v>17166</v>
      </c>
      <c r="F14335" t="s">
        <v>17246</v>
      </c>
      <c r="H14335" t="s">
        <v>28921</v>
      </c>
      <c r="J14335" t="s">
        <v>29538</v>
      </c>
      <c r="L14335" t="s">
        <v>30198</v>
      </c>
      <c r="N14335" t="s">
        <v>32649</v>
      </c>
      <c r="O14335" t="s">
        <v>32808</v>
      </c>
      <c r="P14335" t="s">
        <v>32809</v>
      </c>
      <c r="R14335" s="26" t="str">
        <f>HYPERLINK("https://ictv.global/taxonomy/taxondetails?taxnode_id=202302081","Comovirus pisi")</f>
        <v>Comovirus pisi</v>
      </c>
      <c r="S14335" t="s">
        <v>30</v>
      </c>
      <c r="T14335" t="s">
        <v>32837</v>
      </c>
      <c r="U14335" t="s">
        <v>32838</v>
      </c>
      <c r="X14335" t="s">
        <v>3311</v>
      </c>
      <c r="Y14335" t="s">
        <v>17171</v>
      </c>
      <c r="Z14335" t="s">
        <v>13441</v>
      </c>
    </row>
    <row r="14336" spans="1:27" x14ac:dyDescent="0.35">
      <c r="A14336">
        <v>1002676</v>
      </c>
      <c r="B14336">
        <v>12916</v>
      </c>
      <c r="C14336">
        <v>1</v>
      </c>
      <c r="D14336" t="s">
        <v>17166</v>
      </c>
      <c r="F14336" t="s">
        <v>17246</v>
      </c>
      <c r="H14336" t="s">
        <v>28921</v>
      </c>
      <c r="J14336" t="s">
        <v>29538</v>
      </c>
      <c r="L14336" t="s">
        <v>30198</v>
      </c>
      <c r="N14336" t="s">
        <v>32649</v>
      </c>
      <c r="O14336" t="s">
        <v>32808</v>
      </c>
      <c r="P14336" t="s">
        <v>32809</v>
      </c>
      <c r="R14336" s="26" t="str">
        <f>HYPERLINK("https://ictv.global/taxonomy/taxondetails?taxnode_id=202315091","Comovirus rapae")</f>
        <v>Comovirus rapae</v>
      </c>
      <c r="S14336" t="s">
        <v>30</v>
      </c>
      <c r="T14336" t="s">
        <v>32839</v>
      </c>
      <c r="U14336" t="s">
        <v>32840</v>
      </c>
      <c r="V14336" t="s">
        <v>32841</v>
      </c>
      <c r="W14336" t="s">
        <v>32842</v>
      </c>
      <c r="X14336" t="s">
        <v>42</v>
      </c>
      <c r="Y14336" t="s">
        <v>17171</v>
      </c>
      <c r="Z14336" t="s">
        <v>13441</v>
      </c>
      <c r="AA14336" s="22" t="str">
        <f>HYPERLINK("https://www.ncbi.nlm.nih.gov/nuccore/GQ222381,GQ222382","NCBI Nucleotide")</f>
        <v>NCBI Nucleotide</v>
      </c>
    </row>
    <row r="14337" spans="1:27" x14ac:dyDescent="0.35">
      <c r="A14337">
        <v>1002677</v>
      </c>
      <c r="B14337">
        <v>12917</v>
      </c>
      <c r="C14337">
        <v>1</v>
      </c>
      <c r="D14337" t="s">
        <v>17166</v>
      </c>
      <c r="F14337" t="s">
        <v>17246</v>
      </c>
      <c r="H14337" t="s">
        <v>28921</v>
      </c>
      <c r="J14337" t="s">
        <v>29538</v>
      </c>
      <c r="L14337" t="s">
        <v>30198</v>
      </c>
      <c r="N14337" t="s">
        <v>32649</v>
      </c>
      <c r="O14337" t="s">
        <v>32808</v>
      </c>
      <c r="P14337" t="s">
        <v>32809</v>
      </c>
      <c r="R14337" s="26" t="str">
        <f>HYPERLINK("https://ictv.global/taxonomy/taxondetails?taxnode_id=202302084","Comovirus raphani")</f>
        <v>Comovirus raphani</v>
      </c>
      <c r="S14337" t="s">
        <v>30</v>
      </c>
      <c r="T14337" t="s">
        <v>32843</v>
      </c>
      <c r="U14337" t="s">
        <v>32844</v>
      </c>
      <c r="V14337" t="s">
        <v>18936</v>
      </c>
      <c r="W14337" t="s">
        <v>32845</v>
      </c>
      <c r="X14337" t="s">
        <v>42</v>
      </c>
      <c r="Y14337" t="s">
        <v>17171</v>
      </c>
      <c r="Z14337" t="s">
        <v>13441</v>
      </c>
      <c r="AA14337" s="22" t="str">
        <f>HYPERLINK("https://www.ncbi.nlm.nih.gov/nuccore/AB295643,AB295644","NCBI Nucleotide")</f>
        <v>NCBI Nucleotide</v>
      </c>
    </row>
    <row r="14338" spans="1:27" x14ac:dyDescent="0.35">
      <c r="A14338">
        <v>1002678</v>
      </c>
      <c r="B14338">
        <v>12918</v>
      </c>
      <c r="C14338">
        <v>1</v>
      </c>
      <c r="D14338" t="s">
        <v>17166</v>
      </c>
      <c r="F14338" t="s">
        <v>17246</v>
      </c>
      <c r="H14338" t="s">
        <v>28921</v>
      </c>
      <c r="J14338" t="s">
        <v>29538</v>
      </c>
      <c r="L14338" t="s">
        <v>30198</v>
      </c>
      <c r="N14338" t="s">
        <v>32649</v>
      </c>
      <c r="O14338" t="s">
        <v>32808</v>
      </c>
      <c r="P14338" t="s">
        <v>32809</v>
      </c>
      <c r="R14338" s="26" t="str">
        <f>HYPERLINK("https://ictv.global/taxonomy/taxondetails?taxnode_id=202302075","Comovirus rugomusivum")</f>
        <v>Comovirus rugomusivum</v>
      </c>
      <c r="S14338" t="s">
        <v>30</v>
      </c>
      <c r="T14338" t="s">
        <v>32846</v>
      </c>
      <c r="U14338" t="s">
        <v>25468</v>
      </c>
      <c r="V14338" t="s">
        <v>32847</v>
      </c>
      <c r="W14338" t="s">
        <v>32848</v>
      </c>
      <c r="X14338" t="s">
        <v>42</v>
      </c>
      <c r="Y14338" t="s">
        <v>17171</v>
      </c>
      <c r="Z14338" t="s">
        <v>13441</v>
      </c>
      <c r="AA14338" s="22" t="str">
        <f>HYPERLINK("https://www.ncbi.nlm.nih.gov/nuccore/KP404602,KP404603","NCBI Nucleotide")</f>
        <v>NCBI Nucleotide</v>
      </c>
    </row>
    <row r="14339" spans="1:27" x14ac:dyDescent="0.35">
      <c r="A14339">
        <v>1002679</v>
      </c>
      <c r="B14339">
        <v>12919</v>
      </c>
      <c r="C14339">
        <v>1</v>
      </c>
      <c r="D14339" t="s">
        <v>17166</v>
      </c>
      <c r="F14339" t="s">
        <v>17246</v>
      </c>
      <c r="H14339" t="s">
        <v>28921</v>
      </c>
      <c r="J14339" t="s">
        <v>29538</v>
      </c>
      <c r="L14339" t="s">
        <v>30198</v>
      </c>
      <c r="N14339" t="s">
        <v>32649</v>
      </c>
      <c r="O14339" t="s">
        <v>32808</v>
      </c>
      <c r="P14339" t="s">
        <v>32809</v>
      </c>
      <c r="R14339" s="26" t="str">
        <f>HYPERLINK("https://ictv.global/taxonomy/taxondetails?taxnode_id=202302079","Comovirus severum")</f>
        <v>Comovirus severum</v>
      </c>
      <c r="S14339" t="s">
        <v>30</v>
      </c>
      <c r="T14339" t="s">
        <v>32849</v>
      </c>
      <c r="U14339" t="s">
        <v>32850</v>
      </c>
      <c r="V14339" t="s">
        <v>32851</v>
      </c>
      <c r="W14339" t="s">
        <v>50733</v>
      </c>
      <c r="X14339" t="s">
        <v>42</v>
      </c>
      <c r="Y14339" t="s">
        <v>17171</v>
      </c>
      <c r="Z14339" t="s">
        <v>13441</v>
      </c>
      <c r="AA14339" s="22" t="str">
        <f>HYPERLINK("https://www.ncbi.nlm.nih.gov/nuccore/M83830,M83309","NCBI Nucleotide")</f>
        <v>NCBI Nucleotide</v>
      </c>
    </row>
    <row r="14340" spans="1:27" x14ac:dyDescent="0.35">
      <c r="A14340">
        <v>1002680</v>
      </c>
      <c r="B14340">
        <v>12920</v>
      </c>
      <c r="C14340">
        <v>1</v>
      </c>
      <c r="D14340" t="s">
        <v>17166</v>
      </c>
      <c r="F14340" t="s">
        <v>17246</v>
      </c>
      <c r="H14340" t="s">
        <v>28921</v>
      </c>
      <c r="J14340" t="s">
        <v>29538</v>
      </c>
      <c r="L14340" t="s">
        <v>30198</v>
      </c>
      <c r="N14340" t="s">
        <v>32649</v>
      </c>
      <c r="O14340" t="s">
        <v>32808</v>
      </c>
      <c r="P14340" t="s">
        <v>32809</v>
      </c>
      <c r="R14340" s="26" t="str">
        <f>HYPERLINK("https://ictv.global/taxonomy/taxondetails?taxnode_id=202302074","Comovirus siliquae")</f>
        <v>Comovirus siliquae</v>
      </c>
      <c r="S14340" t="s">
        <v>30</v>
      </c>
      <c r="T14340" t="s">
        <v>32852</v>
      </c>
      <c r="U14340" t="s">
        <v>18881</v>
      </c>
      <c r="V14340" t="s">
        <v>32853</v>
      </c>
      <c r="W14340" t="s">
        <v>32854</v>
      </c>
      <c r="X14340" t="s">
        <v>42</v>
      </c>
      <c r="Y14340" t="s">
        <v>17171</v>
      </c>
      <c r="Z14340" t="s">
        <v>13441</v>
      </c>
      <c r="AA14340" s="22" t="str">
        <f>HYPERLINK("https://www.ncbi.nlm.nih.gov/nuccore/M62738,U70866","NCBI Nucleotide")</f>
        <v>NCBI Nucleotide</v>
      </c>
    </row>
    <row r="14341" spans="1:27" x14ac:dyDescent="0.35">
      <c r="A14341">
        <v>1002681</v>
      </c>
      <c r="B14341">
        <v>12921</v>
      </c>
      <c r="C14341">
        <v>1</v>
      </c>
      <c r="D14341" t="s">
        <v>17166</v>
      </c>
      <c r="F14341" t="s">
        <v>17246</v>
      </c>
      <c r="H14341" t="s">
        <v>28921</v>
      </c>
      <c r="J14341" t="s">
        <v>29538</v>
      </c>
      <c r="L14341" t="s">
        <v>30198</v>
      </c>
      <c r="N14341" t="s">
        <v>32649</v>
      </c>
      <c r="O14341" t="s">
        <v>32808</v>
      </c>
      <c r="P14341" t="s">
        <v>32809</v>
      </c>
      <c r="R14341" s="26" t="str">
        <f>HYPERLINK("https://ictv.global/taxonomy/taxondetails?taxnode_id=202302083","Comovirus strophostylis")</f>
        <v>Comovirus strophostylis</v>
      </c>
      <c r="S14341" t="s">
        <v>30</v>
      </c>
      <c r="T14341" t="s">
        <v>32855</v>
      </c>
      <c r="U14341" t="s">
        <v>32856</v>
      </c>
      <c r="V14341" t="s">
        <v>32857</v>
      </c>
      <c r="X14341" t="s">
        <v>3311</v>
      </c>
      <c r="Y14341" t="s">
        <v>17171</v>
      </c>
      <c r="Z14341" t="s">
        <v>13441</v>
      </c>
    </row>
    <row r="14342" spans="1:27" x14ac:dyDescent="0.35">
      <c r="A14342">
        <v>1002682</v>
      </c>
      <c r="B14342">
        <v>12922</v>
      </c>
      <c r="C14342">
        <v>1</v>
      </c>
      <c r="D14342" t="s">
        <v>17166</v>
      </c>
      <c r="F14342" t="s">
        <v>17246</v>
      </c>
      <c r="H14342" t="s">
        <v>28921</v>
      </c>
      <c r="J14342" t="s">
        <v>29538</v>
      </c>
      <c r="L14342" t="s">
        <v>30198</v>
      </c>
      <c r="N14342" t="s">
        <v>32649</v>
      </c>
      <c r="O14342" t="s">
        <v>32808</v>
      </c>
      <c r="P14342" t="s">
        <v>32809</v>
      </c>
      <c r="R14342" s="26" t="str">
        <f>HYPERLINK("https://ictv.global/taxonomy/taxondetails?taxnode_id=202302085","Comovirus trifolii")</f>
        <v>Comovirus trifolii</v>
      </c>
      <c r="S14342" t="s">
        <v>30</v>
      </c>
      <c r="T14342" t="s">
        <v>32858</v>
      </c>
      <c r="U14342" t="s">
        <v>32859</v>
      </c>
      <c r="V14342" t="s">
        <v>18017</v>
      </c>
      <c r="W14342" t="s">
        <v>50734</v>
      </c>
      <c r="X14342" t="s">
        <v>42</v>
      </c>
      <c r="Y14342" t="s">
        <v>17171</v>
      </c>
      <c r="Z14342" t="s">
        <v>13441</v>
      </c>
      <c r="AA14342" s="22" t="str">
        <f>HYPERLINK("https://www.ncbi.nlm.nih.gov/nuccore/X64886,M14913","NCBI Nucleotide")</f>
        <v>NCBI Nucleotide</v>
      </c>
    </row>
    <row r="14343" spans="1:27" x14ac:dyDescent="0.35">
      <c r="A14343">
        <v>1002683</v>
      </c>
      <c r="B14343">
        <v>12923</v>
      </c>
      <c r="C14343">
        <v>1</v>
      </c>
      <c r="D14343" t="s">
        <v>17166</v>
      </c>
      <c r="F14343" t="s">
        <v>17246</v>
      </c>
      <c r="H14343" t="s">
        <v>28921</v>
      </c>
      <c r="J14343" t="s">
        <v>29538</v>
      </c>
      <c r="L14343" t="s">
        <v>30198</v>
      </c>
      <c r="N14343" t="s">
        <v>32649</v>
      </c>
      <c r="O14343" t="s">
        <v>32808</v>
      </c>
      <c r="P14343" t="s">
        <v>32809</v>
      </c>
      <c r="R14343" s="26" t="str">
        <f>HYPERLINK("https://ictv.global/taxonomy/taxondetails?taxnode_id=202302087","Comovirus ulluci")</f>
        <v>Comovirus ulluci</v>
      </c>
      <c r="S14343" t="s">
        <v>30</v>
      </c>
      <c r="T14343" t="s">
        <v>32860</v>
      </c>
      <c r="U14343" t="s">
        <v>32861</v>
      </c>
      <c r="V14343" t="s">
        <v>32862</v>
      </c>
      <c r="X14343" t="s">
        <v>3311</v>
      </c>
      <c r="Y14343" t="s">
        <v>17171</v>
      </c>
      <c r="Z14343" t="s">
        <v>13441</v>
      </c>
    </row>
    <row r="14344" spans="1:27" x14ac:dyDescent="0.35">
      <c r="A14344">
        <v>1002684</v>
      </c>
      <c r="B14344">
        <v>12924</v>
      </c>
      <c r="C14344">
        <v>1</v>
      </c>
      <c r="D14344" t="s">
        <v>17166</v>
      </c>
      <c r="F14344" t="s">
        <v>17246</v>
      </c>
      <c r="H14344" t="s">
        <v>28921</v>
      </c>
      <c r="J14344" t="s">
        <v>29538</v>
      </c>
      <c r="L14344" t="s">
        <v>30198</v>
      </c>
      <c r="N14344" t="s">
        <v>32649</v>
      </c>
      <c r="O14344" t="s">
        <v>32808</v>
      </c>
      <c r="P14344" t="s">
        <v>32809</v>
      </c>
      <c r="R14344" s="26" t="str">
        <f>HYPERLINK("https://ictv.global/taxonomy/taxondetails?taxnode_id=202302076","Comovirus viciae")</f>
        <v>Comovirus viciae</v>
      </c>
      <c r="S14344" t="s">
        <v>30</v>
      </c>
      <c r="T14344" t="s">
        <v>32863</v>
      </c>
      <c r="U14344" t="s">
        <v>14132</v>
      </c>
      <c r="V14344">
        <v>7013</v>
      </c>
      <c r="W14344" t="s">
        <v>50735</v>
      </c>
      <c r="X14344" t="s">
        <v>154</v>
      </c>
      <c r="Y14344" t="s">
        <v>17171</v>
      </c>
      <c r="Z14344" t="s">
        <v>13441</v>
      </c>
      <c r="AA14344" s="22" t="str">
        <f>HYPERLINK("https://www.ncbi.nlm.nih.gov/nuccore/KJ746622,FJ028650","NCBI Nucleotide")</f>
        <v>NCBI Nucleotide</v>
      </c>
    </row>
    <row r="14345" spans="1:27" x14ac:dyDescent="0.35">
      <c r="A14345">
        <v>1002685</v>
      </c>
      <c r="B14345">
        <v>12925</v>
      </c>
      <c r="C14345">
        <v>1</v>
      </c>
      <c r="D14345" t="s">
        <v>17166</v>
      </c>
      <c r="F14345" t="s">
        <v>17246</v>
      </c>
      <c r="H14345" t="s">
        <v>28921</v>
      </c>
      <c r="J14345" t="s">
        <v>29538</v>
      </c>
      <c r="L14345" t="s">
        <v>30198</v>
      </c>
      <c r="N14345" t="s">
        <v>32649</v>
      </c>
      <c r="O14345" t="s">
        <v>32808</v>
      </c>
      <c r="P14345" t="s">
        <v>32809</v>
      </c>
      <c r="R14345" s="26" t="str">
        <f>HYPERLINK("https://ictv.global/taxonomy/taxondetails?taxnode_id=202302078","Comovirus vignae")</f>
        <v>Comovirus vignae</v>
      </c>
      <c r="S14345" t="s">
        <v>30</v>
      </c>
      <c r="T14345" t="s">
        <v>32864</v>
      </c>
      <c r="U14345" t="s">
        <v>20718</v>
      </c>
      <c r="V14345" t="s">
        <v>32865</v>
      </c>
      <c r="W14345" t="s">
        <v>32866</v>
      </c>
      <c r="X14345" t="s">
        <v>42</v>
      </c>
      <c r="Y14345" t="s">
        <v>17171</v>
      </c>
      <c r="Z14345" t="s">
        <v>13441</v>
      </c>
      <c r="AA14345" s="22" t="str">
        <f>HYPERLINK("https://www.ncbi.nlm.nih.gov/nuccore/X00206,X00729","NCBI Nucleotide")</f>
        <v>NCBI Nucleotide</v>
      </c>
    </row>
    <row r="14346" spans="1:27" x14ac:dyDescent="0.35">
      <c r="A14346">
        <v>1002686</v>
      </c>
      <c r="B14346">
        <v>12926</v>
      </c>
      <c r="C14346">
        <v>1</v>
      </c>
      <c r="D14346" t="s">
        <v>17166</v>
      </c>
      <c r="F14346" t="s">
        <v>17246</v>
      </c>
      <c r="H14346" t="s">
        <v>28921</v>
      </c>
      <c r="J14346" t="s">
        <v>29538</v>
      </c>
      <c r="L14346" t="s">
        <v>30198</v>
      </c>
      <c r="N14346" t="s">
        <v>32649</v>
      </c>
      <c r="O14346" t="s">
        <v>32808</v>
      </c>
      <c r="P14346" t="s">
        <v>32867</v>
      </c>
      <c r="R14346" s="26" t="str">
        <f>HYPERLINK("https://ictv.global/taxonomy/taxondetails?taxnode_id=202302089","Fabavirus alphaviciae")</f>
        <v>Fabavirus alphaviciae</v>
      </c>
      <c r="S14346" t="s">
        <v>30</v>
      </c>
      <c r="T14346" t="s">
        <v>32868</v>
      </c>
      <c r="U14346" t="s">
        <v>32869</v>
      </c>
      <c r="V14346" t="s">
        <v>32870</v>
      </c>
      <c r="W14346" t="s">
        <v>32871</v>
      </c>
      <c r="X14346" t="s">
        <v>42</v>
      </c>
      <c r="Y14346" t="s">
        <v>17171</v>
      </c>
      <c r="Z14346" t="s">
        <v>13441</v>
      </c>
      <c r="AA14346" s="22" t="str">
        <f>HYPERLINK("https://www.ncbi.nlm.nih.gov/nuccore/AB084450,AB084451","NCBI Nucleotide")</f>
        <v>NCBI Nucleotide</v>
      </c>
    </row>
    <row r="14347" spans="1:27" x14ac:dyDescent="0.35">
      <c r="A14347">
        <v>1026231</v>
      </c>
      <c r="B14347">
        <v>12927</v>
      </c>
      <c r="C14347">
        <v>1</v>
      </c>
      <c r="D14347" t="s">
        <v>17166</v>
      </c>
      <c r="F14347" t="s">
        <v>17246</v>
      </c>
      <c r="H14347" t="s">
        <v>28921</v>
      </c>
      <c r="J14347" t="s">
        <v>29538</v>
      </c>
      <c r="L14347" t="s">
        <v>30198</v>
      </c>
      <c r="N14347" t="s">
        <v>32649</v>
      </c>
      <c r="O14347" t="s">
        <v>32808</v>
      </c>
      <c r="P14347" t="s">
        <v>32867</v>
      </c>
      <c r="R14347" s="26" t="str">
        <f>HYPERLINK("https://ictv.global/taxonomy/taxondetails?taxnode_id=202318389","Fabavirus avii")</f>
        <v>Fabavirus avii</v>
      </c>
      <c r="S14347" t="s">
        <v>30</v>
      </c>
      <c r="T14347" t="s">
        <v>47291</v>
      </c>
      <c r="U14347" t="s">
        <v>47292</v>
      </c>
      <c r="V14347" t="s">
        <v>47293</v>
      </c>
      <c r="W14347" t="s">
        <v>47294</v>
      </c>
      <c r="X14347" t="s">
        <v>35</v>
      </c>
      <c r="Y14347" t="s">
        <v>17171</v>
      </c>
      <c r="Z14347" t="s">
        <v>13441</v>
      </c>
      <c r="AA14347" s="22" t="str">
        <f>HYPERLINK("https://www.ncbi.nlm.nih.gov/nuccore/MH998210,MH998217","NCBI Nucleotide")</f>
        <v>NCBI Nucleotide</v>
      </c>
    </row>
    <row r="14348" spans="1:27" x14ac:dyDescent="0.35">
      <c r="A14348">
        <v>1002687</v>
      </c>
      <c r="B14348">
        <v>12928</v>
      </c>
      <c r="C14348">
        <v>1</v>
      </c>
      <c r="D14348" t="s">
        <v>17166</v>
      </c>
      <c r="F14348" t="s">
        <v>17246</v>
      </c>
      <c r="H14348" t="s">
        <v>28921</v>
      </c>
      <c r="J14348" t="s">
        <v>29538</v>
      </c>
      <c r="L14348" t="s">
        <v>30198</v>
      </c>
      <c r="N14348" t="s">
        <v>32649</v>
      </c>
      <c r="O14348" t="s">
        <v>32808</v>
      </c>
      <c r="P14348" t="s">
        <v>32867</v>
      </c>
      <c r="R14348" s="26" t="str">
        <f>HYPERLINK("https://ictv.global/taxonomy/taxondetails?taxnode_id=202302090","Fabavirus betaviciae")</f>
        <v>Fabavirus betaviciae</v>
      </c>
      <c r="S14348" t="s">
        <v>30</v>
      </c>
      <c r="T14348" t="s">
        <v>32872</v>
      </c>
      <c r="U14348" t="s">
        <v>32873</v>
      </c>
      <c r="V14348" t="s">
        <v>32874</v>
      </c>
      <c r="W14348" t="s">
        <v>32875</v>
      </c>
      <c r="X14348" t="s">
        <v>42</v>
      </c>
      <c r="Y14348" t="s">
        <v>17171</v>
      </c>
      <c r="Z14348" t="s">
        <v>13441</v>
      </c>
      <c r="AA14348" s="22" t="str">
        <f>HYPERLINK("https://www.ncbi.nlm.nih.gov/nuccore/AF225953,AF225954","NCBI Nucleotide")</f>
        <v>NCBI Nucleotide</v>
      </c>
    </row>
    <row r="14349" spans="1:27" x14ac:dyDescent="0.35">
      <c r="A14349">
        <v>1002688</v>
      </c>
      <c r="B14349">
        <v>12929</v>
      </c>
      <c r="C14349">
        <v>1</v>
      </c>
      <c r="D14349" t="s">
        <v>17166</v>
      </c>
      <c r="F14349" t="s">
        <v>17246</v>
      </c>
      <c r="H14349" t="s">
        <v>28921</v>
      </c>
      <c r="J14349" t="s">
        <v>29538</v>
      </c>
      <c r="L14349" t="s">
        <v>30198</v>
      </c>
      <c r="N14349" t="s">
        <v>32649</v>
      </c>
      <c r="O14349" t="s">
        <v>32808</v>
      </c>
      <c r="P14349" t="s">
        <v>32867</v>
      </c>
      <c r="R14349" s="26" t="str">
        <f>HYPERLINK("https://ictv.global/taxonomy/taxondetails?taxnode_id=202302091","Fabavirus cucurbitaceae")</f>
        <v>Fabavirus cucurbitaceae</v>
      </c>
      <c r="S14349" t="s">
        <v>30</v>
      </c>
      <c r="T14349" t="s">
        <v>32876</v>
      </c>
      <c r="U14349" t="s">
        <v>32877</v>
      </c>
      <c r="V14349" t="s">
        <v>32878</v>
      </c>
      <c r="W14349" t="s">
        <v>32879</v>
      </c>
      <c r="X14349" t="s">
        <v>42</v>
      </c>
      <c r="Y14349" t="s">
        <v>17171</v>
      </c>
      <c r="Z14349" t="s">
        <v>13441</v>
      </c>
      <c r="AA14349" s="22" t="str">
        <f>HYPERLINK("https://www.ncbi.nlm.nih.gov/nuccore/EU881936,EU881937","NCBI Nucleotide")</f>
        <v>NCBI Nucleotide</v>
      </c>
    </row>
    <row r="14350" spans="1:27" x14ac:dyDescent="0.35">
      <c r="A14350">
        <v>1002689</v>
      </c>
      <c r="B14350">
        <v>12930</v>
      </c>
      <c r="C14350">
        <v>1</v>
      </c>
      <c r="D14350" t="s">
        <v>17166</v>
      </c>
      <c r="F14350" t="s">
        <v>17246</v>
      </c>
      <c r="H14350" t="s">
        <v>28921</v>
      </c>
      <c r="J14350" t="s">
        <v>29538</v>
      </c>
      <c r="L14350" t="s">
        <v>30198</v>
      </c>
      <c r="N14350" t="s">
        <v>32649</v>
      </c>
      <c r="O14350" t="s">
        <v>32808</v>
      </c>
      <c r="P14350" t="s">
        <v>32867</v>
      </c>
      <c r="R14350" s="26" t="str">
        <f>HYPERLINK("https://ictv.global/taxonomy/taxondetails?taxnode_id=202302092","Fabavirus gentianae")</f>
        <v>Fabavirus gentianae</v>
      </c>
      <c r="S14350" t="s">
        <v>30</v>
      </c>
      <c r="T14350" t="s">
        <v>32880</v>
      </c>
      <c r="U14350" t="s">
        <v>32881</v>
      </c>
      <c r="V14350" t="s">
        <v>32882</v>
      </c>
      <c r="W14350" t="s">
        <v>32883</v>
      </c>
      <c r="X14350" t="s">
        <v>42</v>
      </c>
      <c r="Y14350" t="s">
        <v>17171</v>
      </c>
      <c r="Z14350" t="s">
        <v>13441</v>
      </c>
      <c r="AA14350" s="22" t="str">
        <f>HYPERLINK("https://www.ncbi.nlm.nih.gov/nuccore/AB084452,AB084453","NCBI Nucleotide")</f>
        <v>NCBI Nucleotide</v>
      </c>
    </row>
    <row r="14351" spans="1:27" x14ac:dyDescent="0.35">
      <c r="A14351">
        <v>1026232</v>
      </c>
      <c r="B14351">
        <v>12931</v>
      </c>
      <c r="C14351">
        <v>1</v>
      </c>
      <c r="D14351" t="s">
        <v>17166</v>
      </c>
      <c r="F14351" t="s">
        <v>17246</v>
      </c>
      <c r="H14351" t="s">
        <v>28921</v>
      </c>
      <c r="J14351" t="s">
        <v>29538</v>
      </c>
      <c r="L14351" t="s">
        <v>30198</v>
      </c>
      <c r="N14351" t="s">
        <v>32649</v>
      </c>
      <c r="O14351" t="s">
        <v>32808</v>
      </c>
      <c r="P14351" t="s">
        <v>32867</v>
      </c>
      <c r="R14351" s="26" t="str">
        <f>HYPERLINK("https://ictv.global/taxonomy/taxondetails?taxnode_id=202318387","Fabavirus gynostemmae")</f>
        <v>Fabavirus gynostemmae</v>
      </c>
      <c r="S14351" t="s">
        <v>30</v>
      </c>
      <c r="T14351" t="s">
        <v>47295</v>
      </c>
      <c r="U14351" t="s">
        <v>47296</v>
      </c>
      <c r="V14351" t="s">
        <v>17234</v>
      </c>
      <c r="W14351" t="s">
        <v>47297</v>
      </c>
      <c r="X14351" t="s">
        <v>35</v>
      </c>
      <c r="Y14351" t="s">
        <v>17171</v>
      </c>
      <c r="Z14351" t="s">
        <v>13441</v>
      </c>
      <c r="AA14351" s="22" t="str">
        <f>HYPERLINK("https://www.ncbi.nlm.nih.gov/nuccore/BK061324,BK061325","NCBI Nucleotide")</f>
        <v>NCBI Nucleotide</v>
      </c>
    </row>
    <row r="14352" spans="1:27" x14ac:dyDescent="0.35">
      <c r="A14352">
        <v>1002690</v>
      </c>
      <c r="B14352">
        <v>12932</v>
      </c>
      <c r="C14352">
        <v>1</v>
      </c>
      <c r="D14352" t="s">
        <v>17166</v>
      </c>
      <c r="F14352" t="s">
        <v>17246</v>
      </c>
      <c r="H14352" t="s">
        <v>28921</v>
      </c>
      <c r="J14352" t="s">
        <v>29538</v>
      </c>
      <c r="L14352" t="s">
        <v>30198</v>
      </c>
      <c r="N14352" t="s">
        <v>32649</v>
      </c>
      <c r="O14352" t="s">
        <v>32808</v>
      </c>
      <c r="P14352" t="s">
        <v>32867</v>
      </c>
      <c r="R14352" s="26" t="str">
        <f>HYPERLINK("https://ictv.global/taxonomy/taxondetails?taxnode_id=202302093","Fabavirus lamii")</f>
        <v>Fabavirus lamii</v>
      </c>
      <c r="S14352" t="s">
        <v>30</v>
      </c>
      <c r="T14352" t="s">
        <v>32884</v>
      </c>
      <c r="U14352" t="s">
        <v>19158</v>
      </c>
      <c r="V14352" t="s">
        <v>32885</v>
      </c>
      <c r="W14352" t="s">
        <v>32886</v>
      </c>
      <c r="X14352" t="s">
        <v>42</v>
      </c>
      <c r="Y14352" t="s">
        <v>17171</v>
      </c>
      <c r="Z14352" t="s">
        <v>13441</v>
      </c>
      <c r="AA14352" s="22" t="str">
        <f>HYPERLINK("https://www.ncbi.nlm.nih.gov/nuccore/KC595304,KC595305","NCBI Nucleotide")</f>
        <v>NCBI Nucleotide</v>
      </c>
    </row>
    <row r="14353" spans="1:27" x14ac:dyDescent="0.35">
      <c r="A14353">
        <v>1002691</v>
      </c>
      <c r="B14353">
        <v>12933</v>
      </c>
      <c r="C14353">
        <v>1</v>
      </c>
      <c r="D14353" t="s">
        <v>17166</v>
      </c>
      <c r="F14353" t="s">
        <v>17246</v>
      </c>
      <c r="H14353" t="s">
        <v>28921</v>
      </c>
      <c r="J14353" t="s">
        <v>29538</v>
      </c>
      <c r="L14353" t="s">
        <v>30198</v>
      </c>
      <c r="N14353" t="s">
        <v>32649</v>
      </c>
      <c r="O14353" t="s">
        <v>32808</v>
      </c>
      <c r="P14353" t="s">
        <v>32867</v>
      </c>
      <c r="R14353" s="26" t="str">
        <f>HYPERLINK("https://ictv.global/taxonomy/taxondetails?taxnode_id=202313818","Fabavirus persicae")</f>
        <v>Fabavirus persicae</v>
      </c>
      <c r="S14353" t="s">
        <v>30</v>
      </c>
      <c r="T14353" t="s">
        <v>32887</v>
      </c>
      <c r="U14353" t="s">
        <v>32888</v>
      </c>
      <c r="V14353" t="s">
        <v>32889</v>
      </c>
      <c r="W14353" t="s">
        <v>32890</v>
      </c>
      <c r="X14353" t="s">
        <v>42</v>
      </c>
      <c r="Y14353" t="s">
        <v>17171</v>
      </c>
      <c r="Z14353" t="s">
        <v>13441</v>
      </c>
      <c r="AA14353" s="22" t="str">
        <f>HYPERLINK("https://www.ncbi.nlm.nih.gov/nuccore/KY867750,KY867751","NCBI Nucleotide")</f>
        <v>NCBI Nucleotide</v>
      </c>
    </row>
    <row r="14354" spans="1:27" x14ac:dyDescent="0.35">
      <c r="A14354">
        <v>1002692</v>
      </c>
      <c r="B14354">
        <v>12934</v>
      </c>
      <c r="C14354">
        <v>1</v>
      </c>
      <c r="D14354" t="s">
        <v>17166</v>
      </c>
      <c r="F14354" t="s">
        <v>17246</v>
      </c>
      <c r="H14354" t="s">
        <v>28921</v>
      </c>
      <c r="J14354" t="s">
        <v>29538</v>
      </c>
      <c r="L14354" t="s">
        <v>30198</v>
      </c>
      <c r="N14354" t="s">
        <v>32649</v>
      </c>
      <c r="O14354" t="s">
        <v>32808</v>
      </c>
      <c r="P14354" t="s">
        <v>32867</v>
      </c>
      <c r="R14354" s="26" t="str">
        <f>HYPERLINK("https://ictv.global/taxonomy/taxondetails?taxnode_id=202305627","Fabavirus pruni")</f>
        <v>Fabavirus pruni</v>
      </c>
      <c r="S14354" t="s">
        <v>30</v>
      </c>
      <c r="T14354" t="s">
        <v>32891</v>
      </c>
      <c r="U14354" t="s">
        <v>32892</v>
      </c>
      <c r="V14354" t="s">
        <v>32893</v>
      </c>
      <c r="W14354" t="s">
        <v>32894</v>
      </c>
      <c r="X14354" t="s">
        <v>42</v>
      </c>
      <c r="Y14354" t="s">
        <v>17171</v>
      </c>
      <c r="Z14354" t="s">
        <v>13441</v>
      </c>
      <c r="AA14354" s="22" t="str">
        <f>HYPERLINK("https://www.ncbi.nlm.nih.gov/nuccore/KX269865,KX269871","NCBI Nucleotide")</f>
        <v>NCBI Nucleotide</v>
      </c>
    </row>
    <row r="14355" spans="1:27" x14ac:dyDescent="0.35">
      <c r="A14355">
        <v>1002693</v>
      </c>
      <c r="B14355">
        <v>12935</v>
      </c>
      <c r="C14355">
        <v>1</v>
      </c>
      <c r="D14355" t="s">
        <v>17166</v>
      </c>
      <c r="F14355" t="s">
        <v>17246</v>
      </c>
      <c r="H14355" t="s">
        <v>28921</v>
      </c>
      <c r="J14355" t="s">
        <v>29538</v>
      </c>
      <c r="L14355" t="s">
        <v>30198</v>
      </c>
      <c r="N14355" t="s">
        <v>32649</v>
      </c>
      <c r="O14355" t="s">
        <v>32808</v>
      </c>
      <c r="P14355" t="s">
        <v>32867</v>
      </c>
      <c r="R14355" s="26" t="str">
        <f>HYPERLINK("https://ictv.global/taxonomy/taxondetails?taxnode_id=202305626","Fabavirus vitis")</f>
        <v>Fabavirus vitis</v>
      </c>
      <c r="S14355" t="s">
        <v>30</v>
      </c>
      <c r="T14355" t="s">
        <v>32895</v>
      </c>
      <c r="U14355" t="s">
        <v>32896</v>
      </c>
      <c r="V14355" t="s">
        <v>32897</v>
      </c>
      <c r="W14355" t="s">
        <v>32898</v>
      </c>
      <c r="X14355" t="s">
        <v>35</v>
      </c>
      <c r="Y14355" t="s">
        <v>17171</v>
      </c>
      <c r="Z14355" t="s">
        <v>13441</v>
      </c>
      <c r="AA14355" s="22" t="str">
        <f>HYPERLINK("https://www.ncbi.nlm.nih.gov/nuccore/KX241482,KX241485","NCBI Nucleotide")</f>
        <v>NCBI Nucleotide</v>
      </c>
    </row>
    <row r="14356" spans="1:27" x14ac:dyDescent="0.35">
      <c r="A14356">
        <v>1026233</v>
      </c>
      <c r="B14356">
        <v>12936</v>
      </c>
      <c r="C14356">
        <v>1</v>
      </c>
      <c r="D14356" t="s">
        <v>17166</v>
      </c>
      <c r="F14356" t="s">
        <v>17246</v>
      </c>
      <c r="H14356" t="s">
        <v>28921</v>
      </c>
      <c r="J14356" t="s">
        <v>29538</v>
      </c>
      <c r="L14356" t="s">
        <v>30198</v>
      </c>
      <c r="N14356" t="s">
        <v>32649</v>
      </c>
      <c r="O14356" t="s">
        <v>32808</v>
      </c>
      <c r="P14356" t="s">
        <v>32867</v>
      </c>
      <c r="R14356" s="26" t="str">
        <f>HYPERLINK("https://ictv.global/taxonomy/taxondetails?taxnode_id=202318388","Fabavirus yuccae")</f>
        <v>Fabavirus yuccae</v>
      </c>
      <c r="S14356" t="s">
        <v>30</v>
      </c>
      <c r="T14356" t="s">
        <v>47298</v>
      </c>
      <c r="U14356" t="s">
        <v>47299</v>
      </c>
      <c r="V14356" t="s">
        <v>47300</v>
      </c>
      <c r="W14356" t="s">
        <v>47301</v>
      </c>
      <c r="X14356" t="s">
        <v>35</v>
      </c>
      <c r="Y14356" t="s">
        <v>17171</v>
      </c>
      <c r="Z14356" t="s">
        <v>13441</v>
      </c>
      <c r="AA14356" s="22" t="str">
        <f>HYPERLINK("https://www.ncbi.nlm.nih.gov/nuccore/BK061335,BK061336","NCBI Nucleotide")</f>
        <v>NCBI Nucleotide</v>
      </c>
    </row>
    <row r="14357" spans="1:27" x14ac:dyDescent="0.35">
      <c r="A14357">
        <v>1002694</v>
      </c>
      <c r="B14357">
        <v>12937</v>
      </c>
      <c r="C14357">
        <v>1</v>
      </c>
      <c r="D14357" t="s">
        <v>17166</v>
      </c>
      <c r="F14357" t="s">
        <v>17246</v>
      </c>
      <c r="H14357" t="s">
        <v>28921</v>
      </c>
      <c r="J14357" t="s">
        <v>29538</v>
      </c>
      <c r="L14357" t="s">
        <v>30198</v>
      </c>
      <c r="N14357" t="s">
        <v>32649</v>
      </c>
      <c r="O14357" t="s">
        <v>32808</v>
      </c>
      <c r="P14357" t="s">
        <v>32899</v>
      </c>
      <c r="R14357" s="26" t="str">
        <f>HYPERLINK("https://ictv.global/taxonomy/taxondetails?taxnode_id=202302099","Nepovirus aegaeum")</f>
        <v>Nepovirus aegaeum</v>
      </c>
      <c r="S14357" t="s">
        <v>30</v>
      </c>
      <c r="T14357" t="s">
        <v>32900</v>
      </c>
      <c r="U14357" t="s">
        <v>32901</v>
      </c>
      <c r="V14357" t="s">
        <v>32902</v>
      </c>
      <c r="X14357" t="s">
        <v>3311</v>
      </c>
      <c r="Y14357" t="s">
        <v>17171</v>
      </c>
      <c r="Z14357" t="s">
        <v>13441</v>
      </c>
    </row>
    <row r="14358" spans="1:27" x14ac:dyDescent="0.35">
      <c r="A14358">
        <v>1002695</v>
      </c>
      <c r="B14358">
        <v>12938</v>
      </c>
      <c r="C14358">
        <v>1</v>
      </c>
      <c r="D14358" t="s">
        <v>17166</v>
      </c>
      <c r="F14358" t="s">
        <v>17246</v>
      </c>
      <c r="H14358" t="s">
        <v>28921</v>
      </c>
      <c r="J14358" t="s">
        <v>29538</v>
      </c>
      <c r="L14358" t="s">
        <v>30198</v>
      </c>
      <c r="N14358" t="s">
        <v>32649</v>
      </c>
      <c r="O14358" t="s">
        <v>32808</v>
      </c>
      <c r="P14358" t="s">
        <v>32899</v>
      </c>
      <c r="R14358" s="26" t="str">
        <f>HYPERLINK("https://ictv.global/taxonomy/taxondetails?taxnode_id=202302095","Nepovirus aeonii")</f>
        <v>Nepovirus aeonii</v>
      </c>
      <c r="S14358" t="s">
        <v>30</v>
      </c>
      <c r="T14358" t="s">
        <v>32903</v>
      </c>
      <c r="U14358" t="s">
        <v>32904</v>
      </c>
      <c r="V14358" t="s">
        <v>32905</v>
      </c>
      <c r="W14358" t="s">
        <v>50736</v>
      </c>
      <c r="X14358" t="s">
        <v>42</v>
      </c>
      <c r="Y14358" t="s">
        <v>17171</v>
      </c>
      <c r="Z14358" t="s">
        <v>13441</v>
      </c>
      <c r="AA14358" s="22" t="str">
        <f>HYPERLINK("https://www.ncbi.nlm.nih.gov/nuccore/JX304792,JQ670669","NCBI Nucleotide")</f>
        <v>NCBI Nucleotide</v>
      </c>
    </row>
    <row r="14359" spans="1:27" x14ac:dyDescent="0.35">
      <c r="A14359">
        <v>1026586</v>
      </c>
      <c r="B14359">
        <v>12939</v>
      </c>
      <c r="C14359">
        <v>1</v>
      </c>
      <c r="D14359" t="s">
        <v>17166</v>
      </c>
      <c r="F14359" t="s">
        <v>17246</v>
      </c>
      <c r="H14359" t="s">
        <v>28921</v>
      </c>
      <c r="J14359" t="s">
        <v>29538</v>
      </c>
      <c r="L14359" t="s">
        <v>30198</v>
      </c>
      <c r="N14359" t="s">
        <v>32649</v>
      </c>
      <c r="O14359" t="s">
        <v>32808</v>
      </c>
      <c r="P14359" t="s">
        <v>32899</v>
      </c>
      <c r="R14359" s="26" t="str">
        <f>HYPERLINK("https://ictv.global/taxonomy/taxondetails?taxnode_id=202318382","Nepovirus alphaparis")</f>
        <v>Nepovirus alphaparis</v>
      </c>
      <c r="S14359" t="s">
        <v>30</v>
      </c>
      <c r="T14359" t="s">
        <v>47302</v>
      </c>
      <c r="U14359" t="s">
        <v>47303</v>
      </c>
      <c r="V14359" t="s">
        <v>47304</v>
      </c>
      <c r="W14359" t="s">
        <v>47305</v>
      </c>
      <c r="X14359" t="s">
        <v>35</v>
      </c>
      <c r="Y14359" t="s">
        <v>17171</v>
      </c>
      <c r="Z14359" t="s">
        <v>13441</v>
      </c>
      <c r="AA14359" s="22" t="str">
        <f>HYPERLINK("https://www.ncbi.nlm.nih.gov/nuccore/OP374158,OP374159","NCBI Nucleotide")</f>
        <v>NCBI Nucleotide</v>
      </c>
    </row>
    <row r="14360" spans="1:27" x14ac:dyDescent="0.35">
      <c r="A14360">
        <v>1002696</v>
      </c>
      <c r="B14360">
        <v>12940</v>
      </c>
      <c r="C14360">
        <v>1</v>
      </c>
      <c r="D14360" t="s">
        <v>17166</v>
      </c>
      <c r="F14360" t="s">
        <v>17246</v>
      </c>
      <c r="H14360" t="s">
        <v>28921</v>
      </c>
      <c r="J14360" t="s">
        <v>29538</v>
      </c>
      <c r="L14360" t="s">
        <v>30198</v>
      </c>
      <c r="N14360" t="s">
        <v>32649</v>
      </c>
      <c r="O14360" t="s">
        <v>32808</v>
      </c>
      <c r="P14360" t="s">
        <v>32899</v>
      </c>
      <c r="R14360" s="26" t="str">
        <f>HYPERLINK("https://ictv.global/taxonomy/taxondetails?taxnode_id=202313817","Nepovirus alphavitis")</f>
        <v>Nepovirus alphavitis</v>
      </c>
      <c r="S14360" t="s">
        <v>30</v>
      </c>
      <c r="T14360" t="s">
        <v>32906</v>
      </c>
      <c r="U14360" t="s">
        <v>32907</v>
      </c>
      <c r="V14360">
        <v>125</v>
      </c>
      <c r="W14360" t="s">
        <v>32908</v>
      </c>
      <c r="X14360" t="s">
        <v>42</v>
      </c>
      <c r="Y14360" t="s">
        <v>17171</v>
      </c>
      <c r="Z14360" t="s">
        <v>13441</v>
      </c>
      <c r="AA14360" s="22" t="str">
        <f>HYPERLINK("https://www.ncbi.nlm.nih.gov/nuccore/MT507290,MT507291","NCBI Nucleotide")</f>
        <v>NCBI Nucleotide</v>
      </c>
    </row>
    <row r="14361" spans="1:27" x14ac:dyDescent="0.35">
      <c r="A14361">
        <v>1002697</v>
      </c>
      <c r="B14361">
        <v>12941</v>
      </c>
      <c r="C14361">
        <v>1</v>
      </c>
      <c r="D14361" t="s">
        <v>17166</v>
      </c>
      <c r="F14361" t="s">
        <v>17246</v>
      </c>
      <c r="H14361" t="s">
        <v>28921</v>
      </c>
      <c r="J14361" t="s">
        <v>29538</v>
      </c>
      <c r="L14361" t="s">
        <v>30198</v>
      </c>
      <c r="N14361" t="s">
        <v>32649</v>
      </c>
      <c r="O14361" t="s">
        <v>32808</v>
      </c>
      <c r="P14361" t="s">
        <v>32899</v>
      </c>
      <c r="R14361" s="26" t="str">
        <f>HYPERLINK("https://ictv.global/taxonomy/taxondetails?taxnode_id=202302106","Nepovirus americaense")</f>
        <v>Nepovirus americaense</v>
      </c>
      <c r="S14361" t="s">
        <v>30</v>
      </c>
      <c r="T14361" t="s">
        <v>32909</v>
      </c>
      <c r="U14361" t="s">
        <v>32910</v>
      </c>
      <c r="X14361" t="s">
        <v>3311</v>
      </c>
      <c r="Y14361" t="s">
        <v>17171</v>
      </c>
      <c r="Z14361" t="s">
        <v>13441</v>
      </c>
    </row>
    <row r="14362" spans="1:27" x14ac:dyDescent="0.35">
      <c r="A14362">
        <v>1002698</v>
      </c>
      <c r="B14362">
        <v>12942</v>
      </c>
      <c r="C14362">
        <v>1</v>
      </c>
      <c r="D14362" t="s">
        <v>17166</v>
      </c>
      <c r="F14362" t="s">
        <v>17246</v>
      </c>
      <c r="H14362" t="s">
        <v>28921</v>
      </c>
      <c r="J14362" t="s">
        <v>29538</v>
      </c>
      <c r="L14362" t="s">
        <v>30198</v>
      </c>
      <c r="N14362" t="s">
        <v>32649</v>
      </c>
      <c r="O14362" t="s">
        <v>32808</v>
      </c>
      <c r="P14362" t="s">
        <v>32899</v>
      </c>
      <c r="R14362" s="26" t="str">
        <f>HYPERLINK("https://ictv.global/taxonomy/taxondetails?taxnode_id=202302113","Nepovirus anatoliense")</f>
        <v>Nepovirus anatoliense</v>
      </c>
      <c r="S14362" t="s">
        <v>30</v>
      </c>
      <c r="T14362" t="s">
        <v>32911</v>
      </c>
      <c r="U14362" t="s">
        <v>32912</v>
      </c>
      <c r="V14362" t="s">
        <v>32913</v>
      </c>
      <c r="W14362" t="s">
        <v>50737</v>
      </c>
      <c r="X14362" t="s">
        <v>42</v>
      </c>
      <c r="Y14362" t="s">
        <v>17171</v>
      </c>
      <c r="Z14362" t="s">
        <v>13441</v>
      </c>
      <c r="AA14362" s="22" t="str">
        <f>HYPERLINK("https://www.ncbi.nlm.nih.gov/nuccore/HE774604,AY291207","NCBI Nucleotide")</f>
        <v>NCBI Nucleotide</v>
      </c>
    </row>
    <row r="14363" spans="1:27" x14ac:dyDescent="0.35">
      <c r="A14363">
        <v>1002699</v>
      </c>
      <c r="B14363">
        <v>12943</v>
      </c>
      <c r="C14363">
        <v>1</v>
      </c>
      <c r="D14363" t="s">
        <v>17166</v>
      </c>
      <c r="F14363" t="s">
        <v>17246</v>
      </c>
      <c r="H14363" t="s">
        <v>28921</v>
      </c>
      <c r="J14363" t="s">
        <v>29538</v>
      </c>
      <c r="L14363" t="s">
        <v>30198</v>
      </c>
      <c r="N14363" t="s">
        <v>32649</v>
      </c>
      <c r="O14363" t="s">
        <v>32808</v>
      </c>
      <c r="P14363" t="s">
        <v>32899</v>
      </c>
      <c r="R14363" s="26" t="str">
        <f>HYPERLINK("https://ictv.global/taxonomy/taxondetails?taxnode_id=202315093","Nepovirus anemones")</f>
        <v>Nepovirus anemones</v>
      </c>
      <c r="S14363" t="s">
        <v>30</v>
      </c>
      <c r="T14363" t="s">
        <v>32914</v>
      </c>
      <c r="U14363" t="s">
        <v>32915</v>
      </c>
      <c r="V14363" t="s">
        <v>32916</v>
      </c>
      <c r="W14363" t="s">
        <v>32917</v>
      </c>
      <c r="X14363" t="s">
        <v>42</v>
      </c>
      <c r="Y14363" t="s">
        <v>17171</v>
      </c>
      <c r="Z14363" t="s">
        <v>13441</v>
      </c>
      <c r="AA14363" s="22" t="str">
        <f>HYPERLINK("https://www.ncbi.nlm.nih.gov/nuccore/MH898479,MH898478","NCBI Nucleotide")</f>
        <v>NCBI Nucleotide</v>
      </c>
    </row>
    <row r="14364" spans="1:27" x14ac:dyDescent="0.35">
      <c r="A14364">
        <v>1002700</v>
      </c>
      <c r="B14364">
        <v>12944</v>
      </c>
      <c r="C14364">
        <v>1</v>
      </c>
      <c r="D14364" t="s">
        <v>17166</v>
      </c>
      <c r="F14364" t="s">
        <v>17246</v>
      </c>
      <c r="H14364" t="s">
        <v>28921</v>
      </c>
      <c r="J14364" t="s">
        <v>29538</v>
      </c>
      <c r="L14364" t="s">
        <v>30198</v>
      </c>
      <c r="N14364" t="s">
        <v>32649</v>
      </c>
      <c r="O14364" t="s">
        <v>32808</v>
      </c>
      <c r="P14364" t="s">
        <v>32899</v>
      </c>
      <c r="R14364" s="26" t="str">
        <f>HYPERLINK("https://ictv.global/taxonomy/taxondetails?taxnode_id=202302097","Nepovirus arabis")</f>
        <v>Nepovirus arabis</v>
      </c>
      <c r="S14364" t="s">
        <v>30</v>
      </c>
      <c r="T14364" t="s">
        <v>32918</v>
      </c>
      <c r="U14364" t="s">
        <v>32919</v>
      </c>
      <c r="V14364" t="s">
        <v>32920</v>
      </c>
      <c r="W14364" t="s">
        <v>50738</v>
      </c>
      <c r="X14364" t="s">
        <v>42</v>
      </c>
      <c r="Y14364" t="s">
        <v>17171</v>
      </c>
      <c r="Z14364" t="s">
        <v>13441</v>
      </c>
      <c r="AA14364" s="22" t="str">
        <f>HYPERLINK("https://www.ncbi.nlm.nih.gov/nuccore/AY303786,AY017339","NCBI Nucleotide")</f>
        <v>NCBI Nucleotide</v>
      </c>
    </row>
    <row r="14365" spans="1:27" x14ac:dyDescent="0.35">
      <c r="A14365">
        <v>1002701</v>
      </c>
      <c r="B14365">
        <v>12945</v>
      </c>
      <c r="C14365">
        <v>1</v>
      </c>
      <c r="D14365" t="s">
        <v>17166</v>
      </c>
      <c r="F14365" t="s">
        <v>17246</v>
      </c>
      <c r="H14365" t="s">
        <v>28921</v>
      </c>
      <c r="J14365" t="s">
        <v>29538</v>
      </c>
      <c r="L14365" t="s">
        <v>30198</v>
      </c>
      <c r="N14365" t="s">
        <v>32649</v>
      </c>
      <c r="O14365" t="s">
        <v>32808</v>
      </c>
      <c r="P14365" t="s">
        <v>32899</v>
      </c>
      <c r="R14365" s="26" t="str">
        <f>HYPERLINK("https://ictv.global/taxonomy/taxondetails?taxnode_id=202302096","Nepovirus armeniacae")</f>
        <v>Nepovirus armeniacae</v>
      </c>
      <c r="S14365" t="s">
        <v>30</v>
      </c>
      <c r="T14365" t="s">
        <v>32921</v>
      </c>
      <c r="U14365" t="s">
        <v>32922</v>
      </c>
      <c r="V14365" t="s">
        <v>32923</v>
      </c>
      <c r="W14365" t="s">
        <v>32924</v>
      </c>
      <c r="X14365" t="s">
        <v>154</v>
      </c>
      <c r="Y14365" t="s">
        <v>17171</v>
      </c>
      <c r="Z14365" t="s">
        <v>13441</v>
      </c>
      <c r="AA14365" s="22" t="str">
        <f>HYPERLINK("https://www.ncbi.nlm.nih.gov/nuccore/AJ278875","NCBI Nucleotide")</f>
        <v>NCBI Nucleotide</v>
      </c>
    </row>
    <row r="14366" spans="1:27" x14ac:dyDescent="0.35">
      <c r="A14366">
        <v>1002702</v>
      </c>
      <c r="B14366">
        <v>12946</v>
      </c>
      <c r="C14366">
        <v>1</v>
      </c>
      <c r="D14366" t="s">
        <v>17166</v>
      </c>
      <c r="F14366" t="s">
        <v>17246</v>
      </c>
      <c r="H14366" t="s">
        <v>28921</v>
      </c>
      <c r="J14366" t="s">
        <v>29538</v>
      </c>
      <c r="L14366" t="s">
        <v>30198</v>
      </c>
      <c r="N14366" t="s">
        <v>32649</v>
      </c>
      <c r="O14366" t="s">
        <v>32808</v>
      </c>
      <c r="P14366" t="s">
        <v>32899</v>
      </c>
      <c r="R14366" s="26" t="str">
        <f>HYPERLINK("https://ictv.global/taxonomy/taxondetails?taxnode_id=202302098","Nepovirus arracaciae")</f>
        <v>Nepovirus arracaciae</v>
      </c>
      <c r="S14366" t="s">
        <v>30</v>
      </c>
      <c r="T14366" t="s">
        <v>32925</v>
      </c>
      <c r="U14366" t="s">
        <v>19732</v>
      </c>
      <c r="W14366" t="s">
        <v>32926</v>
      </c>
      <c r="X14366" t="s">
        <v>42</v>
      </c>
      <c r="Y14366" t="s">
        <v>17171</v>
      </c>
      <c r="Z14366" t="s">
        <v>13441</v>
      </c>
      <c r="AA14366" s="22" t="str">
        <f>HYPERLINK("https://www.ncbi.nlm.nih.gov/nuccore/KY569301,KY569302","NCBI Nucleotide")</f>
        <v>NCBI Nucleotide</v>
      </c>
    </row>
    <row r="14367" spans="1:27" x14ac:dyDescent="0.35">
      <c r="A14367">
        <v>1002703</v>
      </c>
      <c r="B14367">
        <v>12947</v>
      </c>
      <c r="C14367">
        <v>1</v>
      </c>
      <c r="D14367" t="s">
        <v>17166</v>
      </c>
      <c r="F14367" t="s">
        <v>17246</v>
      </c>
      <c r="H14367" t="s">
        <v>28921</v>
      </c>
      <c r="J14367" t="s">
        <v>29538</v>
      </c>
      <c r="L14367" t="s">
        <v>30198</v>
      </c>
      <c r="N14367" t="s">
        <v>32649</v>
      </c>
      <c r="O14367" t="s">
        <v>32808</v>
      </c>
      <c r="P14367" t="s">
        <v>32899</v>
      </c>
      <c r="R14367" s="26" t="str">
        <f>HYPERLINK("https://ictv.global/taxonomy/taxondetails?taxnode_id=202302120","Nepovirus australiaense")</f>
        <v>Nepovirus australiaense</v>
      </c>
      <c r="S14367" t="s">
        <v>30</v>
      </c>
      <c r="T14367" t="s">
        <v>32927</v>
      </c>
      <c r="U14367" t="s">
        <v>32928</v>
      </c>
      <c r="V14367" t="s">
        <v>28159</v>
      </c>
      <c r="X14367" t="s">
        <v>3311</v>
      </c>
      <c r="Y14367" t="s">
        <v>17171</v>
      </c>
      <c r="Z14367" t="s">
        <v>13441</v>
      </c>
    </row>
    <row r="14368" spans="1:27" x14ac:dyDescent="0.35">
      <c r="A14368">
        <v>1002704</v>
      </c>
      <c r="B14368">
        <v>12948</v>
      </c>
      <c r="C14368">
        <v>1</v>
      </c>
      <c r="D14368" t="s">
        <v>17166</v>
      </c>
      <c r="F14368" t="s">
        <v>17246</v>
      </c>
      <c r="H14368" t="s">
        <v>28921</v>
      </c>
      <c r="J14368" t="s">
        <v>29538</v>
      </c>
      <c r="L14368" t="s">
        <v>30198</v>
      </c>
      <c r="N14368" t="s">
        <v>32649</v>
      </c>
      <c r="O14368" t="s">
        <v>32808</v>
      </c>
      <c r="P14368" t="s">
        <v>32899</v>
      </c>
      <c r="R14368" s="26" t="str">
        <f>HYPERLINK("https://ictv.global/taxonomy/taxondetails?taxnode_id=202302108","Nepovirus avii")</f>
        <v>Nepovirus avii</v>
      </c>
      <c r="S14368" t="s">
        <v>30</v>
      </c>
      <c r="T14368" t="s">
        <v>32929</v>
      </c>
      <c r="U14368" t="s">
        <v>18190</v>
      </c>
      <c r="V14368" t="s">
        <v>32930</v>
      </c>
      <c r="W14368" t="s">
        <v>32931</v>
      </c>
      <c r="X14368" t="s">
        <v>42</v>
      </c>
      <c r="Y14368" t="s">
        <v>17171</v>
      </c>
      <c r="Z14368" t="s">
        <v>13441</v>
      </c>
      <c r="AA14368" s="22" t="str">
        <f>HYPERLINK("https://www.ncbi.nlm.nih.gov/nuccore/FR851461,FR851462","NCBI Nucleotide")</f>
        <v>NCBI Nucleotide</v>
      </c>
    </row>
    <row r="14369" spans="1:27" x14ac:dyDescent="0.35">
      <c r="A14369">
        <v>1002705</v>
      </c>
      <c r="B14369">
        <v>12949</v>
      </c>
      <c r="C14369">
        <v>1</v>
      </c>
      <c r="D14369" t="s">
        <v>17166</v>
      </c>
      <c r="F14369" t="s">
        <v>17246</v>
      </c>
      <c r="H14369" t="s">
        <v>28921</v>
      </c>
      <c r="J14369" t="s">
        <v>29538</v>
      </c>
      <c r="L14369" t="s">
        <v>30198</v>
      </c>
      <c r="N14369" t="s">
        <v>32649</v>
      </c>
      <c r="O14369" t="s">
        <v>32808</v>
      </c>
      <c r="P14369" t="s">
        <v>32899</v>
      </c>
      <c r="R14369" s="26" t="str">
        <f>HYPERLINK("https://ictv.global/taxonomy/taxondetails?taxnode_id=202302102","Nepovirus betae")</f>
        <v>Nepovirus betae</v>
      </c>
      <c r="S14369" t="s">
        <v>30</v>
      </c>
      <c r="T14369" t="s">
        <v>32932</v>
      </c>
      <c r="U14369" t="s">
        <v>25241</v>
      </c>
      <c r="V14369" t="s">
        <v>18017</v>
      </c>
      <c r="W14369" t="s">
        <v>32933</v>
      </c>
      <c r="X14369" t="s">
        <v>42</v>
      </c>
      <c r="Y14369" t="s">
        <v>17171</v>
      </c>
      <c r="Z14369" t="s">
        <v>13441</v>
      </c>
      <c r="AA14369" s="22" t="str">
        <f>HYPERLINK("https://www.ncbi.nlm.nih.gov/nuccore/D00322,X04062","NCBI Nucleotide")</f>
        <v>NCBI Nucleotide</v>
      </c>
    </row>
    <row r="14370" spans="1:27" x14ac:dyDescent="0.35">
      <c r="A14370">
        <v>1002706</v>
      </c>
      <c r="B14370">
        <v>12950</v>
      </c>
      <c r="C14370">
        <v>1</v>
      </c>
      <c r="D14370" t="s">
        <v>17166</v>
      </c>
      <c r="F14370" t="s">
        <v>17246</v>
      </c>
      <c r="H14370" t="s">
        <v>28921</v>
      </c>
      <c r="J14370" t="s">
        <v>29538</v>
      </c>
      <c r="L14370" t="s">
        <v>30198</v>
      </c>
      <c r="N14370" t="s">
        <v>32649</v>
      </c>
      <c r="O14370" t="s">
        <v>32808</v>
      </c>
      <c r="P14370" t="s">
        <v>32899</v>
      </c>
      <c r="R14370" s="26" t="str">
        <f>HYPERLINK("https://ictv.global/taxonomy/taxondetails?taxnode_id=202305628","Nepovirus betasolani")</f>
        <v>Nepovirus betasolani</v>
      </c>
      <c r="S14370" t="s">
        <v>30</v>
      </c>
      <c r="T14370" t="s">
        <v>32934</v>
      </c>
      <c r="U14370" t="s">
        <v>32935</v>
      </c>
      <c r="V14370" t="s">
        <v>32936</v>
      </c>
      <c r="W14370" t="s">
        <v>32937</v>
      </c>
      <c r="X14370" t="s">
        <v>42</v>
      </c>
      <c r="Y14370" t="s">
        <v>17171</v>
      </c>
      <c r="Z14370" t="s">
        <v>13441</v>
      </c>
      <c r="AA14370" s="22" t="str">
        <f>HYPERLINK("https://www.ncbi.nlm.nih.gov/nuccore/KX656670,KX656671","NCBI Nucleotide")</f>
        <v>NCBI Nucleotide</v>
      </c>
    </row>
    <row r="14371" spans="1:27" x14ac:dyDescent="0.35">
      <c r="A14371">
        <v>1011914</v>
      </c>
      <c r="B14371">
        <v>12950</v>
      </c>
      <c r="C14371">
        <v>2</v>
      </c>
      <c r="D14371" t="s">
        <v>17166</v>
      </c>
      <c r="F14371" t="s">
        <v>17246</v>
      </c>
      <c r="H14371" t="s">
        <v>28921</v>
      </c>
      <c r="J14371" t="s">
        <v>29538</v>
      </c>
      <c r="L14371" t="s">
        <v>30198</v>
      </c>
      <c r="N14371" t="s">
        <v>32649</v>
      </c>
      <c r="O14371" t="s">
        <v>32808</v>
      </c>
      <c r="P14371" t="s">
        <v>32899</v>
      </c>
      <c r="R14371" s="26" t="str">
        <f>HYPERLINK("https://ictv.global/taxonomy/taxondetails?taxnode_id=202305628","Nepovirus betasolani")</f>
        <v>Nepovirus betasolani</v>
      </c>
      <c r="S14371" t="s">
        <v>8141</v>
      </c>
      <c r="T14371" t="s">
        <v>32934</v>
      </c>
      <c r="U14371" t="s">
        <v>32935</v>
      </c>
      <c r="V14371" t="s">
        <v>32938</v>
      </c>
      <c r="W14371" t="s">
        <v>50109</v>
      </c>
      <c r="X14371" t="s">
        <v>154</v>
      </c>
      <c r="Y14371" t="s">
        <v>17171</v>
      </c>
      <c r="Z14371" t="s">
        <v>13441</v>
      </c>
      <c r="AA14371" s="22" t="str">
        <f>HYPERLINK("https://www.ncbi.nlm.nih.gov/nuccore/MT521733","NCBI Nucleotide")</f>
        <v>NCBI Nucleotide</v>
      </c>
    </row>
    <row r="14372" spans="1:27" x14ac:dyDescent="0.35">
      <c r="A14372">
        <v>1002707</v>
      </c>
      <c r="B14372">
        <v>12951</v>
      </c>
      <c r="C14372">
        <v>1</v>
      </c>
      <c r="D14372" t="s">
        <v>17166</v>
      </c>
      <c r="F14372" t="s">
        <v>17246</v>
      </c>
      <c r="H14372" t="s">
        <v>28921</v>
      </c>
      <c r="J14372" t="s">
        <v>29538</v>
      </c>
      <c r="L14372" t="s">
        <v>30198</v>
      </c>
      <c r="N14372" t="s">
        <v>32649</v>
      </c>
      <c r="O14372" t="s">
        <v>32808</v>
      </c>
      <c r="P14372" t="s">
        <v>32899</v>
      </c>
      <c r="R14372" s="26" t="str">
        <f>HYPERLINK("https://ictv.global/taxonomy/taxondetails?taxnode_id=202302114","Nepovirus bulgariense")</f>
        <v>Nepovirus bulgariense</v>
      </c>
      <c r="S14372" t="s">
        <v>30</v>
      </c>
      <c r="T14372" t="s">
        <v>32939</v>
      </c>
      <c r="U14372" t="s">
        <v>25697</v>
      </c>
      <c r="V14372" t="s">
        <v>32940</v>
      </c>
      <c r="W14372" t="s">
        <v>32941</v>
      </c>
      <c r="X14372" t="s">
        <v>42</v>
      </c>
      <c r="Y14372" t="s">
        <v>17171</v>
      </c>
      <c r="Z14372" t="s">
        <v>13441</v>
      </c>
      <c r="AA14372" s="22" t="str">
        <f>HYPERLINK("https://www.ncbi.nlm.nih.gov/nuccore/FN691934,FN691935","NCBI Nucleotide")</f>
        <v>NCBI Nucleotide</v>
      </c>
    </row>
    <row r="14373" spans="1:27" x14ac:dyDescent="0.35">
      <c r="A14373">
        <v>1002708</v>
      </c>
      <c r="B14373">
        <v>12952</v>
      </c>
      <c r="C14373">
        <v>1</v>
      </c>
      <c r="D14373" t="s">
        <v>17166</v>
      </c>
      <c r="F14373" t="s">
        <v>17246</v>
      </c>
      <c r="H14373" t="s">
        <v>28921</v>
      </c>
      <c r="J14373" t="s">
        <v>29538</v>
      </c>
      <c r="L14373" t="s">
        <v>30198</v>
      </c>
      <c r="N14373" t="s">
        <v>32649</v>
      </c>
      <c r="O14373" t="s">
        <v>32808</v>
      </c>
      <c r="P14373" t="s">
        <v>32899</v>
      </c>
      <c r="R14373" s="26" t="str">
        <f>HYPERLINK("https://ictv.global/taxonomy/taxondetails?taxnode_id=202312972","Nepovirus cari")</f>
        <v>Nepovirus cari</v>
      </c>
      <c r="S14373" t="s">
        <v>30</v>
      </c>
      <c r="T14373" t="s">
        <v>32942</v>
      </c>
      <c r="U14373" t="s">
        <v>32943</v>
      </c>
      <c r="V14373" t="s">
        <v>32944</v>
      </c>
      <c r="W14373" t="s">
        <v>32945</v>
      </c>
      <c r="X14373" t="s">
        <v>42</v>
      </c>
      <c r="Y14373" t="s">
        <v>17171</v>
      </c>
      <c r="Z14373" t="s">
        <v>13441</v>
      </c>
      <c r="AA14373" s="22" t="str">
        <f>HYPERLINK("https://www.ncbi.nlm.nih.gov/nuccore/MK492273,MK492274","NCBI Nucleotide")</f>
        <v>NCBI Nucleotide</v>
      </c>
    </row>
    <row r="14374" spans="1:27" x14ac:dyDescent="0.35">
      <c r="A14374">
        <v>1026587</v>
      </c>
      <c r="B14374">
        <v>12953</v>
      </c>
      <c r="C14374">
        <v>1</v>
      </c>
      <c r="D14374" t="s">
        <v>17166</v>
      </c>
      <c r="F14374" t="s">
        <v>17246</v>
      </c>
      <c r="H14374" t="s">
        <v>28921</v>
      </c>
      <c r="J14374" t="s">
        <v>29538</v>
      </c>
      <c r="L14374" t="s">
        <v>30198</v>
      </c>
      <c r="N14374" t="s">
        <v>32649</v>
      </c>
      <c r="O14374" t="s">
        <v>32808</v>
      </c>
      <c r="P14374" t="s">
        <v>32899</v>
      </c>
      <c r="R14374" s="26" t="str">
        <f>HYPERLINK("https://ictv.global/taxonomy/taxondetails?taxnode_id=202318383","Nepovirus carolinense")</f>
        <v>Nepovirus carolinense</v>
      </c>
      <c r="S14374" t="s">
        <v>30</v>
      </c>
      <c r="T14374" t="s">
        <v>47306</v>
      </c>
      <c r="U14374" t="s">
        <v>47307</v>
      </c>
      <c r="V14374" t="s">
        <v>47308</v>
      </c>
      <c r="W14374" t="s">
        <v>47309</v>
      </c>
      <c r="X14374" t="s">
        <v>42</v>
      </c>
      <c r="Y14374" t="s">
        <v>17171</v>
      </c>
      <c r="Z14374" t="s">
        <v>13441</v>
      </c>
      <c r="AA14374" s="22" t="str">
        <f>HYPERLINK("https://www.ncbi.nlm.nih.gov/nuccore/OP292294,OP292295","NCBI Nucleotide")</f>
        <v>NCBI Nucleotide</v>
      </c>
    </row>
    <row r="14375" spans="1:27" x14ac:dyDescent="0.35">
      <c r="A14375">
        <v>1002709</v>
      </c>
      <c r="B14375">
        <v>12954</v>
      </c>
      <c r="C14375">
        <v>1</v>
      </c>
      <c r="D14375" t="s">
        <v>17166</v>
      </c>
      <c r="F14375" t="s">
        <v>17246</v>
      </c>
      <c r="H14375" t="s">
        <v>28921</v>
      </c>
      <c r="J14375" t="s">
        <v>29538</v>
      </c>
      <c r="L14375" t="s">
        <v>30198</v>
      </c>
      <c r="N14375" t="s">
        <v>32649</v>
      </c>
      <c r="O14375" t="s">
        <v>32808</v>
      </c>
      <c r="P14375" t="s">
        <v>32899</v>
      </c>
      <c r="R14375" s="26" t="str">
        <f>HYPERLINK("https://ictv.global/taxonomy/taxondetails?taxnode_id=202302124","Nepovirus cerasiferae")</f>
        <v>Nepovirus cerasiferae</v>
      </c>
      <c r="S14375" t="s">
        <v>30</v>
      </c>
      <c r="T14375" t="s">
        <v>32946</v>
      </c>
      <c r="U14375" t="s">
        <v>32947</v>
      </c>
      <c r="V14375" t="s">
        <v>32948</v>
      </c>
      <c r="X14375" t="s">
        <v>3311</v>
      </c>
      <c r="Y14375" t="s">
        <v>17171</v>
      </c>
      <c r="Z14375" t="s">
        <v>13441</v>
      </c>
    </row>
    <row r="14376" spans="1:27" x14ac:dyDescent="0.35">
      <c r="A14376">
        <v>1002710</v>
      </c>
      <c r="B14376">
        <v>12955</v>
      </c>
      <c r="C14376">
        <v>1</v>
      </c>
      <c r="D14376" t="s">
        <v>17166</v>
      </c>
      <c r="F14376" t="s">
        <v>17246</v>
      </c>
      <c r="H14376" t="s">
        <v>28921</v>
      </c>
      <c r="J14376" t="s">
        <v>29538</v>
      </c>
      <c r="L14376" t="s">
        <v>30198</v>
      </c>
      <c r="N14376" t="s">
        <v>32649</v>
      </c>
      <c r="O14376" t="s">
        <v>32808</v>
      </c>
      <c r="P14376" t="s">
        <v>32899</v>
      </c>
      <c r="R14376" s="26" t="str">
        <f>HYPERLINK("https://ictv.global/taxonomy/taxondetails?taxnode_id=202302115","Nepovirus chromusivum")</f>
        <v>Nepovirus chromusivum</v>
      </c>
      <c r="S14376" t="s">
        <v>30</v>
      </c>
      <c r="T14376" t="s">
        <v>32949</v>
      </c>
      <c r="U14376" t="s">
        <v>32950</v>
      </c>
      <c r="V14376" t="s">
        <v>32951</v>
      </c>
      <c r="W14376" t="s">
        <v>50739</v>
      </c>
      <c r="X14376" t="s">
        <v>42</v>
      </c>
      <c r="Y14376" t="s">
        <v>17171</v>
      </c>
      <c r="Z14376" t="s">
        <v>13441</v>
      </c>
      <c r="AA14376" s="22" t="str">
        <f>HYPERLINK("https://www.ncbi.nlm.nih.gov/nuccore/X15346,X15163","NCBI Nucleotide")</f>
        <v>NCBI Nucleotide</v>
      </c>
    </row>
    <row r="14377" spans="1:27" x14ac:dyDescent="0.35">
      <c r="A14377">
        <v>1002711</v>
      </c>
      <c r="B14377">
        <v>12956</v>
      </c>
      <c r="C14377">
        <v>1</v>
      </c>
      <c r="D14377" t="s">
        <v>17166</v>
      </c>
      <c r="F14377" t="s">
        <v>17246</v>
      </c>
      <c r="H14377" t="s">
        <v>28921</v>
      </c>
      <c r="J14377" t="s">
        <v>29538</v>
      </c>
      <c r="L14377" t="s">
        <v>30198</v>
      </c>
      <c r="N14377" t="s">
        <v>32649</v>
      </c>
      <c r="O14377" t="s">
        <v>32808</v>
      </c>
      <c r="P14377" t="s">
        <v>32899</v>
      </c>
      <c r="R14377" s="26" t="str">
        <f>HYPERLINK("https://ictv.global/taxonomy/taxondetails?taxnode_id=202302109","Nepovirus cichorii")</f>
        <v>Nepovirus cichorii</v>
      </c>
      <c r="S14377" t="s">
        <v>30</v>
      </c>
      <c r="T14377" t="s">
        <v>32952</v>
      </c>
      <c r="U14377" t="s">
        <v>32953</v>
      </c>
      <c r="V14377" t="s">
        <v>32954</v>
      </c>
      <c r="X14377" t="s">
        <v>3311</v>
      </c>
      <c r="Y14377" t="s">
        <v>17171</v>
      </c>
      <c r="Z14377" t="s">
        <v>13441</v>
      </c>
    </row>
    <row r="14378" spans="1:27" x14ac:dyDescent="0.35">
      <c r="A14378">
        <v>1002712</v>
      </c>
      <c r="B14378">
        <v>12957</v>
      </c>
      <c r="C14378">
        <v>1</v>
      </c>
      <c r="D14378" t="s">
        <v>17166</v>
      </c>
      <c r="F14378" t="s">
        <v>17246</v>
      </c>
      <c r="H14378" t="s">
        <v>28921</v>
      </c>
      <c r="J14378" t="s">
        <v>29538</v>
      </c>
      <c r="L14378" t="s">
        <v>30198</v>
      </c>
      <c r="N14378" t="s">
        <v>32649</v>
      </c>
      <c r="O14378" t="s">
        <v>32808</v>
      </c>
      <c r="P14378" t="s">
        <v>32899</v>
      </c>
      <c r="R14378" s="26" t="str">
        <f>HYPERLINK("https://ictv.global/taxonomy/taxondetails?taxnode_id=202302121","Nepovirus cucumis")</f>
        <v>Nepovirus cucumis</v>
      </c>
      <c r="S14378" t="s">
        <v>30</v>
      </c>
      <c r="T14378" t="s">
        <v>32955</v>
      </c>
      <c r="U14378" t="s">
        <v>32956</v>
      </c>
      <c r="V14378" t="s">
        <v>32957</v>
      </c>
      <c r="W14378" t="s">
        <v>32958</v>
      </c>
      <c r="X14378" t="s">
        <v>42</v>
      </c>
      <c r="Y14378" t="s">
        <v>17171</v>
      </c>
      <c r="Z14378" t="s">
        <v>13441</v>
      </c>
      <c r="AA14378" s="22" t="str">
        <f>HYPERLINK("https://www.ncbi.nlm.nih.gov/nuccore/AB518485,AB518486","NCBI Nucleotide")</f>
        <v>NCBI Nucleotide</v>
      </c>
    </row>
    <row r="14379" spans="1:27" x14ac:dyDescent="0.35">
      <c r="A14379">
        <v>1002713</v>
      </c>
      <c r="B14379">
        <v>12958</v>
      </c>
      <c r="C14379">
        <v>1</v>
      </c>
      <c r="D14379" t="s">
        <v>17166</v>
      </c>
      <c r="F14379" t="s">
        <v>17246</v>
      </c>
      <c r="H14379" t="s">
        <v>28921</v>
      </c>
      <c r="J14379" t="s">
        <v>29538</v>
      </c>
      <c r="L14379" t="s">
        <v>30198</v>
      </c>
      <c r="N14379" t="s">
        <v>32649</v>
      </c>
      <c r="O14379" t="s">
        <v>32808</v>
      </c>
      <c r="P14379" t="s">
        <v>32899</v>
      </c>
      <c r="R14379" s="26" t="str">
        <f>HYPERLINK("https://ictv.global/taxonomy/taxondetails?taxnode_id=202302112","Nepovirus cycas")</f>
        <v>Nepovirus cycas</v>
      </c>
      <c r="S14379" t="s">
        <v>30</v>
      </c>
      <c r="T14379" t="s">
        <v>32959</v>
      </c>
      <c r="U14379" t="s">
        <v>32960</v>
      </c>
      <c r="V14379" t="s">
        <v>32961</v>
      </c>
      <c r="W14379" t="s">
        <v>32962</v>
      </c>
      <c r="X14379" t="s">
        <v>35</v>
      </c>
      <c r="Y14379" t="s">
        <v>17171</v>
      </c>
      <c r="Z14379" t="s">
        <v>13441</v>
      </c>
      <c r="AA14379" s="22" t="str">
        <f>HYPERLINK("https://www.ncbi.nlm.nih.gov/nuccore/AB073147,AB073148","NCBI Nucleotide")</f>
        <v>NCBI Nucleotide</v>
      </c>
    </row>
    <row r="14380" spans="1:27" x14ac:dyDescent="0.35">
      <c r="A14380">
        <v>1002714</v>
      </c>
      <c r="B14380">
        <v>12959</v>
      </c>
      <c r="C14380">
        <v>1</v>
      </c>
      <c r="D14380" t="s">
        <v>17166</v>
      </c>
      <c r="F14380" t="s">
        <v>17246</v>
      </c>
      <c r="H14380" t="s">
        <v>28921</v>
      </c>
      <c r="J14380" t="s">
        <v>29538</v>
      </c>
      <c r="L14380" t="s">
        <v>30198</v>
      </c>
      <c r="N14380" t="s">
        <v>32649</v>
      </c>
      <c r="O14380" t="s">
        <v>32808</v>
      </c>
      <c r="P14380" t="s">
        <v>32899</v>
      </c>
      <c r="R14380" s="26" t="str">
        <f>HYPERLINK("https://ictv.global/taxonomy/taxondetails?taxnode_id=202302101","Nepovirus cynarae")</f>
        <v>Nepovirus cynarae</v>
      </c>
      <c r="S14380" t="s">
        <v>30</v>
      </c>
      <c r="T14380" t="s">
        <v>32963</v>
      </c>
      <c r="U14380" t="s">
        <v>32964</v>
      </c>
      <c r="V14380" t="s">
        <v>32965</v>
      </c>
      <c r="W14380" t="s">
        <v>32966</v>
      </c>
      <c r="X14380" t="s">
        <v>154</v>
      </c>
      <c r="Y14380" t="s">
        <v>17171</v>
      </c>
      <c r="Z14380" t="s">
        <v>13441</v>
      </c>
      <c r="AA14380" s="22" t="str">
        <f>HYPERLINK("https://www.ncbi.nlm.nih.gov/nuccore/AM087671","NCBI Nucleotide")</f>
        <v>NCBI Nucleotide</v>
      </c>
    </row>
    <row r="14381" spans="1:27" x14ac:dyDescent="0.35">
      <c r="A14381">
        <v>1002715</v>
      </c>
      <c r="B14381">
        <v>12960</v>
      </c>
      <c r="C14381">
        <v>1</v>
      </c>
      <c r="D14381" t="s">
        <v>17166</v>
      </c>
      <c r="F14381" t="s">
        <v>17246</v>
      </c>
      <c r="H14381" t="s">
        <v>28921</v>
      </c>
      <c r="J14381" t="s">
        <v>29538</v>
      </c>
      <c r="L14381" t="s">
        <v>30198</v>
      </c>
      <c r="N14381" t="s">
        <v>32649</v>
      </c>
      <c r="O14381" t="s">
        <v>32808</v>
      </c>
      <c r="P14381" t="s">
        <v>32899</v>
      </c>
      <c r="R14381" s="26" t="str">
        <f>HYPERLINK("https://ictv.global/taxonomy/taxondetails?taxnode_id=202302116","Nepovirus deformationis")</f>
        <v>Nepovirus deformationis</v>
      </c>
      <c r="S14381" t="s">
        <v>30</v>
      </c>
      <c r="T14381" t="s">
        <v>32967</v>
      </c>
      <c r="U14381" t="s">
        <v>32968</v>
      </c>
      <c r="V14381" t="s">
        <v>32969</v>
      </c>
      <c r="W14381" t="s">
        <v>50740</v>
      </c>
      <c r="X14381" t="s">
        <v>42</v>
      </c>
      <c r="Y14381" t="s">
        <v>17171</v>
      </c>
      <c r="Z14381" t="s">
        <v>13441</v>
      </c>
      <c r="AA14381" s="22" t="str">
        <f>HYPERLINK("https://www.ncbi.nlm.nih.gov/nuccore/HE613269,AY291208","NCBI Nucleotide")</f>
        <v>NCBI Nucleotide</v>
      </c>
    </row>
    <row r="14382" spans="1:27" x14ac:dyDescent="0.35">
      <c r="A14382">
        <v>1002716</v>
      </c>
      <c r="B14382">
        <v>12961</v>
      </c>
      <c r="C14382">
        <v>1</v>
      </c>
      <c r="D14382" t="s">
        <v>17166</v>
      </c>
      <c r="F14382" t="s">
        <v>17246</v>
      </c>
      <c r="H14382" t="s">
        <v>28921</v>
      </c>
      <c r="J14382" t="s">
        <v>29538</v>
      </c>
      <c r="L14382" t="s">
        <v>30198</v>
      </c>
      <c r="N14382" t="s">
        <v>32649</v>
      </c>
      <c r="O14382" t="s">
        <v>32808</v>
      </c>
      <c r="P14382" t="s">
        <v>32899</v>
      </c>
      <c r="R14382" s="26" t="str">
        <f>HYPERLINK("https://ictv.global/taxonomy/taxondetails?taxnode_id=202302117","Nepovirus foliumflabelli")</f>
        <v>Nepovirus foliumflabelli</v>
      </c>
      <c r="S14382" t="s">
        <v>30</v>
      </c>
      <c r="T14382" t="s">
        <v>32970</v>
      </c>
      <c r="U14382" t="s">
        <v>32971</v>
      </c>
      <c r="V14382" t="s">
        <v>24182</v>
      </c>
      <c r="W14382" t="s">
        <v>32972</v>
      </c>
      <c r="X14382" t="s">
        <v>42</v>
      </c>
      <c r="Y14382" t="s">
        <v>17171</v>
      </c>
      <c r="Z14382" t="s">
        <v>13441</v>
      </c>
      <c r="AA14382" s="22" t="str">
        <f>HYPERLINK("https://www.ncbi.nlm.nih.gov/nuccore/D00915,X16907","NCBI Nucleotide")</f>
        <v>NCBI Nucleotide</v>
      </c>
    </row>
    <row r="14383" spans="1:27" x14ac:dyDescent="0.35">
      <c r="A14383">
        <v>1026588</v>
      </c>
      <c r="B14383">
        <v>12962</v>
      </c>
      <c r="C14383">
        <v>1</v>
      </c>
      <c r="D14383" t="s">
        <v>17166</v>
      </c>
      <c r="F14383" t="s">
        <v>17246</v>
      </c>
      <c r="H14383" t="s">
        <v>28921</v>
      </c>
      <c r="J14383" t="s">
        <v>29538</v>
      </c>
      <c r="L14383" t="s">
        <v>30198</v>
      </c>
      <c r="N14383" t="s">
        <v>32649</v>
      </c>
      <c r="O14383" t="s">
        <v>32808</v>
      </c>
      <c r="P14383" t="s">
        <v>32899</v>
      </c>
      <c r="R14383" s="26" t="str">
        <f>HYPERLINK("https://ictv.global/taxonomy/taxondetails?taxnode_id=202318384","Nepovirus fontinalis")</f>
        <v>Nepovirus fontinalis</v>
      </c>
      <c r="S14383" t="s">
        <v>30</v>
      </c>
      <c r="T14383" t="s">
        <v>47310</v>
      </c>
      <c r="U14383" t="s">
        <v>47311</v>
      </c>
      <c r="V14383" t="s">
        <v>47312</v>
      </c>
      <c r="W14383" t="s">
        <v>47313</v>
      </c>
      <c r="X14383" t="s">
        <v>35</v>
      </c>
      <c r="Y14383" t="s">
        <v>17171</v>
      </c>
      <c r="Z14383" t="s">
        <v>13441</v>
      </c>
      <c r="AA14383" s="22" t="str">
        <f>HYPERLINK("https://www.ncbi.nlm.nih.gov/nuccore/OX380383,OX380442","NCBI Nucleotide")</f>
        <v>NCBI Nucleotide</v>
      </c>
    </row>
    <row r="14384" spans="1:27" x14ac:dyDescent="0.35">
      <c r="A14384">
        <v>1002717</v>
      </c>
      <c r="B14384">
        <v>12963</v>
      </c>
      <c r="C14384">
        <v>1</v>
      </c>
      <c r="D14384" t="s">
        <v>17166</v>
      </c>
      <c r="F14384" t="s">
        <v>17246</v>
      </c>
      <c r="H14384" t="s">
        <v>28921</v>
      </c>
      <c r="J14384" t="s">
        <v>29538</v>
      </c>
      <c r="L14384" t="s">
        <v>30198</v>
      </c>
      <c r="N14384" t="s">
        <v>32649</v>
      </c>
      <c r="O14384" t="s">
        <v>32808</v>
      </c>
      <c r="P14384" t="s">
        <v>32899</v>
      </c>
      <c r="R14384" s="26" t="str">
        <f>HYPERLINK("https://ictv.global/taxonomy/taxondetails?taxnode_id=202305629","Nepovirus glycinis")</f>
        <v>Nepovirus glycinis</v>
      </c>
      <c r="S14384" t="s">
        <v>30</v>
      </c>
      <c r="T14384" t="s">
        <v>32973</v>
      </c>
      <c r="U14384" t="s">
        <v>32974</v>
      </c>
      <c r="V14384" t="s">
        <v>32975</v>
      </c>
      <c r="W14384" t="s">
        <v>32976</v>
      </c>
      <c r="X14384" t="s">
        <v>42</v>
      </c>
      <c r="Y14384" t="s">
        <v>17171</v>
      </c>
      <c r="Z14384" t="s">
        <v>13441</v>
      </c>
      <c r="AA14384" s="22" t="str">
        <f>HYPERLINK("https://www.ncbi.nlm.nih.gov/nuccore/KX424571,KX424572","NCBI Nucleotide")</f>
        <v>NCBI Nucleotide</v>
      </c>
    </row>
    <row r="14385" spans="1:27" x14ac:dyDescent="0.35">
      <c r="A14385">
        <v>1002718</v>
      </c>
      <c r="B14385">
        <v>12964</v>
      </c>
      <c r="C14385">
        <v>1</v>
      </c>
      <c r="D14385" t="s">
        <v>17166</v>
      </c>
      <c r="F14385" t="s">
        <v>17246</v>
      </c>
      <c r="H14385" t="s">
        <v>28921</v>
      </c>
      <c r="J14385" t="s">
        <v>29538</v>
      </c>
      <c r="L14385" t="s">
        <v>30198</v>
      </c>
      <c r="N14385" t="s">
        <v>32649</v>
      </c>
      <c r="O14385" t="s">
        <v>32808</v>
      </c>
      <c r="P14385" t="s">
        <v>32899</v>
      </c>
      <c r="R14385" s="26" t="str">
        <f>HYPERLINK("https://ictv.global/taxonomy/taxondetails?taxnode_id=202302119","Nepovirus hibisci")</f>
        <v>Nepovirus hibisci</v>
      </c>
      <c r="S14385" t="s">
        <v>30</v>
      </c>
      <c r="T14385" t="s">
        <v>32977</v>
      </c>
      <c r="U14385" t="s">
        <v>32978</v>
      </c>
      <c r="V14385" t="s">
        <v>32979</v>
      </c>
      <c r="X14385" t="s">
        <v>3311</v>
      </c>
      <c r="Y14385" t="s">
        <v>17171</v>
      </c>
      <c r="Z14385" t="s">
        <v>13441</v>
      </c>
    </row>
    <row r="14386" spans="1:27" x14ac:dyDescent="0.35">
      <c r="A14386">
        <v>1002719</v>
      </c>
      <c r="B14386">
        <v>12965</v>
      </c>
      <c r="C14386">
        <v>1</v>
      </c>
      <c r="D14386" t="s">
        <v>17166</v>
      </c>
      <c r="F14386" t="s">
        <v>17246</v>
      </c>
      <c r="H14386" t="s">
        <v>28921</v>
      </c>
      <c r="J14386" t="s">
        <v>29538</v>
      </c>
      <c r="L14386" t="s">
        <v>30198</v>
      </c>
      <c r="N14386" t="s">
        <v>32649</v>
      </c>
      <c r="O14386" t="s">
        <v>32808</v>
      </c>
      <c r="P14386" t="s">
        <v>32899</v>
      </c>
      <c r="R14386" s="26" t="str">
        <f>HYPERLINK("https://ictv.global/taxonomy/taxondetails?taxnode_id=202302100","Nepovirus italiaense")</f>
        <v>Nepovirus italiaense</v>
      </c>
      <c r="S14386" t="s">
        <v>30</v>
      </c>
      <c r="T14386" t="s">
        <v>32980</v>
      </c>
      <c r="U14386" t="s">
        <v>32981</v>
      </c>
      <c r="V14386" t="s">
        <v>18166</v>
      </c>
      <c r="W14386" t="s">
        <v>32982</v>
      </c>
      <c r="X14386" t="s">
        <v>42</v>
      </c>
      <c r="Y14386" t="s">
        <v>17171</v>
      </c>
      <c r="Z14386" t="s">
        <v>13441</v>
      </c>
      <c r="AA14386" s="22" t="str">
        <f>HYPERLINK("https://www.ncbi.nlm.nih.gov/nuccore/LT608395,LT608396","NCBI Nucleotide")</f>
        <v>NCBI Nucleotide</v>
      </c>
    </row>
    <row r="14387" spans="1:27" x14ac:dyDescent="0.35">
      <c r="A14387">
        <v>1026589</v>
      </c>
      <c r="B14387">
        <v>12966</v>
      </c>
      <c r="C14387">
        <v>1</v>
      </c>
      <c r="D14387" t="s">
        <v>17166</v>
      </c>
      <c r="F14387" t="s">
        <v>17246</v>
      </c>
      <c r="H14387" t="s">
        <v>28921</v>
      </c>
      <c r="J14387" t="s">
        <v>29538</v>
      </c>
      <c r="L14387" t="s">
        <v>30198</v>
      </c>
      <c r="N14387" t="s">
        <v>32649</v>
      </c>
      <c r="O14387" t="s">
        <v>32808</v>
      </c>
      <c r="P14387" t="s">
        <v>32899</v>
      </c>
      <c r="R14387" s="26" t="str">
        <f>HYPERLINK("https://ictv.global/taxonomy/taxondetails?taxnode_id=202318385","Nepovirus lonchitis")</f>
        <v>Nepovirus lonchitis</v>
      </c>
      <c r="S14387" t="s">
        <v>30</v>
      </c>
      <c r="T14387" t="s">
        <v>47314</v>
      </c>
      <c r="U14387" t="s">
        <v>47315</v>
      </c>
      <c r="V14387" t="s">
        <v>47316</v>
      </c>
      <c r="W14387" t="s">
        <v>47317</v>
      </c>
      <c r="X14387" t="s">
        <v>35</v>
      </c>
      <c r="Y14387" t="s">
        <v>17171</v>
      </c>
      <c r="Z14387" t="s">
        <v>13441</v>
      </c>
      <c r="AA14387" s="22" t="str">
        <f>HYPERLINK("https://www.ncbi.nlm.nih.gov/nuccore/OX380481,OX380490","NCBI Nucleotide")</f>
        <v>NCBI Nucleotide</v>
      </c>
    </row>
    <row r="14388" spans="1:27" x14ac:dyDescent="0.35">
      <c r="A14388">
        <v>1002720</v>
      </c>
      <c r="B14388">
        <v>12967</v>
      </c>
      <c r="C14388">
        <v>1</v>
      </c>
      <c r="D14388" t="s">
        <v>17166</v>
      </c>
      <c r="F14388" t="s">
        <v>17246</v>
      </c>
      <c r="H14388" t="s">
        <v>28921</v>
      </c>
      <c r="J14388" t="s">
        <v>29538</v>
      </c>
      <c r="L14388" t="s">
        <v>30198</v>
      </c>
      <c r="N14388" t="s">
        <v>32649</v>
      </c>
      <c r="O14388" t="s">
        <v>32808</v>
      </c>
      <c r="P14388" t="s">
        <v>32899</v>
      </c>
      <c r="R14388" s="26" t="str">
        <f>HYPERLINK("https://ictv.global/taxonomy/taxondetails?taxnode_id=202302132","Nepovirus lycopersici")</f>
        <v>Nepovirus lycopersici</v>
      </c>
      <c r="S14388" t="s">
        <v>30</v>
      </c>
      <c r="T14388" t="s">
        <v>32983</v>
      </c>
      <c r="U14388" t="s">
        <v>32984</v>
      </c>
      <c r="V14388" t="s">
        <v>32985</v>
      </c>
      <c r="W14388" t="s">
        <v>50741</v>
      </c>
      <c r="X14388" t="s">
        <v>42</v>
      </c>
      <c r="Y14388" t="s">
        <v>17171</v>
      </c>
      <c r="Z14388" t="s">
        <v>13441</v>
      </c>
      <c r="AA14388" s="22" t="str">
        <f>HYPERLINK("https://www.ncbi.nlm.nih.gov/nuccore/L19655,D12477","NCBI Nucleotide")</f>
        <v>NCBI Nucleotide</v>
      </c>
    </row>
    <row r="14389" spans="1:27" x14ac:dyDescent="0.35">
      <c r="A14389">
        <v>1002721</v>
      </c>
      <c r="B14389">
        <v>12968</v>
      </c>
      <c r="C14389">
        <v>1</v>
      </c>
      <c r="D14389" t="s">
        <v>17166</v>
      </c>
      <c r="F14389" t="s">
        <v>17246</v>
      </c>
      <c r="H14389" t="s">
        <v>28921</v>
      </c>
      <c r="J14389" t="s">
        <v>29538</v>
      </c>
      <c r="L14389" t="s">
        <v>30198</v>
      </c>
      <c r="N14389" t="s">
        <v>32649</v>
      </c>
      <c r="O14389" t="s">
        <v>32808</v>
      </c>
      <c r="P14389" t="s">
        <v>32899</v>
      </c>
      <c r="R14389" s="26" t="str">
        <f>HYPERLINK("https://ictv.global/taxonomy/taxondetails?taxnode_id=202302123","Nepovirus maculanulatum")</f>
        <v>Nepovirus maculanulatum</v>
      </c>
      <c r="S14389" t="s">
        <v>30</v>
      </c>
      <c r="T14389" t="s">
        <v>32986</v>
      </c>
      <c r="U14389" t="s">
        <v>32987</v>
      </c>
      <c r="V14389" t="s">
        <v>32988</v>
      </c>
      <c r="X14389" t="s">
        <v>3311</v>
      </c>
      <c r="Y14389" t="s">
        <v>17171</v>
      </c>
      <c r="Z14389" t="s">
        <v>13441</v>
      </c>
    </row>
    <row r="14390" spans="1:27" x14ac:dyDescent="0.35">
      <c r="A14390">
        <v>1002722</v>
      </c>
      <c r="B14390">
        <v>12969</v>
      </c>
      <c r="C14390">
        <v>1</v>
      </c>
      <c r="D14390" t="s">
        <v>17166</v>
      </c>
      <c r="F14390" t="s">
        <v>17246</v>
      </c>
      <c r="H14390" t="s">
        <v>28921</v>
      </c>
      <c r="J14390" t="s">
        <v>29538</v>
      </c>
      <c r="L14390" t="s">
        <v>30198</v>
      </c>
      <c r="N14390" t="s">
        <v>32649</v>
      </c>
      <c r="O14390" t="s">
        <v>32808</v>
      </c>
      <c r="P14390" t="s">
        <v>32899</v>
      </c>
      <c r="R14390" s="26" t="str">
        <f>HYPERLINK("https://ictv.global/taxonomy/taxondetails?taxnode_id=202302107","Nepovirus manihotis")</f>
        <v>Nepovirus manihotis</v>
      </c>
      <c r="S14390" t="s">
        <v>30</v>
      </c>
      <c r="T14390" t="s">
        <v>32989</v>
      </c>
      <c r="U14390" t="s">
        <v>32990</v>
      </c>
      <c r="V14390" t="s">
        <v>32991</v>
      </c>
      <c r="W14390" t="s">
        <v>32992</v>
      </c>
      <c r="X14390" t="s">
        <v>154</v>
      </c>
      <c r="Y14390" t="s">
        <v>17171</v>
      </c>
      <c r="Z14390" t="s">
        <v>13441</v>
      </c>
      <c r="AA14390" s="22" t="str">
        <f>HYPERLINK("https://www.ncbi.nlm.nih.gov/nuccore/MG581962,MG581963","NCBI Nucleotide")</f>
        <v>NCBI Nucleotide</v>
      </c>
    </row>
    <row r="14391" spans="1:27" x14ac:dyDescent="0.35">
      <c r="A14391">
        <v>1002723</v>
      </c>
      <c r="B14391">
        <v>12970</v>
      </c>
      <c r="C14391">
        <v>1</v>
      </c>
      <c r="D14391" t="s">
        <v>17166</v>
      </c>
      <c r="F14391" t="s">
        <v>17246</v>
      </c>
      <c r="H14391" t="s">
        <v>28921</v>
      </c>
      <c r="J14391" t="s">
        <v>29538</v>
      </c>
      <c r="L14391" t="s">
        <v>30198</v>
      </c>
      <c r="N14391" t="s">
        <v>32649</v>
      </c>
      <c r="O14391" t="s">
        <v>32808</v>
      </c>
      <c r="P14391" t="s">
        <v>32899</v>
      </c>
      <c r="R14391" s="26" t="str">
        <f>HYPERLINK("https://ictv.global/taxonomy/taxondetails?taxnode_id=202302122","Nepovirus mori")</f>
        <v>Nepovirus mori</v>
      </c>
      <c r="S14391" t="s">
        <v>30</v>
      </c>
      <c r="T14391" t="s">
        <v>32993</v>
      </c>
      <c r="U14391" t="s">
        <v>32994</v>
      </c>
      <c r="V14391" t="s">
        <v>32995</v>
      </c>
      <c r="W14391" t="s">
        <v>32996</v>
      </c>
      <c r="X14391" t="s">
        <v>42</v>
      </c>
      <c r="Y14391" t="s">
        <v>17171</v>
      </c>
      <c r="Z14391" t="s">
        <v>13441</v>
      </c>
      <c r="AA14391" s="22" t="str">
        <f>HYPERLINK("https://www.ncbi.nlm.nih.gov/nuccore/KC904083,KC904084","NCBI Nucleotide")</f>
        <v>NCBI Nucleotide</v>
      </c>
    </row>
    <row r="14392" spans="1:27" x14ac:dyDescent="0.35">
      <c r="A14392">
        <v>1002724</v>
      </c>
      <c r="B14392">
        <v>12971</v>
      </c>
      <c r="C14392">
        <v>1</v>
      </c>
      <c r="D14392" t="s">
        <v>17166</v>
      </c>
      <c r="F14392" t="s">
        <v>17246</v>
      </c>
      <c r="H14392" t="s">
        <v>28921</v>
      </c>
      <c r="J14392" t="s">
        <v>29538</v>
      </c>
      <c r="L14392" t="s">
        <v>30198</v>
      </c>
      <c r="N14392" t="s">
        <v>32649</v>
      </c>
      <c r="O14392" t="s">
        <v>32808</v>
      </c>
      <c r="P14392" t="s">
        <v>32899</v>
      </c>
      <c r="R14392" s="26" t="str">
        <f>HYPERLINK("https://ictv.global/taxonomy/taxondetails?taxnode_id=202302105","Nepovirus myrtilli")</f>
        <v>Nepovirus myrtilli</v>
      </c>
      <c r="S14392" t="s">
        <v>30</v>
      </c>
      <c r="T14392" t="s">
        <v>32997</v>
      </c>
      <c r="U14392" t="s">
        <v>32998</v>
      </c>
      <c r="V14392" t="s">
        <v>32999</v>
      </c>
      <c r="W14392" t="s">
        <v>33000</v>
      </c>
      <c r="X14392" t="s">
        <v>42</v>
      </c>
      <c r="Y14392" t="s">
        <v>17171</v>
      </c>
      <c r="Z14392" t="s">
        <v>13441</v>
      </c>
      <c r="AA14392" s="22" t="str">
        <f>HYPERLINK("https://www.ncbi.nlm.nih.gov/nuccore/MT591564,MT591565","NCBI Nucleotide")</f>
        <v>NCBI Nucleotide</v>
      </c>
    </row>
    <row r="14393" spans="1:27" x14ac:dyDescent="0.35">
      <c r="A14393">
        <v>1002725</v>
      </c>
      <c r="B14393">
        <v>12972</v>
      </c>
      <c r="C14393">
        <v>1</v>
      </c>
      <c r="D14393" t="s">
        <v>17166</v>
      </c>
      <c r="F14393" t="s">
        <v>17246</v>
      </c>
      <c r="H14393" t="s">
        <v>28921</v>
      </c>
      <c r="J14393" t="s">
        <v>29538</v>
      </c>
      <c r="L14393" t="s">
        <v>30198</v>
      </c>
      <c r="N14393" t="s">
        <v>32649</v>
      </c>
      <c r="O14393" t="s">
        <v>32808</v>
      </c>
      <c r="P14393" t="s">
        <v>32899</v>
      </c>
      <c r="R14393" s="26" t="str">
        <f>HYPERLINK("https://ictv.global/taxonomy/taxondetails?taxnode_id=202302130","Nepovirus nicotianae")</f>
        <v>Nepovirus nicotianae</v>
      </c>
      <c r="S14393" t="s">
        <v>30</v>
      </c>
      <c r="T14393" t="s">
        <v>33001</v>
      </c>
      <c r="U14393" t="s">
        <v>33002</v>
      </c>
      <c r="V14393" t="s">
        <v>19294</v>
      </c>
      <c r="W14393" t="s">
        <v>50742</v>
      </c>
      <c r="X14393" t="s">
        <v>42</v>
      </c>
      <c r="Y14393" t="s">
        <v>17171</v>
      </c>
      <c r="Z14393" t="s">
        <v>13441</v>
      </c>
      <c r="AA14393" s="22" t="str">
        <f>HYPERLINK("https://www.ncbi.nlm.nih.gov/nuccore/U50869,AY363727","NCBI Nucleotide")</f>
        <v>NCBI Nucleotide</v>
      </c>
    </row>
    <row r="14394" spans="1:27" x14ac:dyDescent="0.35">
      <c r="A14394">
        <v>1002726</v>
      </c>
      <c r="B14394">
        <v>12973</v>
      </c>
      <c r="C14394">
        <v>1</v>
      </c>
      <c r="D14394" t="s">
        <v>17166</v>
      </c>
      <c r="F14394" t="s">
        <v>17246</v>
      </c>
      <c r="H14394" t="s">
        <v>28921</v>
      </c>
      <c r="J14394" t="s">
        <v>29538</v>
      </c>
      <c r="L14394" t="s">
        <v>30198</v>
      </c>
      <c r="N14394" t="s">
        <v>32649</v>
      </c>
      <c r="O14394" t="s">
        <v>32808</v>
      </c>
      <c r="P14394" t="s">
        <v>32899</v>
      </c>
      <c r="R14394" s="26" t="str">
        <f>HYPERLINK("https://ictv.global/taxonomy/taxondetails?taxnode_id=202302131","Nepovirus nigranuli")</f>
        <v>Nepovirus nigranuli</v>
      </c>
      <c r="S14394" t="s">
        <v>30</v>
      </c>
      <c r="T14394" t="s">
        <v>33003</v>
      </c>
      <c r="U14394" t="s">
        <v>33004</v>
      </c>
      <c r="V14394" t="s">
        <v>33005</v>
      </c>
      <c r="W14394" t="s">
        <v>33006</v>
      </c>
      <c r="X14394" t="s">
        <v>42</v>
      </c>
      <c r="Y14394" t="s">
        <v>17171</v>
      </c>
      <c r="Z14394" t="s">
        <v>13441</v>
      </c>
      <c r="AA14394" s="22" t="str">
        <f>HYPERLINK("https://www.ncbi.nlm.nih.gov/nuccore/AY157993,AY157994","NCBI Nucleotide")</f>
        <v>NCBI Nucleotide</v>
      </c>
    </row>
    <row r="14395" spans="1:27" x14ac:dyDescent="0.35">
      <c r="A14395">
        <v>1002727</v>
      </c>
      <c r="B14395">
        <v>12974</v>
      </c>
      <c r="C14395">
        <v>1</v>
      </c>
      <c r="D14395" t="s">
        <v>17166</v>
      </c>
      <c r="F14395" t="s">
        <v>17246</v>
      </c>
      <c r="H14395" t="s">
        <v>28921</v>
      </c>
      <c r="J14395" t="s">
        <v>29538</v>
      </c>
      <c r="L14395" t="s">
        <v>30198</v>
      </c>
      <c r="N14395" t="s">
        <v>32649</v>
      </c>
      <c r="O14395" t="s">
        <v>32808</v>
      </c>
      <c r="P14395" t="s">
        <v>32899</v>
      </c>
      <c r="R14395" s="26" t="str">
        <f>HYPERLINK("https://ictv.global/taxonomy/taxondetails?taxnode_id=202302125","Nepovirus oleae")</f>
        <v>Nepovirus oleae</v>
      </c>
      <c r="S14395" t="s">
        <v>30</v>
      </c>
      <c r="T14395" t="s">
        <v>33007</v>
      </c>
      <c r="U14395" t="s">
        <v>33008</v>
      </c>
      <c r="V14395" t="s">
        <v>17349</v>
      </c>
      <c r="W14395" t="s">
        <v>33009</v>
      </c>
      <c r="X14395" t="s">
        <v>154</v>
      </c>
      <c r="Y14395" t="s">
        <v>17171</v>
      </c>
      <c r="Z14395" t="s">
        <v>13441</v>
      </c>
      <c r="AA14395" s="22" t="str">
        <f>HYPERLINK("https://www.ncbi.nlm.nih.gov/nuccore/AJ277435","NCBI Nucleotide")</f>
        <v>NCBI Nucleotide</v>
      </c>
    </row>
    <row r="14396" spans="1:27" x14ac:dyDescent="0.35">
      <c r="A14396">
        <v>1002728</v>
      </c>
      <c r="B14396">
        <v>12975</v>
      </c>
      <c r="C14396">
        <v>1</v>
      </c>
      <c r="D14396" t="s">
        <v>17166</v>
      </c>
      <c r="F14396" t="s">
        <v>17246</v>
      </c>
      <c r="H14396" t="s">
        <v>28921</v>
      </c>
      <c r="J14396" t="s">
        <v>29538</v>
      </c>
      <c r="L14396" t="s">
        <v>30198</v>
      </c>
      <c r="N14396" t="s">
        <v>32649</v>
      </c>
      <c r="O14396" t="s">
        <v>32808</v>
      </c>
      <c r="P14396" t="s">
        <v>32899</v>
      </c>
      <c r="R14396" s="26" t="str">
        <f>HYPERLINK("https://ictv.global/taxonomy/taxondetails?taxnode_id=202302126","Nepovirus persicae")</f>
        <v>Nepovirus persicae</v>
      </c>
      <c r="S14396" t="s">
        <v>30</v>
      </c>
      <c r="T14396" t="s">
        <v>33010</v>
      </c>
      <c r="U14396" t="s">
        <v>33011</v>
      </c>
      <c r="V14396">
        <v>43771</v>
      </c>
      <c r="W14396" t="s">
        <v>50743</v>
      </c>
      <c r="X14396" t="s">
        <v>42</v>
      </c>
      <c r="Y14396" t="s">
        <v>17171</v>
      </c>
      <c r="Z14396" t="s">
        <v>13441</v>
      </c>
      <c r="AA14396" s="22" t="str">
        <f>HYPERLINK("https://www.ncbi.nlm.nih.gov/nuccore/KY646466,KJ572573","NCBI Nucleotide")</f>
        <v>NCBI Nucleotide</v>
      </c>
    </row>
    <row r="14397" spans="1:27" x14ac:dyDescent="0.35">
      <c r="A14397">
        <v>1002729</v>
      </c>
      <c r="B14397">
        <v>12976</v>
      </c>
      <c r="C14397">
        <v>1</v>
      </c>
      <c r="D14397" t="s">
        <v>17166</v>
      </c>
      <c r="F14397" t="s">
        <v>17246</v>
      </c>
      <c r="H14397" t="s">
        <v>28921</v>
      </c>
      <c r="J14397" t="s">
        <v>29538</v>
      </c>
      <c r="L14397" t="s">
        <v>30198</v>
      </c>
      <c r="N14397" t="s">
        <v>32649</v>
      </c>
      <c r="O14397" t="s">
        <v>32808</v>
      </c>
      <c r="P14397" t="s">
        <v>32899</v>
      </c>
      <c r="R14397" s="26" t="str">
        <f>HYPERLINK("https://ictv.global/taxonomy/taxondetails?taxnode_id=202312969","Nepovirus petuniae")</f>
        <v>Nepovirus petuniae</v>
      </c>
      <c r="S14397" t="s">
        <v>30</v>
      </c>
      <c r="T14397" t="s">
        <v>33012</v>
      </c>
      <c r="U14397" t="s">
        <v>16023</v>
      </c>
      <c r="V14397" t="s">
        <v>33013</v>
      </c>
      <c r="W14397" t="s">
        <v>33014</v>
      </c>
      <c r="X14397" t="s">
        <v>42</v>
      </c>
      <c r="Y14397" t="s">
        <v>17171</v>
      </c>
      <c r="Z14397" t="s">
        <v>13441</v>
      </c>
      <c r="AA14397" s="22" t="str">
        <f>HYPERLINK("https://www.ncbi.nlm.nih.gov/nuccore/KX812815,KX812816","NCBI Nucleotide")</f>
        <v>NCBI Nucleotide</v>
      </c>
    </row>
    <row r="14398" spans="1:27" x14ac:dyDescent="0.35">
      <c r="A14398">
        <v>1002730</v>
      </c>
      <c r="B14398">
        <v>12977</v>
      </c>
      <c r="C14398">
        <v>1</v>
      </c>
      <c r="D14398" t="s">
        <v>17166</v>
      </c>
      <c r="F14398" t="s">
        <v>17246</v>
      </c>
      <c r="H14398" t="s">
        <v>28921</v>
      </c>
      <c r="J14398" t="s">
        <v>29538</v>
      </c>
      <c r="L14398" t="s">
        <v>30198</v>
      </c>
      <c r="N14398" t="s">
        <v>32649</v>
      </c>
      <c r="O14398" t="s">
        <v>32808</v>
      </c>
      <c r="P14398" t="s">
        <v>32899</v>
      </c>
      <c r="R14398" s="26" t="str">
        <f>HYPERLINK("https://ictv.global/taxonomy/taxondetails?taxnode_id=202312970","Nepovirus poaceae")</f>
        <v>Nepovirus poaceae</v>
      </c>
      <c r="S14398" t="s">
        <v>30</v>
      </c>
      <c r="T14398" t="s">
        <v>33015</v>
      </c>
      <c r="U14398" t="s">
        <v>33016</v>
      </c>
      <c r="V14398" t="s">
        <v>33017</v>
      </c>
      <c r="W14398" t="s">
        <v>33018</v>
      </c>
      <c r="X14398" t="s">
        <v>42</v>
      </c>
      <c r="Y14398" t="s">
        <v>17171</v>
      </c>
      <c r="Z14398" t="s">
        <v>13441</v>
      </c>
      <c r="AA14398" s="22" t="str">
        <f>HYPERLINK("https://www.ncbi.nlm.nih.gov/nuccore/MW289235,MW289236","NCBI Nucleotide")</f>
        <v>NCBI Nucleotide</v>
      </c>
    </row>
    <row r="14399" spans="1:27" x14ac:dyDescent="0.35">
      <c r="A14399">
        <v>1002731</v>
      </c>
      <c r="B14399">
        <v>12978</v>
      </c>
      <c r="C14399">
        <v>1</v>
      </c>
      <c r="D14399" t="s">
        <v>17166</v>
      </c>
      <c r="F14399" t="s">
        <v>17246</v>
      </c>
      <c r="H14399" t="s">
        <v>28921</v>
      </c>
      <c r="J14399" t="s">
        <v>29538</v>
      </c>
      <c r="L14399" t="s">
        <v>30198</v>
      </c>
      <c r="N14399" t="s">
        <v>32649</v>
      </c>
      <c r="O14399" t="s">
        <v>32808</v>
      </c>
      <c r="P14399" t="s">
        <v>32899</v>
      </c>
      <c r="R14399" s="26" t="str">
        <f>HYPERLINK("https://ictv.global/taxonomy/taxondetails?taxnode_id=202312971","Nepovirus pratensis")</f>
        <v>Nepovirus pratensis</v>
      </c>
      <c r="S14399" t="s">
        <v>30</v>
      </c>
      <c r="T14399" t="s">
        <v>33019</v>
      </c>
      <c r="U14399" t="s">
        <v>33020</v>
      </c>
      <c r="V14399" t="s">
        <v>33021</v>
      </c>
      <c r="W14399" t="s">
        <v>33022</v>
      </c>
      <c r="X14399" t="s">
        <v>42</v>
      </c>
      <c r="Y14399" t="s">
        <v>17171</v>
      </c>
      <c r="Z14399" t="s">
        <v>13441</v>
      </c>
      <c r="AA14399" s="22" t="str">
        <f>HYPERLINK("https://www.ncbi.nlm.nih.gov/nuccore/MG253828,MG253829","NCBI Nucleotide")</f>
        <v>NCBI Nucleotide</v>
      </c>
    </row>
    <row r="14400" spans="1:27" x14ac:dyDescent="0.35">
      <c r="A14400">
        <v>1002732</v>
      </c>
      <c r="B14400">
        <v>12979</v>
      </c>
      <c r="C14400">
        <v>1</v>
      </c>
      <c r="D14400" t="s">
        <v>17166</v>
      </c>
      <c r="F14400" t="s">
        <v>17246</v>
      </c>
      <c r="H14400" t="s">
        <v>28921</v>
      </c>
      <c r="J14400" t="s">
        <v>29538</v>
      </c>
      <c r="L14400" t="s">
        <v>30198</v>
      </c>
      <c r="N14400" t="s">
        <v>32649</v>
      </c>
      <c r="O14400" t="s">
        <v>32808</v>
      </c>
      <c r="P14400" t="s">
        <v>32899</v>
      </c>
      <c r="R14400" s="26" t="str">
        <f>HYPERLINK("https://ictv.global/taxonomy/taxondetails?taxnode_id=202302103","Nepovirus ribis")</f>
        <v>Nepovirus ribis</v>
      </c>
      <c r="S14400" t="s">
        <v>30</v>
      </c>
      <c r="T14400" t="s">
        <v>33023</v>
      </c>
      <c r="U14400" t="s">
        <v>17912</v>
      </c>
      <c r="V14400" t="s">
        <v>33024</v>
      </c>
      <c r="W14400" t="s">
        <v>50744</v>
      </c>
      <c r="X14400" t="s">
        <v>42</v>
      </c>
      <c r="Y14400" t="s">
        <v>17171</v>
      </c>
      <c r="Z14400" t="s">
        <v>13441</v>
      </c>
      <c r="AA14400" s="22" t="str">
        <f>HYPERLINK("https://www.ncbi.nlm.nih.gov/nuccore/AF368272,AF020051","NCBI Nucleotide")</f>
        <v>NCBI Nucleotide</v>
      </c>
    </row>
    <row r="14401" spans="1:27" x14ac:dyDescent="0.35">
      <c r="A14401">
        <v>1002733</v>
      </c>
      <c r="B14401">
        <v>12980</v>
      </c>
      <c r="C14401">
        <v>1</v>
      </c>
      <c r="D14401" t="s">
        <v>17166</v>
      </c>
      <c r="F14401" t="s">
        <v>17246</v>
      </c>
      <c r="H14401" t="s">
        <v>28921</v>
      </c>
      <c r="J14401" t="s">
        <v>29538</v>
      </c>
      <c r="L14401" t="s">
        <v>30198</v>
      </c>
      <c r="N14401" t="s">
        <v>32649</v>
      </c>
      <c r="O14401" t="s">
        <v>32808</v>
      </c>
      <c r="P14401" t="s">
        <v>32899</v>
      </c>
      <c r="R14401" s="26" t="str">
        <f>HYPERLINK("https://ictv.global/taxonomy/taxondetails?taxnode_id=202302129","Nepovirus rubi")</f>
        <v>Nepovirus rubi</v>
      </c>
      <c r="S14401" t="s">
        <v>30</v>
      </c>
      <c r="T14401" t="s">
        <v>33025</v>
      </c>
      <c r="U14401" t="s">
        <v>33026</v>
      </c>
      <c r="V14401" t="s">
        <v>20810</v>
      </c>
      <c r="W14401" t="s">
        <v>33027</v>
      </c>
      <c r="X14401" t="s">
        <v>42</v>
      </c>
      <c r="Y14401" t="s">
        <v>17171</v>
      </c>
      <c r="Z14401" t="s">
        <v>13441</v>
      </c>
      <c r="AA14401" s="22" t="str">
        <f>HYPERLINK("https://www.ncbi.nlm.nih.gov/nuccore/AY303787,AY303788","NCBI Nucleotide")</f>
        <v>NCBI Nucleotide</v>
      </c>
    </row>
    <row r="14402" spans="1:27" x14ac:dyDescent="0.35">
      <c r="A14402">
        <v>1002734</v>
      </c>
      <c r="B14402">
        <v>12981</v>
      </c>
      <c r="C14402">
        <v>1</v>
      </c>
      <c r="D14402" t="s">
        <v>17166</v>
      </c>
      <c r="F14402" t="s">
        <v>17246</v>
      </c>
      <c r="H14402" t="s">
        <v>28921</v>
      </c>
      <c r="J14402" t="s">
        <v>29538</v>
      </c>
      <c r="L14402" t="s">
        <v>30198</v>
      </c>
      <c r="N14402" t="s">
        <v>32649</v>
      </c>
      <c r="O14402" t="s">
        <v>32808</v>
      </c>
      <c r="P14402" t="s">
        <v>32899</v>
      </c>
      <c r="R14402" s="26" t="str">
        <f>HYPERLINK("https://ictv.global/taxonomy/taxondetails?taxnode_id=202313816","Nepovirus sichuanense")</f>
        <v>Nepovirus sichuanense</v>
      </c>
      <c r="S14402" t="s">
        <v>30</v>
      </c>
      <c r="T14402" t="s">
        <v>33028</v>
      </c>
      <c r="U14402" t="s">
        <v>33029</v>
      </c>
      <c r="V14402" t="s">
        <v>33030</v>
      </c>
      <c r="W14402" t="s">
        <v>50854</v>
      </c>
      <c r="X14402" t="s">
        <v>42</v>
      </c>
      <c r="Y14402" t="s">
        <v>17171</v>
      </c>
      <c r="Z14402" t="s">
        <v>13441</v>
      </c>
      <c r="AA14402" s="22" t="str">
        <f>HYPERLINK("https://www.ncbi.nlm.nih.gov/nuccore/MH323435,MH323434","NCBI Nucleotide")</f>
        <v>NCBI Nucleotide</v>
      </c>
    </row>
    <row r="14403" spans="1:27" x14ac:dyDescent="0.35">
      <c r="A14403">
        <v>1002735</v>
      </c>
      <c r="B14403">
        <v>12982</v>
      </c>
      <c r="C14403">
        <v>1</v>
      </c>
      <c r="D14403" t="s">
        <v>17166</v>
      </c>
      <c r="F14403" t="s">
        <v>17246</v>
      </c>
      <c r="H14403" t="s">
        <v>28921</v>
      </c>
      <c r="J14403" t="s">
        <v>29538</v>
      </c>
      <c r="L14403" t="s">
        <v>30198</v>
      </c>
      <c r="N14403" t="s">
        <v>32649</v>
      </c>
      <c r="O14403" t="s">
        <v>32808</v>
      </c>
      <c r="P14403" t="s">
        <v>32899</v>
      </c>
      <c r="R14403" s="26" t="str">
        <f>HYPERLINK("https://ictv.global/taxonomy/taxondetails?taxnode_id=202302127","Nepovirus solani")</f>
        <v>Nepovirus solani</v>
      </c>
      <c r="S14403" t="s">
        <v>30</v>
      </c>
      <c r="T14403" t="s">
        <v>33031</v>
      </c>
      <c r="U14403" t="s">
        <v>33032</v>
      </c>
      <c r="V14403" t="s">
        <v>33033</v>
      </c>
      <c r="W14403" t="s">
        <v>33034</v>
      </c>
      <c r="X14403" t="s">
        <v>42</v>
      </c>
      <c r="Y14403" t="s">
        <v>17171</v>
      </c>
      <c r="Z14403" t="s">
        <v>13441</v>
      </c>
      <c r="AA14403" s="22" t="str">
        <f>HYPERLINK("https://www.ncbi.nlm.nih.gov/nuccore/MT922050,MT922051","NCBI Nucleotide")</f>
        <v>NCBI Nucleotide</v>
      </c>
    </row>
    <row r="14404" spans="1:27" x14ac:dyDescent="0.35">
      <c r="A14404">
        <v>1002736</v>
      </c>
      <c r="B14404">
        <v>12983</v>
      </c>
      <c r="C14404">
        <v>1</v>
      </c>
      <c r="D14404" t="s">
        <v>17166</v>
      </c>
      <c r="F14404" t="s">
        <v>17246</v>
      </c>
      <c r="H14404" t="s">
        <v>28921</v>
      </c>
      <c r="J14404" t="s">
        <v>29538</v>
      </c>
      <c r="L14404" t="s">
        <v>30198</v>
      </c>
      <c r="N14404" t="s">
        <v>32649</v>
      </c>
      <c r="O14404" t="s">
        <v>32808</v>
      </c>
      <c r="P14404" t="s">
        <v>32899</v>
      </c>
      <c r="R14404" s="26" t="str">
        <f>HYPERLINK("https://ictv.global/taxonomy/taxondetails?taxnode_id=202315092","Nepovirus stenotaphri")</f>
        <v>Nepovirus stenotaphri</v>
      </c>
      <c r="S14404" t="s">
        <v>30</v>
      </c>
      <c r="T14404" t="s">
        <v>33035</v>
      </c>
      <c r="U14404" t="s">
        <v>33036</v>
      </c>
      <c r="V14404">
        <v>5664</v>
      </c>
      <c r="W14404" t="s">
        <v>33037</v>
      </c>
      <c r="X14404" t="s">
        <v>42</v>
      </c>
      <c r="Y14404" t="s">
        <v>17171</v>
      </c>
      <c r="Z14404" t="s">
        <v>13441</v>
      </c>
      <c r="AA14404" s="22" t="str">
        <f>HYPERLINK("https://www.ncbi.nlm.nih.gov/nuccore/MZ325761,MZ325762","NCBI Nucleotide")</f>
        <v>NCBI Nucleotide</v>
      </c>
    </row>
    <row r="14405" spans="1:27" x14ac:dyDescent="0.35">
      <c r="A14405">
        <v>1002737</v>
      </c>
      <c r="B14405">
        <v>12984</v>
      </c>
      <c r="C14405">
        <v>1</v>
      </c>
      <c r="D14405" t="s">
        <v>17166</v>
      </c>
      <c r="F14405" t="s">
        <v>17246</v>
      </c>
      <c r="H14405" t="s">
        <v>28921</v>
      </c>
      <c r="J14405" t="s">
        <v>29538</v>
      </c>
      <c r="L14405" t="s">
        <v>30198</v>
      </c>
      <c r="N14405" t="s">
        <v>32649</v>
      </c>
      <c r="O14405" t="s">
        <v>32808</v>
      </c>
      <c r="P14405" t="s">
        <v>32899</v>
      </c>
      <c r="R14405" s="26" t="str">
        <f>HYPERLINK("https://ictv.global/taxonomy/taxondetails?taxnode_id=202302110","Nepovirus theobromatis")</f>
        <v>Nepovirus theobromatis</v>
      </c>
      <c r="S14405" t="s">
        <v>30</v>
      </c>
      <c r="T14405" t="s">
        <v>33038</v>
      </c>
      <c r="U14405" t="s">
        <v>33039</v>
      </c>
      <c r="V14405" t="s">
        <v>33040</v>
      </c>
      <c r="W14405" t="s">
        <v>33041</v>
      </c>
      <c r="X14405" t="s">
        <v>154</v>
      </c>
      <c r="Y14405" t="s">
        <v>17171</v>
      </c>
      <c r="Z14405" t="s">
        <v>13441</v>
      </c>
      <c r="AA14405" s="22" t="str">
        <f>HYPERLINK("https://www.ncbi.nlm.nih.gov/nuccore/EU741694","NCBI Nucleotide")</f>
        <v>NCBI Nucleotide</v>
      </c>
    </row>
    <row r="14406" spans="1:27" x14ac:dyDescent="0.35">
      <c r="A14406">
        <v>1002738</v>
      </c>
      <c r="B14406">
        <v>12985</v>
      </c>
      <c r="C14406">
        <v>1</v>
      </c>
      <c r="D14406" t="s">
        <v>17166</v>
      </c>
      <c r="F14406" t="s">
        <v>17246</v>
      </c>
      <c r="H14406" t="s">
        <v>28921</v>
      </c>
      <c r="J14406" t="s">
        <v>29538</v>
      </c>
      <c r="L14406" t="s">
        <v>30198</v>
      </c>
      <c r="N14406" t="s">
        <v>32649</v>
      </c>
      <c r="O14406" t="s">
        <v>32808</v>
      </c>
      <c r="P14406" t="s">
        <v>32899</v>
      </c>
      <c r="R14406" s="26" t="str">
        <f>HYPERLINK("https://ictv.global/taxonomy/taxondetails?taxnode_id=202302111","Nepovirus trifolii")</f>
        <v>Nepovirus trifolii</v>
      </c>
      <c r="S14406" t="s">
        <v>30</v>
      </c>
      <c r="T14406" t="s">
        <v>33042</v>
      </c>
      <c r="U14406" t="s">
        <v>28396</v>
      </c>
      <c r="X14406" t="s">
        <v>3311</v>
      </c>
      <c r="Y14406" t="s">
        <v>17171</v>
      </c>
      <c r="Z14406" t="s">
        <v>13441</v>
      </c>
    </row>
    <row r="14407" spans="1:27" x14ac:dyDescent="0.35">
      <c r="A14407">
        <v>1002739</v>
      </c>
      <c r="B14407">
        <v>12986</v>
      </c>
      <c r="C14407">
        <v>1</v>
      </c>
      <c r="D14407" t="s">
        <v>17166</v>
      </c>
      <c r="F14407" t="s">
        <v>17246</v>
      </c>
      <c r="H14407" t="s">
        <v>28921</v>
      </c>
      <c r="J14407" t="s">
        <v>29538</v>
      </c>
      <c r="L14407" t="s">
        <v>30198</v>
      </c>
      <c r="N14407" t="s">
        <v>32649</v>
      </c>
      <c r="O14407" t="s">
        <v>32808</v>
      </c>
      <c r="P14407" t="s">
        <v>32899</v>
      </c>
      <c r="R14407" s="26" t="str">
        <f>HYPERLINK("https://ictv.global/taxonomy/taxondetails?taxnode_id=202302118","Nepovirus tunisiaense")</f>
        <v>Nepovirus tunisiaense</v>
      </c>
      <c r="S14407" t="s">
        <v>30</v>
      </c>
      <c r="T14407" t="s">
        <v>33043</v>
      </c>
      <c r="U14407" t="s">
        <v>33044</v>
      </c>
      <c r="V14407" t="s">
        <v>33045</v>
      </c>
      <c r="W14407" t="s">
        <v>33046</v>
      </c>
      <c r="X14407" t="s">
        <v>154</v>
      </c>
      <c r="Y14407" t="s">
        <v>17171</v>
      </c>
      <c r="Z14407" t="s">
        <v>13441</v>
      </c>
      <c r="AA14407" s="22" t="str">
        <f>HYPERLINK("https://www.ncbi.nlm.nih.gov/nuccore/MT303062","NCBI Nucleotide")</f>
        <v>NCBI Nucleotide</v>
      </c>
    </row>
    <row r="14408" spans="1:27" x14ac:dyDescent="0.35">
      <c r="A14408">
        <v>1002740</v>
      </c>
      <c r="B14408">
        <v>12987</v>
      </c>
      <c r="C14408">
        <v>1</v>
      </c>
      <c r="D14408" t="s">
        <v>17166</v>
      </c>
      <c r="F14408" t="s">
        <v>17246</v>
      </c>
      <c r="H14408" t="s">
        <v>28921</v>
      </c>
      <c r="J14408" t="s">
        <v>29538</v>
      </c>
      <c r="L14408" t="s">
        <v>30198</v>
      </c>
      <c r="N14408" t="s">
        <v>32649</v>
      </c>
      <c r="O14408" t="s">
        <v>32808</v>
      </c>
      <c r="P14408" t="s">
        <v>32899</v>
      </c>
      <c r="R14408" s="26" t="str">
        <f>HYPERLINK("https://ictv.global/taxonomy/taxondetails?taxnode_id=202302128","Nepovirus usolani")</f>
        <v>Nepovirus usolani</v>
      </c>
      <c r="S14408" t="s">
        <v>30</v>
      </c>
      <c r="T14408" t="s">
        <v>33047</v>
      </c>
      <c r="U14408" t="s">
        <v>33048</v>
      </c>
      <c r="V14408" t="s">
        <v>33049</v>
      </c>
      <c r="W14408" t="s">
        <v>50745</v>
      </c>
      <c r="X14408" t="s">
        <v>42</v>
      </c>
      <c r="Y14408" t="s">
        <v>17171</v>
      </c>
      <c r="Z14408" t="s">
        <v>13441</v>
      </c>
      <c r="AA14408" s="22" t="str">
        <f>HYPERLINK("https://www.ncbi.nlm.nih.gov/nuccore/MH716806,MH716805","NCBI Nucleotide")</f>
        <v>NCBI Nucleotide</v>
      </c>
    </row>
    <row r="14409" spans="1:27" x14ac:dyDescent="0.35">
      <c r="A14409">
        <v>1002741</v>
      </c>
      <c r="B14409">
        <v>12988</v>
      </c>
      <c r="C14409">
        <v>1</v>
      </c>
      <c r="D14409" t="s">
        <v>17166</v>
      </c>
      <c r="F14409" t="s">
        <v>17246</v>
      </c>
      <c r="H14409" t="s">
        <v>28921</v>
      </c>
      <c r="J14409" t="s">
        <v>29538</v>
      </c>
      <c r="L14409" t="s">
        <v>30198</v>
      </c>
      <c r="N14409" t="s">
        <v>32649</v>
      </c>
      <c r="O14409" t="s">
        <v>32808</v>
      </c>
      <c r="P14409" t="s">
        <v>32899</v>
      </c>
      <c r="R14409" s="26" t="str">
        <f>HYPERLINK("https://ictv.global/taxonomy/taxondetails?taxnode_id=202302104","Nepovirus vaccinii")</f>
        <v>Nepovirus vaccinii</v>
      </c>
      <c r="S14409" t="s">
        <v>30</v>
      </c>
      <c r="T14409" t="s">
        <v>33050</v>
      </c>
      <c r="U14409" t="s">
        <v>33051</v>
      </c>
      <c r="V14409" t="s">
        <v>18119</v>
      </c>
      <c r="W14409" t="s">
        <v>33052</v>
      </c>
      <c r="X14409" t="s">
        <v>42</v>
      </c>
      <c r="Y14409" t="s">
        <v>17171</v>
      </c>
      <c r="Z14409" t="s">
        <v>13441</v>
      </c>
      <c r="AA14409" s="22" t="str">
        <f>HYPERLINK("https://www.ncbi.nlm.nih.gov/nuccore/AB649296,AB649297","NCBI Nucleotide")</f>
        <v>NCBI Nucleotide</v>
      </c>
    </row>
    <row r="14410" spans="1:27" x14ac:dyDescent="0.35">
      <c r="A14410">
        <v>1026590</v>
      </c>
      <c r="B14410">
        <v>12989</v>
      </c>
      <c r="C14410">
        <v>1</v>
      </c>
      <c r="D14410" t="s">
        <v>17166</v>
      </c>
      <c r="F14410" t="s">
        <v>17246</v>
      </c>
      <c r="H14410" t="s">
        <v>28921</v>
      </c>
      <c r="J14410" t="s">
        <v>29538</v>
      </c>
      <c r="L14410" t="s">
        <v>30198</v>
      </c>
      <c r="N14410" t="s">
        <v>32649</v>
      </c>
      <c r="O14410" t="s">
        <v>32808</v>
      </c>
      <c r="P14410" t="s">
        <v>32899</v>
      </c>
      <c r="R14410" s="26" t="str">
        <f>HYPERLINK("https://ictv.global/taxonomy/taxondetails?taxnode_id=202318386","Nepovirus vittariae")</f>
        <v>Nepovirus vittariae</v>
      </c>
      <c r="S14410" t="s">
        <v>30</v>
      </c>
      <c r="T14410" t="s">
        <v>47318</v>
      </c>
      <c r="U14410" t="s">
        <v>47319</v>
      </c>
      <c r="V14410" t="s">
        <v>47320</v>
      </c>
      <c r="W14410" t="s">
        <v>47321</v>
      </c>
      <c r="X14410" t="s">
        <v>35</v>
      </c>
      <c r="Y14410" t="s">
        <v>17171</v>
      </c>
      <c r="Z14410" t="s">
        <v>13441</v>
      </c>
      <c r="AA14410" s="22" t="str">
        <f>HYPERLINK("https://www.ncbi.nlm.nih.gov/nuccore/OX380465,OX380478","NCBI Nucleotide")</f>
        <v>NCBI Nucleotide</v>
      </c>
    </row>
    <row r="14411" spans="1:27" x14ac:dyDescent="0.35">
      <c r="A14411">
        <v>1026060</v>
      </c>
      <c r="B14411">
        <v>12990</v>
      </c>
      <c r="C14411">
        <v>1</v>
      </c>
      <c r="D14411" t="s">
        <v>17166</v>
      </c>
      <c r="F14411" t="s">
        <v>17246</v>
      </c>
      <c r="H14411" t="s">
        <v>28921</v>
      </c>
      <c r="J14411" t="s">
        <v>29538</v>
      </c>
      <c r="L14411" t="s">
        <v>30198</v>
      </c>
      <c r="N14411" t="s">
        <v>32649</v>
      </c>
      <c r="P14411" t="s">
        <v>32650</v>
      </c>
      <c r="R14411" s="26" t="str">
        <f>HYPERLINK("https://ictv.global/taxonomy/taxondetails?taxnode_id=202318390","Cheravirus alpinum")</f>
        <v>Cheravirus alpinum</v>
      </c>
      <c r="S14411" t="s">
        <v>30</v>
      </c>
      <c r="T14411" t="s">
        <v>47322</v>
      </c>
      <c r="U14411" t="s">
        <v>47323</v>
      </c>
      <c r="V14411" t="s">
        <v>47324</v>
      </c>
      <c r="W14411" t="s">
        <v>47325</v>
      </c>
      <c r="X14411" t="s">
        <v>42</v>
      </c>
      <c r="Y14411" t="s">
        <v>17171</v>
      </c>
      <c r="Z14411" t="s">
        <v>13441</v>
      </c>
      <c r="AA14411" s="22" t="str">
        <f>HYPERLINK("https://www.ncbi.nlm.nih.gov/nuccore/OP328249,OP328250","NCBI Nucleotide")</f>
        <v>NCBI Nucleotide</v>
      </c>
    </row>
    <row r="14412" spans="1:27" x14ac:dyDescent="0.35">
      <c r="A14412">
        <v>1002742</v>
      </c>
      <c r="B14412">
        <v>12991</v>
      </c>
      <c r="C14412">
        <v>1</v>
      </c>
      <c r="D14412" t="s">
        <v>17166</v>
      </c>
      <c r="F14412" t="s">
        <v>17246</v>
      </c>
      <c r="H14412" t="s">
        <v>28921</v>
      </c>
      <c r="J14412" t="s">
        <v>29538</v>
      </c>
      <c r="L14412" t="s">
        <v>30198</v>
      </c>
      <c r="N14412" t="s">
        <v>32649</v>
      </c>
      <c r="P14412" t="s">
        <v>32650</v>
      </c>
      <c r="R14412" s="26" t="str">
        <f>HYPERLINK("https://ictv.global/taxonomy/taxondetails?taxnode_id=202302136","Cheravirus arracaciae")</f>
        <v>Cheravirus arracaciae</v>
      </c>
      <c r="S14412" t="s">
        <v>30</v>
      </c>
      <c r="T14412" t="s">
        <v>32651</v>
      </c>
      <c r="U14412" t="s">
        <v>19736</v>
      </c>
      <c r="V14412" t="s">
        <v>32652</v>
      </c>
      <c r="W14412" t="s">
        <v>32653</v>
      </c>
      <c r="X14412" t="s">
        <v>42</v>
      </c>
      <c r="Y14412" t="s">
        <v>17171</v>
      </c>
      <c r="Z14412" t="s">
        <v>13441</v>
      </c>
      <c r="AA14412" s="22" t="str">
        <f>HYPERLINK("https://www.ncbi.nlm.nih.gov/nuccore/MW582785,MW582786","NCBI Nucleotide")</f>
        <v>NCBI Nucleotide</v>
      </c>
    </row>
    <row r="14413" spans="1:27" x14ac:dyDescent="0.35">
      <c r="A14413">
        <v>1011915</v>
      </c>
      <c r="B14413">
        <v>12991</v>
      </c>
      <c r="C14413">
        <v>2</v>
      </c>
      <c r="D14413" t="s">
        <v>17166</v>
      </c>
      <c r="F14413" t="s">
        <v>17246</v>
      </c>
      <c r="H14413" t="s">
        <v>28921</v>
      </c>
      <c r="J14413" t="s">
        <v>29538</v>
      </c>
      <c r="L14413" t="s">
        <v>30198</v>
      </c>
      <c r="N14413" t="s">
        <v>32649</v>
      </c>
      <c r="P14413" t="s">
        <v>32650</v>
      </c>
      <c r="R14413" s="26" t="str">
        <f>HYPERLINK("https://ictv.global/taxonomy/taxondetails?taxnode_id=202302136","Cheravirus arracaciae")</f>
        <v>Cheravirus arracaciae</v>
      </c>
      <c r="S14413" t="s">
        <v>8141</v>
      </c>
      <c r="T14413" t="s">
        <v>32651</v>
      </c>
      <c r="U14413" t="s">
        <v>19736</v>
      </c>
      <c r="V14413" t="s">
        <v>32654</v>
      </c>
      <c r="W14413" t="s">
        <v>50110</v>
      </c>
      <c r="X14413" t="s">
        <v>42</v>
      </c>
      <c r="Y14413" t="s">
        <v>17171</v>
      </c>
      <c r="Z14413" t="s">
        <v>13441</v>
      </c>
      <c r="AA14413" s="22" t="str">
        <f>HYPERLINK("https://www.ncbi.nlm.nih.gov/nuccore/JQ437415,JQ581051","NCBI Nucleotide")</f>
        <v>NCBI Nucleotide</v>
      </c>
    </row>
    <row r="14414" spans="1:27" x14ac:dyDescent="0.35">
      <c r="A14414">
        <v>1002743</v>
      </c>
      <c r="B14414">
        <v>12992</v>
      </c>
      <c r="C14414">
        <v>1</v>
      </c>
      <c r="D14414" t="s">
        <v>17166</v>
      </c>
      <c r="F14414" t="s">
        <v>17246</v>
      </c>
      <c r="H14414" t="s">
        <v>28921</v>
      </c>
      <c r="J14414" t="s">
        <v>29538</v>
      </c>
      <c r="L14414" t="s">
        <v>30198</v>
      </c>
      <c r="N14414" t="s">
        <v>32649</v>
      </c>
      <c r="P14414" t="s">
        <v>32650</v>
      </c>
      <c r="R14414" s="26" t="str">
        <f>HYPERLINK("https://ictv.global/taxonomy/taxondetails?taxnode_id=202302137","Cheravirus avii")</f>
        <v>Cheravirus avii</v>
      </c>
      <c r="S14414" t="s">
        <v>30</v>
      </c>
      <c r="T14414" t="s">
        <v>32655</v>
      </c>
      <c r="U14414" t="s">
        <v>25755</v>
      </c>
      <c r="V14414" t="s">
        <v>32656</v>
      </c>
      <c r="W14414" t="s">
        <v>32657</v>
      </c>
      <c r="X14414" t="s">
        <v>42</v>
      </c>
      <c r="Y14414" t="s">
        <v>17171</v>
      </c>
      <c r="Z14414" t="s">
        <v>13441</v>
      </c>
      <c r="AA14414" s="22" t="str">
        <f>HYPERLINK("https://www.ncbi.nlm.nih.gov/nuccore/AJ621357,AJ621358","NCBI Nucleotide")</f>
        <v>NCBI Nucleotide</v>
      </c>
    </row>
    <row r="14415" spans="1:27" x14ac:dyDescent="0.35">
      <c r="A14415">
        <v>1002744</v>
      </c>
      <c r="B14415">
        <v>12993</v>
      </c>
      <c r="C14415">
        <v>1</v>
      </c>
      <c r="D14415" t="s">
        <v>17166</v>
      </c>
      <c r="F14415" t="s">
        <v>17246</v>
      </c>
      <c r="H14415" t="s">
        <v>28921</v>
      </c>
      <c r="J14415" t="s">
        <v>29538</v>
      </c>
      <c r="L14415" t="s">
        <v>30198</v>
      </c>
      <c r="N14415" t="s">
        <v>32649</v>
      </c>
      <c r="P14415" t="s">
        <v>32650</v>
      </c>
      <c r="R14415" s="26" t="str">
        <f>HYPERLINK("https://ictv.global/taxonomy/taxondetails?taxnode_id=202302135","Cheravirus mali")</f>
        <v>Cheravirus mali</v>
      </c>
      <c r="S14415" t="s">
        <v>30</v>
      </c>
      <c r="T14415" t="s">
        <v>32658</v>
      </c>
      <c r="U14415" t="s">
        <v>32659</v>
      </c>
      <c r="V14415" t="s">
        <v>19707</v>
      </c>
      <c r="W14415" t="s">
        <v>32660</v>
      </c>
      <c r="X14415" t="s">
        <v>42</v>
      </c>
      <c r="Y14415" t="s">
        <v>17171</v>
      </c>
      <c r="Z14415" t="s">
        <v>13441</v>
      </c>
      <c r="AA14415" s="22" t="str">
        <f>HYPERLINK("https://www.ncbi.nlm.nih.gov/nuccore/AB030940,AB030941","NCBI Nucleotide")</f>
        <v>NCBI Nucleotide</v>
      </c>
    </row>
    <row r="14416" spans="1:27" x14ac:dyDescent="0.35">
      <c r="A14416">
        <v>1026061</v>
      </c>
      <c r="B14416">
        <v>12994</v>
      </c>
      <c r="C14416">
        <v>1</v>
      </c>
      <c r="D14416" t="s">
        <v>17166</v>
      </c>
      <c r="F14416" t="s">
        <v>17246</v>
      </c>
      <c r="H14416" t="s">
        <v>28921</v>
      </c>
      <c r="J14416" t="s">
        <v>29538</v>
      </c>
      <c r="L14416" t="s">
        <v>30198</v>
      </c>
      <c r="N14416" t="s">
        <v>32649</v>
      </c>
      <c r="P14416" t="s">
        <v>32650</v>
      </c>
      <c r="R14416" s="26" t="str">
        <f>HYPERLINK("https://ictv.global/taxonomy/taxondetails?taxnode_id=202318392","Cheravirus orobanchis")</f>
        <v>Cheravirus orobanchis</v>
      </c>
      <c r="S14416" t="s">
        <v>30</v>
      </c>
      <c r="T14416" t="s">
        <v>47326</v>
      </c>
      <c r="U14416" t="s">
        <v>47327</v>
      </c>
      <c r="V14416" t="s">
        <v>17234</v>
      </c>
      <c r="W14416" t="s">
        <v>47328</v>
      </c>
      <c r="X14416" t="s">
        <v>35</v>
      </c>
      <c r="Y14416" t="s">
        <v>17171</v>
      </c>
      <c r="Z14416" t="s">
        <v>13441</v>
      </c>
      <c r="AA14416" s="22" t="str">
        <f>HYPERLINK("https://www.ncbi.nlm.nih.gov/nuccore/BK061326,BK061327","NCBI Nucleotide")</f>
        <v>NCBI Nucleotide</v>
      </c>
    </row>
    <row r="14417" spans="1:27" x14ac:dyDescent="0.35">
      <c r="A14417">
        <v>1002745</v>
      </c>
      <c r="B14417">
        <v>12995</v>
      </c>
      <c r="C14417">
        <v>1</v>
      </c>
      <c r="D14417" t="s">
        <v>17166</v>
      </c>
      <c r="F14417" t="s">
        <v>17246</v>
      </c>
      <c r="H14417" t="s">
        <v>28921</v>
      </c>
      <c r="J14417" t="s">
        <v>29538</v>
      </c>
      <c r="L14417" t="s">
        <v>30198</v>
      </c>
      <c r="N14417" t="s">
        <v>32649</v>
      </c>
      <c r="P14417" t="s">
        <v>32650</v>
      </c>
      <c r="R14417" s="26" t="str">
        <f>HYPERLINK("https://ictv.global/taxonomy/taxondetails?taxnode_id=202302139","Cheravirus pruni")</f>
        <v>Cheravirus pruni</v>
      </c>
      <c r="S14417" t="s">
        <v>30</v>
      </c>
      <c r="T14417" t="s">
        <v>32661</v>
      </c>
      <c r="U14417" t="s">
        <v>32662</v>
      </c>
      <c r="V14417" t="s">
        <v>32663</v>
      </c>
      <c r="W14417" t="s">
        <v>32664</v>
      </c>
      <c r="X14417" t="s">
        <v>154</v>
      </c>
      <c r="Y14417" t="s">
        <v>17171</v>
      </c>
      <c r="Z14417" t="s">
        <v>13441</v>
      </c>
      <c r="AA14417" s="22" t="str">
        <f>HYPERLINK("https://www.ncbi.nlm.nih.gov/nuccore/DQ143874,DQ143875","NCBI Nucleotide")</f>
        <v>NCBI Nucleotide</v>
      </c>
    </row>
    <row r="14418" spans="1:27" x14ac:dyDescent="0.35">
      <c r="A14418">
        <v>1002746</v>
      </c>
      <c r="B14418">
        <v>12996</v>
      </c>
      <c r="C14418">
        <v>1</v>
      </c>
      <c r="D14418" t="s">
        <v>17166</v>
      </c>
      <c r="F14418" t="s">
        <v>17246</v>
      </c>
      <c r="H14418" t="s">
        <v>28921</v>
      </c>
      <c r="J14418" t="s">
        <v>29538</v>
      </c>
      <c r="L14418" t="s">
        <v>30198</v>
      </c>
      <c r="N14418" t="s">
        <v>32649</v>
      </c>
      <c r="P14418" t="s">
        <v>32650</v>
      </c>
      <c r="R14418" s="26" t="str">
        <f>HYPERLINK("https://ictv.global/taxonomy/taxondetails?taxnode_id=202302138","Cheravirus ribis")</f>
        <v>Cheravirus ribis</v>
      </c>
      <c r="S14418" t="s">
        <v>30</v>
      </c>
      <c r="T14418" t="s">
        <v>32665</v>
      </c>
      <c r="U14418" t="s">
        <v>32666</v>
      </c>
      <c r="V14418" t="s">
        <v>32667</v>
      </c>
      <c r="W14418" t="s">
        <v>32668</v>
      </c>
      <c r="X14418" t="s">
        <v>42</v>
      </c>
      <c r="Y14418" t="s">
        <v>17171</v>
      </c>
      <c r="Z14418" t="s">
        <v>13441</v>
      </c>
      <c r="AA14418" s="22" t="str">
        <f>HYPERLINK("https://www.ncbi.nlm.nih.gov/nuccore/KT692952,KT692953","NCBI Nucleotide")</f>
        <v>NCBI Nucleotide</v>
      </c>
    </row>
    <row r="14419" spans="1:27" x14ac:dyDescent="0.35">
      <c r="A14419">
        <v>1026062</v>
      </c>
      <c r="B14419">
        <v>12997</v>
      </c>
      <c r="C14419">
        <v>1</v>
      </c>
      <c r="D14419" t="s">
        <v>17166</v>
      </c>
      <c r="F14419" t="s">
        <v>17246</v>
      </c>
      <c r="H14419" t="s">
        <v>28921</v>
      </c>
      <c r="J14419" t="s">
        <v>29538</v>
      </c>
      <c r="L14419" t="s">
        <v>30198</v>
      </c>
      <c r="N14419" t="s">
        <v>32649</v>
      </c>
      <c r="P14419" t="s">
        <v>32650</v>
      </c>
      <c r="R14419" s="26" t="str">
        <f>HYPERLINK("https://ictv.global/taxonomy/taxondetails?taxnode_id=202318391","Cheravirus trillii")</f>
        <v>Cheravirus trillii</v>
      </c>
      <c r="S14419" t="s">
        <v>30</v>
      </c>
      <c r="T14419" t="s">
        <v>47329</v>
      </c>
      <c r="U14419" t="s">
        <v>47330</v>
      </c>
      <c r="V14419" t="s">
        <v>14447</v>
      </c>
      <c r="W14419" t="s">
        <v>47331</v>
      </c>
      <c r="X14419" t="s">
        <v>35</v>
      </c>
      <c r="Y14419" t="s">
        <v>17171</v>
      </c>
      <c r="Z14419" t="s">
        <v>13441</v>
      </c>
      <c r="AA14419" s="22" t="str">
        <f>HYPERLINK("https://www.ncbi.nlm.nih.gov/nuccore/BK013325,BK013326","NCBI Nucleotide")</f>
        <v>NCBI Nucleotide</v>
      </c>
    </row>
    <row r="14420" spans="1:27" x14ac:dyDescent="0.35">
      <c r="A14420">
        <v>1002747</v>
      </c>
      <c r="B14420">
        <v>12998</v>
      </c>
      <c r="C14420">
        <v>1</v>
      </c>
      <c r="D14420" t="s">
        <v>17166</v>
      </c>
      <c r="F14420" t="s">
        <v>17246</v>
      </c>
      <c r="H14420" t="s">
        <v>28921</v>
      </c>
      <c r="J14420" t="s">
        <v>29538</v>
      </c>
      <c r="L14420" t="s">
        <v>30198</v>
      </c>
      <c r="N14420" t="s">
        <v>32649</v>
      </c>
      <c r="P14420" t="s">
        <v>32669</v>
      </c>
      <c r="Q14420" t="s">
        <v>32670</v>
      </c>
      <c r="R14420" s="26" t="str">
        <f>HYPERLINK("https://ictv.global/taxonomy/taxondetails?taxnode_id=202313822","Sadwavirus alphananas")</f>
        <v>Sadwavirus alphananas</v>
      </c>
      <c r="S14420" t="s">
        <v>30</v>
      </c>
      <c r="T14420" t="s">
        <v>32671</v>
      </c>
      <c r="U14420" t="s">
        <v>32672</v>
      </c>
      <c r="V14420" t="s">
        <v>32673</v>
      </c>
      <c r="W14420" t="s">
        <v>32674</v>
      </c>
      <c r="X14420" t="s">
        <v>42</v>
      </c>
      <c r="Y14420" t="s">
        <v>17171</v>
      </c>
      <c r="Z14420" t="s">
        <v>13441</v>
      </c>
      <c r="AA14420" s="22" t="str">
        <f>HYPERLINK("https://www.ncbi.nlm.nih.gov/nuccore/MN809923,MN809924","NCBI Nucleotide")</f>
        <v>NCBI Nucleotide</v>
      </c>
    </row>
    <row r="14421" spans="1:27" x14ac:dyDescent="0.35">
      <c r="A14421">
        <v>1002748</v>
      </c>
      <c r="B14421">
        <v>12999</v>
      </c>
      <c r="C14421">
        <v>1</v>
      </c>
      <c r="D14421" t="s">
        <v>17166</v>
      </c>
      <c r="F14421" t="s">
        <v>17246</v>
      </c>
      <c r="H14421" t="s">
        <v>28921</v>
      </c>
      <c r="J14421" t="s">
        <v>29538</v>
      </c>
      <c r="L14421" t="s">
        <v>30198</v>
      </c>
      <c r="N14421" t="s">
        <v>32649</v>
      </c>
      <c r="P14421" t="s">
        <v>32669</v>
      </c>
      <c r="Q14421" t="s">
        <v>32670</v>
      </c>
      <c r="R14421" s="26" t="str">
        <f>HYPERLINK("https://ictv.global/taxonomy/taxondetails?taxnode_id=202315094","Sadwavirus betananas")</f>
        <v>Sadwavirus betananas</v>
      </c>
      <c r="S14421" t="s">
        <v>30</v>
      </c>
      <c r="T14421" t="s">
        <v>32675</v>
      </c>
      <c r="U14421" t="s">
        <v>32676</v>
      </c>
      <c r="V14421" t="s">
        <v>32677</v>
      </c>
      <c r="W14421" t="s">
        <v>32678</v>
      </c>
      <c r="X14421" t="s">
        <v>42</v>
      </c>
      <c r="Y14421" t="s">
        <v>17171</v>
      </c>
      <c r="Z14421" t="s">
        <v>13441</v>
      </c>
      <c r="AA14421" s="22" t="str">
        <f>HYPERLINK("https://www.ncbi.nlm.nih.gov/nuccore/OM777135,OM777136","NCBI Nucleotide")</f>
        <v>NCBI Nucleotide</v>
      </c>
    </row>
    <row r="14422" spans="1:27" x14ac:dyDescent="0.35">
      <c r="A14422">
        <v>1002749</v>
      </c>
      <c r="B14422">
        <v>13000</v>
      </c>
      <c r="C14422">
        <v>1</v>
      </c>
      <c r="D14422" t="s">
        <v>17166</v>
      </c>
      <c r="F14422" t="s">
        <v>17246</v>
      </c>
      <c r="H14422" t="s">
        <v>28921</v>
      </c>
      <c r="J14422" t="s">
        <v>29538</v>
      </c>
      <c r="L14422" t="s">
        <v>30198</v>
      </c>
      <c r="N14422" t="s">
        <v>32649</v>
      </c>
      <c r="P14422" t="s">
        <v>32669</v>
      </c>
      <c r="Q14422" t="s">
        <v>32670</v>
      </c>
      <c r="R14422" s="26" t="str">
        <f>HYPERLINK("https://ictv.global/taxonomy/taxondetails?taxnode_id=202305630","Sadwavirus dioscoreae")</f>
        <v>Sadwavirus dioscoreae</v>
      </c>
      <c r="S14422" t="s">
        <v>30</v>
      </c>
      <c r="T14422" t="s">
        <v>32679</v>
      </c>
      <c r="U14422" t="s">
        <v>32680</v>
      </c>
      <c r="V14422" t="s">
        <v>32681</v>
      </c>
      <c r="W14422" t="s">
        <v>32682</v>
      </c>
      <c r="X14422" t="s">
        <v>42</v>
      </c>
      <c r="Y14422" t="s">
        <v>17171</v>
      </c>
      <c r="Z14422" t="s">
        <v>13441</v>
      </c>
      <c r="AA14422" s="22" t="str">
        <f>HYPERLINK("https://www.ncbi.nlm.nih.gov/nuccore/KU215538,KU215539","NCBI Nucleotide")</f>
        <v>NCBI Nucleotide</v>
      </c>
    </row>
    <row r="14423" spans="1:27" x14ac:dyDescent="0.35">
      <c r="A14423">
        <v>1002750</v>
      </c>
      <c r="B14423">
        <v>13001</v>
      </c>
      <c r="C14423">
        <v>1</v>
      </c>
      <c r="D14423" t="s">
        <v>17166</v>
      </c>
      <c r="F14423" t="s">
        <v>17246</v>
      </c>
      <c r="H14423" t="s">
        <v>28921</v>
      </c>
      <c r="J14423" t="s">
        <v>29538</v>
      </c>
      <c r="L14423" t="s">
        <v>30198</v>
      </c>
      <c r="N14423" t="s">
        <v>32649</v>
      </c>
      <c r="P14423" t="s">
        <v>32669</v>
      </c>
      <c r="Q14423" t="s">
        <v>32670</v>
      </c>
      <c r="R14423" s="26" t="str">
        <f>HYPERLINK("https://ictv.global/taxonomy/taxondetails?taxnode_id=202302155","Sadwavirus fritillariae")</f>
        <v>Sadwavirus fritillariae</v>
      </c>
      <c r="S14423" t="s">
        <v>30</v>
      </c>
      <c r="T14423" t="s">
        <v>32683</v>
      </c>
      <c r="U14423" t="s">
        <v>32684</v>
      </c>
      <c r="V14423" t="s">
        <v>32685</v>
      </c>
      <c r="W14423" t="s">
        <v>32686</v>
      </c>
      <c r="X14423" t="s">
        <v>42</v>
      </c>
      <c r="Y14423" t="s">
        <v>17171</v>
      </c>
      <c r="Z14423" t="s">
        <v>13441</v>
      </c>
      <c r="AA14423" s="22" t="str">
        <f>HYPERLINK("https://www.ncbi.nlm.nih.gov/nuccore/JN052073,JN052074","NCBI Nucleotide")</f>
        <v>NCBI Nucleotide</v>
      </c>
    </row>
    <row r="14424" spans="1:27" x14ac:dyDescent="0.35">
      <c r="A14424">
        <v>1026410</v>
      </c>
      <c r="B14424">
        <v>13002</v>
      </c>
      <c r="C14424">
        <v>1</v>
      </c>
      <c r="D14424" t="s">
        <v>17166</v>
      </c>
      <c r="F14424" t="s">
        <v>17246</v>
      </c>
      <c r="H14424" t="s">
        <v>28921</v>
      </c>
      <c r="J14424" t="s">
        <v>29538</v>
      </c>
      <c r="L14424" t="s">
        <v>30198</v>
      </c>
      <c r="N14424" t="s">
        <v>32649</v>
      </c>
      <c r="P14424" t="s">
        <v>32669</v>
      </c>
      <c r="Q14424" t="s">
        <v>32670</v>
      </c>
      <c r="R14424" s="26" t="str">
        <f>HYPERLINK("https://ictv.global/taxonomy/taxondetails?taxnode_id=202318393","Sadwavirus gammananas")</f>
        <v>Sadwavirus gammananas</v>
      </c>
      <c r="S14424" t="s">
        <v>30</v>
      </c>
      <c r="T14424" t="s">
        <v>47332</v>
      </c>
      <c r="U14424" t="s">
        <v>47333</v>
      </c>
      <c r="V14424" t="s">
        <v>47334</v>
      </c>
      <c r="W14424" t="s">
        <v>47335</v>
      </c>
      <c r="X14424" t="s">
        <v>35</v>
      </c>
      <c r="Y14424" t="s">
        <v>17171</v>
      </c>
      <c r="Z14424" t="s">
        <v>13441</v>
      </c>
      <c r="AA14424" s="22" t="str">
        <f>HYPERLINK("https://www.ncbi.nlm.nih.gov/nuccore/BK061318,BK061319","NCBI Nucleotide")</f>
        <v>NCBI Nucleotide</v>
      </c>
    </row>
    <row r="14425" spans="1:27" x14ac:dyDescent="0.35">
      <c r="A14425">
        <v>1002751</v>
      </c>
      <c r="B14425">
        <v>13003</v>
      </c>
      <c r="C14425">
        <v>1</v>
      </c>
      <c r="D14425" t="s">
        <v>17166</v>
      </c>
      <c r="F14425" t="s">
        <v>17246</v>
      </c>
      <c r="H14425" t="s">
        <v>28921</v>
      </c>
      <c r="J14425" t="s">
        <v>29538</v>
      </c>
      <c r="L14425" t="s">
        <v>30198</v>
      </c>
      <c r="N14425" t="s">
        <v>32649</v>
      </c>
      <c r="P14425" t="s">
        <v>32669</v>
      </c>
      <c r="Q14425" t="s">
        <v>32687</v>
      </c>
      <c r="R14425" s="26" t="str">
        <f>HYPERLINK("https://ictv.global/taxonomy/taxondetails?taxnode_id=202302141","Sadwavirus citri")</f>
        <v>Sadwavirus citri</v>
      </c>
      <c r="S14425" t="s">
        <v>30</v>
      </c>
      <c r="T14425" t="s">
        <v>32688</v>
      </c>
      <c r="U14425" t="s">
        <v>32689</v>
      </c>
      <c r="V14425" t="s">
        <v>32690</v>
      </c>
      <c r="W14425" t="s">
        <v>32691</v>
      </c>
      <c r="X14425" t="s">
        <v>42</v>
      </c>
      <c r="Y14425" t="s">
        <v>17171</v>
      </c>
      <c r="Z14425" t="s">
        <v>13441</v>
      </c>
      <c r="AA14425" s="22" t="str">
        <f>HYPERLINK("https://www.ncbi.nlm.nih.gov/nuccore/AB009958,AB009959","NCBI Nucleotide")</f>
        <v>NCBI Nucleotide</v>
      </c>
    </row>
    <row r="14426" spans="1:27" x14ac:dyDescent="0.35">
      <c r="A14426">
        <v>1002752</v>
      </c>
      <c r="B14426">
        <v>13004</v>
      </c>
      <c r="C14426">
        <v>1</v>
      </c>
      <c r="D14426" t="s">
        <v>17166</v>
      </c>
      <c r="F14426" t="s">
        <v>17246</v>
      </c>
      <c r="H14426" t="s">
        <v>28921</v>
      </c>
      <c r="J14426" t="s">
        <v>29538</v>
      </c>
      <c r="L14426" t="s">
        <v>30198</v>
      </c>
      <c r="N14426" t="s">
        <v>32649</v>
      </c>
      <c r="P14426" t="s">
        <v>32669</v>
      </c>
      <c r="Q14426" t="s">
        <v>32692</v>
      </c>
      <c r="R14426" s="26" t="str">
        <f>HYPERLINK("https://ictv.global/taxonomy/taxondetails?taxnode_id=202315095","Sadwavirus aciphyllae")</f>
        <v>Sadwavirus aciphyllae</v>
      </c>
      <c r="S14426" t="s">
        <v>30</v>
      </c>
      <c r="T14426" t="s">
        <v>32693</v>
      </c>
      <c r="U14426" t="s">
        <v>32694</v>
      </c>
      <c r="V14426" t="s">
        <v>32695</v>
      </c>
      <c r="W14426" t="s">
        <v>32696</v>
      </c>
      <c r="X14426" t="s">
        <v>42</v>
      </c>
      <c r="Y14426" t="s">
        <v>17171</v>
      </c>
      <c r="Z14426" t="s">
        <v>13441</v>
      </c>
      <c r="AA14426" s="22" t="str">
        <f>HYPERLINK("https://www.ncbi.nlm.nih.gov/nuccore/MN412739,MN412740","NCBI Nucleotide")</f>
        <v>NCBI Nucleotide</v>
      </c>
    </row>
    <row r="14427" spans="1:27" x14ac:dyDescent="0.35">
      <c r="A14427">
        <v>1002753</v>
      </c>
      <c r="B14427">
        <v>13005</v>
      </c>
      <c r="C14427">
        <v>1</v>
      </c>
      <c r="D14427" t="s">
        <v>17166</v>
      </c>
      <c r="F14427" t="s">
        <v>17246</v>
      </c>
      <c r="H14427" t="s">
        <v>28921</v>
      </c>
      <c r="J14427" t="s">
        <v>29538</v>
      </c>
      <c r="L14427" t="s">
        <v>30198</v>
      </c>
      <c r="N14427" t="s">
        <v>32649</v>
      </c>
      <c r="P14427" t="s">
        <v>32669</v>
      </c>
      <c r="Q14427" t="s">
        <v>32692</v>
      </c>
      <c r="R14427" s="26" t="str">
        <f>HYPERLINK("https://ictv.global/taxonomy/taxondetails?taxnode_id=202302157","Sadwavirus fragariae")</f>
        <v>Sadwavirus fragariae</v>
      </c>
      <c r="S14427" t="s">
        <v>30</v>
      </c>
      <c r="T14427" t="s">
        <v>32697</v>
      </c>
      <c r="U14427" t="s">
        <v>32698</v>
      </c>
      <c r="V14427" t="s">
        <v>32699</v>
      </c>
      <c r="W14427" t="s">
        <v>32700</v>
      </c>
      <c r="X14427" t="s">
        <v>42</v>
      </c>
      <c r="Y14427" t="s">
        <v>17171</v>
      </c>
      <c r="Z14427" t="s">
        <v>13441</v>
      </c>
      <c r="AA14427" s="22" t="str">
        <f>HYPERLINK("https://www.ncbi.nlm.nih.gov/nuccore/AJ311875,AJ311876","NCBI Nucleotide")</f>
        <v>NCBI Nucleotide</v>
      </c>
    </row>
    <row r="14428" spans="1:27" x14ac:dyDescent="0.35">
      <c r="A14428">
        <v>1002754</v>
      </c>
      <c r="B14428">
        <v>13006</v>
      </c>
      <c r="C14428">
        <v>1</v>
      </c>
      <c r="D14428" t="s">
        <v>17166</v>
      </c>
      <c r="F14428" t="s">
        <v>17246</v>
      </c>
      <c r="H14428" t="s">
        <v>28921</v>
      </c>
      <c r="J14428" t="s">
        <v>29538</v>
      </c>
      <c r="L14428" t="s">
        <v>30198</v>
      </c>
      <c r="N14428" t="s">
        <v>32649</v>
      </c>
      <c r="P14428" t="s">
        <v>32669</v>
      </c>
      <c r="Q14428" t="s">
        <v>32692</v>
      </c>
      <c r="R14428" s="26" t="str">
        <f>HYPERLINK("https://ictv.global/taxonomy/taxondetails?taxnode_id=202313823","Sadwavirus lactucae")</f>
        <v>Sadwavirus lactucae</v>
      </c>
      <c r="S14428" t="s">
        <v>30</v>
      </c>
      <c r="T14428" t="s">
        <v>32701</v>
      </c>
      <c r="U14428" t="s">
        <v>20535</v>
      </c>
      <c r="V14428" t="s">
        <v>32702</v>
      </c>
      <c r="W14428" t="s">
        <v>32703</v>
      </c>
      <c r="X14428" t="s">
        <v>154</v>
      </c>
      <c r="Y14428" t="s">
        <v>17171</v>
      </c>
      <c r="Z14428" t="s">
        <v>13441</v>
      </c>
      <c r="AA14428" s="22" t="str">
        <f>HYPERLINK("https://www.ncbi.nlm.nih.gov/nuccore/KX925437,KX925438","NCBI Nucleotide")</f>
        <v>NCBI Nucleotide</v>
      </c>
    </row>
    <row r="14429" spans="1:27" x14ac:dyDescent="0.35">
      <c r="A14429">
        <v>1002755</v>
      </c>
      <c r="B14429">
        <v>13007</v>
      </c>
      <c r="C14429">
        <v>1</v>
      </c>
      <c r="D14429" t="s">
        <v>17166</v>
      </c>
      <c r="F14429" t="s">
        <v>17246</v>
      </c>
      <c r="H14429" t="s">
        <v>28921</v>
      </c>
      <c r="J14429" t="s">
        <v>29538</v>
      </c>
      <c r="L14429" t="s">
        <v>30198</v>
      </c>
      <c r="N14429" t="s">
        <v>32649</v>
      </c>
      <c r="P14429" t="s">
        <v>32669</v>
      </c>
      <c r="Q14429" t="s">
        <v>32692</v>
      </c>
      <c r="R14429" s="26" t="str">
        <f>HYPERLINK("https://ictv.global/taxonomy/taxondetails?taxnode_id=202302154","Sadwavirus rubi")</f>
        <v>Sadwavirus rubi</v>
      </c>
      <c r="S14429" t="s">
        <v>30</v>
      </c>
      <c r="T14429" t="s">
        <v>32704</v>
      </c>
      <c r="U14429" t="s">
        <v>26989</v>
      </c>
      <c r="V14429" t="s">
        <v>32705</v>
      </c>
      <c r="W14429" t="s">
        <v>32706</v>
      </c>
      <c r="X14429" t="s">
        <v>42</v>
      </c>
      <c r="Y14429" t="s">
        <v>17171</v>
      </c>
      <c r="Z14429" t="s">
        <v>13441</v>
      </c>
      <c r="AA14429" s="22" t="str">
        <f>HYPERLINK("https://www.ncbi.nlm.nih.gov/nuccore/DQ344639,DQ344640","NCBI Nucleotide")</f>
        <v>NCBI Nucleotide</v>
      </c>
    </row>
    <row r="14430" spans="1:27" x14ac:dyDescent="0.35">
      <c r="A14430">
        <v>1002756</v>
      </c>
      <c r="B14430">
        <v>13008</v>
      </c>
      <c r="C14430">
        <v>1</v>
      </c>
      <c r="D14430" t="s">
        <v>17166</v>
      </c>
      <c r="F14430" t="s">
        <v>17246</v>
      </c>
      <c r="H14430" t="s">
        <v>28921</v>
      </c>
      <c r="J14430" t="s">
        <v>29538</v>
      </c>
      <c r="L14430" t="s">
        <v>30198</v>
      </c>
      <c r="N14430" t="s">
        <v>32649</v>
      </c>
      <c r="P14430" t="s">
        <v>32707</v>
      </c>
      <c r="R14430" s="26" t="str">
        <f>HYPERLINK("https://ictv.global/taxonomy/taxondetails?taxnode_id=202302143","Sequivirus carotae")</f>
        <v>Sequivirus carotae</v>
      </c>
      <c r="S14430" t="s">
        <v>30</v>
      </c>
      <c r="T14430" t="s">
        <v>32708</v>
      </c>
      <c r="U14430" t="s">
        <v>32709</v>
      </c>
      <c r="V14430" t="s">
        <v>32710</v>
      </c>
      <c r="W14430" t="s">
        <v>32711</v>
      </c>
      <c r="X14430" t="s">
        <v>42</v>
      </c>
      <c r="Y14430" t="s">
        <v>17171</v>
      </c>
      <c r="Z14430" t="s">
        <v>13441</v>
      </c>
      <c r="AA14430" s="22" t="str">
        <f>HYPERLINK("https://www.ncbi.nlm.nih.gov/nuccore/EU980442","NCBI Nucleotide")</f>
        <v>NCBI Nucleotide</v>
      </c>
    </row>
    <row r="14431" spans="1:27" x14ac:dyDescent="0.35">
      <c r="A14431">
        <v>1002757</v>
      </c>
      <c r="B14431">
        <v>13009</v>
      </c>
      <c r="C14431">
        <v>1</v>
      </c>
      <c r="D14431" t="s">
        <v>17166</v>
      </c>
      <c r="F14431" t="s">
        <v>17246</v>
      </c>
      <c r="H14431" t="s">
        <v>28921</v>
      </c>
      <c r="J14431" t="s">
        <v>29538</v>
      </c>
      <c r="L14431" t="s">
        <v>30198</v>
      </c>
      <c r="N14431" t="s">
        <v>32649</v>
      </c>
      <c r="P14431" t="s">
        <v>32707</v>
      </c>
      <c r="R14431" s="26" t="str">
        <f>HYPERLINK("https://ictv.global/taxonomy/taxondetails?taxnode_id=202302145","Sequivirus pastinacae")</f>
        <v>Sequivirus pastinacae</v>
      </c>
      <c r="S14431" t="s">
        <v>30</v>
      </c>
      <c r="T14431" t="s">
        <v>32712</v>
      </c>
      <c r="U14431" t="s">
        <v>32713</v>
      </c>
      <c r="V14431" t="s">
        <v>32714</v>
      </c>
      <c r="W14431" t="s">
        <v>32715</v>
      </c>
      <c r="X14431" t="s">
        <v>35</v>
      </c>
      <c r="Y14431" t="s">
        <v>17171</v>
      </c>
      <c r="Z14431" t="s">
        <v>13441</v>
      </c>
      <c r="AA14431" s="22" t="str">
        <f>HYPERLINK("https://www.ncbi.nlm.nih.gov/nuccore/D14066","NCBI Nucleotide")</f>
        <v>NCBI Nucleotide</v>
      </c>
    </row>
    <row r="14432" spans="1:27" x14ac:dyDescent="0.35">
      <c r="A14432">
        <v>1002758</v>
      </c>
      <c r="B14432">
        <v>13010</v>
      </c>
      <c r="C14432">
        <v>1</v>
      </c>
      <c r="D14432" t="s">
        <v>17166</v>
      </c>
      <c r="F14432" t="s">
        <v>17246</v>
      </c>
      <c r="H14432" t="s">
        <v>28921</v>
      </c>
      <c r="J14432" t="s">
        <v>29538</v>
      </c>
      <c r="L14432" t="s">
        <v>30198</v>
      </c>
      <c r="N14432" t="s">
        <v>32649</v>
      </c>
      <c r="P14432" t="s">
        <v>32707</v>
      </c>
      <c r="R14432" s="26" t="str">
        <f>HYPERLINK("https://ictv.global/taxonomy/taxondetails?taxnode_id=202313824","Sequivirus stellatum")</f>
        <v>Sequivirus stellatum</v>
      </c>
      <c r="S14432" t="s">
        <v>30</v>
      </c>
      <c r="T14432" t="s">
        <v>32716</v>
      </c>
      <c r="U14432" t="s">
        <v>20568</v>
      </c>
      <c r="V14432" t="s">
        <v>32717</v>
      </c>
      <c r="W14432" t="s">
        <v>32718</v>
      </c>
      <c r="X14432" t="s">
        <v>42</v>
      </c>
      <c r="Y14432" t="s">
        <v>17171</v>
      </c>
      <c r="Z14432" t="s">
        <v>13441</v>
      </c>
      <c r="AA14432" s="22" t="str">
        <f>HYPERLINK("https://www.ncbi.nlm.nih.gov/nuccore/MT348706","NCBI Nucleotide")</f>
        <v>NCBI Nucleotide</v>
      </c>
    </row>
    <row r="14433" spans="1:27" x14ac:dyDescent="0.35">
      <c r="A14433">
        <v>1002759</v>
      </c>
      <c r="B14433">
        <v>13011</v>
      </c>
      <c r="C14433">
        <v>1</v>
      </c>
      <c r="D14433" t="s">
        <v>17166</v>
      </c>
      <c r="F14433" t="s">
        <v>17246</v>
      </c>
      <c r="H14433" t="s">
        <v>28921</v>
      </c>
      <c r="J14433" t="s">
        <v>29538</v>
      </c>
      <c r="L14433" t="s">
        <v>30198</v>
      </c>
      <c r="N14433" t="s">
        <v>32649</v>
      </c>
      <c r="P14433" t="s">
        <v>32707</v>
      </c>
      <c r="R14433" s="26" t="str">
        <f>HYPERLINK("https://ictv.global/taxonomy/taxondetails?taxnode_id=202302144","Sequivirus taraxaci")</f>
        <v>Sequivirus taraxaci</v>
      </c>
      <c r="S14433" t="s">
        <v>30</v>
      </c>
      <c r="T14433" t="s">
        <v>32719</v>
      </c>
      <c r="U14433" t="s">
        <v>32720</v>
      </c>
      <c r="V14433" t="s">
        <v>32721</v>
      </c>
      <c r="W14433" t="s">
        <v>32722</v>
      </c>
      <c r="X14433" t="s">
        <v>154</v>
      </c>
      <c r="Y14433" t="s">
        <v>17171</v>
      </c>
      <c r="Z14433" t="s">
        <v>13441</v>
      </c>
      <c r="AA14433" s="22" t="str">
        <f>HYPERLINK("https://www.ncbi.nlm.nih.gov/nuccore/DQ675189","NCBI Nucleotide")</f>
        <v>NCBI Nucleotide</v>
      </c>
    </row>
    <row r="14434" spans="1:27" x14ac:dyDescent="0.35">
      <c r="A14434">
        <v>1026290</v>
      </c>
      <c r="B14434">
        <v>13012</v>
      </c>
      <c r="C14434">
        <v>1</v>
      </c>
      <c r="D14434" t="s">
        <v>17166</v>
      </c>
      <c r="F14434" t="s">
        <v>17246</v>
      </c>
      <c r="H14434" t="s">
        <v>28921</v>
      </c>
      <c r="J14434" t="s">
        <v>29538</v>
      </c>
      <c r="L14434" t="s">
        <v>30198</v>
      </c>
      <c r="N14434" t="s">
        <v>32649</v>
      </c>
      <c r="P14434" t="s">
        <v>32723</v>
      </c>
      <c r="R14434" s="26" t="str">
        <f>HYPERLINK("https://ictv.global/taxonomy/taxondetails?taxnode_id=202318394","Stralarivirus elaterii")</f>
        <v>Stralarivirus elaterii</v>
      </c>
      <c r="S14434" t="s">
        <v>30</v>
      </c>
      <c r="T14434" t="s">
        <v>47336</v>
      </c>
      <c r="U14434" t="s">
        <v>47337</v>
      </c>
      <c r="V14434" t="s">
        <v>13967</v>
      </c>
      <c r="W14434" t="s">
        <v>47338</v>
      </c>
      <c r="X14434" t="s">
        <v>35</v>
      </c>
      <c r="Y14434" t="s">
        <v>17171</v>
      </c>
      <c r="Z14434" t="s">
        <v>13441</v>
      </c>
      <c r="AA14434" s="22" t="str">
        <f>HYPERLINK("https://www.ncbi.nlm.nih.gov/nuccore/OP019481,OP019482","NCBI Nucleotide")</f>
        <v>NCBI Nucleotide</v>
      </c>
    </row>
    <row r="14435" spans="1:27" x14ac:dyDescent="0.35">
      <c r="A14435">
        <v>1002760</v>
      </c>
      <c r="B14435">
        <v>13013</v>
      </c>
      <c r="C14435">
        <v>1</v>
      </c>
      <c r="D14435" t="s">
        <v>17166</v>
      </c>
      <c r="F14435" t="s">
        <v>17246</v>
      </c>
      <c r="H14435" t="s">
        <v>28921</v>
      </c>
      <c r="J14435" t="s">
        <v>29538</v>
      </c>
      <c r="L14435" t="s">
        <v>30198</v>
      </c>
      <c r="N14435" t="s">
        <v>32649</v>
      </c>
      <c r="P14435" t="s">
        <v>32723</v>
      </c>
      <c r="R14435" s="26" t="str">
        <f>HYPERLINK("https://ictv.global/taxonomy/taxondetails?taxnode_id=202302156","Stralarivirus fragariae")</f>
        <v>Stralarivirus fragariae</v>
      </c>
      <c r="S14435" t="s">
        <v>30</v>
      </c>
      <c r="T14435" t="s">
        <v>32724</v>
      </c>
      <c r="U14435" t="s">
        <v>32725</v>
      </c>
      <c r="V14435" t="s">
        <v>32726</v>
      </c>
      <c r="W14435" t="s">
        <v>32727</v>
      </c>
      <c r="X14435" t="s">
        <v>42</v>
      </c>
      <c r="Y14435" t="s">
        <v>17171</v>
      </c>
      <c r="Z14435" t="s">
        <v>13441</v>
      </c>
      <c r="AA14435" s="22" t="str">
        <f>HYPERLINK("https://www.ncbi.nlm.nih.gov/nuccore/AY860978,AY860979","NCBI Nucleotide")</f>
        <v>NCBI Nucleotide</v>
      </c>
    </row>
    <row r="14436" spans="1:27" x14ac:dyDescent="0.35">
      <c r="A14436">
        <v>1002761</v>
      </c>
      <c r="B14436">
        <v>13014</v>
      </c>
      <c r="C14436">
        <v>1</v>
      </c>
      <c r="D14436" t="s">
        <v>17166</v>
      </c>
      <c r="F14436" t="s">
        <v>17246</v>
      </c>
      <c r="H14436" t="s">
        <v>28921</v>
      </c>
      <c r="J14436" t="s">
        <v>29538</v>
      </c>
      <c r="L14436" t="s">
        <v>30198</v>
      </c>
      <c r="N14436" t="s">
        <v>32649</v>
      </c>
      <c r="P14436" t="s">
        <v>32723</v>
      </c>
      <c r="R14436" s="26" t="str">
        <f>HYPERLINK("https://ictv.global/taxonomy/taxondetails?taxnode_id=202312968","Stralarivirus lychnis")</f>
        <v>Stralarivirus lychnis</v>
      </c>
      <c r="S14436" t="s">
        <v>30</v>
      </c>
      <c r="T14436" t="s">
        <v>32728</v>
      </c>
      <c r="U14436" t="s">
        <v>32729</v>
      </c>
      <c r="V14436" t="s">
        <v>32730</v>
      </c>
      <c r="W14436" t="s">
        <v>32731</v>
      </c>
      <c r="X14436" t="s">
        <v>42</v>
      </c>
      <c r="Y14436" t="s">
        <v>17171</v>
      </c>
      <c r="Z14436" t="s">
        <v>13441</v>
      </c>
      <c r="AA14436" s="22" t="str">
        <f>HYPERLINK("https://www.ncbi.nlm.nih.gov/nuccore/KR011032,KR011033","NCBI Nucleotide")</f>
        <v>NCBI Nucleotide</v>
      </c>
    </row>
    <row r="14437" spans="1:27" x14ac:dyDescent="0.35">
      <c r="A14437">
        <v>1002762</v>
      </c>
      <c r="B14437">
        <v>13015</v>
      </c>
      <c r="C14437">
        <v>1</v>
      </c>
      <c r="D14437" t="s">
        <v>17166</v>
      </c>
      <c r="F14437" t="s">
        <v>17246</v>
      </c>
      <c r="H14437" t="s">
        <v>28921</v>
      </c>
      <c r="J14437" t="s">
        <v>29538</v>
      </c>
      <c r="L14437" t="s">
        <v>30198</v>
      </c>
      <c r="N14437" t="s">
        <v>32649</v>
      </c>
      <c r="P14437" t="s">
        <v>32732</v>
      </c>
      <c r="R14437" s="26" t="str">
        <f>HYPERLINK("https://ictv.global/taxonomy/taxondetails?taxnode_id=202302149","Torradovirus cardiacae")</f>
        <v>Torradovirus cardiacae</v>
      </c>
      <c r="S14437" t="s">
        <v>30</v>
      </c>
      <c r="T14437" t="s">
        <v>32733</v>
      </c>
      <c r="U14437" t="s">
        <v>32734</v>
      </c>
      <c r="V14437" t="s">
        <v>32735</v>
      </c>
      <c r="W14437" t="s">
        <v>32736</v>
      </c>
      <c r="X14437" t="s">
        <v>42</v>
      </c>
      <c r="Y14437" t="s">
        <v>17171</v>
      </c>
      <c r="Z14437" t="s">
        <v>13441</v>
      </c>
      <c r="AA14437" s="22" t="str">
        <f>HYPERLINK("https://www.ncbi.nlm.nih.gov/nuccore/KM229700,KM229701","NCBI Nucleotide")</f>
        <v>NCBI Nucleotide</v>
      </c>
    </row>
    <row r="14438" spans="1:27" x14ac:dyDescent="0.35">
      <c r="A14438">
        <v>1002763</v>
      </c>
      <c r="B14438">
        <v>13016</v>
      </c>
      <c r="C14438">
        <v>1</v>
      </c>
      <c r="D14438" t="s">
        <v>17166</v>
      </c>
      <c r="F14438" t="s">
        <v>17246</v>
      </c>
      <c r="H14438" t="s">
        <v>28921</v>
      </c>
      <c r="J14438" t="s">
        <v>29538</v>
      </c>
      <c r="L14438" t="s">
        <v>30198</v>
      </c>
      <c r="N14438" t="s">
        <v>32649</v>
      </c>
      <c r="P14438" t="s">
        <v>32732</v>
      </c>
      <c r="R14438" s="26" t="str">
        <f>HYPERLINK("https://ictv.global/taxonomy/taxondetails?taxnode_id=202302147","Torradovirus carotae")</f>
        <v>Torradovirus carotae</v>
      </c>
      <c r="S14438" t="s">
        <v>30</v>
      </c>
      <c r="T14438" t="s">
        <v>32737</v>
      </c>
      <c r="U14438" t="s">
        <v>32738</v>
      </c>
      <c r="V14438" t="s">
        <v>32739</v>
      </c>
      <c r="W14438" t="s">
        <v>32740</v>
      </c>
      <c r="X14438" t="s">
        <v>42</v>
      </c>
      <c r="Y14438" t="s">
        <v>17171</v>
      </c>
      <c r="Z14438" t="s">
        <v>13441</v>
      </c>
      <c r="AA14438" s="22" t="str">
        <f>HYPERLINK("https://www.ncbi.nlm.nih.gov/nuccore/KF533719,KF533720","NCBI Nucleotide")</f>
        <v>NCBI Nucleotide</v>
      </c>
    </row>
    <row r="14439" spans="1:27" x14ac:dyDescent="0.35">
      <c r="A14439">
        <v>1002764</v>
      </c>
      <c r="B14439">
        <v>13017</v>
      </c>
      <c r="C14439">
        <v>1</v>
      </c>
      <c r="D14439" t="s">
        <v>17166</v>
      </c>
      <c r="F14439" t="s">
        <v>17246</v>
      </c>
      <c r="H14439" t="s">
        <v>28921</v>
      </c>
      <c r="J14439" t="s">
        <v>29538</v>
      </c>
      <c r="L14439" t="s">
        <v>30198</v>
      </c>
      <c r="N14439" t="s">
        <v>32649</v>
      </c>
      <c r="P14439" t="s">
        <v>32732</v>
      </c>
      <c r="R14439" s="26" t="str">
        <f>HYPERLINK("https://ictv.global/taxonomy/taxondetails?taxnode_id=202315097","Torradovirus codonopsis")</f>
        <v>Torradovirus codonopsis</v>
      </c>
      <c r="S14439" t="s">
        <v>30</v>
      </c>
      <c r="T14439" t="s">
        <v>32741</v>
      </c>
      <c r="U14439" t="s">
        <v>32742</v>
      </c>
      <c r="V14439" t="s">
        <v>19294</v>
      </c>
      <c r="W14439" t="s">
        <v>32743</v>
      </c>
      <c r="X14439" t="s">
        <v>42</v>
      </c>
      <c r="Y14439" t="s">
        <v>17171</v>
      </c>
      <c r="Z14439" t="s">
        <v>13441</v>
      </c>
      <c r="AA14439" s="22" t="str">
        <f>HYPERLINK("https://www.ncbi.nlm.nih.gov/nuccore/MZ325520,MZ325521","NCBI Nucleotide")</f>
        <v>NCBI Nucleotide</v>
      </c>
    </row>
    <row r="14440" spans="1:27" x14ac:dyDescent="0.35">
      <c r="A14440">
        <v>1002765</v>
      </c>
      <c r="B14440">
        <v>13018</v>
      </c>
      <c r="C14440">
        <v>1</v>
      </c>
      <c r="D14440" t="s">
        <v>17166</v>
      </c>
      <c r="F14440" t="s">
        <v>17246</v>
      </c>
      <c r="H14440" t="s">
        <v>28921</v>
      </c>
      <c r="J14440" t="s">
        <v>29538</v>
      </c>
      <c r="L14440" t="s">
        <v>30198</v>
      </c>
      <c r="N14440" t="s">
        <v>32649</v>
      </c>
      <c r="P14440" t="s">
        <v>32732</v>
      </c>
      <c r="R14440" s="26" t="str">
        <f>HYPERLINK("https://ictv.global/taxonomy/taxondetails?taxnode_id=202302150","Torradovirus cucurbitae")</f>
        <v>Torradovirus cucurbitae</v>
      </c>
      <c r="S14440" t="s">
        <v>30</v>
      </c>
      <c r="T14440" t="s">
        <v>32744</v>
      </c>
      <c r="U14440" t="s">
        <v>32745</v>
      </c>
      <c r="V14440" t="s">
        <v>32746</v>
      </c>
      <c r="W14440" t="s">
        <v>32747</v>
      </c>
      <c r="X14440" t="s">
        <v>42</v>
      </c>
      <c r="Y14440" t="s">
        <v>17171</v>
      </c>
      <c r="Z14440" t="s">
        <v>13441</v>
      </c>
      <c r="AA14440" s="22" t="str">
        <f>HYPERLINK("https://www.ncbi.nlm.nih.gov/nuccore/KU052530,KU052531","NCBI Nucleotide")</f>
        <v>NCBI Nucleotide</v>
      </c>
    </row>
    <row r="14441" spans="1:27" x14ac:dyDescent="0.35">
      <c r="A14441">
        <v>1026275</v>
      </c>
      <c r="B14441">
        <v>13019</v>
      </c>
      <c r="C14441">
        <v>1</v>
      </c>
      <c r="D14441" t="s">
        <v>17166</v>
      </c>
      <c r="F14441" t="s">
        <v>17246</v>
      </c>
      <c r="H14441" t="s">
        <v>28921</v>
      </c>
      <c r="J14441" t="s">
        <v>29538</v>
      </c>
      <c r="L14441" t="s">
        <v>30198</v>
      </c>
      <c r="N14441" t="s">
        <v>32649</v>
      </c>
      <c r="P14441" t="s">
        <v>32732</v>
      </c>
      <c r="R14441" s="26" t="str">
        <f>HYPERLINK("https://ictv.global/taxonomy/taxondetails?taxnode_id=202318395","Torradovirus erigeronis")</f>
        <v>Torradovirus erigeronis</v>
      </c>
      <c r="S14441" t="s">
        <v>30</v>
      </c>
      <c r="T14441" t="s">
        <v>47339</v>
      </c>
      <c r="U14441" t="s">
        <v>47340</v>
      </c>
      <c r="V14441" t="s">
        <v>47341</v>
      </c>
      <c r="W14441" t="s">
        <v>47342</v>
      </c>
      <c r="X14441" t="s">
        <v>42</v>
      </c>
      <c r="Y14441" t="s">
        <v>17171</v>
      </c>
      <c r="Z14441" t="s">
        <v>13441</v>
      </c>
      <c r="AA14441" s="22" t="str">
        <f>HYPERLINK("https://www.ncbi.nlm.nih.gov/nuccore/OL979629,OL979630","NCBI Nucleotide")</f>
        <v>NCBI Nucleotide</v>
      </c>
    </row>
    <row r="14442" spans="1:27" x14ac:dyDescent="0.35">
      <c r="A14442">
        <v>1002766</v>
      </c>
      <c r="B14442">
        <v>13020</v>
      </c>
      <c r="C14442">
        <v>1</v>
      </c>
      <c r="D14442" t="s">
        <v>17166</v>
      </c>
      <c r="F14442" t="s">
        <v>17246</v>
      </c>
      <c r="H14442" t="s">
        <v>28921</v>
      </c>
      <c r="J14442" t="s">
        <v>29538</v>
      </c>
      <c r="L14442" t="s">
        <v>30198</v>
      </c>
      <c r="N14442" t="s">
        <v>32649</v>
      </c>
      <c r="P14442" t="s">
        <v>32732</v>
      </c>
      <c r="R14442" s="26" t="str">
        <f>HYPERLINK("https://ictv.global/taxonomy/taxondetails?taxnode_id=202302148","Torradovirus lactucae")</f>
        <v>Torradovirus lactucae</v>
      </c>
      <c r="S14442" t="s">
        <v>30</v>
      </c>
      <c r="T14442" t="s">
        <v>32748</v>
      </c>
      <c r="U14442" t="s">
        <v>32749</v>
      </c>
      <c r="V14442">
        <v>5317015</v>
      </c>
      <c r="W14442" t="s">
        <v>32750</v>
      </c>
      <c r="X14442" t="s">
        <v>42</v>
      </c>
      <c r="Y14442" t="s">
        <v>17171</v>
      </c>
      <c r="Z14442" t="s">
        <v>13441</v>
      </c>
      <c r="AA14442" s="22" t="str">
        <f>HYPERLINK("https://www.ncbi.nlm.nih.gov/nuccore/KC855266,KC855267","NCBI Nucleotide")</f>
        <v>NCBI Nucleotide</v>
      </c>
    </row>
    <row r="14443" spans="1:27" x14ac:dyDescent="0.35">
      <c r="A14443">
        <v>1002767</v>
      </c>
      <c r="B14443">
        <v>13021</v>
      </c>
      <c r="C14443">
        <v>1</v>
      </c>
      <c r="D14443" t="s">
        <v>17166</v>
      </c>
      <c r="F14443" t="s">
        <v>17246</v>
      </c>
      <c r="H14443" t="s">
        <v>28921</v>
      </c>
      <c r="J14443" t="s">
        <v>29538</v>
      </c>
      <c r="L14443" t="s">
        <v>30198</v>
      </c>
      <c r="N14443" t="s">
        <v>32649</v>
      </c>
      <c r="P14443" t="s">
        <v>32732</v>
      </c>
      <c r="R14443" s="26" t="str">
        <f>HYPERLINK("https://ictv.global/taxonomy/taxondetails?taxnode_id=202302152","Torradovirus lycopersici")</f>
        <v>Torradovirus lycopersici</v>
      </c>
      <c r="S14443" t="s">
        <v>30</v>
      </c>
      <c r="T14443" t="s">
        <v>32751</v>
      </c>
      <c r="U14443" t="s">
        <v>32752</v>
      </c>
      <c r="V14443" t="s">
        <v>32753</v>
      </c>
      <c r="W14443" t="s">
        <v>32754</v>
      </c>
      <c r="X14443" t="s">
        <v>42</v>
      </c>
      <c r="Y14443" t="s">
        <v>17171</v>
      </c>
      <c r="Z14443" t="s">
        <v>13441</v>
      </c>
      <c r="AA14443" s="22" t="str">
        <f>HYPERLINK("https://www.ncbi.nlm.nih.gov/nuccore/DQ388879,DQ388880","NCBI Nucleotide")</f>
        <v>NCBI Nucleotide</v>
      </c>
    </row>
    <row r="14444" spans="1:27" x14ac:dyDescent="0.35">
      <c r="A14444">
        <v>1002768</v>
      </c>
      <c r="B14444">
        <v>13022</v>
      </c>
      <c r="C14444">
        <v>1</v>
      </c>
      <c r="D14444" t="s">
        <v>17166</v>
      </c>
      <c r="F14444" t="s">
        <v>17246</v>
      </c>
      <c r="H14444" t="s">
        <v>28921</v>
      </c>
      <c r="J14444" t="s">
        <v>29538</v>
      </c>
      <c r="L14444" t="s">
        <v>30198</v>
      </c>
      <c r="N14444" t="s">
        <v>32649</v>
      </c>
      <c r="P14444" t="s">
        <v>32732</v>
      </c>
      <c r="R14444" s="26" t="str">
        <f>HYPERLINK("https://ictv.global/taxonomy/taxondetails?taxnode_id=202315096","Torradovirus manihotis")</f>
        <v>Torradovirus manihotis</v>
      </c>
      <c r="S14444" t="s">
        <v>30</v>
      </c>
      <c r="T14444" t="s">
        <v>32755</v>
      </c>
      <c r="U14444" t="s">
        <v>32756</v>
      </c>
      <c r="V14444" t="s">
        <v>32757</v>
      </c>
      <c r="W14444" t="s">
        <v>32758</v>
      </c>
      <c r="X14444" t="s">
        <v>42</v>
      </c>
      <c r="Y14444" t="s">
        <v>17171</v>
      </c>
      <c r="Z14444" t="s">
        <v>13441</v>
      </c>
      <c r="AA14444" s="22" t="str">
        <f>HYPERLINK("https://www.ncbi.nlm.nih.gov/nuccore/OK040225,OK040226","NCBI Nucleotide")</f>
        <v>NCBI Nucleotide</v>
      </c>
    </row>
    <row r="14445" spans="1:27" x14ac:dyDescent="0.35">
      <c r="A14445">
        <v>1002769</v>
      </c>
      <c r="B14445">
        <v>13023</v>
      </c>
      <c r="C14445">
        <v>1</v>
      </c>
      <c r="D14445" t="s">
        <v>17166</v>
      </c>
      <c r="F14445" t="s">
        <v>17246</v>
      </c>
      <c r="H14445" t="s">
        <v>28921</v>
      </c>
      <c r="J14445" t="s">
        <v>29538</v>
      </c>
      <c r="L14445" t="s">
        <v>30198</v>
      </c>
      <c r="N14445" t="s">
        <v>32649</v>
      </c>
      <c r="P14445" t="s">
        <v>32732</v>
      </c>
      <c r="R14445" s="26" t="str">
        <f>HYPERLINK("https://ictv.global/taxonomy/taxondetails?taxnode_id=202302151","Torradovirus marchitezum")</f>
        <v>Torradovirus marchitezum</v>
      </c>
      <c r="S14445" t="s">
        <v>30</v>
      </c>
      <c r="T14445" t="s">
        <v>32759</v>
      </c>
      <c r="U14445" t="s">
        <v>32760</v>
      </c>
      <c r="V14445" t="s">
        <v>32761</v>
      </c>
      <c r="W14445" t="s">
        <v>32762</v>
      </c>
      <c r="X14445" t="s">
        <v>42</v>
      </c>
      <c r="Y14445" t="s">
        <v>17171</v>
      </c>
      <c r="Z14445" t="s">
        <v>13441</v>
      </c>
      <c r="AA14445" s="22" t="str">
        <f>HYPERLINK("https://www.ncbi.nlm.nih.gov/nuccore/EF681764,EF681765","NCBI Nucleotide")</f>
        <v>NCBI Nucleotide</v>
      </c>
    </row>
    <row r="14446" spans="1:27" x14ac:dyDescent="0.35">
      <c r="A14446">
        <v>1002770</v>
      </c>
      <c r="B14446">
        <v>13024</v>
      </c>
      <c r="C14446">
        <v>1</v>
      </c>
      <c r="D14446" t="s">
        <v>17166</v>
      </c>
      <c r="F14446" t="s">
        <v>17246</v>
      </c>
      <c r="H14446" t="s">
        <v>28921</v>
      </c>
      <c r="J14446" t="s">
        <v>29538</v>
      </c>
      <c r="L14446" t="s">
        <v>30198</v>
      </c>
      <c r="N14446" t="s">
        <v>32649</v>
      </c>
      <c r="P14446" t="s">
        <v>32763</v>
      </c>
      <c r="R14446" s="26" t="str">
        <f>HYPERLINK("https://ictv.global/taxonomy/taxondetails?taxnode_id=202313829","Waikavirus actinidiae")</f>
        <v>Waikavirus actinidiae</v>
      </c>
      <c r="S14446" t="s">
        <v>30</v>
      </c>
      <c r="T14446" t="s">
        <v>32764</v>
      </c>
      <c r="U14446" t="s">
        <v>32765</v>
      </c>
      <c r="V14446" t="s">
        <v>32766</v>
      </c>
      <c r="W14446" t="s">
        <v>32767</v>
      </c>
      <c r="X14446" t="s">
        <v>42</v>
      </c>
      <c r="Y14446" t="s">
        <v>17171</v>
      </c>
      <c r="Z14446" t="s">
        <v>13441</v>
      </c>
      <c r="AA14446" s="22" t="str">
        <f>HYPERLINK("https://www.ncbi.nlm.nih.gov/nuccore/MN180070","NCBI Nucleotide")</f>
        <v>NCBI Nucleotide</v>
      </c>
    </row>
    <row r="14447" spans="1:27" x14ac:dyDescent="0.35">
      <c r="A14447">
        <v>1002771</v>
      </c>
      <c r="B14447">
        <v>13025</v>
      </c>
      <c r="C14447">
        <v>1</v>
      </c>
      <c r="D14447" t="s">
        <v>17166</v>
      </c>
      <c r="F14447" t="s">
        <v>17246</v>
      </c>
      <c r="H14447" t="s">
        <v>28921</v>
      </c>
      <c r="J14447" t="s">
        <v>29538</v>
      </c>
      <c r="L14447" t="s">
        <v>30198</v>
      </c>
      <c r="N14447" t="s">
        <v>32649</v>
      </c>
      <c r="P14447" t="s">
        <v>32763</v>
      </c>
      <c r="R14447" s="26" t="str">
        <f>HYPERLINK("https://ictv.global/taxonomy/taxondetails?taxnode_id=202302159","Waikavirus anthrisci")</f>
        <v>Waikavirus anthrisci</v>
      </c>
      <c r="S14447" t="s">
        <v>30</v>
      </c>
      <c r="T14447" t="s">
        <v>32768</v>
      </c>
      <c r="U14447" t="s">
        <v>18364</v>
      </c>
      <c r="V14447" t="s">
        <v>32769</v>
      </c>
      <c r="X14447" t="s">
        <v>3311</v>
      </c>
      <c r="Y14447" t="s">
        <v>17171</v>
      </c>
      <c r="Z14447" t="s">
        <v>13441</v>
      </c>
    </row>
    <row r="14448" spans="1:27" x14ac:dyDescent="0.35">
      <c r="A14448">
        <v>1002772</v>
      </c>
      <c r="B14448">
        <v>13026</v>
      </c>
      <c r="C14448">
        <v>1</v>
      </c>
      <c r="D14448" t="s">
        <v>17166</v>
      </c>
      <c r="F14448" t="s">
        <v>17246</v>
      </c>
      <c r="H14448" t="s">
        <v>28921</v>
      </c>
      <c r="J14448" t="s">
        <v>29538</v>
      </c>
      <c r="L14448" t="s">
        <v>30198</v>
      </c>
      <c r="N14448" t="s">
        <v>32649</v>
      </c>
      <c r="P14448" t="s">
        <v>32763</v>
      </c>
      <c r="R14448" s="26" t="str">
        <f>HYPERLINK("https://ictv.global/taxonomy/taxondetails?taxnode_id=202313827","Waikavirus brassicae")</f>
        <v>Waikavirus brassicae</v>
      </c>
      <c r="S14448" t="s">
        <v>30</v>
      </c>
      <c r="T14448" t="s">
        <v>32770</v>
      </c>
      <c r="U14448" t="s">
        <v>32771</v>
      </c>
      <c r="V14448" t="s">
        <v>32772</v>
      </c>
      <c r="W14448" t="s">
        <v>32773</v>
      </c>
      <c r="X14448" t="s">
        <v>42</v>
      </c>
      <c r="Y14448" t="s">
        <v>17171</v>
      </c>
      <c r="Z14448" t="s">
        <v>13441</v>
      </c>
      <c r="AA14448" s="22" t="str">
        <f>HYPERLINK("https://www.ncbi.nlm.nih.gov/nuccore/MH844554","NCBI Nucleotide")</f>
        <v>NCBI Nucleotide</v>
      </c>
    </row>
    <row r="14449" spans="1:27" x14ac:dyDescent="0.35">
      <c r="A14449">
        <v>1002773</v>
      </c>
      <c r="B14449">
        <v>13027</v>
      </c>
      <c r="C14449">
        <v>1</v>
      </c>
      <c r="D14449" t="s">
        <v>17166</v>
      </c>
      <c r="F14449" t="s">
        <v>17246</v>
      </c>
      <c r="H14449" t="s">
        <v>28921</v>
      </c>
      <c r="J14449" t="s">
        <v>29538</v>
      </c>
      <c r="L14449" t="s">
        <v>30198</v>
      </c>
      <c r="N14449" t="s">
        <v>32649</v>
      </c>
      <c r="P14449" t="s">
        <v>32763</v>
      </c>
      <c r="R14449" s="26" t="str">
        <f>HYPERLINK("https://ictv.global/taxonomy/taxondetails?taxnode_id=202315098","Waikavirus camelliae")</f>
        <v>Waikavirus camelliae</v>
      </c>
      <c r="S14449" t="s">
        <v>30</v>
      </c>
      <c r="T14449" t="s">
        <v>32774</v>
      </c>
      <c r="U14449" t="s">
        <v>32775</v>
      </c>
      <c r="V14449" t="s">
        <v>32776</v>
      </c>
      <c r="W14449" t="s">
        <v>32777</v>
      </c>
      <c r="X14449" t="s">
        <v>42</v>
      </c>
      <c r="Y14449" t="s">
        <v>17171</v>
      </c>
      <c r="Z14449" t="s">
        <v>13441</v>
      </c>
      <c r="AA14449" s="22" t="str">
        <f>HYPERLINK("https://www.ncbi.nlm.nih.gov/nuccore/MW545173","NCBI Nucleotide")</f>
        <v>NCBI Nucleotide</v>
      </c>
    </row>
    <row r="14450" spans="1:27" x14ac:dyDescent="0.35">
      <c r="A14450">
        <v>1002774</v>
      </c>
      <c r="B14450">
        <v>13028</v>
      </c>
      <c r="C14450">
        <v>1</v>
      </c>
      <c r="D14450" t="s">
        <v>17166</v>
      </c>
      <c r="F14450" t="s">
        <v>17246</v>
      </c>
      <c r="H14450" t="s">
        <v>28921</v>
      </c>
      <c r="J14450" t="s">
        <v>29538</v>
      </c>
      <c r="L14450" t="s">
        <v>30198</v>
      </c>
      <c r="N14450" t="s">
        <v>32649</v>
      </c>
      <c r="P14450" t="s">
        <v>32763</v>
      </c>
      <c r="R14450" s="26" t="str">
        <f>HYPERLINK("https://ictv.global/taxonomy/taxondetails?taxnode_id=202302160","Waikavirus campanulae")</f>
        <v>Waikavirus campanulae</v>
      </c>
      <c r="S14450" t="s">
        <v>30</v>
      </c>
      <c r="T14450" t="s">
        <v>32778</v>
      </c>
      <c r="U14450" t="s">
        <v>32779</v>
      </c>
      <c r="V14450" t="s">
        <v>32780</v>
      </c>
      <c r="W14450" t="s">
        <v>32781</v>
      </c>
      <c r="X14450" t="s">
        <v>42</v>
      </c>
      <c r="Y14450" t="s">
        <v>17171</v>
      </c>
      <c r="Z14450" t="s">
        <v>13441</v>
      </c>
      <c r="AA14450" s="22" t="str">
        <f>HYPERLINK("https://www.ncbi.nlm.nih.gov/nuccore/KT238881","NCBI Nucleotide")</f>
        <v>NCBI Nucleotide</v>
      </c>
    </row>
    <row r="14451" spans="1:27" x14ac:dyDescent="0.35">
      <c r="A14451">
        <v>1002775</v>
      </c>
      <c r="B14451">
        <v>13029</v>
      </c>
      <c r="C14451">
        <v>1</v>
      </c>
      <c r="D14451" t="s">
        <v>17166</v>
      </c>
      <c r="F14451" t="s">
        <v>17246</v>
      </c>
      <c r="H14451" t="s">
        <v>28921</v>
      </c>
      <c r="J14451" t="s">
        <v>29538</v>
      </c>
      <c r="L14451" t="s">
        <v>30198</v>
      </c>
      <c r="N14451" t="s">
        <v>32649</v>
      </c>
      <c r="P14451" t="s">
        <v>32763</v>
      </c>
      <c r="R14451" s="26" t="str">
        <f>HYPERLINK("https://ictv.global/taxonomy/taxondetails?taxnode_id=202313825","Waikavirus diospyri")</f>
        <v>Waikavirus diospyri</v>
      </c>
      <c r="S14451" t="s">
        <v>30</v>
      </c>
      <c r="T14451" t="s">
        <v>32782</v>
      </c>
      <c r="U14451" t="s">
        <v>32783</v>
      </c>
      <c r="V14451" t="s">
        <v>32784</v>
      </c>
      <c r="W14451" t="s">
        <v>32785</v>
      </c>
      <c r="X14451" t="s">
        <v>42</v>
      </c>
      <c r="Y14451" t="s">
        <v>17171</v>
      </c>
      <c r="Z14451" t="s">
        <v>13441</v>
      </c>
      <c r="AA14451" s="22" t="str">
        <f>HYPERLINK("https://www.ncbi.nlm.nih.gov/nuccore/LC488189","NCBI Nucleotide")</f>
        <v>NCBI Nucleotide</v>
      </c>
    </row>
    <row r="14452" spans="1:27" x14ac:dyDescent="0.35">
      <c r="A14452">
        <v>1027512</v>
      </c>
      <c r="B14452">
        <v>13030</v>
      </c>
      <c r="C14452">
        <v>1</v>
      </c>
      <c r="D14452" t="s">
        <v>17166</v>
      </c>
      <c r="F14452" t="s">
        <v>17246</v>
      </c>
      <c r="H14452" t="s">
        <v>28921</v>
      </c>
      <c r="J14452" t="s">
        <v>29538</v>
      </c>
      <c r="L14452" t="s">
        <v>30198</v>
      </c>
      <c r="N14452" t="s">
        <v>32649</v>
      </c>
      <c r="P14452" t="s">
        <v>32763</v>
      </c>
      <c r="R14452" s="26" t="str">
        <f>HYPERLINK("https://ictv.global/taxonomy/taxondetails?taxnode_id=202318396","Waikavirus lactucae")</f>
        <v>Waikavirus lactucae</v>
      </c>
      <c r="S14452" t="s">
        <v>30</v>
      </c>
      <c r="T14452" t="s">
        <v>47343</v>
      </c>
      <c r="U14452" t="s">
        <v>47344</v>
      </c>
      <c r="V14452" t="s">
        <v>19634</v>
      </c>
      <c r="W14452" t="s">
        <v>47345</v>
      </c>
      <c r="X14452" t="s">
        <v>42</v>
      </c>
      <c r="Y14452" t="s">
        <v>17171</v>
      </c>
      <c r="Z14452" t="s">
        <v>13441</v>
      </c>
      <c r="AA14452" s="22" t="str">
        <f>HYPERLINK("https://www.ncbi.nlm.nih.gov/nuccore/MT348710","NCBI Nucleotide")</f>
        <v>NCBI Nucleotide</v>
      </c>
    </row>
    <row r="14453" spans="1:27" x14ac:dyDescent="0.35">
      <c r="A14453">
        <v>1002776</v>
      </c>
      <c r="B14453">
        <v>13031</v>
      </c>
      <c r="C14453">
        <v>1</v>
      </c>
      <c r="D14453" t="s">
        <v>17166</v>
      </c>
      <c r="F14453" t="s">
        <v>17246</v>
      </c>
      <c r="H14453" t="s">
        <v>28921</v>
      </c>
      <c r="J14453" t="s">
        <v>29538</v>
      </c>
      <c r="L14453" t="s">
        <v>30198</v>
      </c>
      <c r="N14453" t="s">
        <v>32649</v>
      </c>
      <c r="P14453" t="s">
        <v>32763</v>
      </c>
      <c r="R14453" s="26" t="str">
        <f>HYPERLINK("https://ictv.global/taxonomy/taxondetails?taxnode_id=202313830","Waikavirus liegense")</f>
        <v>Waikavirus liegense</v>
      </c>
      <c r="S14453" t="s">
        <v>30</v>
      </c>
      <c r="T14453" t="s">
        <v>32786</v>
      </c>
      <c r="U14453" t="s">
        <v>32787</v>
      </c>
      <c r="V14453" t="s">
        <v>32788</v>
      </c>
      <c r="W14453" t="s">
        <v>32789</v>
      </c>
      <c r="X14453" t="s">
        <v>35</v>
      </c>
      <c r="Y14453" t="s">
        <v>17171</v>
      </c>
      <c r="Z14453" t="s">
        <v>13441</v>
      </c>
      <c r="AA14453" s="22" t="str">
        <f>HYPERLINK("https://www.ncbi.nlm.nih.gov/nuccore/MW289237","NCBI Nucleotide")</f>
        <v>NCBI Nucleotide</v>
      </c>
    </row>
    <row r="14454" spans="1:27" x14ac:dyDescent="0.35">
      <c r="A14454">
        <v>1002777</v>
      </c>
      <c r="B14454">
        <v>13032</v>
      </c>
      <c r="C14454">
        <v>1</v>
      </c>
      <c r="D14454" t="s">
        <v>17166</v>
      </c>
      <c r="F14454" t="s">
        <v>17246</v>
      </c>
      <c r="H14454" t="s">
        <v>28921</v>
      </c>
      <c r="J14454" t="s">
        <v>29538</v>
      </c>
      <c r="L14454" t="s">
        <v>30198</v>
      </c>
      <c r="N14454" t="s">
        <v>32649</v>
      </c>
      <c r="P14454" t="s">
        <v>32763</v>
      </c>
      <c r="R14454" s="26" t="str">
        <f>HYPERLINK("https://ictv.global/taxonomy/taxondetails?taxnode_id=202302162","Waikavirus oryzae")</f>
        <v>Waikavirus oryzae</v>
      </c>
      <c r="S14454" t="s">
        <v>30</v>
      </c>
      <c r="T14454" t="s">
        <v>32790</v>
      </c>
      <c r="U14454" t="s">
        <v>32791</v>
      </c>
      <c r="V14454" t="s">
        <v>32792</v>
      </c>
      <c r="W14454" t="s">
        <v>32793</v>
      </c>
      <c r="X14454" t="s">
        <v>42</v>
      </c>
      <c r="Y14454" t="s">
        <v>17171</v>
      </c>
      <c r="Z14454" t="s">
        <v>13441</v>
      </c>
      <c r="AA14454" s="22" t="str">
        <f>HYPERLINK("https://www.ncbi.nlm.nih.gov/nuccore/M95497","NCBI Nucleotide")</f>
        <v>NCBI Nucleotide</v>
      </c>
    </row>
    <row r="14455" spans="1:27" x14ac:dyDescent="0.35">
      <c r="A14455">
        <v>1027513</v>
      </c>
      <c r="B14455">
        <v>13033</v>
      </c>
      <c r="C14455">
        <v>1</v>
      </c>
      <c r="D14455" t="s">
        <v>17166</v>
      </c>
      <c r="F14455" t="s">
        <v>17246</v>
      </c>
      <c r="H14455" t="s">
        <v>28921</v>
      </c>
      <c r="J14455" t="s">
        <v>29538</v>
      </c>
      <c r="L14455" t="s">
        <v>30198</v>
      </c>
      <c r="N14455" t="s">
        <v>32649</v>
      </c>
      <c r="P14455" t="s">
        <v>32763</v>
      </c>
      <c r="R14455" s="26" t="str">
        <f>HYPERLINK("https://ictv.global/taxonomy/taxondetails?taxnode_id=202318397","Waikavirus rhododendri")</f>
        <v>Waikavirus rhododendri</v>
      </c>
      <c r="S14455" t="s">
        <v>30</v>
      </c>
      <c r="T14455" t="s">
        <v>47346</v>
      </c>
      <c r="U14455" t="s">
        <v>47347</v>
      </c>
      <c r="V14455" t="s">
        <v>47348</v>
      </c>
      <c r="W14455" t="s">
        <v>47349</v>
      </c>
      <c r="X14455" t="s">
        <v>35</v>
      </c>
      <c r="Y14455" t="s">
        <v>17171</v>
      </c>
      <c r="Z14455" t="s">
        <v>13441</v>
      </c>
      <c r="AA14455" s="22" t="str">
        <f>HYPERLINK("https://www.ncbi.nlm.nih.gov/nuccore/BK061334","NCBI Nucleotide")</f>
        <v>NCBI Nucleotide</v>
      </c>
    </row>
    <row r="14456" spans="1:27" x14ac:dyDescent="0.35">
      <c r="A14456">
        <v>1002778</v>
      </c>
      <c r="B14456">
        <v>13034</v>
      </c>
      <c r="C14456">
        <v>1</v>
      </c>
      <c r="D14456" t="s">
        <v>17166</v>
      </c>
      <c r="F14456" t="s">
        <v>17246</v>
      </c>
      <c r="H14456" t="s">
        <v>28921</v>
      </c>
      <c r="J14456" t="s">
        <v>29538</v>
      </c>
      <c r="L14456" t="s">
        <v>30198</v>
      </c>
      <c r="N14456" t="s">
        <v>32649</v>
      </c>
      <c r="P14456" t="s">
        <v>32763</v>
      </c>
      <c r="R14456" s="26" t="str">
        <f>HYPERLINK("https://ictv.global/taxonomy/taxondetails?taxnode_id=202313828","Waikavirus ribesnigri")</f>
        <v>Waikavirus ribesnigri</v>
      </c>
      <c r="S14456" t="s">
        <v>30</v>
      </c>
      <c r="T14456" t="s">
        <v>32794</v>
      </c>
      <c r="U14456" t="s">
        <v>32795</v>
      </c>
      <c r="V14456" t="s">
        <v>19670</v>
      </c>
      <c r="W14456" t="s">
        <v>32796</v>
      </c>
      <c r="X14456" t="s">
        <v>42</v>
      </c>
      <c r="Y14456" t="s">
        <v>17171</v>
      </c>
      <c r="Z14456" t="s">
        <v>13441</v>
      </c>
      <c r="AA14456" s="22" t="str">
        <f>HYPERLINK("https://www.ncbi.nlm.nih.gov/nuccore/MN701059","NCBI Nucleotide")</f>
        <v>NCBI Nucleotide</v>
      </c>
    </row>
    <row r="14457" spans="1:27" x14ac:dyDescent="0.35">
      <c r="A14457">
        <v>1002779</v>
      </c>
      <c r="B14457">
        <v>13035</v>
      </c>
      <c r="C14457">
        <v>1</v>
      </c>
      <c r="D14457" t="s">
        <v>17166</v>
      </c>
      <c r="F14457" t="s">
        <v>17246</v>
      </c>
      <c r="H14457" t="s">
        <v>28921</v>
      </c>
      <c r="J14457" t="s">
        <v>29538</v>
      </c>
      <c r="L14457" t="s">
        <v>30198</v>
      </c>
      <c r="N14457" t="s">
        <v>32649</v>
      </c>
      <c r="P14457" t="s">
        <v>32763</v>
      </c>
      <c r="R14457" s="26" t="str">
        <f>HYPERLINK("https://ictv.global/taxonomy/taxondetails?taxnode_id=202315090","Waikavirus rosae")</f>
        <v>Waikavirus rosae</v>
      </c>
      <c r="S14457" t="s">
        <v>30</v>
      </c>
      <c r="T14457" t="s">
        <v>32797</v>
      </c>
      <c r="U14457" t="s">
        <v>32798</v>
      </c>
      <c r="V14457" t="s">
        <v>32799</v>
      </c>
      <c r="W14457" t="s">
        <v>32800</v>
      </c>
      <c r="X14457" t="s">
        <v>42</v>
      </c>
      <c r="Y14457" t="s">
        <v>17171</v>
      </c>
      <c r="Z14457" t="s">
        <v>13441</v>
      </c>
      <c r="AA14457" s="22" t="str">
        <f>HYPERLINK("https://www.ncbi.nlm.nih.gov/nuccore/MT757670","NCBI Nucleotide")</f>
        <v>NCBI Nucleotide</v>
      </c>
    </row>
    <row r="14458" spans="1:27" x14ac:dyDescent="0.35">
      <c r="A14458">
        <v>1002780</v>
      </c>
      <c r="B14458">
        <v>13036</v>
      </c>
      <c r="C14458">
        <v>1</v>
      </c>
      <c r="D14458" t="s">
        <v>17166</v>
      </c>
      <c r="F14458" t="s">
        <v>17246</v>
      </c>
      <c r="H14458" t="s">
        <v>28921</v>
      </c>
      <c r="J14458" t="s">
        <v>29538</v>
      </c>
      <c r="L14458" t="s">
        <v>30198</v>
      </c>
      <c r="N14458" t="s">
        <v>32649</v>
      </c>
      <c r="P14458" t="s">
        <v>32763</v>
      </c>
      <c r="R14458" s="26" t="str">
        <f>HYPERLINK("https://ictv.global/taxonomy/taxondetails?taxnode_id=202313826","Waikavirus trifolii")</f>
        <v>Waikavirus trifolii</v>
      </c>
      <c r="S14458" t="s">
        <v>30</v>
      </c>
      <c r="T14458" t="s">
        <v>32801</v>
      </c>
      <c r="U14458" t="s">
        <v>32802</v>
      </c>
      <c r="V14458" t="s">
        <v>32803</v>
      </c>
      <c r="W14458" t="s">
        <v>32804</v>
      </c>
      <c r="X14458" t="s">
        <v>42</v>
      </c>
      <c r="Y14458" t="s">
        <v>17171</v>
      </c>
      <c r="Z14458" t="s">
        <v>13441</v>
      </c>
      <c r="AA14458" s="22" t="str">
        <f>HYPERLINK("https://www.ncbi.nlm.nih.gov/nuccore/MH325329","NCBI Nucleotide")</f>
        <v>NCBI Nucleotide</v>
      </c>
    </row>
    <row r="14459" spans="1:27" x14ac:dyDescent="0.35">
      <c r="A14459">
        <v>1002781</v>
      </c>
      <c r="B14459">
        <v>13037</v>
      </c>
      <c r="C14459">
        <v>1</v>
      </c>
      <c r="D14459" t="s">
        <v>17166</v>
      </c>
      <c r="F14459" t="s">
        <v>17246</v>
      </c>
      <c r="H14459" t="s">
        <v>28921</v>
      </c>
      <c r="J14459" t="s">
        <v>29538</v>
      </c>
      <c r="L14459" t="s">
        <v>30198</v>
      </c>
      <c r="N14459" t="s">
        <v>32649</v>
      </c>
      <c r="P14459" t="s">
        <v>32763</v>
      </c>
      <c r="R14459" s="26" t="str">
        <f>HYPERLINK("https://ictv.global/taxonomy/taxondetails?taxnode_id=202302161","Waikavirus zeae")</f>
        <v>Waikavirus zeae</v>
      </c>
      <c r="S14459" t="s">
        <v>30</v>
      </c>
      <c r="T14459" t="s">
        <v>32805</v>
      </c>
      <c r="U14459" t="s">
        <v>32806</v>
      </c>
      <c r="V14459" t="s">
        <v>28159</v>
      </c>
      <c r="W14459" t="s">
        <v>32807</v>
      </c>
      <c r="X14459" t="s">
        <v>42</v>
      </c>
      <c r="Y14459" t="s">
        <v>17171</v>
      </c>
      <c r="Z14459" t="s">
        <v>13441</v>
      </c>
      <c r="AA14459" s="22" t="str">
        <f>HYPERLINK("https://www.ncbi.nlm.nih.gov/nuccore/U67839","NCBI Nucleotide")</f>
        <v>NCBI Nucleotide</v>
      </c>
    </row>
    <row r="14460" spans="1:27" x14ac:dyDescent="0.35">
      <c r="A14460">
        <v>1002782</v>
      </c>
      <c r="B14460">
        <v>13038</v>
      </c>
      <c r="C14460">
        <v>1</v>
      </c>
      <c r="D14460" t="s">
        <v>17166</v>
      </c>
      <c r="F14460" t="s">
        <v>17246</v>
      </c>
      <c r="H14460" t="s">
        <v>28921</v>
      </c>
      <c r="J14460" t="s">
        <v>29538</v>
      </c>
      <c r="L14460" t="s">
        <v>30198</v>
      </c>
      <c r="N14460" t="s">
        <v>33053</v>
      </c>
      <c r="P14460" t="s">
        <v>33054</v>
      </c>
      <c r="R14460" s="26" t="str">
        <f>HYPERLINK("https://ictv.global/taxonomy/taxondetails?taxnode_id=202305051","Invictavirus solenopsis")</f>
        <v>Invictavirus solenopsis</v>
      </c>
      <c r="S14460" t="s">
        <v>30</v>
      </c>
      <c r="T14460" t="s">
        <v>33055</v>
      </c>
      <c r="U14460" t="s">
        <v>33056</v>
      </c>
      <c r="V14460" t="s">
        <v>33057</v>
      </c>
      <c r="W14460" t="s">
        <v>33058</v>
      </c>
      <c r="X14460" t="s">
        <v>42</v>
      </c>
      <c r="Y14460" t="s">
        <v>17171</v>
      </c>
      <c r="Z14460" t="s">
        <v>10790</v>
      </c>
      <c r="AA14460" s="22" t="str">
        <f>HYPERLINK("https://www.ncbi.nlm.nih.gov/nuccore/FJ528584","NCBI Nucleotide")</f>
        <v>NCBI Nucleotide</v>
      </c>
    </row>
    <row r="14461" spans="1:27" x14ac:dyDescent="0.35">
      <c r="A14461">
        <v>1002783</v>
      </c>
      <c r="B14461">
        <v>13039</v>
      </c>
      <c r="C14461">
        <v>1</v>
      </c>
      <c r="D14461" t="s">
        <v>17166</v>
      </c>
      <c r="F14461" t="s">
        <v>17246</v>
      </c>
      <c r="H14461" t="s">
        <v>28921</v>
      </c>
      <c r="J14461" t="s">
        <v>29538</v>
      </c>
      <c r="L14461" t="s">
        <v>30198</v>
      </c>
      <c r="N14461" t="s">
        <v>33053</v>
      </c>
      <c r="P14461" t="s">
        <v>33059</v>
      </c>
      <c r="R14461" s="26" t="str">
        <f>HYPERLINK("https://ictv.global/taxonomy/taxondetails?taxnode_id=202305053","Nyfulvavirus nylanderiae")</f>
        <v>Nyfulvavirus nylanderiae</v>
      </c>
      <c r="S14461" t="s">
        <v>30</v>
      </c>
      <c r="T14461" t="s">
        <v>33060</v>
      </c>
      <c r="U14461" t="s">
        <v>33061</v>
      </c>
      <c r="V14461" t="s">
        <v>33062</v>
      </c>
      <c r="W14461" t="s">
        <v>33063</v>
      </c>
      <c r="X14461" t="s">
        <v>35</v>
      </c>
      <c r="Y14461" t="s">
        <v>17171</v>
      </c>
      <c r="Z14461" t="s">
        <v>10790</v>
      </c>
      <c r="AA14461" s="22" t="str">
        <f>HYPERLINK("https://www.ncbi.nlm.nih.gov/nuccore/KX024775","NCBI Nucleotide")</f>
        <v>NCBI Nucleotide</v>
      </c>
    </row>
    <row r="14462" spans="1:27" x14ac:dyDescent="0.35">
      <c r="A14462">
        <v>1002784</v>
      </c>
      <c r="B14462">
        <v>13040</v>
      </c>
      <c r="C14462">
        <v>1</v>
      </c>
      <c r="D14462" t="s">
        <v>17166</v>
      </c>
      <c r="F14462" t="s">
        <v>17246</v>
      </c>
      <c r="H14462" t="s">
        <v>28921</v>
      </c>
      <c r="J14462" t="s">
        <v>29538</v>
      </c>
      <c r="L14462" t="s">
        <v>33064</v>
      </c>
      <c r="N14462" t="s">
        <v>33065</v>
      </c>
      <c r="P14462" t="s">
        <v>33066</v>
      </c>
      <c r="R14462" s="26" t="str">
        <f>HYPERLINK("https://ictv.global/taxonomy/taxondetails?taxnode_id=202302473","Heterocapsa circularisquama RNA virus 01")</f>
        <v>Heterocapsa circularisquama RNA virus 01</v>
      </c>
      <c r="S14462" t="s">
        <v>30</v>
      </c>
      <c r="T14462" t="s">
        <v>33067</v>
      </c>
      <c r="U14462" t="s">
        <v>33068</v>
      </c>
      <c r="V14462">
        <v>34</v>
      </c>
      <c r="W14462" t="s">
        <v>33069</v>
      </c>
      <c r="X14462" t="s">
        <v>42</v>
      </c>
      <c r="Y14462" t="s">
        <v>17171</v>
      </c>
      <c r="Z14462" t="s">
        <v>17496</v>
      </c>
      <c r="AA14462" s="22" t="str">
        <f>HYPERLINK("https://www.ncbi.nlm.nih.gov/nuccore/AB218608","NCBI Nucleotide")</f>
        <v>NCBI Nucleotide</v>
      </c>
    </row>
    <row r="14463" spans="1:27" x14ac:dyDescent="0.35">
      <c r="A14463">
        <v>1002785</v>
      </c>
      <c r="B14463">
        <v>13041</v>
      </c>
      <c r="C14463">
        <v>1</v>
      </c>
      <c r="D14463" t="s">
        <v>17166</v>
      </c>
      <c r="F14463" t="s">
        <v>17246</v>
      </c>
      <c r="H14463" t="s">
        <v>28921</v>
      </c>
      <c r="J14463" t="s">
        <v>29538</v>
      </c>
      <c r="L14463" t="s">
        <v>33064</v>
      </c>
      <c r="N14463" t="s">
        <v>33070</v>
      </c>
      <c r="P14463" t="s">
        <v>33071</v>
      </c>
      <c r="R14463" s="26" t="str">
        <f>HYPERLINK("https://ictv.global/taxonomy/taxondetails?taxnode_id=202302729","Mushroom bacilliform virus")</f>
        <v>Mushroom bacilliform virus</v>
      </c>
      <c r="S14463" t="s">
        <v>30</v>
      </c>
      <c r="T14463" t="s">
        <v>33072</v>
      </c>
      <c r="U14463" t="s">
        <v>26126</v>
      </c>
      <c r="V14463" t="s">
        <v>33073</v>
      </c>
      <c r="W14463" t="s">
        <v>33074</v>
      </c>
      <c r="X14463" t="s">
        <v>42</v>
      </c>
      <c r="Y14463" t="s">
        <v>17171</v>
      </c>
      <c r="Z14463" t="s">
        <v>16721</v>
      </c>
      <c r="AA14463" s="22" t="str">
        <f>HYPERLINK("https://www.ncbi.nlm.nih.gov/nuccore/U07551","NCBI Nucleotide")</f>
        <v>NCBI Nucleotide</v>
      </c>
    </row>
    <row r="14464" spans="1:27" x14ac:dyDescent="0.35">
      <c r="A14464">
        <v>1002786</v>
      </c>
      <c r="B14464">
        <v>13042</v>
      </c>
      <c r="C14464">
        <v>1</v>
      </c>
      <c r="D14464" t="s">
        <v>17166</v>
      </c>
      <c r="F14464" t="s">
        <v>17246</v>
      </c>
      <c r="H14464" t="s">
        <v>28921</v>
      </c>
      <c r="J14464" t="s">
        <v>29538</v>
      </c>
      <c r="L14464" t="s">
        <v>33064</v>
      </c>
      <c r="N14464" t="s">
        <v>33075</v>
      </c>
      <c r="P14464" t="s">
        <v>33094</v>
      </c>
      <c r="R14464" s="26" t="str">
        <f>HYPERLINK("https://ictv.global/taxonomy/taxondetails?taxnode_id=202303762","Enamovirus AEV")</f>
        <v>Enamovirus AEV</v>
      </c>
      <c r="S14464" t="s">
        <v>30</v>
      </c>
      <c r="T14464" t="s">
        <v>33095</v>
      </c>
      <c r="U14464" t="s">
        <v>33096</v>
      </c>
      <c r="V14464" t="s">
        <v>33097</v>
      </c>
      <c r="W14464" t="s">
        <v>33098</v>
      </c>
      <c r="X14464" t="s">
        <v>42</v>
      </c>
      <c r="Y14464" t="s">
        <v>17171</v>
      </c>
      <c r="Z14464" t="s">
        <v>13441</v>
      </c>
      <c r="AA14464" s="22" t="str">
        <f>HYPERLINK("https://www.ncbi.nlm.nih.gov/nuccore/KU297983","NCBI Nucleotide")</f>
        <v>NCBI Nucleotide</v>
      </c>
    </row>
    <row r="14465" spans="1:27" x14ac:dyDescent="0.35">
      <c r="A14465">
        <v>1026213</v>
      </c>
      <c r="B14465">
        <v>13043</v>
      </c>
      <c r="C14465">
        <v>1</v>
      </c>
      <c r="D14465" t="s">
        <v>17166</v>
      </c>
      <c r="F14465" t="s">
        <v>17246</v>
      </c>
      <c r="H14465" t="s">
        <v>28921</v>
      </c>
      <c r="J14465" t="s">
        <v>29538</v>
      </c>
      <c r="L14465" t="s">
        <v>33064</v>
      </c>
      <c r="N14465" t="s">
        <v>33075</v>
      </c>
      <c r="P14465" t="s">
        <v>33094</v>
      </c>
      <c r="R14465" s="26" t="str">
        <f>HYPERLINK("https://ictv.global/taxonomy/taxondetails?taxnode_id=202318491","Enamovirus AGV")</f>
        <v>Enamovirus AGV</v>
      </c>
      <c r="S14465" t="s">
        <v>30</v>
      </c>
      <c r="T14465" t="s">
        <v>47350</v>
      </c>
      <c r="U14465" t="s">
        <v>47351</v>
      </c>
      <c r="V14465" t="s">
        <v>47352</v>
      </c>
      <c r="W14465" t="s">
        <v>47353</v>
      </c>
      <c r="X14465" t="s">
        <v>42</v>
      </c>
      <c r="Y14465" t="s">
        <v>17171</v>
      </c>
      <c r="Z14465" t="s">
        <v>13441</v>
      </c>
      <c r="AA14465" s="22" t="str">
        <f>HYPERLINK("https://www.ncbi.nlm.nih.gov/nuccore/OP660857","NCBI Nucleotide")</f>
        <v>NCBI Nucleotide</v>
      </c>
    </row>
    <row r="14466" spans="1:27" x14ac:dyDescent="0.35">
      <c r="A14466">
        <v>1026214</v>
      </c>
      <c r="B14466">
        <v>13044</v>
      </c>
      <c r="C14466">
        <v>1</v>
      </c>
      <c r="D14466" t="s">
        <v>17166</v>
      </c>
      <c r="F14466" t="s">
        <v>17246</v>
      </c>
      <c r="H14466" t="s">
        <v>28921</v>
      </c>
      <c r="J14466" t="s">
        <v>29538</v>
      </c>
      <c r="L14466" t="s">
        <v>33064</v>
      </c>
      <c r="N14466" t="s">
        <v>33075</v>
      </c>
      <c r="P14466" t="s">
        <v>33094</v>
      </c>
      <c r="R14466" s="26" t="str">
        <f>HYPERLINK("https://ictv.global/taxonomy/taxondetails?taxnode_id=202318492","Enamovirus ALVE")</f>
        <v>Enamovirus ALVE</v>
      </c>
      <c r="S14466" t="s">
        <v>30</v>
      </c>
      <c r="T14466" t="s">
        <v>47354</v>
      </c>
      <c r="U14466" t="s">
        <v>47355</v>
      </c>
      <c r="V14466" t="s">
        <v>47356</v>
      </c>
      <c r="W14466" t="s">
        <v>47357</v>
      </c>
      <c r="X14466" t="s">
        <v>154</v>
      </c>
      <c r="Y14466" t="s">
        <v>17171</v>
      </c>
      <c r="Z14466" t="s">
        <v>13441</v>
      </c>
      <c r="AA14466" s="22" t="str">
        <f>HYPERLINK("https://www.ncbi.nlm.nih.gov/nuccore/MF136435","NCBI Nucleotide")</f>
        <v>NCBI Nucleotide</v>
      </c>
    </row>
    <row r="14467" spans="1:27" x14ac:dyDescent="0.35">
      <c r="A14467">
        <v>1026215</v>
      </c>
      <c r="B14467">
        <v>13045</v>
      </c>
      <c r="C14467">
        <v>1</v>
      </c>
      <c r="D14467" t="s">
        <v>17166</v>
      </c>
      <c r="F14467" t="s">
        <v>17246</v>
      </c>
      <c r="H14467" t="s">
        <v>28921</v>
      </c>
      <c r="J14467" t="s">
        <v>29538</v>
      </c>
      <c r="L14467" t="s">
        <v>33064</v>
      </c>
      <c r="N14467" t="s">
        <v>33075</v>
      </c>
      <c r="P14467" t="s">
        <v>33094</v>
      </c>
      <c r="R14467" s="26" t="str">
        <f>HYPERLINK("https://ictv.global/taxonomy/taxondetails?taxnode_id=202318493","Enamovirus BEV")</f>
        <v>Enamovirus BEV</v>
      </c>
      <c r="S14467" t="s">
        <v>30</v>
      </c>
      <c r="T14467" t="s">
        <v>47358</v>
      </c>
      <c r="U14467" t="s">
        <v>47359</v>
      </c>
      <c r="V14467" t="s">
        <v>47360</v>
      </c>
      <c r="W14467" t="s">
        <v>47361</v>
      </c>
      <c r="X14467" t="s">
        <v>35</v>
      </c>
      <c r="Y14467" t="s">
        <v>17171</v>
      </c>
      <c r="Z14467" t="s">
        <v>13441</v>
      </c>
      <c r="AA14467" s="22" t="str">
        <f>HYPERLINK("https://www.ncbi.nlm.nih.gov/nuccore/MZ361924","NCBI Nucleotide")</f>
        <v>NCBI Nucleotide</v>
      </c>
    </row>
    <row r="14468" spans="1:27" x14ac:dyDescent="0.35">
      <c r="A14468">
        <v>1002787</v>
      </c>
      <c r="B14468">
        <v>13046</v>
      </c>
      <c r="C14468">
        <v>1</v>
      </c>
      <c r="D14468" t="s">
        <v>17166</v>
      </c>
      <c r="F14468" t="s">
        <v>17246</v>
      </c>
      <c r="H14468" t="s">
        <v>28921</v>
      </c>
      <c r="J14468" t="s">
        <v>29538</v>
      </c>
      <c r="L14468" t="s">
        <v>33064</v>
      </c>
      <c r="N14468" t="s">
        <v>33075</v>
      </c>
      <c r="P14468" t="s">
        <v>33094</v>
      </c>
      <c r="R14468" s="26" t="str">
        <f>HYPERLINK("https://ictv.global/taxonomy/taxondetails?taxnode_id=202307408","Enamovirus BFTEV")</f>
        <v>Enamovirus BFTEV</v>
      </c>
      <c r="S14468" t="s">
        <v>30</v>
      </c>
      <c r="T14468" t="s">
        <v>33099</v>
      </c>
      <c r="U14468" t="s">
        <v>33100</v>
      </c>
      <c r="V14468" t="s">
        <v>33101</v>
      </c>
      <c r="X14468" t="s">
        <v>3311</v>
      </c>
      <c r="Y14468" t="s">
        <v>17171</v>
      </c>
      <c r="Z14468" t="s">
        <v>13441</v>
      </c>
    </row>
    <row r="14469" spans="1:27" x14ac:dyDescent="0.35">
      <c r="A14469">
        <v>1026216</v>
      </c>
      <c r="B14469">
        <v>13047</v>
      </c>
      <c r="C14469">
        <v>1</v>
      </c>
      <c r="D14469" t="s">
        <v>17166</v>
      </c>
      <c r="F14469" t="s">
        <v>17246</v>
      </c>
      <c r="H14469" t="s">
        <v>28921</v>
      </c>
      <c r="J14469" t="s">
        <v>29538</v>
      </c>
      <c r="L14469" t="s">
        <v>33064</v>
      </c>
      <c r="N14469" t="s">
        <v>33075</v>
      </c>
      <c r="P14469" t="s">
        <v>33094</v>
      </c>
      <c r="R14469" s="26" t="str">
        <f>HYPERLINK("https://ictv.global/taxonomy/taxondetails?taxnode_id=202318494","Enamovirus BPVE")</f>
        <v>Enamovirus BPVE</v>
      </c>
      <c r="S14469" t="s">
        <v>30</v>
      </c>
      <c r="T14469" t="s">
        <v>47362</v>
      </c>
      <c r="U14469" t="s">
        <v>47363</v>
      </c>
      <c r="V14469" t="s">
        <v>47364</v>
      </c>
      <c r="W14469" t="s">
        <v>47365</v>
      </c>
      <c r="X14469" t="s">
        <v>42</v>
      </c>
      <c r="Y14469" t="s">
        <v>17171</v>
      </c>
      <c r="Z14469" t="s">
        <v>13441</v>
      </c>
      <c r="AA14469" s="22" t="str">
        <f>HYPERLINK("https://www.ncbi.nlm.nih.gov/nuccore/MZ702869","NCBI Nucleotide")</f>
        <v>NCBI Nucleotide</v>
      </c>
    </row>
    <row r="14470" spans="1:27" x14ac:dyDescent="0.35">
      <c r="A14470">
        <v>1026217</v>
      </c>
      <c r="B14470">
        <v>13048</v>
      </c>
      <c r="C14470">
        <v>1</v>
      </c>
      <c r="D14470" t="s">
        <v>17166</v>
      </c>
      <c r="F14470" t="s">
        <v>17246</v>
      </c>
      <c r="H14470" t="s">
        <v>28921</v>
      </c>
      <c r="J14470" t="s">
        <v>29538</v>
      </c>
      <c r="L14470" t="s">
        <v>33064</v>
      </c>
      <c r="N14470" t="s">
        <v>33075</v>
      </c>
      <c r="P14470" t="s">
        <v>33094</v>
      </c>
      <c r="R14470" s="26" t="str">
        <f>HYPERLINK("https://ictv.global/taxonomy/taxondetails?taxnode_id=202318495","Enamovirus CLEV")</f>
        <v>Enamovirus CLEV</v>
      </c>
      <c r="S14470" t="s">
        <v>30</v>
      </c>
      <c r="T14470" t="s">
        <v>47366</v>
      </c>
      <c r="U14470" t="s">
        <v>47367</v>
      </c>
      <c r="V14470" t="s">
        <v>47368</v>
      </c>
      <c r="W14470" t="s">
        <v>47369</v>
      </c>
      <c r="X14470" t="s">
        <v>35</v>
      </c>
      <c r="Y14470" t="s">
        <v>17171</v>
      </c>
      <c r="Z14470" t="s">
        <v>13441</v>
      </c>
      <c r="AA14470" s="22" t="str">
        <f>HYPERLINK("https://www.ncbi.nlm.nih.gov/nuccore/BK059370","NCBI Nucleotide")</f>
        <v>NCBI Nucleotide</v>
      </c>
    </row>
    <row r="14471" spans="1:27" x14ac:dyDescent="0.35">
      <c r="A14471">
        <v>1002788</v>
      </c>
      <c r="B14471">
        <v>13049</v>
      </c>
      <c r="C14471">
        <v>1</v>
      </c>
      <c r="D14471" t="s">
        <v>17166</v>
      </c>
      <c r="F14471" t="s">
        <v>17246</v>
      </c>
      <c r="H14471" t="s">
        <v>28921</v>
      </c>
      <c r="J14471" t="s">
        <v>29538</v>
      </c>
      <c r="L14471" t="s">
        <v>33064</v>
      </c>
      <c r="N14471" t="s">
        <v>33075</v>
      </c>
      <c r="P14471" t="s">
        <v>33094</v>
      </c>
      <c r="R14471" s="26" t="str">
        <f>HYPERLINK("https://ictv.global/taxonomy/taxondetails?taxnode_id=202306590","Enamovirus CVEV")</f>
        <v>Enamovirus CVEV</v>
      </c>
      <c r="S14471" t="s">
        <v>30</v>
      </c>
      <c r="T14471" t="s">
        <v>33102</v>
      </c>
      <c r="U14471" t="s">
        <v>33103</v>
      </c>
      <c r="V14471" t="s">
        <v>33104</v>
      </c>
      <c r="W14471" t="s">
        <v>33105</v>
      </c>
      <c r="X14471" t="s">
        <v>42</v>
      </c>
      <c r="Y14471" t="s">
        <v>17171</v>
      </c>
      <c r="Z14471" t="s">
        <v>13441</v>
      </c>
      <c r="AA14471" s="22" t="str">
        <f>HYPERLINK("https://www.ncbi.nlm.nih.gov/nuccore/HF679486","NCBI Nucleotide")</f>
        <v>NCBI Nucleotide</v>
      </c>
    </row>
    <row r="14472" spans="1:27" x14ac:dyDescent="0.35">
      <c r="A14472">
        <v>1002789</v>
      </c>
      <c r="B14472">
        <v>13050</v>
      </c>
      <c r="C14472">
        <v>1</v>
      </c>
      <c r="D14472" t="s">
        <v>17166</v>
      </c>
      <c r="F14472" t="s">
        <v>17246</v>
      </c>
      <c r="H14472" t="s">
        <v>28921</v>
      </c>
      <c r="J14472" t="s">
        <v>29538</v>
      </c>
      <c r="L14472" t="s">
        <v>33064</v>
      </c>
      <c r="N14472" t="s">
        <v>33075</v>
      </c>
      <c r="P14472" t="s">
        <v>33094</v>
      </c>
      <c r="R14472" s="26" t="str">
        <f>HYPERLINK("https://ictv.global/taxonomy/taxondetails?taxnode_id=202306585","Enamovirus GEV")</f>
        <v>Enamovirus GEV</v>
      </c>
      <c r="S14472" t="s">
        <v>30</v>
      </c>
      <c r="T14472" t="s">
        <v>33106</v>
      </c>
      <c r="U14472" t="s">
        <v>33107</v>
      </c>
      <c r="V14472" t="s">
        <v>33108</v>
      </c>
      <c r="W14472" t="s">
        <v>33109</v>
      </c>
      <c r="X14472" t="s">
        <v>35</v>
      </c>
      <c r="Y14472" t="s">
        <v>17171</v>
      </c>
      <c r="Z14472" t="s">
        <v>13441</v>
      </c>
      <c r="AA14472" s="22" t="str">
        <f>HYPERLINK("https://www.ncbi.nlm.nih.gov/nuccore/KX645875","NCBI Nucleotide")</f>
        <v>NCBI Nucleotide</v>
      </c>
    </row>
    <row r="14473" spans="1:27" x14ac:dyDescent="0.35">
      <c r="A14473">
        <v>1011916</v>
      </c>
      <c r="B14473">
        <v>13050</v>
      </c>
      <c r="C14473">
        <v>2</v>
      </c>
      <c r="D14473" t="s">
        <v>17166</v>
      </c>
      <c r="F14473" t="s">
        <v>17246</v>
      </c>
      <c r="H14473" t="s">
        <v>28921</v>
      </c>
      <c r="J14473" t="s">
        <v>29538</v>
      </c>
      <c r="L14473" t="s">
        <v>33064</v>
      </c>
      <c r="N14473" t="s">
        <v>33075</v>
      </c>
      <c r="P14473" t="s">
        <v>33094</v>
      </c>
      <c r="R14473" s="26" t="str">
        <f>HYPERLINK("https://ictv.global/taxonomy/taxondetails?taxnode_id=202306585","Enamovirus GEV")</f>
        <v>Enamovirus GEV</v>
      </c>
      <c r="S14473" t="s">
        <v>8141</v>
      </c>
      <c r="T14473" t="s">
        <v>33106</v>
      </c>
      <c r="U14473" t="s">
        <v>33107</v>
      </c>
      <c r="V14473" t="s">
        <v>33110</v>
      </c>
      <c r="W14473" t="s">
        <v>50111</v>
      </c>
      <c r="X14473" t="s">
        <v>42</v>
      </c>
      <c r="Y14473" t="s">
        <v>17171</v>
      </c>
      <c r="Z14473" t="s">
        <v>13441</v>
      </c>
      <c r="AA14473" s="22" t="str">
        <f>HYPERLINK("https://www.ncbi.nlm.nih.gov/nuccore/MT536978","NCBI Nucleotide")</f>
        <v>NCBI Nucleotide</v>
      </c>
    </row>
    <row r="14474" spans="1:27" x14ac:dyDescent="0.35">
      <c r="A14474">
        <v>1011917</v>
      </c>
      <c r="B14474">
        <v>13050</v>
      </c>
      <c r="C14474">
        <v>3</v>
      </c>
      <c r="D14474" t="s">
        <v>17166</v>
      </c>
      <c r="F14474" t="s">
        <v>17246</v>
      </c>
      <c r="H14474" t="s">
        <v>28921</v>
      </c>
      <c r="J14474" t="s">
        <v>29538</v>
      </c>
      <c r="L14474" t="s">
        <v>33064</v>
      </c>
      <c r="N14474" t="s">
        <v>33075</v>
      </c>
      <c r="P14474" t="s">
        <v>33094</v>
      </c>
      <c r="R14474" s="26" t="str">
        <f>HYPERLINK("https://ictv.global/taxonomy/taxondetails?taxnode_id=202306585","Enamovirus GEV")</f>
        <v>Enamovirus GEV</v>
      </c>
      <c r="S14474" t="s">
        <v>8141</v>
      </c>
      <c r="T14474" t="s">
        <v>33106</v>
      </c>
      <c r="U14474" t="s">
        <v>33107</v>
      </c>
      <c r="V14474" t="s">
        <v>33111</v>
      </c>
      <c r="W14474" t="s">
        <v>50112</v>
      </c>
      <c r="X14474" t="s">
        <v>35</v>
      </c>
      <c r="Y14474" t="s">
        <v>17171</v>
      </c>
      <c r="Z14474" t="s">
        <v>13441</v>
      </c>
      <c r="AA14474" s="22" t="str">
        <f>HYPERLINK("https://www.ncbi.nlm.nih.gov/nuccore/KY820716","NCBI Nucleotide")</f>
        <v>NCBI Nucleotide</v>
      </c>
    </row>
    <row r="14475" spans="1:27" x14ac:dyDescent="0.35">
      <c r="A14475">
        <v>1026218</v>
      </c>
      <c r="B14475">
        <v>13051</v>
      </c>
      <c r="C14475">
        <v>1</v>
      </c>
      <c r="D14475" t="s">
        <v>17166</v>
      </c>
      <c r="F14475" t="s">
        <v>17246</v>
      </c>
      <c r="H14475" t="s">
        <v>28921</v>
      </c>
      <c r="J14475" t="s">
        <v>29538</v>
      </c>
      <c r="L14475" t="s">
        <v>33064</v>
      </c>
      <c r="N14475" t="s">
        <v>33075</v>
      </c>
      <c r="P14475" t="s">
        <v>33094</v>
      </c>
      <c r="R14475" s="26" t="str">
        <f>HYPERLINK("https://ictv.global/taxonomy/taxondetails?taxnode_id=202318496","Enamovirus GSPEV")</f>
        <v>Enamovirus GSPEV</v>
      </c>
      <c r="S14475" t="s">
        <v>30</v>
      </c>
      <c r="T14475" t="s">
        <v>47370</v>
      </c>
      <c r="U14475" t="s">
        <v>47371</v>
      </c>
      <c r="V14475" t="s">
        <v>47372</v>
      </c>
      <c r="W14475" t="s">
        <v>47373</v>
      </c>
      <c r="X14475" t="s">
        <v>35</v>
      </c>
      <c r="Y14475" t="s">
        <v>17171</v>
      </c>
      <c r="Z14475" t="s">
        <v>13441</v>
      </c>
      <c r="AA14475" s="22" t="str">
        <f>HYPERLINK("https://www.ncbi.nlm.nih.gov/nuccore/MH323436","NCBI Nucleotide")</f>
        <v>NCBI Nucleotide</v>
      </c>
    </row>
    <row r="14476" spans="1:27" x14ac:dyDescent="0.35">
      <c r="A14476">
        <v>1026219</v>
      </c>
      <c r="B14476">
        <v>13052</v>
      </c>
      <c r="C14476">
        <v>1</v>
      </c>
      <c r="D14476" t="s">
        <v>17166</v>
      </c>
      <c r="F14476" t="s">
        <v>17246</v>
      </c>
      <c r="H14476" t="s">
        <v>28921</v>
      </c>
      <c r="J14476" t="s">
        <v>29538</v>
      </c>
      <c r="L14476" t="s">
        <v>33064</v>
      </c>
      <c r="N14476" t="s">
        <v>33075</v>
      </c>
      <c r="P14476" t="s">
        <v>33094</v>
      </c>
      <c r="R14476" s="26" t="str">
        <f>HYPERLINK("https://ictv.global/taxonomy/taxondetails?taxnode_id=202318497","Enamovirus KSEV")</f>
        <v>Enamovirus KSEV</v>
      </c>
      <c r="S14476" t="s">
        <v>30</v>
      </c>
      <c r="T14476" t="s">
        <v>47374</v>
      </c>
      <c r="U14476" t="s">
        <v>47375</v>
      </c>
      <c r="V14476" t="s">
        <v>47376</v>
      </c>
      <c r="W14476" t="s">
        <v>47377</v>
      </c>
      <c r="X14476" t="s">
        <v>154</v>
      </c>
      <c r="Y14476" t="s">
        <v>17171</v>
      </c>
      <c r="Z14476" t="s">
        <v>13441</v>
      </c>
      <c r="AA14476" s="22" t="str">
        <f>HYPERLINK("https://www.ncbi.nlm.nih.gov/nuccore/MN814310","NCBI Nucleotide")</f>
        <v>NCBI Nucleotide</v>
      </c>
    </row>
    <row r="14477" spans="1:27" x14ac:dyDescent="0.35">
      <c r="A14477">
        <v>1026220</v>
      </c>
      <c r="B14477">
        <v>13053</v>
      </c>
      <c r="C14477">
        <v>1</v>
      </c>
      <c r="D14477" t="s">
        <v>17166</v>
      </c>
      <c r="F14477" t="s">
        <v>17246</v>
      </c>
      <c r="H14477" t="s">
        <v>28921</v>
      </c>
      <c r="J14477" t="s">
        <v>29538</v>
      </c>
      <c r="L14477" t="s">
        <v>33064</v>
      </c>
      <c r="N14477" t="s">
        <v>33075</v>
      </c>
      <c r="P14477" t="s">
        <v>33094</v>
      </c>
      <c r="R14477" s="26" t="str">
        <f>HYPERLINK("https://ictv.global/taxonomy/taxondetails?taxnode_id=202318498","Enamovirus PEEV")</f>
        <v>Enamovirus PEEV</v>
      </c>
      <c r="S14477" t="s">
        <v>30</v>
      </c>
      <c r="T14477" t="s">
        <v>47378</v>
      </c>
      <c r="U14477" t="s">
        <v>47379</v>
      </c>
      <c r="V14477" t="s">
        <v>47380</v>
      </c>
      <c r="W14477" t="s">
        <v>47381</v>
      </c>
      <c r="X14477" t="s">
        <v>35</v>
      </c>
      <c r="Y14477" t="s">
        <v>17171</v>
      </c>
      <c r="Z14477" t="s">
        <v>13441</v>
      </c>
      <c r="AA14477" s="22" t="str">
        <f>HYPERLINK("https://www.ncbi.nlm.nih.gov/nuccore/MG470803","NCBI Nucleotide")</f>
        <v>NCBI Nucleotide</v>
      </c>
    </row>
    <row r="14478" spans="1:27" x14ac:dyDescent="0.35">
      <c r="A14478">
        <v>1002790</v>
      </c>
      <c r="B14478">
        <v>13054</v>
      </c>
      <c r="C14478">
        <v>1</v>
      </c>
      <c r="D14478" t="s">
        <v>17166</v>
      </c>
      <c r="F14478" t="s">
        <v>17246</v>
      </c>
      <c r="H14478" t="s">
        <v>28921</v>
      </c>
      <c r="J14478" t="s">
        <v>29538</v>
      </c>
      <c r="L14478" t="s">
        <v>33064</v>
      </c>
      <c r="N14478" t="s">
        <v>33075</v>
      </c>
      <c r="P14478" t="s">
        <v>33094</v>
      </c>
      <c r="R14478" s="26" t="str">
        <f>HYPERLINK("https://ictv.global/taxonomy/taxondetails?taxnode_id=202303763","Enamovirus PEMV")</f>
        <v>Enamovirus PEMV</v>
      </c>
      <c r="S14478" t="s">
        <v>30</v>
      </c>
      <c r="T14478" t="s">
        <v>33112</v>
      </c>
      <c r="U14478" t="s">
        <v>33113</v>
      </c>
      <c r="V14478" t="s">
        <v>33114</v>
      </c>
      <c r="W14478" t="s">
        <v>33115</v>
      </c>
      <c r="X14478" t="s">
        <v>42</v>
      </c>
      <c r="Y14478" t="s">
        <v>17171</v>
      </c>
      <c r="Z14478" t="s">
        <v>13441</v>
      </c>
      <c r="AA14478" s="22" t="str">
        <f>HYPERLINK("https://www.ncbi.nlm.nih.gov/nuccore/HM439775","NCBI Nucleotide")</f>
        <v>NCBI Nucleotide</v>
      </c>
    </row>
    <row r="14479" spans="1:27" x14ac:dyDescent="0.35">
      <c r="A14479">
        <v>1011918</v>
      </c>
      <c r="B14479">
        <v>13054</v>
      </c>
      <c r="C14479">
        <v>2</v>
      </c>
      <c r="D14479" t="s">
        <v>17166</v>
      </c>
      <c r="F14479" t="s">
        <v>17246</v>
      </c>
      <c r="H14479" t="s">
        <v>28921</v>
      </c>
      <c r="J14479" t="s">
        <v>29538</v>
      </c>
      <c r="L14479" t="s">
        <v>33064</v>
      </c>
      <c r="N14479" t="s">
        <v>33075</v>
      </c>
      <c r="P14479" t="s">
        <v>33094</v>
      </c>
      <c r="R14479" s="26" t="str">
        <f>HYPERLINK("https://ictv.global/taxonomy/taxondetails?taxnode_id=202303763","Enamovirus PEMV")</f>
        <v>Enamovirus PEMV</v>
      </c>
      <c r="S14479" t="s">
        <v>8141</v>
      </c>
      <c r="T14479" t="s">
        <v>33112</v>
      </c>
      <c r="U14479" t="s">
        <v>33113</v>
      </c>
      <c r="V14479" t="s">
        <v>33116</v>
      </c>
      <c r="W14479" t="s">
        <v>50113</v>
      </c>
      <c r="X14479" t="s">
        <v>42</v>
      </c>
      <c r="Y14479" t="s">
        <v>17171</v>
      </c>
      <c r="Z14479" t="s">
        <v>13441</v>
      </c>
      <c r="AA14479" s="22" t="str">
        <f>HYPERLINK("https://www.ncbi.nlm.nih.gov/nuccore/L04573","NCBI Nucleotide")</f>
        <v>NCBI Nucleotide</v>
      </c>
    </row>
    <row r="14480" spans="1:27" x14ac:dyDescent="0.35">
      <c r="A14480">
        <v>1026221</v>
      </c>
      <c r="B14480">
        <v>13055</v>
      </c>
      <c r="C14480">
        <v>1</v>
      </c>
      <c r="D14480" t="s">
        <v>17166</v>
      </c>
      <c r="F14480" t="s">
        <v>17246</v>
      </c>
      <c r="H14480" t="s">
        <v>28921</v>
      </c>
      <c r="J14480" t="s">
        <v>29538</v>
      </c>
      <c r="L14480" t="s">
        <v>33064</v>
      </c>
      <c r="N14480" t="s">
        <v>33075</v>
      </c>
      <c r="P14480" t="s">
        <v>33094</v>
      </c>
      <c r="R14480" s="26" t="str">
        <f>HYPERLINK("https://ictv.global/taxonomy/taxondetails?taxnode_id=202318499","Enamovirus PLEV")</f>
        <v>Enamovirus PLEV</v>
      </c>
      <c r="S14480" t="s">
        <v>30</v>
      </c>
      <c r="T14480" t="s">
        <v>47382</v>
      </c>
      <c r="U14480" t="s">
        <v>47383</v>
      </c>
      <c r="V14480" t="s">
        <v>47384</v>
      </c>
      <c r="W14480" t="s">
        <v>47385</v>
      </c>
      <c r="X14480" t="s">
        <v>154</v>
      </c>
      <c r="Y14480" t="s">
        <v>17171</v>
      </c>
      <c r="Z14480" t="s">
        <v>13441</v>
      </c>
      <c r="AA14480" s="22" t="str">
        <f>HYPERLINK("https://www.ncbi.nlm.nih.gov/nuccore/MH397359","NCBI Nucleotide")</f>
        <v>NCBI Nucleotide</v>
      </c>
    </row>
    <row r="14481" spans="1:27" x14ac:dyDescent="0.35">
      <c r="A14481">
        <v>1026222</v>
      </c>
      <c r="B14481">
        <v>13056</v>
      </c>
      <c r="C14481">
        <v>1</v>
      </c>
      <c r="D14481" t="s">
        <v>17166</v>
      </c>
      <c r="F14481" t="s">
        <v>17246</v>
      </c>
      <c r="H14481" t="s">
        <v>28921</v>
      </c>
      <c r="J14481" t="s">
        <v>29538</v>
      </c>
      <c r="L14481" t="s">
        <v>33064</v>
      </c>
      <c r="N14481" t="s">
        <v>33075</v>
      </c>
      <c r="P14481" t="s">
        <v>33094</v>
      </c>
      <c r="R14481" s="26" t="str">
        <f>HYPERLINK("https://ictv.global/taxonomy/taxondetails?taxnode_id=202318500","Enamovirus RCEV")</f>
        <v>Enamovirus RCEV</v>
      </c>
      <c r="S14481" t="s">
        <v>30</v>
      </c>
      <c r="T14481" t="s">
        <v>47386</v>
      </c>
      <c r="U14481" t="s">
        <v>47387</v>
      </c>
      <c r="V14481" t="s">
        <v>47388</v>
      </c>
      <c r="W14481" t="s">
        <v>47389</v>
      </c>
      <c r="X14481" t="s">
        <v>35</v>
      </c>
      <c r="Y14481" t="s">
        <v>17171</v>
      </c>
      <c r="Z14481" t="s">
        <v>13441</v>
      </c>
      <c r="AA14481" s="22" t="str">
        <f>HYPERLINK("https://www.ncbi.nlm.nih.gov/nuccore/MN412742","NCBI Nucleotide")</f>
        <v>NCBI Nucleotide</v>
      </c>
    </row>
    <row r="14482" spans="1:27" x14ac:dyDescent="0.35">
      <c r="A14482">
        <v>1026667</v>
      </c>
      <c r="B14482">
        <v>13057</v>
      </c>
      <c r="C14482">
        <v>1</v>
      </c>
      <c r="D14482" t="s">
        <v>17166</v>
      </c>
      <c r="F14482" t="s">
        <v>17246</v>
      </c>
      <c r="H14482" t="s">
        <v>28921</v>
      </c>
      <c r="J14482" t="s">
        <v>29538</v>
      </c>
      <c r="L14482" t="s">
        <v>33064</v>
      </c>
      <c r="N14482" t="s">
        <v>33075</v>
      </c>
      <c r="P14482" t="s">
        <v>47390</v>
      </c>
      <c r="R14482" s="26" t="str">
        <f>HYPERLINK("https://ictv.global/taxonomy/taxondetails?taxnode_id=202319055","Hubsclerovirus HUSRV")</f>
        <v>Hubsclerovirus HUSRV</v>
      </c>
      <c r="S14482" t="s">
        <v>30</v>
      </c>
      <c r="T14482" t="s">
        <v>47391</v>
      </c>
      <c r="U14482" t="s">
        <v>47392</v>
      </c>
      <c r="V14482" t="s">
        <v>47393</v>
      </c>
      <c r="W14482" t="s">
        <v>47394</v>
      </c>
      <c r="X14482" t="s">
        <v>42</v>
      </c>
      <c r="Y14482" t="s">
        <v>17171</v>
      </c>
      <c r="Z14482" t="s">
        <v>16721</v>
      </c>
      <c r="AA14482" s="22" t="str">
        <f>HYPERLINK("https://www.ncbi.nlm.nih.gov/nuccore/MK889164","NCBI Nucleotide")</f>
        <v>NCBI Nucleotide</v>
      </c>
    </row>
    <row r="14483" spans="1:27" x14ac:dyDescent="0.35">
      <c r="A14483">
        <v>1002791</v>
      </c>
      <c r="B14483">
        <v>13058</v>
      </c>
      <c r="C14483">
        <v>1</v>
      </c>
      <c r="D14483" t="s">
        <v>17166</v>
      </c>
      <c r="F14483" t="s">
        <v>17246</v>
      </c>
      <c r="H14483" t="s">
        <v>28921</v>
      </c>
      <c r="J14483" t="s">
        <v>29538</v>
      </c>
      <c r="L14483" t="s">
        <v>33064</v>
      </c>
      <c r="N14483" t="s">
        <v>33075</v>
      </c>
      <c r="P14483" t="s">
        <v>33117</v>
      </c>
      <c r="R14483" s="26" t="str">
        <f>HYPERLINK("https://ictv.global/taxonomy/taxondetails?taxnode_id=202305362","Polemovirus PNLV")</f>
        <v>Polemovirus PNLV</v>
      </c>
      <c r="S14483" t="s">
        <v>30</v>
      </c>
      <c r="T14483" t="s">
        <v>33118</v>
      </c>
      <c r="U14483" t="s">
        <v>33119</v>
      </c>
      <c r="V14483" t="s">
        <v>33120</v>
      </c>
      <c r="W14483" t="s">
        <v>33121</v>
      </c>
      <c r="X14483" t="s">
        <v>42</v>
      </c>
      <c r="Y14483" t="s">
        <v>17171</v>
      </c>
      <c r="Z14483" t="s">
        <v>13441</v>
      </c>
      <c r="AA14483" s="22" t="str">
        <f>HYPERLINK("https://www.ncbi.nlm.nih.gov/nuccore/AJ867490","NCBI Nucleotide")</f>
        <v>NCBI Nucleotide</v>
      </c>
    </row>
    <row r="14484" spans="1:27" x14ac:dyDescent="0.35">
      <c r="A14484">
        <v>1026514</v>
      </c>
      <c r="B14484">
        <v>13059</v>
      </c>
      <c r="C14484">
        <v>1</v>
      </c>
      <c r="D14484" t="s">
        <v>17166</v>
      </c>
      <c r="F14484" t="s">
        <v>17246</v>
      </c>
      <c r="H14484" t="s">
        <v>28921</v>
      </c>
      <c r="J14484" t="s">
        <v>29538</v>
      </c>
      <c r="L14484" t="s">
        <v>33064</v>
      </c>
      <c r="N14484" t="s">
        <v>33075</v>
      </c>
      <c r="P14484" t="s">
        <v>33122</v>
      </c>
      <c r="R14484" s="26" t="str">
        <f>HYPERLINK("https://ictv.global/taxonomy/taxondetails?taxnode_id=202318622","Polerovirus AEYV")</f>
        <v>Polerovirus AEYV</v>
      </c>
      <c r="S14484" t="s">
        <v>30</v>
      </c>
      <c r="T14484" t="s">
        <v>47395</v>
      </c>
      <c r="U14484" t="s">
        <v>47396</v>
      </c>
      <c r="V14484" t="s">
        <v>47397</v>
      </c>
      <c r="W14484" t="s">
        <v>47398</v>
      </c>
      <c r="X14484" t="s">
        <v>42</v>
      </c>
      <c r="Y14484" t="s">
        <v>17171</v>
      </c>
      <c r="Z14484" t="s">
        <v>13441</v>
      </c>
      <c r="AA14484" s="22" t="str">
        <f>HYPERLINK("https://www.ncbi.nlm.nih.gov/nuccore/KX856972","NCBI Nucleotide")</f>
        <v>NCBI Nucleotide</v>
      </c>
    </row>
    <row r="14485" spans="1:27" x14ac:dyDescent="0.35">
      <c r="A14485">
        <v>1026515</v>
      </c>
      <c r="B14485">
        <v>13060</v>
      </c>
      <c r="C14485">
        <v>1</v>
      </c>
      <c r="D14485" t="s">
        <v>17166</v>
      </c>
      <c r="F14485" t="s">
        <v>17246</v>
      </c>
      <c r="H14485" t="s">
        <v>28921</v>
      </c>
      <c r="J14485" t="s">
        <v>29538</v>
      </c>
      <c r="L14485" t="s">
        <v>33064</v>
      </c>
      <c r="N14485" t="s">
        <v>33075</v>
      </c>
      <c r="P14485" t="s">
        <v>33122</v>
      </c>
      <c r="R14485" s="26" t="str">
        <f>HYPERLINK("https://ictv.global/taxonomy/taxondetails?taxnode_id=202318623","Polerovirus APVA")</f>
        <v>Polerovirus APVA</v>
      </c>
      <c r="S14485" t="s">
        <v>30</v>
      </c>
      <c r="T14485" t="s">
        <v>47399</v>
      </c>
      <c r="U14485" t="s">
        <v>24961</v>
      </c>
      <c r="V14485" t="s">
        <v>47400</v>
      </c>
      <c r="W14485" t="s">
        <v>47401</v>
      </c>
      <c r="X14485" t="s">
        <v>154</v>
      </c>
      <c r="Y14485" t="s">
        <v>17171</v>
      </c>
      <c r="Z14485" t="s">
        <v>13441</v>
      </c>
      <c r="AA14485" s="22" t="str">
        <f>HYPERLINK("https://www.ncbi.nlm.nih.gov/nuccore/ON565072","NCBI Nucleotide")</f>
        <v>NCBI Nucleotide</v>
      </c>
    </row>
    <row r="14486" spans="1:27" x14ac:dyDescent="0.35">
      <c r="A14486">
        <v>1026516</v>
      </c>
      <c r="B14486">
        <v>13061</v>
      </c>
      <c r="C14486">
        <v>1</v>
      </c>
      <c r="D14486" t="s">
        <v>17166</v>
      </c>
      <c r="F14486" t="s">
        <v>17246</v>
      </c>
      <c r="H14486" t="s">
        <v>28921</v>
      </c>
      <c r="J14486" t="s">
        <v>29538</v>
      </c>
      <c r="L14486" t="s">
        <v>33064</v>
      </c>
      <c r="N14486" t="s">
        <v>33075</v>
      </c>
      <c r="P14486" t="s">
        <v>33122</v>
      </c>
      <c r="R14486" s="26" t="str">
        <f>HYPERLINK("https://ictv.global/taxonomy/taxondetails?taxnode_id=202318624","Polerovirus ARTVB")</f>
        <v>Polerovirus ARTVB</v>
      </c>
      <c r="S14486" t="s">
        <v>30</v>
      </c>
      <c r="T14486" t="s">
        <v>47402</v>
      </c>
      <c r="U14486" t="s">
        <v>47403</v>
      </c>
      <c r="V14486" t="s">
        <v>47404</v>
      </c>
      <c r="W14486" t="s">
        <v>47405</v>
      </c>
      <c r="X14486" t="s">
        <v>42</v>
      </c>
      <c r="Y14486" t="s">
        <v>17171</v>
      </c>
      <c r="Z14486" t="s">
        <v>13441</v>
      </c>
      <c r="AA14486" s="22" t="str">
        <f>HYPERLINK("https://www.ncbi.nlm.nih.gov/nuccore/MT757161","NCBI Nucleotide")</f>
        <v>NCBI Nucleotide</v>
      </c>
    </row>
    <row r="14487" spans="1:27" x14ac:dyDescent="0.35">
      <c r="A14487">
        <v>1002792</v>
      </c>
      <c r="B14487">
        <v>13062</v>
      </c>
      <c r="C14487">
        <v>1</v>
      </c>
      <c r="D14487" t="s">
        <v>17166</v>
      </c>
      <c r="F14487" t="s">
        <v>17246</v>
      </c>
      <c r="H14487" t="s">
        <v>28921</v>
      </c>
      <c r="J14487" t="s">
        <v>29538</v>
      </c>
      <c r="L14487" t="s">
        <v>33064</v>
      </c>
      <c r="N14487" t="s">
        <v>33075</v>
      </c>
      <c r="P14487" t="s">
        <v>33122</v>
      </c>
      <c r="R14487" s="26" t="str">
        <f>HYPERLINK("https://ictv.global/taxonomy/taxondetails?taxnode_id=202303774","Polerovirus BCHV")</f>
        <v>Polerovirus BCHV</v>
      </c>
      <c r="S14487" t="s">
        <v>30</v>
      </c>
      <c r="T14487" t="s">
        <v>33123</v>
      </c>
      <c r="U14487" t="s">
        <v>14135</v>
      </c>
      <c r="V14487" t="s">
        <v>33124</v>
      </c>
      <c r="W14487" t="s">
        <v>33125</v>
      </c>
      <c r="X14487" t="s">
        <v>42</v>
      </c>
      <c r="Y14487" t="s">
        <v>17171</v>
      </c>
      <c r="Z14487" t="s">
        <v>13441</v>
      </c>
      <c r="AA14487" s="22" t="str">
        <f>HYPERLINK("https://www.ncbi.nlm.nih.gov/nuccore/AF352024","NCBI Nucleotide")</f>
        <v>NCBI Nucleotide</v>
      </c>
    </row>
    <row r="14488" spans="1:27" x14ac:dyDescent="0.35">
      <c r="A14488">
        <v>1026517</v>
      </c>
      <c r="B14488">
        <v>13063</v>
      </c>
      <c r="C14488">
        <v>1</v>
      </c>
      <c r="D14488" t="s">
        <v>17166</v>
      </c>
      <c r="F14488" t="s">
        <v>17246</v>
      </c>
      <c r="H14488" t="s">
        <v>28921</v>
      </c>
      <c r="J14488" t="s">
        <v>29538</v>
      </c>
      <c r="L14488" t="s">
        <v>33064</v>
      </c>
      <c r="N14488" t="s">
        <v>33075</v>
      </c>
      <c r="P14488" t="s">
        <v>33122</v>
      </c>
      <c r="R14488" s="26" t="str">
        <f>HYPERLINK("https://ictv.global/taxonomy/taxondetails?taxnode_id=202318627","Polerovirus BLYV")</f>
        <v>Polerovirus BLYV</v>
      </c>
      <c r="S14488" t="s">
        <v>30</v>
      </c>
      <c r="T14488" t="s">
        <v>47406</v>
      </c>
      <c r="U14488" t="s">
        <v>47407</v>
      </c>
      <c r="V14488" t="s">
        <v>47408</v>
      </c>
      <c r="W14488" t="s">
        <v>47409</v>
      </c>
      <c r="X14488" t="s">
        <v>42</v>
      </c>
      <c r="Y14488" t="s">
        <v>17171</v>
      </c>
      <c r="Z14488" t="s">
        <v>13441</v>
      </c>
      <c r="AA14488" s="22" t="str">
        <f>HYPERLINK("https://www.ncbi.nlm.nih.gov/nuccore/LC428351","NCBI Nucleotide")</f>
        <v>NCBI Nucleotide</v>
      </c>
    </row>
    <row r="14489" spans="1:27" x14ac:dyDescent="0.35">
      <c r="A14489">
        <v>1002793</v>
      </c>
      <c r="B14489">
        <v>13064</v>
      </c>
      <c r="C14489">
        <v>1</v>
      </c>
      <c r="D14489" t="s">
        <v>17166</v>
      </c>
      <c r="F14489" t="s">
        <v>17246</v>
      </c>
      <c r="H14489" t="s">
        <v>28921</v>
      </c>
      <c r="J14489" t="s">
        <v>29538</v>
      </c>
      <c r="L14489" t="s">
        <v>33064</v>
      </c>
      <c r="N14489" t="s">
        <v>33075</v>
      </c>
      <c r="P14489" t="s">
        <v>33122</v>
      </c>
      <c r="R14489" s="26" t="str">
        <f>HYPERLINK("https://ictv.global/taxonomy/taxondetails?taxnode_id=202303775","Polerovirus BMYV")</f>
        <v>Polerovirus BMYV</v>
      </c>
      <c r="S14489" t="s">
        <v>30</v>
      </c>
      <c r="T14489" t="s">
        <v>33126</v>
      </c>
      <c r="U14489" t="s">
        <v>33127</v>
      </c>
      <c r="V14489" t="s">
        <v>33128</v>
      </c>
      <c r="W14489" t="s">
        <v>33129</v>
      </c>
      <c r="X14489" t="s">
        <v>42</v>
      </c>
      <c r="Y14489" t="s">
        <v>17171</v>
      </c>
      <c r="Z14489" t="s">
        <v>13441</v>
      </c>
      <c r="AA14489" s="22" t="str">
        <f>HYPERLINK("https://www.ncbi.nlm.nih.gov/nuccore/X83110","NCBI Nucleotide")</f>
        <v>NCBI Nucleotide</v>
      </c>
    </row>
    <row r="14490" spans="1:27" x14ac:dyDescent="0.35">
      <c r="A14490">
        <v>1026518</v>
      </c>
      <c r="B14490">
        <v>13065</v>
      </c>
      <c r="C14490">
        <v>1</v>
      </c>
      <c r="D14490" t="s">
        <v>17166</v>
      </c>
      <c r="F14490" t="s">
        <v>17246</v>
      </c>
      <c r="H14490" t="s">
        <v>28921</v>
      </c>
      <c r="J14490" t="s">
        <v>29538</v>
      </c>
      <c r="L14490" t="s">
        <v>33064</v>
      </c>
      <c r="N14490" t="s">
        <v>33075</v>
      </c>
      <c r="P14490" t="s">
        <v>33122</v>
      </c>
      <c r="R14490" s="26" t="str">
        <f>HYPERLINK("https://ictv.global/taxonomy/taxondetails?taxnode_id=202318625","Polerovirus BPV")</f>
        <v>Polerovirus BPV</v>
      </c>
      <c r="S14490" t="s">
        <v>30</v>
      </c>
      <c r="T14490" t="s">
        <v>47410</v>
      </c>
      <c r="U14490" t="s">
        <v>11611</v>
      </c>
      <c r="V14490" t="s">
        <v>47411</v>
      </c>
      <c r="W14490" t="s">
        <v>47412</v>
      </c>
      <c r="X14490" t="s">
        <v>42</v>
      </c>
      <c r="Y14490" t="s">
        <v>17171</v>
      </c>
      <c r="Z14490" t="s">
        <v>13441</v>
      </c>
      <c r="AA14490" s="22" t="str">
        <f>HYPERLINK("https://www.ncbi.nlm.nih.gov/nuccore/MW251502","NCBI Nucleotide")</f>
        <v>NCBI Nucleotide</v>
      </c>
    </row>
    <row r="14491" spans="1:27" x14ac:dyDescent="0.35">
      <c r="A14491">
        <v>1026519</v>
      </c>
      <c r="B14491">
        <v>13066</v>
      </c>
      <c r="C14491">
        <v>1</v>
      </c>
      <c r="D14491" t="s">
        <v>17166</v>
      </c>
      <c r="F14491" t="s">
        <v>17246</v>
      </c>
      <c r="H14491" t="s">
        <v>28921</v>
      </c>
      <c r="J14491" t="s">
        <v>29538</v>
      </c>
      <c r="L14491" t="s">
        <v>33064</v>
      </c>
      <c r="N14491" t="s">
        <v>33075</v>
      </c>
      <c r="P14491" t="s">
        <v>33122</v>
      </c>
      <c r="R14491" s="26" t="str">
        <f>HYPERLINK("https://ictv.global/taxonomy/taxondetails?taxnode_id=202318626","Polerovirus BVG")</f>
        <v>Polerovirus BVG</v>
      </c>
      <c r="S14491" t="s">
        <v>30</v>
      </c>
      <c r="T14491" t="s">
        <v>47413</v>
      </c>
      <c r="U14491" t="s">
        <v>47414</v>
      </c>
      <c r="V14491" t="s">
        <v>47415</v>
      </c>
      <c r="W14491" t="s">
        <v>47416</v>
      </c>
      <c r="X14491" t="s">
        <v>42</v>
      </c>
      <c r="Y14491" t="s">
        <v>17171</v>
      </c>
      <c r="Z14491" t="s">
        <v>13441</v>
      </c>
      <c r="AA14491" s="22" t="str">
        <f>HYPERLINK("https://www.ncbi.nlm.nih.gov/nuccore/KT962089","NCBI Nucleotide")</f>
        <v>NCBI Nucleotide</v>
      </c>
    </row>
    <row r="14492" spans="1:27" x14ac:dyDescent="0.35">
      <c r="A14492">
        <v>1002794</v>
      </c>
      <c r="B14492">
        <v>13067</v>
      </c>
      <c r="C14492">
        <v>1</v>
      </c>
      <c r="D14492" t="s">
        <v>17166</v>
      </c>
      <c r="F14492" t="s">
        <v>17246</v>
      </c>
      <c r="H14492" t="s">
        <v>28921</v>
      </c>
      <c r="J14492" t="s">
        <v>29538</v>
      </c>
      <c r="L14492" t="s">
        <v>33064</v>
      </c>
      <c r="N14492" t="s">
        <v>33075</v>
      </c>
      <c r="P14492" t="s">
        <v>33122</v>
      </c>
      <c r="R14492" s="26" t="str">
        <f>HYPERLINK("https://ictv.global/taxonomy/taxondetails?taxnode_id=202303776","Polerovirus BWYV")</f>
        <v>Polerovirus BWYV</v>
      </c>
      <c r="S14492" t="s">
        <v>30</v>
      </c>
      <c r="T14492" t="s">
        <v>33130</v>
      </c>
      <c r="U14492" t="s">
        <v>33131</v>
      </c>
      <c r="V14492" t="s">
        <v>18179</v>
      </c>
      <c r="W14492" t="s">
        <v>33132</v>
      </c>
      <c r="X14492" t="s">
        <v>42</v>
      </c>
      <c r="Y14492" t="s">
        <v>17171</v>
      </c>
      <c r="Z14492" t="s">
        <v>13441</v>
      </c>
      <c r="AA14492" s="22" t="str">
        <f>HYPERLINK("https://www.ncbi.nlm.nih.gov/nuccore/AF473561","NCBI Nucleotide")</f>
        <v>NCBI Nucleotide</v>
      </c>
    </row>
    <row r="14493" spans="1:27" x14ac:dyDescent="0.35">
      <c r="A14493">
        <v>1002800</v>
      </c>
      <c r="B14493">
        <v>13068</v>
      </c>
      <c r="C14493">
        <v>1</v>
      </c>
      <c r="D14493" t="s">
        <v>17166</v>
      </c>
      <c r="F14493" t="s">
        <v>17246</v>
      </c>
      <c r="H14493" t="s">
        <v>28921</v>
      </c>
      <c r="J14493" t="s">
        <v>29538</v>
      </c>
      <c r="L14493" t="s">
        <v>33064</v>
      </c>
      <c r="N14493" t="s">
        <v>33075</v>
      </c>
      <c r="P14493" t="s">
        <v>33122</v>
      </c>
      <c r="R14493" s="26" t="str">
        <f>HYPERLINK("https://ictv.global/taxonomy/taxondetails?taxnode_id=202303782","Polerovirus CABYV")</f>
        <v>Polerovirus CABYV</v>
      </c>
      <c r="S14493" t="s">
        <v>30</v>
      </c>
      <c r="T14493" t="s">
        <v>33153</v>
      </c>
      <c r="U14493" t="s">
        <v>33154</v>
      </c>
      <c r="V14493" t="s">
        <v>33155</v>
      </c>
      <c r="W14493" t="s">
        <v>33156</v>
      </c>
      <c r="X14493" t="s">
        <v>42</v>
      </c>
      <c r="Y14493" t="s">
        <v>17171</v>
      </c>
      <c r="Z14493" t="s">
        <v>13441</v>
      </c>
      <c r="AA14493" s="22" t="str">
        <f>HYPERLINK("https://www.ncbi.nlm.nih.gov/nuccore/X76931","NCBI Nucleotide")</f>
        <v>NCBI Nucleotide</v>
      </c>
    </row>
    <row r="14494" spans="1:27" x14ac:dyDescent="0.35">
      <c r="A14494">
        <v>1026520</v>
      </c>
      <c r="B14494">
        <v>13069</v>
      </c>
      <c r="C14494">
        <v>1</v>
      </c>
      <c r="D14494" t="s">
        <v>17166</v>
      </c>
      <c r="F14494" t="s">
        <v>17246</v>
      </c>
      <c r="H14494" t="s">
        <v>28921</v>
      </c>
      <c r="J14494" t="s">
        <v>29538</v>
      </c>
      <c r="L14494" t="s">
        <v>33064</v>
      </c>
      <c r="N14494" t="s">
        <v>33075</v>
      </c>
      <c r="P14494" t="s">
        <v>33122</v>
      </c>
      <c r="R14494" s="26" t="str">
        <f>HYPERLINK("https://ictv.global/taxonomy/taxondetails?taxnode_id=202318632","Polerovirus CBTV1")</f>
        <v>Polerovirus CBTV1</v>
      </c>
      <c r="S14494" t="s">
        <v>30</v>
      </c>
      <c r="T14494" t="s">
        <v>47417</v>
      </c>
      <c r="U14494" t="s">
        <v>47418</v>
      </c>
      <c r="V14494" t="s">
        <v>47419</v>
      </c>
      <c r="W14494" t="s">
        <v>47420</v>
      </c>
      <c r="X14494" t="s">
        <v>35</v>
      </c>
      <c r="Y14494" t="s">
        <v>17171</v>
      </c>
      <c r="Z14494" t="s">
        <v>13441</v>
      </c>
      <c r="AA14494" s="22" t="str">
        <f>HYPERLINK("https://www.ncbi.nlm.nih.gov/nuccore/MT966040","NCBI Nucleotide")</f>
        <v>NCBI Nucleotide</v>
      </c>
    </row>
    <row r="14495" spans="1:27" x14ac:dyDescent="0.35">
      <c r="A14495">
        <v>1026521</v>
      </c>
      <c r="B14495">
        <v>13070</v>
      </c>
      <c r="C14495">
        <v>1</v>
      </c>
      <c r="D14495" t="s">
        <v>17166</v>
      </c>
      <c r="F14495" t="s">
        <v>17246</v>
      </c>
      <c r="H14495" t="s">
        <v>28921</v>
      </c>
      <c r="J14495" t="s">
        <v>29538</v>
      </c>
      <c r="L14495" t="s">
        <v>33064</v>
      </c>
      <c r="N14495" t="s">
        <v>33075</v>
      </c>
      <c r="P14495" t="s">
        <v>33122</v>
      </c>
      <c r="R14495" s="26" t="str">
        <f>HYPERLINK("https://ictv.global/taxonomy/taxondetails?taxnode_id=202318633","Polerovirus CBTV2")</f>
        <v>Polerovirus CBTV2</v>
      </c>
      <c r="S14495" t="s">
        <v>30</v>
      </c>
      <c r="T14495" t="s">
        <v>47421</v>
      </c>
      <c r="U14495" t="s">
        <v>47422</v>
      </c>
      <c r="V14495" t="s">
        <v>47423</v>
      </c>
      <c r="W14495" t="s">
        <v>47424</v>
      </c>
      <c r="X14495" t="s">
        <v>35</v>
      </c>
      <c r="Y14495" t="s">
        <v>17171</v>
      </c>
      <c r="Z14495" t="s">
        <v>13441</v>
      </c>
      <c r="AA14495" s="22" t="str">
        <f>HYPERLINK("https://www.ncbi.nlm.nih.gov/nuccore/MT966041","NCBI Nucleotide")</f>
        <v>NCBI Nucleotide</v>
      </c>
    </row>
    <row r="14496" spans="1:27" x14ac:dyDescent="0.35">
      <c r="A14496">
        <v>1026522</v>
      </c>
      <c r="B14496">
        <v>13071</v>
      </c>
      <c r="C14496">
        <v>1</v>
      </c>
      <c r="D14496" t="s">
        <v>17166</v>
      </c>
      <c r="F14496" t="s">
        <v>17246</v>
      </c>
      <c r="H14496" t="s">
        <v>28921</v>
      </c>
      <c r="J14496" t="s">
        <v>29538</v>
      </c>
      <c r="L14496" t="s">
        <v>33064</v>
      </c>
      <c r="N14496" t="s">
        <v>33075</v>
      </c>
      <c r="P14496" t="s">
        <v>33122</v>
      </c>
      <c r="R14496" s="26" t="str">
        <f>HYPERLINK("https://ictv.global/taxonomy/taxondetails?taxnode_id=202318628","Polerovirus CDPV")</f>
        <v>Polerovirus CDPV</v>
      </c>
      <c r="S14496" t="s">
        <v>30</v>
      </c>
      <c r="T14496" t="s">
        <v>47425</v>
      </c>
      <c r="U14496" t="s">
        <v>47426</v>
      </c>
      <c r="V14496" t="s">
        <v>47427</v>
      </c>
      <c r="W14496" t="s">
        <v>47428</v>
      </c>
      <c r="X14496" t="s">
        <v>35</v>
      </c>
      <c r="Y14496" t="s">
        <v>17171</v>
      </c>
      <c r="Z14496" t="s">
        <v>13441</v>
      </c>
      <c r="AA14496" s="22" t="str">
        <f>HYPERLINK("https://www.ncbi.nlm.nih.gov/nuccore/BK013145","NCBI Nucleotide")</f>
        <v>NCBI Nucleotide</v>
      </c>
    </row>
    <row r="14497" spans="1:27" x14ac:dyDescent="0.35">
      <c r="A14497">
        <v>1002799</v>
      </c>
      <c r="B14497">
        <v>13072</v>
      </c>
      <c r="C14497">
        <v>1</v>
      </c>
      <c r="D14497" t="s">
        <v>17166</v>
      </c>
      <c r="F14497" t="s">
        <v>17246</v>
      </c>
      <c r="H14497" t="s">
        <v>28921</v>
      </c>
      <c r="J14497" t="s">
        <v>29538</v>
      </c>
      <c r="L14497" t="s">
        <v>33064</v>
      </c>
      <c r="N14497" t="s">
        <v>33075</v>
      </c>
      <c r="P14497" t="s">
        <v>33122</v>
      </c>
      <c r="R14497" s="26" t="str">
        <f>HYPERLINK("https://ictv.global/taxonomy/taxondetails?taxnode_id=202303781","Polerovirus CLDV")</f>
        <v>Polerovirus CLDV</v>
      </c>
      <c r="S14497" t="s">
        <v>30</v>
      </c>
      <c r="T14497" t="s">
        <v>33149</v>
      </c>
      <c r="U14497" t="s">
        <v>33150</v>
      </c>
      <c r="V14497" t="s">
        <v>33151</v>
      </c>
      <c r="W14497" t="s">
        <v>33152</v>
      </c>
      <c r="X14497" t="s">
        <v>42</v>
      </c>
      <c r="Y14497" t="s">
        <v>17171</v>
      </c>
      <c r="Z14497" t="s">
        <v>13441</v>
      </c>
      <c r="AA14497" s="22" t="str">
        <f>HYPERLINK("https://www.ncbi.nlm.nih.gov/nuccore/GU167940","NCBI Nucleotide")</f>
        <v>NCBI Nucleotide</v>
      </c>
    </row>
    <row r="14498" spans="1:27" x14ac:dyDescent="0.35">
      <c r="A14498">
        <v>1002841</v>
      </c>
      <c r="B14498">
        <v>13072</v>
      </c>
      <c r="C14498">
        <v>2</v>
      </c>
      <c r="D14498" t="s">
        <v>17166</v>
      </c>
      <c r="F14498" t="s">
        <v>17246</v>
      </c>
      <c r="H14498" t="s">
        <v>28921</v>
      </c>
      <c r="J14498" t="s">
        <v>29538</v>
      </c>
      <c r="L14498" t="s">
        <v>33064</v>
      </c>
      <c r="N14498" t="s">
        <v>33075</v>
      </c>
      <c r="P14498" t="s">
        <v>33122</v>
      </c>
      <c r="R14498" s="26" t="str">
        <f>HYPERLINK("https://ictv.global/taxonomy/taxondetails?taxnode_id=202303781","Polerovirus CLDV")</f>
        <v>Polerovirus CLDV</v>
      </c>
      <c r="S14498" t="s">
        <v>8141</v>
      </c>
      <c r="T14498" t="s">
        <v>33082</v>
      </c>
      <c r="U14498" t="s">
        <v>33083</v>
      </c>
      <c r="V14498" t="s">
        <v>33084</v>
      </c>
      <c r="W14498" t="s">
        <v>50114</v>
      </c>
      <c r="X14498" t="s">
        <v>154</v>
      </c>
      <c r="Y14498" t="s">
        <v>17171</v>
      </c>
      <c r="Z14498" t="s">
        <v>13441</v>
      </c>
      <c r="AA14498" s="22" t="str">
        <f>HYPERLINK("https://www.ncbi.nlm.nih.gov/nuccore/Y11530","NCBI Nucleotide")</f>
        <v>NCBI Nucleotide</v>
      </c>
    </row>
    <row r="14499" spans="1:27" x14ac:dyDescent="0.35">
      <c r="A14499">
        <v>1026523</v>
      </c>
      <c r="B14499">
        <v>13073</v>
      </c>
      <c r="C14499">
        <v>1</v>
      </c>
      <c r="D14499" t="s">
        <v>17166</v>
      </c>
      <c r="F14499" t="s">
        <v>17246</v>
      </c>
      <c r="H14499" t="s">
        <v>28921</v>
      </c>
      <c r="J14499" t="s">
        <v>29538</v>
      </c>
      <c r="L14499" t="s">
        <v>33064</v>
      </c>
      <c r="N14499" t="s">
        <v>33075</v>
      </c>
      <c r="P14499" t="s">
        <v>33122</v>
      </c>
      <c r="R14499" s="26" t="str">
        <f>HYPERLINK("https://ictv.global/taxonomy/taxondetails?taxnode_id=202318631","Polerovirus CNPV")</f>
        <v>Polerovirus CNPV</v>
      </c>
      <c r="S14499" t="s">
        <v>30</v>
      </c>
      <c r="T14499" t="s">
        <v>47429</v>
      </c>
      <c r="U14499" t="s">
        <v>47430</v>
      </c>
      <c r="V14499" t="s">
        <v>47431</v>
      </c>
      <c r="W14499" t="s">
        <v>47432</v>
      </c>
      <c r="X14499" t="s">
        <v>42</v>
      </c>
      <c r="Y14499" t="s">
        <v>17171</v>
      </c>
      <c r="Z14499" t="s">
        <v>13441</v>
      </c>
      <c r="AA14499" s="22" t="str">
        <f>HYPERLINK("https://www.ncbi.nlm.nih.gov/nuccore/OP067680","NCBI Nucleotide")</f>
        <v>NCBI Nucleotide</v>
      </c>
    </row>
    <row r="14500" spans="1:27" x14ac:dyDescent="0.35">
      <c r="A14500">
        <v>1002798</v>
      </c>
      <c r="B14500">
        <v>13074</v>
      </c>
      <c r="C14500">
        <v>1</v>
      </c>
      <c r="D14500" t="s">
        <v>17166</v>
      </c>
      <c r="F14500" t="s">
        <v>17246</v>
      </c>
      <c r="H14500" t="s">
        <v>28921</v>
      </c>
      <c r="J14500" t="s">
        <v>29538</v>
      </c>
      <c r="L14500" t="s">
        <v>33064</v>
      </c>
      <c r="N14500" t="s">
        <v>33075</v>
      </c>
      <c r="P14500" t="s">
        <v>33122</v>
      </c>
      <c r="R14500" s="26" t="str">
        <f>HYPERLINK("https://ictv.global/taxonomy/taxondetails?taxnode_id=202303780","Polerovirus CPCSV")</f>
        <v>Polerovirus CPCSV</v>
      </c>
      <c r="S14500" t="s">
        <v>30</v>
      </c>
      <c r="T14500" t="s">
        <v>33145</v>
      </c>
      <c r="U14500" t="s">
        <v>33146</v>
      </c>
      <c r="V14500" t="s">
        <v>33147</v>
      </c>
      <c r="W14500" t="s">
        <v>33148</v>
      </c>
      <c r="X14500" t="s">
        <v>42</v>
      </c>
      <c r="Y14500" t="s">
        <v>17171</v>
      </c>
      <c r="Z14500" t="s">
        <v>13441</v>
      </c>
      <c r="AA14500" s="22" t="str">
        <f>HYPERLINK("https://www.ncbi.nlm.nih.gov/nuccore/AY956384","NCBI Nucleotide")</f>
        <v>NCBI Nucleotide</v>
      </c>
    </row>
    <row r="14501" spans="1:27" x14ac:dyDescent="0.35">
      <c r="A14501">
        <v>1026524</v>
      </c>
      <c r="B14501">
        <v>13075</v>
      </c>
      <c r="C14501">
        <v>1</v>
      </c>
      <c r="D14501" t="s">
        <v>17166</v>
      </c>
      <c r="F14501" t="s">
        <v>17246</v>
      </c>
      <c r="H14501" t="s">
        <v>28921</v>
      </c>
      <c r="J14501" t="s">
        <v>29538</v>
      </c>
      <c r="L14501" t="s">
        <v>33064</v>
      </c>
      <c r="N14501" t="s">
        <v>33075</v>
      </c>
      <c r="P14501" t="s">
        <v>33122</v>
      </c>
      <c r="R14501" s="26" t="str">
        <f>HYPERLINK("https://ictv.global/taxonomy/taxondetails?taxnode_id=202318630","Polerovirus CPLRV")</f>
        <v>Polerovirus CPLRV</v>
      </c>
      <c r="S14501" t="s">
        <v>30</v>
      </c>
      <c r="T14501" t="s">
        <v>47433</v>
      </c>
      <c r="U14501" t="s">
        <v>47434</v>
      </c>
      <c r="V14501" t="s">
        <v>47435</v>
      </c>
      <c r="W14501" t="s">
        <v>47436</v>
      </c>
      <c r="X14501" t="s">
        <v>42</v>
      </c>
      <c r="Y14501" t="s">
        <v>17171</v>
      </c>
      <c r="Z14501" t="s">
        <v>13441</v>
      </c>
      <c r="AA14501" s="22" t="str">
        <f>HYPERLINK("https://www.ncbi.nlm.nih.gov/nuccore/ON555767","NCBI Nucleotide")</f>
        <v>NCBI Nucleotide</v>
      </c>
    </row>
    <row r="14502" spans="1:27" x14ac:dyDescent="0.35">
      <c r="A14502">
        <v>1026525</v>
      </c>
      <c r="B14502">
        <v>13076</v>
      </c>
      <c r="C14502">
        <v>1</v>
      </c>
      <c r="D14502" t="s">
        <v>17166</v>
      </c>
      <c r="F14502" t="s">
        <v>17246</v>
      </c>
      <c r="H14502" t="s">
        <v>28921</v>
      </c>
      <c r="J14502" t="s">
        <v>29538</v>
      </c>
      <c r="L14502" t="s">
        <v>33064</v>
      </c>
      <c r="N14502" t="s">
        <v>33075</v>
      </c>
      <c r="P14502" t="s">
        <v>33122</v>
      </c>
      <c r="R14502" s="26" t="str">
        <f>HYPERLINK("https://ictv.global/taxonomy/taxondetails?taxnode_id=202318634","Polerovirus CPPV1")</f>
        <v>Polerovirus CPPV1</v>
      </c>
      <c r="S14502" t="s">
        <v>30</v>
      </c>
      <c r="T14502" t="s">
        <v>47437</v>
      </c>
      <c r="U14502" t="s">
        <v>47438</v>
      </c>
      <c r="V14502" t="s">
        <v>47439</v>
      </c>
      <c r="W14502" t="s">
        <v>47440</v>
      </c>
      <c r="X14502" t="s">
        <v>42</v>
      </c>
      <c r="Y14502" t="s">
        <v>17171</v>
      </c>
      <c r="Z14502" t="s">
        <v>13441</v>
      </c>
      <c r="AA14502" s="22" t="str">
        <f>HYPERLINK("https://www.ncbi.nlm.nih.gov/nuccore/KY364846","NCBI Nucleotide")</f>
        <v>NCBI Nucleotide</v>
      </c>
    </row>
    <row r="14503" spans="1:27" x14ac:dyDescent="0.35">
      <c r="A14503">
        <v>1026526</v>
      </c>
      <c r="B14503">
        <v>13077</v>
      </c>
      <c r="C14503">
        <v>1</v>
      </c>
      <c r="D14503" t="s">
        <v>17166</v>
      </c>
      <c r="F14503" t="s">
        <v>17246</v>
      </c>
      <c r="H14503" t="s">
        <v>28921</v>
      </c>
      <c r="J14503" t="s">
        <v>29538</v>
      </c>
      <c r="L14503" t="s">
        <v>33064</v>
      </c>
      <c r="N14503" t="s">
        <v>33075</v>
      </c>
      <c r="P14503" t="s">
        <v>33122</v>
      </c>
      <c r="R14503" s="26" t="str">
        <f>HYPERLINK("https://ictv.global/taxonomy/taxondetails?taxnode_id=202318635","Polerovirus CPPV2")</f>
        <v>Polerovirus CPPV2</v>
      </c>
      <c r="S14503" t="s">
        <v>30</v>
      </c>
      <c r="T14503" t="s">
        <v>47441</v>
      </c>
      <c r="U14503" t="s">
        <v>47438</v>
      </c>
      <c r="V14503" t="s">
        <v>47442</v>
      </c>
      <c r="W14503" t="s">
        <v>47443</v>
      </c>
      <c r="X14503" t="s">
        <v>42</v>
      </c>
      <c r="Y14503" t="s">
        <v>17171</v>
      </c>
      <c r="Z14503" t="s">
        <v>13441</v>
      </c>
      <c r="AA14503" s="22" t="str">
        <f>HYPERLINK("https://www.ncbi.nlm.nih.gov/nuccore/KY364847","NCBI Nucleotide")</f>
        <v>NCBI Nucleotide</v>
      </c>
    </row>
    <row r="14504" spans="1:27" x14ac:dyDescent="0.35">
      <c r="A14504">
        <v>1026527</v>
      </c>
      <c r="B14504">
        <v>13078</v>
      </c>
      <c r="C14504">
        <v>1</v>
      </c>
      <c r="D14504" t="s">
        <v>17166</v>
      </c>
      <c r="F14504" t="s">
        <v>17246</v>
      </c>
      <c r="H14504" t="s">
        <v>28921</v>
      </c>
      <c r="J14504" t="s">
        <v>29538</v>
      </c>
      <c r="L14504" t="s">
        <v>33064</v>
      </c>
      <c r="N14504" t="s">
        <v>33075</v>
      </c>
      <c r="P14504" t="s">
        <v>33122</v>
      </c>
      <c r="R14504" s="26" t="str">
        <f>HYPERLINK("https://ictv.global/taxonomy/taxondetails?taxnode_id=202318629","Polerovirus CSPV")</f>
        <v>Polerovirus CSPV</v>
      </c>
      <c r="S14504" t="s">
        <v>30</v>
      </c>
      <c r="T14504" t="s">
        <v>47444</v>
      </c>
      <c r="U14504" t="s">
        <v>47445</v>
      </c>
      <c r="V14504" t="s">
        <v>47446</v>
      </c>
      <c r="W14504" t="s">
        <v>47447</v>
      </c>
      <c r="X14504" t="s">
        <v>154</v>
      </c>
      <c r="Y14504" t="s">
        <v>17171</v>
      </c>
      <c r="Z14504" t="s">
        <v>13441</v>
      </c>
      <c r="AA14504" s="22" t="str">
        <f>HYPERLINK("https://www.ncbi.nlm.nih.gov/nuccore/KC505249","NCBI Nucleotide")</f>
        <v>NCBI Nucleotide</v>
      </c>
    </row>
    <row r="14505" spans="1:27" x14ac:dyDescent="0.35">
      <c r="A14505">
        <v>1002795</v>
      </c>
      <c r="B14505">
        <v>13079</v>
      </c>
      <c r="C14505">
        <v>1</v>
      </c>
      <c r="D14505" t="s">
        <v>17166</v>
      </c>
      <c r="F14505" t="s">
        <v>17246</v>
      </c>
      <c r="H14505" t="s">
        <v>28921</v>
      </c>
      <c r="J14505" t="s">
        <v>29538</v>
      </c>
      <c r="L14505" t="s">
        <v>33064</v>
      </c>
      <c r="N14505" t="s">
        <v>33075</v>
      </c>
      <c r="P14505" t="s">
        <v>33122</v>
      </c>
      <c r="R14505" s="26" t="str">
        <f>HYPERLINK("https://ictv.global/taxonomy/taxondetails?taxnode_id=202303777","Polerovirus CTRLV")</f>
        <v>Polerovirus CTRLV</v>
      </c>
      <c r="S14505" t="s">
        <v>30</v>
      </c>
      <c r="T14505" t="s">
        <v>33133</v>
      </c>
      <c r="U14505" t="s">
        <v>33134</v>
      </c>
      <c r="V14505" t="s">
        <v>33135</v>
      </c>
      <c r="W14505" t="s">
        <v>33136</v>
      </c>
      <c r="X14505" t="s">
        <v>42</v>
      </c>
      <c r="Y14505" t="s">
        <v>17171</v>
      </c>
      <c r="Z14505" t="s">
        <v>13441</v>
      </c>
      <c r="AA14505" s="22" t="str">
        <f>HYPERLINK("https://www.ncbi.nlm.nih.gov/nuccore/AY695933","NCBI Nucleotide")</f>
        <v>NCBI Nucleotide</v>
      </c>
    </row>
    <row r="14506" spans="1:27" x14ac:dyDescent="0.35">
      <c r="A14506">
        <v>1002796</v>
      </c>
      <c r="B14506">
        <v>13080</v>
      </c>
      <c r="C14506">
        <v>1</v>
      </c>
      <c r="D14506" t="s">
        <v>17166</v>
      </c>
      <c r="F14506" t="s">
        <v>17246</v>
      </c>
      <c r="H14506" t="s">
        <v>28921</v>
      </c>
      <c r="J14506" t="s">
        <v>29538</v>
      </c>
      <c r="L14506" t="s">
        <v>33064</v>
      </c>
      <c r="N14506" t="s">
        <v>33075</v>
      </c>
      <c r="P14506" t="s">
        <v>33122</v>
      </c>
      <c r="R14506" s="26" t="str">
        <f>HYPERLINK("https://ictv.global/taxonomy/taxondetails?taxnode_id=202303778","Polerovirus CYDVRPS")</f>
        <v>Polerovirus CYDVRPS</v>
      </c>
      <c r="S14506" t="s">
        <v>30</v>
      </c>
      <c r="T14506" t="s">
        <v>33137</v>
      </c>
      <c r="U14506" t="s">
        <v>33138</v>
      </c>
      <c r="V14506" t="s">
        <v>33139</v>
      </c>
      <c r="W14506" t="s">
        <v>33140</v>
      </c>
      <c r="X14506" t="s">
        <v>42</v>
      </c>
      <c r="Y14506" t="s">
        <v>17171</v>
      </c>
      <c r="Z14506" t="s">
        <v>13441</v>
      </c>
      <c r="AA14506" s="22" t="str">
        <f>HYPERLINK("https://www.ncbi.nlm.nih.gov/nuccore/AF235168","NCBI Nucleotide")</f>
        <v>NCBI Nucleotide</v>
      </c>
    </row>
    <row r="14507" spans="1:27" x14ac:dyDescent="0.35">
      <c r="A14507">
        <v>1002797</v>
      </c>
      <c r="B14507">
        <v>13081</v>
      </c>
      <c r="C14507">
        <v>1</v>
      </c>
      <c r="D14507" t="s">
        <v>17166</v>
      </c>
      <c r="F14507" t="s">
        <v>17246</v>
      </c>
      <c r="H14507" t="s">
        <v>28921</v>
      </c>
      <c r="J14507" t="s">
        <v>29538</v>
      </c>
      <c r="L14507" t="s">
        <v>33064</v>
      </c>
      <c r="N14507" t="s">
        <v>33075</v>
      </c>
      <c r="P14507" t="s">
        <v>33122</v>
      </c>
      <c r="R14507" s="26" t="str">
        <f>HYPERLINK("https://ictv.global/taxonomy/taxondetails?taxnode_id=202303779","Polerovirus CYDVRPV")</f>
        <v>Polerovirus CYDVRPV</v>
      </c>
      <c r="S14507" t="s">
        <v>30</v>
      </c>
      <c r="T14507" t="s">
        <v>33141</v>
      </c>
      <c r="U14507" t="s">
        <v>33142</v>
      </c>
      <c r="V14507" t="s">
        <v>33143</v>
      </c>
      <c r="W14507" t="s">
        <v>33144</v>
      </c>
      <c r="X14507" t="s">
        <v>42</v>
      </c>
      <c r="Y14507" t="s">
        <v>17171</v>
      </c>
      <c r="Z14507" t="s">
        <v>13441</v>
      </c>
      <c r="AA14507" s="22" t="str">
        <f>HYPERLINK("https://www.ncbi.nlm.nih.gov/nuccore/L25299","NCBI Nucleotide")</f>
        <v>NCBI Nucleotide</v>
      </c>
    </row>
    <row r="14508" spans="1:27" x14ac:dyDescent="0.35">
      <c r="A14508">
        <v>1026528</v>
      </c>
      <c r="B14508">
        <v>13082</v>
      </c>
      <c r="C14508">
        <v>1</v>
      </c>
      <c r="D14508" t="s">
        <v>17166</v>
      </c>
      <c r="F14508" t="s">
        <v>17246</v>
      </c>
      <c r="H14508" t="s">
        <v>28921</v>
      </c>
      <c r="J14508" t="s">
        <v>29538</v>
      </c>
      <c r="L14508" t="s">
        <v>33064</v>
      </c>
      <c r="N14508" t="s">
        <v>33075</v>
      </c>
      <c r="P14508" t="s">
        <v>33122</v>
      </c>
      <c r="R14508" s="26" t="str">
        <f>HYPERLINK("https://ictv.global/taxonomy/taxondetails?taxnode_id=202318636","Polerovirus DVPV")</f>
        <v>Polerovirus DVPV</v>
      </c>
      <c r="S14508" t="s">
        <v>30</v>
      </c>
      <c r="T14508" t="s">
        <v>47448</v>
      </c>
      <c r="U14508" t="s">
        <v>47449</v>
      </c>
      <c r="V14508" t="s">
        <v>47450</v>
      </c>
      <c r="W14508" t="s">
        <v>47451</v>
      </c>
      <c r="X14508" t="s">
        <v>42</v>
      </c>
      <c r="Y14508" t="s">
        <v>17171</v>
      </c>
      <c r="Z14508" t="s">
        <v>13441</v>
      </c>
      <c r="AA14508" s="22" t="str">
        <f>HYPERLINK("https://www.ncbi.nlm.nih.gov/nuccore/MZ965076","NCBI Nucleotide")</f>
        <v>NCBI Nucleotide</v>
      </c>
    </row>
    <row r="14509" spans="1:27" x14ac:dyDescent="0.35">
      <c r="A14509">
        <v>1002801</v>
      </c>
      <c r="B14509">
        <v>13083</v>
      </c>
      <c r="C14509">
        <v>1</v>
      </c>
      <c r="D14509" t="s">
        <v>17166</v>
      </c>
      <c r="F14509" t="s">
        <v>17246</v>
      </c>
      <c r="H14509" t="s">
        <v>28921</v>
      </c>
      <c r="J14509" t="s">
        <v>29538</v>
      </c>
      <c r="L14509" t="s">
        <v>33064</v>
      </c>
      <c r="N14509" t="s">
        <v>33075</v>
      </c>
      <c r="P14509" t="s">
        <v>33122</v>
      </c>
      <c r="R14509" s="26" t="str">
        <f>HYPERLINK("https://ictv.global/taxonomy/taxondetails?taxnode_id=202307417","Polerovirus FBPV")</f>
        <v>Polerovirus FBPV</v>
      </c>
      <c r="S14509" t="s">
        <v>30</v>
      </c>
      <c r="T14509" t="s">
        <v>33157</v>
      </c>
      <c r="U14509" t="s">
        <v>33158</v>
      </c>
      <c r="V14509" t="s">
        <v>33159</v>
      </c>
      <c r="W14509" t="s">
        <v>33160</v>
      </c>
      <c r="X14509" t="s">
        <v>42</v>
      </c>
      <c r="Y14509" t="s">
        <v>17171</v>
      </c>
      <c r="Z14509" t="s">
        <v>13441</v>
      </c>
      <c r="AA14509" s="22" t="str">
        <f>HYPERLINK("https://www.ncbi.nlm.nih.gov/nuccore/MH464873","NCBI Nucleotide")</f>
        <v>NCBI Nucleotide</v>
      </c>
    </row>
    <row r="14510" spans="1:27" x14ac:dyDescent="0.35">
      <c r="A14510">
        <v>1026529</v>
      </c>
      <c r="B14510">
        <v>13084</v>
      </c>
      <c r="C14510">
        <v>1</v>
      </c>
      <c r="D14510" t="s">
        <v>17166</v>
      </c>
      <c r="F14510" t="s">
        <v>17246</v>
      </c>
      <c r="H14510" t="s">
        <v>28921</v>
      </c>
      <c r="J14510" t="s">
        <v>29538</v>
      </c>
      <c r="L14510" t="s">
        <v>33064</v>
      </c>
      <c r="N14510" t="s">
        <v>33075</v>
      </c>
      <c r="P14510" t="s">
        <v>33122</v>
      </c>
      <c r="R14510" s="26" t="str">
        <f>HYPERLINK("https://ictv.global/taxonomy/taxondetails?taxnode_id=202318637","Polerovirus FVPV")</f>
        <v>Polerovirus FVPV</v>
      </c>
      <c r="S14510" t="s">
        <v>30</v>
      </c>
      <c r="T14510" t="s">
        <v>47452</v>
      </c>
      <c r="U14510" t="s">
        <v>47453</v>
      </c>
      <c r="V14510" t="s">
        <v>17349</v>
      </c>
      <c r="W14510" t="s">
        <v>47454</v>
      </c>
      <c r="X14510" t="s">
        <v>154</v>
      </c>
      <c r="Y14510" t="s">
        <v>17171</v>
      </c>
      <c r="Z14510" t="s">
        <v>13441</v>
      </c>
      <c r="AA14510" s="22" t="str">
        <f>HYPERLINK("https://www.ncbi.nlm.nih.gov/nuccore/BK059375","NCBI Nucleotide")</f>
        <v>NCBI Nucleotide</v>
      </c>
    </row>
    <row r="14511" spans="1:27" x14ac:dyDescent="0.35">
      <c r="A14511">
        <v>1026530</v>
      </c>
      <c r="B14511">
        <v>13085</v>
      </c>
      <c r="C14511">
        <v>1</v>
      </c>
      <c r="D14511" t="s">
        <v>17166</v>
      </c>
      <c r="F14511" t="s">
        <v>17246</v>
      </c>
      <c r="H14511" t="s">
        <v>28921</v>
      </c>
      <c r="J14511" t="s">
        <v>29538</v>
      </c>
      <c r="L14511" t="s">
        <v>33064</v>
      </c>
      <c r="N14511" t="s">
        <v>33075</v>
      </c>
      <c r="P14511" t="s">
        <v>33122</v>
      </c>
      <c r="R14511" s="26" t="str">
        <f>HYPERLINK("https://ictv.global/taxonomy/taxondetails?taxnode_id=202318638","Polerovirus GPOV")</f>
        <v>Polerovirus GPOV</v>
      </c>
      <c r="S14511" t="s">
        <v>30</v>
      </c>
      <c r="T14511" t="s">
        <v>47455</v>
      </c>
      <c r="U14511" t="s">
        <v>47456</v>
      </c>
      <c r="V14511" t="s">
        <v>47457</v>
      </c>
      <c r="W14511" t="s">
        <v>47458</v>
      </c>
      <c r="X14511" t="s">
        <v>42</v>
      </c>
      <c r="Y14511" t="s">
        <v>17171</v>
      </c>
      <c r="Z14511" t="s">
        <v>13441</v>
      </c>
      <c r="AA14511" s="22" t="str">
        <f>HYPERLINK("https://www.ncbi.nlm.nih.gov/nuccore/LC507098","NCBI Nucleotide")</f>
        <v>NCBI Nucleotide</v>
      </c>
    </row>
    <row r="14512" spans="1:27" x14ac:dyDescent="0.35">
      <c r="A14512">
        <v>1002842</v>
      </c>
      <c r="B14512">
        <v>13086</v>
      </c>
      <c r="C14512">
        <v>1</v>
      </c>
      <c r="D14512" t="s">
        <v>17166</v>
      </c>
      <c r="F14512" t="s">
        <v>17246</v>
      </c>
      <c r="H14512" t="s">
        <v>28921</v>
      </c>
      <c r="J14512" t="s">
        <v>29538</v>
      </c>
      <c r="L14512" t="s">
        <v>33064</v>
      </c>
      <c r="N14512" t="s">
        <v>33075</v>
      </c>
      <c r="P14512" t="s">
        <v>33122</v>
      </c>
      <c r="R14512" s="26" t="str">
        <f>HYPERLINK("https://ictv.global/taxonomy/taxondetails?taxnode_id=202303795","Polerovirus GRAV")</f>
        <v>Polerovirus GRAV</v>
      </c>
      <c r="S14512" t="s">
        <v>30</v>
      </c>
      <c r="T14512" t="s">
        <v>33085</v>
      </c>
      <c r="U14512" t="s">
        <v>33086</v>
      </c>
      <c r="V14512" t="s">
        <v>33087</v>
      </c>
      <c r="W14512" t="s">
        <v>33088</v>
      </c>
      <c r="X14512" t="s">
        <v>42</v>
      </c>
      <c r="Y14512" t="s">
        <v>17171</v>
      </c>
      <c r="Z14512" t="s">
        <v>13441</v>
      </c>
      <c r="AA14512" s="22" t="str">
        <f>HYPERLINK("https://www.ncbi.nlm.nih.gov/nuccore/MN600000","NCBI Nucleotide")</f>
        <v>NCBI Nucleotide</v>
      </c>
    </row>
    <row r="14513" spans="1:27" x14ac:dyDescent="0.35">
      <c r="A14513">
        <v>1026531</v>
      </c>
      <c r="B14513">
        <v>13087</v>
      </c>
      <c r="C14513">
        <v>1</v>
      </c>
      <c r="D14513" t="s">
        <v>17166</v>
      </c>
      <c r="F14513" t="s">
        <v>17246</v>
      </c>
      <c r="H14513" t="s">
        <v>28921</v>
      </c>
      <c r="J14513" t="s">
        <v>29538</v>
      </c>
      <c r="L14513" t="s">
        <v>33064</v>
      </c>
      <c r="N14513" t="s">
        <v>33075</v>
      </c>
      <c r="P14513" t="s">
        <v>33122</v>
      </c>
      <c r="R14513" s="26" t="str">
        <f>HYPERLINK("https://ictv.global/taxonomy/taxondetails?taxnode_id=202318639","Polerovirus HEMVA")</f>
        <v>Polerovirus HEMVA</v>
      </c>
      <c r="S14513" t="s">
        <v>30</v>
      </c>
      <c r="T14513" t="s">
        <v>47459</v>
      </c>
      <c r="U14513" t="s">
        <v>47460</v>
      </c>
      <c r="V14513" t="s">
        <v>47461</v>
      </c>
      <c r="W14513" t="s">
        <v>47462</v>
      </c>
      <c r="X14513" t="s">
        <v>42</v>
      </c>
      <c r="Y14513" t="s">
        <v>17171</v>
      </c>
      <c r="Z14513" t="s">
        <v>13441</v>
      </c>
      <c r="AA14513" s="22" t="str">
        <f>HYPERLINK("https://www.ncbi.nlm.nih.gov/nuccore/ON416859","NCBI Nucleotide")</f>
        <v>NCBI Nucleotide</v>
      </c>
    </row>
    <row r="14514" spans="1:27" x14ac:dyDescent="0.35">
      <c r="A14514">
        <v>1026532</v>
      </c>
      <c r="B14514">
        <v>13088</v>
      </c>
      <c r="C14514">
        <v>1</v>
      </c>
      <c r="D14514" t="s">
        <v>17166</v>
      </c>
      <c r="F14514" t="s">
        <v>17246</v>
      </c>
      <c r="H14514" t="s">
        <v>28921</v>
      </c>
      <c r="J14514" t="s">
        <v>29538</v>
      </c>
      <c r="L14514" t="s">
        <v>33064</v>
      </c>
      <c r="N14514" t="s">
        <v>33075</v>
      </c>
      <c r="P14514" t="s">
        <v>33122</v>
      </c>
      <c r="R14514" s="26" t="str">
        <f>HYPERLINK("https://ictv.global/taxonomy/taxondetails?taxnode_id=202318640","Polerovirus KMPV")</f>
        <v>Polerovirus KMPV</v>
      </c>
      <c r="S14514" t="s">
        <v>30</v>
      </c>
      <c r="T14514" t="s">
        <v>47463</v>
      </c>
      <c r="U14514" t="s">
        <v>47464</v>
      </c>
      <c r="V14514" t="s">
        <v>47465</v>
      </c>
      <c r="W14514" t="s">
        <v>47466</v>
      </c>
      <c r="X14514" t="s">
        <v>35</v>
      </c>
      <c r="Y14514" t="s">
        <v>17171</v>
      </c>
      <c r="Z14514" t="s">
        <v>13441</v>
      </c>
      <c r="AA14514" s="22" t="str">
        <f>HYPERLINK("https://www.ncbi.nlm.nih.gov/nuccore/BK059371","NCBI Nucleotide")</f>
        <v>NCBI Nucleotide</v>
      </c>
    </row>
    <row r="14515" spans="1:27" x14ac:dyDescent="0.35">
      <c r="A14515">
        <v>1026533</v>
      </c>
      <c r="B14515">
        <v>13089</v>
      </c>
      <c r="C14515">
        <v>1</v>
      </c>
      <c r="D14515" t="s">
        <v>17166</v>
      </c>
      <c r="F14515" t="s">
        <v>17246</v>
      </c>
      <c r="H14515" t="s">
        <v>28921</v>
      </c>
      <c r="J14515" t="s">
        <v>29538</v>
      </c>
      <c r="L14515" t="s">
        <v>33064</v>
      </c>
      <c r="N14515" t="s">
        <v>33075</v>
      </c>
      <c r="P14515" t="s">
        <v>33122</v>
      </c>
      <c r="R14515" s="26" t="str">
        <f>HYPERLINK("https://ictv.global/taxonomy/taxondetails?taxnode_id=202318641","Polerovirus LABYV")</f>
        <v>Polerovirus LABYV</v>
      </c>
      <c r="S14515" t="s">
        <v>30</v>
      </c>
      <c r="T14515" t="s">
        <v>47467</v>
      </c>
      <c r="U14515" t="s">
        <v>47468</v>
      </c>
      <c r="V14515" t="s">
        <v>47469</v>
      </c>
      <c r="W14515" t="s">
        <v>47470</v>
      </c>
      <c r="X14515" t="s">
        <v>35</v>
      </c>
      <c r="Y14515" t="s">
        <v>17171</v>
      </c>
      <c r="Z14515" t="s">
        <v>13441</v>
      </c>
      <c r="AA14515" s="22" t="str">
        <f>HYPERLINK("https://www.ncbi.nlm.nih.gov/nuccore/KF427701","NCBI Nucleotide")</f>
        <v>NCBI Nucleotide</v>
      </c>
    </row>
    <row r="14516" spans="1:27" x14ac:dyDescent="0.35">
      <c r="A14516">
        <v>1002804</v>
      </c>
      <c r="B14516">
        <v>13090</v>
      </c>
      <c r="C14516">
        <v>1</v>
      </c>
      <c r="D14516" t="s">
        <v>17166</v>
      </c>
      <c r="F14516" t="s">
        <v>17246</v>
      </c>
      <c r="H14516" t="s">
        <v>28921</v>
      </c>
      <c r="J14516" t="s">
        <v>29538</v>
      </c>
      <c r="L14516" t="s">
        <v>33064</v>
      </c>
      <c r="N14516" t="s">
        <v>33075</v>
      </c>
      <c r="P14516" t="s">
        <v>33122</v>
      </c>
      <c r="R14516" s="26" t="str">
        <f>HYPERLINK("https://ictv.global/taxonomy/taxondetails?taxnode_id=202303784","Polerovirus MABYV")</f>
        <v>Polerovirus MABYV</v>
      </c>
      <c r="S14516" t="s">
        <v>30</v>
      </c>
      <c r="T14516" t="s">
        <v>33169</v>
      </c>
      <c r="U14516" t="s">
        <v>33170</v>
      </c>
      <c r="V14516" t="s">
        <v>33171</v>
      </c>
      <c r="W14516" t="s">
        <v>33172</v>
      </c>
      <c r="X14516" t="s">
        <v>42</v>
      </c>
      <c r="Y14516" t="s">
        <v>17171</v>
      </c>
      <c r="Z14516" t="s">
        <v>13441</v>
      </c>
      <c r="AA14516" s="22" t="str">
        <f>HYPERLINK("https://www.ncbi.nlm.nih.gov/nuccore/EU000534","NCBI Nucleotide")</f>
        <v>NCBI Nucleotide</v>
      </c>
    </row>
    <row r="14517" spans="1:27" x14ac:dyDescent="0.35">
      <c r="A14517">
        <v>1002803</v>
      </c>
      <c r="B14517">
        <v>13091</v>
      </c>
      <c r="C14517">
        <v>1</v>
      </c>
      <c r="D14517" t="s">
        <v>17166</v>
      </c>
      <c r="F14517" t="s">
        <v>17246</v>
      </c>
      <c r="H14517" t="s">
        <v>28921</v>
      </c>
      <c r="J14517" t="s">
        <v>29538</v>
      </c>
      <c r="L14517" t="s">
        <v>33064</v>
      </c>
      <c r="N14517" t="s">
        <v>33075</v>
      </c>
      <c r="P14517" t="s">
        <v>33122</v>
      </c>
      <c r="R14517" s="26" t="str">
        <f>HYPERLINK("https://ictv.global/taxonomy/taxondetails?taxnode_id=202305862","Polerovirus MAYMV")</f>
        <v>Polerovirus MAYMV</v>
      </c>
      <c r="S14517" t="s">
        <v>30</v>
      </c>
      <c r="T14517" t="s">
        <v>33165</v>
      </c>
      <c r="U14517" t="s">
        <v>14767</v>
      </c>
      <c r="V14517" t="s">
        <v>33166</v>
      </c>
      <c r="W14517" t="s">
        <v>33167</v>
      </c>
      <c r="X14517" t="s">
        <v>42</v>
      </c>
      <c r="Y14517" t="s">
        <v>17171</v>
      </c>
      <c r="Z14517" t="s">
        <v>13441</v>
      </c>
      <c r="AA14517" s="22" t="str">
        <f>HYPERLINK("https://www.ncbi.nlm.nih.gov/nuccore/KU248489","NCBI Nucleotide")</f>
        <v>NCBI Nucleotide</v>
      </c>
    </row>
    <row r="14518" spans="1:27" x14ac:dyDescent="0.35">
      <c r="A14518">
        <v>1011919</v>
      </c>
      <c r="B14518">
        <v>13091</v>
      </c>
      <c r="C14518">
        <v>2</v>
      </c>
      <c r="D14518" t="s">
        <v>17166</v>
      </c>
      <c r="F14518" t="s">
        <v>17246</v>
      </c>
      <c r="H14518" t="s">
        <v>28921</v>
      </c>
      <c r="J14518" t="s">
        <v>29538</v>
      </c>
      <c r="L14518" t="s">
        <v>33064</v>
      </c>
      <c r="N14518" t="s">
        <v>33075</v>
      </c>
      <c r="P14518" t="s">
        <v>33122</v>
      </c>
      <c r="R14518" s="26" t="str">
        <f>HYPERLINK("https://ictv.global/taxonomy/taxondetails?taxnode_id=202305862","Polerovirus MAYMV")</f>
        <v>Polerovirus MAYMV</v>
      </c>
      <c r="S14518" t="s">
        <v>8141</v>
      </c>
      <c r="T14518" t="s">
        <v>33165</v>
      </c>
      <c r="U14518" t="s">
        <v>14767</v>
      </c>
      <c r="V14518" t="s">
        <v>33168</v>
      </c>
      <c r="W14518" t="s">
        <v>50115</v>
      </c>
      <c r="X14518" t="s">
        <v>42</v>
      </c>
      <c r="Y14518" t="s">
        <v>17171</v>
      </c>
      <c r="Z14518" t="s">
        <v>13441</v>
      </c>
      <c r="AA14518" s="22" t="str">
        <f>HYPERLINK("https://www.ncbi.nlm.nih.gov/nuccore/KT992824","NCBI Nucleotide")</f>
        <v>NCBI Nucleotide</v>
      </c>
    </row>
    <row r="14519" spans="1:27" x14ac:dyDescent="0.35">
      <c r="A14519">
        <v>1026534</v>
      </c>
      <c r="B14519">
        <v>13092</v>
      </c>
      <c r="C14519">
        <v>1</v>
      </c>
      <c r="D14519" t="s">
        <v>17166</v>
      </c>
      <c r="F14519" t="s">
        <v>17246</v>
      </c>
      <c r="H14519" t="s">
        <v>28921</v>
      </c>
      <c r="J14519" t="s">
        <v>29538</v>
      </c>
      <c r="L14519" t="s">
        <v>33064</v>
      </c>
      <c r="N14519" t="s">
        <v>33075</v>
      </c>
      <c r="P14519" t="s">
        <v>33122</v>
      </c>
      <c r="R14519" s="26" t="str">
        <f>HYPERLINK("https://ictv.global/taxonomy/taxondetails?taxnode_id=202318642","Polerovirus MJVA")</f>
        <v>Polerovirus MJVA</v>
      </c>
      <c r="S14519" t="s">
        <v>30</v>
      </c>
      <c r="T14519" t="s">
        <v>47471</v>
      </c>
      <c r="U14519" t="s">
        <v>47472</v>
      </c>
      <c r="V14519" t="s">
        <v>47473</v>
      </c>
      <c r="W14519" t="s">
        <v>47474</v>
      </c>
      <c r="X14519" t="s">
        <v>35</v>
      </c>
      <c r="Y14519" t="s">
        <v>17171</v>
      </c>
      <c r="Z14519" t="s">
        <v>13441</v>
      </c>
      <c r="AA14519" s="22" t="str">
        <f>HYPERLINK("https://www.ncbi.nlm.nih.gov/nuccore/OP122168","NCBI Nucleotide")</f>
        <v>NCBI Nucleotide</v>
      </c>
    </row>
    <row r="14520" spans="1:27" x14ac:dyDescent="0.35">
      <c r="A14520">
        <v>1002802</v>
      </c>
      <c r="B14520">
        <v>13093</v>
      </c>
      <c r="C14520">
        <v>1</v>
      </c>
      <c r="D14520" t="s">
        <v>17166</v>
      </c>
      <c r="F14520" t="s">
        <v>17246</v>
      </c>
      <c r="H14520" t="s">
        <v>28921</v>
      </c>
      <c r="J14520" t="s">
        <v>29538</v>
      </c>
      <c r="L14520" t="s">
        <v>33064</v>
      </c>
      <c r="N14520" t="s">
        <v>33075</v>
      </c>
      <c r="P14520" t="s">
        <v>33122</v>
      </c>
      <c r="R14520" s="26" t="str">
        <f>HYPERLINK("https://ictv.global/taxonomy/taxondetails?taxnode_id=202303783","Polerovirus MYDVRMV")</f>
        <v>Polerovirus MYDVRMV</v>
      </c>
      <c r="S14520" t="s">
        <v>30</v>
      </c>
      <c r="T14520" t="s">
        <v>33161</v>
      </c>
      <c r="U14520" t="s">
        <v>33162</v>
      </c>
      <c r="V14520" t="s">
        <v>33163</v>
      </c>
      <c r="W14520" t="s">
        <v>33164</v>
      </c>
      <c r="X14520" t="s">
        <v>42</v>
      </c>
      <c r="Y14520" t="s">
        <v>17171</v>
      </c>
      <c r="Z14520" t="s">
        <v>13441</v>
      </c>
      <c r="AA14520" s="22" t="str">
        <f>HYPERLINK("https://www.ncbi.nlm.nih.gov/nuccore/KC921392","NCBI Nucleotide")</f>
        <v>NCBI Nucleotide</v>
      </c>
    </row>
    <row r="14521" spans="1:27" x14ac:dyDescent="0.35">
      <c r="A14521">
        <v>1026535</v>
      </c>
      <c r="B14521">
        <v>13094</v>
      </c>
      <c r="C14521">
        <v>1</v>
      </c>
      <c r="D14521" t="s">
        <v>17166</v>
      </c>
      <c r="F14521" t="s">
        <v>17246</v>
      </c>
      <c r="H14521" t="s">
        <v>28921</v>
      </c>
      <c r="J14521" t="s">
        <v>29538</v>
      </c>
      <c r="L14521" t="s">
        <v>33064</v>
      </c>
      <c r="N14521" t="s">
        <v>33075</v>
      </c>
      <c r="P14521" t="s">
        <v>33122</v>
      </c>
      <c r="R14521" s="26" t="str">
        <f>HYPERLINK("https://ictv.global/taxonomy/taxondetails?taxnode_id=202318643","Polerovirus MYFV")</f>
        <v>Polerovirus MYFV</v>
      </c>
      <c r="S14521" t="s">
        <v>30</v>
      </c>
      <c r="T14521" t="s">
        <v>47475</v>
      </c>
      <c r="U14521" t="s">
        <v>18147</v>
      </c>
      <c r="V14521" t="s">
        <v>47476</v>
      </c>
      <c r="W14521" t="s">
        <v>47477</v>
      </c>
      <c r="X14521" t="s">
        <v>35</v>
      </c>
      <c r="Y14521" t="s">
        <v>17171</v>
      </c>
      <c r="Z14521" t="s">
        <v>13441</v>
      </c>
      <c r="AA14521" s="22" t="str">
        <f>HYPERLINK("https://www.ncbi.nlm.nih.gov/nuccore/MT520166","NCBI Nucleotide")</f>
        <v>NCBI Nucleotide</v>
      </c>
    </row>
    <row r="14522" spans="1:27" x14ac:dyDescent="0.35">
      <c r="A14522">
        <v>1026536</v>
      </c>
      <c r="B14522">
        <v>13095</v>
      </c>
      <c r="C14522">
        <v>1</v>
      </c>
      <c r="D14522" t="s">
        <v>17166</v>
      </c>
      <c r="F14522" t="s">
        <v>17246</v>
      </c>
      <c r="H14522" t="s">
        <v>28921</v>
      </c>
      <c r="J14522" t="s">
        <v>29538</v>
      </c>
      <c r="L14522" t="s">
        <v>33064</v>
      </c>
      <c r="N14522" t="s">
        <v>33075</v>
      </c>
      <c r="P14522" t="s">
        <v>33122</v>
      </c>
      <c r="R14522" s="26" t="str">
        <f>HYPERLINK("https://ictv.global/taxonomy/taxondetails?taxnode_id=202318644","Polerovirus ORMV")</f>
        <v>Polerovirus ORMV</v>
      </c>
      <c r="S14522" t="s">
        <v>30</v>
      </c>
      <c r="T14522" t="s">
        <v>47478</v>
      </c>
      <c r="U14522" t="s">
        <v>47479</v>
      </c>
      <c r="V14522" t="s">
        <v>47480</v>
      </c>
      <c r="W14522" t="s">
        <v>47481</v>
      </c>
      <c r="X14522" t="s">
        <v>42</v>
      </c>
      <c r="Y14522" t="s">
        <v>17171</v>
      </c>
      <c r="Z14522" t="s">
        <v>13441</v>
      </c>
      <c r="AA14522" s="22" t="str">
        <f>HYPERLINK("https://www.ncbi.nlm.nih.gov/nuccore/MN204612","NCBI Nucleotide")</f>
        <v>NCBI Nucleotide</v>
      </c>
    </row>
    <row r="14523" spans="1:27" x14ac:dyDescent="0.35">
      <c r="A14523">
        <v>1002805</v>
      </c>
      <c r="B14523">
        <v>13096</v>
      </c>
      <c r="C14523">
        <v>1</v>
      </c>
      <c r="D14523" t="s">
        <v>17166</v>
      </c>
      <c r="F14523" t="s">
        <v>17246</v>
      </c>
      <c r="H14523" t="s">
        <v>28921</v>
      </c>
      <c r="J14523" t="s">
        <v>29538</v>
      </c>
      <c r="L14523" t="s">
        <v>33064</v>
      </c>
      <c r="N14523" t="s">
        <v>33075</v>
      </c>
      <c r="P14523" t="s">
        <v>33122</v>
      </c>
      <c r="R14523" s="26" t="str">
        <f>HYPERLINK("https://ictv.global/taxonomy/taxondetails?taxnode_id=202305863","Polerovirus PABYV")</f>
        <v>Polerovirus PABYV</v>
      </c>
      <c r="S14523" t="s">
        <v>30</v>
      </c>
      <c r="T14523" t="s">
        <v>33173</v>
      </c>
      <c r="U14523" t="s">
        <v>33174</v>
      </c>
      <c r="V14523" t="s">
        <v>33175</v>
      </c>
      <c r="W14523" t="s">
        <v>33176</v>
      </c>
      <c r="X14523" t="s">
        <v>42</v>
      </c>
      <c r="Y14523" t="s">
        <v>17171</v>
      </c>
      <c r="Z14523" t="s">
        <v>13441</v>
      </c>
      <c r="AA14523" s="22" t="str">
        <f>HYPERLINK("https://www.ncbi.nlm.nih.gov/nuccore/KU315178","NCBI Nucleotide")</f>
        <v>NCBI Nucleotide</v>
      </c>
    </row>
    <row r="14524" spans="1:27" x14ac:dyDescent="0.35">
      <c r="A14524">
        <v>1026537</v>
      </c>
      <c r="B14524">
        <v>13097</v>
      </c>
      <c r="C14524">
        <v>1</v>
      </c>
      <c r="D14524" t="s">
        <v>17166</v>
      </c>
      <c r="F14524" t="s">
        <v>17246</v>
      </c>
      <c r="H14524" t="s">
        <v>28921</v>
      </c>
      <c r="J14524" t="s">
        <v>29538</v>
      </c>
      <c r="L14524" t="s">
        <v>33064</v>
      </c>
      <c r="N14524" t="s">
        <v>33075</v>
      </c>
      <c r="P14524" t="s">
        <v>33122</v>
      </c>
      <c r="R14524" s="26" t="str">
        <f>HYPERLINK("https://ictv.global/taxonomy/taxondetails?taxnode_id=202318650","Polerovirus PBMYV")</f>
        <v>Polerovirus PBMYV</v>
      </c>
      <c r="S14524" t="s">
        <v>30</v>
      </c>
      <c r="T14524" t="s">
        <v>47482</v>
      </c>
      <c r="U14524" t="s">
        <v>47483</v>
      </c>
      <c r="V14524" t="s">
        <v>47484</v>
      </c>
      <c r="W14524" t="s">
        <v>47485</v>
      </c>
      <c r="X14524" t="s">
        <v>35</v>
      </c>
      <c r="Y14524" t="s">
        <v>17171</v>
      </c>
      <c r="Z14524" t="s">
        <v>13441</v>
      </c>
      <c r="AA14524" s="22" t="str">
        <f>HYPERLINK("https://www.ncbi.nlm.nih.gov/nuccore/KT962999","NCBI Nucleotide")</f>
        <v>NCBI Nucleotide</v>
      </c>
    </row>
    <row r="14525" spans="1:27" x14ac:dyDescent="0.35">
      <c r="A14525">
        <v>1026538</v>
      </c>
      <c r="B14525">
        <v>13098</v>
      </c>
      <c r="C14525">
        <v>1</v>
      </c>
      <c r="D14525" t="s">
        <v>17166</v>
      </c>
      <c r="F14525" t="s">
        <v>17246</v>
      </c>
      <c r="H14525" t="s">
        <v>28921</v>
      </c>
      <c r="J14525" t="s">
        <v>29538</v>
      </c>
      <c r="L14525" t="s">
        <v>33064</v>
      </c>
      <c r="N14525" t="s">
        <v>33075</v>
      </c>
      <c r="P14525" t="s">
        <v>33122</v>
      </c>
      <c r="R14525" s="26" t="str">
        <f>HYPERLINK("https://ictv.global/taxonomy/taxondetails?taxnode_id=202318645","Polerovirus PDMV")</f>
        <v>Polerovirus PDMV</v>
      </c>
      <c r="S14525" t="s">
        <v>30</v>
      </c>
      <c r="T14525" t="s">
        <v>47486</v>
      </c>
      <c r="U14525" t="s">
        <v>47487</v>
      </c>
      <c r="V14525" t="s">
        <v>47488</v>
      </c>
      <c r="W14525" t="s">
        <v>47489</v>
      </c>
      <c r="X14525" t="s">
        <v>35</v>
      </c>
      <c r="Y14525" t="s">
        <v>17171</v>
      </c>
      <c r="Z14525" t="s">
        <v>13441</v>
      </c>
      <c r="AA14525" s="22" t="str">
        <f>HYPERLINK("https://www.ncbi.nlm.nih.gov/nuccore/LC424839","NCBI Nucleotide")</f>
        <v>NCBI Nucleotide</v>
      </c>
    </row>
    <row r="14526" spans="1:27" x14ac:dyDescent="0.35">
      <c r="A14526">
        <v>1026539</v>
      </c>
      <c r="B14526">
        <v>13099</v>
      </c>
      <c r="C14526">
        <v>1</v>
      </c>
      <c r="D14526" t="s">
        <v>17166</v>
      </c>
      <c r="F14526" t="s">
        <v>17246</v>
      </c>
      <c r="H14526" t="s">
        <v>28921</v>
      </c>
      <c r="J14526" t="s">
        <v>29538</v>
      </c>
      <c r="L14526" t="s">
        <v>33064</v>
      </c>
      <c r="N14526" t="s">
        <v>33075</v>
      </c>
      <c r="P14526" t="s">
        <v>33122</v>
      </c>
      <c r="R14526" s="26" t="str">
        <f>HYPERLINK("https://ictv.global/taxonomy/taxondetails?taxnode_id=202318647","Polerovirus PELRCV")</f>
        <v>Polerovirus PELRCV</v>
      </c>
      <c r="S14526" t="s">
        <v>30</v>
      </c>
      <c r="T14526" t="s">
        <v>47490</v>
      </c>
      <c r="U14526" t="s">
        <v>47491</v>
      </c>
      <c r="V14526" t="s">
        <v>47492</v>
      </c>
      <c r="W14526" t="s">
        <v>47493</v>
      </c>
      <c r="X14526" t="s">
        <v>35</v>
      </c>
      <c r="Y14526" t="s">
        <v>17171</v>
      </c>
      <c r="Z14526" t="s">
        <v>13441</v>
      </c>
      <c r="AA14526" s="22" t="str">
        <f>HYPERLINK("https://www.ncbi.nlm.nih.gov/nuccore/LT220496","NCBI Nucleotide")</f>
        <v>NCBI Nucleotide</v>
      </c>
    </row>
    <row r="14527" spans="1:27" x14ac:dyDescent="0.35">
      <c r="A14527">
        <v>1002806</v>
      </c>
      <c r="B14527">
        <v>13100</v>
      </c>
      <c r="C14527">
        <v>1</v>
      </c>
      <c r="D14527" t="s">
        <v>17166</v>
      </c>
      <c r="F14527" t="s">
        <v>17246</v>
      </c>
      <c r="H14527" t="s">
        <v>28921</v>
      </c>
      <c r="J14527" t="s">
        <v>29538</v>
      </c>
      <c r="L14527" t="s">
        <v>33064</v>
      </c>
      <c r="N14527" t="s">
        <v>33075</v>
      </c>
      <c r="P14527" t="s">
        <v>33122</v>
      </c>
      <c r="R14527" s="26" t="str">
        <f>HYPERLINK("https://ictv.global/taxonomy/taxondetails?taxnode_id=202303785","Polerovirus PEVYV1")</f>
        <v>Polerovirus PEVYV1</v>
      </c>
      <c r="S14527" t="s">
        <v>30</v>
      </c>
      <c r="T14527" t="s">
        <v>33177</v>
      </c>
      <c r="U14527" t="s">
        <v>33178</v>
      </c>
      <c r="V14527" t="s">
        <v>33179</v>
      </c>
      <c r="W14527" t="s">
        <v>33180</v>
      </c>
      <c r="X14527" t="s">
        <v>42</v>
      </c>
      <c r="Y14527" t="s">
        <v>17171</v>
      </c>
      <c r="Z14527" t="s">
        <v>13441</v>
      </c>
      <c r="AA14527" s="22" t="str">
        <f>HYPERLINK("https://www.ncbi.nlm.nih.gov/nuccore/AB594828","NCBI Nucleotide")</f>
        <v>NCBI Nucleotide</v>
      </c>
    </row>
    <row r="14528" spans="1:27" x14ac:dyDescent="0.35">
      <c r="A14528">
        <v>1002807</v>
      </c>
      <c r="B14528">
        <v>13101</v>
      </c>
      <c r="C14528">
        <v>1</v>
      </c>
      <c r="D14528" t="s">
        <v>17166</v>
      </c>
      <c r="F14528" t="s">
        <v>17246</v>
      </c>
      <c r="H14528" t="s">
        <v>28921</v>
      </c>
      <c r="J14528" t="s">
        <v>29538</v>
      </c>
      <c r="L14528" t="s">
        <v>33064</v>
      </c>
      <c r="N14528" t="s">
        <v>33075</v>
      </c>
      <c r="P14528" t="s">
        <v>33122</v>
      </c>
      <c r="R14528" s="26" t="str">
        <f>HYPERLINK("https://ictv.global/taxonomy/taxondetails?taxnode_id=202306621","Polerovirus PEVYV2")</f>
        <v>Polerovirus PEVYV2</v>
      </c>
      <c r="S14528" t="s">
        <v>30</v>
      </c>
      <c r="T14528" t="s">
        <v>33181</v>
      </c>
      <c r="U14528" t="s">
        <v>33182</v>
      </c>
      <c r="V14528" t="s">
        <v>33183</v>
      </c>
      <c r="W14528" t="s">
        <v>33184</v>
      </c>
      <c r="X14528" t="s">
        <v>42</v>
      </c>
      <c r="Y14528" t="s">
        <v>17171</v>
      </c>
      <c r="Z14528" t="s">
        <v>13441</v>
      </c>
      <c r="AA14528" s="22" t="str">
        <f>HYPERLINK("https://www.ncbi.nlm.nih.gov/nuccore/HM439608","NCBI Nucleotide")</f>
        <v>NCBI Nucleotide</v>
      </c>
    </row>
    <row r="14529" spans="1:27" x14ac:dyDescent="0.35">
      <c r="A14529">
        <v>1002808</v>
      </c>
      <c r="B14529">
        <v>13102</v>
      </c>
      <c r="C14529">
        <v>1</v>
      </c>
      <c r="D14529" t="s">
        <v>17166</v>
      </c>
      <c r="F14529" t="s">
        <v>17246</v>
      </c>
      <c r="H14529" t="s">
        <v>28921</v>
      </c>
      <c r="J14529" t="s">
        <v>29538</v>
      </c>
      <c r="L14529" t="s">
        <v>33064</v>
      </c>
      <c r="N14529" t="s">
        <v>33075</v>
      </c>
      <c r="P14529" t="s">
        <v>33122</v>
      </c>
      <c r="R14529" s="26" t="str">
        <f>HYPERLINK("https://ictv.global/taxonomy/taxondetails?taxnode_id=202306622","Polerovirus PEVYV3")</f>
        <v>Polerovirus PEVYV3</v>
      </c>
      <c r="S14529" t="s">
        <v>30</v>
      </c>
      <c r="T14529" t="s">
        <v>33185</v>
      </c>
      <c r="U14529" t="s">
        <v>33186</v>
      </c>
      <c r="V14529" t="s">
        <v>33187</v>
      </c>
      <c r="W14529" t="s">
        <v>33188</v>
      </c>
      <c r="X14529" t="s">
        <v>42</v>
      </c>
      <c r="Y14529" t="s">
        <v>17171</v>
      </c>
      <c r="Z14529" t="s">
        <v>13441</v>
      </c>
      <c r="AA14529" s="22" t="str">
        <f>HYPERLINK("https://www.ncbi.nlm.nih.gov/nuccore/KP326573","NCBI Nucleotide")</f>
        <v>NCBI Nucleotide</v>
      </c>
    </row>
    <row r="14530" spans="1:27" x14ac:dyDescent="0.35">
      <c r="A14530">
        <v>1002809</v>
      </c>
      <c r="B14530">
        <v>13103</v>
      </c>
      <c r="C14530">
        <v>1</v>
      </c>
      <c r="D14530" t="s">
        <v>17166</v>
      </c>
      <c r="F14530" t="s">
        <v>17246</v>
      </c>
      <c r="H14530" t="s">
        <v>28921</v>
      </c>
      <c r="J14530" t="s">
        <v>29538</v>
      </c>
      <c r="L14530" t="s">
        <v>33064</v>
      </c>
      <c r="N14530" t="s">
        <v>33075</v>
      </c>
      <c r="P14530" t="s">
        <v>33122</v>
      </c>
      <c r="R14530" s="26" t="str">
        <f>HYPERLINK("https://ictv.global/taxonomy/taxondetails?taxnode_id=202306623","Polerovirus PEVYV4")</f>
        <v>Polerovirus PEVYV4</v>
      </c>
      <c r="S14530" t="s">
        <v>30</v>
      </c>
      <c r="T14530" t="s">
        <v>33189</v>
      </c>
      <c r="U14530" t="s">
        <v>33190</v>
      </c>
      <c r="V14530" t="s">
        <v>33191</v>
      </c>
      <c r="W14530" t="s">
        <v>33192</v>
      </c>
      <c r="X14530" t="s">
        <v>42</v>
      </c>
      <c r="Y14530" t="s">
        <v>17171</v>
      </c>
      <c r="Z14530" t="s">
        <v>13441</v>
      </c>
      <c r="AA14530" s="22" t="str">
        <f>HYPERLINK("https://www.ncbi.nlm.nih.gov/nuccore/KU999109","NCBI Nucleotide")</f>
        <v>NCBI Nucleotide</v>
      </c>
    </row>
    <row r="14531" spans="1:27" x14ac:dyDescent="0.35">
      <c r="A14531">
        <v>1002810</v>
      </c>
      <c r="B14531">
        <v>13104</v>
      </c>
      <c r="C14531">
        <v>1</v>
      </c>
      <c r="D14531" t="s">
        <v>17166</v>
      </c>
      <c r="F14531" t="s">
        <v>17246</v>
      </c>
      <c r="H14531" t="s">
        <v>28921</v>
      </c>
      <c r="J14531" t="s">
        <v>29538</v>
      </c>
      <c r="L14531" t="s">
        <v>33064</v>
      </c>
      <c r="N14531" t="s">
        <v>33075</v>
      </c>
      <c r="P14531" t="s">
        <v>33122</v>
      </c>
      <c r="R14531" s="26" t="str">
        <f>HYPERLINK("https://ictv.global/taxonomy/taxondetails?taxnode_id=202306624","Polerovirus PEVYV5")</f>
        <v>Polerovirus PEVYV5</v>
      </c>
      <c r="S14531" t="s">
        <v>30</v>
      </c>
      <c r="T14531" t="s">
        <v>33193</v>
      </c>
      <c r="U14531" t="s">
        <v>33194</v>
      </c>
      <c r="V14531" t="s">
        <v>33195</v>
      </c>
      <c r="W14531" t="s">
        <v>33196</v>
      </c>
      <c r="X14531" t="s">
        <v>42</v>
      </c>
      <c r="Y14531" t="s">
        <v>17171</v>
      </c>
      <c r="Z14531" t="s">
        <v>13441</v>
      </c>
      <c r="AA14531" s="22" t="str">
        <f>HYPERLINK("https://www.ncbi.nlm.nih.gov/nuccore/KY523072","NCBI Nucleotide")</f>
        <v>NCBI Nucleotide</v>
      </c>
    </row>
    <row r="14532" spans="1:27" x14ac:dyDescent="0.35">
      <c r="A14532">
        <v>1002811</v>
      </c>
      <c r="B14532">
        <v>13105</v>
      </c>
      <c r="C14532">
        <v>1</v>
      </c>
      <c r="D14532" t="s">
        <v>17166</v>
      </c>
      <c r="F14532" t="s">
        <v>17246</v>
      </c>
      <c r="H14532" t="s">
        <v>28921</v>
      </c>
      <c r="J14532" t="s">
        <v>29538</v>
      </c>
      <c r="L14532" t="s">
        <v>33064</v>
      </c>
      <c r="N14532" t="s">
        <v>33075</v>
      </c>
      <c r="P14532" t="s">
        <v>33122</v>
      </c>
      <c r="R14532" s="26" t="str">
        <f>HYPERLINK("https://ictv.global/taxonomy/taxondetails?taxnode_id=202306625","Polerovirus PEVYV6")</f>
        <v>Polerovirus PEVYV6</v>
      </c>
      <c r="S14532" t="s">
        <v>30</v>
      </c>
      <c r="T14532" t="s">
        <v>33197</v>
      </c>
      <c r="U14532" t="s">
        <v>33198</v>
      </c>
      <c r="V14532" t="s">
        <v>33199</v>
      </c>
      <c r="W14532" t="s">
        <v>33200</v>
      </c>
      <c r="X14532" t="s">
        <v>42</v>
      </c>
      <c r="Y14532" t="s">
        <v>17171</v>
      </c>
      <c r="Z14532" t="s">
        <v>13441</v>
      </c>
      <c r="AA14532" s="22" t="str">
        <f>HYPERLINK("https://www.ncbi.nlm.nih.gov/nuccore/LT559483","NCBI Nucleotide")</f>
        <v>NCBI Nucleotide</v>
      </c>
    </row>
    <row r="14533" spans="1:27" x14ac:dyDescent="0.35">
      <c r="A14533">
        <v>1026540</v>
      </c>
      <c r="B14533">
        <v>13106</v>
      </c>
      <c r="C14533">
        <v>1</v>
      </c>
      <c r="D14533" t="s">
        <v>17166</v>
      </c>
      <c r="F14533" t="s">
        <v>17246</v>
      </c>
      <c r="H14533" t="s">
        <v>28921</v>
      </c>
      <c r="J14533" t="s">
        <v>29538</v>
      </c>
      <c r="L14533" t="s">
        <v>33064</v>
      </c>
      <c r="N14533" t="s">
        <v>33075</v>
      </c>
      <c r="P14533" t="s">
        <v>33122</v>
      </c>
      <c r="R14533" s="26" t="str">
        <f>HYPERLINK("https://ictv.global/taxonomy/taxondetails?taxnode_id=202318648","Polerovirus PEWBVYV")</f>
        <v>Polerovirus PEWBVYV</v>
      </c>
      <c r="S14533" t="s">
        <v>30</v>
      </c>
      <c r="T14533" t="s">
        <v>47494</v>
      </c>
      <c r="U14533" t="s">
        <v>47495</v>
      </c>
      <c r="V14533" t="s">
        <v>47496</v>
      </c>
      <c r="W14533" t="s">
        <v>47497</v>
      </c>
      <c r="X14533" t="s">
        <v>42</v>
      </c>
      <c r="Y14533" t="s">
        <v>17171</v>
      </c>
      <c r="Z14533" t="s">
        <v>13441</v>
      </c>
      <c r="AA14533" s="22" t="str">
        <f>HYPERLINK("https://www.ncbi.nlm.nih.gov/nuccore/MK333461","NCBI Nucleotide")</f>
        <v>NCBI Nucleotide</v>
      </c>
    </row>
    <row r="14534" spans="1:27" x14ac:dyDescent="0.35">
      <c r="A14534">
        <v>1026541</v>
      </c>
      <c r="B14534">
        <v>13107</v>
      </c>
      <c r="C14534">
        <v>1</v>
      </c>
      <c r="D14534" t="s">
        <v>17166</v>
      </c>
      <c r="F14534" t="s">
        <v>17246</v>
      </c>
      <c r="H14534" t="s">
        <v>28921</v>
      </c>
      <c r="J14534" t="s">
        <v>29538</v>
      </c>
      <c r="L14534" t="s">
        <v>33064</v>
      </c>
      <c r="N14534" t="s">
        <v>33075</v>
      </c>
      <c r="P14534" t="s">
        <v>33122</v>
      </c>
      <c r="R14534" s="26" t="str">
        <f>HYPERLINK("https://ictv.global/taxonomy/taxondetails?taxnode_id=202318652","Polerovirus PLAVA")</f>
        <v>Polerovirus PLAVA</v>
      </c>
      <c r="S14534" t="s">
        <v>30</v>
      </c>
      <c r="T14534" t="s">
        <v>47498</v>
      </c>
      <c r="U14534" t="s">
        <v>47499</v>
      </c>
      <c r="V14534" t="s">
        <v>18950</v>
      </c>
      <c r="W14534" t="s">
        <v>47500</v>
      </c>
      <c r="X14534" t="s">
        <v>42</v>
      </c>
      <c r="Y14534" t="s">
        <v>17171</v>
      </c>
      <c r="Z14534" t="s">
        <v>13441</v>
      </c>
      <c r="AA14534" s="22" t="str">
        <f>HYPERLINK("https://www.ncbi.nlm.nih.gov/nuccore/MZ571143","NCBI Nucleotide")</f>
        <v>NCBI Nucleotide</v>
      </c>
    </row>
    <row r="14535" spans="1:27" x14ac:dyDescent="0.35">
      <c r="A14535">
        <v>1002812</v>
      </c>
      <c r="B14535">
        <v>13108</v>
      </c>
      <c r="C14535">
        <v>1</v>
      </c>
      <c r="D14535" t="s">
        <v>17166</v>
      </c>
      <c r="F14535" t="s">
        <v>17246</v>
      </c>
      <c r="H14535" t="s">
        <v>28921</v>
      </c>
      <c r="J14535" t="s">
        <v>29538</v>
      </c>
      <c r="L14535" t="s">
        <v>33064</v>
      </c>
      <c r="N14535" t="s">
        <v>33075</v>
      </c>
      <c r="P14535" t="s">
        <v>33122</v>
      </c>
      <c r="R14535" s="26" t="str">
        <f>HYPERLINK("https://ictv.global/taxonomy/taxondetails?taxnode_id=202303786","Polerovirus PLRV")</f>
        <v>Polerovirus PLRV</v>
      </c>
      <c r="S14535" t="s">
        <v>30</v>
      </c>
      <c r="T14535" t="s">
        <v>33201</v>
      </c>
      <c r="U14535" t="s">
        <v>33202</v>
      </c>
      <c r="V14535" t="s">
        <v>374</v>
      </c>
      <c r="W14535" t="s">
        <v>33203</v>
      </c>
      <c r="X14535" t="s">
        <v>42</v>
      </c>
      <c r="Y14535" t="s">
        <v>17171</v>
      </c>
      <c r="Z14535" t="s">
        <v>13441</v>
      </c>
      <c r="AA14535" s="22" t="str">
        <f>HYPERLINK("https://www.ncbi.nlm.nih.gov/nuccore/D13954","NCBI Nucleotide")</f>
        <v>NCBI Nucleotide</v>
      </c>
    </row>
    <row r="14536" spans="1:27" x14ac:dyDescent="0.35">
      <c r="A14536">
        <v>1026542</v>
      </c>
      <c r="B14536">
        <v>13109</v>
      </c>
      <c r="C14536">
        <v>1</v>
      </c>
      <c r="D14536" t="s">
        <v>17166</v>
      </c>
      <c r="F14536" t="s">
        <v>17246</v>
      </c>
      <c r="H14536" t="s">
        <v>28921</v>
      </c>
      <c r="J14536" t="s">
        <v>29538</v>
      </c>
      <c r="L14536" t="s">
        <v>33064</v>
      </c>
      <c r="N14536" t="s">
        <v>33075</v>
      </c>
      <c r="P14536" t="s">
        <v>33122</v>
      </c>
      <c r="R14536" s="26" t="str">
        <f>HYPERLINK("https://ictv.global/taxonomy/taxondetails?taxnode_id=202318651","Polerovirus PMPV")</f>
        <v>Polerovirus PMPV</v>
      </c>
      <c r="S14536" t="s">
        <v>30</v>
      </c>
      <c r="T14536" t="s">
        <v>47501</v>
      </c>
      <c r="U14536" t="s">
        <v>47502</v>
      </c>
      <c r="V14536" t="s">
        <v>47503</v>
      </c>
      <c r="W14536" t="s">
        <v>47504</v>
      </c>
      <c r="X14536" t="s">
        <v>35</v>
      </c>
      <c r="Y14536" t="s">
        <v>17171</v>
      </c>
      <c r="Z14536" t="s">
        <v>13441</v>
      </c>
      <c r="AA14536" s="22" t="str">
        <f>HYPERLINK("https://www.ncbi.nlm.nih.gov/nuccore/BK059373","NCBI Nucleotide")</f>
        <v>NCBI Nucleotide</v>
      </c>
    </row>
    <row r="14537" spans="1:27" x14ac:dyDescent="0.35">
      <c r="A14537">
        <v>1026543</v>
      </c>
      <c r="B14537">
        <v>13110</v>
      </c>
      <c r="C14537">
        <v>1</v>
      </c>
      <c r="D14537" t="s">
        <v>17166</v>
      </c>
      <c r="F14537" t="s">
        <v>17246</v>
      </c>
      <c r="H14537" t="s">
        <v>28921</v>
      </c>
      <c r="J14537" t="s">
        <v>29538</v>
      </c>
      <c r="L14537" t="s">
        <v>33064</v>
      </c>
      <c r="N14537" t="s">
        <v>33075</v>
      </c>
      <c r="P14537" t="s">
        <v>33122</v>
      </c>
      <c r="R14537" s="26" t="str">
        <f>HYPERLINK("https://ictv.global/taxonomy/taxondetails?taxnode_id=202318646","Polerovirus PNPV")</f>
        <v>Polerovirus PNPV</v>
      </c>
      <c r="S14537" t="s">
        <v>30</v>
      </c>
      <c r="T14537" t="s">
        <v>47505</v>
      </c>
      <c r="U14537" t="s">
        <v>47506</v>
      </c>
      <c r="V14537" t="s">
        <v>47507</v>
      </c>
      <c r="W14537" t="s">
        <v>47508</v>
      </c>
      <c r="X14537" t="s">
        <v>35</v>
      </c>
      <c r="Y14537" t="s">
        <v>17171</v>
      </c>
      <c r="Z14537" t="s">
        <v>13441</v>
      </c>
      <c r="AA14537" s="22" t="str">
        <f>HYPERLINK("https://www.ncbi.nlm.nih.gov/nuccore/BK059372","NCBI Nucleotide")</f>
        <v>NCBI Nucleotide</v>
      </c>
    </row>
    <row r="14538" spans="1:27" x14ac:dyDescent="0.35">
      <c r="A14538">
        <v>1026544</v>
      </c>
      <c r="B14538">
        <v>13111</v>
      </c>
      <c r="C14538">
        <v>1</v>
      </c>
      <c r="D14538" t="s">
        <v>17166</v>
      </c>
      <c r="F14538" t="s">
        <v>17246</v>
      </c>
      <c r="H14538" t="s">
        <v>28921</v>
      </c>
      <c r="J14538" t="s">
        <v>29538</v>
      </c>
      <c r="L14538" t="s">
        <v>33064</v>
      </c>
      <c r="N14538" t="s">
        <v>33075</v>
      </c>
      <c r="P14538" t="s">
        <v>33122</v>
      </c>
      <c r="R14538" s="26" t="str">
        <f>HYPERLINK("https://ictv.global/taxonomy/taxondetails?taxnode_id=202318653","Polerovirus PPEVYV")</f>
        <v>Polerovirus PPEVYV</v>
      </c>
      <c r="S14538" t="s">
        <v>30</v>
      </c>
      <c r="T14538" t="s">
        <v>47509</v>
      </c>
      <c r="U14538" t="s">
        <v>47510</v>
      </c>
      <c r="V14538" t="s">
        <v>47511</v>
      </c>
      <c r="W14538" t="s">
        <v>47512</v>
      </c>
      <c r="X14538" t="s">
        <v>42</v>
      </c>
      <c r="Y14538" t="s">
        <v>17171</v>
      </c>
      <c r="Z14538" t="s">
        <v>13441</v>
      </c>
      <c r="AA14538" s="22" t="str">
        <f>HYPERLINK("https://www.ncbi.nlm.nih.gov/nuccore/MT188667","NCBI Nucleotide")</f>
        <v>NCBI Nucleotide</v>
      </c>
    </row>
    <row r="14539" spans="1:27" x14ac:dyDescent="0.35">
      <c r="A14539">
        <v>1026545</v>
      </c>
      <c r="B14539">
        <v>13112</v>
      </c>
      <c r="C14539">
        <v>1</v>
      </c>
      <c r="D14539" t="s">
        <v>17166</v>
      </c>
      <c r="F14539" t="s">
        <v>17246</v>
      </c>
      <c r="H14539" t="s">
        <v>28921</v>
      </c>
      <c r="J14539" t="s">
        <v>29538</v>
      </c>
      <c r="L14539" t="s">
        <v>33064</v>
      </c>
      <c r="N14539" t="s">
        <v>33075</v>
      </c>
      <c r="P14539" t="s">
        <v>33122</v>
      </c>
      <c r="R14539" s="26" t="str">
        <f>HYPERLINK("https://ictv.global/taxonomy/taxondetails?taxnode_id=202318649","Polerovirus PPOV")</f>
        <v>Polerovirus PPOV</v>
      </c>
      <c r="S14539" t="s">
        <v>30</v>
      </c>
      <c r="T14539" t="s">
        <v>47513</v>
      </c>
      <c r="U14539" t="s">
        <v>47514</v>
      </c>
      <c r="V14539" t="s">
        <v>47515</v>
      </c>
      <c r="W14539" t="s">
        <v>47516</v>
      </c>
      <c r="X14539" t="s">
        <v>42</v>
      </c>
      <c r="Y14539" t="s">
        <v>17171</v>
      </c>
      <c r="Z14539" t="s">
        <v>13441</v>
      </c>
      <c r="AA14539" s="22" t="str">
        <f>HYPERLINK("https://www.ncbi.nlm.nih.gov/nuccore/LC488188","NCBI Nucleotide")</f>
        <v>NCBI Nucleotide</v>
      </c>
    </row>
    <row r="14540" spans="1:27" x14ac:dyDescent="0.35">
      <c r="A14540">
        <v>1026546</v>
      </c>
      <c r="B14540">
        <v>13113</v>
      </c>
      <c r="C14540">
        <v>1</v>
      </c>
      <c r="D14540" t="s">
        <v>17166</v>
      </c>
      <c r="F14540" t="s">
        <v>17246</v>
      </c>
      <c r="H14540" t="s">
        <v>28921</v>
      </c>
      <c r="J14540" t="s">
        <v>29538</v>
      </c>
      <c r="L14540" t="s">
        <v>33064</v>
      </c>
      <c r="N14540" t="s">
        <v>33075</v>
      </c>
      <c r="P14540" t="s">
        <v>33122</v>
      </c>
      <c r="R14540" s="26" t="str">
        <f>HYPERLINK("https://ictv.global/taxonomy/taxondetails?taxnode_id=202318654","Polerovirus PTPV")</f>
        <v>Polerovirus PTPV</v>
      </c>
      <c r="S14540" t="s">
        <v>30</v>
      </c>
      <c r="T14540" t="s">
        <v>47517</v>
      </c>
      <c r="U14540" t="s">
        <v>47518</v>
      </c>
      <c r="V14540" t="s">
        <v>47519</v>
      </c>
      <c r="W14540" t="s">
        <v>47520</v>
      </c>
      <c r="X14540" t="s">
        <v>42</v>
      </c>
      <c r="Y14540" t="s">
        <v>17171</v>
      </c>
      <c r="Z14540" t="s">
        <v>13441</v>
      </c>
      <c r="AA14540" s="22" t="str">
        <f>HYPERLINK("https://www.ncbi.nlm.nih.gov/nuccore/OL471344","NCBI Nucleotide")</f>
        <v>NCBI Nucleotide</v>
      </c>
    </row>
    <row r="14541" spans="1:27" x14ac:dyDescent="0.35">
      <c r="A14541">
        <v>1002813</v>
      </c>
      <c r="B14541">
        <v>13114</v>
      </c>
      <c r="C14541">
        <v>1</v>
      </c>
      <c r="D14541" t="s">
        <v>17166</v>
      </c>
      <c r="F14541" t="s">
        <v>17246</v>
      </c>
      <c r="H14541" t="s">
        <v>28921</v>
      </c>
      <c r="J14541" t="s">
        <v>29538</v>
      </c>
      <c r="L14541" t="s">
        <v>33064</v>
      </c>
      <c r="N14541" t="s">
        <v>33075</v>
      </c>
      <c r="P14541" t="s">
        <v>33122</v>
      </c>
      <c r="R14541" s="26" t="str">
        <f>HYPERLINK("https://ictv.global/taxonomy/taxondetails?taxnode_id=202307553","Polerovirus PUPV")</f>
        <v>Polerovirus PUPV</v>
      </c>
      <c r="S14541" t="s">
        <v>30</v>
      </c>
      <c r="T14541" t="s">
        <v>33204</v>
      </c>
      <c r="U14541" t="s">
        <v>33205</v>
      </c>
      <c r="V14541" t="s">
        <v>33206</v>
      </c>
      <c r="W14541" t="s">
        <v>33207</v>
      </c>
      <c r="X14541" t="s">
        <v>42</v>
      </c>
      <c r="Y14541" t="s">
        <v>17171</v>
      </c>
      <c r="Z14541" t="s">
        <v>13441</v>
      </c>
      <c r="AA14541" s="22" t="str">
        <f>HYPERLINK("https://www.ncbi.nlm.nih.gov/nuccore/MG800833","NCBI Nucleotide")</f>
        <v>NCBI Nucleotide</v>
      </c>
    </row>
    <row r="14542" spans="1:27" x14ac:dyDescent="0.35">
      <c r="A14542">
        <v>1002814</v>
      </c>
      <c r="B14542">
        <v>13115</v>
      </c>
      <c r="C14542">
        <v>1</v>
      </c>
      <c r="D14542" t="s">
        <v>17166</v>
      </c>
      <c r="F14542" t="s">
        <v>17246</v>
      </c>
      <c r="H14542" t="s">
        <v>28921</v>
      </c>
      <c r="J14542" t="s">
        <v>29538</v>
      </c>
      <c r="L14542" t="s">
        <v>33064</v>
      </c>
      <c r="N14542" t="s">
        <v>33075</v>
      </c>
      <c r="P14542" t="s">
        <v>33122</v>
      </c>
      <c r="R14542" s="26" t="str">
        <f>HYPERLINK("https://ictv.global/taxonomy/taxondetails?taxnode_id=202303787","Polerovirus SABYV")</f>
        <v>Polerovirus SABYV</v>
      </c>
      <c r="S14542" t="s">
        <v>30</v>
      </c>
      <c r="T14542" t="s">
        <v>33208</v>
      </c>
      <c r="U14542" t="s">
        <v>33209</v>
      </c>
      <c r="V14542" t="s">
        <v>33210</v>
      </c>
      <c r="W14542" t="s">
        <v>33211</v>
      </c>
      <c r="X14542" t="s">
        <v>42</v>
      </c>
      <c r="Y14542" t="s">
        <v>17171</v>
      </c>
      <c r="Z14542" t="s">
        <v>13441</v>
      </c>
      <c r="AA14542" s="22" t="str">
        <f>HYPERLINK("https://www.ncbi.nlm.nih.gov/nuccore/JQ700308","NCBI Nucleotide")</f>
        <v>NCBI Nucleotide</v>
      </c>
    </row>
    <row r="14543" spans="1:27" x14ac:dyDescent="0.35">
      <c r="A14543">
        <v>1026547</v>
      </c>
      <c r="B14543">
        <v>13116</v>
      </c>
      <c r="C14543">
        <v>1</v>
      </c>
      <c r="D14543" t="s">
        <v>17166</v>
      </c>
      <c r="F14543" t="s">
        <v>17246</v>
      </c>
      <c r="H14543" t="s">
        <v>28921</v>
      </c>
      <c r="J14543" t="s">
        <v>29538</v>
      </c>
      <c r="L14543" t="s">
        <v>33064</v>
      </c>
      <c r="N14543" t="s">
        <v>33075</v>
      </c>
      <c r="P14543" t="s">
        <v>33122</v>
      </c>
      <c r="R14543" s="26" t="str">
        <f>HYPERLINK("https://ictv.global/taxonomy/taxondetails?taxnode_id=202318655","Polerovirus SAYV")</f>
        <v>Polerovirus SAYV</v>
      </c>
      <c r="S14543" t="s">
        <v>30</v>
      </c>
      <c r="T14543" t="s">
        <v>47521</v>
      </c>
      <c r="U14543" t="s">
        <v>47522</v>
      </c>
      <c r="V14543" t="s">
        <v>47523</v>
      </c>
      <c r="W14543" t="s">
        <v>47524</v>
      </c>
      <c r="X14543" t="s">
        <v>42</v>
      </c>
      <c r="Y14543" t="s">
        <v>17171</v>
      </c>
      <c r="Z14543" t="s">
        <v>13441</v>
      </c>
      <c r="AA14543" s="22" t="str">
        <f>HYPERLINK("https://www.ncbi.nlm.nih.gov/nuccore/KJ885302","NCBI Nucleotide")</f>
        <v>NCBI Nucleotide</v>
      </c>
    </row>
    <row r="14544" spans="1:27" x14ac:dyDescent="0.35">
      <c r="A14544">
        <v>1026548</v>
      </c>
      <c r="B14544">
        <v>13117</v>
      </c>
      <c r="C14544">
        <v>1</v>
      </c>
      <c r="D14544" t="s">
        <v>17166</v>
      </c>
      <c r="F14544" t="s">
        <v>17246</v>
      </c>
      <c r="H14544" t="s">
        <v>28921</v>
      </c>
      <c r="J14544" t="s">
        <v>29538</v>
      </c>
      <c r="L14544" t="s">
        <v>33064</v>
      </c>
      <c r="N14544" t="s">
        <v>33075</v>
      </c>
      <c r="P14544" t="s">
        <v>33122</v>
      </c>
      <c r="R14544" s="26" t="str">
        <f>HYPERLINK("https://ictv.global/taxonomy/taxondetails?taxnode_id=202318657","Polerovirus SBCLRV")</f>
        <v>Polerovirus SBCLRV</v>
      </c>
      <c r="S14544" t="s">
        <v>30</v>
      </c>
      <c r="T14544" t="s">
        <v>47525</v>
      </c>
      <c r="U14544" t="s">
        <v>47526</v>
      </c>
      <c r="V14544" t="s">
        <v>47527</v>
      </c>
      <c r="W14544" t="s">
        <v>47528</v>
      </c>
      <c r="X14544" t="s">
        <v>42</v>
      </c>
      <c r="Y14544" t="s">
        <v>17171</v>
      </c>
      <c r="Z14544" t="s">
        <v>13441</v>
      </c>
      <c r="AA14544" s="22" t="str">
        <f>HYPERLINK("https://www.ncbi.nlm.nih.gov/nuccore/OM507197","NCBI Nucleotide")</f>
        <v>NCBI Nucleotide</v>
      </c>
    </row>
    <row r="14545" spans="1:27" x14ac:dyDescent="0.35">
      <c r="A14545">
        <v>1002815</v>
      </c>
      <c r="B14545">
        <v>13118</v>
      </c>
      <c r="C14545">
        <v>1</v>
      </c>
      <c r="D14545" t="s">
        <v>17166</v>
      </c>
      <c r="F14545" t="s">
        <v>17246</v>
      </c>
      <c r="H14545" t="s">
        <v>28921</v>
      </c>
      <c r="J14545" t="s">
        <v>29538</v>
      </c>
      <c r="L14545" t="s">
        <v>33064</v>
      </c>
      <c r="N14545" t="s">
        <v>33075</v>
      </c>
      <c r="P14545" t="s">
        <v>33122</v>
      </c>
      <c r="R14545" s="26" t="str">
        <f>HYPERLINK("https://ictv.global/taxonomy/taxondetails?taxnode_id=202303788","Polerovirus SCYLV")</f>
        <v>Polerovirus SCYLV</v>
      </c>
      <c r="S14545" t="s">
        <v>30</v>
      </c>
      <c r="T14545" t="s">
        <v>33212</v>
      </c>
      <c r="U14545" t="s">
        <v>33213</v>
      </c>
      <c r="V14545" t="s">
        <v>33214</v>
      </c>
      <c r="W14545" t="s">
        <v>33215</v>
      </c>
      <c r="X14545" t="s">
        <v>42</v>
      </c>
      <c r="Y14545" t="s">
        <v>17171</v>
      </c>
      <c r="Z14545" t="s">
        <v>13441</v>
      </c>
      <c r="AA14545" s="22" t="str">
        <f>HYPERLINK("https://www.ncbi.nlm.nih.gov/nuccore/AF157029","NCBI Nucleotide")</f>
        <v>NCBI Nucleotide</v>
      </c>
    </row>
    <row r="14546" spans="1:27" x14ac:dyDescent="0.35">
      <c r="A14546">
        <v>1026549</v>
      </c>
      <c r="B14546">
        <v>13119</v>
      </c>
      <c r="C14546">
        <v>1</v>
      </c>
      <c r="D14546" t="s">
        <v>17166</v>
      </c>
      <c r="F14546" t="s">
        <v>17246</v>
      </c>
      <c r="H14546" t="s">
        <v>28921</v>
      </c>
      <c r="J14546" t="s">
        <v>29538</v>
      </c>
      <c r="L14546" t="s">
        <v>33064</v>
      </c>
      <c r="N14546" t="s">
        <v>33075</v>
      </c>
      <c r="P14546" t="s">
        <v>33122</v>
      </c>
      <c r="R14546" s="26" t="str">
        <f>HYPERLINK("https://ictv.global/taxonomy/taxondetails?taxnode_id=202318656","Polerovirus SLPV")</f>
        <v>Polerovirus SLPV</v>
      </c>
      <c r="S14546" t="s">
        <v>30</v>
      </c>
      <c r="T14546" t="s">
        <v>47529</v>
      </c>
      <c r="U14546" t="s">
        <v>12803</v>
      </c>
      <c r="V14546" t="s">
        <v>47530</v>
      </c>
      <c r="W14546" t="s">
        <v>47531</v>
      </c>
      <c r="X14546" t="s">
        <v>35</v>
      </c>
      <c r="Y14546" t="s">
        <v>17171</v>
      </c>
      <c r="Z14546" t="s">
        <v>13441</v>
      </c>
      <c r="AA14546" s="22" t="str">
        <f>HYPERLINK("https://www.ncbi.nlm.nih.gov/nuccore/MK482114","NCBI Nucleotide")</f>
        <v>NCBI Nucleotide</v>
      </c>
    </row>
    <row r="14547" spans="1:27" x14ac:dyDescent="0.35">
      <c r="A14547">
        <v>1002844</v>
      </c>
      <c r="B14547">
        <v>13120</v>
      </c>
      <c r="C14547">
        <v>1</v>
      </c>
      <c r="D14547" t="s">
        <v>17166</v>
      </c>
      <c r="F14547" t="s">
        <v>17246</v>
      </c>
      <c r="H14547" t="s">
        <v>28921</v>
      </c>
      <c r="J14547" t="s">
        <v>29538</v>
      </c>
      <c r="L14547" t="s">
        <v>33064</v>
      </c>
      <c r="N14547" t="s">
        <v>33075</v>
      </c>
      <c r="P14547" t="s">
        <v>33122</v>
      </c>
      <c r="R14547" s="26" t="str">
        <f>HYPERLINK("https://ictv.global/taxonomy/taxondetails?taxnode_id=202303797","Polerovirus SPLSV")</f>
        <v>Polerovirus SPLSV</v>
      </c>
      <c r="S14547" t="s">
        <v>30</v>
      </c>
      <c r="T14547" t="s">
        <v>33089</v>
      </c>
      <c r="U14547" t="s">
        <v>33090</v>
      </c>
      <c r="V14547" t="s">
        <v>660</v>
      </c>
      <c r="W14547" t="s">
        <v>33091</v>
      </c>
      <c r="X14547" t="s">
        <v>154</v>
      </c>
      <c r="Y14547" t="s">
        <v>17171</v>
      </c>
      <c r="Z14547" t="s">
        <v>13441</v>
      </c>
      <c r="AA14547" s="22" t="str">
        <f>HYPERLINK("https://www.ncbi.nlm.nih.gov/nuccore/DQ655700","NCBI Nucleotide")</f>
        <v>NCBI Nucleotide</v>
      </c>
    </row>
    <row r="14548" spans="1:27" x14ac:dyDescent="0.35">
      <c r="A14548">
        <v>1026550</v>
      </c>
      <c r="B14548">
        <v>13121</v>
      </c>
      <c r="C14548">
        <v>1</v>
      </c>
      <c r="D14548" t="s">
        <v>17166</v>
      </c>
      <c r="F14548" t="s">
        <v>17246</v>
      </c>
      <c r="H14548" t="s">
        <v>28921</v>
      </c>
      <c r="J14548" t="s">
        <v>29538</v>
      </c>
      <c r="L14548" t="s">
        <v>33064</v>
      </c>
      <c r="N14548" t="s">
        <v>33075</v>
      </c>
      <c r="P14548" t="s">
        <v>33122</v>
      </c>
      <c r="R14548" s="26" t="str">
        <f>HYPERLINK("https://ictv.global/taxonomy/taxondetails?taxnode_id=202318658","Polerovirus SPV")</f>
        <v>Polerovirus SPV</v>
      </c>
      <c r="S14548" t="s">
        <v>30</v>
      </c>
      <c r="T14548" t="s">
        <v>47532</v>
      </c>
      <c r="U14548" t="s">
        <v>38276</v>
      </c>
      <c r="V14548" t="s">
        <v>47533</v>
      </c>
      <c r="W14548" t="s">
        <v>47534</v>
      </c>
      <c r="X14548" t="s">
        <v>42</v>
      </c>
      <c r="Y14548" t="s">
        <v>17171</v>
      </c>
      <c r="Z14548" t="s">
        <v>13441</v>
      </c>
      <c r="AA14548" s="22" t="str">
        <f>HYPERLINK("https://www.ncbi.nlm.nih.gov/nuccore/KM233705","NCBI Nucleotide")</f>
        <v>NCBI Nucleotide</v>
      </c>
    </row>
    <row r="14549" spans="1:27" x14ac:dyDescent="0.35">
      <c r="A14549">
        <v>1026551</v>
      </c>
      <c r="B14549">
        <v>13122</v>
      </c>
      <c r="C14549">
        <v>1</v>
      </c>
      <c r="D14549" t="s">
        <v>17166</v>
      </c>
      <c r="F14549" t="s">
        <v>17246</v>
      </c>
      <c r="H14549" t="s">
        <v>28921</v>
      </c>
      <c r="J14549" t="s">
        <v>29538</v>
      </c>
      <c r="L14549" t="s">
        <v>33064</v>
      </c>
      <c r="N14549" t="s">
        <v>33075</v>
      </c>
      <c r="P14549" t="s">
        <v>33122</v>
      </c>
      <c r="R14549" s="26" t="str">
        <f>HYPERLINK("https://ictv.global/taxonomy/taxondetails?taxnode_id=202318659","Polerovirus STAVB")</f>
        <v>Polerovirus STAVB</v>
      </c>
      <c r="S14549" t="s">
        <v>30</v>
      </c>
      <c r="T14549" t="s">
        <v>47535</v>
      </c>
      <c r="U14549" t="s">
        <v>47536</v>
      </c>
      <c r="V14549" t="s">
        <v>47537</v>
      </c>
      <c r="W14549" t="s">
        <v>47538</v>
      </c>
      <c r="X14549" t="s">
        <v>42</v>
      </c>
      <c r="Y14549" t="s">
        <v>17171</v>
      </c>
      <c r="Z14549" t="s">
        <v>13441</v>
      </c>
      <c r="AA14549" s="22" t="str">
        <f>HYPERLINK("https://www.ncbi.nlm.nih.gov/nuccore/OP389993","NCBI Nucleotide")</f>
        <v>NCBI Nucleotide</v>
      </c>
    </row>
    <row r="14550" spans="1:27" x14ac:dyDescent="0.35">
      <c r="A14550">
        <v>1026552</v>
      </c>
      <c r="B14550">
        <v>13123</v>
      </c>
      <c r="C14550">
        <v>1</v>
      </c>
      <c r="D14550" t="s">
        <v>17166</v>
      </c>
      <c r="F14550" t="s">
        <v>17246</v>
      </c>
      <c r="H14550" t="s">
        <v>28921</v>
      </c>
      <c r="J14550" t="s">
        <v>29538</v>
      </c>
      <c r="L14550" t="s">
        <v>33064</v>
      </c>
      <c r="N14550" t="s">
        <v>33075</v>
      </c>
      <c r="P14550" t="s">
        <v>33122</v>
      </c>
      <c r="R14550" s="26" t="str">
        <f>HYPERLINK("https://ictv.global/taxonomy/taxondetails?taxnode_id=202318663","Polerovirus TAPV")</f>
        <v>Polerovirus TAPV</v>
      </c>
      <c r="S14550" t="s">
        <v>30</v>
      </c>
      <c r="T14550" t="s">
        <v>47539</v>
      </c>
      <c r="U14550" t="s">
        <v>24421</v>
      </c>
      <c r="V14550" t="s">
        <v>20663</v>
      </c>
      <c r="W14550" t="s">
        <v>47540</v>
      </c>
      <c r="X14550" t="s">
        <v>35</v>
      </c>
      <c r="Y14550" t="s">
        <v>17171</v>
      </c>
      <c r="Z14550" t="s">
        <v>13441</v>
      </c>
      <c r="AA14550" s="22" t="str">
        <f>HYPERLINK("https://www.ncbi.nlm.nih.gov/nuccore/BK059374","NCBI Nucleotide")</f>
        <v>NCBI Nucleotide</v>
      </c>
    </row>
    <row r="14551" spans="1:27" x14ac:dyDescent="0.35">
      <c r="A14551">
        <v>1026553</v>
      </c>
      <c r="B14551">
        <v>13124</v>
      </c>
      <c r="C14551">
        <v>1</v>
      </c>
      <c r="D14551" t="s">
        <v>17166</v>
      </c>
      <c r="F14551" t="s">
        <v>17246</v>
      </c>
      <c r="H14551" t="s">
        <v>28921</v>
      </c>
      <c r="J14551" t="s">
        <v>29538</v>
      </c>
      <c r="L14551" t="s">
        <v>33064</v>
      </c>
      <c r="N14551" t="s">
        <v>33075</v>
      </c>
      <c r="P14551" t="s">
        <v>33122</v>
      </c>
      <c r="R14551" s="26" t="str">
        <f>HYPERLINK("https://ictv.global/taxonomy/taxondetails?taxnode_id=202318662","Polerovirus TCLV")</f>
        <v>Polerovirus TCLV</v>
      </c>
      <c r="S14551" t="s">
        <v>30</v>
      </c>
      <c r="T14551" t="s">
        <v>47541</v>
      </c>
      <c r="U14551" t="s">
        <v>47542</v>
      </c>
      <c r="V14551" t="s">
        <v>47543</v>
      </c>
      <c r="W14551" t="s">
        <v>47544</v>
      </c>
      <c r="X14551" t="s">
        <v>35</v>
      </c>
      <c r="Y14551" t="s">
        <v>17171</v>
      </c>
      <c r="Z14551" t="s">
        <v>13441</v>
      </c>
      <c r="AA14551" s="22" t="str">
        <f>HYPERLINK("https://www.ncbi.nlm.nih.gov/nuccore/LT615235","NCBI Nucleotide")</f>
        <v>NCBI Nucleotide</v>
      </c>
    </row>
    <row r="14552" spans="1:27" x14ac:dyDescent="0.35">
      <c r="A14552">
        <v>1002845</v>
      </c>
      <c r="B14552">
        <v>13125</v>
      </c>
      <c r="C14552">
        <v>1</v>
      </c>
      <c r="D14552" t="s">
        <v>17166</v>
      </c>
      <c r="F14552" t="s">
        <v>17246</v>
      </c>
      <c r="H14552" t="s">
        <v>28921</v>
      </c>
      <c r="J14552" t="s">
        <v>29538</v>
      </c>
      <c r="L14552" t="s">
        <v>33064</v>
      </c>
      <c r="N14552" t="s">
        <v>33075</v>
      </c>
      <c r="P14552" t="s">
        <v>33122</v>
      </c>
      <c r="R14552" s="26" t="str">
        <f>HYPERLINK("https://ictv.global/taxonomy/taxondetails?taxnode_id=202303798","Polerovirus TNDV")</f>
        <v>Polerovirus TNDV</v>
      </c>
      <c r="S14552" t="s">
        <v>30</v>
      </c>
      <c r="T14552" t="s">
        <v>33092</v>
      </c>
      <c r="U14552" t="s">
        <v>33093</v>
      </c>
      <c r="V14552" t="s">
        <v>18119</v>
      </c>
      <c r="X14552" t="s">
        <v>3311</v>
      </c>
      <c r="Y14552" t="s">
        <v>17171</v>
      </c>
      <c r="Z14552" t="s">
        <v>13441</v>
      </c>
    </row>
    <row r="14553" spans="1:27" x14ac:dyDescent="0.35">
      <c r="A14553">
        <v>1026554</v>
      </c>
      <c r="B14553">
        <v>13126</v>
      </c>
      <c r="C14553">
        <v>1</v>
      </c>
      <c r="D14553" t="s">
        <v>17166</v>
      </c>
      <c r="F14553" t="s">
        <v>17246</v>
      </c>
      <c r="H14553" t="s">
        <v>28921</v>
      </c>
      <c r="J14553" t="s">
        <v>29538</v>
      </c>
      <c r="L14553" t="s">
        <v>33064</v>
      </c>
      <c r="N14553" t="s">
        <v>33075</v>
      </c>
      <c r="P14553" t="s">
        <v>33122</v>
      </c>
      <c r="R14553" s="26" t="str">
        <f>HYPERLINK("https://ictv.global/taxonomy/taxondetails?taxnode_id=202318660","Polerovirus TPV1")</f>
        <v>Polerovirus TPV1</v>
      </c>
      <c r="S14553" t="s">
        <v>30</v>
      </c>
      <c r="T14553" t="s">
        <v>47545</v>
      </c>
      <c r="U14553" t="s">
        <v>47546</v>
      </c>
      <c r="V14553" t="s">
        <v>47547</v>
      </c>
      <c r="W14553" t="s">
        <v>47548</v>
      </c>
      <c r="X14553" t="s">
        <v>42</v>
      </c>
      <c r="Y14553" t="s">
        <v>17171</v>
      </c>
      <c r="Z14553" t="s">
        <v>13441</v>
      </c>
      <c r="AA14553" s="22" t="str">
        <f>HYPERLINK("https://www.ncbi.nlm.nih.gov/nuccore/MW579552","NCBI Nucleotide")</f>
        <v>NCBI Nucleotide</v>
      </c>
    </row>
    <row r="14554" spans="1:27" x14ac:dyDescent="0.35">
      <c r="A14554">
        <v>1026555</v>
      </c>
      <c r="B14554">
        <v>13127</v>
      </c>
      <c r="C14554">
        <v>1</v>
      </c>
      <c r="D14554" t="s">
        <v>17166</v>
      </c>
      <c r="F14554" t="s">
        <v>17246</v>
      </c>
      <c r="H14554" t="s">
        <v>28921</v>
      </c>
      <c r="J14554" t="s">
        <v>29538</v>
      </c>
      <c r="L14554" t="s">
        <v>33064</v>
      </c>
      <c r="N14554" t="s">
        <v>33075</v>
      </c>
      <c r="P14554" t="s">
        <v>33122</v>
      </c>
      <c r="R14554" s="26" t="str">
        <f>HYPERLINK("https://ictv.global/taxonomy/taxondetails?taxnode_id=202318661","Polerovirus TPV2")</f>
        <v>Polerovirus TPV2</v>
      </c>
      <c r="S14554" t="s">
        <v>30</v>
      </c>
      <c r="T14554" t="s">
        <v>47549</v>
      </c>
      <c r="U14554" t="s">
        <v>12474</v>
      </c>
      <c r="V14554" t="s">
        <v>47550</v>
      </c>
      <c r="W14554" t="s">
        <v>47551</v>
      </c>
      <c r="X14554" t="s">
        <v>42</v>
      </c>
      <c r="Y14554" t="s">
        <v>17171</v>
      </c>
      <c r="Z14554" t="s">
        <v>13441</v>
      </c>
      <c r="AA14554" s="22" t="str">
        <f>HYPERLINK("https://www.ncbi.nlm.nih.gov/nuccore/MW579555","NCBI Nucleotide")</f>
        <v>NCBI Nucleotide</v>
      </c>
    </row>
    <row r="14555" spans="1:27" x14ac:dyDescent="0.35">
      <c r="A14555">
        <v>1026556</v>
      </c>
      <c r="B14555">
        <v>13128</v>
      </c>
      <c r="C14555">
        <v>1</v>
      </c>
      <c r="D14555" t="s">
        <v>17166</v>
      </c>
      <c r="F14555" t="s">
        <v>17246</v>
      </c>
      <c r="H14555" t="s">
        <v>28921</v>
      </c>
      <c r="J14555" t="s">
        <v>29538</v>
      </c>
      <c r="L14555" t="s">
        <v>33064</v>
      </c>
      <c r="N14555" t="s">
        <v>33075</v>
      </c>
      <c r="P14555" t="s">
        <v>33122</v>
      </c>
      <c r="R14555" s="26" t="str">
        <f>HYPERLINK("https://ictv.global/taxonomy/taxondetails?taxnode_id=202318664","Polerovirus TRIYSV")</f>
        <v>Polerovirus TRIYSV</v>
      </c>
      <c r="S14555" t="s">
        <v>30</v>
      </c>
      <c r="T14555" t="s">
        <v>47552</v>
      </c>
      <c r="U14555" t="s">
        <v>47553</v>
      </c>
      <c r="V14555" t="s">
        <v>47554</v>
      </c>
      <c r="W14555" t="s">
        <v>47555</v>
      </c>
      <c r="X14555" t="s">
        <v>42</v>
      </c>
      <c r="Y14555" t="s">
        <v>17171</v>
      </c>
      <c r="Z14555" t="s">
        <v>13441</v>
      </c>
      <c r="AA14555" s="22" t="str">
        <f>HYPERLINK("https://www.ncbi.nlm.nih.gov/nuccore/OM829809","NCBI Nucleotide")</f>
        <v>NCBI Nucleotide</v>
      </c>
    </row>
    <row r="14556" spans="1:27" x14ac:dyDescent="0.35">
      <c r="A14556">
        <v>1002817</v>
      </c>
      <c r="B14556">
        <v>13129</v>
      </c>
      <c r="C14556">
        <v>1</v>
      </c>
      <c r="D14556" t="s">
        <v>17166</v>
      </c>
      <c r="F14556" t="s">
        <v>17246</v>
      </c>
      <c r="H14556" t="s">
        <v>28921</v>
      </c>
      <c r="J14556" t="s">
        <v>29538</v>
      </c>
      <c r="L14556" t="s">
        <v>33064</v>
      </c>
      <c r="N14556" t="s">
        <v>33075</v>
      </c>
      <c r="P14556" t="s">
        <v>33122</v>
      </c>
      <c r="R14556" s="26" t="str">
        <f>HYPERLINK("https://ictv.global/taxonomy/taxondetails?taxnode_id=202303790","Polerovirus TUYV")</f>
        <v>Polerovirus TUYV</v>
      </c>
      <c r="S14556" t="s">
        <v>30</v>
      </c>
      <c r="T14556" t="s">
        <v>33220</v>
      </c>
      <c r="U14556" t="s">
        <v>33221</v>
      </c>
      <c r="V14556" t="s">
        <v>33222</v>
      </c>
      <c r="W14556" t="s">
        <v>33223</v>
      </c>
      <c r="X14556" t="s">
        <v>42</v>
      </c>
      <c r="Y14556" t="s">
        <v>17171</v>
      </c>
      <c r="Z14556" t="s">
        <v>13441</v>
      </c>
      <c r="AA14556" s="22" t="str">
        <f>HYPERLINK("https://www.ncbi.nlm.nih.gov/nuccore/X13063","NCBI Nucleotide")</f>
        <v>NCBI Nucleotide</v>
      </c>
    </row>
    <row r="14557" spans="1:27" x14ac:dyDescent="0.35">
      <c r="A14557">
        <v>1011920</v>
      </c>
      <c r="B14557">
        <v>13129</v>
      </c>
      <c r="C14557">
        <v>2</v>
      </c>
      <c r="D14557" t="s">
        <v>17166</v>
      </c>
      <c r="F14557" t="s">
        <v>17246</v>
      </c>
      <c r="H14557" t="s">
        <v>28921</v>
      </c>
      <c r="J14557" t="s">
        <v>29538</v>
      </c>
      <c r="L14557" t="s">
        <v>33064</v>
      </c>
      <c r="N14557" t="s">
        <v>33075</v>
      </c>
      <c r="P14557" t="s">
        <v>33122</v>
      </c>
      <c r="R14557" s="26" t="str">
        <f>HYPERLINK("https://ictv.global/taxonomy/taxondetails?taxnode_id=202303790","Polerovirus TUYV")</f>
        <v>Polerovirus TUYV</v>
      </c>
      <c r="S14557" t="s">
        <v>8141</v>
      </c>
      <c r="T14557" t="s">
        <v>33224</v>
      </c>
      <c r="U14557" t="s">
        <v>33225</v>
      </c>
      <c r="V14557" t="s">
        <v>33226</v>
      </c>
      <c r="W14557" t="s">
        <v>50116</v>
      </c>
      <c r="X14557" t="s">
        <v>42</v>
      </c>
      <c r="Y14557" t="s">
        <v>17171</v>
      </c>
      <c r="Z14557" t="s">
        <v>13441</v>
      </c>
      <c r="AA14557" s="22" t="str">
        <f>HYPERLINK("https://www.ncbi.nlm.nih.gov/nuccore/HQ388348","NCBI Nucleotide")</f>
        <v>NCBI Nucleotide</v>
      </c>
    </row>
    <row r="14558" spans="1:27" x14ac:dyDescent="0.35">
      <c r="A14558">
        <v>1002816</v>
      </c>
      <c r="B14558">
        <v>13130</v>
      </c>
      <c r="C14558">
        <v>1</v>
      </c>
      <c r="D14558" t="s">
        <v>17166</v>
      </c>
      <c r="F14558" t="s">
        <v>17246</v>
      </c>
      <c r="H14558" t="s">
        <v>28921</v>
      </c>
      <c r="J14558" t="s">
        <v>29538</v>
      </c>
      <c r="L14558" t="s">
        <v>33064</v>
      </c>
      <c r="N14558" t="s">
        <v>33075</v>
      </c>
      <c r="P14558" t="s">
        <v>33122</v>
      </c>
      <c r="R14558" s="26" t="str">
        <f>HYPERLINK("https://ictv.global/taxonomy/taxondetails?taxnode_id=202303789","Polerovirus TVDV")</f>
        <v>Polerovirus TVDV</v>
      </c>
      <c r="S14558" t="s">
        <v>30</v>
      </c>
      <c r="T14558" t="s">
        <v>33216</v>
      </c>
      <c r="U14558" t="s">
        <v>33217</v>
      </c>
      <c r="V14558" t="s">
        <v>33218</v>
      </c>
      <c r="W14558" t="s">
        <v>33219</v>
      </c>
      <c r="X14558" t="s">
        <v>42</v>
      </c>
      <c r="Y14558" t="s">
        <v>17171</v>
      </c>
      <c r="Z14558" t="s">
        <v>13441</v>
      </c>
      <c r="AA14558" s="22" t="str">
        <f>HYPERLINK("https://www.ncbi.nlm.nih.gov/nuccore/EF529624","NCBI Nucleotide")</f>
        <v>NCBI Nucleotide</v>
      </c>
    </row>
    <row r="14559" spans="1:27" x14ac:dyDescent="0.35">
      <c r="A14559">
        <v>1026557</v>
      </c>
      <c r="B14559">
        <v>13131</v>
      </c>
      <c r="C14559">
        <v>1</v>
      </c>
      <c r="D14559" t="s">
        <v>17166</v>
      </c>
      <c r="F14559" t="s">
        <v>17246</v>
      </c>
      <c r="H14559" t="s">
        <v>28921</v>
      </c>
      <c r="J14559" t="s">
        <v>29538</v>
      </c>
      <c r="L14559" t="s">
        <v>33064</v>
      </c>
      <c r="N14559" t="s">
        <v>33075</v>
      </c>
      <c r="P14559" t="s">
        <v>33122</v>
      </c>
      <c r="R14559" s="26" t="str">
        <f>HYPERLINK("https://ictv.global/taxonomy/taxondetails?taxnode_id=202318665","Polerovirus UPOV")</f>
        <v>Polerovirus UPOV</v>
      </c>
      <c r="S14559" t="s">
        <v>30</v>
      </c>
      <c r="T14559" t="s">
        <v>47556</v>
      </c>
      <c r="U14559" t="s">
        <v>47557</v>
      </c>
      <c r="V14559" t="s">
        <v>47558</v>
      </c>
      <c r="W14559" t="s">
        <v>47559</v>
      </c>
      <c r="X14559" t="s">
        <v>35</v>
      </c>
      <c r="Y14559" t="s">
        <v>17171</v>
      </c>
      <c r="Z14559" t="s">
        <v>13441</v>
      </c>
      <c r="AA14559" s="22" t="str">
        <f>HYPERLINK("https://www.ncbi.nlm.nih.gov/nuccore/MH978189","NCBI Nucleotide")</f>
        <v>NCBI Nucleotide</v>
      </c>
    </row>
    <row r="14560" spans="1:27" x14ac:dyDescent="0.35">
      <c r="A14560">
        <v>1026558</v>
      </c>
      <c r="B14560">
        <v>13132</v>
      </c>
      <c r="C14560">
        <v>1</v>
      </c>
      <c r="D14560" t="s">
        <v>17166</v>
      </c>
      <c r="F14560" t="s">
        <v>17246</v>
      </c>
      <c r="H14560" t="s">
        <v>28921</v>
      </c>
      <c r="J14560" t="s">
        <v>29538</v>
      </c>
      <c r="L14560" t="s">
        <v>33064</v>
      </c>
      <c r="N14560" t="s">
        <v>33075</v>
      </c>
      <c r="P14560" t="s">
        <v>33122</v>
      </c>
      <c r="R14560" s="26" t="str">
        <f>HYPERLINK("https://ictv.global/taxonomy/taxondetails?taxnode_id=202318667","Polerovirus WCMV")</f>
        <v>Polerovirus WCMV</v>
      </c>
      <c r="S14560" t="s">
        <v>30</v>
      </c>
      <c r="T14560" t="s">
        <v>47560</v>
      </c>
      <c r="U14560" t="s">
        <v>19919</v>
      </c>
      <c r="V14560" t="s">
        <v>47561</v>
      </c>
      <c r="W14560" t="s">
        <v>47562</v>
      </c>
      <c r="X14560" t="s">
        <v>35</v>
      </c>
      <c r="Y14560" t="s">
        <v>17171</v>
      </c>
      <c r="Z14560" t="s">
        <v>13441</v>
      </c>
      <c r="AA14560" s="22" t="str">
        <f>HYPERLINK("https://www.ncbi.nlm.nih.gov/nuccore/LC192169","NCBI Nucleotide")</f>
        <v>NCBI Nucleotide</v>
      </c>
    </row>
    <row r="14561" spans="1:27" x14ac:dyDescent="0.35">
      <c r="A14561">
        <v>1026559</v>
      </c>
      <c r="B14561">
        <v>13133</v>
      </c>
      <c r="C14561">
        <v>1</v>
      </c>
      <c r="D14561" t="s">
        <v>17166</v>
      </c>
      <c r="F14561" t="s">
        <v>17246</v>
      </c>
      <c r="H14561" t="s">
        <v>28921</v>
      </c>
      <c r="J14561" t="s">
        <v>29538</v>
      </c>
      <c r="L14561" t="s">
        <v>33064</v>
      </c>
      <c r="N14561" t="s">
        <v>33075</v>
      </c>
      <c r="P14561" t="s">
        <v>33122</v>
      </c>
      <c r="R14561" s="26" t="str">
        <f>HYPERLINK("https://ictv.global/taxonomy/taxondetails?taxnode_id=202318666","Polerovirus WLYAV")</f>
        <v>Polerovirus WLYAV</v>
      </c>
      <c r="S14561" t="s">
        <v>30</v>
      </c>
      <c r="T14561" t="s">
        <v>47563</v>
      </c>
      <c r="U14561" t="s">
        <v>47564</v>
      </c>
      <c r="V14561" t="s">
        <v>47565</v>
      </c>
      <c r="W14561" t="s">
        <v>47566</v>
      </c>
      <c r="X14561" t="s">
        <v>42</v>
      </c>
      <c r="Y14561" t="s">
        <v>17171</v>
      </c>
      <c r="Z14561" t="s">
        <v>13441</v>
      </c>
      <c r="AA14561" s="22" t="str">
        <f>HYPERLINK("https://www.ncbi.nlm.nih.gov/nuccore/KY605226","NCBI Nucleotide")</f>
        <v>NCBI Nucleotide</v>
      </c>
    </row>
    <row r="14562" spans="1:27" x14ac:dyDescent="0.35">
      <c r="A14562">
        <v>1002839</v>
      </c>
      <c r="B14562">
        <v>13134</v>
      </c>
      <c r="C14562">
        <v>1</v>
      </c>
      <c r="D14562" t="s">
        <v>17166</v>
      </c>
      <c r="F14562" t="s">
        <v>17246</v>
      </c>
      <c r="H14562" t="s">
        <v>28921</v>
      </c>
      <c r="J14562" t="s">
        <v>29538</v>
      </c>
      <c r="L14562" t="s">
        <v>33064</v>
      </c>
      <c r="N14562" t="s">
        <v>33075</v>
      </c>
      <c r="P14562" t="s">
        <v>33122</v>
      </c>
      <c r="R14562" s="26" t="str">
        <f>HYPERLINK("https://ictv.global/taxonomy/taxondetails?taxnode_id=202303792","Polerovirus WYDVGPV")</f>
        <v>Polerovirus WYDVGPV</v>
      </c>
      <c r="S14562" t="s">
        <v>30</v>
      </c>
      <c r="T14562" t="s">
        <v>33076</v>
      </c>
      <c r="U14562" t="s">
        <v>33077</v>
      </c>
      <c r="V14562" t="s">
        <v>17234</v>
      </c>
      <c r="W14562" t="s">
        <v>33078</v>
      </c>
      <c r="X14562" t="s">
        <v>42</v>
      </c>
      <c r="Y14562" t="s">
        <v>17171</v>
      </c>
      <c r="Z14562" t="s">
        <v>13441</v>
      </c>
      <c r="AA14562" s="22" t="str">
        <f>HYPERLINK("https://www.ncbi.nlm.nih.gov/nuccore/FM865413","NCBI Nucleotide")</f>
        <v>NCBI Nucleotide</v>
      </c>
    </row>
    <row r="14563" spans="1:27" x14ac:dyDescent="0.35">
      <c r="A14563">
        <v>1026560</v>
      </c>
      <c r="B14563">
        <v>13135</v>
      </c>
      <c r="C14563">
        <v>1</v>
      </c>
      <c r="D14563" t="s">
        <v>17166</v>
      </c>
      <c r="F14563" t="s">
        <v>17246</v>
      </c>
      <c r="H14563" t="s">
        <v>28921</v>
      </c>
      <c r="J14563" t="s">
        <v>29538</v>
      </c>
      <c r="L14563" t="s">
        <v>33064</v>
      </c>
      <c r="N14563" t="s">
        <v>33075</v>
      </c>
      <c r="P14563" t="s">
        <v>33122</v>
      </c>
      <c r="R14563" s="26" t="str">
        <f>HYPERLINK("https://ictv.global/taxonomy/taxondetails?taxnode_id=202318668","Polerovirus ZABYV")</f>
        <v>Polerovirus ZABYV</v>
      </c>
      <c r="S14563" t="s">
        <v>30</v>
      </c>
      <c r="T14563" t="s">
        <v>47567</v>
      </c>
      <c r="U14563" t="s">
        <v>47568</v>
      </c>
      <c r="V14563" t="s">
        <v>47569</v>
      </c>
      <c r="W14563" t="s">
        <v>47570</v>
      </c>
      <c r="X14563" t="s">
        <v>42</v>
      </c>
      <c r="Y14563" t="s">
        <v>17171</v>
      </c>
      <c r="Z14563" t="s">
        <v>13441</v>
      </c>
      <c r="AA14563" s="22" t="str">
        <f>HYPERLINK("https://www.ncbi.nlm.nih.gov/nuccore/MK050791","NCBI Nucleotide")</f>
        <v>NCBI Nucleotide</v>
      </c>
    </row>
    <row r="14564" spans="1:27" x14ac:dyDescent="0.35">
      <c r="A14564">
        <v>1002820</v>
      </c>
      <c r="B14564">
        <v>13136</v>
      </c>
      <c r="C14564">
        <v>1</v>
      </c>
      <c r="D14564" t="s">
        <v>17166</v>
      </c>
      <c r="F14564" t="s">
        <v>17246</v>
      </c>
      <c r="H14564" t="s">
        <v>28921</v>
      </c>
      <c r="J14564" t="s">
        <v>29538</v>
      </c>
      <c r="L14564" t="s">
        <v>33064</v>
      </c>
      <c r="N14564" t="s">
        <v>33075</v>
      </c>
      <c r="P14564" t="s">
        <v>33227</v>
      </c>
      <c r="R14564" s="26" t="str">
        <f>HYPERLINK("https://ictv.global/taxonomy/taxondetails?taxnode_id=202305373","Cocksfoot mottle virus")</f>
        <v>Cocksfoot mottle virus</v>
      </c>
      <c r="S14564" t="s">
        <v>30</v>
      </c>
      <c r="T14564" t="s">
        <v>33236</v>
      </c>
      <c r="U14564" t="s">
        <v>33237</v>
      </c>
      <c r="V14564" t="s">
        <v>33238</v>
      </c>
      <c r="W14564" t="s">
        <v>33239</v>
      </c>
      <c r="X14564" t="s">
        <v>42</v>
      </c>
      <c r="Y14564" t="s">
        <v>17171</v>
      </c>
      <c r="Z14564" t="s">
        <v>13441</v>
      </c>
      <c r="AA14564" s="22" t="str">
        <f>HYPERLINK("https://www.ncbi.nlm.nih.gov/nuccore/Z48630","NCBI Nucleotide")</f>
        <v>NCBI Nucleotide</v>
      </c>
    </row>
    <row r="14565" spans="1:27" x14ac:dyDescent="0.35">
      <c r="A14565">
        <v>1011921</v>
      </c>
      <c r="B14565">
        <v>13136</v>
      </c>
      <c r="C14565">
        <v>2</v>
      </c>
      <c r="D14565" t="s">
        <v>17166</v>
      </c>
      <c r="F14565" t="s">
        <v>17246</v>
      </c>
      <c r="H14565" t="s">
        <v>28921</v>
      </c>
      <c r="J14565" t="s">
        <v>29538</v>
      </c>
      <c r="L14565" t="s">
        <v>33064</v>
      </c>
      <c r="N14565" t="s">
        <v>33075</v>
      </c>
      <c r="P14565" t="s">
        <v>33227</v>
      </c>
      <c r="R14565" s="26" t="str">
        <f>HYPERLINK("https://ictv.global/taxonomy/taxondetails?taxnode_id=202305373","Cocksfoot mottle virus")</f>
        <v>Cocksfoot mottle virus</v>
      </c>
      <c r="S14565" t="s">
        <v>8141</v>
      </c>
      <c r="T14565" t="s">
        <v>33236</v>
      </c>
      <c r="U14565" t="s">
        <v>33237</v>
      </c>
      <c r="V14565" t="s">
        <v>33240</v>
      </c>
      <c r="W14565" t="s">
        <v>50117</v>
      </c>
      <c r="X14565" t="s">
        <v>42</v>
      </c>
      <c r="Y14565" t="s">
        <v>17171</v>
      </c>
      <c r="Z14565" t="s">
        <v>13441</v>
      </c>
      <c r="AA14565" s="22" t="str">
        <f>HYPERLINK("https://www.ncbi.nlm.nih.gov/nuccore/DQ680848","NCBI Nucleotide")</f>
        <v>NCBI Nucleotide</v>
      </c>
    </row>
    <row r="14566" spans="1:27" x14ac:dyDescent="0.35">
      <c r="A14566">
        <v>1002818</v>
      </c>
      <c r="B14566">
        <v>13137</v>
      </c>
      <c r="C14566">
        <v>1</v>
      </c>
      <c r="D14566" t="s">
        <v>17166</v>
      </c>
      <c r="F14566" t="s">
        <v>17246</v>
      </c>
      <c r="H14566" t="s">
        <v>28921</v>
      </c>
      <c r="J14566" t="s">
        <v>29538</v>
      </c>
      <c r="L14566" t="s">
        <v>33064</v>
      </c>
      <c r="N14566" t="s">
        <v>33075</v>
      </c>
      <c r="P14566" t="s">
        <v>33227</v>
      </c>
      <c r="R14566" s="26" t="str">
        <f>HYPERLINK("https://ictv.global/taxonomy/taxondetails?taxnode_id=202305371","Sobemovirus ARTVA")</f>
        <v>Sobemovirus ARTVA</v>
      </c>
      <c r="S14566" t="s">
        <v>30</v>
      </c>
      <c r="T14566" t="s">
        <v>33228</v>
      </c>
      <c r="U14566" t="s">
        <v>33229</v>
      </c>
      <c r="V14566" t="s">
        <v>33230</v>
      </c>
      <c r="W14566" t="s">
        <v>33231</v>
      </c>
      <c r="X14566" t="s">
        <v>42</v>
      </c>
      <c r="Y14566" t="s">
        <v>17171</v>
      </c>
      <c r="Z14566" t="s">
        <v>13441</v>
      </c>
      <c r="AA14566" s="22" t="str">
        <f>HYPERLINK("https://www.ncbi.nlm.nih.gov/nuccore/JN620802","NCBI Nucleotide")</f>
        <v>NCBI Nucleotide</v>
      </c>
    </row>
    <row r="14567" spans="1:27" x14ac:dyDescent="0.35">
      <c r="A14567">
        <v>1002819</v>
      </c>
      <c r="B14567">
        <v>13138</v>
      </c>
      <c r="C14567">
        <v>1</v>
      </c>
      <c r="D14567" t="s">
        <v>17166</v>
      </c>
      <c r="F14567" t="s">
        <v>17246</v>
      </c>
      <c r="H14567" t="s">
        <v>28921</v>
      </c>
      <c r="J14567" t="s">
        <v>29538</v>
      </c>
      <c r="L14567" t="s">
        <v>33064</v>
      </c>
      <c r="N14567" t="s">
        <v>33075</v>
      </c>
      <c r="P14567" t="s">
        <v>33227</v>
      </c>
      <c r="R14567" s="26" t="str">
        <f>HYPERLINK("https://ictv.global/taxonomy/taxondetails?taxnode_id=202305372","Sobemovirus BSSV")</f>
        <v>Sobemovirus BSSV</v>
      </c>
      <c r="S14567" t="s">
        <v>30</v>
      </c>
      <c r="T14567" t="s">
        <v>33232</v>
      </c>
      <c r="U14567" t="s">
        <v>33233</v>
      </c>
      <c r="V14567" t="s">
        <v>33234</v>
      </c>
      <c r="W14567" t="s">
        <v>33235</v>
      </c>
      <c r="X14567" t="s">
        <v>42</v>
      </c>
      <c r="Y14567" t="s">
        <v>17171</v>
      </c>
      <c r="Z14567" t="s">
        <v>13441</v>
      </c>
      <c r="AA14567" s="22" t="str">
        <f>HYPERLINK("https://www.ncbi.nlm.nih.gov/nuccore/LC081344","NCBI Nucleotide")</f>
        <v>NCBI Nucleotide</v>
      </c>
    </row>
    <row r="14568" spans="1:27" x14ac:dyDescent="0.35">
      <c r="A14568">
        <v>1026354</v>
      </c>
      <c r="B14568">
        <v>13139</v>
      </c>
      <c r="C14568">
        <v>1</v>
      </c>
      <c r="D14568" t="s">
        <v>17166</v>
      </c>
      <c r="F14568" t="s">
        <v>17246</v>
      </c>
      <c r="H14568" t="s">
        <v>28921</v>
      </c>
      <c r="J14568" t="s">
        <v>29538</v>
      </c>
      <c r="L14568" t="s">
        <v>33064</v>
      </c>
      <c r="N14568" t="s">
        <v>33075</v>
      </c>
      <c r="P14568" t="s">
        <v>33227</v>
      </c>
      <c r="R14568" s="26" t="str">
        <f>HYPERLINK("https://ictv.global/taxonomy/taxondetails?taxnode_id=202318561","Sobemovirus CNMOV")</f>
        <v>Sobemovirus CNMOV</v>
      </c>
      <c r="S14568" t="s">
        <v>30</v>
      </c>
      <c r="T14568" t="s">
        <v>47571</v>
      </c>
      <c r="U14568" t="s">
        <v>47572</v>
      </c>
      <c r="V14568" t="s">
        <v>47573</v>
      </c>
      <c r="W14568" t="s">
        <v>47574</v>
      </c>
      <c r="X14568" t="s">
        <v>42</v>
      </c>
      <c r="Y14568" t="s">
        <v>17171</v>
      </c>
      <c r="Z14568" t="s">
        <v>13441</v>
      </c>
      <c r="AA14568" s="22" t="str">
        <f>HYPERLINK("https://www.ncbi.nlm.nih.gov/nuccore/OM323988","NCBI Nucleotide")</f>
        <v>NCBI Nucleotide</v>
      </c>
    </row>
    <row r="14569" spans="1:27" x14ac:dyDescent="0.35">
      <c r="A14569">
        <v>1002821</v>
      </c>
      <c r="B14569">
        <v>13140</v>
      </c>
      <c r="C14569">
        <v>1</v>
      </c>
      <c r="D14569" t="s">
        <v>17166</v>
      </c>
      <c r="F14569" t="s">
        <v>17246</v>
      </c>
      <c r="H14569" t="s">
        <v>28921</v>
      </c>
      <c r="J14569" t="s">
        <v>29538</v>
      </c>
      <c r="L14569" t="s">
        <v>33064</v>
      </c>
      <c r="N14569" t="s">
        <v>33075</v>
      </c>
      <c r="P14569" t="s">
        <v>33227</v>
      </c>
      <c r="R14569" s="26" t="str">
        <f>HYPERLINK("https://ictv.global/taxonomy/taxondetails?taxnode_id=202305374","Sobemovirus CYCMV")</f>
        <v>Sobemovirus CYCMV</v>
      </c>
      <c r="S14569" t="s">
        <v>30</v>
      </c>
      <c r="T14569" t="s">
        <v>33241</v>
      </c>
      <c r="U14569" t="s">
        <v>33242</v>
      </c>
      <c r="V14569" t="s">
        <v>33243</v>
      </c>
      <c r="W14569" t="s">
        <v>33244</v>
      </c>
      <c r="X14569" t="s">
        <v>42</v>
      </c>
      <c r="Y14569" t="s">
        <v>17171</v>
      </c>
      <c r="Z14569" t="s">
        <v>13441</v>
      </c>
      <c r="AA14569" s="22" t="str">
        <f>HYPERLINK("https://www.ncbi.nlm.nih.gov/nuccore/LC019764","NCBI Nucleotide")</f>
        <v>NCBI Nucleotide</v>
      </c>
    </row>
    <row r="14570" spans="1:27" x14ac:dyDescent="0.35">
      <c r="A14570">
        <v>1002822</v>
      </c>
      <c r="B14570">
        <v>13141</v>
      </c>
      <c r="C14570">
        <v>1</v>
      </c>
      <c r="D14570" t="s">
        <v>17166</v>
      </c>
      <c r="F14570" t="s">
        <v>17246</v>
      </c>
      <c r="H14570" t="s">
        <v>28921</v>
      </c>
      <c r="J14570" t="s">
        <v>29538</v>
      </c>
      <c r="L14570" t="s">
        <v>33064</v>
      </c>
      <c r="N14570" t="s">
        <v>33075</v>
      </c>
      <c r="P14570" t="s">
        <v>33227</v>
      </c>
      <c r="R14570" s="26" t="str">
        <f>HYPERLINK("https://ictv.global/taxonomy/taxondetails?taxnode_id=202305375","Sobemovirus IYMV")</f>
        <v>Sobemovirus IYMV</v>
      </c>
      <c r="S14570" t="s">
        <v>30</v>
      </c>
      <c r="T14570" t="s">
        <v>33245</v>
      </c>
      <c r="U14570" t="s">
        <v>33246</v>
      </c>
      <c r="V14570" t="s">
        <v>33247</v>
      </c>
      <c r="W14570" t="s">
        <v>33248</v>
      </c>
      <c r="X14570" t="s">
        <v>42</v>
      </c>
      <c r="Y14570" t="s">
        <v>17171</v>
      </c>
      <c r="Z14570" t="s">
        <v>13441</v>
      </c>
      <c r="AA14570" s="22" t="str">
        <f>HYPERLINK("https://www.ncbi.nlm.nih.gov/nuccore/AM990928","NCBI Nucleotide")</f>
        <v>NCBI Nucleotide</v>
      </c>
    </row>
    <row r="14571" spans="1:27" x14ac:dyDescent="0.35">
      <c r="A14571">
        <v>1002823</v>
      </c>
      <c r="B14571">
        <v>13142</v>
      </c>
      <c r="C14571">
        <v>1</v>
      </c>
      <c r="D14571" t="s">
        <v>17166</v>
      </c>
      <c r="F14571" t="s">
        <v>17246</v>
      </c>
      <c r="H14571" t="s">
        <v>28921</v>
      </c>
      <c r="J14571" t="s">
        <v>29538</v>
      </c>
      <c r="L14571" t="s">
        <v>33064</v>
      </c>
      <c r="N14571" t="s">
        <v>33075</v>
      </c>
      <c r="P14571" t="s">
        <v>33227</v>
      </c>
      <c r="R14571" s="26" t="str">
        <f>HYPERLINK("https://ictv.global/taxonomy/taxondetails?taxnode_id=202305376","Sobemovirus LTSV")</f>
        <v>Sobemovirus LTSV</v>
      </c>
      <c r="S14571" t="s">
        <v>30</v>
      </c>
      <c r="T14571" t="s">
        <v>33249</v>
      </c>
      <c r="U14571" t="s">
        <v>33250</v>
      </c>
      <c r="V14571" t="s">
        <v>33251</v>
      </c>
      <c r="W14571" t="s">
        <v>33252</v>
      </c>
      <c r="X14571" t="s">
        <v>42</v>
      </c>
      <c r="Y14571" t="s">
        <v>17171</v>
      </c>
      <c r="Z14571" t="s">
        <v>13441</v>
      </c>
      <c r="AA14571" s="22" t="str">
        <f>HYPERLINK("https://www.ncbi.nlm.nih.gov/nuccore/JQ782213","NCBI Nucleotide")</f>
        <v>NCBI Nucleotide</v>
      </c>
    </row>
    <row r="14572" spans="1:27" x14ac:dyDescent="0.35">
      <c r="A14572">
        <v>1026355</v>
      </c>
      <c r="B14572">
        <v>13143</v>
      </c>
      <c r="C14572">
        <v>1</v>
      </c>
      <c r="D14572" t="s">
        <v>17166</v>
      </c>
      <c r="F14572" t="s">
        <v>17246</v>
      </c>
      <c r="H14572" t="s">
        <v>28921</v>
      </c>
      <c r="J14572" t="s">
        <v>29538</v>
      </c>
      <c r="L14572" t="s">
        <v>33064</v>
      </c>
      <c r="N14572" t="s">
        <v>33075</v>
      </c>
      <c r="P14572" t="s">
        <v>33227</v>
      </c>
      <c r="R14572" s="26" t="str">
        <f>HYPERLINK("https://ictv.global/taxonomy/taxondetails?taxnode_id=202318562","Sobemovirus MIMMV")</f>
        <v>Sobemovirus MIMMV</v>
      </c>
      <c r="S14572" t="s">
        <v>30</v>
      </c>
      <c r="T14572" t="s">
        <v>47575</v>
      </c>
      <c r="U14572" t="s">
        <v>47576</v>
      </c>
      <c r="V14572" t="s">
        <v>47577</v>
      </c>
      <c r="W14572" t="s">
        <v>47578</v>
      </c>
      <c r="X14572" t="s">
        <v>42</v>
      </c>
      <c r="Y14572" t="s">
        <v>17171</v>
      </c>
      <c r="Z14572" t="s">
        <v>13441</v>
      </c>
      <c r="AA14572" s="22" t="str">
        <f>HYPERLINK("https://www.ncbi.nlm.nih.gov/nuccore/OP456085","NCBI Nucleotide")</f>
        <v>NCBI Nucleotide</v>
      </c>
    </row>
    <row r="14573" spans="1:27" x14ac:dyDescent="0.35">
      <c r="A14573">
        <v>1002825</v>
      </c>
      <c r="B14573">
        <v>13144</v>
      </c>
      <c r="C14573">
        <v>1</v>
      </c>
      <c r="D14573" t="s">
        <v>17166</v>
      </c>
      <c r="F14573" t="s">
        <v>17246</v>
      </c>
      <c r="H14573" t="s">
        <v>28921</v>
      </c>
      <c r="J14573" t="s">
        <v>29538</v>
      </c>
      <c r="L14573" t="s">
        <v>33064</v>
      </c>
      <c r="N14573" t="s">
        <v>33075</v>
      </c>
      <c r="P14573" t="s">
        <v>33227</v>
      </c>
      <c r="R14573" s="26" t="str">
        <f>HYPERLINK("https://ictv.global/taxonomy/taxondetails?taxnode_id=202309704","Sobemovirus PHYRMV")</f>
        <v>Sobemovirus PHYRMV</v>
      </c>
      <c r="S14573" t="s">
        <v>30</v>
      </c>
      <c r="T14573" t="s">
        <v>33257</v>
      </c>
      <c r="U14573" t="s">
        <v>33258</v>
      </c>
      <c r="V14573" t="s">
        <v>33259</v>
      </c>
      <c r="W14573" t="s">
        <v>33260</v>
      </c>
      <c r="X14573" t="s">
        <v>42</v>
      </c>
      <c r="Y14573" t="s">
        <v>17171</v>
      </c>
      <c r="Z14573" t="s">
        <v>13441</v>
      </c>
      <c r="AA14573" s="22" t="str">
        <f>HYPERLINK("https://www.ncbi.nlm.nih.gov/nuccore/MK681145","NCBI Nucleotide")</f>
        <v>NCBI Nucleotide</v>
      </c>
    </row>
    <row r="14574" spans="1:27" x14ac:dyDescent="0.35">
      <c r="A14574">
        <v>1026356</v>
      </c>
      <c r="B14574">
        <v>13145</v>
      </c>
      <c r="C14574">
        <v>1</v>
      </c>
      <c r="D14574" t="s">
        <v>17166</v>
      </c>
      <c r="F14574" t="s">
        <v>17246</v>
      </c>
      <c r="H14574" t="s">
        <v>28921</v>
      </c>
      <c r="J14574" t="s">
        <v>29538</v>
      </c>
      <c r="L14574" t="s">
        <v>33064</v>
      </c>
      <c r="N14574" t="s">
        <v>33075</v>
      </c>
      <c r="P14574" t="s">
        <v>33227</v>
      </c>
      <c r="R14574" s="26" t="str">
        <f>HYPERLINK("https://ictv.global/taxonomy/taxondetails?taxnode_id=202318563","Sobemovirus PISSV")</f>
        <v>Sobemovirus PISSV</v>
      </c>
      <c r="S14574" t="s">
        <v>30</v>
      </c>
      <c r="T14574" t="s">
        <v>47579</v>
      </c>
      <c r="U14574" t="s">
        <v>47580</v>
      </c>
      <c r="V14574" t="s">
        <v>47581</v>
      </c>
      <c r="W14574" t="s">
        <v>47582</v>
      </c>
      <c r="X14574" t="s">
        <v>35</v>
      </c>
      <c r="Y14574" t="s">
        <v>17171</v>
      </c>
      <c r="Z14574" t="s">
        <v>13441</v>
      </c>
      <c r="AA14574" s="22" t="str">
        <f>HYPERLINK("https://www.ncbi.nlm.nih.gov/nuccore/MT334602","NCBI Nucleotide")</f>
        <v>NCBI Nucleotide</v>
      </c>
    </row>
    <row r="14575" spans="1:27" x14ac:dyDescent="0.35">
      <c r="A14575">
        <v>1026357</v>
      </c>
      <c r="B14575">
        <v>13146</v>
      </c>
      <c r="C14575">
        <v>1</v>
      </c>
      <c r="D14575" t="s">
        <v>17166</v>
      </c>
      <c r="F14575" t="s">
        <v>17246</v>
      </c>
      <c r="H14575" t="s">
        <v>28921</v>
      </c>
      <c r="J14575" t="s">
        <v>29538</v>
      </c>
      <c r="L14575" t="s">
        <v>33064</v>
      </c>
      <c r="N14575" t="s">
        <v>33075</v>
      </c>
      <c r="P14575" t="s">
        <v>33227</v>
      </c>
      <c r="R14575" s="26" t="str">
        <f>HYPERLINK("https://ictv.global/taxonomy/taxondetails?taxnode_id=202318564","Sobemovirus PLSV")</f>
        <v>Sobemovirus PLSV</v>
      </c>
      <c r="S14575" t="s">
        <v>30</v>
      </c>
      <c r="T14575" t="s">
        <v>47583</v>
      </c>
      <c r="U14575" t="s">
        <v>27746</v>
      </c>
      <c r="V14575" t="s">
        <v>47584</v>
      </c>
      <c r="W14575" t="s">
        <v>47585</v>
      </c>
      <c r="X14575" t="s">
        <v>35</v>
      </c>
      <c r="Y14575" t="s">
        <v>17171</v>
      </c>
      <c r="Z14575" t="s">
        <v>13441</v>
      </c>
      <c r="AA14575" s="22" t="str">
        <f>HYPERLINK("https://www.ncbi.nlm.nih.gov/nuccore/ON137710","NCBI Nucleotide")</f>
        <v>NCBI Nucleotide</v>
      </c>
    </row>
    <row r="14576" spans="1:27" x14ac:dyDescent="0.35">
      <c r="A14576">
        <v>1002824</v>
      </c>
      <c r="B14576">
        <v>13147</v>
      </c>
      <c r="C14576">
        <v>1</v>
      </c>
      <c r="D14576" t="s">
        <v>17166</v>
      </c>
      <c r="F14576" t="s">
        <v>17246</v>
      </c>
      <c r="H14576" t="s">
        <v>28921</v>
      </c>
      <c r="J14576" t="s">
        <v>29538</v>
      </c>
      <c r="L14576" t="s">
        <v>33064</v>
      </c>
      <c r="N14576" t="s">
        <v>33075</v>
      </c>
      <c r="P14576" t="s">
        <v>33227</v>
      </c>
      <c r="R14576" s="26" t="str">
        <f>HYPERLINK("https://ictv.global/taxonomy/taxondetails?taxnode_id=202305377","Sobemovirus PLYV")</f>
        <v>Sobemovirus PLYV</v>
      </c>
      <c r="S14576" t="s">
        <v>30</v>
      </c>
      <c r="T14576" t="s">
        <v>33253</v>
      </c>
      <c r="U14576" t="s">
        <v>33254</v>
      </c>
      <c r="V14576" t="s">
        <v>33255</v>
      </c>
      <c r="W14576" t="s">
        <v>33256</v>
      </c>
      <c r="X14576" t="s">
        <v>42</v>
      </c>
      <c r="Y14576" t="s">
        <v>17171</v>
      </c>
      <c r="Z14576" t="s">
        <v>13441</v>
      </c>
      <c r="AA14576" s="22" t="str">
        <f>HYPERLINK("https://www.ncbi.nlm.nih.gov/nuccore/JX123318","NCBI Nucleotide")</f>
        <v>NCBI Nucleotide</v>
      </c>
    </row>
    <row r="14577" spans="1:27" x14ac:dyDescent="0.35">
      <c r="A14577">
        <v>1002828</v>
      </c>
      <c r="B14577">
        <v>13148</v>
      </c>
      <c r="C14577">
        <v>1</v>
      </c>
      <c r="D14577" t="s">
        <v>17166</v>
      </c>
      <c r="F14577" t="s">
        <v>17246</v>
      </c>
      <c r="H14577" t="s">
        <v>28921</v>
      </c>
      <c r="J14577" t="s">
        <v>29538</v>
      </c>
      <c r="L14577" t="s">
        <v>33064</v>
      </c>
      <c r="N14577" t="s">
        <v>33075</v>
      </c>
      <c r="P14577" t="s">
        <v>33227</v>
      </c>
      <c r="R14577" s="26" t="str">
        <f>HYPERLINK("https://ictv.global/taxonomy/taxondetails?taxnode_id=202305380","Sobemovirus RGMOV")</f>
        <v>Sobemovirus RGMOV</v>
      </c>
      <c r="S14577" t="s">
        <v>30</v>
      </c>
      <c r="T14577" t="s">
        <v>33269</v>
      </c>
      <c r="U14577" t="s">
        <v>33270</v>
      </c>
      <c r="V14577" t="s">
        <v>33271</v>
      </c>
      <c r="W14577" t="s">
        <v>33272</v>
      </c>
      <c r="X14577" t="s">
        <v>42</v>
      </c>
      <c r="Y14577" t="s">
        <v>17171</v>
      </c>
      <c r="Z14577" t="s">
        <v>13441</v>
      </c>
      <c r="AA14577" s="22" t="str">
        <f>HYPERLINK("https://www.ncbi.nlm.nih.gov/nuccore/EF091714","NCBI Nucleotide")</f>
        <v>NCBI Nucleotide</v>
      </c>
    </row>
    <row r="14578" spans="1:27" x14ac:dyDescent="0.35">
      <c r="A14578">
        <v>1002827</v>
      </c>
      <c r="B14578">
        <v>13149</v>
      </c>
      <c r="C14578">
        <v>1</v>
      </c>
      <c r="D14578" t="s">
        <v>17166</v>
      </c>
      <c r="F14578" t="s">
        <v>17246</v>
      </c>
      <c r="H14578" t="s">
        <v>28921</v>
      </c>
      <c r="J14578" t="s">
        <v>29538</v>
      </c>
      <c r="L14578" t="s">
        <v>33064</v>
      </c>
      <c r="N14578" t="s">
        <v>33075</v>
      </c>
      <c r="P14578" t="s">
        <v>33227</v>
      </c>
      <c r="R14578" s="26" t="str">
        <f>HYPERLINK("https://ictv.global/taxonomy/taxondetails?taxnode_id=202305379","Sobemovirus ROMOV")</f>
        <v>Sobemovirus ROMOV</v>
      </c>
      <c r="S14578" t="s">
        <v>30</v>
      </c>
      <c r="T14578" t="s">
        <v>33265</v>
      </c>
      <c r="U14578" t="s">
        <v>33266</v>
      </c>
      <c r="V14578" t="s">
        <v>33267</v>
      </c>
      <c r="W14578" t="s">
        <v>33268</v>
      </c>
      <c r="X14578" t="s">
        <v>42</v>
      </c>
      <c r="Y14578" t="s">
        <v>17171</v>
      </c>
      <c r="Z14578" t="s">
        <v>13441</v>
      </c>
      <c r="AA14578" s="22" t="str">
        <f>HYPERLINK("https://www.ncbi.nlm.nih.gov/nuccore/KC577469","NCBI Nucleotide")</f>
        <v>NCBI Nucleotide</v>
      </c>
    </row>
    <row r="14579" spans="1:27" x14ac:dyDescent="0.35">
      <c r="A14579">
        <v>1002826</v>
      </c>
      <c r="B14579">
        <v>13150</v>
      </c>
      <c r="C14579">
        <v>1</v>
      </c>
      <c r="D14579" t="s">
        <v>17166</v>
      </c>
      <c r="F14579" t="s">
        <v>17246</v>
      </c>
      <c r="H14579" t="s">
        <v>28921</v>
      </c>
      <c r="J14579" t="s">
        <v>29538</v>
      </c>
      <c r="L14579" t="s">
        <v>33064</v>
      </c>
      <c r="N14579" t="s">
        <v>33075</v>
      </c>
      <c r="P14579" t="s">
        <v>33227</v>
      </c>
      <c r="R14579" s="26" t="str">
        <f>HYPERLINK("https://ictv.global/taxonomy/taxondetails?taxnode_id=202305378","Sobemovirus RYMV")</f>
        <v>Sobemovirus RYMV</v>
      </c>
      <c r="S14579" t="s">
        <v>30</v>
      </c>
      <c r="T14579" t="s">
        <v>33261</v>
      </c>
      <c r="U14579" t="s">
        <v>33262</v>
      </c>
      <c r="V14579" t="s">
        <v>33263</v>
      </c>
      <c r="W14579" t="s">
        <v>33264</v>
      </c>
      <c r="X14579" t="s">
        <v>42</v>
      </c>
      <c r="Y14579" t="s">
        <v>17171</v>
      </c>
      <c r="Z14579" t="s">
        <v>13441</v>
      </c>
      <c r="AA14579" s="22" t="str">
        <f>HYPERLINK("https://www.ncbi.nlm.nih.gov/nuccore/AJ608206","NCBI Nucleotide")</f>
        <v>NCBI Nucleotide</v>
      </c>
    </row>
    <row r="14580" spans="1:27" x14ac:dyDescent="0.35">
      <c r="A14580">
        <v>1002832</v>
      </c>
      <c r="B14580">
        <v>13151</v>
      </c>
      <c r="C14580">
        <v>1</v>
      </c>
      <c r="D14580" t="s">
        <v>17166</v>
      </c>
      <c r="F14580" t="s">
        <v>17246</v>
      </c>
      <c r="H14580" t="s">
        <v>28921</v>
      </c>
      <c r="J14580" t="s">
        <v>29538</v>
      </c>
      <c r="L14580" t="s">
        <v>33064</v>
      </c>
      <c r="N14580" t="s">
        <v>33075</v>
      </c>
      <c r="P14580" t="s">
        <v>33227</v>
      </c>
      <c r="R14580" s="26" t="str">
        <f>HYPERLINK("https://ictv.global/taxonomy/taxondetails?taxnode_id=202305383","Sobemovirus SBMV")</f>
        <v>Sobemovirus SBMV</v>
      </c>
      <c r="S14580" t="s">
        <v>30</v>
      </c>
      <c r="T14580" t="s">
        <v>33285</v>
      </c>
      <c r="U14580" t="s">
        <v>33286</v>
      </c>
      <c r="V14580" t="s">
        <v>33287</v>
      </c>
      <c r="W14580" t="s">
        <v>33288</v>
      </c>
      <c r="X14580" t="s">
        <v>42</v>
      </c>
      <c r="Y14580" t="s">
        <v>17171</v>
      </c>
      <c r="Z14580" t="s">
        <v>13441</v>
      </c>
      <c r="AA14580" s="22" t="str">
        <f>HYPERLINK("https://www.ncbi.nlm.nih.gov/nuccore/DQ875594","NCBI Nucleotide")</f>
        <v>NCBI Nucleotide</v>
      </c>
    </row>
    <row r="14581" spans="1:27" x14ac:dyDescent="0.35">
      <c r="A14581">
        <v>1002836</v>
      </c>
      <c r="B14581">
        <v>13152</v>
      </c>
      <c r="C14581">
        <v>1</v>
      </c>
      <c r="D14581" t="s">
        <v>17166</v>
      </c>
      <c r="F14581" t="s">
        <v>17246</v>
      </c>
      <c r="H14581" t="s">
        <v>28921</v>
      </c>
      <c r="J14581" t="s">
        <v>29538</v>
      </c>
      <c r="L14581" t="s">
        <v>33064</v>
      </c>
      <c r="N14581" t="s">
        <v>33075</v>
      </c>
      <c r="P14581" t="s">
        <v>33227</v>
      </c>
      <c r="R14581" s="26" t="str">
        <f>HYPERLINK("https://ictv.global/taxonomy/taxondetails?taxnode_id=202305387","Sobemovirus SCMOV")</f>
        <v>Sobemovirus SCMOV</v>
      </c>
      <c r="S14581" t="s">
        <v>30</v>
      </c>
      <c r="T14581" t="s">
        <v>33301</v>
      </c>
      <c r="U14581" t="s">
        <v>33302</v>
      </c>
      <c r="V14581" t="s">
        <v>33303</v>
      </c>
      <c r="W14581" t="s">
        <v>33304</v>
      </c>
      <c r="X14581" t="s">
        <v>42</v>
      </c>
      <c r="Y14581" t="s">
        <v>17171</v>
      </c>
      <c r="Z14581" t="s">
        <v>13441</v>
      </c>
      <c r="AA14581" s="22" t="str">
        <f>HYPERLINK("https://www.ncbi.nlm.nih.gov/nuccore/AF208001","NCBI Nucleotide")</f>
        <v>NCBI Nucleotide</v>
      </c>
    </row>
    <row r="14582" spans="1:27" x14ac:dyDescent="0.35">
      <c r="A14582">
        <v>1002833</v>
      </c>
      <c r="B14582">
        <v>13153</v>
      </c>
      <c r="C14582">
        <v>1</v>
      </c>
      <c r="D14582" t="s">
        <v>17166</v>
      </c>
      <c r="F14582" t="s">
        <v>17246</v>
      </c>
      <c r="H14582" t="s">
        <v>28921</v>
      </c>
      <c r="J14582" t="s">
        <v>29538</v>
      </c>
      <c r="L14582" t="s">
        <v>33064</v>
      </c>
      <c r="N14582" t="s">
        <v>33075</v>
      </c>
      <c r="P14582" t="s">
        <v>33227</v>
      </c>
      <c r="R14582" s="26" t="str">
        <f>HYPERLINK("https://ictv.global/taxonomy/taxondetails?taxnode_id=202305384","Sobemovirus SCPMV")</f>
        <v>Sobemovirus SCPMV</v>
      </c>
      <c r="S14582" t="s">
        <v>30</v>
      </c>
      <c r="T14582" t="s">
        <v>33289</v>
      </c>
      <c r="U14582" t="s">
        <v>33290</v>
      </c>
      <c r="V14582" t="s">
        <v>33291</v>
      </c>
      <c r="W14582" t="s">
        <v>33292</v>
      </c>
      <c r="X14582" t="s">
        <v>42</v>
      </c>
      <c r="Y14582" t="s">
        <v>17171</v>
      </c>
      <c r="Z14582" t="s">
        <v>13441</v>
      </c>
      <c r="AA14582" s="22" t="str">
        <f>HYPERLINK("https://www.ncbi.nlm.nih.gov/nuccore/M23021","NCBI Nucleotide")</f>
        <v>NCBI Nucleotide</v>
      </c>
    </row>
    <row r="14583" spans="1:27" x14ac:dyDescent="0.35">
      <c r="A14583">
        <v>1002829</v>
      </c>
      <c r="B14583">
        <v>13154</v>
      </c>
      <c r="C14583">
        <v>1</v>
      </c>
      <c r="D14583" t="s">
        <v>17166</v>
      </c>
      <c r="F14583" t="s">
        <v>17246</v>
      </c>
      <c r="H14583" t="s">
        <v>28921</v>
      </c>
      <c r="J14583" t="s">
        <v>29538</v>
      </c>
      <c r="L14583" t="s">
        <v>33064</v>
      </c>
      <c r="N14583" t="s">
        <v>33075</v>
      </c>
      <c r="P14583" t="s">
        <v>33227</v>
      </c>
      <c r="R14583" s="26" t="str">
        <f>HYPERLINK("https://ictv.global/taxonomy/taxondetails?taxnode_id=202305381","Sobemovirus SEMV")</f>
        <v>Sobemovirus SEMV</v>
      </c>
      <c r="S14583" t="s">
        <v>30</v>
      </c>
      <c r="T14583" t="s">
        <v>33273</v>
      </c>
      <c r="U14583" t="s">
        <v>33274</v>
      </c>
      <c r="V14583" t="s">
        <v>33275</v>
      </c>
      <c r="W14583" t="s">
        <v>33276</v>
      </c>
      <c r="X14583" t="s">
        <v>42</v>
      </c>
      <c r="Y14583" t="s">
        <v>17171</v>
      </c>
      <c r="Z14583" t="s">
        <v>13441</v>
      </c>
      <c r="AA14583" s="22" t="str">
        <f>HYPERLINK("https://www.ncbi.nlm.nih.gov/nuccore/AY004291","NCBI Nucleotide")</f>
        <v>NCBI Nucleotide</v>
      </c>
    </row>
    <row r="14584" spans="1:27" x14ac:dyDescent="0.35">
      <c r="A14584">
        <v>1002830</v>
      </c>
      <c r="B14584">
        <v>13155</v>
      </c>
      <c r="C14584">
        <v>1</v>
      </c>
      <c r="D14584" t="s">
        <v>17166</v>
      </c>
      <c r="F14584" t="s">
        <v>17246</v>
      </c>
      <c r="H14584" t="s">
        <v>28921</v>
      </c>
      <c r="J14584" t="s">
        <v>29538</v>
      </c>
      <c r="L14584" t="s">
        <v>33064</v>
      </c>
      <c r="N14584" t="s">
        <v>33075</v>
      </c>
      <c r="P14584" t="s">
        <v>33227</v>
      </c>
      <c r="R14584" s="26" t="str">
        <f>HYPERLINK("https://ictv.global/taxonomy/taxondetails?taxnode_id=202313863","Sobemovirus smamv")</f>
        <v>Sobemovirus smamv</v>
      </c>
      <c r="S14584" t="s">
        <v>30</v>
      </c>
      <c r="T14584" t="s">
        <v>33277</v>
      </c>
      <c r="U14584" t="s">
        <v>33278</v>
      </c>
      <c r="V14584" t="s">
        <v>33279</v>
      </c>
      <c r="W14584" t="s">
        <v>33280</v>
      </c>
      <c r="X14584" t="s">
        <v>42</v>
      </c>
      <c r="Y14584" t="s">
        <v>17171</v>
      </c>
      <c r="Z14584" t="s">
        <v>13441</v>
      </c>
      <c r="AA14584" s="22" t="str">
        <f>HYPERLINK("https://www.ncbi.nlm.nih.gov/nuccore/MT989351","NCBI Nucleotide")</f>
        <v>NCBI Nucleotide</v>
      </c>
    </row>
    <row r="14585" spans="1:27" x14ac:dyDescent="0.35">
      <c r="A14585">
        <v>1002831</v>
      </c>
      <c r="B14585">
        <v>13156</v>
      </c>
      <c r="C14585">
        <v>1</v>
      </c>
      <c r="D14585" t="s">
        <v>17166</v>
      </c>
      <c r="F14585" t="s">
        <v>17246</v>
      </c>
      <c r="H14585" t="s">
        <v>28921</v>
      </c>
      <c r="J14585" t="s">
        <v>29538</v>
      </c>
      <c r="L14585" t="s">
        <v>33064</v>
      </c>
      <c r="N14585" t="s">
        <v>33075</v>
      </c>
      <c r="P14585" t="s">
        <v>33227</v>
      </c>
      <c r="R14585" s="26" t="str">
        <f>HYPERLINK("https://ictv.global/taxonomy/taxondetails?taxnode_id=202305382","Sobemovirus SNMOV")</f>
        <v>Sobemovirus SNMOV</v>
      </c>
      <c r="S14585" t="s">
        <v>30</v>
      </c>
      <c r="T14585" t="s">
        <v>33281</v>
      </c>
      <c r="U14585" t="s">
        <v>33282</v>
      </c>
      <c r="V14585" t="s">
        <v>33283</v>
      </c>
      <c r="W14585" t="s">
        <v>33284</v>
      </c>
      <c r="X14585" t="s">
        <v>42</v>
      </c>
      <c r="Y14585" t="s">
        <v>17171</v>
      </c>
      <c r="Z14585" t="s">
        <v>13441</v>
      </c>
      <c r="AA14585" s="22" t="str">
        <f>HYPERLINK("https://www.ncbi.nlm.nih.gov/nuccore/KC577470","NCBI Nucleotide")</f>
        <v>NCBI Nucleotide</v>
      </c>
    </row>
    <row r="14586" spans="1:27" x14ac:dyDescent="0.35">
      <c r="A14586">
        <v>1002834</v>
      </c>
      <c r="B14586">
        <v>13157</v>
      </c>
      <c r="C14586">
        <v>1</v>
      </c>
      <c r="D14586" t="s">
        <v>17166</v>
      </c>
      <c r="F14586" t="s">
        <v>17246</v>
      </c>
      <c r="H14586" t="s">
        <v>28921</v>
      </c>
      <c r="J14586" t="s">
        <v>29538</v>
      </c>
      <c r="L14586" t="s">
        <v>33064</v>
      </c>
      <c r="N14586" t="s">
        <v>33075</v>
      </c>
      <c r="P14586" t="s">
        <v>33227</v>
      </c>
      <c r="R14586" s="26" t="str">
        <f>HYPERLINK("https://ictv.global/taxonomy/taxondetails?taxnode_id=202305385","Sobemovirus SOMV")</f>
        <v>Sobemovirus SOMV</v>
      </c>
      <c r="S14586" t="s">
        <v>30</v>
      </c>
      <c r="T14586" t="s">
        <v>33293</v>
      </c>
      <c r="U14586" t="s">
        <v>33294</v>
      </c>
      <c r="V14586" t="s">
        <v>33295</v>
      </c>
      <c r="W14586" t="s">
        <v>33296</v>
      </c>
      <c r="X14586" t="s">
        <v>42</v>
      </c>
      <c r="Y14586" t="s">
        <v>17171</v>
      </c>
      <c r="Z14586" t="s">
        <v>13441</v>
      </c>
      <c r="AA14586" s="22" t="str">
        <f>HYPERLINK("https://www.ncbi.nlm.nih.gov/nuccore/AM940437","NCBI Nucleotide")</f>
        <v>NCBI Nucleotide</v>
      </c>
    </row>
    <row r="14587" spans="1:27" x14ac:dyDescent="0.35">
      <c r="A14587">
        <v>1002835</v>
      </c>
      <c r="B14587">
        <v>13158</v>
      </c>
      <c r="C14587">
        <v>1</v>
      </c>
      <c r="D14587" t="s">
        <v>17166</v>
      </c>
      <c r="F14587" t="s">
        <v>17246</v>
      </c>
      <c r="H14587" t="s">
        <v>28921</v>
      </c>
      <c r="J14587" t="s">
        <v>29538</v>
      </c>
      <c r="L14587" t="s">
        <v>33064</v>
      </c>
      <c r="N14587" t="s">
        <v>33075</v>
      </c>
      <c r="P14587" t="s">
        <v>33227</v>
      </c>
      <c r="R14587" s="26" t="str">
        <f>HYPERLINK("https://ictv.global/taxonomy/taxondetails?taxnode_id=202305386","Sobemovirus SYCMV")</f>
        <v>Sobemovirus SYCMV</v>
      </c>
      <c r="S14587" t="s">
        <v>30</v>
      </c>
      <c r="T14587" t="s">
        <v>33297</v>
      </c>
      <c r="U14587" t="s">
        <v>33298</v>
      </c>
      <c r="V14587" t="s">
        <v>33299</v>
      </c>
      <c r="W14587" t="s">
        <v>33300</v>
      </c>
      <c r="X14587" t="s">
        <v>42</v>
      </c>
      <c r="Y14587" t="s">
        <v>17171</v>
      </c>
      <c r="Z14587" t="s">
        <v>13441</v>
      </c>
      <c r="AA14587" s="22" t="str">
        <f>HYPERLINK("https://www.ncbi.nlm.nih.gov/nuccore/JF495127","NCBI Nucleotide")</f>
        <v>NCBI Nucleotide</v>
      </c>
    </row>
    <row r="14588" spans="1:27" x14ac:dyDescent="0.35">
      <c r="A14588">
        <v>1002837</v>
      </c>
      <c r="B14588">
        <v>13159</v>
      </c>
      <c r="C14588">
        <v>1</v>
      </c>
      <c r="D14588" t="s">
        <v>17166</v>
      </c>
      <c r="F14588" t="s">
        <v>17246</v>
      </c>
      <c r="H14588" t="s">
        <v>28921</v>
      </c>
      <c r="J14588" t="s">
        <v>29538</v>
      </c>
      <c r="L14588" t="s">
        <v>33064</v>
      </c>
      <c r="N14588" t="s">
        <v>33075</v>
      </c>
      <c r="P14588" t="s">
        <v>33227</v>
      </c>
      <c r="R14588" s="26" t="str">
        <f>HYPERLINK("https://ictv.global/taxonomy/taxondetails?taxnode_id=202305388","Sobemovirus TROV")</f>
        <v>Sobemovirus TROV</v>
      </c>
      <c r="S14588" t="s">
        <v>30</v>
      </c>
      <c r="T14588" t="s">
        <v>33305</v>
      </c>
      <c r="U14588" t="s">
        <v>33306</v>
      </c>
      <c r="V14588" t="s">
        <v>33307</v>
      </c>
      <c r="W14588" t="s">
        <v>33308</v>
      </c>
      <c r="X14588" t="s">
        <v>42</v>
      </c>
      <c r="Y14588" t="s">
        <v>17171</v>
      </c>
      <c r="Z14588" t="s">
        <v>13441</v>
      </c>
      <c r="AA14588" s="22" t="str">
        <f>HYPERLINK("https://www.ncbi.nlm.nih.gov/nuccore/KC778720","NCBI Nucleotide")</f>
        <v>NCBI Nucleotide</v>
      </c>
    </row>
    <row r="14589" spans="1:27" x14ac:dyDescent="0.35">
      <c r="A14589">
        <v>1002838</v>
      </c>
      <c r="B14589">
        <v>13160</v>
      </c>
      <c r="C14589">
        <v>1</v>
      </c>
      <c r="D14589" t="s">
        <v>17166</v>
      </c>
      <c r="F14589" t="s">
        <v>17246</v>
      </c>
      <c r="H14589" t="s">
        <v>28921</v>
      </c>
      <c r="J14589" t="s">
        <v>29538</v>
      </c>
      <c r="L14589" t="s">
        <v>33064</v>
      </c>
      <c r="N14589" t="s">
        <v>33075</v>
      </c>
      <c r="P14589" t="s">
        <v>33227</v>
      </c>
      <c r="R14589" s="26" t="str">
        <f>HYPERLINK("https://ictv.global/taxonomy/taxondetails?taxnode_id=202305389","Sobemovirus VTMOV")</f>
        <v>Sobemovirus VTMOV</v>
      </c>
      <c r="S14589" t="s">
        <v>30</v>
      </c>
      <c r="T14589" t="s">
        <v>33309</v>
      </c>
      <c r="U14589" t="s">
        <v>33310</v>
      </c>
      <c r="V14589" t="s">
        <v>33311</v>
      </c>
      <c r="W14589" t="s">
        <v>33312</v>
      </c>
      <c r="X14589" t="s">
        <v>42</v>
      </c>
      <c r="Y14589" t="s">
        <v>17171</v>
      </c>
      <c r="Z14589" t="s">
        <v>13441</v>
      </c>
      <c r="AA14589" s="22" t="str">
        <f>HYPERLINK("https://www.ncbi.nlm.nih.gov/nuccore/HM754263","NCBI Nucleotide")</f>
        <v>NCBI Nucleotide</v>
      </c>
    </row>
    <row r="14590" spans="1:27" x14ac:dyDescent="0.35">
      <c r="A14590">
        <v>1026358</v>
      </c>
      <c r="B14590">
        <v>13161</v>
      </c>
      <c r="C14590">
        <v>1</v>
      </c>
      <c r="D14590" t="s">
        <v>17166</v>
      </c>
      <c r="F14590" t="s">
        <v>17246</v>
      </c>
      <c r="H14590" t="s">
        <v>28921</v>
      </c>
      <c r="J14590" t="s">
        <v>29538</v>
      </c>
      <c r="L14590" t="s">
        <v>33064</v>
      </c>
      <c r="N14590" t="s">
        <v>33075</v>
      </c>
      <c r="P14590" t="s">
        <v>33227</v>
      </c>
      <c r="R14590" s="26" t="str">
        <f>HYPERLINK("https://ictv.global/taxonomy/taxondetails?taxnode_id=202318565","Sobemovirus XYDV")</f>
        <v>Sobemovirus XYDV</v>
      </c>
      <c r="S14590" t="s">
        <v>30</v>
      </c>
      <c r="T14590" t="s">
        <v>47586</v>
      </c>
      <c r="U14590" t="s">
        <v>47587</v>
      </c>
      <c r="V14590" t="s">
        <v>47588</v>
      </c>
      <c r="W14590" t="s">
        <v>47589</v>
      </c>
      <c r="X14590" t="s">
        <v>154</v>
      </c>
      <c r="Y14590" t="s">
        <v>17171</v>
      </c>
      <c r="Z14590" t="s">
        <v>13441</v>
      </c>
      <c r="AA14590" s="22" t="str">
        <f>HYPERLINK("https://www.ncbi.nlm.nih.gov/nuccore/ON828429","NCBI Nucleotide")</f>
        <v>NCBI Nucleotide</v>
      </c>
    </row>
    <row r="14591" spans="1:27" x14ac:dyDescent="0.35">
      <c r="A14591">
        <v>1002846</v>
      </c>
      <c r="B14591">
        <v>13162</v>
      </c>
      <c r="C14591">
        <v>1</v>
      </c>
      <c r="D14591" t="s">
        <v>17166</v>
      </c>
      <c r="F14591" t="s">
        <v>17246</v>
      </c>
      <c r="H14591" t="s">
        <v>28921</v>
      </c>
      <c r="J14591" t="s">
        <v>33313</v>
      </c>
      <c r="L14591" t="s">
        <v>33314</v>
      </c>
      <c r="N14591" t="s">
        <v>33315</v>
      </c>
      <c r="P14591" t="s">
        <v>33316</v>
      </c>
      <c r="R14591" s="26" t="str">
        <f>HYPERLINK("https://ictv.global/taxonomy/taxondetails?taxnode_id=202307457","Arepavirus arecae")</f>
        <v>Arepavirus arecae</v>
      </c>
      <c r="S14591" t="s">
        <v>30</v>
      </c>
      <c r="T14591" t="s">
        <v>33317</v>
      </c>
      <c r="U14591" t="s">
        <v>33318</v>
      </c>
      <c r="V14591" t="s">
        <v>33319</v>
      </c>
      <c r="W14591" t="s">
        <v>33320</v>
      </c>
      <c r="X14591" t="s">
        <v>42</v>
      </c>
      <c r="Y14591" t="s">
        <v>17171</v>
      </c>
      <c r="Z14591" t="s">
        <v>13441</v>
      </c>
      <c r="AA14591" s="22" t="str">
        <f>HYPERLINK("https://www.ncbi.nlm.nih.gov/nuccore/MH395371","NCBI Nucleotide")</f>
        <v>NCBI Nucleotide</v>
      </c>
    </row>
    <row r="14592" spans="1:27" x14ac:dyDescent="0.35">
      <c r="A14592">
        <v>1002847</v>
      </c>
      <c r="B14592">
        <v>13163</v>
      </c>
      <c r="C14592">
        <v>1</v>
      </c>
      <c r="D14592" t="s">
        <v>17166</v>
      </c>
      <c r="F14592" t="s">
        <v>17246</v>
      </c>
      <c r="H14592" t="s">
        <v>28921</v>
      </c>
      <c r="J14592" t="s">
        <v>33313</v>
      </c>
      <c r="L14592" t="s">
        <v>33314</v>
      </c>
      <c r="N14592" t="s">
        <v>33315</v>
      </c>
      <c r="P14592" t="s">
        <v>33316</v>
      </c>
      <c r="R14592" s="26" t="str">
        <f>HYPERLINK("https://ictv.global/taxonomy/taxondetails?taxnode_id=202307456","Arepavirus arecamaculatum")</f>
        <v>Arepavirus arecamaculatum</v>
      </c>
      <c r="S14592" t="s">
        <v>30</v>
      </c>
      <c r="T14592" t="s">
        <v>33321</v>
      </c>
      <c r="U14592" t="s">
        <v>33322</v>
      </c>
      <c r="V14592" t="s">
        <v>33323</v>
      </c>
      <c r="W14592" t="s">
        <v>33324</v>
      </c>
      <c r="X14592" t="s">
        <v>42</v>
      </c>
      <c r="Y14592" t="s">
        <v>17171</v>
      </c>
      <c r="Z14592" t="s">
        <v>13441</v>
      </c>
      <c r="AA14592" s="22" t="str">
        <f>HYPERLINK("https://www.ncbi.nlm.nih.gov/nuccore/MH330686","NCBI Nucleotide")</f>
        <v>NCBI Nucleotide</v>
      </c>
    </row>
    <row r="14593" spans="1:27" x14ac:dyDescent="0.35">
      <c r="A14593">
        <v>1002848</v>
      </c>
      <c r="B14593">
        <v>13164</v>
      </c>
      <c r="C14593">
        <v>1</v>
      </c>
      <c r="D14593" t="s">
        <v>17166</v>
      </c>
      <c r="F14593" t="s">
        <v>17246</v>
      </c>
      <c r="H14593" t="s">
        <v>28921</v>
      </c>
      <c r="J14593" t="s">
        <v>33313</v>
      </c>
      <c r="L14593" t="s">
        <v>33314</v>
      </c>
      <c r="N14593" t="s">
        <v>33315</v>
      </c>
      <c r="P14593" t="s">
        <v>33325</v>
      </c>
      <c r="R14593" s="26" t="str">
        <f>HYPERLINK("https://ictv.global/taxonomy/taxondetails?taxnode_id=202305915","Bevemovirus campanulae")</f>
        <v>Bevemovirus campanulae</v>
      </c>
      <c r="S14593" t="s">
        <v>30</v>
      </c>
      <c r="T14593" t="s">
        <v>33326</v>
      </c>
      <c r="U14593" t="s">
        <v>33327</v>
      </c>
      <c r="V14593" t="s">
        <v>33328</v>
      </c>
      <c r="W14593" t="s">
        <v>33329</v>
      </c>
      <c r="X14593" t="s">
        <v>42</v>
      </c>
      <c r="Y14593" t="s">
        <v>17171</v>
      </c>
      <c r="Z14593" t="s">
        <v>13441</v>
      </c>
      <c r="AA14593" s="22" t="str">
        <f>HYPERLINK("https://www.ncbi.nlm.nih.gov/nuccore/KY491536","NCBI Nucleotide")</f>
        <v>NCBI Nucleotide</v>
      </c>
    </row>
    <row r="14594" spans="1:27" x14ac:dyDescent="0.35">
      <c r="A14594">
        <v>1002849</v>
      </c>
      <c r="B14594">
        <v>13165</v>
      </c>
      <c r="C14594">
        <v>1</v>
      </c>
      <c r="D14594" t="s">
        <v>17166</v>
      </c>
      <c r="F14594" t="s">
        <v>17246</v>
      </c>
      <c r="H14594" t="s">
        <v>28921</v>
      </c>
      <c r="J14594" t="s">
        <v>33313</v>
      </c>
      <c r="L14594" t="s">
        <v>33314</v>
      </c>
      <c r="N14594" t="s">
        <v>33315</v>
      </c>
      <c r="P14594" t="s">
        <v>33330</v>
      </c>
      <c r="R14594" s="26" t="str">
        <f>HYPERLINK("https://ictv.global/taxonomy/taxondetails?taxnode_id=202304534","Brambyvirus rubi")</f>
        <v>Brambyvirus rubi</v>
      </c>
      <c r="S14594" t="s">
        <v>30</v>
      </c>
      <c r="T14594" t="s">
        <v>33331</v>
      </c>
      <c r="U14594" t="s">
        <v>33332</v>
      </c>
      <c r="V14594" t="s">
        <v>33333</v>
      </c>
      <c r="W14594" t="s">
        <v>33334</v>
      </c>
      <c r="X14594" t="s">
        <v>42</v>
      </c>
      <c r="Y14594" t="s">
        <v>17171</v>
      </c>
      <c r="Z14594" t="s">
        <v>13441</v>
      </c>
      <c r="AA14594" s="22" t="str">
        <f>HYPERLINK("https://www.ncbi.nlm.nih.gov/nuccore/AY994084","NCBI Nucleotide")</f>
        <v>NCBI Nucleotide</v>
      </c>
    </row>
    <row r="14595" spans="1:27" x14ac:dyDescent="0.35">
      <c r="A14595">
        <v>1002852</v>
      </c>
      <c r="B14595">
        <v>13166</v>
      </c>
      <c r="C14595">
        <v>1</v>
      </c>
      <c r="D14595" t="s">
        <v>17166</v>
      </c>
      <c r="F14595" t="s">
        <v>17246</v>
      </c>
      <c r="H14595" t="s">
        <v>28921</v>
      </c>
      <c r="J14595" t="s">
        <v>33313</v>
      </c>
      <c r="L14595" t="s">
        <v>33314</v>
      </c>
      <c r="N14595" t="s">
        <v>33315</v>
      </c>
      <c r="P14595" t="s">
        <v>33335</v>
      </c>
      <c r="R14595" s="26" t="str">
        <f>HYPERLINK("https://ictv.global/taxonomy/taxondetails?taxnode_id=202304538","Bymovirus avenae")</f>
        <v>Bymovirus avenae</v>
      </c>
      <c r="S14595" t="s">
        <v>30</v>
      </c>
      <c r="T14595" t="s">
        <v>33343</v>
      </c>
      <c r="U14595" t="s">
        <v>33344</v>
      </c>
      <c r="V14595" t="s">
        <v>33345</v>
      </c>
      <c r="W14595" t="s">
        <v>33346</v>
      </c>
      <c r="X14595" t="s">
        <v>42</v>
      </c>
      <c r="Y14595" t="s">
        <v>17171</v>
      </c>
      <c r="Z14595" t="s">
        <v>13441</v>
      </c>
      <c r="AA14595" s="22" t="str">
        <f>HYPERLINK("https://www.ncbi.nlm.nih.gov/nuccore/AJ306718,AJ306719","NCBI Nucleotide")</f>
        <v>NCBI Nucleotide</v>
      </c>
    </row>
    <row r="14596" spans="1:27" x14ac:dyDescent="0.35">
      <c r="A14596">
        <v>1002850</v>
      </c>
      <c r="B14596">
        <v>13167</v>
      </c>
      <c r="C14596">
        <v>1</v>
      </c>
      <c r="D14596" t="s">
        <v>17166</v>
      </c>
      <c r="F14596" t="s">
        <v>17246</v>
      </c>
      <c r="H14596" t="s">
        <v>28921</v>
      </c>
      <c r="J14596" t="s">
        <v>33313</v>
      </c>
      <c r="L14596" t="s">
        <v>33314</v>
      </c>
      <c r="N14596" t="s">
        <v>33315</v>
      </c>
      <c r="P14596" t="s">
        <v>33335</v>
      </c>
      <c r="R14596" s="26" t="str">
        <f>HYPERLINK("https://ictv.global/taxonomy/taxondetails?taxnode_id=202304536","Bymovirus hordei")</f>
        <v>Bymovirus hordei</v>
      </c>
      <c r="S14596" t="s">
        <v>30</v>
      </c>
      <c r="T14596" t="s">
        <v>33336</v>
      </c>
      <c r="U14596" t="s">
        <v>33337</v>
      </c>
      <c r="V14596" t="s">
        <v>33338</v>
      </c>
      <c r="W14596" t="s">
        <v>50746</v>
      </c>
      <c r="X14596" t="s">
        <v>42</v>
      </c>
      <c r="Y14596" t="s">
        <v>17171</v>
      </c>
      <c r="Z14596" t="s">
        <v>13441</v>
      </c>
      <c r="AA14596" s="22" t="str">
        <f>HYPERLINK("https://www.ncbi.nlm.nih.gov/nuccore/Y10973,X90904","NCBI Nucleotide")</f>
        <v>NCBI Nucleotide</v>
      </c>
    </row>
    <row r="14597" spans="1:27" x14ac:dyDescent="0.35">
      <c r="A14597">
        <v>1002851</v>
      </c>
      <c r="B14597">
        <v>13168</v>
      </c>
      <c r="C14597">
        <v>1</v>
      </c>
      <c r="D14597" t="s">
        <v>17166</v>
      </c>
      <c r="F14597" t="s">
        <v>17246</v>
      </c>
      <c r="H14597" t="s">
        <v>28921</v>
      </c>
      <c r="J14597" t="s">
        <v>33313</v>
      </c>
      <c r="L14597" t="s">
        <v>33314</v>
      </c>
      <c r="N14597" t="s">
        <v>33315</v>
      </c>
      <c r="P14597" t="s">
        <v>33335</v>
      </c>
      <c r="R14597" s="26" t="str">
        <f>HYPERLINK("https://ictv.global/taxonomy/taxondetails?taxnode_id=202304537","Bymovirus hordeiluteum")</f>
        <v>Bymovirus hordeiluteum</v>
      </c>
      <c r="S14597" t="s">
        <v>30</v>
      </c>
      <c r="T14597" t="s">
        <v>33339</v>
      </c>
      <c r="U14597" t="s">
        <v>33340</v>
      </c>
      <c r="V14597" t="s">
        <v>33341</v>
      </c>
      <c r="W14597" t="s">
        <v>33342</v>
      </c>
      <c r="X14597" t="s">
        <v>42</v>
      </c>
      <c r="Y14597" t="s">
        <v>17171</v>
      </c>
      <c r="Z14597" t="s">
        <v>13441</v>
      </c>
      <c r="AA14597" s="22" t="str">
        <f>HYPERLINK("https://www.ncbi.nlm.nih.gov/nuccore/AJ132268,AJ132269","NCBI Nucleotide")</f>
        <v>NCBI Nucleotide</v>
      </c>
    </row>
    <row r="14598" spans="1:27" x14ac:dyDescent="0.35">
      <c r="A14598">
        <v>1002853</v>
      </c>
      <c r="B14598">
        <v>13169</v>
      </c>
      <c r="C14598">
        <v>1</v>
      </c>
      <c r="D14598" t="s">
        <v>17166</v>
      </c>
      <c r="F14598" t="s">
        <v>17246</v>
      </c>
      <c r="H14598" t="s">
        <v>28921</v>
      </c>
      <c r="J14598" t="s">
        <v>33313</v>
      </c>
      <c r="L14598" t="s">
        <v>33314</v>
      </c>
      <c r="N14598" t="s">
        <v>33315</v>
      </c>
      <c r="P14598" t="s">
        <v>33335</v>
      </c>
      <c r="R14598" s="26" t="str">
        <f>HYPERLINK("https://ictv.global/taxonomy/taxondetails?taxnode_id=202304539","Bymovirus oryzae")</f>
        <v>Bymovirus oryzae</v>
      </c>
      <c r="S14598" t="s">
        <v>30</v>
      </c>
      <c r="T14598" t="s">
        <v>33347</v>
      </c>
      <c r="U14598" t="s">
        <v>33348</v>
      </c>
      <c r="V14598" t="s">
        <v>33349</v>
      </c>
      <c r="W14598" t="s">
        <v>33350</v>
      </c>
      <c r="X14598" t="s">
        <v>42</v>
      </c>
      <c r="Y14598" t="s">
        <v>17171</v>
      </c>
      <c r="Z14598" t="s">
        <v>13441</v>
      </c>
      <c r="AA14598" s="22" t="str">
        <f>HYPERLINK("https://www.ncbi.nlm.nih.gov/nuccore/LC055681,LC060925","NCBI Nucleotide")</f>
        <v>NCBI Nucleotide</v>
      </c>
    </row>
    <row r="14599" spans="1:27" x14ac:dyDescent="0.35">
      <c r="A14599">
        <v>1002854</v>
      </c>
      <c r="B14599">
        <v>13170</v>
      </c>
      <c r="C14599">
        <v>1</v>
      </c>
      <c r="D14599" t="s">
        <v>17166</v>
      </c>
      <c r="F14599" t="s">
        <v>17246</v>
      </c>
      <c r="H14599" t="s">
        <v>28921</v>
      </c>
      <c r="J14599" t="s">
        <v>33313</v>
      </c>
      <c r="L14599" t="s">
        <v>33314</v>
      </c>
      <c r="N14599" t="s">
        <v>33315</v>
      </c>
      <c r="P14599" t="s">
        <v>33335</v>
      </c>
      <c r="R14599" s="26" t="str">
        <f>HYPERLINK("https://ictv.global/taxonomy/taxondetails?taxnode_id=202304540","Bymovirus tritici")</f>
        <v>Bymovirus tritici</v>
      </c>
      <c r="S14599" t="s">
        <v>30</v>
      </c>
      <c r="T14599" t="s">
        <v>33351</v>
      </c>
      <c r="U14599" t="s">
        <v>33352</v>
      </c>
      <c r="V14599" t="s">
        <v>33353</v>
      </c>
      <c r="W14599" t="s">
        <v>33354</v>
      </c>
      <c r="X14599" t="s">
        <v>42</v>
      </c>
      <c r="Y14599" t="s">
        <v>17171</v>
      </c>
      <c r="Z14599" t="s">
        <v>13441</v>
      </c>
      <c r="AA14599" s="22" t="str">
        <f>HYPERLINK("https://www.ncbi.nlm.nih.gov/nuccore/MH645040,MH645042","NCBI Nucleotide")</f>
        <v>NCBI Nucleotide</v>
      </c>
    </row>
    <row r="14600" spans="1:27" x14ac:dyDescent="0.35">
      <c r="A14600">
        <v>1011922</v>
      </c>
      <c r="B14600">
        <v>13170</v>
      </c>
      <c r="C14600">
        <v>2</v>
      </c>
      <c r="D14600" t="s">
        <v>17166</v>
      </c>
      <c r="F14600" t="s">
        <v>17246</v>
      </c>
      <c r="H14600" t="s">
        <v>28921</v>
      </c>
      <c r="J14600" t="s">
        <v>33313</v>
      </c>
      <c r="L14600" t="s">
        <v>33314</v>
      </c>
      <c r="N14600" t="s">
        <v>33315</v>
      </c>
      <c r="P14600" t="s">
        <v>33335</v>
      </c>
      <c r="R14600" s="26" t="str">
        <f>HYPERLINK("https://ictv.global/taxonomy/taxondetails?taxnode_id=202304540","Bymovirus tritici")</f>
        <v>Bymovirus tritici</v>
      </c>
      <c r="S14600" t="s">
        <v>8141</v>
      </c>
      <c r="T14600" t="s">
        <v>33351</v>
      </c>
      <c r="U14600" t="s">
        <v>33352</v>
      </c>
      <c r="V14600" t="s">
        <v>33355</v>
      </c>
      <c r="W14600" t="s">
        <v>50118</v>
      </c>
      <c r="X14600" t="s">
        <v>42</v>
      </c>
      <c r="Y14600" t="s">
        <v>17171</v>
      </c>
      <c r="Z14600" t="s">
        <v>13441</v>
      </c>
      <c r="AA14600" s="22" t="str">
        <f>HYPERLINK("https://www.ncbi.nlm.nih.gov/nuccore/MN046368,MN046369","NCBI Nucleotide")</f>
        <v>NCBI Nucleotide</v>
      </c>
    </row>
    <row r="14601" spans="1:27" x14ac:dyDescent="0.35">
      <c r="A14601">
        <v>1002855</v>
      </c>
      <c r="B14601">
        <v>13171</v>
      </c>
      <c r="C14601">
        <v>1</v>
      </c>
      <c r="D14601" t="s">
        <v>17166</v>
      </c>
      <c r="F14601" t="s">
        <v>17246</v>
      </c>
      <c r="H14601" t="s">
        <v>28921</v>
      </c>
      <c r="J14601" t="s">
        <v>33313</v>
      </c>
      <c r="L14601" t="s">
        <v>33314</v>
      </c>
      <c r="N14601" t="s">
        <v>33315</v>
      </c>
      <c r="P14601" t="s">
        <v>33335</v>
      </c>
      <c r="R14601" s="26" t="str">
        <f>HYPERLINK("https://ictv.global/taxonomy/taxondetails?taxnode_id=202304541","Bymovirus triticitessellati")</f>
        <v>Bymovirus triticitessellati</v>
      </c>
      <c r="S14601" t="s">
        <v>30</v>
      </c>
      <c r="T14601" t="s">
        <v>33356</v>
      </c>
      <c r="U14601" t="s">
        <v>15989</v>
      </c>
      <c r="V14601" t="s">
        <v>33357</v>
      </c>
      <c r="W14601" t="s">
        <v>33358</v>
      </c>
      <c r="X14601" t="s">
        <v>42</v>
      </c>
      <c r="Y14601" t="s">
        <v>17171</v>
      </c>
      <c r="Z14601" t="s">
        <v>13441</v>
      </c>
      <c r="AA14601" s="22" t="str">
        <f>HYPERLINK("https://www.ncbi.nlm.nih.gov/nuccore/D86634,D86635","NCBI Nucleotide")</f>
        <v>NCBI Nucleotide</v>
      </c>
    </row>
    <row r="14602" spans="1:27" x14ac:dyDescent="0.35">
      <c r="A14602">
        <v>1002856</v>
      </c>
      <c r="B14602">
        <v>13172</v>
      </c>
      <c r="C14602">
        <v>1</v>
      </c>
      <c r="D14602" t="s">
        <v>17166</v>
      </c>
      <c r="F14602" t="s">
        <v>17246</v>
      </c>
      <c r="H14602" t="s">
        <v>28921</v>
      </c>
      <c r="J14602" t="s">
        <v>33313</v>
      </c>
      <c r="L14602" t="s">
        <v>33314</v>
      </c>
      <c r="N14602" t="s">
        <v>33315</v>
      </c>
      <c r="P14602" t="s">
        <v>33359</v>
      </c>
      <c r="R14602" s="26" t="str">
        <f>HYPERLINK("https://ictv.global/taxonomy/taxondetails?taxnode_id=202307463","Celavirus apii")</f>
        <v>Celavirus apii</v>
      </c>
      <c r="S14602" t="s">
        <v>30</v>
      </c>
      <c r="T14602" t="s">
        <v>33360</v>
      </c>
      <c r="U14602" t="s">
        <v>33361</v>
      </c>
      <c r="V14602" t="s">
        <v>33362</v>
      </c>
      <c r="W14602" t="s">
        <v>33363</v>
      </c>
      <c r="X14602" t="s">
        <v>42</v>
      </c>
      <c r="Y14602" t="s">
        <v>17171</v>
      </c>
      <c r="Z14602" t="s">
        <v>13441</v>
      </c>
      <c r="AA14602" s="22" t="str">
        <f>HYPERLINK("https://www.ncbi.nlm.nih.gov/nuccore/MH932227","NCBI Nucleotide")</f>
        <v>NCBI Nucleotide</v>
      </c>
    </row>
    <row r="14603" spans="1:27" x14ac:dyDescent="0.35">
      <c r="A14603">
        <v>1002857</v>
      </c>
      <c r="B14603">
        <v>13173</v>
      </c>
      <c r="C14603">
        <v>1</v>
      </c>
      <c r="D14603" t="s">
        <v>17166</v>
      </c>
      <c r="F14603" t="s">
        <v>17246</v>
      </c>
      <c r="H14603" t="s">
        <v>28921</v>
      </c>
      <c r="J14603" t="s">
        <v>33313</v>
      </c>
      <c r="L14603" t="s">
        <v>33314</v>
      </c>
      <c r="N14603" t="s">
        <v>33315</v>
      </c>
      <c r="P14603" t="s">
        <v>33364</v>
      </c>
      <c r="R14603" s="26" t="str">
        <f>HYPERLINK("https://ictv.global/taxonomy/taxondetails?taxnode_id=202304543","Ipomovirus brunusmanihotis")</f>
        <v>Ipomovirus brunusmanihotis</v>
      </c>
      <c r="S14603" t="s">
        <v>30</v>
      </c>
      <c r="T14603" t="s">
        <v>33365</v>
      </c>
      <c r="U14603" t="s">
        <v>33366</v>
      </c>
      <c r="V14603" t="s">
        <v>33367</v>
      </c>
      <c r="W14603" t="s">
        <v>33368</v>
      </c>
      <c r="X14603" t="s">
        <v>42</v>
      </c>
      <c r="Y14603" t="s">
        <v>17171</v>
      </c>
      <c r="Z14603" t="s">
        <v>13441</v>
      </c>
      <c r="AA14603" s="22" t="str">
        <f>HYPERLINK("https://www.ncbi.nlm.nih.gov/nuccore/GU563327","NCBI Nucleotide")</f>
        <v>NCBI Nucleotide</v>
      </c>
    </row>
    <row r="14604" spans="1:27" x14ac:dyDescent="0.35">
      <c r="A14604">
        <v>1002858</v>
      </c>
      <c r="B14604">
        <v>13174</v>
      </c>
      <c r="C14604">
        <v>1</v>
      </c>
      <c r="D14604" t="s">
        <v>17166</v>
      </c>
      <c r="F14604" t="s">
        <v>17246</v>
      </c>
      <c r="H14604" t="s">
        <v>28921</v>
      </c>
      <c r="J14604" t="s">
        <v>33313</v>
      </c>
      <c r="L14604" t="s">
        <v>33314</v>
      </c>
      <c r="N14604" t="s">
        <v>33315</v>
      </c>
      <c r="P14604" t="s">
        <v>33364</v>
      </c>
      <c r="R14604" s="26" t="str">
        <f>HYPERLINK("https://ictv.global/taxonomy/taxondetails?taxnode_id=202305917","Ipomovirus cocciniae")</f>
        <v>Ipomovirus cocciniae</v>
      </c>
      <c r="S14604" t="s">
        <v>30</v>
      </c>
      <c r="T14604" t="s">
        <v>33369</v>
      </c>
      <c r="U14604" t="s">
        <v>33370</v>
      </c>
      <c r="V14604" t="s">
        <v>33371</v>
      </c>
      <c r="W14604" t="s">
        <v>33372</v>
      </c>
      <c r="X14604" t="s">
        <v>42</v>
      </c>
      <c r="Y14604" t="s">
        <v>17171</v>
      </c>
      <c r="Z14604" t="s">
        <v>13441</v>
      </c>
      <c r="AA14604" s="22" t="str">
        <f>HYPERLINK("https://www.ncbi.nlm.nih.gov/nuccore/KU935732","NCBI Nucleotide")</f>
        <v>NCBI Nucleotide</v>
      </c>
    </row>
    <row r="14605" spans="1:27" x14ac:dyDescent="0.35">
      <c r="A14605">
        <v>1002859</v>
      </c>
      <c r="B14605">
        <v>13175</v>
      </c>
      <c r="C14605">
        <v>1</v>
      </c>
      <c r="D14605" t="s">
        <v>17166</v>
      </c>
      <c r="F14605" t="s">
        <v>17246</v>
      </c>
      <c r="H14605" t="s">
        <v>28921</v>
      </c>
      <c r="J14605" t="s">
        <v>33313</v>
      </c>
      <c r="L14605" t="s">
        <v>33314</v>
      </c>
      <c r="N14605" t="s">
        <v>33315</v>
      </c>
      <c r="P14605" t="s">
        <v>33364</v>
      </c>
      <c r="R14605" s="26" t="str">
        <f>HYPERLINK("https://ictv.global/taxonomy/taxondetails?taxnode_id=202304544","Ipomovirus cucumisvenaflavi")</f>
        <v>Ipomovirus cucumisvenaflavi</v>
      </c>
      <c r="S14605" t="s">
        <v>30</v>
      </c>
      <c r="T14605" t="s">
        <v>33373</v>
      </c>
      <c r="U14605" t="s">
        <v>33374</v>
      </c>
      <c r="V14605" t="s">
        <v>33375</v>
      </c>
      <c r="W14605" t="s">
        <v>33376</v>
      </c>
      <c r="X14605" t="s">
        <v>42</v>
      </c>
      <c r="Y14605" t="s">
        <v>17171</v>
      </c>
      <c r="Z14605" t="s">
        <v>13441</v>
      </c>
      <c r="AA14605" s="22" t="str">
        <f>HYPERLINK("https://www.ncbi.nlm.nih.gov/nuccore/AY578085","NCBI Nucleotide")</f>
        <v>NCBI Nucleotide</v>
      </c>
    </row>
    <row r="14606" spans="1:27" x14ac:dyDescent="0.35">
      <c r="A14606">
        <v>1002860</v>
      </c>
      <c r="B14606">
        <v>13176</v>
      </c>
      <c r="C14606">
        <v>1</v>
      </c>
      <c r="D14606" t="s">
        <v>17166</v>
      </c>
      <c r="F14606" t="s">
        <v>17246</v>
      </c>
      <c r="H14606" t="s">
        <v>28921</v>
      </c>
      <c r="J14606" t="s">
        <v>33313</v>
      </c>
      <c r="L14606" t="s">
        <v>33314</v>
      </c>
      <c r="N14606" t="s">
        <v>33315</v>
      </c>
      <c r="P14606" t="s">
        <v>33364</v>
      </c>
      <c r="R14606" s="26" t="str">
        <f>HYPERLINK("https://ictv.global/taxonomy/taxondetails?taxnode_id=202304545","Ipomovirus cucurbitavenaflavi")</f>
        <v>Ipomovirus cucurbitavenaflavi</v>
      </c>
      <c r="S14606" t="s">
        <v>30</v>
      </c>
      <c r="T14606" t="s">
        <v>33377</v>
      </c>
      <c r="U14606" t="s">
        <v>33378</v>
      </c>
      <c r="V14606" t="s">
        <v>18248</v>
      </c>
      <c r="W14606" t="s">
        <v>33379</v>
      </c>
      <c r="X14606" t="s">
        <v>42</v>
      </c>
      <c r="Y14606" t="s">
        <v>17171</v>
      </c>
      <c r="Z14606" t="s">
        <v>13441</v>
      </c>
      <c r="AA14606" s="22" t="str">
        <f>HYPERLINK("https://www.ncbi.nlm.nih.gov/nuccore/EU259611","NCBI Nucleotide")</f>
        <v>NCBI Nucleotide</v>
      </c>
    </row>
    <row r="14607" spans="1:27" x14ac:dyDescent="0.35">
      <c r="A14607">
        <v>1002861</v>
      </c>
      <c r="B14607">
        <v>13177</v>
      </c>
      <c r="C14607">
        <v>1</v>
      </c>
      <c r="D14607" t="s">
        <v>17166</v>
      </c>
      <c r="F14607" t="s">
        <v>17246</v>
      </c>
      <c r="H14607" t="s">
        <v>28921</v>
      </c>
      <c r="J14607" t="s">
        <v>33313</v>
      </c>
      <c r="L14607" t="s">
        <v>33314</v>
      </c>
      <c r="N14607" t="s">
        <v>33315</v>
      </c>
      <c r="P14607" t="s">
        <v>33364</v>
      </c>
      <c r="R14607" s="26" t="str">
        <f>HYPERLINK("https://ictv.global/taxonomy/taxondetails?taxnode_id=202304546","Ipomovirus lenisbatatae")</f>
        <v>Ipomovirus lenisbatatae</v>
      </c>
      <c r="S14607" t="s">
        <v>30</v>
      </c>
      <c r="T14607" t="s">
        <v>33380</v>
      </c>
      <c r="U14607" t="s">
        <v>33381</v>
      </c>
      <c r="V14607" t="s">
        <v>18402</v>
      </c>
      <c r="W14607" t="s">
        <v>33382</v>
      </c>
      <c r="X14607" t="s">
        <v>35</v>
      </c>
      <c r="Y14607" t="s">
        <v>17171</v>
      </c>
      <c r="Z14607" t="s">
        <v>13441</v>
      </c>
      <c r="AA14607" s="22" t="str">
        <f>HYPERLINK("https://www.ncbi.nlm.nih.gov/nuccore/Z73124","NCBI Nucleotide")</f>
        <v>NCBI Nucleotide</v>
      </c>
    </row>
    <row r="14608" spans="1:27" x14ac:dyDescent="0.35">
      <c r="A14608">
        <v>1002862</v>
      </c>
      <c r="B14608">
        <v>13178</v>
      </c>
      <c r="C14608">
        <v>1</v>
      </c>
      <c r="D14608" t="s">
        <v>17166</v>
      </c>
      <c r="F14608" t="s">
        <v>17246</v>
      </c>
      <c r="H14608" t="s">
        <v>28921</v>
      </c>
      <c r="J14608" t="s">
        <v>33313</v>
      </c>
      <c r="L14608" t="s">
        <v>33314</v>
      </c>
      <c r="N14608" t="s">
        <v>33315</v>
      </c>
      <c r="P14608" t="s">
        <v>33364</v>
      </c>
      <c r="R14608" s="26" t="str">
        <f>HYPERLINK("https://ictv.global/taxonomy/taxondetails?taxnode_id=202304547","Ipomovirus lycopersici")</f>
        <v>Ipomovirus lycopersici</v>
      </c>
      <c r="S14608" t="s">
        <v>30</v>
      </c>
      <c r="T14608" t="s">
        <v>33383</v>
      </c>
      <c r="U14608" t="s">
        <v>33384</v>
      </c>
      <c r="V14608" t="s">
        <v>33385</v>
      </c>
      <c r="W14608" t="s">
        <v>33386</v>
      </c>
      <c r="X14608" t="s">
        <v>42</v>
      </c>
      <c r="Y14608" t="s">
        <v>17171</v>
      </c>
      <c r="Z14608" t="s">
        <v>13441</v>
      </c>
      <c r="AA14608" s="22" t="str">
        <f>HYPERLINK("https://www.ncbi.nlm.nih.gov/nuccore/HE600072","NCBI Nucleotide")</f>
        <v>NCBI Nucleotide</v>
      </c>
    </row>
    <row r="14609" spans="1:27" x14ac:dyDescent="0.35">
      <c r="A14609">
        <v>1011923</v>
      </c>
      <c r="B14609">
        <v>13178</v>
      </c>
      <c r="C14609">
        <v>2</v>
      </c>
      <c r="D14609" t="s">
        <v>17166</v>
      </c>
      <c r="F14609" t="s">
        <v>17246</v>
      </c>
      <c r="H14609" t="s">
        <v>28921</v>
      </c>
      <c r="J14609" t="s">
        <v>33313</v>
      </c>
      <c r="L14609" t="s">
        <v>33314</v>
      </c>
      <c r="N14609" t="s">
        <v>33315</v>
      </c>
      <c r="P14609" t="s">
        <v>33364</v>
      </c>
      <c r="R14609" s="26" t="str">
        <f>HYPERLINK("https://ictv.global/taxonomy/taxondetails?taxnode_id=202304547","Ipomovirus lycopersici")</f>
        <v>Ipomovirus lycopersici</v>
      </c>
      <c r="S14609" t="s">
        <v>8141</v>
      </c>
      <c r="T14609" t="s">
        <v>33387</v>
      </c>
      <c r="U14609" t="s">
        <v>33388</v>
      </c>
      <c r="V14609" t="s">
        <v>19444</v>
      </c>
      <c r="W14609" t="s">
        <v>50119</v>
      </c>
      <c r="X14609" t="s">
        <v>42</v>
      </c>
      <c r="Y14609" t="s">
        <v>17171</v>
      </c>
      <c r="Z14609" t="s">
        <v>13441</v>
      </c>
      <c r="AA14609" s="22" t="str">
        <f>HYPERLINK("https://www.ncbi.nlm.nih.gov/nuccore/HQ840786","NCBI Nucleotide")</f>
        <v>NCBI Nucleotide</v>
      </c>
    </row>
    <row r="14610" spans="1:27" x14ac:dyDescent="0.35">
      <c r="A14610">
        <v>1002863</v>
      </c>
      <c r="B14610">
        <v>13179</v>
      </c>
      <c r="C14610">
        <v>1</v>
      </c>
      <c r="D14610" t="s">
        <v>17166</v>
      </c>
      <c r="F14610" t="s">
        <v>17246</v>
      </c>
      <c r="H14610" t="s">
        <v>28921</v>
      </c>
      <c r="J14610" t="s">
        <v>33313</v>
      </c>
      <c r="L14610" t="s">
        <v>33314</v>
      </c>
      <c r="N14610" t="s">
        <v>33315</v>
      </c>
      <c r="P14610" t="s">
        <v>33364</v>
      </c>
      <c r="R14610" s="26" t="str">
        <f>HYPERLINK("https://ictv.global/taxonomy/taxondetails?taxnode_id=202304548","Ipomovirus manihotis")</f>
        <v>Ipomovirus manihotis</v>
      </c>
      <c r="S14610" t="s">
        <v>30</v>
      </c>
      <c r="T14610" t="s">
        <v>33389</v>
      </c>
      <c r="U14610" t="s">
        <v>33390</v>
      </c>
      <c r="V14610" t="s">
        <v>33391</v>
      </c>
      <c r="W14610" t="s">
        <v>33392</v>
      </c>
      <c r="X14610" t="s">
        <v>42</v>
      </c>
      <c r="Y14610" t="s">
        <v>17171</v>
      </c>
      <c r="Z14610" t="s">
        <v>13441</v>
      </c>
      <c r="AA14610" s="22" t="str">
        <f>HYPERLINK("https://www.ncbi.nlm.nih.gov/nuccore/HM181930","NCBI Nucleotide")</f>
        <v>NCBI Nucleotide</v>
      </c>
    </row>
    <row r="14611" spans="1:27" x14ac:dyDescent="0.35">
      <c r="A14611">
        <v>1011924</v>
      </c>
      <c r="B14611">
        <v>13179</v>
      </c>
      <c r="C14611">
        <v>2</v>
      </c>
      <c r="D14611" t="s">
        <v>17166</v>
      </c>
      <c r="F14611" t="s">
        <v>17246</v>
      </c>
      <c r="H14611" t="s">
        <v>28921</v>
      </c>
      <c r="J14611" t="s">
        <v>33313</v>
      </c>
      <c r="L14611" t="s">
        <v>33314</v>
      </c>
      <c r="N14611" t="s">
        <v>33315</v>
      </c>
      <c r="P14611" t="s">
        <v>33364</v>
      </c>
      <c r="R14611" s="26" t="str">
        <f>HYPERLINK("https://ictv.global/taxonomy/taxondetails?taxnode_id=202304548","Ipomovirus manihotis")</f>
        <v>Ipomovirus manihotis</v>
      </c>
      <c r="S14611" t="s">
        <v>8141</v>
      </c>
      <c r="T14611" t="s">
        <v>33389</v>
      </c>
      <c r="U14611" t="s">
        <v>33390</v>
      </c>
      <c r="V14611" t="s">
        <v>33391</v>
      </c>
      <c r="W14611" t="s">
        <v>50120</v>
      </c>
      <c r="X14611" t="s">
        <v>42</v>
      </c>
      <c r="Y14611" t="s">
        <v>17171</v>
      </c>
      <c r="Z14611" t="s">
        <v>13441</v>
      </c>
      <c r="AA14611" s="22" t="str">
        <f>HYPERLINK("https://www.ncbi.nlm.nih.gov/nuccore/FJ185044","NCBI Nucleotide")</f>
        <v>NCBI Nucleotide</v>
      </c>
    </row>
    <row r="14612" spans="1:27" x14ac:dyDescent="0.35">
      <c r="A14612">
        <v>1002865</v>
      </c>
      <c r="B14612">
        <v>13180</v>
      </c>
      <c r="C14612">
        <v>1</v>
      </c>
      <c r="D14612" t="s">
        <v>17166</v>
      </c>
      <c r="F14612" t="s">
        <v>17246</v>
      </c>
      <c r="H14612" t="s">
        <v>28921</v>
      </c>
      <c r="J14612" t="s">
        <v>33313</v>
      </c>
      <c r="L14612" t="s">
        <v>33314</v>
      </c>
      <c r="N14612" t="s">
        <v>33315</v>
      </c>
      <c r="P14612" t="s">
        <v>33393</v>
      </c>
      <c r="R14612" s="26" t="str">
        <f>HYPERLINK("https://ictv.global/taxonomy/taxondetails?taxnode_id=202307443","Macluravirus alipiniatessallati")</f>
        <v>Macluravirus alipiniatessallati</v>
      </c>
      <c r="S14612" t="s">
        <v>30</v>
      </c>
      <c r="T14612" t="s">
        <v>33397</v>
      </c>
      <c r="U14612" t="s">
        <v>33398</v>
      </c>
      <c r="V14612" t="s">
        <v>33399</v>
      </c>
      <c r="W14612" t="s">
        <v>33400</v>
      </c>
      <c r="X14612" t="s">
        <v>42</v>
      </c>
      <c r="Y14612" t="s">
        <v>17171</v>
      </c>
      <c r="Z14612" t="s">
        <v>13441</v>
      </c>
      <c r="AA14612" s="22" t="str">
        <f>HYPERLINK("https://www.ncbi.nlm.nih.gov/nuccore/MG978107","NCBI Nucleotide")</f>
        <v>NCBI Nucleotide</v>
      </c>
    </row>
    <row r="14613" spans="1:27" x14ac:dyDescent="0.35">
      <c r="A14613">
        <v>1002864</v>
      </c>
      <c r="B14613">
        <v>13181</v>
      </c>
      <c r="C14613">
        <v>1</v>
      </c>
      <c r="D14613" t="s">
        <v>17166</v>
      </c>
      <c r="F14613" t="s">
        <v>17246</v>
      </c>
      <c r="H14613" t="s">
        <v>28921</v>
      </c>
      <c r="J14613" t="s">
        <v>33313</v>
      </c>
      <c r="L14613" t="s">
        <v>33314</v>
      </c>
      <c r="N14613" t="s">
        <v>33315</v>
      </c>
      <c r="P14613" t="s">
        <v>33393</v>
      </c>
      <c r="R14613" s="26" t="str">
        <f>HYPERLINK("https://ictv.global/taxonomy/taxondetails?taxnode_id=202304550","Macluravirus alpiniae")</f>
        <v>Macluravirus alpiniae</v>
      </c>
      <c r="S14613" t="s">
        <v>30</v>
      </c>
      <c r="T14613" t="s">
        <v>33394</v>
      </c>
      <c r="U14613" t="s">
        <v>33395</v>
      </c>
      <c r="V14613" t="s">
        <v>19343</v>
      </c>
      <c r="W14613" t="s">
        <v>33396</v>
      </c>
      <c r="X14613" t="s">
        <v>154</v>
      </c>
      <c r="Y14613" t="s">
        <v>17171</v>
      </c>
      <c r="Z14613" t="s">
        <v>13441</v>
      </c>
      <c r="AA14613" s="22" t="str">
        <f>HYPERLINK("https://www.ncbi.nlm.nih.gov/nuccore/AF499025","NCBI Nucleotide")</f>
        <v>NCBI Nucleotide</v>
      </c>
    </row>
    <row r="14614" spans="1:27" x14ac:dyDescent="0.35">
      <c r="A14614">
        <v>1002871</v>
      </c>
      <c r="B14614">
        <v>13182</v>
      </c>
      <c r="C14614">
        <v>1</v>
      </c>
      <c r="D14614" t="s">
        <v>17166</v>
      </c>
      <c r="F14614" t="s">
        <v>17246</v>
      </c>
      <c r="H14614" t="s">
        <v>28921</v>
      </c>
      <c r="J14614" t="s">
        <v>33313</v>
      </c>
      <c r="L14614" t="s">
        <v>33314</v>
      </c>
      <c r="N14614" t="s">
        <v>33315</v>
      </c>
      <c r="P14614" t="s">
        <v>33393</v>
      </c>
      <c r="R14614" s="26" t="str">
        <f>HYPERLINK("https://ictv.global/taxonomy/taxondetails?taxnode_id=202315108","Macluravirus amomulineae")</f>
        <v>Macluravirus amomulineae</v>
      </c>
      <c r="S14614" t="s">
        <v>30</v>
      </c>
      <c r="T14614" t="s">
        <v>33422</v>
      </c>
      <c r="U14614" t="s">
        <v>33423</v>
      </c>
      <c r="V14614" t="s">
        <v>33424</v>
      </c>
      <c r="W14614" t="s">
        <v>33425</v>
      </c>
      <c r="X14614" t="s">
        <v>42</v>
      </c>
      <c r="Y14614" t="s">
        <v>17171</v>
      </c>
      <c r="Z14614" t="s">
        <v>13441</v>
      </c>
      <c r="AA14614" s="22" t="str">
        <f>HYPERLINK("https://www.ncbi.nlm.nih.gov/nuccore/MT110148","NCBI Nucleotide")</f>
        <v>NCBI Nucleotide</v>
      </c>
    </row>
    <row r="14615" spans="1:27" x14ac:dyDescent="0.35">
      <c r="A14615">
        <v>1002868</v>
      </c>
      <c r="B14615">
        <v>13183</v>
      </c>
      <c r="C14615">
        <v>1</v>
      </c>
      <c r="D14615" t="s">
        <v>17166</v>
      </c>
      <c r="F14615" t="s">
        <v>17246</v>
      </c>
      <c r="H14615" t="s">
        <v>28921</v>
      </c>
      <c r="J14615" t="s">
        <v>33313</v>
      </c>
      <c r="L14615" t="s">
        <v>33314</v>
      </c>
      <c r="N14615" t="s">
        <v>33315</v>
      </c>
      <c r="P14615" t="s">
        <v>33393</v>
      </c>
      <c r="R14615" s="26" t="str">
        <f>HYPERLINK("https://ictv.global/taxonomy/taxondetails?taxnode_id=202304553","Macluravirus cardamomi")</f>
        <v>Macluravirus cardamomi</v>
      </c>
      <c r="S14615" t="s">
        <v>30</v>
      </c>
      <c r="T14615" t="s">
        <v>33412</v>
      </c>
      <c r="U14615" t="s">
        <v>33413</v>
      </c>
      <c r="V14615" t="s">
        <v>19780</v>
      </c>
      <c r="W14615" t="s">
        <v>33414</v>
      </c>
      <c r="X14615" t="s">
        <v>42</v>
      </c>
      <c r="Y14615" t="s">
        <v>17171</v>
      </c>
      <c r="Z14615" t="s">
        <v>13441</v>
      </c>
      <c r="AA14615" s="22" t="str">
        <f>HYPERLINK("https://www.ncbi.nlm.nih.gov/nuccore/MF622947","NCBI Nucleotide")</f>
        <v>NCBI Nucleotide</v>
      </c>
    </row>
    <row r="14616" spans="1:27" x14ac:dyDescent="0.35">
      <c r="A14616">
        <v>1002869</v>
      </c>
      <c r="B14616">
        <v>13184</v>
      </c>
      <c r="C14616">
        <v>1</v>
      </c>
      <c r="D14616" t="s">
        <v>17166</v>
      </c>
      <c r="F14616" t="s">
        <v>17246</v>
      </c>
      <c r="H14616" t="s">
        <v>28921</v>
      </c>
      <c r="J14616" t="s">
        <v>33313</v>
      </c>
      <c r="L14616" t="s">
        <v>33314</v>
      </c>
      <c r="N14616" t="s">
        <v>33315</v>
      </c>
      <c r="P14616" t="s">
        <v>33393</v>
      </c>
      <c r="R14616" s="26" t="str">
        <f>HYPERLINK("https://ictv.global/taxonomy/taxondetails?taxnode_id=202304554","Macluravirus dioscoreachinense")</f>
        <v>Macluravirus dioscoreachinense</v>
      </c>
      <c r="S14616" t="s">
        <v>30</v>
      </c>
      <c r="T14616" t="s">
        <v>33415</v>
      </c>
      <c r="U14616" t="s">
        <v>33416</v>
      </c>
      <c r="V14616" t="s">
        <v>33417</v>
      </c>
      <c r="W14616" t="s">
        <v>33418</v>
      </c>
      <c r="X14616" t="s">
        <v>42</v>
      </c>
      <c r="Y14616" t="s">
        <v>17171</v>
      </c>
      <c r="Z14616" t="s">
        <v>13441</v>
      </c>
      <c r="AA14616" s="22" t="str">
        <f>HYPERLINK("https://www.ncbi.nlm.nih.gov/nuccore/AB710145","NCBI Nucleotide")</f>
        <v>NCBI Nucleotide</v>
      </c>
    </row>
    <row r="14617" spans="1:27" x14ac:dyDescent="0.35">
      <c r="A14617">
        <v>1002874</v>
      </c>
      <c r="B14617">
        <v>13185</v>
      </c>
      <c r="C14617">
        <v>1</v>
      </c>
      <c r="D14617" t="s">
        <v>17166</v>
      </c>
      <c r="F14617" t="s">
        <v>17246</v>
      </c>
      <c r="H14617" t="s">
        <v>28921</v>
      </c>
      <c r="J14617" t="s">
        <v>33313</v>
      </c>
      <c r="L14617" t="s">
        <v>33314</v>
      </c>
      <c r="N14617" t="s">
        <v>33315</v>
      </c>
      <c r="P14617" t="s">
        <v>33393</v>
      </c>
      <c r="R14617" s="26" t="str">
        <f>HYPERLINK("https://ictv.global/taxonomy/taxondetails?taxnode_id=202307444","Macluravirus dioscoreaflavinecrosis")</f>
        <v>Macluravirus dioscoreaflavinecrosis</v>
      </c>
      <c r="S14617" t="s">
        <v>30</v>
      </c>
      <c r="T14617" t="s">
        <v>33432</v>
      </c>
      <c r="U14617" t="s">
        <v>33433</v>
      </c>
      <c r="V14617" t="s">
        <v>33434</v>
      </c>
      <c r="W14617" t="s">
        <v>33435</v>
      </c>
      <c r="X14617" t="s">
        <v>42</v>
      </c>
      <c r="Y14617" t="s">
        <v>17171</v>
      </c>
      <c r="Z14617" t="s">
        <v>13441</v>
      </c>
      <c r="AA14617" s="22" t="str">
        <f>HYPERLINK("https://www.ncbi.nlm.nih.gov/nuccore/MG755240","NCBI Nucleotide")</f>
        <v>NCBI Nucleotide</v>
      </c>
    </row>
    <row r="14618" spans="1:27" x14ac:dyDescent="0.35">
      <c r="A14618">
        <v>1002873</v>
      </c>
      <c r="B14618">
        <v>13186</v>
      </c>
      <c r="C14618">
        <v>1</v>
      </c>
      <c r="D14618" t="s">
        <v>17166</v>
      </c>
      <c r="F14618" t="s">
        <v>17246</v>
      </c>
      <c r="H14618" t="s">
        <v>28921</v>
      </c>
      <c r="J14618" t="s">
        <v>33313</v>
      </c>
      <c r="L14618" t="s">
        <v>33314</v>
      </c>
      <c r="N14618" t="s">
        <v>33315</v>
      </c>
      <c r="P14618" t="s">
        <v>33393</v>
      </c>
      <c r="R14618" s="26" t="str">
        <f>HYPERLINK("https://ictv.global/taxonomy/taxondetails?taxnode_id=202304557","Macluravirus dioscoreaflavitessellati")</f>
        <v>Macluravirus dioscoreaflavitessellati</v>
      </c>
      <c r="S14618" t="s">
        <v>30</v>
      </c>
      <c r="T14618" t="s">
        <v>33429</v>
      </c>
      <c r="U14618" t="s">
        <v>33430</v>
      </c>
      <c r="V14618" t="s">
        <v>20875</v>
      </c>
      <c r="W14618" t="s">
        <v>33431</v>
      </c>
      <c r="X14618" t="s">
        <v>42</v>
      </c>
      <c r="Y14618" t="s">
        <v>17171</v>
      </c>
      <c r="Z14618" t="s">
        <v>13441</v>
      </c>
      <c r="AA14618" s="22" t="str">
        <f>HYPERLINK("https://www.ncbi.nlm.nih.gov/nuccore/KT724961","NCBI Nucleotide")</f>
        <v>NCBI Nucleotide</v>
      </c>
    </row>
    <row r="14619" spans="1:27" x14ac:dyDescent="0.35">
      <c r="A14619">
        <v>1002870</v>
      </c>
      <c r="B14619">
        <v>13187</v>
      </c>
      <c r="C14619">
        <v>1</v>
      </c>
      <c r="D14619" t="s">
        <v>17166</v>
      </c>
      <c r="F14619" t="s">
        <v>17246</v>
      </c>
      <c r="H14619" t="s">
        <v>28921</v>
      </c>
      <c r="J14619" t="s">
        <v>33313</v>
      </c>
      <c r="L14619" t="s">
        <v>33314</v>
      </c>
      <c r="N14619" t="s">
        <v>33315</v>
      </c>
      <c r="P14619" t="s">
        <v>33393</v>
      </c>
      <c r="R14619" s="26" t="str">
        <f>HYPERLINK("https://ictv.global/taxonomy/taxondetails?taxnode_id=202304555","Macluravirus maclurae")</f>
        <v>Macluravirus maclurae</v>
      </c>
      <c r="S14619" t="s">
        <v>30</v>
      </c>
      <c r="T14619" t="s">
        <v>33419</v>
      </c>
      <c r="U14619" t="s">
        <v>33420</v>
      </c>
      <c r="V14619" t="s">
        <v>18183</v>
      </c>
      <c r="W14619" t="s">
        <v>33421</v>
      </c>
      <c r="X14619" t="s">
        <v>154</v>
      </c>
      <c r="Y14619" t="s">
        <v>17171</v>
      </c>
      <c r="Z14619" t="s">
        <v>13441</v>
      </c>
      <c r="AA14619" s="22" t="str">
        <f>HYPERLINK("https://www.ncbi.nlm.nih.gov/nuccore/U58771","NCBI Nucleotide")</f>
        <v>NCBI Nucleotide</v>
      </c>
    </row>
    <row r="14620" spans="1:27" x14ac:dyDescent="0.35">
      <c r="A14620">
        <v>1002872</v>
      </c>
      <c r="B14620">
        <v>13188</v>
      </c>
      <c r="C14620">
        <v>1</v>
      </c>
      <c r="D14620" t="s">
        <v>17166</v>
      </c>
      <c r="F14620" t="s">
        <v>17246</v>
      </c>
      <c r="H14620" t="s">
        <v>28921</v>
      </c>
      <c r="J14620" t="s">
        <v>33313</v>
      </c>
      <c r="L14620" t="s">
        <v>33314</v>
      </c>
      <c r="N14620" t="s">
        <v>33315</v>
      </c>
      <c r="P14620" t="s">
        <v>33393</v>
      </c>
      <c r="R14620" s="26" t="str">
        <f>HYPERLINK("https://ictv.global/taxonomy/taxondetails?taxnode_id=202304556","Macluravirus narcissi")</f>
        <v>Macluravirus narcissi</v>
      </c>
      <c r="S14620" t="s">
        <v>30</v>
      </c>
      <c r="T14620" t="s">
        <v>33426</v>
      </c>
      <c r="U14620" t="s">
        <v>33427</v>
      </c>
      <c r="V14620" t="s">
        <v>19412</v>
      </c>
      <c r="W14620" t="s">
        <v>33428</v>
      </c>
      <c r="X14620" t="s">
        <v>154</v>
      </c>
      <c r="Y14620" t="s">
        <v>17171</v>
      </c>
      <c r="Z14620" t="s">
        <v>13441</v>
      </c>
      <c r="AA14620" s="22" t="str">
        <f>HYPERLINK("https://www.ncbi.nlm.nih.gov/nuccore/DQ450199","NCBI Nucleotide")</f>
        <v>NCBI Nucleotide</v>
      </c>
    </row>
    <row r="14621" spans="1:27" x14ac:dyDescent="0.35">
      <c r="A14621">
        <v>1002867</v>
      </c>
      <c r="B14621">
        <v>13189</v>
      </c>
      <c r="C14621">
        <v>1</v>
      </c>
      <c r="D14621" t="s">
        <v>17166</v>
      </c>
      <c r="F14621" t="s">
        <v>17246</v>
      </c>
      <c r="H14621" t="s">
        <v>28921</v>
      </c>
      <c r="J14621" t="s">
        <v>33313</v>
      </c>
      <c r="L14621" t="s">
        <v>33314</v>
      </c>
      <c r="N14621" t="s">
        <v>33315</v>
      </c>
      <c r="P14621" t="s">
        <v>33393</v>
      </c>
      <c r="R14621" s="26" t="str">
        <f>HYPERLINK("https://ictv.global/taxonomy/taxondetails?taxnode_id=202304552","Macluravirus rumicis")</f>
        <v>Macluravirus rumicis</v>
      </c>
      <c r="S14621" t="s">
        <v>30</v>
      </c>
      <c r="T14621" t="s">
        <v>33408</v>
      </c>
      <c r="U14621" t="s">
        <v>33409</v>
      </c>
      <c r="V14621" t="s">
        <v>33410</v>
      </c>
      <c r="W14621" t="s">
        <v>33411</v>
      </c>
      <c r="X14621" t="s">
        <v>42</v>
      </c>
      <c r="Y14621" t="s">
        <v>17171</v>
      </c>
      <c r="Z14621" t="s">
        <v>13441</v>
      </c>
      <c r="AA14621" s="22" t="str">
        <f>HYPERLINK("https://www.ncbi.nlm.nih.gov/nuccore/KU053507","NCBI Nucleotide")</f>
        <v>NCBI Nucleotide</v>
      </c>
    </row>
    <row r="14622" spans="1:27" x14ac:dyDescent="0.35">
      <c r="A14622">
        <v>1002866</v>
      </c>
      <c r="B14622">
        <v>13190</v>
      </c>
      <c r="C14622">
        <v>1</v>
      </c>
      <c r="D14622" t="s">
        <v>17166</v>
      </c>
      <c r="F14622" t="s">
        <v>17246</v>
      </c>
      <c r="H14622" t="s">
        <v>28921</v>
      </c>
      <c r="J14622" t="s">
        <v>33313</v>
      </c>
      <c r="L14622" t="s">
        <v>33314</v>
      </c>
      <c r="N14622" t="s">
        <v>33315</v>
      </c>
      <c r="P14622" t="s">
        <v>33393</v>
      </c>
      <c r="R14622" s="26" t="str">
        <f>HYPERLINK("https://ictv.global/taxonomy/taxondetails?taxnode_id=202304551","Macluravirus scolymus")</f>
        <v>Macluravirus scolymus</v>
      </c>
      <c r="S14622" t="s">
        <v>30</v>
      </c>
      <c r="T14622" t="s">
        <v>33401</v>
      </c>
      <c r="U14622" t="s">
        <v>33402</v>
      </c>
      <c r="V14622" t="s">
        <v>33403</v>
      </c>
      <c r="W14622" t="s">
        <v>33404</v>
      </c>
      <c r="X14622" t="s">
        <v>42</v>
      </c>
      <c r="Y14622" t="s">
        <v>17171</v>
      </c>
      <c r="Z14622" t="s">
        <v>13441</v>
      </c>
      <c r="AA14622" s="22" t="str">
        <f>HYPERLINK("https://www.ncbi.nlm.nih.gov/nuccore/KP405232","NCBI Nucleotide")</f>
        <v>NCBI Nucleotide</v>
      </c>
    </row>
    <row r="14623" spans="1:27" x14ac:dyDescent="0.35">
      <c r="A14623">
        <v>1011925</v>
      </c>
      <c r="B14623">
        <v>13190</v>
      </c>
      <c r="C14623">
        <v>2</v>
      </c>
      <c r="D14623" t="s">
        <v>17166</v>
      </c>
      <c r="F14623" t="s">
        <v>17246</v>
      </c>
      <c r="H14623" t="s">
        <v>28921</v>
      </c>
      <c r="J14623" t="s">
        <v>33313</v>
      </c>
      <c r="L14623" t="s">
        <v>33314</v>
      </c>
      <c r="N14623" t="s">
        <v>33315</v>
      </c>
      <c r="P14623" t="s">
        <v>33393</v>
      </c>
      <c r="R14623" s="26" t="str">
        <f>HYPERLINK("https://ictv.global/taxonomy/taxondetails?taxnode_id=202304551","Macluravirus scolymus")</f>
        <v>Macluravirus scolymus</v>
      </c>
      <c r="S14623" t="s">
        <v>8141</v>
      </c>
      <c r="T14623" t="s">
        <v>33405</v>
      </c>
      <c r="U14623" t="s">
        <v>33406</v>
      </c>
      <c r="V14623" t="s">
        <v>33407</v>
      </c>
      <c r="W14623" t="s">
        <v>50121</v>
      </c>
      <c r="X14623" t="s">
        <v>154</v>
      </c>
      <c r="Y14623" t="s">
        <v>17171</v>
      </c>
      <c r="Z14623" t="s">
        <v>13441</v>
      </c>
      <c r="AA14623" s="22" t="str">
        <f>HYPERLINK("https://www.ncbi.nlm.nih.gov/nuccore/DQ152193","NCBI Nucleotide")</f>
        <v>NCBI Nucleotide</v>
      </c>
    </row>
    <row r="14624" spans="1:27" x14ac:dyDescent="0.35">
      <c r="A14624">
        <v>1002875</v>
      </c>
      <c r="B14624">
        <v>13191</v>
      </c>
      <c r="C14624">
        <v>1</v>
      </c>
      <c r="D14624" t="s">
        <v>17166</v>
      </c>
      <c r="F14624" t="s">
        <v>17246</v>
      </c>
      <c r="H14624" t="s">
        <v>28921</v>
      </c>
      <c r="J14624" t="s">
        <v>33313</v>
      </c>
      <c r="L14624" t="s">
        <v>33314</v>
      </c>
      <c r="N14624" t="s">
        <v>33315</v>
      </c>
      <c r="P14624" t="s">
        <v>33436</v>
      </c>
      <c r="R14624" s="26" t="str">
        <f>HYPERLINK("https://ictv.global/taxonomy/taxondetails?taxnode_id=202304559","Poacevirus caladeniae")</f>
        <v>Poacevirus caladeniae</v>
      </c>
      <c r="S14624" t="s">
        <v>30</v>
      </c>
      <c r="T14624" t="s">
        <v>33437</v>
      </c>
      <c r="U14624" t="s">
        <v>33438</v>
      </c>
      <c r="V14624" t="s">
        <v>33439</v>
      </c>
      <c r="W14624" t="s">
        <v>33440</v>
      </c>
      <c r="X14624" t="s">
        <v>42</v>
      </c>
      <c r="Y14624" t="s">
        <v>17171</v>
      </c>
      <c r="Z14624" t="s">
        <v>13441</v>
      </c>
      <c r="AA14624" s="22" t="str">
        <f>HYPERLINK("https://www.ncbi.nlm.nih.gov/nuccore/JX156425","NCBI Nucleotide")</f>
        <v>NCBI Nucleotide</v>
      </c>
    </row>
    <row r="14625" spans="1:27" x14ac:dyDescent="0.35">
      <c r="A14625">
        <v>1002876</v>
      </c>
      <c r="B14625">
        <v>13192</v>
      </c>
      <c r="C14625">
        <v>1</v>
      </c>
      <c r="D14625" t="s">
        <v>17166</v>
      </c>
      <c r="F14625" t="s">
        <v>17246</v>
      </c>
      <c r="H14625" t="s">
        <v>28921</v>
      </c>
      <c r="J14625" t="s">
        <v>33313</v>
      </c>
      <c r="L14625" t="s">
        <v>33314</v>
      </c>
      <c r="N14625" t="s">
        <v>33315</v>
      </c>
      <c r="P14625" t="s">
        <v>33436</v>
      </c>
      <c r="R14625" s="26" t="str">
        <f>HYPERLINK("https://ictv.global/taxonomy/taxondetails?taxnode_id=202304560","Poacevirus sacchari")</f>
        <v>Poacevirus sacchari</v>
      </c>
      <c r="S14625" t="s">
        <v>30</v>
      </c>
      <c r="T14625" t="s">
        <v>33441</v>
      </c>
      <c r="U14625" t="s">
        <v>33442</v>
      </c>
      <c r="V14625" t="s">
        <v>33443</v>
      </c>
      <c r="W14625" t="s">
        <v>33444</v>
      </c>
      <c r="X14625" t="s">
        <v>42</v>
      </c>
      <c r="Y14625" t="s">
        <v>17171</v>
      </c>
      <c r="Z14625" t="s">
        <v>13441</v>
      </c>
      <c r="AA14625" s="22" t="str">
        <f>HYPERLINK("https://www.ncbi.nlm.nih.gov/nuccore/GQ388116","NCBI Nucleotide")</f>
        <v>NCBI Nucleotide</v>
      </c>
    </row>
    <row r="14626" spans="1:27" x14ac:dyDescent="0.35">
      <c r="A14626">
        <v>1002877</v>
      </c>
      <c r="B14626">
        <v>13193</v>
      </c>
      <c r="C14626">
        <v>1</v>
      </c>
      <c r="D14626" t="s">
        <v>17166</v>
      </c>
      <c r="F14626" t="s">
        <v>17246</v>
      </c>
      <c r="H14626" t="s">
        <v>28921</v>
      </c>
      <c r="J14626" t="s">
        <v>33313</v>
      </c>
      <c r="L14626" t="s">
        <v>33314</v>
      </c>
      <c r="N14626" t="s">
        <v>33315</v>
      </c>
      <c r="P14626" t="s">
        <v>33436</v>
      </c>
      <c r="R14626" s="26" t="str">
        <f>HYPERLINK("https://ictv.global/taxonomy/taxondetails?taxnode_id=202304561","Poacevirus tritici")</f>
        <v>Poacevirus tritici</v>
      </c>
      <c r="S14626" t="s">
        <v>30</v>
      </c>
      <c r="T14626" t="s">
        <v>33445</v>
      </c>
      <c r="U14626" t="s">
        <v>33446</v>
      </c>
      <c r="V14626" t="s">
        <v>33447</v>
      </c>
      <c r="W14626" t="s">
        <v>33448</v>
      </c>
      <c r="X14626" t="s">
        <v>42</v>
      </c>
      <c r="Y14626" t="s">
        <v>17171</v>
      </c>
      <c r="Z14626" t="s">
        <v>13441</v>
      </c>
      <c r="AA14626" s="22" t="str">
        <f>HYPERLINK("https://www.ncbi.nlm.nih.gov/nuccore/FJ263671","NCBI Nucleotide")</f>
        <v>NCBI Nucleotide</v>
      </c>
    </row>
    <row r="14627" spans="1:27" x14ac:dyDescent="0.35">
      <c r="A14627">
        <v>1003376</v>
      </c>
      <c r="B14627">
        <v>13194</v>
      </c>
      <c r="C14627">
        <v>1</v>
      </c>
      <c r="D14627" t="s">
        <v>17166</v>
      </c>
      <c r="F14627" t="s">
        <v>17246</v>
      </c>
      <c r="H14627" t="s">
        <v>28921</v>
      </c>
      <c r="J14627" t="s">
        <v>33313</v>
      </c>
      <c r="L14627" t="s">
        <v>33314</v>
      </c>
      <c r="N14627" t="s">
        <v>33315</v>
      </c>
      <c r="P14627" t="s">
        <v>33449</v>
      </c>
      <c r="R14627" s="26" t="str">
        <f>HYPERLINK("https://ictv.global/taxonomy/taxondetails?taxnode_id=202313835","Potyvirus achyranthis")</f>
        <v>Potyvirus achyranthis</v>
      </c>
      <c r="S14627" t="s">
        <v>30</v>
      </c>
      <c r="T14627" t="s">
        <v>33936</v>
      </c>
      <c r="U14627" t="s">
        <v>19309</v>
      </c>
      <c r="V14627" t="s">
        <v>19294</v>
      </c>
      <c r="W14627" t="s">
        <v>33937</v>
      </c>
      <c r="X14627" t="s">
        <v>42</v>
      </c>
      <c r="Y14627" t="s">
        <v>17171</v>
      </c>
      <c r="Z14627" t="s">
        <v>13441</v>
      </c>
      <c r="AA14627" s="22" t="str">
        <f>HYPERLINK("https://www.ncbi.nlm.nih.gov/nuccore/MT513101","NCBI Nucleotide")</f>
        <v>NCBI Nucleotide</v>
      </c>
    </row>
    <row r="14628" spans="1:27" x14ac:dyDescent="0.35">
      <c r="A14628">
        <v>1002933</v>
      </c>
      <c r="B14628">
        <v>13195</v>
      </c>
      <c r="C14628">
        <v>1</v>
      </c>
      <c r="D14628" t="s">
        <v>17166</v>
      </c>
      <c r="F14628" t="s">
        <v>17246</v>
      </c>
      <c r="H14628" t="s">
        <v>28921</v>
      </c>
      <c r="J14628" t="s">
        <v>33313</v>
      </c>
      <c r="L14628" t="s">
        <v>33314</v>
      </c>
      <c r="N14628" t="s">
        <v>33315</v>
      </c>
      <c r="P14628" t="s">
        <v>33449</v>
      </c>
      <c r="R14628" s="26" t="str">
        <f>HYPERLINK("https://ictv.global/taxonomy/taxondetails?taxnode_id=202304609","Potyvirus adiuris")</f>
        <v>Potyvirus adiuris</v>
      </c>
      <c r="S14628" t="s">
        <v>30</v>
      </c>
      <c r="T14628" t="s">
        <v>33658</v>
      </c>
      <c r="U14628" t="s">
        <v>33659</v>
      </c>
      <c r="V14628" t="s">
        <v>33660</v>
      </c>
      <c r="W14628" t="s">
        <v>33661</v>
      </c>
      <c r="X14628" t="s">
        <v>35</v>
      </c>
      <c r="Y14628" t="s">
        <v>17171</v>
      </c>
      <c r="Z14628" t="s">
        <v>13441</v>
      </c>
      <c r="AA14628" s="22" t="str">
        <f>HYPERLINK("https://www.ncbi.nlm.nih.gov/nuccore/JX156422","NCBI Nucleotide")</f>
        <v>NCBI Nucleotide</v>
      </c>
    </row>
    <row r="14629" spans="1:27" x14ac:dyDescent="0.35">
      <c r="A14629">
        <v>1002879</v>
      </c>
      <c r="B14629">
        <v>13196</v>
      </c>
      <c r="C14629">
        <v>1</v>
      </c>
      <c r="D14629" t="s">
        <v>17166</v>
      </c>
      <c r="F14629" t="s">
        <v>17246</v>
      </c>
      <c r="H14629" t="s">
        <v>28921</v>
      </c>
      <c r="J14629" t="s">
        <v>33313</v>
      </c>
      <c r="L14629" t="s">
        <v>33314</v>
      </c>
      <c r="N14629" t="s">
        <v>33315</v>
      </c>
      <c r="P14629" t="s">
        <v>33449</v>
      </c>
      <c r="R14629" s="26" t="str">
        <f>HYPERLINK("https://ictv.global/taxonomy/taxondetails?taxnode_id=202304563","Potyvirus algeriaense")</f>
        <v>Potyvirus algeriaense</v>
      </c>
      <c r="S14629" t="s">
        <v>30</v>
      </c>
      <c r="T14629" t="s">
        <v>33454</v>
      </c>
      <c r="U14629" t="s">
        <v>33455</v>
      </c>
      <c r="V14629" t="s">
        <v>33456</v>
      </c>
      <c r="W14629" t="s">
        <v>33457</v>
      </c>
      <c r="X14629" t="s">
        <v>42</v>
      </c>
      <c r="Y14629" t="s">
        <v>17171</v>
      </c>
      <c r="Z14629" t="s">
        <v>13441</v>
      </c>
      <c r="AA14629" s="22" t="str">
        <f>HYPERLINK("https://www.ncbi.nlm.nih.gov/nuccore/EU410442","NCBI Nucleotide")</f>
        <v>NCBI Nucleotide</v>
      </c>
    </row>
    <row r="14630" spans="1:27" x14ac:dyDescent="0.35">
      <c r="A14630">
        <v>1003433</v>
      </c>
      <c r="B14630">
        <v>13197</v>
      </c>
      <c r="C14630">
        <v>1</v>
      </c>
      <c r="D14630" t="s">
        <v>17166</v>
      </c>
      <c r="F14630" t="s">
        <v>17246</v>
      </c>
      <c r="H14630" t="s">
        <v>28921</v>
      </c>
      <c r="J14630" t="s">
        <v>33313</v>
      </c>
      <c r="L14630" t="s">
        <v>33314</v>
      </c>
      <c r="N14630" t="s">
        <v>33315</v>
      </c>
      <c r="P14630" t="s">
        <v>33449</v>
      </c>
      <c r="R14630" s="26" t="str">
        <f>HYPERLINK("https://ictv.global/taxonomy/taxondetails?taxnode_id=202305925","Potyvirus alliumagrestis")</f>
        <v>Potyvirus alliumagrestis</v>
      </c>
      <c r="S14630" t="s">
        <v>30</v>
      </c>
      <c r="T14630" t="s">
        <v>34136</v>
      </c>
      <c r="U14630" t="s">
        <v>34137</v>
      </c>
      <c r="V14630" t="s">
        <v>34138</v>
      </c>
      <c r="W14630" t="s">
        <v>34139</v>
      </c>
      <c r="X14630" t="s">
        <v>35</v>
      </c>
      <c r="Y14630" t="s">
        <v>17171</v>
      </c>
      <c r="Z14630" t="s">
        <v>13441</v>
      </c>
      <c r="AA14630" s="22" t="str">
        <f>HYPERLINK("https://www.ncbi.nlm.nih.gov/nuccore/LC159494","NCBI Nucleotide")</f>
        <v>NCBI Nucleotide</v>
      </c>
    </row>
    <row r="14631" spans="1:27" x14ac:dyDescent="0.35">
      <c r="A14631">
        <v>1002881</v>
      </c>
      <c r="B14631">
        <v>13198</v>
      </c>
      <c r="C14631">
        <v>1</v>
      </c>
      <c r="D14631" t="s">
        <v>17166</v>
      </c>
      <c r="F14631" t="s">
        <v>17246</v>
      </c>
      <c r="H14631" t="s">
        <v>28921</v>
      </c>
      <c r="J14631" t="s">
        <v>33313</v>
      </c>
      <c r="L14631" t="s">
        <v>33314</v>
      </c>
      <c r="N14631" t="s">
        <v>33315</v>
      </c>
      <c r="P14631" t="s">
        <v>33449</v>
      </c>
      <c r="R14631" s="26" t="str">
        <f>HYPERLINK("https://ictv.global/taxonomy/taxondetails?taxnode_id=202304565","Potyvirus almeidi")</f>
        <v>Potyvirus almeidi</v>
      </c>
      <c r="S14631" t="s">
        <v>30</v>
      </c>
      <c r="T14631" t="s">
        <v>33462</v>
      </c>
      <c r="U14631" t="s">
        <v>33463</v>
      </c>
      <c r="V14631" t="s">
        <v>19460</v>
      </c>
      <c r="W14631" t="s">
        <v>33464</v>
      </c>
      <c r="X14631" t="s">
        <v>154</v>
      </c>
      <c r="Y14631" t="s">
        <v>17171</v>
      </c>
      <c r="Z14631" t="s">
        <v>13441</v>
      </c>
      <c r="AA14631" s="22" t="str">
        <f>HYPERLINK("https://www.ncbi.nlm.nih.gov/nuccore/EF442668","NCBI Nucleotide")</f>
        <v>NCBI Nucleotide</v>
      </c>
    </row>
    <row r="14632" spans="1:27" x14ac:dyDescent="0.35">
      <c r="A14632">
        <v>1002880</v>
      </c>
      <c r="B14632">
        <v>13199</v>
      </c>
      <c r="C14632">
        <v>1</v>
      </c>
      <c r="D14632" t="s">
        <v>17166</v>
      </c>
      <c r="F14632" t="s">
        <v>17246</v>
      </c>
      <c r="H14632" t="s">
        <v>28921</v>
      </c>
      <c r="J14632" t="s">
        <v>33313</v>
      </c>
      <c r="L14632" t="s">
        <v>33314</v>
      </c>
      <c r="N14632" t="s">
        <v>33315</v>
      </c>
      <c r="P14632" t="s">
        <v>33449</v>
      </c>
      <c r="R14632" s="26" t="str">
        <f>HYPERLINK("https://ictv.global/taxonomy/taxondetails?taxnode_id=202304564","Potyvirus alstromeriae")</f>
        <v>Potyvirus alstromeriae</v>
      </c>
      <c r="S14632" t="s">
        <v>30</v>
      </c>
      <c r="T14632" t="s">
        <v>33458</v>
      </c>
      <c r="U14632" t="s">
        <v>33459</v>
      </c>
      <c r="V14632" t="s">
        <v>33460</v>
      </c>
      <c r="W14632" t="s">
        <v>33461</v>
      </c>
      <c r="X14632" t="s">
        <v>154</v>
      </c>
      <c r="Y14632" t="s">
        <v>17171</v>
      </c>
      <c r="Z14632" t="s">
        <v>13441</v>
      </c>
      <c r="AA14632" s="22" t="str">
        <f>HYPERLINK("https://www.ncbi.nlm.nih.gov/nuccore/AB158522","NCBI Nucleotide")</f>
        <v>NCBI Nucleotide</v>
      </c>
    </row>
    <row r="14633" spans="1:27" x14ac:dyDescent="0.35">
      <c r="A14633">
        <v>1002882</v>
      </c>
      <c r="B14633">
        <v>13200</v>
      </c>
      <c r="C14633">
        <v>1</v>
      </c>
      <c r="D14633" t="s">
        <v>17166</v>
      </c>
      <c r="F14633" t="s">
        <v>17246</v>
      </c>
      <c r="H14633" t="s">
        <v>28921</v>
      </c>
      <c r="J14633" t="s">
        <v>33313</v>
      </c>
      <c r="L14633" t="s">
        <v>33314</v>
      </c>
      <c r="N14633" t="s">
        <v>33315</v>
      </c>
      <c r="P14633" t="s">
        <v>33449</v>
      </c>
      <c r="R14633" s="26" t="str">
        <f>HYPERLINK("https://ictv.global/taxonomy/taxondetails?taxnode_id=202304566","Potyvirus amaranthi")</f>
        <v>Potyvirus amaranthi</v>
      </c>
      <c r="S14633" t="s">
        <v>30</v>
      </c>
      <c r="T14633" t="s">
        <v>33465</v>
      </c>
      <c r="U14633" t="s">
        <v>33466</v>
      </c>
      <c r="V14633" t="s">
        <v>33467</v>
      </c>
      <c r="W14633" t="s">
        <v>33468</v>
      </c>
      <c r="X14633" t="s">
        <v>154</v>
      </c>
      <c r="Y14633" t="s">
        <v>17171</v>
      </c>
      <c r="Z14633" t="s">
        <v>13441</v>
      </c>
      <c r="AA14633" s="22" t="str">
        <f>HYPERLINK("https://www.ncbi.nlm.nih.gov/nuccore/AJ580095","NCBI Nucleotide")</f>
        <v>NCBI Nucleotide</v>
      </c>
    </row>
    <row r="14634" spans="1:27" x14ac:dyDescent="0.35">
      <c r="A14634">
        <v>1002958</v>
      </c>
      <c r="B14634">
        <v>13201</v>
      </c>
      <c r="C14634">
        <v>1</v>
      </c>
      <c r="D14634" t="s">
        <v>17166</v>
      </c>
      <c r="F14634" t="s">
        <v>17246</v>
      </c>
      <c r="H14634" t="s">
        <v>28921</v>
      </c>
      <c r="J14634" t="s">
        <v>33313</v>
      </c>
      <c r="L14634" t="s">
        <v>33314</v>
      </c>
      <c r="N14634" t="s">
        <v>33315</v>
      </c>
      <c r="P14634" t="s">
        <v>33449</v>
      </c>
      <c r="R14634" s="26" t="str">
        <f>HYPERLINK("https://ictv.global/taxonomy/taxondetails?taxnode_id=202304631","Potyvirus ampeloprasi")</f>
        <v>Potyvirus ampeloprasi</v>
      </c>
      <c r="S14634" t="s">
        <v>30</v>
      </c>
      <c r="T14634" t="s">
        <v>33751</v>
      </c>
      <c r="U14634" t="s">
        <v>33752</v>
      </c>
      <c r="V14634" t="s">
        <v>33753</v>
      </c>
      <c r="W14634" t="s">
        <v>33754</v>
      </c>
      <c r="X14634" t="s">
        <v>35</v>
      </c>
      <c r="Y14634" t="s">
        <v>17171</v>
      </c>
      <c r="Z14634" t="s">
        <v>13441</v>
      </c>
      <c r="AA14634" s="22" t="str">
        <f>HYPERLINK("https://www.ncbi.nlm.nih.gov/nuccore/AJ307057","NCBI Nucleotide")</f>
        <v>NCBI Nucleotide</v>
      </c>
    </row>
    <row r="14635" spans="1:27" x14ac:dyDescent="0.35">
      <c r="A14635">
        <v>1003377</v>
      </c>
      <c r="B14635">
        <v>13202</v>
      </c>
      <c r="C14635">
        <v>1</v>
      </c>
      <c r="D14635" t="s">
        <v>17166</v>
      </c>
      <c r="F14635" t="s">
        <v>17246</v>
      </c>
      <c r="H14635" t="s">
        <v>28921</v>
      </c>
      <c r="J14635" t="s">
        <v>33313</v>
      </c>
      <c r="L14635" t="s">
        <v>33314</v>
      </c>
      <c r="N14635" t="s">
        <v>33315</v>
      </c>
      <c r="P14635" t="s">
        <v>33449</v>
      </c>
      <c r="R14635" s="26" t="str">
        <f>HYPERLINK("https://ictv.global/taxonomy/taxondetails?taxnode_id=202315109","Potyvirus anemones")</f>
        <v>Potyvirus anemones</v>
      </c>
      <c r="S14635" t="s">
        <v>30</v>
      </c>
      <c r="T14635" t="s">
        <v>33938</v>
      </c>
      <c r="U14635" t="s">
        <v>26572</v>
      </c>
      <c r="V14635" t="s">
        <v>33939</v>
      </c>
      <c r="W14635" t="s">
        <v>33940</v>
      </c>
      <c r="X14635" t="s">
        <v>42</v>
      </c>
      <c r="Y14635" t="s">
        <v>17171</v>
      </c>
      <c r="Z14635" t="s">
        <v>13441</v>
      </c>
      <c r="AA14635" s="22" t="str">
        <f>HYPERLINK("https://www.ncbi.nlm.nih.gov/nuccore/LC604019","NCBI Nucleotide")</f>
        <v>NCBI Nucleotide</v>
      </c>
    </row>
    <row r="14636" spans="1:27" x14ac:dyDescent="0.35">
      <c r="A14636">
        <v>1002884</v>
      </c>
      <c r="B14636">
        <v>13203</v>
      </c>
      <c r="C14636">
        <v>1</v>
      </c>
      <c r="D14636" t="s">
        <v>17166</v>
      </c>
      <c r="F14636" t="s">
        <v>17246</v>
      </c>
      <c r="H14636" t="s">
        <v>28921</v>
      </c>
      <c r="J14636" t="s">
        <v>33313</v>
      </c>
      <c r="L14636" t="s">
        <v>33314</v>
      </c>
      <c r="N14636" t="s">
        <v>33315</v>
      </c>
      <c r="P14636" t="s">
        <v>33449</v>
      </c>
      <c r="R14636" s="26" t="str">
        <f>HYPERLINK("https://ictv.global/taxonomy/taxondetails?taxnode_id=202304568","Potyvirus angelicae")</f>
        <v>Potyvirus angelicae</v>
      </c>
      <c r="S14636" t="s">
        <v>30</v>
      </c>
      <c r="T14636" t="s">
        <v>33473</v>
      </c>
      <c r="U14636" t="s">
        <v>33474</v>
      </c>
      <c r="V14636" t="s">
        <v>33475</v>
      </c>
      <c r="W14636" t="s">
        <v>33476</v>
      </c>
      <c r="X14636" t="s">
        <v>154</v>
      </c>
      <c r="Y14636" t="s">
        <v>17171</v>
      </c>
      <c r="Z14636" t="s">
        <v>13441</v>
      </c>
      <c r="AA14636" s="22" t="str">
        <f>HYPERLINK("https://www.ncbi.nlm.nih.gov/nuccore/EF488741","NCBI Nucleotide")</f>
        <v>NCBI Nucleotide</v>
      </c>
    </row>
    <row r="14637" spans="1:27" x14ac:dyDescent="0.35">
      <c r="A14637">
        <v>1002885</v>
      </c>
      <c r="B14637">
        <v>13204</v>
      </c>
      <c r="C14637">
        <v>1</v>
      </c>
      <c r="D14637" t="s">
        <v>17166</v>
      </c>
      <c r="F14637" t="s">
        <v>17246</v>
      </c>
      <c r="H14637" t="s">
        <v>28921</v>
      </c>
      <c r="J14637" t="s">
        <v>33313</v>
      </c>
      <c r="L14637" t="s">
        <v>33314</v>
      </c>
      <c r="N14637" t="s">
        <v>33315</v>
      </c>
      <c r="P14637" t="s">
        <v>33449</v>
      </c>
      <c r="R14637" s="26" t="str">
        <f>HYPERLINK("https://ictv.global/taxonomy/taxondetails?taxnode_id=202304569","Potyvirus apii")</f>
        <v>Potyvirus apii</v>
      </c>
      <c r="S14637" t="s">
        <v>30</v>
      </c>
      <c r="T14637" t="s">
        <v>33477</v>
      </c>
      <c r="U14637" t="s">
        <v>33478</v>
      </c>
      <c r="V14637" t="s">
        <v>33479</v>
      </c>
      <c r="W14637" t="s">
        <v>33480</v>
      </c>
      <c r="X14637" t="s">
        <v>42</v>
      </c>
      <c r="Y14637" t="s">
        <v>17171</v>
      </c>
      <c r="Z14637" t="s">
        <v>13441</v>
      </c>
      <c r="AA14637" s="22" t="str">
        <f>HYPERLINK("https://www.ncbi.nlm.nih.gov/nuccore/HM363516","NCBI Nucleotide")</f>
        <v>NCBI Nucleotide</v>
      </c>
    </row>
    <row r="14638" spans="1:27" x14ac:dyDescent="0.35">
      <c r="A14638">
        <v>1002911</v>
      </c>
      <c r="B14638">
        <v>13205</v>
      </c>
      <c r="C14638">
        <v>1</v>
      </c>
      <c r="D14638" t="s">
        <v>17166</v>
      </c>
      <c r="F14638" t="s">
        <v>17246</v>
      </c>
      <c r="H14638" t="s">
        <v>28921</v>
      </c>
      <c r="J14638" t="s">
        <v>33313</v>
      </c>
      <c r="L14638" t="s">
        <v>33314</v>
      </c>
      <c r="N14638" t="s">
        <v>33315</v>
      </c>
      <c r="P14638" t="s">
        <v>33449</v>
      </c>
      <c r="R14638" s="26" t="str">
        <f>HYPERLINK("https://ictv.global/taxonomy/taxondetails?taxnode_id=202304592","Potyvirus apiumtessellati")</f>
        <v>Potyvirus apiumtessellati</v>
      </c>
      <c r="S14638" t="s">
        <v>30</v>
      </c>
      <c r="T14638" t="s">
        <v>33584</v>
      </c>
      <c r="U14638" t="s">
        <v>21310</v>
      </c>
      <c r="V14638" t="s">
        <v>18388</v>
      </c>
      <c r="W14638" t="s">
        <v>33585</v>
      </c>
      <c r="X14638" t="s">
        <v>42</v>
      </c>
      <c r="Y14638" t="s">
        <v>17171</v>
      </c>
      <c r="Z14638" t="s">
        <v>13441</v>
      </c>
      <c r="AA14638" s="22" t="str">
        <f>HYPERLINK("https://www.ncbi.nlm.nih.gov/nuccore/HQ676607","NCBI Nucleotide")</f>
        <v>NCBI Nucleotide</v>
      </c>
    </row>
    <row r="14639" spans="1:27" x14ac:dyDescent="0.35">
      <c r="A14639">
        <v>1002991</v>
      </c>
      <c r="B14639">
        <v>13206</v>
      </c>
      <c r="C14639">
        <v>1</v>
      </c>
      <c r="D14639" t="s">
        <v>17166</v>
      </c>
      <c r="F14639" t="s">
        <v>17246</v>
      </c>
      <c r="H14639" t="s">
        <v>28921</v>
      </c>
      <c r="J14639" t="s">
        <v>33313</v>
      </c>
      <c r="L14639" t="s">
        <v>33314</v>
      </c>
      <c r="N14639" t="s">
        <v>33315</v>
      </c>
      <c r="P14639" t="s">
        <v>33449</v>
      </c>
      <c r="R14639" s="26" t="str">
        <f>HYPERLINK("https://ictv.global/taxonomy/taxondetails?taxnode_id=202304657","Potyvirus arachidis")</f>
        <v>Potyvirus arachidis</v>
      </c>
      <c r="S14639" t="s">
        <v>30</v>
      </c>
      <c r="T14639" t="s">
        <v>33865</v>
      </c>
      <c r="U14639" t="s">
        <v>33866</v>
      </c>
      <c r="V14639" t="s">
        <v>29007</v>
      </c>
      <c r="W14639" t="s">
        <v>33867</v>
      </c>
      <c r="X14639" t="s">
        <v>42</v>
      </c>
      <c r="Y14639" t="s">
        <v>17171</v>
      </c>
      <c r="Z14639" t="s">
        <v>13441</v>
      </c>
      <c r="AA14639" s="22" t="str">
        <f>HYPERLINK("https://www.ncbi.nlm.nih.gov/nuccore/AF023848","NCBI Nucleotide")</f>
        <v>NCBI Nucleotide</v>
      </c>
    </row>
    <row r="14640" spans="1:27" x14ac:dyDescent="0.35">
      <c r="A14640">
        <v>1002886</v>
      </c>
      <c r="B14640">
        <v>13207</v>
      </c>
      <c r="C14640">
        <v>1</v>
      </c>
      <c r="D14640" t="s">
        <v>17166</v>
      </c>
      <c r="F14640" t="s">
        <v>17246</v>
      </c>
      <c r="H14640" t="s">
        <v>28921</v>
      </c>
      <c r="J14640" t="s">
        <v>33313</v>
      </c>
      <c r="L14640" t="s">
        <v>33314</v>
      </c>
      <c r="N14640" t="s">
        <v>33315</v>
      </c>
      <c r="P14640" t="s">
        <v>33449</v>
      </c>
      <c r="R14640" s="26" t="str">
        <f>HYPERLINK("https://ictv.global/taxonomy/taxondetails?taxnode_id=202304570","Potyvirus araujiae")</f>
        <v>Potyvirus araujiae</v>
      </c>
      <c r="S14640" t="s">
        <v>30</v>
      </c>
      <c r="T14640" t="s">
        <v>33481</v>
      </c>
      <c r="U14640" t="s">
        <v>33482</v>
      </c>
      <c r="V14640" t="s">
        <v>33483</v>
      </c>
      <c r="W14640" t="s">
        <v>33484</v>
      </c>
      <c r="X14640" t="s">
        <v>154</v>
      </c>
      <c r="Y14640" t="s">
        <v>17171</v>
      </c>
      <c r="Z14640" t="s">
        <v>13441</v>
      </c>
      <c r="AA14640" s="22" t="str">
        <f>HYPERLINK("https://www.ncbi.nlm.nih.gov/nuccore/EF710625","NCBI Nucleotide")</f>
        <v>NCBI Nucleotide</v>
      </c>
    </row>
    <row r="14641" spans="1:27" x14ac:dyDescent="0.35">
      <c r="A14641">
        <v>1002887</v>
      </c>
      <c r="B14641">
        <v>13208</v>
      </c>
      <c r="C14641">
        <v>1</v>
      </c>
      <c r="D14641" t="s">
        <v>17166</v>
      </c>
      <c r="F14641" t="s">
        <v>17246</v>
      </c>
      <c r="H14641" t="s">
        <v>28921</v>
      </c>
      <c r="J14641" t="s">
        <v>33313</v>
      </c>
      <c r="L14641" t="s">
        <v>33314</v>
      </c>
      <c r="N14641" t="s">
        <v>33315</v>
      </c>
      <c r="P14641" t="s">
        <v>33449</v>
      </c>
      <c r="R14641" s="26" t="str">
        <f>HYPERLINK("https://ictv.global/taxonomy/taxondetails?taxnode_id=202304571","Potyvirus arracachae")</f>
        <v>Potyvirus arracachae</v>
      </c>
      <c r="S14641" t="s">
        <v>30</v>
      </c>
      <c r="T14641" t="s">
        <v>33485</v>
      </c>
      <c r="U14641" t="s">
        <v>33486</v>
      </c>
      <c r="V14641" t="s">
        <v>33487</v>
      </c>
      <c r="W14641" t="s">
        <v>33488</v>
      </c>
      <c r="X14641" t="s">
        <v>42</v>
      </c>
      <c r="Y14641" t="s">
        <v>17171</v>
      </c>
      <c r="Z14641" t="s">
        <v>13441</v>
      </c>
      <c r="AA14641" s="22" t="str">
        <f>HYPERLINK("https://www.ncbi.nlm.nih.gov/nuccore/DQ925486","NCBI Nucleotide")</f>
        <v>NCBI Nucleotide</v>
      </c>
    </row>
    <row r="14642" spans="1:27" x14ac:dyDescent="0.35">
      <c r="A14642">
        <v>1002915</v>
      </c>
      <c r="B14642">
        <v>13209</v>
      </c>
      <c r="C14642">
        <v>1</v>
      </c>
      <c r="D14642" t="s">
        <v>17166</v>
      </c>
      <c r="F14642" t="s">
        <v>17246</v>
      </c>
      <c r="H14642" t="s">
        <v>28921</v>
      </c>
      <c r="J14642" t="s">
        <v>33313</v>
      </c>
      <c r="L14642" t="s">
        <v>33314</v>
      </c>
      <c r="N14642" t="s">
        <v>33315</v>
      </c>
      <c r="P14642" t="s">
        <v>33449</v>
      </c>
      <c r="R14642" s="26" t="str">
        <f>HYPERLINK("https://ictv.global/taxonomy/taxondetails?taxnode_id=202304596","Potyvirus artichokis")</f>
        <v>Potyvirus artichokis</v>
      </c>
      <c r="S14642" t="s">
        <v>30</v>
      </c>
      <c r="T14642" t="s">
        <v>33595</v>
      </c>
      <c r="U14642" t="s">
        <v>33596</v>
      </c>
      <c r="V14642" t="s">
        <v>33471</v>
      </c>
      <c r="W14642" t="s">
        <v>33597</v>
      </c>
      <c r="X14642" t="s">
        <v>154</v>
      </c>
      <c r="Y14642" t="s">
        <v>17171</v>
      </c>
      <c r="Z14642" t="s">
        <v>13441</v>
      </c>
      <c r="AA14642" s="22" t="str">
        <f>HYPERLINK("https://www.ncbi.nlm.nih.gov/nuccore/AB099711","NCBI Nucleotide")</f>
        <v>NCBI Nucleotide</v>
      </c>
    </row>
    <row r="14643" spans="1:27" x14ac:dyDescent="0.35">
      <c r="A14643">
        <v>1003394</v>
      </c>
      <c r="B14643">
        <v>13210</v>
      </c>
      <c r="C14643">
        <v>1</v>
      </c>
      <c r="D14643" t="s">
        <v>17166</v>
      </c>
      <c r="F14643" t="s">
        <v>17246</v>
      </c>
      <c r="H14643" t="s">
        <v>28921</v>
      </c>
      <c r="J14643" t="s">
        <v>33313</v>
      </c>
      <c r="L14643" t="s">
        <v>33314</v>
      </c>
      <c r="N14643" t="s">
        <v>33315</v>
      </c>
      <c r="P14643" t="s">
        <v>33449</v>
      </c>
      <c r="R14643" s="26" t="str">
        <f>HYPERLINK("https://ictv.global/taxonomy/taxondetails?taxnode_id=202304677","Potyvirus ascaloniae")</f>
        <v>Potyvirus ascaloniae</v>
      </c>
      <c r="S14643" t="s">
        <v>30</v>
      </c>
      <c r="T14643" t="s">
        <v>34000</v>
      </c>
      <c r="U14643" t="s">
        <v>13930</v>
      </c>
      <c r="V14643" t="s">
        <v>34001</v>
      </c>
      <c r="W14643" t="s">
        <v>34002</v>
      </c>
      <c r="X14643" t="s">
        <v>42</v>
      </c>
      <c r="Y14643" t="s">
        <v>17171</v>
      </c>
      <c r="Z14643" t="s">
        <v>13441</v>
      </c>
      <c r="AA14643" s="22" t="str">
        <f>HYPERLINK("https://www.ncbi.nlm.nih.gov/nuccore/AJ865076","NCBI Nucleotide")</f>
        <v>NCBI Nucleotide</v>
      </c>
    </row>
    <row r="14644" spans="1:27" x14ac:dyDescent="0.35">
      <c r="A14644">
        <v>1003393</v>
      </c>
      <c r="B14644">
        <v>13211</v>
      </c>
      <c r="C14644">
        <v>1</v>
      </c>
      <c r="D14644" t="s">
        <v>17166</v>
      </c>
      <c r="F14644" t="s">
        <v>17246</v>
      </c>
      <c r="H14644" t="s">
        <v>28921</v>
      </c>
      <c r="J14644" t="s">
        <v>33313</v>
      </c>
      <c r="L14644" t="s">
        <v>33314</v>
      </c>
      <c r="N14644" t="s">
        <v>33315</v>
      </c>
      <c r="P14644" t="s">
        <v>33449</v>
      </c>
      <c r="R14644" s="26" t="str">
        <f>HYPERLINK("https://ictv.global/taxonomy/taxondetails?taxnode_id=202304676","Potyvirus ascaloniavirgae")</f>
        <v>Potyvirus ascaloniavirgae</v>
      </c>
      <c r="S14644" t="s">
        <v>30</v>
      </c>
      <c r="T14644" t="s">
        <v>33996</v>
      </c>
      <c r="U14644" t="s">
        <v>33997</v>
      </c>
      <c r="V14644" t="s">
        <v>33998</v>
      </c>
      <c r="W14644" t="s">
        <v>33999</v>
      </c>
      <c r="X14644" t="s">
        <v>42</v>
      </c>
      <c r="Y14644" t="s">
        <v>17171</v>
      </c>
      <c r="Z14644" t="s">
        <v>13441</v>
      </c>
      <c r="AA14644" s="22" t="str">
        <f>HYPERLINK("https://www.ncbi.nlm.nih.gov/nuccore/AJ316084","NCBI Nucleotide")</f>
        <v>NCBI Nucleotide</v>
      </c>
    </row>
    <row r="14645" spans="1:27" x14ac:dyDescent="0.35">
      <c r="A14645">
        <v>1003378</v>
      </c>
      <c r="B14645">
        <v>13212</v>
      </c>
      <c r="C14645">
        <v>1</v>
      </c>
      <c r="D14645" t="s">
        <v>17166</v>
      </c>
      <c r="F14645" t="s">
        <v>17246</v>
      </c>
      <c r="H14645" t="s">
        <v>28921</v>
      </c>
      <c r="J14645" t="s">
        <v>33313</v>
      </c>
      <c r="L14645" t="s">
        <v>33314</v>
      </c>
      <c r="N14645" t="s">
        <v>33315</v>
      </c>
      <c r="P14645" t="s">
        <v>33449</v>
      </c>
      <c r="R14645" s="26" t="str">
        <f>HYPERLINK("https://ictv.global/taxonomy/taxondetails?taxnode_id=202313836","Potyvirus ashitabae")</f>
        <v>Potyvirus ashitabae</v>
      </c>
      <c r="S14645" t="s">
        <v>30</v>
      </c>
      <c r="T14645" t="s">
        <v>33941</v>
      </c>
      <c r="U14645" t="s">
        <v>33942</v>
      </c>
      <c r="V14645" t="s">
        <v>33943</v>
      </c>
      <c r="W14645" t="s">
        <v>33944</v>
      </c>
      <c r="X14645" t="s">
        <v>42</v>
      </c>
      <c r="Y14645" t="s">
        <v>17171</v>
      </c>
      <c r="Z14645" t="s">
        <v>13441</v>
      </c>
      <c r="AA14645" s="22" t="str">
        <f>HYPERLINK("https://www.ncbi.nlm.nih.gov/nuccore/MN853672","NCBI Nucleotide")</f>
        <v>NCBI Nucleotide</v>
      </c>
    </row>
    <row r="14646" spans="1:27" x14ac:dyDescent="0.35">
      <c r="A14646">
        <v>1002888</v>
      </c>
      <c r="B14646">
        <v>13213</v>
      </c>
      <c r="C14646">
        <v>1</v>
      </c>
      <c r="D14646" t="s">
        <v>17166</v>
      </c>
      <c r="F14646" t="s">
        <v>17246</v>
      </c>
      <c r="H14646" t="s">
        <v>28921</v>
      </c>
      <c r="J14646" t="s">
        <v>33313</v>
      </c>
      <c r="L14646" t="s">
        <v>33314</v>
      </c>
      <c r="N14646" t="s">
        <v>33315</v>
      </c>
      <c r="P14646" t="s">
        <v>33449</v>
      </c>
      <c r="R14646" s="26" t="str">
        <f>HYPERLINK("https://ictv.global/taxonomy/taxondetails?taxnode_id=202304572","Potyvirus asparagi")</f>
        <v>Potyvirus asparagi</v>
      </c>
      <c r="S14646" t="s">
        <v>30</v>
      </c>
      <c r="T14646" t="s">
        <v>33489</v>
      </c>
      <c r="U14646" t="s">
        <v>33490</v>
      </c>
      <c r="V14646" t="s">
        <v>33491</v>
      </c>
      <c r="W14646" t="s">
        <v>33492</v>
      </c>
      <c r="X14646" t="s">
        <v>42</v>
      </c>
      <c r="Y14646" t="s">
        <v>17171</v>
      </c>
      <c r="Z14646" t="s">
        <v>13441</v>
      </c>
      <c r="AA14646" s="22" t="str">
        <f>HYPERLINK("https://www.ncbi.nlm.nih.gov/nuccore/KJ830760","NCBI Nucleotide")</f>
        <v>NCBI Nucleotide</v>
      </c>
    </row>
    <row r="14647" spans="1:27" x14ac:dyDescent="0.35">
      <c r="A14647">
        <v>1003372</v>
      </c>
      <c r="B14647">
        <v>13214</v>
      </c>
      <c r="C14647">
        <v>1</v>
      </c>
      <c r="D14647" t="s">
        <v>17166</v>
      </c>
      <c r="F14647" t="s">
        <v>17246</v>
      </c>
      <c r="H14647" t="s">
        <v>28921</v>
      </c>
      <c r="J14647" t="s">
        <v>33313</v>
      </c>
      <c r="L14647" t="s">
        <v>33314</v>
      </c>
      <c r="N14647" t="s">
        <v>33315</v>
      </c>
      <c r="P14647" t="s">
        <v>33449</v>
      </c>
      <c r="R14647" s="26" t="str">
        <f>HYPERLINK("https://ictv.global/taxonomy/taxondetails?taxnode_id=202304668","Potyvirus atuberosi")</f>
        <v>Potyvirus atuberosi</v>
      </c>
      <c r="S14647" t="s">
        <v>30</v>
      </c>
      <c r="T14647" t="s">
        <v>33917</v>
      </c>
      <c r="U14647" t="s">
        <v>33918</v>
      </c>
      <c r="V14647" t="s">
        <v>33919</v>
      </c>
      <c r="W14647" t="s">
        <v>33920</v>
      </c>
      <c r="X14647" t="s">
        <v>42</v>
      </c>
      <c r="Y14647" t="s">
        <v>17171</v>
      </c>
      <c r="Z14647" t="s">
        <v>13441</v>
      </c>
      <c r="AA14647" s="22" t="str">
        <f>HYPERLINK("https://www.ncbi.nlm.nih.gov/nuccore/AJ296311","NCBI Nucleotide")</f>
        <v>NCBI Nucleotide</v>
      </c>
    </row>
    <row r="14648" spans="1:27" x14ac:dyDescent="0.35">
      <c r="A14648">
        <v>1011940</v>
      </c>
      <c r="B14648">
        <v>13214</v>
      </c>
      <c r="C14648">
        <v>2</v>
      </c>
      <c r="D14648" t="s">
        <v>17166</v>
      </c>
      <c r="F14648" t="s">
        <v>17246</v>
      </c>
      <c r="H14648" t="s">
        <v>28921</v>
      </c>
      <c r="J14648" t="s">
        <v>33313</v>
      </c>
      <c r="L14648" t="s">
        <v>33314</v>
      </c>
      <c r="N14648" t="s">
        <v>33315</v>
      </c>
      <c r="P14648" t="s">
        <v>33449</v>
      </c>
      <c r="R14648" s="26" t="str">
        <f>HYPERLINK("https://ictv.global/taxonomy/taxondetails?taxnode_id=202304668","Potyvirus atuberosi")</f>
        <v>Potyvirus atuberosi</v>
      </c>
      <c r="S14648" t="s">
        <v>8141</v>
      </c>
      <c r="T14648" t="s">
        <v>33921</v>
      </c>
      <c r="U14648" t="s">
        <v>33922</v>
      </c>
      <c r="V14648" t="s">
        <v>33923</v>
      </c>
      <c r="W14648" t="s">
        <v>50122</v>
      </c>
      <c r="X14648" t="s">
        <v>42</v>
      </c>
      <c r="Y14648" t="s">
        <v>17171</v>
      </c>
      <c r="Z14648" t="s">
        <v>13441</v>
      </c>
      <c r="AA14648" s="22" t="str">
        <f>HYPERLINK("https://www.ncbi.nlm.nih.gov/nuccore/AJ131403","NCBI Nucleotide")</f>
        <v>NCBI Nucleotide</v>
      </c>
    </row>
    <row r="14649" spans="1:27" x14ac:dyDescent="0.35">
      <c r="A14649">
        <v>1002890</v>
      </c>
      <c r="B14649">
        <v>13215</v>
      </c>
      <c r="C14649">
        <v>1</v>
      </c>
      <c r="D14649" t="s">
        <v>17166</v>
      </c>
      <c r="F14649" t="s">
        <v>17246</v>
      </c>
      <c r="H14649" t="s">
        <v>28921</v>
      </c>
      <c r="J14649" t="s">
        <v>33313</v>
      </c>
      <c r="L14649" t="s">
        <v>33314</v>
      </c>
      <c r="N14649" t="s">
        <v>33315</v>
      </c>
      <c r="P14649" t="s">
        <v>33449</v>
      </c>
      <c r="R14649" s="26" t="str">
        <f>HYPERLINK("https://ictv.global/taxonomy/taxondetails?taxnode_id=202305918","Potyvirus barbacenense")</f>
        <v>Potyvirus barbacenense</v>
      </c>
      <c r="S14649" t="s">
        <v>30</v>
      </c>
      <c r="T14649" t="s">
        <v>33497</v>
      </c>
      <c r="U14649" t="s">
        <v>33498</v>
      </c>
      <c r="V14649" t="s">
        <v>33499</v>
      </c>
      <c r="W14649" t="s">
        <v>33500</v>
      </c>
      <c r="X14649" t="s">
        <v>42</v>
      </c>
      <c r="Y14649" t="s">
        <v>17171</v>
      </c>
      <c r="Z14649" t="s">
        <v>13441</v>
      </c>
      <c r="AA14649" s="22" t="str">
        <f>HYPERLINK("https://www.ncbi.nlm.nih.gov/nuccore/KU685505","NCBI Nucleotide")</f>
        <v>NCBI Nucleotide</v>
      </c>
    </row>
    <row r="14650" spans="1:27" x14ac:dyDescent="0.35">
      <c r="A14650">
        <v>1002891</v>
      </c>
      <c r="B14650">
        <v>13216</v>
      </c>
      <c r="C14650">
        <v>1</v>
      </c>
      <c r="D14650" t="s">
        <v>17166</v>
      </c>
      <c r="F14650" t="s">
        <v>17246</v>
      </c>
      <c r="H14650" t="s">
        <v>28921</v>
      </c>
      <c r="J14650" t="s">
        <v>33313</v>
      </c>
      <c r="L14650" t="s">
        <v>33314</v>
      </c>
      <c r="N14650" t="s">
        <v>33315</v>
      </c>
      <c r="P14650" t="s">
        <v>33449</v>
      </c>
      <c r="R14650" s="26" t="str">
        <f>HYPERLINK("https://ictv.global/taxonomy/taxondetails?taxnode_id=202304574","Potyvirus basellae")</f>
        <v>Potyvirus basellae</v>
      </c>
      <c r="S14650" t="s">
        <v>30</v>
      </c>
      <c r="T14650" t="s">
        <v>33501</v>
      </c>
      <c r="U14650" t="s">
        <v>33502</v>
      </c>
      <c r="V14650" t="s">
        <v>33503</v>
      </c>
      <c r="W14650" t="s">
        <v>33504</v>
      </c>
      <c r="X14650" t="s">
        <v>42</v>
      </c>
      <c r="Y14650" t="s">
        <v>17171</v>
      </c>
      <c r="Z14650" t="s">
        <v>13441</v>
      </c>
      <c r="AA14650" s="22" t="str">
        <f>HYPERLINK("https://www.ncbi.nlm.nih.gov/nuccore/DQ821938","NCBI Nucleotide")</f>
        <v>NCBI Nucleotide</v>
      </c>
    </row>
    <row r="14651" spans="1:27" x14ac:dyDescent="0.35">
      <c r="A14651">
        <v>1011926</v>
      </c>
      <c r="B14651">
        <v>13216</v>
      </c>
      <c r="C14651">
        <v>2</v>
      </c>
      <c r="D14651" t="s">
        <v>17166</v>
      </c>
      <c r="F14651" t="s">
        <v>17246</v>
      </c>
      <c r="H14651" t="s">
        <v>28921</v>
      </c>
      <c r="J14651" t="s">
        <v>33313</v>
      </c>
      <c r="L14651" t="s">
        <v>33314</v>
      </c>
      <c r="N14651" t="s">
        <v>33315</v>
      </c>
      <c r="P14651" t="s">
        <v>33449</v>
      </c>
      <c r="R14651" s="26" t="str">
        <f>HYPERLINK("https://ictv.global/taxonomy/taxondetails?taxnode_id=202304574","Potyvirus basellae")</f>
        <v>Potyvirus basellae</v>
      </c>
      <c r="S14651" t="s">
        <v>8141</v>
      </c>
      <c r="T14651" t="s">
        <v>33505</v>
      </c>
      <c r="U14651" t="s">
        <v>33506</v>
      </c>
      <c r="V14651" t="s">
        <v>33507</v>
      </c>
      <c r="W14651" t="s">
        <v>50123</v>
      </c>
      <c r="X14651" t="s">
        <v>42</v>
      </c>
      <c r="Y14651" t="s">
        <v>17171</v>
      </c>
      <c r="Z14651" t="s">
        <v>13441</v>
      </c>
      <c r="AA14651" s="22" t="str">
        <f>HYPERLINK("https://www.ncbi.nlm.nih.gov/nuccore/DQ851494","NCBI Nucleotide")</f>
        <v>NCBI Nucleotide</v>
      </c>
    </row>
    <row r="14652" spans="1:27" x14ac:dyDescent="0.35">
      <c r="A14652">
        <v>1003405</v>
      </c>
      <c r="B14652">
        <v>13217</v>
      </c>
      <c r="C14652">
        <v>1</v>
      </c>
      <c r="D14652" t="s">
        <v>17166</v>
      </c>
      <c r="F14652" t="s">
        <v>17246</v>
      </c>
      <c r="H14652" t="s">
        <v>28921</v>
      </c>
      <c r="J14652" t="s">
        <v>33313</v>
      </c>
      <c r="L14652" t="s">
        <v>33314</v>
      </c>
      <c r="N14652" t="s">
        <v>33315</v>
      </c>
      <c r="P14652" t="s">
        <v>33449</v>
      </c>
      <c r="R14652" s="26" t="str">
        <f>HYPERLINK("https://ictv.global/taxonomy/taxondetails?taxnode_id=202304686","Potyvirus batatalatentis")</f>
        <v>Potyvirus batatalatentis</v>
      </c>
      <c r="S14652" t="s">
        <v>30</v>
      </c>
      <c r="T14652" t="s">
        <v>34038</v>
      </c>
      <c r="U14652" t="s">
        <v>34039</v>
      </c>
      <c r="V14652" t="s">
        <v>19343</v>
      </c>
      <c r="W14652" t="s">
        <v>34040</v>
      </c>
      <c r="X14652" t="s">
        <v>42</v>
      </c>
      <c r="Y14652" t="s">
        <v>17171</v>
      </c>
      <c r="Z14652" t="s">
        <v>13441</v>
      </c>
      <c r="AA14652" s="22" t="str">
        <f>HYPERLINK("https://www.ncbi.nlm.nih.gov/nuccore/KC443039","NCBI Nucleotide")</f>
        <v>NCBI Nucleotide</v>
      </c>
    </row>
    <row r="14653" spans="1:27" x14ac:dyDescent="0.35">
      <c r="A14653">
        <v>1003406</v>
      </c>
      <c r="B14653">
        <v>13218</v>
      </c>
      <c r="C14653">
        <v>1</v>
      </c>
      <c r="D14653" t="s">
        <v>17166</v>
      </c>
      <c r="F14653" t="s">
        <v>17246</v>
      </c>
      <c r="H14653" t="s">
        <v>28921</v>
      </c>
      <c r="J14653" t="s">
        <v>33313</v>
      </c>
      <c r="L14653" t="s">
        <v>33314</v>
      </c>
      <c r="N14653" t="s">
        <v>33315</v>
      </c>
      <c r="P14653" t="s">
        <v>33449</v>
      </c>
      <c r="R14653" s="26" t="str">
        <f>HYPERLINK("https://ictv.global/taxonomy/taxondetails?taxnode_id=202304687","Potyvirus batatamaculae")</f>
        <v>Potyvirus batatamaculae</v>
      </c>
      <c r="S14653" t="s">
        <v>30</v>
      </c>
      <c r="T14653" t="s">
        <v>34041</v>
      </c>
      <c r="U14653" t="s">
        <v>34042</v>
      </c>
      <c r="V14653" t="s">
        <v>34043</v>
      </c>
      <c r="W14653" t="s">
        <v>34044</v>
      </c>
      <c r="X14653" t="s">
        <v>154</v>
      </c>
      <c r="Y14653" t="s">
        <v>17171</v>
      </c>
      <c r="Z14653" t="s">
        <v>13441</v>
      </c>
      <c r="AA14653" s="22" t="str">
        <f>HYPERLINK("https://www.ncbi.nlm.nih.gov/nuccore/U61228","NCBI Nucleotide")</f>
        <v>NCBI Nucleotide</v>
      </c>
    </row>
    <row r="14654" spans="1:27" x14ac:dyDescent="0.35">
      <c r="A14654">
        <v>1003404</v>
      </c>
      <c r="B14654">
        <v>13219</v>
      </c>
      <c r="C14654">
        <v>1</v>
      </c>
      <c r="D14654" t="s">
        <v>17166</v>
      </c>
      <c r="F14654" t="s">
        <v>17246</v>
      </c>
      <c r="H14654" t="s">
        <v>28921</v>
      </c>
      <c r="J14654" t="s">
        <v>33313</v>
      </c>
      <c r="L14654" t="s">
        <v>33314</v>
      </c>
      <c r="N14654" t="s">
        <v>33315</v>
      </c>
      <c r="P14654" t="s">
        <v>33449</v>
      </c>
      <c r="R14654" s="26" t="str">
        <f>HYPERLINK("https://ictv.global/taxonomy/taxondetails?taxnode_id=202304685","Potyvirus batataplumei")</f>
        <v>Potyvirus batataplumei</v>
      </c>
      <c r="S14654" t="s">
        <v>30</v>
      </c>
      <c r="T14654" t="s">
        <v>34035</v>
      </c>
      <c r="U14654" t="s">
        <v>34036</v>
      </c>
      <c r="V14654" t="s">
        <v>18017</v>
      </c>
      <c r="W14654" t="s">
        <v>34037</v>
      </c>
      <c r="X14654" t="s">
        <v>42</v>
      </c>
      <c r="Y14654" t="s">
        <v>17171</v>
      </c>
      <c r="Z14654" t="s">
        <v>13441</v>
      </c>
      <c r="AA14654" s="22" t="str">
        <f>HYPERLINK("https://www.ncbi.nlm.nih.gov/nuccore/D86371","NCBI Nucleotide")</f>
        <v>NCBI Nucleotide</v>
      </c>
    </row>
    <row r="14655" spans="1:27" x14ac:dyDescent="0.35">
      <c r="A14655">
        <v>1002896</v>
      </c>
      <c r="B14655">
        <v>13220</v>
      </c>
      <c r="C14655">
        <v>1</v>
      </c>
      <c r="D14655" t="s">
        <v>17166</v>
      </c>
      <c r="F14655" t="s">
        <v>17246</v>
      </c>
      <c r="H14655" t="s">
        <v>28921</v>
      </c>
      <c r="J14655" t="s">
        <v>33313</v>
      </c>
      <c r="L14655" t="s">
        <v>33314</v>
      </c>
      <c r="N14655" t="s">
        <v>33315</v>
      </c>
      <c r="P14655" t="s">
        <v>33449</v>
      </c>
      <c r="R14655" s="26" t="str">
        <f>HYPERLINK("https://ictv.global/taxonomy/taxondetails?taxnode_id=202309669","Potyvirus begoniae")</f>
        <v>Potyvirus begoniae</v>
      </c>
      <c r="S14655" t="s">
        <v>30</v>
      </c>
      <c r="T14655" t="s">
        <v>33530</v>
      </c>
      <c r="U14655" t="s">
        <v>33531</v>
      </c>
      <c r="V14655" t="s">
        <v>33532</v>
      </c>
      <c r="W14655" t="s">
        <v>33533</v>
      </c>
      <c r="X14655" t="s">
        <v>42</v>
      </c>
      <c r="Y14655" t="s">
        <v>17171</v>
      </c>
      <c r="Z14655" t="s">
        <v>13441</v>
      </c>
      <c r="AA14655" s="22" t="str">
        <f>HYPERLINK("https://www.ncbi.nlm.nih.gov/nuccore/MN592680","NCBI Nucleotide")</f>
        <v>NCBI Nucleotide</v>
      </c>
    </row>
    <row r="14656" spans="1:27" x14ac:dyDescent="0.35">
      <c r="A14656">
        <v>1002895</v>
      </c>
      <c r="B14656">
        <v>13221</v>
      </c>
      <c r="C14656">
        <v>1</v>
      </c>
      <c r="D14656" t="s">
        <v>17166</v>
      </c>
      <c r="F14656" t="s">
        <v>17246</v>
      </c>
      <c r="H14656" t="s">
        <v>28921</v>
      </c>
      <c r="J14656" t="s">
        <v>33313</v>
      </c>
      <c r="L14656" t="s">
        <v>33314</v>
      </c>
      <c r="N14656" t="s">
        <v>33315</v>
      </c>
      <c r="P14656" t="s">
        <v>33449</v>
      </c>
      <c r="R14656" s="26" t="str">
        <f>HYPERLINK("https://ictv.global/taxonomy/taxondetails?taxnode_id=202304578","Potyvirus betaceum")</f>
        <v>Potyvirus betaceum</v>
      </c>
      <c r="S14656" t="s">
        <v>30</v>
      </c>
      <c r="T14656" t="s">
        <v>33526</v>
      </c>
      <c r="U14656" t="s">
        <v>33527</v>
      </c>
      <c r="V14656" t="s">
        <v>33528</v>
      </c>
      <c r="W14656" t="s">
        <v>33529</v>
      </c>
      <c r="X14656" t="s">
        <v>42</v>
      </c>
      <c r="Y14656" t="s">
        <v>17171</v>
      </c>
      <c r="Z14656" t="s">
        <v>13441</v>
      </c>
      <c r="AA14656" s="22" t="str">
        <f>HYPERLINK("https://www.ncbi.nlm.nih.gov/nuccore/AY206394","NCBI Nucleotide")</f>
        <v>NCBI Nucleotide</v>
      </c>
    </row>
    <row r="14657" spans="1:27" x14ac:dyDescent="0.35">
      <c r="A14657">
        <v>1003410</v>
      </c>
      <c r="B14657">
        <v>13222</v>
      </c>
      <c r="C14657">
        <v>1</v>
      </c>
      <c r="D14657" t="s">
        <v>17166</v>
      </c>
      <c r="F14657" t="s">
        <v>17246</v>
      </c>
      <c r="H14657" t="s">
        <v>28921</v>
      </c>
      <c r="J14657" t="s">
        <v>33313</v>
      </c>
      <c r="L14657" t="s">
        <v>33314</v>
      </c>
      <c r="N14657" t="s">
        <v>33315</v>
      </c>
      <c r="P14657" t="s">
        <v>33449</v>
      </c>
      <c r="R14657" s="26" t="str">
        <f>HYPERLINK("https://ictv.global/taxonomy/taxondetails?taxnode_id=202304691","Potyvirus betaci")</f>
        <v>Potyvirus betaci</v>
      </c>
      <c r="S14657" t="s">
        <v>30</v>
      </c>
      <c r="T14657" t="s">
        <v>34056</v>
      </c>
      <c r="U14657" t="s">
        <v>34057</v>
      </c>
      <c r="V14657" t="s">
        <v>8141</v>
      </c>
      <c r="W14657" t="s">
        <v>34058</v>
      </c>
      <c r="X14657" t="s">
        <v>42</v>
      </c>
      <c r="Y14657" t="s">
        <v>17171</v>
      </c>
      <c r="Z14657" t="s">
        <v>13441</v>
      </c>
      <c r="AA14657" s="22" t="str">
        <f>HYPERLINK("https://www.ncbi.nlm.nih.gov/nuccore/KM523548","NCBI Nucleotide")</f>
        <v>NCBI Nucleotide</v>
      </c>
    </row>
    <row r="14658" spans="1:27" x14ac:dyDescent="0.35">
      <c r="A14658">
        <v>1002897</v>
      </c>
      <c r="B14658">
        <v>13223</v>
      </c>
      <c r="C14658">
        <v>1</v>
      </c>
      <c r="D14658" t="s">
        <v>17166</v>
      </c>
      <c r="F14658" t="s">
        <v>17246</v>
      </c>
      <c r="H14658" t="s">
        <v>28921</v>
      </c>
      <c r="J14658" t="s">
        <v>33313</v>
      </c>
      <c r="L14658" t="s">
        <v>33314</v>
      </c>
      <c r="N14658" t="s">
        <v>33315</v>
      </c>
      <c r="P14658" t="s">
        <v>33449</v>
      </c>
      <c r="R14658" s="26" t="str">
        <f>HYPERLINK("https://ictv.global/taxonomy/taxondetails?taxnode_id=202304579","Potyvirus bidensia")</f>
        <v>Potyvirus bidensia</v>
      </c>
      <c r="S14658" t="s">
        <v>30</v>
      </c>
      <c r="T14658" t="s">
        <v>33534</v>
      </c>
      <c r="U14658" t="s">
        <v>33535</v>
      </c>
      <c r="V14658" t="s">
        <v>33536</v>
      </c>
      <c r="W14658" t="s">
        <v>33537</v>
      </c>
      <c r="X14658" t="s">
        <v>42</v>
      </c>
      <c r="Y14658" t="s">
        <v>17171</v>
      </c>
      <c r="Z14658" t="s">
        <v>13441</v>
      </c>
      <c r="AA14658" s="22" t="str">
        <f>HYPERLINK("https://www.ncbi.nlm.nih.gov/nuccore/KF649336","NCBI Nucleotide")</f>
        <v>NCBI Nucleotide</v>
      </c>
    </row>
    <row r="14659" spans="1:27" x14ac:dyDescent="0.35">
      <c r="A14659">
        <v>1002898</v>
      </c>
      <c r="B14659">
        <v>13224</v>
      </c>
      <c r="C14659">
        <v>1</v>
      </c>
      <c r="D14659" t="s">
        <v>17166</v>
      </c>
      <c r="F14659" t="s">
        <v>17246</v>
      </c>
      <c r="H14659" t="s">
        <v>28921</v>
      </c>
      <c r="J14659" t="s">
        <v>33313</v>
      </c>
      <c r="L14659" t="s">
        <v>33314</v>
      </c>
      <c r="N14659" t="s">
        <v>33315</v>
      </c>
      <c r="P14659" t="s">
        <v>33449</v>
      </c>
      <c r="R14659" s="26" t="str">
        <f>HYPERLINK("https://ictv.global/taxonomy/taxondetails?taxnode_id=202304580","Potyvirus bidenstessellati")</f>
        <v>Potyvirus bidenstessellati</v>
      </c>
      <c r="S14659" t="s">
        <v>30</v>
      </c>
      <c r="T14659" t="s">
        <v>33538</v>
      </c>
      <c r="U14659" t="s">
        <v>33539</v>
      </c>
      <c r="V14659" t="s">
        <v>30435</v>
      </c>
      <c r="W14659" t="s">
        <v>33540</v>
      </c>
      <c r="X14659" t="s">
        <v>42</v>
      </c>
      <c r="Y14659" t="s">
        <v>17171</v>
      </c>
      <c r="Z14659" t="s">
        <v>13441</v>
      </c>
      <c r="AA14659" s="22" t="str">
        <f>HYPERLINK("https://www.ncbi.nlm.nih.gov/nuccore/AF538686","NCBI Nucleotide")</f>
        <v>NCBI Nucleotide</v>
      </c>
    </row>
    <row r="14660" spans="1:27" x14ac:dyDescent="0.35">
      <c r="A14660">
        <v>1002900</v>
      </c>
      <c r="B14660">
        <v>13225</v>
      </c>
      <c r="C14660">
        <v>1</v>
      </c>
      <c r="D14660" t="s">
        <v>17166</v>
      </c>
      <c r="F14660" t="s">
        <v>17246</v>
      </c>
      <c r="H14660" t="s">
        <v>28921</v>
      </c>
      <c r="J14660" t="s">
        <v>33313</v>
      </c>
      <c r="L14660" t="s">
        <v>33314</v>
      </c>
      <c r="N14660" t="s">
        <v>33315</v>
      </c>
      <c r="P14660" t="s">
        <v>33449</v>
      </c>
      <c r="R14660" s="26" t="str">
        <f>HYPERLINK("https://ictv.global/taxonomy/taxondetails?taxnode_id=202304582","Potyvirus brugmansiae")</f>
        <v>Potyvirus brugmansiae</v>
      </c>
      <c r="S14660" t="s">
        <v>30</v>
      </c>
      <c r="T14660" t="s">
        <v>33545</v>
      </c>
      <c r="U14660" t="s">
        <v>33546</v>
      </c>
      <c r="V14660" t="s">
        <v>19294</v>
      </c>
      <c r="W14660" t="s">
        <v>33547</v>
      </c>
      <c r="X14660" t="s">
        <v>42</v>
      </c>
      <c r="Y14660" t="s">
        <v>17171</v>
      </c>
      <c r="Z14660" t="s">
        <v>13441</v>
      </c>
      <c r="AA14660" s="22" t="str">
        <f>HYPERLINK("https://www.ncbi.nlm.nih.gov/nuccore/JX867236","NCBI Nucleotide")</f>
        <v>NCBI Nucleotide</v>
      </c>
    </row>
    <row r="14661" spans="1:27" x14ac:dyDescent="0.35">
      <c r="A14661">
        <v>1002905</v>
      </c>
      <c r="B14661">
        <v>13226</v>
      </c>
      <c r="C14661">
        <v>1</v>
      </c>
      <c r="D14661" t="s">
        <v>17166</v>
      </c>
      <c r="F14661" t="s">
        <v>17246</v>
      </c>
      <c r="H14661" t="s">
        <v>28921</v>
      </c>
      <c r="J14661" t="s">
        <v>33313</v>
      </c>
      <c r="L14661" t="s">
        <v>33314</v>
      </c>
      <c r="N14661" t="s">
        <v>33315</v>
      </c>
      <c r="P14661" t="s">
        <v>33449</v>
      </c>
      <c r="R14661" s="26" t="str">
        <f>HYPERLINK("https://ictv.global/taxonomy/taxondetails?taxnode_id=202305919","Potyvirus calistephi")</f>
        <v>Potyvirus calistephi</v>
      </c>
      <c r="S14661" t="s">
        <v>30</v>
      </c>
      <c r="T14661" t="s">
        <v>33562</v>
      </c>
      <c r="U14661" t="s">
        <v>33563</v>
      </c>
      <c r="V14661" t="s">
        <v>33564</v>
      </c>
      <c r="W14661" t="s">
        <v>33565</v>
      </c>
      <c r="X14661" t="s">
        <v>42</v>
      </c>
      <c r="Y14661" t="s">
        <v>17171</v>
      </c>
      <c r="Z14661" t="s">
        <v>13441</v>
      </c>
      <c r="AA14661" s="22" t="str">
        <f>HYPERLINK("https://www.ncbi.nlm.nih.gov/nuccore/KX013584","NCBI Nucleotide")</f>
        <v>NCBI Nucleotide</v>
      </c>
    </row>
    <row r="14662" spans="1:27" x14ac:dyDescent="0.35">
      <c r="A14662">
        <v>1002903</v>
      </c>
      <c r="B14662">
        <v>13227</v>
      </c>
      <c r="C14662">
        <v>1</v>
      </c>
      <c r="D14662" t="s">
        <v>17166</v>
      </c>
      <c r="F14662" t="s">
        <v>17246</v>
      </c>
      <c r="H14662" t="s">
        <v>28921</v>
      </c>
      <c r="J14662" t="s">
        <v>33313</v>
      </c>
      <c r="L14662" t="s">
        <v>33314</v>
      </c>
      <c r="N14662" t="s">
        <v>33315</v>
      </c>
      <c r="P14662" t="s">
        <v>33449</v>
      </c>
      <c r="R14662" s="26" t="str">
        <f>HYPERLINK("https://ictv.global/taxonomy/taxondetails?taxnode_id=202304585","Potyvirus callanthis")</f>
        <v>Potyvirus callanthis</v>
      </c>
      <c r="S14662" t="s">
        <v>30</v>
      </c>
      <c r="T14662" t="s">
        <v>33556</v>
      </c>
      <c r="U14662" t="s">
        <v>33557</v>
      </c>
      <c r="V14662" t="s">
        <v>33471</v>
      </c>
      <c r="W14662" t="s">
        <v>33558</v>
      </c>
      <c r="X14662" t="s">
        <v>154</v>
      </c>
      <c r="Y14662" t="s">
        <v>17171</v>
      </c>
      <c r="Z14662" t="s">
        <v>13441</v>
      </c>
      <c r="AA14662" s="22" t="str">
        <f>HYPERLINK("https://www.ncbi.nlm.nih.gov/nuccore/AB011404","NCBI Nucleotide")</f>
        <v>NCBI Nucleotide</v>
      </c>
    </row>
    <row r="14663" spans="1:27" x14ac:dyDescent="0.35">
      <c r="A14663">
        <v>1002906</v>
      </c>
      <c r="B14663">
        <v>13228</v>
      </c>
      <c r="C14663">
        <v>1</v>
      </c>
      <c r="D14663" t="s">
        <v>17166</v>
      </c>
      <c r="F14663" t="s">
        <v>17246</v>
      </c>
      <c r="H14663" t="s">
        <v>28921</v>
      </c>
      <c r="J14663" t="s">
        <v>33313</v>
      </c>
      <c r="L14663" t="s">
        <v>33314</v>
      </c>
      <c r="N14663" t="s">
        <v>33315</v>
      </c>
      <c r="P14663" t="s">
        <v>33449</v>
      </c>
      <c r="R14663" s="26" t="str">
        <f>HYPERLINK("https://ictv.global/taxonomy/taxondetails?taxnode_id=202304587","Potyvirus cannae")</f>
        <v>Potyvirus cannae</v>
      </c>
      <c r="S14663" t="s">
        <v>30</v>
      </c>
      <c r="T14663" t="s">
        <v>33566</v>
      </c>
      <c r="U14663" t="s">
        <v>33567</v>
      </c>
      <c r="V14663" t="s">
        <v>18183</v>
      </c>
      <c r="W14663" t="s">
        <v>33568</v>
      </c>
      <c r="X14663" t="s">
        <v>42</v>
      </c>
      <c r="Y14663" t="s">
        <v>17171</v>
      </c>
      <c r="Z14663" t="s">
        <v>13441</v>
      </c>
      <c r="AA14663" s="22" t="str">
        <f>HYPERLINK("https://www.ncbi.nlm.nih.gov/nuccore/GQ421689","NCBI Nucleotide")</f>
        <v>NCBI Nucleotide</v>
      </c>
    </row>
    <row r="14664" spans="1:27" x14ac:dyDescent="0.35">
      <c r="A14664">
        <v>1002913</v>
      </c>
      <c r="B14664">
        <v>13229</v>
      </c>
      <c r="C14664">
        <v>1</v>
      </c>
      <c r="D14664" t="s">
        <v>17166</v>
      </c>
      <c r="F14664" t="s">
        <v>17246</v>
      </c>
      <c r="H14664" t="s">
        <v>28921</v>
      </c>
      <c r="J14664" t="s">
        <v>33313</v>
      </c>
      <c r="L14664" t="s">
        <v>33314</v>
      </c>
      <c r="N14664" t="s">
        <v>33315</v>
      </c>
      <c r="P14664" t="s">
        <v>33449</v>
      </c>
      <c r="R14664" s="26" t="str">
        <f>HYPERLINK("https://ictv.global/taxonomy/taxondetails?taxnode_id=202304594","Potyvirus capsianuli")</f>
        <v>Potyvirus capsianuli</v>
      </c>
      <c r="S14664" t="s">
        <v>30</v>
      </c>
      <c r="T14664" t="s">
        <v>33589</v>
      </c>
      <c r="U14664" t="s">
        <v>20860</v>
      </c>
      <c r="V14664" t="s">
        <v>33590</v>
      </c>
      <c r="W14664" t="s">
        <v>33591</v>
      </c>
      <c r="X14664" t="s">
        <v>35</v>
      </c>
      <c r="Y14664" t="s">
        <v>17171</v>
      </c>
      <c r="Z14664" t="s">
        <v>13441</v>
      </c>
      <c r="AA14664" s="22" t="str">
        <f>HYPERLINK("https://www.ncbi.nlm.nih.gov/nuccore/JN008909","NCBI Nucleotide")</f>
        <v>NCBI Nucleotide</v>
      </c>
    </row>
    <row r="14665" spans="1:27" x14ac:dyDescent="0.35">
      <c r="A14665">
        <v>1002997</v>
      </c>
      <c r="B14665">
        <v>13230</v>
      </c>
      <c r="C14665">
        <v>1</v>
      </c>
      <c r="D14665" t="s">
        <v>17166</v>
      </c>
      <c r="F14665" t="s">
        <v>17246</v>
      </c>
      <c r="H14665" t="s">
        <v>28921</v>
      </c>
      <c r="J14665" t="s">
        <v>33313</v>
      </c>
      <c r="L14665" t="s">
        <v>33314</v>
      </c>
      <c r="N14665" t="s">
        <v>33315</v>
      </c>
      <c r="P14665" t="s">
        <v>33449</v>
      </c>
      <c r="R14665" s="26" t="str">
        <f>HYPERLINK("https://ictv.global/taxonomy/taxondetails?taxnode_id=202304662","Potyvirus capsiflavi")</f>
        <v>Potyvirus capsiflavi</v>
      </c>
      <c r="S14665" t="s">
        <v>30</v>
      </c>
      <c r="T14665" t="s">
        <v>33884</v>
      </c>
      <c r="U14665" t="s">
        <v>33885</v>
      </c>
      <c r="V14665" t="s">
        <v>33886</v>
      </c>
      <c r="W14665" t="s">
        <v>33887</v>
      </c>
      <c r="X14665" t="s">
        <v>42</v>
      </c>
      <c r="Y14665" t="s">
        <v>17171</v>
      </c>
      <c r="Z14665" t="s">
        <v>13441</v>
      </c>
      <c r="AA14665" s="22" t="str">
        <f>HYPERLINK("https://www.ncbi.nlm.nih.gov/nuccore/AB541985","NCBI Nucleotide")</f>
        <v>NCBI Nucleotide</v>
      </c>
    </row>
    <row r="14666" spans="1:27" x14ac:dyDescent="0.35">
      <c r="A14666">
        <v>1002994</v>
      </c>
      <c r="B14666">
        <v>13231</v>
      </c>
      <c r="C14666">
        <v>1</v>
      </c>
      <c r="D14666" t="s">
        <v>17166</v>
      </c>
      <c r="F14666" t="s">
        <v>17246</v>
      </c>
      <c r="H14666" t="s">
        <v>28921</v>
      </c>
      <c r="J14666" t="s">
        <v>33313</v>
      </c>
      <c r="L14666" t="s">
        <v>33314</v>
      </c>
      <c r="N14666" t="s">
        <v>33315</v>
      </c>
      <c r="P14666" t="s">
        <v>33449</v>
      </c>
      <c r="R14666" s="26" t="str">
        <f>HYPERLINK("https://ictv.global/taxonomy/taxondetails?taxnode_id=202304659","Potyvirus capsimaculae")</f>
        <v>Potyvirus capsimaculae</v>
      </c>
      <c r="S14666" t="s">
        <v>30</v>
      </c>
      <c r="T14666" t="s">
        <v>33875</v>
      </c>
      <c r="U14666" t="s">
        <v>33876</v>
      </c>
      <c r="V14666" t="s">
        <v>18388</v>
      </c>
      <c r="W14666" t="s">
        <v>33877</v>
      </c>
      <c r="X14666" t="s">
        <v>42</v>
      </c>
      <c r="Y14666" t="s">
        <v>17171</v>
      </c>
      <c r="Z14666" t="s">
        <v>13441</v>
      </c>
      <c r="AA14666" s="22" t="str">
        <f>HYPERLINK("https://www.ncbi.nlm.nih.gov/nuccore/M96425","NCBI Nucleotide")</f>
        <v>NCBI Nucleotide</v>
      </c>
    </row>
    <row r="14667" spans="1:27" x14ac:dyDescent="0.35">
      <c r="A14667">
        <v>1002995</v>
      </c>
      <c r="B14667">
        <v>13232</v>
      </c>
      <c r="C14667">
        <v>1</v>
      </c>
      <c r="D14667" t="s">
        <v>17166</v>
      </c>
      <c r="F14667" t="s">
        <v>17246</v>
      </c>
      <c r="H14667" t="s">
        <v>28921</v>
      </c>
      <c r="J14667" t="s">
        <v>33313</v>
      </c>
      <c r="L14667" t="s">
        <v>33314</v>
      </c>
      <c r="N14667" t="s">
        <v>33315</v>
      </c>
      <c r="P14667" t="s">
        <v>33449</v>
      </c>
      <c r="R14667" s="26" t="str">
        <f>HYPERLINK("https://ictv.global/taxonomy/taxondetails?taxnode_id=202304660","Potyvirus capsiseverum")</f>
        <v>Potyvirus capsiseverum</v>
      </c>
      <c r="S14667" t="s">
        <v>30</v>
      </c>
      <c r="T14667" t="s">
        <v>33878</v>
      </c>
      <c r="U14667" t="s">
        <v>33879</v>
      </c>
      <c r="V14667" t="s">
        <v>33681</v>
      </c>
      <c r="W14667" t="s">
        <v>33880</v>
      </c>
      <c r="X14667" t="s">
        <v>42</v>
      </c>
      <c r="Y14667" t="s">
        <v>17171</v>
      </c>
      <c r="Z14667" t="s">
        <v>13441</v>
      </c>
      <c r="AA14667" s="22" t="str">
        <f>HYPERLINK("https://www.ncbi.nlm.nih.gov/nuccore/AM181350","NCBI Nucleotide")</f>
        <v>NCBI Nucleotide</v>
      </c>
    </row>
    <row r="14668" spans="1:27" x14ac:dyDescent="0.35">
      <c r="A14668">
        <v>1002996</v>
      </c>
      <c r="B14668">
        <v>13233</v>
      </c>
      <c r="C14668">
        <v>1</v>
      </c>
      <c r="D14668" t="s">
        <v>17166</v>
      </c>
      <c r="F14668" t="s">
        <v>17246</v>
      </c>
      <c r="H14668" t="s">
        <v>28921</v>
      </c>
      <c r="J14668" t="s">
        <v>33313</v>
      </c>
      <c r="L14668" t="s">
        <v>33314</v>
      </c>
      <c r="N14668" t="s">
        <v>33315</v>
      </c>
      <c r="P14668" t="s">
        <v>33449</v>
      </c>
      <c r="R14668" s="26" t="str">
        <f>HYPERLINK("https://ictv.global/taxonomy/taxondetails?taxnode_id=202304661","Potyvirus capsivenae")</f>
        <v>Potyvirus capsivenae</v>
      </c>
      <c r="S14668" t="s">
        <v>30</v>
      </c>
      <c r="T14668" t="s">
        <v>33881</v>
      </c>
      <c r="U14668" t="s">
        <v>33882</v>
      </c>
      <c r="V14668" t="s">
        <v>18907</v>
      </c>
      <c r="W14668" t="s">
        <v>33883</v>
      </c>
      <c r="X14668" t="s">
        <v>42</v>
      </c>
      <c r="Y14668" t="s">
        <v>17171</v>
      </c>
      <c r="Z14668" t="s">
        <v>13441</v>
      </c>
      <c r="AA14668" s="22" t="str">
        <f>HYPERLINK("https://www.ncbi.nlm.nih.gov/nuccore/DQ645484","NCBI Nucleotide")</f>
        <v>NCBI Nucleotide</v>
      </c>
    </row>
    <row r="14669" spans="1:27" x14ac:dyDescent="0.35">
      <c r="A14669">
        <v>1002914</v>
      </c>
      <c r="B14669">
        <v>13234</v>
      </c>
      <c r="C14669">
        <v>1</v>
      </c>
      <c r="D14669" t="s">
        <v>17166</v>
      </c>
      <c r="F14669" t="s">
        <v>17246</v>
      </c>
      <c r="H14669" t="s">
        <v>28921</v>
      </c>
      <c r="J14669" t="s">
        <v>33313</v>
      </c>
      <c r="L14669" t="s">
        <v>33314</v>
      </c>
      <c r="N14669" t="s">
        <v>33315</v>
      </c>
      <c r="P14669" t="s">
        <v>33449</v>
      </c>
      <c r="R14669" s="26" t="str">
        <f>HYPERLINK("https://ictv.global/taxonomy/taxondetails?taxnode_id=202304595","Potyvirus capsivenamaculae")</f>
        <v>Potyvirus capsivenamaculae</v>
      </c>
      <c r="S14669" t="s">
        <v>30</v>
      </c>
      <c r="T14669" t="s">
        <v>33592</v>
      </c>
      <c r="U14669" t="s">
        <v>33593</v>
      </c>
      <c r="V14669" t="s">
        <v>32935</v>
      </c>
      <c r="W14669" t="s">
        <v>33594</v>
      </c>
      <c r="X14669" t="s">
        <v>42</v>
      </c>
      <c r="Y14669" t="s">
        <v>17171</v>
      </c>
      <c r="Z14669" t="s">
        <v>13441</v>
      </c>
      <c r="AA14669" s="22" t="str">
        <f>HYPERLINK("https://www.ncbi.nlm.nih.gov/nuccore/AJ237843","NCBI Nucleotide")</f>
        <v>NCBI Nucleotide</v>
      </c>
    </row>
    <row r="14670" spans="1:27" x14ac:dyDescent="0.35">
      <c r="A14670">
        <v>1002982</v>
      </c>
      <c r="B14670">
        <v>13235</v>
      </c>
      <c r="C14670">
        <v>1</v>
      </c>
      <c r="D14670" t="s">
        <v>17166</v>
      </c>
      <c r="F14670" t="s">
        <v>17246</v>
      </c>
      <c r="H14670" t="s">
        <v>28921</v>
      </c>
      <c r="J14670" t="s">
        <v>33313</v>
      </c>
      <c r="L14670" t="s">
        <v>33314</v>
      </c>
      <c r="N14670" t="s">
        <v>33315</v>
      </c>
      <c r="P14670" t="s">
        <v>33449</v>
      </c>
      <c r="R14670" s="26" t="str">
        <f>HYPERLINK("https://ictv.global/taxonomy/taxondetails?taxnode_id=202304651","Potyvirus caricae")</f>
        <v>Potyvirus caricae</v>
      </c>
      <c r="S14670" t="s">
        <v>30</v>
      </c>
      <c r="T14670" t="s">
        <v>33835</v>
      </c>
      <c r="U14670" t="s">
        <v>33836</v>
      </c>
      <c r="V14670" t="s">
        <v>18907</v>
      </c>
      <c r="W14670" t="s">
        <v>33837</v>
      </c>
      <c r="X14670" t="s">
        <v>42</v>
      </c>
      <c r="Y14670" t="s">
        <v>17171</v>
      </c>
      <c r="Z14670" t="s">
        <v>13441</v>
      </c>
      <c r="AA14670" s="22" t="str">
        <f>HYPERLINK("https://www.ncbi.nlm.nih.gov/nuccore/BD171712","NCBI Nucleotide")</f>
        <v>NCBI Nucleotide</v>
      </c>
    </row>
    <row r="14671" spans="1:27" x14ac:dyDescent="0.35">
      <c r="A14671">
        <v>1002909</v>
      </c>
      <c r="B14671">
        <v>13236</v>
      </c>
      <c r="C14671">
        <v>1</v>
      </c>
      <c r="D14671" t="s">
        <v>17166</v>
      </c>
      <c r="F14671" t="s">
        <v>17246</v>
      </c>
      <c r="H14671" t="s">
        <v>28921</v>
      </c>
      <c r="J14671" t="s">
        <v>33313</v>
      </c>
      <c r="L14671" t="s">
        <v>33314</v>
      </c>
      <c r="N14671" t="s">
        <v>33315</v>
      </c>
      <c r="P14671" t="s">
        <v>33449</v>
      </c>
      <c r="R14671" s="26" t="str">
        <f>HYPERLINK("https://ictv.global/taxonomy/taxondetails?taxnode_id=202304590","Potyvirus carotae")</f>
        <v>Potyvirus carotae</v>
      </c>
      <c r="S14671" t="s">
        <v>30</v>
      </c>
      <c r="T14671" t="s">
        <v>33576</v>
      </c>
      <c r="U14671" t="s">
        <v>33577</v>
      </c>
      <c r="V14671" t="s">
        <v>33578</v>
      </c>
      <c r="W14671" t="s">
        <v>33579</v>
      </c>
      <c r="X14671" t="s">
        <v>154</v>
      </c>
      <c r="Y14671" t="s">
        <v>17171</v>
      </c>
      <c r="Z14671" t="s">
        <v>13441</v>
      </c>
      <c r="AA14671" s="22" t="str">
        <f>HYPERLINK("https://www.ncbi.nlm.nih.gov/nuccore/AF203537","NCBI Nucleotide")</f>
        <v>NCBI Nucleotide</v>
      </c>
    </row>
    <row r="14672" spans="1:27" x14ac:dyDescent="0.35">
      <c r="A14672">
        <v>1002908</v>
      </c>
      <c r="B14672">
        <v>13237</v>
      </c>
      <c r="C14672">
        <v>1</v>
      </c>
      <c r="D14672" t="s">
        <v>17166</v>
      </c>
      <c r="F14672" t="s">
        <v>17246</v>
      </c>
      <c r="H14672" t="s">
        <v>28921</v>
      </c>
      <c r="J14672" t="s">
        <v>33313</v>
      </c>
      <c r="L14672" t="s">
        <v>33314</v>
      </c>
      <c r="N14672" t="s">
        <v>33315</v>
      </c>
      <c r="P14672" t="s">
        <v>33449</v>
      </c>
      <c r="R14672" s="26" t="str">
        <f>HYPERLINK("https://ictv.global/taxonomy/taxondetails?taxnode_id=202304589","Potyvirus carotatenuifoli")</f>
        <v>Potyvirus carotatenuifoli</v>
      </c>
      <c r="S14672" t="s">
        <v>30</v>
      </c>
      <c r="T14672" t="s">
        <v>33572</v>
      </c>
      <c r="U14672" t="s">
        <v>33573</v>
      </c>
      <c r="V14672" t="s">
        <v>33574</v>
      </c>
      <c r="W14672" t="s">
        <v>33575</v>
      </c>
      <c r="X14672" t="s">
        <v>42</v>
      </c>
      <c r="Y14672" t="s">
        <v>17171</v>
      </c>
      <c r="Z14672" t="s">
        <v>13441</v>
      </c>
      <c r="AA14672" s="22" t="str">
        <f>HYPERLINK("https://www.ncbi.nlm.nih.gov/nuccore/JX156434","NCBI Nucleotide")</f>
        <v>NCBI Nucleotide</v>
      </c>
    </row>
    <row r="14673" spans="1:27" x14ac:dyDescent="0.35">
      <c r="A14673">
        <v>1002992</v>
      </c>
      <c r="B14673">
        <v>13238</v>
      </c>
      <c r="C14673">
        <v>1</v>
      </c>
      <c r="D14673" t="s">
        <v>17166</v>
      </c>
      <c r="F14673" t="s">
        <v>17246</v>
      </c>
      <c r="H14673" t="s">
        <v>28921</v>
      </c>
      <c r="J14673" t="s">
        <v>33313</v>
      </c>
      <c r="L14673" t="s">
        <v>33314</v>
      </c>
      <c r="N14673" t="s">
        <v>33315</v>
      </c>
      <c r="P14673" t="s">
        <v>33449</v>
      </c>
      <c r="R14673" s="26" t="str">
        <f>HYPERLINK("https://ictv.global/taxonomy/taxondetails?taxnode_id=202305922","Potyvirus caryae")</f>
        <v>Potyvirus caryae</v>
      </c>
      <c r="S14673" t="s">
        <v>30</v>
      </c>
      <c r="T14673" t="s">
        <v>33868</v>
      </c>
      <c r="U14673" t="s">
        <v>33869</v>
      </c>
      <c r="V14673" t="s">
        <v>33870</v>
      </c>
      <c r="W14673" t="s">
        <v>33871</v>
      </c>
      <c r="X14673" t="s">
        <v>42</v>
      </c>
      <c r="Y14673" t="s">
        <v>17171</v>
      </c>
      <c r="Z14673" t="s">
        <v>13441</v>
      </c>
      <c r="AA14673" s="22" t="str">
        <f>HYPERLINK("https://www.ncbi.nlm.nih.gov/nuccore/KT633868","NCBI Nucleotide")</f>
        <v>NCBI Nucleotide</v>
      </c>
    </row>
    <row r="14674" spans="1:27" x14ac:dyDescent="0.35">
      <c r="A14674">
        <v>1002910</v>
      </c>
      <c r="B14674">
        <v>13239</v>
      </c>
      <c r="C14674">
        <v>1</v>
      </c>
      <c r="D14674" t="s">
        <v>17166</v>
      </c>
      <c r="F14674" t="s">
        <v>17246</v>
      </c>
      <c r="H14674" t="s">
        <v>28921</v>
      </c>
      <c r="J14674" t="s">
        <v>33313</v>
      </c>
      <c r="L14674" t="s">
        <v>33314</v>
      </c>
      <c r="N14674" t="s">
        <v>33315</v>
      </c>
      <c r="P14674" t="s">
        <v>33449</v>
      </c>
      <c r="R14674" s="26" t="str">
        <f>HYPERLINK("https://ictv.global/taxonomy/taxondetails?taxnode_id=202304591","Potyvirus catharantessellati")</f>
        <v>Potyvirus catharantessellati</v>
      </c>
      <c r="S14674" t="s">
        <v>30</v>
      </c>
      <c r="T14674" t="s">
        <v>33580</v>
      </c>
      <c r="U14674" t="s">
        <v>33581</v>
      </c>
      <c r="V14674" t="s">
        <v>33582</v>
      </c>
      <c r="W14674" t="s">
        <v>33583</v>
      </c>
      <c r="X14674" t="s">
        <v>42</v>
      </c>
      <c r="Y14674" t="s">
        <v>17171</v>
      </c>
      <c r="Z14674" t="s">
        <v>13441</v>
      </c>
      <c r="AA14674" s="22" t="str">
        <f>HYPERLINK("https://www.ncbi.nlm.nih.gov/nuccore/KP343681","NCBI Nucleotide")</f>
        <v>NCBI Nucleotide</v>
      </c>
    </row>
    <row r="14675" spans="1:27" x14ac:dyDescent="0.35">
      <c r="A14675">
        <v>1003408</v>
      </c>
      <c r="B14675">
        <v>13240</v>
      </c>
      <c r="C14675">
        <v>1</v>
      </c>
      <c r="D14675" t="s">
        <v>17166</v>
      </c>
      <c r="F14675" t="s">
        <v>17246</v>
      </c>
      <c r="H14675" t="s">
        <v>28921</v>
      </c>
      <c r="J14675" t="s">
        <v>33313</v>
      </c>
      <c r="L14675" t="s">
        <v>33314</v>
      </c>
      <c r="N14675" t="s">
        <v>33315</v>
      </c>
      <c r="P14675" t="s">
        <v>33449</v>
      </c>
      <c r="R14675" s="26" t="str">
        <f>HYPERLINK("https://ictv.global/taxonomy/taxondetails?taxnode_id=202304689","Potyvirus cebatatae")</f>
        <v>Potyvirus cebatatae</v>
      </c>
      <c r="S14675" t="s">
        <v>30</v>
      </c>
      <c r="T14675" t="s">
        <v>34049</v>
      </c>
      <c r="U14675" t="s">
        <v>34050</v>
      </c>
      <c r="V14675" t="s">
        <v>18919</v>
      </c>
      <c r="W14675" t="s">
        <v>34051</v>
      </c>
      <c r="X14675" t="s">
        <v>42</v>
      </c>
      <c r="Y14675" t="s">
        <v>17171</v>
      </c>
      <c r="Z14675" t="s">
        <v>13441</v>
      </c>
      <c r="AA14675" s="22" t="str">
        <f>HYPERLINK("https://www.ncbi.nlm.nih.gov/nuccore/GU207957","NCBI Nucleotide")</f>
        <v>NCBI Nucleotide</v>
      </c>
    </row>
    <row r="14676" spans="1:27" x14ac:dyDescent="0.35">
      <c r="A14676">
        <v>1002977</v>
      </c>
      <c r="B14676">
        <v>13241</v>
      </c>
      <c r="C14676">
        <v>1</v>
      </c>
      <c r="D14676" t="s">
        <v>17166</v>
      </c>
      <c r="F14676" t="s">
        <v>17246</v>
      </c>
      <c r="H14676" t="s">
        <v>28921</v>
      </c>
      <c r="J14676" t="s">
        <v>33313</v>
      </c>
      <c r="L14676" t="s">
        <v>33314</v>
      </c>
      <c r="N14676" t="s">
        <v>33315</v>
      </c>
      <c r="P14676" t="s">
        <v>33449</v>
      </c>
      <c r="R14676" s="26" t="str">
        <f>HYPERLINK("https://ictv.global/taxonomy/taxondetails?taxnode_id=202304646","Potyvirus cepae")</f>
        <v>Potyvirus cepae</v>
      </c>
      <c r="S14676" t="s">
        <v>30</v>
      </c>
      <c r="T14676" t="s">
        <v>33817</v>
      </c>
      <c r="U14676" t="s">
        <v>33818</v>
      </c>
      <c r="V14676" t="s">
        <v>33819</v>
      </c>
      <c r="W14676" t="s">
        <v>33820</v>
      </c>
      <c r="X14676" t="s">
        <v>35</v>
      </c>
      <c r="Y14676" t="s">
        <v>17171</v>
      </c>
      <c r="Z14676" t="s">
        <v>13441</v>
      </c>
      <c r="AA14676" s="22" t="str">
        <f>HYPERLINK("https://www.ncbi.nlm.nih.gov/nuccore/AJ510223","NCBI Nucleotide")</f>
        <v>NCBI Nucleotide</v>
      </c>
    </row>
    <row r="14677" spans="1:27" x14ac:dyDescent="0.35">
      <c r="A14677">
        <v>1002912</v>
      </c>
      <c r="B14677">
        <v>13242</v>
      </c>
      <c r="C14677">
        <v>1</v>
      </c>
      <c r="D14677" t="s">
        <v>17166</v>
      </c>
      <c r="F14677" t="s">
        <v>17246</v>
      </c>
      <c r="H14677" t="s">
        <v>28921</v>
      </c>
      <c r="J14677" t="s">
        <v>33313</v>
      </c>
      <c r="L14677" t="s">
        <v>33314</v>
      </c>
      <c r="N14677" t="s">
        <v>33315</v>
      </c>
      <c r="P14677" t="s">
        <v>33449</v>
      </c>
      <c r="R14677" s="26" t="str">
        <f>HYPERLINK("https://ictv.global/taxonomy/taxondetails?taxnode_id=202304593","Potyvirus ceratobii")</f>
        <v>Potyvirus ceratobii</v>
      </c>
      <c r="S14677" t="s">
        <v>30</v>
      </c>
      <c r="T14677" t="s">
        <v>33586</v>
      </c>
      <c r="U14677" t="s">
        <v>33587</v>
      </c>
      <c r="V14677">
        <v>13</v>
      </c>
      <c r="W14677" t="s">
        <v>33588</v>
      </c>
      <c r="X14677" t="s">
        <v>154</v>
      </c>
      <c r="Y14677" t="s">
        <v>17171</v>
      </c>
      <c r="Z14677" t="s">
        <v>13441</v>
      </c>
      <c r="AA14677" s="22" t="str">
        <f>HYPERLINK("https://www.ncbi.nlm.nih.gov/nuccore/AF022442","NCBI Nucleotide")</f>
        <v>NCBI Nucleotide</v>
      </c>
    </row>
    <row r="14678" spans="1:27" x14ac:dyDescent="0.35">
      <c r="A14678">
        <v>1002899</v>
      </c>
      <c r="B14678">
        <v>13243</v>
      </c>
      <c r="C14678">
        <v>1</v>
      </c>
      <c r="D14678" t="s">
        <v>17166</v>
      </c>
      <c r="F14678" t="s">
        <v>17246</v>
      </c>
      <c r="H14678" t="s">
        <v>28921</v>
      </c>
      <c r="J14678" t="s">
        <v>33313</v>
      </c>
      <c r="L14678" t="s">
        <v>33314</v>
      </c>
      <c r="N14678" t="s">
        <v>33315</v>
      </c>
      <c r="P14678" t="s">
        <v>33449</v>
      </c>
      <c r="R14678" s="26" t="str">
        <f>HYPERLINK("https://ictv.global/taxonomy/taxondetails?taxnode_id=202304581","Potyvirus chamaescillae")</f>
        <v>Potyvirus chamaescillae</v>
      </c>
      <c r="S14678" t="s">
        <v>30</v>
      </c>
      <c r="T14678" t="s">
        <v>33541</v>
      </c>
      <c r="U14678" t="s">
        <v>33542</v>
      </c>
      <c r="V14678" t="s">
        <v>33543</v>
      </c>
      <c r="W14678" t="s">
        <v>33544</v>
      </c>
      <c r="X14678" t="s">
        <v>42</v>
      </c>
      <c r="Y14678" t="s">
        <v>17171</v>
      </c>
      <c r="Z14678" t="s">
        <v>13441</v>
      </c>
      <c r="AA14678" s="22" t="str">
        <f>HYPERLINK("https://www.ncbi.nlm.nih.gov/nuccore/JQ807999","NCBI Nucleotide")</f>
        <v>NCBI Nucleotide</v>
      </c>
    </row>
    <row r="14679" spans="1:27" x14ac:dyDescent="0.35">
      <c r="A14679">
        <v>1002936</v>
      </c>
      <c r="B14679">
        <v>13244</v>
      </c>
      <c r="C14679">
        <v>1</v>
      </c>
      <c r="D14679" t="s">
        <v>17166</v>
      </c>
      <c r="F14679" t="s">
        <v>17246</v>
      </c>
      <c r="H14679" t="s">
        <v>28921</v>
      </c>
      <c r="J14679" t="s">
        <v>33313</v>
      </c>
      <c r="L14679" t="s">
        <v>33314</v>
      </c>
      <c r="N14679" t="s">
        <v>33315</v>
      </c>
      <c r="P14679" t="s">
        <v>33449</v>
      </c>
      <c r="R14679" s="26" t="str">
        <f>HYPERLINK("https://ictv.global/taxonomy/taxondetails?taxnode_id=202304611","Potyvirus chichorii")</f>
        <v>Potyvirus chichorii</v>
      </c>
      <c r="S14679" t="s">
        <v>30</v>
      </c>
      <c r="T14679" t="s">
        <v>33670</v>
      </c>
      <c r="U14679" t="s">
        <v>33671</v>
      </c>
      <c r="V14679" t="s">
        <v>33672</v>
      </c>
      <c r="W14679" t="s">
        <v>33673</v>
      </c>
      <c r="X14679" t="s">
        <v>42</v>
      </c>
      <c r="Y14679" t="s">
        <v>17171</v>
      </c>
      <c r="Z14679" t="s">
        <v>13441</v>
      </c>
      <c r="AA14679" s="22" t="str">
        <f>HYPERLINK("https://www.ncbi.nlm.nih.gov/nuccore/KU941946","NCBI Nucleotide")</f>
        <v>NCBI Nucleotide</v>
      </c>
    </row>
    <row r="14680" spans="1:27" x14ac:dyDescent="0.35">
      <c r="A14680">
        <v>1003431</v>
      </c>
      <c r="B14680">
        <v>13245</v>
      </c>
      <c r="C14680">
        <v>1</v>
      </c>
      <c r="D14680" t="s">
        <v>17166</v>
      </c>
      <c r="F14680" t="s">
        <v>17246</v>
      </c>
      <c r="H14680" t="s">
        <v>28921</v>
      </c>
      <c r="J14680" t="s">
        <v>33313</v>
      </c>
      <c r="L14680" t="s">
        <v>33314</v>
      </c>
      <c r="N14680" t="s">
        <v>33315</v>
      </c>
      <c r="P14680" t="s">
        <v>33449</v>
      </c>
      <c r="R14680" s="26" t="str">
        <f>HYPERLINK("https://ictv.global/taxonomy/taxondetails?taxnode_id=202304710","Potyvirus citrulli")</f>
        <v>Potyvirus citrulli</v>
      </c>
      <c r="S14680" t="s">
        <v>30</v>
      </c>
      <c r="T14680" t="s">
        <v>34129</v>
      </c>
      <c r="U14680" t="s">
        <v>17676</v>
      </c>
      <c r="V14680" t="s">
        <v>34130</v>
      </c>
      <c r="W14680" t="s">
        <v>34131</v>
      </c>
      <c r="X14680" t="s">
        <v>42</v>
      </c>
      <c r="Y14680" t="s">
        <v>17171</v>
      </c>
      <c r="Z14680" t="s">
        <v>13441</v>
      </c>
      <c r="AA14680" s="22" t="str">
        <f>HYPERLINK("https://www.ncbi.nlm.nih.gov/nuccore/AY437609","NCBI Nucleotide")</f>
        <v>NCBI Nucleotide</v>
      </c>
    </row>
    <row r="14681" spans="1:27" x14ac:dyDescent="0.35">
      <c r="A14681">
        <v>1002970</v>
      </c>
      <c r="B14681">
        <v>13246</v>
      </c>
      <c r="C14681">
        <v>1</v>
      </c>
      <c r="D14681" t="s">
        <v>17166</v>
      </c>
      <c r="F14681" t="s">
        <v>17246</v>
      </c>
      <c r="H14681" t="s">
        <v>28921</v>
      </c>
      <c r="J14681" t="s">
        <v>33313</v>
      </c>
      <c r="L14681" t="s">
        <v>33314</v>
      </c>
      <c r="N14681" t="s">
        <v>33315</v>
      </c>
      <c r="P14681" t="s">
        <v>33449</v>
      </c>
      <c r="R14681" s="26" t="str">
        <f>HYPERLINK("https://ictv.global/taxonomy/taxondetails?taxnode_id=202304640","Potyvirus citrullimoroccense")</f>
        <v>Potyvirus citrullimoroccense</v>
      </c>
      <c r="S14681" t="s">
        <v>30</v>
      </c>
      <c r="T14681" t="s">
        <v>33794</v>
      </c>
      <c r="U14681" t="s">
        <v>33795</v>
      </c>
      <c r="V14681" t="s">
        <v>33796</v>
      </c>
      <c r="W14681" t="s">
        <v>33797</v>
      </c>
      <c r="X14681" t="s">
        <v>42</v>
      </c>
      <c r="Y14681" t="s">
        <v>17171</v>
      </c>
      <c r="Z14681" t="s">
        <v>13441</v>
      </c>
      <c r="AA14681" s="22" t="str">
        <f>HYPERLINK("https://www.ncbi.nlm.nih.gov/nuccore/EF579955","NCBI Nucleotide")</f>
        <v>NCBI Nucleotide</v>
      </c>
    </row>
    <row r="14682" spans="1:27" x14ac:dyDescent="0.35">
      <c r="A14682">
        <v>1003430</v>
      </c>
      <c r="B14682">
        <v>13247</v>
      </c>
      <c r="C14682">
        <v>1</v>
      </c>
      <c r="D14682" t="s">
        <v>17166</v>
      </c>
      <c r="F14682" t="s">
        <v>17246</v>
      </c>
      <c r="H14682" t="s">
        <v>28921</v>
      </c>
      <c r="J14682" t="s">
        <v>33313</v>
      </c>
      <c r="L14682" t="s">
        <v>33314</v>
      </c>
      <c r="N14682" t="s">
        <v>33315</v>
      </c>
      <c r="P14682" t="s">
        <v>33449</v>
      </c>
      <c r="R14682" s="26" t="str">
        <f>HYPERLINK("https://ictv.global/taxonomy/taxondetails?taxnode_id=202304709","Potyvirus citrullufolimaculae")</f>
        <v>Potyvirus citrullufolimaculae</v>
      </c>
      <c r="S14682" t="s">
        <v>30</v>
      </c>
      <c r="T14682" t="s">
        <v>34126</v>
      </c>
      <c r="U14682" t="s">
        <v>34127</v>
      </c>
      <c r="V14682" t="s">
        <v>18248</v>
      </c>
      <c r="W14682" t="s">
        <v>34128</v>
      </c>
      <c r="X14682" t="s">
        <v>154</v>
      </c>
      <c r="Y14682" t="s">
        <v>17171</v>
      </c>
      <c r="Z14682" t="s">
        <v>13441</v>
      </c>
      <c r="AA14682" s="22" t="str">
        <f>HYPERLINK("https://www.ncbi.nlm.nih.gov/nuccore/AF028004","NCBI Nucleotide")</f>
        <v>NCBI Nucleotide</v>
      </c>
    </row>
    <row r="14683" spans="1:27" x14ac:dyDescent="0.35">
      <c r="A14683">
        <v>1002916</v>
      </c>
      <c r="B14683">
        <v>13248</v>
      </c>
      <c r="C14683">
        <v>1</v>
      </c>
      <c r="D14683" t="s">
        <v>17166</v>
      </c>
      <c r="F14683" t="s">
        <v>17246</v>
      </c>
      <c r="H14683" t="s">
        <v>28921</v>
      </c>
      <c r="J14683" t="s">
        <v>33313</v>
      </c>
      <c r="L14683" t="s">
        <v>33314</v>
      </c>
      <c r="N14683" t="s">
        <v>33315</v>
      </c>
      <c r="P14683" t="s">
        <v>33449</v>
      </c>
      <c r="R14683" s="26" t="str">
        <f>HYPERLINK("https://ictv.global/taxonomy/taxondetails?taxnode_id=202304597","Potyvirus clitoriae")</f>
        <v>Potyvirus clitoriae</v>
      </c>
      <c r="S14683" t="s">
        <v>30</v>
      </c>
      <c r="T14683" t="s">
        <v>33598</v>
      </c>
      <c r="U14683" t="s">
        <v>33599</v>
      </c>
      <c r="V14683" t="s">
        <v>33600</v>
      </c>
      <c r="W14683" t="s">
        <v>33601</v>
      </c>
      <c r="X14683" t="s">
        <v>154</v>
      </c>
      <c r="Y14683" t="s">
        <v>17171</v>
      </c>
      <c r="Z14683" t="s">
        <v>13441</v>
      </c>
      <c r="AA14683" s="22" t="str">
        <f>HYPERLINK("https://www.ncbi.nlm.nih.gov/nuccore/AF228515","NCBI Nucleotide")</f>
        <v>NCBI Nucleotide</v>
      </c>
    </row>
    <row r="14684" spans="1:27" x14ac:dyDescent="0.35">
      <c r="A14684">
        <v>1003379</v>
      </c>
      <c r="B14684">
        <v>13249</v>
      </c>
      <c r="C14684">
        <v>1</v>
      </c>
      <c r="D14684" t="s">
        <v>17166</v>
      </c>
      <c r="F14684" t="s">
        <v>17246</v>
      </c>
      <c r="H14684" t="s">
        <v>28921</v>
      </c>
      <c r="J14684" t="s">
        <v>33313</v>
      </c>
      <c r="L14684" t="s">
        <v>33314</v>
      </c>
      <c r="N14684" t="s">
        <v>33315</v>
      </c>
      <c r="P14684" t="s">
        <v>33449</v>
      </c>
      <c r="R14684" s="26" t="str">
        <f>HYPERLINK("https://ictv.global/taxonomy/taxondetails?taxnode_id=202315110","Potyvirus cliviaflavilineae")</f>
        <v>Potyvirus cliviaflavilineae</v>
      </c>
      <c r="S14684" t="s">
        <v>30</v>
      </c>
      <c r="T14684" t="s">
        <v>33945</v>
      </c>
      <c r="U14684" t="s">
        <v>33946</v>
      </c>
      <c r="V14684" t="s">
        <v>33947</v>
      </c>
      <c r="W14684" t="s">
        <v>33948</v>
      </c>
      <c r="X14684" t="s">
        <v>42</v>
      </c>
      <c r="Y14684" t="s">
        <v>17171</v>
      </c>
      <c r="Z14684" t="s">
        <v>13441</v>
      </c>
      <c r="AA14684" s="22" t="str">
        <f>HYPERLINK("https://www.ncbi.nlm.nih.gov/nuccore/MT533610","NCBI Nucleotide")</f>
        <v>NCBI Nucleotide</v>
      </c>
    </row>
    <row r="14685" spans="1:27" x14ac:dyDescent="0.35">
      <c r="A14685">
        <v>1002968</v>
      </c>
      <c r="B14685">
        <v>13250</v>
      </c>
      <c r="C14685">
        <v>1</v>
      </c>
      <c r="D14685" t="s">
        <v>17166</v>
      </c>
      <c r="F14685" t="s">
        <v>17246</v>
      </c>
      <c r="H14685" t="s">
        <v>28921</v>
      </c>
      <c r="J14685" t="s">
        <v>33313</v>
      </c>
      <c r="L14685" t="s">
        <v>33314</v>
      </c>
      <c r="N14685" t="s">
        <v>33315</v>
      </c>
      <c r="P14685" t="s">
        <v>33449</v>
      </c>
      <c r="R14685" s="26" t="str">
        <f>HYPERLINK("https://ictv.global/taxonomy/taxondetails?taxnode_id=202304639","Potyvirus colchici")</f>
        <v>Potyvirus colchici</v>
      </c>
      <c r="S14685" t="s">
        <v>30</v>
      </c>
      <c r="T14685" t="s">
        <v>33787</v>
      </c>
      <c r="U14685" t="s">
        <v>33788</v>
      </c>
      <c r="V14685" t="s">
        <v>33672</v>
      </c>
      <c r="W14685" t="s">
        <v>33789</v>
      </c>
      <c r="X14685" t="s">
        <v>154</v>
      </c>
      <c r="Y14685" t="s">
        <v>17171</v>
      </c>
      <c r="Z14685" t="s">
        <v>13441</v>
      </c>
      <c r="AA14685" s="22" t="str">
        <f>HYPERLINK("https://www.ncbi.nlm.nih.gov/nuccore/AY388995","NCBI Nucleotide")</f>
        <v>NCBI Nucleotide</v>
      </c>
    </row>
    <row r="14686" spans="1:27" x14ac:dyDescent="0.35">
      <c r="A14686">
        <v>1002920</v>
      </c>
      <c r="B14686">
        <v>13251</v>
      </c>
      <c r="C14686">
        <v>1</v>
      </c>
      <c r="D14686" t="s">
        <v>17166</v>
      </c>
      <c r="F14686" t="s">
        <v>17246</v>
      </c>
      <c r="H14686" t="s">
        <v>28921</v>
      </c>
      <c r="J14686" t="s">
        <v>33313</v>
      </c>
      <c r="L14686" t="s">
        <v>33314</v>
      </c>
      <c r="N14686" t="s">
        <v>33315</v>
      </c>
      <c r="P14686" t="s">
        <v>33449</v>
      </c>
      <c r="R14686" s="26" t="str">
        <f>HYPERLINK("https://ictv.global/taxonomy/taxondetails?taxnode_id=202304601","Potyvirus commelinae")</f>
        <v>Potyvirus commelinae</v>
      </c>
      <c r="S14686" t="s">
        <v>30</v>
      </c>
      <c r="T14686" t="s">
        <v>33611</v>
      </c>
      <c r="U14686" t="s">
        <v>33612</v>
      </c>
      <c r="V14686" t="s">
        <v>18248</v>
      </c>
      <c r="X14686" t="s">
        <v>3311</v>
      </c>
      <c r="Y14686" t="s">
        <v>17171</v>
      </c>
      <c r="Z14686" t="s">
        <v>13441</v>
      </c>
    </row>
    <row r="14687" spans="1:27" x14ac:dyDescent="0.35">
      <c r="A14687">
        <v>1003398</v>
      </c>
      <c r="B14687">
        <v>13252</v>
      </c>
      <c r="C14687">
        <v>1</v>
      </c>
      <c r="D14687" t="s">
        <v>17166</v>
      </c>
      <c r="F14687" t="s">
        <v>17246</v>
      </c>
      <c r="H14687" t="s">
        <v>28921</v>
      </c>
      <c r="J14687" t="s">
        <v>33313</v>
      </c>
      <c r="L14687" t="s">
        <v>33314</v>
      </c>
      <c r="N14687" t="s">
        <v>33315</v>
      </c>
      <c r="P14687" t="s">
        <v>33449</v>
      </c>
      <c r="R14687" s="26" t="str">
        <f>HYPERLINK("https://ictv.global/taxonomy/taxondetails?taxnode_id=202306676","Potyvirus cordophani")</f>
        <v>Potyvirus cordophani</v>
      </c>
      <c r="S14687" t="s">
        <v>30</v>
      </c>
      <c r="T14687" t="s">
        <v>34013</v>
      </c>
      <c r="U14687" t="s">
        <v>34014</v>
      </c>
      <c r="V14687" t="s">
        <v>34015</v>
      </c>
      <c r="W14687" t="s">
        <v>34016</v>
      </c>
      <c r="X14687" t="s">
        <v>42</v>
      </c>
      <c r="Y14687" t="s">
        <v>17171</v>
      </c>
      <c r="Z14687" t="s">
        <v>13441</v>
      </c>
      <c r="AA14687" s="22" t="str">
        <f>HYPERLINK("https://www.ncbi.nlm.nih.gov/nuccore/KY623505","NCBI Nucleotide")</f>
        <v>NCBI Nucleotide</v>
      </c>
    </row>
    <row r="14688" spans="1:27" x14ac:dyDescent="0.35">
      <c r="A14688">
        <v>1002921</v>
      </c>
      <c r="B14688">
        <v>13253</v>
      </c>
      <c r="C14688">
        <v>1</v>
      </c>
      <c r="D14688" t="s">
        <v>17166</v>
      </c>
      <c r="F14688" t="s">
        <v>17246</v>
      </c>
      <c r="H14688" t="s">
        <v>28921</v>
      </c>
      <c r="J14688" t="s">
        <v>33313</v>
      </c>
      <c r="L14688" t="s">
        <v>33314</v>
      </c>
      <c r="N14688" t="s">
        <v>33315</v>
      </c>
      <c r="P14688" t="s">
        <v>33449</v>
      </c>
      <c r="R14688" s="26" t="str">
        <f>HYPERLINK("https://ictv.global/taxonomy/taxondetails?taxnode_id=202309670","Potyvirus costus")</f>
        <v>Potyvirus costus</v>
      </c>
      <c r="S14688" t="s">
        <v>30</v>
      </c>
      <c r="T14688" t="s">
        <v>33613</v>
      </c>
      <c r="U14688" t="s">
        <v>33614</v>
      </c>
      <c r="V14688" t="s">
        <v>33615</v>
      </c>
      <c r="W14688" t="s">
        <v>33616</v>
      </c>
      <c r="X14688" t="s">
        <v>42</v>
      </c>
      <c r="Y14688" t="s">
        <v>17171</v>
      </c>
      <c r="Z14688" t="s">
        <v>13441</v>
      </c>
      <c r="AA14688" s="22" t="str">
        <f>HYPERLINK("https://www.ncbi.nlm.nih.gov/nuccore/MK286375","NCBI Nucleotide")</f>
        <v>NCBI Nucleotide</v>
      </c>
    </row>
    <row r="14689" spans="1:27" x14ac:dyDescent="0.35">
      <c r="A14689">
        <v>1003391</v>
      </c>
      <c r="B14689">
        <v>13254</v>
      </c>
      <c r="C14689">
        <v>1</v>
      </c>
      <c r="D14689" t="s">
        <v>17166</v>
      </c>
      <c r="F14689" t="s">
        <v>17246</v>
      </c>
      <c r="H14689" t="s">
        <v>28921</v>
      </c>
      <c r="J14689" t="s">
        <v>33313</v>
      </c>
      <c r="L14689" t="s">
        <v>33314</v>
      </c>
      <c r="N14689" t="s">
        <v>33315</v>
      </c>
      <c r="P14689" t="s">
        <v>33449</v>
      </c>
      <c r="R14689" s="26" t="str">
        <f>HYPERLINK("https://ictv.global/taxonomy/taxondetails?taxnode_id=202306675","Potyvirus croci")</f>
        <v>Potyvirus croci</v>
      </c>
      <c r="S14689" t="s">
        <v>30</v>
      </c>
      <c r="T14689" t="s">
        <v>33989</v>
      </c>
      <c r="U14689" t="s">
        <v>33990</v>
      </c>
      <c r="V14689" t="s">
        <v>33991</v>
      </c>
      <c r="W14689" t="s">
        <v>33992</v>
      </c>
      <c r="X14689" t="s">
        <v>42</v>
      </c>
      <c r="Y14689" t="s">
        <v>17171</v>
      </c>
      <c r="Z14689" t="s">
        <v>13441</v>
      </c>
      <c r="AA14689" s="22" t="str">
        <f>HYPERLINK("https://www.ncbi.nlm.nih.gov/nuccore/KY562565","NCBI Nucleotide")</f>
        <v>NCBI Nucleotide</v>
      </c>
    </row>
    <row r="14690" spans="1:27" x14ac:dyDescent="0.35">
      <c r="A14690">
        <v>1002923</v>
      </c>
      <c r="B14690">
        <v>13255</v>
      </c>
      <c r="C14690">
        <v>1</v>
      </c>
      <c r="D14690" t="s">
        <v>17166</v>
      </c>
      <c r="F14690" t="s">
        <v>17246</v>
      </c>
      <c r="H14690" t="s">
        <v>28921</v>
      </c>
      <c r="J14690" t="s">
        <v>33313</v>
      </c>
      <c r="L14690" t="s">
        <v>33314</v>
      </c>
      <c r="N14690" t="s">
        <v>33315</v>
      </c>
      <c r="P14690" t="s">
        <v>33449</v>
      </c>
      <c r="R14690" s="26" t="str">
        <f>HYPERLINK("https://ictv.global/taxonomy/taxondetails?taxnode_id=202306672","Potyvirus cucurbitae")</f>
        <v>Potyvirus cucurbitae</v>
      </c>
      <c r="S14690" t="s">
        <v>30</v>
      </c>
      <c r="T14690" t="s">
        <v>33621</v>
      </c>
      <c r="U14690" t="s">
        <v>33622</v>
      </c>
      <c r="V14690">
        <v>43468</v>
      </c>
      <c r="W14690" t="s">
        <v>33623</v>
      </c>
      <c r="X14690" t="s">
        <v>42</v>
      </c>
      <c r="Y14690" t="s">
        <v>17171</v>
      </c>
      <c r="Z14690" t="s">
        <v>13441</v>
      </c>
      <c r="AA14690" s="22" t="str">
        <f>HYPERLINK("https://www.ncbi.nlm.nih.gov/nuccore/KY657266","NCBI Nucleotide")</f>
        <v>NCBI Nucleotide</v>
      </c>
    </row>
    <row r="14691" spans="1:27" x14ac:dyDescent="0.35">
      <c r="A14691">
        <v>1003445</v>
      </c>
      <c r="B14691">
        <v>13256</v>
      </c>
      <c r="C14691">
        <v>1</v>
      </c>
      <c r="D14691" t="s">
        <v>17166</v>
      </c>
      <c r="F14691" t="s">
        <v>17246</v>
      </c>
      <c r="H14691" t="s">
        <v>28921</v>
      </c>
      <c r="J14691" t="s">
        <v>33313</v>
      </c>
      <c r="L14691" t="s">
        <v>33314</v>
      </c>
      <c r="N14691" t="s">
        <v>33315</v>
      </c>
      <c r="P14691" t="s">
        <v>33449</v>
      </c>
      <c r="R14691" s="26" t="str">
        <f>HYPERLINK("https://ictv.global/taxonomy/taxondetails?taxnode_id=202304722","Potyvirus cucurbitaflavitesselati")</f>
        <v>Potyvirus cucurbitaflavitesselati</v>
      </c>
      <c r="S14691" t="s">
        <v>30</v>
      </c>
      <c r="T14691" t="s">
        <v>34183</v>
      </c>
      <c r="U14691" t="s">
        <v>34184</v>
      </c>
      <c r="V14691" t="s">
        <v>34185</v>
      </c>
      <c r="W14691" t="s">
        <v>34186</v>
      </c>
      <c r="X14691" t="s">
        <v>42</v>
      </c>
      <c r="Y14691" t="s">
        <v>17171</v>
      </c>
      <c r="Z14691" t="s">
        <v>13441</v>
      </c>
      <c r="AA14691" s="22" t="str">
        <f>HYPERLINK("https://www.ncbi.nlm.nih.gov/nuccore/AF127929","NCBI Nucleotide")</f>
        <v>NCBI Nucleotide</v>
      </c>
    </row>
    <row r="14692" spans="1:27" x14ac:dyDescent="0.35">
      <c r="A14692">
        <v>1002956</v>
      </c>
      <c r="B14692">
        <v>13257</v>
      </c>
      <c r="C14692">
        <v>1</v>
      </c>
      <c r="D14692" t="s">
        <v>17166</v>
      </c>
      <c r="F14692" t="s">
        <v>17246</v>
      </c>
      <c r="H14692" t="s">
        <v>28921</v>
      </c>
      <c r="J14692" t="s">
        <v>33313</v>
      </c>
      <c r="L14692" t="s">
        <v>33314</v>
      </c>
      <c r="N14692" t="s">
        <v>33315</v>
      </c>
      <c r="P14692" t="s">
        <v>33449</v>
      </c>
      <c r="R14692" s="26" t="str">
        <f>HYPERLINK("https://ictv.global/taxonomy/taxondetails?taxnode_id=202304629","Potyvirus cynanchi")</f>
        <v>Potyvirus cynanchi</v>
      </c>
      <c r="S14692" t="s">
        <v>30</v>
      </c>
      <c r="T14692" t="s">
        <v>33744</v>
      </c>
      <c r="U14692" t="s">
        <v>33745</v>
      </c>
      <c r="V14692" t="s">
        <v>33746</v>
      </c>
      <c r="W14692" t="s">
        <v>33747</v>
      </c>
      <c r="X14692" t="s">
        <v>42</v>
      </c>
      <c r="Y14692" t="s">
        <v>17171</v>
      </c>
      <c r="Z14692" t="s">
        <v>13441</v>
      </c>
      <c r="AA14692" s="22" t="str">
        <f>HYPERLINK("https://www.ncbi.nlm.nih.gov/nuccore/JF838187","NCBI Nucleotide")</f>
        <v>NCBI Nucleotide</v>
      </c>
    </row>
    <row r="14693" spans="1:27" x14ac:dyDescent="0.35">
      <c r="A14693">
        <v>1002924</v>
      </c>
      <c r="B14693">
        <v>13258</v>
      </c>
      <c r="C14693">
        <v>1</v>
      </c>
      <c r="D14693" t="s">
        <v>17166</v>
      </c>
      <c r="F14693" t="s">
        <v>17246</v>
      </c>
      <c r="H14693" t="s">
        <v>28921</v>
      </c>
      <c r="J14693" t="s">
        <v>33313</v>
      </c>
      <c r="L14693" t="s">
        <v>33314</v>
      </c>
      <c r="N14693" t="s">
        <v>33315</v>
      </c>
      <c r="P14693" t="s">
        <v>33449</v>
      </c>
      <c r="R14693" s="26" t="str">
        <f>HYPERLINK("https://ictv.global/taxonomy/taxondetails?taxnode_id=202304603","Potyvirus cypripedii")</f>
        <v>Potyvirus cypripedii</v>
      </c>
      <c r="S14693" t="s">
        <v>30</v>
      </c>
      <c r="T14693" t="s">
        <v>33624</v>
      </c>
      <c r="U14693" t="s">
        <v>33625</v>
      </c>
      <c r="V14693" t="s">
        <v>33626</v>
      </c>
      <c r="W14693" t="s">
        <v>33627</v>
      </c>
      <c r="X14693" t="s">
        <v>154</v>
      </c>
      <c r="Y14693" t="s">
        <v>17171</v>
      </c>
      <c r="Z14693" t="s">
        <v>13441</v>
      </c>
      <c r="AA14693" s="22" t="str">
        <f>HYPERLINK("https://www.ncbi.nlm.nih.gov/nuccore/AF185954","NCBI Nucleotide")</f>
        <v>NCBI Nucleotide</v>
      </c>
    </row>
    <row r="14694" spans="1:27" x14ac:dyDescent="0.35">
      <c r="A14694">
        <v>1002925</v>
      </c>
      <c r="B14694">
        <v>13259</v>
      </c>
      <c r="C14694">
        <v>1</v>
      </c>
      <c r="D14694" t="s">
        <v>17166</v>
      </c>
      <c r="F14694" t="s">
        <v>17246</v>
      </c>
      <c r="H14694" t="s">
        <v>28921</v>
      </c>
      <c r="J14694" t="s">
        <v>33313</v>
      </c>
      <c r="L14694" t="s">
        <v>33314</v>
      </c>
      <c r="N14694" t="s">
        <v>33315</v>
      </c>
      <c r="P14694" t="s">
        <v>33449</v>
      </c>
      <c r="R14694" s="26" t="str">
        <f>HYPERLINK("https://ictv.global/taxonomy/taxondetails?taxnode_id=202304604","Potyvirus cyrtanthi")</f>
        <v>Potyvirus cyrtanthi</v>
      </c>
      <c r="S14694" t="s">
        <v>30</v>
      </c>
      <c r="T14694" t="s">
        <v>33628</v>
      </c>
      <c r="U14694" t="s">
        <v>33629</v>
      </c>
      <c r="V14694" t="s">
        <v>33630</v>
      </c>
      <c r="W14694" t="s">
        <v>33631</v>
      </c>
      <c r="X14694" t="s">
        <v>42</v>
      </c>
      <c r="Y14694" t="s">
        <v>17171</v>
      </c>
      <c r="Z14694" t="s">
        <v>13441</v>
      </c>
      <c r="AA14694" s="22" t="str">
        <f>HYPERLINK("https://www.ncbi.nlm.nih.gov/nuccore/JQ723475","NCBI Nucleotide")</f>
        <v>NCBI Nucleotide</v>
      </c>
    </row>
    <row r="14695" spans="1:27" x14ac:dyDescent="0.35">
      <c r="A14695">
        <v>1002918</v>
      </c>
      <c r="B14695">
        <v>13260</v>
      </c>
      <c r="C14695">
        <v>1</v>
      </c>
      <c r="D14695" t="s">
        <v>17166</v>
      </c>
      <c r="F14695" t="s">
        <v>17246</v>
      </c>
      <c r="H14695" t="s">
        <v>28921</v>
      </c>
      <c r="J14695" t="s">
        <v>33313</v>
      </c>
      <c r="L14695" t="s">
        <v>33314</v>
      </c>
      <c r="N14695" t="s">
        <v>33315</v>
      </c>
      <c r="P14695" t="s">
        <v>33449</v>
      </c>
      <c r="R14695" s="26" t="str">
        <f>HYPERLINK("https://ictv.global/taxonomy/taxondetails?taxnode_id=202304599","Potyvirus dactylis")</f>
        <v>Potyvirus dactylis</v>
      </c>
      <c r="S14695" t="s">
        <v>30</v>
      </c>
      <c r="T14695" t="s">
        <v>33606</v>
      </c>
      <c r="U14695" t="s">
        <v>30105</v>
      </c>
      <c r="V14695" t="s">
        <v>33607</v>
      </c>
      <c r="W14695" t="s">
        <v>33608</v>
      </c>
      <c r="X14695" t="s">
        <v>42</v>
      </c>
      <c r="Y14695" t="s">
        <v>17171</v>
      </c>
      <c r="Z14695" t="s">
        <v>13441</v>
      </c>
      <c r="AA14695" s="22" t="str">
        <f>HYPERLINK("https://www.ncbi.nlm.nih.gov/nuccore/AF499738","NCBI Nucleotide")</f>
        <v>NCBI Nucleotide</v>
      </c>
    </row>
    <row r="14696" spans="1:27" x14ac:dyDescent="0.35">
      <c r="A14696">
        <v>1002926</v>
      </c>
      <c r="B14696">
        <v>13261</v>
      </c>
      <c r="C14696">
        <v>1</v>
      </c>
      <c r="D14696" t="s">
        <v>17166</v>
      </c>
      <c r="F14696" t="s">
        <v>17246</v>
      </c>
      <c r="H14696" t="s">
        <v>28921</v>
      </c>
      <c r="J14696" t="s">
        <v>33313</v>
      </c>
      <c r="L14696" t="s">
        <v>33314</v>
      </c>
      <c r="N14696" t="s">
        <v>33315</v>
      </c>
      <c r="P14696" t="s">
        <v>33449</v>
      </c>
      <c r="R14696" s="26" t="str">
        <f>HYPERLINK("https://ictv.global/taxonomy/taxondetails?taxnode_id=202304605","Potyvirus daphnis")</f>
        <v>Potyvirus daphnis</v>
      </c>
      <c r="S14696" t="s">
        <v>30</v>
      </c>
      <c r="T14696" t="s">
        <v>33632</v>
      </c>
      <c r="U14696" t="s">
        <v>33633</v>
      </c>
      <c r="V14696" t="s">
        <v>33634</v>
      </c>
      <c r="W14696" t="s">
        <v>33635</v>
      </c>
      <c r="X14696" t="s">
        <v>42</v>
      </c>
      <c r="Y14696" t="s">
        <v>17171</v>
      </c>
      <c r="Z14696" t="s">
        <v>13441</v>
      </c>
      <c r="AA14696" s="22" t="str">
        <f>HYPERLINK("https://www.ncbi.nlm.nih.gov/nuccore/DQ299908","NCBI Nucleotide")</f>
        <v>NCBI Nucleotide</v>
      </c>
    </row>
    <row r="14697" spans="1:27" x14ac:dyDescent="0.35">
      <c r="A14697">
        <v>1002928</v>
      </c>
      <c r="B14697">
        <v>13262</v>
      </c>
      <c r="C14697">
        <v>1</v>
      </c>
      <c r="D14697" t="s">
        <v>17166</v>
      </c>
      <c r="F14697" t="s">
        <v>17246</v>
      </c>
      <c r="H14697" t="s">
        <v>28921</v>
      </c>
      <c r="J14697" t="s">
        <v>33313</v>
      </c>
      <c r="L14697" t="s">
        <v>33314</v>
      </c>
      <c r="N14697" t="s">
        <v>33315</v>
      </c>
      <c r="P14697" t="s">
        <v>33449</v>
      </c>
      <c r="R14697" s="26" t="str">
        <f>HYPERLINK("https://ictv.global/taxonomy/taxondetails?taxnode_id=202304606","Potyvirus dasheenis")</f>
        <v>Potyvirus dasheenis</v>
      </c>
      <c r="S14697" t="s">
        <v>30</v>
      </c>
      <c r="T14697" t="s">
        <v>33639</v>
      </c>
      <c r="U14697" t="s">
        <v>33640</v>
      </c>
      <c r="V14697" t="s">
        <v>10572</v>
      </c>
      <c r="W14697" t="s">
        <v>33641</v>
      </c>
      <c r="X14697" t="s">
        <v>42</v>
      </c>
      <c r="Y14697" t="s">
        <v>17171</v>
      </c>
      <c r="Z14697" t="s">
        <v>13441</v>
      </c>
      <c r="AA14697" s="22" t="str">
        <f>HYPERLINK("https://www.ncbi.nlm.nih.gov/nuccore/AJ298033","NCBI Nucleotide")</f>
        <v>NCBI Nucleotide</v>
      </c>
    </row>
    <row r="14698" spans="1:27" x14ac:dyDescent="0.35">
      <c r="A14698">
        <v>1011930</v>
      </c>
      <c r="B14698">
        <v>13262</v>
      </c>
      <c r="C14698">
        <v>2</v>
      </c>
      <c r="D14698" t="s">
        <v>17166</v>
      </c>
      <c r="F14698" t="s">
        <v>17246</v>
      </c>
      <c r="H14698" t="s">
        <v>28921</v>
      </c>
      <c r="J14698" t="s">
        <v>33313</v>
      </c>
      <c r="L14698" t="s">
        <v>33314</v>
      </c>
      <c r="N14698" t="s">
        <v>33315</v>
      </c>
      <c r="P14698" t="s">
        <v>33449</v>
      </c>
      <c r="R14698" s="26" t="str">
        <f>HYPERLINK("https://ictv.global/taxonomy/taxondetails?taxnode_id=202304606","Potyvirus dasheenis")</f>
        <v>Potyvirus dasheenis</v>
      </c>
      <c r="S14698" t="s">
        <v>8141</v>
      </c>
      <c r="T14698" t="s">
        <v>33642</v>
      </c>
      <c r="U14698" t="s">
        <v>33643</v>
      </c>
      <c r="V14698" t="s">
        <v>33644</v>
      </c>
      <c r="W14698" t="s">
        <v>50124</v>
      </c>
      <c r="X14698" t="s">
        <v>42</v>
      </c>
      <c r="Y14698" t="s">
        <v>17171</v>
      </c>
      <c r="Z14698" t="s">
        <v>13441</v>
      </c>
      <c r="AA14698" s="22" t="str">
        <f>HYPERLINK("https://www.ncbi.nlm.nih.gov/nuccore/KX505964","NCBI Nucleotide")</f>
        <v>NCBI Nucleotide</v>
      </c>
    </row>
    <row r="14699" spans="1:27" x14ac:dyDescent="0.35">
      <c r="A14699">
        <v>1002929</v>
      </c>
      <c r="B14699">
        <v>13263</v>
      </c>
      <c r="C14699">
        <v>1</v>
      </c>
      <c r="D14699" t="s">
        <v>17166</v>
      </c>
      <c r="F14699" t="s">
        <v>17246</v>
      </c>
      <c r="H14699" t="s">
        <v>28921</v>
      </c>
      <c r="J14699" t="s">
        <v>33313</v>
      </c>
      <c r="L14699" t="s">
        <v>33314</v>
      </c>
      <c r="N14699" t="s">
        <v>33315</v>
      </c>
      <c r="P14699" t="s">
        <v>33449</v>
      </c>
      <c r="R14699" s="26" t="str">
        <f>HYPERLINK("https://ictv.global/taxonomy/taxondetails?taxnode_id=202304607","Potyvirus daturae")</f>
        <v>Potyvirus daturae</v>
      </c>
      <c r="S14699" t="s">
        <v>30</v>
      </c>
      <c r="T14699" t="s">
        <v>33645</v>
      </c>
      <c r="U14699" t="s">
        <v>33646</v>
      </c>
      <c r="V14699" t="s">
        <v>33647</v>
      </c>
      <c r="X14699" t="s">
        <v>3311</v>
      </c>
      <c r="Y14699" t="s">
        <v>17171</v>
      </c>
      <c r="Z14699" t="s">
        <v>13441</v>
      </c>
    </row>
    <row r="14700" spans="1:27" x14ac:dyDescent="0.35">
      <c r="A14700">
        <v>1002930</v>
      </c>
      <c r="B14700">
        <v>13264</v>
      </c>
      <c r="C14700">
        <v>1</v>
      </c>
      <c r="D14700" t="s">
        <v>17166</v>
      </c>
      <c r="F14700" t="s">
        <v>17246</v>
      </c>
      <c r="H14700" t="s">
        <v>28921</v>
      </c>
      <c r="J14700" t="s">
        <v>33313</v>
      </c>
      <c r="L14700" t="s">
        <v>33314</v>
      </c>
      <c r="N14700" t="s">
        <v>33315</v>
      </c>
      <c r="P14700" t="s">
        <v>33449</v>
      </c>
      <c r="R14700" s="26" t="str">
        <f>HYPERLINK("https://ictv.global/taxonomy/taxondetails?taxnode_id=202307431","Potyvirus dendrobii")</f>
        <v>Potyvirus dendrobii</v>
      </c>
      <c r="S14700" t="s">
        <v>30</v>
      </c>
      <c r="T14700" t="s">
        <v>33648</v>
      </c>
      <c r="U14700" t="s">
        <v>33649</v>
      </c>
      <c r="V14700" t="s">
        <v>33650</v>
      </c>
      <c r="W14700" t="s">
        <v>33651</v>
      </c>
      <c r="X14700" t="s">
        <v>42</v>
      </c>
      <c r="Y14700" t="s">
        <v>17171</v>
      </c>
      <c r="Z14700" t="s">
        <v>13441</v>
      </c>
      <c r="AA14700" s="22" t="str">
        <f>HYPERLINK("https://www.ncbi.nlm.nih.gov/nuccore/MK241979","NCBI Nucleotide")</f>
        <v>NCBI Nucleotide</v>
      </c>
    </row>
    <row r="14701" spans="1:27" x14ac:dyDescent="0.35">
      <c r="A14701">
        <v>1002907</v>
      </c>
      <c r="B14701">
        <v>13265</v>
      </c>
      <c r="C14701">
        <v>1</v>
      </c>
      <c r="D14701" t="s">
        <v>17166</v>
      </c>
      <c r="F14701" t="s">
        <v>17246</v>
      </c>
      <c r="H14701" t="s">
        <v>28921</v>
      </c>
      <c r="J14701" t="s">
        <v>33313</v>
      </c>
      <c r="L14701" t="s">
        <v>33314</v>
      </c>
      <c r="N14701" t="s">
        <v>33315</v>
      </c>
      <c r="P14701" t="s">
        <v>33449</v>
      </c>
      <c r="R14701" s="26" t="str">
        <f>HYPERLINK("https://ictv.global/taxonomy/taxondetails?taxnode_id=202304588","Potyvirus dianthi")</f>
        <v>Potyvirus dianthi</v>
      </c>
      <c r="S14701" t="s">
        <v>30</v>
      </c>
      <c r="T14701" t="s">
        <v>33569</v>
      </c>
      <c r="U14701" t="s">
        <v>33570</v>
      </c>
      <c r="V14701" t="s">
        <v>33471</v>
      </c>
      <c r="W14701" t="s">
        <v>33571</v>
      </c>
      <c r="X14701" t="s">
        <v>154</v>
      </c>
      <c r="Y14701" t="s">
        <v>17171</v>
      </c>
      <c r="Z14701" t="s">
        <v>13441</v>
      </c>
      <c r="AA14701" s="22" t="str">
        <f>HYPERLINK("https://www.ncbi.nlm.nih.gov/nuccore/AB017630","NCBI Nucleotide")</f>
        <v>NCBI Nucleotide</v>
      </c>
    </row>
    <row r="14702" spans="1:27" x14ac:dyDescent="0.35">
      <c r="A14702">
        <v>1002931</v>
      </c>
      <c r="B14702">
        <v>13266</v>
      </c>
      <c r="C14702">
        <v>1</v>
      </c>
      <c r="D14702" t="s">
        <v>17166</v>
      </c>
      <c r="F14702" t="s">
        <v>17246</v>
      </c>
      <c r="H14702" t="s">
        <v>28921</v>
      </c>
      <c r="J14702" t="s">
        <v>33313</v>
      </c>
      <c r="L14702" t="s">
        <v>33314</v>
      </c>
      <c r="N14702" t="s">
        <v>33315</v>
      </c>
      <c r="P14702" t="s">
        <v>33449</v>
      </c>
      <c r="R14702" s="26" t="str">
        <f>HYPERLINK("https://ictv.global/taxonomy/taxondetails?taxnode_id=202307432","Potyvirus dioscoreae")</f>
        <v>Potyvirus dioscoreae</v>
      </c>
      <c r="S14702" t="s">
        <v>30</v>
      </c>
      <c r="T14702" t="s">
        <v>33652</v>
      </c>
      <c r="U14702" t="s">
        <v>14467</v>
      </c>
      <c r="V14702" t="s">
        <v>18248</v>
      </c>
      <c r="W14702" t="s">
        <v>33653</v>
      </c>
      <c r="X14702" t="s">
        <v>42</v>
      </c>
      <c r="Y14702" t="s">
        <v>17171</v>
      </c>
      <c r="Z14702" t="s">
        <v>13441</v>
      </c>
      <c r="AA14702" s="22" t="str">
        <f>HYPERLINK("https://www.ncbi.nlm.nih.gov/nuccore/MH206616","NCBI Nucleotide")</f>
        <v>NCBI Nucleotide</v>
      </c>
    </row>
    <row r="14703" spans="1:27" x14ac:dyDescent="0.35">
      <c r="A14703">
        <v>1003407</v>
      </c>
      <c r="B14703">
        <v>13267</v>
      </c>
      <c r="C14703">
        <v>1</v>
      </c>
      <c r="D14703" t="s">
        <v>17166</v>
      </c>
      <c r="F14703" t="s">
        <v>17246</v>
      </c>
      <c r="H14703" t="s">
        <v>28921</v>
      </c>
      <c r="J14703" t="s">
        <v>33313</v>
      </c>
      <c r="L14703" t="s">
        <v>33314</v>
      </c>
      <c r="N14703" t="s">
        <v>33315</v>
      </c>
      <c r="P14703" t="s">
        <v>33449</v>
      </c>
      <c r="R14703" s="26" t="str">
        <f>HYPERLINK("https://ictv.global/taxonomy/taxondetails?taxnode_id=202304688","Potyvirus duobatatae")</f>
        <v>Potyvirus duobatatae</v>
      </c>
      <c r="S14703" t="s">
        <v>30</v>
      </c>
      <c r="T14703" t="s">
        <v>34045</v>
      </c>
      <c r="U14703" t="s">
        <v>34046</v>
      </c>
      <c r="V14703" t="s">
        <v>34047</v>
      </c>
      <c r="W14703" t="s">
        <v>34048</v>
      </c>
      <c r="X14703" t="s">
        <v>42</v>
      </c>
      <c r="Y14703" t="s">
        <v>17171</v>
      </c>
      <c r="Z14703" t="s">
        <v>13441</v>
      </c>
      <c r="AA14703" s="22" t="str">
        <f>HYPERLINK("https://www.ncbi.nlm.nih.gov/nuccore/JN613807","NCBI Nucleotide")</f>
        <v>NCBI Nucleotide</v>
      </c>
    </row>
    <row r="14704" spans="1:27" x14ac:dyDescent="0.35">
      <c r="A14704">
        <v>1003418</v>
      </c>
      <c r="B14704">
        <v>13268</v>
      </c>
      <c r="C14704">
        <v>1</v>
      </c>
      <c r="D14704" t="s">
        <v>17166</v>
      </c>
      <c r="F14704" t="s">
        <v>17246</v>
      </c>
      <c r="H14704" t="s">
        <v>28921</v>
      </c>
      <c r="J14704" t="s">
        <v>33313</v>
      </c>
      <c r="L14704" t="s">
        <v>33314</v>
      </c>
      <c r="N14704" t="s">
        <v>33315</v>
      </c>
      <c r="P14704" t="s">
        <v>33449</v>
      </c>
      <c r="R14704" s="26" t="str">
        <f>HYPERLINK("https://ictv.global/taxonomy/taxondetails?taxnode_id=202304698","Potyvirus esculentinecrosis")</f>
        <v>Potyvirus esculentinecrosis</v>
      </c>
      <c r="S14704" t="s">
        <v>30</v>
      </c>
      <c r="T14704" t="s">
        <v>34083</v>
      </c>
      <c r="U14704" t="s">
        <v>34084</v>
      </c>
      <c r="V14704" t="s">
        <v>34085</v>
      </c>
      <c r="W14704" t="s">
        <v>34086</v>
      </c>
      <c r="X14704" t="s">
        <v>42</v>
      </c>
      <c r="Y14704" t="s">
        <v>17171</v>
      </c>
      <c r="Z14704" t="s">
        <v>13441</v>
      </c>
      <c r="AA14704" s="22" t="str">
        <f>HYPERLINK("https://www.ncbi.nlm.nih.gov/nuccore/JQ314463","NCBI Nucleotide")</f>
        <v>NCBI Nucleotide</v>
      </c>
    </row>
    <row r="14705" spans="1:27" x14ac:dyDescent="0.35">
      <c r="A14705">
        <v>1002883</v>
      </c>
      <c r="B14705">
        <v>13269</v>
      </c>
      <c r="C14705">
        <v>1</v>
      </c>
      <c r="D14705" t="s">
        <v>17166</v>
      </c>
      <c r="F14705" t="s">
        <v>17246</v>
      </c>
      <c r="H14705" t="s">
        <v>28921</v>
      </c>
      <c r="J14705" t="s">
        <v>33313</v>
      </c>
      <c r="L14705" t="s">
        <v>33314</v>
      </c>
      <c r="N14705" t="s">
        <v>33315</v>
      </c>
      <c r="P14705" t="s">
        <v>33449</v>
      </c>
      <c r="R14705" s="26" t="str">
        <f>HYPERLINK("https://ictv.global/taxonomy/taxondetails?taxnode_id=202304567","Potyvirus eucharae")</f>
        <v>Potyvirus eucharae</v>
      </c>
      <c r="S14705" t="s">
        <v>30</v>
      </c>
      <c r="T14705" t="s">
        <v>33469</v>
      </c>
      <c r="U14705" t="s">
        <v>33470</v>
      </c>
      <c r="V14705" t="s">
        <v>33471</v>
      </c>
      <c r="W14705" t="s">
        <v>33472</v>
      </c>
      <c r="X14705" t="s">
        <v>154</v>
      </c>
      <c r="Y14705" t="s">
        <v>17171</v>
      </c>
      <c r="Z14705" t="s">
        <v>13441</v>
      </c>
      <c r="AA14705" s="22" t="str">
        <f>HYPERLINK("https://www.ncbi.nlm.nih.gov/nuccore/AB158523","NCBI Nucleotide")</f>
        <v>NCBI Nucleotide</v>
      </c>
    </row>
    <row r="14706" spans="1:27" x14ac:dyDescent="0.35">
      <c r="A14706">
        <v>1002937</v>
      </c>
      <c r="B14706">
        <v>13270</v>
      </c>
      <c r="C14706">
        <v>1</v>
      </c>
      <c r="D14706" t="s">
        <v>17166</v>
      </c>
      <c r="F14706" t="s">
        <v>17246</v>
      </c>
      <c r="H14706" t="s">
        <v>28921</v>
      </c>
      <c r="J14706" t="s">
        <v>33313</v>
      </c>
      <c r="L14706" t="s">
        <v>33314</v>
      </c>
      <c r="N14706" t="s">
        <v>33315</v>
      </c>
      <c r="P14706" t="s">
        <v>33449</v>
      </c>
      <c r="R14706" s="26" t="str">
        <f>HYPERLINK("https://ictv.global/taxonomy/taxondetails?taxnode_id=202304612","Potyvirus euphorbiae")</f>
        <v>Potyvirus euphorbiae</v>
      </c>
      <c r="S14706" t="s">
        <v>30</v>
      </c>
      <c r="T14706" t="s">
        <v>33674</v>
      </c>
      <c r="U14706" t="s">
        <v>33675</v>
      </c>
      <c r="V14706" t="s">
        <v>33676</v>
      </c>
      <c r="W14706" t="s">
        <v>33677</v>
      </c>
      <c r="X14706" t="s">
        <v>42</v>
      </c>
      <c r="Y14706" t="s">
        <v>17171</v>
      </c>
      <c r="Z14706" t="s">
        <v>13441</v>
      </c>
      <c r="AA14706" s="22" t="str">
        <f>HYPERLINK("https://www.ncbi.nlm.nih.gov/nuccore/KX355613","NCBI Nucleotide")</f>
        <v>NCBI Nucleotide</v>
      </c>
    </row>
    <row r="14707" spans="1:27" x14ac:dyDescent="0.35">
      <c r="A14707">
        <v>1011931</v>
      </c>
      <c r="B14707">
        <v>13270</v>
      </c>
      <c r="C14707">
        <v>2</v>
      </c>
      <c r="D14707" t="s">
        <v>17166</v>
      </c>
      <c r="F14707" t="s">
        <v>17246</v>
      </c>
      <c r="H14707" t="s">
        <v>28921</v>
      </c>
      <c r="J14707" t="s">
        <v>33313</v>
      </c>
      <c r="L14707" t="s">
        <v>33314</v>
      </c>
      <c r="N14707" t="s">
        <v>33315</v>
      </c>
      <c r="P14707" t="s">
        <v>33449</v>
      </c>
      <c r="R14707" s="26" t="str">
        <f>HYPERLINK("https://ictv.global/taxonomy/taxondetails?taxnode_id=202304612","Potyvirus euphorbiae")</f>
        <v>Potyvirus euphorbiae</v>
      </c>
      <c r="S14707" t="s">
        <v>8141</v>
      </c>
      <c r="T14707" t="s">
        <v>33674</v>
      </c>
      <c r="U14707" t="s">
        <v>33675</v>
      </c>
      <c r="V14707" t="s">
        <v>33678</v>
      </c>
      <c r="W14707" t="s">
        <v>50125</v>
      </c>
      <c r="X14707" t="s">
        <v>154</v>
      </c>
      <c r="Y14707" t="s">
        <v>17171</v>
      </c>
      <c r="Z14707" t="s">
        <v>13441</v>
      </c>
      <c r="AA14707" s="22" t="str">
        <f>HYPERLINK("https://www.ncbi.nlm.nih.gov/nuccore/AY697300","NCBI Nucleotide")</f>
        <v>NCBI Nucleotide</v>
      </c>
    </row>
    <row r="14708" spans="1:27" x14ac:dyDescent="0.35">
      <c r="A14708">
        <v>1003380</v>
      </c>
      <c r="B14708">
        <v>13271</v>
      </c>
      <c r="C14708">
        <v>1</v>
      </c>
      <c r="D14708" t="s">
        <v>17166</v>
      </c>
      <c r="F14708" t="s">
        <v>17246</v>
      </c>
      <c r="H14708" t="s">
        <v>28921</v>
      </c>
      <c r="J14708" t="s">
        <v>33313</v>
      </c>
      <c r="L14708" t="s">
        <v>33314</v>
      </c>
      <c r="N14708" t="s">
        <v>33315</v>
      </c>
      <c r="P14708" t="s">
        <v>33449</v>
      </c>
      <c r="R14708" s="26" t="str">
        <f>HYPERLINK("https://ictv.global/taxonomy/taxondetails?taxnode_id=202313838","Potyvirus fountaingrassi")</f>
        <v>Potyvirus fountaingrassi</v>
      </c>
      <c r="S14708" t="s">
        <v>30</v>
      </c>
      <c r="T14708" t="s">
        <v>33949</v>
      </c>
      <c r="U14708" t="s">
        <v>33950</v>
      </c>
      <c r="V14708" t="s">
        <v>33951</v>
      </c>
      <c r="W14708" t="s">
        <v>33952</v>
      </c>
      <c r="X14708" t="s">
        <v>42</v>
      </c>
      <c r="Y14708" t="s">
        <v>17171</v>
      </c>
      <c r="Z14708" t="s">
        <v>13441</v>
      </c>
      <c r="AA14708" s="22" t="str">
        <f>HYPERLINK("https://www.ncbi.nlm.nih.gov/nuccore/MT790493","NCBI Nucleotide")</f>
        <v>NCBI Nucleotide</v>
      </c>
    </row>
    <row r="14709" spans="1:27" x14ac:dyDescent="0.35">
      <c r="A14709">
        <v>1002938</v>
      </c>
      <c r="B14709">
        <v>13272</v>
      </c>
      <c r="C14709">
        <v>1</v>
      </c>
      <c r="D14709" t="s">
        <v>17166</v>
      </c>
      <c r="F14709" t="s">
        <v>17246</v>
      </c>
      <c r="H14709" t="s">
        <v>28921</v>
      </c>
      <c r="J14709" t="s">
        <v>33313</v>
      </c>
      <c r="L14709" t="s">
        <v>33314</v>
      </c>
      <c r="N14709" t="s">
        <v>33315</v>
      </c>
      <c r="P14709" t="s">
        <v>33449</v>
      </c>
      <c r="R14709" s="26" t="str">
        <f>HYPERLINK("https://ictv.global/taxonomy/taxondetails?taxnode_id=202304613","Potyvirus freesiae")</f>
        <v>Potyvirus freesiae</v>
      </c>
      <c r="S14709" t="s">
        <v>30</v>
      </c>
      <c r="T14709" t="s">
        <v>33679</v>
      </c>
      <c r="U14709" t="s">
        <v>33680</v>
      </c>
      <c r="V14709" t="s">
        <v>33681</v>
      </c>
      <c r="W14709" t="s">
        <v>33682</v>
      </c>
      <c r="X14709" t="s">
        <v>42</v>
      </c>
      <c r="Y14709" t="s">
        <v>17171</v>
      </c>
      <c r="Z14709" t="s">
        <v>13441</v>
      </c>
      <c r="AA14709" s="22" t="str">
        <f>HYPERLINK("https://www.ncbi.nlm.nih.gov/nuccore/FM206346","NCBI Nucleotide")</f>
        <v>NCBI Nucleotide</v>
      </c>
    </row>
    <row r="14710" spans="1:27" x14ac:dyDescent="0.35">
      <c r="A14710">
        <v>1002939</v>
      </c>
      <c r="B14710">
        <v>13273</v>
      </c>
      <c r="C14710">
        <v>1</v>
      </c>
      <c r="D14710" t="s">
        <v>17166</v>
      </c>
      <c r="F14710" t="s">
        <v>17246</v>
      </c>
      <c r="H14710" t="s">
        <v>28921</v>
      </c>
      <c r="J14710" t="s">
        <v>33313</v>
      </c>
      <c r="L14710" t="s">
        <v>33314</v>
      </c>
      <c r="N14710" t="s">
        <v>33315</v>
      </c>
      <c r="P14710" t="s">
        <v>33449</v>
      </c>
      <c r="R14710" s="26" t="str">
        <f>HYPERLINK("https://ictv.global/taxonomy/taxondetails?taxnode_id=202304614","Potyvirus fritillariae")</f>
        <v>Potyvirus fritillariae</v>
      </c>
      <c r="S14710" t="s">
        <v>30</v>
      </c>
      <c r="T14710" t="s">
        <v>33683</v>
      </c>
      <c r="U14710" t="s">
        <v>33684</v>
      </c>
      <c r="V14710" t="s">
        <v>33685</v>
      </c>
      <c r="W14710" t="s">
        <v>33686</v>
      </c>
      <c r="X14710" t="s">
        <v>42</v>
      </c>
      <c r="Y14710" t="s">
        <v>17171</v>
      </c>
      <c r="Z14710" t="s">
        <v>13441</v>
      </c>
      <c r="AA14710" s="22" t="str">
        <f>HYPERLINK("https://www.ncbi.nlm.nih.gov/nuccore/AM039800","NCBI Nucleotide")</f>
        <v>NCBI Nucleotide</v>
      </c>
    </row>
    <row r="14711" spans="1:27" x14ac:dyDescent="0.35">
      <c r="A14711">
        <v>1003409</v>
      </c>
      <c r="B14711">
        <v>13274</v>
      </c>
      <c r="C14711">
        <v>1</v>
      </c>
      <c r="D14711" t="s">
        <v>17166</v>
      </c>
      <c r="F14711" t="s">
        <v>17246</v>
      </c>
      <c r="H14711" t="s">
        <v>28921</v>
      </c>
      <c r="J14711" t="s">
        <v>33313</v>
      </c>
      <c r="L14711" t="s">
        <v>33314</v>
      </c>
      <c r="N14711" t="s">
        <v>33315</v>
      </c>
      <c r="P14711" t="s">
        <v>33449</v>
      </c>
      <c r="R14711" s="26" t="str">
        <f>HYPERLINK("https://ictv.global/taxonomy/taxondetails?taxnode_id=202304690","Potyvirus gebatatae")</f>
        <v>Potyvirus gebatatae</v>
      </c>
      <c r="S14711" t="s">
        <v>30</v>
      </c>
      <c r="T14711" t="s">
        <v>34052</v>
      </c>
      <c r="U14711" t="s">
        <v>34053</v>
      </c>
      <c r="V14711" t="s">
        <v>34054</v>
      </c>
      <c r="W14711" t="s">
        <v>34055</v>
      </c>
      <c r="X14711" t="s">
        <v>42</v>
      </c>
      <c r="Y14711" t="s">
        <v>17171</v>
      </c>
      <c r="Z14711" t="s">
        <v>13441</v>
      </c>
      <c r="AA14711" s="22" t="str">
        <f>HYPERLINK("https://www.ncbi.nlm.nih.gov/nuccore/JQ824374","NCBI Nucleotide")</f>
        <v>NCBI Nucleotide</v>
      </c>
    </row>
    <row r="14712" spans="1:27" x14ac:dyDescent="0.35">
      <c r="A14712">
        <v>1003381</v>
      </c>
      <c r="B14712">
        <v>13275</v>
      </c>
      <c r="C14712">
        <v>1</v>
      </c>
      <c r="D14712" t="s">
        <v>17166</v>
      </c>
      <c r="F14712" t="s">
        <v>17246</v>
      </c>
      <c r="H14712" t="s">
        <v>28921</v>
      </c>
      <c r="J14712" t="s">
        <v>33313</v>
      </c>
      <c r="L14712" t="s">
        <v>33314</v>
      </c>
      <c r="N14712" t="s">
        <v>33315</v>
      </c>
      <c r="P14712" t="s">
        <v>33449</v>
      </c>
      <c r="R14712" s="26" t="str">
        <f>HYPERLINK("https://ictv.global/taxonomy/taxondetails?taxnode_id=202315111","Potyvirus gladioli")</f>
        <v>Potyvirus gladioli</v>
      </c>
      <c r="S14712" t="s">
        <v>30</v>
      </c>
      <c r="T14712" t="s">
        <v>33953</v>
      </c>
      <c r="U14712" t="s">
        <v>33954</v>
      </c>
      <c r="V14712" t="s">
        <v>33955</v>
      </c>
      <c r="W14712" t="s">
        <v>33956</v>
      </c>
      <c r="X14712" t="s">
        <v>42</v>
      </c>
      <c r="Y14712" t="s">
        <v>17171</v>
      </c>
      <c r="Z14712" t="s">
        <v>13441</v>
      </c>
      <c r="AA14712" s="22" t="str">
        <f>HYPERLINK("https://www.ncbi.nlm.nih.gov/nuccore/KU981083","NCBI Nucleotide")</f>
        <v>NCBI Nucleotide</v>
      </c>
    </row>
    <row r="14713" spans="1:27" x14ac:dyDescent="0.35">
      <c r="A14713">
        <v>1002940</v>
      </c>
      <c r="B14713">
        <v>13276</v>
      </c>
      <c r="C14713">
        <v>1</v>
      </c>
      <c r="D14713" t="s">
        <v>17166</v>
      </c>
      <c r="F14713" t="s">
        <v>17246</v>
      </c>
      <c r="H14713" t="s">
        <v>28921</v>
      </c>
      <c r="J14713" t="s">
        <v>33313</v>
      </c>
      <c r="L14713" t="s">
        <v>33314</v>
      </c>
      <c r="N14713" t="s">
        <v>33315</v>
      </c>
      <c r="P14713" t="s">
        <v>33449</v>
      </c>
      <c r="R14713" s="26" t="str">
        <f>HYPERLINK("https://ictv.global/taxonomy/taxondetails?taxnode_id=202304615","Potyvirus gloriosae")</f>
        <v>Potyvirus gloriosae</v>
      </c>
      <c r="S14713" t="s">
        <v>30</v>
      </c>
      <c r="T14713" t="s">
        <v>33687</v>
      </c>
      <c r="U14713" t="s">
        <v>33688</v>
      </c>
      <c r="V14713" t="s">
        <v>33689</v>
      </c>
      <c r="W14713" t="s">
        <v>33690</v>
      </c>
      <c r="X14713" t="s">
        <v>35</v>
      </c>
      <c r="Y14713" t="s">
        <v>17171</v>
      </c>
      <c r="Z14713" t="s">
        <v>13441</v>
      </c>
      <c r="AA14713" s="22" t="str">
        <f>HYPERLINK("https://www.ncbi.nlm.nih.gov/nuccore/EF427894","NCBI Nucleotide")</f>
        <v>NCBI Nucleotide</v>
      </c>
    </row>
    <row r="14714" spans="1:27" x14ac:dyDescent="0.35">
      <c r="A14714">
        <v>1003396</v>
      </c>
      <c r="B14714">
        <v>13277</v>
      </c>
      <c r="C14714">
        <v>1</v>
      </c>
      <c r="D14714" t="s">
        <v>17166</v>
      </c>
      <c r="F14714" t="s">
        <v>17246</v>
      </c>
      <c r="H14714" t="s">
        <v>28921</v>
      </c>
      <c r="J14714" t="s">
        <v>33313</v>
      </c>
      <c r="L14714" t="s">
        <v>33314</v>
      </c>
      <c r="N14714" t="s">
        <v>33315</v>
      </c>
      <c r="P14714" t="s">
        <v>33449</v>
      </c>
      <c r="R14714" s="26" t="str">
        <f>HYPERLINK("https://ictv.global/taxonomy/taxondetails?taxnode_id=202304679","Potyvirus glycitessellati")</f>
        <v>Potyvirus glycitessellati</v>
      </c>
      <c r="S14714" t="s">
        <v>30</v>
      </c>
      <c r="T14714" t="s">
        <v>34007</v>
      </c>
      <c r="U14714" t="s">
        <v>25951</v>
      </c>
      <c r="V14714" t="s">
        <v>12808</v>
      </c>
      <c r="W14714" t="s">
        <v>34008</v>
      </c>
      <c r="X14714" t="s">
        <v>42</v>
      </c>
      <c r="Y14714" t="s">
        <v>17171</v>
      </c>
      <c r="Z14714" t="s">
        <v>13441</v>
      </c>
      <c r="AA14714" s="22" t="str">
        <f>HYPERLINK("https://www.ncbi.nlm.nih.gov/nuccore/D00507","NCBI Nucleotide")</f>
        <v>NCBI Nucleotide</v>
      </c>
    </row>
    <row r="14715" spans="1:27" x14ac:dyDescent="0.35">
      <c r="A14715">
        <v>1011946</v>
      </c>
      <c r="B14715">
        <v>13277</v>
      </c>
      <c r="C14715">
        <v>2</v>
      </c>
      <c r="D14715" t="s">
        <v>17166</v>
      </c>
      <c r="F14715" t="s">
        <v>17246</v>
      </c>
      <c r="H14715" t="s">
        <v>28921</v>
      </c>
      <c r="J14715" t="s">
        <v>33313</v>
      </c>
      <c r="L14715" t="s">
        <v>33314</v>
      </c>
      <c r="N14715" t="s">
        <v>33315</v>
      </c>
      <c r="P14715" t="s">
        <v>33449</v>
      </c>
      <c r="R14715" s="26" t="str">
        <f>HYPERLINK("https://ictv.global/taxonomy/taxondetails?taxnode_id=202304679","Potyvirus glycitessellati")</f>
        <v>Potyvirus glycitessellati</v>
      </c>
      <c r="S14715" t="s">
        <v>8141</v>
      </c>
      <c r="T14715" t="s">
        <v>34007</v>
      </c>
      <c r="U14715" t="s">
        <v>25951</v>
      </c>
      <c r="V14715" t="s">
        <v>34009</v>
      </c>
      <c r="W14715" t="s">
        <v>50126</v>
      </c>
      <c r="X14715" t="s">
        <v>42</v>
      </c>
      <c r="Y14715" t="s">
        <v>17171</v>
      </c>
      <c r="Z14715" t="s">
        <v>13441</v>
      </c>
      <c r="AA14715" s="22" t="str">
        <f>HYPERLINK("https://www.ncbi.nlm.nih.gov/nuccore/AJ507388","NCBI Nucleotide")</f>
        <v>NCBI Nucleotide</v>
      </c>
    </row>
    <row r="14716" spans="1:27" x14ac:dyDescent="0.35">
      <c r="A14716">
        <v>1002941</v>
      </c>
      <c r="B14716">
        <v>13278</v>
      </c>
      <c r="C14716">
        <v>1</v>
      </c>
      <c r="D14716" t="s">
        <v>17166</v>
      </c>
      <c r="F14716" t="s">
        <v>17246</v>
      </c>
      <c r="H14716" t="s">
        <v>28921</v>
      </c>
      <c r="J14716" t="s">
        <v>33313</v>
      </c>
      <c r="L14716" t="s">
        <v>33314</v>
      </c>
      <c r="N14716" t="s">
        <v>33315</v>
      </c>
      <c r="P14716" t="s">
        <v>33449</v>
      </c>
      <c r="R14716" s="26" t="str">
        <f>HYPERLINK("https://ictv.global/taxonomy/taxondetails?taxnode_id=202307434","Potyvirus gomphocarphi")</f>
        <v>Potyvirus gomphocarphi</v>
      </c>
      <c r="S14716" t="s">
        <v>30</v>
      </c>
      <c r="T14716" t="s">
        <v>33691</v>
      </c>
      <c r="U14716" t="s">
        <v>33692</v>
      </c>
      <c r="V14716" t="s">
        <v>33693</v>
      </c>
      <c r="W14716" t="s">
        <v>33694</v>
      </c>
      <c r="X14716" t="s">
        <v>42</v>
      </c>
      <c r="Y14716" t="s">
        <v>17171</v>
      </c>
      <c r="Z14716" t="s">
        <v>13441</v>
      </c>
      <c r="AA14716" s="22" t="str">
        <f>HYPERLINK("https://www.ncbi.nlm.nih.gov/nuccore/LC228573","NCBI Nucleotide")</f>
        <v>NCBI Nucleotide</v>
      </c>
    </row>
    <row r="14717" spans="1:27" x14ac:dyDescent="0.35">
      <c r="A14717">
        <v>1002942</v>
      </c>
      <c r="B14717">
        <v>13279</v>
      </c>
      <c r="C14717">
        <v>1</v>
      </c>
      <c r="D14717" t="s">
        <v>17166</v>
      </c>
      <c r="F14717" t="s">
        <v>17246</v>
      </c>
      <c r="H14717" t="s">
        <v>28921</v>
      </c>
      <c r="J14717" t="s">
        <v>33313</v>
      </c>
      <c r="L14717" t="s">
        <v>33314</v>
      </c>
      <c r="N14717" t="s">
        <v>33315</v>
      </c>
      <c r="P14717" t="s">
        <v>33449</v>
      </c>
      <c r="R14717" s="26" t="str">
        <f>HYPERLINK("https://ictv.global/taxonomy/taxondetails?taxnode_id=202304616","Potyvirus habenariae")</f>
        <v>Potyvirus habenariae</v>
      </c>
      <c r="S14717" t="s">
        <v>30</v>
      </c>
      <c r="T14717" t="s">
        <v>33695</v>
      </c>
      <c r="U14717" t="s">
        <v>33696</v>
      </c>
      <c r="V14717" t="s">
        <v>33697</v>
      </c>
      <c r="W14717" t="s">
        <v>33698</v>
      </c>
      <c r="X14717" t="s">
        <v>42</v>
      </c>
      <c r="Y14717" t="s">
        <v>17171</v>
      </c>
      <c r="Z14717" t="s">
        <v>13441</v>
      </c>
      <c r="AA14717" s="22" t="str">
        <f>HYPERLINK("https://www.ncbi.nlm.nih.gov/nuccore/AB818538","NCBI Nucleotide")</f>
        <v>NCBI Nucleotide</v>
      </c>
    </row>
    <row r="14718" spans="1:27" x14ac:dyDescent="0.35">
      <c r="A14718">
        <v>1002954</v>
      </c>
      <c r="B14718">
        <v>13280</v>
      </c>
      <c r="C14718">
        <v>1</v>
      </c>
      <c r="D14718" t="s">
        <v>17166</v>
      </c>
      <c r="F14718" t="s">
        <v>17246</v>
      </c>
      <c r="H14718" t="s">
        <v>28921</v>
      </c>
      <c r="J14718" t="s">
        <v>33313</v>
      </c>
      <c r="L14718" t="s">
        <v>33314</v>
      </c>
      <c r="N14718" t="s">
        <v>33315</v>
      </c>
      <c r="P14718" t="s">
        <v>33449</v>
      </c>
      <c r="R14718" s="26" t="str">
        <f>HYPERLINK("https://ictv.global/taxonomy/taxondetails?taxnode_id=202304627","Potyvirus halapensis")</f>
        <v>Potyvirus halapensis</v>
      </c>
      <c r="S14718" t="s">
        <v>30</v>
      </c>
      <c r="T14718" t="s">
        <v>33737</v>
      </c>
      <c r="U14718" t="s">
        <v>33738</v>
      </c>
      <c r="V14718" t="s">
        <v>33656</v>
      </c>
      <c r="W14718" t="s">
        <v>33739</v>
      </c>
      <c r="X14718" t="s">
        <v>35</v>
      </c>
      <c r="Y14718" t="s">
        <v>17171</v>
      </c>
      <c r="Z14718" t="s">
        <v>13441</v>
      </c>
      <c r="AA14718" s="22" t="str">
        <f>HYPERLINK("https://www.ncbi.nlm.nih.gov/nuccore/Z26920","NCBI Nucleotide")</f>
        <v>NCBI Nucleotide</v>
      </c>
    </row>
    <row r="14719" spans="1:27" x14ac:dyDescent="0.35">
      <c r="A14719">
        <v>1002943</v>
      </c>
      <c r="B14719">
        <v>13281</v>
      </c>
      <c r="C14719">
        <v>1</v>
      </c>
      <c r="D14719" t="s">
        <v>17166</v>
      </c>
      <c r="F14719" t="s">
        <v>17246</v>
      </c>
      <c r="H14719" t="s">
        <v>28921</v>
      </c>
      <c r="J14719" t="s">
        <v>33313</v>
      </c>
      <c r="L14719" t="s">
        <v>33314</v>
      </c>
      <c r="N14719" t="s">
        <v>33315</v>
      </c>
      <c r="P14719" t="s">
        <v>33449</v>
      </c>
      <c r="R14719" s="26" t="str">
        <f>HYPERLINK("https://ictv.global/taxonomy/taxondetails?taxnode_id=202304617","Potyvirus hardenbergiae")</f>
        <v>Potyvirus hardenbergiae</v>
      </c>
      <c r="S14719" t="s">
        <v>30</v>
      </c>
      <c r="T14719" t="s">
        <v>33699</v>
      </c>
      <c r="U14719" t="s">
        <v>33700</v>
      </c>
      <c r="V14719" t="s">
        <v>33701</v>
      </c>
      <c r="W14719" t="s">
        <v>33702</v>
      </c>
      <c r="X14719" t="s">
        <v>42</v>
      </c>
      <c r="Y14719" t="s">
        <v>17171</v>
      </c>
      <c r="Z14719" t="s">
        <v>13441</v>
      </c>
      <c r="AA14719" s="22" t="str">
        <f>HYPERLINK("https://www.ncbi.nlm.nih.gov/nuccore/HQ161081","NCBI Nucleotide")</f>
        <v>NCBI Nucleotide</v>
      </c>
    </row>
    <row r="14720" spans="1:27" x14ac:dyDescent="0.35">
      <c r="A14720">
        <v>1003403</v>
      </c>
      <c r="B14720">
        <v>13282</v>
      </c>
      <c r="C14720">
        <v>1</v>
      </c>
      <c r="D14720" t="s">
        <v>17166</v>
      </c>
      <c r="F14720" t="s">
        <v>17246</v>
      </c>
      <c r="H14720" t="s">
        <v>28921</v>
      </c>
      <c r="J14720" t="s">
        <v>33313</v>
      </c>
      <c r="L14720" t="s">
        <v>33314</v>
      </c>
      <c r="N14720" t="s">
        <v>33315</v>
      </c>
      <c r="P14720" t="s">
        <v>33449</v>
      </c>
      <c r="R14720" s="26" t="str">
        <f>HYPERLINK("https://ictv.global/taxonomy/taxondetails?taxnode_id=202305923","Potyvirus heliannulabis")</f>
        <v>Potyvirus heliannulabis</v>
      </c>
      <c r="S14720" t="s">
        <v>30</v>
      </c>
      <c r="T14720" t="s">
        <v>34031</v>
      </c>
      <c r="U14720" t="s">
        <v>34032</v>
      </c>
      <c r="V14720" t="s">
        <v>34033</v>
      </c>
      <c r="W14720" t="s">
        <v>34034</v>
      </c>
      <c r="X14720" t="s">
        <v>42</v>
      </c>
      <c r="Y14720" t="s">
        <v>17171</v>
      </c>
      <c r="Z14720" t="s">
        <v>13441</v>
      </c>
      <c r="AA14720" s="22" t="str">
        <f>HYPERLINK("https://www.ncbi.nlm.nih.gov/nuccore/KX856009","NCBI Nucleotide")</f>
        <v>NCBI Nucleotide</v>
      </c>
    </row>
    <row r="14721" spans="1:27" x14ac:dyDescent="0.35">
      <c r="A14721">
        <v>1003400</v>
      </c>
      <c r="B14721">
        <v>13283</v>
      </c>
      <c r="C14721">
        <v>1</v>
      </c>
      <c r="D14721" t="s">
        <v>17166</v>
      </c>
      <c r="F14721" t="s">
        <v>17246</v>
      </c>
      <c r="H14721" t="s">
        <v>28921</v>
      </c>
      <c r="J14721" t="s">
        <v>33313</v>
      </c>
      <c r="L14721" t="s">
        <v>33314</v>
      </c>
      <c r="N14721" t="s">
        <v>33315</v>
      </c>
      <c r="P14721" t="s">
        <v>33449</v>
      </c>
      <c r="R14721" s="26" t="str">
        <f>HYPERLINK("https://ictv.global/taxonomy/taxondetails?taxnode_id=202304682","Potyvirus helichloromaculae")</f>
        <v>Potyvirus helichloromaculae</v>
      </c>
      <c r="S14721" t="s">
        <v>30</v>
      </c>
      <c r="T14721" t="s">
        <v>34020</v>
      </c>
      <c r="U14721" t="s">
        <v>33302</v>
      </c>
      <c r="V14721" t="s">
        <v>34021</v>
      </c>
      <c r="W14721" t="s">
        <v>34022</v>
      </c>
      <c r="X14721" t="s">
        <v>42</v>
      </c>
      <c r="Y14721" t="s">
        <v>17171</v>
      </c>
      <c r="Z14721" t="s">
        <v>13441</v>
      </c>
      <c r="AA14721" s="22" t="str">
        <f>HYPERLINK("https://www.ncbi.nlm.nih.gov/nuccore/GU181199","NCBI Nucleotide")</f>
        <v>NCBI Nucleotide</v>
      </c>
    </row>
    <row r="14722" spans="1:27" x14ac:dyDescent="0.35">
      <c r="A14722">
        <v>1003401</v>
      </c>
      <c r="B14722">
        <v>13284</v>
      </c>
      <c r="C14722">
        <v>1</v>
      </c>
      <c r="D14722" t="s">
        <v>17166</v>
      </c>
      <c r="F14722" t="s">
        <v>17246</v>
      </c>
      <c r="H14722" t="s">
        <v>28921</v>
      </c>
      <c r="J14722" t="s">
        <v>33313</v>
      </c>
      <c r="L14722" t="s">
        <v>33314</v>
      </c>
      <c r="N14722" t="s">
        <v>33315</v>
      </c>
      <c r="P14722" t="s">
        <v>33449</v>
      </c>
      <c r="R14722" s="26" t="str">
        <f>HYPERLINK("https://ictv.global/taxonomy/taxondetails?taxnode_id=202304683","Potyvirus helitenuitessellati")</f>
        <v>Potyvirus helitenuitessellati</v>
      </c>
      <c r="S14722" t="s">
        <v>30</v>
      </c>
      <c r="T14722" t="s">
        <v>34023</v>
      </c>
      <c r="U14722" t="s">
        <v>34024</v>
      </c>
      <c r="V14722" t="s">
        <v>34025</v>
      </c>
      <c r="W14722" t="s">
        <v>34026</v>
      </c>
      <c r="X14722" t="s">
        <v>42</v>
      </c>
      <c r="Y14722" t="s">
        <v>17171</v>
      </c>
      <c r="Z14722" t="s">
        <v>13441</v>
      </c>
      <c r="AA14722" s="22" t="str">
        <f>HYPERLINK("https://www.ncbi.nlm.nih.gov/nuccore/JQ350738","NCBI Nucleotide")</f>
        <v>NCBI Nucleotide</v>
      </c>
    </row>
    <row r="14723" spans="1:27" x14ac:dyDescent="0.35">
      <c r="A14723">
        <v>1003402</v>
      </c>
      <c r="B14723">
        <v>13285</v>
      </c>
      <c r="C14723">
        <v>1</v>
      </c>
      <c r="D14723" t="s">
        <v>17166</v>
      </c>
      <c r="F14723" t="s">
        <v>17246</v>
      </c>
      <c r="H14723" t="s">
        <v>28921</v>
      </c>
      <c r="J14723" t="s">
        <v>33313</v>
      </c>
      <c r="L14723" t="s">
        <v>33314</v>
      </c>
      <c r="N14723" t="s">
        <v>33315</v>
      </c>
      <c r="P14723" t="s">
        <v>33449</v>
      </c>
      <c r="R14723" s="26" t="str">
        <f>HYPERLINK("https://ictv.global/taxonomy/taxondetails?taxnode_id=202304684","Potyvirus helitessellati")</f>
        <v>Potyvirus helitessellati</v>
      </c>
      <c r="S14723" t="s">
        <v>30</v>
      </c>
      <c r="T14723" t="s">
        <v>34027</v>
      </c>
      <c r="U14723" t="s">
        <v>34028</v>
      </c>
      <c r="V14723" t="s">
        <v>34029</v>
      </c>
      <c r="W14723" t="s">
        <v>34030</v>
      </c>
      <c r="X14723" t="s">
        <v>154</v>
      </c>
      <c r="Y14723" t="s">
        <v>17171</v>
      </c>
      <c r="Z14723" t="s">
        <v>13441</v>
      </c>
      <c r="AA14723" s="22" t="str">
        <f>HYPERLINK("https://www.ncbi.nlm.nih.gov/nuccore/AF465545","NCBI Nucleotide")</f>
        <v>NCBI Nucleotide</v>
      </c>
    </row>
    <row r="14724" spans="1:27" x14ac:dyDescent="0.35">
      <c r="A14724">
        <v>1002944</v>
      </c>
      <c r="B14724">
        <v>13286</v>
      </c>
      <c r="C14724">
        <v>1</v>
      </c>
      <c r="D14724" t="s">
        <v>17166</v>
      </c>
      <c r="F14724" t="s">
        <v>17246</v>
      </c>
      <c r="H14724" t="s">
        <v>28921</v>
      </c>
      <c r="J14724" t="s">
        <v>33313</v>
      </c>
      <c r="L14724" t="s">
        <v>33314</v>
      </c>
      <c r="N14724" t="s">
        <v>33315</v>
      </c>
      <c r="P14724" t="s">
        <v>33449</v>
      </c>
      <c r="R14724" s="26" t="str">
        <f>HYPERLINK("https://ictv.global/taxonomy/taxondetails?taxnode_id=202304618","Potyvirus henbanis")</f>
        <v>Potyvirus henbanis</v>
      </c>
      <c r="S14724" t="s">
        <v>30</v>
      </c>
      <c r="T14724" t="s">
        <v>33703</v>
      </c>
      <c r="U14724" t="s">
        <v>19395</v>
      </c>
      <c r="V14724" t="s">
        <v>33704</v>
      </c>
      <c r="W14724" t="s">
        <v>33705</v>
      </c>
      <c r="X14724" t="s">
        <v>154</v>
      </c>
      <c r="Y14724" t="s">
        <v>17171</v>
      </c>
      <c r="Z14724" t="s">
        <v>13441</v>
      </c>
      <c r="AA14724" s="22" t="str">
        <f>HYPERLINK("https://www.ncbi.nlm.nih.gov/nuccore/AM184113","NCBI Nucleotide")</f>
        <v>NCBI Nucleotide</v>
      </c>
    </row>
    <row r="14725" spans="1:27" x14ac:dyDescent="0.35">
      <c r="A14725">
        <v>1002945</v>
      </c>
      <c r="B14725">
        <v>13287</v>
      </c>
      <c r="C14725">
        <v>1</v>
      </c>
      <c r="D14725" t="s">
        <v>17166</v>
      </c>
      <c r="F14725" t="s">
        <v>17246</v>
      </c>
      <c r="H14725" t="s">
        <v>28921</v>
      </c>
      <c r="J14725" t="s">
        <v>33313</v>
      </c>
      <c r="L14725" t="s">
        <v>33314</v>
      </c>
      <c r="N14725" t="s">
        <v>33315</v>
      </c>
      <c r="P14725" t="s">
        <v>33449</v>
      </c>
      <c r="R14725" s="26" t="str">
        <f>HYPERLINK("https://ictv.global/taxonomy/taxondetails?taxnode_id=202304619","Potyvirus hibbertiae")</f>
        <v>Potyvirus hibbertiae</v>
      </c>
      <c r="S14725" t="s">
        <v>30</v>
      </c>
      <c r="T14725" t="s">
        <v>33706</v>
      </c>
      <c r="U14725" t="s">
        <v>33707</v>
      </c>
      <c r="V14725" t="s">
        <v>33708</v>
      </c>
      <c r="W14725" t="s">
        <v>33709</v>
      </c>
      <c r="X14725" t="s">
        <v>154</v>
      </c>
      <c r="Y14725" t="s">
        <v>17171</v>
      </c>
      <c r="Z14725" t="s">
        <v>13441</v>
      </c>
      <c r="AA14725" s="22" t="str">
        <f>HYPERLINK("https://www.ncbi.nlm.nih.gov/nuccore/AF228516","NCBI Nucleotide")</f>
        <v>NCBI Nucleotide</v>
      </c>
    </row>
    <row r="14726" spans="1:27" x14ac:dyDescent="0.35">
      <c r="A14726">
        <v>1002927</v>
      </c>
      <c r="B14726">
        <v>13288</v>
      </c>
      <c r="C14726">
        <v>1</v>
      </c>
      <c r="D14726" t="s">
        <v>17166</v>
      </c>
      <c r="F14726" t="s">
        <v>17246</v>
      </c>
      <c r="H14726" t="s">
        <v>28921</v>
      </c>
      <c r="J14726" t="s">
        <v>33313</v>
      </c>
      <c r="L14726" t="s">
        <v>33314</v>
      </c>
      <c r="N14726" t="s">
        <v>33315</v>
      </c>
      <c r="P14726" t="s">
        <v>33449</v>
      </c>
      <c r="R14726" s="26" t="str">
        <f>HYPERLINK("https://ictv.global/taxonomy/taxondetails?taxnode_id=202305920","Potyvirus hiemalisdaphnis")</f>
        <v>Potyvirus hiemalisdaphnis</v>
      </c>
      <c r="S14726" t="s">
        <v>30</v>
      </c>
      <c r="T14726" t="s">
        <v>33636</v>
      </c>
      <c r="U14726" t="s">
        <v>33637</v>
      </c>
      <c r="V14726" t="s">
        <v>19294</v>
      </c>
      <c r="W14726" t="s">
        <v>33638</v>
      </c>
      <c r="X14726" t="s">
        <v>42</v>
      </c>
      <c r="Y14726" t="s">
        <v>17171</v>
      </c>
      <c r="Z14726" t="s">
        <v>13441</v>
      </c>
      <c r="AA14726" s="22" t="str">
        <f>HYPERLINK("https://www.ncbi.nlm.nih.gov/nuccore/KU556609","NCBI Nucleotide")</f>
        <v>NCBI Nucleotide</v>
      </c>
    </row>
    <row r="14727" spans="1:27" x14ac:dyDescent="0.35">
      <c r="A14727">
        <v>1002946</v>
      </c>
      <c r="B14727">
        <v>13289</v>
      </c>
      <c r="C14727">
        <v>1</v>
      </c>
      <c r="D14727" t="s">
        <v>17166</v>
      </c>
      <c r="F14727" t="s">
        <v>17246</v>
      </c>
      <c r="H14727" t="s">
        <v>28921</v>
      </c>
      <c r="J14727" t="s">
        <v>33313</v>
      </c>
      <c r="L14727" t="s">
        <v>33314</v>
      </c>
      <c r="N14727" t="s">
        <v>33315</v>
      </c>
      <c r="P14727" t="s">
        <v>33449</v>
      </c>
      <c r="R14727" s="26" t="str">
        <f>HYPERLINK("https://ictv.global/taxonomy/taxondetails?taxnode_id=202304620","Potyvirus hippeastri")</f>
        <v>Potyvirus hippeastri</v>
      </c>
      <c r="S14727" t="s">
        <v>30</v>
      </c>
      <c r="T14727" t="s">
        <v>33710</v>
      </c>
      <c r="U14727" t="s">
        <v>33711</v>
      </c>
      <c r="V14727" t="s">
        <v>33712</v>
      </c>
      <c r="W14727" t="s">
        <v>33713</v>
      </c>
      <c r="X14727" t="s">
        <v>42</v>
      </c>
      <c r="Y14727" t="s">
        <v>17171</v>
      </c>
      <c r="Z14727" t="s">
        <v>13441</v>
      </c>
      <c r="AA14727" s="22" t="str">
        <f>HYPERLINK("https://www.ncbi.nlm.nih.gov/nuccore/JQ395040","NCBI Nucleotide")</f>
        <v>NCBI Nucleotide</v>
      </c>
    </row>
    <row r="14728" spans="1:27" x14ac:dyDescent="0.35">
      <c r="A14728">
        <v>1002947</v>
      </c>
      <c r="B14728">
        <v>13290</v>
      </c>
      <c r="C14728">
        <v>1</v>
      </c>
      <c r="D14728" t="s">
        <v>17166</v>
      </c>
      <c r="F14728" t="s">
        <v>17246</v>
      </c>
      <c r="H14728" t="s">
        <v>28921</v>
      </c>
      <c r="J14728" t="s">
        <v>33313</v>
      </c>
      <c r="L14728" t="s">
        <v>33314</v>
      </c>
      <c r="N14728" t="s">
        <v>33315</v>
      </c>
      <c r="P14728" t="s">
        <v>33449</v>
      </c>
      <c r="R14728" s="26" t="str">
        <f>HYPERLINK("https://ictv.global/taxonomy/taxondetails?taxnode_id=202304621","Potyvirus hyacinthi")</f>
        <v>Potyvirus hyacinthi</v>
      </c>
      <c r="S14728" t="s">
        <v>30</v>
      </c>
      <c r="T14728" t="s">
        <v>33714</v>
      </c>
      <c r="U14728" t="s">
        <v>33715</v>
      </c>
      <c r="V14728" t="s">
        <v>33716</v>
      </c>
      <c r="W14728" t="s">
        <v>33717</v>
      </c>
      <c r="X14728" t="s">
        <v>42</v>
      </c>
      <c r="Y14728" t="s">
        <v>17171</v>
      </c>
      <c r="Z14728" t="s">
        <v>13441</v>
      </c>
      <c r="AA14728" s="22" t="str">
        <f>HYPERLINK("https://www.ncbi.nlm.nih.gov/nuccore/KY828925","NCBI Nucleotide")</f>
        <v>NCBI Nucleotide</v>
      </c>
    </row>
    <row r="14729" spans="1:27" x14ac:dyDescent="0.35">
      <c r="A14729">
        <v>1002948</v>
      </c>
      <c r="B14729">
        <v>13291</v>
      </c>
      <c r="C14729">
        <v>1</v>
      </c>
      <c r="D14729" t="s">
        <v>17166</v>
      </c>
      <c r="F14729" t="s">
        <v>17246</v>
      </c>
      <c r="H14729" t="s">
        <v>28921</v>
      </c>
      <c r="J14729" t="s">
        <v>33313</v>
      </c>
      <c r="L14729" t="s">
        <v>33314</v>
      </c>
      <c r="N14729" t="s">
        <v>33315</v>
      </c>
      <c r="P14729" t="s">
        <v>33449</v>
      </c>
      <c r="R14729" s="26" t="str">
        <f>HYPERLINK("https://ictv.global/taxonomy/taxondetails?taxnode_id=202305921","Potyvirus impatiensis")</f>
        <v>Potyvirus impatiensis</v>
      </c>
      <c r="S14729" t="s">
        <v>30</v>
      </c>
      <c r="T14729" t="s">
        <v>33718</v>
      </c>
      <c r="U14729" t="s">
        <v>33719</v>
      </c>
      <c r="V14729" t="s">
        <v>33720</v>
      </c>
      <c r="W14729" t="s">
        <v>33721</v>
      </c>
      <c r="X14729" t="s">
        <v>42</v>
      </c>
      <c r="Y14729" t="s">
        <v>17171</v>
      </c>
      <c r="Z14729" t="s">
        <v>13441</v>
      </c>
      <c r="AA14729" s="22" t="str">
        <f>HYPERLINK("https://www.ncbi.nlm.nih.gov/nuccore/KU981084","NCBI Nucleotide")</f>
        <v>NCBI Nucleotide</v>
      </c>
    </row>
    <row r="14730" spans="1:27" x14ac:dyDescent="0.35">
      <c r="A14730">
        <v>1002949</v>
      </c>
      <c r="B14730">
        <v>13292</v>
      </c>
      <c r="C14730">
        <v>1</v>
      </c>
      <c r="D14730" t="s">
        <v>17166</v>
      </c>
      <c r="F14730" t="s">
        <v>17246</v>
      </c>
      <c r="H14730" t="s">
        <v>28921</v>
      </c>
      <c r="J14730" t="s">
        <v>33313</v>
      </c>
      <c r="L14730" t="s">
        <v>33314</v>
      </c>
      <c r="N14730" t="s">
        <v>33315</v>
      </c>
      <c r="P14730" t="s">
        <v>33449</v>
      </c>
      <c r="R14730" s="26" t="str">
        <f>HYPERLINK("https://ictv.global/taxonomy/taxondetails?taxnode_id=202304622","Potyvirus iris")</f>
        <v>Potyvirus iris</v>
      </c>
      <c r="S14730" t="s">
        <v>30</v>
      </c>
      <c r="T14730" t="s">
        <v>33722</v>
      </c>
      <c r="U14730" t="s">
        <v>33723</v>
      </c>
      <c r="V14730" t="s">
        <v>33678</v>
      </c>
      <c r="X14730" t="s">
        <v>3311</v>
      </c>
      <c r="Y14730" t="s">
        <v>17171</v>
      </c>
      <c r="Z14730" t="s">
        <v>13441</v>
      </c>
    </row>
    <row r="14731" spans="1:27" x14ac:dyDescent="0.35">
      <c r="A14731">
        <v>1002951</v>
      </c>
      <c r="B14731">
        <v>13293</v>
      </c>
      <c r="C14731">
        <v>1</v>
      </c>
      <c r="D14731" t="s">
        <v>17166</v>
      </c>
      <c r="F14731" t="s">
        <v>17246</v>
      </c>
      <c r="H14731" t="s">
        <v>28921</v>
      </c>
      <c r="J14731" t="s">
        <v>33313</v>
      </c>
      <c r="L14731" t="s">
        <v>33314</v>
      </c>
      <c r="N14731" t="s">
        <v>33315</v>
      </c>
      <c r="P14731" t="s">
        <v>33449</v>
      </c>
      <c r="R14731" s="26" t="str">
        <f>HYPERLINK("https://ictv.global/taxonomy/taxondetails?taxnode_id=202304624","Potyvirus iriseverum")</f>
        <v>Potyvirus iriseverum</v>
      </c>
      <c r="S14731" t="s">
        <v>30</v>
      </c>
      <c r="T14731" t="s">
        <v>33727</v>
      </c>
      <c r="U14731" t="s">
        <v>33728</v>
      </c>
      <c r="V14731" t="s">
        <v>18492</v>
      </c>
      <c r="W14731" t="s">
        <v>33729</v>
      </c>
      <c r="X14731" t="s">
        <v>42</v>
      </c>
      <c r="Y14731" t="s">
        <v>17171</v>
      </c>
      <c r="Z14731" t="s">
        <v>13441</v>
      </c>
      <c r="AA14731" s="22" t="str">
        <f>HYPERLINK("https://www.ncbi.nlm.nih.gov/nuccore/KT692938","NCBI Nucleotide")</f>
        <v>NCBI Nucleotide</v>
      </c>
    </row>
    <row r="14732" spans="1:27" x14ac:dyDescent="0.35">
      <c r="A14732">
        <v>1002950</v>
      </c>
      <c r="B14732">
        <v>13294</v>
      </c>
      <c r="C14732">
        <v>1</v>
      </c>
      <c r="D14732" t="s">
        <v>17166</v>
      </c>
      <c r="F14732" t="s">
        <v>17246</v>
      </c>
      <c r="H14732" t="s">
        <v>28921</v>
      </c>
      <c r="J14732" t="s">
        <v>33313</v>
      </c>
      <c r="L14732" t="s">
        <v>33314</v>
      </c>
      <c r="N14732" t="s">
        <v>33315</v>
      </c>
      <c r="P14732" t="s">
        <v>33449</v>
      </c>
      <c r="R14732" s="26" t="str">
        <f>HYPERLINK("https://ictv.global/taxonomy/taxondetails?taxnode_id=202304623","Potyvirus iristenuis")</f>
        <v>Potyvirus iristenuis</v>
      </c>
      <c r="S14732" t="s">
        <v>30</v>
      </c>
      <c r="T14732" t="s">
        <v>33724</v>
      </c>
      <c r="U14732" t="s">
        <v>33725</v>
      </c>
      <c r="V14732" t="s">
        <v>19389</v>
      </c>
      <c r="W14732" t="s">
        <v>33726</v>
      </c>
      <c r="X14732" t="s">
        <v>154</v>
      </c>
      <c r="Y14732" t="s">
        <v>17171</v>
      </c>
      <c r="Z14732" t="s">
        <v>13441</v>
      </c>
      <c r="AA14732" s="22" t="str">
        <f>HYPERLINK("https://www.ncbi.nlm.nih.gov/nuccore/JF320812","NCBI Nucleotide")</f>
        <v>NCBI Nucleotide</v>
      </c>
    </row>
    <row r="14733" spans="1:27" x14ac:dyDescent="0.35">
      <c r="A14733">
        <v>1002953</v>
      </c>
      <c r="B14733">
        <v>13295</v>
      </c>
      <c r="C14733">
        <v>1</v>
      </c>
      <c r="D14733" t="s">
        <v>17166</v>
      </c>
      <c r="F14733" t="s">
        <v>17246</v>
      </c>
      <c r="H14733" t="s">
        <v>28921</v>
      </c>
      <c r="J14733" t="s">
        <v>33313</v>
      </c>
      <c r="L14733" t="s">
        <v>33314</v>
      </c>
      <c r="N14733" t="s">
        <v>33315</v>
      </c>
      <c r="P14733" t="s">
        <v>33449</v>
      </c>
      <c r="R14733" s="26" t="str">
        <f>HYPERLINK("https://ictv.global/taxonomy/taxondetails?taxnode_id=202304626","Potyvirus jasmini")</f>
        <v>Potyvirus jasmini</v>
      </c>
      <c r="S14733" t="s">
        <v>30</v>
      </c>
      <c r="T14733" t="s">
        <v>33733</v>
      </c>
      <c r="U14733" t="s">
        <v>33734</v>
      </c>
      <c r="V14733" t="s">
        <v>33735</v>
      </c>
      <c r="W14733" t="s">
        <v>33736</v>
      </c>
      <c r="X14733" t="s">
        <v>42</v>
      </c>
      <c r="Y14733" t="s">
        <v>17171</v>
      </c>
      <c r="Z14733" t="s">
        <v>13441</v>
      </c>
      <c r="AA14733" s="22" t="str">
        <f>HYPERLINK("https://www.ncbi.nlm.nih.gov/nuccore/KT222674","NCBI Nucleotide")</f>
        <v>NCBI Nucleotide</v>
      </c>
    </row>
    <row r="14734" spans="1:27" x14ac:dyDescent="0.35">
      <c r="A14734">
        <v>1002955</v>
      </c>
      <c r="B14734">
        <v>13296</v>
      </c>
      <c r="C14734">
        <v>1</v>
      </c>
      <c r="D14734" t="s">
        <v>17166</v>
      </c>
      <c r="F14734" t="s">
        <v>17246</v>
      </c>
      <c r="H14734" t="s">
        <v>28921</v>
      </c>
      <c r="J14734" t="s">
        <v>33313</v>
      </c>
      <c r="L14734" t="s">
        <v>33314</v>
      </c>
      <c r="N14734" t="s">
        <v>33315</v>
      </c>
      <c r="P14734" t="s">
        <v>33449</v>
      </c>
      <c r="R14734" s="26" t="str">
        <f>HYPERLINK("https://ictv.global/taxonomy/taxondetails?taxnode_id=202304628","Potyvirus kalanchoes")</f>
        <v>Potyvirus kalanchoes</v>
      </c>
      <c r="S14734" t="s">
        <v>30</v>
      </c>
      <c r="T14734" t="s">
        <v>33740</v>
      </c>
      <c r="U14734" t="s">
        <v>33741</v>
      </c>
      <c r="V14734" t="s">
        <v>33742</v>
      </c>
      <c r="W14734" t="s">
        <v>33743</v>
      </c>
      <c r="X14734" t="s">
        <v>154</v>
      </c>
      <c r="Y14734" t="s">
        <v>17171</v>
      </c>
      <c r="Z14734" t="s">
        <v>13441</v>
      </c>
      <c r="AA14734" s="22" t="str">
        <f>HYPERLINK("https://www.ncbi.nlm.nih.gov/nuccore/GQ497731","NCBI Nucleotide")</f>
        <v>NCBI Nucleotide</v>
      </c>
    </row>
    <row r="14735" spans="1:27" x14ac:dyDescent="0.35">
      <c r="A14735">
        <v>1002957</v>
      </c>
      <c r="B14735">
        <v>13297</v>
      </c>
      <c r="C14735">
        <v>1</v>
      </c>
      <c r="D14735" t="s">
        <v>17166</v>
      </c>
      <c r="F14735" t="s">
        <v>17246</v>
      </c>
      <c r="H14735" t="s">
        <v>28921</v>
      </c>
      <c r="J14735" t="s">
        <v>33313</v>
      </c>
      <c r="L14735" t="s">
        <v>33314</v>
      </c>
      <c r="N14735" t="s">
        <v>33315</v>
      </c>
      <c r="P14735" t="s">
        <v>33449</v>
      </c>
      <c r="R14735" s="26" t="str">
        <f>HYPERLINK("https://ictv.global/taxonomy/taxondetails?taxnode_id=202304630","Potyvirus konjac")</f>
        <v>Potyvirus konjac</v>
      </c>
      <c r="S14735" t="s">
        <v>30</v>
      </c>
      <c r="T14735" t="s">
        <v>33748</v>
      </c>
      <c r="U14735" t="s">
        <v>33749</v>
      </c>
      <c r="V14735" t="s">
        <v>13935</v>
      </c>
      <c r="W14735" t="s">
        <v>33750</v>
      </c>
      <c r="X14735" t="s">
        <v>42</v>
      </c>
      <c r="Y14735" t="s">
        <v>17171</v>
      </c>
      <c r="Z14735" t="s">
        <v>13441</v>
      </c>
      <c r="AA14735" s="22" t="str">
        <f>HYPERLINK("https://www.ncbi.nlm.nih.gov/nuccore/AB219545","NCBI Nucleotide")</f>
        <v>NCBI Nucleotide</v>
      </c>
    </row>
    <row r="14736" spans="1:27" x14ac:dyDescent="0.35">
      <c r="A14736">
        <v>1002960</v>
      </c>
      <c r="B14736">
        <v>13298</v>
      </c>
      <c r="C14736">
        <v>1</v>
      </c>
      <c r="D14736" t="s">
        <v>17166</v>
      </c>
      <c r="F14736" t="s">
        <v>17246</v>
      </c>
      <c r="H14736" t="s">
        <v>28921</v>
      </c>
      <c r="J14736" t="s">
        <v>33313</v>
      </c>
      <c r="L14736" t="s">
        <v>33314</v>
      </c>
      <c r="N14736" t="s">
        <v>33315</v>
      </c>
      <c r="P14736" t="s">
        <v>33449</v>
      </c>
      <c r="R14736" s="26" t="str">
        <f>HYPERLINK("https://ictv.global/taxonomy/taxondetails?taxnode_id=202304633","Potyvirus lactucae")</f>
        <v>Potyvirus lactucae</v>
      </c>
      <c r="S14736" t="s">
        <v>30</v>
      </c>
      <c r="T14736" t="s">
        <v>33759</v>
      </c>
      <c r="U14736" t="s">
        <v>27690</v>
      </c>
      <c r="V14736" t="s">
        <v>30</v>
      </c>
      <c r="W14736" t="s">
        <v>33760</v>
      </c>
      <c r="X14736" t="s">
        <v>35</v>
      </c>
      <c r="Y14736" t="s">
        <v>17171</v>
      </c>
      <c r="Z14736" t="s">
        <v>13441</v>
      </c>
      <c r="AA14736" s="22" t="str">
        <f>HYPERLINK("https://www.ncbi.nlm.nih.gov/nuccore/X97705","NCBI Nucleotide")</f>
        <v>NCBI Nucleotide</v>
      </c>
    </row>
    <row r="14737" spans="1:27" x14ac:dyDescent="0.35">
      <c r="A14737">
        <v>1002959</v>
      </c>
      <c r="B14737">
        <v>13299</v>
      </c>
      <c r="C14737">
        <v>1</v>
      </c>
      <c r="D14737" t="s">
        <v>17166</v>
      </c>
      <c r="F14737" t="s">
        <v>17246</v>
      </c>
      <c r="H14737" t="s">
        <v>28921</v>
      </c>
      <c r="J14737" t="s">
        <v>33313</v>
      </c>
      <c r="L14737" t="s">
        <v>33314</v>
      </c>
      <c r="N14737" t="s">
        <v>33315</v>
      </c>
      <c r="P14737" t="s">
        <v>33449</v>
      </c>
      <c r="R14737" s="26" t="str">
        <f>HYPERLINK("https://ictv.global/taxonomy/taxondetails?taxnode_id=202304632","Potyvirus lactucaitalicense")</f>
        <v>Potyvirus lactucaitalicense</v>
      </c>
      <c r="S14737" t="s">
        <v>30</v>
      </c>
      <c r="T14737" t="s">
        <v>33755</v>
      </c>
      <c r="U14737" t="s">
        <v>33756</v>
      </c>
      <c r="V14737" t="s">
        <v>33757</v>
      </c>
      <c r="W14737" t="s">
        <v>33758</v>
      </c>
      <c r="X14737" t="s">
        <v>42</v>
      </c>
      <c r="Y14737" t="s">
        <v>17171</v>
      </c>
      <c r="Z14737" t="s">
        <v>13441</v>
      </c>
      <c r="AA14737" s="22" t="str">
        <f>HYPERLINK("https://www.ncbi.nlm.nih.gov/nuccore/KP769852","NCBI Nucleotide")</f>
        <v>NCBI Nucleotide</v>
      </c>
    </row>
    <row r="14738" spans="1:27" x14ac:dyDescent="0.35">
      <c r="A14738">
        <v>1002961</v>
      </c>
      <c r="B14738">
        <v>13300</v>
      </c>
      <c r="C14738">
        <v>1</v>
      </c>
      <c r="D14738" t="s">
        <v>17166</v>
      </c>
      <c r="F14738" t="s">
        <v>17246</v>
      </c>
      <c r="H14738" t="s">
        <v>28921</v>
      </c>
      <c r="J14738" t="s">
        <v>33313</v>
      </c>
      <c r="L14738" t="s">
        <v>33314</v>
      </c>
      <c r="N14738" t="s">
        <v>33315</v>
      </c>
      <c r="P14738" t="s">
        <v>33449</v>
      </c>
      <c r="R14738" s="26" t="str">
        <f>HYPERLINK("https://ictv.global/taxonomy/taxondetails?taxnode_id=202304634","Potyvirus lilimaculae")</f>
        <v>Potyvirus lilimaculae</v>
      </c>
      <c r="S14738" t="s">
        <v>30</v>
      </c>
      <c r="T14738" t="s">
        <v>33761</v>
      </c>
      <c r="U14738" t="s">
        <v>33762</v>
      </c>
      <c r="V14738" t="s">
        <v>33763</v>
      </c>
      <c r="W14738" t="s">
        <v>33764</v>
      </c>
      <c r="X14738" t="s">
        <v>35</v>
      </c>
      <c r="Y14738" t="s">
        <v>17171</v>
      </c>
      <c r="Z14738" t="s">
        <v>13441</v>
      </c>
      <c r="AA14738" s="22" t="str">
        <f>HYPERLINK("https://www.ncbi.nlm.nih.gov/nuccore/AJ564636","NCBI Nucleotide")</f>
        <v>NCBI Nucleotide</v>
      </c>
    </row>
    <row r="14739" spans="1:27" x14ac:dyDescent="0.35">
      <c r="A14739">
        <v>1002963</v>
      </c>
      <c r="B14739">
        <v>13301</v>
      </c>
      <c r="C14739">
        <v>1</v>
      </c>
      <c r="D14739" t="s">
        <v>17166</v>
      </c>
      <c r="F14739" t="s">
        <v>17246</v>
      </c>
      <c r="H14739" t="s">
        <v>28921</v>
      </c>
      <c r="J14739" t="s">
        <v>33313</v>
      </c>
      <c r="L14739" t="s">
        <v>33314</v>
      </c>
      <c r="N14739" t="s">
        <v>33315</v>
      </c>
      <c r="P14739" t="s">
        <v>33449</v>
      </c>
      <c r="R14739" s="26" t="str">
        <f>HYPERLINK("https://ictv.global/taxonomy/taxondetails?taxnode_id=202304635","Potyvirus lupinus")</f>
        <v>Potyvirus lupinus</v>
      </c>
      <c r="S14739" t="s">
        <v>30</v>
      </c>
      <c r="T14739" t="s">
        <v>33769</v>
      </c>
      <c r="U14739" t="s">
        <v>33770</v>
      </c>
      <c r="V14739" t="s">
        <v>33771</v>
      </c>
      <c r="W14739" t="s">
        <v>33772</v>
      </c>
      <c r="X14739" t="s">
        <v>42</v>
      </c>
      <c r="Y14739" t="s">
        <v>17171</v>
      </c>
      <c r="Z14739" t="s">
        <v>13441</v>
      </c>
      <c r="AA14739" s="22" t="str">
        <f>HYPERLINK("https://www.ncbi.nlm.nih.gov/nuccore/EU847625","NCBI Nucleotide")</f>
        <v>NCBI Nucleotide</v>
      </c>
    </row>
    <row r="14740" spans="1:27" x14ac:dyDescent="0.35">
      <c r="A14740">
        <v>1002964</v>
      </c>
      <c r="B14740">
        <v>13302</v>
      </c>
      <c r="C14740">
        <v>1</v>
      </c>
      <c r="D14740" t="s">
        <v>17166</v>
      </c>
      <c r="F14740" t="s">
        <v>17246</v>
      </c>
      <c r="H14740" t="s">
        <v>28921</v>
      </c>
      <c r="J14740" t="s">
        <v>33313</v>
      </c>
      <c r="L14740" t="s">
        <v>33314</v>
      </c>
      <c r="N14740" t="s">
        <v>33315</v>
      </c>
      <c r="P14740" t="s">
        <v>33449</v>
      </c>
      <c r="R14740" s="26" t="str">
        <f>HYPERLINK("https://ictv.global/taxonomy/taxondetails?taxnode_id=202304636","Potyvirus lycorsis")</f>
        <v>Potyvirus lycorsis</v>
      </c>
      <c r="S14740" t="s">
        <v>30</v>
      </c>
      <c r="T14740" t="s">
        <v>33773</v>
      </c>
      <c r="U14740" t="s">
        <v>33774</v>
      </c>
      <c r="V14740" t="s">
        <v>19343</v>
      </c>
      <c r="W14740" t="s">
        <v>33775</v>
      </c>
      <c r="X14740" t="s">
        <v>154</v>
      </c>
      <c r="Y14740" t="s">
        <v>17171</v>
      </c>
      <c r="Z14740" t="s">
        <v>13441</v>
      </c>
      <c r="AA14740" s="22" t="str">
        <f>HYPERLINK("https://www.ncbi.nlm.nih.gov/nuccore/AF399672","NCBI Nucleotide")</f>
        <v>NCBI Nucleotide</v>
      </c>
    </row>
    <row r="14741" spans="1:27" x14ac:dyDescent="0.35">
      <c r="A14741">
        <v>1002966</v>
      </c>
      <c r="B14741">
        <v>13303</v>
      </c>
      <c r="C14741">
        <v>1</v>
      </c>
      <c r="D14741" t="s">
        <v>17166</v>
      </c>
      <c r="F14741" t="s">
        <v>17246</v>
      </c>
      <c r="H14741" t="s">
        <v>28921</v>
      </c>
      <c r="J14741" t="s">
        <v>33313</v>
      </c>
      <c r="L14741" t="s">
        <v>33314</v>
      </c>
      <c r="N14741" t="s">
        <v>33315</v>
      </c>
      <c r="P14741" t="s">
        <v>33449</v>
      </c>
      <c r="R14741" s="26" t="str">
        <f>HYPERLINK("https://ictv.global/taxonomy/taxondetails?taxnode_id=202304638","Potyvirus malvae")</f>
        <v>Potyvirus malvae</v>
      </c>
      <c r="S14741" t="s">
        <v>30</v>
      </c>
      <c r="T14741" t="s">
        <v>33779</v>
      </c>
      <c r="U14741" t="s">
        <v>33780</v>
      </c>
      <c r="V14741" t="s">
        <v>33781</v>
      </c>
      <c r="W14741" t="s">
        <v>33782</v>
      </c>
      <c r="X14741" t="s">
        <v>154</v>
      </c>
      <c r="Y14741" t="s">
        <v>17171</v>
      </c>
      <c r="Z14741" t="s">
        <v>13441</v>
      </c>
      <c r="AA14741" s="22" t="str">
        <f>HYPERLINK("https://www.ncbi.nlm.nih.gov/nuccore/FM212972","NCBI Nucleotide")</f>
        <v>NCBI Nucleotide</v>
      </c>
    </row>
    <row r="14742" spans="1:27" x14ac:dyDescent="0.35">
      <c r="A14742">
        <v>1002878</v>
      </c>
      <c r="B14742">
        <v>13304</v>
      </c>
      <c r="C14742">
        <v>1</v>
      </c>
      <c r="D14742" t="s">
        <v>17166</v>
      </c>
      <c r="F14742" t="s">
        <v>17246</v>
      </c>
      <c r="H14742" t="s">
        <v>28921</v>
      </c>
      <c r="J14742" t="s">
        <v>33313</v>
      </c>
      <c r="L14742" t="s">
        <v>33314</v>
      </c>
      <c r="N14742" t="s">
        <v>33315</v>
      </c>
      <c r="P14742" t="s">
        <v>33449</v>
      </c>
      <c r="R14742" s="26" t="str">
        <f>HYPERLINK("https://ictv.global/taxonomy/taxondetails?taxnode_id=202306671","Potyvirus melongenae")</f>
        <v>Potyvirus melongenae</v>
      </c>
      <c r="S14742" t="s">
        <v>30</v>
      </c>
      <c r="T14742" t="s">
        <v>33450</v>
      </c>
      <c r="U14742" t="s">
        <v>33451</v>
      </c>
      <c r="V14742" t="s">
        <v>33452</v>
      </c>
      <c r="W14742" t="s">
        <v>33453</v>
      </c>
      <c r="X14742" t="s">
        <v>42</v>
      </c>
      <c r="Y14742" t="s">
        <v>17171</v>
      </c>
      <c r="Z14742" t="s">
        <v>13441</v>
      </c>
      <c r="AA14742" s="22" t="str">
        <f>HYPERLINK("https://www.ncbi.nlm.nih.gov/nuccore/MF997470","NCBI Nucleotide")</f>
        <v>NCBI Nucleotide</v>
      </c>
    </row>
    <row r="14743" spans="1:27" x14ac:dyDescent="0.35">
      <c r="A14743">
        <v>1003432</v>
      </c>
      <c r="B14743">
        <v>13305</v>
      </c>
      <c r="C14743">
        <v>1</v>
      </c>
      <c r="D14743" t="s">
        <v>17166</v>
      </c>
      <c r="F14743" t="s">
        <v>17246</v>
      </c>
      <c r="H14743" t="s">
        <v>28921</v>
      </c>
      <c r="J14743" t="s">
        <v>33313</v>
      </c>
      <c r="L14743" t="s">
        <v>33314</v>
      </c>
      <c r="N14743" t="s">
        <v>33315</v>
      </c>
      <c r="P14743" t="s">
        <v>33449</v>
      </c>
      <c r="R14743" s="26" t="str">
        <f>HYPERLINK("https://ictv.global/taxonomy/taxondetails?taxnode_id=202306677","Potyvirus melozonati")</f>
        <v>Potyvirus melozonati</v>
      </c>
      <c r="S14743" t="s">
        <v>30</v>
      </c>
      <c r="T14743" t="s">
        <v>34132</v>
      </c>
      <c r="U14743" t="s">
        <v>34133</v>
      </c>
      <c r="V14743" t="s">
        <v>34134</v>
      </c>
      <c r="W14743" t="s">
        <v>34135</v>
      </c>
      <c r="X14743" t="s">
        <v>42</v>
      </c>
      <c r="Y14743" t="s">
        <v>17171</v>
      </c>
      <c r="Z14743" t="s">
        <v>13441</v>
      </c>
      <c r="AA14743" s="22" t="str">
        <f>HYPERLINK("https://www.ncbi.nlm.nih.gov/nuccore/KY623506","NCBI Nucleotide")</f>
        <v>NCBI Nucleotide</v>
      </c>
    </row>
    <row r="14744" spans="1:27" x14ac:dyDescent="0.35">
      <c r="A14744">
        <v>1003382</v>
      </c>
      <c r="B14744">
        <v>13306</v>
      </c>
      <c r="C14744">
        <v>1</v>
      </c>
      <c r="D14744" t="s">
        <v>17166</v>
      </c>
      <c r="F14744" t="s">
        <v>17246</v>
      </c>
      <c r="H14744" t="s">
        <v>28921</v>
      </c>
      <c r="J14744" t="s">
        <v>33313</v>
      </c>
      <c r="L14744" t="s">
        <v>33314</v>
      </c>
      <c r="N14744" t="s">
        <v>33315</v>
      </c>
      <c r="P14744" t="s">
        <v>33449</v>
      </c>
      <c r="R14744" s="26" t="str">
        <f>HYPERLINK("https://ictv.global/taxonomy/taxondetails?taxnode_id=202313837","Potyvirus mirabilis")</f>
        <v>Potyvirus mirabilis</v>
      </c>
      <c r="S14744" t="s">
        <v>30</v>
      </c>
      <c r="T14744" t="s">
        <v>33957</v>
      </c>
      <c r="U14744" t="s">
        <v>33958</v>
      </c>
      <c r="V14744" t="s">
        <v>33959</v>
      </c>
      <c r="W14744" t="s">
        <v>33960</v>
      </c>
      <c r="X14744" t="s">
        <v>42</v>
      </c>
      <c r="Y14744" t="s">
        <v>17171</v>
      </c>
      <c r="Z14744" t="s">
        <v>13441</v>
      </c>
      <c r="AA14744" s="22" t="str">
        <f>HYPERLINK("https://www.ncbi.nlm.nih.gov/nuccore/MT247721","NCBI Nucleotide")</f>
        <v>NCBI Nucleotide</v>
      </c>
    </row>
    <row r="14745" spans="1:27" x14ac:dyDescent="0.35">
      <c r="A14745">
        <v>1026497</v>
      </c>
      <c r="B14745">
        <v>13307</v>
      </c>
      <c r="C14745">
        <v>1</v>
      </c>
      <c r="D14745" t="s">
        <v>17166</v>
      </c>
      <c r="F14745" t="s">
        <v>17246</v>
      </c>
      <c r="H14745" t="s">
        <v>28921</v>
      </c>
      <c r="J14745" t="s">
        <v>33313</v>
      </c>
      <c r="L14745" t="s">
        <v>33314</v>
      </c>
      <c r="N14745" t="s">
        <v>33315</v>
      </c>
      <c r="P14745" t="s">
        <v>33449</v>
      </c>
      <c r="R14745" s="26" t="str">
        <f>HYPERLINK("https://ictv.global/taxonomy/taxondetails?taxnode_id=202318060","Potyvirus miscanthi")</f>
        <v>Potyvirus miscanthi</v>
      </c>
      <c r="S14745" t="s">
        <v>30</v>
      </c>
      <c r="T14745" t="s">
        <v>47590</v>
      </c>
      <c r="U14745" t="s">
        <v>47591</v>
      </c>
      <c r="V14745" t="s">
        <v>34851</v>
      </c>
      <c r="W14745" t="s">
        <v>47592</v>
      </c>
      <c r="X14745" t="s">
        <v>42</v>
      </c>
      <c r="Y14745" t="s">
        <v>17171</v>
      </c>
      <c r="Z14745" t="s">
        <v>13441</v>
      </c>
      <c r="AA14745" s="22" t="str">
        <f>HYPERLINK("https://www.ncbi.nlm.nih.gov/nuccore/OL312763","NCBI Nucleotide")</f>
        <v>NCBI Nucleotide</v>
      </c>
    </row>
    <row r="14746" spans="1:27" x14ac:dyDescent="0.35">
      <c r="A14746">
        <v>1002975</v>
      </c>
      <c r="B14746">
        <v>13308</v>
      </c>
      <c r="C14746">
        <v>1</v>
      </c>
      <c r="D14746" t="s">
        <v>17166</v>
      </c>
      <c r="F14746" t="s">
        <v>17246</v>
      </c>
      <c r="H14746" t="s">
        <v>28921</v>
      </c>
      <c r="J14746" t="s">
        <v>33313</v>
      </c>
      <c r="L14746" t="s">
        <v>33314</v>
      </c>
      <c r="N14746" t="s">
        <v>33315</v>
      </c>
      <c r="P14746" t="s">
        <v>33449</v>
      </c>
      <c r="R14746" s="26" t="str">
        <f>HYPERLINK("https://ictv.global/taxonomy/taxondetails?taxnode_id=202309671","Potyvirus morindatessellati")</f>
        <v>Potyvirus morindatessellati</v>
      </c>
      <c r="S14746" t="s">
        <v>30</v>
      </c>
      <c r="T14746" t="s">
        <v>33811</v>
      </c>
      <c r="U14746" t="s">
        <v>33812</v>
      </c>
      <c r="V14746" t="s">
        <v>33813</v>
      </c>
      <c r="W14746" t="s">
        <v>33814</v>
      </c>
      <c r="X14746" t="s">
        <v>42</v>
      </c>
      <c r="Y14746" t="s">
        <v>17171</v>
      </c>
      <c r="Z14746" t="s">
        <v>13441</v>
      </c>
      <c r="AA14746" s="22" t="str">
        <f>HYPERLINK("https://www.ncbi.nlm.nih.gov/nuccore/MN114634","NCBI Nucleotide")</f>
        <v>NCBI Nucleotide</v>
      </c>
    </row>
    <row r="14747" spans="1:27" x14ac:dyDescent="0.35">
      <c r="A14747">
        <v>1003434</v>
      </c>
      <c r="B14747">
        <v>13309</v>
      </c>
      <c r="C14747">
        <v>1</v>
      </c>
      <c r="D14747" t="s">
        <v>17166</v>
      </c>
      <c r="F14747" t="s">
        <v>17246</v>
      </c>
      <c r="H14747" t="s">
        <v>28921</v>
      </c>
      <c r="J14747" t="s">
        <v>33313</v>
      </c>
      <c r="L14747" t="s">
        <v>33314</v>
      </c>
      <c r="N14747" t="s">
        <v>33315</v>
      </c>
      <c r="P14747" t="s">
        <v>33449</v>
      </c>
      <c r="R14747" s="26" t="str">
        <f>HYPERLINK("https://ictv.global/taxonomy/taxondetails?taxnode_id=202304711","Potyvirus muricati")</f>
        <v>Potyvirus muricati</v>
      </c>
      <c r="S14747" t="s">
        <v>30</v>
      </c>
      <c r="T14747" t="s">
        <v>34140</v>
      </c>
      <c r="U14747" t="s">
        <v>34141</v>
      </c>
      <c r="V14747" t="s">
        <v>34142</v>
      </c>
      <c r="W14747" t="s">
        <v>34143</v>
      </c>
      <c r="X14747" t="s">
        <v>42</v>
      </c>
      <c r="Y14747" t="s">
        <v>17171</v>
      </c>
      <c r="Z14747" t="s">
        <v>13441</v>
      </c>
      <c r="AA14747" s="22" t="str">
        <f>HYPERLINK("https://www.ncbi.nlm.nih.gov/nuccore/AJ437279","NCBI Nucleotide")</f>
        <v>NCBI Nucleotide</v>
      </c>
    </row>
    <row r="14748" spans="1:27" x14ac:dyDescent="0.35">
      <c r="A14748">
        <v>1002889</v>
      </c>
      <c r="B14748">
        <v>13310</v>
      </c>
      <c r="C14748">
        <v>1</v>
      </c>
      <c r="D14748" t="s">
        <v>17166</v>
      </c>
      <c r="F14748" t="s">
        <v>17246</v>
      </c>
      <c r="H14748" t="s">
        <v>28921</v>
      </c>
      <c r="J14748" t="s">
        <v>33313</v>
      </c>
      <c r="L14748" t="s">
        <v>33314</v>
      </c>
      <c r="N14748" t="s">
        <v>33315</v>
      </c>
      <c r="P14748" t="s">
        <v>33449</v>
      </c>
      <c r="R14748" s="26" t="str">
        <f>HYPERLINK("https://ictv.global/taxonomy/taxondetails?taxnode_id=202304573","Potyvirus musae")</f>
        <v>Potyvirus musae</v>
      </c>
      <c r="S14748" t="s">
        <v>30</v>
      </c>
      <c r="T14748" t="s">
        <v>33493</v>
      </c>
      <c r="U14748" t="s">
        <v>33494</v>
      </c>
      <c r="V14748" t="s">
        <v>33495</v>
      </c>
      <c r="W14748" t="s">
        <v>33496</v>
      </c>
      <c r="X14748" t="s">
        <v>42</v>
      </c>
      <c r="Y14748" t="s">
        <v>17171</v>
      </c>
      <c r="Z14748" t="s">
        <v>13441</v>
      </c>
      <c r="AA14748" s="22" t="str">
        <f>HYPERLINK("https://www.ncbi.nlm.nih.gov/nuccore/DQ851496","NCBI Nucleotide")</f>
        <v>NCBI Nucleotide</v>
      </c>
    </row>
    <row r="14749" spans="1:27" x14ac:dyDescent="0.35">
      <c r="A14749">
        <v>1002973</v>
      </c>
      <c r="B14749">
        <v>13311</v>
      </c>
      <c r="C14749">
        <v>1</v>
      </c>
      <c r="D14749" t="s">
        <v>17166</v>
      </c>
      <c r="F14749" t="s">
        <v>17246</v>
      </c>
      <c r="H14749" t="s">
        <v>28921</v>
      </c>
      <c r="J14749" t="s">
        <v>33313</v>
      </c>
      <c r="L14749" t="s">
        <v>33314</v>
      </c>
      <c r="N14749" t="s">
        <v>33315</v>
      </c>
      <c r="P14749" t="s">
        <v>33449</v>
      </c>
      <c r="R14749" s="26" t="str">
        <f>HYPERLINK("https://ictv.global/taxonomy/taxondetails?taxnode_id=202304643","Potyvirus narcissus")</f>
        <v>Potyvirus narcissus</v>
      </c>
      <c r="S14749" t="s">
        <v>30</v>
      </c>
      <c r="T14749" t="s">
        <v>33804</v>
      </c>
      <c r="U14749" t="s">
        <v>33805</v>
      </c>
      <c r="V14749" t="s">
        <v>19436</v>
      </c>
      <c r="W14749" t="s">
        <v>33806</v>
      </c>
      <c r="X14749" t="s">
        <v>35</v>
      </c>
      <c r="Y14749" t="s">
        <v>17171</v>
      </c>
      <c r="Z14749" t="s">
        <v>13441</v>
      </c>
      <c r="AA14749" s="22" t="str">
        <f>HYPERLINK("https://www.ncbi.nlm.nih.gov/nuccore/AM158908","NCBI Nucleotide")</f>
        <v>NCBI Nucleotide</v>
      </c>
    </row>
    <row r="14750" spans="1:27" x14ac:dyDescent="0.35">
      <c r="A14750">
        <v>1002971</v>
      </c>
      <c r="B14750">
        <v>13312</v>
      </c>
      <c r="C14750">
        <v>1</v>
      </c>
      <c r="D14750" t="s">
        <v>17166</v>
      </c>
      <c r="F14750" t="s">
        <v>17246</v>
      </c>
      <c r="H14750" t="s">
        <v>28921</v>
      </c>
      <c r="J14750" t="s">
        <v>33313</v>
      </c>
      <c r="L14750" t="s">
        <v>33314</v>
      </c>
      <c r="N14750" t="s">
        <v>33315</v>
      </c>
      <c r="P14750" t="s">
        <v>33449</v>
      </c>
      <c r="R14750" s="26" t="str">
        <f>HYPERLINK("https://ictv.global/taxonomy/taxondetails?taxnode_id=202304641","Potyvirus narcissusdegeneris")</f>
        <v>Potyvirus narcissusdegeneris</v>
      </c>
      <c r="S14750" t="s">
        <v>30</v>
      </c>
      <c r="T14750" t="s">
        <v>33798</v>
      </c>
      <c r="U14750" t="s">
        <v>27776</v>
      </c>
      <c r="V14750" t="s">
        <v>19436</v>
      </c>
      <c r="W14750" t="s">
        <v>33799</v>
      </c>
      <c r="X14750" t="s">
        <v>42</v>
      </c>
      <c r="Y14750" t="s">
        <v>17171</v>
      </c>
      <c r="Z14750" t="s">
        <v>13441</v>
      </c>
      <c r="AA14750" s="22" t="str">
        <f>HYPERLINK("https://www.ncbi.nlm.nih.gov/nuccore/AM182028","NCBI Nucleotide")</f>
        <v>NCBI Nucleotide</v>
      </c>
    </row>
    <row r="14751" spans="1:27" x14ac:dyDescent="0.35">
      <c r="A14751">
        <v>1002972</v>
      </c>
      <c r="B14751">
        <v>13313</v>
      </c>
      <c r="C14751">
        <v>1</v>
      </c>
      <c r="D14751" t="s">
        <v>17166</v>
      </c>
      <c r="F14751" t="s">
        <v>17246</v>
      </c>
      <c r="H14751" t="s">
        <v>28921</v>
      </c>
      <c r="J14751" t="s">
        <v>33313</v>
      </c>
      <c r="L14751" t="s">
        <v>33314</v>
      </c>
      <c r="N14751" t="s">
        <v>33315</v>
      </c>
      <c r="P14751" t="s">
        <v>33449</v>
      </c>
      <c r="R14751" s="26" t="str">
        <f>HYPERLINK("https://ictv.global/taxonomy/taxondetails?taxnode_id=202304642","Potyvirus narcissuslineae")</f>
        <v>Potyvirus narcissuslineae</v>
      </c>
      <c r="S14751" t="s">
        <v>30</v>
      </c>
      <c r="T14751" t="s">
        <v>33800</v>
      </c>
      <c r="U14751" t="s">
        <v>33801</v>
      </c>
      <c r="V14751" t="s">
        <v>33802</v>
      </c>
      <c r="W14751" t="s">
        <v>33803</v>
      </c>
      <c r="X14751" t="s">
        <v>42</v>
      </c>
      <c r="Y14751" t="s">
        <v>17171</v>
      </c>
      <c r="Z14751" t="s">
        <v>13441</v>
      </c>
      <c r="AA14751" s="22" t="str">
        <f>HYPERLINK("https://www.ncbi.nlm.nih.gov/nuccore/KC691259","NCBI Nucleotide")</f>
        <v>NCBI Nucleotide</v>
      </c>
    </row>
    <row r="14752" spans="1:27" x14ac:dyDescent="0.35">
      <c r="A14752">
        <v>1002974</v>
      </c>
      <c r="B14752">
        <v>13314</v>
      </c>
      <c r="C14752">
        <v>1</v>
      </c>
      <c r="D14752" t="s">
        <v>17166</v>
      </c>
      <c r="F14752" t="s">
        <v>17246</v>
      </c>
      <c r="H14752" t="s">
        <v>28921</v>
      </c>
      <c r="J14752" t="s">
        <v>33313</v>
      </c>
      <c r="L14752" t="s">
        <v>33314</v>
      </c>
      <c r="N14752" t="s">
        <v>33315</v>
      </c>
      <c r="P14752" t="s">
        <v>33449</v>
      </c>
      <c r="R14752" s="26" t="str">
        <f>HYPERLINK("https://ictv.global/taxonomy/taxondetails?taxnode_id=202304644","Potyvirus nerinis")</f>
        <v>Potyvirus nerinis</v>
      </c>
      <c r="S14752" t="s">
        <v>30</v>
      </c>
      <c r="T14752" t="s">
        <v>33807</v>
      </c>
      <c r="U14752" t="s">
        <v>33808</v>
      </c>
      <c r="V14752" t="s">
        <v>33809</v>
      </c>
      <c r="W14752" t="s">
        <v>33810</v>
      </c>
      <c r="X14752" t="s">
        <v>154</v>
      </c>
      <c r="Y14752" t="s">
        <v>17171</v>
      </c>
      <c r="Z14752" t="s">
        <v>13441</v>
      </c>
      <c r="AA14752" s="22" t="str">
        <f>HYPERLINK("https://www.ncbi.nlm.nih.gov/nuccore/EF362621","NCBI Nucleotide")</f>
        <v>NCBI Nucleotide</v>
      </c>
    </row>
    <row r="14753" spans="1:27" x14ac:dyDescent="0.35">
      <c r="A14753">
        <v>1003414</v>
      </c>
      <c r="B14753">
        <v>13315</v>
      </c>
      <c r="C14753">
        <v>1</v>
      </c>
      <c r="D14753" t="s">
        <v>17166</v>
      </c>
      <c r="F14753" t="s">
        <v>17246</v>
      </c>
      <c r="H14753" t="s">
        <v>28921</v>
      </c>
      <c r="J14753" t="s">
        <v>33313</v>
      </c>
      <c r="L14753" t="s">
        <v>33314</v>
      </c>
      <c r="N14753" t="s">
        <v>33315</v>
      </c>
      <c r="P14753" t="s">
        <v>33449</v>
      </c>
      <c r="R14753" s="26" t="str">
        <f>HYPERLINK("https://ictv.global/taxonomy/taxondetails?taxnode_id=202304695","Potyvirus nicotianainsculpentis")</f>
        <v>Potyvirus nicotianainsculpentis</v>
      </c>
      <c r="S14753" t="s">
        <v>30</v>
      </c>
      <c r="T14753" t="s">
        <v>34068</v>
      </c>
      <c r="U14753" t="s">
        <v>34069</v>
      </c>
      <c r="V14753" t="s">
        <v>34070</v>
      </c>
      <c r="W14753" t="s">
        <v>34071</v>
      </c>
      <c r="X14753" t="s">
        <v>42</v>
      </c>
      <c r="Y14753" t="s">
        <v>17171</v>
      </c>
      <c r="Z14753" t="s">
        <v>13441</v>
      </c>
      <c r="AA14753" s="22" t="str">
        <f>HYPERLINK("https://www.ncbi.nlm.nih.gov/nuccore/M11458","NCBI Nucleotide")</f>
        <v>NCBI Nucleotide</v>
      </c>
    </row>
    <row r="14754" spans="1:27" x14ac:dyDescent="0.35">
      <c r="A14754">
        <v>1003415</v>
      </c>
      <c r="B14754">
        <v>13316</v>
      </c>
      <c r="C14754">
        <v>1</v>
      </c>
      <c r="D14754" t="s">
        <v>17166</v>
      </c>
      <c r="F14754" t="s">
        <v>17246</v>
      </c>
      <c r="H14754" t="s">
        <v>28921</v>
      </c>
      <c r="J14754" t="s">
        <v>33313</v>
      </c>
      <c r="L14754" t="s">
        <v>33314</v>
      </c>
      <c r="N14754" t="s">
        <v>33315</v>
      </c>
      <c r="P14754" t="s">
        <v>33449</v>
      </c>
      <c r="R14754" s="26" t="str">
        <f>HYPERLINK("https://ictv.global/taxonomy/taxondetails?taxnode_id=202305924","Potyvirus nicotianamaculae")</f>
        <v>Potyvirus nicotianamaculae</v>
      </c>
      <c r="S14754" t="s">
        <v>30</v>
      </c>
      <c r="T14754" t="s">
        <v>34072</v>
      </c>
      <c r="U14754" t="s">
        <v>34073</v>
      </c>
      <c r="V14754" t="s">
        <v>34074</v>
      </c>
      <c r="W14754" t="s">
        <v>34075</v>
      </c>
      <c r="X14754" t="s">
        <v>42</v>
      </c>
      <c r="Y14754" t="s">
        <v>17171</v>
      </c>
      <c r="Z14754" t="s">
        <v>13441</v>
      </c>
      <c r="AA14754" s="22" t="str">
        <f>HYPERLINK("https://www.ncbi.nlm.nih.gov/nuccore/KT834407","NCBI Nucleotide")</f>
        <v>NCBI Nucleotide</v>
      </c>
    </row>
    <row r="14755" spans="1:27" x14ac:dyDescent="0.35">
      <c r="A14755">
        <v>1003417</v>
      </c>
      <c r="B14755">
        <v>13317</v>
      </c>
      <c r="C14755">
        <v>1</v>
      </c>
      <c r="D14755" t="s">
        <v>17166</v>
      </c>
      <c r="F14755" t="s">
        <v>17246</v>
      </c>
      <c r="H14755" t="s">
        <v>28921</v>
      </c>
      <c r="J14755" t="s">
        <v>33313</v>
      </c>
      <c r="L14755" t="s">
        <v>33314</v>
      </c>
      <c r="N14755" t="s">
        <v>33315</v>
      </c>
      <c r="P14755" t="s">
        <v>33449</v>
      </c>
      <c r="R14755" s="26" t="str">
        <f>HYPERLINK("https://ictv.global/taxonomy/taxondetails?taxnode_id=202304697","Potyvirus nicotianavenamaculae")</f>
        <v>Potyvirus nicotianavenamaculae</v>
      </c>
      <c r="S14755" t="s">
        <v>30</v>
      </c>
      <c r="T14755" t="s">
        <v>34080</v>
      </c>
      <c r="U14755" t="s">
        <v>34081</v>
      </c>
      <c r="V14755" t="s">
        <v>23824</v>
      </c>
      <c r="W14755" t="s">
        <v>34082</v>
      </c>
      <c r="X14755" t="s">
        <v>42</v>
      </c>
      <c r="Y14755" t="s">
        <v>17171</v>
      </c>
      <c r="Z14755" t="s">
        <v>13441</v>
      </c>
      <c r="AA14755" s="22" t="str">
        <f>HYPERLINK("https://www.ncbi.nlm.nih.gov/nuccore/X04083","NCBI Nucleotide")</f>
        <v>NCBI Nucleotide</v>
      </c>
    </row>
    <row r="14756" spans="1:27" x14ac:dyDescent="0.35">
      <c r="A14756">
        <v>1003416</v>
      </c>
      <c r="B14756">
        <v>13318</v>
      </c>
      <c r="C14756">
        <v>1</v>
      </c>
      <c r="D14756" t="s">
        <v>17166</v>
      </c>
      <c r="F14756" t="s">
        <v>17246</v>
      </c>
      <c r="H14756" t="s">
        <v>28921</v>
      </c>
      <c r="J14756" t="s">
        <v>33313</v>
      </c>
      <c r="L14756" t="s">
        <v>33314</v>
      </c>
      <c r="N14756" t="s">
        <v>33315</v>
      </c>
      <c r="P14756" t="s">
        <v>33449</v>
      </c>
      <c r="R14756" s="26" t="str">
        <f>HYPERLINK("https://ictv.global/taxonomy/taxondetails?taxnode_id=202304696","Potyvirus nicotianavenaobscurum")</f>
        <v>Potyvirus nicotianavenaobscurum</v>
      </c>
      <c r="S14756" t="s">
        <v>30</v>
      </c>
      <c r="T14756" t="s">
        <v>34076</v>
      </c>
      <c r="U14756" t="s">
        <v>34077</v>
      </c>
      <c r="V14756" t="s">
        <v>34078</v>
      </c>
      <c r="W14756" t="s">
        <v>34079</v>
      </c>
      <c r="X14756" t="s">
        <v>42</v>
      </c>
      <c r="Y14756" t="s">
        <v>17171</v>
      </c>
      <c r="Z14756" t="s">
        <v>13441</v>
      </c>
      <c r="AA14756" s="22" t="str">
        <f>HYPERLINK("https://www.ncbi.nlm.nih.gov/nuccore/EF219408","NCBI Nucleotide")</f>
        <v>NCBI Nucleotide</v>
      </c>
    </row>
    <row r="14757" spans="1:27" x14ac:dyDescent="0.35">
      <c r="A14757">
        <v>1002952</v>
      </c>
      <c r="B14757">
        <v>13319</v>
      </c>
      <c r="C14757">
        <v>1</v>
      </c>
      <c r="D14757" t="s">
        <v>17166</v>
      </c>
      <c r="F14757" t="s">
        <v>17246</v>
      </c>
      <c r="H14757" t="s">
        <v>28921</v>
      </c>
      <c r="J14757" t="s">
        <v>33313</v>
      </c>
      <c r="L14757" t="s">
        <v>33314</v>
      </c>
      <c r="N14757" t="s">
        <v>33315</v>
      </c>
      <c r="P14757" t="s">
        <v>33449</v>
      </c>
      <c r="R14757" s="26" t="str">
        <f>HYPERLINK("https://ictv.global/taxonomy/taxondetails?taxnode_id=202304625","Potyvirus nippodioscoreae")</f>
        <v>Potyvirus nippodioscoreae</v>
      </c>
      <c r="S14757" t="s">
        <v>30</v>
      </c>
      <c r="T14757" t="s">
        <v>33730</v>
      </c>
      <c r="U14757" t="s">
        <v>14679</v>
      </c>
      <c r="V14757" t="s">
        <v>33731</v>
      </c>
      <c r="W14757" t="s">
        <v>33732</v>
      </c>
      <c r="X14757" t="s">
        <v>42</v>
      </c>
      <c r="Y14757" t="s">
        <v>17171</v>
      </c>
      <c r="Z14757" t="s">
        <v>13441</v>
      </c>
      <c r="AA14757" s="22" t="str">
        <f>HYPERLINK("https://www.ncbi.nlm.nih.gov/nuccore/AB027007","NCBI Nucleotide")</f>
        <v>NCBI Nucleotide</v>
      </c>
    </row>
    <row r="14758" spans="1:27" x14ac:dyDescent="0.35">
      <c r="A14758">
        <v>1002976</v>
      </c>
      <c r="B14758">
        <v>13320</v>
      </c>
      <c r="C14758">
        <v>1</v>
      </c>
      <c r="D14758" t="s">
        <v>17166</v>
      </c>
      <c r="F14758" t="s">
        <v>17246</v>
      </c>
      <c r="H14758" t="s">
        <v>28921</v>
      </c>
      <c r="J14758" t="s">
        <v>33313</v>
      </c>
      <c r="L14758" t="s">
        <v>33314</v>
      </c>
      <c r="N14758" t="s">
        <v>33315</v>
      </c>
      <c r="P14758" t="s">
        <v>33449</v>
      </c>
      <c r="R14758" s="26" t="str">
        <f>HYPERLINK("https://ictv.global/taxonomy/taxondetails?taxnode_id=202304645","Potyvirus nothoscordi")</f>
        <v>Potyvirus nothoscordi</v>
      </c>
      <c r="S14758" t="s">
        <v>30</v>
      </c>
      <c r="T14758" t="s">
        <v>33815</v>
      </c>
      <c r="U14758" t="s">
        <v>33812</v>
      </c>
      <c r="V14758" t="s">
        <v>33816</v>
      </c>
      <c r="X14758" t="s">
        <v>3311</v>
      </c>
      <c r="Y14758" t="s">
        <v>17171</v>
      </c>
      <c r="Z14758" t="s">
        <v>13441</v>
      </c>
    </row>
    <row r="14759" spans="1:27" x14ac:dyDescent="0.35">
      <c r="A14759">
        <v>1002935</v>
      </c>
      <c r="B14759">
        <v>13321</v>
      </c>
      <c r="C14759">
        <v>1</v>
      </c>
      <c r="D14759" t="s">
        <v>17166</v>
      </c>
      <c r="F14759" t="s">
        <v>17246</v>
      </c>
      <c r="H14759" t="s">
        <v>28921</v>
      </c>
      <c r="J14759" t="s">
        <v>33313</v>
      </c>
      <c r="L14759" t="s">
        <v>33314</v>
      </c>
      <c r="N14759" t="s">
        <v>33315</v>
      </c>
      <c r="P14759" t="s">
        <v>33449</v>
      </c>
      <c r="R14759" s="26" t="str">
        <f>HYPERLINK("https://ictv.global/taxonomy/taxondetails?taxnode_id=202304610","Potyvirus orionspassiflorae")</f>
        <v>Potyvirus orionspassiflorae</v>
      </c>
      <c r="S14759" t="s">
        <v>30</v>
      </c>
      <c r="T14759" t="s">
        <v>33666</v>
      </c>
      <c r="U14759" t="s">
        <v>33667</v>
      </c>
      <c r="V14759" t="s">
        <v>33668</v>
      </c>
      <c r="W14759" t="s">
        <v>33669</v>
      </c>
      <c r="X14759" t="s">
        <v>42</v>
      </c>
      <c r="Y14759" t="s">
        <v>17171</v>
      </c>
      <c r="Z14759" t="s">
        <v>13441</v>
      </c>
      <c r="AA14759" s="22" t="str">
        <f>HYPERLINK("https://www.ncbi.nlm.nih.gov/nuccore/AB246773","NCBI Nucleotide")</f>
        <v>NCBI Nucleotide</v>
      </c>
    </row>
    <row r="14760" spans="1:27" x14ac:dyDescent="0.35">
      <c r="A14760">
        <v>1002979</v>
      </c>
      <c r="B14760">
        <v>13322</v>
      </c>
      <c r="C14760">
        <v>1</v>
      </c>
      <c r="D14760" t="s">
        <v>17166</v>
      </c>
      <c r="F14760" t="s">
        <v>17246</v>
      </c>
      <c r="H14760" t="s">
        <v>28921</v>
      </c>
      <c r="J14760" t="s">
        <v>33313</v>
      </c>
      <c r="L14760" t="s">
        <v>33314</v>
      </c>
      <c r="N14760" t="s">
        <v>33315</v>
      </c>
      <c r="P14760" t="s">
        <v>33449</v>
      </c>
      <c r="R14760" s="26" t="str">
        <f>HYPERLINK("https://ictv.global/taxonomy/taxondetails?taxnode_id=202304648","Potyvirus ornithogali")</f>
        <v>Potyvirus ornithogali</v>
      </c>
      <c r="S14760" t="s">
        <v>30</v>
      </c>
      <c r="T14760" t="s">
        <v>33825</v>
      </c>
      <c r="U14760" t="s">
        <v>33826</v>
      </c>
      <c r="V14760" t="s">
        <v>18936</v>
      </c>
      <c r="W14760" t="s">
        <v>33827</v>
      </c>
      <c r="X14760" t="s">
        <v>154</v>
      </c>
      <c r="Y14760" t="s">
        <v>17171</v>
      </c>
      <c r="Z14760" t="s">
        <v>13441</v>
      </c>
      <c r="AA14760" s="22" t="str">
        <f>HYPERLINK("https://www.ncbi.nlm.nih.gov/nuccore/AB271783","NCBI Nucleotide")</f>
        <v>NCBI Nucleotide</v>
      </c>
    </row>
    <row r="14761" spans="1:27" x14ac:dyDescent="0.35">
      <c r="A14761">
        <v>1002978</v>
      </c>
      <c r="B14761">
        <v>13323</v>
      </c>
      <c r="C14761">
        <v>1</v>
      </c>
      <c r="D14761" t="s">
        <v>17166</v>
      </c>
      <c r="F14761" t="s">
        <v>17246</v>
      </c>
      <c r="H14761" t="s">
        <v>28921</v>
      </c>
      <c r="J14761" t="s">
        <v>33313</v>
      </c>
      <c r="L14761" t="s">
        <v>33314</v>
      </c>
      <c r="N14761" t="s">
        <v>33315</v>
      </c>
      <c r="P14761" t="s">
        <v>33449</v>
      </c>
      <c r="R14761" s="26" t="str">
        <f>HYPERLINK("https://ictv.global/taxonomy/taxondetails?taxnode_id=202304647","Potyvirus ornithogalitessellati")</f>
        <v>Potyvirus ornithogalitessellati</v>
      </c>
      <c r="S14761" t="s">
        <v>30</v>
      </c>
      <c r="T14761" t="s">
        <v>33821</v>
      </c>
      <c r="U14761" t="s">
        <v>33822</v>
      </c>
      <c r="V14761" t="s">
        <v>33823</v>
      </c>
      <c r="W14761" t="s">
        <v>33824</v>
      </c>
      <c r="X14761" t="s">
        <v>42</v>
      </c>
      <c r="Y14761" t="s">
        <v>17171</v>
      </c>
      <c r="Z14761" t="s">
        <v>13441</v>
      </c>
      <c r="AA14761" s="22" t="str">
        <f>HYPERLINK("https://www.ncbi.nlm.nih.gov/nuccore/JQ807997","NCBI Nucleotide")</f>
        <v>NCBI Nucleotide</v>
      </c>
    </row>
    <row r="14762" spans="1:27" x14ac:dyDescent="0.35">
      <c r="A14762">
        <v>1003439</v>
      </c>
      <c r="B14762">
        <v>13324</v>
      </c>
      <c r="C14762">
        <v>1</v>
      </c>
      <c r="D14762" t="s">
        <v>17166</v>
      </c>
      <c r="F14762" t="s">
        <v>17246</v>
      </c>
      <c r="H14762" t="s">
        <v>28921</v>
      </c>
      <c r="J14762" t="s">
        <v>33313</v>
      </c>
      <c r="L14762" t="s">
        <v>33314</v>
      </c>
      <c r="N14762" t="s">
        <v>33315</v>
      </c>
      <c r="P14762" t="s">
        <v>33449</v>
      </c>
      <c r="R14762" s="26" t="str">
        <f>HYPERLINK("https://ictv.global/taxonomy/taxondetails?taxnode_id=202304716","Potyvirus pachyrhizus")</f>
        <v>Potyvirus pachyrhizus</v>
      </c>
      <c r="S14762" t="s">
        <v>30</v>
      </c>
      <c r="T14762" t="s">
        <v>34158</v>
      </c>
      <c r="U14762" t="s">
        <v>34159</v>
      </c>
      <c r="V14762" t="s">
        <v>34160</v>
      </c>
      <c r="W14762" t="s">
        <v>34161</v>
      </c>
      <c r="X14762" t="s">
        <v>42</v>
      </c>
      <c r="Y14762" t="s">
        <v>17171</v>
      </c>
      <c r="Z14762" t="s">
        <v>13441</v>
      </c>
      <c r="AA14762" s="22" t="str">
        <f>HYPERLINK("https://www.ncbi.nlm.nih.gov/nuccore/JN190431","NCBI Nucleotide")</f>
        <v>NCBI Nucleotide</v>
      </c>
    </row>
    <row r="14763" spans="1:27" x14ac:dyDescent="0.35">
      <c r="A14763">
        <v>1002981</v>
      </c>
      <c r="B14763">
        <v>13325</v>
      </c>
      <c r="C14763">
        <v>1</v>
      </c>
      <c r="D14763" t="s">
        <v>17166</v>
      </c>
      <c r="F14763" t="s">
        <v>17246</v>
      </c>
      <c r="H14763" t="s">
        <v>28921</v>
      </c>
      <c r="J14763" t="s">
        <v>33313</v>
      </c>
      <c r="L14763" t="s">
        <v>33314</v>
      </c>
      <c r="N14763" t="s">
        <v>33315</v>
      </c>
      <c r="P14763" t="s">
        <v>33449</v>
      </c>
      <c r="R14763" s="26" t="str">
        <f>HYPERLINK("https://ictv.global/taxonomy/taxondetails?taxnode_id=202304650","Potyvirus panax")</f>
        <v>Potyvirus panax</v>
      </c>
      <c r="S14763" t="s">
        <v>30</v>
      </c>
      <c r="T14763" t="s">
        <v>33831</v>
      </c>
      <c r="U14763" t="s">
        <v>33832</v>
      </c>
      <c r="V14763" t="s">
        <v>33833</v>
      </c>
      <c r="W14763" t="s">
        <v>33834</v>
      </c>
      <c r="X14763" t="s">
        <v>42</v>
      </c>
      <c r="Y14763" t="s">
        <v>17171</v>
      </c>
      <c r="Z14763" t="s">
        <v>13441</v>
      </c>
      <c r="AA14763" s="22" t="str">
        <f>HYPERLINK("https://www.ncbi.nlm.nih.gov/nuccore/GQ916624","NCBI Nucleotide")</f>
        <v>NCBI Nucleotide</v>
      </c>
    </row>
    <row r="14764" spans="1:27" x14ac:dyDescent="0.35">
      <c r="A14764">
        <v>1002983</v>
      </c>
      <c r="B14764">
        <v>13326</v>
      </c>
      <c r="C14764">
        <v>1</v>
      </c>
      <c r="D14764" t="s">
        <v>17166</v>
      </c>
      <c r="F14764" t="s">
        <v>17246</v>
      </c>
      <c r="H14764" t="s">
        <v>28921</v>
      </c>
      <c r="J14764" t="s">
        <v>33313</v>
      </c>
      <c r="L14764" t="s">
        <v>33314</v>
      </c>
      <c r="N14764" t="s">
        <v>33315</v>
      </c>
      <c r="P14764" t="s">
        <v>33449</v>
      </c>
      <c r="R14764" s="26" t="str">
        <f>HYPERLINK("https://ictv.global/taxonomy/taxondetails?taxnode_id=202304652","Potyvirus papayanuli")</f>
        <v>Potyvirus papayanuli</v>
      </c>
      <c r="S14764" t="s">
        <v>30</v>
      </c>
      <c r="T14764" t="s">
        <v>33838</v>
      </c>
      <c r="U14764" t="s">
        <v>33839</v>
      </c>
      <c r="V14764" t="s">
        <v>33840</v>
      </c>
      <c r="W14764" t="s">
        <v>33841</v>
      </c>
      <c r="X14764" t="s">
        <v>42</v>
      </c>
      <c r="Y14764" t="s">
        <v>17171</v>
      </c>
      <c r="Z14764" t="s">
        <v>13441</v>
      </c>
      <c r="AA14764" s="22" t="str">
        <f>HYPERLINK("https://www.ncbi.nlm.nih.gov/nuccore/X67673","NCBI Nucleotide")</f>
        <v>NCBI Nucleotide</v>
      </c>
    </row>
    <row r="14765" spans="1:27" x14ac:dyDescent="0.35">
      <c r="A14765">
        <v>1011932</v>
      </c>
      <c r="B14765">
        <v>13326</v>
      </c>
      <c r="C14765">
        <v>2</v>
      </c>
      <c r="D14765" t="s">
        <v>17166</v>
      </c>
      <c r="F14765" t="s">
        <v>17246</v>
      </c>
      <c r="H14765" t="s">
        <v>28921</v>
      </c>
      <c r="J14765" t="s">
        <v>33313</v>
      </c>
      <c r="L14765" t="s">
        <v>33314</v>
      </c>
      <c r="N14765" t="s">
        <v>33315</v>
      </c>
      <c r="P14765" t="s">
        <v>33449</v>
      </c>
      <c r="R14765" s="26" t="str">
        <f>HYPERLINK("https://ictv.global/taxonomy/taxondetails?taxnode_id=202304652","Potyvirus papayanuli")</f>
        <v>Potyvirus papayanuli</v>
      </c>
      <c r="S14765" t="s">
        <v>8141</v>
      </c>
      <c r="T14765" t="s">
        <v>33838</v>
      </c>
      <c r="U14765" t="s">
        <v>33839</v>
      </c>
      <c r="V14765" t="s">
        <v>33644</v>
      </c>
      <c r="W14765" t="s">
        <v>50127</v>
      </c>
      <c r="X14765" t="s">
        <v>42</v>
      </c>
      <c r="Y14765" t="s">
        <v>17171</v>
      </c>
      <c r="Z14765" t="s">
        <v>13441</v>
      </c>
      <c r="AA14765" s="22" t="str">
        <f>HYPERLINK("https://www.ncbi.nlm.nih.gov/nuccore/AY027810","NCBI Nucleotide")</f>
        <v>NCBI Nucleotide</v>
      </c>
    </row>
    <row r="14766" spans="1:27" x14ac:dyDescent="0.35">
      <c r="A14766">
        <v>1002985</v>
      </c>
      <c r="B14766">
        <v>13327</v>
      </c>
      <c r="C14766">
        <v>1</v>
      </c>
      <c r="D14766" t="s">
        <v>17166</v>
      </c>
      <c r="F14766" t="s">
        <v>17246</v>
      </c>
      <c r="H14766" t="s">
        <v>28921</v>
      </c>
      <c r="J14766" t="s">
        <v>33313</v>
      </c>
      <c r="L14766" t="s">
        <v>33314</v>
      </c>
      <c r="N14766" t="s">
        <v>33315</v>
      </c>
      <c r="P14766" t="s">
        <v>33449</v>
      </c>
      <c r="R14766" s="26" t="str">
        <f>HYPERLINK("https://ictv.global/taxonomy/taxondetails?taxnode_id=202309672","Potyvirus paris")</f>
        <v>Potyvirus paris</v>
      </c>
      <c r="S14766" t="s">
        <v>30</v>
      </c>
      <c r="T14766" t="s">
        <v>33846</v>
      </c>
      <c r="U14766" t="s">
        <v>33847</v>
      </c>
      <c r="V14766" t="s">
        <v>33848</v>
      </c>
      <c r="W14766" t="s">
        <v>33849</v>
      </c>
      <c r="X14766" t="s">
        <v>42</v>
      </c>
      <c r="Y14766" t="s">
        <v>17171</v>
      </c>
      <c r="Z14766" t="s">
        <v>13441</v>
      </c>
      <c r="AA14766" s="22" t="str">
        <f>HYPERLINK("https://www.ncbi.nlm.nih.gov/nuccore/MN549985","NCBI Nucleotide")</f>
        <v>NCBI Nucleotide</v>
      </c>
    </row>
    <row r="14767" spans="1:27" x14ac:dyDescent="0.35">
      <c r="A14767">
        <v>1002984</v>
      </c>
      <c r="B14767">
        <v>13328</v>
      </c>
      <c r="C14767">
        <v>1</v>
      </c>
      <c r="D14767" t="s">
        <v>17166</v>
      </c>
      <c r="F14767" t="s">
        <v>17246</v>
      </c>
      <c r="H14767" t="s">
        <v>28921</v>
      </c>
      <c r="J14767" t="s">
        <v>33313</v>
      </c>
      <c r="L14767" t="s">
        <v>33314</v>
      </c>
      <c r="N14767" t="s">
        <v>33315</v>
      </c>
      <c r="P14767" t="s">
        <v>33449</v>
      </c>
      <c r="R14767" s="26" t="str">
        <f>HYPERLINK("https://ictv.global/taxonomy/taxondetails?taxnode_id=202306674","Potyvirus parisnecrosis")</f>
        <v>Potyvirus parisnecrosis</v>
      </c>
      <c r="S14767" t="s">
        <v>30</v>
      </c>
      <c r="T14767" t="s">
        <v>33842</v>
      </c>
      <c r="U14767" t="s">
        <v>33843</v>
      </c>
      <c r="V14767" t="s">
        <v>33844</v>
      </c>
      <c r="W14767" t="s">
        <v>33845</v>
      </c>
      <c r="X14767" t="s">
        <v>42</v>
      </c>
      <c r="Y14767" t="s">
        <v>17171</v>
      </c>
      <c r="Z14767" t="s">
        <v>13441</v>
      </c>
      <c r="AA14767" s="22" t="str">
        <f>HYPERLINK("https://www.ncbi.nlm.nih.gov/nuccore/MF509898","NCBI Nucleotide")</f>
        <v>NCBI Nucleotide</v>
      </c>
    </row>
    <row r="14768" spans="1:27" x14ac:dyDescent="0.35">
      <c r="A14768">
        <v>1002934</v>
      </c>
      <c r="B14768">
        <v>13329</v>
      </c>
      <c r="C14768">
        <v>1</v>
      </c>
      <c r="D14768" t="s">
        <v>17166</v>
      </c>
      <c r="F14768" t="s">
        <v>17246</v>
      </c>
      <c r="H14768" t="s">
        <v>28921</v>
      </c>
      <c r="J14768" t="s">
        <v>33313</v>
      </c>
      <c r="L14768" t="s">
        <v>33314</v>
      </c>
      <c r="N14768" t="s">
        <v>33315</v>
      </c>
      <c r="P14768" t="s">
        <v>33449</v>
      </c>
      <c r="R14768" s="26" t="str">
        <f>HYPERLINK("https://ictv.global/taxonomy/taxondetails?taxnode_id=202307433","Potyvirus passifloradistorti")</f>
        <v>Potyvirus passifloradistorti</v>
      </c>
      <c r="S14768" t="s">
        <v>30</v>
      </c>
      <c r="T14768" t="s">
        <v>33662</v>
      </c>
      <c r="U14768" t="s">
        <v>33663</v>
      </c>
      <c r="V14768" t="s">
        <v>33664</v>
      </c>
      <c r="W14768" t="s">
        <v>33665</v>
      </c>
      <c r="X14768" t="s">
        <v>42</v>
      </c>
      <c r="Y14768" t="s">
        <v>17171</v>
      </c>
      <c r="Z14768" t="s">
        <v>13441</v>
      </c>
      <c r="AA14768" s="22" t="str">
        <f>HYPERLINK("https://www.ncbi.nlm.nih.gov/nuccore/LC379162","NCBI Nucleotide")</f>
        <v>NCBI Nucleotide</v>
      </c>
    </row>
    <row r="14769" spans="1:27" x14ac:dyDescent="0.35">
      <c r="A14769">
        <v>1002989</v>
      </c>
      <c r="B14769">
        <v>13330</v>
      </c>
      <c r="C14769">
        <v>1</v>
      </c>
      <c r="D14769" t="s">
        <v>17166</v>
      </c>
      <c r="F14769" t="s">
        <v>17246</v>
      </c>
      <c r="H14769" t="s">
        <v>28921</v>
      </c>
      <c r="J14769" t="s">
        <v>33313</v>
      </c>
      <c r="L14769" t="s">
        <v>33314</v>
      </c>
      <c r="N14769" t="s">
        <v>33315</v>
      </c>
      <c r="P14769" t="s">
        <v>33449</v>
      </c>
      <c r="R14769" s="26" t="str">
        <f>HYPERLINK("https://ictv.global/taxonomy/taxondetails?taxnode_id=202304655","Potyvirus passiflorae")</f>
        <v>Potyvirus passiflorae</v>
      </c>
      <c r="S14769" t="s">
        <v>30</v>
      </c>
      <c r="T14769" t="s">
        <v>33857</v>
      </c>
      <c r="U14769" t="s">
        <v>33858</v>
      </c>
      <c r="V14769" t="s">
        <v>33859</v>
      </c>
      <c r="W14769" t="s">
        <v>33860</v>
      </c>
      <c r="X14769" t="s">
        <v>42</v>
      </c>
      <c r="Y14769" t="s">
        <v>17171</v>
      </c>
      <c r="Z14769" t="s">
        <v>13441</v>
      </c>
      <c r="AA14769" s="22" t="str">
        <f>HYPERLINK("https://www.ncbi.nlm.nih.gov/nuccore/HQ122652","NCBI Nucleotide")</f>
        <v>NCBI Nucleotide</v>
      </c>
    </row>
    <row r="14770" spans="1:27" x14ac:dyDescent="0.35">
      <c r="A14770">
        <v>1002987</v>
      </c>
      <c r="B14770">
        <v>13331</v>
      </c>
      <c r="C14770">
        <v>1</v>
      </c>
      <c r="D14770" t="s">
        <v>17166</v>
      </c>
      <c r="F14770" t="s">
        <v>17246</v>
      </c>
      <c r="H14770" t="s">
        <v>28921</v>
      </c>
      <c r="J14770" t="s">
        <v>33313</v>
      </c>
      <c r="L14770" t="s">
        <v>33314</v>
      </c>
      <c r="N14770" t="s">
        <v>33315</v>
      </c>
      <c r="P14770" t="s">
        <v>33449</v>
      </c>
      <c r="R14770" s="26" t="str">
        <f>HYPERLINK("https://ictv.global/taxonomy/taxondetails?taxnode_id=202304654","Potyvirus passifloraflavi")</f>
        <v>Potyvirus passifloraflavi</v>
      </c>
      <c r="S14770" t="s">
        <v>30</v>
      </c>
      <c r="T14770" t="s">
        <v>33852</v>
      </c>
      <c r="U14770" t="s">
        <v>17403</v>
      </c>
      <c r="V14770" t="s">
        <v>18410</v>
      </c>
      <c r="W14770" t="s">
        <v>33853</v>
      </c>
      <c r="X14770" t="s">
        <v>154</v>
      </c>
      <c r="Y14770" t="s">
        <v>17171</v>
      </c>
      <c r="Z14770" t="s">
        <v>13441</v>
      </c>
      <c r="AA14770" s="22" t="str">
        <f>HYPERLINK("https://www.ncbi.nlm.nih.gov/nuccore/DQ860147","NCBI Nucleotide")</f>
        <v>NCBI Nucleotide</v>
      </c>
    </row>
    <row r="14771" spans="1:27" x14ac:dyDescent="0.35">
      <c r="A14771">
        <v>1003426</v>
      </c>
      <c r="B14771">
        <v>13332</v>
      </c>
      <c r="C14771">
        <v>1</v>
      </c>
      <c r="D14771" t="s">
        <v>17166</v>
      </c>
      <c r="F14771" t="s">
        <v>17246</v>
      </c>
      <c r="H14771" t="s">
        <v>28921</v>
      </c>
      <c r="J14771" t="s">
        <v>33313</v>
      </c>
      <c r="L14771" t="s">
        <v>33314</v>
      </c>
      <c r="N14771" t="s">
        <v>33315</v>
      </c>
      <c r="P14771" t="s">
        <v>33449</v>
      </c>
      <c r="R14771" s="26" t="str">
        <f>HYPERLINK("https://ictv.global/taxonomy/taxondetails?taxnode_id=202309675","Potyvirus passiflorafricanse")</f>
        <v>Potyvirus passiflorafricanse</v>
      </c>
      <c r="S14771" t="s">
        <v>30</v>
      </c>
      <c r="T14771" t="s">
        <v>34111</v>
      </c>
      <c r="U14771" t="s">
        <v>34112</v>
      </c>
      <c r="V14771" t="s">
        <v>34113</v>
      </c>
      <c r="W14771" t="s">
        <v>34114</v>
      </c>
      <c r="X14771" t="s">
        <v>42</v>
      </c>
      <c r="Y14771" t="s">
        <v>17171</v>
      </c>
      <c r="Z14771" t="s">
        <v>13441</v>
      </c>
      <c r="AA14771" s="22" t="str">
        <f>HYPERLINK("https://www.ncbi.nlm.nih.gov/nuccore/MK110656","NCBI Nucleotide")</f>
        <v>NCBI Nucleotide</v>
      </c>
    </row>
    <row r="14772" spans="1:27" x14ac:dyDescent="0.35">
      <c r="A14772">
        <v>1002988</v>
      </c>
      <c r="B14772">
        <v>13333</v>
      </c>
      <c r="C14772">
        <v>1</v>
      </c>
      <c r="D14772" t="s">
        <v>17166</v>
      </c>
      <c r="F14772" t="s">
        <v>17246</v>
      </c>
      <c r="H14772" t="s">
        <v>28921</v>
      </c>
      <c r="J14772" t="s">
        <v>33313</v>
      </c>
      <c r="L14772" t="s">
        <v>33314</v>
      </c>
      <c r="N14772" t="s">
        <v>33315</v>
      </c>
      <c r="P14772" t="s">
        <v>33449</v>
      </c>
      <c r="R14772" s="26" t="str">
        <f>HYPERLINK("https://ictv.global/taxonomy/taxondetails?taxnode_id=202309673","Potyvirus passifloramaculae")</f>
        <v>Potyvirus passifloramaculae</v>
      </c>
      <c r="S14772" t="s">
        <v>30</v>
      </c>
      <c r="T14772" t="s">
        <v>33854</v>
      </c>
      <c r="U14772" t="s">
        <v>28003</v>
      </c>
      <c r="V14772" t="s">
        <v>33855</v>
      </c>
      <c r="W14772" t="s">
        <v>33856</v>
      </c>
      <c r="X14772" t="s">
        <v>42</v>
      </c>
      <c r="Y14772" t="s">
        <v>17171</v>
      </c>
      <c r="Z14772" t="s">
        <v>13441</v>
      </c>
      <c r="AA14772" s="22" t="str">
        <f>HYPERLINK("https://www.ncbi.nlm.nih.gov/nuccore/MH286883","NCBI Nucleotide")</f>
        <v>NCBI Nucleotide</v>
      </c>
    </row>
    <row r="14773" spans="1:27" x14ac:dyDescent="0.35">
      <c r="A14773">
        <v>1026498</v>
      </c>
      <c r="B14773">
        <v>13334</v>
      </c>
      <c r="C14773">
        <v>1</v>
      </c>
      <c r="D14773" t="s">
        <v>17166</v>
      </c>
      <c r="F14773" t="s">
        <v>17246</v>
      </c>
      <c r="H14773" t="s">
        <v>28921</v>
      </c>
      <c r="J14773" t="s">
        <v>33313</v>
      </c>
      <c r="L14773" t="s">
        <v>33314</v>
      </c>
      <c r="N14773" t="s">
        <v>33315</v>
      </c>
      <c r="P14773" t="s">
        <v>33449</v>
      </c>
      <c r="R14773" s="26" t="str">
        <f>HYPERLINK("https://ictv.global/taxonomy/taxondetails?taxnode_id=202318062","Potyvirus passiflory")</f>
        <v>Potyvirus passiflory</v>
      </c>
      <c r="S14773" t="s">
        <v>30</v>
      </c>
      <c r="T14773" t="s">
        <v>47593</v>
      </c>
      <c r="U14773" t="s">
        <v>47594</v>
      </c>
      <c r="V14773" t="s">
        <v>47595</v>
      </c>
      <c r="W14773" t="s">
        <v>47596</v>
      </c>
      <c r="X14773" t="s">
        <v>42</v>
      </c>
      <c r="Y14773" t="s">
        <v>17171</v>
      </c>
      <c r="Z14773" t="s">
        <v>13441</v>
      </c>
      <c r="AA14773" s="22" t="str">
        <f>HYPERLINK("https://www.ncbi.nlm.nih.gov/nuccore/MW165064","NCBI Nucleotide")</f>
        <v>NCBI Nucleotide</v>
      </c>
    </row>
    <row r="14774" spans="1:27" x14ac:dyDescent="0.35">
      <c r="A14774">
        <v>1002986</v>
      </c>
      <c r="B14774">
        <v>13335</v>
      </c>
      <c r="C14774">
        <v>1</v>
      </c>
      <c r="D14774" t="s">
        <v>17166</v>
      </c>
      <c r="F14774" t="s">
        <v>17246</v>
      </c>
      <c r="H14774" t="s">
        <v>28921</v>
      </c>
      <c r="J14774" t="s">
        <v>33313</v>
      </c>
      <c r="L14774" t="s">
        <v>33314</v>
      </c>
      <c r="N14774" t="s">
        <v>33315</v>
      </c>
      <c r="P14774" t="s">
        <v>33449</v>
      </c>
      <c r="R14774" s="26" t="str">
        <f>HYPERLINK("https://ictv.global/taxonomy/taxondetails?taxnode_id=202304653","Potyvirus pastinacae")</f>
        <v>Potyvirus pastinacae</v>
      </c>
      <c r="S14774" t="s">
        <v>30</v>
      </c>
      <c r="T14774" t="s">
        <v>33850</v>
      </c>
      <c r="U14774" t="s">
        <v>33851</v>
      </c>
      <c r="V14774" t="s">
        <v>18183</v>
      </c>
      <c r="X14774" t="s">
        <v>3311</v>
      </c>
      <c r="Y14774" t="s">
        <v>17171</v>
      </c>
      <c r="Z14774" t="s">
        <v>13441</v>
      </c>
    </row>
    <row r="14775" spans="1:27" x14ac:dyDescent="0.35">
      <c r="A14775">
        <v>1002993</v>
      </c>
      <c r="B14775">
        <v>13336</v>
      </c>
      <c r="C14775">
        <v>1</v>
      </c>
      <c r="D14775" t="s">
        <v>17166</v>
      </c>
      <c r="F14775" t="s">
        <v>17246</v>
      </c>
      <c r="H14775" t="s">
        <v>28921</v>
      </c>
      <c r="J14775" t="s">
        <v>33313</v>
      </c>
      <c r="L14775" t="s">
        <v>33314</v>
      </c>
      <c r="N14775" t="s">
        <v>33315</v>
      </c>
      <c r="P14775" t="s">
        <v>33449</v>
      </c>
      <c r="R14775" s="26" t="str">
        <f>HYPERLINK("https://ictv.global/taxonomy/taxondetails?taxnode_id=202304658","Potyvirus pennisseti")</f>
        <v>Potyvirus pennisseti</v>
      </c>
      <c r="S14775" t="s">
        <v>30</v>
      </c>
      <c r="T14775" t="s">
        <v>33872</v>
      </c>
      <c r="U14775" t="s">
        <v>33873</v>
      </c>
      <c r="V14775" t="s">
        <v>20057</v>
      </c>
      <c r="W14775" t="s">
        <v>33874</v>
      </c>
      <c r="X14775" t="s">
        <v>42</v>
      </c>
      <c r="Y14775" t="s">
        <v>17171</v>
      </c>
      <c r="Z14775" t="s">
        <v>13441</v>
      </c>
      <c r="AA14775" s="22" t="str">
        <f>HYPERLINK("https://www.ncbi.nlm.nih.gov/nuccore/AY642590","NCBI Nucleotide")</f>
        <v>NCBI Nucleotide</v>
      </c>
    </row>
    <row r="14776" spans="1:27" x14ac:dyDescent="0.35">
      <c r="A14776">
        <v>1003444</v>
      </c>
      <c r="B14776">
        <v>13337</v>
      </c>
      <c r="C14776">
        <v>1</v>
      </c>
      <c r="D14776" t="s">
        <v>17166</v>
      </c>
      <c r="F14776" t="s">
        <v>17246</v>
      </c>
      <c r="H14776" t="s">
        <v>28921</v>
      </c>
      <c r="J14776" t="s">
        <v>33313</v>
      </c>
      <c r="L14776" t="s">
        <v>33314</v>
      </c>
      <c r="N14776" t="s">
        <v>33315</v>
      </c>
      <c r="P14776" t="s">
        <v>33449</v>
      </c>
      <c r="R14776" s="26" t="str">
        <f>HYPERLINK("https://ictv.global/taxonomy/taxondetails?taxnode_id=202304721","Potyvirus pepo")</f>
        <v>Potyvirus pepo</v>
      </c>
      <c r="S14776" t="s">
        <v>30</v>
      </c>
      <c r="T14776" t="s">
        <v>34179</v>
      </c>
      <c r="U14776" t="s">
        <v>34180</v>
      </c>
      <c r="V14776" t="s">
        <v>34181</v>
      </c>
      <c r="W14776" t="s">
        <v>34182</v>
      </c>
      <c r="X14776" t="s">
        <v>154</v>
      </c>
      <c r="Y14776" t="s">
        <v>17171</v>
      </c>
      <c r="Z14776" t="s">
        <v>13441</v>
      </c>
      <c r="AA14776" s="22" t="str">
        <f>HYPERLINK("https://www.ncbi.nlm.nih.gov/nuccore/DQ641510","NCBI Nucleotide")</f>
        <v>NCBI Nucleotide</v>
      </c>
    </row>
    <row r="14777" spans="1:27" x14ac:dyDescent="0.35">
      <c r="A14777">
        <v>1003442</v>
      </c>
      <c r="B14777">
        <v>13338</v>
      </c>
      <c r="C14777">
        <v>1</v>
      </c>
      <c r="D14777" t="s">
        <v>17166</v>
      </c>
      <c r="F14777" t="s">
        <v>17246</v>
      </c>
      <c r="H14777" t="s">
        <v>28921</v>
      </c>
      <c r="J14777" t="s">
        <v>33313</v>
      </c>
      <c r="L14777" t="s">
        <v>33314</v>
      </c>
      <c r="N14777" t="s">
        <v>33315</v>
      </c>
      <c r="P14777" t="s">
        <v>33449</v>
      </c>
      <c r="R14777" s="26" t="str">
        <f>HYPERLINK("https://ictv.global/taxonomy/taxondetails?taxnode_id=202304719","Potyvirus peporesticulae")</f>
        <v>Potyvirus peporesticulae</v>
      </c>
      <c r="S14777" t="s">
        <v>30</v>
      </c>
      <c r="T14777" t="s">
        <v>34171</v>
      </c>
      <c r="U14777" t="s">
        <v>34172</v>
      </c>
      <c r="V14777" t="s">
        <v>34173</v>
      </c>
      <c r="W14777" t="s">
        <v>34174</v>
      </c>
      <c r="X14777" t="s">
        <v>35</v>
      </c>
      <c r="Y14777" t="s">
        <v>17171</v>
      </c>
      <c r="Z14777" t="s">
        <v>13441</v>
      </c>
      <c r="AA14777" s="22" t="str">
        <f>HYPERLINK("https://www.ncbi.nlm.nih.gov/nuccore/KU355553","NCBI Nucleotide")</f>
        <v>NCBI Nucleotide</v>
      </c>
    </row>
    <row r="14778" spans="1:27" x14ac:dyDescent="0.35">
      <c r="A14778">
        <v>1003443</v>
      </c>
      <c r="B14778">
        <v>13339</v>
      </c>
      <c r="C14778">
        <v>1</v>
      </c>
      <c r="D14778" t="s">
        <v>17166</v>
      </c>
      <c r="F14778" t="s">
        <v>17246</v>
      </c>
      <c r="H14778" t="s">
        <v>28921</v>
      </c>
      <c r="J14778" t="s">
        <v>33313</v>
      </c>
      <c r="L14778" t="s">
        <v>33314</v>
      </c>
      <c r="N14778" t="s">
        <v>33315</v>
      </c>
      <c r="P14778" t="s">
        <v>33449</v>
      </c>
      <c r="R14778" s="26" t="str">
        <f>HYPERLINK("https://ictv.global/taxonomy/taxondetails?taxnode_id=202304720","Potyvirus pepotigris")</f>
        <v>Potyvirus pepotigris</v>
      </c>
      <c r="S14778" t="s">
        <v>30</v>
      </c>
      <c r="T14778" t="s">
        <v>34175</v>
      </c>
      <c r="U14778" t="s">
        <v>34176</v>
      </c>
      <c r="V14778" t="s">
        <v>34177</v>
      </c>
      <c r="W14778" t="s">
        <v>34178</v>
      </c>
      <c r="X14778" t="s">
        <v>42</v>
      </c>
      <c r="Y14778" t="s">
        <v>17171</v>
      </c>
      <c r="Z14778" t="s">
        <v>13441</v>
      </c>
      <c r="AA14778" s="22" t="str">
        <f>HYPERLINK("https://www.ncbi.nlm.nih.gov/nuccore/KC345607","NCBI Nucleotide")</f>
        <v>NCBI Nucleotide</v>
      </c>
    </row>
    <row r="14779" spans="1:27" x14ac:dyDescent="0.35">
      <c r="A14779">
        <v>1002998</v>
      </c>
      <c r="B14779">
        <v>13340</v>
      </c>
      <c r="C14779">
        <v>1</v>
      </c>
      <c r="D14779" t="s">
        <v>17166</v>
      </c>
      <c r="F14779" t="s">
        <v>17246</v>
      </c>
      <c r="H14779" t="s">
        <v>28921</v>
      </c>
      <c r="J14779" t="s">
        <v>33313</v>
      </c>
      <c r="L14779" t="s">
        <v>33314</v>
      </c>
      <c r="N14779" t="s">
        <v>33315</v>
      </c>
      <c r="P14779" t="s">
        <v>33449</v>
      </c>
      <c r="R14779" s="26" t="str">
        <f>HYPERLINK("https://ictv.global/taxonomy/taxondetails?taxnode_id=202304663","Potyvirus perulycopersici")</f>
        <v>Potyvirus perulycopersici</v>
      </c>
      <c r="S14779" t="s">
        <v>30</v>
      </c>
      <c r="T14779" t="s">
        <v>33888</v>
      </c>
      <c r="U14779" t="s">
        <v>28550</v>
      </c>
      <c r="V14779" t="s">
        <v>33889</v>
      </c>
      <c r="W14779" t="s">
        <v>33890</v>
      </c>
      <c r="X14779" t="s">
        <v>42</v>
      </c>
      <c r="Y14779" t="s">
        <v>17171</v>
      </c>
      <c r="Z14779" t="s">
        <v>13441</v>
      </c>
      <c r="AA14779" s="22" t="str">
        <f>HYPERLINK("https://www.ncbi.nlm.nih.gov/nuccore/AJ437280","NCBI Nucleotide")</f>
        <v>NCBI Nucleotide</v>
      </c>
    </row>
    <row r="14780" spans="1:27" x14ac:dyDescent="0.35">
      <c r="A14780">
        <v>1002999</v>
      </c>
      <c r="B14780">
        <v>13341</v>
      </c>
      <c r="C14780">
        <v>1</v>
      </c>
      <c r="D14780" t="s">
        <v>17166</v>
      </c>
      <c r="F14780" t="s">
        <v>17246</v>
      </c>
      <c r="H14780" t="s">
        <v>28921</v>
      </c>
      <c r="J14780" t="s">
        <v>33313</v>
      </c>
      <c r="L14780" t="s">
        <v>33314</v>
      </c>
      <c r="N14780" t="s">
        <v>33315</v>
      </c>
      <c r="P14780" t="s">
        <v>33449</v>
      </c>
      <c r="R14780" s="26" t="str">
        <f>HYPERLINK("https://ictv.global/taxonomy/taxondetails?taxnode_id=202304664","Potyvirus pfaffiae")</f>
        <v>Potyvirus pfaffiae</v>
      </c>
      <c r="S14780" t="s">
        <v>30</v>
      </c>
      <c r="T14780" t="s">
        <v>33891</v>
      </c>
      <c r="U14780" t="s">
        <v>33892</v>
      </c>
      <c r="V14780" t="s">
        <v>19460</v>
      </c>
      <c r="W14780" t="s">
        <v>33893</v>
      </c>
      <c r="X14780" t="s">
        <v>154</v>
      </c>
      <c r="Y14780" t="s">
        <v>17171</v>
      </c>
      <c r="Z14780" t="s">
        <v>13441</v>
      </c>
      <c r="AA14780" s="22" t="str">
        <f>HYPERLINK("https://www.ncbi.nlm.nih.gov/nuccore/AY485276","NCBI Nucleotide")</f>
        <v>NCBI Nucleotide</v>
      </c>
    </row>
    <row r="14781" spans="1:27" x14ac:dyDescent="0.35">
      <c r="A14781">
        <v>1002892</v>
      </c>
      <c r="B14781">
        <v>13342</v>
      </c>
      <c r="C14781">
        <v>1</v>
      </c>
      <c r="D14781" t="s">
        <v>17166</v>
      </c>
      <c r="F14781" t="s">
        <v>17246</v>
      </c>
      <c r="H14781" t="s">
        <v>28921</v>
      </c>
      <c r="J14781" t="s">
        <v>33313</v>
      </c>
      <c r="L14781" t="s">
        <v>33314</v>
      </c>
      <c r="N14781" t="s">
        <v>33315</v>
      </c>
      <c r="P14781" t="s">
        <v>33449</v>
      </c>
      <c r="R14781" s="26" t="str">
        <f>HYPERLINK("https://ictv.global/taxonomy/taxondetails?taxnode_id=202304575","Potyvirus phaseoli")</f>
        <v>Potyvirus phaseoli</v>
      </c>
      <c r="S14781" t="s">
        <v>30</v>
      </c>
      <c r="T14781" t="s">
        <v>33508</v>
      </c>
      <c r="U14781" t="s">
        <v>33509</v>
      </c>
      <c r="V14781" t="s">
        <v>33510</v>
      </c>
      <c r="W14781" t="s">
        <v>33511</v>
      </c>
      <c r="X14781" t="s">
        <v>35</v>
      </c>
      <c r="Y14781" t="s">
        <v>17171</v>
      </c>
      <c r="Z14781" t="s">
        <v>13441</v>
      </c>
      <c r="AA14781" s="22" t="str">
        <f>HYPERLINK("https://www.ncbi.nlm.nih.gov/nuccore/U19287","NCBI Nucleotide")</f>
        <v>NCBI Nucleotide</v>
      </c>
    </row>
    <row r="14782" spans="1:27" x14ac:dyDescent="0.35">
      <c r="A14782">
        <v>1002894</v>
      </c>
      <c r="B14782">
        <v>13343</v>
      </c>
      <c r="C14782">
        <v>1</v>
      </c>
      <c r="D14782" t="s">
        <v>17166</v>
      </c>
      <c r="F14782" t="s">
        <v>17246</v>
      </c>
      <c r="H14782" t="s">
        <v>28921</v>
      </c>
      <c r="J14782" t="s">
        <v>33313</v>
      </c>
      <c r="L14782" t="s">
        <v>33314</v>
      </c>
      <c r="N14782" t="s">
        <v>33315</v>
      </c>
      <c r="P14782" t="s">
        <v>33449</v>
      </c>
      <c r="R14782" s="26" t="str">
        <f>HYPERLINK("https://ictv.global/taxonomy/taxondetails?taxnode_id=202304577","Potyvirus phaseoluteum")</f>
        <v>Potyvirus phaseoluteum</v>
      </c>
      <c r="S14782" t="s">
        <v>30</v>
      </c>
      <c r="T14782" t="s">
        <v>33520</v>
      </c>
      <c r="U14782" t="s">
        <v>33521</v>
      </c>
      <c r="V14782" t="s">
        <v>33522</v>
      </c>
      <c r="W14782" t="s">
        <v>33523</v>
      </c>
      <c r="X14782" t="s">
        <v>42</v>
      </c>
      <c r="Y14782" t="s">
        <v>17171</v>
      </c>
      <c r="Z14782" t="s">
        <v>13441</v>
      </c>
      <c r="AA14782" s="22" t="str">
        <f>HYPERLINK("https://www.ncbi.nlm.nih.gov/nuccore/D83749","NCBI Nucleotide")</f>
        <v>NCBI Nucleotide</v>
      </c>
    </row>
    <row r="14783" spans="1:27" x14ac:dyDescent="0.35">
      <c r="A14783">
        <v>1011929</v>
      </c>
      <c r="B14783">
        <v>13343</v>
      </c>
      <c r="C14783">
        <v>2</v>
      </c>
      <c r="D14783" t="s">
        <v>17166</v>
      </c>
      <c r="F14783" t="s">
        <v>17246</v>
      </c>
      <c r="H14783" t="s">
        <v>28921</v>
      </c>
      <c r="J14783" t="s">
        <v>33313</v>
      </c>
      <c r="L14783" t="s">
        <v>33314</v>
      </c>
      <c r="N14783" t="s">
        <v>33315</v>
      </c>
      <c r="P14783" t="s">
        <v>33449</v>
      </c>
      <c r="R14783" s="26" t="str">
        <f>HYPERLINK("https://ictv.global/taxonomy/taxondetails?taxnode_id=202304577","Potyvirus phaseoluteum")</f>
        <v>Potyvirus phaseoluteum</v>
      </c>
      <c r="S14783" t="s">
        <v>8141</v>
      </c>
      <c r="T14783" t="s">
        <v>33524</v>
      </c>
      <c r="U14783" t="s">
        <v>33525</v>
      </c>
      <c r="V14783" t="s">
        <v>28465</v>
      </c>
      <c r="W14783" t="s">
        <v>50128</v>
      </c>
      <c r="X14783" t="s">
        <v>42</v>
      </c>
      <c r="Y14783" t="s">
        <v>17171</v>
      </c>
      <c r="Z14783" t="s">
        <v>13441</v>
      </c>
      <c r="AA14783" s="22" t="str">
        <f>HYPERLINK("https://www.ncbi.nlm.nih.gov/nuccore/DQ641248","NCBI Nucleotide")</f>
        <v>NCBI Nucleotide</v>
      </c>
    </row>
    <row r="14784" spans="1:27" x14ac:dyDescent="0.35">
      <c r="A14784">
        <v>1002893</v>
      </c>
      <c r="B14784">
        <v>13344</v>
      </c>
      <c r="C14784">
        <v>1</v>
      </c>
      <c r="D14784" t="s">
        <v>17166</v>
      </c>
      <c r="F14784" t="s">
        <v>17246</v>
      </c>
      <c r="H14784" t="s">
        <v>28921</v>
      </c>
      <c r="J14784" t="s">
        <v>33313</v>
      </c>
      <c r="L14784" t="s">
        <v>33314</v>
      </c>
      <c r="N14784" t="s">
        <v>33315</v>
      </c>
      <c r="P14784" t="s">
        <v>33449</v>
      </c>
      <c r="R14784" s="26" t="str">
        <f>HYPERLINK("https://ictv.global/taxonomy/taxondetails?taxnode_id=202304576","Potyvirus phaseovulgaris")</f>
        <v>Potyvirus phaseovulgaris</v>
      </c>
      <c r="S14784" t="s">
        <v>30</v>
      </c>
      <c r="T14784" t="s">
        <v>33512</v>
      </c>
      <c r="U14784" t="s">
        <v>33513</v>
      </c>
      <c r="V14784" t="s">
        <v>33514</v>
      </c>
      <c r="W14784" t="s">
        <v>33515</v>
      </c>
      <c r="X14784" t="s">
        <v>42</v>
      </c>
      <c r="Y14784" t="s">
        <v>17171</v>
      </c>
      <c r="Z14784" t="s">
        <v>13441</v>
      </c>
      <c r="AA14784" s="22" t="str">
        <f>HYPERLINK("https://www.ncbi.nlm.nih.gov/nuccore/AJ312437","NCBI Nucleotide")</f>
        <v>NCBI Nucleotide</v>
      </c>
    </row>
    <row r="14785" spans="1:27" x14ac:dyDescent="0.35">
      <c r="A14785">
        <v>1011928</v>
      </c>
      <c r="B14785">
        <v>13344</v>
      </c>
      <c r="C14785">
        <v>2</v>
      </c>
      <c r="D14785" t="s">
        <v>17166</v>
      </c>
      <c r="F14785" t="s">
        <v>17246</v>
      </c>
      <c r="H14785" t="s">
        <v>28921</v>
      </c>
      <c r="J14785" t="s">
        <v>33313</v>
      </c>
      <c r="L14785" t="s">
        <v>33314</v>
      </c>
      <c r="N14785" t="s">
        <v>33315</v>
      </c>
      <c r="P14785" t="s">
        <v>33449</v>
      </c>
      <c r="R14785" s="26" t="str">
        <f>HYPERLINK("https://ictv.global/taxonomy/taxondetails?taxnode_id=202304576","Potyvirus phaseovulgaris")</f>
        <v>Potyvirus phaseovulgaris</v>
      </c>
      <c r="S14785" t="s">
        <v>8141</v>
      </c>
      <c r="T14785" t="s">
        <v>33512</v>
      </c>
      <c r="U14785" t="s">
        <v>33513</v>
      </c>
      <c r="V14785" t="s">
        <v>33519</v>
      </c>
      <c r="W14785" t="s">
        <v>50129</v>
      </c>
      <c r="X14785" t="s">
        <v>42</v>
      </c>
      <c r="Y14785" t="s">
        <v>17171</v>
      </c>
      <c r="Z14785" t="s">
        <v>13441</v>
      </c>
      <c r="AA14785" s="22" t="str">
        <f>HYPERLINK("https://www.ncbi.nlm.nih.gov/nuccore/AY112735","NCBI Nucleotide")</f>
        <v>NCBI Nucleotide</v>
      </c>
    </row>
    <row r="14786" spans="1:27" x14ac:dyDescent="0.35">
      <c r="A14786">
        <v>1011927</v>
      </c>
      <c r="B14786">
        <v>13344</v>
      </c>
      <c r="C14786">
        <v>3</v>
      </c>
      <c r="D14786" t="s">
        <v>17166</v>
      </c>
      <c r="F14786" t="s">
        <v>17246</v>
      </c>
      <c r="H14786" t="s">
        <v>28921</v>
      </c>
      <c r="J14786" t="s">
        <v>33313</v>
      </c>
      <c r="L14786" t="s">
        <v>33314</v>
      </c>
      <c r="N14786" t="s">
        <v>33315</v>
      </c>
      <c r="P14786" t="s">
        <v>33449</v>
      </c>
      <c r="R14786" s="26" t="str">
        <f>HYPERLINK("https://ictv.global/taxonomy/taxondetails?taxnode_id=202304576","Potyvirus phaseovulgaris")</f>
        <v>Potyvirus phaseovulgaris</v>
      </c>
      <c r="S14786" t="s">
        <v>8141</v>
      </c>
      <c r="T14786" t="s">
        <v>33516</v>
      </c>
      <c r="U14786" t="s">
        <v>33517</v>
      </c>
      <c r="V14786" t="s">
        <v>33518</v>
      </c>
      <c r="W14786" t="s">
        <v>50130</v>
      </c>
      <c r="X14786" t="s">
        <v>42</v>
      </c>
      <c r="Y14786" t="s">
        <v>17171</v>
      </c>
      <c r="Z14786" t="s">
        <v>13441</v>
      </c>
      <c r="AA14786" s="22" t="str">
        <f>HYPERLINK("https://www.ncbi.nlm.nih.gov/nuccore/U34972","NCBI Nucleotide")</f>
        <v>NCBI Nucleotide</v>
      </c>
    </row>
    <row r="14787" spans="1:27" x14ac:dyDescent="0.35">
      <c r="A14787">
        <v>1003004</v>
      </c>
      <c r="B14787">
        <v>13345</v>
      </c>
      <c r="C14787">
        <v>1</v>
      </c>
      <c r="D14787" t="s">
        <v>17166</v>
      </c>
      <c r="F14787" t="s">
        <v>17246</v>
      </c>
      <c r="H14787" t="s">
        <v>28921</v>
      </c>
      <c r="J14787" t="s">
        <v>33313</v>
      </c>
      <c r="L14787" t="s">
        <v>33314</v>
      </c>
      <c r="N14787" t="s">
        <v>33315</v>
      </c>
      <c r="P14787" t="s">
        <v>33449</v>
      </c>
      <c r="R14787" s="26" t="str">
        <f>HYPERLINK("https://ictv.global/taxonomy/taxondetails?taxnode_id=202304667","Potyvirus phytolaccae")</f>
        <v>Potyvirus phytolaccae</v>
      </c>
      <c r="S14787" t="s">
        <v>30</v>
      </c>
      <c r="T14787" t="s">
        <v>33912</v>
      </c>
      <c r="U14787" t="s">
        <v>33913</v>
      </c>
      <c r="V14787" t="s">
        <v>33914</v>
      </c>
      <c r="W14787" t="s">
        <v>33915</v>
      </c>
      <c r="X14787" t="s">
        <v>42</v>
      </c>
      <c r="Y14787" t="s">
        <v>17171</v>
      </c>
      <c r="Z14787" t="s">
        <v>13441</v>
      </c>
      <c r="AA14787" s="22" t="str">
        <f>HYPERLINK("https://www.ncbi.nlm.nih.gov/nuccore/JQ609095","NCBI Nucleotide")</f>
        <v>NCBI Nucleotide</v>
      </c>
    </row>
    <row r="14788" spans="1:27" x14ac:dyDescent="0.35">
      <c r="A14788">
        <v>1011939</v>
      </c>
      <c r="B14788">
        <v>13345</v>
      </c>
      <c r="C14788">
        <v>2</v>
      </c>
      <c r="D14788" t="s">
        <v>17166</v>
      </c>
      <c r="F14788" t="s">
        <v>17246</v>
      </c>
      <c r="H14788" t="s">
        <v>28921</v>
      </c>
      <c r="J14788" t="s">
        <v>33313</v>
      </c>
      <c r="L14788" t="s">
        <v>33314</v>
      </c>
      <c r="N14788" t="s">
        <v>33315</v>
      </c>
      <c r="P14788" t="s">
        <v>33449</v>
      </c>
      <c r="R14788" s="26" t="str">
        <f>HYPERLINK("https://ictv.global/taxonomy/taxondetails?taxnode_id=202304667","Potyvirus phytolaccae")</f>
        <v>Potyvirus phytolaccae</v>
      </c>
      <c r="S14788" t="s">
        <v>8141</v>
      </c>
      <c r="T14788" t="s">
        <v>33912</v>
      </c>
      <c r="U14788" t="s">
        <v>33913</v>
      </c>
      <c r="V14788" t="s">
        <v>33916</v>
      </c>
      <c r="W14788" t="s">
        <v>50131</v>
      </c>
      <c r="X14788" t="s">
        <v>35</v>
      </c>
      <c r="Y14788" t="s">
        <v>17171</v>
      </c>
      <c r="Z14788" t="s">
        <v>13441</v>
      </c>
      <c r="AA14788" s="22" t="str">
        <f>HYPERLINK("https://www.ncbi.nlm.nih.gov/nuccore/JX291161","NCBI Nucleotide")</f>
        <v>NCBI Nucleotide</v>
      </c>
    </row>
    <row r="14789" spans="1:27" x14ac:dyDescent="0.35">
      <c r="A14789">
        <v>1002990</v>
      </c>
      <c r="B14789">
        <v>13346</v>
      </c>
      <c r="C14789">
        <v>1</v>
      </c>
      <c r="D14789" t="s">
        <v>17166</v>
      </c>
      <c r="F14789" t="s">
        <v>17246</v>
      </c>
      <c r="H14789" t="s">
        <v>28921</v>
      </c>
      <c r="J14789" t="s">
        <v>33313</v>
      </c>
      <c r="L14789" t="s">
        <v>33314</v>
      </c>
      <c r="N14789" t="s">
        <v>33315</v>
      </c>
      <c r="P14789" t="s">
        <v>33449</v>
      </c>
      <c r="R14789" s="26" t="str">
        <f>HYPERLINK("https://ictv.global/taxonomy/taxondetails?taxnode_id=202304656","Potyvirus pisumsemenportati")</f>
        <v>Potyvirus pisumsemenportati</v>
      </c>
      <c r="S14789" t="s">
        <v>30</v>
      </c>
      <c r="T14789" t="s">
        <v>33861</v>
      </c>
      <c r="U14789" t="s">
        <v>33862</v>
      </c>
      <c r="V14789" t="s">
        <v>33863</v>
      </c>
      <c r="W14789" t="s">
        <v>33864</v>
      </c>
      <c r="X14789" t="s">
        <v>35</v>
      </c>
      <c r="Y14789" t="s">
        <v>17171</v>
      </c>
      <c r="Z14789" t="s">
        <v>13441</v>
      </c>
      <c r="AA14789" s="22" t="str">
        <f>HYPERLINK("https://www.ncbi.nlm.nih.gov/nuccore/D10930","NCBI Nucleotide")</f>
        <v>NCBI Nucleotide</v>
      </c>
    </row>
    <row r="14790" spans="1:27" x14ac:dyDescent="0.35">
      <c r="A14790">
        <v>1003000</v>
      </c>
      <c r="B14790">
        <v>13347</v>
      </c>
      <c r="C14790">
        <v>1</v>
      </c>
      <c r="D14790" t="s">
        <v>17166</v>
      </c>
      <c r="F14790" t="s">
        <v>17246</v>
      </c>
      <c r="H14790" t="s">
        <v>28921</v>
      </c>
      <c r="J14790" t="s">
        <v>33313</v>
      </c>
      <c r="L14790" t="s">
        <v>33314</v>
      </c>
      <c r="N14790" t="s">
        <v>33315</v>
      </c>
      <c r="P14790" t="s">
        <v>33449</v>
      </c>
      <c r="R14790" s="26" t="str">
        <f>HYPERLINK("https://ictv.global/taxonomy/taxondetails?taxnode_id=202307437","Potyvirus platycodonis")</f>
        <v>Potyvirus platycodonis</v>
      </c>
      <c r="S14790" t="s">
        <v>30</v>
      </c>
      <c r="T14790" t="s">
        <v>33894</v>
      </c>
      <c r="U14790" t="s">
        <v>33895</v>
      </c>
      <c r="V14790" t="s">
        <v>33896</v>
      </c>
      <c r="W14790" t="s">
        <v>33897</v>
      </c>
      <c r="X14790" t="s">
        <v>42</v>
      </c>
      <c r="Y14790" t="s">
        <v>17171</v>
      </c>
      <c r="Z14790" t="s">
        <v>13441</v>
      </c>
      <c r="AA14790" s="22" t="str">
        <f>HYPERLINK("https://www.ncbi.nlm.nih.gov/nuccore/MH779625","NCBI Nucleotide")</f>
        <v>NCBI Nucleotide</v>
      </c>
    </row>
    <row r="14791" spans="1:27" x14ac:dyDescent="0.35">
      <c r="A14791">
        <v>1003383</v>
      </c>
      <c r="B14791">
        <v>13348</v>
      </c>
      <c r="C14791">
        <v>1</v>
      </c>
      <c r="D14791" t="s">
        <v>17166</v>
      </c>
      <c r="F14791" t="s">
        <v>17246</v>
      </c>
      <c r="H14791" t="s">
        <v>28921</v>
      </c>
      <c r="J14791" t="s">
        <v>33313</v>
      </c>
      <c r="L14791" t="s">
        <v>33314</v>
      </c>
      <c r="N14791" t="s">
        <v>33315</v>
      </c>
      <c r="P14791" t="s">
        <v>33449</v>
      </c>
      <c r="R14791" s="26" t="str">
        <f>HYPERLINK("https://ictv.global/taxonomy/taxondetails?taxnode_id=202313839","Potyvirus pleioblasti")</f>
        <v>Potyvirus pleioblasti</v>
      </c>
      <c r="S14791" t="s">
        <v>30</v>
      </c>
      <c r="T14791" t="s">
        <v>33961</v>
      </c>
      <c r="U14791" t="s">
        <v>33962</v>
      </c>
      <c r="V14791" t="s">
        <v>33963</v>
      </c>
      <c r="W14791" t="s">
        <v>33964</v>
      </c>
      <c r="X14791" t="s">
        <v>42</v>
      </c>
      <c r="Y14791" t="s">
        <v>17171</v>
      </c>
      <c r="Z14791" t="s">
        <v>13441</v>
      </c>
      <c r="AA14791" s="22" t="str">
        <f>HYPERLINK("https://www.ncbi.nlm.nih.gov/nuccore/LC573287","NCBI Nucleotide")</f>
        <v>NCBI Nucleotide</v>
      </c>
    </row>
    <row r="14792" spans="1:27" x14ac:dyDescent="0.35">
      <c r="A14792">
        <v>1003001</v>
      </c>
      <c r="B14792">
        <v>13349</v>
      </c>
      <c r="C14792">
        <v>1</v>
      </c>
      <c r="D14792" t="s">
        <v>17166</v>
      </c>
      <c r="F14792" t="s">
        <v>17246</v>
      </c>
      <c r="H14792" t="s">
        <v>28921</v>
      </c>
      <c r="J14792" t="s">
        <v>33313</v>
      </c>
      <c r="L14792" t="s">
        <v>33314</v>
      </c>
      <c r="N14792" t="s">
        <v>33315</v>
      </c>
      <c r="P14792" t="s">
        <v>33449</v>
      </c>
      <c r="R14792" s="26" t="str">
        <f>HYPERLINK("https://ictv.global/taxonomy/taxondetails?taxnode_id=202309674","Potyvirus pleionis")</f>
        <v>Potyvirus pleionis</v>
      </c>
      <c r="S14792" t="s">
        <v>30</v>
      </c>
      <c r="T14792" t="s">
        <v>33898</v>
      </c>
      <c r="U14792" t="s">
        <v>33899</v>
      </c>
      <c r="V14792" t="s">
        <v>33900</v>
      </c>
      <c r="W14792" t="s">
        <v>33901</v>
      </c>
      <c r="X14792" t="s">
        <v>42</v>
      </c>
      <c r="Y14792" t="s">
        <v>17171</v>
      </c>
      <c r="Z14792" t="s">
        <v>13441</v>
      </c>
      <c r="AA14792" s="22" t="str">
        <f>HYPERLINK("https://www.ncbi.nlm.nih.gov/nuccore/MH376747","NCBI Nucleotide")</f>
        <v>NCBI Nucleotide</v>
      </c>
    </row>
    <row r="14793" spans="1:27" x14ac:dyDescent="0.35">
      <c r="A14793">
        <v>1003003</v>
      </c>
      <c r="B14793">
        <v>13350</v>
      </c>
      <c r="C14793">
        <v>1</v>
      </c>
      <c r="D14793" t="s">
        <v>17166</v>
      </c>
      <c r="F14793" t="s">
        <v>17246</v>
      </c>
      <c r="H14793" t="s">
        <v>28921</v>
      </c>
      <c r="J14793" t="s">
        <v>33313</v>
      </c>
      <c r="L14793" t="s">
        <v>33314</v>
      </c>
      <c r="N14793" t="s">
        <v>33315</v>
      </c>
      <c r="P14793" t="s">
        <v>33449</v>
      </c>
      <c r="R14793" s="26" t="str">
        <f t="shared" ref="R14793:R14799" si="67">HYPERLINK("https://ictv.global/taxonomy/taxondetails?taxnode_id=202304666","Potyvirus plumpoxi")</f>
        <v>Potyvirus plumpoxi</v>
      </c>
      <c r="S14793" t="s">
        <v>30</v>
      </c>
      <c r="T14793" t="s">
        <v>33905</v>
      </c>
      <c r="U14793" t="s">
        <v>12862</v>
      </c>
      <c r="V14793" t="s">
        <v>33906</v>
      </c>
      <c r="W14793" t="s">
        <v>33907</v>
      </c>
      <c r="X14793" t="s">
        <v>42</v>
      </c>
      <c r="Y14793" t="s">
        <v>17171</v>
      </c>
      <c r="Z14793" t="s">
        <v>13441</v>
      </c>
      <c r="AA14793" s="22" t="str">
        <f>HYPERLINK("https://www.ncbi.nlm.nih.gov/nuccore/D13751","NCBI Nucleotide")</f>
        <v>NCBI Nucleotide</v>
      </c>
    </row>
    <row r="14794" spans="1:27" x14ac:dyDescent="0.35">
      <c r="A14794">
        <v>1011933</v>
      </c>
      <c r="B14794">
        <v>13350</v>
      </c>
      <c r="C14794">
        <v>2</v>
      </c>
      <c r="D14794" t="s">
        <v>17166</v>
      </c>
      <c r="F14794" t="s">
        <v>17246</v>
      </c>
      <c r="H14794" t="s">
        <v>28921</v>
      </c>
      <c r="J14794" t="s">
        <v>33313</v>
      </c>
      <c r="L14794" t="s">
        <v>33314</v>
      </c>
      <c r="N14794" t="s">
        <v>33315</v>
      </c>
      <c r="P14794" t="s">
        <v>33449</v>
      </c>
      <c r="R14794" s="26" t="str">
        <f t="shared" si="67"/>
        <v>Potyvirus plumpoxi</v>
      </c>
      <c r="S14794" t="s">
        <v>8141</v>
      </c>
      <c r="T14794" t="s">
        <v>33905</v>
      </c>
      <c r="U14794" t="s">
        <v>12862</v>
      </c>
      <c r="V14794" t="s">
        <v>29007</v>
      </c>
      <c r="W14794" t="s">
        <v>50132</v>
      </c>
      <c r="X14794" t="s">
        <v>42</v>
      </c>
      <c r="Y14794" t="s">
        <v>17171</v>
      </c>
      <c r="Z14794" t="s">
        <v>13441</v>
      </c>
      <c r="AA14794" s="22" t="str">
        <f>HYPERLINK("https://www.ncbi.nlm.nih.gov/nuccore/AJ243957","NCBI Nucleotide")</f>
        <v>NCBI Nucleotide</v>
      </c>
    </row>
    <row r="14795" spans="1:27" x14ac:dyDescent="0.35">
      <c r="A14795">
        <v>1011934</v>
      </c>
      <c r="B14795">
        <v>13350</v>
      </c>
      <c r="C14795">
        <v>3</v>
      </c>
      <c r="D14795" t="s">
        <v>17166</v>
      </c>
      <c r="F14795" t="s">
        <v>17246</v>
      </c>
      <c r="H14795" t="s">
        <v>28921</v>
      </c>
      <c r="J14795" t="s">
        <v>33313</v>
      </c>
      <c r="L14795" t="s">
        <v>33314</v>
      </c>
      <c r="N14795" t="s">
        <v>33315</v>
      </c>
      <c r="P14795" t="s">
        <v>33449</v>
      </c>
      <c r="R14795" s="26" t="str">
        <f t="shared" si="67"/>
        <v>Potyvirus plumpoxi</v>
      </c>
      <c r="S14795" t="s">
        <v>8141</v>
      </c>
      <c r="T14795" t="s">
        <v>33905</v>
      </c>
      <c r="U14795" t="s">
        <v>12862</v>
      </c>
      <c r="V14795" t="s">
        <v>19286</v>
      </c>
      <c r="W14795" t="s">
        <v>50133</v>
      </c>
      <c r="X14795" t="s">
        <v>42</v>
      </c>
      <c r="Y14795" t="s">
        <v>17171</v>
      </c>
      <c r="Z14795" t="s">
        <v>13441</v>
      </c>
      <c r="AA14795" s="22" t="str">
        <f>HYPERLINK("https://www.ncbi.nlm.nih.gov/nuccore/X16415","NCBI Nucleotide")</f>
        <v>NCBI Nucleotide</v>
      </c>
    </row>
    <row r="14796" spans="1:27" x14ac:dyDescent="0.35">
      <c r="A14796">
        <v>1011935</v>
      </c>
      <c r="B14796">
        <v>13350</v>
      </c>
      <c r="C14796">
        <v>4</v>
      </c>
      <c r="D14796" t="s">
        <v>17166</v>
      </c>
      <c r="F14796" t="s">
        <v>17246</v>
      </c>
      <c r="H14796" t="s">
        <v>28921</v>
      </c>
      <c r="J14796" t="s">
        <v>33313</v>
      </c>
      <c r="L14796" t="s">
        <v>33314</v>
      </c>
      <c r="N14796" t="s">
        <v>33315</v>
      </c>
      <c r="P14796" t="s">
        <v>33449</v>
      </c>
      <c r="R14796" s="26" t="str">
        <f t="shared" si="67"/>
        <v>Potyvirus plumpoxi</v>
      </c>
      <c r="S14796" t="s">
        <v>8141</v>
      </c>
      <c r="T14796" t="s">
        <v>33905</v>
      </c>
      <c r="U14796" t="s">
        <v>12862</v>
      </c>
      <c r="V14796" t="s">
        <v>33908</v>
      </c>
      <c r="W14796" t="s">
        <v>50134</v>
      </c>
      <c r="X14796" t="s">
        <v>42</v>
      </c>
      <c r="Y14796" t="s">
        <v>17171</v>
      </c>
      <c r="Z14796" t="s">
        <v>13441</v>
      </c>
      <c r="AA14796" s="22" t="str">
        <f>HYPERLINK("https://www.ncbi.nlm.nih.gov/nuccore/JQ794501","NCBI Nucleotide")</f>
        <v>NCBI Nucleotide</v>
      </c>
    </row>
    <row r="14797" spans="1:27" x14ac:dyDescent="0.35">
      <c r="A14797">
        <v>1011936</v>
      </c>
      <c r="B14797">
        <v>13350</v>
      </c>
      <c r="C14797">
        <v>5</v>
      </c>
      <c r="D14797" t="s">
        <v>17166</v>
      </c>
      <c r="F14797" t="s">
        <v>17246</v>
      </c>
      <c r="H14797" t="s">
        <v>28921</v>
      </c>
      <c r="J14797" t="s">
        <v>33313</v>
      </c>
      <c r="L14797" t="s">
        <v>33314</v>
      </c>
      <c r="N14797" t="s">
        <v>33315</v>
      </c>
      <c r="P14797" t="s">
        <v>33449</v>
      </c>
      <c r="R14797" s="26" t="str">
        <f t="shared" si="67"/>
        <v>Potyvirus plumpoxi</v>
      </c>
      <c r="S14797" t="s">
        <v>8141</v>
      </c>
      <c r="T14797" t="s">
        <v>33905</v>
      </c>
      <c r="U14797" t="s">
        <v>12862</v>
      </c>
      <c r="V14797" t="s">
        <v>33909</v>
      </c>
      <c r="W14797" t="s">
        <v>50135</v>
      </c>
      <c r="X14797" t="s">
        <v>42</v>
      </c>
      <c r="Y14797" t="s">
        <v>17171</v>
      </c>
      <c r="Z14797" t="s">
        <v>13441</v>
      </c>
      <c r="AA14797" s="22" t="str">
        <f>HYPERLINK("https://www.ncbi.nlm.nih.gov/nuccore/AY912055","NCBI Nucleotide")</f>
        <v>NCBI Nucleotide</v>
      </c>
    </row>
    <row r="14798" spans="1:27" x14ac:dyDescent="0.35">
      <c r="A14798">
        <v>1011937</v>
      </c>
      <c r="B14798">
        <v>13350</v>
      </c>
      <c r="C14798">
        <v>6</v>
      </c>
      <c r="D14798" t="s">
        <v>17166</v>
      </c>
      <c r="F14798" t="s">
        <v>17246</v>
      </c>
      <c r="H14798" t="s">
        <v>28921</v>
      </c>
      <c r="J14798" t="s">
        <v>33313</v>
      </c>
      <c r="L14798" t="s">
        <v>33314</v>
      </c>
      <c r="N14798" t="s">
        <v>33315</v>
      </c>
      <c r="P14798" t="s">
        <v>33449</v>
      </c>
      <c r="R14798" s="26" t="str">
        <f t="shared" si="67"/>
        <v>Potyvirus plumpoxi</v>
      </c>
      <c r="S14798" t="s">
        <v>8141</v>
      </c>
      <c r="T14798" t="s">
        <v>33905</v>
      </c>
      <c r="U14798" t="s">
        <v>12862</v>
      </c>
      <c r="V14798" t="s">
        <v>33910</v>
      </c>
      <c r="W14798" t="s">
        <v>50136</v>
      </c>
      <c r="X14798" t="s">
        <v>42</v>
      </c>
      <c r="Y14798" t="s">
        <v>17171</v>
      </c>
      <c r="Z14798" t="s">
        <v>13441</v>
      </c>
      <c r="AA14798" s="22" t="str">
        <f>HYPERLINK("https://www.ncbi.nlm.nih.gov/nuccore/AM157175","NCBI Nucleotide")</f>
        <v>NCBI Nucleotide</v>
      </c>
    </row>
    <row r="14799" spans="1:27" x14ac:dyDescent="0.35">
      <c r="A14799">
        <v>1011938</v>
      </c>
      <c r="B14799">
        <v>13350</v>
      </c>
      <c r="C14799">
        <v>7</v>
      </c>
      <c r="D14799" t="s">
        <v>17166</v>
      </c>
      <c r="F14799" t="s">
        <v>17246</v>
      </c>
      <c r="H14799" t="s">
        <v>28921</v>
      </c>
      <c r="J14799" t="s">
        <v>33313</v>
      </c>
      <c r="L14799" t="s">
        <v>33314</v>
      </c>
      <c r="N14799" t="s">
        <v>33315</v>
      </c>
      <c r="P14799" t="s">
        <v>33449</v>
      </c>
      <c r="R14799" s="26" t="str">
        <f t="shared" si="67"/>
        <v>Potyvirus plumpoxi</v>
      </c>
      <c r="S14799" t="s">
        <v>8141</v>
      </c>
      <c r="T14799" t="s">
        <v>33905</v>
      </c>
      <c r="U14799" t="s">
        <v>12862</v>
      </c>
      <c r="V14799" t="s">
        <v>33911</v>
      </c>
      <c r="W14799" t="s">
        <v>50137</v>
      </c>
      <c r="X14799" t="s">
        <v>42</v>
      </c>
      <c r="Y14799" t="s">
        <v>17171</v>
      </c>
      <c r="Z14799" t="s">
        <v>13441</v>
      </c>
      <c r="AA14799" s="22" t="str">
        <f>HYPERLINK("https://www.ncbi.nlm.nih.gov/nuccore/KJ787006","NCBI Nucleotide")</f>
        <v>NCBI Nucleotide</v>
      </c>
    </row>
    <row r="14800" spans="1:27" x14ac:dyDescent="0.35">
      <c r="A14800">
        <v>1003420</v>
      </c>
      <c r="B14800">
        <v>13351</v>
      </c>
      <c r="C14800">
        <v>1</v>
      </c>
      <c r="D14800" t="s">
        <v>17166</v>
      </c>
      <c r="F14800" t="s">
        <v>17246</v>
      </c>
      <c r="H14800" t="s">
        <v>28921</v>
      </c>
      <c r="J14800" t="s">
        <v>33313</v>
      </c>
      <c r="L14800" t="s">
        <v>33314</v>
      </c>
      <c r="N14800" t="s">
        <v>33315</v>
      </c>
      <c r="P14800" t="s">
        <v>33449</v>
      </c>
      <c r="R14800" s="26" t="str">
        <f>HYPERLINK("https://ictv.global/taxonomy/taxondetails?taxnode_id=202304700","Potyvirus polianthis")</f>
        <v>Potyvirus polianthis</v>
      </c>
      <c r="S14800" t="s">
        <v>30</v>
      </c>
      <c r="T14800" t="s">
        <v>34091</v>
      </c>
      <c r="U14800" t="s">
        <v>34092</v>
      </c>
      <c r="V14800" t="s">
        <v>19343</v>
      </c>
      <c r="W14800" t="s">
        <v>34093</v>
      </c>
      <c r="X14800" t="s">
        <v>154</v>
      </c>
      <c r="Y14800" t="s">
        <v>17171</v>
      </c>
      <c r="Z14800" t="s">
        <v>13441</v>
      </c>
      <c r="AA14800" s="22" t="str">
        <f>HYPERLINK("https://www.ncbi.nlm.nih.gov/nuccore/AF062926","NCBI Nucleotide")</f>
        <v>NCBI Nucleotide</v>
      </c>
    </row>
    <row r="14801" spans="1:27" x14ac:dyDescent="0.35">
      <c r="A14801">
        <v>1003421</v>
      </c>
      <c r="B14801">
        <v>13352</v>
      </c>
      <c r="C14801">
        <v>1</v>
      </c>
      <c r="D14801" t="s">
        <v>17166</v>
      </c>
      <c r="F14801" t="s">
        <v>17246</v>
      </c>
      <c r="H14801" t="s">
        <v>28921</v>
      </c>
      <c r="J14801" t="s">
        <v>33313</v>
      </c>
      <c r="L14801" t="s">
        <v>33314</v>
      </c>
      <c r="N14801" t="s">
        <v>33315</v>
      </c>
      <c r="P14801" t="s">
        <v>33449</v>
      </c>
      <c r="R14801" s="26" t="str">
        <f>HYPERLINK("https://ictv.global/taxonomy/taxondetails?taxnode_id=202304701","Potyvirus polianthismaculae")</f>
        <v>Potyvirus polianthismaculae</v>
      </c>
      <c r="S14801" t="s">
        <v>30</v>
      </c>
      <c r="T14801" t="s">
        <v>34094</v>
      </c>
      <c r="U14801" t="s">
        <v>34095</v>
      </c>
      <c r="V14801" t="s">
        <v>33554</v>
      </c>
      <c r="W14801" t="s">
        <v>34096</v>
      </c>
      <c r="X14801" t="s">
        <v>154</v>
      </c>
      <c r="Y14801" t="s">
        <v>17171</v>
      </c>
      <c r="Z14801" t="s">
        <v>13441</v>
      </c>
      <c r="AA14801" s="22" t="str">
        <f>HYPERLINK("https://www.ncbi.nlm.nih.gov/nuccore/AJ581528","NCBI Nucleotide")</f>
        <v>NCBI Nucleotide</v>
      </c>
    </row>
    <row r="14802" spans="1:27" x14ac:dyDescent="0.35">
      <c r="A14802">
        <v>1026499</v>
      </c>
      <c r="B14802">
        <v>13353</v>
      </c>
      <c r="C14802">
        <v>1</v>
      </c>
      <c r="D14802" t="s">
        <v>17166</v>
      </c>
      <c r="F14802" t="s">
        <v>17246</v>
      </c>
      <c r="H14802" t="s">
        <v>28921</v>
      </c>
      <c r="J14802" t="s">
        <v>33313</v>
      </c>
      <c r="L14802" t="s">
        <v>33314</v>
      </c>
      <c r="N14802" t="s">
        <v>33315</v>
      </c>
      <c r="P14802" t="s">
        <v>33449</v>
      </c>
      <c r="R14802" s="26" t="str">
        <f>HYPERLINK("https://ictv.global/taxonomy/taxondetails?taxnode_id=202318063","Potyvirus polygonati")</f>
        <v>Potyvirus polygonati</v>
      </c>
      <c r="S14802" t="s">
        <v>30</v>
      </c>
      <c r="T14802" t="s">
        <v>47597</v>
      </c>
      <c r="U14802" t="s">
        <v>47598</v>
      </c>
      <c r="V14802" t="s">
        <v>47599</v>
      </c>
      <c r="W14802" t="s">
        <v>47600</v>
      </c>
      <c r="X14802" t="s">
        <v>42</v>
      </c>
      <c r="Y14802" t="s">
        <v>17171</v>
      </c>
      <c r="Z14802" t="s">
        <v>13441</v>
      </c>
      <c r="AA14802" s="22" t="str">
        <f>HYPERLINK("https://www.ncbi.nlm.nih.gov/nuccore/OP380926","NCBI Nucleotide")</f>
        <v>NCBI Nucleotide</v>
      </c>
    </row>
    <row r="14803" spans="1:27" x14ac:dyDescent="0.35">
      <c r="A14803">
        <v>1003389</v>
      </c>
      <c r="B14803">
        <v>13354</v>
      </c>
      <c r="C14803">
        <v>1</v>
      </c>
      <c r="D14803" t="s">
        <v>17166</v>
      </c>
      <c r="F14803" t="s">
        <v>17246</v>
      </c>
      <c r="H14803" t="s">
        <v>28921</v>
      </c>
      <c r="J14803" t="s">
        <v>33313</v>
      </c>
      <c r="L14803" t="s">
        <v>33314</v>
      </c>
      <c r="N14803" t="s">
        <v>33315</v>
      </c>
      <c r="P14803" t="s">
        <v>33449</v>
      </c>
      <c r="R14803" s="26" t="str">
        <f>HYPERLINK("https://ictv.global/taxonomy/taxondetails?taxnode_id=202304673","Potyvirus ranunculi")</f>
        <v>Potyvirus ranunculi</v>
      </c>
      <c r="S14803" t="s">
        <v>30</v>
      </c>
      <c r="T14803" t="s">
        <v>33982</v>
      </c>
      <c r="U14803" t="s">
        <v>33983</v>
      </c>
      <c r="V14803" t="s">
        <v>33984</v>
      </c>
      <c r="W14803" t="s">
        <v>33985</v>
      </c>
      <c r="X14803" t="s">
        <v>154</v>
      </c>
      <c r="Y14803" t="s">
        <v>17171</v>
      </c>
      <c r="Z14803" t="s">
        <v>13441</v>
      </c>
      <c r="AA14803" s="22" t="str">
        <f>HYPERLINK("https://www.ncbi.nlm.nih.gov/nuccore/DQ152192","NCBI Nucleotide")</f>
        <v>NCBI Nucleotide</v>
      </c>
    </row>
    <row r="14804" spans="1:27" x14ac:dyDescent="0.35">
      <c r="A14804">
        <v>1003387</v>
      </c>
      <c r="B14804">
        <v>13355</v>
      </c>
      <c r="C14804">
        <v>1</v>
      </c>
      <c r="D14804" t="s">
        <v>17166</v>
      </c>
      <c r="F14804" t="s">
        <v>17246</v>
      </c>
      <c r="H14804" t="s">
        <v>28921</v>
      </c>
      <c r="J14804" t="s">
        <v>33313</v>
      </c>
      <c r="L14804" t="s">
        <v>33314</v>
      </c>
      <c r="N14804" t="s">
        <v>33315</v>
      </c>
      <c r="P14804" t="s">
        <v>33449</v>
      </c>
      <c r="R14804" s="26" t="str">
        <f>HYPERLINK("https://ictv.global/taxonomy/taxondetails?taxnode_id=202304671","Potyvirus ranunculideformationis")</f>
        <v>Potyvirus ranunculideformationis</v>
      </c>
      <c r="S14804" t="s">
        <v>30</v>
      </c>
      <c r="T14804" t="s">
        <v>33974</v>
      </c>
      <c r="U14804" t="s">
        <v>33975</v>
      </c>
      <c r="V14804" t="s">
        <v>33976</v>
      </c>
      <c r="W14804" t="s">
        <v>33977</v>
      </c>
      <c r="X14804" t="s">
        <v>154</v>
      </c>
      <c r="Y14804" t="s">
        <v>17171</v>
      </c>
      <c r="Z14804" t="s">
        <v>13441</v>
      </c>
      <c r="AA14804" s="22" t="str">
        <f>HYPERLINK("https://www.ncbi.nlm.nih.gov/nuccore/DQ152190","NCBI Nucleotide")</f>
        <v>NCBI Nucleotide</v>
      </c>
    </row>
    <row r="14805" spans="1:27" x14ac:dyDescent="0.35">
      <c r="A14805">
        <v>1003388</v>
      </c>
      <c r="B14805">
        <v>13356</v>
      </c>
      <c r="C14805">
        <v>1</v>
      </c>
      <c r="D14805" t="s">
        <v>17166</v>
      </c>
      <c r="F14805" t="s">
        <v>17246</v>
      </c>
      <c r="H14805" t="s">
        <v>28921</v>
      </c>
      <c r="J14805" t="s">
        <v>33313</v>
      </c>
      <c r="L14805" t="s">
        <v>33314</v>
      </c>
      <c r="N14805" t="s">
        <v>33315</v>
      </c>
      <c r="P14805" t="s">
        <v>33449</v>
      </c>
      <c r="R14805" s="26" t="str">
        <f>HYPERLINK("https://ictv.global/taxonomy/taxondetails?taxnode_id=202304672","Potyvirus ranunculitenuis")</f>
        <v>Potyvirus ranunculitenuis</v>
      </c>
      <c r="S14805" t="s">
        <v>30</v>
      </c>
      <c r="T14805" t="s">
        <v>33978</v>
      </c>
      <c r="U14805" t="s">
        <v>33979</v>
      </c>
      <c r="V14805" t="s">
        <v>33980</v>
      </c>
      <c r="W14805" t="s">
        <v>33981</v>
      </c>
      <c r="X14805" t="s">
        <v>154</v>
      </c>
      <c r="Y14805" t="s">
        <v>17171</v>
      </c>
      <c r="Z14805" t="s">
        <v>13441</v>
      </c>
      <c r="AA14805" s="22" t="str">
        <f>HYPERLINK("https://www.ncbi.nlm.nih.gov/nuccore/DQ152191","NCBI Nucleotide")</f>
        <v>NCBI Nucleotide</v>
      </c>
    </row>
    <row r="14806" spans="1:27" x14ac:dyDescent="0.35">
      <c r="A14806">
        <v>1003424</v>
      </c>
      <c r="B14806">
        <v>13357</v>
      </c>
      <c r="C14806">
        <v>1</v>
      </c>
      <c r="D14806" t="s">
        <v>17166</v>
      </c>
      <c r="F14806" t="s">
        <v>17246</v>
      </c>
      <c r="H14806" t="s">
        <v>28921</v>
      </c>
      <c r="J14806" t="s">
        <v>33313</v>
      </c>
      <c r="L14806" t="s">
        <v>33314</v>
      </c>
      <c r="N14806" t="s">
        <v>33315</v>
      </c>
      <c r="P14806" t="s">
        <v>33449</v>
      </c>
      <c r="R14806" s="26" t="str">
        <f>HYPERLINK("https://ictv.global/taxonomy/taxondetails?taxnode_id=202304704","Potyvirus rapae")</f>
        <v>Potyvirus rapae</v>
      </c>
      <c r="S14806" t="s">
        <v>30</v>
      </c>
      <c r="T14806" t="s">
        <v>34104</v>
      </c>
      <c r="U14806" t="s">
        <v>34105</v>
      </c>
      <c r="V14806" t="s">
        <v>24696</v>
      </c>
      <c r="W14806" t="s">
        <v>34106</v>
      </c>
      <c r="X14806" t="s">
        <v>42</v>
      </c>
      <c r="Y14806" t="s">
        <v>17171</v>
      </c>
      <c r="Z14806" t="s">
        <v>13441</v>
      </c>
      <c r="AA14806" s="22" t="str">
        <f>HYPERLINK("https://www.ncbi.nlm.nih.gov/nuccore/AF169561","NCBI Nucleotide")</f>
        <v>NCBI Nucleotide</v>
      </c>
    </row>
    <row r="14807" spans="1:27" x14ac:dyDescent="0.35">
      <c r="A14807">
        <v>1003390</v>
      </c>
      <c r="B14807">
        <v>13358</v>
      </c>
      <c r="C14807">
        <v>1</v>
      </c>
      <c r="D14807" t="s">
        <v>17166</v>
      </c>
      <c r="F14807" t="s">
        <v>17246</v>
      </c>
      <c r="H14807" t="s">
        <v>28921</v>
      </c>
      <c r="J14807" t="s">
        <v>33313</v>
      </c>
      <c r="L14807" t="s">
        <v>33314</v>
      </c>
      <c r="N14807" t="s">
        <v>33315</v>
      </c>
      <c r="P14807" t="s">
        <v>33449</v>
      </c>
      <c r="R14807" s="26" t="str">
        <f>HYPERLINK("https://ictv.global/taxonomy/taxondetails?taxnode_id=202304674","Potyvirus rhopalanthi")</f>
        <v>Potyvirus rhopalanthi</v>
      </c>
      <c r="S14807" t="s">
        <v>30</v>
      </c>
      <c r="T14807" t="s">
        <v>33986</v>
      </c>
      <c r="U14807" t="s">
        <v>33987</v>
      </c>
      <c r="V14807" t="s">
        <v>33656</v>
      </c>
      <c r="W14807" t="s">
        <v>33988</v>
      </c>
      <c r="X14807" t="s">
        <v>154</v>
      </c>
      <c r="Y14807" t="s">
        <v>17171</v>
      </c>
      <c r="Z14807" t="s">
        <v>13441</v>
      </c>
      <c r="AA14807" s="22" t="str">
        <f>HYPERLINK("https://www.ncbi.nlm.nih.gov/nuccore/AF185956","NCBI Nucleotide")</f>
        <v>NCBI Nucleotide</v>
      </c>
    </row>
    <row r="14808" spans="1:27" x14ac:dyDescent="0.35">
      <c r="A14808">
        <v>1002969</v>
      </c>
      <c r="B14808">
        <v>13359</v>
      </c>
      <c r="C14808">
        <v>1</v>
      </c>
      <c r="D14808" t="s">
        <v>17166</v>
      </c>
      <c r="F14808" t="s">
        <v>17246</v>
      </c>
      <c r="H14808" t="s">
        <v>28921</v>
      </c>
      <c r="J14808" t="s">
        <v>33313</v>
      </c>
      <c r="L14808" t="s">
        <v>33314</v>
      </c>
      <c r="N14808" t="s">
        <v>33315</v>
      </c>
      <c r="P14808" t="s">
        <v>33449</v>
      </c>
      <c r="R14808" s="26" t="str">
        <f>HYPERLINK("https://ictv.global/taxonomy/taxondetails?taxnode_id=202306673","Potyvirus rutae")</f>
        <v>Potyvirus rutae</v>
      </c>
      <c r="S14808" t="s">
        <v>30</v>
      </c>
      <c r="T14808" t="s">
        <v>33790</v>
      </c>
      <c r="U14808" t="s">
        <v>33791</v>
      </c>
      <c r="V14808" t="s">
        <v>33792</v>
      </c>
      <c r="W14808" t="s">
        <v>33793</v>
      </c>
      <c r="X14808" t="s">
        <v>42</v>
      </c>
      <c r="Y14808" t="s">
        <v>17171</v>
      </c>
      <c r="Z14808" t="s">
        <v>13441</v>
      </c>
      <c r="AA14808" s="22" t="str">
        <f>HYPERLINK("https://www.ncbi.nlm.nih.gov/nuccore/MF953305","NCBI Nucleotide")</f>
        <v>NCBI Nucleotide</v>
      </c>
    </row>
    <row r="14809" spans="1:27" x14ac:dyDescent="0.35">
      <c r="A14809">
        <v>1003399</v>
      </c>
      <c r="B14809">
        <v>13360</v>
      </c>
      <c r="C14809">
        <v>1</v>
      </c>
      <c r="D14809" t="s">
        <v>17166</v>
      </c>
      <c r="F14809" t="s">
        <v>17246</v>
      </c>
      <c r="H14809" t="s">
        <v>28921</v>
      </c>
      <c r="J14809" t="s">
        <v>33313</v>
      </c>
      <c r="L14809" t="s">
        <v>33314</v>
      </c>
      <c r="N14809" t="s">
        <v>33315</v>
      </c>
      <c r="P14809" t="s">
        <v>33449</v>
      </c>
      <c r="R14809" s="26" t="str">
        <f>HYPERLINK("https://ictv.global/taxonomy/taxondetails?taxnode_id=202304681","Potyvirus sacchari")</f>
        <v>Potyvirus sacchari</v>
      </c>
      <c r="S14809" t="s">
        <v>30</v>
      </c>
      <c r="T14809" t="s">
        <v>34017</v>
      </c>
      <c r="U14809" t="s">
        <v>34018</v>
      </c>
      <c r="V14809" t="s">
        <v>17870</v>
      </c>
      <c r="W14809" t="s">
        <v>34019</v>
      </c>
      <c r="X14809" t="s">
        <v>42</v>
      </c>
      <c r="Y14809" t="s">
        <v>17171</v>
      </c>
      <c r="Z14809" t="s">
        <v>13441</v>
      </c>
      <c r="AA14809" s="22" t="str">
        <f>HYPERLINK("https://www.ncbi.nlm.nih.gov/nuccore/AJ297628","NCBI Nucleotide")</f>
        <v>NCBI Nucleotide</v>
      </c>
    </row>
    <row r="14810" spans="1:27" x14ac:dyDescent="0.35">
      <c r="A14810">
        <v>1003392</v>
      </c>
      <c r="B14810">
        <v>13361</v>
      </c>
      <c r="C14810">
        <v>1</v>
      </c>
      <c r="D14810" t="s">
        <v>17166</v>
      </c>
      <c r="F14810" t="s">
        <v>17246</v>
      </c>
      <c r="H14810" t="s">
        <v>28921</v>
      </c>
      <c r="J14810" t="s">
        <v>33313</v>
      </c>
      <c r="L14810" t="s">
        <v>33314</v>
      </c>
      <c r="N14810" t="s">
        <v>33315</v>
      </c>
      <c r="P14810" t="s">
        <v>33449</v>
      </c>
      <c r="R14810" s="26" t="str">
        <f>HYPERLINK("https://ictv.global/taxonomy/taxondetails?taxnode_id=202304675","Potyvirus sarcochili")</f>
        <v>Potyvirus sarcochili</v>
      </c>
      <c r="S14810" t="s">
        <v>30</v>
      </c>
      <c r="T14810" t="s">
        <v>33993</v>
      </c>
      <c r="U14810" t="s">
        <v>33994</v>
      </c>
      <c r="V14810" t="s">
        <v>33656</v>
      </c>
      <c r="W14810" t="s">
        <v>33995</v>
      </c>
      <c r="X14810" t="s">
        <v>154</v>
      </c>
      <c r="Y14810" t="s">
        <v>17171</v>
      </c>
      <c r="Z14810" t="s">
        <v>13441</v>
      </c>
      <c r="AA14810" s="22" t="str">
        <f>HYPERLINK("https://www.ncbi.nlm.nih.gov/nuccore/AF185957","NCBI Nucleotide")</f>
        <v>NCBI Nucleotide</v>
      </c>
    </row>
    <row r="14811" spans="1:27" x14ac:dyDescent="0.35">
      <c r="A14811">
        <v>1002902</v>
      </c>
      <c r="B14811">
        <v>13362</v>
      </c>
      <c r="C14811">
        <v>1</v>
      </c>
      <c r="D14811" t="s">
        <v>17166</v>
      </c>
      <c r="F14811" t="s">
        <v>17246</v>
      </c>
      <c r="H14811" t="s">
        <v>28921</v>
      </c>
      <c r="J14811" t="s">
        <v>33313</v>
      </c>
      <c r="L14811" t="s">
        <v>33314</v>
      </c>
      <c r="N14811" t="s">
        <v>33315</v>
      </c>
      <c r="P14811" t="s">
        <v>33449</v>
      </c>
      <c r="R14811" s="26" t="str">
        <f>HYPERLINK("https://ictv.global/taxonomy/taxondetails?taxnode_id=202304584","Potyvirus schizanthi")</f>
        <v>Potyvirus schizanthi</v>
      </c>
      <c r="S14811" t="s">
        <v>30</v>
      </c>
      <c r="T14811" t="s">
        <v>33552</v>
      </c>
      <c r="U14811" t="s">
        <v>33553</v>
      </c>
      <c r="V14811" t="s">
        <v>33554</v>
      </c>
      <c r="W14811" t="s">
        <v>33555</v>
      </c>
      <c r="X14811" t="s">
        <v>154</v>
      </c>
      <c r="Y14811" t="s">
        <v>17171</v>
      </c>
      <c r="Z14811" t="s">
        <v>13441</v>
      </c>
      <c r="AA14811" s="22" t="str">
        <f>HYPERLINK("https://www.ncbi.nlm.nih.gov/nuccore/AM774001","NCBI Nucleotide")</f>
        <v>NCBI Nucleotide</v>
      </c>
    </row>
    <row r="14812" spans="1:27" x14ac:dyDescent="0.35">
      <c r="A14812">
        <v>1003384</v>
      </c>
      <c r="B14812">
        <v>13363</v>
      </c>
      <c r="C14812">
        <v>1</v>
      </c>
      <c r="D14812" t="s">
        <v>17166</v>
      </c>
      <c r="F14812" t="s">
        <v>17246</v>
      </c>
      <c r="H14812" t="s">
        <v>28921</v>
      </c>
      <c r="J14812" t="s">
        <v>33313</v>
      </c>
      <c r="L14812" t="s">
        <v>33314</v>
      </c>
      <c r="N14812" t="s">
        <v>33315</v>
      </c>
      <c r="P14812" t="s">
        <v>33449</v>
      </c>
      <c r="R14812" s="26" t="str">
        <f>HYPERLINK("https://ictv.global/taxonomy/taxondetails?taxnode_id=202315113","Potyvirus scorzaureum")</f>
        <v>Potyvirus scorzaureum</v>
      </c>
      <c r="S14812" t="s">
        <v>30</v>
      </c>
      <c r="T14812" t="s">
        <v>33965</v>
      </c>
      <c r="U14812" t="s">
        <v>33966</v>
      </c>
      <c r="V14812" t="s">
        <v>19294</v>
      </c>
      <c r="W14812" t="s">
        <v>33967</v>
      </c>
      <c r="X14812" t="s">
        <v>42</v>
      </c>
      <c r="Y14812" t="s">
        <v>17171</v>
      </c>
      <c r="Z14812" t="s">
        <v>13441</v>
      </c>
      <c r="AA14812" s="22" t="str">
        <f>HYPERLINK("https://www.ncbi.nlm.nih.gov/nuccore/MW972223","NCBI Nucleotide")</f>
        <v>NCBI Nucleotide</v>
      </c>
    </row>
    <row r="14813" spans="1:27" x14ac:dyDescent="0.35">
      <c r="A14813">
        <v>1003395</v>
      </c>
      <c r="B14813">
        <v>13364</v>
      </c>
      <c r="C14813">
        <v>1</v>
      </c>
      <c r="D14813" t="s">
        <v>17166</v>
      </c>
      <c r="F14813" t="s">
        <v>17246</v>
      </c>
      <c r="H14813" t="s">
        <v>28921</v>
      </c>
      <c r="J14813" t="s">
        <v>33313</v>
      </c>
      <c r="L14813" t="s">
        <v>33314</v>
      </c>
      <c r="N14813" t="s">
        <v>33315</v>
      </c>
      <c r="P14813" t="s">
        <v>33449</v>
      </c>
      <c r="R14813" s="26" t="str">
        <f>HYPERLINK("https://ictv.global/taxonomy/taxondetails?taxnode_id=202304678","Potyvirus sorghitessellati")</f>
        <v>Potyvirus sorghitessellati</v>
      </c>
      <c r="S14813" t="s">
        <v>30</v>
      </c>
      <c r="T14813" t="s">
        <v>34003</v>
      </c>
      <c r="U14813" t="s">
        <v>34004</v>
      </c>
      <c r="V14813" t="s">
        <v>34005</v>
      </c>
      <c r="W14813" t="s">
        <v>34006</v>
      </c>
      <c r="X14813" t="s">
        <v>35</v>
      </c>
      <c r="Y14813" t="s">
        <v>17171</v>
      </c>
      <c r="Z14813" t="s">
        <v>13441</v>
      </c>
      <c r="AA14813" s="22" t="str">
        <f>HYPERLINK("https://www.ncbi.nlm.nih.gov/nuccore/AJ310197","NCBI Nucleotide")</f>
        <v>NCBI Nucleotide</v>
      </c>
    </row>
    <row r="14814" spans="1:27" x14ac:dyDescent="0.35">
      <c r="A14814">
        <v>1003397</v>
      </c>
      <c r="B14814">
        <v>13365</v>
      </c>
      <c r="C14814">
        <v>1</v>
      </c>
      <c r="D14814" t="s">
        <v>17166</v>
      </c>
      <c r="F14814" t="s">
        <v>17246</v>
      </c>
      <c r="H14814" t="s">
        <v>28921</v>
      </c>
      <c r="J14814" t="s">
        <v>33313</v>
      </c>
      <c r="L14814" t="s">
        <v>33314</v>
      </c>
      <c r="N14814" t="s">
        <v>33315</v>
      </c>
      <c r="P14814" t="s">
        <v>33449</v>
      </c>
      <c r="R14814" s="26" t="str">
        <f>HYPERLINK("https://ictv.global/taxonomy/taxondetails?taxnode_id=202304680","Potyvirus spiranthesis")</f>
        <v>Potyvirus spiranthesis</v>
      </c>
      <c r="S14814" t="s">
        <v>30</v>
      </c>
      <c r="T14814" t="s">
        <v>34010</v>
      </c>
      <c r="U14814" t="s">
        <v>34011</v>
      </c>
      <c r="V14814" t="s">
        <v>18179</v>
      </c>
      <c r="W14814" t="s">
        <v>34012</v>
      </c>
      <c r="X14814" t="s">
        <v>154</v>
      </c>
      <c r="Y14814" t="s">
        <v>17171</v>
      </c>
      <c r="Z14814" t="s">
        <v>13441</v>
      </c>
      <c r="AA14814" s="22" t="str">
        <f>HYPERLINK("https://www.ncbi.nlm.nih.gov/nuccore/AY685218","NCBI Nucleotide")</f>
        <v>NCBI Nucleotide</v>
      </c>
    </row>
    <row r="14815" spans="1:27" x14ac:dyDescent="0.35">
      <c r="A14815">
        <v>1003425</v>
      </c>
      <c r="B14815">
        <v>13366</v>
      </c>
      <c r="C14815">
        <v>1</v>
      </c>
      <c r="D14815" t="s">
        <v>17166</v>
      </c>
      <c r="F14815" t="s">
        <v>17246</v>
      </c>
      <c r="H14815" t="s">
        <v>28921</v>
      </c>
      <c r="J14815" t="s">
        <v>33313</v>
      </c>
      <c r="L14815" t="s">
        <v>33314</v>
      </c>
      <c r="N14815" t="s">
        <v>33315</v>
      </c>
      <c r="P14815" t="s">
        <v>33449</v>
      </c>
      <c r="R14815" s="26" t="str">
        <f>HYPERLINK("https://ictv.global/taxonomy/taxondetails?taxnode_id=202304705","Potyvirus streptopi")</f>
        <v>Potyvirus streptopi</v>
      </c>
      <c r="S14815" t="s">
        <v>30</v>
      </c>
      <c r="T14815" t="s">
        <v>34107</v>
      </c>
      <c r="U14815" t="s">
        <v>34108</v>
      </c>
      <c r="V14815" t="s">
        <v>34109</v>
      </c>
      <c r="W14815" t="s">
        <v>34110</v>
      </c>
      <c r="X14815" t="s">
        <v>154</v>
      </c>
      <c r="Y14815" t="s">
        <v>17171</v>
      </c>
      <c r="Z14815" t="s">
        <v>13441</v>
      </c>
      <c r="AA14815" s="22" t="str">
        <f>HYPERLINK("https://www.ncbi.nlm.nih.gov/nuccore/AY954248","NCBI Nucleotide")</f>
        <v>NCBI Nucleotide</v>
      </c>
    </row>
    <row r="14816" spans="1:27" x14ac:dyDescent="0.35">
      <c r="A14816">
        <v>1002901</v>
      </c>
      <c r="B14816">
        <v>13367</v>
      </c>
      <c r="C14816">
        <v>1</v>
      </c>
      <c r="D14816" t="s">
        <v>17166</v>
      </c>
      <c r="F14816" t="s">
        <v>17246</v>
      </c>
      <c r="H14816" t="s">
        <v>28921</v>
      </c>
      <c r="J14816" t="s">
        <v>33313</v>
      </c>
      <c r="L14816" t="s">
        <v>33314</v>
      </c>
      <c r="N14816" t="s">
        <v>33315</v>
      </c>
      <c r="P14816" t="s">
        <v>33449</v>
      </c>
      <c r="R14816" s="26" t="str">
        <f>HYPERLINK("https://ictv.global/taxonomy/taxondetails?taxnode_id=202304583","Potyvirus suaveolens")</f>
        <v>Potyvirus suaveolens</v>
      </c>
      <c r="S14816" t="s">
        <v>30</v>
      </c>
      <c r="T14816" t="s">
        <v>33548</v>
      </c>
      <c r="U14816" t="s">
        <v>33549</v>
      </c>
      <c r="V14816" t="s">
        <v>33550</v>
      </c>
      <c r="W14816" t="s">
        <v>33551</v>
      </c>
      <c r="X14816" t="s">
        <v>42</v>
      </c>
      <c r="Y14816" t="s">
        <v>17171</v>
      </c>
      <c r="Z14816" t="s">
        <v>13441</v>
      </c>
      <c r="AA14816" s="22" t="str">
        <f>HYPERLINK("https://www.ncbi.nlm.nih.gov/nuccore/AB551370","NCBI Nucleotide")</f>
        <v>NCBI Nucleotide</v>
      </c>
    </row>
    <row r="14817" spans="1:27" x14ac:dyDescent="0.35">
      <c r="A14817">
        <v>1003385</v>
      </c>
      <c r="B14817">
        <v>13368</v>
      </c>
      <c r="C14817">
        <v>1</v>
      </c>
      <c r="D14817" t="s">
        <v>17166</v>
      </c>
      <c r="F14817" t="s">
        <v>17246</v>
      </c>
      <c r="H14817" t="s">
        <v>28921</v>
      </c>
      <c r="J14817" t="s">
        <v>33313</v>
      </c>
      <c r="L14817" t="s">
        <v>33314</v>
      </c>
      <c r="N14817" t="s">
        <v>33315</v>
      </c>
      <c r="P14817" t="s">
        <v>33449</v>
      </c>
      <c r="R14817" s="26" t="str">
        <f>HYPERLINK("https://ictv.global/taxonomy/taxondetails?taxnode_id=202315112","Potyvirus tagetis")</f>
        <v>Potyvirus tagetis</v>
      </c>
      <c r="S14817" t="s">
        <v>30</v>
      </c>
      <c r="T14817" t="s">
        <v>33968</v>
      </c>
      <c r="U14817" t="s">
        <v>26194</v>
      </c>
      <c r="V14817" t="s">
        <v>18492</v>
      </c>
      <c r="W14817" t="s">
        <v>33969</v>
      </c>
      <c r="X14817" t="s">
        <v>42</v>
      </c>
      <c r="Y14817" t="s">
        <v>17171</v>
      </c>
      <c r="Z14817" t="s">
        <v>13441</v>
      </c>
      <c r="AA14817" s="22" t="str">
        <f>HYPERLINK("https://www.ncbi.nlm.nih.gov/nuccore/MW546936","NCBI Nucleotide")</f>
        <v>NCBI Nucleotide</v>
      </c>
    </row>
    <row r="14818" spans="1:27" x14ac:dyDescent="0.35">
      <c r="A14818">
        <v>1003411</v>
      </c>
      <c r="B14818">
        <v>13369</v>
      </c>
      <c r="C14818">
        <v>1</v>
      </c>
      <c r="D14818" t="s">
        <v>17166</v>
      </c>
      <c r="F14818" t="s">
        <v>17246</v>
      </c>
      <c r="H14818" t="s">
        <v>28921</v>
      </c>
      <c r="J14818" t="s">
        <v>33313</v>
      </c>
      <c r="L14818" t="s">
        <v>33314</v>
      </c>
      <c r="N14818" t="s">
        <v>33315</v>
      </c>
      <c r="P14818" t="s">
        <v>33449</v>
      </c>
      <c r="R14818" s="26" t="str">
        <f>HYPERLINK("https://ictv.global/taxonomy/taxondetails?taxnode_id=202304692","Potyvirus telfairiae")</f>
        <v>Potyvirus telfairiae</v>
      </c>
      <c r="S14818" t="s">
        <v>30</v>
      </c>
      <c r="T14818" t="s">
        <v>34059</v>
      </c>
      <c r="U14818" t="s">
        <v>21151</v>
      </c>
      <c r="X14818" t="s">
        <v>3311</v>
      </c>
      <c r="Y14818" t="s">
        <v>17171</v>
      </c>
      <c r="Z14818" t="s">
        <v>13441</v>
      </c>
    </row>
    <row r="14819" spans="1:27" x14ac:dyDescent="0.35">
      <c r="A14819">
        <v>1003412</v>
      </c>
      <c r="B14819">
        <v>13370</v>
      </c>
      <c r="C14819">
        <v>1</v>
      </c>
      <c r="D14819" t="s">
        <v>17166</v>
      </c>
      <c r="F14819" t="s">
        <v>17246</v>
      </c>
      <c r="H14819" t="s">
        <v>28921</v>
      </c>
      <c r="J14819" t="s">
        <v>33313</v>
      </c>
      <c r="L14819" t="s">
        <v>33314</v>
      </c>
      <c r="N14819" t="s">
        <v>33315</v>
      </c>
      <c r="P14819" t="s">
        <v>33449</v>
      </c>
      <c r="R14819" s="26" t="str">
        <f>HYPERLINK("https://ictv.global/taxonomy/taxondetails?taxnode_id=202304693","Potyvirus telosmae")</f>
        <v>Potyvirus telosmae</v>
      </c>
      <c r="S14819" t="s">
        <v>30</v>
      </c>
      <c r="T14819" t="s">
        <v>34060</v>
      </c>
      <c r="U14819" t="s">
        <v>34061</v>
      </c>
      <c r="V14819" t="s">
        <v>34062</v>
      </c>
      <c r="W14819" t="s">
        <v>34063</v>
      </c>
      <c r="X14819" t="s">
        <v>42</v>
      </c>
      <c r="Y14819" t="s">
        <v>17171</v>
      </c>
      <c r="Z14819" t="s">
        <v>13441</v>
      </c>
      <c r="AA14819" s="22" t="str">
        <f>HYPERLINK("https://www.ncbi.nlm.nih.gov/nuccore/DQ851493","NCBI Nucleotide")</f>
        <v>NCBI Nucleotide</v>
      </c>
    </row>
    <row r="14820" spans="1:27" x14ac:dyDescent="0.35">
      <c r="A14820">
        <v>1026500</v>
      </c>
      <c r="B14820">
        <v>13371</v>
      </c>
      <c r="C14820">
        <v>1</v>
      </c>
      <c r="D14820" t="s">
        <v>17166</v>
      </c>
      <c r="F14820" t="s">
        <v>17246</v>
      </c>
      <c r="H14820" t="s">
        <v>28921</v>
      </c>
      <c r="J14820" t="s">
        <v>33313</v>
      </c>
      <c r="L14820" t="s">
        <v>33314</v>
      </c>
      <c r="N14820" t="s">
        <v>33315</v>
      </c>
      <c r="P14820" t="s">
        <v>33449</v>
      </c>
      <c r="R14820" s="26" t="str">
        <f>HYPERLINK("https://ictv.global/taxonomy/taxondetails?taxnode_id=202318061","Potyvirus tetraparis")</f>
        <v>Potyvirus tetraparis</v>
      </c>
      <c r="S14820" t="s">
        <v>30</v>
      </c>
      <c r="T14820" t="s">
        <v>47601</v>
      </c>
      <c r="U14820" t="s">
        <v>47602</v>
      </c>
      <c r="V14820" t="s">
        <v>47304</v>
      </c>
      <c r="W14820" t="s">
        <v>47603</v>
      </c>
      <c r="X14820" t="s">
        <v>42</v>
      </c>
      <c r="Y14820" t="s">
        <v>17171</v>
      </c>
      <c r="Z14820" t="s">
        <v>13441</v>
      </c>
      <c r="AA14820" s="22" t="str">
        <f>HYPERLINK("https://www.ncbi.nlm.nih.gov/nuccore/OP374157","NCBI Nucleotide")</f>
        <v>NCBI Nucleotide</v>
      </c>
    </row>
    <row r="14821" spans="1:27" x14ac:dyDescent="0.35">
      <c r="A14821">
        <v>1026501</v>
      </c>
      <c r="B14821">
        <v>13372</v>
      </c>
      <c r="C14821">
        <v>1</v>
      </c>
      <c r="D14821" t="s">
        <v>17166</v>
      </c>
      <c r="F14821" t="s">
        <v>17246</v>
      </c>
      <c r="H14821" t="s">
        <v>28921</v>
      </c>
      <c r="J14821" t="s">
        <v>33313</v>
      </c>
      <c r="L14821" t="s">
        <v>33314</v>
      </c>
      <c r="N14821" t="s">
        <v>33315</v>
      </c>
      <c r="P14821" t="s">
        <v>33449</v>
      </c>
      <c r="R14821" s="26" t="str">
        <f>HYPERLINK("https://ictv.global/taxonomy/taxondetails?taxnode_id=202318064","Potyvirus thevetiae")</f>
        <v>Potyvirus thevetiae</v>
      </c>
      <c r="S14821" t="s">
        <v>30</v>
      </c>
      <c r="T14821" t="s">
        <v>47604</v>
      </c>
      <c r="U14821" t="s">
        <v>47605</v>
      </c>
      <c r="V14821" t="s">
        <v>47606</v>
      </c>
      <c r="W14821" t="s">
        <v>47607</v>
      </c>
      <c r="X14821" t="s">
        <v>42</v>
      </c>
      <c r="Y14821" t="s">
        <v>17171</v>
      </c>
      <c r="Z14821" t="s">
        <v>13441</v>
      </c>
      <c r="AA14821" s="22" t="str">
        <f>HYPERLINK("https://www.ncbi.nlm.nih.gov/nuccore/OM263475","NCBI Nucleotide")</f>
        <v>NCBI Nucleotide</v>
      </c>
    </row>
    <row r="14822" spans="1:27" x14ac:dyDescent="0.35">
      <c r="A14822">
        <v>1003386</v>
      </c>
      <c r="B14822">
        <v>13373</v>
      </c>
      <c r="C14822">
        <v>1</v>
      </c>
      <c r="D14822" t="s">
        <v>17166</v>
      </c>
      <c r="F14822" t="s">
        <v>17246</v>
      </c>
      <c r="H14822" t="s">
        <v>28921</v>
      </c>
      <c r="J14822" t="s">
        <v>33313</v>
      </c>
      <c r="L14822" t="s">
        <v>33314</v>
      </c>
      <c r="N14822" t="s">
        <v>33315</v>
      </c>
      <c r="P14822" t="s">
        <v>33449</v>
      </c>
      <c r="R14822" s="26" t="str">
        <f>HYPERLINK("https://ictv.global/taxonomy/taxondetails?taxnode_id=202315114","Potyvirus thladiatessellati")</f>
        <v>Potyvirus thladiatessellati</v>
      </c>
      <c r="S14822" t="s">
        <v>30</v>
      </c>
      <c r="T14822" t="s">
        <v>33970</v>
      </c>
      <c r="U14822" t="s">
        <v>33971</v>
      </c>
      <c r="V14822" t="s">
        <v>33972</v>
      </c>
      <c r="W14822" t="s">
        <v>33973</v>
      </c>
      <c r="X14822" t="s">
        <v>42</v>
      </c>
      <c r="Y14822" t="s">
        <v>17171</v>
      </c>
      <c r="Z14822" t="s">
        <v>13441</v>
      </c>
      <c r="AA14822" s="22" t="str">
        <f>HYPERLINK("https://www.ncbi.nlm.nih.gov/nuccore/MF420353","NCBI Nucleotide")</f>
        <v>NCBI Nucleotide</v>
      </c>
    </row>
    <row r="14823" spans="1:27" x14ac:dyDescent="0.35">
      <c r="A14823">
        <v>1003413</v>
      </c>
      <c r="B14823">
        <v>13374</v>
      </c>
      <c r="C14823">
        <v>1</v>
      </c>
      <c r="D14823" t="s">
        <v>17166</v>
      </c>
      <c r="F14823" t="s">
        <v>17246</v>
      </c>
      <c r="H14823" t="s">
        <v>28921</v>
      </c>
      <c r="J14823" t="s">
        <v>33313</v>
      </c>
      <c r="L14823" t="s">
        <v>33314</v>
      </c>
      <c r="N14823" t="s">
        <v>33315</v>
      </c>
      <c r="P14823" t="s">
        <v>33449</v>
      </c>
      <c r="R14823" s="26" t="str">
        <f>HYPERLINK("https://ictv.global/taxonomy/taxondetails?taxnode_id=202304694","Potyvirus thurnbergii")</f>
        <v>Potyvirus thurnbergii</v>
      </c>
      <c r="S14823" t="s">
        <v>30</v>
      </c>
      <c r="T14823" t="s">
        <v>34064</v>
      </c>
      <c r="U14823" t="s">
        <v>34065</v>
      </c>
      <c r="V14823" t="s">
        <v>34066</v>
      </c>
      <c r="W14823" t="s">
        <v>34067</v>
      </c>
      <c r="X14823" t="s">
        <v>42</v>
      </c>
      <c r="Y14823" t="s">
        <v>17171</v>
      </c>
      <c r="Z14823" t="s">
        <v>13441</v>
      </c>
      <c r="AA14823" s="22" t="str">
        <f>HYPERLINK("https://www.ncbi.nlm.nih.gov/nuccore/AJ851866","NCBI Nucleotide")</f>
        <v>NCBI Nucleotide</v>
      </c>
    </row>
    <row r="14824" spans="1:27" x14ac:dyDescent="0.35">
      <c r="A14824">
        <v>1003435</v>
      </c>
      <c r="B14824">
        <v>13375</v>
      </c>
      <c r="C14824">
        <v>1</v>
      </c>
      <c r="D14824" t="s">
        <v>17166</v>
      </c>
      <c r="F14824" t="s">
        <v>17246</v>
      </c>
      <c r="H14824" t="s">
        <v>28921</v>
      </c>
      <c r="J14824" t="s">
        <v>33313</v>
      </c>
      <c r="L14824" t="s">
        <v>33314</v>
      </c>
      <c r="N14824" t="s">
        <v>33315</v>
      </c>
      <c r="P14824" t="s">
        <v>33449</v>
      </c>
      <c r="R14824" s="26" t="str">
        <f>HYPERLINK("https://ictv.global/taxonomy/taxondetails?taxnode_id=202304712","Potyvirus torvi")</f>
        <v>Potyvirus torvi</v>
      </c>
      <c r="S14824" t="s">
        <v>30</v>
      </c>
      <c r="T14824" t="s">
        <v>34144</v>
      </c>
      <c r="U14824" t="s">
        <v>34145</v>
      </c>
      <c r="V14824" t="s">
        <v>34146</v>
      </c>
      <c r="W14824" t="s">
        <v>34147</v>
      </c>
      <c r="X14824" t="s">
        <v>42</v>
      </c>
      <c r="Y14824" t="s">
        <v>17171</v>
      </c>
      <c r="Z14824" t="s">
        <v>13441</v>
      </c>
      <c r="AA14824" s="22" t="str">
        <f>HYPERLINK("https://www.ncbi.nlm.nih.gov/nuccore/DQ851495","NCBI Nucleotide")</f>
        <v>NCBI Nucleotide</v>
      </c>
    </row>
    <row r="14825" spans="1:27" x14ac:dyDescent="0.35">
      <c r="A14825">
        <v>1003419</v>
      </c>
      <c r="B14825">
        <v>13376</v>
      </c>
      <c r="C14825">
        <v>1</v>
      </c>
      <c r="D14825" t="s">
        <v>17166</v>
      </c>
      <c r="F14825" t="s">
        <v>17246</v>
      </c>
      <c r="H14825" t="s">
        <v>28921</v>
      </c>
      <c r="J14825" t="s">
        <v>33313</v>
      </c>
      <c r="L14825" t="s">
        <v>33314</v>
      </c>
      <c r="N14825" t="s">
        <v>33315</v>
      </c>
      <c r="P14825" t="s">
        <v>33449</v>
      </c>
      <c r="R14825" s="26" t="str">
        <f>HYPERLINK("https://ictv.global/taxonomy/taxondetails?taxnode_id=202304699","Potyvirus tradescantiae")</f>
        <v>Potyvirus tradescantiae</v>
      </c>
      <c r="S14825" t="s">
        <v>30</v>
      </c>
      <c r="T14825" t="s">
        <v>34087</v>
      </c>
      <c r="U14825" t="s">
        <v>34088</v>
      </c>
      <c r="V14825" t="s">
        <v>34089</v>
      </c>
      <c r="W14825" t="s">
        <v>34090</v>
      </c>
      <c r="X14825" t="s">
        <v>154</v>
      </c>
      <c r="Y14825" t="s">
        <v>17171</v>
      </c>
      <c r="Z14825" t="s">
        <v>13441</v>
      </c>
      <c r="AA14825" s="22" t="str">
        <f>HYPERLINK("https://www.ncbi.nlm.nih.gov/nuccore/AY861351","NCBI Nucleotide")</f>
        <v>NCBI Nucleotide</v>
      </c>
    </row>
    <row r="14826" spans="1:27" x14ac:dyDescent="0.35">
      <c r="A14826">
        <v>1002917</v>
      </c>
      <c r="B14826">
        <v>13377</v>
      </c>
      <c r="C14826">
        <v>1</v>
      </c>
      <c r="D14826" t="s">
        <v>17166</v>
      </c>
      <c r="F14826" t="s">
        <v>17246</v>
      </c>
      <c r="H14826" t="s">
        <v>28921</v>
      </c>
      <c r="J14826" t="s">
        <v>33313</v>
      </c>
      <c r="L14826" t="s">
        <v>33314</v>
      </c>
      <c r="N14826" t="s">
        <v>33315</v>
      </c>
      <c r="P14826" t="s">
        <v>33449</v>
      </c>
      <c r="R14826" s="26" t="str">
        <f>HYPERLINK("https://ictv.global/taxonomy/taxondetails?taxnode_id=202304598","Potyvirus trifolii")</f>
        <v>Potyvirus trifolii</v>
      </c>
      <c r="S14826" t="s">
        <v>30</v>
      </c>
      <c r="T14826" t="s">
        <v>33602</v>
      </c>
      <c r="U14826" t="s">
        <v>33603</v>
      </c>
      <c r="V14826" t="s">
        <v>33604</v>
      </c>
      <c r="W14826" t="s">
        <v>33605</v>
      </c>
      <c r="X14826" t="s">
        <v>35</v>
      </c>
      <c r="Y14826" t="s">
        <v>17171</v>
      </c>
      <c r="Z14826" t="s">
        <v>13441</v>
      </c>
      <c r="AA14826" s="22" t="str">
        <f>HYPERLINK("https://www.ncbi.nlm.nih.gov/nuccore/AB011819","NCBI Nucleotide")</f>
        <v>NCBI Nucleotide</v>
      </c>
    </row>
    <row r="14827" spans="1:27" x14ac:dyDescent="0.35">
      <c r="A14827">
        <v>1002919</v>
      </c>
      <c r="B14827">
        <v>13378</v>
      </c>
      <c r="C14827">
        <v>1</v>
      </c>
      <c r="D14827" t="s">
        <v>17166</v>
      </c>
      <c r="F14827" t="s">
        <v>17246</v>
      </c>
      <c r="H14827" t="s">
        <v>28921</v>
      </c>
      <c r="J14827" t="s">
        <v>33313</v>
      </c>
      <c r="L14827" t="s">
        <v>33314</v>
      </c>
      <c r="N14827" t="s">
        <v>33315</v>
      </c>
      <c r="P14827" t="s">
        <v>33449</v>
      </c>
      <c r="R14827" s="26" t="str">
        <f>HYPERLINK("https://ictv.global/taxonomy/taxondetails?taxnode_id=202304600","Potyvirus trompetae")</f>
        <v>Potyvirus trompetae</v>
      </c>
      <c r="S14827" t="s">
        <v>30</v>
      </c>
      <c r="T14827" t="s">
        <v>33609</v>
      </c>
      <c r="U14827" t="s">
        <v>25092</v>
      </c>
      <c r="V14827" t="s">
        <v>18183</v>
      </c>
      <c r="W14827" t="s">
        <v>33610</v>
      </c>
      <c r="X14827" t="s">
        <v>42</v>
      </c>
      <c r="Y14827" t="s">
        <v>17171</v>
      </c>
      <c r="Z14827" t="s">
        <v>13441</v>
      </c>
      <c r="AA14827" s="22" t="str">
        <f>HYPERLINK("https://www.ncbi.nlm.nih.gov/nuccore/JQ801448","NCBI Nucleotide")</f>
        <v>NCBI Nucleotide</v>
      </c>
    </row>
    <row r="14828" spans="1:27" x14ac:dyDescent="0.35">
      <c r="A14828">
        <v>1002967</v>
      </c>
      <c r="B14828">
        <v>13379</v>
      </c>
      <c r="C14828">
        <v>1</v>
      </c>
      <c r="D14828" t="s">
        <v>17166</v>
      </c>
      <c r="F14828" t="s">
        <v>17246</v>
      </c>
      <c r="H14828" t="s">
        <v>28921</v>
      </c>
      <c r="J14828" t="s">
        <v>33313</v>
      </c>
      <c r="L14828" t="s">
        <v>33314</v>
      </c>
      <c r="N14828" t="s">
        <v>33315</v>
      </c>
      <c r="P14828" t="s">
        <v>33449</v>
      </c>
      <c r="R14828" s="26" t="str">
        <f>HYPERLINK("https://ictv.global/taxonomy/taxondetails?taxnode_id=202307436","Potyvirus tropaeoli")</f>
        <v>Potyvirus tropaeoli</v>
      </c>
      <c r="S14828" t="s">
        <v>30</v>
      </c>
      <c r="T14828" t="s">
        <v>33783</v>
      </c>
      <c r="U14828" t="s">
        <v>33784</v>
      </c>
      <c r="V14828" t="s">
        <v>33785</v>
      </c>
      <c r="W14828" t="s">
        <v>33786</v>
      </c>
      <c r="X14828" t="s">
        <v>42</v>
      </c>
      <c r="Y14828" t="s">
        <v>17171</v>
      </c>
      <c r="Z14828" t="s">
        <v>13441</v>
      </c>
      <c r="AA14828" s="22" t="str">
        <f>HYPERLINK("https://www.ncbi.nlm.nih.gov/nuccore/MH680824","NCBI Nucleotide")</f>
        <v>NCBI Nucleotide</v>
      </c>
    </row>
    <row r="14829" spans="1:27" x14ac:dyDescent="0.35">
      <c r="A14829">
        <v>1003375</v>
      </c>
      <c r="B14829">
        <v>13380</v>
      </c>
      <c r="C14829">
        <v>1</v>
      </c>
      <c r="D14829" t="s">
        <v>17166</v>
      </c>
      <c r="F14829" t="s">
        <v>17246</v>
      </c>
      <c r="H14829" t="s">
        <v>28921</v>
      </c>
      <c r="J14829" t="s">
        <v>33313</v>
      </c>
      <c r="L14829" t="s">
        <v>33314</v>
      </c>
      <c r="N14829" t="s">
        <v>33315</v>
      </c>
      <c r="P14829" t="s">
        <v>33449</v>
      </c>
      <c r="R14829" s="26" t="str">
        <f>HYPERLINK("https://ictv.global/taxonomy/taxondetails?taxnode_id=202307438","Potyvirus tuberosiflavi")</f>
        <v>Potyvirus tuberosiflavi</v>
      </c>
      <c r="S14829" t="s">
        <v>30</v>
      </c>
      <c r="T14829" t="s">
        <v>33932</v>
      </c>
      <c r="U14829" t="s">
        <v>33933</v>
      </c>
      <c r="V14829" t="s">
        <v>33934</v>
      </c>
      <c r="W14829" t="s">
        <v>33935</v>
      </c>
      <c r="X14829" t="s">
        <v>42</v>
      </c>
      <c r="Y14829" t="s">
        <v>17171</v>
      </c>
      <c r="Z14829" t="s">
        <v>13441</v>
      </c>
      <c r="AA14829" s="22" t="str">
        <f>HYPERLINK("https://www.ncbi.nlm.nih.gov/nuccore/JX294310","NCBI Nucleotide")</f>
        <v>NCBI Nucleotide</v>
      </c>
    </row>
    <row r="14830" spans="1:27" x14ac:dyDescent="0.35">
      <c r="A14830">
        <v>1003422</v>
      </c>
      <c r="B14830">
        <v>13381</v>
      </c>
      <c r="C14830">
        <v>1</v>
      </c>
      <c r="D14830" t="s">
        <v>17166</v>
      </c>
      <c r="F14830" t="s">
        <v>17246</v>
      </c>
      <c r="H14830" t="s">
        <v>28921</v>
      </c>
      <c r="J14830" t="s">
        <v>33313</v>
      </c>
      <c r="L14830" t="s">
        <v>33314</v>
      </c>
      <c r="N14830" t="s">
        <v>33315</v>
      </c>
      <c r="P14830" t="s">
        <v>33449</v>
      </c>
      <c r="R14830" s="26" t="str">
        <f>HYPERLINK("https://ictv.global/taxonomy/taxondetails?taxnode_id=202304702","Potyvirus tulipadefractum")</f>
        <v>Potyvirus tulipadefractum</v>
      </c>
      <c r="S14830" t="s">
        <v>30</v>
      </c>
      <c r="T14830" t="s">
        <v>34097</v>
      </c>
      <c r="U14830" t="s">
        <v>34098</v>
      </c>
      <c r="V14830" t="s">
        <v>34099</v>
      </c>
      <c r="W14830" t="s">
        <v>34100</v>
      </c>
      <c r="X14830" t="s">
        <v>154</v>
      </c>
      <c r="Y14830" t="s">
        <v>17171</v>
      </c>
      <c r="Z14830" t="s">
        <v>13441</v>
      </c>
      <c r="AA14830" s="22" t="str">
        <f>HYPERLINK("https://www.ncbi.nlm.nih.gov/nuccore/KF826466","NCBI Nucleotide")</f>
        <v>NCBI Nucleotide</v>
      </c>
    </row>
    <row r="14831" spans="1:27" x14ac:dyDescent="0.35">
      <c r="A14831">
        <v>1003423</v>
      </c>
      <c r="B14831">
        <v>13382</v>
      </c>
      <c r="C14831">
        <v>1</v>
      </c>
      <c r="D14831" t="s">
        <v>17166</v>
      </c>
      <c r="F14831" t="s">
        <v>17246</v>
      </c>
      <c r="H14831" t="s">
        <v>28921</v>
      </c>
      <c r="J14831" t="s">
        <v>33313</v>
      </c>
      <c r="L14831" t="s">
        <v>33314</v>
      </c>
      <c r="N14831" t="s">
        <v>33315</v>
      </c>
      <c r="P14831" t="s">
        <v>33449</v>
      </c>
      <c r="R14831" s="26" t="str">
        <f>HYPERLINK("https://ictv.global/taxonomy/taxondetails?taxnode_id=202304703","Potyvirus tulipatessellati")</f>
        <v>Potyvirus tulipatessellati</v>
      </c>
      <c r="S14831" t="s">
        <v>30</v>
      </c>
      <c r="T14831" t="s">
        <v>34101</v>
      </c>
      <c r="U14831" t="s">
        <v>34102</v>
      </c>
      <c r="V14831" t="s">
        <v>33471</v>
      </c>
      <c r="W14831" t="s">
        <v>34103</v>
      </c>
      <c r="X14831" t="s">
        <v>154</v>
      </c>
      <c r="Y14831" t="s">
        <v>17171</v>
      </c>
      <c r="Z14831" t="s">
        <v>13441</v>
      </c>
      <c r="AA14831" s="22" t="str">
        <f>HYPERLINK("https://www.ncbi.nlm.nih.gov/nuccore/X63630","NCBI Nucleotide")</f>
        <v>NCBI Nucleotide</v>
      </c>
    </row>
    <row r="14832" spans="1:27" x14ac:dyDescent="0.35">
      <c r="A14832">
        <v>1003427</v>
      </c>
      <c r="B14832">
        <v>13383</v>
      </c>
      <c r="C14832">
        <v>1</v>
      </c>
      <c r="D14832" t="s">
        <v>17166</v>
      </c>
      <c r="F14832" t="s">
        <v>17246</v>
      </c>
      <c r="H14832" t="s">
        <v>28921</v>
      </c>
      <c r="J14832" t="s">
        <v>33313</v>
      </c>
      <c r="L14832" t="s">
        <v>33314</v>
      </c>
      <c r="N14832" t="s">
        <v>33315</v>
      </c>
      <c r="P14832" t="s">
        <v>33449</v>
      </c>
      <c r="R14832" s="26" t="str">
        <f>HYPERLINK("https://ictv.global/taxonomy/taxondetails?taxnode_id=202304706","Potyvirus vallotae")</f>
        <v>Potyvirus vallotae</v>
      </c>
      <c r="S14832" t="s">
        <v>30</v>
      </c>
      <c r="T14832" t="s">
        <v>34115</v>
      </c>
      <c r="U14832" t="s">
        <v>34116</v>
      </c>
      <c r="V14832" t="s">
        <v>19412</v>
      </c>
      <c r="W14832" t="s">
        <v>34117</v>
      </c>
      <c r="X14832" t="s">
        <v>154</v>
      </c>
      <c r="Y14832" t="s">
        <v>17171</v>
      </c>
      <c r="Z14832" t="s">
        <v>13441</v>
      </c>
      <c r="AA14832" s="22" t="str">
        <f>HYPERLINK("https://www.ncbi.nlm.nih.gov/nuccore/FJ618540","NCBI Nucleotide")</f>
        <v>NCBI Nucleotide</v>
      </c>
    </row>
    <row r="14833" spans="1:27" x14ac:dyDescent="0.35">
      <c r="A14833">
        <v>1003428</v>
      </c>
      <c r="B14833">
        <v>13384</v>
      </c>
      <c r="C14833">
        <v>1</v>
      </c>
      <c r="D14833" t="s">
        <v>17166</v>
      </c>
      <c r="F14833" t="s">
        <v>17246</v>
      </c>
      <c r="H14833" t="s">
        <v>28921</v>
      </c>
      <c r="J14833" t="s">
        <v>33313</v>
      </c>
      <c r="L14833" t="s">
        <v>33314</v>
      </c>
      <c r="N14833" t="s">
        <v>33315</v>
      </c>
      <c r="P14833" t="s">
        <v>33449</v>
      </c>
      <c r="R14833" s="26" t="str">
        <f>HYPERLINK("https://ictv.global/taxonomy/taxondetails?taxnode_id=202304707","Potyvirus vanillae")</f>
        <v>Potyvirus vanillae</v>
      </c>
      <c r="S14833" t="s">
        <v>30</v>
      </c>
      <c r="T14833" t="s">
        <v>34118</v>
      </c>
      <c r="U14833" t="s">
        <v>34119</v>
      </c>
      <c r="V14833" t="s">
        <v>34120</v>
      </c>
      <c r="W14833" t="s">
        <v>34121</v>
      </c>
      <c r="X14833" t="s">
        <v>42</v>
      </c>
      <c r="Y14833" t="s">
        <v>17171</v>
      </c>
      <c r="Z14833" t="s">
        <v>13441</v>
      </c>
      <c r="AA14833" s="22" t="str">
        <f>HYPERLINK("https://www.ncbi.nlm.nih.gov/nuccore/KF906523","NCBI Nucleotide")</f>
        <v>NCBI Nucleotide</v>
      </c>
    </row>
    <row r="14834" spans="1:27" x14ac:dyDescent="0.35">
      <c r="A14834">
        <v>1003429</v>
      </c>
      <c r="B14834">
        <v>13385</v>
      </c>
      <c r="C14834">
        <v>1</v>
      </c>
      <c r="D14834" t="s">
        <v>17166</v>
      </c>
      <c r="F14834" t="s">
        <v>17246</v>
      </c>
      <c r="H14834" t="s">
        <v>28921</v>
      </c>
      <c r="J14834" t="s">
        <v>33313</v>
      </c>
      <c r="L14834" t="s">
        <v>33314</v>
      </c>
      <c r="N14834" t="s">
        <v>33315</v>
      </c>
      <c r="P14834" t="s">
        <v>33449</v>
      </c>
      <c r="R14834" s="26" t="str">
        <f>HYPERLINK("https://ictv.global/taxonomy/taxondetails?taxnode_id=202304708","Potyvirus verbenae")</f>
        <v>Potyvirus verbenae</v>
      </c>
      <c r="S14834" t="s">
        <v>30</v>
      </c>
      <c r="T14834" t="s">
        <v>34122</v>
      </c>
      <c r="U14834" t="s">
        <v>34123</v>
      </c>
      <c r="V14834" t="s">
        <v>34124</v>
      </c>
      <c r="W14834" t="s">
        <v>34125</v>
      </c>
      <c r="X14834" t="s">
        <v>42</v>
      </c>
      <c r="Y14834" t="s">
        <v>17171</v>
      </c>
      <c r="Z14834" t="s">
        <v>13441</v>
      </c>
      <c r="AA14834" s="22" t="str">
        <f>HYPERLINK("https://www.ncbi.nlm.nih.gov/nuccore/EU564817","NCBI Nucleotide")</f>
        <v>NCBI Nucleotide</v>
      </c>
    </row>
    <row r="14835" spans="1:27" x14ac:dyDescent="0.35">
      <c r="A14835">
        <v>1003373</v>
      </c>
      <c r="B14835">
        <v>13386</v>
      </c>
      <c r="C14835">
        <v>1</v>
      </c>
      <c r="D14835" t="s">
        <v>17166</v>
      </c>
      <c r="F14835" t="s">
        <v>17246</v>
      </c>
      <c r="H14835" t="s">
        <v>28921</v>
      </c>
      <c r="J14835" t="s">
        <v>33313</v>
      </c>
      <c r="L14835" t="s">
        <v>33314</v>
      </c>
      <c r="N14835" t="s">
        <v>33315</v>
      </c>
      <c r="P14835" t="s">
        <v>33449</v>
      </c>
      <c r="R14835" s="26" t="str">
        <f>HYPERLINK("https://ictv.global/taxonomy/taxondetails?taxnode_id=202304669","Potyvirus vetuberosi")</f>
        <v>Potyvirus vetuberosi</v>
      </c>
      <c r="S14835" t="s">
        <v>30</v>
      </c>
      <c r="T14835" t="s">
        <v>33924</v>
      </c>
      <c r="U14835" t="s">
        <v>28003</v>
      </c>
      <c r="V14835" t="s">
        <v>33925</v>
      </c>
      <c r="W14835" t="s">
        <v>33926</v>
      </c>
      <c r="X14835" t="s">
        <v>35</v>
      </c>
      <c r="Y14835" t="s">
        <v>17171</v>
      </c>
      <c r="Z14835" t="s">
        <v>13441</v>
      </c>
      <c r="AA14835" s="22" t="str">
        <f>HYPERLINK("https://www.ncbi.nlm.nih.gov/nuccore/AJ243766","NCBI Nucleotide")</f>
        <v>NCBI Nucleotide</v>
      </c>
    </row>
    <row r="14836" spans="1:27" x14ac:dyDescent="0.35">
      <c r="A14836">
        <v>1002922</v>
      </c>
      <c r="B14836">
        <v>13387</v>
      </c>
      <c r="C14836">
        <v>1</v>
      </c>
      <c r="D14836" t="s">
        <v>17166</v>
      </c>
      <c r="F14836" t="s">
        <v>17246</v>
      </c>
      <c r="H14836" t="s">
        <v>28921</v>
      </c>
      <c r="J14836" t="s">
        <v>33313</v>
      </c>
      <c r="L14836" t="s">
        <v>33314</v>
      </c>
      <c r="N14836" t="s">
        <v>33315</v>
      </c>
      <c r="P14836" t="s">
        <v>33449</v>
      </c>
      <c r="R14836" s="26" t="str">
        <f>HYPERLINK("https://ictv.global/taxonomy/taxondetails?taxnode_id=202304602","Potyvirus vignae")</f>
        <v>Potyvirus vignae</v>
      </c>
      <c r="S14836" t="s">
        <v>30</v>
      </c>
      <c r="T14836" t="s">
        <v>33617</v>
      </c>
      <c r="U14836" t="s">
        <v>33618</v>
      </c>
      <c r="V14836" t="s">
        <v>33619</v>
      </c>
      <c r="W14836" t="s">
        <v>33620</v>
      </c>
      <c r="X14836" t="s">
        <v>35</v>
      </c>
      <c r="Y14836" t="s">
        <v>17171</v>
      </c>
      <c r="Z14836" t="s">
        <v>13441</v>
      </c>
      <c r="AA14836" s="22" t="str">
        <f>HYPERLINK("https://www.ncbi.nlm.nih.gov/nuccore/AF348210","NCBI Nucleotide")</f>
        <v>NCBI Nucleotide</v>
      </c>
    </row>
    <row r="14837" spans="1:27" x14ac:dyDescent="0.35">
      <c r="A14837">
        <v>1003436</v>
      </c>
      <c r="B14837">
        <v>13388</v>
      </c>
      <c r="C14837">
        <v>1</v>
      </c>
      <c r="D14837" t="s">
        <v>17166</v>
      </c>
      <c r="F14837" t="s">
        <v>17246</v>
      </c>
      <c r="H14837" t="s">
        <v>28921</v>
      </c>
      <c r="J14837" t="s">
        <v>33313</v>
      </c>
      <c r="L14837" t="s">
        <v>33314</v>
      </c>
      <c r="N14837" t="s">
        <v>33315</v>
      </c>
      <c r="P14837" t="s">
        <v>33449</v>
      </c>
      <c r="R14837" s="26" t="str">
        <f>HYPERLINK("https://ictv.global/taxonomy/taxondetails?taxnode_id=202304713","Potyvirus wisteriae")</f>
        <v>Potyvirus wisteriae</v>
      </c>
      <c r="S14837" t="s">
        <v>30</v>
      </c>
      <c r="T14837" t="s">
        <v>34148</v>
      </c>
      <c r="U14837" t="s">
        <v>34149</v>
      </c>
      <c r="V14837" t="s">
        <v>32878</v>
      </c>
      <c r="W14837" t="s">
        <v>34150</v>
      </c>
      <c r="X14837" t="s">
        <v>42</v>
      </c>
      <c r="Y14837" t="s">
        <v>17171</v>
      </c>
      <c r="Z14837" t="s">
        <v>13441</v>
      </c>
      <c r="AA14837" s="22" t="str">
        <f>HYPERLINK("https://www.ncbi.nlm.nih.gov/nuccore/AY656816","NCBI Nucleotide")</f>
        <v>NCBI Nucleotide</v>
      </c>
    </row>
    <row r="14838" spans="1:27" x14ac:dyDescent="0.35">
      <c r="A14838">
        <v>1003437</v>
      </c>
      <c r="B14838">
        <v>13389</v>
      </c>
      <c r="C14838">
        <v>1</v>
      </c>
      <c r="D14838" t="s">
        <v>17166</v>
      </c>
      <c r="F14838" t="s">
        <v>17246</v>
      </c>
      <c r="H14838" t="s">
        <v>28921</v>
      </c>
      <c r="J14838" t="s">
        <v>33313</v>
      </c>
      <c r="L14838" t="s">
        <v>33314</v>
      </c>
      <c r="N14838" t="s">
        <v>33315</v>
      </c>
      <c r="P14838" t="s">
        <v>33449</v>
      </c>
      <c r="R14838" s="26" t="str">
        <f>HYPERLINK("https://ictv.global/taxonomy/taxondetails?taxnode_id=202304714","Potyvirus yamplacidum")</f>
        <v>Potyvirus yamplacidum</v>
      </c>
      <c r="S14838" t="s">
        <v>30</v>
      </c>
      <c r="T14838" t="s">
        <v>34151</v>
      </c>
      <c r="U14838" t="s">
        <v>34152</v>
      </c>
      <c r="V14838" t="s">
        <v>18522</v>
      </c>
      <c r="W14838" t="s">
        <v>34153</v>
      </c>
      <c r="X14838" t="s">
        <v>42</v>
      </c>
      <c r="Y14838" t="s">
        <v>17171</v>
      </c>
      <c r="Z14838" t="s">
        <v>13441</v>
      </c>
      <c r="AA14838" s="22" t="str">
        <f>HYPERLINK("https://www.ncbi.nlm.nih.gov/nuccore/JX470965","NCBI Nucleotide")</f>
        <v>NCBI Nucleotide</v>
      </c>
    </row>
    <row r="14839" spans="1:27" x14ac:dyDescent="0.35">
      <c r="A14839">
        <v>1003438</v>
      </c>
      <c r="B14839">
        <v>13390</v>
      </c>
      <c r="C14839">
        <v>1</v>
      </c>
      <c r="D14839" t="s">
        <v>17166</v>
      </c>
      <c r="F14839" t="s">
        <v>17246</v>
      </c>
      <c r="H14839" t="s">
        <v>28921</v>
      </c>
      <c r="J14839" t="s">
        <v>33313</v>
      </c>
      <c r="L14839" t="s">
        <v>33314</v>
      </c>
      <c r="N14839" t="s">
        <v>33315</v>
      </c>
      <c r="P14839" t="s">
        <v>33449</v>
      </c>
      <c r="R14839" s="26" t="str">
        <f>HYPERLINK("https://ictv.global/taxonomy/taxondetails?taxnode_id=202304715","Potyvirus yamtesselati")</f>
        <v>Potyvirus yamtesselati</v>
      </c>
      <c r="S14839" t="s">
        <v>30</v>
      </c>
      <c r="T14839" t="s">
        <v>34154</v>
      </c>
      <c r="U14839" t="s">
        <v>34155</v>
      </c>
      <c r="V14839" t="s">
        <v>34156</v>
      </c>
      <c r="W14839" t="s">
        <v>34157</v>
      </c>
      <c r="X14839" t="s">
        <v>42</v>
      </c>
      <c r="Y14839" t="s">
        <v>17171</v>
      </c>
      <c r="Z14839" t="s">
        <v>13441</v>
      </c>
      <c r="AA14839" s="22" t="str">
        <f>HYPERLINK("https://www.ncbi.nlm.nih.gov/nuccore/U42596","NCBI Nucleotide")</f>
        <v>NCBI Nucleotide</v>
      </c>
    </row>
    <row r="14840" spans="1:27" x14ac:dyDescent="0.35">
      <c r="A14840">
        <v>1002932</v>
      </c>
      <c r="B14840">
        <v>13391</v>
      </c>
      <c r="C14840">
        <v>1</v>
      </c>
      <c r="D14840" t="s">
        <v>17166</v>
      </c>
      <c r="F14840" t="s">
        <v>17246</v>
      </c>
      <c r="H14840" t="s">
        <v>28921</v>
      </c>
      <c r="J14840" t="s">
        <v>33313</v>
      </c>
      <c r="L14840" t="s">
        <v>33314</v>
      </c>
      <c r="N14840" t="s">
        <v>33315</v>
      </c>
      <c r="P14840" t="s">
        <v>33449</v>
      </c>
      <c r="R14840" s="26" t="str">
        <f>HYPERLINK("https://ictv.global/taxonomy/taxondetails?taxnode_id=202304608","Potyvirus yidiuris")</f>
        <v>Potyvirus yidiuris</v>
      </c>
      <c r="S14840" t="s">
        <v>30</v>
      </c>
      <c r="T14840" t="s">
        <v>33654</v>
      </c>
      <c r="U14840" t="s">
        <v>33655</v>
      </c>
      <c r="V14840" t="s">
        <v>33656</v>
      </c>
      <c r="W14840" t="s">
        <v>33657</v>
      </c>
      <c r="X14840" t="s">
        <v>154</v>
      </c>
      <c r="Y14840" t="s">
        <v>17171</v>
      </c>
      <c r="Z14840" t="s">
        <v>13441</v>
      </c>
      <c r="AA14840" s="22" t="str">
        <f>HYPERLINK("https://www.ncbi.nlm.nih.gov/nuccore/AF203527","NCBI Nucleotide")</f>
        <v>NCBI Nucleotide</v>
      </c>
    </row>
    <row r="14841" spans="1:27" x14ac:dyDescent="0.35">
      <c r="A14841">
        <v>1002962</v>
      </c>
      <c r="B14841">
        <v>13392</v>
      </c>
      <c r="C14841">
        <v>1</v>
      </c>
      <c r="D14841" t="s">
        <v>17166</v>
      </c>
      <c r="F14841" t="s">
        <v>17246</v>
      </c>
      <c r="H14841" t="s">
        <v>28921</v>
      </c>
      <c r="J14841" t="s">
        <v>33313</v>
      </c>
      <c r="L14841" t="s">
        <v>33314</v>
      </c>
      <c r="N14841" t="s">
        <v>33315</v>
      </c>
      <c r="P14841" t="s">
        <v>33449</v>
      </c>
      <c r="R14841" s="26" t="str">
        <f>HYPERLINK("https://ictv.global/taxonomy/taxondetails?taxnode_id=202307435","Potyvirus yililii")</f>
        <v>Potyvirus yililii</v>
      </c>
      <c r="S14841" t="s">
        <v>30</v>
      </c>
      <c r="T14841" t="s">
        <v>33765</v>
      </c>
      <c r="U14841" t="s">
        <v>33766</v>
      </c>
      <c r="V14841" t="s">
        <v>33767</v>
      </c>
      <c r="W14841" t="s">
        <v>33768</v>
      </c>
      <c r="X14841" t="s">
        <v>42</v>
      </c>
      <c r="Y14841" t="s">
        <v>17171</v>
      </c>
      <c r="Z14841" t="s">
        <v>13441</v>
      </c>
      <c r="AA14841" s="22" t="str">
        <f>HYPERLINK("https://www.ncbi.nlm.nih.gov/nuccore/MF543013","NCBI Nucleotide")</f>
        <v>NCBI Nucleotide</v>
      </c>
    </row>
    <row r="14842" spans="1:27" x14ac:dyDescent="0.35">
      <c r="A14842">
        <v>1002980</v>
      </c>
      <c r="B14842">
        <v>13393</v>
      </c>
      <c r="C14842">
        <v>1</v>
      </c>
      <c r="D14842" t="s">
        <v>17166</v>
      </c>
      <c r="F14842" t="s">
        <v>17246</v>
      </c>
      <c r="H14842" t="s">
        <v>28921</v>
      </c>
      <c r="J14842" t="s">
        <v>33313</v>
      </c>
      <c r="L14842" t="s">
        <v>33314</v>
      </c>
      <c r="N14842" t="s">
        <v>33315</v>
      </c>
      <c r="P14842" t="s">
        <v>33449</v>
      </c>
      <c r="R14842" s="26" t="str">
        <f>HYPERLINK("https://ictv.global/taxonomy/taxondetails?taxnode_id=202304649","Potyvirus yiornithogali")</f>
        <v>Potyvirus yiornithogali</v>
      </c>
      <c r="S14842" t="s">
        <v>30</v>
      </c>
      <c r="T14842" t="s">
        <v>33828</v>
      </c>
      <c r="U14842" t="s">
        <v>33829</v>
      </c>
      <c r="V14842" t="s">
        <v>33471</v>
      </c>
      <c r="W14842" t="s">
        <v>33830</v>
      </c>
      <c r="X14842" t="s">
        <v>154</v>
      </c>
      <c r="Y14842" t="s">
        <v>17171</v>
      </c>
      <c r="Z14842" t="s">
        <v>13441</v>
      </c>
      <c r="AA14842" s="22" t="str">
        <f>HYPERLINK("https://www.ncbi.nlm.nih.gov/nuccore/AB282754","NCBI Nucleotide")</f>
        <v>NCBI Nucleotide</v>
      </c>
    </row>
    <row r="14843" spans="1:27" x14ac:dyDescent="0.35">
      <c r="A14843">
        <v>1003002</v>
      </c>
      <c r="B14843">
        <v>13394</v>
      </c>
      <c r="C14843">
        <v>1</v>
      </c>
      <c r="D14843" t="s">
        <v>17166</v>
      </c>
      <c r="F14843" t="s">
        <v>17246</v>
      </c>
      <c r="H14843" t="s">
        <v>28921</v>
      </c>
      <c r="J14843" t="s">
        <v>33313</v>
      </c>
      <c r="L14843" t="s">
        <v>33314</v>
      </c>
      <c r="N14843" t="s">
        <v>33315</v>
      </c>
      <c r="P14843" t="s">
        <v>33449</v>
      </c>
      <c r="R14843" s="26" t="str">
        <f>HYPERLINK("https://ictv.global/taxonomy/taxondetails?taxnode_id=202304665","Potyvirus yipleionis")</f>
        <v>Potyvirus yipleionis</v>
      </c>
      <c r="S14843" t="s">
        <v>30</v>
      </c>
      <c r="T14843" t="s">
        <v>33902</v>
      </c>
      <c r="U14843" t="s">
        <v>33903</v>
      </c>
      <c r="V14843" t="s">
        <v>33656</v>
      </c>
      <c r="W14843" t="s">
        <v>33904</v>
      </c>
      <c r="X14843" t="s">
        <v>154</v>
      </c>
      <c r="Y14843" t="s">
        <v>17171</v>
      </c>
      <c r="Z14843" t="s">
        <v>13441</v>
      </c>
      <c r="AA14843" s="22" t="str">
        <f>HYPERLINK("https://www.ncbi.nlm.nih.gov/nuccore/AF185958","NCBI Nucleotide")</f>
        <v>NCBI Nucleotide</v>
      </c>
    </row>
    <row r="14844" spans="1:27" x14ac:dyDescent="0.35">
      <c r="A14844">
        <v>1003374</v>
      </c>
      <c r="B14844">
        <v>13395</v>
      </c>
      <c r="C14844">
        <v>1</v>
      </c>
      <c r="D14844" t="s">
        <v>17166</v>
      </c>
      <c r="F14844" t="s">
        <v>17246</v>
      </c>
      <c r="H14844" t="s">
        <v>28921</v>
      </c>
      <c r="J14844" t="s">
        <v>33313</v>
      </c>
      <c r="L14844" t="s">
        <v>33314</v>
      </c>
      <c r="N14844" t="s">
        <v>33315</v>
      </c>
      <c r="P14844" t="s">
        <v>33449</v>
      </c>
      <c r="R14844" s="26" t="str">
        <f t="shared" ref="R14844:R14849" si="68">HYPERLINK("https://ictv.global/taxonomy/taxondetails?taxnode_id=202304670","Potyvirus yituberosi")</f>
        <v>Potyvirus yituberosi</v>
      </c>
      <c r="S14844" t="s">
        <v>30</v>
      </c>
      <c r="T14844" t="s">
        <v>33927</v>
      </c>
      <c r="U14844" t="s">
        <v>33928</v>
      </c>
      <c r="V14844" t="s">
        <v>12808</v>
      </c>
      <c r="W14844" t="s">
        <v>33929</v>
      </c>
      <c r="X14844" t="s">
        <v>42</v>
      </c>
      <c r="Y14844" t="s">
        <v>17171</v>
      </c>
      <c r="Z14844" t="s">
        <v>13441</v>
      </c>
      <c r="AA14844" s="22" t="str">
        <f>HYPERLINK("https://www.ncbi.nlm.nih.gov/nuccore/X12456","NCBI Nucleotide")</f>
        <v>NCBI Nucleotide</v>
      </c>
    </row>
    <row r="14845" spans="1:27" x14ac:dyDescent="0.35">
      <c r="A14845">
        <v>1011941</v>
      </c>
      <c r="B14845">
        <v>13395</v>
      </c>
      <c r="C14845">
        <v>2</v>
      </c>
      <c r="D14845" t="s">
        <v>17166</v>
      </c>
      <c r="F14845" t="s">
        <v>17246</v>
      </c>
      <c r="H14845" t="s">
        <v>28921</v>
      </c>
      <c r="J14845" t="s">
        <v>33313</v>
      </c>
      <c r="L14845" t="s">
        <v>33314</v>
      </c>
      <c r="N14845" t="s">
        <v>33315</v>
      </c>
      <c r="P14845" t="s">
        <v>33449</v>
      </c>
      <c r="R14845" s="26" t="str">
        <f t="shared" si="68"/>
        <v>Potyvirus yituberosi</v>
      </c>
      <c r="S14845" t="s">
        <v>8141</v>
      </c>
      <c r="T14845" t="s">
        <v>33927</v>
      </c>
      <c r="U14845" t="s">
        <v>33928</v>
      </c>
      <c r="V14845" t="s">
        <v>19116</v>
      </c>
      <c r="W14845" t="s">
        <v>50138</v>
      </c>
      <c r="X14845" t="s">
        <v>42</v>
      </c>
      <c r="Y14845" t="s">
        <v>17171</v>
      </c>
      <c r="Z14845" t="s">
        <v>13441</v>
      </c>
      <c r="AA14845" s="22" t="str">
        <f>HYPERLINK("https://www.ncbi.nlm.nih.gov/nuccore/U09509","NCBI Nucleotide")</f>
        <v>NCBI Nucleotide</v>
      </c>
    </row>
    <row r="14846" spans="1:27" x14ac:dyDescent="0.35">
      <c r="A14846">
        <v>1011942</v>
      </c>
      <c r="B14846">
        <v>13395</v>
      </c>
      <c r="C14846">
        <v>3</v>
      </c>
      <c r="D14846" t="s">
        <v>17166</v>
      </c>
      <c r="F14846" t="s">
        <v>17246</v>
      </c>
      <c r="H14846" t="s">
        <v>28921</v>
      </c>
      <c r="J14846" t="s">
        <v>33313</v>
      </c>
      <c r="L14846" t="s">
        <v>33314</v>
      </c>
      <c r="N14846" t="s">
        <v>33315</v>
      </c>
      <c r="P14846" t="s">
        <v>33449</v>
      </c>
      <c r="R14846" s="26" t="str">
        <f t="shared" si="68"/>
        <v>Potyvirus yituberosi</v>
      </c>
      <c r="S14846" t="s">
        <v>8141</v>
      </c>
      <c r="T14846" t="s">
        <v>33927</v>
      </c>
      <c r="U14846" t="s">
        <v>33928</v>
      </c>
      <c r="V14846" t="s">
        <v>12808</v>
      </c>
      <c r="W14846" t="s">
        <v>50139</v>
      </c>
      <c r="X14846" t="s">
        <v>42</v>
      </c>
      <c r="Y14846" t="s">
        <v>17171</v>
      </c>
      <c r="Z14846" t="s">
        <v>13441</v>
      </c>
      <c r="AA14846" s="22" t="str">
        <f>HYPERLINK("https://www.ncbi.nlm.nih.gov/nuccore/X97895","NCBI Nucleotide")</f>
        <v>NCBI Nucleotide</v>
      </c>
    </row>
    <row r="14847" spans="1:27" x14ac:dyDescent="0.35">
      <c r="A14847">
        <v>1011943</v>
      </c>
      <c r="B14847">
        <v>13395</v>
      </c>
      <c r="C14847">
        <v>4</v>
      </c>
      <c r="D14847" t="s">
        <v>17166</v>
      </c>
      <c r="F14847" t="s">
        <v>17246</v>
      </c>
      <c r="H14847" t="s">
        <v>28921</v>
      </c>
      <c r="J14847" t="s">
        <v>33313</v>
      </c>
      <c r="L14847" t="s">
        <v>33314</v>
      </c>
      <c r="N14847" t="s">
        <v>33315</v>
      </c>
      <c r="P14847" t="s">
        <v>33449</v>
      </c>
      <c r="R14847" s="26" t="str">
        <f t="shared" si="68"/>
        <v>Potyvirus yituberosi</v>
      </c>
      <c r="S14847" t="s">
        <v>8141</v>
      </c>
      <c r="T14847" t="s">
        <v>33927</v>
      </c>
      <c r="U14847" t="s">
        <v>33928</v>
      </c>
      <c r="V14847" t="s">
        <v>33930</v>
      </c>
      <c r="W14847" t="s">
        <v>50140</v>
      </c>
      <c r="X14847" t="s">
        <v>42</v>
      </c>
      <c r="Y14847" t="s">
        <v>17171</v>
      </c>
      <c r="Z14847" t="s">
        <v>13441</v>
      </c>
      <c r="AA14847" s="22" t="str">
        <f>HYPERLINK("https://www.ncbi.nlm.nih.gov/nuccore/AY166866","NCBI Nucleotide")</f>
        <v>NCBI Nucleotide</v>
      </c>
    </row>
    <row r="14848" spans="1:27" x14ac:dyDescent="0.35">
      <c r="A14848">
        <v>1011944</v>
      </c>
      <c r="B14848">
        <v>13395</v>
      </c>
      <c r="C14848">
        <v>5</v>
      </c>
      <c r="D14848" t="s">
        <v>17166</v>
      </c>
      <c r="F14848" t="s">
        <v>17246</v>
      </c>
      <c r="H14848" t="s">
        <v>28921</v>
      </c>
      <c r="J14848" t="s">
        <v>33313</v>
      </c>
      <c r="L14848" t="s">
        <v>33314</v>
      </c>
      <c r="N14848" t="s">
        <v>33315</v>
      </c>
      <c r="P14848" t="s">
        <v>33449</v>
      </c>
      <c r="R14848" s="26" t="str">
        <f t="shared" si="68"/>
        <v>Potyvirus yituberosi</v>
      </c>
      <c r="S14848" t="s">
        <v>8141</v>
      </c>
      <c r="T14848" t="s">
        <v>33927</v>
      </c>
      <c r="U14848" t="s">
        <v>33928</v>
      </c>
      <c r="V14848" t="s">
        <v>17177</v>
      </c>
      <c r="W14848" t="s">
        <v>50141</v>
      </c>
      <c r="X14848" t="s">
        <v>42</v>
      </c>
      <c r="Y14848" t="s">
        <v>17171</v>
      </c>
      <c r="Z14848" t="s">
        <v>13441</v>
      </c>
      <c r="AA14848" s="22" t="str">
        <f>HYPERLINK("https://www.ncbi.nlm.nih.gov/nuccore/AJ890348","NCBI Nucleotide")</f>
        <v>NCBI Nucleotide</v>
      </c>
    </row>
    <row r="14849" spans="1:27" x14ac:dyDescent="0.35">
      <c r="A14849">
        <v>1011945</v>
      </c>
      <c r="B14849">
        <v>13395</v>
      </c>
      <c r="C14849">
        <v>6</v>
      </c>
      <c r="D14849" t="s">
        <v>17166</v>
      </c>
      <c r="F14849" t="s">
        <v>17246</v>
      </c>
      <c r="H14849" t="s">
        <v>28921</v>
      </c>
      <c r="J14849" t="s">
        <v>33313</v>
      </c>
      <c r="L14849" t="s">
        <v>33314</v>
      </c>
      <c r="N14849" t="s">
        <v>33315</v>
      </c>
      <c r="P14849" t="s">
        <v>33449</v>
      </c>
      <c r="R14849" s="26" t="str">
        <f t="shared" si="68"/>
        <v>Potyvirus yituberosi</v>
      </c>
      <c r="S14849" t="s">
        <v>8141</v>
      </c>
      <c r="T14849" t="s">
        <v>33927</v>
      </c>
      <c r="U14849" t="s">
        <v>33928</v>
      </c>
      <c r="V14849" t="s">
        <v>33931</v>
      </c>
      <c r="W14849" t="s">
        <v>50142</v>
      </c>
      <c r="X14849" t="s">
        <v>42</v>
      </c>
      <c r="Y14849" t="s">
        <v>17171</v>
      </c>
      <c r="Z14849" t="s">
        <v>13441</v>
      </c>
      <c r="AA14849" s="22" t="str">
        <f>HYPERLINK("https://www.ncbi.nlm.nih.gov/nuccore/AJ889867","NCBI Nucleotide")</f>
        <v>NCBI Nucleotide</v>
      </c>
    </row>
    <row r="14850" spans="1:27" x14ac:dyDescent="0.35">
      <c r="A14850">
        <v>1002904</v>
      </c>
      <c r="B14850">
        <v>13396</v>
      </c>
      <c r="C14850">
        <v>1</v>
      </c>
      <c r="D14850" t="s">
        <v>17166</v>
      </c>
      <c r="F14850" t="s">
        <v>17246</v>
      </c>
      <c r="H14850" t="s">
        <v>28921</v>
      </c>
      <c r="J14850" t="s">
        <v>33313</v>
      </c>
      <c r="L14850" t="s">
        <v>33314</v>
      </c>
      <c r="N14850" t="s">
        <v>33315</v>
      </c>
      <c r="P14850" t="s">
        <v>33449</v>
      </c>
      <c r="R14850" s="26" t="str">
        <f>HYPERLINK("https://ictv.global/taxonomy/taxondetails?taxnode_id=202304586","Potyvirus zantedeschiae")</f>
        <v>Potyvirus zantedeschiae</v>
      </c>
      <c r="S14850" t="s">
        <v>30</v>
      </c>
      <c r="T14850" t="s">
        <v>33559</v>
      </c>
      <c r="U14850" t="s">
        <v>33560</v>
      </c>
      <c r="V14850" t="s">
        <v>33561</v>
      </c>
      <c r="X14850" t="s">
        <v>3311</v>
      </c>
      <c r="Y14850" t="s">
        <v>17171</v>
      </c>
      <c r="Z14850" t="s">
        <v>13441</v>
      </c>
    </row>
    <row r="14851" spans="1:27" x14ac:dyDescent="0.35">
      <c r="A14851">
        <v>1003440</v>
      </c>
      <c r="B14851">
        <v>13397</v>
      </c>
      <c r="C14851">
        <v>1</v>
      </c>
      <c r="D14851" t="s">
        <v>17166</v>
      </c>
      <c r="F14851" t="s">
        <v>17246</v>
      </c>
      <c r="H14851" t="s">
        <v>28921</v>
      </c>
      <c r="J14851" t="s">
        <v>33313</v>
      </c>
      <c r="L14851" t="s">
        <v>33314</v>
      </c>
      <c r="N14851" t="s">
        <v>33315</v>
      </c>
      <c r="P14851" t="s">
        <v>33449</v>
      </c>
      <c r="R14851" s="26" t="str">
        <f>HYPERLINK("https://ictv.global/taxonomy/taxondetails?taxnode_id=202304717","Potyvirus zantedeschiatenuis")</f>
        <v>Potyvirus zantedeschiatenuis</v>
      </c>
      <c r="S14851" t="s">
        <v>30</v>
      </c>
      <c r="T14851" t="s">
        <v>34162</v>
      </c>
      <c r="U14851" t="s">
        <v>34163</v>
      </c>
      <c r="V14851" t="s">
        <v>19343</v>
      </c>
      <c r="W14851" t="s">
        <v>34164</v>
      </c>
      <c r="X14851" t="s">
        <v>42</v>
      </c>
      <c r="Y14851" t="s">
        <v>17171</v>
      </c>
      <c r="Z14851" t="s">
        <v>13441</v>
      </c>
      <c r="AA14851" s="22" t="str">
        <f>HYPERLINK("https://www.ncbi.nlm.nih.gov/nuccore/AY626825","NCBI Nucleotide")</f>
        <v>NCBI Nucleotide</v>
      </c>
    </row>
    <row r="14852" spans="1:27" x14ac:dyDescent="0.35">
      <c r="A14852">
        <v>1002965</v>
      </c>
      <c r="B14852">
        <v>13398</v>
      </c>
      <c r="C14852">
        <v>1</v>
      </c>
      <c r="D14852" t="s">
        <v>17166</v>
      </c>
      <c r="F14852" t="s">
        <v>17246</v>
      </c>
      <c r="H14852" t="s">
        <v>28921</v>
      </c>
      <c r="J14852" t="s">
        <v>33313</v>
      </c>
      <c r="L14852" t="s">
        <v>33314</v>
      </c>
      <c r="N14852" t="s">
        <v>33315</v>
      </c>
      <c r="P14852" t="s">
        <v>33449</v>
      </c>
      <c r="R14852" s="26" t="str">
        <f>HYPERLINK("https://ictv.global/taxonomy/taxondetails?taxnode_id=202304637","Potyvirus zeananus")</f>
        <v>Potyvirus zeananus</v>
      </c>
      <c r="S14852" t="s">
        <v>30</v>
      </c>
      <c r="T14852" t="s">
        <v>33776</v>
      </c>
      <c r="U14852" t="s">
        <v>33777</v>
      </c>
      <c r="V14852" t="s">
        <v>20783</v>
      </c>
      <c r="W14852" t="s">
        <v>33778</v>
      </c>
      <c r="X14852" t="s">
        <v>42</v>
      </c>
      <c r="Y14852" t="s">
        <v>17171</v>
      </c>
      <c r="Z14852" t="s">
        <v>13441</v>
      </c>
      <c r="AA14852" s="22" t="str">
        <f>HYPERLINK("https://www.ncbi.nlm.nih.gov/nuccore/AJ001691","NCBI Nucleotide")</f>
        <v>NCBI Nucleotide</v>
      </c>
    </row>
    <row r="14853" spans="1:27" x14ac:dyDescent="0.35">
      <c r="A14853">
        <v>1003441</v>
      </c>
      <c r="B14853">
        <v>13399</v>
      </c>
      <c r="C14853">
        <v>1</v>
      </c>
      <c r="D14853" t="s">
        <v>17166</v>
      </c>
      <c r="F14853" t="s">
        <v>17246</v>
      </c>
      <c r="H14853" t="s">
        <v>28921</v>
      </c>
      <c r="J14853" t="s">
        <v>33313</v>
      </c>
      <c r="L14853" t="s">
        <v>33314</v>
      </c>
      <c r="N14853" t="s">
        <v>33315</v>
      </c>
      <c r="P14853" t="s">
        <v>33449</v>
      </c>
      <c r="R14853" s="26" t="str">
        <f>HYPERLINK("https://ictv.global/taxonomy/taxondetails?taxnode_id=202304718","Potyvirus zeatessellati")</f>
        <v>Potyvirus zeatessellati</v>
      </c>
      <c r="S14853" t="s">
        <v>30</v>
      </c>
      <c r="T14853" t="s">
        <v>34166</v>
      </c>
      <c r="U14853" t="s">
        <v>34167</v>
      </c>
      <c r="V14853" t="s">
        <v>34168</v>
      </c>
      <c r="W14853" t="s">
        <v>34169</v>
      </c>
      <c r="X14853" t="s">
        <v>42</v>
      </c>
      <c r="Y14853" t="s">
        <v>17171</v>
      </c>
      <c r="Z14853" t="s">
        <v>13441</v>
      </c>
      <c r="AA14853" s="22" t="str">
        <f>HYPERLINK("https://www.ncbi.nlm.nih.gov/nuccore/JQ692088","NCBI Nucleotide")</f>
        <v>NCBI Nucleotide</v>
      </c>
    </row>
    <row r="14854" spans="1:27" x14ac:dyDescent="0.35">
      <c r="A14854">
        <v>1011947</v>
      </c>
      <c r="B14854">
        <v>13399</v>
      </c>
      <c r="C14854">
        <v>2</v>
      </c>
      <c r="D14854" t="s">
        <v>17166</v>
      </c>
      <c r="F14854" t="s">
        <v>17246</v>
      </c>
      <c r="H14854" t="s">
        <v>28921</v>
      </c>
      <c r="J14854" t="s">
        <v>33313</v>
      </c>
      <c r="L14854" t="s">
        <v>33314</v>
      </c>
      <c r="N14854" t="s">
        <v>33315</v>
      </c>
      <c r="P14854" t="s">
        <v>33449</v>
      </c>
      <c r="R14854" s="26" t="str">
        <f>HYPERLINK("https://ictv.global/taxonomy/taxondetails?taxnode_id=202304718","Potyvirus zeatessellati")</f>
        <v>Potyvirus zeatessellati</v>
      </c>
      <c r="S14854" t="s">
        <v>8141</v>
      </c>
      <c r="T14854" t="s">
        <v>34165</v>
      </c>
      <c r="U14854" t="s">
        <v>34170</v>
      </c>
      <c r="V14854" t="s">
        <v>19444</v>
      </c>
      <c r="W14854" t="s">
        <v>50143</v>
      </c>
      <c r="X14854" t="s">
        <v>154</v>
      </c>
      <c r="Y14854" t="s">
        <v>17171</v>
      </c>
      <c r="Z14854" t="s">
        <v>13441</v>
      </c>
      <c r="AA14854" s="22" t="str">
        <f>HYPERLINK("https://www.ncbi.nlm.nih.gov/nuccore/AF228693","NCBI Nucleotide")</f>
        <v>NCBI Nucleotide</v>
      </c>
    </row>
    <row r="14855" spans="1:27" x14ac:dyDescent="0.35">
      <c r="A14855">
        <v>1003446</v>
      </c>
      <c r="B14855">
        <v>13400</v>
      </c>
      <c r="C14855">
        <v>1</v>
      </c>
      <c r="D14855" t="s">
        <v>17166</v>
      </c>
      <c r="F14855" t="s">
        <v>17246</v>
      </c>
      <c r="H14855" t="s">
        <v>28921</v>
      </c>
      <c r="J14855" t="s">
        <v>33313</v>
      </c>
      <c r="L14855" t="s">
        <v>33314</v>
      </c>
      <c r="N14855" t="s">
        <v>33315</v>
      </c>
      <c r="P14855" t="s">
        <v>34187</v>
      </c>
      <c r="R14855" s="26" t="str">
        <f>HYPERLINK("https://ictv.global/taxonomy/taxondetails?taxnode_id=202307450","Roymovirus passifloralatentis")</f>
        <v>Roymovirus passifloralatentis</v>
      </c>
      <c r="S14855" t="s">
        <v>30</v>
      </c>
      <c r="T14855" t="s">
        <v>34188</v>
      </c>
      <c r="U14855" t="s">
        <v>19447</v>
      </c>
      <c r="V14855" t="s">
        <v>34189</v>
      </c>
      <c r="W14855" t="s">
        <v>34190</v>
      </c>
      <c r="X14855" t="s">
        <v>42</v>
      </c>
      <c r="Y14855" t="s">
        <v>17171</v>
      </c>
      <c r="Z14855" t="s">
        <v>13441</v>
      </c>
      <c r="AA14855" s="22" t="str">
        <f>HYPERLINK("https://www.ncbi.nlm.nih.gov/nuccore/MH379332","NCBI Nucleotide")</f>
        <v>NCBI Nucleotide</v>
      </c>
    </row>
    <row r="14856" spans="1:27" x14ac:dyDescent="0.35">
      <c r="A14856">
        <v>1003447</v>
      </c>
      <c r="B14856">
        <v>13401</v>
      </c>
      <c r="C14856">
        <v>1</v>
      </c>
      <c r="D14856" t="s">
        <v>17166</v>
      </c>
      <c r="F14856" t="s">
        <v>17246</v>
      </c>
      <c r="H14856" t="s">
        <v>28921</v>
      </c>
      <c r="J14856" t="s">
        <v>33313</v>
      </c>
      <c r="L14856" t="s">
        <v>33314</v>
      </c>
      <c r="N14856" t="s">
        <v>33315</v>
      </c>
      <c r="P14856" t="s">
        <v>34187</v>
      </c>
      <c r="R14856" s="26" t="str">
        <f>HYPERLINK("https://ictv.global/taxonomy/taxondetails?taxnode_id=202304735","Roymovirus rosae")</f>
        <v>Roymovirus rosae</v>
      </c>
      <c r="S14856" t="s">
        <v>30</v>
      </c>
      <c r="T14856" t="s">
        <v>34191</v>
      </c>
      <c r="U14856" t="s">
        <v>33262</v>
      </c>
      <c r="V14856" t="s">
        <v>20754</v>
      </c>
      <c r="W14856" t="s">
        <v>34192</v>
      </c>
      <c r="X14856" t="s">
        <v>35</v>
      </c>
      <c r="Y14856" t="s">
        <v>17171</v>
      </c>
      <c r="Z14856" t="s">
        <v>13441</v>
      </c>
      <c r="AA14856" s="22" t="str">
        <f>HYPERLINK("https://www.ncbi.nlm.nih.gov/nuccore/JF280796","NCBI Nucleotide")</f>
        <v>NCBI Nucleotide</v>
      </c>
    </row>
    <row r="14857" spans="1:27" x14ac:dyDescent="0.35">
      <c r="A14857">
        <v>1003448</v>
      </c>
      <c r="B14857">
        <v>13402</v>
      </c>
      <c r="C14857">
        <v>1</v>
      </c>
      <c r="D14857" t="s">
        <v>17166</v>
      </c>
      <c r="F14857" t="s">
        <v>17246</v>
      </c>
      <c r="H14857" t="s">
        <v>28921</v>
      </c>
      <c r="J14857" t="s">
        <v>33313</v>
      </c>
      <c r="L14857" t="s">
        <v>33314</v>
      </c>
      <c r="N14857" t="s">
        <v>33315</v>
      </c>
      <c r="P14857" t="s">
        <v>34193</v>
      </c>
      <c r="R14857" s="26" t="str">
        <f>HYPERLINK("https://ictv.global/taxonomy/taxondetails?taxnode_id=202304724","Rymovirus agropyronis")</f>
        <v>Rymovirus agropyronis</v>
      </c>
      <c r="S14857" t="s">
        <v>30</v>
      </c>
      <c r="T14857" t="s">
        <v>34194</v>
      </c>
      <c r="U14857" t="s">
        <v>34195</v>
      </c>
      <c r="V14857" t="s">
        <v>34196</v>
      </c>
      <c r="W14857" t="s">
        <v>34197</v>
      </c>
      <c r="X14857" t="s">
        <v>42</v>
      </c>
      <c r="Y14857" t="s">
        <v>17171</v>
      </c>
      <c r="Z14857" t="s">
        <v>13441</v>
      </c>
      <c r="AA14857" s="22" t="str">
        <f>HYPERLINK("https://www.ncbi.nlm.nih.gov/nuccore/AY623626","NCBI Nucleotide")</f>
        <v>NCBI Nucleotide</v>
      </c>
    </row>
    <row r="14858" spans="1:27" x14ac:dyDescent="0.35">
      <c r="A14858">
        <v>1003449</v>
      </c>
      <c r="B14858">
        <v>13403</v>
      </c>
      <c r="C14858">
        <v>1</v>
      </c>
      <c r="D14858" t="s">
        <v>17166</v>
      </c>
      <c r="F14858" t="s">
        <v>17246</v>
      </c>
      <c r="H14858" t="s">
        <v>28921</v>
      </c>
      <c r="J14858" t="s">
        <v>33313</v>
      </c>
      <c r="L14858" t="s">
        <v>33314</v>
      </c>
      <c r="N14858" t="s">
        <v>33315</v>
      </c>
      <c r="P14858" t="s">
        <v>34193</v>
      </c>
      <c r="R14858" s="26" t="str">
        <f>HYPERLINK("https://ictv.global/taxonomy/taxondetails?taxnode_id=202304725","Rymovirus hordei")</f>
        <v>Rymovirus hordei</v>
      </c>
      <c r="S14858" t="s">
        <v>30</v>
      </c>
      <c r="T14858" t="s">
        <v>34198</v>
      </c>
      <c r="U14858" t="s">
        <v>34199</v>
      </c>
      <c r="V14858" t="s">
        <v>34200</v>
      </c>
      <c r="W14858" t="s">
        <v>34201</v>
      </c>
      <c r="X14858" t="s">
        <v>42</v>
      </c>
      <c r="Y14858" t="s">
        <v>17171</v>
      </c>
      <c r="Z14858" t="s">
        <v>13441</v>
      </c>
      <c r="AA14858" s="22" t="str">
        <f>HYPERLINK("https://www.ncbi.nlm.nih.gov/nuccore/AY623627","NCBI Nucleotide")</f>
        <v>NCBI Nucleotide</v>
      </c>
    </row>
    <row r="14859" spans="1:27" x14ac:dyDescent="0.35">
      <c r="A14859">
        <v>1003450</v>
      </c>
      <c r="B14859">
        <v>13404</v>
      </c>
      <c r="C14859">
        <v>1</v>
      </c>
      <c r="D14859" t="s">
        <v>17166</v>
      </c>
      <c r="F14859" t="s">
        <v>17246</v>
      </c>
      <c r="H14859" t="s">
        <v>28921</v>
      </c>
      <c r="J14859" t="s">
        <v>33313</v>
      </c>
      <c r="L14859" t="s">
        <v>33314</v>
      </c>
      <c r="N14859" t="s">
        <v>33315</v>
      </c>
      <c r="P14859" t="s">
        <v>34193</v>
      </c>
      <c r="R14859" s="26" t="str">
        <f>HYPERLINK("https://ictv.global/taxonomy/taxondetails?taxnode_id=202304726","Rymovirus lolii")</f>
        <v>Rymovirus lolii</v>
      </c>
      <c r="S14859" t="s">
        <v>30</v>
      </c>
      <c r="T14859" t="s">
        <v>34202</v>
      </c>
      <c r="U14859" t="s">
        <v>34203</v>
      </c>
      <c r="V14859" t="s">
        <v>34204</v>
      </c>
      <c r="W14859" t="s">
        <v>34205</v>
      </c>
      <c r="X14859" t="s">
        <v>42</v>
      </c>
      <c r="Y14859" t="s">
        <v>17171</v>
      </c>
      <c r="Z14859" t="s">
        <v>13441</v>
      </c>
      <c r="AA14859" s="22" t="str">
        <f>HYPERLINK("https://www.ncbi.nlm.nih.gov/nuccore/Y09854","NCBI Nucleotide")</f>
        <v>NCBI Nucleotide</v>
      </c>
    </row>
    <row r="14860" spans="1:27" x14ac:dyDescent="0.35">
      <c r="A14860">
        <v>1003453</v>
      </c>
      <c r="B14860">
        <v>13405</v>
      </c>
      <c r="C14860">
        <v>1</v>
      </c>
      <c r="D14860" t="s">
        <v>17166</v>
      </c>
      <c r="F14860" t="s">
        <v>17246</v>
      </c>
      <c r="H14860" t="s">
        <v>28921</v>
      </c>
      <c r="J14860" t="s">
        <v>33313</v>
      </c>
      <c r="L14860" t="s">
        <v>33314</v>
      </c>
      <c r="N14860" t="s">
        <v>33315</v>
      </c>
      <c r="P14860" t="s">
        <v>34206</v>
      </c>
      <c r="R14860" s="26" t="str">
        <f>HYPERLINK("https://ictv.global/taxonomy/taxondetails?taxnode_id=202304730","Tritimovirus arrhenatheri")</f>
        <v>Tritimovirus arrhenatheri</v>
      </c>
      <c r="S14860" t="s">
        <v>30</v>
      </c>
      <c r="T14860" t="s">
        <v>34214</v>
      </c>
      <c r="U14860" t="s">
        <v>34215</v>
      </c>
      <c r="V14860" t="s">
        <v>34216</v>
      </c>
      <c r="W14860" t="s">
        <v>34217</v>
      </c>
      <c r="X14860" t="s">
        <v>42</v>
      </c>
      <c r="Y14860" t="s">
        <v>17171</v>
      </c>
      <c r="Z14860" t="s">
        <v>13441</v>
      </c>
      <c r="AA14860" s="22" t="str">
        <f>HYPERLINK("https://www.ncbi.nlm.nih.gov/nuccore/KF260962","NCBI Nucleotide")</f>
        <v>NCBI Nucleotide</v>
      </c>
    </row>
    <row r="14861" spans="1:27" x14ac:dyDescent="0.35">
      <c r="A14861">
        <v>1003452</v>
      </c>
      <c r="B14861">
        <v>13406</v>
      </c>
      <c r="C14861">
        <v>1</v>
      </c>
      <c r="D14861" t="s">
        <v>17166</v>
      </c>
      <c r="F14861" t="s">
        <v>17246</v>
      </c>
      <c r="H14861" t="s">
        <v>28921</v>
      </c>
      <c r="J14861" t="s">
        <v>33313</v>
      </c>
      <c r="L14861" t="s">
        <v>33314</v>
      </c>
      <c r="N14861" t="s">
        <v>33315</v>
      </c>
      <c r="P14861" t="s">
        <v>34206</v>
      </c>
      <c r="R14861" s="26" t="str">
        <f>HYPERLINK("https://ictv.global/taxonomy/taxondetails?taxnode_id=202304729","Tritimovirus avenae")</f>
        <v>Tritimovirus avenae</v>
      </c>
      <c r="S14861" t="s">
        <v>30</v>
      </c>
      <c r="T14861" t="s">
        <v>34210</v>
      </c>
      <c r="U14861" t="s">
        <v>34211</v>
      </c>
      <c r="V14861" t="s">
        <v>34212</v>
      </c>
      <c r="W14861" t="s">
        <v>34213</v>
      </c>
      <c r="X14861" t="s">
        <v>42</v>
      </c>
      <c r="Y14861" t="s">
        <v>17171</v>
      </c>
      <c r="Z14861" t="s">
        <v>13441</v>
      </c>
      <c r="AA14861" s="22" t="str">
        <f>HYPERLINK("https://www.ncbi.nlm.nih.gov/nuccore/AY377938","NCBI Nucleotide")</f>
        <v>NCBI Nucleotide</v>
      </c>
    </row>
    <row r="14862" spans="1:27" x14ac:dyDescent="0.35">
      <c r="A14862">
        <v>1003451</v>
      </c>
      <c r="B14862">
        <v>13407</v>
      </c>
      <c r="C14862">
        <v>1</v>
      </c>
      <c r="D14862" t="s">
        <v>17166</v>
      </c>
      <c r="F14862" t="s">
        <v>17246</v>
      </c>
      <c r="H14862" t="s">
        <v>28921</v>
      </c>
      <c r="J14862" t="s">
        <v>33313</v>
      </c>
      <c r="L14862" t="s">
        <v>33314</v>
      </c>
      <c r="N14862" t="s">
        <v>33315</v>
      </c>
      <c r="P14862" t="s">
        <v>34206</v>
      </c>
      <c r="R14862" s="26" t="str">
        <f>HYPERLINK("https://ictv.global/taxonomy/taxondetails?taxnode_id=202304728","Tritimovirus bromi")</f>
        <v>Tritimovirus bromi</v>
      </c>
      <c r="S14862" t="s">
        <v>30</v>
      </c>
      <c r="T14862" t="s">
        <v>34207</v>
      </c>
      <c r="U14862" t="s">
        <v>34208</v>
      </c>
      <c r="V14862" t="s">
        <v>33672</v>
      </c>
      <c r="W14862" t="s">
        <v>34209</v>
      </c>
      <c r="X14862" t="s">
        <v>35</v>
      </c>
      <c r="Y14862" t="s">
        <v>17171</v>
      </c>
      <c r="Z14862" t="s">
        <v>13441</v>
      </c>
      <c r="AA14862" s="22" t="str">
        <f>HYPERLINK("https://www.ncbi.nlm.nih.gov/nuccore/Z48506","NCBI Nucleotide")</f>
        <v>NCBI Nucleotide</v>
      </c>
    </row>
    <row r="14863" spans="1:27" x14ac:dyDescent="0.35">
      <c r="A14863">
        <v>1003454</v>
      </c>
      <c r="B14863">
        <v>13408</v>
      </c>
      <c r="C14863">
        <v>1</v>
      </c>
      <c r="D14863" t="s">
        <v>17166</v>
      </c>
      <c r="F14863" t="s">
        <v>17246</v>
      </c>
      <c r="H14863" t="s">
        <v>28921</v>
      </c>
      <c r="J14863" t="s">
        <v>33313</v>
      </c>
      <c r="L14863" t="s">
        <v>33314</v>
      </c>
      <c r="N14863" t="s">
        <v>33315</v>
      </c>
      <c r="P14863" t="s">
        <v>34206</v>
      </c>
      <c r="R14863" s="26" t="str">
        <f>HYPERLINK("https://ictv.global/taxonomy/taxondetails?taxnode_id=202304731","Tritimovirus eqlidense")</f>
        <v>Tritimovirus eqlidense</v>
      </c>
      <c r="S14863" t="s">
        <v>30</v>
      </c>
      <c r="T14863" t="s">
        <v>34218</v>
      </c>
      <c r="U14863" t="s">
        <v>34219</v>
      </c>
      <c r="V14863" t="s">
        <v>34220</v>
      </c>
      <c r="W14863" t="s">
        <v>34221</v>
      </c>
      <c r="X14863" t="s">
        <v>42</v>
      </c>
      <c r="Y14863" t="s">
        <v>17171</v>
      </c>
      <c r="Z14863" t="s">
        <v>13441</v>
      </c>
      <c r="AA14863" s="22" t="str">
        <f>HYPERLINK("https://www.ncbi.nlm.nih.gov/nuccore/EF608612","NCBI Nucleotide")</f>
        <v>NCBI Nucleotide</v>
      </c>
    </row>
    <row r="14864" spans="1:27" x14ac:dyDescent="0.35">
      <c r="A14864">
        <v>1003456</v>
      </c>
      <c r="B14864">
        <v>13409</v>
      </c>
      <c r="C14864">
        <v>1</v>
      </c>
      <c r="D14864" t="s">
        <v>17166</v>
      </c>
      <c r="F14864" t="s">
        <v>17246</v>
      </c>
      <c r="H14864" t="s">
        <v>28921</v>
      </c>
      <c r="J14864" t="s">
        <v>33313</v>
      </c>
      <c r="L14864" t="s">
        <v>33314</v>
      </c>
      <c r="N14864" t="s">
        <v>33315</v>
      </c>
      <c r="P14864" t="s">
        <v>34206</v>
      </c>
      <c r="R14864" s="26" t="str">
        <f>HYPERLINK("https://ictv.global/taxonomy/taxondetails?taxnode_id=202304733","Tritimovirus triseti")</f>
        <v>Tritimovirus triseti</v>
      </c>
      <c r="S14864" t="s">
        <v>30</v>
      </c>
      <c r="T14864" t="s">
        <v>34226</v>
      </c>
      <c r="U14864" t="s">
        <v>34227</v>
      </c>
      <c r="V14864" t="s">
        <v>33763</v>
      </c>
      <c r="W14864" t="s">
        <v>34228</v>
      </c>
      <c r="X14864" t="s">
        <v>42</v>
      </c>
      <c r="Y14864" t="s">
        <v>17171</v>
      </c>
      <c r="Z14864" t="s">
        <v>13441</v>
      </c>
      <c r="AA14864" s="22" t="str">
        <f>HYPERLINK("https://www.ncbi.nlm.nih.gov/nuccore/KF984546","NCBI Nucleotide")</f>
        <v>NCBI Nucleotide</v>
      </c>
    </row>
    <row r="14865" spans="1:27" x14ac:dyDescent="0.35">
      <c r="A14865">
        <v>1003455</v>
      </c>
      <c r="B14865">
        <v>13410</v>
      </c>
      <c r="C14865">
        <v>1</v>
      </c>
      <c r="D14865" t="s">
        <v>17166</v>
      </c>
      <c r="F14865" t="s">
        <v>17246</v>
      </c>
      <c r="H14865" t="s">
        <v>28921</v>
      </c>
      <c r="J14865" t="s">
        <v>33313</v>
      </c>
      <c r="L14865" t="s">
        <v>33314</v>
      </c>
      <c r="N14865" t="s">
        <v>33315</v>
      </c>
      <c r="P14865" t="s">
        <v>34206</v>
      </c>
      <c r="R14865" s="26" t="str">
        <f>HYPERLINK("https://ictv.global/taxonomy/taxondetails?taxnode_id=202304732","Tritimovirus tritici")</f>
        <v>Tritimovirus tritici</v>
      </c>
      <c r="S14865" t="s">
        <v>30</v>
      </c>
      <c r="T14865" t="s">
        <v>34222</v>
      </c>
      <c r="U14865" t="s">
        <v>34223</v>
      </c>
      <c r="V14865" t="s">
        <v>34224</v>
      </c>
      <c r="W14865" t="s">
        <v>34225</v>
      </c>
      <c r="X14865" t="s">
        <v>42</v>
      </c>
      <c r="Y14865" t="s">
        <v>17171</v>
      </c>
      <c r="Z14865" t="s">
        <v>13441</v>
      </c>
      <c r="AA14865" s="22" t="str">
        <f>HYPERLINK("https://www.ncbi.nlm.nih.gov/nuccore/AF057533","NCBI Nucleotide")</f>
        <v>NCBI Nucleotide</v>
      </c>
    </row>
    <row r="14866" spans="1:27" x14ac:dyDescent="0.35">
      <c r="A14866">
        <v>1003458</v>
      </c>
      <c r="B14866">
        <v>13411</v>
      </c>
      <c r="C14866">
        <v>1</v>
      </c>
      <c r="D14866" t="s">
        <v>17166</v>
      </c>
      <c r="F14866" t="s">
        <v>17246</v>
      </c>
      <c r="H14866" t="s">
        <v>28921</v>
      </c>
      <c r="J14866" t="s">
        <v>33313</v>
      </c>
      <c r="L14866" t="s">
        <v>34229</v>
      </c>
      <c r="N14866" t="s">
        <v>34230</v>
      </c>
      <c r="P14866" t="s">
        <v>34231</v>
      </c>
      <c r="R14866" s="26" t="str">
        <f>HYPERLINK("https://ictv.global/taxonomy/taxondetails?taxnode_id=202302623","Avastrovirus galli")</f>
        <v>Avastrovirus galli</v>
      </c>
      <c r="S14866" t="s">
        <v>30</v>
      </c>
      <c r="T14866" t="s">
        <v>34235</v>
      </c>
      <c r="U14866" t="s">
        <v>34236</v>
      </c>
      <c r="V14866" t="s">
        <v>34237</v>
      </c>
      <c r="W14866" t="s">
        <v>34238</v>
      </c>
      <c r="X14866" t="s">
        <v>42</v>
      </c>
      <c r="Y14866" t="s">
        <v>17171</v>
      </c>
      <c r="Z14866" t="s">
        <v>166</v>
      </c>
      <c r="AA14866" s="22" t="str">
        <f>HYPERLINK("https://www.ncbi.nlm.nih.gov/nuccore/AB033998","NCBI Nucleotide")</f>
        <v>NCBI Nucleotide</v>
      </c>
    </row>
    <row r="14867" spans="1:27" x14ac:dyDescent="0.35">
      <c r="A14867">
        <v>1003459</v>
      </c>
      <c r="B14867">
        <v>13412</v>
      </c>
      <c r="C14867">
        <v>1</v>
      </c>
      <c r="D14867" t="s">
        <v>17166</v>
      </c>
      <c r="F14867" t="s">
        <v>17246</v>
      </c>
      <c r="H14867" t="s">
        <v>28921</v>
      </c>
      <c r="J14867" t="s">
        <v>33313</v>
      </c>
      <c r="L14867" t="s">
        <v>34229</v>
      </c>
      <c r="N14867" t="s">
        <v>34230</v>
      </c>
      <c r="P14867" t="s">
        <v>34231</v>
      </c>
      <c r="R14867" s="26" t="str">
        <f>HYPERLINK("https://ictv.global/taxonomy/taxondetails?taxnode_id=202302624","Avastrovirus intestini")</f>
        <v>Avastrovirus intestini</v>
      </c>
      <c r="S14867" t="s">
        <v>30</v>
      </c>
      <c r="T14867" t="s">
        <v>34239</v>
      </c>
      <c r="U14867" t="s">
        <v>34240</v>
      </c>
      <c r="W14867" t="s">
        <v>34241</v>
      </c>
      <c r="X14867" t="s">
        <v>42</v>
      </c>
      <c r="Y14867" t="s">
        <v>17171</v>
      </c>
      <c r="Z14867" t="s">
        <v>166</v>
      </c>
      <c r="AA14867" s="22" t="str">
        <f>HYPERLINK("https://www.ncbi.nlm.nih.gov/nuccore/AF206663","NCBI Nucleotide")</f>
        <v>NCBI Nucleotide</v>
      </c>
    </row>
    <row r="14868" spans="1:27" x14ac:dyDescent="0.35">
      <c r="A14868">
        <v>1003457</v>
      </c>
      <c r="B14868">
        <v>13413</v>
      </c>
      <c r="C14868">
        <v>1</v>
      </c>
      <c r="D14868" t="s">
        <v>17166</v>
      </c>
      <c r="F14868" t="s">
        <v>17246</v>
      </c>
      <c r="H14868" t="s">
        <v>28921</v>
      </c>
      <c r="J14868" t="s">
        <v>33313</v>
      </c>
      <c r="L14868" t="s">
        <v>34229</v>
      </c>
      <c r="N14868" t="s">
        <v>34230</v>
      </c>
      <c r="P14868" t="s">
        <v>34231</v>
      </c>
      <c r="R14868" s="26" t="str">
        <f>HYPERLINK("https://ictv.global/taxonomy/taxondetails?taxnode_id=202302622","Avastrovirus meleagridis")</f>
        <v>Avastrovirus meleagridis</v>
      </c>
      <c r="S14868" t="s">
        <v>30</v>
      </c>
      <c r="T14868" t="s">
        <v>34232</v>
      </c>
      <c r="U14868" t="s">
        <v>34233</v>
      </c>
      <c r="W14868" t="s">
        <v>34234</v>
      </c>
      <c r="X14868" t="s">
        <v>42</v>
      </c>
      <c r="Y14868" t="s">
        <v>17171</v>
      </c>
      <c r="Z14868" t="s">
        <v>166</v>
      </c>
      <c r="AA14868" s="22" t="str">
        <f>HYPERLINK("https://www.ncbi.nlm.nih.gov/nuccore/Y15936","NCBI Nucleotide")</f>
        <v>NCBI Nucleotide</v>
      </c>
    </row>
    <row r="14869" spans="1:27" x14ac:dyDescent="0.35">
      <c r="A14869">
        <v>1003462</v>
      </c>
      <c r="B14869">
        <v>13414</v>
      </c>
      <c r="C14869">
        <v>1</v>
      </c>
      <c r="D14869" t="s">
        <v>17166</v>
      </c>
      <c r="F14869" t="s">
        <v>17246</v>
      </c>
      <c r="H14869" t="s">
        <v>28921</v>
      </c>
      <c r="J14869" t="s">
        <v>33313</v>
      </c>
      <c r="L14869" t="s">
        <v>34229</v>
      </c>
      <c r="N14869" t="s">
        <v>34230</v>
      </c>
      <c r="P14869" t="s">
        <v>34242</v>
      </c>
      <c r="R14869" s="26" t="str">
        <f>HYPERLINK("https://ictv.global/taxonomy/taxondetails?taxnode_id=202302636","Mamastrovirus californiani")</f>
        <v>Mamastrovirus californiani</v>
      </c>
      <c r="S14869" t="s">
        <v>30</v>
      </c>
      <c r="T14869" t="s">
        <v>34249</v>
      </c>
      <c r="U14869" t="s">
        <v>34250</v>
      </c>
      <c r="V14869" t="s">
        <v>34251</v>
      </c>
      <c r="W14869" t="s">
        <v>34252</v>
      </c>
      <c r="X14869" t="s">
        <v>154</v>
      </c>
      <c r="Y14869" t="s">
        <v>17171</v>
      </c>
      <c r="Z14869" t="s">
        <v>166</v>
      </c>
      <c r="AA14869" s="22" t="str">
        <f>HYPERLINK("https://www.ncbi.nlm.nih.gov/nuccore/FJ890351","NCBI Nucleotide")</f>
        <v>NCBI Nucleotide</v>
      </c>
    </row>
    <row r="14870" spans="1:27" x14ac:dyDescent="0.35">
      <c r="A14870">
        <v>1003474</v>
      </c>
      <c r="B14870">
        <v>13415</v>
      </c>
      <c r="C14870">
        <v>1</v>
      </c>
      <c r="D14870" t="s">
        <v>17166</v>
      </c>
      <c r="F14870" t="s">
        <v>17246</v>
      </c>
      <c r="H14870" t="s">
        <v>28921</v>
      </c>
      <c r="J14870" t="s">
        <v>33313</v>
      </c>
      <c r="L14870" t="s">
        <v>34229</v>
      </c>
      <c r="N14870" t="s">
        <v>34230</v>
      </c>
      <c r="P14870" t="s">
        <v>34242</v>
      </c>
      <c r="R14870" s="26" t="str">
        <f>HYPERLINK("https://ictv.global/taxonomy/taxondetails?taxnode_id=202302630","Mamastrovirus canis")</f>
        <v>Mamastrovirus canis</v>
      </c>
      <c r="S14870" t="s">
        <v>30</v>
      </c>
      <c r="T14870" t="s">
        <v>34296</v>
      </c>
      <c r="U14870" t="s">
        <v>34297</v>
      </c>
      <c r="V14870">
        <v>43588</v>
      </c>
      <c r="W14870" t="s">
        <v>34298</v>
      </c>
      <c r="X14870" t="s">
        <v>154</v>
      </c>
      <c r="Y14870" t="s">
        <v>17171</v>
      </c>
      <c r="Z14870" t="s">
        <v>166</v>
      </c>
      <c r="AA14870" s="22" t="str">
        <f>HYPERLINK("https://www.ncbi.nlm.nih.gov/nuccore/FM213330","NCBI Nucleotide")</f>
        <v>NCBI Nucleotide</v>
      </c>
    </row>
    <row r="14871" spans="1:27" x14ac:dyDescent="0.35">
      <c r="A14871">
        <v>1003471</v>
      </c>
      <c r="B14871">
        <v>13416</v>
      </c>
      <c r="C14871">
        <v>1</v>
      </c>
      <c r="D14871" t="s">
        <v>17166</v>
      </c>
      <c r="F14871" t="s">
        <v>17246</v>
      </c>
      <c r="H14871" t="s">
        <v>28921</v>
      </c>
      <c r="J14871" t="s">
        <v>33313</v>
      </c>
      <c r="L14871" t="s">
        <v>34229</v>
      </c>
      <c r="N14871" t="s">
        <v>34230</v>
      </c>
      <c r="P14871" t="s">
        <v>34242</v>
      </c>
      <c r="R14871" s="26" t="str">
        <f>HYPERLINK("https://ictv.global/taxonomy/taxondetails?taxnode_id=202302627","Mamastrovirus felis")</f>
        <v>Mamastrovirus felis</v>
      </c>
      <c r="S14871" t="s">
        <v>30</v>
      </c>
      <c r="T14871" t="s">
        <v>34284</v>
      </c>
      <c r="U14871" t="s">
        <v>34285</v>
      </c>
      <c r="V14871" t="s">
        <v>34286</v>
      </c>
      <c r="W14871" t="s">
        <v>34287</v>
      </c>
      <c r="X14871" t="s">
        <v>42</v>
      </c>
      <c r="Y14871" t="s">
        <v>17171</v>
      </c>
      <c r="Z14871" t="s">
        <v>166</v>
      </c>
      <c r="AA14871" s="22" t="str">
        <f>HYPERLINK("https://www.ncbi.nlm.nih.gov/nuccore/KM017741","NCBI Nucleotide")</f>
        <v>NCBI Nucleotide</v>
      </c>
    </row>
    <row r="14872" spans="1:27" x14ac:dyDescent="0.35">
      <c r="A14872">
        <v>1003470</v>
      </c>
      <c r="B14872">
        <v>13417</v>
      </c>
      <c r="C14872">
        <v>1</v>
      </c>
      <c r="D14872" t="s">
        <v>17166</v>
      </c>
      <c r="F14872" t="s">
        <v>17246</v>
      </c>
      <c r="H14872" t="s">
        <v>28921</v>
      </c>
      <c r="J14872" t="s">
        <v>33313</v>
      </c>
      <c r="L14872" t="s">
        <v>34229</v>
      </c>
      <c r="N14872" t="s">
        <v>34230</v>
      </c>
      <c r="P14872" t="s">
        <v>34242</v>
      </c>
      <c r="R14872" s="26" t="str">
        <f>HYPERLINK("https://ictv.global/taxonomy/taxondetails?taxnode_id=202302644","Mamastrovirus guangxiense")</f>
        <v>Mamastrovirus guangxiense</v>
      </c>
      <c r="S14872" t="s">
        <v>30</v>
      </c>
      <c r="T14872" t="s">
        <v>34280</v>
      </c>
      <c r="U14872" t="s">
        <v>34281</v>
      </c>
      <c r="V14872" t="s">
        <v>34282</v>
      </c>
      <c r="W14872" t="s">
        <v>34283</v>
      </c>
      <c r="X14872" t="s">
        <v>154</v>
      </c>
      <c r="Y14872" t="s">
        <v>17171</v>
      </c>
      <c r="Z14872" t="s">
        <v>166</v>
      </c>
      <c r="AA14872" s="22" t="str">
        <f>HYPERLINK("https://www.ncbi.nlm.nih.gov/nuccore/FJ571065","NCBI Nucleotide")</f>
        <v>NCBI Nucleotide</v>
      </c>
    </row>
    <row r="14873" spans="1:27" x14ac:dyDescent="0.35">
      <c r="A14873">
        <v>1003468</v>
      </c>
      <c r="B14873">
        <v>13418</v>
      </c>
      <c r="C14873">
        <v>1</v>
      </c>
      <c r="D14873" t="s">
        <v>17166</v>
      </c>
      <c r="F14873" t="s">
        <v>17246</v>
      </c>
      <c r="H14873" t="s">
        <v>28921</v>
      </c>
      <c r="J14873" t="s">
        <v>33313</v>
      </c>
      <c r="L14873" t="s">
        <v>34229</v>
      </c>
      <c r="N14873" t="s">
        <v>34230</v>
      </c>
      <c r="P14873" t="s">
        <v>34242</v>
      </c>
      <c r="R14873" s="26" t="str">
        <f>HYPERLINK("https://ictv.global/taxonomy/taxondetails?taxnode_id=202302642","Mamastrovirus hipposideri")</f>
        <v>Mamastrovirus hipposideri</v>
      </c>
      <c r="S14873" t="s">
        <v>30</v>
      </c>
      <c r="T14873" t="s">
        <v>34272</v>
      </c>
      <c r="U14873" t="s">
        <v>34273</v>
      </c>
      <c r="V14873" t="s">
        <v>34274</v>
      </c>
      <c r="W14873" t="s">
        <v>34275</v>
      </c>
      <c r="X14873" t="s">
        <v>154</v>
      </c>
      <c r="Y14873" t="s">
        <v>17171</v>
      </c>
      <c r="Z14873" t="s">
        <v>166</v>
      </c>
      <c r="AA14873" s="22" t="str">
        <f>HYPERLINK("https://www.ncbi.nlm.nih.gov/nuccore/FJ571074","NCBI Nucleotide")</f>
        <v>NCBI Nucleotide</v>
      </c>
    </row>
    <row r="14874" spans="1:27" x14ac:dyDescent="0.35">
      <c r="A14874">
        <v>1003460</v>
      </c>
      <c r="B14874">
        <v>13419</v>
      </c>
      <c r="C14874">
        <v>1</v>
      </c>
      <c r="D14874" t="s">
        <v>17166</v>
      </c>
      <c r="F14874" t="s">
        <v>17246</v>
      </c>
      <c r="H14874" t="s">
        <v>28921</v>
      </c>
      <c r="J14874" t="s">
        <v>33313</v>
      </c>
      <c r="L14874" t="s">
        <v>34229</v>
      </c>
      <c r="N14874" t="s">
        <v>34230</v>
      </c>
      <c r="P14874" t="s">
        <v>34242</v>
      </c>
      <c r="R14874" s="26" t="str">
        <f>HYPERLINK("https://ictv.global/taxonomy/taxondetails?taxnode_id=202302626","Mamastrovirus hominis")</f>
        <v>Mamastrovirus hominis</v>
      </c>
      <c r="S14874" t="s">
        <v>30</v>
      </c>
      <c r="T14874" t="s">
        <v>34243</v>
      </c>
      <c r="U14874" t="s">
        <v>34244</v>
      </c>
      <c r="W14874" t="s">
        <v>34245</v>
      </c>
      <c r="X14874" t="s">
        <v>42</v>
      </c>
      <c r="Y14874" t="s">
        <v>17171</v>
      </c>
      <c r="Z14874" t="s">
        <v>166</v>
      </c>
      <c r="AA14874" s="22" t="str">
        <f>HYPERLINK("https://www.ncbi.nlm.nih.gov/nuccore/Z25771","NCBI Nucleotide")</f>
        <v>NCBI Nucleotide</v>
      </c>
    </row>
    <row r="14875" spans="1:27" x14ac:dyDescent="0.35">
      <c r="A14875">
        <v>1003477</v>
      </c>
      <c r="B14875">
        <v>13420</v>
      </c>
      <c r="C14875">
        <v>1</v>
      </c>
      <c r="D14875" t="s">
        <v>17166</v>
      </c>
      <c r="F14875" t="s">
        <v>17246</v>
      </c>
      <c r="H14875" t="s">
        <v>28921</v>
      </c>
      <c r="J14875" t="s">
        <v>33313</v>
      </c>
      <c r="L14875" t="s">
        <v>34229</v>
      </c>
      <c r="N14875" t="s">
        <v>34230</v>
      </c>
      <c r="P14875" t="s">
        <v>34242</v>
      </c>
      <c r="R14875" s="26" t="str">
        <f>HYPERLINK("https://ictv.global/taxonomy/taxondetails?taxnode_id=202302633","Mamastrovirus homustovis")</f>
        <v>Mamastrovirus homustovis</v>
      </c>
      <c r="S14875" t="s">
        <v>30</v>
      </c>
      <c r="T14875" t="s">
        <v>34307</v>
      </c>
      <c r="U14875" t="s">
        <v>34308</v>
      </c>
      <c r="V14875" t="s">
        <v>34309</v>
      </c>
      <c r="W14875" t="s">
        <v>34310</v>
      </c>
      <c r="X14875" t="s">
        <v>42</v>
      </c>
      <c r="Y14875" t="s">
        <v>17171</v>
      </c>
      <c r="Z14875" t="s">
        <v>166</v>
      </c>
      <c r="AA14875" s="22" t="str">
        <f>HYPERLINK("https://www.ncbi.nlm.nih.gov/nuccore/GQ415660","NCBI Nucleotide")</f>
        <v>NCBI Nucleotide</v>
      </c>
    </row>
    <row r="14876" spans="1:27" x14ac:dyDescent="0.35">
      <c r="A14876">
        <v>1003475</v>
      </c>
      <c r="B14876">
        <v>13421</v>
      </c>
      <c r="C14876">
        <v>1</v>
      </c>
      <c r="D14876" t="s">
        <v>17166</v>
      </c>
      <c r="F14876" t="s">
        <v>17246</v>
      </c>
      <c r="H14876" t="s">
        <v>28921</v>
      </c>
      <c r="J14876" t="s">
        <v>33313</v>
      </c>
      <c r="L14876" t="s">
        <v>34229</v>
      </c>
      <c r="N14876" t="s">
        <v>34230</v>
      </c>
      <c r="P14876" t="s">
        <v>34242</v>
      </c>
      <c r="R14876" s="26" t="str">
        <f>HYPERLINK("https://ictv.global/taxonomy/taxondetails?taxnode_id=202302631","Mamastrovirus melbournense")</f>
        <v>Mamastrovirus melbournense</v>
      </c>
      <c r="S14876" t="s">
        <v>30</v>
      </c>
      <c r="T14876" t="s">
        <v>34299</v>
      </c>
      <c r="U14876" t="s">
        <v>34300</v>
      </c>
      <c r="V14876" t="s">
        <v>34301</v>
      </c>
      <c r="W14876" t="s">
        <v>34302</v>
      </c>
      <c r="X14876" t="s">
        <v>42</v>
      </c>
      <c r="Y14876" t="s">
        <v>17171</v>
      </c>
      <c r="Z14876" t="s">
        <v>166</v>
      </c>
      <c r="AA14876" s="22" t="str">
        <f>HYPERLINK("https://www.ncbi.nlm.nih.gov/nuccore/FJ222451","NCBI Nucleotide")</f>
        <v>NCBI Nucleotide</v>
      </c>
    </row>
    <row r="14877" spans="1:27" x14ac:dyDescent="0.35">
      <c r="A14877">
        <v>1003465</v>
      </c>
      <c r="B14877">
        <v>13422</v>
      </c>
      <c r="C14877">
        <v>1</v>
      </c>
      <c r="D14877" t="s">
        <v>17166</v>
      </c>
      <c r="F14877" t="s">
        <v>17246</v>
      </c>
      <c r="H14877" t="s">
        <v>28921</v>
      </c>
      <c r="J14877" t="s">
        <v>33313</v>
      </c>
      <c r="L14877" t="s">
        <v>34229</v>
      </c>
      <c r="N14877" t="s">
        <v>34230</v>
      </c>
      <c r="P14877" t="s">
        <v>34242</v>
      </c>
      <c r="R14877" s="26" t="str">
        <f>HYPERLINK("https://ictv.global/taxonomy/taxondetails?taxnode_id=202302639","Mamastrovirus miniopteri")</f>
        <v>Mamastrovirus miniopteri</v>
      </c>
      <c r="S14877" t="s">
        <v>30</v>
      </c>
      <c r="T14877" t="s">
        <v>34260</v>
      </c>
      <c r="U14877" t="s">
        <v>34261</v>
      </c>
      <c r="V14877" t="s">
        <v>34262</v>
      </c>
      <c r="W14877" t="s">
        <v>34263</v>
      </c>
      <c r="X14877" t="s">
        <v>154</v>
      </c>
      <c r="Y14877" t="s">
        <v>17171</v>
      </c>
      <c r="Z14877" t="s">
        <v>166</v>
      </c>
      <c r="AA14877" s="22" t="str">
        <f>HYPERLINK("https://www.ncbi.nlm.nih.gov/nuccore/EU847144","NCBI Nucleotide")</f>
        <v>NCBI Nucleotide</v>
      </c>
    </row>
    <row r="14878" spans="1:27" x14ac:dyDescent="0.35">
      <c r="A14878">
        <v>1003461</v>
      </c>
      <c r="B14878">
        <v>13423</v>
      </c>
      <c r="C14878">
        <v>1</v>
      </c>
      <c r="D14878" t="s">
        <v>17166</v>
      </c>
      <c r="F14878" t="s">
        <v>17246</v>
      </c>
      <c r="H14878" t="s">
        <v>28921</v>
      </c>
      <c r="J14878" t="s">
        <v>33313</v>
      </c>
      <c r="L14878" t="s">
        <v>34229</v>
      </c>
      <c r="N14878" t="s">
        <v>34230</v>
      </c>
      <c r="P14878" t="s">
        <v>34242</v>
      </c>
      <c r="R14878" s="26" t="str">
        <f>HYPERLINK("https://ictv.global/taxonomy/taxondetails?taxnode_id=202302635","Mamastrovirus mustelae")</f>
        <v>Mamastrovirus mustelae</v>
      </c>
      <c r="S14878" t="s">
        <v>30</v>
      </c>
      <c r="T14878" t="s">
        <v>34246</v>
      </c>
      <c r="U14878" t="s">
        <v>34247</v>
      </c>
      <c r="W14878" t="s">
        <v>34248</v>
      </c>
      <c r="X14878" t="s">
        <v>42</v>
      </c>
      <c r="Y14878" t="s">
        <v>17171</v>
      </c>
      <c r="Z14878" t="s">
        <v>166</v>
      </c>
      <c r="AA14878" s="22" t="str">
        <f>HYPERLINK("https://www.ncbi.nlm.nih.gov/nuccore/AY179509","NCBI Nucleotide")</f>
        <v>NCBI Nucleotide</v>
      </c>
    </row>
    <row r="14879" spans="1:27" x14ac:dyDescent="0.35">
      <c r="A14879">
        <v>1003464</v>
      </c>
      <c r="B14879">
        <v>13424</v>
      </c>
      <c r="C14879">
        <v>1</v>
      </c>
      <c r="D14879" t="s">
        <v>17166</v>
      </c>
      <c r="F14879" t="s">
        <v>17246</v>
      </c>
      <c r="H14879" t="s">
        <v>28921</v>
      </c>
      <c r="J14879" t="s">
        <v>33313</v>
      </c>
      <c r="L14879" t="s">
        <v>34229</v>
      </c>
      <c r="N14879" t="s">
        <v>34230</v>
      </c>
      <c r="P14879" t="s">
        <v>34242</v>
      </c>
      <c r="R14879" s="26" t="str">
        <f>HYPERLINK("https://ictv.global/taxonomy/taxondetails?taxnode_id=202302638","Mamastrovirus ovis")</f>
        <v>Mamastrovirus ovis</v>
      </c>
      <c r="S14879" t="s">
        <v>30</v>
      </c>
      <c r="T14879" t="s">
        <v>34257</v>
      </c>
      <c r="U14879" t="s">
        <v>34258</v>
      </c>
      <c r="W14879" t="s">
        <v>34259</v>
      </c>
      <c r="X14879" t="s">
        <v>42</v>
      </c>
      <c r="Y14879" t="s">
        <v>17171</v>
      </c>
      <c r="Z14879" t="s">
        <v>166</v>
      </c>
      <c r="AA14879" s="22" t="str">
        <f>HYPERLINK("https://www.ncbi.nlm.nih.gov/nuccore/Y15937","NCBI Nucleotide")</f>
        <v>NCBI Nucleotide</v>
      </c>
    </row>
    <row r="14880" spans="1:27" x14ac:dyDescent="0.35">
      <c r="A14880">
        <v>1003467</v>
      </c>
      <c r="B14880">
        <v>13425</v>
      </c>
      <c r="C14880">
        <v>1</v>
      </c>
      <c r="D14880" t="s">
        <v>17166</v>
      </c>
      <c r="F14880" t="s">
        <v>17246</v>
      </c>
      <c r="H14880" t="s">
        <v>28921</v>
      </c>
      <c r="J14880" t="s">
        <v>33313</v>
      </c>
      <c r="L14880" t="s">
        <v>34229</v>
      </c>
      <c r="N14880" t="s">
        <v>34230</v>
      </c>
      <c r="P14880" t="s">
        <v>34242</v>
      </c>
      <c r="R14880" s="26" t="str">
        <f>HYPERLINK("https://ictv.global/taxonomy/taxondetails?taxnode_id=202302641","Mamastrovirus pipistrelli")</f>
        <v>Mamastrovirus pipistrelli</v>
      </c>
      <c r="S14880" t="s">
        <v>30</v>
      </c>
      <c r="T14880" t="s">
        <v>34268</v>
      </c>
      <c r="U14880" t="s">
        <v>34269</v>
      </c>
      <c r="V14880" t="s">
        <v>34270</v>
      </c>
      <c r="W14880" t="s">
        <v>34271</v>
      </c>
      <c r="X14880" t="s">
        <v>154</v>
      </c>
      <c r="Y14880" t="s">
        <v>17171</v>
      </c>
      <c r="Z14880" t="s">
        <v>166</v>
      </c>
      <c r="AA14880" s="22" t="str">
        <f>HYPERLINK("https://www.ncbi.nlm.nih.gov/nuccore/EU847145","NCBI Nucleotide")</f>
        <v>NCBI Nucleotide</v>
      </c>
    </row>
    <row r="14881" spans="1:27" x14ac:dyDescent="0.35">
      <c r="A14881">
        <v>1003469</v>
      </c>
      <c r="B14881">
        <v>13426</v>
      </c>
      <c r="C14881">
        <v>1</v>
      </c>
      <c r="D14881" t="s">
        <v>17166</v>
      </c>
      <c r="F14881" t="s">
        <v>17246</v>
      </c>
      <c r="H14881" t="s">
        <v>28921</v>
      </c>
      <c r="J14881" t="s">
        <v>33313</v>
      </c>
      <c r="L14881" t="s">
        <v>34229</v>
      </c>
      <c r="N14881" t="s">
        <v>34230</v>
      </c>
      <c r="P14881" t="s">
        <v>34242</v>
      </c>
      <c r="R14881" s="26" t="str">
        <f>HYPERLINK("https://ictv.global/taxonomy/taxondetails?taxnode_id=202302643","Mamastrovirus pusilli")</f>
        <v>Mamastrovirus pusilli</v>
      </c>
      <c r="S14881" t="s">
        <v>30</v>
      </c>
      <c r="T14881" t="s">
        <v>34276</v>
      </c>
      <c r="U14881" t="s">
        <v>34277</v>
      </c>
      <c r="V14881" t="s">
        <v>34278</v>
      </c>
      <c r="W14881" t="s">
        <v>34279</v>
      </c>
      <c r="X14881" t="s">
        <v>154</v>
      </c>
      <c r="Y14881" t="s">
        <v>17171</v>
      </c>
      <c r="Z14881" t="s">
        <v>166</v>
      </c>
      <c r="AA14881" s="22" t="str">
        <f>HYPERLINK("https://www.ncbi.nlm.nih.gov/nuccore/EU847155","NCBI Nucleotide")</f>
        <v>NCBI Nucleotide</v>
      </c>
    </row>
    <row r="14882" spans="1:27" x14ac:dyDescent="0.35">
      <c r="A14882">
        <v>1003472</v>
      </c>
      <c r="B14882">
        <v>13427</v>
      </c>
      <c r="C14882">
        <v>1</v>
      </c>
      <c r="D14882" t="s">
        <v>17166</v>
      </c>
      <c r="F14882" t="s">
        <v>17246</v>
      </c>
      <c r="H14882" t="s">
        <v>28921</v>
      </c>
      <c r="J14882" t="s">
        <v>33313</v>
      </c>
      <c r="L14882" t="s">
        <v>34229</v>
      </c>
      <c r="N14882" t="s">
        <v>34230</v>
      </c>
      <c r="P14882" t="s">
        <v>34242</v>
      </c>
      <c r="R14882" s="26" t="str">
        <f>HYPERLINK("https://ictv.global/taxonomy/taxondetails?taxnode_id=202302628","Mamastrovirus suis")</f>
        <v>Mamastrovirus suis</v>
      </c>
      <c r="S14882" t="s">
        <v>30</v>
      </c>
      <c r="T14882" t="s">
        <v>34288</v>
      </c>
      <c r="U14882" t="s">
        <v>34289</v>
      </c>
      <c r="V14882" t="s">
        <v>34290</v>
      </c>
      <c r="W14882" t="s">
        <v>34291</v>
      </c>
      <c r="X14882" t="s">
        <v>42</v>
      </c>
      <c r="Y14882" t="s">
        <v>17171</v>
      </c>
      <c r="Z14882" t="s">
        <v>166</v>
      </c>
      <c r="AA14882" s="22" t="str">
        <f>HYPERLINK("https://www.ncbi.nlm.nih.gov/nuccore/KF787112","NCBI Nucleotide")</f>
        <v>NCBI Nucleotide</v>
      </c>
    </row>
    <row r="14883" spans="1:27" x14ac:dyDescent="0.35">
      <c r="A14883">
        <v>1003466</v>
      </c>
      <c r="B14883">
        <v>13428</v>
      </c>
      <c r="C14883">
        <v>1</v>
      </c>
      <c r="D14883" t="s">
        <v>17166</v>
      </c>
      <c r="F14883" t="s">
        <v>17246</v>
      </c>
      <c r="H14883" t="s">
        <v>28921</v>
      </c>
      <c r="J14883" t="s">
        <v>33313</v>
      </c>
      <c r="L14883" t="s">
        <v>34229</v>
      </c>
      <c r="N14883" t="s">
        <v>34230</v>
      </c>
      <c r="P14883" t="s">
        <v>34242</v>
      </c>
      <c r="R14883" s="26" t="str">
        <f>HYPERLINK("https://ictv.global/taxonomy/taxondetails?taxnode_id=202302640","Mamastrovirus taphozoi")</f>
        <v>Mamastrovirus taphozoi</v>
      </c>
      <c r="S14883" t="s">
        <v>30</v>
      </c>
      <c r="T14883" t="s">
        <v>34264</v>
      </c>
      <c r="U14883" t="s">
        <v>34265</v>
      </c>
      <c r="V14883" t="s">
        <v>34266</v>
      </c>
      <c r="W14883" t="s">
        <v>34267</v>
      </c>
      <c r="X14883" t="s">
        <v>154</v>
      </c>
      <c r="Y14883" t="s">
        <v>17171</v>
      </c>
      <c r="Z14883" t="s">
        <v>166</v>
      </c>
      <c r="AA14883" s="22" t="str">
        <f>HYPERLINK("https://www.ncbi.nlm.nih.gov/nuccore/FJ571066","NCBI Nucleotide")</f>
        <v>NCBI Nucleotide</v>
      </c>
    </row>
    <row r="14884" spans="1:27" x14ac:dyDescent="0.35">
      <c r="A14884">
        <v>1003476</v>
      </c>
      <c r="B14884">
        <v>13429</v>
      </c>
      <c r="C14884">
        <v>1</v>
      </c>
      <c r="D14884" t="s">
        <v>17166</v>
      </c>
      <c r="F14884" t="s">
        <v>17246</v>
      </c>
      <c r="H14884" t="s">
        <v>28921</v>
      </c>
      <c r="J14884" t="s">
        <v>33313</v>
      </c>
      <c r="L14884" t="s">
        <v>34229</v>
      </c>
      <c r="N14884" t="s">
        <v>34230</v>
      </c>
      <c r="P14884" t="s">
        <v>34242</v>
      </c>
      <c r="R14884" s="26" t="str">
        <f>HYPERLINK("https://ictv.global/taxonomy/taxondetails?taxnode_id=202302632","Mamastrovirus tursiopis")</f>
        <v>Mamastrovirus tursiopis</v>
      </c>
      <c r="S14884" t="s">
        <v>30</v>
      </c>
      <c r="T14884" t="s">
        <v>34303</v>
      </c>
      <c r="U14884" t="s">
        <v>34304</v>
      </c>
      <c r="V14884" t="s">
        <v>34305</v>
      </c>
      <c r="W14884" t="s">
        <v>34306</v>
      </c>
      <c r="X14884" t="s">
        <v>154</v>
      </c>
      <c r="Y14884" t="s">
        <v>17171</v>
      </c>
      <c r="Z14884" t="s">
        <v>166</v>
      </c>
      <c r="AA14884" s="22" t="str">
        <f>HYPERLINK("https://www.ncbi.nlm.nih.gov/nuccore/FJ890355","NCBI Nucleotide")</f>
        <v>NCBI Nucleotide</v>
      </c>
    </row>
    <row r="14885" spans="1:27" x14ac:dyDescent="0.35">
      <c r="A14885">
        <v>1003463</v>
      </c>
      <c r="B14885">
        <v>13430</v>
      </c>
      <c r="C14885">
        <v>1</v>
      </c>
      <c r="D14885" t="s">
        <v>17166</v>
      </c>
      <c r="F14885" t="s">
        <v>17246</v>
      </c>
      <c r="H14885" t="s">
        <v>28921</v>
      </c>
      <c r="J14885" t="s">
        <v>33313</v>
      </c>
      <c r="L14885" t="s">
        <v>34229</v>
      </c>
      <c r="N14885" t="s">
        <v>34230</v>
      </c>
      <c r="P14885" t="s">
        <v>34242</v>
      </c>
      <c r="R14885" s="26" t="str">
        <f>HYPERLINK("https://ictv.global/taxonomy/taxondetails?taxnode_id=202302637","Mamastrovirus vespertilionis")</f>
        <v>Mamastrovirus vespertilionis</v>
      </c>
      <c r="S14885" t="s">
        <v>30</v>
      </c>
      <c r="T14885" t="s">
        <v>34253</v>
      </c>
      <c r="U14885" t="s">
        <v>34254</v>
      </c>
      <c r="V14885" t="s">
        <v>34255</v>
      </c>
      <c r="W14885" t="s">
        <v>34256</v>
      </c>
      <c r="X14885" t="s">
        <v>154</v>
      </c>
      <c r="Y14885" t="s">
        <v>17171</v>
      </c>
      <c r="Z14885" t="s">
        <v>166</v>
      </c>
      <c r="AA14885" s="22" t="str">
        <f>HYPERLINK("https://www.ncbi.nlm.nih.gov/nuccore/FJ571067","NCBI Nucleotide")</f>
        <v>NCBI Nucleotide</v>
      </c>
    </row>
    <row r="14886" spans="1:27" x14ac:dyDescent="0.35">
      <c r="A14886">
        <v>1003478</v>
      </c>
      <c r="B14886">
        <v>13431</v>
      </c>
      <c r="C14886">
        <v>1</v>
      </c>
      <c r="D14886" t="s">
        <v>17166</v>
      </c>
      <c r="F14886" t="s">
        <v>17246</v>
      </c>
      <c r="H14886" t="s">
        <v>28921</v>
      </c>
      <c r="J14886" t="s">
        <v>33313</v>
      </c>
      <c r="L14886" t="s">
        <v>34229</v>
      </c>
      <c r="N14886" t="s">
        <v>34230</v>
      </c>
      <c r="P14886" t="s">
        <v>34242</v>
      </c>
      <c r="R14886" s="26" t="str">
        <f>HYPERLINK("https://ictv.global/taxonomy/taxondetails?taxnode_id=202302634","Mamastrovirus virginiaense")</f>
        <v>Mamastrovirus virginiaense</v>
      </c>
      <c r="S14886" t="s">
        <v>30</v>
      </c>
      <c r="T14886" t="s">
        <v>34311</v>
      </c>
      <c r="U14886" t="s">
        <v>34312</v>
      </c>
      <c r="V14886" t="s">
        <v>34313</v>
      </c>
      <c r="W14886" t="s">
        <v>34314</v>
      </c>
      <c r="X14886" t="s">
        <v>42</v>
      </c>
      <c r="Y14886" t="s">
        <v>17171</v>
      </c>
      <c r="Z14886" t="s">
        <v>166</v>
      </c>
      <c r="AA14886" s="22" t="str">
        <f>HYPERLINK("https://www.ncbi.nlm.nih.gov/nuccore/FJ973620","NCBI Nucleotide")</f>
        <v>NCBI Nucleotide</v>
      </c>
    </row>
    <row r="14887" spans="1:27" x14ac:dyDescent="0.35">
      <c r="A14887">
        <v>1003473</v>
      </c>
      <c r="B14887">
        <v>13432</v>
      </c>
      <c r="C14887">
        <v>1</v>
      </c>
      <c r="D14887" t="s">
        <v>17166</v>
      </c>
      <c r="F14887" t="s">
        <v>17246</v>
      </c>
      <c r="H14887" t="s">
        <v>28921</v>
      </c>
      <c r="J14887" t="s">
        <v>33313</v>
      </c>
      <c r="L14887" t="s">
        <v>34229</v>
      </c>
      <c r="N14887" t="s">
        <v>34230</v>
      </c>
      <c r="P14887" t="s">
        <v>34242</v>
      </c>
      <c r="R14887" s="26" t="str">
        <f>HYPERLINK("https://ictv.global/taxonomy/taxondetails?taxnode_id=202302629","Mamastrovirus zalophi")</f>
        <v>Mamastrovirus zalophi</v>
      </c>
      <c r="S14887" t="s">
        <v>30</v>
      </c>
      <c r="T14887" t="s">
        <v>34292</v>
      </c>
      <c r="U14887" t="s">
        <v>34293</v>
      </c>
      <c r="V14887" t="s">
        <v>34294</v>
      </c>
      <c r="W14887" t="s">
        <v>34295</v>
      </c>
      <c r="X14887" t="s">
        <v>154</v>
      </c>
      <c r="Y14887" t="s">
        <v>17171</v>
      </c>
      <c r="Z14887" t="s">
        <v>166</v>
      </c>
      <c r="AA14887" s="22" t="str">
        <f>HYPERLINK("https://www.ncbi.nlm.nih.gov/nuccore/FJ890352","NCBI Nucleotide")</f>
        <v>NCBI Nucleotide</v>
      </c>
    </row>
    <row r="14888" spans="1:27" x14ac:dyDescent="0.35">
      <c r="A14888">
        <v>1003479</v>
      </c>
      <c r="B14888">
        <v>13433</v>
      </c>
      <c r="C14888">
        <v>1</v>
      </c>
      <c r="D14888" t="s">
        <v>17166</v>
      </c>
      <c r="F14888" t="s">
        <v>17246</v>
      </c>
      <c r="H14888" t="s">
        <v>28921</v>
      </c>
      <c r="L14888" t="s">
        <v>28929</v>
      </c>
      <c r="N14888" t="s">
        <v>28930</v>
      </c>
      <c r="P14888" t="s">
        <v>28931</v>
      </c>
      <c r="R14888" s="26" t="str">
        <f>HYPERLINK("https://ictv.global/taxonomy/taxondetails?taxnode_id=202312473","Alphayadokarivirus gobani")</f>
        <v>Alphayadokarivirus gobani</v>
      </c>
      <c r="S14888" t="s">
        <v>30</v>
      </c>
      <c r="T14888" t="s">
        <v>28932</v>
      </c>
      <c r="U14888" t="s">
        <v>28933</v>
      </c>
      <c r="V14888" t="s">
        <v>28934</v>
      </c>
      <c r="W14888" t="s">
        <v>28935</v>
      </c>
      <c r="X14888" t="s">
        <v>35</v>
      </c>
      <c r="Y14888" t="s">
        <v>17171</v>
      </c>
      <c r="Z14888" t="s">
        <v>17496</v>
      </c>
      <c r="AA14888" s="22" t="str">
        <f>HYPERLINK("https://www.ncbi.nlm.nih.gov/nuccore/MN551121","NCBI Nucleotide")</f>
        <v>NCBI Nucleotide</v>
      </c>
    </row>
    <row r="14889" spans="1:27" x14ac:dyDescent="0.35">
      <c r="A14889">
        <v>1003480</v>
      </c>
      <c r="B14889">
        <v>13434</v>
      </c>
      <c r="C14889">
        <v>1</v>
      </c>
      <c r="D14889" t="s">
        <v>17166</v>
      </c>
      <c r="F14889" t="s">
        <v>17246</v>
      </c>
      <c r="H14889" t="s">
        <v>28921</v>
      </c>
      <c r="L14889" t="s">
        <v>28929</v>
      </c>
      <c r="N14889" t="s">
        <v>28930</v>
      </c>
      <c r="P14889" t="s">
        <v>28931</v>
      </c>
      <c r="R14889" s="26" t="str">
        <f>HYPERLINK("https://ictv.global/taxonomy/taxondetails?taxnode_id=202312469","Alphayadokarivirus ichibani")</f>
        <v>Alphayadokarivirus ichibani</v>
      </c>
      <c r="S14889" t="s">
        <v>30</v>
      </c>
      <c r="T14889" t="s">
        <v>28936</v>
      </c>
      <c r="U14889" t="s">
        <v>28937</v>
      </c>
      <c r="V14889" t="s">
        <v>28938</v>
      </c>
      <c r="W14889" t="s">
        <v>28939</v>
      </c>
      <c r="X14889" t="s">
        <v>42</v>
      </c>
      <c r="Y14889" t="s">
        <v>17171</v>
      </c>
      <c r="Z14889" t="s">
        <v>16721</v>
      </c>
      <c r="AA14889" s="22" t="str">
        <f>HYPERLINK("https://www.ncbi.nlm.nih.gov/nuccore/LC006253","NCBI Nucleotide")</f>
        <v>NCBI Nucleotide</v>
      </c>
    </row>
    <row r="14890" spans="1:27" x14ac:dyDescent="0.35">
      <c r="A14890">
        <v>1003481</v>
      </c>
      <c r="B14890">
        <v>13435</v>
      </c>
      <c r="C14890">
        <v>1</v>
      </c>
      <c r="D14890" t="s">
        <v>17166</v>
      </c>
      <c r="F14890" t="s">
        <v>17246</v>
      </c>
      <c r="H14890" t="s">
        <v>28921</v>
      </c>
      <c r="L14890" t="s">
        <v>28929</v>
      </c>
      <c r="N14890" t="s">
        <v>28930</v>
      </c>
      <c r="P14890" t="s">
        <v>28931</v>
      </c>
      <c r="R14890" s="26" t="str">
        <f>HYPERLINK("https://ictv.global/taxonomy/taxondetails?taxnode_id=202312470","Alphayadokarivirus nibani")</f>
        <v>Alphayadokarivirus nibani</v>
      </c>
      <c r="S14890" t="s">
        <v>30</v>
      </c>
      <c r="T14890" t="s">
        <v>28940</v>
      </c>
      <c r="U14890" t="s">
        <v>28941</v>
      </c>
      <c r="V14890" t="s">
        <v>17320</v>
      </c>
      <c r="W14890" t="s">
        <v>28942</v>
      </c>
      <c r="X14890" t="s">
        <v>42</v>
      </c>
      <c r="Y14890" t="s">
        <v>17171</v>
      </c>
      <c r="Z14890" t="s">
        <v>16721</v>
      </c>
      <c r="AA14890" s="22" t="str">
        <f>HYPERLINK("https://www.ncbi.nlm.nih.gov/nuccore/HE588148","NCBI Nucleotide")</f>
        <v>NCBI Nucleotide</v>
      </c>
    </row>
    <row r="14891" spans="1:27" x14ac:dyDescent="0.35">
      <c r="A14891">
        <v>1011948</v>
      </c>
      <c r="B14891">
        <v>13435</v>
      </c>
      <c r="C14891">
        <v>2</v>
      </c>
      <c r="D14891" t="s">
        <v>17166</v>
      </c>
      <c r="F14891" t="s">
        <v>17246</v>
      </c>
      <c r="H14891" t="s">
        <v>28921</v>
      </c>
      <c r="L14891" t="s">
        <v>28929</v>
      </c>
      <c r="N14891" t="s">
        <v>28930</v>
      </c>
      <c r="P14891" t="s">
        <v>28931</v>
      </c>
      <c r="R14891" s="26" t="str">
        <f>HYPERLINK("https://ictv.global/taxonomy/taxondetails?taxnode_id=202312470","Alphayadokarivirus nibani")</f>
        <v>Alphayadokarivirus nibani</v>
      </c>
      <c r="S14891" t="s">
        <v>8141</v>
      </c>
      <c r="T14891" t="s">
        <v>28943</v>
      </c>
      <c r="U14891" t="s">
        <v>28944</v>
      </c>
      <c r="V14891" t="s">
        <v>28945</v>
      </c>
      <c r="W14891" t="s">
        <v>50144</v>
      </c>
      <c r="X14891" t="s">
        <v>35</v>
      </c>
      <c r="Y14891" t="s">
        <v>17171</v>
      </c>
      <c r="Z14891" t="s">
        <v>16721</v>
      </c>
      <c r="AA14891" s="22" t="str">
        <f>HYPERLINK("https://www.ncbi.nlm.nih.gov/nuccore/MK279487","NCBI Nucleotide")</f>
        <v>NCBI Nucleotide</v>
      </c>
    </row>
    <row r="14892" spans="1:27" x14ac:dyDescent="0.35">
      <c r="A14892">
        <v>1003482</v>
      </c>
      <c r="B14892">
        <v>13436</v>
      </c>
      <c r="C14892">
        <v>1</v>
      </c>
      <c r="D14892" t="s">
        <v>17166</v>
      </c>
      <c r="F14892" t="s">
        <v>17246</v>
      </c>
      <c r="H14892" t="s">
        <v>28921</v>
      </c>
      <c r="L14892" t="s">
        <v>28929</v>
      </c>
      <c r="N14892" t="s">
        <v>28930</v>
      </c>
      <c r="P14892" t="s">
        <v>28931</v>
      </c>
      <c r="R14892" s="26" t="str">
        <f>HYPERLINK("https://ictv.global/taxonomy/taxondetails?taxnode_id=202312474","Alphayadokarivirus rokubani")</f>
        <v>Alphayadokarivirus rokubani</v>
      </c>
      <c r="S14892" t="s">
        <v>30</v>
      </c>
      <c r="T14892" t="s">
        <v>28946</v>
      </c>
      <c r="U14892" t="s">
        <v>28947</v>
      </c>
      <c r="V14892" t="s">
        <v>28945</v>
      </c>
      <c r="W14892" t="s">
        <v>28948</v>
      </c>
      <c r="X14892" t="s">
        <v>35</v>
      </c>
      <c r="Y14892" t="s">
        <v>17171</v>
      </c>
      <c r="Z14892" t="s">
        <v>16721</v>
      </c>
      <c r="AA14892" s="22" t="str">
        <f>HYPERLINK("https://www.ncbi.nlm.nih.gov/nuccore/MT876192","NCBI Nucleotide")</f>
        <v>NCBI Nucleotide</v>
      </c>
    </row>
    <row r="14893" spans="1:27" x14ac:dyDescent="0.35">
      <c r="A14893">
        <v>1003483</v>
      </c>
      <c r="B14893">
        <v>13437</v>
      </c>
      <c r="C14893">
        <v>1</v>
      </c>
      <c r="D14893" t="s">
        <v>17166</v>
      </c>
      <c r="F14893" t="s">
        <v>17246</v>
      </c>
      <c r="H14893" t="s">
        <v>28921</v>
      </c>
      <c r="L14893" t="s">
        <v>28929</v>
      </c>
      <c r="N14893" t="s">
        <v>28930</v>
      </c>
      <c r="P14893" t="s">
        <v>28931</v>
      </c>
      <c r="R14893" s="26" t="str">
        <f>HYPERLINK("https://ictv.global/taxonomy/taxondetails?taxnode_id=202312471","Alphayadokarivirus sanbani")</f>
        <v>Alphayadokarivirus sanbani</v>
      </c>
      <c r="S14893" t="s">
        <v>30</v>
      </c>
      <c r="T14893" t="s">
        <v>28949</v>
      </c>
      <c r="U14893" t="s">
        <v>28950</v>
      </c>
      <c r="V14893" t="s">
        <v>28951</v>
      </c>
      <c r="W14893" t="s">
        <v>28952</v>
      </c>
      <c r="X14893" t="s">
        <v>42</v>
      </c>
      <c r="Y14893" t="s">
        <v>17171</v>
      </c>
      <c r="Z14893" t="s">
        <v>16721</v>
      </c>
      <c r="AA14893" s="22" t="str">
        <f>HYPERLINK("https://www.ncbi.nlm.nih.gov/nuccore/KT601100","NCBI Nucleotide")</f>
        <v>NCBI Nucleotide</v>
      </c>
    </row>
    <row r="14894" spans="1:27" x14ac:dyDescent="0.35">
      <c r="A14894">
        <v>1003484</v>
      </c>
      <c r="B14894">
        <v>13438</v>
      </c>
      <c r="C14894">
        <v>1</v>
      </c>
      <c r="D14894" t="s">
        <v>17166</v>
      </c>
      <c r="F14894" t="s">
        <v>17246</v>
      </c>
      <c r="H14894" t="s">
        <v>28921</v>
      </c>
      <c r="L14894" t="s">
        <v>28929</v>
      </c>
      <c r="N14894" t="s">
        <v>28930</v>
      </c>
      <c r="P14894" t="s">
        <v>28931</v>
      </c>
      <c r="R14894" s="26" t="str">
        <f>HYPERLINK("https://ictv.global/taxonomy/taxondetails?taxnode_id=202312472","Alphayadokarivirus yonbani")</f>
        <v>Alphayadokarivirus yonbani</v>
      </c>
      <c r="S14894" t="s">
        <v>30</v>
      </c>
      <c r="T14894" t="s">
        <v>28953</v>
      </c>
      <c r="U14894" t="s">
        <v>28954</v>
      </c>
      <c r="V14894" t="s">
        <v>28955</v>
      </c>
      <c r="W14894" t="s">
        <v>28956</v>
      </c>
      <c r="X14894" t="s">
        <v>35</v>
      </c>
      <c r="Y14894" t="s">
        <v>17171</v>
      </c>
      <c r="Z14894" t="s">
        <v>16721</v>
      </c>
      <c r="AA14894" s="22" t="str">
        <f>HYPERLINK("https://www.ncbi.nlm.nih.gov/nuccore/MK279488","NCBI Nucleotide")</f>
        <v>NCBI Nucleotide</v>
      </c>
    </row>
    <row r="14895" spans="1:27" x14ac:dyDescent="0.35">
      <c r="A14895">
        <v>1003485</v>
      </c>
      <c r="B14895">
        <v>13439</v>
      </c>
      <c r="C14895">
        <v>1</v>
      </c>
      <c r="D14895" t="s">
        <v>17166</v>
      </c>
      <c r="F14895" t="s">
        <v>17246</v>
      </c>
      <c r="H14895" t="s">
        <v>28921</v>
      </c>
      <c r="L14895" t="s">
        <v>28929</v>
      </c>
      <c r="N14895" t="s">
        <v>28930</v>
      </c>
      <c r="P14895" t="s">
        <v>28957</v>
      </c>
      <c r="R14895" s="26" t="str">
        <f>HYPERLINK("https://ictv.global/taxonomy/taxondetails?taxnode_id=202312476","Betayadokarivirus ichibani")</f>
        <v>Betayadokarivirus ichibani</v>
      </c>
      <c r="S14895" t="s">
        <v>30</v>
      </c>
      <c r="T14895" t="s">
        <v>28958</v>
      </c>
      <c r="U14895" t="s">
        <v>28959</v>
      </c>
      <c r="V14895" t="s">
        <v>20997</v>
      </c>
      <c r="W14895" t="s">
        <v>28960</v>
      </c>
      <c r="X14895" t="s">
        <v>35</v>
      </c>
      <c r="Y14895" t="s">
        <v>17171</v>
      </c>
      <c r="Z14895" t="s">
        <v>16721</v>
      </c>
      <c r="AA14895" s="22" t="str">
        <f>HYPERLINK("https://www.ncbi.nlm.nih.gov/nuccore/LC150617","NCBI Nucleotide")</f>
        <v>NCBI Nucleotide</v>
      </c>
    </row>
    <row r="14896" spans="1:27" x14ac:dyDescent="0.35">
      <c r="A14896">
        <v>1003486</v>
      </c>
      <c r="B14896">
        <v>13440</v>
      </c>
      <c r="C14896">
        <v>1</v>
      </c>
      <c r="D14896" t="s">
        <v>17166</v>
      </c>
      <c r="F14896" t="s">
        <v>17246</v>
      </c>
      <c r="H14896" t="s">
        <v>28921</v>
      </c>
      <c r="L14896" t="s">
        <v>28929</v>
      </c>
      <c r="N14896" t="s">
        <v>28930</v>
      </c>
      <c r="P14896" t="s">
        <v>28957</v>
      </c>
      <c r="R14896" s="26" t="str">
        <f>HYPERLINK("https://ictv.global/taxonomy/taxondetails?taxnode_id=202312477","Betayadokarivirus nibani")</f>
        <v>Betayadokarivirus nibani</v>
      </c>
      <c r="S14896" t="s">
        <v>30</v>
      </c>
      <c r="T14896" t="s">
        <v>28961</v>
      </c>
      <c r="U14896" t="s">
        <v>28962</v>
      </c>
      <c r="V14896" t="s">
        <v>28963</v>
      </c>
      <c r="W14896" t="s">
        <v>28964</v>
      </c>
      <c r="X14896" t="s">
        <v>42</v>
      </c>
      <c r="Y14896" t="s">
        <v>17171</v>
      </c>
      <c r="Z14896" t="s">
        <v>16721</v>
      </c>
      <c r="AA14896" s="22" t="str">
        <f>HYPERLINK("https://www.ncbi.nlm.nih.gov/nuccore/LC333755","NCBI Nucleotide")</f>
        <v>NCBI Nucleotide</v>
      </c>
    </row>
    <row r="14897" spans="1:27" x14ac:dyDescent="0.35">
      <c r="A14897">
        <v>1011949</v>
      </c>
      <c r="B14897">
        <v>13440</v>
      </c>
      <c r="C14897">
        <v>2</v>
      </c>
      <c r="D14897" t="s">
        <v>17166</v>
      </c>
      <c r="F14897" t="s">
        <v>17246</v>
      </c>
      <c r="H14897" t="s">
        <v>28921</v>
      </c>
      <c r="L14897" t="s">
        <v>28929</v>
      </c>
      <c r="N14897" t="s">
        <v>28930</v>
      </c>
      <c r="P14897" t="s">
        <v>28957</v>
      </c>
      <c r="R14897" s="26" t="str">
        <f>HYPERLINK("https://ictv.global/taxonomy/taxondetails?taxnode_id=202312477","Betayadokarivirus nibani")</f>
        <v>Betayadokarivirus nibani</v>
      </c>
      <c r="S14897" t="s">
        <v>8141</v>
      </c>
      <c r="T14897" t="s">
        <v>28961</v>
      </c>
      <c r="U14897" t="s">
        <v>28962</v>
      </c>
      <c r="V14897" t="s">
        <v>19818</v>
      </c>
      <c r="W14897" t="s">
        <v>50145</v>
      </c>
      <c r="X14897" t="s">
        <v>42</v>
      </c>
      <c r="Y14897" t="s">
        <v>17171</v>
      </c>
      <c r="Z14897" t="s">
        <v>16721</v>
      </c>
      <c r="AA14897" s="22" t="str">
        <f>HYPERLINK("https://www.ncbi.nlm.nih.gov/nuccore/MF375888","NCBI Nucleotide")</f>
        <v>NCBI Nucleotide</v>
      </c>
    </row>
    <row r="14898" spans="1:27" x14ac:dyDescent="0.35">
      <c r="A14898">
        <v>1003487</v>
      </c>
      <c r="B14898">
        <v>13441</v>
      </c>
      <c r="C14898">
        <v>1</v>
      </c>
      <c r="D14898" t="s">
        <v>17166</v>
      </c>
      <c r="F14898" t="s">
        <v>17246</v>
      </c>
      <c r="H14898" t="s">
        <v>28921</v>
      </c>
      <c r="L14898" t="s">
        <v>28929</v>
      </c>
      <c r="N14898" t="s">
        <v>28930</v>
      </c>
      <c r="P14898" t="s">
        <v>28957</v>
      </c>
      <c r="R14898" s="26" t="str">
        <f>HYPERLINK("https://ictv.global/taxonomy/taxondetails?taxnode_id=202312478","Betayadokarivirus sanbani")</f>
        <v>Betayadokarivirus sanbani</v>
      </c>
      <c r="S14898" t="s">
        <v>30</v>
      </c>
      <c r="T14898" t="s">
        <v>28965</v>
      </c>
      <c r="U14898" t="s">
        <v>28966</v>
      </c>
      <c r="V14898" t="s">
        <v>28963</v>
      </c>
      <c r="W14898" t="s">
        <v>28967</v>
      </c>
      <c r="X14898" t="s">
        <v>42</v>
      </c>
      <c r="Y14898" t="s">
        <v>17171</v>
      </c>
      <c r="Z14898" t="s">
        <v>16721</v>
      </c>
      <c r="AA14898" s="22" t="str">
        <f>HYPERLINK("https://www.ncbi.nlm.nih.gov/nuccore/LC333757","NCBI Nucleotide")</f>
        <v>NCBI Nucleotide</v>
      </c>
    </row>
    <row r="14899" spans="1:27" x14ac:dyDescent="0.35">
      <c r="A14899">
        <v>1003488</v>
      </c>
      <c r="B14899">
        <v>13442</v>
      </c>
      <c r="C14899">
        <v>1</v>
      </c>
      <c r="D14899" t="s">
        <v>17166</v>
      </c>
      <c r="F14899" t="s">
        <v>17246</v>
      </c>
      <c r="H14899" t="s">
        <v>28921</v>
      </c>
      <c r="L14899" t="s">
        <v>28929</v>
      </c>
      <c r="N14899" t="s">
        <v>28930</v>
      </c>
      <c r="P14899" t="s">
        <v>28957</v>
      </c>
      <c r="R14899" s="26" t="str">
        <f>HYPERLINK("https://ictv.global/taxonomy/taxondetails?taxnode_id=202312479","Betayadokarivirus yonbani")</f>
        <v>Betayadokarivirus yonbani</v>
      </c>
      <c r="S14899" t="s">
        <v>30</v>
      </c>
      <c r="T14899" t="s">
        <v>28968</v>
      </c>
      <c r="U14899" t="s">
        <v>28969</v>
      </c>
      <c r="V14899" t="s">
        <v>28963</v>
      </c>
      <c r="W14899" t="s">
        <v>28970</v>
      </c>
      <c r="X14899" t="s">
        <v>42</v>
      </c>
      <c r="Y14899" t="s">
        <v>17171</v>
      </c>
      <c r="Z14899" t="s">
        <v>16721</v>
      </c>
      <c r="AA14899" s="22" t="str">
        <f>HYPERLINK("https://www.ncbi.nlm.nih.gov/nuccore/LC333754","NCBI Nucleotide")</f>
        <v>NCBI Nucleotide</v>
      </c>
    </row>
    <row r="14900" spans="1:27" x14ac:dyDescent="0.35">
      <c r="A14900">
        <v>1011950</v>
      </c>
      <c r="B14900">
        <v>13442</v>
      </c>
      <c r="C14900">
        <v>2</v>
      </c>
      <c r="D14900" t="s">
        <v>17166</v>
      </c>
      <c r="F14900" t="s">
        <v>17246</v>
      </c>
      <c r="H14900" t="s">
        <v>28921</v>
      </c>
      <c r="L14900" t="s">
        <v>28929</v>
      </c>
      <c r="N14900" t="s">
        <v>28930</v>
      </c>
      <c r="P14900" t="s">
        <v>28957</v>
      </c>
      <c r="R14900" s="26" t="str">
        <f>HYPERLINK("https://ictv.global/taxonomy/taxondetails?taxnode_id=202312479","Betayadokarivirus yonbani")</f>
        <v>Betayadokarivirus yonbani</v>
      </c>
      <c r="S14900" t="s">
        <v>8141</v>
      </c>
      <c r="T14900" t="s">
        <v>28971</v>
      </c>
      <c r="U14900" t="s">
        <v>28972</v>
      </c>
      <c r="V14900" t="s">
        <v>28973</v>
      </c>
      <c r="W14900" t="s">
        <v>50146</v>
      </c>
      <c r="X14900" t="s">
        <v>42</v>
      </c>
      <c r="Y14900" t="s">
        <v>17171</v>
      </c>
      <c r="Z14900" t="s">
        <v>16721</v>
      </c>
      <c r="AA14900" s="22" t="str">
        <f>HYPERLINK("https://www.ncbi.nlm.nih.gov/nuccore/LC333741","NCBI Nucleotide")</f>
        <v>NCBI Nucleotide</v>
      </c>
    </row>
    <row r="14901" spans="1:27" x14ac:dyDescent="0.35">
      <c r="A14901">
        <v>1003489</v>
      </c>
      <c r="B14901">
        <v>13443</v>
      </c>
      <c r="C14901">
        <v>1</v>
      </c>
      <c r="D14901" t="s">
        <v>17166</v>
      </c>
      <c r="F14901" t="s">
        <v>17246</v>
      </c>
      <c r="H14901" t="s">
        <v>28921</v>
      </c>
      <c r="N14901" t="s">
        <v>28922</v>
      </c>
      <c r="P14901" t="s">
        <v>28923</v>
      </c>
      <c r="R14901" s="26" t="str">
        <f>HYPERLINK("https://ictv.global/taxonomy/taxondetails?taxnode_id=202312465","Hadakavirus nanga")</f>
        <v>Hadakavirus nanga</v>
      </c>
      <c r="S14901" t="s">
        <v>30</v>
      </c>
      <c r="T14901" t="s">
        <v>28924</v>
      </c>
      <c r="U14901" t="s">
        <v>28925</v>
      </c>
      <c r="V14901" t="s">
        <v>28926</v>
      </c>
      <c r="W14901" t="s">
        <v>28927</v>
      </c>
      <c r="X14901" t="s">
        <v>42</v>
      </c>
      <c r="Y14901" t="s">
        <v>17171</v>
      </c>
      <c r="Z14901" t="s">
        <v>16721</v>
      </c>
      <c r="AA14901" s="22" t="str">
        <f>HYPERLINK("https://www.ncbi.nlm.nih.gov/nuccore/LC519840,LC519841,LC519842,LC519843,LC519844,LC519845,LC519846,LC519847,LC519848,LC519849,LC519850","NCBI Nucleotide")</f>
        <v>NCBI Nucleotide</v>
      </c>
    </row>
    <row r="14902" spans="1:27" x14ac:dyDescent="0.35">
      <c r="A14902">
        <v>1011951</v>
      </c>
      <c r="B14902">
        <v>13443</v>
      </c>
      <c r="C14902">
        <v>2</v>
      </c>
      <c r="D14902" t="s">
        <v>17166</v>
      </c>
      <c r="F14902" t="s">
        <v>17246</v>
      </c>
      <c r="H14902" t="s">
        <v>28921</v>
      </c>
      <c r="N14902" t="s">
        <v>28922</v>
      </c>
      <c r="P14902" t="s">
        <v>28923</v>
      </c>
      <c r="R14902" s="26" t="str">
        <f>HYPERLINK("https://ictv.global/taxonomy/taxondetails?taxnode_id=202312465","Hadakavirus nanga")</f>
        <v>Hadakavirus nanga</v>
      </c>
      <c r="S14902" t="s">
        <v>8141</v>
      </c>
      <c r="T14902" t="s">
        <v>28924</v>
      </c>
      <c r="U14902" t="s">
        <v>28925</v>
      </c>
      <c r="V14902" t="s">
        <v>28928</v>
      </c>
      <c r="W14902" t="s">
        <v>50147</v>
      </c>
      <c r="X14902" t="s">
        <v>42</v>
      </c>
      <c r="Y14902" t="s">
        <v>17171</v>
      </c>
      <c r="Z14902" t="s">
        <v>16721</v>
      </c>
      <c r="AA14902" s="22" t="str">
        <f>HYPERLINK("https://www.ncbi.nlm.nih.gov/nuccore/LC592214,LC592215,LC592216,LC592217,LC592218,LC592219,LC592220,LC592221,LC592222,LC592223","NCBI Nucleotide")</f>
        <v>NCBI Nucleotide</v>
      </c>
    </row>
    <row r="14903" spans="1:27" x14ac:dyDescent="0.35">
      <c r="A14903">
        <v>1003490</v>
      </c>
      <c r="B14903">
        <v>13444</v>
      </c>
      <c r="C14903">
        <v>1</v>
      </c>
      <c r="D14903" t="s">
        <v>17166</v>
      </c>
      <c r="F14903" t="s">
        <v>17246</v>
      </c>
      <c r="N14903" t="s">
        <v>17252</v>
      </c>
      <c r="P14903" t="s">
        <v>17253</v>
      </c>
      <c r="R14903" s="26" t="str">
        <f>HYPERLINK("https://ictv.global/taxonomy/taxondetails?taxnode_id=202302750","Aquabirnavirus ascitae")</f>
        <v>Aquabirnavirus ascitae</v>
      </c>
      <c r="S14903" t="s">
        <v>30</v>
      </c>
      <c r="T14903" t="s">
        <v>17254</v>
      </c>
      <c r="U14903" t="s">
        <v>17255</v>
      </c>
      <c r="V14903" t="s">
        <v>17256</v>
      </c>
      <c r="W14903" t="s">
        <v>17257</v>
      </c>
      <c r="X14903" t="s">
        <v>42</v>
      </c>
      <c r="Y14903" t="s">
        <v>17196</v>
      </c>
      <c r="Z14903" t="s">
        <v>166</v>
      </c>
      <c r="AA14903" s="22" t="str">
        <f>HYPERLINK("https://www.ncbi.nlm.nih.gov/nuccore/AB006783,AY129662","NCBI Nucleotide")</f>
        <v>NCBI Nucleotide</v>
      </c>
    </row>
    <row r="14904" spans="1:27" x14ac:dyDescent="0.35">
      <c r="A14904">
        <v>1003491</v>
      </c>
      <c r="B14904">
        <v>13445</v>
      </c>
      <c r="C14904">
        <v>1</v>
      </c>
      <c r="D14904" t="s">
        <v>17166</v>
      </c>
      <c r="F14904" t="s">
        <v>17246</v>
      </c>
      <c r="N14904" t="s">
        <v>17252</v>
      </c>
      <c r="P14904" t="s">
        <v>17253</v>
      </c>
      <c r="R14904" s="26" t="str">
        <f t="shared" ref="R14904:R14909" si="69">HYPERLINK("https://ictv.global/taxonomy/taxondetails?taxnode_id=202302748","Aquabirnavirus salmonidae")</f>
        <v>Aquabirnavirus salmonidae</v>
      </c>
      <c r="S14904" t="s">
        <v>30</v>
      </c>
      <c r="T14904" t="s">
        <v>17258</v>
      </c>
      <c r="U14904" t="s">
        <v>17259</v>
      </c>
      <c r="V14904" t="s">
        <v>17260</v>
      </c>
      <c r="W14904" t="s">
        <v>17261</v>
      </c>
      <c r="X14904" t="s">
        <v>42</v>
      </c>
      <c r="Y14904" t="s">
        <v>17196</v>
      </c>
      <c r="Z14904" t="s">
        <v>166</v>
      </c>
      <c r="AA14904" s="22" t="str">
        <f>HYPERLINK("https://www.ncbi.nlm.nih.gov/nuccore/M18049,M58756","NCBI Nucleotide")</f>
        <v>NCBI Nucleotide</v>
      </c>
    </row>
    <row r="14905" spans="1:27" x14ac:dyDescent="0.35">
      <c r="A14905">
        <v>1011952</v>
      </c>
      <c r="B14905">
        <v>13445</v>
      </c>
      <c r="C14905">
        <v>2</v>
      </c>
      <c r="D14905" t="s">
        <v>17166</v>
      </c>
      <c r="F14905" t="s">
        <v>17246</v>
      </c>
      <c r="N14905" t="s">
        <v>17252</v>
      </c>
      <c r="P14905" t="s">
        <v>17253</v>
      </c>
      <c r="R14905" s="26" t="str">
        <f t="shared" si="69"/>
        <v>Aquabirnavirus salmonidae</v>
      </c>
      <c r="S14905" t="s">
        <v>8141</v>
      </c>
      <c r="T14905" t="s">
        <v>17258</v>
      </c>
      <c r="U14905" t="s">
        <v>17259</v>
      </c>
      <c r="V14905" t="s">
        <v>17262</v>
      </c>
      <c r="W14905" t="s">
        <v>50148</v>
      </c>
      <c r="X14905" t="s">
        <v>42</v>
      </c>
      <c r="Y14905" t="s">
        <v>17196</v>
      </c>
      <c r="Z14905" t="s">
        <v>166</v>
      </c>
      <c r="AA14905" s="22" t="str">
        <f>HYPERLINK("https://www.ncbi.nlm.nih.gov/nuccore/AF078668,AF078669","NCBI Nucleotide")</f>
        <v>NCBI Nucleotide</v>
      </c>
    </row>
    <row r="14906" spans="1:27" x14ac:dyDescent="0.35">
      <c r="A14906">
        <v>1011953</v>
      </c>
      <c r="B14906">
        <v>13445</v>
      </c>
      <c r="C14906">
        <v>3</v>
      </c>
      <c r="D14906" t="s">
        <v>17166</v>
      </c>
      <c r="F14906" t="s">
        <v>17246</v>
      </c>
      <c r="N14906" t="s">
        <v>17252</v>
      </c>
      <c r="P14906" t="s">
        <v>17253</v>
      </c>
      <c r="R14906" s="26" t="str">
        <f t="shared" si="69"/>
        <v>Aquabirnavirus salmonidae</v>
      </c>
      <c r="S14906" t="s">
        <v>8141</v>
      </c>
      <c r="T14906" t="s">
        <v>17258</v>
      </c>
      <c r="U14906" t="s">
        <v>17259</v>
      </c>
      <c r="V14906" t="s">
        <v>17263</v>
      </c>
      <c r="W14906" t="s">
        <v>50149</v>
      </c>
      <c r="X14906" t="s">
        <v>42</v>
      </c>
      <c r="Y14906" t="s">
        <v>17196</v>
      </c>
      <c r="Z14906" t="s">
        <v>166</v>
      </c>
      <c r="AA14906" s="22" t="str">
        <f>HYPERLINK("https://www.ncbi.nlm.nih.gov/nuccore/AJ622822,AJ622823","NCBI Nucleotide")</f>
        <v>NCBI Nucleotide</v>
      </c>
    </row>
    <row r="14907" spans="1:27" x14ac:dyDescent="0.35">
      <c r="A14907">
        <v>1011954</v>
      </c>
      <c r="B14907">
        <v>13445</v>
      </c>
      <c r="C14907">
        <v>4</v>
      </c>
      <c r="D14907" t="s">
        <v>17166</v>
      </c>
      <c r="F14907" t="s">
        <v>17246</v>
      </c>
      <c r="N14907" t="s">
        <v>17252</v>
      </c>
      <c r="P14907" t="s">
        <v>17253</v>
      </c>
      <c r="R14907" s="26" t="str">
        <f t="shared" si="69"/>
        <v>Aquabirnavirus salmonidae</v>
      </c>
      <c r="S14907" t="s">
        <v>8141</v>
      </c>
      <c r="T14907" t="s">
        <v>17258</v>
      </c>
      <c r="U14907" t="s">
        <v>17259</v>
      </c>
      <c r="V14907" t="s">
        <v>17264</v>
      </c>
      <c r="W14907" t="s">
        <v>50150</v>
      </c>
      <c r="X14907" t="s">
        <v>42</v>
      </c>
      <c r="Y14907" t="s">
        <v>17196</v>
      </c>
      <c r="Z14907" t="s">
        <v>166</v>
      </c>
      <c r="AA14907" s="22" t="str">
        <f>HYPERLINK("https://www.ncbi.nlm.nih.gov/nuccore/AY780919,AY780926","NCBI Nucleotide")</f>
        <v>NCBI Nucleotide</v>
      </c>
    </row>
    <row r="14908" spans="1:27" x14ac:dyDescent="0.35">
      <c r="A14908">
        <v>1011955</v>
      </c>
      <c r="B14908">
        <v>13445</v>
      </c>
      <c r="C14908">
        <v>5</v>
      </c>
      <c r="D14908" t="s">
        <v>17166</v>
      </c>
      <c r="F14908" t="s">
        <v>17246</v>
      </c>
      <c r="N14908" t="s">
        <v>17252</v>
      </c>
      <c r="P14908" t="s">
        <v>17253</v>
      </c>
      <c r="R14908" s="26" t="str">
        <f t="shared" si="69"/>
        <v>Aquabirnavirus salmonidae</v>
      </c>
      <c r="S14908" t="s">
        <v>8141</v>
      </c>
      <c r="T14908" t="s">
        <v>17258</v>
      </c>
      <c r="U14908" t="s">
        <v>17259</v>
      </c>
      <c r="V14908" t="s">
        <v>17265</v>
      </c>
      <c r="W14908" t="s">
        <v>50151</v>
      </c>
      <c r="X14908" t="s">
        <v>42</v>
      </c>
      <c r="Y14908" t="s">
        <v>17196</v>
      </c>
      <c r="Z14908" t="s">
        <v>166</v>
      </c>
      <c r="AA14908" s="22" t="str">
        <f>HYPERLINK("https://www.ncbi.nlm.nih.gov/nuccore/KY548509,KY548520","NCBI Nucleotide")</f>
        <v>NCBI Nucleotide</v>
      </c>
    </row>
    <row r="14909" spans="1:27" x14ac:dyDescent="0.35">
      <c r="A14909">
        <v>1011956</v>
      </c>
      <c r="B14909">
        <v>13445</v>
      </c>
      <c r="C14909">
        <v>6</v>
      </c>
      <c r="D14909" t="s">
        <v>17166</v>
      </c>
      <c r="F14909" t="s">
        <v>17246</v>
      </c>
      <c r="N14909" t="s">
        <v>17252</v>
      </c>
      <c r="P14909" t="s">
        <v>17253</v>
      </c>
      <c r="R14909" s="26" t="str">
        <f t="shared" si="69"/>
        <v>Aquabirnavirus salmonidae</v>
      </c>
      <c r="S14909" t="s">
        <v>8141</v>
      </c>
      <c r="T14909" t="s">
        <v>17258</v>
      </c>
      <c r="U14909" t="s">
        <v>17259</v>
      </c>
      <c r="V14909" t="s">
        <v>17266</v>
      </c>
      <c r="W14909" t="s">
        <v>50152</v>
      </c>
      <c r="X14909" t="s">
        <v>42</v>
      </c>
      <c r="Y14909" t="s">
        <v>17196</v>
      </c>
      <c r="Z14909" t="s">
        <v>166</v>
      </c>
      <c r="AA14909" s="22" t="str">
        <f>HYPERLINK("https://www.ncbi.nlm.nih.gov/nuccore/KY548508,KY548519","NCBI Nucleotide")</f>
        <v>NCBI Nucleotide</v>
      </c>
    </row>
    <row r="14910" spans="1:27" x14ac:dyDescent="0.35">
      <c r="A14910">
        <v>1003492</v>
      </c>
      <c r="B14910">
        <v>13446</v>
      </c>
      <c r="C14910">
        <v>1</v>
      </c>
      <c r="D14910" t="s">
        <v>17166</v>
      </c>
      <c r="F14910" t="s">
        <v>17246</v>
      </c>
      <c r="N14910" t="s">
        <v>17252</v>
      </c>
      <c r="P14910" t="s">
        <v>17253</v>
      </c>
      <c r="R14910" s="26" t="str">
        <f>HYPERLINK("https://ictv.global/taxonomy/taxondetails?taxnode_id=202302749","Aquabirnavirus tellinae")</f>
        <v>Aquabirnavirus tellinae</v>
      </c>
      <c r="S14910" t="s">
        <v>30</v>
      </c>
      <c r="T14910" t="s">
        <v>17267</v>
      </c>
      <c r="U14910" t="s">
        <v>17268</v>
      </c>
      <c r="V14910" t="s">
        <v>17269</v>
      </c>
      <c r="W14910" t="s">
        <v>17270</v>
      </c>
      <c r="X14910" t="s">
        <v>154</v>
      </c>
      <c r="Y14910" t="s">
        <v>17196</v>
      </c>
      <c r="Z14910" t="s">
        <v>166</v>
      </c>
      <c r="AA14910" s="22" t="str">
        <f>HYPERLINK("https://www.ncbi.nlm.nih.gov/nuccore/AF342731","NCBI Nucleotide")</f>
        <v>NCBI Nucleotide</v>
      </c>
    </row>
    <row r="14911" spans="1:27" x14ac:dyDescent="0.35">
      <c r="A14911">
        <v>1003493</v>
      </c>
      <c r="B14911">
        <v>13447</v>
      </c>
      <c r="C14911">
        <v>1</v>
      </c>
      <c r="D14911" t="s">
        <v>17166</v>
      </c>
      <c r="F14911" t="s">
        <v>17246</v>
      </c>
      <c r="N14911" t="s">
        <v>17252</v>
      </c>
      <c r="P14911" t="s">
        <v>17271</v>
      </c>
      <c r="R14911" s="26" t="str">
        <f>HYPERLINK("https://ictv.global/taxonomy/taxondetails?taxnode_id=202302752","Avibirnavirus gumboroense")</f>
        <v>Avibirnavirus gumboroense</v>
      </c>
      <c r="S14911" t="s">
        <v>30</v>
      </c>
      <c r="T14911" t="s">
        <v>17272</v>
      </c>
      <c r="U14911" t="s">
        <v>17273</v>
      </c>
      <c r="V14911" t="s">
        <v>8820</v>
      </c>
      <c r="W14911" t="s">
        <v>17274</v>
      </c>
      <c r="X14911" t="s">
        <v>42</v>
      </c>
      <c r="Y14911" t="s">
        <v>17196</v>
      </c>
      <c r="Z14911" t="s">
        <v>166</v>
      </c>
      <c r="AA14911" s="22" t="str">
        <f>HYPERLINK("https://www.ncbi.nlm.nih.gov/nuccore/X84034,X84035","NCBI Nucleotide")</f>
        <v>NCBI Nucleotide</v>
      </c>
    </row>
    <row r="14912" spans="1:27" x14ac:dyDescent="0.35">
      <c r="A14912">
        <v>1011957</v>
      </c>
      <c r="B14912">
        <v>13447</v>
      </c>
      <c r="C14912">
        <v>2</v>
      </c>
      <c r="D14912" t="s">
        <v>17166</v>
      </c>
      <c r="F14912" t="s">
        <v>17246</v>
      </c>
      <c r="N14912" t="s">
        <v>17252</v>
      </c>
      <c r="P14912" t="s">
        <v>17271</v>
      </c>
      <c r="R14912" s="26" t="str">
        <f>HYPERLINK("https://ictv.global/taxonomy/taxondetails?taxnode_id=202302752","Avibirnavirus gumboroense")</f>
        <v>Avibirnavirus gumboroense</v>
      </c>
      <c r="S14912" t="s">
        <v>8141</v>
      </c>
      <c r="T14912" t="s">
        <v>17272</v>
      </c>
      <c r="U14912" t="s">
        <v>17273</v>
      </c>
      <c r="V14912" t="s">
        <v>17275</v>
      </c>
      <c r="W14912" t="s">
        <v>50153</v>
      </c>
      <c r="X14912" t="s">
        <v>42</v>
      </c>
      <c r="Y14912" t="s">
        <v>17196</v>
      </c>
      <c r="Z14912" t="s">
        <v>166</v>
      </c>
      <c r="AA14912" s="22" t="str">
        <f>HYPERLINK("https://www.ncbi.nlm.nih.gov/nuccore/X92760,X92761","NCBI Nucleotide")</f>
        <v>NCBI Nucleotide</v>
      </c>
    </row>
    <row r="14913" spans="1:27" x14ac:dyDescent="0.35">
      <c r="A14913">
        <v>1003494</v>
      </c>
      <c r="B14913">
        <v>13448</v>
      </c>
      <c r="C14913">
        <v>1</v>
      </c>
      <c r="D14913" t="s">
        <v>17166</v>
      </c>
      <c r="F14913" t="s">
        <v>17246</v>
      </c>
      <c r="N14913" t="s">
        <v>17252</v>
      </c>
      <c r="P14913" t="s">
        <v>17276</v>
      </c>
      <c r="R14913" s="26" t="str">
        <f>HYPERLINK("https://ictv.global/taxonomy/taxondetails?taxnode_id=202302754","Blosnavirus channae")</f>
        <v>Blosnavirus channae</v>
      </c>
      <c r="S14913" t="s">
        <v>30</v>
      </c>
      <c r="T14913" t="s">
        <v>17277</v>
      </c>
      <c r="U14913" t="s">
        <v>17278</v>
      </c>
      <c r="W14913" t="s">
        <v>17279</v>
      </c>
      <c r="X14913" t="s">
        <v>42</v>
      </c>
      <c r="Y14913" t="s">
        <v>17196</v>
      </c>
      <c r="Z14913" t="s">
        <v>166</v>
      </c>
      <c r="AA14913" s="22" t="str">
        <f>HYPERLINK("https://www.ncbi.nlm.nih.gov/nuccore/AJ459382,AJ459383","NCBI Nucleotide")</f>
        <v>NCBI Nucleotide</v>
      </c>
    </row>
    <row r="14914" spans="1:27" x14ac:dyDescent="0.35">
      <c r="A14914">
        <v>1003495</v>
      </c>
      <c r="B14914">
        <v>13449</v>
      </c>
      <c r="C14914">
        <v>1</v>
      </c>
      <c r="D14914" t="s">
        <v>17166</v>
      </c>
      <c r="F14914" t="s">
        <v>17246</v>
      </c>
      <c r="N14914" t="s">
        <v>17252</v>
      </c>
      <c r="P14914" t="s">
        <v>17276</v>
      </c>
      <c r="R14914" s="26" t="str">
        <f>HYPERLINK("https://ictv.global/taxonomy/taxondetails?taxnode_id=202308656","Blosnavirus lati")</f>
        <v>Blosnavirus lati</v>
      </c>
      <c r="S14914" t="s">
        <v>30</v>
      </c>
      <c r="T14914" t="s">
        <v>17280</v>
      </c>
      <c r="U14914" t="s">
        <v>17281</v>
      </c>
      <c r="W14914" t="s">
        <v>17282</v>
      </c>
      <c r="X14914" t="s">
        <v>42</v>
      </c>
      <c r="Y14914" t="s">
        <v>17196</v>
      </c>
      <c r="Z14914" t="s">
        <v>166</v>
      </c>
      <c r="AA14914" s="22" t="str">
        <f>HYPERLINK("https://www.ncbi.nlm.nih.gov/nuccore/MK103419,MK103420","NCBI Nucleotide")</f>
        <v>NCBI Nucleotide</v>
      </c>
    </row>
    <row r="14915" spans="1:27" x14ac:dyDescent="0.35">
      <c r="A14915">
        <v>1003496</v>
      </c>
      <c r="B14915">
        <v>13450</v>
      </c>
      <c r="C14915">
        <v>1</v>
      </c>
      <c r="D14915" t="s">
        <v>17166</v>
      </c>
      <c r="F14915" t="s">
        <v>17246</v>
      </c>
      <c r="N14915" t="s">
        <v>17252</v>
      </c>
      <c r="P14915" t="s">
        <v>17283</v>
      </c>
      <c r="R14915" s="26" t="str">
        <f>HYPERLINK("https://ictv.global/taxonomy/taxondetails?taxnode_id=202308651","Dronavirus drosophilae")</f>
        <v>Dronavirus drosophilae</v>
      </c>
      <c r="S14915" t="s">
        <v>30</v>
      </c>
      <c r="T14915" t="s">
        <v>17284</v>
      </c>
      <c r="U14915" t="s">
        <v>17285</v>
      </c>
      <c r="W14915" t="s">
        <v>17286</v>
      </c>
      <c r="X14915" t="s">
        <v>42</v>
      </c>
      <c r="Y14915" t="s">
        <v>17196</v>
      </c>
      <c r="Z14915" t="s">
        <v>10790</v>
      </c>
      <c r="AA14915" s="22" t="str">
        <f>HYPERLINK("https://www.ncbi.nlm.nih.gov/nuccore/GQ342962,GQ342963","NCBI Nucleotide")</f>
        <v>NCBI Nucleotide</v>
      </c>
    </row>
    <row r="14916" spans="1:27" x14ac:dyDescent="0.35">
      <c r="A14916">
        <v>1003497</v>
      </c>
      <c r="B14916">
        <v>13451</v>
      </c>
      <c r="C14916">
        <v>1</v>
      </c>
      <c r="D14916" t="s">
        <v>17166</v>
      </c>
      <c r="F14916" t="s">
        <v>17246</v>
      </c>
      <c r="N14916" t="s">
        <v>17252</v>
      </c>
      <c r="P14916" t="s">
        <v>17287</v>
      </c>
      <c r="R14916" s="26" t="str">
        <f>HYPERLINK("https://ictv.global/taxonomy/taxondetails?taxnode_id=202308649","Entomobirnavirus anophelae")</f>
        <v>Entomobirnavirus anophelae</v>
      </c>
      <c r="S14916" t="s">
        <v>30</v>
      </c>
      <c r="T14916" t="s">
        <v>17288</v>
      </c>
      <c r="U14916" t="s">
        <v>17289</v>
      </c>
      <c r="W14916" t="s">
        <v>17290</v>
      </c>
      <c r="X14916" t="s">
        <v>42</v>
      </c>
      <c r="Y14916" t="s">
        <v>17196</v>
      </c>
      <c r="Z14916" t="s">
        <v>10790</v>
      </c>
      <c r="AA14916" s="22" t="str">
        <f>HYPERLINK("https://www.ncbi.nlm.nih.gov/nuccore/JX403941,JX403942","NCBI Nucleotide")</f>
        <v>NCBI Nucleotide</v>
      </c>
    </row>
    <row r="14917" spans="1:27" x14ac:dyDescent="0.35">
      <c r="A14917">
        <v>1003498</v>
      </c>
      <c r="B14917">
        <v>13452</v>
      </c>
      <c r="C14917">
        <v>1</v>
      </c>
      <c r="D14917" t="s">
        <v>17166</v>
      </c>
      <c r="F14917" t="s">
        <v>17246</v>
      </c>
      <c r="N14917" t="s">
        <v>17252</v>
      </c>
      <c r="P14917" t="s">
        <v>17287</v>
      </c>
      <c r="R14917" s="26" t="str">
        <f>HYPERLINK("https://ictv.global/taxonomy/taxondetails?taxnode_id=202302756","Entomobirnavirus drosophilae")</f>
        <v>Entomobirnavirus drosophilae</v>
      </c>
      <c r="S14917" t="s">
        <v>30</v>
      </c>
      <c r="T14917" t="s">
        <v>17291</v>
      </c>
      <c r="U14917" t="s">
        <v>17292</v>
      </c>
      <c r="W14917" t="s">
        <v>50747</v>
      </c>
      <c r="X14917" t="s">
        <v>42</v>
      </c>
      <c r="Y14917" t="s">
        <v>17196</v>
      </c>
      <c r="Z14917" t="s">
        <v>10790</v>
      </c>
      <c r="AA14917" s="22" t="str">
        <f>HYPERLINK("https://www.ncbi.nlm.nih.gov/nuccore/U60650,AF196645","NCBI Nucleotide")</f>
        <v>NCBI Nucleotide</v>
      </c>
    </row>
    <row r="14918" spans="1:27" x14ac:dyDescent="0.35">
      <c r="A14918">
        <v>1003499</v>
      </c>
      <c r="B14918">
        <v>13453</v>
      </c>
      <c r="C14918">
        <v>1</v>
      </c>
      <c r="D14918" t="s">
        <v>17166</v>
      </c>
      <c r="F14918" t="s">
        <v>17246</v>
      </c>
      <c r="N14918" t="s">
        <v>17252</v>
      </c>
      <c r="P14918" t="s">
        <v>17293</v>
      </c>
      <c r="R14918" s="26" t="str">
        <f>HYPERLINK("https://ictv.global/taxonomy/taxondetails?taxnode_id=202308653","Ronavirus rotiferae")</f>
        <v>Ronavirus rotiferae</v>
      </c>
      <c r="S14918" t="s">
        <v>30</v>
      </c>
      <c r="T14918" t="s">
        <v>17294</v>
      </c>
      <c r="U14918" t="s">
        <v>17295</v>
      </c>
      <c r="V14918" t="s">
        <v>17296</v>
      </c>
      <c r="W14918" t="s">
        <v>17297</v>
      </c>
      <c r="X14918" t="s">
        <v>42</v>
      </c>
      <c r="Y14918" t="s">
        <v>17196</v>
      </c>
      <c r="Z14918" t="s">
        <v>10790</v>
      </c>
      <c r="AA14918" s="22" t="str">
        <f>HYPERLINK("https://www.ncbi.nlm.nih.gov/nuccore/FM995220,FM995221","NCBI Nucleotide")</f>
        <v>NCBI Nucleotide</v>
      </c>
    </row>
    <row r="14919" spans="1:27" x14ac:dyDescent="0.35">
      <c r="A14919">
        <v>1003500</v>
      </c>
      <c r="B14919">
        <v>13454</v>
      </c>
      <c r="C14919">
        <v>1</v>
      </c>
      <c r="D14919" t="s">
        <v>17166</v>
      </c>
      <c r="F14919" t="s">
        <v>17246</v>
      </c>
      <c r="N14919" t="s">
        <v>17252</v>
      </c>
      <c r="P14919" t="s">
        <v>17298</v>
      </c>
      <c r="R14919" s="26" t="str">
        <f>HYPERLINK("https://ictv.global/taxonomy/taxondetails?taxnode_id=202308655","Telnavirus tellinae")</f>
        <v>Telnavirus tellinae</v>
      </c>
      <c r="S14919" t="s">
        <v>30</v>
      </c>
      <c r="T14919" t="s">
        <v>17299</v>
      </c>
      <c r="U14919" t="s">
        <v>17300</v>
      </c>
      <c r="W14919" t="s">
        <v>17301</v>
      </c>
      <c r="X14919" t="s">
        <v>42</v>
      </c>
      <c r="Y14919" t="s">
        <v>17196</v>
      </c>
      <c r="Z14919" t="s">
        <v>10790</v>
      </c>
      <c r="AA14919" s="22" t="str">
        <f>HYPERLINK("https://www.ncbi.nlm.nih.gov/nuccore/AJ920335,AJ920336","NCBI Nucleotide")</f>
        <v>NCBI Nucleotide</v>
      </c>
    </row>
    <row r="14920" spans="1:27" x14ac:dyDescent="0.35">
      <c r="A14920">
        <v>1003501</v>
      </c>
      <c r="B14920">
        <v>13455</v>
      </c>
      <c r="C14920">
        <v>1</v>
      </c>
      <c r="D14920" t="s">
        <v>17166</v>
      </c>
      <c r="F14920" t="s">
        <v>17246</v>
      </c>
      <c r="N14920" t="s">
        <v>17302</v>
      </c>
      <c r="P14920" t="s">
        <v>17303</v>
      </c>
      <c r="R14920" s="26" t="str">
        <f>HYPERLINK("https://ictv.global/taxonomy/taxondetails?taxnode_id=202304288","Alphapermutotetravirus euprosternae")</f>
        <v>Alphapermutotetravirus euprosternae</v>
      </c>
      <c r="S14920" t="s">
        <v>30</v>
      </c>
      <c r="T14920" t="s">
        <v>17304</v>
      </c>
      <c r="U14920" t="s">
        <v>17305</v>
      </c>
      <c r="W14920" t="s">
        <v>17306</v>
      </c>
      <c r="X14920" t="s">
        <v>42</v>
      </c>
      <c r="Y14920" t="s">
        <v>17171</v>
      </c>
      <c r="Z14920" t="s">
        <v>10790</v>
      </c>
      <c r="AA14920" s="22" t="str">
        <f>HYPERLINK("https://www.ncbi.nlm.nih.gov/nuccore/AF461742","NCBI Nucleotide")</f>
        <v>NCBI Nucleotide</v>
      </c>
    </row>
    <row r="14921" spans="1:27" x14ac:dyDescent="0.35">
      <c r="A14921">
        <v>1003502</v>
      </c>
      <c r="B14921">
        <v>13456</v>
      </c>
      <c r="C14921">
        <v>1</v>
      </c>
      <c r="D14921" t="s">
        <v>17166</v>
      </c>
      <c r="F14921" t="s">
        <v>17246</v>
      </c>
      <c r="N14921" t="s">
        <v>17302</v>
      </c>
      <c r="P14921" t="s">
        <v>17303</v>
      </c>
      <c r="R14921" s="26" t="str">
        <f>HYPERLINK("https://ictv.global/taxonomy/taxondetails?taxnode_id=202304289","Alphapermutotetravirus thoseae")</f>
        <v>Alphapermutotetravirus thoseae</v>
      </c>
      <c r="S14921" t="s">
        <v>30</v>
      </c>
      <c r="T14921" t="s">
        <v>17307</v>
      </c>
      <c r="U14921" t="s">
        <v>17308</v>
      </c>
      <c r="W14921" t="s">
        <v>17309</v>
      </c>
      <c r="X14921" t="s">
        <v>154</v>
      </c>
      <c r="Y14921" t="s">
        <v>17171</v>
      </c>
      <c r="Z14921" t="s">
        <v>10790</v>
      </c>
      <c r="AA14921" s="22" t="str">
        <f>HYPERLINK("https://www.ncbi.nlm.nih.gov/nuccore/AF062037,AF282930","NCBI Nucleotide")</f>
        <v>NCBI Nucleotide</v>
      </c>
    </row>
    <row r="14922" spans="1:27" x14ac:dyDescent="0.35">
      <c r="A14922">
        <v>1003504</v>
      </c>
      <c r="B14922">
        <v>13457</v>
      </c>
      <c r="C14922">
        <v>1</v>
      </c>
      <c r="D14922" t="s">
        <v>17166</v>
      </c>
      <c r="F14922" t="s">
        <v>34315</v>
      </c>
      <c r="H14922" t="s">
        <v>34316</v>
      </c>
      <c r="J14922" t="s">
        <v>34317</v>
      </c>
      <c r="L14922" t="s">
        <v>34318</v>
      </c>
      <c r="N14922" t="s">
        <v>34319</v>
      </c>
      <c r="P14922" t="s">
        <v>34320</v>
      </c>
      <c r="R14922" s="26" t="str">
        <f>HYPERLINK("https://ictv.global/taxonomy/taxondetails?taxnode_id=202303648","Avihepadnavirus anatigruidae")</f>
        <v>Avihepadnavirus anatigruidae</v>
      </c>
      <c r="S14922" t="s">
        <v>30</v>
      </c>
      <c r="T14922" t="s">
        <v>34321</v>
      </c>
      <c r="U14922" t="s">
        <v>34322</v>
      </c>
      <c r="V14922" t="s">
        <v>34323</v>
      </c>
      <c r="W14922" t="s">
        <v>34324</v>
      </c>
      <c r="X14922" t="s">
        <v>42</v>
      </c>
      <c r="Y14922" t="s">
        <v>34325</v>
      </c>
      <c r="Z14922" t="s">
        <v>166</v>
      </c>
      <c r="AA14922" s="22" t="str">
        <f>HYPERLINK("https://www.ncbi.nlm.nih.gov/nuccore/X60213","NCBI Nucleotide")</f>
        <v>NCBI Nucleotide</v>
      </c>
    </row>
    <row r="14923" spans="1:27" x14ac:dyDescent="0.35">
      <c r="A14923">
        <v>1011960</v>
      </c>
      <c r="B14923">
        <v>13457</v>
      </c>
      <c r="C14923">
        <v>2</v>
      </c>
      <c r="D14923" t="s">
        <v>17166</v>
      </c>
      <c r="F14923" t="s">
        <v>34315</v>
      </c>
      <c r="H14923" t="s">
        <v>34316</v>
      </c>
      <c r="J14923" t="s">
        <v>34317</v>
      </c>
      <c r="L14923" t="s">
        <v>34318</v>
      </c>
      <c r="N14923" t="s">
        <v>34319</v>
      </c>
      <c r="P14923" t="s">
        <v>34320</v>
      </c>
      <c r="R14923" s="26" t="str">
        <f>HYPERLINK("https://ictv.global/taxonomy/taxondetails?taxnode_id=202303648","Avihepadnavirus anatigruidae")</f>
        <v>Avihepadnavirus anatigruidae</v>
      </c>
      <c r="S14923" t="s">
        <v>8141</v>
      </c>
      <c r="T14923" t="s">
        <v>34331</v>
      </c>
      <c r="U14923" t="s">
        <v>34332</v>
      </c>
      <c r="V14923" t="s">
        <v>34333</v>
      </c>
      <c r="W14923" t="s">
        <v>50154</v>
      </c>
      <c r="X14923" t="s">
        <v>154</v>
      </c>
      <c r="Y14923" t="s">
        <v>34325</v>
      </c>
      <c r="Z14923" t="s">
        <v>166</v>
      </c>
      <c r="AA14923" s="22" t="str">
        <f>HYPERLINK("https://www.ncbi.nlm.nih.gov/nuccore/AJ441111","NCBI Nucleotide")</f>
        <v>NCBI Nucleotide</v>
      </c>
    </row>
    <row r="14924" spans="1:27" x14ac:dyDescent="0.35">
      <c r="A14924">
        <v>1011961</v>
      </c>
      <c r="B14924">
        <v>13457</v>
      </c>
      <c r="C14924">
        <v>3</v>
      </c>
      <c r="D14924" t="s">
        <v>17166</v>
      </c>
      <c r="F14924" t="s">
        <v>34315</v>
      </c>
      <c r="H14924" t="s">
        <v>34316</v>
      </c>
      <c r="J14924" t="s">
        <v>34317</v>
      </c>
      <c r="L14924" t="s">
        <v>34318</v>
      </c>
      <c r="N14924" t="s">
        <v>34319</v>
      </c>
      <c r="P14924" t="s">
        <v>34320</v>
      </c>
      <c r="R14924" s="26" t="str">
        <f>HYPERLINK("https://ictv.global/taxonomy/taxondetails?taxnode_id=202303648","Avihepadnavirus anatigruidae")</f>
        <v>Avihepadnavirus anatigruidae</v>
      </c>
      <c r="S14924" t="s">
        <v>8141</v>
      </c>
      <c r="T14924" t="s">
        <v>34334</v>
      </c>
      <c r="U14924" t="s">
        <v>34335</v>
      </c>
      <c r="W14924" t="s">
        <v>50155</v>
      </c>
      <c r="X14924" t="s">
        <v>42</v>
      </c>
      <c r="Y14924" t="s">
        <v>34325</v>
      </c>
      <c r="Z14924" t="s">
        <v>166</v>
      </c>
      <c r="AA14924" s="22" t="str">
        <f>HYPERLINK("https://www.ncbi.nlm.nih.gov/nuccore/M95589","NCBI Nucleotide")</f>
        <v>NCBI Nucleotide</v>
      </c>
    </row>
    <row r="14925" spans="1:27" x14ac:dyDescent="0.35">
      <c r="A14925">
        <v>1011958</v>
      </c>
      <c r="B14925">
        <v>13457</v>
      </c>
      <c r="C14925">
        <v>4</v>
      </c>
      <c r="D14925" t="s">
        <v>17166</v>
      </c>
      <c r="F14925" t="s">
        <v>34315</v>
      </c>
      <c r="H14925" t="s">
        <v>34316</v>
      </c>
      <c r="J14925" t="s">
        <v>34317</v>
      </c>
      <c r="L14925" t="s">
        <v>34318</v>
      </c>
      <c r="N14925" t="s">
        <v>34319</v>
      </c>
      <c r="P14925" t="s">
        <v>34320</v>
      </c>
      <c r="R14925" s="26" t="str">
        <f>HYPERLINK("https://ictv.global/taxonomy/taxondetails?taxnode_id=202303648","Avihepadnavirus anatigruidae")</f>
        <v>Avihepadnavirus anatigruidae</v>
      </c>
      <c r="S14925" t="s">
        <v>8141</v>
      </c>
      <c r="T14925" t="s">
        <v>34326</v>
      </c>
      <c r="U14925" t="s">
        <v>34327</v>
      </c>
      <c r="W14925" t="s">
        <v>50156</v>
      </c>
      <c r="X14925" t="s">
        <v>42</v>
      </c>
      <c r="Y14925" t="s">
        <v>34325</v>
      </c>
      <c r="Z14925" t="s">
        <v>166</v>
      </c>
      <c r="AA14925" s="22" t="str">
        <f>HYPERLINK("https://www.ncbi.nlm.nih.gov/nuccore/AY494853","NCBI Nucleotide")</f>
        <v>NCBI Nucleotide</v>
      </c>
    </row>
    <row r="14926" spans="1:27" x14ac:dyDescent="0.35">
      <c r="A14926">
        <v>1011959</v>
      </c>
      <c r="B14926">
        <v>13457</v>
      </c>
      <c r="C14926">
        <v>5</v>
      </c>
      <c r="D14926" t="s">
        <v>17166</v>
      </c>
      <c r="F14926" t="s">
        <v>34315</v>
      </c>
      <c r="H14926" t="s">
        <v>34316</v>
      </c>
      <c r="J14926" t="s">
        <v>34317</v>
      </c>
      <c r="L14926" t="s">
        <v>34318</v>
      </c>
      <c r="N14926" t="s">
        <v>34319</v>
      </c>
      <c r="P14926" t="s">
        <v>34320</v>
      </c>
      <c r="R14926" s="26" t="str">
        <f>HYPERLINK("https://ictv.global/taxonomy/taxondetails?taxnode_id=202303648","Avihepadnavirus anatigruidae")</f>
        <v>Avihepadnavirus anatigruidae</v>
      </c>
      <c r="S14926" t="s">
        <v>8141</v>
      </c>
      <c r="T14926" t="s">
        <v>34328</v>
      </c>
      <c r="U14926" t="s">
        <v>34329</v>
      </c>
      <c r="V14926" t="s">
        <v>34330</v>
      </c>
      <c r="W14926" t="s">
        <v>50157</v>
      </c>
      <c r="X14926" t="s">
        <v>42</v>
      </c>
      <c r="Y14926" t="s">
        <v>34325</v>
      </c>
      <c r="Z14926" t="s">
        <v>166</v>
      </c>
      <c r="AA14926" s="22" t="str">
        <f>HYPERLINK("https://www.ncbi.nlm.nih.gov/nuccore/AF111000","NCBI Nucleotide")</f>
        <v>NCBI Nucleotide</v>
      </c>
    </row>
    <row r="14927" spans="1:27" x14ac:dyDescent="0.35">
      <c r="A14927">
        <v>1027833</v>
      </c>
      <c r="B14927">
        <v>13458</v>
      </c>
      <c r="C14927">
        <v>1</v>
      </c>
      <c r="D14927" t="s">
        <v>17166</v>
      </c>
      <c r="F14927" t="s">
        <v>34315</v>
      </c>
      <c r="H14927" t="s">
        <v>34316</v>
      </c>
      <c r="J14927" t="s">
        <v>34317</v>
      </c>
      <c r="L14927" t="s">
        <v>34318</v>
      </c>
      <c r="N14927" t="s">
        <v>34319</v>
      </c>
      <c r="P14927" t="s">
        <v>34320</v>
      </c>
      <c r="R14927" s="26" t="str">
        <f>HYPERLINK("https://ictv.global/taxonomy/taxondetails?taxnode_id=202318092","Avihepadnavirus bonicursoris")</f>
        <v>Avihepadnavirus bonicursoris</v>
      </c>
      <c r="S14927" t="s">
        <v>30</v>
      </c>
      <c r="T14927" t="s">
        <v>47608</v>
      </c>
      <c r="U14927" t="s">
        <v>47609</v>
      </c>
      <c r="V14927">
        <v>160050</v>
      </c>
      <c r="W14927" t="s">
        <v>47610</v>
      </c>
      <c r="X14927" t="s">
        <v>42</v>
      </c>
      <c r="Y14927" t="s">
        <v>34325</v>
      </c>
      <c r="Z14927" t="s">
        <v>166</v>
      </c>
      <c r="AA14927" s="22" t="str">
        <f>HYPERLINK("https://www.ncbi.nlm.nih.gov/nuccore/KY977507","NCBI Nucleotide")</f>
        <v>NCBI Nucleotide</v>
      </c>
    </row>
    <row r="14928" spans="1:27" x14ac:dyDescent="0.35">
      <c r="A14928">
        <v>1003505</v>
      </c>
      <c r="B14928">
        <v>13459</v>
      </c>
      <c r="C14928">
        <v>1</v>
      </c>
      <c r="D14928" t="s">
        <v>17166</v>
      </c>
      <c r="F14928" t="s">
        <v>34315</v>
      </c>
      <c r="H14928" t="s">
        <v>34316</v>
      </c>
      <c r="J14928" t="s">
        <v>34317</v>
      </c>
      <c r="L14928" t="s">
        <v>34318</v>
      </c>
      <c r="N14928" t="s">
        <v>34319</v>
      </c>
      <c r="P14928" t="s">
        <v>34320</v>
      </c>
      <c r="R14928" s="26" t="str">
        <f>HYPERLINK("https://ictv.global/taxonomy/taxondetails?taxnode_id=202303649","Avihepadnavirus ciconiardeae")</f>
        <v>Avihepadnavirus ciconiardeae</v>
      </c>
      <c r="S14928" t="s">
        <v>30</v>
      </c>
      <c r="T14928" t="s">
        <v>34336</v>
      </c>
      <c r="U14928" t="s">
        <v>34337</v>
      </c>
      <c r="W14928" t="s">
        <v>34338</v>
      </c>
      <c r="X14928" t="s">
        <v>42</v>
      </c>
      <c r="Y14928" t="s">
        <v>34325</v>
      </c>
      <c r="Z14928" t="s">
        <v>166</v>
      </c>
      <c r="AA14928" s="22" t="str">
        <f>HYPERLINK("https://www.ncbi.nlm.nih.gov/nuccore/M22056","NCBI Nucleotide")</f>
        <v>NCBI Nucleotide</v>
      </c>
    </row>
    <row r="14929" spans="1:27" x14ac:dyDescent="0.35">
      <c r="A14929">
        <v>1011962</v>
      </c>
      <c r="B14929">
        <v>13459</v>
      </c>
      <c r="C14929">
        <v>2</v>
      </c>
      <c r="D14929" t="s">
        <v>17166</v>
      </c>
      <c r="F14929" t="s">
        <v>34315</v>
      </c>
      <c r="H14929" t="s">
        <v>34316</v>
      </c>
      <c r="J14929" t="s">
        <v>34317</v>
      </c>
      <c r="L14929" t="s">
        <v>34318</v>
      </c>
      <c r="N14929" t="s">
        <v>34319</v>
      </c>
      <c r="P14929" t="s">
        <v>34320</v>
      </c>
      <c r="R14929" s="26" t="str">
        <f>HYPERLINK("https://ictv.global/taxonomy/taxondetails?taxnode_id=202303649","Avihepadnavirus ciconiardeae")</f>
        <v>Avihepadnavirus ciconiardeae</v>
      </c>
      <c r="S14929" t="s">
        <v>8141</v>
      </c>
      <c r="T14929" t="s">
        <v>34339</v>
      </c>
      <c r="U14929" t="s">
        <v>34340</v>
      </c>
      <c r="V14929" t="s">
        <v>34341</v>
      </c>
      <c r="W14929" t="s">
        <v>50158</v>
      </c>
      <c r="X14929" t="s">
        <v>42</v>
      </c>
      <c r="Y14929" t="s">
        <v>34325</v>
      </c>
      <c r="Z14929" t="s">
        <v>166</v>
      </c>
      <c r="AA14929" s="22" t="str">
        <f>HYPERLINK("https://www.ncbi.nlm.nih.gov/nuccore/AJ251937","NCBI Nucleotide")</f>
        <v>NCBI Nucleotide</v>
      </c>
    </row>
    <row r="14930" spans="1:27" x14ac:dyDescent="0.35">
      <c r="A14930">
        <v>1027834</v>
      </c>
      <c r="B14930">
        <v>13460</v>
      </c>
      <c r="C14930">
        <v>1</v>
      </c>
      <c r="D14930" t="s">
        <v>17166</v>
      </c>
      <c r="F14930" t="s">
        <v>34315</v>
      </c>
      <c r="H14930" t="s">
        <v>34316</v>
      </c>
      <c r="J14930" t="s">
        <v>34317</v>
      </c>
      <c r="L14930" t="s">
        <v>34318</v>
      </c>
      <c r="N14930" t="s">
        <v>34319</v>
      </c>
      <c r="P14930" t="s">
        <v>34320</v>
      </c>
      <c r="R14930" s="26" t="str">
        <f>HYPERLINK("https://ictv.global/taxonomy/taxondetails?taxnode_id=202318091","Avihepadnavirus psittaduorum")</f>
        <v>Avihepadnavirus psittaduorum</v>
      </c>
      <c r="S14930" t="s">
        <v>30</v>
      </c>
      <c r="T14930" t="s">
        <v>47611</v>
      </c>
      <c r="U14930" t="s">
        <v>47612</v>
      </c>
      <c r="V14930" t="s">
        <v>47613</v>
      </c>
      <c r="W14930" t="s">
        <v>47614</v>
      </c>
      <c r="X14930" t="s">
        <v>42</v>
      </c>
      <c r="Y14930" t="s">
        <v>34325</v>
      </c>
      <c r="Z14930" t="s">
        <v>166</v>
      </c>
      <c r="AA14930" s="22" t="str">
        <f>HYPERLINK("https://www.ncbi.nlm.nih.gov/nuccore/JX274018","NCBI Nucleotide")</f>
        <v>NCBI Nucleotide</v>
      </c>
    </row>
    <row r="14931" spans="1:27" x14ac:dyDescent="0.35">
      <c r="A14931">
        <v>1003506</v>
      </c>
      <c r="B14931">
        <v>13461</v>
      </c>
      <c r="C14931">
        <v>1</v>
      </c>
      <c r="D14931" t="s">
        <v>17166</v>
      </c>
      <c r="F14931" t="s">
        <v>34315</v>
      </c>
      <c r="H14931" t="s">
        <v>34316</v>
      </c>
      <c r="J14931" t="s">
        <v>34317</v>
      </c>
      <c r="L14931" t="s">
        <v>34318</v>
      </c>
      <c r="N14931" t="s">
        <v>34319</v>
      </c>
      <c r="P14931" t="s">
        <v>34320</v>
      </c>
      <c r="R14931" s="26" t="str">
        <f>HYPERLINK("https://ictv.global/taxonomy/taxondetails?taxnode_id=202303650","Avihepadnavirus psittaunius")</f>
        <v>Avihepadnavirus psittaunius</v>
      </c>
      <c r="S14931" t="s">
        <v>30</v>
      </c>
      <c r="T14931" t="s">
        <v>34342</v>
      </c>
      <c r="U14931" t="s">
        <v>34343</v>
      </c>
      <c r="V14931" t="s">
        <v>34344</v>
      </c>
      <c r="W14931" t="s">
        <v>34345</v>
      </c>
      <c r="X14931" t="s">
        <v>42</v>
      </c>
      <c r="Y14931" t="s">
        <v>34325</v>
      </c>
      <c r="Z14931" t="s">
        <v>166</v>
      </c>
      <c r="AA14931" s="22" t="str">
        <f>HYPERLINK("https://www.ncbi.nlm.nih.gov/nuccore/JN565944","NCBI Nucleotide")</f>
        <v>NCBI Nucleotide</v>
      </c>
    </row>
    <row r="14932" spans="1:27" x14ac:dyDescent="0.35">
      <c r="A14932">
        <v>1003507</v>
      </c>
      <c r="B14932">
        <v>13462</v>
      </c>
      <c r="C14932">
        <v>1</v>
      </c>
      <c r="D14932" t="s">
        <v>17166</v>
      </c>
      <c r="F14932" t="s">
        <v>34315</v>
      </c>
      <c r="H14932" t="s">
        <v>34316</v>
      </c>
      <c r="J14932" t="s">
        <v>34317</v>
      </c>
      <c r="L14932" t="s">
        <v>34318</v>
      </c>
      <c r="N14932" t="s">
        <v>34319</v>
      </c>
      <c r="P14932" t="s">
        <v>34346</v>
      </c>
      <c r="R14932" s="26" t="str">
        <f>HYPERLINK("https://ictv.global/taxonomy/taxondetails?taxnode_id=202305860","Herpetohepadnavirus nanoranae")</f>
        <v>Herpetohepadnavirus nanoranae</v>
      </c>
      <c r="S14932" t="s">
        <v>30</v>
      </c>
      <c r="T14932" t="s">
        <v>34347</v>
      </c>
      <c r="U14932" t="s">
        <v>34348</v>
      </c>
      <c r="V14932">
        <v>243398</v>
      </c>
      <c r="W14932" t="s">
        <v>34349</v>
      </c>
      <c r="X14932" t="s">
        <v>42</v>
      </c>
      <c r="Y14932" t="s">
        <v>34325</v>
      </c>
      <c r="Z14932" t="s">
        <v>166</v>
      </c>
      <c r="AA14932" s="22" t="str">
        <f>HYPERLINK("https://www.ncbi.nlm.nih.gov/nuccore/KX058435","NCBI Nucleotide")</f>
        <v>NCBI Nucleotide</v>
      </c>
    </row>
    <row r="14933" spans="1:27" x14ac:dyDescent="0.35">
      <c r="A14933">
        <v>1003508</v>
      </c>
      <c r="B14933">
        <v>13463</v>
      </c>
      <c r="C14933">
        <v>1</v>
      </c>
      <c r="D14933" t="s">
        <v>17166</v>
      </c>
      <c r="F14933" t="s">
        <v>34315</v>
      </c>
      <c r="H14933" t="s">
        <v>34316</v>
      </c>
      <c r="J14933" t="s">
        <v>34317</v>
      </c>
      <c r="L14933" t="s">
        <v>34318</v>
      </c>
      <c r="N14933" t="s">
        <v>34319</v>
      </c>
      <c r="P14933" t="s">
        <v>34350</v>
      </c>
      <c r="R14933" s="26" t="str">
        <f>HYPERLINK("https://ictv.global/taxonomy/taxondetails?taxnode_id=202305859","Metahepadnavirus lepomi")</f>
        <v>Metahepadnavirus lepomi</v>
      </c>
      <c r="S14933" t="s">
        <v>30</v>
      </c>
      <c r="T14933" t="s">
        <v>34351</v>
      </c>
      <c r="U14933" t="s">
        <v>34352</v>
      </c>
      <c r="W14933" t="s">
        <v>34353</v>
      </c>
      <c r="X14933" t="s">
        <v>42</v>
      </c>
      <c r="Y14933" t="s">
        <v>34325</v>
      </c>
      <c r="Z14933" t="s">
        <v>166</v>
      </c>
      <c r="AA14933" s="22" t="str">
        <f>HYPERLINK("https://www.ncbi.nlm.nih.gov/nuccore/KX058433","NCBI Nucleotide")</f>
        <v>NCBI Nucleotide</v>
      </c>
    </row>
    <row r="14934" spans="1:27" x14ac:dyDescent="0.35">
      <c r="A14934">
        <v>1027839</v>
      </c>
      <c r="B14934">
        <v>13464</v>
      </c>
      <c r="C14934">
        <v>1</v>
      </c>
      <c r="D14934" t="s">
        <v>17166</v>
      </c>
      <c r="F14934" t="s">
        <v>34315</v>
      </c>
      <c r="H14934" t="s">
        <v>34316</v>
      </c>
      <c r="J14934" t="s">
        <v>34317</v>
      </c>
      <c r="L14934" t="s">
        <v>34318</v>
      </c>
      <c r="N14934" t="s">
        <v>34319</v>
      </c>
      <c r="P14934" t="s">
        <v>34354</v>
      </c>
      <c r="R14934" s="26" t="str">
        <f>HYPERLINK("https://ictv.global/taxonomy/taxondetails?taxnode_id=202318089","Orthohepadnavirus bassarisci")</f>
        <v>Orthohepadnavirus bassarisci</v>
      </c>
      <c r="S14934" t="s">
        <v>30</v>
      </c>
      <c r="T14934" t="s">
        <v>47615</v>
      </c>
      <c r="U14934" t="s">
        <v>47616</v>
      </c>
      <c r="V14934" t="s">
        <v>47617</v>
      </c>
      <c r="W14934" t="s">
        <v>47618</v>
      </c>
      <c r="X14934" t="s">
        <v>42</v>
      </c>
      <c r="Y14934" t="s">
        <v>34325</v>
      </c>
      <c r="Z14934" t="s">
        <v>166</v>
      </c>
      <c r="AA14934" s="22" t="str">
        <f>HYPERLINK("https://www.ncbi.nlm.nih.gov/nuccore/MZ393519","NCBI Nucleotide")</f>
        <v>NCBI Nucleotide</v>
      </c>
    </row>
    <row r="14935" spans="1:27" x14ac:dyDescent="0.35">
      <c r="A14935">
        <v>1027840</v>
      </c>
      <c r="B14935">
        <v>13465</v>
      </c>
      <c r="C14935">
        <v>1</v>
      </c>
      <c r="D14935" t="s">
        <v>17166</v>
      </c>
      <c r="F14935" t="s">
        <v>34315</v>
      </c>
      <c r="H14935" t="s">
        <v>34316</v>
      </c>
      <c r="J14935" t="s">
        <v>34317</v>
      </c>
      <c r="L14935" t="s">
        <v>34318</v>
      </c>
      <c r="N14935" t="s">
        <v>34319</v>
      </c>
      <c r="P14935" t="s">
        <v>34354</v>
      </c>
      <c r="R14935" s="26" t="str">
        <f>HYPERLINK("https://ictv.global/taxonomy/taxondetails?taxnode_id=202318090","Orthohepadnavirus equidae")</f>
        <v>Orthohepadnavirus equidae</v>
      </c>
      <c r="S14935" t="s">
        <v>30</v>
      </c>
      <c r="T14935" t="s">
        <v>47619</v>
      </c>
      <c r="U14935" t="s">
        <v>47620</v>
      </c>
      <c r="V14935" t="s">
        <v>47621</v>
      </c>
      <c r="W14935" t="s">
        <v>47622</v>
      </c>
      <c r="X14935" t="s">
        <v>42</v>
      </c>
      <c r="Y14935" t="s">
        <v>34325</v>
      </c>
      <c r="Z14935" t="s">
        <v>166</v>
      </c>
      <c r="AA14935" s="22" t="str">
        <f>HYPERLINK("https://www.ncbi.nlm.nih.gov/nuccore/MT134309","NCBI Nucleotide")</f>
        <v>NCBI Nucleotide</v>
      </c>
    </row>
    <row r="14936" spans="1:27" x14ac:dyDescent="0.35">
      <c r="A14936">
        <v>1003511</v>
      </c>
      <c r="B14936">
        <v>13466</v>
      </c>
      <c r="C14936">
        <v>1</v>
      </c>
      <c r="D14936" t="s">
        <v>17166</v>
      </c>
      <c r="F14936" t="s">
        <v>34315</v>
      </c>
      <c r="H14936" t="s">
        <v>34316</v>
      </c>
      <c r="J14936" t="s">
        <v>34317</v>
      </c>
      <c r="L14936" t="s">
        <v>34318</v>
      </c>
      <c r="N14936" t="s">
        <v>34319</v>
      </c>
      <c r="P14936" t="s">
        <v>34354</v>
      </c>
      <c r="R14936" s="26" t="str">
        <f>HYPERLINK("https://ictv.global/taxonomy/taxondetails?taxnode_id=202307258","Orthohepadnavirus felisdomestici")</f>
        <v>Orthohepadnavirus felisdomestici</v>
      </c>
      <c r="S14936" t="s">
        <v>30</v>
      </c>
      <c r="T14936" t="s">
        <v>34362</v>
      </c>
      <c r="U14936" t="s">
        <v>34363</v>
      </c>
      <c r="V14936" t="s">
        <v>34364</v>
      </c>
      <c r="W14936" t="s">
        <v>34365</v>
      </c>
      <c r="X14936" t="s">
        <v>42</v>
      </c>
      <c r="Y14936" t="s">
        <v>34325</v>
      </c>
      <c r="Z14936" t="s">
        <v>166</v>
      </c>
      <c r="AA14936" s="22" t="str">
        <f>HYPERLINK("https://www.ncbi.nlm.nih.gov/nuccore/MH307930","NCBI Nucleotide")</f>
        <v>NCBI Nucleotide</v>
      </c>
    </row>
    <row r="14937" spans="1:27" x14ac:dyDescent="0.35">
      <c r="A14937">
        <v>1003513</v>
      </c>
      <c r="B14937">
        <v>13467</v>
      </c>
      <c r="C14937">
        <v>1</v>
      </c>
      <c r="D14937" t="s">
        <v>17166</v>
      </c>
      <c r="F14937" t="s">
        <v>34315</v>
      </c>
      <c r="H14937" t="s">
        <v>34316</v>
      </c>
      <c r="J14937" t="s">
        <v>34317</v>
      </c>
      <c r="L14937" t="s">
        <v>34318</v>
      </c>
      <c r="N14937" t="s">
        <v>34319</v>
      </c>
      <c r="P14937" t="s">
        <v>34354</v>
      </c>
      <c r="R14937" s="26" t="str">
        <f t="shared" ref="R14937:R14954" si="70">HYPERLINK("https://ictv.global/taxonomy/taxondetails?taxnode_id=202303653","Orthohepadnavirus hominoidei")</f>
        <v>Orthohepadnavirus hominoidei</v>
      </c>
      <c r="S14937" t="s">
        <v>30</v>
      </c>
      <c r="T14937" t="s">
        <v>34369</v>
      </c>
      <c r="U14937" t="s">
        <v>34370</v>
      </c>
      <c r="W14937" t="s">
        <v>34371</v>
      </c>
      <c r="X14937" t="s">
        <v>42</v>
      </c>
      <c r="Y14937" t="s">
        <v>34325</v>
      </c>
      <c r="Z14937" t="s">
        <v>166</v>
      </c>
      <c r="AA14937" s="22" t="str">
        <f>HYPERLINK("https://www.ncbi.nlm.nih.gov/nuccore/V01460","NCBI Nucleotide")</f>
        <v>NCBI Nucleotide</v>
      </c>
    </row>
    <row r="14938" spans="1:27" x14ac:dyDescent="0.35">
      <c r="A14938">
        <v>1011978</v>
      </c>
      <c r="B14938">
        <v>13467</v>
      </c>
      <c r="C14938">
        <v>2</v>
      </c>
      <c r="D14938" t="s">
        <v>17166</v>
      </c>
      <c r="F14938" t="s">
        <v>34315</v>
      </c>
      <c r="H14938" t="s">
        <v>34316</v>
      </c>
      <c r="J14938" t="s">
        <v>34317</v>
      </c>
      <c r="L14938" t="s">
        <v>34318</v>
      </c>
      <c r="N14938" t="s">
        <v>34319</v>
      </c>
      <c r="P14938" t="s">
        <v>34354</v>
      </c>
      <c r="R14938" s="26" t="str">
        <f t="shared" si="70"/>
        <v>Orthohepadnavirus hominoidei</v>
      </c>
      <c r="S14938" t="s">
        <v>8141</v>
      </c>
      <c r="T14938" t="s">
        <v>34410</v>
      </c>
      <c r="U14938" t="s">
        <v>34411</v>
      </c>
      <c r="V14938" t="s">
        <v>34412</v>
      </c>
      <c r="W14938" t="s">
        <v>50159</v>
      </c>
      <c r="X14938" t="s">
        <v>42</v>
      </c>
      <c r="Y14938" t="s">
        <v>34325</v>
      </c>
      <c r="Z14938" t="s">
        <v>166</v>
      </c>
      <c r="AA14938" s="22" t="str">
        <f>HYPERLINK("https://www.ncbi.nlm.nih.gov/nuccore/D00220","NCBI Nucleotide")</f>
        <v>NCBI Nucleotide</v>
      </c>
    </row>
    <row r="14939" spans="1:27" x14ac:dyDescent="0.35">
      <c r="A14939">
        <v>1011979</v>
      </c>
      <c r="B14939">
        <v>13467</v>
      </c>
      <c r="C14939">
        <v>3</v>
      </c>
      <c r="D14939" t="s">
        <v>17166</v>
      </c>
      <c r="F14939" t="s">
        <v>34315</v>
      </c>
      <c r="H14939" t="s">
        <v>34316</v>
      </c>
      <c r="J14939" t="s">
        <v>34317</v>
      </c>
      <c r="L14939" t="s">
        <v>34318</v>
      </c>
      <c r="N14939" t="s">
        <v>34319</v>
      </c>
      <c r="P14939" t="s">
        <v>34354</v>
      </c>
      <c r="R14939" s="26" t="str">
        <f t="shared" si="70"/>
        <v>Orthohepadnavirus hominoidei</v>
      </c>
      <c r="S14939" t="s">
        <v>8141</v>
      </c>
      <c r="T14939" t="s">
        <v>34413</v>
      </c>
      <c r="U14939" t="s">
        <v>34414</v>
      </c>
      <c r="V14939">
        <v>97</v>
      </c>
      <c r="W14939" t="s">
        <v>50160</v>
      </c>
      <c r="X14939" t="s">
        <v>42</v>
      </c>
      <c r="Y14939" t="s">
        <v>34325</v>
      </c>
      <c r="Z14939" t="s">
        <v>166</v>
      </c>
      <c r="AA14939" s="22" t="str">
        <f>HYPERLINK("https://www.ncbi.nlm.nih.gov/nuccore/AJ131567","NCBI Nucleotide")</f>
        <v>NCBI Nucleotide</v>
      </c>
    </row>
    <row r="14940" spans="1:27" x14ac:dyDescent="0.35">
      <c r="A14940">
        <v>1011963</v>
      </c>
      <c r="B14940">
        <v>13467</v>
      </c>
      <c r="C14940">
        <v>4</v>
      </c>
      <c r="D14940" t="s">
        <v>17166</v>
      </c>
      <c r="F14940" t="s">
        <v>34315</v>
      </c>
      <c r="H14940" t="s">
        <v>34316</v>
      </c>
      <c r="J14940" t="s">
        <v>34317</v>
      </c>
      <c r="L14940" t="s">
        <v>34318</v>
      </c>
      <c r="N14940" t="s">
        <v>34319</v>
      </c>
      <c r="P14940" t="s">
        <v>34354</v>
      </c>
      <c r="R14940" s="26" t="str">
        <f t="shared" si="70"/>
        <v>Orthohepadnavirus hominoidei</v>
      </c>
      <c r="S14940" t="s">
        <v>8141</v>
      </c>
      <c r="T14940" t="s">
        <v>34372</v>
      </c>
      <c r="U14940" t="s">
        <v>34373</v>
      </c>
      <c r="V14940" t="s">
        <v>34374</v>
      </c>
      <c r="W14940" t="s">
        <v>50161</v>
      </c>
      <c r="X14940" t="s">
        <v>42</v>
      </c>
      <c r="Y14940" t="s">
        <v>34325</v>
      </c>
      <c r="Z14940" t="s">
        <v>166</v>
      </c>
      <c r="AA14940" s="22" t="str">
        <f>HYPERLINK("https://www.ncbi.nlm.nih.gov/nuccore/X02763","NCBI Nucleotide")</f>
        <v>NCBI Nucleotide</v>
      </c>
    </row>
    <row r="14941" spans="1:27" x14ac:dyDescent="0.35">
      <c r="A14941">
        <v>1011964</v>
      </c>
      <c r="B14941">
        <v>13467</v>
      </c>
      <c r="C14941">
        <v>5</v>
      </c>
      <c r="D14941" t="s">
        <v>17166</v>
      </c>
      <c r="F14941" t="s">
        <v>34315</v>
      </c>
      <c r="H14941" t="s">
        <v>34316</v>
      </c>
      <c r="J14941" t="s">
        <v>34317</v>
      </c>
      <c r="L14941" t="s">
        <v>34318</v>
      </c>
      <c r="N14941" t="s">
        <v>34319</v>
      </c>
      <c r="P14941" t="s">
        <v>34354</v>
      </c>
      <c r="R14941" s="26" t="str">
        <f t="shared" si="70"/>
        <v>Orthohepadnavirus hominoidei</v>
      </c>
      <c r="S14941" t="s">
        <v>8141</v>
      </c>
      <c r="T14941" t="s">
        <v>34375</v>
      </c>
      <c r="U14941" t="s">
        <v>34376</v>
      </c>
      <c r="V14941" t="s">
        <v>34377</v>
      </c>
      <c r="W14941" t="s">
        <v>50162</v>
      </c>
      <c r="X14941" t="s">
        <v>42</v>
      </c>
      <c r="Y14941" t="s">
        <v>34325</v>
      </c>
      <c r="Z14941" t="s">
        <v>166</v>
      </c>
      <c r="AA14941" s="22" t="str">
        <f>HYPERLINK("https://www.ncbi.nlm.nih.gov/nuccore/D00330","NCBI Nucleotide")</f>
        <v>NCBI Nucleotide</v>
      </c>
    </row>
    <row r="14942" spans="1:27" x14ac:dyDescent="0.35">
      <c r="A14942">
        <v>1011965</v>
      </c>
      <c r="B14942">
        <v>13467</v>
      </c>
      <c r="C14942">
        <v>6</v>
      </c>
      <c r="D14942" t="s">
        <v>17166</v>
      </c>
      <c r="F14942" t="s">
        <v>34315</v>
      </c>
      <c r="H14942" t="s">
        <v>34316</v>
      </c>
      <c r="J14942" t="s">
        <v>34317</v>
      </c>
      <c r="L14942" t="s">
        <v>34318</v>
      </c>
      <c r="N14942" t="s">
        <v>34319</v>
      </c>
      <c r="P14942" t="s">
        <v>34354</v>
      </c>
      <c r="R14942" s="26" t="str">
        <f t="shared" si="70"/>
        <v>Orthohepadnavirus hominoidei</v>
      </c>
      <c r="S14942" t="s">
        <v>8141</v>
      </c>
      <c r="T14942" t="s">
        <v>34378</v>
      </c>
      <c r="U14942" t="s">
        <v>34379</v>
      </c>
      <c r="W14942" t="s">
        <v>50163</v>
      </c>
      <c r="X14942" t="s">
        <v>42</v>
      </c>
      <c r="Y14942" t="s">
        <v>34325</v>
      </c>
      <c r="Z14942" t="s">
        <v>166</v>
      </c>
      <c r="AA14942" s="22" t="str">
        <f>HYPERLINK("https://www.ncbi.nlm.nih.gov/nuccore/AY123041","NCBI Nucleotide")</f>
        <v>NCBI Nucleotide</v>
      </c>
    </row>
    <row r="14943" spans="1:27" x14ac:dyDescent="0.35">
      <c r="A14943">
        <v>1011966</v>
      </c>
      <c r="B14943">
        <v>13467</v>
      </c>
      <c r="C14943">
        <v>7</v>
      </c>
      <c r="D14943" t="s">
        <v>17166</v>
      </c>
      <c r="F14943" t="s">
        <v>34315</v>
      </c>
      <c r="H14943" t="s">
        <v>34316</v>
      </c>
      <c r="J14943" t="s">
        <v>34317</v>
      </c>
      <c r="L14943" t="s">
        <v>34318</v>
      </c>
      <c r="N14943" t="s">
        <v>34319</v>
      </c>
      <c r="P14943" t="s">
        <v>34354</v>
      </c>
      <c r="R14943" s="26" t="str">
        <f t="shared" si="70"/>
        <v>Orthohepadnavirus hominoidei</v>
      </c>
      <c r="S14943" t="s">
        <v>8141</v>
      </c>
      <c r="T14943" t="s">
        <v>34380</v>
      </c>
      <c r="U14943" t="s">
        <v>34381</v>
      </c>
      <c r="V14943" t="s">
        <v>34382</v>
      </c>
      <c r="W14943" t="s">
        <v>50164</v>
      </c>
      <c r="X14943" t="s">
        <v>42</v>
      </c>
      <c r="Y14943" t="s">
        <v>34325</v>
      </c>
      <c r="Z14943" t="s">
        <v>166</v>
      </c>
      <c r="AA14943" s="22" t="str">
        <f>HYPERLINK("https://www.ncbi.nlm.nih.gov/nuccore/X75657","NCBI Nucleotide")</f>
        <v>NCBI Nucleotide</v>
      </c>
    </row>
    <row r="14944" spans="1:27" x14ac:dyDescent="0.35">
      <c r="A14944">
        <v>1011967</v>
      </c>
      <c r="B14944">
        <v>13467</v>
      </c>
      <c r="C14944">
        <v>8</v>
      </c>
      <c r="D14944" t="s">
        <v>17166</v>
      </c>
      <c r="F14944" t="s">
        <v>34315</v>
      </c>
      <c r="H14944" t="s">
        <v>34316</v>
      </c>
      <c r="J14944" t="s">
        <v>34317</v>
      </c>
      <c r="L14944" t="s">
        <v>34318</v>
      </c>
      <c r="N14944" t="s">
        <v>34319</v>
      </c>
      <c r="P14944" t="s">
        <v>34354</v>
      </c>
      <c r="R14944" s="26" t="str">
        <f t="shared" si="70"/>
        <v>Orthohepadnavirus hominoidei</v>
      </c>
      <c r="S14944" t="s">
        <v>8141</v>
      </c>
      <c r="T14944" t="s">
        <v>34383</v>
      </c>
      <c r="U14944" t="s">
        <v>34384</v>
      </c>
      <c r="V14944" t="s">
        <v>34385</v>
      </c>
      <c r="W14944" t="s">
        <v>50165</v>
      </c>
      <c r="X14944" t="s">
        <v>42</v>
      </c>
      <c r="Y14944" t="s">
        <v>34325</v>
      </c>
      <c r="Z14944" t="s">
        <v>166</v>
      </c>
      <c r="AA14944" s="22" t="str">
        <f>HYPERLINK("https://www.ncbi.nlm.nih.gov/nuccore/X75658","NCBI Nucleotide")</f>
        <v>NCBI Nucleotide</v>
      </c>
    </row>
    <row r="14945" spans="1:27" x14ac:dyDescent="0.35">
      <c r="A14945">
        <v>1011968</v>
      </c>
      <c r="B14945">
        <v>13467</v>
      </c>
      <c r="C14945">
        <v>9</v>
      </c>
      <c r="D14945" t="s">
        <v>17166</v>
      </c>
      <c r="F14945" t="s">
        <v>34315</v>
      </c>
      <c r="H14945" t="s">
        <v>34316</v>
      </c>
      <c r="J14945" t="s">
        <v>34317</v>
      </c>
      <c r="L14945" t="s">
        <v>34318</v>
      </c>
      <c r="N14945" t="s">
        <v>34319</v>
      </c>
      <c r="P14945" t="s">
        <v>34354</v>
      </c>
      <c r="R14945" s="26" t="str">
        <f t="shared" si="70"/>
        <v>Orthohepadnavirus hominoidei</v>
      </c>
      <c r="S14945" t="s">
        <v>8141</v>
      </c>
      <c r="T14945" t="s">
        <v>34386</v>
      </c>
      <c r="U14945" t="s">
        <v>34387</v>
      </c>
      <c r="V14945" t="s">
        <v>34388</v>
      </c>
      <c r="W14945" t="s">
        <v>50166</v>
      </c>
      <c r="X14945" t="s">
        <v>42</v>
      </c>
      <c r="Y14945" t="s">
        <v>34325</v>
      </c>
      <c r="Z14945" t="s">
        <v>166</v>
      </c>
      <c r="AA14945" s="22" t="str">
        <f>HYPERLINK("https://www.ncbi.nlm.nih.gov/nuccore/AF160501","NCBI Nucleotide")</f>
        <v>NCBI Nucleotide</v>
      </c>
    </row>
    <row r="14946" spans="1:27" x14ac:dyDescent="0.35">
      <c r="A14946">
        <v>1011969</v>
      </c>
      <c r="B14946">
        <v>13467</v>
      </c>
      <c r="C14946">
        <v>10</v>
      </c>
      <c r="D14946" t="s">
        <v>17166</v>
      </c>
      <c r="F14946" t="s">
        <v>34315</v>
      </c>
      <c r="H14946" t="s">
        <v>34316</v>
      </c>
      <c r="J14946" t="s">
        <v>34317</v>
      </c>
      <c r="L14946" t="s">
        <v>34318</v>
      </c>
      <c r="N14946" t="s">
        <v>34319</v>
      </c>
      <c r="P14946" t="s">
        <v>34354</v>
      </c>
      <c r="R14946" s="26" t="str">
        <f t="shared" si="70"/>
        <v>Orthohepadnavirus hominoidei</v>
      </c>
      <c r="S14946" t="s">
        <v>8141</v>
      </c>
      <c r="T14946" t="s">
        <v>34389</v>
      </c>
      <c r="U14946" t="s">
        <v>34390</v>
      </c>
      <c r="V14946" t="s">
        <v>34391</v>
      </c>
      <c r="W14946" t="s">
        <v>50167</v>
      </c>
      <c r="X14946" t="s">
        <v>42</v>
      </c>
      <c r="Y14946" t="s">
        <v>34325</v>
      </c>
      <c r="Z14946" t="s">
        <v>166</v>
      </c>
      <c r="AA14946" s="22" t="str">
        <f>HYPERLINK("https://www.ncbi.nlm.nih.gov/nuccore/AY090454","NCBI Nucleotide")</f>
        <v>NCBI Nucleotide</v>
      </c>
    </row>
    <row r="14947" spans="1:27" x14ac:dyDescent="0.35">
      <c r="A14947">
        <v>1011970</v>
      </c>
      <c r="B14947">
        <v>13467</v>
      </c>
      <c r="C14947">
        <v>11</v>
      </c>
      <c r="D14947" t="s">
        <v>17166</v>
      </c>
      <c r="F14947" t="s">
        <v>34315</v>
      </c>
      <c r="H14947" t="s">
        <v>34316</v>
      </c>
      <c r="J14947" t="s">
        <v>34317</v>
      </c>
      <c r="L14947" t="s">
        <v>34318</v>
      </c>
      <c r="N14947" t="s">
        <v>34319</v>
      </c>
      <c r="P14947" t="s">
        <v>34354</v>
      </c>
      <c r="R14947" s="26" t="str">
        <f t="shared" si="70"/>
        <v>Orthohepadnavirus hominoidei</v>
      </c>
      <c r="S14947" t="s">
        <v>8141</v>
      </c>
      <c r="T14947" t="s">
        <v>34392</v>
      </c>
      <c r="U14947" t="s">
        <v>34393</v>
      </c>
      <c r="V14947">
        <v>8290</v>
      </c>
      <c r="W14947" t="s">
        <v>50168</v>
      </c>
      <c r="X14947" t="s">
        <v>42</v>
      </c>
      <c r="Y14947" t="s">
        <v>34325</v>
      </c>
      <c r="Z14947" t="s">
        <v>166</v>
      </c>
      <c r="AA14947" s="22" t="str">
        <f>HYPERLINK("https://www.ncbi.nlm.nih.gov/nuccore/AF241411","NCBI Nucleotide")</f>
        <v>NCBI Nucleotide</v>
      </c>
    </row>
    <row r="14948" spans="1:27" x14ac:dyDescent="0.35">
      <c r="A14948">
        <v>1011971</v>
      </c>
      <c r="B14948">
        <v>13467</v>
      </c>
      <c r="C14948">
        <v>12</v>
      </c>
      <c r="D14948" t="s">
        <v>17166</v>
      </c>
      <c r="F14948" t="s">
        <v>34315</v>
      </c>
      <c r="H14948" t="s">
        <v>34316</v>
      </c>
      <c r="J14948" t="s">
        <v>34317</v>
      </c>
      <c r="L14948" t="s">
        <v>34318</v>
      </c>
      <c r="N14948" t="s">
        <v>34319</v>
      </c>
      <c r="P14948" t="s">
        <v>34354</v>
      </c>
      <c r="R14948" s="26" t="str">
        <f t="shared" si="70"/>
        <v>Orthohepadnavirus hominoidei</v>
      </c>
      <c r="S14948" t="s">
        <v>8141</v>
      </c>
      <c r="T14948" t="s">
        <v>34394</v>
      </c>
      <c r="U14948" t="s">
        <v>34395</v>
      </c>
      <c r="V14948" t="s">
        <v>34396</v>
      </c>
      <c r="W14948" t="s">
        <v>50169</v>
      </c>
      <c r="X14948" t="s">
        <v>42</v>
      </c>
      <c r="Y14948" t="s">
        <v>34325</v>
      </c>
      <c r="Z14948" t="s">
        <v>166</v>
      </c>
      <c r="AA14948" s="22" t="str">
        <f>HYPERLINK("https://www.ncbi.nlm.nih.gov/nuccore/AB486012","NCBI Nucleotide")</f>
        <v>NCBI Nucleotide</v>
      </c>
    </row>
    <row r="14949" spans="1:27" x14ac:dyDescent="0.35">
      <c r="A14949">
        <v>1011972</v>
      </c>
      <c r="B14949">
        <v>13467</v>
      </c>
      <c r="C14949">
        <v>13</v>
      </c>
      <c r="D14949" t="s">
        <v>17166</v>
      </c>
      <c r="F14949" t="s">
        <v>34315</v>
      </c>
      <c r="H14949" t="s">
        <v>34316</v>
      </c>
      <c r="J14949" t="s">
        <v>34317</v>
      </c>
      <c r="L14949" t="s">
        <v>34318</v>
      </c>
      <c r="N14949" t="s">
        <v>34319</v>
      </c>
      <c r="P14949" t="s">
        <v>34354</v>
      </c>
      <c r="R14949" s="26" t="str">
        <f t="shared" si="70"/>
        <v>Orthohepadnavirus hominoidei</v>
      </c>
      <c r="S14949" t="s">
        <v>8141</v>
      </c>
      <c r="T14949" t="s">
        <v>34397</v>
      </c>
      <c r="U14949" t="s">
        <v>34398</v>
      </c>
      <c r="V14949">
        <v>759</v>
      </c>
      <c r="W14949" t="s">
        <v>50170</v>
      </c>
      <c r="X14949" t="s">
        <v>42</v>
      </c>
      <c r="Y14949" t="s">
        <v>34325</v>
      </c>
      <c r="Z14949" t="s">
        <v>166</v>
      </c>
      <c r="AA14949" s="22" t="str">
        <f>HYPERLINK("https://www.ncbi.nlm.nih.gov/nuccore/AJ131569","NCBI Nucleotide")</f>
        <v>NCBI Nucleotide</v>
      </c>
    </row>
    <row r="14950" spans="1:27" x14ac:dyDescent="0.35">
      <c r="A14950">
        <v>1011973</v>
      </c>
      <c r="B14950">
        <v>13467</v>
      </c>
      <c r="C14950">
        <v>14</v>
      </c>
      <c r="D14950" t="s">
        <v>17166</v>
      </c>
      <c r="F14950" t="s">
        <v>34315</v>
      </c>
      <c r="H14950" t="s">
        <v>34316</v>
      </c>
      <c r="J14950" t="s">
        <v>34317</v>
      </c>
      <c r="L14950" t="s">
        <v>34318</v>
      </c>
      <c r="N14950" t="s">
        <v>34319</v>
      </c>
      <c r="P14950" t="s">
        <v>34354</v>
      </c>
      <c r="R14950" s="26" t="str">
        <f t="shared" si="70"/>
        <v>Orthohepadnavirus hominoidei</v>
      </c>
      <c r="S14950" t="s">
        <v>8141</v>
      </c>
      <c r="T14950" t="s">
        <v>34399</v>
      </c>
      <c r="U14950" t="s">
        <v>34400</v>
      </c>
      <c r="V14950">
        <v>645</v>
      </c>
      <c r="W14950" t="s">
        <v>50171</v>
      </c>
      <c r="X14950" t="s">
        <v>42</v>
      </c>
      <c r="Y14950" t="s">
        <v>34325</v>
      </c>
      <c r="Z14950" t="s">
        <v>166</v>
      </c>
      <c r="AA14950" s="22" t="str">
        <f>HYPERLINK("https://www.ncbi.nlm.nih.gov/nuccore/AJ131571","NCBI Nucleotide")</f>
        <v>NCBI Nucleotide</v>
      </c>
    </row>
    <row r="14951" spans="1:27" x14ac:dyDescent="0.35">
      <c r="A14951">
        <v>1011974</v>
      </c>
      <c r="B14951">
        <v>13467</v>
      </c>
      <c r="C14951">
        <v>15</v>
      </c>
      <c r="D14951" t="s">
        <v>17166</v>
      </c>
      <c r="F14951" t="s">
        <v>34315</v>
      </c>
      <c r="H14951" t="s">
        <v>34316</v>
      </c>
      <c r="J14951" t="s">
        <v>34317</v>
      </c>
      <c r="L14951" t="s">
        <v>34318</v>
      </c>
      <c r="N14951" t="s">
        <v>34319</v>
      </c>
      <c r="P14951" t="s">
        <v>34354</v>
      </c>
      <c r="R14951" s="26" t="str">
        <f t="shared" si="70"/>
        <v>Orthohepadnavirus hominoidei</v>
      </c>
      <c r="S14951" t="s">
        <v>8141</v>
      </c>
      <c r="T14951" t="s">
        <v>34401</v>
      </c>
      <c r="U14951" t="s">
        <v>34402</v>
      </c>
      <c r="V14951">
        <v>160</v>
      </c>
      <c r="W14951" t="s">
        <v>50172</v>
      </c>
      <c r="X14951" t="s">
        <v>42</v>
      </c>
      <c r="Y14951" t="s">
        <v>34325</v>
      </c>
      <c r="Z14951" t="s">
        <v>166</v>
      </c>
      <c r="AA14951" s="22" t="str">
        <f>HYPERLINK("https://www.ncbi.nlm.nih.gov/nuccore/AJ131572","NCBI Nucleotide")</f>
        <v>NCBI Nucleotide</v>
      </c>
    </row>
    <row r="14952" spans="1:27" x14ac:dyDescent="0.35">
      <c r="A14952">
        <v>1011975</v>
      </c>
      <c r="B14952">
        <v>13467</v>
      </c>
      <c r="C14952">
        <v>16</v>
      </c>
      <c r="D14952" t="s">
        <v>17166</v>
      </c>
      <c r="F14952" t="s">
        <v>34315</v>
      </c>
      <c r="H14952" t="s">
        <v>34316</v>
      </c>
      <c r="J14952" t="s">
        <v>34317</v>
      </c>
      <c r="L14952" t="s">
        <v>34318</v>
      </c>
      <c r="N14952" t="s">
        <v>34319</v>
      </c>
      <c r="P14952" t="s">
        <v>34354</v>
      </c>
      <c r="R14952" s="26" t="str">
        <f t="shared" si="70"/>
        <v>Orthohepadnavirus hominoidei</v>
      </c>
      <c r="S14952" t="s">
        <v>8141</v>
      </c>
      <c r="T14952" t="s">
        <v>34403</v>
      </c>
      <c r="U14952" t="s">
        <v>34404</v>
      </c>
      <c r="V14952">
        <v>153</v>
      </c>
      <c r="W14952" t="s">
        <v>50173</v>
      </c>
      <c r="X14952" t="s">
        <v>42</v>
      </c>
      <c r="Y14952" t="s">
        <v>34325</v>
      </c>
      <c r="Z14952" t="s">
        <v>166</v>
      </c>
      <c r="AA14952" s="22" t="str">
        <f>HYPERLINK("https://www.ncbi.nlm.nih.gov/nuccore/AJ131573","NCBI Nucleotide")</f>
        <v>NCBI Nucleotide</v>
      </c>
    </row>
    <row r="14953" spans="1:27" x14ac:dyDescent="0.35">
      <c r="A14953">
        <v>1011976</v>
      </c>
      <c r="B14953">
        <v>13467</v>
      </c>
      <c r="C14953">
        <v>17</v>
      </c>
      <c r="D14953" t="s">
        <v>17166</v>
      </c>
      <c r="F14953" t="s">
        <v>34315</v>
      </c>
      <c r="H14953" t="s">
        <v>34316</v>
      </c>
      <c r="J14953" t="s">
        <v>34317</v>
      </c>
      <c r="L14953" t="s">
        <v>34318</v>
      </c>
      <c r="N14953" t="s">
        <v>34319</v>
      </c>
      <c r="P14953" t="s">
        <v>34354</v>
      </c>
      <c r="R14953" s="26" t="str">
        <f t="shared" si="70"/>
        <v>Orthohepadnavirus hominoidei</v>
      </c>
      <c r="S14953" t="s">
        <v>8141</v>
      </c>
      <c r="T14953" t="s">
        <v>34405</v>
      </c>
      <c r="U14953" t="s">
        <v>34406</v>
      </c>
      <c r="V14953">
        <v>151</v>
      </c>
      <c r="W14953" t="s">
        <v>50174</v>
      </c>
      <c r="X14953" t="s">
        <v>42</v>
      </c>
      <c r="Y14953" t="s">
        <v>34325</v>
      </c>
      <c r="Z14953" t="s">
        <v>166</v>
      </c>
      <c r="AA14953" s="22" t="str">
        <f>HYPERLINK("https://www.ncbi.nlm.nih.gov/nuccore/AJ131574","NCBI Nucleotide")</f>
        <v>NCBI Nucleotide</v>
      </c>
    </row>
    <row r="14954" spans="1:27" x14ac:dyDescent="0.35">
      <c r="A14954">
        <v>1011977</v>
      </c>
      <c r="B14954">
        <v>13467</v>
      </c>
      <c r="C14954">
        <v>18</v>
      </c>
      <c r="D14954" t="s">
        <v>17166</v>
      </c>
      <c r="F14954" t="s">
        <v>34315</v>
      </c>
      <c r="H14954" t="s">
        <v>34316</v>
      </c>
      <c r="J14954" t="s">
        <v>34317</v>
      </c>
      <c r="L14954" t="s">
        <v>34318</v>
      </c>
      <c r="N14954" t="s">
        <v>34319</v>
      </c>
      <c r="P14954" t="s">
        <v>34354</v>
      </c>
      <c r="R14954" s="26" t="str">
        <f t="shared" si="70"/>
        <v>Orthohepadnavirus hominoidei</v>
      </c>
      <c r="S14954" t="s">
        <v>8141</v>
      </c>
      <c r="T14954" t="s">
        <v>34407</v>
      </c>
      <c r="U14954" t="s">
        <v>34408</v>
      </c>
      <c r="V14954" t="s">
        <v>34409</v>
      </c>
      <c r="W14954" t="s">
        <v>50175</v>
      </c>
      <c r="X14954" t="s">
        <v>42</v>
      </c>
      <c r="Y14954" t="s">
        <v>34325</v>
      </c>
      <c r="Z14954" t="s">
        <v>166</v>
      </c>
      <c r="AA14954" s="22" t="str">
        <f>HYPERLINK("https://www.ncbi.nlm.nih.gov/nuccore/AF193864","NCBI Nucleotide")</f>
        <v>NCBI Nucleotide</v>
      </c>
    </row>
    <row r="14955" spans="1:27" x14ac:dyDescent="0.35">
      <c r="A14955">
        <v>1003520</v>
      </c>
      <c r="B14955">
        <v>13468</v>
      </c>
      <c r="C14955">
        <v>1</v>
      </c>
      <c r="D14955" t="s">
        <v>17166</v>
      </c>
      <c r="F14955" t="s">
        <v>34315</v>
      </c>
      <c r="H14955" t="s">
        <v>34316</v>
      </c>
      <c r="J14955" t="s">
        <v>34317</v>
      </c>
      <c r="L14955" t="s">
        <v>34318</v>
      </c>
      <c r="N14955" t="s">
        <v>34319</v>
      </c>
      <c r="P14955" t="s">
        <v>34354</v>
      </c>
      <c r="R14955" s="26" t="str">
        <f>HYPERLINK("https://ictv.global/taxonomy/taxondetails?taxnode_id=202303659","Orthohepadnavirus lagothricis")</f>
        <v>Orthohepadnavirus lagothricis</v>
      </c>
      <c r="S14955" t="s">
        <v>30</v>
      </c>
      <c r="T14955" t="s">
        <v>34440</v>
      </c>
      <c r="U14955" t="s">
        <v>34441</v>
      </c>
      <c r="W14955" t="s">
        <v>34442</v>
      </c>
      <c r="X14955" t="s">
        <v>42</v>
      </c>
      <c r="Y14955" t="s">
        <v>34325</v>
      </c>
      <c r="Z14955" t="s">
        <v>166</v>
      </c>
      <c r="AA14955" s="22" t="str">
        <f>HYPERLINK("https://www.ncbi.nlm.nih.gov/nuccore/AF046996","NCBI Nucleotide")</f>
        <v>NCBI Nucleotide</v>
      </c>
    </row>
    <row r="14956" spans="1:27" x14ac:dyDescent="0.35">
      <c r="A14956">
        <v>1003514</v>
      </c>
      <c r="B14956">
        <v>13469</v>
      </c>
      <c r="C14956">
        <v>1</v>
      </c>
      <c r="D14956" t="s">
        <v>17166</v>
      </c>
      <c r="F14956" t="s">
        <v>34315</v>
      </c>
      <c r="H14956" t="s">
        <v>34316</v>
      </c>
      <c r="J14956" t="s">
        <v>34317</v>
      </c>
      <c r="L14956" t="s">
        <v>34318</v>
      </c>
      <c r="N14956" t="s">
        <v>34319</v>
      </c>
      <c r="P14956" t="s">
        <v>34354</v>
      </c>
      <c r="R14956" s="26" t="str">
        <f>HYPERLINK("https://ictv.global/taxonomy/taxondetails?taxnode_id=202303654","Orthohepadnavirus longidigiti")</f>
        <v>Orthohepadnavirus longidigiti</v>
      </c>
      <c r="S14956" t="s">
        <v>30</v>
      </c>
      <c r="T14956" t="s">
        <v>34415</v>
      </c>
      <c r="U14956" t="s">
        <v>34416</v>
      </c>
      <c r="V14956">
        <v>776</v>
      </c>
      <c r="W14956" t="s">
        <v>34417</v>
      </c>
      <c r="X14956" t="s">
        <v>42</v>
      </c>
      <c r="Y14956" t="s">
        <v>34325</v>
      </c>
      <c r="Z14956" t="s">
        <v>166</v>
      </c>
      <c r="AA14956" s="22" t="str">
        <f>HYPERLINK("https://www.ncbi.nlm.nih.gov/nuccore/JX941466","NCBI Nucleotide")</f>
        <v>NCBI Nucleotide</v>
      </c>
    </row>
    <row r="14957" spans="1:27" x14ac:dyDescent="0.35">
      <c r="A14957">
        <v>1027841</v>
      </c>
      <c r="B14957">
        <v>13470</v>
      </c>
      <c r="C14957">
        <v>1</v>
      </c>
      <c r="D14957" t="s">
        <v>17166</v>
      </c>
      <c r="F14957" t="s">
        <v>34315</v>
      </c>
      <c r="H14957" t="s">
        <v>34316</v>
      </c>
      <c r="J14957" t="s">
        <v>34317</v>
      </c>
      <c r="L14957" t="s">
        <v>34318</v>
      </c>
      <c r="N14957" t="s">
        <v>34319</v>
      </c>
      <c r="P14957" t="s">
        <v>34354</v>
      </c>
      <c r="R14957" s="26" t="str">
        <f>HYPERLINK("https://ictv.global/taxonomy/taxondetails?taxnode_id=202318084","Orthohepadnavirus magniferrequini")</f>
        <v>Orthohepadnavirus magniferrequini</v>
      </c>
      <c r="S14957" t="s">
        <v>30</v>
      </c>
      <c r="T14957" t="s">
        <v>47623</v>
      </c>
      <c r="U14957" t="s">
        <v>47624</v>
      </c>
      <c r="V14957" t="s">
        <v>47625</v>
      </c>
      <c r="W14957" t="s">
        <v>47626</v>
      </c>
      <c r="X14957" t="s">
        <v>42</v>
      </c>
      <c r="Y14957" t="s">
        <v>34325</v>
      </c>
      <c r="Z14957" t="s">
        <v>166</v>
      </c>
      <c r="AA14957" s="22" t="str">
        <f>HYPERLINK("https://www.ncbi.nlm.nih.gov/nuccore/KY962687","NCBI Nucleotide")</f>
        <v>NCBI Nucleotide</v>
      </c>
    </row>
    <row r="14958" spans="1:27" x14ac:dyDescent="0.35">
      <c r="A14958">
        <v>1027842</v>
      </c>
      <c r="B14958">
        <v>13471</v>
      </c>
      <c r="C14958">
        <v>1</v>
      </c>
      <c r="D14958" t="s">
        <v>17166</v>
      </c>
      <c r="F14958" t="s">
        <v>34315</v>
      </c>
      <c r="H14958" t="s">
        <v>34316</v>
      </c>
      <c r="J14958" t="s">
        <v>34317</v>
      </c>
      <c r="L14958" t="s">
        <v>34318</v>
      </c>
      <c r="N14958" t="s">
        <v>34319</v>
      </c>
      <c r="P14958" t="s">
        <v>34354</v>
      </c>
      <c r="R14958" s="26" t="str">
        <f>HYPERLINK("https://ictv.global/taxonomy/taxondetails?taxnode_id=202318086","Orthohepadnavirus magnimyotis")</f>
        <v>Orthohepadnavirus magnimyotis</v>
      </c>
      <c r="S14958" t="s">
        <v>30</v>
      </c>
      <c r="T14958" t="s">
        <v>47627</v>
      </c>
      <c r="U14958" t="s">
        <v>47628</v>
      </c>
      <c r="V14958" t="s">
        <v>47629</v>
      </c>
      <c r="W14958" t="s">
        <v>47630</v>
      </c>
      <c r="X14958" t="s">
        <v>42</v>
      </c>
      <c r="Y14958" t="s">
        <v>34325</v>
      </c>
      <c r="Z14958" t="s">
        <v>166</v>
      </c>
      <c r="AA14958" s="22" t="str">
        <f>HYPERLINK("https://www.ncbi.nlm.nih.gov/nuccore/OM030297","NCBI Nucleotide")</f>
        <v>NCBI Nucleotide</v>
      </c>
    </row>
    <row r="14959" spans="1:27" x14ac:dyDescent="0.35">
      <c r="A14959">
        <v>1003519</v>
      </c>
      <c r="B14959">
        <v>13472</v>
      </c>
      <c r="C14959">
        <v>1</v>
      </c>
      <c r="D14959" t="s">
        <v>17166</v>
      </c>
      <c r="F14959" t="s">
        <v>34315</v>
      </c>
      <c r="H14959" t="s">
        <v>34316</v>
      </c>
      <c r="J14959" t="s">
        <v>34317</v>
      </c>
      <c r="L14959" t="s">
        <v>34318</v>
      </c>
      <c r="N14959" t="s">
        <v>34319</v>
      </c>
      <c r="P14959" t="s">
        <v>34354</v>
      </c>
      <c r="R14959" s="26" t="str">
        <f>HYPERLINK("https://ictv.global/taxonomy/taxondetails?taxnode_id=202303658","Orthohepadnavirus marmotae")</f>
        <v>Orthohepadnavirus marmotae</v>
      </c>
      <c r="S14959" t="s">
        <v>30</v>
      </c>
      <c r="T14959" t="s">
        <v>34437</v>
      </c>
      <c r="U14959" t="s">
        <v>34438</v>
      </c>
      <c r="W14959" t="s">
        <v>34439</v>
      </c>
      <c r="X14959" t="s">
        <v>42</v>
      </c>
      <c r="Y14959" t="s">
        <v>34325</v>
      </c>
      <c r="Z14959" t="s">
        <v>166</v>
      </c>
      <c r="AA14959" s="22" t="str">
        <f>HYPERLINK("https://www.ncbi.nlm.nih.gov/nuccore/M18752","NCBI Nucleotide")</f>
        <v>NCBI Nucleotide</v>
      </c>
    </row>
    <row r="14960" spans="1:27" x14ac:dyDescent="0.35">
      <c r="A14960">
        <v>1027843</v>
      </c>
      <c r="B14960">
        <v>13473</v>
      </c>
      <c r="C14960">
        <v>1</v>
      </c>
      <c r="D14960" t="s">
        <v>17166</v>
      </c>
      <c r="F14960" t="s">
        <v>34315</v>
      </c>
      <c r="H14960" t="s">
        <v>34316</v>
      </c>
      <c r="J14960" t="s">
        <v>34317</v>
      </c>
      <c r="L14960" t="s">
        <v>34318</v>
      </c>
      <c r="N14960" t="s">
        <v>34319</v>
      </c>
      <c r="P14960" t="s">
        <v>34354</v>
      </c>
      <c r="R14960" s="26" t="str">
        <f>HYPERLINK("https://ictv.global/taxonomy/taxondetails?taxnode_id=202318085","Orthohepadnavirus myominrhinus")</f>
        <v>Orthohepadnavirus myominrhinus</v>
      </c>
      <c r="S14960" t="s">
        <v>30</v>
      </c>
      <c r="T14960" t="s">
        <v>47631</v>
      </c>
      <c r="U14960" t="s">
        <v>47632</v>
      </c>
      <c r="V14960" t="s">
        <v>47633</v>
      </c>
      <c r="W14960" t="s">
        <v>47634</v>
      </c>
      <c r="X14960" t="s">
        <v>42</v>
      </c>
      <c r="Y14960" t="s">
        <v>34325</v>
      </c>
      <c r="Z14960" t="s">
        <v>166</v>
      </c>
      <c r="AA14960" s="22" t="str">
        <f>HYPERLINK("https://www.ncbi.nlm.nih.gov/nuccore/KY962683","NCBI Nucleotide")</f>
        <v>NCBI Nucleotide</v>
      </c>
    </row>
    <row r="14961" spans="1:27" x14ac:dyDescent="0.35">
      <c r="A14961">
        <v>1003517</v>
      </c>
      <c r="B14961">
        <v>13474</v>
      </c>
      <c r="C14961">
        <v>1</v>
      </c>
      <c r="D14961" t="s">
        <v>17166</v>
      </c>
      <c r="F14961" t="s">
        <v>34315</v>
      </c>
      <c r="H14961" t="s">
        <v>34316</v>
      </c>
      <c r="J14961" t="s">
        <v>34317</v>
      </c>
      <c r="L14961" t="s">
        <v>34318</v>
      </c>
      <c r="N14961" t="s">
        <v>34319</v>
      </c>
      <c r="P14961" t="s">
        <v>34354</v>
      </c>
      <c r="R14961" s="26" t="str">
        <f>HYPERLINK("https://ictv.global/taxonomy/taxondetails?taxnode_id=202307259","Orthohepadnavirus philantombae")</f>
        <v>Orthohepadnavirus philantombae</v>
      </c>
      <c r="S14961" t="s">
        <v>30</v>
      </c>
      <c r="T14961" t="s">
        <v>34429</v>
      </c>
      <c r="U14961" t="s">
        <v>34430</v>
      </c>
      <c r="V14961" t="s">
        <v>34431</v>
      </c>
      <c r="W14961" t="s">
        <v>34432</v>
      </c>
      <c r="X14961" t="s">
        <v>42</v>
      </c>
      <c r="Y14961" t="s">
        <v>34325</v>
      </c>
      <c r="Z14961" t="s">
        <v>166</v>
      </c>
      <c r="AA14961" s="22" t="str">
        <f>HYPERLINK("https://www.ncbi.nlm.nih.gov/nuccore/MK620908","NCBI Nucleotide")</f>
        <v>NCBI Nucleotide</v>
      </c>
    </row>
    <row r="14962" spans="1:27" x14ac:dyDescent="0.35">
      <c r="A14962">
        <v>1003515</v>
      </c>
      <c r="B14962">
        <v>13475</v>
      </c>
      <c r="C14962">
        <v>1</v>
      </c>
      <c r="D14962" t="s">
        <v>17166</v>
      </c>
      <c r="F14962" t="s">
        <v>34315</v>
      </c>
      <c r="H14962" t="s">
        <v>34316</v>
      </c>
      <c r="J14962" t="s">
        <v>34317</v>
      </c>
      <c r="L14962" t="s">
        <v>34318</v>
      </c>
      <c r="N14962" t="s">
        <v>34319</v>
      </c>
      <c r="P14962" t="s">
        <v>34354</v>
      </c>
      <c r="R14962" s="26" t="str">
        <f>HYPERLINK("https://ictv.global/taxonomy/taxondetails?taxnode_id=202303655","Orthohepadnavirus pomi")</f>
        <v>Orthohepadnavirus pomi</v>
      </c>
      <c r="S14962" t="s">
        <v>30</v>
      </c>
      <c r="T14962" t="s">
        <v>34418</v>
      </c>
      <c r="U14962" t="s">
        <v>34419</v>
      </c>
      <c r="V14962" t="s">
        <v>34420</v>
      </c>
      <c r="W14962" t="s">
        <v>34421</v>
      </c>
      <c r="X14962" t="s">
        <v>42</v>
      </c>
      <c r="Y14962" t="s">
        <v>34325</v>
      </c>
      <c r="Z14962" t="s">
        <v>166</v>
      </c>
      <c r="AA14962" s="22" t="str">
        <f>HYPERLINK("https://www.ncbi.nlm.nih.gov/nuccore/KF939649","NCBI Nucleotide")</f>
        <v>NCBI Nucleotide</v>
      </c>
    </row>
    <row r="14963" spans="1:27" x14ac:dyDescent="0.35">
      <c r="A14963">
        <v>1003516</v>
      </c>
      <c r="B14963">
        <v>13476</v>
      </c>
      <c r="C14963">
        <v>1</v>
      </c>
      <c r="D14963" t="s">
        <v>17166</v>
      </c>
      <c r="F14963" t="s">
        <v>34315</v>
      </c>
      <c r="H14963" t="s">
        <v>34316</v>
      </c>
      <c r="J14963" t="s">
        <v>34317</v>
      </c>
      <c r="L14963" t="s">
        <v>34318</v>
      </c>
      <c r="N14963" t="s">
        <v>34319</v>
      </c>
      <c r="P14963" t="s">
        <v>34354</v>
      </c>
      <c r="R14963" s="26" t="str">
        <f>HYPERLINK("https://ictv.global/taxonomy/taxondetails?taxnode_id=202303656","Orthohepadnavirus rotundifolii")</f>
        <v>Orthohepadnavirus rotundifolii</v>
      </c>
      <c r="S14963" t="s">
        <v>30</v>
      </c>
      <c r="T14963" t="s">
        <v>34422</v>
      </c>
      <c r="U14963" t="s">
        <v>34423</v>
      </c>
      <c r="V14963" t="s">
        <v>34424</v>
      </c>
      <c r="W14963" t="s">
        <v>34425</v>
      </c>
      <c r="X14963" t="s">
        <v>42</v>
      </c>
      <c r="Y14963" t="s">
        <v>34325</v>
      </c>
      <c r="Z14963" t="s">
        <v>166</v>
      </c>
      <c r="AA14963" s="22" t="str">
        <f>HYPERLINK("https://www.ncbi.nlm.nih.gov/nuccore/KC790376","NCBI Nucleotide")</f>
        <v>NCBI Nucleotide</v>
      </c>
    </row>
    <row r="14964" spans="1:27" x14ac:dyDescent="0.35">
      <c r="A14964">
        <v>1011980</v>
      </c>
      <c r="B14964">
        <v>13476</v>
      </c>
      <c r="C14964">
        <v>2</v>
      </c>
      <c r="D14964" t="s">
        <v>17166</v>
      </c>
      <c r="F14964" t="s">
        <v>34315</v>
      </c>
      <c r="H14964" t="s">
        <v>34316</v>
      </c>
      <c r="J14964" t="s">
        <v>34317</v>
      </c>
      <c r="L14964" t="s">
        <v>34318</v>
      </c>
      <c r="N14964" t="s">
        <v>34319</v>
      </c>
      <c r="P14964" t="s">
        <v>34354</v>
      </c>
      <c r="R14964" s="26" t="str">
        <f>HYPERLINK("https://ictv.global/taxonomy/taxondetails?taxnode_id=202303656","Orthohepadnavirus rotundifolii")</f>
        <v>Orthohepadnavirus rotundifolii</v>
      </c>
      <c r="S14964" t="s">
        <v>8141</v>
      </c>
      <c r="T14964" t="s">
        <v>34426</v>
      </c>
      <c r="U14964" t="s">
        <v>34427</v>
      </c>
      <c r="V14964" t="s">
        <v>34428</v>
      </c>
      <c r="W14964" t="s">
        <v>50176</v>
      </c>
      <c r="X14964" t="s">
        <v>42</v>
      </c>
      <c r="Y14964" t="s">
        <v>34325</v>
      </c>
      <c r="Z14964" t="s">
        <v>166</v>
      </c>
      <c r="AA14964" s="22" t="str">
        <f>HYPERLINK("https://www.ncbi.nlm.nih.gov/nuccore/KC790377","NCBI Nucleotide")</f>
        <v>NCBI Nucleotide</v>
      </c>
    </row>
    <row r="14965" spans="1:27" x14ac:dyDescent="0.35">
      <c r="A14965">
        <v>1003509</v>
      </c>
      <c r="B14965">
        <v>13477</v>
      </c>
      <c r="C14965">
        <v>1</v>
      </c>
      <c r="D14965" t="s">
        <v>17166</v>
      </c>
      <c r="F14965" t="s">
        <v>34315</v>
      </c>
      <c r="H14965" t="s">
        <v>34316</v>
      </c>
      <c r="J14965" t="s">
        <v>34317</v>
      </c>
      <c r="L14965" t="s">
        <v>34318</v>
      </c>
      <c r="N14965" t="s">
        <v>34319</v>
      </c>
      <c r="P14965" t="s">
        <v>34354</v>
      </c>
      <c r="R14965" s="26" t="str">
        <f>HYPERLINK("https://ictv.global/taxonomy/taxondetails?taxnode_id=202306328","Orthohepadnavirus sapaji")</f>
        <v>Orthohepadnavirus sapaji</v>
      </c>
      <c r="S14965" t="s">
        <v>30</v>
      </c>
      <c r="T14965" t="s">
        <v>34355</v>
      </c>
      <c r="U14965" t="s">
        <v>34356</v>
      </c>
      <c r="V14965" t="s">
        <v>32841</v>
      </c>
      <c r="W14965" t="s">
        <v>34357</v>
      </c>
      <c r="X14965" t="s">
        <v>42</v>
      </c>
      <c r="Y14965" t="s">
        <v>34325</v>
      </c>
      <c r="Z14965" t="s">
        <v>166</v>
      </c>
      <c r="AA14965" s="22" t="str">
        <f>HYPERLINK("https://www.ncbi.nlm.nih.gov/nuccore/KY703886","NCBI Nucleotide")</f>
        <v>NCBI Nucleotide</v>
      </c>
    </row>
    <row r="14966" spans="1:27" x14ac:dyDescent="0.35">
      <c r="A14966">
        <v>1003512</v>
      </c>
      <c r="B14966">
        <v>13478</v>
      </c>
      <c r="C14966">
        <v>1</v>
      </c>
      <c r="D14966" t="s">
        <v>17166</v>
      </c>
      <c r="F14966" t="s">
        <v>34315</v>
      </c>
      <c r="H14966" t="s">
        <v>34316</v>
      </c>
      <c r="J14966" t="s">
        <v>34317</v>
      </c>
      <c r="L14966" t="s">
        <v>34318</v>
      </c>
      <c r="N14966" t="s">
        <v>34319</v>
      </c>
      <c r="P14966" t="s">
        <v>34354</v>
      </c>
      <c r="R14966" s="26" t="str">
        <f>HYPERLINK("https://ictv.global/taxonomy/taxondetails?taxnode_id=202303652","Orthohepadnavirus sciuri")</f>
        <v>Orthohepadnavirus sciuri</v>
      </c>
      <c r="S14966" t="s">
        <v>30</v>
      </c>
      <c r="T14966" t="s">
        <v>34366</v>
      </c>
      <c r="U14966" t="s">
        <v>34367</v>
      </c>
      <c r="W14966" t="s">
        <v>34368</v>
      </c>
      <c r="X14966" t="s">
        <v>42</v>
      </c>
      <c r="Y14966" t="s">
        <v>34325</v>
      </c>
      <c r="Z14966" t="s">
        <v>166</v>
      </c>
      <c r="AA14966" s="22" t="str">
        <f>HYPERLINK("https://www.ncbi.nlm.nih.gov/nuccore/K02715","NCBI Nucleotide")</f>
        <v>NCBI Nucleotide</v>
      </c>
    </row>
    <row r="14967" spans="1:27" x14ac:dyDescent="0.35">
      <c r="A14967">
        <v>1027844</v>
      </c>
      <c r="B14967">
        <v>13479</v>
      </c>
      <c r="C14967">
        <v>1</v>
      </c>
      <c r="D14967" t="s">
        <v>17166</v>
      </c>
      <c r="F14967" t="s">
        <v>34315</v>
      </c>
      <c r="H14967" t="s">
        <v>34316</v>
      </c>
      <c r="J14967" t="s">
        <v>34317</v>
      </c>
      <c r="L14967" t="s">
        <v>34318</v>
      </c>
      <c r="N14967" t="s">
        <v>34319</v>
      </c>
      <c r="P14967" t="s">
        <v>34354</v>
      </c>
      <c r="R14967" s="26" t="str">
        <f>HYPERLINK("https://ictv.global/taxonomy/taxondetails?taxnode_id=202318087","Orthohepadnavirus soricicoronati")</f>
        <v>Orthohepadnavirus soricicoronati</v>
      </c>
      <c r="S14967" t="s">
        <v>30</v>
      </c>
      <c r="T14967" t="s">
        <v>47635</v>
      </c>
      <c r="U14967" t="s">
        <v>47636</v>
      </c>
      <c r="V14967" t="s">
        <v>47637</v>
      </c>
      <c r="W14967" t="s">
        <v>47638</v>
      </c>
      <c r="X14967" t="s">
        <v>42</v>
      </c>
      <c r="Y14967" t="s">
        <v>34325</v>
      </c>
      <c r="Z14967" t="s">
        <v>166</v>
      </c>
      <c r="AA14967" s="22" t="str">
        <f>HYPERLINK("https://www.ncbi.nlm.nih.gov/nuccore/MK345465","NCBI Nucleotide")</f>
        <v>NCBI Nucleotide</v>
      </c>
    </row>
    <row r="14968" spans="1:27" x14ac:dyDescent="0.35">
      <c r="A14968">
        <v>1027845</v>
      </c>
      <c r="B14968">
        <v>13480</v>
      </c>
      <c r="C14968">
        <v>1</v>
      </c>
      <c r="D14968" t="s">
        <v>17166</v>
      </c>
      <c r="F14968" t="s">
        <v>34315</v>
      </c>
      <c r="H14968" t="s">
        <v>34316</v>
      </c>
      <c r="J14968" t="s">
        <v>34317</v>
      </c>
      <c r="L14968" t="s">
        <v>34318</v>
      </c>
      <c r="N14968" t="s">
        <v>34319</v>
      </c>
      <c r="P14968" t="s">
        <v>34354</v>
      </c>
      <c r="R14968" s="26" t="str">
        <f>HYPERLINK("https://ictv.global/taxonomy/taxondetails?taxnode_id=202318088","Orthohepadnavirus soriciodoris")</f>
        <v>Orthohepadnavirus soriciodoris</v>
      </c>
      <c r="S14968" t="s">
        <v>30</v>
      </c>
      <c r="T14968" t="s">
        <v>47639</v>
      </c>
      <c r="U14968" t="s">
        <v>47640</v>
      </c>
      <c r="V14968" t="s">
        <v>47641</v>
      </c>
      <c r="W14968" t="s">
        <v>47642</v>
      </c>
      <c r="X14968" t="s">
        <v>42</v>
      </c>
      <c r="Y14968" t="s">
        <v>34325</v>
      </c>
      <c r="Z14968" t="s">
        <v>166</v>
      </c>
      <c r="AA14968" s="22" t="str">
        <f>HYPERLINK("https://www.ncbi.nlm.nih.gov/nuccore/MK345463","NCBI Nucleotide")</f>
        <v>NCBI Nucleotide</v>
      </c>
    </row>
    <row r="14969" spans="1:27" x14ac:dyDescent="0.35">
      <c r="A14969">
        <v>1003510</v>
      </c>
      <c r="B14969">
        <v>13481</v>
      </c>
      <c r="C14969">
        <v>1</v>
      </c>
      <c r="D14969" t="s">
        <v>17166</v>
      </c>
      <c r="F14969" t="s">
        <v>34315</v>
      </c>
      <c r="H14969" t="s">
        <v>34316</v>
      </c>
      <c r="J14969" t="s">
        <v>34317</v>
      </c>
      <c r="L14969" t="s">
        <v>34318</v>
      </c>
      <c r="N14969" t="s">
        <v>34319</v>
      </c>
      <c r="P14969" t="s">
        <v>34354</v>
      </c>
      <c r="R14969" s="26" t="str">
        <f>HYPERLINK("https://ictv.global/taxonomy/taxondetails?taxnode_id=202307260","Orthohepadnavirus soricisinensis")</f>
        <v>Orthohepadnavirus soricisinensis</v>
      </c>
      <c r="S14969" t="s">
        <v>30</v>
      </c>
      <c r="T14969" t="s">
        <v>34358</v>
      </c>
      <c r="U14969" t="s">
        <v>34359</v>
      </c>
      <c r="V14969" t="s">
        <v>34360</v>
      </c>
      <c r="W14969" t="s">
        <v>34361</v>
      </c>
      <c r="X14969" t="s">
        <v>42</v>
      </c>
      <c r="Y14969" t="s">
        <v>34325</v>
      </c>
      <c r="Z14969" t="s">
        <v>166</v>
      </c>
      <c r="AA14969" s="22" t="str">
        <f>HYPERLINK("https://www.ncbi.nlm.nih.gov/nuccore/MH484438","NCBI Nucleotide")</f>
        <v>NCBI Nucleotide</v>
      </c>
    </row>
    <row r="14970" spans="1:27" x14ac:dyDescent="0.35">
      <c r="A14970">
        <v>1003518</v>
      </c>
      <c r="B14970">
        <v>13482</v>
      </c>
      <c r="C14970">
        <v>1</v>
      </c>
      <c r="D14970" t="s">
        <v>17166</v>
      </c>
      <c r="F14970" t="s">
        <v>34315</v>
      </c>
      <c r="H14970" t="s">
        <v>34316</v>
      </c>
      <c r="J14970" t="s">
        <v>34317</v>
      </c>
      <c r="L14970" t="s">
        <v>34318</v>
      </c>
      <c r="N14970" t="s">
        <v>34319</v>
      </c>
      <c r="P14970" t="s">
        <v>34354</v>
      </c>
      <c r="R14970" s="26" t="str">
        <f>HYPERLINK("https://ictv.global/taxonomy/taxondetails?taxnode_id=202303657","Orthohepadnavirus tabernarii")</f>
        <v>Orthohepadnavirus tabernarii</v>
      </c>
      <c r="S14970" t="s">
        <v>30</v>
      </c>
      <c r="T14970" t="s">
        <v>34433</v>
      </c>
      <c r="U14970" t="s">
        <v>34434</v>
      </c>
      <c r="V14970" t="s">
        <v>34435</v>
      </c>
      <c r="W14970" t="s">
        <v>34436</v>
      </c>
      <c r="X14970" t="s">
        <v>42</v>
      </c>
      <c r="Y14970" t="s">
        <v>34325</v>
      </c>
      <c r="Z14970" t="s">
        <v>166</v>
      </c>
      <c r="AA14970" s="22" t="str">
        <f>HYPERLINK("https://www.ncbi.nlm.nih.gov/nuccore/KC790381","NCBI Nucleotide")</f>
        <v>NCBI Nucleotide</v>
      </c>
    </row>
    <row r="14971" spans="1:27" x14ac:dyDescent="0.35">
      <c r="A14971">
        <v>1003521</v>
      </c>
      <c r="B14971">
        <v>13483</v>
      </c>
      <c r="C14971">
        <v>1</v>
      </c>
      <c r="D14971" t="s">
        <v>17166</v>
      </c>
      <c r="F14971" t="s">
        <v>34315</v>
      </c>
      <c r="H14971" t="s">
        <v>34316</v>
      </c>
      <c r="J14971" t="s">
        <v>34317</v>
      </c>
      <c r="L14971" t="s">
        <v>34318</v>
      </c>
      <c r="N14971" t="s">
        <v>34319</v>
      </c>
      <c r="P14971" t="s">
        <v>34443</v>
      </c>
      <c r="R14971" s="26" t="str">
        <f>HYPERLINK("https://ictv.global/taxonomy/taxondetails?taxnode_id=202303661","Parahepadnavirus osdeorsi")</f>
        <v>Parahepadnavirus osdeorsi</v>
      </c>
      <c r="S14971" t="s">
        <v>30</v>
      </c>
      <c r="T14971" t="s">
        <v>34444</v>
      </c>
      <c r="U14971" t="s">
        <v>34445</v>
      </c>
      <c r="V14971" t="s">
        <v>34446</v>
      </c>
      <c r="W14971" t="s">
        <v>34447</v>
      </c>
      <c r="X14971" t="s">
        <v>42</v>
      </c>
      <c r="Y14971" t="s">
        <v>34325</v>
      </c>
      <c r="Z14971" t="s">
        <v>166</v>
      </c>
      <c r="AA14971" s="22" t="str">
        <f>HYPERLINK("https://www.ncbi.nlm.nih.gov/nuccore/KR229754","NCBI Nucleotide")</f>
        <v>NCBI Nucleotide</v>
      </c>
    </row>
    <row r="14972" spans="1:27" x14ac:dyDescent="0.35">
      <c r="A14972">
        <v>1003522</v>
      </c>
      <c r="B14972">
        <v>13484</v>
      </c>
      <c r="C14972">
        <v>1</v>
      </c>
      <c r="D14972" t="s">
        <v>17166</v>
      </c>
      <c r="F14972" t="s">
        <v>34315</v>
      </c>
      <c r="H14972" t="s">
        <v>34316</v>
      </c>
      <c r="J14972" t="s">
        <v>34317</v>
      </c>
      <c r="L14972" t="s">
        <v>34448</v>
      </c>
      <c r="N14972" t="s">
        <v>34449</v>
      </c>
      <c r="P14972" t="s">
        <v>34450</v>
      </c>
      <c r="R14972" s="26" t="str">
        <f>HYPERLINK("https://ictv.global/taxonomy/taxondetails?taxnode_id=202303847","Anopheles gambiae Moose virus")</f>
        <v>Anopheles gambiae Moose virus</v>
      </c>
      <c r="S14972" t="s">
        <v>30</v>
      </c>
      <c r="T14972" t="s">
        <v>34451</v>
      </c>
      <c r="U14972" t="s">
        <v>34452</v>
      </c>
      <c r="W14972" t="s">
        <v>34453</v>
      </c>
      <c r="X14972" t="s">
        <v>42</v>
      </c>
      <c r="Y14972" t="s">
        <v>34454</v>
      </c>
      <c r="Z14972" t="s">
        <v>10790</v>
      </c>
      <c r="AA14972" s="22" t="str">
        <f>HYPERLINK("https://www.ncbi.nlm.nih.gov/nuccore/AF060859","NCBI Nucleotide")</f>
        <v>NCBI Nucleotide</v>
      </c>
    </row>
    <row r="14973" spans="1:27" x14ac:dyDescent="0.35">
      <c r="A14973">
        <v>1003523</v>
      </c>
      <c r="B14973">
        <v>13485</v>
      </c>
      <c r="C14973">
        <v>1</v>
      </c>
      <c r="D14973" t="s">
        <v>17166</v>
      </c>
      <c r="F14973" t="s">
        <v>34315</v>
      </c>
      <c r="H14973" t="s">
        <v>34316</v>
      </c>
      <c r="J14973" t="s">
        <v>34317</v>
      </c>
      <c r="L14973" t="s">
        <v>34448</v>
      </c>
      <c r="N14973" t="s">
        <v>34449</v>
      </c>
      <c r="P14973" t="s">
        <v>34450</v>
      </c>
      <c r="R14973" s="26" t="str">
        <f>HYPERLINK("https://ictv.global/taxonomy/taxondetails?taxnode_id=202305584","Antheraea semotivirus Tamy")</f>
        <v>Antheraea semotivirus Tamy</v>
      </c>
      <c r="S14973" t="s">
        <v>30</v>
      </c>
      <c r="T14973" t="s">
        <v>34455</v>
      </c>
      <c r="U14973" t="s">
        <v>34456</v>
      </c>
      <c r="W14973" t="s">
        <v>34457</v>
      </c>
      <c r="X14973" t="s">
        <v>42</v>
      </c>
      <c r="Y14973" t="s">
        <v>34454</v>
      </c>
      <c r="Z14973" t="s">
        <v>10790</v>
      </c>
      <c r="AA14973" s="22" t="str">
        <f>HYPERLINK("https://www.ncbi.nlm.nih.gov/nuccore/AF530470","NCBI Nucleotide")</f>
        <v>NCBI Nucleotide</v>
      </c>
    </row>
    <row r="14974" spans="1:27" x14ac:dyDescent="0.35">
      <c r="A14974">
        <v>1003524</v>
      </c>
      <c r="B14974">
        <v>13486</v>
      </c>
      <c r="C14974">
        <v>1</v>
      </c>
      <c r="D14974" t="s">
        <v>17166</v>
      </c>
      <c r="F14974" t="s">
        <v>34315</v>
      </c>
      <c r="H14974" t="s">
        <v>34316</v>
      </c>
      <c r="J14974" t="s">
        <v>34317</v>
      </c>
      <c r="L14974" t="s">
        <v>34448</v>
      </c>
      <c r="N14974" t="s">
        <v>34449</v>
      </c>
      <c r="P14974" t="s">
        <v>34450</v>
      </c>
      <c r="R14974" s="26" t="str">
        <f>HYPERLINK("https://ictv.global/taxonomy/taxondetails?taxnode_id=202303848","Ascaris lumbricoides Tas virus")</f>
        <v>Ascaris lumbricoides Tas virus</v>
      </c>
      <c r="S14974" t="s">
        <v>30</v>
      </c>
      <c r="T14974" t="s">
        <v>34458</v>
      </c>
      <c r="U14974" t="s">
        <v>34459</v>
      </c>
      <c r="W14974" t="s">
        <v>34460</v>
      </c>
      <c r="X14974" t="s">
        <v>42</v>
      </c>
      <c r="Y14974" t="s">
        <v>34454</v>
      </c>
      <c r="Z14974" t="s">
        <v>10790</v>
      </c>
      <c r="AA14974" s="22" t="str">
        <f>HYPERLINK("https://www.ncbi.nlm.nih.gov/nuccore/Z29712","NCBI Nucleotide")</f>
        <v>NCBI Nucleotide</v>
      </c>
    </row>
    <row r="14975" spans="1:27" x14ac:dyDescent="0.35">
      <c r="A14975">
        <v>1003525</v>
      </c>
      <c r="B14975">
        <v>13487</v>
      </c>
      <c r="C14975">
        <v>1</v>
      </c>
      <c r="D14975" t="s">
        <v>17166</v>
      </c>
      <c r="F14975" t="s">
        <v>34315</v>
      </c>
      <c r="H14975" t="s">
        <v>34316</v>
      </c>
      <c r="J14975" t="s">
        <v>34317</v>
      </c>
      <c r="L14975" t="s">
        <v>34448</v>
      </c>
      <c r="N14975" t="s">
        <v>34449</v>
      </c>
      <c r="P14975" t="s">
        <v>34450</v>
      </c>
      <c r="R14975" s="26" t="str">
        <f>HYPERLINK("https://ictv.global/taxonomy/taxondetails?taxnode_id=202303849","Bombyx mori Pao virus")</f>
        <v>Bombyx mori Pao virus</v>
      </c>
      <c r="S14975" t="s">
        <v>30</v>
      </c>
      <c r="T14975" t="s">
        <v>34461</v>
      </c>
      <c r="U14975" t="s">
        <v>34462</v>
      </c>
      <c r="V14975">
        <v>703</v>
      </c>
      <c r="W14975" t="s">
        <v>34463</v>
      </c>
      <c r="X14975" t="s">
        <v>42</v>
      </c>
      <c r="Y14975" t="s">
        <v>34454</v>
      </c>
      <c r="Z14975" t="s">
        <v>10790</v>
      </c>
      <c r="AA14975" s="22" t="str">
        <f>HYPERLINK("https://www.ncbi.nlm.nih.gov/nuccore/L09635","NCBI Nucleotide")</f>
        <v>NCBI Nucleotide</v>
      </c>
    </row>
    <row r="14976" spans="1:27" x14ac:dyDescent="0.35">
      <c r="A14976">
        <v>1003526</v>
      </c>
      <c r="B14976">
        <v>13488</v>
      </c>
      <c r="C14976">
        <v>1</v>
      </c>
      <c r="D14976" t="s">
        <v>17166</v>
      </c>
      <c r="F14976" t="s">
        <v>34315</v>
      </c>
      <c r="H14976" t="s">
        <v>34316</v>
      </c>
      <c r="J14976" t="s">
        <v>34317</v>
      </c>
      <c r="L14976" t="s">
        <v>34448</v>
      </c>
      <c r="N14976" t="s">
        <v>34449</v>
      </c>
      <c r="P14976" t="s">
        <v>34450</v>
      </c>
      <c r="R14976" s="26" t="str">
        <f>HYPERLINK("https://ictv.global/taxonomy/taxondetails?taxnode_id=202303850","Caenorhabditis elegans Cer13 virus")</f>
        <v>Caenorhabditis elegans Cer13 virus</v>
      </c>
      <c r="S14976" t="s">
        <v>30</v>
      </c>
      <c r="T14976" t="s">
        <v>34464</v>
      </c>
      <c r="U14976" t="s">
        <v>34465</v>
      </c>
      <c r="W14976" t="s">
        <v>34466</v>
      </c>
      <c r="X14976" t="s">
        <v>42</v>
      </c>
      <c r="Y14976" t="s">
        <v>34454</v>
      </c>
      <c r="Z14976" t="s">
        <v>10790</v>
      </c>
      <c r="AA14976" s="22" t="str">
        <f>HYPERLINK("https://www.ncbi.nlm.nih.gov/nuccore/LK928904","NCBI Nucleotide")</f>
        <v>NCBI Nucleotide</v>
      </c>
    </row>
    <row r="14977" spans="1:27" x14ac:dyDescent="0.35">
      <c r="A14977">
        <v>1003527</v>
      </c>
      <c r="B14977">
        <v>13489</v>
      </c>
      <c r="C14977">
        <v>1</v>
      </c>
      <c r="D14977" t="s">
        <v>17166</v>
      </c>
      <c r="F14977" t="s">
        <v>34315</v>
      </c>
      <c r="H14977" t="s">
        <v>34316</v>
      </c>
      <c r="J14977" t="s">
        <v>34317</v>
      </c>
      <c r="L14977" t="s">
        <v>34448</v>
      </c>
      <c r="N14977" t="s">
        <v>34449</v>
      </c>
      <c r="P14977" t="s">
        <v>34450</v>
      </c>
      <c r="R14977" s="26" t="str">
        <f>HYPERLINK("https://ictv.global/taxonomy/taxondetails?taxnode_id=202303851","Drosophila melanogaster Bel virus")</f>
        <v>Drosophila melanogaster Bel virus</v>
      </c>
      <c r="S14977" t="s">
        <v>30</v>
      </c>
      <c r="T14977" t="s">
        <v>34467</v>
      </c>
      <c r="U14977" t="s">
        <v>34468</v>
      </c>
      <c r="W14977" t="s">
        <v>34469</v>
      </c>
      <c r="X14977" t="s">
        <v>42</v>
      </c>
      <c r="Y14977" t="s">
        <v>34454</v>
      </c>
      <c r="Z14977" t="s">
        <v>10790</v>
      </c>
      <c r="AA14977" s="22" t="str">
        <f>HYPERLINK("https://www.ncbi.nlm.nih.gov/nuccore/U23420","NCBI Nucleotide")</f>
        <v>NCBI Nucleotide</v>
      </c>
    </row>
    <row r="14978" spans="1:27" x14ac:dyDescent="0.35">
      <c r="A14978">
        <v>1003528</v>
      </c>
      <c r="B14978">
        <v>13490</v>
      </c>
      <c r="C14978">
        <v>1</v>
      </c>
      <c r="D14978" t="s">
        <v>17166</v>
      </c>
      <c r="F14978" t="s">
        <v>34315</v>
      </c>
      <c r="H14978" t="s">
        <v>34316</v>
      </c>
      <c r="J14978" t="s">
        <v>34317</v>
      </c>
      <c r="L14978" t="s">
        <v>34448</v>
      </c>
      <c r="N14978" t="s">
        <v>34449</v>
      </c>
      <c r="P14978" t="s">
        <v>34450</v>
      </c>
      <c r="R14978" s="26" t="str">
        <f>HYPERLINK("https://ictv.global/taxonomy/taxondetails?taxnode_id=202303852","Drosophila melanogaster Roo virus")</f>
        <v>Drosophila melanogaster Roo virus</v>
      </c>
      <c r="S14978" t="s">
        <v>30</v>
      </c>
      <c r="T14978" t="s">
        <v>34470</v>
      </c>
      <c r="U14978" t="s">
        <v>34471</v>
      </c>
      <c r="W14978" t="s">
        <v>34472</v>
      </c>
      <c r="X14978" t="s">
        <v>42</v>
      </c>
      <c r="Y14978" t="s">
        <v>34454</v>
      </c>
      <c r="Z14978" t="s">
        <v>10790</v>
      </c>
      <c r="AA14978" s="22" t="str">
        <f>HYPERLINK("https://www.ncbi.nlm.nih.gov/nuccore/AY180917","NCBI Nucleotide")</f>
        <v>NCBI Nucleotide</v>
      </c>
    </row>
    <row r="14979" spans="1:27" x14ac:dyDescent="0.35">
      <c r="A14979">
        <v>1003529</v>
      </c>
      <c r="B14979">
        <v>13491</v>
      </c>
      <c r="C14979">
        <v>1</v>
      </c>
      <c r="D14979" t="s">
        <v>17166</v>
      </c>
      <c r="F14979" t="s">
        <v>34315</v>
      </c>
      <c r="H14979" t="s">
        <v>34316</v>
      </c>
      <c r="J14979" t="s">
        <v>34317</v>
      </c>
      <c r="L14979" t="s">
        <v>34448</v>
      </c>
      <c r="N14979" t="s">
        <v>34449</v>
      </c>
      <c r="P14979" t="s">
        <v>34450</v>
      </c>
      <c r="R14979" s="26" t="str">
        <f>HYPERLINK("https://ictv.global/taxonomy/taxondetails?taxnode_id=202305585","Drosophila semotivirus Max")</f>
        <v>Drosophila semotivirus Max</v>
      </c>
      <c r="S14979" t="s">
        <v>30</v>
      </c>
      <c r="T14979" t="s">
        <v>34473</v>
      </c>
      <c r="U14979" t="s">
        <v>34474</v>
      </c>
      <c r="W14979" t="s">
        <v>34475</v>
      </c>
      <c r="X14979" t="s">
        <v>42</v>
      </c>
      <c r="Y14979" t="s">
        <v>34454</v>
      </c>
      <c r="Z14979" t="s">
        <v>10790</v>
      </c>
      <c r="AA14979" s="22" t="str">
        <f>HYPERLINK("https://www.ncbi.nlm.nih.gov/nuccore/AJ487856","NCBI Nucleotide")</f>
        <v>NCBI Nucleotide</v>
      </c>
    </row>
    <row r="14980" spans="1:27" x14ac:dyDescent="0.35">
      <c r="A14980">
        <v>1003530</v>
      </c>
      <c r="B14980">
        <v>13492</v>
      </c>
      <c r="C14980">
        <v>1</v>
      </c>
      <c r="D14980" t="s">
        <v>17166</v>
      </c>
      <c r="F14980" t="s">
        <v>34315</v>
      </c>
      <c r="H14980" t="s">
        <v>34316</v>
      </c>
      <c r="J14980" t="s">
        <v>34317</v>
      </c>
      <c r="L14980" t="s">
        <v>34448</v>
      </c>
      <c r="N14980" t="s">
        <v>34449</v>
      </c>
      <c r="P14980" t="s">
        <v>34450</v>
      </c>
      <c r="R14980" s="26" t="str">
        <f>HYPERLINK("https://ictv.global/taxonomy/taxondetails?taxnode_id=202303853","Drosophila simulans Ninja virus")</f>
        <v>Drosophila simulans Ninja virus</v>
      </c>
      <c r="S14980" t="s">
        <v>30</v>
      </c>
      <c r="T14980" t="s">
        <v>34476</v>
      </c>
      <c r="U14980" t="s">
        <v>34477</v>
      </c>
      <c r="W14980" t="s">
        <v>34478</v>
      </c>
      <c r="X14980" t="s">
        <v>42</v>
      </c>
      <c r="Y14980" t="s">
        <v>34454</v>
      </c>
      <c r="Z14980" t="s">
        <v>10790</v>
      </c>
      <c r="AA14980" s="22" t="str">
        <f>HYPERLINK("https://www.ncbi.nlm.nih.gov/nuccore/D83207","NCBI Nucleotide")</f>
        <v>NCBI Nucleotide</v>
      </c>
    </row>
    <row r="14981" spans="1:27" x14ac:dyDescent="0.35">
      <c r="A14981">
        <v>1003531</v>
      </c>
      <c r="B14981">
        <v>13493</v>
      </c>
      <c r="C14981">
        <v>1</v>
      </c>
      <c r="D14981" t="s">
        <v>17166</v>
      </c>
      <c r="F14981" t="s">
        <v>34315</v>
      </c>
      <c r="H14981" t="s">
        <v>34316</v>
      </c>
      <c r="J14981" t="s">
        <v>34317</v>
      </c>
      <c r="L14981" t="s">
        <v>34448</v>
      </c>
      <c r="N14981" t="s">
        <v>34449</v>
      </c>
      <c r="P14981" t="s">
        <v>34450</v>
      </c>
      <c r="R14981" s="26" t="str">
        <f>HYPERLINK("https://ictv.global/taxonomy/taxondetails?taxnode_id=202305586","Schistosoma semotivirus Sinbad")</f>
        <v>Schistosoma semotivirus Sinbad</v>
      </c>
      <c r="S14981" t="s">
        <v>30</v>
      </c>
      <c r="T14981" t="s">
        <v>34479</v>
      </c>
      <c r="U14981" t="s">
        <v>34480</v>
      </c>
      <c r="W14981" t="s">
        <v>34481</v>
      </c>
      <c r="X14981" t="s">
        <v>42</v>
      </c>
      <c r="Y14981" t="s">
        <v>34454</v>
      </c>
      <c r="Z14981" t="s">
        <v>10790</v>
      </c>
      <c r="AA14981" s="22" t="str">
        <f>HYPERLINK("https://www.ncbi.nlm.nih.gov/nuccore/AY506538","NCBI Nucleotide")</f>
        <v>NCBI Nucleotide</v>
      </c>
    </row>
    <row r="14982" spans="1:27" x14ac:dyDescent="0.35">
      <c r="A14982">
        <v>1003532</v>
      </c>
      <c r="B14982">
        <v>13494</v>
      </c>
      <c r="C14982">
        <v>1</v>
      </c>
      <c r="D14982" t="s">
        <v>17166</v>
      </c>
      <c r="F14982" t="s">
        <v>34315</v>
      </c>
      <c r="H14982" t="s">
        <v>34316</v>
      </c>
      <c r="J14982" t="s">
        <v>34317</v>
      </c>
      <c r="L14982" t="s">
        <v>34448</v>
      </c>
      <c r="N14982" t="s">
        <v>34449</v>
      </c>
      <c r="P14982" t="s">
        <v>34450</v>
      </c>
      <c r="R14982" s="26" t="str">
        <f>HYPERLINK("https://ictv.global/taxonomy/taxondetails?taxnode_id=202303854","Takifugu rubripes Suzu virus")</f>
        <v>Takifugu rubripes Suzu virus</v>
      </c>
      <c r="S14982" t="s">
        <v>30</v>
      </c>
      <c r="T14982" t="s">
        <v>34482</v>
      </c>
      <c r="U14982" t="s">
        <v>34483</v>
      </c>
      <c r="W14982" t="s">
        <v>34484</v>
      </c>
      <c r="X14982" t="s">
        <v>42</v>
      </c>
      <c r="Y14982" t="s">
        <v>34454</v>
      </c>
      <c r="Z14982" t="s">
        <v>166</v>
      </c>
      <c r="AA14982" s="22" t="str">
        <f>HYPERLINK("https://www.ncbi.nlm.nih.gov/nuccore/AF537216","NCBI Nucleotide")</f>
        <v>NCBI Nucleotide</v>
      </c>
    </row>
    <row r="14983" spans="1:27" x14ac:dyDescent="0.35">
      <c r="A14983">
        <v>1003533</v>
      </c>
      <c r="B14983">
        <v>13495</v>
      </c>
      <c r="C14983">
        <v>1</v>
      </c>
      <c r="D14983" t="s">
        <v>17166</v>
      </c>
      <c r="F14983" t="s">
        <v>34315</v>
      </c>
      <c r="H14983" t="s">
        <v>34316</v>
      </c>
      <c r="J14983" t="s">
        <v>34317</v>
      </c>
      <c r="L14983" t="s">
        <v>34448</v>
      </c>
      <c r="N14983" t="s">
        <v>34485</v>
      </c>
      <c r="P14983" t="s">
        <v>34486</v>
      </c>
      <c r="R14983" s="26" t="str">
        <f>HYPERLINK("https://ictv.global/taxonomy/taxondetails?taxnode_id=202302819","Badnavirus aglaonemae")</f>
        <v>Badnavirus aglaonemae</v>
      </c>
      <c r="S14983" t="s">
        <v>30</v>
      </c>
      <c r="T14983" t="s">
        <v>34487</v>
      </c>
      <c r="U14983" t="s">
        <v>34488</v>
      </c>
      <c r="V14983" t="s">
        <v>20754</v>
      </c>
      <c r="W14983" t="s">
        <v>34489</v>
      </c>
      <c r="X14983" t="s">
        <v>42</v>
      </c>
      <c r="Y14983" t="s">
        <v>34325</v>
      </c>
      <c r="Z14983" t="s">
        <v>13441</v>
      </c>
      <c r="AA14983" s="22" t="str">
        <f>HYPERLINK("https://www.ncbi.nlm.nih.gov/nuccore/MH384837","NCBI Nucleotide")</f>
        <v>NCBI Nucleotide</v>
      </c>
    </row>
    <row r="14984" spans="1:27" x14ac:dyDescent="0.35">
      <c r="A14984">
        <v>1003534</v>
      </c>
      <c r="B14984">
        <v>13496</v>
      </c>
      <c r="C14984">
        <v>1</v>
      </c>
      <c r="D14984" t="s">
        <v>17166</v>
      </c>
      <c r="F14984" t="s">
        <v>34315</v>
      </c>
      <c r="H14984" t="s">
        <v>34316</v>
      </c>
      <c r="J14984" t="s">
        <v>34317</v>
      </c>
      <c r="L14984" t="s">
        <v>34448</v>
      </c>
      <c r="N14984" t="s">
        <v>34485</v>
      </c>
      <c r="P14984" t="s">
        <v>34486</v>
      </c>
      <c r="R14984" s="26" t="str">
        <f>HYPERLINK("https://ictv.global/taxonomy/taxondetails?taxnode_id=202302857","Badnavirus alphacolocalasiae")</f>
        <v>Badnavirus alphacolocalasiae</v>
      </c>
      <c r="S14984" t="s">
        <v>30</v>
      </c>
      <c r="T14984" t="s">
        <v>34490</v>
      </c>
      <c r="U14984" t="s">
        <v>34491</v>
      </c>
      <c r="V14984" t="s">
        <v>34492</v>
      </c>
      <c r="W14984" t="s">
        <v>34493</v>
      </c>
      <c r="X14984" t="s">
        <v>42</v>
      </c>
      <c r="Y14984" t="s">
        <v>34325</v>
      </c>
      <c r="Z14984" t="s">
        <v>13441</v>
      </c>
      <c r="AA14984" s="22" t="str">
        <f>HYPERLINK("https://www.ncbi.nlm.nih.gov/nuccore/AF357836","NCBI Nucleotide")</f>
        <v>NCBI Nucleotide</v>
      </c>
    </row>
    <row r="14985" spans="1:27" x14ac:dyDescent="0.35">
      <c r="A14985">
        <v>1003535</v>
      </c>
      <c r="B14985">
        <v>13497</v>
      </c>
      <c r="C14985">
        <v>1</v>
      </c>
      <c r="D14985" t="s">
        <v>17166</v>
      </c>
      <c r="F14985" t="s">
        <v>34315</v>
      </c>
      <c r="H14985" t="s">
        <v>34316</v>
      </c>
      <c r="J14985" t="s">
        <v>34317</v>
      </c>
      <c r="L14985" t="s">
        <v>34448</v>
      </c>
      <c r="N14985" t="s">
        <v>34485</v>
      </c>
      <c r="P14985" t="s">
        <v>34486</v>
      </c>
      <c r="R14985" s="26" t="str">
        <f>HYPERLINK("https://ictv.global/taxonomy/taxondetails?taxnode_id=202302836","Badnavirus alphadioscoreae")</f>
        <v>Badnavirus alphadioscoreae</v>
      </c>
      <c r="S14985" t="s">
        <v>30</v>
      </c>
      <c r="T14985" t="s">
        <v>34494</v>
      </c>
      <c r="U14985" t="s">
        <v>34495</v>
      </c>
      <c r="V14985" t="s">
        <v>34496</v>
      </c>
      <c r="W14985" t="s">
        <v>34497</v>
      </c>
      <c r="X14985" t="s">
        <v>42</v>
      </c>
      <c r="Y14985" t="s">
        <v>34325</v>
      </c>
      <c r="Z14985" t="s">
        <v>13441</v>
      </c>
      <c r="AA14985" s="22" t="str">
        <f>HYPERLINK("https://www.ncbi.nlm.nih.gov/nuccore/KX008573","NCBI Nucleotide")</f>
        <v>NCBI Nucleotide</v>
      </c>
    </row>
    <row r="14986" spans="1:27" x14ac:dyDescent="0.35">
      <c r="A14986">
        <v>1003536</v>
      </c>
      <c r="B14986">
        <v>13498</v>
      </c>
      <c r="C14986">
        <v>1</v>
      </c>
      <c r="D14986" t="s">
        <v>17166</v>
      </c>
      <c r="F14986" t="s">
        <v>34315</v>
      </c>
      <c r="H14986" t="s">
        <v>34316</v>
      </c>
      <c r="J14986" t="s">
        <v>34317</v>
      </c>
      <c r="L14986" t="s">
        <v>34448</v>
      </c>
      <c r="N14986" t="s">
        <v>34485</v>
      </c>
      <c r="P14986" t="s">
        <v>34486</v>
      </c>
      <c r="R14986" s="26" t="str">
        <f>HYPERLINK("https://ictv.global/taxonomy/taxondetails?taxnode_id=202302830","Badnavirus alphainflatheobromae")</f>
        <v>Badnavirus alphainflatheobromae</v>
      </c>
      <c r="S14986" t="s">
        <v>30</v>
      </c>
      <c r="T14986" t="s">
        <v>34498</v>
      </c>
      <c r="U14986" t="s">
        <v>34499</v>
      </c>
      <c r="V14986" t="s">
        <v>34500</v>
      </c>
      <c r="W14986" t="s">
        <v>34501</v>
      </c>
      <c r="X14986" t="s">
        <v>42</v>
      </c>
      <c r="Y14986" t="s">
        <v>34325</v>
      </c>
      <c r="Z14986" t="s">
        <v>13441</v>
      </c>
      <c r="AA14986" s="22" t="str">
        <f>HYPERLINK("https://www.ncbi.nlm.nih.gov/nuccore/JN606110","NCBI Nucleotide")</f>
        <v>NCBI Nucleotide</v>
      </c>
    </row>
    <row r="14987" spans="1:27" x14ac:dyDescent="0.35">
      <c r="A14987">
        <v>1003537</v>
      </c>
      <c r="B14987">
        <v>13499</v>
      </c>
      <c r="C14987">
        <v>1</v>
      </c>
      <c r="D14987" t="s">
        <v>17166</v>
      </c>
      <c r="F14987" t="s">
        <v>34315</v>
      </c>
      <c r="H14987" t="s">
        <v>34316</v>
      </c>
      <c r="J14987" t="s">
        <v>34317</v>
      </c>
      <c r="L14987" t="s">
        <v>34448</v>
      </c>
      <c r="N14987" t="s">
        <v>34485</v>
      </c>
      <c r="P14987" t="s">
        <v>34486</v>
      </c>
      <c r="R14987" s="26" t="str">
        <f>HYPERLINK("https://ictv.global/taxonomy/taxondetails?taxnode_id=202306648","Badnavirus alphamaculaflavicannae")</f>
        <v>Badnavirus alphamaculaflavicannae</v>
      </c>
      <c r="S14987" t="s">
        <v>30</v>
      </c>
      <c r="T14987" t="s">
        <v>34502</v>
      </c>
      <c r="U14987" t="s">
        <v>34503</v>
      </c>
      <c r="V14987" t="s">
        <v>34504</v>
      </c>
      <c r="W14987" t="s">
        <v>34505</v>
      </c>
      <c r="X14987" t="s">
        <v>42</v>
      </c>
      <c r="Y14987" t="s">
        <v>34325</v>
      </c>
      <c r="Z14987" t="s">
        <v>13441</v>
      </c>
      <c r="AA14987" s="22" t="str">
        <f>HYPERLINK("https://www.ncbi.nlm.nih.gov/nuccore/KX066020","NCBI Nucleotide")</f>
        <v>NCBI Nucleotide</v>
      </c>
    </row>
    <row r="14988" spans="1:27" x14ac:dyDescent="0.35">
      <c r="A14988">
        <v>1003538</v>
      </c>
      <c r="B14988">
        <v>13500</v>
      </c>
      <c r="C14988">
        <v>1</v>
      </c>
      <c r="D14988" t="s">
        <v>17166</v>
      </c>
      <c r="F14988" t="s">
        <v>34315</v>
      </c>
      <c r="H14988" t="s">
        <v>34316</v>
      </c>
      <c r="J14988" t="s">
        <v>34317</v>
      </c>
      <c r="L14988" t="s">
        <v>34448</v>
      </c>
      <c r="N14988" t="s">
        <v>34485</v>
      </c>
      <c r="P14988" t="s">
        <v>34486</v>
      </c>
      <c r="R14988" s="26" t="str">
        <f>HYPERLINK("https://ictv.global/taxonomy/taxondetails?taxnode_id=202302845","Badnavirus alphananas")</f>
        <v>Badnavirus alphananas</v>
      </c>
      <c r="S14988" t="s">
        <v>30</v>
      </c>
      <c r="T14988" t="s">
        <v>34506</v>
      </c>
      <c r="U14988" t="s">
        <v>34507</v>
      </c>
      <c r="V14988" t="s">
        <v>17234</v>
      </c>
      <c r="W14988" t="s">
        <v>34508</v>
      </c>
      <c r="X14988" t="s">
        <v>42</v>
      </c>
      <c r="Y14988" t="s">
        <v>34325</v>
      </c>
      <c r="Z14988" t="s">
        <v>13441</v>
      </c>
      <c r="AA14988" s="22" t="str">
        <f>HYPERLINK("https://www.ncbi.nlm.nih.gov/nuccore/GU121676","NCBI Nucleotide")</f>
        <v>NCBI Nucleotide</v>
      </c>
    </row>
    <row r="14989" spans="1:27" x14ac:dyDescent="0.35">
      <c r="A14989">
        <v>1003539</v>
      </c>
      <c r="B14989">
        <v>13501</v>
      </c>
      <c r="C14989">
        <v>1</v>
      </c>
      <c r="D14989" t="s">
        <v>17166</v>
      </c>
      <c r="F14989" t="s">
        <v>34315</v>
      </c>
      <c r="H14989" t="s">
        <v>34316</v>
      </c>
      <c r="J14989" t="s">
        <v>34317</v>
      </c>
      <c r="L14989" t="s">
        <v>34448</v>
      </c>
      <c r="N14989" t="s">
        <v>34485</v>
      </c>
      <c r="P14989" t="s">
        <v>34486</v>
      </c>
      <c r="R14989" s="26" t="str">
        <f>HYPERLINK("https://ictv.global/taxonomy/taxondetails?taxnode_id=202302851","Badnavirus alphasacchari")</f>
        <v>Badnavirus alphasacchari</v>
      </c>
      <c r="S14989" t="s">
        <v>30</v>
      </c>
      <c r="T14989" t="s">
        <v>34509</v>
      </c>
      <c r="U14989" t="s">
        <v>34510</v>
      </c>
      <c r="V14989" t="s">
        <v>34511</v>
      </c>
      <c r="W14989" t="s">
        <v>34512</v>
      </c>
      <c r="X14989" t="s">
        <v>42</v>
      </c>
      <c r="Y14989" t="s">
        <v>34325</v>
      </c>
      <c r="Z14989" t="s">
        <v>13441</v>
      </c>
      <c r="AA14989" s="22" t="str">
        <f>HYPERLINK("https://www.ncbi.nlm.nih.gov/nuccore/FJ824813","NCBI Nucleotide")</f>
        <v>NCBI Nucleotide</v>
      </c>
    </row>
    <row r="14990" spans="1:27" x14ac:dyDescent="0.35">
      <c r="A14990">
        <v>1003540</v>
      </c>
      <c r="B14990">
        <v>13502</v>
      </c>
      <c r="C14990">
        <v>1</v>
      </c>
      <c r="D14990" t="s">
        <v>17166</v>
      </c>
      <c r="F14990" t="s">
        <v>34315</v>
      </c>
      <c r="H14990" t="s">
        <v>34316</v>
      </c>
      <c r="J14990" t="s">
        <v>34317</v>
      </c>
      <c r="L14990" t="s">
        <v>34448</v>
      </c>
      <c r="N14990" t="s">
        <v>34485</v>
      </c>
      <c r="P14990" t="s">
        <v>34486</v>
      </c>
      <c r="R14990" s="26" t="str">
        <f>HYPERLINK("https://ictv.global/taxonomy/taxondetails?taxnode_id=202302820","Badnavirus alphavirgamusae")</f>
        <v>Badnavirus alphavirgamusae</v>
      </c>
      <c r="S14990" t="s">
        <v>30</v>
      </c>
      <c r="T14990" t="s">
        <v>34513</v>
      </c>
      <c r="U14990" t="s">
        <v>34514</v>
      </c>
      <c r="V14990" t="s">
        <v>34515</v>
      </c>
      <c r="W14990" t="s">
        <v>34516</v>
      </c>
      <c r="X14990" t="s">
        <v>42</v>
      </c>
      <c r="Y14990" t="s">
        <v>34325</v>
      </c>
      <c r="Z14990" t="s">
        <v>13441</v>
      </c>
      <c r="AA14990" s="22" t="str">
        <f>HYPERLINK("https://www.ncbi.nlm.nih.gov/nuccore/AY493509","NCBI Nucleotide")</f>
        <v>NCBI Nucleotide</v>
      </c>
    </row>
    <row r="14991" spans="1:27" x14ac:dyDescent="0.35">
      <c r="A14991">
        <v>1003541</v>
      </c>
      <c r="B14991">
        <v>13503</v>
      </c>
      <c r="C14991">
        <v>1</v>
      </c>
      <c r="D14991" t="s">
        <v>17166</v>
      </c>
      <c r="F14991" t="s">
        <v>34315</v>
      </c>
      <c r="H14991" t="s">
        <v>34316</v>
      </c>
      <c r="J14991" t="s">
        <v>34317</v>
      </c>
      <c r="L14991" t="s">
        <v>34448</v>
      </c>
      <c r="N14991" t="s">
        <v>34485</v>
      </c>
      <c r="P14991" t="s">
        <v>34486</v>
      </c>
      <c r="R14991" s="26" t="str">
        <f>HYPERLINK("https://ictv.global/taxonomy/taxondetails?taxnode_id=202302856","Badnavirus betacolocalasiae")</f>
        <v>Badnavirus betacolocalasiae</v>
      </c>
      <c r="S14991" t="s">
        <v>30</v>
      </c>
      <c r="T14991" t="s">
        <v>34517</v>
      </c>
      <c r="U14991" t="s">
        <v>34518</v>
      </c>
      <c r="V14991">
        <v>1</v>
      </c>
      <c r="W14991" t="s">
        <v>34519</v>
      </c>
      <c r="X14991" t="s">
        <v>42</v>
      </c>
      <c r="Y14991" t="s">
        <v>34325</v>
      </c>
      <c r="Z14991" t="s">
        <v>13441</v>
      </c>
      <c r="AA14991" s="22" t="str">
        <f>HYPERLINK("https://www.ncbi.nlm.nih.gov/nuccore/KP710178","NCBI Nucleotide")</f>
        <v>NCBI Nucleotide</v>
      </c>
    </row>
    <row r="14992" spans="1:27" x14ac:dyDescent="0.35">
      <c r="A14992">
        <v>1003542</v>
      </c>
      <c r="B14992">
        <v>13504</v>
      </c>
      <c r="C14992">
        <v>1</v>
      </c>
      <c r="D14992" t="s">
        <v>17166</v>
      </c>
      <c r="F14992" t="s">
        <v>34315</v>
      </c>
      <c r="H14992" t="s">
        <v>34316</v>
      </c>
      <c r="J14992" t="s">
        <v>34317</v>
      </c>
      <c r="L14992" t="s">
        <v>34448</v>
      </c>
      <c r="N14992" t="s">
        <v>34485</v>
      </c>
      <c r="P14992" t="s">
        <v>34486</v>
      </c>
      <c r="R14992" s="26" t="str">
        <f>HYPERLINK("https://ictv.global/taxonomy/taxondetails?taxnode_id=202306650","Badnavirus betadioscoreae")</f>
        <v>Badnavirus betadioscoreae</v>
      </c>
      <c r="S14992" t="s">
        <v>30</v>
      </c>
      <c r="T14992" t="s">
        <v>34520</v>
      </c>
      <c r="U14992" t="s">
        <v>34521</v>
      </c>
      <c r="V14992" t="s">
        <v>34522</v>
      </c>
      <c r="W14992" t="s">
        <v>34523</v>
      </c>
      <c r="X14992" t="s">
        <v>42</v>
      </c>
      <c r="Y14992" t="s">
        <v>34325</v>
      </c>
      <c r="Z14992" t="s">
        <v>13441</v>
      </c>
      <c r="AA14992" s="22" t="str">
        <f>HYPERLINK("https://www.ncbi.nlm.nih.gov/nuccore/KY827395","NCBI Nucleotide")</f>
        <v>NCBI Nucleotide</v>
      </c>
    </row>
    <row r="14993" spans="1:27" x14ac:dyDescent="0.35">
      <c r="A14993">
        <v>1003543</v>
      </c>
      <c r="B14993">
        <v>13505</v>
      </c>
      <c r="C14993">
        <v>1</v>
      </c>
      <c r="D14993" t="s">
        <v>17166</v>
      </c>
      <c r="F14993" t="s">
        <v>34315</v>
      </c>
      <c r="H14993" t="s">
        <v>34316</v>
      </c>
      <c r="J14993" t="s">
        <v>34317</v>
      </c>
      <c r="L14993" t="s">
        <v>34448</v>
      </c>
      <c r="N14993" t="s">
        <v>34485</v>
      </c>
      <c r="P14993" t="s">
        <v>34486</v>
      </c>
      <c r="R14993" s="26" t="str">
        <f>HYPERLINK("https://ictv.global/taxonomy/taxondetails?taxnode_id=202306643","Badnavirus betainflatheobromae")</f>
        <v>Badnavirus betainflatheobromae</v>
      </c>
      <c r="S14993" t="s">
        <v>30</v>
      </c>
      <c r="T14993" t="s">
        <v>34524</v>
      </c>
      <c r="U14993" t="s">
        <v>34525</v>
      </c>
      <c r="V14993" t="s">
        <v>34526</v>
      </c>
      <c r="W14993" t="s">
        <v>34527</v>
      </c>
      <c r="X14993" t="s">
        <v>42</v>
      </c>
      <c r="Y14993" t="s">
        <v>34325</v>
      </c>
      <c r="Z14993" t="s">
        <v>13441</v>
      </c>
      <c r="AA14993" s="22" t="str">
        <f>HYPERLINK("https://www.ncbi.nlm.nih.gov/nuccore/MF642720","NCBI Nucleotide")</f>
        <v>NCBI Nucleotide</v>
      </c>
    </row>
    <row r="14994" spans="1:27" x14ac:dyDescent="0.35">
      <c r="A14994">
        <v>1003544</v>
      </c>
      <c r="B14994">
        <v>13506</v>
      </c>
      <c r="C14994">
        <v>1</v>
      </c>
      <c r="D14994" t="s">
        <v>17166</v>
      </c>
      <c r="F14994" t="s">
        <v>34315</v>
      </c>
      <c r="H14994" t="s">
        <v>34316</v>
      </c>
      <c r="J14994" t="s">
        <v>34317</v>
      </c>
      <c r="L14994" t="s">
        <v>34448</v>
      </c>
      <c r="N14994" t="s">
        <v>34485</v>
      </c>
      <c r="P14994" t="s">
        <v>34486</v>
      </c>
      <c r="R14994" s="26" t="str">
        <f>HYPERLINK("https://ictv.global/taxonomy/taxondetails?taxnode_id=202302833","Badnavirus betamaculaflavicannae")</f>
        <v>Badnavirus betamaculaflavicannae</v>
      </c>
      <c r="S14994" t="s">
        <v>30</v>
      </c>
      <c r="T14994" t="s">
        <v>34528</v>
      </c>
      <c r="U14994" t="s">
        <v>14225</v>
      </c>
      <c r="V14994" t="s">
        <v>34529</v>
      </c>
      <c r="W14994" t="s">
        <v>34530</v>
      </c>
      <c r="X14994" t="s">
        <v>42</v>
      </c>
      <c r="Y14994" t="s">
        <v>34325</v>
      </c>
      <c r="Z14994" t="s">
        <v>13441</v>
      </c>
      <c r="AA14994" s="22" t="str">
        <f>HYPERLINK("https://www.ncbi.nlm.nih.gov/nuccore/KU168312","NCBI Nucleotide")</f>
        <v>NCBI Nucleotide</v>
      </c>
    </row>
    <row r="14995" spans="1:27" x14ac:dyDescent="0.35">
      <c r="A14995">
        <v>1003545</v>
      </c>
      <c r="B14995">
        <v>13507</v>
      </c>
      <c r="C14995">
        <v>1</v>
      </c>
      <c r="D14995" t="s">
        <v>17166</v>
      </c>
      <c r="F14995" t="s">
        <v>34315</v>
      </c>
      <c r="H14995" t="s">
        <v>34316</v>
      </c>
      <c r="J14995" t="s">
        <v>34317</v>
      </c>
      <c r="L14995" t="s">
        <v>34448</v>
      </c>
      <c r="N14995" t="s">
        <v>34485</v>
      </c>
      <c r="P14995" t="s">
        <v>34486</v>
      </c>
      <c r="R14995" s="26" t="str">
        <f>HYPERLINK("https://ictv.global/taxonomy/taxondetails?taxnode_id=202302846","Badnavirus betananas")</f>
        <v>Badnavirus betananas</v>
      </c>
      <c r="S14995" t="s">
        <v>30</v>
      </c>
      <c r="T14995" t="s">
        <v>34531</v>
      </c>
      <c r="U14995" t="s">
        <v>34532</v>
      </c>
      <c r="V14995" t="s">
        <v>34533</v>
      </c>
      <c r="W14995" t="s">
        <v>34534</v>
      </c>
      <c r="X14995" t="s">
        <v>154</v>
      </c>
      <c r="Y14995" t="s">
        <v>34325</v>
      </c>
      <c r="Z14995" t="s">
        <v>13441</v>
      </c>
      <c r="AA14995" s="22" t="str">
        <f>HYPERLINK("https://www.ncbi.nlm.nih.gov/nuccore/EU377672","NCBI Nucleotide")</f>
        <v>NCBI Nucleotide</v>
      </c>
    </row>
    <row r="14996" spans="1:27" x14ac:dyDescent="0.35">
      <c r="A14996">
        <v>1003546</v>
      </c>
      <c r="B14996">
        <v>13508</v>
      </c>
      <c r="C14996">
        <v>1</v>
      </c>
      <c r="D14996" t="s">
        <v>17166</v>
      </c>
      <c r="F14996" t="s">
        <v>34315</v>
      </c>
      <c r="H14996" t="s">
        <v>34316</v>
      </c>
      <c r="J14996" t="s">
        <v>34317</v>
      </c>
      <c r="L14996" t="s">
        <v>34448</v>
      </c>
      <c r="N14996" t="s">
        <v>34485</v>
      </c>
      <c r="P14996" t="s">
        <v>34486</v>
      </c>
      <c r="R14996" s="26" t="str">
        <f>HYPERLINK("https://ictv.global/taxonomy/taxondetails?taxnode_id=202302852","Badnavirus betasasacchari")</f>
        <v>Badnavirus betasasacchari</v>
      </c>
      <c r="S14996" t="s">
        <v>30</v>
      </c>
      <c r="T14996" t="s">
        <v>34535</v>
      </c>
      <c r="U14996" t="s">
        <v>34536</v>
      </c>
      <c r="V14996" t="s">
        <v>34537</v>
      </c>
      <c r="W14996" t="s">
        <v>34538</v>
      </c>
      <c r="X14996" t="s">
        <v>42</v>
      </c>
      <c r="Y14996" t="s">
        <v>34325</v>
      </c>
      <c r="Z14996" t="s">
        <v>13441</v>
      </c>
      <c r="AA14996" s="22" t="str">
        <f>HYPERLINK("https://www.ncbi.nlm.nih.gov/nuccore/FJ439817","NCBI Nucleotide")</f>
        <v>NCBI Nucleotide</v>
      </c>
    </row>
    <row r="14997" spans="1:27" x14ac:dyDescent="0.35">
      <c r="A14997">
        <v>1003547</v>
      </c>
      <c r="B14997">
        <v>13509</v>
      </c>
      <c r="C14997">
        <v>1</v>
      </c>
      <c r="D14997" t="s">
        <v>17166</v>
      </c>
      <c r="F14997" t="s">
        <v>34315</v>
      </c>
      <c r="H14997" t="s">
        <v>34316</v>
      </c>
      <c r="J14997" t="s">
        <v>34317</v>
      </c>
      <c r="L14997" t="s">
        <v>34448</v>
      </c>
      <c r="N14997" t="s">
        <v>34485</v>
      </c>
      <c r="P14997" t="s">
        <v>34486</v>
      </c>
      <c r="R14997" s="26" t="str">
        <f>HYPERLINK("https://ictv.global/taxonomy/taxondetails?taxnode_id=202302821","Badnavirus betavirgamusae")</f>
        <v>Badnavirus betavirgamusae</v>
      </c>
      <c r="S14997" t="s">
        <v>30</v>
      </c>
      <c r="T14997" t="s">
        <v>34539</v>
      </c>
      <c r="U14997" t="s">
        <v>34540</v>
      </c>
      <c r="V14997" t="s">
        <v>34541</v>
      </c>
      <c r="W14997" t="s">
        <v>34542</v>
      </c>
      <c r="X14997" t="s">
        <v>42</v>
      </c>
      <c r="Y14997" t="s">
        <v>34325</v>
      </c>
      <c r="Z14997" t="s">
        <v>13441</v>
      </c>
      <c r="AA14997" s="22" t="str">
        <f>HYPERLINK("https://www.ncbi.nlm.nih.gov/nuccore/HQ593112","NCBI Nucleotide")</f>
        <v>NCBI Nucleotide</v>
      </c>
    </row>
    <row r="14998" spans="1:27" x14ac:dyDescent="0.35">
      <c r="A14998">
        <v>1027831</v>
      </c>
      <c r="B14998">
        <v>13510</v>
      </c>
      <c r="C14998">
        <v>1</v>
      </c>
      <c r="D14998" t="s">
        <v>17166</v>
      </c>
      <c r="F14998" t="s">
        <v>34315</v>
      </c>
      <c r="H14998" t="s">
        <v>34316</v>
      </c>
      <c r="J14998" t="s">
        <v>34317</v>
      </c>
      <c r="L14998" t="s">
        <v>34448</v>
      </c>
      <c r="N14998" t="s">
        <v>34485</v>
      </c>
      <c r="P14998" t="s">
        <v>34486</v>
      </c>
      <c r="R14998" s="26" t="str">
        <f>HYPERLINK("https://ictv.global/taxonomy/taxondetails?taxnode_id=202318293","Badnavirus camelliae")</f>
        <v>Badnavirus camelliae</v>
      </c>
      <c r="S14998" t="s">
        <v>30</v>
      </c>
      <c r="T14998" t="s">
        <v>47643</v>
      </c>
      <c r="U14998" t="s">
        <v>47644</v>
      </c>
      <c r="V14998" t="s">
        <v>47645</v>
      </c>
      <c r="W14998" t="s">
        <v>47646</v>
      </c>
      <c r="X14998" t="s">
        <v>42</v>
      </c>
      <c r="Y14998" t="s">
        <v>34325</v>
      </c>
      <c r="Z14998" t="s">
        <v>13441</v>
      </c>
      <c r="AA14998" s="22" t="str">
        <f>HYPERLINK("https://www.ncbi.nlm.nih.gov/nuccore/ON773439","NCBI Nucleotide")</f>
        <v>NCBI Nucleotide</v>
      </c>
    </row>
    <row r="14999" spans="1:27" x14ac:dyDescent="0.35">
      <c r="A14999">
        <v>1003548</v>
      </c>
      <c r="B14999">
        <v>13511</v>
      </c>
      <c r="C14999">
        <v>1</v>
      </c>
      <c r="D14999" t="s">
        <v>17166</v>
      </c>
      <c r="F14999" t="s">
        <v>34315</v>
      </c>
      <c r="H14999" t="s">
        <v>34316</v>
      </c>
      <c r="J14999" t="s">
        <v>34317</v>
      </c>
      <c r="L14999" t="s">
        <v>34448</v>
      </c>
      <c r="N14999" t="s">
        <v>34485</v>
      </c>
      <c r="P14999" t="s">
        <v>34486</v>
      </c>
      <c r="R14999" s="26" t="str">
        <f>HYPERLINK("https://ictv.global/taxonomy/taxondetails?taxnode_id=202302840","Badnavirus decoloratiovitis")</f>
        <v>Badnavirus decoloratiovitis</v>
      </c>
      <c r="S14999" t="s">
        <v>30</v>
      </c>
      <c r="T14999" t="s">
        <v>34543</v>
      </c>
      <c r="U14999" t="s">
        <v>34544</v>
      </c>
      <c r="V14999" t="s">
        <v>34545</v>
      </c>
      <c r="W14999" t="s">
        <v>34546</v>
      </c>
      <c r="X14999" t="s">
        <v>42</v>
      </c>
      <c r="Y14999" t="s">
        <v>34325</v>
      </c>
      <c r="Z14999" t="s">
        <v>13441</v>
      </c>
      <c r="AA14999" s="22" t="str">
        <f>HYPERLINK("https://www.ncbi.nlm.nih.gov/nuccore/HG940503","NCBI Nucleotide")</f>
        <v>NCBI Nucleotide</v>
      </c>
    </row>
    <row r="15000" spans="1:27" x14ac:dyDescent="0.35">
      <c r="A15000">
        <v>1003549</v>
      </c>
      <c r="B15000">
        <v>13512</v>
      </c>
      <c r="C15000">
        <v>1</v>
      </c>
      <c r="D15000" t="s">
        <v>17166</v>
      </c>
      <c r="F15000" t="s">
        <v>34315</v>
      </c>
      <c r="H15000" t="s">
        <v>34316</v>
      </c>
      <c r="J15000" t="s">
        <v>34317</v>
      </c>
      <c r="L15000" t="s">
        <v>34448</v>
      </c>
      <c r="N15000" t="s">
        <v>34485</v>
      </c>
      <c r="P15000" t="s">
        <v>34486</v>
      </c>
      <c r="R15000" s="26" t="str">
        <f>HYPERLINK("https://ictv.global/taxonomy/taxondetails?taxnode_id=202305763","Badnavirus deltadioscoreae")</f>
        <v>Badnavirus deltadioscoreae</v>
      </c>
      <c r="S15000" t="s">
        <v>30</v>
      </c>
      <c r="T15000" t="s">
        <v>34547</v>
      </c>
      <c r="U15000" t="s">
        <v>34548</v>
      </c>
      <c r="W15000" t="s">
        <v>34549</v>
      </c>
      <c r="X15000" t="s">
        <v>42</v>
      </c>
      <c r="Y15000" t="s">
        <v>34325</v>
      </c>
      <c r="Z15000" t="s">
        <v>13441</v>
      </c>
      <c r="AA15000" s="22" t="str">
        <f>HYPERLINK("https://www.ncbi.nlm.nih.gov/nuccore/KX008574","NCBI Nucleotide")</f>
        <v>NCBI Nucleotide</v>
      </c>
    </row>
    <row r="15001" spans="1:27" x14ac:dyDescent="0.35">
      <c r="A15001">
        <v>1003550</v>
      </c>
      <c r="B15001">
        <v>13513</v>
      </c>
      <c r="C15001">
        <v>1</v>
      </c>
      <c r="D15001" t="s">
        <v>17166</v>
      </c>
      <c r="F15001" t="s">
        <v>34315</v>
      </c>
      <c r="H15001" t="s">
        <v>34316</v>
      </c>
      <c r="J15001" t="s">
        <v>34317</v>
      </c>
      <c r="L15001" t="s">
        <v>34448</v>
      </c>
      <c r="N15001" t="s">
        <v>34485</v>
      </c>
      <c r="P15001" t="s">
        <v>34486</v>
      </c>
      <c r="R15001" s="26" t="str">
        <f>HYPERLINK("https://ictv.global/taxonomy/taxondetails?taxnode_id=202306645","Badnavirus deltainflatheobromae")</f>
        <v>Badnavirus deltainflatheobromae</v>
      </c>
      <c r="S15001" t="s">
        <v>30</v>
      </c>
      <c r="T15001" t="s">
        <v>34550</v>
      </c>
      <c r="U15001" t="s">
        <v>34551</v>
      </c>
      <c r="V15001" t="s">
        <v>34552</v>
      </c>
      <c r="W15001" t="s">
        <v>34553</v>
      </c>
      <c r="X15001" t="s">
        <v>42</v>
      </c>
      <c r="Y15001" t="s">
        <v>34325</v>
      </c>
      <c r="Z15001" t="s">
        <v>13441</v>
      </c>
      <c r="AA15001" s="22" t="str">
        <f>HYPERLINK("https://www.ncbi.nlm.nih.gov/nuccore/MF642725","NCBI Nucleotide")</f>
        <v>NCBI Nucleotide</v>
      </c>
    </row>
    <row r="15002" spans="1:27" x14ac:dyDescent="0.35">
      <c r="A15002">
        <v>1003551</v>
      </c>
      <c r="B15002">
        <v>13514</v>
      </c>
      <c r="C15002">
        <v>1</v>
      </c>
      <c r="D15002" t="s">
        <v>17166</v>
      </c>
      <c r="F15002" t="s">
        <v>34315</v>
      </c>
      <c r="H15002" t="s">
        <v>34316</v>
      </c>
      <c r="J15002" t="s">
        <v>34317</v>
      </c>
      <c r="L15002" t="s">
        <v>34448</v>
      </c>
      <c r="N15002" t="s">
        <v>34485</v>
      </c>
      <c r="P15002" t="s">
        <v>34486</v>
      </c>
      <c r="R15002" s="26" t="str">
        <f>HYPERLINK("https://ictv.global/taxonomy/taxondetails?taxnode_id=202302854","Badnavirus deltasacchari")</f>
        <v>Badnavirus deltasacchari</v>
      </c>
      <c r="S15002" t="s">
        <v>30</v>
      </c>
      <c r="T15002" t="s">
        <v>34554</v>
      </c>
      <c r="U15002" t="s">
        <v>34555</v>
      </c>
      <c r="V15002" t="s">
        <v>34556</v>
      </c>
      <c r="W15002" t="s">
        <v>34557</v>
      </c>
      <c r="X15002" t="s">
        <v>42</v>
      </c>
      <c r="Y15002" t="s">
        <v>34325</v>
      </c>
      <c r="Z15002" t="s">
        <v>13441</v>
      </c>
      <c r="AA15002" s="22" t="str">
        <f>HYPERLINK("https://www.ncbi.nlm.nih.gov/nuccore/M89923","NCBI Nucleotide")</f>
        <v>NCBI Nucleotide</v>
      </c>
    </row>
    <row r="15003" spans="1:27" x14ac:dyDescent="0.35">
      <c r="A15003">
        <v>1003552</v>
      </c>
      <c r="B15003">
        <v>13515</v>
      </c>
      <c r="C15003">
        <v>1</v>
      </c>
      <c r="D15003" t="s">
        <v>17166</v>
      </c>
      <c r="F15003" t="s">
        <v>34315</v>
      </c>
      <c r="H15003" t="s">
        <v>34316</v>
      </c>
      <c r="J15003" t="s">
        <v>34317</v>
      </c>
      <c r="L15003" t="s">
        <v>34448</v>
      </c>
      <c r="N15003" t="s">
        <v>34485</v>
      </c>
      <c r="P15003" t="s">
        <v>34486</v>
      </c>
      <c r="R15003" s="26" t="str">
        <f>HYPERLINK("https://ictv.global/taxonomy/taxondetails?taxnode_id=202302823","Badnavirus deltavirgamusae")</f>
        <v>Badnavirus deltavirgamusae</v>
      </c>
      <c r="S15003" t="s">
        <v>30</v>
      </c>
      <c r="T15003" t="s">
        <v>34558</v>
      </c>
      <c r="U15003" t="s">
        <v>34559</v>
      </c>
      <c r="V15003" t="s">
        <v>34560</v>
      </c>
      <c r="W15003" t="s">
        <v>34561</v>
      </c>
      <c r="X15003" t="s">
        <v>42</v>
      </c>
      <c r="Y15003" t="s">
        <v>34325</v>
      </c>
      <c r="Z15003" t="s">
        <v>13441</v>
      </c>
      <c r="AA15003" s="22" t="str">
        <f>HYPERLINK("https://www.ncbi.nlm.nih.gov/nuccore/AJ002234","NCBI Nucleotide")</f>
        <v>NCBI Nucleotide</v>
      </c>
    </row>
    <row r="15004" spans="1:27" x14ac:dyDescent="0.35">
      <c r="A15004">
        <v>1003553</v>
      </c>
      <c r="B15004">
        <v>13516</v>
      </c>
      <c r="C15004">
        <v>1</v>
      </c>
      <c r="D15004" t="s">
        <v>17166</v>
      </c>
      <c r="F15004" t="s">
        <v>34315</v>
      </c>
      <c r="H15004" t="s">
        <v>34316</v>
      </c>
      <c r="J15004" t="s">
        <v>34317</v>
      </c>
      <c r="L15004" t="s">
        <v>34448</v>
      </c>
      <c r="N15004" t="s">
        <v>34485</v>
      </c>
      <c r="P15004" t="s">
        <v>34486</v>
      </c>
      <c r="R15004" s="26" t="str">
        <f>HYPERLINK("https://ictv.global/taxonomy/taxondetails?taxnode_id=202305764","Badnavirus epsilondioscoreae")</f>
        <v>Badnavirus epsilondioscoreae</v>
      </c>
      <c r="S15004" t="s">
        <v>30</v>
      </c>
      <c r="T15004" t="s">
        <v>34562</v>
      </c>
      <c r="U15004" t="s">
        <v>34563</v>
      </c>
      <c r="W15004" t="s">
        <v>34564</v>
      </c>
      <c r="X15004" t="s">
        <v>42</v>
      </c>
      <c r="Y15004" t="s">
        <v>34325</v>
      </c>
      <c r="Z15004" t="s">
        <v>13441</v>
      </c>
      <c r="AA15004" s="22" t="str">
        <f>HYPERLINK("https://www.ncbi.nlm.nih.gov/nuccore/KX008577","NCBI Nucleotide")</f>
        <v>NCBI Nucleotide</v>
      </c>
    </row>
    <row r="15005" spans="1:27" x14ac:dyDescent="0.35">
      <c r="A15005">
        <v>1003554</v>
      </c>
      <c r="B15005">
        <v>13517</v>
      </c>
      <c r="C15005">
        <v>1</v>
      </c>
      <c r="D15005" t="s">
        <v>17166</v>
      </c>
      <c r="F15005" t="s">
        <v>34315</v>
      </c>
      <c r="H15005" t="s">
        <v>34316</v>
      </c>
      <c r="J15005" t="s">
        <v>34317</v>
      </c>
      <c r="L15005" t="s">
        <v>34448</v>
      </c>
      <c r="N15005" t="s">
        <v>34485</v>
      </c>
      <c r="P15005" t="s">
        <v>34486</v>
      </c>
      <c r="R15005" s="26" t="str">
        <f>HYPERLINK("https://ictv.global/taxonomy/taxondetails?taxnode_id=202306646","Badnavirus epsiloninflatheobromae")</f>
        <v>Badnavirus epsiloninflatheobromae</v>
      </c>
      <c r="S15005" t="s">
        <v>30</v>
      </c>
      <c r="T15005" t="s">
        <v>34565</v>
      </c>
      <c r="U15005" t="s">
        <v>34566</v>
      </c>
      <c r="V15005" t="s">
        <v>34567</v>
      </c>
      <c r="W15005" t="s">
        <v>34568</v>
      </c>
      <c r="X15005" t="s">
        <v>42</v>
      </c>
      <c r="Y15005" t="s">
        <v>34325</v>
      </c>
      <c r="Z15005" t="s">
        <v>13441</v>
      </c>
      <c r="AA15005" s="22" t="str">
        <f>HYPERLINK("https://www.ncbi.nlm.nih.gov/nuccore/MF642734","NCBI Nucleotide")</f>
        <v>NCBI Nucleotide</v>
      </c>
    </row>
    <row r="15006" spans="1:27" x14ac:dyDescent="0.35">
      <c r="A15006">
        <v>1003555</v>
      </c>
      <c r="B15006">
        <v>13518</v>
      </c>
      <c r="C15006">
        <v>1</v>
      </c>
      <c r="D15006" t="s">
        <v>17166</v>
      </c>
      <c r="F15006" t="s">
        <v>34315</v>
      </c>
      <c r="H15006" t="s">
        <v>34316</v>
      </c>
      <c r="J15006" t="s">
        <v>34317</v>
      </c>
      <c r="L15006" t="s">
        <v>34448</v>
      </c>
      <c r="N15006" t="s">
        <v>34485</v>
      </c>
      <c r="P15006" t="s">
        <v>34486</v>
      </c>
      <c r="R15006" s="26" t="str">
        <f>HYPERLINK("https://ictv.global/taxonomy/taxondetails?taxnode_id=202302824","Badnavirus epsilonvirgamusae")</f>
        <v>Badnavirus epsilonvirgamusae</v>
      </c>
      <c r="S15006" t="s">
        <v>30</v>
      </c>
      <c r="T15006" t="s">
        <v>34569</v>
      </c>
      <c r="U15006" t="s">
        <v>34570</v>
      </c>
      <c r="V15006" t="s">
        <v>34541</v>
      </c>
      <c r="W15006" t="s">
        <v>34571</v>
      </c>
      <c r="X15006" t="s">
        <v>42</v>
      </c>
      <c r="Y15006" t="s">
        <v>34325</v>
      </c>
      <c r="Z15006" t="s">
        <v>13441</v>
      </c>
      <c r="AA15006" s="22" t="str">
        <f>HYPERLINK("https://www.ncbi.nlm.nih.gov/nuccore/HQ593107","NCBI Nucleotide")</f>
        <v>NCBI Nucleotide</v>
      </c>
    </row>
    <row r="15007" spans="1:27" x14ac:dyDescent="0.35">
      <c r="A15007">
        <v>1003556</v>
      </c>
      <c r="B15007">
        <v>13519</v>
      </c>
      <c r="C15007">
        <v>1</v>
      </c>
      <c r="D15007" t="s">
        <v>17166</v>
      </c>
      <c r="F15007" t="s">
        <v>34315</v>
      </c>
      <c r="H15007" t="s">
        <v>34316</v>
      </c>
      <c r="J15007" t="s">
        <v>34317</v>
      </c>
      <c r="L15007" t="s">
        <v>34448</v>
      </c>
      <c r="N15007" t="s">
        <v>34485</v>
      </c>
      <c r="P15007" t="s">
        <v>34486</v>
      </c>
      <c r="R15007" s="26" t="str">
        <f>HYPERLINK("https://ictv.global/taxonomy/taxondetails?taxnode_id=202302837","Badnavirus etadioscoreae")</f>
        <v>Badnavirus etadioscoreae</v>
      </c>
      <c r="S15007" t="s">
        <v>30</v>
      </c>
      <c r="T15007" t="s">
        <v>34572</v>
      </c>
      <c r="U15007" t="s">
        <v>34573</v>
      </c>
      <c r="V15007" t="s">
        <v>34574</v>
      </c>
      <c r="W15007" t="s">
        <v>34575</v>
      </c>
      <c r="X15007" t="s">
        <v>42</v>
      </c>
      <c r="Y15007" t="s">
        <v>34325</v>
      </c>
      <c r="Z15007" t="s">
        <v>13441</v>
      </c>
      <c r="AA15007" s="22" t="str">
        <f>HYPERLINK("https://www.ncbi.nlm.nih.gov/nuccore/DQ822073","NCBI Nucleotide")</f>
        <v>NCBI Nucleotide</v>
      </c>
    </row>
    <row r="15008" spans="1:27" x14ac:dyDescent="0.35">
      <c r="A15008">
        <v>1003557</v>
      </c>
      <c r="B15008">
        <v>13520</v>
      </c>
      <c r="C15008">
        <v>1</v>
      </c>
      <c r="D15008" t="s">
        <v>17166</v>
      </c>
      <c r="F15008" t="s">
        <v>34315</v>
      </c>
      <c r="H15008" t="s">
        <v>34316</v>
      </c>
      <c r="J15008" t="s">
        <v>34317</v>
      </c>
      <c r="L15008" t="s">
        <v>34448</v>
      </c>
      <c r="N15008" t="s">
        <v>34485</v>
      </c>
      <c r="P15008" t="s">
        <v>34486</v>
      </c>
      <c r="R15008" s="26" t="str">
        <f>HYPERLINK("https://ictv.global/taxonomy/taxondetails?taxnode_id=202302832","Badnavirus etainflatheobromae")</f>
        <v>Badnavirus etainflatheobromae</v>
      </c>
      <c r="S15008" t="s">
        <v>30</v>
      </c>
      <c r="T15008" t="s">
        <v>34576</v>
      </c>
      <c r="U15008" t="s">
        <v>34577</v>
      </c>
      <c r="V15008" t="s">
        <v>34578</v>
      </c>
      <c r="W15008" t="s">
        <v>34579</v>
      </c>
      <c r="X15008" t="s">
        <v>42</v>
      </c>
      <c r="Y15008" t="s">
        <v>34325</v>
      </c>
      <c r="Z15008" t="s">
        <v>13441</v>
      </c>
      <c r="AA15008" s="22" t="str">
        <f>HYPERLINK("https://www.ncbi.nlm.nih.gov/nuccore/L14546","NCBI Nucleotide")</f>
        <v>NCBI Nucleotide</v>
      </c>
    </row>
    <row r="15009" spans="1:27" x14ac:dyDescent="0.35">
      <c r="A15009">
        <v>1003558</v>
      </c>
      <c r="B15009">
        <v>13521</v>
      </c>
      <c r="C15009">
        <v>1</v>
      </c>
      <c r="D15009" t="s">
        <v>17166</v>
      </c>
      <c r="F15009" t="s">
        <v>34315</v>
      </c>
      <c r="H15009" t="s">
        <v>34316</v>
      </c>
      <c r="J15009" t="s">
        <v>34317</v>
      </c>
      <c r="L15009" t="s">
        <v>34448</v>
      </c>
      <c r="N15009" t="s">
        <v>34485</v>
      </c>
      <c r="P15009" t="s">
        <v>34486</v>
      </c>
      <c r="R15009" s="26" t="str">
        <f>HYPERLINK("https://ictv.global/taxonomy/taxondetails?taxnode_id=202302826","Badnavirus etavirgamusae")</f>
        <v>Badnavirus etavirgamusae</v>
      </c>
      <c r="S15009" t="s">
        <v>30</v>
      </c>
      <c r="T15009" t="s">
        <v>34580</v>
      </c>
      <c r="U15009" t="s">
        <v>34581</v>
      </c>
      <c r="V15009" t="s">
        <v>19516</v>
      </c>
      <c r="W15009" t="s">
        <v>34582</v>
      </c>
      <c r="X15009" t="s">
        <v>42</v>
      </c>
      <c r="Y15009" t="s">
        <v>34325</v>
      </c>
      <c r="Z15009" t="s">
        <v>13441</v>
      </c>
      <c r="AA15009" s="22" t="str">
        <f>HYPERLINK("https://www.ncbi.nlm.nih.gov/nuccore/HQ593109","NCBI Nucleotide")</f>
        <v>NCBI Nucleotide</v>
      </c>
    </row>
    <row r="15010" spans="1:27" x14ac:dyDescent="0.35">
      <c r="A15010">
        <v>1003559</v>
      </c>
      <c r="B15010">
        <v>13522</v>
      </c>
      <c r="C15010">
        <v>1</v>
      </c>
      <c r="D15010" t="s">
        <v>17166</v>
      </c>
      <c r="F15010" t="s">
        <v>34315</v>
      </c>
      <c r="H15010" t="s">
        <v>34316</v>
      </c>
      <c r="J15010" t="s">
        <v>34317</v>
      </c>
      <c r="L15010" t="s">
        <v>34448</v>
      </c>
      <c r="N15010" t="s">
        <v>34485</v>
      </c>
      <c r="P15010" t="s">
        <v>34486</v>
      </c>
      <c r="R15010" s="26" t="str">
        <f>HYPERLINK("https://ictv.global/taxonomy/taxondetails?taxnode_id=202302838","Badnavirus fici")</f>
        <v>Badnavirus fici</v>
      </c>
      <c r="S15010" t="s">
        <v>30</v>
      </c>
      <c r="T15010" t="s">
        <v>34583</v>
      </c>
      <c r="U15010" t="s">
        <v>34584</v>
      </c>
      <c r="V15010" t="s">
        <v>34585</v>
      </c>
      <c r="W15010" t="s">
        <v>34586</v>
      </c>
      <c r="X15010" t="s">
        <v>42</v>
      </c>
      <c r="Y15010" t="s">
        <v>34325</v>
      </c>
      <c r="Z15010" t="s">
        <v>13441</v>
      </c>
      <c r="AA15010" s="22" t="str">
        <f>HYPERLINK("https://www.ncbi.nlm.nih.gov/nuccore/JF411989","NCBI Nucleotide")</f>
        <v>NCBI Nucleotide</v>
      </c>
    </row>
    <row r="15011" spans="1:27" x14ac:dyDescent="0.35">
      <c r="A15011">
        <v>1003560</v>
      </c>
      <c r="B15011">
        <v>13523</v>
      </c>
      <c r="C15011">
        <v>1</v>
      </c>
      <c r="D15011" t="s">
        <v>17166</v>
      </c>
      <c r="F15011" t="s">
        <v>34315</v>
      </c>
      <c r="H15011" t="s">
        <v>34316</v>
      </c>
      <c r="J15011" t="s">
        <v>34317</v>
      </c>
      <c r="L15011" t="s">
        <v>34448</v>
      </c>
      <c r="N15011" t="s">
        <v>34485</v>
      </c>
      <c r="P15011" t="s">
        <v>34486</v>
      </c>
      <c r="R15011" s="26" t="str">
        <f>HYPERLINK("https://ictv.global/taxonomy/taxondetails?taxnode_id=202306649","Badnavirus gammadioscoreae")</f>
        <v>Badnavirus gammadioscoreae</v>
      </c>
      <c r="S15011" t="s">
        <v>30</v>
      </c>
      <c r="T15011" t="s">
        <v>34587</v>
      </c>
      <c r="U15011" t="s">
        <v>34588</v>
      </c>
      <c r="V15011" t="s">
        <v>34589</v>
      </c>
      <c r="W15011" t="s">
        <v>34590</v>
      </c>
      <c r="X15011" t="s">
        <v>42</v>
      </c>
      <c r="Y15011" t="s">
        <v>34325</v>
      </c>
      <c r="Z15011" t="s">
        <v>13441</v>
      </c>
      <c r="AA15011" s="22" t="str">
        <f>HYPERLINK("https://www.ncbi.nlm.nih.gov/nuccore/KY827394","NCBI Nucleotide")</f>
        <v>NCBI Nucleotide</v>
      </c>
    </row>
    <row r="15012" spans="1:27" x14ac:dyDescent="0.35">
      <c r="A15012">
        <v>1003561</v>
      </c>
      <c r="B15012">
        <v>13524</v>
      </c>
      <c r="C15012">
        <v>1</v>
      </c>
      <c r="D15012" t="s">
        <v>17166</v>
      </c>
      <c r="F15012" t="s">
        <v>34315</v>
      </c>
      <c r="H15012" t="s">
        <v>34316</v>
      </c>
      <c r="J15012" t="s">
        <v>34317</v>
      </c>
      <c r="L15012" t="s">
        <v>34448</v>
      </c>
      <c r="N15012" t="s">
        <v>34485</v>
      </c>
      <c r="P15012" t="s">
        <v>34486</v>
      </c>
      <c r="R15012" s="26" t="str">
        <f>HYPERLINK("https://ictv.global/taxonomy/taxondetails?taxnode_id=202306644","Badnavirus gammainflatheobromae")</f>
        <v>Badnavirus gammainflatheobromae</v>
      </c>
      <c r="S15012" t="s">
        <v>30</v>
      </c>
      <c r="T15012" t="s">
        <v>34591</v>
      </c>
      <c r="U15012" t="s">
        <v>34592</v>
      </c>
      <c r="V15012" t="s">
        <v>34593</v>
      </c>
      <c r="W15012" t="s">
        <v>34594</v>
      </c>
      <c r="X15012" t="s">
        <v>42</v>
      </c>
      <c r="Y15012" t="s">
        <v>34325</v>
      </c>
      <c r="Z15012" t="s">
        <v>13441</v>
      </c>
      <c r="AA15012" s="22" t="str">
        <f>HYPERLINK("https://www.ncbi.nlm.nih.gov/nuccore/MF642724","NCBI Nucleotide")</f>
        <v>NCBI Nucleotide</v>
      </c>
    </row>
    <row r="15013" spans="1:27" x14ac:dyDescent="0.35">
      <c r="A15013">
        <v>1003562</v>
      </c>
      <c r="B15013">
        <v>13525</v>
      </c>
      <c r="C15013">
        <v>1</v>
      </c>
      <c r="D15013" t="s">
        <v>17166</v>
      </c>
      <c r="F15013" t="s">
        <v>34315</v>
      </c>
      <c r="H15013" t="s">
        <v>34316</v>
      </c>
      <c r="J15013" t="s">
        <v>34317</v>
      </c>
      <c r="L15013" t="s">
        <v>34448</v>
      </c>
      <c r="N15013" t="s">
        <v>34485</v>
      </c>
      <c r="P15013" t="s">
        <v>34486</v>
      </c>
      <c r="R15013" s="26" t="str">
        <f>HYPERLINK("https://ictv.global/taxonomy/taxondetails?taxnode_id=202302853","Badnavirus gammasacchari")</f>
        <v>Badnavirus gammasacchari</v>
      </c>
      <c r="S15013" t="s">
        <v>30</v>
      </c>
      <c r="T15013" t="s">
        <v>34595</v>
      </c>
      <c r="U15013" t="s">
        <v>34596</v>
      </c>
      <c r="V15013" t="s">
        <v>34597</v>
      </c>
      <c r="W15013" t="s">
        <v>34598</v>
      </c>
      <c r="X15013" t="s">
        <v>42</v>
      </c>
      <c r="Y15013" t="s">
        <v>34325</v>
      </c>
      <c r="Z15013" t="s">
        <v>13441</v>
      </c>
      <c r="AA15013" s="22" t="str">
        <f>HYPERLINK("https://www.ncbi.nlm.nih.gov/nuccore/AJ277091","NCBI Nucleotide")</f>
        <v>NCBI Nucleotide</v>
      </c>
    </row>
    <row r="15014" spans="1:27" x14ac:dyDescent="0.35">
      <c r="A15014">
        <v>1003563</v>
      </c>
      <c r="B15014">
        <v>13526</v>
      </c>
      <c r="C15014">
        <v>1</v>
      </c>
      <c r="D15014" t="s">
        <v>17166</v>
      </c>
      <c r="F15014" t="s">
        <v>34315</v>
      </c>
      <c r="H15014" t="s">
        <v>34316</v>
      </c>
      <c r="J15014" t="s">
        <v>34317</v>
      </c>
      <c r="L15014" t="s">
        <v>34448</v>
      </c>
      <c r="N15014" t="s">
        <v>34485</v>
      </c>
      <c r="P15014" t="s">
        <v>34486</v>
      </c>
      <c r="R15014" s="26" t="str">
        <f>HYPERLINK("https://ictv.global/taxonomy/taxondetails?taxnode_id=202302822","Badnavirus gammavirgamusae")</f>
        <v>Badnavirus gammavirgamusae</v>
      </c>
      <c r="S15014" t="s">
        <v>30</v>
      </c>
      <c r="T15014" t="s">
        <v>34599</v>
      </c>
      <c r="U15014" t="s">
        <v>34600</v>
      </c>
      <c r="V15014" t="s">
        <v>13887</v>
      </c>
      <c r="W15014" t="s">
        <v>34601</v>
      </c>
      <c r="X15014" t="s">
        <v>42</v>
      </c>
      <c r="Y15014" t="s">
        <v>34325</v>
      </c>
      <c r="Z15014" t="s">
        <v>13441</v>
      </c>
      <c r="AA15014" s="22" t="str">
        <f>HYPERLINK("https://www.ncbi.nlm.nih.gov/nuccore/AY805074","NCBI Nucleotide")</f>
        <v>NCBI Nucleotide</v>
      </c>
    </row>
    <row r="15015" spans="1:27" x14ac:dyDescent="0.35">
      <c r="A15015">
        <v>1003564</v>
      </c>
      <c r="B15015">
        <v>13527</v>
      </c>
      <c r="C15015">
        <v>1</v>
      </c>
      <c r="D15015" t="s">
        <v>17166</v>
      </c>
      <c r="F15015" t="s">
        <v>34315</v>
      </c>
      <c r="H15015" t="s">
        <v>34316</v>
      </c>
      <c r="J15015" t="s">
        <v>34317</v>
      </c>
      <c r="L15015" t="s">
        <v>34448</v>
      </c>
      <c r="N15015" t="s">
        <v>34485</v>
      </c>
      <c r="P15015" t="s">
        <v>34486</v>
      </c>
      <c r="R15015" s="26" t="str">
        <f>HYPERLINK("https://ictv.global/taxonomy/taxondetails?taxnode_id=202302828","Badnavirus iotavirgamusae")</f>
        <v>Badnavirus iotavirgamusae</v>
      </c>
      <c r="S15015" t="s">
        <v>30</v>
      </c>
      <c r="T15015" t="s">
        <v>34602</v>
      </c>
      <c r="U15015" t="s">
        <v>34603</v>
      </c>
      <c r="V15015" t="s">
        <v>14707</v>
      </c>
      <c r="W15015" t="s">
        <v>34604</v>
      </c>
      <c r="X15015" t="s">
        <v>42</v>
      </c>
      <c r="Y15015" t="s">
        <v>34325</v>
      </c>
      <c r="Z15015" t="s">
        <v>13441</v>
      </c>
      <c r="AA15015" s="22" t="str">
        <f>HYPERLINK("https://www.ncbi.nlm.nih.gov/nuccore/AY750155","NCBI Nucleotide")</f>
        <v>NCBI Nucleotide</v>
      </c>
    </row>
    <row r="15016" spans="1:27" x14ac:dyDescent="0.35">
      <c r="A15016">
        <v>1003565</v>
      </c>
      <c r="B15016">
        <v>13528</v>
      </c>
      <c r="C15016">
        <v>1</v>
      </c>
      <c r="D15016" t="s">
        <v>17166</v>
      </c>
      <c r="F15016" t="s">
        <v>34315</v>
      </c>
      <c r="H15016" t="s">
        <v>34316</v>
      </c>
      <c r="J15016" t="s">
        <v>34317</v>
      </c>
      <c r="L15016" t="s">
        <v>34448</v>
      </c>
      <c r="N15016" t="s">
        <v>34485</v>
      </c>
      <c r="P15016" t="s">
        <v>34486</v>
      </c>
      <c r="R15016" s="26" t="str">
        <f>HYPERLINK("https://ictv.global/taxonomy/taxondetails?taxnode_id=202302835","Badnavirus maculacommelinae")</f>
        <v>Badnavirus maculacommelinae</v>
      </c>
      <c r="S15016" t="s">
        <v>30</v>
      </c>
      <c r="T15016" t="s">
        <v>34605</v>
      </c>
      <c r="U15016" t="s">
        <v>34606</v>
      </c>
      <c r="V15016" t="s">
        <v>34607</v>
      </c>
      <c r="W15016" t="s">
        <v>34608</v>
      </c>
      <c r="X15016" t="s">
        <v>42</v>
      </c>
      <c r="Y15016" t="s">
        <v>34325</v>
      </c>
      <c r="Z15016" t="s">
        <v>13441</v>
      </c>
      <c r="AA15016" s="22" t="str">
        <f>HYPERLINK("https://www.ncbi.nlm.nih.gov/nuccore/X52938","NCBI Nucleotide")</f>
        <v>NCBI Nucleotide</v>
      </c>
    </row>
    <row r="15017" spans="1:27" x14ac:dyDescent="0.35">
      <c r="A15017">
        <v>1003566</v>
      </c>
      <c r="B15017">
        <v>13529</v>
      </c>
      <c r="C15017">
        <v>1</v>
      </c>
      <c r="D15017" t="s">
        <v>17166</v>
      </c>
      <c r="F15017" t="s">
        <v>34315</v>
      </c>
      <c r="H15017" t="s">
        <v>34316</v>
      </c>
      <c r="J15017" t="s">
        <v>34317</v>
      </c>
      <c r="L15017" t="s">
        <v>34448</v>
      </c>
      <c r="N15017" t="s">
        <v>34485</v>
      </c>
      <c r="P15017" t="s">
        <v>34486</v>
      </c>
      <c r="R15017" s="26" t="str">
        <f>HYPERLINK("https://ictv.global/taxonomy/taxondetails?taxnode_id=202308837","Badnavirus maculadracaenae")</f>
        <v>Badnavirus maculadracaenae</v>
      </c>
      <c r="S15017" t="s">
        <v>30</v>
      </c>
      <c r="T15017" t="s">
        <v>34609</v>
      </c>
      <c r="U15017" t="s">
        <v>34610</v>
      </c>
      <c r="V15017" t="s">
        <v>17234</v>
      </c>
      <c r="W15017" t="s">
        <v>34611</v>
      </c>
      <c r="X15017" t="s">
        <v>42</v>
      </c>
      <c r="Y15017" t="s">
        <v>34325</v>
      </c>
      <c r="Z15017" t="s">
        <v>13441</v>
      </c>
      <c r="AA15017" s="22" t="str">
        <f>HYPERLINK("https://www.ncbi.nlm.nih.gov/nuccore/DQ473478","NCBI Nucleotide")</f>
        <v>NCBI Nucleotide</v>
      </c>
    </row>
    <row r="15018" spans="1:27" x14ac:dyDescent="0.35">
      <c r="A15018">
        <v>1003567</v>
      </c>
      <c r="B15018">
        <v>13530</v>
      </c>
      <c r="C15018">
        <v>1</v>
      </c>
      <c r="D15018" t="s">
        <v>17166</v>
      </c>
      <c r="F15018" t="s">
        <v>34315</v>
      </c>
      <c r="H15018" t="s">
        <v>34316</v>
      </c>
      <c r="J15018" t="s">
        <v>34317</v>
      </c>
      <c r="L15018" t="s">
        <v>34448</v>
      </c>
      <c r="N15018" t="s">
        <v>34485</v>
      </c>
      <c r="P15018" t="s">
        <v>34486</v>
      </c>
      <c r="R15018" s="26" t="str">
        <f>HYPERLINK("https://ictv.global/taxonomy/taxondetails?taxnode_id=202308838","Badnavirus maculaepiphylli")</f>
        <v>Badnavirus maculaepiphylli</v>
      </c>
      <c r="S15018" t="s">
        <v>30</v>
      </c>
      <c r="T15018" t="s">
        <v>34612</v>
      </c>
      <c r="U15018" t="s">
        <v>34613</v>
      </c>
      <c r="V15018" t="s">
        <v>19456</v>
      </c>
      <c r="W15018" t="s">
        <v>34614</v>
      </c>
      <c r="X15018" t="s">
        <v>42</v>
      </c>
      <c r="Y15018" t="s">
        <v>34325</v>
      </c>
      <c r="Z15018" t="s">
        <v>13441</v>
      </c>
      <c r="AA15018" s="22" t="str">
        <f>HYPERLINK("https://www.ncbi.nlm.nih.gov/nuccore/MH396440","NCBI Nucleotide")</f>
        <v>NCBI Nucleotide</v>
      </c>
    </row>
    <row r="15019" spans="1:27" x14ac:dyDescent="0.35">
      <c r="A15019">
        <v>1003568</v>
      </c>
      <c r="B15019">
        <v>13531</v>
      </c>
      <c r="C15019">
        <v>1</v>
      </c>
      <c r="D15019" t="s">
        <v>17166</v>
      </c>
      <c r="F15019" t="s">
        <v>34315</v>
      </c>
      <c r="H15019" t="s">
        <v>34316</v>
      </c>
      <c r="J15019" t="s">
        <v>34317</v>
      </c>
      <c r="L15019" t="s">
        <v>34448</v>
      </c>
      <c r="N15019" t="s">
        <v>34485</v>
      </c>
      <c r="P15019" t="s">
        <v>34486</v>
      </c>
      <c r="R15019" s="26" t="str">
        <f>HYPERLINK("https://ictv.global/taxonomy/taxondetails?taxnode_id=202308841","Badnavirus maculahederae")</f>
        <v>Badnavirus maculahederae</v>
      </c>
      <c r="S15019" t="s">
        <v>30</v>
      </c>
      <c r="T15019" t="s">
        <v>34615</v>
      </c>
      <c r="U15019" t="s">
        <v>34616</v>
      </c>
      <c r="V15019" t="s">
        <v>34617</v>
      </c>
      <c r="W15019" t="s">
        <v>34618</v>
      </c>
      <c r="X15019" t="s">
        <v>42</v>
      </c>
      <c r="Y15019" t="s">
        <v>34325</v>
      </c>
      <c r="Z15019" t="s">
        <v>13441</v>
      </c>
      <c r="AA15019" s="22" t="str">
        <f>HYPERLINK("https://www.ncbi.nlm.nih.gov/nuccore/MN850490","NCBI Nucleotide")</f>
        <v>NCBI Nucleotide</v>
      </c>
    </row>
    <row r="15020" spans="1:27" x14ac:dyDescent="0.35">
      <c r="A15020">
        <v>1003569</v>
      </c>
      <c r="B15020">
        <v>13532</v>
      </c>
      <c r="C15020">
        <v>1</v>
      </c>
      <c r="D15020" t="s">
        <v>17166</v>
      </c>
      <c r="F15020" t="s">
        <v>34315</v>
      </c>
      <c r="H15020" t="s">
        <v>34316</v>
      </c>
      <c r="J15020" t="s">
        <v>34317</v>
      </c>
      <c r="L15020" t="s">
        <v>34448</v>
      </c>
      <c r="N15020" t="s">
        <v>34485</v>
      </c>
      <c r="P15020" t="s">
        <v>34486</v>
      </c>
      <c r="R15020" s="26" t="str">
        <f>HYPERLINK("https://ictv.global/taxonomy/taxondetails?taxnode_id=202302842","Badnavirus maculakalanchoes")</f>
        <v>Badnavirus maculakalanchoes</v>
      </c>
      <c r="S15020" t="s">
        <v>30</v>
      </c>
      <c r="T15020" t="s">
        <v>34619</v>
      </c>
      <c r="U15020" t="s">
        <v>34620</v>
      </c>
      <c r="W15020" t="s">
        <v>34621</v>
      </c>
      <c r="X15020" t="s">
        <v>42</v>
      </c>
      <c r="Y15020" t="s">
        <v>34325</v>
      </c>
      <c r="Z15020" t="s">
        <v>13441</v>
      </c>
      <c r="AA15020" s="22" t="str">
        <f>HYPERLINK("https://www.ncbi.nlm.nih.gov/nuccore/AY180137","NCBI Nucleotide")</f>
        <v>NCBI Nucleotide</v>
      </c>
    </row>
    <row r="15021" spans="1:27" x14ac:dyDescent="0.35">
      <c r="A15021">
        <v>1003570</v>
      </c>
      <c r="B15021">
        <v>13533</v>
      </c>
      <c r="C15021">
        <v>1</v>
      </c>
      <c r="D15021" t="s">
        <v>17166</v>
      </c>
      <c r="F15021" t="s">
        <v>34315</v>
      </c>
      <c r="H15021" t="s">
        <v>34316</v>
      </c>
      <c r="J15021" t="s">
        <v>34317</v>
      </c>
      <c r="L15021" t="s">
        <v>34448</v>
      </c>
      <c r="N15021" t="s">
        <v>34485</v>
      </c>
      <c r="P15021" t="s">
        <v>34486</v>
      </c>
      <c r="R15021" s="26" t="str">
        <f>HYPERLINK("https://ictv.global/taxonomy/taxondetails?taxnode_id=202302847","Badnavirus maculapiperis")</f>
        <v>Badnavirus maculapiperis</v>
      </c>
      <c r="S15021" t="s">
        <v>30</v>
      </c>
      <c r="T15021" t="s">
        <v>34622</v>
      </c>
      <c r="U15021" t="s">
        <v>34623</v>
      </c>
      <c r="V15021" t="s">
        <v>34624</v>
      </c>
      <c r="W15021" t="s">
        <v>34625</v>
      </c>
      <c r="X15021" t="s">
        <v>42</v>
      </c>
      <c r="Y15021" t="s">
        <v>34325</v>
      </c>
      <c r="Z15021" t="s">
        <v>13441</v>
      </c>
      <c r="AA15021" s="22" t="str">
        <f>HYPERLINK("https://www.ncbi.nlm.nih.gov/nuccore/KC808712","NCBI Nucleotide")</f>
        <v>NCBI Nucleotide</v>
      </c>
    </row>
    <row r="15022" spans="1:27" x14ac:dyDescent="0.35">
      <c r="A15022">
        <v>1003571</v>
      </c>
      <c r="B15022">
        <v>13534</v>
      </c>
      <c r="C15022">
        <v>1</v>
      </c>
      <c r="D15022" t="s">
        <v>17166</v>
      </c>
      <c r="F15022" t="s">
        <v>34315</v>
      </c>
      <c r="H15022" t="s">
        <v>34316</v>
      </c>
      <c r="J15022" t="s">
        <v>34317</v>
      </c>
      <c r="L15022" t="s">
        <v>34448</v>
      </c>
      <c r="N15022" t="s">
        <v>34485</v>
      </c>
      <c r="P15022" t="s">
        <v>34486</v>
      </c>
      <c r="R15022" s="26" t="str">
        <f>HYPERLINK("https://ictv.global/taxonomy/taxondetails?taxnode_id=202302858","Badnavirus maculasmallanthi")</f>
        <v>Badnavirus maculasmallanthi</v>
      </c>
      <c r="S15022" t="s">
        <v>30</v>
      </c>
      <c r="T15022" t="s">
        <v>34626</v>
      </c>
      <c r="U15022" t="s">
        <v>34627</v>
      </c>
      <c r="V15022" t="s">
        <v>34628</v>
      </c>
      <c r="W15022" t="s">
        <v>34629</v>
      </c>
      <c r="X15022" t="s">
        <v>42</v>
      </c>
      <c r="Y15022" t="s">
        <v>34325</v>
      </c>
      <c r="Z15022" t="s">
        <v>13441</v>
      </c>
      <c r="AA15022" s="22" t="str">
        <f>HYPERLINK("https://www.ncbi.nlm.nih.gov/nuccore/KM229702","NCBI Nucleotide")</f>
        <v>NCBI Nucleotide</v>
      </c>
    </row>
    <row r="15023" spans="1:27" x14ac:dyDescent="0.35">
      <c r="A15023">
        <v>1003572</v>
      </c>
      <c r="B15023">
        <v>13535</v>
      </c>
      <c r="C15023">
        <v>1</v>
      </c>
      <c r="D15023" t="s">
        <v>17166</v>
      </c>
      <c r="F15023" t="s">
        <v>34315</v>
      </c>
      <c r="H15023" t="s">
        <v>34316</v>
      </c>
      <c r="J15023" t="s">
        <v>34317</v>
      </c>
      <c r="L15023" t="s">
        <v>34448</v>
      </c>
      <c r="N15023" t="s">
        <v>34485</v>
      </c>
      <c r="P15023" t="s">
        <v>34486</v>
      </c>
      <c r="R15023" s="26" t="str">
        <f>HYPERLINK("https://ictv.global/taxonomy/taxondetails?taxnode_id=202302850","Badnavirus maculaspiraeae")</f>
        <v>Badnavirus maculaspiraeae</v>
      </c>
      <c r="S15023" t="s">
        <v>30</v>
      </c>
      <c r="T15023" t="s">
        <v>34630</v>
      </c>
      <c r="U15023" t="s">
        <v>34631</v>
      </c>
      <c r="W15023" t="s">
        <v>34632</v>
      </c>
      <c r="X15023" t="s">
        <v>154</v>
      </c>
      <c r="Y15023" t="s">
        <v>34325</v>
      </c>
      <c r="Z15023" t="s">
        <v>13441</v>
      </c>
      <c r="AA15023" s="22" t="str">
        <f>HYPERLINK("https://www.ncbi.nlm.nih.gov/nuccore/AF299074","NCBI Nucleotide")</f>
        <v>NCBI Nucleotide</v>
      </c>
    </row>
    <row r="15024" spans="1:27" x14ac:dyDescent="0.35">
      <c r="A15024">
        <v>1003573</v>
      </c>
      <c r="B15024">
        <v>13536</v>
      </c>
      <c r="C15024">
        <v>1</v>
      </c>
      <c r="D15024" t="s">
        <v>17166</v>
      </c>
      <c r="F15024" t="s">
        <v>34315</v>
      </c>
      <c r="H15024" t="s">
        <v>34316</v>
      </c>
      <c r="J15024" t="s">
        <v>34317</v>
      </c>
      <c r="L15024" t="s">
        <v>34448</v>
      </c>
      <c r="N15024" t="s">
        <v>34485</v>
      </c>
      <c r="P15024" t="s">
        <v>34486</v>
      </c>
      <c r="R15024" s="26" t="str">
        <f>HYPERLINK("https://ictv.global/taxonomy/taxondetails?taxnode_id=202313831","Badnavirus maculaucubae")</f>
        <v>Badnavirus maculaucubae</v>
      </c>
      <c r="S15024" t="s">
        <v>30</v>
      </c>
      <c r="T15024" t="s">
        <v>34633</v>
      </c>
      <c r="U15024" t="s">
        <v>34634</v>
      </c>
      <c r="W15024" t="s">
        <v>34635</v>
      </c>
      <c r="X15024" t="s">
        <v>42</v>
      </c>
      <c r="Y15024" t="s">
        <v>34325</v>
      </c>
      <c r="Z15024" t="s">
        <v>13441</v>
      </c>
      <c r="AA15024" s="22" t="str">
        <f>HYPERLINK("https://www.ncbi.nlm.nih.gov/nuccore/LC487411","NCBI Nucleotide")</f>
        <v>NCBI Nucleotide</v>
      </c>
    </row>
    <row r="15025" spans="1:27" x14ac:dyDescent="0.35">
      <c r="A15025">
        <v>1003574</v>
      </c>
      <c r="B15025">
        <v>13537</v>
      </c>
      <c r="C15025">
        <v>1</v>
      </c>
      <c r="D15025" t="s">
        <v>17166</v>
      </c>
      <c r="F15025" t="s">
        <v>34315</v>
      </c>
      <c r="H15025" t="s">
        <v>34316</v>
      </c>
      <c r="J15025" t="s">
        <v>34317</v>
      </c>
      <c r="L15025" t="s">
        <v>34448</v>
      </c>
      <c r="N15025" t="s">
        <v>34485</v>
      </c>
      <c r="P15025" t="s">
        <v>34486</v>
      </c>
      <c r="R15025" s="26" t="str">
        <f>HYPERLINK("https://ictv.global/taxonomy/taxondetails?taxnode_id=202315099","Badnavirus meliae")</f>
        <v>Badnavirus meliae</v>
      </c>
      <c r="S15025" t="s">
        <v>30</v>
      </c>
      <c r="T15025" t="s">
        <v>34636</v>
      </c>
      <c r="U15025" t="s">
        <v>34637</v>
      </c>
      <c r="V15025" t="s">
        <v>17870</v>
      </c>
      <c r="W15025" t="s">
        <v>34638</v>
      </c>
      <c r="X15025" t="s">
        <v>42</v>
      </c>
      <c r="Y15025" t="s">
        <v>34325</v>
      </c>
      <c r="Z15025" t="s">
        <v>13441</v>
      </c>
      <c r="AA15025" s="22" t="str">
        <f>HYPERLINK("https://www.ncbi.nlm.nih.gov/nuccore/OL630968","NCBI Nucleotide")</f>
        <v>NCBI Nucleotide</v>
      </c>
    </row>
    <row r="15026" spans="1:27" x14ac:dyDescent="0.35">
      <c r="A15026">
        <v>1003575</v>
      </c>
      <c r="B15026">
        <v>13538</v>
      </c>
      <c r="C15026">
        <v>1</v>
      </c>
      <c r="D15026" t="s">
        <v>17166</v>
      </c>
      <c r="F15026" t="s">
        <v>34315</v>
      </c>
      <c r="H15026" t="s">
        <v>34316</v>
      </c>
      <c r="J15026" t="s">
        <v>34317</v>
      </c>
      <c r="L15026" t="s">
        <v>34448</v>
      </c>
      <c r="N15026" t="s">
        <v>34485</v>
      </c>
      <c r="P15026" t="s">
        <v>34486</v>
      </c>
      <c r="R15026" s="26" t="str">
        <f>HYPERLINK("https://ictv.global/taxonomy/taxondetails?taxnode_id=202302843","Badnavirus mori")</f>
        <v>Badnavirus mori</v>
      </c>
      <c r="S15026" t="s">
        <v>30</v>
      </c>
      <c r="T15026" t="s">
        <v>34639</v>
      </c>
      <c r="U15026" t="s">
        <v>34640</v>
      </c>
      <c r="V15026" t="s">
        <v>34641</v>
      </c>
      <c r="W15026" t="s">
        <v>34642</v>
      </c>
      <c r="X15026" t="s">
        <v>42</v>
      </c>
      <c r="Y15026" t="s">
        <v>34325</v>
      </c>
      <c r="Z15026" t="s">
        <v>13441</v>
      </c>
      <c r="AA15026" s="22" t="str">
        <f>HYPERLINK("https://www.ncbi.nlm.nih.gov/nuccore/LN651258","NCBI Nucleotide")</f>
        <v>NCBI Nucleotide</v>
      </c>
    </row>
    <row r="15027" spans="1:27" x14ac:dyDescent="0.35">
      <c r="A15027">
        <v>1003576</v>
      </c>
      <c r="B15027">
        <v>13539</v>
      </c>
      <c r="C15027">
        <v>1</v>
      </c>
      <c r="D15027" t="s">
        <v>17166</v>
      </c>
      <c r="F15027" t="s">
        <v>34315</v>
      </c>
      <c r="H15027" t="s">
        <v>34316</v>
      </c>
      <c r="J15027" t="s">
        <v>34317</v>
      </c>
      <c r="L15027" t="s">
        <v>34448</v>
      </c>
      <c r="N15027" t="s">
        <v>34485</v>
      </c>
      <c r="P15027" t="s">
        <v>34486</v>
      </c>
      <c r="R15027" s="26" t="str">
        <f>HYPERLINK("https://ictv.global/taxonomy/taxondetails?taxnode_id=202308835","Badnavirus necrozamiae")</f>
        <v>Badnavirus necrozamiae</v>
      </c>
      <c r="S15027" t="s">
        <v>30</v>
      </c>
      <c r="T15027" t="s">
        <v>34643</v>
      </c>
      <c r="U15027" t="s">
        <v>34644</v>
      </c>
      <c r="V15027" t="s">
        <v>34645</v>
      </c>
      <c r="W15027" t="s">
        <v>34646</v>
      </c>
      <c r="X15027" t="s">
        <v>42</v>
      </c>
      <c r="Y15027" t="s">
        <v>34325</v>
      </c>
      <c r="Z15027" t="s">
        <v>13441</v>
      </c>
      <c r="AA15027" s="22" t="str">
        <f>HYPERLINK("https://www.ncbi.nlm.nih.gov/nuccore/EU853709","NCBI Nucleotide")</f>
        <v>NCBI Nucleotide</v>
      </c>
    </row>
    <row r="15028" spans="1:27" x14ac:dyDescent="0.35">
      <c r="A15028">
        <v>1003577</v>
      </c>
      <c r="B15028">
        <v>13540</v>
      </c>
      <c r="C15028">
        <v>1</v>
      </c>
      <c r="D15028" t="s">
        <v>17166</v>
      </c>
      <c r="F15028" t="s">
        <v>34315</v>
      </c>
      <c r="H15028" t="s">
        <v>34316</v>
      </c>
      <c r="J15028" t="s">
        <v>34317</v>
      </c>
      <c r="L15028" t="s">
        <v>34448</v>
      </c>
      <c r="N15028" t="s">
        <v>34485</v>
      </c>
      <c r="P15028" t="s">
        <v>34486</v>
      </c>
      <c r="R15028" s="26" t="str">
        <f>HYPERLINK("https://ictv.global/taxonomy/taxondetails?taxnode_id=202302855","Badnavirus occultipomeae")</f>
        <v>Badnavirus occultipomeae</v>
      </c>
      <c r="S15028" t="s">
        <v>30</v>
      </c>
      <c r="T15028" t="s">
        <v>34647</v>
      </c>
      <c r="U15028" t="s">
        <v>34648</v>
      </c>
      <c r="V15028" t="s">
        <v>34649</v>
      </c>
      <c r="W15028" t="s">
        <v>34650</v>
      </c>
      <c r="X15028" t="s">
        <v>42</v>
      </c>
      <c r="Y15028" t="s">
        <v>34325</v>
      </c>
      <c r="Z15028" t="s">
        <v>13441</v>
      </c>
      <c r="AA15028" s="22" t="str">
        <f>HYPERLINK("https://www.ncbi.nlm.nih.gov/nuccore/FJ560943","NCBI Nucleotide")</f>
        <v>NCBI Nucleotide</v>
      </c>
    </row>
    <row r="15029" spans="1:27" x14ac:dyDescent="0.35">
      <c r="A15029">
        <v>1003578</v>
      </c>
      <c r="B15029">
        <v>13541</v>
      </c>
      <c r="C15029">
        <v>1</v>
      </c>
      <c r="D15029" t="s">
        <v>17166</v>
      </c>
      <c r="F15029" t="s">
        <v>34315</v>
      </c>
      <c r="H15029" t="s">
        <v>34316</v>
      </c>
      <c r="J15029" t="s">
        <v>34317</v>
      </c>
      <c r="L15029" t="s">
        <v>34448</v>
      </c>
      <c r="N15029" t="s">
        <v>34485</v>
      </c>
      <c r="P15029" t="s">
        <v>34486</v>
      </c>
      <c r="R15029" s="26" t="str">
        <f>HYPERLINK("https://ictv.global/taxonomy/taxondetails?taxnode_id=202306642","Badnavirus phirubi")</f>
        <v>Badnavirus phirubi</v>
      </c>
      <c r="S15029" t="s">
        <v>30</v>
      </c>
      <c r="T15029" t="s">
        <v>34651</v>
      </c>
      <c r="U15029" t="s">
        <v>34652</v>
      </c>
      <c r="V15029" t="s">
        <v>34653</v>
      </c>
      <c r="W15029" t="s">
        <v>34654</v>
      </c>
      <c r="X15029" t="s">
        <v>42</v>
      </c>
      <c r="Y15029" t="s">
        <v>34325</v>
      </c>
      <c r="Z15029" t="s">
        <v>13441</v>
      </c>
      <c r="AA15029" s="22" t="str">
        <f>HYPERLINK("https://www.ncbi.nlm.nih.gov/nuccore/KJ413252","NCBI Nucleotide")</f>
        <v>NCBI Nucleotide</v>
      </c>
    </row>
    <row r="15030" spans="1:27" x14ac:dyDescent="0.35">
      <c r="A15030">
        <v>1003579</v>
      </c>
      <c r="B15030">
        <v>13542</v>
      </c>
      <c r="C15030">
        <v>1</v>
      </c>
      <c r="D15030" t="s">
        <v>17166</v>
      </c>
      <c r="F15030" t="s">
        <v>34315</v>
      </c>
      <c r="H15030" t="s">
        <v>34316</v>
      </c>
      <c r="J15030" t="s">
        <v>34317</v>
      </c>
      <c r="L15030" t="s">
        <v>34448</v>
      </c>
      <c r="N15030" t="s">
        <v>34485</v>
      </c>
      <c r="P15030" t="s">
        <v>34486</v>
      </c>
      <c r="R15030" s="26" t="str">
        <f>HYPERLINK("https://ictv.global/taxonomy/taxondetails?taxnode_id=202302848","Badnavirus reterubi")</f>
        <v>Badnavirus reterubi</v>
      </c>
      <c r="S15030" t="s">
        <v>30</v>
      </c>
      <c r="T15030" t="s">
        <v>34655</v>
      </c>
      <c r="U15030" t="s">
        <v>34656</v>
      </c>
      <c r="V15030" t="s">
        <v>34657</v>
      </c>
      <c r="W15030" t="s">
        <v>34658</v>
      </c>
      <c r="X15030" t="s">
        <v>42</v>
      </c>
      <c r="Y15030" t="s">
        <v>34325</v>
      </c>
      <c r="Z15030" t="s">
        <v>13441</v>
      </c>
      <c r="AA15030" s="22" t="str">
        <f>HYPERLINK("https://www.ncbi.nlm.nih.gov/nuccore/KM078034","NCBI Nucleotide")</f>
        <v>NCBI Nucleotide</v>
      </c>
    </row>
    <row r="15031" spans="1:27" x14ac:dyDescent="0.35">
      <c r="A15031">
        <v>1003580</v>
      </c>
      <c r="B15031">
        <v>13543</v>
      </c>
      <c r="C15031">
        <v>1</v>
      </c>
      <c r="D15031" t="s">
        <v>17166</v>
      </c>
      <c r="F15031" t="s">
        <v>34315</v>
      </c>
      <c r="H15031" t="s">
        <v>34316</v>
      </c>
      <c r="J15031" t="s">
        <v>34317</v>
      </c>
      <c r="L15031" t="s">
        <v>34448</v>
      </c>
      <c r="N15031" t="s">
        <v>34485</v>
      </c>
      <c r="P15031" t="s">
        <v>34486</v>
      </c>
      <c r="R15031" s="26" t="str">
        <f>HYPERLINK("https://ictv.global/taxonomy/taxondetails?taxnode_id=202308834","Badnavirus rutilanscamelliae")</f>
        <v>Badnavirus rutilanscamelliae</v>
      </c>
      <c r="S15031" t="s">
        <v>30</v>
      </c>
      <c r="T15031" t="s">
        <v>34659</v>
      </c>
      <c r="U15031" t="s">
        <v>34660</v>
      </c>
      <c r="V15031" t="s">
        <v>34661</v>
      </c>
      <c r="W15031" t="s">
        <v>34662</v>
      </c>
      <c r="X15031" t="s">
        <v>42</v>
      </c>
      <c r="Y15031" t="s">
        <v>34325</v>
      </c>
      <c r="Z15031" t="s">
        <v>13441</v>
      </c>
      <c r="AA15031" s="22" t="str">
        <f>HYPERLINK("https://www.ncbi.nlm.nih.gov/nuccore/MN542417","NCBI Nucleotide")</f>
        <v>NCBI Nucleotide</v>
      </c>
    </row>
    <row r="15032" spans="1:27" x14ac:dyDescent="0.35">
      <c r="A15032">
        <v>1003581</v>
      </c>
      <c r="B15032">
        <v>13544</v>
      </c>
      <c r="C15032">
        <v>1</v>
      </c>
      <c r="D15032" t="s">
        <v>17166</v>
      </c>
      <c r="F15032" t="s">
        <v>34315</v>
      </c>
      <c r="H15032" t="s">
        <v>34316</v>
      </c>
      <c r="J15032" t="s">
        <v>34317</v>
      </c>
      <c r="L15032" t="s">
        <v>34448</v>
      </c>
      <c r="N15032" t="s">
        <v>34485</v>
      </c>
      <c r="P15032" t="s">
        <v>34486</v>
      </c>
      <c r="R15032" s="26" t="str">
        <f>HYPERLINK("https://ictv.global/taxonomy/taxondetails?taxnode_id=202313832","Badnavirus tessellocastaneae")</f>
        <v>Badnavirus tessellocastaneae</v>
      </c>
      <c r="S15032" t="s">
        <v>30</v>
      </c>
      <c r="T15032" t="s">
        <v>34663</v>
      </c>
      <c r="U15032" t="s">
        <v>34664</v>
      </c>
      <c r="V15032" t="s">
        <v>34665</v>
      </c>
      <c r="W15032" t="s">
        <v>34666</v>
      </c>
      <c r="X15032" t="s">
        <v>42</v>
      </c>
      <c r="Y15032" t="s">
        <v>34325</v>
      </c>
      <c r="Z15032" t="s">
        <v>13441</v>
      </c>
      <c r="AA15032" s="22" t="str">
        <f>HYPERLINK("https://www.ncbi.nlm.nih.gov/nuccore/MT269853","NCBI Nucleotide")</f>
        <v>NCBI Nucleotide</v>
      </c>
    </row>
    <row r="15033" spans="1:27" x14ac:dyDescent="0.35">
      <c r="A15033">
        <v>1003582</v>
      </c>
      <c r="B15033">
        <v>13545</v>
      </c>
      <c r="C15033">
        <v>1</v>
      </c>
      <c r="D15033" t="s">
        <v>17166</v>
      </c>
      <c r="F15033" t="s">
        <v>34315</v>
      </c>
      <c r="H15033" t="s">
        <v>34316</v>
      </c>
      <c r="J15033" t="s">
        <v>34317</v>
      </c>
      <c r="L15033" t="s">
        <v>34448</v>
      </c>
      <c r="N15033" t="s">
        <v>34485</v>
      </c>
      <c r="P15033" t="s">
        <v>34486</v>
      </c>
      <c r="R15033" s="26" t="str">
        <f>HYPERLINK("https://ictv.global/taxonomy/taxondetails?taxnode_id=202302834","Badnavirus tessellocitri")</f>
        <v>Badnavirus tessellocitri</v>
      </c>
      <c r="S15033" t="s">
        <v>30</v>
      </c>
      <c r="T15033" t="s">
        <v>34667</v>
      </c>
      <c r="U15033" t="s">
        <v>34668</v>
      </c>
      <c r="V15033" t="s">
        <v>17579</v>
      </c>
      <c r="W15033" t="s">
        <v>34669</v>
      </c>
      <c r="X15033" t="s">
        <v>42</v>
      </c>
      <c r="Y15033" t="s">
        <v>34325</v>
      </c>
      <c r="Z15033" t="s">
        <v>13441</v>
      </c>
      <c r="AA15033" s="22" t="str">
        <f>HYPERLINK("https://www.ncbi.nlm.nih.gov/nuccore/AF347695","NCBI Nucleotide")</f>
        <v>NCBI Nucleotide</v>
      </c>
    </row>
    <row r="15034" spans="1:27" x14ac:dyDescent="0.35">
      <c r="A15034">
        <v>1027832</v>
      </c>
      <c r="B15034">
        <v>13546</v>
      </c>
      <c r="C15034">
        <v>1</v>
      </c>
      <c r="D15034" t="s">
        <v>17166</v>
      </c>
      <c r="F15034" t="s">
        <v>34315</v>
      </c>
      <c r="H15034" t="s">
        <v>34316</v>
      </c>
      <c r="J15034" t="s">
        <v>34317</v>
      </c>
      <c r="L15034" t="s">
        <v>34448</v>
      </c>
      <c r="N15034" t="s">
        <v>34485</v>
      </c>
      <c r="P15034" t="s">
        <v>34486</v>
      </c>
      <c r="R15034" s="26" t="str">
        <f>HYPERLINK("https://ictv.global/taxonomy/taxondetails?taxnode_id=202318294","Badnavirus tessellopandani")</f>
        <v>Badnavirus tessellopandani</v>
      </c>
      <c r="S15034" t="s">
        <v>30</v>
      </c>
      <c r="T15034" t="s">
        <v>47647</v>
      </c>
      <c r="U15034" t="s">
        <v>33869</v>
      </c>
      <c r="V15034" t="s">
        <v>18410</v>
      </c>
      <c r="W15034" t="s">
        <v>47648</v>
      </c>
      <c r="X15034" t="s">
        <v>42</v>
      </c>
      <c r="Y15034" t="s">
        <v>34325</v>
      </c>
      <c r="Z15034" t="s">
        <v>13441</v>
      </c>
      <c r="AA15034" s="22" t="str">
        <f>HYPERLINK("https://www.ncbi.nlm.nih.gov/nuccore/OK624603","NCBI Nucleotide")</f>
        <v>NCBI Nucleotide</v>
      </c>
    </row>
    <row r="15035" spans="1:27" x14ac:dyDescent="0.35">
      <c r="A15035">
        <v>1003583</v>
      </c>
      <c r="B15035">
        <v>13547</v>
      </c>
      <c r="C15035">
        <v>1</v>
      </c>
      <c r="D15035" t="s">
        <v>17166</v>
      </c>
      <c r="F15035" t="s">
        <v>34315</v>
      </c>
      <c r="H15035" t="s">
        <v>34316</v>
      </c>
      <c r="J15035" t="s">
        <v>34317</v>
      </c>
      <c r="L15035" t="s">
        <v>34448</v>
      </c>
      <c r="N15035" t="s">
        <v>34485</v>
      </c>
      <c r="P15035" t="s">
        <v>34486</v>
      </c>
      <c r="R15035" s="26" t="str">
        <f>HYPERLINK("https://ictv.global/taxonomy/taxondetails?taxnode_id=202308842","Badnavirus tessellopolysciatis")</f>
        <v>Badnavirus tessellopolysciatis</v>
      </c>
      <c r="S15035" t="s">
        <v>30</v>
      </c>
      <c r="T15035" t="s">
        <v>34670</v>
      </c>
      <c r="U15035" t="s">
        <v>34671</v>
      </c>
      <c r="V15035" t="s">
        <v>34672</v>
      </c>
      <c r="W15035" t="s">
        <v>34673</v>
      </c>
      <c r="X15035" t="s">
        <v>42</v>
      </c>
      <c r="Y15035" t="s">
        <v>34325</v>
      </c>
      <c r="Z15035" t="s">
        <v>13441</v>
      </c>
      <c r="AA15035" s="22" t="str">
        <f>HYPERLINK("https://www.ncbi.nlm.nih.gov/nuccore/MH475918","NCBI Nucleotide")</f>
        <v>NCBI Nucleotide</v>
      </c>
    </row>
    <row r="15036" spans="1:27" x14ac:dyDescent="0.35">
      <c r="A15036">
        <v>1003584</v>
      </c>
      <c r="B15036">
        <v>13548</v>
      </c>
      <c r="C15036">
        <v>1</v>
      </c>
      <c r="D15036" t="s">
        <v>17166</v>
      </c>
      <c r="F15036" t="s">
        <v>34315</v>
      </c>
      <c r="H15036" t="s">
        <v>34316</v>
      </c>
      <c r="J15036" t="s">
        <v>34317</v>
      </c>
      <c r="L15036" t="s">
        <v>34448</v>
      </c>
      <c r="N15036" t="s">
        <v>34485</v>
      </c>
      <c r="P15036" t="s">
        <v>34486</v>
      </c>
      <c r="R15036" s="26" t="str">
        <f>HYPERLINK("https://ictv.global/taxonomy/taxondetails?taxnode_id=202302844","Badnavirus tessellostyphnolobii")</f>
        <v>Badnavirus tessellostyphnolobii</v>
      </c>
      <c r="S15036" t="s">
        <v>30</v>
      </c>
      <c r="T15036" t="s">
        <v>34674</v>
      </c>
      <c r="U15036" t="s">
        <v>34675</v>
      </c>
      <c r="V15036">
        <v>1</v>
      </c>
      <c r="W15036" t="s">
        <v>34676</v>
      </c>
      <c r="X15036" t="s">
        <v>42</v>
      </c>
      <c r="Y15036" t="s">
        <v>34325</v>
      </c>
      <c r="Z15036" t="s">
        <v>13441</v>
      </c>
      <c r="AA15036" s="22" t="str">
        <f>HYPERLINK("https://www.ncbi.nlm.nih.gov/nuccore/KJ013302","NCBI Nucleotide")</f>
        <v>NCBI Nucleotide</v>
      </c>
    </row>
    <row r="15037" spans="1:27" x14ac:dyDescent="0.35">
      <c r="A15037">
        <v>1003585</v>
      </c>
      <c r="B15037">
        <v>13549</v>
      </c>
      <c r="C15037">
        <v>1</v>
      </c>
      <c r="D15037" t="s">
        <v>17166</v>
      </c>
      <c r="F15037" t="s">
        <v>34315</v>
      </c>
      <c r="H15037" t="s">
        <v>34316</v>
      </c>
      <c r="J15037" t="s">
        <v>34317</v>
      </c>
      <c r="L15037" t="s">
        <v>34448</v>
      </c>
      <c r="N15037" t="s">
        <v>34485</v>
      </c>
      <c r="P15037" t="s">
        <v>34486</v>
      </c>
      <c r="R15037" s="26" t="str">
        <f>HYPERLINK("https://ictv.global/taxonomy/taxondetails?taxnode_id=202305761","Badnavirus tessellotheobromae")</f>
        <v>Badnavirus tessellotheobromae</v>
      </c>
      <c r="S15037" t="s">
        <v>30</v>
      </c>
      <c r="T15037" t="s">
        <v>34677</v>
      </c>
      <c r="U15037" t="s">
        <v>20733</v>
      </c>
      <c r="V15037" t="s">
        <v>34678</v>
      </c>
      <c r="W15037" t="s">
        <v>34679</v>
      </c>
      <c r="X15037" t="s">
        <v>42</v>
      </c>
      <c r="Y15037" t="s">
        <v>34325</v>
      </c>
      <c r="Z15037" t="s">
        <v>13441</v>
      </c>
      <c r="AA15037" s="22" t="str">
        <f>HYPERLINK("https://www.ncbi.nlm.nih.gov/nuccore/KX276640","NCBI Nucleotide")</f>
        <v>NCBI Nucleotide</v>
      </c>
    </row>
    <row r="15038" spans="1:27" x14ac:dyDescent="0.35">
      <c r="A15038">
        <v>1003586</v>
      </c>
      <c r="B15038">
        <v>13550</v>
      </c>
      <c r="C15038">
        <v>1</v>
      </c>
      <c r="D15038" t="s">
        <v>17166</v>
      </c>
      <c r="F15038" t="s">
        <v>34315</v>
      </c>
      <c r="H15038" t="s">
        <v>34316</v>
      </c>
      <c r="J15038" t="s">
        <v>34317</v>
      </c>
      <c r="L15038" t="s">
        <v>34448</v>
      </c>
      <c r="N15038" t="s">
        <v>34485</v>
      </c>
      <c r="P15038" t="s">
        <v>34486</v>
      </c>
      <c r="R15038" s="26" t="str">
        <f>HYPERLINK("https://ictv.global/taxonomy/taxondetails?taxnode_id=202306651","Badnavirus tesselloziziphi")</f>
        <v>Badnavirus tesselloziziphi</v>
      </c>
      <c r="S15038" t="s">
        <v>30</v>
      </c>
      <c r="T15038" t="s">
        <v>34680</v>
      </c>
      <c r="U15038" t="s">
        <v>34681</v>
      </c>
      <c r="V15038" t="s">
        <v>34682</v>
      </c>
      <c r="W15038" t="s">
        <v>34683</v>
      </c>
      <c r="X15038" t="s">
        <v>42</v>
      </c>
      <c r="Y15038" t="s">
        <v>34325</v>
      </c>
      <c r="Z15038" t="s">
        <v>13441</v>
      </c>
      <c r="AA15038" s="22" t="str">
        <f>HYPERLINK("https://www.ncbi.nlm.nih.gov/nuccore/KX852476","NCBI Nucleotide")</f>
        <v>NCBI Nucleotide</v>
      </c>
    </row>
    <row r="15039" spans="1:27" x14ac:dyDescent="0.35">
      <c r="A15039">
        <v>1003587</v>
      </c>
      <c r="B15039">
        <v>13551</v>
      </c>
      <c r="C15039">
        <v>1</v>
      </c>
      <c r="D15039" t="s">
        <v>17166</v>
      </c>
      <c r="F15039" t="s">
        <v>34315</v>
      </c>
      <c r="H15039" t="s">
        <v>34316</v>
      </c>
      <c r="J15039" t="s">
        <v>34317</v>
      </c>
      <c r="L15039" t="s">
        <v>34448</v>
      </c>
      <c r="N15039" t="s">
        <v>34485</v>
      </c>
      <c r="P15039" t="s">
        <v>34486</v>
      </c>
      <c r="R15039" s="26" t="str">
        <f>HYPERLINK("https://ictv.global/taxonomy/taxondetails?taxnode_id=202305765","Badnavirus tetadioscoreae")</f>
        <v>Badnavirus tetadioscoreae</v>
      </c>
      <c r="S15039" t="s">
        <v>30</v>
      </c>
      <c r="T15039" t="s">
        <v>34684</v>
      </c>
      <c r="U15039" t="s">
        <v>34685</v>
      </c>
      <c r="V15039" t="s">
        <v>34686</v>
      </c>
      <c r="W15039" t="s">
        <v>34687</v>
      </c>
      <c r="X15039" t="s">
        <v>42</v>
      </c>
      <c r="Y15039" t="s">
        <v>34325</v>
      </c>
      <c r="Z15039" t="s">
        <v>13441</v>
      </c>
      <c r="AA15039" s="22" t="str">
        <f>HYPERLINK("https://www.ncbi.nlm.nih.gov/nuccore/KX430257","NCBI Nucleotide")</f>
        <v>NCBI Nucleotide</v>
      </c>
    </row>
    <row r="15040" spans="1:27" x14ac:dyDescent="0.35">
      <c r="A15040">
        <v>1003588</v>
      </c>
      <c r="B15040">
        <v>13552</v>
      </c>
      <c r="C15040">
        <v>1</v>
      </c>
      <c r="D15040" t="s">
        <v>17166</v>
      </c>
      <c r="F15040" t="s">
        <v>34315</v>
      </c>
      <c r="H15040" t="s">
        <v>34316</v>
      </c>
      <c r="J15040" t="s">
        <v>34317</v>
      </c>
      <c r="L15040" t="s">
        <v>34448</v>
      </c>
      <c r="N15040" t="s">
        <v>34485</v>
      </c>
      <c r="P15040" t="s">
        <v>34486</v>
      </c>
      <c r="R15040" s="26" t="str">
        <f>HYPERLINK("https://ictv.global/taxonomy/taxondetails?taxnode_id=202306647","Badnavirus theobromae")</f>
        <v>Badnavirus theobromae</v>
      </c>
      <c r="S15040" t="s">
        <v>30</v>
      </c>
      <c r="T15040" t="s">
        <v>34688</v>
      </c>
      <c r="U15040" t="s">
        <v>34689</v>
      </c>
      <c r="V15040" t="s">
        <v>8141</v>
      </c>
      <c r="W15040" t="s">
        <v>34690</v>
      </c>
      <c r="X15040" t="s">
        <v>42</v>
      </c>
      <c r="Y15040" t="s">
        <v>34325</v>
      </c>
      <c r="Z15040" t="s">
        <v>13441</v>
      </c>
      <c r="AA15040" s="22" t="str">
        <f>HYPERLINK("https://www.ncbi.nlm.nih.gov/nuccore/MF642736","NCBI Nucleotide")</f>
        <v>NCBI Nucleotide</v>
      </c>
    </row>
    <row r="15041" spans="1:27" x14ac:dyDescent="0.35">
      <c r="A15041">
        <v>1003589</v>
      </c>
      <c r="B15041">
        <v>13553</v>
      </c>
      <c r="C15041">
        <v>1</v>
      </c>
      <c r="D15041" t="s">
        <v>17166</v>
      </c>
      <c r="F15041" t="s">
        <v>34315</v>
      </c>
      <c r="H15041" t="s">
        <v>34316</v>
      </c>
      <c r="J15041" t="s">
        <v>34317</v>
      </c>
      <c r="L15041" t="s">
        <v>34448</v>
      </c>
      <c r="N15041" t="s">
        <v>34485</v>
      </c>
      <c r="P15041" t="s">
        <v>34486</v>
      </c>
      <c r="R15041" s="26" t="str">
        <f>HYPERLINK("https://ictv.global/taxonomy/taxondetails?taxnode_id=202302827","Badnavirus thetavirgamusae")</f>
        <v>Badnavirus thetavirgamusae</v>
      </c>
      <c r="S15041" t="s">
        <v>30</v>
      </c>
      <c r="T15041" t="s">
        <v>34691</v>
      </c>
      <c r="U15041" t="s">
        <v>34692</v>
      </c>
      <c r="V15041" t="s">
        <v>19516</v>
      </c>
      <c r="W15041" t="s">
        <v>34693</v>
      </c>
      <c r="X15041" t="s">
        <v>42</v>
      </c>
      <c r="Y15041" t="s">
        <v>34325</v>
      </c>
      <c r="Z15041" t="s">
        <v>13441</v>
      </c>
      <c r="AA15041" s="22" t="str">
        <f>HYPERLINK("https://www.ncbi.nlm.nih.gov/nuccore/HQ593110","NCBI Nucleotide")</f>
        <v>NCBI Nucleotide</v>
      </c>
    </row>
    <row r="15042" spans="1:27" x14ac:dyDescent="0.35">
      <c r="A15042">
        <v>1003590</v>
      </c>
      <c r="B15042">
        <v>13554</v>
      </c>
      <c r="C15042">
        <v>1</v>
      </c>
      <c r="D15042" t="s">
        <v>17166</v>
      </c>
      <c r="F15042" t="s">
        <v>34315</v>
      </c>
      <c r="H15042" t="s">
        <v>34316</v>
      </c>
      <c r="J15042" t="s">
        <v>34317</v>
      </c>
      <c r="L15042" t="s">
        <v>34448</v>
      </c>
      <c r="N15042" t="s">
        <v>34485</v>
      </c>
      <c r="P15042" t="s">
        <v>34486</v>
      </c>
      <c r="R15042" s="26" t="str">
        <f>HYPERLINK("https://ictv.global/taxonomy/taxondetails?taxnode_id=202302829","Badnavirus venabougainvilleae")</f>
        <v>Badnavirus venabougainvilleae</v>
      </c>
      <c r="S15042" t="s">
        <v>30</v>
      </c>
      <c r="T15042" t="s">
        <v>34694</v>
      </c>
      <c r="U15042" t="s">
        <v>34695</v>
      </c>
      <c r="V15042" t="s">
        <v>17244</v>
      </c>
      <c r="W15042" t="s">
        <v>34696</v>
      </c>
      <c r="X15042" t="s">
        <v>42</v>
      </c>
      <c r="Y15042" t="s">
        <v>34325</v>
      </c>
      <c r="Z15042" t="s">
        <v>13441</v>
      </c>
      <c r="AA15042" s="22" t="str">
        <f>HYPERLINK("https://www.ncbi.nlm.nih.gov/nuccore/EU034539","NCBI Nucleotide")</f>
        <v>NCBI Nucleotide</v>
      </c>
    </row>
    <row r="15043" spans="1:27" x14ac:dyDescent="0.35">
      <c r="A15043">
        <v>1003591</v>
      </c>
      <c r="B15043">
        <v>13555</v>
      </c>
      <c r="C15043">
        <v>1</v>
      </c>
      <c r="D15043" t="s">
        <v>17166</v>
      </c>
      <c r="F15043" t="s">
        <v>34315</v>
      </c>
      <c r="H15043" t="s">
        <v>34316</v>
      </c>
      <c r="J15043" t="s">
        <v>34317</v>
      </c>
      <c r="L15043" t="s">
        <v>34448</v>
      </c>
      <c r="N15043" t="s">
        <v>34485</v>
      </c>
      <c r="P15043" t="s">
        <v>34486</v>
      </c>
      <c r="R15043" s="26" t="str">
        <f>HYPERLINK("https://ictv.global/taxonomy/taxondetails?taxnode_id=202307426","Badnavirus venacodonopsis")</f>
        <v>Badnavirus venacodonopsis</v>
      </c>
      <c r="S15043" t="s">
        <v>30</v>
      </c>
      <c r="T15043" t="s">
        <v>34697</v>
      </c>
      <c r="U15043" t="s">
        <v>34698</v>
      </c>
      <c r="V15043" t="s">
        <v>34699</v>
      </c>
      <c r="W15043" t="s">
        <v>34700</v>
      </c>
      <c r="X15043" t="s">
        <v>42</v>
      </c>
      <c r="Y15043" t="s">
        <v>34325</v>
      </c>
      <c r="Z15043" t="s">
        <v>13441</v>
      </c>
      <c r="AA15043" s="22" t="str">
        <f>HYPERLINK("https://www.ncbi.nlm.nih.gov/nuccore/MK044821","NCBI Nucleotide")</f>
        <v>NCBI Nucleotide</v>
      </c>
    </row>
    <row r="15044" spans="1:27" x14ac:dyDescent="0.35">
      <c r="A15044">
        <v>1003592</v>
      </c>
      <c r="B15044">
        <v>13556</v>
      </c>
      <c r="C15044">
        <v>1</v>
      </c>
      <c r="D15044" t="s">
        <v>17166</v>
      </c>
      <c r="F15044" t="s">
        <v>34315</v>
      </c>
      <c r="H15044" t="s">
        <v>34316</v>
      </c>
      <c r="J15044" t="s">
        <v>34317</v>
      </c>
      <c r="L15044" t="s">
        <v>34448</v>
      </c>
      <c r="N15044" t="s">
        <v>34485</v>
      </c>
      <c r="P15044" t="s">
        <v>34486</v>
      </c>
      <c r="R15044" s="26" t="str">
        <f>HYPERLINK("https://ictv.global/taxonomy/taxondetails?taxnode_id=202302839","Badnavirus venaribis")</f>
        <v>Badnavirus venaribis</v>
      </c>
      <c r="S15044" t="s">
        <v>30</v>
      </c>
      <c r="T15044" t="s">
        <v>34701</v>
      </c>
      <c r="U15044" t="s">
        <v>34702</v>
      </c>
      <c r="V15044" t="s">
        <v>34703</v>
      </c>
      <c r="W15044" t="s">
        <v>34704</v>
      </c>
      <c r="X15044" t="s">
        <v>42</v>
      </c>
      <c r="Y15044" t="s">
        <v>34325</v>
      </c>
      <c r="Z15044" t="s">
        <v>13441</v>
      </c>
      <c r="AA15044" s="22" t="str">
        <f>HYPERLINK("https://www.ncbi.nlm.nih.gov/nuccore/JQ316114","NCBI Nucleotide")</f>
        <v>NCBI Nucleotide</v>
      </c>
    </row>
    <row r="15045" spans="1:27" x14ac:dyDescent="0.35">
      <c r="A15045">
        <v>1003593</v>
      </c>
      <c r="B15045">
        <v>13557</v>
      </c>
      <c r="C15045">
        <v>1</v>
      </c>
      <c r="D15045" t="s">
        <v>17166</v>
      </c>
      <c r="F15045" t="s">
        <v>34315</v>
      </c>
      <c r="H15045" t="s">
        <v>34316</v>
      </c>
      <c r="J15045" t="s">
        <v>34317</v>
      </c>
      <c r="L15045" t="s">
        <v>34448</v>
      </c>
      <c r="N15045" t="s">
        <v>34485</v>
      </c>
      <c r="P15045" t="s">
        <v>34486</v>
      </c>
      <c r="R15045" s="26" t="str">
        <f>HYPERLINK("https://ictv.global/taxonomy/taxondetails?taxnode_id=202305762","Badnavirus venatheobromae")</f>
        <v>Badnavirus venatheobromae</v>
      </c>
      <c r="S15045" t="s">
        <v>30</v>
      </c>
      <c r="T15045" t="s">
        <v>34705</v>
      </c>
      <c r="U15045" t="s">
        <v>34706</v>
      </c>
      <c r="V15045" t="s">
        <v>34707</v>
      </c>
      <c r="W15045" t="s">
        <v>34708</v>
      </c>
      <c r="X15045" t="s">
        <v>42</v>
      </c>
      <c r="Y15045" t="s">
        <v>34325</v>
      </c>
      <c r="Z15045" t="s">
        <v>13441</v>
      </c>
      <c r="AA15045" s="22" t="str">
        <f>HYPERLINK("https://www.ncbi.nlm.nih.gov/nuccore/KX276641","NCBI Nucleotide")</f>
        <v>NCBI Nucleotide</v>
      </c>
    </row>
    <row r="15046" spans="1:27" x14ac:dyDescent="0.35">
      <c r="A15046">
        <v>1003594</v>
      </c>
      <c r="B15046">
        <v>13558</v>
      </c>
      <c r="C15046">
        <v>1</v>
      </c>
      <c r="D15046" t="s">
        <v>17166</v>
      </c>
      <c r="F15046" t="s">
        <v>34315</v>
      </c>
      <c r="H15046" t="s">
        <v>34316</v>
      </c>
      <c r="J15046" t="s">
        <v>34317</v>
      </c>
      <c r="L15046" t="s">
        <v>34448</v>
      </c>
      <c r="N15046" t="s">
        <v>34485</v>
      </c>
      <c r="P15046" t="s">
        <v>34486</v>
      </c>
      <c r="R15046" s="26" t="str">
        <f>HYPERLINK("https://ictv.global/taxonomy/taxondetails?taxnode_id=202302841","Badnavirus venavitis")</f>
        <v>Badnavirus venavitis</v>
      </c>
      <c r="S15046" t="s">
        <v>30</v>
      </c>
      <c r="T15046" t="s">
        <v>34709</v>
      </c>
      <c r="U15046" t="s">
        <v>34710</v>
      </c>
      <c r="V15046" t="s">
        <v>34711</v>
      </c>
      <c r="W15046" t="s">
        <v>34712</v>
      </c>
      <c r="X15046" t="s">
        <v>42</v>
      </c>
      <c r="Y15046" t="s">
        <v>34325</v>
      </c>
      <c r="Z15046" t="s">
        <v>13441</v>
      </c>
      <c r="AA15046" s="22" t="str">
        <f>HYPERLINK("https://www.ncbi.nlm.nih.gov/nuccore/JF301669","NCBI Nucleotide")</f>
        <v>NCBI Nucleotide</v>
      </c>
    </row>
    <row r="15047" spans="1:27" x14ac:dyDescent="0.35">
      <c r="A15047">
        <v>1003595</v>
      </c>
      <c r="B15047">
        <v>13559</v>
      </c>
      <c r="C15047">
        <v>1</v>
      </c>
      <c r="D15047" t="s">
        <v>17166</v>
      </c>
      <c r="F15047" t="s">
        <v>34315</v>
      </c>
      <c r="H15047" t="s">
        <v>34316</v>
      </c>
      <c r="J15047" t="s">
        <v>34317</v>
      </c>
      <c r="L15047" t="s">
        <v>34448</v>
      </c>
      <c r="N15047" t="s">
        <v>34485</v>
      </c>
      <c r="P15047" t="s">
        <v>34486</v>
      </c>
      <c r="R15047" s="26" t="str">
        <f>HYPERLINK("https://ictv.global/taxonomy/taxondetails?taxnode_id=202308840","Badnavirus venazanthoxyli")</f>
        <v>Badnavirus venazanthoxyli</v>
      </c>
      <c r="S15047" t="s">
        <v>30</v>
      </c>
      <c r="T15047" t="s">
        <v>34713</v>
      </c>
      <c r="U15047" t="s">
        <v>34714</v>
      </c>
      <c r="V15047" t="s">
        <v>34715</v>
      </c>
      <c r="W15047" t="s">
        <v>34716</v>
      </c>
      <c r="X15047" t="s">
        <v>42</v>
      </c>
      <c r="Y15047" t="s">
        <v>34325</v>
      </c>
      <c r="Z15047" t="s">
        <v>13441</v>
      </c>
      <c r="AA15047" s="22" t="str">
        <f>HYPERLINK("https://www.ncbi.nlm.nih.gov/nuccore/MK371353","NCBI Nucleotide")</f>
        <v>NCBI Nucleotide</v>
      </c>
    </row>
    <row r="15048" spans="1:27" x14ac:dyDescent="0.35">
      <c r="A15048">
        <v>1003596</v>
      </c>
      <c r="B15048">
        <v>13560</v>
      </c>
      <c r="C15048">
        <v>1</v>
      </c>
      <c r="D15048" t="s">
        <v>17166</v>
      </c>
      <c r="F15048" t="s">
        <v>34315</v>
      </c>
      <c r="H15048" t="s">
        <v>34316</v>
      </c>
      <c r="J15048" t="s">
        <v>34317</v>
      </c>
      <c r="L15048" t="s">
        <v>34448</v>
      </c>
      <c r="N15048" t="s">
        <v>34485</v>
      </c>
      <c r="P15048" t="s">
        <v>34486</v>
      </c>
      <c r="R15048" s="26" t="str">
        <f>HYPERLINK("https://ictv.global/taxonomy/taxondetails?taxnode_id=202307427","Badnavirus vitis")</f>
        <v>Badnavirus vitis</v>
      </c>
      <c r="S15048" t="s">
        <v>30</v>
      </c>
      <c r="T15048" t="s">
        <v>34717</v>
      </c>
      <c r="U15048" t="s">
        <v>34718</v>
      </c>
      <c r="V15048" t="s">
        <v>34719</v>
      </c>
      <c r="W15048" t="s">
        <v>34720</v>
      </c>
      <c r="X15048" t="s">
        <v>42</v>
      </c>
      <c r="Y15048" t="s">
        <v>34325</v>
      </c>
      <c r="Z15048" t="s">
        <v>13441</v>
      </c>
      <c r="AA15048" s="22" t="str">
        <f>HYPERLINK("https://www.ncbi.nlm.nih.gov/nuccore/MF781082","NCBI Nucleotide")</f>
        <v>NCBI Nucleotide</v>
      </c>
    </row>
    <row r="15049" spans="1:27" x14ac:dyDescent="0.35">
      <c r="A15049">
        <v>1003597</v>
      </c>
      <c r="B15049">
        <v>13561</v>
      </c>
      <c r="C15049">
        <v>1</v>
      </c>
      <c r="D15049" t="s">
        <v>17166</v>
      </c>
      <c r="F15049" t="s">
        <v>34315</v>
      </c>
      <c r="H15049" t="s">
        <v>34316</v>
      </c>
      <c r="J15049" t="s">
        <v>34317</v>
      </c>
      <c r="L15049" t="s">
        <v>34448</v>
      </c>
      <c r="N15049" t="s">
        <v>34485</v>
      </c>
      <c r="P15049" t="s">
        <v>34486</v>
      </c>
      <c r="R15049" s="26" t="str">
        <f>HYPERLINK("https://ictv.global/taxonomy/taxondetails?taxnode_id=202306641","Badnavirus volubetulae")</f>
        <v>Badnavirus volubetulae</v>
      </c>
      <c r="S15049" t="s">
        <v>30</v>
      </c>
      <c r="T15049" t="s">
        <v>34721</v>
      </c>
      <c r="U15049" t="s">
        <v>34722</v>
      </c>
      <c r="V15049" t="s">
        <v>34723</v>
      </c>
      <c r="W15049" t="s">
        <v>34724</v>
      </c>
      <c r="X15049" t="s">
        <v>42</v>
      </c>
      <c r="Y15049" t="s">
        <v>34325</v>
      </c>
      <c r="Z15049" t="s">
        <v>13441</v>
      </c>
      <c r="AA15049" s="22" t="str">
        <f>HYPERLINK("https://www.ncbi.nlm.nih.gov/nuccore/MG686419","NCBI Nucleotide")</f>
        <v>NCBI Nucleotide</v>
      </c>
    </row>
    <row r="15050" spans="1:27" x14ac:dyDescent="0.35">
      <c r="A15050">
        <v>1003598</v>
      </c>
      <c r="B15050">
        <v>13562</v>
      </c>
      <c r="C15050">
        <v>1</v>
      </c>
      <c r="D15050" t="s">
        <v>17166</v>
      </c>
      <c r="F15050" t="s">
        <v>34315</v>
      </c>
      <c r="H15050" t="s">
        <v>34316</v>
      </c>
      <c r="J15050" t="s">
        <v>34317</v>
      </c>
      <c r="L15050" t="s">
        <v>34448</v>
      </c>
      <c r="N15050" t="s">
        <v>34485</v>
      </c>
      <c r="P15050" t="s">
        <v>34486</v>
      </c>
      <c r="R15050" s="26" t="str">
        <f>HYPERLINK("https://ictv.global/taxonomy/taxondetails?taxnode_id=202305766","Badnavirus wisteriae")</f>
        <v>Badnavirus wisteriae</v>
      </c>
      <c r="S15050" t="s">
        <v>30</v>
      </c>
      <c r="T15050" t="s">
        <v>34725</v>
      </c>
      <c r="U15050" t="s">
        <v>34726</v>
      </c>
      <c r="V15050" t="s">
        <v>34727</v>
      </c>
      <c r="W15050" t="s">
        <v>34728</v>
      </c>
      <c r="X15050" t="s">
        <v>42</v>
      </c>
      <c r="Y15050" t="s">
        <v>34325</v>
      </c>
      <c r="Z15050" t="s">
        <v>13441</v>
      </c>
      <c r="AA15050" s="22" t="str">
        <f>HYPERLINK("https://www.ncbi.nlm.nih.gov/nuccore/KX168422","NCBI Nucleotide")</f>
        <v>NCBI Nucleotide</v>
      </c>
    </row>
    <row r="15051" spans="1:27" x14ac:dyDescent="0.35">
      <c r="A15051">
        <v>1003599</v>
      </c>
      <c r="B15051">
        <v>13563</v>
      </c>
      <c r="C15051">
        <v>1</v>
      </c>
      <c r="D15051" t="s">
        <v>17166</v>
      </c>
      <c r="F15051" t="s">
        <v>34315</v>
      </c>
      <c r="H15051" t="s">
        <v>34316</v>
      </c>
      <c r="J15051" t="s">
        <v>34317</v>
      </c>
      <c r="L15051" t="s">
        <v>34448</v>
      </c>
      <c r="N15051" t="s">
        <v>34485</v>
      </c>
      <c r="P15051" t="s">
        <v>34486</v>
      </c>
      <c r="R15051" s="26" t="str">
        <f>HYPERLINK("https://ictv.global/taxonomy/taxondetails?taxnode_id=202308836","Badnavirus zetadioscoreae")</f>
        <v>Badnavirus zetadioscoreae</v>
      </c>
      <c r="S15051" t="s">
        <v>30</v>
      </c>
      <c r="T15051" t="s">
        <v>34729</v>
      </c>
      <c r="U15051" t="s">
        <v>34730</v>
      </c>
      <c r="W15051" t="s">
        <v>34731</v>
      </c>
      <c r="X15051" t="s">
        <v>42</v>
      </c>
      <c r="Y15051" t="s">
        <v>34325</v>
      </c>
      <c r="Z15051" t="s">
        <v>13441</v>
      </c>
      <c r="AA15051" s="22" t="str">
        <f>HYPERLINK("https://www.ncbi.nlm.nih.gov/nuccore/MF476845","NCBI Nucleotide")</f>
        <v>NCBI Nucleotide</v>
      </c>
    </row>
    <row r="15052" spans="1:27" x14ac:dyDescent="0.35">
      <c r="A15052">
        <v>1003600</v>
      </c>
      <c r="B15052">
        <v>13564</v>
      </c>
      <c r="C15052">
        <v>1</v>
      </c>
      <c r="D15052" t="s">
        <v>17166</v>
      </c>
      <c r="F15052" t="s">
        <v>34315</v>
      </c>
      <c r="H15052" t="s">
        <v>34316</v>
      </c>
      <c r="J15052" t="s">
        <v>34317</v>
      </c>
      <c r="L15052" t="s">
        <v>34448</v>
      </c>
      <c r="N15052" t="s">
        <v>34485</v>
      </c>
      <c r="P15052" t="s">
        <v>34486</v>
      </c>
      <c r="R15052" s="26" t="str">
        <f>HYPERLINK("https://ictv.global/taxonomy/taxondetails?taxnode_id=202302831","Badnavirus zetainflatheobromae")</f>
        <v>Badnavirus zetainflatheobromae</v>
      </c>
      <c r="S15052" t="s">
        <v>30</v>
      </c>
      <c r="T15052" t="s">
        <v>34732</v>
      </c>
      <c r="U15052" t="s">
        <v>34733</v>
      </c>
      <c r="V15052" t="s">
        <v>34734</v>
      </c>
      <c r="W15052" t="s">
        <v>34735</v>
      </c>
      <c r="X15052" t="s">
        <v>42</v>
      </c>
      <c r="Y15052" t="s">
        <v>34325</v>
      </c>
      <c r="Z15052" t="s">
        <v>13441</v>
      </c>
      <c r="AA15052" s="22" t="str">
        <f>HYPERLINK("https://www.ncbi.nlm.nih.gov/nuccore/AJ781003","NCBI Nucleotide")</f>
        <v>NCBI Nucleotide</v>
      </c>
    </row>
    <row r="15053" spans="1:27" x14ac:dyDescent="0.35">
      <c r="A15053">
        <v>1003601</v>
      </c>
      <c r="B15053">
        <v>13565</v>
      </c>
      <c r="C15053">
        <v>1</v>
      </c>
      <c r="D15053" t="s">
        <v>17166</v>
      </c>
      <c r="F15053" t="s">
        <v>34315</v>
      </c>
      <c r="H15053" t="s">
        <v>34316</v>
      </c>
      <c r="J15053" t="s">
        <v>34317</v>
      </c>
      <c r="L15053" t="s">
        <v>34448</v>
      </c>
      <c r="N15053" t="s">
        <v>34485</v>
      </c>
      <c r="P15053" t="s">
        <v>34486</v>
      </c>
      <c r="R15053" s="26" t="str">
        <f>HYPERLINK("https://ictv.global/taxonomy/taxondetails?taxnode_id=202302825","Badnavirus zetavirgamusae")</f>
        <v>Badnavirus zetavirgamusae</v>
      </c>
      <c r="S15053" t="s">
        <v>30</v>
      </c>
      <c r="T15053" t="s">
        <v>34736</v>
      </c>
      <c r="U15053" t="s">
        <v>34737</v>
      </c>
      <c r="V15053" t="s">
        <v>19516</v>
      </c>
      <c r="W15053" t="s">
        <v>34738</v>
      </c>
      <c r="X15053" t="s">
        <v>42</v>
      </c>
      <c r="Y15053" t="s">
        <v>34325</v>
      </c>
      <c r="Z15053" t="s">
        <v>13441</v>
      </c>
      <c r="AA15053" s="22" t="str">
        <f>HYPERLINK("https://www.ncbi.nlm.nih.gov/nuccore/HQ593108","NCBI Nucleotide")</f>
        <v>NCBI Nucleotide</v>
      </c>
    </row>
    <row r="15054" spans="1:27" x14ac:dyDescent="0.35">
      <c r="A15054">
        <v>1003602</v>
      </c>
      <c r="B15054">
        <v>13566</v>
      </c>
      <c r="C15054">
        <v>1</v>
      </c>
      <c r="D15054" t="s">
        <v>17166</v>
      </c>
      <c r="F15054" t="s">
        <v>34315</v>
      </c>
      <c r="H15054" t="s">
        <v>34316</v>
      </c>
      <c r="J15054" t="s">
        <v>34317</v>
      </c>
      <c r="L15054" t="s">
        <v>34448</v>
      </c>
      <c r="N15054" t="s">
        <v>34485</v>
      </c>
      <c r="P15054" t="s">
        <v>34739</v>
      </c>
      <c r="R15054" s="26" t="str">
        <f>HYPERLINK("https://ictv.global/taxonomy/taxondetails?taxnode_id=202302866","Caulimovirus deformatiolamii")</f>
        <v>Caulimovirus deformatiolamii</v>
      </c>
      <c r="S15054" t="s">
        <v>30</v>
      </c>
      <c r="T15054" t="s">
        <v>34740</v>
      </c>
      <c r="U15054" t="s">
        <v>34741</v>
      </c>
      <c r="V15054" t="s">
        <v>18179</v>
      </c>
      <c r="W15054" t="s">
        <v>34742</v>
      </c>
      <c r="X15054" t="s">
        <v>42</v>
      </c>
      <c r="Y15054" t="s">
        <v>34325</v>
      </c>
      <c r="Z15054" t="s">
        <v>13441</v>
      </c>
      <c r="AA15054" s="22" t="str">
        <f>HYPERLINK("https://www.ncbi.nlm.nih.gov/nuccore/EU554423","NCBI Nucleotide")</f>
        <v>NCBI Nucleotide</v>
      </c>
    </row>
    <row r="15055" spans="1:27" x14ac:dyDescent="0.35">
      <c r="A15055">
        <v>1003603</v>
      </c>
      <c r="B15055">
        <v>13567</v>
      </c>
      <c r="C15055">
        <v>1</v>
      </c>
      <c r="D15055" t="s">
        <v>17166</v>
      </c>
      <c r="F15055" t="s">
        <v>34315</v>
      </c>
      <c r="H15055" t="s">
        <v>34316</v>
      </c>
      <c r="J15055" t="s">
        <v>34317</v>
      </c>
      <c r="L15055" t="s">
        <v>34448</v>
      </c>
      <c r="N15055" t="s">
        <v>34485</v>
      </c>
      <c r="P15055" t="s">
        <v>34739</v>
      </c>
      <c r="R15055" s="26" t="str">
        <f>HYPERLINK("https://ictv.global/taxonomy/taxondetails?taxnode_id=202302868","Caulimovirus glycinis")</f>
        <v>Caulimovirus glycinis</v>
      </c>
      <c r="S15055" t="s">
        <v>30</v>
      </c>
      <c r="T15055" t="s">
        <v>34743</v>
      </c>
      <c r="U15055" t="s">
        <v>34744</v>
      </c>
      <c r="W15055" t="s">
        <v>34745</v>
      </c>
      <c r="X15055" t="s">
        <v>42</v>
      </c>
      <c r="Y15055" t="s">
        <v>34325</v>
      </c>
      <c r="Z15055" t="s">
        <v>13441</v>
      </c>
      <c r="AA15055" s="22" t="str">
        <f>HYPERLINK("https://www.ncbi.nlm.nih.gov/nuccore/JQ926983","NCBI Nucleotide")</f>
        <v>NCBI Nucleotide</v>
      </c>
    </row>
    <row r="15056" spans="1:27" x14ac:dyDescent="0.35">
      <c r="A15056">
        <v>1003604</v>
      </c>
      <c r="B15056">
        <v>13568</v>
      </c>
      <c r="C15056">
        <v>1</v>
      </c>
      <c r="D15056" t="s">
        <v>17166</v>
      </c>
      <c r="F15056" t="s">
        <v>34315</v>
      </c>
      <c r="H15056" t="s">
        <v>34316</v>
      </c>
      <c r="J15056" t="s">
        <v>34317</v>
      </c>
      <c r="L15056" t="s">
        <v>34448</v>
      </c>
      <c r="N15056" t="s">
        <v>34485</v>
      </c>
      <c r="P15056" t="s">
        <v>34739</v>
      </c>
      <c r="R15056" s="26" t="str">
        <f>HYPERLINK("https://ictv.global/taxonomy/taxondetails?taxnode_id=202302861","Caulimovirus incidianthi")</f>
        <v>Caulimovirus incidianthi</v>
      </c>
      <c r="S15056" t="s">
        <v>30</v>
      </c>
      <c r="T15056" t="s">
        <v>34746</v>
      </c>
      <c r="U15056" t="s">
        <v>34747</v>
      </c>
      <c r="V15056" t="s">
        <v>34748</v>
      </c>
      <c r="W15056" t="s">
        <v>34749</v>
      </c>
      <c r="X15056" t="s">
        <v>42</v>
      </c>
      <c r="Y15056" t="s">
        <v>34325</v>
      </c>
      <c r="Z15056" t="s">
        <v>13441</v>
      </c>
      <c r="AA15056" s="22" t="str">
        <f>HYPERLINK("https://www.ncbi.nlm.nih.gov/nuccore/X04658","NCBI Nucleotide")</f>
        <v>NCBI Nucleotide</v>
      </c>
    </row>
    <row r="15057" spans="1:27" x14ac:dyDescent="0.35">
      <c r="A15057">
        <v>1003605</v>
      </c>
      <c r="B15057">
        <v>13569</v>
      </c>
      <c r="C15057">
        <v>1</v>
      </c>
      <c r="D15057" t="s">
        <v>17166</v>
      </c>
      <c r="F15057" t="s">
        <v>34315</v>
      </c>
      <c r="H15057" t="s">
        <v>34316</v>
      </c>
      <c r="J15057" t="s">
        <v>34317</v>
      </c>
      <c r="L15057" t="s">
        <v>34448</v>
      </c>
      <c r="N15057" t="s">
        <v>34485</v>
      </c>
      <c r="P15057" t="s">
        <v>34739</v>
      </c>
      <c r="R15057" s="26" t="str">
        <f>HYPERLINK("https://ictv.global/taxonomy/taxondetails?taxnode_id=202302865","Caulimovirus latensarmoraciae")</f>
        <v>Caulimovirus latensarmoraciae</v>
      </c>
      <c r="S15057" t="s">
        <v>30</v>
      </c>
      <c r="T15057" t="s">
        <v>34750</v>
      </c>
      <c r="U15057" t="s">
        <v>19402</v>
      </c>
      <c r="V15057" t="s">
        <v>34751</v>
      </c>
      <c r="W15057" t="s">
        <v>34752</v>
      </c>
      <c r="X15057" t="s">
        <v>42</v>
      </c>
      <c r="Y15057" t="s">
        <v>34325</v>
      </c>
      <c r="Z15057" t="s">
        <v>13441</v>
      </c>
      <c r="AA15057" s="22" t="str">
        <f>HYPERLINK("https://www.ncbi.nlm.nih.gov/nuccore/JX429923","NCBI Nucleotide")</f>
        <v>NCBI Nucleotide</v>
      </c>
    </row>
    <row r="15058" spans="1:27" x14ac:dyDescent="0.35">
      <c r="A15058">
        <v>1003606</v>
      </c>
      <c r="B15058">
        <v>13570</v>
      </c>
      <c r="C15058">
        <v>1</v>
      </c>
      <c r="D15058" t="s">
        <v>17166</v>
      </c>
      <c r="F15058" t="s">
        <v>34315</v>
      </c>
      <c r="H15058" t="s">
        <v>34316</v>
      </c>
      <c r="J15058" t="s">
        <v>34317</v>
      </c>
      <c r="L15058" t="s">
        <v>34448</v>
      </c>
      <c r="N15058" t="s">
        <v>34485</v>
      </c>
      <c r="P15058" t="s">
        <v>34739</v>
      </c>
      <c r="R15058" s="26" t="str">
        <f>HYPERLINK("https://ictv.global/taxonomy/taxondetails?taxnode_id=202302870","Caulimovirus maculacirsii")</f>
        <v>Caulimovirus maculacirsii</v>
      </c>
      <c r="S15058" t="s">
        <v>30</v>
      </c>
      <c r="T15058" t="s">
        <v>34753</v>
      </c>
      <c r="U15058" t="s">
        <v>34754</v>
      </c>
      <c r="X15058" t="s">
        <v>3311</v>
      </c>
      <c r="Y15058" t="s">
        <v>34325</v>
      </c>
      <c r="Z15058" t="s">
        <v>13441</v>
      </c>
    </row>
    <row r="15059" spans="1:27" x14ac:dyDescent="0.35">
      <c r="A15059">
        <v>1003607</v>
      </c>
      <c r="B15059">
        <v>13571</v>
      </c>
      <c r="C15059">
        <v>1</v>
      </c>
      <c r="D15059" t="s">
        <v>17166</v>
      </c>
      <c r="F15059" t="s">
        <v>34315</v>
      </c>
      <c r="H15059" t="s">
        <v>34316</v>
      </c>
      <c r="J15059" t="s">
        <v>34317</v>
      </c>
      <c r="L15059" t="s">
        <v>34448</v>
      </c>
      <c r="N15059" t="s">
        <v>34485</v>
      </c>
      <c r="P15059" t="s">
        <v>34739</v>
      </c>
      <c r="R15059" s="26" t="str">
        <f>HYPERLINK("https://ictv.global/taxonomy/taxondetails?taxnode_id=202302860","Caulimovirus maculatractylodei")</f>
        <v>Caulimovirus maculatractylodei</v>
      </c>
      <c r="S15059" t="s">
        <v>30</v>
      </c>
      <c r="T15059" t="s">
        <v>34755</v>
      </c>
      <c r="U15059" t="s">
        <v>34756</v>
      </c>
      <c r="V15059" t="s">
        <v>13967</v>
      </c>
      <c r="W15059" t="s">
        <v>34757</v>
      </c>
      <c r="X15059" t="s">
        <v>42</v>
      </c>
      <c r="Y15059" t="s">
        <v>34325</v>
      </c>
      <c r="Z15059" t="s">
        <v>13441</v>
      </c>
      <c r="AA15059" s="22" t="str">
        <f>HYPERLINK("https://www.ncbi.nlm.nih.gov/nuccore/KR080327","NCBI Nucleotide")</f>
        <v>NCBI Nucleotide</v>
      </c>
    </row>
    <row r="15060" spans="1:27" x14ac:dyDescent="0.35">
      <c r="A15060">
        <v>1003608</v>
      </c>
      <c r="B15060">
        <v>13572</v>
      </c>
      <c r="C15060">
        <v>1</v>
      </c>
      <c r="D15060" t="s">
        <v>17166</v>
      </c>
      <c r="F15060" t="s">
        <v>34315</v>
      </c>
      <c r="H15060" t="s">
        <v>34316</v>
      </c>
      <c r="J15060" t="s">
        <v>34317</v>
      </c>
      <c r="L15060" t="s">
        <v>34448</v>
      </c>
      <c r="N15060" t="s">
        <v>34485</v>
      </c>
      <c r="P15060" t="s">
        <v>34739</v>
      </c>
      <c r="R15060" s="26" t="str">
        <f>HYPERLINK("https://ictv.global/taxonomy/taxondetails?taxnode_id=202315100","Caulimovirus metaplexis")</f>
        <v>Caulimovirus metaplexis</v>
      </c>
      <c r="S15060" t="s">
        <v>30</v>
      </c>
      <c r="T15060" t="s">
        <v>34758</v>
      </c>
      <c r="U15060" t="s">
        <v>34759</v>
      </c>
      <c r="V15060" t="s">
        <v>34760</v>
      </c>
      <c r="W15060" t="s">
        <v>34761</v>
      </c>
      <c r="X15060" t="s">
        <v>42</v>
      </c>
      <c r="Y15060" t="s">
        <v>34325</v>
      </c>
      <c r="Z15060" t="s">
        <v>13441</v>
      </c>
      <c r="AA15060" s="22" t="str">
        <f>HYPERLINK("https://www.ncbi.nlm.nih.gov/nuccore/MW656214","NCBI Nucleotide")</f>
        <v>NCBI Nucleotide</v>
      </c>
    </row>
    <row r="15061" spans="1:27" x14ac:dyDescent="0.35">
      <c r="A15061">
        <v>1003609</v>
      </c>
      <c r="B15061">
        <v>13573</v>
      </c>
      <c r="C15061">
        <v>1</v>
      </c>
      <c r="D15061" t="s">
        <v>17166</v>
      </c>
      <c r="F15061" t="s">
        <v>34315</v>
      </c>
      <c r="H15061" t="s">
        <v>34316</v>
      </c>
      <c r="J15061" t="s">
        <v>34317</v>
      </c>
      <c r="L15061" t="s">
        <v>34448</v>
      </c>
      <c r="N15061" t="s">
        <v>34485</v>
      </c>
      <c r="P15061" t="s">
        <v>34739</v>
      </c>
      <c r="R15061" s="26" t="str">
        <f>HYPERLINK("https://ictv.global/taxonomy/taxondetails?taxnode_id=202306640","Caulimovirus minutangelicae")</f>
        <v>Caulimovirus minutangelicae</v>
      </c>
      <c r="S15061" t="s">
        <v>30</v>
      </c>
      <c r="T15061" t="s">
        <v>34762</v>
      </c>
      <c r="U15061" t="s">
        <v>34763</v>
      </c>
      <c r="V15061" t="s">
        <v>34764</v>
      </c>
      <c r="W15061" t="s">
        <v>34765</v>
      </c>
      <c r="X15061" t="s">
        <v>42</v>
      </c>
      <c r="Y15061" t="s">
        <v>34325</v>
      </c>
      <c r="Z15061" t="s">
        <v>13441</v>
      </c>
      <c r="AA15061" s="22" t="str">
        <f>HYPERLINK("https://www.ncbi.nlm.nih.gov/nuccore/KU508800","NCBI Nucleotide")</f>
        <v>NCBI Nucleotide</v>
      </c>
    </row>
    <row r="15062" spans="1:27" x14ac:dyDescent="0.35">
      <c r="A15062">
        <v>1027835</v>
      </c>
      <c r="B15062">
        <v>13574</v>
      </c>
      <c r="C15062">
        <v>1</v>
      </c>
      <c r="D15062" t="s">
        <v>17166</v>
      </c>
      <c r="F15062" t="s">
        <v>34315</v>
      </c>
      <c r="H15062" t="s">
        <v>34316</v>
      </c>
      <c r="J15062" t="s">
        <v>34317</v>
      </c>
      <c r="L15062" t="s">
        <v>34448</v>
      </c>
      <c r="N15062" t="s">
        <v>34485</v>
      </c>
      <c r="P15062" t="s">
        <v>34739</v>
      </c>
      <c r="R15062" s="26" t="str">
        <f>HYPERLINK("https://ictv.global/taxonomy/taxondetails?taxnode_id=202318295","Caulimovirus puerariae")</f>
        <v>Caulimovirus puerariae</v>
      </c>
      <c r="S15062" t="s">
        <v>30</v>
      </c>
      <c r="T15062" t="s">
        <v>47649</v>
      </c>
      <c r="U15062" t="s">
        <v>33918</v>
      </c>
      <c r="V15062" t="s">
        <v>47650</v>
      </c>
      <c r="W15062" t="s">
        <v>48697</v>
      </c>
      <c r="X15062" t="s">
        <v>42</v>
      </c>
      <c r="Y15062" t="s">
        <v>34325</v>
      </c>
      <c r="Z15062" t="s">
        <v>13441</v>
      </c>
      <c r="AA15062" s="22" t="str">
        <f>HYPERLINK("https://www.ncbi.nlm.nih.gov/nuccore/MZ826138","NCBI Nucleotide")</f>
        <v>NCBI Nucleotide</v>
      </c>
    </row>
    <row r="15063" spans="1:27" x14ac:dyDescent="0.35">
      <c r="A15063">
        <v>1003610</v>
      </c>
      <c r="B15063">
        <v>13575</v>
      </c>
      <c r="C15063">
        <v>1</v>
      </c>
      <c r="D15063" t="s">
        <v>17166</v>
      </c>
      <c r="F15063" t="s">
        <v>34315</v>
      </c>
      <c r="H15063" t="s">
        <v>34316</v>
      </c>
      <c r="J15063" t="s">
        <v>34317</v>
      </c>
      <c r="L15063" t="s">
        <v>34448</v>
      </c>
      <c r="N15063" t="s">
        <v>34485</v>
      </c>
      <c r="P15063" t="s">
        <v>34739</v>
      </c>
      <c r="R15063" s="26" t="str">
        <f>HYPERLINK("https://ictv.global/taxonomy/taxondetails?taxnode_id=202302862","Caulimovirus tessellobrassicae")</f>
        <v>Caulimovirus tessellobrassicae</v>
      </c>
      <c r="S15063" t="s">
        <v>30</v>
      </c>
      <c r="T15063" t="s">
        <v>34766</v>
      </c>
      <c r="U15063" t="s">
        <v>18154</v>
      </c>
      <c r="V15063" t="s">
        <v>34767</v>
      </c>
      <c r="W15063" t="s">
        <v>34768</v>
      </c>
      <c r="X15063" t="s">
        <v>42</v>
      </c>
      <c r="Y15063" t="s">
        <v>34325</v>
      </c>
      <c r="Z15063" t="s">
        <v>13441</v>
      </c>
      <c r="AA15063" s="22" t="str">
        <f>HYPERLINK("https://www.ncbi.nlm.nih.gov/nuccore/V00141","NCBI Nucleotide")</f>
        <v>NCBI Nucleotide</v>
      </c>
    </row>
    <row r="15064" spans="1:27" x14ac:dyDescent="0.35">
      <c r="A15064">
        <v>1003611</v>
      </c>
      <c r="B15064">
        <v>13576</v>
      </c>
      <c r="C15064">
        <v>1</v>
      </c>
      <c r="D15064" t="s">
        <v>17166</v>
      </c>
      <c r="F15064" t="s">
        <v>34315</v>
      </c>
      <c r="H15064" t="s">
        <v>34316</v>
      </c>
      <c r="J15064" t="s">
        <v>34317</v>
      </c>
      <c r="L15064" t="s">
        <v>34448</v>
      </c>
      <c r="N15064" t="s">
        <v>34485</v>
      </c>
      <c r="P15064" t="s">
        <v>34739</v>
      </c>
      <c r="R15064" s="26" t="str">
        <f>HYPERLINK("https://ictv.global/taxonomy/taxondetails?taxnode_id=202302863","Caulimovirus tessellodahliae")</f>
        <v>Caulimovirus tessellodahliae</v>
      </c>
      <c r="S15064" t="s">
        <v>30</v>
      </c>
      <c r="T15064" t="s">
        <v>34769</v>
      </c>
      <c r="U15064" t="s">
        <v>14467</v>
      </c>
      <c r="V15064" t="s">
        <v>34770</v>
      </c>
      <c r="W15064" t="s">
        <v>34771</v>
      </c>
      <c r="X15064" t="s">
        <v>42</v>
      </c>
      <c r="Y15064" t="s">
        <v>34325</v>
      </c>
      <c r="Z15064" t="s">
        <v>13441</v>
      </c>
      <c r="AA15064" s="22" t="str">
        <f>HYPERLINK("https://www.ncbi.nlm.nih.gov/nuccore/JX272320","NCBI Nucleotide")</f>
        <v>NCBI Nucleotide</v>
      </c>
    </row>
    <row r="15065" spans="1:27" x14ac:dyDescent="0.35">
      <c r="A15065">
        <v>1003612</v>
      </c>
      <c r="B15065">
        <v>13577</v>
      </c>
      <c r="C15065">
        <v>1</v>
      </c>
      <c r="D15065" t="s">
        <v>17166</v>
      </c>
      <c r="F15065" t="s">
        <v>34315</v>
      </c>
      <c r="H15065" t="s">
        <v>34316</v>
      </c>
      <c r="J15065" t="s">
        <v>34317</v>
      </c>
      <c r="L15065" t="s">
        <v>34448</v>
      </c>
      <c r="N15065" t="s">
        <v>34485</v>
      </c>
      <c r="P15065" t="s">
        <v>34739</v>
      </c>
      <c r="R15065" s="26" t="str">
        <f>HYPERLINK("https://ictv.global/taxonomy/taxondetails?taxnode_id=202302867","Caulimovirus tessellomirabilis")</f>
        <v>Caulimovirus tessellomirabilis</v>
      </c>
      <c r="S15065" t="s">
        <v>30</v>
      </c>
      <c r="T15065" t="s">
        <v>34772</v>
      </c>
      <c r="U15065" t="s">
        <v>26194</v>
      </c>
      <c r="V15065" t="s">
        <v>34773</v>
      </c>
      <c r="W15065" t="s">
        <v>34774</v>
      </c>
      <c r="X15065" t="s">
        <v>42</v>
      </c>
      <c r="Y15065" t="s">
        <v>34325</v>
      </c>
      <c r="Z15065" t="s">
        <v>13441</v>
      </c>
      <c r="AA15065" s="22" t="str">
        <f>HYPERLINK("https://www.ncbi.nlm.nih.gov/nuccore/AF454635","NCBI Nucleotide")</f>
        <v>NCBI Nucleotide</v>
      </c>
    </row>
    <row r="15066" spans="1:27" x14ac:dyDescent="0.35">
      <c r="A15066">
        <v>1003613</v>
      </c>
      <c r="B15066">
        <v>13578</v>
      </c>
      <c r="C15066">
        <v>1</v>
      </c>
      <c r="D15066" t="s">
        <v>17166</v>
      </c>
      <c r="F15066" t="s">
        <v>34315</v>
      </c>
      <c r="H15066" t="s">
        <v>34316</v>
      </c>
      <c r="J15066" t="s">
        <v>34317</v>
      </c>
      <c r="L15066" t="s">
        <v>34448</v>
      </c>
      <c r="N15066" t="s">
        <v>34485</v>
      </c>
      <c r="P15066" t="s">
        <v>34739</v>
      </c>
      <c r="R15066" s="26" t="str">
        <f>HYPERLINK("https://ictv.global/taxonomy/taxondetails?taxnode_id=202302864","Caulimovirus tesselloscrophulariae")</f>
        <v>Caulimovirus tesselloscrophulariae</v>
      </c>
      <c r="S15066" t="s">
        <v>30</v>
      </c>
      <c r="T15066" t="s">
        <v>34775</v>
      </c>
      <c r="U15066" t="s">
        <v>18682</v>
      </c>
      <c r="V15066" t="s">
        <v>34776</v>
      </c>
      <c r="W15066" t="s">
        <v>34777</v>
      </c>
      <c r="X15066" t="s">
        <v>42</v>
      </c>
      <c r="Y15066" t="s">
        <v>34325</v>
      </c>
      <c r="Z15066" t="s">
        <v>13441</v>
      </c>
      <c r="AA15066" s="22" t="str">
        <f>HYPERLINK("https://www.ncbi.nlm.nih.gov/nuccore/X06166","NCBI Nucleotide")</f>
        <v>NCBI Nucleotide</v>
      </c>
    </row>
    <row r="15067" spans="1:27" x14ac:dyDescent="0.35">
      <c r="A15067">
        <v>1003614</v>
      </c>
      <c r="B15067">
        <v>13579</v>
      </c>
      <c r="C15067">
        <v>1</v>
      </c>
      <c r="D15067" t="s">
        <v>17166</v>
      </c>
      <c r="F15067" t="s">
        <v>34315</v>
      </c>
      <c r="H15067" t="s">
        <v>34316</v>
      </c>
      <c r="J15067" t="s">
        <v>34317</v>
      </c>
      <c r="L15067" t="s">
        <v>34448</v>
      </c>
      <c r="N15067" t="s">
        <v>34485</v>
      </c>
      <c r="P15067" t="s">
        <v>34739</v>
      </c>
      <c r="R15067" s="26" t="str">
        <f>HYPERLINK("https://ictv.global/taxonomy/taxondetails?taxnode_id=202302869","Caulimovirus venafragariae")</f>
        <v>Caulimovirus venafragariae</v>
      </c>
      <c r="S15067" t="s">
        <v>30</v>
      </c>
      <c r="T15067" t="s">
        <v>34778</v>
      </c>
      <c r="U15067" t="s">
        <v>34779</v>
      </c>
      <c r="V15067" t="s">
        <v>31036</v>
      </c>
      <c r="W15067" t="s">
        <v>34780</v>
      </c>
      <c r="X15067" t="s">
        <v>42</v>
      </c>
      <c r="Y15067" t="s">
        <v>34325</v>
      </c>
      <c r="Z15067" t="s">
        <v>13441</v>
      </c>
      <c r="AA15067" s="22" t="str">
        <f>HYPERLINK("https://www.ncbi.nlm.nih.gov/nuccore/X97304","NCBI Nucleotide")</f>
        <v>NCBI Nucleotide</v>
      </c>
    </row>
    <row r="15068" spans="1:27" x14ac:dyDescent="0.35">
      <c r="A15068">
        <v>1003615</v>
      </c>
      <c r="B15068">
        <v>13580</v>
      </c>
      <c r="C15068">
        <v>1</v>
      </c>
      <c r="D15068" t="s">
        <v>17166</v>
      </c>
      <c r="F15068" t="s">
        <v>34315</v>
      </c>
      <c r="H15068" t="s">
        <v>34316</v>
      </c>
      <c r="J15068" t="s">
        <v>34317</v>
      </c>
      <c r="L15068" t="s">
        <v>34448</v>
      </c>
      <c r="N15068" t="s">
        <v>34485</v>
      </c>
      <c r="P15068" t="s">
        <v>34781</v>
      </c>
      <c r="R15068" s="26" t="str">
        <f>HYPERLINK("https://ictv.global/taxonomy/taxondetails?taxnode_id=202302873","Cavemovirus collusipomeae")</f>
        <v>Cavemovirus collusipomeae</v>
      </c>
      <c r="S15068" t="s">
        <v>30</v>
      </c>
      <c r="T15068" t="s">
        <v>34782</v>
      </c>
      <c r="U15068" t="s">
        <v>34783</v>
      </c>
      <c r="V15068" t="s">
        <v>11102</v>
      </c>
      <c r="W15068" t="s">
        <v>34784</v>
      </c>
      <c r="X15068" t="s">
        <v>42</v>
      </c>
      <c r="Y15068" t="s">
        <v>34325</v>
      </c>
      <c r="Z15068" t="s">
        <v>13441</v>
      </c>
      <c r="AA15068" s="22" t="str">
        <f>HYPERLINK("https://www.ncbi.nlm.nih.gov/nuccore/HQ694978","NCBI Nucleotide")</f>
        <v>NCBI Nucleotide</v>
      </c>
    </row>
    <row r="15069" spans="1:27" x14ac:dyDescent="0.35">
      <c r="A15069">
        <v>1003616</v>
      </c>
      <c r="B15069">
        <v>13581</v>
      </c>
      <c r="C15069">
        <v>1</v>
      </c>
      <c r="D15069" t="s">
        <v>17166</v>
      </c>
      <c r="F15069" t="s">
        <v>34315</v>
      </c>
      <c r="H15069" t="s">
        <v>34316</v>
      </c>
      <c r="J15069" t="s">
        <v>34317</v>
      </c>
      <c r="L15069" t="s">
        <v>34448</v>
      </c>
      <c r="N15069" t="s">
        <v>34485</v>
      </c>
      <c r="P15069" t="s">
        <v>34781</v>
      </c>
      <c r="R15069" s="26" t="str">
        <f>HYPERLINK("https://ictv.global/taxonomy/taxondetails?taxnode_id=202308839","Cavemovirus deltaepiphylli")</f>
        <v>Cavemovirus deltaepiphylli</v>
      </c>
      <c r="S15069" t="s">
        <v>30</v>
      </c>
      <c r="T15069" t="s">
        <v>34785</v>
      </c>
      <c r="U15069" t="s">
        <v>34786</v>
      </c>
      <c r="V15069" t="s">
        <v>34787</v>
      </c>
      <c r="W15069" t="s">
        <v>34788</v>
      </c>
      <c r="X15069" t="s">
        <v>42</v>
      </c>
      <c r="Y15069" t="s">
        <v>34325</v>
      </c>
      <c r="Z15069" t="s">
        <v>13441</v>
      </c>
      <c r="AA15069" s="22" t="str">
        <f>HYPERLINK("https://www.ncbi.nlm.nih.gov/nuccore/MN153807","NCBI Nucleotide")</f>
        <v>NCBI Nucleotide</v>
      </c>
    </row>
    <row r="15070" spans="1:27" x14ac:dyDescent="0.35">
      <c r="A15070">
        <v>1003617</v>
      </c>
      <c r="B15070">
        <v>13582</v>
      </c>
      <c r="C15070">
        <v>1</v>
      </c>
      <c r="D15070" t="s">
        <v>17166</v>
      </c>
      <c r="F15070" t="s">
        <v>34315</v>
      </c>
      <c r="H15070" t="s">
        <v>34316</v>
      </c>
      <c r="J15070" t="s">
        <v>34317</v>
      </c>
      <c r="L15070" t="s">
        <v>34448</v>
      </c>
      <c r="N15070" t="s">
        <v>34485</v>
      </c>
      <c r="P15070" t="s">
        <v>34781</v>
      </c>
      <c r="R15070" s="26" t="str">
        <f>HYPERLINK("https://ictv.global/taxonomy/taxondetails?taxnode_id=202302872","Cavemovirus venamanihotis")</f>
        <v>Cavemovirus venamanihotis</v>
      </c>
      <c r="S15070" t="s">
        <v>30</v>
      </c>
      <c r="T15070" t="s">
        <v>34789</v>
      </c>
      <c r="U15070" t="s">
        <v>34790</v>
      </c>
      <c r="V15070" t="s">
        <v>34791</v>
      </c>
      <c r="W15070" t="s">
        <v>34792</v>
      </c>
      <c r="X15070" t="s">
        <v>42</v>
      </c>
      <c r="Y15070" t="s">
        <v>34325</v>
      </c>
      <c r="Z15070" t="s">
        <v>13441</v>
      </c>
      <c r="AA15070" s="22" t="str">
        <f>HYPERLINK("https://www.ncbi.nlm.nih.gov/nuccore/U59751","NCBI Nucleotide")</f>
        <v>NCBI Nucleotide</v>
      </c>
    </row>
    <row r="15071" spans="1:27" x14ac:dyDescent="0.35">
      <c r="A15071">
        <v>1003618</v>
      </c>
      <c r="B15071">
        <v>13583</v>
      </c>
      <c r="C15071">
        <v>1</v>
      </c>
      <c r="D15071" t="s">
        <v>17166</v>
      </c>
      <c r="F15071" t="s">
        <v>34315</v>
      </c>
      <c r="H15071" t="s">
        <v>34316</v>
      </c>
      <c r="J15071" t="s">
        <v>34317</v>
      </c>
      <c r="L15071" t="s">
        <v>34448</v>
      </c>
      <c r="N15071" t="s">
        <v>34485</v>
      </c>
      <c r="P15071" t="s">
        <v>34793</v>
      </c>
      <c r="R15071" s="26" t="str">
        <f>HYPERLINK("https://ictv.global/taxonomy/taxondetails?taxnode_id=202307423","Dioscovirus dioscoreae")</f>
        <v>Dioscovirus dioscoreae</v>
      </c>
      <c r="S15071" t="s">
        <v>30</v>
      </c>
      <c r="T15071" t="s">
        <v>34794</v>
      </c>
      <c r="U15071" t="s">
        <v>34795</v>
      </c>
      <c r="V15071" t="s">
        <v>34796</v>
      </c>
      <c r="W15071" t="s">
        <v>34797</v>
      </c>
      <c r="X15071" t="s">
        <v>42</v>
      </c>
      <c r="Y15071" t="s">
        <v>34325</v>
      </c>
      <c r="Z15071" t="s">
        <v>13441</v>
      </c>
      <c r="AA15071" s="22" t="str">
        <f>HYPERLINK("https://www.ncbi.nlm.nih.gov/nuccore/MG944237","NCBI Nucleotide")</f>
        <v>NCBI Nucleotide</v>
      </c>
    </row>
    <row r="15072" spans="1:27" x14ac:dyDescent="0.35">
      <c r="A15072">
        <v>1003619</v>
      </c>
      <c r="B15072">
        <v>13584</v>
      </c>
      <c r="C15072">
        <v>1</v>
      </c>
      <c r="D15072" t="s">
        <v>17166</v>
      </c>
      <c r="F15072" t="s">
        <v>34315</v>
      </c>
      <c r="H15072" t="s">
        <v>34316</v>
      </c>
      <c r="J15072" t="s">
        <v>34317</v>
      </c>
      <c r="L15072" t="s">
        <v>34448</v>
      </c>
      <c r="N15072" t="s">
        <v>34485</v>
      </c>
      <c r="P15072" t="s">
        <v>34798</v>
      </c>
      <c r="R15072" s="26" t="str">
        <f>HYPERLINK("https://ictv.global/taxonomy/taxondetails?taxnode_id=202302875","Petuvirus venapetuniae")</f>
        <v>Petuvirus venapetuniae</v>
      </c>
      <c r="S15072" t="s">
        <v>30</v>
      </c>
      <c r="T15072" t="s">
        <v>34799</v>
      </c>
      <c r="U15072" t="s">
        <v>34800</v>
      </c>
      <c r="V15072" t="s">
        <v>34801</v>
      </c>
      <c r="W15072" t="s">
        <v>34802</v>
      </c>
      <c r="X15072" t="s">
        <v>42</v>
      </c>
      <c r="Y15072" t="s">
        <v>34325</v>
      </c>
      <c r="Z15072" t="s">
        <v>13441</v>
      </c>
      <c r="AA15072" s="22" t="str">
        <f>HYPERLINK("https://www.ncbi.nlm.nih.gov/nuccore/U95208","NCBI Nucleotide")</f>
        <v>NCBI Nucleotide</v>
      </c>
    </row>
    <row r="15073" spans="1:27" x14ac:dyDescent="0.35">
      <c r="A15073">
        <v>1027838</v>
      </c>
      <c r="B15073">
        <v>13585</v>
      </c>
      <c r="C15073">
        <v>1</v>
      </c>
      <c r="D15073" t="s">
        <v>17166</v>
      </c>
      <c r="F15073" t="s">
        <v>34315</v>
      </c>
      <c r="H15073" t="s">
        <v>34316</v>
      </c>
      <c r="J15073" t="s">
        <v>34317</v>
      </c>
      <c r="L15073" t="s">
        <v>34448</v>
      </c>
      <c r="N15073" t="s">
        <v>34485</v>
      </c>
      <c r="P15073" t="s">
        <v>34803</v>
      </c>
      <c r="R15073" s="26" t="str">
        <f>HYPERLINK("https://ictv.global/taxonomy/taxondetails?taxnode_id=202318296","Rosadnavirus maculaviolae")</f>
        <v>Rosadnavirus maculaviolae</v>
      </c>
      <c r="S15073" t="s">
        <v>30</v>
      </c>
      <c r="T15073" t="s">
        <v>47651</v>
      </c>
      <c r="U15073" t="s">
        <v>47652</v>
      </c>
      <c r="V15073" t="s">
        <v>47653</v>
      </c>
      <c r="W15073" t="s">
        <v>48698</v>
      </c>
      <c r="X15073" t="s">
        <v>42</v>
      </c>
      <c r="Y15073" t="s">
        <v>34325</v>
      </c>
      <c r="Z15073" t="s">
        <v>13441</v>
      </c>
      <c r="AA15073" s="22" t="str">
        <f>HYPERLINK("https://www.ncbi.nlm.nih.gov/nuccore/MZ911846","NCBI Nucleotide")</f>
        <v>NCBI Nucleotide</v>
      </c>
    </row>
    <row r="15074" spans="1:27" x14ac:dyDescent="0.35">
      <c r="A15074">
        <v>1003620</v>
      </c>
      <c r="B15074">
        <v>13586</v>
      </c>
      <c r="C15074">
        <v>1</v>
      </c>
      <c r="D15074" t="s">
        <v>17166</v>
      </c>
      <c r="F15074" t="s">
        <v>34315</v>
      </c>
      <c r="H15074" t="s">
        <v>34316</v>
      </c>
      <c r="J15074" t="s">
        <v>34317</v>
      </c>
      <c r="L15074" t="s">
        <v>34448</v>
      </c>
      <c r="N15074" t="s">
        <v>34485</v>
      </c>
      <c r="P15074" t="s">
        <v>34803</v>
      </c>
      <c r="R15074" s="26" t="str">
        <f>HYPERLINK("https://ictv.global/taxonomy/taxondetails?taxnode_id=202302877","Rosadnavirus venarosae")</f>
        <v>Rosadnavirus venarosae</v>
      </c>
      <c r="S15074" t="s">
        <v>30</v>
      </c>
      <c r="T15074" t="s">
        <v>34804</v>
      </c>
      <c r="U15074" t="s">
        <v>34805</v>
      </c>
      <c r="V15074" t="s">
        <v>34806</v>
      </c>
      <c r="W15074" t="s">
        <v>34807</v>
      </c>
      <c r="X15074" t="s">
        <v>42</v>
      </c>
      <c r="Y15074" t="s">
        <v>34325</v>
      </c>
      <c r="Z15074" t="s">
        <v>13441</v>
      </c>
      <c r="AA15074" s="22" t="str">
        <f>HYPERLINK("https://www.ncbi.nlm.nih.gov/nuccore/JX028536","NCBI Nucleotide")</f>
        <v>NCBI Nucleotide</v>
      </c>
    </row>
    <row r="15075" spans="1:27" x14ac:dyDescent="0.35">
      <c r="A15075">
        <v>1003621</v>
      </c>
      <c r="B15075">
        <v>13587</v>
      </c>
      <c r="C15075">
        <v>1</v>
      </c>
      <c r="D15075" t="s">
        <v>17166</v>
      </c>
      <c r="F15075" t="s">
        <v>34315</v>
      </c>
      <c r="H15075" t="s">
        <v>34316</v>
      </c>
      <c r="J15075" t="s">
        <v>34317</v>
      </c>
      <c r="L15075" t="s">
        <v>34448</v>
      </c>
      <c r="N15075" t="s">
        <v>34485</v>
      </c>
      <c r="P15075" t="s">
        <v>34808</v>
      </c>
      <c r="R15075" s="26" t="str">
        <f>HYPERLINK("https://ictv.global/taxonomy/taxondetails?taxnode_id=202306652","Ruflodivirus deformatiorudbeckiae")</f>
        <v>Ruflodivirus deformatiorudbeckiae</v>
      </c>
      <c r="S15075" t="s">
        <v>30</v>
      </c>
      <c r="T15075" t="s">
        <v>34809</v>
      </c>
      <c r="U15075" t="s">
        <v>34810</v>
      </c>
      <c r="V15075" t="s">
        <v>20754</v>
      </c>
      <c r="W15075" t="s">
        <v>34811</v>
      </c>
      <c r="X15075" t="s">
        <v>42</v>
      </c>
      <c r="Y15075" t="s">
        <v>34325</v>
      </c>
      <c r="Z15075" t="s">
        <v>13441</v>
      </c>
      <c r="AA15075" s="22" t="str">
        <f>HYPERLINK("https://www.ncbi.nlm.nih.gov/nuccore/FJ493469","NCBI Nucleotide")</f>
        <v>NCBI Nucleotide</v>
      </c>
    </row>
    <row r="15076" spans="1:27" x14ac:dyDescent="0.35">
      <c r="A15076">
        <v>1003622</v>
      </c>
      <c r="B15076">
        <v>13588</v>
      </c>
      <c r="C15076">
        <v>1</v>
      </c>
      <c r="D15076" t="s">
        <v>17166</v>
      </c>
      <c r="F15076" t="s">
        <v>34315</v>
      </c>
      <c r="H15076" t="s">
        <v>34316</v>
      </c>
      <c r="J15076" t="s">
        <v>34317</v>
      </c>
      <c r="L15076" t="s">
        <v>34448</v>
      </c>
      <c r="N15076" t="s">
        <v>34485</v>
      </c>
      <c r="P15076" t="s">
        <v>34812</v>
      </c>
      <c r="R15076" s="26" t="str">
        <f>HYPERLINK("https://ictv.global/taxonomy/taxondetails?taxnode_id=202302879","Solendovirus venaipomeae")</f>
        <v>Solendovirus venaipomeae</v>
      </c>
      <c r="S15076" t="s">
        <v>30</v>
      </c>
      <c r="T15076" t="s">
        <v>34813</v>
      </c>
      <c r="U15076" t="s">
        <v>34814</v>
      </c>
      <c r="V15076" t="s">
        <v>34815</v>
      </c>
      <c r="W15076" t="s">
        <v>34816</v>
      </c>
      <c r="X15076" t="s">
        <v>42</v>
      </c>
      <c r="Y15076" t="s">
        <v>34325</v>
      </c>
      <c r="Z15076" t="s">
        <v>13441</v>
      </c>
      <c r="AA15076" s="22" t="str">
        <f>HYPERLINK("https://www.ncbi.nlm.nih.gov/nuccore/HQ694979","NCBI Nucleotide")</f>
        <v>NCBI Nucleotide</v>
      </c>
    </row>
    <row r="15077" spans="1:27" x14ac:dyDescent="0.35">
      <c r="A15077">
        <v>1003623</v>
      </c>
      <c r="B15077">
        <v>13589</v>
      </c>
      <c r="C15077">
        <v>1</v>
      </c>
      <c r="D15077" t="s">
        <v>17166</v>
      </c>
      <c r="F15077" t="s">
        <v>34315</v>
      </c>
      <c r="H15077" t="s">
        <v>34316</v>
      </c>
      <c r="J15077" t="s">
        <v>34317</v>
      </c>
      <c r="L15077" t="s">
        <v>34448</v>
      </c>
      <c r="N15077" t="s">
        <v>34485</v>
      </c>
      <c r="P15077" t="s">
        <v>34812</v>
      </c>
      <c r="R15077" s="26" t="str">
        <f>HYPERLINK("https://ictv.global/taxonomy/taxondetails?taxnode_id=202302880","Solendovirus venanicotianae")</f>
        <v>Solendovirus venanicotianae</v>
      </c>
      <c r="S15077" t="s">
        <v>30</v>
      </c>
      <c r="T15077" t="s">
        <v>34817</v>
      </c>
      <c r="U15077" t="s">
        <v>18992</v>
      </c>
      <c r="V15077" t="s">
        <v>34818</v>
      </c>
      <c r="W15077" t="s">
        <v>34819</v>
      </c>
      <c r="X15077" t="s">
        <v>42</v>
      </c>
      <c r="Y15077" t="s">
        <v>34325</v>
      </c>
      <c r="Z15077" t="s">
        <v>13441</v>
      </c>
      <c r="AA15077" s="22" t="str">
        <f>HYPERLINK("https://www.ncbi.nlm.nih.gov/nuccore/AF190123","NCBI Nucleotide")</f>
        <v>NCBI Nucleotide</v>
      </c>
    </row>
    <row r="15078" spans="1:27" x14ac:dyDescent="0.35">
      <c r="A15078">
        <v>1003624</v>
      </c>
      <c r="B15078">
        <v>13590</v>
      </c>
      <c r="C15078">
        <v>1</v>
      </c>
      <c r="D15078" t="s">
        <v>17166</v>
      </c>
      <c r="F15078" t="s">
        <v>34315</v>
      </c>
      <c r="H15078" t="s">
        <v>34316</v>
      </c>
      <c r="J15078" t="s">
        <v>34317</v>
      </c>
      <c r="L15078" t="s">
        <v>34448</v>
      </c>
      <c r="N15078" t="s">
        <v>34485</v>
      </c>
      <c r="P15078" t="s">
        <v>34820</v>
      </c>
      <c r="R15078" s="26" t="str">
        <f>HYPERLINK("https://ictv.global/taxonomy/taxondetails?taxnode_id=202302883","Soymovirus crispocestri")</f>
        <v>Soymovirus crispocestri</v>
      </c>
      <c r="S15078" t="s">
        <v>30</v>
      </c>
      <c r="T15078" t="s">
        <v>34821</v>
      </c>
      <c r="U15078" t="s">
        <v>34822</v>
      </c>
      <c r="V15078" t="s">
        <v>34823</v>
      </c>
      <c r="W15078" t="s">
        <v>34824</v>
      </c>
      <c r="X15078" t="s">
        <v>42</v>
      </c>
      <c r="Y15078" t="s">
        <v>34325</v>
      </c>
      <c r="Z15078" t="s">
        <v>13441</v>
      </c>
      <c r="AA15078" s="22" t="str">
        <f>HYPERLINK("https://www.ncbi.nlm.nih.gov/nuccore/AF364175","NCBI Nucleotide")</f>
        <v>NCBI Nucleotide</v>
      </c>
    </row>
    <row r="15079" spans="1:27" x14ac:dyDescent="0.35">
      <c r="A15079">
        <v>1003625</v>
      </c>
      <c r="B15079">
        <v>13591</v>
      </c>
      <c r="C15079">
        <v>1</v>
      </c>
      <c r="D15079" t="s">
        <v>17166</v>
      </c>
      <c r="F15079" t="s">
        <v>34315</v>
      </c>
      <c r="H15079" t="s">
        <v>34316</v>
      </c>
      <c r="J15079" t="s">
        <v>34317</v>
      </c>
      <c r="L15079" t="s">
        <v>34448</v>
      </c>
      <c r="N15079" t="s">
        <v>34485</v>
      </c>
      <c r="P15079" t="s">
        <v>34820</v>
      </c>
      <c r="R15079" s="26" t="str">
        <f>HYPERLINK("https://ictv.global/taxonomy/taxondetails?taxnode_id=202315101","Soymovirus eleocharis")</f>
        <v>Soymovirus eleocharis</v>
      </c>
      <c r="S15079" t="s">
        <v>30</v>
      </c>
      <c r="T15079" t="s">
        <v>34825</v>
      </c>
      <c r="U15079" t="s">
        <v>34826</v>
      </c>
      <c r="V15079" t="s">
        <v>34827</v>
      </c>
      <c r="W15079" t="s">
        <v>34828</v>
      </c>
      <c r="X15079" t="s">
        <v>42</v>
      </c>
      <c r="Y15079" t="s">
        <v>34325</v>
      </c>
      <c r="Z15079" t="s">
        <v>13441</v>
      </c>
      <c r="AA15079" s="22" t="str">
        <f>HYPERLINK("https://www.ncbi.nlm.nih.gov/nuccore/KU365408","NCBI Nucleotide")</f>
        <v>NCBI Nucleotide</v>
      </c>
    </row>
    <row r="15080" spans="1:27" x14ac:dyDescent="0.35">
      <c r="A15080">
        <v>1027836</v>
      </c>
      <c r="B15080">
        <v>13592</v>
      </c>
      <c r="C15080">
        <v>1</v>
      </c>
      <c r="D15080" t="s">
        <v>17166</v>
      </c>
      <c r="F15080" t="s">
        <v>34315</v>
      </c>
      <c r="H15080" t="s">
        <v>34316</v>
      </c>
      <c r="J15080" t="s">
        <v>34317</v>
      </c>
      <c r="L15080" t="s">
        <v>34448</v>
      </c>
      <c r="N15080" t="s">
        <v>34485</v>
      </c>
      <c r="P15080" t="s">
        <v>34820</v>
      </c>
      <c r="R15080" s="26" t="str">
        <f>HYPERLINK("https://ictv.global/taxonomy/taxondetails?taxnode_id=202318298","Soymovirus hibisci")</f>
        <v>Soymovirus hibisci</v>
      </c>
      <c r="S15080" t="s">
        <v>30</v>
      </c>
      <c r="T15080" t="s">
        <v>47654</v>
      </c>
      <c r="U15080" t="s">
        <v>47655</v>
      </c>
      <c r="V15080" t="s">
        <v>47656</v>
      </c>
      <c r="W15080" t="s">
        <v>47657</v>
      </c>
      <c r="X15080" t="s">
        <v>42</v>
      </c>
      <c r="Y15080" t="s">
        <v>34325</v>
      </c>
      <c r="Z15080" t="s">
        <v>13441</v>
      </c>
      <c r="AA15080" s="22" t="str">
        <f>HYPERLINK("https://www.ncbi.nlm.nih.gov/nuccore/OP757659","NCBI Nucleotide")</f>
        <v>NCBI Nucleotide</v>
      </c>
    </row>
    <row r="15081" spans="1:27" x14ac:dyDescent="0.35">
      <c r="A15081">
        <v>1003626</v>
      </c>
      <c r="B15081">
        <v>13593</v>
      </c>
      <c r="C15081">
        <v>1</v>
      </c>
      <c r="D15081" t="s">
        <v>17166</v>
      </c>
      <c r="F15081" t="s">
        <v>34315</v>
      </c>
      <c r="H15081" t="s">
        <v>34316</v>
      </c>
      <c r="J15081" t="s">
        <v>34317</v>
      </c>
      <c r="L15081" t="s">
        <v>34448</v>
      </c>
      <c r="N15081" t="s">
        <v>34485</v>
      </c>
      <c r="P15081" t="s">
        <v>34820</v>
      </c>
      <c r="R15081" s="26" t="str">
        <f>HYPERLINK("https://ictv.global/taxonomy/taxondetails?taxnode_id=202302885","Soymovirus maculaglycinis")</f>
        <v>Soymovirus maculaglycinis</v>
      </c>
      <c r="S15081" t="s">
        <v>30</v>
      </c>
      <c r="T15081" t="s">
        <v>34829</v>
      </c>
      <c r="U15081" t="s">
        <v>34830</v>
      </c>
      <c r="V15081" t="s">
        <v>34831</v>
      </c>
      <c r="W15081" t="s">
        <v>34832</v>
      </c>
      <c r="X15081" t="s">
        <v>42</v>
      </c>
      <c r="Y15081" t="s">
        <v>34325</v>
      </c>
      <c r="Z15081" t="s">
        <v>13441</v>
      </c>
      <c r="AA15081" s="22" t="str">
        <f>HYPERLINK("https://www.ncbi.nlm.nih.gov/nuccore/X15828","NCBI Nucleotide")</f>
        <v>NCBI Nucleotide</v>
      </c>
    </row>
    <row r="15082" spans="1:27" x14ac:dyDescent="0.35">
      <c r="A15082">
        <v>1003627</v>
      </c>
      <c r="B15082">
        <v>13594</v>
      </c>
      <c r="C15082">
        <v>1</v>
      </c>
      <c r="D15082" t="s">
        <v>17166</v>
      </c>
      <c r="F15082" t="s">
        <v>34315</v>
      </c>
      <c r="H15082" t="s">
        <v>34316</v>
      </c>
      <c r="J15082" t="s">
        <v>34317</v>
      </c>
      <c r="L15082" t="s">
        <v>34448</v>
      </c>
      <c r="N15082" t="s">
        <v>34485</v>
      </c>
      <c r="P15082" t="s">
        <v>34820</v>
      </c>
      <c r="R15082" s="26" t="str">
        <f>HYPERLINK("https://ictv.global/taxonomy/taxondetails?taxnode_id=202302882","Soymovirus maculavaccinii")</f>
        <v>Soymovirus maculavaccinii</v>
      </c>
      <c r="S15082" t="s">
        <v>30</v>
      </c>
      <c r="T15082" t="s">
        <v>34833</v>
      </c>
      <c r="U15082" t="s">
        <v>34834</v>
      </c>
      <c r="V15082" t="s">
        <v>34835</v>
      </c>
      <c r="W15082" t="s">
        <v>34836</v>
      </c>
      <c r="X15082" t="s">
        <v>42</v>
      </c>
      <c r="Y15082" t="s">
        <v>34325</v>
      </c>
      <c r="Z15082" t="s">
        <v>13441</v>
      </c>
      <c r="AA15082" s="22" t="str">
        <f>HYPERLINK("https://www.ncbi.nlm.nih.gov/nuccore/AF404509","NCBI Nucleotide")</f>
        <v>NCBI Nucleotide</v>
      </c>
    </row>
    <row r="15083" spans="1:27" x14ac:dyDescent="0.35">
      <c r="A15083">
        <v>1027837</v>
      </c>
      <c r="B15083">
        <v>13595</v>
      </c>
      <c r="C15083">
        <v>1</v>
      </c>
      <c r="D15083" t="s">
        <v>17166</v>
      </c>
      <c r="F15083" t="s">
        <v>34315</v>
      </c>
      <c r="H15083" t="s">
        <v>34316</v>
      </c>
      <c r="J15083" t="s">
        <v>34317</v>
      </c>
      <c r="L15083" t="s">
        <v>34448</v>
      </c>
      <c r="N15083" t="s">
        <v>34485</v>
      </c>
      <c r="P15083" t="s">
        <v>34820</v>
      </c>
      <c r="R15083" s="26" t="str">
        <f>HYPERLINK("https://ictv.global/taxonomy/taxondetails?taxnode_id=202318297","Soymovirus malvae")</f>
        <v>Soymovirus malvae</v>
      </c>
      <c r="S15083" t="s">
        <v>30</v>
      </c>
      <c r="T15083" t="s">
        <v>47658</v>
      </c>
      <c r="U15083" t="s">
        <v>47659</v>
      </c>
      <c r="V15083" t="s">
        <v>28781</v>
      </c>
      <c r="W15083" t="s">
        <v>47660</v>
      </c>
      <c r="X15083" t="s">
        <v>42</v>
      </c>
      <c r="Y15083" t="s">
        <v>34325</v>
      </c>
      <c r="Z15083" t="s">
        <v>13441</v>
      </c>
      <c r="AA15083" s="22" t="str">
        <f>HYPERLINK("https://www.ncbi.nlm.nih.gov/nuccore/OL451868","NCBI Nucleotide")</f>
        <v>NCBI Nucleotide</v>
      </c>
    </row>
    <row r="15084" spans="1:27" x14ac:dyDescent="0.35">
      <c r="A15084">
        <v>1003628</v>
      </c>
      <c r="B15084">
        <v>13596</v>
      </c>
      <c r="C15084">
        <v>1</v>
      </c>
      <c r="D15084" t="s">
        <v>17166</v>
      </c>
      <c r="F15084" t="s">
        <v>34315</v>
      </c>
      <c r="H15084" t="s">
        <v>34316</v>
      </c>
      <c r="J15084" t="s">
        <v>34317</v>
      </c>
      <c r="L15084" t="s">
        <v>34448</v>
      </c>
      <c r="N15084" t="s">
        <v>34485</v>
      </c>
      <c r="P15084" t="s">
        <v>34820</v>
      </c>
      <c r="R15084" s="26" t="str">
        <f>HYPERLINK("https://ictv.global/taxonomy/taxondetails?taxnode_id=202302884","Soymovirus virgarachidis")</f>
        <v>Soymovirus virgarachidis</v>
      </c>
      <c r="S15084" t="s">
        <v>30</v>
      </c>
      <c r="T15084" t="s">
        <v>34837</v>
      </c>
      <c r="U15084" t="s">
        <v>28768</v>
      </c>
      <c r="V15084" t="s">
        <v>19262</v>
      </c>
      <c r="W15084" t="s">
        <v>34838</v>
      </c>
      <c r="X15084" t="s">
        <v>42</v>
      </c>
      <c r="Y15084" t="s">
        <v>34325</v>
      </c>
      <c r="Z15084" t="s">
        <v>13441</v>
      </c>
      <c r="AA15084" s="22" t="str">
        <f>HYPERLINK("https://www.ncbi.nlm.nih.gov/nuccore/U13988","NCBI Nucleotide")</f>
        <v>NCBI Nucleotide</v>
      </c>
    </row>
    <row r="15085" spans="1:27" x14ac:dyDescent="0.35">
      <c r="A15085">
        <v>1003629</v>
      </c>
      <c r="B15085">
        <v>13597</v>
      </c>
      <c r="C15085">
        <v>1</v>
      </c>
      <c r="D15085" t="s">
        <v>17166</v>
      </c>
      <c r="F15085" t="s">
        <v>34315</v>
      </c>
      <c r="H15085" t="s">
        <v>34316</v>
      </c>
      <c r="J15085" t="s">
        <v>34317</v>
      </c>
      <c r="L15085" t="s">
        <v>34448</v>
      </c>
      <c r="N15085" t="s">
        <v>34485</v>
      </c>
      <c r="P15085" t="s">
        <v>34839</v>
      </c>
      <c r="R15085" s="26" t="str">
        <f>HYPERLINK("https://ictv.global/taxonomy/taxondetails?taxnode_id=202315102","Tungrovirus agapanthi")</f>
        <v>Tungrovirus agapanthi</v>
      </c>
      <c r="S15085" t="s">
        <v>30</v>
      </c>
      <c r="T15085" t="s">
        <v>34840</v>
      </c>
      <c r="U15085" t="s">
        <v>34841</v>
      </c>
      <c r="V15085" t="s">
        <v>34842</v>
      </c>
      <c r="W15085" t="s">
        <v>34843</v>
      </c>
      <c r="X15085" t="s">
        <v>42</v>
      </c>
      <c r="Y15085" t="s">
        <v>34325</v>
      </c>
      <c r="Z15085" t="s">
        <v>13441</v>
      </c>
      <c r="AA15085" s="22" t="str">
        <f>HYPERLINK("https://www.ncbi.nlm.nih.gov/nuccore/MT501685","NCBI Nucleotide")</f>
        <v>NCBI Nucleotide</v>
      </c>
    </row>
    <row r="15086" spans="1:27" x14ac:dyDescent="0.35">
      <c r="A15086">
        <v>1003630</v>
      </c>
      <c r="B15086">
        <v>13598</v>
      </c>
      <c r="C15086">
        <v>1</v>
      </c>
      <c r="D15086" t="s">
        <v>17166</v>
      </c>
      <c r="F15086" t="s">
        <v>34315</v>
      </c>
      <c r="H15086" t="s">
        <v>34316</v>
      </c>
      <c r="J15086" t="s">
        <v>34317</v>
      </c>
      <c r="L15086" t="s">
        <v>34448</v>
      </c>
      <c r="N15086" t="s">
        <v>34485</v>
      </c>
      <c r="P15086" t="s">
        <v>34839</v>
      </c>
      <c r="R15086" s="26" t="str">
        <f>HYPERLINK("https://ictv.global/taxonomy/taxondetails?taxnode_id=202302887","Tungrovirus oryzae")</f>
        <v>Tungrovirus oryzae</v>
      </c>
      <c r="S15086" t="s">
        <v>30</v>
      </c>
      <c r="T15086" t="s">
        <v>34844</v>
      </c>
      <c r="U15086" t="s">
        <v>34845</v>
      </c>
      <c r="V15086" t="s">
        <v>34846</v>
      </c>
      <c r="W15086" t="s">
        <v>34847</v>
      </c>
      <c r="X15086" t="s">
        <v>42</v>
      </c>
      <c r="Y15086" t="s">
        <v>34325</v>
      </c>
      <c r="Z15086" t="s">
        <v>13441</v>
      </c>
      <c r="AA15086" s="22" t="str">
        <f>HYPERLINK("https://www.ncbi.nlm.nih.gov/nuccore/X57924","NCBI Nucleotide")</f>
        <v>NCBI Nucleotide</v>
      </c>
    </row>
    <row r="15087" spans="1:27" x14ac:dyDescent="0.35">
      <c r="A15087">
        <v>1003631</v>
      </c>
      <c r="B15087">
        <v>13599</v>
      </c>
      <c r="C15087">
        <v>1</v>
      </c>
      <c r="D15087" t="s">
        <v>17166</v>
      </c>
      <c r="F15087" t="s">
        <v>34315</v>
      </c>
      <c r="H15087" t="s">
        <v>34316</v>
      </c>
      <c r="J15087" t="s">
        <v>34317</v>
      </c>
      <c r="L15087" t="s">
        <v>34448</v>
      </c>
      <c r="N15087" t="s">
        <v>34485</v>
      </c>
      <c r="P15087" t="s">
        <v>34848</v>
      </c>
      <c r="R15087" s="26" t="str">
        <f>HYPERLINK("https://ictv.global/taxonomy/taxondetails?taxnode_id=202307425","Vaccinivirus cadovaccinii")</f>
        <v>Vaccinivirus cadovaccinii</v>
      </c>
      <c r="S15087" t="s">
        <v>30</v>
      </c>
      <c r="T15087" t="s">
        <v>34849</v>
      </c>
      <c r="U15087" t="s">
        <v>34850</v>
      </c>
      <c r="V15087" t="s">
        <v>34851</v>
      </c>
      <c r="W15087" t="s">
        <v>34852</v>
      </c>
      <c r="X15087" t="s">
        <v>42</v>
      </c>
      <c r="Y15087" t="s">
        <v>34325</v>
      </c>
      <c r="Z15087" t="s">
        <v>13441</v>
      </c>
      <c r="AA15087" s="22" t="str">
        <f>HYPERLINK("https://www.ncbi.nlm.nih.gov/nuccore/KT148886","NCBI Nucleotide")</f>
        <v>NCBI Nucleotide</v>
      </c>
    </row>
    <row r="15088" spans="1:27" x14ac:dyDescent="0.35">
      <c r="A15088">
        <v>1003632</v>
      </c>
      <c r="B15088">
        <v>13600</v>
      </c>
      <c r="C15088">
        <v>1</v>
      </c>
      <c r="D15088" t="s">
        <v>17166</v>
      </c>
      <c r="F15088" t="s">
        <v>34315</v>
      </c>
      <c r="H15088" t="s">
        <v>34316</v>
      </c>
      <c r="J15088" t="s">
        <v>34317</v>
      </c>
      <c r="L15088" t="s">
        <v>34448</v>
      </c>
      <c r="N15088" t="s">
        <v>34853</v>
      </c>
      <c r="P15088" t="s">
        <v>34854</v>
      </c>
      <c r="R15088" s="26" t="str">
        <f>HYPERLINK("https://ictv.global/taxonomy/taxondetails?taxnode_id=202303814","Errantivirus ceratitidis")</f>
        <v>Errantivirus ceratitidis</v>
      </c>
      <c r="S15088" t="s">
        <v>30</v>
      </c>
      <c r="T15088" t="s">
        <v>34855</v>
      </c>
      <c r="U15088" t="s">
        <v>34856</v>
      </c>
      <c r="V15088" t="s">
        <v>34857</v>
      </c>
      <c r="W15088" t="s">
        <v>34858</v>
      </c>
      <c r="X15088" t="s">
        <v>42</v>
      </c>
      <c r="Y15088" t="s">
        <v>34454</v>
      </c>
      <c r="Z15088" t="s">
        <v>10790</v>
      </c>
      <c r="AA15088" s="22" t="str">
        <f>HYPERLINK("https://www.ncbi.nlm.nih.gov/nuccore/U60529","NCBI Nucleotide")</f>
        <v>NCBI Nucleotide</v>
      </c>
    </row>
    <row r="15089" spans="1:27" x14ac:dyDescent="0.35">
      <c r="A15089">
        <v>1003635</v>
      </c>
      <c r="B15089">
        <v>13601</v>
      </c>
      <c r="C15089">
        <v>1</v>
      </c>
      <c r="D15089" t="s">
        <v>17166</v>
      </c>
      <c r="F15089" t="s">
        <v>34315</v>
      </c>
      <c r="H15089" t="s">
        <v>34316</v>
      </c>
      <c r="J15089" t="s">
        <v>34317</v>
      </c>
      <c r="L15089" t="s">
        <v>34448</v>
      </c>
      <c r="N15089" t="s">
        <v>34853</v>
      </c>
      <c r="P15089" t="s">
        <v>34854</v>
      </c>
      <c r="R15089" s="26" t="str">
        <f>HYPERLINK("https://ictv.global/taxonomy/taxondetails?taxnode_id=202303817","Errantivirus drosophilae")</f>
        <v>Errantivirus drosophilae</v>
      </c>
      <c r="S15089" t="s">
        <v>30</v>
      </c>
      <c r="T15089" t="s">
        <v>34865</v>
      </c>
      <c r="U15089" t="s">
        <v>34866</v>
      </c>
      <c r="W15089" t="s">
        <v>34867</v>
      </c>
      <c r="X15089" t="s">
        <v>42</v>
      </c>
      <c r="Y15089" t="s">
        <v>34454</v>
      </c>
      <c r="Z15089" t="s">
        <v>10790</v>
      </c>
      <c r="AA15089" s="22" t="str">
        <f>HYPERLINK("https://www.ncbi.nlm.nih.gov/nuccore/X03431","NCBI Nucleotide")</f>
        <v>NCBI Nucleotide</v>
      </c>
    </row>
    <row r="15090" spans="1:27" x14ac:dyDescent="0.35">
      <c r="A15090">
        <v>1003634</v>
      </c>
      <c r="B15090">
        <v>13602</v>
      </c>
      <c r="C15090">
        <v>1</v>
      </c>
      <c r="D15090" t="s">
        <v>17166</v>
      </c>
      <c r="F15090" t="s">
        <v>34315</v>
      </c>
      <c r="H15090" t="s">
        <v>34316</v>
      </c>
      <c r="J15090" t="s">
        <v>34317</v>
      </c>
      <c r="L15090" t="s">
        <v>34448</v>
      </c>
      <c r="N15090" t="s">
        <v>34853</v>
      </c>
      <c r="P15090" t="s">
        <v>34854</v>
      </c>
      <c r="R15090" s="26" t="str">
        <f>HYPERLINK("https://ictv.global/taxonomy/taxondetails?taxnode_id=202303816","Errantivirus drososeptemdecimum")</f>
        <v>Errantivirus drososeptemdecimum</v>
      </c>
      <c r="S15090" t="s">
        <v>30</v>
      </c>
      <c r="T15090" t="s">
        <v>34862</v>
      </c>
      <c r="U15090" t="s">
        <v>34863</v>
      </c>
      <c r="W15090" t="s">
        <v>34864</v>
      </c>
      <c r="X15090" t="s">
        <v>42</v>
      </c>
      <c r="Y15090" t="s">
        <v>34454</v>
      </c>
      <c r="Z15090" t="s">
        <v>10790</v>
      </c>
      <c r="AA15090" s="22" t="str">
        <f>HYPERLINK("https://www.ncbi.nlm.nih.gov/nuccore/X01472","NCBI Nucleotide")</f>
        <v>NCBI Nucleotide</v>
      </c>
    </row>
    <row r="15091" spans="1:27" x14ac:dyDescent="0.35">
      <c r="A15091">
        <v>1003636</v>
      </c>
      <c r="B15091">
        <v>13603</v>
      </c>
      <c r="C15091">
        <v>1</v>
      </c>
      <c r="D15091" t="s">
        <v>17166</v>
      </c>
      <c r="F15091" t="s">
        <v>34315</v>
      </c>
      <c r="H15091" t="s">
        <v>34316</v>
      </c>
      <c r="J15091" t="s">
        <v>34317</v>
      </c>
      <c r="L15091" t="s">
        <v>34448</v>
      </c>
      <c r="N15091" t="s">
        <v>34853</v>
      </c>
      <c r="P15091" t="s">
        <v>34854</v>
      </c>
      <c r="R15091" s="26" t="str">
        <f>HYPERLINK("https://ictv.global/taxonomy/taxondetails?taxnode_id=202303818","Errantivirus errante")</f>
        <v>Errantivirus errante</v>
      </c>
      <c r="S15091" t="s">
        <v>30</v>
      </c>
      <c r="T15091" t="s">
        <v>34868</v>
      </c>
      <c r="U15091" t="s">
        <v>34869</v>
      </c>
      <c r="W15091" t="s">
        <v>34870</v>
      </c>
      <c r="X15091" t="s">
        <v>42</v>
      </c>
      <c r="Y15091" t="s">
        <v>34454</v>
      </c>
      <c r="Z15091" t="s">
        <v>10790</v>
      </c>
      <c r="AA15091" s="22" t="str">
        <f>HYPERLINK("https://www.ncbi.nlm.nih.gov/nuccore/M12927","NCBI Nucleotide")</f>
        <v>NCBI Nucleotide</v>
      </c>
    </row>
    <row r="15092" spans="1:27" x14ac:dyDescent="0.35">
      <c r="A15092">
        <v>1003637</v>
      </c>
      <c r="B15092">
        <v>13604</v>
      </c>
      <c r="C15092">
        <v>1</v>
      </c>
      <c r="D15092" t="s">
        <v>17166</v>
      </c>
      <c r="F15092" t="s">
        <v>34315</v>
      </c>
      <c r="H15092" t="s">
        <v>34316</v>
      </c>
      <c r="J15092" t="s">
        <v>34317</v>
      </c>
      <c r="L15092" t="s">
        <v>34448</v>
      </c>
      <c r="N15092" t="s">
        <v>34853</v>
      </c>
      <c r="P15092" t="s">
        <v>34854</v>
      </c>
      <c r="R15092" s="26" t="str">
        <f>HYPERLINK("https://ictv.global/taxonomy/taxondetails?taxnode_id=202303819","Errantivirus idefixi")</f>
        <v>Errantivirus idefixi</v>
      </c>
      <c r="S15092" t="s">
        <v>30</v>
      </c>
      <c r="T15092" t="s">
        <v>34871</v>
      </c>
      <c r="U15092" t="s">
        <v>34872</v>
      </c>
      <c r="W15092" t="s">
        <v>34873</v>
      </c>
      <c r="X15092" t="s">
        <v>42</v>
      </c>
      <c r="Y15092" t="s">
        <v>34454</v>
      </c>
      <c r="Z15092" t="s">
        <v>10790</v>
      </c>
      <c r="AA15092" s="22" t="str">
        <f>HYPERLINK("https://www.ncbi.nlm.nih.gov/nuccore/AJ009736","NCBI Nucleotide")</f>
        <v>NCBI Nucleotide</v>
      </c>
    </row>
    <row r="15093" spans="1:27" x14ac:dyDescent="0.35">
      <c r="A15093">
        <v>1003638</v>
      </c>
      <c r="B15093">
        <v>13605</v>
      </c>
      <c r="C15093">
        <v>1</v>
      </c>
      <c r="D15093" t="s">
        <v>17166</v>
      </c>
      <c r="F15093" t="s">
        <v>34315</v>
      </c>
      <c r="H15093" t="s">
        <v>34316</v>
      </c>
      <c r="J15093" t="s">
        <v>34317</v>
      </c>
      <c r="L15093" t="s">
        <v>34448</v>
      </c>
      <c r="N15093" t="s">
        <v>34853</v>
      </c>
      <c r="P15093" t="s">
        <v>34854</v>
      </c>
      <c r="R15093" s="26" t="str">
        <f>HYPERLINK("https://ictv.global/taxonomy/taxondetails?taxnode_id=202303820","Errantivirus tiranti")</f>
        <v>Errantivirus tiranti</v>
      </c>
      <c r="S15093" t="s">
        <v>30</v>
      </c>
      <c r="T15093" t="s">
        <v>34874</v>
      </c>
      <c r="U15093" t="s">
        <v>34875</v>
      </c>
      <c r="W15093" t="s">
        <v>34876</v>
      </c>
      <c r="X15093" t="s">
        <v>42</v>
      </c>
      <c r="Y15093" t="s">
        <v>34454</v>
      </c>
      <c r="Z15093" t="s">
        <v>10790</v>
      </c>
      <c r="AA15093" s="22" t="str">
        <f>HYPERLINK("https://www.ncbi.nlm.nih.gov/nuccore/X93507","NCBI Nucleotide")</f>
        <v>NCBI Nucleotide</v>
      </c>
    </row>
    <row r="15094" spans="1:27" x14ac:dyDescent="0.35">
      <c r="A15094">
        <v>1003633</v>
      </c>
      <c r="B15094">
        <v>13606</v>
      </c>
      <c r="C15094">
        <v>1</v>
      </c>
      <c r="D15094" t="s">
        <v>17166</v>
      </c>
      <c r="F15094" t="s">
        <v>34315</v>
      </c>
      <c r="H15094" t="s">
        <v>34316</v>
      </c>
      <c r="J15094" t="s">
        <v>34317</v>
      </c>
      <c r="L15094" t="s">
        <v>34448</v>
      </c>
      <c r="N15094" t="s">
        <v>34853</v>
      </c>
      <c r="P15094" t="s">
        <v>34854</v>
      </c>
      <c r="R15094" s="26" t="str">
        <f>HYPERLINK("https://ictv.global/taxonomy/taxondetails?taxnode_id=202303815","Errantivirus tomi")</f>
        <v>Errantivirus tomi</v>
      </c>
      <c r="S15094" t="s">
        <v>30</v>
      </c>
      <c r="T15094" t="s">
        <v>34859</v>
      </c>
      <c r="U15094" t="s">
        <v>34860</v>
      </c>
      <c r="W15094" t="s">
        <v>34861</v>
      </c>
      <c r="X15094" t="s">
        <v>42</v>
      </c>
      <c r="Y15094" t="s">
        <v>34454</v>
      </c>
      <c r="Z15094" t="s">
        <v>10790</v>
      </c>
      <c r="AA15094" s="22" t="str">
        <f>HYPERLINK("https://www.ncbi.nlm.nih.gov/nuccore/Z24451","NCBI Nucleotide")</f>
        <v>NCBI Nucleotide</v>
      </c>
    </row>
    <row r="15095" spans="1:27" x14ac:dyDescent="0.35">
      <c r="A15095">
        <v>1003641</v>
      </c>
      <c r="B15095">
        <v>13607</v>
      </c>
      <c r="C15095">
        <v>1</v>
      </c>
      <c r="D15095" t="s">
        <v>17166</v>
      </c>
      <c r="F15095" t="s">
        <v>34315</v>
      </c>
      <c r="H15095" t="s">
        <v>34316</v>
      </c>
      <c r="J15095" t="s">
        <v>34317</v>
      </c>
      <c r="L15095" t="s">
        <v>34448</v>
      </c>
      <c r="N15095" t="s">
        <v>34853</v>
      </c>
      <c r="P15095" t="s">
        <v>34854</v>
      </c>
      <c r="R15095" s="26" t="str">
        <f>HYPERLINK("https://ictv.global/taxonomy/taxondetails?taxnode_id=202303823","Errantivirus trichoplusiae")</f>
        <v>Errantivirus trichoplusiae</v>
      </c>
      <c r="S15095" t="s">
        <v>30</v>
      </c>
      <c r="T15095" t="s">
        <v>34883</v>
      </c>
      <c r="U15095" t="s">
        <v>34884</v>
      </c>
      <c r="W15095" t="s">
        <v>34885</v>
      </c>
      <c r="X15095" t="s">
        <v>42</v>
      </c>
      <c r="Y15095" t="s">
        <v>34454</v>
      </c>
      <c r="Z15095" t="s">
        <v>10790</v>
      </c>
      <c r="AA15095" s="22" t="str">
        <f>HYPERLINK("https://www.ncbi.nlm.nih.gov/nuccore/M32662","NCBI Nucleotide")</f>
        <v>NCBI Nucleotide</v>
      </c>
    </row>
    <row r="15096" spans="1:27" x14ac:dyDescent="0.35">
      <c r="A15096">
        <v>1003640</v>
      </c>
      <c r="B15096">
        <v>13608</v>
      </c>
      <c r="C15096">
        <v>1</v>
      </c>
      <c r="D15096" t="s">
        <v>17166</v>
      </c>
      <c r="F15096" t="s">
        <v>34315</v>
      </c>
      <c r="H15096" t="s">
        <v>34316</v>
      </c>
      <c r="J15096" t="s">
        <v>34317</v>
      </c>
      <c r="L15096" t="s">
        <v>34448</v>
      </c>
      <c r="N15096" t="s">
        <v>34853</v>
      </c>
      <c r="P15096" t="s">
        <v>34854</v>
      </c>
      <c r="R15096" s="26" t="str">
        <f>HYPERLINK("https://ictv.global/taxonomy/taxondetails?taxnode_id=202303822","Errantivirus unitivi")</f>
        <v>Errantivirus unitivi</v>
      </c>
      <c r="S15096" t="s">
        <v>30</v>
      </c>
      <c r="T15096" t="s">
        <v>34880</v>
      </c>
      <c r="U15096" t="s">
        <v>34881</v>
      </c>
      <c r="W15096" t="s">
        <v>34882</v>
      </c>
      <c r="X15096" t="s">
        <v>42</v>
      </c>
      <c r="Y15096" t="s">
        <v>34454</v>
      </c>
      <c r="Z15096" t="s">
        <v>10790</v>
      </c>
      <c r="AA15096" s="22" t="str">
        <f>HYPERLINK("https://www.ncbi.nlm.nih.gov/nuccore/AF056940","NCBI Nucleotide")</f>
        <v>NCBI Nucleotide</v>
      </c>
    </row>
    <row r="15097" spans="1:27" x14ac:dyDescent="0.35">
      <c r="A15097">
        <v>1003639</v>
      </c>
      <c r="B15097">
        <v>13609</v>
      </c>
      <c r="C15097">
        <v>1</v>
      </c>
      <c r="D15097" t="s">
        <v>17166</v>
      </c>
      <c r="F15097" t="s">
        <v>34315</v>
      </c>
      <c r="H15097" t="s">
        <v>34316</v>
      </c>
      <c r="J15097" t="s">
        <v>34317</v>
      </c>
      <c r="L15097" t="s">
        <v>34448</v>
      </c>
      <c r="N15097" t="s">
        <v>34853</v>
      </c>
      <c r="P15097" t="s">
        <v>34854</v>
      </c>
      <c r="R15097" s="26" t="str">
        <f>HYPERLINK("https://ictv.global/taxonomy/taxondetails?taxnode_id=202303821","Errantivirus zami")</f>
        <v>Errantivirus zami</v>
      </c>
      <c r="S15097" t="s">
        <v>30</v>
      </c>
      <c r="T15097" t="s">
        <v>34877</v>
      </c>
      <c r="U15097" t="s">
        <v>34878</v>
      </c>
      <c r="W15097" t="s">
        <v>34879</v>
      </c>
      <c r="X15097" t="s">
        <v>42</v>
      </c>
      <c r="Y15097" t="s">
        <v>34454</v>
      </c>
      <c r="Z15097" t="s">
        <v>10790</v>
      </c>
      <c r="AA15097" s="22" t="str">
        <f>HYPERLINK("https://www.ncbi.nlm.nih.gov/nuccore/AJ000387","NCBI Nucleotide")</f>
        <v>NCBI Nucleotide</v>
      </c>
    </row>
    <row r="15098" spans="1:27" x14ac:dyDescent="0.35">
      <c r="A15098">
        <v>1003642</v>
      </c>
      <c r="B15098">
        <v>13610</v>
      </c>
      <c r="C15098">
        <v>1</v>
      </c>
      <c r="D15098" t="s">
        <v>17166</v>
      </c>
      <c r="F15098" t="s">
        <v>34315</v>
      </c>
      <c r="H15098" t="s">
        <v>34316</v>
      </c>
      <c r="J15098" t="s">
        <v>34317</v>
      </c>
      <c r="L15098" t="s">
        <v>34448</v>
      </c>
      <c r="N15098" t="s">
        <v>34853</v>
      </c>
      <c r="P15098" t="s">
        <v>34886</v>
      </c>
      <c r="R15098" s="26" t="str">
        <f>HYPERLINK("https://ictv.global/taxonomy/taxondetails?taxnode_id=202303825","Metavirus athilai")</f>
        <v>Metavirus athilai</v>
      </c>
      <c r="S15098" t="s">
        <v>30</v>
      </c>
      <c r="T15098" t="s">
        <v>34887</v>
      </c>
      <c r="U15098" t="s">
        <v>34888</v>
      </c>
      <c r="W15098" t="s">
        <v>50748</v>
      </c>
      <c r="X15098" t="s">
        <v>42</v>
      </c>
      <c r="Y15098" t="s">
        <v>34454</v>
      </c>
      <c r="Z15098" t="s">
        <v>13441</v>
      </c>
      <c r="AA15098" s="22" t="str">
        <f>HYPERLINK("https://www.ncbi.nlm.nih.gov/nuccore/AC007209","NCBI Nucleotide")</f>
        <v>NCBI Nucleotide</v>
      </c>
    </row>
    <row r="15099" spans="1:27" x14ac:dyDescent="0.35">
      <c r="A15099">
        <v>1003650</v>
      </c>
      <c r="B15099">
        <v>13611</v>
      </c>
      <c r="C15099">
        <v>1</v>
      </c>
      <c r="D15099" t="s">
        <v>17166</v>
      </c>
      <c r="F15099" t="s">
        <v>34315</v>
      </c>
      <c r="H15099" t="s">
        <v>34316</v>
      </c>
      <c r="J15099" t="s">
        <v>34317</v>
      </c>
      <c r="L15099" t="s">
        <v>34448</v>
      </c>
      <c r="N15099" t="s">
        <v>34853</v>
      </c>
      <c r="P15099" t="s">
        <v>34886</v>
      </c>
      <c r="R15099" s="26" t="str">
        <f>HYPERLINK("https://ictv.global/taxonomy/taxondetails?taxnode_id=202303833","Metavirus blastopiae")</f>
        <v>Metavirus blastopiae</v>
      </c>
      <c r="S15099" t="s">
        <v>30</v>
      </c>
      <c r="T15099" t="s">
        <v>34910</v>
      </c>
      <c r="U15099" t="s">
        <v>34911</v>
      </c>
      <c r="W15099" t="s">
        <v>34912</v>
      </c>
      <c r="X15099" t="s">
        <v>42</v>
      </c>
      <c r="Y15099" t="s">
        <v>34454</v>
      </c>
      <c r="Z15099" t="s">
        <v>10790</v>
      </c>
      <c r="AA15099" s="22" t="str">
        <f>HYPERLINK("https://www.ncbi.nlm.nih.gov/nuccore/Z27119","NCBI Nucleotide")</f>
        <v>NCBI Nucleotide</v>
      </c>
    </row>
    <row r="15100" spans="1:27" x14ac:dyDescent="0.35">
      <c r="A15100">
        <v>1003644</v>
      </c>
      <c r="B15100">
        <v>13612</v>
      </c>
      <c r="C15100">
        <v>1</v>
      </c>
      <c r="D15100" t="s">
        <v>17166</v>
      </c>
      <c r="F15100" t="s">
        <v>34315</v>
      </c>
      <c r="H15100" t="s">
        <v>34316</v>
      </c>
      <c r="J15100" t="s">
        <v>34317</v>
      </c>
      <c r="L15100" t="s">
        <v>34448</v>
      </c>
      <c r="N15100" t="s">
        <v>34853</v>
      </c>
      <c r="P15100" t="s">
        <v>34886</v>
      </c>
      <c r="R15100" s="26" t="str">
        <f>HYPERLINK("https://ictv.global/taxonomy/taxondetails?taxnode_id=202303827","Metavirus bombycis")</f>
        <v>Metavirus bombycis</v>
      </c>
      <c r="S15100" t="s">
        <v>30</v>
      </c>
      <c r="T15100" t="s">
        <v>34892</v>
      </c>
      <c r="U15100" t="s">
        <v>34893</v>
      </c>
      <c r="W15100" t="s">
        <v>34894</v>
      </c>
      <c r="X15100" t="s">
        <v>42</v>
      </c>
      <c r="Y15100" t="s">
        <v>34454</v>
      </c>
      <c r="Z15100" t="s">
        <v>10790</v>
      </c>
      <c r="AA15100" s="22" t="str">
        <f>HYPERLINK("https://www.ncbi.nlm.nih.gov/nuccore/X17219","NCBI Nucleotide")</f>
        <v>NCBI Nucleotide</v>
      </c>
    </row>
    <row r="15101" spans="1:27" x14ac:dyDescent="0.35">
      <c r="A15101">
        <v>1003645</v>
      </c>
      <c r="B15101">
        <v>13613</v>
      </c>
      <c r="C15101">
        <v>1</v>
      </c>
      <c r="D15101" t="s">
        <v>17166</v>
      </c>
      <c r="F15101" t="s">
        <v>34315</v>
      </c>
      <c r="H15101" t="s">
        <v>34316</v>
      </c>
      <c r="J15101" t="s">
        <v>34317</v>
      </c>
      <c r="L15101" t="s">
        <v>34448</v>
      </c>
      <c r="N15101" t="s">
        <v>34853</v>
      </c>
      <c r="P15101" t="s">
        <v>34886</v>
      </c>
      <c r="R15101" s="26" t="str">
        <f>HYPERLINK("https://ictv.global/taxonomy/taxondetails?taxnode_id=202303828","Metavirus caenorhabditis")</f>
        <v>Metavirus caenorhabditis</v>
      </c>
      <c r="S15101" t="s">
        <v>30</v>
      </c>
      <c r="T15101" t="s">
        <v>34895</v>
      </c>
      <c r="U15101" t="s">
        <v>34896</v>
      </c>
      <c r="W15101" t="s">
        <v>34897</v>
      </c>
      <c r="X15101" t="s">
        <v>42</v>
      </c>
      <c r="Y15101" t="s">
        <v>34454</v>
      </c>
      <c r="Z15101" t="s">
        <v>10790</v>
      </c>
      <c r="AA15101" s="22" t="str">
        <f>HYPERLINK("https://www.ncbi.nlm.nih.gov/nuccore/U15406","NCBI Nucleotide")</f>
        <v>NCBI Nucleotide</v>
      </c>
    </row>
    <row r="15102" spans="1:27" x14ac:dyDescent="0.35">
      <c r="A15102">
        <v>1003646</v>
      </c>
      <c r="B15102">
        <v>13614</v>
      </c>
      <c r="C15102">
        <v>1</v>
      </c>
      <c r="D15102" t="s">
        <v>17166</v>
      </c>
      <c r="F15102" t="s">
        <v>34315</v>
      </c>
      <c r="H15102" t="s">
        <v>34316</v>
      </c>
      <c r="J15102" t="s">
        <v>34317</v>
      </c>
      <c r="L15102" t="s">
        <v>34448</v>
      </c>
      <c r="N15102" t="s">
        <v>34853</v>
      </c>
      <c r="P15102" t="s">
        <v>34886</v>
      </c>
      <c r="R15102" s="26" t="str">
        <f>HYPERLINK("https://ictv.global/taxonomy/taxondetails?taxnode_id=202303829","Metavirus cladosporii")</f>
        <v>Metavirus cladosporii</v>
      </c>
      <c r="S15102" t="s">
        <v>30</v>
      </c>
      <c r="T15102" t="s">
        <v>34898</v>
      </c>
      <c r="U15102" t="s">
        <v>34899</v>
      </c>
      <c r="W15102" t="s">
        <v>34900</v>
      </c>
      <c r="X15102" t="s">
        <v>42</v>
      </c>
      <c r="Y15102" t="s">
        <v>34454</v>
      </c>
      <c r="Z15102" t="s">
        <v>16721</v>
      </c>
      <c r="AA15102" s="22" t="str">
        <f>HYPERLINK("https://www.ncbi.nlm.nih.gov/nuccore/Z11866","NCBI Nucleotide")</f>
        <v>NCBI Nucleotide</v>
      </c>
    </row>
    <row r="15103" spans="1:27" x14ac:dyDescent="0.35">
      <c r="A15103">
        <v>1003647</v>
      </c>
      <c r="B15103">
        <v>13615</v>
      </c>
      <c r="C15103">
        <v>1</v>
      </c>
      <c r="D15103" t="s">
        <v>17166</v>
      </c>
      <c r="F15103" t="s">
        <v>34315</v>
      </c>
      <c r="H15103" t="s">
        <v>34316</v>
      </c>
      <c r="J15103" t="s">
        <v>34317</v>
      </c>
      <c r="L15103" t="s">
        <v>34448</v>
      </c>
      <c r="N15103" t="s">
        <v>34853</v>
      </c>
      <c r="P15103" t="s">
        <v>34886</v>
      </c>
      <c r="R15103" s="26" t="str">
        <f>HYPERLINK("https://ictv.global/taxonomy/taxondetails?taxnode_id=202303830","Metavirus dictyostelii")</f>
        <v>Metavirus dictyostelii</v>
      </c>
      <c r="S15103" t="s">
        <v>30</v>
      </c>
      <c r="T15103" t="s">
        <v>34901</v>
      </c>
      <c r="U15103" t="s">
        <v>34902</v>
      </c>
      <c r="W15103" t="s">
        <v>34903</v>
      </c>
      <c r="X15103" t="s">
        <v>42</v>
      </c>
      <c r="Y15103" t="s">
        <v>34454</v>
      </c>
      <c r="Z15103" t="s">
        <v>17496</v>
      </c>
      <c r="AA15103" s="22" t="str">
        <f>HYPERLINK("https://www.ncbi.nlm.nih.gov/nuccore/AF049230","NCBI Nucleotide")</f>
        <v>NCBI Nucleotide</v>
      </c>
    </row>
    <row r="15104" spans="1:27" x14ac:dyDescent="0.35">
      <c r="A15104">
        <v>1003649</v>
      </c>
      <c r="B15104">
        <v>13616</v>
      </c>
      <c r="C15104">
        <v>1</v>
      </c>
      <c r="D15104" t="s">
        <v>17166</v>
      </c>
      <c r="F15104" t="s">
        <v>34315</v>
      </c>
      <c r="H15104" t="s">
        <v>34316</v>
      </c>
      <c r="J15104" t="s">
        <v>34317</v>
      </c>
      <c r="L15104" t="s">
        <v>34448</v>
      </c>
      <c r="N15104" t="s">
        <v>34853</v>
      </c>
      <c r="P15104" t="s">
        <v>34886</v>
      </c>
      <c r="R15104" s="26" t="str">
        <f>HYPERLINK("https://ictv.global/taxonomy/taxondetails?taxnode_id=202303832","Metavirus drosophilae")</f>
        <v>Metavirus drosophilae</v>
      </c>
      <c r="S15104" t="s">
        <v>30</v>
      </c>
      <c r="T15104" t="s">
        <v>34907</v>
      </c>
      <c r="U15104" t="s">
        <v>34908</v>
      </c>
      <c r="W15104" t="s">
        <v>34909</v>
      </c>
      <c r="X15104" t="s">
        <v>42</v>
      </c>
      <c r="Y15104" t="s">
        <v>34454</v>
      </c>
      <c r="Z15104" t="s">
        <v>10790</v>
      </c>
      <c r="AA15104" s="22" t="str">
        <f>HYPERLINK("https://www.ncbi.nlm.nih.gov/nuccore/X04132","NCBI Nucleotide")</f>
        <v>NCBI Nucleotide</v>
      </c>
    </row>
    <row r="15105" spans="1:27" x14ac:dyDescent="0.35">
      <c r="A15105">
        <v>1003659</v>
      </c>
      <c r="B15105">
        <v>13617</v>
      </c>
      <c r="C15105">
        <v>1</v>
      </c>
      <c r="D15105" t="s">
        <v>17166</v>
      </c>
      <c r="F15105" t="s">
        <v>34315</v>
      </c>
      <c r="H15105" t="s">
        <v>34316</v>
      </c>
      <c r="J15105" t="s">
        <v>34317</v>
      </c>
      <c r="L15105" t="s">
        <v>34448</v>
      </c>
      <c r="N15105" t="s">
        <v>34853</v>
      </c>
      <c r="P15105" t="s">
        <v>34886</v>
      </c>
      <c r="R15105" s="26" t="str">
        <f>HYPERLINK("https://ictv.global/taxonomy/taxondetails?taxnode_id=202303842","Metavirus duoschizosaccharomycetis")</f>
        <v>Metavirus duoschizosaccharomycetis</v>
      </c>
      <c r="S15105" t="s">
        <v>30</v>
      </c>
      <c r="T15105" t="s">
        <v>34938</v>
      </c>
      <c r="U15105" t="s">
        <v>34939</v>
      </c>
      <c r="W15105" t="s">
        <v>34940</v>
      </c>
      <c r="X15105" t="s">
        <v>42</v>
      </c>
      <c r="Y15105" t="s">
        <v>34454</v>
      </c>
      <c r="Z15105" t="s">
        <v>16721</v>
      </c>
      <c r="AA15105" s="22" t="str">
        <f>HYPERLINK("https://www.ncbi.nlm.nih.gov/nuccore/L10324","NCBI Nucleotide")</f>
        <v>NCBI Nucleotide</v>
      </c>
    </row>
    <row r="15106" spans="1:27" x14ac:dyDescent="0.35">
      <c r="A15106">
        <v>1003655</v>
      </c>
      <c r="B15106">
        <v>13618</v>
      </c>
      <c r="C15106">
        <v>1</v>
      </c>
      <c r="D15106" t="s">
        <v>17166</v>
      </c>
      <c r="F15106" t="s">
        <v>34315</v>
      </c>
      <c r="H15106" t="s">
        <v>34316</v>
      </c>
      <c r="J15106" t="s">
        <v>34317</v>
      </c>
      <c r="L15106" t="s">
        <v>34448</v>
      </c>
      <c r="N15106" t="s">
        <v>34853</v>
      </c>
      <c r="P15106" t="s">
        <v>34886</v>
      </c>
      <c r="R15106" s="26" t="str">
        <f>HYPERLINK("https://ictv.global/taxonomy/taxondetails?taxnode_id=202303838","Metavirus fusarii")</f>
        <v>Metavirus fusarii</v>
      </c>
      <c r="S15106" t="s">
        <v>30</v>
      </c>
      <c r="T15106" t="s">
        <v>34925</v>
      </c>
      <c r="U15106" t="s">
        <v>34926</v>
      </c>
      <c r="W15106" t="s">
        <v>34927</v>
      </c>
      <c r="X15106" t="s">
        <v>42</v>
      </c>
      <c r="Y15106" t="s">
        <v>34454</v>
      </c>
      <c r="Z15106" t="s">
        <v>16721</v>
      </c>
      <c r="AA15106" s="22" t="str">
        <f>HYPERLINK("https://www.ncbi.nlm.nih.gov/nuccore/L34658","NCBI Nucleotide")</f>
        <v>NCBI Nucleotide</v>
      </c>
    </row>
    <row r="15107" spans="1:27" x14ac:dyDescent="0.35">
      <c r="A15107">
        <v>1003656</v>
      </c>
      <c r="B15107">
        <v>13619</v>
      </c>
      <c r="C15107">
        <v>1</v>
      </c>
      <c r="D15107" t="s">
        <v>17166</v>
      </c>
      <c r="F15107" t="s">
        <v>34315</v>
      </c>
      <c r="H15107" t="s">
        <v>34316</v>
      </c>
      <c r="J15107" t="s">
        <v>34317</v>
      </c>
      <c r="L15107" t="s">
        <v>34448</v>
      </c>
      <c r="N15107" t="s">
        <v>34853</v>
      </c>
      <c r="P15107" t="s">
        <v>34886</v>
      </c>
      <c r="R15107" s="26" t="str">
        <f>HYPERLINK("https://ictv.global/taxonomy/taxondetails?taxnode_id=202303839","Metavirus lilii")</f>
        <v>Metavirus lilii</v>
      </c>
      <c r="S15107" t="s">
        <v>30</v>
      </c>
      <c r="T15107" t="s">
        <v>34928</v>
      </c>
      <c r="U15107" t="s">
        <v>34929</v>
      </c>
      <c r="W15107" t="s">
        <v>34930</v>
      </c>
      <c r="X15107" t="s">
        <v>42</v>
      </c>
      <c r="Y15107" t="s">
        <v>34454</v>
      </c>
      <c r="Z15107" t="s">
        <v>13441</v>
      </c>
      <c r="AA15107" s="22" t="str">
        <f>HYPERLINK("https://www.ncbi.nlm.nih.gov/nuccore/X13886","NCBI Nucleotide")</f>
        <v>NCBI Nucleotide</v>
      </c>
    </row>
    <row r="15108" spans="1:27" x14ac:dyDescent="0.35">
      <c r="A15108">
        <v>1003653</v>
      </c>
      <c r="B15108">
        <v>13620</v>
      </c>
      <c r="C15108">
        <v>1</v>
      </c>
      <c r="D15108" t="s">
        <v>17166</v>
      </c>
      <c r="F15108" t="s">
        <v>34315</v>
      </c>
      <c r="H15108" t="s">
        <v>34316</v>
      </c>
      <c r="J15108" t="s">
        <v>34317</v>
      </c>
      <c r="L15108" t="s">
        <v>34448</v>
      </c>
      <c r="N15108" t="s">
        <v>34853</v>
      </c>
      <c r="P15108" t="s">
        <v>34886</v>
      </c>
      <c r="R15108" s="26" t="str">
        <f>HYPERLINK("https://ictv.global/taxonomy/taxondetails?taxnode_id=202303836","Metavirus micropiae")</f>
        <v>Metavirus micropiae</v>
      </c>
      <c r="S15108" t="s">
        <v>30</v>
      </c>
      <c r="T15108" t="s">
        <v>34919</v>
      </c>
      <c r="U15108" t="s">
        <v>34920</v>
      </c>
      <c r="W15108" t="s">
        <v>34921</v>
      </c>
      <c r="X15108" t="s">
        <v>42</v>
      </c>
      <c r="Y15108" t="s">
        <v>34454</v>
      </c>
      <c r="Z15108" t="s">
        <v>10790</v>
      </c>
      <c r="AA15108" s="22" t="str">
        <f>HYPERLINK("https://www.ncbi.nlm.nih.gov/nuccore/X14037","NCBI Nucleotide")</f>
        <v>NCBI Nucleotide</v>
      </c>
    </row>
    <row r="15109" spans="1:27" x14ac:dyDescent="0.35">
      <c r="A15109">
        <v>1003648</v>
      </c>
      <c r="B15109">
        <v>13621</v>
      </c>
      <c r="C15109">
        <v>1</v>
      </c>
      <c r="D15109" t="s">
        <v>17166</v>
      </c>
      <c r="F15109" t="s">
        <v>34315</v>
      </c>
      <c r="H15109" t="s">
        <v>34316</v>
      </c>
      <c r="J15109" t="s">
        <v>34317</v>
      </c>
      <c r="L15109" t="s">
        <v>34448</v>
      </c>
      <c r="N15109" t="s">
        <v>34853</v>
      </c>
      <c r="P15109" t="s">
        <v>34886</v>
      </c>
      <c r="R15109" s="26" t="str">
        <f>HYPERLINK("https://ictv.global/taxonomy/taxondetails?taxnode_id=202303831","Metavirus osvaldi")</f>
        <v>Metavirus osvaldi</v>
      </c>
      <c r="S15109" t="s">
        <v>30</v>
      </c>
      <c r="T15109" t="s">
        <v>34904</v>
      </c>
      <c r="U15109" t="s">
        <v>34905</v>
      </c>
      <c r="W15109" t="s">
        <v>34906</v>
      </c>
      <c r="X15109" t="s">
        <v>42</v>
      </c>
      <c r="Y15109" t="s">
        <v>34454</v>
      </c>
      <c r="Z15109" t="s">
        <v>10790</v>
      </c>
      <c r="AA15109" s="22" t="str">
        <f>HYPERLINK("https://www.ncbi.nlm.nih.gov/nuccore/AJ133521","NCBI Nucleotide")</f>
        <v>NCBI Nucleotide</v>
      </c>
    </row>
    <row r="15110" spans="1:27" x14ac:dyDescent="0.35">
      <c r="A15110">
        <v>1003657</v>
      </c>
      <c r="B15110">
        <v>13622</v>
      </c>
      <c r="C15110">
        <v>1</v>
      </c>
      <c r="D15110" t="s">
        <v>17166</v>
      </c>
      <c r="F15110" t="s">
        <v>34315</v>
      </c>
      <c r="H15110" t="s">
        <v>34316</v>
      </c>
      <c r="J15110" t="s">
        <v>34317</v>
      </c>
      <c r="L15110" t="s">
        <v>34448</v>
      </c>
      <c r="N15110" t="s">
        <v>34853</v>
      </c>
      <c r="P15110" t="s">
        <v>34886</v>
      </c>
      <c r="R15110" s="26" t="str">
        <f>HYPERLINK("https://ictv.global/taxonomy/taxondetails?taxnode_id=202303840","Metavirus saccharomycetis")</f>
        <v>Metavirus saccharomycetis</v>
      </c>
      <c r="S15110" t="s">
        <v>30</v>
      </c>
      <c r="T15110" t="s">
        <v>34931</v>
      </c>
      <c r="U15110" t="s">
        <v>34932</v>
      </c>
      <c r="V15110" t="s">
        <v>34933</v>
      </c>
      <c r="W15110" t="s">
        <v>34934</v>
      </c>
      <c r="X15110" t="s">
        <v>42</v>
      </c>
      <c r="Y15110" t="s">
        <v>34454</v>
      </c>
      <c r="Z15110" t="s">
        <v>16721</v>
      </c>
      <c r="AA15110" s="22" t="str">
        <f>HYPERLINK("https://www.ncbi.nlm.nih.gov/nuccore/M34549","NCBI Nucleotide")</f>
        <v>NCBI Nucleotide</v>
      </c>
    </row>
    <row r="15111" spans="1:27" x14ac:dyDescent="0.35">
      <c r="A15111">
        <v>1003660</v>
      </c>
      <c r="B15111">
        <v>13623</v>
      </c>
      <c r="C15111">
        <v>1</v>
      </c>
      <c r="D15111" t="s">
        <v>17166</v>
      </c>
      <c r="F15111" t="s">
        <v>34315</v>
      </c>
      <c r="H15111" t="s">
        <v>34316</v>
      </c>
      <c r="J15111" t="s">
        <v>34317</v>
      </c>
      <c r="L15111" t="s">
        <v>34448</v>
      </c>
      <c r="N15111" t="s">
        <v>34853</v>
      </c>
      <c r="P15111" t="s">
        <v>34886</v>
      </c>
      <c r="R15111" s="26" t="str">
        <f>HYPERLINK("https://ictv.global/taxonomy/taxondetails?taxnode_id=202303843","Metavirus sushii")</f>
        <v>Metavirus sushii</v>
      </c>
      <c r="S15111" t="s">
        <v>30</v>
      </c>
      <c r="T15111" t="s">
        <v>34941</v>
      </c>
      <c r="U15111" t="s">
        <v>34942</v>
      </c>
      <c r="W15111" t="s">
        <v>34943</v>
      </c>
      <c r="X15111" t="s">
        <v>42</v>
      </c>
      <c r="Y15111" t="s">
        <v>34454</v>
      </c>
      <c r="Z15111" t="s">
        <v>166</v>
      </c>
      <c r="AA15111" s="22" t="str">
        <f>HYPERLINK("https://www.ncbi.nlm.nih.gov/nuccore/AF030881","NCBI Nucleotide")</f>
        <v>NCBI Nucleotide</v>
      </c>
    </row>
    <row r="15112" spans="1:27" x14ac:dyDescent="0.35">
      <c r="A15112">
        <v>1003643</v>
      </c>
      <c r="B15112">
        <v>13624</v>
      </c>
      <c r="C15112">
        <v>1</v>
      </c>
      <c r="D15112" t="s">
        <v>17166</v>
      </c>
      <c r="F15112" t="s">
        <v>34315</v>
      </c>
      <c r="H15112" t="s">
        <v>34316</v>
      </c>
      <c r="J15112" t="s">
        <v>34317</v>
      </c>
      <c r="L15112" t="s">
        <v>34448</v>
      </c>
      <c r="N15112" t="s">
        <v>34853</v>
      </c>
      <c r="P15112" t="s">
        <v>34886</v>
      </c>
      <c r="R15112" s="26" t="str">
        <f>HYPERLINK("https://ictv.global/taxonomy/taxondetails?taxnode_id=202303826","Metavirus tatarabidopsis")</f>
        <v>Metavirus tatarabidopsis</v>
      </c>
      <c r="S15112" t="s">
        <v>30</v>
      </c>
      <c r="T15112" t="s">
        <v>34889</v>
      </c>
      <c r="U15112" t="s">
        <v>34890</v>
      </c>
      <c r="W15112" t="s">
        <v>34891</v>
      </c>
      <c r="X15112" t="s">
        <v>42</v>
      </c>
      <c r="Y15112" t="s">
        <v>34454</v>
      </c>
      <c r="Z15112" t="s">
        <v>13441</v>
      </c>
      <c r="AA15112" s="22" t="str">
        <f>HYPERLINK("https://www.ncbi.nlm.nih.gov/nuccore/AB005247","NCBI Nucleotide")</f>
        <v>NCBI Nucleotide</v>
      </c>
    </row>
    <row r="15113" spans="1:27" x14ac:dyDescent="0.35">
      <c r="A15113">
        <v>1003661</v>
      </c>
      <c r="B15113">
        <v>13625</v>
      </c>
      <c r="C15113">
        <v>1</v>
      </c>
      <c r="D15113" t="s">
        <v>17166</v>
      </c>
      <c r="F15113" t="s">
        <v>34315</v>
      </c>
      <c r="H15113" t="s">
        <v>34316</v>
      </c>
      <c r="J15113" t="s">
        <v>34317</v>
      </c>
      <c r="L15113" t="s">
        <v>34448</v>
      </c>
      <c r="N15113" t="s">
        <v>34853</v>
      </c>
      <c r="P15113" t="s">
        <v>34886</v>
      </c>
      <c r="R15113" s="26" t="str">
        <f>HYPERLINK("https://ictv.global/taxonomy/taxondetails?taxnode_id=202303844","Metavirus tribolii")</f>
        <v>Metavirus tribolii</v>
      </c>
      <c r="S15113" t="s">
        <v>30</v>
      </c>
      <c r="T15113" t="s">
        <v>34944</v>
      </c>
      <c r="U15113" t="s">
        <v>34945</v>
      </c>
      <c r="W15113" t="s">
        <v>34946</v>
      </c>
      <c r="X15113" t="s">
        <v>42</v>
      </c>
      <c r="Y15113" t="s">
        <v>34454</v>
      </c>
      <c r="Z15113" t="s">
        <v>10790</v>
      </c>
      <c r="AA15113" s="22" t="str">
        <f>HYPERLINK("https://www.ncbi.nlm.nih.gov/nuccore/U09586","NCBI Nucleotide")</f>
        <v>NCBI Nucleotide</v>
      </c>
    </row>
    <row r="15114" spans="1:27" x14ac:dyDescent="0.35">
      <c r="A15114">
        <v>1003652</v>
      </c>
      <c r="B15114">
        <v>13626</v>
      </c>
      <c r="C15114">
        <v>1</v>
      </c>
      <c r="D15114" t="s">
        <v>17166</v>
      </c>
      <c r="F15114" t="s">
        <v>34315</v>
      </c>
      <c r="H15114" t="s">
        <v>34316</v>
      </c>
      <c r="J15114" t="s">
        <v>34317</v>
      </c>
      <c r="L15114" t="s">
        <v>34448</v>
      </c>
      <c r="N15114" t="s">
        <v>34853</v>
      </c>
      <c r="P15114" t="s">
        <v>34886</v>
      </c>
      <c r="R15114" s="26" t="str">
        <f>HYPERLINK("https://ictv.global/taxonomy/taxondetails?taxnode_id=202303835","Metavirus tridrosophilae")</f>
        <v>Metavirus tridrosophilae</v>
      </c>
      <c r="S15114" t="s">
        <v>30</v>
      </c>
      <c r="T15114" t="s">
        <v>34916</v>
      </c>
      <c r="U15114" t="s">
        <v>34917</v>
      </c>
      <c r="W15114" t="s">
        <v>34918</v>
      </c>
      <c r="X15114" t="s">
        <v>42</v>
      </c>
      <c r="Y15114" t="s">
        <v>34454</v>
      </c>
      <c r="Z15114" t="s">
        <v>10790</v>
      </c>
      <c r="AA15114" s="22" t="str">
        <f>HYPERLINK("https://www.ncbi.nlm.nih.gov/nuccore/X95908","NCBI Nucleotide")</f>
        <v>NCBI Nucleotide</v>
      </c>
    </row>
    <row r="15115" spans="1:27" x14ac:dyDescent="0.35">
      <c r="A15115">
        <v>1003662</v>
      </c>
      <c r="B15115">
        <v>13627</v>
      </c>
      <c r="C15115">
        <v>1</v>
      </c>
      <c r="D15115" t="s">
        <v>17166</v>
      </c>
      <c r="F15115" t="s">
        <v>34315</v>
      </c>
      <c r="H15115" t="s">
        <v>34316</v>
      </c>
      <c r="J15115" t="s">
        <v>34317</v>
      </c>
      <c r="L15115" t="s">
        <v>34448</v>
      </c>
      <c r="N15115" t="s">
        <v>34853</v>
      </c>
      <c r="P15115" t="s">
        <v>34886</v>
      </c>
      <c r="R15115" s="26" t="str">
        <f>HYPERLINK("https://ictv.global/taxonomy/taxondetails?taxnode_id=202303845","Metavirus tripneustis")</f>
        <v>Metavirus tripneustis</v>
      </c>
      <c r="S15115" t="s">
        <v>30</v>
      </c>
      <c r="T15115" t="s">
        <v>34947</v>
      </c>
      <c r="U15115" t="s">
        <v>34948</v>
      </c>
      <c r="W15115" t="s">
        <v>34949</v>
      </c>
      <c r="X15115" t="s">
        <v>42</v>
      </c>
      <c r="Y15115" t="s">
        <v>34454</v>
      </c>
      <c r="Z15115" t="s">
        <v>10790</v>
      </c>
      <c r="AA15115" s="22" t="str">
        <f>HYPERLINK("https://www.ncbi.nlm.nih.gov/nuccore/M75723","NCBI Nucleotide")</f>
        <v>NCBI Nucleotide</v>
      </c>
    </row>
    <row r="15116" spans="1:27" x14ac:dyDescent="0.35">
      <c r="A15116">
        <v>1003654</v>
      </c>
      <c r="B15116">
        <v>13628</v>
      </c>
      <c r="C15116">
        <v>1</v>
      </c>
      <c r="D15116" t="s">
        <v>17166</v>
      </c>
      <c r="F15116" t="s">
        <v>34315</v>
      </c>
      <c r="H15116" t="s">
        <v>34316</v>
      </c>
      <c r="J15116" t="s">
        <v>34317</v>
      </c>
      <c r="L15116" t="s">
        <v>34448</v>
      </c>
      <c r="N15116" t="s">
        <v>34853</v>
      </c>
      <c r="P15116" t="s">
        <v>34886</v>
      </c>
      <c r="R15116" s="26" t="str">
        <f>HYPERLINK("https://ictv.global/taxonomy/taxondetails?taxnode_id=202303837","Metavirus ulyssis")</f>
        <v>Metavirus ulyssis</v>
      </c>
      <c r="S15116" t="s">
        <v>30</v>
      </c>
      <c r="T15116" t="s">
        <v>34922</v>
      </c>
      <c r="U15116" t="s">
        <v>34923</v>
      </c>
      <c r="W15116" t="s">
        <v>34924</v>
      </c>
      <c r="X15116" t="s">
        <v>42</v>
      </c>
      <c r="Y15116" t="s">
        <v>34454</v>
      </c>
      <c r="Z15116" t="s">
        <v>10790</v>
      </c>
      <c r="AA15116" s="22" t="str">
        <f>HYPERLINK("https://www.ncbi.nlm.nih.gov/nuccore/X56645","NCBI Nucleotide")</f>
        <v>NCBI Nucleotide</v>
      </c>
    </row>
    <row r="15117" spans="1:27" x14ac:dyDescent="0.35">
      <c r="A15117">
        <v>1003651</v>
      </c>
      <c r="B15117">
        <v>13629</v>
      </c>
      <c r="C15117">
        <v>1</v>
      </c>
      <c r="D15117" t="s">
        <v>17166</v>
      </c>
      <c r="F15117" t="s">
        <v>34315</v>
      </c>
      <c r="H15117" t="s">
        <v>34316</v>
      </c>
      <c r="J15117" t="s">
        <v>34317</v>
      </c>
      <c r="L15117" t="s">
        <v>34448</v>
      </c>
      <c r="N15117" t="s">
        <v>34853</v>
      </c>
      <c r="P15117" t="s">
        <v>34886</v>
      </c>
      <c r="R15117" s="26" t="str">
        <f>HYPERLINK("https://ictv.global/taxonomy/taxondetails?taxnode_id=202303834","Metavirus unidrosophilae")</f>
        <v>Metavirus unidrosophilae</v>
      </c>
      <c r="S15117" t="s">
        <v>30</v>
      </c>
      <c r="T15117" t="s">
        <v>34913</v>
      </c>
      <c r="U15117" t="s">
        <v>34914</v>
      </c>
      <c r="W15117" t="s">
        <v>34915</v>
      </c>
      <c r="X15117" t="s">
        <v>42</v>
      </c>
      <c r="Y15117" t="s">
        <v>34454</v>
      </c>
      <c r="Z15117" t="s">
        <v>10790</v>
      </c>
      <c r="AA15117" s="22" t="str">
        <f>HYPERLINK("https://www.ncbi.nlm.nih.gov/nuccore/X59545","NCBI Nucleotide")</f>
        <v>NCBI Nucleotide</v>
      </c>
    </row>
    <row r="15118" spans="1:27" x14ac:dyDescent="0.35">
      <c r="A15118">
        <v>1003658</v>
      </c>
      <c r="B15118">
        <v>13630</v>
      </c>
      <c r="C15118">
        <v>1</v>
      </c>
      <c r="D15118" t="s">
        <v>17166</v>
      </c>
      <c r="F15118" t="s">
        <v>34315</v>
      </c>
      <c r="H15118" t="s">
        <v>34316</v>
      </c>
      <c r="J15118" t="s">
        <v>34317</v>
      </c>
      <c r="L15118" t="s">
        <v>34448</v>
      </c>
      <c r="N15118" t="s">
        <v>34853</v>
      </c>
      <c r="P15118" t="s">
        <v>34886</v>
      </c>
      <c r="R15118" s="26" t="str">
        <f>HYPERLINK("https://ictv.global/taxonomy/taxondetails?taxnode_id=202303841","Metavirus unischizosaccharomycetis")</f>
        <v>Metavirus unischizosaccharomycetis</v>
      </c>
      <c r="S15118" t="s">
        <v>30</v>
      </c>
      <c r="T15118" t="s">
        <v>34935</v>
      </c>
      <c r="U15118" t="s">
        <v>34936</v>
      </c>
      <c r="W15118" t="s">
        <v>34937</v>
      </c>
      <c r="X15118" t="s">
        <v>42</v>
      </c>
      <c r="Y15118" t="s">
        <v>34454</v>
      </c>
      <c r="Z15118" t="s">
        <v>16721</v>
      </c>
      <c r="AA15118" s="22" t="str">
        <f>HYPERLINK("https://www.ncbi.nlm.nih.gov/nuccore/M38526","NCBI Nucleotide")</f>
        <v>NCBI Nucleotide</v>
      </c>
    </row>
    <row r="15119" spans="1:27" x14ac:dyDescent="0.35">
      <c r="A15119">
        <v>1003663</v>
      </c>
      <c r="B15119">
        <v>13631</v>
      </c>
      <c r="C15119">
        <v>1</v>
      </c>
      <c r="D15119" t="s">
        <v>17166</v>
      </c>
      <c r="F15119" t="s">
        <v>34315</v>
      </c>
      <c r="H15119" t="s">
        <v>34316</v>
      </c>
      <c r="J15119" t="s">
        <v>34317</v>
      </c>
      <c r="L15119" t="s">
        <v>34448</v>
      </c>
      <c r="N15119" t="s">
        <v>34950</v>
      </c>
      <c r="P15119" t="s">
        <v>34951</v>
      </c>
      <c r="R15119" s="26" t="str">
        <f>HYPERLINK("https://ictv.global/taxonomy/taxondetails?taxnode_id=202304830","Hemivirus aedis")</f>
        <v>Hemivirus aedis</v>
      </c>
      <c r="S15119" t="s">
        <v>30</v>
      </c>
      <c r="T15119" t="s">
        <v>34952</v>
      </c>
      <c r="U15119" t="s">
        <v>34953</v>
      </c>
      <c r="W15119" t="s">
        <v>34954</v>
      </c>
      <c r="X15119" t="s">
        <v>154</v>
      </c>
      <c r="Y15119" t="s">
        <v>34454</v>
      </c>
      <c r="Z15119" t="s">
        <v>10790</v>
      </c>
      <c r="AA15119" s="22" t="str">
        <f>HYPERLINK("https://www.ncbi.nlm.nih.gov/nuccore/AF134899","NCBI Nucleotide")</f>
        <v>NCBI Nucleotide</v>
      </c>
    </row>
    <row r="15120" spans="1:27" x14ac:dyDescent="0.35">
      <c r="A15120">
        <v>1003667</v>
      </c>
      <c r="B15120">
        <v>13632</v>
      </c>
      <c r="C15120">
        <v>1</v>
      </c>
      <c r="D15120" t="s">
        <v>17166</v>
      </c>
      <c r="F15120" t="s">
        <v>34315</v>
      </c>
      <c r="H15120" t="s">
        <v>34316</v>
      </c>
      <c r="J15120" t="s">
        <v>34317</v>
      </c>
      <c r="L15120" t="s">
        <v>34448</v>
      </c>
      <c r="N15120" t="s">
        <v>34950</v>
      </c>
      <c r="P15120" t="s">
        <v>34951</v>
      </c>
      <c r="R15120" s="26" t="str">
        <f>HYPERLINK("https://ictv.global/taxonomy/taxondetails?taxnode_id=202304834","Hemivirus copiae")</f>
        <v>Hemivirus copiae</v>
      </c>
      <c r="S15120" t="s">
        <v>30</v>
      </c>
      <c r="T15120" t="s">
        <v>34964</v>
      </c>
      <c r="U15120" t="s">
        <v>34965</v>
      </c>
      <c r="W15120" t="s">
        <v>34966</v>
      </c>
      <c r="X15120" t="s">
        <v>42</v>
      </c>
      <c r="Y15120" t="s">
        <v>34454</v>
      </c>
      <c r="Z15120" t="s">
        <v>10790</v>
      </c>
      <c r="AA15120" s="22" t="str">
        <f>HYPERLINK("https://www.ncbi.nlm.nih.gov/nuccore/X04456","NCBI Nucleotide")</f>
        <v>NCBI Nucleotide</v>
      </c>
    </row>
    <row r="15121" spans="1:27" x14ac:dyDescent="0.35">
      <c r="A15121">
        <v>1003666</v>
      </c>
      <c r="B15121">
        <v>13633</v>
      </c>
      <c r="C15121">
        <v>1</v>
      </c>
      <c r="D15121" t="s">
        <v>17166</v>
      </c>
      <c r="F15121" t="s">
        <v>34315</v>
      </c>
      <c r="H15121" t="s">
        <v>34316</v>
      </c>
      <c r="J15121" t="s">
        <v>34317</v>
      </c>
      <c r="L15121" t="s">
        <v>34448</v>
      </c>
      <c r="N15121" t="s">
        <v>34950</v>
      </c>
      <c r="P15121" t="s">
        <v>34951</v>
      </c>
      <c r="R15121" s="26" t="str">
        <f>HYPERLINK("https://ictv.global/taxonomy/taxondetails?taxnode_id=202304833","Hemivirus drosophilae")</f>
        <v>Hemivirus drosophilae</v>
      </c>
      <c r="S15121" t="s">
        <v>30</v>
      </c>
      <c r="T15121" t="s">
        <v>34961</v>
      </c>
      <c r="U15121" t="s">
        <v>34962</v>
      </c>
      <c r="W15121" t="s">
        <v>34963</v>
      </c>
      <c r="X15121" t="s">
        <v>42</v>
      </c>
      <c r="Y15121" t="s">
        <v>34454</v>
      </c>
      <c r="Z15121" t="s">
        <v>10790</v>
      </c>
      <c r="AA15121" s="22" t="str">
        <f>HYPERLINK("https://www.ncbi.nlm.nih.gov/nuccore/X07656","NCBI Nucleotide")</f>
        <v>NCBI Nucleotide</v>
      </c>
    </row>
    <row r="15122" spans="1:27" x14ac:dyDescent="0.35">
      <c r="A15122">
        <v>1003664</v>
      </c>
      <c r="B15122">
        <v>13634</v>
      </c>
      <c r="C15122">
        <v>1</v>
      </c>
      <c r="D15122" t="s">
        <v>17166</v>
      </c>
      <c r="F15122" t="s">
        <v>34315</v>
      </c>
      <c r="H15122" t="s">
        <v>34316</v>
      </c>
      <c r="J15122" t="s">
        <v>34317</v>
      </c>
      <c r="L15122" t="s">
        <v>34448</v>
      </c>
      <c r="N15122" t="s">
        <v>34950</v>
      </c>
      <c r="P15122" t="s">
        <v>34951</v>
      </c>
      <c r="R15122" s="26" t="str">
        <f>HYPERLINK("https://ictv.global/taxonomy/taxondetails?taxnode_id=202304831","Hemivirus duocandidae")</f>
        <v>Hemivirus duocandidae</v>
      </c>
      <c r="S15122" t="s">
        <v>30</v>
      </c>
      <c r="T15122" t="s">
        <v>34955</v>
      </c>
      <c r="U15122" t="s">
        <v>34956</v>
      </c>
      <c r="W15122" t="s">
        <v>34957</v>
      </c>
      <c r="X15122" t="s">
        <v>154</v>
      </c>
      <c r="Y15122" t="s">
        <v>34454</v>
      </c>
      <c r="Z15122" t="s">
        <v>16721</v>
      </c>
      <c r="AA15122" s="22" t="str">
        <f>HYPERLINK("https://www.ncbi.nlm.nih.gov/nuccore/AF050215","NCBI Nucleotide")</f>
        <v>NCBI Nucleotide</v>
      </c>
    </row>
    <row r="15123" spans="1:27" x14ac:dyDescent="0.35">
      <c r="A15123">
        <v>1003670</v>
      </c>
      <c r="B15123">
        <v>13635</v>
      </c>
      <c r="C15123">
        <v>1</v>
      </c>
      <c r="D15123" t="s">
        <v>17166</v>
      </c>
      <c r="F15123" t="s">
        <v>34315</v>
      </c>
      <c r="H15123" t="s">
        <v>34316</v>
      </c>
      <c r="J15123" t="s">
        <v>34317</v>
      </c>
      <c r="L15123" t="s">
        <v>34448</v>
      </c>
      <c r="N15123" t="s">
        <v>34950</v>
      </c>
      <c r="P15123" t="s">
        <v>34951</v>
      </c>
      <c r="R15123" s="26" t="str">
        <f>HYPERLINK("https://ictv.global/taxonomy/taxondetails?taxnode_id=202304837","Hemivirus osseri")</f>
        <v>Hemivirus osseri</v>
      </c>
      <c r="S15123" t="s">
        <v>30</v>
      </c>
      <c r="T15123" t="s">
        <v>34973</v>
      </c>
      <c r="U15123" t="s">
        <v>34974</v>
      </c>
      <c r="W15123" t="s">
        <v>34975</v>
      </c>
      <c r="X15123" t="s">
        <v>42</v>
      </c>
      <c r="Y15123" t="s">
        <v>34454</v>
      </c>
      <c r="Z15123" t="s">
        <v>17496</v>
      </c>
      <c r="AA15123" s="22" t="str">
        <f>HYPERLINK("https://www.ncbi.nlm.nih.gov/nuccore/X69552","NCBI Nucleotide")</f>
        <v>NCBI Nucleotide</v>
      </c>
    </row>
    <row r="15124" spans="1:27" x14ac:dyDescent="0.35">
      <c r="A15124">
        <v>1003665</v>
      </c>
      <c r="B15124">
        <v>13636</v>
      </c>
      <c r="C15124">
        <v>1</v>
      </c>
      <c r="D15124" t="s">
        <v>17166</v>
      </c>
      <c r="F15124" t="s">
        <v>34315</v>
      </c>
      <c r="H15124" t="s">
        <v>34316</v>
      </c>
      <c r="J15124" t="s">
        <v>34317</v>
      </c>
      <c r="L15124" t="s">
        <v>34448</v>
      </c>
      <c r="N15124" t="s">
        <v>34950</v>
      </c>
      <c r="P15124" t="s">
        <v>34951</v>
      </c>
      <c r="R15124" s="26" t="str">
        <f>HYPERLINK("https://ictv.global/taxonomy/taxondetails?taxnode_id=202304832","Hemivirus pentacandidae")</f>
        <v>Hemivirus pentacandidae</v>
      </c>
      <c r="S15124" t="s">
        <v>30</v>
      </c>
      <c r="T15124" t="s">
        <v>34958</v>
      </c>
      <c r="U15124" t="s">
        <v>34959</v>
      </c>
      <c r="W15124" t="s">
        <v>34960</v>
      </c>
      <c r="X15124" t="s">
        <v>42</v>
      </c>
      <c r="Y15124" t="s">
        <v>34454</v>
      </c>
      <c r="Z15124" t="s">
        <v>16721</v>
      </c>
      <c r="AA15124" s="22" t="str">
        <f>HYPERLINK("https://www.ncbi.nlm.nih.gov/nuccore/AF065434","NCBI Nucleotide")</f>
        <v>NCBI Nucleotide</v>
      </c>
    </row>
    <row r="15125" spans="1:27" x14ac:dyDescent="0.35">
      <c r="A15125">
        <v>1003668</v>
      </c>
      <c r="B15125">
        <v>13637</v>
      </c>
      <c r="C15125">
        <v>1</v>
      </c>
      <c r="D15125" t="s">
        <v>17166</v>
      </c>
      <c r="F15125" t="s">
        <v>34315</v>
      </c>
      <c r="H15125" t="s">
        <v>34316</v>
      </c>
      <c r="J15125" t="s">
        <v>34317</v>
      </c>
      <c r="L15125" t="s">
        <v>34448</v>
      </c>
      <c r="N15125" t="s">
        <v>34950</v>
      </c>
      <c r="P15125" t="s">
        <v>34951</v>
      </c>
      <c r="R15125" s="26" t="str">
        <f>HYPERLINK("https://ictv.global/taxonomy/taxondetails?taxnode_id=202304835","Hemivirus saccharomycetis")</f>
        <v>Hemivirus saccharomycetis</v>
      </c>
      <c r="S15125" t="s">
        <v>30</v>
      </c>
      <c r="T15125" t="s">
        <v>34967</v>
      </c>
      <c r="U15125" t="s">
        <v>34968</v>
      </c>
      <c r="W15125" t="s">
        <v>34969</v>
      </c>
      <c r="X15125" t="s">
        <v>42</v>
      </c>
      <c r="Y15125" t="s">
        <v>34454</v>
      </c>
      <c r="Z15125" t="s">
        <v>16721</v>
      </c>
      <c r="AA15125" s="22" t="str">
        <f>HYPERLINK("https://www.ncbi.nlm.nih.gov/nuccore/U19263","NCBI Nucleotide")</f>
        <v>NCBI Nucleotide</v>
      </c>
    </row>
    <row r="15126" spans="1:27" x14ac:dyDescent="0.35">
      <c r="A15126">
        <v>1003669</v>
      </c>
      <c r="B15126">
        <v>13638</v>
      </c>
      <c r="C15126">
        <v>1</v>
      </c>
      <c r="D15126" t="s">
        <v>17166</v>
      </c>
      <c r="F15126" t="s">
        <v>34315</v>
      </c>
      <c r="H15126" t="s">
        <v>34316</v>
      </c>
      <c r="J15126" t="s">
        <v>34317</v>
      </c>
      <c r="L15126" t="s">
        <v>34448</v>
      </c>
      <c r="N15126" t="s">
        <v>34950</v>
      </c>
      <c r="P15126" t="s">
        <v>34951</v>
      </c>
      <c r="R15126" s="26" t="str">
        <f>HYPERLINK("https://ictv.global/taxonomy/taxondetails?taxnode_id=202304836","Hemivirus volvocis")</f>
        <v>Hemivirus volvocis</v>
      </c>
      <c r="S15126" t="s">
        <v>30</v>
      </c>
      <c r="T15126" t="s">
        <v>34970</v>
      </c>
      <c r="U15126" t="s">
        <v>34971</v>
      </c>
      <c r="W15126" t="s">
        <v>34972</v>
      </c>
      <c r="X15126" t="s">
        <v>42</v>
      </c>
      <c r="Y15126" t="s">
        <v>34454</v>
      </c>
      <c r="Z15126" t="s">
        <v>17496</v>
      </c>
      <c r="AA15126" s="22" t="str">
        <f>HYPERLINK("https://www.ncbi.nlm.nih.gov/nuccore/U90320","NCBI Nucleotide")</f>
        <v>NCBI Nucleotide</v>
      </c>
    </row>
    <row r="15127" spans="1:27" x14ac:dyDescent="0.35">
      <c r="A15127">
        <v>1003674</v>
      </c>
      <c r="B15127">
        <v>13639</v>
      </c>
      <c r="C15127">
        <v>1</v>
      </c>
      <c r="D15127" t="s">
        <v>17166</v>
      </c>
      <c r="F15127" t="s">
        <v>34315</v>
      </c>
      <c r="H15127" t="s">
        <v>34316</v>
      </c>
      <c r="J15127" t="s">
        <v>34317</v>
      </c>
      <c r="L15127" t="s">
        <v>34448</v>
      </c>
      <c r="N15127" t="s">
        <v>34950</v>
      </c>
      <c r="P15127" t="s">
        <v>34976</v>
      </c>
      <c r="R15127" s="26" t="str">
        <f>HYPERLINK("https://ictv.global/taxonomy/taxondetails?taxnode_id=202304842","Pseudovirus arabidopsis")</f>
        <v>Pseudovirus arabidopsis</v>
      </c>
      <c r="S15127" t="s">
        <v>30</v>
      </c>
      <c r="T15127" t="s">
        <v>34986</v>
      </c>
      <c r="U15127" t="s">
        <v>34987</v>
      </c>
      <c r="W15127" t="s">
        <v>34988</v>
      </c>
      <c r="X15127" t="s">
        <v>42</v>
      </c>
      <c r="Y15127" t="s">
        <v>34454</v>
      </c>
      <c r="Z15127" t="s">
        <v>13441</v>
      </c>
      <c r="AA15127" s="22" t="str">
        <f>HYPERLINK("https://www.ncbi.nlm.nih.gov/nuccore/X13291","NCBI Nucleotide")</f>
        <v>NCBI Nucleotide</v>
      </c>
    </row>
    <row r="15128" spans="1:27" x14ac:dyDescent="0.35">
      <c r="A15128">
        <v>1003671</v>
      </c>
      <c r="B15128">
        <v>13640</v>
      </c>
      <c r="C15128">
        <v>1</v>
      </c>
      <c r="D15128" t="s">
        <v>17166</v>
      </c>
      <c r="F15128" t="s">
        <v>34315</v>
      </c>
      <c r="H15128" t="s">
        <v>34316</v>
      </c>
      <c r="J15128" t="s">
        <v>34317</v>
      </c>
      <c r="L15128" t="s">
        <v>34448</v>
      </c>
      <c r="N15128" t="s">
        <v>34950</v>
      </c>
      <c r="P15128" t="s">
        <v>34976</v>
      </c>
      <c r="R15128" s="26" t="str">
        <f>HYPERLINK("https://ictv.global/taxonomy/taxondetails?taxnode_id=202304839","Pseudovirus artarabidopsis")</f>
        <v>Pseudovirus artarabidopsis</v>
      </c>
      <c r="S15128" t="s">
        <v>30</v>
      </c>
      <c r="T15128" t="s">
        <v>34977</v>
      </c>
      <c r="U15128" t="s">
        <v>34978</v>
      </c>
      <c r="W15128" t="s">
        <v>34979</v>
      </c>
      <c r="X15128" t="s">
        <v>42</v>
      </c>
      <c r="Y15128" t="s">
        <v>34454</v>
      </c>
      <c r="Z15128" t="s">
        <v>13441</v>
      </c>
      <c r="AA15128" s="22" t="str">
        <f>HYPERLINK("https://www.ncbi.nlm.nih.gov/nuccore/Y08010","NCBI Nucleotide")</f>
        <v>NCBI Nucleotide</v>
      </c>
    </row>
    <row r="15129" spans="1:27" x14ac:dyDescent="0.35">
      <c r="A15129">
        <v>1003672</v>
      </c>
      <c r="B15129">
        <v>13641</v>
      </c>
      <c r="C15129">
        <v>1</v>
      </c>
      <c r="D15129" t="s">
        <v>17166</v>
      </c>
      <c r="F15129" t="s">
        <v>34315</v>
      </c>
      <c r="H15129" t="s">
        <v>34316</v>
      </c>
      <c r="J15129" t="s">
        <v>34317</v>
      </c>
      <c r="L15129" t="s">
        <v>34448</v>
      </c>
      <c r="N15129" t="s">
        <v>34950</v>
      </c>
      <c r="P15129" t="s">
        <v>34976</v>
      </c>
      <c r="R15129" s="26" t="str">
        <f>HYPERLINK("https://ictv.global/taxonomy/taxondetails?taxnode_id=202304840","Pseudovirus atrearabidopsis")</f>
        <v>Pseudovirus atrearabidopsis</v>
      </c>
      <c r="S15129" t="s">
        <v>30</v>
      </c>
      <c r="T15129" t="s">
        <v>34980</v>
      </c>
      <c r="U15129" t="s">
        <v>34981</v>
      </c>
      <c r="W15129" t="s">
        <v>34982</v>
      </c>
      <c r="X15129" t="s">
        <v>42</v>
      </c>
      <c r="Y15129" t="s">
        <v>34454</v>
      </c>
      <c r="Z15129" t="s">
        <v>13441</v>
      </c>
      <c r="AA15129" s="22" t="str">
        <f>HYPERLINK("https://www.ncbi.nlm.nih.gov/nuccore/AB021265","NCBI Nucleotide")</f>
        <v>NCBI Nucleotide</v>
      </c>
    </row>
    <row r="15130" spans="1:27" x14ac:dyDescent="0.35">
      <c r="A15130">
        <v>1003681</v>
      </c>
      <c r="B15130">
        <v>13642</v>
      </c>
      <c r="C15130">
        <v>1</v>
      </c>
      <c r="D15130" t="s">
        <v>17166</v>
      </c>
      <c r="F15130" t="s">
        <v>34315</v>
      </c>
      <c r="H15130" t="s">
        <v>34316</v>
      </c>
      <c r="J15130" t="s">
        <v>34317</v>
      </c>
      <c r="L15130" t="s">
        <v>34448</v>
      </c>
      <c r="N15130" t="s">
        <v>34950</v>
      </c>
      <c r="P15130" t="s">
        <v>34976</v>
      </c>
      <c r="R15130" s="26" t="str">
        <f>HYPERLINK("https://ictv.global/taxonomy/taxondetails?taxnode_id=202304849","Pseudovirus australiense")</f>
        <v>Pseudovirus australiense</v>
      </c>
      <c r="S15130" t="s">
        <v>30</v>
      </c>
      <c r="T15130" t="s">
        <v>35007</v>
      </c>
      <c r="U15130" t="s">
        <v>35008</v>
      </c>
      <c r="W15130" t="s">
        <v>35009</v>
      </c>
      <c r="X15130" t="s">
        <v>42</v>
      </c>
      <c r="Y15130" t="s">
        <v>34454</v>
      </c>
      <c r="Z15130" t="s">
        <v>13441</v>
      </c>
      <c r="AA15130" s="22" t="str">
        <f>HYPERLINK("https://www.ncbi.nlm.nih.gov/nuccore/D85597","NCBI Nucleotide")</f>
        <v>NCBI Nucleotide</v>
      </c>
    </row>
    <row r="15131" spans="1:27" x14ac:dyDescent="0.35">
      <c r="A15131">
        <v>1003675</v>
      </c>
      <c r="B15131">
        <v>13643</v>
      </c>
      <c r="C15131">
        <v>1</v>
      </c>
      <c r="D15131" t="s">
        <v>17166</v>
      </c>
      <c r="F15131" t="s">
        <v>34315</v>
      </c>
      <c r="H15131" t="s">
        <v>34316</v>
      </c>
      <c r="J15131" t="s">
        <v>34317</v>
      </c>
      <c r="L15131" t="s">
        <v>34448</v>
      </c>
      <c r="N15131" t="s">
        <v>34950</v>
      </c>
      <c r="P15131" t="s">
        <v>34976</v>
      </c>
      <c r="R15131" s="26" t="str">
        <f>HYPERLINK("https://ictv.global/taxonomy/taxondetails?taxnode_id=202304843","Pseudovirus brassicae")</f>
        <v>Pseudovirus brassicae</v>
      </c>
      <c r="S15131" t="s">
        <v>30</v>
      </c>
      <c r="T15131" t="s">
        <v>34989</v>
      </c>
      <c r="U15131" t="s">
        <v>34990</v>
      </c>
      <c r="W15131" t="s">
        <v>34991</v>
      </c>
      <c r="X15131" t="s">
        <v>42</v>
      </c>
      <c r="Y15131" t="s">
        <v>34454</v>
      </c>
      <c r="Z15131" t="s">
        <v>13441</v>
      </c>
      <c r="AA15131" s="22" t="str">
        <f>HYPERLINK("https://www.ncbi.nlm.nih.gov/nuccore/Y12321","NCBI Nucleotide")</f>
        <v>NCBI Nucleotide</v>
      </c>
    </row>
    <row r="15132" spans="1:27" x14ac:dyDescent="0.35">
      <c r="A15132">
        <v>1003676</v>
      </c>
      <c r="B15132">
        <v>13644</v>
      </c>
      <c r="C15132">
        <v>1</v>
      </c>
      <c r="D15132" t="s">
        <v>17166</v>
      </c>
      <c r="F15132" t="s">
        <v>34315</v>
      </c>
      <c r="H15132" t="s">
        <v>34316</v>
      </c>
      <c r="J15132" t="s">
        <v>34317</v>
      </c>
      <c r="L15132" t="s">
        <v>34448</v>
      </c>
      <c r="N15132" t="s">
        <v>34950</v>
      </c>
      <c r="P15132" t="s">
        <v>34976</v>
      </c>
      <c r="R15132" s="26" t="str">
        <f>HYPERLINK("https://ictv.global/taxonomy/taxondetails?taxnode_id=202304844","Pseudovirus cajani")</f>
        <v>Pseudovirus cajani</v>
      </c>
      <c r="S15132" t="s">
        <v>30</v>
      </c>
      <c r="T15132" t="s">
        <v>34992</v>
      </c>
      <c r="U15132" t="s">
        <v>34993</v>
      </c>
      <c r="W15132" t="s">
        <v>34994</v>
      </c>
      <c r="X15132" t="s">
        <v>42</v>
      </c>
      <c r="Y15132" t="s">
        <v>34454</v>
      </c>
      <c r="Z15132" t="s">
        <v>13441</v>
      </c>
      <c r="AA15132" s="22" t="str">
        <f>HYPERLINK("https://www.ncbi.nlm.nih.gov/nuccore/AJ000893","NCBI Nucleotide")</f>
        <v>NCBI Nucleotide</v>
      </c>
    </row>
    <row r="15133" spans="1:27" x14ac:dyDescent="0.35">
      <c r="A15133">
        <v>1003685</v>
      </c>
      <c r="B15133">
        <v>13645</v>
      </c>
      <c r="C15133">
        <v>1</v>
      </c>
      <c r="D15133" t="s">
        <v>17166</v>
      </c>
      <c r="F15133" t="s">
        <v>34315</v>
      </c>
      <c r="H15133" t="s">
        <v>34316</v>
      </c>
      <c r="J15133" t="s">
        <v>34317</v>
      </c>
      <c r="L15133" t="s">
        <v>34448</v>
      </c>
      <c r="N15133" t="s">
        <v>34950</v>
      </c>
      <c r="P15133" t="s">
        <v>34976</v>
      </c>
      <c r="R15133" s="26" t="str">
        <f>HYPERLINK("https://ictv.global/taxonomy/taxondetails?taxnode_id=202304853","Pseudovirus duosaccharomycetis")</f>
        <v>Pseudovirus duosaccharomycetis</v>
      </c>
      <c r="S15133" t="s">
        <v>30</v>
      </c>
      <c r="T15133" t="s">
        <v>35019</v>
      </c>
      <c r="U15133" t="s">
        <v>35020</v>
      </c>
      <c r="W15133" t="s">
        <v>35021</v>
      </c>
      <c r="X15133" t="s">
        <v>42</v>
      </c>
      <c r="Y15133" t="s">
        <v>34454</v>
      </c>
      <c r="Z15133" t="s">
        <v>16721</v>
      </c>
      <c r="AA15133" s="22" t="str">
        <f>HYPERLINK("https://www.ncbi.nlm.nih.gov/nuccore/X03840","NCBI Nucleotide")</f>
        <v>NCBI Nucleotide</v>
      </c>
    </row>
    <row r="15134" spans="1:27" x14ac:dyDescent="0.35">
      <c r="A15134">
        <v>1003673</v>
      </c>
      <c r="B15134">
        <v>13646</v>
      </c>
      <c r="C15134">
        <v>1</v>
      </c>
      <c r="D15134" t="s">
        <v>17166</v>
      </c>
      <c r="F15134" t="s">
        <v>34315</v>
      </c>
      <c r="H15134" t="s">
        <v>34316</v>
      </c>
      <c r="J15134" t="s">
        <v>34317</v>
      </c>
      <c r="L15134" t="s">
        <v>34448</v>
      </c>
      <c r="N15134" t="s">
        <v>34950</v>
      </c>
      <c r="P15134" t="s">
        <v>34976</v>
      </c>
      <c r="R15134" s="26" t="str">
        <f>HYPERLINK("https://ictv.global/taxonomy/taxondetails?taxnode_id=202304841","Pseudovirus evelknieveli")</f>
        <v>Pseudovirus evelknieveli</v>
      </c>
      <c r="S15134" t="s">
        <v>30</v>
      </c>
      <c r="T15134" t="s">
        <v>34983</v>
      </c>
      <c r="U15134" t="s">
        <v>34984</v>
      </c>
      <c r="W15134" t="s">
        <v>34985</v>
      </c>
      <c r="X15134" t="s">
        <v>42</v>
      </c>
      <c r="Y15134" t="s">
        <v>34454</v>
      </c>
      <c r="Z15134" t="s">
        <v>13441</v>
      </c>
      <c r="AA15134" s="22" t="str">
        <f>HYPERLINK("https://www.ncbi.nlm.nih.gov/nuccore/AF039373","NCBI Nucleotide")</f>
        <v>NCBI Nucleotide</v>
      </c>
    </row>
    <row r="15135" spans="1:27" x14ac:dyDescent="0.35">
      <c r="A15135">
        <v>1003677</v>
      </c>
      <c r="B15135">
        <v>13647</v>
      </c>
      <c r="C15135">
        <v>1</v>
      </c>
      <c r="D15135" t="s">
        <v>17166</v>
      </c>
      <c r="F15135" t="s">
        <v>34315</v>
      </c>
      <c r="H15135" t="s">
        <v>34316</v>
      </c>
      <c r="J15135" t="s">
        <v>34317</v>
      </c>
      <c r="L15135" t="s">
        <v>34448</v>
      </c>
      <c r="N15135" t="s">
        <v>34950</v>
      </c>
      <c r="P15135" t="s">
        <v>34976</v>
      </c>
      <c r="R15135" s="26" t="str">
        <f>HYPERLINK("https://ictv.global/taxonomy/taxondetails?taxnode_id=202304845","Pseudovirus glycinis")</f>
        <v>Pseudovirus glycinis</v>
      </c>
      <c r="S15135" t="s">
        <v>30</v>
      </c>
      <c r="T15135" t="s">
        <v>34995</v>
      </c>
      <c r="U15135" t="s">
        <v>34996</v>
      </c>
      <c r="W15135" t="s">
        <v>34997</v>
      </c>
      <c r="X15135" t="s">
        <v>42</v>
      </c>
      <c r="Y15135" t="s">
        <v>34454</v>
      </c>
      <c r="Z15135" t="s">
        <v>13441</v>
      </c>
      <c r="AA15135" s="22" t="str">
        <f>HYPERLINK("https://www.ncbi.nlm.nih.gov/nuccore/U96748","NCBI Nucleotide")</f>
        <v>NCBI Nucleotide</v>
      </c>
    </row>
    <row r="15136" spans="1:27" x14ac:dyDescent="0.35">
      <c r="A15136">
        <v>1003678</v>
      </c>
      <c r="B15136">
        <v>13648</v>
      </c>
      <c r="C15136">
        <v>1</v>
      </c>
      <c r="D15136" t="s">
        <v>17166</v>
      </c>
      <c r="F15136" t="s">
        <v>34315</v>
      </c>
      <c r="H15136" t="s">
        <v>34316</v>
      </c>
      <c r="J15136" t="s">
        <v>34317</v>
      </c>
      <c r="L15136" t="s">
        <v>34448</v>
      </c>
      <c r="N15136" t="s">
        <v>34950</v>
      </c>
      <c r="P15136" t="s">
        <v>34976</v>
      </c>
      <c r="R15136" s="26" t="str">
        <f>HYPERLINK("https://ictv.global/taxonomy/taxondetails?taxnode_id=202304846","Pseudovirus hordei")</f>
        <v>Pseudovirus hordei</v>
      </c>
      <c r="S15136" t="s">
        <v>30</v>
      </c>
      <c r="T15136" t="s">
        <v>34998</v>
      </c>
      <c r="U15136" t="s">
        <v>34999</v>
      </c>
      <c r="W15136" t="s">
        <v>35000</v>
      </c>
      <c r="X15136" t="s">
        <v>42</v>
      </c>
      <c r="Y15136" t="s">
        <v>34454</v>
      </c>
      <c r="Z15136" t="s">
        <v>13441</v>
      </c>
      <c r="AA15136" s="22" t="str">
        <f>HYPERLINK("https://www.ncbi.nlm.nih.gov/nuccore/Z17327","NCBI Nucleotide")</f>
        <v>NCBI Nucleotide</v>
      </c>
    </row>
    <row r="15137" spans="1:27" x14ac:dyDescent="0.35">
      <c r="A15137">
        <v>1003690</v>
      </c>
      <c r="B15137">
        <v>13649</v>
      </c>
      <c r="C15137">
        <v>1</v>
      </c>
      <c r="D15137" t="s">
        <v>17166</v>
      </c>
      <c r="F15137" t="s">
        <v>34315</v>
      </c>
      <c r="H15137" t="s">
        <v>34316</v>
      </c>
      <c r="J15137" t="s">
        <v>34317</v>
      </c>
      <c r="L15137" t="s">
        <v>34448</v>
      </c>
      <c r="N15137" t="s">
        <v>34950</v>
      </c>
      <c r="P15137" t="s">
        <v>34976</v>
      </c>
      <c r="R15137" s="26" t="str">
        <f>HYPERLINK("https://ictv.global/taxonomy/taxondetails?taxnode_id=202304858","Pseudovirus maydis")</f>
        <v>Pseudovirus maydis</v>
      </c>
      <c r="S15137" t="s">
        <v>30</v>
      </c>
      <c r="T15137" t="s">
        <v>35034</v>
      </c>
      <c r="U15137" t="s">
        <v>35035</v>
      </c>
      <c r="W15137" t="s">
        <v>35036</v>
      </c>
      <c r="X15137" t="s">
        <v>154</v>
      </c>
      <c r="Y15137" t="s">
        <v>34454</v>
      </c>
      <c r="Z15137" t="s">
        <v>13441</v>
      </c>
      <c r="AA15137" s="22" t="str">
        <f>HYPERLINK("https://www.ncbi.nlm.nih.gov/nuccore/AF082133","NCBI Nucleotide")</f>
        <v>NCBI Nucleotide</v>
      </c>
    </row>
    <row r="15138" spans="1:27" x14ac:dyDescent="0.35">
      <c r="A15138">
        <v>1003679</v>
      </c>
      <c r="B15138">
        <v>13650</v>
      </c>
      <c r="C15138">
        <v>1</v>
      </c>
      <c r="D15138" t="s">
        <v>17166</v>
      </c>
      <c r="F15138" t="s">
        <v>34315</v>
      </c>
      <c r="H15138" t="s">
        <v>34316</v>
      </c>
      <c r="J15138" t="s">
        <v>34317</v>
      </c>
      <c r="L15138" t="s">
        <v>34448</v>
      </c>
      <c r="N15138" t="s">
        <v>34950</v>
      </c>
      <c r="P15138" t="s">
        <v>34976</v>
      </c>
      <c r="R15138" s="26" t="str">
        <f>HYPERLINK("https://ictv.global/taxonomy/taxondetails?taxnode_id=202304847","Pseudovirus nicotianae")</f>
        <v>Pseudovirus nicotianae</v>
      </c>
      <c r="S15138" t="s">
        <v>30</v>
      </c>
      <c r="T15138" t="s">
        <v>35001</v>
      </c>
      <c r="U15138" t="s">
        <v>35002</v>
      </c>
      <c r="W15138" t="s">
        <v>35003</v>
      </c>
      <c r="X15138" t="s">
        <v>42</v>
      </c>
      <c r="Y15138" t="s">
        <v>34454</v>
      </c>
      <c r="Z15138" t="s">
        <v>13441</v>
      </c>
      <c r="AA15138" s="22" t="str">
        <f>HYPERLINK("https://www.ncbi.nlm.nih.gov/nuccore/X13777","NCBI Nucleotide")</f>
        <v>NCBI Nucleotide</v>
      </c>
    </row>
    <row r="15139" spans="1:27" x14ac:dyDescent="0.35">
      <c r="A15139">
        <v>1003682</v>
      </c>
      <c r="B15139">
        <v>13651</v>
      </c>
      <c r="C15139">
        <v>1</v>
      </c>
      <c r="D15139" t="s">
        <v>17166</v>
      </c>
      <c r="F15139" t="s">
        <v>34315</v>
      </c>
      <c r="H15139" t="s">
        <v>34316</v>
      </c>
      <c r="J15139" t="s">
        <v>34317</v>
      </c>
      <c r="L15139" t="s">
        <v>34448</v>
      </c>
      <c r="N15139" t="s">
        <v>34950</v>
      </c>
      <c r="P15139" t="s">
        <v>34976</v>
      </c>
      <c r="R15139" s="26" t="str">
        <f>HYPERLINK("https://ictv.global/taxonomy/taxondetails?taxnode_id=202304850","Pseudovirus oryzae")</f>
        <v>Pseudovirus oryzae</v>
      </c>
      <c r="S15139" t="s">
        <v>30</v>
      </c>
      <c r="T15139" t="s">
        <v>35010</v>
      </c>
      <c r="U15139" t="s">
        <v>35011</v>
      </c>
      <c r="W15139" t="s">
        <v>35012</v>
      </c>
      <c r="X15139" t="s">
        <v>42</v>
      </c>
      <c r="Y15139" t="s">
        <v>34454</v>
      </c>
      <c r="Z15139" t="s">
        <v>13441</v>
      </c>
      <c r="AA15139" s="22" t="str">
        <f>HYPERLINK("https://www.ncbi.nlm.nih.gov/nuccore/AH005614","NCBI Nucleotide")</f>
        <v>NCBI Nucleotide</v>
      </c>
    </row>
    <row r="15140" spans="1:27" x14ac:dyDescent="0.35">
      <c r="A15140">
        <v>1003683</v>
      </c>
      <c r="B15140">
        <v>13652</v>
      </c>
      <c r="C15140">
        <v>1</v>
      </c>
      <c r="D15140" t="s">
        <v>17166</v>
      </c>
      <c r="F15140" t="s">
        <v>34315</v>
      </c>
      <c r="H15140" t="s">
        <v>34316</v>
      </c>
      <c r="J15140" t="s">
        <v>34317</v>
      </c>
      <c r="L15140" t="s">
        <v>34448</v>
      </c>
      <c r="N15140" t="s">
        <v>34950</v>
      </c>
      <c r="P15140" t="s">
        <v>34976</v>
      </c>
      <c r="R15140" s="26" t="str">
        <f>HYPERLINK("https://ictv.global/taxonomy/taxondetails?taxnode_id=202304851","Pseudovirus physari")</f>
        <v>Pseudovirus physari</v>
      </c>
      <c r="S15140" t="s">
        <v>30</v>
      </c>
      <c r="T15140" t="s">
        <v>35013</v>
      </c>
      <c r="U15140" t="s">
        <v>35014</v>
      </c>
      <c r="W15140" t="s">
        <v>35015</v>
      </c>
      <c r="X15140" t="s">
        <v>42</v>
      </c>
      <c r="Y15140" t="s">
        <v>34454</v>
      </c>
      <c r="Z15140" t="s">
        <v>13441</v>
      </c>
      <c r="AA15140" s="22" t="str">
        <f>HYPERLINK("https://www.ncbi.nlm.nih.gov/nuccore/X53558","NCBI Nucleotide")</f>
        <v>NCBI Nucleotide</v>
      </c>
    </row>
    <row r="15141" spans="1:27" x14ac:dyDescent="0.35">
      <c r="A15141">
        <v>1003687</v>
      </c>
      <c r="B15141">
        <v>13653</v>
      </c>
      <c r="C15141">
        <v>1</v>
      </c>
      <c r="D15141" t="s">
        <v>17166</v>
      </c>
      <c r="F15141" t="s">
        <v>34315</v>
      </c>
      <c r="H15141" t="s">
        <v>34316</v>
      </c>
      <c r="J15141" t="s">
        <v>34317</v>
      </c>
      <c r="L15141" t="s">
        <v>34448</v>
      </c>
      <c r="N15141" t="s">
        <v>34950</v>
      </c>
      <c r="P15141" t="s">
        <v>34976</v>
      </c>
      <c r="R15141" s="26" t="str">
        <f>HYPERLINK("https://ictv.global/taxonomy/taxondetails?taxnode_id=202304855","Pseudovirus solani")</f>
        <v>Pseudovirus solani</v>
      </c>
      <c r="S15141" t="s">
        <v>30</v>
      </c>
      <c r="T15141" t="s">
        <v>35025</v>
      </c>
      <c r="U15141" t="s">
        <v>35026</v>
      </c>
      <c r="W15141" t="s">
        <v>35027</v>
      </c>
      <c r="X15141" t="s">
        <v>42</v>
      </c>
      <c r="Y15141" t="s">
        <v>34454</v>
      </c>
      <c r="Z15141" t="s">
        <v>13441</v>
      </c>
      <c r="AA15141" s="22" t="str">
        <f>HYPERLINK("https://www.ncbi.nlm.nih.gov/nuccore/X52387","NCBI Nucleotide")</f>
        <v>NCBI Nucleotide</v>
      </c>
    </row>
    <row r="15142" spans="1:27" x14ac:dyDescent="0.35">
      <c r="A15142">
        <v>1003680</v>
      </c>
      <c r="B15142">
        <v>13654</v>
      </c>
      <c r="C15142">
        <v>1</v>
      </c>
      <c r="D15142" t="s">
        <v>17166</v>
      </c>
      <c r="F15142" t="s">
        <v>34315</v>
      </c>
      <c r="H15142" t="s">
        <v>34316</v>
      </c>
      <c r="J15142" t="s">
        <v>34317</v>
      </c>
      <c r="L15142" t="s">
        <v>34448</v>
      </c>
      <c r="N15142" t="s">
        <v>34950</v>
      </c>
      <c r="P15142" t="s">
        <v>34976</v>
      </c>
      <c r="R15142" s="26" t="str">
        <f>HYPERLINK("https://ictv.global/taxonomy/taxondetails?taxnode_id=202304848","Pseudovirus tabaci")</f>
        <v>Pseudovirus tabaci</v>
      </c>
      <c r="S15142" t="s">
        <v>30</v>
      </c>
      <c r="T15142" t="s">
        <v>35004</v>
      </c>
      <c r="U15142" t="s">
        <v>35005</v>
      </c>
      <c r="W15142" t="s">
        <v>35006</v>
      </c>
      <c r="X15142" t="s">
        <v>42</v>
      </c>
      <c r="Y15142" t="s">
        <v>34454</v>
      </c>
      <c r="Z15142" t="s">
        <v>13441</v>
      </c>
      <c r="AA15142" s="22" t="str">
        <f>HYPERLINK("https://www.ncbi.nlm.nih.gov/nuccore/D83003","NCBI Nucleotide")</f>
        <v>NCBI Nucleotide</v>
      </c>
    </row>
    <row r="15143" spans="1:27" x14ac:dyDescent="0.35">
      <c r="A15143">
        <v>1003686</v>
      </c>
      <c r="B15143">
        <v>13655</v>
      </c>
      <c r="C15143">
        <v>1</v>
      </c>
      <c r="D15143" t="s">
        <v>17166</v>
      </c>
      <c r="F15143" t="s">
        <v>34315</v>
      </c>
      <c r="H15143" t="s">
        <v>34316</v>
      </c>
      <c r="J15143" t="s">
        <v>34317</v>
      </c>
      <c r="L15143" t="s">
        <v>34448</v>
      </c>
      <c r="N15143" t="s">
        <v>34950</v>
      </c>
      <c r="P15143" t="s">
        <v>34976</v>
      </c>
      <c r="R15143" s="26" t="str">
        <f>HYPERLINK("https://ictv.global/taxonomy/taxondetails?taxnode_id=202304854","Pseudovirus tetrasaccharomycetis")</f>
        <v>Pseudovirus tetrasaccharomycetis</v>
      </c>
      <c r="S15143" t="s">
        <v>30</v>
      </c>
      <c r="T15143" t="s">
        <v>35022</v>
      </c>
      <c r="U15143" t="s">
        <v>35023</v>
      </c>
      <c r="W15143" t="s">
        <v>35024</v>
      </c>
      <c r="X15143" t="s">
        <v>42</v>
      </c>
      <c r="Y15143" t="s">
        <v>34454</v>
      </c>
      <c r="Z15143" t="s">
        <v>16721</v>
      </c>
      <c r="AA15143" s="22" t="str">
        <f>HYPERLINK("https://www.ncbi.nlm.nih.gov/nuccore/M94164","NCBI Nucleotide")</f>
        <v>NCBI Nucleotide</v>
      </c>
    </row>
    <row r="15144" spans="1:27" x14ac:dyDescent="0.35">
      <c r="A15144">
        <v>1003688</v>
      </c>
      <c r="B15144">
        <v>13656</v>
      </c>
      <c r="C15144">
        <v>1</v>
      </c>
      <c r="D15144" t="s">
        <v>17166</v>
      </c>
      <c r="F15144" t="s">
        <v>34315</v>
      </c>
      <c r="H15144" t="s">
        <v>34316</v>
      </c>
      <c r="J15144" t="s">
        <v>34317</v>
      </c>
      <c r="L15144" t="s">
        <v>34448</v>
      </c>
      <c r="N15144" t="s">
        <v>34950</v>
      </c>
      <c r="P15144" t="s">
        <v>34976</v>
      </c>
      <c r="R15144" s="26" t="str">
        <f>HYPERLINK("https://ictv.global/taxonomy/taxondetails?taxnode_id=202304856","Pseudovirus tritici")</f>
        <v>Pseudovirus tritici</v>
      </c>
      <c r="S15144" t="s">
        <v>30</v>
      </c>
      <c r="T15144" t="s">
        <v>35028</v>
      </c>
      <c r="U15144" t="s">
        <v>35029</v>
      </c>
      <c r="W15144" t="s">
        <v>35030</v>
      </c>
      <c r="X15144" t="s">
        <v>42</v>
      </c>
      <c r="Y15144" t="s">
        <v>34454</v>
      </c>
      <c r="Z15144" t="s">
        <v>13441</v>
      </c>
      <c r="AA15144" s="22" t="str">
        <f>HYPERLINK("https://www.ncbi.nlm.nih.gov/nuccore/X63184","NCBI Nucleotide")</f>
        <v>NCBI Nucleotide</v>
      </c>
    </row>
    <row r="15145" spans="1:27" x14ac:dyDescent="0.35">
      <c r="A15145">
        <v>1003684</v>
      </c>
      <c r="B15145">
        <v>13657</v>
      </c>
      <c r="C15145">
        <v>1</v>
      </c>
      <c r="D15145" t="s">
        <v>17166</v>
      </c>
      <c r="F15145" t="s">
        <v>34315</v>
      </c>
      <c r="H15145" t="s">
        <v>34316</v>
      </c>
      <c r="J15145" t="s">
        <v>34317</v>
      </c>
      <c r="L15145" t="s">
        <v>34448</v>
      </c>
      <c r="N15145" t="s">
        <v>34950</v>
      </c>
      <c r="P15145" t="s">
        <v>34976</v>
      </c>
      <c r="R15145" s="26" t="str">
        <f>HYPERLINK("https://ictv.global/taxonomy/taxondetails?taxnode_id=202304852","Pseudovirus unisaccharomycetis")</f>
        <v>Pseudovirus unisaccharomycetis</v>
      </c>
      <c r="S15145" t="s">
        <v>30</v>
      </c>
      <c r="T15145" t="s">
        <v>35016</v>
      </c>
      <c r="U15145" t="s">
        <v>35017</v>
      </c>
      <c r="W15145" t="s">
        <v>35018</v>
      </c>
      <c r="X15145" t="s">
        <v>42</v>
      </c>
      <c r="Y15145" t="s">
        <v>34454</v>
      </c>
      <c r="Z15145" t="s">
        <v>16721</v>
      </c>
      <c r="AA15145" s="22" t="str">
        <f>HYPERLINK("https://www.ncbi.nlm.nih.gov/nuccore/M18706","NCBI Nucleotide")</f>
        <v>NCBI Nucleotide</v>
      </c>
    </row>
    <row r="15146" spans="1:27" x14ac:dyDescent="0.35">
      <c r="A15146">
        <v>1003689</v>
      </c>
      <c r="B15146">
        <v>13658</v>
      </c>
      <c r="C15146">
        <v>1</v>
      </c>
      <c r="D15146" t="s">
        <v>17166</v>
      </c>
      <c r="F15146" t="s">
        <v>34315</v>
      </c>
      <c r="H15146" t="s">
        <v>34316</v>
      </c>
      <c r="J15146" t="s">
        <v>34317</v>
      </c>
      <c r="L15146" t="s">
        <v>34448</v>
      </c>
      <c r="N15146" t="s">
        <v>34950</v>
      </c>
      <c r="P15146" t="s">
        <v>34976</v>
      </c>
      <c r="R15146" s="26" t="str">
        <f>HYPERLINK("https://ictv.global/taxonomy/taxondetails?taxnode_id=202304857","Pseudovirus zeae")</f>
        <v>Pseudovirus zeae</v>
      </c>
      <c r="S15146" t="s">
        <v>30</v>
      </c>
      <c r="T15146" t="s">
        <v>35031</v>
      </c>
      <c r="U15146" t="s">
        <v>35032</v>
      </c>
      <c r="W15146" t="s">
        <v>35033</v>
      </c>
      <c r="X15146" t="s">
        <v>42</v>
      </c>
      <c r="Y15146" t="s">
        <v>34454</v>
      </c>
      <c r="Z15146" t="s">
        <v>13441</v>
      </c>
      <c r="AA15146" s="22" t="str">
        <f>HYPERLINK("https://www.ncbi.nlm.nih.gov/nuccore/U12626","NCBI Nucleotide")</f>
        <v>NCBI Nucleotide</v>
      </c>
    </row>
    <row r="15147" spans="1:27" x14ac:dyDescent="0.35">
      <c r="A15147">
        <v>1003691</v>
      </c>
      <c r="B15147">
        <v>13659</v>
      </c>
      <c r="C15147">
        <v>1</v>
      </c>
      <c r="D15147" t="s">
        <v>17166</v>
      </c>
      <c r="F15147" t="s">
        <v>34315</v>
      </c>
      <c r="H15147" t="s">
        <v>34316</v>
      </c>
      <c r="J15147" t="s">
        <v>34317</v>
      </c>
      <c r="L15147" t="s">
        <v>34448</v>
      </c>
      <c r="N15147" t="s">
        <v>34950</v>
      </c>
      <c r="P15147" t="s">
        <v>35037</v>
      </c>
      <c r="R15147" s="26" t="str">
        <f>HYPERLINK("https://ictv.global/taxonomy/taxondetails?taxnode_id=202304860","Sirevirus arabidopsis")</f>
        <v>Sirevirus arabidopsis</v>
      </c>
      <c r="S15147" t="s">
        <v>30</v>
      </c>
      <c r="T15147" t="s">
        <v>35038</v>
      </c>
      <c r="U15147" t="s">
        <v>35039</v>
      </c>
      <c r="W15147" t="s">
        <v>35040</v>
      </c>
      <c r="X15147" t="s">
        <v>42</v>
      </c>
      <c r="Y15147" t="s">
        <v>34454</v>
      </c>
      <c r="Z15147" t="s">
        <v>13441</v>
      </c>
      <c r="AA15147" s="22" t="str">
        <f>HYPERLINK("https://www.ncbi.nlm.nih.gov/nuccore/AY016208","NCBI Nucleotide")</f>
        <v>NCBI Nucleotide</v>
      </c>
    </row>
    <row r="15148" spans="1:27" x14ac:dyDescent="0.35">
      <c r="A15148">
        <v>1003692</v>
      </c>
      <c r="B15148">
        <v>13660</v>
      </c>
      <c r="C15148">
        <v>1</v>
      </c>
      <c r="D15148" t="s">
        <v>17166</v>
      </c>
      <c r="F15148" t="s">
        <v>34315</v>
      </c>
      <c r="H15148" t="s">
        <v>34316</v>
      </c>
      <c r="J15148" t="s">
        <v>34317</v>
      </c>
      <c r="L15148" t="s">
        <v>34448</v>
      </c>
      <c r="N15148" t="s">
        <v>34950</v>
      </c>
      <c r="P15148" t="s">
        <v>35037</v>
      </c>
      <c r="R15148" s="26" t="str">
        <f>HYPERLINK("https://ictv.global/taxonomy/taxondetails?taxnode_id=202304861","Sirevirus glycinis")</f>
        <v>Sirevirus glycinis</v>
      </c>
      <c r="S15148" t="s">
        <v>30</v>
      </c>
      <c r="T15148" t="s">
        <v>35041</v>
      </c>
      <c r="U15148" t="s">
        <v>35042</v>
      </c>
      <c r="W15148" t="s">
        <v>35043</v>
      </c>
      <c r="X15148" t="s">
        <v>154</v>
      </c>
      <c r="Y15148" t="s">
        <v>34454</v>
      </c>
      <c r="Z15148" t="s">
        <v>13441</v>
      </c>
      <c r="AA15148" s="22" t="str">
        <f>HYPERLINK("https://www.ncbi.nlm.nih.gov/nuccore/AF053008","NCBI Nucleotide")</f>
        <v>NCBI Nucleotide</v>
      </c>
    </row>
    <row r="15149" spans="1:27" x14ac:dyDescent="0.35">
      <c r="A15149">
        <v>1003693</v>
      </c>
      <c r="B15149">
        <v>13661</v>
      </c>
      <c r="C15149">
        <v>1</v>
      </c>
      <c r="D15149" t="s">
        <v>17166</v>
      </c>
      <c r="F15149" t="s">
        <v>34315</v>
      </c>
      <c r="H15149" t="s">
        <v>34316</v>
      </c>
      <c r="J15149" t="s">
        <v>34317</v>
      </c>
      <c r="L15149" t="s">
        <v>34448</v>
      </c>
      <c r="N15149" t="s">
        <v>34950</v>
      </c>
      <c r="P15149" t="s">
        <v>35037</v>
      </c>
      <c r="R15149" s="26" t="str">
        <f>HYPERLINK("https://ictv.global/taxonomy/taxondetails?taxnode_id=202304862","Sirevirus lycopersici")</f>
        <v>Sirevirus lycopersici</v>
      </c>
      <c r="S15149" t="s">
        <v>30</v>
      </c>
      <c r="T15149" t="s">
        <v>35044</v>
      </c>
      <c r="U15149" t="s">
        <v>35045</v>
      </c>
      <c r="W15149" t="s">
        <v>35046</v>
      </c>
      <c r="X15149" t="s">
        <v>42</v>
      </c>
      <c r="Y15149" t="s">
        <v>34454</v>
      </c>
      <c r="Z15149" t="s">
        <v>13441</v>
      </c>
      <c r="AA15149" s="22" t="str">
        <f>HYPERLINK("https://www.ncbi.nlm.nih.gov/nuccore/U68072","NCBI Nucleotide")</f>
        <v>NCBI Nucleotide</v>
      </c>
    </row>
    <row r="15150" spans="1:27" x14ac:dyDescent="0.35">
      <c r="A15150">
        <v>1003695</v>
      </c>
      <c r="B15150">
        <v>13662</v>
      </c>
      <c r="C15150">
        <v>1</v>
      </c>
      <c r="D15150" t="s">
        <v>17166</v>
      </c>
      <c r="F15150" t="s">
        <v>34315</v>
      </c>
      <c r="H15150" t="s">
        <v>34316</v>
      </c>
      <c r="J15150" t="s">
        <v>34317</v>
      </c>
      <c r="L15150" t="s">
        <v>34448</v>
      </c>
      <c r="N15150" t="s">
        <v>34950</v>
      </c>
      <c r="P15150" t="s">
        <v>35037</v>
      </c>
      <c r="R15150" s="26" t="str">
        <f>HYPERLINK("https://ictv.global/taxonomy/taxondetails?taxnode_id=202304864","Sirevirus maydis")</f>
        <v>Sirevirus maydis</v>
      </c>
      <c r="S15150" t="s">
        <v>30</v>
      </c>
      <c r="T15150" t="s">
        <v>35050</v>
      </c>
      <c r="U15150" t="s">
        <v>35051</v>
      </c>
      <c r="W15150" t="s">
        <v>35052</v>
      </c>
      <c r="X15150" t="s">
        <v>42</v>
      </c>
      <c r="Y15150" t="s">
        <v>34454</v>
      </c>
      <c r="Z15150" t="s">
        <v>13441</v>
      </c>
      <c r="AA15150" s="22" t="str">
        <f>HYPERLINK("https://www.ncbi.nlm.nih.gov/nuccore/U41000","NCBI Nucleotide")</f>
        <v>NCBI Nucleotide</v>
      </c>
    </row>
    <row r="15151" spans="1:27" x14ac:dyDescent="0.35">
      <c r="A15151">
        <v>1003694</v>
      </c>
      <c r="B15151">
        <v>13663</v>
      </c>
      <c r="C15151">
        <v>1</v>
      </c>
      <c r="D15151" t="s">
        <v>17166</v>
      </c>
      <c r="F15151" t="s">
        <v>34315</v>
      </c>
      <c r="H15151" t="s">
        <v>34316</v>
      </c>
      <c r="J15151" t="s">
        <v>34317</v>
      </c>
      <c r="L15151" t="s">
        <v>34448</v>
      </c>
      <c r="N15151" t="s">
        <v>34950</v>
      </c>
      <c r="P15151" t="s">
        <v>35037</v>
      </c>
      <c r="R15151" s="26" t="str">
        <f>HYPERLINK("https://ictv.global/taxonomy/taxondetails?taxnode_id=202304863","Sirevirus zeae")</f>
        <v>Sirevirus zeae</v>
      </c>
      <c r="S15151" t="s">
        <v>30</v>
      </c>
      <c r="T15151" t="s">
        <v>35047</v>
      </c>
      <c r="U15151" t="s">
        <v>35048</v>
      </c>
      <c r="W15151" t="s">
        <v>35049</v>
      </c>
      <c r="X15151" t="s">
        <v>42</v>
      </c>
      <c r="Y15151" t="s">
        <v>34454</v>
      </c>
      <c r="Z15151" t="s">
        <v>13441</v>
      </c>
      <c r="AA15151" s="22" t="str">
        <f>HYPERLINK("https://www.ncbi.nlm.nih.gov/nuccore/U68408","NCBI Nucleotide")</f>
        <v>NCBI Nucleotide</v>
      </c>
    </row>
    <row r="15152" spans="1:27" x14ac:dyDescent="0.35">
      <c r="A15152">
        <v>1003697</v>
      </c>
      <c r="B15152">
        <v>13664</v>
      </c>
      <c r="C15152">
        <v>1</v>
      </c>
      <c r="D15152" t="s">
        <v>17166</v>
      </c>
      <c r="F15152" t="s">
        <v>34315</v>
      </c>
      <c r="H15152" t="s">
        <v>34316</v>
      </c>
      <c r="J15152" t="s">
        <v>34317</v>
      </c>
      <c r="L15152" t="s">
        <v>34448</v>
      </c>
      <c r="N15152" t="s">
        <v>35053</v>
      </c>
      <c r="O15152" t="s">
        <v>35054</v>
      </c>
      <c r="P15152" t="s">
        <v>35055</v>
      </c>
      <c r="R15152" s="26" t="str">
        <f>HYPERLINK("https://ictv.global/taxonomy/taxondetails?taxnode_id=202304982","Alpharetrovirus avicarmilhil2")</f>
        <v>Alpharetrovirus avicarmilhil2</v>
      </c>
      <c r="S15152" t="s">
        <v>30</v>
      </c>
      <c r="T15152" t="s">
        <v>35056</v>
      </c>
      <c r="U15152" t="s">
        <v>35057</v>
      </c>
      <c r="V15152" t="s">
        <v>35058</v>
      </c>
      <c r="W15152" t="s">
        <v>35059</v>
      </c>
      <c r="X15152" t="s">
        <v>42</v>
      </c>
      <c r="Y15152" t="s">
        <v>34454</v>
      </c>
      <c r="Z15152" t="s">
        <v>166</v>
      </c>
      <c r="AA15152" s="22" t="str">
        <f>HYPERLINK("https://www.ncbi.nlm.nih.gov/nuccore/M14008","NCBI Nucleotide")</f>
        <v>NCBI Nucleotide</v>
      </c>
    </row>
    <row r="15153" spans="1:27" x14ac:dyDescent="0.35">
      <c r="A15153">
        <v>1004069</v>
      </c>
      <c r="B15153">
        <v>13665</v>
      </c>
      <c r="C15153">
        <v>1</v>
      </c>
      <c r="D15153" t="s">
        <v>17166</v>
      </c>
      <c r="F15153" t="s">
        <v>34315</v>
      </c>
      <c r="H15153" t="s">
        <v>34316</v>
      </c>
      <c r="J15153" t="s">
        <v>34317</v>
      </c>
      <c r="L15153" t="s">
        <v>34448</v>
      </c>
      <c r="N15153" t="s">
        <v>35053</v>
      </c>
      <c r="O15153" t="s">
        <v>35054</v>
      </c>
      <c r="P15153" t="s">
        <v>35055</v>
      </c>
      <c r="R15153" s="26" t="str">
        <f>HYPERLINK("https://ictv.global/taxonomy/taxondetails?taxnode_id=202304987","Alpharetrovirus avifujsar")</f>
        <v>Alpharetrovirus avifujsar</v>
      </c>
      <c r="S15153" t="s">
        <v>30</v>
      </c>
      <c r="T15153" t="s">
        <v>35072</v>
      </c>
      <c r="U15153" t="s">
        <v>35073</v>
      </c>
      <c r="W15153" t="s">
        <v>35074</v>
      </c>
      <c r="X15153" t="s">
        <v>42</v>
      </c>
      <c r="Y15153" t="s">
        <v>34454</v>
      </c>
      <c r="Z15153" t="s">
        <v>166</v>
      </c>
      <c r="AA15153" s="22" t="str">
        <f>HYPERLINK("https://www.ncbi.nlm.nih.gov/nuccore/AF033810","NCBI Nucleotide")</f>
        <v>NCBI Nucleotide</v>
      </c>
    </row>
    <row r="15154" spans="1:27" x14ac:dyDescent="0.35">
      <c r="A15154">
        <v>1004065</v>
      </c>
      <c r="B15154">
        <v>13666</v>
      </c>
      <c r="C15154">
        <v>1</v>
      </c>
      <c r="D15154" t="s">
        <v>17166</v>
      </c>
      <c r="F15154" t="s">
        <v>34315</v>
      </c>
      <c r="H15154" t="s">
        <v>34316</v>
      </c>
      <c r="J15154" t="s">
        <v>34317</v>
      </c>
      <c r="L15154" t="s">
        <v>34448</v>
      </c>
      <c r="N15154" t="s">
        <v>35053</v>
      </c>
      <c r="O15154" t="s">
        <v>35054</v>
      </c>
      <c r="P15154" t="s">
        <v>35055</v>
      </c>
      <c r="R15154" s="26" t="str">
        <f>HYPERLINK("https://ictv.global/taxonomy/taxondetails?taxnode_id=202304983","Alpharetrovirus avileu")</f>
        <v>Alpharetrovirus avileu</v>
      </c>
      <c r="S15154" t="s">
        <v>30</v>
      </c>
      <c r="T15154" t="s">
        <v>35060</v>
      </c>
      <c r="U15154" t="s">
        <v>24483</v>
      </c>
      <c r="V15154" t="s">
        <v>35061</v>
      </c>
      <c r="W15154" t="s">
        <v>35062</v>
      </c>
      <c r="X15154" t="s">
        <v>42</v>
      </c>
      <c r="Y15154" t="s">
        <v>34454</v>
      </c>
      <c r="Z15154" t="s">
        <v>166</v>
      </c>
      <c r="AA15154" s="22" t="str">
        <f>HYPERLINK("https://www.ncbi.nlm.nih.gov/nuccore/M37980","NCBI Nucleotide")</f>
        <v>NCBI Nucleotide</v>
      </c>
    </row>
    <row r="15155" spans="1:27" x14ac:dyDescent="0.35">
      <c r="A15155">
        <v>1004066</v>
      </c>
      <c r="B15155">
        <v>13667</v>
      </c>
      <c r="C15155">
        <v>1</v>
      </c>
      <c r="D15155" t="s">
        <v>17166</v>
      </c>
      <c r="F15155" t="s">
        <v>34315</v>
      </c>
      <c r="H15155" t="s">
        <v>34316</v>
      </c>
      <c r="J15155" t="s">
        <v>34317</v>
      </c>
      <c r="L15155" t="s">
        <v>34448</v>
      </c>
      <c r="N15155" t="s">
        <v>35053</v>
      </c>
      <c r="O15155" t="s">
        <v>35054</v>
      </c>
      <c r="P15155" t="s">
        <v>35055</v>
      </c>
      <c r="R15155" s="26" t="str">
        <f>HYPERLINK("https://ictv.global/taxonomy/taxondetails?taxnode_id=202304984","Alpharetrovirus avimyebla")</f>
        <v>Alpharetrovirus avimyebla</v>
      </c>
      <c r="S15155" t="s">
        <v>30</v>
      </c>
      <c r="T15155" t="s">
        <v>35063</v>
      </c>
      <c r="U15155" t="s">
        <v>13956</v>
      </c>
      <c r="W15155" t="s">
        <v>35064</v>
      </c>
      <c r="X15155" t="s">
        <v>154</v>
      </c>
      <c r="Y15155" t="s">
        <v>34454</v>
      </c>
      <c r="Z15155" t="s">
        <v>166</v>
      </c>
      <c r="AA15155" s="22" t="str">
        <f>HYPERLINK("https://www.ncbi.nlm.nih.gov/nuccore/J02013","NCBI Nucleotide")</f>
        <v>NCBI Nucleotide</v>
      </c>
    </row>
    <row r="15156" spans="1:27" x14ac:dyDescent="0.35">
      <c r="A15156">
        <v>1004067</v>
      </c>
      <c r="B15156">
        <v>13668</v>
      </c>
      <c r="C15156">
        <v>1</v>
      </c>
      <c r="D15156" t="s">
        <v>17166</v>
      </c>
      <c r="F15156" t="s">
        <v>34315</v>
      </c>
      <c r="H15156" t="s">
        <v>34316</v>
      </c>
      <c r="J15156" t="s">
        <v>34317</v>
      </c>
      <c r="L15156" t="s">
        <v>34448</v>
      </c>
      <c r="N15156" t="s">
        <v>35053</v>
      </c>
      <c r="O15156" t="s">
        <v>35054</v>
      </c>
      <c r="P15156" t="s">
        <v>35055</v>
      </c>
      <c r="R15156" s="26" t="str">
        <f>HYPERLINK("https://ictv.global/taxonomy/taxondetails?taxnode_id=202304985","Alpharetrovirus avimyecyt29")</f>
        <v>Alpharetrovirus avimyecyt29</v>
      </c>
      <c r="S15156" t="s">
        <v>30</v>
      </c>
      <c r="T15156" t="s">
        <v>35065</v>
      </c>
      <c r="U15156" t="s">
        <v>35066</v>
      </c>
      <c r="W15156" t="s">
        <v>35067</v>
      </c>
      <c r="X15156" t="s">
        <v>42</v>
      </c>
      <c r="Y15156" t="s">
        <v>34454</v>
      </c>
      <c r="Z15156" t="s">
        <v>166</v>
      </c>
      <c r="AA15156" s="22" t="str">
        <f>HYPERLINK("https://www.ncbi.nlm.nih.gov/nuccore/AF033809","NCBI Nucleotide")</f>
        <v>NCBI Nucleotide</v>
      </c>
    </row>
    <row r="15157" spans="1:27" x14ac:dyDescent="0.35">
      <c r="A15157">
        <v>1004070</v>
      </c>
      <c r="B15157">
        <v>13669</v>
      </c>
      <c r="C15157">
        <v>1</v>
      </c>
      <c r="D15157" t="s">
        <v>17166</v>
      </c>
      <c r="F15157" t="s">
        <v>34315</v>
      </c>
      <c r="H15157" t="s">
        <v>34316</v>
      </c>
      <c r="J15157" t="s">
        <v>34317</v>
      </c>
      <c r="L15157" t="s">
        <v>34448</v>
      </c>
      <c r="N15157" t="s">
        <v>35053</v>
      </c>
      <c r="O15157" t="s">
        <v>35054</v>
      </c>
      <c r="P15157" t="s">
        <v>35055</v>
      </c>
      <c r="R15157" s="26" t="str">
        <f>HYPERLINK("https://ictv.global/taxonomy/taxondetails?taxnode_id=202304988","Alpharetrovirus avirousar")</f>
        <v>Alpharetrovirus avirousar</v>
      </c>
      <c r="S15157" t="s">
        <v>30</v>
      </c>
      <c r="T15157" t="s">
        <v>35075</v>
      </c>
      <c r="U15157" t="s">
        <v>35076</v>
      </c>
      <c r="W15157" t="s">
        <v>35077</v>
      </c>
      <c r="X15157" t="s">
        <v>42</v>
      </c>
      <c r="Y15157" t="s">
        <v>34454</v>
      </c>
      <c r="Z15157" t="s">
        <v>166</v>
      </c>
      <c r="AA15157" s="22" t="str">
        <f>HYPERLINK("https://www.ncbi.nlm.nih.gov/nuccore/AF033808","NCBI Nucleotide")</f>
        <v>NCBI Nucleotide</v>
      </c>
    </row>
    <row r="15158" spans="1:27" x14ac:dyDescent="0.35">
      <c r="A15158">
        <v>1004068</v>
      </c>
      <c r="B15158">
        <v>13670</v>
      </c>
      <c r="C15158">
        <v>1</v>
      </c>
      <c r="D15158" t="s">
        <v>17166</v>
      </c>
      <c r="F15158" t="s">
        <v>34315</v>
      </c>
      <c r="H15158" t="s">
        <v>34316</v>
      </c>
      <c r="J15158" t="s">
        <v>34317</v>
      </c>
      <c r="L15158" t="s">
        <v>34448</v>
      </c>
      <c r="N15158" t="s">
        <v>35053</v>
      </c>
      <c r="O15158" t="s">
        <v>35054</v>
      </c>
      <c r="P15158" t="s">
        <v>35055</v>
      </c>
      <c r="R15158" s="26" t="str">
        <f>HYPERLINK("https://ictv.global/taxonomy/taxondetails?taxnode_id=202304986","Alpharetrovirus avisar10")</f>
        <v>Alpharetrovirus avisar10</v>
      </c>
      <c r="S15158" t="s">
        <v>30</v>
      </c>
      <c r="T15158" t="s">
        <v>35068</v>
      </c>
      <c r="U15158" t="s">
        <v>35069</v>
      </c>
      <c r="V15158" t="s">
        <v>35070</v>
      </c>
      <c r="W15158" t="s">
        <v>35071</v>
      </c>
      <c r="X15158" t="s">
        <v>42</v>
      </c>
      <c r="Y15158" t="s">
        <v>34454</v>
      </c>
      <c r="Z15158" t="s">
        <v>166</v>
      </c>
      <c r="AA15158" s="22" t="str">
        <f>HYPERLINK("https://www.ncbi.nlm.nih.gov/nuccore/Y00302","NCBI Nucleotide")</f>
        <v>NCBI Nucleotide</v>
      </c>
    </row>
    <row r="15159" spans="1:27" x14ac:dyDescent="0.35">
      <c r="A15159">
        <v>1004071</v>
      </c>
      <c r="B15159">
        <v>13671</v>
      </c>
      <c r="C15159">
        <v>1</v>
      </c>
      <c r="D15159" t="s">
        <v>17166</v>
      </c>
      <c r="F15159" t="s">
        <v>34315</v>
      </c>
      <c r="H15159" t="s">
        <v>34316</v>
      </c>
      <c r="J15159" t="s">
        <v>34317</v>
      </c>
      <c r="L15159" t="s">
        <v>34448</v>
      </c>
      <c r="N15159" t="s">
        <v>35053</v>
      </c>
      <c r="O15159" t="s">
        <v>35054</v>
      </c>
      <c r="P15159" t="s">
        <v>35055</v>
      </c>
      <c r="R15159" s="26" t="str">
        <f>HYPERLINK("https://ictv.global/taxonomy/taxondetails?taxnode_id=202304989","Alpharetrovirus aviUR2sar")</f>
        <v>Alpharetrovirus aviUR2sar</v>
      </c>
      <c r="S15159" t="s">
        <v>30</v>
      </c>
      <c r="T15159" t="s">
        <v>35078</v>
      </c>
      <c r="U15159" t="s">
        <v>35079</v>
      </c>
      <c r="W15159" t="s">
        <v>35080</v>
      </c>
      <c r="X15159" t="s">
        <v>42</v>
      </c>
      <c r="Y15159" t="s">
        <v>34454</v>
      </c>
      <c r="Z15159" t="s">
        <v>166</v>
      </c>
      <c r="AA15159" s="22" t="str">
        <f>HYPERLINK("https://www.ncbi.nlm.nih.gov/nuccore/M10455","NCBI Nucleotide")</f>
        <v>NCBI Nucleotide</v>
      </c>
    </row>
    <row r="15160" spans="1:27" x14ac:dyDescent="0.35">
      <c r="A15160">
        <v>1004072</v>
      </c>
      <c r="B15160">
        <v>13672</v>
      </c>
      <c r="C15160">
        <v>1</v>
      </c>
      <c r="D15160" t="s">
        <v>17166</v>
      </c>
      <c r="F15160" t="s">
        <v>34315</v>
      </c>
      <c r="H15160" t="s">
        <v>34316</v>
      </c>
      <c r="J15160" t="s">
        <v>34317</v>
      </c>
      <c r="L15160" t="s">
        <v>34448</v>
      </c>
      <c r="N15160" t="s">
        <v>35053</v>
      </c>
      <c r="O15160" t="s">
        <v>35054</v>
      </c>
      <c r="P15160" t="s">
        <v>35055</v>
      </c>
      <c r="R15160" s="26" t="str">
        <f>HYPERLINK("https://ictv.global/taxonomy/taxondetails?taxnode_id=202304990","Alpharetrovirus aviY73sar")</f>
        <v>Alpharetrovirus aviY73sar</v>
      </c>
      <c r="S15160" t="s">
        <v>30</v>
      </c>
      <c r="T15160" t="s">
        <v>35081</v>
      </c>
      <c r="U15160" t="s">
        <v>35082</v>
      </c>
      <c r="V15160" t="s">
        <v>35083</v>
      </c>
      <c r="W15160" t="s">
        <v>35084</v>
      </c>
      <c r="X15160" t="s">
        <v>42</v>
      </c>
      <c r="Y15160" t="s">
        <v>34454</v>
      </c>
      <c r="Z15160" t="s">
        <v>166</v>
      </c>
      <c r="AA15160" s="22" t="str">
        <f>HYPERLINK("https://www.ncbi.nlm.nih.gov/nuccore/L21974","NCBI Nucleotide")</f>
        <v>NCBI Nucleotide</v>
      </c>
    </row>
    <row r="15161" spans="1:27" x14ac:dyDescent="0.35">
      <c r="A15161">
        <v>1004074</v>
      </c>
      <c r="B15161">
        <v>13673</v>
      </c>
      <c r="C15161">
        <v>1</v>
      </c>
      <c r="D15161" t="s">
        <v>17166</v>
      </c>
      <c r="F15161" t="s">
        <v>34315</v>
      </c>
      <c r="H15161" t="s">
        <v>34316</v>
      </c>
      <c r="J15161" t="s">
        <v>34317</v>
      </c>
      <c r="L15161" t="s">
        <v>34448</v>
      </c>
      <c r="N15161" t="s">
        <v>35053</v>
      </c>
      <c r="O15161" t="s">
        <v>35054</v>
      </c>
      <c r="P15161" t="s">
        <v>35085</v>
      </c>
      <c r="R15161" s="26" t="str">
        <f>HYPERLINK("https://ictv.global/taxonomy/taxondetails?taxnode_id=202304993","Betaretrovirus lan")</f>
        <v>Betaretrovirus lan</v>
      </c>
      <c r="S15161" t="s">
        <v>30</v>
      </c>
      <c r="T15161" t="s">
        <v>35089</v>
      </c>
      <c r="U15161" t="s">
        <v>35090</v>
      </c>
      <c r="V15161" t="s">
        <v>35091</v>
      </c>
      <c r="W15161" t="s">
        <v>35092</v>
      </c>
      <c r="X15161" t="s">
        <v>154</v>
      </c>
      <c r="Y15161" t="s">
        <v>34454</v>
      </c>
      <c r="Z15161" t="s">
        <v>166</v>
      </c>
      <c r="AA15161" s="22" t="str">
        <f>HYPERLINK("https://www.ncbi.nlm.nih.gov/nuccore/AY282754","NCBI Nucleotide")</f>
        <v>NCBI Nucleotide</v>
      </c>
    </row>
    <row r="15162" spans="1:27" x14ac:dyDescent="0.35">
      <c r="A15162">
        <v>1004075</v>
      </c>
      <c r="B15162">
        <v>13674</v>
      </c>
      <c r="C15162">
        <v>1</v>
      </c>
      <c r="D15162" t="s">
        <v>17166</v>
      </c>
      <c r="F15162" t="s">
        <v>34315</v>
      </c>
      <c r="H15162" t="s">
        <v>34316</v>
      </c>
      <c r="J15162" t="s">
        <v>34317</v>
      </c>
      <c r="L15162" t="s">
        <v>34448</v>
      </c>
      <c r="N15162" t="s">
        <v>35053</v>
      </c>
      <c r="O15162" t="s">
        <v>35054</v>
      </c>
      <c r="P15162" t="s">
        <v>35085</v>
      </c>
      <c r="R15162" s="26" t="str">
        <f>HYPERLINK("https://ictv.global/taxonomy/taxondetails?taxnode_id=202304994","Betaretrovirus maspfimon")</f>
        <v>Betaretrovirus maspfimon</v>
      </c>
      <c r="S15162" t="s">
        <v>30</v>
      </c>
      <c r="T15162" t="s">
        <v>35093</v>
      </c>
      <c r="U15162" t="s">
        <v>35094</v>
      </c>
      <c r="W15162" t="s">
        <v>35095</v>
      </c>
      <c r="X15162" t="s">
        <v>42</v>
      </c>
      <c r="Y15162" t="s">
        <v>34454</v>
      </c>
      <c r="Z15162" t="s">
        <v>166</v>
      </c>
      <c r="AA15162" s="22" t="str">
        <f>HYPERLINK("https://www.ncbi.nlm.nih.gov/nuccore/AF033815","NCBI Nucleotide")</f>
        <v>NCBI Nucleotide</v>
      </c>
    </row>
    <row r="15163" spans="1:27" x14ac:dyDescent="0.35">
      <c r="A15163">
        <v>1004076</v>
      </c>
      <c r="B15163">
        <v>13675</v>
      </c>
      <c r="C15163">
        <v>1</v>
      </c>
      <c r="D15163" t="s">
        <v>17166</v>
      </c>
      <c r="F15163" t="s">
        <v>34315</v>
      </c>
      <c r="H15163" t="s">
        <v>34316</v>
      </c>
      <c r="J15163" t="s">
        <v>34317</v>
      </c>
      <c r="L15163" t="s">
        <v>34448</v>
      </c>
      <c r="N15163" t="s">
        <v>35053</v>
      </c>
      <c r="O15163" t="s">
        <v>35054</v>
      </c>
      <c r="P15163" t="s">
        <v>35085</v>
      </c>
      <c r="R15163" s="26" t="str">
        <f>HYPERLINK("https://ictv.global/taxonomy/taxondetails?taxnode_id=202304995","Betaretrovirus murmamtum")</f>
        <v>Betaretrovirus murmamtum</v>
      </c>
      <c r="S15163" t="s">
        <v>30</v>
      </c>
      <c r="T15163" t="s">
        <v>35096</v>
      </c>
      <c r="U15163" t="s">
        <v>35097</v>
      </c>
      <c r="W15163" t="s">
        <v>35098</v>
      </c>
      <c r="X15163" t="s">
        <v>42</v>
      </c>
      <c r="Y15163" t="s">
        <v>34454</v>
      </c>
      <c r="Z15163" t="s">
        <v>166</v>
      </c>
      <c r="AA15163" s="22" t="str">
        <f>HYPERLINK("https://www.ncbi.nlm.nih.gov/nuccore/AF033807","NCBI Nucleotide")</f>
        <v>NCBI Nucleotide</v>
      </c>
    </row>
    <row r="15164" spans="1:27" x14ac:dyDescent="0.35">
      <c r="A15164">
        <v>1004073</v>
      </c>
      <c r="B15164">
        <v>13676</v>
      </c>
      <c r="C15164">
        <v>1</v>
      </c>
      <c r="D15164" t="s">
        <v>17166</v>
      </c>
      <c r="F15164" t="s">
        <v>34315</v>
      </c>
      <c r="H15164" t="s">
        <v>34316</v>
      </c>
      <c r="J15164" t="s">
        <v>34317</v>
      </c>
      <c r="L15164" t="s">
        <v>34448</v>
      </c>
      <c r="N15164" t="s">
        <v>35053</v>
      </c>
      <c r="O15164" t="s">
        <v>35054</v>
      </c>
      <c r="P15164" t="s">
        <v>35085</v>
      </c>
      <c r="R15164" s="26" t="str">
        <f>HYPERLINK("https://ictv.global/taxonomy/taxondetails?taxnode_id=202304992","Betaretrovirus ovijaa")</f>
        <v>Betaretrovirus ovijaa</v>
      </c>
      <c r="S15164" t="s">
        <v>30</v>
      </c>
      <c r="T15164" t="s">
        <v>35086</v>
      </c>
      <c r="U15164" t="s">
        <v>35087</v>
      </c>
      <c r="W15164" t="s">
        <v>35088</v>
      </c>
      <c r="X15164" t="s">
        <v>42</v>
      </c>
      <c r="Y15164" t="s">
        <v>34454</v>
      </c>
      <c r="Z15164" t="s">
        <v>166</v>
      </c>
      <c r="AA15164" s="22" t="str">
        <f>HYPERLINK("https://www.ncbi.nlm.nih.gov/nuccore/M80216","NCBI Nucleotide")</f>
        <v>NCBI Nucleotide</v>
      </c>
    </row>
    <row r="15165" spans="1:27" x14ac:dyDescent="0.35">
      <c r="A15165">
        <v>1004077</v>
      </c>
      <c r="B15165">
        <v>13677</v>
      </c>
      <c r="C15165">
        <v>1</v>
      </c>
      <c r="D15165" t="s">
        <v>17166</v>
      </c>
      <c r="F15165" t="s">
        <v>34315</v>
      </c>
      <c r="H15165" t="s">
        <v>34316</v>
      </c>
      <c r="J15165" t="s">
        <v>34317</v>
      </c>
      <c r="L15165" t="s">
        <v>34448</v>
      </c>
      <c r="N15165" t="s">
        <v>35053</v>
      </c>
      <c r="O15165" t="s">
        <v>35054</v>
      </c>
      <c r="P15165" t="s">
        <v>35085</v>
      </c>
      <c r="R15165" s="26" t="str">
        <f>HYPERLINK("https://ictv.global/taxonomy/taxondetails?taxnode_id=202304996","Betaretrovirus squmon")</f>
        <v>Betaretrovirus squmon</v>
      </c>
      <c r="S15165" t="s">
        <v>30</v>
      </c>
      <c r="T15165" t="s">
        <v>35099</v>
      </c>
      <c r="U15165" t="s">
        <v>25820</v>
      </c>
      <c r="V15165" t="s">
        <v>35100</v>
      </c>
      <c r="W15165" t="s">
        <v>35101</v>
      </c>
      <c r="X15165" t="s">
        <v>42</v>
      </c>
      <c r="Y15165" t="s">
        <v>34454</v>
      </c>
      <c r="Z15165" t="s">
        <v>166</v>
      </c>
      <c r="AA15165" s="22" t="str">
        <f>HYPERLINK("https://www.ncbi.nlm.nih.gov/nuccore/M23385","NCBI Nucleotide")</f>
        <v>NCBI Nucleotide</v>
      </c>
    </row>
    <row r="15166" spans="1:27" x14ac:dyDescent="0.35">
      <c r="A15166">
        <v>1004078</v>
      </c>
      <c r="B15166">
        <v>13678</v>
      </c>
      <c r="C15166">
        <v>1</v>
      </c>
      <c r="D15166" t="s">
        <v>17166</v>
      </c>
      <c r="F15166" t="s">
        <v>34315</v>
      </c>
      <c r="H15166" t="s">
        <v>34316</v>
      </c>
      <c r="J15166" t="s">
        <v>34317</v>
      </c>
      <c r="L15166" t="s">
        <v>34448</v>
      </c>
      <c r="N15166" t="s">
        <v>35053</v>
      </c>
      <c r="O15166" t="s">
        <v>35054</v>
      </c>
      <c r="P15166" t="s">
        <v>35102</v>
      </c>
      <c r="R15166" s="26" t="str">
        <f>HYPERLINK("https://ictv.global/taxonomy/taxondetails?taxnode_id=202304998","Deltaretrovirus bovleu")</f>
        <v>Deltaretrovirus bovleu</v>
      </c>
      <c r="S15166" t="s">
        <v>30</v>
      </c>
      <c r="T15166" t="s">
        <v>35103</v>
      </c>
      <c r="U15166" t="s">
        <v>14157</v>
      </c>
      <c r="W15166" t="s">
        <v>35104</v>
      </c>
      <c r="X15166" t="s">
        <v>42</v>
      </c>
      <c r="Y15166" t="s">
        <v>34454</v>
      </c>
      <c r="Z15166" t="s">
        <v>166</v>
      </c>
      <c r="AA15166" s="22" t="str">
        <f>HYPERLINK("https://www.ncbi.nlm.nih.gov/nuccore/AF033818","NCBI Nucleotide")</f>
        <v>NCBI Nucleotide</v>
      </c>
    </row>
    <row r="15167" spans="1:27" x14ac:dyDescent="0.35">
      <c r="A15167">
        <v>1004079</v>
      </c>
      <c r="B15167">
        <v>13679</v>
      </c>
      <c r="C15167">
        <v>1</v>
      </c>
      <c r="D15167" t="s">
        <v>17166</v>
      </c>
      <c r="F15167" t="s">
        <v>34315</v>
      </c>
      <c r="H15167" t="s">
        <v>34316</v>
      </c>
      <c r="J15167" t="s">
        <v>34317</v>
      </c>
      <c r="L15167" t="s">
        <v>34448</v>
      </c>
      <c r="N15167" t="s">
        <v>35053</v>
      </c>
      <c r="O15167" t="s">
        <v>35054</v>
      </c>
      <c r="P15167" t="s">
        <v>35102</v>
      </c>
      <c r="R15167" s="26" t="str">
        <f>HYPERLINK("https://ictv.global/taxonomy/taxondetails?taxnode_id=202304999","Deltaretrovirus priTlym1")</f>
        <v>Deltaretrovirus priTlym1</v>
      </c>
      <c r="S15167" t="s">
        <v>30</v>
      </c>
      <c r="T15167" t="s">
        <v>35105</v>
      </c>
      <c r="U15167" t="s">
        <v>35106</v>
      </c>
      <c r="V15167" t="s">
        <v>35107</v>
      </c>
      <c r="W15167" t="s">
        <v>35108</v>
      </c>
      <c r="X15167" t="s">
        <v>42</v>
      </c>
      <c r="Y15167" t="s">
        <v>34454</v>
      </c>
      <c r="Z15167" t="s">
        <v>166</v>
      </c>
      <c r="AA15167" s="22" t="str">
        <f>HYPERLINK("https://www.ncbi.nlm.nih.gov/nuccore/AF074966","NCBI Nucleotide")</f>
        <v>NCBI Nucleotide</v>
      </c>
    </row>
    <row r="15168" spans="1:27" x14ac:dyDescent="0.35">
      <c r="A15168">
        <v>1004080</v>
      </c>
      <c r="B15168">
        <v>13680</v>
      </c>
      <c r="C15168">
        <v>1</v>
      </c>
      <c r="D15168" t="s">
        <v>17166</v>
      </c>
      <c r="F15168" t="s">
        <v>34315</v>
      </c>
      <c r="H15168" t="s">
        <v>34316</v>
      </c>
      <c r="J15168" t="s">
        <v>34317</v>
      </c>
      <c r="L15168" t="s">
        <v>34448</v>
      </c>
      <c r="N15168" t="s">
        <v>35053</v>
      </c>
      <c r="O15168" t="s">
        <v>35054</v>
      </c>
      <c r="P15168" t="s">
        <v>35102</v>
      </c>
      <c r="R15168" s="26" t="str">
        <f>HYPERLINK("https://ictv.global/taxonomy/taxondetails?taxnode_id=202305000","Deltaretrovirus priTlym2")</f>
        <v>Deltaretrovirus priTlym2</v>
      </c>
      <c r="S15168" t="s">
        <v>30</v>
      </c>
      <c r="T15168" t="s">
        <v>35109</v>
      </c>
      <c r="U15168" t="s">
        <v>35110</v>
      </c>
      <c r="W15168" t="s">
        <v>35111</v>
      </c>
      <c r="X15168" t="s">
        <v>42</v>
      </c>
      <c r="Y15168" t="s">
        <v>34454</v>
      </c>
      <c r="Z15168" t="s">
        <v>166</v>
      </c>
      <c r="AA15168" s="22" t="str">
        <f>HYPERLINK("https://www.ncbi.nlm.nih.gov/nuccore/M10060","NCBI Nucleotide")</f>
        <v>NCBI Nucleotide</v>
      </c>
    </row>
    <row r="15169" spans="1:27" x14ac:dyDescent="0.35">
      <c r="A15169">
        <v>1004081</v>
      </c>
      <c r="B15169">
        <v>13681</v>
      </c>
      <c r="C15169">
        <v>1</v>
      </c>
      <c r="D15169" t="s">
        <v>17166</v>
      </c>
      <c r="F15169" t="s">
        <v>34315</v>
      </c>
      <c r="H15169" t="s">
        <v>34316</v>
      </c>
      <c r="J15169" t="s">
        <v>34317</v>
      </c>
      <c r="L15169" t="s">
        <v>34448</v>
      </c>
      <c r="N15169" t="s">
        <v>35053</v>
      </c>
      <c r="O15169" t="s">
        <v>35054</v>
      </c>
      <c r="P15169" t="s">
        <v>35102</v>
      </c>
      <c r="R15169" s="26" t="str">
        <f>HYPERLINK("https://ictv.global/taxonomy/taxondetails?taxnode_id=202305001","Deltaretrovirus priTlym3")</f>
        <v>Deltaretrovirus priTlym3</v>
      </c>
      <c r="S15169" t="s">
        <v>30</v>
      </c>
      <c r="T15169" t="s">
        <v>35112</v>
      </c>
      <c r="U15169" t="s">
        <v>35113</v>
      </c>
      <c r="V15169" t="s">
        <v>35114</v>
      </c>
      <c r="W15169" t="s">
        <v>35115</v>
      </c>
      <c r="X15169" t="s">
        <v>42</v>
      </c>
      <c r="Y15169" t="s">
        <v>34454</v>
      </c>
      <c r="Z15169" t="s">
        <v>166</v>
      </c>
      <c r="AA15169" s="22" t="str">
        <f>HYPERLINK("https://www.ncbi.nlm.nih.gov/nuccore/AF391797","NCBI Nucleotide")</f>
        <v>NCBI Nucleotide</v>
      </c>
    </row>
    <row r="15170" spans="1:27" x14ac:dyDescent="0.35">
      <c r="A15170">
        <v>1004082</v>
      </c>
      <c r="B15170">
        <v>13682</v>
      </c>
      <c r="C15170">
        <v>1</v>
      </c>
      <c r="D15170" t="s">
        <v>17166</v>
      </c>
      <c r="F15170" t="s">
        <v>34315</v>
      </c>
      <c r="H15170" t="s">
        <v>34316</v>
      </c>
      <c r="J15170" t="s">
        <v>34317</v>
      </c>
      <c r="L15170" t="s">
        <v>34448</v>
      </c>
      <c r="N15170" t="s">
        <v>35053</v>
      </c>
      <c r="O15170" t="s">
        <v>35054</v>
      </c>
      <c r="P15170" t="s">
        <v>35116</v>
      </c>
      <c r="R15170" s="26" t="str">
        <f>HYPERLINK("https://ictv.global/taxonomy/taxondetails?taxnode_id=202305003","Epsilonretrovirus waldersar")</f>
        <v>Epsilonretrovirus waldersar</v>
      </c>
      <c r="S15170" t="s">
        <v>30</v>
      </c>
      <c r="T15170" t="s">
        <v>35117</v>
      </c>
      <c r="U15170" t="s">
        <v>35118</v>
      </c>
      <c r="W15170" t="s">
        <v>35119</v>
      </c>
      <c r="X15170" t="s">
        <v>42</v>
      </c>
      <c r="Y15170" t="s">
        <v>34454</v>
      </c>
      <c r="Z15170" t="s">
        <v>166</v>
      </c>
      <c r="AA15170" s="22" t="str">
        <f>HYPERLINK("https://www.ncbi.nlm.nih.gov/nuccore/AF033822","NCBI Nucleotide")</f>
        <v>NCBI Nucleotide</v>
      </c>
    </row>
    <row r="15171" spans="1:27" x14ac:dyDescent="0.35">
      <c r="A15171">
        <v>1004083</v>
      </c>
      <c r="B15171">
        <v>13683</v>
      </c>
      <c r="C15171">
        <v>1</v>
      </c>
      <c r="D15171" t="s">
        <v>17166</v>
      </c>
      <c r="F15171" t="s">
        <v>34315</v>
      </c>
      <c r="H15171" t="s">
        <v>34316</v>
      </c>
      <c r="J15171" t="s">
        <v>34317</v>
      </c>
      <c r="L15171" t="s">
        <v>34448</v>
      </c>
      <c r="N15171" t="s">
        <v>35053</v>
      </c>
      <c r="O15171" t="s">
        <v>35054</v>
      </c>
      <c r="P15171" t="s">
        <v>35116</v>
      </c>
      <c r="R15171" s="26" t="str">
        <f>HYPERLINK("https://ictv.global/taxonomy/taxondetails?taxnode_id=202305004","Epsilonretrovirus walepihyp1")</f>
        <v>Epsilonretrovirus walepihyp1</v>
      </c>
      <c r="S15171" t="s">
        <v>30</v>
      </c>
      <c r="T15171" t="s">
        <v>35120</v>
      </c>
      <c r="U15171" t="s">
        <v>35121</v>
      </c>
      <c r="W15171" t="s">
        <v>35122</v>
      </c>
      <c r="X15171" t="s">
        <v>154</v>
      </c>
      <c r="Y15171" t="s">
        <v>34454</v>
      </c>
      <c r="Z15171" t="s">
        <v>166</v>
      </c>
      <c r="AA15171" s="22" t="str">
        <f>HYPERLINK("https://www.ncbi.nlm.nih.gov/nuccore/AF014792","NCBI Nucleotide")</f>
        <v>NCBI Nucleotide</v>
      </c>
    </row>
    <row r="15172" spans="1:27" x14ac:dyDescent="0.35">
      <c r="A15172">
        <v>1004084</v>
      </c>
      <c r="B15172">
        <v>13684</v>
      </c>
      <c r="C15172">
        <v>1</v>
      </c>
      <c r="D15172" t="s">
        <v>17166</v>
      </c>
      <c r="F15172" t="s">
        <v>34315</v>
      </c>
      <c r="H15172" t="s">
        <v>34316</v>
      </c>
      <c r="J15172" t="s">
        <v>34317</v>
      </c>
      <c r="L15172" t="s">
        <v>34448</v>
      </c>
      <c r="N15172" t="s">
        <v>35053</v>
      </c>
      <c r="O15172" t="s">
        <v>35054</v>
      </c>
      <c r="P15172" t="s">
        <v>35116</v>
      </c>
      <c r="R15172" s="26" t="str">
        <f>HYPERLINK("https://ictv.global/taxonomy/taxondetails?taxnode_id=202305005","Epsilonretrovirus walepihyp2")</f>
        <v>Epsilonretrovirus walepihyp2</v>
      </c>
      <c r="S15172" t="s">
        <v>30</v>
      </c>
      <c r="T15172" t="s">
        <v>35123</v>
      </c>
      <c r="U15172" t="s">
        <v>35124</v>
      </c>
      <c r="W15172" t="s">
        <v>35125</v>
      </c>
      <c r="X15172" t="s">
        <v>154</v>
      </c>
      <c r="Y15172" t="s">
        <v>34454</v>
      </c>
      <c r="Z15172" t="s">
        <v>166</v>
      </c>
      <c r="AA15172" s="22" t="str">
        <f>HYPERLINK("https://www.ncbi.nlm.nih.gov/nuccore/AF014793","NCBI Nucleotide")</f>
        <v>NCBI Nucleotide</v>
      </c>
    </row>
    <row r="15173" spans="1:27" x14ac:dyDescent="0.35">
      <c r="A15173">
        <v>1004098</v>
      </c>
      <c r="B15173">
        <v>13685</v>
      </c>
      <c r="C15173">
        <v>1</v>
      </c>
      <c r="D15173" t="s">
        <v>17166</v>
      </c>
      <c r="F15173" t="s">
        <v>34315</v>
      </c>
      <c r="H15173" t="s">
        <v>34316</v>
      </c>
      <c r="J15173" t="s">
        <v>34317</v>
      </c>
      <c r="L15173" t="s">
        <v>34448</v>
      </c>
      <c r="N15173" t="s">
        <v>35053</v>
      </c>
      <c r="O15173" t="s">
        <v>35054</v>
      </c>
      <c r="P15173" t="s">
        <v>35126</v>
      </c>
      <c r="R15173" s="26" t="str">
        <f>HYPERLINK("https://ictv.global/taxonomy/taxondetails?taxnode_id=202305020","Gammaretrovirus aviretend")</f>
        <v>Gammaretrovirus aviretend</v>
      </c>
      <c r="S15173" t="s">
        <v>30</v>
      </c>
      <c r="T15173" t="s">
        <v>35158</v>
      </c>
      <c r="U15173" t="s">
        <v>35159</v>
      </c>
      <c r="V15173" t="s">
        <v>35160</v>
      </c>
      <c r="W15173" t="s">
        <v>35161</v>
      </c>
      <c r="X15173" t="s">
        <v>42</v>
      </c>
      <c r="Y15173" t="s">
        <v>34454</v>
      </c>
      <c r="Z15173" t="s">
        <v>166</v>
      </c>
      <c r="AA15173" s="22" t="str">
        <f>HYPERLINK("https://www.ncbi.nlm.nih.gov/nuccore/AY842951","NCBI Nucleotide")</f>
        <v>NCBI Nucleotide</v>
      </c>
    </row>
    <row r="15174" spans="1:27" x14ac:dyDescent="0.35">
      <c r="A15174">
        <v>1004100</v>
      </c>
      <c r="B15174">
        <v>13686</v>
      </c>
      <c r="C15174">
        <v>1</v>
      </c>
      <c r="D15174" t="s">
        <v>17166</v>
      </c>
      <c r="F15174" t="s">
        <v>34315</v>
      </c>
      <c r="H15174" t="s">
        <v>34316</v>
      </c>
      <c r="J15174" t="s">
        <v>34317</v>
      </c>
      <c r="L15174" t="s">
        <v>34448</v>
      </c>
      <c r="N15174" t="s">
        <v>35053</v>
      </c>
      <c r="O15174" t="s">
        <v>35054</v>
      </c>
      <c r="P15174" t="s">
        <v>35126</v>
      </c>
      <c r="R15174" s="26" t="str">
        <f>HYPERLINK("https://ictv.global/taxonomy/taxondetails?taxnode_id=202305022","Gammaretrovirus avisplnec")</f>
        <v>Gammaretrovirus avisplnec</v>
      </c>
      <c r="S15174" t="s">
        <v>30</v>
      </c>
      <c r="T15174" t="s">
        <v>35165</v>
      </c>
      <c r="U15174" t="s">
        <v>35166</v>
      </c>
      <c r="X15174" t="s">
        <v>3311</v>
      </c>
      <c r="Y15174" t="s">
        <v>34454</v>
      </c>
      <c r="Z15174" t="s">
        <v>166</v>
      </c>
    </row>
    <row r="15175" spans="1:27" x14ac:dyDescent="0.35">
      <c r="A15175">
        <v>1004085</v>
      </c>
      <c r="B15175">
        <v>13687</v>
      </c>
      <c r="C15175">
        <v>1</v>
      </c>
      <c r="D15175" t="s">
        <v>17166</v>
      </c>
      <c r="F15175" t="s">
        <v>34315</v>
      </c>
      <c r="H15175" t="s">
        <v>34316</v>
      </c>
      <c r="J15175" t="s">
        <v>34317</v>
      </c>
      <c r="L15175" t="s">
        <v>34448</v>
      </c>
      <c r="N15175" t="s">
        <v>35053</v>
      </c>
      <c r="O15175" t="s">
        <v>35054</v>
      </c>
      <c r="P15175" t="s">
        <v>35126</v>
      </c>
      <c r="R15175" s="26" t="str">
        <f>HYPERLINK("https://ictv.global/taxonomy/taxondetails?taxnode_id=202305007","Gammaretrovirus chisyn")</f>
        <v>Gammaretrovirus chisyn</v>
      </c>
      <c r="S15175" t="s">
        <v>30</v>
      </c>
      <c r="T15175" t="s">
        <v>35127</v>
      </c>
      <c r="U15175" t="s">
        <v>30105</v>
      </c>
      <c r="W15175" t="s">
        <v>35128</v>
      </c>
      <c r="X15175" t="s">
        <v>154</v>
      </c>
      <c r="Y15175" t="s">
        <v>34454</v>
      </c>
      <c r="Z15175" t="s">
        <v>166</v>
      </c>
      <c r="AA15175" s="22" t="str">
        <f>HYPERLINK("https://www.ncbi.nlm.nih.gov/nuccore/DQ237904","NCBI Nucleotide")</f>
        <v>NCBI Nucleotide</v>
      </c>
    </row>
    <row r="15176" spans="1:27" x14ac:dyDescent="0.35">
      <c r="A15176">
        <v>1004086</v>
      </c>
      <c r="B15176">
        <v>13688</v>
      </c>
      <c r="C15176">
        <v>1</v>
      </c>
      <c r="D15176" t="s">
        <v>17166</v>
      </c>
      <c r="F15176" t="s">
        <v>34315</v>
      </c>
      <c r="H15176" t="s">
        <v>34316</v>
      </c>
      <c r="J15176" t="s">
        <v>34317</v>
      </c>
      <c r="L15176" t="s">
        <v>34448</v>
      </c>
      <c r="N15176" t="s">
        <v>35053</v>
      </c>
      <c r="O15176" t="s">
        <v>35054</v>
      </c>
      <c r="P15176" t="s">
        <v>35126</v>
      </c>
      <c r="R15176" s="26" t="str">
        <f>HYPERLINK("https://ictv.global/taxonomy/taxondetails?taxnode_id=202305008","Gammaretrovirus felleu")</f>
        <v>Gammaretrovirus felleu</v>
      </c>
      <c r="S15176" t="s">
        <v>30</v>
      </c>
      <c r="T15176" t="s">
        <v>35129</v>
      </c>
      <c r="U15176" t="s">
        <v>35130</v>
      </c>
      <c r="V15176" t="s">
        <v>35131</v>
      </c>
      <c r="W15176" t="s">
        <v>35132</v>
      </c>
      <c r="X15176" t="s">
        <v>42</v>
      </c>
      <c r="Y15176" t="s">
        <v>34454</v>
      </c>
      <c r="Z15176" t="s">
        <v>166</v>
      </c>
      <c r="AA15176" s="22" t="str">
        <f>HYPERLINK("https://www.ncbi.nlm.nih.gov/nuccore/AF052723","NCBI Nucleotide")</f>
        <v>NCBI Nucleotide</v>
      </c>
    </row>
    <row r="15177" spans="1:27" x14ac:dyDescent="0.35">
      <c r="A15177">
        <v>1004087</v>
      </c>
      <c r="B15177">
        <v>13689</v>
      </c>
      <c r="C15177">
        <v>1</v>
      </c>
      <c r="D15177" t="s">
        <v>17166</v>
      </c>
      <c r="F15177" t="s">
        <v>34315</v>
      </c>
      <c r="H15177" t="s">
        <v>34316</v>
      </c>
      <c r="J15177" t="s">
        <v>34317</v>
      </c>
      <c r="L15177" t="s">
        <v>34448</v>
      </c>
      <c r="N15177" t="s">
        <v>35053</v>
      </c>
      <c r="O15177" t="s">
        <v>35054</v>
      </c>
      <c r="P15177" t="s">
        <v>35126</v>
      </c>
      <c r="R15177" s="26" t="str">
        <f>HYPERLINK("https://ictv.global/taxonomy/taxondetails?taxnode_id=202305009","Gammaretrovirus fibijimursar")</f>
        <v>Gammaretrovirus fibijimursar</v>
      </c>
      <c r="S15177" t="s">
        <v>30</v>
      </c>
      <c r="T15177" t="s">
        <v>35133</v>
      </c>
      <c r="U15177" t="s">
        <v>35134</v>
      </c>
      <c r="W15177" t="s">
        <v>35135</v>
      </c>
      <c r="X15177" t="s">
        <v>42</v>
      </c>
      <c r="Y15177" t="s">
        <v>34454</v>
      </c>
      <c r="Z15177" t="s">
        <v>166</v>
      </c>
      <c r="AA15177" s="22" t="str">
        <f>HYPERLINK("https://www.ncbi.nlm.nih.gov/nuccore/K02712","NCBI Nucleotide")</f>
        <v>NCBI Nucleotide</v>
      </c>
    </row>
    <row r="15178" spans="1:27" x14ac:dyDescent="0.35">
      <c r="A15178">
        <v>1004089</v>
      </c>
      <c r="B15178">
        <v>13690</v>
      </c>
      <c r="C15178">
        <v>1</v>
      </c>
      <c r="D15178" t="s">
        <v>17166</v>
      </c>
      <c r="F15178" t="s">
        <v>34315</v>
      </c>
      <c r="H15178" t="s">
        <v>34316</v>
      </c>
      <c r="J15178" t="s">
        <v>34317</v>
      </c>
      <c r="L15178" t="s">
        <v>34448</v>
      </c>
      <c r="N15178" t="s">
        <v>35053</v>
      </c>
      <c r="O15178" t="s">
        <v>35054</v>
      </c>
      <c r="P15178" t="s">
        <v>35126</v>
      </c>
      <c r="R15178" s="26" t="str">
        <f>HYPERLINK("https://ictv.global/taxonomy/taxondetails?taxnode_id=202305011","Gammaretrovirus gibleu")</f>
        <v>Gammaretrovirus gibleu</v>
      </c>
      <c r="S15178" t="s">
        <v>30</v>
      </c>
      <c r="T15178" t="s">
        <v>35136</v>
      </c>
      <c r="U15178" t="s">
        <v>20778</v>
      </c>
      <c r="W15178" t="s">
        <v>35137</v>
      </c>
      <c r="X15178" t="s">
        <v>42</v>
      </c>
      <c r="Y15178" t="s">
        <v>34454</v>
      </c>
      <c r="Z15178" t="s">
        <v>166</v>
      </c>
      <c r="AA15178" s="22" t="str">
        <f>HYPERLINK("https://www.ncbi.nlm.nih.gov/nuccore/M26927","NCBI Nucleotide")</f>
        <v>NCBI Nucleotide</v>
      </c>
    </row>
    <row r="15179" spans="1:27" x14ac:dyDescent="0.35">
      <c r="A15179">
        <v>1004092</v>
      </c>
      <c r="B15179">
        <v>13691</v>
      </c>
      <c r="C15179">
        <v>1</v>
      </c>
      <c r="D15179" t="s">
        <v>17166</v>
      </c>
      <c r="F15179" t="s">
        <v>34315</v>
      </c>
      <c r="H15179" t="s">
        <v>34316</v>
      </c>
      <c r="J15179" t="s">
        <v>34317</v>
      </c>
      <c r="L15179" t="s">
        <v>34448</v>
      </c>
      <c r="N15179" t="s">
        <v>35053</v>
      </c>
      <c r="O15179" t="s">
        <v>35054</v>
      </c>
      <c r="P15179" t="s">
        <v>35126</v>
      </c>
      <c r="R15179" s="26" t="str">
        <f>HYPERLINK("https://ictv.global/taxonomy/taxondetails?taxnode_id=202305014","Gammaretrovirus Hamursar")</f>
        <v>Gammaretrovirus Hamursar</v>
      </c>
      <c r="S15179" t="s">
        <v>30</v>
      </c>
      <c r="T15179" t="s">
        <v>35141</v>
      </c>
      <c r="U15179" t="s">
        <v>35142</v>
      </c>
      <c r="W15179" t="s">
        <v>35143</v>
      </c>
      <c r="X15179" t="s">
        <v>154</v>
      </c>
      <c r="Y15179" t="s">
        <v>34454</v>
      </c>
      <c r="Z15179" t="s">
        <v>166</v>
      </c>
      <c r="AA15179" s="22" t="str">
        <f>HYPERLINK("https://www.ncbi.nlm.nih.gov/nuccore/J02207","NCBI Nucleotide")</f>
        <v>NCBI Nucleotide</v>
      </c>
    </row>
    <row r="15180" spans="1:27" x14ac:dyDescent="0.35">
      <c r="A15180">
        <v>1004091</v>
      </c>
      <c r="B15180">
        <v>13692</v>
      </c>
      <c r="C15180">
        <v>1</v>
      </c>
      <c r="D15180" t="s">
        <v>17166</v>
      </c>
      <c r="F15180" t="s">
        <v>34315</v>
      </c>
      <c r="H15180" t="s">
        <v>34316</v>
      </c>
      <c r="J15180" t="s">
        <v>34317</v>
      </c>
      <c r="L15180" t="s">
        <v>34448</v>
      </c>
      <c r="N15180" t="s">
        <v>35053</v>
      </c>
      <c r="O15180" t="s">
        <v>35054</v>
      </c>
      <c r="P15180" t="s">
        <v>35126</v>
      </c>
      <c r="R15180" s="26" t="str">
        <f>HYPERLINK("https://ictv.global/taxonomy/taxondetails?taxnode_id=202305013","Gammaretrovirus hazufelsar")</f>
        <v>Gammaretrovirus hazufelsar</v>
      </c>
      <c r="S15180" t="s">
        <v>30</v>
      </c>
      <c r="T15180" t="s">
        <v>35138</v>
      </c>
      <c r="U15180" t="s">
        <v>35139</v>
      </c>
      <c r="W15180" t="s">
        <v>35140</v>
      </c>
      <c r="X15180" t="s">
        <v>154</v>
      </c>
      <c r="Y15180" t="s">
        <v>34454</v>
      </c>
      <c r="Z15180" t="s">
        <v>166</v>
      </c>
      <c r="AA15180" s="22" t="str">
        <f>HYPERLINK("https://www.ncbi.nlm.nih.gov/nuccore/X03711","NCBI Nucleotide")</f>
        <v>NCBI Nucleotide</v>
      </c>
    </row>
    <row r="15181" spans="1:27" x14ac:dyDescent="0.35">
      <c r="A15181">
        <v>1004093</v>
      </c>
      <c r="B15181">
        <v>13693</v>
      </c>
      <c r="C15181">
        <v>1</v>
      </c>
      <c r="D15181" t="s">
        <v>17166</v>
      </c>
      <c r="F15181" t="s">
        <v>34315</v>
      </c>
      <c r="H15181" t="s">
        <v>34316</v>
      </c>
      <c r="J15181" t="s">
        <v>34317</v>
      </c>
      <c r="L15181" t="s">
        <v>34448</v>
      </c>
      <c r="N15181" t="s">
        <v>35053</v>
      </c>
      <c r="O15181" t="s">
        <v>35054</v>
      </c>
      <c r="P15181" t="s">
        <v>35126</v>
      </c>
      <c r="R15181" s="26" t="str">
        <f>HYPERLINK("https://ictv.global/taxonomy/taxondetails?taxnode_id=202305015","Gammaretrovirus Kimursar")</f>
        <v>Gammaretrovirus Kimursar</v>
      </c>
      <c r="S15181" t="s">
        <v>30</v>
      </c>
      <c r="T15181" t="s">
        <v>35144</v>
      </c>
      <c r="U15181" t="s">
        <v>35145</v>
      </c>
      <c r="W15181" t="s">
        <v>35146</v>
      </c>
      <c r="X15181" t="s">
        <v>154</v>
      </c>
      <c r="Y15181" t="s">
        <v>34454</v>
      </c>
      <c r="Z15181" t="s">
        <v>166</v>
      </c>
      <c r="AA15181" s="22" t="str">
        <f>HYPERLINK("https://www.ncbi.nlm.nih.gov/nuccore/X00984","NCBI Nucleotide")</f>
        <v>NCBI Nucleotide</v>
      </c>
    </row>
    <row r="15182" spans="1:27" x14ac:dyDescent="0.35">
      <c r="A15182">
        <v>1004094</v>
      </c>
      <c r="B15182">
        <v>13694</v>
      </c>
      <c r="C15182">
        <v>1</v>
      </c>
      <c r="D15182" t="s">
        <v>17166</v>
      </c>
      <c r="F15182" t="s">
        <v>34315</v>
      </c>
      <c r="H15182" t="s">
        <v>34316</v>
      </c>
      <c r="J15182" t="s">
        <v>34317</v>
      </c>
      <c r="L15182" t="s">
        <v>34448</v>
      </c>
      <c r="N15182" t="s">
        <v>35053</v>
      </c>
      <c r="O15182" t="s">
        <v>35054</v>
      </c>
      <c r="P15182" t="s">
        <v>35126</v>
      </c>
      <c r="R15182" s="26" t="str">
        <f>HYPERLINK("https://ictv.global/taxonomy/taxondetails?taxnode_id=202305016","Gammaretrovirus koa")</f>
        <v>Gammaretrovirus koa</v>
      </c>
      <c r="S15182" t="s">
        <v>30</v>
      </c>
      <c r="T15182" t="s">
        <v>35147</v>
      </c>
      <c r="U15182" t="s">
        <v>35148</v>
      </c>
      <c r="W15182" t="s">
        <v>35149</v>
      </c>
      <c r="X15182" t="s">
        <v>35</v>
      </c>
      <c r="Y15182" t="s">
        <v>34454</v>
      </c>
      <c r="Z15182" t="s">
        <v>166</v>
      </c>
      <c r="AA15182" s="22" t="str">
        <f>HYPERLINK("https://www.ncbi.nlm.nih.gov/nuccore/AF151794","NCBI Nucleotide")</f>
        <v>NCBI Nucleotide</v>
      </c>
    </row>
    <row r="15183" spans="1:27" x14ac:dyDescent="0.35">
      <c r="A15183">
        <v>1004095</v>
      </c>
      <c r="B15183">
        <v>13695</v>
      </c>
      <c r="C15183">
        <v>1</v>
      </c>
      <c r="D15183" t="s">
        <v>17166</v>
      </c>
      <c r="F15183" t="s">
        <v>34315</v>
      </c>
      <c r="H15183" t="s">
        <v>34316</v>
      </c>
      <c r="J15183" t="s">
        <v>34317</v>
      </c>
      <c r="L15183" t="s">
        <v>34448</v>
      </c>
      <c r="N15183" t="s">
        <v>35053</v>
      </c>
      <c r="O15183" t="s">
        <v>35054</v>
      </c>
      <c r="P15183" t="s">
        <v>35126</v>
      </c>
      <c r="R15183" s="26" t="str">
        <f>HYPERLINK("https://ictv.global/taxonomy/taxondetails?taxnode_id=202305017","Gammaretrovirus momursar")</f>
        <v>Gammaretrovirus momursar</v>
      </c>
      <c r="S15183" t="s">
        <v>30</v>
      </c>
      <c r="T15183" t="s">
        <v>35150</v>
      </c>
      <c r="U15183" t="s">
        <v>35151</v>
      </c>
      <c r="W15183" t="s">
        <v>35152</v>
      </c>
      <c r="X15183" t="s">
        <v>42</v>
      </c>
      <c r="Y15183" t="s">
        <v>34454</v>
      </c>
      <c r="Z15183" t="s">
        <v>166</v>
      </c>
      <c r="AA15183" s="22" t="str">
        <f>HYPERLINK("https://www.ncbi.nlm.nih.gov/nuccore/AF033813","NCBI Nucleotide")</f>
        <v>NCBI Nucleotide</v>
      </c>
    </row>
    <row r="15184" spans="1:27" x14ac:dyDescent="0.35">
      <c r="A15184">
        <v>1004096</v>
      </c>
      <c r="B15184">
        <v>13696</v>
      </c>
      <c r="C15184">
        <v>1</v>
      </c>
      <c r="D15184" t="s">
        <v>17166</v>
      </c>
      <c r="F15184" t="s">
        <v>34315</v>
      </c>
      <c r="H15184" t="s">
        <v>34316</v>
      </c>
      <c r="J15184" t="s">
        <v>34317</v>
      </c>
      <c r="L15184" t="s">
        <v>34448</v>
      </c>
      <c r="N15184" t="s">
        <v>35053</v>
      </c>
      <c r="O15184" t="s">
        <v>35054</v>
      </c>
      <c r="P15184" t="s">
        <v>35126</v>
      </c>
      <c r="R15184" s="26" t="str">
        <f>HYPERLINK("https://ictv.global/taxonomy/taxondetails?taxnode_id=202305018","Gammaretrovirus murleu")</f>
        <v>Gammaretrovirus murleu</v>
      </c>
      <c r="S15184" t="s">
        <v>30</v>
      </c>
      <c r="T15184" t="s">
        <v>35153</v>
      </c>
      <c r="U15184" t="s">
        <v>20240</v>
      </c>
      <c r="W15184" t="s">
        <v>35154</v>
      </c>
      <c r="X15184" t="s">
        <v>42</v>
      </c>
      <c r="Y15184" t="s">
        <v>34454</v>
      </c>
      <c r="Z15184" t="s">
        <v>166</v>
      </c>
      <c r="AA15184" s="22" t="str">
        <f>HYPERLINK("https://www.ncbi.nlm.nih.gov/nuccore/AF033811","NCBI Nucleotide")</f>
        <v>NCBI Nucleotide</v>
      </c>
    </row>
    <row r="15185" spans="1:27" x14ac:dyDescent="0.35">
      <c r="A15185">
        <v>1004097</v>
      </c>
      <c r="B15185">
        <v>13697</v>
      </c>
      <c r="C15185">
        <v>1</v>
      </c>
      <c r="D15185" t="s">
        <v>17166</v>
      </c>
      <c r="F15185" t="s">
        <v>34315</v>
      </c>
      <c r="H15185" t="s">
        <v>34316</v>
      </c>
      <c r="J15185" t="s">
        <v>34317</v>
      </c>
      <c r="L15185" t="s">
        <v>34448</v>
      </c>
      <c r="N15185" t="s">
        <v>35053</v>
      </c>
      <c r="O15185" t="s">
        <v>35054</v>
      </c>
      <c r="P15185" t="s">
        <v>35126</v>
      </c>
      <c r="R15185" s="26" t="str">
        <f>HYPERLINK("https://ictv.global/taxonomy/taxondetails?taxnode_id=202305019","Gammaretrovirus porConc")</f>
        <v>Gammaretrovirus porConc</v>
      </c>
      <c r="S15185" t="s">
        <v>30</v>
      </c>
      <c r="T15185" t="s">
        <v>35155</v>
      </c>
      <c r="U15185" t="s">
        <v>35156</v>
      </c>
      <c r="W15185" t="s">
        <v>35157</v>
      </c>
      <c r="X15185" t="s">
        <v>42</v>
      </c>
      <c r="Y15185" t="s">
        <v>34454</v>
      </c>
      <c r="Z15185" t="s">
        <v>166</v>
      </c>
      <c r="AA15185" s="22" t="str">
        <f>HYPERLINK("https://www.ncbi.nlm.nih.gov/nuccore/AF356697","NCBI Nucleotide")</f>
        <v>NCBI Nucleotide</v>
      </c>
    </row>
    <row r="15186" spans="1:27" x14ac:dyDescent="0.35">
      <c r="A15186">
        <v>1004099</v>
      </c>
      <c r="B15186">
        <v>13698</v>
      </c>
      <c r="C15186">
        <v>1</v>
      </c>
      <c r="D15186" t="s">
        <v>17166</v>
      </c>
      <c r="F15186" t="s">
        <v>34315</v>
      </c>
      <c r="H15186" t="s">
        <v>34316</v>
      </c>
      <c r="J15186" t="s">
        <v>34317</v>
      </c>
      <c r="L15186" t="s">
        <v>34448</v>
      </c>
      <c r="N15186" t="s">
        <v>35053</v>
      </c>
      <c r="O15186" t="s">
        <v>35054</v>
      </c>
      <c r="P15186" t="s">
        <v>35126</v>
      </c>
      <c r="R15186" s="26" t="str">
        <f>HYPERLINK("https://ictv.global/taxonomy/taxondetails?taxnode_id=202305021","Gammaretrovirus snythefelsar")</f>
        <v>Gammaretrovirus snythefelsar</v>
      </c>
      <c r="S15186" t="s">
        <v>30</v>
      </c>
      <c r="T15186" t="s">
        <v>35162</v>
      </c>
      <c r="U15186" t="s">
        <v>35163</v>
      </c>
      <c r="W15186" t="s">
        <v>35164</v>
      </c>
      <c r="X15186" t="s">
        <v>154</v>
      </c>
      <c r="Y15186" t="s">
        <v>34454</v>
      </c>
      <c r="Z15186" t="s">
        <v>166</v>
      </c>
      <c r="AA15186" s="22" t="str">
        <f>HYPERLINK("https://www.ncbi.nlm.nih.gov/nuccore/M22820","NCBI Nucleotide")</f>
        <v>NCBI Nucleotide</v>
      </c>
    </row>
    <row r="15187" spans="1:27" x14ac:dyDescent="0.35">
      <c r="A15187">
        <v>1004102</v>
      </c>
      <c r="B15187">
        <v>13699</v>
      </c>
      <c r="C15187">
        <v>1</v>
      </c>
      <c r="D15187" t="s">
        <v>17166</v>
      </c>
      <c r="F15187" t="s">
        <v>34315</v>
      </c>
      <c r="H15187" t="s">
        <v>34316</v>
      </c>
      <c r="J15187" t="s">
        <v>34317</v>
      </c>
      <c r="L15187" t="s">
        <v>34448</v>
      </c>
      <c r="N15187" t="s">
        <v>35053</v>
      </c>
      <c r="O15187" t="s">
        <v>35054</v>
      </c>
      <c r="P15187" t="s">
        <v>35126</v>
      </c>
      <c r="R15187" s="26" t="str">
        <f>HYPERLINK("https://ictv.global/taxonomy/taxondetails?taxnode_id=202305024","Gammaretrovirus woomonsar")</f>
        <v>Gammaretrovirus woomonsar</v>
      </c>
      <c r="S15187" t="s">
        <v>30</v>
      </c>
      <c r="T15187" t="s">
        <v>35167</v>
      </c>
      <c r="U15187" t="s">
        <v>35168</v>
      </c>
      <c r="W15187" t="s">
        <v>35169</v>
      </c>
      <c r="X15187" t="s">
        <v>42</v>
      </c>
      <c r="Y15187" t="s">
        <v>34454</v>
      </c>
      <c r="Z15187" t="s">
        <v>166</v>
      </c>
      <c r="AA15187" s="22" t="str">
        <f>HYPERLINK("https://www.ncbi.nlm.nih.gov/nuccore/V01201","NCBI Nucleotide")</f>
        <v>NCBI Nucleotide</v>
      </c>
    </row>
    <row r="15188" spans="1:27" x14ac:dyDescent="0.35">
      <c r="A15188">
        <v>1004103</v>
      </c>
      <c r="B15188">
        <v>13700</v>
      </c>
      <c r="C15188">
        <v>1</v>
      </c>
      <c r="D15188" t="s">
        <v>17166</v>
      </c>
      <c r="F15188" t="s">
        <v>34315</v>
      </c>
      <c r="H15188" t="s">
        <v>34316</v>
      </c>
      <c r="J15188" t="s">
        <v>34317</v>
      </c>
      <c r="L15188" t="s">
        <v>34448</v>
      </c>
      <c r="N15188" t="s">
        <v>35053</v>
      </c>
      <c r="O15188" t="s">
        <v>35054</v>
      </c>
      <c r="P15188" t="s">
        <v>35170</v>
      </c>
      <c r="R15188" s="26" t="str">
        <f>HYPERLINK("https://ictv.global/taxonomy/taxondetails?taxnode_id=202305026","Lentivirus bovimdef")</f>
        <v>Lentivirus bovimdef</v>
      </c>
      <c r="S15188" t="s">
        <v>30</v>
      </c>
      <c r="T15188" t="s">
        <v>35171</v>
      </c>
      <c r="U15188" t="s">
        <v>35172</v>
      </c>
      <c r="V15188" t="s">
        <v>35173</v>
      </c>
      <c r="W15188" t="s">
        <v>35174</v>
      </c>
      <c r="X15188" t="s">
        <v>42</v>
      </c>
      <c r="Y15188" t="s">
        <v>34454</v>
      </c>
      <c r="Z15188" t="s">
        <v>166</v>
      </c>
      <c r="AA15188" s="22" t="str">
        <f>HYPERLINK("https://www.ncbi.nlm.nih.gov/nuccore/M32690","NCBI Nucleotide")</f>
        <v>NCBI Nucleotide</v>
      </c>
    </row>
    <row r="15189" spans="1:27" x14ac:dyDescent="0.35">
      <c r="A15189">
        <v>1004109</v>
      </c>
      <c r="B15189">
        <v>13701</v>
      </c>
      <c r="C15189">
        <v>1</v>
      </c>
      <c r="D15189" t="s">
        <v>17166</v>
      </c>
      <c r="F15189" t="s">
        <v>34315</v>
      </c>
      <c r="H15189" t="s">
        <v>34316</v>
      </c>
      <c r="J15189" t="s">
        <v>34317</v>
      </c>
      <c r="L15189" t="s">
        <v>34448</v>
      </c>
      <c r="N15189" t="s">
        <v>35053</v>
      </c>
      <c r="O15189" t="s">
        <v>35054</v>
      </c>
      <c r="P15189" t="s">
        <v>35170</v>
      </c>
      <c r="R15189" s="26" t="str">
        <f>HYPERLINK("https://ictv.global/taxonomy/taxondetails?taxnode_id=202305032","Lentivirus bovjem")</f>
        <v>Lentivirus bovjem</v>
      </c>
      <c r="S15189" t="s">
        <v>30</v>
      </c>
      <c r="T15189" t="s">
        <v>35192</v>
      </c>
      <c r="U15189" t="s">
        <v>27657</v>
      </c>
      <c r="V15189" t="s">
        <v>35193</v>
      </c>
      <c r="W15189" t="s">
        <v>35194</v>
      </c>
      <c r="X15189" t="s">
        <v>42</v>
      </c>
      <c r="Y15189" t="s">
        <v>34454</v>
      </c>
      <c r="Z15189" t="s">
        <v>166</v>
      </c>
      <c r="AA15189" s="22" t="str">
        <f>HYPERLINK("https://www.ncbi.nlm.nih.gov/nuccore/U21603","NCBI Nucleotide")</f>
        <v>NCBI Nucleotide</v>
      </c>
    </row>
    <row r="15190" spans="1:27" x14ac:dyDescent="0.35">
      <c r="A15190">
        <v>1004104</v>
      </c>
      <c r="B15190">
        <v>13702</v>
      </c>
      <c r="C15190">
        <v>1</v>
      </c>
      <c r="D15190" t="s">
        <v>17166</v>
      </c>
      <c r="F15190" t="s">
        <v>34315</v>
      </c>
      <c r="H15190" t="s">
        <v>34316</v>
      </c>
      <c r="J15190" t="s">
        <v>34317</v>
      </c>
      <c r="L15190" t="s">
        <v>34448</v>
      </c>
      <c r="N15190" t="s">
        <v>35053</v>
      </c>
      <c r="O15190" t="s">
        <v>35054</v>
      </c>
      <c r="P15190" t="s">
        <v>35170</v>
      </c>
      <c r="R15190" s="26" t="str">
        <f>HYPERLINK("https://ictv.global/taxonomy/taxondetails?taxnode_id=202305027","Lentivirus capartenc")</f>
        <v>Lentivirus capartenc</v>
      </c>
      <c r="S15190" t="s">
        <v>30</v>
      </c>
      <c r="T15190" t="s">
        <v>35175</v>
      </c>
      <c r="U15190" t="s">
        <v>35176</v>
      </c>
      <c r="V15190" t="s">
        <v>35177</v>
      </c>
      <c r="W15190" t="s">
        <v>35178</v>
      </c>
      <c r="X15190" t="s">
        <v>42</v>
      </c>
      <c r="Y15190" t="s">
        <v>34454</v>
      </c>
      <c r="Z15190" t="s">
        <v>166</v>
      </c>
      <c r="AA15190" s="22" t="str">
        <f>HYPERLINK("https://www.ncbi.nlm.nih.gov/nuccore/M33677","NCBI Nucleotide")</f>
        <v>NCBI Nucleotide</v>
      </c>
    </row>
    <row r="15191" spans="1:27" x14ac:dyDescent="0.35">
      <c r="A15191">
        <v>1004105</v>
      </c>
      <c r="B15191">
        <v>13703</v>
      </c>
      <c r="C15191">
        <v>1</v>
      </c>
      <c r="D15191" t="s">
        <v>17166</v>
      </c>
      <c r="F15191" t="s">
        <v>34315</v>
      </c>
      <c r="H15191" t="s">
        <v>34316</v>
      </c>
      <c r="J15191" t="s">
        <v>34317</v>
      </c>
      <c r="L15191" t="s">
        <v>34448</v>
      </c>
      <c r="N15191" t="s">
        <v>35053</v>
      </c>
      <c r="O15191" t="s">
        <v>35054</v>
      </c>
      <c r="P15191" t="s">
        <v>35170</v>
      </c>
      <c r="R15191" s="26" t="str">
        <f>HYPERLINK("https://ictv.global/taxonomy/taxondetails?taxnode_id=202305028","Lentivirus equinfane")</f>
        <v>Lentivirus equinfane</v>
      </c>
      <c r="S15191" t="s">
        <v>30</v>
      </c>
      <c r="T15191" t="s">
        <v>35179</v>
      </c>
      <c r="U15191" t="s">
        <v>16161</v>
      </c>
      <c r="W15191" t="s">
        <v>35180</v>
      </c>
      <c r="X15191" t="s">
        <v>42</v>
      </c>
      <c r="Y15191" t="s">
        <v>34454</v>
      </c>
      <c r="Z15191" t="s">
        <v>166</v>
      </c>
      <c r="AA15191" s="22" t="str">
        <f>HYPERLINK("https://www.ncbi.nlm.nih.gov/nuccore/U01866","NCBI Nucleotide")</f>
        <v>NCBI Nucleotide</v>
      </c>
    </row>
    <row r="15192" spans="1:27" x14ac:dyDescent="0.35">
      <c r="A15192">
        <v>1004106</v>
      </c>
      <c r="B15192">
        <v>13704</v>
      </c>
      <c r="C15192">
        <v>1</v>
      </c>
      <c r="D15192" t="s">
        <v>17166</v>
      </c>
      <c r="F15192" t="s">
        <v>34315</v>
      </c>
      <c r="H15192" t="s">
        <v>34316</v>
      </c>
      <c r="J15192" t="s">
        <v>34317</v>
      </c>
      <c r="L15192" t="s">
        <v>34448</v>
      </c>
      <c r="N15192" t="s">
        <v>35053</v>
      </c>
      <c r="O15192" t="s">
        <v>35054</v>
      </c>
      <c r="P15192" t="s">
        <v>35170</v>
      </c>
      <c r="R15192" s="26" t="str">
        <f>HYPERLINK("https://ictv.global/taxonomy/taxondetails?taxnode_id=202305029","Lentivirus felimdef")</f>
        <v>Lentivirus felimdef</v>
      </c>
      <c r="S15192" t="s">
        <v>30</v>
      </c>
      <c r="T15192" t="s">
        <v>35181</v>
      </c>
      <c r="U15192" t="s">
        <v>35182</v>
      </c>
      <c r="V15192" t="s">
        <v>35183</v>
      </c>
      <c r="W15192" t="s">
        <v>35184</v>
      </c>
      <c r="X15192" t="s">
        <v>42</v>
      </c>
      <c r="Y15192" t="s">
        <v>34454</v>
      </c>
      <c r="Z15192" t="s">
        <v>166</v>
      </c>
      <c r="AA15192" s="22" t="str">
        <f>HYPERLINK("https://www.ncbi.nlm.nih.gov/nuccore/M25381","NCBI Nucleotide")</f>
        <v>NCBI Nucleotide</v>
      </c>
    </row>
    <row r="15193" spans="1:27" x14ac:dyDescent="0.35">
      <c r="A15193">
        <v>1004107</v>
      </c>
      <c r="B15193">
        <v>13705</v>
      </c>
      <c r="C15193">
        <v>1</v>
      </c>
      <c r="D15193" t="s">
        <v>17166</v>
      </c>
      <c r="F15193" t="s">
        <v>34315</v>
      </c>
      <c r="H15193" t="s">
        <v>34316</v>
      </c>
      <c r="J15193" t="s">
        <v>34317</v>
      </c>
      <c r="L15193" t="s">
        <v>34448</v>
      </c>
      <c r="N15193" t="s">
        <v>35053</v>
      </c>
      <c r="O15193" t="s">
        <v>35054</v>
      </c>
      <c r="P15193" t="s">
        <v>35170</v>
      </c>
      <c r="R15193" s="26" t="str">
        <f>HYPERLINK("https://ictv.global/taxonomy/taxondetails?taxnode_id=202305030","Lentivirus humimdef1")</f>
        <v>Lentivirus humimdef1</v>
      </c>
      <c r="S15193" t="s">
        <v>30</v>
      </c>
      <c r="T15193" t="s">
        <v>35185</v>
      </c>
      <c r="U15193" t="s">
        <v>35186</v>
      </c>
      <c r="W15193" t="s">
        <v>35187</v>
      </c>
      <c r="X15193" t="s">
        <v>42</v>
      </c>
      <c r="Y15193" t="s">
        <v>34454</v>
      </c>
      <c r="Z15193" t="s">
        <v>166</v>
      </c>
      <c r="AA15193" s="22" t="str">
        <f>HYPERLINK("https://www.ncbi.nlm.nih.gov/nuccore/AF033819","NCBI Nucleotide")</f>
        <v>NCBI Nucleotide</v>
      </c>
    </row>
    <row r="15194" spans="1:27" x14ac:dyDescent="0.35">
      <c r="A15194">
        <v>1004108</v>
      </c>
      <c r="B15194">
        <v>13706</v>
      </c>
      <c r="C15194">
        <v>1</v>
      </c>
      <c r="D15194" t="s">
        <v>17166</v>
      </c>
      <c r="F15194" t="s">
        <v>34315</v>
      </c>
      <c r="H15194" t="s">
        <v>34316</v>
      </c>
      <c r="J15194" t="s">
        <v>34317</v>
      </c>
      <c r="L15194" t="s">
        <v>34448</v>
      </c>
      <c r="N15194" t="s">
        <v>35053</v>
      </c>
      <c r="O15194" t="s">
        <v>35054</v>
      </c>
      <c r="P15194" t="s">
        <v>35170</v>
      </c>
      <c r="R15194" s="26" t="str">
        <f>HYPERLINK("https://ictv.global/taxonomy/taxondetails?taxnode_id=202305031","Lentivirus humimdef2")</f>
        <v>Lentivirus humimdef2</v>
      </c>
      <c r="S15194" t="s">
        <v>30</v>
      </c>
      <c r="T15194" t="s">
        <v>35188</v>
      </c>
      <c r="U15194" t="s">
        <v>35189</v>
      </c>
      <c r="V15194" t="s">
        <v>35190</v>
      </c>
      <c r="W15194" t="s">
        <v>35191</v>
      </c>
      <c r="X15194" t="s">
        <v>42</v>
      </c>
      <c r="Y15194" t="s">
        <v>34454</v>
      </c>
      <c r="Z15194" t="s">
        <v>166</v>
      </c>
      <c r="AA15194" s="22" t="str">
        <f>HYPERLINK("https://www.ncbi.nlm.nih.gov/nuccore/M30502","NCBI Nucleotide")</f>
        <v>NCBI Nucleotide</v>
      </c>
    </row>
    <row r="15195" spans="1:27" x14ac:dyDescent="0.35">
      <c r="A15195">
        <v>1004112</v>
      </c>
      <c r="B15195">
        <v>13707</v>
      </c>
      <c r="C15195">
        <v>1</v>
      </c>
      <c r="D15195" t="s">
        <v>17166</v>
      </c>
      <c r="F15195" t="s">
        <v>34315</v>
      </c>
      <c r="H15195" t="s">
        <v>34316</v>
      </c>
      <c r="J15195" t="s">
        <v>34317</v>
      </c>
      <c r="L15195" t="s">
        <v>34448</v>
      </c>
      <c r="N15195" t="s">
        <v>35053</v>
      </c>
      <c r="O15195" t="s">
        <v>35054</v>
      </c>
      <c r="P15195" t="s">
        <v>35170</v>
      </c>
      <c r="R15195" s="26" t="str">
        <f>HYPERLINK("https://ictv.global/taxonomy/taxondetails?taxnode_id=202305035","Lentivirus ovivismae")</f>
        <v>Lentivirus ovivismae</v>
      </c>
      <c r="S15195" t="s">
        <v>30</v>
      </c>
      <c r="T15195" t="s">
        <v>35200</v>
      </c>
      <c r="U15195" t="s">
        <v>35201</v>
      </c>
      <c r="V15195" t="s">
        <v>35202</v>
      </c>
      <c r="W15195" t="s">
        <v>35203</v>
      </c>
      <c r="X15195" t="s">
        <v>42</v>
      </c>
      <c r="Y15195" t="s">
        <v>34454</v>
      </c>
      <c r="Z15195" t="s">
        <v>166</v>
      </c>
      <c r="AA15195" s="22" t="str">
        <f>HYPERLINK("https://www.ncbi.nlm.nih.gov/nuccore/L06906","NCBI Nucleotide")</f>
        <v>NCBI Nucleotide</v>
      </c>
    </row>
    <row r="15196" spans="1:27" x14ac:dyDescent="0.35">
      <c r="A15196">
        <v>1004110</v>
      </c>
      <c r="B15196">
        <v>13708</v>
      </c>
      <c r="C15196">
        <v>1</v>
      </c>
      <c r="D15196" t="s">
        <v>17166</v>
      </c>
      <c r="F15196" t="s">
        <v>34315</v>
      </c>
      <c r="H15196" t="s">
        <v>34316</v>
      </c>
      <c r="J15196" t="s">
        <v>34317</v>
      </c>
      <c r="L15196" t="s">
        <v>34448</v>
      </c>
      <c r="N15196" t="s">
        <v>35053</v>
      </c>
      <c r="O15196" t="s">
        <v>35054</v>
      </c>
      <c r="P15196" t="s">
        <v>35170</v>
      </c>
      <c r="R15196" s="26" t="str">
        <f>HYPERLINK("https://ictv.global/taxonomy/taxondetails?taxnode_id=202305033","Lentivirus pum")</f>
        <v>Lentivirus pum</v>
      </c>
      <c r="S15196" t="s">
        <v>30</v>
      </c>
      <c r="T15196" t="s">
        <v>35195</v>
      </c>
      <c r="U15196" t="s">
        <v>19443</v>
      </c>
      <c r="V15196">
        <v>14</v>
      </c>
      <c r="W15196" t="s">
        <v>35196</v>
      </c>
      <c r="X15196" t="s">
        <v>35</v>
      </c>
      <c r="Y15196" t="s">
        <v>34454</v>
      </c>
      <c r="Z15196" t="s">
        <v>166</v>
      </c>
      <c r="AA15196" s="22" t="str">
        <f>HYPERLINK("https://www.ncbi.nlm.nih.gov/nuccore/U03982","NCBI Nucleotide")</f>
        <v>NCBI Nucleotide</v>
      </c>
    </row>
    <row r="15197" spans="1:27" x14ac:dyDescent="0.35">
      <c r="A15197">
        <v>1004111</v>
      </c>
      <c r="B15197">
        <v>13709</v>
      </c>
      <c r="C15197">
        <v>1</v>
      </c>
      <c r="D15197" t="s">
        <v>17166</v>
      </c>
      <c r="F15197" t="s">
        <v>34315</v>
      </c>
      <c r="H15197" t="s">
        <v>34316</v>
      </c>
      <c r="J15197" t="s">
        <v>34317</v>
      </c>
      <c r="L15197" t="s">
        <v>34448</v>
      </c>
      <c r="N15197" t="s">
        <v>35053</v>
      </c>
      <c r="O15197" t="s">
        <v>35054</v>
      </c>
      <c r="P15197" t="s">
        <v>35170</v>
      </c>
      <c r="R15197" s="26" t="str">
        <f>HYPERLINK("https://ictv.global/taxonomy/taxondetails?taxnode_id=202305034","Lentivirus simimdef")</f>
        <v>Lentivirus simimdef</v>
      </c>
      <c r="S15197" t="s">
        <v>30</v>
      </c>
      <c r="T15197" t="s">
        <v>35197</v>
      </c>
      <c r="U15197" t="s">
        <v>35198</v>
      </c>
      <c r="W15197" t="s">
        <v>35199</v>
      </c>
      <c r="X15197" t="s">
        <v>42</v>
      </c>
      <c r="Y15197" t="s">
        <v>34454</v>
      </c>
      <c r="Z15197" t="s">
        <v>166</v>
      </c>
      <c r="AA15197" s="22" t="str">
        <f>HYPERLINK("https://www.ncbi.nlm.nih.gov/nuccore/M58410","NCBI Nucleotide")</f>
        <v>NCBI Nucleotide</v>
      </c>
    </row>
    <row r="15198" spans="1:27" x14ac:dyDescent="0.35">
      <c r="A15198">
        <v>1004113</v>
      </c>
      <c r="B15198">
        <v>13710</v>
      </c>
      <c r="C15198">
        <v>1</v>
      </c>
      <c r="D15198" t="s">
        <v>17166</v>
      </c>
      <c r="F15198" t="s">
        <v>34315</v>
      </c>
      <c r="H15198" t="s">
        <v>34316</v>
      </c>
      <c r="J15198" t="s">
        <v>34317</v>
      </c>
      <c r="L15198" t="s">
        <v>34448</v>
      </c>
      <c r="N15198" t="s">
        <v>35053</v>
      </c>
      <c r="O15198" t="s">
        <v>35204</v>
      </c>
      <c r="P15198" t="s">
        <v>35205</v>
      </c>
      <c r="R15198" s="26" t="str">
        <f>HYPERLINK("https://ictv.global/taxonomy/taxondetails?taxnode_id=202305039","Bovispumavirus bostau")</f>
        <v>Bovispumavirus bostau</v>
      </c>
      <c r="S15198" t="s">
        <v>30</v>
      </c>
      <c r="T15198" t="s">
        <v>35206</v>
      </c>
      <c r="U15198" t="s">
        <v>35207</v>
      </c>
      <c r="V15198" t="s">
        <v>35208</v>
      </c>
      <c r="W15198" t="s">
        <v>35209</v>
      </c>
      <c r="X15198" t="s">
        <v>42</v>
      </c>
      <c r="Y15198" t="s">
        <v>34454</v>
      </c>
      <c r="Z15198" t="s">
        <v>166</v>
      </c>
      <c r="AA15198" s="22" t="str">
        <f>HYPERLINK("https://www.ncbi.nlm.nih.gov/nuccore/U94514","NCBI Nucleotide")</f>
        <v>NCBI Nucleotide</v>
      </c>
    </row>
    <row r="15199" spans="1:27" x14ac:dyDescent="0.35">
      <c r="A15199">
        <v>1004114</v>
      </c>
      <c r="B15199">
        <v>13711</v>
      </c>
      <c r="C15199">
        <v>1</v>
      </c>
      <c r="D15199" t="s">
        <v>17166</v>
      </c>
      <c r="F15199" t="s">
        <v>34315</v>
      </c>
      <c r="H15199" t="s">
        <v>34316</v>
      </c>
      <c r="J15199" t="s">
        <v>34317</v>
      </c>
      <c r="L15199" t="s">
        <v>34448</v>
      </c>
      <c r="N15199" t="s">
        <v>35053</v>
      </c>
      <c r="O15199" t="s">
        <v>35204</v>
      </c>
      <c r="P15199" t="s">
        <v>35210</v>
      </c>
      <c r="R15199" s="26" t="str">
        <f>HYPERLINK("https://ictv.global/taxonomy/taxondetails?taxnode_id=202305040","Equispumavirus equcab")</f>
        <v>Equispumavirus equcab</v>
      </c>
      <c r="S15199" t="s">
        <v>30</v>
      </c>
      <c r="T15199" t="s">
        <v>35211</v>
      </c>
      <c r="U15199" t="s">
        <v>35212</v>
      </c>
      <c r="V15199">
        <v>1</v>
      </c>
      <c r="W15199" t="s">
        <v>35213</v>
      </c>
      <c r="X15199" t="s">
        <v>42</v>
      </c>
      <c r="Y15199" t="s">
        <v>34454</v>
      </c>
      <c r="Z15199" t="s">
        <v>166</v>
      </c>
      <c r="AA15199" s="22" t="str">
        <f>HYPERLINK("https://www.ncbi.nlm.nih.gov/nuccore/AF201902","NCBI Nucleotide")</f>
        <v>NCBI Nucleotide</v>
      </c>
    </row>
    <row r="15200" spans="1:27" x14ac:dyDescent="0.35">
      <c r="A15200">
        <v>1004115</v>
      </c>
      <c r="B15200">
        <v>13712</v>
      </c>
      <c r="C15200">
        <v>1</v>
      </c>
      <c r="D15200" t="s">
        <v>17166</v>
      </c>
      <c r="F15200" t="s">
        <v>34315</v>
      </c>
      <c r="H15200" t="s">
        <v>34316</v>
      </c>
      <c r="J15200" t="s">
        <v>34317</v>
      </c>
      <c r="L15200" t="s">
        <v>34448</v>
      </c>
      <c r="N15200" t="s">
        <v>35053</v>
      </c>
      <c r="O15200" t="s">
        <v>35204</v>
      </c>
      <c r="P15200" t="s">
        <v>35214</v>
      </c>
      <c r="R15200" s="26" t="str">
        <f>HYPERLINK("https://ictv.global/taxonomy/taxondetails?taxnode_id=202305041","Felispumavirus felcat")</f>
        <v>Felispumavirus felcat</v>
      </c>
      <c r="S15200" t="s">
        <v>30</v>
      </c>
      <c r="T15200" t="s">
        <v>35215</v>
      </c>
      <c r="U15200" t="s">
        <v>35216</v>
      </c>
      <c r="V15200" t="s">
        <v>35217</v>
      </c>
      <c r="W15200" t="s">
        <v>35218</v>
      </c>
      <c r="X15200" t="s">
        <v>42</v>
      </c>
      <c r="Y15200" t="s">
        <v>34454</v>
      </c>
      <c r="Z15200" t="s">
        <v>166</v>
      </c>
      <c r="AA15200" s="22" t="str">
        <f>HYPERLINK("https://www.ncbi.nlm.nih.gov/nuccore/Y08851","NCBI Nucleotide")</f>
        <v>NCBI Nucleotide</v>
      </c>
    </row>
    <row r="15201" spans="1:27" x14ac:dyDescent="0.35">
      <c r="A15201">
        <v>1004116</v>
      </c>
      <c r="B15201">
        <v>13713</v>
      </c>
      <c r="C15201">
        <v>1</v>
      </c>
      <c r="D15201" t="s">
        <v>17166</v>
      </c>
      <c r="F15201" t="s">
        <v>34315</v>
      </c>
      <c r="H15201" t="s">
        <v>34316</v>
      </c>
      <c r="J15201" t="s">
        <v>34317</v>
      </c>
      <c r="L15201" t="s">
        <v>34448</v>
      </c>
      <c r="N15201" t="s">
        <v>35053</v>
      </c>
      <c r="O15201" t="s">
        <v>35204</v>
      </c>
      <c r="P15201" t="s">
        <v>35219</v>
      </c>
      <c r="R15201" s="26" t="str">
        <f>HYPERLINK("https://ictv.global/taxonomy/taxondetails?taxnode_id=202305932","Prosimiispumavirus otocra")</f>
        <v>Prosimiispumavirus otocra</v>
      </c>
      <c r="S15201" t="s">
        <v>30</v>
      </c>
      <c r="T15201" t="s">
        <v>35220</v>
      </c>
      <c r="U15201" t="s">
        <v>35221</v>
      </c>
      <c r="V15201">
        <v>1557</v>
      </c>
      <c r="W15201" t="s">
        <v>35222</v>
      </c>
      <c r="X15201" t="s">
        <v>42</v>
      </c>
      <c r="Y15201" t="s">
        <v>34454</v>
      </c>
      <c r="Z15201" t="s">
        <v>166</v>
      </c>
      <c r="AA15201" s="22" t="str">
        <f>HYPERLINK("https://www.ncbi.nlm.nih.gov/nuccore/KM233624","NCBI Nucleotide")</f>
        <v>NCBI Nucleotide</v>
      </c>
    </row>
    <row r="15202" spans="1:27" x14ac:dyDescent="0.35">
      <c r="A15202">
        <v>1004125</v>
      </c>
      <c r="B15202">
        <v>13714</v>
      </c>
      <c r="C15202">
        <v>1</v>
      </c>
      <c r="D15202" t="s">
        <v>17166</v>
      </c>
      <c r="F15202" t="s">
        <v>34315</v>
      </c>
      <c r="H15202" t="s">
        <v>34316</v>
      </c>
      <c r="J15202" t="s">
        <v>34317</v>
      </c>
      <c r="L15202" t="s">
        <v>34448</v>
      </c>
      <c r="N15202" t="s">
        <v>35053</v>
      </c>
      <c r="O15202" t="s">
        <v>35204</v>
      </c>
      <c r="P15202" t="s">
        <v>35223</v>
      </c>
      <c r="R15202" s="26" t="str">
        <f>HYPERLINK("https://ictv.global/taxonomy/taxondetails?taxnode_id=202305939","Simiispumavirus atespp")</f>
        <v>Simiispumavirus atespp</v>
      </c>
      <c r="S15202" t="s">
        <v>30</v>
      </c>
      <c r="T15202" t="s">
        <v>50982</v>
      </c>
      <c r="U15202" t="s">
        <v>35256</v>
      </c>
      <c r="V15202" t="s">
        <v>35257</v>
      </c>
      <c r="W15202" t="s">
        <v>35258</v>
      </c>
      <c r="X15202" t="s">
        <v>42</v>
      </c>
      <c r="Y15202" t="s">
        <v>34454</v>
      </c>
      <c r="Z15202" t="s">
        <v>166</v>
      </c>
      <c r="AA15202" s="22" t="str">
        <f>HYPERLINK("https://www.ncbi.nlm.nih.gov/nuccore/EU010385","NCBI Nucleotide")</f>
        <v>NCBI Nucleotide</v>
      </c>
    </row>
    <row r="15203" spans="1:27" x14ac:dyDescent="0.35">
      <c r="A15203">
        <v>1004130</v>
      </c>
      <c r="B15203">
        <v>13715</v>
      </c>
      <c r="C15203">
        <v>1</v>
      </c>
      <c r="D15203" t="s">
        <v>17166</v>
      </c>
      <c r="F15203" t="s">
        <v>34315</v>
      </c>
      <c r="H15203" t="s">
        <v>34316</v>
      </c>
      <c r="J15203" t="s">
        <v>34317</v>
      </c>
      <c r="L15203" t="s">
        <v>34448</v>
      </c>
      <c r="N15203" t="s">
        <v>35053</v>
      </c>
      <c r="O15203" t="s">
        <v>35204</v>
      </c>
      <c r="P15203" t="s">
        <v>35223</v>
      </c>
      <c r="R15203" s="26" t="str">
        <f>HYPERLINK("https://ictv.global/taxonomy/taxondetails?taxnode_id=202305943","Simiispumavirus caljac")</f>
        <v>Simiispumavirus caljac</v>
      </c>
      <c r="S15203" t="s">
        <v>30</v>
      </c>
      <c r="T15203" t="s">
        <v>35274</v>
      </c>
      <c r="U15203" t="s">
        <v>35275</v>
      </c>
      <c r="V15203" t="s">
        <v>35276</v>
      </c>
      <c r="W15203" t="s">
        <v>35277</v>
      </c>
      <c r="X15203" t="s">
        <v>42</v>
      </c>
      <c r="Y15203" t="s">
        <v>34454</v>
      </c>
      <c r="Z15203" t="s">
        <v>166</v>
      </c>
      <c r="AA15203" s="22" t="str">
        <f>HYPERLINK("https://www.ncbi.nlm.nih.gov/nuccore/GU356395","NCBI Nucleotide")</f>
        <v>NCBI Nucleotide</v>
      </c>
    </row>
    <row r="15204" spans="1:27" x14ac:dyDescent="0.35">
      <c r="A15204">
        <v>1004122</v>
      </c>
      <c r="B15204">
        <v>13716</v>
      </c>
      <c r="C15204">
        <v>1</v>
      </c>
      <c r="D15204" t="s">
        <v>17166</v>
      </c>
      <c r="F15204" t="s">
        <v>34315</v>
      </c>
      <c r="H15204" t="s">
        <v>34316</v>
      </c>
      <c r="J15204" t="s">
        <v>34317</v>
      </c>
      <c r="L15204" t="s">
        <v>34448</v>
      </c>
      <c r="N15204" t="s">
        <v>35053</v>
      </c>
      <c r="O15204" t="s">
        <v>35204</v>
      </c>
      <c r="P15204" t="s">
        <v>35223</v>
      </c>
      <c r="R15204" s="26" t="str">
        <f>HYPERLINK("https://ictv.global/taxonomy/taxondetails?taxnode_id=202305936","Simiispumavirus cernic")</f>
        <v>Simiispumavirus cernic</v>
      </c>
      <c r="S15204" t="s">
        <v>30</v>
      </c>
      <c r="T15204" t="s">
        <v>35244</v>
      </c>
      <c r="U15204" t="s">
        <v>35245</v>
      </c>
      <c r="V15204" t="s">
        <v>35246</v>
      </c>
      <c r="W15204" t="s">
        <v>35247</v>
      </c>
      <c r="X15204" t="s">
        <v>42</v>
      </c>
      <c r="Y15204" t="s">
        <v>34454</v>
      </c>
      <c r="Z15204" t="s">
        <v>166</v>
      </c>
      <c r="AA15204" s="22" t="str">
        <f>HYPERLINK("https://www.ncbi.nlm.nih.gov/nuccore/JQ867466","NCBI Nucleotide")</f>
        <v>NCBI Nucleotide</v>
      </c>
    </row>
    <row r="15205" spans="1:27" x14ac:dyDescent="0.35">
      <c r="A15205">
        <v>1004121</v>
      </c>
      <c r="B15205">
        <v>13717</v>
      </c>
      <c r="C15205">
        <v>1</v>
      </c>
      <c r="D15205" t="s">
        <v>17166</v>
      </c>
      <c r="F15205" t="s">
        <v>34315</v>
      </c>
      <c r="H15205" t="s">
        <v>34316</v>
      </c>
      <c r="J15205" t="s">
        <v>34317</v>
      </c>
      <c r="L15205" t="s">
        <v>34448</v>
      </c>
      <c r="N15205" t="s">
        <v>35053</v>
      </c>
      <c r="O15205" t="s">
        <v>35204</v>
      </c>
      <c r="P15205" t="s">
        <v>35223</v>
      </c>
      <c r="R15205" s="26" t="str">
        <f>HYPERLINK("https://ictv.global/taxonomy/taxondetails?taxnode_id=202305038","Simiispumavirus chlaet")</f>
        <v>Simiispumavirus chlaet</v>
      </c>
      <c r="S15205" t="s">
        <v>30</v>
      </c>
      <c r="T15205" t="s">
        <v>35240</v>
      </c>
      <c r="U15205" t="s">
        <v>35241</v>
      </c>
      <c r="V15205" t="s">
        <v>35242</v>
      </c>
      <c r="W15205" t="s">
        <v>35243</v>
      </c>
      <c r="X15205" t="s">
        <v>42</v>
      </c>
      <c r="Y15205" t="s">
        <v>34454</v>
      </c>
      <c r="Z15205" t="s">
        <v>166</v>
      </c>
      <c r="AA15205" s="22" t="str">
        <f>HYPERLINK("https://www.ncbi.nlm.nih.gov/nuccore/M74895","NCBI Nucleotide")</f>
        <v>NCBI Nucleotide</v>
      </c>
    </row>
    <row r="15206" spans="1:27" x14ac:dyDescent="0.35">
      <c r="A15206">
        <v>1004129</v>
      </c>
      <c r="B15206">
        <v>13718</v>
      </c>
      <c r="C15206">
        <v>1</v>
      </c>
      <c r="D15206" t="s">
        <v>17166</v>
      </c>
      <c r="F15206" t="s">
        <v>34315</v>
      </c>
      <c r="H15206" t="s">
        <v>34316</v>
      </c>
      <c r="J15206" t="s">
        <v>34317</v>
      </c>
      <c r="L15206" t="s">
        <v>34448</v>
      </c>
      <c r="N15206" t="s">
        <v>35053</v>
      </c>
      <c r="O15206" t="s">
        <v>35204</v>
      </c>
      <c r="P15206" t="s">
        <v>35223</v>
      </c>
      <c r="R15206" s="26" t="str">
        <f>HYPERLINK("https://ictv.global/taxonomy/taxondetails?taxnode_id=202305942","Simiispumavirus gorgorgor")</f>
        <v>Simiispumavirus gorgorgor</v>
      </c>
      <c r="S15206" t="s">
        <v>30</v>
      </c>
      <c r="T15206" t="s">
        <v>35270</v>
      </c>
      <c r="U15206" t="s">
        <v>35271</v>
      </c>
      <c r="V15206" t="s">
        <v>35272</v>
      </c>
      <c r="W15206" t="s">
        <v>35273</v>
      </c>
      <c r="X15206" t="s">
        <v>42</v>
      </c>
      <c r="Y15206" t="s">
        <v>34454</v>
      </c>
      <c r="Z15206" t="s">
        <v>166</v>
      </c>
      <c r="AA15206" s="22" t="str">
        <f>HYPERLINK("https://www.ncbi.nlm.nih.gov/nuccore/HM245790","NCBI Nucleotide")</f>
        <v>NCBI Nucleotide</v>
      </c>
    </row>
    <row r="15207" spans="1:27" x14ac:dyDescent="0.35">
      <c r="A15207">
        <v>1004127</v>
      </c>
      <c r="B15207">
        <v>13719</v>
      </c>
      <c r="C15207">
        <v>1</v>
      </c>
      <c r="D15207" t="s">
        <v>17166</v>
      </c>
      <c r="F15207" t="s">
        <v>34315</v>
      </c>
      <c r="H15207" t="s">
        <v>34316</v>
      </c>
      <c r="J15207" t="s">
        <v>34317</v>
      </c>
      <c r="L15207" t="s">
        <v>34448</v>
      </c>
      <c r="N15207" t="s">
        <v>35053</v>
      </c>
      <c r="O15207" t="s">
        <v>35204</v>
      </c>
      <c r="P15207" t="s">
        <v>35223</v>
      </c>
      <c r="R15207" s="26" t="str">
        <f>HYPERLINK("https://ictv.global/taxonomy/taxondetails?taxnode_id=202305042","Simiispumavirus maccyc")</f>
        <v>Simiispumavirus maccyc</v>
      </c>
      <c r="S15207" t="s">
        <v>30</v>
      </c>
      <c r="T15207" t="s">
        <v>35262</v>
      </c>
      <c r="U15207" t="s">
        <v>35263</v>
      </c>
      <c r="V15207" t="s">
        <v>35264</v>
      </c>
      <c r="W15207" t="s">
        <v>35265</v>
      </c>
      <c r="X15207" t="s">
        <v>42</v>
      </c>
      <c r="Y15207" t="s">
        <v>34454</v>
      </c>
      <c r="Z15207" t="s">
        <v>166</v>
      </c>
      <c r="AA15207" s="22" t="str">
        <f>HYPERLINK("https://www.ncbi.nlm.nih.gov/nuccore/X54482","NCBI Nucleotide")</f>
        <v>NCBI Nucleotide</v>
      </c>
    </row>
    <row r="15208" spans="1:27" x14ac:dyDescent="0.35">
      <c r="A15208">
        <v>1004119</v>
      </c>
      <c r="B15208">
        <v>13720</v>
      </c>
      <c r="C15208">
        <v>1</v>
      </c>
      <c r="D15208" t="s">
        <v>17166</v>
      </c>
      <c r="F15208" t="s">
        <v>34315</v>
      </c>
      <c r="H15208" t="s">
        <v>34316</v>
      </c>
      <c r="J15208" t="s">
        <v>34317</v>
      </c>
      <c r="L15208" t="s">
        <v>34448</v>
      </c>
      <c r="N15208" t="s">
        <v>35053</v>
      </c>
      <c r="O15208" t="s">
        <v>35204</v>
      </c>
      <c r="P15208" t="s">
        <v>35223</v>
      </c>
      <c r="R15208" s="26" t="str">
        <f>HYPERLINK("https://ictv.global/taxonomy/taxondetails?taxnode_id=202306445","Simiispumavirus macfas")</f>
        <v>Simiispumavirus macfas</v>
      </c>
      <c r="S15208" t="s">
        <v>30</v>
      </c>
      <c r="T15208" t="s">
        <v>35232</v>
      </c>
      <c r="U15208" t="s">
        <v>35233</v>
      </c>
      <c r="V15208" t="s">
        <v>35234</v>
      </c>
      <c r="W15208" t="s">
        <v>35235</v>
      </c>
      <c r="X15208" t="s">
        <v>42</v>
      </c>
      <c r="Y15208" t="s">
        <v>34454</v>
      </c>
      <c r="Z15208" t="s">
        <v>166</v>
      </c>
      <c r="AA15208" s="22" t="str">
        <f>HYPERLINK("https://www.ncbi.nlm.nih.gov/nuccore/LC094267","NCBI Nucleotide")</f>
        <v>NCBI Nucleotide</v>
      </c>
    </row>
    <row r="15209" spans="1:27" x14ac:dyDescent="0.35">
      <c r="A15209">
        <v>1004123</v>
      </c>
      <c r="B15209">
        <v>13721</v>
      </c>
      <c r="C15209">
        <v>1</v>
      </c>
      <c r="D15209" t="s">
        <v>17166</v>
      </c>
      <c r="F15209" t="s">
        <v>34315</v>
      </c>
      <c r="H15209" t="s">
        <v>34316</v>
      </c>
      <c r="J15209" t="s">
        <v>34317</v>
      </c>
      <c r="L15209" t="s">
        <v>34448</v>
      </c>
      <c r="N15209" t="s">
        <v>35053</v>
      </c>
      <c r="O15209" t="s">
        <v>35204</v>
      </c>
      <c r="P15209" t="s">
        <v>35223</v>
      </c>
      <c r="R15209" s="26" t="str">
        <f>HYPERLINK("https://ictv.global/taxonomy/taxondetails?taxnode_id=202305937","Simiispumavirus macfus")</f>
        <v>Simiispumavirus macfus</v>
      </c>
      <c r="S15209" t="s">
        <v>30</v>
      </c>
      <c r="T15209" t="s">
        <v>35248</v>
      </c>
      <c r="U15209" t="s">
        <v>35249</v>
      </c>
      <c r="V15209" t="s">
        <v>35250</v>
      </c>
      <c r="W15209" t="s">
        <v>35251</v>
      </c>
      <c r="X15209" t="s">
        <v>42</v>
      </c>
      <c r="Y15209" t="s">
        <v>34454</v>
      </c>
      <c r="Z15209" t="s">
        <v>166</v>
      </c>
      <c r="AA15209" s="22" t="str">
        <f>HYPERLINK("https://www.ncbi.nlm.nih.gov/nuccore/AB923518","NCBI Nucleotide")</f>
        <v>NCBI Nucleotide</v>
      </c>
    </row>
    <row r="15210" spans="1:27" x14ac:dyDescent="0.35">
      <c r="A15210">
        <v>1004124</v>
      </c>
      <c r="B15210">
        <v>13722</v>
      </c>
      <c r="C15210">
        <v>1</v>
      </c>
      <c r="D15210" t="s">
        <v>17166</v>
      </c>
      <c r="F15210" t="s">
        <v>34315</v>
      </c>
      <c r="H15210" t="s">
        <v>34316</v>
      </c>
      <c r="J15210" t="s">
        <v>34317</v>
      </c>
      <c r="L15210" t="s">
        <v>34448</v>
      </c>
      <c r="N15210" t="s">
        <v>35053</v>
      </c>
      <c r="O15210" t="s">
        <v>35204</v>
      </c>
      <c r="P15210" t="s">
        <v>35223</v>
      </c>
      <c r="R15210" s="26" t="str">
        <f>HYPERLINK("https://ictv.global/taxonomy/taxondetails?taxnode_id=202305938","Simiispumavirus macmul")</f>
        <v>Simiispumavirus macmul</v>
      </c>
      <c r="S15210" t="s">
        <v>30</v>
      </c>
      <c r="T15210" t="s">
        <v>35252</v>
      </c>
      <c r="U15210" t="s">
        <v>35253</v>
      </c>
      <c r="V15210" t="s">
        <v>35254</v>
      </c>
      <c r="W15210" t="s">
        <v>35255</v>
      </c>
      <c r="X15210" t="s">
        <v>42</v>
      </c>
      <c r="Y15210" t="s">
        <v>34454</v>
      </c>
      <c r="Z15210" t="s">
        <v>166</v>
      </c>
      <c r="AA15210" s="22" t="str">
        <f>HYPERLINK("https://www.ncbi.nlm.nih.gov/nuccore/MF280817","NCBI Nucleotide")</f>
        <v>NCBI Nucleotide</v>
      </c>
    </row>
    <row r="15211" spans="1:27" x14ac:dyDescent="0.35">
      <c r="A15211">
        <v>1004120</v>
      </c>
      <c r="B15211">
        <v>13723</v>
      </c>
      <c r="C15211">
        <v>1</v>
      </c>
      <c r="D15211" t="s">
        <v>17166</v>
      </c>
      <c r="F15211" t="s">
        <v>34315</v>
      </c>
      <c r="H15211" t="s">
        <v>34316</v>
      </c>
      <c r="J15211" t="s">
        <v>34317</v>
      </c>
      <c r="L15211" t="s">
        <v>34448</v>
      </c>
      <c r="N15211" t="s">
        <v>35053</v>
      </c>
      <c r="O15211" t="s">
        <v>35204</v>
      </c>
      <c r="P15211" t="s">
        <v>35223</v>
      </c>
      <c r="R15211" s="26" t="str">
        <f>HYPERLINK("https://ictv.global/taxonomy/taxondetails?taxnode_id=202305043","Simiispumavirus pantrosch")</f>
        <v>Simiispumavirus pantrosch</v>
      </c>
      <c r="S15211" t="s">
        <v>30</v>
      </c>
      <c r="T15211" t="s">
        <v>35236</v>
      </c>
      <c r="U15211" t="s">
        <v>35237</v>
      </c>
      <c r="V15211" t="s">
        <v>35238</v>
      </c>
      <c r="W15211" t="s">
        <v>35239</v>
      </c>
      <c r="X15211" t="s">
        <v>42</v>
      </c>
      <c r="Y15211" t="s">
        <v>34454</v>
      </c>
      <c r="Z15211" t="s">
        <v>166</v>
      </c>
      <c r="AA15211" s="22" t="str">
        <f>HYPERLINK("https://www.ncbi.nlm.nih.gov/nuccore/KX087159","NCBI Nucleotide")</f>
        <v>NCBI Nucleotide</v>
      </c>
    </row>
    <row r="15212" spans="1:27" x14ac:dyDescent="0.35">
      <c r="A15212">
        <v>1004118</v>
      </c>
      <c r="B15212">
        <v>13724</v>
      </c>
      <c r="C15212">
        <v>1</v>
      </c>
      <c r="D15212" t="s">
        <v>17166</v>
      </c>
      <c r="F15212" t="s">
        <v>34315</v>
      </c>
      <c r="H15212" t="s">
        <v>34316</v>
      </c>
      <c r="J15212" t="s">
        <v>34317</v>
      </c>
      <c r="L15212" t="s">
        <v>34448</v>
      </c>
      <c r="N15212" t="s">
        <v>35053</v>
      </c>
      <c r="O15212" t="s">
        <v>35204</v>
      </c>
      <c r="P15212" t="s">
        <v>35223</v>
      </c>
      <c r="R15212" s="26" t="str">
        <f>HYPERLINK("https://ictv.global/taxonomy/taxondetails?taxnode_id=202305935","Simiispumavirus pantrotro")</f>
        <v>Simiispumavirus pantrotro</v>
      </c>
      <c r="S15212" t="s">
        <v>30</v>
      </c>
      <c r="T15212" t="s">
        <v>35228</v>
      </c>
      <c r="U15212" t="s">
        <v>35229</v>
      </c>
      <c r="V15212" t="s">
        <v>35230</v>
      </c>
      <c r="W15212" t="s">
        <v>35231</v>
      </c>
      <c r="X15212" t="s">
        <v>42</v>
      </c>
      <c r="Y15212" t="s">
        <v>34454</v>
      </c>
      <c r="Z15212" t="s">
        <v>166</v>
      </c>
      <c r="AA15212" s="22" t="str">
        <f>HYPERLINK("https://www.ncbi.nlm.nih.gov/nuccore/JQ867463","NCBI Nucleotide")</f>
        <v>NCBI Nucleotide</v>
      </c>
    </row>
    <row r="15213" spans="1:27" x14ac:dyDescent="0.35">
      <c r="A15213">
        <v>1004128</v>
      </c>
      <c r="B15213">
        <v>13725</v>
      </c>
      <c r="C15213">
        <v>1</v>
      </c>
      <c r="D15213" t="s">
        <v>17166</v>
      </c>
      <c r="F15213" t="s">
        <v>34315</v>
      </c>
      <c r="H15213" t="s">
        <v>34316</v>
      </c>
      <c r="J15213" t="s">
        <v>34317</v>
      </c>
      <c r="L15213" t="s">
        <v>34448</v>
      </c>
      <c r="N15213" t="s">
        <v>35053</v>
      </c>
      <c r="O15213" t="s">
        <v>35204</v>
      </c>
      <c r="P15213" t="s">
        <v>35223</v>
      </c>
      <c r="R15213" s="26" t="str">
        <f>HYPERLINK("https://ictv.global/taxonomy/taxondetails?taxnode_id=202305941","Simiispumavirus pantrover")</f>
        <v>Simiispumavirus pantrover</v>
      </c>
      <c r="S15213" t="s">
        <v>30</v>
      </c>
      <c r="T15213" t="s">
        <v>35266</v>
      </c>
      <c r="U15213" t="s">
        <v>35267</v>
      </c>
      <c r="V15213" t="s">
        <v>35268</v>
      </c>
      <c r="W15213" t="s">
        <v>35269</v>
      </c>
      <c r="X15213" t="s">
        <v>42</v>
      </c>
      <c r="Y15213" t="s">
        <v>34454</v>
      </c>
      <c r="Z15213" t="s">
        <v>166</v>
      </c>
      <c r="AA15213" s="22" t="str">
        <f>HYPERLINK("https://www.ncbi.nlm.nih.gov/nuccore/U04327","NCBI Nucleotide")</f>
        <v>NCBI Nucleotide</v>
      </c>
    </row>
    <row r="15214" spans="1:27" x14ac:dyDescent="0.35">
      <c r="A15214">
        <v>1004117</v>
      </c>
      <c r="B15214">
        <v>13726</v>
      </c>
      <c r="C15214">
        <v>1</v>
      </c>
      <c r="D15214" t="s">
        <v>17166</v>
      </c>
      <c r="F15214" t="s">
        <v>34315</v>
      </c>
      <c r="H15214" t="s">
        <v>34316</v>
      </c>
      <c r="J15214" t="s">
        <v>34317</v>
      </c>
      <c r="L15214" t="s">
        <v>34448</v>
      </c>
      <c r="N15214" t="s">
        <v>35053</v>
      </c>
      <c r="O15214" t="s">
        <v>35204</v>
      </c>
      <c r="P15214" t="s">
        <v>35223</v>
      </c>
      <c r="R15214" s="26" t="str">
        <f>HYPERLINK("https://ictv.global/taxonomy/taxondetails?taxnode_id=202305934","Simiispumavirus ponpygpyg")</f>
        <v>Simiispumavirus ponpygpyg</v>
      </c>
      <c r="S15214" t="s">
        <v>30</v>
      </c>
      <c r="T15214" t="s">
        <v>35224</v>
      </c>
      <c r="U15214" t="s">
        <v>35225</v>
      </c>
      <c r="V15214" t="s">
        <v>35226</v>
      </c>
      <c r="W15214" t="s">
        <v>35227</v>
      </c>
      <c r="X15214" t="s">
        <v>42</v>
      </c>
      <c r="Y15214" t="s">
        <v>34454</v>
      </c>
      <c r="Z15214" t="s">
        <v>166</v>
      </c>
      <c r="AA15214" s="22" t="str">
        <f>HYPERLINK("https://www.ncbi.nlm.nih.gov/nuccore/AJ544579","NCBI Nucleotide")</f>
        <v>NCBI Nucleotide</v>
      </c>
    </row>
    <row r="15215" spans="1:27" x14ac:dyDescent="0.35">
      <c r="A15215">
        <v>1004126</v>
      </c>
      <c r="B15215">
        <v>13727</v>
      </c>
      <c r="C15215">
        <v>1</v>
      </c>
      <c r="D15215" t="s">
        <v>17166</v>
      </c>
      <c r="F15215" t="s">
        <v>34315</v>
      </c>
      <c r="H15215" t="s">
        <v>34316</v>
      </c>
      <c r="J15215" t="s">
        <v>34317</v>
      </c>
      <c r="L15215" t="s">
        <v>34448</v>
      </c>
      <c r="N15215" t="s">
        <v>35053</v>
      </c>
      <c r="O15215" t="s">
        <v>35204</v>
      </c>
      <c r="P15215" t="s">
        <v>35223</v>
      </c>
      <c r="R15215" s="26" t="str">
        <f>HYPERLINK("https://ictv.global/taxonomy/taxondetails?taxnode_id=202305940","Simiispumavirus saisci")</f>
        <v>Simiispumavirus saisci</v>
      </c>
      <c r="S15215" t="s">
        <v>30</v>
      </c>
      <c r="T15215" t="s">
        <v>35259</v>
      </c>
      <c r="U15215" t="s">
        <v>35260</v>
      </c>
      <c r="V15215">
        <v>1224</v>
      </c>
      <c r="W15215" t="s">
        <v>35261</v>
      </c>
      <c r="X15215" t="s">
        <v>42</v>
      </c>
      <c r="Y15215" t="s">
        <v>34454</v>
      </c>
      <c r="Z15215" t="s">
        <v>166</v>
      </c>
      <c r="AA15215" s="22" t="str">
        <f>HYPERLINK("https://www.ncbi.nlm.nih.gov/nuccore/GU356394","NCBI Nucleotide")</f>
        <v>NCBI Nucleotide</v>
      </c>
    </row>
    <row r="15216" spans="1:27" x14ac:dyDescent="0.35">
      <c r="A15216">
        <v>1004131</v>
      </c>
      <c r="B15216">
        <v>13728</v>
      </c>
      <c r="C15216">
        <v>1</v>
      </c>
      <c r="D15216" t="s">
        <v>17166</v>
      </c>
      <c r="F15216" t="s">
        <v>34315</v>
      </c>
      <c r="H15216" t="s">
        <v>34316</v>
      </c>
      <c r="J15216" t="s">
        <v>34317</v>
      </c>
      <c r="L15216" t="s">
        <v>34448</v>
      </c>
      <c r="N15216" t="s">
        <v>35053</v>
      </c>
      <c r="O15216" t="s">
        <v>35204</v>
      </c>
      <c r="P15216" t="s">
        <v>35223</v>
      </c>
      <c r="R15216" s="26" t="str">
        <f>HYPERLINK("https://ictv.global/taxonomy/taxondetails?taxnode_id=202305944","Simiispumavirus sapxan")</f>
        <v>Simiispumavirus sapxan</v>
      </c>
      <c r="S15216" t="s">
        <v>30</v>
      </c>
      <c r="T15216" t="s">
        <v>35278</v>
      </c>
      <c r="U15216" t="s">
        <v>50983</v>
      </c>
      <c r="V15216" t="s">
        <v>35279</v>
      </c>
      <c r="W15216" t="s">
        <v>35280</v>
      </c>
      <c r="X15216" t="s">
        <v>42</v>
      </c>
      <c r="Y15216" t="s">
        <v>34454</v>
      </c>
      <c r="Z15216" t="s">
        <v>166</v>
      </c>
      <c r="AA15216" s="22" t="str">
        <f>HYPERLINK("https://www.ncbi.nlm.nih.gov/nuccore/KP143760","NCBI Nucleotide")</f>
        <v>NCBI Nucleotide</v>
      </c>
    </row>
    <row r="15217" spans="1:27" x14ac:dyDescent="0.35">
      <c r="A15217">
        <v>1004133</v>
      </c>
      <c r="B15217">
        <v>13729</v>
      </c>
      <c r="C15217">
        <v>1</v>
      </c>
      <c r="D15217" t="s">
        <v>17166</v>
      </c>
      <c r="N15217" t="s">
        <v>17190</v>
      </c>
      <c r="P15217" t="s">
        <v>17191</v>
      </c>
      <c r="R15217" s="26" t="str">
        <f>HYPERLINK("https://ictv.global/taxonomy/taxondetails?taxnode_id=202308686","Polymycovirus aspelaei")</f>
        <v>Polymycovirus aspelaei</v>
      </c>
      <c r="S15217" t="s">
        <v>30</v>
      </c>
      <c r="T15217" t="s">
        <v>17201</v>
      </c>
      <c r="U15217" t="s">
        <v>17202</v>
      </c>
      <c r="V15217" t="s">
        <v>17203</v>
      </c>
      <c r="W15217" t="s">
        <v>50977</v>
      </c>
      <c r="X15217" t="s">
        <v>42</v>
      </c>
      <c r="Y15217" t="s">
        <v>17196</v>
      </c>
      <c r="Z15217" t="s">
        <v>16721</v>
      </c>
      <c r="AA15217" s="22" t="str">
        <f>HYPERLINK("https://www.ncbi.nlm.nih.gov/nuccore/MG887754,MG887755,MG887756,MG887757","NCBI Nucleotide")</f>
        <v>NCBI Nucleotide</v>
      </c>
    </row>
    <row r="15218" spans="1:27" x14ac:dyDescent="0.35">
      <c r="A15218">
        <v>1004132</v>
      </c>
      <c r="B15218">
        <v>13730</v>
      </c>
      <c r="C15218">
        <v>1</v>
      </c>
      <c r="D15218" t="s">
        <v>17166</v>
      </c>
      <c r="N15218" t="s">
        <v>17190</v>
      </c>
      <c r="P15218" t="s">
        <v>17191</v>
      </c>
      <c r="R15218" s="26" t="str">
        <f>HYPERLINK("https://ictv.global/taxonomy/taxondetails?taxnode_id=202308685","Polymycovirus aspergilli")</f>
        <v>Polymycovirus aspergilli</v>
      </c>
      <c r="S15218" t="s">
        <v>30</v>
      </c>
      <c r="T15218" t="s">
        <v>17193</v>
      </c>
      <c r="U15218" t="s">
        <v>17194</v>
      </c>
      <c r="V15218" t="s">
        <v>17195</v>
      </c>
      <c r="W15218" t="s">
        <v>50976</v>
      </c>
      <c r="X15218" t="s">
        <v>42</v>
      </c>
      <c r="Y15218" t="s">
        <v>17196</v>
      </c>
      <c r="Z15218" t="s">
        <v>16721</v>
      </c>
      <c r="AA15218" s="22" t="str">
        <f>HYPERLINK("https://www.ncbi.nlm.nih.gov/nuccore/HG975302,HG975303,HG975304,HG975305","NCBI Nucleotide")</f>
        <v>NCBI Nucleotide</v>
      </c>
    </row>
    <row r="15219" spans="1:27" x14ac:dyDescent="0.35">
      <c r="A15219">
        <v>1011981</v>
      </c>
      <c r="B15219">
        <v>13730</v>
      </c>
      <c r="C15219">
        <v>2</v>
      </c>
      <c r="D15219" t="s">
        <v>17166</v>
      </c>
      <c r="N15219" t="s">
        <v>17190</v>
      </c>
      <c r="P15219" t="s">
        <v>17191</v>
      </c>
      <c r="R15219" s="26" t="str">
        <f>HYPERLINK("https://ictv.global/taxonomy/taxondetails?taxnode_id=202308685","Polymycovirus aspergilli")</f>
        <v>Polymycovirus aspergilli</v>
      </c>
      <c r="S15219" t="s">
        <v>8141</v>
      </c>
      <c r="T15219" t="s">
        <v>17192</v>
      </c>
      <c r="U15219" t="s">
        <v>17197</v>
      </c>
      <c r="V15219" t="s">
        <v>17198</v>
      </c>
      <c r="W15219" t="s">
        <v>50749</v>
      </c>
      <c r="X15219" t="s">
        <v>42</v>
      </c>
      <c r="Y15219" t="s">
        <v>17196</v>
      </c>
      <c r="Z15219" t="s">
        <v>16721</v>
      </c>
      <c r="AA15219" s="22" t="str">
        <f>HYPERLINK("https://www.ncbi.nlm.nih.gov/nuccore/MH192993,MH192994,MH192995,MH192996","NCBI Nucleotide")</f>
        <v>NCBI Nucleotide</v>
      </c>
    </row>
    <row r="15220" spans="1:27" x14ac:dyDescent="0.35">
      <c r="A15220">
        <v>1011982</v>
      </c>
      <c r="B15220">
        <v>13730</v>
      </c>
      <c r="C15220">
        <v>3</v>
      </c>
      <c r="D15220" t="s">
        <v>17166</v>
      </c>
      <c r="N15220" t="s">
        <v>17190</v>
      </c>
      <c r="P15220" t="s">
        <v>17191</v>
      </c>
      <c r="R15220" s="26" t="str">
        <f>HYPERLINK("https://ictv.global/taxonomy/taxondetails?taxnode_id=202308685","Polymycovirus aspergilli")</f>
        <v>Polymycovirus aspergilli</v>
      </c>
      <c r="S15220" t="s">
        <v>8141</v>
      </c>
      <c r="T15220" t="s">
        <v>17192</v>
      </c>
      <c r="U15220" t="s">
        <v>17197</v>
      </c>
      <c r="V15220" t="s">
        <v>17199</v>
      </c>
      <c r="W15220" t="s">
        <v>50978</v>
      </c>
      <c r="X15220" t="s">
        <v>42</v>
      </c>
      <c r="Y15220" t="s">
        <v>17196</v>
      </c>
      <c r="Z15220" t="s">
        <v>16721</v>
      </c>
      <c r="AA15220" s="22" t="str">
        <f>HYPERLINK("https://www.ncbi.nlm.nih.gov/nuccore/LC517041,LC517042,LC517043,LC517045,LC517044","NCBI Nucleotide")</f>
        <v>NCBI Nucleotide</v>
      </c>
    </row>
    <row r="15221" spans="1:27" x14ac:dyDescent="0.35">
      <c r="A15221">
        <v>1011983</v>
      </c>
      <c r="B15221">
        <v>13730</v>
      </c>
      <c r="C15221">
        <v>4</v>
      </c>
      <c r="D15221" t="s">
        <v>17166</v>
      </c>
      <c r="N15221" t="s">
        <v>17190</v>
      </c>
      <c r="P15221" t="s">
        <v>17191</v>
      </c>
      <c r="R15221" s="26" t="str">
        <f>HYPERLINK("https://ictv.global/taxonomy/taxondetails?taxnode_id=202308685","Polymycovirus aspergilli")</f>
        <v>Polymycovirus aspergilli</v>
      </c>
      <c r="S15221" t="s">
        <v>8141</v>
      </c>
      <c r="T15221" t="s">
        <v>17192</v>
      </c>
      <c r="U15221" t="s">
        <v>17197</v>
      </c>
      <c r="V15221" t="s">
        <v>17200</v>
      </c>
      <c r="W15221" t="s">
        <v>50979</v>
      </c>
      <c r="X15221" t="s">
        <v>42</v>
      </c>
      <c r="Y15221" t="s">
        <v>17196</v>
      </c>
      <c r="Z15221" t="s">
        <v>16721</v>
      </c>
      <c r="AA15221" s="22" t="str">
        <f>HYPERLINK("https://www.ncbi.nlm.nih.gov/nuccore/LC553675,LC553676,LC553677,LC553678","NCBI Nucleotide")</f>
        <v>NCBI Nucleotide</v>
      </c>
    </row>
    <row r="15222" spans="1:27" x14ac:dyDescent="0.35">
      <c r="A15222">
        <v>1004134</v>
      </c>
      <c r="B15222">
        <v>13731</v>
      </c>
      <c r="C15222">
        <v>1</v>
      </c>
      <c r="D15222" t="s">
        <v>17166</v>
      </c>
      <c r="N15222" t="s">
        <v>17190</v>
      </c>
      <c r="P15222" t="s">
        <v>17191</v>
      </c>
      <c r="R15222" s="26" t="str">
        <f>HYPERLINK("https://ictv.global/taxonomy/taxondetails?taxnode_id=202308687","Polymycovirus beauveriae")</f>
        <v>Polymycovirus beauveriae</v>
      </c>
      <c r="S15222" t="s">
        <v>30</v>
      </c>
      <c r="T15222" t="s">
        <v>17204</v>
      </c>
      <c r="U15222" t="s">
        <v>17205</v>
      </c>
      <c r="V15222" t="s">
        <v>17206</v>
      </c>
      <c r="W15222" t="s">
        <v>48706</v>
      </c>
      <c r="X15222" t="s">
        <v>42</v>
      </c>
      <c r="Y15222" t="s">
        <v>17196</v>
      </c>
      <c r="Z15222" t="s">
        <v>16721</v>
      </c>
      <c r="AA15222" s="22" t="str">
        <f>HYPERLINK("https://www.ncbi.nlm.nih.gov/nuccore/LN896307,LN896308,LN896309,LN896310","NCBI Nucleotide")</f>
        <v>NCBI Nucleotide</v>
      </c>
    </row>
    <row r="15223" spans="1:27" x14ac:dyDescent="0.35">
      <c r="A15223">
        <v>1004135</v>
      </c>
      <c r="B15223">
        <v>13732</v>
      </c>
      <c r="C15223">
        <v>1</v>
      </c>
      <c r="D15223" t="s">
        <v>17166</v>
      </c>
      <c r="N15223" t="s">
        <v>17190</v>
      </c>
      <c r="P15223" t="s">
        <v>17191</v>
      </c>
      <c r="R15223" s="26" t="str">
        <f>HYPERLINK("https://ictv.global/taxonomy/taxondetails?taxnode_id=202308688","Polymycovirus botryosphaeriae")</f>
        <v>Polymycovirus botryosphaeriae</v>
      </c>
      <c r="S15223" t="s">
        <v>30</v>
      </c>
      <c r="T15223" t="s">
        <v>17207</v>
      </c>
      <c r="U15223" t="s">
        <v>17208</v>
      </c>
      <c r="V15223" t="s">
        <v>17209</v>
      </c>
      <c r="W15223" t="s">
        <v>48707</v>
      </c>
      <c r="X15223" t="s">
        <v>42</v>
      </c>
      <c r="Y15223" t="s">
        <v>17196</v>
      </c>
      <c r="Z15223" t="s">
        <v>16721</v>
      </c>
      <c r="AA15223" s="22" t="str">
        <f>HYPERLINK("https://www.ncbi.nlm.nih.gov/nuccore/KP245734,KP245735,KP245736,KP245737,KP245738","NCBI Nucleotide")</f>
        <v>NCBI Nucleotide</v>
      </c>
    </row>
    <row r="15224" spans="1:27" x14ac:dyDescent="0.35">
      <c r="A15224">
        <v>1011984</v>
      </c>
      <c r="B15224">
        <v>13732</v>
      </c>
      <c r="C15224">
        <v>2</v>
      </c>
      <c r="D15224" t="s">
        <v>17166</v>
      </c>
      <c r="N15224" t="s">
        <v>17190</v>
      </c>
      <c r="P15224" t="s">
        <v>17191</v>
      </c>
      <c r="R15224" s="26" t="str">
        <f>HYPERLINK("https://ictv.global/taxonomy/taxondetails?taxnode_id=202308688","Polymycovirus botryosphaeriae")</f>
        <v>Polymycovirus botryosphaeriae</v>
      </c>
      <c r="S15224" t="s">
        <v>8141</v>
      </c>
      <c r="T15224" t="s">
        <v>17207</v>
      </c>
      <c r="U15224" t="s">
        <v>17210</v>
      </c>
      <c r="V15224" t="s">
        <v>17211</v>
      </c>
      <c r="W15224" t="s">
        <v>50981</v>
      </c>
      <c r="X15224" t="s">
        <v>42</v>
      </c>
      <c r="Y15224" t="s">
        <v>17196</v>
      </c>
      <c r="Z15224" t="s">
        <v>16721</v>
      </c>
      <c r="AA15224" s="22" t="str">
        <f>HYPERLINK("https://www.ncbi.nlm.nih.gov/nuccore/KT372135,KT372136,KT372137,KT372138,KT372139","NCBI Nucleotide")</f>
        <v>NCBI Nucleotide</v>
      </c>
    </row>
    <row r="15225" spans="1:27" x14ac:dyDescent="0.35">
      <c r="A15225">
        <v>1004136</v>
      </c>
      <c r="B15225">
        <v>13733</v>
      </c>
      <c r="C15225">
        <v>1</v>
      </c>
      <c r="D15225" t="s">
        <v>17166</v>
      </c>
      <c r="N15225" t="s">
        <v>17190</v>
      </c>
      <c r="P15225" t="s">
        <v>17191</v>
      </c>
      <c r="R15225" s="26" t="str">
        <f>HYPERLINK("https://ictv.global/taxonomy/taxondetails?taxnode_id=202308689","Polymycovirus cladosporii")</f>
        <v>Polymycovirus cladosporii</v>
      </c>
      <c r="S15225" t="s">
        <v>30</v>
      </c>
      <c r="T15225" t="s">
        <v>17212</v>
      </c>
      <c r="U15225" t="s">
        <v>17213</v>
      </c>
      <c r="V15225" t="s">
        <v>17214</v>
      </c>
      <c r="W15225" t="s">
        <v>48708</v>
      </c>
      <c r="X15225" t="s">
        <v>42</v>
      </c>
      <c r="Y15225" t="s">
        <v>17196</v>
      </c>
      <c r="Z15225" t="s">
        <v>16721</v>
      </c>
      <c r="AA15225" s="22" t="str">
        <f>HYPERLINK("https://www.ncbi.nlm.nih.gov/nuccore/KJ787686,KJ787687,KJ787688,KJ787689,KJ787690","NCBI Nucleotide")</f>
        <v>NCBI Nucleotide</v>
      </c>
    </row>
    <row r="15226" spans="1:27" x14ac:dyDescent="0.35">
      <c r="A15226">
        <v>1004137</v>
      </c>
      <c r="B15226">
        <v>13734</v>
      </c>
      <c r="C15226">
        <v>1</v>
      </c>
      <c r="D15226" t="s">
        <v>17166</v>
      </c>
      <c r="N15226" t="s">
        <v>17190</v>
      </c>
      <c r="P15226" t="s">
        <v>17191</v>
      </c>
      <c r="R15226" s="26" t="str">
        <f>HYPERLINK("https://ictv.global/taxonomy/taxondetails?taxnode_id=202308690","Polymycovirus colletotrichi")</f>
        <v>Polymycovirus colletotrichi</v>
      </c>
      <c r="S15226" t="s">
        <v>30</v>
      </c>
      <c r="T15226" t="s">
        <v>17215</v>
      </c>
      <c r="U15226" t="s">
        <v>17216</v>
      </c>
      <c r="V15226" t="s">
        <v>17217</v>
      </c>
      <c r="W15226" t="s">
        <v>48726</v>
      </c>
      <c r="X15226" t="s">
        <v>42</v>
      </c>
      <c r="Y15226" t="s">
        <v>17196</v>
      </c>
      <c r="Z15226" t="s">
        <v>16721</v>
      </c>
      <c r="AA15226" s="22" t="str">
        <f>HYPERLINK("https://www.ncbi.nlm.nih.gov/nuccore/KX778766,KX778767,KX778768,KX778769,KX778770,KX778771,KX778772,KX778773","NCBI Nucleotide")</f>
        <v>NCBI Nucleotide</v>
      </c>
    </row>
    <row r="15227" spans="1:27" x14ac:dyDescent="0.35">
      <c r="A15227">
        <v>1004138</v>
      </c>
      <c r="B15227">
        <v>13735</v>
      </c>
      <c r="C15227">
        <v>1</v>
      </c>
      <c r="D15227" t="s">
        <v>17166</v>
      </c>
      <c r="N15227" t="s">
        <v>17190</v>
      </c>
      <c r="P15227" t="s">
        <v>17191</v>
      </c>
      <c r="R15227" s="26" t="str">
        <f>HYPERLINK("https://ictv.global/taxonomy/taxondetails?taxnode_id=202308691","Polymycovirus fusarii")</f>
        <v>Polymycovirus fusarii</v>
      </c>
      <c r="S15227" t="s">
        <v>30</v>
      </c>
      <c r="T15227" t="s">
        <v>17218</v>
      </c>
      <c r="U15227" t="s">
        <v>17219</v>
      </c>
      <c r="W15227" t="s">
        <v>48709</v>
      </c>
      <c r="X15227" t="s">
        <v>42</v>
      </c>
      <c r="Y15227" t="s">
        <v>17196</v>
      </c>
      <c r="Z15227" t="s">
        <v>16721</v>
      </c>
      <c r="AA15227" s="22" t="str">
        <f>HYPERLINK("https://www.ncbi.nlm.nih.gov/nuccore/MK609920,MK609921,MK609922,MK609923,MK609924,MK609925,MK609926,MK609927","NCBI Nucleotide")</f>
        <v>NCBI Nucleotide</v>
      </c>
    </row>
    <row r="15228" spans="1:27" x14ac:dyDescent="0.35">
      <c r="A15228">
        <v>1004139</v>
      </c>
      <c r="B15228">
        <v>13736</v>
      </c>
      <c r="C15228">
        <v>1</v>
      </c>
      <c r="D15228" t="s">
        <v>17166</v>
      </c>
      <c r="N15228" t="s">
        <v>17190</v>
      </c>
      <c r="P15228" t="s">
        <v>17191</v>
      </c>
      <c r="R15228" s="26" t="str">
        <f>HYPERLINK("https://ictv.global/taxonomy/taxondetails?taxnode_id=202308692","Polymycovirus magnaporthis")</f>
        <v>Polymycovirus magnaporthis</v>
      </c>
      <c r="S15228" t="s">
        <v>30</v>
      </c>
      <c r="T15228" t="s">
        <v>17220</v>
      </c>
      <c r="U15228" t="s">
        <v>17221</v>
      </c>
      <c r="V15228" t="s">
        <v>17222</v>
      </c>
      <c r="W15228" t="s">
        <v>48710</v>
      </c>
      <c r="X15228" t="s">
        <v>42</v>
      </c>
      <c r="Y15228" t="s">
        <v>17196</v>
      </c>
      <c r="Z15228" t="s">
        <v>16721</v>
      </c>
      <c r="AA15228" s="22" t="str">
        <f>HYPERLINK("https://www.ncbi.nlm.nih.gov/nuccore/MH231406,MH231407,MH231408,MH231409","NCBI Nucleotide")</f>
        <v>NCBI Nucleotide</v>
      </c>
    </row>
    <row r="15229" spans="1:27" x14ac:dyDescent="0.35">
      <c r="A15229">
        <v>1004141</v>
      </c>
      <c r="B15229">
        <v>13737</v>
      </c>
      <c r="C15229">
        <v>1</v>
      </c>
      <c r="D15229" t="s">
        <v>17166</v>
      </c>
      <c r="N15229" t="s">
        <v>17190</v>
      </c>
      <c r="P15229" t="s">
        <v>17191</v>
      </c>
      <c r="R15229" s="26" t="str">
        <f>HYPERLINK("https://ictv.global/taxonomy/taxondetails?taxnode_id=202308693","Polymycovirus penicompactii")</f>
        <v>Polymycovirus penicompactii</v>
      </c>
      <c r="S15229" t="s">
        <v>30</v>
      </c>
      <c r="T15229" t="s">
        <v>17225</v>
      </c>
      <c r="U15229" t="s">
        <v>17226</v>
      </c>
      <c r="V15229" t="s">
        <v>17227</v>
      </c>
      <c r="W15229" t="s">
        <v>48711</v>
      </c>
      <c r="X15229" t="s">
        <v>42</v>
      </c>
      <c r="Y15229" t="s">
        <v>17196</v>
      </c>
      <c r="Z15229" t="s">
        <v>16721</v>
      </c>
      <c r="AA15229" s="22" t="str">
        <f>HYPERLINK("https://www.ncbi.nlm.nih.gov/nuccore/MG887750,MG887751,MG887752,MG887753","NCBI Nucleotide")</f>
        <v>NCBI Nucleotide</v>
      </c>
    </row>
    <row r="15230" spans="1:27" x14ac:dyDescent="0.35">
      <c r="A15230">
        <v>1004140</v>
      </c>
      <c r="B15230">
        <v>13738</v>
      </c>
      <c r="C15230">
        <v>1</v>
      </c>
      <c r="D15230" t="s">
        <v>17166</v>
      </c>
      <c r="N15230" t="s">
        <v>17190</v>
      </c>
      <c r="P15230" t="s">
        <v>17191</v>
      </c>
      <c r="R15230" s="26" t="str">
        <f>HYPERLINK("https://ictv.global/taxonomy/taxondetails?taxnode_id=202308694","Polymycovirus penidigitati")</f>
        <v>Polymycovirus penidigitati</v>
      </c>
      <c r="S15230" t="s">
        <v>30</v>
      </c>
      <c r="T15230" t="s">
        <v>17223</v>
      </c>
      <c r="U15230" t="s">
        <v>17224</v>
      </c>
      <c r="V15230" t="s">
        <v>8141</v>
      </c>
      <c r="W15230" t="s">
        <v>48712</v>
      </c>
      <c r="X15230" t="s">
        <v>42</v>
      </c>
      <c r="Y15230" t="s">
        <v>17196</v>
      </c>
      <c r="Z15230" t="s">
        <v>16721</v>
      </c>
      <c r="AA15230" s="22" t="str">
        <f>HYPERLINK("https://www.ncbi.nlm.nih.gov/nuccore/MF317878,MF317879,MF317880,MF317881","NCBI Nucleotide")</f>
        <v>NCBI Nucleotide</v>
      </c>
    </row>
    <row r="15231" spans="1:27" x14ac:dyDescent="0.35">
      <c r="A15231">
        <v>1004142</v>
      </c>
      <c r="B15231">
        <v>13739</v>
      </c>
      <c r="C15231">
        <v>1</v>
      </c>
      <c r="D15231" t="s">
        <v>17166</v>
      </c>
      <c r="N15231" t="s">
        <v>17228</v>
      </c>
      <c r="P15231" t="s">
        <v>17229</v>
      </c>
      <c r="R15231" s="26" t="str">
        <f t="shared" ref="R15231:R15238" si="71">HYPERLINK("https://ictv.global/taxonomy/taxondetails?taxnode_id=202305047","Macronovirus macrobrachii")</f>
        <v>Macronovirus macrobrachii</v>
      </c>
      <c r="S15231" t="s">
        <v>30</v>
      </c>
      <c r="T15231" t="s">
        <v>17230</v>
      </c>
      <c r="U15231" t="s">
        <v>17231</v>
      </c>
      <c r="W15231" t="s">
        <v>17232</v>
      </c>
      <c r="X15231" t="s">
        <v>35</v>
      </c>
      <c r="Y15231" t="s">
        <v>17171</v>
      </c>
      <c r="Z15231" t="s">
        <v>10790</v>
      </c>
      <c r="AA15231" s="22" t="str">
        <f>HYPERLINK("https://www.ncbi.nlm.nih.gov/nuccore/AY247793","NCBI Nucleotide")</f>
        <v>NCBI Nucleotide</v>
      </c>
    </row>
    <row r="15232" spans="1:27" x14ac:dyDescent="0.35">
      <c r="A15232">
        <v>1011985</v>
      </c>
      <c r="B15232">
        <v>13739</v>
      </c>
      <c r="C15232">
        <v>2</v>
      </c>
      <c r="D15232" t="s">
        <v>17166</v>
      </c>
      <c r="N15232" t="s">
        <v>17228</v>
      </c>
      <c r="P15232" t="s">
        <v>17229</v>
      </c>
      <c r="R15232" s="26" t="str">
        <f t="shared" si="71"/>
        <v>Macronovirus macrobrachii</v>
      </c>
      <c r="S15232" t="s">
        <v>8141</v>
      </c>
      <c r="T15232" t="s">
        <v>17230</v>
      </c>
      <c r="U15232" t="s">
        <v>17233</v>
      </c>
      <c r="V15232" t="s">
        <v>17234</v>
      </c>
      <c r="W15232" t="s">
        <v>50177</v>
      </c>
      <c r="X15232" t="s">
        <v>35</v>
      </c>
      <c r="Y15232" t="s">
        <v>17171</v>
      </c>
      <c r="Z15232" t="s">
        <v>10790</v>
      </c>
      <c r="AA15232" s="22" t="str">
        <f>HYPERLINK("https://www.ncbi.nlm.nih.gov/nuccore/DQ174318","NCBI Nucleotide")</f>
        <v>NCBI Nucleotide</v>
      </c>
    </row>
    <row r="15233" spans="1:27" x14ac:dyDescent="0.35">
      <c r="A15233">
        <v>1011986</v>
      </c>
      <c r="B15233">
        <v>13739</v>
      </c>
      <c r="C15233">
        <v>3</v>
      </c>
      <c r="D15233" t="s">
        <v>17166</v>
      </c>
      <c r="N15233" t="s">
        <v>17228</v>
      </c>
      <c r="P15233" t="s">
        <v>17229</v>
      </c>
      <c r="R15233" s="26" t="str">
        <f t="shared" si="71"/>
        <v>Macronovirus macrobrachii</v>
      </c>
      <c r="S15233" t="s">
        <v>8141</v>
      </c>
      <c r="T15233" t="s">
        <v>17230</v>
      </c>
      <c r="U15233" t="s">
        <v>17235</v>
      </c>
      <c r="V15233" t="s">
        <v>17236</v>
      </c>
      <c r="W15233" t="s">
        <v>50178</v>
      </c>
      <c r="X15233" t="s">
        <v>35</v>
      </c>
      <c r="Y15233" t="s">
        <v>17171</v>
      </c>
      <c r="Z15233" t="s">
        <v>10790</v>
      </c>
      <c r="AA15233" s="22" t="str">
        <f>HYPERLINK("https://www.ncbi.nlm.nih.gov/nuccore/EU150132","NCBI Nucleotide")</f>
        <v>NCBI Nucleotide</v>
      </c>
    </row>
    <row r="15234" spans="1:27" x14ac:dyDescent="0.35">
      <c r="A15234">
        <v>1011987</v>
      </c>
      <c r="B15234">
        <v>13739</v>
      </c>
      <c r="C15234">
        <v>4</v>
      </c>
      <c r="D15234" t="s">
        <v>17166</v>
      </c>
      <c r="N15234" t="s">
        <v>17228</v>
      </c>
      <c r="P15234" t="s">
        <v>17229</v>
      </c>
      <c r="R15234" s="26" t="str">
        <f t="shared" si="71"/>
        <v>Macronovirus macrobrachii</v>
      </c>
      <c r="S15234" t="s">
        <v>8141</v>
      </c>
      <c r="T15234" t="s">
        <v>17230</v>
      </c>
      <c r="U15234" t="s">
        <v>17237</v>
      </c>
      <c r="V15234" t="s">
        <v>17238</v>
      </c>
      <c r="W15234" t="s">
        <v>50179</v>
      </c>
      <c r="X15234" t="s">
        <v>35</v>
      </c>
      <c r="Y15234" t="s">
        <v>17171</v>
      </c>
      <c r="Z15234" t="s">
        <v>10790</v>
      </c>
      <c r="AA15234" s="22" t="str">
        <f>HYPERLINK("https://www.ncbi.nlm.nih.gov/nuccore/EU150131","NCBI Nucleotide")</f>
        <v>NCBI Nucleotide</v>
      </c>
    </row>
    <row r="15235" spans="1:27" x14ac:dyDescent="0.35">
      <c r="A15235">
        <v>1011988</v>
      </c>
      <c r="B15235">
        <v>13739</v>
      </c>
      <c r="C15235">
        <v>5</v>
      </c>
      <c r="D15235" t="s">
        <v>17166</v>
      </c>
      <c r="N15235" t="s">
        <v>17228</v>
      </c>
      <c r="P15235" t="s">
        <v>17229</v>
      </c>
      <c r="R15235" s="26" t="str">
        <f t="shared" si="71"/>
        <v>Macronovirus macrobrachii</v>
      </c>
      <c r="S15235" t="s">
        <v>8141</v>
      </c>
      <c r="T15235" t="s">
        <v>17230</v>
      </c>
      <c r="U15235" t="s">
        <v>17239</v>
      </c>
      <c r="V15235" t="s">
        <v>17240</v>
      </c>
      <c r="W15235" t="s">
        <v>50180</v>
      </c>
      <c r="X15235" t="s">
        <v>35</v>
      </c>
      <c r="Y15235" t="s">
        <v>17171</v>
      </c>
      <c r="Z15235" t="s">
        <v>10790</v>
      </c>
      <c r="AA15235" s="22" t="str">
        <f>HYPERLINK("https://www.ncbi.nlm.nih.gov/nuccore/EU150130","NCBI Nucleotide")</f>
        <v>NCBI Nucleotide</v>
      </c>
    </row>
    <row r="15236" spans="1:27" x14ac:dyDescent="0.35">
      <c r="A15236">
        <v>1011989</v>
      </c>
      <c r="B15236">
        <v>13739</v>
      </c>
      <c r="C15236">
        <v>6</v>
      </c>
      <c r="D15236" t="s">
        <v>17166</v>
      </c>
      <c r="N15236" t="s">
        <v>17228</v>
      </c>
      <c r="P15236" t="s">
        <v>17229</v>
      </c>
      <c r="R15236" s="26" t="str">
        <f t="shared" si="71"/>
        <v>Macronovirus macrobrachii</v>
      </c>
      <c r="S15236" t="s">
        <v>8141</v>
      </c>
      <c r="T15236" t="s">
        <v>17230</v>
      </c>
      <c r="U15236" t="s">
        <v>17241</v>
      </c>
      <c r="V15236" t="s">
        <v>17242</v>
      </c>
      <c r="W15236" t="s">
        <v>50181</v>
      </c>
      <c r="X15236" t="s">
        <v>35</v>
      </c>
      <c r="Y15236" t="s">
        <v>17171</v>
      </c>
      <c r="Z15236" t="s">
        <v>10790</v>
      </c>
      <c r="AA15236" s="22" t="str">
        <f>HYPERLINK("https://www.ncbi.nlm.nih.gov/nuccore/EU150133","NCBI Nucleotide")</f>
        <v>NCBI Nucleotide</v>
      </c>
    </row>
    <row r="15237" spans="1:27" x14ac:dyDescent="0.35">
      <c r="A15237">
        <v>1011990</v>
      </c>
      <c r="B15237">
        <v>13739</v>
      </c>
      <c r="C15237">
        <v>7</v>
      </c>
      <c r="D15237" t="s">
        <v>17166</v>
      </c>
      <c r="N15237" t="s">
        <v>17228</v>
      </c>
      <c r="P15237" t="s">
        <v>17229</v>
      </c>
      <c r="R15237" s="26" t="str">
        <f t="shared" si="71"/>
        <v>Macronovirus macrobrachii</v>
      </c>
      <c r="S15237" t="s">
        <v>8141</v>
      </c>
      <c r="T15237" t="s">
        <v>17230</v>
      </c>
      <c r="U15237" t="s">
        <v>17243</v>
      </c>
      <c r="V15237" t="s">
        <v>17244</v>
      </c>
      <c r="W15237" t="s">
        <v>50182</v>
      </c>
      <c r="X15237" t="s">
        <v>35</v>
      </c>
      <c r="Y15237" t="s">
        <v>17171</v>
      </c>
      <c r="Z15237" t="s">
        <v>10790</v>
      </c>
      <c r="AA15237" s="22" t="str">
        <f>HYPERLINK("https://www.ncbi.nlm.nih.gov/nuccore/DQ521573","NCBI Nucleotide")</f>
        <v>NCBI Nucleotide</v>
      </c>
    </row>
    <row r="15238" spans="1:27" x14ac:dyDescent="0.35">
      <c r="A15238">
        <v>1011991</v>
      </c>
      <c r="B15238">
        <v>13739</v>
      </c>
      <c r="C15238">
        <v>8</v>
      </c>
      <c r="D15238" t="s">
        <v>17166</v>
      </c>
      <c r="N15238" t="s">
        <v>17228</v>
      </c>
      <c r="P15238" t="s">
        <v>17229</v>
      </c>
      <c r="R15238" s="26" t="str">
        <f t="shared" si="71"/>
        <v>Macronovirus macrobrachii</v>
      </c>
      <c r="S15238" t="s">
        <v>8141</v>
      </c>
      <c r="T15238" t="s">
        <v>17230</v>
      </c>
      <c r="U15238" t="s">
        <v>17245</v>
      </c>
      <c r="V15238" t="s">
        <v>14447</v>
      </c>
      <c r="W15238" t="s">
        <v>50183</v>
      </c>
      <c r="X15238" t="s">
        <v>154</v>
      </c>
      <c r="Y15238" t="s">
        <v>17171</v>
      </c>
      <c r="Z15238" t="s">
        <v>10790</v>
      </c>
      <c r="AA15238" s="22" t="str">
        <f>HYPERLINK("https://www.ncbi.nlm.nih.gov/nuccore/EF159731","NCBI Nucleotide")</f>
        <v>NCBI Nucleotide</v>
      </c>
    </row>
    <row r="15239" spans="1:27" x14ac:dyDescent="0.35">
      <c r="A15239">
        <v>1004143</v>
      </c>
      <c r="B15239">
        <v>13740</v>
      </c>
      <c r="C15239">
        <v>1</v>
      </c>
      <c r="D15239" t="s">
        <v>17166</v>
      </c>
      <c r="P15239" t="s">
        <v>17167</v>
      </c>
      <c r="R15239" s="26" t="str">
        <f>HYPERLINK("https://ictv.global/taxonomy/taxondetails?taxnode_id=202305333","Tobacco albetovirus 1")</f>
        <v>Tobacco albetovirus 1</v>
      </c>
      <c r="S15239" t="s">
        <v>30</v>
      </c>
      <c r="T15239" t="s">
        <v>17168</v>
      </c>
      <c r="U15239" t="s">
        <v>17169</v>
      </c>
      <c r="W15239" t="s">
        <v>17170</v>
      </c>
      <c r="X15239" t="s">
        <v>42</v>
      </c>
      <c r="Y15239" t="s">
        <v>17171</v>
      </c>
      <c r="Z15239" t="s">
        <v>13441</v>
      </c>
      <c r="AA15239" s="22" t="str">
        <f>HYPERLINK("https://www.ncbi.nlm.nih.gov/nuccore/V01468","NCBI Nucleotide")</f>
        <v>NCBI Nucleotide</v>
      </c>
    </row>
    <row r="15240" spans="1:27" x14ac:dyDescent="0.35">
      <c r="A15240">
        <v>1004144</v>
      </c>
      <c r="B15240">
        <v>13741</v>
      </c>
      <c r="C15240">
        <v>1</v>
      </c>
      <c r="D15240" t="s">
        <v>17166</v>
      </c>
      <c r="P15240" t="s">
        <v>17167</v>
      </c>
      <c r="R15240" s="26" t="str">
        <f>HYPERLINK("https://ictv.global/taxonomy/taxondetails?taxnode_id=202305334","Tobacco albetovirus 2")</f>
        <v>Tobacco albetovirus 2</v>
      </c>
      <c r="S15240" t="s">
        <v>30</v>
      </c>
      <c r="T15240" t="s">
        <v>17172</v>
      </c>
      <c r="U15240" t="s">
        <v>17173</v>
      </c>
      <c r="W15240" t="s">
        <v>17174</v>
      </c>
      <c r="X15240" t="s">
        <v>42</v>
      </c>
      <c r="Y15240" t="s">
        <v>17171</v>
      </c>
      <c r="Z15240" t="s">
        <v>13441</v>
      </c>
      <c r="AA15240" s="22" t="str">
        <f>HYPERLINK("https://www.ncbi.nlm.nih.gov/nuccore/M64479","NCBI Nucleotide")</f>
        <v>NCBI Nucleotide</v>
      </c>
    </row>
    <row r="15241" spans="1:27" x14ac:dyDescent="0.35">
      <c r="A15241">
        <v>1004145</v>
      </c>
      <c r="B15241">
        <v>13742</v>
      </c>
      <c r="C15241">
        <v>1</v>
      </c>
      <c r="D15241" t="s">
        <v>17166</v>
      </c>
      <c r="P15241" t="s">
        <v>17167</v>
      </c>
      <c r="R15241" s="26" t="str">
        <f>HYPERLINK("https://ictv.global/taxonomy/taxondetails?taxnode_id=202305335","Tobacco albetovirus 3")</f>
        <v>Tobacco albetovirus 3</v>
      </c>
      <c r="S15241" t="s">
        <v>30</v>
      </c>
      <c r="T15241" t="s">
        <v>17175</v>
      </c>
      <c r="U15241" t="s">
        <v>17176</v>
      </c>
      <c r="V15241" t="s">
        <v>17177</v>
      </c>
      <c r="W15241" t="s">
        <v>17178</v>
      </c>
      <c r="X15241" t="s">
        <v>42</v>
      </c>
      <c r="Y15241" t="s">
        <v>17171</v>
      </c>
      <c r="Z15241" t="s">
        <v>13441</v>
      </c>
      <c r="AA15241" s="22" t="str">
        <f>HYPERLINK("https://www.ncbi.nlm.nih.gov/nuccore/AJ000898","NCBI Nucleotide")</f>
        <v>NCBI Nucleotide</v>
      </c>
    </row>
    <row r="15242" spans="1:27" x14ac:dyDescent="0.35">
      <c r="A15242">
        <v>1004146</v>
      </c>
      <c r="B15242">
        <v>13743</v>
      </c>
      <c r="C15242">
        <v>1</v>
      </c>
      <c r="D15242" t="s">
        <v>17166</v>
      </c>
      <c r="P15242" t="s">
        <v>17179</v>
      </c>
      <c r="R15242" s="26" t="str">
        <f>HYPERLINK("https://ictv.global/taxonomy/taxondetails?taxnode_id=202305337","Maize aumaivirus 1")</f>
        <v>Maize aumaivirus 1</v>
      </c>
      <c r="S15242" t="s">
        <v>30</v>
      </c>
      <c r="T15242" t="s">
        <v>17180</v>
      </c>
      <c r="U15242" t="s">
        <v>17181</v>
      </c>
      <c r="W15242" t="s">
        <v>17182</v>
      </c>
      <c r="X15242" t="s">
        <v>42</v>
      </c>
      <c r="Y15242" t="s">
        <v>17171</v>
      </c>
      <c r="Z15242" t="s">
        <v>13441</v>
      </c>
      <c r="AA15242" s="22" t="str">
        <f>HYPERLINK("https://www.ncbi.nlm.nih.gov/nuccore/M55012","NCBI Nucleotide")</f>
        <v>NCBI Nucleotide</v>
      </c>
    </row>
    <row r="15243" spans="1:27" x14ac:dyDescent="0.35">
      <c r="A15243">
        <v>1004147</v>
      </c>
      <c r="B15243">
        <v>13744</v>
      </c>
      <c r="C15243">
        <v>1</v>
      </c>
      <c r="D15243" t="s">
        <v>17166</v>
      </c>
      <c r="P15243" t="s">
        <v>17183</v>
      </c>
      <c r="R15243" s="26" t="str">
        <f>HYPERLINK("https://ictv.global/taxonomy/taxondetails?taxnode_id=202305360","Panicum papanivirus 1")</f>
        <v>Panicum papanivirus 1</v>
      </c>
      <c r="S15243" t="s">
        <v>30</v>
      </c>
      <c r="T15243" t="s">
        <v>17184</v>
      </c>
      <c r="U15243" t="s">
        <v>15390</v>
      </c>
      <c r="W15243" t="s">
        <v>17185</v>
      </c>
      <c r="X15243" t="s">
        <v>42</v>
      </c>
      <c r="Y15243" t="s">
        <v>17171</v>
      </c>
      <c r="Z15243" t="s">
        <v>13441</v>
      </c>
      <c r="AA15243" s="22" t="str">
        <f>HYPERLINK("https://www.ncbi.nlm.nih.gov/nuccore/M17182","NCBI Nucleotide")</f>
        <v>NCBI Nucleotide</v>
      </c>
    </row>
    <row r="15244" spans="1:27" x14ac:dyDescent="0.35">
      <c r="A15244">
        <v>1004148</v>
      </c>
      <c r="B15244">
        <v>13745</v>
      </c>
      <c r="C15244">
        <v>1</v>
      </c>
      <c r="D15244" t="s">
        <v>17166</v>
      </c>
      <c r="P15244" t="s">
        <v>17186</v>
      </c>
      <c r="R15244" s="26" t="str">
        <f>HYPERLINK("https://ictv.global/taxonomy/taxondetails?taxnode_id=202305393","Tobacco virtovirus 1")</f>
        <v>Tobacco virtovirus 1</v>
      </c>
      <c r="S15244" t="s">
        <v>30</v>
      </c>
      <c r="T15244" t="s">
        <v>17187</v>
      </c>
      <c r="U15244" t="s">
        <v>17188</v>
      </c>
      <c r="W15244" t="s">
        <v>17189</v>
      </c>
      <c r="X15244" t="s">
        <v>154</v>
      </c>
      <c r="Y15244" t="s">
        <v>17171</v>
      </c>
      <c r="Z15244" t="s">
        <v>13441</v>
      </c>
      <c r="AA15244" s="22" t="str">
        <f>HYPERLINK("https://www.ncbi.nlm.nih.gov/nuccore/M25782","NCBI Nucleotide")</f>
        <v>NCBI Nucleotide</v>
      </c>
    </row>
    <row r="15245" spans="1:27" x14ac:dyDescent="0.35">
      <c r="A15245">
        <v>1004149</v>
      </c>
      <c r="B15245">
        <v>13746</v>
      </c>
      <c r="C15245">
        <v>1</v>
      </c>
      <c r="D15245" t="s">
        <v>35304</v>
      </c>
      <c r="N15245" t="s">
        <v>35305</v>
      </c>
      <c r="P15245" t="s">
        <v>35306</v>
      </c>
      <c r="R15245" s="26" t="str">
        <f>HYPERLINK("https://ictv.global/taxonomy/taxondetails?taxnode_id=202309310","Daazvirus cynopis")</f>
        <v>Daazvirus cynopis</v>
      </c>
      <c r="S15245" t="s">
        <v>30</v>
      </c>
      <c r="T15245" t="s">
        <v>35307</v>
      </c>
      <c r="U15245" t="s">
        <v>47661</v>
      </c>
      <c r="W15245" t="s">
        <v>35308</v>
      </c>
      <c r="X15245" t="s">
        <v>42</v>
      </c>
      <c r="Y15245" t="s">
        <v>23964</v>
      </c>
      <c r="Z15245" t="s">
        <v>166</v>
      </c>
      <c r="AA15245" s="22" t="str">
        <f>HYPERLINK("https://www.ncbi.nlm.nih.gov/nuccore/MN031239","NCBI Nucleotide")</f>
        <v>NCBI Nucleotide</v>
      </c>
    </row>
    <row r="15246" spans="1:27" x14ac:dyDescent="0.35">
      <c r="A15246">
        <v>1004150</v>
      </c>
      <c r="B15246">
        <v>13747</v>
      </c>
      <c r="C15246">
        <v>1</v>
      </c>
      <c r="D15246" t="s">
        <v>35304</v>
      </c>
      <c r="N15246" t="s">
        <v>35305</v>
      </c>
      <c r="P15246" t="s">
        <v>35309</v>
      </c>
      <c r="R15246" s="22" t="str">
        <f>HYPERLINK("https://ictv.global/taxonomy/taxondetails?taxnode_id=202309312","Dagazvirus schedorhinotermitis")</f>
        <v>Dagazvirus schedorhinotermitis</v>
      </c>
      <c r="S15246" t="s">
        <v>30</v>
      </c>
      <c r="T15246" t="s">
        <v>35310</v>
      </c>
      <c r="U15246" t="s">
        <v>19607</v>
      </c>
      <c r="W15246" t="s">
        <v>35311</v>
      </c>
      <c r="X15246" t="s">
        <v>42</v>
      </c>
      <c r="Y15246" t="s">
        <v>23964</v>
      </c>
      <c r="Z15246" t="s">
        <v>166</v>
      </c>
      <c r="AA15246" s="22" t="str">
        <f>HYPERLINK("https://www.ncbi.nlm.nih.gov/nuccore/MK962759","NCBI Nucleotide")</f>
        <v>NCBI Nucleotide</v>
      </c>
    </row>
    <row r="15247" spans="1:27" x14ac:dyDescent="0.35">
      <c r="A15247">
        <v>1004151</v>
      </c>
      <c r="B15247">
        <v>13748</v>
      </c>
      <c r="C15247">
        <v>1</v>
      </c>
      <c r="D15247" t="s">
        <v>35304</v>
      </c>
      <c r="N15247" t="s">
        <v>35305</v>
      </c>
      <c r="P15247" t="s">
        <v>35312</v>
      </c>
      <c r="R15247" s="26" t="str">
        <f>HYPERLINK("https://ictv.global/taxonomy/taxondetails?taxnode_id=202309304","Daletvirus boae")</f>
        <v>Daletvirus boae</v>
      </c>
      <c r="S15247" t="s">
        <v>30</v>
      </c>
      <c r="T15247" t="s">
        <v>35313</v>
      </c>
      <c r="U15247" t="s">
        <v>47662</v>
      </c>
      <c r="V15247" t="s">
        <v>26627</v>
      </c>
      <c r="W15247" t="s">
        <v>35314</v>
      </c>
      <c r="X15247" t="s">
        <v>42</v>
      </c>
      <c r="Y15247" t="s">
        <v>23964</v>
      </c>
      <c r="Z15247" t="s">
        <v>166</v>
      </c>
      <c r="AA15247" s="22" t="str">
        <f>HYPERLINK("https://www.ncbi.nlm.nih.gov/nuccore/MH988742","NCBI Nucleotide")</f>
        <v>NCBI Nucleotide</v>
      </c>
    </row>
    <row r="15248" spans="1:27" x14ac:dyDescent="0.35">
      <c r="A15248">
        <v>1004152</v>
      </c>
      <c r="B15248">
        <v>13749</v>
      </c>
      <c r="C15248">
        <v>1</v>
      </c>
      <c r="D15248" t="s">
        <v>35304</v>
      </c>
      <c r="N15248" t="s">
        <v>35305</v>
      </c>
      <c r="P15248" t="s">
        <v>35315</v>
      </c>
      <c r="R15248" s="26" t="str">
        <f>HYPERLINK("https://ictv.global/taxonomy/taxondetails?taxnode_id=202309302","Dalvirus anatis")</f>
        <v>Dalvirus anatis</v>
      </c>
      <c r="S15248" t="s">
        <v>30</v>
      </c>
      <c r="T15248" t="s">
        <v>35316</v>
      </c>
      <c r="U15248" t="s">
        <v>47663</v>
      </c>
      <c r="W15248" t="s">
        <v>35317</v>
      </c>
      <c r="X15248" t="s">
        <v>42</v>
      </c>
      <c r="Y15248" t="s">
        <v>23964</v>
      </c>
      <c r="Z15248" t="s">
        <v>166</v>
      </c>
      <c r="AA15248" s="22" t="str">
        <f>HYPERLINK("https://www.ncbi.nlm.nih.gov/nuccore/MH824555","NCBI Nucleotide")</f>
        <v>NCBI Nucleotide</v>
      </c>
    </row>
    <row r="15249" spans="1:27" x14ac:dyDescent="0.35">
      <c r="A15249">
        <v>1004153</v>
      </c>
      <c r="B15249">
        <v>13750</v>
      </c>
      <c r="C15249">
        <v>1</v>
      </c>
      <c r="D15249" t="s">
        <v>35304</v>
      </c>
      <c r="N15249" t="s">
        <v>35305</v>
      </c>
      <c r="P15249" t="s">
        <v>35318</v>
      </c>
      <c r="R15249" s="26" t="str">
        <f>HYPERLINK("https://ictv.global/taxonomy/taxondetails?taxnode_id=202309306","Deevirus actinopterygii")</f>
        <v>Deevirus actinopterygii</v>
      </c>
      <c r="S15249" t="s">
        <v>30</v>
      </c>
      <c r="T15249" t="s">
        <v>35319</v>
      </c>
      <c r="U15249" t="s">
        <v>29120</v>
      </c>
      <c r="W15249" t="s">
        <v>35320</v>
      </c>
      <c r="X15249" t="s">
        <v>42</v>
      </c>
      <c r="Y15249" t="s">
        <v>23964</v>
      </c>
      <c r="Z15249" t="s">
        <v>166</v>
      </c>
      <c r="AA15249" s="22" t="str">
        <f>HYPERLINK("https://www.ncbi.nlm.nih.gov/nuccore/MN031240","NCBI Nucleotide")</f>
        <v>NCBI Nucleotide</v>
      </c>
    </row>
    <row r="15250" spans="1:27" x14ac:dyDescent="0.35">
      <c r="A15250">
        <v>1004154</v>
      </c>
      <c r="B15250">
        <v>13751</v>
      </c>
      <c r="C15250">
        <v>1</v>
      </c>
      <c r="D15250" t="s">
        <v>35304</v>
      </c>
      <c r="N15250" t="s">
        <v>35305</v>
      </c>
      <c r="P15250" t="s">
        <v>35321</v>
      </c>
      <c r="R15250" s="26" t="str">
        <f>HYPERLINK("https://ictv.global/taxonomy/taxondetails?taxnode_id=202309299","Deltavirus cameroonense")</f>
        <v>Deltavirus cameroonense</v>
      </c>
      <c r="S15250" t="s">
        <v>30</v>
      </c>
      <c r="T15250" t="s">
        <v>35322</v>
      </c>
      <c r="U15250" t="s">
        <v>47664</v>
      </c>
      <c r="V15250" t="s">
        <v>35323</v>
      </c>
      <c r="W15250" t="s">
        <v>35324</v>
      </c>
      <c r="X15250" t="s">
        <v>42</v>
      </c>
      <c r="Y15250" t="s">
        <v>23964</v>
      </c>
      <c r="Z15250" t="s">
        <v>166</v>
      </c>
      <c r="AA15250" s="22" t="str">
        <f>HYPERLINK("https://www.ncbi.nlm.nih.gov/nuccore/AM183333","NCBI Nucleotide")</f>
        <v>NCBI Nucleotide</v>
      </c>
    </row>
    <row r="15251" spans="1:27" x14ac:dyDescent="0.35">
      <c r="A15251">
        <v>1004155</v>
      </c>
      <c r="B15251">
        <v>13752</v>
      </c>
      <c r="C15251">
        <v>1</v>
      </c>
      <c r="D15251" t="s">
        <v>35304</v>
      </c>
      <c r="N15251" t="s">
        <v>35305</v>
      </c>
      <c r="P15251" t="s">
        <v>35321</v>
      </c>
      <c r="R15251" s="26" t="str">
        <f>HYPERLINK("https://ictv.global/taxonomy/taxondetails?taxnode_id=202309298","Deltavirus carense")</f>
        <v>Deltavirus carense</v>
      </c>
      <c r="S15251" t="s">
        <v>30</v>
      </c>
      <c r="T15251" t="s">
        <v>35325</v>
      </c>
      <c r="U15251" t="s">
        <v>47665</v>
      </c>
      <c r="V15251" t="s">
        <v>35326</v>
      </c>
      <c r="W15251" t="s">
        <v>35327</v>
      </c>
      <c r="X15251" t="s">
        <v>42</v>
      </c>
      <c r="Y15251" t="s">
        <v>23964</v>
      </c>
      <c r="Z15251" t="s">
        <v>166</v>
      </c>
      <c r="AA15251" s="22" t="str">
        <f>HYPERLINK("https://www.ncbi.nlm.nih.gov/nuccore/AX741164","NCBI Nucleotide")</f>
        <v>NCBI Nucleotide</v>
      </c>
    </row>
    <row r="15252" spans="1:27" x14ac:dyDescent="0.35">
      <c r="A15252">
        <v>1004156</v>
      </c>
      <c r="B15252">
        <v>13753</v>
      </c>
      <c r="C15252">
        <v>1</v>
      </c>
      <c r="D15252" t="s">
        <v>35304</v>
      </c>
      <c r="N15252" t="s">
        <v>35305</v>
      </c>
      <c r="P15252" t="s">
        <v>35321</v>
      </c>
      <c r="R15252" s="26" t="str">
        <f>HYPERLINK("https://ictv.global/taxonomy/taxondetails?taxnode_id=202305348","Deltavirus italiense")</f>
        <v>Deltavirus italiense</v>
      </c>
      <c r="S15252" t="s">
        <v>30</v>
      </c>
      <c r="T15252" t="s">
        <v>35328</v>
      </c>
      <c r="U15252" t="s">
        <v>47666</v>
      </c>
      <c r="V15252" t="s">
        <v>35329</v>
      </c>
      <c r="W15252" t="s">
        <v>35330</v>
      </c>
      <c r="X15252" t="s">
        <v>42</v>
      </c>
      <c r="Y15252" t="s">
        <v>23964</v>
      </c>
      <c r="Z15252" t="s">
        <v>166</v>
      </c>
      <c r="AA15252" s="22" t="str">
        <f>HYPERLINK("https://www.ncbi.nlm.nih.gov/nuccore/AF104263","NCBI Nucleotide")</f>
        <v>NCBI Nucleotide</v>
      </c>
    </row>
    <row r="15253" spans="1:27" x14ac:dyDescent="0.35">
      <c r="A15253">
        <v>1004157</v>
      </c>
      <c r="B15253">
        <v>13754</v>
      </c>
      <c r="C15253">
        <v>1</v>
      </c>
      <c r="D15253" t="s">
        <v>35304</v>
      </c>
      <c r="N15253" t="s">
        <v>35305</v>
      </c>
      <c r="P15253" t="s">
        <v>35321</v>
      </c>
      <c r="R15253" s="26" t="str">
        <f>HYPERLINK("https://ictv.global/taxonomy/taxondetails?taxnode_id=202309294","Deltavirus japanense")</f>
        <v>Deltavirus japanense</v>
      </c>
      <c r="S15253" t="s">
        <v>30</v>
      </c>
      <c r="T15253" t="s">
        <v>35331</v>
      </c>
      <c r="U15253" t="s">
        <v>47667</v>
      </c>
      <c r="V15253" t="s">
        <v>35332</v>
      </c>
      <c r="W15253" t="s">
        <v>35333</v>
      </c>
      <c r="X15253" t="s">
        <v>42</v>
      </c>
      <c r="Y15253" t="s">
        <v>23964</v>
      </c>
      <c r="Z15253" t="s">
        <v>166</v>
      </c>
      <c r="AA15253" s="22" t="str">
        <f>HYPERLINK("https://www.ncbi.nlm.nih.gov/nuccore/AF104264","NCBI Nucleotide")</f>
        <v>NCBI Nucleotide</v>
      </c>
    </row>
    <row r="15254" spans="1:27" x14ac:dyDescent="0.35">
      <c r="A15254">
        <v>1004158</v>
      </c>
      <c r="B15254">
        <v>13755</v>
      </c>
      <c r="C15254">
        <v>1</v>
      </c>
      <c r="D15254" t="s">
        <v>35304</v>
      </c>
      <c r="N15254" t="s">
        <v>35305</v>
      </c>
      <c r="P15254" t="s">
        <v>35321</v>
      </c>
      <c r="R15254" s="26" t="str">
        <f>HYPERLINK("https://ictv.global/taxonomy/taxondetails?taxnode_id=202309295","Deltavirus peruense")</f>
        <v>Deltavirus peruense</v>
      </c>
      <c r="S15254" t="s">
        <v>30</v>
      </c>
      <c r="T15254" t="s">
        <v>35334</v>
      </c>
      <c r="U15254" t="s">
        <v>47668</v>
      </c>
      <c r="V15254" t="s">
        <v>35335</v>
      </c>
      <c r="W15254" t="s">
        <v>35336</v>
      </c>
      <c r="X15254" t="s">
        <v>42</v>
      </c>
      <c r="Y15254" t="s">
        <v>23964</v>
      </c>
      <c r="Z15254" t="s">
        <v>166</v>
      </c>
      <c r="AA15254" s="22" t="str">
        <f>HYPERLINK("https://www.ncbi.nlm.nih.gov/nuccore/AB037948","NCBI Nucleotide")</f>
        <v>NCBI Nucleotide</v>
      </c>
    </row>
    <row r="15255" spans="1:27" x14ac:dyDescent="0.35">
      <c r="A15255">
        <v>1004159</v>
      </c>
      <c r="B15255">
        <v>13756</v>
      </c>
      <c r="C15255">
        <v>1</v>
      </c>
      <c r="D15255" t="s">
        <v>35304</v>
      </c>
      <c r="N15255" t="s">
        <v>35305</v>
      </c>
      <c r="P15255" t="s">
        <v>35321</v>
      </c>
      <c r="R15255" s="26" t="str">
        <f>HYPERLINK("https://ictv.global/taxonomy/taxondetails?taxnode_id=202309300","Deltavirus senegalense")</f>
        <v>Deltavirus senegalense</v>
      </c>
      <c r="S15255" t="s">
        <v>30</v>
      </c>
      <c r="T15255" t="s">
        <v>35337</v>
      </c>
      <c r="U15255" t="s">
        <v>47669</v>
      </c>
      <c r="V15255" t="s">
        <v>35338</v>
      </c>
      <c r="W15255" t="s">
        <v>35339</v>
      </c>
      <c r="X15255" t="s">
        <v>42</v>
      </c>
      <c r="Y15255" t="s">
        <v>23964</v>
      </c>
      <c r="Z15255" t="s">
        <v>166</v>
      </c>
      <c r="AA15255" s="22" t="str">
        <f>HYPERLINK("https://www.ncbi.nlm.nih.gov/nuccore/AM183330","NCBI Nucleotide")</f>
        <v>NCBI Nucleotide</v>
      </c>
    </row>
    <row r="15256" spans="1:27" x14ac:dyDescent="0.35">
      <c r="A15256">
        <v>1004160</v>
      </c>
      <c r="B15256">
        <v>13757</v>
      </c>
      <c r="C15256">
        <v>1</v>
      </c>
      <c r="D15256" t="s">
        <v>35304</v>
      </c>
      <c r="N15256" t="s">
        <v>35305</v>
      </c>
      <c r="P15256" t="s">
        <v>35321</v>
      </c>
      <c r="R15256" s="26" t="str">
        <f>HYPERLINK("https://ictv.global/taxonomy/taxondetails?taxnode_id=202309296","Deltavirus taiwanense")</f>
        <v>Deltavirus taiwanense</v>
      </c>
      <c r="S15256" t="s">
        <v>30</v>
      </c>
      <c r="T15256" t="s">
        <v>35340</v>
      </c>
      <c r="U15256" t="s">
        <v>47670</v>
      </c>
      <c r="V15256" t="s">
        <v>35341</v>
      </c>
      <c r="W15256" t="s">
        <v>35342</v>
      </c>
      <c r="X15256" t="s">
        <v>42</v>
      </c>
      <c r="Y15256" t="s">
        <v>23964</v>
      </c>
      <c r="Z15256" t="s">
        <v>166</v>
      </c>
      <c r="AA15256" s="22" t="str">
        <f>HYPERLINK("https://www.ncbi.nlm.nih.gov/nuccore/AF018077","NCBI Nucleotide")</f>
        <v>NCBI Nucleotide</v>
      </c>
    </row>
    <row r="15257" spans="1:27" x14ac:dyDescent="0.35">
      <c r="A15257">
        <v>1004161</v>
      </c>
      <c r="B15257">
        <v>13758</v>
      </c>
      <c r="C15257">
        <v>1</v>
      </c>
      <c r="D15257" t="s">
        <v>35304</v>
      </c>
      <c r="N15257" t="s">
        <v>35305</v>
      </c>
      <c r="P15257" t="s">
        <v>35321</v>
      </c>
      <c r="R15257" s="26" t="str">
        <f>HYPERLINK("https://ictv.global/taxonomy/taxondetails?taxnode_id=202309297","Deltavirus togense")</f>
        <v>Deltavirus togense</v>
      </c>
      <c r="S15257" t="s">
        <v>30</v>
      </c>
      <c r="T15257" t="s">
        <v>35343</v>
      </c>
      <c r="U15257" t="s">
        <v>47671</v>
      </c>
      <c r="V15257" t="s">
        <v>35344</v>
      </c>
      <c r="W15257" t="s">
        <v>35345</v>
      </c>
      <c r="X15257" t="s">
        <v>42</v>
      </c>
      <c r="Y15257" t="s">
        <v>23964</v>
      </c>
      <c r="Z15257" t="s">
        <v>166</v>
      </c>
      <c r="AA15257" s="22" t="str">
        <f>HYPERLINK("https://www.ncbi.nlm.nih.gov/nuccore/AM183331","NCBI Nucleotide")</f>
        <v>NCBI Nucleotide</v>
      </c>
    </row>
    <row r="15258" spans="1:27" x14ac:dyDescent="0.35">
      <c r="A15258">
        <v>1004162</v>
      </c>
      <c r="B15258">
        <v>13759</v>
      </c>
      <c r="C15258">
        <v>1</v>
      </c>
      <c r="D15258" t="s">
        <v>35304</v>
      </c>
      <c r="N15258" t="s">
        <v>35305</v>
      </c>
      <c r="P15258" t="s">
        <v>35346</v>
      </c>
      <c r="R15258" s="26" t="str">
        <f>HYPERLINK("https://ictv.global/taxonomy/taxondetails?taxnode_id=202309308","Dobrovirus bufonis")</f>
        <v>Dobrovirus bufonis</v>
      </c>
      <c r="S15258" t="s">
        <v>30</v>
      </c>
      <c r="T15258" t="s">
        <v>35347</v>
      </c>
      <c r="U15258" t="s">
        <v>47672</v>
      </c>
      <c r="W15258" t="s">
        <v>35348</v>
      </c>
      <c r="X15258" t="s">
        <v>42</v>
      </c>
      <c r="Y15258" t="s">
        <v>23964</v>
      </c>
      <c r="Z15258" t="s">
        <v>166</v>
      </c>
      <c r="AA15258" s="22" t="str">
        <f>HYPERLINK("https://www.ncbi.nlm.nih.gov/nuccore/MK962760","NCBI Nucleotide")</f>
        <v>NCBI Nucleotide</v>
      </c>
    </row>
    <row r="15259" spans="1:27" x14ac:dyDescent="0.35">
      <c r="A15259">
        <v>1027581</v>
      </c>
      <c r="B15259">
        <v>13760</v>
      </c>
      <c r="C15259">
        <v>1</v>
      </c>
      <c r="D15259" t="s">
        <v>35304</v>
      </c>
      <c r="N15259" t="s">
        <v>35305</v>
      </c>
      <c r="P15259" t="s">
        <v>47673</v>
      </c>
      <c r="R15259" s="26" t="str">
        <f>HYPERLINK("https://ictv.global/taxonomy/taxondetails?taxnode_id=202318995","Donvirus odontotermitis")</f>
        <v>Donvirus odontotermitis</v>
      </c>
      <c r="S15259" t="s">
        <v>30</v>
      </c>
      <c r="T15259" t="s">
        <v>47674</v>
      </c>
      <c r="V15259" t="s">
        <v>47675</v>
      </c>
      <c r="W15259" t="s">
        <v>47676</v>
      </c>
      <c r="X15259" t="s">
        <v>42</v>
      </c>
      <c r="Y15259" t="s">
        <v>23964</v>
      </c>
      <c r="Z15259" t="s">
        <v>10790</v>
      </c>
      <c r="AA15259" s="22" t="str">
        <f>HYPERLINK("https://www.ncbi.nlm.nih.gov/nuccore/ON082765","NCBI Nucleotide")</f>
        <v>NCBI Nucleotide</v>
      </c>
    </row>
    <row r="15260" spans="1:27" x14ac:dyDescent="0.35">
      <c r="A15260">
        <v>1027685</v>
      </c>
      <c r="B15260">
        <v>13761</v>
      </c>
      <c r="C15260">
        <v>1</v>
      </c>
      <c r="D15260" t="s">
        <v>35304</v>
      </c>
      <c r="N15260" t="s">
        <v>35305</v>
      </c>
      <c r="P15260" t="s">
        <v>47677</v>
      </c>
      <c r="R15260" s="26" t="str">
        <f>HYPERLINK("https://ictv.global/taxonomy/taxondetails?taxnode_id=202318990","Perideltavirus desmodi")</f>
        <v>Perideltavirus desmodi</v>
      </c>
      <c r="S15260" t="s">
        <v>30</v>
      </c>
      <c r="T15260" t="s">
        <v>47678</v>
      </c>
      <c r="V15260" t="s">
        <v>47679</v>
      </c>
      <c r="W15260" t="s">
        <v>47680</v>
      </c>
      <c r="X15260" t="s">
        <v>42</v>
      </c>
      <c r="Y15260" t="s">
        <v>23964</v>
      </c>
      <c r="Z15260" t="s">
        <v>166</v>
      </c>
      <c r="AA15260" s="22" t="str">
        <f>HYPERLINK("https://www.ncbi.nlm.nih.gov/nuccore/MT649207","NCBI Nucleotide")</f>
        <v>NCBI Nucleotide</v>
      </c>
    </row>
    <row r="15261" spans="1:27" x14ac:dyDescent="0.35">
      <c r="A15261">
        <v>1027686</v>
      </c>
      <c r="B15261">
        <v>13762</v>
      </c>
      <c r="C15261">
        <v>1</v>
      </c>
      <c r="D15261" t="s">
        <v>35304</v>
      </c>
      <c r="N15261" t="s">
        <v>35305</v>
      </c>
      <c r="P15261" t="s">
        <v>47677</v>
      </c>
      <c r="R15261" s="26" t="str">
        <f>HYPERLINK("https://ictv.global/taxonomy/taxondetails?taxnode_id=202318991","Perideltavirus marmotae")</f>
        <v>Perideltavirus marmotae</v>
      </c>
      <c r="S15261" t="s">
        <v>30</v>
      </c>
      <c r="T15261" t="s">
        <v>47681</v>
      </c>
      <c r="W15261" t="s">
        <v>47682</v>
      </c>
      <c r="X15261" t="s">
        <v>42</v>
      </c>
      <c r="Y15261" t="s">
        <v>23964</v>
      </c>
      <c r="Z15261" t="s">
        <v>166</v>
      </c>
      <c r="AA15261" s="22" t="str">
        <f>HYPERLINK("https://www.ncbi.nlm.nih.gov/nuccore/BR001661","NCBI Nucleotide")</f>
        <v>NCBI Nucleotide</v>
      </c>
    </row>
    <row r="15262" spans="1:27" x14ac:dyDescent="0.35">
      <c r="A15262">
        <v>1027687</v>
      </c>
      <c r="B15262">
        <v>13763</v>
      </c>
      <c r="C15262">
        <v>1</v>
      </c>
      <c r="D15262" t="s">
        <v>35304</v>
      </c>
      <c r="N15262" t="s">
        <v>35305</v>
      </c>
      <c r="P15262" t="s">
        <v>47677</v>
      </c>
      <c r="R15262" s="26" t="str">
        <f>HYPERLINK("https://ictv.global/taxonomy/taxondetails?taxnode_id=202318992","Perideltavirus odocoilei")</f>
        <v>Perideltavirus odocoilei</v>
      </c>
      <c r="S15262" t="s">
        <v>30</v>
      </c>
      <c r="T15262" t="s">
        <v>47683</v>
      </c>
      <c r="W15262" t="s">
        <v>47684</v>
      </c>
      <c r="X15262" t="s">
        <v>42</v>
      </c>
      <c r="Y15262" t="s">
        <v>23964</v>
      </c>
      <c r="Z15262" t="s">
        <v>166</v>
      </c>
      <c r="AA15262" s="22" t="str">
        <f>HYPERLINK("https://www.ncbi.nlm.nih.gov/nuccore/BR001662","NCBI Nucleotide")</f>
        <v>NCBI Nucleotide</v>
      </c>
    </row>
    <row r="15263" spans="1:27" x14ac:dyDescent="0.35">
      <c r="A15263">
        <v>1027720</v>
      </c>
      <c r="B15263">
        <v>13764</v>
      </c>
      <c r="C15263">
        <v>1</v>
      </c>
      <c r="D15263" t="s">
        <v>35304</v>
      </c>
      <c r="N15263" t="s">
        <v>35305</v>
      </c>
      <c r="P15263" t="s">
        <v>47685</v>
      </c>
      <c r="R15263" s="26" t="str">
        <f>HYPERLINK("https://ictv.global/taxonomy/taxondetails?taxnode_id=202318994","Perithurisazvirus passeriformes")</f>
        <v>Perithurisazvirus passeriformes</v>
      </c>
      <c r="S15263" t="s">
        <v>30</v>
      </c>
      <c r="T15263" t="s">
        <v>47686</v>
      </c>
      <c r="V15263" t="s">
        <v>47687</v>
      </c>
      <c r="W15263" t="s">
        <v>47688</v>
      </c>
      <c r="X15263" t="s">
        <v>42</v>
      </c>
      <c r="Y15263" t="s">
        <v>23964</v>
      </c>
      <c r="Z15263" t="s">
        <v>166</v>
      </c>
      <c r="AA15263" s="22" t="str">
        <f>HYPERLINK("https://www.ncbi.nlm.nih.gov/nuccore/BR001665","NCBI Nucleotide")</f>
        <v>NCBI Nucleotide</v>
      </c>
    </row>
    <row r="15264" spans="1:27" x14ac:dyDescent="0.35">
      <c r="A15264">
        <v>1027749</v>
      </c>
      <c r="B15264">
        <v>13765</v>
      </c>
      <c r="C15264">
        <v>1</v>
      </c>
      <c r="D15264" t="s">
        <v>35304</v>
      </c>
      <c r="N15264" t="s">
        <v>35305</v>
      </c>
      <c r="P15264" t="s">
        <v>35349</v>
      </c>
      <c r="R15264" s="26" t="str">
        <f>HYPERLINK("https://ictv.global/taxonomy/taxondetails?taxnode_id=202318993","Thurisazvirus desmodi")</f>
        <v>Thurisazvirus desmodi</v>
      </c>
      <c r="S15264" t="s">
        <v>30</v>
      </c>
      <c r="T15264" t="s">
        <v>47678</v>
      </c>
      <c r="V15264" t="s">
        <v>47689</v>
      </c>
      <c r="W15264" t="s">
        <v>47690</v>
      </c>
      <c r="X15264" t="s">
        <v>42</v>
      </c>
      <c r="Y15264" t="s">
        <v>23964</v>
      </c>
      <c r="Z15264" t="s">
        <v>166</v>
      </c>
      <c r="AA15264" s="22" t="str">
        <f>HYPERLINK("https://www.ncbi.nlm.nih.gov/nuccore/MT649206","NCBI Nucleotide")</f>
        <v>NCBI Nucleotide</v>
      </c>
    </row>
    <row r="15265" spans="1:27" x14ac:dyDescent="0.35">
      <c r="A15265">
        <v>1004163</v>
      </c>
      <c r="B15265">
        <v>13766</v>
      </c>
      <c r="C15265">
        <v>1</v>
      </c>
      <c r="D15265" t="s">
        <v>35304</v>
      </c>
      <c r="N15265" t="s">
        <v>35305</v>
      </c>
      <c r="P15265" t="s">
        <v>35349</v>
      </c>
      <c r="R15265" s="26" t="str">
        <f>HYPERLINK("https://ictv.global/taxonomy/taxondetails?taxnode_id=202309314","Thurisazvirus myis")</f>
        <v>Thurisazvirus myis</v>
      </c>
      <c r="S15265" t="s">
        <v>30</v>
      </c>
      <c r="T15265" t="s">
        <v>35350</v>
      </c>
      <c r="U15265" t="s">
        <v>47691</v>
      </c>
      <c r="V15265">
        <v>1481</v>
      </c>
      <c r="W15265" t="s">
        <v>35351</v>
      </c>
      <c r="X15265" t="s">
        <v>42</v>
      </c>
      <c r="Y15265" t="s">
        <v>23964</v>
      </c>
      <c r="Z15265" t="s">
        <v>166</v>
      </c>
      <c r="AA15265" s="22" t="str">
        <f>HYPERLINK("https://www.ncbi.nlm.nih.gov/nuccore/MK598003","NCBI Nucleotide")</f>
        <v>NCBI Nucleotide</v>
      </c>
    </row>
    <row r="15266" spans="1:27" x14ac:dyDescent="0.35">
      <c r="A15266">
        <v>1004176</v>
      </c>
      <c r="B15266">
        <v>13767</v>
      </c>
      <c r="C15266">
        <v>1</v>
      </c>
      <c r="D15266" t="s">
        <v>35352</v>
      </c>
      <c r="F15266" t="s">
        <v>35353</v>
      </c>
      <c r="H15266" t="s">
        <v>35359</v>
      </c>
      <c r="J15266" t="s">
        <v>35360</v>
      </c>
      <c r="L15266" t="s">
        <v>35370</v>
      </c>
      <c r="N15266" t="s">
        <v>35371</v>
      </c>
      <c r="P15266" t="s">
        <v>35372</v>
      </c>
      <c r="R15266" s="26" t="str">
        <f>HYPERLINK("https://ictv.global/taxonomy/taxondetails?taxnode_id=202304305","Chlorovirus americanus")</f>
        <v>Chlorovirus americanus</v>
      </c>
      <c r="S15266" t="s">
        <v>30</v>
      </c>
      <c r="T15266" t="s">
        <v>35385</v>
      </c>
      <c r="U15266" t="s">
        <v>35386</v>
      </c>
      <c r="V15266" t="s">
        <v>35387</v>
      </c>
      <c r="W15266" t="s">
        <v>35388</v>
      </c>
      <c r="X15266" t="s">
        <v>42</v>
      </c>
      <c r="Y15266" t="s">
        <v>36</v>
      </c>
      <c r="Z15266" t="s">
        <v>17496</v>
      </c>
      <c r="AA15266" s="22" t="str">
        <f>HYPERLINK("https://www.ncbi.nlm.nih.gov/nuccore/DQ491002","NCBI Nucleotide")</f>
        <v>NCBI Nucleotide</v>
      </c>
    </row>
    <row r="15267" spans="1:27" x14ac:dyDescent="0.35">
      <c r="A15267">
        <v>1004167</v>
      </c>
      <c r="B15267">
        <v>13768</v>
      </c>
      <c r="C15267">
        <v>1</v>
      </c>
      <c r="D15267" t="s">
        <v>35352</v>
      </c>
      <c r="F15267" t="s">
        <v>35353</v>
      </c>
      <c r="H15267" t="s">
        <v>35359</v>
      </c>
      <c r="J15267" t="s">
        <v>35360</v>
      </c>
      <c r="L15267" t="s">
        <v>35370</v>
      </c>
      <c r="N15267" t="s">
        <v>35371</v>
      </c>
      <c r="P15267" t="s">
        <v>35372</v>
      </c>
      <c r="R15267" s="26" t="str">
        <f>HYPERLINK("https://ictv.global/taxonomy/taxondetails?taxnode_id=202304296","Chlorovirus conductrix")</f>
        <v>Chlorovirus conductrix</v>
      </c>
      <c r="S15267" t="s">
        <v>30</v>
      </c>
      <c r="T15267" t="s">
        <v>35378</v>
      </c>
      <c r="U15267" t="s">
        <v>35379</v>
      </c>
      <c r="W15267" t="s">
        <v>35380</v>
      </c>
      <c r="X15267" t="s">
        <v>154</v>
      </c>
      <c r="Y15267" t="s">
        <v>36</v>
      </c>
      <c r="Z15267" t="s">
        <v>17496</v>
      </c>
      <c r="AA15267" s="22" t="str">
        <f>HYPERLINK("https://www.ncbi.nlm.nih.gov/nuccore/JX997159","NCBI Nucleotide")</f>
        <v>NCBI Nucleotide</v>
      </c>
    </row>
    <row r="15268" spans="1:27" x14ac:dyDescent="0.35">
      <c r="A15268">
        <v>1004164</v>
      </c>
      <c r="B15268">
        <v>13769</v>
      </c>
      <c r="C15268">
        <v>1</v>
      </c>
      <c r="D15268" t="s">
        <v>35352</v>
      </c>
      <c r="F15268" t="s">
        <v>35353</v>
      </c>
      <c r="H15268" t="s">
        <v>35359</v>
      </c>
      <c r="J15268" t="s">
        <v>35360</v>
      </c>
      <c r="L15268" t="s">
        <v>35370</v>
      </c>
      <c r="N15268" t="s">
        <v>35371</v>
      </c>
      <c r="P15268" t="s">
        <v>35372</v>
      </c>
      <c r="R15268" s="26" t="str">
        <f>HYPERLINK("https://ictv.global/taxonomy/taxondetails?taxnode_id=202304293","Chlorovirus heliozoae")</f>
        <v>Chlorovirus heliozoae</v>
      </c>
      <c r="S15268" t="s">
        <v>30</v>
      </c>
      <c r="T15268" t="s">
        <v>35373</v>
      </c>
      <c r="U15268" t="s">
        <v>17432</v>
      </c>
      <c r="W15268" t="s">
        <v>35374</v>
      </c>
      <c r="X15268" t="s">
        <v>42</v>
      </c>
      <c r="Y15268" t="s">
        <v>36</v>
      </c>
      <c r="Z15268" t="s">
        <v>17496</v>
      </c>
      <c r="AA15268" s="22" t="str">
        <f>HYPERLINK("https://www.ncbi.nlm.nih.gov/nuccore/EF101928","NCBI Nucleotide")</f>
        <v>NCBI Nucleotide</v>
      </c>
    </row>
    <row r="15269" spans="1:27" x14ac:dyDescent="0.35">
      <c r="A15269">
        <v>1004173</v>
      </c>
      <c r="B15269">
        <v>13770</v>
      </c>
      <c r="C15269">
        <v>1</v>
      </c>
      <c r="D15269" t="s">
        <v>35352</v>
      </c>
      <c r="F15269" t="s">
        <v>35353</v>
      </c>
      <c r="H15269" t="s">
        <v>35359</v>
      </c>
      <c r="J15269" t="s">
        <v>35360</v>
      </c>
      <c r="L15269" t="s">
        <v>35370</v>
      </c>
      <c r="N15269" t="s">
        <v>35371</v>
      </c>
      <c r="P15269" t="s">
        <v>35372</v>
      </c>
      <c r="R15269" s="26" t="str">
        <f>HYPERLINK("https://ictv.global/taxonomy/taxondetails?taxnode_id=202304302","Chlorovirus illinoense")</f>
        <v>Chlorovirus illinoense</v>
      </c>
      <c r="S15269" t="s">
        <v>30</v>
      </c>
      <c r="T15269" t="s">
        <v>35381</v>
      </c>
      <c r="U15269" t="s">
        <v>35382</v>
      </c>
      <c r="V15269" t="s">
        <v>35383</v>
      </c>
      <c r="W15269" t="s">
        <v>35384</v>
      </c>
      <c r="X15269" t="s">
        <v>154</v>
      </c>
      <c r="Y15269" t="s">
        <v>36</v>
      </c>
      <c r="Z15269" t="s">
        <v>17496</v>
      </c>
      <c r="AA15269" s="22" t="str">
        <f>HYPERLINK("https://www.ncbi.nlm.nih.gov/nuccore/AY857869","NCBI Nucleotide")</f>
        <v>NCBI Nucleotide</v>
      </c>
    </row>
    <row r="15270" spans="1:27" x14ac:dyDescent="0.35">
      <c r="A15270">
        <v>1004177</v>
      </c>
      <c r="B15270">
        <v>13771</v>
      </c>
      <c r="C15270">
        <v>1</v>
      </c>
      <c r="D15270" t="s">
        <v>35352</v>
      </c>
      <c r="F15270" t="s">
        <v>35353</v>
      </c>
      <c r="H15270" t="s">
        <v>35359</v>
      </c>
      <c r="J15270" t="s">
        <v>35360</v>
      </c>
      <c r="L15270" t="s">
        <v>35370</v>
      </c>
      <c r="N15270" t="s">
        <v>35371</v>
      </c>
      <c r="P15270" t="s">
        <v>35372</v>
      </c>
      <c r="R15270" s="26" t="str">
        <f>HYPERLINK("https://ictv.global/taxonomy/taxondetails?taxnode_id=202304306","Chlorovirus newyorkense")</f>
        <v>Chlorovirus newyorkense</v>
      </c>
      <c r="S15270" t="s">
        <v>30</v>
      </c>
      <c r="T15270" t="s">
        <v>35389</v>
      </c>
      <c r="U15270" t="s">
        <v>35390</v>
      </c>
      <c r="W15270" t="s">
        <v>47692</v>
      </c>
      <c r="X15270" t="s">
        <v>154</v>
      </c>
      <c r="Y15270" t="s">
        <v>36</v>
      </c>
      <c r="Z15270" t="s">
        <v>17496</v>
      </c>
      <c r="AA15270" s="22" t="str">
        <f>HYPERLINK("https://www.ncbi.nlm.nih.gov/nuccore/AF062394,JX997183","NCBI Nucleotide")</f>
        <v>NCBI Nucleotide</v>
      </c>
    </row>
    <row r="15271" spans="1:27" x14ac:dyDescent="0.35">
      <c r="A15271">
        <v>1004166</v>
      </c>
      <c r="B15271">
        <v>13772</v>
      </c>
      <c r="C15271">
        <v>1</v>
      </c>
      <c r="D15271" t="s">
        <v>35352</v>
      </c>
      <c r="F15271" t="s">
        <v>35353</v>
      </c>
      <c r="H15271" t="s">
        <v>35359</v>
      </c>
      <c r="J15271" t="s">
        <v>35360</v>
      </c>
      <c r="L15271" t="s">
        <v>35370</v>
      </c>
      <c r="N15271" t="s">
        <v>35371</v>
      </c>
      <c r="P15271" t="s">
        <v>35372</v>
      </c>
      <c r="R15271" s="26" t="str">
        <f>HYPERLINK("https://ictv.global/taxonomy/taxondetails?taxnode_id=202304295","Chlorovirus vanettense")</f>
        <v>Chlorovirus vanettense</v>
      </c>
      <c r="S15271" t="s">
        <v>30</v>
      </c>
      <c r="T15271" t="s">
        <v>35375</v>
      </c>
      <c r="U15271" t="s">
        <v>35376</v>
      </c>
      <c r="W15271" t="s">
        <v>35377</v>
      </c>
      <c r="X15271" t="s">
        <v>42</v>
      </c>
      <c r="Y15271" t="s">
        <v>36</v>
      </c>
      <c r="Z15271" t="s">
        <v>17496</v>
      </c>
      <c r="AA15271" s="22" t="str">
        <f>HYPERLINK("https://www.ncbi.nlm.nih.gov/nuccore/JF411744","NCBI Nucleotide")</f>
        <v>NCBI Nucleotide</v>
      </c>
    </row>
    <row r="15272" spans="1:27" x14ac:dyDescent="0.35">
      <c r="A15272">
        <v>1004183</v>
      </c>
      <c r="B15272">
        <v>13773</v>
      </c>
      <c r="C15272">
        <v>1</v>
      </c>
      <c r="D15272" t="s">
        <v>35352</v>
      </c>
      <c r="F15272" t="s">
        <v>35353</v>
      </c>
      <c r="H15272" t="s">
        <v>35359</v>
      </c>
      <c r="J15272" t="s">
        <v>35360</v>
      </c>
      <c r="L15272" t="s">
        <v>35370</v>
      </c>
      <c r="N15272" t="s">
        <v>35371</v>
      </c>
      <c r="P15272" t="s">
        <v>35391</v>
      </c>
      <c r="R15272" s="26" t="str">
        <f>HYPERLINK("https://ictv.global/taxonomy/taxondetails?taxnode_id=202304313","Coccolithovirus huxleyi")</f>
        <v>Coccolithovirus huxleyi</v>
      </c>
      <c r="S15272" t="s">
        <v>30</v>
      </c>
      <c r="T15272" t="s">
        <v>35392</v>
      </c>
      <c r="U15272" t="s">
        <v>35393</v>
      </c>
      <c r="W15272" t="s">
        <v>35394</v>
      </c>
      <c r="X15272" t="s">
        <v>42</v>
      </c>
      <c r="Y15272" t="s">
        <v>36</v>
      </c>
      <c r="Z15272" t="s">
        <v>17496</v>
      </c>
      <c r="AA15272" s="22" t="str">
        <f>HYPERLINK("https://www.ncbi.nlm.nih.gov/nuccore/AJ890364","NCBI Nucleotide")</f>
        <v>NCBI Nucleotide</v>
      </c>
    </row>
    <row r="15273" spans="1:27" x14ac:dyDescent="0.35">
      <c r="A15273">
        <v>1004188</v>
      </c>
      <c r="B15273">
        <v>13774</v>
      </c>
      <c r="C15273">
        <v>1</v>
      </c>
      <c r="D15273" t="s">
        <v>35352</v>
      </c>
      <c r="F15273" t="s">
        <v>35353</v>
      </c>
      <c r="H15273" t="s">
        <v>35359</v>
      </c>
      <c r="J15273" t="s">
        <v>35360</v>
      </c>
      <c r="L15273" t="s">
        <v>35370</v>
      </c>
      <c r="N15273" t="s">
        <v>35371</v>
      </c>
      <c r="P15273" t="s">
        <v>35395</v>
      </c>
      <c r="R15273" s="26" t="str">
        <f>HYPERLINK("https://ictv.global/taxonomy/taxondetails?taxnode_id=202304319","Phaeovirus feldmanniae")</f>
        <v>Phaeovirus feldmanniae</v>
      </c>
      <c r="S15273" t="s">
        <v>30</v>
      </c>
      <c r="T15273" t="s">
        <v>35402</v>
      </c>
      <c r="U15273" t="s">
        <v>35403</v>
      </c>
      <c r="V15273">
        <v>158</v>
      </c>
      <c r="W15273" t="s">
        <v>35404</v>
      </c>
      <c r="X15273" t="s">
        <v>42</v>
      </c>
      <c r="Y15273" t="s">
        <v>36</v>
      </c>
      <c r="Z15273" t="s">
        <v>17496</v>
      </c>
      <c r="AA15273" s="22" t="str">
        <f>HYPERLINK("https://www.ncbi.nlm.nih.gov/nuccore/EU916176","NCBI Nucleotide")</f>
        <v>NCBI Nucleotide</v>
      </c>
    </row>
    <row r="15274" spans="1:27" x14ac:dyDescent="0.35">
      <c r="A15274">
        <v>1004187</v>
      </c>
      <c r="B15274">
        <v>13775</v>
      </c>
      <c r="C15274">
        <v>1</v>
      </c>
      <c r="D15274" t="s">
        <v>35352</v>
      </c>
      <c r="F15274" t="s">
        <v>35353</v>
      </c>
      <c r="H15274" t="s">
        <v>35359</v>
      </c>
      <c r="J15274" t="s">
        <v>35360</v>
      </c>
      <c r="L15274" t="s">
        <v>35370</v>
      </c>
      <c r="N15274" t="s">
        <v>35371</v>
      </c>
      <c r="P15274" t="s">
        <v>35395</v>
      </c>
      <c r="R15274" s="26" t="str">
        <f>HYPERLINK("https://ictv.global/taxonomy/taxondetails?taxnode_id=202304318","Phaeovirus irregularis")</f>
        <v>Phaeovirus irregularis</v>
      </c>
      <c r="S15274" t="s">
        <v>30</v>
      </c>
      <c r="T15274" t="s">
        <v>35399</v>
      </c>
      <c r="U15274" t="s">
        <v>35400</v>
      </c>
      <c r="V15274" t="s">
        <v>35401</v>
      </c>
      <c r="W15274" t="s">
        <v>47693</v>
      </c>
      <c r="X15274" t="s">
        <v>154</v>
      </c>
      <c r="Y15274" t="s">
        <v>36</v>
      </c>
      <c r="Z15274" t="s">
        <v>17496</v>
      </c>
      <c r="AA15274" s="22" t="str">
        <f>HYPERLINK("https://www.ncbi.nlm.nih.gov/nuccore/AY225133,AY225134,AY225135,AY225136,AY225137,AY225138,AY225139,AY225140,AY225141,AY225142,AY225143,AY225144,AY225145,AY225146,AY225147,AY225148","NCBI Nucleotide")</f>
        <v>NCBI Nucleotide</v>
      </c>
    </row>
    <row r="15275" spans="1:27" x14ac:dyDescent="0.35">
      <c r="A15275">
        <v>1004185</v>
      </c>
      <c r="B15275">
        <v>13776</v>
      </c>
      <c r="C15275">
        <v>1</v>
      </c>
      <c r="D15275" t="s">
        <v>35352</v>
      </c>
      <c r="F15275" t="s">
        <v>35353</v>
      </c>
      <c r="H15275" t="s">
        <v>35359</v>
      </c>
      <c r="J15275" t="s">
        <v>35360</v>
      </c>
      <c r="L15275" t="s">
        <v>35370</v>
      </c>
      <c r="N15275" t="s">
        <v>35371</v>
      </c>
      <c r="P15275" t="s">
        <v>35395</v>
      </c>
      <c r="R15275" s="26" t="str">
        <f>HYPERLINK("https://ictv.global/taxonomy/taxondetails?taxnode_id=202304316","Phaeovirus unasiliculosus")</f>
        <v>Phaeovirus unasiliculosus</v>
      </c>
      <c r="S15275" t="s">
        <v>30</v>
      </c>
      <c r="T15275" t="s">
        <v>35396</v>
      </c>
      <c r="U15275" t="s">
        <v>35397</v>
      </c>
      <c r="W15275" t="s">
        <v>35398</v>
      </c>
      <c r="X15275" t="s">
        <v>42</v>
      </c>
      <c r="Y15275" t="s">
        <v>36</v>
      </c>
      <c r="Z15275" t="s">
        <v>17496</v>
      </c>
      <c r="AA15275" s="22" t="str">
        <f>HYPERLINK("https://www.ncbi.nlm.nih.gov/nuccore/AF204951","NCBI Nucleotide")</f>
        <v>NCBI Nucleotide</v>
      </c>
    </row>
    <row r="15276" spans="1:27" x14ac:dyDescent="0.35">
      <c r="A15276">
        <v>1004193</v>
      </c>
      <c r="B15276">
        <v>13777</v>
      </c>
      <c r="C15276">
        <v>1</v>
      </c>
      <c r="D15276" t="s">
        <v>35352</v>
      </c>
      <c r="F15276" t="s">
        <v>35353</v>
      </c>
      <c r="H15276" t="s">
        <v>35359</v>
      </c>
      <c r="J15276" t="s">
        <v>35360</v>
      </c>
      <c r="L15276" t="s">
        <v>35370</v>
      </c>
      <c r="N15276" t="s">
        <v>35371</v>
      </c>
      <c r="P15276" t="s">
        <v>35405</v>
      </c>
      <c r="R15276" s="26" t="str">
        <f>HYPERLINK("https://ictv.global/taxonomy/taxondetails?taxnode_id=202304325","Prasinovirus micromonas")</f>
        <v>Prasinovirus micromonas</v>
      </c>
      <c r="S15276" t="s">
        <v>30</v>
      </c>
      <c r="T15276" t="s">
        <v>35406</v>
      </c>
      <c r="U15276" t="s">
        <v>35407</v>
      </c>
      <c r="V15276" t="s">
        <v>35408</v>
      </c>
      <c r="W15276" t="s">
        <v>35409</v>
      </c>
      <c r="X15276" t="s">
        <v>154</v>
      </c>
      <c r="Y15276" t="s">
        <v>36</v>
      </c>
      <c r="Z15276" t="s">
        <v>17496</v>
      </c>
      <c r="AA15276" s="22" t="str">
        <f>HYPERLINK("https://www.ncbi.nlm.nih.gov/nuccore/JF974320","NCBI Nucleotide")</f>
        <v>NCBI Nucleotide</v>
      </c>
    </row>
    <row r="15277" spans="1:27" x14ac:dyDescent="0.35">
      <c r="A15277">
        <v>1004194</v>
      </c>
      <c r="B15277">
        <v>13778</v>
      </c>
      <c r="C15277">
        <v>1</v>
      </c>
      <c r="D15277" t="s">
        <v>35352</v>
      </c>
      <c r="F15277" t="s">
        <v>35353</v>
      </c>
      <c r="H15277" t="s">
        <v>35359</v>
      </c>
      <c r="J15277" t="s">
        <v>35360</v>
      </c>
      <c r="L15277" t="s">
        <v>35370</v>
      </c>
      <c r="N15277" t="s">
        <v>35371</v>
      </c>
      <c r="P15277" t="s">
        <v>35405</v>
      </c>
      <c r="R15277" s="26" t="str">
        <f>HYPERLINK("https://ictv.global/taxonomy/taxondetails?taxnode_id=202304326","Prasinovirus ostreotauri")</f>
        <v>Prasinovirus ostreotauri</v>
      </c>
      <c r="S15277" t="s">
        <v>30</v>
      </c>
      <c r="T15277" t="s">
        <v>35410</v>
      </c>
      <c r="U15277" t="s">
        <v>35411</v>
      </c>
      <c r="W15277" t="s">
        <v>35412</v>
      </c>
      <c r="X15277" t="s">
        <v>42</v>
      </c>
      <c r="Y15277" t="s">
        <v>36</v>
      </c>
      <c r="Z15277" t="s">
        <v>17496</v>
      </c>
      <c r="AA15277" s="22" t="str">
        <f>HYPERLINK("https://www.ncbi.nlm.nih.gov/nuccore/EU304328","NCBI Nucleotide")</f>
        <v>NCBI Nucleotide</v>
      </c>
    </row>
    <row r="15278" spans="1:27" x14ac:dyDescent="0.35">
      <c r="A15278">
        <v>1004195</v>
      </c>
      <c r="B15278">
        <v>13779</v>
      </c>
      <c r="C15278">
        <v>1</v>
      </c>
      <c r="D15278" t="s">
        <v>35352</v>
      </c>
      <c r="F15278" t="s">
        <v>35353</v>
      </c>
      <c r="H15278" t="s">
        <v>35359</v>
      </c>
      <c r="J15278" t="s">
        <v>35360</v>
      </c>
      <c r="L15278" t="s">
        <v>35370</v>
      </c>
      <c r="N15278" t="s">
        <v>35371</v>
      </c>
      <c r="P15278" t="s">
        <v>35413</v>
      </c>
      <c r="R15278" s="26" t="str">
        <f>HYPERLINK("https://ictv.global/taxonomy/taxondetails?taxnode_id=202304328","Prymnesiovirus brevifilum")</f>
        <v>Prymnesiovirus brevifilum</v>
      </c>
      <c r="S15278" t="s">
        <v>30</v>
      </c>
      <c r="T15278" t="s">
        <v>35414</v>
      </c>
      <c r="U15278" t="s">
        <v>35415</v>
      </c>
      <c r="W15278" t="s">
        <v>35416</v>
      </c>
      <c r="X15278" t="s">
        <v>154</v>
      </c>
      <c r="Y15278" t="s">
        <v>36</v>
      </c>
      <c r="Z15278" t="s">
        <v>17496</v>
      </c>
      <c r="AA15278" s="22" t="str">
        <f>HYPERLINK("https://www.ncbi.nlm.nih.gov/nuccore/U32983","NCBI Nucleotide")</f>
        <v>NCBI Nucleotide</v>
      </c>
    </row>
    <row r="15279" spans="1:27" x14ac:dyDescent="0.35">
      <c r="A15279">
        <v>1004196</v>
      </c>
      <c r="B15279">
        <v>13780</v>
      </c>
      <c r="C15279">
        <v>1</v>
      </c>
      <c r="D15279" t="s">
        <v>35352</v>
      </c>
      <c r="F15279" t="s">
        <v>35353</v>
      </c>
      <c r="H15279" t="s">
        <v>35359</v>
      </c>
      <c r="J15279" t="s">
        <v>35360</v>
      </c>
      <c r="L15279" t="s">
        <v>35370</v>
      </c>
      <c r="N15279" t="s">
        <v>35371</v>
      </c>
      <c r="P15279" t="s">
        <v>35417</v>
      </c>
      <c r="R15279" s="26" t="str">
        <f>HYPERLINK("https://ictv.global/taxonomy/taxondetails?taxnode_id=202304330","Raphidovirus japonicum")</f>
        <v>Raphidovirus japonicum</v>
      </c>
      <c r="S15279" t="s">
        <v>30</v>
      </c>
      <c r="T15279" t="s">
        <v>35418</v>
      </c>
      <c r="U15279" t="s">
        <v>35419</v>
      </c>
      <c r="V15279" t="s">
        <v>35420</v>
      </c>
      <c r="W15279" t="s">
        <v>35421</v>
      </c>
      <c r="X15279" t="s">
        <v>42</v>
      </c>
      <c r="Y15279" t="s">
        <v>36</v>
      </c>
      <c r="Z15279" t="s">
        <v>17496</v>
      </c>
      <c r="AA15279" s="22" t="str">
        <f>HYPERLINK("https://www.ncbi.nlm.nih.gov/nuccore/KX008963","NCBI Nucleotide")</f>
        <v>NCBI Nucleotide</v>
      </c>
    </row>
    <row r="15280" spans="1:27" x14ac:dyDescent="0.35">
      <c r="A15280">
        <v>1004197</v>
      </c>
      <c r="B15280">
        <v>13781</v>
      </c>
      <c r="C15280">
        <v>1</v>
      </c>
      <c r="D15280" t="s">
        <v>35352</v>
      </c>
      <c r="F15280" t="s">
        <v>35353</v>
      </c>
      <c r="H15280" t="s">
        <v>35359</v>
      </c>
      <c r="J15280" t="s">
        <v>35360</v>
      </c>
      <c r="L15280" t="s">
        <v>35422</v>
      </c>
      <c r="N15280" t="s">
        <v>35423</v>
      </c>
      <c r="P15280" t="s">
        <v>35424</v>
      </c>
      <c r="R15280" s="26" t="str">
        <f>HYPERLINK("https://ictv.global/taxonomy/taxondetails?taxnode_id=202315039","Heliosvirus raunefjordenense")</f>
        <v>Heliosvirus raunefjordenense</v>
      </c>
      <c r="S15280" t="s">
        <v>30</v>
      </c>
      <c r="T15280" t="s">
        <v>35425</v>
      </c>
      <c r="U15280" t="s">
        <v>35426</v>
      </c>
      <c r="V15280" t="s">
        <v>35427</v>
      </c>
      <c r="W15280" t="s">
        <v>35428</v>
      </c>
      <c r="X15280" t="s">
        <v>154</v>
      </c>
      <c r="Y15280" t="s">
        <v>36</v>
      </c>
      <c r="Z15280" t="s">
        <v>17496</v>
      </c>
      <c r="AA15280" s="22" t="str">
        <f>HYPERLINK("https://www.ncbi.nlm.nih.gov/nuccore/MT663534","NCBI Nucleotide")</f>
        <v>NCBI Nucleotide</v>
      </c>
    </row>
    <row r="15281" spans="1:27" x14ac:dyDescent="0.35">
      <c r="A15281">
        <v>1004198</v>
      </c>
      <c r="B15281">
        <v>13782</v>
      </c>
      <c r="C15281">
        <v>1</v>
      </c>
      <c r="D15281" t="s">
        <v>35352</v>
      </c>
      <c r="F15281" t="s">
        <v>35353</v>
      </c>
      <c r="H15281" t="s">
        <v>35359</v>
      </c>
      <c r="J15281" t="s">
        <v>35360</v>
      </c>
      <c r="L15281" t="s">
        <v>35422</v>
      </c>
      <c r="N15281" t="s">
        <v>35423</v>
      </c>
      <c r="P15281" t="s">
        <v>35429</v>
      </c>
      <c r="R15281" s="26" t="str">
        <f>HYPERLINK("https://ictv.global/taxonomy/taxondetails?taxnode_id=202315040","Oceanusvirus kaneohense")</f>
        <v>Oceanusvirus kaneohense</v>
      </c>
      <c r="S15281" t="s">
        <v>30</v>
      </c>
      <c r="T15281" t="s">
        <v>35430</v>
      </c>
      <c r="U15281" t="s">
        <v>17300</v>
      </c>
      <c r="W15281" t="s">
        <v>35431</v>
      </c>
      <c r="X15281" t="s">
        <v>42</v>
      </c>
      <c r="Y15281" t="s">
        <v>36</v>
      </c>
      <c r="Z15281" t="s">
        <v>17496</v>
      </c>
      <c r="AA15281" s="22" t="str">
        <f>HYPERLINK("https://www.ncbi.nlm.nih.gov/nuccore/KY322437","NCBI Nucleotide")</f>
        <v>NCBI Nucleotide</v>
      </c>
    </row>
    <row r="15282" spans="1:27" x14ac:dyDescent="0.35">
      <c r="A15282">
        <v>1004199</v>
      </c>
      <c r="B15282">
        <v>13783</v>
      </c>
      <c r="C15282">
        <v>1</v>
      </c>
      <c r="D15282" t="s">
        <v>35352</v>
      </c>
      <c r="F15282" t="s">
        <v>35353</v>
      </c>
      <c r="H15282" t="s">
        <v>35359</v>
      </c>
      <c r="J15282" t="s">
        <v>35360</v>
      </c>
      <c r="L15282" t="s">
        <v>35422</v>
      </c>
      <c r="N15282" t="s">
        <v>35432</v>
      </c>
      <c r="P15282" t="s">
        <v>35433</v>
      </c>
      <c r="R15282" s="26" t="str">
        <f>HYPERLINK("https://ictv.global/taxonomy/taxondetails?taxnode_id=202315041","Tethysvirus hollandense")</f>
        <v>Tethysvirus hollandense</v>
      </c>
      <c r="S15282" t="s">
        <v>30</v>
      </c>
      <c r="T15282" t="s">
        <v>35434</v>
      </c>
      <c r="U15282" t="s">
        <v>15028</v>
      </c>
      <c r="V15282" t="s">
        <v>35435</v>
      </c>
      <c r="W15282" t="s">
        <v>35436</v>
      </c>
      <c r="X15282" t="s">
        <v>42</v>
      </c>
      <c r="Y15282" t="s">
        <v>36</v>
      </c>
      <c r="Z15282" t="s">
        <v>17496</v>
      </c>
      <c r="AA15282" s="22" t="str">
        <f>HYPERLINK("https://www.ncbi.nlm.nih.gov/nuccore/KC662249","NCBI Nucleotide")</f>
        <v>NCBI Nucleotide</v>
      </c>
    </row>
    <row r="15283" spans="1:27" x14ac:dyDescent="0.35">
      <c r="A15283">
        <v>1004200</v>
      </c>
      <c r="B15283">
        <v>13784</v>
      </c>
      <c r="C15283">
        <v>1</v>
      </c>
      <c r="D15283" t="s">
        <v>35352</v>
      </c>
      <c r="F15283" t="s">
        <v>35353</v>
      </c>
      <c r="H15283" t="s">
        <v>35359</v>
      </c>
      <c r="J15283" t="s">
        <v>35360</v>
      </c>
      <c r="L15283" t="s">
        <v>35422</v>
      </c>
      <c r="N15283" t="s">
        <v>35432</v>
      </c>
      <c r="P15283" t="s">
        <v>35433</v>
      </c>
      <c r="R15283" s="26" t="str">
        <f>HYPERLINK("https://ictv.global/taxonomy/taxondetails?taxnode_id=202315042","Tethysvirus ontarioense")</f>
        <v>Tethysvirus ontarioense</v>
      </c>
      <c r="S15283" t="s">
        <v>30</v>
      </c>
      <c r="T15283" t="s">
        <v>35437</v>
      </c>
      <c r="U15283" t="s">
        <v>35438</v>
      </c>
      <c r="V15283" t="s">
        <v>35439</v>
      </c>
      <c r="W15283" t="s">
        <v>35440</v>
      </c>
      <c r="X15283" t="s">
        <v>42</v>
      </c>
      <c r="Y15283" t="s">
        <v>36</v>
      </c>
      <c r="Z15283" t="s">
        <v>17496</v>
      </c>
      <c r="AA15283" s="22" t="str">
        <f>HYPERLINK("https://www.ncbi.nlm.nih.gov/nuccore/MH918795","NCBI Nucleotide")</f>
        <v>NCBI Nucleotide</v>
      </c>
    </row>
    <row r="15284" spans="1:27" x14ac:dyDescent="0.35">
      <c r="A15284">
        <v>1004201</v>
      </c>
      <c r="B15284">
        <v>13785</v>
      </c>
      <c r="C15284">
        <v>1</v>
      </c>
      <c r="D15284" t="s">
        <v>35352</v>
      </c>
      <c r="F15284" t="s">
        <v>35353</v>
      </c>
      <c r="H15284" t="s">
        <v>35359</v>
      </c>
      <c r="J15284" t="s">
        <v>35360</v>
      </c>
      <c r="L15284" t="s">
        <v>35422</v>
      </c>
      <c r="N15284" t="s">
        <v>35432</v>
      </c>
      <c r="P15284" t="s">
        <v>35433</v>
      </c>
      <c r="R15284" s="26" t="str">
        <f>HYPERLINK("https://ictv.global/taxonomy/taxondetails?taxnode_id=202315043","Tethysvirus raunefjordenense")</f>
        <v>Tethysvirus raunefjordenense</v>
      </c>
      <c r="S15284" t="s">
        <v>30</v>
      </c>
      <c r="T15284" t="s">
        <v>35441</v>
      </c>
      <c r="U15284" t="s">
        <v>35442</v>
      </c>
      <c r="V15284" t="s">
        <v>35427</v>
      </c>
      <c r="W15284" t="s">
        <v>35443</v>
      </c>
      <c r="X15284" t="s">
        <v>42</v>
      </c>
      <c r="Y15284" t="s">
        <v>36</v>
      </c>
      <c r="Z15284" t="s">
        <v>17496</v>
      </c>
      <c r="AA15284" s="22" t="str">
        <f>HYPERLINK("https://www.ncbi.nlm.nih.gov/nuccore/KT820662","NCBI Nucleotide")</f>
        <v>NCBI Nucleotide</v>
      </c>
    </row>
    <row r="15285" spans="1:27" x14ac:dyDescent="0.35">
      <c r="A15285">
        <v>1004202</v>
      </c>
      <c r="B15285">
        <v>13786</v>
      </c>
      <c r="C15285">
        <v>1</v>
      </c>
      <c r="D15285" t="s">
        <v>35352</v>
      </c>
      <c r="F15285" t="s">
        <v>35353</v>
      </c>
      <c r="H15285" t="s">
        <v>35359</v>
      </c>
      <c r="J15285" t="s">
        <v>35360</v>
      </c>
      <c r="L15285" t="s">
        <v>35422</v>
      </c>
      <c r="N15285" t="s">
        <v>35444</v>
      </c>
      <c r="O15285" t="s">
        <v>35445</v>
      </c>
      <c r="P15285" t="s">
        <v>35446</v>
      </c>
      <c r="R15285" s="26" t="str">
        <f>HYPERLINK("https://ictv.global/taxonomy/taxondetails?taxnode_id=202303888","Rheavirus sinusmexicani")</f>
        <v>Rheavirus sinusmexicani</v>
      </c>
      <c r="S15285" t="s">
        <v>30</v>
      </c>
      <c r="T15285" t="s">
        <v>35447</v>
      </c>
      <c r="U15285" t="s">
        <v>20115</v>
      </c>
      <c r="V15285" t="s">
        <v>35448</v>
      </c>
      <c r="W15285" t="s">
        <v>35449</v>
      </c>
      <c r="X15285" t="s">
        <v>42</v>
      </c>
      <c r="Y15285" t="s">
        <v>36</v>
      </c>
      <c r="Z15285" t="s">
        <v>17496</v>
      </c>
      <c r="AA15285" s="22" t="str">
        <f>HYPERLINK("https://www.ncbi.nlm.nih.gov/nuccore/GU244497","NCBI Nucleotide")</f>
        <v>NCBI Nucleotide</v>
      </c>
    </row>
    <row r="15286" spans="1:27" x14ac:dyDescent="0.35">
      <c r="A15286">
        <v>1004203</v>
      </c>
      <c r="B15286">
        <v>13787</v>
      </c>
      <c r="C15286">
        <v>1</v>
      </c>
      <c r="D15286" t="s">
        <v>35352</v>
      </c>
      <c r="F15286" t="s">
        <v>35353</v>
      </c>
      <c r="H15286" t="s">
        <v>35359</v>
      </c>
      <c r="J15286" t="s">
        <v>35360</v>
      </c>
      <c r="L15286" t="s">
        <v>35422</v>
      </c>
      <c r="N15286" t="s">
        <v>35444</v>
      </c>
      <c r="O15286" t="s">
        <v>35450</v>
      </c>
      <c r="P15286" t="s">
        <v>35451</v>
      </c>
      <c r="R15286" s="26" t="str">
        <f>HYPERLINK("https://ictv.global/taxonomy/taxondetails?taxnode_id=202315044","Fadolivirus algeromassiliense")</f>
        <v>Fadolivirus algeromassiliense</v>
      </c>
      <c r="S15286" t="s">
        <v>30</v>
      </c>
      <c r="T15286" t="s">
        <v>35452</v>
      </c>
      <c r="U15286" t="s">
        <v>35453</v>
      </c>
      <c r="V15286" t="s">
        <v>35454</v>
      </c>
      <c r="W15286" t="s">
        <v>35455</v>
      </c>
      <c r="X15286" t="s">
        <v>42</v>
      </c>
      <c r="Y15286" t="s">
        <v>36</v>
      </c>
      <c r="Z15286" t="s">
        <v>17496</v>
      </c>
      <c r="AA15286" s="22" t="str">
        <f>HYPERLINK("https://www.ncbi.nlm.nih.gov/nuccore/MT418680","NCBI Nucleotide")</f>
        <v>NCBI Nucleotide</v>
      </c>
    </row>
    <row r="15287" spans="1:27" x14ac:dyDescent="0.35">
      <c r="A15287">
        <v>1004204</v>
      </c>
      <c r="B15287">
        <v>13788</v>
      </c>
      <c r="C15287">
        <v>1</v>
      </c>
      <c r="D15287" t="s">
        <v>35352</v>
      </c>
      <c r="F15287" t="s">
        <v>35353</v>
      </c>
      <c r="H15287" t="s">
        <v>35359</v>
      </c>
      <c r="J15287" t="s">
        <v>35360</v>
      </c>
      <c r="L15287" t="s">
        <v>35422</v>
      </c>
      <c r="N15287" t="s">
        <v>35444</v>
      </c>
      <c r="O15287" t="s">
        <v>35450</v>
      </c>
      <c r="P15287" t="s">
        <v>35456</v>
      </c>
      <c r="R15287" s="26" t="str">
        <f>HYPERLINK("https://ictv.global/taxonomy/taxondetails?taxnode_id=202315045","Theiavirus salishense")</f>
        <v>Theiavirus salishense</v>
      </c>
      <c r="S15287" t="s">
        <v>30</v>
      </c>
      <c r="T15287" t="s">
        <v>35457</v>
      </c>
      <c r="U15287" t="s">
        <v>35458</v>
      </c>
      <c r="V15287" t="s">
        <v>35459</v>
      </c>
      <c r="W15287" t="s">
        <v>35460</v>
      </c>
      <c r="X15287" t="s">
        <v>42</v>
      </c>
      <c r="Y15287" t="s">
        <v>36</v>
      </c>
      <c r="Z15287" t="s">
        <v>17496</v>
      </c>
      <c r="AA15287" s="22" t="str">
        <f>HYPERLINK("https://www.ncbi.nlm.nih.gov/nuccore/MF782455","NCBI Nucleotide")</f>
        <v>NCBI Nucleotide</v>
      </c>
    </row>
    <row r="15288" spans="1:27" x14ac:dyDescent="0.35">
      <c r="A15288">
        <v>1004205</v>
      </c>
      <c r="B15288">
        <v>13789</v>
      </c>
      <c r="C15288">
        <v>1</v>
      </c>
      <c r="D15288" t="s">
        <v>35352</v>
      </c>
      <c r="F15288" t="s">
        <v>35353</v>
      </c>
      <c r="H15288" t="s">
        <v>35359</v>
      </c>
      <c r="J15288" t="s">
        <v>35360</v>
      </c>
      <c r="L15288" t="s">
        <v>35422</v>
      </c>
      <c r="N15288" t="s">
        <v>35444</v>
      </c>
      <c r="O15288" t="s">
        <v>35450</v>
      </c>
      <c r="P15288" t="s">
        <v>35461</v>
      </c>
      <c r="R15288" s="26" t="str">
        <f>HYPERLINK("https://ictv.global/taxonomy/taxondetails?taxnode_id=202315046","Yasminevirus saudimassiliense")</f>
        <v>Yasminevirus saudimassiliense</v>
      </c>
      <c r="S15288" t="s">
        <v>30</v>
      </c>
      <c r="T15288" t="s">
        <v>35461</v>
      </c>
      <c r="U15288" t="s">
        <v>35462</v>
      </c>
      <c r="V15288" t="s">
        <v>35463</v>
      </c>
      <c r="W15288" t="s">
        <v>35464</v>
      </c>
      <c r="X15288" t="s">
        <v>42</v>
      </c>
      <c r="Y15288" t="s">
        <v>36</v>
      </c>
      <c r="Z15288" t="s">
        <v>17496</v>
      </c>
      <c r="AA15288" s="22" t="str">
        <f>HYPERLINK("https://www.ncbi.nlm.nih.gov/nuccore/UPSH01000001","NCBI Nucleotide")</f>
        <v>NCBI Nucleotide</v>
      </c>
    </row>
    <row r="15289" spans="1:27" x14ac:dyDescent="0.35">
      <c r="A15289">
        <v>1004206</v>
      </c>
      <c r="B15289">
        <v>13790</v>
      </c>
      <c r="C15289">
        <v>1</v>
      </c>
      <c r="D15289" t="s">
        <v>35352</v>
      </c>
      <c r="F15289" t="s">
        <v>35353</v>
      </c>
      <c r="H15289" t="s">
        <v>35359</v>
      </c>
      <c r="J15289" t="s">
        <v>35360</v>
      </c>
      <c r="L15289" t="s">
        <v>35422</v>
      </c>
      <c r="N15289" t="s">
        <v>35444</v>
      </c>
      <c r="O15289" t="s">
        <v>35465</v>
      </c>
      <c r="P15289" t="s">
        <v>35466</v>
      </c>
      <c r="R15289" s="26" t="str">
        <f>HYPERLINK("https://ictv.global/taxonomy/taxondetails?taxnode_id=202315047","Cotonvirus japonicum")</f>
        <v>Cotonvirus japonicum</v>
      </c>
      <c r="S15289" t="s">
        <v>30</v>
      </c>
      <c r="T15289" t="s">
        <v>35467</v>
      </c>
      <c r="U15289" t="s">
        <v>35468</v>
      </c>
      <c r="W15289" t="s">
        <v>35469</v>
      </c>
      <c r="X15289" t="s">
        <v>42</v>
      </c>
      <c r="Y15289" t="s">
        <v>36</v>
      </c>
      <c r="Z15289" t="s">
        <v>17496</v>
      </c>
      <c r="AA15289" s="22" t="str">
        <f>HYPERLINK("https://www.ncbi.nlm.nih.gov/nuccore/AP024483","NCBI Nucleotide")</f>
        <v>NCBI Nucleotide</v>
      </c>
    </row>
    <row r="15290" spans="1:27" x14ac:dyDescent="0.35">
      <c r="A15290">
        <v>1004207</v>
      </c>
      <c r="B15290">
        <v>13791</v>
      </c>
      <c r="C15290">
        <v>1</v>
      </c>
      <c r="D15290" t="s">
        <v>35352</v>
      </c>
      <c r="F15290" t="s">
        <v>35353</v>
      </c>
      <c r="H15290" t="s">
        <v>35359</v>
      </c>
      <c r="J15290" t="s">
        <v>35360</v>
      </c>
      <c r="L15290" t="s">
        <v>35422</v>
      </c>
      <c r="N15290" t="s">
        <v>35444</v>
      </c>
      <c r="O15290" t="s">
        <v>35465</v>
      </c>
      <c r="P15290" t="s">
        <v>35470</v>
      </c>
      <c r="R15290" s="26" t="str">
        <f>HYPERLINK("https://ictv.global/taxonomy/taxondetails?taxnode_id=202315048","Megavirus baoshanense")</f>
        <v>Megavirus baoshanense</v>
      </c>
      <c r="S15290" t="s">
        <v>30</v>
      </c>
      <c r="T15290" t="s">
        <v>35471</v>
      </c>
      <c r="U15290" t="s">
        <v>35472</v>
      </c>
      <c r="V15290" t="s">
        <v>18899</v>
      </c>
      <c r="W15290" t="s">
        <v>35473</v>
      </c>
      <c r="X15290" t="s">
        <v>42</v>
      </c>
      <c r="Y15290" t="s">
        <v>36</v>
      </c>
      <c r="Z15290" t="s">
        <v>17496</v>
      </c>
      <c r="AA15290" s="22" t="str">
        <f>HYPERLINK("https://www.ncbi.nlm.nih.gov/nuccore/MH046811","NCBI Nucleotide")</f>
        <v>NCBI Nucleotide</v>
      </c>
    </row>
    <row r="15291" spans="1:27" x14ac:dyDescent="0.35">
      <c r="A15291">
        <v>1004208</v>
      </c>
      <c r="B15291">
        <v>13792</v>
      </c>
      <c r="C15291">
        <v>1</v>
      </c>
      <c r="D15291" t="s">
        <v>35352</v>
      </c>
      <c r="F15291" t="s">
        <v>35353</v>
      </c>
      <c r="H15291" t="s">
        <v>35359</v>
      </c>
      <c r="J15291" t="s">
        <v>35360</v>
      </c>
      <c r="L15291" t="s">
        <v>35422</v>
      </c>
      <c r="N15291" t="s">
        <v>35444</v>
      </c>
      <c r="O15291" t="s">
        <v>35465</v>
      </c>
      <c r="P15291" t="s">
        <v>35470</v>
      </c>
      <c r="R15291" s="26" t="str">
        <f>HYPERLINK("https://ictv.global/taxonomy/taxondetails?taxnode_id=202315049","Megavirus chilense")</f>
        <v>Megavirus chilense</v>
      </c>
      <c r="S15291" t="s">
        <v>30</v>
      </c>
      <c r="T15291" t="s">
        <v>35474</v>
      </c>
      <c r="U15291" t="s">
        <v>35475</v>
      </c>
      <c r="W15291" t="s">
        <v>35476</v>
      </c>
      <c r="X15291" t="s">
        <v>42</v>
      </c>
      <c r="Y15291" t="s">
        <v>36</v>
      </c>
      <c r="Z15291" t="s">
        <v>17496</v>
      </c>
      <c r="AA15291" s="22" t="str">
        <f>HYPERLINK("https://www.ncbi.nlm.nih.gov/nuccore/JN258408","NCBI Nucleotide")</f>
        <v>NCBI Nucleotide</v>
      </c>
    </row>
    <row r="15292" spans="1:27" x14ac:dyDescent="0.35">
      <c r="A15292">
        <v>1004209</v>
      </c>
      <c r="B15292">
        <v>13793</v>
      </c>
      <c r="C15292">
        <v>1</v>
      </c>
      <c r="D15292" t="s">
        <v>35352</v>
      </c>
      <c r="F15292" t="s">
        <v>35353</v>
      </c>
      <c r="H15292" t="s">
        <v>35359</v>
      </c>
      <c r="J15292" t="s">
        <v>35360</v>
      </c>
      <c r="L15292" t="s">
        <v>35422</v>
      </c>
      <c r="N15292" t="s">
        <v>35444</v>
      </c>
      <c r="O15292" t="s">
        <v>35465</v>
      </c>
      <c r="P15292" t="s">
        <v>35470</v>
      </c>
      <c r="R15292" s="26" t="str">
        <f>HYPERLINK("https://ictv.global/taxonomy/taxondetails?taxnode_id=202315050","Megavirus powaiense")</f>
        <v>Megavirus powaiense</v>
      </c>
      <c r="S15292" t="s">
        <v>30</v>
      </c>
      <c r="T15292" t="s">
        <v>35477</v>
      </c>
      <c r="U15292" t="s">
        <v>35478</v>
      </c>
      <c r="V15292">
        <v>1</v>
      </c>
      <c r="W15292" t="s">
        <v>35479</v>
      </c>
      <c r="X15292" t="s">
        <v>42</v>
      </c>
      <c r="Y15292" t="s">
        <v>36</v>
      </c>
      <c r="Z15292" t="s">
        <v>17496</v>
      </c>
      <c r="AA15292" s="22" t="str">
        <f>HYPERLINK("https://www.ncbi.nlm.nih.gov/nuccore/KU877344","NCBI Nucleotide")</f>
        <v>NCBI Nucleotide</v>
      </c>
    </row>
    <row r="15293" spans="1:27" x14ac:dyDescent="0.35">
      <c r="A15293">
        <v>1004210</v>
      </c>
      <c r="B15293">
        <v>13794</v>
      </c>
      <c r="C15293">
        <v>1</v>
      </c>
      <c r="D15293" t="s">
        <v>35352</v>
      </c>
      <c r="F15293" t="s">
        <v>35353</v>
      </c>
      <c r="H15293" t="s">
        <v>35359</v>
      </c>
      <c r="J15293" t="s">
        <v>35360</v>
      </c>
      <c r="L15293" t="s">
        <v>35422</v>
      </c>
      <c r="N15293" t="s">
        <v>35444</v>
      </c>
      <c r="O15293" t="s">
        <v>35465</v>
      </c>
      <c r="P15293" t="s">
        <v>35480</v>
      </c>
      <c r="R15293" s="26" t="str">
        <f>HYPERLINK("https://ictv.global/taxonomy/taxondetails?taxnode_id=202303890","Mimivirus bradfordmassiliense")</f>
        <v>Mimivirus bradfordmassiliense</v>
      </c>
      <c r="S15293" t="s">
        <v>30</v>
      </c>
      <c r="T15293" t="s">
        <v>35481</v>
      </c>
      <c r="U15293" t="s">
        <v>35482</v>
      </c>
      <c r="W15293" t="s">
        <v>35483</v>
      </c>
      <c r="X15293" t="s">
        <v>42</v>
      </c>
      <c r="Y15293" t="s">
        <v>36</v>
      </c>
      <c r="Z15293" t="s">
        <v>17496</v>
      </c>
      <c r="AA15293" s="22" t="str">
        <f>HYPERLINK("https://www.ncbi.nlm.nih.gov/nuccore/HQ336222","NCBI Nucleotide")</f>
        <v>NCBI Nucleotide</v>
      </c>
    </row>
    <row r="15294" spans="1:27" x14ac:dyDescent="0.35">
      <c r="A15294">
        <v>1004211</v>
      </c>
      <c r="B15294">
        <v>13795</v>
      </c>
      <c r="C15294">
        <v>1</v>
      </c>
      <c r="D15294" t="s">
        <v>35352</v>
      </c>
      <c r="F15294" t="s">
        <v>35353</v>
      </c>
      <c r="H15294" t="s">
        <v>35359</v>
      </c>
      <c r="J15294" t="s">
        <v>35360</v>
      </c>
      <c r="L15294" t="s">
        <v>35422</v>
      </c>
      <c r="N15294" t="s">
        <v>35444</v>
      </c>
      <c r="O15294" t="s">
        <v>35465</v>
      </c>
      <c r="P15294" t="s">
        <v>35480</v>
      </c>
      <c r="R15294" s="26" t="str">
        <f>HYPERLINK("https://ictv.global/taxonomy/taxondetails?taxnode_id=202315051","Mimivirus lagoaense")</f>
        <v>Mimivirus lagoaense</v>
      </c>
      <c r="S15294" t="s">
        <v>30</v>
      </c>
      <c r="T15294" t="s">
        <v>35484</v>
      </c>
      <c r="U15294" t="s">
        <v>35485</v>
      </c>
      <c r="V15294" t="s">
        <v>35486</v>
      </c>
      <c r="W15294" t="s">
        <v>35487</v>
      </c>
      <c r="X15294" t="s">
        <v>42</v>
      </c>
      <c r="Y15294" t="s">
        <v>36</v>
      </c>
      <c r="Z15294" t="s">
        <v>17496</v>
      </c>
      <c r="AA15294" s="22" t="str">
        <f>HYPERLINK("https://www.ncbi.nlm.nih.gov/nuccore/KM982402","NCBI Nucleotide")</f>
        <v>NCBI Nucleotide</v>
      </c>
    </row>
    <row r="15295" spans="1:27" x14ac:dyDescent="0.35">
      <c r="A15295">
        <v>1004212</v>
      </c>
      <c r="B15295">
        <v>13796</v>
      </c>
      <c r="C15295">
        <v>1</v>
      </c>
      <c r="D15295" t="s">
        <v>35352</v>
      </c>
      <c r="F15295" t="s">
        <v>35353</v>
      </c>
      <c r="H15295" t="s">
        <v>35359</v>
      </c>
      <c r="J15295" t="s">
        <v>35360</v>
      </c>
      <c r="L15295" t="s">
        <v>35422</v>
      </c>
      <c r="N15295" t="s">
        <v>35444</v>
      </c>
      <c r="O15295" t="s">
        <v>35465</v>
      </c>
      <c r="P15295" t="s">
        <v>35488</v>
      </c>
      <c r="R15295" s="26" t="str">
        <f>HYPERLINK("https://ictv.global/taxonomy/taxondetails?taxnode_id=202315052","Moumouvirus australiense")</f>
        <v>Moumouvirus australiense</v>
      </c>
      <c r="S15295" t="s">
        <v>30</v>
      </c>
      <c r="T15295" t="s">
        <v>35489</v>
      </c>
      <c r="U15295" t="s">
        <v>35490</v>
      </c>
      <c r="V15295" t="s">
        <v>25868</v>
      </c>
      <c r="W15295" t="s">
        <v>35491</v>
      </c>
      <c r="X15295" t="s">
        <v>42</v>
      </c>
      <c r="Y15295" t="s">
        <v>36</v>
      </c>
      <c r="Z15295" t="s">
        <v>17496</v>
      </c>
      <c r="AA15295" s="22" t="str">
        <f>HYPERLINK("https://www.ncbi.nlm.nih.gov/nuccore/MG807320","NCBI Nucleotide")</f>
        <v>NCBI Nucleotide</v>
      </c>
    </row>
    <row r="15296" spans="1:27" x14ac:dyDescent="0.35">
      <c r="A15296">
        <v>1004213</v>
      </c>
      <c r="B15296">
        <v>13797</v>
      </c>
      <c r="C15296">
        <v>1</v>
      </c>
      <c r="D15296" t="s">
        <v>35352</v>
      </c>
      <c r="F15296" t="s">
        <v>35353</v>
      </c>
      <c r="H15296" t="s">
        <v>35359</v>
      </c>
      <c r="J15296" t="s">
        <v>35360</v>
      </c>
      <c r="L15296" t="s">
        <v>35422</v>
      </c>
      <c r="N15296" t="s">
        <v>35444</v>
      </c>
      <c r="O15296" t="s">
        <v>35465</v>
      </c>
      <c r="P15296" t="s">
        <v>35488</v>
      </c>
      <c r="R15296" s="26" t="str">
        <f>HYPERLINK("https://ictv.global/taxonomy/taxondetails?taxnode_id=202315053","Moumouvirus goulettemassiliense")</f>
        <v>Moumouvirus goulettemassiliense</v>
      </c>
      <c r="S15296" t="s">
        <v>30</v>
      </c>
      <c r="T15296" t="s">
        <v>35492</v>
      </c>
      <c r="U15296" t="s">
        <v>35493</v>
      </c>
      <c r="V15296" t="s">
        <v>35494</v>
      </c>
      <c r="W15296" t="s">
        <v>35495</v>
      </c>
      <c r="X15296" t="s">
        <v>42</v>
      </c>
      <c r="Y15296" t="s">
        <v>36</v>
      </c>
      <c r="Z15296" t="s">
        <v>17496</v>
      </c>
      <c r="AA15296" s="22" t="str">
        <f>HYPERLINK("https://www.ncbi.nlm.nih.gov/nuccore/KC008572","NCBI Nucleotide")</f>
        <v>NCBI Nucleotide</v>
      </c>
    </row>
    <row r="15297" spans="1:27" x14ac:dyDescent="0.35">
      <c r="A15297">
        <v>1004214</v>
      </c>
      <c r="B15297">
        <v>13798</v>
      </c>
      <c r="C15297">
        <v>1</v>
      </c>
      <c r="D15297" t="s">
        <v>35352</v>
      </c>
      <c r="F15297" t="s">
        <v>35353</v>
      </c>
      <c r="H15297" t="s">
        <v>35359</v>
      </c>
      <c r="J15297" t="s">
        <v>35360</v>
      </c>
      <c r="L15297" t="s">
        <v>35422</v>
      </c>
      <c r="N15297" t="s">
        <v>35444</v>
      </c>
      <c r="O15297" t="s">
        <v>35465</v>
      </c>
      <c r="P15297" t="s">
        <v>35488</v>
      </c>
      <c r="R15297" s="26" t="str">
        <f>HYPERLINK("https://ictv.global/taxonomy/taxondetails?taxnode_id=202315054","Moumouvirus moumou")</f>
        <v>Moumouvirus moumou</v>
      </c>
      <c r="S15297" t="s">
        <v>30</v>
      </c>
      <c r="T15297" t="s">
        <v>35496</v>
      </c>
      <c r="U15297" t="s">
        <v>35497</v>
      </c>
      <c r="V15297" t="s">
        <v>35498</v>
      </c>
      <c r="W15297" t="s">
        <v>35498</v>
      </c>
      <c r="X15297" t="s">
        <v>42</v>
      </c>
      <c r="Y15297" t="s">
        <v>36</v>
      </c>
      <c r="Z15297" t="s">
        <v>17496</v>
      </c>
      <c r="AA15297" s="22" t="str">
        <f>HYPERLINK("https://www.ncbi.nlm.nih.gov/nuccore/JX962719","NCBI Nucleotide")</f>
        <v>NCBI Nucleotide</v>
      </c>
    </row>
    <row r="15298" spans="1:27" x14ac:dyDescent="0.35">
      <c r="A15298">
        <v>1004215</v>
      </c>
      <c r="B15298">
        <v>13799</v>
      </c>
      <c r="C15298">
        <v>1</v>
      </c>
      <c r="D15298" t="s">
        <v>35352</v>
      </c>
      <c r="F15298" t="s">
        <v>35353</v>
      </c>
      <c r="H15298" t="s">
        <v>35359</v>
      </c>
      <c r="J15298" t="s">
        <v>35360</v>
      </c>
      <c r="L15298" t="s">
        <v>35422</v>
      </c>
      <c r="N15298" t="s">
        <v>35444</v>
      </c>
      <c r="O15298" t="s">
        <v>35465</v>
      </c>
      <c r="P15298" t="s">
        <v>35499</v>
      </c>
      <c r="R15298" s="26" t="str">
        <f>HYPERLINK("https://ictv.global/taxonomy/taxondetails?taxnode_id=202315055","Tupanvirus altamarinense")</f>
        <v>Tupanvirus altamarinense</v>
      </c>
      <c r="S15298" t="s">
        <v>30</v>
      </c>
      <c r="T15298" t="s">
        <v>35500</v>
      </c>
      <c r="U15298" t="s">
        <v>35501</v>
      </c>
      <c r="V15298" t="s">
        <v>35502</v>
      </c>
      <c r="W15298" t="s">
        <v>35503</v>
      </c>
      <c r="X15298" t="s">
        <v>42</v>
      </c>
      <c r="Y15298" t="s">
        <v>36</v>
      </c>
      <c r="Z15298" t="s">
        <v>17496</v>
      </c>
      <c r="AA15298" s="22" t="str">
        <f>HYPERLINK("https://www.ncbi.nlm.nih.gov/nuccore/MF405918","NCBI Nucleotide")</f>
        <v>NCBI Nucleotide</v>
      </c>
    </row>
    <row r="15299" spans="1:27" x14ac:dyDescent="0.35">
      <c r="A15299">
        <v>1004216</v>
      </c>
      <c r="B15299">
        <v>13800</v>
      </c>
      <c r="C15299">
        <v>1</v>
      </c>
      <c r="D15299" t="s">
        <v>35352</v>
      </c>
      <c r="F15299" t="s">
        <v>35353</v>
      </c>
      <c r="H15299" t="s">
        <v>35359</v>
      </c>
      <c r="J15299" t="s">
        <v>35360</v>
      </c>
      <c r="L15299" t="s">
        <v>35422</v>
      </c>
      <c r="N15299" t="s">
        <v>35444</v>
      </c>
      <c r="O15299" t="s">
        <v>35465</v>
      </c>
      <c r="P15299" t="s">
        <v>35499</v>
      </c>
      <c r="R15299" s="26" t="str">
        <f>HYPERLINK("https://ictv.global/taxonomy/taxondetails?taxnode_id=202315056","Tupanvirus salinum")</f>
        <v>Tupanvirus salinum</v>
      </c>
      <c r="S15299" t="s">
        <v>30</v>
      </c>
      <c r="T15299" t="s">
        <v>35504</v>
      </c>
      <c r="U15299" t="s">
        <v>35505</v>
      </c>
      <c r="V15299" t="s">
        <v>35506</v>
      </c>
      <c r="W15299" t="s">
        <v>35507</v>
      </c>
      <c r="X15299" t="s">
        <v>42</v>
      </c>
      <c r="Y15299" t="s">
        <v>36</v>
      </c>
      <c r="Z15299" t="s">
        <v>17496</v>
      </c>
      <c r="AA15299" s="22" t="str">
        <f>HYPERLINK("https://www.ncbi.nlm.nih.gov/nuccore/KY523104","NCBI Nucleotide")</f>
        <v>NCBI Nucleotide</v>
      </c>
    </row>
    <row r="15300" spans="1:27" x14ac:dyDescent="0.35">
      <c r="A15300">
        <v>1004217</v>
      </c>
      <c r="B15300">
        <v>13801</v>
      </c>
      <c r="C15300">
        <v>1</v>
      </c>
      <c r="D15300" t="s">
        <v>35352</v>
      </c>
      <c r="F15300" t="s">
        <v>35353</v>
      </c>
      <c r="H15300" t="s">
        <v>35359</v>
      </c>
      <c r="J15300" t="s">
        <v>35360</v>
      </c>
      <c r="L15300" t="s">
        <v>35422</v>
      </c>
      <c r="N15300" t="s">
        <v>35508</v>
      </c>
      <c r="P15300" t="s">
        <v>35509</v>
      </c>
      <c r="R15300" s="26" t="str">
        <f>HYPERLINK("https://ictv.global/taxonomy/taxondetails?taxnode_id=202315057","Biavirus raunefjordenense")</f>
        <v>Biavirus raunefjordenense</v>
      </c>
      <c r="S15300" t="s">
        <v>30</v>
      </c>
      <c r="T15300" t="s">
        <v>35510</v>
      </c>
      <c r="U15300" t="s">
        <v>35511</v>
      </c>
      <c r="V15300" t="s">
        <v>35512</v>
      </c>
      <c r="W15300" t="s">
        <v>35513</v>
      </c>
      <c r="X15300" t="s">
        <v>42</v>
      </c>
      <c r="Y15300" t="s">
        <v>36</v>
      </c>
      <c r="Z15300" t="s">
        <v>17496</v>
      </c>
      <c r="AA15300" s="22" t="str">
        <f>HYPERLINK("https://www.ncbi.nlm.nih.gov/nuccore/HG999358","NCBI Nucleotide")</f>
        <v>NCBI Nucleotide</v>
      </c>
    </row>
    <row r="15301" spans="1:27" x14ac:dyDescent="0.35">
      <c r="A15301">
        <v>1004218</v>
      </c>
      <c r="B15301">
        <v>13802</v>
      </c>
      <c r="C15301">
        <v>1</v>
      </c>
      <c r="D15301" t="s">
        <v>35352</v>
      </c>
      <c r="F15301" t="s">
        <v>35353</v>
      </c>
      <c r="H15301" t="s">
        <v>35359</v>
      </c>
      <c r="J15301" t="s">
        <v>35360</v>
      </c>
      <c r="L15301" t="s">
        <v>35422</v>
      </c>
      <c r="N15301" t="s">
        <v>35508</v>
      </c>
      <c r="P15301" t="s">
        <v>35514</v>
      </c>
      <c r="R15301" s="26" t="str">
        <f>HYPERLINK("https://ictv.global/taxonomy/taxondetails?taxnode_id=202315058","Kratosvirus quantuckense")</f>
        <v>Kratosvirus quantuckense</v>
      </c>
      <c r="S15301" t="s">
        <v>30</v>
      </c>
      <c r="T15301" t="s">
        <v>35515</v>
      </c>
      <c r="U15301" t="s">
        <v>35516</v>
      </c>
      <c r="V15301" t="s">
        <v>35517</v>
      </c>
      <c r="W15301" t="s">
        <v>35518</v>
      </c>
      <c r="X15301" t="s">
        <v>42</v>
      </c>
      <c r="Y15301" t="s">
        <v>36</v>
      </c>
      <c r="Z15301" t="s">
        <v>17496</v>
      </c>
      <c r="AA15301" s="22" t="str">
        <f>HYPERLINK("https://www.ncbi.nlm.nih.gov/nuccore/KJ645900","NCBI Nucleotide")</f>
        <v>NCBI Nucleotide</v>
      </c>
    </row>
    <row r="15302" spans="1:27" x14ac:dyDescent="0.35">
      <c r="A15302">
        <v>1004219</v>
      </c>
      <c r="B15302">
        <v>13803</v>
      </c>
      <c r="C15302">
        <v>1</v>
      </c>
      <c r="D15302" t="s">
        <v>35352</v>
      </c>
      <c r="F15302" t="s">
        <v>35353</v>
      </c>
      <c r="H15302" t="s">
        <v>35359</v>
      </c>
      <c r="J15302" t="s">
        <v>35360</v>
      </c>
      <c r="L15302" t="s">
        <v>35519</v>
      </c>
      <c r="N15302" t="s">
        <v>35520</v>
      </c>
      <c r="P15302" t="s">
        <v>35521</v>
      </c>
      <c r="R15302" s="26" t="str">
        <f>HYPERLINK("https://ictv.global/taxonomy/taxondetails?taxnode_id=202302610","Ascovirus hvav3a")</f>
        <v>Ascovirus hvav3a</v>
      </c>
      <c r="S15302" t="s">
        <v>30</v>
      </c>
      <c r="T15302" t="s">
        <v>35522</v>
      </c>
      <c r="U15302" t="s">
        <v>35523</v>
      </c>
      <c r="W15302" t="s">
        <v>35524</v>
      </c>
      <c r="X15302" t="s">
        <v>42</v>
      </c>
      <c r="Y15302" t="s">
        <v>36</v>
      </c>
      <c r="Z15302" t="s">
        <v>10790</v>
      </c>
      <c r="AA15302" s="22" t="str">
        <f>HYPERLINK("https://www.ncbi.nlm.nih.gov/nuccore/EF133465","NCBI Nucleotide")</f>
        <v>NCBI Nucleotide</v>
      </c>
    </row>
    <row r="15303" spans="1:27" x14ac:dyDescent="0.35">
      <c r="A15303">
        <v>1011992</v>
      </c>
      <c r="B15303">
        <v>13803</v>
      </c>
      <c r="C15303">
        <v>2</v>
      </c>
      <c r="D15303" t="s">
        <v>35352</v>
      </c>
      <c r="F15303" t="s">
        <v>35353</v>
      </c>
      <c r="H15303" t="s">
        <v>35359</v>
      </c>
      <c r="J15303" t="s">
        <v>35360</v>
      </c>
      <c r="L15303" t="s">
        <v>35519</v>
      </c>
      <c r="N15303" t="s">
        <v>35520</v>
      </c>
      <c r="P15303" t="s">
        <v>35521</v>
      </c>
      <c r="R15303" s="26" t="str">
        <f>HYPERLINK("https://ictv.global/taxonomy/taxondetails?taxnode_id=202302610","Ascovirus hvav3a")</f>
        <v>Ascovirus hvav3a</v>
      </c>
      <c r="S15303" t="s">
        <v>8141</v>
      </c>
      <c r="T15303" t="s">
        <v>35525</v>
      </c>
      <c r="U15303" t="s">
        <v>35526</v>
      </c>
      <c r="V15303" t="s">
        <v>35527</v>
      </c>
      <c r="W15303" t="s">
        <v>50184</v>
      </c>
      <c r="X15303" t="s">
        <v>42</v>
      </c>
      <c r="Y15303" t="s">
        <v>36</v>
      </c>
      <c r="Z15303" t="s">
        <v>10790</v>
      </c>
      <c r="AA15303" s="22" t="str">
        <f>HYPERLINK("https://www.ncbi.nlm.nih.gov/nuccore/KJ755191","NCBI Nucleotide")</f>
        <v>NCBI Nucleotide</v>
      </c>
    </row>
    <row r="15304" spans="1:27" x14ac:dyDescent="0.35">
      <c r="A15304">
        <v>1011993</v>
      </c>
      <c r="B15304">
        <v>13803</v>
      </c>
      <c r="C15304">
        <v>3</v>
      </c>
      <c r="D15304" t="s">
        <v>35352</v>
      </c>
      <c r="F15304" t="s">
        <v>35353</v>
      </c>
      <c r="H15304" t="s">
        <v>35359</v>
      </c>
      <c r="J15304" t="s">
        <v>35360</v>
      </c>
      <c r="L15304" t="s">
        <v>35519</v>
      </c>
      <c r="N15304" t="s">
        <v>35520</v>
      </c>
      <c r="P15304" t="s">
        <v>35521</v>
      </c>
      <c r="R15304" s="26" t="str">
        <f>HYPERLINK("https://ictv.global/taxonomy/taxondetails?taxnode_id=202302610","Ascovirus hvav3a")</f>
        <v>Ascovirus hvav3a</v>
      </c>
      <c r="S15304" t="s">
        <v>8141</v>
      </c>
      <c r="T15304" t="s">
        <v>35528</v>
      </c>
      <c r="U15304" t="s">
        <v>35529</v>
      </c>
      <c r="V15304" t="s">
        <v>10823</v>
      </c>
      <c r="W15304" t="s">
        <v>50185</v>
      </c>
      <c r="X15304" t="s">
        <v>42</v>
      </c>
      <c r="Y15304" t="s">
        <v>36</v>
      </c>
      <c r="Z15304" t="s">
        <v>10790</v>
      </c>
      <c r="AA15304" s="22" t="str">
        <f>HYPERLINK("https://www.ncbi.nlm.nih.gov/nuccore/JX491653","NCBI Nucleotide")</f>
        <v>NCBI Nucleotide</v>
      </c>
    </row>
    <row r="15305" spans="1:27" x14ac:dyDescent="0.35">
      <c r="A15305">
        <v>1004220</v>
      </c>
      <c r="B15305">
        <v>13804</v>
      </c>
      <c r="C15305">
        <v>1</v>
      </c>
      <c r="D15305" t="s">
        <v>35352</v>
      </c>
      <c r="F15305" t="s">
        <v>35353</v>
      </c>
      <c r="H15305" t="s">
        <v>35359</v>
      </c>
      <c r="J15305" t="s">
        <v>35360</v>
      </c>
      <c r="L15305" t="s">
        <v>35519</v>
      </c>
      <c r="N15305" t="s">
        <v>35520</v>
      </c>
      <c r="P15305" t="s">
        <v>35521</v>
      </c>
      <c r="R15305" s="26" t="str">
        <f>HYPERLINK("https://ictv.global/taxonomy/taxondetails?taxnode_id=202302611","Ascovirus sfav1a")</f>
        <v>Ascovirus sfav1a</v>
      </c>
      <c r="S15305" t="s">
        <v>30</v>
      </c>
      <c r="T15305" t="s">
        <v>35530</v>
      </c>
      <c r="U15305" t="s">
        <v>35531</v>
      </c>
      <c r="W15305" t="s">
        <v>35532</v>
      </c>
      <c r="X15305" t="s">
        <v>42</v>
      </c>
      <c r="Y15305" t="s">
        <v>36</v>
      </c>
      <c r="Z15305" t="s">
        <v>10790</v>
      </c>
      <c r="AA15305" s="22" t="str">
        <f>HYPERLINK("https://www.ncbi.nlm.nih.gov/nuccore/AM398843","NCBI Nucleotide")</f>
        <v>NCBI Nucleotide</v>
      </c>
    </row>
    <row r="15306" spans="1:27" x14ac:dyDescent="0.35">
      <c r="A15306">
        <v>1004221</v>
      </c>
      <c r="B15306">
        <v>13805</v>
      </c>
      <c r="C15306">
        <v>1</v>
      </c>
      <c r="D15306" t="s">
        <v>35352</v>
      </c>
      <c r="F15306" t="s">
        <v>35353</v>
      </c>
      <c r="H15306" t="s">
        <v>35359</v>
      </c>
      <c r="J15306" t="s">
        <v>35360</v>
      </c>
      <c r="L15306" t="s">
        <v>35519</v>
      </c>
      <c r="N15306" t="s">
        <v>35520</v>
      </c>
      <c r="P15306" t="s">
        <v>35521</v>
      </c>
      <c r="R15306" s="26" t="str">
        <f>HYPERLINK("https://ictv.global/taxonomy/taxondetails?taxnode_id=202302612","Ascovirus tnav2a")</f>
        <v>Ascovirus tnav2a</v>
      </c>
      <c r="S15306" t="s">
        <v>30</v>
      </c>
      <c r="T15306" t="s">
        <v>35533</v>
      </c>
      <c r="U15306" t="s">
        <v>35534</v>
      </c>
      <c r="W15306" t="s">
        <v>47694</v>
      </c>
      <c r="X15306" t="s">
        <v>154</v>
      </c>
      <c r="Y15306" t="s">
        <v>36</v>
      </c>
      <c r="Z15306" t="s">
        <v>10790</v>
      </c>
      <c r="AA15306" s="22" t="str">
        <f>HYPERLINK("https://www.ncbi.nlm.nih.gov/nuccore/AJ279826,AY197700","NCBI Nucleotide")</f>
        <v>NCBI Nucleotide</v>
      </c>
    </row>
    <row r="15307" spans="1:27" x14ac:dyDescent="0.35">
      <c r="A15307">
        <v>1004222</v>
      </c>
      <c r="B15307">
        <v>13806</v>
      </c>
      <c r="C15307">
        <v>1</v>
      </c>
      <c r="D15307" t="s">
        <v>35352</v>
      </c>
      <c r="F15307" t="s">
        <v>35353</v>
      </c>
      <c r="H15307" t="s">
        <v>35359</v>
      </c>
      <c r="J15307" t="s">
        <v>35360</v>
      </c>
      <c r="L15307" t="s">
        <v>35519</v>
      </c>
      <c r="N15307" t="s">
        <v>35520</v>
      </c>
      <c r="P15307" t="s">
        <v>35535</v>
      </c>
      <c r="R15307" s="26" t="str">
        <f>HYPERLINK("https://ictv.global/taxonomy/taxondetails?taxnode_id=202302614","Toursvirus dptv1a")</f>
        <v>Toursvirus dptv1a</v>
      </c>
      <c r="S15307" t="s">
        <v>30</v>
      </c>
      <c r="T15307" t="s">
        <v>35536</v>
      </c>
      <c r="U15307" t="s">
        <v>35537</v>
      </c>
      <c r="W15307" t="s">
        <v>35538</v>
      </c>
      <c r="X15307" t="s">
        <v>42</v>
      </c>
      <c r="Y15307" t="s">
        <v>36</v>
      </c>
      <c r="Z15307" t="s">
        <v>10790</v>
      </c>
      <c r="AA15307" s="22" t="str">
        <f>HYPERLINK("https://www.ncbi.nlm.nih.gov/nuccore/CU469068","NCBI Nucleotide")</f>
        <v>NCBI Nucleotide</v>
      </c>
    </row>
    <row r="15308" spans="1:27" x14ac:dyDescent="0.35">
      <c r="A15308">
        <v>1024665</v>
      </c>
      <c r="B15308">
        <v>13807</v>
      </c>
      <c r="C15308">
        <v>1</v>
      </c>
      <c r="D15308" t="s">
        <v>35352</v>
      </c>
      <c r="F15308" t="s">
        <v>35353</v>
      </c>
      <c r="H15308" t="s">
        <v>35359</v>
      </c>
      <c r="J15308" t="s">
        <v>35360</v>
      </c>
      <c r="L15308" t="s">
        <v>35519</v>
      </c>
      <c r="N15308" t="s">
        <v>47695</v>
      </c>
      <c r="P15308" t="s">
        <v>47696</v>
      </c>
      <c r="R15308" s="26" t="str">
        <f>HYPERLINK("https://ictv.global/taxonomy/taxondetails?taxnode_id=202318019","Alphacedratvirus aljazairense")</f>
        <v>Alphacedratvirus aljazairense</v>
      </c>
      <c r="S15308" t="s">
        <v>30</v>
      </c>
      <c r="T15308" t="s">
        <v>47697</v>
      </c>
      <c r="U15308" t="s">
        <v>47698</v>
      </c>
      <c r="W15308" t="s">
        <v>47699</v>
      </c>
      <c r="X15308" t="s">
        <v>42</v>
      </c>
      <c r="Y15308" t="s">
        <v>36</v>
      </c>
      <c r="Z15308" t="s">
        <v>17496</v>
      </c>
      <c r="AA15308" s="22" t="str">
        <f>HYPERLINK("https://www.ncbi.nlm.nih.gov/nuccore/LT671577","NCBI Nucleotide")</f>
        <v>NCBI Nucleotide</v>
      </c>
    </row>
    <row r="15309" spans="1:27" x14ac:dyDescent="0.35">
      <c r="A15309">
        <v>1024666</v>
      </c>
      <c r="B15309">
        <v>13808</v>
      </c>
      <c r="C15309">
        <v>1</v>
      </c>
      <c r="D15309" t="s">
        <v>35352</v>
      </c>
      <c r="F15309" t="s">
        <v>35353</v>
      </c>
      <c r="H15309" t="s">
        <v>35359</v>
      </c>
      <c r="J15309" t="s">
        <v>35360</v>
      </c>
      <c r="L15309" t="s">
        <v>35519</v>
      </c>
      <c r="N15309" t="s">
        <v>47695</v>
      </c>
      <c r="P15309" t="s">
        <v>47696</v>
      </c>
      <c r="R15309" s="26" t="str">
        <f>HYPERLINK("https://ictv.global/taxonomy/taxondetails?taxnode_id=202318020","Alphacedratvirus brasiliense")</f>
        <v>Alphacedratvirus brasiliense</v>
      </c>
      <c r="S15309" t="s">
        <v>30</v>
      </c>
      <c r="T15309" t="s">
        <v>47700</v>
      </c>
      <c r="U15309" t="s">
        <v>47701</v>
      </c>
      <c r="V15309">
        <v>27.7</v>
      </c>
      <c r="W15309" t="s">
        <v>48699</v>
      </c>
      <c r="X15309" t="s">
        <v>42</v>
      </c>
      <c r="Y15309" t="s">
        <v>36</v>
      </c>
      <c r="Z15309" t="s">
        <v>17496</v>
      </c>
      <c r="AA15309" s="22" t="str">
        <f>HYPERLINK("https://www.ncbi.nlm.nih.gov/nuccore/LT994651","NCBI Nucleotide")</f>
        <v>NCBI Nucleotide</v>
      </c>
    </row>
    <row r="15310" spans="1:27" x14ac:dyDescent="0.35">
      <c r="A15310">
        <v>1024667</v>
      </c>
      <c r="B15310">
        <v>13809</v>
      </c>
      <c r="C15310">
        <v>1</v>
      </c>
      <c r="D15310" t="s">
        <v>35352</v>
      </c>
      <c r="F15310" t="s">
        <v>35353</v>
      </c>
      <c r="H15310" t="s">
        <v>35359</v>
      </c>
      <c r="J15310" t="s">
        <v>35360</v>
      </c>
      <c r="L15310" t="s">
        <v>35519</v>
      </c>
      <c r="N15310" t="s">
        <v>47695</v>
      </c>
      <c r="P15310" t="s">
        <v>47696</v>
      </c>
      <c r="R15310" s="26" t="str">
        <f>HYPERLINK("https://ictv.global/taxonomy/taxondetails?taxnode_id=202318021","Alphacedratvirus franciense")</f>
        <v>Alphacedratvirus franciense</v>
      </c>
      <c r="S15310" t="s">
        <v>30</v>
      </c>
      <c r="T15310" t="s">
        <v>47702</v>
      </c>
      <c r="U15310" t="s">
        <v>47703</v>
      </c>
      <c r="W15310" t="s">
        <v>48700</v>
      </c>
      <c r="X15310" t="s">
        <v>42</v>
      </c>
      <c r="Y15310" t="s">
        <v>36</v>
      </c>
      <c r="Z15310" t="s">
        <v>17496</v>
      </c>
      <c r="AA15310" s="22" t="str">
        <f>HYPERLINK("https://www.ncbi.nlm.nih.gov/nuccore/LT907979","NCBI Nucleotide")</f>
        <v>NCBI Nucleotide</v>
      </c>
    </row>
    <row r="15311" spans="1:27" x14ac:dyDescent="0.35">
      <c r="A15311">
        <v>1024668</v>
      </c>
      <c r="B15311">
        <v>13810</v>
      </c>
      <c r="C15311">
        <v>1</v>
      </c>
      <c r="D15311" t="s">
        <v>35352</v>
      </c>
      <c r="F15311" t="s">
        <v>35353</v>
      </c>
      <c r="H15311" t="s">
        <v>35359</v>
      </c>
      <c r="J15311" t="s">
        <v>35360</v>
      </c>
      <c r="L15311" t="s">
        <v>35519</v>
      </c>
      <c r="N15311" t="s">
        <v>47695</v>
      </c>
      <c r="P15311" t="s">
        <v>47696</v>
      </c>
      <c r="R15311" s="26" t="str">
        <f>HYPERLINK("https://ictv.global/taxonomy/taxondetails?taxnode_id=202318022","Alphacedratvirus rossiense")</f>
        <v>Alphacedratvirus rossiense</v>
      </c>
      <c r="S15311" t="s">
        <v>30</v>
      </c>
      <c r="T15311" t="s">
        <v>47704</v>
      </c>
      <c r="U15311" t="s">
        <v>47705</v>
      </c>
      <c r="V15311" t="s">
        <v>26910</v>
      </c>
      <c r="W15311" t="s">
        <v>48701</v>
      </c>
      <c r="X15311" t="s">
        <v>42</v>
      </c>
      <c r="Y15311" t="s">
        <v>36</v>
      </c>
      <c r="Z15311" t="s">
        <v>17496</v>
      </c>
      <c r="AA15311" s="22" t="str">
        <f>HYPERLINK("https://www.ncbi.nlm.nih.gov/nuccore/MN873693","NCBI Nucleotide")</f>
        <v>NCBI Nucleotide</v>
      </c>
    </row>
    <row r="15312" spans="1:27" x14ac:dyDescent="0.35">
      <c r="A15312">
        <v>1004226</v>
      </c>
      <c r="B15312">
        <v>13811</v>
      </c>
      <c r="C15312">
        <v>1</v>
      </c>
      <c r="D15312" t="s">
        <v>35352</v>
      </c>
      <c r="F15312" t="s">
        <v>35353</v>
      </c>
      <c r="H15312" t="s">
        <v>35359</v>
      </c>
      <c r="J15312" t="s">
        <v>35360</v>
      </c>
      <c r="L15312" t="s">
        <v>35519</v>
      </c>
      <c r="N15312" t="s">
        <v>35539</v>
      </c>
      <c r="O15312" t="s">
        <v>35540</v>
      </c>
      <c r="P15312" t="s">
        <v>35541</v>
      </c>
      <c r="R15312" s="26" t="str">
        <f>HYPERLINK("https://ictv.global/taxonomy/taxondetails?taxnode_id=202308875","Lymphocystivirus micropogonias1")</f>
        <v>Lymphocystivirus micropogonias1</v>
      </c>
      <c r="S15312" t="s">
        <v>30</v>
      </c>
      <c r="T15312" t="s">
        <v>35552</v>
      </c>
      <c r="U15312" t="s">
        <v>35553</v>
      </c>
      <c r="V15312" t="s">
        <v>35554</v>
      </c>
      <c r="W15312" t="s">
        <v>35555</v>
      </c>
      <c r="X15312" t="s">
        <v>42</v>
      </c>
      <c r="Y15312" t="s">
        <v>36</v>
      </c>
      <c r="Z15312" t="s">
        <v>166</v>
      </c>
      <c r="AA15312" s="22" t="str">
        <f>HYPERLINK("https://www.ncbi.nlm.nih.gov/nuccore/MN803438","NCBI Nucleotide")</f>
        <v>NCBI Nucleotide</v>
      </c>
    </row>
    <row r="15313" spans="1:27" x14ac:dyDescent="0.35">
      <c r="A15313">
        <v>1004224</v>
      </c>
      <c r="B15313">
        <v>13812</v>
      </c>
      <c r="C15313">
        <v>1</v>
      </c>
      <c r="D15313" t="s">
        <v>35352</v>
      </c>
      <c r="F15313" t="s">
        <v>35353</v>
      </c>
      <c r="H15313" t="s">
        <v>35359</v>
      </c>
      <c r="J15313" t="s">
        <v>35360</v>
      </c>
      <c r="L15313" t="s">
        <v>35519</v>
      </c>
      <c r="N15313" t="s">
        <v>35539</v>
      </c>
      <c r="O15313" t="s">
        <v>35540</v>
      </c>
      <c r="P15313" t="s">
        <v>35541</v>
      </c>
      <c r="R15313" s="26" t="str">
        <f>HYPERLINK("https://ictv.global/taxonomy/taxondetails?taxnode_id=202306332","Lymphocystivirus paralichthys1")</f>
        <v>Lymphocystivirus paralichthys1</v>
      </c>
      <c r="S15313" t="s">
        <v>30</v>
      </c>
      <c r="T15313" t="s">
        <v>35545</v>
      </c>
      <c r="U15313" t="s">
        <v>35546</v>
      </c>
      <c r="V15313" t="s">
        <v>17234</v>
      </c>
      <c r="W15313" t="s">
        <v>35547</v>
      </c>
      <c r="X15313" t="s">
        <v>42</v>
      </c>
      <c r="Y15313" t="s">
        <v>36</v>
      </c>
      <c r="Z15313" t="s">
        <v>166</v>
      </c>
      <c r="AA15313" s="22" t="str">
        <f>HYPERLINK("https://www.ncbi.nlm.nih.gov/nuccore/AY380826","NCBI Nucleotide")</f>
        <v>NCBI Nucleotide</v>
      </c>
    </row>
    <row r="15314" spans="1:27" x14ac:dyDescent="0.35">
      <c r="A15314">
        <v>1004223</v>
      </c>
      <c r="B15314">
        <v>13813</v>
      </c>
      <c r="C15314">
        <v>1</v>
      </c>
      <c r="D15314" t="s">
        <v>35352</v>
      </c>
      <c r="F15314" t="s">
        <v>35353</v>
      </c>
      <c r="H15314" t="s">
        <v>35359</v>
      </c>
      <c r="J15314" t="s">
        <v>35360</v>
      </c>
      <c r="L15314" t="s">
        <v>35519</v>
      </c>
      <c r="N15314" t="s">
        <v>35539</v>
      </c>
      <c r="O15314" t="s">
        <v>35540</v>
      </c>
      <c r="P15314" t="s">
        <v>35541</v>
      </c>
      <c r="R15314" s="26" t="str">
        <f>HYPERLINK("https://ictv.global/taxonomy/taxondetails?taxnode_id=202303728","Lymphocystivirus platichthys1")</f>
        <v>Lymphocystivirus platichthys1</v>
      </c>
      <c r="S15314" t="s">
        <v>30</v>
      </c>
      <c r="T15314" t="s">
        <v>35542</v>
      </c>
      <c r="U15314" t="s">
        <v>35543</v>
      </c>
      <c r="W15314" t="s">
        <v>35544</v>
      </c>
      <c r="X15314" t="s">
        <v>42</v>
      </c>
      <c r="Y15314" t="s">
        <v>36</v>
      </c>
      <c r="Z15314" t="s">
        <v>166</v>
      </c>
      <c r="AA15314" s="22" t="str">
        <f>HYPERLINK("https://www.ncbi.nlm.nih.gov/nuccore/L63545","NCBI Nucleotide")</f>
        <v>NCBI Nucleotide</v>
      </c>
    </row>
    <row r="15315" spans="1:27" x14ac:dyDescent="0.35">
      <c r="A15315">
        <v>1004225</v>
      </c>
      <c r="B15315">
        <v>13814</v>
      </c>
      <c r="C15315">
        <v>1</v>
      </c>
      <c r="D15315" t="s">
        <v>35352</v>
      </c>
      <c r="F15315" t="s">
        <v>35353</v>
      </c>
      <c r="H15315" t="s">
        <v>35359</v>
      </c>
      <c r="J15315" t="s">
        <v>35360</v>
      </c>
      <c r="L15315" t="s">
        <v>35519</v>
      </c>
      <c r="N15315" t="s">
        <v>35539</v>
      </c>
      <c r="O15315" t="s">
        <v>35540</v>
      </c>
      <c r="P15315" t="s">
        <v>35541</v>
      </c>
      <c r="R15315" s="26" t="str">
        <f>HYPERLINK("https://ictv.global/taxonomy/taxondetails?taxnode_id=202306333","Lymphocystivirus sparus1")</f>
        <v>Lymphocystivirus sparus1</v>
      </c>
      <c r="S15315" t="s">
        <v>30</v>
      </c>
      <c r="T15315" t="s">
        <v>35548</v>
      </c>
      <c r="U15315" t="s">
        <v>35549</v>
      </c>
      <c r="V15315" t="s">
        <v>35550</v>
      </c>
      <c r="W15315" t="s">
        <v>35551</v>
      </c>
      <c r="X15315" t="s">
        <v>42</v>
      </c>
      <c r="Y15315" t="s">
        <v>36</v>
      </c>
      <c r="Z15315" t="s">
        <v>166</v>
      </c>
      <c r="AA15315" s="22" t="str">
        <f>HYPERLINK("https://www.ncbi.nlm.nih.gov/nuccore/KX643370","NCBI Nucleotide")</f>
        <v>NCBI Nucleotide</v>
      </c>
    </row>
    <row r="15316" spans="1:27" x14ac:dyDescent="0.35">
      <c r="A15316">
        <v>1004228</v>
      </c>
      <c r="B15316">
        <v>13815</v>
      </c>
      <c r="C15316">
        <v>1</v>
      </c>
      <c r="D15316" t="s">
        <v>35352</v>
      </c>
      <c r="F15316" t="s">
        <v>35353</v>
      </c>
      <c r="H15316" t="s">
        <v>35359</v>
      </c>
      <c r="J15316" t="s">
        <v>35360</v>
      </c>
      <c r="L15316" t="s">
        <v>35519</v>
      </c>
      <c r="N15316" t="s">
        <v>35539</v>
      </c>
      <c r="O15316" t="s">
        <v>35540</v>
      </c>
      <c r="P15316" t="s">
        <v>35556</v>
      </c>
      <c r="R15316" s="26" t="str">
        <f>HYPERLINK("https://ictv.global/taxonomy/taxondetails?taxnode_id=202306331","Megalocytivirus lates1")</f>
        <v>Megalocytivirus lates1</v>
      </c>
      <c r="S15316" t="s">
        <v>30</v>
      </c>
      <c r="T15316" t="s">
        <v>35575</v>
      </c>
      <c r="U15316" t="s">
        <v>35576</v>
      </c>
      <c r="V15316" t="s">
        <v>35577</v>
      </c>
      <c r="W15316" t="s">
        <v>35578</v>
      </c>
      <c r="X15316" t="s">
        <v>154</v>
      </c>
      <c r="Y15316" t="s">
        <v>36</v>
      </c>
      <c r="Z15316" t="s">
        <v>166</v>
      </c>
      <c r="AA15316" s="22" t="str">
        <f>HYPERLINK("https://www.ncbi.nlm.nih.gov/nuccore/KR139659","NCBI Nucleotide")</f>
        <v>NCBI Nucleotide</v>
      </c>
    </row>
    <row r="15317" spans="1:27" x14ac:dyDescent="0.35">
      <c r="A15317">
        <v>1004227</v>
      </c>
      <c r="B15317">
        <v>13816</v>
      </c>
      <c r="C15317">
        <v>1</v>
      </c>
      <c r="D15317" t="s">
        <v>35352</v>
      </c>
      <c r="F15317" t="s">
        <v>35353</v>
      </c>
      <c r="H15317" t="s">
        <v>35359</v>
      </c>
      <c r="J15317" t="s">
        <v>35360</v>
      </c>
      <c r="L15317" t="s">
        <v>35519</v>
      </c>
      <c r="N15317" t="s">
        <v>35539</v>
      </c>
      <c r="O15317" t="s">
        <v>35540</v>
      </c>
      <c r="P15317" t="s">
        <v>35556</v>
      </c>
      <c r="R15317" s="26" t="str">
        <f t="shared" ref="R15317:R15324" si="72">HYPERLINK("https://ictv.global/taxonomy/taxondetails?taxnode_id=202303730","Megalocytivirus pagrus1")</f>
        <v>Megalocytivirus pagrus1</v>
      </c>
      <c r="S15317" t="s">
        <v>30</v>
      </c>
      <c r="T15317" t="s">
        <v>35557</v>
      </c>
      <c r="U15317" t="s">
        <v>35558</v>
      </c>
      <c r="W15317" t="s">
        <v>35559</v>
      </c>
      <c r="X15317" t="s">
        <v>42</v>
      </c>
      <c r="Y15317" t="s">
        <v>36</v>
      </c>
      <c r="Z15317" t="s">
        <v>166</v>
      </c>
      <c r="AA15317" s="22" t="str">
        <f>HYPERLINK("https://www.ncbi.nlm.nih.gov/nuccore/AF371960","NCBI Nucleotide")</f>
        <v>NCBI Nucleotide</v>
      </c>
    </row>
    <row r="15318" spans="1:27" x14ac:dyDescent="0.35">
      <c r="A15318">
        <v>1011995</v>
      </c>
      <c r="B15318">
        <v>13816</v>
      </c>
      <c r="C15318">
        <v>2</v>
      </c>
      <c r="D15318" t="s">
        <v>35352</v>
      </c>
      <c r="F15318" t="s">
        <v>35353</v>
      </c>
      <c r="H15318" t="s">
        <v>35359</v>
      </c>
      <c r="J15318" t="s">
        <v>35360</v>
      </c>
      <c r="L15318" t="s">
        <v>35519</v>
      </c>
      <c r="N15318" t="s">
        <v>35539</v>
      </c>
      <c r="O15318" t="s">
        <v>35540</v>
      </c>
      <c r="P15318" t="s">
        <v>35556</v>
      </c>
      <c r="R15318" s="26" t="str">
        <f t="shared" si="72"/>
        <v>Megalocytivirus pagrus1</v>
      </c>
      <c r="S15318" t="s">
        <v>8141</v>
      </c>
      <c r="T15318" t="s">
        <v>35562</v>
      </c>
      <c r="U15318" t="s">
        <v>35563</v>
      </c>
      <c r="V15318" t="s">
        <v>19262</v>
      </c>
      <c r="W15318" t="s">
        <v>50186</v>
      </c>
      <c r="X15318" t="s">
        <v>42</v>
      </c>
      <c r="Y15318" t="s">
        <v>36</v>
      </c>
      <c r="Z15318" t="s">
        <v>166</v>
      </c>
      <c r="AA15318" s="22" t="str">
        <f>HYPERLINK("https://www.ncbi.nlm.nih.gov/nuccore/KT804738","NCBI Nucleotide")</f>
        <v>NCBI Nucleotide</v>
      </c>
    </row>
    <row r="15319" spans="1:27" x14ac:dyDescent="0.35">
      <c r="A15319">
        <v>1011998</v>
      </c>
      <c r="B15319">
        <v>13816</v>
      </c>
      <c r="C15319">
        <v>3</v>
      </c>
      <c r="D15319" t="s">
        <v>35352</v>
      </c>
      <c r="F15319" t="s">
        <v>35353</v>
      </c>
      <c r="H15319" t="s">
        <v>35359</v>
      </c>
      <c r="J15319" t="s">
        <v>35360</v>
      </c>
      <c r="L15319" t="s">
        <v>35519</v>
      </c>
      <c r="N15319" t="s">
        <v>35539</v>
      </c>
      <c r="O15319" t="s">
        <v>35540</v>
      </c>
      <c r="P15319" t="s">
        <v>35556</v>
      </c>
      <c r="R15319" s="26" t="str">
        <f t="shared" si="72"/>
        <v>Megalocytivirus pagrus1</v>
      </c>
      <c r="S15319" t="s">
        <v>8141</v>
      </c>
      <c r="T15319" t="s">
        <v>35569</v>
      </c>
      <c r="U15319" t="s">
        <v>35570</v>
      </c>
      <c r="W15319" t="s">
        <v>50187</v>
      </c>
      <c r="X15319" t="s">
        <v>42</v>
      </c>
      <c r="Y15319" t="s">
        <v>36</v>
      </c>
      <c r="Z15319" t="s">
        <v>166</v>
      </c>
      <c r="AA15319" s="22" t="str">
        <f>HYPERLINK("https://www.ncbi.nlm.nih.gov/nuccore/AY779031","NCBI Nucleotide")</f>
        <v>NCBI Nucleotide</v>
      </c>
    </row>
    <row r="15320" spans="1:27" x14ac:dyDescent="0.35">
      <c r="A15320">
        <v>1011994</v>
      </c>
      <c r="B15320">
        <v>13816</v>
      </c>
      <c r="C15320">
        <v>4</v>
      </c>
      <c r="D15320" t="s">
        <v>35352</v>
      </c>
      <c r="F15320" t="s">
        <v>35353</v>
      </c>
      <c r="H15320" t="s">
        <v>35359</v>
      </c>
      <c r="J15320" t="s">
        <v>35360</v>
      </c>
      <c r="L15320" t="s">
        <v>35519</v>
      </c>
      <c r="N15320" t="s">
        <v>35539</v>
      </c>
      <c r="O15320" t="s">
        <v>35540</v>
      </c>
      <c r="P15320" t="s">
        <v>35556</v>
      </c>
      <c r="R15320" s="26" t="str">
        <f t="shared" si="72"/>
        <v>Megalocytivirus pagrus1</v>
      </c>
      <c r="S15320" t="s">
        <v>8141</v>
      </c>
      <c r="T15320" t="s">
        <v>35560</v>
      </c>
      <c r="U15320" t="s">
        <v>35561</v>
      </c>
      <c r="W15320" t="s">
        <v>50188</v>
      </c>
      <c r="X15320" t="s">
        <v>42</v>
      </c>
      <c r="Y15320" t="s">
        <v>36</v>
      </c>
      <c r="Z15320" t="s">
        <v>166</v>
      </c>
      <c r="AA15320" s="22" t="str">
        <f>HYPERLINK("https://www.ncbi.nlm.nih.gov/nuccore/AY894343","NCBI Nucleotide")</f>
        <v>NCBI Nucleotide</v>
      </c>
    </row>
    <row r="15321" spans="1:27" x14ac:dyDescent="0.35">
      <c r="A15321">
        <v>1011999</v>
      </c>
      <c r="B15321">
        <v>13816</v>
      </c>
      <c r="C15321">
        <v>5</v>
      </c>
      <c r="D15321" t="s">
        <v>35352</v>
      </c>
      <c r="F15321" t="s">
        <v>35353</v>
      </c>
      <c r="H15321" t="s">
        <v>35359</v>
      </c>
      <c r="J15321" t="s">
        <v>35360</v>
      </c>
      <c r="L15321" t="s">
        <v>35519</v>
      </c>
      <c r="N15321" t="s">
        <v>35539</v>
      </c>
      <c r="O15321" t="s">
        <v>35540</v>
      </c>
      <c r="P15321" t="s">
        <v>35556</v>
      </c>
      <c r="R15321" s="26" t="str">
        <f t="shared" si="72"/>
        <v>Megalocytivirus pagrus1</v>
      </c>
      <c r="S15321" t="s">
        <v>8141</v>
      </c>
      <c r="T15321" t="s">
        <v>35571</v>
      </c>
      <c r="U15321" t="s">
        <v>35572</v>
      </c>
      <c r="V15321">
        <v>2010</v>
      </c>
      <c r="W15321" t="s">
        <v>50189</v>
      </c>
      <c r="X15321" t="s">
        <v>42</v>
      </c>
      <c r="Y15321" t="s">
        <v>36</v>
      </c>
      <c r="Z15321" t="s">
        <v>166</v>
      </c>
      <c r="AA15321" s="22" t="str">
        <f>HYPERLINK("https://www.ncbi.nlm.nih.gov/nuccore/MK098185","NCBI Nucleotide")</f>
        <v>NCBI Nucleotide</v>
      </c>
    </row>
    <row r="15322" spans="1:27" x14ac:dyDescent="0.35">
      <c r="A15322">
        <v>1012000</v>
      </c>
      <c r="B15322">
        <v>13816</v>
      </c>
      <c r="C15322">
        <v>6</v>
      </c>
      <c r="D15322" t="s">
        <v>35352</v>
      </c>
      <c r="F15322" t="s">
        <v>35353</v>
      </c>
      <c r="H15322" t="s">
        <v>35359</v>
      </c>
      <c r="J15322" t="s">
        <v>35360</v>
      </c>
      <c r="L15322" t="s">
        <v>35519</v>
      </c>
      <c r="N15322" t="s">
        <v>35539</v>
      </c>
      <c r="O15322" t="s">
        <v>35540</v>
      </c>
      <c r="P15322" t="s">
        <v>35556</v>
      </c>
      <c r="R15322" s="26" t="str">
        <f t="shared" si="72"/>
        <v>Megalocytivirus pagrus1</v>
      </c>
      <c r="S15322" t="s">
        <v>8141</v>
      </c>
      <c r="T15322" t="s">
        <v>47706</v>
      </c>
      <c r="U15322" t="s">
        <v>35573</v>
      </c>
      <c r="V15322" t="s">
        <v>35574</v>
      </c>
      <c r="W15322" t="s">
        <v>50190</v>
      </c>
      <c r="X15322" t="s">
        <v>42</v>
      </c>
      <c r="Y15322" t="s">
        <v>36</v>
      </c>
      <c r="Z15322" t="s">
        <v>166</v>
      </c>
      <c r="AA15322" s="22" t="str">
        <f>HYPERLINK("https://www.ncbi.nlm.nih.gov/nuccore/BD143114","NCBI Nucleotide")</f>
        <v>NCBI Nucleotide</v>
      </c>
    </row>
    <row r="15323" spans="1:27" x14ac:dyDescent="0.35">
      <c r="A15323">
        <v>1011996</v>
      </c>
      <c r="B15323">
        <v>13816</v>
      </c>
      <c r="C15323">
        <v>7</v>
      </c>
      <c r="D15323" t="s">
        <v>35352</v>
      </c>
      <c r="F15323" t="s">
        <v>35353</v>
      </c>
      <c r="H15323" t="s">
        <v>35359</v>
      </c>
      <c r="J15323" t="s">
        <v>35360</v>
      </c>
      <c r="L15323" t="s">
        <v>35519</v>
      </c>
      <c r="N15323" t="s">
        <v>35539</v>
      </c>
      <c r="O15323" t="s">
        <v>35540</v>
      </c>
      <c r="P15323" t="s">
        <v>35556</v>
      </c>
      <c r="R15323" s="26" t="str">
        <f t="shared" si="72"/>
        <v>Megalocytivirus pagrus1</v>
      </c>
      <c r="S15323" t="s">
        <v>8141</v>
      </c>
      <c r="T15323" t="s">
        <v>35564</v>
      </c>
      <c r="U15323" t="s">
        <v>35565</v>
      </c>
      <c r="V15323" t="s">
        <v>35566</v>
      </c>
      <c r="W15323" t="s">
        <v>50191</v>
      </c>
      <c r="X15323" t="s">
        <v>42</v>
      </c>
      <c r="Y15323" t="s">
        <v>36</v>
      </c>
      <c r="Z15323" t="s">
        <v>166</v>
      </c>
      <c r="AA15323" s="22" t="str">
        <f>HYPERLINK("https://www.ncbi.nlm.nih.gov/nuccore/AY532606","NCBI Nucleotide")</f>
        <v>NCBI Nucleotide</v>
      </c>
    </row>
    <row r="15324" spans="1:27" x14ac:dyDescent="0.35">
      <c r="A15324">
        <v>1011997</v>
      </c>
      <c r="B15324">
        <v>13816</v>
      </c>
      <c r="C15324">
        <v>8</v>
      </c>
      <c r="D15324" t="s">
        <v>35352</v>
      </c>
      <c r="F15324" t="s">
        <v>35353</v>
      </c>
      <c r="H15324" t="s">
        <v>35359</v>
      </c>
      <c r="J15324" t="s">
        <v>35360</v>
      </c>
      <c r="L15324" t="s">
        <v>35519</v>
      </c>
      <c r="N15324" t="s">
        <v>35539</v>
      </c>
      <c r="O15324" t="s">
        <v>35540</v>
      </c>
      <c r="P15324" t="s">
        <v>35556</v>
      </c>
      <c r="R15324" s="26" t="str">
        <f t="shared" si="72"/>
        <v>Megalocytivirus pagrus1</v>
      </c>
      <c r="S15324" t="s">
        <v>8141</v>
      </c>
      <c r="T15324" t="s">
        <v>35567</v>
      </c>
      <c r="U15324" t="s">
        <v>35568</v>
      </c>
      <c r="W15324" t="s">
        <v>50192</v>
      </c>
      <c r="X15324" t="s">
        <v>42</v>
      </c>
      <c r="Y15324" t="s">
        <v>36</v>
      </c>
      <c r="Z15324" t="s">
        <v>166</v>
      </c>
      <c r="AA15324" s="22" t="str">
        <f>HYPERLINK("https://www.ncbi.nlm.nih.gov/nuccore/GQ273492","NCBI Nucleotide")</f>
        <v>NCBI Nucleotide</v>
      </c>
    </row>
    <row r="15325" spans="1:27" x14ac:dyDescent="0.35">
      <c r="A15325">
        <v>1004230</v>
      </c>
      <c r="B15325">
        <v>13817</v>
      </c>
      <c r="C15325">
        <v>1</v>
      </c>
      <c r="D15325" t="s">
        <v>35352</v>
      </c>
      <c r="F15325" t="s">
        <v>35353</v>
      </c>
      <c r="H15325" t="s">
        <v>35359</v>
      </c>
      <c r="J15325" t="s">
        <v>35360</v>
      </c>
      <c r="L15325" t="s">
        <v>35519</v>
      </c>
      <c r="N15325" t="s">
        <v>35539</v>
      </c>
      <c r="O15325" t="s">
        <v>35540</v>
      </c>
      <c r="P15325" t="s">
        <v>35579</v>
      </c>
      <c r="R15325" s="26" t="str">
        <f t="shared" ref="R15325:R15331" si="73">HYPERLINK("https://ictv.global/taxonomy/taxondetails?taxnode_id=202305861","Ranavirus alytes1")</f>
        <v>Ranavirus alytes1</v>
      </c>
      <c r="S15325" t="s">
        <v>30</v>
      </c>
      <c r="T15325" t="s">
        <v>35583</v>
      </c>
      <c r="U15325" t="s">
        <v>35584</v>
      </c>
      <c r="V15325" t="s">
        <v>35585</v>
      </c>
      <c r="W15325" t="s">
        <v>35586</v>
      </c>
      <c r="X15325" t="s">
        <v>42</v>
      </c>
      <c r="Y15325" t="s">
        <v>36</v>
      </c>
      <c r="Z15325" t="s">
        <v>166</v>
      </c>
      <c r="AA15325" s="22" t="str">
        <f>HYPERLINK("https://www.ncbi.nlm.nih.gov/nuccore/KP056312","NCBI Nucleotide")</f>
        <v>NCBI Nucleotide</v>
      </c>
    </row>
    <row r="15326" spans="1:27" x14ac:dyDescent="0.35">
      <c r="A15326">
        <v>1012002</v>
      </c>
      <c r="B15326">
        <v>13817</v>
      </c>
      <c r="C15326">
        <v>2</v>
      </c>
      <c r="D15326" t="s">
        <v>35352</v>
      </c>
      <c r="F15326" t="s">
        <v>35353</v>
      </c>
      <c r="H15326" t="s">
        <v>35359</v>
      </c>
      <c r="J15326" t="s">
        <v>35360</v>
      </c>
      <c r="L15326" t="s">
        <v>35519</v>
      </c>
      <c r="N15326" t="s">
        <v>35539</v>
      </c>
      <c r="O15326" t="s">
        <v>35540</v>
      </c>
      <c r="P15326" t="s">
        <v>35579</v>
      </c>
      <c r="R15326" s="26" t="str">
        <f t="shared" si="73"/>
        <v>Ranavirus alytes1</v>
      </c>
      <c r="S15326" t="s">
        <v>8141</v>
      </c>
      <c r="T15326" t="s">
        <v>35590</v>
      </c>
      <c r="U15326" t="s">
        <v>28604</v>
      </c>
      <c r="V15326">
        <v>1201</v>
      </c>
      <c r="W15326" t="s">
        <v>50193</v>
      </c>
      <c r="X15326" t="s">
        <v>42</v>
      </c>
      <c r="Y15326" t="s">
        <v>36</v>
      </c>
      <c r="Z15326" t="s">
        <v>166</v>
      </c>
      <c r="AA15326" s="22" t="str">
        <f>HYPERLINK("https://www.ncbi.nlm.nih.gov/nuccore/KC865735","NCBI Nucleotide")</f>
        <v>NCBI Nucleotide</v>
      </c>
    </row>
    <row r="15327" spans="1:27" x14ac:dyDescent="0.35">
      <c r="A15327">
        <v>1012001</v>
      </c>
      <c r="B15327">
        <v>13817</v>
      </c>
      <c r="C15327">
        <v>3</v>
      </c>
      <c r="D15327" t="s">
        <v>35352</v>
      </c>
      <c r="F15327" t="s">
        <v>35353</v>
      </c>
      <c r="H15327" t="s">
        <v>35359</v>
      </c>
      <c r="J15327" t="s">
        <v>35360</v>
      </c>
      <c r="L15327" t="s">
        <v>35519</v>
      </c>
      <c r="N15327" t="s">
        <v>35539</v>
      </c>
      <c r="O15327" t="s">
        <v>35540</v>
      </c>
      <c r="P15327" t="s">
        <v>35579</v>
      </c>
      <c r="R15327" s="26" t="str">
        <f t="shared" si="73"/>
        <v>Ranavirus alytes1</v>
      </c>
      <c r="S15327" t="s">
        <v>8141</v>
      </c>
      <c r="T15327" t="s">
        <v>35587</v>
      </c>
      <c r="U15327" t="s">
        <v>35588</v>
      </c>
      <c r="V15327" t="s">
        <v>35589</v>
      </c>
      <c r="W15327" t="s">
        <v>50194</v>
      </c>
      <c r="X15327" t="s">
        <v>42</v>
      </c>
      <c r="Y15327" t="s">
        <v>36</v>
      </c>
      <c r="Z15327" t="s">
        <v>166</v>
      </c>
      <c r="AA15327" s="22" t="str">
        <f>HYPERLINK("https://www.ncbi.nlm.nih.gov/nuccore/JQ231222","NCBI Nucleotide")</f>
        <v>NCBI Nucleotide</v>
      </c>
    </row>
    <row r="15328" spans="1:27" x14ac:dyDescent="0.35">
      <c r="A15328">
        <v>1012005</v>
      </c>
      <c r="B15328">
        <v>13817</v>
      </c>
      <c r="C15328">
        <v>4</v>
      </c>
      <c r="D15328" t="s">
        <v>35352</v>
      </c>
      <c r="F15328" t="s">
        <v>35353</v>
      </c>
      <c r="H15328" t="s">
        <v>35359</v>
      </c>
      <c r="J15328" t="s">
        <v>35360</v>
      </c>
      <c r="L15328" t="s">
        <v>35519</v>
      </c>
      <c r="N15328" t="s">
        <v>35539</v>
      </c>
      <c r="O15328" t="s">
        <v>35540</v>
      </c>
      <c r="P15328" t="s">
        <v>35579</v>
      </c>
      <c r="R15328" s="26" t="str">
        <f t="shared" si="73"/>
        <v>Ranavirus alytes1</v>
      </c>
      <c r="S15328" t="s">
        <v>8141</v>
      </c>
      <c r="T15328" t="s">
        <v>35597</v>
      </c>
      <c r="U15328" t="s">
        <v>47707</v>
      </c>
      <c r="V15328" t="s">
        <v>47708</v>
      </c>
      <c r="W15328" t="s">
        <v>50195</v>
      </c>
      <c r="X15328" t="s">
        <v>42</v>
      </c>
      <c r="Y15328" t="s">
        <v>36</v>
      </c>
      <c r="Z15328" t="s">
        <v>166</v>
      </c>
      <c r="AA15328" s="22" t="str">
        <f>HYPERLINK("https://www.ncbi.nlm.nih.gov/nuccore/MF538627","NCBI Nucleotide")</f>
        <v>NCBI Nucleotide</v>
      </c>
    </row>
    <row r="15329" spans="1:27" x14ac:dyDescent="0.35">
      <c r="A15329">
        <v>1012004</v>
      </c>
      <c r="B15329">
        <v>13817</v>
      </c>
      <c r="C15329">
        <v>5</v>
      </c>
      <c r="D15329" t="s">
        <v>35352</v>
      </c>
      <c r="F15329" t="s">
        <v>35353</v>
      </c>
      <c r="H15329" t="s">
        <v>35359</v>
      </c>
      <c r="J15329" t="s">
        <v>35360</v>
      </c>
      <c r="L15329" t="s">
        <v>35519</v>
      </c>
      <c r="N15329" t="s">
        <v>35539</v>
      </c>
      <c r="O15329" t="s">
        <v>35540</v>
      </c>
      <c r="P15329" t="s">
        <v>35579</v>
      </c>
      <c r="R15329" s="26" t="str">
        <f t="shared" si="73"/>
        <v>Ranavirus alytes1</v>
      </c>
      <c r="S15329" t="s">
        <v>8141</v>
      </c>
      <c r="T15329" t="s">
        <v>35594</v>
      </c>
      <c r="U15329" t="s">
        <v>35595</v>
      </c>
      <c r="V15329" t="s">
        <v>35596</v>
      </c>
      <c r="W15329" t="s">
        <v>50196</v>
      </c>
      <c r="X15329" t="s">
        <v>42</v>
      </c>
      <c r="Y15329" t="s">
        <v>36</v>
      </c>
      <c r="Z15329" t="s">
        <v>166</v>
      </c>
      <c r="AA15329" s="22" t="str">
        <f>HYPERLINK("https://www.ncbi.nlm.nih.gov/nuccore/KX574341","NCBI Nucleotide")</f>
        <v>NCBI Nucleotide</v>
      </c>
    </row>
    <row r="15330" spans="1:27" x14ac:dyDescent="0.35">
      <c r="A15330">
        <v>1012006</v>
      </c>
      <c r="B15330">
        <v>13817</v>
      </c>
      <c r="C15330">
        <v>6</v>
      </c>
      <c r="D15330" t="s">
        <v>35352</v>
      </c>
      <c r="F15330" t="s">
        <v>35353</v>
      </c>
      <c r="H15330" t="s">
        <v>35359</v>
      </c>
      <c r="J15330" t="s">
        <v>35360</v>
      </c>
      <c r="L15330" t="s">
        <v>35519</v>
      </c>
      <c r="N15330" t="s">
        <v>35539</v>
      </c>
      <c r="O15330" t="s">
        <v>35540</v>
      </c>
      <c r="P15330" t="s">
        <v>35579</v>
      </c>
      <c r="R15330" s="26" t="str">
        <f t="shared" si="73"/>
        <v>Ranavirus alytes1</v>
      </c>
      <c r="S15330" t="s">
        <v>8141</v>
      </c>
      <c r="T15330" t="s">
        <v>35598</v>
      </c>
      <c r="U15330" t="s">
        <v>35159</v>
      </c>
      <c r="V15330" t="s">
        <v>47709</v>
      </c>
      <c r="W15330" t="s">
        <v>50197</v>
      </c>
      <c r="X15330" t="s">
        <v>42</v>
      </c>
      <c r="Y15330" t="s">
        <v>36</v>
      </c>
      <c r="Z15330" t="s">
        <v>166</v>
      </c>
      <c r="AA15330" s="22" t="str">
        <f>HYPERLINK("https://www.ncbi.nlm.nih.gov/nuccore/MF538628","NCBI Nucleotide")</f>
        <v>NCBI Nucleotide</v>
      </c>
    </row>
    <row r="15331" spans="1:27" x14ac:dyDescent="0.35">
      <c r="A15331">
        <v>1012003</v>
      </c>
      <c r="B15331">
        <v>13817</v>
      </c>
      <c r="C15331">
        <v>7</v>
      </c>
      <c r="D15331" t="s">
        <v>35352</v>
      </c>
      <c r="F15331" t="s">
        <v>35353</v>
      </c>
      <c r="H15331" t="s">
        <v>35359</v>
      </c>
      <c r="J15331" t="s">
        <v>35360</v>
      </c>
      <c r="L15331" t="s">
        <v>35519</v>
      </c>
      <c r="N15331" t="s">
        <v>35539</v>
      </c>
      <c r="O15331" t="s">
        <v>35540</v>
      </c>
      <c r="P15331" t="s">
        <v>35579</v>
      </c>
      <c r="R15331" s="26" t="str">
        <f t="shared" si="73"/>
        <v>Ranavirus alytes1</v>
      </c>
      <c r="S15331" t="s">
        <v>8141</v>
      </c>
      <c r="T15331" t="s">
        <v>35591</v>
      </c>
      <c r="U15331" t="s">
        <v>35592</v>
      </c>
      <c r="V15331" t="s">
        <v>35593</v>
      </c>
      <c r="W15331" t="s">
        <v>50198</v>
      </c>
      <c r="X15331" t="s">
        <v>42</v>
      </c>
      <c r="Y15331" t="s">
        <v>36</v>
      </c>
      <c r="Z15331" t="s">
        <v>166</v>
      </c>
      <c r="AA15331" s="22" t="str">
        <f>HYPERLINK("https://www.ncbi.nlm.nih.gov/nuccore/KP266741","NCBI Nucleotide")</f>
        <v>NCBI Nucleotide</v>
      </c>
    </row>
    <row r="15332" spans="1:27" x14ac:dyDescent="0.35">
      <c r="A15332">
        <v>1004229</v>
      </c>
      <c r="B15332">
        <v>13818</v>
      </c>
      <c r="C15332">
        <v>1</v>
      </c>
      <c r="D15332" t="s">
        <v>35352</v>
      </c>
      <c r="F15332" t="s">
        <v>35353</v>
      </c>
      <c r="H15332" t="s">
        <v>35359</v>
      </c>
      <c r="J15332" t="s">
        <v>35360</v>
      </c>
      <c r="L15332" t="s">
        <v>35519</v>
      </c>
      <c r="N15332" t="s">
        <v>35539</v>
      </c>
      <c r="O15332" t="s">
        <v>35540</v>
      </c>
      <c r="P15332" t="s">
        <v>35579</v>
      </c>
      <c r="R15332" s="26" t="str">
        <f>HYPERLINK("https://ictv.global/taxonomy/taxondetails?taxnode_id=202303732","Ranavirus ambystoma1")</f>
        <v>Ranavirus ambystoma1</v>
      </c>
      <c r="S15332" t="s">
        <v>30</v>
      </c>
      <c r="T15332" t="s">
        <v>35580</v>
      </c>
      <c r="U15332" t="s">
        <v>35581</v>
      </c>
      <c r="W15332" t="s">
        <v>35582</v>
      </c>
      <c r="X15332" t="s">
        <v>42</v>
      </c>
      <c r="Y15332" t="s">
        <v>36</v>
      </c>
      <c r="Z15332" t="s">
        <v>166</v>
      </c>
      <c r="AA15332" s="22" t="str">
        <f>HYPERLINK("https://www.ncbi.nlm.nih.gov/nuccore/AY150217","NCBI Nucleotide")</f>
        <v>NCBI Nucleotide</v>
      </c>
    </row>
    <row r="15333" spans="1:27" x14ac:dyDescent="0.35">
      <c r="A15333">
        <v>1004235</v>
      </c>
      <c r="B15333">
        <v>13819</v>
      </c>
      <c r="C15333">
        <v>1</v>
      </c>
      <c r="D15333" t="s">
        <v>35352</v>
      </c>
      <c r="F15333" t="s">
        <v>35353</v>
      </c>
      <c r="H15333" t="s">
        <v>35359</v>
      </c>
      <c r="J15333" t="s">
        <v>35360</v>
      </c>
      <c r="L15333" t="s">
        <v>35519</v>
      </c>
      <c r="N15333" t="s">
        <v>35539</v>
      </c>
      <c r="O15333" t="s">
        <v>35540</v>
      </c>
      <c r="P15333" t="s">
        <v>35579</v>
      </c>
      <c r="R15333" s="26" t="str">
        <f>HYPERLINK("https://ictv.global/taxonomy/taxondetails?taxnode_id=202303738","Ranavirus epinephelus1")</f>
        <v>Ranavirus epinephelus1</v>
      </c>
      <c r="S15333" t="s">
        <v>30</v>
      </c>
      <c r="T15333" t="s">
        <v>35647</v>
      </c>
      <c r="U15333" t="s">
        <v>35648</v>
      </c>
      <c r="W15333" t="s">
        <v>35649</v>
      </c>
      <c r="X15333" t="s">
        <v>42</v>
      </c>
      <c r="Y15333" t="s">
        <v>36</v>
      </c>
      <c r="Z15333" t="s">
        <v>166</v>
      </c>
      <c r="AA15333" s="22" t="str">
        <f>HYPERLINK("https://www.ncbi.nlm.nih.gov/nuccore/AY521625","NCBI Nucleotide")</f>
        <v>NCBI Nucleotide</v>
      </c>
    </row>
    <row r="15334" spans="1:27" x14ac:dyDescent="0.35">
      <c r="A15334">
        <v>1012022</v>
      </c>
      <c r="B15334">
        <v>13819</v>
      </c>
      <c r="C15334">
        <v>2</v>
      </c>
      <c r="D15334" t="s">
        <v>35352</v>
      </c>
      <c r="F15334" t="s">
        <v>35353</v>
      </c>
      <c r="H15334" t="s">
        <v>35359</v>
      </c>
      <c r="J15334" t="s">
        <v>35360</v>
      </c>
      <c r="L15334" t="s">
        <v>35519</v>
      </c>
      <c r="N15334" t="s">
        <v>35539</v>
      </c>
      <c r="O15334" t="s">
        <v>35540</v>
      </c>
      <c r="P15334" t="s">
        <v>35579</v>
      </c>
      <c r="R15334" s="26" t="str">
        <f>HYPERLINK("https://ictv.global/taxonomy/taxondetails?taxnode_id=202303738","Ranavirus epinephelus1")</f>
        <v>Ranavirus epinephelus1</v>
      </c>
      <c r="S15334" t="s">
        <v>8141</v>
      </c>
      <c r="T15334" t="s">
        <v>35650</v>
      </c>
      <c r="U15334" t="s">
        <v>17651</v>
      </c>
      <c r="W15334" t="s">
        <v>50199</v>
      </c>
      <c r="X15334" t="s">
        <v>42</v>
      </c>
      <c r="Y15334" t="s">
        <v>36</v>
      </c>
      <c r="Z15334" t="s">
        <v>166</v>
      </c>
      <c r="AA15334" s="22" t="str">
        <f>HYPERLINK("https://www.ncbi.nlm.nih.gov/nuccore/AY666015","NCBI Nucleotide")</f>
        <v>NCBI Nucleotide</v>
      </c>
    </row>
    <row r="15335" spans="1:27" x14ac:dyDescent="0.35">
      <c r="A15335">
        <v>1004232</v>
      </c>
      <c r="B15335">
        <v>13820</v>
      </c>
      <c r="C15335">
        <v>1</v>
      </c>
      <c r="D15335" t="s">
        <v>35352</v>
      </c>
      <c r="F15335" t="s">
        <v>35353</v>
      </c>
      <c r="H15335" t="s">
        <v>35359</v>
      </c>
      <c r="J15335" t="s">
        <v>35360</v>
      </c>
      <c r="L15335" t="s">
        <v>35519</v>
      </c>
      <c r="N15335" t="s">
        <v>35539</v>
      </c>
      <c r="O15335" t="s">
        <v>35540</v>
      </c>
      <c r="P15335" t="s">
        <v>35579</v>
      </c>
      <c r="R15335" s="26" t="str">
        <f>HYPERLINK("https://ictv.global/taxonomy/taxondetails?taxnode_id=202309549","Ranavirus gadus1")</f>
        <v>Ranavirus gadus1</v>
      </c>
      <c r="S15335" t="s">
        <v>30</v>
      </c>
      <c r="T15335" t="s">
        <v>35607</v>
      </c>
      <c r="U15335" t="s">
        <v>35608</v>
      </c>
      <c r="V15335" t="s">
        <v>35609</v>
      </c>
      <c r="W15335" t="s">
        <v>35610</v>
      </c>
      <c r="X15335" t="s">
        <v>42</v>
      </c>
      <c r="Y15335" t="s">
        <v>36</v>
      </c>
      <c r="Z15335" t="s">
        <v>166</v>
      </c>
      <c r="AA15335" s="22" t="str">
        <f>HYPERLINK("https://www.ncbi.nlm.nih.gov/nuccore/MH665358","NCBI Nucleotide")</f>
        <v>NCBI Nucleotide</v>
      </c>
    </row>
    <row r="15336" spans="1:27" x14ac:dyDescent="0.35">
      <c r="A15336">
        <v>1004234</v>
      </c>
      <c r="B15336">
        <v>13821</v>
      </c>
      <c r="C15336">
        <v>1</v>
      </c>
      <c r="D15336" t="s">
        <v>35352</v>
      </c>
      <c r="F15336" t="s">
        <v>35353</v>
      </c>
      <c r="H15336" t="s">
        <v>35359</v>
      </c>
      <c r="J15336" t="s">
        <v>35360</v>
      </c>
      <c r="L15336" t="s">
        <v>35519</v>
      </c>
      <c r="N15336" t="s">
        <v>35539</v>
      </c>
      <c r="O15336" t="s">
        <v>35540</v>
      </c>
      <c r="P15336" t="s">
        <v>35579</v>
      </c>
      <c r="R15336" s="26" t="str">
        <f>HYPERLINK("https://ictv.global/taxonomy/taxondetails?taxnode_id=202303737","Ranavirus micropterus1")</f>
        <v>Ranavirus micropterus1</v>
      </c>
      <c r="S15336" t="s">
        <v>30</v>
      </c>
      <c r="T15336" t="s">
        <v>35638</v>
      </c>
      <c r="U15336" t="s">
        <v>35639</v>
      </c>
      <c r="V15336" t="s">
        <v>35640</v>
      </c>
      <c r="W15336" t="s">
        <v>35641</v>
      </c>
      <c r="X15336" t="s">
        <v>154</v>
      </c>
      <c r="Y15336" t="s">
        <v>36</v>
      </c>
      <c r="Z15336" t="s">
        <v>166</v>
      </c>
      <c r="AA15336" s="22" t="str">
        <f>HYPERLINK("https://www.ncbi.nlm.nih.gov/nuccore/KU507317","NCBI Nucleotide")</f>
        <v>NCBI Nucleotide</v>
      </c>
    </row>
    <row r="15337" spans="1:27" x14ac:dyDescent="0.35">
      <c r="A15337">
        <v>1012021</v>
      </c>
      <c r="B15337">
        <v>13821</v>
      </c>
      <c r="C15337">
        <v>2</v>
      </c>
      <c r="D15337" t="s">
        <v>35352</v>
      </c>
      <c r="F15337" t="s">
        <v>35353</v>
      </c>
      <c r="H15337" t="s">
        <v>35359</v>
      </c>
      <c r="J15337" t="s">
        <v>35360</v>
      </c>
      <c r="L15337" t="s">
        <v>35519</v>
      </c>
      <c r="N15337" t="s">
        <v>35539</v>
      </c>
      <c r="O15337" t="s">
        <v>35540</v>
      </c>
      <c r="P15337" t="s">
        <v>35579</v>
      </c>
      <c r="R15337" s="26" t="str">
        <f>HYPERLINK("https://ictv.global/taxonomy/taxondetails?taxnode_id=202303737","Ranavirus micropterus1")</f>
        <v>Ranavirus micropterus1</v>
      </c>
      <c r="S15337" t="s">
        <v>8141</v>
      </c>
      <c r="T15337" t="s">
        <v>35645</v>
      </c>
      <c r="U15337" t="s">
        <v>35646</v>
      </c>
      <c r="W15337" t="s">
        <v>50200</v>
      </c>
      <c r="X15337" t="s">
        <v>154</v>
      </c>
      <c r="Y15337" t="s">
        <v>36</v>
      </c>
      <c r="Z15337" t="s">
        <v>166</v>
      </c>
      <c r="AA15337" s="22" t="str">
        <f>HYPERLINK("https://www.ncbi.nlm.nih.gov/nuccore/FR677324","NCBI Nucleotide")</f>
        <v>NCBI Nucleotide</v>
      </c>
    </row>
    <row r="15338" spans="1:27" x14ac:dyDescent="0.35">
      <c r="A15338">
        <v>1012020</v>
      </c>
      <c r="B15338">
        <v>13821</v>
      </c>
      <c r="C15338">
        <v>3</v>
      </c>
      <c r="D15338" t="s">
        <v>35352</v>
      </c>
      <c r="F15338" t="s">
        <v>35353</v>
      </c>
      <c r="H15338" t="s">
        <v>35359</v>
      </c>
      <c r="J15338" t="s">
        <v>35360</v>
      </c>
      <c r="L15338" t="s">
        <v>35519</v>
      </c>
      <c r="N15338" t="s">
        <v>35539</v>
      </c>
      <c r="O15338" t="s">
        <v>35540</v>
      </c>
      <c r="P15338" t="s">
        <v>35579</v>
      </c>
      <c r="R15338" s="26" t="str">
        <f>HYPERLINK("https://ictv.global/taxonomy/taxondetails?taxnode_id=202303737","Ranavirus micropterus1")</f>
        <v>Ranavirus micropterus1</v>
      </c>
      <c r="S15338" t="s">
        <v>8141</v>
      </c>
      <c r="T15338" t="s">
        <v>35642</v>
      </c>
      <c r="U15338" t="s">
        <v>35643</v>
      </c>
      <c r="V15338" t="s">
        <v>35644</v>
      </c>
      <c r="W15338" t="s">
        <v>50201</v>
      </c>
      <c r="X15338" t="s">
        <v>154</v>
      </c>
      <c r="Y15338" t="s">
        <v>36</v>
      </c>
      <c r="Z15338" t="s">
        <v>166</v>
      </c>
      <c r="AA15338" s="22" t="str">
        <f>HYPERLINK("https://www.ncbi.nlm.nih.gov/nuccore/FR677325","NCBI Nucleotide")</f>
        <v>NCBI Nucleotide</v>
      </c>
    </row>
    <row r="15339" spans="1:27" x14ac:dyDescent="0.35">
      <c r="A15339">
        <v>1004231</v>
      </c>
      <c r="B15339">
        <v>13822</v>
      </c>
      <c r="C15339">
        <v>1</v>
      </c>
      <c r="D15339" t="s">
        <v>35352</v>
      </c>
      <c r="F15339" t="s">
        <v>35353</v>
      </c>
      <c r="H15339" t="s">
        <v>35359</v>
      </c>
      <c r="J15339" t="s">
        <v>35360</v>
      </c>
      <c r="L15339" t="s">
        <v>35519</v>
      </c>
      <c r="N15339" t="s">
        <v>35539</v>
      </c>
      <c r="O15339" t="s">
        <v>35540</v>
      </c>
      <c r="P15339" t="s">
        <v>35579</v>
      </c>
      <c r="R15339" s="26" t="str">
        <f>HYPERLINK("https://ictv.global/taxonomy/taxondetails?taxnode_id=202303734","Ranavirus perca1")</f>
        <v>Ranavirus perca1</v>
      </c>
      <c r="S15339" t="s">
        <v>30</v>
      </c>
      <c r="T15339" t="s">
        <v>35599</v>
      </c>
      <c r="U15339" t="s">
        <v>35600</v>
      </c>
      <c r="V15339" t="s">
        <v>13887</v>
      </c>
      <c r="W15339" t="s">
        <v>35601</v>
      </c>
      <c r="X15339" t="s">
        <v>42</v>
      </c>
      <c r="Y15339" t="s">
        <v>36</v>
      </c>
      <c r="Z15339" t="s">
        <v>166</v>
      </c>
      <c r="AA15339" s="22" t="str">
        <f>HYPERLINK("https://www.ncbi.nlm.nih.gov/nuccore/FJ433873","NCBI Nucleotide")</f>
        <v>NCBI Nucleotide</v>
      </c>
    </row>
    <row r="15340" spans="1:27" x14ac:dyDescent="0.35">
      <c r="A15340">
        <v>1012007</v>
      </c>
      <c r="B15340">
        <v>13822</v>
      </c>
      <c r="C15340">
        <v>2</v>
      </c>
      <c r="D15340" t="s">
        <v>35352</v>
      </c>
      <c r="F15340" t="s">
        <v>35353</v>
      </c>
      <c r="H15340" t="s">
        <v>35359</v>
      </c>
      <c r="J15340" t="s">
        <v>35360</v>
      </c>
      <c r="L15340" t="s">
        <v>35519</v>
      </c>
      <c r="N15340" t="s">
        <v>35539</v>
      </c>
      <c r="O15340" t="s">
        <v>35540</v>
      </c>
      <c r="P15340" t="s">
        <v>35579</v>
      </c>
      <c r="R15340" s="26" t="str">
        <f>HYPERLINK("https://ictv.global/taxonomy/taxondetails?taxnode_id=202303734","Ranavirus perca1")</f>
        <v>Ranavirus perca1</v>
      </c>
      <c r="S15340" t="s">
        <v>8141</v>
      </c>
      <c r="T15340" t="s">
        <v>35602</v>
      </c>
      <c r="U15340" t="s">
        <v>35603</v>
      </c>
      <c r="V15340" t="s">
        <v>35604</v>
      </c>
      <c r="W15340" t="s">
        <v>50202</v>
      </c>
      <c r="X15340" t="s">
        <v>42</v>
      </c>
      <c r="Y15340" t="s">
        <v>36</v>
      </c>
      <c r="Z15340" t="s">
        <v>166</v>
      </c>
      <c r="AA15340" s="22" t="str">
        <f>HYPERLINK("https://www.ncbi.nlm.nih.gov/nuccore/KT989885","NCBI Nucleotide")</f>
        <v>NCBI Nucleotide</v>
      </c>
    </row>
    <row r="15341" spans="1:27" x14ac:dyDescent="0.35">
      <c r="A15341">
        <v>1012008</v>
      </c>
      <c r="B15341">
        <v>13822</v>
      </c>
      <c r="C15341">
        <v>3</v>
      </c>
      <c r="D15341" t="s">
        <v>35352</v>
      </c>
      <c r="F15341" t="s">
        <v>35353</v>
      </c>
      <c r="H15341" t="s">
        <v>35359</v>
      </c>
      <c r="J15341" t="s">
        <v>35360</v>
      </c>
      <c r="L15341" t="s">
        <v>35519</v>
      </c>
      <c r="N15341" t="s">
        <v>35539</v>
      </c>
      <c r="O15341" t="s">
        <v>35540</v>
      </c>
      <c r="P15341" t="s">
        <v>35579</v>
      </c>
      <c r="R15341" s="26" t="str">
        <f>HYPERLINK("https://ictv.global/taxonomy/taxondetails?taxnode_id=202303734","Ranavirus perca1")</f>
        <v>Ranavirus perca1</v>
      </c>
      <c r="S15341" t="s">
        <v>8141</v>
      </c>
      <c r="T15341" t="s">
        <v>35605</v>
      </c>
      <c r="U15341" t="s">
        <v>16169</v>
      </c>
      <c r="V15341" t="s">
        <v>35606</v>
      </c>
      <c r="W15341" t="s">
        <v>50203</v>
      </c>
      <c r="X15341" t="s">
        <v>42</v>
      </c>
      <c r="Y15341" t="s">
        <v>36</v>
      </c>
      <c r="Z15341" t="s">
        <v>166</v>
      </c>
      <c r="AA15341" s="22" t="str">
        <f>HYPERLINK("https://www.ncbi.nlm.nih.gov/nuccore/JQ724856","NCBI Nucleotide")</f>
        <v>NCBI Nucleotide</v>
      </c>
    </row>
    <row r="15342" spans="1:27" x14ac:dyDescent="0.35">
      <c r="A15342">
        <v>1004233</v>
      </c>
      <c r="B15342">
        <v>13823</v>
      </c>
      <c r="C15342">
        <v>1</v>
      </c>
      <c r="D15342" t="s">
        <v>35352</v>
      </c>
      <c r="F15342" t="s">
        <v>35353</v>
      </c>
      <c r="H15342" t="s">
        <v>35359</v>
      </c>
      <c r="J15342" t="s">
        <v>35360</v>
      </c>
      <c r="L15342" t="s">
        <v>35519</v>
      </c>
      <c r="N15342" t="s">
        <v>35539</v>
      </c>
      <c r="O15342" t="s">
        <v>35540</v>
      </c>
      <c r="P15342" t="s">
        <v>35579</v>
      </c>
      <c r="R15342" s="26" t="str">
        <f t="shared" ref="R15342:R15353" si="74">HYPERLINK("https://ictv.global/taxonomy/taxondetails?taxnode_id=202303736","Ranavirus rana1")</f>
        <v>Ranavirus rana1</v>
      </c>
      <c r="S15342" t="s">
        <v>30</v>
      </c>
      <c r="T15342" t="s">
        <v>35611</v>
      </c>
      <c r="U15342" t="s">
        <v>35612</v>
      </c>
      <c r="W15342" t="s">
        <v>35613</v>
      </c>
      <c r="X15342" t="s">
        <v>42</v>
      </c>
      <c r="Y15342" t="s">
        <v>36</v>
      </c>
      <c r="Z15342" t="s">
        <v>166</v>
      </c>
      <c r="AA15342" s="22" t="str">
        <f>HYPERLINK("https://www.ncbi.nlm.nih.gov/nuccore/AY548484","NCBI Nucleotide")</f>
        <v>NCBI Nucleotide</v>
      </c>
    </row>
    <row r="15343" spans="1:27" x14ac:dyDescent="0.35">
      <c r="A15343">
        <v>1012015</v>
      </c>
      <c r="B15343">
        <v>13823</v>
      </c>
      <c r="C15343">
        <v>2</v>
      </c>
      <c r="D15343" t="s">
        <v>35352</v>
      </c>
      <c r="F15343" t="s">
        <v>35353</v>
      </c>
      <c r="H15343" t="s">
        <v>35359</v>
      </c>
      <c r="J15343" t="s">
        <v>35360</v>
      </c>
      <c r="L15343" t="s">
        <v>35519</v>
      </c>
      <c r="N15343" t="s">
        <v>35539</v>
      </c>
      <c r="O15343" t="s">
        <v>35540</v>
      </c>
      <c r="P15343" t="s">
        <v>35579</v>
      </c>
      <c r="R15343" s="26" t="str">
        <f t="shared" si="74"/>
        <v>Ranavirus rana1</v>
      </c>
      <c r="S15343" t="s">
        <v>8141</v>
      </c>
      <c r="T15343" t="s">
        <v>35626</v>
      </c>
      <c r="U15343" t="s">
        <v>35172</v>
      </c>
      <c r="V15343" t="s">
        <v>35627</v>
      </c>
      <c r="W15343" t="s">
        <v>50204</v>
      </c>
      <c r="X15343" t="s">
        <v>42</v>
      </c>
      <c r="Y15343" t="s">
        <v>36</v>
      </c>
      <c r="Z15343" t="s">
        <v>166</v>
      </c>
      <c r="AA15343" s="22" t="str">
        <f>HYPERLINK("https://www.ncbi.nlm.nih.gov/nuccore/KX185156","NCBI Nucleotide")</f>
        <v>NCBI Nucleotide</v>
      </c>
    </row>
    <row r="15344" spans="1:27" x14ac:dyDescent="0.35">
      <c r="A15344">
        <v>1012018</v>
      </c>
      <c r="B15344">
        <v>13823</v>
      </c>
      <c r="C15344">
        <v>3</v>
      </c>
      <c r="D15344" t="s">
        <v>35352</v>
      </c>
      <c r="F15344" t="s">
        <v>35353</v>
      </c>
      <c r="H15344" t="s">
        <v>35359</v>
      </c>
      <c r="J15344" t="s">
        <v>35360</v>
      </c>
      <c r="L15344" t="s">
        <v>35519</v>
      </c>
      <c r="N15344" t="s">
        <v>35539</v>
      </c>
      <c r="O15344" t="s">
        <v>35540</v>
      </c>
      <c r="P15344" t="s">
        <v>35579</v>
      </c>
      <c r="R15344" s="26" t="str">
        <f t="shared" si="74"/>
        <v>Ranavirus rana1</v>
      </c>
      <c r="S15344" t="s">
        <v>8141</v>
      </c>
      <c r="T15344" t="s">
        <v>35632</v>
      </c>
      <c r="U15344" t="s">
        <v>35633</v>
      </c>
      <c r="V15344" t="s">
        <v>35634</v>
      </c>
      <c r="W15344" t="s">
        <v>50205</v>
      </c>
      <c r="X15344" t="s">
        <v>42</v>
      </c>
      <c r="Y15344" t="s">
        <v>36</v>
      </c>
      <c r="Z15344" t="s">
        <v>166</v>
      </c>
      <c r="AA15344" s="22" t="str">
        <f>HYPERLINK("https://www.ncbi.nlm.nih.gov/nuccore/KX574342","NCBI Nucleotide")</f>
        <v>NCBI Nucleotide</v>
      </c>
    </row>
    <row r="15345" spans="1:27" x14ac:dyDescent="0.35">
      <c r="A15345">
        <v>1012009</v>
      </c>
      <c r="B15345">
        <v>13823</v>
      </c>
      <c r="C15345">
        <v>4</v>
      </c>
      <c r="D15345" t="s">
        <v>35352</v>
      </c>
      <c r="F15345" t="s">
        <v>35353</v>
      </c>
      <c r="H15345" t="s">
        <v>35359</v>
      </c>
      <c r="J15345" t="s">
        <v>35360</v>
      </c>
      <c r="L15345" t="s">
        <v>35519</v>
      </c>
      <c r="N15345" t="s">
        <v>35539</v>
      </c>
      <c r="O15345" t="s">
        <v>35540</v>
      </c>
      <c r="P15345" t="s">
        <v>35579</v>
      </c>
      <c r="R15345" s="26" t="str">
        <f t="shared" si="74"/>
        <v>Ranavirus rana1</v>
      </c>
      <c r="S15345" t="s">
        <v>8141</v>
      </c>
      <c r="T15345" t="s">
        <v>35611</v>
      </c>
      <c r="U15345" t="s">
        <v>35614</v>
      </c>
      <c r="V15345" t="s">
        <v>35615</v>
      </c>
      <c r="W15345" t="s">
        <v>50206</v>
      </c>
      <c r="X15345" t="s">
        <v>42</v>
      </c>
      <c r="Y15345" t="s">
        <v>36</v>
      </c>
      <c r="Z15345" t="s">
        <v>166</v>
      </c>
      <c r="AA15345" s="22" t="str">
        <f>HYPERLINK("https://www.ncbi.nlm.nih.gov/nuccore/KJ175144","NCBI Nucleotide")</f>
        <v>NCBI Nucleotide</v>
      </c>
    </row>
    <row r="15346" spans="1:27" x14ac:dyDescent="0.35">
      <c r="A15346">
        <v>1012013</v>
      </c>
      <c r="B15346">
        <v>13823</v>
      </c>
      <c r="C15346">
        <v>5</v>
      </c>
      <c r="D15346" t="s">
        <v>35352</v>
      </c>
      <c r="F15346" t="s">
        <v>35353</v>
      </c>
      <c r="H15346" t="s">
        <v>35359</v>
      </c>
      <c r="J15346" t="s">
        <v>35360</v>
      </c>
      <c r="L15346" t="s">
        <v>35519</v>
      </c>
      <c r="N15346" t="s">
        <v>35539</v>
      </c>
      <c r="O15346" t="s">
        <v>35540</v>
      </c>
      <c r="P15346" t="s">
        <v>35579</v>
      </c>
      <c r="R15346" s="26" t="str">
        <f t="shared" si="74"/>
        <v>Ranavirus rana1</v>
      </c>
      <c r="S15346" t="s">
        <v>8141</v>
      </c>
      <c r="T15346" t="s">
        <v>35620</v>
      </c>
      <c r="U15346" t="s">
        <v>35621</v>
      </c>
      <c r="V15346" t="s">
        <v>35622</v>
      </c>
      <c r="W15346" t="s">
        <v>50207</v>
      </c>
      <c r="X15346" t="s">
        <v>42</v>
      </c>
      <c r="Y15346" t="s">
        <v>36</v>
      </c>
      <c r="Z15346" t="s">
        <v>166</v>
      </c>
      <c r="AA15346" s="22" t="str">
        <f>HYPERLINK("https://www.ncbi.nlm.nih.gov/nuccore/KP266742","NCBI Nucleotide")</f>
        <v>NCBI Nucleotide</v>
      </c>
    </row>
    <row r="15347" spans="1:27" x14ac:dyDescent="0.35">
      <c r="A15347">
        <v>1012010</v>
      </c>
      <c r="B15347">
        <v>13823</v>
      </c>
      <c r="C15347">
        <v>6</v>
      </c>
      <c r="D15347" t="s">
        <v>35352</v>
      </c>
      <c r="F15347" t="s">
        <v>35353</v>
      </c>
      <c r="H15347" t="s">
        <v>35359</v>
      </c>
      <c r="J15347" t="s">
        <v>35360</v>
      </c>
      <c r="L15347" t="s">
        <v>35519</v>
      </c>
      <c r="N15347" t="s">
        <v>35539</v>
      </c>
      <c r="O15347" t="s">
        <v>35540</v>
      </c>
      <c r="P15347" t="s">
        <v>35579</v>
      </c>
      <c r="R15347" s="26" t="str">
        <f t="shared" si="74"/>
        <v>Ranavirus rana1</v>
      </c>
      <c r="S15347" t="s">
        <v>8141</v>
      </c>
      <c r="T15347" t="s">
        <v>35616</v>
      </c>
      <c r="U15347" t="s">
        <v>28521</v>
      </c>
      <c r="W15347" t="s">
        <v>50208</v>
      </c>
      <c r="X15347" t="s">
        <v>42</v>
      </c>
      <c r="Y15347" t="s">
        <v>36</v>
      </c>
      <c r="Z15347" t="s">
        <v>166</v>
      </c>
      <c r="AA15347" s="22" t="str">
        <f>HYPERLINK("https://www.ncbi.nlm.nih.gov/nuccore/JQ654586","NCBI Nucleotide")</f>
        <v>NCBI Nucleotide</v>
      </c>
    </row>
    <row r="15348" spans="1:27" x14ac:dyDescent="0.35">
      <c r="A15348">
        <v>1012019</v>
      </c>
      <c r="B15348">
        <v>13823</v>
      </c>
      <c r="C15348">
        <v>7</v>
      </c>
      <c r="D15348" t="s">
        <v>35352</v>
      </c>
      <c r="F15348" t="s">
        <v>35353</v>
      </c>
      <c r="H15348" t="s">
        <v>35359</v>
      </c>
      <c r="J15348" t="s">
        <v>35360</v>
      </c>
      <c r="L15348" t="s">
        <v>35519</v>
      </c>
      <c r="N15348" t="s">
        <v>35539</v>
      </c>
      <c r="O15348" t="s">
        <v>35540</v>
      </c>
      <c r="P15348" t="s">
        <v>35579</v>
      </c>
      <c r="R15348" s="26" t="str">
        <f t="shared" si="74"/>
        <v>Ranavirus rana1</v>
      </c>
      <c r="S15348" t="s">
        <v>8141</v>
      </c>
      <c r="T15348" t="s">
        <v>35635</v>
      </c>
      <c r="U15348" t="s">
        <v>35636</v>
      </c>
      <c r="V15348" t="s">
        <v>35637</v>
      </c>
      <c r="W15348" t="s">
        <v>50209</v>
      </c>
      <c r="X15348" t="s">
        <v>42</v>
      </c>
      <c r="Y15348" t="s">
        <v>36</v>
      </c>
      <c r="Z15348" t="s">
        <v>166</v>
      </c>
      <c r="AA15348" s="22" t="str">
        <f>HYPERLINK("https://www.ncbi.nlm.nih.gov/nuccore/KX574343","NCBI Nucleotide")</f>
        <v>NCBI Nucleotide</v>
      </c>
    </row>
    <row r="15349" spans="1:27" x14ac:dyDescent="0.35">
      <c r="A15349">
        <v>1012017</v>
      </c>
      <c r="B15349">
        <v>13823</v>
      </c>
      <c r="C15349">
        <v>8</v>
      </c>
      <c r="D15349" t="s">
        <v>35352</v>
      </c>
      <c r="F15349" t="s">
        <v>35353</v>
      </c>
      <c r="H15349" t="s">
        <v>35359</v>
      </c>
      <c r="J15349" t="s">
        <v>35360</v>
      </c>
      <c r="L15349" t="s">
        <v>35519</v>
      </c>
      <c r="N15349" t="s">
        <v>35539</v>
      </c>
      <c r="O15349" t="s">
        <v>35540</v>
      </c>
      <c r="P15349" t="s">
        <v>35579</v>
      </c>
      <c r="R15349" s="26" t="str">
        <f t="shared" si="74"/>
        <v>Ranavirus rana1</v>
      </c>
      <c r="S15349" t="s">
        <v>8141</v>
      </c>
      <c r="T15349" t="s">
        <v>35630</v>
      </c>
      <c r="U15349" t="s">
        <v>27156</v>
      </c>
      <c r="V15349" t="s">
        <v>35631</v>
      </c>
      <c r="W15349" t="s">
        <v>50210</v>
      </c>
      <c r="X15349" t="s">
        <v>42</v>
      </c>
      <c r="Y15349" t="s">
        <v>36</v>
      </c>
      <c r="Z15349" t="s">
        <v>166</v>
      </c>
      <c r="AA15349" s="22" t="str">
        <f>HYPERLINK("https://www.ncbi.nlm.nih.gov/nuccore/KX353311","NCBI Nucleotide")</f>
        <v>NCBI Nucleotide</v>
      </c>
    </row>
    <row r="15350" spans="1:27" x14ac:dyDescent="0.35">
      <c r="A15350">
        <v>1012011</v>
      </c>
      <c r="B15350">
        <v>13823</v>
      </c>
      <c r="C15350">
        <v>9</v>
      </c>
      <c r="D15350" t="s">
        <v>35352</v>
      </c>
      <c r="F15350" t="s">
        <v>35353</v>
      </c>
      <c r="H15350" t="s">
        <v>35359</v>
      </c>
      <c r="J15350" t="s">
        <v>35360</v>
      </c>
      <c r="L15350" t="s">
        <v>35519</v>
      </c>
      <c r="N15350" t="s">
        <v>35539</v>
      </c>
      <c r="O15350" t="s">
        <v>35540</v>
      </c>
      <c r="P15350" t="s">
        <v>35579</v>
      </c>
      <c r="R15350" s="26" t="str">
        <f t="shared" si="74"/>
        <v>Ranavirus rana1</v>
      </c>
      <c r="S15350" t="s">
        <v>8141</v>
      </c>
      <c r="T15350" t="s">
        <v>35617</v>
      </c>
      <c r="U15350" t="s">
        <v>35618</v>
      </c>
      <c r="W15350" t="s">
        <v>50211</v>
      </c>
      <c r="X15350" t="s">
        <v>42</v>
      </c>
      <c r="Y15350" t="s">
        <v>36</v>
      </c>
      <c r="Z15350" t="s">
        <v>166</v>
      </c>
      <c r="AA15350" s="22" t="str">
        <f>HYPERLINK("https://www.ncbi.nlm.nih.gov/nuccore/EU627010","NCBI Nucleotide")</f>
        <v>NCBI Nucleotide</v>
      </c>
    </row>
    <row r="15351" spans="1:27" x14ac:dyDescent="0.35">
      <c r="A15351">
        <v>1012012</v>
      </c>
      <c r="B15351">
        <v>13823</v>
      </c>
      <c r="C15351">
        <v>10</v>
      </c>
      <c r="D15351" t="s">
        <v>35352</v>
      </c>
      <c r="F15351" t="s">
        <v>35353</v>
      </c>
      <c r="H15351" t="s">
        <v>35359</v>
      </c>
      <c r="J15351" t="s">
        <v>35360</v>
      </c>
      <c r="L15351" t="s">
        <v>35519</v>
      </c>
      <c r="N15351" t="s">
        <v>35539</v>
      </c>
      <c r="O15351" t="s">
        <v>35540</v>
      </c>
      <c r="P15351" t="s">
        <v>35579</v>
      </c>
      <c r="R15351" s="26" t="str">
        <f t="shared" si="74"/>
        <v>Ranavirus rana1</v>
      </c>
      <c r="S15351" t="s">
        <v>8141</v>
      </c>
      <c r="T15351" t="s">
        <v>35619</v>
      </c>
      <c r="U15351" t="s">
        <v>27904</v>
      </c>
      <c r="W15351" t="s">
        <v>50212</v>
      </c>
      <c r="X15351" t="s">
        <v>42</v>
      </c>
      <c r="Y15351" t="s">
        <v>36</v>
      </c>
      <c r="Z15351" t="s">
        <v>166</v>
      </c>
      <c r="AA15351" s="22" t="str">
        <f>HYPERLINK("https://www.ncbi.nlm.nih.gov/nuccore/AF389451","NCBI Nucleotide")</f>
        <v>NCBI Nucleotide</v>
      </c>
    </row>
    <row r="15352" spans="1:27" x14ac:dyDescent="0.35">
      <c r="A15352">
        <v>1012014</v>
      </c>
      <c r="B15352">
        <v>13823</v>
      </c>
      <c r="C15352">
        <v>11</v>
      </c>
      <c r="D15352" t="s">
        <v>35352</v>
      </c>
      <c r="F15352" t="s">
        <v>35353</v>
      </c>
      <c r="H15352" t="s">
        <v>35359</v>
      </c>
      <c r="J15352" t="s">
        <v>35360</v>
      </c>
      <c r="L15352" t="s">
        <v>35519</v>
      </c>
      <c r="N15352" t="s">
        <v>35539</v>
      </c>
      <c r="O15352" t="s">
        <v>35540</v>
      </c>
      <c r="P15352" t="s">
        <v>35579</v>
      </c>
      <c r="R15352" s="26" t="str">
        <f t="shared" si="74"/>
        <v>Ranavirus rana1</v>
      </c>
      <c r="S15352" t="s">
        <v>8141</v>
      </c>
      <c r="T15352" t="s">
        <v>35623</v>
      </c>
      <c r="U15352" t="s">
        <v>35624</v>
      </c>
      <c r="V15352" t="s">
        <v>35625</v>
      </c>
      <c r="W15352" t="s">
        <v>50213</v>
      </c>
      <c r="X15352" t="s">
        <v>42</v>
      </c>
      <c r="Y15352" t="s">
        <v>36</v>
      </c>
      <c r="Z15352" t="s">
        <v>166</v>
      </c>
      <c r="AA15352" s="22" t="str">
        <f>HYPERLINK("https://www.ncbi.nlm.nih.gov/nuccore/KP266743","NCBI Nucleotide")</f>
        <v>NCBI Nucleotide</v>
      </c>
    </row>
    <row r="15353" spans="1:27" x14ac:dyDescent="0.35">
      <c r="A15353">
        <v>1012016</v>
      </c>
      <c r="B15353">
        <v>13823</v>
      </c>
      <c r="C15353">
        <v>12</v>
      </c>
      <c r="D15353" t="s">
        <v>35352</v>
      </c>
      <c r="F15353" t="s">
        <v>35353</v>
      </c>
      <c r="H15353" t="s">
        <v>35359</v>
      </c>
      <c r="J15353" t="s">
        <v>35360</v>
      </c>
      <c r="L15353" t="s">
        <v>35519</v>
      </c>
      <c r="N15353" t="s">
        <v>35539</v>
      </c>
      <c r="O15353" t="s">
        <v>35540</v>
      </c>
      <c r="P15353" t="s">
        <v>35579</v>
      </c>
      <c r="R15353" s="26" t="str">
        <f t="shared" si="74"/>
        <v>Ranavirus rana1</v>
      </c>
      <c r="S15353" t="s">
        <v>8141</v>
      </c>
      <c r="T15353" t="s">
        <v>35628</v>
      </c>
      <c r="U15353" t="s">
        <v>35629</v>
      </c>
      <c r="V15353">
        <v>40414</v>
      </c>
      <c r="W15353" t="s">
        <v>50214</v>
      </c>
      <c r="X15353" t="s">
        <v>42</v>
      </c>
      <c r="Y15353" t="s">
        <v>36</v>
      </c>
      <c r="Z15353" t="s">
        <v>166</v>
      </c>
      <c r="AA15353" s="22" t="str">
        <f>HYPERLINK("https://www.ncbi.nlm.nih.gov/nuccore/MK227779","NCBI Nucleotide")</f>
        <v>NCBI Nucleotide</v>
      </c>
    </row>
    <row r="15354" spans="1:27" x14ac:dyDescent="0.35">
      <c r="A15354">
        <v>1004239</v>
      </c>
      <c r="B15354">
        <v>13824</v>
      </c>
      <c r="C15354">
        <v>1</v>
      </c>
      <c r="D15354" t="s">
        <v>35352</v>
      </c>
      <c r="F15354" t="s">
        <v>35353</v>
      </c>
      <c r="H15354" t="s">
        <v>35359</v>
      </c>
      <c r="J15354" t="s">
        <v>35360</v>
      </c>
      <c r="L15354" t="s">
        <v>35519</v>
      </c>
      <c r="N15354" t="s">
        <v>35539</v>
      </c>
      <c r="O15354" t="s">
        <v>35651</v>
      </c>
      <c r="P15354" t="s">
        <v>35652</v>
      </c>
      <c r="R15354" s="26" t="str">
        <f>HYPERLINK("https://ictv.global/taxonomy/taxondetails?taxnode_id=202303741","Chloriridovirus aedes1")</f>
        <v>Chloriridovirus aedes1</v>
      </c>
      <c r="S15354" t="s">
        <v>30</v>
      </c>
      <c r="T15354" t="s">
        <v>35667</v>
      </c>
      <c r="U15354" t="s">
        <v>35668</v>
      </c>
      <c r="W15354" t="s">
        <v>35669</v>
      </c>
      <c r="X15354" t="s">
        <v>42</v>
      </c>
      <c r="Y15354" t="s">
        <v>36</v>
      </c>
      <c r="Z15354" t="s">
        <v>10790</v>
      </c>
      <c r="AA15354" s="22" t="str">
        <f>HYPERLINK("https://www.ncbi.nlm.nih.gov/nuccore/DQ643392","NCBI Nucleotide")</f>
        <v>NCBI Nucleotide</v>
      </c>
    </row>
    <row r="15355" spans="1:27" x14ac:dyDescent="0.35">
      <c r="A15355">
        <v>1004236</v>
      </c>
      <c r="B15355">
        <v>13825</v>
      </c>
      <c r="C15355">
        <v>1</v>
      </c>
      <c r="D15355" t="s">
        <v>35352</v>
      </c>
      <c r="F15355" t="s">
        <v>35353</v>
      </c>
      <c r="H15355" t="s">
        <v>35359</v>
      </c>
      <c r="J15355" t="s">
        <v>35360</v>
      </c>
      <c r="L15355" t="s">
        <v>35519</v>
      </c>
      <c r="N15355" t="s">
        <v>35539</v>
      </c>
      <c r="O15355" t="s">
        <v>35651</v>
      </c>
      <c r="P15355" t="s">
        <v>35652</v>
      </c>
      <c r="R15355" s="26" t="str">
        <f>HYPERLINK("https://ictv.global/taxonomy/taxondetails?taxnode_id=202306338","Chloriridovirus anopheles1")</f>
        <v>Chloriridovirus anopheles1</v>
      </c>
      <c r="S15355" t="s">
        <v>30</v>
      </c>
      <c r="T15355" t="s">
        <v>35653</v>
      </c>
      <c r="U15355" t="s">
        <v>35654</v>
      </c>
      <c r="V15355" t="s">
        <v>18410</v>
      </c>
      <c r="W15355" t="s">
        <v>35655</v>
      </c>
      <c r="X15355" t="s">
        <v>42</v>
      </c>
      <c r="Y15355" t="s">
        <v>36</v>
      </c>
      <c r="Z15355" t="s">
        <v>10790</v>
      </c>
      <c r="AA15355" s="22" t="str">
        <f>HYPERLINK("https://www.ncbi.nlm.nih.gov/nuccore/KF938901","NCBI Nucleotide")</f>
        <v>NCBI Nucleotide</v>
      </c>
    </row>
    <row r="15356" spans="1:27" x14ac:dyDescent="0.35">
      <c r="A15356">
        <v>1004237</v>
      </c>
      <c r="B15356">
        <v>13826</v>
      </c>
      <c r="C15356">
        <v>1</v>
      </c>
      <c r="D15356" t="s">
        <v>35352</v>
      </c>
      <c r="F15356" t="s">
        <v>35353</v>
      </c>
      <c r="H15356" t="s">
        <v>35359</v>
      </c>
      <c r="J15356" t="s">
        <v>35360</v>
      </c>
      <c r="L15356" t="s">
        <v>35519</v>
      </c>
      <c r="N15356" t="s">
        <v>35539</v>
      </c>
      <c r="O15356" t="s">
        <v>35651</v>
      </c>
      <c r="P15356" t="s">
        <v>35652</v>
      </c>
      <c r="R15356" s="26" t="str">
        <f>HYPERLINK("https://ictv.global/taxonomy/taxondetails?taxnode_id=202306335","Chloriridovirus simulium1")</f>
        <v>Chloriridovirus simulium1</v>
      </c>
      <c r="S15356" t="s">
        <v>30</v>
      </c>
      <c r="T15356" t="s">
        <v>35656</v>
      </c>
      <c r="U15356" t="s">
        <v>35657</v>
      </c>
      <c r="W15356" t="s">
        <v>35658</v>
      </c>
      <c r="X15356" t="s">
        <v>42</v>
      </c>
      <c r="Y15356" t="s">
        <v>36</v>
      </c>
      <c r="Z15356" t="s">
        <v>10790</v>
      </c>
      <c r="AA15356" s="22" t="str">
        <f>HYPERLINK("https://www.ncbi.nlm.nih.gov/nuccore/HF920633","NCBI Nucleotide")</f>
        <v>NCBI Nucleotide</v>
      </c>
    </row>
    <row r="15357" spans="1:27" x14ac:dyDescent="0.35">
      <c r="A15357">
        <v>1012024</v>
      </c>
      <c r="B15357">
        <v>13826</v>
      </c>
      <c r="C15357">
        <v>2</v>
      </c>
      <c r="D15357" t="s">
        <v>35352</v>
      </c>
      <c r="F15357" t="s">
        <v>35353</v>
      </c>
      <c r="H15357" t="s">
        <v>35359</v>
      </c>
      <c r="J15357" t="s">
        <v>35360</v>
      </c>
      <c r="L15357" t="s">
        <v>35519</v>
      </c>
      <c r="N15357" t="s">
        <v>35539</v>
      </c>
      <c r="O15357" t="s">
        <v>35651</v>
      </c>
      <c r="P15357" t="s">
        <v>35652</v>
      </c>
      <c r="R15357" s="26" t="str">
        <f>HYPERLINK("https://ictv.global/taxonomy/taxondetails?taxnode_id=202306335","Chloriridovirus simulium1")</f>
        <v>Chloriridovirus simulium1</v>
      </c>
      <c r="S15357" t="s">
        <v>8141</v>
      </c>
      <c r="T15357" t="s">
        <v>35662</v>
      </c>
      <c r="U15357" t="s">
        <v>35663</v>
      </c>
      <c r="W15357" t="s">
        <v>50215</v>
      </c>
      <c r="X15357" t="s">
        <v>42</v>
      </c>
      <c r="Y15357" t="s">
        <v>36</v>
      </c>
      <c r="Z15357" t="s">
        <v>10790</v>
      </c>
      <c r="AA15357" s="22" t="str">
        <f>HYPERLINK("https://www.ncbi.nlm.nih.gov/nuccore/HF920636","NCBI Nucleotide")</f>
        <v>NCBI Nucleotide</v>
      </c>
    </row>
    <row r="15358" spans="1:27" x14ac:dyDescent="0.35">
      <c r="A15358">
        <v>1012023</v>
      </c>
      <c r="B15358">
        <v>13826</v>
      </c>
      <c r="C15358">
        <v>3</v>
      </c>
      <c r="D15358" t="s">
        <v>35352</v>
      </c>
      <c r="F15358" t="s">
        <v>35353</v>
      </c>
      <c r="H15358" t="s">
        <v>35359</v>
      </c>
      <c r="J15358" t="s">
        <v>35360</v>
      </c>
      <c r="L15358" t="s">
        <v>35519</v>
      </c>
      <c r="N15358" t="s">
        <v>35539</v>
      </c>
      <c r="O15358" t="s">
        <v>35651</v>
      </c>
      <c r="P15358" t="s">
        <v>35652</v>
      </c>
      <c r="R15358" s="26" t="str">
        <f>HYPERLINK("https://ictv.global/taxonomy/taxondetails?taxnode_id=202306335","Chloriridovirus simulium1")</f>
        <v>Chloriridovirus simulium1</v>
      </c>
      <c r="S15358" t="s">
        <v>8141</v>
      </c>
      <c r="T15358" t="s">
        <v>35659</v>
      </c>
      <c r="U15358" t="s">
        <v>35660</v>
      </c>
      <c r="V15358" t="s">
        <v>35661</v>
      </c>
      <c r="W15358" t="s">
        <v>50216</v>
      </c>
      <c r="X15358" t="s">
        <v>42</v>
      </c>
      <c r="Y15358" t="s">
        <v>36</v>
      </c>
      <c r="Z15358" t="s">
        <v>10790</v>
      </c>
      <c r="AA15358" s="22" t="str">
        <f>HYPERLINK("https://www.ncbi.nlm.nih.gov/nuccore/HF920634","NCBI Nucleotide")</f>
        <v>NCBI Nucleotide</v>
      </c>
    </row>
    <row r="15359" spans="1:27" x14ac:dyDescent="0.35">
      <c r="A15359">
        <v>1004238</v>
      </c>
      <c r="B15359">
        <v>13827</v>
      </c>
      <c r="C15359">
        <v>1</v>
      </c>
      <c r="D15359" t="s">
        <v>35352</v>
      </c>
      <c r="F15359" t="s">
        <v>35353</v>
      </c>
      <c r="H15359" t="s">
        <v>35359</v>
      </c>
      <c r="J15359" t="s">
        <v>35360</v>
      </c>
      <c r="L15359" t="s">
        <v>35519</v>
      </c>
      <c r="N15359" t="s">
        <v>35539</v>
      </c>
      <c r="O15359" t="s">
        <v>35651</v>
      </c>
      <c r="P15359" t="s">
        <v>35652</v>
      </c>
      <c r="R15359" s="26" t="str">
        <f>HYPERLINK("https://ictv.global/taxonomy/taxondetails?taxnode_id=202306337","Chloriridovirus simulium2")</f>
        <v>Chloriridovirus simulium2</v>
      </c>
      <c r="S15359" t="s">
        <v>30</v>
      </c>
      <c r="T15359" t="s">
        <v>35664</v>
      </c>
      <c r="U15359" t="s">
        <v>35665</v>
      </c>
      <c r="W15359" t="s">
        <v>35666</v>
      </c>
      <c r="X15359" t="s">
        <v>42</v>
      </c>
      <c r="Y15359" t="s">
        <v>36</v>
      </c>
      <c r="Z15359" t="s">
        <v>10790</v>
      </c>
      <c r="AA15359" s="22" t="str">
        <f>HYPERLINK("https://www.ncbi.nlm.nih.gov/nuccore/HF920635","NCBI Nucleotide")</f>
        <v>NCBI Nucleotide</v>
      </c>
    </row>
    <row r="15360" spans="1:27" x14ac:dyDescent="0.35">
      <c r="A15360">
        <v>1004240</v>
      </c>
      <c r="B15360">
        <v>13828</v>
      </c>
      <c r="C15360">
        <v>1</v>
      </c>
      <c r="D15360" t="s">
        <v>35352</v>
      </c>
      <c r="F15360" t="s">
        <v>35353</v>
      </c>
      <c r="H15360" t="s">
        <v>35359</v>
      </c>
      <c r="J15360" t="s">
        <v>35360</v>
      </c>
      <c r="L15360" t="s">
        <v>35519</v>
      </c>
      <c r="N15360" t="s">
        <v>35539</v>
      </c>
      <c r="O15360" t="s">
        <v>35651</v>
      </c>
      <c r="P15360" t="s">
        <v>35652</v>
      </c>
      <c r="R15360" s="26" t="str">
        <f>HYPERLINK("https://ictv.global/taxonomy/taxondetails?taxnode_id=202306336","Chloriridovirus wiseana1")</f>
        <v>Chloriridovirus wiseana1</v>
      </c>
      <c r="S15360" t="s">
        <v>30</v>
      </c>
      <c r="T15360" t="s">
        <v>35670</v>
      </c>
      <c r="U15360" t="s">
        <v>35671</v>
      </c>
      <c r="W15360" t="s">
        <v>35672</v>
      </c>
      <c r="X15360" t="s">
        <v>42</v>
      </c>
      <c r="Y15360" t="s">
        <v>36</v>
      </c>
      <c r="Z15360" t="s">
        <v>10790</v>
      </c>
      <c r="AA15360" s="22" t="str">
        <f>HYPERLINK("https://www.ncbi.nlm.nih.gov/nuccore/GQ918152","NCBI Nucleotide")</f>
        <v>NCBI Nucleotide</v>
      </c>
    </row>
    <row r="15361" spans="1:27" x14ac:dyDescent="0.35">
      <c r="A15361">
        <v>1004241</v>
      </c>
      <c r="B15361">
        <v>13829</v>
      </c>
      <c r="C15361">
        <v>1</v>
      </c>
      <c r="D15361" t="s">
        <v>35352</v>
      </c>
      <c r="F15361" t="s">
        <v>35353</v>
      </c>
      <c r="H15361" t="s">
        <v>35359</v>
      </c>
      <c r="J15361" t="s">
        <v>35360</v>
      </c>
      <c r="L15361" t="s">
        <v>35519</v>
      </c>
      <c r="N15361" t="s">
        <v>35539</v>
      </c>
      <c r="O15361" t="s">
        <v>35651</v>
      </c>
      <c r="P15361" t="s">
        <v>35673</v>
      </c>
      <c r="R15361" s="26" t="str">
        <f>HYPERLINK("https://ictv.global/taxonomy/taxondetails?taxnode_id=202309576","Daphniairidovirus daphnia1")</f>
        <v>Daphniairidovirus daphnia1</v>
      </c>
      <c r="S15361" t="s">
        <v>30</v>
      </c>
      <c r="T15361" t="s">
        <v>35674</v>
      </c>
      <c r="U15361" t="s">
        <v>35675</v>
      </c>
      <c r="W15361" t="s">
        <v>35676</v>
      </c>
      <c r="X15361" t="s">
        <v>42</v>
      </c>
      <c r="Y15361" t="s">
        <v>36</v>
      </c>
      <c r="Z15361" t="s">
        <v>10790</v>
      </c>
      <c r="AA15361" s="22" t="str">
        <f>HYPERLINK("https://www.ncbi.nlm.nih.gov/nuccore/LS484712","NCBI Nucleotide")</f>
        <v>NCBI Nucleotide</v>
      </c>
    </row>
    <row r="15362" spans="1:27" x14ac:dyDescent="0.35">
      <c r="A15362">
        <v>1004242</v>
      </c>
      <c r="B15362">
        <v>13830</v>
      </c>
      <c r="C15362">
        <v>1</v>
      </c>
      <c r="D15362" t="s">
        <v>35352</v>
      </c>
      <c r="F15362" t="s">
        <v>35353</v>
      </c>
      <c r="H15362" t="s">
        <v>35359</v>
      </c>
      <c r="J15362" t="s">
        <v>35360</v>
      </c>
      <c r="L15362" t="s">
        <v>35519</v>
      </c>
      <c r="N15362" t="s">
        <v>35539</v>
      </c>
      <c r="O15362" t="s">
        <v>35651</v>
      </c>
      <c r="P15362" t="s">
        <v>35677</v>
      </c>
      <c r="R15362" s="26" t="str">
        <f>HYPERLINK("https://ictv.global/taxonomy/taxondetails?taxnode_id=202306295","Decapodiridovirus litopenaeus1")</f>
        <v>Decapodiridovirus litopenaeus1</v>
      </c>
      <c r="S15362" t="s">
        <v>30</v>
      </c>
      <c r="T15362" t="s">
        <v>35678</v>
      </c>
      <c r="U15362" t="s">
        <v>35679</v>
      </c>
      <c r="V15362">
        <v>20141215</v>
      </c>
      <c r="W15362" t="s">
        <v>35680</v>
      </c>
      <c r="X15362" t="s">
        <v>42</v>
      </c>
      <c r="Y15362" t="s">
        <v>36</v>
      </c>
      <c r="Z15362" t="s">
        <v>10790</v>
      </c>
      <c r="AA15362" s="22" t="str">
        <f>HYPERLINK("https://www.ncbi.nlm.nih.gov/nuccore/MF599468","NCBI Nucleotide")</f>
        <v>NCBI Nucleotide</v>
      </c>
    </row>
    <row r="15363" spans="1:27" x14ac:dyDescent="0.35">
      <c r="A15363">
        <v>1012025</v>
      </c>
      <c r="B15363">
        <v>13830</v>
      </c>
      <c r="C15363">
        <v>2</v>
      </c>
      <c r="D15363" t="s">
        <v>35352</v>
      </c>
      <c r="F15363" t="s">
        <v>35353</v>
      </c>
      <c r="H15363" t="s">
        <v>35359</v>
      </c>
      <c r="J15363" t="s">
        <v>35360</v>
      </c>
      <c r="L15363" t="s">
        <v>35519</v>
      </c>
      <c r="N15363" t="s">
        <v>35539</v>
      </c>
      <c r="O15363" t="s">
        <v>35651</v>
      </c>
      <c r="P15363" t="s">
        <v>35677</v>
      </c>
      <c r="R15363" s="26" t="str">
        <f>HYPERLINK("https://ictv.global/taxonomy/taxondetails?taxnode_id=202306295","Decapodiridovirus litopenaeus1")</f>
        <v>Decapodiridovirus litopenaeus1</v>
      </c>
      <c r="S15363" t="s">
        <v>8141</v>
      </c>
      <c r="T15363" t="s">
        <v>35681</v>
      </c>
      <c r="U15363" t="s">
        <v>27591</v>
      </c>
      <c r="V15363" t="s">
        <v>35682</v>
      </c>
      <c r="W15363" t="s">
        <v>50217</v>
      </c>
      <c r="X15363" t="s">
        <v>42</v>
      </c>
      <c r="Y15363" t="s">
        <v>36</v>
      </c>
      <c r="Z15363" t="s">
        <v>10790</v>
      </c>
      <c r="AA15363" s="22" t="str">
        <f>HYPERLINK("https://www.ncbi.nlm.nih.gov/nuccore/MF197913","NCBI Nucleotide")</f>
        <v>NCBI Nucleotide</v>
      </c>
    </row>
    <row r="15364" spans="1:27" x14ac:dyDescent="0.35">
      <c r="A15364">
        <v>1004243</v>
      </c>
      <c r="B15364">
        <v>13831</v>
      </c>
      <c r="C15364">
        <v>1</v>
      </c>
      <c r="D15364" t="s">
        <v>35352</v>
      </c>
      <c r="F15364" t="s">
        <v>35353</v>
      </c>
      <c r="H15364" t="s">
        <v>35359</v>
      </c>
      <c r="J15364" t="s">
        <v>35360</v>
      </c>
      <c r="L15364" t="s">
        <v>35519</v>
      </c>
      <c r="N15364" t="s">
        <v>35539</v>
      </c>
      <c r="O15364" t="s">
        <v>35651</v>
      </c>
      <c r="P15364" t="s">
        <v>35683</v>
      </c>
      <c r="R15364" s="26" t="str">
        <f>HYPERLINK("https://ictv.global/taxonomy/taxondetails?taxnode_id=202306334","Iridovirus armadillidium1")</f>
        <v>Iridovirus armadillidium1</v>
      </c>
      <c r="S15364" t="s">
        <v>30</v>
      </c>
      <c r="T15364" t="s">
        <v>35684</v>
      </c>
      <c r="U15364" t="s">
        <v>35685</v>
      </c>
      <c r="W15364" t="s">
        <v>35686</v>
      </c>
      <c r="X15364" t="s">
        <v>42</v>
      </c>
      <c r="Y15364" t="s">
        <v>36</v>
      </c>
      <c r="Z15364" t="s">
        <v>10790</v>
      </c>
      <c r="AA15364" s="22" t="str">
        <f>HYPERLINK("https://www.ncbi.nlm.nih.gov/nuccore/HF920637","NCBI Nucleotide")</f>
        <v>NCBI Nucleotide</v>
      </c>
    </row>
    <row r="15365" spans="1:27" x14ac:dyDescent="0.35">
      <c r="A15365">
        <v>1004244</v>
      </c>
      <c r="B15365">
        <v>13832</v>
      </c>
      <c r="C15365">
        <v>1</v>
      </c>
      <c r="D15365" t="s">
        <v>35352</v>
      </c>
      <c r="F15365" t="s">
        <v>35353</v>
      </c>
      <c r="H15365" t="s">
        <v>35359</v>
      </c>
      <c r="J15365" t="s">
        <v>35360</v>
      </c>
      <c r="L15365" t="s">
        <v>35519</v>
      </c>
      <c r="N15365" t="s">
        <v>35539</v>
      </c>
      <c r="O15365" t="s">
        <v>35651</v>
      </c>
      <c r="P15365" t="s">
        <v>35683</v>
      </c>
      <c r="R15365" s="26" t="str">
        <f>HYPERLINK("https://ictv.global/taxonomy/taxondetails?taxnode_id=202303744","Iridovirus chilo1")</f>
        <v>Iridovirus chilo1</v>
      </c>
      <c r="S15365" t="s">
        <v>30</v>
      </c>
      <c r="T15365" t="s">
        <v>35687</v>
      </c>
      <c r="U15365" t="s">
        <v>35688</v>
      </c>
      <c r="W15365" t="s">
        <v>35689</v>
      </c>
      <c r="X15365" t="s">
        <v>42</v>
      </c>
      <c r="Y15365" t="s">
        <v>36</v>
      </c>
      <c r="Z15365" t="s">
        <v>10790</v>
      </c>
      <c r="AA15365" s="22" t="str">
        <f>HYPERLINK("https://www.ncbi.nlm.nih.gov/nuccore/AF303741","NCBI Nucleotide")</f>
        <v>NCBI Nucleotide</v>
      </c>
    </row>
    <row r="15366" spans="1:27" x14ac:dyDescent="0.35">
      <c r="A15366">
        <v>1004247</v>
      </c>
      <c r="B15366">
        <v>13833</v>
      </c>
      <c r="C15366">
        <v>1</v>
      </c>
      <c r="D15366" t="s">
        <v>35352</v>
      </c>
      <c r="F15366" t="s">
        <v>35353</v>
      </c>
      <c r="H15366" t="s">
        <v>35359</v>
      </c>
      <c r="J15366" t="s">
        <v>35360</v>
      </c>
      <c r="L15366" t="s">
        <v>35519</v>
      </c>
      <c r="N15366" t="s">
        <v>35690</v>
      </c>
      <c r="P15366" t="s">
        <v>47710</v>
      </c>
      <c r="R15366" s="26" t="str">
        <f>HYPERLINK("https://ictv.global/taxonomy/taxondetails?taxnode_id=202303805","Losannavirus lausannense")</f>
        <v>Losannavirus lausannense</v>
      </c>
      <c r="S15366" t="s">
        <v>30</v>
      </c>
      <c r="T15366" t="s">
        <v>35691</v>
      </c>
      <c r="U15366" t="s">
        <v>30234</v>
      </c>
      <c r="V15366">
        <v>7715</v>
      </c>
      <c r="W15366" t="s">
        <v>35692</v>
      </c>
      <c r="X15366" t="s">
        <v>42</v>
      </c>
      <c r="Y15366" t="s">
        <v>36</v>
      </c>
      <c r="Z15366" t="s">
        <v>17496</v>
      </c>
      <c r="AA15366" s="22" t="str">
        <f>HYPERLINK("https://www.ncbi.nlm.nih.gov/nuccore/HQ113105","NCBI Nucleotide")</f>
        <v>NCBI Nucleotide</v>
      </c>
    </row>
    <row r="15367" spans="1:27" x14ac:dyDescent="0.35">
      <c r="A15367">
        <v>1004248</v>
      </c>
      <c r="B15367">
        <v>13834</v>
      </c>
      <c r="C15367">
        <v>1</v>
      </c>
      <c r="D15367" t="s">
        <v>35352</v>
      </c>
      <c r="F15367" t="s">
        <v>35353</v>
      </c>
      <c r="H15367" t="s">
        <v>35359</v>
      </c>
      <c r="J15367" t="s">
        <v>35360</v>
      </c>
      <c r="L15367" t="s">
        <v>35519</v>
      </c>
      <c r="N15367" t="s">
        <v>35690</v>
      </c>
      <c r="P15367" t="s">
        <v>47710</v>
      </c>
      <c r="R15367" s="26" t="str">
        <f>HYPERLINK("https://ictv.global/taxonomy/taxondetails?taxnode_id=202303806","Losannavirus tunisense")</f>
        <v>Losannavirus tunisense</v>
      </c>
      <c r="S15367" t="s">
        <v>30</v>
      </c>
      <c r="T15367" t="s">
        <v>35693</v>
      </c>
      <c r="U15367" t="s">
        <v>12833</v>
      </c>
      <c r="V15367" t="s">
        <v>35694</v>
      </c>
      <c r="W15367" t="s">
        <v>35695</v>
      </c>
      <c r="X15367" t="s">
        <v>42</v>
      </c>
      <c r="Y15367" t="s">
        <v>36</v>
      </c>
      <c r="Z15367" t="s">
        <v>17496</v>
      </c>
      <c r="AA15367" s="22" t="str">
        <f>HYPERLINK("https://www.ncbi.nlm.nih.gov/nuccore/KF483846","NCBI Nucleotide")</f>
        <v>NCBI Nucleotide</v>
      </c>
    </row>
    <row r="15368" spans="1:27" x14ac:dyDescent="0.35">
      <c r="A15368">
        <v>1004245</v>
      </c>
      <c r="B15368">
        <v>13835</v>
      </c>
      <c r="C15368">
        <v>1</v>
      </c>
      <c r="D15368" t="s">
        <v>35352</v>
      </c>
      <c r="F15368" t="s">
        <v>35353</v>
      </c>
      <c r="H15368" t="s">
        <v>35359</v>
      </c>
      <c r="J15368" t="s">
        <v>35360</v>
      </c>
      <c r="L15368" t="s">
        <v>35519</v>
      </c>
      <c r="N15368" t="s">
        <v>35690</v>
      </c>
      <c r="P15368" t="s">
        <v>35696</v>
      </c>
      <c r="R15368" s="26" t="str">
        <f>HYPERLINK("https://ictv.global/taxonomy/taxondetails?taxnode_id=202303802","Marseillevirus massiliense")</f>
        <v>Marseillevirus massiliense</v>
      </c>
      <c r="S15368" t="s">
        <v>30</v>
      </c>
      <c r="T15368" t="s">
        <v>35697</v>
      </c>
      <c r="U15368" t="s">
        <v>35698</v>
      </c>
      <c r="V15368" t="s">
        <v>35699</v>
      </c>
      <c r="W15368" t="s">
        <v>35700</v>
      </c>
      <c r="X15368" t="s">
        <v>42</v>
      </c>
      <c r="Y15368" t="s">
        <v>36</v>
      </c>
      <c r="Z15368" t="s">
        <v>17496</v>
      </c>
      <c r="AA15368" s="22" t="str">
        <f>HYPERLINK("https://www.ncbi.nlm.nih.gov/nuccore/GU071086","NCBI Nucleotide")</f>
        <v>NCBI Nucleotide</v>
      </c>
    </row>
    <row r="15369" spans="1:27" x14ac:dyDescent="0.35">
      <c r="A15369">
        <v>1004246</v>
      </c>
      <c r="B15369">
        <v>13836</v>
      </c>
      <c r="C15369">
        <v>1</v>
      </c>
      <c r="D15369" t="s">
        <v>35352</v>
      </c>
      <c r="F15369" t="s">
        <v>35353</v>
      </c>
      <c r="H15369" t="s">
        <v>35359</v>
      </c>
      <c r="J15369" t="s">
        <v>35360</v>
      </c>
      <c r="L15369" t="s">
        <v>35519</v>
      </c>
      <c r="N15369" t="s">
        <v>35690</v>
      </c>
      <c r="P15369" t="s">
        <v>35696</v>
      </c>
      <c r="R15369" s="26" t="str">
        <f>HYPERLINK("https://ictv.global/taxonomy/taxondetails?taxnode_id=202303803","Marseillevirus senegalense")</f>
        <v>Marseillevirus senegalense</v>
      </c>
      <c r="S15369" t="s">
        <v>30</v>
      </c>
      <c r="T15369" t="s">
        <v>35701</v>
      </c>
      <c r="U15369" t="s">
        <v>35702</v>
      </c>
      <c r="V15369" t="s">
        <v>35703</v>
      </c>
      <c r="W15369" t="s">
        <v>35704</v>
      </c>
      <c r="X15369" t="s">
        <v>154</v>
      </c>
      <c r="Y15369" t="s">
        <v>36</v>
      </c>
      <c r="Z15369" t="s">
        <v>17496</v>
      </c>
      <c r="AA15369" s="22" t="str">
        <f>HYPERLINK("https://www.ncbi.nlm.nih.gov/nuccore/JF909596,JF909597,JF909598,JF909599,JF909600,JF909601","NCBI Nucleotide")</f>
        <v>NCBI Nucleotide</v>
      </c>
    </row>
    <row r="15370" spans="1:27" x14ac:dyDescent="0.35">
      <c r="A15370">
        <v>1024669</v>
      </c>
      <c r="B15370">
        <v>13837</v>
      </c>
      <c r="C15370">
        <v>1</v>
      </c>
      <c r="D15370" t="s">
        <v>35352</v>
      </c>
      <c r="F15370" t="s">
        <v>35353</v>
      </c>
      <c r="H15370" t="s">
        <v>35359</v>
      </c>
      <c r="J15370" t="s">
        <v>35360</v>
      </c>
      <c r="L15370" t="s">
        <v>35519</v>
      </c>
      <c r="N15370" t="s">
        <v>47711</v>
      </c>
      <c r="P15370" t="s">
        <v>47712</v>
      </c>
      <c r="R15370" s="26" t="str">
        <f>HYPERLINK("https://ictv.global/taxonomy/taxondetails?taxnode_id=202318023","Alphaorpheovirus massiliense")</f>
        <v>Alphaorpheovirus massiliense</v>
      </c>
      <c r="S15370" t="s">
        <v>30</v>
      </c>
      <c r="T15370" t="s">
        <v>47713</v>
      </c>
      <c r="U15370" t="s">
        <v>47714</v>
      </c>
      <c r="W15370" t="s">
        <v>47715</v>
      </c>
      <c r="X15370" t="s">
        <v>42</v>
      </c>
      <c r="Y15370" t="s">
        <v>36</v>
      </c>
      <c r="Z15370" t="s">
        <v>17496</v>
      </c>
      <c r="AA15370" s="22" t="str">
        <f>HYPERLINK("https://www.ncbi.nlm.nih.gov/nuccore/LT906555","NCBI Nucleotide")</f>
        <v>NCBI Nucleotide</v>
      </c>
    </row>
    <row r="15371" spans="1:27" x14ac:dyDescent="0.35">
      <c r="A15371">
        <v>1024670</v>
      </c>
      <c r="B15371">
        <v>13838</v>
      </c>
      <c r="C15371">
        <v>1</v>
      </c>
      <c r="D15371" t="s">
        <v>35352</v>
      </c>
      <c r="F15371" t="s">
        <v>35353</v>
      </c>
      <c r="H15371" t="s">
        <v>35359</v>
      </c>
      <c r="J15371" t="s">
        <v>35360</v>
      </c>
      <c r="L15371" t="s">
        <v>35519</v>
      </c>
      <c r="N15371" t="s">
        <v>47716</v>
      </c>
      <c r="P15371" t="s">
        <v>47717</v>
      </c>
      <c r="R15371" s="26" t="str">
        <f>HYPERLINK("https://ictv.global/taxonomy/taxondetails?taxnode_id=202318024","Alphapithovirus massiliense")</f>
        <v>Alphapithovirus massiliense</v>
      </c>
      <c r="S15371" t="s">
        <v>30</v>
      </c>
      <c r="T15371" t="s">
        <v>47718</v>
      </c>
      <c r="U15371" t="s">
        <v>47719</v>
      </c>
      <c r="V15371" t="s">
        <v>51002</v>
      </c>
      <c r="W15371" t="s">
        <v>51001</v>
      </c>
      <c r="X15371" t="s">
        <v>42</v>
      </c>
      <c r="Y15371" t="s">
        <v>36</v>
      </c>
      <c r="Z15371" t="s">
        <v>17496</v>
      </c>
      <c r="AA15371" s="22" t="str">
        <f>HYPERLINK("https://www.ncbi.nlm.nih.gov/nuccore/LT598836","NCBI Nucleotide")</f>
        <v>NCBI Nucleotide</v>
      </c>
    </row>
    <row r="15372" spans="1:27" x14ac:dyDescent="0.35">
      <c r="A15372">
        <v>1024671</v>
      </c>
      <c r="B15372">
        <v>13839</v>
      </c>
      <c r="C15372">
        <v>1</v>
      </c>
      <c r="D15372" t="s">
        <v>35352</v>
      </c>
      <c r="F15372" t="s">
        <v>35353</v>
      </c>
      <c r="H15372" t="s">
        <v>35359</v>
      </c>
      <c r="J15372" t="s">
        <v>35360</v>
      </c>
      <c r="L15372" t="s">
        <v>35519</v>
      </c>
      <c r="N15372" t="s">
        <v>47716</v>
      </c>
      <c r="P15372" t="s">
        <v>47717</v>
      </c>
      <c r="R15372" s="26" t="str">
        <f>HYPERLINK("https://ictv.global/taxonomy/taxondetails?taxnode_id=202318025","Alphapithovirus sibericum")</f>
        <v>Alphapithovirus sibericum</v>
      </c>
      <c r="S15372" t="s">
        <v>30</v>
      </c>
      <c r="T15372" t="s">
        <v>47720</v>
      </c>
      <c r="U15372" t="s">
        <v>47721</v>
      </c>
      <c r="V15372" t="s">
        <v>50750</v>
      </c>
      <c r="W15372" t="s">
        <v>47722</v>
      </c>
      <c r="X15372" t="s">
        <v>42</v>
      </c>
      <c r="Y15372" t="s">
        <v>36</v>
      </c>
      <c r="Z15372" t="s">
        <v>17496</v>
      </c>
      <c r="AA15372" s="22" t="str">
        <f>HYPERLINK("https://www.ncbi.nlm.nih.gov/nuccore/KF740664","NCBI Nucleotide")</f>
        <v>NCBI Nucleotide</v>
      </c>
    </row>
    <row r="15373" spans="1:27" x14ac:dyDescent="0.35">
      <c r="A15373">
        <v>1004249</v>
      </c>
      <c r="B15373">
        <v>13840</v>
      </c>
      <c r="C15373">
        <v>1</v>
      </c>
      <c r="D15373" t="s">
        <v>35352</v>
      </c>
      <c r="F15373" t="s">
        <v>35353</v>
      </c>
      <c r="H15373" t="s">
        <v>35359</v>
      </c>
      <c r="J15373" t="s">
        <v>35360</v>
      </c>
      <c r="N15373" t="s">
        <v>35361</v>
      </c>
      <c r="P15373" t="s">
        <v>35362</v>
      </c>
      <c r="R15373" s="26" t="str">
        <f>HYPERLINK("https://ictv.global/taxonomy/taxondetails?taxnode_id=202315061","Medusavirus medusae")</f>
        <v>Medusavirus medusae</v>
      </c>
      <c r="S15373" t="s">
        <v>30</v>
      </c>
      <c r="T15373" t="s">
        <v>35363</v>
      </c>
      <c r="U15373" t="s">
        <v>35364</v>
      </c>
      <c r="V15373" t="s">
        <v>18461</v>
      </c>
      <c r="W15373" t="s">
        <v>35365</v>
      </c>
      <c r="X15373" t="s">
        <v>42</v>
      </c>
      <c r="Y15373" t="s">
        <v>36</v>
      </c>
      <c r="Z15373" t="s">
        <v>17496</v>
      </c>
      <c r="AA15373" s="22" t="str">
        <f>HYPERLINK("https://www.ncbi.nlm.nih.gov/nuccore/AP018495","NCBI Nucleotide")</f>
        <v>NCBI Nucleotide</v>
      </c>
    </row>
    <row r="15374" spans="1:27" x14ac:dyDescent="0.35">
      <c r="A15374">
        <v>1004250</v>
      </c>
      <c r="B15374">
        <v>13841</v>
      </c>
      <c r="C15374">
        <v>1</v>
      </c>
      <c r="D15374" t="s">
        <v>35352</v>
      </c>
      <c r="F15374" t="s">
        <v>35353</v>
      </c>
      <c r="H15374" t="s">
        <v>35359</v>
      </c>
      <c r="J15374" t="s">
        <v>35360</v>
      </c>
      <c r="N15374" t="s">
        <v>35361</v>
      </c>
      <c r="P15374" t="s">
        <v>35362</v>
      </c>
      <c r="R15374" s="26" t="str">
        <f>HYPERLINK("https://ictv.global/taxonomy/taxondetails?taxnode_id=202315062","Medusavirus sthenus")</f>
        <v>Medusavirus sthenus</v>
      </c>
      <c r="S15374" t="s">
        <v>30</v>
      </c>
      <c r="T15374" t="s">
        <v>35366</v>
      </c>
      <c r="U15374" t="s">
        <v>35367</v>
      </c>
      <c r="V15374" t="s">
        <v>35368</v>
      </c>
      <c r="W15374" t="s">
        <v>35369</v>
      </c>
      <c r="X15374" t="s">
        <v>42</v>
      </c>
      <c r="Y15374" t="s">
        <v>36</v>
      </c>
      <c r="Z15374" t="s">
        <v>17496</v>
      </c>
      <c r="AA15374" s="22" t="str">
        <f>HYPERLINK("https://www.ncbi.nlm.nih.gov/nuccore/MW018138","NCBI Nucleotide")</f>
        <v>NCBI Nucleotide</v>
      </c>
    </row>
    <row r="15375" spans="1:27" x14ac:dyDescent="0.35">
      <c r="A15375">
        <v>1004251</v>
      </c>
      <c r="B15375">
        <v>13842</v>
      </c>
      <c r="C15375">
        <v>1</v>
      </c>
      <c r="D15375" t="s">
        <v>35352</v>
      </c>
      <c r="F15375" t="s">
        <v>35353</v>
      </c>
      <c r="H15375" t="s">
        <v>35359</v>
      </c>
      <c r="J15375" t="s">
        <v>35705</v>
      </c>
      <c r="L15375" t="s">
        <v>35706</v>
      </c>
      <c r="N15375" t="s">
        <v>35707</v>
      </c>
      <c r="P15375" t="s">
        <v>35708</v>
      </c>
      <c r="R15375" s="26" t="str">
        <f t="shared" ref="R15375:R15394" si="75">HYPERLINK("https://ictv.global/taxonomy/taxondetails?taxnode_id=202302618","African swine fever virus")</f>
        <v>African swine fever virus</v>
      </c>
      <c r="S15375" t="s">
        <v>30</v>
      </c>
      <c r="T15375" t="s">
        <v>35709</v>
      </c>
      <c r="U15375" t="s">
        <v>35710</v>
      </c>
      <c r="V15375" t="s">
        <v>35711</v>
      </c>
      <c r="W15375" t="s">
        <v>35712</v>
      </c>
      <c r="X15375" t="s">
        <v>42</v>
      </c>
      <c r="Y15375" t="s">
        <v>36</v>
      </c>
      <c r="Z15375" t="s">
        <v>12289</v>
      </c>
      <c r="AA15375" s="22" t="str">
        <f>HYPERLINK("https://www.ncbi.nlm.nih.gov/nuccore/U18466","NCBI Nucleotide")</f>
        <v>NCBI Nucleotide</v>
      </c>
    </row>
    <row r="15376" spans="1:27" x14ac:dyDescent="0.35">
      <c r="A15376">
        <v>1012026</v>
      </c>
      <c r="B15376">
        <v>13842</v>
      </c>
      <c r="C15376">
        <v>2</v>
      </c>
      <c r="D15376" t="s">
        <v>35352</v>
      </c>
      <c r="F15376" t="s">
        <v>35353</v>
      </c>
      <c r="H15376" t="s">
        <v>35359</v>
      </c>
      <c r="J15376" t="s">
        <v>35705</v>
      </c>
      <c r="L15376" t="s">
        <v>35706</v>
      </c>
      <c r="N15376" t="s">
        <v>35707</v>
      </c>
      <c r="P15376" t="s">
        <v>35708</v>
      </c>
      <c r="R15376" s="26" t="str">
        <f t="shared" si="75"/>
        <v>African swine fever virus</v>
      </c>
      <c r="S15376" t="s">
        <v>8141</v>
      </c>
      <c r="T15376" t="s">
        <v>35709</v>
      </c>
      <c r="V15376" t="s">
        <v>35713</v>
      </c>
      <c r="W15376" t="s">
        <v>50218</v>
      </c>
      <c r="X15376" t="s">
        <v>42</v>
      </c>
      <c r="Y15376" t="s">
        <v>36</v>
      </c>
      <c r="Z15376" t="s">
        <v>12289</v>
      </c>
      <c r="AA15376" s="22" t="str">
        <f>HYPERLINK("https://www.ncbi.nlm.nih.gov/nuccore/FN557520","NCBI Nucleotide")</f>
        <v>NCBI Nucleotide</v>
      </c>
    </row>
    <row r="15377" spans="1:27" x14ac:dyDescent="0.35">
      <c r="A15377">
        <v>1012027</v>
      </c>
      <c r="B15377">
        <v>13842</v>
      </c>
      <c r="C15377">
        <v>3</v>
      </c>
      <c r="D15377" t="s">
        <v>35352</v>
      </c>
      <c r="F15377" t="s">
        <v>35353</v>
      </c>
      <c r="H15377" t="s">
        <v>35359</v>
      </c>
      <c r="J15377" t="s">
        <v>35705</v>
      </c>
      <c r="L15377" t="s">
        <v>35706</v>
      </c>
      <c r="N15377" t="s">
        <v>35707</v>
      </c>
      <c r="P15377" t="s">
        <v>35708</v>
      </c>
      <c r="R15377" s="26" t="str">
        <f t="shared" si="75"/>
        <v>African swine fever virus</v>
      </c>
      <c r="S15377" t="s">
        <v>8141</v>
      </c>
      <c r="T15377" t="s">
        <v>35709</v>
      </c>
      <c r="U15377" t="s">
        <v>35710</v>
      </c>
      <c r="V15377" t="s">
        <v>35714</v>
      </c>
      <c r="W15377" t="s">
        <v>50219</v>
      </c>
      <c r="X15377" t="s">
        <v>42</v>
      </c>
      <c r="Y15377" t="s">
        <v>36</v>
      </c>
      <c r="Z15377" t="s">
        <v>12289</v>
      </c>
      <c r="AA15377" s="22" t="str">
        <f>HYPERLINK("https://www.ncbi.nlm.nih.gov/nuccore/KM262844","NCBI Nucleotide")</f>
        <v>NCBI Nucleotide</v>
      </c>
    </row>
    <row r="15378" spans="1:27" x14ac:dyDescent="0.35">
      <c r="A15378">
        <v>1012028</v>
      </c>
      <c r="B15378">
        <v>13842</v>
      </c>
      <c r="C15378">
        <v>4</v>
      </c>
      <c r="D15378" t="s">
        <v>35352</v>
      </c>
      <c r="F15378" t="s">
        <v>35353</v>
      </c>
      <c r="H15378" t="s">
        <v>35359</v>
      </c>
      <c r="J15378" t="s">
        <v>35705</v>
      </c>
      <c r="L15378" t="s">
        <v>35706</v>
      </c>
      <c r="N15378" t="s">
        <v>35707</v>
      </c>
      <c r="P15378" t="s">
        <v>35708</v>
      </c>
      <c r="R15378" s="26" t="str">
        <f t="shared" si="75"/>
        <v>African swine fever virus</v>
      </c>
      <c r="S15378" t="s">
        <v>8141</v>
      </c>
      <c r="T15378" t="s">
        <v>35709</v>
      </c>
      <c r="U15378" t="s">
        <v>35710</v>
      </c>
      <c r="V15378" t="s">
        <v>35715</v>
      </c>
      <c r="W15378" t="s">
        <v>50220</v>
      </c>
      <c r="X15378" t="s">
        <v>42</v>
      </c>
      <c r="Y15378" t="s">
        <v>36</v>
      </c>
      <c r="Z15378" t="s">
        <v>12289</v>
      </c>
      <c r="AA15378" s="22" t="str">
        <f>HYPERLINK("https://www.ncbi.nlm.nih.gov/nuccore/AM712239","NCBI Nucleotide")</f>
        <v>NCBI Nucleotide</v>
      </c>
    </row>
    <row r="15379" spans="1:27" x14ac:dyDescent="0.35">
      <c r="A15379">
        <v>1012029</v>
      </c>
      <c r="B15379">
        <v>13842</v>
      </c>
      <c r="C15379">
        <v>5</v>
      </c>
      <c r="D15379" t="s">
        <v>35352</v>
      </c>
      <c r="F15379" t="s">
        <v>35353</v>
      </c>
      <c r="H15379" t="s">
        <v>35359</v>
      </c>
      <c r="J15379" t="s">
        <v>35705</v>
      </c>
      <c r="L15379" t="s">
        <v>35706</v>
      </c>
      <c r="N15379" t="s">
        <v>35707</v>
      </c>
      <c r="P15379" t="s">
        <v>35708</v>
      </c>
      <c r="R15379" s="26" t="str">
        <f t="shared" si="75"/>
        <v>African swine fever virus</v>
      </c>
      <c r="S15379" t="s">
        <v>8141</v>
      </c>
      <c r="T15379" t="s">
        <v>35709</v>
      </c>
      <c r="U15379" t="s">
        <v>35710</v>
      </c>
      <c r="V15379" t="s">
        <v>35716</v>
      </c>
      <c r="W15379" t="s">
        <v>50221</v>
      </c>
      <c r="X15379" t="s">
        <v>42</v>
      </c>
      <c r="Y15379" t="s">
        <v>36</v>
      </c>
      <c r="Z15379" t="s">
        <v>12289</v>
      </c>
      <c r="AA15379" s="22" t="str">
        <f>HYPERLINK("https://www.ncbi.nlm.nih.gov/nuccore/FR682468","NCBI Nucleotide")</f>
        <v>NCBI Nucleotide</v>
      </c>
    </row>
    <row r="15380" spans="1:27" x14ac:dyDescent="0.35">
      <c r="A15380">
        <v>1012030</v>
      </c>
      <c r="B15380">
        <v>13842</v>
      </c>
      <c r="C15380">
        <v>6</v>
      </c>
      <c r="D15380" t="s">
        <v>35352</v>
      </c>
      <c r="F15380" t="s">
        <v>35353</v>
      </c>
      <c r="H15380" t="s">
        <v>35359</v>
      </c>
      <c r="J15380" t="s">
        <v>35705</v>
      </c>
      <c r="L15380" t="s">
        <v>35706</v>
      </c>
      <c r="N15380" t="s">
        <v>35707</v>
      </c>
      <c r="P15380" t="s">
        <v>35708</v>
      </c>
      <c r="R15380" s="26" t="str">
        <f t="shared" si="75"/>
        <v>African swine fever virus</v>
      </c>
      <c r="S15380" t="s">
        <v>8141</v>
      </c>
      <c r="T15380" t="s">
        <v>35709</v>
      </c>
      <c r="U15380" t="s">
        <v>35710</v>
      </c>
      <c r="V15380" t="s">
        <v>35717</v>
      </c>
      <c r="W15380" t="s">
        <v>50222</v>
      </c>
      <c r="X15380" t="s">
        <v>35</v>
      </c>
      <c r="Y15380" t="s">
        <v>36</v>
      </c>
      <c r="Z15380" t="s">
        <v>12289</v>
      </c>
      <c r="AA15380" s="22" t="str">
        <f>HYPERLINK("https://www.ncbi.nlm.nih.gov/nuccore/KP055815","NCBI Nucleotide")</f>
        <v>NCBI Nucleotide</v>
      </c>
    </row>
    <row r="15381" spans="1:27" x14ac:dyDescent="0.35">
      <c r="A15381">
        <v>1012031</v>
      </c>
      <c r="B15381">
        <v>13842</v>
      </c>
      <c r="C15381">
        <v>7</v>
      </c>
      <c r="D15381" t="s">
        <v>35352</v>
      </c>
      <c r="F15381" t="s">
        <v>35353</v>
      </c>
      <c r="H15381" t="s">
        <v>35359</v>
      </c>
      <c r="J15381" t="s">
        <v>35705</v>
      </c>
      <c r="L15381" t="s">
        <v>35706</v>
      </c>
      <c r="N15381" t="s">
        <v>35707</v>
      </c>
      <c r="P15381" t="s">
        <v>35708</v>
      </c>
      <c r="R15381" s="26" t="str">
        <f t="shared" si="75"/>
        <v>African swine fever virus</v>
      </c>
      <c r="S15381" t="s">
        <v>8141</v>
      </c>
      <c r="T15381" t="s">
        <v>35709</v>
      </c>
      <c r="U15381" t="s">
        <v>35710</v>
      </c>
      <c r="V15381" t="s">
        <v>35718</v>
      </c>
      <c r="W15381" t="s">
        <v>50223</v>
      </c>
      <c r="X15381" t="s">
        <v>42</v>
      </c>
      <c r="Y15381" t="s">
        <v>36</v>
      </c>
      <c r="Z15381" t="s">
        <v>12289</v>
      </c>
      <c r="AA15381" s="22" t="str">
        <f>HYPERLINK("https://www.ncbi.nlm.nih.gov/nuccore/AM712240","NCBI Nucleotide")</f>
        <v>NCBI Nucleotide</v>
      </c>
    </row>
    <row r="15382" spans="1:27" x14ac:dyDescent="0.35">
      <c r="A15382">
        <v>1012032</v>
      </c>
      <c r="B15382">
        <v>13842</v>
      </c>
      <c r="C15382">
        <v>8</v>
      </c>
      <c r="D15382" t="s">
        <v>35352</v>
      </c>
      <c r="F15382" t="s">
        <v>35353</v>
      </c>
      <c r="H15382" t="s">
        <v>35359</v>
      </c>
      <c r="J15382" t="s">
        <v>35705</v>
      </c>
      <c r="L15382" t="s">
        <v>35706</v>
      </c>
      <c r="N15382" t="s">
        <v>35707</v>
      </c>
      <c r="P15382" t="s">
        <v>35708</v>
      </c>
      <c r="R15382" s="26" t="str">
        <f t="shared" si="75"/>
        <v>African swine fever virus</v>
      </c>
      <c r="S15382" t="s">
        <v>8141</v>
      </c>
      <c r="T15382" t="s">
        <v>35709</v>
      </c>
      <c r="U15382" t="s">
        <v>35710</v>
      </c>
      <c r="V15382" t="s">
        <v>35719</v>
      </c>
      <c r="W15382" t="s">
        <v>50224</v>
      </c>
      <c r="X15382" t="s">
        <v>42</v>
      </c>
      <c r="Y15382" t="s">
        <v>36</v>
      </c>
      <c r="Z15382" t="s">
        <v>12289</v>
      </c>
      <c r="AA15382" s="22" t="str">
        <f>HYPERLINK("https://www.ncbi.nlm.nih.gov/nuccore/KM262845","NCBI Nucleotide")</f>
        <v>NCBI Nucleotide</v>
      </c>
    </row>
    <row r="15383" spans="1:27" x14ac:dyDescent="0.35">
      <c r="A15383">
        <v>1012033</v>
      </c>
      <c r="B15383">
        <v>13842</v>
      </c>
      <c r="C15383">
        <v>9</v>
      </c>
      <c r="D15383" t="s">
        <v>35352</v>
      </c>
      <c r="F15383" t="s">
        <v>35353</v>
      </c>
      <c r="H15383" t="s">
        <v>35359</v>
      </c>
      <c r="J15383" t="s">
        <v>35705</v>
      </c>
      <c r="L15383" t="s">
        <v>35706</v>
      </c>
      <c r="N15383" t="s">
        <v>35707</v>
      </c>
      <c r="P15383" t="s">
        <v>35708</v>
      </c>
      <c r="R15383" s="26" t="str">
        <f t="shared" si="75"/>
        <v>African swine fever virus</v>
      </c>
      <c r="S15383" t="s">
        <v>8141</v>
      </c>
      <c r="T15383" t="s">
        <v>35709</v>
      </c>
      <c r="U15383" t="s">
        <v>35710</v>
      </c>
      <c r="V15383" t="s">
        <v>35720</v>
      </c>
      <c r="W15383" t="s">
        <v>50225</v>
      </c>
      <c r="X15383" t="s">
        <v>42</v>
      </c>
      <c r="Y15383" t="s">
        <v>36</v>
      </c>
      <c r="Z15383" t="s">
        <v>12289</v>
      </c>
      <c r="AA15383" s="22" t="str">
        <f>HYPERLINK("https://www.ncbi.nlm.nih.gov/nuccore/AY261360","NCBI Nucleotide")</f>
        <v>NCBI Nucleotide</v>
      </c>
    </row>
    <row r="15384" spans="1:27" x14ac:dyDescent="0.35">
      <c r="A15384">
        <v>1012034</v>
      </c>
      <c r="B15384">
        <v>13842</v>
      </c>
      <c r="C15384">
        <v>10</v>
      </c>
      <c r="D15384" t="s">
        <v>35352</v>
      </c>
      <c r="F15384" t="s">
        <v>35353</v>
      </c>
      <c r="H15384" t="s">
        <v>35359</v>
      </c>
      <c r="J15384" t="s">
        <v>35705</v>
      </c>
      <c r="L15384" t="s">
        <v>35706</v>
      </c>
      <c r="N15384" t="s">
        <v>35707</v>
      </c>
      <c r="P15384" t="s">
        <v>35708</v>
      </c>
      <c r="R15384" s="26" t="str">
        <f t="shared" si="75"/>
        <v>African swine fever virus</v>
      </c>
      <c r="S15384" t="s">
        <v>8141</v>
      </c>
      <c r="T15384" t="s">
        <v>35709</v>
      </c>
      <c r="U15384" t="s">
        <v>35710</v>
      </c>
      <c r="V15384" t="s">
        <v>35721</v>
      </c>
      <c r="W15384" t="s">
        <v>50226</v>
      </c>
      <c r="X15384" t="s">
        <v>42</v>
      </c>
      <c r="Y15384" t="s">
        <v>36</v>
      </c>
      <c r="Z15384" t="s">
        <v>12289</v>
      </c>
      <c r="AA15384" s="22" t="str">
        <f>HYPERLINK("https://www.ncbi.nlm.nih.gov/nuccore/KM111294","NCBI Nucleotide")</f>
        <v>NCBI Nucleotide</v>
      </c>
    </row>
    <row r="15385" spans="1:27" x14ac:dyDescent="0.35">
      <c r="A15385">
        <v>1012035</v>
      </c>
      <c r="B15385">
        <v>13842</v>
      </c>
      <c r="C15385">
        <v>11</v>
      </c>
      <c r="D15385" t="s">
        <v>35352</v>
      </c>
      <c r="F15385" t="s">
        <v>35353</v>
      </c>
      <c r="H15385" t="s">
        <v>35359</v>
      </c>
      <c r="J15385" t="s">
        <v>35705</v>
      </c>
      <c r="L15385" t="s">
        <v>35706</v>
      </c>
      <c r="N15385" t="s">
        <v>35707</v>
      </c>
      <c r="P15385" t="s">
        <v>35708</v>
      </c>
      <c r="R15385" s="26" t="str">
        <f t="shared" si="75"/>
        <v>African swine fever virus</v>
      </c>
      <c r="S15385" t="s">
        <v>8141</v>
      </c>
      <c r="T15385" t="s">
        <v>35709</v>
      </c>
      <c r="U15385" t="s">
        <v>35710</v>
      </c>
      <c r="V15385" t="s">
        <v>35722</v>
      </c>
      <c r="W15385" t="s">
        <v>50227</v>
      </c>
      <c r="X15385" t="s">
        <v>42</v>
      </c>
      <c r="Y15385" t="s">
        <v>36</v>
      </c>
      <c r="Z15385" t="s">
        <v>12289</v>
      </c>
      <c r="AA15385" s="22" t="str">
        <f>HYPERLINK("https://www.ncbi.nlm.nih.gov/nuccore/KM111295","NCBI Nucleotide")</f>
        <v>NCBI Nucleotide</v>
      </c>
    </row>
    <row r="15386" spans="1:27" x14ac:dyDescent="0.35">
      <c r="A15386">
        <v>1012036</v>
      </c>
      <c r="B15386">
        <v>13842</v>
      </c>
      <c r="C15386">
        <v>12</v>
      </c>
      <c r="D15386" t="s">
        <v>35352</v>
      </c>
      <c r="F15386" t="s">
        <v>35353</v>
      </c>
      <c r="H15386" t="s">
        <v>35359</v>
      </c>
      <c r="J15386" t="s">
        <v>35705</v>
      </c>
      <c r="L15386" t="s">
        <v>35706</v>
      </c>
      <c r="N15386" t="s">
        <v>35707</v>
      </c>
      <c r="P15386" t="s">
        <v>35708</v>
      </c>
      <c r="R15386" s="26" t="str">
        <f t="shared" si="75"/>
        <v>African swine fever virus</v>
      </c>
      <c r="S15386" t="s">
        <v>8141</v>
      </c>
      <c r="T15386" t="s">
        <v>35709</v>
      </c>
      <c r="U15386" t="s">
        <v>35710</v>
      </c>
      <c r="V15386" t="s">
        <v>35723</v>
      </c>
      <c r="W15386" t="s">
        <v>50228</v>
      </c>
      <c r="X15386" t="s">
        <v>42</v>
      </c>
      <c r="Y15386" t="s">
        <v>36</v>
      </c>
      <c r="Z15386" t="s">
        <v>12289</v>
      </c>
      <c r="AA15386" s="22" t="str">
        <f>HYPERLINK("https://www.ncbi.nlm.nih.gov/nuccore/KM102979","NCBI Nucleotide")</f>
        <v>NCBI Nucleotide</v>
      </c>
    </row>
    <row r="15387" spans="1:27" x14ac:dyDescent="0.35">
      <c r="A15387">
        <v>1012037</v>
      </c>
      <c r="B15387">
        <v>13842</v>
      </c>
      <c r="C15387">
        <v>13</v>
      </c>
      <c r="D15387" t="s">
        <v>35352</v>
      </c>
      <c r="F15387" t="s">
        <v>35353</v>
      </c>
      <c r="H15387" t="s">
        <v>35359</v>
      </c>
      <c r="J15387" t="s">
        <v>35705</v>
      </c>
      <c r="L15387" t="s">
        <v>35706</v>
      </c>
      <c r="N15387" t="s">
        <v>35707</v>
      </c>
      <c r="P15387" t="s">
        <v>35708</v>
      </c>
      <c r="R15387" s="26" t="str">
        <f t="shared" si="75"/>
        <v>African swine fever virus</v>
      </c>
      <c r="S15387" t="s">
        <v>8141</v>
      </c>
      <c r="T15387" t="s">
        <v>35709</v>
      </c>
      <c r="U15387" t="s">
        <v>35710</v>
      </c>
      <c r="V15387" t="s">
        <v>35724</v>
      </c>
      <c r="W15387" t="s">
        <v>50229</v>
      </c>
      <c r="X15387" t="s">
        <v>42</v>
      </c>
      <c r="Y15387" t="s">
        <v>36</v>
      </c>
      <c r="Z15387" t="s">
        <v>12289</v>
      </c>
      <c r="AA15387" s="22" t="str">
        <f>HYPERLINK("https://www.ncbi.nlm.nih.gov/nuccore/KP843857","NCBI Nucleotide")</f>
        <v>NCBI Nucleotide</v>
      </c>
    </row>
    <row r="15388" spans="1:27" x14ac:dyDescent="0.35">
      <c r="A15388">
        <v>1012038</v>
      </c>
      <c r="B15388">
        <v>13842</v>
      </c>
      <c r="C15388">
        <v>14</v>
      </c>
      <c r="D15388" t="s">
        <v>35352</v>
      </c>
      <c r="F15388" t="s">
        <v>35353</v>
      </c>
      <c r="H15388" t="s">
        <v>35359</v>
      </c>
      <c r="J15388" t="s">
        <v>35705</v>
      </c>
      <c r="L15388" t="s">
        <v>35706</v>
      </c>
      <c r="N15388" t="s">
        <v>35707</v>
      </c>
      <c r="P15388" t="s">
        <v>35708</v>
      </c>
      <c r="R15388" s="26" t="str">
        <f t="shared" si="75"/>
        <v>African swine fever virus</v>
      </c>
      <c r="S15388" t="s">
        <v>8141</v>
      </c>
      <c r="T15388" t="s">
        <v>35709</v>
      </c>
      <c r="U15388" t="s">
        <v>35710</v>
      </c>
      <c r="V15388" t="s">
        <v>35725</v>
      </c>
      <c r="W15388" t="s">
        <v>50230</v>
      </c>
      <c r="X15388" t="s">
        <v>42</v>
      </c>
      <c r="Y15388" t="s">
        <v>36</v>
      </c>
      <c r="Z15388" t="s">
        <v>12289</v>
      </c>
      <c r="AA15388" s="22" t="str">
        <f>HYPERLINK("https://www.ncbi.nlm.nih.gov/nuccore/AY261366","NCBI Nucleotide")</f>
        <v>NCBI Nucleotide</v>
      </c>
    </row>
    <row r="15389" spans="1:27" x14ac:dyDescent="0.35">
      <c r="A15389">
        <v>1012039</v>
      </c>
      <c r="B15389">
        <v>13842</v>
      </c>
      <c r="C15389">
        <v>15</v>
      </c>
      <c r="D15389" t="s">
        <v>35352</v>
      </c>
      <c r="F15389" t="s">
        <v>35353</v>
      </c>
      <c r="H15389" t="s">
        <v>35359</v>
      </c>
      <c r="J15389" t="s">
        <v>35705</v>
      </c>
      <c r="L15389" t="s">
        <v>35706</v>
      </c>
      <c r="N15389" t="s">
        <v>35707</v>
      </c>
      <c r="P15389" t="s">
        <v>35708</v>
      </c>
      <c r="R15389" s="26" t="str">
        <f t="shared" si="75"/>
        <v>African swine fever virus</v>
      </c>
      <c r="S15389" t="s">
        <v>8141</v>
      </c>
      <c r="T15389" t="s">
        <v>35709</v>
      </c>
      <c r="U15389" t="s">
        <v>35710</v>
      </c>
      <c r="V15389" t="s">
        <v>35726</v>
      </c>
      <c r="W15389" t="s">
        <v>50231</v>
      </c>
      <c r="X15389" t="s">
        <v>42</v>
      </c>
      <c r="Y15389" t="s">
        <v>36</v>
      </c>
      <c r="Z15389" t="s">
        <v>12289</v>
      </c>
      <c r="AA15389" s="22" t="str">
        <f>HYPERLINK("https://www.ncbi.nlm.nih.gov/nuccore/AY261365","NCBI Nucleotide")</f>
        <v>NCBI Nucleotide</v>
      </c>
    </row>
    <row r="15390" spans="1:27" x14ac:dyDescent="0.35">
      <c r="A15390">
        <v>1012040</v>
      </c>
      <c r="B15390">
        <v>13842</v>
      </c>
      <c r="C15390">
        <v>16</v>
      </c>
      <c r="D15390" t="s">
        <v>35352</v>
      </c>
      <c r="F15390" t="s">
        <v>35353</v>
      </c>
      <c r="H15390" t="s">
        <v>35359</v>
      </c>
      <c r="J15390" t="s">
        <v>35705</v>
      </c>
      <c r="L15390" t="s">
        <v>35706</v>
      </c>
      <c r="N15390" t="s">
        <v>35707</v>
      </c>
      <c r="P15390" t="s">
        <v>35708</v>
      </c>
      <c r="R15390" s="26" t="str">
        <f t="shared" si="75"/>
        <v>African swine fever virus</v>
      </c>
      <c r="S15390" t="s">
        <v>8141</v>
      </c>
      <c r="T15390" t="s">
        <v>35709</v>
      </c>
      <c r="U15390" t="s">
        <v>35710</v>
      </c>
      <c r="V15390" t="s">
        <v>35727</v>
      </c>
      <c r="W15390" t="s">
        <v>50232</v>
      </c>
      <c r="X15390" t="s">
        <v>42</v>
      </c>
      <c r="Y15390" t="s">
        <v>36</v>
      </c>
      <c r="Z15390" t="s">
        <v>12289</v>
      </c>
      <c r="AA15390" s="22" t="str">
        <f>HYPERLINK("https://www.ncbi.nlm.nih.gov/nuccore/AY261364","NCBI Nucleotide")</f>
        <v>NCBI Nucleotide</v>
      </c>
    </row>
    <row r="15391" spans="1:27" x14ac:dyDescent="0.35">
      <c r="A15391">
        <v>1012041</v>
      </c>
      <c r="B15391">
        <v>13842</v>
      </c>
      <c r="C15391">
        <v>17</v>
      </c>
      <c r="D15391" t="s">
        <v>35352</v>
      </c>
      <c r="F15391" t="s">
        <v>35353</v>
      </c>
      <c r="H15391" t="s">
        <v>35359</v>
      </c>
      <c r="J15391" t="s">
        <v>35705</v>
      </c>
      <c r="L15391" t="s">
        <v>35706</v>
      </c>
      <c r="N15391" t="s">
        <v>35707</v>
      </c>
      <c r="P15391" t="s">
        <v>35708</v>
      </c>
      <c r="R15391" s="26" t="str">
        <f t="shared" si="75"/>
        <v>African swine fever virus</v>
      </c>
      <c r="S15391" t="s">
        <v>8141</v>
      </c>
      <c r="T15391" t="s">
        <v>35709</v>
      </c>
      <c r="U15391" t="s">
        <v>35710</v>
      </c>
      <c r="V15391" t="s">
        <v>35728</v>
      </c>
      <c r="W15391" t="s">
        <v>50233</v>
      </c>
      <c r="X15391" t="s">
        <v>42</v>
      </c>
      <c r="Y15391" t="s">
        <v>36</v>
      </c>
      <c r="Z15391" t="s">
        <v>12289</v>
      </c>
      <c r="AA15391" s="22" t="str">
        <f>HYPERLINK("https://www.ncbi.nlm.nih.gov/nuccore/AY261363","NCBI Nucleotide")</f>
        <v>NCBI Nucleotide</v>
      </c>
    </row>
    <row r="15392" spans="1:27" x14ac:dyDescent="0.35">
      <c r="A15392">
        <v>1012042</v>
      </c>
      <c r="B15392">
        <v>13842</v>
      </c>
      <c r="C15392">
        <v>18</v>
      </c>
      <c r="D15392" t="s">
        <v>35352</v>
      </c>
      <c r="F15392" t="s">
        <v>35353</v>
      </c>
      <c r="H15392" t="s">
        <v>35359</v>
      </c>
      <c r="J15392" t="s">
        <v>35705</v>
      </c>
      <c r="L15392" t="s">
        <v>35706</v>
      </c>
      <c r="N15392" t="s">
        <v>35707</v>
      </c>
      <c r="P15392" t="s">
        <v>35708</v>
      </c>
      <c r="R15392" s="26" t="str">
        <f t="shared" si="75"/>
        <v>African swine fever virus</v>
      </c>
      <c r="S15392" t="s">
        <v>8141</v>
      </c>
      <c r="T15392" t="s">
        <v>35709</v>
      </c>
      <c r="U15392" t="s">
        <v>35710</v>
      </c>
      <c r="V15392" t="s">
        <v>35729</v>
      </c>
      <c r="W15392" t="s">
        <v>50234</v>
      </c>
      <c r="X15392" t="s">
        <v>42</v>
      </c>
      <c r="Y15392" t="s">
        <v>36</v>
      </c>
      <c r="Z15392" t="s">
        <v>12289</v>
      </c>
      <c r="AA15392" s="22" t="str">
        <f>HYPERLINK("https://www.ncbi.nlm.nih.gov/nuccore/AY261362","NCBI Nucleotide")</f>
        <v>NCBI Nucleotide</v>
      </c>
    </row>
    <row r="15393" spans="1:27" x14ac:dyDescent="0.35">
      <c r="A15393">
        <v>1012043</v>
      </c>
      <c r="B15393">
        <v>13842</v>
      </c>
      <c r="C15393">
        <v>19</v>
      </c>
      <c r="D15393" t="s">
        <v>35352</v>
      </c>
      <c r="F15393" t="s">
        <v>35353</v>
      </c>
      <c r="H15393" t="s">
        <v>35359</v>
      </c>
      <c r="J15393" t="s">
        <v>35705</v>
      </c>
      <c r="L15393" t="s">
        <v>35706</v>
      </c>
      <c r="N15393" t="s">
        <v>35707</v>
      </c>
      <c r="P15393" t="s">
        <v>35708</v>
      </c>
      <c r="R15393" s="26" t="str">
        <f t="shared" si="75"/>
        <v>African swine fever virus</v>
      </c>
      <c r="S15393" t="s">
        <v>8141</v>
      </c>
      <c r="T15393" t="s">
        <v>35709</v>
      </c>
      <c r="U15393" t="s">
        <v>35710</v>
      </c>
      <c r="V15393" t="s">
        <v>35730</v>
      </c>
      <c r="W15393" t="s">
        <v>50235</v>
      </c>
      <c r="X15393" t="s">
        <v>42</v>
      </c>
      <c r="Y15393" t="s">
        <v>36</v>
      </c>
      <c r="Z15393" t="s">
        <v>12289</v>
      </c>
      <c r="AA15393" s="22" t="str">
        <f>HYPERLINK("https://www.ncbi.nlm.nih.gov/nuccore/AY261361","NCBI Nucleotide")</f>
        <v>NCBI Nucleotide</v>
      </c>
    </row>
    <row r="15394" spans="1:27" x14ac:dyDescent="0.35">
      <c r="A15394">
        <v>1012044</v>
      </c>
      <c r="B15394">
        <v>13842</v>
      </c>
      <c r="C15394">
        <v>20</v>
      </c>
      <c r="D15394" t="s">
        <v>35352</v>
      </c>
      <c r="F15394" t="s">
        <v>35353</v>
      </c>
      <c r="H15394" t="s">
        <v>35359</v>
      </c>
      <c r="J15394" t="s">
        <v>35705</v>
      </c>
      <c r="L15394" t="s">
        <v>35706</v>
      </c>
      <c r="N15394" t="s">
        <v>35707</v>
      </c>
      <c r="P15394" t="s">
        <v>35708</v>
      </c>
      <c r="R15394" s="26" t="str">
        <f t="shared" si="75"/>
        <v>African swine fever virus</v>
      </c>
      <c r="S15394" t="s">
        <v>8141</v>
      </c>
      <c r="T15394" t="s">
        <v>35709</v>
      </c>
      <c r="U15394" t="s">
        <v>35710</v>
      </c>
      <c r="V15394" t="s">
        <v>35731</v>
      </c>
      <c r="W15394" t="s">
        <v>50236</v>
      </c>
      <c r="X15394" t="s">
        <v>42</v>
      </c>
      <c r="Y15394" t="s">
        <v>36</v>
      </c>
      <c r="Z15394" t="s">
        <v>12289</v>
      </c>
      <c r="AA15394" s="22" t="str">
        <f>HYPERLINK("https://www.ncbi.nlm.nih.gov/nuccore/KX354450","NCBI Nucleotide")</f>
        <v>NCBI Nucleotide</v>
      </c>
    </row>
    <row r="15395" spans="1:27" x14ac:dyDescent="0.35">
      <c r="A15395">
        <v>1004252</v>
      </c>
      <c r="B15395">
        <v>13843</v>
      </c>
      <c r="C15395">
        <v>1</v>
      </c>
      <c r="D15395" t="s">
        <v>35352</v>
      </c>
      <c r="F15395" t="s">
        <v>35353</v>
      </c>
      <c r="H15395" t="s">
        <v>35359</v>
      </c>
      <c r="J15395" t="s">
        <v>35705</v>
      </c>
      <c r="L15395" t="s">
        <v>35732</v>
      </c>
      <c r="N15395" t="s">
        <v>35733</v>
      </c>
      <c r="O15395" t="s">
        <v>35734</v>
      </c>
      <c r="P15395" t="s">
        <v>35735</v>
      </c>
      <c r="R15395" s="26" t="str">
        <f>HYPERLINK("https://ictv.global/taxonomy/taxondetails?taxnode_id=202304740","Avipoxvirus canarypox")</f>
        <v>Avipoxvirus canarypox</v>
      </c>
      <c r="S15395" t="s">
        <v>30</v>
      </c>
      <c r="T15395" t="s">
        <v>35736</v>
      </c>
      <c r="U15395" t="s">
        <v>12807</v>
      </c>
      <c r="V15395" t="s">
        <v>35737</v>
      </c>
      <c r="W15395" t="s">
        <v>35738</v>
      </c>
      <c r="X15395" t="s">
        <v>42</v>
      </c>
      <c r="Y15395" t="s">
        <v>36</v>
      </c>
      <c r="Z15395" t="s">
        <v>166</v>
      </c>
      <c r="AA15395" s="22" t="str">
        <f>HYPERLINK("https://www.ncbi.nlm.nih.gov/nuccore/AY318871","NCBI Nucleotide")</f>
        <v>NCBI Nucleotide</v>
      </c>
    </row>
    <row r="15396" spans="1:27" x14ac:dyDescent="0.35">
      <c r="A15396">
        <v>1004253</v>
      </c>
      <c r="B15396">
        <v>13844</v>
      </c>
      <c r="C15396">
        <v>1</v>
      </c>
      <c r="D15396" t="s">
        <v>35352</v>
      </c>
      <c r="F15396" t="s">
        <v>35353</v>
      </c>
      <c r="H15396" t="s">
        <v>35359</v>
      </c>
      <c r="J15396" t="s">
        <v>35705</v>
      </c>
      <c r="L15396" t="s">
        <v>35732</v>
      </c>
      <c r="N15396" t="s">
        <v>35733</v>
      </c>
      <c r="O15396" t="s">
        <v>35734</v>
      </c>
      <c r="P15396" t="s">
        <v>35735</v>
      </c>
      <c r="R15396" s="26" t="str">
        <f>HYPERLINK("https://ictv.global/taxonomy/taxondetails?taxnode_id=202307141","Avipoxvirus flamingopox")</f>
        <v>Avipoxvirus flamingopox</v>
      </c>
      <c r="S15396" t="s">
        <v>30</v>
      </c>
      <c r="T15396" t="s">
        <v>35739</v>
      </c>
      <c r="U15396" t="s">
        <v>35740</v>
      </c>
      <c r="V15396" t="s">
        <v>35741</v>
      </c>
      <c r="W15396" t="s">
        <v>35742</v>
      </c>
      <c r="X15396" t="s">
        <v>42</v>
      </c>
      <c r="Y15396" t="s">
        <v>36</v>
      </c>
      <c r="Z15396" t="s">
        <v>166</v>
      </c>
      <c r="AA15396" s="22" t="str">
        <f>HYPERLINK("https://www.ncbi.nlm.nih.gov/nuccore/MF678796","NCBI Nucleotide")</f>
        <v>NCBI Nucleotide</v>
      </c>
    </row>
    <row r="15397" spans="1:27" x14ac:dyDescent="0.35">
      <c r="A15397">
        <v>1004254</v>
      </c>
      <c r="B15397">
        <v>13845</v>
      </c>
      <c r="C15397">
        <v>1</v>
      </c>
      <c r="D15397" t="s">
        <v>35352</v>
      </c>
      <c r="F15397" t="s">
        <v>35353</v>
      </c>
      <c r="H15397" t="s">
        <v>35359</v>
      </c>
      <c r="J15397" t="s">
        <v>35705</v>
      </c>
      <c r="L15397" t="s">
        <v>35732</v>
      </c>
      <c r="N15397" t="s">
        <v>35733</v>
      </c>
      <c r="O15397" t="s">
        <v>35734</v>
      </c>
      <c r="P15397" t="s">
        <v>35735</v>
      </c>
      <c r="R15397" s="26" t="str">
        <f>HYPERLINK("https://ictv.global/taxonomy/taxondetails?taxnode_id=202304741","Avipoxvirus fowlpox")</f>
        <v>Avipoxvirus fowlpox</v>
      </c>
      <c r="S15397" t="s">
        <v>30</v>
      </c>
      <c r="T15397" t="s">
        <v>35743</v>
      </c>
      <c r="U15397" t="s">
        <v>27583</v>
      </c>
      <c r="V15397" t="s">
        <v>35744</v>
      </c>
      <c r="W15397" t="s">
        <v>35745</v>
      </c>
      <c r="X15397" t="s">
        <v>42</v>
      </c>
      <c r="Y15397" t="s">
        <v>36</v>
      </c>
      <c r="Z15397" t="s">
        <v>166</v>
      </c>
      <c r="AA15397" s="22" t="str">
        <f>HYPERLINK("https://www.ncbi.nlm.nih.gov/nuccore/AF198100","NCBI Nucleotide")</f>
        <v>NCBI Nucleotide</v>
      </c>
    </row>
    <row r="15398" spans="1:27" x14ac:dyDescent="0.35">
      <c r="A15398">
        <v>1004257</v>
      </c>
      <c r="B15398">
        <v>13846</v>
      </c>
      <c r="C15398">
        <v>1</v>
      </c>
      <c r="D15398" t="s">
        <v>35352</v>
      </c>
      <c r="F15398" t="s">
        <v>35353</v>
      </c>
      <c r="H15398" t="s">
        <v>35359</v>
      </c>
      <c r="J15398" t="s">
        <v>35705</v>
      </c>
      <c r="L15398" t="s">
        <v>35732</v>
      </c>
      <c r="N15398" t="s">
        <v>35733</v>
      </c>
      <c r="O15398" t="s">
        <v>35734</v>
      </c>
      <c r="P15398" t="s">
        <v>35735</v>
      </c>
      <c r="R15398" s="26" t="str">
        <f>HYPERLINK("https://ictv.global/taxonomy/taxondetails?taxnode_id=202307142","Avipoxvirus penguinpox")</f>
        <v>Avipoxvirus penguinpox</v>
      </c>
      <c r="S15398" t="s">
        <v>30</v>
      </c>
      <c r="T15398" t="s">
        <v>35746</v>
      </c>
      <c r="U15398" t="s">
        <v>35747</v>
      </c>
      <c r="V15398" t="s">
        <v>35748</v>
      </c>
      <c r="W15398" t="s">
        <v>35749</v>
      </c>
      <c r="X15398" t="s">
        <v>42</v>
      </c>
      <c r="Y15398" t="s">
        <v>36</v>
      </c>
      <c r="Z15398" t="s">
        <v>166</v>
      </c>
      <c r="AA15398" s="22" t="str">
        <f>HYPERLINK("https://www.ncbi.nlm.nih.gov/nuccore/KJ859677","NCBI Nucleotide")</f>
        <v>NCBI Nucleotide</v>
      </c>
    </row>
    <row r="15399" spans="1:27" x14ac:dyDescent="0.35">
      <c r="A15399">
        <v>1004258</v>
      </c>
      <c r="B15399">
        <v>13847</v>
      </c>
      <c r="C15399">
        <v>1</v>
      </c>
      <c r="D15399" t="s">
        <v>35352</v>
      </c>
      <c r="F15399" t="s">
        <v>35353</v>
      </c>
      <c r="H15399" t="s">
        <v>35359</v>
      </c>
      <c r="J15399" t="s">
        <v>35705</v>
      </c>
      <c r="L15399" t="s">
        <v>35732</v>
      </c>
      <c r="N15399" t="s">
        <v>35733</v>
      </c>
      <c r="O15399" t="s">
        <v>35734</v>
      </c>
      <c r="P15399" t="s">
        <v>35735</v>
      </c>
      <c r="R15399" s="26" t="str">
        <f>HYPERLINK("https://ictv.global/taxonomy/taxondetails?taxnode_id=202304744","Avipoxvirus pigeonpox")</f>
        <v>Avipoxvirus pigeonpox</v>
      </c>
      <c r="S15399" t="s">
        <v>30</v>
      </c>
      <c r="T15399" t="s">
        <v>35750</v>
      </c>
      <c r="U15399" t="s">
        <v>12862</v>
      </c>
      <c r="V15399" t="s">
        <v>35751</v>
      </c>
      <c r="W15399" t="s">
        <v>35752</v>
      </c>
      <c r="X15399" t="s">
        <v>42</v>
      </c>
      <c r="Y15399" t="s">
        <v>36</v>
      </c>
      <c r="Z15399" t="s">
        <v>166</v>
      </c>
      <c r="AA15399" s="22" t="str">
        <f>HYPERLINK("https://www.ncbi.nlm.nih.gov/nuccore/KJ801920","NCBI Nucleotide")</f>
        <v>NCBI Nucleotide</v>
      </c>
    </row>
    <row r="15400" spans="1:27" x14ac:dyDescent="0.35">
      <c r="A15400">
        <v>1004260</v>
      </c>
      <c r="B15400">
        <v>13848</v>
      </c>
      <c r="C15400">
        <v>1</v>
      </c>
      <c r="D15400" t="s">
        <v>35352</v>
      </c>
      <c r="F15400" t="s">
        <v>35353</v>
      </c>
      <c r="H15400" t="s">
        <v>35359</v>
      </c>
      <c r="J15400" t="s">
        <v>35705</v>
      </c>
      <c r="L15400" t="s">
        <v>35732</v>
      </c>
      <c r="N15400" t="s">
        <v>35733</v>
      </c>
      <c r="O15400" t="s">
        <v>35734</v>
      </c>
      <c r="P15400" t="s">
        <v>35735</v>
      </c>
      <c r="R15400" s="26" t="str">
        <f>HYPERLINK("https://ictv.global/taxonomy/taxondetails?taxnode_id=202304746","Avipoxvirus quailpox")</f>
        <v>Avipoxvirus quailpox</v>
      </c>
      <c r="S15400" t="s">
        <v>30</v>
      </c>
      <c r="T15400" t="s">
        <v>35753</v>
      </c>
      <c r="U15400" t="s">
        <v>35754</v>
      </c>
      <c r="V15400" t="s">
        <v>14447</v>
      </c>
      <c r="W15400" t="s">
        <v>35755</v>
      </c>
      <c r="X15400" t="s">
        <v>154</v>
      </c>
      <c r="Y15400" t="s">
        <v>36</v>
      </c>
      <c r="Z15400" t="s">
        <v>166</v>
      </c>
      <c r="AA15400" s="22" t="str">
        <f>HYPERLINK("https://www.ncbi.nlm.nih.gov/nuccore/DQ873809","NCBI Nucleotide")</f>
        <v>NCBI Nucleotide</v>
      </c>
    </row>
    <row r="15401" spans="1:27" x14ac:dyDescent="0.35">
      <c r="A15401">
        <v>1004263</v>
      </c>
      <c r="B15401">
        <v>13849</v>
      </c>
      <c r="C15401">
        <v>1</v>
      </c>
      <c r="D15401" t="s">
        <v>35352</v>
      </c>
      <c r="F15401" t="s">
        <v>35353</v>
      </c>
      <c r="H15401" t="s">
        <v>35359</v>
      </c>
      <c r="J15401" t="s">
        <v>35705</v>
      </c>
      <c r="L15401" t="s">
        <v>35732</v>
      </c>
      <c r="N15401" t="s">
        <v>35733</v>
      </c>
      <c r="O15401" t="s">
        <v>35734</v>
      </c>
      <c r="P15401" t="s">
        <v>35735</v>
      </c>
      <c r="R15401" s="26" t="str">
        <f>HYPERLINK("https://ictv.global/taxonomy/taxondetails?taxnode_id=202304749","Avipoxvirus turkeypox")</f>
        <v>Avipoxvirus turkeypox</v>
      </c>
      <c r="S15401" t="s">
        <v>30</v>
      </c>
      <c r="T15401" t="s">
        <v>35756</v>
      </c>
      <c r="U15401" t="s">
        <v>35757</v>
      </c>
      <c r="V15401" t="s">
        <v>35758</v>
      </c>
      <c r="W15401" t="s">
        <v>35759</v>
      </c>
      <c r="X15401" t="s">
        <v>42</v>
      </c>
      <c r="Y15401" t="s">
        <v>36</v>
      </c>
      <c r="Z15401" t="s">
        <v>166</v>
      </c>
      <c r="AA15401" s="22" t="str">
        <f>HYPERLINK("https://www.ncbi.nlm.nih.gov/nuccore/KP728110","NCBI Nucleotide")</f>
        <v>NCBI Nucleotide</v>
      </c>
    </row>
    <row r="15402" spans="1:27" x14ac:dyDescent="0.35">
      <c r="A15402">
        <v>1004264</v>
      </c>
      <c r="B15402">
        <v>13850</v>
      </c>
      <c r="C15402">
        <v>1</v>
      </c>
      <c r="D15402" t="s">
        <v>35352</v>
      </c>
      <c r="F15402" t="s">
        <v>35353</v>
      </c>
      <c r="H15402" t="s">
        <v>35359</v>
      </c>
      <c r="J15402" t="s">
        <v>35705</v>
      </c>
      <c r="L15402" t="s">
        <v>35732</v>
      </c>
      <c r="N15402" t="s">
        <v>35733</v>
      </c>
      <c r="O15402" t="s">
        <v>35734</v>
      </c>
      <c r="P15402" t="s">
        <v>35760</v>
      </c>
      <c r="R15402" s="26" t="str">
        <f>HYPERLINK("https://ictv.global/taxonomy/taxondetails?taxnode_id=202304751","Capripoxvirus goatpox")</f>
        <v>Capripoxvirus goatpox</v>
      </c>
      <c r="S15402" t="s">
        <v>30</v>
      </c>
      <c r="T15402" t="s">
        <v>35761</v>
      </c>
      <c r="U15402" t="s">
        <v>35762</v>
      </c>
      <c r="V15402" t="s">
        <v>35763</v>
      </c>
      <c r="W15402" t="s">
        <v>35764</v>
      </c>
      <c r="X15402" t="s">
        <v>42</v>
      </c>
      <c r="Y15402" t="s">
        <v>36</v>
      </c>
      <c r="Z15402" t="s">
        <v>166</v>
      </c>
      <c r="AA15402" s="22" t="str">
        <f>HYPERLINK("https://www.ncbi.nlm.nih.gov/nuccore/AY077835","NCBI Nucleotide")</f>
        <v>NCBI Nucleotide</v>
      </c>
    </row>
    <row r="15403" spans="1:27" x14ac:dyDescent="0.35">
      <c r="A15403">
        <v>1004265</v>
      </c>
      <c r="B15403">
        <v>13851</v>
      </c>
      <c r="C15403">
        <v>1</v>
      </c>
      <c r="D15403" t="s">
        <v>35352</v>
      </c>
      <c r="F15403" t="s">
        <v>35353</v>
      </c>
      <c r="H15403" t="s">
        <v>35359</v>
      </c>
      <c r="J15403" t="s">
        <v>35705</v>
      </c>
      <c r="L15403" t="s">
        <v>35732</v>
      </c>
      <c r="N15403" t="s">
        <v>35733</v>
      </c>
      <c r="O15403" t="s">
        <v>35734</v>
      </c>
      <c r="P15403" t="s">
        <v>35760</v>
      </c>
      <c r="R15403" s="26" t="str">
        <f>HYPERLINK("https://ictv.global/taxonomy/taxondetails?taxnode_id=202304752","Capripoxvirus lumpyskinpox")</f>
        <v>Capripoxvirus lumpyskinpox</v>
      </c>
      <c r="S15403" t="s">
        <v>30</v>
      </c>
      <c r="T15403" t="s">
        <v>35765</v>
      </c>
      <c r="U15403" t="s">
        <v>35766</v>
      </c>
      <c r="V15403" t="s">
        <v>35767</v>
      </c>
      <c r="W15403" t="s">
        <v>35768</v>
      </c>
      <c r="X15403" t="s">
        <v>42</v>
      </c>
      <c r="Y15403" t="s">
        <v>36</v>
      </c>
      <c r="Z15403" t="s">
        <v>166</v>
      </c>
      <c r="AA15403" s="22" t="str">
        <f>HYPERLINK("https://www.ncbi.nlm.nih.gov/nuccore/AF325528","NCBI Nucleotide")</f>
        <v>NCBI Nucleotide</v>
      </c>
    </row>
    <row r="15404" spans="1:27" x14ac:dyDescent="0.35">
      <c r="A15404">
        <v>1004266</v>
      </c>
      <c r="B15404">
        <v>13852</v>
      </c>
      <c r="C15404">
        <v>1</v>
      </c>
      <c r="D15404" t="s">
        <v>35352</v>
      </c>
      <c r="F15404" t="s">
        <v>35353</v>
      </c>
      <c r="H15404" t="s">
        <v>35359</v>
      </c>
      <c r="J15404" t="s">
        <v>35705</v>
      </c>
      <c r="L15404" t="s">
        <v>35732</v>
      </c>
      <c r="N15404" t="s">
        <v>35733</v>
      </c>
      <c r="O15404" t="s">
        <v>35734</v>
      </c>
      <c r="P15404" t="s">
        <v>35760</v>
      </c>
      <c r="R15404" s="26" t="str">
        <f>HYPERLINK("https://ictv.global/taxonomy/taxondetails?taxnode_id=202304753","Capripoxvirus sheeppox")</f>
        <v>Capripoxvirus sheeppox</v>
      </c>
      <c r="S15404" t="s">
        <v>30</v>
      </c>
      <c r="T15404" t="s">
        <v>35769</v>
      </c>
      <c r="U15404" t="s">
        <v>12787</v>
      </c>
      <c r="V15404" t="s">
        <v>35770</v>
      </c>
      <c r="W15404" t="s">
        <v>35771</v>
      </c>
      <c r="X15404" t="s">
        <v>42</v>
      </c>
      <c r="Y15404" t="s">
        <v>36</v>
      </c>
      <c r="Z15404" t="s">
        <v>166</v>
      </c>
      <c r="AA15404" s="22" t="str">
        <f>HYPERLINK("https://www.ncbi.nlm.nih.gov/nuccore/AY077832","NCBI Nucleotide")</f>
        <v>NCBI Nucleotide</v>
      </c>
    </row>
    <row r="15405" spans="1:27" x14ac:dyDescent="0.35">
      <c r="A15405">
        <v>1004267</v>
      </c>
      <c r="B15405">
        <v>13853</v>
      </c>
      <c r="C15405">
        <v>1</v>
      </c>
      <c r="D15405" t="s">
        <v>35352</v>
      </c>
      <c r="F15405" t="s">
        <v>35353</v>
      </c>
      <c r="H15405" t="s">
        <v>35359</v>
      </c>
      <c r="J15405" t="s">
        <v>35705</v>
      </c>
      <c r="L15405" t="s">
        <v>35732</v>
      </c>
      <c r="N15405" t="s">
        <v>35733</v>
      </c>
      <c r="O15405" t="s">
        <v>35734</v>
      </c>
      <c r="P15405" t="s">
        <v>35772</v>
      </c>
      <c r="R15405" s="26" t="str">
        <f>HYPERLINK("https://ictv.global/taxonomy/taxondetails?taxnode_id=202307143","Centapoxvirus microtuspox")</f>
        <v>Centapoxvirus microtuspox</v>
      </c>
      <c r="S15405" t="s">
        <v>30</v>
      </c>
      <c r="T15405" t="s">
        <v>35773</v>
      </c>
      <c r="U15405" t="s">
        <v>35774</v>
      </c>
      <c r="V15405" t="s">
        <v>35775</v>
      </c>
      <c r="W15405" t="s">
        <v>35776</v>
      </c>
      <c r="X15405" t="s">
        <v>42</v>
      </c>
      <c r="Y15405" t="s">
        <v>36</v>
      </c>
      <c r="Z15405" t="s">
        <v>166</v>
      </c>
      <c r="AA15405" s="22" t="str">
        <f>HYPERLINK("https://www.ncbi.nlm.nih.gov/nuccore/MF001304","NCBI Nucleotide")</f>
        <v>NCBI Nucleotide</v>
      </c>
    </row>
    <row r="15406" spans="1:27" x14ac:dyDescent="0.35">
      <c r="A15406">
        <v>1004268</v>
      </c>
      <c r="B15406">
        <v>13854</v>
      </c>
      <c r="C15406">
        <v>1</v>
      </c>
      <c r="D15406" t="s">
        <v>35352</v>
      </c>
      <c r="F15406" t="s">
        <v>35353</v>
      </c>
      <c r="H15406" t="s">
        <v>35359</v>
      </c>
      <c r="J15406" t="s">
        <v>35705</v>
      </c>
      <c r="L15406" t="s">
        <v>35732</v>
      </c>
      <c r="N15406" t="s">
        <v>35733</v>
      </c>
      <c r="O15406" t="s">
        <v>35734</v>
      </c>
      <c r="P15406" t="s">
        <v>35772</v>
      </c>
      <c r="R15406" s="26" t="str">
        <f>HYPERLINK("https://ictv.global/taxonomy/taxondetails?taxnode_id=202304755","Centapoxvirus yokapox")</f>
        <v>Centapoxvirus yokapox</v>
      </c>
      <c r="S15406" t="s">
        <v>30</v>
      </c>
      <c r="T15406" t="s">
        <v>35777</v>
      </c>
      <c r="U15406" t="s">
        <v>35778</v>
      </c>
      <c r="V15406" t="s">
        <v>35779</v>
      </c>
      <c r="W15406" t="s">
        <v>35780</v>
      </c>
      <c r="X15406" t="s">
        <v>42</v>
      </c>
      <c r="Y15406" t="s">
        <v>36</v>
      </c>
      <c r="Z15406" t="s">
        <v>166</v>
      </c>
      <c r="AA15406" s="22" t="str">
        <f>HYPERLINK("https://www.ncbi.nlm.nih.gov/nuccore/HQ849551","NCBI Nucleotide")</f>
        <v>NCBI Nucleotide</v>
      </c>
    </row>
    <row r="15407" spans="1:27" x14ac:dyDescent="0.35">
      <c r="A15407">
        <v>1004269</v>
      </c>
      <c r="B15407">
        <v>13855</v>
      </c>
      <c r="C15407">
        <v>1</v>
      </c>
      <c r="D15407" t="s">
        <v>35352</v>
      </c>
      <c r="F15407" t="s">
        <v>35353</v>
      </c>
      <c r="H15407" t="s">
        <v>35359</v>
      </c>
      <c r="J15407" t="s">
        <v>35705</v>
      </c>
      <c r="L15407" t="s">
        <v>35732</v>
      </c>
      <c r="N15407" t="s">
        <v>35733</v>
      </c>
      <c r="O15407" t="s">
        <v>35734</v>
      </c>
      <c r="P15407" t="s">
        <v>35781</v>
      </c>
      <c r="R15407" s="26" t="str">
        <f>HYPERLINK("https://ictv.global/taxonomy/taxondetails?taxnode_id=202304757","Cervidpoxvirus muledeerpox")</f>
        <v>Cervidpoxvirus muledeerpox</v>
      </c>
      <c r="S15407" t="s">
        <v>30</v>
      </c>
      <c r="T15407" t="s">
        <v>35782</v>
      </c>
      <c r="U15407" t="s">
        <v>12735</v>
      </c>
      <c r="V15407" t="s">
        <v>35783</v>
      </c>
      <c r="W15407" t="s">
        <v>35784</v>
      </c>
      <c r="X15407" t="s">
        <v>42</v>
      </c>
      <c r="Y15407" t="s">
        <v>36</v>
      </c>
      <c r="Z15407" t="s">
        <v>166</v>
      </c>
      <c r="AA15407" s="22" t="str">
        <f>HYPERLINK("https://www.ncbi.nlm.nih.gov/nuccore/AY689436","NCBI Nucleotide")</f>
        <v>NCBI Nucleotide</v>
      </c>
    </row>
    <row r="15408" spans="1:27" x14ac:dyDescent="0.35">
      <c r="A15408">
        <v>1004270</v>
      </c>
      <c r="B15408">
        <v>13856</v>
      </c>
      <c r="C15408">
        <v>1</v>
      </c>
      <c r="D15408" t="s">
        <v>35352</v>
      </c>
      <c r="F15408" t="s">
        <v>35353</v>
      </c>
      <c r="H15408" t="s">
        <v>35359</v>
      </c>
      <c r="J15408" t="s">
        <v>35705</v>
      </c>
      <c r="L15408" t="s">
        <v>35732</v>
      </c>
      <c r="N15408" t="s">
        <v>35733</v>
      </c>
      <c r="O15408" t="s">
        <v>35734</v>
      </c>
      <c r="P15408" t="s">
        <v>35785</v>
      </c>
      <c r="R15408" s="26" t="str">
        <f>HYPERLINK("https://ictv.global/taxonomy/taxondetails?taxnode_id=202304759","Crocodylidpoxvirus nilecrocodilepox")</f>
        <v>Crocodylidpoxvirus nilecrocodilepox</v>
      </c>
      <c r="S15408" t="s">
        <v>30</v>
      </c>
      <c r="T15408" t="s">
        <v>35786</v>
      </c>
      <c r="U15408" t="s">
        <v>35787</v>
      </c>
      <c r="V15408" t="s">
        <v>15427</v>
      </c>
      <c r="W15408" t="s">
        <v>35788</v>
      </c>
      <c r="X15408" t="s">
        <v>42</v>
      </c>
      <c r="Y15408" t="s">
        <v>36</v>
      </c>
      <c r="Z15408" t="s">
        <v>166</v>
      </c>
      <c r="AA15408" s="22" t="str">
        <f>HYPERLINK("https://www.ncbi.nlm.nih.gov/nuccore/DQ356948","NCBI Nucleotide")</f>
        <v>NCBI Nucleotide</v>
      </c>
    </row>
    <row r="15409" spans="1:27" x14ac:dyDescent="0.35">
      <c r="A15409">
        <v>1004272</v>
      </c>
      <c r="B15409">
        <v>13857</v>
      </c>
      <c r="C15409">
        <v>1</v>
      </c>
      <c r="D15409" t="s">
        <v>35352</v>
      </c>
      <c r="F15409" t="s">
        <v>35353</v>
      </c>
      <c r="H15409" t="s">
        <v>35359</v>
      </c>
      <c r="J15409" t="s">
        <v>35705</v>
      </c>
      <c r="L15409" t="s">
        <v>35732</v>
      </c>
      <c r="N15409" t="s">
        <v>35733</v>
      </c>
      <c r="O15409" t="s">
        <v>35734</v>
      </c>
      <c r="P15409" t="s">
        <v>35789</v>
      </c>
      <c r="R15409" s="26" t="str">
        <f>HYPERLINK("https://ictv.global/taxonomy/taxondetails?taxnode_id=202304762","Leporipoxvirus myxoma")</f>
        <v>Leporipoxvirus myxoma</v>
      </c>
      <c r="S15409" t="s">
        <v>30</v>
      </c>
      <c r="T15409" t="s">
        <v>35790</v>
      </c>
      <c r="U15409" t="s">
        <v>35791</v>
      </c>
      <c r="V15409" t="s">
        <v>35792</v>
      </c>
      <c r="W15409" t="s">
        <v>35793</v>
      </c>
      <c r="X15409" t="s">
        <v>42</v>
      </c>
      <c r="Y15409" t="s">
        <v>36</v>
      </c>
      <c r="Z15409" t="s">
        <v>166</v>
      </c>
      <c r="AA15409" s="22" t="str">
        <f>HYPERLINK("https://www.ncbi.nlm.nih.gov/nuccore/AF170726","NCBI Nucleotide")</f>
        <v>NCBI Nucleotide</v>
      </c>
    </row>
    <row r="15410" spans="1:27" x14ac:dyDescent="0.35">
      <c r="A15410">
        <v>1004273</v>
      </c>
      <c r="B15410">
        <v>13858</v>
      </c>
      <c r="C15410">
        <v>1</v>
      </c>
      <c r="D15410" t="s">
        <v>35352</v>
      </c>
      <c r="F15410" t="s">
        <v>35353</v>
      </c>
      <c r="H15410" t="s">
        <v>35359</v>
      </c>
      <c r="J15410" t="s">
        <v>35705</v>
      </c>
      <c r="L15410" t="s">
        <v>35732</v>
      </c>
      <c r="N15410" t="s">
        <v>35733</v>
      </c>
      <c r="O15410" t="s">
        <v>35734</v>
      </c>
      <c r="P15410" t="s">
        <v>35789</v>
      </c>
      <c r="R15410" s="26" t="str">
        <f>HYPERLINK("https://ictv.global/taxonomy/taxondetails?taxnode_id=202304763","Leporipoxvirus shope")</f>
        <v>Leporipoxvirus shope</v>
      </c>
      <c r="S15410" t="s">
        <v>30</v>
      </c>
      <c r="T15410" t="s">
        <v>35794</v>
      </c>
      <c r="U15410" t="s">
        <v>35795</v>
      </c>
      <c r="V15410" t="s">
        <v>35796</v>
      </c>
      <c r="W15410" t="s">
        <v>35797</v>
      </c>
      <c r="X15410" t="s">
        <v>42</v>
      </c>
      <c r="Y15410" t="s">
        <v>36</v>
      </c>
      <c r="Z15410" t="s">
        <v>166</v>
      </c>
      <c r="AA15410" s="22" t="str">
        <f>HYPERLINK("https://www.ncbi.nlm.nih.gov/nuccore/AF170722","NCBI Nucleotide")</f>
        <v>NCBI Nucleotide</v>
      </c>
    </row>
    <row r="15411" spans="1:27" x14ac:dyDescent="0.35">
      <c r="A15411">
        <v>1004274</v>
      </c>
      <c r="B15411">
        <v>13859</v>
      </c>
      <c r="C15411">
        <v>1</v>
      </c>
      <c r="D15411" t="s">
        <v>35352</v>
      </c>
      <c r="F15411" t="s">
        <v>35353</v>
      </c>
      <c r="H15411" t="s">
        <v>35359</v>
      </c>
      <c r="J15411" t="s">
        <v>35705</v>
      </c>
      <c r="L15411" t="s">
        <v>35732</v>
      </c>
      <c r="N15411" t="s">
        <v>35733</v>
      </c>
      <c r="O15411" t="s">
        <v>35734</v>
      </c>
      <c r="P15411" t="s">
        <v>35789</v>
      </c>
      <c r="R15411" s="26" t="str">
        <f>HYPERLINK("https://ictv.global/taxonomy/taxondetails?taxnode_id=202304764","Leporipoxvirus squirrelfibroma")</f>
        <v>Leporipoxvirus squirrelfibroma</v>
      </c>
      <c r="S15411" t="s">
        <v>30</v>
      </c>
      <c r="T15411" t="s">
        <v>35798</v>
      </c>
      <c r="U15411" t="s">
        <v>35799</v>
      </c>
      <c r="V15411" t="s">
        <v>35800</v>
      </c>
      <c r="W15411" t="s">
        <v>35801</v>
      </c>
      <c r="X15411" t="s">
        <v>154</v>
      </c>
      <c r="Y15411" t="s">
        <v>36</v>
      </c>
      <c r="Z15411" t="s">
        <v>166</v>
      </c>
      <c r="AA15411" s="22" t="str">
        <f>HYPERLINK("https://www.ncbi.nlm.nih.gov/nuccore/EU732592","NCBI Nucleotide")</f>
        <v>NCBI Nucleotide</v>
      </c>
    </row>
    <row r="15412" spans="1:27" x14ac:dyDescent="0.35">
      <c r="A15412">
        <v>1004276</v>
      </c>
      <c r="B15412">
        <v>13860</v>
      </c>
      <c r="C15412">
        <v>1</v>
      </c>
      <c r="D15412" t="s">
        <v>35352</v>
      </c>
      <c r="F15412" t="s">
        <v>35353</v>
      </c>
      <c r="H15412" t="s">
        <v>35359</v>
      </c>
      <c r="J15412" t="s">
        <v>35705</v>
      </c>
      <c r="L15412" t="s">
        <v>35732</v>
      </c>
      <c r="N15412" t="s">
        <v>35733</v>
      </c>
      <c r="O15412" t="s">
        <v>35734</v>
      </c>
      <c r="P15412" t="s">
        <v>35802</v>
      </c>
      <c r="R15412" s="26" t="str">
        <f>HYPERLINK("https://ictv.global/taxonomy/taxondetails?taxnode_id=202307146","Macropopoxvirus mfuliginosuspox")</f>
        <v>Macropopoxvirus mfuliginosuspox</v>
      </c>
      <c r="S15412" t="s">
        <v>30</v>
      </c>
      <c r="T15412" t="s">
        <v>35807</v>
      </c>
      <c r="U15412" t="s">
        <v>35808</v>
      </c>
      <c r="V15412" t="s">
        <v>35809</v>
      </c>
      <c r="W15412" t="s">
        <v>35810</v>
      </c>
      <c r="X15412" t="s">
        <v>42</v>
      </c>
      <c r="Y15412" t="s">
        <v>36</v>
      </c>
      <c r="Z15412" t="s">
        <v>166</v>
      </c>
      <c r="AA15412" s="22" t="str">
        <f>HYPERLINK("https://www.ncbi.nlm.nih.gov/nuccore/MF467280","NCBI Nucleotide")</f>
        <v>NCBI Nucleotide</v>
      </c>
    </row>
    <row r="15413" spans="1:27" x14ac:dyDescent="0.35">
      <c r="A15413">
        <v>1004275</v>
      </c>
      <c r="B15413">
        <v>13861</v>
      </c>
      <c r="C15413">
        <v>1</v>
      </c>
      <c r="D15413" t="s">
        <v>35352</v>
      </c>
      <c r="F15413" t="s">
        <v>35353</v>
      </c>
      <c r="H15413" t="s">
        <v>35359</v>
      </c>
      <c r="J15413" t="s">
        <v>35705</v>
      </c>
      <c r="L15413" t="s">
        <v>35732</v>
      </c>
      <c r="N15413" t="s">
        <v>35733</v>
      </c>
      <c r="O15413" t="s">
        <v>35734</v>
      </c>
      <c r="P15413" t="s">
        <v>35802</v>
      </c>
      <c r="R15413" s="26" t="str">
        <f>HYPERLINK("https://ictv.global/taxonomy/taxondetails?taxnode_id=202307145","Macropopoxvirus mgiganteuspox")</f>
        <v>Macropopoxvirus mgiganteuspox</v>
      </c>
      <c r="S15413" t="s">
        <v>30</v>
      </c>
      <c r="T15413" t="s">
        <v>35803</v>
      </c>
      <c r="U15413" t="s">
        <v>35804</v>
      </c>
      <c r="V15413" t="s">
        <v>35805</v>
      </c>
      <c r="W15413" t="s">
        <v>35806</v>
      </c>
      <c r="X15413" t="s">
        <v>42</v>
      </c>
      <c r="Y15413" t="s">
        <v>36</v>
      </c>
      <c r="Z15413" t="s">
        <v>166</v>
      </c>
      <c r="AA15413" s="22" t="str">
        <f>HYPERLINK("https://www.ncbi.nlm.nih.gov/nuccore/MF467281","NCBI Nucleotide")</f>
        <v>NCBI Nucleotide</v>
      </c>
    </row>
    <row r="15414" spans="1:27" x14ac:dyDescent="0.35">
      <c r="A15414">
        <v>1004277</v>
      </c>
      <c r="B15414">
        <v>13862</v>
      </c>
      <c r="C15414">
        <v>1</v>
      </c>
      <c r="D15414" t="s">
        <v>35352</v>
      </c>
      <c r="F15414" t="s">
        <v>35353</v>
      </c>
      <c r="H15414" t="s">
        <v>35359</v>
      </c>
      <c r="J15414" t="s">
        <v>35705</v>
      </c>
      <c r="L15414" t="s">
        <v>35732</v>
      </c>
      <c r="N15414" t="s">
        <v>35733</v>
      </c>
      <c r="O15414" t="s">
        <v>35734</v>
      </c>
      <c r="P15414" t="s">
        <v>35811</v>
      </c>
      <c r="R15414" s="26" t="str">
        <f>HYPERLINK("https://ictv.global/taxonomy/taxondetails?taxnode_id=202304766","Molluscipoxvirus molluscum")</f>
        <v>Molluscipoxvirus molluscum</v>
      </c>
      <c r="S15414" t="s">
        <v>30</v>
      </c>
      <c r="T15414" t="s">
        <v>35812</v>
      </c>
      <c r="U15414" t="s">
        <v>30306</v>
      </c>
      <c r="V15414" t="s">
        <v>35813</v>
      </c>
      <c r="W15414" t="s">
        <v>35814</v>
      </c>
      <c r="X15414" t="s">
        <v>42</v>
      </c>
      <c r="Y15414" t="s">
        <v>36</v>
      </c>
      <c r="Z15414" t="s">
        <v>166</v>
      </c>
      <c r="AA15414" s="22" t="str">
        <f>HYPERLINK("https://www.ncbi.nlm.nih.gov/nuccore/U60315","NCBI Nucleotide")</f>
        <v>NCBI Nucleotide</v>
      </c>
    </row>
    <row r="15415" spans="1:27" x14ac:dyDescent="0.35">
      <c r="A15415">
        <v>1004278</v>
      </c>
      <c r="B15415">
        <v>13863</v>
      </c>
      <c r="C15415">
        <v>1</v>
      </c>
      <c r="D15415" t="s">
        <v>35352</v>
      </c>
      <c r="F15415" t="s">
        <v>35353</v>
      </c>
      <c r="H15415" t="s">
        <v>35359</v>
      </c>
      <c r="J15415" t="s">
        <v>35705</v>
      </c>
      <c r="L15415" t="s">
        <v>35732</v>
      </c>
      <c r="N15415" t="s">
        <v>35733</v>
      </c>
      <c r="O15415" t="s">
        <v>35734</v>
      </c>
      <c r="P15415" t="s">
        <v>35815</v>
      </c>
      <c r="R15415" s="26" t="str">
        <f>HYPERLINK("https://ictv.global/taxonomy/taxondetails?taxnode_id=202307148","Mustelpoxvirus seaotterpox")</f>
        <v>Mustelpoxvirus seaotterpox</v>
      </c>
      <c r="S15415" t="s">
        <v>30</v>
      </c>
      <c r="T15415" t="s">
        <v>35816</v>
      </c>
      <c r="U15415" t="s">
        <v>35817</v>
      </c>
      <c r="V15415" t="s">
        <v>35818</v>
      </c>
      <c r="W15415" t="s">
        <v>35819</v>
      </c>
      <c r="X15415" t="s">
        <v>42</v>
      </c>
      <c r="Y15415" t="s">
        <v>36</v>
      </c>
      <c r="Z15415" t="s">
        <v>166</v>
      </c>
      <c r="AA15415" s="22" t="str">
        <f>HYPERLINK("https://www.ncbi.nlm.nih.gov/nuccore/MH427217","NCBI Nucleotide")</f>
        <v>NCBI Nucleotide</v>
      </c>
    </row>
    <row r="15416" spans="1:27" x14ac:dyDescent="0.35">
      <c r="A15416">
        <v>1004279</v>
      </c>
      <c r="B15416">
        <v>13864</v>
      </c>
      <c r="C15416">
        <v>1</v>
      </c>
      <c r="D15416" t="s">
        <v>35352</v>
      </c>
      <c r="F15416" t="s">
        <v>35353</v>
      </c>
      <c r="H15416" t="s">
        <v>35359</v>
      </c>
      <c r="J15416" t="s">
        <v>35705</v>
      </c>
      <c r="L15416" t="s">
        <v>35732</v>
      </c>
      <c r="N15416" t="s">
        <v>35733</v>
      </c>
      <c r="O15416" t="s">
        <v>35734</v>
      </c>
      <c r="P15416" t="s">
        <v>35820</v>
      </c>
      <c r="R15416" s="26" t="str">
        <f>HYPERLINK("https://ictv.global/taxonomy/taxondetails?taxnode_id=202307149","Orthopoxvirus abatinomacacapox")</f>
        <v>Orthopoxvirus abatinomacacapox</v>
      </c>
      <c r="S15416" t="s">
        <v>30</v>
      </c>
      <c r="T15416" t="s">
        <v>35821</v>
      </c>
      <c r="U15416" t="s">
        <v>35822</v>
      </c>
      <c r="W15416" t="s">
        <v>35823</v>
      </c>
      <c r="X15416" t="s">
        <v>42</v>
      </c>
      <c r="Y15416" t="s">
        <v>36</v>
      </c>
      <c r="Z15416" t="s">
        <v>166</v>
      </c>
      <c r="AA15416" s="22" t="str">
        <f>HYPERLINK("https://www.ncbi.nlm.nih.gov/nuccore/MH816996","NCBI Nucleotide")</f>
        <v>NCBI Nucleotide</v>
      </c>
    </row>
    <row r="15417" spans="1:27" x14ac:dyDescent="0.35">
      <c r="A15417">
        <v>1004280</v>
      </c>
      <c r="B15417">
        <v>13865</v>
      </c>
      <c r="C15417">
        <v>1</v>
      </c>
      <c r="D15417" t="s">
        <v>35352</v>
      </c>
      <c r="F15417" t="s">
        <v>35353</v>
      </c>
      <c r="H15417" t="s">
        <v>35359</v>
      </c>
      <c r="J15417" t="s">
        <v>35705</v>
      </c>
      <c r="L15417" t="s">
        <v>35732</v>
      </c>
      <c r="N15417" t="s">
        <v>35733</v>
      </c>
      <c r="O15417" t="s">
        <v>35734</v>
      </c>
      <c r="P15417" t="s">
        <v>35820</v>
      </c>
      <c r="R15417" s="26" t="str">
        <f>HYPERLINK("https://ictv.global/taxonomy/taxondetails?taxnode_id=202307150","Orthopoxvirus akhmetapox")</f>
        <v>Orthopoxvirus akhmetapox</v>
      </c>
      <c r="S15417" t="s">
        <v>30</v>
      </c>
      <c r="T15417" t="s">
        <v>35824</v>
      </c>
      <c r="U15417" t="s">
        <v>35825</v>
      </c>
      <c r="V15417" t="s">
        <v>35826</v>
      </c>
      <c r="W15417" t="s">
        <v>35827</v>
      </c>
      <c r="X15417" t="s">
        <v>42</v>
      </c>
      <c r="Y15417" t="s">
        <v>36</v>
      </c>
      <c r="Z15417" t="s">
        <v>166</v>
      </c>
      <c r="AA15417" s="22" t="str">
        <f>HYPERLINK("https://www.ncbi.nlm.nih.gov/nuccore/MH607141","NCBI Nucleotide")</f>
        <v>NCBI Nucleotide</v>
      </c>
    </row>
    <row r="15418" spans="1:27" x14ac:dyDescent="0.35">
      <c r="A15418">
        <v>1004281</v>
      </c>
      <c r="B15418">
        <v>13866</v>
      </c>
      <c r="C15418">
        <v>1</v>
      </c>
      <c r="D15418" t="s">
        <v>35352</v>
      </c>
      <c r="F15418" t="s">
        <v>35353</v>
      </c>
      <c r="H15418" t="s">
        <v>35359</v>
      </c>
      <c r="J15418" t="s">
        <v>35705</v>
      </c>
      <c r="L15418" t="s">
        <v>35732</v>
      </c>
      <c r="N15418" t="s">
        <v>35733</v>
      </c>
      <c r="O15418" t="s">
        <v>35734</v>
      </c>
      <c r="P15418" t="s">
        <v>35820</v>
      </c>
      <c r="R15418" s="26" t="str">
        <f>HYPERLINK("https://ictv.global/taxonomy/taxondetails?taxnode_id=202304768","Orthopoxvirus camelpox")</f>
        <v>Orthopoxvirus camelpox</v>
      </c>
      <c r="S15418" t="s">
        <v>30</v>
      </c>
      <c r="T15418" t="s">
        <v>35828</v>
      </c>
      <c r="U15418" t="s">
        <v>35829</v>
      </c>
      <c r="V15418" t="s">
        <v>35830</v>
      </c>
      <c r="W15418" t="s">
        <v>35831</v>
      </c>
      <c r="X15418" t="s">
        <v>42</v>
      </c>
      <c r="Y15418" t="s">
        <v>36</v>
      </c>
      <c r="Z15418" t="s">
        <v>166</v>
      </c>
      <c r="AA15418" s="22" t="str">
        <f>HYPERLINK("https://www.ncbi.nlm.nih.gov/nuccore/AF438165","NCBI Nucleotide")</f>
        <v>NCBI Nucleotide</v>
      </c>
    </row>
    <row r="15419" spans="1:27" x14ac:dyDescent="0.35">
      <c r="A15419">
        <v>1004282</v>
      </c>
      <c r="B15419">
        <v>13867</v>
      </c>
      <c r="C15419">
        <v>1</v>
      </c>
      <c r="D15419" t="s">
        <v>35352</v>
      </c>
      <c r="F15419" t="s">
        <v>35353</v>
      </c>
      <c r="H15419" t="s">
        <v>35359</v>
      </c>
      <c r="J15419" t="s">
        <v>35705</v>
      </c>
      <c r="L15419" t="s">
        <v>35732</v>
      </c>
      <c r="N15419" t="s">
        <v>35733</v>
      </c>
      <c r="O15419" t="s">
        <v>35734</v>
      </c>
      <c r="P15419" t="s">
        <v>35820</v>
      </c>
      <c r="R15419" s="26" t="str">
        <f>HYPERLINK("https://ictv.global/taxonomy/taxondetails?taxnode_id=202304769","Orthopoxvirus cowpox")</f>
        <v>Orthopoxvirus cowpox</v>
      </c>
      <c r="S15419" t="s">
        <v>30</v>
      </c>
      <c r="T15419" t="s">
        <v>35832</v>
      </c>
      <c r="U15419" t="s">
        <v>12807</v>
      </c>
      <c r="V15419" t="s">
        <v>35833</v>
      </c>
      <c r="W15419" t="s">
        <v>35834</v>
      </c>
      <c r="X15419" t="s">
        <v>42</v>
      </c>
      <c r="Y15419" t="s">
        <v>36</v>
      </c>
      <c r="Z15419" t="s">
        <v>166</v>
      </c>
      <c r="AA15419" s="22" t="str">
        <f>HYPERLINK("https://www.ncbi.nlm.nih.gov/nuccore/AF482758","NCBI Nucleotide")</f>
        <v>NCBI Nucleotide</v>
      </c>
    </row>
    <row r="15420" spans="1:27" x14ac:dyDescent="0.35">
      <c r="A15420">
        <v>1004283</v>
      </c>
      <c r="B15420">
        <v>13868</v>
      </c>
      <c r="C15420">
        <v>1</v>
      </c>
      <c r="D15420" t="s">
        <v>35352</v>
      </c>
      <c r="F15420" t="s">
        <v>35353</v>
      </c>
      <c r="H15420" t="s">
        <v>35359</v>
      </c>
      <c r="J15420" t="s">
        <v>35705</v>
      </c>
      <c r="L15420" t="s">
        <v>35732</v>
      </c>
      <c r="N15420" t="s">
        <v>35733</v>
      </c>
      <c r="O15420" t="s">
        <v>35734</v>
      </c>
      <c r="P15420" t="s">
        <v>35820</v>
      </c>
      <c r="R15420" s="26" t="str">
        <f>HYPERLINK("https://ictv.global/taxonomy/taxondetails?taxnode_id=202304770","Orthopoxvirus ectromelia")</f>
        <v>Orthopoxvirus ectromelia</v>
      </c>
      <c r="S15420" t="s">
        <v>30</v>
      </c>
      <c r="T15420" t="s">
        <v>35835</v>
      </c>
      <c r="U15420" t="s">
        <v>35836</v>
      </c>
      <c r="V15420" t="s">
        <v>35837</v>
      </c>
      <c r="W15420" t="s">
        <v>35838</v>
      </c>
      <c r="X15420" t="s">
        <v>42</v>
      </c>
      <c r="Y15420" t="s">
        <v>36</v>
      </c>
      <c r="Z15420" t="s">
        <v>166</v>
      </c>
      <c r="AA15420" s="22" t="str">
        <f>HYPERLINK("https://www.ncbi.nlm.nih.gov/nuccore/AF012825","NCBI Nucleotide")</f>
        <v>NCBI Nucleotide</v>
      </c>
    </row>
    <row r="15421" spans="1:27" x14ac:dyDescent="0.35">
      <c r="A15421">
        <v>1004284</v>
      </c>
      <c r="B15421">
        <v>13869</v>
      </c>
      <c r="C15421">
        <v>1</v>
      </c>
      <c r="D15421" t="s">
        <v>35352</v>
      </c>
      <c r="F15421" t="s">
        <v>35353</v>
      </c>
      <c r="H15421" t="s">
        <v>35359</v>
      </c>
      <c r="J15421" t="s">
        <v>35705</v>
      </c>
      <c r="L15421" t="s">
        <v>35732</v>
      </c>
      <c r="N15421" t="s">
        <v>35733</v>
      </c>
      <c r="O15421" t="s">
        <v>35734</v>
      </c>
      <c r="P15421" t="s">
        <v>35820</v>
      </c>
      <c r="R15421" s="26" t="str">
        <f>HYPERLINK("https://ictv.global/taxonomy/taxondetails?taxnode_id=202304771","Orthopoxvirus monkeypox")</f>
        <v>Orthopoxvirus monkeypox</v>
      </c>
      <c r="S15421" t="s">
        <v>30</v>
      </c>
      <c r="T15421" t="s">
        <v>35839</v>
      </c>
      <c r="U15421" t="s">
        <v>20821</v>
      </c>
      <c r="V15421" t="s">
        <v>35840</v>
      </c>
      <c r="W15421" t="s">
        <v>35841</v>
      </c>
      <c r="X15421" t="s">
        <v>42</v>
      </c>
      <c r="Y15421" t="s">
        <v>36</v>
      </c>
      <c r="Z15421" t="s">
        <v>166</v>
      </c>
      <c r="AA15421" s="22" t="str">
        <f>HYPERLINK("https://www.ncbi.nlm.nih.gov/nuccore/AF380138","NCBI Nucleotide")</f>
        <v>NCBI Nucleotide</v>
      </c>
    </row>
    <row r="15422" spans="1:27" x14ac:dyDescent="0.35">
      <c r="A15422">
        <v>1004285</v>
      </c>
      <c r="B15422">
        <v>13870</v>
      </c>
      <c r="C15422">
        <v>1</v>
      </c>
      <c r="D15422" t="s">
        <v>35352</v>
      </c>
      <c r="F15422" t="s">
        <v>35353</v>
      </c>
      <c r="H15422" t="s">
        <v>35359</v>
      </c>
      <c r="J15422" t="s">
        <v>35705</v>
      </c>
      <c r="L15422" t="s">
        <v>35732</v>
      </c>
      <c r="N15422" t="s">
        <v>35733</v>
      </c>
      <c r="O15422" t="s">
        <v>35734</v>
      </c>
      <c r="P15422" t="s">
        <v>35820</v>
      </c>
      <c r="R15422" s="26" t="str">
        <f>HYPERLINK("https://ictv.global/taxonomy/taxondetails?taxnode_id=202304772","Orthopoxvirus raccoonpox")</f>
        <v>Orthopoxvirus raccoonpox</v>
      </c>
      <c r="S15422" t="s">
        <v>30</v>
      </c>
      <c r="T15422" t="s">
        <v>35842</v>
      </c>
      <c r="U15422" t="s">
        <v>35843</v>
      </c>
      <c r="V15422" t="s">
        <v>35844</v>
      </c>
      <c r="W15422" t="s">
        <v>35845</v>
      </c>
      <c r="X15422" t="s">
        <v>42</v>
      </c>
      <c r="Y15422" t="s">
        <v>36</v>
      </c>
      <c r="Z15422" t="s">
        <v>166</v>
      </c>
      <c r="AA15422" s="22" t="str">
        <f>HYPERLINK("https://www.ncbi.nlm.nih.gov/nuccore/KP143769","NCBI Nucleotide")</f>
        <v>NCBI Nucleotide</v>
      </c>
    </row>
    <row r="15423" spans="1:27" x14ac:dyDescent="0.35">
      <c r="A15423">
        <v>1004286</v>
      </c>
      <c r="B15423">
        <v>13871</v>
      </c>
      <c r="C15423">
        <v>1</v>
      </c>
      <c r="D15423" t="s">
        <v>35352</v>
      </c>
      <c r="F15423" t="s">
        <v>35353</v>
      </c>
      <c r="H15423" t="s">
        <v>35359</v>
      </c>
      <c r="J15423" t="s">
        <v>35705</v>
      </c>
      <c r="L15423" t="s">
        <v>35732</v>
      </c>
      <c r="N15423" t="s">
        <v>35733</v>
      </c>
      <c r="O15423" t="s">
        <v>35734</v>
      </c>
      <c r="P15423" t="s">
        <v>35820</v>
      </c>
      <c r="R15423" s="26" t="str">
        <f>HYPERLINK("https://ictv.global/taxonomy/taxondetails?taxnode_id=202304773","Orthopoxvirus skunkpox")</f>
        <v>Orthopoxvirus skunkpox</v>
      </c>
      <c r="S15423" t="s">
        <v>30</v>
      </c>
      <c r="T15423" t="s">
        <v>35846</v>
      </c>
      <c r="U15423" t="s">
        <v>35847</v>
      </c>
      <c r="V15423" t="s">
        <v>34851</v>
      </c>
      <c r="W15423" t="s">
        <v>35848</v>
      </c>
      <c r="X15423" t="s">
        <v>42</v>
      </c>
      <c r="Y15423" t="s">
        <v>36</v>
      </c>
      <c r="Z15423" t="s">
        <v>166</v>
      </c>
      <c r="AA15423" s="22" t="str">
        <f>HYPERLINK("https://www.ncbi.nlm.nih.gov/nuccore/KU749310","NCBI Nucleotide")</f>
        <v>NCBI Nucleotide</v>
      </c>
    </row>
    <row r="15424" spans="1:27" x14ac:dyDescent="0.35">
      <c r="A15424">
        <v>1004287</v>
      </c>
      <c r="B15424">
        <v>13872</v>
      </c>
      <c r="C15424">
        <v>1</v>
      </c>
      <c r="D15424" t="s">
        <v>35352</v>
      </c>
      <c r="F15424" t="s">
        <v>35353</v>
      </c>
      <c r="H15424" t="s">
        <v>35359</v>
      </c>
      <c r="J15424" t="s">
        <v>35705</v>
      </c>
      <c r="L15424" t="s">
        <v>35732</v>
      </c>
      <c r="N15424" t="s">
        <v>35733</v>
      </c>
      <c r="O15424" t="s">
        <v>35734</v>
      </c>
      <c r="P15424" t="s">
        <v>35820</v>
      </c>
      <c r="R15424" s="26" t="str">
        <f>HYPERLINK("https://ictv.global/taxonomy/taxondetails?taxnode_id=202304774","Orthopoxvirus taterapox")</f>
        <v>Orthopoxvirus taterapox</v>
      </c>
      <c r="S15424" t="s">
        <v>30</v>
      </c>
      <c r="T15424" t="s">
        <v>35849</v>
      </c>
      <c r="U15424" t="s">
        <v>35850</v>
      </c>
      <c r="V15424" t="s">
        <v>35851</v>
      </c>
      <c r="W15424" t="s">
        <v>35852</v>
      </c>
      <c r="X15424" t="s">
        <v>42</v>
      </c>
      <c r="Y15424" t="s">
        <v>36</v>
      </c>
      <c r="Z15424" t="s">
        <v>166</v>
      </c>
      <c r="AA15424" s="22" t="str">
        <f>HYPERLINK("https://www.ncbi.nlm.nih.gov/nuccore/DQ437594","NCBI Nucleotide")</f>
        <v>NCBI Nucleotide</v>
      </c>
    </row>
    <row r="15425" spans="1:27" x14ac:dyDescent="0.35">
      <c r="A15425">
        <v>1004288</v>
      </c>
      <c r="B15425">
        <v>13873</v>
      </c>
      <c r="C15425">
        <v>1</v>
      </c>
      <c r="D15425" t="s">
        <v>35352</v>
      </c>
      <c r="F15425" t="s">
        <v>35353</v>
      </c>
      <c r="H15425" t="s">
        <v>35359</v>
      </c>
      <c r="J15425" t="s">
        <v>35705</v>
      </c>
      <c r="L15425" t="s">
        <v>35732</v>
      </c>
      <c r="N15425" t="s">
        <v>35733</v>
      </c>
      <c r="O15425" t="s">
        <v>35734</v>
      </c>
      <c r="P15425" t="s">
        <v>35820</v>
      </c>
      <c r="R15425" s="26" t="str">
        <f>HYPERLINK("https://ictv.global/taxonomy/taxondetails?taxnode_id=202304775","Orthopoxvirus vaccinia")</f>
        <v>Orthopoxvirus vaccinia</v>
      </c>
      <c r="S15425" t="s">
        <v>30</v>
      </c>
      <c r="T15425" t="s">
        <v>35853</v>
      </c>
      <c r="U15425" t="s">
        <v>35854</v>
      </c>
      <c r="V15425" t="s">
        <v>35855</v>
      </c>
      <c r="W15425" t="s">
        <v>35856</v>
      </c>
      <c r="X15425" t="s">
        <v>42</v>
      </c>
      <c r="Y15425" t="s">
        <v>36</v>
      </c>
      <c r="Z15425" t="s">
        <v>166</v>
      </c>
      <c r="AA15425" s="22" t="str">
        <f>HYPERLINK("https://www.ncbi.nlm.nih.gov/nuccore/AY243312","NCBI Nucleotide")</f>
        <v>NCBI Nucleotide</v>
      </c>
    </row>
    <row r="15426" spans="1:27" x14ac:dyDescent="0.35">
      <c r="A15426">
        <v>1004289</v>
      </c>
      <c r="B15426">
        <v>13874</v>
      </c>
      <c r="C15426">
        <v>1</v>
      </c>
      <c r="D15426" t="s">
        <v>35352</v>
      </c>
      <c r="F15426" t="s">
        <v>35353</v>
      </c>
      <c r="H15426" t="s">
        <v>35359</v>
      </c>
      <c r="J15426" t="s">
        <v>35705</v>
      </c>
      <c r="L15426" t="s">
        <v>35732</v>
      </c>
      <c r="N15426" t="s">
        <v>35733</v>
      </c>
      <c r="O15426" t="s">
        <v>35734</v>
      </c>
      <c r="P15426" t="s">
        <v>35820</v>
      </c>
      <c r="R15426" s="26" t="str">
        <f>HYPERLINK("https://ictv.global/taxonomy/taxondetails?taxnode_id=202304776","Orthopoxvirus variola")</f>
        <v>Orthopoxvirus variola</v>
      </c>
      <c r="S15426" t="s">
        <v>30</v>
      </c>
      <c r="T15426" t="s">
        <v>35857</v>
      </c>
      <c r="U15426" t="s">
        <v>35858</v>
      </c>
      <c r="V15426" t="s">
        <v>35859</v>
      </c>
      <c r="W15426" t="s">
        <v>35860</v>
      </c>
      <c r="X15426" t="s">
        <v>42</v>
      </c>
      <c r="Y15426" t="s">
        <v>36</v>
      </c>
      <c r="Z15426" t="s">
        <v>166</v>
      </c>
      <c r="AA15426" s="22" t="str">
        <f>HYPERLINK("https://www.ncbi.nlm.nih.gov/nuccore/X69198","NCBI Nucleotide")</f>
        <v>NCBI Nucleotide</v>
      </c>
    </row>
    <row r="15427" spans="1:27" x14ac:dyDescent="0.35">
      <c r="A15427">
        <v>1004290</v>
      </c>
      <c r="B15427">
        <v>13875</v>
      </c>
      <c r="C15427">
        <v>1</v>
      </c>
      <c r="D15427" t="s">
        <v>35352</v>
      </c>
      <c r="F15427" t="s">
        <v>35353</v>
      </c>
      <c r="H15427" t="s">
        <v>35359</v>
      </c>
      <c r="J15427" t="s">
        <v>35705</v>
      </c>
      <c r="L15427" t="s">
        <v>35732</v>
      </c>
      <c r="N15427" t="s">
        <v>35733</v>
      </c>
      <c r="O15427" t="s">
        <v>35734</v>
      </c>
      <c r="P15427" t="s">
        <v>35820</v>
      </c>
      <c r="R15427" s="26" t="str">
        <f>HYPERLINK("https://ictv.global/taxonomy/taxondetails?taxnode_id=202304777","Orthopoxvirus volepox")</f>
        <v>Orthopoxvirus volepox</v>
      </c>
      <c r="S15427" t="s">
        <v>30</v>
      </c>
      <c r="T15427" t="s">
        <v>35861</v>
      </c>
      <c r="U15427" t="s">
        <v>35862</v>
      </c>
      <c r="V15427" t="s">
        <v>19456</v>
      </c>
      <c r="W15427" t="s">
        <v>35863</v>
      </c>
      <c r="X15427" t="s">
        <v>42</v>
      </c>
      <c r="Y15427" t="s">
        <v>36</v>
      </c>
      <c r="Z15427" t="s">
        <v>166</v>
      </c>
      <c r="AA15427" s="22" t="str">
        <f>HYPERLINK("https://www.ncbi.nlm.nih.gov/nuccore/KU749311","NCBI Nucleotide")</f>
        <v>NCBI Nucleotide</v>
      </c>
    </row>
    <row r="15428" spans="1:27" x14ac:dyDescent="0.35">
      <c r="A15428">
        <v>1004291</v>
      </c>
      <c r="B15428">
        <v>13876</v>
      </c>
      <c r="C15428">
        <v>1</v>
      </c>
      <c r="D15428" t="s">
        <v>35352</v>
      </c>
      <c r="F15428" t="s">
        <v>35353</v>
      </c>
      <c r="H15428" t="s">
        <v>35359</v>
      </c>
      <c r="J15428" t="s">
        <v>35705</v>
      </c>
      <c r="L15428" t="s">
        <v>35732</v>
      </c>
      <c r="N15428" t="s">
        <v>35733</v>
      </c>
      <c r="O15428" t="s">
        <v>35734</v>
      </c>
      <c r="P15428" t="s">
        <v>35864</v>
      </c>
      <c r="R15428" s="26" t="str">
        <f>HYPERLINK("https://ictv.global/taxonomy/taxondetails?taxnode_id=202307152","Oryzopoxvirus cotia")</f>
        <v>Oryzopoxvirus cotia</v>
      </c>
      <c r="S15428" t="s">
        <v>30</v>
      </c>
      <c r="T15428" t="s">
        <v>35865</v>
      </c>
      <c r="U15428" t="s">
        <v>35866</v>
      </c>
      <c r="V15428" t="s">
        <v>35867</v>
      </c>
      <c r="W15428" t="s">
        <v>35868</v>
      </c>
      <c r="X15428" t="s">
        <v>42</v>
      </c>
      <c r="Y15428" t="s">
        <v>36</v>
      </c>
      <c r="Z15428" t="s">
        <v>166</v>
      </c>
      <c r="AA15428" s="22" t="str">
        <f>HYPERLINK("https://www.ncbi.nlm.nih.gov/nuccore/HQ647181","NCBI Nucleotide")</f>
        <v>NCBI Nucleotide</v>
      </c>
    </row>
    <row r="15429" spans="1:27" x14ac:dyDescent="0.35">
      <c r="A15429">
        <v>1004292</v>
      </c>
      <c r="B15429">
        <v>13877</v>
      </c>
      <c r="C15429">
        <v>1</v>
      </c>
      <c r="D15429" t="s">
        <v>35352</v>
      </c>
      <c r="F15429" t="s">
        <v>35353</v>
      </c>
      <c r="H15429" t="s">
        <v>35359</v>
      </c>
      <c r="J15429" t="s">
        <v>35705</v>
      </c>
      <c r="L15429" t="s">
        <v>35732</v>
      </c>
      <c r="N15429" t="s">
        <v>35733</v>
      </c>
      <c r="O15429" t="s">
        <v>35734</v>
      </c>
      <c r="P15429" t="s">
        <v>35869</v>
      </c>
      <c r="R15429" s="26" t="str">
        <f>HYPERLINK("https://ictv.global/taxonomy/taxondetails?taxnode_id=202304779","Parapoxvirus bovinestomatitis")</f>
        <v>Parapoxvirus bovinestomatitis</v>
      </c>
      <c r="S15429" t="s">
        <v>30</v>
      </c>
      <c r="T15429" t="s">
        <v>35870</v>
      </c>
      <c r="U15429" t="s">
        <v>35871</v>
      </c>
      <c r="V15429" t="s">
        <v>35872</v>
      </c>
      <c r="W15429" t="s">
        <v>35873</v>
      </c>
      <c r="X15429" t="s">
        <v>42</v>
      </c>
      <c r="Y15429" t="s">
        <v>36</v>
      </c>
      <c r="Z15429" t="s">
        <v>166</v>
      </c>
      <c r="AA15429" s="22" t="str">
        <f>HYPERLINK("https://www.ncbi.nlm.nih.gov/nuccore/AY386265","NCBI Nucleotide")</f>
        <v>NCBI Nucleotide</v>
      </c>
    </row>
    <row r="15430" spans="1:27" x14ac:dyDescent="0.35">
      <c r="A15430">
        <v>1004294</v>
      </c>
      <c r="B15430">
        <v>13878</v>
      </c>
      <c r="C15430">
        <v>1</v>
      </c>
      <c r="D15430" t="s">
        <v>35352</v>
      </c>
      <c r="F15430" t="s">
        <v>35353</v>
      </c>
      <c r="H15430" t="s">
        <v>35359</v>
      </c>
      <c r="J15430" t="s">
        <v>35705</v>
      </c>
      <c r="L15430" t="s">
        <v>35732</v>
      </c>
      <c r="N15430" t="s">
        <v>35733</v>
      </c>
      <c r="O15430" t="s">
        <v>35734</v>
      </c>
      <c r="P15430" t="s">
        <v>35869</v>
      </c>
      <c r="R15430" s="26" t="str">
        <f>HYPERLINK("https://ictv.global/taxonomy/taxondetails?taxnode_id=202304780","Parapoxvirus orf")</f>
        <v>Parapoxvirus orf</v>
      </c>
      <c r="S15430" t="s">
        <v>30</v>
      </c>
      <c r="T15430" t="s">
        <v>35878</v>
      </c>
      <c r="U15430" t="s">
        <v>35879</v>
      </c>
      <c r="V15430" t="s">
        <v>35880</v>
      </c>
      <c r="W15430" t="s">
        <v>35881</v>
      </c>
      <c r="X15430" t="s">
        <v>42</v>
      </c>
      <c r="Y15430" t="s">
        <v>36</v>
      </c>
      <c r="Z15430" t="s">
        <v>166</v>
      </c>
      <c r="AA15430" s="22" t="str">
        <f>HYPERLINK("https://www.ncbi.nlm.nih.gov/nuccore/AY386264","NCBI Nucleotide")</f>
        <v>NCBI Nucleotide</v>
      </c>
    </row>
    <row r="15431" spans="1:27" x14ac:dyDescent="0.35">
      <c r="A15431">
        <v>1004295</v>
      </c>
      <c r="B15431">
        <v>13879</v>
      </c>
      <c r="C15431">
        <v>1</v>
      </c>
      <c r="D15431" t="s">
        <v>35352</v>
      </c>
      <c r="F15431" t="s">
        <v>35353</v>
      </c>
      <c r="H15431" t="s">
        <v>35359</v>
      </c>
      <c r="J15431" t="s">
        <v>35705</v>
      </c>
      <c r="L15431" t="s">
        <v>35732</v>
      </c>
      <c r="N15431" t="s">
        <v>35733</v>
      </c>
      <c r="O15431" t="s">
        <v>35734</v>
      </c>
      <c r="P15431" t="s">
        <v>35869</v>
      </c>
      <c r="R15431" s="26" t="str">
        <f>HYPERLINK("https://ictv.global/taxonomy/taxondetails?taxnode_id=202304782","Parapoxvirus pseudocowpox")</f>
        <v>Parapoxvirus pseudocowpox</v>
      </c>
      <c r="S15431" t="s">
        <v>30</v>
      </c>
      <c r="T15431" t="s">
        <v>35882</v>
      </c>
      <c r="U15431" t="s">
        <v>35883</v>
      </c>
      <c r="V15431" t="s">
        <v>35884</v>
      </c>
      <c r="W15431" t="s">
        <v>35885</v>
      </c>
      <c r="X15431" t="s">
        <v>42</v>
      </c>
      <c r="Y15431" t="s">
        <v>36</v>
      </c>
      <c r="Z15431" t="s">
        <v>166</v>
      </c>
      <c r="AA15431" s="22" t="str">
        <f>HYPERLINK("https://www.ncbi.nlm.nih.gov/nuccore/GQ329670","NCBI Nucleotide")</f>
        <v>NCBI Nucleotide</v>
      </c>
    </row>
    <row r="15432" spans="1:27" x14ac:dyDescent="0.35">
      <c r="A15432">
        <v>1004296</v>
      </c>
      <c r="B15432">
        <v>13880</v>
      </c>
      <c r="C15432">
        <v>1</v>
      </c>
      <c r="D15432" t="s">
        <v>35352</v>
      </c>
      <c r="F15432" t="s">
        <v>35353</v>
      </c>
      <c r="H15432" t="s">
        <v>35359</v>
      </c>
      <c r="J15432" t="s">
        <v>35705</v>
      </c>
      <c r="L15432" t="s">
        <v>35732</v>
      </c>
      <c r="N15432" t="s">
        <v>35733</v>
      </c>
      <c r="O15432" t="s">
        <v>35734</v>
      </c>
      <c r="P15432" t="s">
        <v>35869</v>
      </c>
      <c r="R15432" s="26" t="str">
        <f>HYPERLINK("https://ictv.global/taxonomy/taxondetails?taxnode_id=202304781","Parapoxvirus reddeerpox")</f>
        <v>Parapoxvirus reddeerpox</v>
      </c>
      <c r="S15432" t="s">
        <v>30</v>
      </c>
      <c r="T15432" t="s">
        <v>35886</v>
      </c>
      <c r="U15432" t="s">
        <v>35887</v>
      </c>
      <c r="V15432" t="s">
        <v>35888</v>
      </c>
      <c r="W15432" t="s">
        <v>35889</v>
      </c>
      <c r="X15432" t="s">
        <v>42</v>
      </c>
      <c r="Y15432" t="s">
        <v>36</v>
      </c>
      <c r="Z15432" t="s">
        <v>166</v>
      </c>
      <c r="AA15432" s="22" t="str">
        <f>HYPERLINK("https://www.ncbi.nlm.nih.gov/nuccore/KM502564","NCBI Nucleotide")</f>
        <v>NCBI Nucleotide</v>
      </c>
    </row>
    <row r="15433" spans="1:27" x14ac:dyDescent="0.35">
      <c r="A15433">
        <v>1004293</v>
      </c>
      <c r="B15433">
        <v>13881</v>
      </c>
      <c r="C15433">
        <v>1</v>
      </c>
      <c r="D15433" t="s">
        <v>35352</v>
      </c>
      <c r="F15433" t="s">
        <v>35353</v>
      </c>
      <c r="H15433" t="s">
        <v>35359</v>
      </c>
      <c r="J15433" t="s">
        <v>35705</v>
      </c>
      <c r="L15433" t="s">
        <v>35732</v>
      </c>
      <c r="N15433" t="s">
        <v>35733</v>
      </c>
      <c r="O15433" t="s">
        <v>35734</v>
      </c>
      <c r="P15433" t="s">
        <v>35869</v>
      </c>
      <c r="R15433" s="26" t="str">
        <f>HYPERLINK("https://ictv.global/taxonomy/taxondetails?taxnode_id=202307153","Parapoxvirus sealpox")</f>
        <v>Parapoxvirus sealpox</v>
      </c>
      <c r="S15433" t="s">
        <v>30</v>
      </c>
      <c r="T15433" t="s">
        <v>35874</v>
      </c>
      <c r="U15433" t="s">
        <v>35875</v>
      </c>
      <c r="V15433" t="s">
        <v>35876</v>
      </c>
      <c r="W15433" t="s">
        <v>35877</v>
      </c>
      <c r="X15433" t="s">
        <v>42</v>
      </c>
      <c r="Y15433" t="s">
        <v>36</v>
      </c>
      <c r="Z15433" t="s">
        <v>166</v>
      </c>
      <c r="AA15433" s="22" t="str">
        <f>HYPERLINK("https://www.ncbi.nlm.nih.gov/nuccore/KY382358","NCBI Nucleotide")</f>
        <v>NCBI Nucleotide</v>
      </c>
    </row>
    <row r="15434" spans="1:27" x14ac:dyDescent="0.35">
      <c r="A15434">
        <v>1004297</v>
      </c>
      <c r="B15434">
        <v>13882</v>
      </c>
      <c r="C15434">
        <v>1</v>
      </c>
      <c r="D15434" t="s">
        <v>35352</v>
      </c>
      <c r="F15434" t="s">
        <v>35353</v>
      </c>
      <c r="H15434" t="s">
        <v>35359</v>
      </c>
      <c r="J15434" t="s">
        <v>35705</v>
      </c>
      <c r="L15434" t="s">
        <v>35732</v>
      </c>
      <c r="N15434" t="s">
        <v>35733</v>
      </c>
      <c r="O15434" t="s">
        <v>35734</v>
      </c>
      <c r="P15434" t="s">
        <v>35890</v>
      </c>
      <c r="R15434" s="26" t="str">
        <f>HYPERLINK("https://ictv.global/taxonomy/taxondetails?taxnode_id=202304786","Pteropopoxvirus pteropox")</f>
        <v>Pteropopoxvirus pteropox</v>
      </c>
      <c r="S15434" t="s">
        <v>30</v>
      </c>
      <c r="T15434" t="s">
        <v>35891</v>
      </c>
      <c r="U15434" t="s">
        <v>35892</v>
      </c>
      <c r="V15434" t="s">
        <v>13887</v>
      </c>
      <c r="W15434" t="s">
        <v>35893</v>
      </c>
      <c r="X15434" t="s">
        <v>42</v>
      </c>
      <c r="Y15434" t="s">
        <v>36</v>
      </c>
      <c r="Z15434" t="s">
        <v>166</v>
      </c>
      <c r="AA15434" s="22" t="str">
        <f>HYPERLINK("https://www.ncbi.nlm.nih.gov/nuccore/KU980965","NCBI Nucleotide")</f>
        <v>NCBI Nucleotide</v>
      </c>
    </row>
    <row r="15435" spans="1:27" x14ac:dyDescent="0.35">
      <c r="A15435">
        <v>1004298</v>
      </c>
      <c r="B15435">
        <v>13883</v>
      </c>
      <c r="C15435">
        <v>1</v>
      </c>
      <c r="D15435" t="s">
        <v>35352</v>
      </c>
      <c r="F15435" t="s">
        <v>35353</v>
      </c>
      <c r="H15435" t="s">
        <v>35359</v>
      </c>
      <c r="J15435" t="s">
        <v>35705</v>
      </c>
      <c r="L15435" t="s">
        <v>35732</v>
      </c>
      <c r="N15435" t="s">
        <v>35733</v>
      </c>
      <c r="O15435" t="s">
        <v>35734</v>
      </c>
      <c r="P15435" t="s">
        <v>35894</v>
      </c>
      <c r="R15435" s="26" t="str">
        <f>HYPERLINK("https://ictv.global/taxonomy/taxondetails?taxnode_id=202307156","Salmonpoxvirus gillpox")</f>
        <v>Salmonpoxvirus gillpox</v>
      </c>
      <c r="S15435" t="s">
        <v>30</v>
      </c>
      <c r="T15435" t="s">
        <v>35895</v>
      </c>
      <c r="U15435" t="s">
        <v>35896</v>
      </c>
      <c r="W15435" t="s">
        <v>35897</v>
      </c>
      <c r="X15435" t="s">
        <v>42</v>
      </c>
      <c r="Y15435" t="s">
        <v>36</v>
      </c>
      <c r="Z15435" t="s">
        <v>166</v>
      </c>
      <c r="AA15435" s="22" t="str">
        <f>HYPERLINK("https://www.ncbi.nlm.nih.gov/nuccore/KT159937","NCBI Nucleotide")</f>
        <v>NCBI Nucleotide</v>
      </c>
    </row>
    <row r="15436" spans="1:27" x14ac:dyDescent="0.35">
      <c r="A15436">
        <v>1004299</v>
      </c>
      <c r="B15436">
        <v>13884</v>
      </c>
      <c r="C15436">
        <v>1</v>
      </c>
      <c r="D15436" t="s">
        <v>35352</v>
      </c>
      <c r="F15436" t="s">
        <v>35353</v>
      </c>
      <c r="H15436" t="s">
        <v>35359</v>
      </c>
      <c r="J15436" t="s">
        <v>35705</v>
      </c>
      <c r="L15436" t="s">
        <v>35732</v>
      </c>
      <c r="N15436" t="s">
        <v>35733</v>
      </c>
      <c r="O15436" t="s">
        <v>35734</v>
      </c>
      <c r="P15436" t="s">
        <v>35898</v>
      </c>
      <c r="R15436" s="26" t="str">
        <f>HYPERLINK("https://ictv.global/taxonomy/taxondetails?taxnode_id=202304787","Sciuripoxvirus squirrelpox")</f>
        <v>Sciuripoxvirus squirrelpox</v>
      </c>
      <c r="S15436" t="s">
        <v>30</v>
      </c>
      <c r="T15436" t="s">
        <v>35899</v>
      </c>
      <c r="U15436" t="s">
        <v>35900</v>
      </c>
      <c r="V15436" t="s">
        <v>35901</v>
      </c>
      <c r="W15436" t="s">
        <v>35902</v>
      </c>
      <c r="X15436" t="s">
        <v>42</v>
      </c>
      <c r="Y15436" t="s">
        <v>36</v>
      </c>
      <c r="Z15436" t="s">
        <v>166</v>
      </c>
      <c r="AA15436" s="22" t="str">
        <f>HYPERLINK("https://www.ncbi.nlm.nih.gov/nuccore/HE601899","NCBI Nucleotide")</f>
        <v>NCBI Nucleotide</v>
      </c>
    </row>
    <row r="15437" spans="1:27" x14ac:dyDescent="0.35">
      <c r="A15437">
        <v>1004300</v>
      </c>
      <c r="B15437">
        <v>13885</v>
      </c>
      <c r="C15437">
        <v>1</v>
      </c>
      <c r="D15437" t="s">
        <v>35352</v>
      </c>
      <c r="F15437" t="s">
        <v>35353</v>
      </c>
      <c r="H15437" t="s">
        <v>35359</v>
      </c>
      <c r="J15437" t="s">
        <v>35705</v>
      </c>
      <c r="L15437" t="s">
        <v>35732</v>
      </c>
      <c r="N15437" t="s">
        <v>35733</v>
      </c>
      <c r="O15437" t="s">
        <v>35734</v>
      </c>
      <c r="P15437" t="s">
        <v>35903</v>
      </c>
      <c r="R15437" s="26" t="str">
        <f>HYPERLINK("https://ictv.global/taxonomy/taxondetails?taxnode_id=202304784","Suipoxvirus swinepox")</f>
        <v>Suipoxvirus swinepox</v>
      </c>
      <c r="S15437" t="s">
        <v>30</v>
      </c>
      <c r="T15437" t="s">
        <v>35904</v>
      </c>
      <c r="U15437" t="s">
        <v>35905</v>
      </c>
      <c r="V15437" t="s">
        <v>35906</v>
      </c>
      <c r="W15437" t="s">
        <v>35907</v>
      </c>
      <c r="X15437" t="s">
        <v>42</v>
      </c>
      <c r="Y15437" t="s">
        <v>36</v>
      </c>
      <c r="Z15437" t="s">
        <v>166</v>
      </c>
      <c r="AA15437" s="22" t="str">
        <f>HYPERLINK("https://www.ncbi.nlm.nih.gov/nuccore/AF410153","NCBI Nucleotide")</f>
        <v>NCBI Nucleotide</v>
      </c>
    </row>
    <row r="15438" spans="1:27" x14ac:dyDescent="0.35">
      <c r="A15438">
        <v>1004301</v>
      </c>
      <c r="B15438">
        <v>13886</v>
      </c>
      <c r="C15438">
        <v>1</v>
      </c>
      <c r="D15438" t="s">
        <v>35352</v>
      </c>
      <c r="F15438" t="s">
        <v>35353</v>
      </c>
      <c r="H15438" t="s">
        <v>35359</v>
      </c>
      <c r="J15438" t="s">
        <v>35705</v>
      </c>
      <c r="L15438" t="s">
        <v>35732</v>
      </c>
      <c r="N15438" t="s">
        <v>35733</v>
      </c>
      <c r="O15438" t="s">
        <v>35734</v>
      </c>
      <c r="P15438" t="s">
        <v>35908</v>
      </c>
      <c r="R15438" s="26" t="str">
        <f>HYPERLINK("https://ictv.global/taxonomy/taxondetails?taxnode_id=202307159","Vespertilionpoxvirus eptesipox")</f>
        <v>Vespertilionpoxvirus eptesipox</v>
      </c>
      <c r="S15438" t="s">
        <v>30</v>
      </c>
      <c r="T15438" t="s">
        <v>35909</v>
      </c>
      <c r="U15438" t="s">
        <v>35910</v>
      </c>
      <c r="V15438" t="s">
        <v>19487</v>
      </c>
      <c r="W15438" t="s">
        <v>35911</v>
      </c>
      <c r="X15438" t="s">
        <v>42</v>
      </c>
      <c r="Y15438" t="s">
        <v>36</v>
      </c>
      <c r="Z15438" t="s">
        <v>166</v>
      </c>
      <c r="AA15438" s="22" t="str">
        <f>HYPERLINK("https://www.ncbi.nlm.nih.gov/nuccore/KY747497","NCBI Nucleotide")</f>
        <v>NCBI Nucleotide</v>
      </c>
    </row>
    <row r="15439" spans="1:27" x14ac:dyDescent="0.35">
      <c r="A15439">
        <v>1004302</v>
      </c>
      <c r="B15439">
        <v>13887</v>
      </c>
      <c r="C15439">
        <v>1</v>
      </c>
      <c r="D15439" t="s">
        <v>35352</v>
      </c>
      <c r="F15439" t="s">
        <v>35353</v>
      </c>
      <c r="H15439" t="s">
        <v>35359</v>
      </c>
      <c r="J15439" t="s">
        <v>35705</v>
      </c>
      <c r="L15439" t="s">
        <v>35732</v>
      </c>
      <c r="N15439" t="s">
        <v>35733</v>
      </c>
      <c r="O15439" t="s">
        <v>35734</v>
      </c>
      <c r="P15439" t="s">
        <v>35912</v>
      </c>
      <c r="R15439" s="26" t="str">
        <f>HYPERLINK("https://ictv.global/taxonomy/taxondetails?taxnode_id=202304789","Yatapoxvirus tanapox")</f>
        <v>Yatapoxvirus tanapox</v>
      </c>
      <c r="S15439" t="s">
        <v>30</v>
      </c>
      <c r="T15439" t="s">
        <v>35913</v>
      </c>
      <c r="U15439" t="s">
        <v>35914</v>
      </c>
      <c r="V15439" t="s">
        <v>35915</v>
      </c>
      <c r="W15439" t="s">
        <v>35916</v>
      </c>
      <c r="X15439" t="s">
        <v>42</v>
      </c>
      <c r="Y15439" t="s">
        <v>36</v>
      </c>
      <c r="Z15439" t="s">
        <v>166</v>
      </c>
      <c r="AA15439" s="22" t="str">
        <f>HYPERLINK("https://www.ncbi.nlm.nih.gov/nuccore/AJ293568","NCBI Nucleotide")</f>
        <v>NCBI Nucleotide</v>
      </c>
    </row>
    <row r="15440" spans="1:27" x14ac:dyDescent="0.35">
      <c r="A15440">
        <v>1012045</v>
      </c>
      <c r="B15440">
        <v>13887</v>
      </c>
      <c r="C15440">
        <v>2</v>
      </c>
      <c r="D15440" t="s">
        <v>35352</v>
      </c>
      <c r="F15440" t="s">
        <v>35353</v>
      </c>
      <c r="H15440" t="s">
        <v>35359</v>
      </c>
      <c r="J15440" t="s">
        <v>35705</v>
      </c>
      <c r="L15440" t="s">
        <v>35732</v>
      </c>
      <c r="N15440" t="s">
        <v>35733</v>
      </c>
      <c r="O15440" t="s">
        <v>35734</v>
      </c>
      <c r="P15440" t="s">
        <v>35912</v>
      </c>
      <c r="R15440" s="26" t="str">
        <f>HYPERLINK("https://ictv.global/taxonomy/taxondetails?taxnode_id=202304789","Yatapoxvirus tanapox")</f>
        <v>Yatapoxvirus tanapox</v>
      </c>
      <c r="S15440" t="s">
        <v>8141</v>
      </c>
      <c r="T15440" t="s">
        <v>35917</v>
      </c>
      <c r="U15440" t="s">
        <v>27899</v>
      </c>
      <c r="V15440" t="s">
        <v>35918</v>
      </c>
      <c r="W15440" t="s">
        <v>50237</v>
      </c>
      <c r="X15440" t="s">
        <v>42</v>
      </c>
      <c r="Y15440" t="s">
        <v>36</v>
      </c>
      <c r="Z15440" t="s">
        <v>166</v>
      </c>
      <c r="AA15440" s="22" t="str">
        <f>HYPERLINK("https://www.ncbi.nlm.nih.gov/nuccore/EF420156","NCBI Nucleotide")</f>
        <v>NCBI Nucleotide</v>
      </c>
    </row>
    <row r="15441" spans="1:27" x14ac:dyDescent="0.35">
      <c r="A15441">
        <v>1004303</v>
      </c>
      <c r="B15441">
        <v>13888</v>
      </c>
      <c r="C15441">
        <v>1</v>
      </c>
      <c r="D15441" t="s">
        <v>35352</v>
      </c>
      <c r="F15441" t="s">
        <v>35353</v>
      </c>
      <c r="H15441" t="s">
        <v>35359</v>
      </c>
      <c r="J15441" t="s">
        <v>35705</v>
      </c>
      <c r="L15441" t="s">
        <v>35732</v>
      </c>
      <c r="N15441" t="s">
        <v>35733</v>
      </c>
      <c r="O15441" t="s">
        <v>35734</v>
      </c>
      <c r="P15441" t="s">
        <v>35912</v>
      </c>
      <c r="R15441" s="26" t="str">
        <f>HYPERLINK("https://ictv.global/taxonomy/taxondetails?taxnode_id=202304790","Yatapoxvirus yabapox")</f>
        <v>Yatapoxvirus yabapox</v>
      </c>
      <c r="S15441" t="s">
        <v>30</v>
      </c>
      <c r="T15441" t="s">
        <v>35919</v>
      </c>
      <c r="U15441" t="s">
        <v>35920</v>
      </c>
      <c r="W15441" t="s">
        <v>35921</v>
      </c>
      <c r="X15441" t="s">
        <v>42</v>
      </c>
      <c r="Y15441" t="s">
        <v>36</v>
      </c>
      <c r="Z15441" t="s">
        <v>166</v>
      </c>
      <c r="AA15441" s="22" t="str">
        <f>HYPERLINK("https://www.ncbi.nlm.nih.gov/nuccore/AY386371","NCBI Nucleotide")</f>
        <v>NCBI Nucleotide</v>
      </c>
    </row>
    <row r="15442" spans="1:27" x14ac:dyDescent="0.35">
      <c r="A15442">
        <v>1004304</v>
      </c>
      <c r="B15442">
        <v>13889</v>
      </c>
      <c r="C15442">
        <v>1</v>
      </c>
      <c r="D15442" t="s">
        <v>35352</v>
      </c>
      <c r="F15442" t="s">
        <v>35353</v>
      </c>
      <c r="H15442" t="s">
        <v>35359</v>
      </c>
      <c r="J15442" t="s">
        <v>35705</v>
      </c>
      <c r="L15442" t="s">
        <v>35732</v>
      </c>
      <c r="N15442" t="s">
        <v>35733</v>
      </c>
      <c r="O15442" t="s">
        <v>35922</v>
      </c>
      <c r="P15442" t="s">
        <v>35926</v>
      </c>
      <c r="R15442" s="26" t="str">
        <f>HYPERLINK("https://ictv.global/taxonomy/taxondetails?taxnode_id=202304793","Alphaentomopoxvirus acuprea")</f>
        <v>Alphaentomopoxvirus acuprea</v>
      </c>
      <c r="S15442" t="s">
        <v>30</v>
      </c>
      <c r="T15442" t="s">
        <v>35927</v>
      </c>
      <c r="U15442" t="s">
        <v>35928</v>
      </c>
      <c r="V15442" t="s">
        <v>35929</v>
      </c>
      <c r="W15442" t="s">
        <v>35930</v>
      </c>
      <c r="X15442" t="s">
        <v>42</v>
      </c>
      <c r="Y15442" t="s">
        <v>36</v>
      </c>
      <c r="Z15442" t="s">
        <v>10790</v>
      </c>
      <c r="AA15442" s="22" t="str">
        <f>HYPERLINK("https://www.ncbi.nlm.nih.gov/nuccore/AP013055","NCBI Nucleotide")</f>
        <v>NCBI Nucleotide</v>
      </c>
    </row>
    <row r="15443" spans="1:27" x14ac:dyDescent="0.35">
      <c r="A15443">
        <v>1004310</v>
      </c>
      <c r="B15443">
        <v>13890</v>
      </c>
      <c r="C15443">
        <v>1</v>
      </c>
      <c r="D15443" t="s">
        <v>35352</v>
      </c>
      <c r="F15443" t="s">
        <v>35353</v>
      </c>
      <c r="H15443" t="s">
        <v>35359</v>
      </c>
      <c r="J15443" t="s">
        <v>35705</v>
      </c>
      <c r="L15443" t="s">
        <v>35732</v>
      </c>
      <c r="N15443" t="s">
        <v>35733</v>
      </c>
      <c r="O15443" t="s">
        <v>35922</v>
      </c>
      <c r="P15443" t="s">
        <v>35926</v>
      </c>
      <c r="R15443" s="26" t="str">
        <f>HYPERLINK("https://ictv.global/taxonomy/taxondetails?taxnode_id=202304799","Alphaentomopoxvirus mmelolontha")</f>
        <v>Alphaentomopoxvirus mmelolontha</v>
      </c>
      <c r="S15443" t="s">
        <v>30</v>
      </c>
      <c r="T15443" t="s">
        <v>35931</v>
      </c>
      <c r="U15443" t="s">
        <v>35932</v>
      </c>
      <c r="W15443" t="s">
        <v>35933</v>
      </c>
      <c r="X15443" t="s">
        <v>154</v>
      </c>
      <c r="Y15443" t="s">
        <v>36</v>
      </c>
      <c r="Z15443" t="s">
        <v>10790</v>
      </c>
      <c r="AA15443" s="22" t="str">
        <f>HYPERLINK("https://www.ncbi.nlm.nih.gov/nuccore/X77616","NCBI Nucleotide")</f>
        <v>NCBI Nucleotide</v>
      </c>
    </row>
    <row r="15444" spans="1:27" x14ac:dyDescent="0.35">
      <c r="A15444">
        <v>1004312</v>
      </c>
      <c r="B15444">
        <v>13891</v>
      </c>
      <c r="C15444">
        <v>1</v>
      </c>
      <c r="D15444" t="s">
        <v>35352</v>
      </c>
      <c r="F15444" t="s">
        <v>35353</v>
      </c>
      <c r="H15444" t="s">
        <v>35359</v>
      </c>
      <c r="J15444" t="s">
        <v>35705</v>
      </c>
      <c r="L15444" t="s">
        <v>35732</v>
      </c>
      <c r="N15444" t="s">
        <v>35733</v>
      </c>
      <c r="O15444" t="s">
        <v>35922</v>
      </c>
      <c r="P15444" t="s">
        <v>35934</v>
      </c>
      <c r="R15444" s="26" t="str">
        <f>HYPERLINK("https://ictv.global/taxonomy/taxondetails?taxnode_id=202304802","Betaentomopoxvirus ahonmai")</f>
        <v>Betaentomopoxvirus ahonmai</v>
      </c>
      <c r="S15444" t="s">
        <v>30</v>
      </c>
      <c r="T15444" t="s">
        <v>35935</v>
      </c>
      <c r="U15444" t="s">
        <v>18036</v>
      </c>
      <c r="V15444" t="s">
        <v>35936</v>
      </c>
      <c r="W15444" t="s">
        <v>35937</v>
      </c>
      <c r="X15444" t="s">
        <v>42</v>
      </c>
      <c r="Y15444" t="s">
        <v>36</v>
      </c>
      <c r="Z15444" t="s">
        <v>10790</v>
      </c>
      <c r="AA15444" s="22" t="str">
        <f>HYPERLINK("https://www.ncbi.nlm.nih.gov/nuccore/HF679131","NCBI Nucleotide")</f>
        <v>NCBI Nucleotide</v>
      </c>
    </row>
    <row r="15445" spans="1:27" x14ac:dyDescent="0.35">
      <c r="A15445">
        <v>1004313</v>
      </c>
      <c r="B15445">
        <v>13892</v>
      </c>
      <c r="C15445">
        <v>1</v>
      </c>
      <c r="D15445" t="s">
        <v>35352</v>
      </c>
      <c r="F15445" t="s">
        <v>35353</v>
      </c>
      <c r="H15445" t="s">
        <v>35359</v>
      </c>
      <c r="J15445" t="s">
        <v>35705</v>
      </c>
      <c r="L15445" t="s">
        <v>35732</v>
      </c>
      <c r="N15445" t="s">
        <v>35733</v>
      </c>
      <c r="O15445" t="s">
        <v>35922</v>
      </c>
      <c r="P15445" t="s">
        <v>35934</v>
      </c>
      <c r="R15445" s="26" t="str">
        <f>HYPERLINK("https://ictv.global/taxonomy/taxondetails?taxnode_id=202304803","Betaentomopoxvirus amoorei")</f>
        <v>Betaentomopoxvirus amoorei</v>
      </c>
      <c r="S15445" t="s">
        <v>30</v>
      </c>
      <c r="T15445" t="s">
        <v>35938</v>
      </c>
      <c r="U15445" t="s">
        <v>35939</v>
      </c>
      <c r="W15445" t="s">
        <v>35940</v>
      </c>
      <c r="X15445" t="s">
        <v>42</v>
      </c>
      <c r="Y15445" t="s">
        <v>36</v>
      </c>
      <c r="Z15445" t="s">
        <v>10790</v>
      </c>
      <c r="AA15445" s="22" t="str">
        <f>HYPERLINK("https://www.ncbi.nlm.nih.gov/nuccore/AF250284","NCBI Nucleotide")</f>
        <v>NCBI Nucleotide</v>
      </c>
    </row>
    <row r="15446" spans="1:27" x14ac:dyDescent="0.35">
      <c r="A15446">
        <v>1004315</v>
      </c>
      <c r="B15446">
        <v>13893</v>
      </c>
      <c r="C15446">
        <v>1</v>
      </c>
      <c r="D15446" t="s">
        <v>35352</v>
      </c>
      <c r="F15446" t="s">
        <v>35353</v>
      </c>
      <c r="H15446" t="s">
        <v>35359</v>
      </c>
      <c r="J15446" t="s">
        <v>35705</v>
      </c>
      <c r="L15446" t="s">
        <v>35732</v>
      </c>
      <c r="N15446" t="s">
        <v>35733</v>
      </c>
      <c r="O15446" t="s">
        <v>35922</v>
      </c>
      <c r="P15446" t="s">
        <v>35934</v>
      </c>
      <c r="R15446" s="26" t="str">
        <f>HYPERLINK("https://ictv.global/taxonomy/taxondetails?taxnode_id=202304805","Betaentomopoxvirus cbiennis")</f>
        <v>Betaentomopoxvirus cbiennis</v>
      </c>
      <c r="S15446" t="s">
        <v>30</v>
      </c>
      <c r="T15446" t="s">
        <v>35941</v>
      </c>
      <c r="U15446" t="s">
        <v>35942</v>
      </c>
      <c r="W15446" t="s">
        <v>35943</v>
      </c>
      <c r="X15446" t="s">
        <v>42</v>
      </c>
      <c r="Y15446" t="s">
        <v>36</v>
      </c>
      <c r="Z15446" t="s">
        <v>10790</v>
      </c>
      <c r="AA15446" s="22" t="str">
        <f>HYPERLINK("https://www.ncbi.nlm.nih.gov/nuccore/HF679132","NCBI Nucleotide")</f>
        <v>NCBI Nucleotide</v>
      </c>
    </row>
    <row r="15447" spans="1:27" x14ac:dyDescent="0.35">
      <c r="A15447">
        <v>1004318</v>
      </c>
      <c r="B15447">
        <v>13894</v>
      </c>
      <c r="C15447">
        <v>1</v>
      </c>
      <c r="D15447" t="s">
        <v>35352</v>
      </c>
      <c r="F15447" t="s">
        <v>35353</v>
      </c>
      <c r="H15447" t="s">
        <v>35359</v>
      </c>
      <c r="J15447" t="s">
        <v>35705</v>
      </c>
      <c r="L15447" t="s">
        <v>35732</v>
      </c>
      <c r="N15447" t="s">
        <v>35733</v>
      </c>
      <c r="O15447" t="s">
        <v>35922</v>
      </c>
      <c r="P15447" t="s">
        <v>35934</v>
      </c>
      <c r="R15447" s="26" t="str">
        <f>HYPERLINK("https://ictv.global/taxonomy/taxondetails?taxnode_id=202304808","Betaentomopoxvirus cfumiferana")</f>
        <v>Betaentomopoxvirus cfumiferana</v>
      </c>
      <c r="S15447" t="s">
        <v>30</v>
      </c>
      <c r="T15447" t="s">
        <v>35944</v>
      </c>
      <c r="U15447" t="s">
        <v>35945</v>
      </c>
      <c r="W15447" t="s">
        <v>50751</v>
      </c>
      <c r="X15447" t="s">
        <v>154</v>
      </c>
      <c r="Y15447" t="s">
        <v>36</v>
      </c>
      <c r="Z15447" t="s">
        <v>10790</v>
      </c>
      <c r="AA15447" s="22" t="str">
        <f>HYPERLINK("https://www.ncbi.nlm.nih.gov/nuccore/U19239,D10681,AF027657,U76536","NCBI Nucleotide")</f>
        <v>NCBI Nucleotide</v>
      </c>
    </row>
    <row r="15448" spans="1:27" x14ac:dyDescent="0.35">
      <c r="A15448">
        <v>1004319</v>
      </c>
      <c r="B15448">
        <v>13895</v>
      </c>
      <c r="C15448">
        <v>1</v>
      </c>
      <c r="D15448" t="s">
        <v>35352</v>
      </c>
      <c r="F15448" t="s">
        <v>35353</v>
      </c>
      <c r="H15448" t="s">
        <v>35359</v>
      </c>
      <c r="J15448" t="s">
        <v>35705</v>
      </c>
      <c r="L15448" t="s">
        <v>35732</v>
      </c>
      <c r="N15448" t="s">
        <v>35733</v>
      </c>
      <c r="O15448" t="s">
        <v>35922</v>
      </c>
      <c r="P15448" t="s">
        <v>35934</v>
      </c>
      <c r="R15448" s="26" t="str">
        <f>HYPERLINK("https://ictv.global/taxonomy/taxondetails?taxnode_id=202304809","Betaentomopoxvirus crosaceana")</f>
        <v>Betaentomopoxvirus crosaceana</v>
      </c>
      <c r="S15448" t="s">
        <v>30</v>
      </c>
      <c r="T15448" t="s">
        <v>35946</v>
      </c>
      <c r="U15448" t="s">
        <v>35947</v>
      </c>
      <c r="W15448" t="s">
        <v>35948</v>
      </c>
      <c r="X15448" t="s">
        <v>42</v>
      </c>
      <c r="Y15448" t="s">
        <v>36</v>
      </c>
      <c r="Z15448" t="s">
        <v>10790</v>
      </c>
      <c r="AA15448" s="22" t="str">
        <f>HYPERLINK("https://www.ncbi.nlm.nih.gov/nuccore/HF679133","NCBI Nucleotide")</f>
        <v>NCBI Nucleotide</v>
      </c>
    </row>
    <row r="15449" spans="1:27" x14ac:dyDescent="0.35">
      <c r="A15449">
        <v>1004323</v>
      </c>
      <c r="B15449">
        <v>13896</v>
      </c>
      <c r="C15449">
        <v>1</v>
      </c>
      <c r="D15449" t="s">
        <v>35352</v>
      </c>
      <c r="F15449" t="s">
        <v>35353</v>
      </c>
      <c r="H15449" t="s">
        <v>35359</v>
      </c>
      <c r="J15449" t="s">
        <v>35705</v>
      </c>
      <c r="L15449" t="s">
        <v>35732</v>
      </c>
      <c r="N15449" t="s">
        <v>35733</v>
      </c>
      <c r="O15449" t="s">
        <v>35922</v>
      </c>
      <c r="P15449" t="s">
        <v>35934</v>
      </c>
      <c r="R15449" s="26" t="str">
        <f>HYPERLINK("https://ictv.global/taxonomy/taxondetails?taxnode_id=202304813","Betaentomopoxvirus mseparata")</f>
        <v>Betaentomopoxvirus mseparata</v>
      </c>
      <c r="S15449" t="s">
        <v>30</v>
      </c>
      <c r="T15449" t="s">
        <v>35950</v>
      </c>
      <c r="U15449" t="s">
        <v>35949</v>
      </c>
      <c r="W15449" t="s">
        <v>35951</v>
      </c>
      <c r="X15449" t="s">
        <v>42</v>
      </c>
      <c r="Y15449" t="s">
        <v>36</v>
      </c>
      <c r="Z15449" t="s">
        <v>10790</v>
      </c>
      <c r="AA15449" s="22" t="str">
        <f>HYPERLINK("https://www.ncbi.nlm.nih.gov/nuccore/HF679134","NCBI Nucleotide")</f>
        <v>NCBI Nucleotide</v>
      </c>
    </row>
    <row r="15450" spans="1:27" x14ac:dyDescent="0.35">
      <c r="A15450">
        <v>1004327</v>
      </c>
      <c r="B15450">
        <v>13897</v>
      </c>
      <c r="C15450">
        <v>1</v>
      </c>
      <c r="D15450" t="s">
        <v>35352</v>
      </c>
      <c r="F15450" t="s">
        <v>35353</v>
      </c>
      <c r="H15450" t="s">
        <v>35359</v>
      </c>
      <c r="J15450" t="s">
        <v>35705</v>
      </c>
      <c r="L15450" t="s">
        <v>35732</v>
      </c>
      <c r="N15450" t="s">
        <v>35733</v>
      </c>
      <c r="O15450" t="s">
        <v>35922</v>
      </c>
      <c r="P15450" t="s">
        <v>35952</v>
      </c>
      <c r="R15450" s="26" t="str">
        <f>HYPERLINK("https://ictv.global/taxonomy/taxondetails?taxnode_id=202304826","Deltaentomopoxvirus msanguinipes")</f>
        <v>Deltaentomopoxvirus msanguinipes</v>
      </c>
      <c r="S15450" t="s">
        <v>30</v>
      </c>
      <c r="T15450" t="s">
        <v>35953</v>
      </c>
      <c r="U15450" t="s">
        <v>35954</v>
      </c>
      <c r="V15450" t="s">
        <v>35955</v>
      </c>
      <c r="W15450" t="s">
        <v>35956</v>
      </c>
      <c r="X15450" t="s">
        <v>42</v>
      </c>
      <c r="Y15450" t="s">
        <v>36</v>
      </c>
      <c r="Z15450" t="s">
        <v>10790</v>
      </c>
      <c r="AA15450" s="22" t="str">
        <f>HYPERLINK("https://www.ncbi.nlm.nih.gov/nuccore/AF063866","NCBI Nucleotide")</f>
        <v>NCBI Nucleotide</v>
      </c>
    </row>
    <row r="15451" spans="1:27" x14ac:dyDescent="0.35">
      <c r="A15451">
        <v>1004334</v>
      </c>
      <c r="B15451">
        <v>13898</v>
      </c>
      <c r="C15451">
        <v>1</v>
      </c>
      <c r="D15451" t="s">
        <v>35352</v>
      </c>
      <c r="F15451" t="s">
        <v>35353</v>
      </c>
      <c r="H15451" t="s">
        <v>35359</v>
      </c>
      <c r="J15451" t="s">
        <v>35705</v>
      </c>
      <c r="L15451" t="s">
        <v>35732</v>
      </c>
      <c r="N15451" t="s">
        <v>35733</v>
      </c>
      <c r="O15451" t="s">
        <v>35922</v>
      </c>
      <c r="P15451" t="s">
        <v>47723</v>
      </c>
      <c r="R15451" s="26" t="str">
        <f>HYPERLINK("https://ictv.global/taxonomy/taxondetails?taxnode_id=202304825","Epsilonentomopoxvirus dlongicaudata")</f>
        <v>Epsilonentomopoxvirus dlongicaudata</v>
      </c>
      <c r="S15451" t="s">
        <v>30</v>
      </c>
      <c r="T15451" t="s">
        <v>35923</v>
      </c>
      <c r="U15451" t="s">
        <v>35924</v>
      </c>
      <c r="W15451" t="s">
        <v>35925</v>
      </c>
      <c r="X15451" t="s">
        <v>42</v>
      </c>
      <c r="Y15451" t="s">
        <v>36</v>
      </c>
      <c r="Z15451" t="s">
        <v>10790</v>
      </c>
      <c r="AA15451" s="22" t="str">
        <f>HYPERLINK("https://www.ncbi.nlm.nih.gov/nuccore/KR095315","NCBI Nucleotide")</f>
        <v>NCBI Nucleotide</v>
      </c>
    </row>
    <row r="15452" spans="1:27" x14ac:dyDescent="0.35">
      <c r="A15452">
        <v>1004335</v>
      </c>
      <c r="B15452">
        <v>13899</v>
      </c>
      <c r="C15452">
        <v>1</v>
      </c>
      <c r="D15452" t="s">
        <v>35352</v>
      </c>
      <c r="F15452" t="s">
        <v>35353</v>
      </c>
      <c r="H15452" t="s">
        <v>35957</v>
      </c>
      <c r="J15452" t="s">
        <v>35958</v>
      </c>
      <c r="L15452" t="s">
        <v>35959</v>
      </c>
      <c r="N15452" t="s">
        <v>35960</v>
      </c>
      <c r="P15452" t="s">
        <v>35961</v>
      </c>
      <c r="R15452" s="26" t="str">
        <f>HYPERLINK("https://ictv.global/taxonomy/taxondetails?taxnode_id=202307848","Finnlakevirus FLiP")</f>
        <v>Finnlakevirus FLiP</v>
      </c>
      <c r="S15452" t="s">
        <v>30</v>
      </c>
      <c r="T15452" t="s">
        <v>35962</v>
      </c>
      <c r="U15452" t="s">
        <v>35963</v>
      </c>
      <c r="W15452" t="s">
        <v>35964</v>
      </c>
      <c r="X15452" t="s">
        <v>42</v>
      </c>
      <c r="Y15452" t="s">
        <v>10535</v>
      </c>
      <c r="Z15452" t="s">
        <v>697</v>
      </c>
      <c r="AA15452" s="22" t="str">
        <f>HYPERLINK("https://www.ncbi.nlm.nih.gov/nuccore/MF361639","NCBI Nucleotide")</f>
        <v>NCBI Nucleotide</v>
      </c>
    </row>
    <row r="15453" spans="1:27" x14ac:dyDescent="0.35">
      <c r="A15453">
        <v>1024735</v>
      </c>
      <c r="B15453">
        <v>13900</v>
      </c>
      <c r="C15453">
        <v>1</v>
      </c>
      <c r="D15453" t="s">
        <v>35352</v>
      </c>
      <c r="F15453" t="s">
        <v>35353</v>
      </c>
      <c r="H15453" t="s">
        <v>35957</v>
      </c>
      <c r="J15453" t="s">
        <v>35965</v>
      </c>
      <c r="L15453" t="s">
        <v>47724</v>
      </c>
      <c r="N15453" t="s">
        <v>47725</v>
      </c>
      <c r="P15453" t="s">
        <v>47726</v>
      </c>
      <c r="R15453" s="26" t="str">
        <f>HYPERLINK("https://ictv.global/taxonomy/taxondetails?taxnode_id=202317932","Oviruvirus palmerstonense")</f>
        <v>Oviruvirus palmerstonense</v>
      </c>
      <c r="S15453" t="s">
        <v>30</v>
      </c>
      <c r="T15453" t="s">
        <v>47727</v>
      </c>
      <c r="W15453" t="s">
        <v>48702</v>
      </c>
      <c r="X15453" t="s">
        <v>42</v>
      </c>
      <c r="Y15453" t="s">
        <v>36</v>
      </c>
      <c r="Z15453" t="s">
        <v>40828</v>
      </c>
      <c r="AA15453" s="22" t="str">
        <f>HYPERLINK("https://www.ncbi.nlm.nih.gov/nuccore/AUXO017923253","NCBI Nucleotide")</f>
        <v>NCBI Nucleotide</v>
      </c>
    </row>
    <row r="15454" spans="1:27" x14ac:dyDescent="0.35">
      <c r="A15454">
        <v>1004336</v>
      </c>
      <c r="B15454">
        <v>13901</v>
      </c>
      <c r="C15454">
        <v>1</v>
      </c>
      <c r="D15454" t="s">
        <v>35352</v>
      </c>
      <c r="F15454" t="s">
        <v>35353</v>
      </c>
      <c r="H15454" t="s">
        <v>35957</v>
      </c>
      <c r="J15454" t="s">
        <v>35965</v>
      </c>
      <c r="L15454" t="s">
        <v>47728</v>
      </c>
      <c r="N15454" t="s">
        <v>47729</v>
      </c>
      <c r="P15454" t="s">
        <v>35967</v>
      </c>
      <c r="R15454" s="26" t="str">
        <f>HYPERLINK("https://ictv.global/taxonomy/taxondetails?taxnode_id=202303747","Mavirus cafeteriae")</f>
        <v>Mavirus cafeteriae</v>
      </c>
      <c r="S15454" t="s">
        <v>30</v>
      </c>
      <c r="T15454" t="s">
        <v>35968</v>
      </c>
      <c r="U15454" t="s">
        <v>25341</v>
      </c>
      <c r="V15454" t="s">
        <v>35969</v>
      </c>
      <c r="W15454" t="s">
        <v>35970</v>
      </c>
      <c r="X15454" t="s">
        <v>42</v>
      </c>
      <c r="Y15454" t="s">
        <v>36</v>
      </c>
      <c r="Z15454" t="s">
        <v>17496</v>
      </c>
      <c r="AA15454" s="22" t="str">
        <f>HYPERLINK("https://www.ncbi.nlm.nih.gov/nuccore/HQ712116","NCBI Nucleotide")</f>
        <v>NCBI Nucleotide</v>
      </c>
    </row>
    <row r="15455" spans="1:27" x14ac:dyDescent="0.35">
      <c r="A15455">
        <v>1004337</v>
      </c>
      <c r="B15455">
        <v>13902</v>
      </c>
      <c r="C15455">
        <v>1</v>
      </c>
      <c r="D15455" t="s">
        <v>35352</v>
      </c>
      <c r="F15455" t="s">
        <v>35353</v>
      </c>
      <c r="H15455" t="s">
        <v>35957</v>
      </c>
      <c r="J15455" t="s">
        <v>35965</v>
      </c>
      <c r="L15455" t="s">
        <v>47730</v>
      </c>
      <c r="N15455" t="s">
        <v>47731</v>
      </c>
      <c r="P15455" t="s">
        <v>35971</v>
      </c>
      <c r="R15455" s="26" t="str">
        <f>HYPERLINK("https://ictv.global/taxonomy/taxondetails?taxnode_id=202303749","Sputnikvirus mimiviri")</f>
        <v>Sputnikvirus mimiviri</v>
      </c>
      <c r="S15455" t="s">
        <v>30</v>
      </c>
      <c r="T15455" t="s">
        <v>35972</v>
      </c>
      <c r="U15455" t="s">
        <v>35973</v>
      </c>
      <c r="W15455" t="s">
        <v>35974</v>
      </c>
      <c r="X15455" t="s">
        <v>42</v>
      </c>
      <c r="Y15455" t="s">
        <v>36</v>
      </c>
      <c r="Z15455" t="s">
        <v>17496</v>
      </c>
      <c r="AA15455" s="22" t="str">
        <f>HYPERLINK("https://www.ncbi.nlm.nih.gov/nuccore/EU606015","NCBI Nucleotide")</f>
        <v>NCBI Nucleotide</v>
      </c>
    </row>
    <row r="15456" spans="1:27" x14ac:dyDescent="0.35">
      <c r="A15456">
        <v>1004338</v>
      </c>
      <c r="B15456">
        <v>13903</v>
      </c>
      <c r="C15456">
        <v>1</v>
      </c>
      <c r="D15456" t="s">
        <v>35352</v>
      </c>
      <c r="F15456" t="s">
        <v>35353</v>
      </c>
      <c r="H15456" t="s">
        <v>35957</v>
      </c>
      <c r="J15456" t="s">
        <v>35965</v>
      </c>
      <c r="L15456" t="s">
        <v>47730</v>
      </c>
      <c r="N15456" t="s">
        <v>47731</v>
      </c>
      <c r="P15456" t="s">
        <v>35971</v>
      </c>
      <c r="R15456" s="26" t="str">
        <f>HYPERLINK("https://ictv.global/taxonomy/taxondetails?taxnode_id=202303750","Sputnikvirus zamilonense")</f>
        <v>Sputnikvirus zamilonense</v>
      </c>
      <c r="S15456" t="s">
        <v>30</v>
      </c>
      <c r="T15456" t="s">
        <v>35975</v>
      </c>
      <c r="U15456" t="s">
        <v>35976</v>
      </c>
      <c r="V15456" t="s">
        <v>35977</v>
      </c>
      <c r="W15456" t="s">
        <v>35978</v>
      </c>
      <c r="X15456" t="s">
        <v>42</v>
      </c>
      <c r="Y15456" t="s">
        <v>36</v>
      </c>
      <c r="Z15456" t="s">
        <v>17496</v>
      </c>
      <c r="AA15456" s="22" t="str">
        <f>HYPERLINK("https://www.ncbi.nlm.nih.gov/nuccore/HG531932","NCBI Nucleotide")</f>
        <v>NCBI Nucleotide</v>
      </c>
    </row>
    <row r="15457" spans="1:27" x14ac:dyDescent="0.35">
      <c r="A15457">
        <v>1024589</v>
      </c>
      <c r="B15457">
        <v>13904</v>
      </c>
      <c r="C15457">
        <v>1</v>
      </c>
      <c r="D15457" t="s">
        <v>35352</v>
      </c>
      <c r="F15457" t="s">
        <v>35353</v>
      </c>
      <c r="H15457" t="s">
        <v>35957</v>
      </c>
      <c r="J15457" t="s">
        <v>35965</v>
      </c>
      <c r="L15457" t="s">
        <v>35966</v>
      </c>
      <c r="N15457" t="s">
        <v>47732</v>
      </c>
      <c r="P15457" t="s">
        <v>47733</v>
      </c>
      <c r="R15457" s="26" t="str">
        <f>HYPERLINK("https://ictv.global/taxonomy/taxondetails?taxnode_id=202317930","Burquivirus flavolapense")</f>
        <v>Burquivirus flavolapense</v>
      </c>
      <c r="S15457" t="s">
        <v>30</v>
      </c>
      <c r="T15457" t="s">
        <v>47734</v>
      </c>
      <c r="W15457" t="s">
        <v>48703</v>
      </c>
      <c r="X15457" t="s">
        <v>42</v>
      </c>
      <c r="Y15457" t="s">
        <v>36</v>
      </c>
      <c r="Z15457" t="s">
        <v>26655</v>
      </c>
      <c r="AA15457" s="22" t="str">
        <f>HYPERLINK("https://www.ncbi.nlm.nih.gov/nuccore/KM502589","NCBI Nucleotide")</f>
        <v>NCBI Nucleotide</v>
      </c>
    </row>
    <row r="15458" spans="1:27" x14ac:dyDescent="0.35">
      <c r="A15458">
        <v>1024542</v>
      </c>
      <c r="B15458">
        <v>13905</v>
      </c>
      <c r="C15458">
        <v>1</v>
      </c>
      <c r="D15458" t="s">
        <v>35352</v>
      </c>
      <c r="F15458" t="s">
        <v>35353</v>
      </c>
      <c r="H15458" t="s">
        <v>35957</v>
      </c>
      <c r="J15458" t="s">
        <v>35965</v>
      </c>
      <c r="L15458" t="s">
        <v>35966</v>
      </c>
      <c r="N15458" t="s">
        <v>47735</v>
      </c>
      <c r="P15458" t="s">
        <v>47736</v>
      </c>
      <c r="R15458" s="26" t="str">
        <f>HYPERLINK("https://ictv.global/taxonomy/taxondetails?taxnode_id=202317928","Essdubovirus chlorellae")</f>
        <v>Essdubovirus chlorellae</v>
      </c>
      <c r="S15458" t="s">
        <v>30</v>
      </c>
      <c r="T15458" t="s">
        <v>47737</v>
      </c>
      <c r="W15458" t="s">
        <v>48704</v>
      </c>
      <c r="X15458" t="s">
        <v>42</v>
      </c>
      <c r="Y15458" t="s">
        <v>36</v>
      </c>
      <c r="Z15458" t="s">
        <v>17496</v>
      </c>
      <c r="AA15458" s="22" t="str">
        <f>HYPERLINK("https://www.ncbi.nlm.nih.gov/nuccore/OL828819","NCBI Nucleotide")</f>
        <v>NCBI Nucleotide</v>
      </c>
    </row>
    <row r="15459" spans="1:27" x14ac:dyDescent="0.35">
      <c r="A15459">
        <v>1025126</v>
      </c>
      <c r="B15459">
        <v>13906</v>
      </c>
      <c r="C15459">
        <v>1</v>
      </c>
      <c r="D15459" t="s">
        <v>35352</v>
      </c>
      <c r="F15459" t="s">
        <v>35353</v>
      </c>
      <c r="H15459" t="s">
        <v>35957</v>
      </c>
      <c r="J15459" t="s">
        <v>35965</v>
      </c>
      <c r="L15459" t="s">
        <v>35966</v>
      </c>
      <c r="N15459" t="s">
        <v>47738</v>
      </c>
      <c r="P15459" t="s">
        <v>47739</v>
      </c>
      <c r="R15459" s="26" t="str">
        <f>HYPERLINK("https://ictv.global/taxonomy/taxondetails?taxnode_id=202317931","Invirovirus crochense")</f>
        <v>Invirovirus crochense</v>
      </c>
      <c r="S15459" t="s">
        <v>30</v>
      </c>
      <c r="T15459" t="s">
        <v>47740</v>
      </c>
      <c r="W15459" t="s">
        <v>47741</v>
      </c>
      <c r="X15459" t="s">
        <v>42</v>
      </c>
      <c r="Y15459" t="s">
        <v>36</v>
      </c>
      <c r="Z15459" t="s">
        <v>26655</v>
      </c>
      <c r="AA15459" s="22" t="str">
        <f>HYPERLINK("https://www.ncbi.nlm.nih.gov/nuccore/OQ836152","NCBI Nucleotide")</f>
        <v>NCBI Nucleotide</v>
      </c>
    </row>
    <row r="15460" spans="1:27" x14ac:dyDescent="0.35">
      <c r="A15460">
        <v>1024762</v>
      </c>
      <c r="B15460">
        <v>13907</v>
      </c>
      <c r="C15460">
        <v>1</v>
      </c>
      <c r="D15460" t="s">
        <v>35352</v>
      </c>
      <c r="F15460" t="s">
        <v>35353</v>
      </c>
      <c r="H15460" t="s">
        <v>35957</v>
      </c>
      <c r="J15460" t="s">
        <v>35965</v>
      </c>
      <c r="L15460" t="s">
        <v>35966</v>
      </c>
      <c r="N15460" t="s">
        <v>47742</v>
      </c>
      <c r="P15460" t="s">
        <v>47743</v>
      </c>
      <c r="R15460" s="26" t="str">
        <f>HYPERLINK("https://ictv.global/taxonomy/taxondetails?taxnode_id=202317929","Panaquavirovirus qinghaense")</f>
        <v>Panaquavirovirus qinghaense</v>
      </c>
      <c r="S15460" t="s">
        <v>30</v>
      </c>
      <c r="T15460" t="s">
        <v>47744</v>
      </c>
      <c r="W15460" t="s">
        <v>48705</v>
      </c>
      <c r="X15460" t="s">
        <v>42</v>
      </c>
      <c r="Y15460" t="s">
        <v>36</v>
      </c>
      <c r="Z15460" t="s">
        <v>26655</v>
      </c>
      <c r="AA15460" s="22" t="str">
        <f>HYPERLINK("https://www.ncbi.nlm.nih.gov/nuccore/KJ854379","NCBI Nucleotide")</f>
        <v>NCBI Nucleotide</v>
      </c>
    </row>
    <row r="15461" spans="1:27" x14ac:dyDescent="0.35">
      <c r="A15461">
        <v>1004339</v>
      </c>
      <c r="B15461">
        <v>13908</v>
      </c>
      <c r="C15461">
        <v>1</v>
      </c>
      <c r="D15461" t="s">
        <v>35352</v>
      </c>
      <c r="F15461" t="s">
        <v>35353</v>
      </c>
      <c r="H15461" t="s">
        <v>35957</v>
      </c>
      <c r="J15461" t="s">
        <v>35979</v>
      </c>
      <c r="L15461" t="s">
        <v>35980</v>
      </c>
      <c r="N15461" t="s">
        <v>35981</v>
      </c>
      <c r="P15461" t="s">
        <v>35982</v>
      </c>
      <c r="R15461" s="26" t="str">
        <f>HYPERLINK("https://ictv.global/taxonomy/taxondetails?taxnode_id=202308815","Alphadintovirus mayetiola")</f>
        <v>Alphadintovirus mayetiola</v>
      </c>
      <c r="S15461" t="s">
        <v>30</v>
      </c>
      <c r="T15461" t="s">
        <v>35983</v>
      </c>
      <c r="V15461">
        <v>2012</v>
      </c>
      <c r="W15461" t="s">
        <v>35984</v>
      </c>
      <c r="X15461" t="s">
        <v>42</v>
      </c>
      <c r="Y15461" t="s">
        <v>36</v>
      </c>
      <c r="Z15461" t="s">
        <v>10790</v>
      </c>
      <c r="AA15461" s="22" t="str">
        <f>HYPERLINK("https://www.ncbi.nlm.nih.gov/nuccore/BK011003","NCBI Nucleotide")</f>
        <v>NCBI Nucleotide</v>
      </c>
    </row>
    <row r="15462" spans="1:27" x14ac:dyDescent="0.35">
      <c r="A15462">
        <v>1004340</v>
      </c>
      <c r="B15462">
        <v>13909</v>
      </c>
      <c r="C15462">
        <v>1</v>
      </c>
      <c r="D15462" t="s">
        <v>35352</v>
      </c>
      <c r="F15462" t="s">
        <v>35353</v>
      </c>
      <c r="H15462" t="s">
        <v>35957</v>
      </c>
      <c r="J15462" t="s">
        <v>35979</v>
      </c>
      <c r="L15462" t="s">
        <v>35980</v>
      </c>
      <c r="N15462" t="s">
        <v>35981</v>
      </c>
      <c r="P15462" t="s">
        <v>35985</v>
      </c>
      <c r="R15462" s="26" t="str">
        <f>HYPERLINK("https://ictv.global/taxonomy/taxondetails?taxnode_id=202308817","Betadintovirus terrapene")</f>
        <v>Betadintovirus terrapene</v>
      </c>
      <c r="S15462" t="s">
        <v>30</v>
      </c>
      <c r="T15462" t="s">
        <v>35986</v>
      </c>
      <c r="V15462">
        <v>5272</v>
      </c>
      <c r="W15462" t="s">
        <v>35987</v>
      </c>
      <c r="X15462" t="s">
        <v>42</v>
      </c>
      <c r="Y15462" t="s">
        <v>36</v>
      </c>
      <c r="Z15462" t="s">
        <v>166</v>
      </c>
      <c r="AA15462" s="22" t="str">
        <f>HYPERLINK("https://www.ncbi.nlm.nih.gov/nuccore/BK010890","NCBI Nucleotide")</f>
        <v>NCBI Nucleotide</v>
      </c>
    </row>
    <row r="15463" spans="1:27" x14ac:dyDescent="0.35">
      <c r="A15463">
        <v>1004341</v>
      </c>
      <c r="B15463">
        <v>13910</v>
      </c>
      <c r="C15463">
        <v>1</v>
      </c>
      <c r="D15463" t="s">
        <v>35352</v>
      </c>
      <c r="F15463" t="s">
        <v>35353</v>
      </c>
      <c r="H15463" t="s">
        <v>35957</v>
      </c>
      <c r="J15463" t="s">
        <v>35988</v>
      </c>
      <c r="L15463" t="s">
        <v>36007</v>
      </c>
      <c r="N15463" t="s">
        <v>36008</v>
      </c>
      <c r="P15463" t="s">
        <v>36009</v>
      </c>
      <c r="R15463" s="26" t="str">
        <f>HYPERLINK("https://ictv.global/taxonomy/taxondetails?taxnode_id=202314311","Delusorvirus cascadiense")</f>
        <v>Delusorvirus cascadiense</v>
      </c>
      <c r="S15463" t="s">
        <v>30</v>
      </c>
      <c r="T15463" t="s">
        <v>36010</v>
      </c>
      <c r="U15463" t="s">
        <v>36011</v>
      </c>
      <c r="W15463" t="s">
        <v>36012</v>
      </c>
      <c r="X15463" t="s">
        <v>42</v>
      </c>
      <c r="Y15463" t="s">
        <v>36</v>
      </c>
      <c r="Z15463" t="s">
        <v>37</v>
      </c>
      <c r="AA15463" s="22" t="str">
        <f>HYPERLINK("https://www.ncbi.nlm.nih.gov/nuccore/BK062752","NCBI Nucleotide")</f>
        <v>NCBI Nucleotide</v>
      </c>
    </row>
    <row r="15464" spans="1:27" x14ac:dyDescent="0.35">
      <c r="A15464">
        <v>1004342</v>
      </c>
      <c r="B15464">
        <v>13911</v>
      </c>
      <c r="C15464">
        <v>1</v>
      </c>
      <c r="D15464" t="s">
        <v>35352</v>
      </c>
      <c r="F15464" t="s">
        <v>35353</v>
      </c>
      <c r="H15464" t="s">
        <v>35957</v>
      </c>
      <c r="J15464" t="s">
        <v>35988</v>
      </c>
      <c r="L15464" t="s">
        <v>36007</v>
      </c>
      <c r="N15464" t="s">
        <v>36008</v>
      </c>
      <c r="P15464" t="s">
        <v>36009</v>
      </c>
      <c r="R15464" s="26" t="str">
        <f>HYPERLINK("https://ictv.global/taxonomy/taxondetails?taxnode_id=202314310","Delusorvirus hikurangiense")</f>
        <v>Delusorvirus hikurangiense</v>
      </c>
      <c r="S15464" t="s">
        <v>30</v>
      </c>
      <c r="T15464" t="s">
        <v>36013</v>
      </c>
      <c r="U15464" t="s">
        <v>36014</v>
      </c>
      <c r="W15464" t="s">
        <v>36015</v>
      </c>
      <c r="X15464" t="s">
        <v>42</v>
      </c>
      <c r="Y15464" t="s">
        <v>36</v>
      </c>
      <c r="Z15464" t="s">
        <v>37</v>
      </c>
      <c r="AA15464" s="22" t="str">
        <f>HYPERLINK("https://www.ncbi.nlm.nih.gov/nuccore/OK558607","NCBI Nucleotide")</f>
        <v>NCBI Nucleotide</v>
      </c>
    </row>
    <row r="15465" spans="1:27" x14ac:dyDescent="0.35">
      <c r="A15465">
        <v>1004344</v>
      </c>
      <c r="B15465">
        <v>13912</v>
      </c>
      <c r="C15465">
        <v>1</v>
      </c>
      <c r="D15465" t="s">
        <v>35352</v>
      </c>
      <c r="F15465" t="s">
        <v>35353</v>
      </c>
      <c r="H15465" t="s">
        <v>35957</v>
      </c>
      <c r="J15465" t="s">
        <v>35988</v>
      </c>
      <c r="L15465" t="s">
        <v>36016</v>
      </c>
      <c r="N15465" t="s">
        <v>36017</v>
      </c>
      <c r="P15465" t="s">
        <v>36018</v>
      </c>
      <c r="R15465" s="26" t="str">
        <f>HYPERLINK("https://ictv.global/taxonomy/taxondetails?taxnode_id=202305329","Alphaturrivirus hveragerdiense")</f>
        <v>Alphaturrivirus hveragerdiense</v>
      </c>
      <c r="S15465" t="s">
        <v>30</v>
      </c>
      <c r="T15465" t="s">
        <v>36022</v>
      </c>
      <c r="U15465" t="s">
        <v>36023</v>
      </c>
      <c r="W15465" t="s">
        <v>36024</v>
      </c>
      <c r="X15465" t="s">
        <v>42</v>
      </c>
      <c r="Y15465" t="s">
        <v>36</v>
      </c>
      <c r="Z15465" t="s">
        <v>37</v>
      </c>
      <c r="AA15465" s="22" t="str">
        <f>HYPERLINK("https://www.ncbi.nlm.nih.gov/nuccore/GU080336","NCBI Nucleotide")</f>
        <v>NCBI Nucleotide</v>
      </c>
    </row>
    <row r="15466" spans="1:27" x14ac:dyDescent="0.35">
      <c r="A15466">
        <v>1004343</v>
      </c>
      <c r="B15466">
        <v>13913</v>
      </c>
      <c r="C15466">
        <v>1</v>
      </c>
      <c r="D15466" t="s">
        <v>35352</v>
      </c>
      <c r="F15466" t="s">
        <v>35353</v>
      </c>
      <c r="H15466" t="s">
        <v>35957</v>
      </c>
      <c r="J15466" t="s">
        <v>35988</v>
      </c>
      <c r="L15466" t="s">
        <v>36016</v>
      </c>
      <c r="N15466" t="s">
        <v>36017</v>
      </c>
      <c r="P15466" t="s">
        <v>36018</v>
      </c>
      <c r="R15466" s="26" t="str">
        <f>HYPERLINK("https://ictv.global/taxonomy/taxondetails?taxnode_id=202305328","Alphaturrivirus yellowstonense")</f>
        <v>Alphaturrivirus yellowstonense</v>
      </c>
      <c r="S15466" t="s">
        <v>30</v>
      </c>
      <c r="T15466" t="s">
        <v>36019</v>
      </c>
      <c r="U15466" t="s">
        <v>36020</v>
      </c>
      <c r="W15466" t="s">
        <v>36021</v>
      </c>
      <c r="X15466" t="s">
        <v>42</v>
      </c>
      <c r="Y15466" t="s">
        <v>36</v>
      </c>
      <c r="Z15466" t="s">
        <v>37</v>
      </c>
      <c r="AA15466" s="22" t="str">
        <f>HYPERLINK("https://www.ncbi.nlm.nih.gov/nuccore/AY569307","NCBI Nucleotide")</f>
        <v>NCBI Nucleotide</v>
      </c>
    </row>
    <row r="15467" spans="1:27" x14ac:dyDescent="0.35">
      <c r="A15467">
        <v>1004345</v>
      </c>
      <c r="B15467">
        <v>13914</v>
      </c>
      <c r="C15467">
        <v>1</v>
      </c>
      <c r="D15467" t="s">
        <v>35352</v>
      </c>
      <c r="F15467" t="s">
        <v>35353</v>
      </c>
      <c r="H15467" t="s">
        <v>35957</v>
      </c>
      <c r="J15467" t="s">
        <v>35988</v>
      </c>
      <c r="L15467" t="s">
        <v>36025</v>
      </c>
      <c r="N15467" t="s">
        <v>36026</v>
      </c>
      <c r="P15467" t="s">
        <v>36027</v>
      </c>
      <c r="R15467" s="26" t="str">
        <f>HYPERLINK("https://ictv.global/taxonomy/taxondetails?taxnode_id=202314298","Antichaacvirus pescaderoense")</f>
        <v>Antichaacvirus pescaderoense</v>
      </c>
      <c r="S15467" t="s">
        <v>30</v>
      </c>
      <c r="T15467" t="s">
        <v>36028</v>
      </c>
      <c r="U15467" t="s">
        <v>36029</v>
      </c>
      <c r="W15467" t="s">
        <v>36030</v>
      </c>
      <c r="X15467" t="s">
        <v>42</v>
      </c>
      <c r="Y15467" t="s">
        <v>36</v>
      </c>
      <c r="Z15467" t="s">
        <v>37</v>
      </c>
      <c r="AA15467" s="22" t="str">
        <f>HYPERLINK("https://www.ncbi.nlm.nih.gov/nuccore/OP413841","NCBI Nucleotide")</f>
        <v>NCBI Nucleotide</v>
      </c>
    </row>
    <row r="15468" spans="1:27" x14ac:dyDescent="0.35">
      <c r="A15468">
        <v>1004346</v>
      </c>
      <c r="B15468">
        <v>13915</v>
      </c>
      <c r="C15468">
        <v>1</v>
      </c>
      <c r="D15468" t="s">
        <v>35352</v>
      </c>
      <c r="F15468" t="s">
        <v>35353</v>
      </c>
      <c r="H15468" t="s">
        <v>35957</v>
      </c>
      <c r="J15468" t="s">
        <v>35988</v>
      </c>
      <c r="L15468" t="s">
        <v>36025</v>
      </c>
      <c r="N15468" t="s">
        <v>36026</v>
      </c>
      <c r="P15468" t="s">
        <v>36031</v>
      </c>
      <c r="R15468" s="26" t="str">
        <f>HYPERLINK("https://ictv.global/taxonomy/taxondetails?taxnode_id=202314300","Homochaacvirus californiense")</f>
        <v>Homochaacvirus californiense</v>
      </c>
      <c r="S15468" t="s">
        <v>30</v>
      </c>
      <c r="T15468" t="s">
        <v>36032</v>
      </c>
      <c r="U15468" t="s">
        <v>36033</v>
      </c>
      <c r="W15468" t="s">
        <v>36034</v>
      </c>
      <c r="X15468" t="s">
        <v>42</v>
      </c>
      <c r="Y15468" t="s">
        <v>36</v>
      </c>
      <c r="Z15468" t="s">
        <v>37</v>
      </c>
      <c r="AA15468" s="22" t="str">
        <f>HYPERLINK("https://www.ncbi.nlm.nih.gov/nuccore/OP548100","NCBI Nucleotide")</f>
        <v>NCBI Nucleotide</v>
      </c>
    </row>
    <row r="15469" spans="1:27" x14ac:dyDescent="0.35">
      <c r="A15469">
        <v>1004347</v>
      </c>
      <c r="B15469">
        <v>13916</v>
      </c>
      <c r="C15469">
        <v>1</v>
      </c>
      <c r="D15469" t="s">
        <v>35352</v>
      </c>
      <c r="F15469" t="s">
        <v>35353</v>
      </c>
      <c r="H15469" t="s">
        <v>35957</v>
      </c>
      <c r="J15469" t="s">
        <v>35988</v>
      </c>
      <c r="L15469" t="s">
        <v>36025</v>
      </c>
      <c r="N15469" t="s">
        <v>36026</v>
      </c>
      <c r="P15469" t="s">
        <v>36031</v>
      </c>
      <c r="R15469" s="26" t="str">
        <f>HYPERLINK("https://ictv.global/taxonomy/taxondetails?taxnode_id=202314299","Homochaacvirus pescaderoense")</f>
        <v>Homochaacvirus pescaderoense</v>
      </c>
      <c r="S15469" t="s">
        <v>30</v>
      </c>
      <c r="T15469" t="s">
        <v>36035</v>
      </c>
      <c r="U15469" t="s">
        <v>36036</v>
      </c>
      <c r="W15469" t="s">
        <v>36037</v>
      </c>
      <c r="X15469" t="s">
        <v>42</v>
      </c>
      <c r="Y15469" t="s">
        <v>36</v>
      </c>
      <c r="Z15469" t="s">
        <v>37</v>
      </c>
      <c r="AA15469" s="22" t="str">
        <f>HYPERLINK("https://www.ncbi.nlm.nih.gov/nuccore/OP548099","NCBI Nucleotide")</f>
        <v>NCBI Nucleotide</v>
      </c>
    </row>
    <row r="15470" spans="1:27" x14ac:dyDescent="0.35">
      <c r="A15470">
        <v>1004348</v>
      </c>
      <c r="B15470">
        <v>13917</v>
      </c>
      <c r="C15470">
        <v>1</v>
      </c>
      <c r="D15470" t="s">
        <v>35352</v>
      </c>
      <c r="F15470" t="s">
        <v>35353</v>
      </c>
      <c r="H15470" t="s">
        <v>35957</v>
      </c>
      <c r="J15470" t="s">
        <v>35988</v>
      </c>
      <c r="L15470" t="s">
        <v>36038</v>
      </c>
      <c r="N15470" t="s">
        <v>36039</v>
      </c>
      <c r="P15470" t="s">
        <v>36040</v>
      </c>
      <c r="R15470" s="26" t="str">
        <f>HYPERLINK("https://ictv.global/taxonomy/taxondetails?taxnode_id=202305994","Alphatectivirus PR4")</f>
        <v>Alphatectivirus PR4</v>
      </c>
      <c r="S15470" t="s">
        <v>30</v>
      </c>
      <c r="T15470" t="s">
        <v>36041</v>
      </c>
      <c r="W15470" t="s">
        <v>36042</v>
      </c>
      <c r="X15470" t="s">
        <v>42</v>
      </c>
      <c r="Y15470" t="s">
        <v>36</v>
      </c>
      <c r="Z15470" t="s">
        <v>697</v>
      </c>
      <c r="AA15470" s="22" t="str">
        <f>HYPERLINK("https://www.ncbi.nlm.nih.gov/nuccore/AY848686","NCBI Nucleotide")</f>
        <v>NCBI Nucleotide</v>
      </c>
    </row>
    <row r="15471" spans="1:27" x14ac:dyDescent="0.35">
      <c r="A15471">
        <v>1004349</v>
      </c>
      <c r="B15471">
        <v>13918</v>
      </c>
      <c r="C15471">
        <v>1</v>
      </c>
      <c r="D15471" t="s">
        <v>35352</v>
      </c>
      <c r="F15471" t="s">
        <v>35353</v>
      </c>
      <c r="H15471" t="s">
        <v>35957</v>
      </c>
      <c r="J15471" t="s">
        <v>35988</v>
      </c>
      <c r="L15471" t="s">
        <v>36038</v>
      </c>
      <c r="N15471" t="s">
        <v>36039</v>
      </c>
      <c r="P15471" t="s">
        <v>36040</v>
      </c>
      <c r="R15471" s="26" t="str">
        <f>HYPERLINK("https://ictv.global/taxonomy/taxondetails?taxnode_id=202305076","Alphatectivirus PRD1")</f>
        <v>Alphatectivirus PRD1</v>
      </c>
      <c r="S15471" t="s">
        <v>30</v>
      </c>
      <c r="T15471" t="s">
        <v>36043</v>
      </c>
      <c r="W15471" t="s">
        <v>36044</v>
      </c>
      <c r="X15471" t="s">
        <v>42</v>
      </c>
      <c r="Y15471" t="s">
        <v>36</v>
      </c>
      <c r="Z15471" t="s">
        <v>697</v>
      </c>
      <c r="AA15471" s="22" t="str">
        <f>HYPERLINK("https://www.ncbi.nlm.nih.gov/nuccore/AY848689","NCBI Nucleotide")</f>
        <v>NCBI Nucleotide</v>
      </c>
    </row>
    <row r="15472" spans="1:27" x14ac:dyDescent="0.35">
      <c r="A15472">
        <v>1004350</v>
      </c>
      <c r="B15472">
        <v>13919</v>
      </c>
      <c r="C15472">
        <v>1</v>
      </c>
      <c r="D15472" t="s">
        <v>35352</v>
      </c>
      <c r="F15472" t="s">
        <v>35353</v>
      </c>
      <c r="H15472" t="s">
        <v>35957</v>
      </c>
      <c r="J15472" t="s">
        <v>35988</v>
      </c>
      <c r="L15472" t="s">
        <v>36038</v>
      </c>
      <c r="N15472" t="s">
        <v>36039</v>
      </c>
      <c r="P15472" t="s">
        <v>36045</v>
      </c>
      <c r="R15472" s="26" t="str">
        <f>HYPERLINK("https://ictv.global/taxonomy/taxondetails?taxnode_id=202305074","Betatectivirus AP50")</f>
        <v>Betatectivirus AP50</v>
      </c>
      <c r="S15472" t="s">
        <v>30</v>
      </c>
      <c r="T15472" t="s">
        <v>36046</v>
      </c>
      <c r="U15472" t="s">
        <v>36047</v>
      </c>
      <c r="W15472" t="s">
        <v>36048</v>
      </c>
      <c r="X15472" t="s">
        <v>42</v>
      </c>
      <c r="Y15472" t="s">
        <v>36</v>
      </c>
      <c r="Z15472" t="s">
        <v>697</v>
      </c>
      <c r="AA15472" s="22" t="str">
        <f>HYPERLINK("https://www.ncbi.nlm.nih.gov/nuccore/EU408779","NCBI Nucleotide")</f>
        <v>NCBI Nucleotide</v>
      </c>
    </row>
    <row r="15473" spans="1:27" x14ac:dyDescent="0.35">
      <c r="A15473">
        <v>1004351</v>
      </c>
      <c r="B15473">
        <v>13920</v>
      </c>
      <c r="C15473">
        <v>1</v>
      </c>
      <c r="D15473" t="s">
        <v>35352</v>
      </c>
      <c r="F15473" t="s">
        <v>35353</v>
      </c>
      <c r="H15473" t="s">
        <v>35957</v>
      </c>
      <c r="J15473" t="s">
        <v>35988</v>
      </c>
      <c r="L15473" t="s">
        <v>36038</v>
      </c>
      <c r="N15473" t="s">
        <v>36039</v>
      </c>
      <c r="P15473" t="s">
        <v>36045</v>
      </c>
      <c r="R15473" s="26" t="str">
        <f>HYPERLINK("https://ictv.global/taxonomy/taxondetails?taxnode_id=202305075","Betatectivirus Bam35")</f>
        <v>Betatectivirus Bam35</v>
      </c>
      <c r="S15473" t="s">
        <v>30</v>
      </c>
      <c r="T15473" t="s">
        <v>36049</v>
      </c>
      <c r="U15473" t="s">
        <v>36050</v>
      </c>
      <c r="W15473" t="s">
        <v>36051</v>
      </c>
      <c r="X15473" t="s">
        <v>42</v>
      </c>
      <c r="Y15473" t="s">
        <v>36</v>
      </c>
      <c r="Z15473" t="s">
        <v>697</v>
      </c>
      <c r="AA15473" s="22" t="str">
        <f>HYPERLINK("https://www.ncbi.nlm.nih.gov/nuccore/AY257527","NCBI Nucleotide")</f>
        <v>NCBI Nucleotide</v>
      </c>
    </row>
    <row r="15474" spans="1:27" x14ac:dyDescent="0.35">
      <c r="A15474">
        <v>1004352</v>
      </c>
      <c r="B15474">
        <v>13921</v>
      </c>
      <c r="C15474">
        <v>1</v>
      </c>
      <c r="D15474" t="s">
        <v>35352</v>
      </c>
      <c r="F15474" t="s">
        <v>35353</v>
      </c>
      <c r="H15474" t="s">
        <v>35957</v>
      </c>
      <c r="J15474" t="s">
        <v>35988</v>
      </c>
      <c r="L15474" t="s">
        <v>36038</v>
      </c>
      <c r="N15474" t="s">
        <v>36039</v>
      </c>
      <c r="P15474" t="s">
        <v>36045</v>
      </c>
      <c r="R15474" s="26" t="str">
        <f>HYPERLINK("https://ictv.global/taxonomy/taxondetails?taxnode_id=202305995","Betatectivirus GIL16")</f>
        <v>Betatectivirus GIL16</v>
      </c>
      <c r="S15474" t="s">
        <v>30</v>
      </c>
      <c r="T15474" t="s">
        <v>36052</v>
      </c>
      <c r="W15474" t="s">
        <v>36053</v>
      </c>
      <c r="X15474" t="s">
        <v>42</v>
      </c>
      <c r="Y15474" t="s">
        <v>36</v>
      </c>
      <c r="Z15474" t="s">
        <v>697</v>
      </c>
      <c r="AA15474" s="22" t="str">
        <f>HYPERLINK("https://www.ncbi.nlm.nih.gov/nuccore/AY701338","NCBI Nucleotide")</f>
        <v>NCBI Nucleotide</v>
      </c>
    </row>
    <row r="15475" spans="1:27" x14ac:dyDescent="0.35">
      <c r="A15475">
        <v>1004353</v>
      </c>
      <c r="B15475">
        <v>13922</v>
      </c>
      <c r="C15475">
        <v>1</v>
      </c>
      <c r="D15475" t="s">
        <v>35352</v>
      </c>
      <c r="F15475" t="s">
        <v>35353</v>
      </c>
      <c r="H15475" t="s">
        <v>35957</v>
      </c>
      <c r="J15475" t="s">
        <v>35988</v>
      </c>
      <c r="L15475" t="s">
        <v>36038</v>
      </c>
      <c r="N15475" t="s">
        <v>36039</v>
      </c>
      <c r="P15475" t="s">
        <v>36045</v>
      </c>
      <c r="R15475" s="26" t="str">
        <f>HYPERLINK("https://ictv.global/taxonomy/taxondetails?taxnode_id=202313210","Betatectivirus sato")</f>
        <v>Betatectivirus sato</v>
      </c>
      <c r="S15475" t="s">
        <v>30</v>
      </c>
      <c r="T15475" t="s">
        <v>36054</v>
      </c>
      <c r="W15475" t="s">
        <v>36055</v>
      </c>
      <c r="X15475" t="s">
        <v>42</v>
      </c>
      <c r="Y15475" t="s">
        <v>36</v>
      </c>
      <c r="Z15475" t="s">
        <v>697</v>
      </c>
      <c r="AA15475" s="22" t="str">
        <f>HYPERLINK("https://www.ncbi.nlm.nih.gov/nuccore/MZ089978","NCBI Nucleotide")</f>
        <v>NCBI Nucleotide</v>
      </c>
    </row>
    <row r="15476" spans="1:27" x14ac:dyDescent="0.35">
      <c r="A15476">
        <v>1004354</v>
      </c>
      <c r="B15476">
        <v>13923</v>
      </c>
      <c r="C15476">
        <v>1</v>
      </c>
      <c r="D15476" t="s">
        <v>35352</v>
      </c>
      <c r="F15476" t="s">
        <v>35353</v>
      </c>
      <c r="H15476" t="s">
        <v>35957</v>
      </c>
      <c r="J15476" t="s">
        <v>35988</v>
      </c>
      <c r="L15476" t="s">
        <v>36038</v>
      </c>
      <c r="N15476" t="s">
        <v>36039</v>
      </c>
      <c r="P15476" t="s">
        <v>36045</v>
      </c>
      <c r="R15476" s="26" t="str">
        <f>HYPERLINK("https://ictv.global/taxonomy/taxondetails?taxnode_id=202313211","Betatectivirus sole")</f>
        <v>Betatectivirus sole</v>
      </c>
      <c r="S15476" t="s">
        <v>30</v>
      </c>
      <c r="T15476" t="s">
        <v>36056</v>
      </c>
      <c r="W15476" t="s">
        <v>36057</v>
      </c>
      <c r="X15476" t="s">
        <v>42</v>
      </c>
      <c r="Y15476" t="s">
        <v>36</v>
      </c>
      <c r="Z15476" t="s">
        <v>697</v>
      </c>
      <c r="AA15476" s="22" t="str">
        <f>HYPERLINK("https://www.ncbi.nlm.nih.gov/nuccore/MZ089979","NCBI Nucleotide")</f>
        <v>NCBI Nucleotide</v>
      </c>
    </row>
    <row r="15477" spans="1:27" x14ac:dyDescent="0.35">
      <c r="A15477">
        <v>1004355</v>
      </c>
      <c r="B15477">
        <v>13924</v>
      </c>
      <c r="C15477">
        <v>1</v>
      </c>
      <c r="D15477" t="s">
        <v>35352</v>
      </c>
      <c r="F15477" t="s">
        <v>35353</v>
      </c>
      <c r="H15477" t="s">
        <v>35957</v>
      </c>
      <c r="J15477" t="s">
        <v>35988</v>
      </c>
      <c r="L15477" t="s">
        <v>36038</v>
      </c>
      <c r="N15477" t="s">
        <v>36039</v>
      </c>
      <c r="P15477" t="s">
        <v>36045</v>
      </c>
      <c r="R15477" s="26" t="str">
        <f>HYPERLINK("https://ictv.global/taxonomy/taxondetails?taxnode_id=202305996","Betatectivirus Wip1")</f>
        <v>Betatectivirus Wip1</v>
      </c>
      <c r="S15477" t="s">
        <v>30</v>
      </c>
      <c r="T15477" t="s">
        <v>36058</v>
      </c>
      <c r="W15477" t="s">
        <v>36059</v>
      </c>
      <c r="X15477" t="s">
        <v>42</v>
      </c>
      <c r="Y15477" t="s">
        <v>36</v>
      </c>
      <c r="Z15477" t="s">
        <v>697</v>
      </c>
      <c r="AA15477" s="22" t="str">
        <f>HYPERLINK("https://www.ncbi.nlm.nih.gov/nuccore/KF188458","NCBI Nucleotide")</f>
        <v>NCBI Nucleotide</v>
      </c>
    </row>
    <row r="15478" spans="1:27" x14ac:dyDescent="0.35">
      <c r="A15478">
        <v>1004356</v>
      </c>
      <c r="B15478">
        <v>13925</v>
      </c>
      <c r="C15478">
        <v>1</v>
      </c>
      <c r="D15478" t="s">
        <v>35352</v>
      </c>
      <c r="F15478" t="s">
        <v>35353</v>
      </c>
      <c r="H15478" t="s">
        <v>35957</v>
      </c>
      <c r="J15478" t="s">
        <v>35988</v>
      </c>
      <c r="L15478" t="s">
        <v>36038</v>
      </c>
      <c r="N15478" t="s">
        <v>36039</v>
      </c>
      <c r="P15478" t="s">
        <v>36060</v>
      </c>
      <c r="R15478" s="26" t="str">
        <f>HYPERLINK("https://ictv.global/taxonomy/taxondetails?taxnode_id=202309932","Deltatectivirus forthebois")</f>
        <v>Deltatectivirus forthebois</v>
      </c>
      <c r="S15478" t="s">
        <v>30</v>
      </c>
      <c r="T15478" t="s">
        <v>36061</v>
      </c>
      <c r="W15478" t="s">
        <v>36062</v>
      </c>
      <c r="X15478" t="s">
        <v>42</v>
      </c>
      <c r="Y15478" t="s">
        <v>36</v>
      </c>
      <c r="Z15478" t="s">
        <v>697</v>
      </c>
      <c r="AA15478" s="22" t="str">
        <f>HYPERLINK("https://www.ncbi.nlm.nih.gov/nuccore/MK620900","NCBI Nucleotide")</f>
        <v>NCBI Nucleotide</v>
      </c>
    </row>
    <row r="15479" spans="1:27" x14ac:dyDescent="0.35">
      <c r="A15479">
        <v>1004357</v>
      </c>
      <c r="B15479">
        <v>13926</v>
      </c>
      <c r="C15479">
        <v>1</v>
      </c>
      <c r="D15479" t="s">
        <v>35352</v>
      </c>
      <c r="F15479" t="s">
        <v>35353</v>
      </c>
      <c r="H15479" t="s">
        <v>35957</v>
      </c>
      <c r="J15479" t="s">
        <v>35988</v>
      </c>
      <c r="L15479" t="s">
        <v>36038</v>
      </c>
      <c r="N15479" t="s">
        <v>36039</v>
      </c>
      <c r="P15479" t="s">
        <v>36060</v>
      </c>
      <c r="R15479" s="26" t="str">
        <f>HYPERLINK("https://ictv.global/taxonomy/taxondetails?taxnode_id=202309931","Deltatectivirus wheeheim")</f>
        <v>Deltatectivirus wheeheim</v>
      </c>
      <c r="S15479" t="s">
        <v>30</v>
      </c>
      <c r="T15479" t="s">
        <v>36063</v>
      </c>
      <c r="W15479" t="s">
        <v>36064</v>
      </c>
      <c r="X15479" t="s">
        <v>42</v>
      </c>
      <c r="Y15479" t="s">
        <v>36</v>
      </c>
      <c r="Z15479" t="s">
        <v>697</v>
      </c>
      <c r="AA15479" s="22" t="str">
        <f>HYPERLINK("https://www.ncbi.nlm.nih.gov/nuccore/MK305890","NCBI Nucleotide")</f>
        <v>NCBI Nucleotide</v>
      </c>
    </row>
    <row r="15480" spans="1:27" x14ac:dyDescent="0.35">
      <c r="A15480">
        <v>1004358</v>
      </c>
      <c r="B15480">
        <v>13927</v>
      </c>
      <c r="C15480">
        <v>1</v>
      </c>
      <c r="D15480" t="s">
        <v>35352</v>
      </c>
      <c r="F15480" t="s">
        <v>35353</v>
      </c>
      <c r="H15480" t="s">
        <v>35957</v>
      </c>
      <c r="J15480" t="s">
        <v>35988</v>
      </c>
      <c r="L15480" t="s">
        <v>36038</v>
      </c>
      <c r="N15480" t="s">
        <v>36039</v>
      </c>
      <c r="P15480" t="s">
        <v>36065</v>
      </c>
      <c r="R15480" s="26" t="str">
        <f>HYPERLINK("https://ictv.global/taxonomy/taxondetails?taxnode_id=202309934","Epsilontectivirus toil")</f>
        <v>Epsilontectivirus toil</v>
      </c>
      <c r="S15480" t="s">
        <v>30</v>
      </c>
      <c r="T15480" t="s">
        <v>36066</v>
      </c>
      <c r="W15480" t="s">
        <v>36067</v>
      </c>
      <c r="X15480" t="s">
        <v>42</v>
      </c>
      <c r="Y15480" t="s">
        <v>36</v>
      </c>
      <c r="Z15480" t="s">
        <v>697</v>
      </c>
      <c r="AA15480" s="22" t="str">
        <f>HYPERLINK("https://www.ncbi.nlm.nih.gov/nuccore/KY817360","NCBI Nucleotide")</f>
        <v>NCBI Nucleotide</v>
      </c>
    </row>
    <row r="15481" spans="1:27" x14ac:dyDescent="0.35">
      <c r="A15481">
        <v>1004359</v>
      </c>
      <c r="B15481">
        <v>13928</v>
      </c>
      <c r="C15481">
        <v>1</v>
      </c>
      <c r="D15481" t="s">
        <v>35352</v>
      </c>
      <c r="F15481" t="s">
        <v>35353</v>
      </c>
      <c r="H15481" t="s">
        <v>35957</v>
      </c>
      <c r="J15481" t="s">
        <v>35988</v>
      </c>
      <c r="L15481" t="s">
        <v>36038</v>
      </c>
      <c r="N15481" t="s">
        <v>36039</v>
      </c>
      <c r="P15481" t="s">
        <v>36068</v>
      </c>
      <c r="R15481" s="26" t="str">
        <f>HYPERLINK("https://ictv.global/taxonomy/taxondetails?taxnode_id=202306875","Gammatectivirus GC1")</f>
        <v>Gammatectivirus GC1</v>
      </c>
      <c r="S15481" t="s">
        <v>30</v>
      </c>
      <c r="T15481" t="s">
        <v>36069</v>
      </c>
      <c r="W15481" t="s">
        <v>36070</v>
      </c>
      <c r="X15481" t="s">
        <v>42</v>
      </c>
      <c r="Y15481" t="s">
        <v>36</v>
      </c>
      <c r="Z15481" t="s">
        <v>697</v>
      </c>
      <c r="AA15481" s="22" t="str">
        <f>HYPERLINK("https://www.ncbi.nlm.nih.gov/nuccore/MG159787","NCBI Nucleotide")</f>
        <v>NCBI Nucleotide</v>
      </c>
    </row>
    <row r="15482" spans="1:27" x14ac:dyDescent="0.35">
      <c r="A15482">
        <v>1024690</v>
      </c>
      <c r="B15482">
        <v>13929</v>
      </c>
      <c r="C15482">
        <v>1</v>
      </c>
      <c r="D15482" t="s">
        <v>35352</v>
      </c>
      <c r="F15482" t="s">
        <v>35353</v>
      </c>
      <c r="H15482" t="s">
        <v>35957</v>
      </c>
      <c r="J15482" t="s">
        <v>35988</v>
      </c>
      <c r="L15482" t="s">
        <v>36071</v>
      </c>
      <c r="N15482" t="s">
        <v>36072</v>
      </c>
      <c r="P15482" t="s">
        <v>36114</v>
      </c>
      <c r="R15482" s="26" t="str">
        <f>HYPERLINK("https://ictv.global/taxonomy/taxondetails?taxnode_id=202317883","Aviadenovirus anatidae")</f>
        <v>Aviadenovirus anatidae</v>
      </c>
      <c r="S15482" t="s">
        <v>30</v>
      </c>
      <c r="T15482" t="s">
        <v>47745</v>
      </c>
      <c r="U15482" t="s">
        <v>47746</v>
      </c>
      <c r="V15482" t="s">
        <v>47747</v>
      </c>
      <c r="W15482" t="s">
        <v>47748</v>
      </c>
      <c r="X15482" t="s">
        <v>35</v>
      </c>
      <c r="Y15482" t="s">
        <v>36</v>
      </c>
      <c r="Z15482" t="s">
        <v>166</v>
      </c>
      <c r="AA15482" s="22" t="str">
        <f>HYPERLINK("https://www.ncbi.nlm.nih.gov/nuccore/MW380865","NCBI Nucleotide")</f>
        <v>NCBI Nucleotide</v>
      </c>
    </row>
    <row r="15483" spans="1:27" x14ac:dyDescent="0.35">
      <c r="A15483">
        <v>1004738</v>
      </c>
      <c r="B15483">
        <v>13930</v>
      </c>
      <c r="C15483">
        <v>1</v>
      </c>
      <c r="D15483" t="s">
        <v>35352</v>
      </c>
      <c r="F15483" t="s">
        <v>35353</v>
      </c>
      <c r="H15483" t="s">
        <v>35957</v>
      </c>
      <c r="J15483" t="s">
        <v>35988</v>
      </c>
      <c r="L15483" t="s">
        <v>36071</v>
      </c>
      <c r="N15483" t="s">
        <v>36072</v>
      </c>
      <c r="P15483" t="s">
        <v>36114</v>
      </c>
      <c r="R15483" s="26" t="str">
        <f>HYPERLINK("https://ictv.global/taxonomy/taxondetails?taxnode_id=202302398","Aviadenovirus anatis")</f>
        <v>Aviadenovirus anatis</v>
      </c>
      <c r="S15483" t="s">
        <v>30</v>
      </c>
      <c r="T15483" t="s">
        <v>36117</v>
      </c>
      <c r="U15483" t="s">
        <v>36118</v>
      </c>
      <c r="V15483" t="s">
        <v>36119</v>
      </c>
      <c r="W15483" t="s">
        <v>36120</v>
      </c>
      <c r="X15483" t="s">
        <v>42</v>
      </c>
      <c r="Y15483" t="s">
        <v>36</v>
      </c>
      <c r="Z15483" t="s">
        <v>166</v>
      </c>
      <c r="AA15483" s="22" t="str">
        <f>HYPERLINK("https://www.ncbi.nlm.nih.gov/nuccore/KJ469653","NCBI Nucleotide")</f>
        <v>NCBI Nucleotide</v>
      </c>
    </row>
    <row r="15484" spans="1:27" x14ac:dyDescent="0.35">
      <c r="A15484">
        <v>1012048</v>
      </c>
      <c r="B15484">
        <v>13930</v>
      </c>
      <c r="C15484">
        <v>2</v>
      </c>
      <c r="D15484" t="s">
        <v>35352</v>
      </c>
      <c r="F15484" t="s">
        <v>35353</v>
      </c>
      <c r="H15484" t="s">
        <v>35957</v>
      </c>
      <c r="J15484" t="s">
        <v>35988</v>
      </c>
      <c r="L15484" t="s">
        <v>36071</v>
      </c>
      <c r="N15484" t="s">
        <v>36072</v>
      </c>
      <c r="P15484" t="s">
        <v>36114</v>
      </c>
      <c r="R15484" s="26" t="str">
        <f>HYPERLINK("https://ictv.global/taxonomy/taxondetails?taxnode_id=202302398","Aviadenovirus anatis")</f>
        <v>Aviadenovirus anatis</v>
      </c>
      <c r="S15484" t="s">
        <v>8141</v>
      </c>
      <c r="T15484" t="s">
        <v>36121</v>
      </c>
      <c r="U15484" t="s">
        <v>36122</v>
      </c>
      <c r="V15484" t="s">
        <v>36123</v>
      </c>
      <c r="W15484" t="s">
        <v>50238</v>
      </c>
      <c r="X15484" t="s">
        <v>42</v>
      </c>
      <c r="Y15484" t="s">
        <v>36</v>
      </c>
      <c r="Z15484" t="s">
        <v>166</v>
      </c>
      <c r="AA15484" s="22" t="str">
        <f>HYPERLINK("https://www.ncbi.nlm.nih.gov/nuccore/MH777395","NCBI Nucleotide")</f>
        <v>NCBI Nucleotide</v>
      </c>
    </row>
    <row r="15485" spans="1:27" x14ac:dyDescent="0.35">
      <c r="A15485">
        <v>1004745</v>
      </c>
      <c r="B15485">
        <v>13931</v>
      </c>
      <c r="C15485">
        <v>1</v>
      </c>
      <c r="D15485" t="s">
        <v>35352</v>
      </c>
      <c r="F15485" t="s">
        <v>35353</v>
      </c>
      <c r="H15485" t="s">
        <v>35957</v>
      </c>
      <c r="J15485" t="s">
        <v>35988</v>
      </c>
      <c r="L15485" t="s">
        <v>36071</v>
      </c>
      <c r="N15485" t="s">
        <v>36072</v>
      </c>
      <c r="P15485" t="s">
        <v>36114</v>
      </c>
      <c r="R15485" s="26" t="str">
        <f>HYPERLINK("https://ictv.global/taxonomy/taxondetails?taxnode_id=202302405","Aviadenovirus anseris")</f>
        <v>Aviadenovirus anseris</v>
      </c>
      <c r="S15485" t="s">
        <v>30</v>
      </c>
      <c r="T15485" t="s">
        <v>36163</v>
      </c>
      <c r="U15485" t="s">
        <v>36164</v>
      </c>
      <c r="V15485" t="s">
        <v>36165</v>
      </c>
      <c r="W15485" t="s">
        <v>36166</v>
      </c>
      <c r="X15485" t="s">
        <v>42</v>
      </c>
      <c r="Y15485" t="s">
        <v>36</v>
      </c>
      <c r="Z15485" t="s">
        <v>166</v>
      </c>
      <c r="AA15485" s="22" t="str">
        <f>HYPERLINK("https://www.ncbi.nlm.nih.gov/nuccore/JF510462","NCBI Nucleotide")</f>
        <v>NCBI Nucleotide</v>
      </c>
    </row>
    <row r="15486" spans="1:27" x14ac:dyDescent="0.35">
      <c r="A15486">
        <v>1024691</v>
      </c>
      <c r="B15486">
        <v>13932</v>
      </c>
      <c r="C15486">
        <v>1</v>
      </c>
      <c r="D15486" t="s">
        <v>35352</v>
      </c>
      <c r="F15486" t="s">
        <v>35353</v>
      </c>
      <c r="H15486" t="s">
        <v>35957</v>
      </c>
      <c r="J15486" t="s">
        <v>35988</v>
      </c>
      <c r="L15486" t="s">
        <v>36071</v>
      </c>
      <c r="N15486" t="s">
        <v>36072</v>
      </c>
      <c r="P15486" t="s">
        <v>36114</v>
      </c>
      <c r="R15486" s="26" t="str">
        <f>HYPERLINK("https://ictv.global/taxonomy/taxondetails?taxnode_id=202317880","Aviadenovirus bubonis")</f>
        <v>Aviadenovirus bubonis</v>
      </c>
      <c r="S15486" t="s">
        <v>30</v>
      </c>
      <c r="T15486" t="s">
        <v>47749</v>
      </c>
      <c r="U15486" t="s">
        <v>47750</v>
      </c>
      <c r="V15486" t="s">
        <v>47751</v>
      </c>
      <c r="W15486" t="s">
        <v>47752</v>
      </c>
      <c r="X15486" t="s">
        <v>42</v>
      </c>
      <c r="Y15486" t="s">
        <v>36</v>
      </c>
      <c r="Z15486" t="s">
        <v>166</v>
      </c>
      <c r="AA15486" s="22" t="str">
        <f>HYPERLINK("https://www.ncbi.nlm.nih.gov/nuccore/LC638697","NCBI Nucleotide")</f>
        <v>NCBI Nucleotide</v>
      </c>
    </row>
    <row r="15487" spans="1:27" x14ac:dyDescent="0.35">
      <c r="A15487">
        <v>1024692</v>
      </c>
      <c r="B15487">
        <v>13933</v>
      </c>
      <c r="C15487">
        <v>1</v>
      </c>
      <c r="D15487" t="s">
        <v>35352</v>
      </c>
      <c r="F15487" t="s">
        <v>35353</v>
      </c>
      <c r="H15487" t="s">
        <v>35957</v>
      </c>
      <c r="J15487" t="s">
        <v>35988</v>
      </c>
      <c r="L15487" t="s">
        <v>36071</v>
      </c>
      <c r="N15487" t="s">
        <v>36072</v>
      </c>
      <c r="P15487" t="s">
        <v>36114</v>
      </c>
      <c r="R15487" s="26" t="str">
        <f>HYPERLINK("https://ictv.global/taxonomy/taxondetails?taxnode_id=202317882","Aviadenovirus cairinae")</f>
        <v>Aviadenovirus cairinae</v>
      </c>
      <c r="S15487" t="s">
        <v>30</v>
      </c>
      <c r="T15487" t="s">
        <v>47753</v>
      </c>
      <c r="U15487" t="s">
        <v>47754</v>
      </c>
      <c r="V15487" t="s">
        <v>47755</v>
      </c>
      <c r="W15487" t="s">
        <v>47756</v>
      </c>
      <c r="X15487" t="s">
        <v>154</v>
      </c>
      <c r="Y15487" t="s">
        <v>36</v>
      </c>
      <c r="Z15487" t="s">
        <v>166</v>
      </c>
      <c r="AA15487" s="22" t="str">
        <f>HYPERLINK("https://www.ncbi.nlm.nih.gov/nuccore/MN733730","NCBI Nucleotide")</f>
        <v>NCBI Nucleotide</v>
      </c>
    </row>
    <row r="15488" spans="1:27" x14ac:dyDescent="0.35">
      <c r="A15488">
        <v>1004746</v>
      </c>
      <c r="B15488">
        <v>13934</v>
      </c>
      <c r="C15488">
        <v>1</v>
      </c>
      <c r="D15488" t="s">
        <v>35352</v>
      </c>
      <c r="F15488" t="s">
        <v>35353</v>
      </c>
      <c r="H15488" t="s">
        <v>35957</v>
      </c>
      <c r="J15488" t="s">
        <v>35988</v>
      </c>
      <c r="L15488" t="s">
        <v>36071</v>
      </c>
      <c r="N15488" t="s">
        <v>36072</v>
      </c>
      <c r="P15488" t="s">
        <v>36114</v>
      </c>
      <c r="R15488" s="26" t="str">
        <f>HYPERLINK("https://ictv.global/taxonomy/taxondetails?taxnode_id=202302406","Aviadenovirus columbae")</f>
        <v>Aviadenovirus columbae</v>
      </c>
      <c r="S15488" t="s">
        <v>30</v>
      </c>
      <c r="T15488" t="s">
        <v>36167</v>
      </c>
      <c r="U15488" t="s">
        <v>36168</v>
      </c>
      <c r="V15488" t="s">
        <v>36169</v>
      </c>
      <c r="W15488" t="s">
        <v>36170</v>
      </c>
      <c r="X15488" t="s">
        <v>42</v>
      </c>
      <c r="Y15488" t="s">
        <v>36</v>
      </c>
      <c r="Z15488" t="s">
        <v>166</v>
      </c>
      <c r="AA15488" s="22" t="str">
        <f>HYPERLINK("https://www.ncbi.nlm.nih.gov/nuccore/FN824512","NCBI Nucleotide")</f>
        <v>NCBI Nucleotide</v>
      </c>
    </row>
    <row r="15489" spans="1:27" x14ac:dyDescent="0.35">
      <c r="A15489">
        <v>1004747</v>
      </c>
      <c r="B15489">
        <v>13935</v>
      </c>
      <c r="C15489">
        <v>1</v>
      </c>
      <c r="D15489" t="s">
        <v>35352</v>
      </c>
      <c r="F15489" t="s">
        <v>35353</v>
      </c>
      <c r="H15489" t="s">
        <v>35957</v>
      </c>
      <c r="J15489" t="s">
        <v>35988</v>
      </c>
      <c r="L15489" t="s">
        <v>36071</v>
      </c>
      <c r="N15489" t="s">
        <v>36072</v>
      </c>
      <c r="P15489" t="s">
        <v>36114</v>
      </c>
      <c r="R15489" s="26" t="str">
        <f>HYPERLINK("https://ictv.global/taxonomy/taxondetails?taxnode_id=202305653","Aviadenovirus columbidae")</f>
        <v>Aviadenovirus columbidae</v>
      </c>
      <c r="S15489" t="s">
        <v>30</v>
      </c>
      <c r="T15489" t="s">
        <v>36171</v>
      </c>
      <c r="U15489" t="s">
        <v>36172</v>
      </c>
      <c r="V15489" t="s">
        <v>36173</v>
      </c>
      <c r="W15489" t="s">
        <v>36174</v>
      </c>
      <c r="X15489" t="s">
        <v>42</v>
      </c>
      <c r="Y15489" t="s">
        <v>36</v>
      </c>
      <c r="Z15489" t="s">
        <v>166</v>
      </c>
      <c r="AA15489" s="22" t="str">
        <f>HYPERLINK("https://www.ncbi.nlm.nih.gov/nuccore/KX121164","NCBI Nucleotide")</f>
        <v>NCBI Nucleotide</v>
      </c>
    </row>
    <row r="15490" spans="1:27" x14ac:dyDescent="0.35">
      <c r="A15490">
        <v>1004739</v>
      </c>
      <c r="B15490">
        <v>13936</v>
      </c>
      <c r="C15490">
        <v>1</v>
      </c>
      <c r="D15490" t="s">
        <v>35352</v>
      </c>
      <c r="F15490" t="s">
        <v>35353</v>
      </c>
      <c r="H15490" t="s">
        <v>35957</v>
      </c>
      <c r="J15490" t="s">
        <v>35988</v>
      </c>
      <c r="L15490" t="s">
        <v>36071</v>
      </c>
      <c r="N15490" t="s">
        <v>36072</v>
      </c>
      <c r="P15490" t="s">
        <v>36114</v>
      </c>
      <c r="R15490" s="26" t="str">
        <f>HYPERLINK("https://ictv.global/taxonomy/taxondetails?taxnode_id=202302399","Aviadenovirus falconis")</f>
        <v>Aviadenovirus falconis</v>
      </c>
      <c r="S15490" t="s">
        <v>30</v>
      </c>
      <c r="T15490" t="s">
        <v>36124</v>
      </c>
      <c r="U15490" t="s">
        <v>36125</v>
      </c>
      <c r="V15490" t="s">
        <v>50996</v>
      </c>
      <c r="W15490" t="s">
        <v>50997</v>
      </c>
      <c r="X15490" t="s">
        <v>42</v>
      </c>
      <c r="Y15490" t="s">
        <v>36</v>
      </c>
      <c r="Z15490" t="s">
        <v>166</v>
      </c>
      <c r="AA15490" s="22" t="str">
        <f>HYPERLINK("https://www.ncbi.nlm.nih.gov/nuccore/OM367996","NCBI Nucleotide")</f>
        <v>NCBI Nucleotide</v>
      </c>
    </row>
    <row r="15491" spans="1:27" x14ac:dyDescent="0.35">
      <c r="A15491">
        <v>1004743</v>
      </c>
      <c r="B15491">
        <v>13937</v>
      </c>
      <c r="C15491">
        <v>1</v>
      </c>
      <c r="D15491" t="s">
        <v>35352</v>
      </c>
      <c r="F15491" t="s">
        <v>35353</v>
      </c>
      <c r="H15491" t="s">
        <v>35957</v>
      </c>
      <c r="J15491" t="s">
        <v>35988</v>
      </c>
      <c r="L15491" t="s">
        <v>36071</v>
      </c>
      <c r="N15491" t="s">
        <v>36072</v>
      </c>
      <c r="P15491" t="s">
        <v>36114</v>
      </c>
      <c r="R15491" s="26" t="str">
        <f>HYPERLINK("https://ictv.global/taxonomy/taxondetails?taxnode_id=202302403","Aviadenovirus gallinae")</f>
        <v>Aviadenovirus gallinae</v>
      </c>
      <c r="S15491" t="s">
        <v>30</v>
      </c>
      <c r="T15491" t="s">
        <v>36139</v>
      </c>
      <c r="U15491" t="s">
        <v>36140</v>
      </c>
      <c r="V15491" t="s">
        <v>36141</v>
      </c>
      <c r="W15491" t="s">
        <v>36142</v>
      </c>
      <c r="X15491" t="s">
        <v>42</v>
      </c>
      <c r="Y15491" t="s">
        <v>36</v>
      </c>
      <c r="Z15491" t="s">
        <v>166</v>
      </c>
      <c r="AA15491" s="22" t="str">
        <f>HYPERLINK("https://www.ncbi.nlm.nih.gov/nuccore/AF083975","NCBI Nucleotide")</f>
        <v>NCBI Nucleotide</v>
      </c>
    </row>
    <row r="15492" spans="1:27" x14ac:dyDescent="0.35">
      <c r="A15492">
        <v>1012050</v>
      </c>
      <c r="B15492">
        <v>13937</v>
      </c>
      <c r="C15492">
        <v>2</v>
      </c>
      <c r="D15492" t="s">
        <v>35352</v>
      </c>
      <c r="F15492" t="s">
        <v>35353</v>
      </c>
      <c r="H15492" t="s">
        <v>35957</v>
      </c>
      <c r="J15492" t="s">
        <v>35988</v>
      </c>
      <c r="L15492" t="s">
        <v>36071</v>
      </c>
      <c r="N15492" t="s">
        <v>36072</v>
      </c>
      <c r="P15492" t="s">
        <v>36114</v>
      </c>
      <c r="R15492" s="26" t="str">
        <f>HYPERLINK("https://ictv.global/taxonomy/taxondetails?taxnode_id=202302403","Aviadenovirus gallinae")</f>
        <v>Aviadenovirus gallinae</v>
      </c>
      <c r="S15492" t="s">
        <v>8141</v>
      </c>
      <c r="T15492" t="s">
        <v>36143</v>
      </c>
      <c r="U15492" t="s">
        <v>36144</v>
      </c>
      <c r="V15492" t="s">
        <v>36145</v>
      </c>
      <c r="W15492" t="s">
        <v>50239</v>
      </c>
      <c r="X15492" t="s">
        <v>42</v>
      </c>
      <c r="Y15492" t="s">
        <v>36</v>
      </c>
      <c r="Z15492" t="s">
        <v>166</v>
      </c>
      <c r="AA15492" s="22" t="str">
        <f>HYPERLINK("https://www.ncbi.nlm.nih.gov/nuccore/KT862806","NCBI Nucleotide")</f>
        <v>NCBI Nucleotide</v>
      </c>
    </row>
    <row r="15493" spans="1:27" x14ac:dyDescent="0.35">
      <c r="A15493">
        <v>1012051</v>
      </c>
      <c r="B15493">
        <v>13937</v>
      </c>
      <c r="C15493">
        <v>3</v>
      </c>
      <c r="D15493" t="s">
        <v>35352</v>
      </c>
      <c r="F15493" t="s">
        <v>35353</v>
      </c>
      <c r="H15493" t="s">
        <v>35957</v>
      </c>
      <c r="J15493" t="s">
        <v>35988</v>
      </c>
      <c r="L15493" t="s">
        <v>36071</v>
      </c>
      <c r="N15493" t="s">
        <v>36072</v>
      </c>
      <c r="P15493" t="s">
        <v>36114</v>
      </c>
      <c r="R15493" s="26" t="str">
        <f>HYPERLINK("https://ictv.global/taxonomy/taxondetails?taxnode_id=202302403","Aviadenovirus gallinae")</f>
        <v>Aviadenovirus gallinae</v>
      </c>
      <c r="S15493" t="s">
        <v>8141</v>
      </c>
      <c r="T15493" t="s">
        <v>36146</v>
      </c>
      <c r="U15493" t="s">
        <v>36147</v>
      </c>
      <c r="V15493" t="s">
        <v>36148</v>
      </c>
      <c r="W15493" t="s">
        <v>50240</v>
      </c>
      <c r="X15493" t="s">
        <v>42</v>
      </c>
      <c r="Y15493" t="s">
        <v>36</v>
      </c>
      <c r="Z15493" t="s">
        <v>166</v>
      </c>
      <c r="AA15493" s="22" t="str">
        <f>HYPERLINK("https://www.ncbi.nlm.nih.gov/nuccore/KT862807","NCBI Nucleotide")</f>
        <v>NCBI Nucleotide</v>
      </c>
    </row>
    <row r="15494" spans="1:27" x14ac:dyDescent="0.35">
      <c r="A15494">
        <v>1012052</v>
      </c>
      <c r="B15494">
        <v>13937</v>
      </c>
      <c r="C15494">
        <v>4</v>
      </c>
      <c r="D15494" t="s">
        <v>35352</v>
      </c>
      <c r="F15494" t="s">
        <v>35353</v>
      </c>
      <c r="H15494" t="s">
        <v>35957</v>
      </c>
      <c r="J15494" t="s">
        <v>35988</v>
      </c>
      <c r="L15494" t="s">
        <v>36071</v>
      </c>
      <c r="N15494" t="s">
        <v>36072</v>
      </c>
      <c r="P15494" t="s">
        <v>36114</v>
      </c>
      <c r="R15494" s="26" t="str">
        <f>HYPERLINK("https://ictv.global/taxonomy/taxondetails?taxnode_id=202302403","Aviadenovirus gallinae")</f>
        <v>Aviadenovirus gallinae</v>
      </c>
      <c r="S15494" t="s">
        <v>8141</v>
      </c>
      <c r="T15494" t="s">
        <v>36149</v>
      </c>
      <c r="U15494" t="s">
        <v>36150</v>
      </c>
      <c r="V15494">
        <v>380</v>
      </c>
      <c r="W15494" t="s">
        <v>50241</v>
      </c>
      <c r="X15494" t="s">
        <v>42</v>
      </c>
      <c r="Y15494" t="s">
        <v>36</v>
      </c>
      <c r="Z15494" t="s">
        <v>166</v>
      </c>
      <c r="AA15494" s="22" t="str">
        <f>HYPERLINK("https://www.ncbi.nlm.nih.gov/nuccore/KT862812","NCBI Nucleotide")</f>
        <v>NCBI Nucleotide</v>
      </c>
    </row>
    <row r="15495" spans="1:27" x14ac:dyDescent="0.35">
      <c r="A15495">
        <v>1004750</v>
      </c>
      <c r="B15495">
        <v>13938</v>
      </c>
      <c r="C15495">
        <v>1</v>
      </c>
      <c r="D15495" t="s">
        <v>35352</v>
      </c>
      <c r="F15495" t="s">
        <v>35353</v>
      </c>
      <c r="H15495" t="s">
        <v>35957</v>
      </c>
      <c r="J15495" t="s">
        <v>35988</v>
      </c>
      <c r="L15495" t="s">
        <v>36071</v>
      </c>
      <c r="N15495" t="s">
        <v>36072</v>
      </c>
      <c r="P15495" t="s">
        <v>36114</v>
      </c>
      <c r="R15495" s="26" t="str">
        <f>HYPERLINK("https://ictv.global/taxonomy/taxondetails?taxnode_id=202302407","Aviadenovirus gallopavoprimum")</f>
        <v>Aviadenovirus gallopavoprimum</v>
      </c>
      <c r="S15495" t="s">
        <v>30</v>
      </c>
      <c r="T15495" t="s">
        <v>36183</v>
      </c>
      <c r="U15495" t="s">
        <v>36184</v>
      </c>
      <c r="V15495" t="s">
        <v>36185</v>
      </c>
      <c r="W15495" t="s">
        <v>36186</v>
      </c>
      <c r="X15495" t="s">
        <v>42</v>
      </c>
      <c r="Y15495" t="s">
        <v>36</v>
      </c>
      <c r="Z15495" t="s">
        <v>166</v>
      </c>
      <c r="AA15495" s="22" t="str">
        <f>HYPERLINK("https://www.ncbi.nlm.nih.gov/nuccore/GU936707","NCBI Nucleotide")</f>
        <v>NCBI Nucleotide</v>
      </c>
    </row>
    <row r="15496" spans="1:27" x14ac:dyDescent="0.35">
      <c r="A15496">
        <v>1004751</v>
      </c>
      <c r="B15496">
        <v>13939</v>
      </c>
      <c r="C15496">
        <v>1</v>
      </c>
      <c r="D15496" t="s">
        <v>35352</v>
      </c>
      <c r="F15496" t="s">
        <v>35353</v>
      </c>
      <c r="H15496" t="s">
        <v>35957</v>
      </c>
      <c r="J15496" t="s">
        <v>35988</v>
      </c>
      <c r="L15496" t="s">
        <v>36071</v>
      </c>
      <c r="N15496" t="s">
        <v>36072</v>
      </c>
      <c r="P15496" t="s">
        <v>36114</v>
      </c>
      <c r="R15496" s="26" t="str">
        <f>HYPERLINK("https://ictv.global/taxonomy/taxondetails?taxnode_id=202302408","Aviadenovirus gallopavoquartum")</f>
        <v>Aviadenovirus gallopavoquartum</v>
      </c>
      <c r="S15496" t="s">
        <v>30</v>
      </c>
      <c r="T15496" t="s">
        <v>36187</v>
      </c>
      <c r="U15496" t="s">
        <v>36188</v>
      </c>
      <c r="V15496" t="s">
        <v>36189</v>
      </c>
      <c r="W15496" t="s">
        <v>36190</v>
      </c>
      <c r="X15496" t="s">
        <v>42</v>
      </c>
      <c r="Y15496" t="s">
        <v>36</v>
      </c>
      <c r="Z15496" t="s">
        <v>166</v>
      </c>
      <c r="AA15496" s="22" t="str">
        <f>HYPERLINK("https://www.ncbi.nlm.nih.gov/nuccore/KF477312","NCBI Nucleotide")</f>
        <v>NCBI Nucleotide</v>
      </c>
    </row>
    <row r="15497" spans="1:27" x14ac:dyDescent="0.35">
      <c r="A15497">
        <v>1004752</v>
      </c>
      <c r="B15497">
        <v>13940</v>
      </c>
      <c r="C15497">
        <v>1</v>
      </c>
      <c r="D15497" t="s">
        <v>35352</v>
      </c>
      <c r="F15497" t="s">
        <v>35353</v>
      </c>
      <c r="H15497" t="s">
        <v>35957</v>
      </c>
      <c r="J15497" t="s">
        <v>35988</v>
      </c>
      <c r="L15497" t="s">
        <v>36071</v>
      </c>
      <c r="N15497" t="s">
        <v>36072</v>
      </c>
      <c r="P15497" t="s">
        <v>36114</v>
      </c>
      <c r="R15497" s="26" t="str">
        <f>HYPERLINK("https://ictv.global/taxonomy/taxondetails?taxnode_id=202302409","Aviadenovirus gallopavoquintum")</f>
        <v>Aviadenovirus gallopavoquintum</v>
      </c>
      <c r="S15497" t="s">
        <v>30</v>
      </c>
      <c r="T15497" t="s">
        <v>36191</v>
      </c>
      <c r="U15497" t="s">
        <v>36192</v>
      </c>
      <c r="V15497" t="s">
        <v>36193</v>
      </c>
      <c r="W15497" t="s">
        <v>36194</v>
      </c>
      <c r="X15497" t="s">
        <v>42</v>
      </c>
      <c r="Y15497" t="s">
        <v>36</v>
      </c>
      <c r="Z15497" t="s">
        <v>166</v>
      </c>
      <c r="AA15497" s="22" t="str">
        <f>HYPERLINK("https://www.ncbi.nlm.nih.gov/nuccore/KF477313","NCBI Nucleotide")</f>
        <v>NCBI Nucleotide</v>
      </c>
    </row>
    <row r="15498" spans="1:27" x14ac:dyDescent="0.35">
      <c r="A15498">
        <v>1024693</v>
      </c>
      <c r="B15498">
        <v>13941</v>
      </c>
      <c r="C15498">
        <v>1</v>
      </c>
      <c r="D15498" t="s">
        <v>35352</v>
      </c>
      <c r="F15498" t="s">
        <v>35353</v>
      </c>
      <c r="H15498" t="s">
        <v>35957</v>
      </c>
      <c r="J15498" t="s">
        <v>35988</v>
      </c>
      <c r="L15498" t="s">
        <v>36071</v>
      </c>
      <c r="N15498" t="s">
        <v>36072</v>
      </c>
      <c r="P15498" t="s">
        <v>36114</v>
      </c>
      <c r="R15498" s="26" t="str">
        <f>HYPERLINK("https://ictv.global/taxonomy/taxondetails?taxnode_id=202317881","Aviadenovirus gruis")</f>
        <v>Aviadenovirus gruis</v>
      </c>
      <c r="S15498" t="s">
        <v>30</v>
      </c>
      <c r="T15498" t="s">
        <v>47757</v>
      </c>
      <c r="W15498" t="s">
        <v>47758</v>
      </c>
      <c r="X15498" t="s">
        <v>35</v>
      </c>
      <c r="Y15498" t="s">
        <v>36</v>
      </c>
      <c r="Z15498" t="s">
        <v>166</v>
      </c>
      <c r="AA15498" s="22" t="str">
        <f>HYPERLINK("https://www.ncbi.nlm.nih.gov/nuccore/LC469780","NCBI Nucleotide")</f>
        <v>NCBI Nucleotide</v>
      </c>
    </row>
    <row r="15499" spans="1:27" x14ac:dyDescent="0.35">
      <c r="A15499">
        <v>1004744</v>
      </c>
      <c r="B15499">
        <v>13942</v>
      </c>
      <c r="C15499">
        <v>1</v>
      </c>
      <c r="D15499" t="s">
        <v>35352</v>
      </c>
      <c r="F15499" t="s">
        <v>35353</v>
      </c>
      <c r="H15499" t="s">
        <v>35957</v>
      </c>
      <c r="J15499" t="s">
        <v>35988</v>
      </c>
      <c r="L15499" t="s">
        <v>36071</v>
      </c>
      <c r="N15499" t="s">
        <v>36072</v>
      </c>
      <c r="P15499" t="s">
        <v>36114</v>
      </c>
      <c r="R15499" s="26" t="str">
        <f>HYPERLINK("https://ictv.global/taxonomy/taxondetails?taxnode_id=202302404","Aviadenovirus hepatitidis")</f>
        <v>Aviadenovirus hepatitidis</v>
      </c>
      <c r="S15499" t="s">
        <v>30</v>
      </c>
      <c r="T15499" t="s">
        <v>36151</v>
      </c>
      <c r="U15499" t="s">
        <v>36152</v>
      </c>
      <c r="V15499" t="s">
        <v>36153</v>
      </c>
      <c r="W15499" t="s">
        <v>36154</v>
      </c>
      <c r="X15499" t="s">
        <v>42</v>
      </c>
      <c r="Y15499" t="s">
        <v>36</v>
      </c>
      <c r="Z15499" t="s">
        <v>166</v>
      </c>
      <c r="AA15499" s="22" t="str">
        <f>HYPERLINK("https://www.ncbi.nlm.nih.gov/nuccore/KT862808","NCBI Nucleotide")</f>
        <v>NCBI Nucleotide</v>
      </c>
    </row>
    <row r="15500" spans="1:27" x14ac:dyDescent="0.35">
      <c r="A15500">
        <v>1012053</v>
      </c>
      <c r="B15500">
        <v>13942</v>
      </c>
      <c r="C15500">
        <v>2</v>
      </c>
      <c r="D15500" t="s">
        <v>35352</v>
      </c>
      <c r="F15500" t="s">
        <v>35353</v>
      </c>
      <c r="H15500" t="s">
        <v>35957</v>
      </c>
      <c r="J15500" t="s">
        <v>35988</v>
      </c>
      <c r="L15500" t="s">
        <v>36071</v>
      </c>
      <c r="N15500" t="s">
        <v>36072</v>
      </c>
      <c r="P15500" t="s">
        <v>36114</v>
      </c>
      <c r="R15500" s="26" t="str">
        <f>HYPERLINK("https://ictv.global/taxonomy/taxondetails?taxnode_id=202302404","Aviadenovirus hepatitidis")</f>
        <v>Aviadenovirus hepatitidis</v>
      </c>
      <c r="S15500" t="s">
        <v>8141</v>
      </c>
      <c r="T15500" t="s">
        <v>36155</v>
      </c>
      <c r="U15500" t="s">
        <v>36156</v>
      </c>
      <c r="V15500" t="s">
        <v>36157</v>
      </c>
      <c r="W15500" t="s">
        <v>50242</v>
      </c>
      <c r="X15500" t="s">
        <v>42</v>
      </c>
      <c r="Y15500" t="s">
        <v>36</v>
      </c>
      <c r="Z15500" t="s">
        <v>166</v>
      </c>
      <c r="AA15500" s="22" t="str">
        <f>HYPERLINK("https://www.ncbi.nlm.nih.gov/nuccore/KT862809","NCBI Nucleotide")</f>
        <v>NCBI Nucleotide</v>
      </c>
    </row>
    <row r="15501" spans="1:27" x14ac:dyDescent="0.35">
      <c r="A15501">
        <v>1012054</v>
      </c>
      <c r="B15501">
        <v>13942</v>
      </c>
      <c r="C15501">
        <v>3</v>
      </c>
      <c r="D15501" t="s">
        <v>35352</v>
      </c>
      <c r="F15501" t="s">
        <v>35353</v>
      </c>
      <c r="H15501" t="s">
        <v>35957</v>
      </c>
      <c r="J15501" t="s">
        <v>35988</v>
      </c>
      <c r="L15501" t="s">
        <v>36071</v>
      </c>
      <c r="N15501" t="s">
        <v>36072</v>
      </c>
      <c r="P15501" t="s">
        <v>36114</v>
      </c>
      <c r="R15501" s="26" t="str">
        <f>HYPERLINK("https://ictv.global/taxonomy/taxondetails?taxnode_id=202302404","Aviadenovirus hepatitidis")</f>
        <v>Aviadenovirus hepatitidis</v>
      </c>
      <c r="S15501" t="s">
        <v>8141</v>
      </c>
      <c r="T15501" t="s">
        <v>36158</v>
      </c>
      <c r="U15501" t="s">
        <v>36159</v>
      </c>
      <c r="V15501" t="s">
        <v>36160</v>
      </c>
      <c r="W15501" t="s">
        <v>50243</v>
      </c>
      <c r="X15501" t="s">
        <v>42</v>
      </c>
      <c r="Y15501" t="s">
        <v>36</v>
      </c>
      <c r="Z15501" t="s">
        <v>166</v>
      </c>
      <c r="AA15501" s="22" t="str">
        <f>HYPERLINK("https://www.ncbi.nlm.nih.gov/nuccore/KT862810","NCBI Nucleotide")</f>
        <v>NCBI Nucleotide</v>
      </c>
    </row>
    <row r="15502" spans="1:27" x14ac:dyDescent="0.35">
      <c r="A15502">
        <v>1012055</v>
      </c>
      <c r="B15502">
        <v>13942</v>
      </c>
      <c r="C15502">
        <v>4</v>
      </c>
      <c r="D15502" t="s">
        <v>35352</v>
      </c>
      <c r="F15502" t="s">
        <v>35353</v>
      </c>
      <c r="H15502" t="s">
        <v>35957</v>
      </c>
      <c r="J15502" t="s">
        <v>35988</v>
      </c>
      <c r="L15502" t="s">
        <v>36071</v>
      </c>
      <c r="N15502" t="s">
        <v>36072</v>
      </c>
      <c r="P15502" t="s">
        <v>36114</v>
      </c>
      <c r="R15502" s="26" t="str">
        <f>HYPERLINK("https://ictv.global/taxonomy/taxondetails?taxnode_id=202302404","Aviadenovirus hepatitidis")</f>
        <v>Aviadenovirus hepatitidis</v>
      </c>
      <c r="S15502" t="s">
        <v>8141</v>
      </c>
      <c r="T15502" t="s">
        <v>36161</v>
      </c>
      <c r="U15502" t="s">
        <v>36162</v>
      </c>
      <c r="V15502">
        <v>764</v>
      </c>
      <c r="W15502" t="s">
        <v>50244</v>
      </c>
      <c r="X15502" t="s">
        <v>42</v>
      </c>
      <c r="Y15502" t="s">
        <v>36</v>
      </c>
      <c r="Z15502" t="s">
        <v>166</v>
      </c>
      <c r="AA15502" s="22" t="str">
        <f>HYPERLINK("https://www.ncbi.nlm.nih.gov/nuccore/KT862811","NCBI Nucleotide")</f>
        <v>NCBI Nucleotide</v>
      </c>
    </row>
    <row r="15503" spans="1:27" x14ac:dyDescent="0.35">
      <c r="A15503">
        <v>1004742</v>
      </c>
      <c r="B15503">
        <v>13943</v>
      </c>
      <c r="C15503">
        <v>1</v>
      </c>
      <c r="D15503" t="s">
        <v>35352</v>
      </c>
      <c r="F15503" t="s">
        <v>35353</v>
      </c>
      <c r="H15503" t="s">
        <v>35957</v>
      </c>
      <c r="J15503" t="s">
        <v>35988</v>
      </c>
      <c r="L15503" t="s">
        <v>36071</v>
      </c>
      <c r="N15503" t="s">
        <v>36072</v>
      </c>
      <c r="P15503" t="s">
        <v>36114</v>
      </c>
      <c r="R15503" s="26" t="str">
        <f>HYPERLINK("https://ictv.global/taxonomy/taxondetails?taxnode_id=202302402","Aviadenovirus hydropericardii")</f>
        <v>Aviadenovirus hydropericardii</v>
      </c>
      <c r="S15503" t="s">
        <v>30</v>
      </c>
      <c r="T15503" t="s">
        <v>36132</v>
      </c>
      <c r="U15503" t="s">
        <v>36133</v>
      </c>
      <c r="V15503" t="s">
        <v>36134</v>
      </c>
      <c r="W15503" t="s">
        <v>36135</v>
      </c>
      <c r="X15503" t="s">
        <v>42</v>
      </c>
      <c r="Y15503" t="s">
        <v>36</v>
      </c>
      <c r="Z15503" t="s">
        <v>166</v>
      </c>
      <c r="AA15503" s="22" t="str">
        <f>HYPERLINK("https://www.ncbi.nlm.nih.gov/nuccore/HE608152","NCBI Nucleotide")</f>
        <v>NCBI Nucleotide</v>
      </c>
    </row>
    <row r="15504" spans="1:27" x14ac:dyDescent="0.35">
      <c r="A15504">
        <v>1012049</v>
      </c>
      <c r="B15504">
        <v>13943</v>
      </c>
      <c r="C15504">
        <v>2</v>
      </c>
      <c r="D15504" t="s">
        <v>35352</v>
      </c>
      <c r="F15504" t="s">
        <v>35353</v>
      </c>
      <c r="H15504" t="s">
        <v>35957</v>
      </c>
      <c r="J15504" t="s">
        <v>35988</v>
      </c>
      <c r="L15504" t="s">
        <v>36071</v>
      </c>
      <c r="N15504" t="s">
        <v>36072</v>
      </c>
      <c r="P15504" t="s">
        <v>36114</v>
      </c>
      <c r="R15504" s="26" t="str">
        <f>HYPERLINK("https://ictv.global/taxonomy/taxondetails?taxnode_id=202302402","Aviadenovirus hydropericardii")</f>
        <v>Aviadenovirus hydropericardii</v>
      </c>
      <c r="S15504" t="s">
        <v>8141</v>
      </c>
      <c r="T15504" t="s">
        <v>36136</v>
      </c>
      <c r="U15504" t="s">
        <v>36137</v>
      </c>
      <c r="V15504" t="s">
        <v>36138</v>
      </c>
      <c r="W15504" t="s">
        <v>50245</v>
      </c>
      <c r="X15504" t="s">
        <v>42</v>
      </c>
      <c r="Y15504" t="s">
        <v>36</v>
      </c>
      <c r="Z15504" t="s">
        <v>166</v>
      </c>
      <c r="AA15504" s="22" t="str">
        <f>HYPERLINK("https://www.ncbi.nlm.nih.gov/nuccore/MK572851","NCBI Nucleotide")</f>
        <v>NCBI Nucleotide</v>
      </c>
    </row>
    <row r="15505" spans="1:27" x14ac:dyDescent="0.35">
      <c r="A15505">
        <v>1004737</v>
      </c>
      <c r="B15505">
        <v>13944</v>
      </c>
      <c r="C15505">
        <v>1</v>
      </c>
      <c r="D15505" t="s">
        <v>35352</v>
      </c>
      <c r="F15505" t="s">
        <v>35353</v>
      </c>
      <c r="H15505" t="s">
        <v>35957</v>
      </c>
      <c r="J15505" t="s">
        <v>35988</v>
      </c>
      <c r="L15505" t="s">
        <v>36071</v>
      </c>
      <c r="N15505" t="s">
        <v>36072</v>
      </c>
      <c r="P15505" t="s">
        <v>36114</v>
      </c>
      <c r="R15505" s="26" t="str">
        <f>HYPERLINK("https://ictv.global/taxonomy/taxondetails?taxnode_id=202313423","Aviadenovirus leucophthalmi")</f>
        <v>Aviadenovirus leucophthalmi</v>
      </c>
      <c r="S15505" t="s">
        <v>30</v>
      </c>
      <c r="T15505" t="s">
        <v>36115</v>
      </c>
      <c r="V15505" t="s">
        <v>50998</v>
      </c>
      <c r="W15505" t="s">
        <v>36116</v>
      </c>
      <c r="X15505" t="s">
        <v>35</v>
      </c>
      <c r="Y15505" t="s">
        <v>36</v>
      </c>
      <c r="Z15505" t="s">
        <v>166</v>
      </c>
      <c r="AA15505" s="22" t="str">
        <f>HYPERLINK("https://www.ncbi.nlm.nih.gov/nuccore/MN153802","NCBI Nucleotide")</f>
        <v>NCBI Nucleotide</v>
      </c>
    </row>
    <row r="15506" spans="1:27" x14ac:dyDescent="0.35">
      <c r="A15506">
        <v>1024694</v>
      </c>
      <c r="B15506">
        <v>13945</v>
      </c>
      <c r="C15506">
        <v>1</v>
      </c>
      <c r="D15506" t="s">
        <v>35352</v>
      </c>
      <c r="F15506" t="s">
        <v>35353</v>
      </c>
      <c r="H15506" t="s">
        <v>35957</v>
      </c>
      <c r="J15506" t="s">
        <v>35988</v>
      </c>
      <c r="L15506" t="s">
        <v>36071</v>
      </c>
      <c r="N15506" t="s">
        <v>36072</v>
      </c>
      <c r="P15506" t="s">
        <v>36114</v>
      </c>
      <c r="R15506" s="26" t="str">
        <f>HYPERLINK("https://ictv.global/taxonomy/taxondetails?taxnode_id=202317886","Aviadenovirus podargidae")</f>
        <v>Aviadenovirus podargidae</v>
      </c>
      <c r="S15506" t="s">
        <v>30</v>
      </c>
      <c r="T15506" t="s">
        <v>47759</v>
      </c>
      <c r="V15506" t="s">
        <v>47760</v>
      </c>
      <c r="W15506" t="s">
        <v>47761</v>
      </c>
      <c r="X15506" t="s">
        <v>35</v>
      </c>
      <c r="Y15506" t="s">
        <v>36</v>
      </c>
      <c r="Z15506" t="s">
        <v>166</v>
      </c>
      <c r="AA15506" s="22" t="str">
        <f>HYPERLINK("https://www.ncbi.nlm.nih.gov/nuccore/ON642334","NCBI Nucleotide")</f>
        <v>NCBI Nucleotide</v>
      </c>
    </row>
    <row r="15507" spans="1:27" x14ac:dyDescent="0.35">
      <c r="A15507">
        <v>1004741</v>
      </c>
      <c r="B15507">
        <v>13946</v>
      </c>
      <c r="C15507">
        <v>1</v>
      </c>
      <c r="D15507" t="s">
        <v>35352</v>
      </c>
      <c r="F15507" t="s">
        <v>35353</v>
      </c>
      <c r="H15507" t="s">
        <v>35957</v>
      </c>
      <c r="J15507" t="s">
        <v>35988</v>
      </c>
      <c r="L15507" t="s">
        <v>36071</v>
      </c>
      <c r="N15507" t="s">
        <v>36072</v>
      </c>
      <c r="P15507" t="s">
        <v>36114</v>
      </c>
      <c r="R15507" s="26" t="str">
        <f>HYPERLINK("https://ictv.global/taxonomy/taxondetails?taxnode_id=202302401","Aviadenovirus quintum")</f>
        <v>Aviadenovirus quintum</v>
      </c>
      <c r="S15507" t="s">
        <v>30</v>
      </c>
      <c r="T15507" t="s">
        <v>36129</v>
      </c>
      <c r="U15507" t="s">
        <v>36130</v>
      </c>
      <c r="V15507">
        <v>340</v>
      </c>
      <c r="W15507" t="s">
        <v>36131</v>
      </c>
      <c r="X15507" t="s">
        <v>42</v>
      </c>
      <c r="Y15507" t="s">
        <v>36</v>
      </c>
      <c r="Z15507" t="s">
        <v>166</v>
      </c>
      <c r="AA15507" s="22" t="str">
        <f>HYPERLINK("https://www.ncbi.nlm.nih.gov/nuccore/KC493646","NCBI Nucleotide")</f>
        <v>NCBI Nucleotide</v>
      </c>
    </row>
    <row r="15508" spans="1:27" x14ac:dyDescent="0.35">
      <c r="A15508">
        <v>1004748</v>
      </c>
      <c r="B15508">
        <v>13947</v>
      </c>
      <c r="C15508">
        <v>1</v>
      </c>
      <c r="D15508" t="s">
        <v>35352</v>
      </c>
      <c r="F15508" t="s">
        <v>35353</v>
      </c>
      <c r="H15508" t="s">
        <v>35957</v>
      </c>
      <c r="J15508" t="s">
        <v>35988</v>
      </c>
      <c r="L15508" t="s">
        <v>36071</v>
      </c>
      <c r="N15508" t="s">
        <v>36072</v>
      </c>
      <c r="P15508" t="s">
        <v>36114</v>
      </c>
      <c r="R15508" s="26" t="str">
        <f>HYPERLINK("https://ictv.global/taxonomy/taxondetails?taxnode_id=202305654","Aviadenovirus rubri")</f>
        <v>Aviadenovirus rubri</v>
      </c>
      <c r="S15508" t="s">
        <v>30</v>
      </c>
      <c r="T15508" t="s">
        <v>36175</v>
      </c>
      <c r="U15508" t="s">
        <v>36176</v>
      </c>
      <c r="V15508" t="s">
        <v>36177</v>
      </c>
      <c r="W15508" t="s">
        <v>36178</v>
      </c>
      <c r="X15508" t="s">
        <v>42</v>
      </c>
      <c r="Y15508" t="s">
        <v>36</v>
      </c>
      <c r="Z15508" t="s">
        <v>166</v>
      </c>
      <c r="AA15508" s="22" t="str">
        <f>HYPERLINK("https://www.ncbi.nlm.nih.gov/nuccore/KX577802","NCBI Nucleotide")</f>
        <v>NCBI Nucleotide</v>
      </c>
    </row>
    <row r="15509" spans="1:27" x14ac:dyDescent="0.35">
      <c r="A15509">
        <v>1004749</v>
      </c>
      <c r="B15509">
        <v>13948</v>
      </c>
      <c r="C15509">
        <v>1</v>
      </c>
      <c r="D15509" t="s">
        <v>35352</v>
      </c>
      <c r="F15509" t="s">
        <v>35353</v>
      </c>
      <c r="H15509" t="s">
        <v>35957</v>
      </c>
      <c r="J15509" t="s">
        <v>35988</v>
      </c>
      <c r="L15509" t="s">
        <v>36071</v>
      </c>
      <c r="N15509" t="s">
        <v>36072</v>
      </c>
      <c r="P15509" t="s">
        <v>36114</v>
      </c>
      <c r="R15509" s="26" t="str">
        <f>HYPERLINK("https://ictv.global/taxonomy/taxondetails?taxnode_id=202307192","Aviadenovirus senegalense")</f>
        <v>Aviadenovirus senegalense</v>
      </c>
      <c r="S15509" t="s">
        <v>30</v>
      </c>
      <c r="T15509" t="s">
        <v>36179</v>
      </c>
      <c r="U15509" t="s">
        <v>36180</v>
      </c>
      <c r="V15509" t="s">
        <v>36181</v>
      </c>
      <c r="W15509" t="s">
        <v>36182</v>
      </c>
      <c r="X15509" t="s">
        <v>42</v>
      </c>
      <c r="Y15509" t="s">
        <v>36</v>
      </c>
      <c r="Z15509" t="s">
        <v>166</v>
      </c>
      <c r="AA15509" s="22" t="str">
        <f>HYPERLINK("https://www.ncbi.nlm.nih.gov/nuccore/MH580295","NCBI Nucleotide")</f>
        <v>NCBI Nucleotide</v>
      </c>
    </row>
    <row r="15510" spans="1:27" x14ac:dyDescent="0.35">
      <c r="A15510">
        <v>1024695</v>
      </c>
      <c r="B15510">
        <v>13949</v>
      </c>
      <c r="C15510">
        <v>1</v>
      </c>
      <c r="D15510" t="s">
        <v>35352</v>
      </c>
      <c r="F15510" t="s">
        <v>35353</v>
      </c>
      <c r="H15510" t="s">
        <v>35957</v>
      </c>
      <c r="J15510" t="s">
        <v>35988</v>
      </c>
      <c r="L15510" t="s">
        <v>36071</v>
      </c>
      <c r="N15510" t="s">
        <v>36072</v>
      </c>
      <c r="P15510" t="s">
        <v>36114</v>
      </c>
      <c r="R15510" s="26" t="str">
        <f>HYPERLINK("https://ictv.global/taxonomy/taxondetails?taxnode_id=202317884","Aviadenovirus spinus")</f>
        <v>Aviadenovirus spinus</v>
      </c>
      <c r="S15510" t="s">
        <v>30</v>
      </c>
      <c r="T15510" t="s">
        <v>47762</v>
      </c>
      <c r="V15510" t="s">
        <v>47763</v>
      </c>
      <c r="W15510" t="s">
        <v>47764</v>
      </c>
      <c r="X15510" t="s">
        <v>35</v>
      </c>
      <c r="Y15510" t="s">
        <v>36</v>
      </c>
      <c r="Z15510" t="s">
        <v>166</v>
      </c>
      <c r="AA15510" s="22" t="str">
        <f>HYPERLINK("https://www.ncbi.nlm.nih.gov/nuccore/MT138099","NCBI Nucleotide")</f>
        <v>NCBI Nucleotide</v>
      </c>
    </row>
    <row r="15511" spans="1:27" x14ac:dyDescent="0.35">
      <c r="A15511">
        <v>1024696</v>
      </c>
      <c r="B15511">
        <v>13950</v>
      </c>
      <c r="C15511">
        <v>1</v>
      </c>
      <c r="D15511" t="s">
        <v>35352</v>
      </c>
      <c r="F15511" t="s">
        <v>35353</v>
      </c>
      <c r="H15511" t="s">
        <v>35957</v>
      </c>
      <c r="J15511" t="s">
        <v>35988</v>
      </c>
      <c r="L15511" t="s">
        <v>36071</v>
      </c>
      <c r="N15511" t="s">
        <v>36072</v>
      </c>
      <c r="P15511" t="s">
        <v>36114</v>
      </c>
      <c r="R15511" s="26" t="str">
        <f>HYPERLINK("https://ictv.global/taxonomy/taxondetails?taxnode_id=202317885","Aviadenovirus turdi")</f>
        <v>Aviadenovirus turdi</v>
      </c>
      <c r="S15511" t="s">
        <v>30</v>
      </c>
      <c r="T15511" t="s">
        <v>47765</v>
      </c>
      <c r="V15511" t="s">
        <v>47766</v>
      </c>
      <c r="W15511" t="s">
        <v>47767</v>
      </c>
      <c r="X15511" t="s">
        <v>35</v>
      </c>
      <c r="Y15511" t="s">
        <v>36</v>
      </c>
      <c r="Z15511" t="s">
        <v>166</v>
      </c>
      <c r="AA15511" s="22" t="str">
        <f>HYPERLINK("https://www.ncbi.nlm.nih.gov/nuccore/MT138100","NCBI Nucleotide")</f>
        <v>NCBI Nucleotide</v>
      </c>
    </row>
    <row r="15512" spans="1:27" x14ac:dyDescent="0.35">
      <c r="A15512">
        <v>1004740</v>
      </c>
      <c r="B15512">
        <v>13951</v>
      </c>
      <c r="C15512">
        <v>1</v>
      </c>
      <c r="D15512" t="s">
        <v>35352</v>
      </c>
      <c r="F15512" t="s">
        <v>35353</v>
      </c>
      <c r="H15512" t="s">
        <v>35957</v>
      </c>
      <c r="J15512" t="s">
        <v>35988</v>
      </c>
      <c r="L15512" t="s">
        <v>36071</v>
      </c>
      <c r="N15512" t="s">
        <v>36072</v>
      </c>
      <c r="P15512" t="s">
        <v>36114</v>
      </c>
      <c r="R15512" s="26" t="str">
        <f>HYPERLINK("https://ictv.global/taxonomy/taxondetails?taxnode_id=202302400","Aviadenovirus ventriculi")</f>
        <v>Aviadenovirus ventriculi</v>
      </c>
      <c r="S15512" t="s">
        <v>30</v>
      </c>
      <c r="T15512" t="s">
        <v>36126</v>
      </c>
      <c r="U15512" t="s">
        <v>36127</v>
      </c>
      <c r="V15512" t="s">
        <v>36128</v>
      </c>
      <c r="W15512" t="s">
        <v>50946</v>
      </c>
      <c r="X15512" t="s">
        <v>42</v>
      </c>
      <c r="Y15512" t="s">
        <v>36</v>
      </c>
      <c r="Z15512" t="s">
        <v>166</v>
      </c>
      <c r="AA15512" s="22" t="str">
        <f>HYPERLINK("https://www.ncbi.nlm.nih.gov/nuccore/U46933,AC_000014","NCBI Nucleotide")</f>
        <v>NCBI Nucleotide</v>
      </c>
    </row>
    <row r="15513" spans="1:27" x14ac:dyDescent="0.35">
      <c r="A15513">
        <v>1004735</v>
      </c>
      <c r="B15513">
        <v>13952</v>
      </c>
      <c r="C15513">
        <v>1</v>
      </c>
      <c r="D15513" t="s">
        <v>35352</v>
      </c>
      <c r="F15513" t="s">
        <v>35353</v>
      </c>
      <c r="H15513" t="s">
        <v>35957</v>
      </c>
      <c r="J15513" t="s">
        <v>35988</v>
      </c>
      <c r="L15513" t="s">
        <v>36071</v>
      </c>
      <c r="N15513" t="s">
        <v>36072</v>
      </c>
      <c r="P15513" t="s">
        <v>47768</v>
      </c>
      <c r="R15513" s="26" t="str">
        <f>HYPERLINK("https://ictv.global/taxonomy/taxondetails?taxnode_id=202302395","Barthadenovirus amazonae")</f>
        <v>Barthadenovirus amazonae</v>
      </c>
      <c r="S15513" t="s">
        <v>30</v>
      </c>
      <c r="T15513" t="s">
        <v>36106</v>
      </c>
      <c r="U15513" t="s">
        <v>36107</v>
      </c>
      <c r="V15513" t="s">
        <v>36108</v>
      </c>
      <c r="W15513" t="s">
        <v>36109</v>
      </c>
      <c r="X15513" t="s">
        <v>42</v>
      </c>
      <c r="Y15513" t="s">
        <v>36</v>
      </c>
      <c r="Z15513" t="s">
        <v>166</v>
      </c>
      <c r="AA15513" s="22" t="str">
        <f>HYPERLINK("https://www.ncbi.nlm.nih.gov/nuccore/KJ675568","NCBI Nucleotide")</f>
        <v>NCBI Nucleotide</v>
      </c>
    </row>
    <row r="15514" spans="1:27" x14ac:dyDescent="0.35">
      <c r="A15514">
        <v>1028002</v>
      </c>
      <c r="B15514">
        <v>13952</v>
      </c>
      <c r="C15514">
        <v>2</v>
      </c>
      <c r="D15514" t="s">
        <v>35352</v>
      </c>
      <c r="F15514" t="s">
        <v>35353</v>
      </c>
      <c r="H15514" t="s">
        <v>35957</v>
      </c>
      <c r="J15514" t="s">
        <v>35988</v>
      </c>
      <c r="L15514" t="s">
        <v>36071</v>
      </c>
      <c r="N15514" t="s">
        <v>36072</v>
      </c>
      <c r="P15514" t="s">
        <v>47768</v>
      </c>
      <c r="R15514" s="26" t="str">
        <f>HYPERLINK("https://ictv.global/taxonomy/taxondetails?taxnode_id=202302395","Barthadenovirus amazonae")</f>
        <v>Barthadenovirus amazonae</v>
      </c>
      <c r="S15514" t="s">
        <v>8141</v>
      </c>
      <c r="T15514" t="s">
        <v>50928</v>
      </c>
      <c r="V15514" t="s">
        <v>50929</v>
      </c>
      <c r="W15514" t="s">
        <v>50930</v>
      </c>
      <c r="X15514" t="s">
        <v>154</v>
      </c>
      <c r="Y15514" t="s">
        <v>36</v>
      </c>
      <c r="Z15514" t="s">
        <v>166</v>
      </c>
      <c r="AA15514" s="22" t="str">
        <f>HYPERLINK("https://www.ncbi.nlm.nih.gov/nuccore/MN025529","NCBI Nucleotide")</f>
        <v>NCBI Nucleotide</v>
      </c>
    </row>
    <row r="15515" spans="1:27" x14ac:dyDescent="0.35">
      <c r="A15515">
        <v>1004360</v>
      </c>
      <c r="B15515">
        <v>13953</v>
      </c>
      <c r="C15515">
        <v>1</v>
      </c>
      <c r="D15515" t="s">
        <v>35352</v>
      </c>
      <c r="F15515" t="s">
        <v>35353</v>
      </c>
      <c r="H15515" t="s">
        <v>35957</v>
      </c>
      <c r="J15515" t="s">
        <v>35988</v>
      </c>
      <c r="L15515" t="s">
        <v>36071</v>
      </c>
      <c r="N15515" t="s">
        <v>36072</v>
      </c>
      <c r="P15515" t="s">
        <v>47768</v>
      </c>
      <c r="R15515" s="26" t="str">
        <f>HYPERLINK("https://ictv.global/taxonomy/taxondetails?taxnode_id=202302390","Barthadenovirus bosquartum")</f>
        <v>Barthadenovirus bosquartum</v>
      </c>
      <c r="S15515" t="s">
        <v>30</v>
      </c>
      <c r="T15515" t="s">
        <v>36073</v>
      </c>
      <c r="U15515" t="s">
        <v>36074</v>
      </c>
      <c r="V15515" t="s">
        <v>36075</v>
      </c>
      <c r="W15515" t="s">
        <v>36076</v>
      </c>
      <c r="X15515" t="s">
        <v>42</v>
      </c>
      <c r="Y15515" t="s">
        <v>36</v>
      </c>
      <c r="Z15515" t="s">
        <v>166</v>
      </c>
      <c r="AA15515" s="22" t="str">
        <f>HYPERLINK("https://www.ncbi.nlm.nih.gov/nuccore/AF036092","NCBI Nucleotide")</f>
        <v>NCBI Nucleotide</v>
      </c>
    </row>
    <row r="15516" spans="1:27" x14ac:dyDescent="0.35">
      <c r="A15516">
        <v>1012046</v>
      </c>
      <c r="B15516">
        <v>13953</v>
      </c>
      <c r="C15516">
        <v>2</v>
      </c>
      <c r="D15516" t="s">
        <v>35352</v>
      </c>
      <c r="F15516" t="s">
        <v>35353</v>
      </c>
      <c r="H15516" t="s">
        <v>35957</v>
      </c>
      <c r="J15516" t="s">
        <v>35988</v>
      </c>
      <c r="L15516" t="s">
        <v>36071</v>
      </c>
      <c r="N15516" t="s">
        <v>36072</v>
      </c>
      <c r="P15516" t="s">
        <v>47768</v>
      </c>
      <c r="R15516" s="26" t="str">
        <f>HYPERLINK("https://ictv.global/taxonomy/taxondetails?taxnode_id=202302390","Barthadenovirus bosquartum")</f>
        <v>Barthadenovirus bosquartum</v>
      </c>
      <c r="S15516" t="s">
        <v>8141</v>
      </c>
      <c r="T15516" t="s">
        <v>36077</v>
      </c>
      <c r="U15516" t="s">
        <v>36078</v>
      </c>
      <c r="V15516" t="s">
        <v>36079</v>
      </c>
      <c r="W15516" t="s">
        <v>50246</v>
      </c>
      <c r="X15516" t="s">
        <v>154</v>
      </c>
      <c r="Y15516" t="s">
        <v>36</v>
      </c>
      <c r="Z15516" t="s">
        <v>166</v>
      </c>
      <c r="AA15516" s="22" t="str">
        <f>HYPERLINK("https://www.ncbi.nlm.nih.gov/nuccore/AF207658","NCBI Nucleotide")</f>
        <v>NCBI Nucleotide</v>
      </c>
    </row>
    <row r="15517" spans="1:27" x14ac:dyDescent="0.35">
      <c r="A15517">
        <v>1012047</v>
      </c>
      <c r="B15517">
        <v>13953</v>
      </c>
      <c r="C15517">
        <v>3</v>
      </c>
      <c r="D15517" t="s">
        <v>35352</v>
      </c>
      <c r="F15517" t="s">
        <v>35353</v>
      </c>
      <c r="H15517" t="s">
        <v>35957</v>
      </c>
      <c r="J15517" t="s">
        <v>35988</v>
      </c>
      <c r="L15517" t="s">
        <v>36071</v>
      </c>
      <c r="N15517" t="s">
        <v>36072</v>
      </c>
      <c r="P15517" t="s">
        <v>47768</v>
      </c>
      <c r="R15517" s="26" t="str">
        <f>HYPERLINK("https://ictv.global/taxonomy/taxondetails?taxnode_id=202302390","Barthadenovirus bosquartum")</f>
        <v>Barthadenovirus bosquartum</v>
      </c>
      <c r="S15517" t="s">
        <v>8141</v>
      </c>
      <c r="T15517" t="s">
        <v>36080</v>
      </c>
      <c r="U15517" t="s">
        <v>36081</v>
      </c>
      <c r="V15517" t="s">
        <v>36082</v>
      </c>
      <c r="W15517" t="s">
        <v>50247</v>
      </c>
      <c r="X15517" t="s">
        <v>154</v>
      </c>
      <c r="Y15517" t="s">
        <v>36</v>
      </c>
      <c r="Z15517" t="s">
        <v>166</v>
      </c>
      <c r="AA15517" s="22" t="str">
        <f>HYPERLINK("https://www.ncbi.nlm.nih.gov/nuccore/AF238233","NCBI Nucleotide")</f>
        <v>NCBI Nucleotide</v>
      </c>
    </row>
    <row r="15518" spans="1:27" x14ac:dyDescent="0.35">
      <c r="A15518">
        <v>1024702</v>
      </c>
      <c r="B15518">
        <v>13954</v>
      </c>
      <c r="C15518">
        <v>1</v>
      </c>
      <c r="D15518" t="s">
        <v>35352</v>
      </c>
      <c r="F15518" t="s">
        <v>35353</v>
      </c>
      <c r="H15518" t="s">
        <v>35957</v>
      </c>
      <c r="J15518" t="s">
        <v>35988</v>
      </c>
      <c r="L15518" t="s">
        <v>36071</v>
      </c>
      <c r="N15518" t="s">
        <v>36072</v>
      </c>
      <c r="P15518" t="s">
        <v>47768</v>
      </c>
      <c r="R15518" s="26" t="str">
        <f>HYPERLINK("https://ictv.global/taxonomy/taxondetails?taxnode_id=202317875","Barthadenovirus bosseptimum")</f>
        <v>Barthadenovirus bosseptimum</v>
      </c>
      <c r="S15518" t="s">
        <v>30</v>
      </c>
      <c r="T15518" t="s">
        <v>47769</v>
      </c>
      <c r="U15518" t="s">
        <v>47770</v>
      </c>
      <c r="V15518" t="s">
        <v>47771</v>
      </c>
      <c r="W15518" t="s">
        <v>47772</v>
      </c>
      <c r="X15518" t="s">
        <v>42</v>
      </c>
      <c r="Y15518" t="s">
        <v>36</v>
      </c>
      <c r="Z15518" t="s">
        <v>166</v>
      </c>
      <c r="AA15518" s="22" t="str">
        <f>HYPERLINK("https://www.ncbi.nlm.nih.gov/nuccore/LC597488","NCBI Nucleotide")</f>
        <v>NCBI Nucleotide</v>
      </c>
    </row>
    <row r="15519" spans="1:27" x14ac:dyDescent="0.35">
      <c r="A15519">
        <v>1004361</v>
      </c>
      <c r="B15519">
        <v>13955</v>
      </c>
      <c r="C15519">
        <v>1</v>
      </c>
      <c r="D15519" t="s">
        <v>35352</v>
      </c>
      <c r="F15519" t="s">
        <v>35353</v>
      </c>
      <c r="H15519" t="s">
        <v>35957</v>
      </c>
      <c r="J15519" t="s">
        <v>35988</v>
      </c>
      <c r="L15519" t="s">
        <v>36071</v>
      </c>
      <c r="N15519" t="s">
        <v>36072</v>
      </c>
      <c r="P15519" t="s">
        <v>47768</v>
      </c>
      <c r="R15519" s="26" t="str">
        <f>HYPERLINK("https://ictv.global/taxonomy/taxondetails?taxnode_id=202309160","Barthadenovirus bossextum")</f>
        <v>Barthadenovirus bossextum</v>
      </c>
      <c r="S15519" t="s">
        <v>30</v>
      </c>
      <c r="T15519" t="s">
        <v>36083</v>
      </c>
      <c r="U15519" t="s">
        <v>36084</v>
      </c>
      <c r="V15519">
        <v>671130</v>
      </c>
      <c r="W15519" t="s">
        <v>36085</v>
      </c>
      <c r="X15519" t="s">
        <v>42</v>
      </c>
      <c r="Y15519" t="s">
        <v>36</v>
      </c>
      <c r="Z15519" t="s">
        <v>166</v>
      </c>
      <c r="AA15519" s="22" t="str">
        <f>HYPERLINK("https://www.ncbi.nlm.nih.gov/nuccore/JQ345700","NCBI Nucleotide")</f>
        <v>NCBI Nucleotide</v>
      </c>
    </row>
    <row r="15520" spans="1:27" x14ac:dyDescent="0.35">
      <c r="A15520">
        <v>1024703</v>
      </c>
      <c r="B15520">
        <v>13956</v>
      </c>
      <c r="C15520">
        <v>1</v>
      </c>
      <c r="D15520" t="s">
        <v>35352</v>
      </c>
      <c r="F15520" t="s">
        <v>35353</v>
      </c>
      <c r="H15520" t="s">
        <v>35957</v>
      </c>
      <c r="J15520" t="s">
        <v>35988</v>
      </c>
      <c r="L15520" t="s">
        <v>36071</v>
      </c>
      <c r="N15520" t="s">
        <v>36072</v>
      </c>
      <c r="P15520" t="s">
        <v>47768</v>
      </c>
      <c r="R15520" s="26" t="str">
        <f>HYPERLINK("https://ictv.global/taxonomy/taxondetails?taxnode_id=202317876","Barthadenovirus caerulei")</f>
        <v>Barthadenovirus caerulei</v>
      </c>
      <c r="S15520" t="s">
        <v>30</v>
      </c>
      <c r="T15520" t="s">
        <v>47773</v>
      </c>
      <c r="U15520" t="s">
        <v>47774</v>
      </c>
      <c r="V15520" t="s">
        <v>47775</v>
      </c>
      <c r="W15520" t="s">
        <v>47776</v>
      </c>
      <c r="X15520" t="s">
        <v>35</v>
      </c>
      <c r="Y15520" t="s">
        <v>36</v>
      </c>
      <c r="Z15520" t="s">
        <v>166</v>
      </c>
      <c r="AA15520" s="22" t="str">
        <f>HYPERLINK("https://www.ncbi.nlm.nih.gov/nuccore/MT138098","NCBI Nucleotide")</f>
        <v>NCBI Nucleotide</v>
      </c>
    </row>
    <row r="15521" spans="1:27" x14ac:dyDescent="0.35">
      <c r="A15521">
        <v>1004362</v>
      </c>
      <c r="B15521">
        <v>13957</v>
      </c>
      <c r="C15521">
        <v>1</v>
      </c>
      <c r="D15521" t="s">
        <v>35352</v>
      </c>
      <c r="F15521" t="s">
        <v>35353</v>
      </c>
      <c r="H15521" t="s">
        <v>35957</v>
      </c>
      <c r="J15521" t="s">
        <v>35988</v>
      </c>
      <c r="L15521" t="s">
        <v>36071</v>
      </c>
      <c r="N15521" t="s">
        <v>36072</v>
      </c>
      <c r="P15521" t="s">
        <v>47768</v>
      </c>
      <c r="R15521" s="26" t="str">
        <f>HYPERLINK("https://ictv.global/taxonomy/taxondetails?taxnode_id=202305652","Barthadenovirus cervi")</f>
        <v>Barthadenovirus cervi</v>
      </c>
      <c r="S15521" t="s">
        <v>30</v>
      </c>
      <c r="T15521" t="s">
        <v>36086</v>
      </c>
      <c r="U15521" t="s">
        <v>36087</v>
      </c>
      <c r="V15521" t="s">
        <v>36088</v>
      </c>
      <c r="W15521" t="s">
        <v>36089</v>
      </c>
      <c r="X15521" t="s">
        <v>42</v>
      </c>
      <c r="Y15521" t="s">
        <v>36</v>
      </c>
      <c r="Z15521" t="s">
        <v>166</v>
      </c>
      <c r="AA15521" s="22" t="str">
        <f>HYPERLINK("https://www.ncbi.nlm.nih.gov/nuccore/KY748210","NCBI Nucleotide")</f>
        <v>NCBI Nucleotide</v>
      </c>
    </row>
    <row r="15522" spans="1:27" x14ac:dyDescent="0.35">
      <c r="A15522">
        <v>1004732</v>
      </c>
      <c r="B15522">
        <v>13958</v>
      </c>
      <c r="C15522">
        <v>1</v>
      </c>
      <c r="D15522" t="s">
        <v>35352</v>
      </c>
      <c r="F15522" t="s">
        <v>35353</v>
      </c>
      <c r="H15522" t="s">
        <v>35957</v>
      </c>
      <c r="J15522" t="s">
        <v>35988</v>
      </c>
      <c r="L15522" t="s">
        <v>36071</v>
      </c>
      <c r="N15522" t="s">
        <v>36072</v>
      </c>
      <c r="P15522" t="s">
        <v>47768</v>
      </c>
      <c r="R15522" s="26" t="str">
        <f>HYPERLINK("https://ictv.global/taxonomy/taxondetails?taxnode_id=202309161","Barthadenovirus draconis")</f>
        <v>Barthadenovirus draconis</v>
      </c>
      <c r="S15522" t="s">
        <v>30</v>
      </c>
      <c r="T15522" t="s">
        <v>36096</v>
      </c>
      <c r="U15522" t="s">
        <v>36097</v>
      </c>
      <c r="V15522" t="s">
        <v>36098</v>
      </c>
      <c r="W15522" t="s">
        <v>36099</v>
      </c>
      <c r="X15522" t="s">
        <v>42</v>
      </c>
      <c r="Y15522" t="s">
        <v>36</v>
      </c>
      <c r="Z15522" t="s">
        <v>166</v>
      </c>
      <c r="AA15522" s="22" t="str">
        <f>HYPERLINK("https://www.ncbi.nlm.nih.gov/nuccore/MT050041","NCBI Nucleotide")</f>
        <v>NCBI Nucleotide</v>
      </c>
    </row>
    <row r="15523" spans="1:27" x14ac:dyDescent="0.35">
      <c r="A15523">
        <v>1004363</v>
      </c>
      <c r="B15523">
        <v>13959</v>
      </c>
      <c r="C15523">
        <v>1</v>
      </c>
      <c r="D15523" t="s">
        <v>35352</v>
      </c>
      <c r="F15523" t="s">
        <v>35353</v>
      </c>
      <c r="H15523" t="s">
        <v>35957</v>
      </c>
      <c r="J15523" t="s">
        <v>35988</v>
      </c>
      <c r="L15523" t="s">
        <v>36071</v>
      </c>
      <c r="N15523" t="s">
        <v>36072</v>
      </c>
      <c r="P15523" t="s">
        <v>47768</v>
      </c>
      <c r="R15523" s="26" t="str">
        <f>HYPERLINK("https://ictv.global/taxonomy/taxondetails?taxnode_id=202302391","Barthadenovirus galloanserae")</f>
        <v>Barthadenovirus galloanserae</v>
      </c>
      <c r="S15523" t="s">
        <v>30</v>
      </c>
      <c r="T15523" t="s">
        <v>36090</v>
      </c>
      <c r="U15523" t="s">
        <v>36091</v>
      </c>
      <c r="V15523">
        <v>127</v>
      </c>
      <c r="W15523" t="s">
        <v>50945</v>
      </c>
      <c r="X15523" t="s">
        <v>42</v>
      </c>
      <c r="Y15523" t="s">
        <v>36</v>
      </c>
      <c r="Z15523" t="s">
        <v>166</v>
      </c>
      <c r="AA15523" s="22" t="str">
        <f>HYPERLINK("https://www.ncbi.nlm.nih.gov/nuccore/Y09598,AC_000004","NCBI Nucleotide")</f>
        <v>NCBI Nucleotide</v>
      </c>
    </row>
    <row r="15524" spans="1:27" x14ac:dyDescent="0.35">
      <c r="A15524">
        <v>1024704</v>
      </c>
      <c r="B15524">
        <v>13960</v>
      </c>
      <c r="C15524">
        <v>1</v>
      </c>
      <c r="D15524" t="s">
        <v>35352</v>
      </c>
      <c r="F15524" t="s">
        <v>35353</v>
      </c>
      <c r="H15524" t="s">
        <v>35957</v>
      </c>
      <c r="J15524" t="s">
        <v>35988</v>
      </c>
      <c r="L15524" t="s">
        <v>36071</v>
      </c>
      <c r="N15524" t="s">
        <v>36072</v>
      </c>
      <c r="P15524" t="s">
        <v>47768</v>
      </c>
      <c r="R15524" s="26" t="str">
        <f>HYPERLINK("https://ictv.global/taxonomy/taxondetails?taxnode_id=202317877","Barthadenovirus inornati")</f>
        <v>Barthadenovirus inornati</v>
      </c>
      <c r="S15524" t="s">
        <v>30</v>
      </c>
      <c r="T15524" t="s">
        <v>47777</v>
      </c>
      <c r="V15524" t="s">
        <v>47778</v>
      </c>
      <c r="W15524" t="s">
        <v>47779</v>
      </c>
      <c r="X15524" t="s">
        <v>42</v>
      </c>
      <c r="Y15524" t="s">
        <v>36</v>
      </c>
      <c r="Z15524" t="s">
        <v>166</v>
      </c>
      <c r="AA15524" s="22" t="str">
        <f>HYPERLINK("https://www.ncbi.nlm.nih.gov/nuccore/MT138101","NCBI Nucleotide")</f>
        <v>NCBI Nucleotide</v>
      </c>
    </row>
    <row r="15525" spans="1:27" x14ac:dyDescent="0.35">
      <c r="A15525">
        <v>1004364</v>
      </c>
      <c r="B15525">
        <v>13961</v>
      </c>
      <c r="C15525">
        <v>1</v>
      </c>
      <c r="D15525" t="s">
        <v>35352</v>
      </c>
      <c r="F15525" t="s">
        <v>35353</v>
      </c>
      <c r="H15525" t="s">
        <v>35957</v>
      </c>
      <c r="J15525" t="s">
        <v>35988</v>
      </c>
      <c r="L15525" t="s">
        <v>36071</v>
      </c>
      <c r="N15525" t="s">
        <v>36072</v>
      </c>
      <c r="P15525" t="s">
        <v>47768</v>
      </c>
      <c r="R15525" s="26" t="str">
        <f>HYPERLINK("https://ictv.global/taxonomy/taxondetails?taxnode_id=202302392","Barthadenovirus lacertae")</f>
        <v>Barthadenovirus lacertae</v>
      </c>
      <c r="S15525" t="s">
        <v>30</v>
      </c>
      <c r="T15525" t="s">
        <v>36092</v>
      </c>
      <c r="U15525" t="s">
        <v>36093</v>
      </c>
      <c r="V15525" t="s">
        <v>36094</v>
      </c>
      <c r="W15525" t="s">
        <v>36095</v>
      </c>
      <c r="X15525" t="s">
        <v>42</v>
      </c>
      <c r="Y15525" t="s">
        <v>36</v>
      </c>
      <c r="Z15525" t="s">
        <v>166</v>
      </c>
      <c r="AA15525" s="22" t="str">
        <f>HYPERLINK("https://www.ncbi.nlm.nih.gov/nuccore/KJ156523","NCBI Nucleotide")</f>
        <v>NCBI Nucleotide</v>
      </c>
    </row>
    <row r="15526" spans="1:27" x14ac:dyDescent="0.35">
      <c r="A15526">
        <v>1024705</v>
      </c>
      <c r="B15526">
        <v>13962</v>
      </c>
      <c r="C15526">
        <v>1</v>
      </c>
      <c r="D15526" t="s">
        <v>35352</v>
      </c>
      <c r="F15526" t="s">
        <v>35353</v>
      </c>
      <c r="H15526" t="s">
        <v>35957</v>
      </c>
      <c r="J15526" t="s">
        <v>35988</v>
      </c>
      <c r="L15526" t="s">
        <v>36071</v>
      </c>
      <c r="N15526" t="s">
        <v>36072</v>
      </c>
      <c r="P15526" t="s">
        <v>47768</v>
      </c>
      <c r="R15526" s="26" t="str">
        <f>HYPERLINK("https://ictv.global/taxonomy/taxondetails?taxnode_id=202317879","Barthadenovirus macropodidae")</f>
        <v>Barthadenovirus macropodidae</v>
      </c>
      <c r="S15526" t="s">
        <v>30</v>
      </c>
      <c r="T15526" t="s">
        <v>50943</v>
      </c>
      <c r="V15526" t="s">
        <v>47780</v>
      </c>
      <c r="W15526" t="s">
        <v>47781</v>
      </c>
      <c r="X15526" t="s">
        <v>35</v>
      </c>
      <c r="Y15526" t="s">
        <v>36</v>
      </c>
      <c r="Z15526" t="s">
        <v>166</v>
      </c>
      <c r="AA15526" s="22" t="str">
        <f>HYPERLINK("https://www.ncbi.nlm.nih.gov/nuccore/OQ792214","NCBI Nucleotide")</f>
        <v>NCBI Nucleotide</v>
      </c>
    </row>
    <row r="15527" spans="1:27" x14ac:dyDescent="0.35">
      <c r="A15527">
        <v>1024706</v>
      </c>
      <c r="B15527">
        <v>13963</v>
      </c>
      <c r="C15527">
        <v>1</v>
      </c>
      <c r="D15527" t="s">
        <v>35352</v>
      </c>
      <c r="F15527" t="s">
        <v>35353</v>
      </c>
      <c r="H15527" t="s">
        <v>35957</v>
      </c>
      <c r="J15527" t="s">
        <v>35988</v>
      </c>
      <c r="L15527" t="s">
        <v>36071</v>
      </c>
      <c r="N15527" t="s">
        <v>36072</v>
      </c>
      <c r="P15527" t="s">
        <v>47768</v>
      </c>
      <c r="R15527" s="26" t="str">
        <f>HYPERLINK("https://ictv.global/taxonomy/taxondetails?taxnode_id=202317873","Barthadenovirus mellis")</f>
        <v>Barthadenovirus mellis</v>
      </c>
      <c r="S15527" t="s">
        <v>30</v>
      </c>
      <c r="T15527" t="s">
        <v>47782</v>
      </c>
      <c r="U15527" t="s">
        <v>47783</v>
      </c>
      <c r="V15527" t="s">
        <v>47784</v>
      </c>
      <c r="W15527" t="s">
        <v>47785</v>
      </c>
      <c r="X15527" t="s">
        <v>35</v>
      </c>
      <c r="Y15527" t="s">
        <v>36</v>
      </c>
      <c r="Z15527" t="s">
        <v>166</v>
      </c>
      <c r="AA15527" s="22" t="str">
        <f>HYPERLINK("https://www.ncbi.nlm.nih.gov/nuccore/MT674683","NCBI Nucleotide")</f>
        <v>NCBI Nucleotide</v>
      </c>
    </row>
    <row r="15528" spans="1:27" x14ac:dyDescent="0.35">
      <c r="A15528">
        <v>1004733</v>
      </c>
      <c r="B15528">
        <v>13964</v>
      </c>
      <c r="C15528">
        <v>1</v>
      </c>
      <c r="D15528" t="s">
        <v>35352</v>
      </c>
      <c r="F15528" t="s">
        <v>35353</v>
      </c>
      <c r="H15528" t="s">
        <v>35957</v>
      </c>
      <c r="J15528" t="s">
        <v>35988</v>
      </c>
      <c r="L15528" t="s">
        <v>36071</v>
      </c>
      <c r="N15528" t="s">
        <v>36072</v>
      </c>
      <c r="P15528" t="s">
        <v>47768</v>
      </c>
      <c r="R15528" s="26" t="str">
        <f>HYPERLINK("https://ictv.global/taxonomy/taxondetails?taxnode_id=202302393","Barthadenovirus ovis")</f>
        <v>Barthadenovirus ovis</v>
      </c>
      <c r="S15528" t="s">
        <v>30</v>
      </c>
      <c r="T15528" t="s">
        <v>36100</v>
      </c>
      <c r="U15528" t="s">
        <v>36101</v>
      </c>
      <c r="V15528" t="s">
        <v>36102</v>
      </c>
      <c r="W15528" t="s">
        <v>36103</v>
      </c>
      <c r="X15528" t="s">
        <v>42</v>
      </c>
      <c r="Y15528" t="s">
        <v>36</v>
      </c>
      <c r="Z15528" t="s">
        <v>166</v>
      </c>
      <c r="AA15528" s="22" t="str">
        <f>HYPERLINK("https://www.ncbi.nlm.nih.gov/nuccore/U40839","NCBI Nucleotide")</f>
        <v>NCBI Nucleotide</v>
      </c>
    </row>
    <row r="15529" spans="1:27" x14ac:dyDescent="0.35">
      <c r="A15529">
        <v>1028013</v>
      </c>
      <c r="B15529">
        <v>13964</v>
      </c>
      <c r="C15529">
        <v>2</v>
      </c>
      <c r="D15529" t="s">
        <v>35352</v>
      </c>
      <c r="F15529" t="s">
        <v>35353</v>
      </c>
      <c r="H15529" t="s">
        <v>35957</v>
      </c>
      <c r="J15529" t="s">
        <v>35988</v>
      </c>
      <c r="L15529" t="s">
        <v>36071</v>
      </c>
      <c r="N15529" t="s">
        <v>36072</v>
      </c>
      <c r="P15529" t="s">
        <v>47768</v>
      </c>
      <c r="R15529" s="26" t="str">
        <f>HYPERLINK("https://ictv.global/taxonomy/taxondetails?taxnode_id=202302393","Barthadenovirus ovis")</f>
        <v>Barthadenovirus ovis</v>
      </c>
      <c r="S15529" t="s">
        <v>8141</v>
      </c>
      <c r="T15529" t="s">
        <v>50959</v>
      </c>
      <c r="U15529" t="s">
        <v>50960</v>
      </c>
      <c r="V15529" t="s">
        <v>50961</v>
      </c>
      <c r="W15529" t="s">
        <v>50962</v>
      </c>
      <c r="X15529" t="s">
        <v>154</v>
      </c>
      <c r="Y15529" t="s">
        <v>36</v>
      </c>
      <c r="Z15529" t="s">
        <v>166</v>
      </c>
      <c r="AA15529" s="22" t="str">
        <f>HYPERLINK("https://www.ncbi.nlm.nih.gov/nuccore/AF207660","NCBI Nucleotide")</f>
        <v>NCBI Nucleotide</v>
      </c>
    </row>
    <row r="15530" spans="1:27" x14ac:dyDescent="0.35">
      <c r="A15530">
        <v>1024707</v>
      </c>
      <c r="B15530">
        <v>13965</v>
      </c>
      <c r="C15530">
        <v>1</v>
      </c>
      <c r="D15530" t="s">
        <v>35352</v>
      </c>
      <c r="F15530" t="s">
        <v>35353</v>
      </c>
      <c r="H15530" t="s">
        <v>35957</v>
      </c>
      <c r="J15530" t="s">
        <v>35988</v>
      </c>
      <c r="L15530" t="s">
        <v>36071</v>
      </c>
      <c r="N15530" t="s">
        <v>36072</v>
      </c>
      <c r="P15530" t="s">
        <v>47768</v>
      </c>
      <c r="R15530" s="26" t="str">
        <f>HYPERLINK("https://ictv.global/taxonomy/taxondetails?taxnode_id=202317878","Barthadenovirus schwarzi")</f>
        <v>Barthadenovirus schwarzi</v>
      </c>
      <c r="S15530" t="s">
        <v>30</v>
      </c>
      <c r="T15530" t="s">
        <v>47786</v>
      </c>
      <c r="V15530" t="s">
        <v>47787</v>
      </c>
      <c r="W15530" t="s">
        <v>47788</v>
      </c>
      <c r="X15530" t="s">
        <v>42</v>
      </c>
      <c r="Y15530" t="s">
        <v>36</v>
      </c>
      <c r="Z15530" t="s">
        <v>166</v>
      </c>
      <c r="AA15530" s="22" t="str">
        <f>HYPERLINK("https://www.ncbi.nlm.nih.gov/nuccore/MT138103","NCBI Nucleotide")</f>
        <v>NCBI Nucleotide</v>
      </c>
    </row>
    <row r="15531" spans="1:27" x14ac:dyDescent="0.35">
      <c r="A15531">
        <v>1004736</v>
      </c>
      <c r="B15531">
        <v>13966</v>
      </c>
      <c r="C15531">
        <v>1</v>
      </c>
      <c r="D15531" t="s">
        <v>35352</v>
      </c>
      <c r="F15531" t="s">
        <v>35353</v>
      </c>
      <c r="H15531" t="s">
        <v>35957</v>
      </c>
      <c r="J15531" t="s">
        <v>35988</v>
      </c>
      <c r="L15531" t="s">
        <v>36071</v>
      </c>
      <c r="N15531" t="s">
        <v>36072</v>
      </c>
      <c r="P15531" t="s">
        <v>47768</v>
      </c>
      <c r="R15531" s="26" t="str">
        <f>HYPERLINK("https://ictv.global/taxonomy/taxondetails?taxnode_id=202302396","Barthadenovirus serpentis")</f>
        <v>Barthadenovirus serpentis</v>
      </c>
      <c r="S15531" t="s">
        <v>30</v>
      </c>
      <c r="T15531" t="s">
        <v>36110</v>
      </c>
      <c r="U15531" t="s">
        <v>36111</v>
      </c>
      <c r="V15531" t="s">
        <v>36112</v>
      </c>
      <c r="W15531" t="s">
        <v>36113</v>
      </c>
      <c r="X15531" t="s">
        <v>42</v>
      </c>
      <c r="Y15531" t="s">
        <v>36</v>
      </c>
      <c r="Z15531" t="s">
        <v>166</v>
      </c>
      <c r="AA15531" s="22" t="str">
        <f>HYPERLINK("https://www.ncbi.nlm.nih.gov/nuccore/DQ106414","NCBI Nucleotide")</f>
        <v>NCBI Nucleotide</v>
      </c>
    </row>
    <row r="15532" spans="1:27" x14ac:dyDescent="0.35">
      <c r="A15532">
        <v>1024708</v>
      </c>
      <c r="B15532">
        <v>13967</v>
      </c>
      <c r="C15532">
        <v>1</v>
      </c>
      <c r="D15532" t="s">
        <v>35352</v>
      </c>
      <c r="F15532" t="s">
        <v>35353</v>
      </c>
      <c r="H15532" t="s">
        <v>35957</v>
      </c>
      <c r="J15532" t="s">
        <v>35988</v>
      </c>
      <c r="L15532" t="s">
        <v>36071</v>
      </c>
      <c r="N15532" t="s">
        <v>36072</v>
      </c>
      <c r="P15532" t="s">
        <v>47768</v>
      </c>
      <c r="R15532" s="26" t="str">
        <f>HYPERLINK("https://ictv.global/taxonomy/taxondetails?taxnode_id=202317874","Barthadenovirus sternae")</f>
        <v>Barthadenovirus sternae</v>
      </c>
      <c r="S15532" t="s">
        <v>30</v>
      </c>
      <c r="T15532" t="s">
        <v>47789</v>
      </c>
      <c r="U15532" t="s">
        <v>47790</v>
      </c>
      <c r="V15532" t="s">
        <v>47791</v>
      </c>
      <c r="W15532" t="s">
        <v>47792</v>
      </c>
      <c r="X15532" t="s">
        <v>42</v>
      </c>
      <c r="Y15532" t="s">
        <v>36</v>
      </c>
      <c r="Z15532" t="s">
        <v>166</v>
      </c>
      <c r="AA15532" s="22" t="str">
        <f>HYPERLINK("https://www.ncbi.nlm.nih.gov/nuccore/OL692338","NCBI Nucleotide")</f>
        <v>NCBI Nucleotide</v>
      </c>
    </row>
    <row r="15533" spans="1:27" x14ac:dyDescent="0.35">
      <c r="A15533">
        <v>1004734</v>
      </c>
      <c r="B15533">
        <v>13968</v>
      </c>
      <c r="C15533">
        <v>1</v>
      </c>
      <c r="D15533" t="s">
        <v>35352</v>
      </c>
      <c r="F15533" t="s">
        <v>35353</v>
      </c>
      <c r="H15533" t="s">
        <v>35957</v>
      </c>
      <c r="J15533" t="s">
        <v>35988</v>
      </c>
      <c r="L15533" t="s">
        <v>36071</v>
      </c>
      <c r="N15533" t="s">
        <v>36072</v>
      </c>
      <c r="P15533" t="s">
        <v>47768</v>
      </c>
      <c r="R15533" s="26" t="str">
        <f>HYPERLINK("https://ictv.global/taxonomy/taxondetails?taxnode_id=202302394","Barthadenovirus vulpeculae")</f>
        <v>Barthadenovirus vulpeculae</v>
      </c>
      <c r="S15533" t="s">
        <v>30</v>
      </c>
      <c r="T15533" t="s">
        <v>36104</v>
      </c>
      <c r="U15533" t="s">
        <v>36105</v>
      </c>
      <c r="W15533" t="s">
        <v>47793</v>
      </c>
      <c r="X15533" t="s">
        <v>154</v>
      </c>
      <c r="Y15533" t="s">
        <v>36</v>
      </c>
      <c r="Z15533" t="s">
        <v>166</v>
      </c>
      <c r="AA15533" s="22" t="str">
        <f>HYPERLINK("https://www.ncbi.nlm.nih.gov/nuccore/AF249332,AF338823","NCBI Nucleotide")</f>
        <v>NCBI Nucleotide</v>
      </c>
    </row>
    <row r="15534" spans="1:27" x14ac:dyDescent="0.35">
      <c r="A15534">
        <v>1004753</v>
      </c>
      <c r="B15534">
        <v>13969</v>
      </c>
      <c r="C15534">
        <v>1</v>
      </c>
      <c r="D15534" t="s">
        <v>35352</v>
      </c>
      <c r="F15534" t="s">
        <v>35353</v>
      </c>
      <c r="H15534" t="s">
        <v>35957</v>
      </c>
      <c r="J15534" t="s">
        <v>35988</v>
      </c>
      <c r="L15534" t="s">
        <v>36071</v>
      </c>
      <c r="N15534" t="s">
        <v>36072</v>
      </c>
      <c r="P15534" t="s">
        <v>36195</v>
      </c>
      <c r="R15534" s="26" t="str">
        <f>HYPERLINK("https://ictv.global/taxonomy/taxondetails?taxnode_id=202302411","Ichtadenovirus acipenseris")</f>
        <v>Ichtadenovirus acipenseris</v>
      </c>
      <c r="S15534" t="s">
        <v>30</v>
      </c>
      <c r="T15534" t="s">
        <v>36196</v>
      </c>
      <c r="U15534" t="s">
        <v>36197</v>
      </c>
      <c r="V15534" t="s">
        <v>36198</v>
      </c>
      <c r="W15534" t="s">
        <v>36199</v>
      </c>
      <c r="X15534" t="s">
        <v>42</v>
      </c>
      <c r="Y15534" t="s">
        <v>36</v>
      </c>
      <c r="Z15534" t="s">
        <v>166</v>
      </c>
      <c r="AA15534" s="22" t="str">
        <f>HYPERLINK("https://www.ncbi.nlm.nih.gov/nuccore/MK101347","NCBI Nucleotide")</f>
        <v>NCBI Nucleotide</v>
      </c>
    </row>
    <row r="15535" spans="1:27" x14ac:dyDescent="0.35">
      <c r="A15535">
        <v>1004774</v>
      </c>
      <c r="B15535">
        <v>13970</v>
      </c>
      <c r="C15535">
        <v>1</v>
      </c>
      <c r="D15535" t="s">
        <v>35352</v>
      </c>
      <c r="F15535" t="s">
        <v>35353</v>
      </c>
      <c r="H15535" t="s">
        <v>35957</v>
      </c>
      <c r="J15535" t="s">
        <v>35988</v>
      </c>
      <c r="L15535" t="s">
        <v>36071</v>
      </c>
      <c r="N15535" t="s">
        <v>36072</v>
      </c>
      <c r="P15535" t="s">
        <v>36200</v>
      </c>
      <c r="R15535" s="26" t="str">
        <f>HYPERLINK("https://ictv.global/taxonomy/taxondetails?taxnode_id=202302422","Mastadenovirus adami")</f>
        <v>Mastadenovirus adami</v>
      </c>
      <c r="S15535" t="s">
        <v>30</v>
      </c>
      <c r="T15535" t="s">
        <v>36279</v>
      </c>
      <c r="U15535" t="s">
        <v>36280</v>
      </c>
      <c r="W15535" t="s">
        <v>36281</v>
      </c>
      <c r="X15535" t="s">
        <v>42</v>
      </c>
      <c r="Y15535" t="s">
        <v>36</v>
      </c>
      <c r="Z15535" t="s">
        <v>166</v>
      </c>
      <c r="AA15535" s="22" t="str">
        <f>HYPERLINK("https://www.ncbi.nlm.nih.gov/nuccore/X73487","NCBI Nucleotide")</f>
        <v>NCBI Nucleotide</v>
      </c>
    </row>
    <row r="15536" spans="1:27" x14ac:dyDescent="0.35">
      <c r="A15536">
        <v>1012060</v>
      </c>
      <c r="B15536">
        <v>13970</v>
      </c>
      <c r="C15536">
        <v>2</v>
      </c>
      <c r="D15536" t="s">
        <v>35352</v>
      </c>
      <c r="F15536" t="s">
        <v>35353</v>
      </c>
      <c r="H15536" t="s">
        <v>35957</v>
      </c>
      <c r="J15536" t="s">
        <v>35988</v>
      </c>
      <c r="L15536" t="s">
        <v>36071</v>
      </c>
      <c r="N15536" t="s">
        <v>36072</v>
      </c>
      <c r="P15536" t="s">
        <v>36200</v>
      </c>
      <c r="R15536" s="26" t="str">
        <f>HYPERLINK("https://ictv.global/taxonomy/taxondetails?taxnode_id=202302422","Mastadenovirus adami")</f>
        <v>Mastadenovirus adami</v>
      </c>
      <c r="S15536" t="s">
        <v>8141</v>
      </c>
      <c r="T15536" t="s">
        <v>36282</v>
      </c>
      <c r="U15536" t="s">
        <v>36283</v>
      </c>
      <c r="V15536" t="s">
        <v>36284</v>
      </c>
      <c r="W15536" t="s">
        <v>50248</v>
      </c>
      <c r="X15536" t="s">
        <v>42</v>
      </c>
      <c r="Y15536" t="s">
        <v>36</v>
      </c>
      <c r="Z15536" t="s">
        <v>166</v>
      </c>
      <c r="AA15536" s="22" t="str">
        <f>HYPERLINK("https://www.ncbi.nlm.nih.gov/nuccore/GU191019","NCBI Nucleotide")</f>
        <v>NCBI Nucleotide</v>
      </c>
    </row>
    <row r="15537" spans="1:27" x14ac:dyDescent="0.35">
      <c r="A15537">
        <v>1012061</v>
      </c>
      <c r="B15537">
        <v>13970</v>
      </c>
      <c r="C15537">
        <v>3</v>
      </c>
      <c r="D15537" t="s">
        <v>35352</v>
      </c>
      <c r="F15537" t="s">
        <v>35353</v>
      </c>
      <c r="H15537" t="s">
        <v>35957</v>
      </c>
      <c r="J15537" t="s">
        <v>35988</v>
      </c>
      <c r="L15537" t="s">
        <v>36071</v>
      </c>
      <c r="N15537" t="s">
        <v>36072</v>
      </c>
      <c r="P15537" t="s">
        <v>36200</v>
      </c>
      <c r="R15537" s="26" t="str">
        <f>HYPERLINK("https://ictv.global/taxonomy/taxondetails?taxnode_id=202302422","Mastadenovirus adami")</f>
        <v>Mastadenovirus adami</v>
      </c>
      <c r="S15537" t="s">
        <v>8141</v>
      </c>
      <c r="T15537" t="s">
        <v>36285</v>
      </c>
      <c r="U15537" t="s">
        <v>36286</v>
      </c>
      <c r="W15537" t="s">
        <v>50249</v>
      </c>
      <c r="X15537" t="s">
        <v>42</v>
      </c>
      <c r="Y15537" t="s">
        <v>36</v>
      </c>
      <c r="Z15537" t="s">
        <v>166</v>
      </c>
      <c r="AA15537" s="22" t="str">
        <f>HYPERLINK("https://www.ncbi.nlm.nih.gov/nuccore/AM749299","NCBI Nucleotide")</f>
        <v>NCBI Nucleotide</v>
      </c>
    </row>
    <row r="15538" spans="1:27" x14ac:dyDescent="0.35">
      <c r="A15538">
        <v>1012062</v>
      </c>
      <c r="B15538">
        <v>13970</v>
      </c>
      <c r="C15538">
        <v>4</v>
      </c>
      <c r="D15538" t="s">
        <v>35352</v>
      </c>
      <c r="F15538" t="s">
        <v>35353</v>
      </c>
      <c r="H15538" t="s">
        <v>35957</v>
      </c>
      <c r="J15538" t="s">
        <v>35988</v>
      </c>
      <c r="L15538" t="s">
        <v>36071</v>
      </c>
      <c r="N15538" t="s">
        <v>36072</v>
      </c>
      <c r="P15538" t="s">
        <v>36200</v>
      </c>
      <c r="R15538" s="26" t="str">
        <f>HYPERLINK("https://ictv.global/taxonomy/taxondetails?taxnode_id=202302422","Mastadenovirus adami")</f>
        <v>Mastadenovirus adami</v>
      </c>
      <c r="S15538" t="s">
        <v>8141</v>
      </c>
      <c r="T15538" t="s">
        <v>36287</v>
      </c>
      <c r="U15538" t="s">
        <v>36288</v>
      </c>
      <c r="W15538" t="s">
        <v>50250</v>
      </c>
      <c r="X15538" t="s">
        <v>42</v>
      </c>
      <c r="Y15538" t="s">
        <v>36</v>
      </c>
      <c r="Z15538" t="s">
        <v>166</v>
      </c>
      <c r="AA15538" s="22" t="str">
        <f>HYPERLINK("https://www.ncbi.nlm.nih.gov/nuccore/KF360047","NCBI Nucleotide")</f>
        <v>NCBI Nucleotide</v>
      </c>
    </row>
    <row r="15539" spans="1:27" x14ac:dyDescent="0.35">
      <c r="A15539">
        <v>1004762</v>
      </c>
      <c r="B15539">
        <v>13971</v>
      </c>
      <c r="C15539">
        <v>1</v>
      </c>
      <c r="D15539" t="s">
        <v>35352</v>
      </c>
      <c r="F15539" t="s">
        <v>35353</v>
      </c>
      <c r="H15539" t="s">
        <v>35957</v>
      </c>
      <c r="J15539" t="s">
        <v>35988</v>
      </c>
      <c r="L15539" t="s">
        <v>36071</v>
      </c>
      <c r="N15539" t="s">
        <v>36072</v>
      </c>
      <c r="P15539" t="s">
        <v>36200</v>
      </c>
      <c r="R15539" s="26" t="str">
        <f>HYPERLINK("https://ictv.global/taxonomy/taxondetails?taxnode_id=202307194","Mastadenovirus aegyptiaci")</f>
        <v>Mastadenovirus aegyptiaci</v>
      </c>
      <c r="S15539" t="s">
        <v>30</v>
      </c>
      <c r="T15539" t="s">
        <v>36238</v>
      </c>
      <c r="V15539">
        <v>3085</v>
      </c>
      <c r="W15539" t="s">
        <v>36239</v>
      </c>
      <c r="X15539" t="s">
        <v>42</v>
      </c>
      <c r="Y15539" t="s">
        <v>36</v>
      </c>
      <c r="Z15539" t="s">
        <v>166</v>
      </c>
      <c r="AA15539" s="22" t="str">
        <f>HYPERLINK("https://www.ncbi.nlm.nih.gov/nuccore/MG551742","NCBI Nucleotide")</f>
        <v>NCBI Nucleotide</v>
      </c>
    </row>
    <row r="15540" spans="1:27" x14ac:dyDescent="0.35">
      <c r="A15540">
        <v>1004797</v>
      </c>
      <c r="B15540">
        <v>13972</v>
      </c>
      <c r="C15540">
        <v>1</v>
      </c>
      <c r="D15540" t="s">
        <v>35352</v>
      </c>
      <c r="F15540" t="s">
        <v>35353</v>
      </c>
      <c r="H15540" t="s">
        <v>35957</v>
      </c>
      <c r="J15540" t="s">
        <v>35988</v>
      </c>
      <c r="L15540" t="s">
        <v>36071</v>
      </c>
      <c r="N15540" t="s">
        <v>36072</v>
      </c>
      <c r="P15540" t="s">
        <v>36200</v>
      </c>
      <c r="R15540" s="26" t="str">
        <f>HYPERLINK("https://ictv.global/taxonomy/taxondetails?taxnode_id=202302443","Mastadenovirus alienum")</f>
        <v>Mastadenovirus alienum</v>
      </c>
      <c r="S15540" t="s">
        <v>30</v>
      </c>
      <c r="T15540" t="s">
        <v>36621</v>
      </c>
      <c r="U15540" t="s">
        <v>36622</v>
      </c>
      <c r="V15540" t="s">
        <v>36623</v>
      </c>
      <c r="W15540" t="s">
        <v>36624</v>
      </c>
      <c r="X15540" t="s">
        <v>42</v>
      </c>
      <c r="Y15540" t="s">
        <v>36</v>
      </c>
      <c r="Z15540" t="s">
        <v>166</v>
      </c>
      <c r="AA15540" s="22" t="str">
        <f>HYPERLINK("https://www.ncbi.nlm.nih.gov/nuccore/KP329564","NCBI Nucleotide")</f>
        <v>NCBI Nucleotide</v>
      </c>
    </row>
    <row r="15541" spans="1:27" x14ac:dyDescent="0.35">
      <c r="A15541">
        <v>1004763</v>
      </c>
      <c r="B15541">
        <v>13973</v>
      </c>
      <c r="C15541">
        <v>1</v>
      </c>
      <c r="D15541" t="s">
        <v>35352</v>
      </c>
      <c r="F15541" t="s">
        <v>35353</v>
      </c>
      <c r="H15541" t="s">
        <v>35957</v>
      </c>
      <c r="J15541" t="s">
        <v>35988</v>
      </c>
      <c r="L15541" t="s">
        <v>36071</v>
      </c>
      <c r="N15541" t="s">
        <v>36072</v>
      </c>
      <c r="P15541" t="s">
        <v>36200</v>
      </c>
      <c r="R15541" s="26" t="str">
        <f>HYPERLINK("https://ictv.global/taxonomy/taxondetails?taxnode_id=202307195","Mastadenovirus asiensse")</f>
        <v>Mastadenovirus asiensse</v>
      </c>
      <c r="S15541" t="s">
        <v>30</v>
      </c>
      <c r="T15541" t="s">
        <v>36240</v>
      </c>
      <c r="V15541" t="s">
        <v>36241</v>
      </c>
      <c r="W15541" t="s">
        <v>36242</v>
      </c>
      <c r="X15541" t="s">
        <v>42</v>
      </c>
      <c r="Y15541" t="s">
        <v>36</v>
      </c>
      <c r="Z15541" t="s">
        <v>166</v>
      </c>
      <c r="AA15541" s="22" t="str">
        <f>HYPERLINK("https://www.ncbi.nlm.nih.gov/nuccore/LC385827","NCBI Nucleotide")</f>
        <v>NCBI Nucleotide</v>
      </c>
    </row>
    <row r="15542" spans="1:27" x14ac:dyDescent="0.35">
      <c r="A15542">
        <v>1004775</v>
      </c>
      <c r="B15542">
        <v>13974</v>
      </c>
      <c r="C15542">
        <v>1</v>
      </c>
      <c r="D15542" t="s">
        <v>35352</v>
      </c>
      <c r="F15542" t="s">
        <v>35353</v>
      </c>
      <c r="H15542" t="s">
        <v>35957</v>
      </c>
      <c r="J15542" t="s">
        <v>35988</v>
      </c>
      <c r="L15542" t="s">
        <v>36071</v>
      </c>
      <c r="N15542" t="s">
        <v>36072</v>
      </c>
      <c r="P15542" t="s">
        <v>36200</v>
      </c>
      <c r="R15542" s="26" t="str">
        <f t="shared" ref="R15542:R15561" si="76">HYPERLINK("https://ictv.global/taxonomy/taxondetails?taxnode_id=202302423","Mastadenovirus blackbeardi")</f>
        <v>Mastadenovirus blackbeardi</v>
      </c>
      <c r="S15542" t="s">
        <v>30</v>
      </c>
      <c r="T15542" t="s">
        <v>36289</v>
      </c>
      <c r="U15542" t="s">
        <v>36290</v>
      </c>
      <c r="W15542" t="s">
        <v>36291</v>
      </c>
      <c r="X15542" t="s">
        <v>42</v>
      </c>
      <c r="Y15542" t="s">
        <v>36</v>
      </c>
      <c r="Z15542" t="s">
        <v>166</v>
      </c>
      <c r="AA15542" s="22" t="str">
        <f>HYPERLINK("https://www.ncbi.nlm.nih.gov/nuccore/DQ086466","NCBI Nucleotide")</f>
        <v>NCBI Nucleotide</v>
      </c>
    </row>
    <row r="15543" spans="1:27" x14ac:dyDescent="0.35">
      <c r="A15543">
        <v>1012063</v>
      </c>
      <c r="B15543">
        <v>13974</v>
      </c>
      <c r="C15543">
        <v>2</v>
      </c>
      <c r="D15543" t="s">
        <v>35352</v>
      </c>
      <c r="F15543" t="s">
        <v>35353</v>
      </c>
      <c r="H15543" t="s">
        <v>35957</v>
      </c>
      <c r="J15543" t="s">
        <v>35988</v>
      </c>
      <c r="L15543" t="s">
        <v>36071</v>
      </c>
      <c r="N15543" t="s">
        <v>36072</v>
      </c>
      <c r="P15543" t="s">
        <v>36200</v>
      </c>
      <c r="R15543" s="26" t="str">
        <f t="shared" si="76"/>
        <v>Mastadenovirus blackbeardi</v>
      </c>
      <c r="S15543" t="s">
        <v>8141</v>
      </c>
      <c r="T15543" t="s">
        <v>36292</v>
      </c>
      <c r="U15543" t="s">
        <v>36293</v>
      </c>
      <c r="V15543" t="s">
        <v>36294</v>
      </c>
      <c r="W15543" t="s">
        <v>50251</v>
      </c>
      <c r="X15543" t="s">
        <v>42</v>
      </c>
      <c r="Y15543" t="s">
        <v>36</v>
      </c>
      <c r="Z15543" t="s">
        <v>166</v>
      </c>
      <c r="AA15543" s="22" t="str">
        <f>HYPERLINK("https://www.ncbi.nlm.nih.gov/nuccore/AY495969","NCBI Nucleotide")</f>
        <v>NCBI Nucleotide</v>
      </c>
    </row>
    <row r="15544" spans="1:27" x14ac:dyDescent="0.35">
      <c r="A15544">
        <v>1012064</v>
      </c>
      <c r="B15544">
        <v>13974</v>
      </c>
      <c r="C15544">
        <v>3</v>
      </c>
      <c r="D15544" t="s">
        <v>35352</v>
      </c>
      <c r="F15544" t="s">
        <v>35353</v>
      </c>
      <c r="H15544" t="s">
        <v>35957</v>
      </c>
      <c r="J15544" t="s">
        <v>35988</v>
      </c>
      <c r="L15544" t="s">
        <v>36071</v>
      </c>
      <c r="N15544" t="s">
        <v>36072</v>
      </c>
      <c r="P15544" t="s">
        <v>36200</v>
      </c>
      <c r="R15544" s="26" t="str">
        <f t="shared" si="76"/>
        <v>Mastadenovirus blackbeardi</v>
      </c>
      <c r="S15544" t="s">
        <v>8141</v>
      </c>
      <c r="T15544" t="s">
        <v>36295</v>
      </c>
      <c r="U15544" t="s">
        <v>36296</v>
      </c>
      <c r="V15544" t="s">
        <v>36297</v>
      </c>
      <c r="W15544" t="s">
        <v>50252</v>
      </c>
      <c r="X15544" t="s">
        <v>42</v>
      </c>
      <c r="Y15544" t="s">
        <v>36</v>
      </c>
      <c r="Z15544" t="s">
        <v>166</v>
      </c>
      <c r="AA15544" s="22" t="str">
        <f>HYPERLINK("https://www.ncbi.nlm.nih.gov/nuccore/AY163756","NCBI Nucleotide")</f>
        <v>NCBI Nucleotide</v>
      </c>
    </row>
    <row r="15545" spans="1:27" x14ac:dyDescent="0.35">
      <c r="A15545">
        <v>1012065</v>
      </c>
      <c r="B15545">
        <v>13974</v>
      </c>
      <c r="C15545">
        <v>4</v>
      </c>
      <c r="D15545" t="s">
        <v>35352</v>
      </c>
      <c r="F15545" t="s">
        <v>35353</v>
      </c>
      <c r="H15545" t="s">
        <v>35957</v>
      </c>
      <c r="J15545" t="s">
        <v>35988</v>
      </c>
      <c r="L15545" t="s">
        <v>36071</v>
      </c>
      <c r="N15545" t="s">
        <v>36072</v>
      </c>
      <c r="P15545" t="s">
        <v>36200</v>
      </c>
      <c r="R15545" s="26" t="str">
        <f t="shared" si="76"/>
        <v>Mastadenovirus blackbeardi</v>
      </c>
      <c r="S15545" t="s">
        <v>8141</v>
      </c>
      <c r="T15545" t="s">
        <v>36298</v>
      </c>
      <c r="U15545" t="s">
        <v>36299</v>
      </c>
      <c r="V15545" t="s">
        <v>36300</v>
      </c>
      <c r="W15545" t="s">
        <v>50253</v>
      </c>
      <c r="X15545" t="s">
        <v>42</v>
      </c>
      <c r="Y15545" t="s">
        <v>36</v>
      </c>
      <c r="Z15545" t="s">
        <v>166</v>
      </c>
      <c r="AA15545" s="22" t="str">
        <f>HYPERLINK("https://www.ncbi.nlm.nih.gov/nuccore/AY803294","NCBI Nucleotide")</f>
        <v>NCBI Nucleotide</v>
      </c>
    </row>
    <row r="15546" spans="1:27" x14ac:dyDescent="0.35">
      <c r="A15546">
        <v>1012066</v>
      </c>
      <c r="B15546">
        <v>13974</v>
      </c>
      <c r="C15546">
        <v>5</v>
      </c>
      <c r="D15546" t="s">
        <v>35352</v>
      </c>
      <c r="F15546" t="s">
        <v>35353</v>
      </c>
      <c r="H15546" t="s">
        <v>35957</v>
      </c>
      <c r="J15546" t="s">
        <v>35988</v>
      </c>
      <c r="L15546" t="s">
        <v>36071</v>
      </c>
      <c r="N15546" t="s">
        <v>36072</v>
      </c>
      <c r="P15546" t="s">
        <v>36200</v>
      </c>
      <c r="R15546" s="26" t="str">
        <f t="shared" si="76"/>
        <v>Mastadenovirus blackbeardi</v>
      </c>
      <c r="S15546" t="s">
        <v>8141</v>
      </c>
      <c r="T15546" t="s">
        <v>36301</v>
      </c>
      <c r="U15546" t="s">
        <v>36302</v>
      </c>
      <c r="V15546" t="s">
        <v>36303</v>
      </c>
      <c r="W15546" t="s">
        <v>50254</v>
      </c>
      <c r="X15546" t="s">
        <v>42</v>
      </c>
      <c r="Y15546" t="s">
        <v>36</v>
      </c>
      <c r="Z15546" t="s">
        <v>166</v>
      </c>
      <c r="AA15546" s="22" t="str">
        <f>HYPERLINK("https://www.ncbi.nlm.nih.gov/nuccore/AY601636","NCBI Nucleotide")</f>
        <v>NCBI Nucleotide</v>
      </c>
    </row>
    <row r="15547" spans="1:27" x14ac:dyDescent="0.35">
      <c r="A15547">
        <v>1012067</v>
      </c>
      <c r="B15547">
        <v>13974</v>
      </c>
      <c r="C15547">
        <v>6</v>
      </c>
      <c r="D15547" t="s">
        <v>35352</v>
      </c>
      <c r="F15547" t="s">
        <v>35353</v>
      </c>
      <c r="H15547" t="s">
        <v>35957</v>
      </c>
      <c r="J15547" t="s">
        <v>35988</v>
      </c>
      <c r="L15547" t="s">
        <v>36071</v>
      </c>
      <c r="N15547" t="s">
        <v>36072</v>
      </c>
      <c r="P15547" t="s">
        <v>36200</v>
      </c>
      <c r="R15547" s="26" t="str">
        <f t="shared" si="76"/>
        <v>Mastadenovirus blackbeardi</v>
      </c>
      <c r="S15547" t="s">
        <v>8141</v>
      </c>
      <c r="T15547" t="s">
        <v>36304</v>
      </c>
      <c r="U15547" t="s">
        <v>36305</v>
      </c>
      <c r="V15547" t="s">
        <v>36306</v>
      </c>
      <c r="W15547" t="s">
        <v>50255</v>
      </c>
      <c r="X15547" t="s">
        <v>42</v>
      </c>
      <c r="Y15547" t="s">
        <v>36</v>
      </c>
      <c r="Z15547" t="s">
        <v>166</v>
      </c>
      <c r="AA15547" s="22" t="str">
        <f>HYPERLINK("https://www.ncbi.nlm.nih.gov/nuccore/AY601633","NCBI Nucleotide")</f>
        <v>NCBI Nucleotide</v>
      </c>
    </row>
    <row r="15548" spans="1:27" x14ac:dyDescent="0.35">
      <c r="A15548">
        <v>1012068</v>
      </c>
      <c r="B15548">
        <v>13974</v>
      </c>
      <c r="C15548">
        <v>7</v>
      </c>
      <c r="D15548" t="s">
        <v>35352</v>
      </c>
      <c r="F15548" t="s">
        <v>35353</v>
      </c>
      <c r="H15548" t="s">
        <v>35957</v>
      </c>
      <c r="J15548" t="s">
        <v>35988</v>
      </c>
      <c r="L15548" t="s">
        <v>36071</v>
      </c>
      <c r="N15548" t="s">
        <v>36072</v>
      </c>
      <c r="P15548" t="s">
        <v>36200</v>
      </c>
      <c r="R15548" s="26" t="str">
        <f t="shared" si="76"/>
        <v>Mastadenovirus blackbeardi</v>
      </c>
      <c r="S15548" t="s">
        <v>8141</v>
      </c>
      <c r="T15548" t="s">
        <v>36307</v>
      </c>
      <c r="U15548" t="s">
        <v>36308</v>
      </c>
      <c r="V15548" t="s">
        <v>36309</v>
      </c>
      <c r="W15548" t="s">
        <v>50256</v>
      </c>
      <c r="X15548" t="s">
        <v>42</v>
      </c>
      <c r="Y15548" t="s">
        <v>36</v>
      </c>
      <c r="Z15548" t="s">
        <v>166</v>
      </c>
      <c r="AA15548" s="22" t="str">
        <f>HYPERLINK("https://www.ncbi.nlm.nih.gov/nuccore/AY737797","NCBI Nucleotide")</f>
        <v>NCBI Nucleotide</v>
      </c>
    </row>
    <row r="15549" spans="1:27" x14ac:dyDescent="0.35">
      <c r="A15549">
        <v>1012069</v>
      </c>
      <c r="B15549">
        <v>13974</v>
      </c>
      <c r="C15549">
        <v>8</v>
      </c>
      <c r="D15549" t="s">
        <v>35352</v>
      </c>
      <c r="F15549" t="s">
        <v>35353</v>
      </c>
      <c r="H15549" t="s">
        <v>35957</v>
      </c>
      <c r="J15549" t="s">
        <v>35988</v>
      </c>
      <c r="L15549" t="s">
        <v>36071</v>
      </c>
      <c r="N15549" t="s">
        <v>36072</v>
      </c>
      <c r="P15549" t="s">
        <v>36200</v>
      </c>
      <c r="R15549" s="26" t="str">
        <f t="shared" si="76"/>
        <v>Mastadenovirus blackbeardi</v>
      </c>
      <c r="S15549" t="s">
        <v>8141</v>
      </c>
      <c r="T15549" t="s">
        <v>36310</v>
      </c>
      <c r="U15549" t="s">
        <v>36311</v>
      </c>
      <c r="V15549" t="s">
        <v>36312</v>
      </c>
      <c r="W15549" t="s">
        <v>50257</v>
      </c>
      <c r="X15549" t="s">
        <v>42</v>
      </c>
      <c r="Y15549" t="s">
        <v>36</v>
      </c>
      <c r="Z15549" t="s">
        <v>166</v>
      </c>
      <c r="AA15549" s="22" t="str">
        <f>HYPERLINK("https://www.ncbi.nlm.nih.gov/nuccore/AY128640","NCBI Nucleotide")</f>
        <v>NCBI Nucleotide</v>
      </c>
    </row>
    <row r="15550" spans="1:27" x14ac:dyDescent="0.35">
      <c r="A15550">
        <v>1012070</v>
      </c>
      <c r="B15550">
        <v>13974</v>
      </c>
      <c r="C15550">
        <v>9</v>
      </c>
      <c r="D15550" t="s">
        <v>35352</v>
      </c>
      <c r="F15550" t="s">
        <v>35353</v>
      </c>
      <c r="H15550" t="s">
        <v>35957</v>
      </c>
      <c r="J15550" t="s">
        <v>35988</v>
      </c>
      <c r="L15550" t="s">
        <v>36071</v>
      </c>
      <c r="N15550" t="s">
        <v>36072</v>
      </c>
      <c r="P15550" t="s">
        <v>36200</v>
      </c>
      <c r="R15550" s="26" t="str">
        <f t="shared" si="76"/>
        <v>Mastadenovirus blackbeardi</v>
      </c>
      <c r="S15550" t="s">
        <v>8141</v>
      </c>
      <c r="T15550" t="s">
        <v>36313</v>
      </c>
      <c r="U15550" t="s">
        <v>36314</v>
      </c>
      <c r="V15550" t="s">
        <v>36315</v>
      </c>
      <c r="W15550" t="s">
        <v>50258</v>
      </c>
      <c r="X15550" t="s">
        <v>42</v>
      </c>
      <c r="Y15550" t="s">
        <v>36</v>
      </c>
      <c r="Z15550" t="s">
        <v>166</v>
      </c>
      <c r="AA15550" s="22" t="str">
        <f>HYPERLINK("https://www.ncbi.nlm.nih.gov/nuccore/AY737798","NCBI Nucleotide")</f>
        <v>NCBI Nucleotide</v>
      </c>
    </row>
    <row r="15551" spans="1:27" x14ac:dyDescent="0.35">
      <c r="A15551">
        <v>1012071</v>
      </c>
      <c r="B15551">
        <v>13974</v>
      </c>
      <c r="C15551">
        <v>10</v>
      </c>
      <c r="D15551" t="s">
        <v>35352</v>
      </c>
      <c r="F15551" t="s">
        <v>35353</v>
      </c>
      <c r="H15551" t="s">
        <v>35957</v>
      </c>
      <c r="J15551" t="s">
        <v>35988</v>
      </c>
      <c r="L15551" t="s">
        <v>36071</v>
      </c>
      <c r="N15551" t="s">
        <v>36072</v>
      </c>
      <c r="P15551" t="s">
        <v>36200</v>
      </c>
      <c r="R15551" s="26" t="str">
        <f t="shared" si="76"/>
        <v>Mastadenovirus blackbeardi</v>
      </c>
      <c r="S15551" t="s">
        <v>8141</v>
      </c>
      <c r="T15551" t="s">
        <v>36316</v>
      </c>
      <c r="U15551" t="s">
        <v>36317</v>
      </c>
      <c r="V15551" t="s">
        <v>36318</v>
      </c>
      <c r="W15551" t="s">
        <v>50259</v>
      </c>
      <c r="X15551" t="s">
        <v>42</v>
      </c>
      <c r="Y15551" t="s">
        <v>36</v>
      </c>
      <c r="Z15551" t="s">
        <v>166</v>
      </c>
      <c r="AA15551" s="22" t="str">
        <f>HYPERLINK("https://www.ncbi.nlm.nih.gov/nuccore/FJ643676","NCBI Nucleotide")</f>
        <v>NCBI Nucleotide</v>
      </c>
    </row>
    <row r="15552" spans="1:27" x14ac:dyDescent="0.35">
      <c r="A15552">
        <v>1012072</v>
      </c>
      <c r="B15552">
        <v>13974</v>
      </c>
      <c r="C15552">
        <v>11</v>
      </c>
      <c r="D15552" t="s">
        <v>35352</v>
      </c>
      <c r="F15552" t="s">
        <v>35353</v>
      </c>
      <c r="H15552" t="s">
        <v>35957</v>
      </c>
      <c r="J15552" t="s">
        <v>35988</v>
      </c>
      <c r="L15552" t="s">
        <v>36071</v>
      </c>
      <c r="N15552" t="s">
        <v>36072</v>
      </c>
      <c r="P15552" t="s">
        <v>36200</v>
      </c>
      <c r="R15552" s="26" t="str">
        <f t="shared" si="76"/>
        <v>Mastadenovirus blackbeardi</v>
      </c>
      <c r="S15552" t="s">
        <v>8141</v>
      </c>
      <c r="T15552" t="s">
        <v>36319</v>
      </c>
      <c r="U15552" t="s">
        <v>36320</v>
      </c>
      <c r="W15552" t="s">
        <v>50260</v>
      </c>
      <c r="X15552" t="s">
        <v>42</v>
      </c>
      <c r="Y15552" t="s">
        <v>36</v>
      </c>
      <c r="Z15552" t="s">
        <v>166</v>
      </c>
      <c r="AA15552" s="22" t="str">
        <f>HYPERLINK("https://www.ncbi.nlm.nih.gov/nuccore/AR101858","NCBI Nucleotide")</f>
        <v>NCBI Nucleotide</v>
      </c>
    </row>
    <row r="15553" spans="1:27" x14ac:dyDescent="0.35">
      <c r="A15553">
        <v>1012075</v>
      </c>
      <c r="B15553">
        <v>13974</v>
      </c>
      <c r="C15553">
        <v>12</v>
      </c>
      <c r="D15553" t="s">
        <v>35352</v>
      </c>
      <c r="F15553" t="s">
        <v>35353</v>
      </c>
      <c r="H15553" t="s">
        <v>35957</v>
      </c>
      <c r="J15553" t="s">
        <v>35988</v>
      </c>
      <c r="L15553" t="s">
        <v>36071</v>
      </c>
      <c r="N15553" t="s">
        <v>36072</v>
      </c>
      <c r="P15553" t="s">
        <v>36200</v>
      </c>
      <c r="R15553" s="26" t="str">
        <f t="shared" si="76"/>
        <v>Mastadenovirus blackbeardi</v>
      </c>
      <c r="S15553" t="s">
        <v>8141</v>
      </c>
      <c r="T15553" t="s">
        <v>36325</v>
      </c>
      <c r="U15553" t="s">
        <v>36326</v>
      </c>
      <c r="W15553" t="s">
        <v>50261</v>
      </c>
      <c r="X15553" t="s">
        <v>42</v>
      </c>
      <c r="Y15553" t="s">
        <v>36</v>
      </c>
      <c r="Z15553" t="s">
        <v>166</v>
      </c>
      <c r="AA15553" s="22" t="str">
        <f>HYPERLINK("https://www.ncbi.nlm.nih.gov/nuccore/HC085020","NCBI Nucleotide")</f>
        <v>NCBI Nucleotide</v>
      </c>
    </row>
    <row r="15554" spans="1:27" x14ac:dyDescent="0.35">
      <c r="A15554">
        <v>1012076</v>
      </c>
      <c r="B15554">
        <v>13974</v>
      </c>
      <c r="C15554">
        <v>13</v>
      </c>
      <c r="D15554" t="s">
        <v>35352</v>
      </c>
      <c r="F15554" t="s">
        <v>35353</v>
      </c>
      <c r="H15554" t="s">
        <v>35957</v>
      </c>
      <c r="J15554" t="s">
        <v>35988</v>
      </c>
      <c r="L15554" t="s">
        <v>36071</v>
      </c>
      <c r="N15554" t="s">
        <v>36072</v>
      </c>
      <c r="P15554" t="s">
        <v>36200</v>
      </c>
      <c r="R15554" s="26" t="str">
        <f t="shared" si="76"/>
        <v>Mastadenovirus blackbeardi</v>
      </c>
      <c r="S15554" t="s">
        <v>8141</v>
      </c>
      <c r="T15554" t="s">
        <v>36327</v>
      </c>
      <c r="U15554" t="s">
        <v>36328</v>
      </c>
      <c r="W15554" t="s">
        <v>50262</v>
      </c>
      <c r="X15554" t="s">
        <v>42</v>
      </c>
      <c r="Y15554" t="s">
        <v>36</v>
      </c>
      <c r="Z15554" t="s">
        <v>166</v>
      </c>
      <c r="AA15554" s="22" t="str">
        <f>HYPERLINK("https://www.ncbi.nlm.nih.gov/nuccore/HC085052","NCBI Nucleotide")</f>
        <v>NCBI Nucleotide</v>
      </c>
    </row>
    <row r="15555" spans="1:27" x14ac:dyDescent="0.35">
      <c r="A15555">
        <v>1012077</v>
      </c>
      <c r="B15555">
        <v>13974</v>
      </c>
      <c r="C15555">
        <v>14</v>
      </c>
      <c r="D15555" t="s">
        <v>35352</v>
      </c>
      <c r="F15555" t="s">
        <v>35353</v>
      </c>
      <c r="H15555" t="s">
        <v>35957</v>
      </c>
      <c r="J15555" t="s">
        <v>35988</v>
      </c>
      <c r="L15555" t="s">
        <v>36071</v>
      </c>
      <c r="N15555" t="s">
        <v>36072</v>
      </c>
      <c r="P15555" t="s">
        <v>36200</v>
      </c>
      <c r="R15555" s="26" t="str">
        <f t="shared" si="76"/>
        <v>Mastadenovirus blackbeardi</v>
      </c>
      <c r="S15555" t="s">
        <v>8141</v>
      </c>
      <c r="T15555" t="s">
        <v>36329</v>
      </c>
      <c r="U15555" t="s">
        <v>36330</v>
      </c>
      <c r="W15555" t="s">
        <v>50263</v>
      </c>
      <c r="X15555" t="s">
        <v>42</v>
      </c>
      <c r="Y15555" t="s">
        <v>36</v>
      </c>
      <c r="Z15555" t="s">
        <v>166</v>
      </c>
      <c r="AA15555" s="22" t="str">
        <f>HYPERLINK("https://www.ncbi.nlm.nih.gov/nuccore/HC085083","NCBI Nucleotide")</f>
        <v>NCBI Nucleotide</v>
      </c>
    </row>
    <row r="15556" spans="1:27" x14ac:dyDescent="0.35">
      <c r="A15556">
        <v>1012079</v>
      </c>
      <c r="B15556">
        <v>13974</v>
      </c>
      <c r="C15556">
        <v>15</v>
      </c>
      <c r="D15556" t="s">
        <v>35352</v>
      </c>
      <c r="F15556" t="s">
        <v>35353</v>
      </c>
      <c r="H15556" t="s">
        <v>35957</v>
      </c>
      <c r="J15556" t="s">
        <v>35988</v>
      </c>
      <c r="L15556" t="s">
        <v>36071</v>
      </c>
      <c r="N15556" t="s">
        <v>36072</v>
      </c>
      <c r="P15556" t="s">
        <v>36200</v>
      </c>
      <c r="R15556" s="26" t="str">
        <f t="shared" si="76"/>
        <v>Mastadenovirus blackbeardi</v>
      </c>
      <c r="S15556" t="s">
        <v>8141</v>
      </c>
      <c r="T15556" t="s">
        <v>36333</v>
      </c>
      <c r="U15556" t="s">
        <v>36334</v>
      </c>
      <c r="W15556" t="s">
        <v>50264</v>
      </c>
      <c r="X15556" t="s">
        <v>42</v>
      </c>
      <c r="Y15556" t="s">
        <v>36</v>
      </c>
      <c r="Z15556" t="s">
        <v>166</v>
      </c>
      <c r="AA15556" s="22" t="str">
        <f>HYPERLINK("https://www.ncbi.nlm.nih.gov/nuccore/HI964271","NCBI Nucleotide")</f>
        <v>NCBI Nucleotide</v>
      </c>
    </row>
    <row r="15557" spans="1:27" x14ac:dyDescent="0.35">
      <c r="A15557">
        <v>1012080</v>
      </c>
      <c r="B15557">
        <v>13974</v>
      </c>
      <c r="C15557">
        <v>16</v>
      </c>
      <c r="D15557" t="s">
        <v>35352</v>
      </c>
      <c r="F15557" t="s">
        <v>35353</v>
      </c>
      <c r="H15557" t="s">
        <v>35957</v>
      </c>
      <c r="J15557" t="s">
        <v>35988</v>
      </c>
      <c r="L15557" t="s">
        <v>36071</v>
      </c>
      <c r="N15557" t="s">
        <v>36072</v>
      </c>
      <c r="P15557" t="s">
        <v>36200</v>
      </c>
      <c r="R15557" s="26" t="str">
        <f t="shared" si="76"/>
        <v>Mastadenovirus blackbeardi</v>
      </c>
      <c r="S15557" t="s">
        <v>8141</v>
      </c>
      <c r="T15557" t="s">
        <v>36335</v>
      </c>
      <c r="U15557" t="s">
        <v>36336</v>
      </c>
      <c r="W15557" t="s">
        <v>50265</v>
      </c>
      <c r="X15557" t="s">
        <v>42</v>
      </c>
      <c r="Y15557" t="s">
        <v>36</v>
      </c>
      <c r="Z15557" t="s">
        <v>166</v>
      </c>
      <c r="AA15557" s="22" t="str">
        <f>HYPERLINK("https://www.ncbi.nlm.nih.gov/nuccore/FJ025930","NCBI Nucleotide")</f>
        <v>NCBI Nucleotide</v>
      </c>
    </row>
    <row r="15558" spans="1:27" x14ac:dyDescent="0.35">
      <c r="A15558">
        <v>1012081</v>
      </c>
      <c r="B15558">
        <v>13974</v>
      </c>
      <c r="C15558">
        <v>17</v>
      </c>
      <c r="D15558" t="s">
        <v>35352</v>
      </c>
      <c r="F15558" t="s">
        <v>35353</v>
      </c>
      <c r="H15558" t="s">
        <v>35957</v>
      </c>
      <c r="J15558" t="s">
        <v>35988</v>
      </c>
      <c r="L15558" t="s">
        <v>36071</v>
      </c>
      <c r="N15558" t="s">
        <v>36072</v>
      </c>
      <c r="P15558" t="s">
        <v>36200</v>
      </c>
      <c r="R15558" s="26" t="str">
        <f t="shared" si="76"/>
        <v>Mastadenovirus blackbeardi</v>
      </c>
      <c r="S15558" t="s">
        <v>8141</v>
      </c>
      <c r="T15558" t="s">
        <v>36337</v>
      </c>
      <c r="U15558" t="s">
        <v>36338</v>
      </c>
      <c r="W15558" t="s">
        <v>50266</v>
      </c>
      <c r="X15558" t="s">
        <v>42</v>
      </c>
      <c r="Y15558" t="s">
        <v>36</v>
      </c>
      <c r="Z15558" t="s">
        <v>166</v>
      </c>
      <c r="AA15558" s="22" t="str">
        <f>HYPERLINK("https://www.ncbi.nlm.nih.gov/nuccore/FJ025929","NCBI Nucleotide")</f>
        <v>NCBI Nucleotide</v>
      </c>
    </row>
    <row r="15559" spans="1:27" x14ac:dyDescent="0.35">
      <c r="A15559">
        <v>1012073</v>
      </c>
      <c r="B15559">
        <v>13974</v>
      </c>
      <c r="C15559">
        <v>18</v>
      </c>
      <c r="D15559" t="s">
        <v>35352</v>
      </c>
      <c r="F15559" t="s">
        <v>35353</v>
      </c>
      <c r="H15559" t="s">
        <v>35957</v>
      </c>
      <c r="J15559" t="s">
        <v>35988</v>
      </c>
      <c r="L15559" t="s">
        <v>36071</v>
      </c>
      <c r="N15559" t="s">
        <v>36072</v>
      </c>
      <c r="P15559" t="s">
        <v>36200</v>
      </c>
      <c r="R15559" s="26" t="str">
        <f t="shared" si="76"/>
        <v>Mastadenovirus blackbeardi</v>
      </c>
      <c r="S15559" t="s">
        <v>8141</v>
      </c>
      <c r="T15559" t="s">
        <v>36321</v>
      </c>
      <c r="U15559" t="s">
        <v>36322</v>
      </c>
      <c r="W15559" t="s">
        <v>50267</v>
      </c>
      <c r="X15559" t="s">
        <v>42</v>
      </c>
      <c r="Y15559" t="s">
        <v>36</v>
      </c>
      <c r="Z15559" t="s">
        <v>166</v>
      </c>
      <c r="AA15559" s="22" t="str">
        <f>HYPERLINK("https://www.ncbi.nlm.nih.gov/nuccore/HC084988","NCBI Nucleotide")</f>
        <v>NCBI Nucleotide</v>
      </c>
    </row>
    <row r="15560" spans="1:27" x14ac:dyDescent="0.35">
      <c r="A15560">
        <v>1012074</v>
      </c>
      <c r="B15560">
        <v>13974</v>
      </c>
      <c r="C15560">
        <v>19</v>
      </c>
      <c r="D15560" t="s">
        <v>35352</v>
      </c>
      <c r="F15560" t="s">
        <v>35353</v>
      </c>
      <c r="H15560" t="s">
        <v>35957</v>
      </c>
      <c r="J15560" t="s">
        <v>35988</v>
      </c>
      <c r="L15560" t="s">
        <v>36071</v>
      </c>
      <c r="N15560" t="s">
        <v>36072</v>
      </c>
      <c r="P15560" t="s">
        <v>36200</v>
      </c>
      <c r="R15560" s="26" t="str">
        <f t="shared" si="76"/>
        <v>Mastadenovirus blackbeardi</v>
      </c>
      <c r="S15560" t="s">
        <v>8141</v>
      </c>
      <c r="T15560" t="s">
        <v>36323</v>
      </c>
      <c r="U15560" t="s">
        <v>36324</v>
      </c>
      <c r="W15560" t="s">
        <v>50268</v>
      </c>
      <c r="X15560" t="s">
        <v>42</v>
      </c>
      <c r="Y15560" t="s">
        <v>36</v>
      </c>
      <c r="Z15560" t="s">
        <v>166</v>
      </c>
      <c r="AA15560" s="22" t="str">
        <f>HYPERLINK("https://www.ncbi.nlm.nih.gov/nuccore/FJ025915","NCBI Nucleotide")</f>
        <v>NCBI Nucleotide</v>
      </c>
    </row>
    <row r="15561" spans="1:27" x14ac:dyDescent="0.35">
      <c r="A15561">
        <v>1012078</v>
      </c>
      <c r="B15561">
        <v>13974</v>
      </c>
      <c r="C15561">
        <v>20</v>
      </c>
      <c r="D15561" t="s">
        <v>35352</v>
      </c>
      <c r="F15561" t="s">
        <v>35353</v>
      </c>
      <c r="H15561" t="s">
        <v>35957</v>
      </c>
      <c r="J15561" t="s">
        <v>35988</v>
      </c>
      <c r="L15561" t="s">
        <v>36071</v>
      </c>
      <c r="N15561" t="s">
        <v>36072</v>
      </c>
      <c r="P15561" t="s">
        <v>36200</v>
      </c>
      <c r="R15561" s="26" t="str">
        <f t="shared" si="76"/>
        <v>Mastadenovirus blackbeardi</v>
      </c>
      <c r="S15561" t="s">
        <v>8141</v>
      </c>
      <c r="T15561" t="s">
        <v>36331</v>
      </c>
      <c r="U15561" t="s">
        <v>36332</v>
      </c>
      <c r="W15561" t="s">
        <v>50269</v>
      </c>
      <c r="X15561" t="s">
        <v>42</v>
      </c>
      <c r="Y15561" t="s">
        <v>36</v>
      </c>
      <c r="Z15561" t="s">
        <v>166</v>
      </c>
      <c r="AA15561" s="22" t="str">
        <f>HYPERLINK("https://www.ncbi.nlm.nih.gov/nuccore/FJ025910","NCBI Nucleotide")</f>
        <v>NCBI Nucleotide</v>
      </c>
    </row>
    <row r="15562" spans="1:27" x14ac:dyDescent="0.35">
      <c r="A15562">
        <v>1004766</v>
      </c>
      <c r="B15562">
        <v>13975</v>
      </c>
      <c r="C15562">
        <v>1</v>
      </c>
      <c r="D15562" t="s">
        <v>35352</v>
      </c>
      <c r="F15562" t="s">
        <v>35353</v>
      </c>
      <c r="H15562" t="s">
        <v>35957</v>
      </c>
      <c r="J15562" t="s">
        <v>35988</v>
      </c>
      <c r="L15562" t="s">
        <v>36071</v>
      </c>
      <c r="N15562" t="s">
        <v>36072</v>
      </c>
      <c r="P15562" t="s">
        <v>36200</v>
      </c>
      <c r="R15562" s="26" t="str">
        <f>HYPERLINK("https://ictv.global/taxonomy/taxondetails?taxnode_id=202302417","Mastadenovirus bosdecimum")</f>
        <v>Mastadenovirus bosdecimum</v>
      </c>
      <c r="S15562" t="s">
        <v>30</v>
      </c>
      <c r="T15562" t="s">
        <v>36248</v>
      </c>
      <c r="U15562" t="s">
        <v>36249</v>
      </c>
      <c r="V15562" t="s">
        <v>50999</v>
      </c>
      <c r="W15562" t="s">
        <v>51000</v>
      </c>
      <c r="X15562" t="s">
        <v>42</v>
      </c>
      <c r="Y15562" t="s">
        <v>36</v>
      </c>
      <c r="Z15562" t="s">
        <v>166</v>
      </c>
      <c r="AA15562" s="22" t="str">
        <f>HYPERLINK("https://www.ncbi.nlm.nih.gov/nuccore/ON217544","NCBI Nucleotide")</f>
        <v>NCBI Nucleotide</v>
      </c>
    </row>
    <row r="15563" spans="1:27" x14ac:dyDescent="0.35">
      <c r="A15563">
        <v>1004764</v>
      </c>
      <c r="B15563">
        <v>13976</v>
      </c>
      <c r="C15563">
        <v>1</v>
      </c>
      <c r="D15563" t="s">
        <v>35352</v>
      </c>
      <c r="F15563" t="s">
        <v>35353</v>
      </c>
      <c r="H15563" t="s">
        <v>35957</v>
      </c>
      <c r="J15563" t="s">
        <v>35988</v>
      </c>
      <c r="L15563" t="s">
        <v>36071</v>
      </c>
      <c r="N15563" t="s">
        <v>36072</v>
      </c>
      <c r="P15563" t="s">
        <v>36200</v>
      </c>
      <c r="R15563" s="26" t="str">
        <f>HYPERLINK("https://ictv.global/taxonomy/taxondetails?taxnode_id=202302415","Mastadenovirus bosprimum")</f>
        <v>Mastadenovirus bosprimum</v>
      </c>
      <c r="S15563" t="s">
        <v>30</v>
      </c>
      <c r="T15563" t="s">
        <v>36243</v>
      </c>
      <c r="U15563" t="s">
        <v>36244</v>
      </c>
      <c r="W15563" t="s">
        <v>50947</v>
      </c>
      <c r="X15563" t="s">
        <v>42</v>
      </c>
      <c r="Y15563" t="s">
        <v>36</v>
      </c>
      <c r="Z15563" t="s">
        <v>166</v>
      </c>
      <c r="AA15563" s="22" t="str">
        <f>HYPERLINK("https://www.ncbi.nlm.nih.gov/nuccore/BD269513,AC_000191","NCBI Nucleotide")</f>
        <v>NCBI Nucleotide</v>
      </c>
    </row>
    <row r="15564" spans="1:27" x14ac:dyDescent="0.35">
      <c r="A15564">
        <v>1004765</v>
      </c>
      <c r="B15564">
        <v>13977</v>
      </c>
      <c r="C15564">
        <v>1</v>
      </c>
      <c r="D15564" t="s">
        <v>35352</v>
      </c>
      <c r="F15564" t="s">
        <v>35353</v>
      </c>
      <c r="H15564" t="s">
        <v>35957</v>
      </c>
      <c r="J15564" t="s">
        <v>35988</v>
      </c>
      <c r="L15564" t="s">
        <v>36071</v>
      </c>
      <c r="N15564" t="s">
        <v>36072</v>
      </c>
      <c r="P15564" t="s">
        <v>36200</v>
      </c>
      <c r="R15564" s="26" t="str">
        <f>HYPERLINK("https://ictv.global/taxonomy/taxondetails?taxnode_id=202302416","Mastadenovirus bostertium")</f>
        <v>Mastadenovirus bostertium</v>
      </c>
      <c r="S15564" t="s">
        <v>30</v>
      </c>
      <c r="T15564" t="s">
        <v>36245</v>
      </c>
      <c r="U15564" t="s">
        <v>36246</v>
      </c>
      <c r="V15564" t="s">
        <v>36247</v>
      </c>
      <c r="W15564" t="s">
        <v>50948</v>
      </c>
      <c r="X15564" t="s">
        <v>42</v>
      </c>
      <c r="Y15564" t="s">
        <v>36</v>
      </c>
      <c r="Z15564" t="s">
        <v>166</v>
      </c>
      <c r="AA15564" s="22" t="str">
        <f>HYPERLINK("https://www.ncbi.nlm.nih.gov/nuccore/AF030154,AC_000002","NCBI Nucleotide")</f>
        <v>NCBI Nucleotide</v>
      </c>
    </row>
    <row r="15565" spans="1:27" x14ac:dyDescent="0.35">
      <c r="A15565">
        <v>1004784</v>
      </c>
      <c r="B15565">
        <v>13978</v>
      </c>
      <c r="C15565">
        <v>1</v>
      </c>
      <c r="D15565" t="s">
        <v>35352</v>
      </c>
      <c r="F15565" t="s">
        <v>35353</v>
      </c>
      <c r="H15565" t="s">
        <v>35957</v>
      </c>
      <c r="J15565" t="s">
        <v>35988</v>
      </c>
      <c r="L15565" t="s">
        <v>36071</v>
      </c>
      <c r="N15565" t="s">
        <v>36072</v>
      </c>
      <c r="P15565" t="s">
        <v>36200</v>
      </c>
      <c r="R15565" s="26" t="str">
        <f>HYPERLINK("https://ictv.global/taxonomy/taxondetails?taxnode_id=202302432","Mastadenovirus bovidae")</f>
        <v>Mastadenovirus bovidae</v>
      </c>
      <c r="S15565" t="s">
        <v>30</v>
      </c>
      <c r="T15565" t="s">
        <v>36524</v>
      </c>
      <c r="U15565" t="s">
        <v>36525</v>
      </c>
      <c r="W15565" t="s">
        <v>50950</v>
      </c>
      <c r="X15565" t="s">
        <v>42</v>
      </c>
      <c r="Y15565" t="s">
        <v>36</v>
      </c>
      <c r="Z15565" t="s">
        <v>166</v>
      </c>
      <c r="AA15565" s="22" t="str">
        <f>HYPERLINK("https://www.ncbi.nlm.nih.gov/nuccore/AF252854,AC_000001","NCBI Nucleotide")</f>
        <v>NCBI Nucleotide</v>
      </c>
    </row>
    <row r="15566" spans="1:27" x14ac:dyDescent="0.35">
      <c r="A15566">
        <v>1012150</v>
      </c>
      <c r="B15566">
        <v>13978</v>
      </c>
      <c r="C15566">
        <v>2</v>
      </c>
      <c r="D15566" t="s">
        <v>35352</v>
      </c>
      <c r="F15566" t="s">
        <v>35353</v>
      </c>
      <c r="H15566" t="s">
        <v>35957</v>
      </c>
      <c r="J15566" t="s">
        <v>35988</v>
      </c>
      <c r="L15566" t="s">
        <v>36071</v>
      </c>
      <c r="N15566" t="s">
        <v>36072</v>
      </c>
      <c r="P15566" t="s">
        <v>36200</v>
      </c>
      <c r="R15566" s="26" t="str">
        <f>HYPERLINK("https://ictv.global/taxonomy/taxondetails?taxnode_id=202302432","Mastadenovirus bovidae")</f>
        <v>Mastadenovirus bovidae</v>
      </c>
      <c r="S15566" t="s">
        <v>8141</v>
      </c>
      <c r="T15566" t="s">
        <v>36526</v>
      </c>
      <c r="U15566" t="s">
        <v>36527</v>
      </c>
      <c r="V15566" t="s">
        <v>36528</v>
      </c>
      <c r="W15566" t="s">
        <v>50270</v>
      </c>
      <c r="X15566" t="s">
        <v>154</v>
      </c>
      <c r="Y15566" t="s">
        <v>36</v>
      </c>
      <c r="Z15566" t="s">
        <v>166</v>
      </c>
      <c r="AA15566" s="22" t="str">
        <f>HYPERLINK("https://www.ncbi.nlm.nih.gov/nuccore/DQ630755","NCBI Nucleotide")</f>
        <v>NCBI Nucleotide</v>
      </c>
    </row>
    <row r="15567" spans="1:27" x14ac:dyDescent="0.35">
      <c r="A15567">
        <v>1012151</v>
      </c>
      <c r="B15567">
        <v>13978</v>
      </c>
      <c r="C15567">
        <v>3</v>
      </c>
      <c r="D15567" t="s">
        <v>35352</v>
      </c>
      <c r="F15567" t="s">
        <v>35353</v>
      </c>
      <c r="H15567" t="s">
        <v>35957</v>
      </c>
      <c r="J15567" t="s">
        <v>35988</v>
      </c>
      <c r="L15567" t="s">
        <v>36071</v>
      </c>
      <c r="N15567" t="s">
        <v>36072</v>
      </c>
      <c r="P15567" t="s">
        <v>36200</v>
      </c>
      <c r="R15567" s="26" t="str">
        <f>HYPERLINK("https://ictv.global/taxonomy/taxondetails?taxnode_id=202302432","Mastadenovirus bovidae")</f>
        <v>Mastadenovirus bovidae</v>
      </c>
      <c r="S15567" t="s">
        <v>8141</v>
      </c>
      <c r="T15567" t="s">
        <v>36529</v>
      </c>
      <c r="U15567" t="s">
        <v>36530</v>
      </c>
      <c r="V15567" t="s">
        <v>36531</v>
      </c>
      <c r="W15567" t="s">
        <v>50271</v>
      </c>
      <c r="X15567" t="s">
        <v>154</v>
      </c>
      <c r="Y15567" t="s">
        <v>36</v>
      </c>
      <c r="Z15567" t="s">
        <v>166</v>
      </c>
      <c r="AA15567" s="22" t="str">
        <f>HYPERLINK("https://www.ncbi.nlm.nih.gov/nuccore/DQ630756","NCBI Nucleotide")</f>
        <v>NCBI Nucleotide</v>
      </c>
    </row>
    <row r="15568" spans="1:27" x14ac:dyDescent="0.35">
      <c r="A15568">
        <v>1012152</v>
      </c>
      <c r="B15568">
        <v>13978</v>
      </c>
      <c r="C15568">
        <v>4</v>
      </c>
      <c r="D15568" t="s">
        <v>35352</v>
      </c>
      <c r="F15568" t="s">
        <v>35353</v>
      </c>
      <c r="H15568" t="s">
        <v>35957</v>
      </c>
      <c r="J15568" t="s">
        <v>35988</v>
      </c>
      <c r="L15568" t="s">
        <v>36071</v>
      </c>
      <c r="N15568" t="s">
        <v>36072</v>
      </c>
      <c r="P15568" t="s">
        <v>36200</v>
      </c>
      <c r="R15568" s="26" t="str">
        <f>HYPERLINK("https://ictv.global/taxonomy/taxondetails?taxnode_id=202302432","Mastadenovirus bovidae")</f>
        <v>Mastadenovirus bovidae</v>
      </c>
      <c r="S15568" t="s">
        <v>8141</v>
      </c>
      <c r="T15568" t="s">
        <v>36532</v>
      </c>
      <c r="U15568" t="s">
        <v>36533</v>
      </c>
      <c r="V15568">
        <v>7769</v>
      </c>
      <c r="W15568" t="s">
        <v>50272</v>
      </c>
      <c r="X15568" t="s">
        <v>154</v>
      </c>
      <c r="Y15568" t="s">
        <v>36</v>
      </c>
      <c r="Z15568" t="s">
        <v>166</v>
      </c>
      <c r="AA15568" s="22" t="str">
        <f>HYPERLINK("https://www.ncbi.nlm.nih.gov/nuccore/DQ630757","NCBI Nucleotide")</f>
        <v>NCBI Nucleotide</v>
      </c>
    </row>
    <row r="15569" spans="1:27" x14ac:dyDescent="0.35">
      <c r="A15569">
        <v>1012153</v>
      </c>
      <c r="B15569">
        <v>13978</v>
      </c>
      <c r="C15569">
        <v>5</v>
      </c>
      <c r="D15569" t="s">
        <v>35352</v>
      </c>
      <c r="F15569" t="s">
        <v>35353</v>
      </c>
      <c r="H15569" t="s">
        <v>35957</v>
      </c>
      <c r="J15569" t="s">
        <v>35988</v>
      </c>
      <c r="L15569" t="s">
        <v>36071</v>
      </c>
      <c r="N15569" t="s">
        <v>36072</v>
      </c>
      <c r="P15569" t="s">
        <v>36200</v>
      </c>
      <c r="R15569" s="26" t="str">
        <f>HYPERLINK("https://ictv.global/taxonomy/taxondetails?taxnode_id=202302432","Mastadenovirus bovidae")</f>
        <v>Mastadenovirus bovidae</v>
      </c>
      <c r="S15569" t="s">
        <v>8141</v>
      </c>
      <c r="T15569" t="s">
        <v>36534</v>
      </c>
      <c r="U15569" t="s">
        <v>36535</v>
      </c>
      <c r="V15569" t="s">
        <v>27449</v>
      </c>
      <c r="W15569" t="s">
        <v>50273</v>
      </c>
      <c r="X15569" t="s">
        <v>154</v>
      </c>
      <c r="Y15569" t="s">
        <v>36</v>
      </c>
      <c r="Z15569" t="s">
        <v>166</v>
      </c>
      <c r="AA15569" s="22" t="str">
        <f>HYPERLINK("https://www.ncbi.nlm.nih.gov/nuccore/DQ630758","NCBI Nucleotide")</f>
        <v>NCBI Nucleotide</v>
      </c>
    </row>
    <row r="15570" spans="1:27" x14ac:dyDescent="0.35">
      <c r="A15570">
        <v>1004776</v>
      </c>
      <c r="B15570">
        <v>13979</v>
      </c>
      <c r="C15570">
        <v>1</v>
      </c>
      <c r="D15570" t="s">
        <v>35352</v>
      </c>
      <c r="F15570" t="s">
        <v>35353</v>
      </c>
      <c r="H15570" t="s">
        <v>35957</v>
      </c>
      <c r="J15570" t="s">
        <v>35988</v>
      </c>
      <c r="L15570" t="s">
        <v>36071</v>
      </c>
      <c r="N15570" t="s">
        <v>36072</v>
      </c>
      <c r="P15570" t="s">
        <v>36200</v>
      </c>
      <c r="R15570" s="26" t="str">
        <f t="shared" ref="R15570:R15581" si="77">HYPERLINK("https://ictv.global/taxonomy/taxondetails?taxnode_id=202302424","Mastadenovirus caesari")</f>
        <v>Mastadenovirus caesari</v>
      </c>
      <c r="S15570" t="s">
        <v>30</v>
      </c>
      <c r="T15570" t="s">
        <v>36339</v>
      </c>
      <c r="U15570" t="s">
        <v>36340</v>
      </c>
      <c r="W15570" t="s">
        <v>36341</v>
      </c>
      <c r="X15570" t="s">
        <v>42</v>
      </c>
      <c r="Y15570" t="s">
        <v>36</v>
      </c>
      <c r="Z15570" t="s">
        <v>166</v>
      </c>
      <c r="AA15570" s="22" t="str">
        <f>HYPERLINK("https://www.ncbi.nlm.nih.gov/nuccore/J01917","NCBI Nucleotide")</f>
        <v>NCBI Nucleotide</v>
      </c>
    </row>
    <row r="15571" spans="1:27" x14ac:dyDescent="0.35">
      <c r="A15571">
        <v>1012092</v>
      </c>
      <c r="B15571">
        <v>13979</v>
      </c>
      <c r="C15571">
        <v>2</v>
      </c>
      <c r="D15571" t="s">
        <v>35352</v>
      </c>
      <c r="F15571" t="s">
        <v>35353</v>
      </c>
      <c r="H15571" t="s">
        <v>35957</v>
      </c>
      <c r="J15571" t="s">
        <v>35988</v>
      </c>
      <c r="L15571" t="s">
        <v>36071</v>
      </c>
      <c r="N15571" t="s">
        <v>36072</v>
      </c>
      <c r="P15571" t="s">
        <v>36200</v>
      </c>
      <c r="R15571" s="26" t="str">
        <f t="shared" si="77"/>
        <v>Mastadenovirus caesari</v>
      </c>
      <c r="S15571" t="s">
        <v>8141</v>
      </c>
      <c r="T15571" t="s">
        <v>36363</v>
      </c>
      <c r="U15571" t="s">
        <v>36364</v>
      </c>
      <c r="V15571" t="s">
        <v>36365</v>
      </c>
      <c r="W15571" t="s">
        <v>50274</v>
      </c>
      <c r="X15571" t="s">
        <v>42</v>
      </c>
      <c r="Y15571" t="s">
        <v>36</v>
      </c>
      <c r="Z15571" t="s">
        <v>166</v>
      </c>
      <c r="AA15571" s="22" t="str">
        <f>HYPERLINK("https://www.ncbi.nlm.nih.gov/nuccore/CS138463","NCBI Nucleotide")</f>
        <v>NCBI Nucleotide</v>
      </c>
    </row>
    <row r="15572" spans="1:27" x14ac:dyDescent="0.35">
      <c r="A15572">
        <v>1012082</v>
      </c>
      <c r="B15572">
        <v>13979</v>
      </c>
      <c r="C15572">
        <v>3</v>
      </c>
      <c r="D15572" t="s">
        <v>35352</v>
      </c>
      <c r="F15572" t="s">
        <v>35353</v>
      </c>
      <c r="H15572" t="s">
        <v>35957</v>
      </c>
      <c r="J15572" t="s">
        <v>35988</v>
      </c>
      <c r="L15572" t="s">
        <v>36071</v>
      </c>
      <c r="N15572" t="s">
        <v>36072</v>
      </c>
      <c r="P15572" t="s">
        <v>36200</v>
      </c>
      <c r="R15572" s="26" t="str">
        <f t="shared" si="77"/>
        <v>Mastadenovirus caesari</v>
      </c>
      <c r="S15572" t="s">
        <v>8141</v>
      </c>
      <c r="T15572" t="s">
        <v>36342</v>
      </c>
      <c r="U15572" t="s">
        <v>36343</v>
      </c>
      <c r="W15572" t="s">
        <v>50275</v>
      </c>
      <c r="X15572" t="s">
        <v>42</v>
      </c>
      <c r="Y15572" t="s">
        <v>36</v>
      </c>
      <c r="Z15572" t="s">
        <v>166</v>
      </c>
      <c r="AA15572" s="22" t="str">
        <f>HYPERLINK("https://www.ncbi.nlm.nih.gov/nuccore/AF534906","NCBI Nucleotide")</f>
        <v>NCBI Nucleotide</v>
      </c>
    </row>
    <row r="15573" spans="1:27" x14ac:dyDescent="0.35">
      <c r="A15573">
        <v>1012083</v>
      </c>
      <c r="B15573">
        <v>13979</v>
      </c>
      <c r="C15573">
        <v>4</v>
      </c>
      <c r="D15573" t="s">
        <v>35352</v>
      </c>
      <c r="F15573" t="s">
        <v>35353</v>
      </c>
      <c r="H15573" t="s">
        <v>35957</v>
      </c>
      <c r="J15573" t="s">
        <v>35988</v>
      </c>
      <c r="L15573" t="s">
        <v>36071</v>
      </c>
      <c r="N15573" t="s">
        <v>36072</v>
      </c>
      <c r="P15573" t="s">
        <v>36200</v>
      </c>
      <c r="R15573" s="26" t="str">
        <f t="shared" si="77"/>
        <v>Mastadenovirus caesari</v>
      </c>
      <c r="S15573" t="s">
        <v>8141</v>
      </c>
      <c r="T15573" t="s">
        <v>36344</v>
      </c>
      <c r="U15573" t="s">
        <v>36345</v>
      </c>
      <c r="W15573" t="s">
        <v>50276</v>
      </c>
      <c r="X15573" t="s">
        <v>42</v>
      </c>
      <c r="Y15573" t="s">
        <v>36</v>
      </c>
      <c r="Z15573" t="s">
        <v>166</v>
      </c>
      <c r="AA15573" s="22" t="str">
        <f>HYPERLINK("https://www.ncbi.nlm.nih.gov/nuccore/M73260","NCBI Nucleotide")</f>
        <v>NCBI Nucleotide</v>
      </c>
    </row>
    <row r="15574" spans="1:27" x14ac:dyDescent="0.35">
      <c r="A15574">
        <v>1012084</v>
      </c>
      <c r="B15574">
        <v>13979</v>
      </c>
      <c r="C15574">
        <v>5</v>
      </c>
      <c r="D15574" t="s">
        <v>35352</v>
      </c>
      <c r="F15574" t="s">
        <v>35353</v>
      </c>
      <c r="H15574" t="s">
        <v>35957</v>
      </c>
      <c r="J15574" t="s">
        <v>35988</v>
      </c>
      <c r="L15574" t="s">
        <v>36071</v>
      </c>
      <c r="N15574" t="s">
        <v>36072</v>
      </c>
      <c r="P15574" t="s">
        <v>36200</v>
      </c>
      <c r="R15574" s="26" t="str">
        <f t="shared" si="77"/>
        <v>Mastadenovirus caesari</v>
      </c>
      <c r="S15574" t="s">
        <v>8141</v>
      </c>
      <c r="T15574" t="s">
        <v>36346</v>
      </c>
      <c r="U15574" t="s">
        <v>36347</v>
      </c>
      <c r="V15574" t="s">
        <v>36348</v>
      </c>
      <c r="W15574" t="s">
        <v>50277</v>
      </c>
      <c r="X15574" t="s">
        <v>42</v>
      </c>
      <c r="Y15574" t="s">
        <v>36</v>
      </c>
      <c r="Z15574" t="s">
        <v>166</v>
      </c>
      <c r="AA15574" s="22" t="str">
        <f>HYPERLINK("https://www.ncbi.nlm.nih.gov/nuccore/FJ349096","NCBI Nucleotide")</f>
        <v>NCBI Nucleotide</v>
      </c>
    </row>
    <row r="15575" spans="1:27" x14ac:dyDescent="0.35">
      <c r="A15575">
        <v>1012085</v>
      </c>
      <c r="B15575">
        <v>13979</v>
      </c>
      <c r="C15575">
        <v>6</v>
      </c>
      <c r="D15575" t="s">
        <v>35352</v>
      </c>
      <c r="F15575" t="s">
        <v>35353</v>
      </c>
      <c r="H15575" t="s">
        <v>35957</v>
      </c>
      <c r="J15575" t="s">
        <v>35988</v>
      </c>
      <c r="L15575" t="s">
        <v>36071</v>
      </c>
      <c r="N15575" t="s">
        <v>36072</v>
      </c>
      <c r="P15575" t="s">
        <v>36200</v>
      </c>
      <c r="R15575" s="26" t="str">
        <f t="shared" si="77"/>
        <v>Mastadenovirus caesari</v>
      </c>
      <c r="S15575" t="s">
        <v>8141</v>
      </c>
      <c r="T15575" t="s">
        <v>36349</v>
      </c>
      <c r="U15575" t="s">
        <v>36350</v>
      </c>
      <c r="W15575" t="s">
        <v>50278</v>
      </c>
      <c r="X15575" t="s">
        <v>42</v>
      </c>
      <c r="Y15575" t="s">
        <v>36</v>
      </c>
      <c r="Z15575" t="s">
        <v>166</v>
      </c>
      <c r="AA15575" s="22" t="str">
        <f>HYPERLINK("https://www.ncbi.nlm.nih.gov/nuccore/HC000816","NCBI Nucleotide")</f>
        <v>NCBI Nucleotide</v>
      </c>
    </row>
    <row r="15576" spans="1:27" x14ac:dyDescent="0.35">
      <c r="A15576">
        <v>1012086</v>
      </c>
      <c r="B15576">
        <v>13979</v>
      </c>
      <c r="C15576">
        <v>7</v>
      </c>
      <c r="D15576" t="s">
        <v>35352</v>
      </c>
      <c r="F15576" t="s">
        <v>35353</v>
      </c>
      <c r="H15576" t="s">
        <v>35957</v>
      </c>
      <c r="J15576" t="s">
        <v>35988</v>
      </c>
      <c r="L15576" t="s">
        <v>36071</v>
      </c>
      <c r="N15576" t="s">
        <v>36072</v>
      </c>
      <c r="P15576" t="s">
        <v>36200</v>
      </c>
      <c r="R15576" s="26" t="str">
        <f t="shared" si="77"/>
        <v>Mastadenovirus caesari</v>
      </c>
      <c r="S15576" t="s">
        <v>8141</v>
      </c>
      <c r="T15576" t="s">
        <v>36351</v>
      </c>
      <c r="U15576" t="s">
        <v>36352</v>
      </c>
      <c r="W15576" t="s">
        <v>50279</v>
      </c>
      <c r="X15576" t="s">
        <v>42</v>
      </c>
      <c r="Y15576" t="s">
        <v>36</v>
      </c>
      <c r="Z15576" t="s">
        <v>166</v>
      </c>
      <c r="AA15576" s="22" t="str">
        <f>HYPERLINK("https://www.ncbi.nlm.nih.gov/nuccore/HC000847","NCBI Nucleotide")</f>
        <v>NCBI Nucleotide</v>
      </c>
    </row>
    <row r="15577" spans="1:27" x14ac:dyDescent="0.35">
      <c r="A15577">
        <v>1012087</v>
      </c>
      <c r="B15577">
        <v>13979</v>
      </c>
      <c r="C15577">
        <v>8</v>
      </c>
      <c r="D15577" t="s">
        <v>35352</v>
      </c>
      <c r="F15577" t="s">
        <v>35353</v>
      </c>
      <c r="H15577" t="s">
        <v>35957</v>
      </c>
      <c r="J15577" t="s">
        <v>35988</v>
      </c>
      <c r="L15577" t="s">
        <v>36071</v>
      </c>
      <c r="N15577" t="s">
        <v>36072</v>
      </c>
      <c r="P15577" t="s">
        <v>36200</v>
      </c>
      <c r="R15577" s="26" t="str">
        <f t="shared" si="77"/>
        <v>Mastadenovirus caesari</v>
      </c>
      <c r="S15577" t="s">
        <v>8141</v>
      </c>
      <c r="T15577" t="s">
        <v>36353</v>
      </c>
      <c r="U15577" t="s">
        <v>36354</v>
      </c>
      <c r="W15577" t="s">
        <v>50280</v>
      </c>
      <c r="X15577" t="s">
        <v>42</v>
      </c>
      <c r="Y15577" t="s">
        <v>36</v>
      </c>
      <c r="Z15577" t="s">
        <v>166</v>
      </c>
      <c r="AA15577" s="22" t="str">
        <f>HYPERLINK("https://www.ncbi.nlm.nih.gov/nuccore/HC000785","NCBI Nucleotide")</f>
        <v>NCBI Nucleotide</v>
      </c>
    </row>
    <row r="15578" spans="1:27" x14ac:dyDescent="0.35">
      <c r="A15578">
        <v>1012088</v>
      </c>
      <c r="B15578">
        <v>13979</v>
      </c>
      <c r="C15578">
        <v>9</v>
      </c>
      <c r="D15578" t="s">
        <v>35352</v>
      </c>
      <c r="F15578" t="s">
        <v>35353</v>
      </c>
      <c r="H15578" t="s">
        <v>35957</v>
      </c>
      <c r="J15578" t="s">
        <v>35988</v>
      </c>
      <c r="L15578" t="s">
        <v>36071</v>
      </c>
      <c r="N15578" t="s">
        <v>36072</v>
      </c>
      <c r="P15578" t="s">
        <v>36200</v>
      </c>
      <c r="R15578" s="26" t="str">
        <f t="shared" si="77"/>
        <v>Mastadenovirus caesari</v>
      </c>
      <c r="S15578" t="s">
        <v>8141</v>
      </c>
      <c r="T15578" t="s">
        <v>36355</v>
      </c>
      <c r="U15578" t="s">
        <v>36356</v>
      </c>
      <c r="W15578" t="s">
        <v>50281</v>
      </c>
      <c r="X15578" t="s">
        <v>42</v>
      </c>
      <c r="Y15578" t="s">
        <v>36</v>
      </c>
      <c r="Z15578" t="s">
        <v>166</v>
      </c>
      <c r="AA15578" s="22" t="str">
        <f>HYPERLINK("https://www.ncbi.nlm.nih.gov/nuccore/HC191035","NCBI Nucleotide")</f>
        <v>NCBI Nucleotide</v>
      </c>
    </row>
    <row r="15579" spans="1:27" x14ac:dyDescent="0.35">
      <c r="A15579">
        <v>1012089</v>
      </c>
      <c r="B15579">
        <v>13979</v>
      </c>
      <c r="C15579">
        <v>10</v>
      </c>
      <c r="D15579" t="s">
        <v>35352</v>
      </c>
      <c r="F15579" t="s">
        <v>35353</v>
      </c>
      <c r="H15579" t="s">
        <v>35957</v>
      </c>
      <c r="J15579" t="s">
        <v>35988</v>
      </c>
      <c r="L15579" t="s">
        <v>36071</v>
      </c>
      <c r="N15579" t="s">
        <v>36072</v>
      </c>
      <c r="P15579" t="s">
        <v>36200</v>
      </c>
      <c r="R15579" s="26" t="str">
        <f t="shared" si="77"/>
        <v>Mastadenovirus caesari</v>
      </c>
      <c r="S15579" t="s">
        <v>8141</v>
      </c>
      <c r="T15579" t="s">
        <v>36357</v>
      </c>
      <c r="U15579" t="s">
        <v>36358</v>
      </c>
      <c r="W15579" t="s">
        <v>50282</v>
      </c>
      <c r="X15579" t="s">
        <v>42</v>
      </c>
      <c r="Y15579" t="s">
        <v>36</v>
      </c>
      <c r="Z15579" t="s">
        <v>166</v>
      </c>
      <c r="AA15579" s="22" t="str">
        <f>HYPERLINK("https://www.ncbi.nlm.nih.gov/nuccore/FJ025900","NCBI Nucleotide")</f>
        <v>NCBI Nucleotide</v>
      </c>
    </row>
    <row r="15580" spans="1:27" x14ac:dyDescent="0.35">
      <c r="A15580">
        <v>1012090</v>
      </c>
      <c r="B15580">
        <v>13979</v>
      </c>
      <c r="C15580">
        <v>11</v>
      </c>
      <c r="D15580" t="s">
        <v>35352</v>
      </c>
      <c r="F15580" t="s">
        <v>35353</v>
      </c>
      <c r="H15580" t="s">
        <v>35957</v>
      </c>
      <c r="J15580" t="s">
        <v>35988</v>
      </c>
      <c r="L15580" t="s">
        <v>36071</v>
      </c>
      <c r="N15580" t="s">
        <v>36072</v>
      </c>
      <c r="P15580" t="s">
        <v>36200</v>
      </c>
      <c r="R15580" s="26" t="str">
        <f t="shared" si="77"/>
        <v>Mastadenovirus caesari</v>
      </c>
      <c r="S15580" t="s">
        <v>8141</v>
      </c>
      <c r="T15580" t="s">
        <v>36359</v>
      </c>
      <c r="U15580" t="s">
        <v>36360</v>
      </c>
      <c r="W15580" t="s">
        <v>50283</v>
      </c>
      <c r="X15580" t="s">
        <v>42</v>
      </c>
      <c r="Y15580" t="s">
        <v>36</v>
      </c>
      <c r="Z15580" t="s">
        <v>166</v>
      </c>
      <c r="AA15580" s="22" t="str">
        <f>HYPERLINK("https://www.ncbi.nlm.nih.gov/nuccore/FJ025899","NCBI Nucleotide")</f>
        <v>NCBI Nucleotide</v>
      </c>
    </row>
    <row r="15581" spans="1:27" x14ac:dyDescent="0.35">
      <c r="A15581">
        <v>1012091</v>
      </c>
      <c r="B15581">
        <v>13979</v>
      </c>
      <c r="C15581">
        <v>12</v>
      </c>
      <c r="D15581" t="s">
        <v>35352</v>
      </c>
      <c r="F15581" t="s">
        <v>35353</v>
      </c>
      <c r="H15581" t="s">
        <v>35957</v>
      </c>
      <c r="J15581" t="s">
        <v>35988</v>
      </c>
      <c r="L15581" t="s">
        <v>36071</v>
      </c>
      <c r="N15581" t="s">
        <v>36072</v>
      </c>
      <c r="P15581" t="s">
        <v>36200</v>
      </c>
      <c r="R15581" s="26" t="str">
        <f t="shared" si="77"/>
        <v>Mastadenovirus caesari</v>
      </c>
      <c r="S15581" t="s">
        <v>8141</v>
      </c>
      <c r="T15581" t="s">
        <v>36361</v>
      </c>
      <c r="U15581" t="s">
        <v>36362</v>
      </c>
      <c r="W15581" t="s">
        <v>50284</v>
      </c>
      <c r="X15581" t="s">
        <v>42</v>
      </c>
      <c r="Y15581" t="s">
        <v>36</v>
      </c>
      <c r="Z15581" t="s">
        <v>166</v>
      </c>
      <c r="AA15581" s="22" t="str">
        <f>HYPERLINK("https://www.ncbi.nlm.nih.gov/nuccore/FJ025901","NCBI Nucleotide")</f>
        <v>NCBI Nucleotide</v>
      </c>
    </row>
    <row r="15582" spans="1:27" x14ac:dyDescent="0.35">
      <c r="A15582">
        <v>1004767</v>
      </c>
      <c r="B15582">
        <v>13980</v>
      </c>
      <c r="C15582">
        <v>1</v>
      </c>
      <c r="D15582" t="s">
        <v>35352</v>
      </c>
      <c r="F15582" t="s">
        <v>35353</v>
      </c>
      <c r="H15582" t="s">
        <v>35957</v>
      </c>
      <c r="J15582" t="s">
        <v>35988</v>
      </c>
      <c r="L15582" t="s">
        <v>36071</v>
      </c>
      <c r="N15582" t="s">
        <v>36072</v>
      </c>
      <c r="P15582" t="s">
        <v>36200</v>
      </c>
      <c r="R15582" s="26" t="str">
        <f>HYPERLINK("https://ictv.global/taxonomy/taxondetails?taxnode_id=202302418","Mastadenovirus canidae")</f>
        <v>Mastadenovirus canidae</v>
      </c>
      <c r="S15582" t="s">
        <v>30</v>
      </c>
      <c r="T15582" t="s">
        <v>36250</v>
      </c>
      <c r="U15582" t="s">
        <v>36251</v>
      </c>
      <c r="V15582" t="s">
        <v>36252</v>
      </c>
      <c r="W15582" t="s">
        <v>50949</v>
      </c>
      <c r="X15582" t="s">
        <v>42</v>
      </c>
      <c r="Y15582" t="s">
        <v>36</v>
      </c>
      <c r="Z15582" t="s">
        <v>166</v>
      </c>
      <c r="AA15582" s="22" t="str">
        <f>HYPERLINK("https://www.ncbi.nlm.nih.gov/nuccore/Y07760,AC_000003","NCBI Nucleotide")</f>
        <v>NCBI Nucleotide</v>
      </c>
    </row>
    <row r="15583" spans="1:27" x14ac:dyDescent="0.35">
      <c r="A15583">
        <v>1012058</v>
      </c>
      <c r="B15583">
        <v>13980</v>
      </c>
      <c r="C15583">
        <v>2</v>
      </c>
      <c r="D15583" t="s">
        <v>35352</v>
      </c>
      <c r="F15583" t="s">
        <v>35353</v>
      </c>
      <c r="H15583" t="s">
        <v>35957</v>
      </c>
      <c r="J15583" t="s">
        <v>35988</v>
      </c>
      <c r="L15583" t="s">
        <v>36071</v>
      </c>
      <c r="N15583" t="s">
        <v>36072</v>
      </c>
      <c r="P15583" t="s">
        <v>36200</v>
      </c>
      <c r="R15583" s="26" t="str">
        <f>HYPERLINK("https://ictv.global/taxonomy/taxondetails?taxnode_id=202302418","Mastadenovirus canidae")</f>
        <v>Mastadenovirus canidae</v>
      </c>
      <c r="S15583" t="s">
        <v>8141</v>
      </c>
      <c r="T15583" t="s">
        <v>36253</v>
      </c>
      <c r="U15583" t="s">
        <v>36254</v>
      </c>
      <c r="V15583" t="s">
        <v>36255</v>
      </c>
      <c r="W15583" t="s">
        <v>50285</v>
      </c>
      <c r="X15583" t="s">
        <v>42</v>
      </c>
      <c r="Y15583" t="s">
        <v>36</v>
      </c>
      <c r="Z15583" t="s">
        <v>166</v>
      </c>
      <c r="AA15583" s="22" t="str">
        <f>HYPERLINK("https://www.ncbi.nlm.nih.gov/nuccore/U77082","NCBI Nucleotide")</f>
        <v>NCBI Nucleotide</v>
      </c>
    </row>
    <row r="15584" spans="1:27" x14ac:dyDescent="0.35">
      <c r="A15584">
        <v>1012059</v>
      </c>
      <c r="B15584">
        <v>13980</v>
      </c>
      <c r="C15584">
        <v>3</v>
      </c>
      <c r="D15584" t="s">
        <v>35352</v>
      </c>
      <c r="F15584" t="s">
        <v>35353</v>
      </c>
      <c r="H15584" t="s">
        <v>35957</v>
      </c>
      <c r="J15584" t="s">
        <v>35988</v>
      </c>
      <c r="L15584" t="s">
        <v>36071</v>
      </c>
      <c r="N15584" t="s">
        <v>36072</v>
      </c>
      <c r="P15584" t="s">
        <v>36200</v>
      </c>
      <c r="R15584" s="26" t="str">
        <f>HYPERLINK("https://ictv.global/taxonomy/taxondetails?taxnode_id=202302418","Mastadenovirus canidae")</f>
        <v>Mastadenovirus canidae</v>
      </c>
      <c r="S15584" t="s">
        <v>8141</v>
      </c>
      <c r="T15584" t="s">
        <v>36256</v>
      </c>
      <c r="U15584" t="s">
        <v>36257</v>
      </c>
      <c r="V15584" t="s">
        <v>36258</v>
      </c>
      <c r="W15584" t="s">
        <v>50286</v>
      </c>
      <c r="X15584" t="s">
        <v>154</v>
      </c>
      <c r="Y15584" t="s">
        <v>36</v>
      </c>
      <c r="Z15584" t="s">
        <v>166</v>
      </c>
      <c r="AA15584" s="22" t="str">
        <f>HYPERLINK("https://www.ncbi.nlm.nih.gov/nuccore/KM043107","NCBI Nucleotide")</f>
        <v>NCBI Nucleotide</v>
      </c>
    </row>
    <row r="15585" spans="1:27" x14ac:dyDescent="0.35">
      <c r="A15585">
        <v>1004773</v>
      </c>
      <c r="B15585">
        <v>13981</v>
      </c>
      <c r="C15585">
        <v>1</v>
      </c>
      <c r="D15585" t="s">
        <v>35352</v>
      </c>
      <c r="F15585" t="s">
        <v>35353</v>
      </c>
      <c r="H15585" t="s">
        <v>35957</v>
      </c>
      <c r="J15585" t="s">
        <v>35988</v>
      </c>
      <c r="L15585" t="s">
        <v>36071</v>
      </c>
      <c r="N15585" t="s">
        <v>36072</v>
      </c>
      <c r="P15585" t="s">
        <v>36200</v>
      </c>
      <c r="R15585" s="26" t="str">
        <f>HYPERLINK("https://ictv.global/taxonomy/taxondetails?taxnode_id=202309162","Mastadenovirus caviae")</f>
        <v>Mastadenovirus caviae</v>
      </c>
      <c r="S15585" t="s">
        <v>30</v>
      </c>
      <c r="T15585" t="s">
        <v>36275</v>
      </c>
      <c r="U15585" t="s">
        <v>36276</v>
      </c>
      <c r="V15585" t="s">
        <v>36277</v>
      </c>
      <c r="W15585" t="s">
        <v>36278</v>
      </c>
      <c r="X15585" t="s">
        <v>42</v>
      </c>
      <c r="Y15585" t="s">
        <v>36</v>
      </c>
      <c r="Z15585" t="s">
        <v>166</v>
      </c>
      <c r="AA15585" s="22" t="str">
        <f>HYPERLINK("https://www.ncbi.nlm.nih.gov/nuccore/MN986925","NCBI Nucleotide")</f>
        <v>NCBI Nucleotide</v>
      </c>
    </row>
    <row r="15586" spans="1:27" x14ac:dyDescent="0.35">
      <c r="A15586">
        <v>1004768</v>
      </c>
      <c r="B15586">
        <v>13982</v>
      </c>
      <c r="C15586">
        <v>1</v>
      </c>
      <c r="D15586" t="s">
        <v>35352</v>
      </c>
      <c r="F15586" t="s">
        <v>35353</v>
      </c>
      <c r="H15586" t="s">
        <v>35957</v>
      </c>
      <c r="J15586" t="s">
        <v>35988</v>
      </c>
      <c r="L15586" t="s">
        <v>36071</v>
      </c>
      <c r="N15586" t="s">
        <v>36072</v>
      </c>
      <c r="P15586" t="s">
        <v>36200</v>
      </c>
      <c r="R15586" s="26" t="str">
        <f>HYPERLINK("https://ictv.global/taxonomy/taxondetails?taxnode_id=202305660","Mastadenovirus cervi")</f>
        <v>Mastadenovirus cervi</v>
      </c>
      <c r="S15586" t="s">
        <v>30</v>
      </c>
      <c r="T15586" t="s">
        <v>50931</v>
      </c>
      <c r="U15586" t="s">
        <v>36259</v>
      </c>
      <c r="V15586">
        <v>1319</v>
      </c>
      <c r="W15586" t="s">
        <v>36260</v>
      </c>
      <c r="X15586" t="s">
        <v>42</v>
      </c>
      <c r="Y15586" t="s">
        <v>36</v>
      </c>
      <c r="Z15586" t="s">
        <v>166</v>
      </c>
      <c r="AA15586" s="22" t="str">
        <f>HYPERLINK("https://www.ncbi.nlm.nih.gov/nuccore/KY306667","NCBI Nucleotide")</f>
        <v>NCBI Nucleotide</v>
      </c>
    </row>
    <row r="15587" spans="1:27" x14ac:dyDescent="0.35">
      <c r="A15587">
        <v>1024964</v>
      </c>
      <c r="B15587">
        <v>13983</v>
      </c>
      <c r="C15587">
        <v>1</v>
      </c>
      <c r="D15587" t="s">
        <v>35352</v>
      </c>
      <c r="F15587" t="s">
        <v>35353</v>
      </c>
      <c r="H15587" t="s">
        <v>35957</v>
      </c>
      <c r="J15587" t="s">
        <v>35988</v>
      </c>
      <c r="L15587" t="s">
        <v>36071</v>
      </c>
      <c r="N15587" t="s">
        <v>36072</v>
      </c>
      <c r="P15587" t="s">
        <v>36200</v>
      </c>
      <c r="R15587" s="26" t="str">
        <f>HYPERLINK("https://ictv.global/taxonomy/taxondetails?taxnode_id=202317889","Mastadenovirus chalinolobi")</f>
        <v>Mastadenovirus chalinolobi</v>
      </c>
      <c r="S15587" t="s">
        <v>30</v>
      </c>
      <c r="T15587" t="s">
        <v>47794</v>
      </c>
      <c r="U15587" t="s">
        <v>47795</v>
      </c>
      <c r="V15587" t="s">
        <v>47796</v>
      </c>
      <c r="W15587" t="s">
        <v>47797</v>
      </c>
      <c r="X15587" t="s">
        <v>42</v>
      </c>
      <c r="Y15587" t="s">
        <v>36</v>
      </c>
      <c r="Z15587" t="s">
        <v>166</v>
      </c>
      <c r="AA15587" s="22" t="str">
        <f>HYPERLINK("https://www.ncbi.nlm.nih.gov/nuccore/MK472072","NCBI Nucleotide")</f>
        <v>NCBI Nucleotide</v>
      </c>
    </row>
    <row r="15588" spans="1:27" x14ac:dyDescent="0.35">
      <c r="A15588">
        <v>1004798</v>
      </c>
      <c r="B15588">
        <v>13984</v>
      </c>
      <c r="C15588">
        <v>1</v>
      </c>
      <c r="D15588" t="s">
        <v>35352</v>
      </c>
      <c r="F15588" t="s">
        <v>35353</v>
      </c>
      <c r="H15588" t="s">
        <v>35957</v>
      </c>
      <c r="J15588" t="s">
        <v>35988</v>
      </c>
      <c r="L15588" t="s">
        <v>36071</v>
      </c>
      <c r="N15588" t="s">
        <v>36072</v>
      </c>
      <c r="P15588" t="s">
        <v>36200</v>
      </c>
      <c r="R15588" s="26" t="str">
        <f>HYPERLINK("https://ictv.global/taxonomy/taxondetails?taxnode_id=202302444","Mastadenovirus chlorocebi")</f>
        <v>Mastadenovirus chlorocebi</v>
      </c>
      <c r="S15588" t="s">
        <v>30</v>
      </c>
      <c r="T15588" t="s">
        <v>36625</v>
      </c>
      <c r="U15588" t="s">
        <v>36626</v>
      </c>
      <c r="W15588" t="s">
        <v>36627</v>
      </c>
      <c r="X15588" t="s">
        <v>42</v>
      </c>
      <c r="Y15588" t="s">
        <v>36</v>
      </c>
      <c r="Z15588" t="s">
        <v>166</v>
      </c>
      <c r="AA15588" s="22" t="str">
        <f>HYPERLINK("https://www.ncbi.nlm.nih.gov/nuccore/FJ025931","NCBI Nucleotide")</f>
        <v>NCBI Nucleotide</v>
      </c>
    </row>
    <row r="15589" spans="1:27" x14ac:dyDescent="0.35">
      <c r="A15589">
        <v>1012169</v>
      </c>
      <c r="B15589">
        <v>13984</v>
      </c>
      <c r="C15589">
        <v>2</v>
      </c>
      <c r="D15589" t="s">
        <v>35352</v>
      </c>
      <c r="F15589" t="s">
        <v>35353</v>
      </c>
      <c r="H15589" t="s">
        <v>35957</v>
      </c>
      <c r="J15589" t="s">
        <v>35988</v>
      </c>
      <c r="L15589" t="s">
        <v>36071</v>
      </c>
      <c r="N15589" t="s">
        <v>36072</v>
      </c>
      <c r="P15589" t="s">
        <v>36200</v>
      </c>
      <c r="R15589" s="26" t="str">
        <f>HYPERLINK("https://ictv.global/taxonomy/taxondetails?taxnode_id=202302444","Mastadenovirus chlorocebi")</f>
        <v>Mastadenovirus chlorocebi</v>
      </c>
      <c r="S15589" t="s">
        <v>8141</v>
      </c>
      <c r="T15589" t="s">
        <v>36628</v>
      </c>
      <c r="U15589" t="s">
        <v>36629</v>
      </c>
      <c r="V15589" t="s">
        <v>36630</v>
      </c>
      <c r="W15589" t="s">
        <v>50287</v>
      </c>
      <c r="X15589" t="s">
        <v>42</v>
      </c>
      <c r="Y15589" t="s">
        <v>36</v>
      </c>
      <c r="Z15589" t="s">
        <v>166</v>
      </c>
      <c r="AA15589" s="22" t="str">
        <f>HYPERLINK("https://www.ncbi.nlm.nih.gov/nuccore/KP329566","NCBI Nucleotide")</f>
        <v>NCBI Nucleotide</v>
      </c>
    </row>
    <row r="15590" spans="1:27" x14ac:dyDescent="0.35">
      <c r="A15590">
        <v>1004783</v>
      </c>
      <c r="B15590">
        <v>13985</v>
      </c>
      <c r="C15590">
        <v>1</v>
      </c>
      <c r="D15590" t="s">
        <v>35352</v>
      </c>
      <c r="F15590" t="s">
        <v>35353</v>
      </c>
      <c r="H15590" t="s">
        <v>35957</v>
      </c>
      <c r="J15590" t="s">
        <v>35988</v>
      </c>
      <c r="L15590" t="s">
        <v>36071</v>
      </c>
      <c r="N15590" t="s">
        <v>36072</v>
      </c>
      <c r="P15590" t="s">
        <v>36200</v>
      </c>
      <c r="R15590" s="26" t="str">
        <f>HYPERLINK("https://ictv.global/taxonomy/taxondetails?taxnode_id=202302431","Mastadenovirus cordis")</f>
        <v>Mastadenovirus cordis</v>
      </c>
      <c r="S15590" t="s">
        <v>30</v>
      </c>
      <c r="T15590" t="s">
        <v>36521</v>
      </c>
      <c r="U15590" t="s">
        <v>36522</v>
      </c>
      <c r="W15590" t="s">
        <v>36523</v>
      </c>
      <c r="X15590" t="s">
        <v>42</v>
      </c>
      <c r="Y15590" t="s">
        <v>36</v>
      </c>
      <c r="Z15590" t="s">
        <v>166</v>
      </c>
      <c r="AA15590" s="22" t="str">
        <f>HYPERLINK("https://www.ncbi.nlm.nih.gov/nuccore/EU835513","NCBI Nucleotide")</f>
        <v>NCBI Nucleotide</v>
      </c>
    </row>
    <row r="15591" spans="1:27" x14ac:dyDescent="0.35">
      <c r="A15591">
        <v>1004795</v>
      </c>
      <c r="B15591">
        <v>13986</v>
      </c>
      <c r="C15591">
        <v>1</v>
      </c>
      <c r="D15591" t="s">
        <v>35352</v>
      </c>
      <c r="F15591" t="s">
        <v>35353</v>
      </c>
      <c r="H15591" t="s">
        <v>35957</v>
      </c>
      <c r="J15591" t="s">
        <v>35988</v>
      </c>
      <c r="L15591" t="s">
        <v>36071</v>
      </c>
      <c r="N15591" t="s">
        <v>36072</v>
      </c>
      <c r="P15591" t="s">
        <v>36200</v>
      </c>
      <c r="R15591" s="26" t="str">
        <f>HYPERLINK("https://ictv.global/taxonomy/taxondetails?taxnode_id=202302441","Mastadenovirus cynocephali")</f>
        <v>Mastadenovirus cynocephali</v>
      </c>
      <c r="S15591" t="s">
        <v>30</v>
      </c>
      <c r="T15591" t="s">
        <v>36609</v>
      </c>
      <c r="U15591" t="s">
        <v>36610</v>
      </c>
      <c r="V15591" t="s">
        <v>36611</v>
      </c>
      <c r="W15591" t="s">
        <v>36612</v>
      </c>
      <c r="X15591" t="s">
        <v>42</v>
      </c>
      <c r="Y15591" t="s">
        <v>36</v>
      </c>
      <c r="Z15591" t="s">
        <v>166</v>
      </c>
      <c r="AA15591" s="22" t="str">
        <f>HYPERLINK("https://www.ncbi.nlm.nih.gov/nuccore/KP329565","NCBI Nucleotide")</f>
        <v>NCBI Nucleotide</v>
      </c>
    </row>
    <row r="15592" spans="1:27" x14ac:dyDescent="0.35">
      <c r="A15592">
        <v>1012167</v>
      </c>
      <c r="B15592">
        <v>13986</v>
      </c>
      <c r="C15592">
        <v>2</v>
      </c>
      <c r="D15592" t="s">
        <v>35352</v>
      </c>
      <c r="F15592" t="s">
        <v>35353</v>
      </c>
      <c r="H15592" t="s">
        <v>35957</v>
      </c>
      <c r="J15592" t="s">
        <v>35988</v>
      </c>
      <c r="L15592" t="s">
        <v>36071</v>
      </c>
      <c r="N15592" t="s">
        <v>36072</v>
      </c>
      <c r="P15592" t="s">
        <v>36200</v>
      </c>
      <c r="R15592" s="26" t="str">
        <f>HYPERLINK("https://ictv.global/taxonomy/taxondetails?taxnode_id=202302441","Mastadenovirus cynocephali")</f>
        <v>Mastadenovirus cynocephali</v>
      </c>
      <c r="S15592" t="s">
        <v>8141</v>
      </c>
      <c r="T15592" t="s">
        <v>36613</v>
      </c>
      <c r="U15592" t="s">
        <v>36614</v>
      </c>
      <c r="W15592" t="s">
        <v>50288</v>
      </c>
      <c r="X15592" t="s">
        <v>42</v>
      </c>
      <c r="Y15592" t="s">
        <v>36</v>
      </c>
      <c r="Z15592" t="s">
        <v>166</v>
      </c>
      <c r="AA15592" s="22" t="str">
        <f>HYPERLINK("https://www.ncbi.nlm.nih.gov/nuccore/KC693022","NCBI Nucleotide")</f>
        <v>NCBI Nucleotide</v>
      </c>
    </row>
    <row r="15593" spans="1:27" x14ac:dyDescent="0.35">
      <c r="A15593">
        <v>1012168</v>
      </c>
      <c r="B15593">
        <v>13986</v>
      </c>
      <c r="C15593">
        <v>3</v>
      </c>
      <c r="D15593" t="s">
        <v>35352</v>
      </c>
      <c r="F15593" t="s">
        <v>35353</v>
      </c>
      <c r="H15593" t="s">
        <v>35957</v>
      </c>
      <c r="J15593" t="s">
        <v>35988</v>
      </c>
      <c r="L15593" t="s">
        <v>36071</v>
      </c>
      <c r="N15593" t="s">
        <v>36072</v>
      </c>
      <c r="P15593" t="s">
        <v>36200</v>
      </c>
      <c r="R15593" s="26" t="str">
        <f>HYPERLINK("https://ictv.global/taxonomy/taxondetails?taxnode_id=202302441","Mastadenovirus cynocephali")</f>
        <v>Mastadenovirus cynocephali</v>
      </c>
      <c r="S15593" t="s">
        <v>8141</v>
      </c>
      <c r="T15593" t="s">
        <v>36615</v>
      </c>
      <c r="U15593" t="s">
        <v>36616</v>
      </c>
      <c r="W15593" t="s">
        <v>50289</v>
      </c>
      <c r="X15593" t="s">
        <v>42</v>
      </c>
      <c r="Y15593" t="s">
        <v>36</v>
      </c>
      <c r="Z15593" t="s">
        <v>166</v>
      </c>
      <c r="AA15593" s="22" t="str">
        <f>HYPERLINK("https://www.ncbi.nlm.nih.gov/nuccore/KC693023","NCBI Nucleotide")</f>
        <v>NCBI Nucleotide</v>
      </c>
    </row>
    <row r="15594" spans="1:27" x14ac:dyDescent="0.35">
      <c r="A15594">
        <v>1004770</v>
      </c>
      <c r="B15594">
        <v>13987</v>
      </c>
      <c r="C15594">
        <v>1</v>
      </c>
      <c r="D15594" t="s">
        <v>35352</v>
      </c>
      <c r="F15594" t="s">
        <v>35353</v>
      </c>
      <c r="H15594" t="s">
        <v>35957</v>
      </c>
      <c r="J15594" t="s">
        <v>35988</v>
      </c>
      <c r="L15594" t="s">
        <v>36071</v>
      </c>
      <c r="N15594" t="s">
        <v>36072</v>
      </c>
      <c r="P15594" t="s">
        <v>36200</v>
      </c>
      <c r="R15594" s="26" t="str">
        <f>HYPERLINK("https://ictv.global/taxonomy/taxondetails?taxnode_id=202305661","Mastadenovirus delphini")</f>
        <v>Mastadenovirus delphini</v>
      </c>
      <c r="S15594" t="s">
        <v>30</v>
      </c>
      <c r="T15594" t="s">
        <v>36265</v>
      </c>
      <c r="U15594" t="s">
        <v>36266</v>
      </c>
      <c r="V15594">
        <v>44940</v>
      </c>
      <c r="W15594" t="s">
        <v>36267</v>
      </c>
      <c r="X15594" t="s">
        <v>42</v>
      </c>
      <c r="Y15594" t="s">
        <v>36</v>
      </c>
      <c r="Z15594" t="s">
        <v>166</v>
      </c>
      <c r="AA15594" s="22" t="str">
        <f>HYPERLINK("https://www.ncbi.nlm.nih.gov/nuccore/LT841149","NCBI Nucleotide")</f>
        <v>NCBI Nucleotide</v>
      </c>
    </row>
    <row r="15595" spans="1:27" x14ac:dyDescent="0.35">
      <c r="A15595">
        <v>1004769</v>
      </c>
      <c r="B15595">
        <v>13988</v>
      </c>
      <c r="C15595">
        <v>1</v>
      </c>
      <c r="D15595" t="s">
        <v>35352</v>
      </c>
      <c r="F15595" t="s">
        <v>35353</v>
      </c>
      <c r="H15595" t="s">
        <v>35957</v>
      </c>
      <c r="J15595" t="s">
        <v>35988</v>
      </c>
      <c r="L15595" t="s">
        <v>36071</v>
      </c>
      <c r="N15595" t="s">
        <v>36072</v>
      </c>
      <c r="P15595" t="s">
        <v>36200</v>
      </c>
      <c r="R15595" s="26" t="str">
        <f>HYPERLINK("https://ictv.global/taxonomy/taxondetails?taxnode_id=202302419","Mastadenovirus delphinidae")</f>
        <v>Mastadenovirus delphinidae</v>
      </c>
      <c r="S15595" t="s">
        <v>30</v>
      </c>
      <c r="T15595" t="s">
        <v>36261</v>
      </c>
      <c r="U15595" t="s">
        <v>36262</v>
      </c>
      <c r="V15595" t="s">
        <v>36263</v>
      </c>
      <c r="W15595" t="s">
        <v>36264</v>
      </c>
      <c r="X15595" t="s">
        <v>35</v>
      </c>
      <c r="Y15595" t="s">
        <v>36</v>
      </c>
      <c r="Z15595" t="s">
        <v>166</v>
      </c>
      <c r="AA15595" s="22" t="str">
        <f>HYPERLINK("https://www.ncbi.nlm.nih.gov/nuccore/KR024710","NCBI Nucleotide")</f>
        <v>NCBI Nucleotide</v>
      </c>
    </row>
    <row r="15596" spans="1:27" x14ac:dyDescent="0.35">
      <c r="A15596">
        <v>1024965</v>
      </c>
      <c r="B15596">
        <v>13989</v>
      </c>
      <c r="C15596">
        <v>1</v>
      </c>
      <c r="D15596" t="s">
        <v>35352</v>
      </c>
      <c r="F15596" t="s">
        <v>35353</v>
      </c>
      <c r="H15596" t="s">
        <v>35957</v>
      </c>
      <c r="J15596" t="s">
        <v>35988</v>
      </c>
      <c r="L15596" t="s">
        <v>36071</v>
      </c>
      <c r="N15596" t="s">
        <v>36072</v>
      </c>
      <c r="P15596" t="s">
        <v>36200</v>
      </c>
      <c r="R15596" s="26" t="str">
        <f>HYPERLINK("https://ictv.global/taxonomy/taxondetails?taxnode_id=202317891","Mastadenovirus dipodomysis")</f>
        <v>Mastadenovirus dipodomysis</v>
      </c>
      <c r="S15596" t="s">
        <v>30</v>
      </c>
      <c r="T15596" t="s">
        <v>47798</v>
      </c>
      <c r="V15596" t="s">
        <v>47799</v>
      </c>
      <c r="W15596" t="s">
        <v>47800</v>
      </c>
      <c r="X15596" t="s">
        <v>154</v>
      </c>
      <c r="Y15596" t="s">
        <v>36</v>
      </c>
      <c r="Z15596" t="s">
        <v>166</v>
      </c>
      <c r="AA15596" s="22" t="str">
        <f>HYPERLINK("https://www.ncbi.nlm.nih.gov/nuccore/ABRO02087964","NCBI Nucleotide")</f>
        <v>NCBI Nucleotide</v>
      </c>
    </row>
    <row r="15597" spans="1:27" x14ac:dyDescent="0.35">
      <c r="A15597">
        <v>1004777</v>
      </c>
      <c r="B15597">
        <v>13990</v>
      </c>
      <c r="C15597">
        <v>1</v>
      </c>
      <c r="D15597" t="s">
        <v>35352</v>
      </c>
      <c r="F15597" t="s">
        <v>35353</v>
      </c>
      <c r="H15597" t="s">
        <v>35957</v>
      </c>
      <c r="J15597" t="s">
        <v>35988</v>
      </c>
      <c r="L15597" t="s">
        <v>36071</v>
      </c>
      <c r="N15597" t="s">
        <v>36072</v>
      </c>
      <c r="P15597" t="s">
        <v>36200</v>
      </c>
      <c r="R15597" s="26" t="str">
        <f t="shared" ref="R15597:R15631" si="78">HYPERLINK("https://ictv.global/taxonomy/taxondetails?taxnode_id=202302425","Mastadenovirus dominans")</f>
        <v>Mastadenovirus dominans</v>
      </c>
      <c r="S15597" t="s">
        <v>30</v>
      </c>
      <c r="T15597" t="s">
        <v>36366</v>
      </c>
      <c r="U15597" t="s">
        <v>36367</v>
      </c>
      <c r="V15597" t="s">
        <v>36368</v>
      </c>
      <c r="W15597" t="s">
        <v>36369</v>
      </c>
      <c r="X15597" t="s">
        <v>42</v>
      </c>
      <c r="Y15597" t="s">
        <v>36</v>
      </c>
      <c r="Z15597" t="s">
        <v>166</v>
      </c>
      <c r="AA15597" s="22" t="str">
        <f>HYPERLINK("https://www.ncbi.nlm.nih.gov/nuccore/AJ854486","NCBI Nucleotide")</f>
        <v>NCBI Nucleotide</v>
      </c>
    </row>
    <row r="15598" spans="1:27" x14ac:dyDescent="0.35">
      <c r="A15598">
        <v>1012093</v>
      </c>
      <c r="B15598">
        <v>13990</v>
      </c>
      <c r="C15598">
        <v>2</v>
      </c>
      <c r="D15598" t="s">
        <v>35352</v>
      </c>
      <c r="F15598" t="s">
        <v>35353</v>
      </c>
      <c r="H15598" t="s">
        <v>35957</v>
      </c>
      <c r="J15598" t="s">
        <v>35988</v>
      </c>
      <c r="L15598" t="s">
        <v>36071</v>
      </c>
      <c r="N15598" t="s">
        <v>36072</v>
      </c>
      <c r="P15598" t="s">
        <v>36200</v>
      </c>
      <c r="R15598" s="26" t="str">
        <f t="shared" si="78"/>
        <v>Mastadenovirus dominans</v>
      </c>
      <c r="S15598" t="s">
        <v>8141</v>
      </c>
      <c r="T15598" t="s">
        <v>36370</v>
      </c>
      <c r="U15598" t="s">
        <v>36371</v>
      </c>
      <c r="V15598" t="s">
        <v>36372</v>
      </c>
      <c r="W15598" t="s">
        <v>50290</v>
      </c>
      <c r="X15598" t="s">
        <v>42</v>
      </c>
      <c r="Y15598" t="s">
        <v>36</v>
      </c>
      <c r="Z15598" t="s">
        <v>166</v>
      </c>
      <c r="AA15598" s="22" t="str">
        <f>HYPERLINK("https://www.ncbi.nlm.nih.gov/nuccore/AB448767","NCBI Nucleotide")</f>
        <v>NCBI Nucleotide</v>
      </c>
    </row>
    <row r="15599" spans="1:27" x14ac:dyDescent="0.35">
      <c r="A15599">
        <v>1012094</v>
      </c>
      <c r="B15599">
        <v>13990</v>
      </c>
      <c r="C15599">
        <v>3</v>
      </c>
      <c r="D15599" t="s">
        <v>35352</v>
      </c>
      <c r="F15599" t="s">
        <v>35353</v>
      </c>
      <c r="H15599" t="s">
        <v>35957</v>
      </c>
      <c r="J15599" t="s">
        <v>35988</v>
      </c>
      <c r="L15599" t="s">
        <v>36071</v>
      </c>
      <c r="N15599" t="s">
        <v>36072</v>
      </c>
      <c r="P15599" t="s">
        <v>36200</v>
      </c>
      <c r="R15599" s="26" t="str">
        <f t="shared" si="78"/>
        <v>Mastadenovirus dominans</v>
      </c>
      <c r="S15599" t="s">
        <v>8141</v>
      </c>
      <c r="T15599" t="s">
        <v>36373</v>
      </c>
      <c r="U15599" t="s">
        <v>36374</v>
      </c>
      <c r="W15599" t="s">
        <v>50291</v>
      </c>
      <c r="X15599" t="s">
        <v>42</v>
      </c>
      <c r="Y15599" t="s">
        <v>36</v>
      </c>
      <c r="Z15599" t="s">
        <v>166</v>
      </c>
      <c r="AA15599" s="22" t="str">
        <f>HYPERLINK("https://www.ncbi.nlm.nih.gov/nuccore/JN226746","NCBI Nucleotide")</f>
        <v>NCBI Nucleotide</v>
      </c>
    </row>
    <row r="15600" spans="1:27" x14ac:dyDescent="0.35">
      <c r="A15600">
        <v>1012095</v>
      </c>
      <c r="B15600">
        <v>13990</v>
      </c>
      <c r="C15600">
        <v>4</v>
      </c>
      <c r="D15600" t="s">
        <v>35352</v>
      </c>
      <c r="F15600" t="s">
        <v>35353</v>
      </c>
      <c r="H15600" t="s">
        <v>35957</v>
      </c>
      <c r="J15600" t="s">
        <v>35988</v>
      </c>
      <c r="L15600" t="s">
        <v>36071</v>
      </c>
      <c r="N15600" t="s">
        <v>36072</v>
      </c>
      <c r="P15600" t="s">
        <v>36200</v>
      </c>
      <c r="R15600" s="26" t="str">
        <f t="shared" si="78"/>
        <v>Mastadenovirus dominans</v>
      </c>
      <c r="S15600" t="s">
        <v>8141</v>
      </c>
      <c r="T15600" t="s">
        <v>36375</v>
      </c>
      <c r="U15600" t="s">
        <v>36376</v>
      </c>
      <c r="W15600" t="s">
        <v>50292</v>
      </c>
      <c r="X15600" t="s">
        <v>42</v>
      </c>
      <c r="Y15600" t="s">
        <v>36</v>
      </c>
      <c r="Z15600" t="s">
        <v>166</v>
      </c>
      <c r="AA15600" s="22" t="str">
        <f>HYPERLINK("https://www.ncbi.nlm.nih.gov/nuccore/JN226747","NCBI Nucleotide")</f>
        <v>NCBI Nucleotide</v>
      </c>
    </row>
    <row r="15601" spans="1:27" x14ac:dyDescent="0.35">
      <c r="A15601">
        <v>1012096</v>
      </c>
      <c r="B15601">
        <v>13990</v>
      </c>
      <c r="C15601">
        <v>5</v>
      </c>
      <c r="D15601" t="s">
        <v>35352</v>
      </c>
      <c r="F15601" t="s">
        <v>35353</v>
      </c>
      <c r="H15601" t="s">
        <v>35957</v>
      </c>
      <c r="J15601" t="s">
        <v>35988</v>
      </c>
      <c r="L15601" t="s">
        <v>36071</v>
      </c>
      <c r="N15601" t="s">
        <v>36072</v>
      </c>
      <c r="P15601" t="s">
        <v>36200</v>
      </c>
      <c r="R15601" s="26" t="str">
        <f t="shared" si="78"/>
        <v>Mastadenovirus dominans</v>
      </c>
      <c r="S15601" t="s">
        <v>8141</v>
      </c>
      <c r="T15601" t="s">
        <v>36377</v>
      </c>
      <c r="U15601" t="s">
        <v>36378</v>
      </c>
      <c r="V15601" t="s">
        <v>36379</v>
      </c>
      <c r="W15601" t="s">
        <v>50293</v>
      </c>
      <c r="X15601" t="s">
        <v>42</v>
      </c>
      <c r="Y15601" t="s">
        <v>36</v>
      </c>
      <c r="Z15601" t="s">
        <v>166</v>
      </c>
      <c r="AA15601" s="22" t="str">
        <f>HYPERLINK("https://www.ncbi.nlm.nih.gov/nuccore/AB562586","NCBI Nucleotide")</f>
        <v>NCBI Nucleotide</v>
      </c>
    </row>
    <row r="15602" spans="1:27" x14ac:dyDescent="0.35">
      <c r="A15602">
        <v>1012097</v>
      </c>
      <c r="B15602">
        <v>13990</v>
      </c>
      <c r="C15602">
        <v>6</v>
      </c>
      <c r="D15602" t="s">
        <v>35352</v>
      </c>
      <c r="F15602" t="s">
        <v>35353</v>
      </c>
      <c r="H15602" t="s">
        <v>35957</v>
      </c>
      <c r="J15602" t="s">
        <v>35988</v>
      </c>
      <c r="L15602" t="s">
        <v>36071</v>
      </c>
      <c r="N15602" t="s">
        <v>36072</v>
      </c>
      <c r="P15602" t="s">
        <v>36200</v>
      </c>
      <c r="R15602" s="26" t="str">
        <f t="shared" si="78"/>
        <v>Mastadenovirus dominans</v>
      </c>
      <c r="S15602" t="s">
        <v>8141</v>
      </c>
      <c r="T15602" t="s">
        <v>36380</v>
      </c>
      <c r="U15602" t="s">
        <v>36381</v>
      </c>
      <c r="W15602" t="s">
        <v>50294</v>
      </c>
      <c r="X15602" t="s">
        <v>42</v>
      </c>
      <c r="Y15602" t="s">
        <v>36</v>
      </c>
      <c r="Z15602" t="s">
        <v>166</v>
      </c>
      <c r="AA15602" s="22" t="str">
        <f>HYPERLINK("https://www.ncbi.nlm.nih.gov/nuccore/AF108105","NCBI Nucleotide")</f>
        <v>NCBI Nucleotide</v>
      </c>
    </row>
    <row r="15603" spans="1:27" x14ac:dyDescent="0.35">
      <c r="A15603">
        <v>1012098</v>
      </c>
      <c r="B15603">
        <v>13990</v>
      </c>
      <c r="C15603">
        <v>7</v>
      </c>
      <c r="D15603" t="s">
        <v>35352</v>
      </c>
      <c r="F15603" t="s">
        <v>35353</v>
      </c>
      <c r="H15603" t="s">
        <v>35957</v>
      </c>
      <c r="J15603" t="s">
        <v>35988</v>
      </c>
      <c r="L15603" t="s">
        <v>36071</v>
      </c>
      <c r="N15603" t="s">
        <v>36072</v>
      </c>
      <c r="P15603" t="s">
        <v>36200</v>
      </c>
      <c r="R15603" s="26" t="str">
        <f t="shared" si="78"/>
        <v>Mastadenovirus dominans</v>
      </c>
      <c r="S15603" t="s">
        <v>8141</v>
      </c>
      <c r="T15603" t="s">
        <v>36382</v>
      </c>
      <c r="U15603" t="s">
        <v>36383</v>
      </c>
      <c r="W15603" t="s">
        <v>50295</v>
      </c>
      <c r="X15603" t="s">
        <v>42</v>
      </c>
      <c r="Y15603" t="s">
        <v>36</v>
      </c>
      <c r="Z15603" t="s">
        <v>166</v>
      </c>
      <c r="AA15603" s="22" t="str">
        <f>HYPERLINK("https://www.ncbi.nlm.nih.gov/nuccore/JQ326209","NCBI Nucleotide")</f>
        <v>NCBI Nucleotide</v>
      </c>
    </row>
    <row r="15604" spans="1:27" x14ac:dyDescent="0.35">
      <c r="A15604">
        <v>1012099</v>
      </c>
      <c r="B15604">
        <v>13990</v>
      </c>
      <c r="C15604">
        <v>8</v>
      </c>
      <c r="D15604" t="s">
        <v>35352</v>
      </c>
      <c r="F15604" t="s">
        <v>35353</v>
      </c>
      <c r="H15604" t="s">
        <v>35957</v>
      </c>
      <c r="J15604" t="s">
        <v>35988</v>
      </c>
      <c r="L15604" t="s">
        <v>36071</v>
      </c>
      <c r="N15604" t="s">
        <v>36072</v>
      </c>
      <c r="P15604" t="s">
        <v>36200</v>
      </c>
      <c r="R15604" s="26" t="str">
        <f t="shared" si="78"/>
        <v>Mastadenovirus dominans</v>
      </c>
      <c r="S15604" t="s">
        <v>8141</v>
      </c>
      <c r="T15604" t="s">
        <v>36384</v>
      </c>
      <c r="U15604" t="s">
        <v>36385</v>
      </c>
      <c r="W15604" t="s">
        <v>50296</v>
      </c>
      <c r="X15604" t="s">
        <v>42</v>
      </c>
      <c r="Y15604" t="s">
        <v>36</v>
      </c>
      <c r="Z15604" t="s">
        <v>166</v>
      </c>
      <c r="AA15604" s="22" t="str">
        <f>HYPERLINK("https://www.ncbi.nlm.nih.gov/nuccore/JN226749","NCBI Nucleotide")</f>
        <v>NCBI Nucleotide</v>
      </c>
    </row>
    <row r="15605" spans="1:27" x14ac:dyDescent="0.35">
      <c r="A15605">
        <v>1012100</v>
      </c>
      <c r="B15605">
        <v>13990</v>
      </c>
      <c r="C15605">
        <v>9</v>
      </c>
      <c r="D15605" t="s">
        <v>35352</v>
      </c>
      <c r="F15605" t="s">
        <v>35353</v>
      </c>
      <c r="H15605" t="s">
        <v>35957</v>
      </c>
      <c r="J15605" t="s">
        <v>35988</v>
      </c>
      <c r="L15605" t="s">
        <v>36071</v>
      </c>
      <c r="N15605" t="s">
        <v>36072</v>
      </c>
      <c r="P15605" t="s">
        <v>36200</v>
      </c>
      <c r="R15605" s="26" t="str">
        <f t="shared" si="78"/>
        <v>Mastadenovirus dominans</v>
      </c>
      <c r="S15605" t="s">
        <v>8141</v>
      </c>
      <c r="T15605" t="s">
        <v>36386</v>
      </c>
      <c r="U15605" t="s">
        <v>36387</v>
      </c>
      <c r="V15605" t="s">
        <v>36388</v>
      </c>
      <c r="W15605" t="s">
        <v>50297</v>
      </c>
      <c r="X15605" t="s">
        <v>42</v>
      </c>
      <c r="Y15605" t="s">
        <v>36</v>
      </c>
      <c r="Z15605" t="s">
        <v>166</v>
      </c>
      <c r="AA15605" s="22" t="str">
        <f>HYPERLINK("https://www.ncbi.nlm.nih.gov/nuccore/FJ404771","NCBI Nucleotide")</f>
        <v>NCBI Nucleotide</v>
      </c>
    </row>
    <row r="15606" spans="1:27" x14ac:dyDescent="0.35">
      <c r="A15606">
        <v>1012101</v>
      </c>
      <c r="B15606">
        <v>13990</v>
      </c>
      <c r="C15606">
        <v>10</v>
      </c>
      <c r="D15606" t="s">
        <v>35352</v>
      </c>
      <c r="F15606" t="s">
        <v>35353</v>
      </c>
      <c r="H15606" t="s">
        <v>35957</v>
      </c>
      <c r="J15606" t="s">
        <v>35988</v>
      </c>
      <c r="L15606" t="s">
        <v>36071</v>
      </c>
      <c r="N15606" t="s">
        <v>36072</v>
      </c>
      <c r="P15606" t="s">
        <v>36200</v>
      </c>
      <c r="R15606" s="26" t="str">
        <f t="shared" si="78"/>
        <v>Mastadenovirus dominans</v>
      </c>
      <c r="S15606" t="s">
        <v>8141</v>
      </c>
      <c r="T15606" t="s">
        <v>36389</v>
      </c>
      <c r="U15606" t="s">
        <v>36390</v>
      </c>
      <c r="W15606" t="s">
        <v>50298</v>
      </c>
      <c r="X15606" t="s">
        <v>42</v>
      </c>
      <c r="Y15606" t="s">
        <v>36</v>
      </c>
      <c r="Z15606" t="s">
        <v>166</v>
      </c>
      <c r="AA15606" s="22" t="str">
        <f>HYPERLINK("https://www.ncbi.nlm.nih.gov/nuccore/JN226750","NCBI Nucleotide")</f>
        <v>NCBI Nucleotide</v>
      </c>
    </row>
    <row r="15607" spans="1:27" x14ac:dyDescent="0.35">
      <c r="A15607">
        <v>1012102</v>
      </c>
      <c r="B15607">
        <v>13990</v>
      </c>
      <c r="C15607">
        <v>11</v>
      </c>
      <c r="D15607" t="s">
        <v>35352</v>
      </c>
      <c r="F15607" t="s">
        <v>35353</v>
      </c>
      <c r="H15607" t="s">
        <v>35957</v>
      </c>
      <c r="J15607" t="s">
        <v>35988</v>
      </c>
      <c r="L15607" t="s">
        <v>36071</v>
      </c>
      <c r="N15607" t="s">
        <v>36072</v>
      </c>
      <c r="P15607" t="s">
        <v>36200</v>
      </c>
      <c r="R15607" s="26" t="str">
        <f t="shared" si="78"/>
        <v>Mastadenovirus dominans</v>
      </c>
      <c r="S15607" t="s">
        <v>8141</v>
      </c>
      <c r="T15607" t="s">
        <v>36391</v>
      </c>
      <c r="U15607" t="s">
        <v>36392</v>
      </c>
      <c r="W15607" t="s">
        <v>50299</v>
      </c>
      <c r="X15607" t="s">
        <v>42</v>
      </c>
      <c r="Y15607" t="s">
        <v>36</v>
      </c>
      <c r="Z15607" t="s">
        <v>166</v>
      </c>
      <c r="AA15607" s="22" t="str">
        <f>HYPERLINK("https://www.ncbi.nlm.nih.gov/nuccore/JN226751","NCBI Nucleotide")</f>
        <v>NCBI Nucleotide</v>
      </c>
    </row>
    <row r="15608" spans="1:27" x14ac:dyDescent="0.35">
      <c r="A15608">
        <v>1012103</v>
      </c>
      <c r="B15608">
        <v>13990</v>
      </c>
      <c r="C15608">
        <v>12</v>
      </c>
      <c r="D15608" t="s">
        <v>35352</v>
      </c>
      <c r="F15608" t="s">
        <v>35353</v>
      </c>
      <c r="H15608" t="s">
        <v>35957</v>
      </c>
      <c r="J15608" t="s">
        <v>35988</v>
      </c>
      <c r="L15608" t="s">
        <v>36071</v>
      </c>
      <c r="N15608" t="s">
        <v>36072</v>
      </c>
      <c r="P15608" t="s">
        <v>36200</v>
      </c>
      <c r="R15608" s="26" t="str">
        <f t="shared" si="78"/>
        <v>Mastadenovirus dominans</v>
      </c>
      <c r="S15608" t="s">
        <v>8141</v>
      </c>
      <c r="T15608" t="s">
        <v>36393</v>
      </c>
      <c r="U15608" t="s">
        <v>36394</v>
      </c>
      <c r="W15608" t="s">
        <v>50300</v>
      </c>
      <c r="X15608" t="s">
        <v>42</v>
      </c>
      <c r="Y15608" t="s">
        <v>36</v>
      </c>
      <c r="Z15608" t="s">
        <v>166</v>
      </c>
      <c r="AA15608" s="22" t="str">
        <f>HYPERLINK("https://www.ncbi.nlm.nih.gov/nuccore/JN226752","NCBI Nucleotide")</f>
        <v>NCBI Nucleotide</v>
      </c>
    </row>
    <row r="15609" spans="1:27" x14ac:dyDescent="0.35">
      <c r="A15609">
        <v>1012104</v>
      </c>
      <c r="B15609">
        <v>13990</v>
      </c>
      <c r="C15609">
        <v>13</v>
      </c>
      <c r="D15609" t="s">
        <v>35352</v>
      </c>
      <c r="F15609" t="s">
        <v>35353</v>
      </c>
      <c r="H15609" t="s">
        <v>35957</v>
      </c>
      <c r="J15609" t="s">
        <v>35988</v>
      </c>
      <c r="L15609" t="s">
        <v>36071</v>
      </c>
      <c r="N15609" t="s">
        <v>36072</v>
      </c>
      <c r="P15609" t="s">
        <v>36200</v>
      </c>
      <c r="R15609" s="26" t="str">
        <f t="shared" si="78"/>
        <v>Mastadenovirus dominans</v>
      </c>
      <c r="S15609" t="s">
        <v>8141</v>
      </c>
      <c r="T15609" t="s">
        <v>36395</v>
      </c>
      <c r="U15609" t="s">
        <v>36396</v>
      </c>
      <c r="W15609" t="s">
        <v>50301</v>
      </c>
      <c r="X15609" t="s">
        <v>42</v>
      </c>
      <c r="Y15609" t="s">
        <v>36</v>
      </c>
      <c r="Z15609" t="s">
        <v>166</v>
      </c>
      <c r="AA15609" s="22" t="str">
        <f>HYPERLINK("https://www.ncbi.nlm.nih.gov/nuccore/EF153474","NCBI Nucleotide")</f>
        <v>NCBI Nucleotide</v>
      </c>
    </row>
    <row r="15610" spans="1:27" x14ac:dyDescent="0.35">
      <c r="A15610">
        <v>1012105</v>
      </c>
      <c r="B15610">
        <v>13990</v>
      </c>
      <c r="C15610">
        <v>14</v>
      </c>
      <c r="D15610" t="s">
        <v>35352</v>
      </c>
      <c r="F15610" t="s">
        <v>35353</v>
      </c>
      <c r="H15610" t="s">
        <v>35957</v>
      </c>
      <c r="J15610" t="s">
        <v>35988</v>
      </c>
      <c r="L15610" t="s">
        <v>36071</v>
      </c>
      <c r="N15610" t="s">
        <v>36072</v>
      </c>
      <c r="P15610" t="s">
        <v>36200</v>
      </c>
      <c r="R15610" s="26" t="str">
        <f t="shared" si="78"/>
        <v>Mastadenovirus dominans</v>
      </c>
      <c r="S15610" t="s">
        <v>8141</v>
      </c>
      <c r="T15610" t="s">
        <v>36397</v>
      </c>
      <c r="U15610" t="s">
        <v>36398</v>
      </c>
      <c r="W15610" t="s">
        <v>50302</v>
      </c>
      <c r="X15610" t="s">
        <v>42</v>
      </c>
      <c r="Y15610" t="s">
        <v>36</v>
      </c>
      <c r="Z15610" t="s">
        <v>166</v>
      </c>
      <c r="AA15610" s="22" t="str">
        <f>HYPERLINK("https://www.ncbi.nlm.nih.gov/nuccore/JN226753","NCBI Nucleotide")</f>
        <v>NCBI Nucleotide</v>
      </c>
    </row>
    <row r="15611" spans="1:27" x14ac:dyDescent="0.35">
      <c r="A15611">
        <v>1012106</v>
      </c>
      <c r="B15611">
        <v>13990</v>
      </c>
      <c r="C15611">
        <v>15</v>
      </c>
      <c r="D15611" t="s">
        <v>35352</v>
      </c>
      <c r="F15611" t="s">
        <v>35353</v>
      </c>
      <c r="H15611" t="s">
        <v>35957</v>
      </c>
      <c r="J15611" t="s">
        <v>35988</v>
      </c>
      <c r="L15611" t="s">
        <v>36071</v>
      </c>
      <c r="N15611" t="s">
        <v>36072</v>
      </c>
      <c r="P15611" t="s">
        <v>36200</v>
      </c>
      <c r="R15611" s="26" t="str">
        <f t="shared" si="78"/>
        <v>Mastadenovirus dominans</v>
      </c>
      <c r="S15611" t="s">
        <v>8141</v>
      </c>
      <c r="T15611" t="s">
        <v>36399</v>
      </c>
      <c r="U15611" t="s">
        <v>36400</v>
      </c>
      <c r="V15611" t="s">
        <v>36401</v>
      </c>
      <c r="W15611" t="s">
        <v>50303</v>
      </c>
      <c r="X15611" t="s">
        <v>42</v>
      </c>
      <c r="Y15611" t="s">
        <v>36</v>
      </c>
      <c r="Z15611" t="s">
        <v>166</v>
      </c>
      <c r="AA15611" s="22" t="str">
        <f>HYPERLINK("https://www.ncbi.nlm.nih.gov/nuccore/FJ824826","NCBI Nucleotide")</f>
        <v>NCBI Nucleotide</v>
      </c>
    </row>
    <row r="15612" spans="1:27" x14ac:dyDescent="0.35">
      <c r="A15612">
        <v>1012107</v>
      </c>
      <c r="B15612">
        <v>13990</v>
      </c>
      <c r="C15612">
        <v>16</v>
      </c>
      <c r="D15612" t="s">
        <v>35352</v>
      </c>
      <c r="F15612" t="s">
        <v>35353</v>
      </c>
      <c r="H15612" t="s">
        <v>35957</v>
      </c>
      <c r="J15612" t="s">
        <v>35988</v>
      </c>
      <c r="L15612" t="s">
        <v>36071</v>
      </c>
      <c r="N15612" t="s">
        <v>36072</v>
      </c>
      <c r="P15612" t="s">
        <v>36200</v>
      </c>
      <c r="R15612" s="26" t="str">
        <f t="shared" si="78"/>
        <v>Mastadenovirus dominans</v>
      </c>
      <c r="S15612" t="s">
        <v>8141</v>
      </c>
      <c r="T15612" t="s">
        <v>36402</v>
      </c>
      <c r="U15612" t="s">
        <v>36403</v>
      </c>
      <c r="W15612" t="s">
        <v>50304</v>
      </c>
      <c r="X15612" t="s">
        <v>42</v>
      </c>
      <c r="Y15612" t="s">
        <v>36</v>
      </c>
      <c r="Z15612" t="s">
        <v>166</v>
      </c>
      <c r="AA15612" s="22" t="str">
        <f>HYPERLINK("https://www.ncbi.nlm.nih.gov/nuccore/JN226754","NCBI Nucleotide")</f>
        <v>NCBI Nucleotide</v>
      </c>
    </row>
    <row r="15613" spans="1:27" x14ac:dyDescent="0.35">
      <c r="A15613">
        <v>1012108</v>
      </c>
      <c r="B15613">
        <v>13990</v>
      </c>
      <c r="C15613">
        <v>17</v>
      </c>
      <c r="D15613" t="s">
        <v>35352</v>
      </c>
      <c r="F15613" t="s">
        <v>35353</v>
      </c>
      <c r="H15613" t="s">
        <v>35957</v>
      </c>
      <c r="J15613" t="s">
        <v>35988</v>
      </c>
      <c r="L15613" t="s">
        <v>36071</v>
      </c>
      <c r="N15613" t="s">
        <v>36072</v>
      </c>
      <c r="P15613" t="s">
        <v>36200</v>
      </c>
      <c r="R15613" s="26" t="str">
        <f t="shared" si="78"/>
        <v>Mastadenovirus dominans</v>
      </c>
      <c r="S15613" t="s">
        <v>8141</v>
      </c>
      <c r="T15613" t="s">
        <v>36404</v>
      </c>
      <c r="U15613" t="s">
        <v>36405</v>
      </c>
      <c r="V15613" t="s">
        <v>36406</v>
      </c>
      <c r="W15613" t="s">
        <v>50305</v>
      </c>
      <c r="X15613" t="s">
        <v>42</v>
      </c>
      <c r="Y15613" t="s">
        <v>36</v>
      </c>
      <c r="Z15613" t="s">
        <v>166</v>
      </c>
      <c r="AA15613" s="22" t="str">
        <f>HYPERLINK("https://www.ncbi.nlm.nih.gov/nuccore/JN226755","NCBI Nucleotide")</f>
        <v>NCBI Nucleotide</v>
      </c>
    </row>
    <row r="15614" spans="1:27" x14ac:dyDescent="0.35">
      <c r="A15614">
        <v>1012109</v>
      </c>
      <c r="B15614">
        <v>13990</v>
      </c>
      <c r="C15614">
        <v>18</v>
      </c>
      <c r="D15614" t="s">
        <v>35352</v>
      </c>
      <c r="F15614" t="s">
        <v>35353</v>
      </c>
      <c r="H15614" t="s">
        <v>35957</v>
      </c>
      <c r="J15614" t="s">
        <v>35988</v>
      </c>
      <c r="L15614" t="s">
        <v>36071</v>
      </c>
      <c r="N15614" t="s">
        <v>36072</v>
      </c>
      <c r="P15614" t="s">
        <v>36200</v>
      </c>
      <c r="R15614" s="26" t="str">
        <f t="shared" si="78"/>
        <v>Mastadenovirus dominans</v>
      </c>
      <c r="S15614" t="s">
        <v>8141</v>
      </c>
      <c r="T15614" t="s">
        <v>36407</v>
      </c>
      <c r="U15614" t="s">
        <v>36408</v>
      </c>
      <c r="W15614" t="s">
        <v>50306</v>
      </c>
      <c r="X15614" t="s">
        <v>42</v>
      </c>
      <c r="Y15614" t="s">
        <v>36</v>
      </c>
      <c r="Z15614" t="s">
        <v>166</v>
      </c>
      <c r="AA15614" s="22" t="str">
        <f>HYPERLINK("https://www.ncbi.nlm.nih.gov/nuccore/JN226756","NCBI Nucleotide")</f>
        <v>NCBI Nucleotide</v>
      </c>
    </row>
    <row r="15615" spans="1:27" x14ac:dyDescent="0.35">
      <c r="A15615">
        <v>1012110</v>
      </c>
      <c r="B15615">
        <v>13990</v>
      </c>
      <c r="C15615">
        <v>19</v>
      </c>
      <c r="D15615" t="s">
        <v>35352</v>
      </c>
      <c r="F15615" t="s">
        <v>35353</v>
      </c>
      <c r="H15615" t="s">
        <v>35957</v>
      </c>
      <c r="J15615" t="s">
        <v>35988</v>
      </c>
      <c r="L15615" t="s">
        <v>36071</v>
      </c>
      <c r="N15615" t="s">
        <v>36072</v>
      </c>
      <c r="P15615" t="s">
        <v>36200</v>
      </c>
      <c r="R15615" s="26" t="str">
        <f t="shared" si="78"/>
        <v>Mastadenovirus dominans</v>
      </c>
      <c r="S15615" t="s">
        <v>8141</v>
      </c>
      <c r="T15615" t="s">
        <v>36409</v>
      </c>
      <c r="U15615" t="s">
        <v>36410</v>
      </c>
      <c r="W15615" t="s">
        <v>50307</v>
      </c>
      <c r="X15615" t="s">
        <v>42</v>
      </c>
      <c r="Y15615" t="s">
        <v>36</v>
      </c>
      <c r="Z15615" t="s">
        <v>166</v>
      </c>
      <c r="AA15615" s="22" t="str">
        <f>HYPERLINK("https://www.ncbi.nlm.nih.gov/nuccore/JN226758","NCBI Nucleotide")</f>
        <v>NCBI Nucleotide</v>
      </c>
    </row>
    <row r="15616" spans="1:27" x14ac:dyDescent="0.35">
      <c r="A15616">
        <v>1012111</v>
      </c>
      <c r="B15616">
        <v>13990</v>
      </c>
      <c r="C15616">
        <v>20</v>
      </c>
      <c r="D15616" t="s">
        <v>35352</v>
      </c>
      <c r="F15616" t="s">
        <v>35353</v>
      </c>
      <c r="H15616" t="s">
        <v>35957</v>
      </c>
      <c r="J15616" t="s">
        <v>35988</v>
      </c>
      <c r="L15616" t="s">
        <v>36071</v>
      </c>
      <c r="N15616" t="s">
        <v>36072</v>
      </c>
      <c r="P15616" t="s">
        <v>36200</v>
      </c>
      <c r="R15616" s="26" t="str">
        <f t="shared" si="78"/>
        <v>Mastadenovirus dominans</v>
      </c>
      <c r="S15616" t="s">
        <v>8141</v>
      </c>
      <c r="T15616" t="s">
        <v>36411</v>
      </c>
      <c r="U15616" t="s">
        <v>36412</v>
      </c>
      <c r="W15616" t="s">
        <v>50308</v>
      </c>
      <c r="X15616" t="s">
        <v>42</v>
      </c>
      <c r="Y15616" t="s">
        <v>36</v>
      </c>
      <c r="Z15616" t="s">
        <v>166</v>
      </c>
      <c r="AA15616" s="22" t="str">
        <f>HYPERLINK("https://www.ncbi.nlm.nih.gov/nuccore/GQ384080","NCBI Nucleotide")</f>
        <v>NCBI Nucleotide</v>
      </c>
    </row>
    <row r="15617" spans="1:27" x14ac:dyDescent="0.35">
      <c r="A15617">
        <v>1012112</v>
      </c>
      <c r="B15617">
        <v>13990</v>
      </c>
      <c r="C15617">
        <v>21</v>
      </c>
      <c r="D15617" t="s">
        <v>35352</v>
      </c>
      <c r="F15617" t="s">
        <v>35353</v>
      </c>
      <c r="H15617" t="s">
        <v>35957</v>
      </c>
      <c r="J15617" t="s">
        <v>35988</v>
      </c>
      <c r="L15617" t="s">
        <v>36071</v>
      </c>
      <c r="N15617" t="s">
        <v>36072</v>
      </c>
      <c r="P15617" t="s">
        <v>36200</v>
      </c>
      <c r="R15617" s="26" t="str">
        <f t="shared" si="78"/>
        <v>Mastadenovirus dominans</v>
      </c>
      <c r="S15617" t="s">
        <v>8141</v>
      </c>
      <c r="T15617" t="s">
        <v>36413</v>
      </c>
      <c r="U15617" t="s">
        <v>36414</v>
      </c>
      <c r="V15617" t="s">
        <v>36415</v>
      </c>
      <c r="W15617" t="s">
        <v>50309</v>
      </c>
      <c r="X15617" t="s">
        <v>42</v>
      </c>
      <c r="Y15617" t="s">
        <v>36</v>
      </c>
      <c r="Z15617" t="s">
        <v>166</v>
      </c>
      <c r="AA15617" s="22" t="str">
        <f>HYPERLINK("https://www.ncbi.nlm.nih.gov/nuccore/DQ900900","NCBI Nucleotide")</f>
        <v>NCBI Nucleotide</v>
      </c>
    </row>
    <row r="15618" spans="1:27" x14ac:dyDescent="0.35">
      <c r="A15618">
        <v>1012113</v>
      </c>
      <c r="B15618">
        <v>13990</v>
      </c>
      <c r="C15618">
        <v>22</v>
      </c>
      <c r="D15618" t="s">
        <v>35352</v>
      </c>
      <c r="F15618" t="s">
        <v>35353</v>
      </c>
      <c r="H15618" t="s">
        <v>35957</v>
      </c>
      <c r="J15618" t="s">
        <v>35988</v>
      </c>
      <c r="L15618" t="s">
        <v>36071</v>
      </c>
      <c r="N15618" t="s">
        <v>36072</v>
      </c>
      <c r="P15618" t="s">
        <v>36200</v>
      </c>
      <c r="R15618" s="26" t="str">
        <f t="shared" si="78"/>
        <v>Mastadenovirus dominans</v>
      </c>
      <c r="S15618" t="s">
        <v>8141</v>
      </c>
      <c r="T15618" t="s">
        <v>36416</v>
      </c>
      <c r="U15618" t="s">
        <v>36417</v>
      </c>
      <c r="W15618" t="s">
        <v>50310</v>
      </c>
      <c r="X15618" t="s">
        <v>42</v>
      </c>
      <c r="Y15618" t="s">
        <v>36</v>
      </c>
      <c r="Z15618" t="s">
        <v>166</v>
      </c>
      <c r="AA15618" s="22" t="str">
        <f>HYPERLINK("https://www.ncbi.nlm.nih.gov/nuccore/JN226759","NCBI Nucleotide")</f>
        <v>NCBI Nucleotide</v>
      </c>
    </row>
    <row r="15619" spans="1:27" x14ac:dyDescent="0.35">
      <c r="A15619">
        <v>1012114</v>
      </c>
      <c r="B15619">
        <v>13990</v>
      </c>
      <c r="C15619">
        <v>23</v>
      </c>
      <c r="D15619" t="s">
        <v>35352</v>
      </c>
      <c r="F15619" t="s">
        <v>35353</v>
      </c>
      <c r="H15619" t="s">
        <v>35957</v>
      </c>
      <c r="J15619" t="s">
        <v>35988</v>
      </c>
      <c r="L15619" t="s">
        <v>36071</v>
      </c>
      <c r="N15619" t="s">
        <v>36072</v>
      </c>
      <c r="P15619" t="s">
        <v>36200</v>
      </c>
      <c r="R15619" s="26" t="str">
        <f t="shared" si="78"/>
        <v>Mastadenovirus dominans</v>
      </c>
      <c r="S15619" t="s">
        <v>8141</v>
      </c>
      <c r="T15619" t="s">
        <v>36418</v>
      </c>
      <c r="U15619" t="s">
        <v>36419</v>
      </c>
      <c r="W15619" t="s">
        <v>50311</v>
      </c>
      <c r="X15619" t="s">
        <v>42</v>
      </c>
      <c r="Y15619" t="s">
        <v>36</v>
      </c>
      <c r="Z15619" t="s">
        <v>166</v>
      </c>
      <c r="AA15619" s="22" t="str">
        <f>HYPERLINK("https://www.ncbi.nlm.nih.gov/nuccore/JN226760","NCBI Nucleotide")</f>
        <v>NCBI Nucleotide</v>
      </c>
    </row>
    <row r="15620" spans="1:27" x14ac:dyDescent="0.35">
      <c r="A15620">
        <v>1012115</v>
      </c>
      <c r="B15620">
        <v>13990</v>
      </c>
      <c r="C15620">
        <v>24</v>
      </c>
      <c r="D15620" t="s">
        <v>35352</v>
      </c>
      <c r="F15620" t="s">
        <v>35353</v>
      </c>
      <c r="H15620" t="s">
        <v>35957</v>
      </c>
      <c r="J15620" t="s">
        <v>35988</v>
      </c>
      <c r="L15620" t="s">
        <v>36071</v>
      </c>
      <c r="N15620" t="s">
        <v>36072</v>
      </c>
      <c r="P15620" t="s">
        <v>36200</v>
      </c>
      <c r="R15620" s="26" t="str">
        <f t="shared" si="78"/>
        <v>Mastadenovirus dominans</v>
      </c>
      <c r="S15620" t="s">
        <v>8141</v>
      </c>
      <c r="T15620" t="s">
        <v>36420</v>
      </c>
      <c r="U15620" t="s">
        <v>36421</v>
      </c>
      <c r="W15620" t="s">
        <v>50312</v>
      </c>
      <c r="X15620" t="s">
        <v>42</v>
      </c>
      <c r="Y15620" t="s">
        <v>36</v>
      </c>
      <c r="Z15620" t="s">
        <v>166</v>
      </c>
      <c r="AA15620" s="22" t="str">
        <f>HYPERLINK("https://www.ncbi.nlm.nih.gov/nuccore/JN226761","NCBI Nucleotide")</f>
        <v>NCBI Nucleotide</v>
      </c>
    </row>
    <row r="15621" spans="1:27" x14ac:dyDescent="0.35">
      <c r="A15621">
        <v>1012116</v>
      </c>
      <c r="B15621">
        <v>13990</v>
      </c>
      <c r="C15621">
        <v>25</v>
      </c>
      <c r="D15621" t="s">
        <v>35352</v>
      </c>
      <c r="F15621" t="s">
        <v>35353</v>
      </c>
      <c r="H15621" t="s">
        <v>35957</v>
      </c>
      <c r="J15621" t="s">
        <v>35988</v>
      </c>
      <c r="L15621" t="s">
        <v>36071</v>
      </c>
      <c r="N15621" t="s">
        <v>36072</v>
      </c>
      <c r="P15621" t="s">
        <v>36200</v>
      </c>
      <c r="R15621" s="26" t="str">
        <f t="shared" si="78"/>
        <v>Mastadenovirus dominans</v>
      </c>
      <c r="S15621" t="s">
        <v>8141</v>
      </c>
      <c r="T15621" t="s">
        <v>36422</v>
      </c>
      <c r="U15621" t="s">
        <v>36423</v>
      </c>
      <c r="W15621" t="s">
        <v>50313</v>
      </c>
      <c r="X15621" t="s">
        <v>42</v>
      </c>
      <c r="Y15621" t="s">
        <v>36</v>
      </c>
      <c r="Z15621" t="s">
        <v>166</v>
      </c>
      <c r="AA15621" s="22" t="str">
        <f>HYPERLINK("https://www.ncbi.nlm.nih.gov/nuccore/JN226762","NCBI Nucleotide")</f>
        <v>NCBI Nucleotide</v>
      </c>
    </row>
    <row r="15622" spans="1:27" x14ac:dyDescent="0.35">
      <c r="A15622">
        <v>1012117</v>
      </c>
      <c r="B15622">
        <v>13990</v>
      </c>
      <c r="C15622">
        <v>26</v>
      </c>
      <c r="D15622" t="s">
        <v>35352</v>
      </c>
      <c r="F15622" t="s">
        <v>35353</v>
      </c>
      <c r="H15622" t="s">
        <v>35957</v>
      </c>
      <c r="J15622" t="s">
        <v>35988</v>
      </c>
      <c r="L15622" t="s">
        <v>36071</v>
      </c>
      <c r="N15622" t="s">
        <v>36072</v>
      </c>
      <c r="P15622" t="s">
        <v>36200</v>
      </c>
      <c r="R15622" s="26" t="str">
        <f t="shared" si="78"/>
        <v>Mastadenovirus dominans</v>
      </c>
      <c r="S15622" t="s">
        <v>8141</v>
      </c>
      <c r="T15622" t="s">
        <v>36424</v>
      </c>
      <c r="U15622" t="s">
        <v>36425</v>
      </c>
      <c r="W15622" t="s">
        <v>50314</v>
      </c>
      <c r="X15622" t="s">
        <v>42</v>
      </c>
      <c r="Y15622" t="s">
        <v>36</v>
      </c>
      <c r="Z15622" t="s">
        <v>166</v>
      </c>
      <c r="AA15622" s="22" t="str">
        <f>HYPERLINK("https://www.ncbi.nlm.nih.gov/nuccore/JN226763","NCBI Nucleotide")</f>
        <v>NCBI Nucleotide</v>
      </c>
    </row>
    <row r="15623" spans="1:27" x14ac:dyDescent="0.35">
      <c r="A15623">
        <v>1012118</v>
      </c>
      <c r="B15623">
        <v>13990</v>
      </c>
      <c r="C15623">
        <v>27</v>
      </c>
      <c r="D15623" t="s">
        <v>35352</v>
      </c>
      <c r="F15623" t="s">
        <v>35353</v>
      </c>
      <c r="H15623" t="s">
        <v>35957</v>
      </c>
      <c r="J15623" t="s">
        <v>35988</v>
      </c>
      <c r="L15623" t="s">
        <v>36071</v>
      </c>
      <c r="N15623" t="s">
        <v>36072</v>
      </c>
      <c r="P15623" t="s">
        <v>36200</v>
      </c>
      <c r="R15623" s="26" t="str">
        <f t="shared" si="78"/>
        <v>Mastadenovirus dominans</v>
      </c>
      <c r="S15623" t="s">
        <v>8141</v>
      </c>
      <c r="T15623" t="s">
        <v>36426</v>
      </c>
      <c r="U15623" t="s">
        <v>36427</v>
      </c>
      <c r="W15623" t="s">
        <v>50315</v>
      </c>
      <c r="X15623" t="s">
        <v>42</v>
      </c>
      <c r="Y15623" t="s">
        <v>36</v>
      </c>
      <c r="Z15623" t="s">
        <v>166</v>
      </c>
      <c r="AA15623" s="22" t="str">
        <f>HYPERLINK("https://www.ncbi.nlm.nih.gov/nuccore/JN226764","NCBI Nucleotide")</f>
        <v>NCBI Nucleotide</v>
      </c>
    </row>
    <row r="15624" spans="1:27" x14ac:dyDescent="0.35">
      <c r="A15624">
        <v>1012119</v>
      </c>
      <c r="B15624">
        <v>13990</v>
      </c>
      <c r="C15624">
        <v>28</v>
      </c>
      <c r="D15624" t="s">
        <v>35352</v>
      </c>
      <c r="F15624" t="s">
        <v>35353</v>
      </c>
      <c r="H15624" t="s">
        <v>35957</v>
      </c>
      <c r="J15624" t="s">
        <v>35988</v>
      </c>
      <c r="L15624" t="s">
        <v>36071</v>
      </c>
      <c r="N15624" t="s">
        <v>36072</v>
      </c>
      <c r="P15624" t="s">
        <v>36200</v>
      </c>
      <c r="R15624" s="26" t="str">
        <f t="shared" si="78"/>
        <v>Mastadenovirus dominans</v>
      </c>
      <c r="S15624" t="s">
        <v>8141</v>
      </c>
      <c r="T15624" t="s">
        <v>36428</v>
      </c>
      <c r="U15624" t="s">
        <v>36429</v>
      </c>
      <c r="W15624" t="s">
        <v>50316</v>
      </c>
      <c r="X15624" t="s">
        <v>42</v>
      </c>
      <c r="Y15624" t="s">
        <v>36</v>
      </c>
      <c r="Z15624" t="s">
        <v>166</v>
      </c>
      <c r="AA15624" s="22" t="str">
        <f>HYPERLINK("https://www.ncbi.nlm.nih.gov/nuccore/AY875648","NCBI Nucleotide")</f>
        <v>NCBI Nucleotide</v>
      </c>
    </row>
    <row r="15625" spans="1:27" x14ac:dyDescent="0.35">
      <c r="A15625">
        <v>1012120</v>
      </c>
      <c r="B15625">
        <v>13990</v>
      </c>
      <c r="C15625">
        <v>29</v>
      </c>
      <c r="D15625" t="s">
        <v>35352</v>
      </c>
      <c r="F15625" t="s">
        <v>35353</v>
      </c>
      <c r="H15625" t="s">
        <v>35957</v>
      </c>
      <c r="J15625" t="s">
        <v>35988</v>
      </c>
      <c r="L15625" t="s">
        <v>36071</v>
      </c>
      <c r="N15625" t="s">
        <v>36072</v>
      </c>
      <c r="P15625" t="s">
        <v>36200</v>
      </c>
      <c r="R15625" s="26" t="str">
        <f t="shared" si="78"/>
        <v>Mastadenovirus dominans</v>
      </c>
      <c r="S15625" t="s">
        <v>8141</v>
      </c>
      <c r="T15625" t="s">
        <v>36430</v>
      </c>
      <c r="U15625" t="s">
        <v>36431</v>
      </c>
      <c r="W15625" t="s">
        <v>50317</v>
      </c>
      <c r="X15625" t="s">
        <v>42</v>
      </c>
      <c r="Y15625" t="s">
        <v>36</v>
      </c>
      <c r="Z15625" t="s">
        <v>166</v>
      </c>
      <c r="AA15625" s="22" t="str">
        <f>HYPERLINK("https://www.ncbi.nlm.nih.gov/nuccore/JN226757","NCBI Nucleotide")</f>
        <v>NCBI Nucleotide</v>
      </c>
    </row>
    <row r="15626" spans="1:27" x14ac:dyDescent="0.35">
      <c r="A15626">
        <v>1012121</v>
      </c>
      <c r="B15626">
        <v>13990</v>
      </c>
      <c r="C15626">
        <v>30</v>
      </c>
      <c r="D15626" t="s">
        <v>35352</v>
      </c>
      <c r="F15626" t="s">
        <v>35353</v>
      </c>
      <c r="H15626" t="s">
        <v>35957</v>
      </c>
      <c r="J15626" t="s">
        <v>35988</v>
      </c>
      <c r="L15626" t="s">
        <v>36071</v>
      </c>
      <c r="N15626" t="s">
        <v>36072</v>
      </c>
      <c r="P15626" t="s">
        <v>36200</v>
      </c>
      <c r="R15626" s="26" t="str">
        <f t="shared" si="78"/>
        <v>Mastadenovirus dominans</v>
      </c>
      <c r="S15626" t="s">
        <v>8141</v>
      </c>
      <c r="T15626" t="s">
        <v>36432</v>
      </c>
      <c r="U15626" t="s">
        <v>36433</v>
      </c>
      <c r="W15626" t="s">
        <v>50318</v>
      </c>
      <c r="X15626" t="s">
        <v>42</v>
      </c>
      <c r="Y15626" t="s">
        <v>36</v>
      </c>
      <c r="Z15626" t="s">
        <v>166</v>
      </c>
      <c r="AA15626" s="22" t="str">
        <f>HYPERLINK("https://www.ncbi.nlm.nih.gov/nuccore/EF153473","NCBI Nucleotide")</f>
        <v>NCBI Nucleotide</v>
      </c>
    </row>
    <row r="15627" spans="1:27" x14ac:dyDescent="0.35">
      <c r="A15627">
        <v>1012122</v>
      </c>
      <c r="B15627">
        <v>13990</v>
      </c>
      <c r="C15627">
        <v>31</v>
      </c>
      <c r="D15627" t="s">
        <v>35352</v>
      </c>
      <c r="F15627" t="s">
        <v>35353</v>
      </c>
      <c r="H15627" t="s">
        <v>35957</v>
      </c>
      <c r="J15627" t="s">
        <v>35988</v>
      </c>
      <c r="L15627" t="s">
        <v>36071</v>
      </c>
      <c r="N15627" t="s">
        <v>36072</v>
      </c>
      <c r="P15627" t="s">
        <v>36200</v>
      </c>
      <c r="R15627" s="26" t="str">
        <f t="shared" si="78"/>
        <v>Mastadenovirus dominans</v>
      </c>
      <c r="S15627" t="s">
        <v>8141</v>
      </c>
      <c r="T15627" t="s">
        <v>36434</v>
      </c>
      <c r="U15627" t="s">
        <v>36435</v>
      </c>
      <c r="W15627" t="s">
        <v>50319</v>
      </c>
      <c r="X15627" t="s">
        <v>42</v>
      </c>
      <c r="Y15627" t="s">
        <v>36</v>
      </c>
      <c r="Z15627" t="s">
        <v>166</v>
      </c>
      <c r="AA15627" s="22" t="str">
        <f>HYPERLINK("https://www.ncbi.nlm.nih.gov/nuccore/DQ393829","NCBI Nucleotide")</f>
        <v>NCBI Nucleotide</v>
      </c>
    </row>
    <row r="15628" spans="1:27" x14ac:dyDescent="0.35">
      <c r="A15628">
        <v>1012123</v>
      </c>
      <c r="B15628">
        <v>13990</v>
      </c>
      <c r="C15628">
        <v>32</v>
      </c>
      <c r="D15628" t="s">
        <v>35352</v>
      </c>
      <c r="F15628" t="s">
        <v>35353</v>
      </c>
      <c r="H15628" t="s">
        <v>35957</v>
      </c>
      <c r="J15628" t="s">
        <v>35988</v>
      </c>
      <c r="L15628" t="s">
        <v>36071</v>
      </c>
      <c r="N15628" t="s">
        <v>36072</v>
      </c>
      <c r="P15628" t="s">
        <v>36200</v>
      </c>
      <c r="R15628" s="26" t="str">
        <f t="shared" si="78"/>
        <v>Mastadenovirus dominans</v>
      </c>
      <c r="S15628" t="s">
        <v>8141</v>
      </c>
      <c r="T15628" t="s">
        <v>36436</v>
      </c>
      <c r="U15628" t="s">
        <v>36437</v>
      </c>
      <c r="W15628" t="s">
        <v>50320</v>
      </c>
      <c r="X15628" t="s">
        <v>42</v>
      </c>
      <c r="Y15628" t="s">
        <v>36</v>
      </c>
      <c r="Z15628" t="s">
        <v>166</v>
      </c>
      <c r="AA15628" s="22" t="str">
        <f>HYPERLINK("https://www.ncbi.nlm.nih.gov/nuccore/JN226765","NCBI Nucleotide")</f>
        <v>NCBI Nucleotide</v>
      </c>
    </row>
    <row r="15629" spans="1:27" x14ac:dyDescent="0.35">
      <c r="A15629">
        <v>1012124</v>
      </c>
      <c r="B15629">
        <v>13990</v>
      </c>
      <c r="C15629">
        <v>33</v>
      </c>
      <c r="D15629" t="s">
        <v>35352</v>
      </c>
      <c r="F15629" t="s">
        <v>35353</v>
      </c>
      <c r="H15629" t="s">
        <v>35957</v>
      </c>
      <c r="J15629" t="s">
        <v>35988</v>
      </c>
      <c r="L15629" t="s">
        <v>36071</v>
      </c>
      <c r="N15629" t="s">
        <v>36072</v>
      </c>
      <c r="P15629" t="s">
        <v>36200</v>
      </c>
      <c r="R15629" s="26" t="str">
        <f t="shared" si="78"/>
        <v>Mastadenovirus dominans</v>
      </c>
      <c r="S15629" t="s">
        <v>8141</v>
      </c>
      <c r="T15629" t="s">
        <v>36438</v>
      </c>
      <c r="U15629" t="s">
        <v>36439</v>
      </c>
      <c r="W15629" t="s">
        <v>50321</v>
      </c>
      <c r="X15629" t="s">
        <v>42</v>
      </c>
      <c r="Y15629" t="s">
        <v>36</v>
      </c>
      <c r="Z15629" t="s">
        <v>166</v>
      </c>
      <c r="AA15629" s="22" t="str">
        <f>HYPERLINK("https://www.ncbi.nlm.nih.gov/nuccore/FJ169625","NCBI Nucleotide")</f>
        <v>NCBI Nucleotide</v>
      </c>
    </row>
    <row r="15630" spans="1:27" x14ac:dyDescent="0.35">
      <c r="A15630">
        <v>1012125</v>
      </c>
      <c r="B15630">
        <v>13990</v>
      </c>
      <c r="C15630">
        <v>34</v>
      </c>
      <c r="D15630" t="s">
        <v>35352</v>
      </c>
      <c r="F15630" t="s">
        <v>35353</v>
      </c>
      <c r="H15630" t="s">
        <v>35957</v>
      </c>
      <c r="J15630" t="s">
        <v>35988</v>
      </c>
      <c r="L15630" t="s">
        <v>36071</v>
      </c>
      <c r="N15630" t="s">
        <v>36072</v>
      </c>
      <c r="P15630" t="s">
        <v>36200</v>
      </c>
      <c r="R15630" s="26" t="str">
        <f t="shared" si="78"/>
        <v>Mastadenovirus dominans</v>
      </c>
      <c r="S15630" t="s">
        <v>8141</v>
      </c>
      <c r="T15630" t="s">
        <v>36440</v>
      </c>
      <c r="U15630" t="s">
        <v>36441</v>
      </c>
      <c r="V15630" t="s">
        <v>36442</v>
      </c>
      <c r="W15630" t="s">
        <v>50322</v>
      </c>
      <c r="X15630" t="s">
        <v>42</v>
      </c>
      <c r="Y15630" t="s">
        <v>36</v>
      </c>
      <c r="Z15630" t="s">
        <v>166</v>
      </c>
      <c r="AA15630" s="22" t="str">
        <f>HYPERLINK("https://www.ncbi.nlm.nih.gov/nuccore/AB333801","NCBI Nucleotide")</f>
        <v>NCBI Nucleotide</v>
      </c>
    </row>
    <row r="15631" spans="1:27" x14ac:dyDescent="0.35">
      <c r="A15631">
        <v>1012126</v>
      </c>
      <c r="B15631">
        <v>13990</v>
      </c>
      <c r="C15631">
        <v>35</v>
      </c>
      <c r="D15631" t="s">
        <v>35352</v>
      </c>
      <c r="F15631" t="s">
        <v>35353</v>
      </c>
      <c r="H15631" t="s">
        <v>35957</v>
      </c>
      <c r="J15631" t="s">
        <v>35988</v>
      </c>
      <c r="L15631" t="s">
        <v>36071</v>
      </c>
      <c r="N15631" t="s">
        <v>36072</v>
      </c>
      <c r="P15631" t="s">
        <v>36200</v>
      </c>
      <c r="R15631" s="26" t="str">
        <f t="shared" si="78"/>
        <v>Mastadenovirus dominans</v>
      </c>
      <c r="S15631" t="s">
        <v>8141</v>
      </c>
      <c r="T15631" t="s">
        <v>36443</v>
      </c>
      <c r="U15631" t="s">
        <v>36444</v>
      </c>
      <c r="W15631" t="s">
        <v>50323</v>
      </c>
      <c r="X15631" t="s">
        <v>42</v>
      </c>
      <c r="Y15631" t="s">
        <v>36</v>
      </c>
      <c r="Z15631" t="s">
        <v>166</v>
      </c>
      <c r="AA15631" s="22" t="str">
        <f>HYPERLINK("https://www.ncbi.nlm.nih.gov/nuccore/HM770721","NCBI Nucleotide")</f>
        <v>NCBI Nucleotide</v>
      </c>
    </row>
    <row r="15632" spans="1:27" x14ac:dyDescent="0.35">
      <c r="A15632">
        <v>1004761</v>
      </c>
      <c r="B15632">
        <v>13991</v>
      </c>
      <c r="C15632">
        <v>1</v>
      </c>
      <c r="D15632" t="s">
        <v>35352</v>
      </c>
      <c r="F15632" t="s">
        <v>35353</v>
      </c>
      <c r="H15632" t="s">
        <v>35957</v>
      </c>
      <c r="J15632" t="s">
        <v>35988</v>
      </c>
      <c r="L15632" t="s">
        <v>36071</v>
      </c>
      <c r="N15632" t="s">
        <v>36072</v>
      </c>
      <c r="P15632" t="s">
        <v>36200</v>
      </c>
      <c r="R15632" s="26" t="str">
        <f>HYPERLINK("https://ictv.global/taxonomy/taxondetails?taxnode_id=202307193","Mastadenovirus eidoli")</f>
        <v>Mastadenovirus eidoli</v>
      </c>
      <c r="S15632" t="s">
        <v>30</v>
      </c>
      <c r="T15632" t="s">
        <v>36235</v>
      </c>
      <c r="V15632" t="s">
        <v>36236</v>
      </c>
      <c r="W15632" t="s">
        <v>36237</v>
      </c>
      <c r="X15632" t="s">
        <v>42</v>
      </c>
      <c r="Y15632" t="s">
        <v>36</v>
      </c>
      <c r="Z15632" t="s">
        <v>166</v>
      </c>
      <c r="AA15632" s="22" t="str">
        <f>HYPERLINK("https://www.ncbi.nlm.nih.gov/nuccore/AP018374","NCBI Nucleotide")</f>
        <v>NCBI Nucleotide</v>
      </c>
    </row>
    <row r="15633" spans="1:27" x14ac:dyDescent="0.35">
      <c r="A15633">
        <v>1004781</v>
      </c>
      <c r="B15633">
        <v>13992</v>
      </c>
      <c r="C15633">
        <v>1</v>
      </c>
      <c r="D15633" t="s">
        <v>35352</v>
      </c>
      <c r="F15633" t="s">
        <v>35353</v>
      </c>
      <c r="H15633" t="s">
        <v>35957</v>
      </c>
      <c r="J15633" t="s">
        <v>35988</v>
      </c>
      <c r="L15633" t="s">
        <v>36071</v>
      </c>
      <c r="N15633" t="s">
        <v>36072</v>
      </c>
      <c r="P15633" t="s">
        <v>36200</v>
      </c>
      <c r="R15633" s="26" t="str">
        <f>HYPERLINK("https://ictv.global/taxonomy/taxondetails?taxnode_id=202302429","Mastadenovirus encephalomyelitidis")</f>
        <v>Mastadenovirus encephalomyelitidis</v>
      </c>
      <c r="S15633" t="s">
        <v>30</v>
      </c>
      <c r="T15633" t="s">
        <v>36515</v>
      </c>
      <c r="U15633" t="s">
        <v>36516</v>
      </c>
      <c r="W15633" t="s">
        <v>50932</v>
      </c>
      <c r="X15633" t="s">
        <v>42</v>
      </c>
      <c r="Y15633" t="s">
        <v>36</v>
      </c>
      <c r="Z15633" t="s">
        <v>166</v>
      </c>
      <c r="AA15633" s="22" t="str">
        <f>HYPERLINK("https://www.ncbi.nlm.nih.gov/nuccore/AC_000012","NCBI Nucleotide")</f>
        <v>NCBI Nucleotide</v>
      </c>
    </row>
    <row r="15634" spans="1:27" x14ac:dyDescent="0.35">
      <c r="A15634">
        <v>1004771</v>
      </c>
      <c r="B15634">
        <v>13993</v>
      </c>
      <c r="C15634">
        <v>1</v>
      </c>
      <c r="D15634" t="s">
        <v>35352</v>
      </c>
      <c r="F15634" t="s">
        <v>35353</v>
      </c>
      <c r="H15634" t="s">
        <v>35957</v>
      </c>
      <c r="J15634" t="s">
        <v>35988</v>
      </c>
      <c r="L15634" t="s">
        <v>36071</v>
      </c>
      <c r="N15634" t="s">
        <v>36072</v>
      </c>
      <c r="P15634" t="s">
        <v>36200</v>
      </c>
      <c r="R15634" s="26" t="str">
        <f>HYPERLINK("https://ictv.global/taxonomy/taxondetails?taxnode_id=202302420","Mastadenovirus equi")</f>
        <v>Mastadenovirus equi</v>
      </c>
      <c r="S15634" t="s">
        <v>30</v>
      </c>
      <c r="T15634" t="s">
        <v>36268</v>
      </c>
      <c r="U15634" t="s">
        <v>36269</v>
      </c>
      <c r="V15634" t="s">
        <v>18398</v>
      </c>
      <c r="W15634" t="s">
        <v>36270</v>
      </c>
      <c r="X15634" t="s">
        <v>42</v>
      </c>
      <c r="Y15634" t="s">
        <v>36</v>
      </c>
      <c r="Z15634" t="s">
        <v>166</v>
      </c>
      <c r="AA15634" s="22" t="str">
        <f>HYPERLINK("https://www.ncbi.nlm.nih.gov/nuccore/JN418926","NCBI Nucleotide")</f>
        <v>NCBI Nucleotide</v>
      </c>
    </row>
    <row r="15635" spans="1:27" x14ac:dyDescent="0.35">
      <c r="A15635">
        <v>1004772</v>
      </c>
      <c r="B15635">
        <v>13994</v>
      </c>
      <c r="C15635">
        <v>1</v>
      </c>
      <c r="D15635" t="s">
        <v>35352</v>
      </c>
      <c r="F15635" t="s">
        <v>35353</v>
      </c>
      <c r="H15635" t="s">
        <v>35957</v>
      </c>
      <c r="J15635" t="s">
        <v>35988</v>
      </c>
      <c r="L15635" t="s">
        <v>36071</v>
      </c>
      <c r="N15635" t="s">
        <v>36072</v>
      </c>
      <c r="P15635" t="s">
        <v>36200</v>
      </c>
      <c r="R15635" s="26" t="str">
        <f>HYPERLINK("https://ictv.global/taxonomy/taxondetails?taxnode_id=202302421","Mastadenovirus equidae")</f>
        <v>Mastadenovirus equidae</v>
      </c>
      <c r="S15635" t="s">
        <v>30</v>
      </c>
      <c r="T15635" t="s">
        <v>36271</v>
      </c>
      <c r="U15635" t="s">
        <v>36272</v>
      </c>
      <c r="V15635" t="s">
        <v>36273</v>
      </c>
      <c r="W15635" t="s">
        <v>36274</v>
      </c>
      <c r="X15635" t="s">
        <v>42</v>
      </c>
      <c r="Y15635" t="s">
        <v>36</v>
      </c>
      <c r="Z15635" t="s">
        <v>166</v>
      </c>
      <c r="AA15635" s="22" t="str">
        <f>HYPERLINK("https://www.ncbi.nlm.nih.gov/nuccore/KT160425","NCBI Nucleotide")</f>
        <v>NCBI Nucleotide</v>
      </c>
    </row>
    <row r="15636" spans="1:27" x14ac:dyDescent="0.35">
      <c r="A15636">
        <v>1004778</v>
      </c>
      <c r="B15636">
        <v>13995</v>
      </c>
      <c r="C15636">
        <v>1</v>
      </c>
      <c r="D15636" t="s">
        <v>35352</v>
      </c>
      <c r="F15636" t="s">
        <v>35353</v>
      </c>
      <c r="H15636" t="s">
        <v>35957</v>
      </c>
      <c r="J15636" t="s">
        <v>35988</v>
      </c>
      <c r="L15636" t="s">
        <v>36071</v>
      </c>
      <c r="N15636" t="s">
        <v>36072</v>
      </c>
      <c r="P15636" t="s">
        <v>36200</v>
      </c>
      <c r="R15636" s="26" t="str">
        <f t="shared" ref="R15636:R15648" si="79">HYPERLINK("https://ictv.global/taxonomy/taxondetails?taxnode_id=202302426","Mastadenovirus exoticum")</f>
        <v>Mastadenovirus exoticum</v>
      </c>
      <c r="S15636" t="s">
        <v>30</v>
      </c>
      <c r="T15636" t="s">
        <v>36445</v>
      </c>
      <c r="U15636" t="s">
        <v>36446</v>
      </c>
      <c r="V15636" t="s">
        <v>36447</v>
      </c>
      <c r="W15636" t="s">
        <v>36448</v>
      </c>
      <c r="X15636" t="s">
        <v>42</v>
      </c>
      <c r="Y15636" t="s">
        <v>36</v>
      </c>
      <c r="Z15636" t="s">
        <v>166</v>
      </c>
      <c r="AA15636" s="22" t="str">
        <f>HYPERLINK("https://www.ncbi.nlm.nih.gov/nuccore/AY487947","NCBI Nucleotide")</f>
        <v>NCBI Nucleotide</v>
      </c>
    </row>
    <row r="15637" spans="1:27" x14ac:dyDescent="0.35">
      <c r="A15637">
        <v>1012137</v>
      </c>
      <c r="B15637">
        <v>13995</v>
      </c>
      <c r="C15637">
        <v>2</v>
      </c>
      <c r="D15637" t="s">
        <v>35352</v>
      </c>
      <c r="F15637" t="s">
        <v>35353</v>
      </c>
      <c r="H15637" t="s">
        <v>35957</v>
      </c>
      <c r="J15637" t="s">
        <v>35988</v>
      </c>
      <c r="L15637" t="s">
        <v>36071</v>
      </c>
      <c r="N15637" t="s">
        <v>36072</v>
      </c>
      <c r="P15637" t="s">
        <v>36200</v>
      </c>
      <c r="R15637" s="26" t="str">
        <f t="shared" si="79"/>
        <v>Mastadenovirus exoticum</v>
      </c>
      <c r="S15637" t="s">
        <v>8141</v>
      </c>
      <c r="T15637" t="s">
        <v>36472</v>
      </c>
      <c r="U15637" t="s">
        <v>36473</v>
      </c>
      <c r="V15637" t="s">
        <v>36474</v>
      </c>
      <c r="W15637" t="s">
        <v>50324</v>
      </c>
      <c r="X15637" t="s">
        <v>42</v>
      </c>
      <c r="Y15637" t="s">
        <v>36</v>
      </c>
      <c r="Z15637" t="s">
        <v>166</v>
      </c>
      <c r="AA15637" s="22" t="str">
        <f>HYPERLINK("https://www.ncbi.nlm.nih.gov/nuccore/CS138464","NCBI Nucleotide")</f>
        <v>NCBI Nucleotide</v>
      </c>
    </row>
    <row r="15638" spans="1:27" x14ac:dyDescent="0.35">
      <c r="A15638">
        <v>1012138</v>
      </c>
      <c r="B15638">
        <v>13995</v>
      </c>
      <c r="C15638">
        <v>3</v>
      </c>
      <c r="D15638" t="s">
        <v>35352</v>
      </c>
      <c r="F15638" t="s">
        <v>35353</v>
      </c>
      <c r="H15638" t="s">
        <v>35957</v>
      </c>
      <c r="J15638" t="s">
        <v>35988</v>
      </c>
      <c r="L15638" t="s">
        <v>36071</v>
      </c>
      <c r="N15638" t="s">
        <v>36072</v>
      </c>
      <c r="P15638" t="s">
        <v>36200</v>
      </c>
      <c r="R15638" s="26" t="str">
        <f t="shared" si="79"/>
        <v>Mastadenovirus exoticum</v>
      </c>
      <c r="S15638" t="s">
        <v>8141</v>
      </c>
      <c r="T15638" t="s">
        <v>36475</v>
      </c>
      <c r="U15638" t="s">
        <v>36476</v>
      </c>
      <c r="V15638" t="s">
        <v>36477</v>
      </c>
      <c r="W15638" t="s">
        <v>50325</v>
      </c>
      <c r="X15638" t="s">
        <v>42</v>
      </c>
      <c r="Y15638" t="s">
        <v>36</v>
      </c>
      <c r="Z15638" t="s">
        <v>166</v>
      </c>
      <c r="AA15638" s="22" t="str">
        <f>HYPERLINK("https://www.ncbi.nlm.nih.gov/nuccore/JN254802","NCBI Nucleotide")</f>
        <v>NCBI Nucleotide</v>
      </c>
    </row>
    <row r="15639" spans="1:27" x14ac:dyDescent="0.35">
      <c r="A15639">
        <v>1012127</v>
      </c>
      <c r="B15639">
        <v>13995</v>
      </c>
      <c r="C15639">
        <v>4</v>
      </c>
      <c r="D15639" t="s">
        <v>35352</v>
      </c>
      <c r="F15639" t="s">
        <v>35353</v>
      </c>
      <c r="H15639" t="s">
        <v>35957</v>
      </c>
      <c r="J15639" t="s">
        <v>35988</v>
      </c>
      <c r="L15639" t="s">
        <v>36071</v>
      </c>
      <c r="N15639" t="s">
        <v>36072</v>
      </c>
      <c r="P15639" t="s">
        <v>36200</v>
      </c>
      <c r="R15639" s="26" t="str">
        <f t="shared" si="79"/>
        <v>Mastadenovirus exoticum</v>
      </c>
      <c r="S15639" t="s">
        <v>8141</v>
      </c>
      <c r="T15639" t="s">
        <v>36449</v>
      </c>
      <c r="U15639" t="s">
        <v>36450</v>
      </c>
      <c r="V15639" t="s">
        <v>36451</v>
      </c>
      <c r="W15639" t="s">
        <v>50326</v>
      </c>
      <c r="X15639" t="s">
        <v>42</v>
      </c>
      <c r="Y15639" t="s">
        <v>36</v>
      </c>
      <c r="Z15639" t="s">
        <v>166</v>
      </c>
      <c r="AA15639" s="22" t="str">
        <f>HYPERLINK("https://www.ncbi.nlm.nih.gov/nuccore/AY530876","NCBI Nucleotide")</f>
        <v>NCBI Nucleotide</v>
      </c>
    </row>
    <row r="15640" spans="1:27" x14ac:dyDescent="0.35">
      <c r="A15640">
        <v>1012128</v>
      </c>
      <c r="B15640">
        <v>13995</v>
      </c>
      <c r="C15640">
        <v>5</v>
      </c>
      <c r="D15640" t="s">
        <v>35352</v>
      </c>
      <c r="F15640" t="s">
        <v>35353</v>
      </c>
      <c r="H15640" t="s">
        <v>35957</v>
      </c>
      <c r="J15640" t="s">
        <v>35988</v>
      </c>
      <c r="L15640" t="s">
        <v>36071</v>
      </c>
      <c r="N15640" t="s">
        <v>36072</v>
      </c>
      <c r="P15640" t="s">
        <v>36200</v>
      </c>
      <c r="R15640" s="26" t="str">
        <f t="shared" si="79"/>
        <v>Mastadenovirus exoticum</v>
      </c>
      <c r="S15640" t="s">
        <v>8141</v>
      </c>
      <c r="T15640" t="s">
        <v>36452</v>
      </c>
      <c r="U15640" t="s">
        <v>36453</v>
      </c>
      <c r="V15640" t="s">
        <v>36454</v>
      </c>
      <c r="W15640" t="s">
        <v>50327</v>
      </c>
      <c r="X15640" t="s">
        <v>42</v>
      </c>
      <c r="Y15640" t="s">
        <v>36</v>
      </c>
      <c r="Z15640" t="s">
        <v>166</v>
      </c>
      <c r="AA15640" s="22" t="str">
        <f>HYPERLINK("https://www.ncbi.nlm.nih.gov/nuccore/AY530877","NCBI Nucleotide")</f>
        <v>NCBI Nucleotide</v>
      </c>
    </row>
    <row r="15641" spans="1:27" x14ac:dyDescent="0.35">
      <c r="A15641">
        <v>1012129</v>
      </c>
      <c r="B15641">
        <v>13995</v>
      </c>
      <c r="C15641">
        <v>6</v>
      </c>
      <c r="D15641" t="s">
        <v>35352</v>
      </c>
      <c r="F15641" t="s">
        <v>35353</v>
      </c>
      <c r="H15641" t="s">
        <v>35957</v>
      </c>
      <c r="J15641" t="s">
        <v>35988</v>
      </c>
      <c r="L15641" t="s">
        <v>36071</v>
      </c>
      <c r="N15641" t="s">
        <v>36072</v>
      </c>
      <c r="P15641" t="s">
        <v>36200</v>
      </c>
      <c r="R15641" s="26" t="str">
        <f t="shared" si="79"/>
        <v>Mastadenovirus exoticum</v>
      </c>
      <c r="S15641" t="s">
        <v>8141</v>
      </c>
      <c r="T15641" t="s">
        <v>36455</v>
      </c>
      <c r="U15641" t="s">
        <v>36456</v>
      </c>
      <c r="V15641" t="s">
        <v>36457</v>
      </c>
      <c r="W15641" t="s">
        <v>50328</v>
      </c>
      <c r="X15641" t="s">
        <v>42</v>
      </c>
      <c r="Y15641" t="s">
        <v>36</v>
      </c>
      <c r="Z15641" t="s">
        <v>166</v>
      </c>
      <c r="AA15641" s="22" t="str">
        <f>HYPERLINK("https://www.ncbi.nlm.nih.gov/nuccore/AY530878","NCBI Nucleotide")</f>
        <v>NCBI Nucleotide</v>
      </c>
    </row>
    <row r="15642" spans="1:27" x14ac:dyDescent="0.35">
      <c r="A15642">
        <v>1012130</v>
      </c>
      <c r="B15642">
        <v>13995</v>
      </c>
      <c r="C15642">
        <v>7</v>
      </c>
      <c r="D15642" t="s">
        <v>35352</v>
      </c>
      <c r="F15642" t="s">
        <v>35353</v>
      </c>
      <c r="H15642" t="s">
        <v>35957</v>
      </c>
      <c r="J15642" t="s">
        <v>35988</v>
      </c>
      <c r="L15642" t="s">
        <v>36071</v>
      </c>
      <c r="N15642" t="s">
        <v>36072</v>
      </c>
      <c r="P15642" t="s">
        <v>36200</v>
      </c>
      <c r="R15642" s="26" t="str">
        <f t="shared" si="79"/>
        <v>Mastadenovirus exoticum</v>
      </c>
      <c r="S15642" t="s">
        <v>8141</v>
      </c>
      <c r="T15642" t="s">
        <v>36458</v>
      </c>
      <c r="U15642" t="s">
        <v>36459</v>
      </c>
      <c r="W15642" t="s">
        <v>50329</v>
      </c>
      <c r="X15642" t="s">
        <v>42</v>
      </c>
      <c r="Y15642" t="s">
        <v>36</v>
      </c>
      <c r="Z15642" t="s">
        <v>166</v>
      </c>
      <c r="AA15642" s="22" t="str">
        <f>HYPERLINK("https://www.ncbi.nlm.nih.gov/nuccore/AF394196","NCBI Nucleotide")</f>
        <v>NCBI Nucleotide</v>
      </c>
    </row>
    <row r="15643" spans="1:27" x14ac:dyDescent="0.35">
      <c r="A15643">
        <v>1012131</v>
      </c>
      <c r="B15643">
        <v>13995</v>
      </c>
      <c r="C15643">
        <v>8</v>
      </c>
      <c r="D15643" t="s">
        <v>35352</v>
      </c>
      <c r="F15643" t="s">
        <v>35353</v>
      </c>
      <c r="H15643" t="s">
        <v>35957</v>
      </c>
      <c r="J15643" t="s">
        <v>35988</v>
      </c>
      <c r="L15643" t="s">
        <v>36071</v>
      </c>
      <c r="N15643" t="s">
        <v>36072</v>
      </c>
      <c r="P15643" t="s">
        <v>36200</v>
      </c>
      <c r="R15643" s="26" t="str">
        <f t="shared" si="79"/>
        <v>Mastadenovirus exoticum</v>
      </c>
      <c r="S15643" t="s">
        <v>8141</v>
      </c>
      <c r="T15643" t="s">
        <v>36460</v>
      </c>
      <c r="U15643" t="s">
        <v>36461</v>
      </c>
      <c r="W15643" t="s">
        <v>50330</v>
      </c>
      <c r="X15643" t="s">
        <v>42</v>
      </c>
      <c r="Y15643" t="s">
        <v>36</v>
      </c>
      <c r="Z15643" t="s">
        <v>166</v>
      </c>
      <c r="AA15643" s="22" t="str">
        <f>HYPERLINK("https://www.ncbi.nlm.nih.gov/nuccore/HB426768","NCBI Nucleotide")</f>
        <v>NCBI Nucleotide</v>
      </c>
    </row>
    <row r="15644" spans="1:27" x14ac:dyDescent="0.35">
      <c r="A15644">
        <v>1012132</v>
      </c>
      <c r="B15644">
        <v>13995</v>
      </c>
      <c r="C15644">
        <v>9</v>
      </c>
      <c r="D15644" t="s">
        <v>35352</v>
      </c>
      <c r="F15644" t="s">
        <v>35353</v>
      </c>
      <c r="H15644" t="s">
        <v>35957</v>
      </c>
      <c r="J15644" t="s">
        <v>35988</v>
      </c>
      <c r="L15644" t="s">
        <v>36071</v>
      </c>
      <c r="N15644" t="s">
        <v>36072</v>
      </c>
      <c r="P15644" t="s">
        <v>36200</v>
      </c>
      <c r="R15644" s="26" t="str">
        <f t="shared" si="79"/>
        <v>Mastadenovirus exoticum</v>
      </c>
      <c r="S15644" t="s">
        <v>8141</v>
      </c>
      <c r="T15644" t="s">
        <v>36462</v>
      </c>
      <c r="U15644" t="s">
        <v>36463</v>
      </c>
      <c r="W15644" t="s">
        <v>50331</v>
      </c>
      <c r="X15644" t="s">
        <v>42</v>
      </c>
      <c r="Y15644" t="s">
        <v>36</v>
      </c>
      <c r="Z15644" t="s">
        <v>166</v>
      </c>
      <c r="AA15644" s="22" t="str">
        <f>HYPERLINK("https://www.ncbi.nlm.nih.gov/nuccore/FJ025920","NCBI Nucleotide")</f>
        <v>NCBI Nucleotide</v>
      </c>
    </row>
    <row r="15645" spans="1:27" x14ac:dyDescent="0.35">
      <c r="A15645">
        <v>1012133</v>
      </c>
      <c r="B15645">
        <v>13995</v>
      </c>
      <c r="C15645">
        <v>10</v>
      </c>
      <c r="D15645" t="s">
        <v>35352</v>
      </c>
      <c r="F15645" t="s">
        <v>35353</v>
      </c>
      <c r="H15645" t="s">
        <v>35957</v>
      </c>
      <c r="J15645" t="s">
        <v>35988</v>
      </c>
      <c r="L15645" t="s">
        <v>36071</v>
      </c>
      <c r="N15645" t="s">
        <v>36072</v>
      </c>
      <c r="P15645" t="s">
        <v>36200</v>
      </c>
      <c r="R15645" s="26" t="str">
        <f t="shared" si="79"/>
        <v>Mastadenovirus exoticum</v>
      </c>
      <c r="S15645" t="s">
        <v>8141</v>
      </c>
      <c r="T15645" t="s">
        <v>36464</v>
      </c>
      <c r="U15645" t="s">
        <v>36465</v>
      </c>
      <c r="W15645" t="s">
        <v>50332</v>
      </c>
      <c r="X15645" t="s">
        <v>42</v>
      </c>
      <c r="Y15645" t="s">
        <v>36</v>
      </c>
      <c r="Z15645" t="s">
        <v>166</v>
      </c>
      <c r="AA15645" s="22" t="str">
        <f>HYPERLINK("https://www.ncbi.nlm.nih.gov/nuccore/HC191003","NCBI Nucleotide")</f>
        <v>NCBI Nucleotide</v>
      </c>
    </row>
    <row r="15646" spans="1:27" x14ac:dyDescent="0.35">
      <c r="A15646">
        <v>1012135</v>
      </c>
      <c r="B15646">
        <v>13995</v>
      </c>
      <c r="C15646">
        <v>11</v>
      </c>
      <c r="D15646" t="s">
        <v>35352</v>
      </c>
      <c r="F15646" t="s">
        <v>35353</v>
      </c>
      <c r="H15646" t="s">
        <v>35957</v>
      </c>
      <c r="J15646" t="s">
        <v>35988</v>
      </c>
      <c r="L15646" t="s">
        <v>36071</v>
      </c>
      <c r="N15646" t="s">
        <v>36072</v>
      </c>
      <c r="P15646" t="s">
        <v>36200</v>
      </c>
      <c r="R15646" s="26" t="str">
        <f t="shared" si="79"/>
        <v>Mastadenovirus exoticum</v>
      </c>
      <c r="S15646" t="s">
        <v>8141</v>
      </c>
      <c r="T15646" t="s">
        <v>36468</v>
      </c>
      <c r="U15646" t="s">
        <v>36469</v>
      </c>
      <c r="W15646" t="s">
        <v>50333</v>
      </c>
      <c r="X15646" t="s">
        <v>42</v>
      </c>
      <c r="Y15646" t="s">
        <v>36</v>
      </c>
      <c r="Z15646" t="s">
        <v>166</v>
      </c>
      <c r="AA15646" s="22" t="str">
        <f>HYPERLINK("https://www.ncbi.nlm.nih.gov/nuccore/HB426671","NCBI Nucleotide")</f>
        <v>NCBI Nucleotide</v>
      </c>
    </row>
    <row r="15647" spans="1:27" x14ac:dyDescent="0.35">
      <c r="A15647">
        <v>1012136</v>
      </c>
      <c r="B15647">
        <v>13995</v>
      </c>
      <c r="C15647">
        <v>12</v>
      </c>
      <c r="D15647" t="s">
        <v>35352</v>
      </c>
      <c r="F15647" t="s">
        <v>35353</v>
      </c>
      <c r="H15647" t="s">
        <v>35957</v>
      </c>
      <c r="J15647" t="s">
        <v>35988</v>
      </c>
      <c r="L15647" t="s">
        <v>36071</v>
      </c>
      <c r="N15647" t="s">
        <v>36072</v>
      </c>
      <c r="P15647" t="s">
        <v>36200</v>
      </c>
      <c r="R15647" s="26" t="str">
        <f t="shared" si="79"/>
        <v>Mastadenovirus exoticum</v>
      </c>
      <c r="S15647" t="s">
        <v>8141</v>
      </c>
      <c r="T15647" t="s">
        <v>36470</v>
      </c>
      <c r="U15647" t="s">
        <v>36471</v>
      </c>
      <c r="W15647" t="s">
        <v>50334</v>
      </c>
      <c r="X15647" t="s">
        <v>42</v>
      </c>
      <c r="Y15647" t="s">
        <v>36</v>
      </c>
      <c r="Z15647" t="s">
        <v>166</v>
      </c>
      <c r="AA15647" s="22" t="str">
        <f>HYPERLINK("https://www.ncbi.nlm.nih.gov/nuccore/HB426607","NCBI Nucleotide")</f>
        <v>NCBI Nucleotide</v>
      </c>
    </row>
    <row r="15648" spans="1:27" x14ac:dyDescent="0.35">
      <c r="A15648">
        <v>1012134</v>
      </c>
      <c r="B15648">
        <v>13995</v>
      </c>
      <c r="C15648">
        <v>13</v>
      </c>
      <c r="D15648" t="s">
        <v>35352</v>
      </c>
      <c r="F15648" t="s">
        <v>35353</v>
      </c>
      <c r="H15648" t="s">
        <v>35957</v>
      </c>
      <c r="J15648" t="s">
        <v>35988</v>
      </c>
      <c r="L15648" t="s">
        <v>36071</v>
      </c>
      <c r="N15648" t="s">
        <v>36072</v>
      </c>
      <c r="P15648" t="s">
        <v>36200</v>
      </c>
      <c r="R15648" s="26" t="str">
        <f t="shared" si="79"/>
        <v>Mastadenovirus exoticum</v>
      </c>
      <c r="S15648" t="s">
        <v>8141</v>
      </c>
      <c r="T15648" t="s">
        <v>36466</v>
      </c>
      <c r="U15648" t="s">
        <v>36467</v>
      </c>
      <c r="W15648" t="s">
        <v>50335</v>
      </c>
      <c r="X15648" t="s">
        <v>42</v>
      </c>
      <c r="Y15648" t="s">
        <v>36</v>
      </c>
      <c r="Z15648" t="s">
        <v>166</v>
      </c>
      <c r="AA15648" s="22" t="str">
        <f>HYPERLINK("https://www.ncbi.nlm.nih.gov/nuccore/FJ025919","NCBI Nucleotide")</f>
        <v>NCBI Nucleotide</v>
      </c>
    </row>
    <row r="15649" spans="1:27" x14ac:dyDescent="0.35">
      <c r="A15649">
        <v>1004779</v>
      </c>
      <c r="B15649">
        <v>13996</v>
      </c>
      <c r="C15649">
        <v>1</v>
      </c>
      <c r="D15649" t="s">
        <v>35352</v>
      </c>
      <c r="F15649" t="s">
        <v>35353</v>
      </c>
      <c r="H15649" t="s">
        <v>35957</v>
      </c>
      <c r="J15649" t="s">
        <v>35988</v>
      </c>
      <c r="L15649" t="s">
        <v>36071</v>
      </c>
      <c r="N15649" t="s">
        <v>36072</v>
      </c>
      <c r="P15649" t="s">
        <v>36200</v>
      </c>
      <c r="R15649" s="26" t="str">
        <f>HYPERLINK("https://ictv.global/taxonomy/taxondetails?taxnode_id=202302427","Mastadenovirus faecale")</f>
        <v>Mastadenovirus faecale</v>
      </c>
      <c r="S15649" t="s">
        <v>30</v>
      </c>
      <c r="T15649" t="s">
        <v>36478</v>
      </c>
      <c r="U15649" t="s">
        <v>36479</v>
      </c>
      <c r="V15649" t="s">
        <v>36480</v>
      </c>
      <c r="W15649" t="s">
        <v>36481</v>
      </c>
      <c r="X15649" t="s">
        <v>42</v>
      </c>
      <c r="Y15649" t="s">
        <v>36</v>
      </c>
      <c r="Z15649" t="s">
        <v>166</v>
      </c>
      <c r="AA15649" s="22" t="str">
        <f>HYPERLINK("https://www.ncbi.nlm.nih.gov/nuccore/L19443","NCBI Nucleotide")</f>
        <v>NCBI Nucleotide</v>
      </c>
    </row>
    <row r="15650" spans="1:27" x14ac:dyDescent="0.35">
      <c r="A15650">
        <v>1012139</v>
      </c>
      <c r="B15650">
        <v>13996</v>
      </c>
      <c r="C15650">
        <v>2</v>
      </c>
      <c r="D15650" t="s">
        <v>35352</v>
      </c>
      <c r="F15650" t="s">
        <v>35353</v>
      </c>
      <c r="H15650" t="s">
        <v>35957</v>
      </c>
      <c r="J15650" t="s">
        <v>35988</v>
      </c>
      <c r="L15650" t="s">
        <v>36071</v>
      </c>
      <c r="N15650" t="s">
        <v>36072</v>
      </c>
      <c r="P15650" t="s">
        <v>36200</v>
      </c>
      <c r="R15650" s="26" t="str">
        <f>HYPERLINK("https://ictv.global/taxonomy/taxondetails?taxnode_id=202302427","Mastadenovirus faecale")</f>
        <v>Mastadenovirus faecale</v>
      </c>
      <c r="S15650" t="s">
        <v>8141</v>
      </c>
      <c r="T15650" t="s">
        <v>36482</v>
      </c>
      <c r="U15650" t="s">
        <v>36483</v>
      </c>
      <c r="V15650" t="s">
        <v>36484</v>
      </c>
      <c r="W15650" t="s">
        <v>50336</v>
      </c>
      <c r="X15650" t="s">
        <v>42</v>
      </c>
      <c r="Y15650" t="s">
        <v>36</v>
      </c>
      <c r="Z15650" t="s">
        <v>166</v>
      </c>
      <c r="AA15650" s="22" t="str">
        <f>HYPERLINK("https://www.ncbi.nlm.nih.gov/nuccore/DQ315364","NCBI Nucleotide")</f>
        <v>NCBI Nucleotide</v>
      </c>
    </row>
    <row r="15651" spans="1:27" x14ac:dyDescent="0.35">
      <c r="A15651">
        <v>1004801</v>
      </c>
      <c r="B15651">
        <v>13997</v>
      </c>
      <c r="C15651">
        <v>1</v>
      </c>
      <c r="D15651" t="s">
        <v>35352</v>
      </c>
      <c r="F15651" t="s">
        <v>35353</v>
      </c>
      <c r="H15651" t="s">
        <v>35957</v>
      </c>
      <c r="J15651" t="s">
        <v>35988</v>
      </c>
      <c r="L15651" t="s">
        <v>36071</v>
      </c>
      <c r="N15651" t="s">
        <v>36072</v>
      </c>
      <c r="P15651" t="s">
        <v>36200</v>
      </c>
      <c r="R15651" s="26" t="str">
        <f>HYPERLINK("https://ictv.global/taxonomy/taxondetails?taxnode_id=202305662","Mastadenovirus flavi")</f>
        <v>Mastadenovirus flavi</v>
      </c>
      <c r="S15651" t="s">
        <v>30</v>
      </c>
      <c r="T15651" t="s">
        <v>36639</v>
      </c>
      <c r="U15651" t="s">
        <v>36640</v>
      </c>
      <c r="V15651" t="s">
        <v>36641</v>
      </c>
      <c r="W15651" t="s">
        <v>36642</v>
      </c>
      <c r="X15651" t="s">
        <v>42</v>
      </c>
      <c r="Y15651" t="s">
        <v>36</v>
      </c>
      <c r="Z15651" t="s">
        <v>166</v>
      </c>
      <c r="AA15651" s="22" t="str">
        <f>HYPERLINK("https://www.ncbi.nlm.nih.gov/nuccore/KX505867","NCBI Nucleotide")</f>
        <v>NCBI Nucleotide</v>
      </c>
    </row>
    <row r="15652" spans="1:27" x14ac:dyDescent="0.35">
      <c r="A15652">
        <v>1004758</v>
      </c>
      <c r="B15652">
        <v>13998</v>
      </c>
      <c r="C15652">
        <v>1</v>
      </c>
      <c r="D15652" t="s">
        <v>35352</v>
      </c>
      <c r="F15652" t="s">
        <v>35353</v>
      </c>
      <c r="H15652" t="s">
        <v>35957</v>
      </c>
      <c r="J15652" t="s">
        <v>35988</v>
      </c>
      <c r="L15652" t="s">
        <v>36071</v>
      </c>
      <c r="N15652" t="s">
        <v>36072</v>
      </c>
      <c r="P15652" t="s">
        <v>36200</v>
      </c>
      <c r="R15652" s="26" t="str">
        <f>HYPERLINK("https://ictv.global/taxonomy/taxondetails?taxnode_id=202305657","Mastadenovirus humile")</f>
        <v>Mastadenovirus humile</v>
      </c>
      <c r="S15652" t="s">
        <v>30</v>
      </c>
      <c r="T15652" t="s">
        <v>36220</v>
      </c>
      <c r="U15652" t="s">
        <v>36221</v>
      </c>
      <c r="V15652" t="s">
        <v>36222</v>
      </c>
      <c r="W15652" t="s">
        <v>36223</v>
      </c>
      <c r="X15652" t="s">
        <v>42</v>
      </c>
      <c r="Y15652" t="s">
        <v>36</v>
      </c>
      <c r="Z15652" t="s">
        <v>166</v>
      </c>
      <c r="AA15652" s="22" t="str">
        <f>HYPERLINK("https://www.ncbi.nlm.nih.gov/nuccore/KT698852","NCBI Nucleotide")</f>
        <v>NCBI Nucleotide</v>
      </c>
    </row>
    <row r="15653" spans="1:27" x14ac:dyDescent="0.35">
      <c r="A15653">
        <v>1024966</v>
      </c>
      <c r="B15653">
        <v>13999</v>
      </c>
      <c r="C15653">
        <v>1</v>
      </c>
      <c r="D15653" t="s">
        <v>35352</v>
      </c>
      <c r="F15653" t="s">
        <v>35353</v>
      </c>
      <c r="H15653" t="s">
        <v>35957</v>
      </c>
      <c r="J15653" t="s">
        <v>35988</v>
      </c>
      <c r="L15653" t="s">
        <v>36071</v>
      </c>
      <c r="N15653" t="s">
        <v>36072</v>
      </c>
      <c r="P15653" t="s">
        <v>36200</v>
      </c>
      <c r="R15653" s="26" t="str">
        <f>HYPERLINK("https://ictv.global/taxonomy/taxondetails?taxnode_id=202317890","Mastadenovirus lamiae")</f>
        <v>Mastadenovirus lamiae</v>
      </c>
      <c r="S15653" t="s">
        <v>30</v>
      </c>
      <c r="T15653" t="s">
        <v>47801</v>
      </c>
      <c r="U15653" t="s">
        <v>47802</v>
      </c>
      <c r="V15653">
        <v>204</v>
      </c>
      <c r="W15653" t="s">
        <v>47803</v>
      </c>
      <c r="X15653" t="s">
        <v>35</v>
      </c>
      <c r="Y15653" t="s">
        <v>36</v>
      </c>
      <c r="Z15653" t="s">
        <v>166</v>
      </c>
      <c r="AA15653" s="22" t="str">
        <f>HYPERLINK("https://www.ncbi.nlm.nih.gov/nuccore/OQ081771","NCBI Nucleotide")</f>
        <v>NCBI Nucleotide</v>
      </c>
    </row>
    <row r="15654" spans="1:27" x14ac:dyDescent="0.35">
      <c r="A15654">
        <v>1004794</v>
      </c>
      <c r="B15654">
        <v>14000</v>
      </c>
      <c r="C15654">
        <v>1</v>
      </c>
      <c r="D15654" t="s">
        <v>35352</v>
      </c>
      <c r="F15654" t="s">
        <v>35353</v>
      </c>
      <c r="H15654" t="s">
        <v>35957</v>
      </c>
      <c r="J15654" t="s">
        <v>35988</v>
      </c>
      <c r="L15654" t="s">
        <v>36071</v>
      </c>
      <c r="N15654" t="s">
        <v>36072</v>
      </c>
      <c r="P15654" t="s">
        <v>36200</v>
      </c>
      <c r="R15654" s="26" t="str">
        <f t="shared" ref="R15654:R15660" si="80">HYPERLINK("https://ictv.global/taxonomy/taxondetails?taxnode_id=202302440","Mastadenovirus longumcaudae")</f>
        <v>Mastadenovirus longumcaudae</v>
      </c>
      <c r="S15654" t="s">
        <v>30</v>
      </c>
      <c r="T15654" t="s">
        <v>36589</v>
      </c>
      <c r="U15654" t="s">
        <v>36590</v>
      </c>
      <c r="V15654" t="s">
        <v>36591</v>
      </c>
      <c r="W15654" t="s">
        <v>36592</v>
      </c>
      <c r="X15654" t="s">
        <v>42</v>
      </c>
      <c r="Y15654" t="s">
        <v>36</v>
      </c>
      <c r="Z15654" t="s">
        <v>166</v>
      </c>
      <c r="AA15654" s="22" t="str">
        <f>HYPERLINK("https://www.ncbi.nlm.nih.gov/nuccore/HQ241819","NCBI Nucleotide")</f>
        <v>NCBI Nucleotide</v>
      </c>
    </row>
    <row r="15655" spans="1:27" x14ac:dyDescent="0.35">
      <c r="A15655">
        <v>1012165</v>
      </c>
      <c r="B15655">
        <v>14000</v>
      </c>
      <c r="C15655">
        <v>2</v>
      </c>
      <c r="D15655" t="s">
        <v>35352</v>
      </c>
      <c r="F15655" t="s">
        <v>35353</v>
      </c>
      <c r="H15655" t="s">
        <v>35957</v>
      </c>
      <c r="J15655" t="s">
        <v>35988</v>
      </c>
      <c r="L15655" t="s">
        <v>36071</v>
      </c>
      <c r="N15655" t="s">
        <v>36072</v>
      </c>
      <c r="P15655" t="s">
        <v>36200</v>
      </c>
      <c r="R15655" s="26" t="str">
        <f t="shared" si="80"/>
        <v>Mastadenovirus longumcaudae</v>
      </c>
      <c r="S15655" t="s">
        <v>8141</v>
      </c>
      <c r="T15655" t="s">
        <v>36604</v>
      </c>
      <c r="U15655" t="s">
        <v>36605</v>
      </c>
      <c r="W15655" t="s">
        <v>50337</v>
      </c>
      <c r="X15655" t="s">
        <v>42</v>
      </c>
      <c r="Y15655" t="s">
        <v>36</v>
      </c>
      <c r="Z15655" t="s">
        <v>166</v>
      </c>
      <c r="AA15655" s="22" t="str">
        <f>HYPERLINK("https://www.ncbi.nlm.nih.gov/nuccore/KC693021","NCBI Nucleotide")</f>
        <v>NCBI Nucleotide</v>
      </c>
    </row>
    <row r="15656" spans="1:27" x14ac:dyDescent="0.35">
      <c r="A15656">
        <v>1012166</v>
      </c>
      <c r="B15656">
        <v>14000</v>
      </c>
      <c r="C15656">
        <v>3</v>
      </c>
      <c r="D15656" t="s">
        <v>35352</v>
      </c>
      <c r="F15656" t="s">
        <v>35353</v>
      </c>
      <c r="H15656" t="s">
        <v>35957</v>
      </c>
      <c r="J15656" t="s">
        <v>35988</v>
      </c>
      <c r="L15656" t="s">
        <v>36071</v>
      </c>
      <c r="N15656" t="s">
        <v>36072</v>
      </c>
      <c r="P15656" t="s">
        <v>36200</v>
      </c>
      <c r="R15656" s="26" t="str">
        <f t="shared" si="80"/>
        <v>Mastadenovirus longumcaudae</v>
      </c>
      <c r="S15656" t="s">
        <v>8141</v>
      </c>
      <c r="T15656" t="s">
        <v>36606</v>
      </c>
      <c r="U15656" t="s">
        <v>36607</v>
      </c>
      <c r="V15656" t="s">
        <v>36608</v>
      </c>
      <c r="W15656" t="s">
        <v>50338</v>
      </c>
      <c r="X15656" t="s">
        <v>42</v>
      </c>
      <c r="Y15656" t="s">
        <v>36</v>
      </c>
      <c r="Z15656" t="s">
        <v>166</v>
      </c>
      <c r="AA15656" s="22" t="str">
        <f>HYPERLINK("https://www.ncbi.nlm.nih.gov/nuccore/KT013209","NCBI Nucleotide")</f>
        <v>NCBI Nucleotide</v>
      </c>
    </row>
    <row r="15657" spans="1:27" x14ac:dyDescent="0.35">
      <c r="A15657">
        <v>1012161</v>
      </c>
      <c r="B15657">
        <v>14000</v>
      </c>
      <c r="C15657">
        <v>4</v>
      </c>
      <c r="D15657" t="s">
        <v>35352</v>
      </c>
      <c r="F15657" t="s">
        <v>35353</v>
      </c>
      <c r="H15657" t="s">
        <v>35957</v>
      </c>
      <c r="J15657" t="s">
        <v>35988</v>
      </c>
      <c r="L15657" t="s">
        <v>36071</v>
      </c>
      <c r="N15657" t="s">
        <v>36072</v>
      </c>
      <c r="P15657" t="s">
        <v>36200</v>
      </c>
      <c r="R15657" s="26" t="str">
        <f t="shared" si="80"/>
        <v>Mastadenovirus longumcaudae</v>
      </c>
      <c r="S15657" t="s">
        <v>8141</v>
      </c>
      <c r="T15657" t="s">
        <v>36593</v>
      </c>
      <c r="U15657" t="s">
        <v>36594</v>
      </c>
      <c r="V15657" t="s">
        <v>36595</v>
      </c>
      <c r="W15657" t="s">
        <v>50339</v>
      </c>
      <c r="X15657" t="s">
        <v>154</v>
      </c>
      <c r="Y15657" t="s">
        <v>36</v>
      </c>
      <c r="Z15657" t="s">
        <v>166</v>
      </c>
      <c r="AA15657" s="22" t="str">
        <f>HYPERLINK("https://www.ncbi.nlm.nih.gov/nuccore/KP853111","NCBI Nucleotide")</f>
        <v>NCBI Nucleotide</v>
      </c>
    </row>
    <row r="15658" spans="1:27" x14ac:dyDescent="0.35">
      <c r="A15658">
        <v>1012162</v>
      </c>
      <c r="B15658">
        <v>14000</v>
      </c>
      <c r="C15658">
        <v>5</v>
      </c>
      <c r="D15658" t="s">
        <v>35352</v>
      </c>
      <c r="F15658" t="s">
        <v>35353</v>
      </c>
      <c r="H15658" t="s">
        <v>35957</v>
      </c>
      <c r="J15658" t="s">
        <v>35988</v>
      </c>
      <c r="L15658" t="s">
        <v>36071</v>
      </c>
      <c r="N15658" t="s">
        <v>36072</v>
      </c>
      <c r="P15658" t="s">
        <v>36200</v>
      </c>
      <c r="R15658" s="26" t="str">
        <f t="shared" si="80"/>
        <v>Mastadenovirus longumcaudae</v>
      </c>
      <c r="S15658" t="s">
        <v>8141</v>
      </c>
      <c r="T15658" t="s">
        <v>36596</v>
      </c>
      <c r="U15658" t="s">
        <v>36597</v>
      </c>
      <c r="V15658" t="s">
        <v>36598</v>
      </c>
      <c r="W15658" t="s">
        <v>50340</v>
      </c>
      <c r="X15658" t="s">
        <v>42</v>
      </c>
      <c r="Y15658" t="s">
        <v>36</v>
      </c>
      <c r="Z15658" t="s">
        <v>166</v>
      </c>
      <c r="AA15658" s="22" t="str">
        <f>HYPERLINK("https://www.ncbi.nlm.nih.gov/nuccore/KP329561","NCBI Nucleotide")</f>
        <v>NCBI Nucleotide</v>
      </c>
    </row>
    <row r="15659" spans="1:27" x14ac:dyDescent="0.35">
      <c r="A15659">
        <v>1012163</v>
      </c>
      <c r="B15659">
        <v>14000</v>
      </c>
      <c r="C15659">
        <v>6</v>
      </c>
      <c r="D15659" t="s">
        <v>35352</v>
      </c>
      <c r="F15659" t="s">
        <v>35353</v>
      </c>
      <c r="H15659" t="s">
        <v>35957</v>
      </c>
      <c r="J15659" t="s">
        <v>35988</v>
      </c>
      <c r="L15659" t="s">
        <v>36071</v>
      </c>
      <c r="N15659" t="s">
        <v>36072</v>
      </c>
      <c r="P15659" t="s">
        <v>36200</v>
      </c>
      <c r="R15659" s="26" t="str">
        <f t="shared" si="80"/>
        <v>Mastadenovirus longumcaudae</v>
      </c>
      <c r="S15659" t="s">
        <v>8141</v>
      </c>
      <c r="T15659" t="s">
        <v>36599</v>
      </c>
      <c r="U15659" t="s">
        <v>36600</v>
      </c>
      <c r="V15659">
        <v>18222</v>
      </c>
      <c r="W15659" t="s">
        <v>50341</v>
      </c>
      <c r="X15659" t="s">
        <v>42</v>
      </c>
      <c r="Y15659" t="s">
        <v>36</v>
      </c>
      <c r="Z15659" t="s">
        <v>166</v>
      </c>
      <c r="AA15659" s="22" t="str">
        <f>HYPERLINK("https://www.ncbi.nlm.nih.gov/nuccore/HQ241820","NCBI Nucleotide")</f>
        <v>NCBI Nucleotide</v>
      </c>
    </row>
    <row r="15660" spans="1:27" x14ac:dyDescent="0.35">
      <c r="A15660">
        <v>1012164</v>
      </c>
      <c r="B15660">
        <v>14000</v>
      </c>
      <c r="C15660">
        <v>7</v>
      </c>
      <c r="D15660" t="s">
        <v>35352</v>
      </c>
      <c r="F15660" t="s">
        <v>35353</v>
      </c>
      <c r="H15660" t="s">
        <v>35957</v>
      </c>
      <c r="J15660" t="s">
        <v>35988</v>
      </c>
      <c r="L15660" t="s">
        <v>36071</v>
      </c>
      <c r="N15660" t="s">
        <v>36072</v>
      </c>
      <c r="P15660" t="s">
        <v>36200</v>
      </c>
      <c r="R15660" s="26" t="str">
        <f t="shared" si="80"/>
        <v>Mastadenovirus longumcaudae</v>
      </c>
      <c r="S15660" t="s">
        <v>8141</v>
      </c>
      <c r="T15660" t="s">
        <v>36601</v>
      </c>
      <c r="U15660" t="s">
        <v>36602</v>
      </c>
      <c r="V15660" t="s">
        <v>36603</v>
      </c>
      <c r="W15660" t="s">
        <v>50342</v>
      </c>
      <c r="X15660" t="s">
        <v>42</v>
      </c>
      <c r="Y15660" t="s">
        <v>36</v>
      </c>
      <c r="Z15660" t="s">
        <v>166</v>
      </c>
      <c r="AA15660" s="22" t="str">
        <f>HYPERLINK("https://www.ncbi.nlm.nih.gov/nuccore/JN880448","NCBI Nucleotide")</f>
        <v>NCBI Nucleotide</v>
      </c>
    </row>
    <row r="15661" spans="1:27" x14ac:dyDescent="0.35">
      <c r="A15661">
        <v>1004796</v>
      </c>
      <c r="B15661">
        <v>14001</v>
      </c>
      <c r="C15661">
        <v>1</v>
      </c>
      <c r="D15661" t="s">
        <v>35352</v>
      </c>
      <c r="F15661" t="s">
        <v>35353</v>
      </c>
      <c r="H15661" t="s">
        <v>35957</v>
      </c>
      <c r="J15661" t="s">
        <v>35988</v>
      </c>
      <c r="L15661" t="s">
        <v>36071</v>
      </c>
      <c r="N15661" t="s">
        <v>36072</v>
      </c>
      <c r="P15661" t="s">
        <v>36200</v>
      </c>
      <c r="R15661" s="26" t="str">
        <f>HYPERLINK("https://ictv.global/taxonomy/taxondetails?taxnode_id=202302442","Mastadenovirus macacae")</f>
        <v>Mastadenovirus macacae</v>
      </c>
      <c r="S15661" t="s">
        <v>30</v>
      </c>
      <c r="T15661" t="s">
        <v>36617</v>
      </c>
      <c r="U15661" t="s">
        <v>36618</v>
      </c>
      <c r="V15661" t="s">
        <v>36619</v>
      </c>
      <c r="W15661" t="s">
        <v>36620</v>
      </c>
      <c r="X15661" t="s">
        <v>42</v>
      </c>
      <c r="Y15661" t="s">
        <v>36</v>
      </c>
      <c r="Z15661" t="s">
        <v>166</v>
      </c>
      <c r="AA15661" s="22" t="str">
        <f>HYPERLINK("https://www.ncbi.nlm.nih.gov/nuccore/KP329563","NCBI Nucleotide")</f>
        <v>NCBI Nucleotide</v>
      </c>
    </row>
    <row r="15662" spans="1:27" x14ac:dyDescent="0.35">
      <c r="A15662">
        <v>1004760</v>
      </c>
      <c r="B15662">
        <v>14002</v>
      </c>
      <c r="C15662">
        <v>1</v>
      </c>
      <c r="D15662" t="s">
        <v>35352</v>
      </c>
      <c r="F15662" t="s">
        <v>35353</v>
      </c>
      <c r="H15662" t="s">
        <v>35957</v>
      </c>
      <c r="J15662" t="s">
        <v>35988</v>
      </c>
      <c r="L15662" t="s">
        <v>36071</v>
      </c>
      <c r="N15662" t="s">
        <v>36072</v>
      </c>
      <c r="P15662" t="s">
        <v>36200</v>
      </c>
      <c r="R15662" s="26" t="str">
        <f>HYPERLINK("https://ictv.global/taxonomy/taxondetails?taxnode_id=202305659","Mastadenovirus magnauris")</f>
        <v>Mastadenovirus magnauris</v>
      </c>
      <c r="S15662" t="s">
        <v>30</v>
      </c>
      <c r="T15662" t="s">
        <v>36231</v>
      </c>
      <c r="U15662" t="s">
        <v>36232</v>
      </c>
      <c r="V15662" t="s">
        <v>36233</v>
      </c>
      <c r="W15662" t="s">
        <v>36234</v>
      </c>
      <c r="X15662" t="s">
        <v>42</v>
      </c>
      <c r="Y15662" t="s">
        <v>36</v>
      </c>
      <c r="Z15662" t="s">
        <v>166</v>
      </c>
      <c r="AA15662" s="22" t="str">
        <f>HYPERLINK("https://www.ncbi.nlm.nih.gov/nuccore/KX871230","NCBI Nucleotide")</f>
        <v>NCBI Nucleotide</v>
      </c>
    </row>
    <row r="15663" spans="1:27" x14ac:dyDescent="0.35">
      <c r="A15663">
        <v>1004757</v>
      </c>
      <c r="B15663">
        <v>14003</v>
      </c>
      <c r="C15663">
        <v>1</v>
      </c>
      <c r="D15663" t="s">
        <v>35352</v>
      </c>
      <c r="F15663" t="s">
        <v>35353</v>
      </c>
      <c r="H15663" t="s">
        <v>35957</v>
      </c>
      <c r="J15663" t="s">
        <v>35988</v>
      </c>
      <c r="L15663" t="s">
        <v>36071</v>
      </c>
      <c r="N15663" t="s">
        <v>36072</v>
      </c>
      <c r="P15663" t="s">
        <v>36200</v>
      </c>
      <c r="R15663" s="26" t="str">
        <f>HYPERLINK("https://ictv.global/taxonomy/taxondetails?taxnode_id=202305656","Mastadenovirus miniopteridae")</f>
        <v>Mastadenovirus miniopteridae</v>
      </c>
      <c r="S15663" t="s">
        <v>30</v>
      </c>
      <c r="T15663" t="s">
        <v>36216</v>
      </c>
      <c r="U15663" t="s">
        <v>36217</v>
      </c>
      <c r="V15663" t="s">
        <v>36218</v>
      </c>
      <c r="W15663" t="s">
        <v>36219</v>
      </c>
      <c r="X15663" t="s">
        <v>42</v>
      </c>
      <c r="Y15663" t="s">
        <v>36</v>
      </c>
      <c r="Z15663" t="s">
        <v>166</v>
      </c>
      <c r="AA15663" s="22" t="str">
        <f>HYPERLINK("https://www.ncbi.nlm.nih.gov/nuccore/KT698856","NCBI Nucleotide")</f>
        <v>NCBI Nucleotide</v>
      </c>
    </row>
    <row r="15664" spans="1:27" x14ac:dyDescent="0.35">
      <c r="A15664">
        <v>1004782</v>
      </c>
      <c r="B15664">
        <v>14004</v>
      </c>
      <c r="C15664">
        <v>1</v>
      </c>
      <c r="D15664" t="s">
        <v>35352</v>
      </c>
      <c r="F15664" t="s">
        <v>35353</v>
      </c>
      <c r="H15664" t="s">
        <v>35957</v>
      </c>
      <c r="J15664" t="s">
        <v>35988</v>
      </c>
      <c r="L15664" t="s">
        <v>36071</v>
      </c>
      <c r="N15664" t="s">
        <v>36072</v>
      </c>
      <c r="P15664" t="s">
        <v>36200</v>
      </c>
      <c r="R15664" s="26" t="str">
        <f>HYPERLINK("https://ictv.global/taxonomy/taxondetails?taxnode_id=202302430","Mastadenovirus muris")</f>
        <v>Mastadenovirus muris</v>
      </c>
      <c r="S15664" t="s">
        <v>30</v>
      </c>
      <c r="T15664" t="s">
        <v>36517</v>
      </c>
      <c r="U15664" t="s">
        <v>36518</v>
      </c>
      <c r="V15664" t="s">
        <v>36519</v>
      </c>
      <c r="W15664" t="s">
        <v>36520</v>
      </c>
      <c r="X15664" t="s">
        <v>42</v>
      </c>
      <c r="Y15664" t="s">
        <v>36</v>
      </c>
      <c r="Z15664" t="s">
        <v>166</v>
      </c>
      <c r="AA15664" s="22" t="str">
        <f>HYPERLINK("https://www.ncbi.nlm.nih.gov/nuccore/HM049560","NCBI Nucleotide")</f>
        <v>NCBI Nucleotide</v>
      </c>
    </row>
    <row r="15665" spans="1:27" x14ac:dyDescent="0.35">
      <c r="A15665">
        <v>1004754</v>
      </c>
      <c r="B15665">
        <v>14005</v>
      </c>
      <c r="C15665">
        <v>1</v>
      </c>
      <c r="D15665" t="s">
        <v>35352</v>
      </c>
      <c r="F15665" t="s">
        <v>35353</v>
      </c>
      <c r="H15665" t="s">
        <v>35957</v>
      </c>
      <c r="J15665" t="s">
        <v>35988</v>
      </c>
      <c r="L15665" t="s">
        <v>36071</v>
      </c>
      <c r="N15665" t="s">
        <v>36072</v>
      </c>
      <c r="P15665" t="s">
        <v>36200</v>
      </c>
      <c r="R15665" s="26" t="str">
        <f>HYPERLINK("https://ictv.global/taxonomy/taxondetails?taxnode_id=202302413","Mastadenovirus musauriti")</f>
        <v>Mastadenovirus musauriti</v>
      </c>
      <c r="S15665" t="s">
        <v>30</v>
      </c>
      <c r="T15665" t="s">
        <v>36201</v>
      </c>
      <c r="U15665" t="s">
        <v>36202</v>
      </c>
      <c r="V15665" t="s">
        <v>36203</v>
      </c>
      <c r="W15665" t="s">
        <v>36204</v>
      </c>
      <c r="X15665" t="s">
        <v>42</v>
      </c>
      <c r="Y15665" t="s">
        <v>36</v>
      </c>
      <c r="Z15665" t="s">
        <v>166</v>
      </c>
      <c r="AA15665" s="22" t="str">
        <f>HYPERLINK("https://www.ncbi.nlm.nih.gov/nuccore/GU226970","NCBI Nucleotide")</f>
        <v>NCBI Nucleotide</v>
      </c>
    </row>
    <row r="15666" spans="1:27" x14ac:dyDescent="0.35">
      <c r="A15666">
        <v>1012056</v>
      </c>
      <c r="B15666">
        <v>14005</v>
      </c>
      <c r="C15666">
        <v>2</v>
      </c>
      <c r="D15666" t="s">
        <v>35352</v>
      </c>
      <c r="F15666" t="s">
        <v>35353</v>
      </c>
      <c r="H15666" t="s">
        <v>35957</v>
      </c>
      <c r="J15666" t="s">
        <v>35988</v>
      </c>
      <c r="L15666" t="s">
        <v>36071</v>
      </c>
      <c r="N15666" t="s">
        <v>36072</v>
      </c>
      <c r="P15666" t="s">
        <v>36200</v>
      </c>
      <c r="R15666" s="26" t="str">
        <f>HYPERLINK("https://ictv.global/taxonomy/taxondetails?taxnode_id=202302413","Mastadenovirus musauriti")</f>
        <v>Mastadenovirus musauriti</v>
      </c>
      <c r="S15666" t="s">
        <v>8141</v>
      </c>
      <c r="T15666" t="s">
        <v>36205</v>
      </c>
      <c r="U15666" t="s">
        <v>36206</v>
      </c>
      <c r="V15666" t="s">
        <v>36207</v>
      </c>
      <c r="W15666" t="s">
        <v>50343</v>
      </c>
      <c r="X15666" t="s">
        <v>42</v>
      </c>
      <c r="Y15666" t="s">
        <v>36</v>
      </c>
      <c r="Z15666" t="s">
        <v>166</v>
      </c>
      <c r="AA15666" s="22" t="str">
        <f>HYPERLINK("https://www.ncbi.nlm.nih.gov/nuccore/LC385828","NCBI Nucleotide")</f>
        <v>NCBI Nucleotide</v>
      </c>
    </row>
    <row r="15667" spans="1:27" x14ac:dyDescent="0.35">
      <c r="A15667">
        <v>1004792</v>
      </c>
      <c r="B15667">
        <v>14006</v>
      </c>
      <c r="C15667">
        <v>1</v>
      </c>
      <c r="D15667" t="s">
        <v>35352</v>
      </c>
      <c r="F15667" t="s">
        <v>35353</v>
      </c>
      <c r="H15667" t="s">
        <v>35957</v>
      </c>
      <c r="J15667" t="s">
        <v>35988</v>
      </c>
      <c r="L15667" t="s">
        <v>36071</v>
      </c>
      <c r="N15667" t="s">
        <v>36072</v>
      </c>
      <c r="P15667" t="s">
        <v>36200</v>
      </c>
      <c r="R15667" s="26" t="str">
        <f>HYPERLINK("https://ictv.global/taxonomy/taxondetails?taxnode_id=202302438","Mastadenovirus otariidae")</f>
        <v>Mastadenovirus otariidae</v>
      </c>
      <c r="S15667" t="s">
        <v>30</v>
      </c>
      <c r="T15667" t="s">
        <v>36563</v>
      </c>
      <c r="U15667" t="s">
        <v>36564</v>
      </c>
      <c r="V15667" t="s">
        <v>36565</v>
      </c>
      <c r="W15667" t="s">
        <v>36566</v>
      </c>
      <c r="X15667" t="s">
        <v>42</v>
      </c>
      <c r="Y15667" t="s">
        <v>36</v>
      </c>
      <c r="Z15667" t="s">
        <v>166</v>
      </c>
      <c r="AA15667" s="22" t="str">
        <f>HYPERLINK("https://www.ncbi.nlm.nih.gov/nuccore/KJ563221","NCBI Nucleotide")</f>
        <v>NCBI Nucleotide</v>
      </c>
    </row>
    <row r="15668" spans="1:27" x14ac:dyDescent="0.35">
      <c r="A15668">
        <v>1004786</v>
      </c>
      <c r="B15668">
        <v>14007</v>
      </c>
      <c r="C15668">
        <v>1</v>
      </c>
      <c r="D15668" t="s">
        <v>35352</v>
      </c>
      <c r="F15668" t="s">
        <v>35353</v>
      </c>
      <c r="H15668" t="s">
        <v>35957</v>
      </c>
      <c r="J15668" t="s">
        <v>35988</v>
      </c>
      <c r="L15668" t="s">
        <v>36071</v>
      </c>
      <c r="N15668" t="s">
        <v>36072</v>
      </c>
      <c r="P15668" t="s">
        <v>36200</v>
      </c>
      <c r="R15668" s="26" t="str">
        <f>HYPERLINK("https://ictv.global/taxonomy/taxondetails?taxnode_id=202307196","Mastadenovirus ovisoctavum")</f>
        <v>Mastadenovirus ovisoctavum</v>
      </c>
      <c r="S15668" t="s">
        <v>30</v>
      </c>
      <c r="T15668" t="s">
        <v>36540</v>
      </c>
      <c r="U15668" t="s">
        <v>36541</v>
      </c>
      <c r="V15668">
        <v>7508</v>
      </c>
      <c r="W15668" t="s">
        <v>36542</v>
      </c>
      <c r="X15668" t="s">
        <v>42</v>
      </c>
      <c r="Y15668" t="s">
        <v>36</v>
      </c>
      <c r="Z15668" t="s">
        <v>166</v>
      </c>
      <c r="AA15668" s="22" t="str">
        <f>HYPERLINK("https://www.ncbi.nlm.nih.gov/nuccore/MK518392","NCBI Nucleotide")</f>
        <v>NCBI Nucleotide</v>
      </c>
    </row>
    <row r="15669" spans="1:27" x14ac:dyDescent="0.35">
      <c r="A15669">
        <v>1004785</v>
      </c>
      <c r="B15669">
        <v>14008</v>
      </c>
      <c r="C15669">
        <v>1</v>
      </c>
      <c r="D15669" t="s">
        <v>35352</v>
      </c>
      <c r="F15669" t="s">
        <v>35353</v>
      </c>
      <c r="H15669" t="s">
        <v>35957</v>
      </c>
      <c r="J15669" t="s">
        <v>35988</v>
      </c>
      <c r="L15669" t="s">
        <v>36071</v>
      </c>
      <c r="N15669" t="s">
        <v>36072</v>
      </c>
      <c r="P15669" t="s">
        <v>36200</v>
      </c>
      <c r="R15669" s="26" t="str">
        <f>HYPERLINK("https://ictv.global/taxonomy/taxondetails?taxnode_id=202302433","Mastadenovirus ovisprimum")</f>
        <v>Mastadenovirus ovisprimum</v>
      </c>
      <c r="S15669" t="s">
        <v>30</v>
      </c>
      <c r="T15669" t="s">
        <v>36536</v>
      </c>
      <c r="U15669" t="s">
        <v>36537</v>
      </c>
      <c r="V15669" t="s">
        <v>36538</v>
      </c>
      <c r="W15669" t="s">
        <v>36539</v>
      </c>
      <c r="X15669" t="s">
        <v>154</v>
      </c>
      <c r="Y15669" t="s">
        <v>36</v>
      </c>
      <c r="Z15669" t="s">
        <v>166</v>
      </c>
      <c r="AA15669" s="22" t="str">
        <f>HYPERLINK("https://www.ncbi.nlm.nih.gov/nuccore/DQ630754","NCBI Nucleotide")</f>
        <v>NCBI Nucleotide</v>
      </c>
    </row>
    <row r="15670" spans="1:27" x14ac:dyDescent="0.35">
      <c r="A15670">
        <v>1028014</v>
      </c>
      <c r="B15670">
        <v>14008</v>
      </c>
      <c r="C15670">
        <v>2</v>
      </c>
      <c r="D15670" t="s">
        <v>35352</v>
      </c>
      <c r="F15670" t="s">
        <v>35353</v>
      </c>
      <c r="H15670" t="s">
        <v>35957</v>
      </c>
      <c r="J15670" t="s">
        <v>35988</v>
      </c>
      <c r="L15670" t="s">
        <v>36071</v>
      </c>
      <c r="N15670" t="s">
        <v>36072</v>
      </c>
      <c r="P15670" t="s">
        <v>36200</v>
      </c>
      <c r="R15670" s="26" t="str">
        <f>HYPERLINK("https://ictv.global/taxonomy/taxondetails?taxnode_id=202302433","Mastadenovirus ovisprimum")</f>
        <v>Mastadenovirus ovisprimum</v>
      </c>
      <c r="S15670" t="s">
        <v>8141</v>
      </c>
      <c r="T15670" t="s">
        <v>50952</v>
      </c>
      <c r="U15670" t="s">
        <v>50953</v>
      </c>
      <c r="V15670" t="s">
        <v>50954</v>
      </c>
      <c r="W15670" t="s">
        <v>50955</v>
      </c>
      <c r="X15670" t="s">
        <v>154</v>
      </c>
      <c r="Y15670" t="s">
        <v>36</v>
      </c>
      <c r="Z15670" t="s">
        <v>166</v>
      </c>
      <c r="AA15670" s="22" t="str">
        <f>HYPERLINK("https://www.ncbi.nlm.nih.gov/nuccore/DQ630760","NCBI Nucleotide")</f>
        <v>NCBI Nucleotide</v>
      </c>
    </row>
    <row r="15671" spans="1:27" x14ac:dyDescent="0.35">
      <c r="A15671">
        <v>1028015</v>
      </c>
      <c r="B15671">
        <v>14008</v>
      </c>
      <c r="C15671">
        <v>3</v>
      </c>
      <c r="D15671" t="s">
        <v>35352</v>
      </c>
      <c r="F15671" t="s">
        <v>35353</v>
      </c>
      <c r="H15671" t="s">
        <v>35957</v>
      </c>
      <c r="J15671" t="s">
        <v>35988</v>
      </c>
      <c r="L15671" t="s">
        <v>36071</v>
      </c>
      <c r="N15671" t="s">
        <v>36072</v>
      </c>
      <c r="P15671" t="s">
        <v>36200</v>
      </c>
      <c r="R15671" s="26" t="str">
        <f>HYPERLINK("https://ictv.global/taxonomy/taxondetails?taxnode_id=202302433","Mastadenovirus ovisprimum")</f>
        <v>Mastadenovirus ovisprimum</v>
      </c>
      <c r="S15671" t="s">
        <v>8141</v>
      </c>
      <c r="T15671" t="s">
        <v>50956</v>
      </c>
      <c r="V15671" t="s">
        <v>50958</v>
      </c>
      <c r="W15671" t="s">
        <v>50957</v>
      </c>
      <c r="X15671" t="s">
        <v>154</v>
      </c>
      <c r="Y15671" t="s">
        <v>36</v>
      </c>
      <c r="Z15671" t="s">
        <v>166</v>
      </c>
      <c r="AA15671" s="22" t="str">
        <f>HYPERLINK("https://www.ncbi.nlm.nih.gov/nuccore/OP150929","NCBI Nucleotide")</f>
        <v>NCBI Nucleotide</v>
      </c>
    </row>
    <row r="15672" spans="1:27" x14ac:dyDescent="0.35">
      <c r="A15672">
        <v>1024967</v>
      </c>
      <c r="B15672">
        <v>14009</v>
      </c>
      <c r="C15672">
        <v>1</v>
      </c>
      <c r="D15672" t="s">
        <v>35352</v>
      </c>
      <c r="F15672" t="s">
        <v>35353</v>
      </c>
      <c r="H15672" t="s">
        <v>35957</v>
      </c>
      <c r="J15672" t="s">
        <v>35988</v>
      </c>
      <c r="L15672" t="s">
        <v>36071</v>
      </c>
      <c r="N15672" t="s">
        <v>36072</v>
      </c>
      <c r="P15672" t="s">
        <v>36200</v>
      </c>
      <c r="R15672" s="26" t="str">
        <f>HYPERLINK("https://ictv.global/taxonomy/taxondetails?taxnode_id=202317887","Mastadenovirus phocoenae")</f>
        <v>Mastadenovirus phocoenae</v>
      </c>
      <c r="S15672" t="s">
        <v>30</v>
      </c>
      <c r="T15672" t="s">
        <v>47804</v>
      </c>
      <c r="U15672" t="s">
        <v>47805</v>
      </c>
      <c r="V15672" t="s">
        <v>47806</v>
      </c>
      <c r="W15672" t="s">
        <v>47807</v>
      </c>
      <c r="X15672" t="s">
        <v>154</v>
      </c>
      <c r="Y15672" t="s">
        <v>36</v>
      </c>
      <c r="Z15672" t="s">
        <v>166</v>
      </c>
      <c r="AA15672" s="22" t="str">
        <f>HYPERLINK("https://www.ncbi.nlm.nih.gov/nuccore/KY352473","NCBI Nucleotide")</f>
        <v>NCBI Nucleotide</v>
      </c>
    </row>
    <row r="15673" spans="1:27" x14ac:dyDescent="0.35">
      <c r="A15673">
        <v>1004755</v>
      </c>
      <c r="B15673">
        <v>14010</v>
      </c>
      <c r="C15673">
        <v>1</v>
      </c>
      <c r="D15673" t="s">
        <v>35352</v>
      </c>
      <c r="F15673" t="s">
        <v>35353</v>
      </c>
      <c r="H15673" t="s">
        <v>35957</v>
      </c>
      <c r="J15673" t="s">
        <v>35988</v>
      </c>
      <c r="L15673" t="s">
        <v>36071</v>
      </c>
      <c r="N15673" t="s">
        <v>36072</v>
      </c>
      <c r="P15673" t="s">
        <v>36200</v>
      </c>
      <c r="R15673" s="26" t="str">
        <f>HYPERLINK("https://ictv.global/taxonomy/taxondetails?taxnode_id=202302414","Mastadenovirus pipistrelli")</f>
        <v>Mastadenovirus pipistrelli</v>
      </c>
      <c r="S15673" t="s">
        <v>30</v>
      </c>
      <c r="T15673" t="s">
        <v>36208</v>
      </c>
      <c r="U15673" t="s">
        <v>36209</v>
      </c>
      <c r="V15673" t="s">
        <v>36210</v>
      </c>
      <c r="W15673" t="s">
        <v>36211</v>
      </c>
      <c r="X15673" t="s">
        <v>42</v>
      </c>
      <c r="Y15673" t="s">
        <v>36</v>
      </c>
      <c r="Z15673" t="s">
        <v>166</v>
      </c>
      <c r="AA15673" s="22" t="str">
        <f>HYPERLINK("https://www.ncbi.nlm.nih.gov/nuccore/JN252129","NCBI Nucleotide")</f>
        <v>NCBI Nucleotide</v>
      </c>
    </row>
    <row r="15674" spans="1:27" x14ac:dyDescent="0.35">
      <c r="A15674">
        <v>1004790</v>
      </c>
      <c r="B15674">
        <v>14011</v>
      </c>
      <c r="C15674">
        <v>1</v>
      </c>
      <c r="D15674" t="s">
        <v>35352</v>
      </c>
      <c r="F15674" t="s">
        <v>35353</v>
      </c>
      <c r="H15674" t="s">
        <v>35957</v>
      </c>
      <c r="J15674" t="s">
        <v>35988</v>
      </c>
      <c r="L15674" t="s">
        <v>36071</v>
      </c>
      <c r="N15674" t="s">
        <v>36072</v>
      </c>
      <c r="P15674" t="s">
        <v>36200</v>
      </c>
      <c r="R15674" s="26" t="str">
        <f>HYPERLINK("https://ictv.global/taxonomy/taxondetails?taxnode_id=202302436","Mastadenovirus porcusquartum")</f>
        <v>Mastadenovirus porcusquartum</v>
      </c>
      <c r="S15674" t="s">
        <v>30</v>
      </c>
      <c r="T15674" t="s">
        <v>36556</v>
      </c>
      <c r="U15674" t="s">
        <v>36557</v>
      </c>
      <c r="V15674" t="s">
        <v>36558</v>
      </c>
      <c r="W15674" t="s">
        <v>36559</v>
      </c>
      <c r="X15674" t="s">
        <v>42</v>
      </c>
      <c r="Y15674" t="s">
        <v>36</v>
      </c>
      <c r="Z15674" t="s">
        <v>166</v>
      </c>
      <c r="AA15674" s="22" t="str">
        <f>HYPERLINK("https://www.ncbi.nlm.nih.gov/nuccore/MK774519","NCBI Nucleotide")</f>
        <v>NCBI Nucleotide</v>
      </c>
    </row>
    <row r="15675" spans="1:27" x14ac:dyDescent="0.35">
      <c r="A15675">
        <v>1004791</v>
      </c>
      <c r="B15675">
        <v>14012</v>
      </c>
      <c r="C15675">
        <v>1</v>
      </c>
      <c r="D15675" t="s">
        <v>35352</v>
      </c>
      <c r="F15675" t="s">
        <v>35353</v>
      </c>
      <c r="H15675" t="s">
        <v>35957</v>
      </c>
      <c r="J15675" t="s">
        <v>35988</v>
      </c>
      <c r="L15675" t="s">
        <v>36071</v>
      </c>
      <c r="N15675" t="s">
        <v>36072</v>
      </c>
      <c r="P15675" t="s">
        <v>36200</v>
      </c>
      <c r="R15675" s="26" t="str">
        <f>HYPERLINK("https://ictv.global/taxonomy/taxondetails?taxnode_id=202302437","Mastadenovirus porcusquintum")</f>
        <v>Mastadenovirus porcusquintum</v>
      </c>
      <c r="S15675" t="s">
        <v>30</v>
      </c>
      <c r="T15675" t="s">
        <v>36560</v>
      </c>
      <c r="U15675" t="s">
        <v>36561</v>
      </c>
      <c r="W15675" t="s">
        <v>36562</v>
      </c>
      <c r="X15675" t="s">
        <v>42</v>
      </c>
      <c r="Y15675" t="s">
        <v>36</v>
      </c>
      <c r="Z15675" t="s">
        <v>166</v>
      </c>
      <c r="AA15675" s="22" t="str">
        <f>HYPERLINK("https://www.ncbi.nlm.nih.gov/nuccore/AF289262","NCBI Nucleotide")</f>
        <v>NCBI Nucleotide</v>
      </c>
    </row>
    <row r="15676" spans="1:27" x14ac:dyDescent="0.35">
      <c r="A15676">
        <v>1004789</v>
      </c>
      <c r="B15676">
        <v>14013</v>
      </c>
      <c r="C15676">
        <v>1</v>
      </c>
      <c r="D15676" t="s">
        <v>35352</v>
      </c>
      <c r="F15676" t="s">
        <v>35353</v>
      </c>
      <c r="H15676" t="s">
        <v>35957</v>
      </c>
      <c r="J15676" t="s">
        <v>35988</v>
      </c>
      <c r="L15676" t="s">
        <v>36071</v>
      </c>
      <c r="N15676" t="s">
        <v>36072</v>
      </c>
      <c r="P15676" t="s">
        <v>36200</v>
      </c>
      <c r="R15676" s="26" t="str">
        <f>HYPERLINK("https://ictv.global/taxonomy/taxondetails?taxnode_id=202302435","Mastadenovirus porcustertium")</f>
        <v>Mastadenovirus porcustertium</v>
      </c>
      <c r="S15676" t="s">
        <v>30</v>
      </c>
      <c r="T15676" t="s">
        <v>36551</v>
      </c>
      <c r="U15676" t="s">
        <v>36552</v>
      </c>
      <c r="V15676">
        <v>6618</v>
      </c>
      <c r="W15676" t="s">
        <v>50951</v>
      </c>
      <c r="X15676" t="s">
        <v>42</v>
      </c>
      <c r="Y15676" t="s">
        <v>36</v>
      </c>
      <c r="Z15676" t="s">
        <v>166</v>
      </c>
      <c r="AA15676" s="22" t="str">
        <f>HYPERLINK("https://www.ncbi.nlm.nih.gov/nuccore/AF083132,AC_000189","NCBI Nucleotide")</f>
        <v>NCBI Nucleotide</v>
      </c>
    </row>
    <row r="15677" spans="1:27" x14ac:dyDescent="0.35">
      <c r="A15677">
        <v>1012154</v>
      </c>
      <c r="B15677">
        <v>14013</v>
      </c>
      <c r="C15677">
        <v>2</v>
      </c>
      <c r="D15677" t="s">
        <v>35352</v>
      </c>
      <c r="F15677" t="s">
        <v>35353</v>
      </c>
      <c r="H15677" t="s">
        <v>35957</v>
      </c>
      <c r="J15677" t="s">
        <v>35988</v>
      </c>
      <c r="L15677" t="s">
        <v>36071</v>
      </c>
      <c r="N15677" t="s">
        <v>36072</v>
      </c>
      <c r="P15677" t="s">
        <v>36200</v>
      </c>
      <c r="R15677" s="26" t="str">
        <f>HYPERLINK("https://ictv.global/taxonomy/taxondetails?taxnode_id=202302435","Mastadenovirus porcustertium")</f>
        <v>Mastadenovirus porcustertium</v>
      </c>
      <c r="S15677" t="s">
        <v>8141</v>
      </c>
      <c r="T15677" t="s">
        <v>36553</v>
      </c>
      <c r="U15677" t="s">
        <v>36554</v>
      </c>
      <c r="V15677" t="s">
        <v>36555</v>
      </c>
      <c r="W15677" t="s">
        <v>50344</v>
      </c>
      <c r="X15677" t="s">
        <v>154</v>
      </c>
      <c r="Y15677" t="s">
        <v>36</v>
      </c>
      <c r="Z15677" t="s">
        <v>166</v>
      </c>
      <c r="AA15677" s="22" t="str">
        <f>HYPERLINK("https://www.ncbi.nlm.nih.gov/nuccore/L43364","NCBI Nucleotide")</f>
        <v>NCBI Nucleotide</v>
      </c>
    </row>
    <row r="15678" spans="1:27" x14ac:dyDescent="0.35">
      <c r="A15678">
        <v>1004759</v>
      </c>
      <c r="B15678">
        <v>14014</v>
      </c>
      <c r="C15678">
        <v>1</v>
      </c>
      <c r="D15678" t="s">
        <v>35352</v>
      </c>
      <c r="F15678" t="s">
        <v>35353</v>
      </c>
      <c r="H15678" t="s">
        <v>35957</v>
      </c>
      <c r="J15678" t="s">
        <v>35988</v>
      </c>
      <c r="L15678" t="s">
        <v>36071</v>
      </c>
      <c r="N15678" t="s">
        <v>36072</v>
      </c>
      <c r="P15678" t="s">
        <v>36200</v>
      </c>
      <c r="R15678" s="26" t="str">
        <f>HYPERLINK("https://ictv.global/taxonomy/taxondetails?taxnode_id=202305658","Mastadenovirus pteropodidae")</f>
        <v>Mastadenovirus pteropodidae</v>
      </c>
      <c r="S15678" t="s">
        <v>30</v>
      </c>
      <c r="T15678" t="s">
        <v>36224</v>
      </c>
      <c r="U15678" t="s">
        <v>36225</v>
      </c>
      <c r="V15678" t="s">
        <v>36226</v>
      </c>
      <c r="W15678" t="s">
        <v>36227</v>
      </c>
      <c r="X15678" t="s">
        <v>42</v>
      </c>
      <c r="Y15678" t="s">
        <v>36</v>
      </c>
      <c r="Z15678" t="s">
        <v>166</v>
      </c>
      <c r="AA15678" s="22" t="str">
        <f>HYPERLINK("https://www.ncbi.nlm.nih.gov/nuccore/KX961095","NCBI Nucleotide")</f>
        <v>NCBI Nucleotide</v>
      </c>
    </row>
    <row r="15679" spans="1:27" x14ac:dyDescent="0.35">
      <c r="A15679">
        <v>1012057</v>
      </c>
      <c r="B15679">
        <v>14014</v>
      </c>
      <c r="C15679">
        <v>2</v>
      </c>
      <c r="D15679" t="s">
        <v>35352</v>
      </c>
      <c r="F15679" t="s">
        <v>35353</v>
      </c>
      <c r="H15679" t="s">
        <v>35957</v>
      </c>
      <c r="J15679" t="s">
        <v>35988</v>
      </c>
      <c r="L15679" t="s">
        <v>36071</v>
      </c>
      <c r="N15679" t="s">
        <v>36072</v>
      </c>
      <c r="P15679" t="s">
        <v>36200</v>
      </c>
      <c r="R15679" s="26" t="str">
        <f>HYPERLINK("https://ictv.global/taxonomy/taxondetails?taxnode_id=202305658","Mastadenovirus pteropodidae")</f>
        <v>Mastadenovirus pteropodidae</v>
      </c>
      <c r="S15679" t="s">
        <v>8141</v>
      </c>
      <c r="T15679" t="s">
        <v>36228</v>
      </c>
      <c r="U15679" t="s">
        <v>36229</v>
      </c>
      <c r="V15679" t="s">
        <v>36230</v>
      </c>
      <c r="W15679" t="s">
        <v>50345</v>
      </c>
      <c r="X15679" t="s">
        <v>42</v>
      </c>
      <c r="Y15679" t="s">
        <v>36</v>
      </c>
      <c r="Z15679" t="s">
        <v>166</v>
      </c>
      <c r="AA15679" s="22" t="str">
        <f>HYPERLINK("https://www.ncbi.nlm.nih.gov/nuccore/KX961096","NCBI Nucleotide")</f>
        <v>NCBI Nucleotide</v>
      </c>
    </row>
    <row r="15680" spans="1:27" x14ac:dyDescent="0.35">
      <c r="A15680">
        <v>1004800</v>
      </c>
      <c r="B15680">
        <v>14015</v>
      </c>
      <c r="C15680">
        <v>1</v>
      </c>
      <c r="D15680" t="s">
        <v>35352</v>
      </c>
      <c r="F15680" t="s">
        <v>35353</v>
      </c>
      <c r="H15680" t="s">
        <v>35957</v>
      </c>
      <c r="J15680" t="s">
        <v>35988</v>
      </c>
      <c r="L15680" t="s">
        <v>36071</v>
      </c>
      <c r="N15680" t="s">
        <v>36072</v>
      </c>
      <c r="P15680" t="s">
        <v>36200</v>
      </c>
      <c r="R15680" s="26" t="str">
        <f>HYPERLINK("https://ictv.global/taxonomy/taxondetails?taxnode_id=202302446","Mastadenovirus rhesi")</f>
        <v>Mastadenovirus rhesi</v>
      </c>
      <c r="S15680" t="s">
        <v>30</v>
      </c>
      <c r="T15680" t="s">
        <v>36635</v>
      </c>
      <c r="U15680" t="s">
        <v>36636</v>
      </c>
      <c r="V15680" t="s">
        <v>36637</v>
      </c>
      <c r="W15680" t="s">
        <v>36638</v>
      </c>
      <c r="X15680" t="s">
        <v>42</v>
      </c>
      <c r="Y15680" t="s">
        <v>36</v>
      </c>
      <c r="Z15680" t="s">
        <v>166</v>
      </c>
      <c r="AA15680" s="22" t="str">
        <f>HYPERLINK("https://www.ncbi.nlm.nih.gov/nuccore/KM190146","NCBI Nucleotide")</f>
        <v>NCBI Nucleotide</v>
      </c>
    </row>
    <row r="15681" spans="1:27" x14ac:dyDescent="0.35">
      <c r="A15681">
        <v>1004756</v>
      </c>
      <c r="B15681">
        <v>14016</v>
      </c>
      <c r="C15681">
        <v>1</v>
      </c>
      <c r="D15681" t="s">
        <v>35352</v>
      </c>
      <c r="F15681" t="s">
        <v>35353</v>
      </c>
      <c r="H15681" t="s">
        <v>35957</v>
      </c>
      <c r="J15681" t="s">
        <v>35988</v>
      </c>
      <c r="L15681" t="s">
        <v>36071</v>
      </c>
      <c r="N15681" t="s">
        <v>36072</v>
      </c>
      <c r="P15681" t="s">
        <v>36200</v>
      </c>
      <c r="R15681" s="26" t="str">
        <f>HYPERLINK("https://ictv.global/taxonomy/taxondetails?taxnode_id=202305655","Mastadenovirus rhinolopidae")</f>
        <v>Mastadenovirus rhinolopidae</v>
      </c>
      <c r="S15681" t="s">
        <v>30</v>
      </c>
      <c r="T15681" t="s">
        <v>36212</v>
      </c>
      <c r="U15681" t="s">
        <v>36213</v>
      </c>
      <c r="V15681" t="s">
        <v>36214</v>
      </c>
      <c r="W15681" t="s">
        <v>36215</v>
      </c>
      <c r="X15681" t="s">
        <v>42</v>
      </c>
      <c r="Y15681" t="s">
        <v>36</v>
      </c>
      <c r="Z15681" t="s">
        <v>166</v>
      </c>
      <c r="AA15681" s="22" t="str">
        <f>HYPERLINK("https://www.ncbi.nlm.nih.gov/nuccore/KT698853","NCBI Nucleotide")</f>
        <v>NCBI Nucleotide</v>
      </c>
    </row>
    <row r="15682" spans="1:27" x14ac:dyDescent="0.35">
      <c r="A15682">
        <v>1004780</v>
      </c>
      <c r="B15682">
        <v>14017</v>
      </c>
      <c r="C15682">
        <v>1</v>
      </c>
      <c r="D15682" t="s">
        <v>35352</v>
      </c>
      <c r="F15682" t="s">
        <v>35353</v>
      </c>
      <c r="H15682" t="s">
        <v>35957</v>
      </c>
      <c r="J15682" t="s">
        <v>35988</v>
      </c>
      <c r="L15682" t="s">
        <v>36071</v>
      </c>
      <c r="N15682" t="s">
        <v>36072</v>
      </c>
      <c r="P15682" t="s">
        <v>36200</v>
      </c>
      <c r="R15682" s="26" t="str">
        <f t="shared" ref="R15682:R15692" si="81">HYPERLINK("https://ictv.global/taxonomy/taxondetails?taxnode_id=202302428","Mastadenovirus russelli")</f>
        <v>Mastadenovirus russelli</v>
      </c>
      <c r="S15682" t="s">
        <v>30</v>
      </c>
      <c r="T15682" t="s">
        <v>36485</v>
      </c>
      <c r="U15682" t="s">
        <v>36486</v>
      </c>
      <c r="V15682" t="s">
        <v>36487</v>
      </c>
      <c r="W15682" t="s">
        <v>36488</v>
      </c>
      <c r="X15682" t="s">
        <v>42</v>
      </c>
      <c r="Y15682" t="s">
        <v>36</v>
      </c>
      <c r="Z15682" t="s">
        <v>166</v>
      </c>
      <c r="AA15682" s="22" t="str">
        <f>HYPERLINK("https://www.ncbi.nlm.nih.gov/nuccore/AY771780","NCBI Nucleotide")</f>
        <v>NCBI Nucleotide</v>
      </c>
    </row>
    <row r="15683" spans="1:27" x14ac:dyDescent="0.35">
      <c r="A15683">
        <v>1012140</v>
      </c>
      <c r="B15683">
        <v>14017</v>
      </c>
      <c r="C15683">
        <v>2</v>
      </c>
      <c r="D15683" t="s">
        <v>35352</v>
      </c>
      <c r="F15683" t="s">
        <v>35353</v>
      </c>
      <c r="H15683" t="s">
        <v>35957</v>
      </c>
      <c r="J15683" t="s">
        <v>35988</v>
      </c>
      <c r="L15683" t="s">
        <v>36071</v>
      </c>
      <c r="N15683" t="s">
        <v>36072</v>
      </c>
      <c r="P15683" t="s">
        <v>36200</v>
      </c>
      <c r="R15683" s="26" t="str">
        <f t="shared" si="81"/>
        <v>Mastadenovirus russelli</v>
      </c>
      <c r="S15683" t="s">
        <v>8141</v>
      </c>
      <c r="T15683" t="s">
        <v>36489</v>
      </c>
      <c r="U15683" t="s">
        <v>36490</v>
      </c>
      <c r="V15683" t="s">
        <v>36491</v>
      </c>
      <c r="W15683" t="s">
        <v>50346</v>
      </c>
      <c r="X15683" t="s">
        <v>42</v>
      </c>
      <c r="Y15683" t="s">
        <v>36</v>
      </c>
      <c r="Z15683" t="s">
        <v>166</v>
      </c>
      <c r="AA15683" s="22" t="str">
        <f>HYPERLINK("https://www.ncbi.nlm.nih.gov/nuccore/DQ923122","NCBI Nucleotide")</f>
        <v>NCBI Nucleotide</v>
      </c>
    </row>
    <row r="15684" spans="1:27" x14ac:dyDescent="0.35">
      <c r="A15684">
        <v>1012141</v>
      </c>
      <c r="B15684">
        <v>14017</v>
      </c>
      <c r="C15684">
        <v>3</v>
      </c>
      <c r="D15684" t="s">
        <v>35352</v>
      </c>
      <c r="F15684" t="s">
        <v>35353</v>
      </c>
      <c r="H15684" t="s">
        <v>35957</v>
      </c>
      <c r="J15684" t="s">
        <v>35988</v>
      </c>
      <c r="L15684" t="s">
        <v>36071</v>
      </c>
      <c r="N15684" t="s">
        <v>36072</v>
      </c>
      <c r="P15684" t="s">
        <v>36200</v>
      </c>
      <c r="R15684" s="26" t="str">
        <f t="shared" si="81"/>
        <v>Mastadenovirus russelli</v>
      </c>
      <c r="S15684" t="s">
        <v>8141</v>
      </c>
      <c r="T15684" t="s">
        <v>36492</v>
      </c>
      <c r="U15684" t="s">
        <v>36493</v>
      </c>
      <c r="V15684" t="s">
        <v>36494</v>
      </c>
      <c r="W15684" t="s">
        <v>50347</v>
      </c>
      <c r="X15684" t="s">
        <v>42</v>
      </c>
      <c r="Y15684" t="s">
        <v>36</v>
      </c>
      <c r="Z15684" t="s">
        <v>166</v>
      </c>
      <c r="AA15684" s="22" t="str">
        <f>HYPERLINK("https://www.ncbi.nlm.nih.gov/nuccore/MG969551","NCBI Nucleotide")</f>
        <v>NCBI Nucleotide</v>
      </c>
    </row>
    <row r="15685" spans="1:27" x14ac:dyDescent="0.35">
      <c r="A15685">
        <v>1012142</v>
      </c>
      <c r="B15685">
        <v>14017</v>
      </c>
      <c r="C15685">
        <v>4</v>
      </c>
      <c r="D15685" t="s">
        <v>35352</v>
      </c>
      <c r="F15685" t="s">
        <v>35353</v>
      </c>
      <c r="H15685" t="s">
        <v>35957</v>
      </c>
      <c r="J15685" t="s">
        <v>35988</v>
      </c>
      <c r="L15685" t="s">
        <v>36071</v>
      </c>
      <c r="N15685" t="s">
        <v>36072</v>
      </c>
      <c r="P15685" t="s">
        <v>36200</v>
      </c>
      <c r="R15685" s="26" t="str">
        <f t="shared" si="81"/>
        <v>Mastadenovirus russelli</v>
      </c>
      <c r="S15685" t="s">
        <v>8141</v>
      </c>
      <c r="T15685" t="s">
        <v>36495</v>
      </c>
      <c r="U15685" t="s">
        <v>36496</v>
      </c>
      <c r="V15685" t="s">
        <v>36497</v>
      </c>
      <c r="W15685" t="s">
        <v>50348</v>
      </c>
      <c r="X15685" t="s">
        <v>42</v>
      </c>
      <c r="Y15685" t="s">
        <v>36</v>
      </c>
      <c r="Z15685" t="s">
        <v>166</v>
      </c>
      <c r="AA15685" s="22" t="str">
        <f>HYPERLINK("https://www.ncbi.nlm.nih.gov/nuccore/DQ792570","NCBI Nucleotide")</f>
        <v>NCBI Nucleotide</v>
      </c>
    </row>
    <row r="15686" spans="1:27" x14ac:dyDescent="0.35">
      <c r="A15686">
        <v>1012143</v>
      </c>
      <c r="B15686">
        <v>14017</v>
      </c>
      <c r="C15686">
        <v>5</v>
      </c>
      <c r="D15686" t="s">
        <v>35352</v>
      </c>
      <c r="F15686" t="s">
        <v>35353</v>
      </c>
      <c r="H15686" t="s">
        <v>35957</v>
      </c>
      <c r="J15686" t="s">
        <v>35988</v>
      </c>
      <c r="L15686" t="s">
        <v>36071</v>
      </c>
      <c r="N15686" t="s">
        <v>36072</v>
      </c>
      <c r="P15686" t="s">
        <v>36200</v>
      </c>
      <c r="R15686" s="26" t="str">
        <f t="shared" si="81"/>
        <v>Mastadenovirus russelli</v>
      </c>
      <c r="S15686" t="s">
        <v>8141</v>
      </c>
      <c r="T15686" t="s">
        <v>36498</v>
      </c>
      <c r="U15686" t="s">
        <v>36499</v>
      </c>
      <c r="V15686" t="s">
        <v>36500</v>
      </c>
      <c r="W15686" t="s">
        <v>50349</v>
      </c>
      <c r="X15686" t="s">
        <v>42</v>
      </c>
      <c r="Y15686" t="s">
        <v>36</v>
      </c>
      <c r="Z15686" t="s">
        <v>166</v>
      </c>
      <c r="AA15686" s="22" t="str">
        <f>HYPERLINK("https://www.ncbi.nlm.nih.gov/nuccore/KP329562","NCBI Nucleotide")</f>
        <v>NCBI Nucleotide</v>
      </c>
    </row>
    <row r="15687" spans="1:27" x14ac:dyDescent="0.35">
      <c r="A15687">
        <v>1012144</v>
      </c>
      <c r="B15687">
        <v>14017</v>
      </c>
      <c r="C15687">
        <v>6</v>
      </c>
      <c r="D15687" t="s">
        <v>35352</v>
      </c>
      <c r="F15687" t="s">
        <v>35353</v>
      </c>
      <c r="H15687" t="s">
        <v>35957</v>
      </c>
      <c r="J15687" t="s">
        <v>35988</v>
      </c>
      <c r="L15687" t="s">
        <v>36071</v>
      </c>
      <c r="N15687" t="s">
        <v>36072</v>
      </c>
      <c r="P15687" t="s">
        <v>36200</v>
      </c>
      <c r="R15687" s="26" t="str">
        <f t="shared" si="81"/>
        <v>Mastadenovirus russelli</v>
      </c>
      <c r="S15687" t="s">
        <v>8141</v>
      </c>
      <c r="T15687" t="s">
        <v>36501</v>
      </c>
      <c r="U15687" t="s">
        <v>36502</v>
      </c>
      <c r="V15687" t="s">
        <v>36503</v>
      </c>
      <c r="W15687" t="s">
        <v>50350</v>
      </c>
      <c r="X15687" t="s">
        <v>154</v>
      </c>
      <c r="Y15687" t="s">
        <v>36</v>
      </c>
      <c r="Z15687" t="s">
        <v>166</v>
      </c>
      <c r="AA15687" s="22" t="str">
        <f>HYPERLINK("https://www.ncbi.nlm.nih.gov/nuccore/KP853123","NCBI Nucleotide")</f>
        <v>NCBI Nucleotide</v>
      </c>
    </row>
    <row r="15688" spans="1:27" x14ac:dyDescent="0.35">
      <c r="A15688">
        <v>1012145</v>
      </c>
      <c r="B15688">
        <v>14017</v>
      </c>
      <c r="C15688">
        <v>7</v>
      </c>
      <c r="D15688" t="s">
        <v>35352</v>
      </c>
      <c r="F15688" t="s">
        <v>35353</v>
      </c>
      <c r="H15688" t="s">
        <v>35957</v>
      </c>
      <c r="J15688" t="s">
        <v>35988</v>
      </c>
      <c r="L15688" t="s">
        <v>36071</v>
      </c>
      <c r="N15688" t="s">
        <v>36072</v>
      </c>
      <c r="P15688" t="s">
        <v>36200</v>
      </c>
      <c r="R15688" s="26" t="str">
        <f t="shared" si="81"/>
        <v>Mastadenovirus russelli</v>
      </c>
      <c r="S15688" t="s">
        <v>8141</v>
      </c>
      <c r="T15688" t="s">
        <v>36504</v>
      </c>
      <c r="U15688" t="s">
        <v>36505</v>
      </c>
      <c r="V15688" t="s">
        <v>36506</v>
      </c>
      <c r="W15688" t="s">
        <v>50351</v>
      </c>
      <c r="X15688" t="s">
        <v>154</v>
      </c>
      <c r="Y15688" t="s">
        <v>36</v>
      </c>
      <c r="Z15688" t="s">
        <v>166</v>
      </c>
      <c r="AA15688" s="22" t="str">
        <f>HYPERLINK("https://www.ncbi.nlm.nih.gov/nuccore/KP853109","NCBI Nucleotide")</f>
        <v>NCBI Nucleotide</v>
      </c>
    </row>
    <row r="15689" spans="1:27" x14ac:dyDescent="0.35">
      <c r="A15689">
        <v>1012146</v>
      </c>
      <c r="B15689">
        <v>14017</v>
      </c>
      <c r="C15689">
        <v>8</v>
      </c>
      <c r="D15689" t="s">
        <v>35352</v>
      </c>
      <c r="F15689" t="s">
        <v>35353</v>
      </c>
      <c r="H15689" t="s">
        <v>35957</v>
      </c>
      <c r="J15689" t="s">
        <v>35988</v>
      </c>
      <c r="L15689" t="s">
        <v>36071</v>
      </c>
      <c r="N15689" t="s">
        <v>36072</v>
      </c>
      <c r="P15689" t="s">
        <v>36200</v>
      </c>
      <c r="R15689" s="26" t="str">
        <f t="shared" si="81"/>
        <v>Mastadenovirus russelli</v>
      </c>
      <c r="S15689" t="s">
        <v>8141</v>
      </c>
      <c r="T15689" t="s">
        <v>36507</v>
      </c>
      <c r="U15689" t="s">
        <v>36508</v>
      </c>
      <c r="W15689" t="s">
        <v>50352</v>
      </c>
      <c r="X15689" t="s">
        <v>42</v>
      </c>
      <c r="Y15689" t="s">
        <v>36</v>
      </c>
      <c r="Z15689" t="s">
        <v>166</v>
      </c>
      <c r="AA15689" s="22" t="str">
        <f>HYPERLINK("https://www.ncbi.nlm.nih.gov/nuccore/KM591901","NCBI Nucleotide")</f>
        <v>NCBI Nucleotide</v>
      </c>
    </row>
    <row r="15690" spans="1:27" x14ac:dyDescent="0.35">
      <c r="A15690">
        <v>1012147</v>
      </c>
      <c r="B15690">
        <v>14017</v>
      </c>
      <c r="C15690">
        <v>9</v>
      </c>
      <c r="D15690" t="s">
        <v>35352</v>
      </c>
      <c r="F15690" t="s">
        <v>35353</v>
      </c>
      <c r="H15690" t="s">
        <v>35957</v>
      </c>
      <c r="J15690" t="s">
        <v>35988</v>
      </c>
      <c r="L15690" t="s">
        <v>36071</v>
      </c>
      <c r="N15690" t="s">
        <v>36072</v>
      </c>
      <c r="P15690" t="s">
        <v>36200</v>
      </c>
      <c r="R15690" s="26" t="str">
        <f t="shared" si="81"/>
        <v>Mastadenovirus russelli</v>
      </c>
      <c r="S15690" t="s">
        <v>8141</v>
      </c>
      <c r="T15690" t="s">
        <v>36509</v>
      </c>
      <c r="U15690" t="s">
        <v>36510</v>
      </c>
      <c r="W15690" t="s">
        <v>50353</v>
      </c>
      <c r="X15690" t="s">
        <v>42</v>
      </c>
      <c r="Y15690" t="s">
        <v>36</v>
      </c>
      <c r="Z15690" t="s">
        <v>166</v>
      </c>
      <c r="AA15690" s="22" t="str">
        <f>HYPERLINK("https://www.ncbi.nlm.nih.gov/nuccore/KM591902","NCBI Nucleotide")</f>
        <v>NCBI Nucleotide</v>
      </c>
    </row>
    <row r="15691" spans="1:27" x14ac:dyDescent="0.35">
      <c r="A15691">
        <v>1012148</v>
      </c>
      <c r="B15691">
        <v>14017</v>
      </c>
      <c r="C15691">
        <v>10</v>
      </c>
      <c r="D15691" t="s">
        <v>35352</v>
      </c>
      <c r="F15691" t="s">
        <v>35353</v>
      </c>
      <c r="H15691" t="s">
        <v>35957</v>
      </c>
      <c r="J15691" t="s">
        <v>35988</v>
      </c>
      <c r="L15691" t="s">
        <v>36071</v>
      </c>
      <c r="N15691" t="s">
        <v>36072</v>
      </c>
      <c r="P15691" t="s">
        <v>36200</v>
      </c>
      <c r="R15691" s="26" t="str">
        <f t="shared" si="81"/>
        <v>Mastadenovirus russelli</v>
      </c>
      <c r="S15691" t="s">
        <v>8141</v>
      </c>
      <c r="T15691" t="s">
        <v>36511</v>
      </c>
      <c r="U15691" t="s">
        <v>36512</v>
      </c>
      <c r="W15691" t="s">
        <v>50354</v>
      </c>
      <c r="X15691" t="s">
        <v>42</v>
      </c>
      <c r="Y15691" t="s">
        <v>36</v>
      </c>
      <c r="Z15691" t="s">
        <v>166</v>
      </c>
      <c r="AA15691" s="22" t="str">
        <f>HYPERLINK("https://www.ncbi.nlm.nih.gov/nuccore/KM591903","NCBI Nucleotide")</f>
        <v>NCBI Nucleotide</v>
      </c>
    </row>
    <row r="15692" spans="1:27" x14ac:dyDescent="0.35">
      <c r="A15692">
        <v>1012149</v>
      </c>
      <c r="B15692">
        <v>14017</v>
      </c>
      <c r="C15692">
        <v>11</v>
      </c>
      <c r="D15692" t="s">
        <v>35352</v>
      </c>
      <c r="F15692" t="s">
        <v>35353</v>
      </c>
      <c r="H15692" t="s">
        <v>35957</v>
      </c>
      <c r="J15692" t="s">
        <v>35988</v>
      </c>
      <c r="L15692" t="s">
        <v>36071</v>
      </c>
      <c r="N15692" t="s">
        <v>36072</v>
      </c>
      <c r="P15692" t="s">
        <v>36200</v>
      </c>
      <c r="R15692" s="26" t="str">
        <f t="shared" si="81"/>
        <v>Mastadenovirus russelli</v>
      </c>
      <c r="S15692" t="s">
        <v>8141</v>
      </c>
      <c r="T15692" t="s">
        <v>36513</v>
      </c>
      <c r="U15692" t="s">
        <v>36514</v>
      </c>
      <c r="W15692" t="s">
        <v>50355</v>
      </c>
      <c r="X15692" t="s">
        <v>42</v>
      </c>
      <c r="Y15692" t="s">
        <v>36</v>
      </c>
      <c r="Z15692" t="s">
        <v>166</v>
      </c>
      <c r="AA15692" s="22" t="str">
        <f>HYPERLINK("https://www.ncbi.nlm.nih.gov/nuccore/MF198452","NCBI Nucleotide")</f>
        <v>NCBI Nucleotide</v>
      </c>
    </row>
    <row r="15693" spans="1:27" x14ac:dyDescent="0.35">
      <c r="A15693">
        <v>1004803</v>
      </c>
      <c r="B15693">
        <v>14018</v>
      </c>
      <c r="C15693">
        <v>1</v>
      </c>
      <c r="D15693" t="s">
        <v>35352</v>
      </c>
      <c r="F15693" t="s">
        <v>35353</v>
      </c>
      <c r="H15693" t="s">
        <v>35957</v>
      </c>
      <c r="J15693" t="s">
        <v>35988</v>
      </c>
      <c r="L15693" t="s">
        <v>36071</v>
      </c>
      <c r="N15693" t="s">
        <v>36072</v>
      </c>
      <c r="P15693" t="s">
        <v>36200</v>
      </c>
      <c r="R15693" s="26" t="str">
        <f>HYPERLINK("https://ictv.global/taxonomy/taxondetails?taxnode_id=202305663","Mastadenovirus sciuri")</f>
        <v>Mastadenovirus sciuri</v>
      </c>
      <c r="S15693" t="s">
        <v>30</v>
      </c>
      <c r="T15693" t="s">
        <v>36646</v>
      </c>
      <c r="U15693" t="s">
        <v>36647</v>
      </c>
      <c r="V15693" t="s">
        <v>36648</v>
      </c>
      <c r="W15693" t="s">
        <v>36649</v>
      </c>
      <c r="X15693" t="s">
        <v>42</v>
      </c>
      <c r="Y15693" t="s">
        <v>36</v>
      </c>
      <c r="Z15693" t="s">
        <v>166</v>
      </c>
      <c r="AA15693" s="22" t="str">
        <f>HYPERLINK("https://www.ncbi.nlm.nih.gov/nuccore/KY427939","NCBI Nucleotide")</f>
        <v>NCBI Nucleotide</v>
      </c>
    </row>
    <row r="15694" spans="1:27" x14ac:dyDescent="0.35">
      <c r="A15694">
        <v>1004793</v>
      </c>
      <c r="B15694">
        <v>14019</v>
      </c>
      <c r="C15694">
        <v>1</v>
      </c>
      <c r="D15694" t="s">
        <v>35352</v>
      </c>
      <c r="F15694" t="s">
        <v>35353</v>
      </c>
      <c r="H15694" t="s">
        <v>35957</v>
      </c>
      <c r="J15694" t="s">
        <v>35988</v>
      </c>
      <c r="L15694" t="s">
        <v>36071</v>
      </c>
      <c r="N15694" t="s">
        <v>36072</v>
      </c>
      <c r="P15694" t="s">
        <v>36200</v>
      </c>
      <c r="R15694" s="26" t="str">
        <f t="shared" ref="R15694:R15700" si="82">HYPERLINK("https://ictv.global/taxonomy/taxondetails?taxnode_id=202302439","Mastadenovirus simiae")</f>
        <v>Mastadenovirus simiae</v>
      </c>
      <c r="S15694" t="s">
        <v>30</v>
      </c>
      <c r="T15694" t="s">
        <v>36567</v>
      </c>
      <c r="U15694" t="s">
        <v>36568</v>
      </c>
      <c r="V15694" t="s">
        <v>36569</v>
      </c>
      <c r="W15694" t="s">
        <v>36570</v>
      </c>
      <c r="X15694" t="s">
        <v>42</v>
      </c>
      <c r="Y15694" t="s">
        <v>36</v>
      </c>
      <c r="Z15694" t="s">
        <v>166</v>
      </c>
      <c r="AA15694" s="22" t="str">
        <f>HYPERLINK("https://www.ncbi.nlm.nih.gov/nuccore/AY598782","NCBI Nucleotide")</f>
        <v>NCBI Nucleotide</v>
      </c>
    </row>
    <row r="15695" spans="1:27" x14ac:dyDescent="0.35">
      <c r="A15695">
        <v>1012155</v>
      </c>
      <c r="B15695">
        <v>14019</v>
      </c>
      <c r="C15695">
        <v>2</v>
      </c>
      <c r="D15695" t="s">
        <v>35352</v>
      </c>
      <c r="F15695" t="s">
        <v>35353</v>
      </c>
      <c r="H15695" t="s">
        <v>35957</v>
      </c>
      <c r="J15695" t="s">
        <v>35988</v>
      </c>
      <c r="L15695" t="s">
        <v>36071</v>
      </c>
      <c r="N15695" t="s">
        <v>36072</v>
      </c>
      <c r="P15695" t="s">
        <v>36200</v>
      </c>
      <c r="R15695" s="26" t="str">
        <f t="shared" si="82"/>
        <v>Mastadenovirus simiae</v>
      </c>
      <c r="S15695" t="s">
        <v>8141</v>
      </c>
      <c r="T15695" t="s">
        <v>36571</v>
      </c>
      <c r="U15695" t="s">
        <v>36572</v>
      </c>
      <c r="V15695" t="s">
        <v>36573</v>
      </c>
      <c r="W15695" t="s">
        <v>50356</v>
      </c>
      <c r="X15695" t="s">
        <v>154</v>
      </c>
      <c r="Y15695" t="s">
        <v>36</v>
      </c>
      <c r="Z15695" t="s">
        <v>166</v>
      </c>
      <c r="AA15695" s="22" t="str">
        <f>HYPERLINK("https://www.ncbi.nlm.nih.gov/nuccore/KP853121","NCBI Nucleotide")</f>
        <v>NCBI Nucleotide</v>
      </c>
    </row>
    <row r="15696" spans="1:27" x14ac:dyDescent="0.35">
      <c r="A15696">
        <v>1012156</v>
      </c>
      <c r="B15696">
        <v>14019</v>
      </c>
      <c r="C15696">
        <v>3</v>
      </c>
      <c r="D15696" t="s">
        <v>35352</v>
      </c>
      <c r="F15696" t="s">
        <v>35353</v>
      </c>
      <c r="H15696" t="s">
        <v>35957</v>
      </c>
      <c r="J15696" t="s">
        <v>35988</v>
      </c>
      <c r="L15696" t="s">
        <v>36071</v>
      </c>
      <c r="N15696" t="s">
        <v>36072</v>
      </c>
      <c r="P15696" t="s">
        <v>36200</v>
      </c>
      <c r="R15696" s="26" t="str">
        <f t="shared" si="82"/>
        <v>Mastadenovirus simiae</v>
      </c>
      <c r="S15696" t="s">
        <v>8141</v>
      </c>
      <c r="T15696" t="s">
        <v>36574</v>
      </c>
      <c r="U15696" t="s">
        <v>36575</v>
      </c>
      <c r="V15696" t="s">
        <v>36576</v>
      </c>
      <c r="W15696" t="s">
        <v>50357</v>
      </c>
      <c r="X15696" t="s">
        <v>42</v>
      </c>
      <c r="Y15696" t="s">
        <v>36</v>
      </c>
      <c r="Z15696" t="s">
        <v>166</v>
      </c>
      <c r="AA15696" s="22" t="str">
        <f>HYPERLINK("https://www.ncbi.nlm.nih.gov/nuccore/JQ776547","NCBI Nucleotide")</f>
        <v>NCBI Nucleotide</v>
      </c>
    </row>
    <row r="15697" spans="1:27" x14ac:dyDescent="0.35">
      <c r="A15697">
        <v>1012157</v>
      </c>
      <c r="B15697">
        <v>14019</v>
      </c>
      <c r="C15697">
        <v>4</v>
      </c>
      <c r="D15697" t="s">
        <v>35352</v>
      </c>
      <c r="F15697" t="s">
        <v>35353</v>
      </c>
      <c r="H15697" t="s">
        <v>35957</v>
      </c>
      <c r="J15697" t="s">
        <v>35988</v>
      </c>
      <c r="L15697" t="s">
        <v>36071</v>
      </c>
      <c r="N15697" t="s">
        <v>36072</v>
      </c>
      <c r="P15697" t="s">
        <v>36200</v>
      </c>
      <c r="R15697" s="26" t="str">
        <f t="shared" si="82"/>
        <v>Mastadenovirus simiae</v>
      </c>
      <c r="S15697" t="s">
        <v>8141</v>
      </c>
      <c r="T15697" t="s">
        <v>36577</v>
      </c>
      <c r="U15697" t="s">
        <v>36578</v>
      </c>
      <c r="V15697" t="s">
        <v>36579</v>
      </c>
      <c r="W15697" t="s">
        <v>50358</v>
      </c>
      <c r="X15697" t="s">
        <v>154</v>
      </c>
      <c r="Y15697" t="s">
        <v>36</v>
      </c>
      <c r="Z15697" t="s">
        <v>166</v>
      </c>
      <c r="AA15697" s="22" t="str">
        <f>HYPERLINK("https://www.ncbi.nlm.nih.gov/nuccore/KP853122","NCBI Nucleotide")</f>
        <v>NCBI Nucleotide</v>
      </c>
    </row>
    <row r="15698" spans="1:27" x14ac:dyDescent="0.35">
      <c r="A15698">
        <v>1012158</v>
      </c>
      <c r="B15698">
        <v>14019</v>
      </c>
      <c r="C15698">
        <v>5</v>
      </c>
      <c r="D15698" t="s">
        <v>35352</v>
      </c>
      <c r="F15698" t="s">
        <v>35353</v>
      </c>
      <c r="H15698" t="s">
        <v>35957</v>
      </c>
      <c r="J15698" t="s">
        <v>35988</v>
      </c>
      <c r="L15698" t="s">
        <v>36071</v>
      </c>
      <c r="N15698" t="s">
        <v>36072</v>
      </c>
      <c r="P15698" t="s">
        <v>36200</v>
      </c>
      <c r="R15698" s="26" t="str">
        <f t="shared" si="82"/>
        <v>Mastadenovirus simiae</v>
      </c>
      <c r="S15698" t="s">
        <v>8141</v>
      </c>
      <c r="T15698" t="s">
        <v>36580</v>
      </c>
      <c r="U15698" t="s">
        <v>36581</v>
      </c>
      <c r="V15698" t="s">
        <v>36582</v>
      </c>
      <c r="W15698" t="s">
        <v>50359</v>
      </c>
      <c r="X15698" t="s">
        <v>154</v>
      </c>
      <c r="Y15698" t="s">
        <v>36</v>
      </c>
      <c r="Z15698" t="s">
        <v>166</v>
      </c>
      <c r="AA15698" s="22" t="str">
        <f>HYPERLINK("https://www.ncbi.nlm.nih.gov/nuccore/KP853110","NCBI Nucleotide")</f>
        <v>NCBI Nucleotide</v>
      </c>
    </row>
    <row r="15699" spans="1:27" x14ac:dyDescent="0.35">
      <c r="A15699">
        <v>1012159</v>
      </c>
      <c r="B15699">
        <v>14019</v>
      </c>
      <c r="C15699">
        <v>6</v>
      </c>
      <c r="D15699" t="s">
        <v>35352</v>
      </c>
      <c r="F15699" t="s">
        <v>35353</v>
      </c>
      <c r="H15699" t="s">
        <v>35957</v>
      </c>
      <c r="J15699" t="s">
        <v>35988</v>
      </c>
      <c r="L15699" t="s">
        <v>36071</v>
      </c>
      <c r="N15699" t="s">
        <v>36072</v>
      </c>
      <c r="P15699" t="s">
        <v>36200</v>
      </c>
      <c r="R15699" s="26" t="str">
        <f t="shared" si="82"/>
        <v>Mastadenovirus simiae</v>
      </c>
      <c r="S15699" t="s">
        <v>8141</v>
      </c>
      <c r="T15699" t="s">
        <v>36583</v>
      </c>
      <c r="U15699" t="s">
        <v>36584</v>
      </c>
      <c r="V15699" t="s">
        <v>36585</v>
      </c>
      <c r="W15699" t="s">
        <v>50360</v>
      </c>
      <c r="X15699" t="s">
        <v>154</v>
      </c>
      <c r="Y15699" t="s">
        <v>36</v>
      </c>
      <c r="Z15699" t="s">
        <v>166</v>
      </c>
      <c r="AA15699" s="22" t="str">
        <f>HYPERLINK("https://www.ncbi.nlm.nih.gov/nuccore/KP853124","NCBI Nucleotide")</f>
        <v>NCBI Nucleotide</v>
      </c>
    </row>
    <row r="15700" spans="1:27" x14ac:dyDescent="0.35">
      <c r="A15700">
        <v>1012160</v>
      </c>
      <c r="B15700">
        <v>14019</v>
      </c>
      <c r="C15700">
        <v>7</v>
      </c>
      <c r="D15700" t="s">
        <v>35352</v>
      </c>
      <c r="F15700" t="s">
        <v>35353</v>
      </c>
      <c r="H15700" t="s">
        <v>35957</v>
      </c>
      <c r="J15700" t="s">
        <v>35988</v>
      </c>
      <c r="L15700" t="s">
        <v>36071</v>
      </c>
      <c r="N15700" t="s">
        <v>36072</v>
      </c>
      <c r="P15700" t="s">
        <v>36200</v>
      </c>
      <c r="R15700" s="26" t="str">
        <f t="shared" si="82"/>
        <v>Mastadenovirus simiae</v>
      </c>
      <c r="S15700" t="s">
        <v>8141</v>
      </c>
      <c r="T15700" t="s">
        <v>36586</v>
      </c>
      <c r="U15700" t="s">
        <v>36587</v>
      </c>
      <c r="V15700" t="s">
        <v>36588</v>
      </c>
      <c r="W15700" t="s">
        <v>50361</v>
      </c>
      <c r="X15700" t="s">
        <v>42</v>
      </c>
      <c r="Y15700" t="s">
        <v>36</v>
      </c>
      <c r="Z15700" t="s">
        <v>166</v>
      </c>
      <c r="AA15700" s="22" t="str">
        <f>HYPERLINK("https://www.ncbi.nlm.nih.gov/nuccore/HQ241818","NCBI Nucleotide")</f>
        <v>NCBI Nucleotide</v>
      </c>
    </row>
    <row r="15701" spans="1:27" x14ac:dyDescent="0.35">
      <c r="A15701">
        <v>1004799</v>
      </c>
      <c r="B15701">
        <v>14020</v>
      </c>
      <c r="C15701">
        <v>1</v>
      </c>
      <c r="D15701" t="s">
        <v>35352</v>
      </c>
      <c r="F15701" t="s">
        <v>35353</v>
      </c>
      <c r="H15701" t="s">
        <v>35957</v>
      </c>
      <c r="J15701" t="s">
        <v>35988</v>
      </c>
      <c r="L15701" t="s">
        <v>36071</v>
      </c>
      <c r="N15701" t="s">
        <v>36072</v>
      </c>
      <c r="P15701" t="s">
        <v>36200</v>
      </c>
      <c r="R15701" s="26" t="str">
        <f>HYPERLINK("https://ictv.global/taxonomy/taxondetails?taxnode_id=202302445","Mastadenovirus simiavigesimum")</f>
        <v>Mastadenovirus simiavigesimum</v>
      </c>
      <c r="S15701" t="s">
        <v>30</v>
      </c>
      <c r="T15701" t="s">
        <v>36631</v>
      </c>
      <c r="U15701" t="s">
        <v>36632</v>
      </c>
      <c r="V15701" t="s">
        <v>36633</v>
      </c>
      <c r="W15701" t="s">
        <v>36634</v>
      </c>
      <c r="X15701" t="s">
        <v>42</v>
      </c>
      <c r="Y15701" t="s">
        <v>36</v>
      </c>
      <c r="Z15701" t="s">
        <v>166</v>
      </c>
      <c r="AA15701" s="22" t="str">
        <f>HYPERLINK("https://www.ncbi.nlm.nih.gov/nuccore/HQ605912","NCBI Nucleotide")</f>
        <v>NCBI Nucleotide</v>
      </c>
    </row>
    <row r="15702" spans="1:27" x14ac:dyDescent="0.35">
      <c r="A15702">
        <v>1004787</v>
      </c>
      <c r="B15702">
        <v>14021</v>
      </c>
      <c r="C15702">
        <v>1</v>
      </c>
      <c r="D15702" t="s">
        <v>35352</v>
      </c>
      <c r="F15702" t="s">
        <v>35353</v>
      </c>
      <c r="H15702" t="s">
        <v>35957</v>
      </c>
      <c r="J15702" t="s">
        <v>35988</v>
      </c>
      <c r="L15702" t="s">
        <v>36071</v>
      </c>
      <c r="N15702" t="s">
        <v>36072</v>
      </c>
      <c r="P15702" t="s">
        <v>36200</v>
      </c>
      <c r="R15702" s="26" t="str">
        <f>HYPERLINK("https://ictv.global/taxonomy/taxondetails?taxnode_id=202302434","Mastadenovirus simuli")</f>
        <v>Mastadenovirus simuli</v>
      </c>
      <c r="S15702" t="s">
        <v>30</v>
      </c>
      <c r="T15702" t="s">
        <v>36543</v>
      </c>
      <c r="U15702" t="s">
        <v>36544</v>
      </c>
      <c r="V15702" t="s">
        <v>36545</v>
      </c>
      <c r="W15702" t="s">
        <v>36546</v>
      </c>
      <c r="X15702" t="s">
        <v>42</v>
      </c>
      <c r="Y15702" t="s">
        <v>36</v>
      </c>
      <c r="Z15702" t="s">
        <v>166</v>
      </c>
      <c r="AA15702" s="22" t="str">
        <f>HYPERLINK("https://www.ncbi.nlm.nih.gov/nuccore/HQ913600","NCBI Nucleotide")</f>
        <v>NCBI Nucleotide</v>
      </c>
    </row>
    <row r="15703" spans="1:27" x14ac:dyDescent="0.35">
      <c r="A15703">
        <v>1028003</v>
      </c>
      <c r="B15703">
        <v>14021</v>
      </c>
      <c r="C15703">
        <v>2</v>
      </c>
      <c r="D15703" t="s">
        <v>35352</v>
      </c>
      <c r="F15703" t="s">
        <v>35353</v>
      </c>
      <c r="H15703" t="s">
        <v>35957</v>
      </c>
      <c r="J15703" t="s">
        <v>35988</v>
      </c>
      <c r="L15703" t="s">
        <v>36071</v>
      </c>
      <c r="N15703" t="s">
        <v>36072</v>
      </c>
      <c r="P15703" t="s">
        <v>36200</v>
      </c>
      <c r="R15703" s="26" t="str">
        <f>HYPERLINK("https://ictv.global/taxonomy/taxondetails?taxnode_id=202302434","Mastadenovirus simuli")</f>
        <v>Mastadenovirus simuli</v>
      </c>
      <c r="S15703" t="s">
        <v>8141</v>
      </c>
      <c r="T15703" t="s">
        <v>50933</v>
      </c>
      <c r="V15703" t="s">
        <v>50934</v>
      </c>
      <c r="W15703" t="s">
        <v>50935</v>
      </c>
      <c r="X15703" t="s">
        <v>42</v>
      </c>
      <c r="Y15703" t="s">
        <v>36</v>
      </c>
      <c r="Z15703" t="s">
        <v>166</v>
      </c>
      <c r="AA15703" s="22" t="str">
        <f>HYPERLINK("https://www.ncbi.nlm.nih.gov/nuccore/MN017133","NCBI Nucleotide")</f>
        <v>NCBI Nucleotide</v>
      </c>
    </row>
    <row r="15704" spans="1:27" x14ac:dyDescent="0.35">
      <c r="A15704">
        <v>1024968</v>
      </c>
      <c r="B15704">
        <v>14022</v>
      </c>
      <c r="C15704">
        <v>1</v>
      </c>
      <c r="D15704" t="s">
        <v>35352</v>
      </c>
      <c r="F15704" t="s">
        <v>35353</v>
      </c>
      <c r="H15704" t="s">
        <v>35957</v>
      </c>
      <c r="J15704" t="s">
        <v>35988</v>
      </c>
      <c r="L15704" t="s">
        <v>36071</v>
      </c>
      <c r="N15704" t="s">
        <v>36072</v>
      </c>
      <c r="P15704" t="s">
        <v>36200</v>
      </c>
      <c r="R15704" s="26" t="str">
        <f>HYPERLINK("https://ictv.global/taxonomy/taxondetails?taxnode_id=202317888","Mastadenovirus tarandri")</f>
        <v>Mastadenovirus tarandri</v>
      </c>
      <c r="S15704" t="s">
        <v>30</v>
      </c>
      <c r="T15704" t="s">
        <v>47808</v>
      </c>
      <c r="U15704" t="s">
        <v>47809</v>
      </c>
      <c r="V15704" t="s">
        <v>47810</v>
      </c>
      <c r="W15704" t="s">
        <v>47811</v>
      </c>
      <c r="X15704" t="s">
        <v>42</v>
      </c>
      <c r="Y15704" t="s">
        <v>36</v>
      </c>
      <c r="Z15704" t="s">
        <v>166</v>
      </c>
      <c r="AA15704" s="22" t="str">
        <f>HYPERLINK("https://www.ncbi.nlm.nih.gov/nuccore/MZ507556","NCBI Nucleotide")</f>
        <v>NCBI Nucleotide</v>
      </c>
    </row>
    <row r="15705" spans="1:27" x14ac:dyDescent="0.35">
      <c r="A15705">
        <v>1004802</v>
      </c>
      <c r="B15705">
        <v>14023</v>
      </c>
      <c r="C15705">
        <v>1</v>
      </c>
      <c r="D15705" t="s">
        <v>35352</v>
      </c>
      <c r="F15705" t="s">
        <v>35353</v>
      </c>
      <c r="H15705" t="s">
        <v>35957</v>
      </c>
      <c r="J15705" t="s">
        <v>35988</v>
      </c>
      <c r="L15705" t="s">
        <v>36071</v>
      </c>
      <c r="N15705" t="s">
        <v>36072</v>
      </c>
      <c r="P15705" t="s">
        <v>36200</v>
      </c>
      <c r="R15705" s="26" t="str">
        <f>HYPERLINK("https://ictv.global/taxonomy/taxondetails?taxnode_id=202302447","Mastadenovirus trianonense")</f>
        <v>Mastadenovirus trianonense</v>
      </c>
      <c r="S15705" t="s">
        <v>30</v>
      </c>
      <c r="T15705" t="s">
        <v>36643</v>
      </c>
      <c r="U15705" t="s">
        <v>36644</v>
      </c>
      <c r="V15705" t="s">
        <v>27467</v>
      </c>
      <c r="W15705" t="s">
        <v>36645</v>
      </c>
      <c r="X15705" t="s">
        <v>42</v>
      </c>
      <c r="Y15705" t="s">
        <v>36</v>
      </c>
      <c r="Z15705" t="s">
        <v>166</v>
      </c>
      <c r="AA15705" s="22" t="str">
        <f>HYPERLINK("https://www.ncbi.nlm.nih.gov/nuccore/KP238322","NCBI Nucleotide")</f>
        <v>NCBI Nucleotide</v>
      </c>
    </row>
    <row r="15706" spans="1:27" x14ac:dyDescent="0.35">
      <c r="A15706">
        <v>1004804</v>
      </c>
      <c r="B15706">
        <v>14024</v>
      </c>
      <c r="C15706">
        <v>1</v>
      </c>
      <c r="D15706" t="s">
        <v>35352</v>
      </c>
      <c r="F15706" t="s">
        <v>35353</v>
      </c>
      <c r="H15706" t="s">
        <v>35957</v>
      </c>
      <c r="J15706" t="s">
        <v>35988</v>
      </c>
      <c r="L15706" t="s">
        <v>36071</v>
      </c>
      <c r="N15706" t="s">
        <v>36072</v>
      </c>
      <c r="P15706" t="s">
        <v>36200</v>
      </c>
      <c r="R15706" s="26" t="str">
        <f>HYPERLINK("https://ictv.global/taxonomy/taxondetails?taxnode_id=202302448","Mastadenovirus tupaiae")</f>
        <v>Mastadenovirus tupaiae</v>
      </c>
      <c r="S15706" t="s">
        <v>30</v>
      </c>
      <c r="T15706" t="s">
        <v>36650</v>
      </c>
      <c r="U15706" t="s">
        <v>36651</v>
      </c>
      <c r="W15706" t="s">
        <v>36652</v>
      </c>
      <c r="X15706" t="s">
        <v>42</v>
      </c>
      <c r="Y15706" t="s">
        <v>36</v>
      </c>
      <c r="Z15706" t="s">
        <v>166</v>
      </c>
      <c r="AA15706" s="22" t="str">
        <f>HYPERLINK("https://www.ncbi.nlm.nih.gov/nuccore/AF258784","NCBI Nucleotide")</f>
        <v>NCBI Nucleotide</v>
      </c>
    </row>
    <row r="15707" spans="1:27" x14ac:dyDescent="0.35">
      <c r="A15707">
        <v>1004788</v>
      </c>
      <c r="B15707">
        <v>14025</v>
      </c>
      <c r="C15707">
        <v>1</v>
      </c>
      <c r="D15707" t="s">
        <v>35352</v>
      </c>
      <c r="F15707" t="s">
        <v>35353</v>
      </c>
      <c r="H15707" t="s">
        <v>35957</v>
      </c>
      <c r="J15707" t="s">
        <v>35988</v>
      </c>
      <c r="L15707" t="s">
        <v>36071</v>
      </c>
      <c r="N15707" t="s">
        <v>36072</v>
      </c>
      <c r="P15707" t="s">
        <v>36200</v>
      </c>
      <c r="R15707" s="26" t="str">
        <f>HYPERLINK("https://ictv.global/taxonomy/taxondetails?taxnode_id=202307197","Mastadenovirus ursi")</f>
        <v>Mastadenovirus ursi</v>
      </c>
      <c r="S15707" t="s">
        <v>30</v>
      </c>
      <c r="T15707" t="s">
        <v>36547</v>
      </c>
      <c r="U15707" t="s">
        <v>36548</v>
      </c>
      <c r="V15707" t="s">
        <v>36549</v>
      </c>
      <c r="W15707" t="s">
        <v>36550</v>
      </c>
      <c r="X15707" t="s">
        <v>42</v>
      </c>
      <c r="Y15707" t="s">
        <v>36</v>
      </c>
      <c r="Z15707" t="s">
        <v>166</v>
      </c>
      <c r="AA15707" s="22" t="str">
        <f>HYPERLINK("https://www.ncbi.nlm.nih.gov/nuccore/MF773580","NCBI Nucleotide")</f>
        <v>NCBI Nucleotide</v>
      </c>
    </row>
    <row r="15708" spans="1:27" x14ac:dyDescent="0.35">
      <c r="A15708">
        <v>1024858</v>
      </c>
      <c r="B15708">
        <v>14026</v>
      </c>
      <c r="C15708">
        <v>1</v>
      </c>
      <c r="D15708" t="s">
        <v>35352</v>
      </c>
      <c r="F15708" t="s">
        <v>35353</v>
      </c>
      <c r="H15708" t="s">
        <v>35957</v>
      </c>
      <c r="J15708" t="s">
        <v>35988</v>
      </c>
      <c r="L15708" t="s">
        <v>36071</v>
      </c>
      <c r="N15708" t="s">
        <v>36072</v>
      </c>
      <c r="P15708" t="s">
        <v>36653</v>
      </c>
      <c r="R15708" s="26" t="str">
        <f>HYPERLINK("https://ictv.global/taxonomy/taxondetails?taxnode_id=202317893","Siadenovirus carbocapituli")</f>
        <v>Siadenovirus carbocapituli</v>
      </c>
      <c r="S15708" t="s">
        <v>30</v>
      </c>
      <c r="T15708" t="s">
        <v>47812</v>
      </c>
      <c r="U15708" t="s">
        <v>47813</v>
      </c>
      <c r="V15708" t="s">
        <v>47814</v>
      </c>
      <c r="W15708" t="s">
        <v>47815</v>
      </c>
      <c r="X15708" t="s">
        <v>42</v>
      </c>
      <c r="Y15708" t="s">
        <v>36</v>
      </c>
      <c r="Z15708" t="s">
        <v>166</v>
      </c>
      <c r="AA15708" s="22" t="str">
        <f>HYPERLINK("https://www.ncbi.nlm.nih.gov/nuccore/MW508338","NCBI Nucleotide")</f>
        <v>NCBI Nucleotide</v>
      </c>
    </row>
    <row r="15709" spans="1:27" x14ac:dyDescent="0.35">
      <c r="A15709">
        <v>1024859</v>
      </c>
      <c r="B15709">
        <v>14027</v>
      </c>
      <c r="C15709">
        <v>1</v>
      </c>
      <c r="D15709" t="s">
        <v>35352</v>
      </c>
      <c r="F15709" t="s">
        <v>35353</v>
      </c>
      <c r="H15709" t="s">
        <v>35957</v>
      </c>
      <c r="J15709" t="s">
        <v>35988</v>
      </c>
      <c r="L15709" t="s">
        <v>36071</v>
      </c>
      <c r="N15709" t="s">
        <v>36072</v>
      </c>
      <c r="P15709" t="s">
        <v>36653</v>
      </c>
      <c r="R15709" s="26" t="str">
        <f>HYPERLINK("https://ictv.global/taxonomy/taxondetails?taxnode_id=202317892","Siadenovirus cinerei")</f>
        <v>Siadenovirus cinerei</v>
      </c>
      <c r="S15709" t="s">
        <v>30</v>
      </c>
      <c r="T15709" t="s">
        <v>50936</v>
      </c>
      <c r="U15709" t="s">
        <v>47816</v>
      </c>
      <c r="V15709" t="s">
        <v>47817</v>
      </c>
      <c r="W15709" t="s">
        <v>47818</v>
      </c>
      <c r="X15709" t="s">
        <v>42</v>
      </c>
      <c r="Y15709" t="s">
        <v>36</v>
      </c>
      <c r="Z15709" t="s">
        <v>166</v>
      </c>
      <c r="AA15709" s="22" t="str">
        <f>HYPERLINK("https://www.ncbi.nlm.nih.gov/nuccore/MZ562791","NCBI Nucleotide")</f>
        <v>NCBI Nucleotide</v>
      </c>
    </row>
    <row r="15710" spans="1:27" x14ac:dyDescent="0.35">
      <c r="A15710">
        <v>1004812</v>
      </c>
      <c r="B15710">
        <v>14028</v>
      </c>
      <c r="C15710">
        <v>1</v>
      </c>
      <c r="D15710" t="s">
        <v>35352</v>
      </c>
      <c r="F15710" t="s">
        <v>35353</v>
      </c>
      <c r="H15710" t="s">
        <v>35957</v>
      </c>
      <c r="J15710" t="s">
        <v>35988</v>
      </c>
      <c r="L15710" t="s">
        <v>36071</v>
      </c>
      <c r="N15710" t="s">
        <v>36072</v>
      </c>
      <c r="P15710" t="s">
        <v>36653</v>
      </c>
      <c r="R15710" s="26" t="str">
        <f>HYPERLINK("https://ictv.global/taxonomy/taxondetails?taxnode_id=202302455","Siadenovirus gallopavotertii")</f>
        <v>Siadenovirus gallopavotertii</v>
      </c>
      <c r="S15710" t="s">
        <v>30</v>
      </c>
      <c r="T15710" t="s">
        <v>36684</v>
      </c>
      <c r="U15710" t="s">
        <v>36685</v>
      </c>
      <c r="W15710" t="s">
        <v>36686</v>
      </c>
      <c r="X15710" t="s">
        <v>42</v>
      </c>
      <c r="Y15710" t="s">
        <v>36</v>
      </c>
      <c r="Z15710" t="s">
        <v>166</v>
      </c>
      <c r="AA15710" s="22" t="str">
        <f>HYPERLINK("https://www.ncbi.nlm.nih.gov/nuccore/AF074946","NCBI Nucleotide")</f>
        <v>NCBI Nucleotide</v>
      </c>
    </row>
    <row r="15711" spans="1:27" x14ac:dyDescent="0.35">
      <c r="A15711">
        <v>1004806</v>
      </c>
      <c r="B15711">
        <v>14029</v>
      </c>
      <c r="C15711">
        <v>1</v>
      </c>
      <c r="D15711" t="s">
        <v>35352</v>
      </c>
      <c r="F15711" t="s">
        <v>35353</v>
      </c>
      <c r="H15711" t="s">
        <v>35957</v>
      </c>
      <c r="J15711" t="s">
        <v>35988</v>
      </c>
      <c r="L15711" t="s">
        <v>36071</v>
      </c>
      <c r="N15711" t="s">
        <v>36072</v>
      </c>
      <c r="P15711" t="s">
        <v>36653</v>
      </c>
      <c r="R15711" s="26" t="str">
        <f>HYPERLINK("https://ictv.global/taxonomy/taxondetails?taxnode_id=202302451","Siadenovirus paridae")</f>
        <v>Siadenovirus paridae</v>
      </c>
      <c r="S15711" t="s">
        <v>30</v>
      </c>
      <c r="T15711" t="s">
        <v>36658</v>
      </c>
      <c r="U15711" t="s">
        <v>36659</v>
      </c>
      <c r="V15711" t="s">
        <v>36660</v>
      </c>
      <c r="W15711" t="s">
        <v>36661</v>
      </c>
      <c r="X15711" t="s">
        <v>154</v>
      </c>
      <c r="Y15711" t="s">
        <v>36</v>
      </c>
      <c r="Z15711" t="s">
        <v>166</v>
      </c>
      <c r="AA15711" s="22" t="str">
        <f>HYPERLINK("https://www.ncbi.nlm.nih.gov/nuccore/FJ849795","NCBI Nucleotide")</f>
        <v>NCBI Nucleotide</v>
      </c>
    </row>
    <row r="15712" spans="1:27" x14ac:dyDescent="0.35">
      <c r="A15712">
        <v>1004805</v>
      </c>
      <c r="B15712">
        <v>14030</v>
      </c>
      <c r="C15712">
        <v>1</v>
      </c>
      <c r="D15712" t="s">
        <v>35352</v>
      </c>
      <c r="F15712" t="s">
        <v>35353</v>
      </c>
      <c r="H15712" t="s">
        <v>35957</v>
      </c>
      <c r="J15712" t="s">
        <v>35988</v>
      </c>
      <c r="L15712" t="s">
        <v>36071</v>
      </c>
      <c r="N15712" t="s">
        <v>36072</v>
      </c>
      <c r="P15712" t="s">
        <v>36653</v>
      </c>
      <c r="R15712" s="26" t="str">
        <f>HYPERLINK("https://ictv.global/taxonomy/taxondetails?taxnode_id=202302450","Siadenovirus ranae")</f>
        <v>Siadenovirus ranae</v>
      </c>
      <c r="S15712" t="s">
        <v>30</v>
      </c>
      <c r="T15712" t="s">
        <v>36654</v>
      </c>
      <c r="U15712" t="s">
        <v>36655</v>
      </c>
      <c r="V15712" t="s">
        <v>36656</v>
      </c>
      <c r="W15712" t="s">
        <v>36657</v>
      </c>
      <c r="X15712" t="s">
        <v>42</v>
      </c>
      <c r="Y15712" t="s">
        <v>36</v>
      </c>
      <c r="Z15712" t="s">
        <v>166</v>
      </c>
      <c r="AA15712" s="22" t="str">
        <f>HYPERLINK("https://www.ncbi.nlm.nih.gov/nuccore/AF224336","NCBI Nucleotide")</f>
        <v>NCBI Nucleotide</v>
      </c>
    </row>
    <row r="15713" spans="1:27" x14ac:dyDescent="0.35">
      <c r="A15713">
        <v>1004810</v>
      </c>
      <c r="B15713">
        <v>14031</v>
      </c>
      <c r="C15713">
        <v>1</v>
      </c>
      <c r="D15713" t="s">
        <v>35352</v>
      </c>
      <c r="F15713" t="s">
        <v>35353</v>
      </c>
      <c r="H15713" t="s">
        <v>35957</v>
      </c>
      <c r="J15713" t="s">
        <v>35988</v>
      </c>
      <c r="L15713" t="s">
        <v>36071</v>
      </c>
      <c r="N15713" t="s">
        <v>36072</v>
      </c>
      <c r="P15713" t="s">
        <v>36653</v>
      </c>
      <c r="R15713" s="26" t="str">
        <f>HYPERLINK("https://ictv.global/taxonomy/taxondetails?taxnode_id=202302453","Siadenovirus raptoris")</f>
        <v>Siadenovirus raptoris</v>
      </c>
      <c r="S15713" t="s">
        <v>30</v>
      </c>
      <c r="T15713" t="s">
        <v>36677</v>
      </c>
      <c r="U15713" t="s">
        <v>36678</v>
      </c>
      <c r="W15713" t="s">
        <v>36679</v>
      </c>
      <c r="X15713" t="s">
        <v>42</v>
      </c>
      <c r="Y15713" t="s">
        <v>36</v>
      </c>
      <c r="Z15713" t="s">
        <v>166</v>
      </c>
      <c r="AA15713" s="22" t="str">
        <f>HYPERLINK("https://www.ncbi.nlm.nih.gov/nuccore/EU715130","NCBI Nucleotide")</f>
        <v>NCBI Nucleotide</v>
      </c>
    </row>
    <row r="15714" spans="1:27" x14ac:dyDescent="0.35">
      <c r="A15714">
        <v>1004809</v>
      </c>
      <c r="B15714">
        <v>14032</v>
      </c>
      <c r="C15714">
        <v>1</v>
      </c>
      <c r="D15714" t="s">
        <v>35352</v>
      </c>
      <c r="F15714" t="s">
        <v>35353</v>
      </c>
      <c r="H15714" t="s">
        <v>35957</v>
      </c>
      <c r="J15714" t="s">
        <v>35988</v>
      </c>
      <c r="L15714" t="s">
        <v>36071</v>
      </c>
      <c r="N15714" t="s">
        <v>36072</v>
      </c>
      <c r="P15714" t="s">
        <v>36653</v>
      </c>
      <c r="R15714" s="26" t="str">
        <f>HYPERLINK("https://ictv.global/taxonomy/taxondetails?taxnode_id=202309164","Siadenovirus sanguineae")</f>
        <v>Siadenovirus sanguineae</v>
      </c>
      <c r="S15714" t="s">
        <v>30</v>
      </c>
      <c r="T15714" t="s">
        <v>36673</v>
      </c>
      <c r="U15714" t="s">
        <v>36674</v>
      </c>
      <c r="V15714" t="s">
        <v>36675</v>
      </c>
      <c r="W15714" t="s">
        <v>36676</v>
      </c>
      <c r="X15714" t="s">
        <v>42</v>
      </c>
      <c r="Y15714" t="s">
        <v>36</v>
      </c>
      <c r="Z15714" t="s">
        <v>166</v>
      </c>
      <c r="AA15714" s="22" t="str">
        <f>HYPERLINK("https://www.ncbi.nlm.nih.gov/nuccore/MK227353","NCBI Nucleotide")</f>
        <v>NCBI Nucleotide</v>
      </c>
    </row>
    <row r="15715" spans="1:27" x14ac:dyDescent="0.35">
      <c r="A15715">
        <v>1004807</v>
      </c>
      <c r="B15715">
        <v>14033</v>
      </c>
      <c r="C15715">
        <v>1</v>
      </c>
      <c r="D15715" t="s">
        <v>35352</v>
      </c>
      <c r="F15715" t="s">
        <v>35353</v>
      </c>
      <c r="H15715" t="s">
        <v>35957</v>
      </c>
      <c r="J15715" t="s">
        <v>35988</v>
      </c>
      <c r="L15715" t="s">
        <v>36071</v>
      </c>
      <c r="N15715" t="s">
        <v>36072</v>
      </c>
      <c r="P15715" t="s">
        <v>36653</v>
      </c>
      <c r="R15715" s="26" t="str">
        <f>HYPERLINK("https://ictv.global/taxonomy/taxondetails?taxnode_id=202302452","Siadenovirus spheniscidae")</f>
        <v>Siadenovirus spheniscidae</v>
      </c>
      <c r="S15715" t="s">
        <v>30</v>
      </c>
      <c r="T15715" t="s">
        <v>36662</v>
      </c>
      <c r="U15715" t="s">
        <v>36663</v>
      </c>
      <c r="V15715" t="s">
        <v>36664</v>
      </c>
      <c r="W15715" t="s">
        <v>36665</v>
      </c>
      <c r="X15715" t="s">
        <v>42</v>
      </c>
      <c r="Y15715" t="s">
        <v>36</v>
      </c>
      <c r="Z15715" t="s">
        <v>166</v>
      </c>
      <c r="AA15715" s="22" t="str">
        <f>HYPERLINK("https://www.ncbi.nlm.nih.gov/nuccore/KP144329","NCBI Nucleotide")</f>
        <v>NCBI Nucleotide</v>
      </c>
    </row>
    <row r="15716" spans="1:27" x14ac:dyDescent="0.35">
      <c r="A15716">
        <v>1004811</v>
      </c>
      <c r="B15716">
        <v>14034</v>
      </c>
      <c r="C15716">
        <v>1</v>
      </c>
      <c r="D15716" t="s">
        <v>35352</v>
      </c>
      <c r="F15716" t="s">
        <v>35353</v>
      </c>
      <c r="H15716" t="s">
        <v>35957</v>
      </c>
      <c r="J15716" t="s">
        <v>35988</v>
      </c>
      <c r="L15716" t="s">
        <v>36071</v>
      </c>
      <c r="N15716" t="s">
        <v>36072</v>
      </c>
      <c r="P15716" t="s">
        <v>36653</v>
      </c>
      <c r="R15716" s="26" t="str">
        <f>HYPERLINK("https://ictv.global/taxonomy/taxondetails?taxnode_id=202302454","Siadenovirus stercorariidae")</f>
        <v>Siadenovirus stercorariidae</v>
      </c>
      <c r="S15716" t="s">
        <v>30</v>
      </c>
      <c r="T15716" t="s">
        <v>36680</v>
      </c>
      <c r="U15716" t="s">
        <v>36681</v>
      </c>
      <c r="V15716" t="s">
        <v>36682</v>
      </c>
      <c r="W15716" t="s">
        <v>36683</v>
      </c>
      <c r="X15716" t="s">
        <v>42</v>
      </c>
      <c r="Y15716" t="s">
        <v>36</v>
      </c>
      <c r="Z15716" t="s">
        <v>166</v>
      </c>
      <c r="AA15716" s="22" t="str">
        <f>HYPERLINK("https://www.ncbi.nlm.nih.gov/nuccore/HM585353","NCBI Nucleotide")</f>
        <v>NCBI Nucleotide</v>
      </c>
    </row>
    <row r="15717" spans="1:27" x14ac:dyDescent="0.35">
      <c r="A15717">
        <v>1024860</v>
      </c>
      <c r="B15717">
        <v>14035</v>
      </c>
      <c r="C15717">
        <v>1</v>
      </c>
      <c r="D15717" t="s">
        <v>35352</v>
      </c>
      <c r="F15717" t="s">
        <v>35353</v>
      </c>
      <c r="H15717" t="s">
        <v>35957</v>
      </c>
      <c r="J15717" t="s">
        <v>35988</v>
      </c>
      <c r="L15717" t="s">
        <v>36071</v>
      </c>
      <c r="N15717" t="s">
        <v>36072</v>
      </c>
      <c r="P15717" t="s">
        <v>36653</v>
      </c>
      <c r="R15717" s="26" t="str">
        <f>HYPERLINK("https://ictv.global/taxonomy/taxondetails?taxnode_id=202317894","Siadenovirus uriae")</f>
        <v>Siadenovirus uriae</v>
      </c>
      <c r="S15717" t="s">
        <v>30</v>
      </c>
      <c r="T15717" t="s">
        <v>47819</v>
      </c>
      <c r="V15717" t="s">
        <v>47820</v>
      </c>
      <c r="W15717" t="s">
        <v>47821</v>
      </c>
      <c r="X15717" t="s">
        <v>42</v>
      </c>
      <c r="Y15717" t="s">
        <v>36</v>
      </c>
      <c r="Z15717" t="s">
        <v>166</v>
      </c>
      <c r="AA15717" s="22" t="str">
        <f>HYPERLINK("https://www.ncbi.nlm.nih.gov/nuccore/MN480433","NCBI Nucleotide")</f>
        <v>NCBI Nucleotide</v>
      </c>
    </row>
    <row r="15718" spans="1:27" x14ac:dyDescent="0.35">
      <c r="A15718">
        <v>1004808</v>
      </c>
      <c r="B15718">
        <v>14036</v>
      </c>
      <c r="C15718">
        <v>1</v>
      </c>
      <c r="D15718" t="s">
        <v>35352</v>
      </c>
      <c r="F15718" t="s">
        <v>35353</v>
      </c>
      <c r="H15718" t="s">
        <v>35957</v>
      </c>
      <c r="J15718" t="s">
        <v>35988</v>
      </c>
      <c r="L15718" t="s">
        <v>36071</v>
      </c>
      <c r="N15718" t="s">
        <v>36072</v>
      </c>
      <c r="P15718" t="s">
        <v>36653</v>
      </c>
      <c r="R15718" s="26" t="str">
        <f>HYPERLINK("https://ictv.global/taxonomy/taxondetails?taxnode_id=202309163","Siadenovirus viridis")</f>
        <v>Siadenovirus viridis</v>
      </c>
      <c r="S15718" t="s">
        <v>30</v>
      </c>
      <c r="T15718" t="s">
        <v>36666</v>
      </c>
      <c r="U15718" t="s">
        <v>36667</v>
      </c>
      <c r="V15718" t="s">
        <v>36668</v>
      </c>
      <c r="W15718" t="s">
        <v>36669</v>
      </c>
      <c r="X15718" t="s">
        <v>42</v>
      </c>
      <c r="Y15718" t="s">
        <v>36</v>
      </c>
      <c r="Z15718" t="s">
        <v>166</v>
      </c>
      <c r="AA15718" s="22" t="str">
        <f>HYPERLINK("https://www.ncbi.nlm.nih.gov/nuccore/MK695679","NCBI Nucleotide")</f>
        <v>NCBI Nucleotide</v>
      </c>
    </row>
    <row r="15719" spans="1:27" x14ac:dyDescent="0.35">
      <c r="A15719">
        <v>1012170</v>
      </c>
      <c r="B15719">
        <v>14036</v>
      </c>
      <c r="C15719">
        <v>2</v>
      </c>
      <c r="D15719" t="s">
        <v>35352</v>
      </c>
      <c r="F15719" t="s">
        <v>35353</v>
      </c>
      <c r="H15719" t="s">
        <v>35957</v>
      </c>
      <c r="J15719" t="s">
        <v>35988</v>
      </c>
      <c r="L15719" t="s">
        <v>36071</v>
      </c>
      <c r="N15719" t="s">
        <v>36072</v>
      </c>
      <c r="P15719" t="s">
        <v>36653</v>
      </c>
      <c r="R15719" s="26" t="str">
        <f>HYPERLINK("https://ictv.global/taxonomy/taxondetails?taxnode_id=202309163","Siadenovirus viridis")</f>
        <v>Siadenovirus viridis</v>
      </c>
      <c r="S15719" t="s">
        <v>8141</v>
      </c>
      <c r="T15719" t="s">
        <v>36670</v>
      </c>
      <c r="U15719" t="s">
        <v>36671</v>
      </c>
      <c r="V15719" t="s">
        <v>36672</v>
      </c>
      <c r="W15719" t="s">
        <v>50362</v>
      </c>
      <c r="X15719" t="s">
        <v>42</v>
      </c>
      <c r="Y15719" t="s">
        <v>36</v>
      </c>
      <c r="Z15719" t="s">
        <v>166</v>
      </c>
      <c r="AA15719" s="22" t="str">
        <f>HYPERLINK("https://www.ncbi.nlm.nih.gov/nuccore/MN687905","NCBI Nucleotide")</f>
        <v>NCBI Nucleotide</v>
      </c>
    </row>
    <row r="15720" spans="1:27" x14ac:dyDescent="0.35">
      <c r="A15720">
        <v>1004813</v>
      </c>
      <c r="B15720">
        <v>14037</v>
      </c>
      <c r="C15720">
        <v>1</v>
      </c>
      <c r="D15720" t="s">
        <v>35352</v>
      </c>
      <c r="F15720" t="s">
        <v>35353</v>
      </c>
      <c r="H15720" t="s">
        <v>35957</v>
      </c>
      <c r="J15720" t="s">
        <v>35988</v>
      </c>
      <c r="L15720" t="s">
        <v>36071</v>
      </c>
      <c r="N15720" t="s">
        <v>36072</v>
      </c>
      <c r="P15720" t="s">
        <v>36687</v>
      </c>
      <c r="R15720" s="26" t="str">
        <f>HYPERLINK("https://ictv.global/taxonomy/taxondetails?taxnode_id=202309166","Testadenovirus trachemysis")</f>
        <v>Testadenovirus trachemysis</v>
      </c>
      <c r="S15720" t="s">
        <v>30</v>
      </c>
      <c r="T15720" t="s">
        <v>36688</v>
      </c>
      <c r="U15720" t="s">
        <v>36689</v>
      </c>
      <c r="V15720" t="s">
        <v>36690</v>
      </c>
      <c r="W15720" t="s">
        <v>36691</v>
      </c>
      <c r="X15720" t="s">
        <v>154</v>
      </c>
      <c r="Y15720" t="s">
        <v>36</v>
      </c>
      <c r="Z15720" t="s">
        <v>166</v>
      </c>
      <c r="AA15720" s="22" t="str">
        <f>HYPERLINK("https://www.ncbi.nlm.nih.gov/nuccore/JN632576","NCBI Nucleotide")</f>
        <v>NCBI Nucleotide</v>
      </c>
    </row>
    <row r="15721" spans="1:27" x14ac:dyDescent="0.35">
      <c r="A15721">
        <v>1004814</v>
      </c>
      <c r="B15721">
        <v>14038</v>
      </c>
      <c r="C15721">
        <v>1</v>
      </c>
      <c r="D15721" t="s">
        <v>35352</v>
      </c>
      <c r="F15721" t="s">
        <v>35353</v>
      </c>
      <c r="H15721" t="s">
        <v>35957</v>
      </c>
      <c r="J15721" t="s">
        <v>35988</v>
      </c>
      <c r="L15721" t="s">
        <v>36692</v>
      </c>
      <c r="N15721" t="s">
        <v>36693</v>
      </c>
      <c r="P15721" t="s">
        <v>36694</v>
      </c>
      <c r="R15721" s="26" t="str">
        <f>HYPERLINK("https://ictv.global/taxonomy/taxondetails?taxnode_id=202306992","Corticovirus Cr39582")</f>
        <v>Corticovirus Cr39582</v>
      </c>
      <c r="S15721" t="s">
        <v>30</v>
      </c>
      <c r="T15721" t="s">
        <v>36695</v>
      </c>
      <c r="U15721" t="s">
        <v>36696</v>
      </c>
      <c r="W15721" t="s">
        <v>36697</v>
      </c>
      <c r="X15721" t="s">
        <v>42</v>
      </c>
      <c r="Y15721" t="s">
        <v>36</v>
      </c>
      <c r="Z15721" t="s">
        <v>697</v>
      </c>
      <c r="AA15721" s="22" t="str">
        <f>HYPERLINK("https://www.ncbi.nlm.nih.gov/nuccore/MG966533","NCBI Nucleotide")</f>
        <v>NCBI Nucleotide</v>
      </c>
    </row>
    <row r="15722" spans="1:27" x14ac:dyDescent="0.35">
      <c r="A15722">
        <v>1004815</v>
      </c>
      <c r="B15722">
        <v>14039</v>
      </c>
      <c r="C15722">
        <v>1</v>
      </c>
      <c r="D15722" t="s">
        <v>35352</v>
      </c>
      <c r="F15722" t="s">
        <v>35353</v>
      </c>
      <c r="H15722" t="s">
        <v>35957</v>
      </c>
      <c r="J15722" t="s">
        <v>35988</v>
      </c>
      <c r="L15722" t="s">
        <v>36692</v>
      </c>
      <c r="N15722" t="s">
        <v>36693</v>
      </c>
      <c r="P15722" t="s">
        <v>36694</v>
      </c>
      <c r="R15722" s="26" t="str">
        <f>HYPERLINK("https://ictv.global/taxonomy/taxondetails?taxnode_id=202303037","Corticovirus PM2")</f>
        <v>Corticovirus PM2</v>
      </c>
      <c r="S15722" t="s">
        <v>30</v>
      </c>
      <c r="T15722" t="s">
        <v>36698</v>
      </c>
      <c r="U15722" t="s">
        <v>36699</v>
      </c>
      <c r="W15722" t="s">
        <v>36700</v>
      </c>
      <c r="X15722" t="s">
        <v>42</v>
      </c>
      <c r="Y15722" t="s">
        <v>36</v>
      </c>
      <c r="Z15722" t="s">
        <v>697</v>
      </c>
      <c r="AA15722" s="22" t="str">
        <f>HYPERLINK("https://www.ncbi.nlm.nih.gov/nuccore/AF155037","NCBI Nucleotide")</f>
        <v>NCBI Nucleotide</v>
      </c>
    </row>
    <row r="15723" spans="1:27" x14ac:dyDescent="0.35">
      <c r="A15723">
        <v>1004816</v>
      </c>
      <c r="B15723">
        <v>14040</v>
      </c>
      <c r="C15723">
        <v>1</v>
      </c>
      <c r="D15723" t="s">
        <v>35352</v>
      </c>
      <c r="F15723" t="s">
        <v>35353</v>
      </c>
      <c r="H15723" t="s">
        <v>35957</v>
      </c>
      <c r="J15723" t="s">
        <v>35988</v>
      </c>
      <c r="N15723" t="s">
        <v>35989</v>
      </c>
      <c r="P15723" t="s">
        <v>35990</v>
      </c>
      <c r="R15723" s="26" t="str">
        <f>HYPERLINK("https://ictv.global/taxonomy/taxondetails?taxnode_id=202309497","Livvievirus viph1249a")</f>
        <v>Livvievirus viph1249a</v>
      </c>
      <c r="S15723" t="s">
        <v>30</v>
      </c>
      <c r="T15723" t="s">
        <v>35991</v>
      </c>
      <c r="U15723" t="s">
        <v>35992</v>
      </c>
      <c r="W15723" t="s">
        <v>35993</v>
      </c>
      <c r="X15723" t="s">
        <v>42</v>
      </c>
      <c r="Y15723" t="s">
        <v>36</v>
      </c>
      <c r="Z15723" t="s">
        <v>697</v>
      </c>
      <c r="AA15723" s="22" t="str">
        <f>HYPERLINK("https://www.ncbi.nlm.nih.gov/nuccore/MG592615","NCBI Nucleotide")</f>
        <v>NCBI Nucleotide</v>
      </c>
    </row>
    <row r="15724" spans="1:27" x14ac:dyDescent="0.35">
      <c r="A15724">
        <v>1004817</v>
      </c>
      <c r="B15724">
        <v>14041</v>
      </c>
      <c r="C15724">
        <v>1</v>
      </c>
      <c r="D15724" t="s">
        <v>35352</v>
      </c>
      <c r="F15724" t="s">
        <v>35353</v>
      </c>
      <c r="H15724" t="s">
        <v>35957</v>
      </c>
      <c r="J15724" t="s">
        <v>35988</v>
      </c>
      <c r="N15724" t="s">
        <v>35989</v>
      </c>
      <c r="P15724" t="s">
        <v>35990</v>
      </c>
      <c r="R15724" s="26" t="str">
        <f>HYPERLINK("https://ictv.global/taxonomy/taxondetails?taxnode_id=202309495","Paulavirus viph1044o")</f>
        <v>Paulavirus viph1044o</v>
      </c>
      <c r="S15724" t="s">
        <v>30</v>
      </c>
      <c r="T15724" t="s">
        <v>35994</v>
      </c>
      <c r="U15724" t="s">
        <v>35995</v>
      </c>
      <c r="W15724" t="s">
        <v>35996</v>
      </c>
      <c r="X15724" t="s">
        <v>42</v>
      </c>
      <c r="Y15724" t="s">
        <v>36</v>
      </c>
      <c r="Z15724" t="s">
        <v>697</v>
      </c>
      <c r="AA15724" s="22" t="str">
        <f>HYPERLINK("https://www.ncbi.nlm.nih.gov/nuccore/MG592427","NCBI Nucleotide")</f>
        <v>NCBI Nucleotide</v>
      </c>
    </row>
    <row r="15725" spans="1:27" x14ac:dyDescent="0.35">
      <c r="A15725">
        <v>1004818</v>
      </c>
      <c r="B15725">
        <v>14042</v>
      </c>
      <c r="C15725">
        <v>1</v>
      </c>
      <c r="D15725" t="s">
        <v>35352</v>
      </c>
      <c r="F15725" t="s">
        <v>35353</v>
      </c>
      <c r="H15725" t="s">
        <v>35957</v>
      </c>
      <c r="J15725" t="s">
        <v>35988</v>
      </c>
      <c r="N15725" t="s">
        <v>35989</v>
      </c>
      <c r="P15725" t="s">
        <v>35997</v>
      </c>
      <c r="R15725" s="26" t="str">
        <f>HYPERLINK("https://ictv.global/taxonomy/taxondetails?taxnode_id=202309492","Paulavirus viph1008o")</f>
        <v>Paulavirus viph1008o</v>
      </c>
      <c r="S15725" t="s">
        <v>30</v>
      </c>
      <c r="T15725" t="s">
        <v>35998</v>
      </c>
      <c r="U15725" t="s">
        <v>35999</v>
      </c>
      <c r="W15725" t="s">
        <v>36000</v>
      </c>
      <c r="X15725" t="s">
        <v>42</v>
      </c>
      <c r="Y15725" t="s">
        <v>36</v>
      </c>
      <c r="Z15725" t="s">
        <v>697</v>
      </c>
      <c r="AA15725" s="22" t="str">
        <f>HYPERLINK("https://www.ncbi.nlm.nih.gov/nuccore/MG592394","NCBI Nucleotide")</f>
        <v>NCBI Nucleotide</v>
      </c>
    </row>
    <row r="15726" spans="1:27" x14ac:dyDescent="0.35">
      <c r="A15726">
        <v>1004819</v>
      </c>
      <c r="B15726">
        <v>14043</v>
      </c>
      <c r="C15726">
        <v>1</v>
      </c>
      <c r="D15726" t="s">
        <v>35352</v>
      </c>
      <c r="F15726" t="s">
        <v>35353</v>
      </c>
      <c r="H15726" t="s">
        <v>35957</v>
      </c>
      <c r="J15726" t="s">
        <v>35988</v>
      </c>
      <c r="N15726" t="s">
        <v>35989</v>
      </c>
      <c r="P15726" t="s">
        <v>35997</v>
      </c>
      <c r="R15726" s="26" t="str">
        <f>HYPERLINK("https://ictv.global/taxonomy/taxondetails?taxnode_id=202309493","Paulavirus viph1020o")</f>
        <v>Paulavirus viph1020o</v>
      </c>
      <c r="S15726" t="s">
        <v>30</v>
      </c>
      <c r="T15726" t="s">
        <v>36001</v>
      </c>
      <c r="U15726" t="s">
        <v>36002</v>
      </c>
      <c r="W15726" t="s">
        <v>36003</v>
      </c>
      <c r="X15726" t="s">
        <v>42</v>
      </c>
      <c r="Y15726" t="s">
        <v>36</v>
      </c>
      <c r="Z15726" t="s">
        <v>697</v>
      </c>
      <c r="AA15726" s="22" t="str">
        <f>HYPERLINK("https://www.ncbi.nlm.nih.gov/nuccore/MG592402","NCBI Nucleotide")</f>
        <v>NCBI Nucleotide</v>
      </c>
    </row>
    <row r="15727" spans="1:27" x14ac:dyDescent="0.35">
      <c r="A15727">
        <v>1004820</v>
      </c>
      <c r="B15727">
        <v>14044</v>
      </c>
      <c r="C15727">
        <v>1</v>
      </c>
      <c r="D15727" t="s">
        <v>35352</v>
      </c>
      <c r="F15727" t="s">
        <v>35353</v>
      </c>
      <c r="H15727" t="s">
        <v>35957</v>
      </c>
      <c r="J15727" t="s">
        <v>35988</v>
      </c>
      <c r="N15727" t="s">
        <v>35989</v>
      </c>
      <c r="P15727" t="s">
        <v>35997</v>
      </c>
      <c r="R15727" s="26" t="str">
        <f>HYPERLINK("https://ictv.global/taxonomy/taxondetails?taxnode_id=202309494","Paulavirus viph1080o")</f>
        <v>Paulavirus viph1080o</v>
      </c>
      <c r="S15727" t="s">
        <v>30</v>
      </c>
      <c r="T15727" t="s">
        <v>36004</v>
      </c>
      <c r="U15727" t="s">
        <v>36005</v>
      </c>
      <c r="W15727" t="s">
        <v>36006</v>
      </c>
      <c r="X15727" t="s">
        <v>42</v>
      </c>
      <c r="Y15727" t="s">
        <v>36</v>
      </c>
      <c r="Z15727" t="s">
        <v>697</v>
      </c>
      <c r="AA15727" s="22" t="str">
        <f>HYPERLINK("https://www.ncbi.nlm.nih.gov/nuccore/MG592455","NCBI Nucleotide")</f>
        <v>NCBI Nucleotide</v>
      </c>
    </row>
    <row r="15728" spans="1:27" x14ac:dyDescent="0.35">
      <c r="A15728">
        <v>1004821</v>
      </c>
      <c r="B15728">
        <v>14045</v>
      </c>
      <c r="C15728">
        <v>1</v>
      </c>
      <c r="D15728" t="s">
        <v>35352</v>
      </c>
      <c r="F15728" t="s">
        <v>35353</v>
      </c>
      <c r="N15728" t="s">
        <v>35354</v>
      </c>
      <c r="P15728" t="s">
        <v>35355</v>
      </c>
      <c r="R15728" s="26" t="str">
        <f>HYPERLINK("https://ictv.global/taxonomy/taxondetails?taxnode_id=202312530","Yaravirus brasiliense")</f>
        <v>Yaravirus brasiliense</v>
      </c>
      <c r="S15728" t="s">
        <v>30</v>
      </c>
      <c r="T15728" t="s">
        <v>35355</v>
      </c>
      <c r="U15728" t="s">
        <v>35356</v>
      </c>
      <c r="V15728" t="s">
        <v>35357</v>
      </c>
      <c r="W15728" t="s">
        <v>35358</v>
      </c>
      <c r="X15728" t="s">
        <v>42</v>
      </c>
      <c r="Y15728" t="s">
        <v>36</v>
      </c>
      <c r="Z15728" t="s">
        <v>17496</v>
      </c>
      <c r="AA15728" s="22" t="str">
        <f>HYPERLINK("https://www.ncbi.nlm.nih.gov/nuccore/MT293574","NCBI Nucleotide")</f>
        <v>NCBI Nucleotide</v>
      </c>
    </row>
    <row r="15729" spans="1:27" x14ac:dyDescent="0.35">
      <c r="A15729">
        <v>1004822</v>
      </c>
      <c r="B15729">
        <v>14046</v>
      </c>
      <c r="C15729">
        <v>1</v>
      </c>
      <c r="D15729" t="s">
        <v>35352</v>
      </c>
      <c r="F15729" t="s">
        <v>36701</v>
      </c>
      <c r="H15729" t="s">
        <v>36702</v>
      </c>
      <c r="J15729" t="s">
        <v>36703</v>
      </c>
      <c r="L15729" t="s">
        <v>36704</v>
      </c>
      <c r="N15729" t="s">
        <v>47822</v>
      </c>
      <c r="P15729" t="s">
        <v>36705</v>
      </c>
      <c r="R15729" s="26" t="str">
        <f>HYPERLINK("https://ictv.global/taxonomy/taxondetails?taxnode_id=202305064","Hukuchivirus IN93")</f>
        <v>Hukuchivirus IN93</v>
      </c>
      <c r="S15729" t="s">
        <v>30</v>
      </c>
      <c r="T15729" t="s">
        <v>36706</v>
      </c>
      <c r="U15729" t="s">
        <v>36707</v>
      </c>
      <c r="W15729" t="s">
        <v>36708</v>
      </c>
      <c r="X15729" t="s">
        <v>42</v>
      </c>
      <c r="Y15729" t="s">
        <v>36</v>
      </c>
      <c r="Z15729" t="s">
        <v>697</v>
      </c>
      <c r="AA15729" s="22" t="str">
        <f>HYPERLINK("https://www.ncbi.nlm.nih.gov/nuccore/AB063393","NCBI Nucleotide")</f>
        <v>NCBI Nucleotide</v>
      </c>
    </row>
    <row r="15730" spans="1:27" x14ac:dyDescent="0.35">
      <c r="A15730">
        <v>1004823</v>
      </c>
      <c r="B15730">
        <v>14047</v>
      </c>
      <c r="C15730">
        <v>1</v>
      </c>
      <c r="D15730" t="s">
        <v>35352</v>
      </c>
      <c r="F15730" t="s">
        <v>36701</v>
      </c>
      <c r="H15730" t="s">
        <v>36702</v>
      </c>
      <c r="J15730" t="s">
        <v>36703</v>
      </c>
      <c r="L15730" t="s">
        <v>36704</v>
      </c>
      <c r="N15730" t="s">
        <v>47822</v>
      </c>
      <c r="P15730" t="s">
        <v>36705</v>
      </c>
      <c r="R15730" s="26" t="str">
        <f>HYPERLINK("https://ictv.global/taxonomy/taxondetails?taxnode_id=202305065","Hukuchivirus P2377")</f>
        <v>Hukuchivirus P2377</v>
      </c>
      <c r="S15730" t="s">
        <v>30</v>
      </c>
      <c r="T15730" t="s">
        <v>36709</v>
      </c>
      <c r="U15730" t="s">
        <v>36710</v>
      </c>
      <c r="W15730" t="s">
        <v>36711</v>
      </c>
      <c r="X15730" t="s">
        <v>42</v>
      </c>
      <c r="Y15730" t="s">
        <v>36</v>
      </c>
      <c r="Z15730" t="s">
        <v>697</v>
      </c>
      <c r="AA15730" s="22" t="str">
        <f>HYPERLINK("https://www.ncbi.nlm.nih.gov/nuccore/GQ403789","NCBI Nucleotide")</f>
        <v>NCBI Nucleotide</v>
      </c>
    </row>
    <row r="15731" spans="1:27" x14ac:dyDescent="0.35">
      <c r="A15731">
        <v>1004825</v>
      </c>
      <c r="B15731">
        <v>14048</v>
      </c>
      <c r="C15731">
        <v>1</v>
      </c>
      <c r="D15731" t="s">
        <v>35352</v>
      </c>
      <c r="F15731" t="s">
        <v>36701</v>
      </c>
      <c r="H15731" t="s">
        <v>36702</v>
      </c>
      <c r="J15731" t="s">
        <v>36703</v>
      </c>
      <c r="L15731" t="s">
        <v>36704</v>
      </c>
      <c r="N15731" t="s">
        <v>36712</v>
      </c>
      <c r="P15731" t="s">
        <v>36713</v>
      </c>
      <c r="R15731" s="26" t="str">
        <f>HYPERLINK("https://ictv.global/taxonomy/taxondetails?taxnode_id=202311860","Yingchengvirus boliviaense")</f>
        <v>Yingchengvirus boliviaense</v>
      </c>
      <c r="S15731" t="s">
        <v>30</v>
      </c>
      <c r="T15731" t="s">
        <v>36717</v>
      </c>
      <c r="U15731" t="s">
        <v>36718</v>
      </c>
      <c r="W15731" t="s">
        <v>36719</v>
      </c>
      <c r="X15731" t="s">
        <v>42</v>
      </c>
      <c r="Y15731" t="s">
        <v>36</v>
      </c>
      <c r="Z15731" t="s">
        <v>37</v>
      </c>
      <c r="AA15731" s="22" t="str">
        <f>HYPERLINK("https://www.ncbi.nlm.nih.gov/nuccore/BK013337","NCBI Nucleotide")</f>
        <v>NCBI Nucleotide</v>
      </c>
    </row>
    <row r="15732" spans="1:27" x14ac:dyDescent="0.35">
      <c r="A15732">
        <v>1004824</v>
      </c>
      <c r="B15732">
        <v>14049</v>
      </c>
      <c r="C15732">
        <v>1</v>
      </c>
      <c r="D15732" t="s">
        <v>35352</v>
      </c>
      <c r="F15732" t="s">
        <v>36701</v>
      </c>
      <c r="H15732" t="s">
        <v>36702</v>
      </c>
      <c r="J15732" t="s">
        <v>36703</v>
      </c>
      <c r="L15732" t="s">
        <v>36704</v>
      </c>
      <c r="N15732" t="s">
        <v>36712</v>
      </c>
      <c r="P15732" t="s">
        <v>36713</v>
      </c>
      <c r="R15732" s="26" t="str">
        <f>HYPERLINK("https://ictv.global/taxonomy/taxondetails?taxnode_id=202311861","Yingchengvirus koreaense")</f>
        <v>Yingchengvirus koreaense</v>
      </c>
      <c r="S15732" t="s">
        <v>30</v>
      </c>
      <c r="T15732" t="s">
        <v>36714</v>
      </c>
      <c r="U15732" t="s">
        <v>36715</v>
      </c>
      <c r="W15732" t="s">
        <v>36716</v>
      </c>
      <c r="X15732" t="s">
        <v>42</v>
      </c>
      <c r="Y15732" t="s">
        <v>36</v>
      </c>
      <c r="Z15732" t="s">
        <v>37</v>
      </c>
      <c r="AA15732" s="22" t="str">
        <f>HYPERLINK("https://www.ncbi.nlm.nih.gov/nuccore/BK013338","NCBI Nucleotide")</f>
        <v>NCBI Nucleotide</v>
      </c>
    </row>
    <row r="15733" spans="1:27" x14ac:dyDescent="0.35">
      <c r="A15733">
        <v>1004826</v>
      </c>
      <c r="B15733">
        <v>14050</v>
      </c>
      <c r="C15733">
        <v>1</v>
      </c>
      <c r="D15733" t="s">
        <v>35352</v>
      </c>
      <c r="F15733" t="s">
        <v>36701</v>
      </c>
      <c r="H15733" t="s">
        <v>36702</v>
      </c>
      <c r="J15733" t="s">
        <v>36703</v>
      </c>
      <c r="L15733" t="s">
        <v>36704</v>
      </c>
      <c r="N15733" t="s">
        <v>36712</v>
      </c>
      <c r="P15733" t="s">
        <v>36713</v>
      </c>
      <c r="R15733" s="26" t="str">
        <f>HYPERLINK("https://ictv.global/taxonomy/taxondetails?taxnode_id=202305062","Yingchengvirus sinense")</f>
        <v>Yingchengvirus sinense</v>
      </c>
      <c r="S15733" t="s">
        <v>30</v>
      </c>
      <c r="T15733" t="s">
        <v>36720</v>
      </c>
      <c r="U15733" t="s">
        <v>36721</v>
      </c>
      <c r="W15733" t="s">
        <v>36722</v>
      </c>
      <c r="X15733" t="s">
        <v>42</v>
      </c>
      <c r="Y15733" t="s">
        <v>36</v>
      </c>
      <c r="Z15733" t="s">
        <v>37</v>
      </c>
      <c r="AA15733" s="22" t="str">
        <f>HYPERLINK("https://www.ncbi.nlm.nih.gov/nuccore/AY048850","NCBI Nucleotide")</f>
        <v>NCBI Nucleotide</v>
      </c>
    </row>
    <row r="15734" spans="1:27" x14ac:dyDescent="0.35">
      <c r="A15734">
        <v>1004828</v>
      </c>
      <c r="B15734">
        <v>14051</v>
      </c>
      <c r="C15734">
        <v>1</v>
      </c>
      <c r="D15734" t="s">
        <v>35352</v>
      </c>
      <c r="F15734" t="s">
        <v>36701</v>
      </c>
      <c r="H15734" t="s">
        <v>36702</v>
      </c>
      <c r="J15734" t="s">
        <v>36703</v>
      </c>
      <c r="L15734" t="s">
        <v>36704</v>
      </c>
      <c r="N15734" t="s">
        <v>36723</v>
      </c>
      <c r="P15734" t="s">
        <v>36724</v>
      </c>
      <c r="R15734" s="26" t="str">
        <f>HYPERLINK("https://ictv.global/taxonomy/taxondetails?taxnode_id=202305057","Alphasphaerolipovirus helsinkii")</f>
        <v>Alphasphaerolipovirus helsinkii</v>
      </c>
      <c r="S15734" t="s">
        <v>30</v>
      </c>
      <c r="T15734" t="s">
        <v>36729</v>
      </c>
      <c r="U15734" t="s">
        <v>36730</v>
      </c>
      <c r="W15734" t="s">
        <v>36731</v>
      </c>
      <c r="X15734" t="s">
        <v>42</v>
      </c>
      <c r="Y15734" t="s">
        <v>36</v>
      </c>
      <c r="Z15734" t="s">
        <v>37</v>
      </c>
      <c r="AA15734" s="22" t="str">
        <f>HYPERLINK("https://www.ncbi.nlm.nih.gov/nuccore/JN968479","NCBI Nucleotide")</f>
        <v>NCBI Nucleotide</v>
      </c>
    </row>
    <row r="15735" spans="1:27" x14ac:dyDescent="0.35">
      <c r="A15735">
        <v>1004829</v>
      </c>
      <c r="B15735">
        <v>14052</v>
      </c>
      <c r="C15735">
        <v>1</v>
      </c>
      <c r="D15735" t="s">
        <v>35352</v>
      </c>
      <c r="F15735" t="s">
        <v>36701</v>
      </c>
      <c r="H15735" t="s">
        <v>36702</v>
      </c>
      <c r="J15735" t="s">
        <v>36703</v>
      </c>
      <c r="L15735" t="s">
        <v>36704</v>
      </c>
      <c r="N15735" t="s">
        <v>36723</v>
      </c>
      <c r="P15735" t="s">
        <v>36724</v>
      </c>
      <c r="R15735" s="26" t="str">
        <f>HYPERLINK("https://ictv.global/taxonomy/taxondetails?taxnode_id=202305058","Alphasphaerolipovirus pinkense")</f>
        <v>Alphasphaerolipovirus pinkense</v>
      </c>
      <c r="S15735" t="s">
        <v>30</v>
      </c>
      <c r="T15735" t="s">
        <v>36732</v>
      </c>
      <c r="U15735" t="s">
        <v>36733</v>
      </c>
      <c r="V15735">
        <v>1</v>
      </c>
      <c r="W15735" t="s">
        <v>36734</v>
      </c>
      <c r="X15735" t="s">
        <v>42</v>
      </c>
      <c r="Y15735" t="s">
        <v>36</v>
      </c>
      <c r="Z15735" t="s">
        <v>37</v>
      </c>
      <c r="AA15735" s="22" t="str">
        <f>HYPERLINK("https://www.ncbi.nlm.nih.gov/nuccore/KC252997","NCBI Nucleotide")</f>
        <v>NCBI Nucleotide</v>
      </c>
    </row>
    <row r="15736" spans="1:27" x14ac:dyDescent="0.35">
      <c r="A15736">
        <v>1004830</v>
      </c>
      <c r="B15736">
        <v>14053</v>
      </c>
      <c r="C15736">
        <v>1</v>
      </c>
      <c r="D15736" t="s">
        <v>35352</v>
      </c>
      <c r="F15736" t="s">
        <v>36701</v>
      </c>
      <c r="H15736" t="s">
        <v>36702</v>
      </c>
      <c r="J15736" t="s">
        <v>36703</v>
      </c>
      <c r="L15736" t="s">
        <v>36704</v>
      </c>
      <c r="N15736" t="s">
        <v>36723</v>
      </c>
      <c r="P15736" t="s">
        <v>36724</v>
      </c>
      <c r="R15736" s="26" t="str">
        <f>HYPERLINK("https://ictv.global/taxonomy/taxondetails?taxnode_id=202305059","Alphasphaerolipovirus serpentinense")</f>
        <v>Alphasphaerolipovirus serpentinense</v>
      </c>
      <c r="S15736" t="s">
        <v>30</v>
      </c>
      <c r="T15736" t="s">
        <v>36735</v>
      </c>
      <c r="U15736" t="s">
        <v>36736</v>
      </c>
      <c r="W15736" t="s">
        <v>36737</v>
      </c>
      <c r="X15736" t="s">
        <v>42</v>
      </c>
      <c r="Y15736" t="s">
        <v>36</v>
      </c>
      <c r="Z15736" t="s">
        <v>37</v>
      </c>
      <c r="AA15736" s="22" t="str">
        <f>HYPERLINK("https://www.ncbi.nlm.nih.gov/nuccore/AY950802","NCBI Nucleotide")</f>
        <v>NCBI Nucleotide</v>
      </c>
    </row>
    <row r="15737" spans="1:27" x14ac:dyDescent="0.35">
      <c r="A15737">
        <v>1004827</v>
      </c>
      <c r="B15737">
        <v>14054</v>
      </c>
      <c r="C15737">
        <v>1</v>
      </c>
      <c r="D15737" t="s">
        <v>35352</v>
      </c>
      <c r="F15737" t="s">
        <v>36701</v>
      </c>
      <c r="H15737" t="s">
        <v>36702</v>
      </c>
      <c r="J15737" t="s">
        <v>36703</v>
      </c>
      <c r="L15737" t="s">
        <v>36704</v>
      </c>
      <c r="N15737" t="s">
        <v>36723</v>
      </c>
      <c r="P15737" t="s">
        <v>36724</v>
      </c>
      <c r="R15737" s="26" t="str">
        <f>HYPERLINK("https://ictv.global/taxonomy/taxondetails?taxnode_id=202305060","Alphasphaerolipovirus viikkii")</f>
        <v>Alphasphaerolipovirus viikkii</v>
      </c>
      <c r="S15737" t="s">
        <v>30</v>
      </c>
      <c r="T15737" t="s">
        <v>36725</v>
      </c>
      <c r="U15737" t="s">
        <v>36726</v>
      </c>
      <c r="V15737" t="s">
        <v>36727</v>
      </c>
      <c r="W15737" t="s">
        <v>36728</v>
      </c>
      <c r="X15737" t="s">
        <v>42</v>
      </c>
      <c r="Y15737" t="s">
        <v>36</v>
      </c>
      <c r="Z15737" t="s">
        <v>37</v>
      </c>
      <c r="AA15737" s="22" t="str">
        <f>HYPERLINK("https://www.ncbi.nlm.nih.gov/nuccore/KT809302","NCBI Nucleotide")</f>
        <v>NCBI Nucleotide</v>
      </c>
    </row>
    <row r="15738" spans="1:27" x14ac:dyDescent="0.35">
      <c r="A15738">
        <v>1004831</v>
      </c>
      <c r="B15738">
        <v>14055</v>
      </c>
      <c r="C15738">
        <v>1</v>
      </c>
      <c r="J15738" t="s">
        <v>36738</v>
      </c>
      <c r="L15738" t="s">
        <v>36766</v>
      </c>
      <c r="N15738" t="s">
        <v>36767</v>
      </c>
      <c r="P15738" t="s">
        <v>36768</v>
      </c>
      <c r="R15738" s="26" t="str">
        <f>HYPERLINK("https://ictv.global/taxonomy/taxondetails?taxnode_id=202302657","Alphabaculovirus adhonmai")</f>
        <v>Alphabaculovirus adhonmai</v>
      </c>
      <c r="S15738" t="s">
        <v>30</v>
      </c>
      <c r="T15738" t="s">
        <v>36769</v>
      </c>
      <c r="U15738" t="s">
        <v>36770</v>
      </c>
      <c r="V15738" t="s">
        <v>36771</v>
      </c>
      <c r="W15738" t="s">
        <v>36772</v>
      </c>
      <c r="X15738" t="s">
        <v>42</v>
      </c>
      <c r="Y15738" t="s">
        <v>36</v>
      </c>
      <c r="Z15738" t="s">
        <v>10790</v>
      </c>
      <c r="AA15738" s="22" t="str">
        <f>HYPERLINK("https://www.ncbi.nlm.nih.gov/nuccore/AP006270","NCBI Nucleotide")</f>
        <v>NCBI Nucleotide</v>
      </c>
    </row>
    <row r="15739" spans="1:27" x14ac:dyDescent="0.35">
      <c r="A15739">
        <v>1004832</v>
      </c>
      <c r="B15739">
        <v>14056</v>
      </c>
      <c r="C15739">
        <v>1</v>
      </c>
      <c r="J15739" t="s">
        <v>36738</v>
      </c>
      <c r="L15739" t="s">
        <v>36766</v>
      </c>
      <c r="N15739" t="s">
        <v>36767</v>
      </c>
      <c r="P15739" t="s">
        <v>36768</v>
      </c>
      <c r="R15739" s="26" t="str">
        <f>HYPERLINK("https://ictv.global/taxonomy/taxondetails?taxnode_id=202302658","Alphabaculovirus agipsilonis")</f>
        <v>Alphabaculovirus agipsilonis</v>
      </c>
      <c r="S15739" t="s">
        <v>30</v>
      </c>
      <c r="T15739" t="s">
        <v>36773</v>
      </c>
      <c r="U15739" t="s">
        <v>36774</v>
      </c>
      <c r="V15739" t="s">
        <v>36775</v>
      </c>
      <c r="W15739" t="s">
        <v>36776</v>
      </c>
      <c r="X15739" t="s">
        <v>42</v>
      </c>
      <c r="Y15739" t="s">
        <v>36</v>
      </c>
      <c r="Z15739" t="s">
        <v>10790</v>
      </c>
      <c r="AA15739" s="22" t="str">
        <f>HYPERLINK("https://www.ncbi.nlm.nih.gov/nuccore/EU839994","NCBI Nucleotide")</f>
        <v>NCBI Nucleotide</v>
      </c>
    </row>
    <row r="15740" spans="1:27" x14ac:dyDescent="0.35">
      <c r="A15740">
        <v>1004833</v>
      </c>
      <c r="B15740">
        <v>14057</v>
      </c>
      <c r="C15740">
        <v>1</v>
      </c>
      <c r="J15740" t="s">
        <v>36738</v>
      </c>
      <c r="L15740" t="s">
        <v>36766</v>
      </c>
      <c r="N15740" t="s">
        <v>36767</v>
      </c>
      <c r="P15740" t="s">
        <v>36768</v>
      </c>
      <c r="R15740" s="26" t="str">
        <f>HYPERLINK("https://ictv.global/taxonomy/taxondetails?taxnode_id=202302659","Alphabaculovirus agsegetum")</f>
        <v>Alphabaculovirus agsegetum</v>
      </c>
      <c r="S15740" t="s">
        <v>30</v>
      </c>
      <c r="T15740" t="s">
        <v>36777</v>
      </c>
      <c r="U15740" t="s">
        <v>36778</v>
      </c>
      <c r="V15740" t="s">
        <v>36779</v>
      </c>
      <c r="W15740" t="s">
        <v>36780</v>
      </c>
      <c r="X15740" t="s">
        <v>42</v>
      </c>
      <c r="Y15740" t="s">
        <v>36</v>
      </c>
      <c r="Z15740" t="s">
        <v>10790</v>
      </c>
      <c r="AA15740" s="22" t="str">
        <f>HYPERLINK("https://www.ncbi.nlm.nih.gov/nuccore/DQ123841","NCBI Nucleotide")</f>
        <v>NCBI Nucleotide</v>
      </c>
    </row>
    <row r="15741" spans="1:27" x14ac:dyDescent="0.35">
      <c r="A15741">
        <v>1004834</v>
      </c>
      <c r="B15741">
        <v>14058</v>
      </c>
      <c r="C15741">
        <v>1</v>
      </c>
      <c r="J15741" t="s">
        <v>36738</v>
      </c>
      <c r="L15741" t="s">
        <v>36766</v>
      </c>
      <c r="N15741" t="s">
        <v>36767</v>
      </c>
      <c r="P15741" t="s">
        <v>36768</v>
      </c>
      <c r="R15741" s="26" t="str">
        <f>HYPERLINK("https://ictv.global/taxonomy/taxondetails?taxnode_id=202302660","Alphabaculovirus alteragsegetum")</f>
        <v>Alphabaculovirus alteragsegetum</v>
      </c>
      <c r="S15741" t="s">
        <v>30</v>
      </c>
      <c r="T15741" t="s">
        <v>36781</v>
      </c>
      <c r="U15741" t="s">
        <v>36782</v>
      </c>
      <c r="V15741" t="s">
        <v>36783</v>
      </c>
      <c r="W15741" t="s">
        <v>36784</v>
      </c>
      <c r="X15741" t="s">
        <v>42</v>
      </c>
      <c r="Y15741" t="s">
        <v>36</v>
      </c>
      <c r="Z15741" t="s">
        <v>10790</v>
      </c>
      <c r="AA15741" s="22" t="str">
        <f>HYPERLINK("https://www.ncbi.nlm.nih.gov/nuccore/KM102981","NCBI Nucleotide")</f>
        <v>NCBI Nucleotide</v>
      </c>
    </row>
    <row r="15742" spans="1:27" x14ac:dyDescent="0.35">
      <c r="A15742">
        <v>1004835</v>
      </c>
      <c r="B15742">
        <v>14059</v>
      </c>
      <c r="C15742">
        <v>1</v>
      </c>
      <c r="J15742" t="s">
        <v>36738</v>
      </c>
      <c r="L15742" t="s">
        <v>36766</v>
      </c>
      <c r="N15742" t="s">
        <v>36767</v>
      </c>
      <c r="P15742" t="s">
        <v>36768</v>
      </c>
      <c r="R15742" s="26" t="str">
        <f>HYPERLINK("https://ictv.global/taxonomy/taxondetails?taxnode_id=202302667","Alphabaculovirus alterchofumiferanae")</f>
        <v>Alphabaculovirus alterchofumiferanae</v>
      </c>
      <c r="S15742" t="s">
        <v>30</v>
      </c>
      <c r="T15742" t="s">
        <v>36785</v>
      </c>
      <c r="U15742" t="s">
        <v>36786</v>
      </c>
      <c r="W15742" t="s">
        <v>36787</v>
      </c>
      <c r="X15742" t="s">
        <v>42</v>
      </c>
      <c r="Y15742" t="s">
        <v>36</v>
      </c>
      <c r="Z15742" t="s">
        <v>10790</v>
      </c>
      <c r="AA15742" s="22" t="str">
        <f>HYPERLINK("https://www.ncbi.nlm.nih.gov/nuccore/AY327402","NCBI Nucleotide")</f>
        <v>NCBI Nucleotide</v>
      </c>
    </row>
    <row r="15743" spans="1:27" x14ac:dyDescent="0.35">
      <c r="A15743">
        <v>1004836</v>
      </c>
      <c r="B15743">
        <v>14060</v>
      </c>
      <c r="C15743">
        <v>1</v>
      </c>
      <c r="J15743" t="s">
        <v>36738</v>
      </c>
      <c r="L15743" t="s">
        <v>36766</v>
      </c>
      <c r="N15743" t="s">
        <v>36767</v>
      </c>
      <c r="P15743" t="s">
        <v>36768</v>
      </c>
      <c r="R15743" s="26" t="str">
        <f>HYPERLINK("https://ictv.global/taxonomy/taxondetails?taxnode_id=202314022","Alphabaculovirus alterchrincludentis")</f>
        <v>Alphabaculovirus alterchrincludentis</v>
      </c>
      <c r="S15743" t="s">
        <v>30</v>
      </c>
      <c r="T15743" t="s">
        <v>36788</v>
      </c>
      <c r="U15743" t="s">
        <v>36789</v>
      </c>
      <c r="V15743" t="s">
        <v>36790</v>
      </c>
      <c r="W15743" t="s">
        <v>36791</v>
      </c>
      <c r="X15743" t="s">
        <v>42</v>
      </c>
      <c r="Y15743" t="s">
        <v>36</v>
      </c>
      <c r="Z15743" t="s">
        <v>10790</v>
      </c>
      <c r="AA15743" s="22" t="str">
        <f>HYPERLINK("https://www.ncbi.nlm.nih.gov/nuccore/MK746083","NCBI Nucleotide")</f>
        <v>NCBI Nucleotide</v>
      </c>
    </row>
    <row r="15744" spans="1:27" x14ac:dyDescent="0.35">
      <c r="A15744">
        <v>1004837</v>
      </c>
      <c r="B15744">
        <v>14061</v>
      </c>
      <c r="C15744">
        <v>1</v>
      </c>
      <c r="J15744" t="s">
        <v>36738</v>
      </c>
      <c r="L15744" t="s">
        <v>36766</v>
      </c>
      <c r="N15744" t="s">
        <v>36767</v>
      </c>
      <c r="P15744" t="s">
        <v>36768</v>
      </c>
      <c r="R15744" s="26" t="str">
        <f>HYPERLINK("https://ictv.global/taxonomy/taxondetails?taxnode_id=202302685","Alphabaculovirus altermaconfiguratae")</f>
        <v>Alphabaculovirus altermaconfiguratae</v>
      </c>
      <c r="S15744" t="s">
        <v>30</v>
      </c>
      <c r="T15744" t="s">
        <v>36792</v>
      </c>
      <c r="U15744" t="s">
        <v>36793</v>
      </c>
      <c r="V15744" t="s">
        <v>36794</v>
      </c>
      <c r="W15744" t="s">
        <v>36795</v>
      </c>
      <c r="X15744" t="s">
        <v>42</v>
      </c>
      <c r="Y15744" t="s">
        <v>36</v>
      </c>
      <c r="Z15744" t="s">
        <v>10790</v>
      </c>
      <c r="AA15744" s="22" t="str">
        <f>HYPERLINK("https://www.ncbi.nlm.nih.gov/nuccore/AY126275","NCBI Nucleotide")</f>
        <v>NCBI Nucleotide</v>
      </c>
    </row>
    <row r="15745" spans="1:27" x14ac:dyDescent="0.35">
      <c r="A15745">
        <v>1004838</v>
      </c>
      <c r="B15745">
        <v>14062</v>
      </c>
      <c r="C15745">
        <v>1</v>
      </c>
      <c r="J15745" t="s">
        <v>36738</v>
      </c>
      <c r="L15745" t="s">
        <v>36766</v>
      </c>
      <c r="N15745" t="s">
        <v>36767</v>
      </c>
      <c r="P15745" t="s">
        <v>36768</v>
      </c>
      <c r="R15745" s="26" t="str">
        <f>HYPERLINK("https://ictv.global/taxonomy/taxondetails?taxnode_id=202308665","Alphabaculovirus altermyunipunctae")</f>
        <v>Alphabaculovirus altermyunipunctae</v>
      </c>
      <c r="S15745" t="s">
        <v>30</v>
      </c>
      <c r="T15745" t="s">
        <v>36796</v>
      </c>
      <c r="U15745" t="s">
        <v>36797</v>
      </c>
      <c r="V15745" t="s">
        <v>36798</v>
      </c>
      <c r="W15745" t="s">
        <v>36799</v>
      </c>
      <c r="X15745" t="s">
        <v>42</v>
      </c>
      <c r="Y15745" t="s">
        <v>36</v>
      </c>
      <c r="Z15745" t="s">
        <v>10790</v>
      </c>
      <c r="AA15745" s="22" t="str">
        <f>HYPERLINK("https://www.ncbi.nlm.nih.gov/nuccore/MH124167","NCBI Nucleotide")</f>
        <v>NCBI Nucleotide</v>
      </c>
    </row>
    <row r="15746" spans="1:27" x14ac:dyDescent="0.35">
      <c r="A15746">
        <v>1004839</v>
      </c>
      <c r="B15746">
        <v>14063</v>
      </c>
      <c r="C15746">
        <v>1</v>
      </c>
      <c r="J15746" t="s">
        <v>36738</v>
      </c>
      <c r="L15746" t="s">
        <v>36766</v>
      </c>
      <c r="N15746" t="s">
        <v>36767</v>
      </c>
      <c r="P15746" t="s">
        <v>36768</v>
      </c>
      <c r="R15746" s="26" t="str">
        <f>HYPERLINK("https://ictv.global/taxonomy/taxondetails?taxnode_id=202313428","Alphabaculovirus altersperidaniae")</f>
        <v>Alphabaculovirus altersperidaniae</v>
      </c>
      <c r="S15746" t="s">
        <v>30</v>
      </c>
      <c r="T15746" t="s">
        <v>36800</v>
      </c>
      <c r="U15746" t="s">
        <v>36801</v>
      </c>
      <c r="V15746" t="s">
        <v>36802</v>
      </c>
      <c r="W15746" t="s">
        <v>36803</v>
      </c>
      <c r="X15746" t="s">
        <v>42</v>
      </c>
      <c r="Y15746" t="s">
        <v>36</v>
      </c>
      <c r="Z15746" t="s">
        <v>10790</v>
      </c>
      <c r="AA15746" s="22" t="str">
        <f>HYPERLINK("https://www.ncbi.nlm.nih.gov/nuccore/MT040195","NCBI Nucleotide")</f>
        <v>NCBI Nucleotide</v>
      </c>
    </row>
    <row r="15747" spans="1:27" x14ac:dyDescent="0.35">
      <c r="A15747">
        <v>1004840</v>
      </c>
      <c r="B15747">
        <v>14064</v>
      </c>
      <c r="C15747">
        <v>1</v>
      </c>
      <c r="J15747" t="s">
        <v>36738</v>
      </c>
      <c r="L15747" t="s">
        <v>36766</v>
      </c>
      <c r="N15747" t="s">
        <v>36767</v>
      </c>
      <c r="P15747" t="s">
        <v>36768</v>
      </c>
      <c r="R15747" s="26" t="str">
        <f>HYPERLINK("https://ictv.global/taxonomy/taxondetails?taxnode_id=202308720","Alphabaculovirus alterspexiguae")</f>
        <v>Alphabaculovirus alterspexiguae</v>
      </c>
      <c r="S15747" t="s">
        <v>30</v>
      </c>
      <c r="T15747" t="s">
        <v>36804</v>
      </c>
      <c r="U15747" t="s">
        <v>36805</v>
      </c>
      <c r="V15747" t="s">
        <v>33600</v>
      </c>
      <c r="W15747" t="s">
        <v>36806</v>
      </c>
      <c r="X15747" t="s">
        <v>42</v>
      </c>
      <c r="Y15747" t="s">
        <v>36</v>
      </c>
      <c r="Z15747" t="s">
        <v>10790</v>
      </c>
      <c r="AA15747" s="22" t="str">
        <f>HYPERLINK("https://www.ncbi.nlm.nih.gov/nuccore/MH370144","NCBI Nucleotide")</f>
        <v>NCBI Nucleotide</v>
      </c>
    </row>
    <row r="15748" spans="1:27" x14ac:dyDescent="0.35">
      <c r="A15748">
        <v>1004841</v>
      </c>
      <c r="B15748">
        <v>14065</v>
      </c>
      <c r="C15748">
        <v>1</v>
      </c>
      <c r="J15748" t="s">
        <v>36738</v>
      </c>
      <c r="L15748" t="s">
        <v>36766</v>
      </c>
      <c r="N15748" t="s">
        <v>36767</v>
      </c>
      <c r="P15748" t="s">
        <v>36768</v>
      </c>
      <c r="R15748" s="26" t="str">
        <f>HYPERLINK("https://ictv.global/taxonomy/taxondetails?taxnode_id=202302662","Alphabaculovirus angemmatalis")</f>
        <v>Alphabaculovirus angemmatalis</v>
      </c>
      <c r="S15748" t="s">
        <v>30</v>
      </c>
      <c r="T15748" t="s">
        <v>36807</v>
      </c>
      <c r="U15748" t="s">
        <v>36808</v>
      </c>
      <c r="V15748" t="s">
        <v>36809</v>
      </c>
      <c r="W15748" t="s">
        <v>36810</v>
      </c>
      <c r="X15748" t="s">
        <v>42</v>
      </c>
      <c r="Y15748" t="s">
        <v>36</v>
      </c>
      <c r="Z15748" t="s">
        <v>10790</v>
      </c>
      <c r="AA15748" s="22" t="str">
        <f>HYPERLINK("https://www.ncbi.nlm.nih.gov/nuccore/DQ813662","NCBI Nucleotide")</f>
        <v>NCBI Nucleotide</v>
      </c>
    </row>
    <row r="15749" spans="1:27" x14ac:dyDescent="0.35">
      <c r="A15749">
        <v>1012171</v>
      </c>
      <c r="B15749">
        <v>14065</v>
      </c>
      <c r="C15749">
        <v>2</v>
      </c>
      <c r="J15749" t="s">
        <v>36738</v>
      </c>
      <c r="L15749" t="s">
        <v>36766</v>
      </c>
      <c r="N15749" t="s">
        <v>36767</v>
      </c>
      <c r="P15749" t="s">
        <v>36768</v>
      </c>
      <c r="R15749" s="26" t="str">
        <f>HYPERLINK("https://ictv.global/taxonomy/taxondetails?taxnode_id=202302662","Alphabaculovirus angemmatalis")</f>
        <v>Alphabaculovirus angemmatalis</v>
      </c>
      <c r="S15749" t="s">
        <v>8141</v>
      </c>
      <c r="T15749" t="s">
        <v>36807</v>
      </c>
      <c r="U15749" t="s">
        <v>36808</v>
      </c>
      <c r="V15749">
        <v>37</v>
      </c>
      <c r="W15749" t="s">
        <v>50363</v>
      </c>
      <c r="X15749" t="s">
        <v>42</v>
      </c>
      <c r="Y15749" t="s">
        <v>36</v>
      </c>
      <c r="Z15749" t="s">
        <v>10790</v>
      </c>
      <c r="AA15749" s="22" t="str">
        <f>HYPERLINK("https://www.ncbi.nlm.nih.gov/nuccore/KR815466","NCBI Nucleotide")</f>
        <v>NCBI Nucleotide</v>
      </c>
    </row>
    <row r="15750" spans="1:27" x14ac:dyDescent="0.35">
      <c r="A15750">
        <v>1004842</v>
      </c>
      <c r="B15750">
        <v>14066</v>
      </c>
      <c r="C15750">
        <v>1</v>
      </c>
      <c r="J15750" t="s">
        <v>36738</v>
      </c>
      <c r="L15750" t="s">
        <v>36766</v>
      </c>
      <c r="N15750" t="s">
        <v>36767</v>
      </c>
      <c r="P15750" t="s">
        <v>36768</v>
      </c>
      <c r="R15750" s="26" t="str">
        <f>HYPERLINK("https://ictv.global/taxonomy/taxondetails?taxnode_id=202302661","Alphabaculovirus anpernyi")</f>
        <v>Alphabaculovirus anpernyi</v>
      </c>
      <c r="S15750" t="s">
        <v>30</v>
      </c>
      <c r="T15750" t="s">
        <v>36811</v>
      </c>
      <c r="U15750" t="s">
        <v>36812</v>
      </c>
      <c r="V15750" t="s">
        <v>36813</v>
      </c>
      <c r="W15750" t="s">
        <v>36814</v>
      </c>
      <c r="X15750" t="s">
        <v>42</v>
      </c>
      <c r="Y15750" t="s">
        <v>36</v>
      </c>
      <c r="Z15750" t="s">
        <v>10790</v>
      </c>
      <c r="AA15750" s="22" t="str">
        <f>HYPERLINK("https://www.ncbi.nlm.nih.gov/nuccore/DQ486030","NCBI Nucleotide")</f>
        <v>NCBI Nucleotide</v>
      </c>
    </row>
    <row r="15751" spans="1:27" x14ac:dyDescent="0.35">
      <c r="A15751">
        <v>1004843</v>
      </c>
      <c r="B15751">
        <v>14067</v>
      </c>
      <c r="C15751">
        <v>1</v>
      </c>
      <c r="J15751" t="s">
        <v>36738</v>
      </c>
      <c r="L15751" t="s">
        <v>36766</v>
      </c>
      <c r="N15751" t="s">
        <v>36767</v>
      </c>
      <c r="P15751" t="s">
        <v>36768</v>
      </c>
      <c r="R15751" s="26" t="str">
        <f>HYPERLINK("https://ictv.global/taxonomy/taxondetails?taxnode_id=202313425","Alphabaculovirus ardigrammae")</f>
        <v>Alphabaculovirus ardigrammae</v>
      </c>
      <c r="S15751" t="s">
        <v>30</v>
      </c>
      <c r="T15751" t="s">
        <v>36815</v>
      </c>
      <c r="U15751" t="s">
        <v>36816</v>
      </c>
      <c r="V15751">
        <v>424</v>
      </c>
      <c r="W15751" t="s">
        <v>36817</v>
      </c>
      <c r="X15751" t="s">
        <v>42</v>
      </c>
      <c r="Y15751" t="s">
        <v>36</v>
      </c>
      <c r="Z15751" t="s">
        <v>10790</v>
      </c>
      <c r="AA15751" s="22" t="str">
        <f>HYPERLINK("https://www.ncbi.nlm.nih.gov/nuccore/MN233792","NCBI Nucleotide")</f>
        <v>NCBI Nucleotide</v>
      </c>
    </row>
    <row r="15752" spans="1:27" x14ac:dyDescent="0.35">
      <c r="A15752">
        <v>1004844</v>
      </c>
      <c r="B15752">
        <v>14068</v>
      </c>
      <c r="C15752">
        <v>1</v>
      </c>
      <c r="J15752" t="s">
        <v>36738</v>
      </c>
      <c r="L15752" t="s">
        <v>36766</v>
      </c>
      <c r="N15752" t="s">
        <v>36767</v>
      </c>
      <c r="P15752" t="s">
        <v>36768</v>
      </c>
      <c r="R15752" s="26" t="str">
        <f>HYPERLINK("https://ictv.global/taxonomy/taxondetails?taxnode_id=202302663","Alphabaculovirus aucalifornicae")</f>
        <v>Alphabaculovirus aucalifornicae</v>
      </c>
      <c r="S15752" t="s">
        <v>30</v>
      </c>
      <c r="T15752" t="s">
        <v>36818</v>
      </c>
      <c r="U15752" t="s">
        <v>36819</v>
      </c>
      <c r="V15752" t="s">
        <v>36820</v>
      </c>
      <c r="W15752" t="s">
        <v>36821</v>
      </c>
      <c r="X15752" t="s">
        <v>42</v>
      </c>
      <c r="Y15752" t="s">
        <v>36</v>
      </c>
      <c r="Z15752" t="s">
        <v>10790</v>
      </c>
      <c r="AA15752" s="22" t="str">
        <f>HYPERLINK("https://www.ncbi.nlm.nih.gov/nuccore/L22858","NCBI Nucleotide")</f>
        <v>NCBI Nucleotide</v>
      </c>
    </row>
    <row r="15753" spans="1:27" x14ac:dyDescent="0.35">
      <c r="A15753">
        <v>1012172</v>
      </c>
      <c r="B15753">
        <v>14068</v>
      </c>
      <c r="C15753">
        <v>2</v>
      </c>
      <c r="J15753" t="s">
        <v>36738</v>
      </c>
      <c r="L15753" t="s">
        <v>36766</v>
      </c>
      <c r="N15753" t="s">
        <v>36767</v>
      </c>
      <c r="P15753" t="s">
        <v>36768</v>
      </c>
      <c r="R15753" s="26" t="str">
        <f>HYPERLINK("https://ictv.global/taxonomy/taxondetails?taxnode_id=202302663","Alphabaculovirus aucalifornicae")</f>
        <v>Alphabaculovirus aucalifornicae</v>
      </c>
      <c r="S15753" t="s">
        <v>8141</v>
      </c>
      <c r="T15753" t="s">
        <v>36822</v>
      </c>
      <c r="U15753" t="s">
        <v>36823</v>
      </c>
      <c r="V15753" t="s">
        <v>36824</v>
      </c>
      <c r="W15753" t="s">
        <v>50364</v>
      </c>
      <c r="X15753" t="s">
        <v>42</v>
      </c>
      <c r="Y15753" t="s">
        <v>36</v>
      </c>
      <c r="Z15753" t="s">
        <v>10790</v>
      </c>
      <c r="AA15753" s="22" t="str">
        <f>HYPERLINK("https://www.ncbi.nlm.nih.gov/nuccore/DQ457003","NCBI Nucleotide")</f>
        <v>NCBI Nucleotide</v>
      </c>
    </row>
    <row r="15754" spans="1:27" x14ac:dyDescent="0.35">
      <c r="A15754">
        <v>1004845</v>
      </c>
      <c r="B15754">
        <v>14069</v>
      </c>
      <c r="C15754">
        <v>1</v>
      </c>
      <c r="J15754" t="s">
        <v>36738</v>
      </c>
      <c r="L15754" t="s">
        <v>36766</v>
      </c>
      <c r="N15754" t="s">
        <v>36767</v>
      </c>
      <c r="P15754" t="s">
        <v>36768</v>
      </c>
      <c r="R15754" s="26" t="str">
        <f>HYPERLINK("https://ictv.global/taxonomy/taxondetails?taxnode_id=202302664","Alphabaculovirus bomori")</f>
        <v>Alphabaculovirus bomori</v>
      </c>
      <c r="S15754" t="s">
        <v>30</v>
      </c>
      <c r="T15754" t="s">
        <v>36825</v>
      </c>
      <c r="U15754" t="s">
        <v>36826</v>
      </c>
      <c r="V15754" t="s">
        <v>35368</v>
      </c>
      <c r="W15754" t="s">
        <v>36827</v>
      </c>
      <c r="X15754" t="s">
        <v>42</v>
      </c>
      <c r="Y15754" t="s">
        <v>36</v>
      </c>
      <c r="Z15754" t="s">
        <v>10790</v>
      </c>
      <c r="AA15754" s="22" t="str">
        <f>HYPERLINK("https://www.ncbi.nlm.nih.gov/nuccore/L33180","NCBI Nucleotide")</f>
        <v>NCBI Nucleotide</v>
      </c>
    </row>
    <row r="15755" spans="1:27" x14ac:dyDescent="0.35">
      <c r="A15755">
        <v>1012173</v>
      </c>
      <c r="B15755">
        <v>14069</v>
      </c>
      <c r="C15755">
        <v>2</v>
      </c>
      <c r="J15755" t="s">
        <v>36738</v>
      </c>
      <c r="L15755" t="s">
        <v>36766</v>
      </c>
      <c r="N15755" t="s">
        <v>36767</v>
      </c>
      <c r="P15755" t="s">
        <v>36768</v>
      </c>
      <c r="R15755" s="22" t="str">
        <f>HYPERLINK("https://ictv.global/taxonomy/taxondetails?taxnode_id=202302664","Alphabaculovirus bomori")</f>
        <v>Alphabaculovirus bomori</v>
      </c>
      <c r="S15755" t="s">
        <v>8141</v>
      </c>
      <c r="T15755" t="s">
        <v>36828</v>
      </c>
      <c r="U15755" t="s">
        <v>36829</v>
      </c>
      <c r="V15755" t="s">
        <v>36538</v>
      </c>
      <c r="W15755" t="s">
        <v>50365</v>
      </c>
      <c r="X15755" t="s">
        <v>42</v>
      </c>
      <c r="Y15755" t="s">
        <v>36</v>
      </c>
      <c r="Z15755" t="s">
        <v>10790</v>
      </c>
      <c r="AA15755" s="22" t="str">
        <f>HYPERLINK("https://www.ncbi.nlm.nih.gov/nuccore/FJ882854","NCBI Nucleotide")</f>
        <v>NCBI Nucleotide</v>
      </c>
    </row>
    <row r="15756" spans="1:27" x14ac:dyDescent="0.35">
      <c r="A15756">
        <v>1004846</v>
      </c>
      <c r="B15756">
        <v>14070</v>
      </c>
      <c r="C15756">
        <v>1</v>
      </c>
      <c r="J15756" t="s">
        <v>36738</v>
      </c>
      <c r="L15756" t="s">
        <v>36766</v>
      </c>
      <c r="N15756" t="s">
        <v>36767</v>
      </c>
      <c r="P15756" t="s">
        <v>36768</v>
      </c>
      <c r="R15756" s="26" t="str">
        <f>HYPERLINK("https://ictv.global/taxonomy/taxondetails?taxnode_id=202302665","Alphabaculovirus busuppressariae")</f>
        <v>Alphabaculovirus busuppressariae</v>
      </c>
      <c r="S15756" t="s">
        <v>30</v>
      </c>
      <c r="T15756" t="s">
        <v>36830</v>
      </c>
      <c r="U15756" t="s">
        <v>36831</v>
      </c>
      <c r="V15756" t="s">
        <v>17343</v>
      </c>
      <c r="W15756" t="s">
        <v>36832</v>
      </c>
      <c r="X15756" t="s">
        <v>42</v>
      </c>
      <c r="Y15756" t="s">
        <v>36</v>
      </c>
      <c r="Z15756" t="s">
        <v>10790</v>
      </c>
      <c r="AA15756" s="22" t="str">
        <f>HYPERLINK("https://www.ncbi.nlm.nih.gov/nuccore/KF611977","NCBI Nucleotide")</f>
        <v>NCBI Nucleotide</v>
      </c>
    </row>
    <row r="15757" spans="1:27" x14ac:dyDescent="0.35">
      <c r="A15757">
        <v>1004847</v>
      </c>
      <c r="B15757">
        <v>14071</v>
      </c>
      <c r="C15757">
        <v>1</v>
      </c>
      <c r="J15757" t="s">
        <v>36738</v>
      </c>
      <c r="L15757" t="s">
        <v>36766</v>
      </c>
      <c r="N15757" t="s">
        <v>36767</v>
      </c>
      <c r="P15757" t="s">
        <v>36768</v>
      </c>
      <c r="R15757" s="26" t="str">
        <f>HYPERLINK("https://ictv.global/taxonomy/taxondetails?taxnode_id=202302666","Alphabaculovirus capomonae")</f>
        <v>Alphabaculovirus capomonae</v>
      </c>
      <c r="S15757" t="s">
        <v>30</v>
      </c>
      <c r="T15757" t="s">
        <v>36833</v>
      </c>
      <c r="U15757" t="s">
        <v>36834</v>
      </c>
      <c r="V15757">
        <v>416</v>
      </c>
      <c r="W15757" t="s">
        <v>36835</v>
      </c>
      <c r="X15757" t="s">
        <v>42</v>
      </c>
      <c r="Y15757" t="s">
        <v>36</v>
      </c>
      <c r="Z15757" t="s">
        <v>10790</v>
      </c>
      <c r="AA15757" s="22" t="str">
        <f>HYPERLINK("https://www.ncbi.nlm.nih.gov/nuccore/KU565883","NCBI Nucleotide")</f>
        <v>NCBI Nucleotide</v>
      </c>
    </row>
    <row r="15758" spans="1:27" x14ac:dyDescent="0.35">
      <c r="A15758">
        <v>1004848</v>
      </c>
      <c r="B15758">
        <v>14072</v>
      </c>
      <c r="C15758">
        <v>1</v>
      </c>
      <c r="J15758" t="s">
        <v>36738</v>
      </c>
      <c r="L15758" t="s">
        <v>36766</v>
      </c>
      <c r="N15758" t="s">
        <v>36767</v>
      </c>
      <c r="P15758" t="s">
        <v>36768</v>
      </c>
      <c r="R15758" s="26" t="str">
        <f>HYPERLINK("https://ictv.global/taxonomy/taxondetails?taxnode_id=202302668","Alphabaculovirus chofumiferanae")</f>
        <v>Alphabaculovirus chofumiferanae</v>
      </c>
      <c r="S15758" t="s">
        <v>30</v>
      </c>
      <c r="T15758" t="s">
        <v>36836</v>
      </c>
      <c r="U15758" t="s">
        <v>36837</v>
      </c>
      <c r="V15758" t="s">
        <v>36838</v>
      </c>
      <c r="W15758" t="s">
        <v>36839</v>
      </c>
      <c r="X15758" t="s">
        <v>42</v>
      </c>
      <c r="Y15758" t="s">
        <v>36</v>
      </c>
      <c r="Z15758" t="s">
        <v>10790</v>
      </c>
      <c r="AA15758" s="22" t="str">
        <f>HYPERLINK("https://www.ncbi.nlm.nih.gov/nuccore/AF512031","NCBI Nucleotide")</f>
        <v>NCBI Nucleotide</v>
      </c>
    </row>
    <row r="15759" spans="1:27" x14ac:dyDescent="0.35">
      <c r="A15759">
        <v>1004849</v>
      </c>
      <c r="B15759">
        <v>14073</v>
      </c>
      <c r="C15759">
        <v>1</v>
      </c>
      <c r="J15759" t="s">
        <v>36738</v>
      </c>
      <c r="L15759" t="s">
        <v>36766</v>
      </c>
      <c r="N15759" t="s">
        <v>36767</v>
      </c>
      <c r="P15759" t="s">
        <v>36768</v>
      </c>
      <c r="R15759" s="26" t="str">
        <f>HYPERLINK("https://ictv.global/taxonomy/taxondetails?taxnode_id=202302669","Alphabaculovirus chomurinanae")</f>
        <v>Alphabaculovirus chomurinanae</v>
      </c>
      <c r="S15759" t="s">
        <v>30</v>
      </c>
      <c r="T15759" t="s">
        <v>36840</v>
      </c>
      <c r="U15759" t="s">
        <v>36841</v>
      </c>
      <c r="V15759" t="s">
        <v>36842</v>
      </c>
      <c r="W15759" t="s">
        <v>36843</v>
      </c>
      <c r="X15759" t="s">
        <v>42</v>
      </c>
      <c r="Y15759" t="s">
        <v>36</v>
      </c>
      <c r="Z15759" t="s">
        <v>10790</v>
      </c>
      <c r="AA15759" s="22" t="str">
        <f>HYPERLINK("https://www.ncbi.nlm.nih.gov/nuccore/KF894742","NCBI Nucleotide")</f>
        <v>NCBI Nucleotide</v>
      </c>
    </row>
    <row r="15760" spans="1:27" x14ac:dyDescent="0.35">
      <c r="A15760">
        <v>1004850</v>
      </c>
      <c r="B15760">
        <v>14074</v>
      </c>
      <c r="C15760">
        <v>1</v>
      </c>
      <c r="J15760" t="s">
        <v>36738</v>
      </c>
      <c r="L15760" t="s">
        <v>36766</v>
      </c>
      <c r="N15760" t="s">
        <v>36767</v>
      </c>
      <c r="P15760" t="s">
        <v>36768</v>
      </c>
      <c r="R15760" s="26" t="str">
        <f>HYPERLINK("https://ictv.global/taxonomy/taxondetails?taxnode_id=202302670","Alphabaculovirus chorosaceanae")</f>
        <v>Alphabaculovirus chorosaceanae</v>
      </c>
      <c r="S15760" t="s">
        <v>30</v>
      </c>
      <c r="T15760" t="s">
        <v>36844</v>
      </c>
      <c r="U15760" t="s">
        <v>36845</v>
      </c>
      <c r="V15760" t="s">
        <v>36846</v>
      </c>
      <c r="W15760" t="s">
        <v>36847</v>
      </c>
      <c r="X15760" t="s">
        <v>42</v>
      </c>
      <c r="Y15760" t="s">
        <v>36</v>
      </c>
      <c r="Z15760" t="s">
        <v>10790</v>
      </c>
      <c r="AA15760" s="22" t="str">
        <f>HYPERLINK("https://www.ncbi.nlm.nih.gov/nuccore/KC961304","NCBI Nucleotide")</f>
        <v>NCBI Nucleotide</v>
      </c>
    </row>
    <row r="15761" spans="1:27" x14ac:dyDescent="0.35">
      <c r="A15761">
        <v>1004851</v>
      </c>
      <c r="B15761">
        <v>14075</v>
      </c>
      <c r="C15761">
        <v>1</v>
      </c>
      <c r="J15761" t="s">
        <v>36738</v>
      </c>
      <c r="L15761" t="s">
        <v>36766</v>
      </c>
      <c r="N15761" t="s">
        <v>36767</v>
      </c>
      <c r="P15761" t="s">
        <v>36768</v>
      </c>
      <c r="R15761" s="26" t="str">
        <f>HYPERLINK("https://ictv.global/taxonomy/taxondetails?taxnode_id=202302672","Alphabaculovirus chrincludentis")</f>
        <v>Alphabaculovirus chrincludentis</v>
      </c>
      <c r="S15761" t="s">
        <v>30</v>
      </c>
      <c r="T15761" t="s">
        <v>36848</v>
      </c>
      <c r="U15761" t="s">
        <v>36849</v>
      </c>
      <c r="V15761" t="s">
        <v>36850</v>
      </c>
      <c r="W15761" t="s">
        <v>36851</v>
      </c>
      <c r="X15761" t="s">
        <v>42</v>
      </c>
      <c r="Y15761" t="s">
        <v>36</v>
      </c>
      <c r="Z15761" t="s">
        <v>10790</v>
      </c>
      <c r="AA15761" s="22" t="str">
        <f>HYPERLINK("https://www.ncbi.nlm.nih.gov/nuccore/KJ631622","NCBI Nucleotide")</f>
        <v>NCBI Nucleotide</v>
      </c>
    </row>
    <row r="15762" spans="1:27" x14ac:dyDescent="0.35">
      <c r="A15762">
        <v>1004852</v>
      </c>
      <c r="B15762">
        <v>14076</v>
      </c>
      <c r="C15762">
        <v>1</v>
      </c>
      <c r="J15762" t="s">
        <v>36738</v>
      </c>
      <c r="L15762" t="s">
        <v>36766</v>
      </c>
      <c r="N15762" t="s">
        <v>36767</v>
      </c>
      <c r="P15762" t="s">
        <v>36768</v>
      </c>
      <c r="R15762" s="26" t="str">
        <f>HYPERLINK("https://ictv.global/taxonomy/taxondetails?taxnode_id=202302671","Alphabaculovirus chrychalcites")</f>
        <v>Alphabaculovirus chrychalcites</v>
      </c>
      <c r="S15762" t="s">
        <v>30</v>
      </c>
      <c r="T15762" t="s">
        <v>36852</v>
      </c>
      <c r="U15762" t="s">
        <v>36853</v>
      </c>
      <c r="W15762" t="s">
        <v>36854</v>
      </c>
      <c r="X15762" t="s">
        <v>42</v>
      </c>
      <c r="Y15762" t="s">
        <v>36</v>
      </c>
      <c r="Z15762" t="s">
        <v>10790</v>
      </c>
      <c r="AA15762" s="22" t="str">
        <f>HYPERLINK("https://www.ncbi.nlm.nih.gov/nuccore/AY864330","NCBI Nucleotide")</f>
        <v>NCBI Nucleotide</v>
      </c>
    </row>
    <row r="15763" spans="1:27" x14ac:dyDescent="0.35">
      <c r="A15763">
        <v>1004853</v>
      </c>
      <c r="B15763">
        <v>14077</v>
      </c>
      <c r="C15763">
        <v>1</v>
      </c>
      <c r="J15763" t="s">
        <v>36738</v>
      </c>
      <c r="L15763" t="s">
        <v>36766</v>
      </c>
      <c r="N15763" t="s">
        <v>36767</v>
      </c>
      <c r="P15763" t="s">
        <v>36768</v>
      </c>
      <c r="R15763" s="26" t="str">
        <f>HYPERLINK("https://ictv.global/taxonomy/taxondetails?taxnode_id=202302673","Alphabaculovirus clabilineatae")</f>
        <v>Alphabaculovirus clabilineatae</v>
      </c>
      <c r="S15763" t="s">
        <v>30</v>
      </c>
      <c r="T15763" t="s">
        <v>36855</v>
      </c>
      <c r="U15763" t="s">
        <v>36856</v>
      </c>
      <c r="V15763" t="s">
        <v>36857</v>
      </c>
      <c r="W15763" t="s">
        <v>36858</v>
      </c>
      <c r="X15763" t="s">
        <v>42</v>
      </c>
      <c r="Y15763" t="s">
        <v>36</v>
      </c>
      <c r="Z15763" t="s">
        <v>10790</v>
      </c>
      <c r="AA15763" s="22" t="str">
        <f>HYPERLINK("https://www.ncbi.nlm.nih.gov/nuccore/DQ504428","NCBI Nucleotide")</f>
        <v>NCBI Nucleotide</v>
      </c>
    </row>
    <row r="15764" spans="1:27" x14ac:dyDescent="0.35">
      <c r="A15764">
        <v>1004854</v>
      </c>
      <c r="B15764">
        <v>14078</v>
      </c>
      <c r="C15764">
        <v>1</v>
      </c>
      <c r="J15764" t="s">
        <v>36738</v>
      </c>
      <c r="L15764" t="s">
        <v>36766</v>
      </c>
      <c r="N15764" t="s">
        <v>36767</v>
      </c>
      <c r="P15764" t="s">
        <v>36768</v>
      </c>
      <c r="R15764" s="26" t="str">
        <f>HYPERLINK("https://ictv.global/taxonomy/taxondetails?taxnode_id=202308661","Alphabaculovirus covestigialis")</f>
        <v>Alphabaculovirus covestigialis</v>
      </c>
      <c r="S15764" t="s">
        <v>30</v>
      </c>
      <c r="T15764" t="s">
        <v>36859</v>
      </c>
      <c r="U15764" t="s">
        <v>36860</v>
      </c>
      <c r="V15764" t="s">
        <v>36861</v>
      </c>
      <c r="W15764" t="s">
        <v>36862</v>
      </c>
      <c r="X15764" t="s">
        <v>42</v>
      </c>
      <c r="Y15764" t="s">
        <v>36</v>
      </c>
      <c r="Z15764" t="s">
        <v>10790</v>
      </c>
      <c r="AA15764" s="22" t="str">
        <f>HYPERLINK("https://www.ncbi.nlm.nih.gov/nuccore/KJ631623","NCBI Nucleotide")</f>
        <v>NCBI Nucleotide</v>
      </c>
    </row>
    <row r="15765" spans="1:27" x14ac:dyDescent="0.35">
      <c r="A15765">
        <v>1004855</v>
      </c>
      <c r="B15765">
        <v>14079</v>
      </c>
      <c r="C15765">
        <v>1</v>
      </c>
      <c r="J15765" t="s">
        <v>36738</v>
      </c>
      <c r="L15765" t="s">
        <v>36766</v>
      </c>
      <c r="N15765" t="s">
        <v>36767</v>
      </c>
      <c r="P15765" t="s">
        <v>36768</v>
      </c>
      <c r="R15765" s="26" t="str">
        <f>HYPERLINK("https://ictv.global/taxonomy/taxondetails?taxnode_id=202308662","Alphabaculovirus crypeltasticae")</f>
        <v>Alphabaculovirus crypeltasticae</v>
      </c>
      <c r="S15765" t="s">
        <v>30</v>
      </c>
      <c r="T15765" t="s">
        <v>36863</v>
      </c>
      <c r="U15765" t="s">
        <v>36864</v>
      </c>
      <c r="V15765" t="s">
        <v>36865</v>
      </c>
      <c r="W15765" t="s">
        <v>36866</v>
      </c>
      <c r="X15765" t="s">
        <v>42</v>
      </c>
      <c r="Y15765" t="s">
        <v>36</v>
      </c>
      <c r="Z15765" t="s">
        <v>10790</v>
      </c>
      <c r="AA15765" s="22" t="str">
        <f>HYPERLINK("https://www.ncbi.nlm.nih.gov/nuccore/MH394321","NCBI Nucleotide")</f>
        <v>NCBI Nucleotide</v>
      </c>
    </row>
    <row r="15766" spans="1:27" x14ac:dyDescent="0.35">
      <c r="A15766">
        <v>1004856</v>
      </c>
      <c r="B15766">
        <v>14080</v>
      </c>
      <c r="C15766">
        <v>1</v>
      </c>
      <c r="J15766" t="s">
        <v>36738</v>
      </c>
      <c r="L15766" t="s">
        <v>36766</v>
      </c>
      <c r="N15766" t="s">
        <v>36767</v>
      </c>
      <c r="P15766" t="s">
        <v>36768</v>
      </c>
      <c r="R15766" s="26" t="str">
        <f>HYPERLINK("https://ictv.global/taxonomy/taxondetails?taxnode_id=202308663","Alphabaculovirus cycundantis")</f>
        <v>Alphabaculovirus cycundantis</v>
      </c>
      <c r="S15766" t="s">
        <v>30</v>
      </c>
      <c r="T15766" t="s">
        <v>36867</v>
      </c>
      <c r="U15766" t="s">
        <v>36868</v>
      </c>
      <c r="V15766" t="s">
        <v>36869</v>
      </c>
      <c r="W15766" t="s">
        <v>36870</v>
      </c>
      <c r="X15766" t="s">
        <v>42</v>
      </c>
      <c r="Y15766" t="s">
        <v>36</v>
      </c>
      <c r="Z15766" t="s">
        <v>10790</v>
      </c>
      <c r="AA15766" s="22" t="str">
        <f>HYPERLINK("https://www.ncbi.nlm.nih.gov/nuccore/KT957089","NCBI Nucleotide")</f>
        <v>NCBI Nucleotide</v>
      </c>
    </row>
    <row r="15767" spans="1:27" x14ac:dyDescent="0.35">
      <c r="A15767">
        <v>1004857</v>
      </c>
      <c r="B15767">
        <v>14081</v>
      </c>
      <c r="C15767">
        <v>1</v>
      </c>
      <c r="J15767" t="s">
        <v>36738</v>
      </c>
      <c r="L15767" t="s">
        <v>36766</v>
      </c>
      <c r="N15767" t="s">
        <v>36767</v>
      </c>
      <c r="P15767" t="s">
        <v>36768</v>
      </c>
      <c r="R15767" s="26" t="str">
        <f>HYPERLINK("https://ictv.global/taxonomy/taxondetails?taxnode_id=202313426","Alphabaculovirus dijunonis")</f>
        <v>Alphabaculovirus dijunonis</v>
      </c>
      <c r="S15767" t="s">
        <v>30</v>
      </c>
      <c r="T15767" t="s">
        <v>36871</v>
      </c>
      <c r="U15767" t="s">
        <v>36872</v>
      </c>
      <c r="V15767" t="s">
        <v>36873</v>
      </c>
      <c r="W15767" t="s">
        <v>36874</v>
      </c>
      <c r="X15767" t="s">
        <v>42</v>
      </c>
      <c r="Y15767" t="s">
        <v>36</v>
      </c>
      <c r="Z15767" t="s">
        <v>10790</v>
      </c>
      <c r="AA15767" s="22" t="str">
        <f>HYPERLINK("https://www.ncbi.nlm.nih.gov/nuccore/MK558262","NCBI Nucleotide")</f>
        <v>NCBI Nucleotide</v>
      </c>
    </row>
    <row r="15768" spans="1:27" x14ac:dyDescent="0.35">
      <c r="A15768">
        <v>1004858</v>
      </c>
      <c r="B15768">
        <v>14082</v>
      </c>
      <c r="C15768">
        <v>1</v>
      </c>
      <c r="J15768" t="s">
        <v>36738</v>
      </c>
      <c r="L15768" t="s">
        <v>36766</v>
      </c>
      <c r="N15768" t="s">
        <v>36767</v>
      </c>
      <c r="P15768" t="s">
        <v>36768</v>
      </c>
      <c r="R15768" s="26" t="str">
        <f>HYPERLINK("https://ictv.global/taxonomy/taxondetails?taxnode_id=202302674","Alphabaculovirus ecobliquae")</f>
        <v>Alphabaculovirus ecobliquae</v>
      </c>
      <c r="S15768" t="s">
        <v>30</v>
      </c>
      <c r="T15768" t="s">
        <v>36875</v>
      </c>
      <c r="U15768" t="s">
        <v>36876</v>
      </c>
      <c r="V15768" t="s">
        <v>13205</v>
      </c>
      <c r="W15768" t="s">
        <v>36877</v>
      </c>
      <c r="X15768" t="s">
        <v>42</v>
      </c>
      <c r="Y15768" t="s">
        <v>36</v>
      </c>
      <c r="Z15768" t="s">
        <v>10790</v>
      </c>
      <c r="AA15768" s="22" t="str">
        <f>HYPERLINK("https://www.ncbi.nlm.nih.gov/nuccore/DQ837165","NCBI Nucleotide")</f>
        <v>NCBI Nucleotide</v>
      </c>
    </row>
    <row r="15769" spans="1:27" x14ac:dyDescent="0.35">
      <c r="A15769">
        <v>1004859</v>
      </c>
      <c r="B15769">
        <v>14083</v>
      </c>
      <c r="C15769">
        <v>1</v>
      </c>
      <c r="J15769" t="s">
        <v>36738</v>
      </c>
      <c r="L15769" t="s">
        <v>36766</v>
      </c>
      <c r="N15769" t="s">
        <v>36767</v>
      </c>
      <c r="P15769" t="s">
        <v>36768</v>
      </c>
      <c r="R15769" s="26" t="str">
        <f>HYPERLINK("https://ictv.global/taxonomy/taxondetails?taxnode_id=202302675","Alphabaculovirus eppostvittanae")</f>
        <v>Alphabaculovirus eppostvittanae</v>
      </c>
      <c r="S15769" t="s">
        <v>30</v>
      </c>
      <c r="T15769" t="s">
        <v>36878</v>
      </c>
      <c r="U15769" t="s">
        <v>36879</v>
      </c>
      <c r="W15769" t="s">
        <v>36880</v>
      </c>
      <c r="X15769" t="s">
        <v>42</v>
      </c>
      <c r="Y15769" t="s">
        <v>36</v>
      </c>
      <c r="Z15769" t="s">
        <v>10790</v>
      </c>
      <c r="AA15769" s="22" t="str">
        <f>HYPERLINK("https://www.ncbi.nlm.nih.gov/nuccore/AY043265","NCBI Nucleotide")</f>
        <v>NCBI Nucleotide</v>
      </c>
    </row>
    <row r="15770" spans="1:27" x14ac:dyDescent="0.35">
      <c r="A15770">
        <v>1004860</v>
      </c>
      <c r="B15770">
        <v>14084</v>
      </c>
      <c r="C15770">
        <v>1</v>
      </c>
      <c r="J15770" t="s">
        <v>36738</v>
      </c>
      <c r="L15770" t="s">
        <v>36766</v>
      </c>
      <c r="N15770" t="s">
        <v>36767</v>
      </c>
      <c r="P15770" t="s">
        <v>36768</v>
      </c>
      <c r="R15770" s="26" t="str">
        <f>HYPERLINK("https://ictv.global/taxonomy/taxondetails?taxnode_id=202314023","Alphabaculovirus erankerariae")</f>
        <v>Alphabaculovirus erankerariae</v>
      </c>
      <c r="S15770" t="s">
        <v>30</v>
      </c>
      <c r="T15770" t="s">
        <v>36881</v>
      </c>
      <c r="U15770" t="s">
        <v>36882</v>
      </c>
      <c r="V15770" t="s">
        <v>36883</v>
      </c>
      <c r="W15770" t="s">
        <v>36884</v>
      </c>
      <c r="X15770" t="s">
        <v>42</v>
      </c>
      <c r="Y15770" t="s">
        <v>36</v>
      </c>
      <c r="Z15770" t="s">
        <v>10790</v>
      </c>
      <c r="AA15770" s="22" t="str">
        <f>HYPERLINK("https://www.ncbi.nlm.nih.gov/nuccore/OK091173","NCBI Nucleotide")</f>
        <v>NCBI Nucleotide</v>
      </c>
    </row>
    <row r="15771" spans="1:27" x14ac:dyDescent="0.35">
      <c r="A15771">
        <v>1004861</v>
      </c>
      <c r="B15771">
        <v>14085</v>
      </c>
      <c r="C15771">
        <v>1</v>
      </c>
      <c r="J15771" t="s">
        <v>36738</v>
      </c>
      <c r="L15771" t="s">
        <v>36766</v>
      </c>
      <c r="N15771" t="s">
        <v>36767</v>
      </c>
      <c r="P15771" t="s">
        <v>36768</v>
      </c>
      <c r="R15771" s="26" t="str">
        <f>HYPERLINK("https://ictv.global/taxonomy/taxondetails?taxnode_id=202302676","Alphabaculovirus eupseudoconspersae")</f>
        <v>Alphabaculovirus eupseudoconspersae</v>
      </c>
      <c r="S15771" t="s">
        <v>30</v>
      </c>
      <c r="T15771" t="s">
        <v>36885</v>
      </c>
      <c r="U15771" t="s">
        <v>36886</v>
      </c>
      <c r="V15771" t="s">
        <v>33554</v>
      </c>
      <c r="W15771" t="s">
        <v>36887</v>
      </c>
      <c r="X15771" t="s">
        <v>42</v>
      </c>
      <c r="Y15771" t="s">
        <v>36</v>
      </c>
      <c r="Z15771" t="s">
        <v>10790</v>
      </c>
      <c r="AA15771" s="22" t="str">
        <f>HYPERLINK("https://www.ncbi.nlm.nih.gov/nuccore/FJ227128","NCBI Nucleotide")</f>
        <v>NCBI Nucleotide</v>
      </c>
    </row>
    <row r="15772" spans="1:27" x14ac:dyDescent="0.35">
      <c r="A15772">
        <v>1004862</v>
      </c>
      <c r="B15772">
        <v>14086</v>
      </c>
      <c r="C15772">
        <v>1</v>
      </c>
      <c r="J15772" t="s">
        <v>36738</v>
      </c>
      <c r="L15772" t="s">
        <v>36766</v>
      </c>
      <c r="N15772" t="s">
        <v>36767</v>
      </c>
      <c r="P15772" t="s">
        <v>36768</v>
      </c>
      <c r="R15772" s="26" t="str">
        <f>HYPERLINK("https://ictv.global/taxonomy/taxondetails?taxnode_id=202302677","Alphabaculovirus helarmigerae")</f>
        <v>Alphabaculovirus helarmigerae</v>
      </c>
      <c r="S15772" t="s">
        <v>30</v>
      </c>
      <c r="T15772" t="s">
        <v>36888</v>
      </c>
      <c r="U15772" t="s">
        <v>36889</v>
      </c>
      <c r="V15772" t="s">
        <v>21109</v>
      </c>
      <c r="W15772" t="s">
        <v>36890</v>
      </c>
      <c r="X15772" t="s">
        <v>42</v>
      </c>
      <c r="Y15772" t="s">
        <v>36</v>
      </c>
      <c r="Z15772" t="s">
        <v>10790</v>
      </c>
      <c r="AA15772" s="22" t="str">
        <f>HYPERLINK("https://www.ncbi.nlm.nih.gov/nuccore/AF271059","NCBI Nucleotide")</f>
        <v>NCBI Nucleotide</v>
      </c>
    </row>
    <row r="15773" spans="1:27" x14ac:dyDescent="0.35">
      <c r="A15773">
        <v>1012174</v>
      </c>
      <c r="B15773">
        <v>14086</v>
      </c>
      <c r="C15773">
        <v>2</v>
      </c>
      <c r="J15773" t="s">
        <v>36738</v>
      </c>
      <c r="L15773" t="s">
        <v>36766</v>
      </c>
      <c r="N15773" t="s">
        <v>36767</v>
      </c>
      <c r="P15773" t="s">
        <v>36768</v>
      </c>
      <c r="R15773" s="26" t="str">
        <f>HYPERLINK("https://ictv.global/taxonomy/taxondetails?taxnode_id=202302677","Alphabaculovirus helarmigerae")</f>
        <v>Alphabaculovirus helarmigerae</v>
      </c>
      <c r="S15773" t="s">
        <v>8141</v>
      </c>
      <c r="T15773" t="s">
        <v>36888</v>
      </c>
      <c r="U15773" t="s">
        <v>36889</v>
      </c>
      <c r="V15773" t="s">
        <v>18919</v>
      </c>
      <c r="W15773" t="s">
        <v>50366</v>
      </c>
      <c r="X15773" t="s">
        <v>42</v>
      </c>
      <c r="Y15773" t="s">
        <v>36</v>
      </c>
      <c r="Z15773" t="s">
        <v>10790</v>
      </c>
      <c r="AA15773" s="22" t="str">
        <f>HYPERLINK("https://www.ncbi.nlm.nih.gov/nuccore/AF303045","NCBI Nucleotide")</f>
        <v>NCBI Nucleotide</v>
      </c>
    </row>
    <row r="15774" spans="1:27" x14ac:dyDescent="0.35">
      <c r="A15774">
        <v>1012175</v>
      </c>
      <c r="B15774">
        <v>14086</v>
      </c>
      <c r="C15774">
        <v>3</v>
      </c>
      <c r="J15774" t="s">
        <v>36738</v>
      </c>
      <c r="L15774" t="s">
        <v>36766</v>
      </c>
      <c r="N15774" t="s">
        <v>36767</v>
      </c>
      <c r="P15774" t="s">
        <v>36768</v>
      </c>
      <c r="R15774" s="26" t="str">
        <f>HYPERLINK("https://ictv.global/taxonomy/taxondetails?taxnode_id=202302677","Alphabaculovirus helarmigerae")</f>
        <v>Alphabaculovirus helarmigerae</v>
      </c>
      <c r="S15774" t="s">
        <v>8141</v>
      </c>
      <c r="T15774" t="s">
        <v>36888</v>
      </c>
      <c r="U15774" t="s">
        <v>36889</v>
      </c>
      <c r="V15774" t="s">
        <v>36891</v>
      </c>
      <c r="W15774" t="s">
        <v>50367</v>
      </c>
      <c r="X15774" t="s">
        <v>42</v>
      </c>
      <c r="Y15774" t="s">
        <v>36</v>
      </c>
      <c r="Z15774" t="s">
        <v>10790</v>
      </c>
      <c r="AA15774" s="22" t="str">
        <f>HYPERLINK("https://www.ncbi.nlm.nih.gov/nuccore/AP010907","NCBI Nucleotide")</f>
        <v>NCBI Nucleotide</v>
      </c>
    </row>
    <row r="15775" spans="1:27" x14ac:dyDescent="0.35">
      <c r="A15775">
        <v>1004863</v>
      </c>
      <c r="B15775">
        <v>14087</v>
      </c>
      <c r="C15775">
        <v>1</v>
      </c>
      <c r="J15775" t="s">
        <v>36738</v>
      </c>
      <c r="L15775" t="s">
        <v>36766</v>
      </c>
      <c r="N15775" t="s">
        <v>36767</v>
      </c>
      <c r="P15775" t="s">
        <v>36768</v>
      </c>
      <c r="R15775" s="26" t="str">
        <f>HYPERLINK("https://ictv.global/taxonomy/taxondetails?taxnode_id=202306526","Alphabaculovirus heleucae")</f>
        <v>Alphabaculovirus heleucae</v>
      </c>
      <c r="S15775" t="s">
        <v>30</v>
      </c>
      <c r="T15775" t="s">
        <v>36892</v>
      </c>
      <c r="U15775" t="s">
        <v>36893</v>
      </c>
      <c r="V15775" t="s">
        <v>36894</v>
      </c>
      <c r="W15775" t="s">
        <v>36895</v>
      </c>
      <c r="X15775" t="s">
        <v>42</v>
      </c>
      <c r="Y15775" t="s">
        <v>36</v>
      </c>
      <c r="Z15775" t="s">
        <v>10790</v>
      </c>
      <c r="AA15775" s="22" t="str">
        <f>HYPERLINK("https://www.ncbi.nlm.nih.gov/nuccore/KF158713","NCBI Nucleotide")</f>
        <v>NCBI Nucleotide</v>
      </c>
    </row>
    <row r="15776" spans="1:27" x14ac:dyDescent="0.35">
      <c r="A15776">
        <v>1004864</v>
      </c>
      <c r="B15776">
        <v>14088</v>
      </c>
      <c r="C15776">
        <v>1</v>
      </c>
      <c r="J15776" t="s">
        <v>36738</v>
      </c>
      <c r="L15776" t="s">
        <v>36766</v>
      </c>
      <c r="N15776" t="s">
        <v>36767</v>
      </c>
      <c r="P15776" t="s">
        <v>36768</v>
      </c>
      <c r="R15776" s="26" t="str">
        <f>HYPERLINK("https://ictv.global/taxonomy/taxondetails?taxnode_id=202302678","Alphabaculovirus hycuneae")</f>
        <v>Alphabaculovirus hycuneae</v>
      </c>
      <c r="S15776" t="s">
        <v>30</v>
      </c>
      <c r="T15776" t="s">
        <v>36896</v>
      </c>
      <c r="U15776" t="s">
        <v>36897</v>
      </c>
      <c r="V15776" t="s">
        <v>36898</v>
      </c>
      <c r="W15776" t="s">
        <v>36899</v>
      </c>
      <c r="X15776" t="s">
        <v>42</v>
      </c>
      <c r="Y15776" t="s">
        <v>36</v>
      </c>
      <c r="Z15776" t="s">
        <v>10790</v>
      </c>
      <c r="AA15776" s="22" t="str">
        <f>HYPERLINK("https://www.ncbi.nlm.nih.gov/nuccore/AP009046","NCBI Nucleotide")</f>
        <v>NCBI Nucleotide</v>
      </c>
    </row>
    <row r="15777" spans="1:27" x14ac:dyDescent="0.35">
      <c r="A15777">
        <v>1004865</v>
      </c>
      <c r="B15777">
        <v>14089</v>
      </c>
      <c r="C15777">
        <v>1</v>
      </c>
      <c r="J15777" t="s">
        <v>36738</v>
      </c>
      <c r="L15777" t="s">
        <v>36766</v>
      </c>
      <c r="N15777" t="s">
        <v>36767</v>
      </c>
      <c r="P15777" t="s">
        <v>36768</v>
      </c>
      <c r="R15777" s="26" t="str">
        <f>HYPERLINK("https://ictv.global/taxonomy/taxondetails?taxnode_id=202308664","Alphabaculovirus hytalacae")</f>
        <v>Alphabaculovirus hytalacae</v>
      </c>
      <c r="S15777" t="s">
        <v>30</v>
      </c>
      <c r="T15777" t="s">
        <v>36900</v>
      </c>
      <c r="U15777" t="s">
        <v>36901</v>
      </c>
      <c r="V15777" t="s">
        <v>36902</v>
      </c>
      <c r="W15777" t="s">
        <v>36903</v>
      </c>
      <c r="X15777" t="s">
        <v>42</v>
      </c>
      <c r="Y15777" t="s">
        <v>36</v>
      </c>
      <c r="Z15777" t="s">
        <v>10790</v>
      </c>
      <c r="AA15777" s="22" t="str">
        <f>HYPERLINK("https://www.ncbi.nlm.nih.gov/nuccore/MH261376","NCBI Nucleotide")</f>
        <v>NCBI Nucleotide</v>
      </c>
    </row>
    <row r="15778" spans="1:27" x14ac:dyDescent="0.35">
      <c r="A15778">
        <v>1004866</v>
      </c>
      <c r="B15778">
        <v>14090</v>
      </c>
      <c r="C15778">
        <v>1</v>
      </c>
      <c r="J15778" t="s">
        <v>36738</v>
      </c>
      <c r="L15778" t="s">
        <v>36766</v>
      </c>
      <c r="N15778" t="s">
        <v>36767</v>
      </c>
      <c r="P15778" t="s">
        <v>36768</v>
      </c>
      <c r="R15778" s="26" t="str">
        <f>HYPERLINK("https://ictv.global/taxonomy/taxondetails?taxnode_id=202302679","Alphabaculovirus lafiscellariae")</f>
        <v>Alphabaculovirus lafiscellariae</v>
      </c>
      <c r="S15778" t="s">
        <v>30</v>
      </c>
      <c r="T15778" t="s">
        <v>36904</v>
      </c>
      <c r="U15778" t="s">
        <v>36905</v>
      </c>
      <c r="V15778" t="s">
        <v>36906</v>
      </c>
      <c r="W15778" t="s">
        <v>36907</v>
      </c>
      <c r="X15778" t="s">
        <v>42</v>
      </c>
      <c r="Y15778" t="s">
        <v>36</v>
      </c>
      <c r="Z15778" t="s">
        <v>10790</v>
      </c>
      <c r="AA15778" s="22" t="str">
        <f>HYPERLINK("https://www.ncbi.nlm.nih.gov/nuccore/KP752043","NCBI Nucleotide")</f>
        <v>NCBI Nucleotide</v>
      </c>
    </row>
    <row r="15779" spans="1:27" x14ac:dyDescent="0.35">
      <c r="A15779">
        <v>1004867</v>
      </c>
      <c r="B15779">
        <v>14091</v>
      </c>
      <c r="C15779">
        <v>1</v>
      </c>
      <c r="J15779" t="s">
        <v>36738</v>
      </c>
      <c r="L15779" t="s">
        <v>36766</v>
      </c>
      <c r="N15779" t="s">
        <v>36767</v>
      </c>
      <c r="P15779" t="s">
        <v>36768</v>
      </c>
      <c r="R15779" s="26" t="str">
        <f>HYPERLINK("https://ictv.global/taxonomy/taxondetails?taxnode_id=202302680","Alphabaculovirus leseparatae")</f>
        <v>Alphabaculovirus leseparatae</v>
      </c>
      <c r="S15779" t="s">
        <v>30</v>
      </c>
      <c r="T15779" t="s">
        <v>36908</v>
      </c>
      <c r="U15779" t="s">
        <v>36909</v>
      </c>
      <c r="V15779" t="s">
        <v>36910</v>
      </c>
      <c r="W15779" t="s">
        <v>36911</v>
      </c>
      <c r="X15779" t="s">
        <v>42</v>
      </c>
      <c r="Y15779" t="s">
        <v>36</v>
      </c>
      <c r="Z15779" t="s">
        <v>10790</v>
      </c>
      <c r="AA15779" s="22" t="str">
        <f>HYPERLINK("https://www.ncbi.nlm.nih.gov/nuccore/AY394490","NCBI Nucleotide")</f>
        <v>NCBI Nucleotide</v>
      </c>
    </row>
    <row r="15780" spans="1:27" x14ac:dyDescent="0.35">
      <c r="A15780">
        <v>1004868</v>
      </c>
      <c r="B15780">
        <v>14092</v>
      </c>
      <c r="C15780">
        <v>1</v>
      </c>
      <c r="J15780" t="s">
        <v>36738</v>
      </c>
      <c r="L15780" t="s">
        <v>36766</v>
      </c>
      <c r="N15780" t="s">
        <v>36767</v>
      </c>
      <c r="P15780" t="s">
        <v>36768</v>
      </c>
      <c r="R15780" s="26" t="str">
        <f>HYPERLINK("https://ictv.global/taxonomy/taxondetails?taxnode_id=202306527","Alphabaculovirus lonobliquae")</f>
        <v>Alphabaculovirus lonobliquae</v>
      </c>
      <c r="S15780" t="s">
        <v>30</v>
      </c>
      <c r="T15780" t="s">
        <v>36912</v>
      </c>
      <c r="U15780" t="s">
        <v>36913</v>
      </c>
      <c r="V15780" t="s">
        <v>36914</v>
      </c>
      <c r="W15780" t="s">
        <v>36915</v>
      </c>
      <c r="X15780" t="s">
        <v>42</v>
      </c>
      <c r="Y15780" t="s">
        <v>36</v>
      </c>
      <c r="Z15780" t="s">
        <v>10790</v>
      </c>
      <c r="AA15780" s="22" t="str">
        <f>HYPERLINK("https://www.ncbi.nlm.nih.gov/nuccore/KP763670","NCBI Nucleotide")</f>
        <v>NCBI Nucleotide</v>
      </c>
    </row>
    <row r="15781" spans="1:27" x14ac:dyDescent="0.35">
      <c r="A15781">
        <v>1004869</v>
      </c>
      <c r="B15781">
        <v>14093</v>
      </c>
      <c r="C15781">
        <v>1</v>
      </c>
      <c r="J15781" t="s">
        <v>36738</v>
      </c>
      <c r="L15781" t="s">
        <v>36766</v>
      </c>
      <c r="N15781" t="s">
        <v>36767</v>
      </c>
      <c r="P15781" t="s">
        <v>36768</v>
      </c>
      <c r="R15781" s="26" t="str">
        <f>HYPERLINK("https://ictv.global/taxonomy/taxondetails?taxnode_id=202302681","Alphabaculovirus lydisparis")</f>
        <v>Alphabaculovirus lydisparis</v>
      </c>
      <c r="S15781" t="s">
        <v>30</v>
      </c>
      <c r="T15781" t="s">
        <v>36916</v>
      </c>
      <c r="U15781" t="s">
        <v>36917</v>
      </c>
      <c r="V15781">
        <v>45052</v>
      </c>
      <c r="W15781" t="s">
        <v>36918</v>
      </c>
      <c r="X15781" t="s">
        <v>42</v>
      </c>
      <c r="Y15781" t="s">
        <v>36</v>
      </c>
      <c r="Z15781" t="s">
        <v>10790</v>
      </c>
      <c r="AA15781" s="22" t="str">
        <f>HYPERLINK("https://www.ncbi.nlm.nih.gov/nuccore/AF081810","NCBI Nucleotide")</f>
        <v>NCBI Nucleotide</v>
      </c>
    </row>
    <row r="15782" spans="1:27" x14ac:dyDescent="0.35">
      <c r="A15782">
        <v>1004870</v>
      </c>
      <c r="B15782">
        <v>14094</v>
      </c>
      <c r="C15782">
        <v>1</v>
      </c>
      <c r="J15782" t="s">
        <v>36738</v>
      </c>
      <c r="L15782" t="s">
        <v>36766</v>
      </c>
      <c r="N15782" t="s">
        <v>36767</v>
      </c>
      <c r="P15782" t="s">
        <v>36768</v>
      </c>
      <c r="R15782" s="26" t="str">
        <f>HYPERLINK("https://ictv.global/taxonomy/taxondetails?taxnode_id=202302682","Alphabaculovirus lyxylinae")</f>
        <v>Alphabaculovirus lyxylinae</v>
      </c>
      <c r="S15782" t="s">
        <v>30</v>
      </c>
      <c r="T15782" t="s">
        <v>36919</v>
      </c>
      <c r="U15782" t="s">
        <v>36920</v>
      </c>
      <c r="V15782">
        <v>5</v>
      </c>
      <c r="W15782" t="s">
        <v>36921</v>
      </c>
      <c r="X15782" t="s">
        <v>42</v>
      </c>
      <c r="Y15782" t="s">
        <v>36</v>
      </c>
      <c r="Z15782" t="s">
        <v>10790</v>
      </c>
      <c r="AA15782" s="22" t="str">
        <f>HYPERLINK("https://www.ncbi.nlm.nih.gov/nuccore/GQ202541","NCBI Nucleotide")</f>
        <v>NCBI Nucleotide</v>
      </c>
    </row>
    <row r="15783" spans="1:27" x14ac:dyDescent="0.35">
      <c r="A15783">
        <v>1004871</v>
      </c>
      <c r="B15783">
        <v>14095</v>
      </c>
      <c r="C15783">
        <v>1</v>
      </c>
      <c r="J15783" t="s">
        <v>36738</v>
      </c>
      <c r="L15783" t="s">
        <v>36766</v>
      </c>
      <c r="N15783" t="s">
        <v>36767</v>
      </c>
      <c r="P15783" t="s">
        <v>36768</v>
      </c>
      <c r="R15783" s="26" t="str">
        <f>HYPERLINK("https://ictv.global/taxonomy/taxondetails?taxnode_id=202302683","Alphabaculovirus mabrassicae")</f>
        <v>Alphabaculovirus mabrassicae</v>
      </c>
      <c r="S15783" t="s">
        <v>30</v>
      </c>
      <c r="T15783" t="s">
        <v>36922</v>
      </c>
      <c r="U15783" t="s">
        <v>36923</v>
      </c>
      <c r="V15783" t="s">
        <v>19262</v>
      </c>
      <c r="W15783" t="s">
        <v>36924</v>
      </c>
      <c r="X15783" t="s">
        <v>42</v>
      </c>
      <c r="Y15783" t="s">
        <v>36</v>
      </c>
      <c r="Z15783" t="s">
        <v>10790</v>
      </c>
      <c r="AA15783" s="22" t="str">
        <f>HYPERLINK("https://www.ncbi.nlm.nih.gov/nuccore/JQ798165","NCBI Nucleotide")</f>
        <v>NCBI Nucleotide</v>
      </c>
    </row>
    <row r="15784" spans="1:27" x14ac:dyDescent="0.35">
      <c r="A15784">
        <v>1004872</v>
      </c>
      <c r="B15784">
        <v>14096</v>
      </c>
      <c r="C15784">
        <v>1</v>
      </c>
      <c r="J15784" t="s">
        <v>36738</v>
      </c>
      <c r="L15784" t="s">
        <v>36766</v>
      </c>
      <c r="N15784" t="s">
        <v>36767</v>
      </c>
      <c r="P15784" t="s">
        <v>36768</v>
      </c>
      <c r="R15784" s="26" t="str">
        <f>HYPERLINK("https://ictv.global/taxonomy/taxondetails?taxnode_id=202302684","Alphabaculovirus maconfiguratae")</f>
        <v>Alphabaculovirus maconfiguratae</v>
      </c>
      <c r="S15784" t="s">
        <v>30</v>
      </c>
      <c r="T15784" t="s">
        <v>36925</v>
      </c>
      <c r="U15784" t="s">
        <v>36926</v>
      </c>
      <c r="V15784" t="s">
        <v>36927</v>
      </c>
      <c r="W15784" t="s">
        <v>36928</v>
      </c>
      <c r="X15784" t="s">
        <v>42</v>
      </c>
      <c r="Y15784" t="s">
        <v>36</v>
      </c>
      <c r="Z15784" t="s">
        <v>10790</v>
      </c>
      <c r="AA15784" s="22" t="str">
        <f>HYPERLINK("https://www.ncbi.nlm.nih.gov/nuccore/U59461","NCBI Nucleotide")</f>
        <v>NCBI Nucleotide</v>
      </c>
    </row>
    <row r="15785" spans="1:27" x14ac:dyDescent="0.35">
      <c r="A15785">
        <v>1012176</v>
      </c>
      <c r="B15785">
        <v>14096</v>
      </c>
      <c r="C15785">
        <v>2</v>
      </c>
      <c r="J15785" t="s">
        <v>36738</v>
      </c>
      <c r="L15785" t="s">
        <v>36766</v>
      </c>
      <c r="N15785" t="s">
        <v>36767</v>
      </c>
      <c r="P15785" t="s">
        <v>36768</v>
      </c>
      <c r="R15785" s="26" t="str">
        <f>HYPERLINK("https://ictv.global/taxonomy/taxondetails?taxnode_id=202302684","Alphabaculovirus maconfiguratae")</f>
        <v>Alphabaculovirus maconfiguratae</v>
      </c>
      <c r="S15785" t="s">
        <v>8141</v>
      </c>
      <c r="T15785" t="s">
        <v>36925</v>
      </c>
      <c r="U15785" t="s">
        <v>36926</v>
      </c>
      <c r="V15785" t="s">
        <v>36929</v>
      </c>
      <c r="W15785" t="s">
        <v>50368</v>
      </c>
      <c r="X15785" t="s">
        <v>42</v>
      </c>
      <c r="Y15785" t="s">
        <v>36</v>
      </c>
      <c r="Z15785" t="s">
        <v>10790</v>
      </c>
      <c r="AA15785" s="22" t="str">
        <f>HYPERLINK("https://www.ncbi.nlm.nih.gov/nuccore/AF539999","NCBI Nucleotide")</f>
        <v>NCBI Nucleotide</v>
      </c>
    </row>
    <row r="15786" spans="1:27" x14ac:dyDescent="0.35">
      <c r="A15786">
        <v>1004873</v>
      </c>
      <c r="B15786">
        <v>14097</v>
      </c>
      <c r="C15786">
        <v>1</v>
      </c>
      <c r="J15786" t="s">
        <v>36738</v>
      </c>
      <c r="L15786" t="s">
        <v>36766</v>
      </c>
      <c r="N15786" t="s">
        <v>36767</v>
      </c>
      <c r="P15786" t="s">
        <v>36768</v>
      </c>
      <c r="R15786" s="26" t="str">
        <f>HYPERLINK("https://ictv.global/taxonomy/taxondetails?taxnode_id=202302686","Alphabaculovirus mavitratae")</f>
        <v>Alphabaculovirus mavitratae</v>
      </c>
      <c r="S15786" t="s">
        <v>30</v>
      </c>
      <c r="T15786" t="s">
        <v>36930</v>
      </c>
      <c r="U15786" t="s">
        <v>36931</v>
      </c>
      <c r="V15786" t="s">
        <v>36932</v>
      </c>
      <c r="W15786" t="s">
        <v>36933</v>
      </c>
      <c r="X15786" t="s">
        <v>42</v>
      </c>
      <c r="Y15786" t="s">
        <v>36</v>
      </c>
      <c r="Z15786" t="s">
        <v>10790</v>
      </c>
      <c r="AA15786" s="22" t="str">
        <f>HYPERLINK("https://www.ncbi.nlm.nih.gov/nuccore/EF125867","NCBI Nucleotide")</f>
        <v>NCBI Nucleotide</v>
      </c>
    </row>
    <row r="15787" spans="1:27" x14ac:dyDescent="0.35">
      <c r="A15787">
        <v>1004874</v>
      </c>
      <c r="B15787">
        <v>14098</v>
      </c>
      <c r="C15787">
        <v>1</v>
      </c>
      <c r="J15787" t="s">
        <v>36738</v>
      </c>
      <c r="L15787" t="s">
        <v>36766</v>
      </c>
      <c r="N15787" t="s">
        <v>36767</v>
      </c>
      <c r="P15787" t="s">
        <v>36768</v>
      </c>
      <c r="R15787" s="26" t="str">
        <f>HYPERLINK("https://ictv.global/taxonomy/taxondetails?taxnode_id=202306528","Alphabaculovirus myunipunctae")</f>
        <v>Alphabaculovirus myunipunctae</v>
      </c>
      <c r="S15787" t="s">
        <v>30</v>
      </c>
      <c r="T15787" t="s">
        <v>36796</v>
      </c>
      <c r="U15787" t="s">
        <v>36797</v>
      </c>
      <c r="V15787" t="s">
        <v>36934</v>
      </c>
      <c r="W15787" t="s">
        <v>36935</v>
      </c>
      <c r="X15787" t="s">
        <v>42</v>
      </c>
      <c r="Y15787" t="s">
        <v>36</v>
      </c>
      <c r="Z15787" t="s">
        <v>10790</v>
      </c>
      <c r="AA15787" s="22" t="str">
        <f>HYPERLINK("https://www.ncbi.nlm.nih.gov/nuccore/MF375894","NCBI Nucleotide")</f>
        <v>NCBI Nucleotide</v>
      </c>
    </row>
    <row r="15788" spans="1:27" x14ac:dyDescent="0.35">
      <c r="A15788">
        <v>1004875</v>
      </c>
      <c r="B15788">
        <v>14099</v>
      </c>
      <c r="C15788">
        <v>1</v>
      </c>
      <c r="J15788" t="s">
        <v>36738</v>
      </c>
      <c r="L15788" t="s">
        <v>36766</v>
      </c>
      <c r="N15788" t="s">
        <v>36767</v>
      </c>
      <c r="P15788" t="s">
        <v>36768</v>
      </c>
      <c r="R15788" s="26" t="str">
        <f>HYPERLINK("https://ictv.global/taxonomy/taxondetails?taxnode_id=202314024","Alphabaculovirus olmendosae")</f>
        <v>Alphabaculovirus olmendosae</v>
      </c>
      <c r="S15788" t="s">
        <v>30</v>
      </c>
      <c r="T15788" t="s">
        <v>36936</v>
      </c>
      <c r="U15788" t="s">
        <v>36937</v>
      </c>
      <c r="V15788">
        <v>435</v>
      </c>
      <c r="W15788" t="s">
        <v>36938</v>
      </c>
      <c r="X15788" t="s">
        <v>42</v>
      </c>
      <c r="Y15788" t="s">
        <v>36</v>
      </c>
      <c r="Z15788" t="s">
        <v>10790</v>
      </c>
      <c r="AA15788" s="22" t="str">
        <f>HYPERLINK("https://www.ncbi.nlm.nih.gov/nuccore/MZ766431","NCBI Nucleotide")</f>
        <v>NCBI Nucleotide</v>
      </c>
    </row>
    <row r="15789" spans="1:27" x14ac:dyDescent="0.35">
      <c r="A15789">
        <v>1004876</v>
      </c>
      <c r="B15789">
        <v>14100</v>
      </c>
      <c r="C15789">
        <v>1</v>
      </c>
      <c r="J15789" t="s">
        <v>36738</v>
      </c>
      <c r="L15789" t="s">
        <v>36766</v>
      </c>
      <c r="N15789" t="s">
        <v>36767</v>
      </c>
      <c r="P15789" t="s">
        <v>36768</v>
      </c>
      <c r="R15789" s="26" t="str">
        <f>HYPERLINK("https://ictv.global/taxonomy/taxondetails?taxnode_id=202306529","Alphabaculovirus opbrumatae")</f>
        <v>Alphabaculovirus opbrumatae</v>
      </c>
      <c r="S15789" t="s">
        <v>30</v>
      </c>
      <c r="T15789" t="s">
        <v>36939</v>
      </c>
      <c r="U15789" t="s">
        <v>36940</v>
      </c>
      <c r="V15789" t="s">
        <v>36941</v>
      </c>
      <c r="W15789" t="s">
        <v>36942</v>
      </c>
      <c r="X15789" t="s">
        <v>42</v>
      </c>
      <c r="Y15789" t="s">
        <v>36</v>
      </c>
      <c r="Z15789" t="s">
        <v>10790</v>
      </c>
      <c r="AA15789" s="22" t="str">
        <f>HYPERLINK("https://www.ncbi.nlm.nih.gov/nuccore/MF614691","NCBI Nucleotide")</f>
        <v>NCBI Nucleotide</v>
      </c>
    </row>
    <row r="15790" spans="1:27" x14ac:dyDescent="0.35">
      <c r="A15790">
        <v>1004877</v>
      </c>
      <c r="B15790">
        <v>14101</v>
      </c>
      <c r="C15790">
        <v>1</v>
      </c>
      <c r="J15790" t="s">
        <v>36738</v>
      </c>
      <c r="L15790" t="s">
        <v>36766</v>
      </c>
      <c r="N15790" t="s">
        <v>36767</v>
      </c>
      <c r="P15790" t="s">
        <v>36768</v>
      </c>
      <c r="R15790" s="26" t="str">
        <f>HYPERLINK("https://ictv.global/taxonomy/taxondetails?taxnode_id=202302687","Alphabaculovirus orleucostigmae")</f>
        <v>Alphabaculovirus orleucostigmae</v>
      </c>
      <c r="S15790" t="s">
        <v>30</v>
      </c>
      <c r="T15790" t="s">
        <v>36943</v>
      </c>
      <c r="U15790" t="s">
        <v>36944</v>
      </c>
      <c r="V15790" t="s">
        <v>36945</v>
      </c>
      <c r="W15790" t="s">
        <v>36946</v>
      </c>
      <c r="X15790" t="s">
        <v>42</v>
      </c>
      <c r="Y15790" t="s">
        <v>36</v>
      </c>
      <c r="Z15790" t="s">
        <v>10790</v>
      </c>
      <c r="AA15790" s="22" t="str">
        <f>HYPERLINK("https://www.ncbi.nlm.nih.gov/nuccore/EU309041","NCBI Nucleotide")</f>
        <v>NCBI Nucleotide</v>
      </c>
    </row>
    <row r="15791" spans="1:27" x14ac:dyDescent="0.35">
      <c r="A15791">
        <v>1004878</v>
      </c>
      <c r="B15791">
        <v>14102</v>
      </c>
      <c r="C15791">
        <v>1</v>
      </c>
      <c r="J15791" t="s">
        <v>36738</v>
      </c>
      <c r="L15791" t="s">
        <v>36766</v>
      </c>
      <c r="N15791" t="s">
        <v>36767</v>
      </c>
      <c r="P15791" t="s">
        <v>36768</v>
      </c>
      <c r="R15791" s="26" t="str">
        <f>HYPERLINK("https://ictv.global/taxonomy/taxondetails?taxnode_id=202302688","Alphabaculovirus orpseudotsugatae")</f>
        <v>Alphabaculovirus orpseudotsugatae</v>
      </c>
      <c r="S15791" t="s">
        <v>30</v>
      </c>
      <c r="T15791" t="s">
        <v>36947</v>
      </c>
      <c r="U15791" t="s">
        <v>36948</v>
      </c>
      <c r="W15791" t="s">
        <v>36949</v>
      </c>
      <c r="X15791" t="s">
        <v>42</v>
      </c>
      <c r="Y15791" t="s">
        <v>36</v>
      </c>
      <c r="Z15791" t="s">
        <v>10790</v>
      </c>
      <c r="AA15791" s="22" t="str">
        <f>HYPERLINK("https://www.ncbi.nlm.nih.gov/nuccore/U75930","NCBI Nucleotide")</f>
        <v>NCBI Nucleotide</v>
      </c>
    </row>
    <row r="15792" spans="1:27" x14ac:dyDescent="0.35">
      <c r="A15792">
        <v>1004879</v>
      </c>
      <c r="B15792">
        <v>14103</v>
      </c>
      <c r="C15792">
        <v>1</v>
      </c>
      <c r="J15792" t="s">
        <v>36738</v>
      </c>
      <c r="L15792" t="s">
        <v>36766</v>
      </c>
      <c r="N15792" t="s">
        <v>36767</v>
      </c>
      <c r="P15792" t="s">
        <v>36768</v>
      </c>
      <c r="R15792" s="26" t="str">
        <f>HYPERLINK("https://ictv.global/taxonomy/taxondetails?taxnode_id=202306530","Alphabaculovirus oxochraceae")</f>
        <v>Alphabaculovirus oxochraceae</v>
      </c>
      <c r="S15792" t="s">
        <v>30</v>
      </c>
      <c r="T15792" t="s">
        <v>36950</v>
      </c>
      <c r="U15792" t="s">
        <v>36951</v>
      </c>
      <c r="V15792">
        <v>435</v>
      </c>
      <c r="W15792" t="s">
        <v>36952</v>
      </c>
      <c r="X15792" t="s">
        <v>42</v>
      </c>
      <c r="Y15792" t="s">
        <v>36</v>
      </c>
      <c r="Z15792" t="s">
        <v>10790</v>
      </c>
      <c r="AA15792" s="22" t="str">
        <f>HYPERLINK("https://www.ncbi.nlm.nih.gov/nuccore/MF143631","NCBI Nucleotide")</f>
        <v>NCBI Nucleotide</v>
      </c>
    </row>
    <row r="15793" spans="1:27" x14ac:dyDescent="0.35">
      <c r="A15793">
        <v>1004880</v>
      </c>
      <c r="B15793">
        <v>14104</v>
      </c>
      <c r="C15793">
        <v>1</v>
      </c>
      <c r="J15793" t="s">
        <v>36738</v>
      </c>
      <c r="L15793" t="s">
        <v>36766</v>
      </c>
      <c r="N15793" t="s">
        <v>36767</v>
      </c>
      <c r="P15793" t="s">
        <v>36768</v>
      </c>
      <c r="R15793" s="26" t="str">
        <f>HYPERLINK("https://ictv.global/taxonomy/taxondetails?taxnode_id=202306532","Alphabaculovirus peluscae")</f>
        <v>Alphabaculovirus peluscae</v>
      </c>
      <c r="S15793" t="s">
        <v>30</v>
      </c>
      <c r="T15793" t="s">
        <v>36953</v>
      </c>
      <c r="U15793" t="s">
        <v>36954</v>
      </c>
      <c r="W15793" t="s">
        <v>36955</v>
      </c>
      <c r="X15793" t="s">
        <v>42</v>
      </c>
      <c r="Y15793" t="s">
        <v>36</v>
      </c>
      <c r="Z15793" t="s">
        <v>10790</v>
      </c>
      <c r="AA15793" s="22" t="str">
        <f>HYPERLINK("https://www.ncbi.nlm.nih.gov/nuccore/KM596836","NCBI Nucleotide")</f>
        <v>NCBI Nucleotide</v>
      </c>
    </row>
    <row r="15794" spans="1:27" x14ac:dyDescent="0.35">
      <c r="A15794">
        <v>1004881</v>
      </c>
      <c r="B15794">
        <v>14105</v>
      </c>
      <c r="C15794">
        <v>1</v>
      </c>
      <c r="J15794" t="s">
        <v>36738</v>
      </c>
      <c r="L15794" t="s">
        <v>36766</v>
      </c>
      <c r="N15794" t="s">
        <v>36767</v>
      </c>
      <c r="P15794" t="s">
        <v>36768</v>
      </c>
      <c r="R15794" s="26" t="str">
        <f>HYPERLINK("https://ictv.global/taxonomy/taxondetails?taxnode_id=202306531","Alphabaculovirus pesauciae")</f>
        <v>Alphabaculovirus pesauciae</v>
      </c>
      <c r="S15794" t="s">
        <v>30</v>
      </c>
      <c r="T15794" t="s">
        <v>36956</v>
      </c>
      <c r="U15794" t="s">
        <v>36957</v>
      </c>
      <c r="V15794" t="s">
        <v>36958</v>
      </c>
      <c r="W15794" t="s">
        <v>36959</v>
      </c>
      <c r="X15794" t="s">
        <v>42</v>
      </c>
      <c r="Y15794" t="s">
        <v>36</v>
      </c>
      <c r="Z15794" t="s">
        <v>10790</v>
      </c>
      <c r="AA15794" s="22" t="str">
        <f>HYPERLINK("https://www.ncbi.nlm.nih.gov/nuccore/KM009991","NCBI Nucleotide")</f>
        <v>NCBI Nucleotide</v>
      </c>
    </row>
    <row r="15795" spans="1:27" x14ac:dyDescent="0.35">
      <c r="A15795">
        <v>1004882</v>
      </c>
      <c r="B15795">
        <v>14106</v>
      </c>
      <c r="C15795">
        <v>1</v>
      </c>
      <c r="J15795" t="s">
        <v>36738</v>
      </c>
      <c r="L15795" t="s">
        <v>36766</v>
      </c>
      <c r="N15795" t="s">
        <v>36767</v>
      </c>
      <c r="P15795" t="s">
        <v>36768</v>
      </c>
      <c r="R15795" s="26" t="str">
        <f>HYPERLINK("https://ictv.global/taxonomy/taxondetails?taxnode_id=202313427","Alphabaculovirus ranus")</f>
        <v>Alphabaculovirus ranus</v>
      </c>
      <c r="S15795" t="s">
        <v>30</v>
      </c>
      <c r="T15795" t="s">
        <v>36960</v>
      </c>
      <c r="U15795" t="s">
        <v>36961</v>
      </c>
      <c r="V15795" t="s">
        <v>36962</v>
      </c>
      <c r="W15795" t="s">
        <v>36963</v>
      </c>
      <c r="X15795" t="s">
        <v>42</v>
      </c>
      <c r="Y15795" t="s">
        <v>36</v>
      </c>
      <c r="Z15795" t="s">
        <v>10790</v>
      </c>
      <c r="AA15795" s="22" t="str">
        <f>HYPERLINK("https://www.ncbi.nlm.nih.gov/nuccore/MK419956","NCBI Nucleotide")</f>
        <v>NCBI Nucleotide</v>
      </c>
    </row>
    <row r="15796" spans="1:27" x14ac:dyDescent="0.35">
      <c r="A15796">
        <v>1004883</v>
      </c>
      <c r="B15796">
        <v>14107</v>
      </c>
      <c r="C15796">
        <v>1</v>
      </c>
      <c r="J15796" t="s">
        <v>36738</v>
      </c>
      <c r="L15796" t="s">
        <v>36766</v>
      </c>
      <c r="N15796" t="s">
        <v>36767</v>
      </c>
      <c r="P15796" t="s">
        <v>36768</v>
      </c>
      <c r="R15796" s="26" t="str">
        <f>HYPERLINK("https://ictv.global/taxonomy/taxondetails?taxnode_id=202314025","Alphabaculovirus raous")</f>
        <v>Alphabaculovirus raous</v>
      </c>
      <c r="S15796" t="s">
        <v>30</v>
      </c>
      <c r="T15796" t="s">
        <v>36964</v>
      </c>
      <c r="U15796" t="s">
        <v>36965</v>
      </c>
      <c r="V15796" t="s">
        <v>36966</v>
      </c>
      <c r="W15796" t="s">
        <v>36967</v>
      </c>
      <c r="X15796" t="s">
        <v>42</v>
      </c>
      <c r="Y15796" t="s">
        <v>36</v>
      </c>
      <c r="Z15796" t="s">
        <v>10790</v>
      </c>
      <c r="AA15796" s="22" t="str">
        <f>HYPERLINK("https://www.ncbi.nlm.nih.gov/nuccore/AY145471","NCBI Nucleotide")</f>
        <v>NCBI Nucleotide</v>
      </c>
    </row>
    <row r="15797" spans="1:27" x14ac:dyDescent="0.35">
      <c r="A15797">
        <v>1004884</v>
      </c>
      <c r="B15797">
        <v>14108</v>
      </c>
      <c r="C15797">
        <v>1</v>
      </c>
      <c r="J15797" t="s">
        <v>36738</v>
      </c>
      <c r="L15797" t="s">
        <v>36766</v>
      </c>
      <c r="N15797" t="s">
        <v>36767</v>
      </c>
      <c r="P15797" t="s">
        <v>36768</v>
      </c>
      <c r="R15797" s="26" t="str">
        <f>HYPERLINK("https://ictv.global/taxonomy/taxondetails?taxnode_id=202308666","Alphabaculovirus speridaniae")</f>
        <v>Alphabaculovirus speridaniae</v>
      </c>
      <c r="S15797" t="s">
        <v>30</v>
      </c>
      <c r="T15797" t="s">
        <v>36800</v>
      </c>
      <c r="U15797" t="s">
        <v>36801</v>
      </c>
      <c r="V15797">
        <v>251</v>
      </c>
      <c r="W15797" t="s">
        <v>36968</v>
      </c>
      <c r="X15797" t="s">
        <v>42</v>
      </c>
      <c r="Y15797" t="s">
        <v>36</v>
      </c>
      <c r="Z15797" t="s">
        <v>10790</v>
      </c>
      <c r="AA15797" s="22" t="str">
        <f>HYPERLINK("https://www.ncbi.nlm.nih.gov/nuccore/MH320559","NCBI Nucleotide")</f>
        <v>NCBI Nucleotide</v>
      </c>
    </row>
    <row r="15798" spans="1:27" x14ac:dyDescent="0.35">
      <c r="A15798">
        <v>1004885</v>
      </c>
      <c r="B15798">
        <v>14109</v>
      </c>
      <c r="C15798">
        <v>1</v>
      </c>
      <c r="J15798" t="s">
        <v>36738</v>
      </c>
      <c r="L15798" t="s">
        <v>36766</v>
      </c>
      <c r="N15798" t="s">
        <v>36767</v>
      </c>
      <c r="P15798" t="s">
        <v>36768</v>
      </c>
      <c r="R15798" s="26" t="str">
        <f>HYPERLINK("https://ictv.global/taxonomy/taxondetails?taxnode_id=202308667","Alphabaculovirus spexemptae")</f>
        <v>Alphabaculovirus spexemptae</v>
      </c>
      <c r="S15798" t="s">
        <v>30</v>
      </c>
      <c r="T15798" t="s">
        <v>36969</v>
      </c>
      <c r="U15798" t="s">
        <v>36970</v>
      </c>
      <c r="V15798" t="s">
        <v>36971</v>
      </c>
      <c r="W15798" t="s">
        <v>36972</v>
      </c>
      <c r="X15798" t="s">
        <v>42</v>
      </c>
      <c r="Y15798" t="s">
        <v>36</v>
      </c>
      <c r="Z15798" t="s">
        <v>10790</v>
      </c>
      <c r="AA15798" s="22" t="str">
        <f>HYPERLINK("https://www.ncbi.nlm.nih.gov/nuccore/MH717816","NCBI Nucleotide")</f>
        <v>NCBI Nucleotide</v>
      </c>
    </row>
    <row r="15799" spans="1:27" x14ac:dyDescent="0.35">
      <c r="A15799">
        <v>1004886</v>
      </c>
      <c r="B15799">
        <v>14110</v>
      </c>
      <c r="C15799">
        <v>1</v>
      </c>
      <c r="J15799" t="s">
        <v>36738</v>
      </c>
      <c r="L15799" t="s">
        <v>36766</v>
      </c>
      <c r="N15799" t="s">
        <v>36767</v>
      </c>
      <c r="P15799" t="s">
        <v>36768</v>
      </c>
      <c r="R15799" s="26" t="str">
        <f>HYPERLINK("https://ictv.global/taxonomy/taxondetails?taxnode_id=202302689","Alphabaculovirus spexiguae")</f>
        <v>Alphabaculovirus spexiguae</v>
      </c>
      <c r="S15799" t="s">
        <v>30</v>
      </c>
      <c r="T15799" t="s">
        <v>36804</v>
      </c>
      <c r="U15799" t="s">
        <v>36805</v>
      </c>
      <c r="V15799" t="s">
        <v>19085</v>
      </c>
      <c r="W15799" t="s">
        <v>36973</v>
      </c>
      <c r="X15799" t="s">
        <v>42</v>
      </c>
      <c r="Y15799" t="s">
        <v>36</v>
      </c>
      <c r="Z15799" t="s">
        <v>10790</v>
      </c>
      <c r="AA15799" s="22" t="str">
        <f>HYPERLINK("https://www.ncbi.nlm.nih.gov/nuccore/AF169823","NCBI Nucleotide")</f>
        <v>NCBI Nucleotide</v>
      </c>
    </row>
    <row r="15800" spans="1:27" x14ac:dyDescent="0.35">
      <c r="A15800">
        <v>1004887</v>
      </c>
      <c r="B15800">
        <v>14111</v>
      </c>
      <c r="C15800">
        <v>1</v>
      </c>
      <c r="J15800" t="s">
        <v>36738</v>
      </c>
      <c r="L15800" t="s">
        <v>36766</v>
      </c>
      <c r="N15800" t="s">
        <v>36767</v>
      </c>
      <c r="P15800" t="s">
        <v>36768</v>
      </c>
      <c r="R15800" s="26" t="str">
        <f>HYPERLINK("https://ictv.global/taxonomy/taxondetails?taxnode_id=202302691","Alphabaculovirus splittoralis")</f>
        <v>Alphabaculovirus splittoralis</v>
      </c>
      <c r="S15800" t="s">
        <v>30</v>
      </c>
      <c r="T15800" t="s">
        <v>36974</v>
      </c>
      <c r="U15800" t="s">
        <v>36975</v>
      </c>
      <c r="V15800" t="s">
        <v>36976</v>
      </c>
      <c r="W15800" t="s">
        <v>36977</v>
      </c>
      <c r="X15800" t="s">
        <v>42</v>
      </c>
      <c r="Y15800" t="s">
        <v>36</v>
      </c>
      <c r="Z15800" t="s">
        <v>10790</v>
      </c>
      <c r="AA15800" s="22" t="str">
        <f>HYPERLINK("https://www.ncbi.nlm.nih.gov/nuccore/JX454574","NCBI Nucleotide")</f>
        <v>NCBI Nucleotide</v>
      </c>
    </row>
    <row r="15801" spans="1:27" x14ac:dyDescent="0.35">
      <c r="A15801">
        <v>1004888</v>
      </c>
      <c r="B15801">
        <v>14112</v>
      </c>
      <c r="C15801">
        <v>1</v>
      </c>
      <c r="J15801" t="s">
        <v>36738</v>
      </c>
      <c r="L15801" t="s">
        <v>36766</v>
      </c>
      <c r="N15801" t="s">
        <v>36767</v>
      </c>
      <c r="P15801" t="s">
        <v>36768</v>
      </c>
      <c r="R15801" s="26" t="str">
        <f>HYPERLINK("https://ictv.global/taxonomy/taxondetails?taxnode_id=202302692","Alphabaculovirus spliturae")</f>
        <v>Alphabaculovirus spliturae</v>
      </c>
      <c r="S15801" t="s">
        <v>30</v>
      </c>
      <c r="T15801" t="s">
        <v>36978</v>
      </c>
      <c r="U15801" t="s">
        <v>36979</v>
      </c>
      <c r="V15801" t="s">
        <v>36980</v>
      </c>
      <c r="W15801" t="s">
        <v>36981</v>
      </c>
      <c r="X15801" t="s">
        <v>42</v>
      </c>
      <c r="Y15801" t="s">
        <v>36</v>
      </c>
      <c r="Z15801" t="s">
        <v>10790</v>
      </c>
      <c r="AA15801" s="22" t="str">
        <f>HYPERLINK("https://www.ncbi.nlm.nih.gov/nuccore/AF325155","NCBI Nucleotide")</f>
        <v>NCBI Nucleotide</v>
      </c>
    </row>
    <row r="15802" spans="1:27" x14ac:dyDescent="0.35">
      <c r="A15802">
        <v>1004889</v>
      </c>
      <c r="B15802">
        <v>14113</v>
      </c>
      <c r="C15802">
        <v>1</v>
      </c>
      <c r="J15802" t="s">
        <v>36738</v>
      </c>
      <c r="L15802" t="s">
        <v>36766</v>
      </c>
      <c r="N15802" t="s">
        <v>36767</v>
      </c>
      <c r="P15802" t="s">
        <v>36768</v>
      </c>
      <c r="R15802" s="26" t="str">
        <f>HYPERLINK("https://ictv.global/taxonomy/taxondetails?taxnode_id=202302690","Alphabaculovirus spofrugiperdae")</f>
        <v>Alphabaculovirus spofrugiperdae</v>
      </c>
      <c r="S15802" t="s">
        <v>30</v>
      </c>
      <c r="T15802" t="s">
        <v>36982</v>
      </c>
      <c r="U15802" t="s">
        <v>36983</v>
      </c>
      <c r="V15802" t="s">
        <v>36984</v>
      </c>
      <c r="W15802" t="s">
        <v>36985</v>
      </c>
      <c r="X15802" t="s">
        <v>42</v>
      </c>
      <c r="Y15802" t="s">
        <v>36</v>
      </c>
      <c r="Z15802" t="s">
        <v>10790</v>
      </c>
      <c r="AA15802" s="22" t="str">
        <f>HYPERLINK("https://www.ncbi.nlm.nih.gov/nuccore/EF035042","NCBI Nucleotide")</f>
        <v>NCBI Nucleotide</v>
      </c>
    </row>
    <row r="15803" spans="1:27" x14ac:dyDescent="0.35">
      <c r="A15803">
        <v>1004890</v>
      </c>
      <c r="B15803">
        <v>14114</v>
      </c>
      <c r="C15803">
        <v>1</v>
      </c>
      <c r="J15803" t="s">
        <v>36738</v>
      </c>
      <c r="L15803" t="s">
        <v>36766</v>
      </c>
      <c r="N15803" t="s">
        <v>36767</v>
      </c>
      <c r="P15803" t="s">
        <v>36768</v>
      </c>
      <c r="R15803" s="26" t="str">
        <f>HYPERLINK("https://ictv.global/taxonomy/taxondetails?taxnode_id=202302693","Alphabaculovirus sujujubae")</f>
        <v>Alphabaculovirus sujujubae</v>
      </c>
      <c r="S15803" t="s">
        <v>30</v>
      </c>
      <c r="T15803" t="s">
        <v>36986</v>
      </c>
      <c r="U15803" t="s">
        <v>36987</v>
      </c>
      <c r="V15803">
        <v>473</v>
      </c>
      <c r="W15803" t="s">
        <v>36988</v>
      </c>
      <c r="X15803" t="s">
        <v>42</v>
      </c>
      <c r="Y15803" t="s">
        <v>36</v>
      </c>
      <c r="Z15803" t="s">
        <v>10790</v>
      </c>
      <c r="AA15803" s="22" t="str">
        <f>HYPERLINK("https://www.ncbi.nlm.nih.gov/nuccore/KJ676450","NCBI Nucleotide")</f>
        <v>NCBI Nucleotide</v>
      </c>
    </row>
    <row r="15804" spans="1:27" x14ac:dyDescent="0.35">
      <c r="A15804">
        <v>1004891</v>
      </c>
      <c r="B15804">
        <v>14115</v>
      </c>
      <c r="C15804">
        <v>1</v>
      </c>
      <c r="J15804" t="s">
        <v>36738</v>
      </c>
      <c r="L15804" t="s">
        <v>36766</v>
      </c>
      <c r="N15804" t="s">
        <v>36767</v>
      </c>
      <c r="P15804" t="s">
        <v>36768</v>
      </c>
      <c r="R15804" s="26" t="str">
        <f>HYPERLINK("https://ictv.global/taxonomy/taxondetails?taxnode_id=202302694","Alphabaculovirus thorichlaceae")</f>
        <v>Alphabaculovirus thorichlaceae</v>
      </c>
      <c r="S15804" t="s">
        <v>30</v>
      </c>
      <c r="T15804" t="s">
        <v>36989</v>
      </c>
      <c r="U15804" t="s">
        <v>36990</v>
      </c>
      <c r="V15804" t="s">
        <v>36991</v>
      </c>
      <c r="W15804" t="s">
        <v>36992</v>
      </c>
      <c r="X15804" t="s">
        <v>42</v>
      </c>
      <c r="Y15804" t="s">
        <v>36</v>
      </c>
      <c r="Z15804" t="s">
        <v>10790</v>
      </c>
      <c r="AA15804" s="22" t="str">
        <f>HYPERLINK("https://www.ncbi.nlm.nih.gov/nuccore/JX467702","NCBI Nucleotide")</f>
        <v>NCBI Nucleotide</v>
      </c>
    </row>
    <row r="15805" spans="1:27" x14ac:dyDescent="0.35">
      <c r="A15805">
        <v>1004892</v>
      </c>
      <c r="B15805">
        <v>14116</v>
      </c>
      <c r="C15805">
        <v>1</v>
      </c>
      <c r="J15805" t="s">
        <v>36738</v>
      </c>
      <c r="L15805" t="s">
        <v>36766</v>
      </c>
      <c r="N15805" t="s">
        <v>36767</v>
      </c>
      <c r="P15805" t="s">
        <v>36768</v>
      </c>
      <c r="R15805" s="26" t="str">
        <f>HYPERLINK("https://ictv.global/taxonomy/taxondetails?taxnode_id=202314026","Alphabaculovirus travishnous")</f>
        <v>Alphabaculovirus travishnous</v>
      </c>
      <c r="S15805" t="s">
        <v>30</v>
      </c>
      <c r="T15805" t="s">
        <v>36993</v>
      </c>
      <c r="U15805" t="s">
        <v>36994</v>
      </c>
      <c r="V15805" t="s">
        <v>36995</v>
      </c>
      <c r="W15805" t="s">
        <v>36996</v>
      </c>
      <c r="X15805" t="s">
        <v>42</v>
      </c>
      <c r="Y15805" t="s">
        <v>36</v>
      </c>
      <c r="Z15805" t="s">
        <v>10790</v>
      </c>
      <c r="AA15805" s="22" t="str">
        <f>HYPERLINK("https://www.ncbi.nlm.nih.gov/nuccore/MW645368","NCBI Nucleotide")</f>
        <v>NCBI Nucleotide</v>
      </c>
    </row>
    <row r="15806" spans="1:27" x14ac:dyDescent="0.35">
      <c r="A15806">
        <v>1004893</v>
      </c>
      <c r="B15806">
        <v>14117</v>
      </c>
      <c r="C15806">
        <v>1</v>
      </c>
      <c r="J15806" t="s">
        <v>36738</v>
      </c>
      <c r="L15806" t="s">
        <v>36766</v>
      </c>
      <c r="N15806" t="s">
        <v>36767</v>
      </c>
      <c r="P15806" t="s">
        <v>36768</v>
      </c>
      <c r="R15806" s="26" t="str">
        <f>HYPERLINK("https://ictv.global/taxonomy/taxondetails?taxnode_id=202302695","Alphabaculovirus trini")</f>
        <v>Alphabaculovirus trini</v>
      </c>
      <c r="S15806" t="s">
        <v>30</v>
      </c>
      <c r="T15806" t="s">
        <v>36997</v>
      </c>
      <c r="U15806" t="s">
        <v>36998</v>
      </c>
      <c r="W15806" t="s">
        <v>36999</v>
      </c>
      <c r="X15806" t="s">
        <v>42</v>
      </c>
      <c r="Y15806" t="s">
        <v>36</v>
      </c>
      <c r="Z15806" t="s">
        <v>10790</v>
      </c>
      <c r="AA15806" s="22" t="str">
        <f>HYPERLINK("https://www.ncbi.nlm.nih.gov/nuccore/DQ017380","NCBI Nucleotide")</f>
        <v>NCBI Nucleotide</v>
      </c>
    </row>
    <row r="15807" spans="1:27" x14ac:dyDescent="0.35">
      <c r="A15807">
        <v>1004894</v>
      </c>
      <c r="B15807">
        <v>14118</v>
      </c>
      <c r="C15807">
        <v>1</v>
      </c>
      <c r="J15807" t="s">
        <v>36738</v>
      </c>
      <c r="L15807" t="s">
        <v>36766</v>
      </c>
      <c r="N15807" t="s">
        <v>36767</v>
      </c>
      <c r="P15807" t="s">
        <v>36768</v>
      </c>
      <c r="R15807" s="26" t="str">
        <f>HYPERLINK("https://ictv.global/taxonomy/taxondetails?taxnode_id=202308668","Alphabaculovirus urprotei")</f>
        <v>Alphabaculovirus urprotei</v>
      </c>
      <c r="S15807" t="s">
        <v>30</v>
      </c>
      <c r="T15807" t="s">
        <v>37000</v>
      </c>
      <c r="U15807" t="s">
        <v>37001</v>
      </c>
      <c r="V15807" t="s">
        <v>37002</v>
      </c>
      <c r="W15807" t="s">
        <v>37003</v>
      </c>
      <c r="X15807" t="s">
        <v>42</v>
      </c>
      <c r="Y15807" t="s">
        <v>36</v>
      </c>
      <c r="Z15807" t="s">
        <v>10790</v>
      </c>
      <c r="AA15807" s="22" t="str">
        <f>HYPERLINK("https://www.ncbi.nlm.nih.gov/nuccore/KR011717","NCBI Nucleotide")</f>
        <v>NCBI Nucleotide</v>
      </c>
    </row>
    <row r="15808" spans="1:27" x14ac:dyDescent="0.35">
      <c r="A15808">
        <v>1004895</v>
      </c>
      <c r="B15808">
        <v>14119</v>
      </c>
      <c r="C15808">
        <v>1</v>
      </c>
      <c r="J15808" t="s">
        <v>36738</v>
      </c>
      <c r="L15808" t="s">
        <v>36766</v>
      </c>
      <c r="N15808" t="s">
        <v>36767</v>
      </c>
      <c r="P15808" t="s">
        <v>36768</v>
      </c>
      <c r="R15808" s="26" t="str">
        <f>HYPERLINK("https://ictv.global/taxonomy/taxondetails?taxnode_id=202302696","Alphabaculovirus wisignatae")</f>
        <v>Alphabaculovirus wisignatae</v>
      </c>
      <c r="S15808" t="s">
        <v>30</v>
      </c>
      <c r="T15808" t="s">
        <v>37004</v>
      </c>
      <c r="U15808" t="s">
        <v>37005</v>
      </c>
      <c r="W15808" t="s">
        <v>37006</v>
      </c>
      <c r="X15808" t="s">
        <v>154</v>
      </c>
      <c r="Y15808" t="s">
        <v>36</v>
      </c>
      <c r="Z15808" t="s">
        <v>10790</v>
      </c>
      <c r="AA15808" s="22" t="str">
        <f>HYPERLINK("https://www.ncbi.nlm.nih.gov/nuccore/AF016916","NCBI Nucleotide")</f>
        <v>NCBI Nucleotide</v>
      </c>
    </row>
    <row r="15809" spans="1:27" x14ac:dyDescent="0.35">
      <c r="A15809">
        <v>1004896</v>
      </c>
      <c r="B15809">
        <v>14120</v>
      </c>
      <c r="C15809">
        <v>1</v>
      </c>
      <c r="J15809" t="s">
        <v>36738</v>
      </c>
      <c r="L15809" t="s">
        <v>36766</v>
      </c>
      <c r="N15809" t="s">
        <v>36767</v>
      </c>
      <c r="P15809" t="s">
        <v>37007</v>
      </c>
      <c r="R15809" s="26" t="str">
        <f>HYPERLINK("https://ictv.global/taxonomy/taxondetails?taxnode_id=202302698","Betabaculovirus adoranae")</f>
        <v>Betabaculovirus adoranae</v>
      </c>
      <c r="S15809" t="s">
        <v>30</v>
      </c>
      <c r="T15809" t="s">
        <v>37008</v>
      </c>
      <c r="U15809" t="s">
        <v>37009</v>
      </c>
      <c r="V15809" t="s">
        <v>36783</v>
      </c>
      <c r="W15809" t="s">
        <v>37010</v>
      </c>
      <c r="X15809" t="s">
        <v>42</v>
      </c>
      <c r="Y15809" t="s">
        <v>36</v>
      </c>
      <c r="Z15809" t="s">
        <v>10790</v>
      </c>
      <c r="AA15809" s="22" t="str">
        <f>HYPERLINK("https://www.ncbi.nlm.nih.gov/nuccore/AF547984","NCBI Nucleotide")</f>
        <v>NCBI Nucleotide</v>
      </c>
    </row>
    <row r="15810" spans="1:27" x14ac:dyDescent="0.35">
      <c r="A15810">
        <v>1004897</v>
      </c>
      <c r="B15810">
        <v>14121</v>
      </c>
      <c r="C15810">
        <v>1</v>
      </c>
      <c r="J15810" t="s">
        <v>36738</v>
      </c>
      <c r="L15810" t="s">
        <v>36766</v>
      </c>
      <c r="N15810" t="s">
        <v>36767</v>
      </c>
      <c r="P15810" t="s">
        <v>37007</v>
      </c>
      <c r="R15810" s="26" t="str">
        <f>HYPERLINK("https://ictv.global/taxonomy/taxondetails?taxnode_id=202302699","Betabaculovirus agsegetum")</f>
        <v>Betabaculovirus agsegetum</v>
      </c>
      <c r="S15810" t="s">
        <v>30</v>
      </c>
      <c r="T15810" t="s">
        <v>37011</v>
      </c>
      <c r="U15810" t="s">
        <v>37012</v>
      </c>
      <c r="V15810" t="s">
        <v>37013</v>
      </c>
      <c r="W15810" t="s">
        <v>37014</v>
      </c>
      <c r="X15810" t="s">
        <v>42</v>
      </c>
      <c r="Y15810" t="s">
        <v>36</v>
      </c>
      <c r="Z15810" t="s">
        <v>10790</v>
      </c>
      <c r="AA15810" s="22" t="str">
        <f>HYPERLINK("https://www.ncbi.nlm.nih.gov/nuccore/KR584663","NCBI Nucleotide")</f>
        <v>NCBI Nucleotide</v>
      </c>
    </row>
    <row r="15811" spans="1:27" x14ac:dyDescent="0.35">
      <c r="A15811">
        <v>1004898</v>
      </c>
      <c r="B15811">
        <v>14122</v>
      </c>
      <c r="C15811">
        <v>1</v>
      </c>
      <c r="J15811" t="s">
        <v>36738</v>
      </c>
      <c r="L15811" t="s">
        <v>36766</v>
      </c>
      <c r="N15811" t="s">
        <v>36767</v>
      </c>
      <c r="P15811" t="s">
        <v>37007</v>
      </c>
      <c r="R15811" s="26" t="str">
        <f>HYPERLINK("https://ictv.global/taxonomy/taxondetails?taxnode_id=202302704","Betabaculovirus alterclanastomosis")</f>
        <v>Betabaculovirus alterclanastomosis</v>
      </c>
      <c r="S15811" t="s">
        <v>30</v>
      </c>
      <c r="T15811" t="s">
        <v>37015</v>
      </c>
      <c r="U15811" t="s">
        <v>37016</v>
      </c>
      <c r="W15811" t="s">
        <v>37017</v>
      </c>
      <c r="X15811" t="s">
        <v>42</v>
      </c>
      <c r="Y15811" t="s">
        <v>36</v>
      </c>
      <c r="Z15811" t="s">
        <v>10790</v>
      </c>
      <c r="AA15811" s="22" t="str">
        <f>HYPERLINK("https://www.ncbi.nlm.nih.gov/nuccore/KR091910","NCBI Nucleotide")</f>
        <v>NCBI Nucleotide</v>
      </c>
    </row>
    <row r="15812" spans="1:27" x14ac:dyDescent="0.35">
      <c r="A15812">
        <v>1004899</v>
      </c>
      <c r="B15812">
        <v>14123</v>
      </c>
      <c r="C15812">
        <v>1</v>
      </c>
      <c r="J15812" t="s">
        <v>36738</v>
      </c>
      <c r="L15812" t="s">
        <v>36766</v>
      </c>
      <c r="N15812" t="s">
        <v>36767</v>
      </c>
      <c r="P15812" t="s">
        <v>37007</v>
      </c>
      <c r="R15812" s="26" t="str">
        <f>HYPERLINK("https://ictv.global/taxonomy/taxondetails?taxnode_id=202305757","Betabaculovirus altermyunipunctae")</f>
        <v>Betabaculovirus altermyunipunctae</v>
      </c>
      <c r="S15812" t="s">
        <v>30</v>
      </c>
      <c r="T15812" t="s">
        <v>37018</v>
      </c>
      <c r="U15812" t="s">
        <v>37019</v>
      </c>
      <c r="V15812">
        <v>8</v>
      </c>
      <c r="W15812" t="s">
        <v>37020</v>
      </c>
      <c r="X15812" t="s">
        <v>42</v>
      </c>
      <c r="Y15812" t="s">
        <v>36</v>
      </c>
      <c r="Z15812" t="s">
        <v>10790</v>
      </c>
      <c r="AA15812" s="22" t="str">
        <f>HYPERLINK("https://www.ncbi.nlm.nih.gov/nuccore/KX855660","NCBI Nucleotide")</f>
        <v>NCBI Nucleotide</v>
      </c>
    </row>
    <row r="15813" spans="1:27" x14ac:dyDescent="0.35">
      <c r="A15813">
        <v>1004900</v>
      </c>
      <c r="B15813">
        <v>14124</v>
      </c>
      <c r="C15813">
        <v>1</v>
      </c>
      <c r="J15813" t="s">
        <v>36738</v>
      </c>
      <c r="L15813" t="s">
        <v>36766</v>
      </c>
      <c r="N15813" t="s">
        <v>36767</v>
      </c>
      <c r="P15813" t="s">
        <v>37007</v>
      </c>
      <c r="R15813" s="26" t="str">
        <f>HYPERLINK("https://ictv.global/taxonomy/taxondetails?taxnode_id=202302700","Betabaculovirus arrapae")</f>
        <v>Betabaculovirus arrapae</v>
      </c>
      <c r="S15813" t="s">
        <v>30</v>
      </c>
      <c r="T15813" t="s">
        <v>37021</v>
      </c>
      <c r="U15813" t="s">
        <v>37022</v>
      </c>
      <c r="V15813" t="s">
        <v>37023</v>
      </c>
      <c r="W15813" t="s">
        <v>37024</v>
      </c>
      <c r="X15813" t="s">
        <v>42</v>
      </c>
      <c r="Y15813" t="s">
        <v>36</v>
      </c>
      <c r="Z15813" t="s">
        <v>10790</v>
      </c>
      <c r="AA15813" s="22" t="str">
        <f>HYPERLINK("https://www.ncbi.nlm.nih.gov/nuccore/GQ884143","NCBI Nucleotide")</f>
        <v>NCBI Nucleotide</v>
      </c>
    </row>
    <row r="15814" spans="1:27" x14ac:dyDescent="0.35">
      <c r="A15814">
        <v>1004901</v>
      </c>
      <c r="B15814">
        <v>14125</v>
      </c>
      <c r="C15814">
        <v>1</v>
      </c>
      <c r="J15814" t="s">
        <v>36738</v>
      </c>
      <c r="L15814" t="s">
        <v>36766</v>
      </c>
      <c r="N15814" t="s">
        <v>36767</v>
      </c>
      <c r="P15814" t="s">
        <v>37007</v>
      </c>
      <c r="R15814" s="26" t="str">
        <f>HYPERLINK("https://ictv.global/taxonomy/taxondetails?taxnode_id=202302701","Betabaculovirus chofumiferanae")</f>
        <v>Betabaculovirus chofumiferanae</v>
      </c>
      <c r="S15814" t="s">
        <v>30</v>
      </c>
      <c r="T15814" t="s">
        <v>37025</v>
      </c>
      <c r="U15814" t="s">
        <v>37026</v>
      </c>
      <c r="W15814" t="s">
        <v>37027</v>
      </c>
      <c r="X15814" t="s">
        <v>42</v>
      </c>
      <c r="Y15814" t="s">
        <v>36</v>
      </c>
      <c r="Z15814" t="s">
        <v>10790</v>
      </c>
      <c r="AA15814" s="22" t="str">
        <f>HYPERLINK("https://www.ncbi.nlm.nih.gov/nuccore/DQ333351","NCBI Nucleotide")</f>
        <v>NCBI Nucleotide</v>
      </c>
    </row>
    <row r="15815" spans="1:27" x14ac:dyDescent="0.35">
      <c r="A15815">
        <v>1004902</v>
      </c>
      <c r="B15815">
        <v>14126</v>
      </c>
      <c r="C15815">
        <v>1</v>
      </c>
      <c r="J15815" t="s">
        <v>36738</v>
      </c>
      <c r="L15815" t="s">
        <v>36766</v>
      </c>
      <c r="N15815" t="s">
        <v>36767</v>
      </c>
      <c r="P15815" t="s">
        <v>37007</v>
      </c>
      <c r="R15815" s="26" t="str">
        <f>HYPERLINK("https://ictv.global/taxonomy/taxondetails?taxnode_id=202302702","Betabaculovirus clanachoretae")</f>
        <v>Betabaculovirus clanachoretae</v>
      </c>
      <c r="S15815" t="s">
        <v>30</v>
      </c>
      <c r="T15815" t="s">
        <v>37028</v>
      </c>
      <c r="U15815" t="s">
        <v>37029</v>
      </c>
      <c r="V15815" t="s">
        <v>37030</v>
      </c>
      <c r="W15815" t="s">
        <v>37031</v>
      </c>
      <c r="X15815" t="s">
        <v>42</v>
      </c>
      <c r="Y15815" t="s">
        <v>36</v>
      </c>
      <c r="Z15815" t="s">
        <v>10790</v>
      </c>
      <c r="AA15815" s="22" t="str">
        <f>HYPERLINK("https://www.ncbi.nlm.nih.gov/nuccore/HQ116624","NCBI Nucleotide")</f>
        <v>NCBI Nucleotide</v>
      </c>
    </row>
    <row r="15816" spans="1:27" x14ac:dyDescent="0.35">
      <c r="A15816">
        <v>1004903</v>
      </c>
      <c r="B15816">
        <v>14127</v>
      </c>
      <c r="C15816">
        <v>1</v>
      </c>
      <c r="J15816" t="s">
        <v>36738</v>
      </c>
      <c r="L15816" t="s">
        <v>36766</v>
      </c>
      <c r="N15816" t="s">
        <v>36767</v>
      </c>
      <c r="P15816" t="s">
        <v>37007</v>
      </c>
      <c r="R15816" s="26" t="str">
        <f>HYPERLINK("https://ictv.global/taxonomy/taxondetails?taxnode_id=202302703","Betabaculovirus clanastomosis")</f>
        <v>Betabaculovirus clanastomosis</v>
      </c>
      <c r="S15816" t="s">
        <v>30</v>
      </c>
      <c r="T15816" t="s">
        <v>37032</v>
      </c>
      <c r="U15816" t="s">
        <v>37033</v>
      </c>
      <c r="V15816" t="s">
        <v>18954</v>
      </c>
      <c r="W15816" t="s">
        <v>37034</v>
      </c>
      <c r="X15816" t="s">
        <v>42</v>
      </c>
      <c r="Y15816" t="s">
        <v>36</v>
      </c>
      <c r="Z15816" t="s">
        <v>10790</v>
      </c>
      <c r="AA15816" s="22" t="str">
        <f>HYPERLINK("https://www.ncbi.nlm.nih.gov/nuccore/KC179784","NCBI Nucleotide")</f>
        <v>NCBI Nucleotide</v>
      </c>
    </row>
    <row r="15817" spans="1:27" x14ac:dyDescent="0.35">
      <c r="A15817">
        <v>1004904</v>
      </c>
      <c r="B15817">
        <v>14128</v>
      </c>
      <c r="C15817">
        <v>1</v>
      </c>
      <c r="J15817" t="s">
        <v>36738</v>
      </c>
      <c r="L15817" t="s">
        <v>36766</v>
      </c>
      <c r="N15817" t="s">
        <v>36767</v>
      </c>
      <c r="P15817" t="s">
        <v>37007</v>
      </c>
      <c r="R15817" s="26" t="str">
        <f>HYPERLINK("https://ictv.global/taxonomy/taxondetails?taxnode_id=202305756","Betabaculovirus cnamedinalis")</f>
        <v>Betabaculovirus cnamedinalis</v>
      </c>
      <c r="S15817" t="s">
        <v>30</v>
      </c>
      <c r="T15817" t="s">
        <v>37035</v>
      </c>
      <c r="U15817" t="s">
        <v>37036</v>
      </c>
      <c r="V15817" t="s">
        <v>37037</v>
      </c>
      <c r="W15817" t="s">
        <v>37038</v>
      </c>
      <c r="X15817" t="s">
        <v>42</v>
      </c>
      <c r="Y15817" t="s">
        <v>36</v>
      </c>
      <c r="Z15817" t="s">
        <v>10790</v>
      </c>
      <c r="AA15817" s="22" t="str">
        <f>HYPERLINK("https://www.ncbi.nlm.nih.gov/nuccore/KU593505","NCBI Nucleotide")</f>
        <v>NCBI Nucleotide</v>
      </c>
    </row>
    <row r="15818" spans="1:27" x14ac:dyDescent="0.35">
      <c r="A15818">
        <v>1004905</v>
      </c>
      <c r="B15818">
        <v>14129</v>
      </c>
      <c r="C15818">
        <v>1</v>
      </c>
      <c r="J15818" t="s">
        <v>36738</v>
      </c>
      <c r="L15818" t="s">
        <v>36766</v>
      </c>
      <c r="N15818" t="s">
        <v>36767</v>
      </c>
      <c r="P15818" t="s">
        <v>37007</v>
      </c>
      <c r="R15818" s="26" t="str">
        <f>HYPERLINK("https://ictv.global/taxonomy/taxondetails?taxnode_id=202302705","Betabaculovirus cryleucotretae")</f>
        <v>Betabaculovirus cryleucotretae</v>
      </c>
      <c r="S15818" t="s">
        <v>30</v>
      </c>
      <c r="T15818" t="s">
        <v>37039</v>
      </c>
      <c r="U15818" t="s">
        <v>37040</v>
      </c>
      <c r="V15818" t="s">
        <v>18446</v>
      </c>
      <c r="W15818" t="s">
        <v>37041</v>
      </c>
      <c r="X15818" t="s">
        <v>42</v>
      </c>
      <c r="Y15818" t="s">
        <v>36</v>
      </c>
      <c r="Z15818" t="s">
        <v>10790</v>
      </c>
      <c r="AA15818" s="22" t="str">
        <f>HYPERLINK("https://www.ncbi.nlm.nih.gov/nuccore/AY229987","NCBI Nucleotide")</f>
        <v>NCBI Nucleotide</v>
      </c>
    </row>
    <row r="15819" spans="1:27" x14ac:dyDescent="0.35">
      <c r="A15819">
        <v>1004906</v>
      </c>
      <c r="B15819">
        <v>14130</v>
      </c>
      <c r="C15819">
        <v>1</v>
      </c>
      <c r="J15819" t="s">
        <v>36738</v>
      </c>
      <c r="L15819" t="s">
        <v>36766</v>
      </c>
      <c r="N15819" t="s">
        <v>36767</v>
      </c>
      <c r="P15819" t="s">
        <v>37007</v>
      </c>
      <c r="R15819" s="26" t="str">
        <f>HYPERLINK("https://ictv.global/taxonomy/taxondetails?taxnode_id=202302706","Betabaculovirus cypomonellae")</f>
        <v>Betabaculovirus cypomonellae</v>
      </c>
      <c r="S15819" t="s">
        <v>30</v>
      </c>
      <c r="T15819" t="s">
        <v>37042</v>
      </c>
      <c r="U15819" t="s">
        <v>37043</v>
      </c>
      <c r="V15819" t="s">
        <v>37044</v>
      </c>
      <c r="W15819" t="s">
        <v>37045</v>
      </c>
      <c r="X15819" t="s">
        <v>42</v>
      </c>
      <c r="Y15819" t="s">
        <v>36</v>
      </c>
      <c r="Z15819" t="s">
        <v>10790</v>
      </c>
      <c r="AA15819" s="22" t="str">
        <f>HYPERLINK("https://www.ncbi.nlm.nih.gov/nuccore/U53466","NCBI Nucleotide")</f>
        <v>NCBI Nucleotide</v>
      </c>
    </row>
    <row r="15820" spans="1:27" x14ac:dyDescent="0.35">
      <c r="A15820">
        <v>1004907</v>
      </c>
      <c r="B15820">
        <v>14131</v>
      </c>
      <c r="C15820">
        <v>1</v>
      </c>
      <c r="J15820" t="s">
        <v>36738</v>
      </c>
      <c r="L15820" t="s">
        <v>36766</v>
      </c>
      <c r="N15820" t="s">
        <v>36767</v>
      </c>
      <c r="P15820" t="s">
        <v>37007</v>
      </c>
      <c r="R15820" s="26" t="str">
        <f>HYPERLINK("https://ictv.global/taxonomy/taxondetails?taxnode_id=202302707","Betabaculovirus disaccharalis")</f>
        <v>Betabaculovirus disaccharalis</v>
      </c>
      <c r="S15820" t="s">
        <v>30</v>
      </c>
      <c r="T15820" t="s">
        <v>37046</v>
      </c>
      <c r="U15820" t="s">
        <v>37047</v>
      </c>
      <c r="V15820" t="s">
        <v>37048</v>
      </c>
      <c r="W15820" t="s">
        <v>37049</v>
      </c>
      <c r="X15820" t="s">
        <v>42</v>
      </c>
      <c r="Y15820" t="s">
        <v>36</v>
      </c>
      <c r="Z15820" t="s">
        <v>10790</v>
      </c>
      <c r="AA15820" s="22" t="str">
        <f>HYPERLINK("https://www.ncbi.nlm.nih.gov/nuccore/KP296186","NCBI Nucleotide")</f>
        <v>NCBI Nucleotide</v>
      </c>
    </row>
    <row r="15821" spans="1:27" x14ac:dyDescent="0.35">
      <c r="A15821">
        <v>1004908</v>
      </c>
      <c r="B15821">
        <v>14132</v>
      </c>
      <c r="C15821">
        <v>1</v>
      </c>
      <c r="J15821" t="s">
        <v>36738</v>
      </c>
      <c r="L15821" t="s">
        <v>36766</v>
      </c>
      <c r="N15821" t="s">
        <v>36767</v>
      </c>
      <c r="P15821" t="s">
        <v>37007</v>
      </c>
      <c r="R15821" s="26" t="str">
        <f>HYPERLINK("https://ictv.global/taxonomy/taxondetails?taxnode_id=202302708","Betabaculovirus epaporemae")</f>
        <v>Betabaculovirus epaporemae</v>
      </c>
      <c r="S15821" t="s">
        <v>30</v>
      </c>
      <c r="T15821" t="s">
        <v>37050</v>
      </c>
      <c r="U15821" t="s">
        <v>37051</v>
      </c>
      <c r="W15821" t="s">
        <v>37052</v>
      </c>
      <c r="X15821" t="s">
        <v>42</v>
      </c>
      <c r="Y15821" t="s">
        <v>36</v>
      </c>
      <c r="Z15821" t="s">
        <v>10790</v>
      </c>
      <c r="AA15821" s="22" t="str">
        <f>HYPERLINK("https://www.ncbi.nlm.nih.gov/nuccore/JN408834","NCBI Nucleotide")</f>
        <v>NCBI Nucleotide</v>
      </c>
    </row>
    <row r="15822" spans="1:27" x14ac:dyDescent="0.35">
      <c r="A15822">
        <v>1004909</v>
      </c>
      <c r="B15822">
        <v>14133</v>
      </c>
      <c r="C15822">
        <v>1</v>
      </c>
      <c r="J15822" t="s">
        <v>36738</v>
      </c>
      <c r="L15822" t="s">
        <v>36766</v>
      </c>
      <c r="N15822" t="s">
        <v>36767</v>
      </c>
      <c r="P15822" t="s">
        <v>37007</v>
      </c>
      <c r="R15822" s="26" t="str">
        <f>HYPERLINK("https://ictv.global/taxonomy/taxondetails?taxnode_id=202302709","Betabaculovirus erellonis")</f>
        <v>Betabaculovirus erellonis</v>
      </c>
      <c r="S15822" t="s">
        <v>30</v>
      </c>
      <c r="T15822" t="s">
        <v>37053</v>
      </c>
      <c r="U15822" t="s">
        <v>37054</v>
      </c>
      <c r="V15822" t="s">
        <v>37055</v>
      </c>
      <c r="W15822" t="s">
        <v>37056</v>
      </c>
      <c r="X15822" t="s">
        <v>42</v>
      </c>
      <c r="Y15822" t="s">
        <v>36</v>
      </c>
      <c r="Z15822" t="s">
        <v>10790</v>
      </c>
      <c r="AA15822" s="22" t="str">
        <f>HYPERLINK("https://www.ncbi.nlm.nih.gov/nuccore/KJ406702","NCBI Nucleotide")</f>
        <v>NCBI Nucleotide</v>
      </c>
    </row>
    <row r="15823" spans="1:27" x14ac:dyDescent="0.35">
      <c r="A15823">
        <v>1004910</v>
      </c>
      <c r="B15823">
        <v>14134</v>
      </c>
      <c r="C15823">
        <v>1</v>
      </c>
      <c r="J15823" t="s">
        <v>36738</v>
      </c>
      <c r="L15823" t="s">
        <v>36766</v>
      </c>
      <c r="N15823" t="s">
        <v>36767</v>
      </c>
      <c r="P15823" t="s">
        <v>37007</v>
      </c>
      <c r="R15823" s="26" t="str">
        <f>HYPERLINK("https://ictv.global/taxonomy/taxondetails?taxnode_id=202302710","Betabaculovirus habrilliantis")</f>
        <v>Betabaculovirus habrilliantis</v>
      </c>
      <c r="S15823" t="s">
        <v>30</v>
      </c>
      <c r="T15823" t="s">
        <v>37057</v>
      </c>
      <c r="U15823" t="s">
        <v>37058</v>
      </c>
      <c r="V15823" t="s">
        <v>37059</v>
      </c>
      <c r="W15823" t="s">
        <v>37060</v>
      </c>
      <c r="X15823" t="s">
        <v>154</v>
      </c>
      <c r="Y15823" t="s">
        <v>36</v>
      </c>
      <c r="Z15823" t="s">
        <v>10790</v>
      </c>
      <c r="AA15823" s="22" t="str">
        <f>HYPERLINK("https://www.ncbi.nlm.nih.gov/nuccore/AF142425","NCBI Nucleotide")</f>
        <v>NCBI Nucleotide</v>
      </c>
    </row>
    <row r="15824" spans="1:27" x14ac:dyDescent="0.35">
      <c r="A15824">
        <v>1004911</v>
      </c>
      <c r="B15824">
        <v>14135</v>
      </c>
      <c r="C15824">
        <v>1</v>
      </c>
      <c r="J15824" t="s">
        <v>36738</v>
      </c>
      <c r="L15824" t="s">
        <v>36766</v>
      </c>
      <c r="N15824" t="s">
        <v>36767</v>
      </c>
      <c r="P15824" t="s">
        <v>37007</v>
      </c>
      <c r="R15824" s="26" t="str">
        <f>HYPERLINK("https://ictv.global/taxonomy/taxondetails?taxnode_id=202302711","Betabaculovirus helarmigerae")</f>
        <v>Betabaculovirus helarmigerae</v>
      </c>
      <c r="S15824" t="s">
        <v>30</v>
      </c>
      <c r="T15824" t="s">
        <v>37061</v>
      </c>
      <c r="U15824" t="s">
        <v>37062</v>
      </c>
      <c r="W15824" t="s">
        <v>37063</v>
      </c>
      <c r="X15824" t="s">
        <v>42</v>
      </c>
      <c r="Y15824" t="s">
        <v>36</v>
      </c>
      <c r="Z15824" t="s">
        <v>10790</v>
      </c>
      <c r="AA15824" s="22" t="str">
        <f>HYPERLINK("https://www.ncbi.nlm.nih.gov/nuccore/EU255577","NCBI Nucleotide")</f>
        <v>NCBI Nucleotide</v>
      </c>
    </row>
    <row r="15825" spans="1:27" x14ac:dyDescent="0.35">
      <c r="A15825">
        <v>1004912</v>
      </c>
      <c r="B15825">
        <v>14136</v>
      </c>
      <c r="C15825">
        <v>1</v>
      </c>
      <c r="J15825" t="s">
        <v>36738</v>
      </c>
      <c r="L15825" t="s">
        <v>36766</v>
      </c>
      <c r="N15825" t="s">
        <v>36767</v>
      </c>
      <c r="P15825" t="s">
        <v>37007</v>
      </c>
      <c r="R15825" s="26" t="str">
        <f>HYPERLINK("https://ictv.global/taxonomy/taxondetails?taxnode_id=202313429","Betabaculovirus hycuneae")</f>
        <v>Betabaculovirus hycuneae</v>
      </c>
      <c r="S15825" t="s">
        <v>30</v>
      </c>
      <c r="T15825" t="s">
        <v>37064</v>
      </c>
      <c r="U15825" t="s">
        <v>37065</v>
      </c>
      <c r="V15825" t="s">
        <v>37066</v>
      </c>
      <c r="W15825" t="s">
        <v>37067</v>
      </c>
      <c r="X15825" t="s">
        <v>42</v>
      </c>
      <c r="Y15825" t="s">
        <v>36</v>
      </c>
      <c r="Z15825" t="s">
        <v>10790</v>
      </c>
      <c r="AA15825" s="22" t="str">
        <f>HYPERLINK("https://www.ncbi.nlm.nih.gov/nuccore/MH923363","NCBI Nucleotide")</f>
        <v>NCBI Nucleotide</v>
      </c>
    </row>
    <row r="15826" spans="1:27" x14ac:dyDescent="0.35">
      <c r="A15826">
        <v>1004913</v>
      </c>
      <c r="B15826">
        <v>14137</v>
      </c>
      <c r="C15826">
        <v>1</v>
      </c>
      <c r="J15826" t="s">
        <v>36738</v>
      </c>
      <c r="L15826" t="s">
        <v>36766</v>
      </c>
      <c r="N15826" t="s">
        <v>36767</v>
      </c>
      <c r="P15826" t="s">
        <v>37007</v>
      </c>
      <c r="R15826" s="26" t="str">
        <f>HYPERLINK("https://ictv.global/taxonomy/taxondetails?taxnode_id=202302712","Betabaculovirus lacoleraceae")</f>
        <v>Betabaculovirus lacoleraceae</v>
      </c>
      <c r="S15826" t="s">
        <v>30</v>
      </c>
      <c r="T15826" t="s">
        <v>37068</v>
      </c>
      <c r="U15826" t="s">
        <v>37069</v>
      </c>
      <c r="V15826" t="s">
        <v>37070</v>
      </c>
      <c r="W15826" t="s">
        <v>37071</v>
      </c>
      <c r="X15826" t="s">
        <v>154</v>
      </c>
      <c r="Y15826" t="s">
        <v>36</v>
      </c>
      <c r="Z15826" t="s">
        <v>10790</v>
      </c>
      <c r="AA15826" s="22" t="str">
        <f>HYPERLINK("https://www.ncbi.nlm.nih.gov/nuccore/Y08294","NCBI Nucleotide")</f>
        <v>NCBI Nucleotide</v>
      </c>
    </row>
    <row r="15827" spans="1:27" x14ac:dyDescent="0.35">
      <c r="A15827">
        <v>1004914</v>
      </c>
      <c r="B15827">
        <v>14138</v>
      </c>
      <c r="C15827">
        <v>1</v>
      </c>
      <c r="J15827" t="s">
        <v>36738</v>
      </c>
      <c r="L15827" t="s">
        <v>36766</v>
      </c>
      <c r="N15827" t="s">
        <v>36767</v>
      </c>
      <c r="P15827" t="s">
        <v>37007</v>
      </c>
      <c r="R15827" s="26" t="str">
        <f>HYPERLINK("https://ictv.global/taxonomy/taxondetails?taxnode_id=202313430","Betabaculovirus maphaseoli")</f>
        <v>Betabaculovirus maphaseoli</v>
      </c>
      <c r="S15827" t="s">
        <v>30</v>
      </c>
      <c r="T15827" t="s">
        <v>37072</v>
      </c>
      <c r="U15827" t="s">
        <v>37073</v>
      </c>
      <c r="V15827" t="s">
        <v>37074</v>
      </c>
      <c r="W15827" t="s">
        <v>37075</v>
      </c>
      <c r="X15827" t="s">
        <v>42</v>
      </c>
      <c r="Y15827" t="s">
        <v>36</v>
      </c>
      <c r="Z15827" t="s">
        <v>10790</v>
      </c>
      <c r="AA15827" s="22" t="str">
        <f>HYPERLINK("https://www.ncbi.nlm.nih.gov/nuccore/MT844067","NCBI Nucleotide")</f>
        <v>NCBI Nucleotide</v>
      </c>
    </row>
    <row r="15828" spans="1:27" x14ac:dyDescent="0.35">
      <c r="A15828">
        <v>1004915</v>
      </c>
      <c r="B15828">
        <v>14139</v>
      </c>
      <c r="C15828">
        <v>1</v>
      </c>
      <c r="J15828" t="s">
        <v>36738</v>
      </c>
      <c r="L15828" t="s">
        <v>36766</v>
      </c>
      <c r="N15828" t="s">
        <v>36767</v>
      </c>
      <c r="P15828" t="s">
        <v>37007</v>
      </c>
      <c r="R15828" s="26" t="str">
        <f>HYPERLINK("https://ictv.global/taxonomy/taxondetails?taxnode_id=202306533","Betabaculovirus molatipedis")</f>
        <v>Betabaculovirus molatipedis</v>
      </c>
      <c r="S15828" t="s">
        <v>30</v>
      </c>
      <c r="T15828" t="s">
        <v>37076</v>
      </c>
      <c r="U15828" t="s">
        <v>37077</v>
      </c>
      <c r="V15828" t="s">
        <v>37002</v>
      </c>
      <c r="W15828" t="s">
        <v>37078</v>
      </c>
      <c r="X15828" t="s">
        <v>42</v>
      </c>
      <c r="Y15828" t="s">
        <v>36</v>
      </c>
      <c r="Z15828" t="s">
        <v>10790</v>
      </c>
      <c r="AA15828" s="22" t="str">
        <f>HYPERLINK("https://www.ncbi.nlm.nih.gov/nuccore/KR011718","NCBI Nucleotide")</f>
        <v>NCBI Nucleotide</v>
      </c>
    </row>
    <row r="15829" spans="1:27" x14ac:dyDescent="0.35">
      <c r="A15829">
        <v>1004916</v>
      </c>
      <c r="B15829">
        <v>14140</v>
      </c>
      <c r="C15829">
        <v>1</v>
      </c>
      <c r="J15829" t="s">
        <v>36738</v>
      </c>
      <c r="L15829" t="s">
        <v>36766</v>
      </c>
      <c r="N15829" t="s">
        <v>36767</v>
      </c>
      <c r="P15829" t="s">
        <v>37007</v>
      </c>
      <c r="R15829" s="26" t="str">
        <f>HYPERLINK("https://ictv.global/taxonomy/taxondetails?taxnode_id=202302716","Betabaculovirus myunipunctae")</f>
        <v>Betabaculovirus myunipunctae</v>
      </c>
      <c r="S15829" t="s">
        <v>30</v>
      </c>
      <c r="T15829" t="s">
        <v>37079</v>
      </c>
      <c r="U15829" t="s">
        <v>37080</v>
      </c>
      <c r="V15829" t="s">
        <v>37081</v>
      </c>
      <c r="W15829" t="s">
        <v>37082</v>
      </c>
      <c r="X15829" t="s">
        <v>42</v>
      </c>
      <c r="Y15829" t="s">
        <v>36</v>
      </c>
      <c r="Z15829" t="s">
        <v>10790</v>
      </c>
      <c r="AA15829" s="22" t="str">
        <f>HYPERLINK("https://www.ncbi.nlm.nih.gov/nuccore/EU678671","NCBI Nucleotide")</f>
        <v>NCBI Nucleotide</v>
      </c>
    </row>
    <row r="15830" spans="1:27" x14ac:dyDescent="0.35">
      <c r="A15830">
        <v>1004917</v>
      </c>
      <c r="B15830">
        <v>14141</v>
      </c>
      <c r="C15830">
        <v>1</v>
      </c>
      <c r="J15830" t="s">
        <v>36738</v>
      </c>
      <c r="L15830" t="s">
        <v>36766</v>
      </c>
      <c r="N15830" t="s">
        <v>36767</v>
      </c>
      <c r="P15830" t="s">
        <v>37007</v>
      </c>
      <c r="R15830" s="26" t="str">
        <f>HYPERLINK("https://ictv.global/taxonomy/taxondetails?taxnode_id=202302713","Betabaculovirus phoperculellae")</f>
        <v>Betabaculovirus phoperculellae</v>
      </c>
      <c r="S15830" t="s">
        <v>30</v>
      </c>
      <c r="T15830" t="s">
        <v>37083</v>
      </c>
      <c r="U15830" t="s">
        <v>37084</v>
      </c>
      <c r="V15830" t="s">
        <v>28659</v>
      </c>
      <c r="W15830" t="s">
        <v>37085</v>
      </c>
      <c r="X15830" t="s">
        <v>42</v>
      </c>
      <c r="Y15830" t="s">
        <v>36</v>
      </c>
      <c r="Z15830" t="s">
        <v>10790</v>
      </c>
      <c r="AA15830" s="22" t="str">
        <f>HYPERLINK("https://www.ncbi.nlm.nih.gov/nuccore/AF499596","NCBI Nucleotide")</f>
        <v>NCBI Nucleotide</v>
      </c>
    </row>
    <row r="15831" spans="1:27" x14ac:dyDescent="0.35">
      <c r="A15831">
        <v>1004918</v>
      </c>
      <c r="B15831">
        <v>14142</v>
      </c>
      <c r="C15831">
        <v>1</v>
      </c>
      <c r="J15831" t="s">
        <v>36738</v>
      </c>
      <c r="L15831" t="s">
        <v>36766</v>
      </c>
      <c r="N15831" t="s">
        <v>36767</v>
      </c>
      <c r="P15831" t="s">
        <v>37007</v>
      </c>
      <c r="R15831" s="26" t="str">
        <f>HYPERLINK("https://ictv.global/taxonomy/taxondetails?taxnode_id=202302714","Betabaculovirus plinterpunctellae")</f>
        <v>Betabaculovirus plinterpunctellae</v>
      </c>
      <c r="S15831" t="s">
        <v>30</v>
      </c>
      <c r="T15831" t="s">
        <v>37086</v>
      </c>
      <c r="U15831" t="s">
        <v>37087</v>
      </c>
      <c r="V15831" t="s">
        <v>25279</v>
      </c>
      <c r="W15831" t="s">
        <v>37088</v>
      </c>
      <c r="X15831" t="s">
        <v>42</v>
      </c>
      <c r="Y15831" t="s">
        <v>36</v>
      </c>
      <c r="Z15831" t="s">
        <v>10790</v>
      </c>
      <c r="AA15831" s="22" t="str">
        <f>HYPERLINK("https://www.ncbi.nlm.nih.gov/nuccore/KX151395","NCBI Nucleotide")</f>
        <v>NCBI Nucleotide</v>
      </c>
    </row>
    <row r="15832" spans="1:27" x14ac:dyDescent="0.35">
      <c r="A15832">
        <v>1004919</v>
      </c>
      <c r="B15832">
        <v>14143</v>
      </c>
      <c r="C15832">
        <v>1</v>
      </c>
      <c r="J15832" t="s">
        <v>36738</v>
      </c>
      <c r="L15832" t="s">
        <v>36766</v>
      </c>
      <c r="N15832" t="s">
        <v>36767</v>
      </c>
      <c r="P15832" t="s">
        <v>37007</v>
      </c>
      <c r="R15832" s="26" t="str">
        <f>HYPERLINK("https://ictv.global/taxonomy/taxondetails?taxnode_id=202302715","Betabaculovirus pluxylostellae")</f>
        <v>Betabaculovirus pluxylostellae</v>
      </c>
      <c r="S15832" t="s">
        <v>30</v>
      </c>
      <c r="T15832" t="s">
        <v>37089</v>
      </c>
      <c r="U15832" t="s">
        <v>37090</v>
      </c>
      <c r="V15832" t="s">
        <v>19262</v>
      </c>
      <c r="W15832" t="s">
        <v>37091</v>
      </c>
      <c r="X15832" t="s">
        <v>42</v>
      </c>
      <c r="Y15832" t="s">
        <v>36</v>
      </c>
      <c r="Z15832" t="s">
        <v>10790</v>
      </c>
      <c r="AA15832" s="22" t="str">
        <f>HYPERLINK("https://www.ncbi.nlm.nih.gov/nuccore/AF270937","NCBI Nucleotide")</f>
        <v>NCBI Nucleotide</v>
      </c>
    </row>
    <row r="15833" spans="1:27" x14ac:dyDescent="0.35">
      <c r="A15833">
        <v>1004920</v>
      </c>
      <c r="B15833">
        <v>14144</v>
      </c>
      <c r="C15833">
        <v>1</v>
      </c>
      <c r="J15833" t="s">
        <v>36738</v>
      </c>
      <c r="L15833" t="s">
        <v>36766</v>
      </c>
      <c r="N15833" t="s">
        <v>36767</v>
      </c>
      <c r="P15833" t="s">
        <v>37007</v>
      </c>
      <c r="R15833" s="26" t="str">
        <f>HYPERLINK("https://ictv.global/taxonomy/taxondetails?taxnode_id=202302718","Betabaculovirus spliturae")</f>
        <v>Betabaculovirus spliturae</v>
      </c>
      <c r="S15833" t="s">
        <v>30</v>
      </c>
      <c r="T15833" t="s">
        <v>37092</v>
      </c>
      <c r="U15833" t="s">
        <v>37093</v>
      </c>
      <c r="V15833" t="s">
        <v>19262</v>
      </c>
      <c r="W15833" t="s">
        <v>37094</v>
      </c>
      <c r="X15833" t="s">
        <v>42</v>
      </c>
      <c r="Y15833" t="s">
        <v>36</v>
      </c>
      <c r="Z15833" t="s">
        <v>10790</v>
      </c>
      <c r="AA15833" s="22" t="str">
        <f>HYPERLINK("https://www.ncbi.nlm.nih.gov/nuccore/DQ288858","NCBI Nucleotide")</f>
        <v>NCBI Nucleotide</v>
      </c>
    </row>
    <row r="15834" spans="1:27" x14ac:dyDescent="0.35">
      <c r="A15834">
        <v>1004921</v>
      </c>
      <c r="B15834">
        <v>14145</v>
      </c>
      <c r="C15834">
        <v>1</v>
      </c>
      <c r="J15834" t="s">
        <v>36738</v>
      </c>
      <c r="L15834" t="s">
        <v>36766</v>
      </c>
      <c r="N15834" t="s">
        <v>36767</v>
      </c>
      <c r="P15834" t="s">
        <v>37007</v>
      </c>
      <c r="R15834" s="26" t="str">
        <f>HYPERLINK("https://ictv.global/taxonomy/taxondetails?taxnode_id=202302717","Betabaculovirus spofrugiperdae")</f>
        <v>Betabaculovirus spofrugiperdae</v>
      </c>
      <c r="S15834" t="s">
        <v>30</v>
      </c>
      <c r="T15834" t="s">
        <v>37095</v>
      </c>
      <c r="U15834" t="s">
        <v>37096</v>
      </c>
      <c r="V15834" t="s">
        <v>37097</v>
      </c>
      <c r="W15834" t="s">
        <v>37098</v>
      </c>
      <c r="X15834" t="s">
        <v>42</v>
      </c>
      <c r="Y15834" t="s">
        <v>36</v>
      </c>
      <c r="Z15834" t="s">
        <v>10790</v>
      </c>
      <c r="AA15834" s="22" t="str">
        <f>HYPERLINK("https://www.ncbi.nlm.nih.gov/nuccore/KM371112","NCBI Nucleotide")</f>
        <v>NCBI Nucleotide</v>
      </c>
    </row>
    <row r="15835" spans="1:27" x14ac:dyDescent="0.35">
      <c r="A15835">
        <v>1004922</v>
      </c>
      <c r="B15835">
        <v>14146</v>
      </c>
      <c r="C15835">
        <v>1</v>
      </c>
      <c r="J15835" t="s">
        <v>36738</v>
      </c>
      <c r="L15835" t="s">
        <v>36766</v>
      </c>
      <c r="N15835" t="s">
        <v>36767</v>
      </c>
      <c r="P15835" t="s">
        <v>37007</v>
      </c>
      <c r="R15835" s="26" t="str">
        <f>HYPERLINK("https://ictv.global/taxonomy/taxondetails?taxnode_id=202302719","Betabaculovirus trini")</f>
        <v>Betabaculovirus trini</v>
      </c>
      <c r="S15835" t="s">
        <v>30</v>
      </c>
      <c r="T15835" t="s">
        <v>37099</v>
      </c>
      <c r="U15835" t="s">
        <v>37100</v>
      </c>
      <c r="V15835" t="s">
        <v>37101</v>
      </c>
      <c r="W15835" t="s">
        <v>37102</v>
      </c>
      <c r="X15835" t="s">
        <v>42</v>
      </c>
      <c r="Y15835" t="s">
        <v>36</v>
      </c>
      <c r="Z15835" t="s">
        <v>10790</v>
      </c>
      <c r="AA15835" s="22" t="str">
        <f>HYPERLINK("https://www.ncbi.nlm.nih.gov/nuccore/KU752557","NCBI Nucleotide")</f>
        <v>NCBI Nucleotide</v>
      </c>
    </row>
    <row r="15836" spans="1:27" x14ac:dyDescent="0.35">
      <c r="A15836">
        <v>1004923</v>
      </c>
      <c r="B15836">
        <v>14147</v>
      </c>
      <c r="C15836">
        <v>1</v>
      </c>
      <c r="J15836" t="s">
        <v>36738</v>
      </c>
      <c r="L15836" t="s">
        <v>36766</v>
      </c>
      <c r="N15836" t="s">
        <v>36767</v>
      </c>
      <c r="P15836" t="s">
        <v>37007</v>
      </c>
      <c r="R15836" s="26" t="str">
        <f>HYPERLINK("https://ictv.global/taxonomy/taxondetails?taxnode_id=202302720","Betabaculovirus xecnigri")</f>
        <v>Betabaculovirus xecnigri</v>
      </c>
      <c r="S15836" t="s">
        <v>30</v>
      </c>
      <c r="T15836" t="s">
        <v>37103</v>
      </c>
      <c r="U15836" t="s">
        <v>37104</v>
      </c>
      <c r="V15836" t="s">
        <v>37105</v>
      </c>
      <c r="W15836" t="s">
        <v>37106</v>
      </c>
      <c r="X15836" t="s">
        <v>42</v>
      </c>
      <c r="Y15836" t="s">
        <v>36</v>
      </c>
      <c r="Z15836" t="s">
        <v>10790</v>
      </c>
      <c r="AA15836" s="22" t="str">
        <f>HYPERLINK("https://www.ncbi.nlm.nih.gov/nuccore/AF162221","NCBI Nucleotide")</f>
        <v>NCBI Nucleotide</v>
      </c>
    </row>
    <row r="15837" spans="1:27" x14ac:dyDescent="0.35">
      <c r="A15837">
        <v>1004924</v>
      </c>
      <c r="B15837">
        <v>14148</v>
      </c>
      <c r="C15837">
        <v>1</v>
      </c>
      <c r="J15837" t="s">
        <v>36738</v>
      </c>
      <c r="L15837" t="s">
        <v>36766</v>
      </c>
      <c r="N15837" t="s">
        <v>36767</v>
      </c>
      <c r="P15837" t="s">
        <v>37107</v>
      </c>
      <c r="R15837" s="26" t="str">
        <f>HYPERLINK("https://ictv.global/taxonomy/taxondetails?taxnode_id=202302722","Deltabaculovirus cunigripalpi")</f>
        <v>Deltabaculovirus cunigripalpi</v>
      </c>
      <c r="S15837" t="s">
        <v>30</v>
      </c>
      <c r="T15837" t="s">
        <v>37108</v>
      </c>
      <c r="U15837" t="s">
        <v>37109</v>
      </c>
      <c r="V15837" t="s">
        <v>37110</v>
      </c>
      <c r="W15837" t="s">
        <v>37111</v>
      </c>
      <c r="X15837" t="s">
        <v>42</v>
      </c>
      <c r="Y15837" t="s">
        <v>36</v>
      </c>
      <c r="Z15837" t="s">
        <v>10790</v>
      </c>
      <c r="AA15837" s="22" t="str">
        <f>HYPERLINK("https://www.ncbi.nlm.nih.gov/nuccore/AF403738","NCBI Nucleotide")</f>
        <v>NCBI Nucleotide</v>
      </c>
    </row>
    <row r="15838" spans="1:27" x14ac:dyDescent="0.35">
      <c r="A15838">
        <v>1004925</v>
      </c>
      <c r="B15838">
        <v>14149</v>
      </c>
      <c r="C15838">
        <v>1</v>
      </c>
      <c r="J15838" t="s">
        <v>36738</v>
      </c>
      <c r="L15838" t="s">
        <v>36766</v>
      </c>
      <c r="N15838" t="s">
        <v>36767</v>
      </c>
      <c r="P15838" t="s">
        <v>37112</v>
      </c>
      <c r="R15838" s="26" t="str">
        <f>HYPERLINK("https://ictv.global/taxonomy/taxondetails?taxnode_id=202314027","Gammabaculovirus neabietis")</f>
        <v>Gammabaculovirus neabietis</v>
      </c>
      <c r="S15838" t="s">
        <v>30</v>
      </c>
      <c r="T15838" t="s">
        <v>37113</v>
      </c>
      <c r="U15838" t="s">
        <v>37114</v>
      </c>
      <c r="W15838" t="s">
        <v>37115</v>
      </c>
      <c r="X15838" t="s">
        <v>42</v>
      </c>
      <c r="Y15838" t="s">
        <v>36</v>
      </c>
      <c r="Z15838" t="s">
        <v>10790</v>
      </c>
      <c r="AA15838" s="22" t="str">
        <f>HYPERLINK("https://www.ncbi.nlm.nih.gov/nuccore/DQ317692","NCBI Nucleotide")</f>
        <v>NCBI Nucleotide</v>
      </c>
    </row>
    <row r="15839" spans="1:27" x14ac:dyDescent="0.35">
      <c r="A15839">
        <v>1004926</v>
      </c>
      <c r="B15839">
        <v>14150</v>
      </c>
      <c r="C15839">
        <v>1</v>
      </c>
      <c r="J15839" t="s">
        <v>36738</v>
      </c>
      <c r="L15839" t="s">
        <v>36766</v>
      </c>
      <c r="N15839" t="s">
        <v>36767</v>
      </c>
      <c r="P15839" t="s">
        <v>37112</v>
      </c>
      <c r="R15839" s="26" t="str">
        <f>HYPERLINK("https://ictv.global/taxonomy/taxondetails?taxnode_id=202302724","Gammabaculovirus nelecontei")</f>
        <v>Gammabaculovirus nelecontei</v>
      </c>
      <c r="S15839" t="s">
        <v>30</v>
      </c>
      <c r="T15839" t="s">
        <v>37116</v>
      </c>
      <c r="U15839" t="s">
        <v>37117</v>
      </c>
      <c r="W15839" t="s">
        <v>37118</v>
      </c>
      <c r="X15839" t="s">
        <v>42</v>
      </c>
      <c r="Y15839" t="s">
        <v>36</v>
      </c>
      <c r="Z15839" t="s">
        <v>10790</v>
      </c>
      <c r="AA15839" s="22" t="str">
        <f>HYPERLINK("https://www.ncbi.nlm.nih.gov/nuccore/AY349019","NCBI Nucleotide")</f>
        <v>NCBI Nucleotide</v>
      </c>
    </row>
    <row r="15840" spans="1:27" x14ac:dyDescent="0.35">
      <c r="A15840">
        <v>1004927</v>
      </c>
      <c r="B15840">
        <v>14151</v>
      </c>
      <c r="C15840">
        <v>1</v>
      </c>
      <c r="J15840" t="s">
        <v>36738</v>
      </c>
      <c r="L15840" t="s">
        <v>36766</v>
      </c>
      <c r="N15840" t="s">
        <v>36767</v>
      </c>
      <c r="P15840" t="s">
        <v>37112</v>
      </c>
      <c r="R15840" s="26" t="str">
        <f>HYPERLINK("https://ictv.global/taxonomy/taxondetails?taxnode_id=202302725","Gammabaculovirus nesertiferis")</f>
        <v>Gammabaculovirus nesertiferis</v>
      </c>
      <c r="S15840" t="s">
        <v>30</v>
      </c>
      <c r="T15840" t="s">
        <v>37119</v>
      </c>
      <c r="U15840" t="s">
        <v>37120</v>
      </c>
      <c r="W15840" t="s">
        <v>37121</v>
      </c>
      <c r="X15840" t="s">
        <v>42</v>
      </c>
      <c r="Y15840" t="s">
        <v>36</v>
      </c>
      <c r="Z15840" t="s">
        <v>10790</v>
      </c>
      <c r="AA15840" s="22" t="str">
        <f>HYPERLINK("https://www.ncbi.nlm.nih.gov/nuccore/AY430810","NCBI Nucleotide")</f>
        <v>NCBI Nucleotide</v>
      </c>
    </row>
    <row r="15841" spans="1:27" x14ac:dyDescent="0.35">
      <c r="A15841">
        <v>1004928</v>
      </c>
      <c r="B15841">
        <v>14152</v>
      </c>
      <c r="C15841">
        <v>1</v>
      </c>
      <c r="J15841" t="s">
        <v>36738</v>
      </c>
      <c r="L15841" t="s">
        <v>36766</v>
      </c>
      <c r="N15841" t="s">
        <v>37122</v>
      </c>
      <c r="P15841" t="s">
        <v>37123</v>
      </c>
      <c r="R15841" s="26" t="str">
        <f>HYPERLINK("https://ictv.global/taxonomy/taxondetails?taxnode_id=202303681","Glossinavirus glopallidipedis")</f>
        <v>Glossinavirus glopallidipedis</v>
      </c>
      <c r="S15841" t="s">
        <v>30</v>
      </c>
      <c r="T15841" t="s">
        <v>37124</v>
      </c>
      <c r="U15841" t="s">
        <v>37125</v>
      </c>
      <c r="W15841" t="s">
        <v>37126</v>
      </c>
      <c r="X15841" t="s">
        <v>42</v>
      </c>
      <c r="Y15841" t="s">
        <v>36</v>
      </c>
      <c r="Z15841" t="s">
        <v>10790</v>
      </c>
      <c r="AA15841" s="22" t="str">
        <f>HYPERLINK("https://www.ncbi.nlm.nih.gov/nuccore/EF568108","NCBI Nucleotide")</f>
        <v>NCBI Nucleotide</v>
      </c>
    </row>
    <row r="15842" spans="1:27" x14ac:dyDescent="0.35">
      <c r="A15842">
        <v>1004929</v>
      </c>
      <c r="B15842">
        <v>14153</v>
      </c>
      <c r="C15842">
        <v>1</v>
      </c>
      <c r="J15842" t="s">
        <v>36738</v>
      </c>
      <c r="L15842" t="s">
        <v>36766</v>
      </c>
      <c r="N15842" t="s">
        <v>37122</v>
      </c>
      <c r="P15842" t="s">
        <v>37127</v>
      </c>
      <c r="R15842" s="26" t="str">
        <f>HYPERLINK("https://ictv.global/taxonomy/taxondetails?taxnode_id=202303683","Muscavirus musdomesticae")</f>
        <v>Muscavirus musdomesticae</v>
      </c>
      <c r="S15842" t="s">
        <v>30</v>
      </c>
      <c r="T15842" t="s">
        <v>37128</v>
      </c>
      <c r="U15842" t="s">
        <v>37129</v>
      </c>
      <c r="W15842" t="s">
        <v>37130</v>
      </c>
      <c r="X15842" t="s">
        <v>42</v>
      </c>
      <c r="Y15842" t="s">
        <v>36</v>
      </c>
      <c r="Z15842" t="s">
        <v>10790</v>
      </c>
      <c r="AA15842" s="22" t="str">
        <f>HYPERLINK("https://www.ncbi.nlm.nih.gov/nuccore/EU522111","NCBI Nucleotide")</f>
        <v>NCBI Nucleotide</v>
      </c>
    </row>
    <row r="15843" spans="1:27" x14ac:dyDescent="0.35">
      <c r="A15843">
        <v>1004930</v>
      </c>
      <c r="B15843">
        <v>14154</v>
      </c>
      <c r="C15843">
        <v>1</v>
      </c>
      <c r="J15843" t="s">
        <v>36738</v>
      </c>
      <c r="L15843" t="s">
        <v>36766</v>
      </c>
      <c r="N15843" t="s">
        <v>37131</v>
      </c>
      <c r="P15843" t="s">
        <v>37132</v>
      </c>
      <c r="R15843" s="26" t="str">
        <f>HYPERLINK("https://ictv.global/taxonomy/taxondetails?taxnode_id=202308928","Alphanudivirus alterdromelanogasteris")</f>
        <v>Alphanudivirus alterdromelanogasteris</v>
      </c>
      <c r="S15843" t="s">
        <v>30</v>
      </c>
      <c r="T15843" t="s">
        <v>37133</v>
      </c>
      <c r="U15843" t="s">
        <v>30263</v>
      </c>
      <c r="V15843" t="s">
        <v>37134</v>
      </c>
      <c r="W15843" t="s">
        <v>37135</v>
      </c>
      <c r="X15843" t="s">
        <v>42</v>
      </c>
      <c r="Y15843" t="s">
        <v>36</v>
      </c>
      <c r="Z15843" t="s">
        <v>10790</v>
      </c>
      <c r="AA15843" s="22" t="str">
        <f>HYPERLINK("https://www.ncbi.nlm.nih.gov/nuccore/KY457233","NCBI Nucleotide")</f>
        <v>NCBI Nucleotide</v>
      </c>
    </row>
    <row r="15844" spans="1:27" x14ac:dyDescent="0.35">
      <c r="A15844">
        <v>1004931</v>
      </c>
      <c r="B15844">
        <v>14155</v>
      </c>
      <c r="C15844">
        <v>1</v>
      </c>
      <c r="J15844" t="s">
        <v>36738</v>
      </c>
      <c r="L15844" t="s">
        <v>36766</v>
      </c>
      <c r="N15844" t="s">
        <v>37131</v>
      </c>
      <c r="P15844" t="s">
        <v>37132</v>
      </c>
      <c r="R15844" s="26" t="str">
        <f>HYPERLINK("https://ictv.global/taxonomy/taxondetails?taxnode_id=202308926","Alphanudivirus droinnubilae")</f>
        <v>Alphanudivirus droinnubilae</v>
      </c>
      <c r="S15844" t="s">
        <v>30</v>
      </c>
      <c r="T15844" t="s">
        <v>37136</v>
      </c>
      <c r="U15844" t="s">
        <v>37137</v>
      </c>
      <c r="V15844" t="s">
        <v>37138</v>
      </c>
      <c r="W15844" t="s">
        <v>37139</v>
      </c>
      <c r="X15844" t="s">
        <v>42</v>
      </c>
      <c r="Y15844" t="s">
        <v>36</v>
      </c>
      <c r="Z15844" t="s">
        <v>10790</v>
      </c>
      <c r="AA15844" s="22" t="str">
        <f>HYPERLINK("https://www.ncbi.nlm.nih.gov/nuccore/MF966379","NCBI Nucleotide")</f>
        <v>NCBI Nucleotide</v>
      </c>
    </row>
    <row r="15845" spans="1:27" x14ac:dyDescent="0.35">
      <c r="A15845">
        <v>1004932</v>
      </c>
      <c r="B15845">
        <v>14156</v>
      </c>
      <c r="C15845">
        <v>1</v>
      </c>
      <c r="J15845" t="s">
        <v>36738</v>
      </c>
      <c r="L15845" t="s">
        <v>36766</v>
      </c>
      <c r="N15845" t="s">
        <v>37131</v>
      </c>
      <c r="P15845" t="s">
        <v>37132</v>
      </c>
      <c r="R15845" s="26" t="str">
        <f>HYPERLINK("https://ictv.global/taxonomy/taxondetails?taxnode_id=202308927","Alphanudivirus dromelanogasteris")</f>
        <v>Alphanudivirus dromelanogasteris</v>
      </c>
      <c r="S15845" t="s">
        <v>30</v>
      </c>
      <c r="T15845" t="s">
        <v>37140</v>
      </c>
      <c r="U15845" t="s">
        <v>37141</v>
      </c>
      <c r="V15845" t="s">
        <v>37142</v>
      </c>
      <c r="W15845" t="s">
        <v>37143</v>
      </c>
      <c r="X15845" t="s">
        <v>42</v>
      </c>
      <c r="Y15845" t="s">
        <v>36</v>
      </c>
      <c r="Z15845" t="s">
        <v>10790</v>
      </c>
      <c r="AA15845" s="22" t="str">
        <f>HYPERLINK("https://www.ncbi.nlm.nih.gov/nuccore/KX130344","NCBI Nucleotide")</f>
        <v>NCBI Nucleotide</v>
      </c>
    </row>
    <row r="15846" spans="1:27" x14ac:dyDescent="0.35">
      <c r="A15846">
        <v>1004933</v>
      </c>
      <c r="B15846">
        <v>14157</v>
      </c>
      <c r="C15846">
        <v>1</v>
      </c>
      <c r="J15846" t="s">
        <v>36738</v>
      </c>
      <c r="L15846" t="s">
        <v>36766</v>
      </c>
      <c r="N15846" t="s">
        <v>37131</v>
      </c>
      <c r="P15846" t="s">
        <v>37132</v>
      </c>
      <c r="R15846" s="26" t="str">
        <f>HYPERLINK("https://ictv.global/taxonomy/taxondetails?taxnode_id=202303939","Alphanudivirus grybimaculati")</f>
        <v>Alphanudivirus grybimaculati</v>
      </c>
      <c r="S15846" t="s">
        <v>30</v>
      </c>
      <c r="T15846" t="s">
        <v>37144</v>
      </c>
      <c r="U15846" t="s">
        <v>37145</v>
      </c>
      <c r="W15846" t="s">
        <v>37146</v>
      </c>
      <c r="X15846" t="s">
        <v>42</v>
      </c>
      <c r="Y15846" t="s">
        <v>36</v>
      </c>
      <c r="Z15846" t="s">
        <v>10790</v>
      </c>
      <c r="AA15846" s="22" t="str">
        <f>HYPERLINK("https://www.ncbi.nlm.nih.gov/nuccore/EF203088","NCBI Nucleotide")</f>
        <v>NCBI Nucleotide</v>
      </c>
    </row>
    <row r="15847" spans="1:27" x14ac:dyDescent="0.35">
      <c r="A15847">
        <v>1004934</v>
      </c>
      <c r="B15847">
        <v>14158</v>
      </c>
      <c r="C15847">
        <v>1</v>
      </c>
      <c r="J15847" t="s">
        <v>36738</v>
      </c>
      <c r="L15847" t="s">
        <v>36766</v>
      </c>
      <c r="N15847" t="s">
        <v>37131</v>
      </c>
      <c r="P15847" t="s">
        <v>37132</v>
      </c>
      <c r="R15847" s="26" t="str">
        <f>HYPERLINK("https://ictv.global/taxonomy/taxondetails?taxnode_id=202303940","Alphanudivirus oryrhinocerotis")</f>
        <v>Alphanudivirus oryrhinocerotis</v>
      </c>
      <c r="S15847" t="s">
        <v>30</v>
      </c>
      <c r="T15847" t="s">
        <v>37147</v>
      </c>
      <c r="U15847" t="s">
        <v>37148</v>
      </c>
      <c r="V15847" t="s">
        <v>37149</v>
      </c>
      <c r="W15847" t="s">
        <v>37150</v>
      </c>
      <c r="X15847" t="s">
        <v>42</v>
      </c>
      <c r="Y15847" t="s">
        <v>36</v>
      </c>
      <c r="Z15847" t="s">
        <v>10790</v>
      </c>
      <c r="AA15847" s="22" t="str">
        <f>HYPERLINK("https://www.ncbi.nlm.nih.gov/nuccore/EU747721","NCBI Nucleotide")</f>
        <v>NCBI Nucleotide</v>
      </c>
    </row>
    <row r="15848" spans="1:27" x14ac:dyDescent="0.35">
      <c r="A15848">
        <v>1004935</v>
      </c>
      <c r="B15848">
        <v>14159</v>
      </c>
      <c r="C15848">
        <v>1</v>
      </c>
      <c r="J15848" t="s">
        <v>36738</v>
      </c>
      <c r="L15848" t="s">
        <v>36766</v>
      </c>
      <c r="N15848" t="s">
        <v>37131</v>
      </c>
      <c r="P15848" t="s">
        <v>37132</v>
      </c>
      <c r="R15848" s="26" t="str">
        <f>HYPERLINK("https://ictv.global/taxonomy/taxondetails?taxnode_id=202308930","Alphanudivirus quartudromelanogasteris")</f>
        <v>Alphanudivirus quartudromelanogasteris</v>
      </c>
      <c r="S15848" t="s">
        <v>30</v>
      </c>
      <c r="T15848" t="s">
        <v>37151</v>
      </c>
      <c r="U15848" t="s">
        <v>30237</v>
      </c>
      <c r="V15848" t="s">
        <v>37152</v>
      </c>
      <c r="W15848" t="s">
        <v>37153</v>
      </c>
      <c r="X15848" t="s">
        <v>42</v>
      </c>
      <c r="Y15848" t="s">
        <v>36</v>
      </c>
      <c r="Z15848" t="s">
        <v>10790</v>
      </c>
      <c r="AA15848" s="22" t="str">
        <f>HYPERLINK("https://www.ncbi.nlm.nih.gov/nuccore/MG969167","NCBI Nucleotide")</f>
        <v>NCBI Nucleotide</v>
      </c>
    </row>
    <row r="15849" spans="1:27" x14ac:dyDescent="0.35">
      <c r="A15849">
        <v>1004936</v>
      </c>
      <c r="B15849">
        <v>14160</v>
      </c>
      <c r="C15849">
        <v>1</v>
      </c>
      <c r="J15849" t="s">
        <v>36738</v>
      </c>
      <c r="L15849" t="s">
        <v>36766</v>
      </c>
      <c r="N15849" t="s">
        <v>37131</v>
      </c>
      <c r="P15849" t="s">
        <v>37132</v>
      </c>
      <c r="R15849" s="26" t="str">
        <f>HYPERLINK("https://ictv.global/taxonomy/taxondetails?taxnode_id=202308929","Alphanudivirus tertidromelanogasteris")</f>
        <v>Alphanudivirus tertidromelanogasteris</v>
      </c>
      <c r="S15849" t="s">
        <v>30</v>
      </c>
      <c r="T15849" t="s">
        <v>37154</v>
      </c>
      <c r="U15849" t="s">
        <v>30283</v>
      </c>
      <c r="V15849" t="s">
        <v>37155</v>
      </c>
      <c r="W15849" t="s">
        <v>37156</v>
      </c>
      <c r="X15849" t="s">
        <v>42</v>
      </c>
      <c r="Y15849" t="s">
        <v>36</v>
      </c>
      <c r="Z15849" t="s">
        <v>10790</v>
      </c>
      <c r="AA15849" s="22" t="str">
        <f>HYPERLINK("https://www.ncbi.nlm.nih.gov/nuccore/KY608910","NCBI Nucleotide")</f>
        <v>NCBI Nucleotide</v>
      </c>
    </row>
    <row r="15850" spans="1:27" x14ac:dyDescent="0.35">
      <c r="A15850">
        <v>1004937</v>
      </c>
      <c r="B15850">
        <v>14161</v>
      </c>
      <c r="C15850">
        <v>1</v>
      </c>
      <c r="J15850" t="s">
        <v>36738</v>
      </c>
      <c r="L15850" t="s">
        <v>36766</v>
      </c>
      <c r="N15850" t="s">
        <v>37131</v>
      </c>
      <c r="P15850" t="s">
        <v>37157</v>
      </c>
      <c r="R15850" s="26" t="str">
        <f>HYPERLINK("https://ictv.global/taxonomy/taxondetails?taxnode_id=202303942","Betanudivirus hezeae")</f>
        <v>Betanudivirus hezeae</v>
      </c>
      <c r="S15850" t="s">
        <v>30</v>
      </c>
      <c r="T15850" t="s">
        <v>37158</v>
      </c>
      <c r="U15850" t="s">
        <v>37159</v>
      </c>
      <c r="W15850" t="s">
        <v>37160</v>
      </c>
      <c r="X15850" t="s">
        <v>42</v>
      </c>
      <c r="Y15850" t="s">
        <v>36</v>
      </c>
      <c r="Z15850" t="s">
        <v>10790</v>
      </c>
      <c r="AA15850" s="22" t="str">
        <f>HYPERLINK("https://www.ncbi.nlm.nih.gov/nuccore/AF451898","NCBI Nucleotide")</f>
        <v>NCBI Nucleotide</v>
      </c>
    </row>
    <row r="15851" spans="1:27" x14ac:dyDescent="0.35">
      <c r="A15851">
        <v>1012177</v>
      </c>
      <c r="B15851">
        <v>14161</v>
      </c>
      <c r="C15851">
        <v>2</v>
      </c>
      <c r="J15851" t="s">
        <v>36738</v>
      </c>
      <c r="L15851" t="s">
        <v>36766</v>
      </c>
      <c r="N15851" t="s">
        <v>37131</v>
      </c>
      <c r="P15851" t="s">
        <v>37157</v>
      </c>
      <c r="R15851" s="26" t="str">
        <f>HYPERLINK("https://ictv.global/taxonomy/taxondetails?taxnode_id=202303942","Betanudivirus hezeae")</f>
        <v>Betanudivirus hezeae</v>
      </c>
      <c r="S15851" t="s">
        <v>8141</v>
      </c>
      <c r="T15851" t="s">
        <v>37161</v>
      </c>
      <c r="U15851" t="s">
        <v>37162</v>
      </c>
      <c r="V15851" t="s">
        <v>37163</v>
      </c>
      <c r="W15851" t="s">
        <v>50369</v>
      </c>
      <c r="X15851" t="s">
        <v>42</v>
      </c>
      <c r="Y15851" t="s">
        <v>36</v>
      </c>
      <c r="Z15851" t="s">
        <v>10790</v>
      </c>
      <c r="AA15851" s="22" t="str">
        <f>HYPERLINK("https://www.ncbi.nlm.nih.gov/nuccore/JN418988","NCBI Nucleotide")</f>
        <v>NCBI Nucleotide</v>
      </c>
    </row>
    <row r="15852" spans="1:27" x14ac:dyDescent="0.35">
      <c r="A15852">
        <v>1004938</v>
      </c>
      <c r="B15852">
        <v>14162</v>
      </c>
      <c r="C15852">
        <v>1</v>
      </c>
      <c r="J15852" t="s">
        <v>36738</v>
      </c>
      <c r="L15852" t="s">
        <v>36766</v>
      </c>
      <c r="N15852" t="s">
        <v>37131</v>
      </c>
      <c r="P15852" t="s">
        <v>37164</v>
      </c>
      <c r="R15852" s="26" t="str">
        <f>HYPERLINK("https://ictv.global/taxonomy/taxondetails?taxnode_id=202308935","Deltanudivirus tipoleraceae")</f>
        <v>Deltanudivirus tipoleraceae</v>
      </c>
      <c r="S15852" t="s">
        <v>30</v>
      </c>
      <c r="T15852" t="s">
        <v>37165</v>
      </c>
      <c r="U15852" t="s">
        <v>37166</v>
      </c>
      <c r="V15852">
        <v>35</v>
      </c>
      <c r="W15852" t="s">
        <v>37167</v>
      </c>
      <c r="X15852" t="s">
        <v>42</v>
      </c>
      <c r="Y15852" t="s">
        <v>36</v>
      </c>
      <c r="Z15852" t="s">
        <v>10790</v>
      </c>
      <c r="AA15852" s="22" t="str">
        <f>HYPERLINK("https://www.ncbi.nlm.nih.gov/nuccore/KM610234","NCBI Nucleotide")</f>
        <v>NCBI Nucleotide</v>
      </c>
    </row>
    <row r="15853" spans="1:27" x14ac:dyDescent="0.35">
      <c r="A15853">
        <v>1004939</v>
      </c>
      <c r="B15853">
        <v>14163</v>
      </c>
      <c r="C15853">
        <v>1</v>
      </c>
      <c r="J15853" t="s">
        <v>36738</v>
      </c>
      <c r="L15853" t="s">
        <v>36766</v>
      </c>
      <c r="N15853" t="s">
        <v>37131</v>
      </c>
      <c r="P15853" t="s">
        <v>37168</v>
      </c>
      <c r="R15853" s="26" t="str">
        <f>HYPERLINK("https://ictv.global/taxonomy/taxondetails?taxnode_id=202313432","Gammanudivirus cameanadis")</f>
        <v>Gammanudivirus cameanadis</v>
      </c>
      <c r="S15853" t="s">
        <v>30</v>
      </c>
      <c r="T15853" t="s">
        <v>37169</v>
      </c>
      <c r="U15853" t="s">
        <v>37170</v>
      </c>
      <c r="W15853" t="s">
        <v>37171</v>
      </c>
      <c r="X15853" t="s">
        <v>42</v>
      </c>
      <c r="Y15853" t="s">
        <v>36</v>
      </c>
      <c r="Z15853" t="s">
        <v>10790</v>
      </c>
      <c r="AA15853" s="22" t="str">
        <f>HYPERLINK("https://www.ncbi.nlm.nih.gov/nuccore/MZ311578","NCBI Nucleotide")</f>
        <v>NCBI Nucleotide</v>
      </c>
    </row>
    <row r="15854" spans="1:27" x14ac:dyDescent="0.35">
      <c r="A15854">
        <v>1004940</v>
      </c>
      <c r="B15854">
        <v>14164</v>
      </c>
      <c r="C15854">
        <v>1</v>
      </c>
      <c r="J15854" t="s">
        <v>36738</v>
      </c>
      <c r="L15854" t="s">
        <v>36766</v>
      </c>
      <c r="N15854" t="s">
        <v>37131</v>
      </c>
      <c r="P15854" t="s">
        <v>37168</v>
      </c>
      <c r="R15854" s="26" t="str">
        <f>HYPERLINK("https://ictv.global/taxonomy/taxondetails?taxnode_id=202313431","Gammanudivirus cracrangonis")</f>
        <v>Gammanudivirus cracrangonis</v>
      </c>
      <c r="S15854" t="s">
        <v>30</v>
      </c>
      <c r="T15854" t="s">
        <v>37172</v>
      </c>
      <c r="U15854" t="s">
        <v>37173</v>
      </c>
      <c r="W15854" t="s">
        <v>37174</v>
      </c>
      <c r="X15854" t="s">
        <v>42</v>
      </c>
      <c r="Y15854" t="s">
        <v>36</v>
      </c>
      <c r="Z15854" t="s">
        <v>10790</v>
      </c>
      <c r="AA15854" s="22" t="str">
        <f>HYPERLINK("https://www.ncbi.nlm.nih.gov/nuccore/MZ311577","NCBI Nucleotide")</f>
        <v>NCBI Nucleotide</v>
      </c>
    </row>
    <row r="15855" spans="1:27" x14ac:dyDescent="0.35">
      <c r="A15855">
        <v>1004941</v>
      </c>
      <c r="B15855">
        <v>14165</v>
      </c>
      <c r="C15855">
        <v>1</v>
      </c>
      <c r="J15855" t="s">
        <v>36738</v>
      </c>
      <c r="L15855" t="s">
        <v>36766</v>
      </c>
      <c r="N15855" t="s">
        <v>37131</v>
      </c>
      <c r="P15855" t="s">
        <v>37168</v>
      </c>
      <c r="R15855" s="26" t="str">
        <f>HYPERLINK("https://ictv.global/taxonomy/taxondetails?taxnode_id=202308932","Gammanudivirus hogammari")</f>
        <v>Gammanudivirus hogammari</v>
      </c>
      <c r="S15855" t="s">
        <v>30</v>
      </c>
      <c r="T15855" t="s">
        <v>37175</v>
      </c>
      <c r="U15855" t="s">
        <v>37176</v>
      </c>
      <c r="V15855" t="s">
        <v>37177</v>
      </c>
      <c r="W15855" t="s">
        <v>37178</v>
      </c>
      <c r="X15855" t="s">
        <v>42</v>
      </c>
      <c r="Y15855" t="s">
        <v>36</v>
      </c>
      <c r="Z15855" t="s">
        <v>10790</v>
      </c>
      <c r="AA15855" s="22" t="str">
        <f>HYPERLINK("https://www.ncbi.nlm.nih.gov/nuccore/MK439999","NCBI Nucleotide")</f>
        <v>NCBI Nucleotide</v>
      </c>
    </row>
    <row r="15856" spans="1:27" x14ac:dyDescent="0.35">
      <c r="A15856">
        <v>1004942</v>
      </c>
      <c r="B15856">
        <v>14166</v>
      </c>
      <c r="C15856">
        <v>1</v>
      </c>
      <c r="J15856" t="s">
        <v>36738</v>
      </c>
      <c r="L15856" t="s">
        <v>36766</v>
      </c>
      <c r="N15856" t="s">
        <v>37131</v>
      </c>
      <c r="P15856" t="s">
        <v>37168</v>
      </c>
      <c r="R15856" s="26" t="str">
        <f>HYPERLINK("https://ictv.global/taxonomy/taxondetails?taxnode_id=202308933","Gammanudivirus pemonodonis")</f>
        <v>Gammanudivirus pemonodonis</v>
      </c>
      <c r="S15856" t="s">
        <v>30</v>
      </c>
      <c r="T15856" t="s">
        <v>37179</v>
      </c>
      <c r="U15856" t="s">
        <v>37180</v>
      </c>
      <c r="V15856" t="s">
        <v>37181</v>
      </c>
      <c r="W15856" t="s">
        <v>37182</v>
      </c>
      <c r="X15856" t="s">
        <v>42</v>
      </c>
      <c r="Y15856" t="s">
        <v>36</v>
      </c>
      <c r="Z15856" t="s">
        <v>10790</v>
      </c>
      <c r="AA15856" s="22" t="str">
        <f>HYPERLINK("https://www.ncbi.nlm.nih.gov/nuccore/KJ184318","NCBI Nucleotide")</f>
        <v>NCBI Nucleotide</v>
      </c>
    </row>
    <row r="15857" spans="1:27" x14ac:dyDescent="0.35">
      <c r="A15857">
        <v>1004943</v>
      </c>
      <c r="B15857">
        <v>14167</v>
      </c>
      <c r="C15857">
        <v>1</v>
      </c>
      <c r="J15857" t="s">
        <v>36738</v>
      </c>
      <c r="N15857" t="s">
        <v>36739</v>
      </c>
      <c r="P15857" t="s">
        <v>36740</v>
      </c>
      <c r="R15857" s="26" t="str">
        <f t="shared" ref="R15857:R15869" si="83">HYPERLINK("https://ictv.global/taxonomy/taxondetails?taxnode_id=202303922","White spot syndrome virus")</f>
        <v>White spot syndrome virus</v>
      </c>
      <c r="S15857" t="s">
        <v>30</v>
      </c>
      <c r="T15857" t="s">
        <v>36741</v>
      </c>
      <c r="U15857" t="s">
        <v>36742</v>
      </c>
      <c r="V15857" t="s">
        <v>36743</v>
      </c>
      <c r="W15857" t="s">
        <v>36744</v>
      </c>
      <c r="X15857" t="s">
        <v>42</v>
      </c>
      <c r="Y15857" t="s">
        <v>36</v>
      </c>
      <c r="Z15857" t="s">
        <v>10790</v>
      </c>
      <c r="AA15857" s="22" t="str">
        <f>HYPERLINK("https://www.ncbi.nlm.nih.gov/nuccore/AF332093","NCBI Nucleotide")</f>
        <v>NCBI Nucleotide</v>
      </c>
    </row>
    <row r="15858" spans="1:27" x14ac:dyDescent="0.35">
      <c r="A15858">
        <v>1012178</v>
      </c>
      <c r="B15858">
        <v>14167</v>
      </c>
      <c r="C15858">
        <v>2</v>
      </c>
      <c r="J15858" t="s">
        <v>36738</v>
      </c>
      <c r="N15858" t="s">
        <v>36739</v>
      </c>
      <c r="P15858" t="s">
        <v>36740</v>
      </c>
      <c r="R15858" s="26" t="str">
        <f t="shared" si="83"/>
        <v>White spot syndrome virus</v>
      </c>
      <c r="S15858" t="s">
        <v>8141</v>
      </c>
      <c r="T15858" t="s">
        <v>36741</v>
      </c>
      <c r="U15858" t="s">
        <v>36745</v>
      </c>
      <c r="V15858" t="s">
        <v>17244</v>
      </c>
      <c r="W15858" t="s">
        <v>50370</v>
      </c>
      <c r="X15858" t="s">
        <v>42</v>
      </c>
      <c r="Y15858" t="s">
        <v>36</v>
      </c>
      <c r="Z15858" t="s">
        <v>10790</v>
      </c>
      <c r="AA15858" s="22" t="str">
        <f>HYPERLINK("https://www.ncbi.nlm.nih.gov/nuccore/AF440570","NCBI Nucleotide")</f>
        <v>NCBI Nucleotide</v>
      </c>
    </row>
    <row r="15859" spans="1:27" x14ac:dyDescent="0.35">
      <c r="A15859">
        <v>1012179</v>
      </c>
      <c r="B15859">
        <v>14167</v>
      </c>
      <c r="C15859">
        <v>3</v>
      </c>
      <c r="J15859" t="s">
        <v>36738</v>
      </c>
      <c r="N15859" t="s">
        <v>36739</v>
      </c>
      <c r="P15859" t="s">
        <v>36740</v>
      </c>
      <c r="R15859" s="26" t="str">
        <f t="shared" si="83"/>
        <v>White spot syndrome virus</v>
      </c>
      <c r="S15859" t="s">
        <v>8141</v>
      </c>
      <c r="T15859" t="s">
        <v>36741</v>
      </c>
      <c r="U15859" t="s">
        <v>36746</v>
      </c>
      <c r="V15859" t="s">
        <v>36747</v>
      </c>
      <c r="W15859" t="s">
        <v>50371</v>
      </c>
      <c r="X15859" t="s">
        <v>42</v>
      </c>
      <c r="Y15859" t="s">
        <v>36</v>
      </c>
      <c r="Z15859" t="s">
        <v>10790</v>
      </c>
      <c r="AA15859" s="22" t="str">
        <f>HYPERLINK("https://www.ncbi.nlm.nih.gov/nuccore/AF369029","NCBI Nucleotide")</f>
        <v>NCBI Nucleotide</v>
      </c>
    </row>
    <row r="15860" spans="1:27" x14ac:dyDescent="0.35">
      <c r="A15860">
        <v>1012180</v>
      </c>
      <c r="B15860">
        <v>14167</v>
      </c>
      <c r="C15860">
        <v>4</v>
      </c>
      <c r="J15860" t="s">
        <v>36738</v>
      </c>
      <c r="N15860" t="s">
        <v>36739</v>
      </c>
      <c r="P15860" t="s">
        <v>36740</v>
      </c>
      <c r="R15860" s="26" t="str">
        <f t="shared" si="83"/>
        <v>White spot syndrome virus</v>
      </c>
      <c r="S15860" t="s">
        <v>8141</v>
      </c>
      <c r="T15860" t="s">
        <v>36741</v>
      </c>
      <c r="U15860" t="s">
        <v>36748</v>
      </c>
      <c r="V15860" t="s">
        <v>36749</v>
      </c>
      <c r="W15860" t="s">
        <v>50372</v>
      </c>
      <c r="X15860" t="s">
        <v>42</v>
      </c>
      <c r="Y15860" t="s">
        <v>36</v>
      </c>
      <c r="Z15860" t="s">
        <v>10790</v>
      </c>
      <c r="AA15860" s="22" t="str">
        <f>HYPERLINK("https://www.ncbi.nlm.nih.gov/nuccore/JX515788","NCBI Nucleotide")</f>
        <v>NCBI Nucleotide</v>
      </c>
    </row>
    <row r="15861" spans="1:27" x14ac:dyDescent="0.35">
      <c r="A15861">
        <v>1012181</v>
      </c>
      <c r="B15861">
        <v>14167</v>
      </c>
      <c r="C15861">
        <v>5</v>
      </c>
      <c r="J15861" t="s">
        <v>36738</v>
      </c>
      <c r="N15861" t="s">
        <v>36739</v>
      </c>
      <c r="P15861" t="s">
        <v>36740</v>
      </c>
      <c r="R15861" s="26" t="str">
        <f t="shared" si="83"/>
        <v>White spot syndrome virus</v>
      </c>
      <c r="S15861" t="s">
        <v>8141</v>
      </c>
      <c r="T15861" t="s">
        <v>36741</v>
      </c>
      <c r="U15861" t="s">
        <v>36750</v>
      </c>
      <c r="V15861" t="s">
        <v>35682</v>
      </c>
      <c r="W15861" t="s">
        <v>50373</v>
      </c>
      <c r="X15861" t="s">
        <v>42</v>
      </c>
      <c r="Y15861" t="s">
        <v>36</v>
      </c>
      <c r="Z15861" t="s">
        <v>10790</v>
      </c>
      <c r="AA15861" s="22" t="str">
        <f>HYPERLINK("https://www.ncbi.nlm.nih.gov/nuccore/KT995472","NCBI Nucleotide")</f>
        <v>NCBI Nucleotide</v>
      </c>
    </row>
    <row r="15862" spans="1:27" x14ac:dyDescent="0.35">
      <c r="A15862">
        <v>1012182</v>
      </c>
      <c r="B15862">
        <v>14167</v>
      </c>
      <c r="C15862">
        <v>6</v>
      </c>
      <c r="J15862" t="s">
        <v>36738</v>
      </c>
      <c r="N15862" t="s">
        <v>36739</v>
      </c>
      <c r="P15862" t="s">
        <v>36740</v>
      </c>
      <c r="R15862" s="26" t="str">
        <f t="shared" si="83"/>
        <v>White spot syndrome virus</v>
      </c>
      <c r="S15862" t="s">
        <v>8141</v>
      </c>
      <c r="T15862" t="s">
        <v>36741</v>
      </c>
      <c r="U15862" t="s">
        <v>36751</v>
      </c>
      <c r="V15862" t="s">
        <v>36752</v>
      </c>
      <c r="W15862" t="s">
        <v>50374</v>
      </c>
      <c r="X15862" t="s">
        <v>42</v>
      </c>
      <c r="Y15862" t="s">
        <v>36</v>
      </c>
      <c r="Z15862" t="s">
        <v>10790</v>
      </c>
      <c r="AA15862" s="22" t="str">
        <f>HYPERLINK("https://www.ncbi.nlm.nih.gov/nuccore/KT995470","NCBI Nucleotide")</f>
        <v>NCBI Nucleotide</v>
      </c>
    </row>
    <row r="15863" spans="1:27" x14ac:dyDescent="0.35">
      <c r="A15863">
        <v>1012183</v>
      </c>
      <c r="B15863">
        <v>14167</v>
      </c>
      <c r="C15863">
        <v>7</v>
      </c>
      <c r="J15863" t="s">
        <v>36738</v>
      </c>
      <c r="N15863" t="s">
        <v>36739</v>
      </c>
      <c r="P15863" t="s">
        <v>36740</v>
      </c>
      <c r="R15863" s="26" t="str">
        <f t="shared" si="83"/>
        <v>White spot syndrome virus</v>
      </c>
      <c r="S15863" t="s">
        <v>8141</v>
      </c>
      <c r="T15863" t="s">
        <v>36741</v>
      </c>
      <c r="U15863" t="s">
        <v>36753</v>
      </c>
      <c r="V15863" t="s">
        <v>36754</v>
      </c>
      <c r="W15863" t="s">
        <v>50375</v>
      </c>
      <c r="X15863" t="s">
        <v>42</v>
      </c>
      <c r="Y15863" t="s">
        <v>36</v>
      </c>
      <c r="Z15863" t="s">
        <v>10790</v>
      </c>
      <c r="AA15863" s="22" t="str">
        <f>HYPERLINK("https://www.ncbi.nlm.nih.gov/nuccore/KT995471","NCBI Nucleotide")</f>
        <v>NCBI Nucleotide</v>
      </c>
    </row>
    <row r="15864" spans="1:27" x14ac:dyDescent="0.35">
      <c r="A15864">
        <v>1012184</v>
      </c>
      <c r="B15864">
        <v>14167</v>
      </c>
      <c r="C15864">
        <v>8</v>
      </c>
      <c r="J15864" t="s">
        <v>36738</v>
      </c>
      <c r="N15864" t="s">
        <v>36739</v>
      </c>
      <c r="P15864" t="s">
        <v>36740</v>
      </c>
      <c r="R15864" s="26" t="str">
        <f t="shared" si="83"/>
        <v>White spot syndrome virus</v>
      </c>
      <c r="S15864" t="s">
        <v>8141</v>
      </c>
      <c r="T15864" t="s">
        <v>36741</v>
      </c>
      <c r="U15864" t="s">
        <v>36755</v>
      </c>
      <c r="V15864" t="s">
        <v>36756</v>
      </c>
      <c r="W15864" t="s">
        <v>50376</v>
      </c>
      <c r="X15864" t="s">
        <v>42</v>
      </c>
      <c r="Y15864" t="s">
        <v>36</v>
      </c>
      <c r="Z15864" t="s">
        <v>10790</v>
      </c>
      <c r="AA15864" s="22" t="str">
        <f>HYPERLINK("https://www.ncbi.nlm.nih.gov/nuccore/KY827813","NCBI Nucleotide")</f>
        <v>NCBI Nucleotide</v>
      </c>
    </row>
    <row r="15865" spans="1:27" x14ac:dyDescent="0.35">
      <c r="A15865">
        <v>1012185</v>
      </c>
      <c r="B15865">
        <v>14167</v>
      </c>
      <c r="C15865">
        <v>9</v>
      </c>
      <c r="J15865" t="s">
        <v>36738</v>
      </c>
      <c r="N15865" t="s">
        <v>36739</v>
      </c>
      <c r="P15865" t="s">
        <v>36740</v>
      </c>
      <c r="R15865" s="26" t="str">
        <f t="shared" si="83"/>
        <v>White spot syndrome virus</v>
      </c>
      <c r="S15865" t="s">
        <v>8141</v>
      </c>
      <c r="T15865" t="s">
        <v>36741</v>
      </c>
      <c r="U15865" t="s">
        <v>36757</v>
      </c>
      <c r="V15865" t="s">
        <v>36758</v>
      </c>
      <c r="W15865" t="s">
        <v>50377</v>
      </c>
      <c r="X15865" t="s">
        <v>42</v>
      </c>
      <c r="Y15865" t="s">
        <v>36</v>
      </c>
      <c r="Z15865" t="s">
        <v>10790</v>
      </c>
      <c r="AA15865" s="22" t="str">
        <f>HYPERLINK("https://www.ncbi.nlm.nih.gov/nuccore/KU216744","NCBI Nucleotide")</f>
        <v>NCBI Nucleotide</v>
      </c>
    </row>
    <row r="15866" spans="1:27" x14ac:dyDescent="0.35">
      <c r="A15866">
        <v>1012186</v>
      </c>
      <c r="B15866">
        <v>14167</v>
      </c>
      <c r="C15866">
        <v>10</v>
      </c>
      <c r="J15866" t="s">
        <v>36738</v>
      </c>
      <c r="N15866" t="s">
        <v>36739</v>
      </c>
      <c r="P15866" t="s">
        <v>36740</v>
      </c>
      <c r="R15866" s="26" t="str">
        <f t="shared" si="83"/>
        <v>White spot syndrome virus</v>
      </c>
      <c r="S15866" t="s">
        <v>8141</v>
      </c>
      <c r="T15866" t="s">
        <v>36741</v>
      </c>
      <c r="U15866" t="s">
        <v>36759</v>
      </c>
      <c r="V15866" t="s">
        <v>36760</v>
      </c>
      <c r="W15866" t="s">
        <v>50378</v>
      </c>
      <c r="X15866" t="s">
        <v>42</v>
      </c>
      <c r="Y15866" t="s">
        <v>36</v>
      </c>
      <c r="Z15866" t="s">
        <v>10790</v>
      </c>
      <c r="AA15866" s="22" t="str">
        <f>HYPERLINK("https://www.ncbi.nlm.nih.gov/nuccore/KX686117","NCBI Nucleotide")</f>
        <v>NCBI Nucleotide</v>
      </c>
    </row>
    <row r="15867" spans="1:27" x14ac:dyDescent="0.35">
      <c r="A15867">
        <v>1012187</v>
      </c>
      <c r="B15867">
        <v>14167</v>
      </c>
      <c r="C15867">
        <v>11</v>
      </c>
      <c r="J15867" t="s">
        <v>36738</v>
      </c>
      <c r="N15867" t="s">
        <v>36739</v>
      </c>
      <c r="P15867" t="s">
        <v>36740</v>
      </c>
      <c r="R15867" s="26" t="str">
        <f t="shared" si="83"/>
        <v>White spot syndrome virus</v>
      </c>
      <c r="S15867" t="s">
        <v>8141</v>
      </c>
      <c r="T15867" t="s">
        <v>36741</v>
      </c>
      <c r="U15867" t="s">
        <v>36761</v>
      </c>
      <c r="V15867" t="s">
        <v>33656</v>
      </c>
      <c r="W15867" t="s">
        <v>50379</v>
      </c>
      <c r="X15867" t="s">
        <v>42</v>
      </c>
      <c r="Y15867" t="s">
        <v>36</v>
      </c>
      <c r="Z15867" t="s">
        <v>10790</v>
      </c>
      <c r="AA15867" s="22" t="str">
        <f>HYPERLINK("https://www.ncbi.nlm.nih.gov/nuccore/MF768985","NCBI Nucleotide")</f>
        <v>NCBI Nucleotide</v>
      </c>
    </row>
    <row r="15868" spans="1:27" x14ac:dyDescent="0.35">
      <c r="A15868">
        <v>1012188</v>
      </c>
      <c r="B15868">
        <v>14167</v>
      </c>
      <c r="C15868">
        <v>12</v>
      </c>
      <c r="J15868" t="s">
        <v>36738</v>
      </c>
      <c r="N15868" t="s">
        <v>36739</v>
      </c>
      <c r="P15868" t="s">
        <v>36740</v>
      </c>
      <c r="R15868" s="26" t="str">
        <f t="shared" si="83"/>
        <v>White spot syndrome virus</v>
      </c>
      <c r="S15868" t="s">
        <v>8141</v>
      </c>
      <c r="T15868" t="s">
        <v>36741</v>
      </c>
      <c r="U15868" t="s">
        <v>36762</v>
      </c>
      <c r="V15868" t="s">
        <v>36763</v>
      </c>
      <c r="W15868" t="s">
        <v>50380</v>
      </c>
      <c r="X15868" t="s">
        <v>42</v>
      </c>
      <c r="Y15868" t="s">
        <v>36</v>
      </c>
      <c r="Z15868" t="s">
        <v>10790</v>
      </c>
      <c r="AA15868" s="22" t="str">
        <f>HYPERLINK("https://www.ncbi.nlm.nih.gov/nuccore/MG702567","NCBI Nucleotide")</f>
        <v>NCBI Nucleotide</v>
      </c>
    </row>
    <row r="15869" spans="1:27" x14ac:dyDescent="0.35">
      <c r="A15869">
        <v>1012189</v>
      </c>
      <c r="B15869">
        <v>14167</v>
      </c>
      <c r="C15869">
        <v>13</v>
      </c>
      <c r="J15869" t="s">
        <v>36738</v>
      </c>
      <c r="N15869" t="s">
        <v>36739</v>
      </c>
      <c r="P15869" t="s">
        <v>36740</v>
      </c>
      <c r="R15869" s="26" t="str">
        <f t="shared" si="83"/>
        <v>White spot syndrome virus</v>
      </c>
      <c r="S15869" t="s">
        <v>8141</v>
      </c>
      <c r="T15869" t="s">
        <v>36741</v>
      </c>
      <c r="U15869" t="s">
        <v>36764</v>
      </c>
      <c r="V15869" t="s">
        <v>36765</v>
      </c>
      <c r="W15869" t="s">
        <v>50381</v>
      </c>
      <c r="X15869" t="s">
        <v>42</v>
      </c>
      <c r="Y15869" t="s">
        <v>36</v>
      </c>
      <c r="Z15869" t="s">
        <v>10790</v>
      </c>
      <c r="AA15869" s="22" t="str">
        <f>HYPERLINK("https://www.ncbi.nlm.nih.gov/nuccore/MH090824","NCBI Nucleotide")</f>
        <v>NCBI Nucleotide</v>
      </c>
    </row>
    <row r="15870" spans="1:27" x14ac:dyDescent="0.35">
      <c r="A15870">
        <v>1004944</v>
      </c>
      <c r="B15870">
        <v>14168</v>
      </c>
      <c r="C15870">
        <v>1</v>
      </c>
      <c r="N15870" t="s">
        <v>37190</v>
      </c>
      <c r="O15870" t="s">
        <v>37191</v>
      </c>
      <c r="P15870" t="s">
        <v>37192</v>
      </c>
      <c r="R15870" s="26" t="str">
        <f>HYPERLINK("https://ictv.global/taxonomy/taxondetails?taxnode_id=202306012","Ageyesisatellite agerasingaporense")</f>
        <v>Ageyesisatellite agerasingaporense</v>
      </c>
      <c r="S15870" t="s">
        <v>30</v>
      </c>
      <c r="T15870" t="s">
        <v>37193</v>
      </c>
      <c r="U15870" t="s">
        <v>37194</v>
      </c>
      <c r="V15870" t="s">
        <v>37195</v>
      </c>
      <c r="W15870" t="s">
        <v>37196</v>
      </c>
      <c r="X15870" t="s">
        <v>42</v>
      </c>
      <c r="Y15870" t="s">
        <v>10517</v>
      </c>
      <c r="Z15870" t="s">
        <v>13441</v>
      </c>
      <c r="AA15870" s="22" t="str">
        <f>HYPERLINK("https://www.ncbi.nlm.nih.gov/nuccore/AJ416153","NCBI Nucleotide")</f>
        <v>NCBI Nucleotide</v>
      </c>
    </row>
    <row r="15871" spans="1:27" x14ac:dyDescent="0.35">
      <c r="A15871">
        <v>1004945</v>
      </c>
      <c r="B15871">
        <v>14169</v>
      </c>
      <c r="C15871">
        <v>1</v>
      </c>
      <c r="N15871" t="s">
        <v>37190</v>
      </c>
      <c r="O15871" t="s">
        <v>37191</v>
      </c>
      <c r="P15871" t="s">
        <v>37192</v>
      </c>
      <c r="R15871" s="26" t="str">
        <f>HYPERLINK("https://ictv.global/taxonomy/taxondetails?taxnode_id=202305664","Ageyesisatellite gossypiarabiaense")</f>
        <v>Ageyesisatellite gossypiarabiaense</v>
      </c>
      <c r="S15871" t="s">
        <v>30</v>
      </c>
      <c r="T15871" t="s">
        <v>37197</v>
      </c>
      <c r="U15871" t="s">
        <v>37198</v>
      </c>
      <c r="V15871" t="s">
        <v>37199</v>
      </c>
      <c r="W15871" t="s">
        <v>37200</v>
      </c>
      <c r="X15871" t="s">
        <v>42</v>
      </c>
      <c r="Y15871" t="s">
        <v>10517</v>
      </c>
      <c r="Z15871" t="s">
        <v>13441</v>
      </c>
      <c r="AA15871" s="22" t="str">
        <f>HYPERLINK("https://www.ncbi.nlm.nih.gov/nuccore/HG530543","NCBI Nucleotide")</f>
        <v>NCBI Nucleotide</v>
      </c>
    </row>
    <row r="15872" spans="1:27" x14ac:dyDescent="0.35">
      <c r="A15872">
        <v>1004946</v>
      </c>
      <c r="B15872">
        <v>14170</v>
      </c>
      <c r="C15872">
        <v>1</v>
      </c>
      <c r="N15872" t="s">
        <v>37190</v>
      </c>
      <c r="O15872" t="s">
        <v>37191</v>
      </c>
      <c r="P15872" t="s">
        <v>37201</v>
      </c>
      <c r="R15872" s="26" t="str">
        <f>HYPERLINK("https://ictv.global/taxonomy/taxondetails?taxnode_id=202307290","Clecrusatellite benincasae")</f>
        <v>Clecrusatellite benincasae</v>
      </c>
      <c r="S15872" t="s">
        <v>30</v>
      </c>
      <c r="T15872" t="s">
        <v>37202</v>
      </c>
      <c r="U15872" t="s">
        <v>37203</v>
      </c>
      <c r="V15872" t="s">
        <v>37204</v>
      </c>
      <c r="W15872" t="s">
        <v>37205</v>
      </c>
      <c r="X15872" t="s">
        <v>42</v>
      </c>
      <c r="Y15872" t="s">
        <v>10517</v>
      </c>
      <c r="Z15872" t="s">
        <v>13441</v>
      </c>
      <c r="AA15872" s="22" t="str">
        <f>HYPERLINK("https://www.ncbi.nlm.nih.gov/nuccore/KX363561","NCBI Nucleotide")</f>
        <v>NCBI Nucleotide</v>
      </c>
    </row>
    <row r="15873" spans="1:27" x14ac:dyDescent="0.35">
      <c r="A15873">
        <v>1004947</v>
      </c>
      <c r="B15873">
        <v>14171</v>
      </c>
      <c r="C15873">
        <v>1</v>
      </c>
      <c r="N15873" t="s">
        <v>37190</v>
      </c>
      <c r="O15873" t="s">
        <v>37191</v>
      </c>
      <c r="P15873" t="s">
        <v>37201</v>
      </c>
      <c r="R15873" s="26" t="str">
        <f>HYPERLINK("https://ictv.global/taxonomy/taxondetails?taxnode_id=202307289","Clecrusatellite capsici")</f>
        <v>Clecrusatellite capsici</v>
      </c>
      <c r="S15873" t="s">
        <v>30</v>
      </c>
      <c r="T15873" t="s">
        <v>37206</v>
      </c>
      <c r="U15873" t="s">
        <v>37207</v>
      </c>
      <c r="V15873" t="s">
        <v>37208</v>
      </c>
      <c r="W15873" t="s">
        <v>37209</v>
      </c>
      <c r="X15873" t="s">
        <v>42</v>
      </c>
      <c r="Y15873" t="s">
        <v>10517</v>
      </c>
      <c r="Z15873" t="s">
        <v>13441</v>
      </c>
      <c r="AA15873" s="22" t="str">
        <f>HYPERLINK("https://www.ncbi.nlm.nih.gov/nuccore/KU923759","NCBI Nucleotide")</f>
        <v>NCBI Nucleotide</v>
      </c>
    </row>
    <row r="15874" spans="1:27" x14ac:dyDescent="0.35">
      <c r="A15874">
        <v>1004948</v>
      </c>
      <c r="B15874">
        <v>14172</v>
      </c>
      <c r="C15874">
        <v>1</v>
      </c>
      <c r="N15874" t="s">
        <v>37190</v>
      </c>
      <c r="O15874" t="s">
        <v>37191</v>
      </c>
      <c r="P15874" t="s">
        <v>37201</v>
      </c>
      <c r="R15874" s="26" t="str">
        <f>HYPERLINK("https://ictv.global/taxonomy/taxondetails?taxnode_id=202308800","Clecrusatellite chiapasense")</f>
        <v>Clecrusatellite chiapasense</v>
      </c>
      <c r="S15874" t="s">
        <v>30</v>
      </c>
      <c r="T15874" t="s">
        <v>37210</v>
      </c>
      <c r="U15874" t="s">
        <v>37211</v>
      </c>
      <c r="V15874" t="s">
        <v>37212</v>
      </c>
      <c r="W15874" t="s">
        <v>37213</v>
      </c>
      <c r="X15874" t="s">
        <v>42</v>
      </c>
      <c r="Y15874" t="s">
        <v>10517</v>
      </c>
      <c r="Z15874" t="s">
        <v>13441</v>
      </c>
      <c r="AA15874" s="22" t="str">
        <f>HYPERLINK("https://www.ncbi.nlm.nih.gov/nuccore/MN203219","NCBI Nucleotide")</f>
        <v>NCBI Nucleotide</v>
      </c>
    </row>
    <row r="15875" spans="1:27" x14ac:dyDescent="0.35">
      <c r="A15875">
        <v>1004949</v>
      </c>
      <c r="B15875">
        <v>14173</v>
      </c>
      <c r="C15875">
        <v>1</v>
      </c>
      <c r="N15875" t="s">
        <v>37190</v>
      </c>
      <c r="O15875" t="s">
        <v>37191</v>
      </c>
      <c r="P15875" t="s">
        <v>37201</v>
      </c>
      <c r="R15875" s="26" t="str">
        <f>HYPERLINK("https://ictv.global/taxonomy/taxondetails?taxnode_id=202305666","Clecrusatellite cleomis")</f>
        <v>Clecrusatellite cleomis</v>
      </c>
      <c r="S15875" t="s">
        <v>30</v>
      </c>
      <c r="T15875" t="s">
        <v>37214</v>
      </c>
      <c r="U15875" t="s">
        <v>37215</v>
      </c>
      <c r="V15875" t="s">
        <v>37216</v>
      </c>
      <c r="W15875" t="s">
        <v>37217</v>
      </c>
      <c r="X15875" t="s">
        <v>42</v>
      </c>
      <c r="Y15875" t="s">
        <v>10517</v>
      </c>
      <c r="Z15875" t="s">
        <v>13441</v>
      </c>
      <c r="AA15875" s="22" t="str">
        <f>HYPERLINK("https://www.ncbi.nlm.nih.gov/nuccore/FN436007","NCBI Nucleotide")</f>
        <v>NCBI Nucleotide</v>
      </c>
    </row>
    <row r="15876" spans="1:27" x14ac:dyDescent="0.35">
      <c r="A15876">
        <v>1004950</v>
      </c>
      <c r="B15876">
        <v>14174</v>
      </c>
      <c r="C15876">
        <v>1</v>
      </c>
      <c r="N15876" t="s">
        <v>37190</v>
      </c>
      <c r="O15876" t="s">
        <v>37191</v>
      </c>
      <c r="P15876" t="s">
        <v>37201</v>
      </c>
      <c r="R15876" s="26" t="str">
        <f>HYPERLINK("https://ictv.global/taxonomy/taxondetails?taxnode_id=202305667","Clecrusatellite crotonis")</f>
        <v>Clecrusatellite crotonis</v>
      </c>
      <c r="S15876" t="s">
        <v>30</v>
      </c>
      <c r="T15876" t="s">
        <v>37218</v>
      </c>
      <c r="U15876" t="s">
        <v>37219</v>
      </c>
      <c r="V15876" t="s">
        <v>37220</v>
      </c>
      <c r="W15876" t="s">
        <v>37221</v>
      </c>
      <c r="X15876" t="s">
        <v>42</v>
      </c>
      <c r="Y15876" t="s">
        <v>10517</v>
      </c>
      <c r="Z15876" t="s">
        <v>13441</v>
      </c>
      <c r="AA15876" s="22" t="str">
        <f>HYPERLINK("https://www.ncbi.nlm.nih.gov/nuccore/FN658711","NCBI Nucleotide")</f>
        <v>NCBI Nucleotide</v>
      </c>
    </row>
    <row r="15877" spans="1:27" x14ac:dyDescent="0.35">
      <c r="A15877">
        <v>1004952</v>
      </c>
      <c r="B15877">
        <v>14175</v>
      </c>
      <c r="C15877">
        <v>1</v>
      </c>
      <c r="N15877" t="s">
        <v>37190</v>
      </c>
      <c r="O15877" t="s">
        <v>37191</v>
      </c>
      <c r="P15877" t="s">
        <v>37201</v>
      </c>
      <c r="R15877" s="26" t="str">
        <f>HYPERLINK("https://ictv.global/taxonomy/taxondetails?taxnode_id=202305669","Clecrusatellite cucumeris")</f>
        <v>Clecrusatellite cucumeris</v>
      </c>
      <c r="S15877" t="s">
        <v>30</v>
      </c>
      <c r="T15877" t="s">
        <v>37226</v>
      </c>
      <c r="U15877" t="s">
        <v>37227</v>
      </c>
      <c r="V15877" t="s">
        <v>37228</v>
      </c>
      <c r="W15877" t="s">
        <v>37229</v>
      </c>
      <c r="X15877" t="s">
        <v>42</v>
      </c>
      <c r="Y15877" t="s">
        <v>10517</v>
      </c>
      <c r="Z15877" t="s">
        <v>13441</v>
      </c>
      <c r="AA15877" s="22" t="str">
        <f>HYPERLINK("https://www.ncbi.nlm.nih.gov/nuccore/HM163578","NCBI Nucleotide")</f>
        <v>NCBI Nucleotide</v>
      </c>
    </row>
    <row r="15878" spans="1:27" x14ac:dyDescent="0.35">
      <c r="A15878">
        <v>1004951</v>
      </c>
      <c r="B15878">
        <v>14176</v>
      </c>
      <c r="C15878">
        <v>1</v>
      </c>
      <c r="N15878" t="s">
        <v>37190</v>
      </c>
      <c r="O15878" t="s">
        <v>37191</v>
      </c>
      <c r="P15878" t="s">
        <v>37201</v>
      </c>
      <c r="R15878" s="26" t="str">
        <f>HYPERLINK("https://ictv.global/taxonomy/taxondetails?taxnode_id=202305668","Clecrusatellite euphorbiae")</f>
        <v>Clecrusatellite euphorbiae</v>
      </c>
      <c r="S15878" t="s">
        <v>30</v>
      </c>
      <c r="T15878" t="s">
        <v>37222</v>
      </c>
      <c r="U15878" t="s">
        <v>37223</v>
      </c>
      <c r="V15878" t="s">
        <v>37224</v>
      </c>
      <c r="W15878" t="s">
        <v>37225</v>
      </c>
      <c r="X15878" t="s">
        <v>42</v>
      </c>
      <c r="Y15878" t="s">
        <v>10517</v>
      </c>
      <c r="Z15878" t="s">
        <v>13441</v>
      </c>
      <c r="AA15878" s="22" t="str">
        <f>HYPERLINK("https://www.ncbi.nlm.nih.gov/nuccore/FN436008","NCBI Nucleotide")</f>
        <v>NCBI Nucleotide</v>
      </c>
    </row>
    <row r="15879" spans="1:27" x14ac:dyDescent="0.35">
      <c r="A15879">
        <v>1005326</v>
      </c>
      <c r="B15879">
        <v>14177</v>
      </c>
      <c r="C15879">
        <v>1</v>
      </c>
      <c r="N15879" t="s">
        <v>37190</v>
      </c>
      <c r="O15879" t="s">
        <v>37191</v>
      </c>
      <c r="P15879" t="s">
        <v>37201</v>
      </c>
      <c r="R15879" s="26" t="str">
        <f>HYPERLINK("https://ictv.global/taxonomy/taxondetails?taxnode_id=202305672","Clecrusatellite guatemalaense")</f>
        <v>Clecrusatellite guatemalaense</v>
      </c>
      <c r="S15879" t="s">
        <v>30</v>
      </c>
      <c r="T15879" t="s">
        <v>37254</v>
      </c>
      <c r="U15879" t="s">
        <v>37255</v>
      </c>
      <c r="V15879" t="s">
        <v>37256</v>
      </c>
      <c r="W15879" t="s">
        <v>37257</v>
      </c>
      <c r="X15879" t="s">
        <v>42</v>
      </c>
      <c r="Y15879" t="s">
        <v>10517</v>
      </c>
      <c r="Z15879" t="s">
        <v>13441</v>
      </c>
      <c r="AA15879" s="22" t="str">
        <f>HYPERLINK("https://www.ncbi.nlm.nih.gov/nuccore/KT099170","NCBI Nucleotide")</f>
        <v>NCBI Nucleotide</v>
      </c>
    </row>
    <row r="15880" spans="1:27" x14ac:dyDescent="0.35">
      <c r="A15880">
        <v>1005327</v>
      </c>
      <c r="B15880">
        <v>14178</v>
      </c>
      <c r="C15880">
        <v>1</v>
      </c>
      <c r="N15880" t="s">
        <v>37190</v>
      </c>
      <c r="O15880" t="s">
        <v>37191</v>
      </c>
      <c r="P15880" t="s">
        <v>37201</v>
      </c>
      <c r="R15880" s="26" t="str">
        <f>HYPERLINK("https://ictv.global/taxonomy/taxondetails?taxnode_id=202305673","Clecrusatellite puertoricoense")</f>
        <v>Clecrusatellite puertoricoense</v>
      </c>
      <c r="S15880" t="s">
        <v>30</v>
      </c>
      <c r="T15880" t="s">
        <v>37258</v>
      </c>
      <c r="U15880" t="s">
        <v>37259</v>
      </c>
      <c r="V15880" t="s">
        <v>37260</v>
      </c>
      <c r="W15880" t="s">
        <v>37261</v>
      </c>
      <c r="X15880" t="s">
        <v>42</v>
      </c>
      <c r="Y15880" t="s">
        <v>10517</v>
      </c>
      <c r="Z15880" t="s">
        <v>13441</v>
      </c>
      <c r="AA15880" s="22" t="str">
        <f>HYPERLINK("https://www.ncbi.nlm.nih.gov/nuccore/KT099173","NCBI Nucleotide")</f>
        <v>NCBI Nucleotide</v>
      </c>
    </row>
    <row r="15881" spans="1:27" x14ac:dyDescent="0.35">
      <c r="A15881">
        <v>1004953</v>
      </c>
      <c r="B15881">
        <v>14179</v>
      </c>
      <c r="C15881">
        <v>1</v>
      </c>
      <c r="N15881" t="s">
        <v>37190</v>
      </c>
      <c r="O15881" t="s">
        <v>37191</v>
      </c>
      <c r="P15881" t="s">
        <v>37201</v>
      </c>
      <c r="R15881" s="26" t="str">
        <f>HYPERLINK("https://ictv.global/taxonomy/taxondetails?taxnode_id=202305670","Clecrusatellite sidacubaense")</f>
        <v>Clecrusatellite sidacubaense</v>
      </c>
      <c r="S15881" t="s">
        <v>30</v>
      </c>
      <c r="T15881" t="s">
        <v>37230</v>
      </c>
      <c r="U15881" t="s">
        <v>37231</v>
      </c>
      <c r="V15881" t="s">
        <v>37232</v>
      </c>
      <c r="W15881" t="s">
        <v>37233</v>
      </c>
      <c r="X15881" t="s">
        <v>42</v>
      </c>
      <c r="Y15881" t="s">
        <v>10517</v>
      </c>
      <c r="Z15881" t="s">
        <v>13441</v>
      </c>
      <c r="AA15881" s="22" t="str">
        <f>HYPERLINK("https://www.ncbi.nlm.nih.gov/nuccore/HE806451","NCBI Nucleotide")</f>
        <v>NCBI Nucleotide</v>
      </c>
    </row>
    <row r="15882" spans="1:27" x14ac:dyDescent="0.35">
      <c r="A15882">
        <v>1004954</v>
      </c>
      <c r="B15882">
        <v>14180</v>
      </c>
      <c r="C15882">
        <v>1</v>
      </c>
      <c r="N15882" t="s">
        <v>37190</v>
      </c>
      <c r="O15882" t="s">
        <v>37191</v>
      </c>
      <c r="P15882" t="s">
        <v>37201</v>
      </c>
      <c r="R15882" s="26" t="str">
        <f>HYPERLINK("https://ictv.global/taxonomy/taxondetails?taxnode_id=202308799","Clecrusatellite solanumanandense")</f>
        <v>Clecrusatellite solanumanandense</v>
      </c>
      <c r="S15882" t="s">
        <v>30</v>
      </c>
      <c r="T15882" t="s">
        <v>37234</v>
      </c>
      <c r="U15882" t="s">
        <v>37235</v>
      </c>
      <c r="V15882" t="s">
        <v>37236</v>
      </c>
      <c r="W15882" t="s">
        <v>37237</v>
      </c>
      <c r="X15882" t="s">
        <v>42</v>
      </c>
      <c r="Y15882" t="s">
        <v>10517</v>
      </c>
      <c r="Z15882" t="s">
        <v>13441</v>
      </c>
      <c r="AA15882" s="22" t="str">
        <f>HYPERLINK("https://www.ncbi.nlm.nih.gov/nuccore/MH577036","NCBI Nucleotide")</f>
        <v>NCBI Nucleotide</v>
      </c>
    </row>
    <row r="15883" spans="1:27" x14ac:dyDescent="0.35">
      <c r="A15883">
        <v>1004955</v>
      </c>
      <c r="B15883">
        <v>14181</v>
      </c>
      <c r="C15883">
        <v>1</v>
      </c>
      <c r="N15883" t="s">
        <v>37190</v>
      </c>
      <c r="O15883" t="s">
        <v>37191</v>
      </c>
      <c r="P15883" t="s">
        <v>37201</v>
      </c>
      <c r="R15883" s="26" t="str">
        <f>HYPERLINK("https://ictv.global/taxonomy/taxondetails?taxnode_id=202307291","Clecrusatellite solanumdelhiense")</f>
        <v>Clecrusatellite solanumdelhiense</v>
      </c>
      <c r="S15883" t="s">
        <v>30</v>
      </c>
      <c r="T15883" t="s">
        <v>37238</v>
      </c>
      <c r="U15883" t="s">
        <v>37239</v>
      </c>
      <c r="V15883" t="s">
        <v>37240</v>
      </c>
      <c r="W15883" t="s">
        <v>37241</v>
      </c>
      <c r="X15883" t="s">
        <v>42</v>
      </c>
      <c r="Y15883" t="s">
        <v>10517</v>
      </c>
      <c r="Z15883" t="s">
        <v>13441</v>
      </c>
      <c r="AA15883" s="22" t="str">
        <f>HYPERLINK("https://www.ncbi.nlm.nih.gov/nuccore/MH550542","NCBI Nucleotide")</f>
        <v>NCBI Nucleotide</v>
      </c>
    </row>
    <row r="15884" spans="1:27" x14ac:dyDescent="0.35">
      <c r="A15884">
        <v>1005325</v>
      </c>
      <c r="B15884">
        <v>14182</v>
      </c>
      <c r="C15884">
        <v>1</v>
      </c>
      <c r="N15884" t="s">
        <v>37190</v>
      </c>
      <c r="O15884" t="s">
        <v>37191</v>
      </c>
      <c r="P15884" t="s">
        <v>37201</v>
      </c>
      <c r="R15884" s="26" t="str">
        <f>HYPERLINK("https://ictv.global/taxonomy/taxondetails?taxnode_id=202308798","Clecrusatellite solanumflavusamaculasecundi")</f>
        <v>Clecrusatellite solanumflavusamaculasecundi</v>
      </c>
      <c r="S15884" t="s">
        <v>30</v>
      </c>
      <c r="T15884" t="s">
        <v>37250</v>
      </c>
      <c r="U15884" t="s">
        <v>37251</v>
      </c>
      <c r="V15884" t="s">
        <v>37252</v>
      </c>
      <c r="W15884" t="s">
        <v>37253</v>
      </c>
      <c r="X15884" t="s">
        <v>42</v>
      </c>
      <c r="Y15884" t="s">
        <v>10517</v>
      </c>
      <c r="Z15884" t="s">
        <v>13441</v>
      </c>
      <c r="AA15884" s="22" t="str">
        <f>HYPERLINK("https://www.ncbi.nlm.nih.gov/nuccore/MN518743","NCBI Nucleotide")</f>
        <v>NCBI Nucleotide</v>
      </c>
    </row>
    <row r="15885" spans="1:27" x14ac:dyDescent="0.35">
      <c r="A15885">
        <v>1005324</v>
      </c>
      <c r="B15885">
        <v>14183</v>
      </c>
      <c r="C15885">
        <v>1</v>
      </c>
      <c r="N15885" t="s">
        <v>37190</v>
      </c>
      <c r="O15885" t="s">
        <v>37191</v>
      </c>
      <c r="P15885" t="s">
        <v>37201</v>
      </c>
      <c r="R15885" s="26" t="str">
        <f>HYPERLINK("https://ictv.global/taxonomy/taxondetails?taxnode_id=202305671","Clecrusatellite solanumflavusmaculaprimi")</f>
        <v>Clecrusatellite solanumflavusmaculaprimi</v>
      </c>
      <c r="S15885" t="s">
        <v>30</v>
      </c>
      <c r="T15885" t="s">
        <v>37246</v>
      </c>
      <c r="U15885" t="s">
        <v>37247</v>
      </c>
      <c r="V15885" t="s">
        <v>37248</v>
      </c>
      <c r="W15885" t="s">
        <v>37249</v>
      </c>
      <c r="X15885" t="s">
        <v>42</v>
      </c>
      <c r="Y15885" t="s">
        <v>10517</v>
      </c>
      <c r="Z15885" t="s">
        <v>13441</v>
      </c>
      <c r="AA15885" s="22" t="str">
        <f>HYPERLINK("https://www.ncbi.nlm.nih.gov/nuccore/KX348228","NCBI Nucleotide")</f>
        <v>NCBI Nucleotide</v>
      </c>
    </row>
    <row r="15886" spans="1:27" x14ac:dyDescent="0.35">
      <c r="A15886">
        <v>1004956</v>
      </c>
      <c r="B15886">
        <v>14184</v>
      </c>
      <c r="C15886">
        <v>1</v>
      </c>
      <c r="N15886" t="s">
        <v>37190</v>
      </c>
      <c r="O15886" t="s">
        <v>37191</v>
      </c>
      <c r="P15886" t="s">
        <v>37201</v>
      </c>
      <c r="R15886" s="26" t="str">
        <f>HYPERLINK("https://ictv.global/taxonomy/taxondetails?taxnode_id=202307292","Clecrusatellite solanumvirudhunagarense")</f>
        <v>Clecrusatellite solanumvirudhunagarense</v>
      </c>
      <c r="S15886" t="s">
        <v>30</v>
      </c>
      <c r="T15886" t="s">
        <v>37242</v>
      </c>
      <c r="U15886" t="s">
        <v>37243</v>
      </c>
      <c r="V15886" t="s">
        <v>37244</v>
      </c>
      <c r="W15886" t="s">
        <v>37245</v>
      </c>
      <c r="X15886" t="s">
        <v>42</v>
      </c>
      <c r="Y15886" t="s">
        <v>10517</v>
      </c>
      <c r="Z15886" t="s">
        <v>13441</v>
      </c>
      <c r="AA15886" s="22" t="str">
        <f>HYPERLINK("https://www.ncbi.nlm.nih.gov/nuccore/KY848691","NCBI Nucleotide")</f>
        <v>NCBI Nucleotide</v>
      </c>
    </row>
    <row r="15887" spans="1:27" x14ac:dyDescent="0.35">
      <c r="A15887">
        <v>1005332</v>
      </c>
      <c r="B15887">
        <v>14185</v>
      </c>
      <c r="C15887">
        <v>1</v>
      </c>
      <c r="N15887" t="s">
        <v>37190</v>
      </c>
      <c r="O15887" t="s">
        <v>37191</v>
      </c>
      <c r="P15887" t="s">
        <v>37262</v>
      </c>
      <c r="R15887" s="26" t="str">
        <f>HYPERLINK("https://ictv.global/taxonomy/taxondetails?taxnode_id=202305679","Colecusatellite abelmoschusvenae")</f>
        <v>Colecusatellite abelmoschusvenae</v>
      </c>
      <c r="S15887" t="s">
        <v>30</v>
      </c>
      <c r="T15887" t="s">
        <v>37277</v>
      </c>
      <c r="U15887" t="s">
        <v>37278</v>
      </c>
      <c r="V15887" t="s">
        <v>37279</v>
      </c>
      <c r="W15887" t="s">
        <v>37280</v>
      </c>
      <c r="X15887" t="s">
        <v>42</v>
      </c>
      <c r="Y15887" t="s">
        <v>10517</v>
      </c>
      <c r="Z15887" t="s">
        <v>13441</v>
      </c>
      <c r="AA15887" s="22" t="str">
        <f>HYPERLINK("https://www.ncbi.nlm.nih.gov/nuccore/FN658716","NCBI Nucleotide")</f>
        <v>NCBI Nucleotide</v>
      </c>
    </row>
    <row r="15888" spans="1:27" x14ac:dyDescent="0.35">
      <c r="A15888">
        <v>1005328</v>
      </c>
      <c r="B15888">
        <v>14186</v>
      </c>
      <c r="C15888">
        <v>1</v>
      </c>
      <c r="N15888" t="s">
        <v>37190</v>
      </c>
      <c r="O15888" t="s">
        <v>37191</v>
      </c>
      <c r="P15888" t="s">
        <v>37262</v>
      </c>
      <c r="R15888" s="26" t="str">
        <f>HYPERLINK("https://ictv.global/taxonomy/taxondetails?taxnode_id=202305675","Colecusatellite agerati")</f>
        <v>Colecusatellite agerati</v>
      </c>
      <c r="S15888" t="s">
        <v>30</v>
      </c>
      <c r="T15888" t="s">
        <v>37263</v>
      </c>
      <c r="U15888" t="s">
        <v>32091</v>
      </c>
      <c r="V15888" t="s">
        <v>37264</v>
      </c>
      <c r="W15888" t="s">
        <v>37265</v>
      </c>
      <c r="X15888" t="s">
        <v>42</v>
      </c>
      <c r="Y15888" t="s">
        <v>10517</v>
      </c>
      <c r="Z15888" t="s">
        <v>13441</v>
      </c>
      <c r="AA15888" s="22" t="str">
        <f>HYPERLINK("https://www.ncbi.nlm.nih.gov/nuccore/JX913532","NCBI Nucleotide")</f>
        <v>NCBI Nucleotide</v>
      </c>
    </row>
    <row r="15889" spans="1:27" x14ac:dyDescent="0.35">
      <c r="A15889">
        <v>1005330</v>
      </c>
      <c r="B15889">
        <v>14187</v>
      </c>
      <c r="C15889">
        <v>1</v>
      </c>
      <c r="N15889" t="s">
        <v>37190</v>
      </c>
      <c r="O15889" t="s">
        <v>37191</v>
      </c>
      <c r="P15889" t="s">
        <v>37262</v>
      </c>
      <c r="R15889" s="26" t="str">
        <f>HYPERLINK("https://ictv.global/taxonomy/taxondetails?taxnode_id=202305677","Colecusatellite ageravenachinaense")</f>
        <v>Colecusatellite ageravenachinaense</v>
      </c>
      <c r="S15889" t="s">
        <v>30</v>
      </c>
      <c r="T15889" t="s">
        <v>37269</v>
      </c>
      <c r="U15889" t="s">
        <v>37270</v>
      </c>
      <c r="V15889" t="s">
        <v>37271</v>
      </c>
      <c r="W15889" t="s">
        <v>37272</v>
      </c>
      <c r="X15889" t="s">
        <v>42</v>
      </c>
      <c r="Y15889" t="s">
        <v>10517</v>
      </c>
      <c r="Z15889" t="s">
        <v>13441</v>
      </c>
      <c r="AA15889" s="22" t="str">
        <f>HYPERLINK("https://www.ncbi.nlm.nih.gov/nuccore/KF785752","NCBI Nucleotide")</f>
        <v>NCBI Nucleotide</v>
      </c>
    </row>
    <row r="15890" spans="1:27" x14ac:dyDescent="0.35">
      <c r="A15890">
        <v>1005329</v>
      </c>
      <c r="B15890">
        <v>14188</v>
      </c>
      <c r="C15890">
        <v>1</v>
      </c>
      <c r="N15890" t="s">
        <v>37190</v>
      </c>
      <c r="O15890" t="s">
        <v>37191</v>
      </c>
      <c r="P15890" t="s">
        <v>37262</v>
      </c>
      <c r="R15890" s="26" t="str">
        <f>HYPERLINK("https://ictv.global/taxonomy/taxondetails?taxnode_id=202305676","Colecusatellite ageravenae")</f>
        <v>Colecusatellite ageravenae</v>
      </c>
      <c r="S15890" t="s">
        <v>30</v>
      </c>
      <c r="T15890" t="s">
        <v>37266</v>
      </c>
      <c r="U15890" t="s">
        <v>37267</v>
      </c>
      <c r="V15890" t="s">
        <v>37195</v>
      </c>
      <c r="W15890" t="s">
        <v>37268</v>
      </c>
      <c r="X15890" t="s">
        <v>42</v>
      </c>
      <c r="Y15890" t="s">
        <v>10517</v>
      </c>
      <c r="Z15890" t="s">
        <v>13441</v>
      </c>
      <c r="AA15890" s="22" t="str">
        <f>HYPERLINK("https://www.ncbi.nlm.nih.gov/nuccore/AJ238493","NCBI Nucleotide")</f>
        <v>NCBI Nucleotide</v>
      </c>
    </row>
    <row r="15891" spans="1:27" x14ac:dyDescent="0.35">
      <c r="A15891">
        <v>1005331</v>
      </c>
      <c r="B15891">
        <v>14189</v>
      </c>
      <c r="C15891">
        <v>1</v>
      </c>
      <c r="N15891" t="s">
        <v>37190</v>
      </c>
      <c r="O15891" t="s">
        <v>37191</v>
      </c>
      <c r="P15891" t="s">
        <v>37262</v>
      </c>
      <c r="R15891" s="26" t="str">
        <f>HYPERLINK("https://ictv.global/taxonomy/taxondetails?taxnode_id=202305678","Colecusatellite ageravenaindiaense")</f>
        <v>Colecusatellite ageravenaindiaense</v>
      </c>
      <c r="S15891" t="s">
        <v>30</v>
      </c>
      <c r="T15891" t="s">
        <v>37273</v>
      </c>
      <c r="U15891" t="s">
        <v>37274</v>
      </c>
      <c r="V15891" t="s">
        <v>37275</v>
      </c>
      <c r="W15891" t="s">
        <v>37276</v>
      </c>
      <c r="X15891" t="s">
        <v>42</v>
      </c>
      <c r="Y15891" t="s">
        <v>10517</v>
      </c>
      <c r="Z15891" t="s">
        <v>13441</v>
      </c>
      <c r="AA15891" s="22" t="str">
        <f>HYPERLINK("https://www.ncbi.nlm.nih.gov/nuccore/JX570736","NCBI Nucleotide")</f>
        <v>NCBI Nucleotide</v>
      </c>
    </row>
    <row r="15892" spans="1:27" x14ac:dyDescent="0.35">
      <c r="A15892">
        <v>1005334</v>
      </c>
      <c r="B15892">
        <v>14190</v>
      </c>
      <c r="C15892">
        <v>1</v>
      </c>
      <c r="N15892" t="s">
        <v>37190</v>
      </c>
      <c r="O15892" t="s">
        <v>37191</v>
      </c>
      <c r="P15892" t="s">
        <v>37262</v>
      </c>
      <c r="R15892" s="26" t="str">
        <f>HYPERLINK("https://ictv.global/taxonomy/taxondetails?taxnode_id=202305681","Colecusatellite capsici")</f>
        <v>Colecusatellite capsici</v>
      </c>
      <c r="S15892" t="s">
        <v>30</v>
      </c>
      <c r="T15892" t="s">
        <v>37285</v>
      </c>
      <c r="U15892" t="s">
        <v>37286</v>
      </c>
      <c r="V15892" t="s">
        <v>37287</v>
      </c>
      <c r="W15892" t="s">
        <v>37288</v>
      </c>
      <c r="X15892" t="s">
        <v>42</v>
      </c>
      <c r="Y15892" t="s">
        <v>10517</v>
      </c>
      <c r="Z15892" t="s">
        <v>13441</v>
      </c>
      <c r="AA15892" s="22" t="str">
        <f>HYPERLINK("https://www.ncbi.nlm.nih.gov/nuccore/KF471043","NCBI Nucleotide")</f>
        <v>NCBI Nucleotide</v>
      </c>
    </row>
    <row r="15893" spans="1:27" x14ac:dyDescent="0.35">
      <c r="A15893">
        <v>1005335</v>
      </c>
      <c r="B15893">
        <v>14191</v>
      </c>
      <c r="C15893">
        <v>1</v>
      </c>
      <c r="N15893" t="s">
        <v>37190</v>
      </c>
      <c r="O15893" t="s">
        <v>37191</v>
      </c>
      <c r="P15893" t="s">
        <v>37262</v>
      </c>
      <c r="R15893" s="26" t="str">
        <f>HYPERLINK("https://ictv.global/taxonomy/taxondetails?taxnode_id=202305682","Colecusatellite gossypiaegyptense")</f>
        <v>Colecusatellite gossypiaegyptense</v>
      </c>
      <c r="S15893" t="s">
        <v>30</v>
      </c>
      <c r="T15893" t="s">
        <v>37289</v>
      </c>
      <c r="U15893" t="s">
        <v>37290</v>
      </c>
      <c r="V15893" t="s">
        <v>37291</v>
      </c>
      <c r="W15893" t="s">
        <v>37292</v>
      </c>
      <c r="X15893" t="s">
        <v>42</v>
      </c>
      <c r="Y15893" t="s">
        <v>10517</v>
      </c>
      <c r="Z15893" t="s">
        <v>13441</v>
      </c>
      <c r="AA15893" s="22" t="str">
        <f>HYPERLINK("https://www.ncbi.nlm.nih.gov/nuccore/AJ512960","NCBI Nucleotide")</f>
        <v>NCBI Nucleotide</v>
      </c>
    </row>
    <row r="15894" spans="1:27" x14ac:dyDescent="0.35">
      <c r="A15894">
        <v>1005336</v>
      </c>
      <c r="B15894">
        <v>14192</v>
      </c>
      <c r="C15894">
        <v>1</v>
      </c>
      <c r="N15894" t="s">
        <v>37190</v>
      </c>
      <c r="O15894" t="s">
        <v>37191</v>
      </c>
      <c r="P15894" t="s">
        <v>37262</v>
      </c>
      <c r="R15894" s="26" t="str">
        <f>HYPERLINK("https://ictv.global/taxonomy/taxondetails?taxnode_id=202305683","Colecusatellite gossypigeziraense")</f>
        <v>Colecusatellite gossypigeziraense</v>
      </c>
      <c r="S15894" t="s">
        <v>30</v>
      </c>
      <c r="T15894" t="s">
        <v>37293</v>
      </c>
      <c r="U15894" t="s">
        <v>37294</v>
      </c>
      <c r="V15894" t="s">
        <v>37295</v>
      </c>
      <c r="W15894" t="s">
        <v>37296</v>
      </c>
      <c r="X15894" t="s">
        <v>42</v>
      </c>
      <c r="Y15894" t="s">
        <v>10517</v>
      </c>
      <c r="Z15894" t="s">
        <v>13441</v>
      </c>
      <c r="AA15894" s="22" t="str">
        <f>HYPERLINK("https://www.ncbi.nlm.nih.gov/nuccore/EU589450","NCBI Nucleotide")</f>
        <v>NCBI Nucleotide</v>
      </c>
    </row>
    <row r="15895" spans="1:27" x14ac:dyDescent="0.35">
      <c r="A15895">
        <v>1005337</v>
      </c>
      <c r="B15895">
        <v>14193</v>
      </c>
      <c r="C15895">
        <v>1</v>
      </c>
      <c r="N15895" t="s">
        <v>37190</v>
      </c>
      <c r="O15895" t="s">
        <v>37191</v>
      </c>
      <c r="P15895" t="s">
        <v>37262</v>
      </c>
      <c r="R15895" s="26" t="str">
        <f>HYPERLINK("https://ictv.global/taxonomy/taxondetails?taxnode_id=202305684","Colecusatellite gossypilucknowense")</f>
        <v>Colecusatellite gossypilucknowense</v>
      </c>
      <c r="S15895" t="s">
        <v>30</v>
      </c>
      <c r="T15895" t="s">
        <v>37297</v>
      </c>
      <c r="U15895" t="s">
        <v>37286</v>
      </c>
      <c r="V15895" t="s">
        <v>37298</v>
      </c>
      <c r="W15895" t="s">
        <v>37299</v>
      </c>
      <c r="X15895" t="s">
        <v>42</v>
      </c>
      <c r="Y15895" t="s">
        <v>10517</v>
      </c>
      <c r="Z15895" t="s">
        <v>13441</v>
      </c>
      <c r="AA15895" s="22" t="str">
        <f>HYPERLINK("https://www.ncbi.nlm.nih.gov/nuccore/HQ343234","NCBI Nucleotide")</f>
        <v>NCBI Nucleotide</v>
      </c>
    </row>
    <row r="15896" spans="1:27" x14ac:dyDescent="0.35">
      <c r="A15896">
        <v>1005338</v>
      </c>
      <c r="B15896">
        <v>14194</v>
      </c>
      <c r="C15896">
        <v>1</v>
      </c>
      <c r="N15896" t="s">
        <v>37190</v>
      </c>
      <c r="O15896" t="s">
        <v>37191</v>
      </c>
      <c r="P15896" t="s">
        <v>37262</v>
      </c>
      <c r="R15896" s="26" t="str">
        <f>HYPERLINK("https://ictv.global/taxonomy/taxondetails?taxnode_id=202305685","Colecusatellite gossypimultanense")</f>
        <v>Colecusatellite gossypimultanense</v>
      </c>
      <c r="S15896" t="s">
        <v>30</v>
      </c>
      <c r="T15896" t="s">
        <v>37300</v>
      </c>
      <c r="U15896" t="s">
        <v>37301</v>
      </c>
      <c r="V15896" t="s">
        <v>37302</v>
      </c>
      <c r="W15896" t="s">
        <v>37303</v>
      </c>
      <c r="X15896" t="s">
        <v>42</v>
      </c>
      <c r="Y15896" t="s">
        <v>10517</v>
      </c>
      <c r="Z15896" t="s">
        <v>13441</v>
      </c>
      <c r="AA15896" s="22" t="str">
        <f>HYPERLINK("https://www.ncbi.nlm.nih.gov/nuccore/AJ132344","NCBI Nucleotide")</f>
        <v>NCBI Nucleotide</v>
      </c>
    </row>
    <row r="15897" spans="1:27" x14ac:dyDescent="0.35">
      <c r="A15897">
        <v>1005339</v>
      </c>
      <c r="B15897">
        <v>14195</v>
      </c>
      <c r="C15897">
        <v>1</v>
      </c>
      <c r="N15897" t="s">
        <v>37190</v>
      </c>
      <c r="O15897" t="s">
        <v>37191</v>
      </c>
      <c r="P15897" t="s">
        <v>37262</v>
      </c>
      <c r="R15897" s="26" t="str">
        <f>HYPERLINK("https://ictv.global/taxonomy/taxondetails?taxnode_id=202305686","Colecusatellite gossypiumdarwinii")</f>
        <v>Colecusatellite gossypiumdarwinii</v>
      </c>
      <c r="S15897" t="s">
        <v>30</v>
      </c>
      <c r="T15897" t="s">
        <v>37304</v>
      </c>
      <c r="U15897" t="s">
        <v>37305</v>
      </c>
      <c r="V15897" t="s">
        <v>37306</v>
      </c>
      <c r="W15897" t="s">
        <v>37307</v>
      </c>
      <c r="X15897" t="s">
        <v>42</v>
      </c>
      <c r="Y15897" t="s">
        <v>10517</v>
      </c>
      <c r="Z15897" t="s">
        <v>13441</v>
      </c>
      <c r="AA15897" s="22" t="str">
        <f>HYPERLINK("https://www.ncbi.nlm.nih.gov/nuccore/EU384623","NCBI Nucleotide")</f>
        <v>NCBI Nucleotide</v>
      </c>
    </row>
    <row r="15898" spans="1:27" x14ac:dyDescent="0.35">
      <c r="A15898">
        <v>1005346</v>
      </c>
      <c r="B15898">
        <v>14196</v>
      </c>
      <c r="C15898">
        <v>1</v>
      </c>
      <c r="N15898" t="s">
        <v>37190</v>
      </c>
      <c r="O15898" t="s">
        <v>37191</v>
      </c>
      <c r="P15898" t="s">
        <v>37262</v>
      </c>
      <c r="R15898" s="26" t="str">
        <f>HYPERLINK("https://ictv.global/taxonomy/taxondetails?taxnode_id=202305692","Colecusatellite helianthuskarnatakaense")</f>
        <v>Colecusatellite helianthuskarnatakaense</v>
      </c>
      <c r="S15898" t="s">
        <v>30</v>
      </c>
      <c r="T15898" t="s">
        <v>37331</v>
      </c>
      <c r="U15898" t="s">
        <v>37332</v>
      </c>
      <c r="V15898" t="s">
        <v>37333</v>
      </c>
      <c r="W15898" t="s">
        <v>37334</v>
      </c>
      <c r="X15898" t="s">
        <v>42</v>
      </c>
      <c r="Y15898" t="s">
        <v>10517</v>
      </c>
      <c r="Z15898" t="s">
        <v>13441</v>
      </c>
      <c r="AA15898" s="22" t="str">
        <f>HYPERLINK("https://www.ncbi.nlm.nih.gov/nuccore/JX569789","NCBI Nucleotide")</f>
        <v>NCBI Nucleotide</v>
      </c>
    </row>
    <row r="15899" spans="1:27" x14ac:dyDescent="0.35">
      <c r="A15899">
        <v>1005340</v>
      </c>
      <c r="B15899">
        <v>14197</v>
      </c>
      <c r="C15899">
        <v>1</v>
      </c>
      <c r="N15899" t="s">
        <v>37190</v>
      </c>
      <c r="O15899" t="s">
        <v>37191</v>
      </c>
      <c r="P15899" t="s">
        <v>37262</v>
      </c>
      <c r="R15899" s="26" t="str">
        <f>HYPERLINK("https://ictv.global/taxonomy/taxondetails?taxnode_id=202305687","Colecusatellite malvastri")</f>
        <v>Colecusatellite malvastri</v>
      </c>
      <c r="S15899" t="s">
        <v>30</v>
      </c>
      <c r="T15899" t="s">
        <v>37308</v>
      </c>
      <c r="U15899" t="s">
        <v>37309</v>
      </c>
      <c r="V15899" t="s">
        <v>37310</v>
      </c>
      <c r="W15899" t="s">
        <v>37311</v>
      </c>
      <c r="X15899" t="s">
        <v>42</v>
      </c>
      <c r="Y15899" t="s">
        <v>10517</v>
      </c>
      <c r="Z15899" t="s">
        <v>13441</v>
      </c>
      <c r="AA15899" s="22" t="str">
        <f>HYPERLINK("https://www.ncbi.nlm.nih.gov/nuccore/AM236765","NCBI Nucleotide")</f>
        <v>NCBI Nucleotide</v>
      </c>
    </row>
    <row r="15900" spans="1:27" x14ac:dyDescent="0.35">
      <c r="A15900">
        <v>1005341</v>
      </c>
      <c r="B15900">
        <v>14198</v>
      </c>
      <c r="C15900">
        <v>1</v>
      </c>
      <c r="N15900" t="s">
        <v>37190</v>
      </c>
      <c r="O15900" t="s">
        <v>37191</v>
      </c>
      <c r="P15900" t="s">
        <v>37262</v>
      </c>
      <c r="R15900" s="26" t="str">
        <f>HYPERLINK("https://ictv.global/taxonomy/taxondetails?taxnode_id=202305688","Colecusatellite malvastrumcameroonense")</f>
        <v>Colecusatellite malvastrumcameroonense</v>
      </c>
      <c r="S15900" t="s">
        <v>30</v>
      </c>
      <c r="T15900" t="s">
        <v>37312</v>
      </c>
      <c r="U15900" t="s">
        <v>37313</v>
      </c>
      <c r="V15900" t="s">
        <v>37314</v>
      </c>
      <c r="W15900" t="s">
        <v>37315</v>
      </c>
      <c r="X15900" t="s">
        <v>42</v>
      </c>
      <c r="Y15900" t="s">
        <v>10517</v>
      </c>
      <c r="Z15900" t="s">
        <v>13441</v>
      </c>
      <c r="AA15900" s="22" t="str">
        <f>HYPERLINK("https://www.ncbi.nlm.nih.gov/nuccore/FN675297","NCBI Nucleotide")</f>
        <v>NCBI Nucleotide</v>
      </c>
    </row>
    <row r="15901" spans="1:27" x14ac:dyDescent="0.35">
      <c r="A15901">
        <v>1005333</v>
      </c>
      <c r="B15901">
        <v>14199</v>
      </c>
      <c r="C15901">
        <v>1</v>
      </c>
      <c r="N15901" t="s">
        <v>37190</v>
      </c>
      <c r="O15901" t="s">
        <v>37191</v>
      </c>
      <c r="P15901" t="s">
        <v>37262</v>
      </c>
      <c r="R15901" s="26" t="str">
        <f>HYPERLINK("https://ictv.global/taxonomy/taxondetails?taxnode_id=202305680","Colecusatellite manihotismadagascarense")</f>
        <v>Colecusatellite manihotismadagascarense</v>
      </c>
      <c r="S15901" t="s">
        <v>30</v>
      </c>
      <c r="T15901" t="s">
        <v>37281</v>
      </c>
      <c r="U15901" t="s">
        <v>37282</v>
      </c>
      <c r="V15901" t="s">
        <v>37283</v>
      </c>
      <c r="W15901" t="s">
        <v>37284</v>
      </c>
      <c r="X15901" t="s">
        <v>42</v>
      </c>
      <c r="Y15901" t="s">
        <v>10517</v>
      </c>
      <c r="Z15901" t="s">
        <v>13441</v>
      </c>
      <c r="AA15901" s="22" t="str">
        <f>HYPERLINK("https://www.ncbi.nlm.nih.gov/nuccore/HE984148","NCBI Nucleotide")</f>
        <v>NCBI Nucleotide</v>
      </c>
    </row>
    <row r="15902" spans="1:27" x14ac:dyDescent="0.35">
      <c r="A15902">
        <v>1005348</v>
      </c>
      <c r="B15902">
        <v>14200</v>
      </c>
      <c r="C15902">
        <v>1</v>
      </c>
      <c r="N15902" t="s">
        <v>37190</v>
      </c>
      <c r="O15902" t="s">
        <v>37191</v>
      </c>
      <c r="P15902" t="s">
        <v>37262</v>
      </c>
      <c r="R15902" s="26" t="str">
        <f>HYPERLINK("https://ictv.global/taxonomy/taxondetails?taxnode_id=202305694","Colecusatellite nicotianae")</f>
        <v>Colecusatellite nicotianae</v>
      </c>
      <c r="S15902" t="s">
        <v>30</v>
      </c>
      <c r="T15902" t="s">
        <v>37339</v>
      </c>
      <c r="U15902" t="s">
        <v>37340</v>
      </c>
      <c r="V15902" t="s">
        <v>37341</v>
      </c>
      <c r="W15902" t="s">
        <v>37342</v>
      </c>
      <c r="X15902" t="s">
        <v>42</v>
      </c>
      <c r="Y15902" t="s">
        <v>10517</v>
      </c>
      <c r="Z15902" t="s">
        <v>13441</v>
      </c>
      <c r="AA15902" s="22" t="str">
        <f>HYPERLINK("https://www.ncbi.nlm.nih.gov/nuccore/HQ407396","NCBI Nucleotide")</f>
        <v>NCBI Nucleotide</v>
      </c>
    </row>
    <row r="15903" spans="1:27" x14ac:dyDescent="0.35">
      <c r="A15903">
        <v>1005342</v>
      </c>
      <c r="B15903">
        <v>14201</v>
      </c>
      <c r="C15903">
        <v>1</v>
      </c>
      <c r="N15903" t="s">
        <v>37190</v>
      </c>
      <c r="O15903" t="s">
        <v>37191</v>
      </c>
      <c r="P15903" t="s">
        <v>37262</v>
      </c>
      <c r="R15903" s="26" t="str">
        <f>HYPERLINK("https://ictv.global/taxonomy/taxondetails?taxnode_id=202305689","Colecusatellite pedilanthi")</f>
        <v>Colecusatellite pedilanthi</v>
      </c>
      <c r="S15903" t="s">
        <v>30</v>
      </c>
      <c r="T15903" t="s">
        <v>37316</v>
      </c>
      <c r="U15903" t="s">
        <v>37317</v>
      </c>
      <c r="V15903" t="s">
        <v>37318</v>
      </c>
      <c r="W15903" t="s">
        <v>37319</v>
      </c>
      <c r="X15903" t="s">
        <v>42</v>
      </c>
      <c r="Y15903" t="s">
        <v>10517</v>
      </c>
      <c r="Z15903" t="s">
        <v>13441</v>
      </c>
      <c r="AA15903" s="22" t="str">
        <f>HYPERLINK("https://www.ncbi.nlm.nih.gov/nuccore/KX168428","NCBI Nucleotide")</f>
        <v>NCBI Nucleotide</v>
      </c>
    </row>
    <row r="15904" spans="1:27" x14ac:dyDescent="0.35">
      <c r="A15904">
        <v>1005343</v>
      </c>
      <c r="B15904">
        <v>14202</v>
      </c>
      <c r="C15904">
        <v>1</v>
      </c>
      <c r="N15904" t="s">
        <v>37190</v>
      </c>
      <c r="O15904" t="s">
        <v>37191</v>
      </c>
      <c r="P15904" t="s">
        <v>37262</v>
      </c>
      <c r="R15904" s="26" t="str">
        <f>HYPERLINK("https://ictv.global/taxonomy/taxondetails?taxnode_id=202305690","Colecusatellite sidaprimi")</f>
        <v>Colecusatellite sidaprimi</v>
      </c>
      <c r="S15904" t="s">
        <v>30</v>
      </c>
      <c r="T15904" t="s">
        <v>37320</v>
      </c>
      <c r="U15904" t="s">
        <v>37321</v>
      </c>
      <c r="V15904" t="s">
        <v>37322</v>
      </c>
      <c r="W15904" t="s">
        <v>37323</v>
      </c>
      <c r="X15904" t="s">
        <v>42</v>
      </c>
      <c r="Y15904" t="s">
        <v>10517</v>
      </c>
      <c r="Z15904" t="s">
        <v>13441</v>
      </c>
      <c r="AA15904" s="22" t="str">
        <f>HYPERLINK("https://www.ncbi.nlm.nih.gov/nuccore/FR772088","NCBI Nucleotide")</f>
        <v>NCBI Nucleotide</v>
      </c>
    </row>
    <row r="15905" spans="1:27" x14ac:dyDescent="0.35">
      <c r="A15905">
        <v>1005344</v>
      </c>
      <c r="B15905">
        <v>14203</v>
      </c>
      <c r="C15905">
        <v>1</v>
      </c>
      <c r="N15905" t="s">
        <v>37190</v>
      </c>
      <c r="O15905" t="s">
        <v>37191</v>
      </c>
      <c r="P15905" t="s">
        <v>37262</v>
      </c>
      <c r="R15905" s="26" t="str">
        <f>HYPERLINK("https://ictv.global/taxonomy/taxondetails?taxnode_id=202308797","Colecusatellite sidasecundi")</f>
        <v>Colecusatellite sidasecundi</v>
      </c>
      <c r="S15905" t="s">
        <v>30</v>
      </c>
      <c r="T15905" t="s">
        <v>37320</v>
      </c>
      <c r="U15905" t="s">
        <v>37324</v>
      </c>
      <c r="V15905" t="s">
        <v>37325</v>
      </c>
      <c r="W15905" t="s">
        <v>37326</v>
      </c>
      <c r="X15905" t="s">
        <v>42</v>
      </c>
      <c r="Y15905" t="s">
        <v>10517</v>
      </c>
      <c r="Z15905" t="s">
        <v>13441</v>
      </c>
      <c r="AA15905" s="22" t="str">
        <f>HYPERLINK("https://www.ncbi.nlm.nih.gov/nuccore/KX513861","NCBI Nucleotide")</f>
        <v>NCBI Nucleotide</v>
      </c>
    </row>
    <row r="15906" spans="1:27" x14ac:dyDescent="0.35">
      <c r="A15906">
        <v>1005345</v>
      </c>
      <c r="B15906">
        <v>14204</v>
      </c>
      <c r="C15906">
        <v>1</v>
      </c>
      <c r="N15906" t="s">
        <v>37190</v>
      </c>
      <c r="O15906" t="s">
        <v>37191</v>
      </c>
      <c r="P15906" t="s">
        <v>37262</v>
      </c>
      <c r="R15906" s="26" t="str">
        <f>HYPERLINK("https://ictv.global/taxonomy/taxondetails?taxnode_id=202305691","Colecusatellite sidavietnamense")</f>
        <v>Colecusatellite sidavietnamense</v>
      </c>
      <c r="S15906" t="s">
        <v>30</v>
      </c>
      <c r="T15906" t="s">
        <v>37327</v>
      </c>
      <c r="U15906" t="s">
        <v>37328</v>
      </c>
      <c r="V15906" t="s">
        <v>37329</v>
      </c>
      <c r="W15906" t="s">
        <v>37330</v>
      </c>
      <c r="X15906" t="s">
        <v>42</v>
      </c>
      <c r="Y15906" t="s">
        <v>10517</v>
      </c>
      <c r="Z15906" t="s">
        <v>13441</v>
      </c>
      <c r="AA15906" s="22" t="str">
        <f>HYPERLINK("https://www.ncbi.nlm.nih.gov/nuccore/DQ641718","NCBI Nucleotide")</f>
        <v>NCBI Nucleotide</v>
      </c>
    </row>
    <row r="15907" spans="1:27" x14ac:dyDescent="0.35">
      <c r="A15907">
        <v>1005349</v>
      </c>
      <c r="B15907">
        <v>14205</v>
      </c>
      <c r="C15907">
        <v>1</v>
      </c>
      <c r="N15907" t="s">
        <v>37190</v>
      </c>
      <c r="O15907" t="s">
        <v>37191</v>
      </c>
      <c r="P15907" t="s">
        <v>37262</v>
      </c>
      <c r="R15907" s="26" t="str">
        <f>HYPERLINK("https://ictv.global/taxonomy/taxondetails?taxnode_id=202305695","Colecusatellite solanumbueaense")</f>
        <v>Colecusatellite solanumbueaense</v>
      </c>
      <c r="S15907" t="s">
        <v>30</v>
      </c>
      <c r="T15907" t="s">
        <v>37343</v>
      </c>
      <c r="U15907" t="s">
        <v>37344</v>
      </c>
      <c r="V15907" t="s">
        <v>37345</v>
      </c>
      <c r="W15907" t="s">
        <v>37346</v>
      </c>
      <c r="X15907" t="s">
        <v>42</v>
      </c>
      <c r="Y15907" t="s">
        <v>10517</v>
      </c>
      <c r="Z15907" t="s">
        <v>13441</v>
      </c>
      <c r="AA15907" s="22" t="str">
        <f>HYPERLINK("https://www.ncbi.nlm.nih.gov/nuccore/FN675299","NCBI Nucleotide")</f>
        <v>NCBI Nucleotide</v>
      </c>
    </row>
    <row r="15908" spans="1:27" x14ac:dyDescent="0.35">
      <c r="A15908">
        <v>1005350</v>
      </c>
      <c r="B15908">
        <v>14206</v>
      </c>
      <c r="C15908">
        <v>1</v>
      </c>
      <c r="N15908" t="s">
        <v>37190</v>
      </c>
      <c r="O15908" t="s">
        <v>37191</v>
      </c>
      <c r="P15908" t="s">
        <v>37262</v>
      </c>
      <c r="R15908" s="26" t="str">
        <f>HYPERLINK("https://ictv.global/taxonomy/taxondetails?taxnode_id=202305696","Colecusatellite solanumcameroonense")</f>
        <v>Colecusatellite solanumcameroonense</v>
      </c>
      <c r="S15908" t="s">
        <v>30</v>
      </c>
      <c r="T15908" t="s">
        <v>37347</v>
      </c>
      <c r="U15908" t="s">
        <v>37348</v>
      </c>
      <c r="V15908" t="s">
        <v>37349</v>
      </c>
      <c r="W15908" t="s">
        <v>37350</v>
      </c>
      <c r="X15908" t="s">
        <v>42</v>
      </c>
      <c r="Y15908" t="s">
        <v>10517</v>
      </c>
      <c r="Z15908" t="s">
        <v>13441</v>
      </c>
      <c r="AA15908" s="22" t="str">
        <f>HYPERLINK("https://www.ncbi.nlm.nih.gov/nuccore/FN675296","NCBI Nucleotide")</f>
        <v>NCBI Nucleotide</v>
      </c>
    </row>
    <row r="15909" spans="1:27" x14ac:dyDescent="0.35">
      <c r="A15909">
        <v>1005352</v>
      </c>
      <c r="B15909">
        <v>14207</v>
      </c>
      <c r="C15909">
        <v>1</v>
      </c>
      <c r="N15909" t="s">
        <v>37190</v>
      </c>
      <c r="O15909" t="s">
        <v>37191</v>
      </c>
      <c r="P15909" t="s">
        <v>37262</v>
      </c>
      <c r="R15909" s="26" t="str">
        <f>HYPERLINK("https://ictv.global/taxonomy/taxondetails?taxnode_id=202305697","Colecusatellite solanumflavuschinaense")</f>
        <v>Colecusatellite solanumflavuschinaense</v>
      </c>
      <c r="S15909" t="s">
        <v>30</v>
      </c>
      <c r="T15909" t="s">
        <v>37355</v>
      </c>
      <c r="U15909" t="s">
        <v>37356</v>
      </c>
      <c r="V15909" t="s">
        <v>37357</v>
      </c>
      <c r="W15909" t="s">
        <v>37358</v>
      </c>
      <c r="X15909" t="s">
        <v>42</v>
      </c>
      <c r="Y15909" t="s">
        <v>10517</v>
      </c>
      <c r="Z15909" t="s">
        <v>13441</v>
      </c>
      <c r="AA15909" s="22" t="str">
        <f>HYPERLINK("https://www.ncbi.nlm.nih.gov/nuccore/AM749493","NCBI Nucleotide")</f>
        <v>NCBI Nucleotide</v>
      </c>
    </row>
    <row r="15910" spans="1:27" x14ac:dyDescent="0.35">
      <c r="A15910">
        <v>1005353</v>
      </c>
      <c r="B15910">
        <v>14208</v>
      </c>
      <c r="C15910">
        <v>1</v>
      </c>
      <c r="N15910" t="s">
        <v>37190</v>
      </c>
      <c r="O15910" t="s">
        <v>37191</v>
      </c>
      <c r="P15910" t="s">
        <v>37262</v>
      </c>
      <c r="R15910" s="26" t="str">
        <f>HYPERLINK("https://ictv.global/taxonomy/taxondetails?taxnode_id=202305698","Colecusatellite solanumflavusthailandense")</f>
        <v>Colecusatellite solanumflavusthailandense</v>
      </c>
      <c r="S15910" t="s">
        <v>30</v>
      </c>
      <c r="T15910" t="s">
        <v>37359</v>
      </c>
      <c r="U15910" t="s">
        <v>37360</v>
      </c>
      <c r="V15910" t="s">
        <v>37361</v>
      </c>
      <c r="W15910" t="s">
        <v>37362</v>
      </c>
      <c r="X15910" t="s">
        <v>42</v>
      </c>
      <c r="Y15910" t="s">
        <v>10517</v>
      </c>
      <c r="Z15910" t="s">
        <v>13441</v>
      </c>
      <c r="AA15910" s="22" t="str">
        <f>HYPERLINK("https://www.ncbi.nlm.nih.gov/nuccore/AJ579359","NCBI Nucleotide")</f>
        <v>NCBI Nucleotide</v>
      </c>
    </row>
    <row r="15911" spans="1:27" x14ac:dyDescent="0.35">
      <c r="A15911">
        <v>1005354</v>
      </c>
      <c r="B15911">
        <v>14209</v>
      </c>
      <c r="C15911">
        <v>1</v>
      </c>
      <c r="N15911" t="s">
        <v>37190</v>
      </c>
      <c r="O15911" t="s">
        <v>37191</v>
      </c>
      <c r="P15911" t="s">
        <v>37262</v>
      </c>
      <c r="R15911" s="26" t="str">
        <f>HYPERLINK("https://ictv.global/taxonomy/taxondetails?taxnode_id=202305699","Colecusatellite solanumflavusyunnanense")</f>
        <v>Colecusatellite solanumflavusyunnanense</v>
      </c>
      <c r="S15911" t="s">
        <v>30</v>
      </c>
      <c r="T15911" t="s">
        <v>37363</v>
      </c>
      <c r="U15911" t="s">
        <v>37364</v>
      </c>
      <c r="V15911" t="s">
        <v>37365</v>
      </c>
      <c r="W15911" t="s">
        <v>37366</v>
      </c>
      <c r="X15911" t="s">
        <v>42</v>
      </c>
      <c r="Y15911" t="s">
        <v>10517</v>
      </c>
      <c r="Z15911" t="s">
        <v>13441</v>
      </c>
      <c r="AA15911" s="22" t="str">
        <f>HYPERLINK("https://www.ncbi.nlm.nih.gov/nuccore/KX759649","NCBI Nucleotide")</f>
        <v>NCBI Nucleotide</v>
      </c>
    </row>
    <row r="15912" spans="1:27" x14ac:dyDescent="0.35">
      <c r="A15912">
        <v>1005351</v>
      </c>
      <c r="B15912">
        <v>14210</v>
      </c>
      <c r="C15912">
        <v>1</v>
      </c>
      <c r="N15912" t="s">
        <v>37190</v>
      </c>
      <c r="O15912" t="s">
        <v>37191</v>
      </c>
      <c r="P15912" t="s">
        <v>37262</v>
      </c>
      <c r="R15912" s="26" t="str">
        <f>HYPERLINK("https://ictv.global/taxonomy/taxondetails?taxnode_id=202307294","Colecusatellite solanumpakistanense")</f>
        <v>Colecusatellite solanumpakistanense</v>
      </c>
      <c r="S15912" t="s">
        <v>30</v>
      </c>
      <c r="T15912" t="s">
        <v>37351</v>
      </c>
      <c r="U15912" t="s">
        <v>37352</v>
      </c>
      <c r="V15912" t="s">
        <v>37353</v>
      </c>
      <c r="W15912" t="s">
        <v>37354</v>
      </c>
      <c r="X15912" t="s">
        <v>42</v>
      </c>
      <c r="Y15912" t="s">
        <v>10517</v>
      </c>
      <c r="Z15912" t="s">
        <v>13441</v>
      </c>
      <c r="AA15912" s="22" t="str">
        <f>HYPERLINK("https://www.ncbi.nlm.nih.gov/nuccore/KY420167","NCBI Nucleotide")</f>
        <v>NCBI Nucleotide</v>
      </c>
    </row>
    <row r="15913" spans="1:27" x14ac:dyDescent="0.35">
      <c r="A15913">
        <v>1005347</v>
      </c>
      <c r="B15913">
        <v>14211</v>
      </c>
      <c r="C15913">
        <v>1</v>
      </c>
      <c r="N15913" t="s">
        <v>37190</v>
      </c>
      <c r="O15913" t="s">
        <v>37191</v>
      </c>
      <c r="P15913" t="s">
        <v>37262</v>
      </c>
      <c r="R15913" s="26" t="str">
        <f>HYPERLINK("https://ictv.global/taxonomy/taxondetails?taxnode_id=202305693","Colecusatellite synedrellae")</f>
        <v>Colecusatellite synedrellae</v>
      </c>
      <c r="S15913" t="s">
        <v>30</v>
      </c>
      <c r="T15913" t="s">
        <v>37335</v>
      </c>
      <c r="U15913" t="s">
        <v>37336</v>
      </c>
      <c r="V15913" t="s">
        <v>37337</v>
      </c>
      <c r="W15913" t="s">
        <v>37338</v>
      </c>
      <c r="X15913" t="s">
        <v>42</v>
      </c>
      <c r="Y15913" t="s">
        <v>10517</v>
      </c>
      <c r="Z15913" t="s">
        <v>13441</v>
      </c>
      <c r="AA15913" s="22" t="str">
        <f>HYPERLINK("https://www.ncbi.nlm.nih.gov/nuccore/KJ939346","NCBI Nucleotide")</f>
        <v>NCBI Nucleotide</v>
      </c>
    </row>
    <row r="15914" spans="1:27" x14ac:dyDescent="0.35">
      <c r="A15914">
        <v>1005355</v>
      </c>
      <c r="B15914">
        <v>14212</v>
      </c>
      <c r="C15914">
        <v>1</v>
      </c>
      <c r="N15914" t="s">
        <v>37190</v>
      </c>
      <c r="O15914" t="s">
        <v>37191</v>
      </c>
      <c r="P15914" t="s">
        <v>37367</v>
      </c>
      <c r="R15914" s="26" t="str">
        <f>HYPERLINK("https://ictv.global/taxonomy/taxondetails?taxnode_id=202305708","Draflysatellite libellulae")</f>
        <v>Draflysatellite libellulae</v>
      </c>
      <c r="S15914" t="s">
        <v>30</v>
      </c>
      <c r="T15914" t="s">
        <v>37368</v>
      </c>
      <c r="U15914" t="s">
        <v>37369</v>
      </c>
      <c r="V15914" t="s">
        <v>37370</v>
      </c>
      <c r="W15914" t="s">
        <v>37371</v>
      </c>
      <c r="X15914" t="s">
        <v>42</v>
      </c>
      <c r="Y15914" t="s">
        <v>10517</v>
      </c>
      <c r="Z15914" t="s">
        <v>10790</v>
      </c>
      <c r="AA15914" s="22" t="str">
        <f>HYPERLINK("https://www.ncbi.nlm.nih.gov/nuccore/JX458742","NCBI Nucleotide")</f>
        <v>NCBI Nucleotide</v>
      </c>
    </row>
    <row r="15915" spans="1:27" x14ac:dyDescent="0.35">
      <c r="A15915">
        <v>1005361</v>
      </c>
      <c r="B15915">
        <v>14213</v>
      </c>
      <c r="C15915">
        <v>1</v>
      </c>
      <c r="N15915" t="s">
        <v>37190</v>
      </c>
      <c r="O15915" t="s">
        <v>37191</v>
      </c>
      <c r="P15915" t="s">
        <v>37372</v>
      </c>
      <c r="R15915" s="26" t="str">
        <f>HYPERLINK("https://ictv.global/taxonomy/taxondetails?taxnode_id=202305704","Gosmusatellite abelmoschi")</f>
        <v>Gosmusatellite abelmoschi</v>
      </c>
      <c r="S15915" t="s">
        <v>30</v>
      </c>
      <c r="T15915" t="s">
        <v>37393</v>
      </c>
      <c r="U15915" t="s">
        <v>37394</v>
      </c>
      <c r="V15915" t="s">
        <v>37395</v>
      </c>
      <c r="W15915" t="s">
        <v>37396</v>
      </c>
      <c r="X15915" t="s">
        <v>42</v>
      </c>
      <c r="Y15915" t="s">
        <v>10517</v>
      </c>
      <c r="Z15915" t="s">
        <v>13441</v>
      </c>
      <c r="AA15915" s="22" t="str">
        <f>HYPERLINK("https://www.ncbi.nlm.nih.gov/nuccore/HF546575","NCBI Nucleotide")</f>
        <v>NCBI Nucleotide</v>
      </c>
    </row>
    <row r="15916" spans="1:27" x14ac:dyDescent="0.35">
      <c r="A15916">
        <v>1005362</v>
      </c>
      <c r="B15916">
        <v>14214</v>
      </c>
      <c r="C15916">
        <v>1</v>
      </c>
      <c r="N15916" t="s">
        <v>37190</v>
      </c>
      <c r="O15916" t="s">
        <v>37191</v>
      </c>
      <c r="P15916" t="s">
        <v>37372</v>
      </c>
      <c r="R15916" s="26" t="str">
        <f>HYPERLINK("https://ictv.global/taxonomy/taxondetails?taxnode_id=202305705","Gosmusatellite abelmoschuscameroonense")</f>
        <v>Gosmusatellite abelmoschuscameroonense</v>
      </c>
      <c r="S15916" t="s">
        <v>30</v>
      </c>
      <c r="T15916" t="s">
        <v>37397</v>
      </c>
      <c r="U15916" t="s">
        <v>37398</v>
      </c>
      <c r="V15916" t="s">
        <v>37399</v>
      </c>
      <c r="W15916" t="s">
        <v>37400</v>
      </c>
      <c r="X15916" t="s">
        <v>42</v>
      </c>
      <c r="Y15916" t="s">
        <v>10517</v>
      </c>
      <c r="Z15916" t="s">
        <v>13441</v>
      </c>
      <c r="AA15916" s="22" t="str">
        <f>HYPERLINK("https://www.ncbi.nlm.nih.gov/nuccore/FN675285","NCBI Nucleotide")</f>
        <v>NCBI Nucleotide</v>
      </c>
    </row>
    <row r="15917" spans="1:27" x14ac:dyDescent="0.35">
      <c r="A15917">
        <v>1005359</v>
      </c>
      <c r="B15917">
        <v>14215</v>
      </c>
      <c r="C15917">
        <v>1</v>
      </c>
      <c r="N15917" t="s">
        <v>37190</v>
      </c>
      <c r="O15917" t="s">
        <v>37191</v>
      </c>
      <c r="P15917" t="s">
        <v>37372</v>
      </c>
      <c r="R15917" s="26" t="str">
        <f>HYPERLINK("https://ictv.global/taxonomy/taxondetails?taxnode_id=202305702","Gosmusatellite alceae")</f>
        <v>Gosmusatellite alceae</v>
      </c>
      <c r="S15917" t="s">
        <v>30</v>
      </c>
      <c r="T15917" t="s">
        <v>37385</v>
      </c>
      <c r="U15917" t="s">
        <v>37386</v>
      </c>
      <c r="V15917" t="s">
        <v>37387</v>
      </c>
      <c r="W15917" t="s">
        <v>37388</v>
      </c>
      <c r="X15917" t="s">
        <v>42</v>
      </c>
      <c r="Y15917" t="s">
        <v>10517</v>
      </c>
      <c r="Z15917" t="s">
        <v>13441</v>
      </c>
      <c r="AA15917" s="22" t="str">
        <f>HYPERLINK("https://www.ncbi.nlm.nih.gov/nuccore/FR772086","NCBI Nucleotide")</f>
        <v>NCBI Nucleotide</v>
      </c>
    </row>
    <row r="15918" spans="1:27" x14ac:dyDescent="0.35">
      <c r="A15918">
        <v>1005357</v>
      </c>
      <c r="B15918">
        <v>14216</v>
      </c>
      <c r="C15918">
        <v>1</v>
      </c>
      <c r="N15918" t="s">
        <v>37190</v>
      </c>
      <c r="O15918" t="s">
        <v>37191</v>
      </c>
      <c r="P15918" t="s">
        <v>37372</v>
      </c>
      <c r="R15918" s="26" t="str">
        <f>HYPERLINK("https://ictv.global/taxonomy/taxondetails?taxnode_id=202307293","Gosmusatellite ecliptae")</f>
        <v>Gosmusatellite ecliptae</v>
      </c>
      <c r="S15918" t="s">
        <v>30</v>
      </c>
      <c r="T15918" t="s">
        <v>37377</v>
      </c>
      <c r="U15918" t="s">
        <v>37378</v>
      </c>
      <c r="V15918" t="s">
        <v>37379</v>
      </c>
      <c r="W15918" t="s">
        <v>37380</v>
      </c>
      <c r="X15918" t="s">
        <v>42</v>
      </c>
      <c r="Y15918" t="s">
        <v>10517</v>
      </c>
      <c r="Z15918" t="s">
        <v>13441</v>
      </c>
      <c r="AA15918" s="22" t="str">
        <f>HYPERLINK("https://www.ncbi.nlm.nih.gov/nuccore/KX938425","NCBI Nucleotide")</f>
        <v>NCBI Nucleotide</v>
      </c>
    </row>
    <row r="15919" spans="1:27" x14ac:dyDescent="0.35">
      <c r="A15919">
        <v>1005356</v>
      </c>
      <c r="B15919">
        <v>14217</v>
      </c>
      <c r="C15919">
        <v>1</v>
      </c>
      <c r="N15919" t="s">
        <v>37190</v>
      </c>
      <c r="O15919" t="s">
        <v>37191</v>
      </c>
      <c r="P15919" t="s">
        <v>37372</v>
      </c>
      <c r="R15919" s="26" t="str">
        <f>HYPERLINK("https://ictv.global/taxonomy/taxondetails?taxnode_id=202308796","Gosmusatellite gossypicameroonense")</f>
        <v>Gosmusatellite gossypicameroonense</v>
      </c>
      <c r="S15919" t="s">
        <v>30</v>
      </c>
      <c r="T15919" t="s">
        <v>37373</v>
      </c>
      <c r="U15919" t="s">
        <v>37374</v>
      </c>
      <c r="V15919" t="s">
        <v>37375</v>
      </c>
      <c r="W15919" t="s">
        <v>37376</v>
      </c>
      <c r="X15919" t="s">
        <v>42</v>
      </c>
      <c r="Y15919" t="s">
        <v>10517</v>
      </c>
      <c r="Z15919" t="s">
        <v>13441</v>
      </c>
      <c r="AA15919" s="22" t="str">
        <f>HYPERLINK("https://www.ncbi.nlm.nih.gov/nuccore/MN614472","NCBI Nucleotide")</f>
        <v>NCBI Nucleotide</v>
      </c>
    </row>
    <row r="15920" spans="1:27" x14ac:dyDescent="0.35">
      <c r="A15920">
        <v>1005358</v>
      </c>
      <c r="B15920">
        <v>14218</v>
      </c>
      <c r="C15920">
        <v>1</v>
      </c>
      <c r="N15920" t="s">
        <v>37190</v>
      </c>
      <c r="O15920" t="s">
        <v>37191</v>
      </c>
      <c r="P15920" t="s">
        <v>37372</v>
      </c>
      <c r="R15920" s="26" t="str">
        <f>HYPERLINK("https://ictv.global/taxonomy/taxondetails?taxnode_id=202305701","Gosmusatellite gossypiummustelini")</f>
        <v>Gosmusatellite gossypiummustelini</v>
      </c>
      <c r="S15920" t="s">
        <v>30</v>
      </c>
      <c r="T15920" t="s">
        <v>37381</v>
      </c>
      <c r="U15920" t="s">
        <v>37382</v>
      </c>
      <c r="V15920" t="s">
        <v>37383</v>
      </c>
      <c r="W15920" t="s">
        <v>37384</v>
      </c>
      <c r="X15920" t="s">
        <v>42</v>
      </c>
      <c r="Y15920" t="s">
        <v>10517</v>
      </c>
      <c r="Z15920" t="s">
        <v>13441</v>
      </c>
      <c r="AA15920" s="22" t="str">
        <f>HYPERLINK("https://www.ncbi.nlm.nih.gov/nuccore/EU384656","NCBI Nucleotide")</f>
        <v>NCBI Nucleotide</v>
      </c>
    </row>
    <row r="15921" spans="1:27" x14ac:dyDescent="0.35">
      <c r="A15921">
        <v>1005360</v>
      </c>
      <c r="B15921">
        <v>14219</v>
      </c>
      <c r="C15921">
        <v>1</v>
      </c>
      <c r="N15921" t="s">
        <v>37190</v>
      </c>
      <c r="O15921" t="s">
        <v>37191</v>
      </c>
      <c r="P15921" t="s">
        <v>37372</v>
      </c>
      <c r="R15921" s="26" t="str">
        <f>HYPERLINK("https://ictv.global/taxonomy/taxondetails?taxnode_id=202305703","Gosmusatellite mestae")</f>
        <v>Gosmusatellite mestae</v>
      </c>
      <c r="S15921" t="s">
        <v>30</v>
      </c>
      <c r="T15921" t="s">
        <v>37389</v>
      </c>
      <c r="U15921" t="s">
        <v>37390</v>
      </c>
      <c r="V15921" t="s">
        <v>37391</v>
      </c>
      <c r="W15921" t="s">
        <v>37392</v>
      </c>
      <c r="X15921" t="s">
        <v>42</v>
      </c>
      <c r="Y15921" t="s">
        <v>10517</v>
      </c>
      <c r="Z15921" t="s">
        <v>13441</v>
      </c>
      <c r="AA15921" s="22" t="str">
        <f>HYPERLINK("https://www.ncbi.nlm.nih.gov/nuccore/JX183090","NCBI Nucleotide")</f>
        <v>NCBI Nucleotide</v>
      </c>
    </row>
    <row r="15922" spans="1:27" x14ac:dyDescent="0.35">
      <c r="A15922">
        <v>1005363</v>
      </c>
      <c r="B15922">
        <v>14220</v>
      </c>
      <c r="C15922">
        <v>1</v>
      </c>
      <c r="N15922" t="s">
        <v>37190</v>
      </c>
      <c r="O15922" t="s">
        <v>37191</v>
      </c>
      <c r="P15922" t="s">
        <v>37372</v>
      </c>
      <c r="R15922" s="26" t="str">
        <f>HYPERLINK("https://ictv.global/taxonomy/taxondetails?taxnode_id=202305706","Gosmusatellite vernoniafujianense")</f>
        <v>Gosmusatellite vernoniafujianense</v>
      </c>
      <c r="S15922" t="s">
        <v>30</v>
      </c>
      <c r="T15922" t="s">
        <v>37401</v>
      </c>
      <c r="U15922" t="s">
        <v>37402</v>
      </c>
      <c r="V15922" t="s">
        <v>37403</v>
      </c>
      <c r="W15922" t="s">
        <v>37404</v>
      </c>
      <c r="X15922" t="s">
        <v>42</v>
      </c>
      <c r="Y15922" t="s">
        <v>10517</v>
      </c>
      <c r="Z15922" t="s">
        <v>13441</v>
      </c>
      <c r="AA15922" s="22" t="str">
        <f>HYPERLINK("https://www.ncbi.nlm.nih.gov/nuccore/KC959931","NCBI Nucleotide")</f>
        <v>NCBI Nucleotide</v>
      </c>
    </row>
    <row r="15923" spans="1:27" x14ac:dyDescent="0.35">
      <c r="A15923">
        <v>1005364</v>
      </c>
      <c r="B15923">
        <v>14221</v>
      </c>
      <c r="C15923">
        <v>1</v>
      </c>
      <c r="N15923" t="s">
        <v>37190</v>
      </c>
      <c r="O15923" t="s">
        <v>37191</v>
      </c>
      <c r="P15923" t="s">
        <v>37405</v>
      </c>
      <c r="R15923" s="26" t="str">
        <f>HYPERLINK("https://ictv.global/taxonomy/taxondetails?taxnode_id=202308802","Somasatellite sorghi")</f>
        <v>Somasatellite sorghi</v>
      </c>
      <c r="S15923" t="s">
        <v>30</v>
      </c>
      <c r="T15923" t="s">
        <v>37406</v>
      </c>
      <c r="U15923" t="s">
        <v>37407</v>
      </c>
      <c r="V15923" t="s">
        <v>37408</v>
      </c>
      <c r="W15923" t="s">
        <v>37409</v>
      </c>
      <c r="X15923" t="s">
        <v>42</v>
      </c>
      <c r="Y15923" t="s">
        <v>10517</v>
      </c>
      <c r="Z15923" t="s">
        <v>10790</v>
      </c>
      <c r="AA15923" s="22" t="str">
        <f>HYPERLINK("https://www.ncbi.nlm.nih.gov/nuccore/MN901968","NCBI Nucleotide")</f>
        <v>NCBI Nucleotide</v>
      </c>
    </row>
    <row r="15924" spans="1:27" x14ac:dyDescent="0.35">
      <c r="A15924">
        <v>1005365</v>
      </c>
      <c r="B15924">
        <v>14222</v>
      </c>
      <c r="C15924">
        <v>1</v>
      </c>
      <c r="N15924" t="s">
        <v>37190</v>
      </c>
      <c r="O15924" t="s">
        <v>37191</v>
      </c>
      <c r="P15924" t="s">
        <v>37410</v>
      </c>
      <c r="R15924" s="26" t="str">
        <f>HYPERLINK("https://ictv.global/taxonomy/taxondetails?taxnode_id=202305709","Whiflysatellite guatemalaense")</f>
        <v>Whiflysatellite guatemalaense</v>
      </c>
      <c r="S15924" t="s">
        <v>30</v>
      </c>
      <c r="T15924" t="s">
        <v>37411</v>
      </c>
      <c r="U15924" t="s">
        <v>37412</v>
      </c>
      <c r="V15924" t="s">
        <v>37413</v>
      </c>
      <c r="W15924" t="s">
        <v>37414</v>
      </c>
      <c r="X15924" t="s">
        <v>42</v>
      </c>
      <c r="Y15924" t="s">
        <v>10517</v>
      </c>
      <c r="Z15924" t="s">
        <v>13441</v>
      </c>
      <c r="AA15924" s="22" t="str">
        <f>HYPERLINK("https://www.ncbi.nlm.nih.gov/nuccore/KT099172","NCBI Nucleotide")</f>
        <v>NCBI Nucleotide</v>
      </c>
    </row>
    <row r="15925" spans="1:27" x14ac:dyDescent="0.35">
      <c r="A15925">
        <v>1005366</v>
      </c>
      <c r="B15925">
        <v>14223</v>
      </c>
      <c r="C15925">
        <v>1</v>
      </c>
      <c r="N15925" t="s">
        <v>37190</v>
      </c>
      <c r="O15925" t="s">
        <v>37415</v>
      </c>
      <c r="P15925" t="s">
        <v>37416</v>
      </c>
      <c r="R15925" s="26" t="str">
        <f>HYPERLINK("https://ictv.global/taxonomy/taxondetails?taxnode_id=202305716","Clostunsatellite astragali")</f>
        <v>Clostunsatellite astragali</v>
      </c>
      <c r="S15925" t="s">
        <v>30</v>
      </c>
      <c r="T15925" t="s">
        <v>37417</v>
      </c>
      <c r="U15925" t="s">
        <v>37418</v>
      </c>
      <c r="V15925" t="s">
        <v>37419</v>
      </c>
      <c r="W15925" t="s">
        <v>37420</v>
      </c>
      <c r="X15925" t="s">
        <v>42</v>
      </c>
      <c r="Y15925" t="s">
        <v>10517</v>
      </c>
      <c r="Z15925" t="s">
        <v>13441</v>
      </c>
      <c r="AA15925" s="22" t="str">
        <f>HYPERLINK("https://www.ncbi.nlm.nih.gov/nuccore/AB000922","NCBI Nucleotide")</f>
        <v>NCBI Nucleotide</v>
      </c>
    </row>
    <row r="15926" spans="1:27" x14ac:dyDescent="0.35">
      <c r="A15926">
        <v>1005367</v>
      </c>
      <c r="B15926">
        <v>14224</v>
      </c>
      <c r="C15926">
        <v>1</v>
      </c>
      <c r="N15926" t="s">
        <v>37190</v>
      </c>
      <c r="O15926" t="s">
        <v>37415</v>
      </c>
      <c r="P15926" t="s">
        <v>37416</v>
      </c>
      <c r="R15926" s="26" t="str">
        <f>HYPERLINK("https://ictv.global/taxonomy/taxondetails?taxnode_id=202305717","Clostunsatellite pisi")</f>
        <v>Clostunsatellite pisi</v>
      </c>
      <c r="S15926" t="s">
        <v>30</v>
      </c>
      <c r="T15926" t="s">
        <v>37421</v>
      </c>
      <c r="U15926" t="s">
        <v>37422</v>
      </c>
      <c r="V15926" t="s">
        <v>37423</v>
      </c>
      <c r="W15926" t="s">
        <v>37424</v>
      </c>
      <c r="X15926" t="s">
        <v>42</v>
      </c>
      <c r="Y15926" t="s">
        <v>10517</v>
      </c>
      <c r="Z15926" t="s">
        <v>13441</v>
      </c>
      <c r="AA15926" s="22" t="str">
        <f>HYPERLINK("https://www.ncbi.nlm.nih.gov/nuccore/KC979052","NCBI Nucleotide")</f>
        <v>NCBI Nucleotide</v>
      </c>
    </row>
    <row r="15927" spans="1:27" x14ac:dyDescent="0.35">
      <c r="A15927">
        <v>1005369</v>
      </c>
      <c r="B15927">
        <v>14225</v>
      </c>
      <c r="C15927">
        <v>1</v>
      </c>
      <c r="N15927" t="s">
        <v>37190</v>
      </c>
      <c r="O15927" t="s">
        <v>37415</v>
      </c>
      <c r="P15927" t="s">
        <v>37416</v>
      </c>
      <c r="R15927" s="26" t="str">
        <f>HYPERLINK("https://ictv.global/taxonomy/taxondetails?taxnode_id=202305719","Clostunsatellite sophokerman")</f>
        <v>Clostunsatellite sophokerman</v>
      </c>
      <c r="S15927" t="s">
        <v>30</v>
      </c>
      <c r="T15927" t="s">
        <v>37429</v>
      </c>
      <c r="U15927" t="s">
        <v>37430</v>
      </c>
      <c r="V15927" t="s">
        <v>37431</v>
      </c>
      <c r="W15927" t="s">
        <v>37432</v>
      </c>
      <c r="X15927" t="s">
        <v>42</v>
      </c>
      <c r="Y15927" t="s">
        <v>10517</v>
      </c>
      <c r="Z15927" t="s">
        <v>13441</v>
      </c>
      <c r="AA15927" s="22" t="str">
        <f>HYPERLINK("https://www.ncbi.nlm.nih.gov/nuccore/KX534398","NCBI Nucleotide")</f>
        <v>NCBI Nucleotide</v>
      </c>
    </row>
    <row r="15928" spans="1:27" x14ac:dyDescent="0.35">
      <c r="A15928">
        <v>1005368</v>
      </c>
      <c r="B15928">
        <v>14226</v>
      </c>
      <c r="C15928">
        <v>1</v>
      </c>
      <c r="N15928" t="s">
        <v>37190</v>
      </c>
      <c r="O15928" t="s">
        <v>37415</v>
      </c>
      <c r="P15928" t="s">
        <v>37416</v>
      </c>
      <c r="R15928" s="26" t="str">
        <f>HYPERLINK("https://ictv.global/taxonomy/taxondetails?taxnode_id=202305718","Clostunsatellite sophorae")</f>
        <v>Clostunsatellite sophorae</v>
      </c>
      <c r="S15928" t="s">
        <v>30</v>
      </c>
      <c r="T15928" t="s">
        <v>37425</v>
      </c>
      <c r="U15928" t="s">
        <v>37426</v>
      </c>
      <c r="V15928" t="s">
        <v>37427</v>
      </c>
      <c r="W15928" t="s">
        <v>37428</v>
      </c>
      <c r="X15928" t="s">
        <v>42</v>
      </c>
      <c r="Y15928" t="s">
        <v>10517</v>
      </c>
      <c r="Z15928" t="s">
        <v>13441</v>
      </c>
      <c r="AA15928" s="22" t="str">
        <f>HYPERLINK("https://www.ncbi.nlm.nih.gov/nuccore/KX534409","NCBI Nucleotide")</f>
        <v>NCBI Nucleotide</v>
      </c>
    </row>
    <row r="15929" spans="1:27" x14ac:dyDescent="0.35">
      <c r="A15929">
        <v>1005370</v>
      </c>
      <c r="B15929">
        <v>14227</v>
      </c>
      <c r="C15929">
        <v>1</v>
      </c>
      <c r="N15929" t="s">
        <v>37190</v>
      </c>
      <c r="O15929" t="s">
        <v>37415</v>
      </c>
      <c r="P15929" t="s">
        <v>37416</v>
      </c>
      <c r="R15929" s="26" t="str">
        <f>HYPERLINK("https://ictv.global/taxonomy/taxondetails?taxnode_id=202305720","Clostunsatellite trifolii")</f>
        <v>Clostunsatellite trifolii</v>
      </c>
      <c r="S15929" t="s">
        <v>30</v>
      </c>
      <c r="T15929" t="s">
        <v>37433</v>
      </c>
      <c r="U15929" t="s">
        <v>37434</v>
      </c>
      <c r="V15929" t="s">
        <v>37435</v>
      </c>
      <c r="W15929" t="s">
        <v>37436</v>
      </c>
      <c r="X15929" t="s">
        <v>42</v>
      </c>
      <c r="Y15929" t="s">
        <v>10517</v>
      </c>
      <c r="Z15929" t="s">
        <v>13441</v>
      </c>
      <c r="AA15929" s="22" t="str">
        <f>HYPERLINK("https://www.ncbi.nlm.nih.gov/nuccore/U16735","NCBI Nucleotide")</f>
        <v>NCBI Nucleotide</v>
      </c>
    </row>
    <row r="15930" spans="1:27" x14ac:dyDescent="0.35">
      <c r="A15930">
        <v>1005371</v>
      </c>
      <c r="B15930">
        <v>14228</v>
      </c>
      <c r="C15930">
        <v>1</v>
      </c>
      <c r="N15930" t="s">
        <v>37190</v>
      </c>
      <c r="O15930" t="s">
        <v>37415</v>
      </c>
      <c r="P15930" t="s">
        <v>37437</v>
      </c>
      <c r="R15930" s="26" t="str">
        <f>HYPERLINK("https://ictv.global/taxonomy/taxondetails?taxnode_id=202305722","Fabenesatellite fabae")</f>
        <v>Fabenesatellite fabae</v>
      </c>
      <c r="S15930" t="s">
        <v>30</v>
      </c>
      <c r="T15930" t="s">
        <v>37438</v>
      </c>
      <c r="U15930" t="s">
        <v>37439</v>
      </c>
      <c r="V15930" t="s">
        <v>37440</v>
      </c>
      <c r="W15930" t="s">
        <v>37441</v>
      </c>
      <c r="X15930" t="s">
        <v>42</v>
      </c>
      <c r="Y15930" t="s">
        <v>10517</v>
      </c>
      <c r="Z15930" t="s">
        <v>13441</v>
      </c>
      <c r="AA15930" s="22" t="str">
        <f>HYPERLINK("https://www.ncbi.nlm.nih.gov/nuccore/AJ005966","NCBI Nucleotide")</f>
        <v>NCBI Nucleotide</v>
      </c>
    </row>
    <row r="15931" spans="1:27" x14ac:dyDescent="0.35">
      <c r="A15931">
        <v>1005372</v>
      </c>
      <c r="B15931">
        <v>14229</v>
      </c>
      <c r="C15931">
        <v>1</v>
      </c>
      <c r="N15931" t="s">
        <v>37190</v>
      </c>
      <c r="O15931" t="s">
        <v>37415</v>
      </c>
      <c r="P15931" t="s">
        <v>37442</v>
      </c>
      <c r="R15931" s="26" t="str">
        <f>HYPERLINK("https://ictv.global/taxonomy/taxondetails?taxnode_id=202305724","Milvetsatellite japastra")</f>
        <v>Milvetsatellite japastra</v>
      </c>
      <c r="S15931" t="s">
        <v>30</v>
      </c>
      <c r="T15931" t="s">
        <v>37443</v>
      </c>
      <c r="U15931" t="s">
        <v>37444</v>
      </c>
      <c r="V15931" t="s">
        <v>37445</v>
      </c>
      <c r="W15931" t="s">
        <v>37446</v>
      </c>
      <c r="X15931" t="s">
        <v>42</v>
      </c>
      <c r="Y15931" t="s">
        <v>10517</v>
      </c>
      <c r="Z15931" t="s">
        <v>13441</v>
      </c>
      <c r="AA15931" s="22" t="str">
        <f>HYPERLINK("https://www.ncbi.nlm.nih.gov/nuccore/AB009047","NCBI Nucleotide")</f>
        <v>NCBI Nucleotide</v>
      </c>
    </row>
    <row r="15932" spans="1:27" x14ac:dyDescent="0.35">
      <c r="A15932">
        <v>1005374</v>
      </c>
      <c r="B15932">
        <v>14230</v>
      </c>
      <c r="C15932">
        <v>1</v>
      </c>
      <c r="N15932" t="s">
        <v>37190</v>
      </c>
      <c r="O15932" t="s">
        <v>37415</v>
      </c>
      <c r="P15932" t="s">
        <v>37447</v>
      </c>
      <c r="R15932" s="26" t="str">
        <f>HYPERLINK("https://ictv.global/taxonomy/taxondetails?taxnode_id=202305727","Mivedwarsatellite astragali")</f>
        <v>Mivedwarsatellite astragali</v>
      </c>
      <c r="S15932" t="s">
        <v>30</v>
      </c>
      <c r="T15932" t="s">
        <v>37452</v>
      </c>
      <c r="U15932" t="s">
        <v>37453</v>
      </c>
      <c r="V15932" t="s">
        <v>37454</v>
      </c>
      <c r="W15932" t="s">
        <v>37455</v>
      </c>
      <c r="X15932" t="s">
        <v>42</v>
      </c>
      <c r="Y15932" t="s">
        <v>10517</v>
      </c>
      <c r="Z15932" t="s">
        <v>13441</v>
      </c>
      <c r="AA15932" s="22" t="str">
        <f>HYPERLINK("https://www.ncbi.nlm.nih.gov/nuccore/AB000920","NCBI Nucleotide")</f>
        <v>NCBI Nucleotide</v>
      </c>
    </row>
    <row r="15933" spans="1:27" x14ac:dyDescent="0.35">
      <c r="A15933">
        <v>1005378</v>
      </c>
      <c r="B15933">
        <v>14231</v>
      </c>
      <c r="C15933">
        <v>1</v>
      </c>
      <c r="N15933" t="s">
        <v>37190</v>
      </c>
      <c r="O15933" t="s">
        <v>37415</v>
      </c>
      <c r="P15933" t="s">
        <v>37447</v>
      </c>
      <c r="R15933" s="26" t="str">
        <f>HYPERLINK("https://ictv.global/taxonomy/taxondetails?taxnode_id=202305728","Mivedwarsatellite erbse")</f>
        <v>Mivedwarsatellite erbse</v>
      </c>
      <c r="S15933" t="s">
        <v>30</v>
      </c>
      <c r="T15933" t="s">
        <v>37467</v>
      </c>
      <c r="U15933" t="s">
        <v>37468</v>
      </c>
      <c r="V15933" t="s">
        <v>37469</v>
      </c>
      <c r="W15933" t="s">
        <v>37470</v>
      </c>
      <c r="X15933" t="s">
        <v>42</v>
      </c>
      <c r="Y15933" t="s">
        <v>10517</v>
      </c>
      <c r="Z15933" t="s">
        <v>13441</v>
      </c>
      <c r="AA15933" s="22" t="str">
        <f>HYPERLINK("https://www.ncbi.nlm.nih.gov/nuccore/KC979051","NCBI Nucleotide")</f>
        <v>NCBI Nucleotide</v>
      </c>
    </row>
    <row r="15934" spans="1:27" x14ac:dyDescent="0.35">
      <c r="A15934">
        <v>1005373</v>
      </c>
      <c r="B15934">
        <v>14232</v>
      </c>
      <c r="C15934">
        <v>1</v>
      </c>
      <c r="N15934" t="s">
        <v>37190</v>
      </c>
      <c r="O15934" t="s">
        <v>37415</v>
      </c>
      <c r="P15934" t="s">
        <v>37447</v>
      </c>
      <c r="R15934" s="26" t="str">
        <f>HYPERLINK("https://ictv.global/taxonomy/taxondetails?taxnode_id=202305726","Mivedwarsatellite fabazerbai")</f>
        <v>Mivedwarsatellite fabazerbai</v>
      </c>
      <c r="S15934" t="s">
        <v>30</v>
      </c>
      <c r="T15934" t="s">
        <v>37448</v>
      </c>
      <c r="U15934" t="s">
        <v>37449</v>
      </c>
      <c r="V15934" t="s">
        <v>37450</v>
      </c>
      <c r="W15934" t="s">
        <v>37451</v>
      </c>
      <c r="X15934" t="s">
        <v>42</v>
      </c>
      <c r="Y15934" t="s">
        <v>10517</v>
      </c>
      <c r="Z15934" t="s">
        <v>13441</v>
      </c>
      <c r="AA15934" s="22" t="str">
        <f>HYPERLINK("https://www.ncbi.nlm.nih.gov/nuccore/KC978990","NCBI Nucleotide")</f>
        <v>NCBI Nucleotide</v>
      </c>
    </row>
    <row r="15935" spans="1:27" x14ac:dyDescent="0.35">
      <c r="A15935">
        <v>1005377</v>
      </c>
      <c r="B15935">
        <v>14233</v>
      </c>
      <c r="C15935">
        <v>1</v>
      </c>
      <c r="N15935" t="s">
        <v>37190</v>
      </c>
      <c r="O15935" t="s">
        <v>37415</v>
      </c>
      <c r="P15935" t="s">
        <v>37447</v>
      </c>
      <c r="R15935" s="26" t="str">
        <f>HYPERLINK("https://ictv.global/taxonomy/taxondetails?taxnode_id=202308793","Mivedwarsatellite petrocremlingense")</f>
        <v>Mivedwarsatellite petrocremlingense</v>
      </c>
      <c r="S15935" t="s">
        <v>30</v>
      </c>
      <c r="T15935" t="s">
        <v>37464</v>
      </c>
      <c r="U15935" t="s">
        <v>37465</v>
      </c>
      <c r="V15935" t="s">
        <v>37462</v>
      </c>
      <c r="W15935" t="s">
        <v>37466</v>
      </c>
      <c r="X15935" t="s">
        <v>42</v>
      </c>
      <c r="Y15935" t="s">
        <v>10517</v>
      </c>
      <c r="Z15935" t="s">
        <v>13441</v>
      </c>
      <c r="AA15935" s="22" t="str">
        <f>HYPERLINK("https://www.ncbi.nlm.nih.gov/nuccore/MK039142","NCBI Nucleotide")</f>
        <v>NCBI Nucleotide</v>
      </c>
    </row>
    <row r="15936" spans="1:27" x14ac:dyDescent="0.35">
      <c r="A15936">
        <v>1005376</v>
      </c>
      <c r="B15936">
        <v>14234</v>
      </c>
      <c r="C15936">
        <v>1</v>
      </c>
      <c r="N15936" t="s">
        <v>37190</v>
      </c>
      <c r="O15936" t="s">
        <v>37415</v>
      </c>
      <c r="P15936" t="s">
        <v>37447</v>
      </c>
      <c r="R15936" s="26" t="str">
        <f>HYPERLINK("https://ictv.global/taxonomy/taxondetails?taxnode_id=202308795","Mivedwarsatellite petroselini")</f>
        <v>Mivedwarsatellite petroselini</v>
      </c>
      <c r="S15936" t="s">
        <v>30</v>
      </c>
      <c r="T15936" t="s">
        <v>37460</v>
      </c>
      <c r="U15936" t="s">
        <v>37461</v>
      </c>
      <c r="V15936" t="s">
        <v>37462</v>
      </c>
      <c r="W15936" t="s">
        <v>37463</v>
      </c>
      <c r="X15936" t="s">
        <v>42</v>
      </c>
      <c r="Y15936" t="s">
        <v>10517</v>
      </c>
      <c r="Z15936" t="s">
        <v>13441</v>
      </c>
      <c r="AA15936" s="22" t="str">
        <f>HYPERLINK("https://www.ncbi.nlm.nih.gov/nuccore/MK039141","NCBI Nucleotide")</f>
        <v>NCBI Nucleotide</v>
      </c>
    </row>
    <row r="15937" spans="1:27" x14ac:dyDescent="0.35">
      <c r="A15937">
        <v>1005375</v>
      </c>
      <c r="B15937">
        <v>14235</v>
      </c>
      <c r="C15937">
        <v>1</v>
      </c>
      <c r="N15937" t="s">
        <v>37190</v>
      </c>
      <c r="O15937" t="s">
        <v>37415</v>
      </c>
      <c r="P15937" t="s">
        <v>37447</v>
      </c>
      <c r="R15937" s="26" t="str">
        <f>HYPERLINK("https://ictv.global/taxonomy/taxondetails?taxnode_id=202308794","Mivedwarsatellite sinastra")</f>
        <v>Mivedwarsatellite sinastra</v>
      </c>
      <c r="S15937" t="s">
        <v>30</v>
      </c>
      <c r="T15937" t="s">
        <v>37456</v>
      </c>
      <c r="U15937" t="s">
        <v>37457</v>
      </c>
      <c r="V15937" t="s">
        <v>37458</v>
      </c>
      <c r="W15937" t="s">
        <v>37459</v>
      </c>
      <c r="X15937" t="s">
        <v>42</v>
      </c>
      <c r="Y15937" t="s">
        <v>10517</v>
      </c>
      <c r="Z15937" t="s">
        <v>13441</v>
      </c>
      <c r="AA15937" s="22" t="str">
        <f>HYPERLINK("https://www.ncbi.nlm.nih.gov/nuccore/MN059431","NCBI Nucleotide")</f>
        <v>NCBI Nucleotide</v>
      </c>
    </row>
    <row r="15938" spans="1:27" x14ac:dyDescent="0.35">
      <c r="A15938">
        <v>1005379</v>
      </c>
      <c r="B15938">
        <v>14236</v>
      </c>
      <c r="C15938">
        <v>1</v>
      </c>
      <c r="N15938" t="s">
        <v>37190</v>
      </c>
      <c r="O15938" t="s">
        <v>37415</v>
      </c>
      <c r="P15938" t="s">
        <v>37447</v>
      </c>
      <c r="R15938" s="26" t="str">
        <f>HYPERLINK("https://ictv.global/taxonomy/taxondetails?taxnode_id=202305729","Mivedwarsatellite sophalope")</f>
        <v>Mivedwarsatellite sophalope</v>
      </c>
      <c r="S15938" t="s">
        <v>30</v>
      </c>
      <c r="T15938" t="s">
        <v>37471</v>
      </c>
      <c r="U15938" t="s">
        <v>37472</v>
      </c>
      <c r="V15938" t="s">
        <v>37473</v>
      </c>
      <c r="W15938" t="s">
        <v>37474</v>
      </c>
      <c r="X15938" t="s">
        <v>42</v>
      </c>
      <c r="Y15938" t="s">
        <v>10517</v>
      </c>
      <c r="Z15938" t="s">
        <v>13441</v>
      </c>
      <c r="AA15938" s="22" t="str">
        <f>HYPERLINK("https://www.ncbi.nlm.nih.gov/nuccore/KX534408","NCBI Nucleotide")</f>
        <v>NCBI Nucleotide</v>
      </c>
    </row>
    <row r="15939" spans="1:27" x14ac:dyDescent="0.35">
      <c r="A15939">
        <v>1005381</v>
      </c>
      <c r="B15939">
        <v>14237</v>
      </c>
      <c r="C15939">
        <v>1</v>
      </c>
      <c r="N15939" t="s">
        <v>37190</v>
      </c>
      <c r="O15939" t="s">
        <v>37415</v>
      </c>
      <c r="P15939" t="s">
        <v>37475</v>
      </c>
      <c r="R15939" s="26" t="str">
        <f>HYPERLINK("https://ictv.global/taxonomy/taxondetails?taxnode_id=202305731","Sophoyesatellite sophira")</f>
        <v>Sophoyesatellite sophira</v>
      </c>
      <c r="S15939" t="s">
        <v>30</v>
      </c>
      <c r="T15939" t="s">
        <v>37480</v>
      </c>
      <c r="U15939" t="s">
        <v>37481</v>
      </c>
      <c r="V15939" t="s">
        <v>37482</v>
      </c>
      <c r="W15939" t="s">
        <v>37483</v>
      </c>
      <c r="X15939" t="s">
        <v>42</v>
      </c>
      <c r="Y15939" t="s">
        <v>10517</v>
      </c>
      <c r="Z15939" t="s">
        <v>13441</v>
      </c>
      <c r="AA15939" s="22" t="str">
        <f>HYPERLINK("https://www.ncbi.nlm.nih.gov/nuccore/KX534400","NCBI Nucleotide")</f>
        <v>NCBI Nucleotide</v>
      </c>
    </row>
    <row r="15940" spans="1:27" x14ac:dyDescent="0.35">
      <c r="A15940">
        <v>1005380</v>
      </c>
      <c r="B15940">
        <v>14238</v>
      </c>
      <c r="C15940">
        <v>1</v>
      </c>
      <c r="N15940" t="s">
        <v>37190</v>
      </c>
      <c r="O15940" t="s">
        <v>37415</v>
      </c>
      <c r="P15940" t="s">
        <v>37475</v>
      </c>
      <c r="R15940" s="26" t="str">
        <f>HYPERLINK("https://ictv.global/taxonomy/taxondetails?taxnode_id=202307296","Sophoyesatellite vicraccae")</f>
        <v>Sophoyesatellite vicraccae</v>
      </c>
      <c r="S15940" t="s">
        <v>30</v>
      </c>
      <c r="T15940" t="s">
        <v>37476</v>
      </c>
      <c r="U15940" t="s">
        <v>37477</v>
      </c>
      <c r="V15940" t="s">
        <v>37478</v>
      </c>
      <c r="W15940" t="s">
        <v>37479</v>
      </c>
      <c r="X15940" t="s">
        <v>42</v>
      </c>
      <c r="Y15940" t="s">
        <v>10517</v>
      </c>
      <c r="Z15940" t="s">
        <v>13441</v>
      </c>
      <c r="AA15940" s="22" t="str">
        <f>HYPERLINK("https://www.ncbi.nlm.nih.gov/nuccore/MF535455","NCBI Nucleotide")</f>
        <v>NCBI Nucleotide</v>
      </c>
    </row>
    <row r="15941" spans="1:27" x14ac:dyDescent="0.35">
      <c r="A15941">
        <v>1005384</v>
      </c>
      <c r="B15941">
        <v>14239</v>
      </c>
      <c r="C15941">
        <v>1</v>
      </c>
      <c r="N15941" t="s">
        <v>37190</v>
      </c>
      <c r="O15941" t="s">
        <v>37415</v>
      </c>
      <c r="P15941" t="s">
        <v>37484</v>
      </c>
      <c r="R15941" s="26" t="str">
        <f>HYPERLINK("https://ictv.global/taxonomy/taxondetails?taxnode_id=202305734","Subclovsatellite bitbea")</f>
        <v>Subclovsatellite bitbea</v>
      </c>
      <c r="S15941" t="s">
        <v>30</v>
      </c>
      <c r="T15941" t="s">
        <v>37493</v>
      </c>
      <c r="U15941" t="s">
        <v>37494</v>
      </c>
      <c r="V15941" t="s">
        <v>37495</v>
      </c>
      <c r="W15941" t="s">
        <v>37496</v>
      </c>
      <c r="X15941" t="s">
        <v>42</v>
      </c>
      <c r="Y15941" t="s">
        <v>10517</v>
      </c>
      <c r="Z15941" t="s">
        <v>13441</v>
      </c>
      <c r="AA15941" s="22" t="str">
        <f>HYPERLINK("https://www.ncbi.nlm.nih.gov/nuccore/KX534399","NCBI Nucleotide")</f>
        <v>NCBI Nucleotide</v>
      </c>
    </row>
    <row r="15942" spans="1:27" x14ac:dyDescent="0.35">
      <c r="A15942">
        <v>1005382</v>
      </c>
      <c r="B15942">
        <v>14240</v>
      </c>
      <c r="C15942">
        <v>1</v>
      </c>
      <c r="N15942" t="s">
        <v>37190</v>
      </c>
      <c r="O15942" t="s">
        <v>37415</v>
      </c>
      <c r="P15942" t="s">
        <v>37484</v>
      </c>
      <c r="R15942" s="26" t="str">
        <f>HYPERLINK("https://ictv.global/taxonomy/taxondetails?taxnode_id=202305733","Subclovsatellite fababea")</f>
        <v>Subclovsatellite fababea</v>
      </c>
      <c r="S15942" t="s">
        <v>30</v>
      </c>
      <c r="T15942" t="s">
        <v>37485</v>
      </c>
      <c r="U15942" t="s">
        <v>37486</v>
      </c>
      <c r="V15942" t="s">
        <v>37487</v>
      </c>
      <c r="W15942" t="s">
        <v>37488</v>
      </c>
      <c r="X15942" t="s">
        <v>42</v>
      </c>
      <c r="Y15942" t="s">
        <v>12266</v>
      </c>
      <c r="Z15942" t="s">
        <v>13441</v>
      </c>
      <c r="AA15942" s="22" t="str">
        <f>HYPERLINK("https://www.ncbi.nlm.nih.gov/nuccore/X80879","NCBI Nucleotide")</f>
        <v>NCBI Nucleotide</v>
      </c>
    </row>
    <row r="15943" spans="1:27" x14ac:dyDescent="0.35">
      <c r="A15943">
        <v>1005385</v>
      </c>
      <c r="B15943">
        <v>14241</v>
      </c>
      <c r="C15943">
        <v>1</v>
      </c>
      <c r="N15943" t="s">
        <v>37190</v>
      </c>
      <c r="O15943" t="s">
        <v>37415</v>
      </c>
      <c r="P15943" t="s">
        <v>37484</v>
      </c>
      <c r="R15943" s="26" t="str">
        <f>HYPERLINK("https://ictv.global/taxonomy/taxondetails?taxnode_id=202305735","Subclovsatellite trisubterrae")</f>
        <v>Subclovsatellite trisubterrae</v>
      </c>
      <c r="S15943" t="s">
        <v>30</v>
      </c>
      <c r="T15943" t="s">
        <v>37497</v>
      </c>
      <c r="U15943" t="s">
        <v>37498</v>
      </c>
      <c r="V15943" t="s">
        <v>37499</v>
      </c>
      <c r="W15943" t="s">
        <v>37500</v>
      </c>
      <c r="X15943" t="s">
        <v>42</v>
      </c>
      <c r="Y15943" t="s">
        <v>10517</v>
      </c>
      <c r="Z15943" t="s">
        <v>13441</v>
      </c>
      <c r="AA15943" s="22" t="str">
        <f>HYPERLINK("https://www.ncbi.nlm.nih.gov/nuccore/U16731","NCBI Nucleotide")</f>
        <v>NCBI Nucleotide</v>
      </c>
    </row>
    <row r="15944" spans="1:27" x14ac:dyDescent="0.35">
      <c r="A15944">
        <v>1005383</v>
      </c>
      <c r="B15944">
        <v>14242</v>
      </c>
      <c r="C15944">
        <v>1</v>
      </c>
      <c r="N15944" t="s">
        <v>37190</v>
      </c>
      <c r="O15944" t="s">
        <v>37415</v>
      </c>
      <c r="P15944" t="s">
        <v>37484</v>
      </c>
      <c r="R15944" s="26" t="str">
        <f>HYPERLINK("https://ictv.global/taxonomy/taxondetails?taxnode_id=202307295","Subclovsatellite tunisifabae")</f>
        <v>Subclovsatellite tunisifabae</v>
      </c>
      <c r="S15944" t="s">
        <v>30</v>
      </c>
      <c r="T15944" t="s">
        <v>37489</v>
      </c>
      <c r="U15944" t="s">
        <v>37490</v>
      </c>
      <c r="V15944" t="s">
        <v>37491</v>
      </c>
      <c r="W15944" t="s">
        <v>37492</v>
      </c>
      <c r="X15944" t="s">
        <v>42</v>
      </c>
      <c r="Y15944" t="s">
        <v>10517</v>
      </c>
      <c r="Z15944" t="s">
        <v>13441</v>
      </c>
      <c r="AA15944" s="22" t="str">
        <f>HYPERLINK("https://www.ncbi.nlm.nih.gov/nuccore/MF510471","NCBI Nucleotide")</f>
        <v>NCBI Nucleotide</v>
      </c>
    </row>
    <row r="15945" spans="1:27" x14ac:dyDescent="0.35">
      <c r="A15945">
        <v>1005386</v>
      </c>
      <c r="B15945">
        <v>14243</v>
      </c>
      <c r="C15945">
        <v>1</v>
      </c>
      <c r="N15945" t="s">
        <v>37190</v>
      </c>
      <c r="O15945" t="s">
        <v>37501</v>
      </c>
      <c r="P15945" t="s">
        <v>37502</v>
      </c>
      <c r="R15945" s="26" t="str">
        <f>HYPERLINK("https://ictv.global/taxonomy/taxondetails?taxnode_id=202305712","Babusatellite musae")</f>
        <v>Babusatellite musae</v>
      </c>
      <c r="S15945" t="s">
        <v>30</v>
      </c>
      <c r="T15945" t="s">
        <v>37503</v>
      </c>
      <c r="U15945" t="s">
        <v>37504</v>
      </c>
      <c r="V15945" t="s">
        <v>37505</v>
      </c>
      <c r="W15945" t="s">
        <v>37506</v>
      </c>
      <c r="X15945" t="s">
        <v>42</v>
      </c>
      <c r="Y15945" t="s">
        <v>10517</v>
      </c>
      <c r="Z15945" t="s">
        <v>13441</v>
      </c>
      <c r="AA15945" s="22" t="str">
        <f>HYPERLINK("https://www.ncbi.nlm.nih.gov/nuccore/L32167","NCBI Nucleotide")</f>
        <v>NCBI Nucleotide</v>
      </c>
    </row>
    <row r="15946" spans="1:27" x14ac:dyDescent="0.35">
      <c r="A15946">
        <v>1005387</v>
      </c>
      <c r="B15946">
        <v>14244</v>
      </c>
      <c r="C15946">
        <v>1</v>
      </c>
      <c r="N15946" t="s">
        <v>37190</v>
      </c>
      <c r="O15946" t="s">
        <v>37501</v>
      </c>
      <c r="P15946" t="s">
        <v>37507</v>
      </c>
      <c r="R15946" s="26" t="str">
        <f>HYPERLINK("https://ictv.global/taxonomy/taxondetails?taxnode_id=202305738","Cocosatellite cocos")</f>
        <v>Cocosatellite cocos</v>
      </c>
      <c r="S15946" t="s">
        <v>30</v>
      </c>
      <c r="T15946" t="s">
        <v>37508</v>
      </c>
      <c r="U15946" t="s">
        <v>37509</v>
      </c>
      <c r="V15946" t="s">
        <v>37510</v>
      </c>
      <c r="W15946" t="s">
        <v>37511</v>
      </c>
      <c r="X15946" t="s">
        <v>42</v>
      </c>
      <c r="Y15946" t="s">
        <v>12266</v>
      </c>
      <c r="Z15946" t="s">
        <v>13441</v>
      </c>
      <c r="AA15946" s="22" t="str">
        <f>HYPERLINK("https://www.ncbi.nlm.nih.gov/nuccore/M29963","NCBI Nucleotide")</f>
        <v>NCBI Nucleotide</v>
      </c>
    </row>
    <row r="15947" spans="1:27" x14ac:dyDescent="0.35">
      <c r="A15947">
        <v>1005389</v>
      </c>
      <c r="B15947">
        <v>14245</v>
      </c>
      <c r="C15947">
        <v>1</v>
      </c>
      <c r="N15947" t="s">
        <v>37190</v>
      </c>
      <c r="O15947" t="s">
        <v>37501</v>
      </c>
      <c r="P15947" t="s">
        <v>37507</v>
      </c>
      <c r="R15947" s="26" t="str">
        <f>HYPERLINK("https://ictv.global/taxonomy/taxondetails?taxnode_id=202308765","Cocosatellite kelapa")</f>
        <v>Cocosatellite kelapa</v>
      </c>
      <c r="S15947" t="s">
        <v>30</v>
      </c>
      <c r="T15947" t="s">
        <v>37516</v>
      </c>
      <c r="U15947" t="s">
        <v>37517</v>
      </c>
      <c r="V15947" t="s">
        <v>37514</v>
      </c>
      <c r="W15947" t="s">
        <v>37518</v>
      </c>
      <c r="X15947" t="s">
        <v>42</v>
      </c>
      <c r="Y15947" t="s">
        <v>12266</v>
      </c>
      <c r="Z15947" t="s">
        <v>13441</v>
      </c>
      <c r="AA15947" s="22" t="str">
        <f>HYPERLINK("https://www.ncbi.nlm.nih.gov/nuccore/MF926429","NCBI Nucleotide")</f>
        <v>NCBI Nucleotide</v>
      </c>
    </row>
    <row r="15948" spans="1:27" x14ac:dyDescent="0.35">
      <c r="A15948">
        <v>1005388</v>
      </c>
      <c r="B15948">
        <v>14246</v>
      </c>
      <c r="C15948">
        <v>1</v>
      </c>
      <c r="N15948" t="s">
        <v>37190</v>
      </c>
      <c r="O15948" t="s">
        <v>37501</v>
      </c>
      <c r="P15948" t="s">
        <v>37507</v>
      </c>
      <c r="R15948" s="26" t="str">
        <f>HYPERLINK("https://ictv.global/taxonomy/taxondetails?taxnode_id=202308763","Cocosatellite niadamu")</f>
        <v>Cocosatellite niadamu</v>
      </c>
      <c r="S15948" t="s">
        <v>30</v>
      </c>
      <c r="T15948" t="s">
        <v>37512</v>
      </c>
      <c r="U15948" t="s">
        <v>37513</v>
      </c>
      <c r="V15948" t="s">
        <v>37514</v>
      </c>
      <c r="W15948" t="s">
        <v>37515</v>
      </c>
      <c r="X15948" t="s">
        <v>42</v>
      </c>
      <c r="Y15948" t="s">
        <v>12266</v>
      </c>
      <c r="Z15948" t="s">
        <v>13441</v>
      </c>
      <c r="AA15948" s="22" t="str">
        <f>HYPERLINK("https://www.ncbi.nlm.nih.gov/nuccore/MF926426","NCBI Nucleotide")</f>
        <v>NCBI Nucleotide</v>
      </c>
    </row>
    <row r="15949" spans="1:27" x14ac:dyDescent="0.35">
      <c r="A15949">
        <v>1005390</v>
      </c>
      <c r="B15949">
        <v>14247</v>
      </c>
      <c r="C15949">
        <v>1</v>
      </c>
      <c r="N15949" t="s">
        <v>37190</v>
      </c>
      <c r="O15949" t="s">
        <v>37501</v>
      </c>
      <c r="P15949" t="s">
        <v>37507</v>
      </c>
      <c r="R15949" s="26" t="str">
        <f>HYPERLINK("https://ictv.global/taxonomy/taxondetails?taxnode_id=202308764","Cocosatellite popo")</f>
        <v>Cocosatellite popo</v>
      </c>
      <c r="S15949" t="s">
        <v>30</v>
      </c>
      <c r="T15949" t="s">
        <v>37519</v>
      </c>
      <c r="U15949" t="s">
        <v>37520</v>
      </c>
      <c r="V15949" t="s">
        <v>37514</v>
      </c>
      <c r="W15949" t="s">
        <v>37521</v>
      </c>
      <c r="X15949" t="s">
        <v>42</v>
      </c>
      <c r="Y15949" t="s">
        <v>12266</v>
      </c>
      <c r="Z15949" t="s">
        <v>13441</v>
      </c>
      <c r="AA15949" s="22" t="str">
        <f>HYPERLINK("https://www.ncbi.nlm.nih.gov/nuccore/MF926430","NCBI Nucleotide")</f>
        <v>NCBI Nucleotide</v>
      </c>
    </row>
    <row r="15950" spans="1:27" x14ac:dyDescent="0.35">
      <c r="A15950">
        <v>1005391</v>
      </c>
      <c r="B15950">
        <v>14248</v>
      </c>
      <c r="C15950">
        <v>1</v>
      </c>
      <c r="N15950" t="s">
        <v>37190</v>
      </c>
      <c r="O15950" t="s">
        <v>37501</v>
      </c>
      <c r="P15950" t="s">
        <v>37522</v>
      </c>
      <c r="R15950" s="26" t="str">
        <f>HYPERLINK("https://ictv.global/taxonomy/taxondetails?taxnode_id=202308767","Coprasatellite niu")</f>
        <v>Coprasatellite niu</v>
      </c>
      <c r="S15950" t="s">
        <v>30</v>
      </c>
      <c r="T15950" t="s">
        <v>37523</v>
      </c>
      <c r="U15950" t="s">
        <v>37524</v>
      </c>
      <c r="V15950" t="s">
        <v>37514</v>
      </c>
      <c r="W15950" t="s">
        <v>37525</v>
      </c>
      <c r="X15950" t="s">
        <v>42</v>
      </c>
      <c r="Y15950" t="s">
        <v>12266</v>
      </c>
      <c r="Z15950" t="s">
        <v>13441</v>
      </c>
      <c r="AA15950" s="22" t="str">
        <f>HYPERLINK("https://www.ncbi.nlm.nih.gov/nuccore/MF926432","NCBI Nucleotide")</f>
        <v>NCBI Nucleotide</v>
      </c>
    </row>
    <row r="15951" spans="1:27" x14ac:dyDescent="0.35">
      <c r="A15951">
        <v>1005392</v>
      </c>
      <c r="B15951">
        <v>14249</v>
      </c>
      <c r="C15951">
        <v>1</v>
      </c>
      <c r="N15951" t="s">
        <v>37190</v>
      </c>
      <c r="O15951" t="s">
        <v>37501</v>
      </c>
      <c r="P15951" t="s">
        <v>37526</v>
      </c>
      <c r="R15951" s="26" t="str">
        <f>HYPERLINK("https://ictv.global/taxonomy/taxondetails?taxnode_id=202308769","Kobbarisatellite kokonas")</f>
        <v>Kobbarisatellite kokonas</v>
      </c>
      <c r="S15951" t="s">
        <v>30</v>
      </c>
      <c r="T15951" t="s">
        <v>37527</v>
      </c>
      <c r="U15951" t="s">
        <v>37528</v>
      </c>
      <c r="V15951" t="s">
        <v>37514</v>
      </c>
      <c r="W15951" t="s">
        <v>37529</v>
      </c>
      <c r="X15951" t="s">
        <v>42</v>
      </c>
      <c r="Y15951" t="s">
        <v>10517</v>
      </c>
      <c r="Z15951" t="s">
        <v>13441</v>
      </c>
      <c r="AA15951" s="22" t="str">
        <f>HYPERLINK("https://www.ncbi.nlm.nih.gov/nuccore/MF926427","NCBI Nucleotide")</f>
        <v>NCBI Nucleotide</v>
      </c>
    </row>
    <row r="15952" spans="1:27" x14ac:dyDescent="0.35">
      <c r="A15952">
        <v>1005395</v>
      </c>
      <c r="B15952">
        <v>14250</v>
      </c>
      <c r="C15952">
        <v>1</v>
      </c>
      <c r="N15952" t="s">
        <v>37190</v>
      </c>
      <c r="O15952" t="s">
        <v>37501</v>
      </c>
      <c r="P15952" t="s">
        <v>37530</v>
      </c>
      <c r="R15952" s="26" t="str">
        <f>HYPERLINK("https://ictv.global/taxonomy/taxondetails?taxnode_id=202305714","Muscarsatellite cardamomi")</f>
        <v>Muscarsatellite cardamomi</v>
      </c>
      <c r="S15952" t="s">
        <v>30</v>
      </c>
      <c r="T15952" t="s">
        <v>37539</v>
      </c>
      <c r="U15952" t="s">
        <v>37540</v>
      </c>
      <c r="V15952" t="s">
        <v>37541</v>
      </c>
      <c r="W15952" t="s">
        <v>37542</v>
      </c>
      <c r="X15952" t="s">
        <v>42</v>
      </c>
      <c r="Y15952" t="s">
        <v>10517</v>
      </c>
      <c r="Z15952" t="s">
        <v>13441</v>
      </c>
      <c r="AA15952" s="22" t="str">
        <f>HYPERLINK("https://www.ncbi.nlm.nih.gov/nuccore/KF435148","NCBI Nucleotide")</f>
        <v>NCBI Nucleotide</v>
      </c>
    </row>
    <row r="15953" spans="1:27" x14ac:dyDescent="0.35">
      <c r="A15953">
        <v>1005394</v>
      </c>
      <c r="B15953">
        <v>14251</v>
      </c>
      <c r="C15953">
        <v>1</v>
      </c>
      <c r="N15953" t="s">
        <v>37190</v>
      </c>
      <c r="O15953" t="s">
        <v>37501</v>
      </c>
      <c r="P15953" t="s">
        <v>37530</v>
      </c>
      <c r="R15953" s="26" t="str">
        <f>HYPERLINK("https://ictv.global/taxonomy/taxondetails?taxnode_id=202305713","Muscarsatellite haikoumusa")</f>
        <v>Muscarsatellite haikoumusa</v>
      </c>
      <c r="S15953" t="s">
        <v>30</v>
      </c>
      <c r="T15953" t="s">
        <v>37535</v>
      </c>
      <c r="U15953" t="s">
        <v>37536</v>
      </c>
      <c r="V15953" t="s">
        <v>37537</v>
      </c>
      <c r="W15953" t="s">
        <v>37538</v>
      </c>
      <c r="X15953" t="s">
        <v>42</v>
      </c>
      <c r="Y15953" t="s">
        <v>10517</v>
      </c>
      <c r="Z15953" t="s">
        <v>13441</v>
      </c>
      <c r="AA15953" s="22" t="str">
        <f>HYPERLINK("https://www.ncbi.nlm.nih.gov/nuccore/HQ616080","NCBI Nucleotide")</f>
        <v>NCBI Nucleotide</v>
      </c>
    </row>
    <row r="15954" spans="1:27" x14ac:dyDescent="0.35">
      <c r="A15954">
        <v>1005393</v>
      </c>
      <c r="B15954">
        <v>14252</v>
      </c>
      <c r="C15954">
        <v>1</v>
      </c>
      <c r="N15954" t="s">
        <v>37190</v>
      </c>
      <c r="O15954" t="s">
        <v>37501</v>
      </c>
      <c r="P15954" t="s">
        <v>37530</v>
      </c>
      <c r="R15954" s="26" t="str">
        <f>HYPERLINK("https://ictv.global/taxonomy/taxondetails?taxnode_id=202305711","Muscarsatellite vietmusa")</f>
        <v>Muscarsatellite vietmusa</v>
      </c>
      <c r="S15954" t="s">
        <v>30</v>
      </c>
      <c r="T15954" t="s">
        <v>37531</v>
      </c>
      <c r="U15954" t="s">
        <v>37532</v>
      </c>
      <c r="V15954" t="s">
        <v>37533</v>
      </c>
      <c r="W15954" t="s">
        <v>37534</v>
      </c>
      <c r="X15954" t="s">
        <v>42</v>
      </c>
      <c r="Y15954" t="s">
        <v>10517</v>
      </c>
      <c r="Z15954" t="s">
        <v>13441</v>
      </c>
      <c r="AA15954" s="22" t="str">
        <f>HYPERLINK("https://www.ncbi.nlm.nih.gov/nuccore/AF416471","NCBI Nucleotide")</f>
        <v>NCBI Nucleotide</v>
      </c>
    </row>
    <row r="15955" spans="1:27" x14ac:dyDescent="0.35">
      <c r="A15955">
        <v>1005398</v>
      </c>
      <c r="B15955">
        <v>14253</v>
      </c>
      <c r="C15955">
        <v>1</v>
      </c>
      <c r="N15955" t="s">
        <v>37543</v>
      </c>
      <c r="P15955" t="s">
        <v>37544</v>
      </c>
      <c r="R15955" s="26" t="str">
        <f>HYPERLINK("https://ictv.global/taxonomy/taxondetails?taxnode_id=202309184","Bottigliavirus krisuvikense")</f>
        <v>Bottigliavirus krisuvikense</v>
      </c>
      <c r="S15955" t="s">
        <v>30</v>
      </c>
      <c r="T15955" t="s">
        <v>37550</v>
      </c>
      <c r="U15955" t="s">
        <v>37551</v>
      </c>
      <c r="W15955" t="s">
        <v>37552</v>
      </c>
      <c r="X15955" t="s">
        <v>42</v>
      </c>
      <c r="Y15955" t="s">
        <v>36</v>
      </c>
      <c r="Z15955" t="s">
        <v>37</v>
      </c>
      <c r="AA15955" s="22" t="str">
        <f>HYPERLINK("https://www.ncbi.nlm.nih.gov/nuccore/KP282674","NCBI Nucleotide")</f>
        <v>NCBI Nucleotide</v>
      </c>
    </row>
    <row r="15956" spans="1:27" x14ac:dyDescent="0.35">
      <c r="A15956">
        <v>1005396</v>
      </c>
      <c r="B15956">
        <v>14254</v>
      </c>
      <c r="C15956">
        <v>1</v>
      </c>
      <c r="N15956" t="s">
        <v>37543</v>
      </c>
      <c r="P15956" t="s">
        <v>37544</v>
      </c>
      <c r="R15956" s="26" t="str">
        <f>HYPERLINK("https://ictv.global/taxonomy/taxondetails?taxnode_id=202302484","Bottigliavirus pozzuoliense")</f>
        <v>Bottigliavirus pozzuoliense</v>
      </c>
      <c r="S15956" t="s">
        <v>30</v>
      </c>
      <c r="T15956" t="s">
        <v>37545</v>
      </c>
      <c r="U15956" t="s">
        <v>34488</v>
      </c>
      <c r="W15956" t="s">
        <v>37546</v>
      </c>
      <c r="X15956" t="s">
        <v>42</v>
      </c>
      <c r="Y15956" t="s">
        <v>36</v>
      </c>
      <c r="Z15956" t="s">
        <v>37</v>
      </c>
      <c r="AA15956" s="22" t="str">
        <f>HYPERLINK("https://www.ncbi.nlm.nih.gov/nuccore/EF432053","NCBI Nucleotide")</f>
        <v>NCBI Nucleotide</v>
      </c>
    </row>
    <row r="15957" spans="1:27" x14ac:dyDescent="0.35">
      <c r="A15957">
        <v>1005397</v>
      </c>
      <c r="B15957">
        <v>14255</v>
      </c>
      <c r="C15957">
        <v>1</v>
      </c>
      <c r="N15957" t="s">
        <v>37543</v>
      </c>
      <c r="P15957" t="s">
        <v>37544</v>
      </c>
      <c r="R15957" s="26" t="str">
        <f>HYPERLINK("https://ictv.global/taxonomy/taxondetails?taxnode_id=202309183","Bottigliavirus puteoliense")</f>
        <v>Bottigliavirus puteoliense</v>
      </c>
      <c r="S15957" t="s">
        <v>30</v>
      </c>
      <c r="T15957" t="s">
        <v>37547</v>
      </c>
      <c r="U15957" t="s">
        <v>37548</v>
      </c>
      <c r="W15957" t="s">
        <v>37549</v>
      </c>
      <c r="X15957" t="s">
        <v>42</v>
      </c>
      <c r="Y15957" t="s">
        <v>36</v>
      </c>
      <c r="Z15957" t="s">
        <v>37</v>
      </c>
      <c r="AA15957" s="22" t="str">
        <f>HYPERLINK("https://www.ncbi.nlm.nih.gov/nuccore/KP282673","NCBI Nucleotide")</f>
        <v>NCBI Nucleotide</v>
      </c>
    </row>
    <row r="15958" spans="1:27" x14ac:dyDescent="0.35">
      <c r="A15958">
        <v>1005399</v>
      </c>
      <c r="B15958">
        <v>14256</v>
      </c>
      <c r="C15958">
        <v>1</v>
      </c>
      <c r="N15958" t="s">
        <v>37553</v>
      </c>
      <c r="P15958" t="s">
        <v>37554</v>
      </c>
      <c r="R15958" s="26" t="str">
        <f>HYPERLINK("https://ictv.global/taxonomy/taxondetails?taxnode_id=202309394","Aleptorquevirus culic1")</f>
        <v>Aleptorquevirus culic1</v>
      </c>
      <c r="S15958" t="s">
        <v>30</v>
      </c>
      <c r="T15958" t="s">
        <v>37555</v>
      </c>
      <c r="V15958" t="s">
        <v>37556</v>
      </c>
      <c r="W15958" t="s">
        <v>37557</v>
      </c>
      <c r="X15958" t="s">
        <v>42</v>
      </c>
      <c r="Y15958" t="s">
        <v>12446</v>
      </c>
      <c r="Z15958" t="s">
        <v>166</v>
      </c>
      <c r="AA15958" s="22" t="str">
        <f>HYPERLINK("https://www.ncbi.nlm.nih.gov/nuccore/HQ335082","NCBI Nucleotide")</f>
        <v>NCBI Nucleotide</v>
      </c>
    </row>
    <row r="15959" spans="1:27" x14ac:dyDescent="0.35">
      <c r="A15959">
        <v>1005400</v>
      </c>
      <c r="B15959">
        <v>14257</v>
      </c>
      <c r="C15959">
        <v>1</v>
      </c>
      <c r="N15959" t="s">
        <v>37553</v>
      </c>
      <c r="P15959" t="s">
        <v>37554</v>
      </c>
      <c r="R15959" s="26" t="str">
        <f>HYPERLINK("https://ictv.global/taxonomy/taxondetails?taxnode_id=202309393","Aleptorquevirus lepor1")</f>
        <v>Aleptorquevirus lepor1</v>
      </c>
      <c r="S15959" t="s">
        <v>30</v>
      </c>
      <c r="T15959" t="s">
        <v>37558</v>
      </c>
      <c r="V15959" t="s">
        <v>37559</v>
      </c>
      <c r="W15959" t="s">
        <v>37560</v>
      </c>
      <c r="X15959" t="s">
        <v>42</v>
      </c>
      <c r="Y15959" t="s">
        <v>12446</v>
      </c>
      <c r="Z15959" t="s">
        <v>166</v>
      </c>
      <c r="AA15959" s="22" t="str">
        <f>HYPERLINK("https://www.ncbi.nlm.nih.gov/nuccore/MN994854","NCBI Nucleotide")</f>
        <v>NCBI Nucleotide</v>
      </c>
    </row>
    <row r="15960" spans="1:27" x14ac:dyDescent="0.35">
      <c r="A15960">
        <v>1005401</v>
      </c>
      <c r="B15960">
        <v>14258</v>
      </c>
      <c r="C15960">
        <v>1</v>
      </c>
      <c r="N15960" t="s">
        <v>37553</v>
      </c>
      <c r="P15960" t="s">
        <v>37561</v>
      </c>
      <c r="R15960" s="26" t="str">
        <f>HYPERLINK("https://ictv.global/taxonomy/taxondetails?taxnode_id=202309395","Alphatorquevirus cerco1")</f>
        <v>Alphatorquevirus cerco1</v>
      </c>
      <c r="S15960" t="s">
        <v>30</v>
      </c>
      <c r="T15960" t="s">
        <v>37562</v>
      </c>
      <c r="V15960" t="s">
        <v>37563</v>
      </c>
      <c r="W15960" t="s">
        <v>37564</v>
      </c>
      <c r="X15960" t="s">
        <v>42</v>
      </c>
      <c r="Y15960" t="s">
        <v>12446</v>
      </c>
      <c r="Z15960" t="s">
        <v>166</v>
      </c>
      <c r="AA15960" s="22" t="str">
        <f>HYPERLINK("https://www.ncbi.nlm.nih.gov/nuccore/KP296857","NCBI Nucleotide")</f>
        <v>NCBI Nucleotide</v>
      </c>
    </row>
    <row r="15961" spans="1:27" x14ac:dyDescent="0.35">
      <c r="A15961">
        <v>1005402</v>
      </c>
      <c r="B15961">
        <v>14259</v>
      </c>
      <c r="C15961">
        <v>1</v>
      </c>
      <c r="N15961" t="s">
        <v>37553</v>
      </c>
      <c r="P15961" t="s">
        <v>37561</v>
      </c>
      <c r="R15961" s="26" t="str">
        <f>HYPERLINK("https://ictv.global/taxonomy/taxondetails?taxnode_id=202309396","Alphatorquevirus cerco2")</f>
        <v>Alphatorquevirus cerco2</v>
      </c>
      <c r="S15961" t="s">
        <v>30</v>
      </c>
      <c r="T15961" t="s">
        <v>37565</v>
      </c>
      <c r="V15961" t="s">
        <v>37566</v>
      </c>
      <c r="W15961" t="s">
        <v>37567</v>
      </c>
      <c r="X15961" t="s">
        <v>42</v>
      </c>
      <c r="Y15961" t="s">
        <v>12446</v>
      </c>
      <c r="Z15961" t="s">
        <v>166</v>
      </c>
      <c r="AA15961" s="22" t="str">
        <f>HYPERLINK("https://www.ncbi.nlm.nih.gov/nuccore/KP296856","NCBI Nucleotide")</f>
        <v>NCBI Nucleotide</v>
      </c>
    </row>
    <row r="15962" spans="1:27" x14ac:dyDescent="0.35">
      <c r="A15962">
        <v>1005403</v>
      </c>
      <c r="B15962">
        <v>14260</v>
      </c>
      <c r="C15962">
        <v>1</v>
      </c>
      <c r="N15962" t="s">
        <v>37553</v>
      </c>
      <c r="P15962" t="s">
        <v>37561</v>
      </c>
      <c r="R15962" s="26" t="str">
        <f>HYPERLINK("https://ictv.global/taxonomy/taxondetails?taxnode_id=202309397","Alphatorquevirus cerco3")</f>
        <v>Alphatorquevirus cerco3</v>
      </c>
      <c r="S15962" t="s">
        <v>30</v>
      </c>
      <c r="T15962" t="s">
        <v>37568</v>
      </c>
      <c r="V15962" t="s">
        <v>37569</v>
      </c>
      <c r="W15962" t="s">
        <v>37570</v>
      </c>
      <c r="X15962" t="s">
        <v>42</v>
      </c>
      <c r="Y15962" t="s">
        <v>12446</v>
      </c>
      <c r="Z15962" t="s">
        <v>166</v>
      </c>
      <c r="AA15962" s="22" t="str">
        <f>HYPERLINK("https://www.ncbi.nlm.nih.gov/nuccore/KP296853","NCBI Nucleotide")</f>
        <v>NCBI Nucleotide</v>
      </c>
    </row>
    <row r="15963" spans="1:27" x14ac:dyDescent="0.35">
      <c r="A15963">
        <v>1005404</v>
      </c>
      <c r="B15963">
        <v>14261</v>
      </c>
      <c r="C15963">
        <v>1</v>
      </c>
      <c r="N15963" t="s">
        <v>37553</v>
      </c>
      <c r="P15963" t="s">
        <v>37561</v>
      </c>
      <c r="R15963" s="26" t="str">
        <f>HYPERLINK("https://ictv.global/taxonomy/taxondetails?taxnode_id=202309398","Alphatorquevirus cerco5")</f>
        <v>Alphatorquevirus cerco5</v>
      </c>
      <c r="S15963" t="s">
        <v>30</v>
      </c>
      <c r="T15963" t="s">
        <v>37571</v>
      </c>
      <c r="V15963" t="s">
        <v>37572</v>
      </c>
      <c r="W15963" t="s">
        <v>37573</v>
      </c>
      <c r="X15963" t="s">
        <v>42</v>
      </c>
      <c r="Y15963" t="s">
        <v>12446</v>
      </c>
      <c r="Z15963" t="s">
        <v>166</v>
      </c>
      <c r="AA15963" s="22" t="str">
        <f>HYPERLINK("https://www.ncbi.nlm.nih.gov/nuccore/KP296854","NCBI Nucleotide")</f>
        <v>NCBI Nucleotide</v>
      </c>
    </row>
    <row r="15964" spans="1:27" x14ac:dyDescent="0.35">
      <c r="A15964">
        <v>1005405</v>
      </c>
      <c r="B15964">
        <v>14262</v>
      </c>
      <c r="C15964">
        <v>1</v>
      </c>
      <c r="N15964" t="s">
        <v>37553</v>
      </c>
      <c r="P15964" t="s">
        <v>37561</v>
      </c>
      <c r="R15964" s="26" t="str">
        <f>HYPERLINK("https://ictv.global/taxonomy/taxondetails?taxnode_id=202302513","Alphatorquevirus cerco6")</f>
        <v>Alphatorquevirus cerco6</v>
      </c>
      <c r="S15964" t="s">
        <v>30</v>
      </c>
      <c r="T15964" t="s">
        <v>37574</v>
      </c>
      <c r="U15964" t="s">
        <v>37575</v>
      </c>
      <c r="V15964" t="s">
        <v>37576</v>
      </c>
      <c r="W15964" t="s">
        <v>37577</v>
      </c>
      <c r="X15964" t="s">
        <v>42</v>
      </c>
      <c r="Y15964" t="s">
        <v>12446</v>
      </c>
      <c r="Z15964" t="s">
        <v>166</v>
      </c>
      <c r="AA15964" s="22" t="str">
        <f>HYPERLINK("https://www.ncbi.nlm.nih.gov/nuccore/AB041958","NCBI Nucleotide")</f>
        <v>NCBI Nucleotide</v>
      </c>
    </row>
    <row r="15965" spans="1:27" x14ac:dyDescent="0.35">
      <c r="A15965">
        <v>1005406</v>
      </c>
      <c r="B15965">
        <v>14263</v>
      </c>
      <c r="C15965">
        <v>1</v>
      </c>
      <c r="N15965" t="s">
        <v>37553</v>
      </c>
      <c r="P15965" t="s">
        <v>37561</v>
      </c>
      <c r="R15965" s="26" t="str">
        <f>HYPERLINK("https://ictv.global/taxonomy/taxondetails?taxnode_id=202302512","Alphatorquevirus cerco7")</f>
        <v>Alphatorquevirus cerco7</v>
      </c>
      <c r="S15965" t="s">
        <v>30</v>
      </c>
      <c r="T15965" t="s">
        <v>37578</v>
      </c>
      <c r="U15965" t="s">
        <v>37579</v>
      </c>
      <c r="V15965" t="s">
        <v>37580</v>
      </c>
      <c r="W15965" t="s">
        <v>37581</v>
      </c>
      <c r="X15965" t="s">
        <v>42</v>
      </c>
      <c r="Y15965" t="s">
        <v>12446</v>
      </c>
      <c r="Z15965" t="s">
        <v>166</v>
      </c>
      <c r="AA15965" s="22" t="str">
        <f>HYPERLINK("https://www.ncbi.nlm.nih.gov/nuccore/AB041959","NCBI Nucleotide")</f>
        <v>NCBI Nucleotide</v>
      </c>
    </row>
    <row r="15966" spans="1:27" x14ac:dyDescent="0.35">
      <c r="A15966">
        <v>1005407</v>
      </c>
      <c r="B15966">
        <v>14264</v>
      </c>
      <c r="C15966">
        <v>1</v>
      </c>
      <c r="N15966" t="s">
        <v>37553</v>
      </c>
      <c r="P15966" t="s">
        <v>37561</v>
      </c>
      <c r="R15966" s="26" t="str">
        <f>HYPERLINK("https://ictv.global/taxonomy/taxondetails?taxnode_id=202302488","Alphatorquevirus homin1")</f>
        <v>Alphatorquevirus homin1</v>
      </c>
      <c r="S15966" t="s">
        <v>30</v>
      </c>
      <c r="T15966" t="s">
        <v>37582</v>
      </c>
      <c r="U15966" t="s">
        <v>151</v>
      </c>
      <c r="V15966" t="s">
        <v>37583</v>
      </c>
      <c r="W15966" t="s">
        <v>37584</v>
      </c>
      <c r="X15966" t="s">
        <v>42</v>
      </c>
      <c r="Y15966" t="s">
        <v>12446</v>
      </c>
      <c r="Z15966" t="s">
        <v>166</v>
      </c>
      <c r="AA15966" s="22" t="str">
        <f>HYPERLINK("https://www.ncbi.nlm.nih.gov/nuccore/AB041007","NCBI Nucleotide")</f>
        <v>NCBI Nucleotide</v>
      </c>
    </row>
    <row r="15967" spans="1:27" x14ac:dyDescent="0.35">
      <c r="A15967">
        <v>1005415</v>
      </c>
      <c r="B15967">
        <v>14265</v>
      </c>
      <c r="C15967">
        <v>1</v>
      </c>
      <c r="N15967" t="s">
        <v>37553</v>
      </c>
      <c r="P15967" t="s">
        <v>37561</v>
      </c>
      <c r="R15967" s="26" t="str">
        <f>HYPERLINK("https://ictv.global/taxonomy/taxondetails?taxnode_id=202302489","Alphatorquevirus homin2")</f>
        <v>Alphatorquevirus homin2</v>
      </c>
      <c r="S15967" t="s">
        <v>30</v>
      </c>
      <c r="T15967" t="s">
        <v>37611</v>
      </c>
      <c r="U15967" t="s">
        <v>37612</v>
      </c>
      <c r="V15967" t="s">
        <v>37613</v>
      </c>
      <c r="W15967" t="s">
        <v>37614</v>
      </c>
      <c r="X15967" t="s">
        <v>42</v>
      </c>
      <c r="Y15967" t="s">
        <v>12446</v>
      </c>
      <c r="Z15967" t="s">
        <v>166</v>
      </c>
      <c r="AA15967" s="22" t="str">
        <f>HYPERLINK("https://www.ncbi.nlm.nih.gov/nuccore/AB049608","NCBI Nucleotide")</f>
        <v>NCBI Nucleotide</v>
      </c>
    </row>
    <row r="15968" spans="1:27" x14ac:dyDescent="0.35">
      <c r="A15968">
        <v>1005420</v>
      </c>
      <c r="B15968">
        <v>14266</v>
      </c>
      <c r="C15968">
        <v>1</v>
      </c>
      <c r="N15968" t="s">
        <v>37553</v>
      </c>
      <c r="P15968" t="s">
        <v>37561</v>
      </c>
      <c r="R15968" s="26" t="str">
        <f>HYPERLINK("https://ictv.global/taxonomy/taxondetails?taxnode_id=202302490","Alphatorquevirus homin3")</f>
        <v>Alphatorquevirus homin3</v>
      </c>
      <c r="S15968" t="s">
        <v>30</v>
      </c>
      <c r="T15968" t="s">
        <v>37631</v>
      </c>
      <c r="U15968" t="s">
        <v>37632</v>
      </c>
      <c r="V15968" t="s">
        <v>37633</v>
      </c>
      <c r="W15968" t="s">
        <v>37634</v>
      </c>
      <c r="X15968" t="s">
        <v>42</v>
      </c>
      <c r="Y15968" t="s">
        <v>12446</v>
      </c>
      <c r="Z15968" t="s">
        <v>166</v>
      </c>
      <c r="AA15968" s="22" t="str">
        <f>HYPERLINK("https://www.ncbi.nlm.nih.gov/nuccore/AY666122","NCBI Nucleotide")</f>
        <v>NCBI Nucleotide</v>
      </c>
    </row>
    <row r="15969" spans="1:27" x14ac:dyDescent="0.35">
      <c r="A15969">
        <v>1005422</v>
      </c>
      <c r="B15969">
        <v>14267</v>
      </c>
      <c r="C15969">
        <v>1</v>
      </c>
      <c r="N15969" t="s">
        <v>37553</v>
      </c>
      <c r="P15969" t="s">
        <v>37561</v>
      </c>
      <c r="R15969" s="26" t="str">
        <f>HYPERLINK("https://ictv.global/taxonomy/taxondetails?taxnode_id=202302491","Alphatorquevirus homin4")</f>
        <v>Alphatorquevirus homin4</v>
      </c>
      <c r="S15969" t="s">
        <v>30</v>
      </c>
      <c r="T15969" t="s">
        <v>37638</v>
      </c>
      <c r="U15969" t="s">
        <v>37639</v>
      </c>
      <c r="V15969" t="s">
        <v>37640</v>
      </c>
      <c r="W15969" t="s">
        <v>37641</v>
      </c>
      <c r="X15969" t="s">
        <v>42</v>
      </c>
      <c r="Y15969" t="s">
        <v>12446</v>
      </c>
      <c r="Z15969" t="s">
        <v>166</v>
      </c>
      <c r="AA15969" s="22" t="str">
        <f>HYPERLINK("https://www.ncbi.nlm.nih.gov/nuccore/AB041957","NCBI Nucleotide")</f>
        <v>NCBI Nucleotide</v>
      </c>
    </row>
    <row r="15970" spans="1:27" x14ac:dyDescent="0.35">
      <c r="A15970">
        <v>1005423</v>
      </c>
      <c r="B15970">
        <v>14268</v>
      </c>
      <c r="C15970">
        <v>1</v>
      </c>
      <c r="N15970" t="s">
        <v>37553</v>
      </c>
      <c r="P15970" t="s">
        <v>37561</v>
      </c>
      <c r="R15970" s="26" t="str">
        <f>HYPERLINK("https://ictv.global/taxonomy/taxondetails?taxnode_id=202302492","Alphatorquevirus homin5")</f>
        <v>Alphatorquevirus homin5</v>
      </c>
      <c r="S15970" t="s">
        <v>30</v>
      </c>
      <c r="T15970" t="s">
        <v>37642</v>
      </c>
      <c r="U15970" t="s">
        <v>37643</v>
      </c>
      <c r="V15970" t="s">
        <v>37644</v>
      </c>
      <c r="W15970" t="s">
        <v>37645</v>
      </c>
      <c r="X15970" t="s">
        <v>42</v>
      </c>
      <c r="Y15970" t="s">
        <v>12446</v>
      </c>
      <c r="Z15970" t="s">
        <v>166</v>
      </c>
      <c r="AA15970" s="22" t="str">
        <f>HYPERLINK("https://www.ncbi.nlm.nih.gov/nuccore/AF345523","NCBI Nucleotide")</f>
        <v>NCBI Nucleotide</v>
      </c>
    </row>
    <row r="15971" spans="1:27" x14ac:dyDescent="0.35">
      <c r="A15971">
        <v>1005424</v>
      </c>
      <c r="B15971">
        <v>14269</v>
      </c>
      <c r="C15971">
        <v>1</v>
      </c>
      <c r="N15971" t="s">
        <v>37553</v>
      </c>
      <c r="P15971" t="s">
        <v>37561</v>
      </c>
      <c r="R15971" s="26" t="str">
        <f>HYPERLINK("https://ictv.global/taxonomy/taxondetails?taxnode_id=202302493","Alphatorquevirus homin6")</f>
        <v>Alphatorquevirus homin6</v>
      </c>
      <c r="S15971" t="s">
        <v>30</v>
      </c>
      <c r="T15971" t="s">
        <v>37646</v>
      </c>
      <c r="U15971" t="s">
        <v>37647</v>
      </c>
      <c r="V15971" t="s">
        <v>37648</v>
      </c>
      <c r="W15971" t="s">
        <v>37649</v>
      </c>
      <c r="X15971" t="s">
        <v>42</v>
      </c>
      <c r="Y15971" t="s">
        <v>12446</v>
      </c>
      <c r="Z15971" t="s">
        <v>166</v>
      </c>
      <c r="AA15971" s="22" t="str">
        <f>HYPERLINK("https://www.ncbi.nlm.nih.gov/nuccore/AF435014","NCBI Nucleotide")</f>
        <v>NCBI Nucleotide</v>
      </c>
    </row>
    <row r="15972" spans="1:27" x14ac:dyDescent="0.35">
      <c r="A15972">
        <v>1005425</v>
      </c>
      <c r="B15972">
        <v>14270</v>
      </c>
      <c r="C15972">
        <v>1</v>
      </c>
      <c r="N15972" t="s">
        <v>37553</v>
      </c>
      <c r="P15972" t="s">
        <v>37561</v>
      </c>
      <c r="R15972" s="26" t="str">
        <f>HYPERLINK("https://ictv.global/taxonomy/taxondetails?taxnode_id=202302494","Alphatorquevirus homin7")</f>
        <v>Alphatorquevirus homin7</v>
      </c>
      <c r="S15972" t="s">
        <v>30</v>
      </c>
      <c r="T15972" t="s">
        <v>37650</v>
      </c>
      <c r="U15972" t="s">
        <v>37651</v>
      </c>
      <c r="V15972" t="s">
        <v>18211</v>
      </c>
      <c r="W15972" t="s">
        <v>37652</v>
      </c>
      <c r="X15972" t="s">
        <v>42</v>
      </c>
      <c r="Y15972" t="s">
        <v>12446</v>
      </c>
      <c r="Z15972" t="s">
        <v>166</v>
      </c>
      <c r="AA15972" s="22" t="str">
        <f>HYPERLINK("https://www.ncbi.nlm.nih.gov/nuccore/AF261761","NCBI Nucleotide")</f>
        <v>NCBI Nucleotide</v>
      </c>
    </row>
    <row r="15973" spans="1:27" x14ac:dyDescent="0.35">
      <c r="A15973">
        <v>1005426</v>
      </c>
      <c r="B15973">
        <v>14271</v>
      </c>
      <c r="C15973">
        <v>1</v>
      </c>
      <c r="N15973" t="s">
        <v>37553</v>
      </c>
      <c r="P15973" t="s">
        <v>37561</v>
      </c>
      <c r="R15973" s="26" t="str">
        <f>HYPERLINK("https://ictv.global/taxonomy/taxondetails?taxnode_id=202302496","Alphatorquevirus homin9")</f>
        <v>Alphatorquevirus homin9</v>
      </c>
      <c r="S15973" t="s">
        <v>30</v>
      </c>
      <c r="T15973" t="s">
        <v>37653</v>
      </c>
      <c r="U15973" t="s">
        <v>37654</v>
      </c>
      <c r="V15973" t="s">
        <v>37655</v>
      </c>
      <c r="W15973" t="s">
        <v>37656</v>
      </c>
      <c r="X15973" t="s">
        <v>42</v>
      </c>
      <c r="Y15973" t="s">
        <v>12446</v>
      </c>
      <c r="Z15973" t="s">
        <v>166</v>
      </c>
      <c r="AA15973" s="22" t="str">
        <f>HYPERLINK("https://www.ncbi.nlm.nih.gov/nuccore/DQ187006","NCBI Nucleotide")</f>
        <v>NCBI Nucleotide</v>
      </c>
    </row>
    <row r="15974" spans="1:27" x14ac:dyDescent="0.35">
      <c r="A15974">
        <v>1005408</v>
      </c>
      <c r="B15974">
        <v>14272</v>
      </c>
      <c r="C15974">
        <v>1</v>
      </c>
      <c r="N15974" t="s">
        <v>37553</v>
      </c>
      <c r="P15974" t="s">
        <v>37561</v>
      </c>
      <c r="R15974" s="26" t="str">
        <f>HYPERLINK("https://ictv.global/taxonomy/taxondetails?taxnode_id=202302497","Alphatorquevirus homin10")</f>
        <v>Alphatorquevirus homin10</v>
      </c>
      <c r="S15974" t="s">
        <v>30</v>
      </c>
      <c r="T15974" t="s">
        <v>37585</v>
      </c>
      <c r="U15974" t="s">
        <v>37586</v>
      </c>
      <c r="V15974" t="s">
        <v>37587</v>
      </c>
      <c r="W15974" t="s">
        <v>37588</v>
      </c>
      <c r="X15974" t="s">
        <v>42</v>
      </c>
      <c r="Y15974" t="s">
        <v>12446</v>
      </c>
      <c r="Z15974" t="s">
        <v>166</v>
      </c>
      <c r="AA15974" s="22" t="str">
        <f>HYPERLINK("https://www.ncbi.nlm.nih.gov/nuccore/AB064607","NCBI Nucleotide")</f>
        <v>NCBI Nucleotide</v>
      </c>
    </row>
    <row r="15975" spans="1:27" x14ac:dyDescent="0.35">
      <c r="A15975">
        <v>1005409</v>
      </c>
      <c r="B15975">
        <v>14273</v>
      </c>
      <c r="C15975">
        <v>1</v>
      </c>
      <c r="N15975" t="s">
        <v>37553</v>
      </c>
      <c r="P15975" t="s">
        <v>37561</v>
      </c>
      <c r="R15975" s="26" t="str">
        <f>HYPERLINK("https://ictv.global/taxonomy/taxondetails?taxnode_id=202302500","Alphatorquevirus homin13")</f>
        <v>Alphatorquevirus homin13</v>
      </c>
      <c r="S15975" t="s">
        <v>30</v>
      </c>
      <c r="T15975" t="s">
        <v>37589</v>
      </c>
      <c r="U15975" t="s">
        <v>37590</v>
      </c>
      <c r="V15975" t="s">
        <v>37591</v>
      </c>
      <c r="W15975" t="s">
        <v>37592</v>
      </c>
      <c r="X15975" t="s">
        <v>42</v>
      </c>
      <c r="Y15975" t="s">
        <v>12446</v>
      </c>
      <c r="Z15975" t="s">
        <v>166</v>
      </c>
      <c r="AA15975" s="22" t="str">
        <f>HYPERLINK("https://www.ncbi.nlm.nih.gov/nuccore/AF345526","NCBI Nucleotide")</f>
        <v>NCBI Nucleotide</v>
      </c>
    </row>
    <row r="15976" spans="1:27" x14ac:dyDescent="0.35">
      <c r="A15976">
        <v>1005410</v>
      </c>
      <c r="B15976">
        <v>14274</v>
      </c>
      <c r="C15976">
        <v>1</v>
      </c>
      <c r="N15976" t="s">
        <v>37553</v>
      </c>
      <c r="P15976" t="s">
        <v>37561</v>
      </c>
      <c r="R15976" s="26" t="str">
        <f>HYPERLINK("https://ictv.global/taxonomy/taxondetails?taxnode_id=202302501","Alphatorquevirus homin14")</f>
        <v>Alphatorquevirus homin14</v>
      </c>
      <c r="S15976" t="s">
        <v>30</v>
      </c>
      <c r="T15976" t="s">
        <v>37593</v>
      </c>
      <c r="U15976" t="s">
        <v>37594</v>
      </c>
      <c r="V15976" t="s">
        <v>37595</v>
      </c>
      <c r="W15976" t="s">
        <v>37596</v>
      </c>
      <c r="X15976" t="s">
        <v>42</v>
      </c>
      <c r="Y15976" t="s">
        <v>12446</v>
      </c>
      <c r="Z15976" t="s">
        <v>166</v>
      </c>
      <c r="AA15976" s="22" t="str">
        <f>HYPERLINK("https://www.ncbi.nlm.nih.gov/nuccore/AB037926","NCBI Nucleotide")</f>
        <v>NCBI Nucleotide</v>
      </c>
    </row>
    <row r="15977" spans="1:27" x14ac:dyDescent="0.35">
      <c r="A15977">
        <v>1005411</v>
      </c>
      <c r="B15977">
        <v>14275</v>
      </c>
      <c r="C15977">
        <v>1</v>
      </c>
      <c r="N15977" t="s">
        <v>37553</v>
      </c>
      <c r="P15977" t="s">
        <v>37561</v>
      </c>
      <c r="R15977" s="26" t="str">
        <f>HYPERLINK("https://ictv.global/taxonomy/taxondetails?taxnode_id=202302502","Alphatorquevirus homin15")</f>
        <v>Alphatorquevirus homin15</v>
      </c>
      <c r="S15977" t="s">
        <v>30</v>
      </c>
      <c r="T15977" t="s">
        <v>37597</v>
      </c>
      <c r="U15977" t="s">
        <v>37598</v>
      </c>
      <c r="V15977" t="s">
        <v>37599</v>
      </c>
      <c r="W15977" t="s">
        <v>37600</v>
      </c>
      <c r="X15977" t="s">
        <v>42</v>
      </c>
      <c r="Y15977" t="s">
        <v>12446</v>
      </c>
      <c r="Z15977" t="s">
        <v>166</v>
      </c>
      <c r="AA15977" s="22" t="str">
        <f>HYPERLINK("https://www.ncbi.nlm.nih.gov/nuccore/AB028668","NCBI Nucleotide")</f>
        <v>NCBI Nucleotide</v>
      </c>
    </row>
    <row r="15978" spans="1:27" x14ac:dyDescent="0.35">
      <c r="A15978">
        <v>1005412</v>
      </c>
      <c r="B15978">
        <v>14276</v>
      </c>
      <c r="C15978">
        <v>1</v>
      </c>
      <c r="N15978" t="s">
        <v>37553</v>
      </c>
      <c r="P15978" t="s">
        <v>37561</v>
      </c>
      <c r="R15978" s="26" t="str">
        <f>HYPERLINK("https://ictv.global/taxonomy/taxondetails?taxnode_id=202302504","Alphatorquevirus homin17")</f>
        <v>Alphatorquevirus homin17</v>
      </c>
      <c r="S15978" t="s">
        <v>30</v>
      </c>
      <c r="T15978" t="s">
        <v>37601</v>
      </c>
      <c r="U15978" t="s">
        <v>37602</v>
      </c>
      <c r="W15978" t="s">
        <v>37603</v>
      </c>
      <c r="X15978" t="s">
        <v>42</v>
      </c>
      <c r="Y15978" t="s">
        <v>12446</v>
      </c>
      <c r="Z15978" t="s">
        <v>166</v>
      </c>
      <c r="AA15978" s="22" t="str">
        <f>HYPERLINK("https://www.ncbi.nlm.nih.gov/nuccore/AX025830","NCBI Nucleotide")</f>
        <v>NCBI Nucleotide</v>
      </c>
    </row>
    <row r="15979" spans="1:27" x14ac:dyDescent="0.35">
      <c r="A15979">
        <v>1005413</v>
      </c>
      <c r="B15979">
        <v>14277</v>
      </c>
      <c r="C15979">
        <v>1</v>
      </c>
      <c r="N15979" t="s">
        <v>37553</v>
      </c>
      <c r="P15979" t="s">
        <v>37561</v>
      </c>
      <c r="R15979" s="26" t="str">
        <f>HYPERLINK("https://ictv.global/taxonomy/taxondetails?taxnode_id=202302505","Alphatorquevirus homin18")</f>
        <v>Alphatorquevirus homin18</v>
      </c>
      <c r="S15979" t="s">
        <v>30</v>
      </c>
      <c r="T15979" t="s">
        <v>37604</v>
      </c>
      <c r="U15979" t="s">
        <v>37605</v>
      </c>
      <c r="W15979" t="s">
        <v>37606</v>
      </c>
      <c r="X15979" t="s">
        <v>42</v>
      </c>
      <c r="Y15979" t="s">
        <v>12446</v>
      </c>
      <c r="Z15979" t="s">
        <v>166</v>
      </c>
      <c r="AA15979" s="22" t="str">
        <f>HYPERLINK("https://www.ncbi.nlm.nih.gov/nuccore/AX025718","NCBI Nucleotide")</f>
        <v>NCBI Nucleotide</v>
      </c>
    </row>
    <row r="15980" spans="1:27" x14ac:dyDescent="0.35">
      <c r="A15980">
        <v>1005414</v>
      </c>
      <c r="B15980">
        <v>14278</v>
      </c>
      <c r="C15980">
        <v>1</v>
      </c>
      <c r="N15980" t="s">
        <v>37553</v>
      </c>
      <c r="P15980" t="s">
        <v>37561</v>
      </c>
      <c r="R15980" s="26" t="str">
        <f>HYPERLINK("https://ictv.global/taxonomy/taxondetails?taxnode_id=202302506","Alphatorquevirus homin19")</f>
        <v>Alphatorquevirus homin19</v>
      </c>
      <c r="S15980" t="s">
        <v>30</v>
      </c>
      <c r="T15980" t="s">
        <v>37607</v>
      </c>
      <c r="U15980" t="s">
        <v>37608</v>
      </c>
      <c r="V15980" t="s">
        <v>37609</v>
      </c>
      <c r="W15980" t="s">
        <v>37610</v>
      </c>
      <c r="X15980" t="s">
        <v>42</v>
      </c>
      <c r="Y15980" t="s">
        <v>12446</v>
      </c>
      <c r="Z15980" t="s">
        <v>166</v>
      </c>
      <c r="AA15980" s="22" t="str">
        <f>HYPERLINK("https://www.ncbi.nlm.nih.gov/nuccore/AB025946","NCBI Nucleotide")</f>
        <v>NCBI Nucleotide</v>
      </c>
    </row>
    <row r="15981" spans="1:27" x14ac:dyDescent="0.35">
      <c r="A15981">
        <v>1005416</v>
      </c>
      <c r="B15981">
        <v>14279</v>
      </c>
      <c r="C15981">
        <v>1</v>
      </c>
      <c r="N15981" t="s">
        <v>37553</v>
      </c>
      <c r="P15981" t="s">
        <v>37561</v>
      </c>
      <c r="R15981" s="26" t="str">
        <f>HYPERLINK("https://ictv.global/taxonomy/taxondetails?taxnode_id=202302507","Alphatorquevirus homin20")</f>
        <v>Alphatorquevirus homin20</v>
      </c>
      <c r="S15981" t="s">
        <v>30</v>
      </c>
      <c r="T15981" t="s">
        <v>37615</v>
      </c>
      <c r="U15981" t="s">
        <v>37616</v>
      </c>
      <c r="V15981" t="s">
        <v>37617</v>
      </c>
      <c r="W15981" t="s">
        <v>37618</v>
      </c>
      <c r="X15981" t="s">
        <v>42</v>
      </c>
      <c r="Y15981" t="s">
        <v>12446</v>
      </c>
      <c r="Z15981" t="s">
        <v>166</v>
      </c>
      <c r="AA15981" s="22" t="str">
        <f>HYPERLINK("https://www.ncbi.nlm.nih.gov/nuccore/AB060594","NCBI Nucleotide")</f>
        <v>NCBI Nucleotide</v>
      </c>
    </row>
    <row r="15982" spans="1:27" x14ac:dyDescent="0.35">
      <c r="A15982">
        <v>1005417</v>
      </c>
      <c r="B15982">
        <v>14280</v>
      </c>
      <c r="C15982">
        <v>1</v>
      </c>
      <c r="N15982" t="s">
        <v>37553</v>
      </c>
      <c r="P15982" t="s">
        <v>37561</v>
      </c>
      <c r="R15982" s="26" t="str">
        <f>HYPERLINK("https://ictv.global/taxonomy/taxondetails?taxnode_id=202302508","Alphatorquevirus homin21")</f>
        <v>Alphatorquevirus homin21</v>
      </c>
      <c r="S15982" t="s">
        <v>30</v>
      </c>
      <c r="T15982" t="s">
        <v>37619</v>
      </c>
      <c r="U15982" t="s">
        <v>37620</v>
      </c>
      <c r="V15982" t="s">
        <v>37621</v>
      </c>
      <c r="W15982" t="s">
        <v>37622</v>
      </c>
      <c r="X15982" t="s">
        <v>42</v>
      </c>
      <c r="Y15982" t="s">
        <v>12446</v>
      </c>
      <c r="Z15982" t="s">
        <v>166</v>
      </c>
      <c r="AA15982" s="22" t="str">
        <f>HYPERLINK("https://www.ncbi.nlm.nih.gov/nuccore/AF348409","NCBI Nucleotide")</f>
        <v>NCBI Nucleotide</v>
      </c>
    </row>
    <row r="15983" spans="1:27" x14ac:dyDescent="0.35">
      <c r="A15983">
        <v>1005418</v>
      </c>
      <c r="B15983">
        <v>14281</v>
      </c>
      <c r="C15983">
        <v>1</v>
      </c>
      <c r="N15983" t="s">
        <v>37553</v>
      </c>
      <c r="P15983" t="s">
        <v>37561</v>
      </c>
      <c r="R15983" s="26" t="str">
        <f>HYPERLINK("https://ictv.global/taxonomy/taxondetails?taxnode_id=202302511","Alphatorquevirus homin24")</f>
        <v>Alphatorquevirus homin24</v>
      </c>
      <c r="S15983" t="s">
        <v>30</v>
      </c>
      <c r="T15983" t="s">
        <v>37623</v>
      </c>
      <c r="U15983" t="s">
        <v>37624</v>
      </c>
      <c r="V15983" t="s">
        <v>37625</v>
      </c>
      <c r="W15983" t="s">
        <v>37626</v>
      </c>
      <c r="X15983" t="s">
        <v>42</v>
      </c>
      <c r="Y15983" t="s">
        <v>12446</v>
      </c>
      <c r="Z15983" t="s">
        <v>166</v>
      </c>
      <c r="AA15983" s="22" t="str">
        <f>HYPERLINK("https://www.ncbi.nlm.nih.gov/nuccore/AB060597","NCBI Nucleotide")</f>
        <v>NCBI Nucleotide</v>
      </c>
    </row>
    <row r="15984" spans="1:27" x14ac:dyDescent="0.35">
      <c r="A15984">
        <v>1005419</v>
      </c>
      <c r="B15984">
        <v>14282</v>
      </c>
      <c r="C15984">
        <v>1</v>
      </c>
      <c r="N15984" t="s">
        <v>37553</v>
      </c>
      <c r="P15984" t="s">
        <v>37561</v>
      </c>
      <c r="R15984" s="26" t="str">
        <f>HYPERLINK("https://ictv.global/taxonomy/taxondetails?taxnode_id=202302516","Alphatorquevirus homin29")</f>
        <v>Alphatorquevirus homin29</v>
      </c>
      <c r="S15984" t="s">
        <v>30</v>
      </c>
      <c r="T15984" t="s">
        <v>37627</v>
      </c>
      <c r="U15984" t="s">
        <v>37628</v>
      </c>
      <c r="V15984" t="s">
        <v>37629</v>
      </c>
      <c r="W15984" t="s">
        <v>37630</v>
      </c>
      <c r="X15984" t="s">
        <v>42</v>
      </c>
      <c r="Y15984" t="s">
        <v>12446</v>
      </c>
      <c r="Z15984" t="s">
        <v>166</v>
      </c>
      <c r="AA15984" s="22" t="str">
        <f>HYPERLINK("https://www.ncbi.nlm.nih.gov/nuccore/AB038621","NCBI Nucleotide")</f>
        <v>NCBI Nucleotide</v>
      </c>
    </row>
    <row r="15985" spans="1:27" x14ac:dyDescent="0.35">
      <c r="A15985">
        <v>1005421</v>
      </c>
      <c r="B15985">
        <v>14283</v>
      </c>
      <c r="C15985">
        <v>1</v>
      </c>
      <c r="N15985" t="s">
        <v>37553</v>
      </c>
      <c r="P15985" t="s">
        <v>37561</v>
      </c>
      <c r="R15985" s="26" t="str">
        <f>HYPERLINK("https://ictv.global/taxonomy/taxondetails?taxnode_id=202309399","Alphatorquevirus homin31")</f>
        <v>Alphatorquevirus homin31</v>
      </c>
      <c r="S15985" t="s">
        <v>30</v>
      </c>
      <c r="T15985" t="s">
        <v>37635</v>
      </c>
      <c r="V15985" t="s">
        <v>37636</v>
      </c>
      <c r="W15985" t="s">
        <v>37637</v>
      </c>
      <c r="X15985" t="s">
        <v>42</v>
      </c>
      <c r="Y15985" t="s">
        <v>12446</v>
      </c>
      <c r="Z15985" t="s">
        <v>166</v>
      </c>
      <c r="AA15985" s="22" t="str">
        <f>HYPERLINK("https://www.ncbi.nlm.nih.gov/nuccore/KJ082064","NCBI Nucleotide")</f>
        <v>NCBI Nucleotide</v>
      </c>
    </row>
    <row r="15986" spans="1:27" x14ac:dyDescent="0.35">
      <c r="A15986">
        <v>1005427</v>
      </c>
      <c r="B15986">
        <v>14284</v>
      </c>
      <c r="C15986">
        <v>1</v>
      </c>
      <c r="N15986" t="s">
        <v>37553</v>
      </c>
      <c r="P15986" t="s">
        <v>37657</v>
      </c>
      <c r="R15986" s="26" t="str">
        <f>HYPERLINK("https://ictv.global/taxonomy/taxondetails?taxnode_id=202302518","Betatorquevirus homini1")</f>
        <v>Betatorquevirus homini1</v>
      </c>
      <c r="S15986" t="s">
        <v>30</v>
      </c>
      <c r="T15986" t="s">
        <v>37658</v>
      </c>
      <c r="U15986" t="s">
        <v>37659</v>
      </c>
      <c r="V15986" t="s">
        <v>37660</v>
      </c>
      <c r="W15986" t="s">
        <v>37661</v>
      </c>
      <c r="X15986" t="s">
        <v>42</v>
      </c>
      <c r="Y15986" t="s">
        <v>12446</v>
      </c>
      <c r="Z15986" t="s">
        <v>166</v>
      </c>
      <c r="AA15986" s="22" t="str">
        <f>HYPERLINK("https://www.ncbi.nlm.nih.gov/nuccore/AB026931","NCBI Nucleotide")</f>
        <v>NCBI Nucleotide</v>
      </c>
    </row>
    <row r="15987" spans="1:27" x14ac:dyDescent="0.35">
      <c r="A15987">
        <v>1005438</v>
      </c>
      <c r="B15987">
        <v>14285</v>
      </c>
      <c r="C15987">
        <v>1</v>
      </c>
      <c r="N15987" t="s">
        <v>37553</v>
      </c>
      <c r="P15987" t="s">
        <v>37657</v>
      </c>
      <c r="R15987" s="26" t="str">
        <f>HYPERLINK("https://ictv.global/taxonomy/taxondetails?taxnode_id=202302519","Betatorquevirus homini2")</f>
        <v>Betatorquevirus homini2</v>
      </c>
      <c r="S15987" t="s">
        <v>30</v>
      </c>
      <c r="T15987" t="s">
        <v>37691</v>
      </c>
      <c r="U15987" t="s">
        <v>37692</v>
      </c>
      <c r="V15987" t="s">
        <v>37693</v>
      </c>
      <c r="W15987" t="s">
        <v>37694</v>
      </c>
      <c r="X15987" t="s">
        <v>42</v>
      </c>
      <c r="Y15987" t="s">
        <v>12446</v>
      </c>
      <c r="Z15987" t="s">
        <v>166</v>
      </c>
      <c r="AA15987" s="22" t="str">
        <f>HYPERLINK("https://www.ncbi.nlm.nih.gov/nuccore/AB038629","NCBI Nucleotide")</f>
        <v>NCBI Nucleotide</v>
      </c>
    </row>
    <row r="15988" spans="1:27" x14ac:dyDescent="0.35">
      <c r="A15988">
        <v>1005449</v>
      </c>
      <c r="B15988">
        <v>14286</v>
      </c>
      <c r="C15988">
        <v>1</v>
      </c>
      <c r="N15988" t="s">
        <v>37553</v>
      </c>
      <c r="P15988" t="s">
        <v>37657</v>
      </c>
      <c r="R15988" s="26" t="str">
        <f>HYPERLINK("https://ictv.global/taxonomy/taxondetails?taxnode_id=202302520","Betatorquevirus homini3")</f>
        <v>Betatorquevirus homini3</v>
      </c>
      <c r="S15988" t="s">
        <v>30</v>
      </c>
      <c r="T15988" t="s">
        <v>37717</v>
      </c>
      <c r="U15988" t="s">
        <v>37718</v>
      </c>
      <c r="V15988" t="s">
        <v>37719</v>
      </c>
      <c r="W15988" t="s">
        <v>37720</v>
      </c>
      <c r="X15988" t="s">
        <v>42</v>
      </c>
      <c r="Y15988" t="s">
        <v>12446</v>
      </c>
      <c r="Z15988" t="s">
        <v>166</v>
      </c>
      <c r="AA15988" s="22" t="str">
        <f>HYPERLINK("https://www.ncbi.nlm.nih.gov/nuccore/AB038630","NCBI Nucleotide")</f>
        <v>NCBI Nucleotide</v>
      </c>
    </row>
    <row r="15989" spans="1:27" x14ac:dyDescent="0.35">
      <c r="A15989">
        <v>1005459</v>
      </c>
      <c r="B15989">
        <v>14287</v>
      </c>
      <c r="C15989">
        <v>1</v>
      </c>
      <c r="N15989" t="s">
        <v>37553</v>
      </c>
      <c r="P15989" t="s">
        <v>37657</v>
      </c>
      <c r="R15989" s="26" t="str">
        <f>HYPERLINK("https://ictv.global/taxonomy/taxondetails?taxnode_id=202302521","Betatorquevirus homini4")</f>
        <v>Betatorquevirus homini4</v>
      </c>
      <c r="S15989" t="s">
        <v>30</v>
      </c>
      <c r="T15989" t="s">
        <v>37739</v>
      </c>
      <c r="U15989" t="s">
        <v>37740</v>
      </c>
      <c r="V15989" t="s">
        <v>37741</v>
      </c>
      <c r="W15989" t="s">
        <v>37742</v>
      </c>
      <c r="X15989" t="s">
        <v>42</v>
      </c>
      <c r="Y15989" t="s">
        <v>12446</v>
      </c>
      <c r="Z15989" t="s">
        <v>166</v>
      </c>
      <c r="AA15989" s="22" t="str">
        <f>HYPERLINK("https://www.ncbi.nlm.nih.gov/nuccore/AB041963","NCBI Nucleotide")</f>
        <v>NCBI Nucleotide</v>
      </c>
    </row>
    <row r="15990" spans="1:27" x14ac:dyDescent="0.35">
      <c r="A15990">
        <v>1005460</v>
      </c>
      <c r="B15990">
        <v>14288</v>
      </c>
      <c r="C15990">
        <v>1</v>
      </c>
      <c r="N15990" t="s">
        <v>37553</v>
      </c>
      <c r="P15990" t="s">
        <v>37657</v>
      </c>
      <c r="R15990" s="26" t="str">
        <f>HYPERLINK("https://ictv.global/taxonomy/taxondetails?taxnode_id=202302522","Betatorquevirus homini5")</f>
        <v>Betatorquevirus homini5</v>
      </c>
      <c r="S15990" t="s">
        <v>30</v>
      </c>
      <c r="T15990" t="s">
        <v>37743</v>
      </c>
      <c r="U15990" t="s">
        <v>37744</v>
      </c>
      <c r="V15990" t="s">
        <v>37745</v>
      </c>
      <c r="W15990" t="s">
        <v>37746</v>
      </c>
      <c r="X15990" t="s">
        <v>42</v>
      </c>
      <c r="Y15990" t="s">
        <v>12446</v>
      </c>
      <c r="Z15990" t="s">
        <v>166</v>
      </c>
      <c r="AA15990" s="22" t="str">
        <f>HYPERLINK("https://www.ncbi.nlm.nih.gov/nuccore/AB041962","NCBI Nucleotide")</f>
        <v>NCBI Nucleotide</v>
      </c>
    </row>
    <row r="15991" spans="1:27" x14ac:dyDescent="0.35">
      <c r="A15991">
        <v>1005461</v>
      </c>
      <c r="B15991">
        <v>14289</v>
      </c>
      <c r="C15991">
        <v>1</v>
      </c>
      <c r="N15991" t="s">
        <v>37553</v>
      </c>
      <c r="P15991" t="s">
        <v>37657</v>
      </c>
      <c r="R15991" s="26" t="str">
        <f>HYPERLINK("https://ictv.global/taxonomy/taxondetails?taxnode_id=202302523","Betatorquevirus homini6")</f>
        <v>Betatorquevirus homini6</v>
      </c>
      <c r="S15991" t="s">
        <v>30</v>
      </c>
      <c r="T15991" t="s">
        <v>37747</v>
      </c>
      <c r="U15991" t="s">
        <v>37748</v>
      </c>
      <c r="V15991" t="s">
        <v>37749</v>
      </c>
      <c r="W15991" t="s">
        <v>37750</v>
      </c>
      <c r="X15991" t="s">
        <v>42</v>
      </c>
      <c r="Y15991" t="s">
        <v>12446</v>
      </c>
      <c r="Z15991" t="s">
        <v>166</v>
      </c>
      <c r="AA15991" s="22" t="str">
        <f>HYPERLINK("https://www.ncbi.nlm.nih.gov/nuccore/AB026929","NCBI Nucleotide")</f>
        <v>NCBI Nucleotide</v>
      </c>
    </row>
    <row r="15992" spans="1:27" x14ac:dyDescent="0.35">
      <c r="A15992">
        <v>1005462</v>
      </c>
      <c r="B15992">
        <v>14290</v>
      </c>
      <c r="C15992">
        <v>1</v>
      </c>
      <c r="N15992" t="s">
        <v>37553</v>
      </c>
      <c r="P15992" t="s">
        <v>37657</v>
      </c>
      <c r="R15992" s="26" t="str">
        <f>HYPERLINK("https://ictv.global/taxonomy/taxondetails?taxnode_id=202302524","Betatorquevirus homini7")</f>
        <v>Betatorquevirus homini7</v>
      </c>
      <c r="S15992" t="s">
        <v>30</v>
      </c>
      <c r="T15992" t="s">
        <v>37751</v>
      </c>
      <c r="U15992" t="s">
        <v>37752</v>
      </c>
      <c r="V15992" t="s">
        <v>37753</v>
      </c>
      <c r="W15992" t="s">
        <v>37754</v>
      </c>
      <c r="X15992" t="s">
        <v>42</v>
      </c>
      <c r="Y15992" t="s">
        <v>12446</v>
      </c>
      <c r="Z15992" t="s">
        <v>166</v>
      </c>
      <c r="AA15992" s="22" t="str">
        <f>HYPERLINK("https://www.ncbi.nlm.nih.gov/nuccore/AB038627","NCBI Nucleotide")</f>
        <v>NCBI Nucleotide</v>
      </c>
    </row>
    <row r="15993" spans="1:27" x14ac:dyDescent="0.35">
      <c r="A15993">
        <v>1005463</v>
      </c>
      <c r="B15993">
        <v>14291</v>
      </c>
      <c r="C15993">
        <v>1</v>
      </c>
      <c r="N15993" t="s">
        <v>37553</v>
      </c>
      <c r="P15993" t="s">
        <v>37657</v>
      </c>
      <c r="R15993" s="26" t="str">
        <f>HYPERLINK("https://ictv.global/taxonomy/taxondetails?taxnode_id=202302525","Betatorquevirus homini8")</f>
        <v>Betatorquevirus homini8</v>
      </c>
      <c r="S15993" t="s">
        <v>30</v>
      </c>
      <c r="T15993" t="s">
        <v>37755</v>
      </c>
      <c r="U15993" t="s">
        <v>37756</v>
      </c>
      <c r="V15993" t="s">
        <v>37757</v>
      </c>
      <c r="W15993" t="s">
        <v>37758</v>
      </c>
      <c r="X15993" t="s">
        <v>42</v>
      </c>
      <c r="Y15993" t="s">
        <v>12446</v>
      </c>
      <c r="Z15993" t="s">
        <v>166</v>
      </c>
      <c r="AA15993" s="22" t="str">
        <f>HYPERLINK("https://www.ncbi.nlm.nih.gov/nuccore/AF291073","NCBI Nucleotide")</f>
        <v>NCBI Nucleotide</v>
      </c>
    </row>
    <row r="15994" spans="1:27" x14ac:dyDescent="0.35">
      <c r="A15994">
        <v>1005464</v>
      </c>
      <c r="B15994">
        <v>14292</v>
      </c>
      <c r="C15994">
        <v>1</v>
      </c>
      <c r="N15994" t="s">
        <v>37553</v>
      </c>
      <c r="P15994" t="s">
        <v>37657</v>
      </c>
      <c r="R15994" s="26" t="str">
        <f>HYPERLINK("https://ictv.global/taxonomy/taxondetails?taxnode_id=202302526","Betatorquevirus homini9")</f>
        <v>Betatorquevirus homini9</v>
      </c>
      <c r="S15994" t="s">
        <v>30</v>
      </c>
      <c r="T15994" t="s">
        <v>37759</v>
      </c>
      <c r="U15994" t="s">
        <v>37760</v>
      </c>
      <c r="V15994" t="s">
        <v>37761</v>
      </c>
      <c r="W15994" t="s">
        <v>37762</v>
      </c>
      <c r="X15994" t="s">
        <v>42</v>
      </c>
      <c r="Y15994" t="s">
        <v>12446</v>
      </c>
      <c r="Z15994" t="s">
        <v>166</v>
      </c>
      <c r="AA15994" s="22" t="str">
        <f>HYPERLINK("https://www.ncbi.nlm.nih.gov/nuccore/AB038625","NCBI Nucleotide")</f>
        <v>NCBI Nucleotide</v>
      </c>
    </row>
    <row r="15995" spans="1:27" x14ac:dyDescent="0.35">
      <c r="A15995">
        <v>1005428</v>
      </c>
      <c r="B15995">
        <v>14293</v>
      </c>
      <c r="C15995">
        <v>1</v>
      </c>
      <c r="N15995" t="s">
        <v>37553</v>
      </c>
      <c r="P15995" t="s">
        <v>37657</v>
      </c>
      <c r="R15995" s="26" t="str">
        <f>HYPERLINK("https://ictv.global/taxonomy/taxondetails?taxnode_id=202302527","Betatorquevirus homini10")</f>
        <v>Betatorquevirus homini10</v>
      </c>
      <c r="S15995" t="s">
        <v>30</v>
      </c>
      <c r="T15995" t="s">
        <v>37662</v>
      </c>
      <c r="U15995" t="s">
        <v>37663</v>
      </c>
      <c r="V15995" t="s">
        <v>37664</v>
      </c>
      <c r="W15995" t="s">
        <v>37665</v>
      </c>
      <c r="X15995" t="s">
        <v>42</v>
      </c>
      <c r="Y15995" t="s">
        <v>12446</v>
      </c>
      <c r="Z15995" t="s">
        <v>166</v>
      </c>
      <c r="AA15995" s="22" t="str">
        <f>HYPERLINK("https://www.ncbi.nlm.nih.gov/nuccore/EF538880","NCBI Nucleotide")</f>
        <v>NCBI Nucleotide</v>
      </c>
    </row>
    <row r="15996" spans="1:27" x14ac:dyDescent="0.35">
      <c r="A15996">
        <v>1005429</v>
      </c>
      <c r="B15996">
        <v>14294</v>
      </c>
      <c r="C15996">
        <v>1</v>
      </c>
      <c r="N15996" t="s">
        <v>37553</v>
      </c>
      <c r="P15996" t="s">
        <v>37657</v>
      </c>
      <c r="R15996" s="26" t="str">
        <f>HYPERLINK("https://ictv.global/taxonomy/taxondetails?taxnode_id=202302528","Betatorquevirus homini11")</f>
        <v>Betatorquevirus homini11</v>
      </c>
      <c r="S15996" t="s">
        <v>30</v>
      </c>
      <c r="T15996" t="s">
        <v>37666</v>
      </c>
      <c r="U15996" t="s">
        <v>37667</v>
      </c>
      <c r="V15996" t="s">
        <v>37668</v>
      </c>
      <c r="W15996" t="s">
        <v>37669</v>
      </c>
      <c r="X15996" t="s">
        <v>42</v>
      </c>
      <c r="Y15996" t="s">
        <v>12446</v>
      </c>
      <c r="Z15996" t="s">
        <v>166</v>
      </c>
      <c r="AA15996" s="22" t="str">
        <f>HYPERLINK("https://www.ncbi.nlm.nih.gov/nuccore/EF538881","NCBI Nucleotide")</f>
        <v>NCBI Nucleotide</v>
      </c>
    </row>
    <row r="15997" spans="1:27" x14ac:dyDescent="0.35">
      <c r="A15997">
        <v>1005430</v>
      </c>
      <c r="B15997">
        <v>14295</v>
      </c>
      <c r="C15997">
        <v>1</v>
      </c>
      <c r="N15997" t="s">
        <v>37553</v>
      </c>
      <c r="P15997" t="s">
        <v>37657</v>
      </c>
      <c r="R15997" s="26" t="str">
        <f>HYPERLINK("https://ictv.global/taxonomy/taxondetails?taxnode_id=202302529","Betatorquevirus homini12")</f>
        <v>Betatorquevirus homini12</v>
      </c>
      <c r="S15997" t="s">
        <v>30</v>
      </c>
      <c r="T15997" t="s">
        <v>37670</v>
      </c>
      <c r="U15997" t="s">
        <v>37671</v>
      </c>
      <c r="V15997" t="s">
        <v>37672</v>
      </c>
      <c r="W15997" t="s">
        <v>37673</v>
      </c>
      <c r="X15997" t="s">
        <v>42</v>
      </c>
      <c r="Y15997" t="s">
        <v>12446</v>
      </c>
      <c r="Z15997" t="s">
        <v>166</v>
      </c>
      <c r="AA15997" s="22" t="str">
        <f>HYPERLINK("https://www.ncbi.nlm.nih.gov/nuccore/EF538882","NCBI Nucleotide")</f>
        <v>NCBI Nucleotide</v>
      </c>
    </row>
    <row r="15998" spans="1:27" x14ac:dyDescent="0.35">
      <c r="A15998">
        <v>1005431</v>
      </c>
      <c r="B15998">
        <v>14296</v>
      </c>
      <c r="C15998">
        <v>1</v>
      </c>
      <c r="N15998" t="s">
        <v>37553</v>
      </c>
      <c r="P15998" t="s">
        <v>37657</v>
      </c>
      <c r="R15998" s="26" t="str">
        <f>HYPERLINK("https://ictv.global/taxonomy/taxondetails?taxnode_id=202309400","Betatorquevirus homini13")</f>
        <v>Betatorquevirus homini13</v>
      </c>
      <c r="S15998" t="s">
        <v>30</v>
      </c>
      <c r="T15998" t="s">
        <v>37674</v>
      </c>
      <c r="V15998" t="s">
        <v>37675</v>
      </c>
      <c r="W15998" t="s">
        <v>37676</v>
      </c>
      <c r="X15998" t="s">
        <v>42</v>
      </c>
      <c r="Y15998" t="s">
        <v>12446</v>
      </c>
      <c r="Z15998" t="s">
        <v>166</v>
      </c>
      <c r="AA15998" s="22" t="str">
        <f>HYPERLINK("https://www.ncbi.nlm.nih.gov/nuccore/KY856742","NCBI Nucleotide")</f>
        <v>NCBI Nucleotide</v>
      </c>
    </row>
    <row r="15999" spans="1:27" x14ac:dyDescent="0.35">
      <c r="A15999">
        <v>1005432</v>
      </c>
      <c r="B15999">
        <v>14297</v>
      </c>
      <c r="C15999">
        <v>1</v>
      </c>
      <c r="N15999" t="s">
        <v>37553</v>
      </c>
      <c r="P15999" t="s">
        <v>37657</v>
      </c>
      <c r="R15999" s="26" t="str">
        <f>HYPERLINK("https://ictv.global/taxonomy/taxondetails?taxnode_id=202309401","Betatorquevirus homini14")</f>
        <v>Betatorquevirus homini14</v>
      </c>
      <c r="S15999" t="s">
        <v>30</v>
      </c>
      <c r="T15999" t="s">
        <v>37662</v>
      </c>
      <c r="V15999" t="s">
        <v>37677</v>
      </c>
      <c r="W15999" t="s">
        <v>37678</v>
      </c>
      <c r="X15999" t="s">
        <v>42</v>
      </c>
      <c r="Y15999" t="s">
        <v>12446</v>
      </c>
      <c r="Z15999" t="s">
        <v>166</v>
      </c>
      <c r="AA15999" s="22" t="str">
        <f>HYPERLINK("https://www.ncbi.nlm.nih.gov/nuccore/MH017546","NCBI Nucleotide")</f>
        <v>NCBI Nucleotide</v>
      </c>
    </row>
    <row r="16000" spans="1:27" x14ac:dyDescent="0.35">
      <c r="A16000">
        <v>1005433</v>
      </c>
      <c r="B16000">
        <v>14298</v>
      </c>
      <c r="C16000">
        <v>1</v>
      </c>
      <c r="N16000" t="s">
        <v>37553</v>
      </c>
      <c r="P16000" t="s">
        <v>37657</v>
      </c>
      <c r="R16000" s="26" t="str">
        <f>HYPERLINK("https://ictv.global/taxonomy/taxondetails?taxnode_id=202309402","Betatorquevirus homini15")</f>
        <v>Betatorquevirus homini15</v>
      </c>
      <c r="S16000" t="s">
        <v>30</v>
      </c>
      <c r="T16000" t="s">
        <v>37674</v>
      </c>
      <c r="V16000" t="s">
        <v>37679</v>
      </c>
      <c r="W16000" t="s">
        <v>37680</v>
      </c>
      <c r="X16000" t="s">
        <v>42</v>
      </c>
      <c r="Y16000" t="s">
        <v>12446</v>
      </c>
      <c r="Z16000" t="s">
        <v>166</v>
      </c>
      <c r="AA16000" s="22" t="str">
        <f>HYPERLINK("https://www.ncbi.nlm.nih.gov/nuccore/JX134044","NCBI Nucleotide")</f>
        <v>NCBI Nucleotide</v>
      </c>
    </row>
    <row r="16001" spans="1:27" x14ac:dyDescent="0.35">
      <c r="A16001">
        <v>1005434</v>
      </c>
      <c r="B16001">
        <v>14299</v>
      </c>
      <c r="C16001">
        <v>1</v>
      </c>
      <c r="N16001" t="s">
        <v>37553</v>
      </c>
      <c r="P16001" t="s">
        <v>37657</v>
      </c>
      <c r="R16001" s="26" t="str">
        <f>HYPERLINK("https://ictv.global/taxonomy/taxondetails?taxnode_id=202309403","Betatorquevirus homini16")</f>
        <v>Betatorquevirus homini16</v>
      </c>
      <c r="S16001" t="s">
        <v>30</v>
      </c>
      <c r="T16001" t="s">
        <v>37681</v>
      </c>
      <c r="V16001" t="s">
        <v>37682</v>
      </c>
      <c r="W16001" t="s">
        <v>37683</v>
      </c>
      <c r="X16001" t="s">
        <v>42</v>
      </c>
      <c r="Y16001" t="s">
        <v>12446</v>
      </c>
      <c r="Z16001" t="s">
        <v>166</v>
      </c>
      <c r="AA16001" s="22" t="str">
        <f>HYPERLINK("https://www.ncbi.nlm.nih.gov/nuccore/KM259874","NCBI Nucleotide")</f>
        <v>NCBI Nucleotide</v>
      </c>
    </row>
    <row r="16002" spans="1:27" x14ac:dyDescent="0.35">
      <c r="A16002">
        <v>1005435</v>
      </c>
      <c r="B16002">
        <v>14300</v>
      </c>
      <c r="C16002">
        <v>1</v>
      </c>
      <c r="N16002" t="s">
        <v>37553</v>
      </c>
      <c r="P16002" t="s">
        <v>37657</v>
      </c>
      <c r="R16002" s="26" t="str">
        <f>HYPERLINK("https://ictv.global/taxonomy/taxondetails?taxnode_id=202309404","Betatorquevirus homini17")</f>
        <v>Betatorquevirus homini17</v>
      </c>
      <c r="S16002" t="s">
        <v>30</v>
      </c>
      <c r="T16002" t="s">
        <v>37684</v>
      </c>
      <c r="V16002" t="s">
        <v>37685</v>
      </c>
      <c r="W16002" t="s">
        <v>37686</v>
      </c>
      <c r="X16002" t="s">
        <v>42</v>
      </c>
      <c r="Y16002" t="s">
        <v>12446</v>
      </c>
      <c r="Z16002" t="s">
        <v>166</v>
      </c>
      <c r="AA16002" s="22" t="str">
        <f>HYPERLINK("https://www.ncbi.nlm.nih.gov/nuccore/MH648907","NCBI Nucleotide")</f>
        <v>NCBI Nucleotide</v>
      </c>
    </row>
    <row r="16003" spans="1:27" x14ac:dyDescent="0.35">
      <c r="A16003">
        <v>1005436</v>
      </c>
      <c r="B16003">
        <v>14301</v>
      </c>
      <c r="C16003">
        <v>1</v>
      </c>
      <c r="N16003" t="s">
        <v>37553</v>
      </c>
      <c r="P16003" t="s">
        <v>37657</v>
      </c>
      <c r="R16003" s="26" t="str">
        <f>HYPERLINK("https://ictv.global/taxonomy/taxondetails?taxnode_id=202309405","Betatorquevirus homini18")</f>
        <v>Betatorquevirus homini18</v>
      </c>
      <c r="S16003" t="s">
        <v>30</v>
      </c>
      <c r="T16003" t="s">
        <v>37674</v>
      </c>
      <c r="V16003" t="s">
        <v>37687</v>
      </c>
      <c r="W16003" t="s">
        <v>37688</v>
      </c>
      <c r="X16003" t="s">
        <v>42</v>
      </c>
      <c r="Y16003" t="s">
        <v>12446</v>
      </c>
      <c r="Z16003" t="s">
        <v>166</v>
      </c>
      <c r="AA16003" s="22" t="str">
        <f>HYPERLINK("https://www.ncbi.nlm.nih.gov/nuccore/KF764701","NCBI Nucleotide")</f>
        <v>NCBI Nucleotide</v>
      </c>
    </row>
    <row r="16004" spans="1:27" x14ac:dyDescent="0.35">
      <c r="A16004">
        <v>1005437</v>
      </c>
      <c r="B16004">
        <v>14302</v>
      </c>
      <c r="C16004">
        <v>1</v>
      </c>
      <c r="N16004" t="s">
        <v>37553</v>
      </c>
      <c r="P16004" t="s">
        <v>37657</v>
      </c>
      <c r="R16004" s="26" t="str">
        <f>HYPERLINK("https://ictv.global/taxonomy/taxondetails?taxnode_id=202309406","Betatorquevirus homini19")</f>
        <v>Betatorquevirus homini19</v>
      </c>
      <c r="S16004" t="s">
        <v>30</v>
      </c>
      <c r="T16004" t="s">
        <v>37674</v>
      </c>
      <c r="V16004" t="s">
        <v>37689</v>
      </c>
      <c r="W16004" t="s">
        <v>37690</v>
      </c>
      <c r="X16004" t="s">
        <v>42</v>
      </c>
      <c r="Y16004" t="s">
        <v>12446</v>
      </c>
      <c r="Z16004" t="s">
        <v>166</v>
      </c>
      <c r="AA16004" s="22" t="str">
        <f>HYPERLINK("https://www.ncbi.nlm.nih.gov/nuccore/JX134046","NCBI Nucleotide")</f>
        <v>NCBI Nucleotide</v>
      </c>
    </row>
    <row r="16005" spans="1:27" x14ac:dyDescent="0.35">
      <c r="A16005">
        <v>1005439</v>
      </c>
      <c r="B16005">
        <v>14303</v>
      </c>
      <c r="C16005">
        <v>1</v>
      </c>
      <c r="N16005" t="s">
        <v>37553</v>
      </c>
      <c r="P16005" t="s">
        <v>37657</v>
      </c>
      <c r="R16005" s="26" t="str">
        <f>HYPERLINK("https://ictv.global/taxonomy/taxondetails?taxnode_id=202309407","Betatorquevirus homini20")</f>
        <v>Betatorquevirus homini20</v>
      </c>
      <c r="S16005" t="s">
        <v>30</v>
      </c>
      <c r="T16005" t="s">
        <v>37684</v>
      </c>
      <c r="V16005" t="s">
        <v>37695</v>
      </c>
      <c r="W16005" t="s">
        <v>37696</v>
      </c>
      <c r="X16005" t="s">
        <v>42</v>
      </c>
      <c r="Y16005" t="s">
        <v>12446</v>
      </c>
      <c r="Z16005" t="s">
        <v>166</v>
      </c>
      <c r="AA16005" s="22" t="str">
        <f>HYPERLINK("https://www.ncbi.nlm.nih.gov/nuccore/MH648989","NCBI Nucleotide")</f>
        <v>NCBI Nucleotide</v>
      </c>
    </row>
    <row r="16006" spans="1:27" x14ac:dyDescent="0.35">
      <c r="A16006">
        <v>1005440</v>
      </c>
      <c r="B16006">
        <v>14304</v>
      </c>
      <c r="C16006">
        <v>1</v>
      </c>
      <c r="N16006" t="s">
        <v>37553</v>
      </c>
      <c r="P16006" t="s">
        <v>37657</v>
      </c>
      <c r="R16006" s="26" t="str">
        <f>HYPERLINK("https://ictv.global/taxonomy/taxondetails?taxnode_id=202309408","Betatorquevirus homini21")</f>
        <v>Betatorquevirus homini21</v>
      </c>
      <c r="S16006" t="s">
        <v>30</v>
      </c>
      <c r="T16006" t="s">
        <v>37684</v>
      </c>
      <c r="V16006" t="s">
        <v>37697</v>
      </c>
      <c r="W16006" t="s">
        <v>37698</v>
      </c>
      <c r="X16006" t="s">
        <v>42</v>
      </c>
      <c r="Y16006" t="s">
        <v>12446</v>
      </c>
      <c r="Z16006" t="s">
        <v>166</v>
      </c>
      <c r="AA16006" s="22" t="str">
        <f>HYPERLINK("https://www.ncbi.nlm.nih.gov/nuccore/MH648910","NCBI Nucleotide")</f>
        <v>NCBI Nucleotide</v>
      </c>
    </row>
    <row r="16007" spans="1:27" x14ac:dyDescent="0.35">
      <c r="A16007">
        <v>1005441</v>
      </c>
      <c r="B16007">
        <v>14305</v>
      </c>
      <c r="C16007">
        <v>1</v>
      </c>
      <c r="N16007" t="s">
        <v>37553</v>
      </c>
      <c r="P16007" t="s">
        <v>37657</v>
      </c>
      <c r="R16007" s="26" t="str">
        <f>HYPERLINK("https://ictv.global/taxonomy/taxondetails?taxnode_id=202309409","Betatorquevirus homini22")</f>
        <v>Betatorquevirus homini22</v>
      </c>
      <c r="S16007" t="s">
        <v>30</v>
      </c>
      <c r="T16007" t="s">
        <v>37674</v>
      </c>
      <c r="V16007" t="s">
        <v>37699</v>
      </c>
      <c r="W16007" t="s">
        <v>37700</v>
      </c>
      <c r="X16007" t="s">
        <v>42</v>
      </c>
      <c r="Y16007" t="s">
        <v>12446</v>
      </c>
      <c r="Z16007" t="s">
        <v>166</v>
      </c>
      <c r="AA16007" s="22" t="str">
        <f>HYPERLINK("https://www.ncbi.nlm.nih.gov/nuccore/MK212031","NCBI Nucleotide")</f>
        <v>NCBI Nucleotide</v>
      </c>
    </row>
    <row r="16008" spans="1:27" x14ac:dyDescent="0.35">
      <c r="A16008">
        <v>1005442</v>
      </c>
      <c r="B16008">
        <v>14306</v>
      </c>
      <c r="C16008">
        <v>1</v>
      </c>
      <c r="N16008" t="s">
        <v>37553</v>
      </c>
      <c r="P16008" t="s">
        <v>37657</v>
      </c>
      <c r="R16008" s="26" t="str">
        <f>HYPERLINK("https://ictv.global/taxonomy/taxondetails?taxnode_id=202309410","Betatorquevirus homini23")</f>
        <v>Betatorquevirus homini23</v>
      </c>
      <c r="S16008" t="s">
        <v>30</v>
      </c>
      <c r="T16008" t="s">
        <v>37674</v>
      </c>
      <c r="V16008" t="s">
        <v>37701</v>
      </c>
      <c r="W16008" t="s">
        <v>37702</v>
      </c>
      <c r="X16008" t="s">
        <v>42</v>
      </c>
      <c r="Y16008" t="s">
        <v>12446</v>
      </c>
      <c r="Z16008" t="s">
        <v>166</v>
      </c>
      <c r="AA16008" s="22" t="str">
        <f>HYPERLINK("https://www.ncbi.nlm.nih.gov/nuccore/KX810063","NCBI Nucleotide")</f>
        <v>NCBI Nucleotide</v>
      </c>
    </row>
    <row r="16009" spans="1:27" x14ac:dyDescent="0.35">
      <c r="A16009">
        <v>1005443</v>
      </c>
      <c r="B16009">
        <v>14307</v>
      </c>
      <c r="C16009">
        <v>1</v>
      </c>
      <c r="N16009" t="s">
        <v>37553</v>
      </c>
      <c r="P16009" t="s">
        <v>37657</v>
      </c>
      <c r="R16009" s="26" t="str">
        <f>HYPERLINK("https://ictv.global/taxonomy/taxondetails?taxnode_id=202309411","Betatorquevirus homini24")</f>
        <v>Betatorquevirus homini24</v>
      </c>
      <c r="S16009" t="s">
        <v>30</v>
      </c>
      <c r="T16009" t="s">
        <v>37684</v>
      </c>
      <c r="V16009" t="s">
        <v>37703</v>
      </c>
      <c r="W16009" t="s">
        <v>37704</v>
      </c>
      <c r="X16009" t="s">
        <v>42</v>
      </c>
      <c r="Y16009" t="s">
        <v>12446</v>
      </c>
      <c r="Z16009" t="s">
        <v>166</v>
      </c>
      <c r="AA16009" s="22" t="str">
        <f>HYPERLINK("https://www.ncbi.nlm.nih.gov/nuccore/MH649141","NCBI Nucleotide")</f>
        <v>NCBI Nucleotide</v>
      </c>
    </row>
    <row r="16010" spans="1:27" x14ac:dyDescent="0.35">
      <c r="A16010">
        <v>1005444</v>
      </c>
      <c r="B16010">
        <v>14308</v>
      </c>
      <c r="C16010">
        <v>1</v>
      </c>
      <c r="N16010" t="s">
        <v>37553</v>
      </c>
      <c r="P16010" t="s">
        <v>37657</v>
      </c>
      <c r="R16010" s="26" t="str">
        <f>HYPERLINK("https://ictv.global/taxonomy/taxondetails?taxnode_id=202309412","Betatorquevirus homini25")</f>
        <v>Betatorquevirus homini25</v>
      </c>
      <c r="S16010" t="s">
        <v>30</v>
      </c>
      <c r="T16010" t="s">
        <v>37684</v>
      </c>
      <c r="V16010" t="s">
        <v>37705</v>
      </c>
      <c r="W16010" t="s">
        <v>37706</v>
      </c>
      <c r="X16010" t="s">
        <v>42</v>
      </c>
      <c r="Y16010" t="s">
        <v>12446</v>
      </c>
      <c r="Z16010" t="s">
        <v>166</v>
      </c>
      <c r="AA16010" s="22" t="str">
        <f>HYPERLINK("https://www.ncbi.nlm.nih.gov/nuccore/MH648986","NCBI Nucleotide")</f>
        <v>NCBI Nucleotide</v>
      </c>
    </row>
    <row r="16011" spans="1:27" x14ac:dyDescent="0.35">
      <c r="A16011">
        <v>1005445</v>
      </c>
      <c r="B16011">
        <v>14309</v>
      </c>
      <c r="C16011">
        <v>1</v>
      </c>
      <c r="N16011" t="s">
        <v>37553</v>
      </c>
      <c r="P16011" t="s">
        <v>37657</v>
      </c>
      <c r="R16011" s="26" t="str">
        <f>HYPERLINK("https://ictv.global/taxonomy/taxondetails?taxnode_id=202309413","Betatorquevirus homini26")</f>
        <v>Betatorquevirus homini26</v>
      </c>
      <c r="S16011" t="s">
        <v>30</v>
      </c>
      <c r="T16011" t="s">
        <v>37707</v>
      </c>
      <c r="V16011" t="s">
        <v>37708</v>
      </c>
      <c r="W16011" t="s">
        <v>37709</v>
      </c>
      <c r="X16011" t="s">
        <v>42</v>
      </c>
      <c r="Y16011" t="s">
        <v>12446</v>
      </c>
      <c r="Z16011" t="s">
        <v>166</v>
      </c>
      <c r="AA16011" s="22" t="str">
        <f>HYPERLINK("https://www.ncbi.nlm.nih.gov/nuccore/KY462770","NCBI Nucleotide")</f>
        <v>NCBI Nucleotide</v>
      </c>
    </row>
    <row r="16012" spans="1:27" x14ac:dyDescent="0.35">
      <c r="A16012">
        <v>1005446</v>
      </c>
      <c r="B16012">
        <v>14310</v>
      </c>
      <c r="C16012">
        <v>1</v>
      </c>
      <c r="N16012" t="s">
        <v>37553</v>
      </c>
      <c r="P16012" t="s">
        <v>37657</v>
      </c>
      <c r="R16012" s="26" t="str">
        <f>HYPERLINK("https://ictv.global/taxonomy/taxondetails?taxnode_id=202309414","Betatorquevirus homini27")</f>
        <v>Betatorquevirus homini27</v>
      </c>
      <c r="S16012" t="s">
        <v>30</v>
      </c>
      <c r="T16012" t="s">
        <v>37710</v>
      </c>
      <c r="V16012" t="s">
        <v>37711</v>
      </c>
      <c r="W16012" t="s">
        <v>37712</v>
      </c>
      <c r="X16012" t="s">
        <v>42</v>
      </c>
      <c r="Y16012" t="s">
        <v>12446</v>
      </c>
      <c r="Z16012" t="s">
        <v>166</v>
      </c>
      <c r="AA16012" s="22" t="str">
        <f>HYPERLINK("https://www.ncbi.nlm.nih.gov/nuccore/KM259873","NCBI Nucleotide")</f>
        <v>NCBI Nucleotide</v>
      </c>
    </row>
    <row r="16013" spans="1:27" x14ac:dyDescent="0.35">
      <c r="A16013">
        <v>1005447</v>
      </c>
      <c r="B16013">
        <v>14311</v>
      </c>
      <c r="C16013">
        <v>1</v>
      </c>
      <c r="N16013" t="s">
        <v>37553</v>
      </c>
      <c r="P16013" t="s">
        <v>37657</v>
      </c>
      <c r="R16013" s="26" t="str">
        <f>HYPERLINK("https://ictv.global/taxonomy/taxondetails?taxnode_id=202309415","Betatorquevirus homini28")</f>
        <v>Betatorquevirus homini28</v>
      </c>
      <c r="S16013" t="s">
        <v>30</v>
      </c>
      <c r="T16013" t="s">
        <v>37662</v>
      </c>
      <c r="V16013" t="s">
        <v>37713</v>
      </c>
      <c r="W16013" t="s">
        <v>37714</v>
      </c>
      <c r="X16013" t="s">
        <v>42</v>
      </c>
      <c r="Y16013" t="s">
        <v>12446</v>
      </c>
      <c r="Z16013" t="s">
        <v>166</v>
      </c>
      <c r="AA16013" s="22" t="str">
        <f>HYPERLINK("https://www.ncbi.nlm.nih.gov/nuccore/MH017563","NCBI Nucleotide")</f>
        <v>NCBI Nucleotide</v>
      </c>
    </row>
    <row r="16014" spans="1:27" x14ac:dyDescent="0.35">
      <c r="A16014">
        <v>1005448</v>
      </c>
      <c r="B16014">
        <v>14312</v>
      </c>
      <c r="C16014">
        <v>1</v>
      </c>
      <c r="N16014" t="s">
        <v>37553</v>
      </c>
      <c r="P16014" t="s">
        <v>37657</v>
      </c>
      <c r="R16014" s="26" t="str">
        <f>HYPERLINK("https://ictv.global/taxonomy/taxondetails?taxnode_id=202309416","Betatorquevirus homini29")</f>
        <v>Betatorquevirus homini29</v>
      </c>
      <c r="S16014" t="s">
        <v>30</v>
      </c>
      <c r="T16014" t="s">
        <v>37674</v>
      </c>
      <c r="V16014" t="s">
        <v>37715</v>
      </c>
      <c r="W16014" t="s">
        <v>37716</v>
      </c>
      <c r="X16014" t="s">
        <v>42</v>
      </c>
      <c r="Y16014" t="s">
        <v>12446</v>
      </c>
      <c r="Z16014" t="s">
        <v>166</v>
      </c>
      <c r="AA16014" s="22" t="str">
        <f>HYPERLINK("https://www.ncbi.nlm.nih.gov/nuccore/KX810064","NCBI Nucleotide")</f>
        <v>NCBI Nucleotide</v>
      </c>
    </row>
    <row r="16015" spans="1:27" x14ac:dyDescent="0.35">
      <c r="A16015">
        <v>1005450</v>
      </c>
      <c r="B16015">
        <v>14313</v>
      </c>
      <c r="C16015">
        <v>1</v>
      </c>
      <c r="N16015" t="s">
        <v>37553</v>
      </c>
      <c r="P16015" t="s">
        <v>37657</v>
      </c>
      <c r="R16015" s="26" t="str">
        <f>HYPERLINK("https://ictv.global/taxonomy/taxondetails?taxnode_id=202309417","Betatorquevirus homini30")</f>
        <v>Betatorquevirus homini30</v>
      </c>
      <c r="S16015" t="s">
        <v>30</v>
      </c>
      <c r="T16015" t="s">
        <v>37684</v>
      </c>
      <c r="V16015" t="s">
        <v>37721</v>
      </c>
      <c r="W16015" t="s">
        <v>37722</v>
      </c>
      <c r="X16015" t="s">
        <v>42</v>
      </c>
      <c r="Y16015" t="s">
        <v>12446</v>
      </c>
      <c r="Z16015" t="s">
        <v>166</v>
      </c>
      <c r="AA16015" s="22" t="str">
        <f>HYPERLINK("https://www.ncbi.nlm.nih.gov/nuccore/MH648912","NCBI Nucleotide")</f>
        <v>NCBI Nucleotide</v>
      </c>
    </row>
    <row r="16016" spans="1:27" x14ac:dyDescent="0.35">
      <c r="A16016">
        <v>1005451</v>
      </c>
      <c r="B16016">
        <v>14314</v>
      </c>
      <c r="C16016">
        <v>1</v>
      </c>
      <c r="N16016" t="s">
        <v>37553</v>
      </c>
      <c r="P16016" t="s">
        <v>37657</v>
      </c>
      <c r="R16016" s="26" t="str">
        <f>HYPERLINK("https://ictv.global/taxonomy/taxondetails?taxnode_id=202309418","Betatorquevirus homini31")</f>
        <v>Betatorquevirus homini31</v>
      </c>
      <c r="S16016" t="s">
        <v>30</v>
      </c>
      <c r="T16016" t="s">
        <v>37684</v>
      </c>
      <c r="V16016" t="s">
        <v>37723</v>
      </c>
      <c r="W16016" t="s">
        <v>37724</v>
      </c>
      <c r="X16016" t="s">
        <v>42</v>
      </c>
      <c r="Y16016" t="s">
        <v>12446</v>
      </c>
      <c r="Z16016" t="s">
        <v>166</v>
      </c>
      <c r="AA16016" s="22" t="str">
        <f>HYPERLINK("https://www.ncbi.nlm.nih.gov/nuccore/MH649017","NCBI Nucleotide")</f>
        <v>NCBI Nucleotide</v>
      </c>
    </row>
    <row r="16017" spans="1:27" x14ac:dyDescent="0.35">
      <c r="A16017">
        <v>1005452</v>
      </c>
      <c r="B16017">
        <v>14315</v>
      </c>
      <c r="C16017">
        <v>1</v>
      </c>
      <c r="N16017" t="s">
        <v>37553</v>
      </c>
      <c r="P16017" t="s">
        <v>37657</v>
      </c>
      <c r="R16017" s="26" t="str">
        <f>HYPERLINK("https://ictv.global/taxonomy/taxondetails?taxnode_id=202309419","Betatorquevirus homini32")</f>
        <v>Betatorquevirus homini32</v>
      </c>
      <c r="S16017" t="s">
        <v>30</v>
      </c>
      <c r="T16017" t="s">
        <v>37725</v>
      </c>
      <c r="V16017">
        <v>222</v>
      </c>
      <c r="W16017" t="s">
        <v>37726</v>
      </c>
      <c r="X16017" t="s">
        <v>42</v>
      </c>
      <c r="Y16017" t="s">
        <v>12446</v>
      </c>
      <c r="Z16017" t="s">
        <v>166</v>
      </c>
      <c r="AA16017" s="22" t="str">
        <f>HYPERLINK("https://www.ncbi.nlm.nih.gov/nuccore/KU041847","NCBI Nucleotide")</f>
        <v>NCBI Nucleotide</v>
      </c>
    </row>
    <row r="16018" spans="1:27" x14ac:dyDescent="0.35">
      <c r="A16018">
        <v>1005453</v>
      </c>
      <c r="B16018">
        <v>14316</v>
      </c>
      <c r="C16018">
        <v>1</v>
      </c>
      <c r="N16018" t="s">
        <v>37553</v>
      </c>
      <c r="P16018" t="s">
        <v>37657</v>
      </c>
      <c r="R16018" s="26" t="str">
        <f>HYPERLINK("https://ictv.global/taxonomy/taxondetails?taxnode_id=202309420","Betatorquevirus homini33")</f>
        <v>Betatorquevirus homini33</v>
      </c>
      <c r="S16018" t="s">
        <v>30</v>
      </c>
      <c r="T16018" t="s">
        <v>37684</v>
      </c>
      <c r="V16018" t="s">
        <v>37727</v>
      </c>
      <c r="W16018" t="s">
        <v>37728</v>
      </c>
      <c r="X16018" t="s">
        <v>42</v>
      </c>
      <c r="Y16018" t="s">
        <v>12446</v>
      </c>
      <c r="Z16018" t="s">
        <v>166</v>
      </c>
      <c r="AA16018" s="22" t="str">
        <f>HYPERLINK("https://www.ncbi.nlm.nih.gov/nuccore/MH649029","NCBI Nucleotide")</f>
        <v>NCBI Nucleotide</v>
      </c>
    </row>
    <row r="16019" spans="1:27" x14ac:dyDescent="0.35">
      <c r="A16019">
        <v>1005454</v>
      </c>
      <c r="B16019">
        <v>14317</v>
      </c>
      <c r="C16019">
        <v>1</v>
      </c>
      <c r="N16019" t="s">
        <v>37553</v>
      </c>
      <c r="P16019" t="s">
        <v>37657</v>
      </c>
      <c r="R16019" s="26" t="str">
        <f>HYPERLINK("https://ictv.global/taxonomy/taxondetails?taxnode_id=202309421","Betatorquevirus homini34")</f>
        <v>Betatorquevirus homini34</v>
      </c>
      <c r="S16019" t="s">
        <v>30</v>
      </c>
      <c r="T16019" t="s">
        <v>37684</v>
      </c>
      <c r="V16019" t="s">
        <v>37729</v>
      </c>
      <c r="W16019" t="s">
        <v>37730</v>
      </c>
      <c r="X16019" t="s">
        <v>42</v>
      </c>
      <c r="Y16019" t="s">
        <v>12446</v>
      </c>
      <c r="Z16019" t="s">
        <v>166</v>
      </c>
      <c r="AA16019" s="22" t="str">
        <f>HYPERLINK("https://www.ncbi.nlm.nih.gov/nuccore/MH649114","NCBI Nucleotide")</f>
        <v>NCBI Nucleotide</v>
      </c>
    </row>
    <row r="16020" spans="1:27" x14ac:dyDescent="0.35">
      <c r="A16020">
        <v>1005455</v>
      </c>
      <c r="B16020">
        <v>14318</v>
      </c>
      <c r="C16020">
        <v>1</v>
      </c>
      <c r="N16020" t="s">
        <v>37553</v>
      </c>
      <c r="P16020" t="s">
        <v>37657</v>
      </c>
      <c r="R16020" s="26" t="str">
        <f>HYPERLINK("https://ictv.global/taxonomy/taxondetails?taxnode_id=202309422","Betatorquevirus homini35")</f>
        <v>Betatorquevirus homini35</v>
      </c>
      <c r="S16020" t="s">
        <v>30</v>
      </c>
      <c r="T16020" t="s">
        <v>37684</v>
      </c>
      <c r="V16020" t="s">
        <v>37731</v>
      </c>
      <c r="W16020" t="s">
        <v>37732</v>
      </c>
      <c r="X16020" t="s">
        <v>42</v>
      </c>
      <c r="Y16020" t="s">
        <v>12446</v>
      </c>
      <c r="Z16020" t="s">
        <v>166</v>
      </c>
      <c r="AA16020" s="22" t="str">
        <f>HYPERLINK("https://www.ncbi.nlm.nih.gov/nuccore/MH648966","NCBI Nucleotide")</f>
        <v>NCBI Nucleotide</v>
      </c>
    </row>
    <row r="16021" spans="1:27" x14ac:dyDescent="0.35">
      <c r="A16021">
        <v>1005456</v>
      </c>
      <c r="B16021">
        <v>14319</v>
      </c>
      <c r="C16021">
        <v>1</v>
      </c>
      <c r="N16021" t="s">
        <v>37553</v>
      </c>
      <c r="P16021" t="s">
        <v>37657</v>
      </c>
      <c r="R16021" s="26" t="str">
        <f>HYPERLINK("https://ictv.global/taxonomy/taxondetails?taxnode_id=202309423","Betatorquevirus homini36")</f>
        <v>Betatorquevirus homini36</v>
      </c>
      <c r="S16021" t="s">
        <v>30</v>
      </c>
      <c r="T16021" t="s">
        <v>37635</v>
      </c>
      <c r="V16021" t="s">
        <v>37733</v>
      </c>
      <c r="W16021" t="s">
        <v>37734</v>
      </c>
      <c r="X16021" t="s">
        <v>42</v>
      </c>
      <c r="Y16021" t="s">
        <v>12446</v>
      </c>
      <c r="Z16021" t="s">
        <v>166</v>
      </c>
      <c r="AA16021" s="22" t="str">
        <f>HYPERLINK("https://www.ncbi.nlm.nih.gov/nuccore/LC381845","NCBI Nucleotide")</f>
        <v>NCBI Nucleotide</v>
      </c>
    </row>
    <row r="16022" spans="1:27" x14ac:dyDescent="0.35">
      <c r="A16022">
        <v>1005457</v>
      </c>
      <c r="B16022">
        <v>14320</v>
      </c>
      <c r="C16022">
        <v>1</v>
      </c>
      <c r="N16022" t="s">
        <v>37553</v>
      </c>
      <c r="P16022" t="s">
        <v>37657</v>
      </c>
      <c r="R16022" s="26" t="str">
        <f>HYPERLINK("https://ictv.global/taxonomy/taxondetails?taxnode_id=202309424","Betatorquevirus homini37")</f>
        <v>Betatorquevirus homini37</v>
      </c>
      <c r="S16022" t="s">
        <v>30</v>
      </c>
      <c r="T16022" t="s">
        <v>37684</v>
      </c>
      <c r="V16022" t="s">
        <v>37735</v>
      </c>
      <c r="W16022" t="s">
        <v>37736</v>
      </c>
      <c r="X16022" t="s">
        <v>42</v>
      </c>
      <c r="Y16022" t="s">
        <v>12446</v>
      </c>
      <c r="Z16022" t="s">
        <v>166</v>
      </c>
      <c r="AA16022" s="22" t="str">
        <f>HYPERLINK("https://www.ncbi.nlm.nih.gov/nuccore/MH649209","NCBI Nucleotide")</f>
        <v>NCBI Nucleotide</v>
      </c>
    </row>
    <row r="16023" spans="1:27" x14ac:dyDescent="0.35">
      <c r="A16023">
        <v>1005458</v>
      </c>
      <c r="B16023">
        <v>14321</v>
      </c>
      <c r="C16023">
        <v>1</v>
      </c>
      <c r="N16023" t="s">
        <v>37553</v>
      </c>
      <c r="P16023" t="s">
        <v>37657</v>
      </c>
      <c r="R16023" s="26" t="str">
        <f>HYPERLINK("https://ictv.global/taxonomy/taxondetails?taxnode_id=202309425","Betatorquevirus homini38")</f>
        <v>Betatorquevirus homini38</v>
      </c>
      <c r="S16023" t="s">
        <v>30</v>
      </c>
      <c r="T16023" t="s">
        <v>37684</v>
      </c>
      <c r="V16023" t="s">
        <v>37737</v>
      </c>
      <c r="W16023" t="s">
        <v>37738</v>
      </c>
      <c r="X16023" t="s">
        <v>42</v>
      </c>
      <c r="Y16023" t="s">
        <v>12446</v>
      </c>
      <c r="Z16023" t="s">
        <v>166</v>
      </c>
      <c r="AA16023" s="22" t="str">
        <f>HYPERLINK("https://www.ncbi.nlm.nih.gov/nuccore/MH648982","NCBI Nucleotide")</f>
        <v>NCBI Nucleotide</v>
      </c>
    </row>
    <row r="16024" spans="1:27" x14ac:dyDescent="0.35">
      <c r="A16024">
        <v>1005465</v>
      </c>
      <c r="B16024">
        <v>14322</v>
      </c>
      <c r="C16024">
        <v>1</v>
      </c>
      <c r="N16024" t="s">
        <v>37553</v>
      </c>
      <c r="P16024" t="s">
        <v>37763</v>
      </c>
      <c r="R16024" s="26" t="str">
        <f>HYPERLINK("https://ictv.global/taxonomy/taxondetails?taxnode_id=202309427","Chitorquevirus indri1")</f>
        <v>Chitorquevirus indri1</v>
      </c>
      <c r="S16024" t="s">
        <v>30</v>
      </c>
      <c r="T16024" t="s">
        <v>37764</v>
      </c>
      <c r="V16024" t="s">
        <v>37765</v>
      </c>
      <c r="W16024" t="s">
        <v>37766</v>
      </c>
      <c r="X16024" t="s">
        <v>42</v>
      </c>
      <c r="Y16024" t="s">
        <v>12446</v>
      </c>
      <c r="Z16024" t="s">
        <v>166</v>
      </c>
      <c r="AA16024" s="22" t="str">
        <f>HYPERLINK("https://www.ncbi.nlm.nih.gov/nuccore/MF187212","NCBI Nucleotide")</f>
        <v>NCBI Nucleotide</v>
      </c>
    </row>
    <row r="16025" spans="1:27" x14ac:dyDescent="0.35">
      <c r="A16025">
        <v>1005466</v>
      </c>
      <c r="B16025">
        <v>14323</v>
      </c>
      <c r="C16025">
        <v>1</v>
      </c>
      <c r="N16025" t="s">
        <v>37553</v>
      </c>
      <c r="P16025" t="s">
        <v>37767</v>
      </c>
      <c r="R16025" s="26" t="str">
        <f>HYPERLINK("https://ictv.global/taxonomy/taxondetails?taxnode_id=202309429","Dalettorquevirus ursid6")</f>
        <v>Dalettorquevirus ursid6</v>
      </c>
      <c r="S16025" t="s">
        <v>30</v>
      </c>
      <c r="T16025" t="s">
        <v>37768</v>
      </c>
      <c r="V16025" t="s">
        <v>37769</v>
      </c>
      <c r="W16025" t="s">
        <v>37770</v>
      </c>
      <c r="X16025" t="s">
        <v>42</v>
      </c>
      <c r="Y16025" t="s">
        <v>12446</v>
      </c>
      <c r="Z16025" t="s">
        <v>166</v>
      </c>
      <c r="AA16025" s="22" t="str">
        <f>HYPERLINK("https://www.ncbi.nlm.nih.gov/nuccore/MF327539","NCBI Nucleotide")</f>
        <v>NCBI Nucleotide</v>
      </c>
    </row>
    <row r="16026" spans="1:27" x14ac:dyDescent="0.35">
      <c r="A16026">
        <v>1005467</v>
      </c>
      <c r="B16026">
        <v>14324</v>
      </c>
      <c r="C16026">
        <v>1</v>
      </c>
      <c r="N16026" t="s">
        <v>37553</v>
      </c>
      <c r="P16026" t="s">
        <v>37771</v>
      </c>
      <c r="R16026" s="26" t="str">
        <f>HYPERLINK("https://ictv.global/taxonomy/taxondetails?taxnode_id=202302531","Deltatorquevirus tupai1")</f>
        <v>Deltatorquevirus tupai1</v>
      </c>
      <c r="S16026" t="s">
        <v>30</v>
      </c>
      <c r="T16026" t="s">
        <v>37772</v>
      </c>
      <c r="U16026" t="s">
        <v>37773</v>
      </c>
      <c r="V16026" t="s">
        <v>37774</v>
      </c>
      <c r="W16026" t="s">
        <v>37775</v>
      </c>
      <c r="X16026" t="s">
        <v>42</v>
      </c>
      <c r="Y16026" t="s">
        <v>12446</v>
      </c>
      <c r="Z16026" t="s">
        <v>166</v>
      </c>
      <c r="AA16026" s="22" t="str">
        <f>HYPERLINK("https://www.ncbi.nlm.nih.gov/nuccore/AB057358","NCBI Nucleotide")</f>
        <v>NCBI Nucleotide</v>
      </c>
    </row>
    <row r="16027" spans="1:27" x14ac:dyDescent="0.35">
      <c r="A16027">
        <v>1005468</v>
      </c>
      <c r="B16027">
        <v>14325</v>
      </c>
      <c r="C16027">
        <v>1</v>
      </c>
      <c r="N16027" t="s">
        <v>37553</v>
      </c>
      <c r="P16027" t="s">
        <v>37776</v>
      </c>
      <c r="R16027" s="26" t="str">
        <f>HYPERLINK("https://ictv.global/taxonomy/taxondetails?taxnode_id=202302533","Epsilontorquevirus calli1")</f>
        <v>Epsilontorquevirus calli1</v>
      </c>
      <c r="S16027" t="s">
        <v>30</v>
      </c>
      <c r="T16027" t="s">
        <v>37777</v>
      </c>
      <c r="U16027" t="s">
        <v>37778</v>
      </c>
      <c r="V16027" t="s">
        <v>37779</v>
      </c>
      <c r="W16027" t="s">
        <v>37780</v>
      </c>
      <c r="X16027" t="s">
        <v>42</v>
      </c>
      <c r="Y16027" t="s">
        <v>12446</v>
      </c>
      <c r="Z16027" t="s">
        <v>166</v>
      </c>
      <c r="AA16027" s="22" t="str">
        <f>HYPERLINK("https://www.ncbi.nlm.nih.gov/nuccore/AB041960","NCBI Nucleotide")</f>
        <v>NCBI Nucleotide</v>
      </c>
    </row>
    <row r="16028" spans="1:27" x14ac:dyDescent="0.35">
      <c r="A16028">
        <v>1005469</v>
      </c>
      <c r="B16028">
        <v>14326</v>
      </c>
      <c r="C16028">
        <v>1</v>
      </c>
      <c r="N16028" t="s">
        <v>37553</v>
      </c>
      <c r="P16028" t="s">
        <v>37781</v>
      </c>
      <c r="R16028" s="26" t="str">
        <f>HYPERLINK("https://ictv.global/taxonomy/taxondetails?taxnode_id=202302535","Etatorquevirus felid1")</f>
        <v>Etatorquevirus felid1</v>
      </c>
      <c r="S16028" t="s">
        <v>30</v>
      </c>
      <c r="T16028" t="s">
        <v>37782</v>
      </c>
      <c r="V16028" t="s">
        <v>37783</v>
      </c>
      <c r="W16028" t="s">
        <v>37784</v>
      </c>
      <c r="X16028" t="s">
        <v>42</v>
      </c>
      <c r="Y16028" t="s">
        <v>12446</v>
      </c>
      <c r="Z16028" t="s">
        <v>166</v>
      </c>
      <c r="AA16028" s="22" t="str">
        <f>HYPERLINK("https://www.ncbi.nlm.nih.gov/nuccore/AB076003","NCBI Nucleotide")</f>
        <v>NCBI Nucleotide</v>
      </c>
    </row>
    <row r="16029" spans="1:27" x14ac:dyDescent="0.35">
      <c r="A16029">
        <v>1005470</v>
      </c>
      <c r="B16029">
        <v>14327</v>
      </c>
      <c r="C16029">
        <v>1</v>
      </c>
      <c r="N16029" t="s">
        <v>37553</v>
      </c>
      <c r="P16029" t="s">
        <v>37781</v>
      </c>
      <c r="R16029" s="26" t="str">
        <f>HYPERLINK("https://ictv.global/taxonomy/taxondetails?taxnode_id=202302536","Etatorquevirus felid2")</f>
        <v>Etatorquevirus felid2</v>
      </c>
      <c r="S16029" t="s">
        <v>30</v>
      </c>
      <c r="T16029" t="s">
        <v>37785</v>
      </c>
      <c r="V16029" t="s">
        <v>37786</v>
      </c>
      <c r="W16029" t="s">
        <v>37787</v>
      </c>
      <c r="X16029" t="s">
        <v>42</v>
      </c>
      <c r="Y16029" t="s">
        <v>12446</v>
      </c>
      <c r="Z16029" t="s">
        <v>166</v>
      </c>
      <c r="AA16029" s="22" t="str">
        <f>HYPERLINK("https://www.ncbi.nlm.nih.gov/nuccore/EF538877","NCBI Nucleotide")</f>
        <v>NCBI Nucleotide</v>
      </c>
    </row>
    <row r="16030" spans="1:27" x14ac:dyDescent="0.35">
      <c r="A16030">
        <v>1005471</v>
      </c>
      <c r="B16030">
        <v>14328</v>
      </c>
      <c r="C16030">
        <v>1</v>
      </c>
      <c r="N16030" t="s">
        <v>37553</v>
      </c>
      <c r="P16030" t="s">
        <v>37781</v>
      </c>
      <c r="R16030" s="26" t="str">
        <f>HYPERLINK("https://ictv.global/taxonomy/taxondetails?taxnode_id=202309430","Etatorquevirus felid3")</f>
        <v>Etatorquevirus felid3</v>
      </c>
      <c r="S16030" t="s">
        <v>30</v>
      </c>
      <c r="T16030" t="s">
        <v>37788</v>
      </c>
      <c r="V16030" t="s">
        <v>37789</v>
      </c>
      <c r="W16030" t="s">
        <v>37790</v>
      </c>
      <c r="X16030" t="s">
        <v>42</v>
      </c>
      <c r="Y16030" t="s">
        <v>12446</v>
      </c>
      <c r="Z16030" t="s">
        <v>166</v>
      </c>
      <c r="AA16030" s="22" t="str">
        <f>HYPERLINK("https://www.ncbi.nlm.nih.gov/nuccore/MK069470","NCBI Nucleotide")</f>
        <v>NCBI Nucleotide</v>
      </c>
    </row>
    <row r="16031" spans="1:27" x14ac:dyDescent="0.35">
      <c r="A16031">
        <v>1005472</v>
      </c>
      <c r="B16031">
        <v>14329</v>
      </c>
      <c r="C16031">
        <v>1</v>
      </c>
      <c r="N16031" t="s">
        <v>37553</v>
      </c>
      <c r="P16031" t="s">
        <v>37781</v>
      </c>
      <c r="R16031" s="26" t="str">
        <f>HYPERLINK("https://ictv.global/taxonomy/taxondetails?taxnode_id=202309431","Etatorquevirus felid4")</f>
        <v>Etatorquevirus felid4</v>
      </c>
      <c r="S16031" t="s">
        <v>30</v>
      </c>
      <c r="T16031" t="s">
        <v>37791</v>
      </c>
      <c r="V16031" t="s">
        <v>37792</v>
      </c>
      <c r="W16031" t="s">
        <v>37793</v>
      </c>
      <c r="X16031" t="s">
        <v>42</v>
      </c>
      <c r="Y16031" t="s">
        <v>12446</v>
      </c>
      <c r="Z16031" t="s">
        <v>166</v>
      </c>
      <c r="AA16031" s="22" t="str">
        <f>HYPERLINK("https://www.ncbi.nlm.nih.gov/nuccore/JF304938","NCBI Nucleotide")</f>
        <v>NCBI Nucleotide</v>
      </c>
    </row>
    <row r="16032" spans="1:27" x14ac:dyDescent="0.35">
      <c r="A16032">
        <v>1005473</v>
      </c>
      <c r="B16032">
        <v>14330</v>
      </c>
      <c r="C16032">
        <v>1</v>
      </c>
      <c r="N16032" t="s">
        <v>37553</v>
      </c>
      <c r="P16032" t="s">
        <v>37781</v>
      </c>
      <c r="R16032" s="26" t="str">
        <f>HYPERLINK("https://ictv.global/taxonomy/taxondetails?taxnode_id=202309456","Etatorquevirus felid5")</f>
        <v>Etatorquevirus felid5</v>
      </c>
      <c r="S16032" t="s">
        <v>30</v>
      </c>
      <c r="T16032" t="s">
        <v>37794</v>
      </c>
      <c r="V16032" t="s">
        <v>37795</v>
      </c>
      <c r="W16032" t="s">
        <v>37796</v>
      </c>
      <c r="X16032" t="s">
        <v>42</v>
      </c>
      <c r="Y16032" t="s">
        <v>12446</v>
      </c>
      <c r="Z16032" t="s">
        <v>166</v>
      </c>
      <c r="AA16032" s="22" t="str">
        <f>HYPERLINK("https://www.ncbi.nlm.nih.gov/nuccore/JF304937","NCBI Nucleotide")</f>
        <v>NCBI Nucleotide</v>
      </c>
    </row>
    <row r="16033" spans="1:27" x14ac:dyDescent="0.35">
      <c r="A16033">
        <v>1005474</v>
      </c>
      <c r="B16033">
        <v>14331</v>
      </c>
      <c r="C16033">
        <v>1</v>
      </c>
      <c r="N16033" t="s">
        <v>37553</v>
      </c>
      <c r="P16033" t="s">
        <v>37781</v>
      </c>
      <c r="R16033" s="26" t="str">
        <f>HYPERLINK("https://ictv.global/taxonomy/taxondetails?taxnode_id=202309432","Etatorquevirus viver3")</f>
        <v>Etatorquevirus viver3</v>
      </c>
      <c r="S16033" t="s">
        <v>30</v>
      </c>
      <c r="T16033" t="s">
        <v>37797</v>
      </c>
      <c r="V16033" t="s">
        <v>37798</v>
      </c>
      <c r="W16033" t="s">
        <v>37799</v>
      </c>
      <c r="X16033" t="s">
        <v>42</v>
      </c>
      <c r="Y16033" t="s">
        <v>12446</v>
      </c>
      <c r="Z16033" t="s">
        <v>166</v>
      </c>
      <c r="AA16033" s="22" t="str">
        <f>HYPERLINK("https://www.ncbi.nlm.nih.gov/nuccore/LC387548","NCBI Nucleotide")</f>
        <v>NCBI Nucleotide</v>
      </c>
    </row>
    <row r="16034" spans="1:27" x14ac:dyDescent="0.35">
      <c r="A16034">
        <v>1005475</v>
      </c>
      <c r="B16034">
        <v>14332</v>
      </c>
      <c r="C16034">
        <v>1</v>
      </c>
      <c r="N16034" t="s">
        <v>37553</v>
      </c>
      <c r="P16034" t="s">
        <v>37800</v>
      </c>
      <c r="R16034" s="26" t="str">
        <f>HYPERLINK("https://ictv.global/taxonomy/taxondetails?taxnode_id=202302538","Gammatorquevirus homidi1")</f>
        <v>Gammatorquevirus homidi1</v>
      </c>
      <c r="S16034" t="s">
        <v>30</v>
      </c>
      <c r="T16034" t="s">
        <v>37801</v>
      </c>
      <c r="U16034" t="s">
        <v>37802</v>
      </c>
      <c r="V16034" t="s">
        <v>37803</v>
      </c>
      <c r="W16034" t="s">
        <v>37804</v>
      </c>
      <c r="X16034" t="s">
        <v>42</v>
      </c>
      <c r="Y16034" t="s">
        <v>12446</v>
      </c>
      <c r="Z16034" t="s">
        <v>166</v>
      </c>
      <c r="AA16034" s="22" t="str">
        <f>HYPERLINK("https://www.ncbi.nlm.nih.gov/nuccore/AB290917","NCBI Nucleotide")</f>
        <v>NCBI Nucleotide</v>
      </c>
    </row>
    <row r="16035" spans="1:27" x14ac:dyDescent="0.35">
      <c r="A16035">
        <v>1005482</v>
      </c>
      <c r="B16035">
        <v>14333</v>
      </c>
      <c r="C16035">
        <v>1</v>
      </c>
      <c r="N16035" t="s">
        <v>37553</v>
      </c>
      <c r="P16035" t="s">
        <v>37800</v>
      </c>
      <c r="R16035" s="26" t="str">
        <f>HYPERLINK("https://ictv.global/taxonomy/taxondetails?taxnode_id=202302539","Gammatorquevirus homidi2")</f>
        <v>Gammatorquevirus homidi2</v>
      </c>
      <c r="S16035" t="s">
        <v>30</v>
      </c>
      <c r="T16035" t="s">
        <v>37829</v>
      </c>
      <c r="U16035" t="s">
        <v>37830</v>
      </c>
      <c r="V16035" t="s">
        <v>37831</v>
      </c>
      <c r="W16035" t="s">
        <v>37832</v>
      </c>
      <c r="X16035" t="s">
        <v>42</v>
      </c>
      <c r="Y16035" t="s">
        <v>12446</v>
      </c>
      <c r="Z16035" t="s">
        <v>166</v>
      </c>
      <c r="AA16035" s="22" t="str">
        <f>HYPERLINK("https://www.ncbi.nlm.nih.gov/nuccore/AB290919","NCBI Nucleotide")</f>
        <v>NCBI Nucleotide</v>
      </c>
    </row>
    <row r="16036" spans="1:27" x14ac:dyDescent="0.35">
      <c r="A16036">
        <v>1005483</v>
      </c>
      <c r="B16036">
        <v>14334</v>
      </c>
      <c r="C16036">
        <v>1</v>
      </c>
      <c r="N16036" t="s">
        <v>37553</v>
      </c>
      <c r="P16036" t="s">
        <v>37800</v>
      </c>
      <c r="R16036" s="26" t="str">
        <f>HYPERLINK("https://ictv.global/taxonomy/taxondetails?taxnode_id=202302540","Gammatorquevirus homidi3")</f>
        <v>Gammatorquevirus homidi3</v>
      </c>
      <c r="S16036" t="s">
        <v>30</v>
      </c>
      <c r="T16036" t="s">
        <v>37833</v>
      </c>
      <c r="U16036" t="s">
        <v>37834</v>
      </c>
      <c r="V16036" t="s">
        <v>37835</v>
      </c>
      <c r="W16036" t="s">
        <v>37836</v>
      </c>
      <c r="X16036" t="s">
        <v>42</v>
      </c>
      <c r="Y16036" t="s">
        <v>12446</v>
      </c>
      <c r="Z16036" t="s">
        <v>166</v>
      </c>
      <c r="AA16036" s="22" t="str">
        <f>HYPERLINK("https://www.ncbi.nlm.nih.gov/nuccore/EF538875","NCBI Nucleotide")</f>
        <v>NCBI Nucleotide</v>
      </c>
    </row>
    <row r="16037" spans="1:27" x14ac:dyDescent="0.35">
      <c r="A16037">
        <v>1005484</v>
      </c>
      <c r="B16037">
        <v>14335</v>
      </c>
      <c r="C16037">
        <v>1</v>
      </c>
      <c r="N16037" t="s">
        <v>37553</v>
      </c>
      <c r="P16037" t="s">
        <v>37800</v>
      </c>
      <c r="R16037" s="26" t="str">
        <f>HYPERLINK("https://ictv.global/taxonomy/taxondetails?taxnode_id=202302541","Gammatorquevirus homidi4")</f>
        <v>Gammatorquevirus homidi4</v>
      </c>
      <c r="S16037" t="s">
        <v>30</v>
      </c>
      <c r="T16037" t="s">
        <v>37837</v>
      </c>
      <c r="U16037" t="s">
        <v>37838</v>
      </c>
      <c r="V16037" t="s">
        <v>37839</v>
      </c>
      <c r="W16037" t="s">
        <v>37840</v>
      </c>
      <c r="X16037" t="s">
        <v>42</v>
      </c>
      <c r="Y16037" t="s">
        <v>12446</v>
      </c>
      <c r="Z16037" t="s">
        <v>166</v>
      </c>
      <c r="AA16037" s="22" t="str">
        <f>HYPERLINK("https://www.ncbi.nlm.nih.gov/nuccore/EF538876","NCBI Nucleotide")</f>
        <v>NCBI Nucleotide</v>
      </c>
    </row>
    <row r="16038" spans="1:27" x14ac:dyDescent="0.35">
      <c r="A16038">
        <v>1005485</v>
      </c>
      <c r="B16038">
        <v>14336</v>
      </c>
      <c r="C16038">
        <v>1</v>
      </c>
      <c r="N16038" t="s">
        <v>37553</v>
      </c>
      <c r="P16038" t="s">
        <v>37800</v>
      </c>
      <c r="R16038" s="26" t="str">
        <f>HYPERLINK("https://ictv.global/taxonomy/taxondetails?taxnode_id=202302542","Gammatorquevirus homidi5")</f>
        <v>Gammatorquevirus homidi5</v>
      </c>
      <c r="S16038" t="s">
        <v>30</v>
      </c>
      <c r="T16038" t="s">
        <v>37841</v>
      </c>
      <c r="U16038" t="s">
        <v>37842</v>
      </c>
      <c r="V16038" t="s">
        <v>37843</v>
      </c>
      <c r="W16038" t="s">
        <v>37844</v>
      </c>
      <c r="X16038" t="s">
        <v>42</v>
      </c>
      <c r="Y16038" t="s">
        <v>12446</v>
      </c>
      <c r="Z16038" t="s">
        <v>166</v>
      </c>
      <c r="AA16038" s="22" t="str">
        <f>HYPERLINK("https://www.ncbi.nlm.nih.gov/nuccore/AB303552","NCBI Nucleotide")</f>
        <v>NCBI Nucleotide</v>
      </c>
    </row>
    <row r="16039" spans="1:27" x14ac:dyDescent="0.35">
      <c r="A16039">
        <v>1005486</v>
      </c>
      <c r="B16039">
        <v>14337</v>
      </c>
      <c r="C16039">
        <v>1</v>
      </c>
      <c r="N16039" t="s">
        <v>37553</v>
      </c>
      <c r="P16039" t="s">
        <v>37800</v>
      </c>
      <c r="R16039" s="26" t="str">
        <f>HYPERLINK("https://ictv.global/taxonomy/taxondetails?taxnode_id=202302543","Gammatorquevirus homidi6")</f>
        <v>Gammatorquevirus homidi6</v>
      </c>
      <c r="S16039" t="s">
        <v>30</v>
      </c>
      <c r="T16039" t="s">
        <v>37845</v>
      </c>
      <c r="U16039" t="s">
        <v>37846</v>
      </c>
      <c r="V16039" t="s">
        <v>37847</v>
      </c>
      <c r="W16039" t="s">
        <v>37848</v>
      </c>
      <c r="X16039" t="s">
        <v>42</v>
      </c>
      <c r="Y16039" t="s">
        <v>12446</v>
      </c>
      <c r="Z16039" t="s">
        <v>166</v>
      </c>
      <c r="AA16039" s="22" t="str">
        <f>HYPERLINK("https://www.ncbi.nlm.nih.gov/nuccore/AB303553","NCBI Nucleotide")</f>
        <v>NCBI Nucleotide</v>
      </c>
    </row>
    <row r="16040" spans="1:27" x14ac:dyDescent="0.35">
      <c r="A16040">
        <v>1005487</v>
      </c>
      <c r="B16040">
        <v>14338</v>
      </c>
      <c r="C16040">
        <v>1</v>
      </c>
      <c r="N16040" t="s">
        <v>37553</v>
      </c>
      <c r="P16040" t="s">
        <v>37800</v>
      </c>
      <c r="R16040" s="26" t="str">
        <f>HYPERLINK("https://ictv.global/taxonomy/taxondetails?taxnode_id=202302544","Gammatorquevirus homidi7")</f>
        <v>Gammatorquevirus homidi7</v>
      </c>
      <c r="S16040" t="s">
        <v>30</v>
      </c>
      <c r="T16040" t="s">
        <v>37849</v>
      </c>
      <c r="U16040" t="s">
        <v>37850</v>
      </c>
      <c r="V16040" t="s">
        <v>37851</v>
      </c>
      <c r="W16040" t="s">
        <v>37852</v>
      </c>
      <c r="X16040" t="s">
        <v>42</v>
      </c>
      <c r="Y16040" t="s">
        <v>12446</v>
      </c>
      <c r="Z16040" t="s">
        <v>166</v>
      </c>
      <c r="AA16040" s="22" t="str">
        <f>HYPERLINK("https://www.ncbi.nlm.nih.gov/nuccore/AB303554","NCBI Nucleotide")</f>
        <v>NCBI Nucleotide</v>
      </c>
    </row>
    <row r="16041" spans="1:27" x14ac:dyDescent="0.35">
      <c r="A16041">
        <v>1005488</v>
      </c>
      <c r="B16041">
        <v>14339</v>
      </c>
      <c r="C16041">
        <v>1</v>
      </c>
      <c r="N16041" t="s">
        <v>37553</v>
      </c>
      <c r="P16041" t="s">
        <v>37800</v>
      </c>
      <c r="R16041" s="26" t="str">
        <f>HYPERLINK("https://ictv.global/taxonomy/taxondetails?taxnode_id=202302545","Gammatorquevirus homidi8")</f>
        <v>Gammatorquevirus homidi8</v>
      </c>
      <c r="S16041" t="s">
        <v>30</v>
      </c>
      <c r="T16041" t="s">
        <v>37853</v>
      </c>
      <c r="U16041" t="s">
        <v>37854</v>
      </c>
      <c r="V16041" t="s">
        <v>37855</v>
      </c>
      <c r="W16041" t="s">
        <v>37856</v>
      </c>
      <c r="X16041" t="s">
        <v>42</v>
      </c>
      <c r="Y16041" t="s">
        <v>12446</v>
      </c>
      <c r="Z16041" t="s">
        <v>166</v>
      </c>
      <c r="AA16041" s="22" t="str">
        <f>HYPERLINK("https://www.ncbi.nlm.nih.gov/nuccore/AB303558","NCBI Nucleotide")</f>
        <v>NCBI Nucleotide</v>
      </c>
    </row>
    <row r="16042" spans="1:27" x14ac:dyDescent="0.35">
      <c r="A16042">
        <v>1005489</v>
      </c>
      <c r="B16042">
        <v>14340</v>
      </c>
      <c r="C16042">
        <v>1</v>
      </c>
      <c r="N16042" t="s">
        <v>37553</v>
      </c>
      <c r="P16042" t="s">
        <v>37800</v>
      </c>
      <c r="R16042" s="26" t="str">
        <f>HYPERLINK("https://ictv.global/taxonomy/taxondetails?taxnode_id=202302546","Gammatorquevirus homidi9")</f>
        <v>Gammatorquevirus homidi9</v>
      </c>
      <c r="S16042" t="s">
        <v>30</v>
      </c>
      <c r="T16042" t="s">
        <v>37857</v>
      </c>
      <c r="U16042" t="s">
        <v>37858</v>
      </c>
      <c r="V16042" t="s">
        <v>37859</v>
      </c>
      <c r="W16042" t="s">
        <v>37860</v>
      </c>
      <c r="X16042" t="s">
        <v>42</v>
      </c>
      <c r="Y16042" t="s">
        <v>12446</v>
      </c>
      <c r="Z16042" t="s">
        <v>166</v>
      </c>
      <c r="AA16042" s="22" t="str">
        <f>HYPERLINK("https://www.ncbi.nlm.nih.gov/nuccore/AB303559","NCBI Nucleotide")</f>
        <v>NCBI Nucleotide</v>
      </c>
    </row>
    <row r="16043" spans="1:27" x14ac:dyDescent="0.35">
      <c r="A16043">
        <v>1005476</v>
      </c>
      <c r="B16043">
        <v>14341</v>
      </c>
      <c r="C16043">
        <v>1</v>
      </c>
      <c r="N16043" t="s">
        <v>37553</v>
      </c>
      <c r="P16043" t="s">
        <v>37800</v>
      </c>
      <c r="R16043" s="26" t="str">
        <f>HYPERLINK("https://ictv.global/taxonomy/taxondetails?taxnode_id=202302547","Gammatorquevirus homidi10")</f>
        <v>Gammatorquevirus homidi10</v>
      </c>
      <c r="S16043" t="s">
        <v>30</v>
      </c>
      <c r="T16043" t="s">
        <v>37805</v>
      </c>
      <c r="U16043" t="s">
        <v>37806</v>
      </c>
      <c r="V16043" t="s">
        <v>37807</v>
      </c>
      <c r="W16043" t="s">
        <v>37808</v>
      </c>
      <c r="X16043" t="s">
        <v>42</v>
      </c>
      <c r="Y16043" t="s">
        <v>12446</v>
      </c>
      <c r="Z16043" t="s">
        <v>166</v>
      </c>
      <c r="AA16043" s="22" t="str">
        <f>HYPERLINK("https://www.ncbi.nlm.nih.gov/nuccore/AB303560","NCBI Nucleotide")</f>
        <v>NCBI Nucleotide</v>
      </c>
    </row>
    <row r="16044" spans="1:27" x14ac:dyDescent="0.35">
      <c r="A16044">
        <v>1005477</v>
      </c>
      <c r="B16044">
        <v>14342</v>
      </c>
      <c r="C16044">
        <v>1</v>
      </c>
      <c r="N16044" t="s">
        <v>37553</v>
      </c>
      <c r="P16044" t="s">
        <v>37800</v>
      </c>
      <c r="R16044" s="26" t="str">
        <f>HYPERLINK("https://ictv.global/taxonomy/taxondetails?taxnode_id=202302548","Gammatorquevirus homidi11")</f>
        <v>Gammatorquevirus homidi11</v>
      </c>
      <c r="S16044" t="s">
        <v>30</v>
      </c>
      <c r="T16044" t="s">
        <v>37809</v>
      </c>
      <c r="U16044" t="s">
        <v>37810</v>
      </c>
      <c r="V16044" t="s">
        <v>37811</v>
      </c>
      <c r="W16044" t="s">
        <v>37812</v>
      </c>
      <c r="X16044" t="s">
        <v>42</v>
      </c>
      <c r="Y16044" t="s">
        <v>12446</v>
      </c>
      <c r="Z16044" t="s">
        <v>166</v>
      </c>
      <c r="AA16044" s="22" t="str">
        <f>HYPERLINK("https://www.ncbi.nlm.nih.gov/nuccore/AB303561","NCBI Nucleotide")</f>
        <v>NCBI Nucleotide</v>
      </c>
    </row>
    <row r="16045" spans="1:27" x14ac:dyDescent="0.35">
      <c r="A16045">
        <v>1005478</v>
      </c>
      <c r="B16045">
        <v>14343</v>
      </c>
      <c r="C16045">
        <v>1</v>
      </c>
      <c r="N16045" t="s">
        <v>37553</v>
      </c>
      <c r="P16045" t="s">
        <v>37800</v>
      </c>
      <c r="R16045" s="26" t="str">
        <f>HYPERLINK("https://ictv.global/taxonomy/taxondetails?taxnode_id=202302549","Gammatorquevirus homidi12")</f>
        <v>Gammatorquevirus homidi12</v>
      </c>
      <c r="S16045" t="s">
        <v>30</v>
      </c>
      <c r="T16045" t="s">
        <v>37813</v>
      </c>
      <c r="U16045" t="s">
        <v>37814</v>
      </c>
      <c r="V16045" t="s">
        <v>37815</v>
      </c>
      <c r="W16045" t="s">
        <v>37816</v>
      </c>
      <c r="X16045" t="s">
        <v>42</v>
      </c>
      <c r="Y16045" t="s">
        <v>12446</v>
      </c>
      <c r="Z16045" t="s">
        <v>166</v>
      </c>
      <c r="AA16045" s="22" t="str">
        <f>HYPERLINK("https://www.ncbi.nlm.nih.gov/nuccore/AB303562","NCBI Nucleotide")</f>
        <v>NCBI Nucleotide</v>
      </c>
    </row>
    <row r="16046" spans="1:27" x14ac:dyDescent="0.35">
      <c r="A16046">
        <v>1005479</v>
      </c>
      <c r="B16046">
        <v>14344</v>
      </c>
      <c r="C16046">
        <v>1</v>
      </c>
      <c r="N16046" t="s">
        <v>37553</v>
      </c>
      <c r="P16046" t="s">
        <v>37800</v>
      </c>
      <c r="R16046" s="26" t="str">
        <f>HYPERLINK("https://ictv.global/taxonomy/taxondetails?taxnode_id=202302550","Gammatorquevirus homidi13")</f>
        <v>Gammatorquevirus homidi13</v>
      </c>
      <c r="S16046" t="s">
        <v>30</v>
      </c>
      <c r="T16046" t="s">
        <v>37817</v>
      </c>
      <c r="U16046" t="s">
        <v>37818</v>
      </c>
      <c r="V16046" t="s">
        <v>37819</v>
      </c>
      <c r="W16046" t="s">
        <v>37820</v>
      </c>
      <c r="X16046" t="s">
        <v>42</v>
      </c>
      <c r="Y16046" t="s">
        <v>12446</v>
      </c>
      <c r="Z16046" t="s">
        <v>166</v>
      </c>
      <c r="AA16046" s="22" t="str">
        <f>HYPERLINK("https://www.ncbi.nlm.nih.gov/nuccore/AB303564","NCBI Nucleotide")</f>
        <v>NCBI Nucleotide</v>
      </c>
    </row>
    <row r="16047" spans="1:27" x14ac:dyDescent="0.35">
      <c r="A16047">
        <v>1005480</v>
      </c>
      <c r="B16047">
        <v>14345</v>
      </c>
      <c r="C16047">
        <v>1</v>
      </c>
      <c r="N16047" t="s">
        <v>37553</v>
      </c>
      <c r="P16047" t="s">
        <v>37800</v>
      </c>
      <c r="R16047" s="26" t="str">
        <f>HYPERLINK("https://ictv.global/taxonomy/taxondetails?taxnode_id=202302551","Gammatorquevirus homidi14")</f>
        <v>Gammatorquevirus homidi14</v>
      </c>
      <c r="S16047" t="s">
        <v>30</v>
      </c>
      <c r="T16047" t="s">
        <v>37821</v>
      </c>
      <c r="U16047" t="s">
        <v>37822</v>
      </c>
      <c r="V16047" t="s">
        <v>37823</v>
      </c>
      <c r="W16047" t="s">
        <v>37824</v>
      </c>
      <c r="X16047" t="s">
        <v>42</v>
      </c>
      <c r="Y16047" t="s">
        <v>12446</v>
      </c>
      <c r="Z16047" t="s">
        <v>166</v>
      </c>
      <c r="AA16047" s="22" t="str">
        <f>HYPERLINK("https://www.ncbi.nlm.nih.gov/nuccore/AB303566","NCBI Nucleotide")</f>
        <v>NCBI Nucleotide</v>
      </c>
    </row>
    <row r="16048" spans="1:27" x14ac:dyDescent="0.35">
      <c r="A16048">
        <v>1005481</v>
      </c>
      <c r="B16048">
        <v>14346</v>
      </c>
      <c r="C16048">
        <v>1</v>
      </c>
      <c r="N16048" t="s">
        <v>37553</v>
      </c>
      <c r="P16048" t="s">
        <v>37800</v>
      </c>
      <c r="R16048" s="26" t="str">
        <f>HYPERLINK("https://ictv.global/taxonomy/taxondetails?taxnode_id=202302552","Gammatorquevirus homidi15")</f>
        <v>Gammatorquevirus homidi15</v>
      </c>
      <c r="S16048" t="s">
        <v>30</v>
      </c>
      <c r="T16048" t="s">
        <v>37825</v>
      </c>
      <c r="U16048" t="s">
        <v>37826</v>
      </c>
      <c r="V16048" t="s">
        <v>37827</v>
      </c>
      <c r="W16048" t="s">
        <v>37828</v>
      </c>
      <c r="X16048" t="s">
        <v>42</v>
      </c>
      <c r="Y16048" t="s">
        <v>12446</v>
      </c>
      <c r="Z16048" t="s">
        <v>166</v>
      </c>
      <c r="AA16048" s="22" t="str">
        <f>HYPERLINK("https://www.ncbi.nlm.nih.gov/nuccore/AB449062","NCBI Nucleotide")</f>
        <v>NCBI Nucleotide</v>
      </c>
    </row>
    <row r="16049" spans="1:27" x14ac:dyDescent="0.35">
      <c r="A16049">
        <v>1005490</v>
      </c>
      <c r="B16049">
        <v>14347</v>
      </c>
      <c r="C16049">
        <v>1</v>
      </c>
      <c r="N16049" t="s">
        <v>37553</v>
      </c>
      <c r="P16049" t="s">
        <v>37861</v>
      </c>
      <c r="R16049" s="26" t="str">
        <f>HYPERLINK("https://ictv.global/taxonomy/taxondetails?taxnode_id=202309434","Gimeltorquevirus ursid13")</f>
        <v>Gimeltorquevirus ursid13</v>
      </c>
      <c r="S16049" t="s">
        <v>30</v>
      </c>
      <c r="T16049" t="s">
        <v>37768</v>
      </c>
      <c r="V16049" t="s">
        <v>37862</v>
      </c>
      <c r="W16049" t="s">
        <v>37863</v>
      </c>
      <c r="X16049" t="s">
        <v>42</v>
      </c>
      <c r="Y16049" t="s">
        <v>12446</v>
      </c>
      <c r="Z16049" t="s">
        <v>166</v>
      </c>
      <c r="AA16049" s="22" t="str">
        <f>HYPERLINK("https://www.ncbi.nlm.nih.gov/nuccore/MF327544","NCBI Nucleotide")</f>
        <v>NCBI Nucleotide</v>
      </c>
    </row>
    <row r="16050" spans="1:27" x14ac:dyDescent="0.35">
      <c r="A16050">
        <v>1005491</v>
      </c>
      <c r="B16050">
        <v>14348</v>
      </c>
      <c r="C16050">
        <v>1</v>
      </c>
      <c r="N16050" t="s">
        <v>37553</v>
      </c>
      <c r="P16050" t="s">
        <v>37864</v>
      </c>
      <c r="R16050" s="26" t="str">
        <f>HYPERLINK("https://ictv.global/taxonomy/taxondetails?taxnode_id=202302554","Gyrovirus chickenanemia")</f>
        <v>Gyrovirus chickenanemia</v>
      </c>
      <c r="S16050" t="s">
        <v>30</v>
      </c>
      <c r="T16050" t="s">
        <v>37865</v>
      </c>
      <c r="U16050" t="s">
        <v>37866</v>
      </c>
      <c r="V16050" t="s">
        <v>37867</v>
      </c>
      <c r="W16050" t="s">
        <v>37868</v>
      </c>
      <c r="X16050" t="s">
        <v>42</v>
      </c>
      <c r="Y16050" t="s">
        <v>12446</v>
      </c>
      <c r="Z16050" t="s">
        <v>166</v>
      </c>
      <c r="AA16050" s="22" t="str">
        <f>HYPERLINK("https://www.ncbi.nlm.nih.gov/nuccore/M55918","NCBI Nucleotide")</f>
        <v>NCBI Nucleotide</v>
      </c>
    </row>
    <row r="16051" spans="1:27" x14ac:dyDescent="0.35">
      <c r="A16051">
        <v>1005492</v>
      </c>
      <c r="B16051">
        <v>14349</v>
      </c>
      <c r="C16051">
        <v>1</v>
      </c>
      <c r="N16051" t="s">
        <v>37553</v>
      </c>
      <c r="P16051" t="s">
        <v>37864</v>
      </c>
      <c r="R16051" s="26" t="str">
        <f>HYPERLINK("https://ictv.global/taxonomy/taxondetails?taxnode_id=202309379","Gyrovirus fulgla1")</f>
        <v>Gyrovirus fulgla1</v>
      </c>
      <c r="S16051" t="s">
        <v>30</v>
      </c>
      <c r="T16051" t="s">
        <v>37869</v>
      </c>
      <c r="U16051" t="s">
        <v>37870</v>
      </c>
      <c r="W16051" t="s">
        <v>37871</v>
      </c>
      <c r="X16051" t="s">
        <v>42</v>
      </c>
      <c r="Y16051" t="s">
        <v>12446</v>
      </c>
      <c r="Z16051" t="s">
        <v>166</v>
      </c>
      <c r="AA16051" s="22" t="str">
        <f>HYPERLINK("https://www.ncbi.nlm.nih.gov/nuccore/KR137527","NCBI Nucleotide")</f>
        <v>NCBI Nucleotide</v>
      </c>
    </row>
    <row r="16052" spans="1:27" x14ac:dyDescent="0.35">
      <c r="A16052">
        <v>1005493</v>
      </c>
      <c r="B16052">
        <v>14350</v>
      </c>
      <c r="C16052">
        <v>1</v>
      </c>
      <c r="N16052" t="s">
        <v>37553</v>
      </c>
      <c r="P16052" t="s">
        <v>37864</v>
      </c>
      <c r="R16052" s="26" t="str">
        <f>HYPERLINK("https://ictv.global/taxonomy/taxondetails?taxnode_id=202309375","Gyrovirus galga1")</f>
        <v>Gyrovirus galga1</v>
      </c>
      <c r="S16052" t="s">
        <v>30</v>
      </c>
      <c r="T16052" t="s">
        <v>37872</v>
      </c>
      <c r="U16052" t="s">
        <v>37873</v>
      </c>
      <c r="V16052" t="s">
        <v>37874</v>
      </c>
      <c r="W16052" t="s">
        <v>37875</v>
      </c>
      <c r="X16052" t="s">
        <v>42</v>
      </c>
      <c r="Y16052" t="s">
        <v>12446</v>
      </c>
      <c r="Z16052" t="s">
        <v>166</v>
      </c>
      <c r="AA16052" s="22" t="str">
        <f>HYPERLINK("https://www.ncbi.nlm.nih.gov/nuccore/HM590588","NCBI Nucleotide")</f>
        <v>NCBI Nucleotide</v>
      </c>
    </row>
    <row r="16053" spans="1:27" x14ac:dyDescent="0.35">
      <c r="A16053">
        <v>1005494</v>
      </c>
      <c r="B16053">
        <v>14351</v>
      </c>
      <c r="C16053">
        <v>1</v>
      </c>
      <c r="N16053" t="s">
        <v>37553</v>
      </c>
      <c r="P16053" t="s">
        <v>37864</v>
      </c>
      <c r="R16053" s="26" t="str">
        <f>HYPERLINK("https://ictv.global/taxonomy/taxondetails?taxnode_id=202309380","Gyrovirus galga2")</f>
        <v>Gyrovirus galga2</v>
      </c>
      <c r="S16053" t="s">
        <v>30</v>
      </c>
      <c r="T16053" t="s">
        <v>37876</v>
      </c>
      <c r="V16053" t="s">
        <v>37877</v>
      </c>
      <c r="W16053" t="s">
        <v>37878</v>
      </c>
      <c r="X16053" t="s">
        <v>42</v>
      </c>
      <c r="Y16053" t="s">
        <v>12446</v>
      </c>
      <c r="Z16053" t="s">
        <v>166</v>
      </c>
      <c r="AA16053" s="22" t="str">
        <f>HYPERLINK("https://www.ncbi.nlm.nih.gov/nuccore/KM111536","NCBI Nucleotide")</f>
        <v>NCBI Nucleotide</v>
      </c>
    </row>
    <row r="16054" spans="1:27" x14ac:dyDescent="0.35">
      <c r="A16054">
        <v>1005495</v>
      </c>
      <c r="B16054">
        <v>14352</v>
      </c>
      <c r="C16054">
        <v>1</v>
      </c>
      <c r="N16054" t="s">
        <v>37553</v>
      </c>
      <c r="P16054" t="s">
        <v>37864</v>
      </c>
      <c r="R16054" s="26" t="str">
        <f>HYPERLINK("https://ictv.global/taxonomy/taxondetails?taxnode_id=202309374","Gyrovirus homsa1")</f>
        <v>Gyrovirus homsa1</v>
      </c>
      <c r="S16054" t="s">
        <v>30</v>
      </c>
      <c r="T16054" t="s">
        <v>37879</v>
      </c>
      <c r="U16054" t="s">
        <v>37880</v>
      </c>
      <c r="V16054" t="s">
        <v>37881</v>
      </c>
      <c r="W16054" t="s">
        <v>37882</v>
      </c>
      <c r="X16054" t="s">
        <v>42</v>
      </c>
      <c r="Y16054" t="s">
        <v>12446</v>
      </c>
      <c r="Z16054" t="s">
        <v>166</v>
      </c>
      <c r="AA16054" s="22" t="str">
        <f>HYPERLINK("https://www.ncbi.nlm.nih.gov/nuccore/JQ308210","NCBI Nucleotide")</f>
        <v>NCBI Nucleotide</v>
      </c>
    </row>
    <row r="16055" spans="1:27" x14ac:dyDescent="0.35">
      <c r="A16055">
        <v>1005496</v>
      </c>
      <c r="B16055">
        <v>14353</v>
      </c>
      <c r="C16055">
        <v>1</v>
      </c>
      <c r="N16055" t="s">
        <v>37553</v>
      </c>
      <c r="P16055" t="s">
        <v>37864</v>
      </c>
      <c r="R16055" s="26" t="str">
        <f>HYPERLINK("https://ictv.global/taxonomy/taxondetails?taxnode_id=202309376","Gyrovirus homsa2")</f>
        <v>Gyrovirus homsa2</v>
      </c>
      <c r="S16055" t="s">
        <v>30</v>
      </c>
      <c r="T16055" t="s">
        <v>37883</v>
      </c>
      <c r="U16055" t="s">
        <v>37884</v>
      </c>
      <c r="V16055" t="s">
        <v>37885</v>
      </c>
      <c r="W16055" t="s">
        <v>37886</v>
      </c>
      <c r="X16055" t="s">
        <v>42</v>
      </c>
      <c r="Y16055" t="s">
        <v>12446</v>
      </c>
      <c r="Z16055" t="s">
        <v>166</v>
      </c>
      <c r="AA16055" s="22" t="str">
        <f>HYPERLINK("https://www.ncbi.nlm.nih.gov/nuccore/KF294862","NCBI Nucleotide")</f>
        <v>NCBI Nucleotide</v>
      </c>
    </row>
    <row r="16056" spans="1:27" x14ac:dyDescent="0.35">
      <c r="A16056">
        <v>1005497</v>
      </c>
      <c r="B16056">
        <v>14354</v>
      </c>
      <c r="C16056">
        <v>1</v>
      </c>
      <c r="N16056" t="s">
        <v>37553</v>
      </c>
      <c r="P16056" t="s">
        <v>37864</v>
      </c>
      <c r="R16056" s="26" t="str">
        <f>HYPERLINK("https://ictv.global/taxonomy/taxondetails?taxnode_id=202309377","Gyrovirus homsa3")</f>
        <v>Gyrovirus homsa3</v>
      </c>
      <c r="S16056" t="s">
        <v>30</v>
      </c>
      <c r="T16056" t="s">
        <v>37887</v>
      </c>
      <c r="U16056" t="s">
        <v>37888</v>
      </c>
      <c r="V16056" t="s">
        <v>37889</v>
      </c>
      <c r="W16056" t="s">
        <v>37890</v>
      </c>
      <c r="X16056" t="s">
        <v>42</v>
      </c>
      <c r="Y16056" t="s">
        <v>12446</v>
      </c>
      <c r="Z16056" t="s">
        <v>166</v>
      </c>
      <c r="AA16056" s="22" t="str">
        <f>HYPERLINK("https://www.ncbi.nlm.nih.gov/nuccore/JX310702","NCBI Nucleotide")</f>
        <v>NCBI Nucleotide</v>
      </c>
    </row>
    <row r="16057" spans="1:27" x14ac:dyDescent="0.35">
      <c r="A16057">
        <v>1005498</v>
      </c>
      <c r="B16057">
        <v>14355</v>
      </c>
      <c r="C16057">
        <v>1</v>
      </c>
      <c r="N16057" t="s">
        <v>37553</v>
      </c>
      <c r="P16057" t="s">
        <v>37864</v>
      </c>
      <c r="R16057" s="26" t="str">
        <f>HYPERLINK("https://ictv.global/taxonomy/taxondetails?taxnode_id=202309378","Gyrovirus homsa4")</f>
        <v>Gyrovirus homsa4</v>
      </c>
      <c r="S16057" t="s">
        <v>30</v>
      </c>
      <c r="T16057" t="s">
        <v>37891</v>
      </c>
      <c r="U16057" t="s">
        <v>37892</v>
      </c>
      <c r="V16057" t="s">
        <v>37893</v>
      </c>
      <c r="W16057" t="s">
        <v>37894</v>
      </c>
      <c r="X16057" t="s">
        <v>42</v>
      </c>
      <c r="Y16057" t="s">
        <v>12446</v>
      </c>
      <c r="Z16057" t="s">
        <v>166</v>
      </c>
      <c r="AA16057" s="22" t="str">
        <f>HYPERLINK("https://www.ncbi.nlm.nih.gov/nuccore/KF294861","NCBI Nucleotide")</f>
        <v>NCBI Nucleotide</v>
      </c>
    </row>
    <row r="16058" spans="1:27" x14ac:dyDescent="0.35">
      <c r="A16058">
        <v>1005499</v>
      </c>
      <c r="B16058">
        <v>14356</v>
      </c>
      <c r="C16058">
        <v>1</v>
      </c>
      <c r="N16058" t="s">
        <v>37553</v>
      </c>
      <c r="P16058" t="s">
        <v>37864</v>
      </c>
      <c r="R16058" s="26" t="str">
        <f>HYPERLINK("https://ictv.global/taxonomy/taxondetails?taxnode_id=202309381","Gyrovirus hydho1")</f>
        <v>Gyrovirus hydho1</v>
      </c>
      <c r="S16058" t="s">
        <v>30</v>
      </c>
      <c r="T16058" t="s">
        <v>37895</v>
      </c>
      <c r="U16058" t="s">
        <v>37896</v>
      </c>
      <c r="V16058" t="s">
        <v>37897</v>
      </c>
      <c r="W16058" t="s">
        <v>37898</v>
      </c>
      <c r="X16058" t="s">
        <v>42</v>
      </c>
      <c r="Y16058" t="s">
        <v>12446</v>
      </c>
      <c r="Z16058" t="s">
        <v>166</v>
      </c>
      <c r="AA16058" s="22" t="str">
        <f>HYPERLINK("https://www.ncbi.nlm.nih.gov/nuccore/MH378452","NCBI Nucleotide")</f>
        <v>NCBI Nucleotide</v>
      </c>
    </row>
    <row r="16059" spans="1:27" x14ac:dyDescent="0.35">
      <c r="A16059">
        <v>1005500</v>
      </c>
      <c r="B16059">
        <v>14357</v>
      </c>
      <c r="C16059">
        <v>1</v>
      </c>
      <c r="N16059" t="s">
        <v>37553</v>
      </c>
      <c r="P16059" t="s">
        <v>37864</v>
      </c>
      <c r="R16059" s="26" t="str">
        <f>HYPERLINK("https://ictv.global/taxonomy/taxondetails?taxnode_id=202309382","Gyrovirus myferr1")</f>
        <v>Gyrovirus myferr1</v>
      </c>
      <c r="S16059" t="s">
        <v>30</v>
      </c>
      <c r="T16059" t="s">
        <v>37899</v>
      </c>
      <c r="U16059" t="s">
        <v>37900</v>
      </c>
      <c r="W16059" t="s">
        <v>37901</v>
      </c>
      <c r="X16059" t="s">
        <v>42</v>
      </c>
      <c r="Y16059" t="s">
        <v>12446</v>
      </c>
      <c r="Z16059" t="s">
        <v>166</v>
      </c>
      <c r="AA16059" s="22" t="str">
        <f>HYPERLINK("https://www.ncbi.nlm.nih.gov/nuccore/MH638372","NCBI Nucleotide")</f>
        <v>NCBI Nucleotide</v>
      </c>
    </row>
    <row r="16060" spans="1:27" x14ac:dyDescent="0.35">
      <c r="A16060">
        <v>1027846</v>
      </c>
      <c r="B16060">
        <v>14358</v>
      </c>
      <c r="C16060">
        <v>1</v>
      </c>
      <c r="N16060" t="s">
        <v>37553</v>
      </c>
      <c r="P16060" t="s">
        <v>37864</v>
      </c>
      <c r="R16060" s="26" t="str">
        <f>HYPERLINK("https://ictv.global/taxonomy/taxondetails?taxnode_id=202317787","Gyrovirus phaco1")</f>
        <v>Gyrovirus phaco1</v>
      </c>
      <c r="S16060" t="s">
        <v>30</v>
      </c>
      <c r="T16060" t="s">
        <v>47823</v>
      </c>
      <c r="U16060" t="s">
        <v>47824</v>
      </c>
      <c r="V16060" t="s">
        <v>47825</v>
      </c>
      <c r="W16060" t="s">
        <v>47826</v>
      </c>
      <c r="X16060" t="s">
        <v>42</v>
      </c>
      <c r="Y16060" t="s">
        <v>12446</v>
      </c>
      <c r="Z16060" t="s">
        <v>166</v>
      </c>
      <c r="AA16060" s="22" t="str">
        <f>HYPERLINK("https://www.ncbi.nlm.nih.gov/nuccore/OK665854","NCBI Nucleotide")</f>
        <v>NCBI Nucleotide</v>
      </c>
    </row>
    <row r="16061" spans="1:27" x14ac:dyDescent="0.35">
      <c r="A16061">
        <v>1005501</v>
      </c>
      <c r="B16061">
        <v>14359</v>
      </c>
      <c r="C16061">
        <v>1</v>
      </c>
      <c r="N16061" t="s">
        <v>37553</v>
      </c>
      <c r="P16061" t="s">
        <v>37902</v>
      </c>
      <c r="R16061" s="26" t="str">
        <f>HYPERLINK("https://ictv.global/taxonomy/taxondetails?taxnode_id=202309436","Hetorquevirus hominid2")</f>
        <v>Hetorquevirus hominid2</v>
      </c>
      <c r="S16061" t="s">
        <v>30</v>
      </c>
      <c r="T16061" t="s">
        <v>37684</v>
      </c>
      <c r="V16061" t="s">
        <v>37903</v>
      </c>
      <c r="W16061" t="s">
        <v>37904</v>
      </c>
      <c r="X16061" t="s">
        <v>42</v>
      </c>
      <c r="Y16061" t="s">
        <v>12446</v>
      </c>
      <c r="Z16061" t="s">
        <v>166</v>
      </c>
      <c r="AA16061" s="22" t="str">
        <f>HYPERLINK("https://www.ncbi.nlm.nih.gov/nuccore/MK212032","NCBI Nucleotide")</f>
        <v>NCBI Nucleotide</v>
      </c>
    </row>
    <row r="16062" spans="1:27" x14ac:dyDescent="0.35">
      <c r="A16062">
        <v>1027851</v>
      </c>
      <c r="B16062">
        <v>14360</v>
      </c>
      <c r="C16062">
        <v>1</v>
      </c>
      <c r="N16062" t="s">
        <v>37553</v>
      </c>
      <c r="P16062" t="s">
        <v>37902</v>
      </c>
      <c r="R16062" s="26" t="str">
        <f>HYPERLINK("https://ictv.global/taxonomy/taxondetails?taxnode_id=202317799","Hetorquevirus hominid3")</f>
        <v>Hetorquevirus hominid3</v>
      </c>
      <c r="S16062" t="s">
        <v>30</v>
      </c>
      <c r="T16062" t="s">
        <v>47827</v>
      </c>
      <c r="V16062" t="s">
        <v>47828</v>
      </c>
      <c r="W16062" t="s">
        <v>47829</v>
      </c>
      <c r="X16062" t="s">
        <v>42</v>
      </c>
      <c r="Y16062" t="s">
        <v>12446</v>
      </c>
      <c r="Z16062" t="s">
        <v>166</v>
      </c>
      <c r="AA16062" s="22" t="str">
        <f>HYPERLINK("https://www.ncbi.nlm.nih.gov/nuccore/MN770270","NCBI Nucleotide")</f>
        <v>NCBI Nucleotide</v>
      </c>
    </row>
    <row r="16063" spans="1:27" x14ac:dyDescent="0.35">
      <c r="A16063">
        <v>1027852</v>
      </c>
      <c r="B16063">
        <v>14361</v>
      </c>
      <c r="C16063">
        <v>1</v>
      </c>
      <c r="N16063" t="s">
        <v>37553</v>
      </c>
      <c r="P16063" t="s">
        <v>37902</v>
      </c>
      <c r="R16063" s="26" t="str">
        <f>HYPERLINK("https://ictv.global/taxonomy/taxondetails?taxnode_id=202317800","Hetorquevirus hominid4")</f>
        <v>Hetorquevirus hominid4</v>
      </c>
      <c r="S16063" t="s">
        <v>30</v>
      </c>
      <c r="T16063" t="s">
        <v>47830</v>
      </c>
      <c r="V16063" t="s">
        <v>47831</v>
      </c>
      <c r="W16063" t="s">
        <v>47832</v>
      </c>
      <c r="X16063" t="s">
        <v>42</v>
      </c>
      <c r="Y16063" t="s">
        <v>12446</v>
      </c>
      <c r="Z16063" t="s">
        <v>166</v>
      </c>
      <c r="AA16063" s="22" t="str">
        <f>HYPERLINK("https://www.ncbi.nlm.nih.gov/nuccore/MN771277","NCBI Nucleotide")</f>
        <v>NCBI Nucleotide</v>
      </c>
    </row>
    <row r="16064" spans="1:27" x14ac:dyDescent="0.35">
      <c r="A16064">
        <v>1027853</v>
      </c>
      <c r="B16064">
        <v>14362</v>
      </c>
      <c r="C16064">
        <v>1</v>
      </c>
      <c r="N16064" t="s">
        <v>37553</v>
      </c>
      <c r="P16064" t="s">
        <v>37902</v>
      </c>
      <c r="R16064" s="26" t="str">
        <f>HYPERLINK("https://ictv.global/taxonomy/taxondetails?taxnode_id=202317801","Hetorquevirus hominid5")</f>
        <v>Hetorquevirus hominid5</v>
      </c>
      <c r="S16064" t="s">
        <v>30</v>
      </c>
      <c r="T16064" t="s">
        <v>47833</v>
      </c>
      <c r="V16064" t="s">
        <v>47834</v>
      </c>
      <c r="W16064" t="s">
        <v>47835</v>
      </c>
      <c r="X16064" t="s">
        <v>42</v>
      </c>
      <c r="Y16064" t="s">
        <v>12446</v>
      </c>
      <c r="Z16064" t="s">
        <v>166</v>
      </c>
      <c r="AA16064" s="22" t="str">
        <f>HYPERLINK("https://www.ncbi.nlm.nih.gov/nuccore/MN769899","NCBI Nucleotide")</f>
        <v>NCBI Nucleotide</v>
      </c>
    </row>
    <row r="16065" spans="1:27" x14ac:dyDescent="0.35">
      <c r="A16065">
        <v>1027854</v>
      </c>
      <c r="B16065">
        <v>14363</v>
      </c>
      <c r="C16065">
        <v>1</v>
      </c>
      <c r="N16065" t="s">
        <v>37553</v>
      </c>
      <c r="P16065" t="s">
        <v>37902</v>
      </c>
      <c r="R16065" s="26" t="str">
        <f>HYPERLINK("https://ictv.global/taxonomy/taxondetails?taxnode_id=202317802","Hetorquevirus hominid6")</f>
        <v>Hetorquevirus hominid6</v>
      </c>
      <c r="S16065" t="s">
        <v>30</v>
      </c>
      <c r="T16065" t="s">
        <v>47836</v>
      </c>
      <c r="V16065" t="s">
        <v>47837</v>
      </c>
      <c r="W16065" t="s">
        <v>47838</v>
      </c>
      <c r="X16065" t="s">
        <v>42</v>
      </c>
      <c r="Y16065" t="s">
        <v>12446</v>
      </c>
      <c r="Z16065" t="s">
        <v>166</v>
      </c>
      <c r="AA16065" s="22" t="str">
        <f>HYPERLINK("https://www.ncbi.nlm.nih.gov/nuccore/MN769225","NCBI Nucleotide")</f>
        <v>NCBI Nucleotide</v>
      </c>
    </row>
    <row r="16066" spans="1:27" x14ac:dyDescent="0.35">
      <c r="A16066">
        <v>1027855</v>
      </c>
      <c r="B16066">
        <v>14364</v>
      </c>
      <c r="C16066">
        <v>1</v>
      </c>
      <c r="N16066" t="s">
        <v>37553</v>
      </c>
      <c r="P16066" t="s">
        <v>37902</v>
      </c>
      <c r="R16066" s="26" t="str">
        <f>HYPERLINK("https://ictv.global/taxonomy/taxondetails?taxnode_id=202317803","Hetorquevirus hominid7")</f>
        <v>Hetorquevirus hominid7</v>
      </c>
      <c r="S16066" t="s">
        <v>30</v>
      </c>
      <c r="T16066" t="s">
        <v>47839</v>
      </c>
      <c r="V16066" t="s">
        <v>47840</v>
      </c>
      <c r="W16066" t="s">
        <v>47841</v>
      </c>
      <c r="X16066" t="s">
        <v>42</v>
      </c>
      <c r="Y16066" t="s">
        <v>12446</v>
      </c>
      <c r="Z16066" t="s">
        <v>166</v>
      </c>
      <c r="AA16066" s="22" t="str">
        <f>HYPERLINK("https://www.ncbi.nlm.nih.gov/nuccore/MN771248","NCBI Nucleotide")</f>
        <v>NCBI Nucleotide</v>
      </c>
    </row>
    <row r="16067" spans="1:27" x14ac:dyDescent="0.35">
      <c r="A16067">
        <v>1027856</v>
      </c>
      <c r="B16067">
        <v>14365</v>
      </c>
      <c r="C16067">
        <v>1</v>
      </c>
      <c r="N16067" t="s">
        <v>37553</v>
      </c>
      <c r="P16067" t="s">
        <v>37902</v>
      </c>
      <c r="R16067" s="26" t="str">
        <f>HYPERLINK("https://ictv.global/taxonomy/taxondetails?taxnode_id=202317804","Hetorquevirus hominid8")</f>
        <v>Hetorquevirus hominid8</v>
      </c>
      <c r="S16067" t="s">
        <v>30</v>
      </c>
      <c r="T16067" t="s">
        <v>47842</v>
      </c>
      <c r="V16067" t="s">
        <v>47843</v>
      </c>
      <c r="W16067" t="s">
        <v>47844</v>
      </c>
      <c r="X16067" t="s">
        <v>42</v>
      </c>
      <c r="Y16067" t="s">
        <v>12446</v>
      </c>
      <c r="Z16067" t="s">
        <v>166</v>
      </c>
      <c r="AA16067" s="22" t="str">
        <f>HYPERLINK("https://www.ncbi.nlm.nih.gov/nuccore/MN769236","NCBI Nucleotide")</f>
        <v>NCBI Nucleotide</v>
      </c>
    </row>
    <row r="16068" spans="1:27" x14ac:dyDescent="0.35">
      <c r="A16068">
        <v>1005502</v>
      </c>
      <c r="B16068">
        <v>14366</v>
      </c>
      <c r="C16068">
        <v>1</v>
      </c>
      <c r="N16068" t="s">
        <v>37553</v>
      </c>
      <c r="P16068" t="s">
        <v>37905</v>
      </c>
      <c r="R16068" s="26" t="str">
        <f>HYPERLINK("https://ictv.global/taxonomy/taxondetails?taxnode_id=202302556","Iotatorquevirus suida1a")</f>
        <v>Iotatorquevirus suida1a</v>
      </c>
      <c r="S16068" t="s">
        <v>30</v>
      </c>
      <c r="T16068" t="s">
        <v>37906</v>
      </c>
      <c r="U16068" t="s">
        <v>37907</v>
      </c>
      <c r="V16068" t="s">
        <v>37908</v>
      </c>
      <c r="W16068" t="s">
        <v>37909</v>
      </c>
      <c r="X16068" t="s">
        <v>42</v>
      </c>
      <c r="Y16068" t="s">
        <v>12446</v>
      </c>
      <c r="Z16068" t="s">
        <v>166</v>
      </c>
      <c r="AA16068" s="22" t="str">
        <f>HYPERLINK("https://www.ncbi.nlm.nih.gov/nuccore/AB076001","NCBI Nucleotide")</f>
        <v>NCBI Nucleotide</v>
      </c>
    </row>
    <row r="16069" spans="1:27" x14ac:dyDescent="0.35">
      <c r="A16069">
        <v>1005503</v>
      </c>
      <c r="B16069">
        <v>14367</v>
      </c>
      <c r="C16069">
        <v>1</v>
      </c>
      <c r="N16069" t="s">
        <v>37553</v>
      </c>
      <c r="P16069" t="s">
        <v>37910</v>
      </c>
      <c r="R16069" s="26" t="str">
        <f>HYPERLINK("https://ictv.global/taxonomy/taxondetails?taxnode_id=202302559","Kappatorquevirus suidak2a")</f>
        <v>Kappatorquevirus suidak2a</v>
      </c>
      <c r="S16069" t="s">
        <v>30</v>
      </c>
      <c r="T16069" t="s">
        <v>37911</v>
      </c>
      <c r="U16069" t="s">
        <v>37912</v>
      </c>
      <c r="V16069" t="s">
        <v>37913</v>
      </c>
      <c r="W16069" t="s">
        <v>37914</v>
      </c>
      <c r="X16069" t="s">
        <v>42</v>
      </c>
      <c r="Y16069" t="s">
        <v>12446</v>
      </c>
      <c r="Z16069" t="s">
        <v>166</v>
      </c>
      <c r="AA16069" s="22" t="str">
        <f>HYPERLINK("https://www.ncbi.nlm.nih.gov/nuccore/AY823991","NCBI Nucleotide")</f>
        <v>NCBI Nucleotide</v>
      </c>
    </row>
    <row r="16070" spans="1:27" x14ac:dyDescent="0.35">
      <c r="A16070">
        <v>1005504</v>
      </c>
      <c r="B16070">
        <v>14368</v>
      </c>
      <c r="C16070">
        <v>1</v>
      </c>
      <c r="N16070" t="s">
        <v>37553</v>
      </c>
      <c r="P16070" t="s">
        <v>37910</v>
      </c>
      <c r="R16070" s="26" t="str">
        <f>HYPERLINK("https://ictv.global/taxonomy/taxondetails?taxnode_id=202302560","Kappatorquevirus suidak2b")</f>
        <v>Kappatorquevirus suidak2b</v>
      </c>
      <c r="S16070" t="s">
        <v>30</v>
      </c>
      <c r="T16070" t="s">
        <v>37915</v>
      </c>
      <c r="U16070" t="s">
        <v>37916</v>
      </c>
      <c r="V16070" t="s">
        <v>37917</v>
      </c>
      <c r="W16070" t="s">
        <v>37918</v>
      </c>
      <c r="X16070" t="s">
        <v>42</v>
      </c>
      <c r="Y16070" t="s">
        <v>12446</v>
      </c>
      <c r="Z16070" t="s">
        <v>166</v>
      </c>
      <c r="AA16070" s="22" t="str">
        <f>HYPERLINK("https://www.ncbi.nlm.nih.gov/nuccore/JQ406846","NCBI Nucleotide")</f>
        <v>NCBI Nucleotide</v>
      </c>
    </row>
    <row r="16071" spans="1:27" x14ac:dyDescent="0.35">
      <c r="A16071">
        <v>1005505</v>
      </c>
      <c r="B16071">
        <v>14369</v>
      </c>
      <c r="C16071">
        <v>1</v>
      </c>
      <c r="N16071" t="s">
        <v>37553</v>
      </c>
      <c r="P16071" t="s">
        <v>37919</v>
      </c>
      <c r="R16071" s="26" t="str">
        <f>HYPERLINK("https://ictv.global/taxonomy/taxondetails?taxnode_id=202306510","Lambdatorquevirus phoci1")</f>
        <v>Lambdatorquevirus phoci1</v>
      </c>
      <c r="S16071" t="s">
        <v>30</v>
      </c>
      <c r="T16071" t="s">
        <v>37920</v>
      </c>
      <c r="V16071" t="s">
        <v>37921</v>
      </c>
      <c r="W16071" t="s">
        <v>37922</v>
      </c>
      <c r="X16071" t="s">
        <v>42</v>
      </c>
      <c r="Y16071" t="s">
        <v>12446</v>
      </c>
      <c r="Z16071" t="s">
        <v>166</v>
      </c>
      <c r="AA16071" s="22" t="str">
        <f>HYPERLINK("https://www.ncbi.nlm.nih.gov/nuccore/HQ287751","NCBI Nucleotide")</f>
        <v>NCBI Nucleotide</v>
      </c>
    </row>
    <row r="16072" spans="1:27" x14ac:dyDescent="0.35">
      <c r="A16072">
        <v>1005506</v>
      </c>
      <c r="B16072">
        <v>14370</v>
      </c>
      <c r="C16072">
        <v>1</v>
      </c>
      <c r="N16072" t="s">
        <v>37553</v>
      </c>
      <c r="P16072" t="s">
        <v>37919</v>
      </c>
      <c r="R16072" s="26" t="str">
        <f>HYPERLINK("https://ictv.global/taxonomy/taxondetails?taxnode_id=202306511","Lambdatorquevirus phoci2")</f>
        <v>Lambdatorquevirus phoci2</v>
      </c>
      <c r="S16072" t="s">
        <v>30</v>
      </c>
      <c r="T16072" t="s">
        <v>37923</v>
      </c>
      <c r="V16072" t="s">
        <v>37924</v>
      </c>
      <c r="W16072" t="s">
        <v>37925</v>
      </c>
      <c r="X16072" t="s">
        <v>42</v>
      </c>
      <c r="Y16072" t="s">
        <v>12446</v>
      </c>
      <c r="Z16072" t="s">
        <v>166</v>
      </c>
      <c r="AA16072" s="22" t="str">
        <f>HYPERLINK("https://www.ncbi.nlm.nih.gov/nuccore/KF373760","NCBI Nucleotide")</f>
        <v>NCBI Nucleotide</v>
      </c>
    </row>
    <row r="16073" spans="1:27" x14ac:dyDescent="0.35">
      <c r="A16073">
        <v>1005507</v>
      </c>
      <c r="B16073">
        <v>14371</v>
      </c>
      <c r="C16073">
        <v>1</v>
      </c>
      <c r="N16073" t="s">
        <v>37553</v>
      </c>
      <c r="P16073" t="s">
        <v>37919</v>
      </c>
      <c r="R16073" s="26" t="str">
        <f>HYPERLINK("https://ictv.global/taxonomy/taxondetails?taxnode_id=202306512","Lambdatorquevirus phoci3")</f>
        <v>Lambdatorquevirus phoci3</v>
      </c>
      <c r="S16073" t="s">
        <v>30</v>
      </c>
      <c r="T16073" t="s">
        <v>37926</v>
      </c>
      <c r="V16073" t="s">
        <v>37924</v>
      </c>
      <c r="W16073" t="s">
        <v>37927</v>
      </c>
      <c r="X16073" t="s">
        <v>42</v>
      </c>
      <c r="Y16073" t="s">
        <v>12446</v>
      </c>
      <c r="Z16073" t="s">
        <v>166</v>
      </c>
      <c r="AA16073" s="22" t="str">
        <f>HYPERLINK("https://www.ncbi.nlm.nih.gov/nuccore/KF373758","NCBI Nucleotide")</f>
        <v>NCBI Nucleotide</v>
      </c>
    </row>
    <row r="16074" spans="1:27" x14ac:dyDescent="0.35">
      <c r="A16074">
        <v>1005508</v>
      </c>
      <c r="B16074">
        <v>14372</v>
      </c>
      <c r="C16074">
        <v>1</v>
      </c>
      <c r="N16074" t="s">
        <v>37553</v>
      </c>
      <c r="P16074" t="s">
        <v>37919</v>
      </c>
      <c r="R16074" s="26" t="str">
        <f>HYPERLINK("https://ictv.global/taxonomy/taxondetails?taxnode_id=202306513","Lambdatorquevirus phoci5")</f>
        <v>Lambdatorquevirus phoci5</v>
      </c>
      <c r="S16074" t="s">
        <v>30</v>
      </c>
      <c r="T16074" t="s">
        <v>37928</v>
      </c>
      <c r="V16074" t="s">
        <v>37929</v>
      </c>
      <c r="W16074" t="s">
        <v>37930</v>
      </c>
      <c r="X16074" t="s">
        <v>42</v>
      </c>
      <c r="Y16074" t="s">
        <v>12446</v>
      </c>
      <c r="Z16074" t="s">
        <v>166</v>
      </c>
      <c r="AA16074" s="22" t="str">
        <f>HYPERLINK("https://www.ncbi.nlm.nih.gov/nuccore/KY246582","NCBI Nucleotide")</f>
        <v>NCBI Nucleotide</v>
      </c>
    </row>
    <row r="16075" spans="1:27" x14ac:dyDescent="0.35">
      <c r="A16075">
        <v>1005509</v>
      </c>
      <c r="B16075">
        <v>14373</v>
      </c>
      <c r="C16075">
        <v>1</v>
      </c>
      <c r="N16075" t="s">
        <v>37553</v>
      </c>
      <c r="P16075" t="s">
        <v>37919</v>
      </c>
      <c r="R16075" s="26" t="str">
        <f>HYPERLINK("https://ictv.global/taxonomy/taxondetails?taxnode_id=202306514","Lambdatorquevirus phoci6")</f>
        <v>Lambdatorquevirus phoci6</v>
      </c>
      <c r="S16075" t="s">
        <v>30</v>
      </c>
      <c r="T16075" t="s">
        <v>37931</v>
      </c>
      <c r="V16075" t="s">
        <v>37932</v>
      </c>
      <c r="W16075" t="s">
        <v>37933</v>
      </c>
      <c r="X16075" t="s">
        <v>42</v>
      </c>
      <c r="Y16075" t="s">
        <v>12446</v>
      </c>
      <c r="Z16075" t="s">
        <v>166</v>
      </c>
      <c r="AA16075" s="22" t="str">
        <f>HYPERLINK("https://www.ncbi.nlm.nih.gov/nuccore/KY246547","NCBI Nucleotide")</f>
        <v>NCBI Nucleotide</v>
      </c>
    </row>
    <row r="16076" spans="1:27" x14ac:dyDescent="0.35">
      <c r="A16076">
        <v>1027857</v>
      </c>
      <c r="B16076">
        <v>14374</v>
      </c>
      <c r="C16076">
        <v>1</v>
      </c>
      <c r="N16076" t="s">
        <v>37553</v>
      </c>
      <c r="P16076" t="s">
        <v>47845</v>
      </c>
      <c r="R16076" s="26" t="str">
        <f>HYPERLINK("https://ictv.global/taxonomy/taxondetails?taxnode_id=202317807","Lamedtorquevirus hominid11")</f>
        <v>Lamedtorquevirus hominid11</v>
      </c>
      <c r="S16076" t="s">
        <v>30</v>
      </c>
      <c r="T16076" t="s">
        <v>47846</v>
      </c>
      <c r="V16076" t="s">
        <v>47847</v>
      </c>
      <c r="W16076" t="s">
        <v>47848</v>
      </c>
      <c r="X16076" t="s">
        <v>42</v>
      </c>
      <c r="Y16076" t="s">
        <v>12446</v>
      </c>
      <c r="Z16076" t="s">
        <v>166</v>
      </c>
      <c r="AA16076" s="22" t="str">
        <f>HYPERLINK("https://www.ncbi.nlm.nih.gov/nuccore/MN774989","NCBI Nucleotide")</f>
        <v>NCBI Nucleotide</v>
      </c>
    </row>
    <row r="16077" spans="1:27" x14ac:dyDescent="0.35">
      <c r="A16077">
        <v>1027858</v>
      </c>
      <c r="B16077">
        <v>14375</v>
      </c>
      <c r="C16077">
        <v>1</v>
      </c>
      <c r="N16077" t="s">
        <v>37553</v>
      </c>
      <c r="P16077" t="s">
        <v>47849</v>
      </c>
      <c r="R16077" s="26" t="str">
        <f>HYPERLINK("https://ictv.global/taxonomy/taxondetails?taxnode_id=202317808","Memtorquevirus hominid12")</f>
        <v>Memtorquevirus hominid12</v>
      </c>
      <c r="S16077" t="s">
        <v>30</v>
      </c>
      <c r="T16077" t="s">
        <v>47850</v>
      </c>
      <c r="V16077" t="s">
        <v>47851</v>
      </c>
      <c r="W16077" t="s">
        <v>47852</v>
      </c>
      <c r="X16077" t="s">
        <v>35</v>
      </c>
      <c r="Y16077" t="s">
        <v>12446</v>
      </c>
      <c r="Z16077" t="s">
        <v>166</v>
      </c>
      <c r="AA16077" s="22" t="str">
        <f>HYPERLINK("https://www.ncbi.nlm.nih.gov/nuccore/MN775077","NCBI Nucleotide")</f>
        <v>NCBI Nucleotide</v>
      </c>
    </row>
    <row r="16078" spans="1:27" x14ac:dyDescent="0.35">
      <c r="A16078">
        <v>1027859</v>
      </c>
      <c r="B16078">
        <v>14376</v>
      </c>
      <c r="C16078">
        <v>1</v>
      </c>
      <c r="N16078" t="s">
        <v>37553</v>
      </c>
      <c r="P16078" t="s">
        <v>47849</v>
      </c>
      <c r="R16078" s="26" t="str">
        <f>HYPERLINK("https://ictv.global/taxonomy/taxondetails?taxnode_id=202317809","Memtorquevirus hominid13")</f>
        <v>Memtorquevirus hominid13</v>
      </c>
      <c r="S16078" t="s">
        <v>30</v>
      </c>
      <c r="T16078" t="s">
        <v>47853</v>
      </c>
      <c r="V16078" t="s">
        <v>47854</v>
      </c>
      <c r="W16078" t="s">
        <v>47855</v>
      </c>
      <c r="X16078" t="s">
        <v>42</v>
      </c>
      <c r="Y16078" t="s">
        <v>12446</v>
      </c>
      <c r="Z16078" t="s">
        <v>166</v>
      </c>
      <c r="AA16078" s="22" t="str">
        <f>HYPERLINK("https://www.ncbi.nlm.nih.gov/nuccore/MN774927","NCBI Nucleotide")</f>
        <v>NCBI Nucleotide</v>
      </c>
    </row>
    <row r="16079" spans="1:27" x14ac:dyDescent="0.35">
      <c r="A16079">
        <v>1027860</v>
      </c>
      <c r="B16079">
        <v>14377</v>
      </c>
      <c r="C16079">
        <v>1</v>
      </c>
      <c r="N16079" t="s">
        <v>37553</v>
      </c>
      <c r="P16079" t="s">
        <v>47849</v>
      </c>
      <c r="R16079" s="26" t="str">
        <f>HYPERLINK("https://ictv.global/taxonomy/taxondetails?taxnode_id=202317810","Memtorquevirus hominid14")</f>
        <v>Memtorquevirus hominid14</v>
      </c>
      <c r="S16079" t="s">
        <v>30</v>
      </c>
      <c r="T16079" t="s">
        <v>47856</v>
      </c>
      <c r="V16079" t="s">
        <v>47857</v>
      </c>
      <c r="W16079" t="s">
        <v>47858</v>
      </c>
      <c r="X16079" t="s">
        <v>42</v>
      </c>
      <c r="Y16079" t="s">
        <v>12446</v>
      </c>
      <c r="Z16079" t="s">
        <v>166</v>
      </c>
      <c r="AA16079" s="22" t="str">
        <f>HYPERLINK("https://www.ncbi.nlm.nih.gov/nuccore/MN774939","NCBI Nucleotide")</f>
        <v>NCBI Nucleotide</v>
      </c>
    </row>
    <row r="16080" spans="1:27" x14ac:dyDescent="0.35">
      <c r="A16080">
        <v>1005510</v>
      </c>
      <c r="B16080">
        <v>14378</v>
      </c>
      <c r="C16080">
        <v>1</v>
      </c>
      <c r="N16080" t="s">
        <v>37553</v>
      </c>
      <c r="P16080" t="s">
        <v>37934</v>
      </c>
      <c r="R16080" s="26" t="str">
        <f>HYPERLINK("https://ictv.global/taxonomy/taxondetails?taxnode_id=202306509","Mutorquevirus equid1")</f>
        <v>Mutorquevirus equid1</v>
      </c>
      <c r="S16080" t="s">
        <v>30</v>
      </c>
      <c r="T16080" t="s">
        <v>37935</v>
      </c>
      <c r="V16080" t="s">
        <v>37936</v>
      </c>
      <c r="W16080" t="s">
        <v>37937</v>
      </c>
      <c r="X16080" t="s">
        <v>42</v>
      </c>
      <c r="Y16080" t="s">
        <v>12446</v>
      </c>
      <c r="Z16080" t="s">
        <v>166</v>
      </c>
      <c r="AA16080" s="22" t="str">
        <f>HYPERLINK("https://www.ncbi.nlm.nih.gov/nuccore/KR902501","NCBI Nucleotide")</f>
        <v>NCBI Nucleotide</v>
      </c>
    </row>
    <row r="16081" spans="1:27" x14ac:dyDescent="0.35">
      <c r="A16081">
        <v>1005511</v>
      </c>
      <c r="B16081">
        <v>14379</v>
      </c>
      <c r="C16081">
        <v>1</v>
      </c>
      <c r="N16081" t="s">
        <v>37553</v>
      </c>
      <c r="P16081" t="s">
        <v>37934</v>
      </c>
      <c r="R16081" s="26" t="str">
        <f>HYPERLINK("https://ictv.global/taxonomy/taxondetails?taxnode_id=202313424","Mutorquevirus equid2")</f>
        <v>Mutorquevirus equid2</v>
      </c>
      <c r="S16081" t="s">
        <v>30</v>
      </c>
      <c r="T16081" t="s">
        <v>37938</v>
      </c>
      <c r="U16081" t="s">
        <v>37939</v>
      </c>
      <c r="V16081" t="s">
        <v>37940</v>
      </c>
      <c r="W16081" t="s">
        <v>37941</v>
      </c>
      <c r="X16081" t="s">
        <v>42</v>
      </c>
      <c r="Y16081" t="s">
        <v>12446</v>
      </c>
      <c r="Z16081" t="s">
        <v>166</v>
      </c>
      <c r="AA16081" s="22" t="str">
        <f>HYPERLINK("https://www.ncbi.nlm.nih.gov/nuccore/MW842984","NCBI Nucleotide")</f>
        <v>NCBI Nucleotide</v>
      </c>
    </row>
    <row r="16082" spans="1:27" x14ac:dyDescent="0.35">
      <c r="A16082">
        <v>1005512</v>
      </c>
      <c r="B16082">
        <v>14380</v>
      </c>
      <c r="C16082">
        <v>1</v>
      </c>
      <c r="N16082" t="s">
        <v>37553</v>
      </c>
      <c r="P16082" t="s">
        <v>37942</v>
      </c>
      <c r="R16082" s="26" t="str">
        <f>HYPERLINK("https://ictv.global/taxonomy/taxondetails?taxnode_id=202306516","Nutorquevirus phoci4")</f>
        <v>Nutorquevirus phoci4</v>
      </c>
      <c r="S16082" t="s">
        <v>30</v>
      </c>
      <c r="T16082" t="s">
        <v>37943</v>
      </c>
      <c r="V16082" t="s">
        <v>37944</v>
      </c>
      <c r="W16082" t="s">
        <v>37945</v>
      </c>
      <c r="X16082" t="s">
        <v>42</v>
      </c>
      <c r="Y16082" t="s">
        <v>12446</v>
      </c>
      <c r="Z16082" t="s">
        <v>166</v>
      </c>
      <c r="AA16082" s="22" t="str">
        <f>HYPERLINK("https://www.ncbi.nlm.nih.gov/nuccore/KM262782","NCBI Nucleotide")</f>
        <v>NCBI Nucleotide</v>
      </c>
    </row>
    <row r="16083" spans="1:27" x14ac:dyDescent="0.35">
      <c r="A16083">
        <v>1005513</v>
      </c>
      <c r="B16083">
        <v>14381</v>
      </c>
      <c r="C16083">
        <v>1</v>
      </c>
      <c r="N16083" t="s">
        <v>37553</v>
      </c>
      <c r="P16083" t="s">
        <v>37946</v>
      </c>
      <c r="R16083" s="26" t="str">
        <f>HYPERLINK("https://ictv.global/taxonomy/taxondetails?taxnode_id=202309438","Omegatorquevirus hominid1")</f>
        <v>Omegatorquevirus hominid1</v>
      </c>
      <c r="S16083" t="s">
        <v>30</v>
      </c>
      <c r="T16083" t="s">
        <v>37947</v>
      </c>
      <c r="V16083" t="s">
        <v>37948</v>
      </c>
      <c r="W16083" t="s">
        <v>37949</v>
      </c>
      <c r="X16083" t="s">
        <v>42</v>
      </c>
      <c r="Y16083" t="s">
        <v>12446</v>
      </c>
      <c r="Z16083" t="s">
        <v>166</v>
      </c>
      <c r="AA16083" s="22" t="str">
        <f>HYPERLINK("https://www.ncbi.nlm.nih.gov/nuccore/KT027939","NCBI Nucleotide")</f>
        <v>NCBI Nucleotide</v>
      </c>
    </row>
    <row r="16084" spans="1:27" x14ac:dyDescent="0.35">
      <c r="A16084">
        <v>1005514</v>
      </c>
      <c r="B16084">
        <v>14382</v>
      </c>
      <c r="C16084">
        <v>1</v>
      </c>
      <c r="N16084" t="s">
        <v>37553</v>
      </c>
      <c r="P16084" t="s">
        <v>37950</v>
      </c>
      <c r="R16084" s="26" t="str">
        <f>HYPERLINK("https://ictv.global/taxonomy/taxondetails?taxnode_id=202309440","Omicrontorquevirus ursid5")</f>
        <v>Omicrontorquevirus ursid5</v>
      </c>
      <c r="S16084" t="s">
        <v>30</v>
      </c>
      <c r="T16084" t="s">
        <v>37768</v>
      </c>
      <c r="V16084" t="s">
        <v>37951</v>
      </c>
      <c r="W16084" t="s">
        <v>37952</v>
      </c>
      <c r="X16084" t="s">
        <v>42</v>
      </c>
      <c r="Y16084" t="s">
        <v>12446</v>
      </c>
      <c r="Z16084" t="s">
        <v>166</v>
      </c>
      <c r="AA16084" s="22" t="str">
        <f>HYPERLINK("https://www.ncbi.nlm.nih.gov/nuccore/MF327557","NCBI Nucleotide")</f>
        <v>NCBI Nucleotide</v>
      </c>
    </row>
    <row r="16085" spans="1:27" x14ac:dyDescent="0.35">
      <c r="A16085">
        <v>1005518</v>
      </c>
      <c r="B16085">
        <v>14383</v>
      </c>
      <c r="C16085">
        <v>1</v>
      </c>
      <c r="N16085" t="s">
        <v>37553</v>
      </c>
      <c r="P16085" t="s">
        <v>37953</v>
      </c>
      <c r="R16085" s="26" t="str">
        <f>HYPERLINK("https://ictv.global/taxonomy/taxondetails?taxnode_id=202309442","Pitorquevirus ursid7")</f>
        <v>Pitorquevirus ursid7</v>
      </c>
      <c r="S16085" t="s">
        <v>30</v>
      </c>
      <c r="T16085" t="s">
        <v>37768</v>
      </c>
      <c r="V16085" t="s">
        <v>37960</v>
      </c>
      <c r="W16085" t="s">
        <v>37961</v>
      </c>
      <c r="X16085" t="s">
        <v>42</v>
      </c>
      <c r="Y16085" t="s">
        <v>12446</v>
      </c>
      <c r="Z16085" t="s">
        <v>166</v>
      </c>
      <c r="AA16085" s="22" t="str">
        <f>HYPERLINK("https://www.ncbi.nlm.nih.gov/nuccore/MF327540","NCBI Nucleotide")</f>
        <v>NCBI Nucleotide</v>
      </c>
    </row>
    <row r="16086" spans="1:27" x14ac:dyDescent="0.35">
      <c r="A16086">
        <v>1005519</v>
      </c>
      <c r="B16086">
        <v>14384</v>
      </c>
      <c r="C16086">
        <v>1</v>
      </c>
      <c r="N16086" t="s">
        <v>37553</v>
      </c>
      <c r="P16086" t="s">
        <v>37953</v>
      </c>
      <c r="R16086" s="26" t="str">
        <f>HYPERLINK("https://ictv.global/taxonomy/taxondetails?taxnode_id=202309443","Pitorquevirus ursid8")</f>
        <v>Pitorquevirus ursid8</v>
      </c>
      <c r="S16086" t="s">
        <v>30</v>
      </c>
      <c r="T16086" t="s">
        <v>37768</v>
      </c>
      <c r="V16086" t="s">
        <v>37958</v>
      </c>
      <c r="W16086" t="s">
        <v>37962</v>
      </c>
      <c r="X16086" t="s">
        <v>42</v>
      </c>
      <c r="Y16086" t="s">
        <v>12446</v>
      </c>
      <c r="Z16086" t="s">
        <v>166</v>
      </c>
      <c r="AA16086" s="22" t="str">
        <f>HYPERLINK("https://www.ncbi.nlm.nih.gov/nuccore/MF327542","NCBI Nucleotide")</f>
        <v>NCBI Nucleotide</v>
      </c>
    </row>
    <row r="16087" spans="1:27" x14ac:dyDescent="0.35">
      <c r="A16087">
        <v>1005520</v>
      </c>
      <c r="B16087">
        <v>14385</v>
      </c>
      <c r="C16087">
        <v>1</v>
      </c>
      <c r="N16087" t="s">
        <v>37553</v>
      </c>
      <c r="P16087" t="s">
        <v>37953</v>
      </c>
      <c r="R16087" s="26" t="str">
        <f>HYPERLINK("https://ictv.global/taxonomy/taxondetails?taxnode_id=202309444","Pitorquevirus ursid9")</f>
        <v>Pitorquevirus ursid9</v>
      </c>
      <c r="S16087" t="s">
        <v>30</v>
      </c>
      <c r="T16087" t="s">
        <v>37768</v>
      </c>
      <c r="V16087" t="s">
        <v>37954</v>
      </c>
      <c r="W16087" t="s">
        <v>37963</v>
      </c>
      <c r="X16087" t="s">
        <v>42</v>
      </c>
      <c r="Y16087" t="s">
        <v>12446</v>
      </c>
      <c r="Z16087" t="s">
        <v>166</v>
      </c>
      <c r="AA16087" s="22" t="str">
        <f>HYPERLINK("https://www.ncbi.nlm.nih.gov/nuccore/MF327550","NCBI Nucleotide")</f>
        <v>NCBI Nucleotide</v>
      </c>
    </row>
    <row r="16088" spans="1:27" x14ac:dyDescent="0.35">
      <c r="A16088">
        <v>1005515</v>
      </c>
      <c r="B16088">
        <v>14386</v>
      </c>
      <c r="C16088">
        <v>1</v>
      </c>
      <c r="N16088" t="s">
        <v>37553</v>
      </c>
      <c r="P16088" t="s">
        <v>37953</v>
      </c>
      <c r="R16088" s="26" t="str">
        <f>HYPERLINK("https://ictv.global/taxonomy/taxondetails?taxnode_id=202309445","Pitorquevirus ursid10")</f>
        <v>Pitorquevirus ursid10</v>
      </c>
      <c r="S16088" t="s">
        <v>30</v>
      </c>
      <c r="T16088" t="s">
        <v>37768</v>
      </c>
      <c r="V16088" t="s">
        <v>37954</v>
      </c>
      <c r="W16088" t="s">
        <v>37955</v>
      </c>
      <c r="X16088" t="s">
        <v>42</v>
      </c>
      <c r="Y16088" t="s">
        <v>12446</v>
      </c>
      <c r="Z16088" t="s">
        <v>166</v>
      </c>
      <c r="AA16088" s="22" t="str">
        <f>HYPERLINK("https://www.ncbi.nlm.nih.gov/nuccore/MF327541","NCBI Nucleotide")</f>
        <v>NCBI Nucleotide</v>
      </c>
    </row>
    <row r="16089" spans="1:27" x14ac:dyDescent="0.35">
      <c r="A16089">
        <v>1005516</v>
      </c>
      <c r="B16089">
        <v>14387</v>
      </c>
      <c r="C16089">
        <v>1</v>
      </c>
      <c r="N16089" t="s">
        <v>37553</v>
      </c>
      <c r="P16089" t="s">
        <v>37953</v>
      </c>
      <c r="R16089" s="26" t="str">
        <f>HYPERLINK("https://ictv.global/taxonomy/taxondetails?taxnode_id=202309446","Pitorquevirus ursid11")</f>
        <v>Pitorquevirus ursid11</v>
      </c>
      <c r="S16089" t="s">
        <v>30</v>
      </c>
      <c r="T16089" t="s">
        <v>37768</v>
      </c>
      <c r="V16089" t="s">
        <v>37956</v>
      </c>
      <c r="W16089" t="s">
        <v>37957</v>
      </c>
      <c r="X16089" t="s">
        <v>42</v>
      </c>
      <c r="Y16089" t="s">
        <v>12446</v>
      </c>
      <c r="Z16089" t="s">
        <v>166</v>
      </c>
      <c r="AA16089" s="22" t="str">
        <f>HYPERLINK("https://www.ncbi.nlm.nih.gov/nuccore/MF327548","NCBI Nucleotide")</f>
        <v>NCBI Nucleotide</v>
      </c>
    </row>
    <row r="16090" spans="1:27" x14ac:dyDescent="0.35">
      <c r="A16090">
        <v>1005517</v>
      </c>
      <c r="B16090">
        <v>14388</v>
      </c>
      <c r="C16090">
        <v>1</v>
      </c>
      <c r="N16090" t="s">
        <v>37553</v>
      </c>
      <c r="P16090" t="s">
        <v>37953</v>
      </c>
      <c r="R16090" s="26" t="str">
        <f>HYPERLINK("https://ictv.global/taxonomy/taxondetails?taxnode_id=202309447","Pitorquevirus ursid12")</f>
        <v>Pitorquevirus ursid12</v>
      </c>
      <c r="S16090" t="s">
        <v>30</v>
      </c>
      <c r="T16090" t="s">
        <v>37768</v>
      </c>
      <c r="V16090" t="s">
        <v>37958</v>
      </c>
      <c r="W16090" t="s">
        <v>37959</v>
      </c>
      <c r="X16090" t="s">
        <v>42</v>
      </c>
      <c r="Y16090" t="s">
        <v>12446</v>
      </c>
      <c r="Z16090" t="s">
        <v>166</v>
      </c>
      <c r="AA16090" s="22" t="str">
        <f>HYPERLINK("https://www.ncbi.nlm.nih.gov/nuccore/MF327547","NCBI Nucleotide")</f>
        <v>NCBI Nucleotide</v>
      </c>
    </row>
    <row r="16091" spans="1:27" x14ac:dyDescent="0.35">
      <c r="A16091">
        <v>1005521</v>
      </c>
      <c r="B16091">
        <v>14389</v>
      </c>
      <c r="C16091">
        <v>1</v>
      </c>
      <c r="N16091" t="s">
        <v>37553</v>
      </c>
      <c r="P16091" t="s">
        <v>37964</v>
      </c>
      <c r="R16091" s="26" t="str">
        <f>HYPERLINK("https://ictv.global/taxonomy/taxondetails?taxnode_id=202309449","Psitorquevirus procy4")</f>
        <v>Psitorquevirus procy4</v>
      </c>
      <c r="S16091" t="s">
        <v>30</v>
      </c>
      <c r="T16091" t="s">
        <v>37684</v>
      </c>
      <c r="V16091" t="s">
        <v>37965</v>
      </c>
      <c r="W16091" t="s">
        <v>37966</v>
      </c>
      <c r="X16091" t="s">
        <v>42</v>
      </c>
      <c r="Y16091" t="s">
        <v>12446</v>
      </c>
      <c r="Z16091" t="s">
        <v>166</v>
      </c>
      <c r="AA16091" s="22" t="str">
        <f>HYPERLINK("https://www.ncbi.nlm.nih.gov/nuccore/MK012516","NCBI Nucleotide")</f>
        <v>NCBI Nucleotide</v>
      </c>
    </row>
    <row r="16092" spans="1:27" x14ac:dyDescent="0.35">
      <c r="A16092">
        <v>1005522</v>
      </c>
      <c r="B16092">
        <v>14390</v>
      </c>
      <c r="C16092">
        <v>1</v>
      </c>
      <c r="N16092" t="s">
        <v>37553</v>
      </c>
      <c r="P16092" t="s">
        <v>37967</v>
      </c>
      <c r="R16092" s="26" t="str">
        <f>HYPERLINK("https://ictv.global/taxonomy/taxondetails?taxnode_id=202309451","Rhotorquevirus murid1")</f>
        <v>Rhotorquevirus murid1</v>
      </c>
      <c r="S16092" t="s">
        <v>30</v>
      </c>
      <c r="T16092" t="s">
        <v>37968</v>
      </c>
      <c r="V16092" t="s">
        <v>37969</v>
      </c>
      <c r="W16092" t="s">
        <v>37970</v>
      </c>
      <c r="X16092" t="s">
        <v>42</v>
      </c>
      <c r="Y16092" t="s">
        <v>12446</v>
      </c>
      <c r="Z16092" t="s">
        <v>166</v>
      </c>
      <c r="AA16092" s="22" t="str">
        <f>HYPERLINK("https://www.ncbi.nlm.nih.gov/nuccore/KJ194617","NCBI Nucleotide")</f>
        <v>NCBI Nucleotide</v>
      </c>
    </row>
    <row r="16093" spans="1:27" x14ac:dyDescent="0.35">
      <c r="A16093">
        <v>1027847</v>
      </c>
      <c r="B16093">
        <v>14391</v>
      </c>
      <c r="C16093">
        <v>1</v>
      </c>
      <c r="N16093" t="s">
        <v>37553</v>
      </c>
      <c r="P16093" t="s">
        <v>47859</v>
      </c>
      <c r="R16093" s="26" t="str">
        <f>HYPERLINK("https://ictv.global/taxonomy/taxondetails?taxnode_id=202317811","Samektorquevirus hominid15")</f>
        <v>Samektorquevirus hominid15</v>
      </c>
      <c r="S16093" t="s">
        <v>30</v>
      </c>
      <c r="T16093" t="s">
        <v>47860</v>
      </c>
      <c r="V16093" t="s">
        <v>47861</v>
      </c>
      <c r="W16093" t="s">
        <v>47862</v>
      </c>
      <c r="X16093" t="s">
        <v>42</v>
      </c>
      <c r="Y16093" t="s">
        <v>12446</v>
      </c>
      <c r="Z16093" t="s">
        <v>166</v>
      </c>
      <c r="AA16093" s="22" t="str">
        <f>HYPERLINK("https://www.ncbi.nlm.nih.gov/nuccore/MN774932","NCBI Nucleotide")</f>
        <v>NCBI Nucleotide</v>
      </c>
    </row>
    <row r="16094" spans="1:27" x14ac:dyDescent="0.35">
      <c r="A16094">
        <v>1027848</v>
      </c>
      <c r="B16094">
        <v>14392</v>
      </c>
      <c r="C16094">
        <v>1</v>
      </c>
      <c r="N16094" t="s">
        <v>37553</v>
      </c>
      <c r="P16094" t="s">
        <v>47859</v>
      </c>
      <c r="R16094" s="26" t="str">
        <f>HYPERLINK("https://ictv.global/taxonomy/taxondetails?taxnode_id=202317812","Samektorquevirus hominid16")</f>
        <v>Samektorquevirus hominid16</v>
      </c>
      <c r="S16094" t="s">
        <v>30</v>
      </c>
      <c r="T16094" t="s">
        <v>47863</v>
      </c>
      <c r="V16094" t="s">
        <v>47864</v>
      </c>
      <c r="W16094" t="s">
        <v>47865</v>
      </c>
      <c r="X16094" t="s">
        <v>35</v>
      </c>
      <c r="Y16094" t="s">
        <v>12446</v>
      </c>
      <c r="Z16094" t="s">
        <v>166</v>
      </c>
      <c r="AA16094" s="22" t="str">
        <f>HYPERLINK("https://www.ncbi.nlm.nih.gov/nuccore/MN776128","NCBI Nucleotide")</f>
        <v>NCBI Nucleotide</v>
      </c>
    </row>
    <row r="16095" spans="1:27" x14ac:dyDescent="0.35">
      <c r="A16095">
        <v>1027849</v>
      </c>
      <c r="B16095">
        <v>14393</v>
      </c>
      <c r="C16095">
        <v>1</v>
      </c>
      <c r="N16095" t="s">
        <v>37553</v>
      </c>
      <c r="P16095" t="s">
        <v>47859</v>
      </c>
      <c r="R16095" s="26" t="str">
        <f>HYPERLINK("https://ictv.global/taxonomy/taxondetails?taxnode_id=202317813","Samektorquevirus hominid17")</f>
        <v>Samektorquevirus hominid17</v>
      </c>
      <c r="S16095" t="s">
        <v>30</v>
      </c>
      <c r="T16095" t="s">
        <v>47866</v>
      </c>
      <c r="V16095" t="s">
        <v>47867</v>
      </c>
      <c r="W16095" t="s">
        <v>47868</v>
      </c>
      <c r="X16095" t="s">
        <v>42</v>
      </c>
      <c r="Y16095" t="s">
        <v>12446</v>
      </c>
      <c r="Z16095" t="s">
        <v>166</v>
      </c>
      <c r="AA16095" s="22" t="str">
        <f>HYPERLINK("https://www.ncbi.nlm.nih.gov/nuccore/MN774956","NCBI Nucleotide")</f>
        <v>NCBI Nucleotide</v>
      </c>
    </row>
    <row r="16096" spans="1:27" x14ac:dyDescent="0.35">
      <c r="A16096">
        <v>1027850</v>
      </c>
      <c r="B16096">
        <v>14394</v>
      </c>
      <c r="C16096">
        <v>1</v>
      </c>
      <c r="N16096" t="s">
        <v>37553</v>
      </c>
      <c r="P16096" t="s">
        <v>47859</v>
      </c>
      <c r="R16096" s="26" t="str">
        <f>HYPERLINK("https://ictv.global/taxonomy/taxondetails?taxnode_id=202317814","Samektorquevirus hominid18")</f>
        <v>Samektorquevirus hominid18</v>
      </c>
      <c r="S16096" t="s">
        <v>30</v>
      </c>
      <c r="T16096" t="s">
        <v>47869</v>
      </c>
      <c r="V16096" t="s">
        <v>47870</v>
      </c>
      <c r="W16096" t="s">
        <v>47871</v>
      </c>
      <c r="X16096" t="s">
        <v>42</v>
      </c>
      <c r="Y16096" t="s">
        <v>12446</v>
      </c>
      <c r="Z16096" t="s">
        <v>166</v>
      </c>
      <c r="AA16096" s="22" t="str">
        <f>HYPERLINK("https://www.ncbi.nlm.nih.gov/nuccore/MN774959","NCBI Nucleotide")</f>
        <v>NCBI Nucleotide</v>
      </c>
    </row>
    <row r="16097" spans="1:27" x14ac:dyDescent="0.35">
      <c r="A16097">
        <v>1005523</v>
      </c>
      <c r="B16097">
        <v>14395</v>
      </c>
      <c r="C16097">
        <v>1</v>
      </c>
      <c r="N16097" t="s">
        <v>37553</v>
      </c>
      <c r="P16097" t="s">
        <v>37971</v>
      </c>
      <c r="R16097" s="26" t="str">
        <f>HYPERLINK("https://ictv.global/taxonomy/taxondetails?taxnode_id=202302562","Sigmatorquevirus otari1")</f>
        <v>Sigmatorquevirus otari1</v>
      </c>
      <c r="S16097" t="s">
        <v>30</v>
      </c>
      <c r="T16097" t="s">
        <v>37972</v>
      </c>
      <c r="W16097" t="s">
        <v>37973</v>
      </c>
      <c r="X16097" t="s">
        <v>42</v>
      </c>
      <c r="Y16097" t="s">
        <v>12446</v>
      </c>
      <c r="Z16097" t="s">
        <v>166</v>
      </c>
      <c r="AA16097" s="22" t="str">
        <f>HYPERLINK("https://www.ncbi.nlm.nih.gov/nuccore/FJ459582","NCBI Nucleotide")</f>
        <v>NCBI Nucleotide</v>
      </c>
    </row>
    <row r="16098" spans="1:27" x14ac:dyDescent="0.35">
      <c r="A16098">
        <v>1005524</v>
      </c>
      <c r="B16098">
        <v>14396</v>
      </c>
      <c r="C16098">
        <v>1</v>
      </c>
      <c r="N16098" t="s">
        <v>37553</v>
      </c>
      <c r="P16098" t="s">
        <v>37971</v>
      </c>
      <c r="R16098" s="26" t="str">
        <f>HYPERLINK("https://ictv.global/taxonomy/taxondetails?taxnode_id=202309453","Sigmatorquevirus otari2")</f>
        <v>Sigmatorquevirus otari2</v>
      </c>
      <c r="S16098" t="s">
        <v>30</v>
      </c>
      <c r="T16098" t="s">
        <v>37974</v>
      </c>
      <c r="V16098" t="s">
        <v>37975</v>
      </c>
      <c r="W16098" t="s">
        <v>37976</v>
      </c>
      <c r="X16098" t="s">
        <v>42</v>
      </c>
      <c r="Y16098" t="s">
        <v>12446</v>
      </c>
      <c r="Z16098" t="s">
        <v>166</v>
      </c>
      <c r="AA16098" s="22" t="str">
        <f>HYPERLINK("https://www.ncbi.nlm.nih.gov/nuccore/MG837569","NCBI Nucleotide")</f>
        <v>NCBI Nucleotide</v>
      </c>
    </row>
    <row r="16099" spans="1:27" x14ac:dyDescent="0.35">
      <c r="A16099">
        <v>1005525</v>
      </c>
      <c r="B16099">
        <v>14397</v>
      </c>
      <c r="C16099">
        <v>1</v>
      </c>
      <c r="N16099" t="s">
        <v>37553</v>
      </c>
      <c r="P16099" t="s">
        <v>37971</v>
      </c>
      <c r="R16099" s="26" t="str">
        <f>HYPERLINK("https://ictv.global/taxonomy/taxondetails?taxnode_id=202309454","Sigmatorquevirus otari3")</f>
        <v>Sigmatorquevirus otari3</v>
      </c>
      <c r="S16099" t="s">
        <v>30</v>
      </c>
      <c r="T16099" t="s">
        <v>37977</v>
      </c>
      <c r="V16099" t="s">
        <v>37978</v>
      </c>
      <c r="W16099" t="s">
        <v>37979</v>
      </c>
      <c r="X16099" t="s">
        <v>42</v>
      </c>
      <c r="Y16099" t="s">
        <v>12446</v>
      </c>
      <c r="Z16099" t="s">
        <v>166</v>
      </c>
      <c r="AA16099" s="22" t="str">
        <f>HYPERLINK("https://www.ncbi.nlm.nih.gov/nuccore/MG837571","NCBI Nucleotide")</f>
        <v>NCBI Nucleotide</v>
      </c>
    </row>
    <row r="16100" spans="1:27" x14ac:dyDescent="0.35">
      <c r="A16100">
        <v>1005526</v>
      </c>
      <c r="B16100">
        <v>14398</v>
      </c>
      <c r="C16100">
        <v>1</v>
      </c>
      <c r="N16100" t="s">
        <v>37553</v>
      </c>
      <c r="P16100" t="s">
        <v>37980</v>
      </c>
      <c r="R16100" s="26" t="str">
        <f>HYPERLINK("https://ictv.global/taxonomy/taxondetails?taxnode_id=202309458","Tettorquevirus felid6")</f>
        <v>Tettorquevirus felid6</v>
      </c>
      <c r="S16100" t="s">
        <v>30</v>
      </c>
      <c r="T16100" t="s">
        <v>37981</v>
      </c>
      <c r="V16100" t="s">
        <v>37982</v>
      </c>
      <c r="W16100" t="s">
        <v>37983</v>
      </c>
      <c r="X16100" t="s">
        <v>42</v>
      </c>
      <c r="Y16100" t="s">
        <v>12446</v>
      </c>
      <c r="Z16100" t="s">
        <v>166</v>
      </c>
      <c r="AA16100" s="22" t="str">
        <f>HYPERLINK("https://www.ncbi.nlm.nih.gov/nuccore/KX262893","NCBI Nucleotide")</f>
        <v>NCBI Nucleotide</v>
      </c>
    </row>
    <row r="16101" spans="1:27" x14ac:dyDescent="0.35">
      <c r="A16101">
        <v>1005527</v>
      </c>
      <c r="B16101">
        <v>14399</v>
      </c>
      <c r="C16101">
        <v>1</v>
      </c>
      <c r="N16101" t="s">
        <v>37553</v>
      </c>
      <c r="P16101" t="s">
        <v>37984</v>
      </c>
      <c r="R16101" s="26" t="str">
        <f>HYPERLINK("https://ictv.global/taxonomy/taxondetails?taxnode_id=202302564","Thetatorquevirus canid1")</f>
        <v>Thetatorquevirus canid1</v>
      </c>
      <c r="S16101" t="s">
        <v>30</v>
      </c>
      <c r="T16101" t="s">
        <v>37985</v>
      </c>
      <c r="V16101" t="s">
        <v>37986</v>
      </c>
      <c r="W16101" t="s">
        <v>37987</v>
      </c>
      <c r="X16101" t="s">
        <v>42</v>
      </c>
      <c r="Y16101" t="s">
        <v>12446</v>
      </c>
      <c r="Z16101" t="s">
        <v>166</v>
      </c>
      <c r="AA16101" s="22" t="str">
        <f>HYPERLINK("https://www.ncbi.nlm.nih.gov/nuccore/AB076002","NCBI Nucleotide")</f>
        <v>NCBI Nucleotide</v>
      </c>
    </row>
    <row r="16102" spans="1:27" x14ac:dyDescent="0.35">
      <c r="A16102">
        <v>1005528</v>
      </c>
      <c r="B16102">
        <v>14400</v>
      </c>
      <c r="C16102">
        <v>1</v>
      </c>
      <c r="N16102" t="s">
        <v>37553</v>
      </c>
      <c r="P16102" t="s">
        <v>37984</v>
      </c>
      <c r="R16102" s="26" t="str">
        <f>HYPERLINK("https://ictv.global/taxonomy/taxondetails?taxnode_id=202309459","Thetatorquevirus ixodi1")</f>
        <v>Thetatorquevirus ixodi1</v>
      </c>
      <c r="S16102" t="s">
        <v>30</v>
      </c>
      <c r="T16102" t="s">
        <v>37988</v>
      </c>
      <c r="V16102" t="s">
        <v>37989</v>
      </c>
      <c r="W16102" t="s">
        <v>37990</v>
      </c>
      <c r="X16102" t="s">
        <v>42</v>
      </c>
      <c r="Y16102" t="s">
        <v>12446</v>
      </c>
      <c r="Z16102" t="s">
        <v>10790</v>
      </c>
      <c r="AA16102" s="22" t="str">
        <f>HYPERLINK("https://www.ncbi.nlm.nih.gov/nuccore/MF173068","NCBI Nucleotide")</f>
        <v>NCBI Nucleotide</v>
      </c>
    </row>
    <row r="16103" spans="1:27" x14ac:dyDescent="0.35">
      <c r="A16103">
        <v>1005529</v>
      </c>
      <c r="B16103">
        <v>14401</v>
      </c>
      <c r="C16103">
        <v>1</v>
      </c>
      <c r="N16103" t="s">
        <v>37553</v>
      </c>
      <c r="P16103" t="s">
        <v>37984</v>
      </c>
      <c r="R16103" s="26" t="str">
        <f>HYPERLINK("https://ictv.global/taxonomy/taxondetails?taxnode_id=202309460","Thetatorquevirus muste1")</f>
        <v>Thetatorquevirus muste1</v>
      </c>
      <c r="S16103" t="s">
        <v>30</v>
      </c>
      <c r="T16103" t="s">
        <v>37991</v>
      </c>
      <c r="V16103" t="s">
        <v>37992</v>
      </c>
      <c r="W16103" t="s">
        <v>37993</v>
      </c>
      <c r="X16103" t="s">
        <v>42</v>
      </c>
      <c r="Y16103" t="s">
        <v>12446</v>
      </c>
      <c r="Z16103" t="s">
        <v>166</v>
      </c>
      <c r="AA16103" s="22" t="str">
        <f>HYPERLINK("https://www.ncbi.nlm.nih.gov/nuccore/JN704611","NCBI Nucleotide")</f>
        <v>NCBI Nucleotide</v>
      </c>
    </row>
    <row r="16104" spans="1:27" x14ac:dyDescent="0.35">
      <c r="A16104">
        <v>1005530</v>
      </c>
      <c r="B16104">
        <v>14402</v>
      </c>
      <c r="C16104">
        <v>1</v>
      </c>
      <c r="N16104" t="s">
        <v>37553</v>
      </c>
      <c r="P16104" t="s">
        <v>37984</v>
      </c>
      <c r="R16104" s="26" t="str">
        <f>HYPERLINK("https://ictv.global/taxonomy/taxondetails?taxnode_id=202309461","Thetatorquevirus procy5")</f>
        <v>Thetatorquevirus procy5</v>
      </c>
      <c r="S16104" t="s">
        <v>30</v>
      </c>
      <c r="T16104" t="s">
        <v>37684</v>
      </c>
      <c r="V16104" t="s">
        <v>37994</v>
      </c>
      <c r="W16104" t="s">
        <v>37995</v>
      </c>
      <c r="X16104" t="s">
        <v>42</v>
      </c>
      <c r="Y16104" t="s">
        <v>12446</v>
      </c>
      <c r="Z16104" t="s">
        <v>166</v>
      </c>
      <c r="AA16104" s="22" t="str">
        <f>HYPERLINK("https://www.ncbi.nlm.nih.gov/nuccore/MK012446","NCBI Nucleotide")</f>
        <v>NCBI Nucleotide</v>
      </c>
    </row>
    <row r="16105" spans="1:27" x14ac:dyDescent="0.35">
      <c r="A16105">
        <v>1005531</v>
      </c>
      <c r="B16105">
        <v>14403</v>
      </c>
      <c r="C16105">
        <v>1</v>
      </c>
      <c r="N16105" t="s">
        <v>37553</v>
      </c>
      <c r="P16105" t="s">
        <v>37984</v>
      </c>
      <c r="R16105" s="26" t="str">
        <f>HYPERLINK("https://ictv.global/taxonomy/taxondetails?taxnode_id=202309462","Thetatorquevirus procy6")</f>
        <v>Thetatorquevirus procy6</v>
      </c>
      <c r="S16105" t="s">
        <v>30</v>
      </c>
      <c r="T16105" t="s">
        <v>37684</v>
      </c>
      <c r="V16105" t="s">
        <v>37996</v>
      </c>
      <c r="W16105" t="s">
        <v>37997</v>
      </c>
      <c r="X16105" t="s">
        <v>42</v>
      </c>
      <c r="Y16105" t="s">
        <v>12446</v>
      </c>
      <c r="Z16105" t="s">
        <v>166</v>
      </c>
      <c r="AA16105" s="22" t="str">
        <f>HYPERLINK("https://www.ncbi.nlm.nih.gov/nuccore/MK012439","NCBI Nucleotide")</f>
        <v>NCBI Nucleotide</v>
      </c>
    </row>
    <row r="16106" spans="1:27" x14ac:dyDescent="0.35">
      <c r="A16106">
        <v>1005532</v>
      </c>
      <c r="B16106">
        <v>14404</v>
      </c>
      <c r="C16106">
        <v>1</v>
      </c>
      <c r="N16106" t="s">
        <v>37553</v>
      </c>
      <c r="P16106" t="s">
        <v>37984</v>
      </c>
      <c r="R16106" s="26" t="str">
        <f>HYPERLINK("https://ictv.global/taxonomy/taxondetails?taxnode_id=202309463","Thetatorquevirus ursid1")</f>
        <v>Thetatorquevirus ursid1</v>
      </c>
      <c r="S16106" t="s">
        <v>30</v>
      </c>
      <c r="T16106" t="s">
        <v>37998</v>
      </c>
      <c r="V16106" t="s">
        <v>37999</v>
      </c>
      <c r="W16106" t="s">
        <v>38000</v>
      </c>
      <c r="X16106" t="s">
        <v>42</v>
      </c>
      <c r="Y16106" t="s">
        <v>12446</v>
      </c>
      <c r="Z16106" t="s">
        <v>166</v>
      </c>
      <c r="AA16106" s="22" t="str">
        <f>HYPERLINK("https://www.ncbi.nlm.nih.gov/nuccore/KX611132","NCBI Nucleotide")</f>
        <v>NCBI Nucleotide</v>
      </c>
    </row>
    <row r="16107" spans="1:27" x14ac:dyDescent="0.35">
      <c r="A16107">
        <v>1005533</v>
      </c>
      <c r="B16107">
        <v>14405</v>
      </c>
      <c r="C16107">
        <v>1</v>
      </c>
      <c r="N16107" t="s">
        <v>37553</v>
      </c>
      <c r="P16107" t="s">
        <v>37984</v>
      </c>
      <c r="R16107" s="26" t="str">
        <f>HYPERLINK("https://ictv.global/taxonomy/taxondetails?taxnode_id=202309464","Thetatorquevirus ursid2")</f>
        <v>Thetatorquevirus ursid2</v>
      </c>
      <c r="S16107" t="s">
        <v>30</v>
      </c>
      <c r="T16107" t="s">
        <v>37768</v>
      </c>
      <c r="V16107" t="s">
        <v>38001</v>
      </c>
      <c r="W16107" t="s">
        <v>38002</v>
      </c>
      <c r="X16107" t="s">
        <v>42</v>
      </c>
      <c r="Y16107" t="s">
        <v>12446</v>
      </c>
      <c r="Z16107" t="s">
        <v>166</v>
      </c>
      <c r="AA16107" s="22" t="str">
        <f>HYPERLINK("https://www.ncbi.nlm.nih.gov/nuccore/MF327551","NCBI Nucleotide")</f>
        <v>NCBI Nucleotide</v>
      </c>
    </row>
    <row r="16108" spans="1:27" x14ac:dyDescent="0.35">
      <c r="A16108">
        <v>1005534</v>
      </c>
      <c r="B16108">
        <v>14406</v>
      </c>
      <c r="C16108">
        <v>1</v>
      </c>
      <c r="N16108" t="s">
        <v>37553</v>
      </c>
      <c r="P16108" t="s">
        <v>37984</v>
      </c>
      <c r="R16108" s="26" t="str">
        <f>HYPERLINK("https://ictv.global/taxonomy/taxondetails?taxnode_id=202309465","Thetatorquevirus ursid3")</f>
        <v>Thetatorquevirus ursid3</v>
      </c>
      <c r="S16108" t="s">
        <v>30</v>
      </c>
      <c r="T16108" t="s">
        <v>37768</v>
      </c>
      <c r="V16108" t="s">
        <v>38003</v>
      </c>
      <c r="W16108" t="s">
        <v>38004</v>
      </c>
      <c r="X16108" t="s">
        <v>42</v>
      </c>
      <c r="Y16108" t="s">
        <v>12446</v>
      </c>
      <c r="Z16108" t="s">
        <v>166</v>
      </c>
      <c r="AA16108" s="22" t="str">
        <f>HYPERLINK("https://www.ncbi.nlm.nih.gov/nuccore/MF327552","NCBI Nucleotide")</f>
        <v>NCBI Nucleotide</v>
      </c>
    </row>
    <row r="16109" spans="1:27" x14ac:dyDescent="0.35">
      <c r="A16109">
        <v>1005535</v>
      </c>
      <c r="B16109">
        <v>14407</v>
      </c>
      <c r="C16109">
        <v>1</v>
      </c>
      <c r="N16109" t="s">
        <v>37553</v>
      </c>
      <c r="P16109" t="s">
        <v>37984</v>
      </c>
      <c r="R16109" s="26" t="str">
        <f>HYPERLINK("https://ictv.global/taxonomy/taxondetails?taxnode_id=202309466","Thetatorquevirus ursid4")</f>
        <v>Thetatorquevirus ursid4</v>
      </c>
      <c r="S16109" t="s">
        <v>30</v>
      </c>
      <c r="T16109" t="s">
        <v>37768</v>
      </c>
      <c r="V16109" t="s">
        <v>38005</v>
      </c>
      <c r="W16109" t="s">
        <v>38006</v>
      </c>
      <c r="X16109" t="s">
        <v>42</v>
      </c>
      <c r="Y16109" t="s">
        <v>12446</v>
      </c>
      <c r="Z16109" t="s">
        <v>166</v>
      </c>
      <c r="AA16109" s="22" t="str">
        <f>HYPERLINK("https://www.ncbi.nlm.nih.gov/nuccore/MF327554","NCBI Nucleotide")</f>
        <v>NCBI Nucleotide</v>
      </c>
    </row>
    <row r="16110" spans="1:27" x14ac:dyDescent="0.35">
      <c r="A16110">
        <v>1005536</v>
      </c>
      <c r="B16110">
        <v>14408</v>
      </c>
      <c r="C16110">
        <v>1</v>
      </c>
      <c r="N16110" t="s">
        <v>37553</v>
      </c>
      <c r="P16110" t="s">
        <v>37984</v>
      </c>
      <c r="R16110" s="26" t="str">
        <f>HYPERLINK("https://ictv.global/taxonomy/taxondetails?taxnode_id=202309467","Thetatorquevirus viver4")</f>
        <v>Thetatorquevirus viver4</v>
      </c>
      <c r="S16110" t="s">
        <v>30</v>
      </c>
      <c r="T16110" t="s">
        <v>37797</v>
      </c>
      <c r="V16110" t="s">
        <v>38007</v>
      </c>
      <c r="W16110" t="s">
        <v>38008</v>
      </c>
      <c r="X16110" t="s">
        <v>42</v>
      </c>
      <c r="Y16110" t="s">
        <v>12446</v>
      </c>
      <c r="Z16110" t="s">
        <v>166</v>
      </c>
      <c r="AA16110" s="22" t="str">
        <f>HYPERLINK("https://www.ncbi.nlm.nih.gov/nuccore/LC387543","NCBI Nucleotide")</f>
        <v>NCBI Nucleotide</v>
      </c>
    </row>
    <row r="16111" spans="1:27" x14ac:dyDescent="0.35">
      <c r="A16111">
        <v>1005537</v>
      </c>
      <c r="B16111">
        <v>14409</v>
      </c>
      <c r="C16111">
        <v>1</v>
      </c>
      <c r="N16111" t="s">
        <v>37553</v>
      </c>
      <c r="P16111" t="s">
        <v>38009</v>
      </c>
      <c r="R16111" s="26" t="str">
        <f>HYPERLINK("https://ictv.global/taxonomy/taxondetails?taxnode_id=202309469","Upsilontorquevirus procy1")</f>
        <v>Upsilontorquevirus procy1</v>
      </c>
      <c r="S16111" t="s">
        <v>30</v>
      </c>
      <c r="T16111" t="s">
        <v>37684</v>
      </c>
      <c r="V16111" t="s">
        <v>37965</v>
      </c>
      <c r="W16111" t="s">
        <v>38010</v>
      </c>
      <c r="X16111" t="s">
        <v>42</v>
      </c>
      <c r="Y16111" t="s">
        <v>12446</v>
      </c>
      <c r="Z16111" t="s">
        <v>166</v>
      </c>
      <c r="AA16111" s="22" t="str">
        <f>HYPERLINK("https://www.ncbi.nlm.nih.gov/nuccore/MK012447","NCBI Nucleotide")</f>
        <v>NCBI Nucleotide</v>
      </c>
    </row>
    <row r="16112" spans="1:27" x14ac:dyDescent="0.35">
      <c r="A16112">
        <v>1005538</v>
      </c>
      <c r="B16112">
        <v>14410</v>
      </c>
      <c r="C16112">
        <v>1</v>
      </c>
      <c r="N16112" t="s">
        <v>37553</v>
      </c>
      <c r="P16112" t="s">
        <v>38009</v>
      </c>
      <c r="R16112" s="26" t="str">
        <f>HYPERLINK("https://ictv.global/taxonomy/taxondetails?taxnode_id=202309470","Upsilontorquevirus procy2")</f>
        <v>Upsilontorquevirus procy2</v>
      </c>
      <c r="S16112" t="s">
        <v>30</v>
      </c>
      <c r="T16112" t="s">
        <v>37684</v>
      </c>
      <c r="V16112" t="s">
        <v>38011</v>
      </c>
      <c r="W16112" t="s">
        <v>38012</v>
      </c>
      <c r="X16112" t="s">
        <v>42</v>
      </c>
      <c r="Y16112" t="s">
        <v>12446</v>
      </c>
      <c r="Z16112" t="s">
        <v>166</v>
      </c>
      <c r="AA16112" s="22" t="str">
        <f>HYPERLINK("https://www.ncbi.nlm.nih.gov/nuccore/MK012527","NCBI Nucleotide")</f>
        <v>NCBI Nucleotide</v>
      </c>
    </row>
    <row r="16113" spans="1:27" x14ac:dyDescent="0.35">
      <c r="A16113">
        <v>1005539</v>
      </c>
      <c r="B16113">
        <v>14411</v>
      </c>
      <c r="C16113">
        <v>1</v>
      </c>
      <c r="N16113" t="s">
        <v>37553</v>
      </c>
      <c r="P16113" t="s">
        <v>38009</v>
      </c>
      <c r="R16113" s="26" t="str">
        <f>HYPERLINK("https://ictv.global/taxonomy/taxondetails?taxnode_id=202309471","Upsilontorquevirus procy3")</f>
        <v>Upsilontorquevirus procy3</v>
      </c>
      <c r="S16113" t="s">
        <v>30</v>
      </c>
      <c r="T16113" t="s">
        <v>37684</v>
      </c>
      <c r="V16113" t="s">
        <v>38013</v>
      </c>
      <c r="W16113" t="s">
        <v>38014</v>
      </c>
      <c r="X16113" t="s">
        <v>42</v>
      </c>
      <c r="Y16113" t="s">
        <v>12446</v>
      </c>
      <c r="Z16113" t="s">
        <v>166</v>
      </c>
      <c r="AA16113" s="22" t="str">
        <f>HYPERLINK("https://www.ncbi.nlm.nih.gov/nuccore/MK012497","NCBI Nucleotide")</f>
        <v>NCBI Nucleotide</v>
      </c>
    </row>
    <row r="16114" spans="1:27" x14ac:dyDescent="0.35">
      <c r="A16114">
        <v>1005540</v>
      </c>
      <c r="B16114">
        <v>14412</v>
      </c>
      <c r="C16114">
        <v>1</v>
      </c>
      <c r="N16114" t="s">
        <v>37553</v>
      </c>
      <c r="P16114" t="s">
        <v>38009</v>
      </c>
      <c r="R16114" s="26" t="str">
        <f>HYPERLINK("https://ictv.global/taxonomy/taxondetails?taxnode_id=202309472","Upsilontorquevirus procy7")</f>
        <v>Upsilontorquevirus procy7</v>
      </c>
      <c r="S16114" t="s">
        <v>30</v>
      </c>
      <c r="T16114" t="s">
        <v>37684</v>
      </c>
      <c r="V16114" t="s">
        <v>38015</v>
      </c>
      <c r="W16114" t="s">
        <v>38016</v>
      </c>
      <c r="X16114" t="s">
        <v>42</v>
      </c>
      <c r="Y16114" t="s">
        <v>12446</v>
      </c>
      <c r="Z16114" t="s">
        <v>166</v>
      </c>
      <c r="AA16114" s="22" t="str">
        <f>HYPERLINK("https://www.ncbi.nlm.nih.gov/nuccore/MK012464","NCBI Nucleotide")</f>
        <v>NCBI Nucleotide</v>
      </c>
    </row>
    <row r="16115" spans="1:27" x14ac:dyDescent="0.35">
      <c r="A16115">
        <v>1005541</v>
      </c>
      <c r="B16115">
        <v>14413</v>
      </c>
      <c r="C16115">
        <v>1</v>
      </c>
      <c r="N16115" t="s">
        <v>37553</v>
      </c>
      <c r="P16115" t="s">
        <v>38009</v>
      </c>
      <c r="R16115" s="26" t="str">
        <f>HYPERLINK("https://ictv.global/taxonomy/taxondetails?taxnode_id=202309473","Upsilontorquevirus procy8")</f>
        <v>Upsilontorquevirus procy8</v>
      </c>
      <c r="S16115" t="s">
        <v>30</v>
      </c>
      <c r="T16115" t="s">
        <v>37684</v>
      </c>
      <c r="V16115" t="s">
        <v>38017</v>
      </c>
      <c r="W16115" t="s">
        <v>38018</v>
      </c>
      <c r="X16115" t="s">
        <v>42</v>
      </c>
      <c r="Y16115" t="s">
        <v>12446</v>
      </c>
      <c r="Z16115" t="s">
        <v>166</v>
      </c>
      <c r="AA16115" s="22" t="str">
        <f>HYPERLINK("https://www.ncbi.nlm.nih.gov/nuccore/MK012467","NCBI Nucleotide")</f>
        <v>NCBI Nucleotide</v>
      </c>
    </row>
    <row r="16116" spans="1:27" x14ac:dyDescent="0.35">
      <c r="A16116">
        <v>1005542</v>
      </c>
      <c r="B16116">
        <v>14414</v>
      </c>
      <c r="C16116">
        <v>1</v>
      </c>
      <c r="N16116" t="s">
        <v>37553</v>
      </c>
      <c r="P16116" t="s">
        <v>38009</v>
      </c>
      <c r="R16116" s="26" t="str">
        <f>HYPERLINK("https://ictv.global/taxonomy/taxondetails?taxnode_id=202309474","Upsilontorquevirus procy9")</f>
        <v>Upsilontorquevirus procy9</v>
      </c>
      <c r="S16116" t="s">
        <v>30</v>
      </c>
      <c r="T16116" t="s">
        <v>37684</v>
      </c>
      <c r="V16116" t="s">
        <v>38019</v>
      </c>
      <c r="W16116" t="s">
        <v>38020</v>
      </c>
      <c r="X16116" t="s">
        <v>42</v>
      </c>
      <c r="Y16116" t="s">
        <v>12446</v>
      </c>
      <c r="Z16116" t="s">
        <v>166</v>
      </c>
      <c r="AA16116" s="22" t="str">
        <f>HYPERLINK("https://www.ncbi.nlm.nih.gov/nuccore/MK012471","NCBI Nucleotide")</f>
        <v>NCBI Nucleotide</v>
      </c>
    </row>
    <row r="16117" spans="1:27" x14ac:dyDescent="0.35">
      <c r="A16117">
        <v>1005543</v>
      </c>
      <c r="B16117">
        <v>14415</v>
      </c>
      <c r="C16117">
        <v>1</v>
      </c>
      <c r="N16117" t="s">
        <v>37553</v>
      </c>
      <c r="P16117" t="s">
        <v>38009</v>
      </c>
      <c r="R16117" s="26" t="str">
        <f>HYPERLINK("https://ictv.global/taxonomy/taxondetails?taxnode_id=202309475","Upsilontorquevirus viver2")</f>
        <v>Upsilontorquevirus viver2</v>
      </c>
      <c r="S16117" t="s">
        <v>30</v>
      </c>
      <c r="T16117" t="s">
        <v>37797</v>
      </c>
      <c r="V16117" t="s">
        <v>38021</v>
      </c>
      <c r="W16117" t="s">
        <v>38022</v>
      </c>
      <c r="X16117" t="s">
        <v>42</v>
      </c>
      <c r="Y16117" t="s">
        <v>12446</v>
      </c>
      <c r="Z16117" t="s">
        <v>166</v>
      </c>
      <c r="AA16117" s="22" t="str">
        <f>HYPERLINK("https://www.ncbi.nlm.nih.gov/nuccore/LC387546","NCBI Nucleotide")</f>
        <v>NCBI Nucleotide</v>
      </c>
    </row>
    <row r="16118" spans="1:27" x14ac:dyDescent="0.35">
      <c r="A16118">
        <v>1005544</v>
      </c>
      <c r="B16118">
        <v>14416</v>
      </c>
      <c r="C16118">
        <v>1</v>
      </c>
      <c r="N16118" t="s">
        <v>37553</v>
      </c>
      <c r="P16118" t="s">
        <v>38023</v>
      </c>
      <c r="R16118" s="26" t="str">
        <f>HYPERLINK("https://ictv.global/taxonomy/taxondetails?taxnode_id=202309482","Wawtorquevirus crice1")</f>
        <v>Wawtorquevirus crice1</v>
      </c>
      <c r="S16118" t="s">
        <v>30</v>
      </c>
      <c r="T16118" t="s">
        <v>38024</v>
      </c>
      <c r="V16118">
        <v>2252</v>
      </c>
      <c r="W16118" t="s">
        <v>38025</v>
      </c>
      <c r="X16118" t="s">
        <v>42</v>
      </c>
      <c r="Y16118" t="s">
        <v>12446</v>
      </c>
      <c r="Z16118" t="s">
        <v>166</v>
      </c>
      <c r="AA16118" s="22" t="str">
        <f>HYPERLINK("https://www.ncbi.nlm.nih.gov/nuccore/MF541389","NCBI Nucleotide")</f>
        <v>NCBI Nucleotide</v>
      </c>
    </row>
    <row r="16119" spans="1:27" x14ac:dyDescent="0.35">
      <c r="A16119">
        <v>1005545</v>
      </c>
      <c r="B16119">
        <v>14417</v>
      </c>
      <c r="C16119">
        <v>1</v>
      </c>
      <c r="N16119" t="s">
        <v>37553</v>
      </c>
      <c r="P16119" t="s">
        <v>38023</v>
      </c>
      <c r="R16119" s="26" t="str">
        <f>HYPERLINK("https://ictv.global/taxonomy/taxondetails?taxnode_id=202309478","Wawtorquevirus crice2")</f>
        <v>Wawtorquevirus crice2</v>
      </c>
      <c r="S16119" t="s">
        <v>30</v>
      </c>
      <c r="T16119" t="s">
        <v>38026</v>
      </c>
      <c r="V16119">
        <v>2</v>
      </c>
      <c r="W16119" t="s">
        <v>38027</v>
      </c>
      <c r="X16119" t="s">
        <v>42</v>
      </c>
      <c r="Y16119" t="s">
        <v>12446</v>
      </c>
      <c r="Z16119" t="s">
        <v>166</v>
      </c>
      <c r="AA16119" s="22" t="str">
        <f>HYPERLINK("https://www.ncbi.nlm.nih.gov/nuccore/MF541374","NCBI Nucleotide")</f>
        <v>NCBI Nucleotide</v>
      </c>
    </row>
    <row r="16120" spans="1:27" x14ac:dyDescent="0.35">
      <c r="A16120">
        <v>1005546</v>
      </c>
      <c r="B16120">
        <v>14418</v>
      </c>
      <c r="C16120">
        <v>1</v>
      </c>
      <c r="N16120" t="s">
        <v>37553</v>
      </c>
      <c r="P16120" t="s">
        <v>38023</v>
      </c>
      <c r="R16120" s="26" t="str">
        <f>HYPERLINK("https://ictv.global/taxonomy/taxondetails?taxnode_id=202309479","Wawtorquevirus crice3")</f>
        <v>Wawtorquevirus crice3</v>
      </c>
      <c r="S16120" t="s">
        <v>30</v>
      </c>
      <c r="T16120" t="s">
        <v>38028</v>
      </c>
      <c r="V16120">
        <v>15</v>
      </c>
      <c r="W16120" t="s">
        <v>38029</v>
      </c>
      <c r="X16120" t="s">
        <v>42</v>
      </c>
      <c r="Y16120" t="s">
        <v>12446</v>
      </c>
      <c r="Z16120" t="s">
        <v>166</v>
      </c>
      <c r="AA16120" s="22" t="str">
        <f>HYPERLINK("https://www.ncbi.nlm.nih.gov/nuccore/MF541388","NCBI Nucleotide")</f>
        <v>NCBI Nucleotide</v>
      </c>
    </row>
    <row r="16121" spans="1:27" x14ac:dyDescent="0.35">
      <c r="A16121">
        <v>1005547</v>
      </c>
      <c r="B16121">
        <v>14419</v>
      </c>
      <c r="C16121">
        <v>1</v>
      </c>
      <c r="N16121" t="s">
        <v>37553</v>
      </c>
      <c r="P16121" t="s">
        <v>38023</v>
      </c>
      <c r="R16121" s="26" t="str">
        <f>HYPERLINK("https://ictv.global/taxonomy/taxondetails?taxnode_id=202309477","Wawtorquevirus culic2")</f>
        <v>Wawtorquevirus culic2</v>
      </c>
      <c r="S16121" t="s">
        <v>30</v>
      </c>
      <c r="T16121" t="s">
        <v>38030</v>
      </c>
      <c r="V16121" t="s">
        <v>38031</v>
      </c>
      <c r="W16121" t="s">
        <v>38032</v>
      </c>
      <c r="X16121" t="s">
        <v>42</v>
      </c>
      <c r="Y16121" t="s">
        <v>12446</v>
      </c>
      <c r="Z16121" t="s">
        <v>10790</v>
      </c>
      <c r="AA16121" s="22" t="str">
        <f>HYPERLINK("https://www.ncbi.nlm.nih.gov/nuccore/HQ335084","NCBI Nucleotide")</f>
        <v>NCBI Nucleotide</v>
      </c>
    </row>
    <row r="16122" spans="1:27" x14ac:dyDescent="0.35">
      <c r="A16122">
        <v>1005548</v>
      </c>
      <c r="B16122">
        <v>14420</v>
      </c>
      <c r="C16122">
        <v>1</v>
      </c>
      <c r="N16122" t="s">
        <v>37553</v>
      </c>
      <c r="P16122" t="s">
        <v>38023</v>
      </c>
      <c r="R16122" s="26" t="str">
        <f>HYPERLINK("https://ictv.global/taxonomy/taxondetails?taxnode_id=202309480","Wawtorquevirus murid2")</f>
        <v>Wawtorquevirus murid2</v>
      </c>
      <c r="S16122" t="s">
        <v>30</v>
      </c>
      <c r="T16122" t="s">
        <v>38033</v>
      </c>
      <c r="V16122" t="s">
        <v>38034</v>
      </c>
      <c r="W16122" t="s">
        <v>38035</v>
      </c>
      <c r="X16122" t="s">
        <v>42</v>
      </c>
      <c r="Y16122" t="s">
        <v>12446</v>
      </c>
      <c r="Z16122" t="s">
        <v>166</v>
      </c>
      <c r="AA16122" s="22" t="str">
        <f>HYPERLINK("https://www.ncbi.nlm.nih.gov/nuccore/KJ194604","NCBI Nucleotide")</f>
        <v>NCBI Nucleotide</v>
      </c>
    </row>
    <row r="16123" spans="1:27" x14ac:dyDescent="0.35">
      <c r="A16123">
        <v>1005549</v>
      </c>
      <c r="B16123">
        <v>14421</v>
      </c>
      <c r="C16123">
        <v>1</v>
      </c>
      <c r="N16123" t="s">
        <v>37553</v>
      </c>
      <c r="P16123" t="s">
        <v>38023</v>
      </c>
      <c r="R16123" s="26" t="str">
        <f>HYPERLINK("https://ictv.global/taxonomy/taxondetails?taxnode_id=202309481","Wawtorquevirus murid3")</f>
        <v>Wawtorquevirus murid3</v>
      </c>
      <c r="S16123" t="s">
        <v>30</v>
      </c>
      <c r="T16123" t="s">
        <v>38033</v>
      </c>
      <c r="V16123" t="s">
        <v>38036</v>
      </c>
      <c r="W16123" t="s">
        <v>38037</v>
      </c>
      <c r="X16123" t="s">
        <v>42</v>
      </c>
      <c r="Y16123" t="s">
        <v>12446</v>
      </c>
      <c r="Z16123" t="s">
        <v>166</v>
      </c>
      <c r="AA16123" s="22" t="str">
        <f>HYPERLINK("https://www.ncbi.nlm.nih.gov/nuccore/KM609325","NCBI Nucleotide")</f>
        <v>NCBI Nucleotide</v>
      </c>
    </row>
    <row r="16124" spans="1:27" x14ac:dyDescent="0.35">
      <c r="A16124">
        <v>1005550</v>
      </c>
      <c r="B16124">
        <v>14422</v>
      </c>
      <c r="C16124">
        <v>1</v>
      </c>
      <c r="N16124" t="s">
        <v>37553</v>
      </c>
      <c r="P16124" t="s">
        <v>38038</v>
      </c>
      <c r="R16124" s="26" t="str">
        <f>HYPERLINK("https://ictv.global/taxonomy/taxondetails?taxnode_id=202309485","Xitorquevirus didel1")</f>
        <v>Xitorquevirus didel1</v>
      </c>
      <c r="S16124" t="s">
        <v>30</v>
      </c>
      <c r="T16124" t="s">
        <v>38039</v>
      </c>
      <c r="V16124">
        <v>3470</v>
      </c>
      <c r="W16124" t="s">
        <v>38040</v>
      </c>
      <c r="X16124" t="s">
        <v>42</v>
      </c>
      <c r="Y16124" t="s">
        <v>12446</v>
      </c>
      <c r="Z16124" t="s">
        <v>166</v>
      </c>
      <c r="AA16124" s="22" t="str">
        <f>HYPERLINK("https://www.ncbi.nlm.nih.gov/nuccore/MF541378","NCBI Nucleotide")</f>
        <v>NCBI Nucleotide</v>
      </c>
    </row>
    <row r="16125" spans="1:27" x14ac:dyDescent="0.35">
      <c r="A16125">
        <v>1005551</v>
      </c>
      <c r="B16125">
        <v>14423</v>
      </c>
      <c r="C16125">
        <v>1</v>
      </c>
      <c r="N16125" t="s">
        <v>37553</v>
      </c>
      <c r="P16125" t="s">
        <v>38038</v>
      </c>
      <c r="R16125" s="26" t="str">
        <f>HYPERLINK("https://ictv.global/taxonomy/taxondetails?taxnode_id=202309484","Xitorquevirus molos1")</f>
        <v>Xitorquevirus molos1</v>
      </c>
      <c r="S16125" t="s">
        <v>30</v>
      </c>
      <c r="T16125" t="s">
        <v>38041</v>
      </c>
      <c r="W16125" t="s">
        <v>38042</v>
      </c>
      <c r="X16125" t="s">
        <v>42</v>
      </c>
      <c r="Y16125" t="s">
        <v>12446</v>
      </c>
      <c r="Z16125" t="s">
        <v>166</v>
      </c>
      <c r="AA16125" s="22" t="str">
        <f>HYPERLINK("https://www.ncbi.nlm.nih.gov/nuccore/KM434181","NCBI Nucleotide")</f>
        <v>NCBI Nucleotide</v>
      </c>
    </row>
    <row r="16126" spans="1:27" x14ac:dyDescent="0.35">
      <c r="A16126">
        <v>1027862</v>
      </c>
      <c r="B16126">
        <v>14424</v>
      </c>
      <c r="C16126">
        <v>1</v>
      </c>
      <c r="N16126" t="s">
        <v>37553</v>
      </c>
      <c r="P16126" t="s">
        <v>47872</v>
      </c>
      <c r="R16126" s="26" t="str">
        <f>HYPERLINK("https://ictv.global/taxonomy/taxondetails?taxnode_id=202317805","Yodtorquevirus hominid9")</f>
        <v>Yodtorquevirus hominid9</v>
      </c>
      <c r="S16126" t="s">
        <v>30</v>
      </c>
      <c r="T16126" t="s">
        <v>47873</v>
      </c>
      <c r="V16126" t="s">
        <v>47874</v>
      </c>
      <c r="W16126" t="s">
        <v>47875</v>
      </c>
      <c r="X16126" t="s">
        <v>35</v>
      </c>
      <c r="Y16126" t="s">
        <v>12446</v>
      </c>
      <c r="Z16126" t="s">
        <v>166</v>
      </c>
      <c r="AA16126" s="22" t="str">
        <f>HYPERLINK("https://www.ncbi.nlm.nih.gov/nuccore/MN773812","NCBI Nucleotide")</f>
        <v>NCBI Nucleotide</v>
      </c>
    </row>
    <row r="16127" spans="1:27" x14ac:dyDescent="0.35">
      <c r="A16127">
        <v>1027861</v>
      </c>
      <c r="B16127">
        <v>14425</v>
      </c>
      <c r="C16127">
        <v>1</v>
      </c>
      <c r="N16127" t="s">
        <v>37553</v>
      </c>
      <c r="P16127" t="s">
        <v>47872</v>
      </c>
      <c r="R16127" s="26" t="str">
        <f>HYPERLINK("https://ictv.global/taxonomy/taxondetails?taxnode_id=202317806","Yodtorquevirus hominid10")</f>
        <v>Yodtorquevirus hominid10</v>
      </c>
      <c r="S16127" t="s">
        <v>30</v>
      </c>
      <c r="T16127" t="s">
        <v>47876</v>
      </c>
      <c r="V16127" t="s">
        <v>47877</v>
      </c>
      <c r="W16127" t="s">
        <v>47878</v>
      </c>
      <c r="X16127" t="s">
        <v>42</v>
      </c>
      <c r="Y16127" t="s">
        <v>12446</v>
      </c>
      <c r="Z16127" t="s">
        <v>166</v>
      </c>
      <c r="AA16127" s="22" t="str">
        <f>HYPERLINK("https://www.ncbi.nlm.nih.gov/nuccore/MN770091","NCBI Nucleotide")</f>
        <v>NCBI Nucleotide</v>
      </c>
    </row>
    <row r="16128" spans="1:27" x14ac:dyDescent="0.35">
      <c r="A16128">
        <v>1005552</v>
      </c>
      <c r="B16128">
        <v>14426</v>
      </c>
      <c r="C16128">
        <v>1</v>
      </c>
      <c r="N16128" t="s">
        <v>37553</v>
      </c>
      <c r="P16128" t="s">
        <v>38043</v>
      </c>
      <c r="R16128" s="26" t="str">
        <f>HYPERLINK("https://ictv.global/taxonomy/taxondetails?taxnode_id=202309487","Zayintorquevirus viver1")</f>
        <v>Zayintorquevirus viver1</v>
      </c>
      <c r="S16128" t="s">
        <v>30</v>
      </c>
      <c r="T16128" t="s">
        <v>37797</v>
      </c>
      <c r="V16128" t="s">
        <v>38044</v>
      </c>
      <c r="W16128" t="s">
        <v>38045</v>
      </c>
      <c r="X16128" t="s">
        <v>42</v>
      </c>
      <c r="Y16128" t="s">
        <v>12446</v>
      </c>
      <c r="Z16128" t="s">
        <v>166</v>
      </c>
      <c r="AA16128" s="22" t="str">
        <f>HYPERLINK("https://www.ncbi.nlm.nih.gov/nuccore/LC387540","NCBI Nucleotide")</f>
        <v>NCBI Nucleotide</v>
      </c>
    </row>
    <row r="16129" spans="1:27" x14ac:dyDescent="0.35">
      <c r="A16129">
        <v>1005553</v>
      </c>
      <c r="B16129">
        <v>14427</v>
      </c>
      <c r="C16129">
        <v>1</v>
      </c>
      <c r="N16129" t="s">
        <v>37553</v>
      </c>
      <c r="P16129" t="s">
        <v>38043</v>
      </c>
      <c r="R16129" s="26" t="str">
        <f>HYPERLINK("https://ictv.global/taxonomy/taxondetails?taxnode_id=202309488","Zayintorquevirus viver5")</f>
        <v>Zayintorquevirus viver5</v>
      </c>
      <c r="S16129" t="s">
        <v>30</v>
      </c>
      <c r="T16129" t="s">
        <v>37797</v>
      </c>
      <c r="V16129" t="s">
        <v>38046</v>
      </c>
      <c r="W16129" t="s">
        <v>38047</v>
      </c>
      <c r="X16129" t="s">
        <v>42</v>
      </c>
      <c r="Y16129" t="s">
        <v>12446</v>
      </c>
      <c r="Z16129" t="s">
        <v>166</v>
      </c>
      <c r="AA16129" s="22" t="str">
        <f>HYPERLINK("https://www.ncbi.nlm.nih.gov/nuccore/LC387536","NCBI Nucleotide")</f>
        <v>NCBI Nucleotide</v>
      </c>
    </row>
    <row r="16130" spans="1:27" x14ac:dyDescent="0.35">
      <c r="A16130">
        <v>1005554</v>
      </c>
      <c r="B16130">
        <v>14428</v>
      </c>
      <c r="C16130">
        <v>1</v>
      </c>
      <c r="N16130" t="s">
        <v>37553</v>
      </c>
      <c r="P16130" t="s">
        <v>38048</v>
      </c>
      <c r="R16130" s="26" t="str">
        <f>HYPERLINK("https://ictv.global/taxonomy/taxondetails?taxnode_id=202302566","Zetatorquevirus aotid1")</f>
        <v>Zetatorquevirus aotid1</v>
      </c>
      <c r="S16130" t="s">
        <v>30</v>
      </c>
      <c r="T16130" t="s">
        <v>38049</v>
      </c>
      <c r="U16130" t="s">
        <v>38050</v>
      </c>
      <c r="V16130" t="s">
        <v>38051</v>
      </c>
      <c r="W16130" t="s">
        <v>38052</v>
      </c>
      <c r="X16130" t="s">
        <v>42</v>
      </c>
      <c r="Y16130" t="s">
        <v>12446</v>
      </c>
      <c r="Z16130" t="s">
        <v>166</v>
      </c>
      <c r="AA16130" s="22" t="str">
        <f>HYPERLINK("https://www.ncbi.nlm.nih.gov/nuccore/AB041961","NCBI Nucleotide")</f>
        <v>NCBI Nucleotide</v>
      </c>
    </row>
    <row r="16131" spans="1:27" x14ac:dyDescent="0.35">
      <c r="A16131">
        <v>1005555</v>
      </c>
      <c r="B16131">
        <v>14429</v>
      </c>
      <c r="C16131">
        <v>1</v>
      </c>
      <c r="N16131" t="s">
        <v>38053</v>
      </c>
      <c r="P16131" t="s">
        <v>38054</v>
      </c>
      <c r="R16131" s="26" t="str">
        <f>HYPERLINK("https://ictv.global/taxonomy/taxondetails?taxnode_id=202302648","Avsunviroid albamaculaperseae")</f>
        <v>Avsunviroid albamaculaperseae</v>
      </c>
      <c r="S16131" t="s">
        <v>30</v>
      </c>
      <c r="T16131" t="s">
        <v>38055</v>
      </c>
      <c r="U16131" t="s">
        <v>38056</v>
      </c>
      <c r="W16131" t="s">
        <v>38057</v>
      </c>
      <c r="X16131" t="s">
        <v>42</v>
      </c>
      <c r="Y16131" t="s">
        <v>20674</v>
      </c>
      <c r="Z16131" t="s">
        <v>13441</v>
      </c>
      <c r="AA16131" s="22" t="str">
        <f>HYPERLINK("https://www.ncbi.nlm.nih.gov/nuccore/J02020","NCBI Nucleotide")</f>
        <v>NCBI Nucleotide</v>
      </c>
    </row>
    <row r="16132" spans="1:27" x14ac:dyDescent="0.35">
      <c r="A16132">
        <v>1005556</v>
      </c>
      <c r="B16132">
        <v>14430</v>
      </c>
      <c r="C16132">
        <v>1</v>
      </c>
      <c r="N16132" t="s">
        <v>38053</v>
      </c>
      <c r="P16132" t="s">
        <v>38058</v>
      </c>
      <c r="R16132" s="26" t="str">
        <f>HYPERLINK("https://ictv.global/taxonomy/taxondetails?taxnode_id=202302650","Elaviroid latensmelongenae")</f>
        <v>Elaviroid latensmelongenae</v>
      </c>
      <c r="S16132" t="s">
        <v>30</v>
      </c>
      <c r="T16132" t="s">
        <v>38059</v>
      </c>
      <c r="U16132" t="s">
        <v>38060</v>
      </c>
      <c r="V16132">
        <v>2</v>
      </c>
      <c r="W16132" t="s">
        <v>38061</v>
      </c>
      <c r="X16132" t="s">
        <v>42</v>
      </c>
      <c r="Y16132" t="s">
        <v>20674</v>
      </c>
      <c r="Z16132" t="s">
        <v>13441</v>
      </c>
      <c r="AA16132" s="22" t="str">
        <f>HYPERLINK("https://www.ncbi.nlm.nih.gov/nuccore/AJ536613","NCBI Nucleotide")</f>
        <v>NCBI Nucleotide</v>
      </c>
    </row>
    <row r="16133" spans="1:27" x14ac:dyDescent="0.35">
      <c r="A16133">
        <v>1005559</v>
      </c>
      <c r="B16133">
        <v>14431</v>
      </c>
      <c r="C16133">
        <v>1</v>
      </c>
      <c r="N16133" t="s">
        <v>38053</v>
      </c>
      <c r="P16133" t="s">
        <v>38062</v>
      </c>
      <c r="R16133" s="26" t="str">
        <f>HYPERLINK("https://ictv.global/taxonomy/taxondetails?taxnode_id=202302653","Pelamoviroid latenspruni")</f>
        <v>Pelamoviroid latenspruni</v>
      </c>
      <c r="S16133" t="s">
        <v>30</v>
      </c>
      <c r="T16133" t="s">
        <v>38070</v>
      </c>
      <c r="U16133" t="s">
        <v>38071</v>
      </c>
      <c r="W16133" t="s">
        <v>38072</v>
      </c>
      <c r="X16133" t="s">
        <v>42</v>
      </c>
      <c r="Y16133" t="s">
        <v>20674</v>
      </c>
      <c r="Z16133" t="s">
        <v>13441</v>
      </c>
      <c r="AA16133" s="22" t="str">
        <f>HYPERLINK("https://www.ncbi.nlm.nih.gov/nuccore/M83545","NCBI Nucleotide")</f>
        <v>NCBI Nucleotide</v>
      </c>
    </row>
    <row r="16134" spans="1:27" x14ac:dyDescent="0.35">
      <c r="A16134">
        <v>1005558</v>
      </c>
      <c r="B16134">
        <v>14432</v>
      </c>
      <c r="C16134">
        <v>1</v>
      </c>
      <c r="N16134" t="s">
        <v>38053</v>
      </c>
      <c r="P16134" t="s">
        <v>38062</v>
      </c>
      <c r="R16134" s="26" t="str">
        <f>HYPERLINK("https://ictv.global/taxonomy/taxondetails?taxnode_id=202302652","Pelamoviroid maculachrysanthemi")</f>
        <v>Pelamoviroid maculachrysanthemi</v>
      </c>
      <c r="S16134" t="s">
        <v>30</v>
      </c>
      <c r="T16134" t="s">
        <v>38066</v>
      </c>
      <c r="U16134" t="s">
        <v>38067</v>
      </c>
      <c r="V16134" t="s">
        <v>38068</v>
      </c>
      <c r="W16134" t="s">
        <v>38069</v>
      </c>
      <c r="X16134" t="s">
        <v>42</v>
      </c>
      <c r="Y16134" t="s">
        <v>20674</v>
      </c>
      <c r="Z16134" t="s">
        <v>13441</v>
      </c>
      <c r="AA16134" s="22" t="str">
        <f>HYPERLINK("https://www.ncbi.nlm.nih.gov/nuccore/Y14700","NCBI Nucleotide")</f>
        <v>NCBI Nucleotide</v>
      </c>
    </row>
    <row r="16135" spans="1:27" x14ac:dyDescent="0.35">
      <c r="A16135">
        <v>1005557</v>
      </c>
      <c r="B16135">
        <v>14433</v>
      </c>
      <c r="C16135">
        <v>1</v>
      </c>
      <c r="N16135" t="s">
        <v>38053</v>
      </c>
      <c r="P16135" t="s">
        <v>38062</v>
      </c>
      <c r="R16135" s="26" t="str">
        <f>HYPERLINK("https://ictv.global/taxonomy/taxondetails?taxnode_id=202307651","Pelamoviroid malleusmali")</f>
        <v>Pelamoviroid malleusmali</v>
      </c>
      <c r="S16135" t="s">
        <v>30</v>
      </c>
      <c r="T16135" t="s">
        <v>38063</v>
      </c>
      <c r="U16135" t="s">
        <v>38064</v>
      </c>
      <c r="W16135" t="s">
        <v>38065</v>
      </c>
      <c r="X16135" t="s">
        <v>42</v>
      </c>
      <c r="Y16135" t="s">
        <v>20674</v>
      </c>
      <c r="Z16135" t="s">
        <v>13441</v>
      </c>
      <c r="AA16135" s="22" t="str">
        <f>HYPERLINK("https://www.ncbi.nlm.nih.gov/nuccore/KR605506","NCBI Nucleotide")</f>
        <v>NCBI Nucleotide</v>
      </c>
    </row>
    <row r="16136" spans="1:27" x14ac:dyDescent="0.35">
      <c r="A16136">
        <v>1005560</v>
      </c>
      <c r="B16136">
        <v>14434</v>
      </c>
      <c r="C16136">
        <v>1</v>
      </c>
      <c r="N16136" t="s">
        <v>38073</v>
      </c>
      <c r="P16136" t="s">
        <v>38074</v>
      </c>
      <c r="R16136" s="26" t="str">
        <f>HYPERLINK("https://ictv.global/taxonomy/taxondetails?taxnode_id=202315076","Bartonegtaviriform andersoni")</f>
        <v>Bartonegtaviriform andersoni</v>
      </c>
      <c r="S16136" t="s">
        <v>30</v>
      </c>
      <c r="T16136" t="s">
        <v>38075</v>
      </c>
      <c r="U16136" t="s">
        <v>38076</v>
      </c>
      <c r="W16136" t="s">
        <v>50752</v>
      </c>
      <c r="X16136" t="s">
        <v>154</v>
      </c>
      <c r="Y16136" t="s">
        <v>36</v>
      </c>
      <c r="Z16136" t="s">
        <v>697</v>
      </c>
      <c r="AA16136" s="22" t="str">
        <f>HYPERLINK("https://www.ncbi.nlm.nih.gov/nuccore/BX897699","NCBI Nucleotide")</f>
        <v>NCBI Nucleotide</v>
      </c>
    </row>
    <row r="16137" spans="1:27" x14ac:dyDescent="0.35">
      <c r="A16137">
        <v>1005561</v>
      </c>
      <c r="B16137">
        <v>14435</v>
      </c>
      <c r="C16137">
        <v>1</v>
      </c>
      <c r="N16137" t="s">
        <v>38077</v>
      </c>
      <c r="P16137" t="s">
        <v>38078</v>
      </c>
      <c r="R16137" s="26" t="str">
        <f>HYPERLINK("https://ictv.global/taxonomy/taxondetails?taxnode_id=202302740","Bicaudavirus pozzuoliense")</f>
        <v>Bicaudavirus pozzuoliense</v>
      </c>
      <c r="S16137" t="s">
        <v>30</v>
      </c>
      <c r="T16137" t="s">
        <v>38079</v>
      </c>
      <c r="U16137" t="s">
        <v>35581</v>
      </c>
      <c r="W16137" t="s">
        <v>38080</v>
      </c>
      <c r="X16137" t="s">
        <v>42</v>
      </c>
      <c r="Y16137" t="s">
        <v>36</v>
      </c>
      <c r="Z16137" t="s">
        <v>37</v>
      </c>
      <c r="AA16137" s="22" t="str">
        <f>HYPERLINK("https://www.ncbi.nlm.nih.gov/nuccore/AJ888457","NCBI Nucleotide")</f>
        <v>NCBI Nucleotide</v>
      </c>
    </row>
    <row r="16138" spans="1:27" x14ac:dyDescent="0.35">
      <c r="A16138">
        <v>1005562</v>
      </c>
      <c r="B16138">
        <v>14436</v>
      </c>
      <c r="C16138">
        <v>1</v>
      </c>
      <c r="N16138" t="s">
        <v>38081</v>
      </c>
      <c r="P16138" t="s">
        <v>38082</v>
      </c>
      <c r="R16138" s="26" t="str">
        <f>HYPERLINK("https://ictv.global/taxonomy/taxondetails?taxnode_id=202315077","Brachyspigtaviriform stantoni")</f>
        <v>Brachyspigtaviriform stantoni</v>
      </c>
      <c r="S16138" t="s">
        <v>30</v>
      </c>
      <c r="T16138" t="s">
        <v>38083</v>
      </c>
      <c r="U16138" t="s">
        <v>38084</v>
      </c>
      <c r="W16138" t="s">
        <v>50753</v>
      </c>
      <c r="X16138" t="s">
        <v>154</v>
      </c>
      <c r="Y16138" t="s">
        <v>36</v>
      </c>
      <c r="Z16138" t="s">
        <v>697</v>
      </c>
      <c r="AA16138" s="22" t="str">
        <f>HYPERLINK("https://www.ncbi.nlm.nih.gov/nuccore/CP001357","NCBI Nucleotide")</f>
        <v>NCBI Nucleotide</v>
      </c>
    </row>
    <row r="16139" spans="1:27" x14ac:dyDescent="0.35">
      <c r="A16139">
        <v>1005563</v>
      </c>
      <c r="B16139">
        <v>14437</v>
      </c>
      <c r="C16139">
        <v>1</v>
      </c>
      <c r="N16139" t="s">
        <v>38085</v>
      </c>
      <c r="P16139" t="s">
        <v>38086</v>
      </c>
      <c r="R16139" s="26" t="str">
        <f>HYPERLINK("https://ictv.global/taxonomy/taxondetails?taxnode_id=202302977","Clavavirus yamagawaense")</f>
        <v>Clavavirus yamagawaense</v>
      </c>
      <c r="S16139" t="s">
        <v>30</v>
      </c>
      <c r="T16139" t="s">
        <v>38087</v>
      </c>
      <c r="U16139" t="s">
        <v>38088</v>
      </c>
      <c r="W16139" t="s">
        <v>38089</v>
      </c>
      <c r="X16139" t="s">
        <v>42</v>
      </c>
      <c r="Y16139" t="s">
        <v>36</v>
      </c>
      <c r="Z16139" t="s">
        <v>37</v>
      </c>
      <c r="AA16139" s="22" t="str">
        <f>HYPERLINK("https://www.ncbi.nlm.nih.gov/nuccore/AB537968","NCBI Nucleotide")</f>
        <v>NCBI Nucleotide</v>
      </c>
    </row>
    <row r="16140" spans="1:27" x14ac:dyDescent="0.35">
      <c r="A16140">
        <v>1005566</v>
      </c>
      <c r="B16140">
        <v>14438</v>
      </c>
      <c r="C16140">
        <v>1</v>
      </c>
      <c r="N16140" t="s">
        <v>38090</v>
      </c>
      <c r="P16140" t="s">
        <v>38091</v>
      </c>
      <c r="R16140" s="26" t="str">
        <f>HYPERLINK("https://ictv.global/taxonomy/taxondetails?taxnode_id=202303161","Alphafusellovirus arnavatnense")</f>
        <v>Alphafusellovirus arnavatnense</v>
      </c>
      <c r="S16140" t="s">
        <v>30</v>
      </c>
      <c r="T16140" t="s">
        <v>38098</v>
      </c>
      <c r="U16140" t="s">
        <v>38099</v>
      </c>
      <c r="W16140" t="s">
        <v>38100</v>
      </c>
      <c r="X16140" t="s">
        <v>42</v>
      </c>
      <c r="Y16140" t="s">
        <v>36</v>
      </c>
      <c r="Z16140" t="s">
        <v>37</v>
      </c>
      <c r="AA16140" s="22" t="str">
        <f>HYPERLINK("https://www.ncbi.nlm.nih.gov/nuccore/EU030938","NCBI Nucleotide")</f>
        <v>NCBI Nucleotide</v>
      </c>
    </row>
    <row r="16141" spans="1:27" x14ac:dyDescent="0.35">
      <c r="A16141">
        <v>1005564</v>
      </c>
      <c r="B16141">
        <v>14439</v>
      </c>
      <c r="C16141">
        <v>1</v>
      </c>
      <c r="N16141" t="s">
        <v>38090</v>
      </c>
      <c r="P16141" t="s">
        <v>38091</v>
      </c>
      <c r="R16141" s="26" t="str">
        <f>HYPERLINK("https://ictv.global/taxonomy/taxondetails?taxnode_id=202303159","Alphafusellovirus beppuense")</f>
        <v>Alphafusellovirus beppuense</v>
      </c>
      <c r="S16141" t="s">
        <v>30</v>
      </c>
      <c r="T16141" t="s">
        <v>38092</v>
      </c>
      <c r="U16141" t="s">
        <v>38093</v>
      </c>
      <c r="W16141" t="s">
        <v>38094</v>
      </c>
      <c r="X16141" t="s">
        <v>42</v>
      </c>
      <c r="Y16141" t="s">
        <v>36</v>
      </c>
      <c r="Z16141" t="s">
        <v>37</v>
      </c>
      <c r="AA16141" s="22" t="str">
        <f>HYPERLINK("https://www.ncbi.nlm.nih.gov/nuccore/X07234","NCBI Nucleotide")</f>
        <v>NCBI Nucleotide</v>
      </c>
    </row>
    <row r="16142" spans="1:27" x14ac:dyDescent="0.35">
      <c r="A16142">
        <v>1005568</v>
      </c>
      <c r="B16142">
        <v>14440</v>
      </c>
      <c r="C16142">
        <v>1</v>
      </c>
      <c r="N16142" t="s">
        <v>38090</v>
      </c>
      <c r="P16142" t="s">
        <v>38091</v>
      </c>
      <c r="R16142" s="26" t="str">
        <f>HYPERLINK("https://ictv.global/taxonomy/taxondetails?taxnode_id=202303163","Alphafusellovirus hengillense")</f>
        <v>Alphafusellovirus hengillense</v>
      </c>
      <c r="S16142" t="s">
        <v>30</v>
      </c>
      <c r="T16142" t="s">
        <v>38104</v>
      </c>
      <c r="U16142" t="s">
        <v>38105</v>
      </c>
      <c r="W16142" t="s">
        <v>38106</v>
      </c>
      <c r="X16142" t="s">
        <v>42</v>
      </c>
      <c r="Y16142" t="s">
        <v>36</v>
      </c>
      <c r="Z16142" t="s">
        <v>37</v>
      </c>
      <c r="AA16142" s="22" t="str">
        <f>HYPERLINK("https://www.ncbi.nlm.nih.gov/nuccore/FJ870916","NCBI Nucleotide")</f>
        <v>NCBI Nucleotide</v>
      </c>
    </row>
    <row r="16143" spans="1:27" x14ac:dyDescent="0.35">
      <c r="A16143">
        <v>1005567</v>
      </c>
      <c r="B16143">
        <v>14441</v>
      </c>
      <c r="C16143">
        <v>1</v>
      </c>
      <c r="N16143" t="s">
        <v>38090</v>
      </c>
      <c r="P16143" t="s">
        <v>38091</v>
      </c>
      <c r="R16143" s="26" t="str">
        <f>HYPERLINK("https://ictv.global/taxonomy/taxondetails?taxnode_id=202303162","Alphafusellovirus hveragerdiense")</f>
        <v>Alphafusellovirus hveragerdiense</v>
      </c>
      <c r="S16143" t="s">
        <v>30</v>
      </c>
      <c r="T16143" t="s">
        <v>38101</v>
      </c>
      <c r="U16143" t="s">
        <v>38102</v>
      </c>
      <c r="W16143" t="s">
        <v>38103</v>
      </c>
      <c r="X16143" t="s">
        <v>42</v>
      </c>
      <c r="Y16143" t="s">
        <v>36</v>
      </c>
      <c r="Z16143" t="s">
        <v>37</v>
      </c>
      <c r="AA16143" s="22" t="str">
        <f>HYPERLINK("https://www.ncbi.nlm.nih.gov/nuccore/EU030939","NCBI Nucleotide")</f>
        <v>NCBI Nucleotide</v>
      </c>
    </row>
    <row r="16144" spans="1:27" x14ac:dyDescent="0.35">
      <c r="A16144">
        <v>1005570</v>
      </c>
      <c r="B16144">
        <v>14442</v>
      </c>
      <c r="C16144">
        <v>1</v>
      </c>
      <c r="N16144" t="s">
        <v>38090</v>
      </c>
      <c r="P16144" t="s">
        <v>38091</v>
      </c>
      <c r="R16144" s="26" t="str">
        <f>HYPERLINK("https://ictv.global/taxonomy/taxondetails?taxnode_id=202303165","Alphafusellovirus kamchatkaense")</f>
        <v>Alphafusellovirus kamchatkaense</v>
      </c>
      <c r="S16144" t="s">
        <v>30</v>
      </c>
      <c r="T16144" t="s">
        <v>38110</v>
      </c>
      <c r="U16144" t="s">
        <v>38111</v>
      </c>
      <c r="W16144" t="s">
        <v>38112</v>
      </c>
      <c r="X16144" t="s">
        <v>42</v>
      </c>
      <c r="Y16144" t="s">
        <v>36</v>
      </c>
      <c r="Z16144" t="s">
        <v>37</v>
      </c>
      <c r="AA16144" s="22" t="str">
        <f>HYPERLINK("https://www.ncbi.nlm.nih.gov/nuccore/AY423772","NCBI Nucleotide")</f>
        <v>NCBI Nucleotide</v>
      </c>
    </row>
    <row r="16145" spans="1:27" x14ac:dyDescent="0.35">
      <c r="A16145">
        <v>1005565</v>
      </c>
      <c r="B16145">
        <v>14443</v>
      </c>
      <c r="C16145">
        <v>1</v>
      </c>
      <c r="N16145" t="s">
        <v>38090</v>
      </c>
      <c r="P16145" t="s">
        <v>38091</v>
      </c>
      <c r="R16145" s="26" t="str">
        <f>HYPERLINK("https://ictv.global/taxonomy/taxondetails?taxnode_id=202303160","Alphafusellovirus reykjanesense")</f>
        <v>Alphafusellovirus reykjanesense</v>
      </c>
      <c r="S16145" t="s">
        <v>30</v>
      </c>
      <c r="T16145" t="s">
        <v>38095</v>
      </c>
      <c r="U16145" t="s">
        <v>38096</v>
      </c>
      <c r="W16145" t="s">
        <v>38097</v>
      </c>
      <c r="X16145" t="s">
        <v>42</v>
      </c>
      <c r="Y16145" t="s">
        <v>36</v>
      </c>
      <c r="Z16145" t="s">
        <v>37</v>
      </c>
      <c r="AA16145" s="22" t="str">
        <f>HYPERLINK("https://www.ncbi.nlm.nih.gov/nuccore/AY370762","NCBI Nucleotide")</f>
        <v>NCBI Nucleotide</v>
      </c>
    </row>
    <row r="16146" spans="1:27" x14ac:dyDescent="0.35">
      <c r="A16146">
        <v>1005569</v>
      </c>
      <c r="B16146">
        <v>14444</v>
      </c>
      <c r="C16146">
        <v>1</v>
      </c>
      <c r="N16146" t="s">
        <v>38090</v>
      </c>
      <c r="P16146" t="s">
        <v>38091</v>
      </c>
      <c r="R16146" s="26" t="str">
        <f>HYPERLINK("https://ictv.global/taxonomy/taxondetails?taxnode_id=202303164","Alphafusellovirus yellowstonense")</f>
        <v>Alphafusellovirus yellowstonense</v>
      </c>
      <c r="S16146" t="s">
        <v>30</v>
      </c>
      <c r="T16146" t="s">
        <v>38107</v>
      </c>
      <c r="U16146" t="s">
        <v>38108</v>
      </c>
      <c r="W16146" t="s">
        <v>38109</v>
      </c>
      <c r="X16146" t="s">
        <v>42</v>
      </c>
      <c r="Y16146" t="s">
        <v>36</v>
      </c>
      <c r="Z16146" t="s">
        <v>37</v>
      </c>
      <c r="AA16146" s="22" t="str">
        <f>HYPERLINK("https://www.ncbi.nlm.nih.gov/nuccore/AY388628","NCBI Nucleotide")</f>
        <v>NCBI Nucleotide</v>
      </c>
    </row>
    <row r="16147" spans="1:27" x14ac:dyDescent="0.35">
      <c r="A16147">
        <v>1005572</v>
      </c>
      <c r="B16147">
        <v>14445</v>
      </c>
      <c r="C16147">
        <v>1</v>
      </c>
      <c r="N16147" t="s">
        <v>38090</v>
      </c>
      <c r="P16147" t="s">
        <v>38113</v>
      </c>
      <c r="R16147" s="26" t="str">
        <f>HYPERLINK("https://ictv.global/taxonomy/taxondetails?taxnode_id=202303168","Betafusellovirus hveragerdiense")</f>
        <v>Betafusellovirus hveragerdiense</v>
      </c>
      <c r="S16147" t="s">
        <v>30</v>
      </c>
      <c r="T16147" t="s">
        <v>38117</v>
      </c>
      <c r="U16147" t="s">
        <v>38118</v>
      </c>
      <c r="W16147" t="s">
        <v>38119</v>
      </c>
      <c r="X16147" t="s">
        <v>42</v>
      </c>
      <c r="Y16147" t="s">
        <v>36</v>
      </c>
      <c r="Z16147" t="s">
        <v>37</v>
      </c>
      <c r="AA16147" s="22" t="str">
        <f>HYPERLINK("https://www.ncbi.nlm.nih.gov/nuccore/FJ870915","NCBI Nucleotide")</f>
        <v>NCBI Nucleotide</v>
      </c>
    </row>
    <row r="16148" spans="1:27" x14ac:dyDescent="0.35">
      <c r="A16148">
        <v>1005571</v>
      </c>
      <c r="B16148">
        <v>14446</v>
      </c>
      <c r="C16148">
        <v>1</v>
      </c>
      <c r="N16148" t="s">
        <v>38090</v>
      </c>
      <c r="P16148" t="s">
        <v>38113</v>
      </c>
      <c r="R16148" s="26" t="str">
        <f>HYPERLINK("https://ictv.global/taxonomy/taxondetails?taxnode_id=202303167","Betafusellovirus yellowstonense")</f>
        <v>Betafusellovirus yellowstonense</v>
      </c>
      <c r="S16148" t="s">
        <v>30</v>
      </c>
      <c r="T16148" t="s">
        <v>38114</v>
      </c>
      <c r="U16148" t="s">
        <v>38115</v>
      </c>
      <c r="W16148" t="s">
        <v>38116</v>
      </c>
      <c r="X16148" t="s">
        <v>42</v>
      </c>
      <c r="Y16148" t="s">
        <v>36</v>
      </c>
      <c r="Z16148" t="s">
        <v>37</v>
      </c>
      <c r="AA16148" s="22" t="str">
        <f>HYPERLINK("https://www.ncbi.nlm.nih.gov/nuccore/FJ870917","NCBI Nucleotide")</f>
        <v>NCBI Nucleotide</v>
      </c>
    </row>
    <row r="16149" spans="1:27" x14ac:dyDescent="0.35">
      <c r="A16149">
        <v>1005576</v>
      </c>
      <c r="B16149">
        <v>14447</v>
      </c>
      <c r="C16149">
        <v>1</v>
      </c>
      <c r="N16149" t="s">
        <v>38120</v>
      </c>
      <c r="P16149" t="s">
        <v>38121</v>
      </c>
      <c r="R16149" s="26" t="str">
        <f>HYPERLINK("https://ictv.global/taxonomy/taxondetails?taxnode_id=202303638","Alphaglobulovirus cinderense")</f>
        <v>Alphaglobulovirus cinderense</v>
      </c>
      <c r="S16149" t="s">
        <v>30</v>
      </c>
      <c r="T16149" t="s">
        <v>38130</v>
      </c>
      <c r="U16149" t="s">
        <v>38131</v>
      </c>
      <c r="W16149" t="s">
        <v>38132</v>
      </c>
      <c r="X16149" t="s">
        <v>42</v>
      </c>
      <c r="Y16149" t="s">
        <v>36</v>
      </c>
      <c r="Z16149" t="s">
        <v>37</v>
      </c>
      <c r="AA16149" s="22" t="str">
        <f>HYPERLINK("https://www.ncbi.nlm.nih.gov/nuccore/AY722806","NCBI Nucleotide")</f>
        <v>NCBI Nucleotide</v>
      </c>
    </row>
    <row r="16150" spans="1:27" x14ac:dyDescent="0.35">
      <c r="A16150">
        <v>1005573</v>
      </c>
      <c r="B16150">
        <v>14448</v>
      </c>
      <c r="C16150">
        <v>1</v>
      </c>
      <c r="N16150" t="s">
        <v>38120</v>
      </c>
      <c r="P16150" t="s">
        <v>38121</v>
      </c>
      <c r="R16150" s="26" t="str">
        <f>HYPERLINK("https://ictv.global/taxonomy/taxondetails?taxnode_id=202303637","Alphaglobulovirus obsidianense")</f>
        <v>Alphaglobulovirus obsidianense</v>
      </c>
      <c r="S16150" t="s">
        <v>30</v>
      </c>
      <c r="T16150" t="s">
        <v>38122</v>
      </c>
      <c r="U16150" t="s">
        <v>18161</v>
      </c>
      <c r="W16150" t="s">
        <v>38123</v>
      </c>
      <c r="X16150" t="s">
        <v>42</v>
      </c>
      <c r="Y16150" t="s">
        <v>36</v>
      </c>
      <c r="Z16150" t="s">
        <v>37</v>
      </c>
      <c r="AA16150" s="22" t="str">
        <f>HYPERLINK("https://www.ncbi.nlm.nih.gov/nuccore/AJ635161","NCBI Nucleotide")</f>
        <v>NCBI Nucleotide</v>
      </c>
    </row>
    <row r="16151" spans="1:27" x14ac:dyDescent="0.35">
      <c r="A16151">
        <v>1005574</v>
      </c>
      <c r="B16151">
        <v>14449</v>
      </c>
      <c r="C16151">
        <v>1</v>
      </c>
      <c r="N16151" t="s">
        <v>38120</v>
      </c>
      <c r="P16151" t="s">
        <v>38121</v>
      </c>
      <c r="R16151" s="26" t="str">
        <f>HYPERLINK("https://ictv.global/taxonomy/taxondetails?taxnode_id=202310043","Alphaglobulovirus pozzuoliense")</f>
        <v>Alphaglobulovirus pozzuoliense</v>
      </c>
      <c r="S16151" t="s">
        <v>30</v>
      </c>
      <c r="T16151" t="s">
        <v>38124</v>
      </c>
      <c r="U16151" t="s">
        <v>38125</v>
      </c>
      <c r="W16151" t="s">
        <v>38126</v>
      </c>
      <c r="X16151" t="s">
        <v>42</v>
      </c>
      <c r="Y16151" t="s">
        <v>36</v>
      </c>
      <c r="Z16151" t="s">
        <v>37</v>
      </c>
      <c r="AA16151" s="22" t="str">
        <f>HYPERLINK("https://www.ncbi.nlm.nih.gov/nuccore/MN876845","NCBI Nucleotide")</f>
        <v>NCBI Nucleotide</v>
      </c>
    </row>
    <row r="16152" spans="1:27" x14ac:dyDescent="0.35">
      <c r="A16152">
        <v>1005575</v>
      </c>
      <c r="B16152">
        <v>14450</v>
      </c>
      <c r="C16152">
        <v>1</v>
      </c>
      <c r="N16152" t="s">
        <v>38120</v>
      </c>
      <c r="P16152" t="s">
        <v>38121</v>
      </c>
      <c r="R16152" s="26" t="str">
        <f>HYPERLINK("https://ictv.global/taxonomy/taxondetails?taxnode_id=202310044","Alphaglobulovirus sileriense")</f>
        <v>Alphaglobulovirus sileriense</v>
      </c>
      <c r="S16152" t="s">
        <v>30</v>
      </c>
      <c r="T16152" t="s">
        <v>38127</v>
      </c>
      <c r="U16152" t="s">
        <v>38128</v>
      </c>
      <c r="W16152" t="s">
        <v>38129</v>
      </c>
      <c r="X16152" t="s">
        <v>42</v>
      </c>
      <c r="Y16152" t="s">
        <v>36</v>
      </c>
      <c r="Z16152" t="s">
        <v>37</v>
      </c>
      <c r="AA16152" s="22" t="str">
        <f>HYPERLINK("https://www.ncbi.nlm.nih.gov/nuccore/MT047590","NCBI Nucleotide")</f>
        <v>NCBI Nucleotide</v>
      </c>
    </row>
    <row r="16153" spans="1:27" x14ac:dyDescent="0.35">
      <c r="A16153">
        <v>1005577</v>
      </c>
      <c r="B16153">
        <v>14451</v>
      </c>
      <c r="C16153">
        <v>1</v>
      </c>
      <c r="N16153" t="s">
        <v>38133</v>
      </c>
      <c r="P16153" t="s">
        <v>38134</v>
      </c>
      <c r="R16153" s="26" t="str">
        <f>HYPERLINK("https://ictv.global/taxonomy/taxondetails?taxnode_id=202303644","Betaguttavirus kodakarajimaense")</f>
        <v>Betaguttavirus kodakarajimaense</v>
      </c>
      <c r="S16153" t="s">
        <v>30</v>
      </c>
      <c r="T16153" t="s">
        <v>38135</v>
      </c>
      <c r="U16153" t="s">
        <v>38136</v>
      </c>
      <c r="W16153" t="s">
        <v>38137</v>
      </c>
      <c r="X16153" t="s">
        <v>42</v>
      </c>
      <c r="Y16153" t="s">
        <v>36</v>
      </c>
      <c r="Z16153" t="s">
        <v>37</v>
      </c>
      <c r="AA16153" s="22" t="str">
        <f>HYPERLINK("https://www.ncbi.nlm.nih.gov/nuccore/HE580237","NCBI Nucleotide")</f>
        <v>NCBI Nucleotide</v>
      </c>
    </row>
    <row r="16154" spans="1:27" x14ac:dyDescent="0.35">
      <c r="A16154">
        <v>1005578</v>
      </c>
      <c r="B16154">
        <v>14452</v>
      </c>
      <c r="C16154">
        <v>1</v>
      </c>
      <c r="N16154" t="s">
        <v>38138</v>
      </c>
      <c r="P16154" t="s">
        <v>38139</v>
      </c>
      <c r="R16154" s="26" t="str">
        <f>HYPERLINK("https://ictv.global/taxonomy/taxondetails?taxnode_id=202305366","Salterprovirus australiense")</f>
        <v>Salterprovirus australiense</v>
      </c>
      <c r="S16154" t="s">
        <v>30</v>
      </c>
      <c r="T16154" t="s">
        <v>38140</v>
      </c>
      <c r="V16154" t="s">
        <v>38140</v>
      </c>
      <c r="W16154" t="s">
        <v>38141</v>
      </c>
      <c r="X16154" t="s">
        <v>42</v>
      </c>
      <c r="Y16154" t="s">
        <v>36</v>
      </c>
      <c r="Z16154" t="s">
        <v>37</v>
      </c>
      <c r="AA16154" s="22" t="str">
        <f>HYPERLINK("https://www.ncbi.nlm.nih.gov/nuccore/AF191796","NCBI Nucleotide")</f>
        <v>NCBI Nucleotide</v>
      </c>
    </row>
    <row r="16155" spans="1:27" x14ac:dyDescent="0.35">
      <c r="A16155">
        <v>1005579</v>
      </c>
      <c r="B16155">
        <v>14453</v>
      </c>
      <c r="C16155">
        <v>1</v>
      </c>
      <c r="N16155" t="s">
        <v>38142</v>
      </c>
      <c r="P16155" t="s">
        <v>38143</v>
      </c>
      <c r="R16155" s="26" t="str">
        <f>HYPERLINK("https://ictv.global/taxonomy/taxondetails?taxnode_id=202314296","Demiitzamnavirus mexicoense")</f>
        <v>Demiitzamnavirus mexicoense</v>
      </c>
      <c r="S16155" t="s">
        <v>30</v>
      </c>
      <c r="T16155" t="s">
        <v>38144</v>
      </c>
      <c r="U16155" t="s">
        <v>38145</v>
      </c>
      <c r="W16155" t="s">
        <v>38146</v>
      </c>
      <c r="X16155" t="s">
        <v>42</v>
      </c>
      <c r="Y16155" t="s">
        <v>36</v>
      </c>
      <c r="Z16155" t="s">
        <v>37</v>
      </c>
      <c r="AA16155" s="22" t="str">
        <f>HYPERLINK("https://www.ncbi.nlm.nih.gov/nuccore/OP880254","NCBI Nucleotide")</f>
        <v>NCBI Nucleotide</v>
      </c>
    </row>
    <row r="16156" spans="1:27" x14ac:dyDescent="0.35">
      <c r="A16156">
        <v>1005580</v>
      </c>
      <c r="B16156">
        <v>14454</v>
      </c>
      <c r="C16156">
        <v>1</v>
      </c>
      <c r="N16156" t="s">
        <v>38142</v>
      </c>
      <c r="P16156" t="s">
        <v>38147</v>
      </c>
      <c r="R16156" s="26" t="str">
        <f>HYPERLINK("https://ictv.global/taxonomy/taxondetails?taxnode_id=202314295","Pletoitzamnavirus pescaderoense")</f>
        <v>Pletoitzamnavirus pescaderoense</v>
      </c>
      <c r="S16156" t="s">
        <v>30</v>
      </c>
      <c r="T16156" t="s">
        <v>38148</v>
      </c>
      <c r="U16156" t="s">
        <v>38149</v>
      </c>
      <c r="W16156" t="s">
        <v>38150</v>
      </c>
      <c r="X16156" t="s">
        <v>42</v>
      </c>
      <c r="Y16156" t="s">
        <v>36</v>
      </c>
      <c r="Z16156" t="s">
        <v>37</v>
      </c>
      <c r="AA16156" s="22" t="str">
        <f>HYPERLINK("https://www.ncbi.nlm.nih.gov/nuccore/OP413839","NCBI Nucleotide")</f>
        <v>NCBI Nucleotide</v>
      </c>
    </row>
    <row r="16157" spans="1:27" x14ac:dyDescent="0.35">
      <c r="A16157">
        <v>1005581</v>
      </c>
      <c r="B16157">
        <v>14455</v>
      </c>
      <c r="C16157">
        <v>1</v>
      </c>
      <c r="N16157" t="s">
        <v>38151</v>
      </c>
      <c r="P16157" t="s">
        <v>38152</v>
      </c>
      <c r="R16157" s="26" t="str">
        <f>HYPERLINK("https://ictv.global/taxonomy/taxondetails?taxnode_id=202306901","Alphaovalivirus fumarolicaense")</f>
        <v>Alphaovalivirus fumarolicaense</v>
      </c>
      <c r="S16157" t="s">
        <v>30</v>
      </c>
      <c r="T16157" t="s">
        <v>38153</v>
      </c>
      <c r="U16157" t="s">
        <v>38154</v>
      </c>
      <c r="V16157" t="s">
        <v>38155</v>
      </c>
      <c r="W16157" t="s">
        <v>38156</v>
      </c>
      <c r="X16157" t="s">
        <v>42</v>
      </c>
      <c r="Y16157" t="s">
        <v>36</v>
      </c>
      <c r="Z16157" t="s">
        <v>37</v>
      </c>
      <c r="AA16157" s="22" t="str">
        <f>HYPERLINK("https://www.ncbi.nlm.nih.gov/nuccore/MF144115","NCBI Nucleotide")</f>
        <v>NCBI Nucleotide</v>
      </c>
    </row>
    <row r="16158" spans="1:27" x14ac:dyDescent="0.35">
      <c r="A16158">
        <v>1005582</v>
      </c>
      <c r="B16158">
        <v>14456</v>
      </c>
      <c r="C16158">
        <v>1</v>
      </c>
      <c r="N16158" t="s">
        <v>38157</v>
      </c>
      <c r="P16158" t="s">
        <v>38158</v>
      </c>
      <c r="R16158" s="26" t="str">
        <f>HYPERLINK("https://ictv.global/taxonomy/taxondetails?taxnode_id=202304339","Plasmavirus L2")</f>
        <v>Plasmavirus L2</v>
      </c>
      <c r="S16158" t="s">
        <v>30</v>
      </c>
      <c r="T16158" t="s">
        <v>38159</v>
      </c>
      <c r="U16158" t="s">
        <v>38160</v>
      </c>
      <c r="W16158" t="s">
        <v>38161</v>
      </c>
      <c r="X16158" t="s">
        <v>42</v>
      </c>
      <c r="Y16158" t="s">
        <v>36</v>
      </c>
      <c r="Z16158" t="s">
        <v>697</v>
      </c>
      <c r="AA16158" s="22" t="str">
        <f>HYPERLINK("https://www.ncbi.nlm.nih.gov/nuccore/L13696","NCBI Nucleotide")</f>
        <v>NCBI Nucleotide</v>
      </c>
    </row>
    <row r="16159" spans="1:27" x14ac:dyDescent="0.35">
      <c r="A16159">
        <v>1005583</v>
      </c>
      <c r="B16159">
        <v>14457</v>
      </c>
      <c r="C16159">
        <v>1</v>
      </c>
      <c r="N16159" t="s">
        <v>38162</v>
      </c>
      <c r="P16159" t="s">
        <v>38163</v>
      </c>
      <c r="R16159" s="26" t="str">
        <f>HYPERLINK("https://ictv.global/taxonomy/taxondetails?taxnode_id=202304360","Bracoviriform altitudinis")</f>
        <v>Bracoviriform altitudinis</v>
      </c>
      <c r="S16159" t="s">
        <v>30</v>
      </c>
      <c r="T16159" t="s">
        <v>38164</v>
      </c>
      <c r="U16159" t="s">
        <v>38165</v>
      </c>
      <c r="X16159" t="s">
        <v>3311</v>
      </c>
      <c r="Y16159" t="s">
        <v>36</v>
      </c>
      <c r="Z16159" t="s">
        <v>10790</v>
      </c>
    </row>
    <row r="16160" spans="1:27" x14ac:dyDescent="0.35">
      <c r="A16160">
        <v>1005584</v>
      </c>
      <c r="B16160">
        <v>14458</v>
      </c>
      <c r="C16160">
        <v>1</v>
      </c>
      <c r="N16160" t="s">
        <v>38162</v>
      </c>
      <c r="P16160" t="s">
        <v>38163</v>
      </c>
      <c r="R16160" s="26" t="str">
        <f>HYPERLINK("https://ictv.global/taxonomy/taxondetails?taxnode_id=202304357","Bracoviriform argentifrontis")</f>
        <v>Bracoviriform argentifrontis</v>
      </c>
      <c r="S16160" t="s">
        <v>30</v>
      </c>
      <c r="T16160" t="s">
        <v>38166</v>
      </c>
      <c r="U16160" t="s">
        <v>38167</v>
      </c>
      <c r="X16160" t="s">
        <v>3311</v>
      </c>
      <c r="Y16160" t="s">
        <v>36</v>
      </c>
      <c r="Z16160" t="s">
        <v>10790</v>
      </c>
    </row>
    <row r="16161" spans="1:26" x14ac:dyDescent="0.35">
      <c r="A16161">
        <v>1005585</v>
      </c>
      <c r="B16161">
        <v>14459</v>
      </c>
      <c r="C16161">
        <v>1</v>
      </c>
      <c r="N16161" t="s">
        <v>38162</v>
      </c>
      <c r="P16161" t="s">
        <v>38163</v>
      </c>
      <c r="R16161" s="26" t="str">
        <f>HYPERLINK("https://ictv.global/taxonomy/taxondetails?taxnode_id=202304361","Bracoviriform blackburni")</f>
        <v>Bracoviriform blackburni</v>
      </c>
      <c r="S16161" t="s">
        <v>30</v>
      </c>
      <c r="T16161" t="s">
        <v>38168</v>
      </c>
      <c r="U16161" t="s">
        <v>38169</v>
      </c>
      <c r="X16161" t="s">
        <v>3311</v>
      </c>
      <c r="Y16161" t="s">
        <v>36</v>
      </c>
      <c r="Z16161" t="s">
        <v>10790</v>
      </c>
    </row>
    <row r="16162" spans="1:26" x14ac:dyDescent="0.35">
      <c r="A16162">
        <v>1005586</v>
      </c>
      <c r="B16162">
        <v>14460</v>
      </c>
      <c r="C16162">
        <v>1</v>
      </c>
      <c r="N16162" t="s">
        <v>38162</v>
      </c>
      <c r="P16162" t="s">
        <v>38163</v>
      </c>
      <c r="R16162" s="26" t="str">
        <f>HYPERLINK("https://ictv.global/taxonomy/taxondetails?taxnode_id=202304379","Bracoviriform canadense")</f>
        <v>Bracoviriform canadense</v>
      </c>
      <c r="S16162" t="s">
        <v>30</v>
      </c>
      <c r="T16162" t="s">
        <v>38170</v>
      </c>
      <c r="U16162" t="s">
        <v>38171</v>
      </c>
      <c r="X16162" t="s">
        <v>3311</v>
      </c>
      <c r="Y16162" t="s">
        <v>36</v>
      </c>
      <c r="Z16162" t="s">
        <v>10790</v>
      </c>
    </row>
    <row r="16163" spans="1:26" x14ac:dyDescent="0.35">
      <c r="A16163">
        <v>1005587</v>
      </c>
      <c r="B16163">
        <v>14461</v>
      </c>
      <c r="C16163">
        <v>1</v>
      </c>
      <c r="N16163" t="s">
        <v>38162</v>
      </c>
      <c r="P16163" t="s">
        <v>38163</v>
      </c>
      <c r="R16163" s="26" t="str">
        <f>HYPERLINK("https://ictv.global/taxonomy/taxondetails?taxnode_id=202304366","Bracoviriform congregatae")</f>
        <v>Bracoviriform congregatae</v>
      </c>
      <c r="S16163" t="s">
        <v>30</v>
      </c>
      <c r="T16163" t="s">
        <v>38172</v>
      </c>
      <c r="U16163" t="s">
        <v>38173</v>
      </c>
      <c r="X16163" t="s">
        <v>3311</v>
      </c>
      <c r="Y16163" t="s">
        <v>36</v>
      </c>
      <c r="Z16163" t="s">
        <v>10790</v>
      </c>
    </row>
    <row r="16164" spans="1:26" x14ac:dyDescent="0.35">
      <c r="A16164">
        <v>1005588</v>
      </c>
      <c r="B16164">
        <v>14462</v>
      </c>
      <c r="C16164">
        <v>1</v>
      </c>
      <c r="N16164" t="s">
        <v>38162</v>
      </c>
      <c r="P16164" t="s">
        <v>38163</v>
      </c>
      <c r="R16164" s="26" t="str">
        <f>HYPERLINK("https://ictv.global/taxonomy/taxondetails?taxnode_id=202304355","Bracoviriform crassicornis")</f>
        <v>Bracoviriform crassicornis</v>
      </c>
      <c r="S16164" t="s">
        <v>30</v>
      </c>
      <c r="T16164" t="s">
        <v>38174</v>
      </c>
      <c r="U16164" t="s">
        <v>28179</v>
      </c>
      <c r="X16164" t="s">
        <v>3311</v>
      </c>
      <c r="Y16164" t="s">
        <v>36</v>
      </c>
      <c r="Z16164" t="s">
        <v>10790</v>
      </c>
    </row>
    <row r="16165" spans="1:26" x14ac:dyDescent="0.35">
      <c r="A16165">
        <v>1005589</v>
      </c>
      <c r="B16165">
        <v>14463</v>
      </c>
      <c r="C16165">
        <v>1</v>
      </c>
      <c r="N16165" t="s">
        <v>38162</v>
      </c>
      <c r="P16165" t="s">
        <v>38163</v>
      </c>
      <c r="R16165" s="26" t="str">
        <f>HYPERLINK("https://ictv.global/taxonomy/taxondetails?taxnode_id=202304381","Bracoviriform croceipedis")</f>
        <v>Bracoviriform croceipedis</v>
      </c>
      <c r="S16165" t="s">
        <v>30</v>
      </c>
      <c r="T16165" t="s">
        <v>38175</v>
      </c>
      <c r="U16165" t="s">
        <v>38176</v>
      </c>
      <c r="X16165" t="s">
        <v>3311</v>
      </c>
      <c r="Y16165" t="s">
        <v>36</v>
      </c>
      <c r="Z16165" t="s">
        <v>10790</v>
      </c>
    </row>
    <row r="16166" spans="1:26" x14ac:dyDescent="0.35">
      <c r="A16166">
        <v>1005590</v>
      </c>
      <c r="B16166">
        <v>14464</v>
      </c>
      <c r="C16166">
        <v>1</v>
      </c>
      <c r="N16166" t="s">
        <v>38162</v>
      </c>
      <c r="P16166" t="s">
        <v>38163</v>
      </c>
      <c r="R16166" s="26" t="str">
        <f>HYPERLINK("https://ictv.global/taxonomy/taxondetails?taxnode_id=202304364","Bracoviriform curvimaculati")</f>
        <v>Bracoviriform curvimaculati</v>
      </c>
      <c r="S16166" t="s">
        <v>30</v>
      </c>
      <c r="T16166" t="s">
        <v>38177</v>
      </c>
      <c r="U16166" t="s">
        <v>38173</v>
      </c>
      <c r="X16166" t="s">
        <v>3311</v>
      </c>
      <c r="Y16166" t="s">
        <v>36</v>
      </c>
      <c r="Z16166" t="s">
        <v>10790</v>
      </c>
    </row>
    <row r="16167" spans="1:26" x14ac:dyDescent="0.35">
      <c r="A16167">
        <v>1005591</v>
      </c>
      <c r="B16167">
        <v>14465</v>
      </c>
      <c r="C16167">
        <v>1</v>
      </c>
      <c r="N16167" t="s">
        <v>38162</v>
      </c>
      <c r="P16167" t="s">
        <v>38163</v>
      </c>
      <c r="R16167" s="26" t="str">
        <f>HYPERLINK("https://ictv.global/taxonomy/taxondetails?taxnode_id=202304382","Bracoviriform demolitoris")</f>
        <v>Bracoviriform demolitoris</v>
      </c>
      <c r="S16167" t="s">
        <v>30</v>
      </c>
      <c r="T16167" t="s">
        <v>38178</v>
      </c>
      <c r="U16167" t="s">
        <v>38179</v>
      </c>
      <c r="X16167" t="s">
        <v>3311</v>
      </c>
      <c r="Y16167" t="s">
        <v>36</v>
      </c>
      <c r="Z16167" t="s">
        <v>10790</v>
      </c>
    </row>
    <row r="16168" spans="1:26" x14ac:dyDescent="0.35">
      <c r="A16168">
        <v>1005592</v>
      </c>
      <c r="B16168">
        <v>14466</v>
      </c>
      <c r="C16168">
        <v>1</v>
      </c>
      <c r="N16168" t="s">
        <v>38162</v>
      </c>
      <c r="P16168" t="s">
        <v>38163</v>
      </c>
      <c r="R16168" s="26" t="str">
        <f>HYPERLINK("https://ictv.global/taxonomy/taxondetails?taxnode_id=202304380","Bracoviriform ectdytolophae")</f>
        <v>Bracoviriform ectdytolophae</v>
      </c>
      <c r="S16168" t="s">
        <v>30</v>
      </c>
      <c r="T16168" t="s">
        <v>38180</v>
      </c>
      <c r="U16168" t="s">
        <v>38181</v>
      </c>
      <c r="X16168" t="s">
        <v>3311</v>
      </c>
      <c r="Y16168" t="s">
        <v>36</v>
      </c>
      <c r="Z16168" t="s">
        <v>10790</v>
      </c>
    </row>
    <row r="16169" spans="1:26" x14ac:dyDescent="0.35">
      <c r="A16169">
        <v>1005593</v>
      </c>
      <c r="B16169">
        <v>14467</v>
      </c>
      <c r="C16169">
        <v>1</v>
      </c>
      <c r="N16169" t="s">
        <v>38162</v>
      </c>
      <c r="P16169" t="s">
        <v>38163</v>
      </c>
      <c r="R16169" s="26" t="str">
        <f>HYPERLINK("https://ictv.global/taxonomy/taxondetails?taxnode_id=202304375","Bracoviriform facetosae")</f>
        <v>Bracoviriform facetosae</v>
      </c>
      <c r="S16169" t="s">
        <v>30</v>
      </c>
      <c r="T16169" t="s">
        <v>38182</v>
      </c>
      <c r="U16169" t="s">
        <v>38183</v>
      </c>
      <c r="X16169" t="s">
        <v>3311</v>
      </c>
      <c r="Y16169" t="s">
        <v>36</v>
      </c>
      <c r="Z16169" t="s">
        <v>10790</v>
      </c>
    </row>
    <row r="16170" spans="1:26" x14ac:dyDescent="0.35">
      <c r="A16170">
        <v>1005594</v>
      </c>
      <c r="B16170">
        <v>14468</v>
      </c>
      <c r="C16170">
        <v>1</v>
      </c>
      <c r="N16170" t="s">
        <v>38162</v>
      </c>
      <c r="P16170" t="s">
        <v>38163</v>
      </c>
      <c r="R16170" s="26" t="str">
        <f>HYPERLINK("https://ictv.global/taxonomy/taxondetails?taxnode_id=202304376","Bracoviriform flavicoxis")</f>
        <v>Bracoviriform flavicoxis</v>
      </c>
      <c r="S16170" t="s">
        <v>30</v>
      </c>
      <c r="T16170" t="s">
        <v>38184</v>
      </c>
      <c r="U16170" t="s">
        <v>38185</v>
      </c>
      <c r="X16170" t="s">
        <v>3311</v>
      </c>
      <c r="Y16170" t="s">
        <v>36</v>
      </c>
      <c r="Z16170" t="s">
        <v>10790</v>
      </c>
    </row>
    <row r="16171" spans="1:26" x14ac:dyDescent="0.35">
      <c r="A16171">
        <v>1005595</v>
      </c>
      <c r="B16171">
        <v>14469</v>
      </c>
      <c r="C16171">
        <v>1</v>
      </c>
      <c r="N16171" t="s">
        <v>38162</v>
      </c>
      <c r="P16171" t="s">
        <v>38163</v>
      </c>
      <c r="R16171" s="26" t="str">
        <f>HYPERLINK("https://ictv.global/taxonomy/taxondetails?taxnode_id=202304367","Bracoviriform flavipedis")</f>
        <v>Bracoviriform flavipedis</v>
      </c>
      <c r="S16171" t="s">
        <v>30</v>
      </c>
      <c r="T16171" t="s">
        <v>38186</v>
      </c>
      <c r="U16171" t="s">
        <v>38187</v>
      </c>
      <c r="X16171" t="s">
        <v>3311</v>
      </c>
      <c r="Y16171" t="s">
        <v>36</v>
      </c>
      <c r="Z16171" t="s">
        <v>10790</v>
      </c>
    </row>
    <row r="16172" spans="1:26" x14ac:dyDescent="0.35">
      <c r="A16172">
        <v>1005596</v>
      </c>
      <c r="B16172">
        <v>14470</v>
      </c>
      <c r="C16172">
        <v>1</v>
      </c>
      <c r="N16172" t="s">
        <v>38162</v>
      </c>
      <c r="P16172" t="s">
        <v>38163</v>
      </c>
      <c r="R16172" s="26" t="str">
        <f>HYPERLINK("https://ictv.global/taxonomy/taxondetails?taxnode_id=202304383","Bracoviriform flavitestaceae")</f>
        <v>Bracoviriform flavitestaceae</v>
      </c>
      <c r="S16172" t="s">
        <v>30</v>
      </c>
      <c r="T16172" t="s">
        <v>38188</v>
      </c>
      <c r="U16172" t="s">
        <v>38189</v>
      </c>
      <c r="X16172" t="s">
        <v>3311</v>
      </c>
      <c r="Y16172" t="s">
        <v>36</v>
      </c>
      <c r="Z16172" t="s">
        <v>10790</v>
      </c>
    </row>
    <row r="16173" spans="1:26" x14ac:dyDescent="0.35">
      <c r="A16173">
        <v>1005597</v>
      </c>
      <c r="B16173">
        <v>14471</v>
      </c>
      <c r="C16173">
        <v>1</v>
      </c>
      <c r="N16173" t="s">
        <v>38162</v>
      </c>
      <c r="P16173" t="s">
        <v>38163</v>
      </c>
      <c r="R16173" s="26" t="str">
        <f>HYPERLINK("https://ictv.global/taxonomy/taxondetails?taxnode_id=202304356","Bracoviriform fumiferanae")</f>
        <v>Bracoviriform fumiferanae</v>
      </c>
      <c r="S16173" t="s">
        <v>30</v>
      </c>
      <c r="T16173" t="s">
        <v>38190</v>
      </c>
      <c r="U16173" t="s">
        <v>38191</v>
      </c>
      <c r="X16173" t="s">
        <v>3311</v>
      </c>
      <c r="Y16173" t="s">
        <v>36</v>
      </c>
      <c r="Z16173" t="s">
        <v>10790</v>
      </c>
    </row>
    <row r="16174" spans="1:26" x14ac:dyDescent="0.35">
      <c r="A16174">
        <v>1005598</v>
      </c>
      <c r="B16174">
        <v>14472</v>
      </c>
      <c r="C16174">
        <v>1</v>
      </c>
      <c r="N16174" t="s">
        <v>38162</v>
      </c>
      <c r="P16174" t="s">
        <v>38163</v>
      </c>
      <c r="R16174" s="26" t="str">
        <f>HYPERLINK("https://ictv.global/taxonomy/taxondetails?taxnode_id=202304368","Bracoviriform glomeratae")</f>
        <v>Bracoviriform glomeratae</v>
      </c>
      <c r="S16174" t="s">
        <v>30</v>
      </c>
      <c r="T16174" t="s">
        <v>38192</v>
      </c>
      <c r="U16174" t="s">
        <v>38193</v>
      </c>
      <c r="V16174" t="s">
        <v>32730</v>
      </c>
      <c r="X16174" t="s">
        <v>3311</v>
      </c>
      <c r="Y16174" t="s">
        <v>36</v>
      </c>
      <c r="Z16174" t="s">
        <v>10790</v>
      </c>
    </row>
    <row r="16175" spans="1:26" x14ac:dyDescent="0.35">
      <c r="A16175">
        <v>1005599</v>
      </c>
      <c r="B16175">
        <v>14473</v>
      </c>
      <c r="C16175">
        <v>1</v>
      </c>
      <c r="N16175" t="s">
        <v>38162</v>
      </c>
      <c r="P16175" t="s">
        <v>38163</v>
      </c>
      <c r="R16175" s="26" t="str">
        <f>HYPERLINK("https://ictv.global/taxonomy/taxondetails?taxnode_id=202304369","Bracoviriform hyphantriae")</f>
        <v>Bracoviriform hyphantriae</v>
      </c>
      <c r="S16175" t="s">
        <v>30</v>
      </c>
      <c r="T16175" t="s">
        <v>38194</v>
      </c>
      <c r="U16175" t="s">
        <v>38195</v>
      </c>
      <c r="X16175" t="s">
        <v>3311</v>
      </c>
      <c r="Y16175" t="s">
        <v>36</v>
      </c>
      <c r="Z16175" t="s">
        <v>10790</v>
      </c>
    </row>
    <row r="16176" spans="1:26" x14ac:dyDescent="0.35">
      <c r="A16176">
        <v>1005600</v>
      </c>
      <c r="B16176">
        <v>14474</v>
      </c>
      <c r="C16176">
        <v>1</v>
      </c>
      <c r="N16176" t="s">
        <v>38162</v>
      </c>
      <c r="P16176" t="s">
        <v>38163</v>
      </c>
      <c r="R16176" s="26" t="str">
        <f>HYPERLINK("https://ictv.global/taxonomy/taxondetails?taxnode_id=202304362","Bracoviriform inaniti")</f>
        <v>Bracoviriform inaniti</v>
      </c>
      <c r="S16176" t="s">
        <v>30</v>
      </c>
      <c r="T16176" t="s">
        <v>38196</v>
      </c>
      <c r="U16176" t="s">
        <v>38197</v>
      </c>
      <c r="X16176" t="s">
        <v>3311</v>
      </c>
      <c r="Y16176" t="s">
        <v>36</v>
      </c>
      <c r="Z16176" t="s">
        <v>10790</v>
      </c>
    </row>
    <row r="16177" spans="1:26" x14ac:dyDescent="0.35">
      <c r="A16177">
        <v>1005601</v>
      </c>
      <c r="B16177">
        <v>14475</v>
      </c>
      <c r="C16177">
        <v>1</v>
      </c>
      <c r="N16177" t="s">
        <v>38162</v>
      </c>
      <c r="P16177" t="s">
        <v>38163</v>
      </c>
      <c r="R16177" s="26" t="str">
        <f>HYPERLINK("https://ictv.global/taxonomy/taxondetails?taxnode_id=202304377","Bracoviriform indiense")</f>
        <v>Bracoviriform indiense</v>
      </c>
      <c r="S16177" t="s">
        <v>30</v>
      </c>
      <c r="T16177" t="s">
        <v>38198</v>
      </c>
      <c r="U16177" t="s">
        <v>38199</v>
      </c>
      <c r="X16177" t="s">
        <v>3311</v>
      </c>
      <c r="Y16177" t="s">
        <v>36</v>
      </c>
      <c r="Z16177" t="s">
        <v>10790</v>
      </c>
    </row>
    <row r="16178" spans="1:26" x14ac:dyDescent="0.35">
      <c r="A16178">
        <v>1005602</v>
      </c>
      <c r="B16178">
        <v>14476</v>
      </c>
      <c r="C16178">
        <v>1</v>
      </c>
      <c r="N16178" t="s">
        <v>38162</v>
      </c>
      <c r="P16178" t="s">
        <v>38163</v>
      </c>
      <c r="R16178" s="26" t="str">
        <f>HYPERLINK("https://ictv.global/taxonomy/taxondetails?taxnode_id=202304363","Bracoviriform insularis")</f>
        <v>Bracoviriform insularis</v>
      </c>
      <c r="S16178" t="s">
        <v>30</v>
      </c>
      <c r="T16178" t="s">
        <v>38200</v>
      </c>
      <c r="U16178" t="s">
        <v>38201</v>
      </c>
      <c r="X16178" t="s">
        <v>3311</v>
      </c>
      <c r="Y16178" t="s">
        <v>36</v>
      </c>
      <c r="Z16178" t="s">
        <v>10790</v>
      </c>
    </row>
    <row r="16179" spans="1:26" x14ac:dyDescent="0.35">
      <c r="A16179">
        <v>1005603</v>
      </c>
      <c r="B16179">
        <v>14477</v>
      </c>
      <c r="C16179">
        <v>1</v>
      </c>
      <c r="N16179" t="s">
        <v>38162</v>
      </c>
      <c r="P16179" t="s">
        <v>38163</v>
      </c>
      <c r="R16179" s="26" t="str">
        <f>HYPERLINK("https://ictv.global/taxonomy/taxondetails?taxnode_id=202304370","Bracoviriform kariyai")</f>
        <v>Bracoviriform kariyai</v>
      </c>
      <c r="S16179" t="s">
        <v>30</v>
      </c>
      <c r="T16179" t="s">
        <v>38202</v>
      </c>
      <c r="U16179" t="s">
        <v>38203</v>
      </c>
      <c r="X16179" t="s">
        <v>3311</v>
      </c>
      <c r="Y16179" t="s">
        <v>36</v>
      </c>
      <c r="Z16179" t="s">
        <v>10790</v>
      </c>
    </row>
    <row r="16180" spans="1:26" x14ac:dyDescent="0.35">
      <c r="A16180">
        <v>1005604</v>
      </c>
      <c r="B16180">
        <v>14478</v>
      </c>
      <c r="C16180">
        <v>1</v>
      </c>
      <c r="N16180" t="s">
        <v>38162</v>
      </c>
      <c r="P16180" t="s">
        <v>38163</v>
      </c>
      <c r="R16180" s="26" t="str">
        <f>HYPERLINK("https://ictv.global/taxonomy/taxondetails?taxnode_id=202304378","Bracoviriform liparidis")</f>
        <v>Bracoviriform liparidis</v>
      </c>
      <c r="S16180" t="s">
        <v>30</v>
      </c>
      <c r="T16180" t="s">
        <v>38204</v>
      </c>
      <c r="U16180" t="s">
        <v>38205</v>
      </c>
      <c r="X16180" t="s">
        <v>3311</v>
      </c>
      <c r="Y16180" t="s">
        <v>36</v>
      </c>
      <c r="Z16180" t="s">
        <v>10790</v>
      </c>
    </row>
    <row r="16181" spans="1:26" x14ac:dyDescent="0.35">
      <c r="A16181">
        <v>1005605</v>
      </c>
      <c r="B16181">
        <v>14479</v>
      </c>
      <c r="C16181">
        <v>1</v>
      </c>
      <c r="N16181" t="s">
        <v>38162</v>
      </c>
      <c r="P16181" t="s">
        <v>38163</v>
      </c>
      <c r="R16181" s="26" t="str">
        <f>HYPERLINK("https://ictv.global/taxonomy/taxondetails?taxnode_id=202304371","Bracoviriform marginiventris")</f>
        <v>Bracoviriform marginiventris</v>
      </c>
      <c r="S16181" t="s">
        <v>30</v>
      </c>
      <c r="T16181" t="s">
        <v>38206</v>
      </c>
      <c r="U16181" t="s">
        <v>38207</v>
      </c>
      <c r="X16181" t="s">
        <v>3311</v>
      </c>
      <c r="Y16181" t="s">
        <v>36</v>
      </c>
      <c r="Z16181" t="s">
        <v>10790</v>
      </c>
    </row>
    <row r="16182" spans="1:26" x14ac:dyDescent="0.35">
      <c r="A16182">
        <v>1005606</v>
      </c>
      <c r="B16182">
        <v>14480</v>
      </c>
      <c r="C16182">
        <v>1</v>
      </c>
      <c r="N16182" t="s">
        <v>38162</v>
      </c>
      <c r="P16182" t="s">
        <v>38163</v>
      </c>
      <c r="R16182" s="26" t="str">
        <f>HYPERLINK("https://ictv.global/taxonomy/taxondetails?taxnode_id=202304372","Bracoviriform melanoscelae")</f>
        <v>Bracoviriform melanoscelae</v>
      </c>
      <c r="S16182" t="s">
        <v>30</v>
      </c>
      <c r="T16182" t="s">
        <v>38208</v>
      </c>
      <c r="U16182" t="s">
        <v>38209</v>
      </c>
      <c r="X16182" t="s">
        <v>3311</v>
      </c>
      <c r="Y16182" t="s">
        <v>36</v>
      </c>
      <c r="Z16182" t="s">
        <v>10790</v>
      </c>
    </row>
    <row r="16183" spans="1:26" x14ac:dyDescent="0.35">
      <c r="A16183">
        <v>1005607</v>
      </c>
      <c r="B16183">
        <v>14481</v>
      </c>
      <c r="C16183">
        <v>1</v>
      </c>
      <c r="N16183" t="s">
        <v>38162</v>
      </c>
      <c r="P16183" t="s">
        <v>38163</v>
      </c>
      <c r="R16183" s="26" t="str">
        <f>HYPERLINK("https://ictv.global/taxonomy/taxondetails?taxnode_id=202304359","Bracoviriform nigricipitis")</f>
        <v>Bracoviriform nigricipitis</v>
      </c>
      <c r="S16183" t="s">
        <v>30</v>
      </c>
      <c r="T16183" t="s">
        <v>38210</v>
      </c>
      <c r="U16183" t="s">
        <v>38211</v>
      </c>
      <c r="X16183" t="s">
        <v>3311</v>
      </c>
      <c r="Y16183" t="s">
        <v>36</v>
      </c>
      <c r="Z16183" t="s">
        <v>10790</v>
      </c>
    </row>
    <row r="16184" spans="1:26" x14ac:dyDescent="0.35">
      <c r="A16184">
        <v>1005608</v>
      </c>
      <c r="B16184">
        <v>14482</v>
      </c>
      <c r="C16184">
        <v>1</v>
      </c>
      <c r="N16184" t="s">
        <v>38162</v>
      </c>
      <c r="P16184" t="s">
        <v>38163</v>
      </c>
      <c r="R16184" s="26" t="str">
        <f>HYPERLINK("https://ictv.global/taxonomy/taxondetails?taxnode_id=202304384","Bracoviriform ornigis")</f>
        <v>Bracoviriform ornigis</v>
      </c>
      <c r="S16184" t="s">
        <v>30</v>
      </c>
      <c r="T16184" t="s">
        <v>38212</v>
      </c>
      <c r="U16184" t="s">
        <v>38213</v>
      </c>
      <c r="X16184" t="s">
        <v>3311</v>
      </c>
      <c r="Y16184" t="s">
        <v>36</v>
      </c>
      <c r="Z16184" t="s">
        <v>10790</v>
      </c>
    </row>
    <row r="16185" spans="1:26" x14ac:dyDescent="0.35">
      <c r="A16185">
        <v>1005609</v>
      </c>
      <c r="B16185">
        <v>14483</v>
      </c>
      <c r="C16185">
        <v>1</v>
      </c>
      <c r="N16185" t="s">
        <v>38162</v>
      </c>
      <c r="P16185" t="s">
        <v>38163</v>
      </c>
      <c r="R16185" s="26" t="str">
        <f>HYPERLINK("https://ictv.global/taxonomy/taxondetails?taxnode_id=202304385","Bracoviriform paleacritae")</f>
        <v>Bracoviriform paleacritae</v>
      </c>
      <c r="S16185" t="s">
        <v>30</v>
      </c>
      <c r="T16185" t="s">
        <v>38214</v>
      </c>
      <c r="U16185" t="s">
        <v>38215</v>
      </c>
      <c r="X16185" t="s">
        <v>3311</v>
      </c>
      <c r="Y16185" t="s">
        <v>36</v>
      </c>
      <c r="Z16185" t="s">
        <v>10790</v>
      </c>
    </row>
    <row r="16186" spans="1:26" x14ac:dyDescent="0.35">
      <c r="A16186">
        <v>1005610</v>
      </c>
      <c r="B16186">
        <v>14484</v>
      </c>
      <c r="C16186">
        <v>1</v>
      </c>
      <c r="N16186" t="s">
        <v>38162</v>
      </c>
      <c r="P16186" t="s">
        <v>38163</v>
      </c>
      <c r="R16186" s="26" t="str">
        <f>HYPERLINK("https://ictv.global/taxonomy/taxondetails?taxnode_id=202304358","Bracoviriform quadridentatae")</f>
        <v>Bracoviriform quadridentatae</v>
      </c>
      <c r="S16186" t="s">
        <v>30</v>
      </c>
      <c r="T16186" t="s">
        <v>38216</v>
      </c>
      <c r="U16186" t="s">
        <v>38217</v>
      </c>
      <c r="X16186" t="s">
        <v>3311</v>
      </c>
      <c r="Y16186" t="s">
        <v>36</v>
      </c>
      <c r="Z16186" t="s">
        <v>10790</v>
      </c>
    </row>
    <row r="16187" spans="1:26" x14ac:dyDescent="0.35">
      <c r="A16187">
        <v>1005611</v>
      </c>
      <c r="B16187">
        <v>14485</v>
      </c>
      <c r="C16187">
        <v>1</v>
      </c>
      <c r="N16187" t="s">
        <v>38162</v>
      </c>
      <c r="P16187" t="s">
        <v>38163</v>
      </c>
      <c r="R16187" s="26" t="str">
        <f>HYPERLINK("https://ictv.global/taxonomy/taxondetails?taxnode_id=202304373","Bracoviriform rubeculae")</f>
        <v>Bracoviriform rubeculae</v>
      </c>
      <c r="S16187" t="s">
        <v>30</v>
      </c>
      <c r="T16187" t="s">
        <v>38218</v>
      </c>
      <c r="U16187" t="s">
        <v>38219</v>
      </c>
      <c r="X16187" t="s">
        <v>3311</v>
      </c>
      <c r="Y16187" t="s">
        <v>36</v>
      </c>
      <c r="Z16187" t="s">
        <v>10790</v>
      </c>
    </row>
    <row r="16188" spans="1:26" x14ac:dyDescent="0.35">
      <c r="A16188">
        <v>1005612</v>
      </c>
      <c r="B16188">
        <v>14486</v>
      </c>
      <c r="C16188">
        <v>1</v>
      </c>
      <c r="N16188" t="s">
        <v>38162</v>
      </c>
      <c r="P16188" t="s">
        <v>38163</v>
      </c>
      <c r="R16188" s="26" t="str">
        <f>HYPERLINK("https://ictv.global/taxonomy/taxondetails?taxnode_id=202304374","Bracoviriform schaeferi")</f>
        <v>Bracoviriform schaeferi</v>
      </c>
      <c r="S16188" t="s">
        <v>30</v>
      </c>
      <c r="T16188" t="s">
        <v>38220</v>
      </c>
      <c r="U16188" t="s">
        <v>38221</v>
      </c>
      <c r="X16188" t="s">
        <v>3311</v>
      </c>
      <c r="Y16188" t="s">
        <v>36</v>
      </c>
      <c r="Z16188" t="s">
        <v>10790</v>
      </c>
    </row>
    <row r="16189" spans="1:26" x14ac:dyDescent="0.35">
      <c r="A16189">
        <v>1005613</v>
      </c>
      <c r="B16189">
        <v>14487</v>
      </c>
      <c r="C16189">
        <v>1</v>
      </c>
      <c r="N16189" t="s">
        <v>38162</v>
      </c>
      <c r="P16189" t="s">
        <v>38163</v>
      </c>
      <c r="R16189" s="26" t="str">
        <f>HYPERLINK("https://ictv.global/taxonomy/taxondetails?taxnode_id=202304365","Bracoviriform texani")</f>
        <v>Bracoviriform texani</v>
      </c>
      <c r="S16189" t="s">
        <v>30</v>
      </c>
      <c r="T16189" t="s">
        <v>38222</v>
      </c>
      <c r="U16189" t="s">
        <v>38223</v>
      </c>
      <c r="X16189" t="s">
        <v>3311</v>
      </c>
      <c r="Y16189" t="s">
        <v>36</v>
      </c>
      <c r="Z16189" t="s">
        <v>10790</v>
      </c>
    </row>
    <row r="16190" spans="1:26" x14ac:dyDescent="0.35">
      <c r="A16190">
        <v>1005614</v>
      </c>
      <c r="B16190">
        <v>14488</v>
      </c>
      <c r="C16190">
        <v>1</v>
      </c>
      <c r="N16190" t="s">
        <v>38162</v>
      </c>
      <c r="P16190" t="s">
        <v>38224</v>
      </c>
      <c r="R16190" s="26" t="str">
        <f>HYPERLINK("https://ictv.global/taxonomy/taxondetails?taxnode_id=202304394","Ichnoviriform acronyctae")</f>
        <v>Ichnoviriform acronyctae</v>
      </c>
      <c r="S16190" t="s">
        <v>30</v>
      </c>
      <c r="T16190" t="s">
        <v>38225</v>
      </c>
      <c r="U16190" t="s">
        <v>38226</v>
      </c>
      <c r="X16190" t="s">
        <v>3311</v>
      </c>
      <c r="Y16190" t="s">
        <v>36</v>
      </c>
      <c r="Z16190" t="s">
        <v>10790</v>
      </c>
    </row>
    <row r="16191" spans="1:26" x14ac:dyDescent="0.35">
      <c r="A16191">
        <v>1005615</v>
      </c>
      <c r="B16191">
        <v>14489</v>
      </c>
      <c r="C16191">
        <v>1</v>
      </c>
      <c r="N16191" t="s">
        <v>38162</v>
      </c>
      <c r="P16191" t="s">
        <v>38224</v>
      </c>
      <c r="R16191" s="26" t="str">
        <f>HYPERLINK("https://ictv.global/taxonomy/taxondetails?taxnode_id=202304400","Ichnoviriform annulipedis")</f>
        <v>Ichnoviriform annulipedis</v>
      </c>
      <c r="S16191" t="s">
        <v>30</v>
      </c>
      <c r="T16191" t="s">
        <v>38227</v>
      </c>
      <c r="U16191" t="s">
        <v>38228</v>
      </c>
      <c r="X16191" t="s">
        <v>3311</v>
      </c>
      <c r="Y16191" t="s">
        <v>36</v>
      </c>
      <c r="Z16191" t="s">
        <v>10790</v>
      </c>
    </row>
    <row r="16192" spans="1:26" x14ac:dyDescent="0.35">
      <c r="A16192">
        <v>1005616</v>
      </c>
      <c r="B16192">
        <v>14490</v>
      </c>
      <c r="C16192">
        <v>1</v>
      </c>
      <c r="N16192" t="s">
        <v>38162</v>
      </c>
      <c r="P16192" t="s">
        <v>38224</v>
      </c>
      <c r="R16192" s="26" t="str">
        <f>HYPERLINK("https://ictv.global/taxonomy/taxondetails?taxnode_id=202304388","Ichnoviriform aprilis")</f>
        <v>Ichnoviriform aprilis</v>
      </c>
      <c r="S16192" t="s">
        <v>30</v>
      </c>
      <c r="T16192" t="s">
        <v>38229</v>
      </c>
      <c r="U16192" t="s">
        <v>38230</v>
      </c>
      <c r="X16192" t="s">
        <v>3311</v>
      </c>
      <c r="Y16192" t="s">
        <v>36</v>
      </c>
      <c r="Z16192" t="s">
        <v>10790</v>
      </c>
    </row>
    <row r="16193" spans="1:26" x14ac:dyDescent="0.35">
      <c r="A16193">
        <v>1005617</v>
      </c>
      <c r="B16193">
        <v>14491</v>
      </c>
      <c r="C16193">
        <v>1</v>
      </c>
      <c r="N16193" t="s">
        <v>38162</v>
      </c>
      <c r="P16193" t="s">
        <v>38224</v>
      </c>
      <c r="R16193" s="26" t="str">
        <f>HYPERLINK("https://ictv.global/taxonomy/taxondetails?taxnode_id=202304391","Ichnoviriform arjunae")</f>
        <v>Ichnoviriform arjunae</v>
      </c>
      <c r="S16193" t="s">
        <v>30</v>
      </c>
      <c r="T16193" t="s">
        <v>38231</v>
      </c>
      <c r="U16193" t="s">
        <v>38232</v>
      </c>
      <c r="X16193" t="s">
        <v>3311</v>
      </c>
      <c r="Y16193" t="s">
        <v>36</v>
      </c>
      <c r="Z16193" t="s">
        <v>10790</v>
      </c>
    </row>
    <row r="16194" spans="1:26" x14ac:dyDescent="0.35">
      <c r="A16194">
        <v>1005618</v>
      </c>
      <c r="B16194">
        <v>14492</v>
      </c>
      <c r="C16194">
        <v>1</v>
      </c>
      <c r="N16194" t="s">
        <v>38162</v>
      </c>
      <c r="P16194" t="s">
        <v>38224</v>
      </c>
      <c r="R16194" s="26" t="str">
        <f>HYPERLINK("https://ictv.global/taxonomy/taxondetails?taxnode_id=202304406","Ichnoviriform benefactoris")</f>
        <v>Ichnoviriform benefactoris</v>
      </c>
      <c r="S16194" t="s">
        <v>30</v>
      </c>
      <c r="T16194" t="s">
        <v>38233</v>
      </c>
      <c r="U16194" t="s">
        <v>38234</v>
      </c>
      <c r="X16194" t="s">
        <v>3311</v>
      </c>
      <c r="Y16194" t="s">
        <v>36</v>
      </c>
      <c r="Z16194" t="s">
        <v>10790</v>
      </c>
    </row>
    <row r="16195" spans="1:26" x14ac:dyDescent="0.35">
      <c r="A16195">
        <v>1005619</v>
      </c>
      <c r="B16195">
        <v>14493</v>
      </c>
      <c r="C16195">
        <v>1</v>
      </c>
      <c r="N16195" t="s">
        <v>38162</v>
      </c>
      <c r="P16195" t="s">
        <v>38224</v>
      </c>
      <c r="R16195" s="26" t="str">
        <f>HYPERLINK("https://ictv.global/taxonomy/taxondetails?taxnode_id=202304398","Ichnoviriform eribori")</f>
        <v>Ichnoviriform eribori</v>
      </c>
      <c r="S16195" t="s">
        <v>30</v>
      </c>
      <c r="T16195" t="s">
        <v>38235</v>
      </c>
      <c r="U16195" t="s">
        <v>38236</v>
      </c>
      <c r="X16195" t="s">
        <v>3311</v>
      </c>
      <c r="Y16195" t="s">
        <v>36</v>
      </c>
      <c r="Z16195" t="s">
        <v>10790</v>
      </c>
    </row>
    <row r="16196" spans="1:26" x14ac:dyDescent="0.35">
      <c r="A16196">
        <v>1005620</v>
      </c>
      <c r="B16196">
        <v>14494</v>
      </c>
      <c r="C16196">
        <v>1</v>
      </c>
      <c r="N16196" t="s">
        <v>38162</v>
      </c>
      <c r="P16196" t="s">
        <v>38224</v>
      </c>
      <c r="R16196" s="26" t="str">
        <f>HYPERLINK("https://ictv.global/taxonomy/taxondetails?taxnode_id=202304401","Ichnoviriform exiguae")</f>
        <v>Ichnoviriform exiguae</v>
      </c>
      <c r="S16196" t="s">
        <v>30</v>
      </c>
      <c r="T16196" t="s">
        <v>38237</v>
      </c>
      <c r="U16196" t="s">
        <v>38238</v>
      </c>
      <c r="X16196" t="s">
        <v>3311</v>
      </c>
      <c r="Y16196" t="s">
        <v>36</v>
      </c>
      <c r="Z16196" t="s">
        <v>10790</v>
      </c>
    </row>
    <row r="16197" spans="1:26" x14ac:dyDescent="0.35">
      <c r="A16197">
        <v>1005621</v>
      </c>
      <c r="B16197">
        <v>14495</v>
      </c>
      <c r="C16197">
        <v>1</v>
      </c>
      <c r="N16197" t="s">
        <v>38162</v>
      </c>
      <c r="P16197" t="s">
        <v>38224</v>
      </c>
      <c r="R16197" s="26" t="str">
        <f>HYPERLINK("https://ictv.global/taxonomy/taxondetails?taxnode_id=202304389","Ichnoviriform flavicinctae")</f>
        <v>Ichnoviriform flavicinctae</v>
      </c>
      <c r="S16197" t="s">
        <v>30</v>
      </c>
      <c r="T16197" t="s">
        <v>38239</v>
      </c>
      <c r="U16197" t="s">
        <v>38240</v>
      </c>
      <c r="X16197" t="s">
        <v>3311</v>
      </c>
      <c r="Y16197" t="s">
        <v>36</v>
      </c>
      <c r="Z16197" t="s">
        <v>10790</v>
      </c>
    </row>
    <row r="16198" spans="1:26" x14ac:dyDescent="0.35">
      <c r="A16198">
        <v>1005622</v>
      </c>
      <c r="B16198">
        <v>14496</v>
      </c>
      <c r="C16198">
        <v>1</v>
      </c>
      <c r="N16198" t="s">
        <v>38162</v>
      </c>
      <c r="P16198" t="s">
        <v>38224</v>
      </c>
      <c r="R16198" s="26" t="str">
        <f>HYPERLINK("https://ictv.global/taxonomy/taxondetails?taxnode_id=202304392","Ichnoviriform forcipatae")</f>
        <v>Ichnoviriform forcipatae</v>
      </c>
      <c r="S16198" t="s">
        <v>30</v>
      </c>
      <c r="T16198" t="s">
        <v>38241</v>
      </c>
      <c r="U16198" t="s">
        <v>38242</v>
      </c>
      <c r="X16198" t="s">
        <v>3311</v>
      </c>
      <c r="Y16198" t="s">
        <v>36</v>
      </c>
      <c r="Z16198" t="s">
        <v>10790</v>
      </c>
    </row>
    <row r="16199" spans="1:26" x14ac:dyDescent="0.35">
      <c r="A16199">
        <v>1005623</v>
      </c>
      <c r="B16199">
        <v>14497</v>
      </c>
      <c r="C16199">
        <v>1</v>
      </c>
      <c r="N16199" t="s">
        <v>38162</v>
      </c>
      <c r="P16199" t="s">
        <v>38224</v>
      </c>
      <c r="R16199" s="26" t="str">
        <f>HYPERLINK("https://ictv.global/taxonomy/taxondetails?taxnode_id=202304402","Ichnoviriform fugitivi")</f>
        <v>Ichnoviriform fugitivi</v>
      </c>
      <c r="S16199" t="s">
        <v>30</v>
      </c>
      <c r="T16199" t="s">
        <v>38243</v>
      </c>
      <c r="U16199" t="s">
        <v>38244</v>
      </c>
      <c r="X16199" t="s">
        <v>3311</v>
      </c>
      <c r="Y16199" t="s">
        <v>36</v>
      </c>
      <c r="Z16199" t="s">
        <v>10790</v>
      </c>
    </row>
    <row r="16200" spans="1:26" x14ac:dyDescent="0.35">
      <c r="A16200">
        <v>1005624</v>
      </c>
      <c r="B16200">
        <v>14498</v>
      </c>
      <c r="C16200">
        <v>1</v>
      </c>
      <c r="N16200" t="s">
        <v>38162</v>
      </c>
      <c r="P16200" t="s">
        <v>38224</v>
      </c>
      <c r="R16200" s="26" t="str">
        <f>HYPERLINK("https://ictv.global/taxonomy/taxondetails?taxnode_id=202304399","Ichnoviriform fumiferanae")</f>
        <v>Ichnoviriform fumiferanae</v>
      </c>
      <c r="S16200" t="s">
        <v>30</v>
      </c>
      <c r="T16200" t="s">
        <v>38245</v>
      </c>
      <c r="U16200" t="s">
        <v>38246</v>
      </c>
      <c r="X16200" t="s">
        <v>3311</v>
      </c>
      <c r="Y16200" t="s">
        <v>36</v>
      </c>
      <c r="Z16200" t="s">
        <v>10790</v>
      </c>
    </row>
    <row r="16201" spans="1:26" x14ac:dyDescent="0.35">
      <c r="A16201">
        <v>1005625</v>
      </c>
      <c r="B16201">
        <v>14499</v>
      </c>
      <c r="C16201">
        <v>1</v>
      </c>
      <c r="N16201" t="s">
        <v>38162</v>
      </c>
      <c r="P16201" t="s">
        <v>38224</v>
      </c>
      <c r="R16201" s="26" t="str">
        <f>HYPERLINK("https://ictv.global/taxonomy/taxondetails?taxnode_id=202304407","Ichnoviriform geniculatae")</f>
        <v>Ichnoviriform geniculatae</v>
      </c>
      <c r="S16201" t="s">
        <v>30</v>
      </c>
      <c r="T16201" t="s">
        <v>38247</v>
      </c>
      <c r="U16201" t="s">
        <v>38248</v>
      </c>
      <c r="X16201" t="s">
        <v>3311</v>
      </c>
      <c r="Y16201" t="s">
        <v>36</v>
      </c>
      <c r="Z16201" t="s">
        <v>10790</v>
      </c>
    </row>
    <row r="16202" spans="1:26" x14ac:dyDescent="0.35">
      <c r="A16202">
        <v>1005626</v>
      </c>
      <c r="B16202">
        <v>14500</v>
      </c>
      <c r="C16202">
        <v>1</v>
      </c>
      <c r="N16202" t="s">
        <v>38162</v>
      </c>
      <c r="P16202" t="s">
        <v>38224</v>
      </c>
      <c r="R16202" s="26" t="str">
        <f>HYPERLINK("https://ictv.global/taxonomy/taxondetails?taxnode_id=202304393","Ichnoviriform infestae")</f>
        <v>Ichnoviriform infestae</v>
      </c>
      <c r="S16202" t="s">
        <v>30</v>
      </c>
      <c r="T16202" t="s">
        <v>38249</v>
      </c>
      <c r="U16202" t="s">
        <v>38250</v>
      </c>
      <c r="X16202" t="s">
        <v>3311</v>
      </c>
      <c r="Y16202" t="s">
        <v>36</v>
      </c>
      <c r="Z16202" t="s">
        <v>10790</v>
      </c>
    </row>
    <row r="16203" spans="1:26" x14ac:dyDescent="0.35">
      <c r="A16203">
        <v>1005627</v>
      </c>
      <c r="B16203">
        <v>14501</v>
      </c>
      <c r="C16203">
        <v>1</v>
      </c>
      <c r="N16203" t="s">
        <v>38162</v>
      </c>
      <c r="P16203" t="s">
        <v>38224</v>
      </c>
      <c r="R16203" s="26" t="str">
        <f>HYPERLINK("https://ictv.global/taxonomy/taxondetails?taxnode_id=202304395","Ichnoviriform interrupti")</f>
        <v>Ichnoviriform interrupti</v>
      </c>
      <c r="S16203" t="s">
        <v>30</v>
      </c>
      <c r="T16203" t="s">
        <v>38251</v>
      </c>
      <c r="U16203" t="s">
        <v>38252</v>
      </c>
      <c r="X16203" t="s">
        <v>3311</v>
      </c>
      <c r="Y16203" t="s">
        <v>36</v>
      </c>
      <c r="Z16203" t="s">
        <v>10790</v>
      </c>
    </row>
    <row r="16204" spans="1:26" x14ac:dyDescent="0.35">
      <c r="A16204">
        <v>1005628</v>
      </c>
      <c r="B16204">
        <v>14502</v>
      </c>
      <c r="C16204">
        <v>1</v>
      </c>
      <c r="N16204" t="s">
        <v>38162</v>
      </c>
      <c r="P16204" t="s">
        <v>38224</v>
      </c>
      <c r="R16204" s="26" t="str">
        <f>HYPERLINK("https://ictv.global/taxonomy/taxondetails?taxnode_id=202304403","Ichnoviriform lymantriae")</f>
        <v>Ichnoviriform lymantriae</v>
      </c>
      <c r="S16204" t="s">
        <v>30</v>
      </c>
      <c r="T16204" t="s">
        <v>38253</v>
      </c>
      <c r="U16204" t="s">
        <v>38254</v>
      </c>
      <c r="X16204" t="s">
        <v>3311</v>
      </c>
      <c r="Y16204" t="s">
        <v>36</v>
      </c>
      <c r="Z16204" t="s">
        <v>10790</v>
      </c>
    </row>
    <row r="16205" spans="1:26" x14ac:dyDescent="0.35">
      <c r="A16205">
        <v>1005629</v>
      </c>
      <c r="B16205">
        <v>14503</v>
      </c>
      <c r="C16205">
        <v>1</v>
      </c>
      <c r="N16205" t="s">
        <v>38162</v>
      </c>
      <c r="P16205" t="s">
        <v>38224</v>
      </c>
      <c r="R16205" s="26" t="str">
        <f>HYPERLINK("https://ictv.global/taxonomy/taxondetails?taxnode_id=202304397","Ichnoviriform montani")</f>
        <v>Ichnoviriform montani</v>
      </c>
      <c r="S16205" t="s">
        <v>30</v>
      </c>
      <c r="T16205" t="s">
        <v>38255</v>
      </c>
      <c r="U16205" t="s">
        <v>38256</v>
      </c>
      <c r="X16205" t="s">
        <v>3311</v>
      </c>
      <c r="Y16205" t="s">
        <v>36</v>
      </c>
      <c r="Z16205" t="s">
        <v>10790</v>
      </c>
    </row>
    <row r="16206" spans="1:26" x14ac:dyDescent="0.35">
      <c r="A16206">
        <v>1005630</v>
      </c>
      <c r="B16206">
        <v>14504</v>
      </c>
      <c r="C16206">
        <v>1</v>
      </c>
      <c r="N16206" t="s">
        <v>38162</v>
      </c>
      <c r="P16206" t="s">
        <v>38224</v>
      </c>
      <c r="R16206" s="26" t="str">
        <f>HYPERLINK("https://ictv.global/taxonomy/taxondetails?taxnode_id=202304404","Ichnoviriform pilosuli")</f>
        <v>Ichnoviriform pilosuli</v>
      </c>
      <c r="S16206" t="s">
        <v>30</v>
      </c>
      <c r="T16206" t="s">
        <v>38257</v>
      </c>
      <c r="U16206" t="s">
        <v>38258</v>
      </c>
      <c r="X16206" t="s">
        <v>3311</v>
      </c>
      <c r="Y16206" t="s">
        <v>36</v>
      </c>
      <c r="Z16206" t="s">
        <v>10790</v>
      </c>
    </row>
    <row r="16207" spans="1:26" x14ac:dyDescent="0.35">
      <c r="A16207">
        <v>1005631</v>
      </c>
      <c r="B16207">
        <v>14505</v>
      </c>
      <c r="C16207">
        <v>1</v>
      </c>
      <c r="N16207" t="s">
        <v>38162</v>
      </c>
      <c r="P16207" t="s">
        <v>38224</v>
      </c>
      <c r="R16207" s="26" t="str">
        <f>HYPERLINK("https://ictv.global/taxonomy/taxondetails?taxnode_id=202304405","Ichnoviriform rivalis")</f>
        <v>Ichnoviriform rivalis</v>
      </c>
      <c r="S16207" t="s">
        <v>30</v>
      </c>
      <c r="T16207" t="s">
        <v>38259</v>
      </c>
      <c r="U16207" t="s">
        <v>38260</v>
      </c>
      <c r="X16207" t="s">
        <v>3311</v>
      </c>
      <c r="Y16207" t="s">
        <v>36</v>
      </c>
      <c r="Z16207" t="s">
        <v>10790</v>
      </c>
    </row>
    <row r="16208" spans="1:26" x14ac:dyDescent="0.35">
      <c r="A16208">
        <v>1005632</v>
      </c>
      <c r="B16208">
        <v>14506</v>
      </c>
      <c r="C16208">
        <v>1</v>
      </c>
      <c r="N16208" t="s">
        <v>38162</v>
      </c>
      <c r="P16208" t="s">
        <v>38224</v>
      </c>
      <c r="R16208" s="26" t="str">
        <f>HYPERLINK("https://ictv.global/taxonomy/taxondetails?taxnode_id=202304386","Ichnoviriform rostralis")</f>
        <v>Ichnoviriform rostralis</v>
      </c>
      <c r="S16208" t="s">
        <v>30</v>
      </c>
      <c r="T16208" t="s">
        <v>38261</v>
      </c>
      <c r="U16208" t="s">
        <v>38262</v>
      </c>
      <c r="X16208" t="s">
        <v>3311</v>
      </c>
      <c r="Y16208" t="s">
        <v>36</v>
      </c>
      <c r="Z16208" t="s">
        <v>10790</v>
      </c>
    </row>
    <row r="16209" spans="1:27" x14ac:dyDescent="0.35">
      <c r="A16209">
        <v>1005633</v>
      </c>
      <c r="B16209">
        <v>14507</v>
      </c>
      <c r="C16209">
        <v>1</v>
      </c>
      <c r="N16209" t="s">
        <v>38162</v>
      </c>
      <c r="P16209" t="s">
        <v>38224</v>
      </c>
      <c r="R16209" s="26" t="str">
        <f>HYPERLINK("https://ictv.global/taxonomy/taxondetails?taxnode_id=202304390","Ichnoviriform sonorense")</f>
        <v>Ichnoviriform sonorense</v>
      </c>
      <c r="S16209" t="s">
        <v>30</v>
      </c>
      <c r="T16209" t="s">
        <v>38263</v>
      </c>
      <c r="U16209" t="s">
        <v>38264</v>
      </c>
      <c r="V16209" t="s">
        <v>38265</v>
      </c>
      <c r="X16209" t="s">
        <v>3311</v>
      </c>
      <c r="Y16209" t="s">
        <v>36</v>
      </c>
      <c r="Z16209" t="s">
        <v>10790</v>
      </c>
    </row>
    <row r="16210" spans="1:27" x14ac:dyDescent="0.35">
      <c r="A16210">
        <v>1005634</v>
      </c>
      <c r="B16210">
        <v>14508</v>
      </c>
      <c r="C16210">
        <v>1</v>
      </c>
      <c r="N16210" t="s">
        <v>38162</v>
      </c>
      <c r="P16210" t="s">
        <v>38224</v>
      </c>
      <c r="R16210" s="26" t="str">
        <f>HYPERLINK("https://ictv.global/taxonomy/taxondetails?taxnode_id=202304408","Ichnoviriform tenuifemoris")</f>
        <v>Ichnoviriform tenuifemoris</v>
      </c>
      <c r="S16210" t="s">
        <v>30</v>
      </c>
      <c r="T16210" t="s">
        <v>38266</v>
      </c>
      <c r="U16210" t="s">
        <v>38267</v>
      </c>
      <c r="X16210" t="s">
        <v>3311</v>
      </c>
      <c r="Y16210" t="s">
        <v>36</v>
      </c>
      <c r="Z16210" t="s">
        <v>10790</v>
      </c>
    </row>
    <row r="16211" spans="1:27" x14ac:dyDescent="0.35">
      <c r="A16211">
        <v>1005635</v>
      </c>
      <c r="B16211">
        <v>14509</v>
      </c>
      <c r="C16211">
        <v>1</v>
      </c>
      <c r="N16211" t="s">
        <v>38162</v>
      </c>
      <c r="P16211" t="s">
        <v>38224</v>
      </c>
      <c r="R16211" s="26" t="str">
        <f>HYPERLINK("https://ictv.global/taxonomy/taxondetails?taxnode_id=202304396","Ichnoviriform terebrantis")</f>
        <v>Ichnoviriform terebrantis</v>
      </c>
      <c r="S16211" t="s">
        <v>30</v>
      </c>
      <c r="T16211" t="s">
        <v>38268</v>
      </c>
      <c r="U16211" t="s">
        <v>38269</v>
      </c>
      <c r="X16211" t="s">
        <v>3311</v>
      </c>
      <c r="Y16211" t="s">
        <v>36</v>
      </c>
      <c r="Z16211" t="s">
        <v>10790</v>
      </c>
    </row>
    <row r="16212" spans="1:27" x14ac:dyDescent="0.35">
      <c r="A16212">
        <v>1005637</v>
      </c>
      <c r="B16212">
        <v>14510</v>
      </c>
      <c r="C16212">
        <v>1</v>
      </c>
      <c r="N16212" t="s">
        <v>38270</v>
      </c>
      <c r="P16212" t="s">
        <v>38271</v>
      </c>
      <c r="R16212" s="26" t="str">
        <f>HYPERLINK("https://ictv.global/taxonomy/taxondetails?taxnode_id=202305912","Alphaportoglobovirus beppuense")</f>
        <v>Alphaportoglobovirus beppuense</v>
      </c>
      <c r="S16212" t="s">
        <v>30</v>
      </c>
      <c r="T16212" t="s">
        <v>38275</v>
      </c>
      <c r="U16212" t="s">
        <v>38276</v>
      </c>
      <c r="V16212" t="s">
        <v>38277</v>
      </c>
      <c r="W16212" t="s">
        <v>38278</v>
      </c>
      <c r="X16212" t="s">
        <v>42</v>
      </c>
      <c r="Y16212" t="s">
        <v>36</v>
      </c>
      <c r="Z16212" t="s">
        <v>37</v>
      </c>
      <c r="AA16212" s="22" t="str">
        <f>HYPERLINK("https://www.ncbi.nlm.nih.gov/nuccore/KY780159","NCBI Nucleotide")</f>
        <v>NCBI Nucleotide</v>
      </c>
    </row>
    <row r="16213" spans="1:27" x14ac:dyDescent="0.35">
      <c r="A16213">
        <v>1005636</v>
      </c>
      <c r="B16213">
        <v>14511</v>
      </c>
      <c r="C16213">
        <v>1</v>
      </c>
      <c r="N16213" t="s">
        <v>38270</v>
      </c>
      <c r="P16213" t="s">
        <v>38271</v>
      </c>
      <c r="R16213" s="26" t="str">
        <f>HYPERLINK("https://ictv.global/taxonomy/taxondetails?taxnode_id=202308646","Alphaportoglobovirus umijigokuense")</f>
        <v>Alphaportoglobovirus umijigokuense</v>
      </c>
      <c r="S16213" t="s">
        <v>30</v>
      </c>
      <c r="T16213" t="s">
        <v>38272</v>
      </c>
      <c r="U16213" t="s">
        <v>34046</v>
      </c>
      <c r="V16213" t="s">
        <v>38273</v>
      </c>
      <c r="W16213" t="s">
        <v>38274</v>
      </c>
      <c r="X16213" t="s">
        <v>42</v>
      </c>
      <c r="Y16213" t="s">
        <v>36</v>
      </c>
      <c r="Z16213" t="s">
        <v>37</v>
      </c>
      <c r="AA16213" s="22" t="str">
        <f>HYPERLINK("https://www.ncbi.nlm.nih.gov/nuccore/MK064567","NCBI Nucleotide")</f>
        <v>NCBI Nucleotide</v>
      </c>
    </row>
    <row r="16214" spans="1:27" x14ac:dyDescent="0.35">
      <c r="A16214">
        <v>1005653</v>
      </c>
      <c r="B16214">
        <v>14512</v>
      </c>
      <c r="C16214">
        <v>1</v>
      </c>
      <c r="N16214" t="s">
        <v>38279</v>
      </c>
      <c r="P16214" t="s">
        <v>38280</v>
      </c>
      <c r="R16214" s="26" t="str">
        <f>HYPERLINK("https://ictv.global/taxonomy/taxondetails?taxnode_id=202304506","Apscaviroid alphaflavivitis")</f>
        <v>Apscaviroid alphaflavivitis</v>
      </c>
      <c r="S16214" t="s">
        <v>30</v>
      </c>
      <c r="T16214" t="s">
        <v>38330</v>
      </c>
      <c r="U16214" t="s">
        <v>38331</v>
      </c>
      <c r="V16214" t="s">
        <v>38332</v>
      </c>
      <c r="W16214" t="s">
        <v>38333</v>
      </c>
      <c r="X16214" t="s">
        <v>42</v>
      </c>
      <c r="Y16214" t="s">
        <v>20674</v>
      </c>
      <c r="Z16214" t="s">
        <v>13441</v>
      </c>
      <c r="AA16214" s="22" t="str">
        <f>HYPERLINK("https://www.ncbi.nlm.nih.gov/nuccore/AF059712","NCBI Nucleotide")</f>
        <v>NCBI Nucleotide</v>
      </c>
    </row>
    <row r="16215" spans="1:27" x14ac:dyDescent="0.35">
      <c r="A16215">
        <v>1005648</v>
      </c>
      <c r="B16215">
        <v>14513</v>
      </c>
      <c r="C16215">
        <v>1</v>
      </c>
      <c r="N16215" t="s">
        <v>38279</v>
      </c>
      <c r="P16215" t="s">
        <v>38280</v>
      </c>
      <c r="R16215" s="26" t="str">
        <f>HYPERLINK("https://ictv.global/taxonomy/taxondetails?taxnode_id=202304501","Apscaviroid austravitis")</f>
        <v>Apscaviroid austravitis</v>
      </c>
      <c r="S16215" t="s">
        <v>30</v>
      </c>
      <c r="T16215" t="s">
        <v>38312</v>
      </c>
      <c r="U16215" t="s">
        <v>38313</v>
      </c>
      <c r="V16215" t="s">
        <v>38314</v>
      </c>
      <c r="W16215" t="s">
        <v>38315</v>
      </c>
      <c r="X16215" t="s">
        <v>42</v>
      </c>
      <c r="Y16215" t="s">
        <v>20674</v>
      </c>
      <c r="Z16215" t="s">
        <v>13441</v>
      </c>
      <c r="AA16215" s="22" t="str">
        <f>HYPERLINK("https://www.ncbi.nlm.nih.gov/nuccore/X17101","NCBI Nucleotide")</f>
        <v>NCBI Nucleotide</v>
      </c>
    </row>
    <row r="16216" spans="1:27" x14ac:dyDescent="0.35">
      <c r="A16216">
        <v>1005647</v>
      </c>
      <c r="B16216">
        <v>14514</v>
      </c>
      <c r="C16216">
        <v>1</v>
      </c>
      <c r="N16216" t="s">
        <v>38279</v>
      </c>
      <c r="P16216" t="s">
        <v>38280</v>
      </c>
      <c r="R16216" s="26" t="str">
        <f>HYPERLINK("https://ictv.global/taxonomy/taxondetails?taxnode_id=202313873","Apscaviroid betadiospyri")</f>
        <v>Apscaviroid betadiospyri</v>
      </c>
      <c r="S16216" t="s">
        <v>30</v>
      </c>
      <c r="T16216" t="s">
        <v>38309</v>
      </c>
      <c r="U16216" t="s">
        <v>38310</v>
      </c>
      <c r="W16216" t="s">
        <v>38311</v>
      </c>
      <c r="X16216" t="s">
        <v>42</v>
      </c>
      <c r="Y16216" t="s">
        <v>20674</v>
      </c>
      <c r="Z16216" t="s">
        <v>13441</v>
      </c>
      <c r="AA16216" s="22" t="str">
        <f>HYPERLINK("https://www.ncbi.nlm.nih.gov/nuccore/AB817729","NCBI Nucleotide")</f>
        <v>NCBI Nucleotide</v>
      </c>
    </row>
    <row r="16217" spans="1:27" x14ac:dyDescent="0.35">
      <c r="A16217">
        <v>1005654</v>
      </c>
      <c r="B16217">
        <v>14515</v>
      </c>
      <c r="C16217">
        <v>1</v>
      </c>
      <c r="N16217" t="s">
        <v>38279</v>
      </c>
      <c r="P16217" t="s">
        <v>38280</v>
      </c>
      <c r="R16217" s="26" t="str">
        <f>HYPERLINK("https://ictv.global/taxonomy/taxondetails?taxnode_id=202304507","Apscaviroid betaflavivitis")</f>
        <v>Apscaviroid betaflavivitis</v>
      </c>
      <c r="S16217" t="s">
        <v>30</v>
      </c>
      <c r="T16217" t="s">
        <v>38334</v>
      </c>
      <c r="U16217" t="s">
        <v>38335</v>
      </c>
      <c r="V16217" t="s">
        <v>38336</v>
      </c>
      <c r="W16217" t="s">
        <v>38337</v>
      </c>
      <c r="X16217" t="s">
        <v>42</v>
      </c>
      <c r="Y16217" t="s">
        <v>20674</v>
      </c>
      <c r="Z16217" t="s">
        <v>13441</v>
      </c>
      <c r="AA16217" s="22" t="str">
        <f>HYPERLINK("https://www.ncbi.nlm.nih.gov/nuccore/J04348","NCBI Nucleotide")</f>
        <v>NCBI Nucleotide</v>
      </c>
    </row>
    <row r="16218" spans="1:27" x14ac:dyDescent="0.35">
      <c r="A16218">
        <v>1005639</v>
      </c>
      <c r="B16218">
        <v>14516</v>
      </c>
      <c r="C16218">
        <v>1</v>
      </c>
      <c r="N16218" t="s">
        <v>38279</v>
      </c>
      <c r="P16218" t="s">
        <v>38280</v>
      </c>
      <c r="R16218" s="26" t="str">
        <f>HYPERLINK("https://ictv.global/taxonomy/taxondetails?taxnode_id=202304500","Apscaviroid cicatricimali")</f>
        <v>Apscaviroid cicatricimali</v>
      </c>
      <c r="S16218" t="s">
        <v>30</v>
      </c>
      <c r="T16218" t="s">
        <v>38285</v>
      </c>
      <c r="U16218" t="s">
        <v>38286</v>
      </c>
      <c r="V16218" t="s">
        <v>17234</v>
      </c>
      <c r="W16218" t="s">
        <v>38287</v>
      </c>
      <c r="X16218" t="s">
        <v>42</v>
      </c>
      <c r="Y16218" t="s">
        <v>20674</v>
      </c>
      <c r="Z16218" t="s">
        <v>13441</v>
      </c>
      <c r="AA16218" s="22" t="str">
        <f>HYPERLINK("https://www.ncbi.nlm.nih.gov/nuccore/X17696","NCBI Nucleotide")</f>
        <v>NCBI Nucleotide</v>
      </c>
    </row>
    <row r="16219" spans="1:27" x14ac:dyDescent="0.35">
      <c r="A16219">
        <v>1005649</v>
      </c>
      <c r="B16219">
        <v>14517</v>
      </c>
      <c r="C16219">
        <v>1</v>
      </c>
      <c r="N16219" t="s">
        <v>38279</v>
      </c>
      <c r="P16219" t="s">
        <v>38280</v>
      </c>
      <c r="R16219" s="26" t="str">
        <f>HYPERLINK("https://ictv.global/taxonomy/taxondetails?taxnode_id=202304502","Apscaviroid curvifoliumcitri")</f>
        <v>Apscaviroid curvifoliumcitri</v>
      </c>
      <c r="S16219" t="s">
        <v>30</v>
      </c>
      <c r="T16219" t="s">
        <v>38316</v>
      </c>
      <c r="U16219" t="s">
        <v>38317</v>
      </c>
      <c r="V16219">
        <v>225</v>
      </c>
      <c r="W16219" t="s">
        <v>38318</v>
      </c>
      <c r="X16219" t="s">
        <v>42</v>
      </c>
      <c r="Y16219" t="s">
        <v>20674</v>
      </c>
      <c r="Z16219" t="s">
        <v>13441</v>
      </c>
      <c r="AA16219" s="22" t="str">
        <f>HYPERLINK("https://www.ncbi.nlm.nih.gov/nuccore/U21125","NCBI Nucleotide")</f>
        <v>NCBI Nucleotide</v>
      </c>
    </row>
    <row r="16220" spans="1:27" x14ac:dyDescent="0.35">
      <c r="A16220">
        <v>1005642</v>
      </c>
      <c r="B16220">
        <v>14518</v>
      </c>
      <c r="C16220">
        <v>1</v>
      </c>
      <c r="N16220" t="s">
        <v>38279</v>
      </c>
      <c r="P16220" t="s">
        <v>38280</v>
      </c>
      <c r="R16220" s="26" t="str">
        <f>HYPERLINK("https://ictv.global/taxonomy/taxondetails?taxnode_id=202313869","Apscaviroid dendrobii")</f>
        <v>Apscaviroid dendrobii</v>
      </c>
      <c r="S16220" t="s">
        <v>30</v>
      </c>
      <c r="T16220" t="s">
        <v>38294</v>
      </c>
      <c r="U16220" t="s">
        <v>38295</v>
      </c>
      <c r="W16220" t="s">
        <v>38296</v>
      </c>
      <c r="X16220" t="s">
        <v>42</v>
      </c>
      <c r="Y16220" t="s">
        <v>20674</v>
      </c>
      <c r="Z16220" t="s">
        <v>13441</v>
      </c>
      <c r="AA16220" s="22" t="str">
        <f>HYPERLINK("https://www.ncbi.nlm.nih.gov/nuccore/MT013216","NCBI Nucleotide")</f>
        <v>NCBI Nucleotide</v>
      </c>
    </row>
    <row r="16221" spans="1:27" x14ac:dyDescent="0.35">
      <c r="A16221">
        <v>1005646</v>
      </c>
      <c r="B16221">
        <v>14519</v>
      </c>
      <c r="C16221">
        <v>1</v>
      </c>
      <c r="N16221" t="s">
        <v>38279</v>
      </c>
      <c r="P16221" t="s">
        <v>38280</v>
      </c>
      <c r="R16221" s="26" t="str">
        <f>HYPERLINK("https://ictv.global/taxonomy/taxondetails?taxnode_id=202313872","Apscaviroid diospyri")</f>
        <v>Apscaviroid diospyri</v>
      </c>
      <c r="S16221" t="s">
        <v>30</v>
      </c>
      <c r="T16221" t="s">
        <v>38306</v>
      </c>
      <c r="U16221" t="s">
        <v>38307</v>
      </c>
      <c r="W16221" t="s">
        <v>38308</v>
      </c>
      <c r="X16221" t="s">
        <v>42</v>
      </c>
      <c r="Y16221" t="s">
        <v>20674</v>
      </c>
      <c r="Z16221" t="s">
        <v>13441</v>
      </c>
      <c r="AA16221" s="22" t="str">
        <f>HYPERLINK("https://www.ncbi.nlm.nih.gov/nuccore/AB366022","NCBI Nucleotide")</f>
        <v>NCBI Nucleotide</v>
      </c>
    </row>
    <row r="16222" spans="1:27" x14ac:dyDescent="0.35">
      <c r="A16222">
        <v>1005651</v>
      </c>
      <c r="B16222">
        <v>14520</v>
      </c>
      <c r="C16222">
        <v>1</v>
      </c>
      <c r="N16222" t="s">
        <v>38279</v>
      </c>
      <c r="P16222" t="s">
        <v>38280</v>
      </c>
      <c r="R16222" s="26" t="str">
        <f>HYPERLINK("https://ictv.global/taxonomy/taxondetails?taxnode_id=202304504","Apscaviroid epsiloncitri")</f>
        <v>Apscaviroid epsiloncitri</v>
      </c>
      <c r="S16222" t="s">
        <v>30</v>
      </c>
      <c r="T16222" t="s">
        <v>38323</v>
      </c>
      <c r="U16222" t="s">
        <v>38324</v>
      </c>
      <c r="V16222" t="s">
        <v>17404</v>
      </c>
      <c r="W16222" t="s">
        <v>38325</v>
      </c>
      <c r="X16222" t="s">
        <v>42</v>
      </c>
      <c r="Y16222" t="s">
        <v>20674</v>
      </c>
      <c r="Z16222" t="s">
        <v>13441</v>
      </c>
      <c r="AA16222" s="22" t="str">
        <f>HYPERLINK("https://www.ncbi.nlm.nih.gov/nuccore/EF617306","NCBI Nucleotide")</f>
        <v>NCBI Nucleotide</v>
      </c>
    </row>
    <row r="16223" spans="1:27" x14ac:dyDescent="0.35">
      <c r="A16223">
        <v>1005641</v>
      </c>
      <c r="B16223">
        <v>14521</v>
      </c>
      <c r="C16223">
        <v>1</v>
      </c>
      <c r="N16223" t="s">
        <v>38279</v>
      </c>
      <c r="P16223" t="s">
        <v>38280</v>
      </c>
      <c r="R16223" s="26" t="str">
        <f>HYPERLINK("https://ictv.global/taxonomy/taxondetails?taxnode_id=202313868","Apscaviroid etacitri")</f>
        <v>Apscaviroid etacitri</v>
      </c>
      <c r="S16223" t="s">
        <v>30</v>
      </c>
      <c r="T16223" t="s">
        <v>38291</v>
      </c>
      <c r="U16223" t="s">
        <v>38292</v>
      </c>
      <c r="W16223" t="s">
        <v>38293</v>
      </c>
      <c r="X16223" t="s">
        <v>42</v>
      </c>
      <c r="Y16223" t="s">
        <v>20674</v>
      </c>
      <c r="Z16223" t="s">
        <v>13441</v>
      </c>
      <c r="AA16223" s="22" t="str">
        <f>HYPERLINK("https://www.ncbi.nlm.nih.gov/nuccore/KX013549","NCBI Nucleotide")</f>
        <v>NCBI Nucleotide</v>
      </c>
    </row>
    <row r="16224" spans="1:27" x14ac:dyDescent="0.35">
      <c r="A16224">
        <v>1005638</v>
      </c>
      <c r="B16224">
        <v>14522</v>
      </c>
      <c r="C16224">
        <v>1</v>
      </c>
      <c r="N16224" t="s">
        <v>38279</v>
      </c>
      <c r="P16224" t="s">
        <v>38280</v>
      </c>
      <c r="R16224" s="26" t="str">
        <f>HYPERLINK("https://ictv.global/taxonomy/taxondetails?taxnode_id=202304499","Apscaviroid fossulamali")</f>
        <v>Apscaviroid fossulamali</v>
      </c>
      <c r="S16224" t="s">
        <v>30</v>
      </c>
      <c r="T16224" t="s">
        <v>38281</v>
      </c>
      <c r="U16224" t="s">
        <v>38282</v>
      </c>
      <c r="V16224" t="s">
        <v>38283</v>
      </c>
      <c r="W16224" t="s">
        <v>38284</v>
      </c>
      <c r="X16224" t="s">
        <v>42</v>
      </c>
      <c r="Y16224" t="s">
        <v>20674</v>
      </c>
      <c r="Z16224" t="s">
        <v>13441</v>
      </c>
      <c r="AA16224" s="22" t="str">
        <f>HYPERLINK("https://www.ncbi.nlm.nih.gov/nuccore/X99487","NCBI Nucleotide")</f>
        <v>NCBI Nucleotide</v>
      </c>
    </row>
    <row r="16225" spans="1:27" x14ac:dyDescent="0.35">
      <c r="A16225">
        <v>1027999</v>
      </c>
      <c r="B16225">
        <v>14523</v>
      </c>
      <c r="C16225">
        <v>1</v>
      </c>
      <c r="N16225" t="s">
        <v>38279</v>
      </c>
      <c r="P16225" t="s">
        <v>38280</v>
      </c>
      <c r="R16225" s="26" t="str">
        <f>HYPERLINK("https://ictv.global/taxonomy/taxondetails?taxnode_id=202319071","Apscaviroid japanvitis")</f>
        <v>Apscaviroid japanvitis</v>
      </c>
      <c r="S16225" t="s">
        <v>30</v>
      </c>
      <c r="T16225" t="s">
        <v>47879</v>
      </c>
      <c r="U16225" t="s">
        <v>47880</v>
      </c>
      <c r="V16225" t="s">
        <v>47881</v>
      </c>
      <c r="W16225" t="s">
        <v>47882</v>
      </c>
      <c r="X16225" t="s">
        <v>42</v>
      </c>
      <c r="Y16225" t="s">
        <v>20674</v>
      </c>
      <c r="Z16225" t="s">
        <v>13441</v>
      </c>
      <c r="AA16225" s="22" t="str">
        <f>HYPERLINK("https://www.ncbi.nlm.nih.gov/nuccore/LC500206","NCBI Nucleotide")</f>
        <v>NCBI Nucleotide</v>
      </c>
    </row>
    <row r="16226" spans="1:27" x14ac:dyDescent="0.35">
      <c r="A16226">
        <v>1005645</v>
      </c>
      <c r="B16226">
        <v>14524</v>
      </c>
      <c r="C16226">
        <v>1</v>
      </c>
      <c r="N16226" t="s">
        <v>38279</v>
      </c>
      <c r="P16226" t="s">
        <v>38280</v>
      </c>
      <c r="R16226" s="26" t="str">
        <f>HYPERLINK("https://ictv.global/taxonomy/taxondetails?taxnode_id=202313874","Apscaviroid latenspruni")</f>
        <v>Apscaviroid latenspruni</v>
      </c>
      <c r="S16226" t="s">
        <v>30</v>
      </c>
      <c r="T16226" t="s">
        <v>38303</v>
      </c>
      <c r="U16226" t="s">
        <v>38304</v>
      </c>
      <c r="W16226" t="s">
        <v>38305</v>
      </c>
      <c r="X16226" t="s">
        <v>42</v>
      </c>
      <c r="Y16226" t="s">
        <v>20674</v>
      </c>
      <c r="Z16226" t="s">
        <v>13441</v>
      </c>
      <c r="AA16226" s="22" t="str">
        <f>HYPERLINK("https://www.ncbi.nlm.nih.gov/nuccore/MN734702","NCBI Nucleotide")</f>
        <v>NCBI Nucleotide</v>
      </c>
    </row>
    <row r="16227" spans="1:27" x14ac:dyDescent="0.35">
      <c r="A16227">
        <v>1005643</v>
      </c>
      <c r="B16227">
        <v>14525</v>
      </c>
      <c r="C16227">
        <v>1</v>
      </c>
      <c r="N16227" t="s">
        <v>38279</v>
      </c>
      <c r="P16227" t="s">
        <v>38280</v>
      </c>
      <c r="R16227" s="26" t="str">
        <f>HYPERLINK("https://ictv.global/taxonomy/taxondetails?taxnode_id=202313870","Apscaviroid latensvitis")</f>
        <v>Apscaviroid latensvitis</v>
      </c>
      <c r="S16227" t="s">
        <v>30</v>
      </c>
      <c r="T16227" t="s">
        <v>38297</v>
      </c>
      <c r="U16227" t="s">
        <v>38298</v>
      </c>
      <c r="W16227" t="s">
        <v>38299</v>
      </c>
      <c r="X16227" t="s">
        <v>42</v>
      </c>
      <c r="Y16227" t="s">
        <v>20674</v>
      </c>
      <c r="Z16227" t="s">
        <v>13441</v>
      </c>
      <c r="AA16227" s="22" t="str">
        <f>HYPERLINK("https://www.ncbi.nlm.nih.gov/nuccore/KR605505","NCBI Nucleotide")</f>
        <v>NCBI Nucleotide</v>
      </c>
    </row>
    <row r="16228" spans="1:27" x14ac:dyDescent="0.35">
      <c r="A16228">
        <v>1005644</v>
      </c>
      <c r="B16228">
        <v>14526</v>
      </c>
      <c r="C16228">
        <v>1</v>
      </c>
      <c r="N16228" t="s">
        <v>38279</v>
      </c>
      <c r="P16228" t="s">
        <v>38280</v>
      </c>
      <c r="R16228" s="26" t="str">
        <f>HYPERLINK("https://ictv.global/taxonomy/taxondetails?taxnode_id=202313871","Apscaviroid litchis")</f>
        <v>Apscaviroid litchis</v>
      </c>
      <c r="S16228" t="s">
        <v>30</v>
      </c>
      <c r="T16228" t="s">
        <v>38300</v>
      </c>
      <c r="U16228" t="s">
        <v>38301</v>
      </c>
      <c r="W16228" t="s">
        <v>38302</v>
      </c>
      <c r="X16228" t="s">
        <v>42</v>
      </c>
      <c r="Y16228" t="s">
        <v>20674</v>
      </c>
      <c r="Z16228" t="s">
        <v>13441</v>
      </c>
      <c r="AA16228" s="22" t="str">
        <f>HYPERLINK("https://www.ncbi.nlm.nih.gov/nuccore/MF156698","NCBI Nucleotide")</f>
        <v>NCBI Nucleotide</v>
      </c>
    </row>
    <row r="16229" spans="1:27" x14ac:dyDescent="0.35">
      <c r="A16229">
        <v>1005640</v>
      </c>
      <c r="B16229">
        <v>14527</v>
      </c>
      <c r="C16229">
        <v>1</v>
      </c>
      <c r="N16229" t="s">
        <v>38279</v>
      </c>
      <c r="P16229" t="s">
        <v>38280</v>
      </c>
      <c r="R16229" s="26" t="str">
        <f>HYPERLINK("https://ictv.global/taxonomy/taxondetails?taxnode_id=202313867","Apscaviroid maculamali")</f>
        <v>Apscaviroid maculamali</v>
      </c>
      <c r="S16229" t="s">
        <v>30</v>
      </c>
      <c r="T16229" t="s">
        <v>38288</v>
      </c>
      <c r="U16229" t="s">
        <v>38289</v>
      </c>
      <c r="W16229" t="s">
        <v>38290</v>
      </c>
      <c r="X16229" t="s">
        <v>42</v>
      </c>
      <c r="Y16229" t="s">
        <v>20674</v>
      </c>
      <c r="Z16229" t="s">
        <v>13441</v>
      </c>
      <c r="AA16229" s="22" t="str">
        <f>HYPERLINK("https://www.ncbi.nlm.nih.gov/nuccore/MF521431","NCBI Nucleotide")</f>
        <v>NCBI Nucleotide</v>
      </c>
    </row>
    <row r="16230" spans="1:27" x14ac:dyDescent="0.35">
      <c r="A16230">
        <v>1005650</v>
      </c>
      <c r="B16230">
        <v>14528</v>
      </c>
      <c r="C16230">
        <v>1</v>
      </c>
      <c r="N16230" t="s">
        <v>38279</v>
      </c>
      <c r="P16230" t="s">
        <v>38280</v>
      </c>
      <c r="R16230" s="26" t="str">
        <f>HYPERLINK("https://ictv.global/taxonomy/taxondetails?taxnode_id=202304503","Apscaviroid nanocitri")</f>
        <v>Apscaviroid nanocitri</v>
      </c>
      <c r="S16230" t="s">
        <v>30</v>
      </c>
      <c r="T16230" t="s">
        <v>38319</v>
      </c>
      <c r="U16230" t="s">
        <v>38320</v>
      </c>
      <c r="V16230" t="s">
        <v>38321</v>
      </c>
      <c r="W16230" t="s">
        <v>38322</v>
      </c>
      <c r="X16230" t="s">
        <v>42</v>
      </c>
      <c r="Y16230" t="s">
        <v>20674</v>
      </c>
      <c r="Z16230" t="s">
        <v>13441</v>
      </c>
      <c r="AA16230" s="22" t="str">
        <f>HYPERLINK("https://www.ncbi.nlm.nih.gov/nuccore/AF447788","NCBI Nucleotide")</f>
        <v>NCBI Nucleotide</v>
      </c>
    </row>
    <row r="16231" spans="1:27" x14ac:dyDescent="0.35">
      <c r="A16231">
        <v>1005655</v>
      </c>
      <c r="B16231">
        <v>14529</v>
      </c>
      <c r="C16231">
        <v>1</v>
      </c>
      <c r="N16231" t="s">
        <v>38279</v>
      </c>
      <c r="P16231" t="s">
        <v>38280</v>
      </c>
      <c r="R16231" s="26" t="str">
        <f>HYPERLINK("https://ictv.global/taxonomy/taxondetails?taxnode_id=202304508","Apscaviroid pustulapyri")</f>
        <v>Apscaviroid pustulapyri</v>
      </c>
      <c r="S16231" t="s">
        <v>30</v>
      </c>
      <c r="T16231" t="s">
        <v>38338</v>
      </c>
      <c r="U16231" t="s">
        <v>38339</v>
      </c>
      <c r="V16231" t="s">
        <v>38340</v>
      </c>
      <c r="W16231" t="s">
        <v>38341</v>
      </c>
      <c r="X16231" t="s">
        <v>42</v>
      </c>
      <c r="Y16231" t="s">
        <v>20674</v>
      </c>
      <c r="Z16231" t="s">
        <v>13441</v>
      </c>
      <c r="AA16231" s="22" t="str">
        <f>HYPERLINK("https://www.ncbi.nlm.nih.gov/nuccore/D12823","NCBI Nucleotide")</f>
        <v>NCBI Nucleotide</v>
      </c>
    </row>
    <row r="16232" spans="1:27" x14ac:dyDescent="0.35">
      <c r="A16232">
        <v>1005652</v>
      </c>
      <c r="B16232">
        <v>14530</v>
      </c>
      <c r="C16232">
        <v>1</v>
      </c>
      <c r="N16232" t="s">
        <v>38279</v>
      </c>
      <c r="P16232" t="s">
        <v>38280</v>
      </c>
      <c r="R16232" s="26" t="str">
        <f>HYPERLINK("https://ictv.global/taxonomy/taxondetails?taxnode_id=202304505","Apscaviroid zetacitri")</f>
        <v>Apscaviroid zetacitri</v>
      </c>
      <c r="S16232" t="s">
        <v>30</v>
      </c>
      <c r="T16232" t="s">
        <v>38326</v>
      </c>
      <c r="U16232" t="s">
        <v>38327</v>
      </c>
      <c r="V16232" t="s">
        <v>38328</v>
      </c>
      <c r="W16232" t="s">
        <v>38329</v>
      </c>
      <c r="X16232" t="s">
        <v>42</v>
      </c>
      <c r="Y16232" t="s">
        <v>20674</v>
      </c>
      <c r="Z16232" t="s">
        <v>13441</v>
      </c>
      <c r="AA16232" s="22" t="str">
        <f>HYPERLINK("https://www.ncbi.nlm.nih.gov/nuccore/AB019508","NCBI Nucleotide")</f>
        <v>NCBI Nucleotide</v>
      </c>
    </row>
    <row r="16233" spans="1:27" x14ac:dyDescent="0.35">
      <c r="A16233">
        <v>1005657</v>
      </c>
      <c r="B16233">
        <v>14531</v>
      </c>
      <c r="C16233">
        <v>1</v>
      </c>
      <c r="N16233" t="s">
        <v>38279</v>
      </c>
      <c r="P16233" t="s">
        <v>38342</v>
      </c>
      <c r="R16233" s="26" t="str">
        <f>HYPERLINK("https://ictv.global/taxonomy/taxondetails?taxnode_id=202304511","Cocadviroid cadangi")</f>
        <v>Cocadviroid cadangi</v>
      </c>
      <c r="S16233" t="s">
        <v>30</v>
      </c>
      <c r="T16233" t="s">
        <v>38347</v>
      </c>
      <c r="U16233" t="s">
        <v>38348</v>
      </c>
      <c r="V16233" t="s">
        <v>38349</v>
      </c>
      <c r="W16233" t="s">
        <v>38350</v>
      </c>
      <c r="X16233" t="s">
        <v>42</v>
      </c>
      <c r="Y16233" t="s">
        <v>20674</v>
      </c>
      <c r="Z16233" t="s">
        <v>13441</v>
      </c>
      <c r="AA16233" s="22" t="str">
        <f>HYPERLINK("https://www.ncbi.nlm.nih.gov/nuccore/J02049","NCBI Nucleotide")</f>
        <v>NCBI Nucleotide</v>
      </c>
    </row>
    <row r="16234" spans="1:27" x14ac:dyDescent="0.35">
      <c r="A16234">
        <v>1005659</v>
      </c>
      <c r="B16234">
        <v>14532</v>
      </c>
      <c r="C16234">
        <v>1</v>
      </c>
      <c r="N16234" t="s">
        <v>38279</v>
      </c>
      <c r="P16234" t="s">
        <v>38342</v>
      </c>
      <c r="R16234" s="26" t="str">
        <f>HYPERLINK("https://ictv.global/taxonomy/taxondetails?taxnode_id=202304513","Cocadviroid latenshumuli")</f>
        <v>Cocadviroid latenshumuli</v>
      </c>
      <c r="S16234" t="s">
        <v>30</v>
      </c>
      <c r="T16234" t="s">
        <v>38354</v>
      </c>
      <c r="U16234" t="s">
        <v>38355</v>
      </c>
      <c r="V16234" t="s">
        <v>38345</v>
      </c>
      <c r="W16234" t="s">
        <v>38356</v>
      </c>
      <c r="X16234" t="s">
        <v>42</v>
      </c>
      <c r="Y16234" t="s">
        <v>20674</v>
      </c>
      <c r="Z16234" t="s">
        <v>13441</v>
      </c>
      <c r="AA16234" s="22" t="str">
        <f>HYPERLINK("https://www.ncbi.nlm.nih.gov/nuccore/X07397","NCBI Nucleotide")</f>
        <v>NCBI Nucleotide</v>
      </c>
    </row>
    <row r="16235" spans="1:27" x14ac:dyDescent="0.35">
      <c r="A16235">
        <v>1005656</v>
      </c>
      <c r="B16235">
        <v>14533</v>
      </c>
      <c r="C16235">
        <v>1</v>
      </c>
      <c r="N16235" t="s">
        <v>38279</v>
      </c>
      <c r="P16235" t="s">
        <v>38342</v>
      </c>
      <c r="R16235" s="26" t="str">
        <f>HYPERLINK("https://ictv.global/taxonomy/taxondetails?taxnode_id=202304510","Cocadviroid rimocitri")</f>
        <v>Cocadviroid rimocitri</v>
      </c>
      <c r="S16235" t="s">
        <v>30</v>
      </c>
      <c r="T16235" t="s">
        <v>38343</v>
      </c>
      <c r="U16235" t="s">
        <v>38344</v>
      </c>
      <c r="V16235" t="s">
        <v>38345</v>
      </c>
      <c r="W16235" t="s">
        <v>38346</v>
      </c>
      <c r="X16235" t="s">
        <v>42</v>
      </c>
      <c r="Y16235" t="s">
        <v>20674</v>
      </c>
      <c r="Z16235" t="s">
        <v>13441</v>
      </c>
      <c r="AA16235" s="22" t="str">
        <f>HYPERLINK("https://www.ncbi.nlm.nih.gov/nuccore/X14638","NCBI Nucleotide")</f>
        <v>NCBI Nucleotide</v>
      </c>
    </row>
    <row r="16236" spans="1:27" x14ac:dyDescent="0.35">
      <c r="A16236">
        <v>1005658</v>
      </c>
      <c r="B16236">
        <v>14534</v>
      </c>
      <c r="C16236">
        <v>1</v>
      </c>
      <c r="N16236" t="s">
        <v>38279</v>
      </c>
      <c r="P16236" t="s">
        <v>38342</v>
      </c>
      <c r="R16236" s="26" t="str">
        <f>HYPERLINK("https://ictv.global/taxonomy/taxondetails?taxnode_id=202304512","Cocadviroid tinangajae")</f>
        <v>Cocadviroid tinangajae</v>
      </c>
      <c r="S16236" t="s">
        <v>30</v>
      </c>
      <c r="T16236" t="s">
        <v>38351</v>
      </c>
      <c r="U16236" t="s">
        <v>38352</v>
      </c>
      <c r="V16236" t="s">
        <v>19923</v>
      </c>
      <c r="W16236" t="s">
        <v>38353</v>
      </c>
      <c r="X16236" t="s">
        <v>42</v>
      </c>
      <c r="Y16236" t="s">
        <v>20674</v>
      </c>
      <c r="Z16236" t="s">
        <v>13441</v>
      </c>
      <c r="AA16236" s="22" t="str">
        <f>HYPERLINK("https://www.ncbi.nlm.nih.gov/nuccore/M20731","NCBI Nucleotide")</f>
        <v>NCBI Nucleotide</v>
      </c>
    </row>
    <row r="16237" spans="1:27" x14ac:dyDescent="0.35">
      <c r="A16237">
        <v>1005660</v>
      </c>
      <c r="B16237">
        <v>14535</v>
      </c>
      <c r="C16237">
        <v>1</v>
      </c>
      <c r="N16237" t="s">
        <v>38279</v>
      </c>
      <c r="P16237" t="s">
        <v>38357</v>
      </c>
      <c r="R16237" s="26" t="str">
        <f>HYPERLINK("https://ictv.global/taxonomy/taxondetails?taxnode_id=202304515","Coleviroid alphacolei")</f>
        <v>Coleviroid alphacolei</v>
      </c>
      <c r="S16237" t="s">
        <v>30</v>
      </c>
      <c r="T16237" t="s">
        <v>38358</v>
      </c>
      <c r="U16237" t="s">
        <v>38359</v>
      </c>
      <c r="V16237" t="s">
        <v>38360</v>
      </c>
      <c r="W16237" t="s">
        <v>38361</v>
      </c>
      <c r="X16237" t="s">
        <v>42</v>
      </c>
      <c r="Y16237" t="s">
        <v>20674</v>
      </c>
      <c r="Z16237" t="s">
        <v>13441</v>
      </c>
      <c r="AA16237" s="22" t="str">
        <f>HYPERLINK("https://www.ncbi.nlm.nih.gov/nuccore/X52960","NCBI Nucleotide")</f>
        <v>NCBI Nucleotide</v>
      </c>
    </row>
    <row r="16238" spans="1:27" x14ac:dyDescent="0.35">
      <c r="A16238">
        <v>1005661</v>
      </c>
      <c r="B16238">
        <v>14536</v>
      </c>
      <c r="C16238">
        <v>1</v>
      </c>
      <c r="N16238" t="s">
        <v>38279</v>
      </c>
      <c r="P16238" t="s">
        <v>38357</v>
      </c>
      <c r="R16238" s="26" t="str">
        <f>HYPERLINK("https://ictv.global/taxonomy/taxondetails?taxnode_id=202304516","Coleviroid betacolei")</f>
        <v>Coleviroid betacolei</v>
      </c>
      <c r="S16238" t="s">
        <v>30</v>
      </c>
      <c r="T16238" t="s">
        <v>38362</v>
      </c>
      <c r="U16238" t="s">
        <v>38363</v>
      </c>
      <c r="V16238" t="s">
        <v>38364</v>
      </c>
      <c r="W16238" t="s">
        <v>38365</v>
      </c>
      <c r="X16238" t="s">
        <v>42</v>
      </c>
      <c r="Y16238" t="s">
        <v>20674</v>
      </c>
      <c r="Z16238" t="s">
        <v>13441</v>
      </c>
      <c r="AA16238" s="22" t="str">
        <f>HYPERLINK("https://www.ncbi.nlm.nih.gov/nuccore/X95365","NCBI Nucleotide")</f>
        <v>NCBI Nucleotide</v>
      </c>
    </row>
    <row r="16239" spans="1:27" x14ac:dyDescent="0.35">
      <c r="A16239">
        <v>1005663</v>
      </c>
      <c r="B16239">
        <v>14537</v>
      </c>
      <c r="C16239">
        <v>1</v>
      </c>
      <c r="N16239" t="s">
        <v>38279</v>
      </c>
      <c r="P16239" t="s">
        <v>38357</v>
      </c>
      <c r="R16239" s="26" t="str">
        <f>HYPERLINK("https://ictv.global/taxonomy/taxondetails?taxnode_id=202313875","Coleviroid epsiloncolei")</f>
        <v>Coleviroid epsiloncolei</v>
      </c>
      <c r="S16239" t="s">
        <v>30</v>
      </c>
      <c r="T16239" t="s">
        <v>38369</v>
      </c>
      <c r="U16239" t="s">
        <v>38370</v>
      </c>
      <c r="W16239" t="s">
        <v>38371</v>
      </c>
      <c r="X16239" t="s">
        <v>42</v>
      </c>
      <c r="Y16239" t="s">
        <v>20674</v>
      </c>
      <c r="Z16239" t="s">
        <v>13441</v>
      </c>
      <c r="AA16239" s="22" t="str">
        <f>HYPERLINK("https://www.ncbi.nlm.nih.gov/nuccore/FJ151370","NCBI Nucleotide")</f>
        <v>NCBI Nucleotide</v>
      </c>
    </row>
    <row r="16240" spans="1:27" x14ac:dyDescent="0.35">
      <c r="A16240">
        <v>1005662</v>
      </c>
      <c r="B16240">
        <v>14538</v>
      </c>
      <c r="C16240">
        <v>1</v>
      </c>
      <c r="N16240" t="s">
        <v>38279</v>
      </c>
      <c r="P16240" t="s">
        <v>38357</v>
      </c>
      <c r="R16240" s="26" t="str">
        <f>HYPERLINK("https://ictv.global/taxonomy/taxondetails?taxnode_id=202304517","Coleviroid gammacolei")</f>
        <v>Coleviroid gammacolei</v>
      </c>
      <c r="S16240" t="s">
        <v>30</v>
      </c>
      <c r="T16240" t="s">
        <v>38366</v>
      </c>
      <c r="U16240" t="s">
        <v>38367</v>
      </c>
      <c r="V16240" t="s">
        <v>33672</v>
      </c>
      <c r="W16240" t="s">
        <v>38368</v>
      </c>
      <c r="X16240" t="s">
        <v>42</v>
      </c>
      <c r="Y16240" t="s">
        <v>20674</v>
      </c>
      <c r="Z16240" t="s">
        <v>13441</v>
      </c>
      <c r="AA16240" s="22" t="str">
        <f>HYPERLINK("https://www.ncbi.nlm.nih.gov/nuccore/X95290","NCBI Nucleotide")</f>
        <v>NCBI Nucleotide</v>
      </c>
    </row>
    <row r="16241" spans="1:27" x14ac:dyDescent="0.35">
      <c r="A16241">
        <v>1005664</v>
      </c>
      <c r="B16241">
        <v>14539</v>
      </c>
      <c r="C16241">
        <v>1</v>
      </c>
      <c r="N16241" t="s">
        <v>38279</v>
      </c>
      <c r="P16241" t="s">
        <v>38357</v>
      </c>
      <c r="R16241" s="26" t="str">
        <f>HYPERLINK("https://ictv.global/taxonomy/taxondetails?taxnode_id=202313876","Coleviroid zetacolei")</f>
        <v>Coleviroid zetacolei</v>
      </c>
      <c r="S16241" t="s">
        <v>30</v>
      </c>
      <c r="T16241" t="s">
        <v>38372</v>
      </c>
      <c r="U16241" t="s">
        <v>38373</v>
      </c>
      <c r="W16241" t="s">
        <v>38374</v>
      </c>
      <c r="X16241" t="s">
        <v>42</v>
      </c>
      <c r="Y16241" t="s">
        <v>20674</v>
      </c>
      <c r="Z16241" t="s">
        <v>13441</v>
      </c>
      <c r="AA16241" s="22" t="str">
        <f>HYPERLINK("https://www.ncbi.nlm.nih.gov/nuccore/FJ615418","NCBI Nucleotide")</f>
        <v>NCBI Nucleotide</v>
      </c>
    </row>
    <row r="16242" spans="1:27" x14ac:dyDescent="0.35">
      <c r="A16242">
        <v>1005666</v>
      </c>
      <c r="B16242">
        <v>14540</v>
      </c>
      <c r="C16242">
        <v>1</v>
      </c>
      <c r="N16242" t="s">
        <v>38279</v>
      </c>
      <c r="P16242" t="s">
        <v>38375</v>
      </c>
      <c r="R16242" s="26" t="str">
        <f>HYPERLINK("https://ictv.global/taxonomy/taxondetails?taxnode_id=202304520","Hostuviroid impedihumuli")</f>
        <v>Hostuviroid impedihumuli</v>
      </c>
      <c r="S16242" t="s">
        <v>30</v>
      </c>
      <c r="T16242" t="s">
        <v>38379</v>
      </c>
      <c r="U16242" t="s">
        <v>38380</v>
      </c>
      <c r="V16242" t="s">
        <v>38381</v>
      </c>
      <c r="W16242" t="s">
        <v>38382</v>
      </c>
      <c r="X16242" t="s">
        <v>42</v>
      </c>
      <c r="Y16242" t="s">
        <v>20674</v>
      </c>
      <c r="Z16242" t="s">
        <v>13441</v>
      </c>
      <c r="AA16242" s="22" t="str">
        <f>HYPERLINK("https://www.ncbi.nlm.nih.gov/nuccore/X06719","NCBI Nucleotide")</f>
        <v>NCBI Nucleotide</v>
      </c>
    </row>
    <row r="16243" spans="1:27" x14ac:dyDescent="0.35">
      <c r="A16243">
        <v>1005665</v>
      </c>
      <c r="B16243">
        <v>14541</v>
      </c>
      <c r="C16243">
        <v>1</v>
      </c>
      <c r="N16243" t="s">
        <v>38279</v>
      </c>
      <c r="P16243" t="s">
        <v>38375</v>
      </c>
      <c r="R16243" s="26" t="str">
        <f>HYPERLINK("https://ictv.global/taxonomy/taxondetails?taxnode_id=202304519","Hostuviroid latensdahliae")</f>
        <v>Hostuviroid latensdahliae</v>
      </c>
      <c r="S16243" t="s">
        <v>30</v>
      </c>
      <c r="T16243" t="s">
        <v>38376</v>
      </c>
      <c r="U16243" t="s">
        <v>38377</v>
      </c>
      <c r="V16243">
        <v>4706174</v>
      </c>
      <c r="W16243" t="s">
        <v>38378</v>
      </c>
      <c r="X16243" t="s">
        <v>42</v>
      </c>
      <c r="Y16243" t="s">
        <v>20674</v>
      </c>
      <c r="Z16243" t="s">
        <v>13441</v>
      </c>
      <c r="AA16243" s="22" t="str">
        <f>HYPERLINK("https://www.ncbi.nlm.nih.gov/nuccore/JX263426","NCBI Nucleotide")</f>
        <v>NCBI Nucleotide</v>
      </c>
    </row>
    <row r="16244" spans="1:27" x14ac:dyDescent="0.35">
      <c r="A16244">
        <v>1005670</v>
      </c>
      <c r="B16244">
        <v>14542</v>
      </c>
      <c r="C16244">
        <v>1</v>
      </c>
      <c r="N16244" t="s">
        <v>38279</v>
      </c>
      <c r="P16244" t="s">
        <v>38383</v>
      </c>
      <c r="R16244" s="26" t="str">
        <f>HYPERLINK("https://ictv.global/taxonomy/taxondetails?taxnode_id=202304525","Pospiviroid alphairesinis")</f>
        <v>Pospiviroid alphairesinis</v>
      </c>
      <c r="S16244" t="s">
        <v>30</v>
      </c>
      <c r="T16244" t="s">
        <v>38396</v>
      </c>
      <c r="U16244" t="s">
        <v>38397</v>
      </c>
      <c r="V16244" t="s">
        <v>38360</v>
      </c>
      <c r="W16244" t="s">
        <v>38398</v>
      </c>
      <c r="X16244" t="s">
        <v>42</v>
      </c>
      <c r="Y16244" t="s">
        <v>20674</v>
      </c>
      <c r="Z16244" t="s">
        <v>13441</v>
      </c>
      <c r="AA16244" s="22" t="str">
        <f>HYPERLINK("https://www.ncbi.nlm.nih.gov/nuccore/X95734","NCBI Nucleotide")</f>
        <v>NCBI Nucleotide</v>
      </c>
    </row>
    <row r="16245" spans="1:27" x14ac:dyDescent="0.35">
      <c r="A16245">
        <v>1005674</v>
      </c>
      <c r="B16245">
        <v>14543</v>
      </c>
      <c r="C16245">
        <v>1</v>
      </c>
      <c r="N16245" t="s">
        <v>38279</v>
      </c>
      <c r="P16245" t="s">
        <v>38383</v>
      </c>
      <c r="R16245" s="26" t="str">
        <f>HYPERLINK("https://ictv.global/taxonomy/taxondetails?taxnode_id=202304528","Pospiviroid apicimpeditum")</f>
        <v>Pospiviroid apicimpeditum</v>
      </c>
      <c r="S16245" t="s">
        <v>30</v>
      </c>
      <c r="T16245" t="s">
        <v>38409</v>
      </c>
      <c r="U16245" t="s">
        <v>38410</v>
      </c>
      <c r="V16245" t="s">
        <v>38411</v>
      </c>
      <c r="W16245" t="s">
        <v>38412</v>
      </c>
      <c r="X16245" t="s">
        <v>42</v>
      </c>
      <c r="Y16245" t="s">
        <v>20674</v>
      </c>
      <c r="Z16245" t="s">
        <v>13441</v>
      </c>
      <c r="AA16245" s="22" t="str">
        <f>HYPERLINK("https://www.ncbi.nlm.nih.gov/nuccore/K00818","NCBI Nucleotide")</f>
        <v>NCBI Nucleotide</v>
      </c>
    </row>
    <row r="16246" spans="1:27" x14ac:dyDescent="0.35">
      <c r="A16246">
        <v>1005675</v>
      </c>
      <c r="B16246">
        <v>14544</v>
      </c>
      <c r="C16246">
        <v>1</v>
      </c>
      <c r="N16246" t="s">
        <v>38279</v>
      </c>
      <c r="P16246" t="s">
        <v>38383</v>
      </c>
      <c r="R16246" s="26" t="str">
        <f>HYPERLINK("https://ictv.global/taxonomy/taxondetails?taxnode_id=202304529","Pospiviroid chloronani")</f>
        <v>Pospiviroid chloronani</v>
      </c>
      <c r="S16246" t="s">
        <v>30</v>
      </c>
      <c r="T16246" t="s">
        <v>38413</v>
      </c>
      <c r="U16246" t="s">
        <v>38414</v>
      </c>
      <c r="V16246" t="s">
        <v>38415</v>
      </c>
      <c r="W16246" t="s">
        <v>38416</v>
      </c>
      <c r="X16246" t="s">
        <v>42</v>
      </c>
      <c r="Y16246" t="s">
        <v>20674</v>
      </c>
      <c r="Z16246" t="s">
        <v>13441</v>
      </c>
      <c r="AA16246" s="22" t="str">
        <f>HYPERLINK("https://www.ncbi.nlm.nih.gov/nuccore/AF162131","NCBI Nucleotide")</f>
        <v>NCBI Nucleotide</v>
      </c>
    </row>
    <row r="16247" spans="1:27" x14ac:dyDescent="0.35">
      <c r="A16247">
        <v>1005668</v>
      </c>
      <c r="B16247">
        <v>14545</v>
      </c>
      <c r="C16247">
        <v>1</v>
      </c>
      <c r="N16247" t="s">
        <v>38279</v>
      </c>
      <c r="P16247" t="s">
        <v>38383</v>
      </c>
      <c r="R16247" s="26" t="str">
        <f>HYPERLINK("https://ictv.global/taxonomy/taxondetails?taxnode_id=202304523","Pospiviroid exocortiscitri")</f>
        <v>Pospiviroid exocortiscitri</v>
      </c>
      <c r="S16247" t="s">
        <v>30</v>
      </c>
      <c r="T16247" t="s">
        <v>38388</v>
      </c>
      <c r="U16247" t="s">
        <v>38389</v>
      </c>
      <c r="V16247" t="s">
        <v>38390</v>
      </c>
      <c r="W16247" t="s">
        <v>38391</v>
      </c>
      <c r="X16247" t="s">
        <v>42</v>
      </c>
      <c r="Y16247" t="s">
        <v>20674</v>
      </c>
      <c r="Z16247" t="s">
        <v>13441</v>
      </c>
      <c r="AA16247" s="22" t="str">
        <f>HYPERLINK("https://www.ncbi.nlm.nih.gov/nuccore/J02053","NCBI Nucleotide")</f>
        <v>NCBI Nucleotide</v>
      </c>
    </row>
    <row r="16248" spans="1:27" x14ac:dyDescent="0.35">
      <c r="A16248">
        <v>1005673</v>
      </c>
      <c r="B16248">
        <v>14546</v>
      </c>
      <c r="C16248">
        <v>1</v>
      </c>
      <c r="N16248" t="s">
        <v>38279</v>
      </c>
      <c r="P16248" t="s">
        <v>38383</v>
      </c>
      <c r="R16248" s="26" t="str">
        <f>HYPERLINK("https://ictv.global/taxonomy/taxondetails?taxnode_id=202304527","Pospiviroid fusituberis")</f>
        <v>Pospiviroid fusituberis</v>
      </c>
      <c r="S16248" t="s">
        <v>30</v>
      </c>
      <c r="T16248" t="s">
        <v>38406</v>
      </c>
      <c r="U16248" t="s">
        <v>38407</v>
      </c>
      <c r="V16248" t="s">
        <v>38390</v>
      </c>
      <c r="W16248" t="s">
        <v>38408</v>
      </c>
      <c r="X16248" t="s">
        <v>42</v>
      </c>
      <c r="Y16248" t="s">
        <v>20674</v>
      </c>
      <c r="Z16248" t="s">
        <v>13441</v>
      </c>
      <c r="AA16248" s="22" t="str">
        <f>HYPERLINK("https://www.ncbi.nlm.nih.gov/nuccore/V01465","NCBI Nucleotide")</f>
        <v>NCBI Nucleotide</v>
      </c>
    </row>
    <row r="16249" spans="1:27" x14ac:dyDescent="0.35">
      <c r="A16249">
        <v>1005667</v>
      </c>
      <c r="B16249">
        <v>14547</v>
      </c>
      <c r="C16249">
        <v>1</v>
      </c>
      <c r="N16249" t="s">
        <v>38279</v>
      </c>
      <c r="P16249" t="s">
        <v>38383</v>
      </c>
      <c r="R16249" s="26" t="str">
        <f>HYPERLINK("https://ictv.global/taxonomy/taxondetails?taxnode_id=202304522","Pospiviroid impedichrysanthemi")</f>
        <v>Pospiviroid impedichrysanthemi</v>
      </c>
      <c r="S16249" t="s">
        <v>30</v>
      </c>
      <c r="T16249" t="s">
        <v>38384</v>
      </c>
      <c r="U16249" t="s">
        <v>38385</v>
      </c>
      <c r="V16249" t="s">
        <v>38386</v>
      </c>
      <c r="W16249" t="s">
        <v>38387</v>
      </c>
      <c r="X16249" t="s">
        <v>42</v>
      </c>
      <c r="Y16249" t="s">
        <v>20674</v>
      </c>
      <c r="Z16249" t="s">
        <v>13441</v>
      </c>
      <c r="AA16249" s="22" t="str">
        <f>HYPERLINK("https://www.ncbi.nlm.nih.gov/nuccore/V01107","NCBI Nucleotide")</f>
        <v>NCBI Nucleotide</v>
      </c>
    </row>
    <row r="16250" spans="1:27" x14ac:dyDescent="0.35">
      <c r="A16250">
        <v>1005669</v>
      </c>
      <c r="B16250">
        <v>14548</v>
      </c>
      <c r="C16250">
        <v>1</v>
      </c>
      <c r="N16250" t="s">
        <v>38279</v>
      </c>
      <c r="P16250" t="s">
        <v>38383</v>
      </c>
      <c r="R16250" s="26" t="str">
        <f>HYPERLINK("https://ictv.global/taxonomy/taxondetails?taxnode_id=202304524","Pospiviroid latenscolumneae")</f>
        <v>Pospiviroid latenscolumneae</v>
      </c>
      <c r="S16250" t="s">
        <v>30</v>
      </c>
      <c r="T16250" t="s">
        <v>38392</v>
      </c>
      <c r="U16250" t="s">
        <v>38393</v>
      </c>
      <c r="V16250" t="s">
        <v>38394</v>
      </c>
      <c r="W16250" t="s">
        <v>38395</v>
      </c>
      <c r="X16250" t="s">
        <v>42</v>
      </c>
      <c r="Y16250" t="s">
        <v>20674</v>
      </c>
      <c r="Z16250" t="s">
        <v>13441</v>
      </c>
      <c r="AA16250" s="22" t="str">
        <f>HYPERLINK("https://www.ncbi.nlm.nih.gov/nuccore/X15663","NCBI Nucleotide")</f>
        <v>NCBI Nucleotide</v>
      </c>
    </row>
    <row r="16251" spans="1:27" x14ac:dyDescent="0.35">
      <c r="A16251">
        <v>1005672</v>
      </c>
      <c r="B16251">
        <v>14549</v>
      </c>
      <c r="C16251">
        <v>1</v>
      </c>
      <c r="N16251" t="s">
        <v>38279</v>
      </c>
      <c r="P16251" t="s">
        <v>38383</v>
      </c>
      <c r="R16251" s="26" t="str">
        <f>HYPERLINK("https://ictv.global/taxonomy/taxondetails?taxnode_id=202313877","Pospiviroid latensportulacae")</f>
        <v>Pospiviroid latensportulacae</v>
      </c>
      <c r="S16251" t="s">
        <v>30</v>
      </c>
      <c r="T16251" t="s">
        <v>38403</v>
      </c>
      <c r="U16251" t="s">
        <v>38404</v>
      </c>
      <c r="W16251" t="s">
        <v>38405</v>
      </c>
      <c r="X16251" t="s">
        <v>42</v>
      </c>
      <c r="Y16251" t="s">
        <v>20674</v>
      </c>
      <c r="Z16251" t="s">
        <v>13441</v>
      </c>
      <c r="AA16251" s="22" t="str">
        <f>HYPERLINK("https://www.ncbi.nlm.nih.gov/nuccore/KR677387","NCBI Nucleotide")</f>
        <v>NCBI Nucleotide</v>
      </c>
    </row>
    <row r="16252" spans="1:27" x14ac:dyDescent="0.35">
      <c r="A16252">
        <v>1005676</v>
      </c>
      <c r="B16252">
        <v>14550</v>
      </c>
      <c r="C16252">
        <v>1</v>
      </c>
      <c r="N16252" t="s">
        <v>38279</v>
      </c>
      <c r="P16252" t="s">
        <v>38383</v>
      </c>
      <c r="R16252" s="26" t="str">
        <f>HYPERLINK("https://ictv.global/taxonomy/taxondetails?taxnode_id=202304530","Pospiviroid machoplantae")</f>
        <v>Pospiviroid machoplantae</v>
      </c>
      <c r="S16252" t="s">
        <v>30</v>
      </c>
      <c r="T16252" t="s">
        <v>38417</v>
      </c>
      <c r="U16252" t="s">
        <v>38418</v>
      </c>
      <c r="V16252" t="s">
        <v>38411</v>
      </c>
      <c r="W16252" t="s">
        <v>38419</v>
      </c>
      <c r="X16252" t="s">
        <v>42</v>
      </c>
      <c r="Y16252" t="s">
        <v>20674</v>
      </c>
      <c r="Z16252" t="s">
        <v>13441</v>
      </c>
      <c r="AA16252" s="22" t="str">
        <f>HYPERLINK("https://www.ncbi.nlm.nih.gov/nuccore/K00817","NCBI Nucleotide")</f>
        <v>NCBI Nucleotide</v>
      </c>
    </row>
    <row r="16253" spans="1:27" x14ac:dyDescent="0.35">
      <c r="A16253">
        <v>1005671</v>
      </c>
      <c r="B16253">
        <v>14551</v>
      </c>
      <c r="C16253">
        <v>1</v>
      </c>
      <c r="N16253" t="s">
        <v>38279</v>
      </c>
      <c r="P16253" t="s">
        <v>38383</v>
      </c>
      <c r="R16253" s="26" t="str">
        <f>HYPERLINK("https://ictv.global/taxonomy/taxondetails?taxnode_id=202304526","Pospiviroid parvicapsici")</f>
        <v>Pospiviroid parvicapsici</v>
      </c>
      <c r="S16253" t="s">
        <v>30</v>
      </c>
      <c r="T16253" t="s">
        <v>38399</v>
      </c>
      <c r="U16253" t="s">
        <v>38400</v>
      </c>
      <c r="V16253" t="s">
        <v>38401</v>
      </c>
      <c r="W16253" t="s">
        <v>38402</v>
      </c>
      <c r="X16253" t="s">
        <v>42</v>
      </c>
      <c r="Y16253" t="s">
        <v>20674</v>
      </c>
      <c r="Z16253" t="s">
        <v>13441</v>
      </c>
      <c r="AA16253" s="22" t="str">
        <f>HYPERLINK("https://www.ncbi.nlm.nih.gov/nuccore/FJ409044","NCBI Nucleotide")</f>
        <v>NCBI Nucleotide</v>
      </c>
    </row>
    <row r="16254" spans="1:27" x14ac:dyDescent="0.35">
      <c r="A16254">
        <v>1005677</v>
      </c>
      <c r="B16254">
        <v>14552</v>
      </c>
      <c r="C16254">
        <v>1</v>
      </c>
      <c r="N16254" t="s">
        <v>38420</v>
      </c>
      <c r="P16254" t="s">
        <v>38421</v>
      </c>
      <c r="R16254" s="26" t="str">
        <f>HYPERLINK("https://ictv.global/taxonomy/taxondetails?taxnode_id=202315072","Dinogtaviriform tomaschi")</f>
        <v>Dinogtaviriform tomaschi</v>
      </c>
      <c r="S16254" t="s">
        <v>30</v>
      </c>
      <c r="T16254" t="s">
        <v>38422</v>
      </c>
      <c r="U16254" t="s">
        <v>38423</v>
      </c>
      <c r="W16254" t="s">
        <v>50754</v>
      </c>
      <c r="X16254" t="s">
        <v>154</v>
      </c>
      <c r="Y16254" t="s">
        <v>36</v>
      </c>
      <c r="Z16254" t="s">
        <v>697</v>
      </c>
      <c r="AA16254" s="22" t="str">
        <f>HYPERLINK("https://www.ncbi.nlm.nih.gov/nuccore/CP000830","NCBI Nucleotide")</f>
        <v>NCBI Nucleotide</v>
      </c>
    </row>
    <row r="16255" spans="1:27" x14ac:dyDescent="0.35">
      <c r="A16255">
        <v>1005678</v>
      </c>
      <c r="B16255">
        <v>14553</v>
      </c>
      <c r="C16255">
        <v>1</v>
      </c>
      <c r="N16255" t="s">
        <v>38420</v>
      </c>
      <c r="P16255" t="s">
        <v>38424</v>
      </c>
      <c r="R16255" s="26" t="str">
        <f>HYPERLINK("https://ictv.global/taxonomy/taxondetails?taxnode_id=202315073","Rhodobactegtaviriform marrsi")</f>
        <v>Rhodobactegtaviriform marrsi</v>
      </c>
      <c r="S16255" t="s">
        <v>30</v>
      </c>
      <c r="T16255" t="s">
        <v>38425</v>
      </c>
      <c r="U16255" t="s">
        <v>38426</v>
      </c>
      <c r="W16255" t="s">
        <v>50755</v>
      </c>
      <c r="X16255" t="s">
        <v>154</v>
      </c>
      <c r="Y16255" t="s">
        <v>36</v>
      </c>
      <c r="Z16255" t="s">
        <v>697</v>
      </c>
      <c r="AA16255" s="22" t="str">
        <f>HYPERLINK("https://www.ncbi.nlm.nih.gov/nuccore/CP001312","NCBI Nucleotide")</f>
        <v>NCBI Nucleotide</v>
      </c>
    </row>
    <row r="16256" spans="1:27" x14ac:dyDescent="0.35">
      <c r="A16256">
        <v>1005679</v>
      </c>
      <c r="B16256">
        <v>14554</v>
      </c>
      <c r="C16256">
        <v>1</v>
      </c>
      <c r="N16256" t="s">
        <v>38420</v>
      </c>
      <c r="P16256" t="s">
        <v>38427</v>
      </c>
      <c r="R16256" s="26" t="str">
        <f>HYPERLINK("https://ictv.global/taxonomy/taxondetails?taxnode_id=202315074","Rhodovulugtaviriform kikuchii")</f>
        <v>Rhodovulugtaviriform kikuchii</v>
      </c>
      <c r="S16256" t="s">
        <v>30</v>
      </c>
      <c r="T16256" t="s">
        <v>38428</v>
      </c>
      <c r="U16256" t="s">
        <v>38429</v>
      </c>
      <c r="W16256" t="s">
        <v>50756</v>
      </c>
      <c r="X16256" t="s">
        <v>154</v>
      </c>
      <c r="Y16256" t="s">
        <v>36</v>
      </c>
      <c r="Z16256" t="s">
        <v>697</v>
      </c>
      <c r="AA16256" s="22" t="str">
        <f>HYPERLINK("https://www.ncbi.nlm.nih.gov/nuccore/CP015418","NCBI Nucleotide")</f>
        <v>NCBI Nucleotide</v>
      </c>
    </row>
    <row r="16257" spans="1:27" x14ac:dyDescent="0.35">
      <c r="A16257">
        <v>1005680</v>
      </c>
      <c r="B16257">
        <v>14555</v>
      </c>
      <c r="C16257">
        <v>1</v>
      </c>
      <c r="N16257" t="s">
        <v>38420</v>
      </c>
      <c r="P16257" t="s">
        <v>38430</v>
      </c>
      <c r="R16257" s="26" t="str">
        <f>HYPERLINK("https://ictv.global/taxonomy/taxondetails?taxnode_id=202315075","Ruegerigtaviriform cheni")</f>
        <v>Ruegerigtaviriform cheni</v>
      </c>
      <c r="S16257" t="s">
        <v>30</v>
      </c>
      <c r="T16257" t="s">
        <v>38431</v>
      </c>
      <c r="U16257" t="s">
        <v>38432</v>
      </c>
      <c r="W16257" t="s">
        <v>50757</v>
      </c>
      <c r="X16257" t="s">
        <v>154</v>
      </c>
      <c r="Y16257" t="s">
        <v>36</v>
      </c>
      <c r="Z16257" t="s">
        <v>697</v>
      </c>
      <c r="AA16257" s="22" t="str">
        <f>HYPERLINK("https://www.ncbi.nlm.nih.gov/nuccore/CP000031","NCBI Nucleotide")</f>
        <v>NCBI Nucleotide</v>
      </c>
    </row>
    <row r="16258" spans="1:27" x14ac:dyDescent="0.35">
      <c r="A16258">
        <v>1005681</v>
      </c>
      <c r="B16258">
        <v>14556</v>
      </c>
      <c r="C16258">
        <v>1</v>
      </c>
      <c r="N16258" t="s">
        <v>38433</v>
      </c>
      <c r="P16258" t="s">
        <v>38434</v>
      </c>
      <c r="R16258" s="26" t="str">
        <f>HYPERLINK("https://ictv.global/taxonomy/taxondetails?taxnode_id=202305069","Alphaspiravirus yamagawaense")</f>
        <v>Alphaspiravirus yamagawaense</v>
      </c>
      <c r="S16258" t="s">
        <v>30</v>
      </c>
      <c r="T16258" t="s">
        <v>38435</v>
      </c>
      <c r="U16258" t="s">
        <v>38436</v>
      </c>
      <c r="W16258" t="s">
        <v>38437</v>
      </c>
      <c r="X16258" t="s">
        <v>42</v>
      </c>
      <c r="Y16258" t="s">
        <v>10517</v>
      </c>
      <c r="Z16258" t="s">
        <v>37</v>
      </c>
      <c r="AA16258" s="22" t="str">
        <f>HYPERLINK("https://www.ncbi.nlm.nih.gov/nuccore/HE681887","NCBI Nucleotide")</f>
        <v>NCBI Nucleotide</v>
      </c>
    </row>
    <row r="16259" spans="1:27" x14ac:dyDescent="0.35">
      <c r="A16259">
        <v>1005682</v>
      </c>
      <c r="B16259">
        <v>14557</v>
      </c>
      <c r="C16259">
        <v>1</v>
      </c>
      <c r="N16259" t="s">
        <v>38438</v>
      </c>
      <c r="P16259" t="s">
        <v>38439</v>
      </c>
      <c r="R16259" s="26" t="str">
        <f>HYPERLINK("https://ictv.global/taxonomy/taxondetails?taxnode_id=202308059","Nitmarvirus maris")</f>
        <v>Nitmarvirus maris</v>
      </c>
      <c r="S16259" t="s">
        <v>30</v>
      </c>
      <c r="T16259" t="s">
        <v>38440</v>
      </c>
      <c r="U16259" t="s">
        <v>38441</v>
      </c>
      <c r="V16259" t="s">
        <v>38442</v>
      </c>
      <c r="W16259" t="s">
        <v>38443</v>
      </c>
      <c r="X16259" t="s">
        <v>42</v>
      </c>
      <c r="Y16259" t="s">
        <v>36</v>
      </c>
      <c r="Z16259" t="s">
        <v>37</v>
      </c>
      <c r="AA16259" s="22" t="str">
        <f>HYPERLINK("https://www.ncbi.nlm.nih.gov/nuccore/MK570053","NCBI Nucleotide")</f>
        <v>NCBI Nucleotide</v>
      </c>
    </row>
    <row r="16260" spans="1:27" x14ac:dyDescent="0.35">
      <c r="A16260">
        <v>1012190</v>
      </c>
      <c r="B16260">
        <v>14557</v>
      </c>
      <c r="C16260">
        <v>2</v>
      </c>
      <c r="N16260" t="s">
        <v>38438</v>
      </c>
      <c r="P16260" t="s">
        <v>38439</v>
      </c>
      <c r="R16260" s="26" t="str">
        <f>HYPERLINK("https://ictv.global/taxonomy/taxondetails?taxnode_id=202308059","Nitmarvirus maris")</f>
        <v>Nitmarvirus maris</v>
      </c>
      <c r="S16260" t="s">
        <v>8141</v>
      </c>
      <c r="T16260" t="s">
        <v>38440</v>
      </c>
      <c r="U16260" t="s">
        <v>38441</v>
      </c>
      <c r="V16260" t="s">
        <v>38444</v>
      </c>
      <c r="W16260" t="s">
        <v>50382</v>
      </c>
      <c r="X16260" t="s">
        <v>42</v>
      </c>
      <c r="Y16260" t="s">
        <v>36</v>
      </c>
      <c r="Z16260" t="s">
        <v>37</v>
      </c>
      <c r="AA16260" s="22" t="str">
        <f>HYPERLINK("https://www.ncbi.nlm.nih.gov/nuccore/MK570054","NCBI Nucleotide")</f>
        <v>NCBI Nucleotide</v>
      </c>
    </row>
    <row r="16261" spans="1:27" x14ac:dyDescent="0.35">
      <c r="A16261">
        <v>1012191</v>
      </c>
      <c r="B16261">
        <v>14557</v>
      </c>
      <c r="C16261">
        <v>3</v>
      </c>
      <c r="N16261" t="s">
        <v>38438</v>
      </c>
      <c r="P16261" t="s">
        <v>38439</v>
      </c>
      <c r="R16261" s="26" t="str">
        <f>HYPERLINK("https://ictv.global/taxonomy/taxondetails?taxnode_id=202308059","Nitmarvirus maris")</f>
        <v>Nitmarvirus maris</v>
      </c>
      <c r="S16261" t="s">
        <v>8141</v>
      </c>
      <c r="T16261" t="s">
        <v>38440</v>
      </c>
      <c r="U16261" t="s">
        <v>38441</v>
      </c>
      <c r="V16261" t="s">
        <v>38445</v>
      </c>
      <c r="W16261" t="s">
        <v>50383</v>
      </c>
      <c r="X16261" t="s">
        <v>42</v>
      </c>
      <c r="Y16261" t="s">
        <v>36</v>
      </c>
      <c r="Z16261" t="s">
        <v>37</v>
      </c>
      <c r="AA16261" s="22" t="str">
        <f>HYPERLINK("https://www.ncbi.nlm.nih.gov/nuccore/MK570055","NCBI Nucleotide")</f>
        <v>NCBI Nucleotide</v>
      </c>
    </row>
    <row r="16262" spans="1:27" x14ac:dyDescent="0.35">
      <c r="A16262">
        <v>1006102</v>
      </c>
      <c r="B16262">
        <v>14558</v>
      </c>
      <c r="C16262">
        <v>1</v>
      </c>
      <c r="N16262" t="s">
        <v>38446</v>
      </c>
      <c r="P16262" t="s">
        <v>38447</v>
      </c>
      <c r="R16262" s="26" t="str">
        <f>HYPERLINK("https://ictv.global/taxonomy/taxondetails?taxnode_id=202309214","Betasatellite abelmoschusinvolutionis")</f>
        <v>Betasatellite abelmoschusinvolutionis</v>
      </c>
      <c r="S16262" t="s">
        <v>30</v>
      </c>
      <c r="T16262" t="s">
        <v>38655</v>
      </c>
      <c r="U16262" t="s">
        <v>38656</v>
      </c>
      <c r="V16262" t="s">
        <v>38657</v>
      </c>
      <c r="W16262" t="s">
        <v>38658</v>
      </c>
      <c r="X16262" t="s">
        <v>42</v>
      </c>
      <c r="Y16262" t="s">
        <v>12446</v>
      </c>
      <c r="Z16262" t="s">
        <v>13441</v>
      </c>
      <c r="AA16262" s="22" t="str">
        <f>HYPERLINK("https://www.ncbi.nlm.nih.gov/nuccore/GU111963","NCBI Nucleotide")</f>
        <v>NCBI Nucleotide</v>
      </c>
    </row>
    <row r="16263" spans="1:27" x14ac:dyDescent="0.35">
      <c r="A16263">
        <v>1006058</v>
      </c>
      <c r="B16263">
        <v>14559</v>
      </c>
      <c r="C16263">
        <v>1</v>
      </c>
      <c r="N16263" t="s">
        <v>38446</v>
      </c>
      <c r="P16263" t="s">
        <v>38447</v>
      </c>
      <c r="R16263" s="26" t="str">
        <f>HYPERLINK("https://ictv.global/taxonomy/taxondetails?taxnode_id=202305127","Betasatellite abelmoschusmusiviflavi")</f>
        <v>Betasatellite abelmoschusmusiviflavi</v>
      </c>
      <c r="S16263" t="s">
        <v>30</v>
      </c>
      <c r="T16263" t="s">
        <v>38480</v>
      </c>
      <c r="U16263" t="s">
        <v>38481</v>
      </c>
      <c r="V16263" t="s">
        <v>38482</v>
      </c>
      <c r="W16263" t="s">
        <v>38483</v>
      </c>
      <c r="X16263" t="s">
        <v>42</v>
      </c>
      <c r="Y16263" t="s">
        <v>12446</v>
      </c>
      <c r="Z16263" t="s">
        <v>13441</v>
      </c>
      <c r="AA16263" s="22" t="str">
        <f>HYPERLINK("https://www.ncbi.nlm.nih.gov/nuccore/AJ308425","NCBI Nucleotide")</f>
        <v>NCBI Nucleotide</v>
      </c>
    </row>
    <row r="16264" spans="1:27" x14ac:dyDescent="0.35">
      <c r="A16264">
        <v>1006103</v>
      </c>
      <c r="B16264">
        <v>14560</v>
      </c>
      <c r="C16264">
        <v>1</v>
      </c>
      <c r="N16264" t="s">
        <v>38446</v>
      </c>
      <c r="P16264" t="s">
        <v>38447</v>
      </c>
      <c r="R16264" s="26" t="str">
        <f>HYPERLINK("https://ictv.global/taxonomy/taxondetails?taxnode_id=202305146","Betasatellite abelmoschusomanense")</f>
        <v>Betasatellite abelmoschusomanense</v>
      </c>
      <c r="S16264" t="s">
        <v>30</v>
      </c>
      <c r="T16264" t="s">
        <v>38659</v>
      </c>
      <c r="U16264" t="s">
        <v>38660</v>
      </c>
      <c r="V16264" t="s">
        <v>38661</v>
      </c>
      <c r="W16264" t="s">
        <v>38662</v>
      </c>
      <c r="X16264" t="s">
        <v>42</v>
      </c>
      <c r="Y16264" t="s">
        <v>12446</v>
      </c>
      <c r="Z16264" t="s">
        <v>13441</v>
      </c>
      <c r="AA16264" s="22" t="str">
        <f>HYPERLINK("https://www.ncbi.nlm.nih.gov/nuccore/KF267444","NCBI Nucleotide")</f>
        <v>NCBI Nucleotide</v>
      </c>
    </row>
    <row r="16265" spans="1:27" x14ac:dyDescent="0.35">
      <c r="A16265">
        <v>1005683</v>
      </c>
      <c r="B16265">
        <v>14561</v>
      </c>
      <c r="C16265">
        <v>1</v>
      </c>
      <c r="N16265" t="s">
        <v>38446</v>
      </c>
      <c r="P16265" t="s">
        <v>38447</v>
      </c>
      <c r="R16265" s="26" t="str">
        <f>HYPERLINK("https://ictv.global/taxonomy/taxondetails?taxnode_id=202305119","Betasatellite agerabueaense")</f>
        <v>Betasatellite agerabueaense</v>
      </c>
      <c r="S16265" t="s">
        <v>30</v>
      </c>
      <c r="T16265" t="s">
        <v>38448</v>
      </c>
      <c r="U16265" t="s">
        <v>38449</v>
      </c>
      <c r="V16265" t="s">
        <v>38450</v>
      </c>
      <c r="W16265" t="s">
        <v>38451</v>
      </c>
      <c r="X16265" t="s">
        <v>42</v>
      </c>
      <c r="Y16265" t="s">
        <v>12446</v>
      </c>
      <c r="Z16265" t="s">
        <v>13441</v>
      </c>
      <c r="AA16265" s="22" t="str">
        <f>HYPERLINK("https://www.ncbi.nlm.nih.gov/nuccore/FR717140","NCBI Nucleotide")</f>
        <v>NCBI Nucleotide</v>
      </c>
    </row>
    <row r="16266" spans="1:27" x14ac:dyDescent="0.35">
      <c r="A16266">
        <v>1005684</v>
      </c>
      <c r="B16266">
        <v>14562</v>
      </c>
      <c r="C16266">
        <v>1</v>
      </c>
      <c r="N16266" t="s">
        <v>38446</v>
      </c>
      <c r="P16266" t="s">
        <v>38447</v>
      </c>
      <c r="R16266" s="26" t="str">
        <f>HYPERLINK("https://ictv.global/taxonomy/taxondetails?taxnode_id=202305120","Betasatellite ageracameroonense")</f>
        <v>Betasatellite ageracameroonense</v>
      </c>
      <c r="S16266" t="s">
        <v>30</v>
      </c>
      <c r="T16266" t="s">
        <v>38452</v>
      </c>
      <c r="U16266" t="s">
        <v>38453</v>
      </c>
      <c r="V16266" t="s">
        <v>38454</v>
      </c>
      <c r="W16266" t="s">
        <v>38455</v>
      </c>
      <c r="X16266" t="s">
        <v>42</v>
      </c>
      <c r="Y16266" t="s">
        <v>12446</v>
      </c>
      <c r="Z16266" t="s">
        <v>13441</v>
      </c>
      <c r="AA16266" s="22" t="str">
        <f>HYPERLINK("https://www.ncbi.nlm.nih.gov/nuccore/FM164737","NCBI Nucleotide")</f>
        <v>NCBI Nucleotide</v>
      </c>
    </row>
    <row r="16267" spans="1:27" x14ac:dyDescent="0.35">
      <c r="A16267">
        <v>1005686</v>
      </c>
      <c r="B16267">
        <v>14563</v>
      </c>
      <c r="C16267">
        <v>1</v>
      </c>
      <c r="N16267" t="s">
        <v>38446</v>
      </c>
      <c r="P16267" t="s">
        <v>38447</v>
      </c>
      <c r="R16267" s="26" t="str">
        <f>HYPERLINK("https://ictv.global/taxonomy/taxondetails?taxnode_id=202305122","Betasatellite ageraflavi")</f>
        <v>Betasatellite ageraflavi</v>
      </c>
      <c r="S16267" t="s">
        <v>30</v>
      </c>
      <c r="T16267" t="s">
        <v>38460</v>
      </c>
      <c r="U16267" t="s">
        <v>38461</v>
      </c>
      <c r="V16267" t="s">
        <v>38462</v>
      </c>
      <c r="W16267" t="s">
        <v>38463</v>
      </c>
      <c r="X16267" t="s">
        <v>42</v>
      </c>
      <c r="Y16267" t="s">
        <v>12446</v>
      </c>
      <c r="Z16267" t="s">
        <v>13441</v>
      </c>
      <c r="AA16267" s="22" t="str">
        <f>HYPERLINK("https://www.ncbi.nlm.nih.gov/nuccore/AJ252072","NCBI Nucleotide")</f>
        <v>NCBI Nucleotide</v>
      </c>
    </row>
    <row r="16268" spans="1:27" x14ac:dyDescent="0.35">
      <c r="A16268">
        <v>1005687</v>
      </c>
      <c r="B16268">
        <v>14564</v>
      </c>
      <c r="C16268">
        <v>1</v>
      </c>
      <c r="N16268" t="s">
        <v>38446</v>
      </c>
      <c r="P16268" t="s">
        <v>38447</v>
      </c>
      <c r="R16268" s="26" t="str">
        <f>HYPERLINK("https://ictv.global/taxonomy/taxondetails?taxnode_id=202309187","Betasatellite ageraflavichinaense")</f>
        <v>Betasatellite ageraflavichinaense</v>
      </c>
      <c r="S16268" t="s">
        <v>30</v>
      </c>
      <c r="T16268" t="s">
        <v>38464</v>
      </c>
      <c r="U16268" t="s">
        <v>38465</v>
      </c>
      <c r="V16268" t="s">
        <v>38466</v>
      </c>
      <c r="W16268" t="s">
        <v>38467</v>
      </c>
      <c r="X16268" t="s">
        <v>42</v>
      </c>
      <c r="Y16268" t="s">
        <v>12446</v>
      </c>
      <c r="Z16268" t="s">
        <v>13441</v>
      </c>
      <c r="AA16268" s="22" t="str">
        <f>HYPERLINK("https://www.ncbi.nlm.nih.gov/nuccore/AJ971257","NCBI Nucleotide")</f>
        <v>NCBI Nucleotide</v>
      </c>
    </row>
    <row r="16269" spans="1:27" x14ac:dyDescent="0.35">
      <c r="A16269">
        <v>1005685</v>
      </c>
      <c r="B16269">
        <v>14565</v>
      </c>
      <c r="C16269">
        <v>1</v>
      </c>
      <c r="N16269" t="s">
        <v>38446</v>
      </c>
      <c r="P16269" t="s">
        <v>38447</v>
      </c>
      <c r="R16269" s="26" t="str">
        <f>HYPERLINK("https://ictv.global/taxonomy/taxondetails?taxnode_id=202305121","Betasatellite ageraflavinvolutionis")</f>
        <v>Betasatellite ageraflavinvolutionis</v>
      </c>
      <c r="S16269" t="s">
        <v>30</v>
      </c>
      <c r="T16269" t="s">
        <v>38456</v>
      </c>
      <c r="U16269" t="s">
        <v>38457</v>
      </c>
      <c r="V16269" t="s">
        <v>38458</v>
      </c>
      <c r="W16269" t="s">
        <v>38459</v>
      </c>
      <c r="X16269" t="s">
        <v>42</v>
      </c>
      <c r="Y16269" t="s">
        <v>12446</v>
      </c>
      <c r="Z16269" t="s">
        <v>13441</v>
      </c>
      <c r="AA16269" s="22" t="str">
        <f>HYPERLINK("https://www.ncbi.nlm.nih.gov/nuccore/AJ316026","NCBI Nucleotide")</f>
        <v>NCBI Nucleotide</v>
      </c>
    </row>
    <row r="16270" spans="1:27" x14ac:dyDescent="0.35">
      <c r="A16270">
        <v>1005688</v>
      </c>
      <c r="B16270">
        <v>14566</v>
      </c>
      <c r="C16270">
        <v>1</v>
      </c>
      <c r="N16270" t="s">
        <v>38446</v>
      </c>
      <c r="P16270" t="s">
        <v>38447</v>
      </c>
      <c r="R16270" s="26" t="str">
        <f>HYPERLINK("https://ictv.global/taxonomy/taxondetails?taxnode_id=202305124","Betasatellite ageraflavisrilankaense")</f>
        <v>Betasatellite ageraflavisrilankaense</v>
      </c>
      <c r="S16270" t="s">
        <v>30</v>
      </c>
      <c r="T16270" t="s">
        <v>38468</v>
      </c>
      <c r="U16270" t="s">
        <v>38469</v>
      </c>
      <c r="V16270" t="s">
        <v>38470</v>
      </c>
      <c r="W16270" t="s">
        <v>38471</v>
      </c>
      <c r="X16270" t="s">
        <v>42</v>
      </c>
      <c r="Y16270" t="s">
        <v>12446</v>
      </c>
      <c r="Z16270" t="s">
        <v>13441</v>
      </c>
      <c r="AA16270" s="22" t="str">
        <f>HYPERLINK("https://www.ncbi.nlm.nih.gov/nuccore/AJ542498","NCBI Nucleotide")</f>
        <v>NCBI Nucleotide</v>
      </c>
    </row>
    <row r="16271" spans="1:27" x14ac:dyDescent="0.35">
      <c r="A16271">
        <v>1006056</v>
      </c>
      <c r="B16271">
        <v>14567</v>
      </c>
      <c r="C16271">
        <v>1</v>
      </c>
      <c r="N16271" t="s">
        <v>38446</v>
      </c>
      <c r="P16271" t="s">
        <v>38447</v>
      </c>
      <c r="R16271" s="26" t="str">
        <f>HYPERLINK("https://ictv.global/taxonomy/taxondetails?taxnode_id=202305125","Betasatellite alternantherae")</f>
        <v>Betasatellite alternantherae</v>
      </c>
      <c r="S16271" t="s">
        <v>30</v>
      </c>
      <c r="T16271" t="s">
        <v>38472</v>
      </c>
      <c r="U16271" t="s">
        <v>38473</v>
      </c>
      <c r="V16271" t="s">
        <v>38474</v>
      </c>
      <c r="W16271" t="s">
        <v>38475</v>
      </c>
      <c r="X16271" t="s">
        <v>42</v>
      </c>
      <c r="Y16271" t="s">
        <v>12446</v>
      </c>
      <c r="Z16271" t="s">
        <v>13441</v>
      </c>
      <c r="AA16271" s="22" t="str">
        <f>HYPERLINK("https://www.ncbi.nlm.nih.gov/nuccore/DQ641716","NCBI Nucleotide")</f>
        <v>NCBI Nucleotide</v>
      </c>
    </row>
    <row r="16272" spans="1:27" x14ac:dyDescent="0.35">
      <c r="A16272">
        <v>1006057</v>
      </c>
      <c r="B16272">
        <v>14568</v>
      </c>
      <c r="C16272">
        <v>1</v>
      </c>
      <c r="N16272" t="s">
        <v>38446</v>
      </c>
      <c r="P16272" t="s">
        <v>38447</v>
      </c>
      <c r="R16272" s="26" t="str">
        <f>HYPERLINK("https://ictv.global/taxonomy/taxondetails?taxnode_id=202305126","Betasatellite andrographis")</f>
        <v>Betasatellite andrographis</v>
      </c>
      <c r="S16272" t="s">
        <v>30</v>
      </c>
      <c r="T16272" t="s">
        <v>38476</v>
      </c>
      <c r="U16272" t="s">
        <v>38477</v>
      </c>
      <c r="V16272" t="s">
        <v>38478</v>
      </c>
      <c r="W16272" t="s">
        <v>38479</v>
      </c>
      <c r="X16272" t="s">
        <v>42</v>
      </c>
      <c r="Y16272" t="s">
        <v>12446</v>
      </c>
      <c r="Z16272" t="s">
        <v>13441</v>
      </c>
      <c r="AA16272" s="22" t="str">
        <f>HYPERLINK("https://www.ncbi.nlm.nih.gov/nuccore/KC967282","NCBI Nucleotide")</f>
        <v>NCBI Nucleotide</v>
      </c>
    </row>
    <row r="16273" spans="1:27" x14ac:dyDescent="0.35">
      <c r="A16273">
        <v>1006060</v>
      </c>
      <c r="B16273">
        <v>14569</v>
      </c>
      <c r="C16273">
        <v>1</v>
      </c>
      <c r="N16273" t="s">
        <v>38446</v>
      </c>
      <c r="P16273" t="s">
        <v>38447</v>
      </c>
      <c r="R16273" s="26" t="str">
        <f>HYPERLINK("https://ictv.global/taxonomy/taxondetails?taxnode_id=202305129","Betasatellite capsi")</f>
        <v>Betasatellite capsi</v>
      </c>
      <c r="S16273" t="s">
        <v>30</v>
      </c>
      <c r="T16273" t="s">
        <v>38488</v>
      </c>
      <c r="U16273" t="s">
        <v>38489</v>
      </c>
      <c r="V16273" t="s">
        <v>38490</v>
      </c>
      <c r="W16273" t="s">
        <v>38491</v>
      </c>
      <c r="X16273" t="s">
        <v>42</v>
      </c>
      <c r="Y16273" t="s">
        <v>12446</v>
      </c>
      <c r="Z16273" t="s">
        <v>13441</v>
      </c>
      <c r="AA16273" s="22" t="str">
        <f>HYPERLINK("https://www.ncbi.nlm.nih.gov/nuccore/AJ316032","NCBI Nucleotide")</f>
        <v>NCBI Nucleotide</v>
      </c>
    </row>
    <row r="16274" spans="1:27" x14ac:dyDescent="0.35">
      <c r="A16274">
        <v>1006061</v>
      </c>
      <c r="B16274">
        <v>14570</v>
      </c>
      <c r="C16274">
        <v>1</v>
      </c>
      <c r="N16274" t="s">
        <v>38446</v>
      </c>
      <c r="P16274" t="s">
        <v>38447</v>
      </c>
      <c r="R16274" s="26" t="str">
        <f>HYPERLINK("https://ictv.global/taxonomy/taxondetails?taxnode_id=202305130","Betasatellite capsijaunpurense")</f>
        <v>Betasatellite capsijaunpurense</v>
      </c>
      <c r="S16274" t="s">
        <v>30</v>
      </c>
      <c r="T16274" t="s">
        <v>38492</v>
      </c>
      <c r="U16274" t="s">
        <v>38493</v>
      </c>
      <c r="V16274" t="s">
        <v>38494</v>
      </c>
      <c r="W16274" t="s">
        <v>38495</v>
      </c>
      <c r="X16274" t="s">
        <v>42</v>
      </c>
      <c r="Y16274" t="s">
        <v>12446</v>
      </c>
      <c r="Z16274" t="s">
        <v>13441</v>
      </c>
      <c r="AA16274" s="22" t="str">
        <f>HYPERLINK("https://www.ncbi.nlm.nih.gov/nuccore/HM007103","NCBI Nucleotide")</f>
        <v>NCBI Nucleotide</v>
      </c>
    </row>
    <row r="16275" spans="1:27" x14ac:dyDescent="0.35">
      <c r="A16275">
        <v>1006062</v>
      </c>
      <c r="B16275">
        <v>14571</v>
      </c>
      <c r="C16275">
        <v>1</v>
      </c>
      <c r="N16275" t="s">
        <v>38446</v>
      </c>
      <c r="P16275" t="s">
        <v>38447</v>
      </c>
      <c r="R16275" s="26" t="str">
        <f>HYPERLINK("https://ictv.global/taxonomy/taxondetails?taxnode_id=202305131","Betasatellite capsisrilankaense")</f>
        <v>Betasatellite capsisrilankaense</v>
      </c>
      <c r="S16275" t="s">
        <v>30</v>
      </c>
      <c r="T16275" t="s">
        <v>38496</v>
      </c>
      <c r="U16275" t="s">
        <v>38497</v>
      </c>
      <c r="V16275" t="s">
        <v>38498</v>
      </c>
      <c r="W16275" t="s">
        <v>38499</v>
      </c>
      <c r="X16275" t="s">
        <v>42</v>
      </c>
      <c r="Y16275" t="s">
        <v>12446</v>
      </c>
      <c r="Z16275" t="s">
        <v>13441</v>
      </c>
      <c r="AA16275" s="22" t="str">
        <f>HYPERLINK("https://www.ncbi.nlm.nih.gov/nuccore/JN638445","NCBI Nucleotide")</f>
        <v>NCBI Nucleotide</v>
      </c>
    </row>
    <row r="16276" spans="1:27" x14ac:dyDescent="0.35">
      <c r="A16276">
        <v>1006059</v>
      </c>
      <c r="B16276">
        <v>14572</v>
      </c>
      <c r="C16276">
        <v>1</v>
      </c>
      <c r="N16276" t="s">
        <v>38446</v>
      </c>
      <c r="P16276" t="s">
        <v>38447</v>
      </c>
      <c r="R16276" s="26" t="str">
        <f>HYPERLINK("https://ictv.global/taxonomy/taxondetails?taxnode_id=202305128","Betasatellite cardiospermi")</f>
        <v>Betasatellite cardiospermi</v>
      </c>
      <c r="S16276" t="s">
        <v>30</v>
      </c>
      <c r="T16276" t="s">
        <v>38484</v>
      </c>
      <c r="U16276" t="s">
        <v>38485</v>
      </c>
      <c r="V16276" t="s">
        <v>38486</v>
      </c>
      <c r="W16276" t="s">
        <v>38487</v>
      </c>
      <c r="X16276" t="s">
        <v>42</v>
      </c>
      <c r="Y16276" t="s">
        <v>12446</v>
      </c>
      <c r="Z16276" t="s">
        <v>13441</v>
      </c>
      <c r="AA16276" s="22" t="str">
        <f>HYPERLINK("https://www.ncbi.nlm.nih.gov/nuccore/AM933578","NCBI Nucleotide")</f>
        <v>NCBI Nucleotide</v>
      </c>
    </row>
    <row r="16277" spans="1:27" x14ac:dyDescent="0.35">
      <c r="A16277">
        <v>1006105</v>
      </c>
      <c r="B16277">
        <v>14573</v>
      </c>
      <c r="C16277">
        <v>1</v>
      </c>
      <c r="N16277" t="s">
        <v>38446</v>
      </c>
      <c r="P16277" t="s">
        <v>38447</v>
      </c>
      <c r="R16277" s="26" t="str">
        <f>HYPERLINK("https://ictv.global/taxonomy/taxondetails?taxnode_id=202305148","Betasatellite caricachinaense")</f>
        <v>Betasatellite caricachinaense</v>
      </c>
      <c r="S16277" t="s">
        <v>30</v>
      </c>
      <c r="T16277" t="s">
        <v>38667</v>
      </c>
      <c r="U16277" t="s">
        <v>38668</v>
      </c>
      <c r="V16277" t="s">
        <v>38669</v>
      </c>
      <c r="W16277" t="s">
        <v>38670</v>
      </c>
      <c r="X16277" t="s">
        <v>42</v>
      </c>
      <c r="Y16277" t="s">
        <v>12446</v>
      </c>
      <c r="Z16277" t="s">
        <v>13441</v>
      </c>
      <c r="AA16277" s="22" t="str">
        <f>HYPERLINK("https://www.ncbi.nlm.nih.gov/nuccore/KJ642219","NCBI Nucleotide")</f>
        <v>NCBI Nucleotide</v>
      </c>
    </row>
    <row r="16278" spans="1:27" x14ac:dyDescent="0.35">
      <c r="A16278">
        <v>1006104</v>
      </c>
      <c r="B16278">
        <v>14574</v>
      </c>
      <c r="C16278">
        <v>1</v>
      </c>
      <c r="N16278" t="s">
        <v>38446</v>
      </c>
      <c r="P16278" t="s">
        <v>38447</v>
      </c>
      <c r="R16278" s="26" t="str">
        <f>HYPERLINK("https://ictv.global/taxonomy/taxondetails?taxnode_id=202305147","Betasatellite caricae")</f>
        <v>Betasatellite caricae</v>
      </c>
      <c r="S16278" t="s">
        <v>30</v>
      </c>
      <c r="T16278" t="s">
        <v>38663</v>
      </c>
      <c r="U16278" t="s">
        <v>38664</v>
      </c>
      <c r="V16278" t="s">
        <v>38665</v>
      </c>
      <c r="W16278" t="s">
        <v>38666</v>
      </c>
      <c r="X16278" t="s">
        <v>42</v>
      </c>
      <c r="Y16278" t="s">
        <v>12446</v>
      </c>
      <c r="Z16278" t="s">
        <v>13441</v>
      </c>
      <c r="AA16278" s="22" t="str">
        <f>HYPERLINK("https://www.ncbi.nlm.nih.gov/nuccore/AY244706","NCBI Nucleotide")</f>
        <v>NCBI Nucleotide</v>
      </c>
    </row>
    <row r="16279" spans="1:27" x14ac:dyDescent="0.35">
      <c r="A16279">
        <v>1006106</v>
      </c>
      <c r="B16279">
        <v>14575</v>
      </c>
      <c r="C16279">
        <v>1</v>
      </c>
      <c r="N16279" t="s">
        <v>38446</v>
      </c>
      <c r="P16279" t="s">
        <v>38447</v>
      </c>
      <c r="R16279" s="26" t="str">
        <f>HYPERLINK("https://ictv.global/taxonomy/taxondetails?taxnode_id=202309215","Betasatellite caricagandhinagarense")</f>
        <v>Betasatellite caricagandhinagarense</v>
      </c>
      <c r="S16279" t="s">
        <v>30</v>
      </c>
      <c r="T16279" t="s">
        <v>38671</v>
      </c>
      <c r="U16279" t="s">
        <v>38672</v>
      </c>
      <c r="V16279" t="s">
        <v>38673</v>
      </c>
      <c r="W16279" t="s">
        <v>38674</v>
      </c>
      <c r="X16279" t="s">
        <v>42</v>
      </c>
      <c r="Y16279" t="s">
        <v>12446</v>
      </c>
      <c r="Z16279" t="s">
        <v>13441</v>
      </c>
      <c r="AA16279" s="22" t="str">
        <f>HYPERLINK("https://www.ncbi.nlm.nih.gov/nuccore/KT253638","NCBI Nucleotide")</f>
        <v>NCBI Nucleotide</v>
      </c>
    </row>
    <row r="16280" spans="1:27" x14ac:dyDescent="0.35">
      <c r="A16280">
        <v>1006107</v>
      </c>
      <c r="B16280">
        <v>14576</v>
      </c>
      <c r="C16280">
        <v>1</v>
      </c>
      <c r="N16280" t="s">
        <v>38446</v>
      </c>
      <c r="P16280" t="s">
        <v>38447</v>
      </c>
      <c r="R16280" s="26" t="str">
        <f>HYPERLINK("https://ictv.global/taxonomy/taxondetails?taxnode_id=202305149","Betasatellite caricaindianense")</f>
        <v>Betasatellite caricaindianense</v>
      </c>
      <c r="S16280" t="s">
        <v>30</v>
      </c>
      <c r="T16280" t="s">
        <v>38675</v>
      </c>
      <c r="U16280" t="s">
        <v>38676</v>
      </c>
      <c r="V16280" t="s">
        <v>38677</v>
      </c>
      <c r="W16280" t="s">
        <v>38678</v>
      </c>
      <c r="X16280" t="s">
        <v>42</v>
      </c>
      <c r="Y16280" t="s">
        <v>12446</v>
      </c>
      <c r="Z16280" t="s">
        <v>13441</v>
      </c>
      <c r="AA16280" s="22" t="str">
        <f>HYPERLINK("https://www.ncbi.nlm.nih.gov/nuccore/HM143906","NCBI Nucleotide")</f>
        <v>NCBI Nucleotide</v>
      </c>
    </row>
    <row r="16281" spans="1:27" x14ac:dyDescent="0.35">
      <c r="A16281">
        <v>1006108</v>
      </c>
      <c r="B16281">
        <v>14577</v>
      </c>
      <c r="C16281">
        <v>1</v>
      </c>
      <c r="N16281" t="s">
        <v>38446</v>
      </c>
      <c r="P16281" t="s">
        <v>38447</v>
      </c>
      <c r="R16281" s="26" t="str">
        <f>HYPERLINK("https://ictv.global/taxonomy/taxondetails?taxnode_id=202309216","Betasatellite caricaindianensesecundi")</f>
        <v>Betasatellite caricaindianensesecundi</v>
      </c>
      <c r="S16281" t="s">
        <v>30</v>
      </c>
      <c r="T16281" t="s">
        <v>38679</v>
      </c>
      <c r="U16281" t="s">
        <v>38680</v>
      </c>
      <c r="V16281" t="s">
        <v>38681</v>
      </c>
      <c r="W16281" t="s">
        <v>38682</v>
      </c>
      <c r="X16281" t="s">
        <v>42</v>
      </c>
      <c r="Y16281" t="s">
        <v>12446</v>
      </c>
      <c r="Z16281" t="s">
        <v>13441</v>
      </c>
      <c r="AA16281" s="22" t="str">
        <f>HYPERLINK("https://www.ncbi.nlm.nih.gov/nuccore/MN529627","NCBI Nucleotide")</f>
        <v>NCBI Nucleotide</v>
      </c>
    </row>
    <row r="16282" spans="1:27" x14ac:dyDescent="0.35">
      <c r="A16282">
        <v>1006063</v>
      </c>
      <c r="B16282">
        <v>14578</v>
      </c>
      <c r="C16282">
        <v>1</v>
      </c>
      <c r="N16282" t="s">
        <v>38446</v>
      </c>
      <c r="P16282" t="s">
        <v>38447</v>
      </c>
      <c r="R16282" s="26" t="str">
        <f>HYPERLINK("https://ictv.global/taxonomy/taxondetails?taxnode_id=202309188","Betasatellite codiaei")</f>
        <v>Betasatellite codiaei</v>
      </c>
      <c r="S16282" t="s">
        <v>30</v>
      </c>
      <c r="T16282" t="s">
        <v>38500</v>
      </c>
      <c r="U16282" t="s">
        <v>38501</v>
      </c>
      <c r="V16282" t="s">
        <v>38502</v>
      </c>
      <c r="W16282" t="s">
        <v>38503</v>
      </c>
      <c r="X16282" t="s">
        <v>42</v>
      </c>
      <c r="Y16282" t="s">
        <v>12446</v>
      </c>
      <c r="Z16282" t="s">
        <v>13441</v>
      </c>
      <c r="AA16282" s="22" t="str">
        <f>HYPERLINK("https://www.ncbi.nlm.nih.gov/nuccore/MF278784","NCBI Nucleotide")</f>
        <v>NCBI Nucleotide</v>
      </c>
    </row>
    <row r="16283" spans="1:27" x14ac:dyDescent="0.35">
      <c r="A16283">
        <v>1006074</v>
      </c>
      <c r="B16283">
        <v>14579</v>
      </c>
      <c r="C16283">
        <v>1</v>
      </c>
      <c r="N16283" t="s">
        <v>38446</v>
      </c>
      <c r="P16283" t="s">
        <v>38447</v>
      </c>
      <c r="R16283" s="26" t="str">
        <f>HYPERLINK("https://ictv.global/taxonomy/taxondetails?taxnode_id=202305134","Betasatellite codiaeumflavi")</f>
        <v>Betasatellite codiaeumflavi</v>
      </c>
      <c r="S16283" t="s">
        <v>30</v>
      </c>
      <c r="T16283" t="s">
        <v>38544</v>
      </c>
      <c r="U16283" t="s">
        <v>38545</v>
      </c>
      <c r="V16283" t="s">
        <v>38546</v>
      </c>
      <c r="W16283" t="s">
        <v>38547</v>
      </c>
      <c r="X16283" t="s">
        <v>42</v>
      </c>
      <c r="Y16283" t="s">
        <v>12446</v>
      </c>
      <c r="Z16283" t="s">
        <v>13441</v>
      </c>
      <c r="AA16283" s="22" t="str">
        <f>HYPERLINK("https://www.ncbi.nlm.nih.gov/nuccore/AM410551","NCBI Nucleotide")</f>
        <v>NCBI Nucleotide</v>
      </c>
    </row>
    <row r="16284" spans="1:27" x14ac:dyDescent="0.35">
      <c r="A16284">
        <v>1006075</v>
      </c>
      <c r="B16284">
        <v>14580</v>
      </c>
      <c r="C16284">
        <v>1</v>
      </c>
      <c r="N16284" t="s">
        <v>38446</v>
      </c>
      <c r="P16284" t="s">
        <v>38447</v>
      </c>
      <c r="R16284" s="26" t="str">
        <f>HYPERLINK("https://ictv.global/taxonomy/taxondetails?taxnode_id=202309197","Betasatellite emiliae")</f>
        <v>Betasatellite emiliae</v>
      </c>
      <c r="S16284" t="s">
        <v>30</v>
      </c>
      <c r="T16284" t="s">
        <v>38548</v>
      </c>
      <c r="U16284" t="s">
        <v>38549</v>
      </c>
      <c r="V16284" t="s">
        <v>38550</v>
      </c>
      <c r="W16284" t="s">
        <v>38551</v>
      </c>
      <c r="X16284" t="s">
        <v>42</v>
      </c>
      <c r="Y16284" t="s">
        <v>12446</v>
      </c>
      <c r="Z16284" t="s">
        <v>13441</v>
      </c>
      <c r="AA16284" s="22" t="str">
        <f>HYPERLINK("https://www.ncbi.nlm.nih.gov/nuccore/FJ869906","NCBI Nucleotide")</f>
        <v>NCBI Nucleotide</v>
      </c>
    </row>
    <row r="16285" spans="1:27" x14ac:dyDescent="0.35">
      <c r="A16285">
        <v>1006076</v>
      </c>
      <c r="B16285">
        <v>14581</v>
      </c>
      <c r="C16285">
        <v>1</v>
      </c>
      <c r="N16285" t="s">
        <v>38446</v>
      </c>
      <c r="P16285" t="s">
        <v>38447</v>
      </c>
      <c r="R16285" s="26" t="str">
        <f>HYPERLINK("https://ictv.global/taxonomy/taxondetails?taxnode_id=202309198","Betasatellite emiliafujianense")</f>
        <v>Betasatellite emiliafujianense</v>
      </c>
      <c r="S16285" t="s">
        <v>30</v>
      </c>
      <c r="T16285" t="s">
        <v>38552</v>
      </c>
      <c r="U16285" t="s">
        <v>38553</v>
      </c>
      <c r="V16285" t="s">
        <v>38554</v>
      </c>
      <c r="W16285" t="s">
        <v>38555</v>
      </c>
      <c r="X16285" t="s">
        <v>42</v>
      </c>
      <c r="Y16285" t="s">
        <v>12446</v>
      </c>
      <c r="Z16285" t="s">
        <v>13441</v>
      </c>
      <c r="AA16285" s="22" t="str">
        <f>HYPERLINK("https://www.ncbi.nlm.nih.gov/nuccore/MH035671","NCBI Nucleotide")</f>
        <v>NCBI Nucleotide</v>
      </c>
    </row>
    <row r="16286" spans="1:27" x14ac:dyDescent="0.35">
      <c r="A16286">
        <v>1006077</v>
      </c>
      <c r="B16286">
        <v>14582</v>
      </c>
      <c r="C16286">
        <v>1</v>
      </c>
      <c r="N16286" t="s">
        <v>38446</v>
      </c>
      <c r="P16286" t="s">
        <v>38447</v>
      </c>
      <c r="R16286" s="26" t="str">
        <f>HYPERLINK("https://ictv.global/taxonomy/taxondetails?taxnode_id=202309199","Betasatellite erectitis")</f>
        <v>Betasatellite erectitis</v>
      </c>
      <c r="S16286" t="s">
        <v>30</v>
      </c>
      <c r="T16286" t="s">
        <v>38556</v>
      </c>
      <c r="U16286" t="s">
        <v>38557</v>
      </c>
      <c r="V16286" t="s">
        <v>38558</v>
      </c>
      <c r="W16286" t="s">
        <v>38559</v>
      </c>
      <c r="X16286" t="s">
        <v>42</v>
      </c>
      <c r="Y16286" t="s">
        <v>12446</v>
      </c>
      <c r="Z16286" t="s">
        <v>13441</v>
      </c>
      <c r="AA16286" s="22" t="str">
        <f>HYPERLINK("https://www.ncbi.nlm.nih.gov/nuccore/DQ641713","NCBI Nucleotide")</f>
        <v>NCBI Nucleotide</v>
      </c>
    </row>
    <row r="16287" spans="1:27" x14ac:dyDescent="0.35">
      <c r="A16287">
        <v>1006078</v>
      </c>
      <c r="B16287">
        <v>14583</v>
      </c>
      <c r="C16287">
        <v>1</v>
      </c>
      <c r="N16287" t="s">
        <v>38446</v>
      </c>
      <c r="P16287" t="s">
        <v>38447</v>
      </c>
      <c r="R16287" s="26" t="str">
        <f>HYPERLINK("https://ictv.global/taxonomy/taxondetails?taxnode_id=202305135","Betasatellite eupatorii")</f>
        <v>Betasatellite eupatorii</v>
      </c>
      <c r="S16287" t="s">
        <v>30</v>
      </c>
      <c r="T16287" t="s">
        <v>38560</v>
      </c>
      <c r="U16287" t="s">
        <v>38561</v>
      </c>
      <c r="V16287" t="s">
        <v>38562</v>
      </c>
      <c r="W16287" t="s">
        <v>38563</v>
      </c>
      <c r="X16287" t="s">
        <v>42</v>
      </c>
      <c r="Y16287" t="s">
        <v>12446</v>
      </c>
      <c r="Z16287" t="s">
        <v>13441</v>
      </c>
      <c r="AA16287" s="22" t="str">
        <f>HYPERLINK("https://www.ncbi.nlm.nih.gov/nuccore/AJ438938","NCBI Nucleotide")</f>
        <v>NCBI Nucleotide</v>
      </c>
    </row>
    <row r="16288" spans="1:27" x14ac:dyDescent="0.35">
      <c r="A16288">
        <v>1006079</v>
      </c>
      <c r="B16288">
        <v>14584</v>
      </c>
      <c r="C16288">
        <v>1</v>
      </c>
      <c r="N16288" t="s">
        <v>38446</v>
      </c>
      <c r="P16288" t="s">
        <v>38447</v>
      </c>
      <c r="R16288" s="26" t="str">
        <f>HYPERLINK("https://ictv.global/taxonomy/taxondetails?taxnode_id=202305136","Betasatellite eupatoriumflavi")</f>
        <v>Betasatellite eupatoriumflavi</v>
      </c>
      <c r="S16288" t="s">
        <v>30</v>
      </c>
      <c r="T16288" t="s">
        <v>38564</v>
      </c>
      <c r="U16288" t="s">
        <v>38565</v>
      </c>
      <c r="V16288" t="s">
        <v>38566</v>
      </c>
      <c r="W16288" t="s">
        <v>38567</v>
      </c>
      <c r="X16288" t="s">
        <v>42</v>
      </c>
      <c r="Y16288" t="s">
        <v>12446</v>
      </c>
      <c r="Z16288" t="s">
        <v>13441</v>
      </c>
      <c r="AA16288" s="22" t="str">
        <f>HYPERLINK("https://www.ncbi.nlm.nih.gov/nuccore/AB300464","NCBI Nucleotide")</f>
        <v>NCBI Nucleotide</v>
      </c>
    </row>
    <row r="16289" spans="1:27" x14ac:dyDescent="0.35">
      <c r="A16289">
        <v>1006064</v>
      </c>
      <c r="B16289">
        <v>14585</v>
      </c>
      <c r="C16289">
        <v>1</v>
      </c>
      <c r="N16289" t="s">
        <v>38446</v>
      </c>
      <c r="P16289" t="s">
        <v>38447</v>
      </c>
      <c r="R16289" s="26" t="str">
        <f>HYPERLINK("https://ictv.global/taxonomy/taxondetails?taxnode_id=202309189","Betasatellite gossypibahraichense")</f>
        <v>Betasatellite gossypibahraichense</v>
      </c>
      <c r="S16289" t="s">
        <v>30</v>
      </c>
      <c r="T16289" t="s">
        <v>38504</v>
      </c>
      <c r="U16289" t="s">
        <v>38505</v>
      </c>
      <c r="V16289" t="s">
        <v>38506</v>
      </c>
      <c r="W16289" t="s">
        <v>38507</v>
      </c>
      <c r="X16289" t="s">
        <v>42</v>
      </c>
      <c r="Y16289" t="s">
        <v>12446</v>
      </c>
      <c r="Z16289" t="s">
        <v>13441</v>
      </c>
      <c r="AA16289" s="22" t="str">
        <f>HYPERLINK("https://www.ncbi.nlm.nih.gov/nuccore/EF620566","NCBI Nucleotide")</f>
        <v>NCBI Nucleotide</v>
      </c>
    </row>
    <row r="16290" spans="1:27" x14ac:dyDescent="0.35">
      <c r="A16290">
        <v>1006065</v>
      </c>
      <c r="B16290">
        <v>14586</v>
      </c>
      <c r="C16290">
        <v>1</v>
      </c>
      <c r="N16290" t="s">
        <v>38446</v>
      </c>
      <c r="P16290" t="s">
        <v>38447</v>
      </c>
      <c r="R16290" s="26" t="str">
        <f>HYPERLINK("https://ictv.global/taxonomy/taxondetails?taxnode_id=202309190","Betasatellite gossypibangalorenseprimi")</f>
        <v>Betasatellite gossypibangalorenseprimi</v>
      </c>
      <c r="S16290" t="s">
        <v>30</v>
      </c>
      <c r="T16290" t="s">
        <v>38508</v>
      </c>
      <c r="U16290" t="s">
        <v>38509</v>
      </c>
      <c r="V16290" t="s">
        <v>38510</v>
      </c>
      <c r="W16290" t="s">
        <v>38511</v>
      </c>
      <c r="X16290" t="s">
        <v>42</v>
      </c>
      <c r="Y16290" t="s">
        <v>12446</v>
      </c>
      <c r="Z16290" t="s">
        <v>13441</v>
      </c>
      <c r="AA16290" s="22" t="str">
        <f>HYPERLINK("https://www.ncbi.nlm.nih.gov/nuccore/AY705381","NCBI Nucleotide")</f>
        <v>NCBI Nucleotide</v>
      </c>
    </row>
    <row r="16291" spans="1:27" x14ac:dyDescent="0.35">
      <c r="A16291">
        <v>1006068</v>
      </c>
      <c r="B16291">
        <v>14587</v>
      </c>
      <c r="C16291">
        <v>1</v>
      </c>
      <c r="N16291" t="s">
        <v>38446</v>
      </c>
      <c r="P16291" t="s">
        <v>38447</v>
      </c>
      <c r="R16291" s="26" t="str">
        <f>HYPERLINK("https://ictv.global/taxonomy/taxondetails?taxnode_id=202309193","Betasatellite gossypibangalorensequarti")</f>
        <v>Betasatellite gossypibangalorensequarti</v>
      </c>
      <c r="S16291" t="s">
        <v>30</v>
      </c>
      <c r="T16291" t="s">
        <v>38520</v>
      </c>
      <c r="U16291" t="s">
        <v>38521</v>
      </c>
      <c r="V16291" t="s">
        <v>38522</v>
      </c>
      <c r="W16291" t="s">
        <v>38523</v>
      </c>
      <c r="X16291" t="s">
        <v>42</v>
      </c>
      <c r="Y16291" t="s">
        <v>12446</v>
      </c>
      <c r="Z16291" t="s">
        <v>13441</v>
      </c>
      <c r="AA16291" s="22" t="str">
        <f>HYPERLINK("https://www.ncbi.nlm.nih.gov/nuccore/MG758149","NCBI Nucleotide")</f>
        <v>NCBI Nucleotide</v>
      </c>
    </row>
    <row r="16292" spans="1:27" x14ac:dyDescent="0.35">
      <c r="A16292">
        <v>1006066</v>
      </c>
      <c r="B16292">
        <v>14588</v>
      </c>
      <c r="C16292">
        <v>1</v>
      </c>
      <c r="N16292" t="s">
        <v>38446</v>
      </c>
      <c r="P16292" t="s">
        <v>38447</v>
      </c>
      <c r="R16292" s="26" t="str">
        <f>HYPERLINK("https://ictv.global/taxonomy/taxondetails?taxnode_id=202309191","Betasatellite gossypibangalorensesecundi")</f>
        <v>Betasatellite gossypibangalorensesecundi</v>
      </c>
      <c r="S16292" t="s">
        <v>30</v>
      </c>
      <c r="T16292" t="s">
        <v>38512</v>
      </c>
      <c r="U16292" t="s">
        <v>38513</v>
      </c>
      <c r="V16292" t="s">
        <v>38514</v>
      </c>
      <c r="W16292" t="s">
        <v>38515</v>
      </c>
      <c r="X16292" t="s">
        <v>42</v>
      </c>
      <c r="Y16292" t="s">
        <v>12446</v>
      </c>
      <c r="Z16292" t="s">
        <v>13441</v>
      </c>
      <c r="AA16292" s="22" t="str">
        <f>HYPERLINK("https://www.ncbi.nlm.nih.gov/nuccore/KF964654","NCBI Nucleotide")</f>
        <v>NCBI Nucleotide</v>
      </c>
    </row>
    <row r="16293" spans="1:27" x14ac:dyDescent="0.35">
      <c r="A16293">
        <v>1006067</v>
      </c>
      <c r="B16293">
        <v>14589</v>
      </c>
      <c r="C16293">
        <v>1</v>
      </c>
      <c r="N16293" t="s">
        <v>38446</v>
      </c>
      <c r="P16293" t="s">
        <v>38447</v>
      </c>
      <c r="R16293" s="26" t="str">
        <f>HYPERLINK("https://ictv.global/taxonomy/taxondetails?taxnode_id=202309192","Betasatellite gossypibangalorensetertii")</f>
        <v>Betasatellite gossypibangalorensetertii</v>
      </c>
      <c r="S16293" t="s">
        <v>30</v>
      </c>
      <c r="T16293" t="s">
        <v>38516</v>
      </c>
      <c r="U16293" t="s">
        <v>38517</v>
      </c>
      <c r="V16293" t="s">
        <v>38518</v>
      </c>
      <c r="W16293" t="s">
        <v>38519</v>
      </c>
      <c r="X16293" t="s">
        <v>42</v>
      </c>
      <c r="Y16293" t="s">
        <v>12446</v>
      </c>
      <c r="Z16293" t="s">
        <v>13441</v>
      </c>
      <c r="AA16293" s="22" t="str">
        <f>HYPERLINK("https://www.ncbi.nlm.nih.gov/nuccore/LC316186","NCBI Nucleotide")</f>
        <v>NCBI Nucleotide</v>
      </c>
    </row>
    <row r="16294" spans="1:27" x14ac:dyDescent="0.35">
      <c r="A16294">
        <v>1006069</v>
      </c>
      <c r="B16294">
        <v>14590</v>
      </c>
      <c r="C16294">
        <v>1</v>
      </c>
      <c r="N16294" t="s">
        <v>38446</v>
      </c>
      <c r="P16294" t="s">
        <v>38447</v>
      </c>
      <c r="R16294" s="26" t="str">
        <f>HYPERLINK("https://ictv.global/taxonomy/taxondetails?taxnode_id=202309194","Betasatellite gossypiburkinafasoense")</f>
        <v>Betasatellite gossypiburkinafasoense</v>
      </c>
      <c r="S16294" t="s">
        <v>30</v>
      </c>
      <c r="T16294" t="s">
        <v>38524</v>
      </c>
      <c r="U16294" t="s">
        <v>38525</v>
      </c>
      <c r="V16294" t="s">
        <v>38526</v>
      </c>
      <c r="W16294" t="s">
        <v>38527</v>
      </c>
      <c r="X16294" t="s">
        <v>42</v>
      </c>
      <c r="Y16294" t="s">
        <v>12446</v>
      </c>
      <c r="Z16294" t="s">
        <v>13441</v>
      </c>
      <c r="AA16294" s="22" t="str">
        <f>HYPERLINK("https://www.ncbi.nlm.nih.gov/nuccore/MK032307","NCBI Nucleotide")</f>
        <v>NCBI Nucleotide</v>
      </c>
    </row>
    <row r="16295" spans="1:27" x14ac:dyDescent="0.35">
      <c r="A16295">
        <v>1006070</v>
      </c>
      <c r="B16295">
        <v>14591</v>
      </c>
      <c r="C16295">
        <v>1</v>
      </c>
      <c r="N16295" t="s">
        <v>38446</v>
      </c>
      <c r="P16295" t="s">
        <v>38447</v>
      </c>
      <c r="R16295" s="26" t="str">
        <f>HYPERLINK("https://ictv.global/taxonomy/taxondetails?taxnode_id=202305132","Betasatellite gossypigeziraense")</f>
        <v>Betasatellite gossypigeziraense</v>
      </c>
      <c r="S16295" t="s">
        <v>30</v>
      </c>
      <c r="T16295" t="s">
        <v>38528</v>
      </c>
      <c r="U16295" t="s">
        <v>38529</v>
      </c>
      <c r="V16295" t="s">
        <v>38530</v>
      </c>
      <c r="W16295" t="s">
        <v>38531</v>
      </c>
      <c r="X16295" t="s">
        <v>42</v>
      </c>
      <c r="Y16295" t="s">
        <v>12446</v>
      </c>
      <c r="Z16295" t="s">
        <v>13441</v>
      </c>
      <c r="AA16295" s="22" t="str">
        <f>HYPERLINK("https://www.ncbi.nlm.nih.gov/nuccore/DQ644564","NCBI Nucleotide")</f>
        <v>NCBI Nucleotide</v>
      </c>
    </row>
    <row r="16296" spans="1:27" x14ac:dyDescent="0.35">
      <c r="A16296">
        <v>1006071</v>
      </c>
      <c r="B16296">
        <v>14592</v>
      </c>
      <c r="C16296">
        <v>1</v>
      </c>
      <c r="N16296" t="s">
        <v>38446</v>
      </c>
      <c r="P16296" t="s">
        <v>38447</v>
      </c>
      <c r="R16296" s="26" t="str">
        <f>HYPERLINK("https://ictv.global/taxonomy/taxondetails?taxnode_id=202309195","Betasatellite gossypikashmirense")</f>
        <v>Betasatellite gossypikashmirense</v>
      </c>
      <c r="S16296" t="s">
        <v>30</v>
      </c>
      <c r="T16296" t="s">
        <v>38532</v>
      </c>
      <c r="U16296" t="s">
        <v>38533</v>
      </c>
      <c r="V16296" t="s">
        <v>38534</v>
      </c>
      <c r="W16296" t="s">
        <v>38535</v>
      </c>
      <c r="X16296" t="s">
        <v>42</v>
      </c>
      <c r="Y16296" t="s">
        <v>12446</v>
      </c>
      <c r="Z16296" t="s">
        <v>13441</v>
      </c>
      <c r="AA16296" s="22" t="str">
        <f>HYPERLINK("https://www.ncbi.nlm.nih.gov/nuccore/LN610993","NCBI Nucleotide")</f>
        <v>NCBI Nucleotide</v>
      </c>
    </row>
    <row r="16297" spans="1:27" x14ac:dyDescent="0.35">
      <c r="A16297">
        <v>1006072</v>
      </c>
      <c r="B16297">
        <v>14593</v>
      </c>
      <c r="C16297">
        <v>1</v>
      </c>
      <c r="N16297" t="s">
        <v>38446</v>
      </c>
      <c r="P16297" t="s">
        <v>38447</v>
      </c>
      <c r="R16297" s="26" t="str">
        <f>HYPERLINK("https://ictv.global/taxonomy/taxondetails?taxnode_id=202305133","Betasatellite gossypimultanense")</f>
        <v>Betasatellite gossypimultanense</v>
      </c>
      <c r="S16297" t="s">
        <v>30</v>
      </c>
      <c r="T16297" t="s">
        <v>38536</v>
      </c>
      <c r="U16297" t="s">
        <v>38537</v>
      </c>
      <c r="V16297" t="s">
        <v>38538</v>
      </c>
      <c r="W16297" t="s">
        <v>38539</v>
      </c>
      <c r="X16297" t="s">
        <v>42</v>
      </c>
      <c r="Y16297" t="s">
        <v>12446</v>
      </c>
      <c r="Z16297" t="s">
        <v>13441</v>
      </c>
      <c r="AA16297" s="22" t="str">
        <f>HYPERLINK("https://www.ncbi.nlm.nih.gov/nuccore/AJ298903","NCBI Nucleotide")</f>
        <v>NCBI Nucleotide</v>
      </c>
    </row>
    <row r="16298" spans="1:27" x14ac:dyDescent="0.35">
      <c r="A16298">
        <v>1006073</v>
      </c>
      <c r="B16298">
        <v>14594</v>
      </c>
      <c r="C16298">
        <v>1</v>
      </c>
      <c r="N16298" t="s">
        <v>38446</v>
      </c>
      <c r="P16298" t="s">
        <v>38447</v>
      </c>
      <c r="R16298" s="26" t="str">
        <f>HYPERLINK("https://ictv.global/taxonomy/taxondetails?taxnode_id=202309196","Betasatellite gossypitandojamense")</f>
        <v>Betasatellite gossypitandojamense</v>
      </c>
      <c r="S16298" t="s">
        <v>30</v>
      </c>
      <c r="T16298" t="s">
        <v>38540</v>
      </c>
      <c r="U16298" t="s">
        <v>38541</v>
      </c>
      <c r="V16298" t="s">
        <v>38542</v>
      </c>
      <c r="W16298" t="s">
        <v>38543</v>
      </c>
      <c r="X16298" t="s">
        <v>42</v>
      </c>
      <c r="Y16298" t="s">
        <v>12446</v>
      </c>
      <c r="Z16298" t="s">
        <v>13441</v>
      </c>
      <c r="AA16298" s="22" t="str">
        <f>HYPERLINK("https://www.ncbi.nlm.nih.gov/nuccore/LT827054","NCBI Nucleotide")</f>
        <v>NCBI Nucleotide</v>
      </c>
    </row>
    <row r="16299" spans="1:27" x14ac:dyDescent="0.35">
      <c r="A16299">
        <v>1006081</v>
      </c>
      <c r="B16299">
        <v>14595</v>
      </c>
      <c r="C16299">
        <v>1</v>
      </c>
      <c r="N16299" t="s">
        <v>38446</v>
      </c>
      <c r="P16299" t="s">
        <v>38447</v>
      </c>
      <c r="R16299" s="26" t="str">
        <f>HYPERLINK("https://ictv.global/taxonomy/taxondetails?taxnode_id=202305138","Betasatellite hedyotis")</f>
        <v>Betasatellite hedyotis</v>
      </c>
      <c r="S16299" t="s">
        <v>30</v>
      </c>
      <c r="T16299" t="s">
        <v>38572</v>
      </c>
      <c r="U16299" t="s">
        <v>38573</v>
      </c>
      <c r="V16299" t="s">
        <v>38574</v>
      </c>
      <c r="W16299" t="s">
        <v>38575</v>
      </c>
      <c r="X16299" t="s">
        <v>42</v>
      </c>
      <c r="Y16299" t="s">
        <v>12446</v>
      </c>
      <c r="Z16299" t="s">
        <v>13441</v>
      </c>
      <c r="AA16299" s="22" t="str">
        <f>HYPERLINK("https://www.ncbi.nlm.nih.gov/nuccore/KF641186","NCBI Nucleotide")</f>
        <v>NCBI Nucleotide</v>
      </c>
    </row>
    <row r="16300" spans="1:27" x14ac:dyDescent="0.35">
      <c r="A16300">
        <v>1006087</v>
      </c>
      <c r="B16300">
        <v>14596</v>
      </c>
      <c r="C16300">
        <v>1</v>
      </c>
      <c r="N16300" t="s">
        <v>38446</v>
      </c>
      <c r="P16300" t="s">
        <v>38447</v>
      </c>
      <c r="R16300" s="26" t="str">
        <f>HYPERLINK("https://ictv.global/taxonomy/taxondetails?taxnode_id=202309203","Betasatellite hibisci")</f>
        <v>Betasatellite hibisci</v>
      </c>
      <c r="S16300" t="s">
        <v>30</v>
      </c>
      <c r="T16300" t="s">
        <v>38596</v>
      </c>
      <c r="U16300" t="s">
        <v>38597</v>
      </c>
      <c r="V16300" t="s">
        <v>38598</v>
      </c>
      <c r="W16300" t="s">
        <v>38599</v>
      </c>
      <c r="X16300" t="s">
        <v>42</v>
      </c>
      <c r="Y16300" t="s">
        <v>12446</v>
      </c>
      <c r="Z16300" t="s">
        <v>13441</v>
      </c>
      <c r="AA16300" s="22" t="str">
        <f>HYPERLINK("https://www.ncbi.nlm.nih.gov/nuccore/FN678779","NCBI Nucleotide")</f>
        <v>NCBI Nucleotide</v>
      </c>
    </row>
    <row r="16301" spans="1:27" x14ac:dyDescent="0.35">
      <c r="A16301">
        <v>1006082</v>
      </c>
      <c r="B16301">
        <v>14597</v>
      </c>
      <c r="C16301">
        <v>1</v>
      </c>
      <c r="N16301" t="s">
        <v>38446</v>
      </c>
      <c r="P16301" t="s">
        <v>38447</v>
      </c>
      <c r="R16301" s="26" t="str">
        <f>HYPERLINK("https://ictv.global/taxonomy/taxondetails?taxnode_id=202309200","Betasatellite hibiscusvenae")</f>
        <v>Betasatellite hibiscusvenae</v>
      </c>
      <c r="S16301" t="s">
        <v>30</v>
      </c>
      <c r="T16301" t="s">
        <v>38576</v>
      </c>
      <c r="U16301" t="s">
        <v>38577</v>
      </c>
      <c r="V16301" t="s">
        <v>38578</v>
      </c>
      <c r="W16301" t="s">
        <v>38579</v>
      </c>
      <c r="X16301" t="s">
        <v>42</v>
      </c>
      <c r="Y16301" t="s">
        <v>12446</v>
      </c>
      <c r="Z16301" t="s">
        <v>13441</v>
      </c>
      <c r="AA16301" s="22" t="str">
        <f>HYPERLINK("https://www.ncbi.nlm.nih.gov/nuccore/MF140456","NCBI Nucleotide")</f>
        <v>NCBI Nucleotide</v>
      </c>
    </row>
    <row r="16302" spans="1:27" x14ac:dyDescent="0.35">
      <c r="A16302">
        <v>1006083</v>
      </c>
      <c r="B16302">
        <v>14598</v>
      </c>
      <c r="C16302">
        <v>1</v>
      </c>
      <c r="N16302" t="s">
        <v>38446</v>
      </c>
      <c r="P16302" t="s">
        <v>38447</v>
      </c>
      <c r="R16302" s="26" t="str">
        <f>HYPERLINK("https://ictv.global/taxonomy/taxondetails?taxnode_id=202305139","Betasatellite ioniceravenaflavi")</f>
        <v>Betasatellite ioniceravenaflavi</v>
      </c>
      <c r="S16302" t="s">
        <v>30</v>
      </c>
      <c r="T16302" t="s">
        <v>38580</v>
      </c>
      <c r="U16302" t="s">
        <v>38581</v>
      </c>
      <c r="V16302" t="s">
        <v>38582</v>
      </c>
      <c r="W16302" t="s">
        <v>38583</v>
      </c>
      <c r="X16302" t="s">
        <v>42</v>
      </c>
      <c r="Y16302" t="s">
        <v>12446</v>
      </c>
      <c r="Z16302" t="s">
        <v>13441</v>
      </c>
      <c r="AA16302" s="22" t="str">
        <f>HYPERLINK("https://www.ncbi.nlm.nih.gov/nuccore/AJ316040","NCBI Nucleotide")</f>
        <v>NCBI Nucleotide</v>
      </c>
    </row>
    <row r="16303" spans="1:27" x14ac:dyDescent="0.35">
      <c r="A16303">
        <v>1006085</v>
      </c>
      <c r="B16303">
        <v>14599</v>
      </c>
      <c r="C16303">
        <v>1</v>
      </c>
      <c r="N16303" t="s">
        <v>38446</v>
      </c>
      <c r="P16303" t="s">
        <v>38447</v>
      </c>
      <c r="R16303" s="26" t="str">
        <f>HYPERLINK("https://ictv.global/taxonomy/taxondetails?taxnode_id=202309201","Betasatellite ioniceravenaibarakiense")</f>
        <v>Betasatellite ioniceravenaibarakiense</v>
      </c>
      <c r="S16303" t="s">
        <v>30</v>
      </c>
      <c r="T16303" t="s">
        <v>38588</v>
      </c>
      <c r="U16303" t="s">
        <v>38589</v>
      </c>
      <c r="V16303" t="s">
        <v>38590</v>
      </c>
      <c r="W16303" t="s">
        <v>38591</v>
      </c>
      <c r="X16303" t="s">
        <v>42</v>
      </c>
      <c r="Y16303" t="s">
        <v>12446</v>
      </c>
      <c r="Z16303" t="s">
        <v>13441</v>
      </c>
      <c r="AA16303" s="22" t="str">
        <f>HYPERLINK("https://www.ncbi.nlm.nih.gov/nuccore/AB287442","NCBI Nucleotide")</f>
        <v>NCBI Nucleotide</v>
      </c>
    </row>
    <row r="16304" spans="1:27" x14ac:dyDescent="0.35">
      <c r="A16304">
        <v>1006084</v>
      </c>
      <c r="B16304">
        <v>14600</v>
      </c>
      <c r="C16304">
        <v>1</v>
      </c>
      <c r="N16304" t="s">
        <v>38446</v>
      </c>
      <c r="P16304" t="s">
        <v>38447</v>
      </c>
      <c r="R16304" s="26" t="str">
        <f>HYPERLINK("https://ictv.global/taxonomy/taxondetails?taxnode_id=202305140","Betasatellite ioniceravenamusiviflavi")</f>
        <v>Betasatellite ioniceravenamusiviflavi</v>
      </c>
      <c r="S16304" t="s">
        <v>30</v>
      </c>
      <c r="T16304" t="s">
        <v>38584</v>
      </c>
      <c r="U16304" t="s">
        <v>38585</v>
      </c>
      <c r="V16304" t="s">
        <v>38586</v>
      </c>
      <c r="W16304" t="s">
        <v>38587</v>
      </c>
      <c r="X16304" t="s">
        <v>42</v>
      </c>
      <c r="Y16304" t="s">
        <v>12446</v>
      </c>
      <c r="Z16304" t="s">
        <v>13441</v>
      </c>
      <c r="AA16304" s="22" t="str">
        <f>HYPERLINK("https://www.ncbi.nlm.nih.gov/nuccore/AB182263","NCBI Nucleotide")</f>
        <v>NCBI Nucleotide</v>
      </c>
    </row>
    <row r="16305" spans="1:27" x14ac:dyDescent="0.35">
      <c r="A16305">
        <v>1006086</v>
      </c>
      <c r="B16305">
        <v>14601</v>
      </c>
      <c r="C16305">
        <v>1</v>
      </c>
      <c r="N16305" t="s">
        <v>38446</v>
      </c>
      <c r="P16305" t="s">
        <v>38447</v>
      </c>
      <c r="R16305" s="26" t="str">
        <f>HYPERLINK("https://ictv.global/taxonomy/taxondetails?taxnode_id=202309202","Betasatellite ioniceravenanaraense")</f>
        <v>Betasatellite ioniceravenanaraense</v>
      </c>
      <c r="S16305" t="s">
        <v>30</v>
      </c>
      <c r="T16305" t="s">
        <v>38592</v>
      </c>
      <c r="U16305" t="s">
        <v>38593</v>
      </c>
      <c r="V16305" t="s">
        <v>38594</v>
      </c>
      <c r="W16305" t="s">
        <v>38595</v>
      </c>
      <c r="X16305" t="s">
        <v>42</v>
      </c>
      <c r="Y16305" t="s">
        <v>12446</v>
      </c>
      <c r="Z16305" t="s">
        <v>13441</v>
      </c>
      <c r="AA16305" s="22" t="str">
        <f>HYPERLINK("https://www.ncbi.nlm.nih.gov/nuccore/AB287443","NCBI Nucleotide")</f>
        <v>NCBI Nucleotide</v>
      </c>
    </row>
    <row r="16306" spans="1:27" x14ac:dyDescent="0.35">
      <c r="A16306">
        <v>1006088</v>
      </c>
      <c r="B16306">
        <v>14602</v>
      </c>
      <c r="C16306">
        <v>1</v>
      </c>
      <c r="N16306" t="s">
        <v>38446</v>
      </c>
      <c r="P16306" t="s">
        <v>38447</v>
      </c>
      <c r="R16306" s="26" t="str">
        <f>HYPERLINK("https://ictv.global/taxonomy/taxondetails?taxnode_id=202309204","Betasatellite leucatis")</f>
        <v>Betasatellite leucatis</v>
      </c>
      <c r="S16306" t="s">
        <v>30</v>
      </c>
      <c r="T16306" t="s">
        <v>38600</v>
      </c>
      <c r="U16306" t="s">
        <v>38601</v>
      </c>
      <c r="V16306" t="s">
        <v>38602</v>
      </c>
      <c r="W16306" t="s">
        <v>38603</v>
      </c>
      <c r="X16306" t="s">
        <v>42</v>
      </c>
      <c r="Y16306" t="s">
        <v>12446</v>
      </c>
      <c r="Z16306" t="s">
        <v>13441</v>
      </c>
      <c r="AA16306" s="22" t="str">
        <f>HYPERLINK("https://www.ncbi.nlm.nih.gov/nuccore/GQ421324","NCBI Nucleotide")</f>
        <v>NCBI Nucleotide</v>
      </c>
    </row>
    <row r="16307" spans="1:27" x14ac:dyDescent="0.35">
      <c r="A16307">
        <v>1006089</v>
      </c>
      <c r="B16307">
        <v>14603</v>
      </c>
      <c r="C16307">
        <v>1</v>
      </c>
      <c r="N16307" t="s">
        <v>38446</v>
      </c>
      <c r="P16307" t="s">
        <v>38447</v>
      </c>
      <c r="R16307" s="26" t="str">
        <f>HYPERLINK("https://ictv.global/taxonomy/taxondetails?taxnode_id=202309205","Betasatellite linderniae")</f>
        <v>Betasatellite linderniae</v>
      </c>
      <c r="S16307" t="s">
        <v>30</v>
      </c>
      <c r="T16307" t="s">
        <v>38604</v>
      </c>
      <c r="U16307" t="s">
        <v>38605</v>
      </c>
      <c r="V16307" t="s">
        <v>38606</v>
      </c>
      <c r="W16307" t="s">
        <v>38607</v>
      </c>
      <c r="X16307" t="s">
        <v>42</v>
      </c>
      <c r="Y16307" t="s">
        <v>12446</v>
      </c>
      <c r="Z16307" t="s">
        <v>13441</v>
      </c>
      <c r="AA16307" s="22" t="str">
        <f>HYPERLINK("https://www.ncbi.nlm.nih.gov/nuccore/DQ641715","NCBI Nucleotide")</f>
        <v>NCBI Nucleotide</v>
      </c>
    </row>
    <row r="16308" spans="1:27" x14ac:dyDescent="0.35">
      <c r="A16308">
        <v>1006093</v>
      </c>
      <c r="B16308">
        <v>14604</v>
      </c>
      <c r="C16308">
        <v>1</v>
      </c>
      <c r="N16308" t="s">
        <v>38446</v>
      </c>
      <c r="P16308" t="s">
        <v>38447</v>
      </c>
      <c r="R16308" s="26" t="str">
        <f>HYPERLINK("https://ictv.global/taxonomy/taxondetails?taxnode_id=202309209","Betasatellite ludwigiae")</f>
        <v>Betasatellite ludwigiae</v>
      </c>
      <c r="S16308" t="s">
        <v>30</v>
      </c>
      <c r="T16308" t="s">
        <v>38620</v>
      </c>
      <c r="U16308" t="s">
        <v>38621</v>
      </c>
      <c r="V16308" t="s">
        <v>38622</v>
      </c>
      <c r="W16308" t="s">
        <v>38623</v>
      </c>
      <c r="X16308" t="s">
        <v>42</v>
      </c>
      <c r="Y16308" t="s">
        <v>12446</v>
      </c>
      <c r="Z16308" t="s">
        <v>13441</v>
      </c>
      <c r="AA16308" s="22" t="str">
        <f>HYPERLINK("https://www.ncbi.nlm.nih.gov/nuccore/AJ965541","NCBI Nucleotide")</f>
        <v>NCBI Nucleotide</v>
      </c>
    </row>
    <row r="16309" spans="1:27" x14ac:dyDescent="0.35">
      <c r="A16309">
        <v>1006090</v>
      </c>
      <c r="B16309">
        <v>14605</v>
      </c>
      <c r="C16309">
        <v>1</v>
      </c>
      <c r="N16309" t="s">
        <v>38446</v>
      </c>
      <c r="P16309" t="s">
        <v>38447</v>
      </c>
      <c r="R16309" s="26" t="str">
        <f>HYPERLINK("https://ictv.global/taxonomy/taxondetails?taxnode_id=202309206","Betasatellite ludwigiaprimi")</f>
        <v>Betasatellite ludwigiaprimi</v>
      </c>
      <c r="S16309" t="s">
        <v>30</v>
      </c>
      <c r="T16309" t="s">
        <v>38608</v>
      </c>
      <c r="U16309" t="s">
        <v>38609</v>
      </c>
      <c r="V16309" t="s">
        <v>38610</v>
      </c>
      <c r="W16309" t="s">
        <v>38611</v>
      </c>
      <c r="X16309" t="s">
        <v>42</v>
      </c>
      <c r="Y16309" t="s">
        <v>12446</v>
      </c>
      <c r="Z16309" t="s">
        <v>13441</v>
      </c>
      <c r="AA16309" s="22" t="str">
        <f>HYPERLINK("https://www.ncbi.nlm.nih.gov/nuccore/AY728262","NCBI Nucleotide")</f>
        <v>NCBI Nucleotide</v>
      </c>
    </row>
    <row r="16310" spans="1:27" x14ac:dyDescent="0.35">
      <c r="A16310">
        <v>1006091</v>
      </c>
      <c r="B16310">
        <v>14606</v>
      </c>
      <c r="C16310">
        <v>1</v>
      </c>
      <c r="N16310" t="s">
        <v>38446</v>
      </c>
      <c r="P16310" t="s">
        <v>38447</v>
      </c>
      <c r="R16310" s="26" t="str">
        <f>HYPERLINK("https://ictv.global/taxonomy/taxondetails?taxnode_id=202309207","Betasatellite ludwigiasecundi")</f>
        <v>Betasatellite ludwigiasecundi</v>
      </c>
      <c r="S16310" t="s">
        <v>30</v>
      </c>
      <c r="T16310" t="s">
        <v>38612</v>
      </c>
      <c r="U16310" t="s">
        <v>38613</v>
      </c>
      <c r="V16310" t="s">
        <v>38614</v>
      </c>
      <c r="W16310" t="s">
        <v>38615</v>
      </c>
      <c r="X16310" t="s">
        <v>42</v>
      </c>
      <c r="Y16310" t="s">
        <v>12446</v>
      </c>
      <c r="Z16310" t="s">
        <v>13441</v>
      </c>
      <c r="AA16310" s="22" t="str">
        <f>HYPERLINK("https://www.ncbi.nlm.nih.gov/nuccore/EF614160","NCBI Nucleotide")</f>
        <v>NCBI Nucleotide</v>
      </c>
    </row>
    <row r="16311" spans="1:27" x14ac:dyDescent="0.35">
      <c r="A16311">
        <v>1006092</v>
      </c>
      <c r="B16311">
        <v>14607</v>
      </c>
      <c r="C16311">
        <v>1</v>
      </c>
      <c r="N16311" t="s">
        <v>38446</v>
      </c>
      <c r="P16311" t="s">
        <v>38447</v>
      </c>
      <c r="R16311" s="26" t="str">
        <f>HYPERLINK("https://ictv.global/taxonomy/taxondetails?taxnode_id=202309208","Betasatellite ludwigiatertii")</f>
        <v>Betasatellite ludwigiatertii</v>
      </c>
      <c r="S16311" t="s">
        <v>30</v>
      </c>
      <c r="T16311" t="s">
        <v>38616</v>
      </c>
      <c r="U16311" t="s">
        <v>38617</v>
      </c>
      <c r="V16311" t="s">
        <v>38618</v>
      </c>
      <c r="W16311" t="s">
        <v>38619</v>
      </c>
      <c r="X16311" t="s">
        <v>42</v>
      </c>
      <c r="Y16311" t="s">
        <v>12446</v>
      </c>
      <c r="Z16311" t="s">
        <v>13441</v>
      </c>
      <c r="AA16311" s="22" t="str">
        <f>HYPERLINK("https://www.ncbi.nlm.nih.gov/nuccore/KT390358","NCBI Nucleotide")</f>
        <v>NCBI Nucleotide</v>
      </c>
    </row>
    <row r="16312" spans="1:27" x14ac:dyDescent="0.35">
      <c r="A16312">
        <v>1006094</v>
      </c>
      <c r="B16312">
        <v>14608</v>
      </c>
      <c r="C16312">
        <v>1</v>
      </c>
      <c r="N16312" t="s">
        <v>38446</v>
      </c>
      <c r="P16312" t="s">
        <v>38447</v>
      </c>
      <c r="R16312" s="26" t="str">
        <f>HYPERLINK("https://ictv.global/taxonomy/taxondetails?taxnode_id=202305141","Betasatellite malvastri")</f>
        <v>Betasatellite malvastri</v>
      </c>
      <c r="S16312" t="s">
        <v>30</v>
      </c>
      <c r="T16312" t="s">
        <v>38624</v>
      </c>
      <c r="U16312" t="s">
        <v>38625</v>
      </c>
      <c r="V16312" t="s">
        <v>38626</v>
      </c>
      <c r="W16312" t="s">
        <v>38627</v>
      </c>
      <c r="X16312" t="s">
        <v>42</v>
      </c>
      <c r="Y16312" t="s">
        <v>12446</v>
      </c>
      <c r="Z16312" t="s">
        <v>13441</v>
      </c>
      <c r="AA16312" s="22" t="str">
        <f>HYPERLINK("https://www.ncbi.nlm.nih.gov/nuccore/AM072289","NCBI Nucleotide")</f>
        <v>NCBI Nucleotide</v>
      </c>
    </row>
    <row r="16313" spans="1:27" x14ac:dyDescent="0.35">
      <c r="A16313">
        <v>1006096</v>
      </c>
      <c r="B16313">
        <v>14609</v>
      </c>
      <c r="C16313">
        <v>1</v>
      </c>
      <c r="N16313" t="s">
        <v>38446</v>
      </c>
      <c r="P16313" t="s">
        <v>38447</v>
      </c>
      <c r="R16313" s="26" t="str">
        <f>HYPERLINK("https://ictv.global/taxonomy/taxondetails?taxnode_id=202309211","Betasatellite malvastrumcambodiaense")</f>
        <v>Betasatellite malvastrumcambodiaense</v>
      </c>
      <c r="S16313" t="s">
        <v>30</v>
      </c>
      <c r="T16313" t="s">
        <v>38632</v>
      </c>
      <c r="U16313" t="s">
        <v>38633</v>
      </c>
      <c r="V16313" t="s">
        <v>38634</v>
      </c>
      <c r="W16313" t="s">
        <v>38635</v>
      </c>
      <c r="X16313" t="s">
        <v>42</v>
      </c>
      <c r="Y16313" t="s">
        <v>12446</v>
      </c>
      <c r="Z16313" t="s">
        <v>13441</v>
      </c>
      <c r="AA16313" s="22" t="str">
        <f>HYPERLINK("https://www.ncbi.nlm.nih.gov/nuccore/KP188832","NCBI Nucleotide")</f>
        <v>NCBI Nucleotide</v>
      </c>
    </row>
    <row r="16314" spans="1:27" x14ac:dyDescent="0.35">
      <c r="A16314">
        <v>1006095</v>
      </c>
      <c r="B16314">
        <v>14610</v>
      </c>
      <c r="C16314">
        <v>1</v>
      </c>
      <c r="N16314" t="s">
        <v>38446</v>
      </c>
      <c r="P16314" t="s">
        <v>38447</v>
      </c>
      <c r="R16314" s="26" t="str">
        <f>HYPERLINK("https://ictv.global/taxonomy/taxondetails?taxnode_id=202309210","Betasatellite malvastrumflavi")</f>
        <v>Betasatellite malvastrumflavi</v>
      </c>
      <c r="S16314" t="s">
        <v>30</v>
      </c>
      <c r="T16314" t="s">
        <v>38628</v>
      </c>
      <c r="U16314" t="s">
        <v>38629</v>
      </c>
      <c r="V16314" t="s">
        <v>38630</v>
      </c>
      <c r="W16314" t="s">
        <v>38631</v>
      </c>
      <c r="X16314" t="s">
        <v>42</v>
      </c>
      <c r="Y16314" t="s">
        <v>12446</v>
      </c>
      <c r="Z16314" t="s">
        <v>13441</v>
      </c>
      <c r="AA16314" s="22" t="str">
        <f>HYPERLINK("https://www.ncbi.nlm.nih.gov/nuccore/AJ971459","NCBI Nucleotide")</f>
        <v>NCBI Nucleotide</v>
      </c>
    </row>
    <row r="16315" spans="1:27" x14ac:dyDescent="0.35">
      <c r="A16315">
        <v>1006097</v>
      </c>
      <c r="B16315">
        <v>14611</v>
      </c>
      <c r="C16315">
        <v>1</v>
      </c>
      <c r="N16315" t="s">
        <v>38446</v>
      </c>
      <c r="P16315" t="s">
        <v>38447</v>
      </c>
      <c r="R16315" s="26" t="str">
        <f>HYPERLINK("https://ictv.global/taxonomy/taxondetails?taxnode_id=202309212","Betasatellite malvastrumyunnanenseprimi")</f>
        <v>Betasatellite malvastrumyunnanenseprimi</v>
      </c>
      <c r="S16315" t="s">
        <v>30</v>
      </c>
      <c r="T16315" t="s">
        <v>38636</v>
      </c>
      <c r="U16315" t="s">
        <v>38637</v>
      </c>
      <c r="V16315" t="s">
        <v>38638</v>
      </c>
      <c r="W16315" t="s">
        <v>38639</v>
      </c>
      <c r="X16315" t="s">
        <v>42</v>
      </c>
      <c r="Y16315" t="s">
        <v>12446</v>
      </c>
      <c r="Z16315" t="s">
        <v>13441</v>
      </c>
      <c r="AA16315" s="22" t="str">
        <f>HYPERLINK("https://www.ncbi.nlm.nih.gov/nuccore/AJ786712","NCBI Nucleotide")</f>
        <v>NCBI Nucleotide</v>
      </c>
    </row>
    <row r="16316" spans="1:27" x14ac:dyDescent="0.35">
      <c r="A16316">
        <v>1006098</v>
      </c>
      <c r="B16316">
        <v>14612</v>
      </c>
      <c r="C16316">
        <v>1</v>
      </c>
      <c r="N16316" t="s">
        <v>38446</v>
      </c>
      <c r="P16316" t="s">
        <v>38447</v>
      </c>
      <c r="R16316" s="26" t="str">
        <f>HYPERLINK("https://ictv.global/taxonomy/taxondetails?taxnode_id=202309213","Betasatellite malvastrumyunnanensesecundi")</f>
        <v>Betasatellite malvastrumyunnanensesecundi</v>
      </c>
      <c r="S16316" t="s">
        <v>30</v>
      </c>
      <c r="T16316" t="s">
        <v>38640</v>
      </c>
      <c r="U16316" t="s">
        <v>38637</v>
      </c>
      <c r="V16316" t="s">
        <v>38641</v>
      </c>
      <c r="W16316" t="s">
        <v>38642</v>
      </c>
      <c r="X16316" t="s">
        <v>42</v>
      </c>
      <c r="Y16316" t="s">
        <v>12446</v>
      </c>
      <c r="Z16316" t="s">
        <v>13441</v>
      </c>
      <c r="AA16316" s="22" t="str">
        <f>HYPERLINK("https://www.ncbi.nlm.nih.gov/nuccore/FN806780","NCBI Nucleotide")</f>
        <v>NCBI Nucleotide</v>
      </c>
    </row>
    <row r="16317" spans="1:27" x14ac:dyDescent="0.35">
      <c r="A16317">
        <v>1006099</v>
      </c>
      <c r="B16317">
        <v>14613</v>
      </c>
      <c r="C16317">
        <v>1</v>
      </c>
      <c r="N16317" t="s">
        <v>38446</v>
      </c>
      <c r="P16317" t="s">
        <v>38447</v>
      </c>
      <c r="R16317" s="26" t="str">
        <f>HYPERLINK("https://ictv.global/taxonomy/taxondetails?taxnode_id=202305143","Betasatellite mirabilis")</f>
        <v>Betasatellite mirabilis</v>
      </c>
      <c r="S16317" t="s">
        <v>30</v>
      </c>
      <c r="T16317" t="s">
        <v>38643</v>
      </c>
      <c r="U16317" t="s">
        <v>38644</v>
      </c>
      <c r="V16317" t="s">
        <v>38645</v>
      </c>
      <c r="W16317" t="s">
        <v>38646</v>
      </c>
      <c r="X16317" t="s">
        <v>42</v>
      </c>
      <c r="Y16317" t="s">
        <v>12446</v>
      </c>
      <c r="Z16317" t="s">
        <v>13441</v>
      </c>
      <c r="AA16317" s="22" t="str">
        <f>HYPERLINK("https://www.ncbi.nlm.nih.gov/nuccore/LK054803","NCBI Nucleotide")</f>
        <v>NCBI Nucleotide</v>
      </c>
    </row>
    <row r="16318" spans="1:27" x14ac:dyDescent="0.35">
      <c r="A16318">
        <v>1006100</v>
      </c>
      <c r="B16318">
        <v>14614</v>
      </c>
      <c r="C16318">
        <v>1</v>
      </c>
      <c r="N16318" t="s">
        <v>38446</v>
      </c>
      <c r="P16318" t="s">
        <v>38447</v>
      </c>
      <c r="R16318" s="26" t="str">
        <f>HYPERLINK("https://ictv.global/taxonomy/taxondetails?taxnode_id=202305144","Betasatellite momordicae")</f>
        <v>Betasatellite momordicae</v>
      </c>
      <c r="S16318" t="s">
        <v>30</v>
      </c>
      <c r="T16318" t="s">
        <v>38647</v>
      </c>
      <c r="U16318" t="s">
        <v>38648</v>
      </c>
      <c r="V16318" t="s">
        <v>38649</v>
      </c>
      <c r="W16318" t="s">
        <v>38650</v>
      </c>
      <c r="X16318" t="s">
        <v>42</v>
      </c>
      <c r="Y16318" t="s">
        <v>12446</v>
      </c>
      <c r="Z16318" t="s">
        <v>13441</v>
      </c>
      <c r="AA16318" s="22" t="str">
        <f>HYPERLINK("https://www.ncbi.nlm.nih.gov/nuccore/KT454829","NCBI Nucleotide")</f>
        <v>NCBI Nucleotide</v>
      </c>
    </row>
    <row r="16319" spans="1:27" x14ac:dyDescent="0.35">
      <c r="A16319">
        <v>1006123</v>
      </c>
      <c r="B16319">
        <v>14615</v>
      </c>
      <c r="C16319">
        <v>1</v>
      </c>
      <c r="N16319" t="s">
        <v>38446</v>
      </c>
      <c r="P16319" t="s">
        <v>38447</v>
      </c>
      <c r="R16319" s="26" t="str">
        <f>HYPERLINK("https://ictv.global/taxonomy/taxondetails?taxnode_id=202309227","Betasatellite nicotianachlorosis")</f>
        <v>Betasatellite nicotianachlorosis</v>
      </c>
      <c r="S16319" t="s">
        <v>30</v>
      </c>
      <c r="T16319" t="s">
        <v>38739</v>
      </c>
      <c r="U16319" t="s">
        <v>38740</v>
      </c>
      <c r="V16319" t="s">
        <v>38741</v>
      </c>
      <c r="W16319" t="s">
        <v>38742</v>
      </c>
      <c r="X16319" t="s">
        <v>42</v>
      </c>
      <c r="Y16319" t="s">
        <v>12446</v>
      </c>
      <c r="Z16319" t="s">
        <v>13441</v>
      </c>
      <c r="AA16319" s="22" t="str">
        <f>HYPERLINK("https://www.ncbi.nlm.nih.gov/nuccore/JX025223","NCBI Nucleotide")</f>
        <v>NCBI Nucleotide</v>
      </c>
    </row>
    <row r="16320" spans="1:27" x14ac:dyDescent="0.35">
      <c r="A16320">
        <v>1006122</v>
      </c>
      <c r="B16320">
        <v>14616</v>
      </c>
      <c r="C16320">
        <v>1</v>
      </c>
      <c r="N16320" t="s">
        <v>38446</v>
      </c>
      <c r="P16320" t="s">
        <v>38447</v>
      </c>
      <c r="R16320" s="26" t="str">
        <f>HYPERLINK("https://ictv.global/taxonomy/taxondetails?taxnode_id=202305153","Betasatellite nicotianae")</f>
        <v>Betasatellite nicotianae</v>
      </c>
      <c r="S16320" t="s">
        <v>30</v>
      </c>
      <c r="T16320" t="s">
        <v>38735</v>
      </c>
      <c r="U16320" t="s">
        <v>38736</v>
      </c>
      <c r="V16320" t="s">
        <v>38737</v>
      </c>
      <c r="W16320" t="s">
        <v>38738</v>
      </c>
      <c r="X16320" t="s">
        <v>42</v>
      </c>
      <c r="Y16320" t="s">
        <v>12446</v>
      </c>
      <c r="Z16320" t="s">
        <v>13441</v>
      </c>
      <c r="AA16320" s="22" t="str">
        <f>HYPERLINK("https://www.ncbi.nlm.nih.gov/nuccore/AJ421484","NCBI Nucleotide")</f>
        <v>NCBI Nucleotide</v>
      </c>
    </row>
    <row r="16321" spans="1:27" x14ac:dyDescent="0.35">
      <c r="A16321">
        <v>1006125</v>
      </c>
      <c r="B16321">
        <v>14617</v>
      </c>
      <c r="C16321">
        <v>1</v>
      </c>
      <c r="N16321" t="s">
        <v>38446</v>
      </c>
      <c r="P16321" t="s">
        <v>38447</v>
      </c>
      <c r="R16321" s="26" t="str">
        <f>HYPERLINK("https://ictv.global/taxonomy/taxondetails?taxnode_id=202305155","Betasatellite nicotianajapanense")</f>
        <v>Betasatellite nicotianajapanense</v>
      </c>
      <c r="S16321" t="s">
        <v>30</v>
      </c>
      <c r="T16321" t="s">
        <v>38747</v>
      </c>
      <c r="U16321" t="s">
        <v>38748</v>
      </c>
      <c r="V16321" t="s">
        <v>38749</v>
      </c>
      <c r="W16321" t="s">
        <v>38750</v>
      </c>
      <c r="X16321" t="s">
        <v>42</v>
      </c>
      <c r="Y16321" t="s">
        <v>12446</v>
      </c>
      <c r="Z16321" t="s">
        <v>13441</v>
      </c>
      <c r="AA16321" s="22" t="str">
        <f>HYPERLINK("https://www.ncbi.nlm.nih.gov/nuccore/AB236324","NCBI Nucleotide")</f>
        <v>NCBI Nucleotide</v>
      </c>
    </row>
    <row r="16322" spans="1:27" x14ac:dyDescent="0.35">
      <c r="A16322">
        <v>1006126</v>
      </c>
      <c r="B16322">
        <v>14618</v>
      </c>
      <c r="C16322">
        <v>1</v>
      </c>
      <c r="N16322" t="s">
        <v>38446</v>
      </c>
      <c r="P16322" t="s">
        <v>38447</v>
      </c>
      <c r="R16322" s="26" t="str">
        <f>HYPERLINK("https://ictv.global/taxonomy/taxondetails?taxnode_id=202305156","Betasatellite nicotianapatnaense")</f>
        <v>Betasatellite nicotianapatnaense</v>
      </c>
      <c r="S16322" t="s">
        <v>30</v>
      </c>
      <c r="T16322" t="s">
        <v>38751</v>
      </c>
      <c r="U16322" t="s">
        <v>38752</v>
      </c>
      <c r="V16322" t="s">
        <v>38753</v>
      </c>
      <c r="W16322" t="s">
        <v>38754</v>
      </c>
      <c r="X16322" t="s">
        <v>42</v>
      </c>
      <c r="Y16322" t="s">
        <v>12446</v>
      </c>
      <c r="Z16322" t="s">
        <v>13441</v>
      </c>
      <c r="AA16322" s="22" t="str">
        <f>HYPERLINK("https://www.ncbi.nlm.nih.gov/nuccore/HQ180394","NCBI Nucleotide")</f>
        <v>NCBI Nucleotide</v>
      </c>
    </row>
    <row r="16323" spans="1:27" x14ac:dyDescent="0.35">
      <c r="A16323">
        <v>1006127</v>
      </c>
      <c r="B16323">
        <v>14619</v>
      </c>
      <c r="C16323">
        <v>1</v>
      </c>
      <c r="N16323" t="s">
        <v>38446</v>
      </c>
      <c r="P16323" t="s">
        <v>38447</v>
      </c>
      <c r="R16323" s="26" t="str">
        <f>HYPERLINK("https://ictv.global/taxonomy/taxondetails?taxnode_id=202309228","Betasatellite nicotianasheikhupuraense")</f>
        <v>Betasatellite nicotianasheikhupuraense</v>
      </c>
      <c r="S16323" t="s">
        <v>30</v>
      </c>
      <c r="T16323" t="s">
        <v>38755</v>
      </c>
      <c r="U16323" t="s">
        <v>38756</v>
      </c>
      <c r="V16323" t="s">
        <v>38757</v>
      </c>
      <c r="W16323" t="s">
        <v>38758</v>
      </c>
      <c r="X16323" t="s">
        <v>42</v>
      </c>
      <c r="Y16323" t="s">
        <v>12446</v>
      </c>
      <c r="Z16323" t="s">
        <v>13441</v>
      </c>
      <c r="AA16323" s="22" t="str">
        <f>HYPERLINK("https://www.ncbi.nlm.nih.gov/nuccore/LT795119","NCBI Nucleotide")</f>
        <v>NCBI Nucleotide</v>
      </c>
    </row>
    <row r="16324" spans="1:27" x14ac:dyDescent="0.35">
      <c r="A16324">
        <v>1006128</v>
      </c>
      <c r="B16324">
        <v>14620</v>
      </c>
      <c r="C16324">
        <v>1</v>
      </c>
      <c r="N16324" t="s">
        <v>38446</v>
      </c>
      <c r="P16324" t="s">
        <v>38447</v>
      </c>
      <c r="R16324" s="26" t="str">
        <f>HYPERLINK("https://ictv.global/taxonomy/taxondetails?taxnode_id=202309229","Betasatellite nicotianayunnanense")</f>
        <v>Betasatellite nicotianayunnanense</v>
      </c>
      <c r="S16324" t="s">
        <v>30</v>
      </c>
      <c r="T16324" t="s">
        <v>38759</v>
      </c>
      <c r="U16324" t="s">
        <v>38760</v>
      </c>
      <c r="V16324" t="s">
        <v>38761</v>
      </c>
      <c r="W16324" t="s">
        <v>38762</v>
      </c>
      <c r="X16324" t="s">
        <v>42</v>
      </c>
      <c r="Y16324" t="s">
        <v>12446</v>
      </c>
      <c r="Z16324" t="s">
        <v>13441</v>
      </c>
      <c r="AA16324" s="22" t="str">
        <f>HYPERLINK("https://www.ncbi.nlm.nih.gov/nuccore/KC699042","NCBI Nucleotide")</f>
        <v>NCBI Nucleotide</v>
      </c>
    </row>
    <row r="16325" spans="1:27" x14ac:dyDescent="0.35">
      <c r="A16325">
        <v>1006124</v>
      </c>
      <c r="B16325">
        <v>14621</v>
      </c>
      <c r="C16325">
        <v>1</v>
      </c>
      <c r="N16325" t="s">
        <v>38446</v>
      </c>
      <c r="P16325" t="s">
        <v>38447</v>
      </c>
      <c r="R16325" s="26" t="str">
        <f>HYPERLINK("https://ictv.global/taxonomy/taxondetails?taxnode_id=202305154","Betasatellite nicotianinvolutionis")</f>
        <v>Betasatellite nicotianinvolutionis</v>
      </c>
      <c r="S16325" t="s">
        <v>30</v>
      </c>
      <c r="T16325" t="s">
        <v>38743</v>
      </c>
      <c r="U16325" t="s">
        <v>38744</v>
      </c>
      <c r="V16325" t="s">
        <v>38745</v>
      </c>
      <c r="W16325" t="s">
        <v>38746</v>
      </c>
      <c r="X16325" t="s">
        <v>42</v>
      </c>
      <c r="Y16325" t="s">
        <v>12446</v>
      </c>
      <c r="Z16325" t="s">
        <v>13441</v>
      </c>
      <c r="AA16325" s="22" t="str">
        <f>HYPERLINK("https://www.ncbi.nlm.nih.gov/nuccore/AM260465","NCBI Nucleotide")</f>
        <v>NCBI Nucleotide</v>
      </c>
    </row>
    <row r="16326" spans="1:27" x14ac:dyDescent="0.35">
      <c r="A16326">
        <v>1006080</v>
      </c>
      <c r="B16326">
        <v>14622</v>
      </c>
      <c r="C16326">
        <v>1</v>
      </c>
      <c r="N16326" t="s">
        <v>38446</v>
      </c>
      <c r="P16326" t="s">
        <v>38447</v>
      </c>
      <c r="R16326" s="26" t="str">
        <f>HYPERLINK("https://ictv.global/taxonomy/taxondetails?taxnode_id=202305137","Betasatellite phaseoli")</f>
        <v>Betasatellite phaseoli</v>
      </c>
      <c r="S16326" t="s">
        <v>30</v>
      </c>
      <c r="T16326" t="s">
        <v>38568</v>
      </c>
      <c r="U16326" t="s">
        <v>38569</v>
      </c>
      <c r="V16326" t="s">
        <v>38570</v>
      </c>
      <c r="W16326" t="s">
        <v>38571</v>
      </c>
      <c r="X16326" t="s">
        <v>42</v>
      </c>
      <c r="Y16326" t="s">
        <v>12446</v>
      </c>
      <c r="Z16326" t="s">
        <v>13441</v>
      </c>
      <c r="AA16326" s="22" t="str">
        <f>HYPERLINK("https://www.ncbi.nlm.nih.gov/nuccore/JQ866298","NCBI Nucleotide")</f>
        <v>NCBI Nucleotide</v>
      </c>
    </row>
    <row r="16327" spans="1:27" x14ac:dyDescent="0.35">
      <c r="A16327">
        <v>1006109</v>
      </c>
      <c r="B16327">
        <v>14623</v>
      </c>
      <c r="C16327">
        <v>1</v>
      </c>
      <c r="N16327" t="s">
        <v>38446</v>
      </c>
      <c r="P16327" t="s">
        <v>38447</v>
      </c>
      <c r="R16327" s="26" t="str">
        <f>HYPERLINK("https://ictv.global/taxonomy/taxondetails?taxnode_id=202309217","Betasatellite pisi")</f>
        <v>Betasatellite pisi</v>
      </c>
      <c r="S16327" t="s">
        <v>30</v>
      </c>
      <c r="T16327" t="s">
        <v>38683</v>
      </c>
      <c r="U16327" t="s">
        <v>38684</v>
      </c>
      <c r="V16327" t="s">
        <v>38685</v>
      </c>
      <c r="W16327" t="s">
        <v>38686</v>
      </c>
      <c r="X16327" t="s">
        <v>42</v>
      </c>
      <c r="Y16327" t="s">
        <v>12446</v>
      </c>
      <c r="Z16327" t="s">
        <v>13441</v>
      </c>
      <c r="AA16327" s="22" t="str">
        <f>HYPERLINK("https://www.ncbi.nlm.nih.gov/nuccore/KY001644","NCBI Nucleotide")</f>
        <v>NCBI Nucleotide</v>
      </c>
    </row>
    <row r="16328" spans="1:27" x14ac:dyDescent="0.35">
      <c r="A16328">
        <v>1006110</v>
      </c>
      <c r="B16328">
        <v>14624</v>
      </c>
      <c r="C16328">
        <v>1</v>
      </c>
      <c r="N16328" t="s">
        <v>38446</v>
      </c>
      <c r="P16328" t="s">
        <v>38447</v>
      </c>
      <c r="R16328" s="26" t="str">
        <f>HYPERLINK("https://ictv.global/taxonomy/taxondetails?taxnode_id=202309218","Betasatellite raphani")</f>
        <v>Betasatellite raphani</v>
      </c>
      <c r="S16328" t="s">
        <v>30</v>
      </c>
      <c r="T16328" t="s">
        <v>38687</v>
      </c>
      <c r="U16328" t="s">
        <v>38688</v>
      </c>
      <c r="V16328" t="s">
        <v>38689</v>
      </c>
      <c r="W16328" t="s">
        <v>38690</v>
      </c>
      <c r="X16328" t="s">
        <v>42</v>
      </c>
      <c r="Y16328" t="s">
        <v>12446</v>
      </c>
      <c r="Z16328" t="s">
        <v>13441</v>
      </c>
      <c r="AA16328" s="22" t="str">
        <f>HYPERLINK("https://www.ncbi.nlm.nih.gov/nuccore/EF175734","NCBI Nucleotide")</f>
        <v>NCBI Nucleotide</v>
      </c>
    </row>
    <row r="16329" spans="1:27" x14ac:dyDescent="0.35">
      <c r="A16329">
        <v>1006111</v>
      </c>
      <c r="B16329">
        <v>14625</v>
      </c>
      <c r="C16329">
        <v>1</v>
      </c>
      <c r="N16329" t="s">
        <v>38446</v>
      </c>
      <c r="P16329" t="s">
        <v>38447</v>
      </c>
      <c r="R16329" s="26" t="str">
        <f>HYPERLINK("https://ictv.global/taxonomy/taxondetails?taxnode_id=202305150","Betasatellite rhynchosiae")</f>
        <v>Betasatellite rhynchosiae</v>
      </c>
      <c r="S16329" t="s">
        <v>30</v>
      </c>
      <c r="T16329" t="s">
        <v>38691</v>
      </c>
      <c r="U16329" t="s">
        <v>38692</v>
      </c>
      <c r="V16329" t="s">
        <v>38693</v>
      </c>
      <c r="W16329" t="s">
        <v>38694</v>
      </c>
      <c r="X16329" t="s">
        <v>42</v>
      </c>
      <c r="Y16329" t="s">
        <v>12446</v>
      </c>
      <c r="Z16329" t="s">
        <v>13441</v>
      </c>
      <c r="AA16329" s="22" t="str">
        <f>HYPERLINK("https://www.ncbi.nlm.nih.gov/nuccore/KP752092","NCBI Nucleotide")</f>
        <v>NCBI Nucleotide</v>
      </c>
    </row>
    <row r="16330" spans="1:27" x14ac:dyDescent="0.35">
      <c r="A16330">
        <v>1006112</v>
      </c>
      <c r="B16330">
        <v>14626</v>
      </c>
      <c r="C16330">
        <v>1</v>
      </c>
      <c r="N16330" t="s">
        <v>38446</v>
      </c>
      <c r="P16330" t="s">
        <v>38447</v>
      </c>
      <c r="R16330" s="26" t="str">
        <f>HYPERLINK("https://ictv.global/taxonomy/taxondetails?taxnode_id=202305151","Betasatellite rosae")</f>
        <v>Betasatellite rosae</v>
      </c>
      <c r="S16330" t="s">
        <v>30</v>
      </c>
      <c r="T16330" t="s">
        <v>38695</v>
      </c>
      <c r="U16330" t="s">
        <v>38696</v>
      </c>
      <c r="V16330" t="s">
        <v>38697</v>
      </c>
      <c r="W16330" t="s">
        <v>38698</v>
      </c>
      <c r="X16330" t="s">
        <v>42</v>
      </c>
      <c r="Y16330" t="s">
        <v>12446</v>
      </c>
      <c r="Z16330" t="s">
        <v>13441</v>
      </c>
      <c r="AA16330" s="22" t="str">
        <f>HYPERLINK("https://www.ncbi.nlm.nih.gov/nuccore/GQ478344","NCBI Nucleotide")</f>
        <v>NCBI Nucleotide</v>
      </c>
    </row>
    <row r="16331" spans="1:27" x14ac:dyDescent="0.35">
      <c r="A16331">
        <v>1006115</v>
      </c>
      <c r="B16331">
        <v>14627</v>
      </c>
      <c r="C16331">
        <v>1</v>
      </c>
      <c r="N16331" t="s">
        <v>38446</v>
      </c>
      <c r="P16331" t="s">
        <v>38447</v>
      </c>
      <c r="R16331" s="26" t="str">
        <f>HYPERLINK("https://ictv.global/taxonomy/taxondetails?taxnode_id=202309221","Betasatellite sidabarrackporense")</f>
        <v>Betasatellite sidabarrackporense</v>
      </c>
      <c r="S16331" t="s">
        <v>30</v>
      </c>
      <c r="T16331" t="s">
        <v>38707</v>
      </c>
      <c r="U16331" t="s">
        <v>38708</v>
      </c>
      <c r="V16331" t="s">
        <v>38709</v>
      </c>
      <c r="W16331" t="s">
        <v>38710</v>
      </c>
      <c r="X16331" t="s">
        <v>42</v>
      </c>
      <c r="Y16331" t="s">
        <v>12446</v>
      </c>
      <c r="Z16331" t="s">
        <v>13441</v>
      </c>
      <c r="AA16331" s="22" t="str">
        <f>HYPERLINK("https://www.ncbi.nlm.nih.gov/nuccore/EU188921","NCBI Nucleotide")</f>
        <v>NCBI Nucleotide</v>
      </c>
    </row>
    <row r="16332" spans="1:27" x14ac:dyDescent="0.35">
      <c r="A16332">
        <v>1006113</v>
      </c>
      <c r="B16332">
        <v>14628</v>
      </c>
      <c r="C16332">
        <v>1</v>
      </c>
      <c r="N16332" t="s">
        <v>38446</v>
      </c>
      <c r="P16332" t="s">
        <v>38447</v>
      </c>
      <c r="R16332" s="26" t="str">
        <f>HYPERLINK("https://ictv.global/taxonomy/taxondetails?taxnode_id=202309219","Betasatellite sidae")</f>
        <v>Betasatellite sidae</v>
      </c>
      <c r="S16332" t="s">
        <v>30</v>
      </c>
      <c r="T16332" t="s">
        <v>38699</v>
      </c>
      <c r="U16332" t="s">
        <v>38700</v>
      </c>
      <c r="V16332" t="s">
        <v>38701</v>
      </c>
      <c r="W16332" t="s">
        <v>38702</v>
      </c>
      <c r="X16332" t="s">
        <v>42</v>
      </c>
      <c r="Y16332" t="s">
        <v>12446</v>
      </c>
      <c r="Z16332" t="s">
        <v>13441</v>
      </c>
      <c r="AA16332" s="22" t="str">
        <f>HYPERLINK("https://www.ncbi.nlm.nih.gov/nuccore/AM050732","NCBI Nucleotide")</f>
        <v>NCBI Nucleotide</v>
      </c>
    </row>
    <row r="16333" spans="1:27" x14ac:dyDescent="0.35">
      <c r="A16333">
        <v>1006116</v>
      </c>
      <c r="B16333">
        <v>14629</v>
      </c>
      <c r="C16333">
        <v>1</v>
      </c>
      <c r="N16333" t="s">
        <v>38446</v>
      </c>
      <c r="P16333" t="s">
        <v>38447</v>
      </c>
      <c r="R16333" s="26" t="str">
        <f>HYPERLINK("https://ictv.global/taxonomy/taxondetails?taxnode_id=202309222","Betasatellite sidamaduraiense")</f>
        <v>Betasatellite sidamaduraiense</v>
      </c>
      <c r="S16333" t="s">
        <v>30</v>
      </c>
      <c r="T16333" t="s">
        <v>38711</v>
      </c>
      <c r="U16333" t="s">
        <v>38712</v>
      </c>
      <c r="V16333" t="s">
        <v>38713</v>
      </c>
      <c r="W16333" t="s">
        <v>38714</v>
      </c>
      <c r="X16333" t="s">
        <v>42</v>
      </c>
      <c r="Y16333" t="s">
        <v>12446</v>
      </c>
      <c r="Z16333" t="s">
        <v>13441</v>
      </c>
      <c r="AA16333" s="22" t="str">
        <f>HYPERLINK("https://www.ncbi.nlm.nih.gov/nuccore/AJ967003","NCBI Nucleotide")</f>
        <v>NCBI Nucleotide</v>
      </c>
    </row>
    <row r="16334" spans="1:27" x14ac:dyDescent="0.35">
      <c r="A16334">
        <v>1006114</v>
      </c>
      <c r="B16334">
        <v>14630</v>
      </c>
      <c r="C16334">
        <v>1</v>
      </c>
      <c r="N16334" t="s">
        <v>38446</v>
      </c>
      <c r="P16334" t="s">
        <v>38447</v>
      </c>
      <c r="R16334" s="26" t="str">
        <f>HYPERLINK("https://ictv.global/taxonomy/taxondetails?taxnode_id=202309220","Betasatellite sidamusivi")</f>
        <v>Betasatellite sidamusivi</v>
      </c>
      <c r="S16334" t="s">
        <v>30</v>
      </c>
      <c r="T16334" t="s">
        <v>38703</v>
      </c>
      <c r="U16334" t="s">
        <v>38704</v>
      </c>
      <c r="V16334" t="s">
        <v>38705</v>
      </c>
      <c r="W16334" t="s">
        <v>38706</v>
      </c>
      <c r="X16334" t="s">
        <v>42</v>
      </c>
      <c r="Y16334" t="s">
        <v>12446</v>
      </c>
      <c r="Z16334" t="s">
        <v>13441</v>
      </c>
      <c r="AA16334" s="22" t="str">
        <f>HYPERLINK("https://www.ncbi.nlm.nih.gov/nuccore/AJ810093","NCBI Nucleotide")</f>
        <v>NCBI Nucleotide</v>
      </c>
    </row>
    <row r="16335" spans="1:27" x14ac:dyDescent="0.35">
      <c r="A16335">
        <v>1006117</v>
      </c>
      <c r="B16335">
        <v>14631</v>
      </c>
      <c r="C16335">
        <v>1</v>
      </c>
      <c r="N16335" t="s">
        <v>38446</v>
      </c>
      <c r="P16335" t="s">
        <v>38447</v>
      </c>
      <c r="R16335" s="26" t="str">
        <f>HYPERLINK("https://ictv.global/taxonomy/taxondetails?taxnode_id=202309223","Betasatellite sidavietnamenseprimo")</f>
        <v>Betasatellite sidavietnamenseprimo</v>
      </c>
      <c r="S16335" t="s">
        <v>30</v>
      </c>
      <c r="T16335" t="s">
        <v>38715</v>
      </c>
      <c r="U16335" t="s">
        <v>38716</v>
      </c>
      <c r="V16335" t="s">
        <v>38717</v>
      </c>
      <c r="W16335" t="s">
        <v>38718</v>
      </c>
      <c r="X16335" t="s">
        <v>42</v>
      </c>
      <c r="Y16335" t="s">
        <v>12446</v>
      </c>
      <c r="Z16335" t="s">
        <v>13441</v>
      </c>
      <c r="AA16335" s="22" t="str">
        <f>HYPERLINK("https://www.ncbi.nlm.nih.gov/nuccore/DQ641712","NCBI Nucleotide")</f>
        <v>NCBI Nucleotide</v>
      </c>
    </row>
    <row r="16336" spans="1:27" x14ac:dyDescent="0.35">
      <c r="A16336">
        <v>1006118</v>
      </c>
      <c r="B16336">
        <v>14632</v>
      </c>
      <c r="C16336">
        <v>1</v>
      </c>
      <c r="N16336" t="s">
        <v>38446</v>
      </c>
      <c r="P16336" t="s">
        <v>38447</v>
      </c>
      <c r="R16336" s="26" t="str">
        <f>HYPERLINK("https://ictv.global/taxonomy/taxondetails?taxnode_id=202309224","Betasatellite sidavietnamensesecundi")</f>
        <v>Betasatellite sidavietnamensesecundi</v>
      </c>
      <c r="S16336" t="s">
        <v>30</v>
      </c>
      <c r="T16336" t="s">
        <v>38719</v>
      </c>
      <c r="U16336" t="s">
        <v>38720</v>
      </c>
      <c r="V16336" t="s">
        <v>38721</v>
      </c>
      <c r="W16336" t="s">
        <v>38722</v>
      </c>
      <c r="X16336" t="s">
        <v>42</v>
      </c>
      <c r="Y16336" t="s">
        <v>12446</v>
      </c>
      <c r="Z16336" t="s">
        <v>13441</v>
      </c>
      <c r="AA16336" s="22" t="str">
        <f>HYPERLINK("https://www.ncbi.nlm.nih.gov/nuccore/KF990602","NCBI Nucleotide")</f>
        <v>NCBI Nucleotide</v>
      </c>
    </row>
    <row r="16337" spans="1:27" x14ac:dyDescent="0.35">
      <c r="A16337">
        <v>1006119</v>
      </c>
      <c r="B16337">
        <v>14633</v>
      </c>
      <c r="C16337">
        <v>1</v>
      </c>
      <c r="N16337" t="s">
        <v>38446</v>
      </c>
      <c r="P16337" t="s">
        <v>38447</v>
      </c>
      <c r="R16337" s="26" t="str">
        <f>HYPERLINK("https://ictv.global/taxonomy/taxondetails?taxnode_id=202305152","Betasatellite siegesbeckiae")</f>
        <v>Betasatellite siegesbeckiae</v>
      </c>
      <c r="S16337" t="s">
        <v>30</v>
      </c>
      <c r="T16337" t="s">
        <v>38723</v>
      </c>
      <c r="U16337" t="s">
        <v>38724</v>
      </c>
      <c r="V16337" t="s">
        <v>38725</v>
      </c>
      <c r="W16337" t="s">
        <v>38726</v>
      </c>
      <c r="X16337" t="s">
        <v>42</v>
      </c>
      <c r="Y16337" t="s">
        <v>12446</v>
      </c>
      <c r="Z16337" t="s">
        <v>13441</v>
      </c>
      <c r="AA16337" s="22" t="str">
        <f>HYPERLINK("https://www.ncbi.nlm.nih.gov/nuccore/KF499590","NCBI Nucleotide")</f>
        <v>NCBI Nucleotide</v>
      </c>
    </row>
    <row r="16338" spans="1:27" x14ac:dyDescent="0.35">
      <c r="A16338">
        <v>1006121</v>
      </c>
      <c r="B16338">
        <v>14634</v>
      </c>
      <c r="C16338">
        <v>1</v>
      </c>
      <c r="N16338" t="s">
        <v>38446</v>
      </c>
      <c r="P16338" t="s">
        <v>38447</v>
      </c>
      <c r="R16338" s="26" t="str">
        <f>HYPERLINK("https://ictv.global/taxonomy/taxondetails?taxnode_id=202309226","Betasatellite siegesbeckiaguangxiense")</f>
        <v>Betasatellite siegesbeckiaguangxiense</v>
      </c>
      <c r="S16338" t="s">
        <v>30</v>
      </c>
      <c r="T16338" t="s">
        <v>38731</v>
      </c>
      <c r="U16338" t="s">
        <v>38732</v>
      </c>
      <c r="V16338" t="s">
        <v>38733</v>
      </c>
      <c r="W16338" t="s">
        <v>38734</v>
      </c>
      <c r="X16338" t="s">
        <v>42</v>
      </c>
      <c r="Y16338" t="s">
        <v>12446</v>
      </c>
      <c r="Z16338" t="s">
        <v>13441</v>
      </c>
      <c r="AA16338" s="22" t="str">
        <f>HYPERLINK("https://www.ncbi.nlm.nih.gov/nuccore/AM238695","NCBI Nucleotide")</f>
        <v>NCBI Nucleotide</v>
      </c>
    </row>
    <row r="16339" spans="1:27" x14ac:dyDescent="0.35">
      <c r="A16339">
        <v>1006120</v>
      </c>
      <c r="B16339">
        <v>14635</v>
      </c>
      <c r="C16339">
        <v>1</v>
      </c>
      <c r="N16339" t="s">
        <v>38446</v>
      </c>
      <c r="P16339" t="s">
        <v>38447</v>
      </c>
      <c r="R16339" s="26" t="str">
        <f>HYPERLINK("https://ictv.global/taxonomy/taxondetails?taxnode_id=202309225","Betasatellite siegesbeckiasecundi")</f>
        <v>Betasatellite siegesbeckiasecundi</v>
      </c>
      <c r="S16339" t="s">
        <v>30</v>
      </c>
      <c r="T16339" t="s">
        <v>38727</v>
      </c>
      <c r="U16339" t="s">
        <v>38728</v>
      </c>
      <c r="V16339" t="s">
        <v>38729</v>
      </c>
      <c r="W16339" t="s">
        <v>38730</v>
      </c>
      <c r="X16339" t="s">
        <v>42</v>
      </c>
      <c r="Y16339" t="s">
        <v>12446</v>
      </c>
      <c r="Z16339" t="s">
        <v>13441</v>
      </c>
      <c r="AA16339" s="22" t="str">
        <f>HYPERLINK("https://www.ncbi.nlm.nih.gov/nuccore/JF682839","NCBI Nucleotide")</f>
        <v>NCBI Nucleotide</v>
      </c>
    </row>
    <row r="16340" spans="1:27" x14ac:dyDescent="0.35">
      <c r="A16340">
        <v>1006132</v>
      </c>
      <c r="B16340">
        <v>14636</v>
      </c>
      <c r="C16340">
        <v>1</v>
      </c>
      <c r="N16340" t="s">
        <v>38446</v>
      </c>
      <c r="P16340" t="s">
        <v>38447</v>
      </c>
      <c r="R16340" s="26" t="str">
        <f>HYPERLINK("https://ictv.global/taxonomy/taxondetails?taxnode_id=202305159","Betasatellite solani")</f>
        <v>Betasatellite solani</v>
      </c>
      <c r="S16340" t="s">
        <v>30</v>
      </c>
      <c r="T16340" t="s">
        <v>38775</v>
      </c>
      <c r="U16340" t="s">
        <v>38776</v>
      </c>
      <c r="V16340" t="s">
        <v>38777</v>
      </c>
      <c r="W16340" t="s">
        <v>38778</v>
      </c>
      <c r="X16340" t="s">
        <v>42</v>
      </c>
      <c r="Y16340" t="s">
        <v>12446</v>
      </c>
      <c r="Z16340" t="s">
        <v>13441</v>
      </c>
      <c r="AA16340" s="22" t="str">
        <f>HYPERLINK("https://www.ncbi.nlm.nih.gov/nuccore/AJ316036","NCBI Nucleotide")</f>
        <v>NCBI Nucleotide</v>
      </c>
    </row>
    <row r="16341" spans="1:27" x14ac:dyDescent="0.35">
      <c r="A16341">
        <v>1006129</v>
      </c>
      <c r="B16341">
        <v>14637</v>
      </c>
      <c r="C16341">
        <v>1</v>
      </c>
      <c r="N16341" t="s">
        <v>38446</v>
      </c>
      <c r="P16341" t="s">
        <v>38447</v>
      </c>
      <c r="R16341" s="26" t="str">
        <f>HYPERLINK("https://ictv.global/taxonomy/taxondetails?taxnode_id=202305157","Betasatellite solanibangalorense")</f>
        <v>Betasatellite solanibangalorense</v>
      </c>
      <c r="S16341" t="s">
        <v>30</v>
      </c>
      <c r="T16341" t="s">
        <v>38763</v>
      </c>
      <c r="U16341" t="s">
        <v>38764</v>
      </c>
      <c r="V16341" t="s">
        <v>38765</v>
      </c>
      <c r="W16341" t="s">
        <v>38766</v>
      </c>
      <c r="X16341" t="s">
        <v>42</v>
      </c>
      <c r="Y16341" t="s">
        <v>12446</v>
      </c>
      <c r="Z16341" t="s">
        <v>13441</v>
      </c>
      <c r="AA16341" s="22" t="str">
        <f>HYPERLINK("https://www.ncbi.nlm.nih.gov/nuccore/AY428768","NCBI Nucleotide")</f>
        <v>NCBI Nucleotide</v>
      </c>
    </row>
    <row r="16342" spans="1:27" x14ac:dyDescent="0.35">
      <c r="A16342">
        <v>1006130</v>
      </c>
      <c r="B16342">
        <v>14638</v>
      </c>
      <c r="C16342">
        <v>1</v>
      </c>
      <c r="N16342" t="s">
        <v>38446</v>
      </c>
      <c r="P16342" t="s">
        <v>38447</v>
      </c>
      <c r="R16342" s="26" t="str">
        <f>HYPERLINK("https://ictv.global/taxonomy/taxondetails?taxnode_id=202309230","Betasatellite solanibangalorensesecundi")</f>
        <v>Betasatellite solanibangalorensesecundi</v>
      </c>
      <c r="S16342" t="s">
        <v>30</v>
      </c>
      <c r="T16342" t="s">
        <v>38767</v>
      </c>
      <c r="U16342" t="s">
        <v>38768</v>
      </c>
      <c r="V16342" t="s">
        <v>38769</v>
      </c>
      <c r="W16342" t="s">
        <v>38770</v>
      </c>
      <c r="X16342" t="s">
        <v>42</v>
      </c>
      <c r="Y16342" t="s">
        <v>12446</v>
      </c>
      <c r="Z16342" t="s">
        <v>13441</v>
      </c>
      <c r="AA16342" s="22" t="str">
        <f>HYPERLINK("https://www.ncbi.nlm.nih.gov/nuccore/EU280314","NCBI Nucleotide")</f>
        <v>NCBI Nucleotide</v>
      </c>
    </row>
    <row r="16343" spans="1:27" x14ac:dyDescent="0.35">
      <c r="A16343">
        <v>1006131</v>
      </c>
      <c r="B16343">
        <v>14639</v>
      </c>
      <c r="C16343">
        <v>1</v>
      </c>
      <c r="N16343" t="s">
        <v>38446</v>
      </c>
      <c r="P16343" t="s">
        <v>38447</v>
      </c>
      <c r="R16343" s="26" t="str">
        <f>HYPERLINK("https://ictv.global/taxonomy/taxondetails?taxnode_id=202305158","Betasatellite solanibangladeshense")</f>
        <v>Betasatellite solanibangladeshense</v>
      </c>
      <c r="S16343" t="s">
        <v>30</v>
      </c>
      <c r="T16343" t="s">
        <v>38771</v>
      </c>
      <c r="U16343" t="s">
        <v>38772</v>
      </c>
      <c r="V16343" t="s">
        <v>38773</v>
      </c>
      <c r="W16343" t="s">
        <v>38774</v>
      </c>
      <c r="X16343" t="s">
        <v>42</v>
      </c>
      <c r="Y16343" t="s">
        <v>12446</v>
      </c>
      <c r="Z16343" t="s">
        <v>13441</v>
      </c>
      <c r="AA16343" s="22" t="str">
        <f>HYPERLINK("https://www.ncbi.nlm.nih.gov/nuccore/AJ542489","NCBI Nucleotide")</f>
        <v>NCBI Nucleotide</v>
      </c>
    </row>
    <row r="16344" spans="1:27" x14ac:dyDescent="0.35">
      <c r="A16344">
        <v>1006134</v>
      </c>
      <c r="B16344">
        <v>14640</v>
      </c>
      <c r="C16344">
        <v>1</v>
      </c>
      <c r="N16344" t="s">
        <v>38446</v>
      </c>
      <c r="P16344" t="s">
        <v>38447</v>
      </c>
      <c r="R16344" s="26" t="str">
        <f>HYPERLINK("https://ictv.global/taxonomy/taxondetails?taxnode_id=202309232","Betasatellite solanibundiense")</f>
        <v>Betasatellite solanibundiense</v>
      </c>
      <c r="S16344" t="s">
        <v>30</v>
      </c>
      <c r="T16344" t="s">
        <v>38783</v>
      </c>
      <c r="U16344" t="s">
        <v>38784</v>
      </c>
      <c r="V16344" t="s">
        <v>38785</v>
      </c>
      <c r="W16344" t="s">
        <v>38786</v>
      </c>
      <c r="X16344" t="s">
        <v>42</v>
      </c>
      <c r="Y16344" t="s">
        <v>12446</v>
      </c>
      <c r="Z16344" t="s">
        <v>13441</v>
      </c>
      <c r="AA16344" s="22" t="str">
        <f>HYPERLINK("https://www.ncbi.nlm.nih.gov/nuccore/MH577020","NCBI Nucleotide")</f>
        <v>NCBI Nucleotide</v>
      </c>
    </row>
    <row r="16345" spans="1:27" x14ac:dyDescent="0.35">
      <c r="A16345">
        <v>1006135</v>
      </c>
      <c r="B16345">
        <v>14641</v>
      </c>
      <c r="C16345">
        <v>1</v>
      </c>
      <c r="N16345" t="s">
        <v>38446</v>
      </c>
      <c r="P16345" t="s">
        <v>38447</v>
      </c>
      <c r="R16345" s="26" t="str">
        <f>HYPERLINK("https://ictv.global/taxonomy/taxondetails?taxnode_id=202305160","Betasatellite solanichinaense")</f>
        <v>Betasatellite solanichinaense</v>
      </c>
      <c r="S16345" t="s">
        <v>30</v>
      </c>
      <c r="T16345" t="s">
        <v>38787</v>
      </c>
      <c r="U16345" t="s">
        <v>38788</v>
      </c>
      <c r="V16345" t="s">
        <v>38789</v>
      </c>
      <c r="W16345" t="s">
        <v>38790</v>
      </c>
      <c r="X16345" t="s">
        <v>42</v>
      </c>
      <c r="Y16345" t="s">
        <v>12446</v>
      </c>
      <c r="Z16345" t="s">
        <v>13441</v>
      </c>
      <c r="AA16345" s="22" t="str">
        <f>HYPERLINK("https://www.ncbi.nlm.nih.gov/nuccore/AJ704609","NCBI Nucleotide")</f>
        <v>NCBI Nucleotide</v>
      </c>
    </row>
    <row r="16346" spans="1:27" x14ac:dyDescent="0.35">
      <c r="A16346">
        <v>1006160</v>
      </c>
      <c r="B16346">
        <v>14642</v>
      </c>
      <c r="C16346">
        <v>1</v>
      </c>
      <c r="N16346" t="s">
        <v>38446</v>
      </c>
      <c r="P16346" t="s">
        <v>38447</v>
      </c>
      <c r="R16346" s="26" t="str">
        <f>HYPERLINK("https://ictv.global/taxonomy/taxondetails?taxnode_id=202305172","Betasatellite solaniflavuschinaense")</f>
        <v>Betasatellite solaniflavuschinaense</v>
      </c>
      <c r="S16346" t="s">
        <v>30</v>
      </c>
      <c r="T16346" t="s">
        <v>38887</v>
      </c>
      <c r="U16346" t="s">
        <v>38888</v>
      </c>
      <c r="V16346" t="s">
        <v>38889</v>
      </c>
      <c r="W16346" t="s">
        <v>38890</v>
      </c>
      <c r="X16346" t="s">
        <v>42</v>
      </c>
      <c r="Y16346" t="s">
        <v>12446</v>
      </c>
      <c r="Z16346" t="s">
        <v>13441</v>
      </c>
      <c r="AA16346" s="22" t="str">
        <f>HYPERLINK("https://www.ncbi.nlm.nih.gov/nuccore/AJ420313","NCBI Nucleotide")</f>
        <v>NCBI Nucleotide</v>
      </c>
    </row>
    <row r="16347" spans="1:27" x14ac:dyDescent="0.35">
      <c r="A16347">
        <v>1006161</v>
      </c>
      <c r="B16347">
        <v>14643</v>
      </c>
      <c r="C16347">
        <v>1</v>
      </c>
      <c r="N16347" t="s">
        <v>38446</v>
      </c>
      <c r="P16347" t="s">
        <v>38447</v>
      </c>
      <c r="R16347" s="26" t="str">
        <f>HYPERLINK("https://ictv.global/taxonomy/taxondetails?taxnode_id=202305174","Betasatellite solaniflavushandongense")</f>
        <v>Betasatellite solaniflavushandongense</v>
      </c>
      <c r="S16347" t="s">
        <v>30</v>
      </c>
      <c r="T16347" t="s">
        <v>38891</v>
      </c>
      <c r="U16347" t="s">
        <v>38892</v>
      </c>
      <c r="V16347" t="s">
        <v>38893</v>
      </c>
      <c r="W16347" t="s">
        <v>38894</v>
      </c>
      <c r="X16347" t="s">
        <v>42</v>
      </c>
      <c r="Y16347" t="s">
        <v>12446</v>
      </c>
      <c r="Z16347" t="s">
        <v>13441</v>
      </c>
      <c r="AA16347" s="22" t="str">
        <f>HYPERLINK("https://www.ncbi.nlm.nih.gov/nuccore/KP322555","NCBI Nucleotide")</f>
        <v>NCBI Nucleotide</v>
      </c>
    </row>
    <row r="16348" spans="1:27" x14ac:dyDescent="0.35">
      <c r="A16348">
        <v>1006159</v>
      </c>
      <c r="B16348">
        <v>14644</v>
      </c>
      <c r="C16348">
        <v>1</v>
      </c>
      <c r="N16348" t="s">
        <v>38446</v>
      </c>
      <c r="P16348" t="s">
        <v>38447</v>
      </c>
      <c r="R16348" s="26" t="str">
        <f>HYPERLINK("https://ictv.global/taxonomy/taxondetails?taxnode_id=202309245","Betasatellite solaniflavusparvi")</f>
        <v>Betasatellite solaniflavusparvi</v>
      </c>
      <c r="S16348" t="s">
        <v>30</v>
      </c>
      <c r="T16348" t="s">
        <v>38883</v>
      </c>
      <c r="U16348" t="s">
        <v>38884</v>
      </c>
      <c r="V16348" t="s">
        <v>38885</v>
      </c>
      <c r="W16348" t="s">
        <v>38886</v>
      </c>
      <c r="X16348" t="s">
        <v>42</v>
      </c>
      <c r="Y16348" t="s">
        <v>12446</v>
      </c>
      <c r="Z16348" t="s">
        <v>13441</v>
      </c>
      <c r="AA16348" s="22" t="str">
        <f>HYPERLINK("https://www.ncbi.nlm.nih.gov/nuccore/AB294512","NCBI Nucleotide")</f>
        <v>NCBI Nucleotide</v>
      </c>
    </row>
    <row r="16349" spans="1:27" x14ac:dyDescent="0.35">
      <c r="A16349">
        <v>1006162</v>
      </c>
      <c r="B16349">
        <v>14645</v>
      </c>
      <c r="C16349">
        <v>1</v>
      </c>
      <c r="N16349" t="s">
        <v>38446</v>
      </c>
      <c r="P16349" t="s">
        <v>38447</v>
      </c>
      <c r="R16349" s="26" t="str">
        <f>HYPERLINK("https://ictv.global/taxonomy/taxondetails?taxnode_id=202305175","Betasatellite solaniflavusthailandense")</f>
        <v>Betasatellite solaniflavusthailandense</v>
      </c>
      <c r="S16349" t="s">
        <v>30</v>
      </c>
      <c r="T16349" t="s">
        <v>38895</v>
      </c>
      <c r="U16349" t="s">
        <v>38896</v>
      </c>
      <c r="V16349" t="s">
        <v>38897</v>
      </c>
      <c r="W16349" t="s">
        <v>38898</v>
      </c>
      <c r="X16349" t="s">
        <v>42</v>
      </c>
      <c r="Y16349" t="s">
        <v>12446</v>
      </c>
      <c r="Z16349" t="s">
        <v>13441</v>
      </c>
      <c r="AA16349" s="22" t="str">
        <f>HYPERLINK("https://www.ncbi.nlm.nih.gov/nuccore/AJ566746","NCBI Nucleotide")</f>
        <v>NCBI Nucleotide</v>
      </c>
    </row>
    <row r="16350" spans="1:27" x14ac:dyDescent="0.35">
      <c r="A16350">
        <v>1006163</v>
      </c>
      <c r="B16350">
        <v>14646</v>
      </c>
      <c r="C16350">
        <v>1</v>
      </c>
      <c r="N16350" t="s">
        <v>38446</v>
      </c>
      <c r="P16350" t="s">
        <v>38447</v>
      </c>
      <c r="R16350" s="26" t="str">
        <f>HYPERLINK("https://ictv.global/taxonomy/taxondetails?taxnode_id=202305176","Betasatellite solaniflavusvietnamense")</f>
        <v>Betasatellite solaniflavusvietnamense</v>
      </c>
      <c r="S16350" t="s">
        <v>30</v>
      </c>
      <c r="T16350" t="s">
        <v>38899</v>
      </c>
      <c r="U16350" t="s">
        <v>38900</v>
      </c>
      <c r="V16350" t="s">
        <v>38901</v>
      </c>
      <c r="W16350" t="s">
        <v>38902</v>
      </c>
      <c r="X16350" t="s">
        <v>42</v>
      </c>
      <c r="Y16350" t="s">
        <v>12446</v>
      </c>
      <c r="Z16350" t="s">
        <v>13441</v>
      </c>
      <c r="AA16350" s="22" t="str">
        <f>HYPERLINK("https://www.ncbi.nlm.nih.gov/nuccore/DQ641714","NCBI Nucleotide")</f>
        <v>NCBI Nucleotide</v>
      </c>
    </row>
    <row r="16351" spans="1:27" x14ac:dyDescent="0.35">
      <c r="A16351">
        <v>1006164</v>
      </c>
      <c r="B16351">
        <v>14647</v>
      </c>
      <c r="C16351">
        <v>1</v>
      </c>
      <c r="N16351" t="s">
        <v>38446</v>
      </c>
      <c r="P16351" t="s">
        <v>38447</v>
      </c>
      <c r="R16351" s="26" t="str">
        <f>HYPERLINK("https://ictv.global/taxonomy/taxondetails?taxnode_id=202305177","Betasatellite solaniflavusyunnanense")</f>
        <v>Betasatellite solaniflavusyunnanense</v>
      </c>
      <c r="S16351" t="s">
        <v>30</v>
      </c>
      <c r="T16351" t="s">
        <v>38903</v>
      </c>
      <c r="U16351" t="s">
        <v>38904</v>
      </c>
      <c r="V16351" t="s">
        <v>38905</v>
      </c>
      <c r="W16351" t="s">
        <v>38906</v>
      </c>
      <c r="X16351" t="s">
        <v>42</v>
      </c>
      <c r="Y16351" t="s">
        <v>12446</v>
      </c>
      <c r="Z16351" t="s">
        <v>13441</v>
      </c>
      <c r="AA16351" s="22" t="str">
        <f>HYPERLINK("https://www.ncbi.nlm.nih.gov/nuccore/KF640694","NCBI Nucleotide")</f>
        <v>NCBI Nucleotide</v>
      </c>
    </row>
    <row r="16352" spans="1:27" x14ac:dyDescent="0.35">
      <c r="A16352">
        <v>1006137</v>
      </c>
      <c r="B16352">
        <v>14648</v>
      </c>
      <c r="C16352">
        <v>1</v>
      </c>
      <c r="N16352" t="s">
        <v>38446</v>
      </c>
      <c r="P16352" t="s">
        <v>38447</v>
      </c>
      <c r="R16352" s="26" t="str">
        <f>HYPERLINK("https://ictv.global/taxonomy/taxondetails?taxnode_id=202309233","Betasatellite solanighanaenseprimi")</f>
        <v>Betasatellite solanighanaenseprimi</v>
      </c>
      <c r="S16352" t="s">
        <v>30</v>
      </c>
      <c r="T16352" t="s">
        <v>38795</v>
      </c>
      <c r="U16352" t="s">
        <v>38796</v>
      </c>
      <c r="V16352" t="s">
        <v>38797</v>
      </c>
      <c r="W16352" t="s">
        <v>38798</v>
      </c>
      <c r="X16352" t="s">
        <v>42</v>
      </c>
      <c r="Y16352" t="s">
        <v>12446</v>
      </c>
      <c r="Z16352" t="s">
        <v>13441</v>
      </c>
      <c r="AA16352" s="22" t="str">
        <f>HYPERLINK("https://www.ncbi.nlm.nih.gov/nuccore/KT382328","NCBI Nucleotide")</f>
        <v>NCBI Nucleotide</v>
      </c>
    </row>
    <row r="16353" spans="1:27" x14ac:dyDescent="0.35">
      <c r="A16353">
        <v>1006138</v>
      </c>
      <c r="B16353">
        <v>14649</v>
      </c>
      <c r="C16353">
        <v>1</v>
      </c>
      <c r="N16353" t="s">
        <v>38446</v>
      </c>
      <c r="P16353" t="s">
        <v>38447</v>
      </c>
      <c r="R16353" s="26" t="str">
        <f>HYPERLINK("https://ictv.global/taxonomy/taxondetails?taxnode_id=202309234","Betasatellite solanighanaensesecundi")</f>
        <v>Betasatellite solanighanaensesecundi</v>
      </c>
      <c r="S16353" t="s">
        <v>30</v>
      </c>
      <c r="T16353" t="s">
        <v>38799</v>
      </c>
      <c r="U16353" t="s">
        <v>38800</v>
      </c>
      <c r="V16353" t="s">
        <v>38801</v>
      </c>
      <c r="W16353" t="s">
        <v>38802</v>
      </c>
      <c r="X16353" t="s">
        <v>42</v>
      </c>
      <c r="Y16353" t="s">
        <v>12446</v>
      </c>
      <c r="Z16353" t="s">
        <v>13441</v>
      </c>
      <c r="AA16353" s="22" t="str">
        <f>HYPERLINK("https://www.ncbi.nlm.nih.gov/nuccore/KT382329","NCBI Nucleotide")</f>
        <v>NCBI Nucleotide</v>
      </c>
    </row>
    <row r="16354" spans="1:27" x14ac:dyDescent="0.35">
      <c r="A16354">
        <v>1006136</v>
      </c>
      <c r="B16354">
        <v>14650</v>
      </c>
      <c r="C16354">
        <v>1</v>
      </c>
      <c r="N16354" t="s">
        <v>38446</v>
      </c>
      <c r="P16354" t="s">
        <v>38447</v>
      </c>
      <c r="R16354" s="26" t="str">
        <f>HYPERLINK("https://ictv.global/taxonomy/taxondetails?taxnode_id=202305161","Betasatellite solanighandinagarense")</f>
        <v>Betasatellite solanighandinagarense</v>
      </c>
      <c r="S16354" t="s">
        <v>30</v>
      </c>
      <c r="T16354" t="s">
        <v>38791</v>
      </c>
      <c r="U16354" t="s">
        <v>38792</v>
      </c>
      <c r="V16354" t="s">
        <v>38793</v>
      </c>
      <c r="W16354" t="s">
        <v>38794</v>
      </c>
      <c r="X16354" t="s">
        <v>42</v>
      </c>
      <c r="Y16354" t="s">
        <v>12446</v>
      </c>
      <c r="Z16354" t="s">
        <v>13441</v>
      </c>
      <c r="AA16354" s="22" t="str">
        <f>HYPERLINK("https://www.ncbi.nlm.nih.gov/nuccore/KC952006","NCBI Nucleotide")</f>
        <v>NCBI Nucleotide</v>
      </c>
    </row>
    <row r="16355" spans="1:27" x14ac:dyDescent="0.35">
      <c r="A16355">
        <v>1006139</v>
      </c>
      <c r="B16355">
        <v>14651</v>
      </c>
      <c r="C16355">
        <v>1</v>
      </c>
      <c r="N16355" t="s">
        <v>38446</v>
      </c>
      <c r="P16355" t="s">
        <v>38447</v>
      </c>
      <c r="R16355" s="26" t="str">
        <f>HYPERLINK("https://ictv.global/taxonomy/taxondetails?taxnode_id=202309235","Betasatellite solanihajipurense")</f>
        <v>Betasatellite solanihajipurense</v>
      </c>
      <c r="S16355" t="s">
        <v>30</v>
      </c>
      <c r="T16355" t="s">
        <v>38803</v>
      </c>
      <c r="U16355" t="s">
        <v>38804</v>
      </c>
      <c r="V16355" t="s">
        <v>38805</v>
      </c>
      <c r="W16355" t="s">
        <v>38806</v>
      </c>
      <c r="X16355" t="s">
        <v>42</v>
      </c>
      <c r="Y16355" t="s">
        <v>12446</v>
      </c>
      <c r="Z16355" t="s">
        <v>13441</v>
      </c>
      <c r="AA16355" s="22" t="str">
        <f>HYPERLINK("https://www.ncbi.nlm.nih.gov/nuccore/JX262390","NCBI Nucleotide")</f>
        <v>NCBI Nucleotide</v>
      </c>
    </row>
    <row r="16356" spans="1:27" x14ac:dyDescent="0.35">
      <c r="A16356">
        <v>1006141</v>
      </c>
      <c r="B16356">
        <v>14652</v>
      </c>
      <c r="C16356">
        <v>1</v>
      </c>
      <c r="N16356" t="s">
        <v>38446</v>
      </c>
      <c r="P16356" t="s">
        <v>38447</v>
      </c>
      <c r="R16356" s="26" t="str">
        <f>HYPERLINK("https://ictv.global/taxonomy/taxondetails?taxnode_id=202305162","Betasatellite solanijavaense")</f>
        <v>Betasatellite solanijavaense</v>
      </c>
      <c r="S16356" t="s">
        <v>30</v>
      </c>
      <c r="T16356" t="s">
        <v>38811</v>
      </c>
      <c r="U16356" t="s">
        <v>38812</v>
      </c>
      <c r="V16356" t="s">
        <v>38813</v>
      </c>
      <c r="W16356" t="s">
        <v>38814</v>
      </c>
      <c r="X16356" t="s">
        <v>42</v>
      </c>
      <c r="Y16356" t="s">
        <v>12446</v>
      </c>
      <c r="Z16356" t="s">
        <v>13441</v>
      </c>
      <c r="AA16356" s="22" t="str">
        <f>HYPERLINK("https://www.ncbi.nlm.nih.gov/nuccore/KC282642","NCBI Nucleotide")</f>
        <v>NCBI Nucleotide</v>
      </c>
    </row>
    <row r="16357" spans="1:27" x14ac:dyDescent="0.35">
      <c r="A16357">
        <v>1006142</v>
      </c>
      <c r="B16357">
        <v>14653</v>
      </c>
      <c r="C16357">
        <v>1</v>
      </c>
      <c r="N16357" t="s">
        <v>38446</v>
      </c>
      <c r="P16357" t="s">
        <v>38447</v>
      </c>
      <c r="R16357" s="26" t="str">
        <f>HYPERLINK("https://ictv.global/taxonomy/taxondetails?taxnode_id=202305163","Betasatellite solanijoydebpurense")</f>
        <v>Betasatellite solanijoydebpurense</v>
      </c>
      <c r="S16357" t="s">
        <v>30</v>
      </c>
      <c r="T16357" t="s">
        <v>38815</v>
      </c>
      <c r="U16357" t="s">
        <v>38816</v>
      </c>
      <c r="V16357" t="s">
        <v>38817</v>
      </c>
      <c r="W16357" t="s">
        <v>38818</v>
      </c>
      <c r="X16357" t="s">
        <v>42</v>
      </c>
      <c r="Y16357" t="s">
        <v>12446</v>
      </c>
      <c r="Z16357" t="s">
        <v>13441</v>
      </c>
      <c r="AA16357" s="22" t="str">
        <f>HYPERLINK("https://www.ncbi.nlm.nih.gov/nuccore/AJ966244","NCBI Nucleotide")</f>
        <v>NCBI Nucleotide</v>
      </c>
    </row>
    <row r="16358" spans="1:27" x14ac:dyDescent="0.35">
      <c r="A16358">
        <v>1006143</v>
      </c>
      <c r="B16358">
        <v>14654</v>
      </c>
      <c r="C16358">
        <v>1</v>
      </c>
      <c r="N16358" t="s">
        <v>38446</v>
      </c>
      <c r="P16358" t="s">
        <v>38447</v>
      </c>
      <c r="R16358" s="26" t="str">
        <f>HYPERLINK("https://ictv.global/taxonomy/taxondetails?taxnode_id=202309237","Betasatellite solanijoydebpurensesecundi")</f>
        <v>Betasatellite solanijoydebpurensesecundi</v>
      </c>
      <c r="S16358" t="s">
        <v>30</v>
      </c>
      <c r="T16358" t="s">
        <v>38819</v>
      </c>
      <c r="U16358" t="s">
        <v>38820</v>
      </c>
      <c r="V16358" t="s">
        <v>38821</v>
      </c>
      <c r="W16358" t="s">
        <v>38822</v>
      </c>
      <c r="X16358" t="s">
        <v>42</v>
      </c>
      <c r="Y16358" t="s">
        <v>12446</v>
      </c>
      <c r="Z16358" t="s">
        <v>13441</v>
      </c>
      <c r="AA16358" s="22" t="str">
        <f>HYPERLINK("https://www.ncbi.nlm.nih.gov/nuccore/MG571522","NCBI Nucleotide")</f>
        <v>NCBI Nucleotide</v>
      </c>
    </row>
    <row r="16359" spans="1:27" x14ac:dyDescent="0.35">
      <c r="A16359">
        <v>1006144</v>
      </c>
      <c r="B16359">
        <v>14655</v>
      </c>
      <c r="C16359">
        <v>1</v>
      </c>
      <c r="N16359" t="s">
        <v>38446</v>
      </c>
      <c r="P16359" t="s">
        <v>38447</v>
      </c>
      <c r="R16359" s="26" t="str">
        <f>HYPERLINK("https://ictv.global/taxonomy/taxondetails?taxnode_id=202309238","Betasatellite solanikarnatakaense")</f>
        <v>Betasatellite solanikarnatakaense</v>
      </c>
      <c r="S16359" t="s">
        <v>30</v>
      </c>
      <c r="T16359" t="s">
        <v>38823</v>
      </c>
      <c r="U16359" t="s">
        <v>38824</v>
      </c>
      <c r="V16359" t="s">
        <v>38825</v>
      </c>
      <c r="W16359" t="s">
        <v>38826</v>
      </c>
      <c r="X16359" t="s">
        <v>42</v>
      </c>
      <c r="Y16359" t="s">
        <v>12446</v>
      </c>
      <c r="Z16359" t="s">
        <v>13441</v>
      </c>
      <c r="AA16359" s="22" t="str">
        <f>HYPERLINK("https://www.ncbi.nlm.nih.gov/nuccore/MG758146","NCBI Nucleotide")</f>
        <v>NCBI Nucleotide</v>
      </c>
    </row>
    <row r="16360" spans="1:27" x14ac:dyDescent="0.35">
      <c r="A16360">
        <v>1006145</v>
      </c>
      <c r="B16360">
        <v>14656</v>
      </c>
      <c r="C16360">
        <v>1</v>
      </c>
      <c r="N16360" t="s">
        <v>38446</v>
      </c>
      <c r="P16360" t="s">
        <v>38447</v>
      </c>
      <c r="R16360" s="26" t="str">
        <f>HYPERLINK("https://ictv.global/taxonomy/taxondetails?taxnode_id=202305164","Betasatellite solanilagunaense")</f>
        <v>Betasatellite solanilagunaense</v>
      </c>
      <c r="S16360" t="s">
        <v>30</v>
      </c>
      <c r="T16360" t="s">
        <v>38827</v>
      </c>
      <c r="U16360" t="s">
        <v>38828</v>
      </c>
      <c r="V16360" t="s">
        <v>38829</v>
      </c>
      <c r="W16360" t="s">
        <v>38830</v>
      </c>
      <c r="X16360" t="s">
        <v>42</v>
      </c>
      <c r="Y16360" t="s">
        <v>12446</v>
      </c>
      <c r="Z16360" t="s">
        <v>13441</v>
      </c>
      <c r="AA16360" s="22" t="str">
        <f>HYPERLINK("https://www.ncbi.nlm.nih.gov/nuccore/AB307732","NCBI Nucleotide")</f>
        <v>NCBI Nucleotide</v>
      </c>
    </row>
    <row r="16361" spans="1:27" x14ac:dyDescent="0.35">
      <c r="A16361">
        <v>1006146</v>
      </c>
      <c r="B16361">
        <v>14657</v>
      </c>
      <c r="C16361">
        <v>1</v>
      </c>
      <c r="N16361" t="s">
        <v>38446</v>
      </c>
      <c r="P16361" t="s">
        <v>38447</v>
      </c>
      <c r="R16361" s="26" t="str">
        <f>HYPERLINK("https://ictv.global/taxonomy/taxondetails?taxnode_id=202305165","Betasatellite solanilaosense")</f>
        <v>Betasatellite solanilaosense</v>
      </c>
      <c r="S16361" t="s">
        <v>30</v>
      </c>
      <c r="T16361" t="s">
        <v>38831</v>
      </c>
      <c r="U16361" t="s">
        <v>38832</v>
      </c>
      <c r="V16361" t="s">
        <v>38833</v>
      </c>
      <c r="W16361" t="s">
        <v>38834</v>
      </c>
      <c r="X16361" t="s">
        <v>42</v>
      </c>
      <c r="Y16361" t="s">
        <v>12446</v>
      </c>
      <c r="Z16361" t="s">
        <v>13441</v>
      </c>
      <c r="AA16361" s="22" t="str">
        <f>HYPERLINK("https://www.ncbi.nlm.nih.gov/nuccore/AJ542491","NCBI Nucleotide")</f>
        <v>NCBI Nucleotide</v>
      </c>
    </row>
    <row r="16362" spans="1:27" x14ac:dyDescent="0.35">
      <c r="A16362">
        <v>1006147</v>
      </c>
      <c r="B16362">
        <v>14658</v>
      </c>
      <c r="C16362">
        <v>1</v>
      </c>
      <c r="N16362" t="s">
        <v>38446</v>
      </c>
      <c r="P16362" t="s">
        <v>38447</v>
      </c>
      <c r="R16362" s="26" t="str">
        <f>HYPERLINK("https://ictv.global/taxonomy/taxondetails?taxnode_id=202309239","Betasatellite solanilucknowense")</f>
        <v>Betasatellite solanilucknowense</v>
      </c>
      <c r="S16362" t="s">
        <v>30</v>
      </c>
      <c r="T16362" t="s">
        <v>38835</v>
      </c>
      <c r="U16362" t="s">
        <v>38836</v>
      </c>
      <c r="V16362" t="s">
        <v>38837</v>
      </c>
      <c r="W16362" t="s">
        <v>38838</v>
      </c>
      <c r="X16362" t="s">
        <v>42</v>
      </c>
      <c r="Y16362" t="s">
        <v>12446</v>
      </c>
      <c r="Z16362" t="s">
        <v>13441</v>
      </c>
      <c r="AA16362" s="22" t="str">
        <f>HYPERLINK("https://www.ncbi.nlm.nih.gov/nuccore/MG478451","NCBI Nucleotide")</f>
        <v>NCBI Nucleotide</v>
      </c>
    </row>
    <row r="16363" spans="1:27" x14ac:dyDescent="0.35">
      <c r="A16363">
        <v>1006148</v>
      </c>
      <c r="B16363">
        <v>14659</v>
      </c>
      <c r="C16363">
        <v>1</v>
      </c>
      <c r="N16363" t="s">
        <v>38446</v>
      </c>
      <c r="P16363" t="s">
        <v>38447</v>
      </c>
      <c r="R16363" s="26" t="str">
        <f>HYPERLINK("https://ictv.global/taxonomy/taxondetails?taxnode_id=202305166","Betasatellite solanimalaysiaense")</f>
        <v>Betasatellite solanimalaysiaense</v>
      </c>
      <c r="S16363" t="s">
        <v>30</v>
      </c>
      <c r="T16363" t="s">
        <v>38839</v>
      </c>
      <c r="U16363" t="s">
        <v>38840</v>
      </c>
      <c r="V16363" t="s">
        <v>38841</v>
      </c>
      <c r="W16363" t="s">
        <v>38842</v>
      </c>
      <c r="X16363" t="s">
        <v>42</v>
      </c>
      <c r="Y16363" t="s">
        <v>12446</v>
      </c>
      <c r="Z16363" t="s">
        <v>13441</v>
      </c>
      <c r="AA16363" s="22" t="str">
        <f>HYPERLINK("https://www.ncbi.nlm.nih.gov/nuccore/KM051528","NCBI Nucleotide")</f>
        <v>NCBI Nucleotide</v>
      </c>
    </row>
    <row r="16364" spans="1:27" x14ac:dyDescent="0.35">
      <c r="A16364">
        <v>1006140</v>
      </c>
      <c r="B16364">
        <v>14660</v>
      </c>
      <c r="C16364">
        <v>1</v>
      </c>
      <c r="N16364" t="s">
        <v>38446</v>
      </c>
      <c r="P16364" t="s">
        <v>38447</v>
      </c>
      <c r="R16364" s="26" t="str">
        <f>HYPERLINK("https://ictv.global/taxonomy/taxondetails?taxnode_id=202309236","Betasatellite solanindianense")</f>
        <v>Betasatellite solanindianense</v>
      </c>
      <c r="S16364" t="s">
        <v>30</v>
      </c>
      <c r="T16364" t="s">
        <v>38807</v>
      </c>
      <c r="U16364" t="s">
        <v>38808</v>
      </c>
      <c r="V16364" t="s">
        <v>38809</v>
      </c>
      <c r="W16364" t="s">
        <v>38810</v>
      </c>
      <c r="X16364" t="s">
        <v>42</v>
      </c>
      <c r="Y16364" t="s">
        <v>12446</v>
      </c>
      <c r="Z16364" t="s">
        <v>13441</v>
      </c>
      <c r="AA16364" s="22" t="str">
        <f>HYPERLINK("https://www.ncbi.nlm.nih.gov/nuccore/JQ012916","NCBI Nucleotide")</f>
        <v>NCBI Nucleotide</v>
      </c>
    </row>
    <row r="16365" spans="1:27" x14ac:dyDescent="0.35">
      <c r="A16365">
        <v>1006149</v>
      </c>
      <c r="B16365">
        <v>14661</v>
      </c>
      <c r="C16365">
        <v>1</v>
      </c>
      <c r="N16365" t="s">
        <v>38446</v>
      </c>
      <c r="P16365" t="s">
        <v>38447</v>
      </c>
      <c r="R16365" s="26" t="str">
        <f>HYPERLINK("https://ictv.global/taxonomy/taxondetails?taxnode_id=202305167","Betasatellite solaninepalense")</f>
        <v>Betasatellite solaninepalense</v>
      </c>
      <c r="S16365" t="s">
        <v>30</v>
      </c>
      <c r="T16365" t="s">
        <v>38843</v>
      </c>
      <c r="U16365" t="s">
        <v>38844</v>
      </c>
      <c r="V16365" t="s">
        <v>38845</v>
      </c>
      <c r="W16365" t="s">
        <v>38846</v>
      </c>
      <c r="X16365" t="s">
        <v>42</v>
      </c>
      <c r="Y16365" t="s">
        <v>12446</v>
      </c>
      <c r="Z16365" t="s">
        <v>13441</v>
      </c>
      <c r="AA16365" s="22" t="str">
        <f>HYPERLINK("https://www.ncbi.nlm.nih.gov/nuccore/AJ542492","NCBI Nucleotide")</f>
        <v>NCBI Nucleotide</v>
      </c>
    </row>
    <row r="16366" spans="1:27" x14ac:dyDescent="0.35">
      <c r="A16366">
        <v>1006150</v>
      </c>
      <c r="B16366">
        <v>14662</v>
      </c>
      <c r="C16366">
        <v>1</v>
      </c>
      <c r="N16366" t="s">
        <v>38446</v>
      </c>
      <c r="P16366" t="s">
        <v>38447</v>
      </c>
      <c r="R16366" s="26" t="str">
        <f>HYPERLINK("https://ictv.global/taxonomy/taxondetails?taxnode_id=202309240","Betasatellite solanipakistanense")</f>
        <v>Betasatellite solanipakistanense</v>
      </c>
      <c r="S16366" t="s">
        <v>30</v>
      </c>
      <c r="T16366" t="s">
        <v>38847</v>
      </c>
      <c r="U16366" t="s">
        <v>38848</v>
      </c>
      <c r="V16366" t="s">
        <v>38849</v>
      </c>
      <c r="W16366" t="s">
        <v>38850</v>
      </c>
      <c r="X16366" t="s">
        <v>42</v>
      </c>
      <c r="Y16366" t="s">
        <v>12446</v>
      </c>
      <c r="Z16366" t="s">
        <v>13441</v>
      </c>
      <c r="AA16366" s="22" t="str">
        <f>HYPERLINK("https://www.ncbi.nlm.nih.gov/nuccore/LN811050","NCBI Nucleotide")</f>
        <v>NCBI Nucleotide</v>
      </c>
    </row>
    <row r="16367" spans="1:27" x14ac:dyDescent="0.35">
      <c r="A16367">
        <v>1006151</v>
      </c>
      <c r="B16367">
        <v>14663</v>
      </c>
      <c r="C16367">
        <v>1</v>
      </c>
      <c r="N16367" t="s">
        <v>38446</v>
      </c>
      <c r="P16367" t="s">
        <v>38447</v>
      </c>
      <c r="R16367" s="26" t="str">
        <f>HYPERLINK("https://ictv.global/taxonomy/taxondetails?taxnode_id=202309241","Betasatellite solanipanipatense")</f>
        <v>Betasatellite solanipanipatense</v>
      </c>
      <c r="S16367" t="s">
        <v>30</v>
      </c>
      <c r="T16367" t="s">
        <v>38851</v>
      </c>
      <c r="U16367" t="s">
        <v>38852</v>
      </c>
      <c r="V16367" t="s">
        <v>38853</v>
      </c>
      <c r="W16367" t="s">
        <v>38854</v>
      </c>
      <c r="X16367" t="s">
        <v>42</v>
      </c>
      <c r="Y16367" t="s">
        <v>12446</v>
      </c>
      <c r="Z16367" t="s">
        <v>13441</v>
      </c>
      <c r="AA16367" s="22" t="str">
        <f>HYPERLINK("https://www.ncbi.nlm.nih.gov/nuccore/HM143907","NCBI Nucleotide")</f>
        <v>NCBI Nucleotide</v>
      </c>
    </row>
    <row r="16368" spans="1:27" x14ac:dyDescent="0.35">
      <c r="A16368">
        <v>1006152</v>
      </c>
      <c r="B16368">
        <v>14664</v>
      </c>
      <c r="C16368">
        <v>1</v>
      </c>
      <c r="N16368" t="s">
        <v>38446</v>
      </c>
      <c r="P16368" t="s">
        <v>38447</v>
      </c>
      <c r="R16368" s="26" t="str">
        <f>HYPERLINK("https://ictv.global/taxonomy/taxondetails?taxnode_id=202305168","Betasatellite solanipatnaense")</f>
        <v>Betasatellite solanipatnaense</v>
      </c>
      <c r="S16368" t="s">
        <v>30</v>
      </c>
      <c r="T16368" t="s">
        <v>38855</v>
      </c>
      <c r="U16368" t="s">
        <v>38856</v>
      </c>
      <c r="V16368" t="s">
        <v>38857</v>
      </c>
      <c r="W16368" t="s">
        <v>38858</v>
      </c>
      <c r="X16368" t="s">
        <v>42</v>
      </c>
      <c r="Y16368" t="s">
        <v>12446</v>
      </c>
      <c r="Z16368" t="s">
        <v>13441</v>
      </c>
      <c r="AA16368" s="22" t="str">
        <f>HYPERLINK("https://www.ncbi.nlm.nih.gov/nuccore/EU862324","NCBI Nucleotide")</f>
        <v>NCBI Nucleotide</v>
      </c>
    </row>
    <row r="16369" spans="1:27" x14ac:dyDescent="0.35">
      <c r="A16369">
        <v>1006153</v>
      </c>
      <c r="B16369">
        <v>14665</v>
      </c>
      <c r="C16369">
        <v>1</v>
      </c>
      <c r="N16369" t="s">
        <v>38446</v>
      </c>
      <c r="P16369" t="s">
        <v>38447</v>
      </c>
      <c r="R16369" s="26" t="str">
        <f>HYPERLINK("https://ictv.global/taxonomy/taxondetails?taxnode_id=202305169","Betasatellite solaniphilippinense")</f>
        <v>Betasatellite solaniphilippinense</v>
      </c>
      <c r="S16369" t="s">
        <v>30</v>
      </c>
      <c r="T16369" t="s">
        <v>38859</v>
      </c>
      <c r="U16369" t="s">
        <v>38860</v>
      </c>
      <c r="V16369" t="s">
        <v>38861</v>
      </c>
      <c r="W16369" t="s">
        <v>38862</v>
      </c>
      <c r="X16369" t="s">
        <v>42</v>
      </c>
      <c r="Y16369" t="s">
        <v>12446</v>
      </c>
      <c r="Z16369" t="s">
        <v>13441</v>
      </c>
      <c r="AA16369" s="22" t="str">
        <f>HYPERLINK("https://www.ncbi.nlm.nih.gov/nuccore/AB308071","NCBI Nucleotide")</f>
        <v>NCBI Nucleotide</v>
      </c>
    </row>
    <row r="16370" spans="1:27" x14ac:dyDescent="0.35">
      <c r="A16370">
        <v>1006154</v>
      </c>
      <c r="B16370">
        <v>14666</v>
      </c>
      <c r="C16370">
        <v>1</v>
      </c>
      <c r="N16370" t="s">
        <v>38446</v>
      </c>
      <c r="P16370" t="s">
        <v>38447</v>
      </c>
      <c r="R16370" s="26" t="str">
        <f>HYPERLINK("https://ictv.global/taxonomy/taxondetails?taxnode_id=202309242","Betasatellite solanipunense")</f>
        <v>Betasatellite solanipunense</v>
      </c>
      <c r="S16370" t="s">
        <v>30</v>
      </c>
      <c r="T16370" t="s">
        <v>38863</v>
      </c>
      <c r="U16370" t="s">
        <v>38864</v>
      </c>
      <c r="V16370" t="s">
        <v>38865</v>
      </c>
      <c r="W16370" t="s">
        <v>38866</v>
      </c>
      <c r="X16370" t="s">
        <v>42</v>
      </c>
      <c r="Y16370" t="s">
        <v>12446</v>
      </c>
      <c r="Z16370" t="s">
        <v>13441</v>
      </c>
      <c r="AA16370" s="22" t="str">
        <f>HYPERLINK("https://www.ncbi.nlm.nih.gov/nuccore/AY754815","NCBI Nucleotide")</f>
        <v>NCBI Nucleotide</v>
      </c>
    </row>
    <row r="16371" spans="1:27" x14ac:dyDescent="0.35">
      <c r="A16371">
        <v>1006155</v>
      </c>
      <c r="B16371">
        <v>14667</v>
      </c>
      <c r="C16371">
        <v>1</v>
      </c>
      <c r="N16371" t="s">
        <v>38446</v>
      </c>
      <c r="P16371" t="s">
        <v>38447</v>
      </c>
      <c r="R16371" s="26" t="str">
        <f>HYPERLINK("https://ictv.global/taxonomy/taxondetails?taxnode_id=202309243","Betasatellite solaniranchiense")</f>
        <v>Betasatellite solaniranchiense</v>
      </c>
      <c r="S16371" t="s">
        <v>30</v>
      </c>
      <c r="T16371" t="s">
        <v>38867</v>
      </c>
      <c r="U16371" t="s">
        <v>38868</v>
      </c>
      <c r="V16371" t="s">
        <v>38869</v>
      </c>
      <c r="W16371" t="s">
        <v>38870</v>
      </c>
      <c r="X16371" t="s">
        <v>42</v>
      </c>
      <c r="Y16371" t="s">
        <v>12446</v>
      </c>
      <c r="Z16371" t="s">
        <v>13441</v>
      </c>
      <c r="AA16371" s="22" t="str">
        <f>HYPERLINK("https://www.ncbi.nlm.nih.gov/nuccore/GQ994096","NCBI Nucleotide")</f>
        <v>NCBI Nucleotide</v>
      </c>
    </row>
    <row r="16372" spans="1:27" x14ac:dyDescent="0.35">
      <c r="A16372">
        <v>1006133</v>
      </c>
      <c r="B16372">
        <v>14668</v>
      </c>
      <c r="C16372">
        <v>1</v>
      </c>
      <c r="N16372" t="s">
        <v>38446</v>
      </c>
      <c r="P16372" t="s">
        <v>38447</v>
      </c>
      <c r="R16372" s="26" t="str">
        <f>HYPERLINK("https://ictv.global/taxonomy/taxondetails?taxnode_id=202309231","Betasatellite solanisecundi")</f>
        <v>Betasatellite solanisecundi</v>
      </c>
      <c r="S16372" t="s">
        <v>30</v>
      </c>
      <c r="T16372" t="s">
        <v>38779</v>
      </c>
      <c r="U16372" t="s">
        <v>38780</v>
      </c>
      <c r="V16372" t="s">
        <v>38781</v>
      </c>
      <c r="W16372" t="s">
        <v>38782</v>
      </c>
      <c r="X16372" t="s">
        <v>42</v>
      </c>
      <c r="Y16372" t="s">
        <v>12446</v>
      </c>
      <c r="Z16372" t="s">
        <v>13441</v>
      </c>
      <c r="AA16372" s="22" t="str">
        <f>HYPERLINK("https://www.ncbi.nlm.nih.gov/nuccore/KU500806","NCBI Nucleotide")</f>
        <v>NCBI Nucleotide</v>
      </c>
    </row>
    <row r="16373" spans="1:27" x14ac:dyDescent="0.35">
      <c r="A16373">
        <v>1006156</v>
      </c>
      <c r="B16373">
        <v>14669</v>
      </c>
      <c r="C16373">
        <v>1</v>
      </c>
      <c r="N16373" t="s">
        <v>38446</v>
      </c>
      <c r="P16373" t="s">
        <v>38447</v>
      </c>
      <c r="R16373" s="26" t="str">
        <f>HYPERLINK("https://ictv.global/taxonomy/taxondetails?taxnode_id=202305170","Betasatellite solanisrilankaense")</f>
        <v>Betasatellite solanisrilankaense</v>
      </c>
      <c r="S16373" t="s">
        <v>30</v>
      </c>
      <c r="T16373" t="s">
        <v>38871</v>
      </c>
      <c r="U16373" t="s">
        <v>38872</v>
      </c>
      <c r="V16373" t="s">
        <v>38873</v>
      </c>
      <c r="W16373" t="s">
        <v>38874</v>
      </c>
      <c r="X16373" t="s">
        <v>42</v>
      </c>
      <c r="Y16373" t="s">
        <v>12446</v>
      </c>
      <c r="Z16373" t="s">
        <v>13441</v>
      </c>
      <c r="AA16373" s="22" t="str">
        <f>HYPERLINK("https://www.ncbi.nlm.nih.gov/nuccore/AJ542493","NCBI Nucleotide")</f>
        <v>NCBI Nucleotide</v>
      </c>
    </row>
    <row r="16374" spans="1:27" x14ac:dyDescent="0.35">
      <c r="A16374">
        <v>1006157</v>
      </c>
      <c r="B16374">
        <v>14670</v>
      </c>
      <c r="C16374">
        <v>1</v>
      </c>
      <c r="N16374" t="s">
        <v>38446</v>
      </c>
      <c r="P16374" t="s">
        <v>38447</v>
      </c>
      <c r="R16374" s="26" t="str">
        <f>HYPERLINK("https://ictv.global/taxonomy/taxondetails?taxnode_id=202309244","Betasatellite solanitogoense")</f>
        <v>Betasatellite solanitogoense</v>
      </c>
      <c r="S16374" t="s">
        <v>30</v>
      </c>
      <c r="T16374" t="s">
        <v>38875</v>
      </c>
      <c r="U16374" t="s">
        <v>38876</v>
      </c>
      <c r="V16374" t="s">
        <v>38877</v>
      </c>
      <c r="W16374" t="s">
        <v>38878</v>
      </c>
      <c r="X16374" t="s">
        <v>42</v>
      </c>
      <c r="Y16374" t="s">
        <v>12446</v>
      </c>
      <c r="Z16374" t="s">
        <v>13441</v>
      </c>
      <c r="AA16374" s="22" t="str">
        <f>HYPERLINK("https://www.ncbi.nlm.nih.gov/nuccore/HQ586965","NCBI Nucleotide")</f>
        <v>NCBI Nucleotide</v>
      </c>
    </row>
    <row r="16375" spans="1:27" x14ac:dyDescent="0.35">
      <c r="A16375">
        <v>1006158</v>
      </c>
      <c r="B16375">
        <v>14671</v>
      </c>
      <c r="C16375">
        <v>1</v>
      </c>
      <c r="N16375" t="s">
        <v>38446</v>
      </c>
      <c r="P16375" t="s">
        <v>38447</v>
      </c>
      <c r="R16375" s="26" t="str">
        <f>HYPERLINK("https://ictv.global/taxonomy/taxondetails?taxnode_id=202305171","Betasatellite solaniyemenense")</f>
        <v>Betasatellite solaniyemenense</v>
      </c>
      <c r="S16375" t="s">
        <v>30</v>
      </c>
      <c r="T16375" t="s">
        <v>38879</v>
      </c>
      <c r="U16375" t="s">
        <v>38880</v>
      </c>
      <c r="V16375" t="s">
        <v>38881</v>
      </c>
      <c r="W16375" t="s">
        <v>38882</v>
      </c>
      <c r="X16375" t="s">
        <v>42</v>
      </c>
      <c r="Y16375" t="s">
        <v>12446</v>
      </c>
      <c r="Z16375" t="s">
        <v>13441</v>
      </c>
      <c r="AA16375" s="22" t="str">
        <f>HYPERLINK("https://www.ncbi.nlm.nih.gov/nuccore/JF919717","NCBI Nucleotide")</f>
        <v>NCBI Nucleotide</v>
      </c>
    </row>
    <row r="16376" spans="1:27" x14ac:dyDescent="0.35">
      <c r="A16376">
        <v>1006165</v>
      </c>
      <c r="B16376">
        <v>14672</v>
      </c>
      <c r="C16376">
        <v>1</v>
      </c>
      <c r="N16376" t="s">
        <v>38446</v>
      </c>
      <c r="P16376" t="s">
        <v>38447</v>
      </c>
      <c r="R16376" s="26" t="str">
        <f>HYPERLINK("https://ictv.global/taxonomy/taxondetails?taxnode_id=202309246","Betasatellite vernoniae")</f>
        <v>Betasatellite vernoniae</v>
      </c>
      <c r="S16376" t="s">
        <v>30</v>
      </c>
      <c r="T16376" t="s">
        <v>38907</v>
      </c>
      <c r="U16376" t="s">
        <v>38908</v>
      </c>
      <c r="V16376" t="s">
        <v>38909</v>
      </c>
      <c r="W16376" t="s">
        <v>38910</v>
      </c>
      <c r="X16376" t="s">
        <v>42</v>
      </c>
      <c r="Y16376" t="s">
        <v>12446</v>
      </c>
      <c r="Z16376" t="s">
        <v>13441</v>
      </c>
      <c r="AA16376" s="22" t="str">
        <f>HYPERLINK("https://www.ncbi.nlm.nih.gov/nuccore/KX831134","NCBI Nucleotide")</f>
        <v>NCBI Nucleotide</v>
      </c>
    </row>
    <row r="16377" spans="1:27" x14ac:dyDescent="0.35">
      <c r="A16377">
        <v>1006166</v>
      </c>
      <c r="B16377">
        <v>14673</v>
      </c>
      <c r="C16377">
        <v>1</v>
      </c>
      <c r="N16377" t="s">
        <v>38446</v>
      </c>
      <c r="P16377" t="s">
        <v>38447</v>
      </c>
      <c r="R16377" s="26" t="str">
        <f>HYPERLINK("https://ictv.global/taxonomy/taxondetails?taxnode_id=202305178","Betasatellite verrnoniaflavi")</f>
        <v>Betasatellite verrnoniaflavi</v>
      </c>
      <c r="S16377" t="s">
        <v>30</v>
      </c>
      <c r="T16377" t="s">
        <v>38911</v>
      </c>
      <c r="U16377" t="s">
        <v>38912</v>
      </c>
      <c r="V16377" t="s">
        <v>38913</v>
      </c>
      <c r="W16377" t="s">
        <v>38914</v>
      </c>
      <c r="X16377" t="s">
        <v>42</v>
      </c>
      <c r="Y16377" t="s">
        <v>12446</v>
      </c>
      <c r="Z16377" t="s">
        <v>13441</v>
      </c>
      <c r="AA16377" s="22" t="str">
        <f>HYPERLINK("https://www.ncbi.nlm.nih.gov/nuccore/FN435836","NCBI Nucleotide")</f>
        <v>NCBI Nucleotide</v>
      </c>
    </row>
    <row r="16378" spans="1:27" x14ac:dyDescent="0.35">
      <c r="A16378">
        <v>1006167</v>
      </c>
      <c r="B16378">
        <v>14674</v>
      </c>
      <c r="C16378">
        <v>1</v>
      </c>
      <c r="N16378" t="s">
        <v>38446</v>
      </c>
      <c r="P16378" t="s">
        <v>38447</v>
      </c>
      <c r="R16378" s="26" t="str">
        <f>HYPERLINK("https://ictv.global/taxonomy/taxondetails?taxnode_id=202305179","Betasatellite verrnoniaflavusfujianense")</f>
        <v>Betasatellite verrnoniaflavusfujianense</v>
      </c>
      <c r="S16378" t="s">
        <v>30</v>
      </c>
      <c r="T16378" t="s">
        <v>38915</v>
      </c>
      <c r="U16378" t="s">
        <v>38916</v>
      </c>
      <c r="V16378" t="s">
        <v>38917</v>
      </c>
      <c r="W16378" t="s">
        <v>38918</v>
      </c>
      <c r="X16378" t="s">
        <v>42</v>
      </c>
      <c r="Y16378" t="s">
        <v>12446</v>
      </c>
      <c r="Z16378" t="s">
        <v>13441</v>
      </c>
      <c r="AA16378" s="22" t="str">
        <f>HYPERLINK("https://www.ncbi.nlm.nih.gov/nuccore/JF733779","NCBI Nucleotide")</f>
        <v>NCBI Nucleotide</v>
      </c>
    </row>
    <row r="16379" spans="1:27" x14ac:dyDescent="0.35">
      <c r="A16379">
        <v>1006101</v>
      </c>
      <c r="B16379">
        <v>14675</v>
      </c>
      <c r="C16379">
        <v>1</v>
      </c>
      <c r="N16379" t="s">
        <v>38446</v>
      </c>
      <c r="P16379" t="s">
        <v>38447</v>
      </c>
      <c r="R16379" s="26" t="str">
        <f>HYPERLINK("https://ictv.global/taxonomy/taxondetails?taxnode_id=202305145","Betasatellite vignae")</f>
        <v>Betasatellite vignae</v>
      </c>
      <c r="S16379" t="s">
        <v>30</v>
      </c>
      <c r="T16379" t="s">
        <v>38651</v>
      </c>
      <c r="U16379" t="s">
        <v>38652</v>
      </c>
      <c r="V16379" t="s">
        <v>38653</v>
      </c>
      <c r="W16379" t="s">
        <v>38654</v>
      </c>
      <c r="X16379" t="s">
        <v>42</v>
      </c>
      <c r="Y16379" t="s">
        <v>12446</v>
      </c>
      <c r="Z16379" t="s">
        <v>13441</v>
      </c>
      <c r="AA16379" s="22" t="str">
        <f>HYPERLINK("https://www.ncbi.nlm.nih.gov/nuccore/JX443646","NCBI Nucleotide")</f>
        <v>NCBI Nucleotide</v>
      </c>
    </row>
    <row r="16380" spans="1:27" x14ac:dyDescent="0.35">
      <c r="A16380">
        <v>1006168</v>
      </c>
      <c r="B16380">
        <v>14676</v>
      </c>
      <c r="C16380">
        <v>1</v>
      </c>
      <c r="N16380" t="s">
        <v>38446</v>
      </c>
      <c r="P16380" t="s">
        <v>38447</v>
      </c>
      <c r="R16380" s="26" t="str">
        <f>HYPERLINK("https://ictv.global/taxonomy/taxondetails?taxnode_id=202309247","Betasatellite zinniae")</f>
        <v>Betasatellite zinniae</v>
      </c>
      <c r="S16380" t="s">
        <v>30</v>
      </c>
      <c r="T16380" t="s">
        <v>38919</v>
      </c>
      <c r="U16380" t="s">
        <v>38920</v>
      </c>
      <c r="V16380" t="s">
        <v>38921</v>
      </c>
      <c r="W16380" t="s">
        <v>38922</v>
      </c>
      <c r="X16380" t="s">
        <v>42</v>
      </c>
      <c r="Y16380" t="s">
        <v>12446</v>
      </c>
      <c r="Z16380" t="s">
        <v>13441</v>
      </c>
      <c r="AA16380" s="22" t="str">
        <f>HYPERLINK("https://www.ncbi.nlm.nih.gov/nuccore/AJ542499","NCBI Nucleotide")</f>
        <v>NCBI Nucleotide</v>
      </c>
    </row>
    <row r="16381" spans="1:27" x14ac:dyDescent="0.35">
      <c r="A16381">
        <v>1006169</v>
      </c>
      <c r="B16381">
        <v>14677</v>
      </c>
      <c r="C16381">
        <v>1</v>
      </c>
      <c r="N16381" t="s">
        <v>38446</v>
      </c>
      <c r="P16381" t="s">
        <v>38923</v>
      </c>
      <c r="R16381" s="26" t="str">
        <f>HYPERLINK("https://ictv.global/taxonomy/taxondetails?taxnode_id=202305181","Deltasatellite codiaeumiflavi")</f>
        <v>Deltasatellite codiaeumiflavi</v>
      </c>
      <c r="S16381" t="s">
        <v>30</v>
      </c>
      <c r="T16381" t="s">
        <v>38924</v>
      </c>
      <c r="U16381" t="s">
        <v>38925</v>
      </c>
      <c r="V16381" t="s">
        <v>38926</v>
      </c>
      <c r="W16381" t="s">
        <v>38927</v>
      </c>
      <c r="X16381" t="s">
        <v>42</v>
      </c>
      <c r="Y16381" t="s">
        <v>10535</v>
      </c>
      <c r="Z16381" t="s">
        <v>13441</v>
      </c>
      <c r="AA16381" s="22" t="str">
        <f>HYPERLINK("https://www.ncbi.nlm.nih.gov/nuccore/AJ968684","NCBI Nucleotide")</f>
        <v>NCBI Nucleotide</v>
      </c>
    </row>
    <row r="16382" spans="1:27" x14ac:dyDescent="0.35">
      <c r="A16382">
        <v>1006170</v>
      </c>
      <c r="B16382">
        <v>14678</v>
      </c>
      <c r="C16382">
        <v>1</v>
      </c>
      <c r="N16382" t="s">
        <v>38446</v>
      </c>
      <c r="P16382" t="s">
        <v>38923</v>
      </c>
      <c r="R16382" s="26" t="str">
        <f>HYPERLINK("https://ictv.global/taxonomy/taxondetails?taxnode_id=202309156","Deltasatellite desmodii")</f>
        <v>Deltasatellite desmodii</v>
      </c>
      <c r="S16382" t="s">
        <v>30</v>
      </c>
      <c r="T16382" t="s">
        <v>38928</v>
      </c>
      <c r="U16382" t="s">
        <v>38929</v>
      </c>
      <c r="V16382" t="s">
        <v>38930</v>
      </c>
      <c r="W16382" t="s">
        <v>38931</v>
      </c>
      <c r="X16382" t="s">
        <v>42</v>
      </c>
      <c r="Y16382" t="s">
        <v>10535</v>
      </c>
      <c r="Z16382" t="s">
        <v>13441</v>
      </c>
      <c r="AA16382" s="22" t="str">
        <f>HYPERLINK("https://www.ncbi.nlm.nih.gov/nuccore/MF773920","NCBI Nucleotide")</f>
        <v>NCBI Nucleotide</v>
      </c>
    </row>
    <row r="16383" spans="1:27" x14ac:dyDescent="0.35">
      <c r="A16383">
        <v>1006175</v>
      </c>
      <c r="B16383">
        <v>14679</v>
      </c>
      <c r="C16383">
        <v>1</v>
      </c>
      <c r="N16383" t="s">
        <v>38446</v>
      </c>
      <c r="P16383" t="s">
        <v>38923</v>
      </c>
      <c r="R16383" s="26" t="str">
        <f>HYPERLINK("https://ictv.global/taxonomy/taxondetails?taxnode_id=202305186","Deltasatellite ipomoeaprimi")</f>
        <v>Deltasatellite ipomoeaprimi</v>
      </c>
      <c r="S16383" t="s">
        <v>30</v>
      </c>
      <c r="T16383" t="s">
        <v>38948</v>
      </c>
      <c r="U16383" t="s">
        <v>38949</v>
      </c>
      <c r="V16383" t="s">
        <v>38950</v>
      </c>
      <c r="W16383" t="s">
        <v>38951</v>
      </c>
      <c r="X16383" t="s">
        <v>42</v>
      </c>
      <c r="Y16383" t="s">
        <v>10535</v>
      </c>
      <c r="Z16383" t="s">
        <v>13441</v>
      </c>
      <c r="AA16383" s="22" t="str">
        <f>HYPERLINK("https://www.ncbi.nlm.nih.gov/nuccore/FJ914390","NCBI Nucleotide")</f>
        <v>NCBI Nucleotide</v>
      </c>
    </row>
    <row r="16384" spans="1:27" x14ac:dyDescent="0.35">
      <c r="A16384">
        <v>1006176</v>
      </c>
      <c r="B16384">
        <v>14680</v>
      </c>
      <c r="C16384">
        <v>1</v>
      </c>
      <c r="N16384" t="s">
        <v>38446</v>
      </c>
      <c r="P16384" t="s">
        <v>38923</v>
      </c>
      <c r="R16384" s="26" t="str">
        <f>HYPERLINK("https://ictv.global/taxonomy/taxondetails?taxnode_id=202305187","Deltasatellite ipomoeasecundi")</f>
        <v>Deltasatellite ipomoeasecundi</v>
      </c>
      <c r="S16384" t="s">
        <v>30</v>
      </c>
      <c r="T16384" t="s">
        <v>38952</v>
      </c>
      <c r="U16384" t="s">
        <v>38953</v>
      </c>
      <c r="V16384" t="s">
        <v>38954</v>
      </c>
      <c r="W16384" t="s">
        <v>38955</v>
      </c>
      <c r="X16384" t="s">
        <v>42</v>
      </c>
      <c r="Y16384" t="s">
        <v>10535</v>
      </c>
      <c r="Z16384" t="s">
        <v>13441</v>
      </c>
      <c r="AA16384" s="22" t="str">
        <f>HYPERLINK("https://www.ncbi.nlm.nih.gov/nuccore/KF716173","NCBI Nucleotide")</f>
        <v>NCBI Nucleotide</v>
      </c>
    </row>
    <row r="16385" spans="1:27" x14ac:dyDescent="0.35">
      <c r="A16385">
        <v>1006177</v>
      </c>
      <c r="B16385">
        <v>14681</v>
      </c>
      <c r="C16385">
        <v>1</v>
      </c>
      <c r="N16385" t="s">
        <v>38446</v>
      </c>
      <c r="P16385" t="s">
        <v>38923</v>
      </c>
      <c r="R16385" s="26" t="str">
        <f>HYPERLINK("https://ictv.global/taxonomy/taxondetails?taxnode_id=202305188","Deltasatellite ipomoeatertii")</f>
        <v>Deltasatellite ipomoeatertii</v>
      </c>
      <c r="S16385" t="s">
        <v>30</v>
      </c>
      <c r="T16385" t="s">
        <v>38956</v>
      </c>
      <c r="U16385" t="s">
        <v>38957</v>
      </c>
      <c r="V16385" t="s">
        <v>38958</v>
      </c>
      <c r="W16385" t="s">
        <v>38959</v>
      </c>
      <c r="X16385" t="s">
        <v>42</v>
      </c>
      <c r="Y16385" t="s">
        <v>10535</v>
      </c>
      <c r="Z16385" t="s">
        <v>13441</v>
      </c>
      <c r="AA16385" s="22" t="str">
        <f>HYPERLINK("https://www.ncbi.nlm.nih.gov/nuccore/KT099179","NCBI Nucleotide")</f>
        <v>NCBI Nucleotide</v>
      </c>
    </row>
    <row r="16386" spans="1:27" x14ac:dyDescent="0.35">
      <c r="A16386">
        <v>1006171</v>
      </c>
      <c r="B16386">
        <v>14682</v>
      </c>
      <c r="C16386">
        <v>1</v>
      </c>
      <c r="N16386" t="s">
        <v>38446</v>
      </c>
      <c r="P16386" t="s">
        <v>38923</v>
      </c>
      <c r="R16386" s="26" t="str">
        <f>HYPERLINK("https://ictv.global/taxonomy/taxondetails?taxnode_id=202305182","Deltasatellite malvastri")</f>
        <v>Deltasatellite malvastri</v>
      </c>
      <c r="S16386" t="s">
        <v>30</v>
      </c>
      <c r="T16386" t="s">
        <v>38932</v>
      </c>
      <c r="U16386" t="s">
        <v>38933</v>
      </c>
      <c r="V16386" t="s">
        <v>38934</v>
      </c>
      <c r="W16386" t="s">
        <v>38935</v>
      </c>
      <c r="X16386" t="s">
        <v>42</v>
      </c>
      <c r="Y16386" t="s">
        <v>10535</v>
      </c>
      <c r="Z16386" t="s">
        <v>13441</v>
      </c>
      <c r="AA16386" s="22" t="str">
        <f>HYPERLINK("https://www.ncbi.nlm.nih.gov/nuccore/KF433066","NCBI Nucleotide")</f>
        <v>NCBI Nucleotide</v>
      </c>
    </row>
    <row r="16387" spans="1:27" x14ac:dyDescent="0.35">
      <c r="A16387">
        <v>1006172</v>
      </c>
      <c r="B16387">
        <v>14683</v>
      </c>
      <c r="C16387">
        <v>1</v>
      </c>
      <c r="N16387" t="s">
        <v>38446</v>
      </c>
      <c r="P16387" t="s">
        <v>38923</v>
      </c>
      <c r="R16387" s="26" t="str">
        <f>HYPERLINK("https://ictv.global/taxonomy/taxondetails?taxnode_id=202305183","Deltasatellite sidaflavusprimi")</f>
        <v>Deltasatellite sidaflavusprimi</v>
      </c>
      <c r="S16387" t="s">
        <v>30</v>
      </c>
      <c r="T16387" t="s">
        <v>38936</v>
      </c>
      <c r="U16387" t="s">
        <v>38937</v>
      </c>
      <c r="V16387" t="s">
        <v>38938</v>
      </c>
      <c r="W16387" t="s">
        <v>38939</v>
      </c>
      <c r="X16387" t="s">
        <v>42</v>
      </c>
      <c r="Y16387" t="s">
        <v>10535</v>
      </c>
      <c r="Z16387" t="s">
        <v>13441</v>
      </c>
      <c r="AA16387" s="22" t="str">
        <f>HYPERLINK("https://www.ncbi.nlm.nih.gov/nuccore/JN986808","NCBI Nucleotide")</f>
        <v>NCBI Nucleotide</v>
      </c>
    </row>
    <row r="16388" spans="1:27" x14ac:dyDescent="0.35">
      <c r="A16388">
        <v>1006173</v>
      </c>
      <c r="B16388">
        <v>14684</v>
      </c>
      <c r="C16388">
        <v>1</v>
      </c>
      <c r="N16388" t="s">
        <v>38446</v>
      </c>
      <c r="P16388" t="s">
        <v>38923</v>
      </c>
      <c r="R16388" s="26" t="str">
        <f>HYPERLINK("https://ictv.global/taxonomy/taxondetails?taxnode_id=202305184","Deltasatellite sidaflavussecundi")</f>
        <v>Deltasatellite sidaflavussecundi</v>
      </c>
      <c r="S16388" t="s">
        <v>30</v>
      </c>
      <c r="T16388" t="s">
        <v>38940</v>
      </c>
      <c r="U16388" t="s">
        <v>38941</v>
      </c>
      <c r="V16388" t="s">
        <v>38942</v>
      </c>
      <c r="W16388" t="s">
        <v>38943</v>
      </c>
      <c r="X16388" t="s">
        <v>42</v>
      </c>
      <c r="Y16388" t="s">
        <v>10535</v>
      </c>
      <c r="Z16388" t="s">
        <v>13441</v>
      </c>
      <c r="AA16388" s="22" t="str">
        <f>HYPERLINK("https://www.ncbi.nlm.nih.gov/nuccore/JN819490","NCBI Nucleotide")</f>
        <v>NCBI Nucleotide</v>
      </c>
    </row>
    <row r="16389" spans="1:27" x14ac:dyDescent="0.35">
      <c r="A16389">
        <v>1006174</v>
      </c>
      <c r="B16389">
        <v>14685</v>
      </c>
      <c r="C16389">
        <v>1</v>
      </c>
      <c r="N16389" t="s">
        <v>38446</v>
      </c>
      <c r="P16389" t="s">
        <v>38923</v>
      </c>
      <c r="R16389" s="26" t="str">
        <f>HYPERLINK("https://ictv.global/taxonomy/taxondetails?taxnode_id=202305185","Deltasatellite sidaflavustertii")</f>
        <v>Deltasatellite sidaflavustertii</v>
      </c>
      <c r="S16389" t="s">
        <v>30</v>
      </c>
      <c r="T16389" t="s">
        <v>38944</v>
      </c>
      <c r="U16389" t="s">
        <v>38945</v>
      </c>
      <c r="V16389" t="s">
        <v>38946</v>
      </c>
      <c r="W16389" t="s">
        <v>38947</v>
      </c>
      <c r="X16389" t="s">
        <v>42</v>
      </c>
      <c r="Y16389" t="s">
        <v>10535</v>
      </c>
      <c r="Z16389" t="s">
        <v>13441</v>
      </c>
      <c r="AA16389" s="22" t="str">
        <f>HYPERLINK("https://www.ncbi.nlm.nih.gov/nuccore/JN819498","NCBI Nucleotide")</f>
        <v>NCBI Nucleotide</v>
      </c>
    </row>
    <row r="16390" spans="1:27" x14ac:dyDescent="0.35">
      <c r="A16390">
        <v>1006178</v>
      </c>
      <c r="B16390">
        <v>14686</v>
      </c>
      <c r="C16390">
        <v>1</v>
      </c>
      <c r="N16390" t="s">
        <v>38446</v>
      </c>
      <c r="P16390" t="s">
        <v>38923</v>
      </c>
      <c r="R16390" s="26" t="str">
        <f>HYPERLINK("https://ictv.global/taxonomy/taxondetails?taxnode_id=202305189","Deltasatellite solani")</f>
        <v>Deltasatellite solani</v>
      </c>
      <c r="S16390" t="s">
        <v>30</v>
      </c>
      <c r="T16390" t="s">
        <v>38960</v>
      </c>
      <c r="U16390" t="s">
        <v>38961</v>
      </c>
      <c r="V16390" t="s">
        <v>38962</v>
      </c>
      <c r="W16390" t="s">
        <v>38963</v>
      </c>
      <c r="X16390" t="s">
        <v>42</v>
      </c>
      <c r="Y16390" t="s">
        <v>10535</v>
      </c>
      <c r="Z16390" t="s">
        <v>13441</v>
      </c>
      <c r="AA16390" s="22" t="str">
        <f>HYPERLINK("https://www.ncbi.nlm.nih.gov/nuccore/U74627","NCBI Nucleotide")</f>
        <v>NCBI Nucleotide</v>
      </c>
    </row>
    <row r="16391" spans="1:27" x14ac:dyDescent="0.35">
      <c r="A16391">
        <v>1006179</v>
      </c>
      <c r="B16391">
        <v>14687</v>
      </c>
      <c r="C16391">
        <v>1</v>
      </c>
      <c r="N16391" t="s">
        <v>38446</v>
      </c>
      <c r="P16391" t="s">
        <v>38923</v>
      </c>
      <c r="R16391" s="26" t="str">
        <f>HYPERLINK("https://ictv.global/taxonomy/taxondetails?taxnode_id=202305190","Deltasatellite solaniflavusprimi")</f>
        <v>Deltasatellite solaniflavusprimi</v>
      </c>
      <c r="S16391" t="s">
        <v>30</v>
      </c>
      <c r="T16391" t="s">
        <v>38964</v>
      </c>
      <c r="U16391" t="s">
        <v>38965</v>
      </c>
      <c r="V16391" t="s">
        <v>38966</v>
      </c>
      <c r="W16391" t="s">
        <v>38967</v>
      </c>
      <c r="X16391" t="s">
        <v>42</v>
      </c>
      <c r="Y16391" t="s">
        <v>10535</v>
      </c>
      <c r="Z16391" t="s">
        <v>13441</v>
      </c>
      <c r="AA16391" s="22" t="str">
        <f>HYPERLINK("https://www.ncbi.nlm.nih.gov/nuccore/JN819495","NCBI Nucleotide")</f>
        <v>NCBI Nucleotide</v>
      </c>
    </row>
    <row r="16392" spans="1:27" x14ac:dyDescent="0.35">
      <c r="A16392">
        <v>1006180</v>
      </c>
      <c r="B16392">
        <v>14688</v>
      </c>
      <c r="C16392">
        <v>1</v>
      </c>
      <c r="N16392" t="s">
        <v>38446</v>
      </c>
      <c r="P16392" t="s">
        <v>38923</v>
      </c>
      <c r="R16392" s="26" t="str">
        <f>HYPERLINK("https://ictv.global/taxonomy/taxondetails?taxnode_id=202305191","Deltasatellite solaniflavussecundi")</f>
        <v>Deltasatellite solaniflavussecundi</v>
      </c>
      <c r="S16392" t="s">
        <v>30</v>
      </c>
      <c r="T16392" t="s">
        <v>38968</v>
      </c>
      <c r="U16392" t="s">
        <v>38969</v>
      </c>
      <c r="V16392" t="s">
        <v>38970</v>
      </c>
      <c r="W16392" t="s">
        <v>38971</v>
      </c>
      <c r="X16392" t="s">
        <v>42</v>
      </c>
      <c r="Y16392" t="s">
        <v>10535</v>
      </c>
      <c r="Z16392" t="s">
        <v>13441</v>
      </c>
      <c r="AA16392" s="22" t="str">
        <f>HYPERLINK("https://www.ncbi.nlm.nih.gov/nuccore/KU232893","NCBI Nucleotide")</f>
        <v>NCBI Nucleotide</v>
      </c>
    </row>
    <row r="16393" spans="1:27" x14ac:dyDescent="0.35">
      <c r="A16393">
        <v>1006181</v>
      </c>
      <c r="B16393">
        <v>14689</v>
      </c>
      <c r="C16393">
        <v>1</v>
      </c>
      <c r="P16393" t="s">
        <v>37183</v>
      </c>
      <c r="R16393" s="26" t="str">
        <f>HYPERLINK("https://ictv.global/taxonomy/taxondetails?taxnode_id=202305350","Heterocapsa circularisquama DNA virus 01")</f>
        <v>Heterocapsa circularisquama DNA virus 01</v>
      </c>
      <c r="S16393" t="s">
        <v>30</v>
      </c>
      <c r="T16393" t="s">
        <v>37184</v>
      </c>
      <c r="U16393" t="s">
        <v>37185</v>
      </c>
      <c r="W16393" t="s">
        <v>37186</v>
      </c>
      <c r="X16393" t="s">
        <v>154</v>
      </c>
      <c r="Y16393" t="s">
        <v>36</v>
      </c>
      <c r="Z16393" t="s">
        <v>17496</v>
      </c>
      <c r="AA16393" s="22" t="str">
        <f>HYPERLINK("https://www.ncbi.nlm.nih.gov/nuccore/AB522601","NCBI Nucleotide")</f>
        <v>NCBI Nucleotide</v>
      </c>
    </row>
    <row r="16394" spans="1:27" x14ac:dyDescent="0.35">
      <c r="A16394">
        <v>1006182</v>
      </c>
      <c r="B16394">
        <v>14690</v>
      </c>
      <c r="C16394">
        <v>1</v>
      </c>
      <c r="P16394" t="s">
        <v>37187</v>
      </c>
      <c r="R16394" s="26" t="str">
        <f>HYPERLINK("https://ictv.global/taxonomy/taxondetails?taxnode_id=202305364","Rhizidiomyces virus")</f>
        <v>Rhizidiomyces virus</v>
      </c>
      <c r="S16394" t="s">
        <v>30</v>
      </c>
      <c r="T16394" t="s">
        <v>37188</v>
      </c>
      <c r="U16394" t="s">
        <v>37189</v>
      </c>
      <c r="X16394" t="s">
        <v>3311</v>
      </c>
      <c r="Y16394" t="s">
        <v>36</v>
      </c>
      <c r="Z16394" t="s">
        <v>16721</v>
      </c>
    </row>
  </sheetData>
  <autoFilter ref="A1:AA16397" xr:uid="{00000000-0001-0000-0000-000000000000}"/>
  <sortState xmlns:xlrd2="http://schemas.microsoft.com/office/spreadsheetml/2017/richdata2" ref="B2:Z12950">
    <sortCondition ref="D2:D12950"/>
    <sortCondition ref="E2:E12950"/>
    <sortCondition ref="F2:F12950"/>
    <sortCondition ref="G2:G12950"/>
    <sortCondition ref="H2:H12950"/>
    <sortCondition ref="I2:I12950"/>
    <sortCondition ref="J2:J12950"/>
    <sortCondition ref="K2:K12950"/>
    <sortCondition ref="L2:L12950"/>
    <sortCondition ref="M2:M12950"/>
    <sortCondition ref="N2:N12950"/>
    <sortCondition ref="O2:O12950"/>
    <sortCondition ref="P2:P12950"/>
    <sortCondition ref="Q2:Q12950"/>
    <sortCondition ref="R2:R12950"/>
    <sortCondition descending="1" ref="S2:S12950"/>
    <sortCondition ref="C2:C12950"/>
  </sortState>
  <conditionalFormatting sqref="A1:AA1048576">
    <cfRule type="expression" dxfId="4" priority="2">
      <formula>AND(LEN($A1)=0,LEN($R1)&gt;0)</formula>
    </cfRule>
  </conditionalFormatting>
  <conditionalFormatting sqref="B1:AA1048576">
    <cfRule type="expression" dxfId="3" priority="13">
      <formula>NOT(EXACT(B1,INDEX(#REF!,MATCH($A1,#REF!,0))))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10FAC175-DDA5-B442-A2F8-FB7F2D45483D}">
          <x14:formula1>
            <xm:f>'Column Values'!$A:$A</xm:f>
          </x14:formula1>
          <xm:sqref>S1:S1048576</xm:sqref>
        </x14:dataValidation>
        <x14:dataValidation type="list" allowBlank="1" showInputMessage="1" showErrorMessage="1" xr:uid="{3BA818C8-AAB5-CA4C-9D4A-828168B2716B}">
          <x14:formula1>
            <xm:f>'Column Values'!$B:$B</xm:f>
          </x14:formula1>
          <xm:sqref>X1:X1048576</xm:sqref>
        </x14:dataValidation>
        <x14:dataValidation type="list" allowBlank="1" showInputMessage="1" showErrorMessage="1" xr:uid="{2248658B-71E3-9747-BDD1-0D04DCBF3728}">
          <x14:formula1>
            <xm:f>'Column Values'!$C:$C</xm:f>
          </x14:formula1>
          <xm:sqref>Y1:Y1048576</xm:sqref>
        </x14:dataValidation>
        <x14:dataValidation type="list" allowBlank="1" showInputMessage="1" showErrorMessage="1" xr:uid="{0C113778-F370-3D49-AD48-BF20FD4EEADB}">
          <x14:formula1>
            <xm:f>'Column Values'!$D:$D</xm:f>
          </x14:formula1>
          <xm:sqref>Z1:Z1048576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F752-4B12-2A41-8FFB-A5B2A9DC8616}">
  <dimension ref="A1:F25"/>
  <sheetViews>
    <sheetView showGridLines="0" topLeftCell="A5" zoomScale="120" zoomScaleNormal="120" workbookViewId="0">
      <selection activeCell="E5" sqref="E5"/>
    </sheetView>
  </sheetViews>
  <sheetFormatPr defaultColWidth="11.5" defaultRowHeight="12.5" x14ac:dyDescent="0.25"/>
  <cols>
    <col min="1" max="1" width="3.33203125" style="27" customWidth="1"/>
    <col min="2" max="2" width="11.83203125" style="27" customWidth="1"/>
    <col min="3" max="3" width="23.5" style="27" customWidth="1"/>
    <col min="4" max="4" width="4.6640625" style="27" customWidth="1"/>
    <col min="5" max="5" width="93.83203125" style="28" customWidth="1"/>
    <col min="6" max="6" width="54.6640625" style="27" customWidth="1"/>
    <col min="7" max="7" width="10.83203125" style="27" customWidth="1"/>
    <col min="8" max="16384" width="11.5" style="27"/>
  </cols>
  <sheetData>
    <row r="1" spans="1:6" ht="13" thickBot="1" x14ac:dyDescent="0.3"/>
    <row r="2" spans="1:6" s="29" customFormat="1" ht="18.5" thickBot="1" x14ac:dyDescent="0.4">
      <c r="B2" s="30" t="s">
        <v>51008</v>
      </c>
      <c r="C2" s="31"/>
      <c r="D2" s="31"/>
      <c r="E2" s="32"/>
      <c r="F2" s="33"/>
    </row>
    <row r="3" spans="1:6" ht="13" thickBot="1" x14ac:dyDescent="0.3">
      <c r="E3" s="27"/>
    </row>
    <row r="4" spans="1:6" ht="18" thickBot="1" x14ac:dyDescent="0.4">
      <c r="A4" s="29"/>
      <c r="B4" s="59" t="s">
        <v>51049</v>
      </c>
      <c r="C4" s="60" t="s">
        <v>51025</v>
      </c>
      <c r="D4" s="36"/>
      <c r="E4" s="37" t="s">
        <v>51051</v>
      </c>
    </row>
    <row r="5" spans="1:6" ht="15.5" x14ac:dyDescent="0.35">
      <c r="A5" s="36"/>
      <c r="B5" s="36"/>
      <c r="C5" s="36"/>
      <c r="D5" s="36"/>
      <c r="E5" s="50" t="s">
        <v>51050</v>
      </c>
    </row>
    <row r="6" spans="1:6" ht="13" thickBot="1" x14ac:dyDescent="0.3">
      <c r="E6" s="27"/>
    </row>
    <row r="7" spans="1:6" ht="17.5" x14ac:dyDescent="0.35">
      <c r="A7" s="29"/>
      <c r="B7" s="34" t="s">
        <v>51003</v>
      </c>
      <c r="C7" s="35" t="s">
        <v>51041</v>
      </c>
      <c r="D7" s="36"/>
      <c r="E7" s="37" t="str">
        <f>CONCATENATE("Version ",C7)</f>
        <v>Version MSL39.v1</v>
      </c>
    </row>
    <row r="8" spans="1:6" ht="15.5" x14ac:dyDescent="0.35">
      <c r="A8" s="36"/>
      <c r="B8" s="38" t="s">
        <v>51004</v>
      </c>
      <c r="C8" s="39">
        <v>45429</v>
      </c>
      <c r="D8" s="40"/>
      <c r="E8" s="41" t="s">
        <v>51005</v>
      </c>
    </row>
    <row r="9" spans="1:6" ht="16" thickBot="1" x14ac:dyDescent="0.4">
      <c r="A9" s="36"/>
      <c r="B9" s="42" t="s">
        <v>51006</v>
      </c>
      <c r="C9" s="43" t="s">
        <v>51007</v>
      </c>
      <c r="D9" s="44"/>
      <c r="E9" s="45" t="s">
        <v>51009</v>
      </c>
    </row>
    <row r="10" spans="1:6" ht="15.5" x14ac:dyDescent="0.35">
      <c r="A10" s="36"/>
      <c r="B10" s="46"/>
      <c r="C10" s="44"/>
      <c r="D10" s="44"/>
      <c r="E10" s="45" t="s">
        <v>51010</v>
      </c>
    </row>
    <row r="11" spans="1:6" ht="15.5" x14ac:dyDescent="0.35">
      <c r="A11" s="36"/>
      <c r="B11" s="36"/>
      <c r="C11" s="36"/>
      <c r="D11" s="36"/>
      <c r="E11" s="50" t="str">
        <f>HYPERLINK("https://ictv.global/vmr","For more information see: https://ictv.global/vmr")</f>
        <v>For more information see: https://ictv.global/vmr</v>
      </c>
    </row>
    <row r="12" spans="1:6" ht="16" thickBot="1" x14ac:dyDescent="0.4">
      <c r="B12" s="36"/>
      <c r="C12" s="36"/>
      <c r="D12" s="36"/>
      <c r="E12" s="47"/>
    </row>
    <row r="13" spans="1:6" ht="15.5" x14ac:dyDescent="0.35">
      <c r="B13" s="34" t="s">
        <v>51003</v>
      </c>
      <c r="C13" s="35" t="s">
        <v>51040</v>
      </c>
      <c r="D13" s="36"/>
      <c r="E13" s="37" t="str">
        <f>CONCATENATE("Version ",C13)</f>
        <v>Version MSL39.v2</v>
      </c>
    </row>
    <row r="14" spans="1:6" ht="15.5" x14ac:dyDescent="0.35">
      <c r="B14" s="38" t="s">
        <v>51004</v>
      </c>
      <c r="C14" s="39">
        <v>45554</v>
      </c>
      <c r="D14" s="40"/>
      <c r="E14" s="41" t="s">
        <v>51042</v>
      </c>
    </row>
    <row r="15" spans="1:6" ht="16" thickBot="1" x14ac:dyDescent="0.4">
      <c r="B15" s="42" t="s">
        <v>51006</v>
      </c>
      <c r="C15" s="43" t="s">
        <v>51011</v>
      </c>
      <c r="D15" s="44"/>
      <c r="E15" s="48" t="s">
        <v>51012</v>
      </c>
    </row>
    <row r="16" spans="1:6" ht="16" thickBot="1" x14ac:dyDescent="0.4">
      <c r="B16" s="46"/>
      <c r="C16" s="44"/>
      <c r="D16" s="44"/>
      <c r="E16" s="49"/>
    </row>
    <row r="17" spans="2:5" ht="15.5" x14ac:dyDescent="0.35">
      <c r="B17" s="34" t="s">
        <v>51003</v>
      </c>
      <c r="C17" s="35" t="s">
        <v>51039</v>
      </c>
      <c r="D17" s="36"/>
      <c r="E17" s="37" t="str">
        <f>CONCATENATE("Version ",C17)</f>
        <v>Version MSL39.v4</v>
      </c>
    </row>
    <row r="18" spans="2:5" ht="15.5" x14ac:dyDescent="0.35">
      <c r="B18" s="38" t="s">
        <v>51004</v>
      </c>
      <c r="C18" s="39">
        <v>45602</v>
      </c>
      <c r="D18" s="40"/>
      <c r="E18" s="41" t="s">
        <v>51043</v>
      </c>
    </row>
    <row r="19" spans="2:5" ht="47" thickBot="1" x14ac:dyDescent="0.4">
      <c r="B19" s="53" t="s">
        <v>51006</v>
      </c>
      <c r="C19" s="54" t="s">
        <v>51011</v>
      </c>
      <c r="D19" s="44"/>
      <c r="E19" s="52" t="s">
        <v>51044</v>
      </c>
    </row>
    <row r="20" spans="2:5" ht="15.5" x14ac:dyDescent="0.35">
      <c r="B20" s="46"/>
      <c r="C20" s="44"/>
      <c r="D20" s="44"/>
      <c r="E20" s="49"/>
    </row>
    <row r="21" spans="2:5" x14ac:dyDescent="0.25">
      <c r="E21" s="27"/>
    </row>
    <row r="22" spans="2:5" x14ac:dyDescent="0.25">
      <c r="E22" s="27"/>
    </row>
    <row r="23" spans="2:5" x14ac:dyDescent="0.25">
      <c r="E23" s="27"/>
    </row>
    <row r="24" spans="2:5" x14ac:dyDescent="0.25">
      <c r="E24" s="27"/>
    </row>
    <row r="25" spans="2:5" x14ac:dyDescent="0.25">
      <c r="E25" s="27"/>
    </row>
  </sheetData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"/>
  <sheetViews>
    <sheetView zoomScaleNormal="100" workbookViewId="0">
      <selection activeCell="C2" sqref="C2"/>
    </sheetView>
  </sheetViews>
  <sheetFormatPr defaultColWidth="10.83203125" defaultRowHeight="15.5" x14ac:dyDescent="0.35"/>
  <cols>
    <col min="1" max="1" width="12" style="2" customWidth="1"/>
    <col min="2" max="2" width="26.1640625" style="2" bestFit="1" customWidth="1"/>
    <col min="3" max="3" width="111.1640625" style="2" customWidth="1"/>
    <col min="4" max="16384" width="10.83203125" style="1"/>
  </cols>
  <sheetData>
    <row r="1" spans="1:3" x14ac:dyDescent="0.35">
      <c r="A1" s="13" t="s">
        <v>38981</v>
      </c>
      <c r="B1" s="12" t="s">
        <v>38980</v>
      </c>
      <c r="C1" s="11" t="s">
        <v>38979</v>
      </c>
    </row>
    <row r="2" spans="1:3" x14ac:dyDescent="0.35">
      <c r="A2" s="9" t="s">
        <v>8141</v>
      </c>
      <c r="B2" s="8" t="s">
        <v>50758</v>
      </c>
      <c r="C2" s="7" t="s">
        <v>51029</v>
      </c>
    </row>
    <row r="3" spans="1:3" x14ac:dyDescent="0.35">
      <c r="A3" s="9" t="s">
        <v>20057</v>
      </c>
      <c r="B3" s="8" t="s">
        <v>38978</v>
      </c>
      <c r="C3" s="7" t="s">
        <v>51030</v>
      </c>
    </row>
    <row r="4" spans="1:3" x14ac:dyDescent="0.35">
      <c r="A4" s="9" t="s">
        <v>17177</v>
      </c>
      <c r="B4" s="8" t="s">
        <v>0</v>
      </c>
      <c r="C4" s="10" t="s">
        <v>51031</v>
      </c>
    </row>
    <row r="5" spans="1:3" ht="93" x14ac:dyDescent="0.35">
      <c r="A5" s="9" t="s">
        <v>51032</v>
      </c>
      <c r="B5" s="8" t="s">
        <v>51033</v>
      </c>
      <c r="C5" s="10" t="s">
        <v>51034</v>
      </c>
    </row>
    <row r="6" spans="1:3" x14ac:dyDescent="0.35">
      <c r="A6" s="9" t="s">
        <v>18017</v>
      </c>
      <c r="B6" s="8" t="s">
        <v>16</v>
      </c>
      <c r="C6" s="10" t="s">
        <v>51035</v>
      </c>
    </row>
    <row r="7" spans="1:3" x14ac:dyDescent="0.35">
      <c r="A7" s="9" t="s">
        <v>28659</v>
      </c>
      <c r="B7" s="8" t="s">
        <v>17</v>
      </c>
      <c r="C7" s="10" t="s">
        <v>51036</v>
      </c>
    </row>
    <row r="8" spans="1:3" x14ac:dyDescent="0.35">
      <c r="A8" s="9" t="s">
        <v>38976</v>
      </c>
      <c r="B8" s="8" t="s">
        <v>18</v>
      </c>
      <c r="C8" s="10" t="s">
        <v>51037</v>
      </c>
    </row>
    <row r="9" spans="1:3" x14ac:dyDescent="0.35">
      <c r="A9" s="9" t="s">
        <v>18166</v>
      </c>
      <c r="B9" s="8" t="s">
        <v>19</v>
      </c>
      <c r="C9" s="10" t="s">
        <v>51038</v>
      </c>
    </row>
    <row r="10" spans="1:3" ht="31" x14ac:dyDescent="0.35">
      <c r="A10" s="9" t="s">
        <v>28465</v>
      </c>
      <c r="B10" s="8" t="s">
        <v>20</v>
      </c>
      <c r="C10" s="10" t="s">
        <v>51052</v>
      </c>
    </row>
    <row r="11" spans="1:3" ht="77.5" x14ac:dyDescent="0.35">
      <c r="A11" s="9" t="s">
        <v>38975</v>
      </c>
      <c r="B11" s="8" t="s">
        <v>21</v>
      </c>
      <c r="C11" s="7" t="s">
        <v>51045</v>
      </c>
    </row>
    <row r="12" spans="1:3" ht="217" x14ac:dyDescent="0.35">
      <c r="A12" s="9" t="s">
        <v>32822</v>
      </c>
      <c r="B12" s="8" t="s">
        <v>51048</v>
      </c>
      <c r="C12" s="7" t="s">
        <v>51046</v>
      </c>
    </row>
    <row r="13" spans="1:3" ht="248" x14ac:dyDescent="0.35">
      <c r="A13" s="55" t="s">
        <v>38974</v>
      </c>
      <c r="B13" s="56" t="s">
        <v>38973</v>
      </c>
      <c r="C13" s="57" t="s">
        <v>51047</v>
      </c>
    </row>
    <row r="14" spans="1:3" ht="16" thickBot="1" x14ac:dyDescent="0.4">
      <c r="A14" s="6" t="s">
        <v>13947</v>
      </c>
      <c r="B14" s="6" t="s">
        <v>50937</v>
      </c>
      <c r="C14" s="5" t="s">
        <v>51053</v>
      </c>
    </row>
    <row r="15" spans="1:3" x14ac:dyDescent="0.35">
      <c r="B15" s="3"/>
      <c r="C15" s="4"/>
    </row>
    <row r="16" spans="1:3" ht="31" x14ac:dyDescent="0.35">
      <c r="C16" s="58" t="s">
        <v>38972</v>
      </c>
    </row>
    <row r="18" spans="4:4" ht="37" customHeight="1" x14ac:dyDescent="0.35"/>
    <row r="27" spans="4:4" ht="327" customHeight="1" x14ac:dyDescent="0.35"/>
    <row r="29" spans="4:4" ht="16" customHeight="1" x14ac:dyDescent="0.35">
      <c r="D29" s="3"/>
    </row>
  </sheetData>
  <hyperlinks>
    <hyperlink ref="C16" r:id="rId1" xr:uid="{F9147D3B-CF5A-A346-A0A7-D7330816C68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9F6F2-A839-9F4A-A131-E7A3A2886178}">
  <dimension ref="A1:D23"/>
  <sheetViews>
    <sheetView workbookViewId="0">
      <selection activeCell="C2" sqref="C2"/>
    </sheetView>
  </sheetViews>
  <sheetFormatPr defaultColWidth="10.6640625" defaultRowHeight="15.5" x14ac:dyDescent="0.35"/>
  <cols>
    <col min="1" max="1" width="8.5" customWidth="1"/>
    <col min="2" max="2" width="22.5" customWidth="1"/>
    <col min="3" max="3" width="23.83203125" customWidth="1"/>
    <col min="4" max="4" width="22.83203125" customWidth="1"/>
  </cols>
  <sheetData>
    <row r="1" spans="1:4" ht="62" x14ac:dyDescent="0.35">
      <c r="A1" s="14" t="s">
        <v>16</v>
      </c>
      <c r="B1" s="16" t="s">
        <v>21</v>
      </c>
      <c r="C1" s="14" t="s">
        <v>51048</v>
      </c>
      <c r="D1" s="14" t="s">
        <v>22</v>
      </c>
    </row>
    <row r="2" spans="1:4" x14ac:dyDescent="0.35">
      <c r="A2" s="18" t="s">
        <v>30</v>
      </c>
      <c r="B2" s="18" t="s">
        <v>42</v>
      </c>
      <c r="C2" s="18" t="s">
        <v>36</v>
      </c>
      <c r="D2" s="18" t="s">
        <v>40359</v>
      </c>
    </row>
    <row r="3" spans="1:4" x14ac:dyDescent="0.35">
      <c r="A3" s="18" t="s">
        <v>8141</v>
      </c>
      <c r="B3" s="18" t="s">
        <v>35</v>
      </c>
      <c r="C3" t="s">
        <v>34325</v>
      </c>
      <c r="D3" s="18" t="s">
        <v>37</v>
      </c>
    </row>
    <row r="4" spans="1:4" x14ac:dyDescent="0.35">
      <c r="B4" s="18" t="s">
        <v>154</v>
      </c>
      <c r="C4" s="18" t="s">
        <v>17196</v>
      </c>
      <c r="D4" s="18" t="s">
        <v>697</v>
      </c>
    </row>
    <row r="5" spans="1:4" x14ac:dyDescent="0.35">
      <c r="B5" s="18" t="s">
        <v>3311</v>
      </c>
      <c r="C5" s="18" t="s">
        <v>10535</v>
      </c>
      <c r="D5" t="s">
        <v>47283</v>
      </c>
    </row>
    <row r="6" spans="1:4" x14ac:dyDescent="0.35">
      <c r="C6" t="s">
        <v>12446</v>
      </c>
      <c r="D6" t="s">
        <v>47284</v>
      </c>
    </row>
    <row r="7" spans="1:4" x14ac:dyDescent="0.35">
      <c r="C7" s="18" t="s">
        <v>10517</v>
      </c>
      <c r="D7" s="18" t="s">
        <v>26655</v>
      </c>
    </row>
    <row r="8" spans="1:4" x14ac:dyDescent="0.35">
      <c r="C8" s="18" t="s">
        <v>12266</v>
      </c>
      <c r="D8" s="18" t="s">
        <v>16721</v>
      </c>
    </row>
    <row r="9" spans="1:4" x14ac:dyDescent="0.35">
      <c r="C9" t="s">
        <v>20674</v>
      </c>
      <c r="D9" s="18" t="s">
        <v>10790</v>
      </c>
    </row>
    <row r="10" spans="1:4" x14ac:dyDescent="0.35">
      <c r="C10" t="s">
        <v>34454</v>
      </c>
      <c r="D10" s="18" t="s">
        <v>17413</v>
      </c>
    </row>
    <row r="11" spans="1:4" x14ac:dyDescent="0.35">
      <c r="C11" s="18" t="s">
        <v>23964</v>
      </c>
      <c r="D11" s="18" t="s">
        <v>15964</v>
      </c>
    </row>
    <row r="12" spans="1:4" x14ac:dyDescent="0.35">
      <c r="C12" s="18" t="s">
        <v>17171</v>
      </c>
      <c r="D12" s="18" t="s">
        <v>12289</v>
      </c>
    </row>
    <row r="13" spans="1:4" x14ac:dyDescent="0.35">
      <c r="C13" s="18" t="s">
        <v>23955</v>
      </c>
      <c r="D13" s="18" t="s">
        <v>12916</v>
      </c>
    </row>
    <row r="14" spans="1:4" x14ac:dyDescent="0.35">
      <c r="C14" s="18" t="s">
        <v>50974</v>
      </c>
      <c r="D14" s="18" t="s">
        <v>24609</v>
      </c>
    </row>
    <row r="15" spans="1:4" x14ac:dyDescent="0.35">
      <c r="D15" s="18" t="s">
        <v>13441</v>
      </c>
    </row>
    <row r="16" spans="1:4" x14ac:dyDescent="0.35">
      <c r="D16" s="18" t="s">
        <v>17336</v>
      </c>
    </row>
    <row r="17" spans="4:4" x14ac:dyDescent="0.35">
      <c r="D17" s="18" t="s">
        <v>17496</v>
      </c>
    </row>
    <row r="18" spans="4:4" x14ac:dyDescent="0.35">
      <c r="D18" s="18" t="s">
        <v>13567</v>
      </c>
    </row>
    <row r="19" spans="4:4" x14ac:dyDescent="0.35">
      <c r="D19" s="18" t="s">
        <v>16726</v>
      </c>
    </row>
    <row r="20" spans="4:4" x14ac:dyDescent="0.35">
      <c r="D20" s="18" t="s">
        <v>24637</v>
      </c>
    </row>
    <row r="21" spans="4:4" x14ac:dyDescent="0.35">
      <c r="D21" s="18" t="s">
        <v>41209</v>
      </c>
    </row>
    <row r="22" spans="4:4" x14ac:dyDescent="0.35">
      <c r="D22" s="18" t="s">
        <v>166</v>
      </c>
    </row>
    <row r="23" spans="4:4" x14ac:dyDescent="0.35">
      <c r="D23" s="18" t="s">
        <v>40828</v>
      </c>
    </row>
  </sheetData>
  <sortState xmlns:xlrd2="http://schemas.microsoft.com/office/spreadsheetml/2017/richdata2" ref="C3:C13">
    <sortCondition ref="C3:C13"/>
  </sortState>
  <conditionalFormatting sqref="B1:D2 A1:A3 B3:C5 C6:C14 A16393:C1048576">
    <cfRule type="expression" dxfId="2" priority="8">
      <formula>SUBSTITUTE(A1," ","")&lt;&gt;SUBSTITUTE(INDEX(#REF!,MATCH($A1,#REF!,0))," ","")</formula>
    </cfRule>
  </conditionalFormatting>
  <conditionalFormatting sqref="D3:D13">
    <cfRule type="expression" dxfId="1" priority="10">
      <formula>SUBSTITUTE(D3," ","")&lt;&gt;SUBSTITUTE(INDEX(#REF!,MATCH($A4,#REF!,0))," ","")</formula>
    </cfRule>
  </conditionalFormatting>
  <conditionalFormatting sqref="D14:D23 D16391:D1048576">
    <cfRule type="expression" dxfId="0" priority="2">
      <formula>SUBSTITUTE(D14," ","")&lt;&gt;SUBSTITUTE(INDEX(#REF!,MATCH($A16,#REF!,0))," ","")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VMR MSL39</vt:lpstr>
      <vt:lpstr>Version</vt:lpstr>
      <vt:lpstr>Column definitions</vt:lpstr>
      <vt:lpstr>Column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Smith</dc:creator>
  <cp:lastModifiedBy>Dimitris Karapliafis</cp:lastModifiedBy>
  <dcterms:created xsi:type="dcterms:W3CDTF">2023-09-13T21:19:40Z</dcterms:created>
  <dcterms:modified xsi:type="dcterms:W3CDTF">2024-11-20T15:13:34Z</dcterms:modified>
</cp:coreProperties>
</file>